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hartData" sheetId="1" r:id="rId3"/>
    <sheet state="hidden" name="VINData" sheetId="2" r:id="rId4"/>
    <sheet state="hidden" name="Administrative" sheetId="3" r:id="rId5"/>
    <sheet state="visible" name="All Entries" sheetId="4" r:id="rId6"/>
    <sheet state="hidden" name="Form responses" sheetId="5" r:id="rId7"/>
  </sheets>
  <definedNames>
    <definedName name="ResTime">#REF!</definedName>
    <definedName name="Autopilot">#REF!</definedName>
    <definedName name="Wheel">#REF!</definedName>
    <definedName name="Color">#REF!</definedName>
    <definedName name="Res">#REF!</definedName>
    <definedName name="CalcDelDate">#REF!</definedName>
    <definedName name="VINDate">#REF!</definedName>
    <definedName name="ResDate">#REF!</definedName>
    <definedName name="Interior">#REF!</definedName>
    <definedName name="Owner">#REF!</definedName>
    <definedName name="ConftoDel">#REF!</definedName>
    <definedName name="ResMethod">#REF!</definedName>
    <definedName name="Username">#REF!</definedName>
    <definedName name="Location">#REF!</definedName>
    <definedName name="Model">#REF!</definedName>
    <definedName name="ConfDate">#REF!</definedName>
    <definedName name="VIN">#REF!</definedName>
    <definedName name="Status">#REF!</definedName>
    <definedName name="ConftoVIN">#REF!</definedName>
    <definedName name="VINtoDel">#REF!</definedName>
    <definedName name="now">#REF!</definedName>
    <definedName name="SeatColor">#REF!</definedName>
    <definedName name="State">#REF!</definedName>
    <definedName name="Country">#REF!</definedName>
    <definedName name="DelDate">#REF!</definedName>
  </definedNames>
  <calcPr/>
</workbook>
</file>

<file path=xl/sharedStrings.xml><?xml version="1.0" encoding="utf-8"?>
<sst xmlns="http://schemas.openxmlformats.org/spreadsheetml/2006/main" count="73" uniqueCount="48">
  <si>
    <t>Tab names</t>
  </si>
  <si>
    <t>Errors</t>
  </si>
  <si>
    <t>Text length</t>
  </si>
  <si>
    <t>Number values</t>
  </si>
  <si>
    <t>Rows</t>
  </si>
  <si>
    <t>Columns</t>
  </si>
  <si>
    <t>32px</t>
  </si>
  <si>
    <t>All Entries</t>
  </si>
  <si>
    <t>3 Oct/Nov/Dec 2020: 4.4 / 4.4 / 4.4 stars</t>
  </si>
  <si>
    <t>Number of defects that needed fixing during the first 30 days of ownership</t>
  </si>
  <si>
    <t>Vehicles</t>
  </si>
  <si>
    <t>Number of service center and ranger visits during the first 30 days of ownership</t>
  </si>
  <si>
    <t>Number of days Tesla kept the car for repairs during the first 30 days of ownership</t>
  </si>
  <si>
    <t>Production</t>
  </si>
  <si>
    <t>Delivery</t>
  </si>
  <si>
    <t>Excellent</t>
  </si>
  <si>
    <t>Links</t>
  </si>
  <si>
    <t>Very Good</t>
  </si>
  <si>
    <t>Feedback</t>
  </si>
  <si>
    <t>Good</t>
  </si>
  <si>
    <t>How to use</t>
  </si>
  <si>
    <t>Fair</t>
  </si>
  <si>
    <t>Survey</t>
  </si>
  <si>
    <t>Poor</t>
  </si>
  <si>
    <t>3 Oct/Nov/Dec 2020: 4.6 / 4.6 / 4.6 stars</t>
  </si>
  <si>
    <t>Administrative</t>
  </si>
  <si>
    <t>Time zone difference</t>
  </si>
  <si>
    <t>Import file</t>
  </si>
  <si>
    <t>https://docs.google.com/spreadsheets/d/16H__gRsxZ_WpgklwgGm0e7UpDJVpaW2fO0H25C-8IO0/edit</t>
  </si>
  <si>
    <t>3 Oct/Nov/Dec 2020: 4.3 / 4.3 / 4.3 stars</t>
  </si>
  <si>
    <t>Entries part 1</t>
  </si>
  <si>
    <t>Entries4!a3:y3000</t>
  </si>
  <si>
    <t>Entries part 2</t>
  </si>
  <si>
    <t>Entries4!a3001:y</t>
  </si>
  <si>
    <t>Time</t>
  </si>
  <si>
    <t>Entries4!X1</t>
  </si>
  <si>
    <t>Chart Data</t>
  </si>
  <si>
    <t>ChartData2!E1:O</t>
  </si>
  <si>
    <t>VIN Data</t>
  </si>
  <si>
    <t>VINData2!D1:H</t>
  </si>
  <si>
    <t>Entries since</t>
  </si>
  <si>
    <t xml:space="preserve"> rows since 01/19</t>
  </si>
  <si>
    <t>3 Oct/Nov/Dec 2020: 3.3 / 3.3 / 3.3 stars</t>
  </si>
  <si>
    <t>3 Oct/Nov/Dec 2020: 3.9 / 3.9 / 3.9 stars</t>
  </si>
  <si>
    <t>&lt;&lt; Add or edit your data</t>
  </si>
  <si>
    <t>&lt;&lt; How to filter/sort</t>
  </si>
  <si>
    <t>Vehicle condition &amp; delivery experience</t>
  </si>
  <si>
    <t>Ownership experience during the first 30 days</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</si>
</sst>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quot; &quot;mmm"/>
    <numFmt numFmtId="165" formatCode="d&quot; &quot;mmm&quot; &quot;yyyy"/>
    <numFmt numFmtId="166" formatCode="#,##0[$px]"/>
    <numFmt numFmtId="167" formatCode="#,##0[$ defects]"/>
    <numFmt numFmtId="168" formatCode="#,##0[$ vehicles]"/>
    <numFmt numFmtId="169" formatCode="#,##0[$ visits]"/>
    <numFmt numFmtId="170" formatCode="#,##0[$ days]"/>
    <numFmt numFmtId="171" formatCode="m&quot;/&quot;d&quot;/&quot;yyyy&quot; &quot;h&quot;:&quot;mm"/>
    <numFmt numFmtId="172" formatCode="m/d/yyyy h:mm:ss"/>
    <numFmt numFmtId="173" formatCode="#,##0.0"/>
    <numFmt numFmtId="174" formatCode="#,##0.00000"/>
    <numFmt numFmtId="175" formatCode="0.0%"/>
    <numFmt numFmtId="176" formatCode="yyyy&quot;-&quot;mm&quot;-&quot;dd"/>
    <numFmt numFmtId="177" formatCode="yyyy-mm-dd"/>
    <numFmt numFmtId="178" formatCode="m/d/yy"/>
    <numFmt numFmtId="179" formatCode="m/d/yyyy"/>
    <numFmt numFmtId="180" formatCode="&quot;$&quot;#,##0.00"/>
  </numFmts>
  <fonts count="16">
    <font>
      <sz val="10.0"/>
      <color rgb="FF000000"/>
      <name val="Arial"/>
    </font>
    <font/>
    <font>
      <name val="Roboto"/>
    </font>
    <font>
      <name val="Arial"/>
    </font>
    <font>
      <color rgb="FF000000"/>
      <name val="Roboto"/>
    </font>
    <font>
      <u/>
      <color rgb="FF0000FF"/>
      <name val="Roboto"/>
    </font>
    <font>
      <u/>
      <color rgb="FF1155CC"/>
      <name val="Roboto"/>
    </font>
    <font>
      <sz val="11.0"/>
      <color rgb="FF173487"/>
      <name val="Roboto"/>
    </font>
    <font>
      <u/>
      <sz val="11.0"/>
      <color rgb="FF0000FF"/>
      <name val="Roboto"/>
    </font>
    <font>
      <u/>
      <sz val="11.0"/>
      <color rgb="FF173487"/>
      <name val="Roboto"/>
    </font>
    <font>
      <sz val="11.0"/>
      <color rgb="FFFFFFFF"/>
      <name val="Roboto"/>
    </font>
    <font>
      <u/>
      <sz val="11.0"/>
      <color rgb="FF0000FF"/>
      <name val="Roboto"/>
    </font>
    <font>
      <sz val="11.0"/>
      <color rgb="FF1C4587"/>
      <name val="Roboto"/>
    </font>
    <font>
      <u/>
      <sz val="11.0"/>
      <color rgb="FF173487"/>
      <name val="Roboto"/>
    </font>
    <font>
      <u/>
      <sz val="11.0"/>
      <color rgb="FF173487"/>
      <name val="Roboto"/>
    </font>
    <font>
      <u/>
      <color rgb="FF0000FF"/>
    </font>
  </fonts>
  <fills count="16">
    <fill>
      <patternFill patternType="none"/>
    </fill>
    <fill>
      <patternFill patternType="lightGray"/>
    </fill>
    <fill>
      <patternFill patternType="solid">
        <fgColor rgb="FF00FFFF"/>
        <bgColor rgb="FF00FFFF"/>
      </patternFill>
    </fill>
    <fill>
      <patternFill patternType="solid">
        <fgColor rgb="FFCCCCCC"/>
        <bgColor rgb="FFCCCCCC"/>
      </patternFill>
    </fill>
    <fill>
      <patternFill patternType="solid">
        <fgColor rgb="FF62D49C"/>
        <bgColor rgb="FF62D49C"/>
      </patternFill>
    </fill>
    <fill>
      <patternFill patternType="solid">
        <fgColor rgb="FFF6B26B"/>
        <bgColor rgb="FFF6B26B"/>
      </patternFill>
    </fill>
    <fill>
      <patternFill patternType="solid">
        <fgColor rgb="FFFFD966"/>
        <bgColor rgb="FFFFD966"/>
      </patternFill>
    </fill>
    <fill>
      <patternFill patternType="solid">
        <fgColor rgb="FFB4A7D6"/>
        <bgColor rgb="FFB4A7D6"/>
      </patternFill>
    </fill>
    <fill>
      <patternFill patternType="solid">
        <fgColor rgb="FFC9DAF8"/>
        <bgColor rgb="FFC9DAF8"/>
      </patternFill>
    </fill>
    <fill>
      <patternFill patternType="solid">
        <fgColor rgb="FFA2C4C9"/>
        <bgColor rgb="FFA2C4C9"/>
      </patternFill>
    </fill>
    <fill>
      <patternFill patternType="solid">
        <fgColor rgb="FF1CDD8C"/>
        <bgColor rgb="FF1CDD8C"/>
      </patternFill>
    </fill>
    <fill>
      <patternFill patternType="solid">
        <fgColor rgb="FFFFE599"/>
        <bgColor rgb="FFFFE599"/>
      </patternFill>
    </fill>
    <fill>
      <patternFill patternType="solid">
        <fgColor rgb="FF3C78D8"/>
        <bgColor rgb="FF3C78D8"/>
      </patternFill>
    </fill>
    <fill>
      <patternFill patternType="solid">
        <fgColor rgb="FF22A387"/>
        <bgColor rgb="FF22A387"/>
      </patternFill>
    </fill>
    <fill>
      <patternFill patternType="solid">
        <fgColor rgb="FFEAD1DC"/>
        <bgColor rgb="FFEAD1DC"/>
      </patternFill>
    </fill>
    <fill>
      <patternFill patternType="solid">
        <fgColor rgb="FF1C4587"/>
        <bgColor rgb="FF1C4587"/>
      </patternFill>
    </fill>
  </fills>
  <borders count="15">
    <border/>
    <border>
      <left style="thin">
        <color rgb="FF000000"/>
      </left>
      <top style="thin">
        <color rgb="FF000000"/>
      </top>
    </border>
    <border>
      <top style="thin">
        <color rgb="FF000000"/>
      </top>
    </border>
    <border>
      <left style="thin">
        <color rgb="FF000000"/>
      </left>
    </border>
    <border>
      <left style="thin">
        <color rgb="FF466392"/>
      </left>
      <right style="thin">
        <color rgb="FF466392"/>
      </right>
    </border>
    <border>
      <left style="thin">
        <color rgb="FF466392"/>
      </left>
    </border>
    <border>
      <right style="thin">
        <color rgb="FF327C6C"/>
      </right>
    </border>
    <border>
      <left style="thin">
        <color rgb="FF327C6C"/>
      </left>
      <right style="thin">
        <color rgb="FF327C6C"/>
      </right>
    </border>
    <border>
      <left style="thin">
        <color rgb="FF327C6C"/>
      </left>
    </border>
    <border>
      <right style="thin">
        <color rgb="FF2C3C57"/>
      </right>
    </border>
    <border>
      <left style="thin">
        <color rgb="FF2C3C57"/>
      </left>
      <right style="thin">
        <color rgb="FF2C3C57"/>
      </right>
    </border>
    <border>
      <left style="thin">
        <color rgb="FF2C3C57"/>
      </left>
    </border>
    <border>
      <right style="thin">
        <color rgb="FFD6DEEC"/>
      </right>
    </border>
    <border>
      <left style="thin">
        <color rgb="FFD6DEEC"/>
      </left>
      <right style="thin">
        <color rgb="FFD6DEEC"/>
      </right>
    </border>
    <border>
      <left style="thin">
        <color rgb="FFD6DEEC"/>
      </left>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1" numFmtId="164" xfId="0" applyFont="1" applyNumberFormat="1"/>
    <xf borderId="0" fillId="0" fontId="1" numFmtId="3" xfId="0" applyFont="1" applyNumberFormat="1"/>
    <xf borderId="0" fillId="0" fontId="1" numFmtId="165" xfId="0" applyFont="1" applyNumberFormat="1"/>
    <xf borderId="0" fillId="0" fontId="1" numFmtId="165" xfId="0" applyFont="1" applyNumberFormat="1"/>
    <xf borderId="0" fillId="2" fontId="1" numFmtId="165" xfId="0" applyFont="1" applyNumberFormat="1"/>
    <xf borderId="1" fillId="0" fontId="2" numFmtId="0" xfId="0" applyAlignment="1" applyBorder="1" applyFont="1">
      <alignment readingOrder="0" shrinkToFit="0" vertical="bottom" wrapText="0"/>
    </xf>
    <xf borderId="2" fillId="0" fontId="2" numFmtId="0" xfId="0" applyAlignment="1" applyBorder="1" applyFont="1">
      <alignment horizontal="right" vertical="bottom"/>
    </xf>
    <xf borderId="0" fillId="0" fontId="2" numFmtId="0" xfId="0" applyAlignment="1" applyFont="1">
      <alignment horizontal="right" vertical="bottom"/>
    </xf>
    <xf borderId="0" fillId="0" fontId="3" numFmtId="166" xfId="0" applyAlignment="1" applyFont="1" applyNumberFormat="1">
      <alignment vertical="bottom"/>
    </xf>
    <xf borderId="0" fillId="3" fontId="2" numFmtId="166" xfId="0" applyAlignment="1" applyFill="1" applyFont="1" applyNumberFormat="1">
      <alignment horizontal="right" shrinkToFit="0" vertical="bottom" wrapText="0"/>
    </xf>
    <xf borderId="3" fillId="4" fontId="4" numFmtId="0" xfId="0" applyAlignment="1" applyBorder="1" applyFill="1" applyFont="1">
      <alignment readingOrder="0" vertical="bottom"/>
    </xf>
    <xf borderId="0" fillId="5" fontId="2" numFmtId="0" xfId="0" applyAlignment="1" applyFill="1" applyFont="1">
      <alignment horizontal="right" vertical="bottom"/>
    </xf>
    <xf borderId="0" fillId="6" fontId="2" numFmtId="0" xfId="0" applyAlignment="1" applyFill="1" applyFont="1">
      <alignment horizontal="right" vertical="bottom"/>
    </xf>
    <xf borderId="0" fillId="0" fontId="3" numFmtId="0" xfId="0" applyAlignment="1" applyFont="1">
      <alignment vertical="bottom"/>
    </xf>
    <xf borderId="0" fillId="7" fontId="2" numFmtId="0" xfId="0" applyAlignment="1" applyFill="1" applyFont="1">
      <alignment horizontal="right" readingOrder="0" shrinkToFit="0" vertical="bottom" wrapText="0"/>
    </xf>
    <xf borderId="0" fillId="7" fontId="2" numFmtId="0" xfId="0" applyAlignment="1" applyFont="1">
      <alignment readingOrder="0" shrinkToFit="0" vertical="bottom" wrapText="0"/>
    </xf>
    <xf borderId="0" fillId="7" fontId="3" numFmtId="0" xfId="0" applyAlignment="1" applyFont="1">
      <alignment vertical="bottom"/>
    </xf>
    <xf borderId="0" fillId="8" fontId="2" numFmtId="0" xfId="0" applyAlignment="1" applyFill="1" applyFont="1">
      <alignment readingOrder="0" shrinkToFit="0" vertical="bottom" wrapText="0"/>
    </xf>
    <xf borderId="0" fillId="9" fontId="3" numFmtId="0" xfId="0" applyAlignment="1" applyFill="1" applyFont="1">
      <alignment vertical="bottom"/>
    </xf>
    <xf borderId="0" fillId="9" fontId="2" numFmtId="0" xfId="0" applyAlignment="1" applyFont="1">
      <alignment readingOrder="0" shrinkToFit="0" vertical="bottom" wrapText="0"/>
    </xf>
    <xf borderId="0" fillId="9" fontId="3" numFmtId="0" xfId="0" applyAlignment="1" applyFont="1">
      <alignment readingOrder="0" vertical="bottom"/>
    </xf>
    <xf borderId="0" fillId="0" fontId="3" numFmtId="0" xfId="0" applyAlignment="1" applyFont="1">
      <alignment readingOrder="0" vertical="bottom"/>
    </xf>
    <xf borderId="3" fillId="4" fontId="2" numFmtId="0" xfId="0" applyAlignment="1" applyBorder="1" applyFont="1">
      <alignment readingOrder="0" shrinkToFit="0" vertical="bottom" wrapText="0"/>
    </xf>
    <xf borderId="0" fillId="8" fontId="2" numFmtId="167" xfId="0" applyAlignment="1" applyFont="1" applyNumberFormat="1">
      <alignment horizontal="right" readingOrder="0" shrinkToFit="0" vertical="bottom" wrapText="0"/>
    </xf>
    <xf borderId="0" fillId="8" fontId="2" numFmtId="168" xfId="0" applyAlignment="1" applyFont="1" applyNumberFormat="1">
      <alignment horizontal="right" readingOrder="0" shrinkToFit="0" vertical="bottom" wrapText="0"/>
    </xf>
    <xf borderId="0" fillId="8" fontId="2" numFmtId="169" xfId="0" applyAlignment="1" applyFont="1" applyNumberFormat="1">
      <alignment horizontal="right" readingOrder="0" shrinkToFit="0" vertical="bottom" wrapText="0"/>
    </xf>
    <xf borderId="0" fillId="8" fontId="2" numFmtId="170" xfId="0" applyAlignment="1" applyFont="1" applyNumberFormat="1">
      <alignment horizontal="right" readingOrder="0" shrinkToFit="0" vertical="bottom" wrapText="0"/>
    </xf>
    <xf borderId="0" fillId="9" fontId="3" numFmtId="168" xfId="0" applyAlignment="1" applyFont="1" applyNumberFormat="1">
      <alignment vertical="bottom"/>
    </xf>
    <xf borderId="0" fillId="9" fontId="2" numFmtId="168" xfId="0" applyAlignment="1" applyFont="1" applyNumberFormat="1">
      <alignment readingOrder="0" shrinkToFit="0" vertical="bottom" wrapText="0"/>
    </xf>
    <xf borderId="0" fillId="9" fontId="3" numFmtId="168" xfId="0" applyAlignment="1" applyFont="1" applyNumberFormat="1">
      <alignment readingOrder="0" vertical="bottom"/>
    </xf>
    <xf borderId="0" fillId="0" fontId="3" numFmtId="3" xfId="0" applyAlignment="1" applyFont="1" applyNumberFormat="1">
      <alignment vertical="bottom"/>
    </xf>
    <xf borderId="0" fillId="8" fontId="2" numFmtId="0" xfId="0" applyAlignment="1" applyFont="1">
      <alignment shrinkToFit="0" vertical="bottom" wrapText="0"/>
    </xf>
    <xf borderId="0" fillId="8" fontId="3" numFmtId="0" xfId="0" applyAlignment="1" applyFont="1">
      <alignment vertical="bottom"/>
    </xf>
    <xf borderId="0" fillId="9" fontId="2" numFmtId="0" xfId="0" applyAlignment="1" applyFont="1">
      <alignment horizontal="right" readingOrder="0" shrinkToFit="0" vertical="bottom" wrapText="0"/>
    </xf>
    <xf borderId="0" fillId="8" fontId="3" numFmtId="0" xfId="0" applyAlignment="1" applyFont="1">
      <alignment readingOrder="0" vertical="bottom"/>
    </xf>
    <xf borderId="3" fillId="4" fontId="4" numFmtId="0" xfId="0" applyAlignment="1" applyBorder="1" applyFont="1">
      <alignment vertical="bottom"/>
    </xf>
    <xf borderId="0" fillId="5" fontId="2" numFmtId="0" xfId="0" applyAlignment="1" applyFont="1">
      <alignment horizontal="right" vertical="bottom"/>
    </xf>
    <xf borderId="0" fillId="4" fontId="2" numFmtId="0" xfId="0" applyAlignment="1" applyFont="1">
      <alignment readingOrder="0" vertical="bottom"/>
    </xf>
    <xf borderId="0" fillId="6" fontId="2" numFmtId="171" xfId="0" applyAlignment="1" applyFont="1" applyNumberFormat="1">
      <alignment horizontal="right" vertical="bottom"/>
    </xf>
    <xf borderId="0" fillId="0" fontId="2" numFmtId="0" xfId="0" applyAlignment="1" applyFont="1">
      <alignment vertical="bottom"/>
    </xf>
    <xf borderId="0" fillId="0" fontId="2" numFmtId="0" xfId="0" applyAlignment="1" applyFont="1">
      <alignment horizontal="right" vertical="bottom"/>
    </xf>
    <xf borderId="0" fillId="0" fontId="2" numFmtId="172" xfId="0" applyAlignment="1" applyFont="1" applyNumberFormat="1">
      <alignment horizontal="right" vertical="bottom"/>
    </xf>
    <xf borderId="0" fillId="0" fontId="2" numFmtId="0" xfId="0" applyAlignment="1" applyFont="1">
      <alignment vertical="bottom"/>
    </xf>
    <xf borderId="0" fillId="0" fontId="3" numFmtId="9" xfId="0" applyAlignment="1" applyFont="1" applyNumberFormat="1">
      <alignment vertical="bottom"/>
    </xf>
    <xf borderId="0" fillId="7" fontId="2" numFmtId="0" xfId="0" applyAlignment="1" applyFont="1">
      <alignment horizontal="right" readingOrder="0" shrinkToFit="0" vertical="bottom" wrapText="0"/>
    </xf>
    <xf borderId="0" fillId="8" fontId="3" numFmtId="0" xfId="0" applyAlignment="1" applyFont="1">
      <alignment vertical="bottom"/>
    </xf>
    <xf borderId="0" fillId="8" fontId="3" numFmtId="0" xfId="0" applyAlignment="1" applyFont="1">
      <alignment readingOrder="0" vertical="bottom"/>
    </xf>
    <xf borderId="0" fillId="9" fontId="3" numFmtId="0" xfId="0" applyAlignment="1" applyFont="1">
      <alignment readingOrder="0" vertical="bottom"/>
    </xf>
    <xf borderId="0" fillId="7" fontId="3" numFmtId="0" xfId="0" applyAlignment="1" applyFont="1">
      <alignment vertical="bottom"/>
    </xf>
    <xf borderId="0" fillId="9" fontId="3" numFmtId="0" xfId="0" applyAlignment="1" applyFont="1">
      <alignment vertical="bottom"/>
    </xf>
    <xf borderId="0" fillId="7" fontId="3" numFmtId="9" xfId="0" applyAlignment="1" applyFont="1" applyNumberFormat="1">
      <alignment vertical="bottom"/>
    </xf>
    <xf borderId="0" fillId="8" fontId="3" numFmtId="9" xfId="0" applyAlignment="1" applyFont="1" applyNumberFormat="1">
      <alignment vertical="bottom"/>
    </xf>
    <xf borderId="0" fillId="9" fontId="3" numFmtId="9" xfId="0" applyAlignment="1" applyFont="1" applyNumberFormat="1">
      <alignment vertical="bottom"/>
    </xf>
    <xf borderId="0" fillId="0" fontId="3" numFmtId="173" xfId="0" applyAlignment="1" applyFont="1" applyNumberFormat="1">
      <alignment vertical="bottom"/>
    </xf>
    <xf borderId="0" fillId="7" fontId="3" numFmtId="3" xfId="0" applyAlignment="1" applyFont="1" applyNumberFormat="1">
      <alignment vertical="bottom"/>
    </xf>
    <xf borderId="0" fillId="8" fontId="3" numFmtId="3" xfId="0" applyAlignment="1" applyFont="1" applyNumberFormat="1">
      <alignment vertical="bottom"/>
    </xf>
    <xf borderId="0" fillId="9" fontId="3" numFmtId="3" xfId="0" applyAlignment="1" applyFont="1" applyNumberFormat="1">
      <alignment vertical="bottom"/>
    </xf>
    <xf borderId="0" fillId="9" fontId="2" numFmtId="3" xfId="0" applyAlignment="1" applyFont="1" applyNumberFormat="1">
      <alignment readingOrder="0" shrinkToFit="0" vertical="bottom" wrapText="0"/>
    </xf>
    <xf borderId="0" fillId="9" fontId="2" numFmtId="3" xfId="0" applyAlignment="1" applyFont="1" applyNumberFormat="1">
      <alignment horizontal="right" readingOrder="0" shrinkToFit="0" vertical="bottom" wrapText="0"/>
    </xf>
    <xf borderId="0" fillId="10" fontId="2" numFmtId="0" xfId="0" applyAlignment="1" applyFill="1" applyFont="1">
      <alignment readingOrder="0" shrinkToFit="0" vertical="bottom" wrapText="0"/>
    </xf>
    <xf borderId="0" fillId="10" fontId="5" numFmtId="0" xfId="0" applyAlignment="1" applyFont="1">
      <alignment readingOrder="0" shrinkToFit="0" vertical="bottom" wrapText="0"/>
    </xf>
    <xf borderId="0" fillId="0" fontId="3" numFmtId="0" xfId="0" applyAlignment="1" applyFont="1">
      <alignment vertical="bottom"/>
    </xf>
    <xf borderId="0" fillId="9" fontId="2" numFmtId="0" xfId="0" applyAlignment="1" applyFont="1">
      <alignment horizontal="right" readingOrder="0" shrinkToFit="0" vertical="bottom" wrapText="0"/>
    </xf>
    <xf borderId="0" fillId="0" fontId="3" numFmtId="174" xfId="0" applyAlignment="1" applyFont="1" applyNumberFormat="1">
      <alignment vertical="bottom"/>
    </xf>
    <xf borderId="0" fillId="10" fontId="2" numFmtId="0" xfId="0" applyAlignment="1" applyFont="1">
      <alignment readingOrder="0" vertical="bottom"/>
    </xf>
    <xf borderId="0" fillId="10" fontId="2" numFmtId="0" xfId="0" applyAlignment="1" applyFont="1">
      <alignment vertical="bottom"/>
    </xf>
    <xf borderId="0" fillId="10" fontId="6" numFmtId="0" xfId="0" applyAlignment="1" applyFont="1">
      <alignment readingOrder="0" shrinkToFit="0" vertical="bottom" wrapText="0"/>
    </xf>
    <xf borderId="0" fillId="0" fontId="2" numFmtId="0" xfId="0" applyFont="1"/>
    <xf borderId="0" fillId="0" fontId="2" numFmtId="0" xfId="0" applyFont="1"/>
    <xf borderId="0" fillId="0" fontId="2" numFmtId="0" xfId="0" applyAlignment="1" applyFont="1">
      <alignment readingOrder="0" vertical="bottom"/>
    </xf>
    <xf borderId="0" fillId="0" fontId="7" numFmtId="49" xfId="0" applyAlignment="1" applyFont="1" applyNumberFormat="1">
      <alignment horizontal="left" shrinkToFit="0" vertical="center" wrapText="0"/>
    </xf>
    <xf borderId="0" fillId="0" fontId="8" numFmtId="0" xfId="0" applyAlignment="1" applyFont="1">
      <alignment horizontal="right" shrinkToFit="0" vertical="center" wrapText="0"/>
    </xf>
    <xf borderId="0" fillId="11" fontId="7" numFmtId="0" xfId="0" applyAlignment="1" applyFill="1" applyFont="1">
      <alignment readingOrder="0" vertical="center"/>
    </xf>
    <xf borderId="0" fillId="11" fontId="9" numFmtId="0" xfId="0" applyAlignment="1" applyFont="1">
      <alignment horizontal="left" shrinkToFit="0" vertical="center" wrapText="0"/>
    </xf>
    <xf borderId="0" fillId="0" fontId="7" numFmtId="165" xfId="0" applyAlignment="1" applyFont="1" applyNumberFormat="1">
      <alignment horizontal="right" vertical="center"/>
    </xf>
    <xf borderId="4" fillId="12" fontId="10" numFmtId="175" xfId="0" applyAlignment="1" applyBorder="1" applyFill="1" applyFont="1" applyNumberFormat="1">
      <alignment horizontal="center" shrinkToFit="0" vertical="center" wrapText="0"/>
    </xf>
    <xf borderId="5" fillId="12" fontId="10" numFmtId="175" xfId="0" applyAlignment="1" applyBorder="1" applyFont="1" applyNumberFormat="1">
      <alignment horizontal="center" shrinkToFit="0" vertical="center" wrapText="0"/>
    </xf>
    <xf borderId="6" fillId="13" fontId="10" numFmtId="170" xfId="0" applyAlignment="1" applyBorder="1" applyFill="1" applyFont="1" applyNumberFormat="1">
      <alignment horizontal="center" vertical="center"/>
    </xf>
    <xf borderId="7" fillId="13" fontId="10" numFmtId="170" xfId="0" applyAlignment="1" applyBorder="1" applyFont="1" applyNumberFormat="1">
      <alignment horizontal="center" vertical="center"/>
    </xf>
    <xf borderId="8" fillId="13" fontId="10" numFmtId="170" xfId="0" applyAlignment="1" applyBorder="1" applyFont="1" applyNumberFormat="1">
      <alignment horizontal="center" vertical="center"/>
    </xf>
    <xf borderId="0" fillId="0" fontId="11" numFmtId="0" xfId="0" applyAlignment="1" applyFont="1">
      <alignment horizontal="right" vertical="center"/>
    </xf>
    <xf borderId="0" fillId="11" fontId="7" numFmtId="0" xfId="0" applyAlignment="1" applyFont="1">
      <alignment vertical="center"/>
    </xf>
    <xf borderId="0" fillId="0" fontId="7" numFmtId="0" xfId="0" applyAlignment="1" applyFont="1">
      <alignment horizontal="left" vertical="center"/>
    </xf>
    <xf borderId="0" fillId="0" fontId="7" numFmtId="0" xfId="0" applyAlignment="1" applyFont="1">
      <alignment horizontal="left" shrinkToFit="0" vertical="center" wrapText="0"/>
    </xf>
    <xf borderId="0" fillId="8" fontId="12" numFmtId="0" xfId="0" applyAlignment="1" applyFont="1">
      <alignment readingOrder="0" vertical="center"/>
    </xf>
    <xf borderId="0" fillId="8" fontId="12" numFmtId="0" xfId="0" applyAlignment="1" applyFont="1">
      <alignment horizontal="center" readingOrder="0" vertical="center"/>
    </xf>
    <xf borderId="0" fillId="8" fontId="12" numFmtId="0" xfId="0" applyAlignment="1" applyFont="1">
      <alignment horizontal="right" readingOrder="0" vertical="center"/>
    </xf>
    <xf borderId="0" fillId="14" fontId="12" numFmtId="0" xfId="0" applyAlignment="1" applyFill="1" applyFont="1">
      <alignment readingOrder="0" vertical="center"/>
    </xf>
    <xf borderId="0" fillId="14" fontId="12" numFmtId="0" xfId="0" applyAlignment="1" applyFont="1">
      <alignment horizontal="left" readingOrder="0" vertical="center"/>
    </xf>
    <xf borderId="0" fillId="14" fontId="12" numFmtId="0" xfId="0" applyAlignment="1" applyFont="1">
      <alignment horizontal="right" readingOrder="0" vertical="center"/>
    </xf>
    <xf borderId="0" fillId="14" fontId="12" numFmtId="0" xfId="0" applyAlignment="1" applyFont="1">
      <alignment shrinkToFit="0" vertical="center" wrapText="0"/>
    </xf>
    <xf borderId="0" fillId="0" fontId="7" numFmtId="165" xfId="0" applyAlignment="1" applyFont="1" applyNumberFormat="1">
      <alignment vertical="center"/>
    </xf>
    <xf borderId="0" fillId="15" fontId="7" numFmtId="49" xfId="0" applyAlignment="1" applyFill="1" applyFont="1" applyNumberFormat="1">
      <alignment horizontal="left" readingOrder="0" shrinkToFit="0" vertical="center" wrapText="0"/>
    </xf>
    <xf borderId="0" fillId="15" fontId="7" numFmtId="0" xfId="0" applyAlignment="1" applyFont="1">
      <alignment horizontal="left" shrinkToFit="0" vertical="center" wrapText="1"/>
    </xf>
    <xf borderId="0" fillId="15" fontId="7" numFmtId="0" xfId="0" applyAlignment="1" applyFont="1">
      <alignment horizontal="left" readingOrder="0" shrinkToFit="0" vertical="center" wrapText="1"/>
    </xf>
    <xf borderId="0" fillId="15" fontId="7" numFmtId="0" xfId="0" applyAlignment="1" applyFont="1">
      <alignment horizontal="left" readingOrder="0" shrinkToFit="0" vertical="center" wrapText="0"/>
    </xf>
    <xf borderId="0" fillId="15" fontId="7" numFmtId="165" xfId="0" applyAlignment="1" applyFont="1" applyNumberFormat="1">
      <alignment horizontal="right" vertical="center"/>
    </xf>
    <xf borderId="0" fillId="15" fontId="7" numFmtId="165" xfId="0" applyAlignment="1" applyFont="1" applyNumberFormat="1">
      <alignment horizontal="right" vertical="center"/>
    </xf>
    <xf borderId="0" fillId="15" fontId="7" numFmtId="165" xfId="0" applyAlignment="1" applyFont="1" applyNumberFormat="1">
      <alignment horizontal="left" shrinkToFit="0" vertical="center" wrapText="0"/>
    </xf>
    <xf borderId="0" fillId="15" fontId="7" numFmtId="3" xfId="0" applyAlignment="1" applyFont="1" applyNumberFormat="1">
      <alignment horizontal="center" vertical="center"/>
    </xf>
    <xf borderId="0" fillId="15" fontId="7" numFmtId="0" xfId="0" applyAlignment="1" applyFont="1">
      <alignment horizontal="center" shrinkToFit="0" vertical="center" wrapText="1"/>
    </xf>
    <xf borderId="0" fillId="15" fontId="7" numFmtId="170" xfId="0" applyAlignment="1" applyFont="1" applyNumberFormat="1">
      <alignment horizontal="center" readingOrder="0" shrinkToFit="0" vertical="center" wrapText="1"/>
    </xf>
    <xf borderId="0" fillId="15" fontId="7" numFmtId="165" xfId="0" applyAlignment="1" applyFont="1" applyNumberFormat="1">
      <alignment horizontal="left" vertical="center"/>
    </xf>
    <xf borderId="0" fillId="15" fontId="7" numFmtId="3" xfId="0" applyAlignment="1" applyFont="1" applyNumberFormat="1">
      <alignment horizontal="left" readingOrder="0" shrinkToFit="0" vertical="center" wrapText="1"/>
    </xf>
    <xf borderId="0" fillId="15" fontId="7" numFmtId="165" xfId="0" applyAlignment="1" applyFont="1" applyNumberFormat="1">
      <alignment horizontal="left" readingOrder="0" shrinkToFit="0" vertical="center" wrapText="1"/>
    </xf>
    <xf borderId="0" fillId="15" fontId="7" numFmtId="0" xfId="0" applyAlignment="1" applyFont="1">
      <alignment horizontal="left" shrinkToFit="0" vertical="center" wrapText="1"/>
    </xf>
    <xf borderId="0" fillId="15" fontId="7" numFmtId="0" xfId="0" applyAlignment="1" applyFont="1">
      <alignment horizontal="left" shrinkToFit="0" vertical="center" wrapText="0"/>
    </xf>
    <xf borderId="0" fillId="15" fontId="7" numFmtId="170" xfId="0" applyAlignment="1" applyFont="1" applyNumberFormat="1">
      <alignment horizontal="right" readingOrder="0" shrinkToFit="0" vertical="center" wrapText="1"/>
    </xf>
    <xf borderId="0" fillId="15" fontId="7" numFmtId="0" xfId="0" applyAlignment="1" applyFont="1">
      <alignment horizontal="right" readingOrder="0" shrinkToFit="0" vertical="center" wrapText="1"/>
    </xf>
    <xf borderId="0" fillId="15" fontId="7" numFmtId="0" xfId="0" applyAlignment="1" applyFont="1">
      <alignment horizontal="right" readingOrder="0" shrinkToFit="0" vertical="center" wrapText="0"/>
    </xf>
    <xf borderId="0" fillId="15" fontId="7" numFmtId="165" xfId="0" applyAlignment="1" applyFont="1" applyNumberFormat="1">
      <alignment horizontal="right" readingOrder="0" shrinkToFit="0" vertical="center" wrapText="1"/>
    </xf>
    <xf borderId="9" fillId="15" fontId="10" numFmtId="49" xfId="0" applyAlignment="1" applyBorder="1" applyFont="1" applyNumberFormat="1">
      <alignment horizontal="left" readingOrder="0" shrinkToFit="0" vertical="top" wrapText="1"/>
    </xf>
    <xf borderId="10" fillId="15" fontId="10" numFmtId="0" xfId="0" applyAlignment="1" applyBorder="1" applyFont="1">
      <alignment horizontal="left" readingOrder="0" shrinkToFit="0" vertical="top" wrapText="1"/>
    </xf>
    <xf borderId="10" fillId="15" fontId="10" numFmtId="0" xfId="0" applyAlignment="1" applyBorder="1" applyFont="1">
      <alignment horizontal="right" readingOrder="0" shrinkToFit="0" vertical="top" wrapText="1"/>
    </xf>
    <xf borderId="10" fillId="15" fontId="10" numFmtId="0" xfId="0" applyAlignment="1" applyBorder="1" applyFont="1">
      <alignment horizontal="left" readingOrder="0" shrinkToFit="0" vertical="top" wrapText="0"/>
    </xf>
    <xf borderId="10" fillId="15" fontId="10" numFmtId="3" xfId="0" applyAlignment="1" applyBorder="1" applyFont="1" applyNumberFormat="1">
      <alignment horizontal="center" readingOrder="0" shrinkToFit="0" vertical="top" wrapText="1"/>
    </xf>
    <xf borderId="10" fillId="15" fontId="10" numFmtId="0" xfId="0" applyAlignment="1" applyBorder="1" applyFont="1">
      <alignment horizontal="center" readingOrder="0" shrinkToFit="0" vertical="top" wrapText="1"/>
    </xf>
    <xf borderId="10" fillId="15" fontId="10" numFmtId="170" xfId="0" applyAlignment="1" applyBorder="1" applyFont="1" applyNumberFormat="1">
      <alignment horizontal="center" readingOrder="0" shrinkToFit="0" vertical="top" wrapText="1"/>
    </xf>
    <xf borderId="10" fillId="15" fontId="10" numFmtId="3" xfId="0" applyAlignment="1" applyBorder="1" applyFont="1" applyNumberFormat="1">
      <alignment horizontal="left" readingOrder="0" shrinkToFit="0" vertical="top" wrapText="1"/>
    </xf>
    <xf borderId="10" fillId="15" fontId="10" numFmtId="170" xfId="0" applyAlignment="1" applyBorder="1" applyFont="1" applyNumberFormat="1">
      <alignment horizontal="left" readingOrder="0" shrinkToFit="0" vertical="top" wrapText="1"/>
    </xf>
    <xf borderId="10" fillId="15" fontId="10" numFmtId="170" xfId="0" applyAlignment="1" applyBorder="1" applyFont="1" applyNumberFormat="1">
      <alignment horizontal="right" readingOrder="0" shrinkToFit="0" vertical="top" wrapText="1"/>
    </xf>
    <xf borderId="11" fillId="15" fontId="10" numFmtId="170" xfId="0" applyAlignment="1" applyBorder="1" applyFont="1" applyNumberFormat="1">
      <alignment horizontal="right" readingOrder="0" shrinkToFit="0" vertical="top" wrapText="1"/>
    </xf>
    <xf borderId="12" fillId="0" fontId="7" numFmtId="49" xfId="0" applyAlignment="1" applyBorder="1" applyFont="1" applyNumberFormat="1">
      <alignment horizontal="left" readingOrder="0" vertical="center"/>
    </xf>
    <xf borderId="13" fillId="0" fontId="7" numFmtId="0" xfId="0" applyAlignment="1" applyBorder="1" applyFont="1">
      <alignment readingOrder="0" vertical="center"/>
    </xf>
    <xf borderId="13" fillId="0" fontId="7" numFmtId="0" xfId="0" applyAlignment="1" applyBorder="1" applyFont="1">
      <alignment horizontal="left" readingOrder="0" vertical="center"/>
    </xf>
    <xf borderId="13" fillId="0" fontId="7" numFmtId="165" xfId="0" applyAlignment="1" applyBorder="1" applyFont="1" applyNumberFormat="1">
      <alignment horizontal="right" readingOrder="0" vertical="center"/>
    </xf>
    <xf borderId="13" fillId="0" fontId="7" numFmtId="165" xfId="0" applyAlignment="1" applyBorder="1" applyFont="1" applyNumberFormat="1">
      <alignment horizontal="right" vertical="center"/>
    </xf>
    <xf borderId="13" fillId="0" fontId="7" numFmtId="165" xfId="0" applyAlignment="1" applyBorder="1" applyFont="1" applyNumberFormat="1">
      <alignment horizontal="left" shrinkToFit="0" vertical="center" wrapText="0"/>
    </xf>
    <xf borderId="13" fillId="0" fontId="7" numFmtId="3" xfId="0" applyAlignment="1" applyBorder="1" applyFont="1" applyNumberFormat="1">
      <alignment horizontal="center" vertical="center"/>
    </xf>
    <xf borderId="13" fillId="0" fontId="7" numFmtId="0" xfId="0" applyAlignment="1" applyBorder="1" applyFont="1">
      <alignment horizontal="center" vertical="center"/>
    </xf>
    <xf borderId="13" fillId="0" fontId="7" numFmtId="170" xfId="0" applyAlignment="1" applyBorder="1" applyFont="1" applyNumberFormat="1">
      <alignment horizontal="center" vertical="center"/>
    </xf>
    <xf borderId="13" fillId="0" fontId="7" numFmtId="3" xfId="0" applyAlignment="1" applyBorder="1" applyFont="1" applyNumberFormat="1">
      <alignment horizontal="left" readingOrder="0" vertical="center"/>
    </xf>
    <xf borderId="13" fillId="0" fontId="7" numFmtId="0" xfId="0" applyAlignment="1" applyBorder="1" applyFont="1">
      <alignment horizontal="left" readingOrder="0" shrinkToFit="0" vertical="center" wrapText="0"/>
    </xf>
    <xf borderId="13" fillId="0" fontId="7" numFmtId="0" xfId="0" applyAlignment="1" applyBorder="1" applyFont="1">
      <alignment horizontal="left" shrinkToFit="0" vertical="center" wrapText="0"/>
    </xf>
    <xf borderId="13" fillId="0" fontId="7" numFmtId="0" xfId="0" applyAlignment="1" applyBorder="1" applyFont="1">
      <alignment vertical="center"/>
    </xf>
    <xf borderId="13" fillId="0" fontId="7" numFmtId="170" xfId="0" applyAlignment="1" applyBorder="1" applyFont="1" applyNumberFormat="1">
      <alignment vertical="center"/>
    </xf>
    <xf borderId="13" fillId="0" fontId="7" numFmtId="3" xfId="0" applyAlignment="1" applyBorder="1" applyFont="1" applyNumberFormat="1">
      <alignment vertical="center"/>
    </xf>
    <xf borderId="13" fillId="0" fontId="7" numFmtId="170" xfId="0" applyAlignment="1" applyBorder="1" applyFont="1" applyNumberFormat="1">
      <alignment shrinkToFit="0" vertical="center" wrapText="0"/>
    </xf>
    <xf borderId="13" fillId="0" fontId="7" numFmtId="165" xfId="0" applyAlignment="1" applyBorder="1" applyFont="1" applyNumberFormat="1">
      <alignment readingOrder="0" vertical="center"/>
    </xf>
    <xf borderId="14" fillId="0" fontId="7" numFmtId="170" xfId="0" applyAlignment="1" applyBorder="1" applyFont="1" applyNumberFormat="1">
      <alignment vertical="center"/>
    </xf>
    <xf borderId="13" fillId="0" fontId="7" numFmtId="0" xfId="0" applyAlignment="1" applyBorder="1" applyFont="1">
      <alignment horizontal="left" readingOrder="0" shrinkToFit="0" vertical="center" wrapText="0"/>
    </xf>
    <xf borderId="13" fillId="0" fontId="7" numFmtId="0" xfId="0" applyAlignment="1" applyBorder="1" applyFont="1">
      <alignment horizontal="center" vertical="center"/>
    </xf>
    <xf borderId="13" fillId="0" fontId="7" numFmtId="0" xfId="0" applyAlignment="1" applyBorder="1" applyFont="1">
      <alignment horizontal="left" shrinkToFit="0" vertical="center" wrapText="0"/>
    </xf>
    <xf borderId="13" fillId="0" fontId="7" numFmtId="165" xfId="0" applyAlignment="1" applyBorder="1" applyFont="1" applyNumberFormat="1">
      <alignment horizontal="right" readingOrder="0" vertical="center"/>
    </xf>
    <xf borderId="13" fillId="0" fontId="7" numFmtId="3" xfId="0" applyAlignment="1" applyBorder="1" applyFont="1" applyNumberFormat="1">
      <alignment horizontal="center" readingOrder="0" vertical="center"/>
    </xf>
    <xf borderId="13" fillId="0" fontId="7" numFmtId="170" xfId="0" applyAlignment="1" applyBorder="1" applyFont="1" applyNumberFormat="1">
      <alignment horizontal="center" readingOrder="0" vertical="center"/>
    </xf>
    <xf borderId="13" fillId="0" fontId="7" numFmtId="0" xfId="0" applyAlignment="1" applyBorder="1" applyFont="1">
      <alignment horizontal="left" vertical="center"/>
    </xf>
    <xf borderId="13" fillId="0" fontId="7" numFmtId="0" xfId="0" applyAlignment="1" applyBorder="1" applyFont="1">
      <alignment horizontal="left" vertical="center"/>
    </xf>
    <xf borderId="13" fillId="0" fontId="7" numFmtId="1" xfId="0" applyAlignment="1" applyBorder="1" applyFont="1" applyNumberFormat="1">
      <alignment vertical="center"/>
    </xf>
    <xf borderId="13" fillId="0" fontId="7" numFmtId="165" xfId="0" applyAlignment="1" applyBorder="1" applyFont="1" applyNumberFormat="1">
      <alignment horizontal="left" vertical="center"/>
    </xf>
    <xf borderId="13" fillId="0" fontId="7" numFmtId="3" xfId="0" applyAlignment="1" applyBorder="1" applyFont="1" applyNumberFormat="1">
      <alignment horizontal="left" vertical="center"/>
    </xf>
    <xf borderId="13" fillId="0" fontId="7" numFmtId="165" xfId="0" applyAlignment="1" applyBorder="1" applyFont="1" applyNumberFormat="1">
      <alignment horizontal="left" shrinkToFit="0" vertical="center" wrapText="0"/>
    </xf>
    <xf borderId="12" fillId="0" fontId="7" numFmtId="49" xfId="0" applyAlignment="1" applyBorder="1" applyFont="1" applyNumberFormat="1">
      <alignment horizontal="left" vertical="center"/>
    </xf>
    <xf borderId="13" fillId="0" fontId="7" numFmtId="165" xfId="0" applyAlignment="1" applyBorder="1" applyFont="1" applyNumberFormat="1">
      <alignment horizontal="right" vertical="center"/>
    </xf>
    <xf borderId="13" fillId="0" fontId="7" numFmtId="165" xfId="0" applyAlignment="1" applyBorder="1" applyFont="1" applyNumberFormat="1">
      <alignment vertical="center"/>
    </xf>
    <xf borderId="13" fillId="0" fontId="7" numFmtId="176" xfId="0" applyAlignment="1" applyBorder="1" applyFont="1" applyNumberFormat="1">
      <alignment vertical="center"/>
    </xf>
    <xf borderId="13" fillId="0" fontId="7" numFmtId="1" xfId="0" applyAlignment="1" applyBorder="1" applyFont="1" applyNumberFormat="1">
      <alignment horizontal="left" vertical="center"/>
    </xf>
    <xf borderId="13" fillId="0" fontId="7" numFmtId="1" xfId="0" applyAlignment="1" applyBorder="1" applyFont="1" applyNumberFormat="1">
      <alignment horizontal="center" vertical="center"/>
    </xf>
    <xf borderId="13" fillId="0" fontId="7" numFmtId="1" xfId="0" applyAlignment="1" applyBorder="1" applyFont="1" applyNumberFormat="1">
      <alignment horizontal="left" shrinkToFit="0" vertical="center" wrapText="0"/>
    </xf>
    <xf borderId="13" fillId="0" fontId="7" numFmtId="177" xfId="0" applyAlignment="1" applyBorder="1" applyFont="1" applyNumberFormat="1">
      <alignment vertical="center"/>
    </xf>
    <xf borderId="13" fillId="0" fontId="7" numFmtId="178" xfId="0" applyAlignment="1" applyBorder="1" applyFont="1" applyNumberFormat="1">
      <alignment vertical="center"/>
    </xf>
    <xf borderId="13" fillId="0" fontId="7" numFmtId="179" xfId="0" applyAlignment="1" applyBorder="1" applyFont="1" applyNumberFormat="1">
      <alignment vertical="center"/>
    </xf>
    <xf borderId="13" fillId="0" fontId="7" numFmtId="180" xfId="0" applyAlignment="1" applyBorder="1" applyFont="1" applyNumberFormat="1">
      <alignment horizontal="left" vertical="center"/>
    </xf>
    <xf borderId="13" fillId="0" fontId="7" numFmtId="180" xfId="0" applyAlignment="1" applyBorder="1" applyFont="1" applyNumberFormat="1">
      <alignment horizontal="center" vertical="center"/>
    </xf>
    <xf borderId="13" fillId="0" fontId="7" numFmtId="180" xfId="0" applyAlignment="1" applyBorder="1" applyFont="1" applyNumberFormat="1">
      <alignment horizontal="left" shrinkToFit="0" vertical="center" wrapText="0"/>
    </xf>
    <xf borderId="12" fillId="0" fontId="13" numFmtId="49" xfId="0" applyAlignment="1" applyBorder="1" applyFont="1" applyNumberFormat="1">
      <alignment horizontal="left" vertical="center"/>
    </xf>
    <xf borderId="0" fillId="0" fontId="7" numFmtId="49" xfId="0" applyAlignment="1" applyFont="1" applyNumberFormat="1">
      <alignment horizontal="left" vertical="center"/>
    </xf>
    <xf borderId="0" fillId="0" fontId="7" numFmtId="0" xfId="0" applyAlignment="1" applyFont="1">
      <alignment horizontal="left" vertical="center"/>
    </xf>
    <xf borderId="0" fillId="0" fontId="7" numFmtId="165" xfId="0" applyAlignment="1" applyFont="1" applyNumberFormat="1">
      <alignment horizontal="right" vertical="center"/>
    </xf>
    <xf borderId="0" fillId="0" fontId="7" numFmtId="165" xfId="0" applyAlignment="1" applyFont="1" applyNumberFormat="1">
      <alignment horizontal="right" vertical="center"/>
    </xf>
    <xf borderId="0" fillId="0" fontId="7" numFmtId="165" xfId="0" applyAlignment="1" applyFont="1" applyNumberFormat="1">
      <alignment horizontal="left" shrinkToFit="0" vertical="center" wrapText="0"/>
    </xf>
    <xf borderId="0" fillId="0" fontId="7" numFmtId="3" xfId="0" applyAlignment="1" applyFont="1" applyNumberFormat="1">
      <alignment horizontal="center" vertical="center"/>
    </xf>
    <xf borderId="0" fillId="0" fontId="7" numFmtId="0" xfId="0" applyAlignment="1" applyFont="1">
      <alignment horizontal="center" vertical="center"/>
    </xf>
    <xf borderId="0" fillId="0" fontId="7" numFmtId="170" xfId="0" applyAlignment="1" applyFont="1" applyNumberFormat="1">
      <alignment horizontal="center" vertical="center"/>
    </xf>
    <xf borderId="0" fillId="0" fontId="7" numFmtId="165" xfId="0" applyAlignment="1" applyFont="1" applyNumberFormat="1">
      <alignment horizontal="left" vertical="center"/>
    </xf>
    <xf borderId="0" fillId="0" fontId="7" numFmtId="3" xfId="0" applyAlignment="1" applyFont="1" applyNumberFormat="1">
      <alignment horizontal="left" vertical="center"/>
    </xf>
    <xf borderId="0" fillId="0" fontId="7" numFmtId="0" xfId="0" applyAlignment="1" applyFont="1">
      <alignment horizontal="left" shrinkToFit="0" vertical="center" wrapText="0"/>
    </xf>
    <xf borderId="0" fillId="0" fontId="7" numFmtId="0" xfId="0" applyAlignment="1" applyFont="1">
      <alignment horizontal="left" shrinkToFit="0" vertical="center" wrapText="0"/>
    </xf>
    <xf borderId="0" fillId="0" fontId="7" numFmtId="0" xfId="0" applyAlignment="1" applyFont="1">
      <alignment vertical="center"/>
    </xf>
    <xf borderId="0" fillId="0" fontId="7" numFmtId="170" xfId="0" applyAlignment="1" applyFont="1" applyNumberFormat="1">
      <alignment vertical="center"/>
    </xf>
    <xf borderId="0" fillId="0" fontId="7" numFmtId="3" xfId="0" applyAlignment="1" applyFont="1" applyNumberFormat="1">
      <alignment vertical="center"/>
    </xf>
    <xf borderId="0" fillId="0" fontId="7" numFmtId="170" xfId="0" applyAlignment="1" applyFont="1" applyNumberFormat="1">
      <alignment shrinkToFit="0" vertical="center" wrapText="0"/>
    </xf>
    <xf borderId="0" fillId="0" fontId="7" numFmtId="165" xfId="0" applyAlignment="1" applyFont="1" applyNumberFormat="1">
      <alignment vertical="center"/>
    </xf>
    <xf borderId="0" fillId="0" fontId="14" numFmtId="49" xfId="0" applyAlignment="1" applyFont="1" applyNumberFormat="1">
      <alignment horizontal="left" vertical="center"/>
    </xf>
    <xf borderId="0" fillId="2" fontId="1" numFmtId="0" xfId="0" applyFont="1"/>
    <xf borderId="0" fillId="0" fontId="1" numFmtId="14" xfId="0" applyFont="1" applyNumberFormat="1"/>
    <xf borderId="0" fillId="0" fontId="1" numFmtId="172" xfId="0" applyFont="1" applyNumberFormat="1"/>
    <xf borderId="0" fillId="0" fontId="15" numFmtId="0" xfId="0" applyFont="1"/>
  </cellXfs>
  <cellStyles count="1">
    <cellStyle xfId="0" name="Normal" builtinId="0"/>
  </cellStyles>
  <dxfs count="4">
    <dxf>
      <font/>
      <fill>
        <patternFill patternType="solid">
          <fgColor rgb="FFFF9EB5"/>
          <bgColor rgb="FFFF9EB5"/>
        </patternFill>
      </fill>
      <border/>
    </dxf>
    <dxf>
      <font/>
      <fill>
        <patternFill patternType="none"/>
      </fill>
      <border/>
    </dxf>
    <dxf>
      <font/>
      <fill>
        <patternFill patternType="solid">
          <fgColor rgb="FFFFFFFF"/>
          <bgColor rgb="FFFFFFFF"/>
        </patternFill>
      </fill>
      <border/>
    </dxf>
    <dxf>
      <font/>
      <fill>
        <patternFill patternType="solid">
          <fgColor rgb="FFEBEEF1"/>
          <bgColor rgb="FFEBEEF1"/>
        </patternFill>
      </fill>
      <border/>
    </dxf>
  </dxfs>
  <tableStyles count="1">
    <tableStyle count="2" pivot="0" name="All Entri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AL4221" displayName="Table_1" id="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ll Entrie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6H__gRsxZ_WpgklwgGm0e7UpDJVpaW2fO0H25C-8IO0/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jrj.org" TargetMode="External"/><Relationship Id="rId2" Type="http://schemas.openxmlformats.org/officeDocument/2006/relationships/hyperlink" Target="http://ravisundaram.am" TargetMode="External"/><Relationship Id="rId3" Type="http://schemas.openxmlformats.org/officeDocument/2006/relationships/drawing" Target="../drawings/drawing4.x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ravisundaram.am" TargetMode="External"/><Relationship Id="rId2" Type="http://schemas.openxmlformats.org/officeDocument/2006/relationships/hyperlink" Target="http://jrj.org"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5" width="14.43"/>
  </cols>
  <sheetData>
    <row r="1">
      <c r="A1" s="1"/>
      <c r="B1" s="1"/>
      <c r="C1" s="1"/>
      <c r="D1" s="1"/>
      <c r="E1" s="2" t="str">
        <f>IFERROR(__xludf.DUMMYFUNCTION("importrange(Administrative!$C$22,Administrative!$C$26)"),"#REF!")</f>
        <v>#REF!</v>
      </c>
      <c r="F1" s="1"/>
      <c r="G1" s="1"/>
      <c r="H1" s="1"/>
      <c r="K1" s="1"/>
      <c r="L1" s="1"/>
      <c r="M1" s="1"/>
      <c r="N1" s="1"/>
      <c r="O1" s="1"/>
    </row>
    <row r="2">
      <c r="A2" s="1"/>
      <c r="B2" s="1"/>
      <c r="C2" s="1"/>
      <c r="D2" s="1"/>
      <c r="E2" s="1"/>
      <c r="F2" s="1"/>
      <c r="G2" s="1"/>
      <c r="H2" s="1"/>
      <c r="K2" s="1"/>
      <c r="L2" s="1"/>
      <c r="M2" s="1"/>
      <c r="N2" s="1"/>
      <c r="O2" s="1"/>
    </row>
    <row r="3">
      <c r="A3" s="1"/>
      <c r="B3" s="1"/>
      <c r="C3" s="1"/>
      <c r="D3" s="1"/>
      <c r="E3" s="1"/>
      <c r="F3" s="1"/>
      <c r="G3" s="1"/>
      <c r="H3" s="1"/>
      <c r="K3" s="1"/>
      <c r="L3" s="1"/>
      <c r="M3" s="1"/>
      <c r="N3" s="1"/>
      <c r="O3" s="1"/>
    </row>
    <row r="4">
      <c r="A4" s="1"/>
      <c r="B4" s="1"/>
      <c r="C4" s="1"/>
      <c r="D4" s="1"/>
      <c r="E4" s="1"/>
      <c r="F4" s="1"/>
      <c r="G4" s="1"/>
      <c r="H4" s="1"/>
      <c r="K4" s="1"/>
      <c r="L4" s="1"/>
      <c r="M4" s="1"/>
      <c r="N4" s="1"/>
      <c r="O4" s="1"/>
    </row>
    <row r="5">
      <c r="A5" s="1"/>
      <c r="B5" s="1"/>
      <c r="C5" s="1"/>
      <c r="D5" s="1"/>
      <c r="E5" s="1"/>
      <c r="F5" s="1"/>
      <c r="G5" s="1"/>
      <c r="H5" s="1"/>
      <c r="K5" s="1"/>
      <c r="L5" s="1"/>
      <c r="M5" s="1"/>
      <c r="N5" s="1"/>
      <c r="O5" s="1"/>
    </row>
    <row r="6">
      <c r="A6" s="1"/>
      <c r="B6" s="1"/>
      <c r="C6" s="1"/>
      <c r="D6" s="1"/>
      <c r="E6" s="1"/>
      <c r="F6" s="1"/>
      <c r="G6" s="1"/>
      <c r="H6" s="1"/>
      <c r="K6" s="1"/>
      <c r="L6" s="1"/>
      <c r="M6" s="1"/>
      <c r="N6" s="1"/>
      <c r="O6" s="1"/>
    </row>
    <row r="7">
      <c r="A7" s="1"/>
      <c r="B7" s="1"/>
      <c r="C7" s="1"/>
      <c r="D7" s="1"/>
      <c r="E7" s="1"/>
      <c r="F7" s="1"/>
      <c r="G7" s="1"/>
      <c r="H7" s="1"/>
      <c r="K7" s="1"/>
      <c r="L7" s="1"/>
      <c r="M7" s="1"/>
      <c r="N7" s="1"/>
      <c r="O7" s="1"/>
    </row>
    <row r="8">
      <c r="A8" s="1"/>
      <c r="B8" s="1"/>
      <c r="C8" s="1"/>
      <c r="D8" s="1"/>
      <c r="E8" s="1"/>
      <c r="F8" s="1"/>
      <c r="G8" s="1"/>
      <c r="H8" s="1"/>
      <c r="K8" s="1"/>
      <c r="L8" s="1"/>
      <c r="M8" s="1"/>
      <c r="N8" s="1"/>
      <c r="O8" s="1"/>
    </row>
    <row r="9">
      <c r="A9" s="1"/>
      <c r="B9" s="1"/>
      <c r="C9" s="1"/>
      <c r="D9" s="1"/>
      <c r="E9" s="1"/>
      <c r="F9" s="1"/>
      <c r="G9" s="1"/>
      <c r="H9" s="1"/>
      <c r="K9" s="1"/>
      <c r="L9" s="1"/>
      <c r="M9" s="1"/>
      <c r="N9" s="1"/>
      <c r="O9" s="1"/>
    </row>
    <row r="10">
      <c r="A10" s="1"/>
      <c r="B10" s="1"/>
      <c r="C10" s="1"/>
      <c r="D10" s="1"/>
      <c r="E10" s="1"/>
      <c r="F10" s="1"/>
      <c r="G10" s="1"/>
      <c r="H10" s="1"/>
      <c r="K10" s="1"/>
      <c r="L10" s="1"/>
      <c r="M10" s="1"/>
      <c r="N10" s="1"/>
      <c r="O10" s="1"/>
    </row>
    <row r="11">
      <c r="A11" s="1"/>
      <c r="B11" s="1"/>
      <c r="C11" s="1"/>
      <c r="D11" s="1"/>
      <c r="E11" s="1"/>
      <c r="F11" s="1"/>
      <c r="G11" s="1"/>
      <c r="H11" s="1"/>
      <c r="K11" s="1"/>
      <c r="L11" s="1"/>
      <c r="M11" s="1"/>
      <c r="N11" s="1"/>
      <c r="O11" s="1"/>
    </row>
    <row r="12">
      <c r="A12" s="1"/>
      <c r="B12" s="1"/>
      <c r="C12" s="1"/>
      <c r="D12" s="1"/>
      <c r="E12" s="1"/>
      <c r="F12" s="1"/>
      <c r="G12" s="1"/>
      <c r="H12" s="1"/>
      <c r="K12" s="1"/>
      <c r="L12" s="1"/>
      <c r="M12" s="1"/>
      <c r="N12" s="1"/>
      <c r="O12" s="1"/>
    </row>
    <row r="13">
      <c r="A13" s="1"/>
      <c r="B13" s="1"/>
      <c r="C13" s="1"/>
      <c r="D13" s="1"/>
      <c r="E13" s="1"/>
      <c r="F13" s="1"/>
      <c r="G13" s="1"/>
      <c r="H13" s="1"/>
      <c r="K13" s="1"/>
      <c r="L13" s="1"/>
      <c r="M13" s="1"/>
      <c r="N13" s="1"/>
      <c r="O13" s="1"/>
    </row>
    <row r="14">
      <c r="A14" s="1"/>
      <c r="B14" s="1"/>
      <c r="C14" s="1"/>
      <c r="D14" s="1"/>
      <c r="E14" s="1"/>
      <c r="F14" s="1"/>
      <c r="G14" s="1"/>
      <c r="H14" s="1"/>
      <c r="K14" s="1"/>
      <c r="L14" s="1"/>
      <c r="M14" s="1"/>
      <c r="N14" s="1"/>
      <c r="O14" s="1"/>
    </row>
    <row r="15">
      <c r="A15" s="1"/>
      <c r="B15" s="1"/>
      <c r="C15" s="1"/>
      <c r="D15" s="1"/>
      <c r="E15" s="1"/>
      <c r="F15" s="1"/>
      <c r="G15" s="1"/>
      <c r="H15" s="1"/>
      <c r="K15" s="1"/>
      <c r="L15" s="1"/>
      <c r="M15" s="1"/>
      <c r="N15" s="1"/>
      <c r="O15" s="1"/>
    </row>
    <row r="16">
      <c r="A16" s="1"/>
      <c r="B16" s="1"/>
      <c r="C16" s="1"/>
      <c r="D16" s="1"/>
      <c r="E16" s="1"/>
      <c r="F16" s="1"/>
      <c r="G16" s="1"/>
      <c r="H16" s="1"/>
      <c r="K16" s="1"/>
      <c r="L16" s="1"/>
      <c r="M16" s="1"/>
      <c r="N16" s="1"/>
      <c r="O16" s="1"/>
    </row>
    <row r="17">
      <c r="A17" s="1"/>
      <c r="B17" s="1"/>
      <c r="C17" s="1"/>
      <c r="D17" s="1"/>
      <c r="E17" s="1"/>
      <c r="F17" s="1"/>
      <c r="G17" s="1"/>
      <c r="H17" s="1"/>
      <c r="K17" s="1"/>
      <c r="L17" s="1"/>
      <c r="M17" s="1"/>
      <c r="N17" s="1"/>
      <c r="O17" s="1"/>
    </row>
    <row r="18">
      <c r="A18" s="1"/>
      <c r="B18" s="1"/>
      <c r="C18" s="1"/>
      <c r="D18" s="1"/>
      <c r="E18" s="1"/>
      <c r="F18" s="1"/>
      <c r="G18" s="1"/>
      <c r="H18" s="1"/>
      <c r="K18" s="1"/>
      <c r="L18" s="1"/>
      <c r="M18" s="1"/>
      <c r="N18" s="1"/>
      <c r="O18" s="1"/>
    </row>
    <row r="19">
      <c r="A19" s="1"/>
      <c r="B19" s="1"/>
      <c r="C19" s="1"/>
      <c r="D19" s="1"/>
      <c r="E19" s="1"/>
      <c r="F19" s="1"/>
      <c r="G19" s="1"/>
      <c r="H19" s="1"/>
      <c r="K19" s="1"/>
      <c r="L19" s="1"/>
      <c r="M19" s="1"/>
      <c r="N19" s="1"/>
      <c r="O19" s="1"/>
    </row>
    <row r="20">
      <c r="A20" s="1"/>
      <c r="B20" s="1"/>
      <c r="C20" s="1"/>
      <c r="D20" s="1"/>
      <c r="E20" s="1"/>
      <c r="F20" s="1"/>
      <c r="G20" s="1"/>
      <c r="H20" s="1"/>
      <c r="K20" s="1"/>
      <c r="L20" s="1"/>
      <c r="M20" s="1"/>
      <c r="N20" s="1"/>
      <c r="O20" s="1"/>
    </row>
    <row r="21">
      <c r="A21" s="1"/>
      <c r="B21" s="1"/>
      <c r="C21" s="1"/>
      <c r="D21" s="1"/>
      <c r="E21" s="1"/>
      <c r="F21" s="1"/>
      <c r="G21" s="1"/>
      <c r="H21" s="1"/>
      <c r="K21" s="1"/>
      <c r="L21" s="1"/>
      <c r="M21" s="1"/>
      <c r="N21" s="1"/>
      <c r="O21" s="1"/>
    </row>
    <row r="22">
      <c r="A22" s="1"/>
      <c r="B22" s="1"/>
      <c r="C22" s="1"/>
      <c r="D22" s="1"/>
      <c r="E22" s="1"/>
      <c r="F22" s="1"/>
      <c r="G22" s="1"/>
      <c r="H22" s="1"/>
      <c r="K22" s="1"/>
      <c r="L22" s="1"/>
      <c r="M22" s="1"/>
      <c r="N22" s="1"/>
      <c r="O22" s="1"/>
    </row>
    <row r="23">
      <c r="A23" s="1"/>
      <c r="B23" s="1"/>
      <c r="C23" s="1"/>
      <c r="D23" s="1"/>
      <c r="E23" s="1"/>
      <c r="F23" s="1"/>
      <c r="G23" s="1"/>
      <c r="H23" s="1"/>
      <c r="K23" s="1"/>
      <c r="L23" s="1"/>
      <c r="M23" s="1"/>
      <c r="N23" s="1"/>
      <c r="O23" s="1"/>
    </row>
    <row r="24">
      <c r="A24" s="1"/>
      <c r="B24" s="1"/>
      <c r="C24" s="1"/>
      <c r="D24" s="1"/>
      <c r="E24" s="1"/>
      <c r="F24" s="1"/>
      <c r="G24" s="1"/>
      <c r="H24" s="1"/>
      <c r="K24" s="1"/>
      <c r="L24" s="1"/>
      <c r="M24" s="1"/>
      <c r="N24" s="1"/>
      <c r="O24" s="1"/>
    </row>
    <row r="25">
      <c r="A25" s="1"/>
      <c r="B25" s="1"/>
      <c r="C25" s="1"/>
      <c r="D25" s="1"/>
      <c r="E25" s="1"/>
      <c r="F25" s="1"/>
      <c r="G25" s="1"/>
      <c r="H25" s="1"/>
      <c r="K25" s="1"/>
      <c r="L25" s="1"/>
      <c r="M25" s="1"/>
      <c r="N25" s="1"/>
      <c r="O25" s="1"/>
    </row>
    <row r="26">
      <c r="A26" s="1"/>
      <c r="B26" s="1"/>
      <c r="C26" s="1"/>
      <c r="D26" s="1"/>
      <c r="E26" s="1"/>
      <c r="F26" s="1"/>
      <c r="G26" s="1"/>
      <c r="H26" s="1"/>
      <c r="K26" s="1"/>
      <c r="L26" s="1"/>
      <c r="M26" s="1"/>
      <c r="N26" s="1"/>
      <c r="O26" s="1"/>
    </row>
    <row r="27">
      <c r="A27" s="1"/>
      <c r="B27" s="1"/>
      <c r="C27" s="1"/>
      <c r="D27" s="1"/>
      <c r="E27" s="1"/>
      <c r="F27" s="1"/>
      <c r="G27" s="1"/>
      <c r="H27" s="1"/>
      <c r="K27" s="1"/>
      <c r="L27" s="1"/>
      <c r="M27" s="1"/>
      <c r="N27" s="1"/>
      <c r="O27" s="1"/>
    </row>
    <row r="28">
      <c r="A28" s="1"/>
      <c r="B28" s="1"/>
      <c r="C28" s="1"/>
      <c r="D28" s="1"/>
      <c r="E28" s="1"/>
      <c r="F28" s="1"/>
      <c r="G28" s="1"/>
      <c r="H28" s="1"/>
      <c r="K28" s="1"/>
      <c r="L28" s="1"/>
      <c r="M28" s="1"/>
      <c r="N28" s="1"/>
      <c r="O28" s="1"/>
    </row>
    <row r="29">
      <c r="A29" s="1"/>
      <c r="B29" s="1"/>
      <c r="C29" s="1"/>
      <c r="D29" s="1"/>
      <c r="E29" s="1"/>
      <c r="F29" s="1"/>
      <c r="G29" s="1"/>
      <c r="H29" s="1"/>
      <c r="K29" s="1"/>
      <c r="L29" s="1"/>
      <c r="M29" s="1"/>
      <c r="N29" s="1"/>
      <c r="O29" s="1"/>
    </row>
    <row r="30">
      <c r="A30" s="1"/>
      <c r="B30" s="1"/>
      <c r="C30" s="1"/>
      <c r="D30" s="1"/>
      <c r="E30" s="1"/>
      <c r="F30" s="1"/>
      <c r="G30" s="1"/>
      <c r="H30" s="1"/>
      <c r="K30" s="1"/>
      <c r="L30" s="1"/>
      <c r="M30" s="1"/>
      <c r="N30" s="1"/>
      <c r="O30" s="1"/>
    </row>
    <row r="31">
      <c r="A31" s="1"/>
      <c r="B31" s="1"/>
      <c r="C31" s="1"/>
      <c r="D31" s="1"/>
      <c r="E31" s="1"/>
      <c r="F31" s="1"/>
      <c r="G31" s="1"/>
      <c r="H31" s="1"/>
      <c r="K31" s="1"/>
      <c r="L31" s="1"/>
      <c r="M31" s="1"/>
      <c r="N31" s="1"/>
      <c r="O31" s="1"/>
    </row>
    <row r="32">
      <c r="A32" s="1"/>
      <c r="B32" s="1"/>
      <c r="C32" s="1"/>
      <c r="D32" s="1"/>
      <c r="E32" s="1"/>
      <c r="F32" s="1"/>
      <c r="G32" s="1"/>
      <c r="H32" s="1"/>
      <c r="K32" s="1"/>
      <c r="L32" s="1"/>
      <c r="M32" s="1"/>
      <c r="N32" s="1"/>
      <c r="O32" s="1"/>
    </row>
    <row r="33">
      <c r="A33" s="1"/>
      <c r="B33" s="1"/>
      <c r="C33" s="1"/>
      <c r="D33" s="1"/>
      <c r="E33" s="1"/>
      <c r="F33" s="1"/>
      <c r="G33" s="1"/>
      <c r="H33" s="1"/>
      <c r="K33" s="1"/>
      <c r="L33" s="1"/>
      <c r="M33" s="1"/>
      <c r="N33" s="1"/>
      <c r="O33" s="1"/>
    </row>
    <row r="34">
      <c r="A34" s="1"/>
      <c r="B34" s="1"/>
      <c r="C34" s="1"/>
      <c r="D34" s="1"/>
      <c r="E34" s="1"/>
      <c r="F34" s="1"/>
      <c r="G34" s="1"/>
      <c r="H34" s="1"/>
      <c r="K34" s="1"/>
      <c r="L34" s="1"/>
      <c r="M34" s="1"/>
      <c r="N34" s="1"/>
      <c r="O34" s="1"/>
    </row>
    <row r="35">
      <c r="A35" s="1"/>
      <c r="B35" s="1"/>
      <c r="C35" s="1"/>
      <c r="D35" s="1"/>
      <c r="E35" s="1"/>
      <c r="F35" s="1"/>
      <c r="G35" s="1"/>
      <c r="H35" s="1"/>
      <c r="K35" s="1"/>
      <c r="L35" s="1"/>
      <c r="M35" s="1"/>
      <c r="N35" s="1"/>
      <c r="O35" s="1"/>
    </row>
    <row r="36">
      <c r="A36" s="1"/>
      <c r="B36" s="1"/>
      <c r="C36" s="1"/>
      <c r="D36" s="1"/>
      <c r="E36" s="1"/>
      <c r="F36" s="1"/>
      <c r="G36" s="1"/>
      <c r="H36" s="1"/>
      <c r="K36" s="1"/>
      <c r="L36" s="1"/>
      <c r="M36" s="1"/>
      <c r="N36" s="1"/>
      <c r="O36" s="1"/>
    </row>
    <row r="37">
      <c r="A37" s="1"/>
      <c r="B37" s="1"/>
      <c r="C37" s="1"/>
      <c r="D37" s="1"/>
      <c r="E37" s="1"/>
      <c r="F37" s="1"/>
      <c r="G37" s="1"/>
      <c r="H37" s="1"/>
      <c r="K37" s="1"/>
      <c r="L37" s="1"/>
      <c r="M37" s="1"/>
      <c r="N37" s="1"/>
      <c r="O37" s="1"/>
    </row>
    <row r="38">
      <c r="A38" s="1"/>
      <c r="B38" s="1"/>
      <c r="C38" s="1"/>
      <c r="D38" s="1"/>
      <c r="E38" s="1"/>
      <c r="F38" s="1"/>
      <c r="G38" s="1"/>
      <c r="H38" s="1"/>
      <c r="K38" s="1"/>
      <c r="L38" s="1"/>
      <c r="M38" s="1"/>
      <c r="N38" s="1"/>
      <c r="O38" s="1"/>
    </row>
    <row r="39">
      <c r="A39" s="1"/>
      <c r="B39" s="1"/>
      <c r="C39" s="1"/>
      <c r="D39" s="1"/>
      <c r="E39" s="1"/>
      <c r="F39" s="1"/>
      <c r="G39" s="1"/>
      <c r="H39" s="1"/>
      <c r="K39" s="1"/>
      <c r="L39" s="1"/>
      <c r="M39" s="1"/>
      <c r="N39" s="1"/>
      <c r="O39" s="1"/>
    </row>
    <row r="40">
      <c r="A40" s="1"/>
      <c r="B40" s="1"/>
      <c r="C40" s="1"/>
      <c r="D40" s="1"/>
      <c r="E40" s="1"/>
      <c r="F40" s="1"/>
      <c r="G40" s="1"/>
      <c r="H40" s="1"/>
      <c r="K40" s="1"/>
      <c r="L40" s="1"/>
      <c r="M40" s="1"/>
      <c r="N40" s="1"/>
      <c r="O40" s="1"/>
    </row>
    <row r="41">
      <c r="A41" s="1"/>
      <c r="B41" s="1"/>
      <c r="C41" s="1"/>
      <c r="D41" s="1"/>
      <c r="E41" s="1"/>
      <c r="F41" s="1"/>
      <c r="G41" s="1"/>
      <c r="H41" s="1"/>
      <c r="K41" s="1"/>
      <c r="L41" s="1"/>
      <c r="M41" s="1"/>
      <c r="N41" s="1"/>
      <c r="O41" s="1"/>
    </row>
    <row r="42">
      <c r="A42" s="1"/>
      <c r="B42" s="1"/>
      <c r="C42" s="1"/>
      <c r="D42" s="1"/>
      <c r="E42" s="1"/>
      <c r="F42" s="1"/>
      <c r="G42" s="1"/>
      <c r="H42" s="1"/>
      <c r="K42" s="1"/>
      <c r="L42" s="1"/>
      <c r="M42" s="1"/>
      <c r="N42" s="1"/>
      <c r="O42" s="1"/>
    </row>
    <row r="43">
      <c r="A43" s="1"/>
      <c r="B43" s="1"/>
      <c r="C43" s="1"/>
      <c r="D43" s="1"/>
      <c r="E43" s="1"/>
      <c r="F43" s="1"/>
      <c r="G43" s="1"/>
      <c r="H43" s="1"/>
      <c r="K43" s="1"/>
      <c r="L43" s="1"/>
      <c r="M43" s="1"/>
      <c r="N43" s="1"/>
      <c r="O43" s="1"/>
    </row>
    <row r="44">
      <c r="A44" s="1"/>
      <c r="B44" s="1"/>
      <c r="C44" s="1"/>
      <c r="D44" s="1"/>
      <c r="E44" s="1"/>
      <c r="F44" s="1"/>
      <c r="G44" s="1"/>
      <c r="H44" s="1"/>
      <c r="K44" s="1"/>
      <c r="L44" s="1"/>
      <c r="M44" s="1"/>
      <c r="N44" s="1"/>
      <c r="O44" s="1"/>
    </row>
    <row r="45">
      <c r="A45" s="1"/>
      <c r="B45" s="1"/>
      <c r="C45" s="1"/>
      <c r="D45" s="1"/>
      <c r="E45" s="1"/>
      <c r="F45" s="1"/>
      <c r="G45" s="1"/>
      <c r="H45" s="1"/>
      <c r="K45" s="1"/>
      <c r="L45" s="1"/>
      <c r="M45" s="1"/>
      <c r="N45" s="1"/>
      <c r="O45" s="1"/>
    </row>
    <row r="46">
      <c r="A46" s="1"/>
      <c r="B46" s="1"/>
      <c r="C46" s="1"/>
      <c r="D46" s="1"/>
      <c r="E46" s="1"/>
      <c r="F46" s="1"/>
      <c r="G46" s="1"/>
      <c r="H46" s="1"/>
      <c r="K46" s="1"/>
      <c r="L46" s="1"/>
      <c r="M46" s="1"/>
      <c r="N46" s="1"/>
      <c r="O46" s="1"/>
    </row>
    <row r="47">
      <c r="A47" s="1"/>
      <c r="B47" s="1"/>
      <c r="C47" s="1"/>
      <c r="D47" s="1"/>
      <c r="E47" s="1"/>
      <c r="F47" s="1"/>
      <c r="G47" s="1"/>
      <c r="H47" s="1"/>
      <c r="K47" s="1"/>
      <c r="L47" s="1"/>
      <c r="M47" s="1"/>
      <c r="N47" s="1"/>
      <c r="O47" s="1"/>
    </row>
    <row r="48">
      <c r="A48" s="1"/>
      <c r="B48" s="1"/>
      <c r="C48" s="1"/>
      <c r="D48" s="1"/>
      <c r="E48" s="1"/>
      <c r="F48" s="1"/>
      <c r="G48" s="1"/>
      <c r="H48" s="1"/>
      <c r="K48" s="1"/>
      <c r="L48" s="1"/>
      <c r="M48" s="1"/>
      <c r="N48" s="1"/>
      <c r="O48" s="1"/>
    </row>
    <row r="49">
      <c r="A49" s="1"/>
      <c r="B49" s="1"/>
      <c r="C49" s="1"/>
      <c r="D49" s="1"/>
      <c r="E49" s="1"/>
      <c r="F49" s="1"/>
      <c r="G49" s="1"/>
      <c r="H49" s="1"/>
      <c r="K49" s="1"/>
      <c r="L49" s="1"/>
      <c r="M49" s="1"/>
      <c r="N49" s="1"/>
      <c r="O49" s="1"/>
    </row>
    <row r="50">
      <c r="A50" s="1"/>
      <c r="B50" s="1"/>
      <c r="C50" s="1"/>
      <c r="D50" s="1"/>
      <c r="E50" s="1"/>
      <c r="F50" s="1"/>
      <c r="G50" s="1"/>
      <c r="H50" s="1"/>
      <c r="K50" s="1"/>
      <c r="L50" s="1"/>
      <c r="M50" s="1"/>
      <c r="N50" s="1"/>
      <c r="O50" s="1"/>
    </row>
    <row r="51">
      <c r="A51" s="1"/>
      <c r="B51" s="1"/>
      <c r="C51" s="1"/>
      <c r="D51" s="1"/>
      <c r="E51" s="1"/>
      <c r="F51" s="1"/>
      <c r="G51" s="1"/>
      <c r="H51" s="1"/>
      <c r="K51" s="1"/>
      <c r="L51" s="1"/>
      <c r="M51" s="1"/>
      <c r="N51" s="1"/>
      <c r="O51" s="1"/>
    </row>
    <row r="52">
      <c r="A52" s="1"/>
      <c r="B52" s="1"/>
      <c r="C52" s="1"/>
      <c r="D52" s="1"/>
      <c r="E52" s="1"/>
      <c r="F52" s="1"/>
      <c r="G52" s="1"/>
      <c r="H52" s="1"/>
      <c r="K52" s="1"/>
      <c r="L52" s="1"/>
      <c r="M52" s="1"/>
      <c r="N52" s="1"/>
      <c r="O52" s="1"/>
    </row>
    <row r="53">
      <c r="A53" s="1"/>
      <c r="B53" s="1"/>
      <c r="C53" s="1"/>
      <c r="D53" s="1"/>
      <c r="E53" s="1"/>
      <c r="F53" s="1"/>
      <c r="G53" s="1"/>
      <c r="H53" s="1"/>
      <c r="K53" s="1"/>
      <c r="L53" s="1"/>
      <c r="M53" s="1"/>
      <c r="N53" s="1"/>
      <c r="O53" s="1"/>
    </row>
    <row r="54">
      <c r="A54" s="1"/>
      <c r="B54" s="1"/>
      <c r="C54" s="1"/>
      <c r="D54" s="1"/>
      <c r="E54" s="1"/>
      <c r="F54" s="1"/>
      <c r="G54" s="1"/>
      <c r="H54" s="1"/>
      <c r="K54" s="1"/>
      <c r="L54" s="1"/>
      <c r="M54" s="1"/>
      <c r="N54" s="1"/>
      <c r="O54" s="1"/>
    </row>
    <row r="55">
      <c r="A55" s="1"/>
      <c r="B55" s="1"/>
      <c r="C55" s="1"/>
      <c r="D55" s="1"/>
      <c r="E55" s="1"/>
      <c r="F55" s="1"/>
      <c r="G55" s="1"/>
      <c r="H55" s="1"/>
      <c r="K55" s="1"/>
      <c r="L55" s="1"/>
      <c r="M55" s="1"/>
      <c r="N55" s="1"/>
      <c r="O55" s="1"/>
    </row>
    <row r="56">
      <c r="A56" s="1"/>
      <c r="B56" s="1"/>
      <c r="C56" s="1"/>
      <c r="D56" s="1"/>
      <c r="E56" s="1"/>
      <c r="F56" s="1"/>
      <c r="G56" s="1"/>
      <c r="H56" s="1"/>
      <c r="K56" s="1"/>
      <c r="L56" s="1"/>
      <c r="M56" s="1"/>
      <c r="N56" s="1"/>
      <c r="O56" s="1"/>
    </row>
    <row r="57">
      <c r="A57" s="1"/>
      <c r="B57" s="1"/>
      <c r="C57" s="1"/>
      <c r="D57" s="1"/>
      <c r="E57" s="1"/>
      <c r="F57" s="1"/>
      <c r="G57" s="1"/>
      <c r="H57" s="1"/>
      <c r="K57" s="1"/>
      <c r="L57" s="1"/>
      <c r="M57" s="1"/>
      <c r="N57" s="1"/>
      <c r="O57" s="1"/>
    </row>
    <row r="58">
      <c r="A58" s="1"/>
      <c r="B58" s="1"/>
      <c r="C58" s="1"/>
      <c r="D58" s="1"/>
      <c r="E58" s="1"/>
      <c r="F58" s="1"/>
      <c r="G58" s="1"/>
      <c r="H58" s="1"/>
      <c r="K58" s="1"/>
      <c r="L58" s="1"/>
      <c r="M58" s="1"/>
      <c r="N58" s="1"/>
      <c r="O58" s="1"/>
    </row>
    <row r="59">
      <c r="A59" s="1"/>
      <c r="B59" s="1"/>
      <c r="C59" s="1"/>
      <c r="D59" s="1"/>
      <c r="E59" s="1"/>
      <c r="F59" s="1"/>
      <c r="G59" s="1"/>
      <c r="H59" s="1"/>
      <c r="K59" s="1"/>
      <c r="L59" s="1"/>
      <c r="M59" s="1"/>
      <c r="N59" s="1"/>
      <c r="O59" s="1"/>
    </row>
    <row r="60">
      <c r="A60" s="1"/>
      <c r="B60" s="1"/>
      <c r="C60" s="1"/>
      <c r="D60" s="1"/>
      <c r="E60" s="1"/>
      <c r="F60" s="1"/>
      <c r="G60" s="1"/>
      <c r="H60" s="1"/>
      <c r="K60" s="1"/>
      <c r="L60" s="1"/>
      <c r="M60" s="1"/>
      <c r="N60" s="1"/>
      <c r="O60" s="1"/>
    </row>
    <row r="61">
      <c r="A61" s="1"/>
      <c r="B61" s="1"/>
      <c r="C61" s="1"/>
      <c r="D61" s="1"/>
      <c r="E61" s="1"/>
      <c r="F61" s="1"/>
      <c r="G61" s="1"/>
      <c r="H61" s="1"/>
      <c r="K61" s="1"/>
      <c r="L61" s="1"/>
      <c r="M61" s="1"/>
      <c r="N61" s="1"/>
      <c r="O61" s="1"/>
    </row>
    <row r="62">
      <c r="A62" s="1"/>
      <c r="B62" s="1"/>
      <c r="C62" s="1"/>
      <c r="D62" s="1"/>
      <c r="E62" s="1"/>
      <c r="F62" s="1"/>
      <c r="G62" s="1"/>
      <c r="H62" s="1"/>
      <c r="K62" s="1"/>
      <c r="L62" s="1"/>
      <c r="M62" s="1"/>
      <c r="N62" s="1"/>
      <c r="O62" s="1"/>
    </row>
    <row r="63">
      <c r="A63" s="1"/>
      <c r="B63" s="1"/>
      <c r="C63" s="1"/>
      <c r="D63" s="1"/>
      <c r="E63" s="1"/>
      <c r="F63" s="1"/>
      <c r="G63" s="1"/>
      <c r="H63" s="1"/>
      <c r="K63" s="1"/>
      <c r="L63" s="1"/>
      <c r="M63" s="1"/>
      <c r="N63" s="1"/>
      <c r="O63" s="1"/>
    </row>
    <row r="64">
      <c r="A64" s="1"/>
      <c r="B64" s="1"/>
      <c r="C64" s="1"/>
      <c r="D64" s="1"/>
      <c r="E64" s="1"/>
      <c r="F64" s="1"/>
      <c r="G64" s="1"/>
      <c r="H64" s="1"/>
      <c r="K64" s="1"/>
      <c r="L64" s="1"/>
      <c r="M64" s="1"/>
      <c r="N64" s="1"/>
      <c r="O64" s="1"/>
    </row>
    <row r="65">
      <c r="A65" s="1"/>
      <c r="B65" s="1"/>
      <c r="C65" s="1"/>
      <c r="D65" s="1"/>
      <c r="E65" s="1"/>
      <c r="F65" s="1"/>
      <c r="G65" s="1"/>
      <c r="H65" s="1"/>
      <c r="K65" s="1"/>
      <c r="L65" s="1"/>
      <c r="M65" s="1"/>
      <c r="N65" s="1"/>
      <c r="O65" s="1"/>
    </row>
    <row r="66">
      <c r="A66" s="1"/>
      <c r="B66" s="1"/>
      <c r="C66" s="1"/>
      <c r="D66" s="1"/>
      <c r="E66" s="1"/>
      <c r="F66" s="1"/>
      <c r="G66" s="1"/>
      <c r="H66" s="1"/>
      <c r="K66" s="1"/>
      <c r="L66" s="1"/>
      <c r="M66" s="1"/>
      <c r="N66" s="1"/>
      <c r="O66" s="1"/>
    </row>
    <row r="67">
      <c r="A67" s="3"/>
      <c r="B67" s="3"/>
      <c r="C67" s="3"/>
      <c r="D67" s="3"/>
      <c r="E67" s="3"/>
      <c r="F67" s="1"/>
      <c r="G67" s="1"/>
      <c r="H67" s="4"/>
      <c r="K67" s="5"/>
      <c r="L67" s="1"/>
      <c r="M67" s="1"/>
      <c r="N67" s="4"/>
      <c r="O67" s="4"/>
    </row>
    <row r="68">
      <c r="A68" s="3"/>
      <c r="B68" s="3"/>
      <c r="C68" s="3"/>
      <c r="D68" s="3"/>
      <c r="E68" s="3"/>
      <c r="F68" s="1"/>
      <c r="G68" s="1"/>
      <c r="H68" s="4"/>
      <c r="K68" s="5"/>
      <c r="L68" s="1"/>
      <c r="M68" s="1"/>
      <c r="N68" s="4"/>
      <c r="O68" s="4"/>
    </row>
    <row r="69">
      <c r="A69" s="3"/>
      <c r="B69" s="3"/>
      <c r="C69" s="3"/>
      <c r="D69" s="3"/>
      <c r="E69" s="3"/>
      <c r="F69" s="1"/>
      <c r="G69" s="1"/>
      <c r="H69" s="4"/>
      <c r="K69" s="5"/>
      <c r="L69" s="1"/>
      <c r="M69" s="1"/>
      <c r="N69" s="4"/>
      <c r="O69" s="4"/>
    </row>
    <row r="70">
      <c r="A70" s="3"/>
      <c r="B70" s="3"/>
      <c r="C70" s="3"/>
      <c r="D70" s="3"/>
      <c r="E70" s="3"/>
      <c r="F70" s="1"/>
      <c r="G70" s="1"/>
      <c r="H70" s="4"/>
      <c r="K70" s="5"/>
    </row>
    <row r="71">
      <c r="A71" s="3"/>
      <c r="B71" s="3"/>
      <c r="C71" s="3"/>
      <c r="D71" s="3"/>
      <c r="E71" s="3"/>
      <c r="F71" s="1"/>
      <c r="G71" s="1"/>
      <c r="H71" s="4"/>
      <c r="K71" s="5"/>
    </row>
    <row r="72">
      <c r="A72" s="3"/>
      <c r="B72" s="3"/>
      <c r="C72" s="3"/>
      <c r="D72" s="3"/>
      <c r="E72" s="3"/>
      <c r="F72" s="1"/>
      <c r="G72" s="1"/>
      <c r="H72" s="4"/>
      <c r="K72" s="5"/>
    </row>
    <row r="73">
      <c r="A73" s="3"/>
      <c r="B73" s="3"/>
      <c r="C73" s="3"/>
      <c r="D73" s="3"/>
      <c r="E73" s="3"/>
      <c r="F73" s="1"/>
      <c r="G73" s="1"/>
      <c r="H73" s="4"/>
      <c r="K73" s="5"/>
    </row>
    <row r="74">
      <c r="A74" s="3"/>
      <c r="B74" s="3"/>
      <c r="C74" s="3"/>
      <c r="D74" s="3"/>
      <c r="E74" s="3"/>
      <c r="F74" s="1"/>
      <c r="G74" s="1"/>
      <c r="H74" s="4"/>
    </row>
    <row r="75">
      <c r="A75" s="3"/>
      <c r="B75" s="3"/>
      <c r="C75" s="3"/>
      <c r="D75" s="3"/>
      <c r="E75" s="3"/>
      <c r="F75" s="1"/>
      <c r="G75" s="1"/>
      <c r="H75" s="4"/>
    </row>
    <row r="76">
      <c r="A76" s="3"/>
      <c r="B76" s="3"/>
      <c r="C76" s="3"/>
      <c r="D76" s="3"/>
      <c r="E76" s="3"/>
      <c r="F76" s="1"/>
      <c r="G76" s="1"/>
      <c r="H76" s="4"/>
    </row>
    <row r="77">
      <c r="A77" s="3"/>
      <c r="B77" s="3"/>
      <c r="C77" s="3"/>
      <c r="D77" s="3"/>
      <c r="E77" s="3"/>
      <c r="F77" s="1"/>
      <c r="G77" s="1"/>
      <c r="H77" s="4"/>
      <c r="K77" s="1"/>
      <c r="L77" s="1"/>
      <c r="M77" s="1"/>
      <c r="N77" s="1"/>
      <c r="O77" s="1"/>
    </row>
    <row r="78">
      <c r="A78" s="3"/>
      <c r="B78" s="3"/>
      <c r="C78" s="3"/>
      <c r="D78" s="3"/>
      <c r="E78" s="3"/>
      <c r="F78" s="1"/>
      <c r="G78" s="1"/>
      <c r="H78" s="4"/>
      <c r="N78" s="4"/>
      <c r="O78" s="4"/>
    </row>
    <row r="79">
      <c r="A79" s="3"/>
      <c r="B79" s="3"/>
      <c r="C79" s="3"/>
      <c r="D79" s="3"/>
      <c r="E79" s="3"/>
      <c r="F79" s="1"/>
      <c r="G79" s="1"/>
      <c r="H79" s="4"/>
      <c r="N79" s="4"/>
      <c r="O79" s="4"/>
    </row>
    <row r="80">
      <c r="A80" s="3"/>
      <c r="B80" s="3"/>
      <c r="C80" s="3"/>
      <c r="D80" s="3"/>
      <c r="E80" s="3"/>
      <c r="F80" s="1"/>
      <c r="G80" s="1"/>
      <c r="H80" s="4"/>
      <c r="K80" s="1"/>
      <c r="L80" s="1"/>
      <c r="M80" s="1"/>
      <c r="N80" s="4"/>
      <c r="O80" s="4"/>
    </row>
    <row r="81">
      <c r="A81" s="3"/>
      <c r="B81" s="3"/>
      <c r="C81" s="3"/>
      <c r="D81" s="3"/>
      <c r="E81" s="3"/>
      <c r="F81" s="1"/>
      <c r="G81" s="1"/>
      <c r="H81" s="4"/>
      <c r="K81" s="1"/>
      <c r="L81" s="1"/>
      <c r="M81" s="1"/>
      <c r="N81" s="4"/>
      <c r="O81" s="4"/>
    </row>
    <row r="82">
      <c r="A82" s="3"/>
      <c r="B82" s="3"/>
      <c r="C82" s="3"/>
      <c r="D82" s="3"/>
      <c r="E82" s="3"/>
      <c r="F82" s="1"/>
      <c r="G82" s="1"/>
      <c r="H82" s="4"/>
      <c r="K82" s="1"/>
      <c r="L82" s="1"/>
      <c r="M82" s="1"/>
      <c r="N82" s="4"/>
      <c r="O82" s="4"/>
    </row>
    <row r="83">
      <c r="A83" s="3"/>
      <c r="B83" s="3"/>
      <c r="C83" s="3"/>
      <c r="D83" s="3"/>
      <c r="E83" s="3"/>
      <c r="F83" s="1"/>
      <c r="G83" s="1"/>
      <c r="H83" s="4"/>
      <c r="K83" s="1"/>
      <c r="L83" s="1"/>
      <c r="M83" s="1"/>
      <c r="N83" s="4"/>
      <c r="O83" s="4"/>
    </row>
    <row r="84">
      <c r="A84" s="3"/>
      <c r="B84" s="3"/>
      <c r="C84" s="3"/>
      <c r="D84" s="3"/>
      <c r="E84" s="3"/>
      <c r="F84" s="1"/>
      <c r="G84" s="1"/>
      <c r="H84" s="4"/>
      <c r="K84" s="1"/>
      <c r="L84" s="1"/>
      <c r="M84" s="1"/>
      <c r="N84" s="4"/>
      <c r="O84" s="4"/>
    </row>
    <row r="85">
      <c r="A85" s="3"/>
      <c r="B85" s="3"/>
      <c r="C85" s="3"/>
      <c r="D85" s="3"/>
      <c r="E85" s="3"/>
      <c r="F85" s="1"/>
      <c r="G85" s="1"/>
      <c r="H85" s="4"/>
      <c r="K85" s="1"/>
      <c r="L85" s="1"/>
      <c r="M85" s="1"/>
      <c r="N85" s="4"/>
      <c r="O85" s="4"/>
    </row>
    <row r="86">
      <c r="A86" s="3"/>
      <c r="B86" s="3"/>
      <c r="C86" s="3"/>
      <c r="D86" s="3"/>
      <c r="E86" s="3"/>
      <c r="F86" s="1"/>
      <c r="G86" s="1"/>
      <c r="H86" s="4"/>
      <c r="K86" s="1"/>
      <c r="L86" s="1"/>
      <c r="M86" s="1"/>
      <c r="N86" s="4"/>
      <c r="O86" s="4"/>
    </row>
    <row r="87">
      <c r="A87" s="3"/>
      <c r="B87" s="3"/>
      <c r="C87" s="3"/>
      <c r="D87" s="3"/>
      <c r="E87" s="3"/>
      <c r="F87" s="1"/>
      <c r="G87" s="1"/>
      <c r="H87" s="4"/>
      <c r="K87" s="1"/>
      <c r="L87" s="1"/>
      <c r="M87" s="1"/>
      <c r="N87" s="4"/>
      <c r="O87" s="4"/>
    </row>
    <row r="88">
      <c r="A88" s="3"/>
      <c r="B88" s="3"/>
      <c r="C88" s="3"/>
      <c r="D88" s="3"/>
      <c r="E88" s="3"/>
      <c r="F88" s="1"/>
      <c r="G88" s="1"/>
      <c r="H88" s="4"/>
      <c r="N88" s="4"/>
      <c r="O88" s="4"/>
    </row>
    <row r="89">
      <c r="A89" s="3"/>
      <c r="B89" s="3"/>
      <c r="C89" s="3"/>
      <c r="D89" s="3"/>
      <c r="E89" s="3"/>
      <c r="F89" s="1"/>
      <c r="G89" s="1"/>
      <c r="H89" s="4"/>
    </row>
    <row r="90">
      <c r="A90" s="3"/>
      <c r="B90" s="3"/>
      <c r="C90" s="3"/>
      <c r="D90" s="3"/>
      <c r="E90" s="3"/>
      <c r="F90" s="1"/>
      <c r="G90" s="1"/>
      <c r="H90" s="4"/>
      <c r="K90" s="1"/>
      <c r="L90" s="1"/>
      <c r="M90" s="1"/>
      <c r="N90" s="1"/>
      <c r="O90" s="1"/>
    </row>
    <row r="91">
      <c r="A91" s="3"/>
      <c r="B91" s="3"/>
      <c r="C91" s="3"/>
      <c r="D91" s="3"/>
      <c r="E91" s="3"/>
      <c r="F91" s="1"/>
      <c r="G91" s="1"/>
      <c r="H91" s="4"/>
    </row>
    <row r="92">
      <c r="A92" s="3"/>
      <c r="B92" s="3"/>
      <c r="C92" s="3"/>
      <c r="D92" s="3"/>
      <c r="E92" s="3"/>
      <c r="F92" s="1"/>
      <c r="G92" s="1"/>
      <c r="H92" s="4"/>
    </row>
    <row r="93">
      <c r="A93" s="3"/>
      <c r="B93" s="3"/>
      <c r="C93" s="3"/>
      <c r="D93" s="3"/>
      <c r="E93" s="3"/>
      <c r="F93" s="1"/>
      <c r="G93" s="1"/>
      <c r="H93" s="4"/>
    </row>
    <row r="94">
      <c r="A94" s="3"/>
      <c r="B94" s="3"/>
      <c r="C94" s="3"/>
      <c r="D94" s="3"/>
      <c r="E94" s="3"/>
      <c r="F94" s="1"/>
      <c r="G94" s="1"/>
      <c r="H94" s="4"/>
    </row>
    <row r="95">
      <c r="A95" s="3"/>
      <c r="B95" s="3"/>
      <c r="C95" s="3"/>
      <c r="D95" s="3"/>
      <c r="E95" s="3"/>
      <c r="F95" s="1"/>
      <c r="G95" s="1"/>
      <c r="H95" s="4"/>
    </row>
    <row r="96">
      <c r="A96" s="3"/>
      <c r="B96" s="3"/>
      <c r="C96" s="3"/>
      <c r="D96" s="3"/>
      <c r="E96" s="3"/>
      <c r="F96" s="1"/>
      <c r="G96" s="1"/>
      <c r="H96" s="4"/>
    </row>
    <row r="97">
      <c r="A97" s="3"/>
      <c r="B97" s="3"/>
      <c r="C97" s="3"/>
      <c r="D97" s="3"/>
      <c r="E97" s="3"/>
      <c r="F97" s="1"/>
      <c r="G97" s="1"/>
      <c r="H97" s="4"/>
    </row>
    <row r="98">
      <c r="A98" s="3"/>
      <c r="B98" s="3"/>
      <c r="C98" s="3"/>
      <c r="D98" s="3"/>
      <c r="E98" s="3"/>
      <c r="F98" s="1"/>
      <c r="G98" s="1"/>
      <c r="H98" s="4"/>
    </row>
    <row r="99">
      <c r="A99" s="3"/>
      <c r="B99" s="3"/>
      <c r="C99" s="3"/>
      <c r="D99" s="3"/>
      <c r="E99" s="3"/>
      <c r="F99" s="1"/>
      <c r="G99" s="1"/>
      <c r="H99" s="4"/>
    </row>
    <row r="100">
      <c r="A100" s="3"/>
      <c r="B100" s="3"/>
      <c r="C100" s="3"/>
      <c r="D100" s="3"/>
      <c r="E100" s="3"/>
      <c r="F100" s="1"/>
      <c r="G100" s="1"/>
      <c r="H100" s="4"/>
    </row>
    <row r="101">
      <c r="A101" s="3"/>
      <c r="B101" s="3"/>
      <c r="C101" s="3"/>
      <c r="D101" s="3"/>
      <c r="E101" s="3"/>
      <c r="F101" s="1"/>
      <c r="G101" s="1"/>
      <c r="H101" s="4"/>
    </row>
    <row r="102">
      <c r="A102" s="3"/>
      <c r="B102" s="3"/>
      <c r="C102" s="3"/>
      <c r="D102" s="3"/>
      <c r="E102" s="3"/>
      <c r="F102" s="1"/>
      <c r="G102" s="1"/>
      <c r="H102" s="4"/>
      <c r="L102" s="4"/>
      <c r="M102" s="4"/>
      <c r="N102" s="5"/>
      <c r="O102" s="5"/>
    </row>
    <row r="103">
      <c r="A103" s="3"/>
      <c r="B103" s="3"/>
      <c r="C103" s="3"/>
      <c r="D103" s="3"/>
      <c r="E103" s="3"/>
      <c r="F103" s="1"/>
      <c r="G103" s="1"/>
      <c r="H103" s="4"/>
      <c r="L103" s="4"/>
      <c r="M103" s="4"/>
      <c r="N103" s="5"/>
      <c r="O103" s="5"/>
    </row>
    <row r="104">
      <c r="A104" s="3"/>
      <c r="B104" s="3"/>
      <c r="C104" s="3"/>
      <c r="D104" s="3"/>
      <c r="E104" s="3"/>
      <c r="F104" s="1"/>
      <c r="G104" s="1"/>
      <c r="H104" s="4"/>
      <c r="L104" s="4"/>
      <c r="M104" s="4"/>
      <c r="N104" s="5"/>
      <c r="O104" s="5"/>
    </row>
    <row r="105">
      <c r="A105" s="3"/>
      <c r="B105" s="3"/>
      <c r="C105" s="3"/>
      <c r="D105" s="3"/>
      <c r="E105" s="3"/>
      <c r="F105" s="1"/>
      <c r="G105" s="1"/>
      <c r="H105" s="4"/>
      <c r="L105" s="4"/>
      <c r="M105" s="4"/>
      <c r="N105" s="5"/>
      <c r="O105" s="5"/>
    </row>
    <row r="106">
      <c r="A106" s="3"/>
      <c r="B106" s="3"/>
      <c r="C106" s="3"/>
      <c r="D106" s="3"/>
      <c r="E106" s="3"/>
      <c r="F106" s="1"/>
      <c r="G106" s="1"/>
      <c r="H106" s="4"/>
      <c r="L106" s="4"/>
      <c r="M106" s="4"/>
      <c r="N106" s="5"/>
      <c r="O106" s="5"/>
    </row>
    <row r="107">
      <c r="A107" s="3"/>
      <c r="B107" s="3"/>
      <c r="C107" s="3"/>
      <c r="D107" s="3"/>
      <c r="E107" s="3"/>
      <c r="F107" s="1"/>
      <c r="G107" s="1"/>
      <c r="H107" s="4"/>
      <c r="K107" s="1"/>
      <c r="L107" s="4"/>
      <c r="M107" s="4"/>
      <c r="N107" s="5"/>
      <c r="O107" s="5"/>
    </row>
    <row r="108">
      <c r="A108" s="3"/>
      <c r="B108" s="3"/>
      <c r="C108" s="3"/>
      <c r="D108" s="3"/>
      <c r="E108" s="3"/>
      <c r="F108" s="1"/>
      <c r="G108" s="1"/>
      <c r="H108" s="4"/>
    </row>
    <row r="109">
      <c r="A109" s="3"/>
      <c r="B109" s="3"/>
      <c r="C109" s="3"/>
      <c r="D109" s="3"/>
      <c r="E109" s="3"/>
      <c r="F109" s="1"/>
      <c r="G109" s="1"/>
      <c r="H109" s="4"/>
    </row>
    <row r="110">
      <c r="A110" s="3"/>
      <c r="B110" s="3"/>
      <c r="C110" s="3"/>
      <c r="D110" s="3"/>
      <c r="E110" s="3"/>
      <c r="F110" s="1"/>
      <c r="G110" s="1"/>
      <c r="H110" s="4"/>
    </row>
    <row r="111">
      <c r="A111" s="3"/>
      <c r="B111" s="3"/>
      <c r="C111" s="3"/>
      <c r="D111" s="3"/>
      <c r="E111" s="3"/>
      <c r="F111" s="1"/>
      <c r="G111" s="1"/>
      <c r="H111" s="4"/>
      <c r="L111" s="5"/>
    </row>
    <row r="112">
      <c r="A112" s="3"/>
      <c r="B112" s="3"/>
      <c r="C112" s="3"/>
      <c r="D112" s="3"/>
      <c r="E112" s="3"/>
      <c r="F112" s="1"/>
      <c r="G112" s="1"/>
      <c r="H112" s="4"/>
      <c r="L112" s="4"/>
    </row>
    <row r="113">
      <c r="A113" s="3"/>
      <c r="B113" s="3"/>
      <c r="C113" s="3"/>
      <c r="D113" s="3"/>
      <c r="E113" s="3"/>
      <c r="F113" s="1"/>
      <c r="G113" s="1"/>
      <c r="H113" s="4"/>
      <c r="L113" s="4"/>
    </row>
    <row r="114">
      <c r="A114" s="3"/>
      <c r="B114" s="3"/>
      <c r="C114" s="3"/>
      <c r="D114" s="3"/>
      <c r="E114" s="3"/>
      <c r="F114" s="1"/>
      <c r="G114" s="1"/>
      <c r="H114" s="4"/>
      <c r="L114" s="4"/>
    </row>
    <row r="115">
      <c r="A115" s="3"/>
      <c r="B115" s="3"/>
      <c r="C115" s="3"/>
      <c r="D115" s="3"/>
      <c r="E115" s="3"/>
      <c r="F115" s="1"/>
      <c r="G115" s="1"/>
      <c r="H115" s="4"/>
    </row>
    <row r="116">
      <c r="A116" s="3"/>
      <c r="B116" s="3"/>
      <c r="C116" s="3"/>
      <c r="D116" s="3"/>
      <c r="E116" s="3"/>
      <c r="F116" s="1"/>
      <c r="G116" s="1"/>
      <c r="H116" s="4"/>
    </row>
    <row r="117">
      <c r="A117" s="3"/>
      <c r="B117" s="3"/>
      <c r="C117" s="3"/>
      <c r="D117" s="3"/>
      <c r="E117" s="3"/>
      <c r="F117" s="1"/>
      <c r="G117" s="1"/>
      <c r="H117" s="4"/>
    </row>
    <row r="118">
      <c r="A118" s="3"/>
      <c r="B118" s="3"/>
      <c r="C118" s="3"/>
      <c r="D118" s="3"/>
      <c r="E118" s="3"/>
      <c r="F118" s="1"/>
      <c r="G118" s="1"/>
      <c r="H118" s="4"/>
    </row>
    <row r="119">
      <c r="A119" s="3"/>
      <c r="B119" s="3"/>
      <c r="C119" s="3"/>
      <c r="D119" s="3"/>
      <c r="E119" s="3"/>
      <c r="F119" s="1"/>
      <c r="G119" s="1"/>
      <c r="H119" s="4"/>
    </row>
    <row r="120">
      <c r="A120" s="3"/>
      <c r="B120" s="3"/>
      <c r="C120" s="3"/>
      <c r="D120" s="3"/>
      <c r="E120" s="3"/>
      <c r="F120" s="1"/>
      <c r="G120" s="1"/>
      <c r="H120" s="4"/>
    </row>
    <row r="121">
      <c r="A121" s="3"/>
      <c r="B121" s="3"/>
      <c r="C121" s="3"/>
      <c r="D121" s="3"/>
      <c r="E121" s="3"/>
      <c r="F121" s="1"/>
      <c r="G121" s="1"/>
      <c r="H121" s="4"/>
    </row>
    <row r="122">
      <c r="A122" s="3"/>
      <c r="B122" s="3"/>
      <c r="C122" s="3"/>
      <c r="D122" s="3"/>
      <c r="E122" s="3"/>
      <c r="F122" s="1"/>
      <c r="G122" s="1"/>
      <c r="H122" s="4"/>
    </row>
    <row r="123">
      <c r="A123" s="1"/>
      <c r="B123" s="1"/>
      <c r="C123" s="1"/>
      <c r="D123" s="1"/>
      <c r="E123" s="1"/>
      <c r="F123" s="1"/>
      <c r="G123" s="1"/>
      <c r="H123" s="1"/>
      <c r="K123" s="4"/>
      <c r="L123" s="1"/>
      <c r="M123" s="1"/>
      <c r="N123" s="1"/>
      <c r="O123" s="1"/>
    </row>
    <row r="124">
      <c r="A124" s="1"/>
      <c r="B124" s="1"/>
      <c r="C124" s="1"/>
      <c r="D124" s="1"/>
      <c r="E124" s="1"/>
      <c r="F124" s="1"/>
      <c r="G124" s="1"/>
      <c r="H124" s="1"/>
      <c r="I124" s="4"/>
      <c r="J124" s="1"/>
      <c r="K124" s="1"/>
      <c r="L124" s="1"/>
      <c r="M124" s="1"/>
      <c r="N124" s="4"/>
      <c r="O124" s="4"/>
    </row>
    <row r="125">
      <c r="A125" s="1"/>
      <c r="B125" s="1"/>
      <c r="C125" s="1"/>
      <c r="D125" s="1"/>
      <c r="E125" s="1"/>
      <c r="F125" s="1"/>
      <c r="G125" s="1"/>
      <c r="H125" s="1"/>
      <c r="I125" s="4"/>
      <c r="J125" s="1"/>
      <c r="K125" s="1"/>
      <c r="L125" s="1"/>
      <c r="M125" s="1"/>
      <c r="N125" s="4"/>
      <c r="O125" s="4"/>
    </row>
    <row r="126">
      <c r="A126" s="6"/>
      <c r="B126" s="6"/>
      <c r="C126" s="6"/>
      <c r="D126" s="6"/>
      <c r="E126" s="6"/>
      <c r="G126" s="4"/>
      <c r="H126" s="4"/>
      <c r="I126" s="4"/>
      <c r="J126" s="6"/>
      <c r="L126" s="4"/>
      <c r="M126" s="4"/>
      <c r="N126" s="4"/>
      <c r="O126" s="4"/>
    </row>
    <row r="127">
      <c r="A127" s="6"/>
      <c r="B127" s="6"/>
      <c r="C127" s="6"/>
      <c r="D127" s="6"/>
      <c r="E127" s="6"/>
      <c r="G127" s="4"/>
      <c r="H127" s="4"/>
      <c r="I127" s="4"/>
      <c r="J127" s="6"/>
      <c r="L127" s="4"/>
      <c r="M127" s="4"/>
      <c r="N127" s="4"/>
      <c r="O127" s="4"/>
    </row>
    <row r="128">
      <c r="A128" s="5"/>
      <c r="B128" s="5"/>
      <c r="C128" s="5"/>
      <c r="D128" s="5"/>
      <c r="E128" s="5"/>
      <c r="G128" s="4"/>
      <c r="H128" s="4"/>
      <c r="I128" s="4"/>
      <c r="J128" s="5"/>
      <c r="L128" s="4"/>
      <c r="M128" s="4"/>
      <c r="N128" s="4"/>
      <c r="O128" s="4"/>
    </row>
    <row r="129">
      <c r="A129" s="5"/>
      <c r="B129" s="5"/>
      <c r="C129" s="5"/>
      <c r="D129" s="5"/>
      <c r="E129" s="5"/>
      <c r="G129" s="4"/>
      <c r="H129" s="4"/>
      <c r="I129" s="4"/>
      <c r="J129" s="5"/>
      <c r="L129" s="4"/>
      <c r="M129" s="4"/>
      <c r="N129" s="4"/>
      <c r="O129" s="4"/>
    </row>
    <row r="130">
      <c r="A130" s="5"/>
      <c r="B130" s="5"/>
      <c r="C130" s="5"/>
      <c r="D130" s="5"/>
      <c r="E130" s="5"/>
      <c r="G130" s="4"/>
      <c r="H130" s="4"/>
      <c r="I130" s="4"/>
      <c r="J130" s="5"/>
      <c r="L130" s="4"/>
      <c r="M130" s="4"/>
      <c r="N130" s="4"/>
      <c r="O130" s="4"/>
    </row>
    <row r="131">
      <c r="A131" s="5"/>
      <c r="B131" s="5"/>
      <c r="C131" s="5"/>
      <c r="D131" s="5"/>
      <c r="E131" s="5"/>
      <c r="G131" s="4"/>
      <c r="H131" s="4"/>
      <c r="I131" s="4"/>
      <c r="J131" s="5"/>
      <c r="L131" s="4"/>
      <c r="M131" s="4"/>
      <c r="N131" s="4"/>
      <c r="O131" s="4"/>
    </row>
    <row r="132">
      <c r="A132" s="5"/>
      <c r="B132" s="5"/>
      <c r="C132" s="5"/>
      <c r="D132" s="5"/>
      <c r="E132" s="5"/>
      <c r="G132" s="4"/>
      <c r="H132" s="4"/>
      <c r="I132" s="4"/>
      <c r="J132" s="5"/>
      <c r="L132" s="4"/>
      <c r="M132" s="4"/>
      <c r="N132" s="4"/>
      <c r="O132" s="4"/>
    </row>
    <row r="133">
      <c r="A133" s="5"/>
      <c r="B133" s="5"/>
      <c r="C133" s="5"/>
      <c r="D133" s="5"/>
      <c r="E133" s="5"/>
      <c r="G133" s="4"/>
      <c r="H133" s="4"/>
      <c r="I133" s="4"/>
      <c r="J133" s="5"/>
      <c r="L133" s="4"/>
      <c r="M133" s="4"/>
      <c r="N133" s="4"/>
      <c r="O133" s="4"/>
    </row>
    <row r="134">
      <c r="A134" s="5"/>
      <c r="B134" s="5"/>
      <c r="C134" s="5"/>
      <c r="D134" s="5"/>
      <c r="E134" s="5"/>
      <c r="G134" s="4"/>
      <c r="H134" s="4"/>
      <c r="I134" s="4"/>
      <c r="J134" s="5"/>
      <c r="L134" s="4"/>
      <c r="M134" s="4"/>
      <c r="N134" s="4"/>
      <c r="O134" s="4"/>
    </row>
    <row r="135">
      <c r="A135" s="5"/>
      <c r="B135" s="5"/>
      <c r="C135" s="5"/>
      <c r="D135" s="5"/>
      <c r="E135" s="5"/>
      <c r="G135" s="4"/>
      <c r="H135" s="4"/>
      <c r="I135" s="4"/>
      <c r="J135" s="5"/>
      <c r="L135" s="4"/>
      <c r="M135" s="4"/>
      <c r="N135" s="4"/>
      <c r="O135" s="4"/>
    </row>
    <row r="136">
      <c r="A136" s="5"/>
      <c r="B136" s="5"/>
      <c r="C136" s="5"/>
      <c r="D136" s="5"/>
      <c r="E136" s="5"/>
      <c r="G136" s="4"/>
      <c r="H136" s="4"/>
      <c r="I136" s="4"/>
      <c r="J136" s="5"/>
      <c r="L136" s="4"/>
      <c r="M136" s="4"/>
      <c r="N136" s="4"/>
      <c r="O136" s="4"/>
    </row>
    <row r="137">
      <c r="A137" s="5"/>
      <c r="B137" s="5"/>
      <c r="C137" s="5"/>
      <c r="D137" s="5"/>
      <c r="E137" s="5"/>
      <c r="G137" s="4"/>
      <c r="H137" s="4"/>
      <c r="I137" s="4"/>
      <c r="J137" s="5"/>
      <c r="L137" s="4"/>
      <c r="M137" s="4"/>
      <c r="N137" s="4"/>
      <c r="O137" s="4"/>
    </row>
    <row r="138">
      <c r="A138" s="5"/>
      <c r="B138" s="5"/>
      <c r="C138" s="5"/>
      <c r="D138" s="5"/>
      <c r="E138" s="5"/>
      <c r="G138" s="4"/>
      <c r="H138" s="4"/>
      <c r="I138" s="4"/>
      <c r="J138" s="5"/>
      <c r="L138" s="4"/>
      <c r="M138" s="4"/>
      <c r="N138" s="4"/>
      <c r="O138" s="4"/>
    </row>
    <row r="139">
      <c r="A139" s="5"/>
      <c r="B139" s="5"/>
      <c r="C139" s="5"/>
      <c r="D139" s="5"/>
      <c r="E139" s="5"/>
      <c r="G139" s="4"/>
      <c r="H139" s="4"/>
      <c r="I139" s="4"/>
      <c r="J139" s="5"/>
      <c r="L139" s="4"/>
      <c r="M139" s="4"/>
      <c r="N139" s="4"/>
      <c r="O139" s="4"/>
    </row>
    <row r="140">
      <c r="A140" s="5"/>
      <c r="B140" s="5"/>
      <c r="C140" s="5"/>
      <c r="D140" s="5"/>
      <c r="E140" s="5"/>
      <c r="G140" s="4"/>
      <c r="H140" s="4"/>
      <c r="I140" s="4"/>
      <c r="J140" s="5"/>
      <c r="L140" s="4"/>
      <c r="M140" s="4"/>
      <c r="N140" s="4"/>
      <c r="O140" s="4"/>
    </row>
    <row r="141">
      <c r="A141" s="5"/>
      <c r="B141" s="5"/>
      <c r="C141" s="5"/>
      <c r="D141" s="5"/>
      <c r="E141" s="5"/>
      <c r="G141" s="4"/>
      <c r="H141" s="4"/>
      <c r="I141" s="4"/>
      <c r="J141" s="5"/>
      <c r="L141" s="4"/>
      <c r="M141" s="4"/>
      <c r="N141" s="4"/>
      <c r="O141" s="4"/>
    </row>
    <row r="142">
      <c r="A142" s="5"/>
      <c r="B142" s="5"/>
      <c r="C142" s="5"/>
      <c r="D142" s="5"/>
      <c r="E142" s="5"/>
      <c r="G142" s="4"/>
      <c r="H142" s="4"/>
      <c r="I142" s="4"/>
      <c r="J142" s="5"/>
      <c r="L142" s="4"/>
      <c r="M142" s="4"/>
      <c r="N142" s="4"/>
      <c r="O142" s="4"/>
    </row>
    <row r="143">
      <c r="A143" s="5"/>
      <c r="B143" s="5"/>
      <c r="C143" s="5"/>
      <c r="D143" s="5"/>
      <c r="E143" s="5"/>
      <c r="G143" s="4"/>
      <c r="H143" s="4"/>
      <c r="I143" s="4"/>
      <c r="J143" s="5"/>
      <c r="L143" s="4"/>
      <c r="M143" s="4"/>
      <c r="N143" s="4"/>
      <c r="O143" s="4"/>
    </row>
    <row r="144">
      <c r="A144" s="5"/>
      <c r="B144" s="5"/>
      <c r="C144" s="5"/>
      <c r="D144" s="5"/>
      <c r="E144" s="5"/>
      <c r="G144" s="4"/>
      <c r="H144" s="4"/>
      <c r="I144" s="4"/>
      <c r="J144" s="5"/>
      <c r="L144" s="4"/>
      <c r="M144" s="4"/>
      <c r="N144" s="4"/>
      <c r="O144" s="4"/>
    </row>
    <row r="145">
      <c r="A145" s="5"/>
      <c r="B145" s="5"/>
      <c r="C145" s="5"/>
      <c r="D145" s="5"/>
      <c r="E145" s="5"/>
      <c r="G145" s="4"/>
      <c r="H145" s="4"/>
      <c r="I145" s="4"/>
      <c r="J145" s="5"/>
      <c r="L145" s="4"/>
      <c r="M145" s="4"/>
      <c r="N145" s="4"/>
      <c r="O145" s="4"/>
    </row>
    <row r="146">
      <c r="A146" s="5"/>
      <c r="B146" s="5"/>
      <c r="C146" s="5"/>
      <c r="D146" s="5"/>
      <c r="E146" s="5"/>
      <c r="G146" s="4"/>
      <c r="H146" s="4"/>
      <c r="I146" s="4"/>
      <c r="J146" s="5"/>
      <c r="L146" s="4"/>
      <c r="M146" s="4"/>
      <c r="N146" s="4"/>
      <c r="O146" s="4"/>
    </row>
    <row r="147">
      <c r="A147" s="5"/>
      <c r="B147" s="5"/>
      <c r="C147" s="5"/>
      <c r="D147" s="5"/>
      <c r="E147" s="5"/>
      <c r="G147" s="4"/>
      <c r="H147" s="4"/>
      <c r="I147" s="4"/>
      <c r="J147" s="5"/>
      <c r="L147" s="4"/>
      <c r="M147" s="4"/>
      <c r="N147" s="4"/>
      <c r="O147" s="4"/>
    </row>
    <row r="148">
      <c r="A148" s="5"/>
      <c r="B148" s="5"/>
      <c r="C148" s="5"/>
      <c r="D148" s="5"/>
      <c r="E148" s="5"/>
      <c r="G148" s="4"/>
      <c r="H148" s="4"/>
      <c r="I148" s="4"/>
      <c r="J148" s="5"/>
      <c r="L148" s="4"/>
      <c r="M148" s="4"/>
      <c r="N148" s="4"/>
      <c r="O148" s="4"/>
    </row>
    <row r="149">
      <c r="A149" s="5"/>
      <c r="B149" s="5"/>
      <c r="C149" s="5"/>
      <c r="D149" s="5"/>
      <c r="E149" s="5"/>
      <c r="G149" s="4"/>
      <c r="H149" s="4"/>
      <c r="I149" s="4"/>
      <c r="J149" s="5"/>
      <c r="L149" s="4"/>
      <c r="M149" s="4"/>
      <c r="N149" s="4"/>
      <c r="O149" s="4"/>
    </row>
    <row r="150">
      <c r="A150" s="5"/>
      <c r="B150" s="5"/>
      <c r="C150" s="5"/>
      <c r="D150" s="5"/>
      <c r="E150" s="5"/>
      <c r="G150" s="4"/>
      <c r="H150" s="4"/>
      <c r="I150" s="4"/>
      <c r="J150" s="5"/>
      <c r="L150" s="4"/>
      <c r="M150" s="4"/>
      <c r="N150" s="4"/>
      <c r="O150" s="4"/>
    </row>
    <row r="151">
      <c r="A151" s="5"/>
      <c r="B151" s="5"/>
      <c r="C151" s="5"/>
      <c r="D151" s="5"/>
      <c r="E151" s="5"/>
      <c r="G151" s="4"/>
      <c r="H151" s="4"/>
      <c r="I151" s="4"/>
      <c r="J151" s="5"/>
      <c r="L151" s="4"/>
      <c r="M151" s="4"/>
      <c r="N151" s="4"/>
      <c r="O151" s="4"/>
    </row>
    <row r="152">
      <c r="A152" s="5"/>
      <c r="B152" s="5"/>
      <c r="C152" s="5"/>
      <c r="D152" s="5"/>
      <c r="E152" s="5"/>
      <c r="G152" s="4"/>
      <c r="H152" s="4"/>
      <c r="I152" s="4"/>
      <c r="J152" s="5"/>
      <c r="L152" s="4"/>
      <c r="M152" s="4"/>
      <c r="N152" s="4"/>
      <c r="O152" s="4"/>
    </row>
    <row r="153">
      <c r="A153" s="5"/>
      <c r="B153" s="5"/>
      <c r="C153" s="5"/>
      <c r="D153" s="5"/>
      <c r="E153" s="5"/>
      <c r="G153" s="4"/>
      <c r="H153" s="4"/>
      <c r="I153" s="4"/>
      <c r="J153" s="5"/>
      <c r="L153" s="4"/>
      <c r="M153" s="4"/>
      <c r="N153" s="4"/>
      <c r="O153" s="4"/>
    </row>
    <row r="154">
      <c r="A154" s="5"/>
      <c r="B154" s="5"/>
      <c r="C154" s="5"/>
      <c r="D154" s="5"/>
      <c r="E154" s="5"/>
      <c r="G154" s="4"/>
      <c r="H154" s="4"/>
      <c r="I154" s="4"/>
      <c r="J154" s="5"/>
      <c r="L154" s="4"/>
      <c r="M154" s="4"/>
      <c r="N154" s="4"/>
      <c r="O154" s="4"/>
    </row>
    <row r="155">
      <c r="A155" s="5"/>
      <c r="B155" s="5"/>
      <c r="C155" s="5"/>
      <c r="D155" s="5"/>
      <c r="E155" s="5"/>
      <c r="G155" s="4"/>
      <c r="H155" s="4"/>
      <c r="I155" s="4"/>
      <c r="J155" s="5"/>
      <c r="L155" s="4"/>
      <c r="M155" s="4"/>
      <c r="N155" s="4"/>
      <c r="O155" s="4"/>
    </row>
    <row r="156">
      <c r="A156" s="5"/>
      <c r="B156" s="5"/>
      <c r="C156" s="5"/>
      <c r="D156" s="5"/>
      <c r="E156" s="5"/>
      <c r="G156" s="4"/>
      <c r="H156" s="4"/>
      <c r="I156" s="4"/>
      <c r="J156" s="5"/>
      <c r="L156" s="4"/>
      <c r="M156" s="4"/>
      <c r="N156" s="4"/>
      <c r="O156" s="4"/>
    </row>
    <row r="157">
      <c r="A157" s="5"/>
      <c r="B157" s="5"/>
      <c r="C157" s="5"/>
      <c r="D157" s="5"/>
      <c r="E157" s="5"/>
      <c r="G157" s="4"/>
      <c r="H157" s="4"/>
      <c r="I157" s="4"/>
      <c r="J157" s="5"/>
      <c r="L157" s="4"/>
      <c r="M157" s="4"/>
      <c r="N157" s="4"/>
      <c r="O157" s="4"/>
    </row>
    <row r="158">
      <c r="A158" s="5"/>
      <c r="B158" s="5"/>
      <c r="C158" s="5"/>
      <c r="D158" s="5"/>
      <c r="E158" s="5"/>
      <c r="G158" s="4"/>
      <c r="H158" s="4"/>
      <c r="I158" s="4"/>
      <c r="J158" s="5"/>
      <c r="L158" s="4"/>
      <c r="M158" s="4"/>
      <c r="N158" s="4"/>
      <c r="O158" s="4"/>
    </row>
    <row r="159">
      <c r="A159" s="5"/>
      <c r="B159" s="5"/>
      <c r="C159" s="5"/>
      <c r="D159" s="5"/>
      <c r="E159" s="5"/>
      <c r="G159" s="4"/>
      <c r="H159" s="4"/>
      <c r="I159" s="4"/>
      <c r="J159" s="5"/>
      <c r="L159" s="4"/>
      <c r="M159" s="4"/>
      <c r="N159" s="4"/>
      <c r="O159" s="4"/>
    </row>
    <row r="160">
      <c r="A160" s="5"/>
      <c r="B160" s="5"/>
      <c r="C160" s="5"/>
      <c r="D160" s="5"/>
      <c r="E160" s="5"/>
      <c r="G160" s="4"/>
      <c r="H160" s="4"/>
      <c r="I160" s="4"/>
      <c r="J160" s="5"/>
      <c r="L160" s="4"/>
      <c r="M160" s="4"/>
      <c r="N160" s="4"/>
      <c r="O160" s="4"/>
    </row>
    <row r="161">
      <c r="A161" s="5"/>
      <c r="B161" s="5"/>
      <c r="C161" s="5"/>
      <c r="D161" s="5"/>
      <c r="E161" s="5"/>
      <c r="G161" s="4"/>
      <c r="H161" s="4"/>
      <c r="I161" s="4"/>
      <c r="J161" s="5"/>
      <c r="L161" s="4"/>
      <c r="M161" s="4"/>
      <c r="N161" s="4"/>
      <c r="O161" s="4"/>
    </row>
    <row r="162">
      <c r="A162" s="5"/>
      <c r="B162" s="5"/>
      <c r="C162" s="5"/>
      <c r="D162" s="5"/>
      <c r="E162" s="5"/>
      <c r="G162" s="4"/>
      <c r="H162" s="4"/>
      <c r="I162" s="4"/>
      <c r="J162" s="5"/>
      <c r="L162" s="4"/>
      <c r="M162" s="4"/>
      <c r="N162" s="4"/>
      <c r="O162" s="4"/>
    </row>
    <row r="163">
      <c r="A163" s="5"/>
      <c r="B163" s="5"/>
      <c r="C163" s="5"/>
      <c r="D163" s="5"/>
      <c r="E163" s="5"/>
      <c r="G163" s="4"/>
      <c r="H163" s="4"/>
      <c r="I163" s="4"/>
      <c r="J163" s="5"/>
      <c r="L163" s="4"/>
      <c r="M163" s="4"/>
      <c r="N163" s="4"/>
      <c r="O163" s="4"/>
    </row>
    <row r="164">
      <c r="A164" s="5"/>
      <c r="B164" s="5"/>
      <c r="C164" s="5"/>
      <c r="D164" s="5"/>
      <c r="E164" s="5"/>
      <c r="G164" s="4"/>
      <c r="H164" s="4"/>
      <c r="I164" s="4"/>
      <c r="J164" s="5"/>
      <c r="L164" s="4"/>
      <c r="M164" s="4"/>
      <c r="N164" s="4"/>
      <c r="O164" s="4"/>
    </row>
    <row r="165">
      <c r="A165" s="5"/>
      <c r="B165" s="5"/>
      <c r="C165" s="5"/>
      <c r="D165" s="5"/>
      <c r="E165" s="5"/>
      <c r="G165" s="4"/>
      <c r="H165" s="4"/>
      <c r="I165" s="4"/>
      <c r="J165" s="5"/>
      <c r="L165" s="4"/>
      <c r="M165" s="4"/>
      <c r="N165" s="4"/>
      <c r="O165" s="4"/>
    </row>
    <row r="166">
      <c r="A166" s="5"/>
      <c r="B166" s="5"/>
      <c r="C166" s="5"/>
      <c r="D166" s="5"/>
      <c r="E166" s="5"/>
      <c r="G166" s="4"/>
      <c r="H166" s="4"/>
      <c r="I166" s="4"/>
      <c r="J166" s="5"/>
      <c r="L166" s="4"/>
      <c r="M166" s="4"/>
      <c r="N166" s="4"/>
      <c r="O166" s="4"/>
    </row>
    <row r="167">
      <c r="A167" s="5"/>
      <c r="B167" s="5"/>
      <c r="C167" s="5"/>
      <c r="D167" s="5"/>
      <c r="E167" s="5"/>
      <c r="G167" s="4"/>
      <c r="H167" s="4"/>
      <c r="I167" s="4"/>
      <c r="J167" s="5"/>
      <c r="L167" s="4"/>
      <c r="M167" s="4"/>
      <c r="N167" s="4"/>
      <c r="O167" s="4"/>
    </row>
    <row r="168">
      <c r="A168" s="5"/>
      <c r="B168" s="5"/>
      <c r="C168" s="5"/>
      <c r="D168" s="5"/>
      <c r="E168" s="5"/>
      <c r="G168" s="4"/>
      <c r="H168" s="4"/>
      <c r="I168" s="4"/>
      <c r="J168" s="5"/>
      <c r="L168" s="4"/>
      <c r="M168" s="4"/>
      <c r="N168" s="4"/>
      <c r="O168" s="4"/>
    </row>
    <row r="169">
      <c r="A169" s="5"/>
      <c r="B169" s="5"/>
      <c r="C169" s="5"/>
      <c r="D169" s="5"/>
      <c r="E169" s="5"/>
      <c r="G169" s="4"/>
      <c r="H169" s="4"/>
      <c r="I169" s="4"/>
      <c r="J169" s="5"/>
      <c r="L169" s="4"/>
      <c r="M169" s="4"/>
      <c r="N169" s="4"/>
      <c r="O169" s="4"/>
    </row>
    <row r="170">
      <c r="A170" s="5"/>
      <c r="B170" s="5"/>
      <c r="C170" s="5"/>
      <c r="D170" s="5"/>
      <c r="E170" s="5"/>
      <c r="G170" s="4"/>
      <c r="H170" s="4"/>
      <c r="I170" s="4"/>
      <c r="J170" s="5"/>
      <c r="L170" s="4"/>
      <c r="M170" s="4"/>
      <c r="N170" s="4"/>
      <c r="O170" s="4"/>
    </row>
    <row r="171">
      <c r="A171" s="5"/>
      <c r="B171" s="5"/>
      <c r="C171" s="5"/>
      <c r="D171" s="5"/>
      <c r="E171" s="5"/>
      <c r="F171" s="1"/>
      <c r="G171" s="5"/>
      <c r="H171" s="5"/>
      <c r="I171" s="4"/>
      <c r="J171" s="5"/>
      <c r="K171" s="1"/>
      <c r="N171" s="4"/>
      <c r="O171" s="4"/>
    </row>
    <row r="172">
      <c r="A172" s="5"/>
      <c r="B172" s="5"/>
      <c r="C172" s="5"/>
      <c r="D172" s="5"/>
      <c r="E172" s="5"/>
      <c r="F172" s="1"/>
      <c r="G172" s="5"/>
      <c r="H172" s="5"/>
      <c r="I172" s="4"/>
      <c r="J172" s="5"/>
      <c r="K172" s="1"/>
      <c r="N172" s="4"/>
      <c r="O172" s="4"/>
    </row>
    <row r="173">
      <c r="A173" s="5"/>
      <c r="B173" s="5"/>
      <c r="C173" s="5"/>
      <c r="D173" s="5"/>
      <c r="E173" s="5"/>
      <c r="F173" s="1"/>
      <c r="G173" s="5"/>
      <c r="H173" s="5"/>
      <c r="I173" s="4"/>
      <c r="J173" s="5"/>
      <c r="K173" s="1"/>
      <c r="N173" s="4"/>
      <c r="O173" s="4"/>
    </row>
    <row r="174">
      <c r="A174" s="5"/>
      <c r="B174" s="5"/>
      <c r="C174" s="5"/>
      <c r="D174" s="5"/>
      <c r="E174" s="5"/>
      <c r="F174" s="1"/>
      <c r="G174" s="5"/>
      <c r="H174" s="5"/>
      <c r="I174" s="4"/>
      <c r="J174" s="5"/>
      <c r="K174" s="1"/>
      <c r="N174" s="4"/>
      <c r="O174" s="4"/>
    </row>
    <row r="175">
      <c r="A175" s="5"/>
      <c r="B175" s="5"/>
      <c r="C175" s="5"/>
      <c r="D175" s="5"/>
      <c r="E175" s="5"/>
      <c r="F175" s="1"/>
      <c r="G175" s="5"/>
      <c r="H175" s="5"/>
      <c r="I175" s="4"/>
      <c r="J175" s="5"/>
      <c r="K175" s="1"/>
      <c r="N175" s="4"/>
      <c r="O175" s="4"/>
    </row>
    <row r="176">
      <c r="A176" s="5"/>
      <c r="B176" s="5"/>
      <c r="C176" s="5"/>
      <c r="D176" s="5"/>
      <c r="E176" s="5"/>
      <c r="F176" s="1"/>
      <c r="G176" s="5"/>
      <c r="H176" s="5"/>
      <c r="I176" s="4"/>
      <c r="J176" s="5"/>
      <c r="K176" s="1"/>
      <c r="N176" s="4"/>
      <c r="O176" s="4"/>
    </row>
    <row r="177">
      <c r="A177" s="5"/>
      <c r="B177" s="5"/>
      <c r="C177" s="5"/>
      <c r="D177" s="5"/>
      <c r="E177" s="5"/>
      <c r="F177" s="1"/>
      <c r="G177" s="5"/>
      <c r="H177" s="5"/>
      <c r="I177" s="4"/>
      <c r="J177" s="5"/>
      <c r="K177" s="1"/>
      <c r="N177" s="4"/>
      <c r="O177" s="4"/>
    </row>
    <row r="178">
      <c r="A178" s="5"/>
      <c r="B178" s="5"/>
      <c r="C178" s="5"/>
      <c r="D178" s="5"/>
      <c r="E178" s="5"/>
      <c r="F178" s="1"/>
      <c r="G178" s="5"/>
      <c r="H178" s="5"/>
      <c r="I178" s="4"/>
      <c r="J178" s="5"/>
      <c r="K178" s="1"/>
      <c r="N178" s="4"/>
      <c r="O178" s="4"/>
    </row>
    <row r="179">
      <c r="A179" s="5"/>
      <c r="B179" s="5"/>
      <c r="C179" s="5"/>
      <c r="D179" s="5"/>
      <c r="E179" s="5"/>
      <c r="F179" s="1"/>
      <c r="G179" s="5"/>
      <c r="H179" s="5"/>
      <c r="I179" s="4"/>
      <c r="J179" s="5"/>
      <c r="K179" s="1"/>
      <c r="N179" s="4"/>
      <c r="O179" s="4"/>
    </row>
    <row r="180">
      <c r="A180" s="5"/>
      <c r="B180" s="5"/>
      <c r="C180" s="5"/>
      <c r="D180" s="5"/>
      <c r="E180" s="5"/>
      <c r="F180" s="1"/>
      <c r="G180" s="5"/>
      <c r="H180" s="5"/>
      <c r="I180" s="4"/>
      <c r="J180" s="5"/>
      <c r="K180" s="1"/>
      <c r="N180" s="4"/>
      <c r="O180" s="4"/>
    </row>
    <row r="181">
      <c r="A181" s="5"/>
      <c r="B181" s="5"/>
      <c r="C181" s="5"/>
      <c r="D181" s="5"/>
      <c r="E181" s="5"/>
      <c r="F181" s="1"/>
      <c r="G181" s="5"/>
      <c r="H181" s="5"/>
      <c r="I181" s="4"/>
      <c r="J181" s="5"/>
      <c r="K181" s="1"/>
      <c r="N181" s="4"/>
      <c r="O181" s="4"/>
    </row>
    <row r="182">
      <c r="A182" s="5"/>
      <c r="B182" s="5"/>
      <c r="C182" s="5"/>
      <c r="D182" s="5"/>
      <c r="E182" s="5"/>
      <c r="F182" s="1"/>
      <c r="G182" s="5"/>
      <c r="H182" s="5"/>
      <c r="I182" s="4"/>
      <c r="J182" s="5"/>
      <c r="K182" s="1"/>
      <c r="N182" s="4"/>
      <c r="O182" s="4"/>
    </row>
    <row r="183">
      <c r="A183" s="5"/>
      <c r="B183" s="5"/>
      <c r="C183" s="5"/>
      <c r="D183" s="5"/>
      <c r="E183" s="5"/>
      <c r="F183" s="1"/>
      <c r="G183" s="5"/>
      <c r="H183" s="5"/>
      <c r="I183" s="4"/>
      <c r="J183" s="5"/>
      <c r="K183" s="1"/>
      <c r="N183" s="4"/>
      <c r="O183" s="4"/>
    </row>
    <row r="184">
      <c r="A184" s="5"/>
      <c r="B184" s="5"/>
      <c r="C184" s="5"/>
      <c r="D184" s="5"/>
      <c r="E184" s="5"/>
      <c r="F184" s="1"/>
      <c r="G184" s="5"/>
      <c r="H184" s="5"/>
      <c r="I184" s="4"/>
      <c r="J184" s="5"/>
      <c r="K184" s="1"/>
      <c r="N184" s="4"/>
      <c r="O184" s="4"/>
    </row>
    <row r="185">
      <c r="A185" s="5"/>
      <c r="B185" s="5"/>
      <c r="C185" s="5"/>
      <c r="D185" s="5"/>
      <c r="E185" s="5"/>
      <c r="F185" s="1"/>
      <c r="G185" s="5"/>
      <c r="H185" s="5"/>
      <c r="I185" s="4"/>
      <c r="J185" s="5"/>
      <c r="K185" s="1"/>
      <c r="N185" s="4"/>
      <c r="O185" s="4"/>
    </row>
    <row r="186">
      <c r="A186" s="5"/>
      <c r="B186" s="5"/>
      <c r="C186" s="5"/>
      <c r="D186" s="5"/>
      <c r="E186" s="5"/>
      <c r="F186" s="1"/>
      <c r="G186" s="5"/>
      <c r="H186" s="5"/>
      <c r="I186" s="4"/>
      <c r="J186" s="5"/>
      <c r="K186" s="1"/>
      <c r="N186" s="4"/>
      <c r="O186" s="4"/>
    </row>
    <row r="187">
      <c r="A187" s="5"/>
      <c r="B187" s="5"/>
      <c r="C187" s="5"/>
      <c r="D187" s="5"/>
      <c r="E187" s="5"/>
      <c r="F187" s="1"/>
      <c r="G187" s="5"/>
      <c r="H187" s="5"/>
      <c r="I187" s="4"/>
      <c r="J187" s="5"/>
      <c r="K187" s="1"/>
      <c r="N187" s="4"/>
      <c r="O187" s="4"/>
    </row>
    <row r="188">
      <c r="A188" s="5"/>
      <c r="B188" s="5"/>
      <c r="C188" s="5"/>
      <c r="D188" s="5"/>
      <c r="E188" s="5"/>
      <c r="F188" s="1"/>
      <c r="G188" s="5"/>
      <c r="H188" s="5"/>
      <c r="I188" s="4"/>
      <c r="J188" s="5"/>
      <c r="K188" s="1"/>
      <c r="N188" s="4"/>
      <c r="O188" s="4"/>
    </row>
    <row r="189">
      <c r="A189" s="5"/>
      <c r="B189" s="5"/>
      <c r="C189" s="5"/>
      <c r="D189" s="5"/>
      <c r="E189" s="5"/>
      <c r="F189" s="1"/>
      <c r="G189" s="5"/>
      <c r="H189" s="5"/>
      <c r="I189" s="4"/>
      <c r="J189" s="5"/>
      <c r="K189" s="1"/>
      <c r="N189" s="4"/>
      <c r="O189" s="4"/>
    </row>
    <row r="190">
      <c r="A190" s="5"/>
      <c r="B190" s="5"/>
      <c r="C190" s="5"/>
      <c r="D190" s="5"/>
      <c r="E190" s="5"/>
      <c r="F190" s="1"/>
      <c r="G190" s="5"/>
      <c r="H190" s="5"/>
      <c r="I190" s="4"/>
      <c r="J190" s="5"/>
      <c r="K190" s="1"/>
      <c r="N190" s="4"/>
      <c r="O190" s="4"/>
    </row>
    <row r="191">
      <c r="A191" s="5"/>
      <c r="B191" s="5"/>
      <c r="C191" s="5"/>
      <c r="D191" s="5"/>
      <c r="E191" s="5"/>
      <c r="F191" s="1"/>
      <c r="G191" s="5"/>
      <c r="H191" s="5"/>
      <c r="I191" s="4"/>
      <c r="J191" s="5"/>
      <c r="K191" s="1"/>
      <c r="N191" s="4"/>
      <c r="O191" s="4"/>
    </row>
    <row r="192">
      <c r="A192" s="5"/>
      <c r="B192" s="5"/>
      <c r="C192" s="5"/>
      <c r="D192" s="5"/>
      <c r="E192" s="5"/>
      <c r="F192" s="1"/>
      <c r="G192" s="5"/>
      <c r="H192" s="5"/>
      <c r="I192" s="4"/>
      <c r="J192" s="5"/>
      <c r="K192" s="1"/>
      <c r="N192" s="4"/>
      <c r="O192" s="4"/>
    </row>
    <row r="193">
      <c r="A193" s="5"/>
      <c r="B193" s="5"/>
      <c r="C193" s="5"/>
      <c r="D193" s="5"/>
      <c r="E193" s="5"/>
      <c r="F193" s="1"/>
      <c r="G193" s="5"/>
      <c r="H193" s="5"/>
      <c r="I193" s="4"/>
      <c r="J193" s="5"/>
      <c r="K193" s="1"/>
      <c r="N193" s="4"/>
      <c r="O193" s="4"/>
    </row>
    <row r="194">
      <c r="A194" s="5"/>
      <c r="B194" s="5"/>
      <c r="C194" s="5"/>
      <c r="D194" s="5"/>
      <c r="E194" s="5"/>
      <c r="F194" s="1"/>
      <c r="G194" s="5"/>
      <c r="H194" s="5"/>
      <c r="I194" s="4"/>
      <c r="J194" s="5"/>
      <c r="K194" s="1"/>
      <c r="N194" s="4"/>
      <c r="O194" s="4"/>
    </row>
    <row r="195">
      <c r="A195" s="5"/>
      <c r="B195" s="5"/>
      <c r="C195" s="5"/>
      <c r="D195" s="5"/>
      <c r="E195" s="5"/>
      <c r="F195" s="1"/>
      <c r="G195" s="5"/>
      <c r="H195" s="5"/>
      <c r="I195" s="4"/>
      <c r="J195" s="5"/>
      <c r="K195" s="1"/>
      <c r="N195" s="4"/>
      <c r="O195" s="4"/>
    </row>
    <row r="196">
      <c r="A196" s="5"/>
      <c r="B196" s="5"/>
      <c r="C196" s="5"/>
      <c r="D196" s="5"/>
      <c r="E196" s="5"/>
      <c r="F196" s="1"/>
      <c r="G196" s="5"/>
      <c r="H196" s="5"/>
      <c r="I196" s="4"/>
      <c r="J196" s="5"/>
      <c r="K196" s="1"/>
      <c r="N196" s="4"/>
      <c r="O196" s="4"/>
    </row>
    <row r="197">
      <c r="A197" s="5"/>
      <c r="B197" s="5"/>
      <c r="C197" s="5"/>
      <c r="D197" s="5"/>
      <c r="E197" s="5"/>
      <c r="F197" s="1"/>
      <c r="G197" s="5"/>
      <c r="H197" s="5"/>
      <c r="I197" s="4"/>
      <c r="J197" s="5"/>
      <c r="K197" s="1"/>
      <c r="N197" s="4"/>
      <c r="O197" s="4"/>
    </row>
    <row r="198">
      <c r="A198" s="5"/>
      <c r="B198" s="5"/>
      <c r="C198" s="5"/>
      <c r="D198" s="5"/>
      <c r="E198" s="5"/>
      <c r="F198" s="1"/>
      <c r="G198" s="5"/>
      <c r="H198" s="5"/>
      <c r="I198" s="4"/>
      <c r="J198" s="5"/>
      <c r="K198" s="1"/>
      <c r="N198" s="4"/>
      <c r="O198" s="4"/>
    </row>
    <row r="199">
      <c r="A199" s="5"/>
      <c r="B199" s="5"/>
      <c r="C199" s="5"/>
      <c r="D199" s="5"/>
      <c r="E199" s="5"/>
      <c r="F199" s="1"/>
      <c r="G199" s="5"/>
      <c r="H199" s="5"/>
      <c r="I199" s="4"/>
      <c r="J199" s="5"/>
      <c r="K199" s="1"/>
      <c r="N199" s="4"/>
      <c r="O199" s="4"/>
    </row>
    <row r="200">
      <c r="A200" s="5"/>
      <c r="B200" s="5"/>
      <c r="C200" s="5"/>
      <c r="D200" s="5"/>
      <c r="E200" s="5"/>
      <c r="F200" s="1"/>
      <c r="G200" s="5"/>
      <c r="H200" s="5"/>
      <c r="I200" s="4"/>
      <c r="J200" s="5"/>
      <c r="K200" s="1"/>
      <c r="N200" s="4"/>
      <c r="O200" s="4"/>
    </row>
    <row r="201">
      <c r="A201" s="5"/>
      <c r="B201" s="5"/>
      <c r="C201" s="5"/>
      <c r="D201" s="5"/>
      <c r="E201" s="5"/>
      <c r="F201" s="1"/>
      <c r="G201" s="5"/>
      <c r="H201" s="5"/>
      <c r="I201" s="4"/>
      <c r="J201" s="5"/>
      <c r="K201" s="1"/>
      <c r="N201" s="4"/>
      <c r="O201" s="4"/>
    </row>
    <row r="202">
      <c r="A202" s="5"/>
      <c r="B202" s="5"/>
      <c r="C202" s="5"/>
      <c r="D202" s="5"/>
      <c r="E202" s="5"/>
      <c r="F202" s="1"/>
      <c r="G202" s="5"/>
      <c r="H202" s="5"/>
      <c r="I202" s="4"/>
      <c r="J202" s="5"/>
      <c r="K202" s="1"/>
      <c r="N202" s="4"/>
      <c r="O202" s="4"/>
    </row>
    <row r="203">
      <c r="A203" s="5"/>
      <c r="B203" s="5"/>
      <c r="C203" s="5"/>
      <c r="D203" s="5"/>
      <c r="E203" s="5"/>
      <c r="F203" s="1"/>
      <c r="G203" s="5"/>
      <c r="H203" s="5"/>
      <c r="I203" s="4"/>
      <c r="J203" s="5"/>
      <c r="K203" s="1"/>
      <c r="N203" s="4"/>
      <c r="O203" s="4"/>
    </row>
    <row r="204">
      <c r="A204" s="5"/>
      <c r="B204" s="5"/>
      <c r="C204" s="5"/>
      <c r="D204" s="5"/>
      <c r="E204" s="5"/>
      <c r="F204" s="1"/>
      <c r="G204" s="5"/>
      <c r="H204" s="5"/>
      <c r="I204" s="4"/>
      <c r="J204" s="5"/>
      <c r="K204" s="1"/>
      <c r="N204" s="4"/>
      <c r="O204" s="4"/>
    </row>
    <row r="205">
      <c r="A205" s="5"/>
      <c r="B205" s="5"/>
      <c r="C205" s="5"/>
      <c r="D205" s="5"/>
      <c r="E205" s="5"/>
      <c r="F205" s="1"/>
      <c r="G205" s="5"/>
      <c r="H205" s="5"/>
      <c r="I205" s="4"/>
      <c r="J205" s="5"/>
      <c r="K205" s="1"/>
      <c r="N205" s="4"/>
      <c r="O205" s="4"/>
    </row>
    <row r="206">
      <c r="A206" s="5"/>
      <c r="B206" s="5"/>
      <c r="C206" s="5"/>
      <c r="D206" s="5"/>
      <c r="E206" s="5"/>
      <c r="F206" s="1"/>
      <c r="G206" s="5"/>
      <c r="H206" s="5"/>
      <c r="I206" s="4"/>
      <c r="J206" s="5"/>
      <c r="K206" s="1"/>
      <c r="N206" s="4"/>
      <c r="O206" s="4"/>
    </row>
    <row r="207">
      <c r="A207" s="5"/>
      <c r="B207" s="5"/>
      <c r="C207" s="5"/>
      <c r="D207" s="5"/>
      <c r="E207" s="5"/>
      <c r="F207" s="1"/>
      <c r="G207" s="5"/>
      <c r="H207" s="5"/>
      <c r="I207" s="4"/>
      <c r="J207" s="5"/>
      <c r="K207" s="1"/>
      <c r="N207" s="4"/>
      <c r="O207" s="4"/>
    </row>
    <row r="208">
      <c r="A208" s="5"/>
      <c r="B208" s="5"/>
      <c r="C208" s="5"/>
      <c r="D208" s="5"/>
      <c r="E208" s="5"/>
      <c r="F208" s="1"/>
      <c r="G208" s="5"/>
      <c r="H208" s="5"/>
      <c r="I208" s="4"/>
      <c r="J208" s="5"/>
      <c r="K208" s="1"/>
      <c r="N208" s="4"/>
      <c r="O208" s="4"/>
    </row>
    <row r="209">
      <c r="A209" s="5"/>
      <c r="B209" s="5"/>
      <c r="C209" s="5"/>
      <c r="D209" s="5"/>
      <c r="E209" s="5"/>
      <c r="F209" s="1"/>
      <c r="G209" s="5"/>
      <c r="H209" s="5"/>
      <c r="I209" s="4"/>
      <c r="J209" s="5"/>
      <c r="K209" s="1"/>
      <c r="N209" s="4"/>
      <c r="O209" s="4"/>
    </row>
    <row r="210">
      <c r="A210" s="5"/>
      <c r="B210" s="5"/>
      <c r="C210" s="5"/>
      <c r="D210" s="5"/>
      <c r="E210" s="5"/>
      <c r="F210" s="1"/>
      <c r="G210" s="5"/>
      <c r="H210" s="5"/>
      <c r="I210" s="4"/>
      <c r="J210" s="5"/>
      <c r="K210" s="1"/>
      <c r="N210" s="4"/>
      <c r="O210" s="4"/>
    </row>
    <row r="211">
      <c r="A211" s="5"/>
      <c r="B211" s="5"/>
      <c r="C211" s="5"/>
      <c r="D211" s="5"/>
      <c r="E211" s="5"/>
      <c r="F211" s="1"/>
      <c r="G211" s="5"/>
      <c r="H211" s="5"/>
      <c r="I211" s="4"/>
      <c r="J211" s="5"/>
      <c r="K211" s="1"/>
      <c r="N211" s="4"/>
      <c r="O211" s="4"/>
    </row>
    <row r="212">
      <c r="A212" s="5"/>
      <c r="B212" s="5"/>
      <c r="C212" s="5"/>
      <c r="D212" s="5"/>
      <c r="E212" s="5"/>
      <c r="F212" s="1"/>
      <c r="G212" s="5"/>
      <c r="H212" s="5"/>
      <c r="I212" s="4"/>
      <c r="J212" s="5"/>
      <c r="K212" s="1"/>
      <c r="N212" s="4"/>
      <c r="O212" s="4"/>
    </row>
    <row r="213">
      <c r="A213" s="5"/>
      <c r="B213" s="5"/>
      <c r="C213" s="5"/>
      <c r="D213" s="5"/>
      <c r="E213" s="5"/>
      <c r="F213" s="1"/>
      <c r="G213" s="5"/>
      <c r="H213" s="5"/>
      <c r="I213" s="4"/>
      <c r="J213" s="5"/>
      <c r="K213" s="1"/>
      <c r="N213" s="4"/>
      <c r="O213" s="4"/>
    </row>
    <row r="214">
      <c r="A214" s="5"/>
      <c r="B214" s="5"/>
      <c r="C214" s="5"/>
      <c r="D214" s="5"/>
      <c r="E214" s="5"/>
      <c r="F214" s="1"/>
      <c r="G214" s="5"/>
      <c r="H214" s="5"/>
      <c r="I214" s="4"/>
      <c r="J214" s="5"/>
      <c r="K214" s="1"/>
      <c r="N214" s="4"/>
      <c r="O214" s="4"/>
    </row>
    <row r="215">
      <c r="A215" s="5"/>
      <c r="B215" s="5"/>
      <c r="C215" s="5"/>
      <c r="D215" s="5"/>
      <c r="E215" s="5"/>
      <c r="F215" s="1"/>
      <c r="G215" s="5"/>
      <c r="H215" s="5"/>
      <c r="I215" s="4"/>
      <c r="J215" s="5"/>
      <c r="K215" s="1"/>
      <c r="N215" s="4"/>
      <c r="O215" s="4"/>
    </row>
    <row r="216">
      <c r="A216" s="5"/>
      <c r="B216" s="5"/>
      <c r="C216" s="5"/>
      <c r="D216" s="5"/>
      <c r="E216" s="5"/>
      <c r="F216" s="1"/>
      <c r="G216" s="5"/>
      <c r="H216" s="5"/>
      <c r="I216" s="4"/>
      <c r="J216" s="5"/>
      <c r="K216" s="1"/>
      <c r="N216" s="4"/>
      <c r="O216" s="4"/>
    </row>
    <row r="217">
      <c r="A217" s="5"/>
      <c r="B217" s="5"/>
      <c r="C217" s="5"/>
      <c r="D217" s="5"/>
      <c r="E217" s="5"/>
      <c r="F217" s="1"/>
      <c r="G217" s="5"/>
      <c r="H217" s="5"/>
      <c r="I217" s="4"/>
      <c r="J217" s="5"/>
      <c r="K217" s="1"/>
      <c r="N217" s="4"/>
      <c r="O217" s="4"/>
    </row>
    <row r="218">
      <c r="A218" s="5"/>
      <c r="B218" s="5"/>
      <c r="C218" s="5"/>
      <c r="D218" s="5"/>
      <c r="E218" s="5"/>
      <c r="F218" s="1"/>
      <c r="G218" s="5"/>
      <c r="H218" s="5"/>
      <c r="I218" s="4"/>
      <c r="J218" s="5"/>
      <c r="K218" s="1"/>
      <c r="N218" s="4"/>
      <c r="O218" s="4"/>
    </row>
    <row r="219">
      <c r="A219" s="5"/>
      <c r="B219" s="5"/>
      <c r="C219" s="5"/>
      <c r="D219" s="5"/>
      <c r="E219" s="5"/>
      <c r="F219" s="1"/>
      <c r="G219" s="5"/>
      <c r="H219" s="5"/>
      <c r="I219" s="4"/>
      <c r="J219" s="5"/>
      <c r="K219" s="1"/>
      <c r="N219" s="4"/>
      <c r="O219" s="4"/>
    </row>
    <row r="220">
      <c r="A220" s="5"/>
      <c r="B220" s="5"/>
      <c r="C220" s="5"/>
      <c r="D220" s="5"/>
      <c r="E220" s="5"/>
      <c r="F220" s="1"/>
      <c r="G220" s="5"/>
      <c r="H220" s="5"/>
      <c r="I220" s="4"/>
      <c r="J220" s="5"/>
      <c r="K220" s="1"/>
      <c r="N220" s="4"/>
      <c r="O220" s="4"/>
    </row>
    <row r="221">
      <c r="A221" s="5"/>
      <c r="B221" s="5"/>
      <c r="C221" s="5"/>
      <c r="D221" s="5"/>
      <c r="E221" s="5"/>
      <c r="F221" s="1"/>
      <c r="G221" s="5"/>
      <c r="H221" s="5"/>
      <c r="I221" s="4"/>
      <c r="J221" s="5"/>
      <c r="K221" s="1"/>
      <c r="N221" s="4"/>
      <c r="O221" s="4"/>
    </row>
    <row r="222">
      <c r="A222" s="5"/>
      <c r="B222" s="5"/>
      <c r="C222" s="5"/>
      <c r="D222" s="5"/>
      <c r="E222" s="5"/>
      <c r="F222" s="1"/>
      <c r="G222" s="5"/>
      <c r="H222" s="5"/>
      <c r="I222" s="4"/>
      <c r="J222" s="5"/>
      <c r="K222" s="1"/>
      <c r="N222" s="4"/>
      <c r="O222" s="4"/>
    </row>
    <row r="223">
      <c r="A223" s="5"/>
      <c r="B223" s="5"/>
      <c r="C223" s="5"/>
      <c r="D223" s="5"/>
      <c r="E223" s="5"/>
      <c r="F223" s="1"/>
      <c r="G223" s="5"/>
      <c r="H223" s="5"/>
      <c r="I223" s="4"/>
      <c r="J223" s="5"/>
      <c r="K223" s="1"/>
      <c r="N223" s="4"/>
      <c r="O223" s="4"/>
    </row>
    <row r="224">
      <c r="A224" s="5"/>
      <c r="B224" s="5"/>
      <c r="C224" s="5"/>
      <c r="D224" s="5"/>
      <c r="E224" s="5"/>
      <c r="F224" s="1"/>
      <c r="G224" s="5"/>
      <c r="H224" s="5"/>
      <c r="I224" s="4"/>
      <c r="J224" s="5"/>
      <c r="K224" s="1"/>
      <c r="N224" s="4"/>
      <c r="O224" s="4"/>
    </row>
    <row r="225">
      <c r="A225" s="5"/>
      <c r="B225" s="5"/>
      <c r="C225" s="5"/>
      <c r="D225" s="5"/>
      <c r="E225" s="5"/>
      <c r="F225" s="1"/>
      <c r="G225" s="5"/>
      <c r="H225" s="5"/>
      <c r="I225" s="4"/>
      <c r="J225" s="5"/>
      <c r="K225" s="1"/>
      <c r="N225" s="4"/>
      <c r="O225" s="4"/>
    </row>
    <row r="226">
      <c r="A226" s="5"/>
      <c r="B226" s="5"/>
      <c r="C226" s="5"/>
      <c r="D226" s="5"/>
      <c r="E226" s="5"/>
      <c r="F226" s="1"/>
      <c r="G226" s="5"/>
      <c r="H226" s="5"/>
      <c r="I226" s="4"/>
      <c r="J226" s="5"/>
      <c r="K226" s="1"/>
      <c r="N226" s="4"/>
      <c r="O226" s="4"/>
    </row>
    <row r="227">
      <c r="A227" s="5"/>
      <c r="B227" s="5"/>
      <c r="C227" s="5"/>
      <c r="D227" s="5"/>
      <c r="E227" s="5"/>
      <c r="F227" s="1"/>
      <c r="G227" s="5"/>
      <c r="H227" s="5"/>
      <c r="I227" s="4"/>
      <c r="J227" s="5"/>
      <c r="K227" s="1"/>
      <c r="N227" s="4"/>
      <c r="O227" s="4"/>
    </row>
    <row r="228">
      <c r="A228" s="5"/>
      <c r="B228" s="5"/>
      <c r="C228" s="5"/>
      <c r="D228" s="5"/>
      <c r="E228" s="5"/>
      <c r="F228" s="1"/>
      <c r="G228" s="5"/>
      <c r="H228" s="5"/>
      <c r="I228" s="4"/>
      <c r="J228" s="5"/>
      <c r="K228" s="1"/>
      <c r="N228" s="4"/>
      <c r="O228" s="4"/>
    </row>
    <row r="229">
      <c r="A229" s="5"/>
      <c r="B229" s="5"/>
      <c r="C229" s="5"/>
      <c r="D229" s="5"/>
      <c r="E229" s="5"/>
      <c r="F229" s="1"/>
      <c r="G229" s="5"/>
      <c r="H229" s="5"/>
      <c r="I229" s="4"/>
      <c r="J229" s="5"/>
      <c r="K229" s="1"/>
      <c r="N229" s="4"/>
      <c r="O229" s="4"/>
    </row>
    <row r="230">
      <c r="A230" s="5"/>
      <c r="B230" s="5"/>
      <c r="C230" s="5"/>
      <c r="D230" s="5"/>
      <c r="E230" s="5"/>
      <c r="F230" s="1"/>
      <c r="G230" s="5"/>
      <c r="H230" s="5"/>
      <c r="I230" s="4"/>
      <c r="J230" s="5"/>
      <c r="K230" s="1"/>
      <c r="N230" s="4"/>
      <c r="O230" s="4"/>
    </row>
    <row r="231">
      <c r="A231" s="5"/>
      <c r="B231" s="5"/>
      <c r="C231" s="5"/>
      <c r="D231" s="5"/>
      <c r="E231" s="5"/>
      <c r="F231" s="1"/>
      <c r="G231" s="5"/>
      <c r="H231" s="5"/>
      <c r="I231" s="4"/>
      <c r="J231" s="5"/>
      <c r="K231" s="1"/>
      <c r="N231" s="4"/>
      <c r="O231" s="4"/>
    </row>
    <row r="232">
      <c r="A232" s="5"/>
      <c r="B232" s="5"/>
      <c r="C232" s="5"/>
      <c r="D232" s="5"/>
      <c r="E232" s="5"/>
      <c r="F232" s="1"/>
      <c r="G232" s="5"/>
      <c r="H232" s="5"/>
      <c r="I232" s="4"/>
      <c r="J232" s="5"/>
      <c r="K232" s="1"/>
      <c r="N232" s="4"/>
      <c r="O232" s="4"/>
    </row>
    <row r="233">
      <c r="A233" s="5"/>
      <c r="B233" s="5"/>
      <c r="C233" s="5"/>
      <c r="D233" s="5"/>
      <c r="E233" s="5"/>
      <c r="F233" s="1"/>
      <c r="G233" s="5"/>
      <c r="H233" s="5"/>
      <c r="I233" s="4"/>
      <c r="J233" s="5"/>
      <c r="K233" s="1"/>
      <c r="N233" s="4"/>
      <c r="O233" s="4"/>
    </row>
    <row r="234">
      <c r="A234" s="5"/>
      <c r="B234" s="5"/>
      <c r="C234" s="5"/>
      <c r="D234" s="5"/>
      <c r="E234" s="5"/>
      <c r="F234" s="1"/>
      <c r="G234" s="5"/>
      <c r="H234" s="5"/>
      <c r="I234" s="4"/>
      <c r="J234" s="5"/>
      <c r="K234" s="1"/>
      <c r="N234" s="4"/>
      <c r="O234" s="4"/>
    </row>
    <row r="235">
      <c r="A235" s="5"/>
      <c r="B235" s="5"/>
      <c r="C235" s="5"/>
      <c r="D235" s="5"/>
      <c r="E235" s="5"/>
      <c r="F235" s="1"/>
      <c r="G235" s="5"/>
      <c r="H235" s="5"/>
      <c r="I235" s="4"/>
      <c r="J235" s="5"/>
      <c r="K235" s="1"/>
      <c r="N235" s="4"/>
      <c r="O235" s="4"/>
    </row>
    <row r="236">
      <c r="A236" s="5"/>
      <c r="B236" s="5"/>
      <c r="C236" s="5"/>
      <c r="D236" s="5"/>
      <c r="E236" s="5"/>
      <c r="F236" s="1"/>
      <c r="G236" s="5"/>
      <c r="H236" s="5"/>
      <c r="I236" s="4"/>
      <c r="J236" s="5"/>
      <c r="K236" s="1"/>
      <c r="N236" s="4"/>
      <c r="O236" s="4"/>
    </row>
    <row r="237">
      <c r="A237" s="5"/>
      <c r="B237" s="5"/>
      <c r="C237" s="5"/>
      <c r="D237" s="5"/>
      <c r="E237" s="5"/>
      <c r="F237" s="1"/>
      <c r="G237" s="5"/>
      <c r="H237" s="5"/>
      <c r="I237" s="4"/>
      <c r="J237" s="5"/>
      <c r="K237" s="1"/>
      <c r="N237" s="4"/>
      <c r="O237" s="4"/>
    </row>
    <row r="238">
      <c r="A238" s="5"/>
      <c r="B238" s="5"/>
      <c r="C238" s="5"/>
      <c r="D238" s="5"/>
      <c r="E238" s="5"/>
      <c r="F238" s="1"/>
      <c r="G238" s="5"/>
      <c r="H238" s="5"/>
      <c r="I238" s="4"/>
      <c r="J238" s="5"/>
      <c r="K238" s="1"/>
      <c r="N238" s="4"/>
      <c r="O238" s="4"/>
    </row>
    <row r="239">
      <c r="A239" s="5"/>
      <c r="B239" s="5"/>
      <c r="C239" s="5"/>
      <c r="D239" s="5"/>
      <c r="E239" s="5"/>
      <c r="F239" s="1"/>
      <c r="G239" s="5"/>
      <c r="H239" s="5"/>
      <c r="I239" s="4"/>
      <c r="J239" s="5"/>
      <c r="K239" s="1"/>
      <c r="N239" s="4"/>
      <c r="O239" s="4"/>
    </row>
    <row r="240">
      <c r="A240" s="5"/>
      <c r="B240" s="5"/>
      <c r="C240" s="5"/>
      <c r="D240" s="5"/>
      <c r="E240" s="5"/>
      <c r="F240" s="1"/>
      <c r="G240" s="5"/>
      <c r="H240" s="5"/>
      <c r="I240" s="4"/>
      <c r="J240" s="5"/>
      <c r="K240" s="1"/>
      <c r="N240" s="4"/>
      <c r="O240" s="4"/>
    </row>
    <row r="241">
      <c r="A241" s="5"/>
      <c r="B241" s="5"/>
      <c r="C241" s="5"/>
      <c r="D241" s="5"/>
      <c r="E241" s="5"/>
      <c r="G241" s="5"/>
      <c r="H241" s="5"/>
      <c r="I241" s="4"/>
      <c r="J241" s="5"/>
      <c r="N241" s="4"/>
      <c r="O241" s="4"/>
    </row>
    <row r="242">
      <c r="A242" s="5"/>
      <c r="B242" s="5"/>
      <c r="C242" s="5"/>
      <c r="D242" s="5"/>
      <c r="E242" s="5"/>
      <c r="G242" s="5"/>
      <c r="H242" s="5"/>
      <c r="I242" s="4"/>
      <c r="J242" s="5"/>
      <c r="N242" s="4"/>
      <c r="O242" s="4"/>
    </row>
    <row r="243">
      <c r="A243" s="5"/>
      <c r="B243" s="5"/>
      <c r="C243" s="5"/>
      <c r="D243" s="5"/>
      <c r="E243" s="5"/>
      <c r="G243" s="5"/>
      <c r="H243" s="5"/>
      <c r="I243" s="4"/>
      <c r="J243" s="5"/>
      <c r="N243" s="4"/>
      <c r="O243" s="4"/>
    </row>
    <row r="244">
      <c r="A244" s="5"/>
      <c r="B244" s="5"/>
      <c r="C244" s="5"/>
      <c r="D244" s="5"/>
      <c r="E244" s="5"/>
      <c r="G244" s="5"/>
      <c r="H244" s="5"/>
      <c r="I244" s="4"/>
      <c r="J244" s="5"/>
      <c r="N244" s="4"/>
      <c r="O244" s="4"/>
    </row>
    <row r="245">
      <c r="A245" s="5"/>
      <c r="B245" s="5"/>
      <c r="C245" s="5"/>
      <c r="D245" s="5"/>
      <c r="E245" s="5"/>
      <c r="G245" s="5"/>
      <c r="H245" s="5"/>
      <c r="I245" s="4"/>
      <c r="J245" s="5"/>
      <c r="N245" s="4"/>
      <c r="O245" s="4"/>
    </row>
    <row r="246">
      <c r="A246" s="5"/>
      <c r="B246" s="5"/>
      <c r="C246" s="5"/>
      <c r="D246" s="5"/>
      <c r="E246" s="5"/>
      <c r="G246" s="5"/>
      <c r="H246" s="5"/>
      <c r="I246" s="4"/>
      <c r="J246" s="5"/>
      <c r="N246" s="4"/>
      <c r="O246" s="4"/>
    </row>
    <row r="247">
      <c r="A247" s="5"/>
      <c r="B247" s="5"/>
      <c r="C247" s="5"/>
      <c r="D247" s="5"/>
      <c r="E247" s="5"/>
      <c r="G247" s="5"/>
      <c r="H247" s="5"/>
      <c r="I247" s="4"/>
      <c r="J247" s="5"/>
      <c r="N247" s="4"/>
      <c r="O247" s="4"/>
    </row>
    <row r="248">
      <c r="A248" s="5"/>
      <c r="B248" s="5"/>
      <c r="C248" s="5"/>
      <c r="D248" s="5"/>
      <c r="E248" s="5"/>
      <c r="G248" s="5"/>
      <c r="H248" s="5"/>
      <c r="I248" s="4"/>
      <c r="J248" s="5"/>
      <c r="N248" s="4"/>
      <c r="O248" s="4"/>
    </row>
    <row r="249">
      <c r="A249" s="5"/>
      <c r="B249" s="5"/>
      <c r="C249" s="5"/>
      <c r="D249" s="5"/>
      <c r="E249" s="5"/>
      <c r="G249" s="5"/>
      <c r="H249" s="5"/>
      <c r="I249" s="4"/>
      <c r="J249" s="5"/>
      <c r="N249" s="4"/>
      <c r="O249" s="4"/>
    </row>
    <row r="250">
      <c r="A250" s="5"/>
      <c r="B250" s="5"/>
      <c r="C250" s="5"/>
      <c r="D250" s="5"/>
      <c r="E250" s="5"/>
      <c r="G250" s="5"/>
      <c r="H250" s="5"/>
      <c r="I250" s="4"/>
      <c r="J250" s="5"/>
      <c r="N250" s="4"/>
      <c r="O25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D1" s="7" t="str">
        <f>IFERROR(__xludf.DUMMYFUNCTION("importrange(Administrative!$C$22,Administrative!$C$27)"),"#REF!")</f>
        <v>#REF!</v>
      </c>
      <c r="E1" s="4"/>
      <c r="F1" s="4"/>
      <c r="G1" s="4"/>
      <c r="H1" s="4"/>
    </row>
    <row r="2">
      <c r="D2" s="5"/>
      <c r="E2" s="4"/>
      <c r="F2" s="4"/>
      <c r="G2" s="4"/>
      <c r="H2" s="4"/>
    </row>
    <row r="3">
      <c r="D3" s="5"/>
      <c r="E3" s="4"/>
      <c r="F3" s="4"/>
      <c r="G3" s="4"/>
      <c r="H3" s="4"/>
    </row>
    <row r="4">
      <c r="D4" s="5"/>
      <c r="E4" s="4"/>
      <c r="F4" s="4"/>
      <c r="G4" s="4"/>
      <c r="H4" s="4"/>
    </row>
    <row r="5">
      <c r="D5" s="5"/>
      <c r="E5" s="4"/>
      <c r="F5" s="4"/>
      <c r="G5" s="4"/>
      <c r="H5" s="4"/>
    </row>
    <row r="6">
      <c r="D6" s="5"/>
      <c r="E6" s="4"/>
      <c r="F6" s="4"/>
      <c r="G6" s="4"/>
      <c r="H6" s="4"/>
    </row>
    <row r="7">
      <c r="D7" s="5"/>
      <c r="E7" s="4"/>
      <c r="F7" s="4"/>
      <c r="G7" s="4"/>
      <c r="H7" s="4"/>
    </row>
    <row r="8">
      <c r="D8" s="5"/>
      <c r="E8" s="4"/>
      <c r="F8" s="4"/>
      <c r="G8" s="4"/>
      <c r="H8" s="4"/>
    </row>
    <row r="9">
      <c r="D9" s="5"/>
      <c r="E9" s="4"/>
      <c r="F9" s="4"/>
      <c r="G9" s="4"/>
      <c r="H9" s="4"/>
    </row>
    <row r="10">
      <c r="D10" s="5"/>
      <c r="E10" s="4"/>
      <c r="F10" s="4"/>
      <c r="G10" s="4"/>
      <c r="H10" s="4"/>
    </row>
    <row r="11">
      <c r="D11" s="5"/>
      <c r="E11" s="4"/>
      <c r="F11" s="4"/>
      <c r="G11" s="4"/>
      <c r="H11" s="4"/>
    </row>
    <row r="12">
      <c r="D12" s="5"/>
      <c r="E12" s="4"/>
      <c r="F12" s="4"/>
      <c r="G12" s="4"/>
      <c r="H12" s="4"/>
    </row>
    <row r="13">
      <c r="D13" s="5"/>
      <c r="E13" s="4"/>
      <c r="F13" s="4"/>
      <c r="G13" s="4"/>
      <c r="H13" s="4"/>
    </row>
    <row r="14">
      <c r="D14" s="5"/>
      <c r="E14" s="4"/>
      <c r="F14" s="4"/>
      <c r="G14" s="4"/>
      <c r="H14" s="4"/>
    </row>
    <row r="15">
      <c r="D15" s="5"/>
      <c r="E15" s="4"/>
      <c r="F15" s="4"/>
      <c r="G15" s="4"/>
      <c r="H15" s="4"/>
    </row>
    <row r="16">
      <c r="D16" s="5"/>
      <c r="E16" s="4"/>
      <c r="F16" s="4"/>
      <c r="G16" s="4"/>
      <c r="H16" s="4"/>
    </row>
    <row r="17">
      <c r="D17" s="5"/>
      <c r="E17" s="4"/>
      <c r="F17" s="4"/>
      <c r="G17" s="4"/>
      <c r="H17" s="4"/>
    </row>
    <row r="18">
      <c r="D18" s="5"/>
      <c r="E18" s="4"/>
      <c r="F18" s="4"/>
      <c r="G18" s="4"/>
      <c r="H18" s="4"/>
    </row>
    <row r="19">
      <c r="D19" s="5"/>
      <c r="E19" s="4"/>
      <c r="F19" s="4"/>
      <c r="G19" s="4"/>
      <c r="H19" s="4"/>
    </row>
    <row r="20">
      <c r="D20" s="5"/>
      <c r="E20" s="4"/>
      <c r="F20" s="4"/>
      <c r="G20" s="4"/>
      <c r="H20" s="4"/>
    </row>
    <row r="21">
      <c r="D21" s="5"/>
      <c r="E21" s="4"/>
      <c r="F21" s="4"/>
      <c r="G21" s="4"/>
      <c r="H21" s="4"/>
    </row>
    <row r="22">
      <c r="D22" s="5"/>
      <c r="E22" s="4"/>
      <c r="F22" s="4"/>
      <c r="G22" s="4"/>
      <c r="H22" s="4"/>
    </row>
    <row r="23">
      <c r="D23" s="5"/>
      <c r="E23" s="4"/>
      <c r="F23" s="4"/>
      <c r="G23" s="4"/>
      <c r="H23" s="4"/>
    </row>
    <row r="24">
      <c r="D24" s="5"/>
      <c r="E24" s="4"/>
      <c r="F24" s="4"/>
      <c r="G24" s="4"/>
      <c r="H24" s="4"/>
    </row>
    <row r="25">
      <c r="D25" s="5"/>
      <c r="E25" s="4"/>
      <c r="F25" s="4"/>
      <c r="G25" s="4"/>
      <c r="H25" s="4"/>
    </row>
    <row r="26">
      <c r="D26" s="5"/>
      <c r="E26" s="4"/>
      <c r="F26" s="4"/>
      <c r="G26" s="4"/>
      <c r="H26" s="4"/>
    </row>
    <row r="27">
      <c r="D27" s="5"/>
      <c r="E27" s="4"/>
      <c r="F27" s="4"/>
      <c r="G27" s="4"/>
      <c r="H27" s="4"/>
    </row>
    <row r="28">
      <c r="D28" s="5"/>
      <c r="E28" s="4"/>
      <c r="F28" s="4"/>
      <c r="G28" s="4"/>
      <c r="H28" s="4"/>
    </row>
    <row r="29">
      <c r="D29" s="5"/>
      <c r="E29" s="4"/>
      <c r="F29" s="4"/>
      <c r="G29" s="4"/>
      <c r="H29" s="4"/>
    </row>
    <row r="30">
      <c r="D30" s="5"/>
      <c r="E30" s="4"/>
      <c r="F30" s="4"/>
      <c r="G30" s="4"/>
      <c r="H30" s="4"/>
    </row>
    <row r="31">
      <c r="D31" s="5"/>
      <c r="E31" s="4"/>
      <c r="F31" s="4"/>
      <c r="G31" s="4"/>
      <c r="H31" s="4"/>
    </row>
    <row r="32">
      <c r="D32" s="5"/>
      <c r="E32" s="4"/>
      <c r="F32" s="4"/>
      <c r="G32" s="4"/>
      <c r="H32" s="4"/>
    </row>
    <row r="33">
      <c r="D33" s="5"/>
      <c r="E33" s="4"/>
      <c r="F33" s="4"/>
      <c r="G33" s="4"/>
      <c r="H33" s="4"/>
    </row>
    <row r="34">
      <c r="D34" s="5"/>
      <c r="E34" s="4"/>
      <c r="F34" s="4"/>
      <c r="G34" s="4"/>
      <c r="H34" s="4"/>
    </row>
    <row r="35">
      <c r="D35" s="5"/>
      <c r="E35" s="4"/>
      <c r="F35" s="4"/>
      <c r="G35" s="4"/>
      <c r="H35" s="4"/>
    </row>
    <row r="36">
      <c r="D36" s="5"/>
      <c r="E36" s="4"/>
      <c r="F36" s="4"/>
      <c r="G36" s="4"/>
      <c r="H36" s="4"/>
    </row>
    <row r="37">
      <c r="D37" s="5"/>
      <c r="E37" s="4"/>
      <c r="F37" s="4"/>
      <c r="G37" s="4"/>
      <c r="H37" s="4"/>
    </row>
    <row r="38">
      <c r="D38" s="5"/>
      <c r="E38" s="4"/>
      <c r="F38" s="4"/>
      <c r="G38" s="4"/>
      <c r="H38" s="4"/>
    </row>
    <row r="39">
      <c r="D39" s="5"/>
      <c r="E39" s="4"/>
      <c r="F39" s="4"/>
      <c r="G39" s="4"/>
      <c r="H39" s="4"/>
    </row>
    <row r="40">
      <c r="D40" s="5"/>
      <c r="E40" s="4"/>
      <c r="F40" s="4"/>
      <c r="G40" s="4"/>
      <c r="H40" s="4"/>
    </row>
    <row r="41">
      <c r="D41" s="5"/>
      <c r="E41" s="4"/>
      <c r="F41" s="4"/>
      <c r="G41" s="4"/>
      <c r="H41" s="4"/>
    </row>
    <row r="42">
      <c r="D42" s="5"/>
      <c r="E42" s="4"/>
      <c r="F42" s="4"/>
      <c r="G42" s="4"/>
      <c r="H42" s="4"/>
    </row>
    <row r="43">
      <c r="D43" s="5"/>
      <c r="E43" s="4"/>
      <c r="F43" s="4"/>
      <c r="G43" s="4"/>
      <c r="H43" s="4"/>
    </row>
    <row r="44">
      <c r="D44" s="5"/>
      <c r="E44" s="4"/>
      <c r="F44" s="4"/>
      <c r="G44" s="4"/>
      <c r="H44" s="4"/>
    </row>
    <row r="45">
      <c r="D45" s="5"/>
      <c r="E45" s="4"/>
      <c r="F45" s="4"/>
      <c r="G45" s="4"/>
      <c r="H45" s="4"/>
    </row>
    <row r="46">
      <c r="D46" s="5"/>
      <c r="E46" s="4"/>
      <c r="F46" s="4"/>
      <c r="G46" s="4"/>
      <c r="H46" s="4"/>
    </row>
    <row r="47">
      <c r="D47" s="5"/>
      <c r="E47" s="4"/>
      <c r="F47" s="4"/>
      <c r="G47" s="4"/>
      <c r="H47" s="4"/>
    </row>
    <row r="48">
      <c r="D48" s="5"/>
      <c r="E48" s="4"/>
      <c r="F48" s="4"/>
      <c r="G48" s="4"/>
      <c r="H48" s="4"/>
    </row>
    <row r="49">
      <c r="D49" s="5"/>
      <c r="E49" s="4"/>
      <c r="F49" s="4"/>
      <c r="G49" s="4"/>
      <c r="H49" s="4"/>
    </row>
    <row r="50">
      <c r="D50" s="5"/>
      <c r="E50" s="4"/>
      <c r="F50" s="4"/>
      <c r="G50" s="4"/>
      <c r="H50" s="4"/>
    </row>
    <row r="51">
      <c r="D51" s="5"/>
      <c r="E51" s="4"/>
      <c r="F51" s="4"/>
      <c r="G51" s="4"/>
      <c r="H51" s="4"/>
    </row>
    <row r="52">
      <c r="D52" s="5"/>
      <c r="E52" s="4"/>
      <c r="F52" s="4"/>
      <c r="G52" s="4"/>
      <c r="H52" s="4"/>
    </row>
    <row r="53">
      <c r="D53" s="5"/>
      <c r="E53" s="4"/>
      <c r="F53" s="4"/>
      <c r="G53" s="4"/>
      <c r="H53" s="4"/>
    </row>
    <row r="54">
      <c r="D54" s="5"/>
      <c r="E54" s="4"/>
      <c r="F54" s="4"/>
      <c r="G54" s="4"/>
      <c r="H54" s="4"/>
    </row>
    <row r="55">
      <c r="D55" s="5"/>
      <c r="E55" s="4"/>
      <c r="F55" s="4"/>
      <c r="G55" s="4"/>
      <c r="H55" s="4"/>
    </row>
    <row r="56">
      <c r="D56" s="5"/>
      <c r="E56" s="4"/>
      <c r="F56" s="4"/>
      <c r="G56" s="4"/>
      <c r="H56" s="4"/>
    </row>
    <row r="57">
      <c r="D57" s="5"/>
      <c r="E57" s="4"/>
      <c r="F57" s="4"/>
      <c r="G57" s="4"/>
      <c r="H57" s="4"/>
    </row>
    <row r="58">
      <c r="D58" s="5"/>
      <c r="E58" s="4"/>
      <c r="F58" s="4"/>
      <c r="G58" s="4"/>
      <c r="H58" s="4"/>
    </row>
    <row r="59">
      <c r="D59" s="5"/>
      <c r="E59" s="4"/>
      <c r="F59" s="4"/>
      <c r="G59" s="4"/>
      <c r="H59" s="4"/>
    </row>
    <row r="60">
      <c r="D60" s="5"/>
      <c r="E60" s="4"/>
      <c r="F60" s="4"/>
      <c r="G60" s="4"/>
      <c r="H60" s="4"/>
    </row>
    <row r="61">
      <c r="D61" s="5"/>
      <c r="E61" s="4"/>
      <c r="F61" s="4"/>
      <c r="G61" s="4"/>
      <c r="H61" s="4"/>
    </row>
    <row r="62">
      <c r="D62" s="5"/>
      <c r="E62" s="4"/>
      <c r="F62" s="4"/>
      <c r="G62" s="4"/>
      <c r="H62" s="4"/>
    </row>
    <row r="63">
      <c r="D63" s="5"/>
      <c r="E63" s="4"/>
      <c r="F63" s="4"/>
      <c r="G63" s="4"/>
      <c r="H63" s="4"/>
    </row>
    <row r="64">
      <c r="D64" s="5"/>
      <c r="E64" s="4"/>
      <c r="F64" s="4"/>
      <c r="G64" s="4"/>
      <c r="H64" s="4"/>
    </row>
    <row r="65">
      <c r="D65" s="5"/>
      <c r="E65" s="4"/>
      <c r="F65" s="4"/>
      <c r="G65" s="4"/>
      <c r="H65" s="4"/>
    </row>
    <row r="66">
      <c r="D66" s="5"/>
      <c r="E66" s="4"/>
      <c r="F66" s="4"/>
      <c r="G66" s="4"/>
      <c r="H66" s="4"/>
    </row>
    <row r="67">
      <c r="D67" s="5"/>
      <c r="E67" s="4"/>
      <c r="F67" s="4"/>
      <c r="G67" s="4"/>
      <c r="H67" s="4"/>
    </row>
    <row r="68">
      <c r="D68" s="5"/>
      <c r="E68" s="4"/>
      <c r="F68" s="4"/>
      <c r="G68" s="4"/>
      <c r="H68" s="4"/>
    </row>
    <row r="69">
      <c r="D69" s="5"/>
      <c r="E69" s="4"/>
      <c r="F69" s="4"/>
      <c r="G69" s="4"/>
      <c r="H69" s="4"/>
    </row>
    <row r="70">
      <c r="D70" s="5"/>
      <c r="E70" s="4"/>
      <c r="F70" s="4"/>
      <c r="G70" s="4"/>
      <c r="H70" s="4"/>
    </row>
    <row r="71">
      <c r="D71" s="5"/>
      <c r="E71" s="4"/>
      <c r="F71" s="4"/>
      <c r="G71" s="4"/>
      <c r="H71" s="4"/>
    </row>
    <row r="72">
      <c r="D72" s="5"/>
      <c r="E72" s="4"/>
      <c r="F72" s="4"/>
      <c r="G72" s="4"/>
      <c r="H72" s="4"/>
    </row>
    <row r="73">
      <c r="D73" s="5"/>
      <c r="E73" s="4"/>
      <c r="F73" s="4"/>
      <c r="G73" s="4"/>
      <c r="H73" s="4"/>
    </row>
    <row r="74">
      <c r="D74" s="5"/>
      <c r="E74" s="4"/>
      <c r="F74" s="4"/>
      <c r="G74" s="4"/>
      <c r="H74" s="4"/>
    </row>
    <row r="75">
      <c r="D75" s="5"/>
      <c r="E75" s="4"/>
      <c r="F75" s="4"/>
      <c r="G75" s="4"/>
      <c r="H75" s="4"/>
    </row>
    <row r="76">
      <c r="D76" s="5"/>
      <c r="E76" s="4"/>
      <c r="F76" s="4"/>
      <c r="G76" s="4"/>
      <c r="H76" s="4"/>
    </row>
    <row r="77">
      <c r="D77" s="5"/>
      <c r="E77" s="4"/>
      <c r="F77" s="4"/>
      <c r="G77" s="4"/>
      <c r="H77" s="4"/>
    </row>
    <row r="78">
      <c r="D78" s="5"/>
      <c r="E78" s="4"/>
      <c r="F78" s="4"/>
      <c r="G78" s="4"/>
      <c r="H78" s="4"/>
    </row>
    <row r="79">
      <c r="D79" s="5"/>
      <c r="E79" s="4"/>
      <c r="F79" s="4"/>
      <c r="G79" s="4"/>
      <c r="H79" s="4"/>
    </row>
    <row r="80">
      <c r="D80" s="5"/>
      <c r="E80" s="4"/>
      <c r="F80" s="4"/>
      <c r="G80" s="4"/>
      <c r="H80" s="4"/>
    </row>
    <row r="81">
      <c r="D81" s="5"/>
      <c r="E81" s="4"/>
      <c r="F81" s="4"/>
      <c r="G81" s="4"/>
      <c r="H81" s="4"/>
    </row>
    <row r="82">
      <c r="D82" s="5"/>
      <c r="E82" s="4"/>
      <c r="F82" s="4"/>
      <c r="G82" s="4"/>
      <c r="H82" s="4"/>
    </row>
    <row r="83">
      <c r="D83" s="5"/>
      <c r="E83" s="4"/>
      <c r="F83" s="4"/>
      <c r="G83" s="4"/>
      <c r="H83" s="4"/>
    </row>
    <row r="84">
      <c r="D84" s="5"/>
      <c r="E84" s="4"/>
      <c r="F84" s="4"/>
      <c r="G84" s="4"/>
      <c r="H84" s="4"/>
    </row>
    <row r="85">
      <c r="D85" s="5"/>
      <c r="E85" s="4"/>
      <c r="F85" s="4"/>
      <c r="G85" s="4"/>
      <c r="H85" s="4"/>
    </row>
    <row r="86">
      <c r="D86" s="5"/>
      <c r="E86" s="4"/>
      <c r="F86" s="4"/>
      <c r="G86" s="4"/>
      <c r="H86" s="4"/>
    </row>
    <row r="87">
      <c r="D87" s="5"/>
      <c r="E87" s="4"/>
      <c r="F87" s="4"/>
      <c r="G87" s="4"/>
      <c r="H87" s="4"/>
    </row>
    <row r="88">
      <c r="D88" s="5"/>
      <c r="E88" s="4"/>
      <c r="F88" s="4"/>
      <c r="G88" s="4"/>
      <c r="H88" s="4"/>
    </row>
    <row r="89">
      <c r="D89" s="5"/>
      <c r="E89" s="4"/>
      <c r="F89" s="4"/>
      <c r="G89" s="4"/>
      <c r="H89" s="4"/>
    </row>
    <row r="90">
      <c r="D90" s="5"/>
      <c r="E90" s="4"/>
      <c r="F90" s="4"/>
      <c r="G90" s="4"/>
      <c r="H90" s="4"/>
    </row>
    <row r="91">
      <c r="D91" s="5"/>
      <c r="E91" s="4"/>
      <c r="F91" s="4"/>
      <c r="G91" s="4"/>
      <c r="H91" s="4"/>
    </row>
    <row r="92">
      <c r="D92" s="5"/>
      <c r="E92" s="4"/>
      <c r="F92" s="4"/>
      <c r="G92" s="4"/>
      <c r="H92" s="4"/>
    </row>
    <row r="93">
      <c r="D93" s="5"/>
      <c r="E93" s="4"/>
      <c r="F93" s="4"/>
      <c r="G93" s="4"/>
      <c r="H93" s="4"/>
    </row>
    <row r="94">
      <c r="D94" s="5"/>
      <c r="E94" s="4"/>
      <c r="F94" s="4"/>
      <c r="G94" s="4"/>
      <c r="H94" s="4"/>
    </row>
    <row r="95">
      <c r="D95" s="5"/>
      <c r="E95" s="4"/>
      <c r="F95" s="4"/>
      <c r="G95" s="4"/>
      <c r="H95" s="4"/>
    </row>
    <row r="96">
      <c r="D96" s="5"/>
      <c r="E96" s="4"/>
      <c r="F96" s="4"/>
      <c r="G96" s="4"/>
      <c r="H96" s="4"/>
    </row>
    <row r="97">
      <c r="D97" s="5"/>
      <c r="E97" s="4"/>
      <c r="F97" s="4"/>
      <c r="G97" s="4"/>
      <c r="H97" s="4"/>
    </row>
    <row r="98">
      <c r="D98" s="5"/>
      <c r="E98" s="4"/>
      <c r="F98" s="4"/>
      <c r="G98" s="4"/>
      <c r="H98" s="4"/>
    </row>
    <row r="99">
      <c r="D99" s="5"/>
      <c r="E99" s="4"/>
      <c r="F99" s="4"/>
      <c r="G99" s="4"/>
      <c r="H99" s="4"/>
    </row>
    <row r="100">
      <c r="D100" s="5"/>
      <c r="E100" s="4"/>
      <c r="F100" s="4"/>
      <c r="G100" s="4"/>
      <c r="H100" s="4"/>
    </row>
    <row r="101">
      <c r="D101" s="5"/>
      <c r="E101" s="4"/>
      <c r="F101" s="4"/>
      <c r="G101" s="4"/>
      <c r="H101" s="4"/>
    </row>
    <row r="102">
      <c r="D102" s="5"/>
      <c r="E102" s="4"/>
      <c r="F102" s="4"/>
      <c r="G102" s="4"/>
      <c r="H102" s="4"/>
    </row>
    <row r="103">
      <c r="D103" s="5"/>
      <c r="E103" s="4"/>
      <c r="F103" s="4"/>
      <c r="G103" s="4"/>
      <c r="H103" s="4"/>
    </row>
    <row r="104">
      <c r="D104" s="5"/>
      <c r="E104" s="4"/>
      <c r="F104" s="4"/>
      <c r="G104" s="4"/>
      <c r="H104" s="4"/>
    </row>
    <row r="105">
      <c r="D105" s="5"/>
      <c r="E105" s="4"/>
      <c r="F105" s="4"/>
      <c r="G105" s="4"/>
      <c r="H105" s="4"/>
    </row>
    <row r="106">
      <c r="D106" s="5"/>
      <c r="E106" s="4"/>
      <c r="F106" s="4"/>
      <c r="G106" s="4"/>
      <c r="H106" s="4"/>
    </row>
    <row r="107">
      <c r="D107" s="5"/>
      <c r="E107" s="4"/>
      <c r="F107" s="4"/>
      <c r="G107" s="4"/>
      <c r="H107" s="4"/>
    </row>
    <row r="108">
      <c r="D108" s="5"/>
      <c r="E108" s="4"/>
      <c r="F108" s="4"/>
      <c r="G108" s="4"/>
      <c r="H108" s="4"/>
    </row>
    <row r="109">
      <c r="D109" s="5"/>
      <c r="E109" s="4"/>
      <c r="F109" s="4"/>
      <c r="G109" s="4"/>
      <c r="H109" s="4"/>
    </row>
    <row r="110">
      <c r="D110" s="5"/>
      <c r="E110" s="4"/>
      <c r="F110" s="4"/>
      <c r="G110" s="4"/>
      <c r="H110" s="4"/>
    </row>
    <row r="111">
      <c r="D111" s="5"/>
      <c r="E111" s="4"/>
      <c r="F111" s="4"/>
      <c r="G111" s="4"/>
      <c r="H111" s="4"/>
    </row>
    <row r="112">
      <c r="D112" s="5"/>
      <c r="E112" s="4"/>
      <c r="F112" s="4"/>
      <c r="G112" s="4"/>
      <c r="H112" s="4"/>
    </row>
    <row r="113">
      <c r="D113" s="5"/>
      <c r="E113" s="4"/>
      <c r="F113" s="4"/>
      <c r="G113" s="4"/>
      <c r="H113" s="4"/>
    </row>
    <row r="114">
      <c r="D114" s="5"/>
      <c r="E114" s="4"/>
      <c r="F114" s="4"/>
      <c r="G114" s="4"/>
      <c r="H114" s="4"/>
    </row>
    <row r="115">
      <c r="D115" s="5"/>
      <c r="E115" s="4"/>
      <c r="F115" s="4"/>
      <c r="G115" s="4"/>
      <c r="H115" s="4"/>
    </row>
    <row r="116">
      <c r="D116" s="5"/>
      <c r="E116" s="4"/>
      <c r="F116" s="4"/>
      <c r="G116" s="4"/>
      <c r="H116" s="4"/>
    </row>
    <row r="117">
      <c r="D117" s="5"/>
      <c r="E117" s="4"/>
      <c r="F117" s="4"/>
      <c r="G117" s="4"/>
      <c r="H117" s="4"/>
    </row>
    <row r="118">
      <c r="D118" s="5"/>
      <c r="E118" s="4"/>
      <c r="F118" s="4"/>
      <c r="G118" s="4"/>
      <c r="H118" s="4"/>
    </row>
    <row r="119">
      <c r="D119" s="5"/>
      <c r="E119" s="4"/>
      <c r="F119" s="4"/>
      <c r="G119" s="4"/>
      <c r="H119" s="4"/>
    </row>
    <row r="120">
      <c r="D120" s="5"/>
      <c r="E120" s="4"/>
      <c r="F120" s="4"/>
      <c r="G120" s="4"/>
      <c r="H120" s="4"/>
    </row>
    <row r="121">
      <c r="D121" s="5"/>
      <c r="E121" s="4"/>
      <c r="F121" s="4"/>
      <c r="G121" s="4"/>
      <c r="H121" s="4"/>
    </row>
    <row r="122">
      <c r="D122" s="5"/>
      <c r="E122" s="4"/>
      <c r="F122" s="4"/>
      <c r="G122" s="4"/>
      <c r="H122" s="4"/>
    </row>
    <row r="123">
      <c r="D123" s="5"/>
      <c r="E123" s="4"/>
      <c r="F123" s="4"/>
      <c r="G123" s="4"/>
      <c r="H123" s="4"/>
    </row>
    <row r="124">
      <c r="D124" s="5"/>
      <c r="E124" s="4"/>
      <c r="F124" s="4"/>
      <c r="G124" s="4"/>
      <c r="H124" s="4"/>
    </row>
    <row r="125">
      <c r="D125" s="5"/>
      <c r="E125" s="4"/>
      <c r="F125" s="4"/>
      <c r="G125" s="4"/>
      <c r="H125" s="4"/>
    </row>
    <row r="126">
      <c r="D126" s="5"/>
      <c r="E126" s="4"/>
      <c r="F126" s="4"/>
      <c r="G126" s="4"/>
      <c r="H126" s="4"/>
    </row>
    <row r="127">
      <c r="D127" s="5"/>
      <c r="E127" s="4"/>
      <c r="F127" s="4"/>
      <c r="G127" s="4"/>
      <c r="H127" s="4"/>
    </row>
    <row r="128">
      <c r="D128" s="5"/>
      <c r="E128" s="4"/>
      <c r="F128" s="4"/>
      <c r="G128" s="4"/>
      <c r="H128" s="4"/>
    </row>
    <row r="129">
      <c r="D129" s="5"/>
      <c r="E129" s="4"/>
      <c r="F129" s="4"/>
      <c r="G129" s="4"/>
      <c r="H129" s="4"/>
    </row>
    <row r="130">
      <c r="D130" s="5"/>
      <c r="E130" s="4"/>
      <c r="F130" s="4"/>
      <c r="G130" s="4"/>
      <c r="H130" s="4"/>
    </row>
    <row r="131">
      <c r="D131" s="5"/>
      <c r="E131" s="4"/>
      <c r="F131" s="4"/>
      <c r="G131" s="4"/>
      <c r="H131" s="4"/>
    </row>
    <row r="132">
      <c r="D132" s="5"/>
      <c r="E132" s="4"/>
      <c r="F132" s="4"/>
      <c r="G132" s="4"/>
      <c r="H132" s="4"/>
    </row>
    <row r="133">
      <c r="D133" s="5"/>
      <c r="E133" s="4"/>
      <c r="F133" s="4"/>
      <c r="G133" s="4"/>
      <c r="H133" s="4"/>
    </row>
    <row r="134">
      <c r="D134" s="5"/>
      <c r="E134" s="4"/>
      <c r="F134" s="4"/>
      <c r="G134" s="4"/>
      <c r="H134" s="4"/>
    </row>
    <row r="135">
      <c r="D135" s="5"/>
      <c r="E135" s="4"/>
      <c r="F135" s="4"/>
      <c r="G135" s="4"/>
      <c r="H135" s="4"/>
    </row>
    <row r="136">
      <c r="D136" s="5"/>
      <c r="E136" s="4"/>
      <c r="F136" s="4"/>
      <c r="G136" s="4"/>
      <c r="H136" s="4"/>
    </row>
    <row r="137">
      <c r="D137" s="5"/>
      <c r="E137" s="4"/>
      <c r="F137" s="4"/>
      <c r="G137" s="4"/>
      <c r="H137" s="4"/>
    </row>
    <row r="138">
      <c r="D138" s="5"/>
      <c r="E138" s="4"/>
      <c r="F138" s="4"/>
      <c r="G138" s="4"/>
      <c r="H138" s="4"/>
    </row>
    <row r="139">
      <c r="D139" s="5"/>
      <c r="E139" s="4"/>
      <c r="F139" s="4"/>
      <c r="G139" s="4"/>
      <c r="H139" s="4"/>
    </row>
    <row r="140">
      <c r="D140" s="5"/>
      <c r="E140" s="4"/>
      <c r="F140" s="4"/>
      <c r="G140" s="4"/>
      <c r="H140" s="4"/>
    </row>
    <row r="141">
      <c r="D141" s="5"/>
      <c r="E141" s="4"/>
      <c r="F141" s="4"/>
      <c r="G141" s="4"/>
      <c r="H141" s="4"/>
    </row>
    <row r="142">
      <c r="D142" s="5"/>
      <c r="E142" s="4"/>
      <c r="F142" s="4"/>
      <c r="G142" s="4"/>
      <c r="H142" s="4"/>
    </row>
    <row r="143">
      <c r="D143" s="5"/>
      <c r="E143" s="4"/>
      <c r="F143" s="4"/>
      <c r="G143" s="4"/>
      <c r="H143" s="4"/>
    </row>
    <row r="144">
      <c r="D144" s="5"/>
      <c r="E144" s="4"/>
      <c r="F144" s="4"/>
      <c r="G144" s="4"/>
      <c r="H144" s="4"/>
    </row>
    <row r="145">
      <c r="D145" s="5"/>
      <c r="E145" s="4"/>
      <c r="F145" s="4"/>
      <c r="G145" s="4"/>
      <c r="H145" s="4"/>
    </row>
    <row r="146">
      <c r="D146" s="5"/>
      <c r="E146" s="4"/>
      <c r="F146" s="4"/>
      <c r="G146" s="4"/>
      <c r="H146" s="4"/>
    </row>
    <row r="147">
      <c r="D147" s="5"/>
      <c r="E147" s="4"/>
      <c r="F147" s="4"/>
      <c r="G147" s="4"/>
      <c r="H147" s="4"/>
    </row>
    <row r="148">
      <c r="D148" s="5"/>
      <c r="E148" s="4"/>
      <c r="F148" s="4"/>
      <c r="G148" s="4"/>
      <c r="H148" s="4"/>
    </row>
    <row r="149">
      <c r="D149" s="5"/>
      <c r="E149" s="4"/>
      <c r="F149" s="4"/>
      <c r="G149" s="4"/>
      <c r="H149" s="4"/>
    </row>
    <row r="150">
      <c r="D150" s="5"/>
      <c r="E150" s="4"/>
      <c r="F150" s="4"/>
      <c r="G150" s="4"/>
      <c r="H150" s="4"/>
    </row>
    <row r="151">
      <c r="D151" s="5"/>
      <c r="E151" s="4"/>
      <c r="F151" s="4"/>
      <c r="G151" s="4"/>
      <c r="H151" s="4"/>
    </row>
    <row r="152">
      <c r="D152" s="5"/>
      <c r="E152" s="4"/>
      <c r="F152" s="4"/>
      <c r="G152" s="4"/>
      <c r="H152" s="4"/>
    </row>
    <row r="153">
      <c r="D153" s="5"/>
      <c r="E153" s="4"/>
      <c r="F153" s="4"/>
      <c r="G153" s="4"/>
      <c r="H153" s="4"/>
    </row>
    <row r="154">
      <c r="D154" s="5"/>
      <c r="E154" s="4"/>
      <c r="F154" s="4"/>
      <c r="G154" s="4"/>
      <c r="H154" s="4"/>
    </row>
    <row r="155">
      <c r="D155" s="5"/>
      <c r="E155" s="4"/>
      <c r="F155" s="4"/>
      <c r="G155" s="4"/>
      <c r="H155" s="4"/>
    </row>
    <row r="156">
      <c r="D156" s="5"/>
      <c r="E156" s="4"/>
      <c r="F156" s="4"/>
      <c r="G156" s="4"/>
      <c r="H156" s="4"/>
    </row>
    <row r="157">
      <c r="D157" s="5"/>
      <c r="E157" s="4"/>
      <c r="F157" s="4"/>
      <c r="G157" s="4"/>
      <c r="H157" s="4"/>
    </row>
    <row r="158">
      <c r="D158" s="5"/>
      <c r="E158" s="4"/>
      <c r="F158" s="4"/>
      <c r="G158" s="4"/>
      <c r="H158" s="4"/>
    </row>
    <row r="159">
      <c r="D159" s="5"/>
      <c r="E159" s="4"/>
      <c r="F159" s="4"/>
      <c r="G159" s="4"/>
      <c r="H159" s="4"/>
    </row>
    <row r="160">
      <c r="D160" s="5"/>
      <c r="E160" s="4"/>
      <c r="F160" s="4"/>
      <c r="G160" s="4"/>
      <c r="H160" s="4"/>
    </row>
    <row r="161">
      <c r="D161" s="5"/>
      <c r="E161" s="4"/>
      <c r="F161" s="4"/>
      <c r="G161" s="4"/>
      <c r="H161" s="4"/>
    </row>
    <row r="162">
      <c r="D162" s="5"/>
      <c r="E162" s="4"/>
      <c r="F162" s="4"/>
      <c r="G162" s="4"/>
      <c r="H162" s="4"/>
    </row>
    <row r="163">
      <c r="D163" s="5"/>
      <c r="E163" s="4"/>
      <c r="F163" s="4"/>
      <c r="G163" s="4"/>
      <c r="H163" s="4"/>
    </row>
    <row r="164">
      <c r="D164" s="5"/>
      <c r="E164" s="4"/>
      <c r="F164" s="4"/>
      <c r="G164" s="4"/>
      <c r="H164" s="4"/>
    </row>
    <row r="165">
      <c r="D165" s="5"/>
      <c r="E165" s="4"/>
      <c r="F165" s="4"/>
      <c r="G165" s="4"/>
      <c r="H165" s="4"/>
    </row>
    <row r="166">
      <c r="D166" s="5"/>
      <c r="E166" s="4"/>
      <c r="F166" s="4"/>
      <c r="G166" s="4"/>
      <c r="H166" s="4"/>
    </row>
    <row r="167">
      <c r="D167" s="5"/>
      <c r="E167" s="4"/>
      <c r="F167" s="4"/>
      <c r="G167" s="4"/>
      <c r="H167" s="4"/>
    </row>
    <row r="168">
      <c r="D168" s="5"/>
      <c r="E168" s="4"/>
      <c r="F168" s="4"/>
      <c r="G168" s="4"/>
      <c r="H168" s="4"/>
    </row>
    <row r="169">
      <c r="D169" s="5"/>
      <c r="E169" s="4"/>
      <c r="F169" s="4"/>
      <c r="G169" s="4"/>
      <c r="H169" s="4"/>
    </row>
    <row r="170">
      <c r="D170" s="5"/>
      <c r="E170" s="4"/>
      <c r="F170" s="4"/>
      <c r="G170" s="4"/>
      <c r="H170" s="4"/>
    </row>
    <row r="171">
      <c r="D171" s="5"/>
      <c r="E171" s="4"/>
      <c r="F171" s="4"/>
      <c r="G171" s="4"/>
      <c r="H171" s="4"/>
    </row>
    <row r="172">
      <c r="D172" s="5"/>
      <c r="E172" s="4"/>
      <c r="F172" s="4"/>
      <c r="G172" s="4"/>
      <c r="H172" s="4"/>
    </row>
    <row r="173">
      <c r="D173" s="5"/>
      <c r="E173" s="4"/>
      <c r="F173" s="4"/>
      <c r="G173" s="4"/>
      <c r="H173" s="4"/>
    </row>
    <row r="174">
      <c r="D174" s="5"/>
      <c r="E174" s="4"/>
      <c r="F174" s="4"/>
      <c r="G174" s="4"/>
      <c r="H174" s="4"/>
    </row>
    <row r="175">
      <c r="D175" s="5"/>
      <c r="E175" s="4"/>
      <c r="F175" s="4"/>
      <c r="G175" s="4"/>
      <c r="H175" s="4"/>
    </row>
    <row r="176">
      <c r="D176" s="5"/>
      <c r="E176" s="4"/>
      <c r="F176" s="4"/>
      <c r="G176" s="4"/>
      <c r="H176" s="4"/>
    </row>
    <row r="177">
      <c r="D177" s="5"/>
      <c r="E177" s="4"/>
      <c r="F177" s="4"/>
      <c r="G177" s="4"/>
      <c r="H177" s="4"/>
    </row>
    <row r="178">
      <c r="D178" s="5"/>
      <c r="E178" s="4"/>
      <c r="F178" s="4"/>
      <c r="G178" s="4"/>
      <c r="H178" s="4"/>
    </row>
    <row r="179">
      <c r="D179" s="5"/>
      <c r="E179" s="4"/>
      <c r="F179" s="4"/>
      <c r="G179" s="4"/>
      <c r="H179" s="4"/>
    </row>
    <row r="180">
      <c r="D180" s="5"/>
      <c r="E180" s="4"/>
      <c r="F180" s="4"/>
      <c r="G180" s="4"/>
      <c r="H180" s="4"/>
    </row>
    <row r="181">
      <c r="D181" s="5"/>
      <c r="E181" s="4"/>
      <c r="F181" s="4"/>
      <c r="G181" s="4"/>
      <c r="H181" s="4"/>
    </row>
    <row r="182">
      <c r="D182" s="5"/>
      <c r="E182" s="4"/>
      <c r="F182" s="4"/>
      <c r="G182" s="4"/>
      <c r="H182" s="4"/>
    </row>
    <row r="183">
      <c r="D183" s="5"/>
      <c r="E183" s="4"/>
      <c r="F183" s="4"/>
      <c r="G183" s="4"/>
      <c r="H183" s="4"/>
    </row>
    <row r="184">
      <c r="D184" s="5"/>
      <c r="E184" s="4"/>
      <c r="F184" s="4"/>
      <c r="G184" s="4"/>
      <c r="H184" s="4"/>
    </row>
    <row r="185">
      <c r="D185" s="5"/>
      <c r="E185" s="4"/>
      <c r="F185" s="4"/>
      <c r="G185" s="4"/>
      <c r="H185" s="4"/>
    </row>
    <row r="186">
      <c r="D186" s="5"/>
      <c r="E186" s="4"/>
      <c r="F186" s="4"/>
      <c r="G186" s="4"/>
      <c r="H186" s="4"/>
    </row>
    <row r="187">
      <c r="D187" s="5"/>
      <c r="E187" s="4"/>
      <c r="F187" s="4"/>
      <c r="G187" s="4"/>
      <c r="H187" s="4"/>
    </row>
    <row r="188">
      <c r="D188" s="5"/>
      <c r="E188" s="4"/>
      <c r="F188" s="4"/>
      <c r="G188" s="4"/>
      <c r="H188" s="4"/>
    </row>
    <row r="189">
      <c r="D189" s="5"/>
      <c r="E189" s="4"/>
      <c r="F189" s="4"/>
      <c r="G189" s="4"/>
      <c r="H189" s="4"/>
    </row>
    <row r="190">
      <c r="D190" s="5"/>
      <c r="E190" s="4"/>
      <c r="F190" s="4"/>
      <c r="G190" s="4"/>
      <c r="H190" s="4"/>
    </row>
    <row r="191">
      <c r="D191" s="5"/>
      <c r="E191" s="4"/>
      <c r="F191" s="4"/>
      <c r="G191" s="4"/>
      <c r="H191" s="4"/>
    </row>
    <row r="192">
      <c r="D192" s="5"/>
      <c r="E192" s="4"/>
      <c r="F192" s="4"/>
      <c r="G192" s="4"/>
      <c r="H192" s="4"/>
    </row>
    <row r="193">
      <c r="D193" s="5"/>
      <c r="E193" s="4"/>
      <c r="F193" s="4"/>
      <c r="G193" s="4"/>
      <c r="H193" s="4"/>
    </row>
    <row r="194">
      <c r="D194" s="5"/>
      <c r="E194" s="4"/>
      <c r="F194" s="4"/>
      <c r="G194" s="4"/>
      <c r="H194" s="4"/>
    </row>
    <row r="195">
      <c r="D195" s="5"/>
      <c r="E195" s="4"/>
      <c r="F195" s="4"/>
      <c r="G195" s="4"/>
      <c r="H195" s="4"/>
    </row>
    <row r="196">
      <c r="D196" s="5"/>
      <c r="E196" s="4"/>
      <c r="F196" s="4"/>
      <c r="G196" s="4"/>
      <c r="H196" s="4"/>
    </row>
    <row r="197">
      <c r="D197" s="5"/>
      <c r="E197" s="4"/>
      <c r="F197" s="4"/>
      <c r="G197" s="4"/>
      <c r="H197" s="4"/>
    </row>
    <row r="198">
      <c r="D198" s="5"/>
      <c r="E198" s="4"/>
      <c r="F198" s="4"/>
      <c r="G198" s="4"/>
      <c r="H198" s="4"/>
    </row>
    <row r="199">
      <c r="D199" s="5"/>
      <c r="E199" s="4"/>
      <c r="F199" s="4"/>
      <c r="G199" s="4"/>
      <c r="H199" s="4"/>
    </row>
    <row r="200">
      <c r="D200" s="5"/>
      <c r="E200" s="4"/>
      <c r="F200" s="4"/>
      <c r="G200" s="4"/>
      <c r="H200" s="4"/>
    </row>
    <row r="201">
      <c r="D201" s="5"/>
      <c r="E201" s="4"/>
      <c r="F201" s="4"/>
      <c r="G201" s="4"/>
      <c r="H201" s="4"/>
    </row>
    <row r="202">
      <c r="D202" s="5"/>
      <c r="E202" s="4"/>
      <c r="F202" s="4"/>
      <c r="G202" s="4"/>
      <c r="H202" s="4"/>
    </row>
    <row r="203">
      <c r="D203" s="5"/>
      <c r="E203" s="4"/>
      <c r="F203" s="4"/>
      <c r="G203" s="4"/>
      <c r="H203" s="4"/>
    </row>
    <row r="204">
      <c r="D204" s="5"/>
      <c r="E204" s="4"/>
      <c r="F204" s="4"/>
      <c r="G204" s="4"/>
      <c r="H204" s="4"/>
    </row>
    <row r="205">
      <c r="D205" s="5"/>
      <c r="E205" s="4"/>
      <c r="F205" s="4"/>
      <c r="G205" s="4"/>
      <c r="H205" s="4"/>
    </row>
    <row r="206">
      <c r="D206" s="5"/>
      <c r="E206" s="4"/>
      <c r="F206" s="4"/>
      <c r="G206" s="4"/>
      <c r="H206" s="4"/>
    </row>
    <row r="207">
      <c r="D207" s="5"/>
      <c r="E207" s="4"/>
      <c r="F207" s="4"/>
      <c r="G207" s="4"/>
      <c r="H207" s="4"/>
    </row>
    <row r="208">
      <c r="D208" s="5"/>
      <c r="E208" s="4"/>
      <c r="F208" s="4"/>
      <c r="G208" s="4"/>
      <c r="H208" s="4"/>
    </row>
    <row r="209">
      <c r="D209" s="5"/>
      <c r="E209" s="4"/>
      <c r="F209" s="4"/>
      <c r="G209" s="4"/>
      <c r="H209" s="4"/>
    </row>
    <row r="210">
      <c r="D210" s="5"/>
      <c r="E210" s="4"/>
      <c r="F210" s="4"/>
      <c r="G210" s="4"/>
      <c r="H210" s="4"/>
    </row>
    <row r="211">
      <c r="D211" s="5"/>
      <c r="E211" s="4"/>
      <c r="F211" s="4"/>
      <c r="G211" s="4"/>
      <c r="H211" s="4"/>
    </row>
    <row r="212">
      <c r="D212" s="5"/>
      <c r="E212" s="4"/>
      <c r="F212" s="4"/>
      <c r="G212" s="4"/>
      <c r="H212" s="4"/>
    </row>
    <row r="213">
      <c r="D213" s="5"/>
      <c r="E213" s="4"/>
      <c r="F213" s="4"/>
      <c r="G213" s="4"/>
      <c r="H213" s="4"/>
    </row>
    <row r="214">
      <c r="D214" s="5"/>
      <c r="E214" s="4"/>
      <c r="F214" s="4"/>
      <c r="G214" s="4"/>
      <c r="H214" s="4"/>
    </row>
    <row r="215">
      <c r="D215" s="5"/>
      <c r="E215" s="4"/>
      <c r="F215" s="4"/>
      <c r="G215" s="4"/>
      <c r="H215" s="4"/>
    </row>
    <row r="216">
      <c r="D216" s="5"/>
      <c r="E216" s="4"/>
      <c r="F216" s="4"/>
      <c r="G216" s="4"/>
      <c r="H216" s="4"/>
    </row>
    <row r="217">
      <c r="D217" s="5"/>
      <c r="E217" s="4"/>
      <c r="F217" s="4"/>
      <c r="G217" s="4"/>
      <c r="H217" s="4"/>
    </row>
    <row r="218">
      <c r="D218" s="5"/>
      <c r="E218" s="4"/>
      <c r="F218" s="4"/>
      <c r="G218" s="4"/>
      <c r="H218" s="4"/>
    </row>
    <row r="219">
      <c r="D219" s="5"/>
      <c r="E219" s="4"/>
      <c r="F219" s="4"/>
      <c r="G219" s="4"/>
      <c r="H219" s="4"/>
    </row>
    <row r="220">
      <c r="D220" s="5"/>
      <c r="E220" s="4"/>
      <c r="F220" s="4"/>
      <c r="G220" s="4"/>
      <c r="H220" s="4"/>
    </row>
    <row r="221">
      <c r="D221" s="5"/>
      <c r="E221" s="4"/>
      <c r="F221" s="4"/>
      <c r="G221" s="4"/>
      <c r="H221" s="4"/>
    </row>
    <row r="222">
      <c r="D222" s="5"/>
      <c r="E222" s="4"/>
      <c r="F222" s="4"/>
      <c r="G222" s="4"/>
      <c r="H222" s="4"/>
    </row>
    <row r="223">
      <c r="D223" s="5"/>
      <c r="E223" s="4"/>
      <c r="F223" s="4"/>
      <c r="G223" s="4"/>
      <c r="H223" s="4"/>
    </row>
    <row r="224">
      <c r="D224" s="5"/>
      <c r="E224" s="4"/>
      <c r="F224" s="4"/>
      <c r="G224" s="4"/>
      <c r="H224" s="4"/>
    </row>
    <row r="225">
      <c r="D225" s="5"/>
      <c r="E225" s="4"/>
      <c r="F225" s="4"/>
      <c r="G225" s="4"/>
      <c r="H225" s="4"/>
    </row>
    <row r="226">
      <c r="D226" s="5"/>
      <c r="E226" s="4"/>
      <c r="F226" s="4"/>
      <c r="G226" s="4"/>
      <c r="H226" s="4"/>
    </row>
    <row r="227">
      <c r="D227" s="5"/>
      <c r="E227" s="4"/>
      <c r="F227" s="4"/>
      <c r="G227" s="4"/>
      <c r="H227" s="4"/>
    </row>
    <row r="228">
      <c r="D228" s="5"/>
      <c r="E228" s="4"/>
      <c r="F228" s="4"/>
      <c r="G228" s="4"/>
      <c r="H228" s="4"/>
    </row>
    <row r="229">
      <c r="D229" s="5"/>
      <c r="E229" s="4"/>
      <c r="F229" s="4"/>
      <c r="G229" s="4"/>
      <c r="H229" s="4"/>
    </row>
    <row r="230">
      <c r="D230" s="5"/>
      <c r="E230" s="4"/>
      <c r="F230" s="4"/>
      <c r="G230" s="4"/>
      <c r="H230" s="4"/>
    </row>
    <row r="231">
      <c r="D231" s="5"/>
      <c r="E231" s="4"/>
      <c r="F231" s="4"/>
      <c r="G231" s="4"/>
      <c r="H231" s="4"/>
    </row>
    <row r="232">
      <c r="D232" s="5"/>
      <c r="E232" s="4"/>
      <c r="F232" s="4"/>
      <c r="G232" s="4"/>
      <c r="H232" s="4"/>
    </row>
    <row r="233">
      <c r="D233" s="5"/>
      <c r="E233" s="4"/>
      <c r="F233" s="4"/>
      <c r="G233" s="4"/>
      <c r="H233" s="4"/>
    </row>
    <row r="234">
      <c r="D234" s="5"/>
      <c r="E234" s="4"/>
      <c r="F234" s="4"/>
      <c r="G234" s="4"/>
      <c r="H234" s="4"/>
    </row>
    <row r="235">
      <c r="D235" s="5"/>
      <c r="E235" s="4"/>
      <c r="F235" s="4"/>
      <c r="G235" s="4"/>
      <c r="H235" s="4"/>
    </row>
    <row r="236">
      <c r="D236" s="5"/>
      <c r="E236" s="4"/>
      <c r="F236" s="4"/>
      <c r="G236" s="4"/>
      <c r="H236" s="4"/>
    </row>
    <row r="237">
      <c r="D237" s="5"/>
      <c r="E237" s="4"/>
      <c r="F237" s="4"/>
      <c r="G237" s="4"/>
      <c r="H237" s="4"/>
    </row>
    <row r="238">
      <c r="D238" s="5"/>
      <c r="E238" s="4"/>
      <c r="F238" s="4"/>
      <c r="G238" s="4"/>
      <c r="H238" s="4"/>
    </row>
    <row r="239">
      <c r="D239" s="5"/>
      <c r="E239" s="4"/>
      <c r="F239" s="4"/>
      <c r="G239" s="4"/>
      <c r="H239" s="4"/>
    </row>
    <row r="240">
      <c r="D240" s="5"/>
      <c r="E240" s="4"/>
      <c r="F240" s="4"/>
      <c r="G240" s="4"/>
      <c r="H240" s="4"/>
    </row>
    <row r="241">
      <c r="D241" s="5"/>
      <c r="E241" s="4"/>
      <c r="F241" s="4"/>
      <c r="G241" s="4"/>
      <c r="H241" s="4"/>
    </row>
    <row r="242">
      <c r="D242" s="5"/>
      <c r="E242" s="4"/>
      <c r="F242" s="4"/>
      <c r="G242" s="4"/>
      <c r="H242" s="4"/>
    </row>
    <row r="243">
      <c r="D243" s="5"/>
      <c r="E243" s="4"/>
      <c r="F243" s="4"/>
      <c r="G243" s="4"/>
      <c r="H243" s="4"/>
    </row>
    <row r="244">
      <c r="D244" s="5"/>
      <c r="E244" s="4"/>
      <c r="F244" s="4"/>
      <c r="G244" s="4"/>
      <c r="H244" s="4"/>
    </row>
    <row r="245">
      <c r="D245" s="5"/>
      <c r="E245" s="4"/>
      <c r="F245" s="4"/>
      <c r="G245" s="4"/>
      <c r="H245" s="4"/>
    </row>
    <row r="246">
      <c r="D246" s="5"/>
      <c r="E246" s="4"/>
      <c r="F246" s="4"/>
      <c r="G246" s="4"/>
      <c r="H246" s="4"/>
    </row>
    <row r="247">
      <c r="D247" s="5"/>
      <c r="E247" s="4"/>
      <c r="F247" s="4"/>
      <c r="G247" s="4"/>
      <c r="H247" s="4"/>
    </row>
    <row r="248">
      <c r="D248" s="5"/>
      <c r="E248" s="4"/>
      <c r="F248" s="4"/>
      <c r="G248" s="4"/>
      <c r="H248" s="4"/>
    </row>
    <row r="249">
      <c r="D249" s="5"/>
      <c r="E249" s="4"/>
      <c r="F249" s="4"/>
      <c r="G249" s="4"/>
      <c r="H249" s="4"/>
    </row>
    <row r="250">
      <c r="D250" s="5"/>
      <c r="E250" s="4"/>
      <c r="F250" s="4"/>
      <c r="G250" s="4"/>
      <c r="H250" s="4"/>
    </row>
    <row r="251">
      <c r="D251" s="5"/>
      <c r="E251" s="4"/>
      <c r="F251" s="4"/>
      <c r="G251" s="4"/>
      <c r="H251" s="4"/>
    </row>
    <row r="252">
      <c r="D252" s="5"/>
      <c r="E252" s="4"/>
      <c r="F252" s="4"/>
      <c r="G252" s="4"/>
      <c r="H252" s="4"/>
    </row>
    <row r="253">
      <c r="D253" s="5"/>
      <c r="E253" s="4"/>
      <c r="F253" s="4"/>
      <c r="G253" s="4"/>
      <c r="H253" s="4"/>
    </row>
    <row r="254">
      <c r="D254" s="5"/>
      <c r="E254" s="4"/>
      <c r="F254" s="4"/>
      <c r="G254" s="4"/>
      <c r="H254" s="4"/>
    </row>
    <row r="255">
      <c r="D255" s="5"/>
      <c r="E255" s="4"/>
      <c r="F255" s="4"/>
      <c r="G255" s="4"/>
      <c r="H255" s="4"/>
    </row>
    <row r="256">
      <c r="D256" s="5"/>
      <c r="E256" s="4"/>
      <c r="F256" s="4"/>
      <c r="G256" s="4"/>
      <c r="H256" s="4"/>
    </row>
    <row r="257">
      <c r="D257" s="5"/>
      <c r="E257" s="4"/>
      <c r="F257" s="4"/>
      <c r="G257" s="4"/>
      <c r="H257" s="4"/>
    </row>
    <row r="258">
      <c r="D258" s="5"/>
      <c r="E258" s="4"/>
      <c r="F258" s="4"/>
      <c r="G258" s="4"/>
      <c r="H258" s="4"/>
    </row>
    <row r="259">
      <c r="D259" s="5"/>
      <c r="E259" s="4"/>
      <c r="F259" s="4"/>
      <c r="G259" s="4"/>
      <c r="H259" s="4"/>
    </row>
    <row r="260">
      <c r="D260" s="5"/>
      <c r="E260" s="4"/>
      <c r="F260" s="4"/>
      <c r="G260" s="4"/>
      <c r="H260" s="4"/>
    </row>
    <row r="261">
      <c r="D261" s="5"/>
      <c r="E261" s="4"/>
      <c r="F261" s="4"/>
      <c r="G261" s="4"/>
      <c r="H261" s="4"/>
    </row>
    <row r="262">
      <c r="D262" s="5"/>
      <c r="E262" s="4"/>
      <c r="F262" s="4"/>
      <c r="G262" s="4"/>
      <c r="H262" s="4"/>
    </row>
    <row r="263">
      <c r="D263" s="5"/>
      <c r="E263" s="4"/>
      <c r="F263" s="4"/>
      <c r="G263" s="4"/>
      <c r="H263" s="4"/>
    </row>
    <row r="264">
      <c r="D264" s="5"/>
      <c r="E264" s="4"/>
      <c r="F264" s="4"/>
      <c r="G264" s="4"/>
      <c r="H264" s="4"/>
    </row>
    <row r="265">
      <c r="D265" s="5"/>
      <c r="E265" s="4"/>
      <c r="F265" s="4"/>
      <c r="G265" s="4"/>
      <c r="H265" s="4"/>
    </row>
    <row r="266">
      <c r="D266" s="5"/>
      <c r="E266" s="4"/>
      <c r="F266" s="4"/>
      <c r="G266" s="4"/>
      <c r="H266" s="4"/>
    </row>
    <row r="267">
      <c r="D267" s="5"/>
      <c r="E267" s="4"/>
      <c r="F267" s="4"/>
      <c r="G267" s="4"/>
      <c r="H267" s="4"/>
    </row>
    <row r="268">
      <c r="D268" s="5"/>
      <c r="E268" s="4"/>
      <c r="F268" s="4"/>
      <c r="G268" s="4"/>
      <c r="H268" s="4"/>
    </row>
    <row r="269">
      <c r="D269" s="5"/>
      <c r="E269" s="4"/>
      <c r="F269" s="4"/>
      <c r="G269" s="4"/>
      <c r="H269" s="4"/>
    </row>
    <row r="270">
      <c r="D270" s="5"/>
      <c r="E270" s="4"/>
      <c r="F270" s="4"/>
      <c r="G270" s="4"/>
      <c r="H270" s="4"/>
    </row>
    <row r="271">
      <c r="D271" s="5"/>
      <c r="E271" s="4"/>
      <c r="F271" s="4"/>
      <c r="G271" s="4"/>
      <c r="H271" s="4"/>
    </row>
    <row r="272">
      <c r="D272" s="5"/>
      <c r="E272" s="4"/>
      <c r="F272" s="4"/>
      <c r="G272" s="4"/>
      <c r="H272" s="4"/>
    </row>
    <row r="273">
      <c r="D273" s="5"/>
      <c r="E273" s="4"/>
      <c r="F273" s="4"/>
      <c r="G273" s="4"/>
      <c r="H273" s="4"/>
    </row>
    <row r="274">
      <c r="D274" s="5"/>
      <c r="E274" s="4"/>
      <c r="F274" s="4"/>
      <c r="G274" s="4"/>
      <c r="H274" s="4"/>
    </row>
    <row r="275">
      <c r="D275" s="5"/>
      <c r="E275" s="4"/>
      <c r="F275" s="4"/>
      <c r="G275" s="4"/>
      <c r="H275" s="4"/>
    </row>
    <row r="276">
      <c r="D276" s="5"/>
      <c r="E276" s="4"/>
      <c r="F276" s="4"/>
      <c r="G276" s="4"/>
      <c r="H276" s="4"/>
    </row>
    <row r="277">
      <c r="D277" s="5"/>
      <c r="E277" s="4"/>
      <c r="F277" s="4"/>
      <c r="G277" s="4"/>
      <c r="H277" s="4"/>
    </row>
    <row r="278">
      <c r="D278" s="5"/>
      <c r="E278" s="4"/>
      <c r="F278" s="4"/>
      <c r="G278" s="4"/>
      <c r="H278" s="4"/>
    </row>
    <row r="279">
      <c r="D279" s="5"/>
      <c r="E279" s="4"/>
      <c r="F279" s="4"/>
      <c r="G279" s="4"/>
      <c r="H279" s="4"/>
    </row>
    <row r="280">
      <c r="D280" s="5"/>
      <c r="E280" s="4"/>
      <c r="F280" s="4"/>
      <c r="G280" s="4"/>
      <c r="H280" s="4"/>
    </row>
    <row r="281">
      <c r="D281" s="5"/>
      <c r="E281" s="4"/>
      <c r="F281" s="4"/>
      <c r="G281" s="4"/>
      <c r="H281" s="4"/>
    </row>
    <row r="282">
      <c r="D282" s="5"/>
      <c r="E282" s="4"/>
      <c r="F282" s="4"/>
      <c r="G282" s="4"/>
      <c r="H282" s="4"/>
    </row>
    <row r="283">
      <c r="D283" s="5"/>
      <c r="E283" s="4"/>
      <c r="F283" s="4"/>
      <c r="G283" s="4"/>
      <c r="H283" s="4"/>
    </row>
    <row r="284">
      <c r="D284" s="5"/>
      <c r="E284" s="4"/>
      <c r="F284" s="4"/>
      <c r="G284" s="4"/>
      <c r="H284" s="4"/>
    </row>
    <row r="285">
      <c r="D285" s="5"/>
      <c r="E285" s="4"/>
      <c r="F285" s="4"/>
      <c r="G285" s="4"/>
      <c r="H285" s="4"/>
    </row>
    <row r="286">
      <c r="D286" s="5"/>
      <c r="E286" s="4"/>
      <c r="F286" s="4"/>
      <c r="G286" s="4"/>
      <c r="H286" s="4"/>
    </row>
    <row r="287">
      <c r="D287" s="5"/>
      <c r="E287" s="4"/>
      <c r="F287" s="4"/>
      <c r="G287" s="4"/>
      <c r="H287" s="4"/>
    </row>
    <row r="288">
      <c r="D288" s="5"/>
      <c r="E288" s="4"/>
      <c r="F288" s="4"/>
      <c r="G288" s="4"/>
      <c r="H288" s="4"/>
    </row>
    <row r="289">
      <c r="D289" s="5"/>
      <c r="E289" s="4"/>
      <c r="F289" s="4"/>
      <c r="G289" s="4"/>
      <c r="H289" s="4"/>
    </row>
    <row r="290">
      <c r="D290" s="5"/>
      <c r="E290" s="4"/>
      <c r="F290" s="4"/>
      <c r="G290" s="4"/>
      <c r="H290" s="4"/>
    </row>
    <row r="291">
      <c r="D291" s="5"/>
      <c r="E291" s="4"/>
      <c r="F291" s="4"/>
      <c r="G291" s="4"/>
      <c r="H291" s="4"/>
    </row>
    <row r="292">
      <c r="D292" s="5"/>
      <c r="E292" s="4"/>
      <c r="F292" s="4"/>
      <c r="G292" s="4"/>
      <c r="H292" s="4"/>
    </row>
    <row r="293">
      <c r="D293" s="5"/>
      <c r="E293" s="4"/>
      <c r="F293" s="4"/>
      <c r="G293" s="4"/>
      <c r="H293" s="4"/>
    </row>
    <row r="294">
      <c r="D294" s="5"/>
      <c r="E294" s="4"/>
      <c r="F294" s="4"/>
      <c r="G294" s="4"/>
      <c r="H294" s="4"/>
    </row>
    <row r="295">
      <c r="D295" s="5"/>
      <c r="E295" s="4"/>
      <c r="F295" s="4"/>
      <c r="G295" s="4"/>
      <c r="H295" s="4"/>
    </row>
    <row r="296">
      <c r="D296" s="5"/>
      <c r="E296" s="4"/>
      <c r="F296" s="4"/>
      <c r="G296" s="4"/>
      <c r="H296" s="4"/>
    </row>
    <row r="297">
      <c r="D297" s="5"/>
      <c r="E297" s="4"/>
      <c r="F297" s="4"/>
      <c r="G297" s="4"/>
      <c r="H297" s="4"/>
    </row>
    <row r="298">
      <c r="D298" s="5"/>
      <c r="E298" s="4"/>
      <c r="F298" s="4"/>
      <c r="G298" s="4"/>
      <c r="H298" s="4"/>
    </row>
    <row r="299">
      <c r="D299" s="5"/>
      <c r="E299" s="4"/>
      <c r="F299" s="4"/>
      <c r="G299" s="4"/>
      <c r="H299" s="4"/>
    </row>
    <row r="300">
      <c r="D300" s="5"/>
      <c r="E300" s="4"/>
      <c r="F300" s="4"/>
      <c r="G300" s="4"/>
      <c r="H300" s="4"/>
    </row>
    <row r="301">
      <c r="D301" s="5"/>
      <c r="E301" s="4"/>
      <c r="F301" s="4"/>
      <c r="G301" s="4"/>
      <c r="H301" s="4"/>
    </row>
    <row r="302">
      <c r="D302" s="5"/>
      <c r="E302" s="4"/>
      <c r="F302" s="4"/>
      <c r="G302" s="4"/>
      <c r="H302" s="4"/>
    </row>
    <row r="303">
      <c r="D303" s="5"/>
      <c r="E303" s="4"/>
      <c r="F303" s="4"/>
      <c r="G303" s="4"/>
      <c r="H303" s="4"/>
    </row>
    <row r="304">
      <c r="D304" s="5"/>
      <c r="E304" s="4"/>
      <c r="F304" s="4"/>
      <c r="G304" s="4"/>
      <c r="H304" s="4"/>
    </row>
    <row r="305">
      <c r="D305" s="5"/>
      <c r="E305" s="4"/>
      <c r="F305" s="4"/>
      <c r="G305" s="4"/>
      <c r="H305" s="4"/>
    </row>
    <row r="306">
      <c r="D306" s="5"/>
      <c r="E306" s="4"/>
      <c r="F306" s="4"/>
      <c r="G306" s="4"/>
      <c r="H306" s="4"/>
    </row>
    <row r="307">
      <c r="D307" s="5"/>
      <c r="E307" s="4"/>
      <c r="F307" s="4"/>
      <c r="G307" s="4"/>
      <c r="H307" s="4"/>
    </row>
    <row r="308">
      <c r="D308" s="5"/>
      <c r="E308" s="4"/>
      <c r="F308" s="4"/>
      <c r="G308" s="4"/>
      <c r="H308" s="4"/>
    </row>
    <row r="309">
      <c r="D309" s="5"/>
      <c r="E309" s="4"/>
      <c r="F309" s="4"/>
      <c r="G309" s="4"/>
      <c r="H309" s="4"/>
    </row>
    <row r="310">
      <c r="D310" s="5"/>
      <c r="E310" s="4"/>
      <c r="F310" s="4"/>
      <c r="G310" s="4"/>
      <c r="H310" s="4"/>
    </row>
    <row r="311">
      <c r="D311" s="5"/>
      <c r="E311" s="4"/>
      <c r="F311" s="4"/>
      <c r="G311" s="4"/>
      <c r="H311" s="4"/>
    </row>
    <row r="312">
      <c r="D312" s="5"/>
      <c r="E312" s="4"/>
      <c r="F312" s="4"/>
      <c r="G312" s="4"/>
      <c r="H312" s="4"/>
    </row>
    <row r="313">
      <c r="D313" s="5"/>
      <c r="E313" s="4"/>
      <c r="F313" s="4"/>
      <c r="G313" s="4"/>
      <c r="H313" s="4"/>
    </row>
    <row r="314">
      <c r="D314" s="5"/>
      <c r="E314" s="4"/>
      <c r="F314" s="4"/>
      <c r="G314" s="4"/>
      <c r="H314" s="4"/>
    </row>
    <row r="315">
      <c r="D315" s="5"/>
      <c r="E315" s="4"/>
      <c r="F315" s="4"/>
      <c r="G315" s="4"/>
      <c r="H315" s="4"/>
    </row>
    <row r="316">
      <c r="D316" s="5"/>
      <c r="E316" s="4"/>
      <c r="F316" s="4"/>
      <c r="G316" s="4"/>
      <c r="H316" s="4"/>
    </row>
    <row r="317">
      <c r="D317" s="5"/>
      <c r="E317" s="4"/>
      <c r="F317" s="4"/>
      <c r="G317" s="4"/>
      <c r="H317" s="4"/>
    </row>
    <row r="318">
      <c r="D318" s="5"/>
      <c r="E318" s="4"/>
      <c r="F318" s="4"/>
      <c r="G318" s="4"/>
      <c r="H318" s="4"/>
    </row>
    <row r="319">
      <c r="D319" s="5"/>
      <c r="E319" s="4"/>
      <c r="F319" s="4"/>
      <c r="G319" s="4"/>
      <c r="H319" s="4"/>
    </row>
    <row r="320">
      <c r="D320" s="5"/>
      <c r="E320" s="4"/>
      <c r="F320" s="4"/>
      <c r="G320" s="4"/>
      <c r="H320" s="4"/>
    </row>
    <row r="321">
      <c r="D321" s="5"/>
      <c r="E321" s="4"/>
      <c r="F321" s="4"/>
      <c r="G321" s="4"/>
      <c r="H321" s="4"/>
    </row>
    <row r="322">
      <c r="D322" s="5"/>
      <c r="E322" s="4"/>
      <c r="F322" s="4"/>
      <c r="G322" s="4"/>
      <c r="H322" s="4"/>
    </row>
    <row r="323">
      <c r="D323" s="5"/>
      <c r="E323" s="4"/>
      <c r="F323" s="4"/>
      <c r="G323" s="4"/>
      <c r="H323" s="4"/>
    </row>
    <row r="324">
      <c r="D324" s="5"/>
      <c r="E324" s="4"/>
      <c r="F324" s="4"/>
      <c r="G324" s="4"/>
      <c r="H324" s="4"/>
    </row>
    <row r="325">
      <c r="D325" s="5"/>
      <c r="E325" s="4"/>
      <c r="F325" s="4"/>
      <c r="G325" s="4"/>
      <c r="H325" s="4"/>
    </row>
    <row r="326">
      <c r="D326" s="5"/>
      <c r="E326" s="4"/>
      <c r="F326" s="4"/>
      <c r="G326" s="4"/>
      <c r="H326" s="4"/>
    </row>
    <row r="327">
      <c r="D327" s="5"/>
      <c r="E327" s="4"/>
      <c r="F327" s="4"/>
      <c r="G327" s="4"/>
      <c r="H327" s="4"/>
    </row>
    <row r="328">
      <c r="D328" s="5"/>
      <c r="E328" s="4"/>
      <c r="F328" s="4"/>
      <c r="G328" s="4"/>
      <c r="H328" s="4"/>
    </row>
    <row r="329">
      <c r="D329" s="5"/>
      <c r="E329" s="4"/>
      <c r="F329" s="4"/>
      <c r="G329" s="4"/>
      <c r="H329" s="4"/>
    </row>
    <row r="330">
      <c r="D330" s="5"/>
      <c r="E330" s="4"/>
      <c r="F330" s="4"/>
      <c r="G330" s="4"/>
      <c r="H330" s="4"/>
    </row>
    <row r="331">
      <c r="D331" s="5"/>
      <c r="E331" s="4"/>
      <c r="F331" s="4"/>
      <c r="G331" s="4"/>
      <c r="H331" s="4"/>
    </row>
    <row r="332">
      <c r="D332" s="5"/>
      <c r="E332" s="4"/>
      <c r="F332" s="4"/>
      <c r="G332" s="4"/>
      <c r="H332" s="4"/>
    </row>
    <row r="333">
      <c r="D333" s="5"/>
      <c r="E333" s="4"/>
      <c r="F333" s="4"/>
      <c r="G333" s="4"/>
      <c r="H333" s="4"/>
    </row>
    <row r="334">
      <c r="D334" s="5"/>
      <c r="E334" s="4"/>
      <c r="F334" s="4"/>
      <c r="G334" s="4"/>
      <c r="H334" s="4"/>
    </row>
    <row r="335">
      <c r="D335" s="5"/>
      <c r="E335" s="4"/>
      <c r="F335" s="4"/>
      <c r="G335" s="4"/>
      <c r="H335" s="4"/>
    </row>
    <row r="336">
      <c r="D336" s="5"/>
      <c r="E336" s="4"/>
      <c r="F336" s="4"/>
      <c r="G336" s="4"/>
      <c r="H336" s="4"/>
    </row>
    <row r="337">
      <c r="D337" s="5"/>
      <c r="E337" s="4"/>
      <c r="F337" s="4"/>
      <c r="G337" s="4"/>
      <c r="H337" s="4"/>
    </row>
    <row r="338">
      <c r="D338" s="5"/>
      <c r="E338" s="4"/>
      <c r="F338" s="4"/>
      <c r="G338" s="4"/>
      <c r="H338" s="4"/>
    </row>
    <row r="339">
      <c r="D339" s="5"/>
      <c r="E339" s="4"/>
      <c r="F339" s="4"/>
      <c r="G339" s="4"/>
      <c r="H339" s="4"/>
    </row>
    <row r="340">
      <c r="D340" s="5"/>
      <c r="E340" s="4"/>
      <c r="F340" s="4"/>
      <c r="G340" s="4"/>
      <c r="H340" s="4"/>
    </row>
    <row r="341">
      <c r="D341" s="5"/>
      <c r="E341" s="4"/>
      <c r="F341" s="4"/>
      <c r="G341" s="4"/>
      <c r="H341" s="4"/>
    </row>
    <row r="342">
      <c r="D342" s="5"/>
      <c r="E342" s="4"/>
      <c r="F342" s="4"/>
      <c r="G342" s="4"/>
      <c r="H342" s="4"/>
    </row>
    <row r="343">
      <c r="D343" s="5"/>
      <c r="E343" s="4"/>
      <c r="F343" s="4"/>
      <c r="G343" s="4"/>
      <c r="H343" s="4"/>
    </row>
    <row r="344">
      <c r="D344" s="5"/>
      <c r="E344" s="4"/>
      <c r="F344" s="4"/>
      <c r="G344" s="4"/>
      <c r="H344" s="4"/>
    </row>
    <row r="345">
      <c r="D345" s="5"/>
      <c r="E345" s="4"/>
      <c r="F345" s="4"/>
      <c r="G345" s="4"/>
      <c r="H345" s="4"/>
    </row>
    <row r="346">
      <c r="D346" s="5"/>
      <c r="E346" s="4"/>
      <c r="F346" s="4"/>
      <c r="G346" s="4"/>
      <c r="H346" s="4"/>
    </row>
    <row r="347">
      <c r="D347" s="5"/>
      <c r="E347" s="4"/>
      <c r="F347" s="4"/>
      <c r="G347" s="4"/>
      <c r="H347" s="4"/>
    </row>
    <row r="348">
      <c r="D348" s="5"/>
      <c r="E348" s="4"/>
      <c r="F348" s="4"/>
      <c r="G348" s="4"/>
      <c r="H348" s="4"/>
    </row>
    <row r="349">
      <c r="D349" s="5"/>
      <c r="E349" s="4"/>
      <c r="F349" s="4"/>
      <c r="G349" s="4"/>
      <c r="H349" s="4"/>
    </row>
    <row r="350">
      <c r="D350" s="5"/>
      <c r="E350" s="4"/>
      <c r="F350" s="4"/>
      <c r="G350" s="4"/>
      <c r="H350" s="4"/>
    </row>
    <row r="351">
      <c r="D351" s="5"/>
      <c r="E351" s="4"/>
      <c r="F351" s="4"/>
      <c r="G351" s="4"/>
      <c r="H351" s="4"/>
    </row>
    <row r="352">
      <c r="D352" s="5"/>
      <c r="E352" s="4"/>
      <c r="F352" s="4"/>
      <c r="G352" s="4"/>
      <c r="H352" s="4"/>
    </row>
    <row r="353">
      <c r="D353" s="5"/>
      <c r="E353" s="4"/>
      <c r="F353" s="4"/>
      <c r="G353" s="4"/>
      <c r="H353" s="4"/>
    </row>
    <row r="354">
      <c r="D354" s="5"/>
      <c r="E354" s="4"/>
      <c r="F354" s="4"/>
      <c r="G354" s="4"/>
      <c r="H354" s="4"/>
    </row>
    <row r="355">
      <c r="D355" s="5"/>
      <c r="E355" s="4"/>
      <c r="F355" s="4"/>
      <c r="G355" s="4"/>
      <c r="H355" s="4"/>
    </row>
    <row r="356">
      <c r="D356" s="5"/>
      <c r="E356" s="4"/>
      <c r="F356" s="4"/>
      <c r="G356" s="4"/>
      <c r="H356" s="4"/>
    </row>
    <row r="357">
      <c r="D357" s="5"/>
      <c r="E357" s="4"/>
      <c r="F357" s="4"/>
      <c r="G357" s="4"/>
      <c r="H357" s="4"/>
    </row>
    <row r="358">
      <c r="D358" s="5"/>
      <c r="E358" s="4"/>
      <c r="F358" s="4"/>
      <c r="G358" s="4"/>
      <c r="H358" s="4"/>
    </row>
    <row r="359">
      <c r="D359" s="5"/>
      <c r="E359" s="4"/>
      <c r="F359" s="4"/>
      <c r="G359" s="4"/>
      <c r="H359" s="4"/>
    </row>
    <row r="360">
      <c r="D360" s="5"/>
      <c r="E360" s="4"/>
      <c r="F360" s="4"/>
      <c r="G360" s="4"/>
      <c r="H360" s="4"/>
    </row>
    <row r="361">
      <c r="D361" s="5"/>
      <c r="E361" s="4"/>
      <c r="F361" s="4"/>
      <c r="G361" s="4"/>
      <c r="H361" s="4"/>
    </row>
    <row r="362">
      <c r="D362" s="5"/>
      <c r="E362" s="4"/>
      <c r="F362" s="4"/>
      <c r="G362" s="4"/>
      <c r="H362" s="4"/>
    </row>
    <row r="363">
      <c r="D363" s="5"/>
      <c r="E363" s="4"/>
      <c r="F363" s="4"/>
      <c r="G363" s="4"/>
      <c r="H363" s="4"/>
    </row>
    <row r="364">
      <c r="D364" s="5"/>
      <c r="E364" s="4"/>
      <c r="F364" s="4"/>
      <c r="G364" s="4"/>
      <c r="H364" s="4"/>
    </row>
    <row r="365">
      <c r="D365" s="5"/>
      <c r="E365" s="4"/>
      <c r="F365" s="4"/>
      <c r="G365" s="4"/>
      <c r="H365" s="4"/>
    </row>
    <row r="366">
      <c r="D366" s="5"/>
      <c r="E366" s="4"/>
      <c r="F366" s="4"/>
      <c r="G366" s="4"/>
      <c r="H366" s="4"/>
    </row>
    <row r="367">
      <c r="D367" s="5"/>
      <c r="E367" s="4"/>
      <c r="F367" s="4"/>
      <c r="G367" s="4"/>
      <c r="H367" s="4"/>
    </row>
    <row r="368">
      <c r="D368" s="5"/>
      <c r="E368" s="4"/>
      <c r="F368" s="4"/>
      <c r="G368" s="4"/>
      <c r="H368" s="4"/>
    </row>
    <row r="369">
      <c r="D369" s="5"/>
      <c r="E369" s="4"/>
      <c r="F369" s="4"/>
      <c r="G369" s="4"/>
      <c r="H369" s="4"/>
    </row>
    <row r="370">
      <c r="D370" s="5"/>
      <c r="E370" s="4"/>
      <c r="F370" s="4"/>
      <c r="G370" s="4"/>
      <c r="H370" s="4"/>
    </row>
    <row r="371">
      <c r="D371" s="5"/>
      <c r="E371" s="4"/>
      <c r="F371" s="4"/>
      <c r="G371" s="4"/>
      <c r="H371" s="4"/>
    </row>
    <row r="372">
      <c r="D372" s="5"/>
      <c r="E372" s="4"/>
      <c r="F372" s="4"/>
      <c r="G372" s="4"/>
      <c r="H372" s="4"/>
    </row>
    <row r="373">
      <c r="D373" s="5"/>
      <c r="E373" s="4"/>
      <c r="F373" s="4"/>
      <c r="G373" s="4"/>
      <c r="H373" s="4"/>
    </row>
    <row r="374">
      <c r="D374" s="5"/>
      <c r="E374" s="4"/>
      <c r="F374" s="4"/>
      <c r="G374" s="4"/>
      <c r="H374" s="4"/>
    </row>
    <row r="375">
      <c r="D375" s="5"/>
      <c r="E375" s="4"/>
      <c r="F375" s="4"/>
      <c r="G375" s="4"/>
      <c r="H375" s="4"/>
    </row>
    <row r="376">
      <c r="D376" s="5"/>
      <c r="E376" s="4"/>
      <c r="F376" s="4"/>
      <c r="G376" s="4"/>
      <c r="H376" s="4"/>
    </row>
    <row r="377">
      <c r="D377" s="5"/>
      <c r="E377" s="4"/>
      <c r="F377" s="4"/>
      <c r="G377" s="4"/>
      <c r="H377" s="4"/>
    </row>
    <row r="378">
      <c r="D378" s="5"/>
      <c r="E378" s="4"/>
      <c r="F378" s="4"/>
      <c r="G378" s="4"/>
      <c r="H378" s="4"/>
    </row>
    <row r="379">
      <c r="D379" s="5"/>
      <c r="E379" s="4"/>
      <c r="F379" s="4"/>
      <c r="G379" s="4"/>
      <c r="H379" s="4"/>
    </row>
    <row r="380">
      <c r="D380" s="5"/>
      <c r="E380" s="4"/>
      <c r="F380" s="4"/>
      <c r="G380" s="4"/>
      <c r="H380" s="4"/>
    </row>
    <row r="381">
      <c r="D381" s="5"/>
      <c r="E381" s="4"/>
      <c r="F381" s="4"/>
      <c r="G381" s="4"/>
      <c r="H381" s="4"/>
    </row>
    <row r="382">
      <c r="D382" s="5"/>
      <c r="E382" s="4"/>
      <c r="F382" s="4"/>
      <c r="G382" s="4"/>
      <c r="H382" s="4"/>
    </row>
    <row r="383">
      <c r="D383" s="5"/>
      <c r="E383" s="4"/>
      <c r="F383" s="4"/>
      <c r="G383" s="4"/>
      <c r="H383" s="4"/>
    </row>
    <row r="384">
      <c r="D384" s="5"/>
      <c r="E384" s="4"/>
      <c r="F384" s="4"/>
      <c r="G384" s="4"/>
      <c r="H384" s="4"/>
    </row>
    <row r="385">
      <c r="D385" s="5"/>
      <c r="E385" s="4"/>
      <c r="F385" s="4"/>
      <c r="G385" s="4"/>
      <c r="H385" s="4"/>
    </row>
    <row r="386">
      <c r="D386" s="5"/>
      <c r="E386" s="4"/>
      <c r="F386" s="4"/>
      <c r="G386" s="4"/>
      <c r="H386" s="4"/>
    </row>
    <row r="387">
      <c r="D387" s="5"/>
      <c r="E387" s="4"/>
      <c r="F387" s="4"/>
      <c r="G387" s="4"/>
      <c r="H387" s="4"/>
    </row>
    <row r="388">
      <c r="D388" s="5"/>
      <c r="E388" s="4"/>
      <c r="F388" s="4"/>
      <c r="G388" s="4"/>
      <c r="H388" s="4"/>
    </row>
    <row r="389">
      <c r="D389" s="5"/>
      <c r="E389" s="4"/>
      <c r="F389" s="4"/>
      <c r="G389" s="4"/>
      <c r="H389" s="4"/>
    </row>
    <row r="390">
      <c r="D390" s="5"/>
      <c r="E390" s="4"/>
      <c r="F390" s="4"/>
      <c r="G390" s="4"/>
      <c r="H390" s="4"/>
    </row>
    <row r="391">
      <c r="D391" s="5"/>
      <c r="E391" s="4"/>
      <c r="F391" s="4"/>
      <c r="G391" s="4"/>
      <c r="H391" s="4"/>
    </row>
    <row r="392">
      <c r="D392" s="5"/>
      <c r="E392" s="4"/>
      <c r="F392" s="4"/>
      <c r="G392" s="4"/>
      <c r="H392" s="4"/>
    </row>
    <row r="393">
      <c r="D393" s="5"/>
      <c r="E393" s="4"/>
      <c r="F393" s="4"/>
      <c r="G393" s="4"/>
      <c r="H393" s="4"/>
    </row>
    <row r="394">
      <c r="D394" s="5"/>
      <c r="E394" s="4"/>
      <c r="F394" s="4"/>
      <c r="G394" s="4"/>
      <c r="H394" s="4"/>
    </row>
    <row r="395">
      <c r="D395" s="5"/>
      <c r="E395" s="4"/>
      <c r="F395" s="4"/>
      <c r="G395" s="4"/>
      <c r="H395" s="4"/>
    </row>
    <row r="396">
      <c r="D396" s="5"/>
      <c r="E396" s="4"/>
      <c r="F396" s="4"/>
      <c r="G396" s="4"/>
      <c r="H396" s="4"/>
    </row>
    <row r="397">
      <c r="D397" s="5"/>
      <c r="E397" s="4"/>
      <c r="F397" s="4"/>
      <c r="G397" s="4"/>
      <c r="H397" s="4"/>
    </row>
    <row r="398">
      <c r="D398" s="5"/>
      <c r="E398" s="4"/>
      <c r="F398" s="4"/>
      <c r="G398" s="4"/>
      <c r="H398" s="4"/>
    </row>
    <row r="399">
      <c r="D399" s="5"/>
      <c r="E399" s="4"/>
      <c r="F399" s="4"/>
      <c r="G399" s="4"/>
      <c r="H399" s="4"/>
    </row>
    <row r="400">
      <c r="D400" s="5"/>
      <c r="E400" s="4"/>
      <c r="F400" s="4"/>
      <c r="G400" s="4"/>
      <c r="H400" s="4"/>
    </row>
    <row r="401">
      <c r="D401" s="5"/>
      <c r="E401" s="4"/>
      <c r="F401" s="4"/>
      <c r="G401" s="4"/>
      <c r="H401" s="4"/>
    </row>
    <row r="402">
      <c r="D402" s="5"/>
      <c r="E402" s="4"/>
      <c r="F402" s="4"/>
      <c r="G402" s="4"/>
      <c r="H402" s="4"/>
    </row>
    <row r="403">
      <c r="D403" s="5"/>
      <c r="E403" s="4"/>
      <c r="F403" s="4"/>
      <c r="G403" s="4"/>
      <c r="H403" s="4"/>
    </row>
    <row r="404">
      <c r="D404" s="5"/>
      <c r="E404" s="4"/>
      <c r="F404" s="4"/>
      <c r="G404" s="4"/>
      <c r="H404" s="4"/>
    </row>
    <row r="405">
      <c r="D405" s="5"/>
      <c r="E405" s="4"/>
      <c r="F405" s="4"/>
      <c r="G405" s="4"/>
      <c r="H405" s="4"/>
    </row>
    <row r="406">
      <c r="D406" s="5"/>
      <c r="E406" s="4"/>
      <c r="F406" s="4"/>
      <c r="G406" s="4"/>
      <c r="H406" s="4"/>
    </row>
    <row r="407">
      <c r="D407" s="5"/>
      <c r="E407" s="4"/>
      <c r="F407" s="4"/>
      <c r="G407" s="4"/>
      <c r="H407" s="4"/>
    </row>
    <row r="408">
      <c r="D408" s="5"/>
      <c r="E408" s="4"/>
      <c r="F408" s="4"/>
      <c r="G408" s="4"/>
      <c r="H408" s="4"/>
    </row>
    <row r="409">
      <c r="D409" s="5"/>
      <c r="E409" s="4"/>
      <c r="F409" s="4"/>
      <c r="G409" s="4"/>
      <c r="H409" s="4"/>
    </row>
    <row r="410">
      <c r="D410" s="5"/>
      <c r="E410" s="4"/>
      <c r="F410" s="4"/>
      <c r="G410" s="4"/>
      <c r="H410" s="4"/>
    </row>
    <row r="411">
      <c r="D411" s="5"/>
      <c r="E411" s="4"/>
      <c r="F411" s="4"/>
      <c r="G411" s="4"/>
      <c r="H411" s="4"/>
    </row>
    <row r="412">
      <c r="D412" s="5"/>
      <c r="E412" s="4"/>
      <c r="F412" s="4"/>
      <c r="G412" s="4"/>
      <c r="H412" s="4"/>
    </row>
    <row r="413">
      <c r="D413" s="5"/>
      <c r="E413" s="4"/>
      <c r="F413" s="4"/>
      <c r="G413" s="4"/>
      <c r="H413" s="4"/>
    </row>
    <row r="414">
      <c r="D414" s="5"/>
      <c r="E414" s="4"/>
      <c r="F414" s="4"/>
      <c r="G414" s="4"/>
      <c r="H414" s="4"/>
    </row>
    <row r="415">
      <c r="D415" s="5"/>
      <c r="E415" s="4"/>
      <c r="F415" s="4"/>
      <c r="G415" s="4"/>
      <c r="H415" s="4"/>
    </row>
    <row r="416">
      <c r="D416" s="5"/>
      <c r="E416" s="4"/>
      <c r="F416" s="4"/>
      <c r="G416" s="4"/>
      <c r="H416" s="4"/>
    </row>
    <row r="417">
      <c r="D417" s="5"/>
      <c r="E417" s="4"/>
      <c r="F417" s="4"/>
      <c r="G417" s="4"/>
      <c r="H417" s="4"/>
    </row>
    <row r="418">
      <c r="D418" s="5"/>
      <c r="E418" s="4"/>
      <c r="F418" s="4"/>
      <c r="G418" s="4"/>
      <c r="H418" s="4"/>
    </row>
    <row r="419">
      <c r="D419" s="5"/>
      <c r="E419" s="4"/>
      <c r="F419" s="4"/>
      <c r="G419" s="4"/>
      <c r="H419" s="4"/>
    </row>
    <row r="420">
      <c r="D420" s="5"/>
      <c r="E420" s="4"/>
      <c r="F420" s="4"/>
      <c r="G420" s="4"/>
      <c r="H420" s="4"/>
    </row>
    <row r="421">
      <c r="D421" s="5"/>
      <c r="E421" s="4"/>
      <c r="F421" s="4"/>
      <c r="G421" s="4"/>
      <c r="H421" s="4"/>
    </row>
    <row r="422">
      <c r="D422" s="5"/>
      <c r="E422" s="4"/>
      <c r="F422" s="4"/>
      <c r="G422" s="4"/>
      <c r="H422" s="4"/>
    </row>
    <row r="423">
      <c r="D423" s="5"/>
      <c r="E423" s="4"/>
      <c r="F423" s="4"/>
      <c r="G423" s="4"/>
      <c r="H423" s="4"/>
    </row>
    <row r="424">
      <c r="D424" s="5"/>
      <c r="E424" s="4"/>
      <c r="F424" s="4"/>
      <c r="G424" s="4"/>
      <c r="H424" s="4"/>
    </row>
    <row r="425">
      <c r="D425" s="5"/>
      <c r="E425" s="4"/>
      <c r="F425" s="4"/>
      <c r="G425" s="4"/>
      <c r="H425" s="4"/>
    </row>
    <row r="426">
      <c r="D426" s="5"/>
      <c r="E426" s="4"/>
      <c r="F426" s="4"/>
      <c r="G426" s="4"/>
      <c r="H426" s="4"/>
    </row>
    <row r="427">
      <c r="D427" s="5"/>
      <c r="E427" s="4"/>
      <c r="F427" s="4"/>
      <c r="G427" s="4"/>
      <c r="H427" s="4"/>
    </row>
    <row r="428">
      <c r="D428" s="5"/>
      <c r="E428" s="4"/>
      <c r="F428" s="4"/>
      <c r="G428" s="4"/>
      <c r="H428" s="4"/>
    </row>
    <row r="429">
      <c r="D429" s="5"/>
      <c r="E429" s="4"/>
      <c r="F429" s="4"/>
      <c r="G429" s="4"/>
      <c r="H429" s="4"/>
    </row>
    <row r="430">
      <c r="D430" s="5"/>
      <c r="E430" s="4"/>
      <c r="F430" s="4"/>
      <c r="G430" s="4"/>
      <c r="H430" s="4"/>
    </row>
    <row r="431">
      <c r="D431" s="5"/>
      <c r="E431" s="4"/>
      <c r="F431" s="4"/>
      <c r="G431" s="4"/>
      <c r="H431" s="4"/>
    </row>
    <row r="432">
      <c r="D432" s="5"/>
      <c r="E432" s="4"/>
      <c r="F432" s="4"/>
      <c r="G432" s="4"/>
      <c r="H432" s="4"/>
    </row>
    <row r="433">
      <c r="D433" s="5"/>
      <c r="E433" s="4"/>
      <c r="F433" s="4"/>
      <c r="G433" s="4"/>
      <c r="H433" s="4"/>
    </row>
    <row r="434">
      <c r="D434" s="5"/>
      <c r="E434" s="4"/>
      <c r="F434" s="4"/>
      <c r="G434" s="4"/>
      <c r="H434" s="4"/>
    </row>
    <row r="435">
      <c r="D435" s="5"/>
      <c r="E435" s="4"/>
      <c r="F435" s="4"/>
      <c r="G435" s="4"/>
      <c r="H435" s="4"/>
    </row>
    <row r="436">
      <c r="D436" s="5"/>
      <c r="E436" s="4"/>
      <c r="F436" s="4"/>
      <c r="G436" s="4"/>
      <c r="H436" s="4"/>
    </row>
    <row r="437">
      <c r="D437" s="5"/>
      <c r="E437" s="4"/>
      <c r="F437" s="4"/>
      <c r="G437" s="4"/>
      <c r="H437" s="4"/>
    </row>
    <row r="438">
      <c r="D438" s="5"/>
      <c r="E438" s="4"/>
      <c r="F438" s="4"/>
      <c r="G438" s="4"/>
      <c r="H438" s="4"/>
    </row>
    <row r="439">
      <c r="D439" s="5"/>
      <c r="E439" s="4"/>
      <c r="F439" s="4"/>
      <c r="G439" s="4"/>
      <c r="H439" s="4"/>
    </row>
    <row r="440">
      <c r="D440" s="5"/>
      <c r="E440" s="4"/>
      <c r="F440" s="4"/>
      <c r="G440" s="4"/>
      <c r="H440" s="4"/>
    </row>
    <row r="441">
      <c r="D441" s="5"/>
      <c r="E441" s="4"/>
      <c r="F441" s="4"/>
      <c r="G441" s="4"/>
      <c r="H441" s="4"/>
    </row>
    <row r="442">
      <c r="D442" s="5"/>
      <c r="E442" s="4"/>
      <c r="F442" s="4"/>
      <c r="G442" s="4"/>
      <c r="H442" s="4"/>
    </row>
    <row r="443">
      <c r="D443" s="5"/>
      <c r="E443" s="4"/>
      <c r="F443" s="4"/>
      <c r="G443" s="4"/>
      <c r="H443" s="4"/>
    </row>
    <row r="444">
      <c r="D444" s="5"/>
      <c r="E444" s="4"/>
      <c r="F444" s="4"/>
      <c r="G444" s="4"/>
      <c r="H444" s="4"/>
    </row>
    <row r="445">
      <c r="D445" s="5"/>
      <c r="E445" s="4"/>
      <c r="F445" s="4"/>
      <c r="G445" s="4"/>
      <c r="H445" s="4"/>
    </row>
    <row r="446">
      <c r="D446" s="5"/>
      <c r="E446" s="4"/>
      <c r="F446" s="4"/>
      <c r="G446" s="4"/>
      <c r="H446" s="4"/>
    </row>
    <row r="447">
      <c r="D447" s="5"/>
      <c r="E447" s="4"/>
      <c r="F447" s="4"/>
      <c r="G447" s="4"/>
      <c r="H447" s="4"/>
    </row>
    <row r="448">
      <c r="D448" s="5"/>
      <c r="E448" s="4"/>
      <c r="F448" s="4"/>
      <c r="G448" s="4"/>
      <c r="H448" s="4"/>
    </row>
    <row r="449">
      <c r="D449" s="5"/>
      <c r="E449" s="4"/>
      <c r="F449" s="4"/>
      <c r="G449" s="4"/>
      <c r="H449" s="4"/>
    </row>
    <row r="450">
      <c r="D450" s="5"/>
      <c r="E450" s="4"/>
      <c r="F450" s="4"/>
      <c r="G450" s="4"/>
      <c r="H450" s="4"/>
    </row>
    <row r="451">
      <c r="D451" s="5"/>
      <c r="E451" s="4"/>
      <c r="F451" s="4"/>
      <c r="G451" s="4"/>
      <c r="H451" s="4"/>
    </row>
    <row r="452">
      <c r="D452" s="5"/>
      <c r="E452" s="4"/>
      <c r="F452" s="4"/>
      <c r="G452" s="4"/>
      <c r="H452" s="4"/>
    </row>
    <row r="453">
      <c r="D453" s="5"/>
      <c r="E453" s="4"/>
      <c r="F453" s="4"/>
      <c r="G453" s="4"/>
      <c r="H453" s="4"/>
    </row>
    <row r="454">
      <c r="D454" s="5"/>
      <c r="E454" s="4"/>
      <c r="F454" s="4"/>
      <c r="G454" s="4"/>
      <c r="H454" s="4"/>
    </row>
    <row r="455">
      <c r="D455" s="5"/>
      <c r="E455" s="4"/>
      <c r="F455" s="4"/>
      <c r="G455" s="4"/>
      <c r="H455" s="4"/>
    </row>
    <row r="456">
      <c r="D456" s="5"/>
      <c r="E456" s="4"/>
      <c r="F456" s="4"/>
      <c r="G456" s="4"/>
      <c r="H456" s="4"/>
    </row>
    <row r="457">
      <c r="D457" s="5"/>
      <c r="E457" s="4"/>
      <c r="F457" s="4"/>
      <c r="G457" s="4"/>
      <c r="H457" s="4"/>
    </row>
    <row r="458">
      <c r="D458" s="5"/>
      <c r="E458" s="4"/>
      <c r="F458" s="4"/>
      <c r="G458" s="4"/>
      <c r="H458" s="4"/>
    </row>
    <row r="459">
      <c r="D459" s="5"/>
      <c r="E459" s="4"/>
      <c r="F459" s="4"/>
      <c r="G459" s="4"/>
      <c r="H459" s="4"/>
    </row>
    <row r="460">
      <c r="D460" s="5"/>
      <c r="E460" s="4"/>
      <c r="F460" s="4"/>
      <c r="G460" s="4"/>
      <c r="H460" s="4"/>
    </row>
    <row r="461">
      <c r="D461" s="5"/>
      <c r="E461" s="4"/>
      <c r="F461" s="4"/>
      <c r="G461" s="4"/>
      <c r="H461" s="4"/>
    </row>
    <row r="462">
      <c r="D462" s="5"/>
      <c r="E462" s="4"/>
      <c r="F462" s="4"/>
      <c r="G462" s="4"/>
      <c r="H462" s="4"/>
    </row>
    <row r="463">
      <c r="D463" s="5"/>
      <c r="E463" s="4"/>
      <c r="F463" s="4"/>
      <c r="G463" s="4"/>
      <c r="H463" s="4"/>
    </row>
    <row r="464">
      <c r="D464" s="5"/>
      <c r="E464" s="4"/>
      <c r="F464" s="4"/>
      <c r="G464" s="4"/>
      <c r="H464" s="4"/>
    </row>
    <row r="465">
      <c r="D465" s="5"/>
      <c r="E465" s="4"/>
      <c r="F465" s="4"/>
      <c r="G465" s="4"/>
      <c r="H465" s="4"/>
    </row>
    <row r="466">
      <c r="D466" s="5"/>
      <c r="E466" s="4"/>
      <c r="F466" s="4"/>
      <c r="G466" s="4"/>
      <c r="H466" s="4"/>
    </row>
    <row r="467">
      <c r="D467" s="5"/>
      <c r="E467" s="4"/>
      <c r="F467" s="4"/>
      <c r="G467" s="4"/>
      <c r="H467" s="4"/>
    </row>
    <row r="468">
      <c r="D468" s="5"/>
      <c r="E468" s="4"/>
      <c r="F468" s="4"/>
      <c r="G468" s="4"/>
      <c r="H468" s="4"/>
    </row>
    <row r="469">
      <c r="D469" s="5"/>
      <c r="E469" s="4"/>
      <c r="F469" s="4"/>
      <c r="G469" s="4"/>
      <c r="H469" s="4"/>
    </row>
    <row r="470">
      <c r="D470" s="5"/>
      <c r="E470" s="4"/>
      <c r="F470" s="4"/>
      <c r="G470" s="4"/>
      <c r="H470" s="4"/>
    </row>
    <row r="471">
      <c r="D471" s="5"/>
      <c r="E471" s="4"/>
      <c r="F471" s="4"/>
      <c r="G471" s="4"/>
      <c r="H471" s="4"/>
    </row>
    <row r="472">
      <c r="D472" s="5"/>
      <c r="E472" s="4"/>
      <c r="F472" s="4"/>
      <c r="G472" s="4"/>
      <c r="H472" s="4"/>
    </row>
    <row r="473">
      <c r="D473" s="5"/>
      <c r="E473" s="4"/>
      <c r="F473" s="4"/>
      <c r="G473" s="4"/>
      <c r="H473" s="4"/>
    </row>
    <row r="474">
      <c r="D474" s="5"/>
      <c r="E474" s="4"/>
      <c r="F474" s="4"/>
      <c r="G474" s="4"/>
      <c r="H474" s="4"/>
    </row>
    <row r="475">
      <c r="D475" s="5"/>
      <c r="E475" s="4"/>
      <c r="F475" s="4"/>
      <c r="G475" s="4"/>
      <c r="H475" s="4"/>
    </row>
    <row r="476">
      <c r="D476" s="5"/>
      <c r="E476" s="4"/>
      <c r="F476" s="4"/>
      <c r="G476" s="4"/>
      <c r="H476" s="4"/>
    </row>
    <row r="477">
      <c r="D477" s="5"/>
      <c r="E477" s="4"/>
      <c r="F477" s="4"/>
      <c r="G477" s="4"/>
      <c r="H477" s="4"/>
    </row>
    <row r="478">
      <c r="D478" s="5"/>
      <c r="E478" s="4"/>
      <c r="F478" s="4"/>
      <c r="G478" s="4"/>
      <c r="H478" s="4"/>
    </row>
    <row r="479">
      <c r="D479" s="5"/>
      <c r="E479" s="4"/>
      <c r="F479" s="4"/>
      <c r="G479" s="4"/>
      <c r="H479" s="4"/>
    </row>
    <row r="480">
      <c r="D480" s="5"/>
      <c r="E480" s="4"/>
      <c r="F480" s="4"/>
      <c r="G480" s="4"/>
      <c r="H480" s="4"/>
    </row>
    <row r="481">
      <c r="D481" s="5"/>
      <c r="E481" s="4"/>
      <c r="F481" s="4"/>
      <c r="G481" s="4"/>
      <c r="H481" s="4"/>
    </row>
    <row r="482">
      <c r="D482" s="5"/>
      <c r="E482" s="4"/>
      <c r="F482" s="4"/>
      <c r="G482" s="4"/>
      <c r="H482" s="4"/>
    </row>
    <row r="483">
      <c r="D483" s="5"/>
      <c r="E483" s="4"/>
      <c r="F483" s="4"/>
      <c r="G483" s="4"/>
      <c r="H483" s="4"/>
    </row>
    <row r="484">
      <c r="D484" s="5"/>
      <c r="E484" s="4"/>
      <c r="F484" s="4"/>
      <c r="G484" s="4"/>
      <c r="H484" s="4"/>
    </row>
    <row r="485">
      <c r="D485" s="5"/>
      <c r="E485" s="4"/>
      <c r="F485" s="4"/>
      <c r="G485" s="4"/>
      <c r="H485" s="4"/>
    </row>
    <row r="486">
      <c r="D486" s="5"/>
      <c r="E486" s="4"/>
      <c r="F486" s="4"/>
      <c r="G486" s="4"/>
      <c r="H486" s="4"/>
    </row>
    <row r="487">
      <c r="D487" s="5"/>
      <c r="E487" s="4"/>
      <c r="F487" s="4"/>
      <c r="G487" s="4"/>
      <c r="H487" s="4"/>
    </row>
    <row r="488">
      <c r="D488" s="5"/>
      <c r="E488" s="4"/>
      <c r="F488" s="4"/>
      <c r="G488" s="4"/>
      <c r="H488" s="4"/>
    </row>
    <row r="489">
      <c r="D489" s="5"/>
      <c r="E489" s="4"/>
      <c r="F489" s="4"/>
      <c r="G489" s="4"/>
      <c r="H489" s="4"/>
    </row>
    <row r="490">
      <c r="D490" s="5"/>
      <c r="E490" s="4"/>
      <c r="F490" s="4"/>
      <c r="G490" s="4"/>
      <c r="H490" s="4"/>
    </row>
    <row r="491">
      <c r="D491" s="5"/>
      <c r="E491" s="4"/>
      <c r="F491" s="4"/>
      <c r="G491" s="4"/>
      <c r="H491" s="4"/>
    </row>
    <row r="492">
      <c r="D492" s="5"/>
      <c r="E492" s="4"/>
      <c r="F492" s="4"/>
      <c r="G492" s="4"/>
      <c r="H492" s="4"/>
    </row>
    <row r="493">
      <c r="D493" s="5"/>
      <c r="E493" s="4"/>
      <c r="F493" s="4"/>
      <c r="G493" s="4"/>
      <c r="H493" s="4"/>
    </row>
    <row r="494">
      <c r="D494" s="5"/>
      <c r="E494" s="4"/>
      <c r="F494" s="4"/>
      <c r="G494" s="4"/>
      <c r="H494" s="4"/>
    </row>
    <row r="495">
      <c r="D495" s="5"/>
      <c r="E495" s="4"/>
      <c r="F495" s="4"/>
      <c r="G495" s="4"/>
      <c r="H495" s="4"/>
    </row>
    <row r="496">
      <c r="D496" s="5"/>
      <c r="E496" s="4"/>
      <c r="F496" s="4"/>
      <c r="G496" s="4"/>
      <c r="H496" s="4"/>
    </row>
    <row r="497">
      <c r="D497" s="5"/>
      <c r="E497" s="4"/>
      <c r="F497" s="4"/>
      <c r="G497" s="4"/>
      <c r="H497" s="4"/>
    </row>
    <row r="498">
      <c r="D498" s="5"/>
      <c r="E498" s="4"/>
      <c r="F498" s="4"/>
      <c r="G498" s="4"/>
      <c r="H498" s="4"/>
    </row>
    <row r="499">
      <c r="D499" s="5"/>
      <c r="E499" s="4"/>
      <c r="F499" s="4"/>
      <c r="G499" s="4"/>
      <c r="H499" s="4"/>
    </row>
    <row r="500">
      <c r="D500" s="5"/>
      <c r="E500" s="4"/>
      <c r="F500" s="4"/>
      <c r="G500" s="4"/>
      <c r="H500" s="4"/>
    </row>
    <row r="501">
      <c r="D501" s="5"/>
      <c r="E501" s="4"/>
      <c r="F501" s="4"/>
      <c r="G501" s="4"/>
      <c r="H501" s="4"/>
    </row>
    <row r="502">
      <c r="D502" s="5"/>
      <c r="E502" s="4"/>
      <c r="F502" s="4"/>
      <c r="G502" s="4"/>
      <c r="H502" s="4"/>
    </row>
    <row r="503">
      <c r="D503" s="5"/>
      <c r="E503" s="4"/>
      <c r="F503" s="4"/>
      <c r="G503" s="4"/>
      <c r="H503" s="4"/>
    </row>
    <row r="504">
      <c r="D504" s="5"/>
      <c r="E504" s="4"/>
      <c r="F504" s="4"/>
      <c r="G504" s="4"/>
      <c r="H504" s="4"/>
    </row>
    <row r="505">
      <c r="D505" s="5"/>
      <c r="E505" s="4"/>
      <c r="F505" s="4"/>
      <c r="G505" s="4"/>
      <c r="H505" s="4"/>
    </row>
    <row r="506">
      <c r="D506" s="5"/>
      <c r="E506" s="4"/>
      <c r="F506" s="4"/>
      <c r="G506" s="4"/>
      <c r="H506" s="4"/>
    </row>
    <row r="507">
      <c r="D507" s="5"/>
      <c r="E507" s="4"/>
      <c r="F507" s="4"/>
      <c r="G507" s="4"/>
      <c r="H507" s="4"/>
    </row>
    <row r="508">
      <c r="D508" s="5"/>
      <c r="E508" s="4"/>
      <c r="F508" s="4"/>
      <c r="G508" s="4"/>
      <c r="H508" s="4"/>
    </row>
    <row r="509">
      <c r="D509" s="5"/>
      <c r="E509" s="4"/>
      <c r="F509" s="4"/>
      <c r="G509" s="4"/>
      <c r="H509" s="4"/>
    </row>
    <row r="510">
      <c r="D510" s="5"/>
      <c r="E510" s="4"/>
      <c r="F510" s="4"/>
      <c r="G510" s="4"/>
      <c r="H510" s="4"/>
    </row>
    <row r="511">
      <c r="D511" s="5"/>
      <c r="E511" s="4"/>
      <c r="F511" s="4"/>
      <c r="G511" s="4"/>
      <c r="H511" s="4"/>
    </row>
    <row r="512">
      <c r="D512" s="5"/>
      <c r="E512" s="4"/>
      <c r="F512" s="4"/>
      <c r="G512" s="4"/>
      <c r="H512" s="4"/>
    </row>
    <row r="513">
      <c r="D513" s="5"/>
      <c r="E513" s="4"/>
      <c r="F513" s="4"/>
      <c r="G513" s="4"/>
      <c r="H513" s="4"/>
    </row>
    <row r="514">
      <c r="D514" s="5"/>
      <c r="E514" s="4"/>
      <c r="F514" s="4"/>
      <c r="G514" s="4"/>
      <c r="H514" s="4"/>
    </row>
    <row r="515">
      <c r="D515" s="5"/>
      <c r="E515" s="4"/>
      <c r="F515" s="4"/>
      <c r="G515" s="4"/>
      <c r="H515" s="4"/>
    </row>
    <row r="516">
      <c r="D516" s="5"/>
      <c r="E516" s="4"/>
      <c r="F516" s="4"/>
      <c r="G516" s="4"/>
      <c r="H516" s="4"/>
    </row>
    <row r="517">
      <c r="D517" s="5"/>
      <c r="E517" s="4"/>
      <c r="F517" s="4"/>
      <c r="G517" s="4"/>
      <c r="H517" s="4"/>
    </row>
    <row r="518">
      <c r="D518" s="5"/>
      <c r="E518" s="4"/>
      <c r="F518" s="4"/>
      <c r="G518" s="4"/>
      <c r="H518" s="4"/>
    </row>
    <row r="519">
      <c r="D519" s="5"/>
      <c r="E519" s="4"/>
      <c r="F519" s="4"/>
      <c r="G519" s="4"/>
      <c r="H519" s="4"/>
    </row>
    <row r="520">
      <c r="D520" s="5"/>
      <c r="E520" s="4"/>
      <c r="F520" s="4"/>
      <c r="G520" s="4"/>
      <c r="H520" s="4"/>
    </row>
    <row r="521">
      <c r="D521" s="5"/>
      <c r="E521" s="4"/>
      <c r="F521" s="4"/>
      <c r="G521" s="4"/>
      <c r="H521" s="4"/>
    </row>
    <row r="522">
      <c r="D522" s="5"/>
      <c r="E522" s="4"/>
      <c r="F522" s="4"/>
      <c r="G522" s="4"/>
      <c r="H522" s="4"/>
    </row>
    <row r="523">
      <c r="D523" s="5"/>
      <c r="E523" s="4"/>
      <c r="F523" s="4"/>
      <c r="G523" s="4"/>
      <c r="H523" s="4"/>
    </row>
    <row r="524">
      <c r="D524" s="5"/>
      <c r="E524" s="4"/>
      <c r="F524" s="4"/>
      <c r="G524" s="4"/>
      <c r="H524" s="4"/>
    </row>
    <row r="525">
      <c r="D525" s="5"/>
      <c r="E525" s="4"/>
      <c r="F525" s="4"/>
      <c r="G525" s="4"/>
      <c r="H525" s="4"/>
    </row>
    <row r="526">
      <c r="D526" s="5"/>
      <c r="E526" s="4"/>
      <c r="F526" s="4"/>
      <c r="G526" s="4"/>
      <c r="H526" s="4"/>
    </row>
    <row r="527">
      <c r="D527" s="5"/>
      <c r="E527" s="4"/>
      <c r="F527" s="4"/>
      <c r="G527" s="4"/>
      <c r="H527" s="4"/>
    </row>
    <row r="528">
      <c r="D528" s="5"/>
      <c r="E528" s="4"/>
      <c r="F528" s="4"/>
      <c r="G528" s="4"/>
      <c r="H528" s="4"/>
    </row>
    <row r="529">
      <c r="D529" s="5"/>
      <c r="E529" s="4"/>
      <c r="F529" s="4"/>
      <c r="G529" s="4"/>
      <c r="H529" s="4"/>
    </row>
    <row r="530">
      <c r="D530" s="5"/>
      <c r="E530" s="4"/>
      <c r="F530" s="4"/>
      <c r="G530" s="4"/>
      <c r="H530" s="4"/>
    </row>
    <row r="531">
      <c r="D531" s="5"/>
      <c r="E531" s="4"/>
      <c r="F531" s="4"/>
      <c r="G531" s="4"/>
      <c r="H531" s="4"/>
    </row>
    <row r="532">
      <c r="D532" s="5"/>
      <c r="E532" s="4"/>
      <c r="F532" s="4"/>
      <c r="G532" s="4"/>
      <c r="H532" s="4"/>
    </row>
    <row r="533">
      <c r="D533" s="5"/>
      <c r="E533" s="4"/>
      <c r="F533" s="4"/>
      <c r="G533" s="4"/>
      <c r="H533" s="4"/>
    </row>
    <row r="534">
      <c r="D534" s="5"/>
      <c r="E534" s="4"/>
      <c r="F534" s="4"/>
      <c r="G534" s="4"/>
      <c r="H534" s="4"/>
    </row>
    <row r="535">
      <c r="D535" s="5"/>
      <c r="E535" s="4"/>
      <c r="F535" s="4"/>
      <c r="G535" s="4"/>
      <c r="H535" s="4"/>
    </row>
    <row r="536">
      <c r="D536" s="5"/>
      <c r="E536" s="4"/>
      <c r="F536" s="4"/>
      <c r="G536" s="4"/>
      <c r="H536" s="4"/>
    </row>
    <row r="537">
      <c r="D537" s="5"/>
      <c r="E537" s="4"/>
      <c r="F537" s="4"/>
      <c r="G537" s="4"/>
      <c r="H537" s="4"/>
    </row>
    <row r="538">
      <c r="D538" s="5"/>
      <c r="E538" s="4"/>
      <c r="F538" s="4"/>
      <c r="G538" s="4"/>
      <c r="H538" s="4"/>
    </row>
    <row r="539">
      <c r="D539" s="5"/>
      <c r="E539" s="4"/>
      <c r="F539" s="4"/>
      <c r="G539" s="4"/>
      <c r="H539" s="4"/>
    </row>
    <row r="540">
      <c r="D540" s="5"/>
      <c r="E540" s="4"/>
      <c r="F540" s="4"/>
      <c r="G540" s="4"/>
      <c r="H540" s="4"/>
    </row>
    <row r="541">
      <c r="D541" s="5"/>
      <c r="E541" s="4"/>
      <c r="F541" s="4"/>
      <c r="G541" s="4"/>
      <c r="H541" s="4"/>
    </row>
    <row r="542">
      <c r="D542" s="5"/>
      <c r="E542" s="4"/>
      <c r="F542" s="4"/>
      <c r="G542" s="4"/>
      <c r="H542" s="4"/>
    </row>
    <row r="543">
      <c r="D543" s="5"/>
      <c r="E543" s="4"/>
      <c r="F543" s="4"/>
      <c r="G543" s="4"/>
      <c r="H543" s="4"/>
    </row>
    <row r="544">
      <c r="D544" s="5"/>
      <c r="E544" s="4"/>
      <c r="F544" s="4"/>
      <c r="G544" s="4"/>
      <c r="H544" s="4"/>
    </row>
    <row r="545">
      <c r="D545" s="5"/>
      <c r="E545" s="4"/>
      <c r="F545" s="4"/>
      <c r="G545" s="4"/>
      <c r="H545" s="4"/>
    </row>
    <row r="546">
      <c r="D546" s="5"/>
      <c r="E546" s="4"/>
      <c r="F546" s="4"/>
      <c r="G546" s="4"/>
      <c r="H546" s="4"/>
    </row>
    <row r="547">
      <c r="D547" s="5"/>
      <c r="E547" s="4"/>
      <c r="F547" s="4"/>
      <c r="G547" s="4"/>
      <c r="H547" s="4"/>
    </row>
    <row r="548">
      <c r="D548" s="5"/>
      <c r="E548" s="4"/>
      <c r="F548" s="4"/>
      <c r="G548" s="4"/>
      <c r="H548" s="4"/>
    </row>
    <row r="549">
      <c r="D549" s="5"/>
      <c r="E549" s="4"/>
      <c r="F549" s="4"/>
      <c r="G549" s="4"/>
      <c r="H549" s="4"/>
    </row>
    <row r="550">
      <c r="D550" s="5"/>
      <c r="E550" s="4"/>
      <c r="F550" s="4"/>
      <c r="G550" s="4"/>
      <c r="H550" s="4"/>
    </row>
    <row r="551">
      <c r="D551" s="5"/>
      <c r="E551" s="4"/>
      <c r="F551" s="4"/>
      <c r="G551" s="4"/>
      <c r="H551" s="4"/>
    </row>
    <row r="552">
      <c r="D552" s="5"/>
      <c r="E552" s="4"/>
      <c r="F552" s="4"/>
      <c r="G552" s="4"/>
      <c r="H552" s="4"/>
    </row>
    <row r="553">
      <c r="D553" s="5"/>
      <c r="E553" s="4"/>
      <c r="F553" s="4"/>
      <c r="G553" s="4"/>
      <c r="H553" s="4"/>
    </row>
    <row r="554">
      <c r="D554" s="5"/>
      <c r="E554" s="4"/>
      <c r="F554" s="4"/>
      <c r="G554" s="4"/>
      <c r="H554" s="4"/>
    </row>
    <row r="555">
      <c r="D555" s="5"/>
      <c r="E555" s="4"/>
      <c r="F555" s="4"/>
      <c r="G555" s="4"/>
      <c r="H555" s="4"/>
    </row>
    <row r="556">
      <c r="D556" s="5"/>
      <c r="E556" s="4"/>
      <c r="F556" s="4"/>
      <c r="G556" s="4"/>
      <c r="H556" s="4"/>
    </row>
    <row r="557">
      <c r="D557" s="5"/>
      <c r="E557" s="4"/>
      <c r="F557" s="4"/>
      <c r="G557" s="4"/>
      <c r="H557" s="4"/>
    </row>
    <row r="558">
      <c r="D558" s="5"/>
      <c r="E558" s="4"/>
      <c r="F558" s="4"/>
      <c r="G558" s="4"/>
      <c r="H558" s="4"/>
    </row>
    <row r="559">
      <c r="D559" s="5"/>
      <c r="E559" s="4"/>
      <c r="F559" s="4"/>
      <c r="G559" s="4"/>
      <c r="H559" s="4"/>
    </row>
    <row r="560">
      <c r="D560" s="5"/>
      <c r="E560" s="4"/>
      <c r="F560" s="4"/>
      <c r="G560" s="4"/>
      <c r="H560" s="4"/>
    </row>
    <row r="561">
      <c r="D561" s="5"/>
      <c r="E561" s="4"/>
      <c r="F561" s="4"/>
      <c r="G561" s="4"/>
      <c r="H561" s="4"/>
    </row>
    <row r="562">
      <c r="D562" s="5"/>
      <c r="E562" s="4"/>
      <c r="F562" s="4"/>
      <c r="G562" s="4"/>
      <c r="H562" s="4"/>
    </row>
    <row r="563">
      <c r="D563" s="5"/>
      <c r="E563" s="4"/>
      <c r="F563" s="4"/>
      <c r="G563" s="4"/>
      <c r="H563" s="4"/>
    </row>
    <row r="564">
      <c r="D564" s="5"/>
      <c r="E564" s="4"/>
      <c r="F564" s="4"/>
      <c r="G564" s="4"/>
      <c r="H564" s="4"/>
    </row>
    <row r="565">
      <c r="D565" s="5"/>
      <c r="E565" s="4"/>
      <c r="F565" s="4"/>
      <c r="G565" s="4"/>
      <c r="H565" s="4"/>
    </row>
    <row r="566">
      <c r="D566" s="5"/>
      <c r="E566" s="4"/>
      <c r="F566" s="4"/>
      <c r="G566" s="4"/>
      <c r="H566" s="4"/>
    </row>
    <row r="567">
      <c r="D567" s="5"/>
      <c r="E567" s="4"/>
      <c r="F567" s="4"/>
      <c r="G567" s="4"/>
      <c r="H567" s="4"/>
    </row>
    <row r="568">
      <c r="D568" s="5"/>
      <c r="E568" s="4"/>
      <c r="F568" s="4"/>
      <c r="G568" s="4"/>
      <c r="H568" s="4"/>
    </row>
    <row r="569">
      <c r="D569" s="5"/>
      <c r="E569" s="4"/>
      <c r="F569" s="4"/>
      <c r="G569" s="4"/>
      <c r="H569" s="4"/>
    </row>
    <row r="570">
      <c r="D570" s="5"/>
      <c r="E570" s="4"/>
      <c r="F570" s="4"/>
      <c r="G570" s="4"/>
      <c r="H570" s="4"/>
    </row>
    <row r="571">
      <c r="D571" s="5"/>
      <c r="E571" s="4"/>
      <c r="F571" s="4"/>
      <c r="G571" s="4"/>
      <c r="H571" s="4"/>
    </row>
    <row r="572">
      <c r="D572" s="5"/>
      <c r="E572" s="4"/>
      <c r="F572" s="4"/>
      <c r="G572" s="4"/>
      <c r="H572" s="4"/>
    </row>
    <row r="573">
      <c r="D573" s="5"/>
      <c r="E573" s="4"/>
      <c r="F573" s="4"/>
      <c r="G573" s="4"/>
      <c r="H573" s="4"/>
    </row>
    <row r="574">
      <c r="D574" s="5"/>
      <c r="E574" s="4"/>
      <c r="F574" s="4"/>
      <c r="G574" s="4"/>
      <c r="H574" s="4"/>
    </row>
    <row r="575">
      <c r="D575" s="5"/>
      <c r="E575" s="4"/>
      <c r="F575" s="4"/>
      <c r="G575" s="4"/>
      <c r="H575" s="4"/>
    </row>
    <row r="576">
      <c r="D576" s="5"/>
      <c r="E576" s="4"/>
      <c r="F576" s="4"/>
      <c r="G576" s="4"/>
      <c r="H576" s="4"/>
    </row>
    <row r="577">
      <c r="D577" s="5"/>
      <c r="E577" s="4"/>
      <c r="F577" s="4"/>
      <c r="G577" s="4"/>
      <c r="H577" s="4"/>
    </row>
    <row r="578">
      <c r="D578" s="5"/>
      <c r="E578" s="4"/>
      <c r="F578" s="4"/>
      <c r="G578" s="4"/>
      <c r="H578" s="4"/>
    </row>
    <row r="579">
      <c r="D579" s="5"/>
      <c r="E579" s="4"/>
      <c r="F579" s="4"/>
      <c r="G579" s="4"/>
      <c r="H579" s="4"/>
    </row>
    <row r="580">
      <c r="D580" s="5"/>
      <c r="E580" s="4"/>
      <c r="F580" s="4"/>
      <c r="G580" s="4"/>
      <c r="H580" s="4"/>
    </row>
    <row r="581">
      <c r="D581" s="5"/>
      <c r="E581" s="4"/>
      <c r="F581" s="4"/>
      <c r="G581" s="4"/>
      <c r="H581" s="4"/>
    </row>
    <row r="582">
      <c r="D582" s="5"/>
      <c r="E582" s="4"/>
      <c r="F582" s="4"/>
      <c r="G582" s="4"/>
      <c r="H582" s="4"/>
    </row>
    <row r="583">
      <c r="D583" s="5"/>
      <c r="E583" s="4"/>
      <c r="F583" s="4"/>
      <c r="G583" s="4"/>
      <c r="H583" s="4"/>
    </row>
    <row r="584">
      <c r="D584" s="5"/>
      <c r="E584" s="4"/>
      <c r="F584" s="4"/>
      <c r="G584" s="4"/>
      <c r="H584" s="4"/>
    </row>
    <row r="585">
      <c r="D585" s="5"/>
      <c r="E585" s="4"/>
      <c r="F585" s="4"/>
      <c r="G585" s="4"/>
      <c r="H585" s="4"/>
    </row>
    <row r="586">
      <c r="D586" s="5"/>
      <c r="E586" s="4"/>
      <c r="F586" s="4"/>
      <c r="G586" s="4"/>
      <c r="H586" s="4"/>
    </row>
    <row r="587">
      <c r="D587" s="5"/>
      <c r="E587" s="4"/>
      <c r="F587" s="4"/>
      <c r="G587" s="4"/>
      <c r="H587" s="4"/>
    </row>
    <row r="588">
      <c r="D588" s="5"/>
      <c r="E588" s="4"/>
      <c r="F588" s="4"/>
      <c r="G588" s="4"/>
      <c r="H588" s="4"/>
    </row>
    <row r="589">
      <c r="D589" s="5"/>
      <c r="E589" s="4"/>
      <c r="F589" s="4"/>
      <c r="G589" s="4"/>
      <c r="H589" s="4"/>
    </row>
    <row r="590">
      <c r="D590" s="5"/>
      <c r="E590" s="4"/>
      <c r="F590" s="4"/>
      <c r="G590" s="4"/>
      <c r="H590" s="4"/>
    </row>
    <row r="591">
      <c r="D591" s="5"/>
      <c r="E591" s="4"/>
      <c r="F591" s="4"/>
      <c r="G591" s="4"/>
      <c r="H591" s="4"/>
    </row>
    <row r="592">
      <c r="D592" s="5"/>
      <c r="E592" s="4"/>
      <c r="F592" s="4"/>
      <c r="G592" s="4"/>
      <c r="H592" s="4"/>
    </row>
    <row r="593">
      <c r="D593" s="5"/>
      <c r="E593" s="4"/>
      <c r="F593" s="4"/>
      <c r="G593" s="4"/>
      <c r="H593" s="4"/>
    </row>
    <row r="594">
      <c r="D594" s="5"/>
      <c r="E594" s="4"/>
      <c r="F594" s="4"/>
      <c r="G594" s="4"/>
      <c r="H594" s="4"/>
    </row>
    <row r="595">
      <c r="D595" s="5"/>
      <c r="E595" s="4"/>
      <c r="F595" s="4"/>
      <c r="G595" s="4"/>
      <c r="H595" s="4"/>
    </row>
    <row r="596">
      <c r="D596" s="5"/>
      <c r="E596" s="4"/>
      <c r="F596" s="4"/>
      <c r="G596" s="4"/>
      <c r="H596" s="4"/>
    </row>
    <row r="597">
      <c r="D597" s="5"/>
      <c r="E597" s="4"/>
      <c r="F597" s="4"/>
      <c r="G597" s="4"/>
      <c r="H597" s="4"/>
    </row>
    <row r="598">
      <c r="D598" s="5"/>
      <c r="E598" s="4"/>
      <c r="F598" s="4"/>
      <c r="G598" s="4"/>
      <c r="H598" s="4"/>
    </row>
    <row r="599">
      <c r="D599" s="5"/>
      <c r="E599" s="4"/>
      <c r="F599" s="4"/>
      <c r="G599" s="4"/>
      <c r="H599" s="4"/>
    </row>
    <row r="600">
      <c r="D600" s="5"/>
      <c r="E600" s="4"/>
      <c r="F600" s="4"/>
      <c r="G600" s="4"/>
      <c r="H600" s="4"/>
    </row>
    <row r="601">
      <c r="D601" s="5"/>
      <c r="E601" s="4"/>
      <c r="F601" s="4"/>
      <c r="G601" s="4"/>
      <c r="H601" s="4"/>
    </row>
    <row r="602">
      <c r="D602" s="5"/>
      <c r="E602" s="4"/>
      <c r="F602" s="4"/>
      <c r="G602" s="4"/>
      <c r="H602" s="4"/>
    </row>
    <row r="603">
      <c r="D603" s="5"/>
      <c r="E603" s="4"/>
      <c r="F603" s="4"/>
      <c r="G603" s="4"/>
      <c r="H603" s="4"/>
    </row>
    <row r="604">
      <c r="D604" s="5"/>
      <c r="E604" s="4"/>
      <c r="F604" s="4"/>
      <c r="G604" s="4"/>
      <c r="H604" s="4"/>
    </row>
    <row r="605">
      <c r="D605" s="5"/>
      <c r="E605" s="4"/>
      <c r="F605" s="4"/>
      <c r="G605" s="4"/>
      <c r="H605" s="4"/>
    </row>
    <row r="606">
      <c r="D606" s="5"/>
      <c r="E606" s="4"/>
      <c r="F606" s="4"/>
      <c r="G606" s="4"/>
      <c r="H606" s="4"/>
    </row>
    <row r="607">
      <c r="D607" s="5"/>
      <c r="E607" s="4"/>
      <c r="F607" s="4"/>
      <c r="G607" s="4"/>
      <c r="H607" s="4"/>
    </row>
    <row r="608">
      <c r="D608" s="5"/>
      <c r="E608" s="4"/>
      <c r="F608" s="4"/>
      <c r="G608" s="4"/>
      <c r="H608" s="4"/>
    </row>
    <row r="609">
      <c r="D609" s="5"/>
      <c r="E609" s="4"/>
      <c r="F609" s="4"/>
      <c r="G609" s="4"/>
      <c r="H609" s="4"/>
    </row>
    <row r="610">
      <c r="D610" s="5"/>
      <c r="E610" s="4"/>
      <c r="F610" s="4"/>
      <c r="G610" s="4"/>
      <c r="H610" s="4"/>
    </row>
    <row r="611">
      <c r="D611" s="5"/>
      <c r="E611" s="4"/>
      <c r="F611" s="4"/>
      <c r="G611" s="4"/>
      <c r="H611" s="4"/>
    </row>
    <row r="612">
      <c r="D612" s="5"/>
      <c r="E612" s="4"/>
      <c r="F612" s="4"/>
      <c r="G612" s="4"/>
      <c r="H612" s="4"/>
    </row>
    <row r="613">
      <c r="D613" s="5"/>
      <c r="E613" s="4"/>
      <c r="F613" s="4"/>
      <c r="G613" s="4"/>
      <c r="H613" s="4"/>
    </row>
    <row r="614">
      <c r="D614" s="5"/>
      <c r="E614" s="4"/>
      <c r="F614" s="4"/>
      <c r="G614" s="4"/>
      <c r="H614" s="4"/>
    </row>
    <row r="615">
      <c r="D615" s="5"/>
      <c r="E615" s="4"/>
      <c r="F615" s="4"/>
      <c r="G615" s="4"/>
      <c r="H615" s="4"/>
    </row>
    <row r="616">
      <c r="D616" s="5"/>
      <c r="E616" s="4"/>
      <c r="F616" s="4"/>
      <c r="G616" s="4"/>
      <c r="H616" s="4"/>
    </row>
    <row r="617">
      <c r="D617" s="5"/>
      <c r="E617" s="4"/>
      <c r="F617" s="4"/>
      <c r="G617" s="4"/>
      <c r="H617" s="4"/>
    </row>
    <row r="618">
      <c r="D618" s="5"/>
      <c r="E618" s="4"/>
      <c r="F618" s="4"/>
      <c r="G618" s="4"/>
      <c r="H618" s="4"/>
    </row>
    <row r="619">
      <c r="D619" s="5"/>
      <c r="E619" s="4"/>
      <c r="F619" s="4"/>
      <c r="G619" s="4"/>
      <c r="H619" s="4"/>
    </row>
    <row r="620">
      <c r="D620" s="5"/>
      <c r="E620" s="4"/>
      <c r="F620" s="4"/>
      <c r="G620" s="4"/>
      <c r="H620" s="4"/>
    </row>
    <row r="621">
      <c r="D621" s="5"/>
      <c r="E621" s="4"/>
      <c r="F621" s="4"/>
      <c r="G621" s="4"/>
      <c r="H621" s="4"/>
    </row>
    <row r="622">
      <c r="D622" s="5"/>
      <c r="E622" s="4"/>
      <c r="F622" s="4"/>
      <c r="G622" s="4"/>
      <c r="H622" s="4"/>
    </row>
    <row r="623">
      <c r="D623" s="5"/>
      <c r="E623" s="4"/>
      <c r="F623" s="4"/>
      <c r="G623" s="4"/>
      <c r="H623" s="4"/>
    </row>
    <row r="624">
      <c r="D624" s="5"/>
      <c r="E624" s="4"/>
      <c r="F624" s="4"/>
      <c r="G624" s="4"/>
      <c r="H624" s="4"/>
    </row>
    <row r="625">
      <c r="D625" s="5"/>
      <c r="E625" s="4"/>
      <c r="F625" s="4"/>
      <c r="G625" s="4"/>
      <c r="H625" s="4"/>
    </row>
    <row r="626">
      <c r="D626" s="5"/>
      <c r="E626" s="4"/>
      <c r="F626" s="4"/>
      <c r="G626" s="4"/>
      <c r="H626" s="4"/>
    </row>
    <row r="627">
      <c r="D627" s="5"/>
      <c r="E627" s="4"/>
      <c r="F627" s="4"/>
      <c r="G627" s="4"/>
      <c r="H627" s="4"/>
    </row>
    <row r="628">
      <c r="D628" s="5"/>
      <c r="E628" s="4"/>
      <c r="F628" s="4"/>
      <c r="G628" s="4"/>
      <c r="H628" s="4"/>
    </row>
    <row r="629">
      <c r="D629" s="5"/>
      <c r="E629" s="4"/>
      <c r="F629" s="4"/>
      <c r="G629" s="4"/>
      <c r="H629" s="4"/>
    </row>
    <row r="630">
      <c r="D630" s="5"/>
      <c r="E630" s="4"/>
      <c r="F630" s="4"/>
      <c r="G630" s="4"/>
      <c r="H630" s="4"/>
    </row>
    <row r="631">
      <c r="D631" s="5"/>
      <c r="E631" s="4"/>
      <c r="F631" s="4"/>
      <c r="G631" s="4"/>
      <c r="H631" s="4"/>
    </row>
    <row r="632">
      <c r="D632" s="5"/>
      <c r="E632" s="4"/>
      <c r="F632" s="4"/>
      <c r="G632" s="4"/>
      <c r="H632" s="4"/>
    </row>
    <row r="633">
      <c r="D633" s="5"/>
      <c r="E633" s="4"/>
      <c r="F633" s="4"/>
      <c r="G633" s="4"/>
      <c r="H633" s="4"/>
    </row>
    <row r="634">
      <c r="D634" s="5"/>
      <c r="E634" s="4"/>
      <c r="F634" s="4"/>
      <c r="G634" s="4"/>
      <c r="H634" s="4"/>
    </row>
    <row r="635">
      <c r="D635" s="5"/>
      <c r="E635" s="4"/>
      <c r="F635" s="4"/>
      <c r="G635" s="4"/>
      <c r="H635" s="4"/>
    </row>
    <row r="636">
      <c r="D636" s="5"/>
      <c r="E636" s="4"/>
      <c r="F636" s="4"/>
      <c r="G636" s="4"/>
      <c r="H636" s="4"/>
    </row>
    <row r="637">
      <c r="D637" s="5"/>
      <c r="E637" s="4"/>
      <c r="F637" s="4"/>
      <c r="G637" s="4"/>
      <c r="H637" s="4"/>
    </row>
    <row r="638">
      <c r="D638" s="5"/>
      <c r="E638" s="4"/>
      <c r="F638" s="4"/>
      <c r="G638" s="4"/>
      <c r="H638" s="4"/>
    </row>
    <row r="639">
      <c r="D639" s="5"/>
      <c r="E639" s="4"/>
      <c r="F639" s="4"/>
      <c r="G639" s="4"/>
      <c r="H639" s="4"/>
    </row>
    <row r="640">
      <c r="D640" s="5"/>
      <c r="E640" s="4"/>
      <c r="F640" s="4"/>
      <c r="G640" s="4"/>
      <c r="H640" s="4"/>
    </row>
    <row r="641">
      <c r="D641" s="5"/>
      <c r="E641" s="4"/>
      <c r="F641" s="4"/>
      <c r="G641" s="4"/>
      <c r="H641" s="4"/>
    </row>
    <row r="642">
      <c r="D642" s="5"/>
      <c r="E642" s="4"/>
      <c r="F642" s="4"/>
      <c r="G642" s="4"/>
      <c r="H642" s="4"/>
    </row>
    <row r="643">
      <c r="D643" s="5"/>
      <c r="E643" s="4"/>
      <c r="F643" s="4"/>
      <c r="G643" s="4"/>
      <c r="H643" s="4"/>
    </row>
    <row r="644">
      <c r="D644" s="5"/>
      <c r="E644" s="4"/>
      <c r="F644" s="4"/>
      <c r="G644" s="4"/>
      <c r="H644" s="4"/>
    </row>
    <row r="645">
      <c r="D645" s="5"/>
      <c r="E645" s="4"/>
      <c r="F645" s="4"/>
      <c r="G645" s="4"/>
      <c r="H645" s="4"/>
    </row>
    <row r="646">
      <c r="D646" s="5"/>
      <c r="E646" s="4"/>
      <c r="F646" s="4"/>
      <c r="G646" s="4"/>
      <c r="H646" s="4"/>
    </row>
    <row r="647">
      <c r="D647" s="5"/>
      <c r="E647" s="4"/>
      <c r="F647" s="4"/>
      <c r="G647" s="4"/>
      <c r="H647" s="4"/>
    </row>
    <row r="648">
      <c r="D648" s="5"/>
      <c r="E648" s="4"/>
      <c r="F648" s="4"/>
      <c r="G648" s="4"/>
      <c r="H648" s="4"/>
    </row>
    <row r="649">
      <c r="D649" s="5"/>
      <c r="E649" s="4"/>
      <c r="F649" s="4"/>
      <c r="G649" s="4"/>
      <c r="H649" s="4"/>
    </row>
    <row r="650">
      <c r="D650" s="5"/>
      <c r="E650" s="4"/>
      <c r="F650" s="4"/>
      <c r="G650" s="4"/>
      <c r="H650" s="4"/>
    </row>
    <row r="651">
      <c r="D651" s="5"/>
      <c r="E651" s="4"/>
      <c r="F651" s="4"/>
      <c r="G651" s="4"/>
      <c r="H651" s="4"/>
    </row>
    <row r="652">
      <c r="D652" s="5"/>
      <c r="E652" s="4"/>
      <c r="F652" s="4"/>
      <c r="G652" s="4"/>
      <c r="H652" s="4"/>
    </row>
    <row r="653">
      <c r="D653" s="5"/>
      <c r="E653" s="4"/>
      <c r="F653" s="4"/>
      <c r="G653" s="4"/>
      <c r="H653" s="4"/>
    </row>
    <row r="654">
      <c r="D654" s="5"/>
      <c r="E654" s="4"/>
      <c r="F654" s="4"/>
      <c r="G654" s="4"/>
      <c r="H654" s="4"/>
    </row>
    <row r="655">
      <c r="D655" s="5"/>
      <c r="E655" s="4"/>
      <c r="F655" s="4"/>
      <c r="G655" s="4"/>
      <c r="H655" s="4"/>
    </row>
    <row r="656">
      <c r="D656" s="5"/>
      <c r="E656" s="4"/>
      <c r="F656" s="4"/>
      <c r="G656" s="4"/>
      <c r="H656" s="4"/>
    </row>
    <row r="657">
      <c r="D657" s="5"/>
      <c r="E657" s="4"/>
      <c r="F657" s="4"/>
      <c r="G657" s="4"/>
      <c r="H657" s="4"/>
    </row>
    <row r="658">
      <c r="D658" s="5"/>
      <c r="E658" s="4"/>
      <c r="F658" s="4"/>
      <c r="G658" s="4"/>
      <c r="H658" s="4"/>
    </row>
    <row r="659">
      <c r="D659" s="5"/>
      <c r="E659" s="4"/>
      <c r="F659" s="4"/>
      <c r="G659" s="4"/>
      <c r="H659" s="4"/>
    </row>
    <row r="660">
      <c r="D660" s="5"/>
      <c r="E660" s="4"/>
      <c r="F660" s="4"/>
      <c r="G660" s="4"/>
      <c r="H660" s="4"/>
    </row>
    <row r="661">
      <c r="D661" s="5"/>
      <c r="E661" s="4"/>
      <c r="F661" s="4"/>
      <c r="G661" s="4"/>
      <c r="H661" s="4"/>
    </row>
    <row r="662">
      <c r="D662" s="5"/>
      <c r="E662" s="4"/>
      <c r="F662" s="4"/>
      <c r="G662" s="4"/>
      <c r="H662" s="4"/>
    </row>
    <row r="663">
      <c r="D663" s="5"/>
      <c r="E663" s="4"/>
      <c r="F663" s="4"/>
      <c r="G663" s="4"/>
      <c r="H663" s="4"/>
    </row>
    <row r="664">
      <c r="D664" s="5"/>
      <c r="E664" s="4"/>
      <c r="F664" s="4"/>
      <c r="G664" s="4"/>
      <c r="H664" s="4"/>
    </row>
    <row r="665">
      <c r="D665" s="5"/>
      <c r="E665" s="4"/>
      <c r="F665" s="4"/>
      <c r="G665" s="4"/>
      <c r="H665" s="4"/>
    </row>
    <row r="666">
      <c r="D666" s="5"/>
      <c r="E666" s="4"/>
      <c r="F666" s="4"/>
      <c r="G666" s="4"/>
      <c r="H666" s="4"/>
    </row>
    <row r="667">
      <c r="D667" s="5"/>
      <c r="E667" s="4"/>
      <c r="F667" s="4"/>
      <c r="G667" s="4"/>
      <c r="H667" s="4"/>
    </row>
    <row r="668">
      <c r="D668" s="5"/>
      <c r="E668" s="4"/>
      <c r="F668" s="4"/>
      <c r="G668" s="4"/>
      <c r="H668" s="4"/>
    </row>
    <row r="669">
      <c r="D669" s="5"/>
      <c r="E669" s="4"/>
      <c r="F669" s="4"/>
      <c r="G669" s="4"/>
      <c r="H669" s="4"/>
    </row>
    <row r="670">
      <c r="D670" s="5"/>
      <c r="E670" s="4"/>
      <c r="F670" s="4"/>
      <c r="G670" s="4"/>
      <c r="H670" s="4"/>
    </row>
    <row r="671">
      <c r="D671" s="5"/>
      <c r="E671" s="4"/>
      <c r="F671" s="4"/>
      <c r="G671" s="4"/>
      <c r="H671" s="4"/>
    </row>
    <row r="672">
      <c r="D672" s="5"/>
      <c r="E672" s="4"/>
      <c r="F672" s="4"/>
      <c r="G672" s="4"/>
      <c r="H672" s="4"/>
    </row>
    <row r="673">
      <c r="D673" s="5"/>
      <c r="E673" s="4"/>
      <c r="F673" s="4"/>
      <c r="G673" s="4"/>
      <c r="H673" s="4"/>
    </row>
    <row r="674">
      <c r="D674" s="5"/>
      <c r="E674" s="4"/>
      <c r="F674" s="4"/>
      <c r="G674" s="4"/>
      <c r="H674" s="4"/>
    </row>
    <row r="675">
      <c r="D675" s="5"/>
      <c r="E675" s="4"/>
      <c r="F675" s="4"/>
      <c r="G675" s="4"/>
      <c r="H675" s="4"/>
    </row>
    <row r="676">
      <c r="D676" s="5"/>
      <c r="E676" s="4"/>
      <c r="F676" s="4"/>
      <c r="G676" s="4"/>
      <c r="H676" s="4"/>
    </row>
    <row r="677">
      <c r="D677" s="5"/>
      <c r="E677" s="4"/>
      <c r="F677" s="4"/>
      <c r="G677" s="4"/>
      <c r="H677" s="4"/>
    </row>
    <row r="678">
      <c r="D678" s="5"/>
      <c r="E678" s="4"/>
      <c r="F678" s="4"/>
      <c r="G678" s="4"/>
      <c r="H678" s="4"/>
    </row>
    <row r="679">
      <c r="D679" s="5"/>
      <c r="E679" s="4"/>
      <c r="F679" s="4"/>
      <c r="G679" s="4"/>
      <c r="H679" s="4"/>
    </row>
    <row r="680">
      <c r="D680" s="5"/>
      <c r="E680" s="4"/>
      <c r="F680" s="4"/>
      <c r="G680" s="4"/>
      <c r="H680" s="4"/>
    </row>
    <row r="681">
      <c r="D681" s="5"/>
      <c r="E681" s="4"/>
      <c r="F681" s="4"/>
      <c r="G681" s="4"/>
      <c r="H681" s="4"/>
    </row>
    <row r="682">
      <c r="D682" s="5"/>
      <c r="E682" s="4"/>
      <c r="F682" s="4"/>
      <c r="G682" s="4"/>
      <c r="H682" s="4"/>
    </row>
    <row r="683">
      <c r="D683" s="5"/>
      <c r="E683" s="4"/>
      <c r="F683" s="4"/>
      <c r="G683" s="4"/>
      <c r="H683" s="4"/>
    </row>
    <row r="684">
      <c r="D684" s="5"/>
      <c r="E684" s="4"/>
      <c r="F684" s="4"/>
      <c r="G684" s="4"/>
      <c r="H684" s="4"/>
    </row>
    <row r="685">
      <c r="D685" s="5"/>
      <c r="E685" s="4"/>
      <c r="F685" s="4"/>
      <c r="G685" s="4"/>
      <c r="H685" s="4"/>
    </row>
    <row r="686">
      <c r="D686" s="5"/>
      <c r="E686" s="4"/>
      <c r="F686" s="4"/>
      <c r="G686" s="4"/>
      <c r="H686" s="4"/>
    </row>
    <row r="687">
      <c r="D687" s="5"/>
      <c r="E687" s="4"/>
      <c r="F687" s="4"/>
      <c r="G687" s="4"/>
      <c r="H687" s="4"/>
    </row>
    <row r="688">
      <c r="D688" s="5"/>
      <c r="E688" s="4"/>
      <c r="F688" s="4"/>
      <c r="G688" s="4"/>
      <c r="H688" s="4"/>
    </row>
    <row r="689">
      <c r="D689" s="5"/>
      <c r="E689" s="4"/>
      <c r="F689" s="4"/>
      <c r="G689" s="4"/>
      <c r="H689" s="4"/>
    </row>
    <row r="690">
      <c r="D690" s="5"/>
      <c r="E690" s="4"/>
      <c r="F690" s="4"/>
      <c r="G690" s="4"/>
      <c r="H690" s="4"/>
    </row>
    <row r="691">
      <c r="D691" s="5"/>
      <c r="E691" s="4"/>
      <c r="F691" s="4"/>
      <c r="G691" s="4"/>
      <c r="H691" s="4"/>
    </row>
    <row r="692">
      <c r="D692" s="5"/>
      <c r="E692" s="4"/>
      <c r="F692" s="4"/>
      <c r="G692" s="4"/>
      <c r="H692" s="4"/>
    </row>
    <row r="693">
      <c r="D693" s="5"/>
      <c r="E693" s="4"/>
      <c r="F693" s="4"/>
      <c r="G693" s="4"/>
      <c r="H693" s="4"/>
    </row>
    <row r="694">
      <c r="D694" s="5"/>
      <c r="E694" s="4"/>
      <c r="F694" s="4"/>
      <c r="G694" s="4"/>
      <c r="H694" s="4"/>
    </row>
    <row r="695">
      <c r="D695" s="5"/>
      <c r="E695" s="4"/>
      <c r="F695" s="4"/>
      <c r="G695" s="4"/>
      <c r="H695" s="4"/>
    </row>
    <row r="696">
      <c r="D696" s="5"/>
      <c r="E696" s="4"/>
      <c r="F696" s="4"/>
      <c r="G696" s="4"/>
      <c r="H696" s="4"/>
    </row>
    <row r="697">
      <c r="D697" s="5"/>
      <c r="E697" s="4"/>
      <c r="F697" s="4"/>
      <c r="G697" s="4"/>
      <c r="H697" s="4"/>
    </row>
    <row r="698">
      <c r="D698" s="5"/>
      <c r="E698" s="4"/>
      <c r="F698" s="4"/>
      <c r="G698" s="4"/>
      <c r="H698" s="4"/>
    </row>
    <row r="699">
      <c r="D699" s="5"/>
      <c r="E699" s="4"/>
      <c r="F699" s="4"/>
      <c r="G699" s="4"/>
      <c r="H699" s="4"/>
    </row>
    <row r="700">
      <c r="D700" s="5"/>
      <c r="E700" s="4"/>
      <c r="F700" s="4"/>
      <c r="G700" s="4"/>
      <c r="H700" s="4"/>
    </row>
    <row r="701">
      <c r="D701" s="5"/>
      <c r="E701" s="4"/>
      <c r="F701" s="4"/>
      <c r="G701" s="4"/>
      <c r="H701" s="4"/>
    </row>
    <row r="702">
      <c r="D702" s="5"/>
      <c r="E702" s="4"/>
      <c r="F702" s="4"/>
      <c r="G702" s="4"/>
      <c r="H702" s="4"/>
    </row>
    <row r="703">
      <c r="D703" s="5"/>
      <c r="E703" s="4"/>
      <c r="F703" s="4"/>
      <c r="G703" s="4"/>
      <c r="H703" s="4"/>
    </row>
    <row r="704">
      <c r="D704" s="5"/>
      <c r="E704" s="4"/>
      <c r="F704" s="4"/>
      <c r="G704" s="4"/>
      <c r="H704" s="4"/>
    </row>
    <row r="705">
      <c r="D705" s="5"/>
      <c r="E705" s="4"/>
      <c r="F705" s="4"/>
      <c r="G705" s="4"/>
      <c r="H705" s="4"/>
    </row>
    <row r="706">
      <c r="D706" s="5"/>
      <c r="E706" s="4"/>
      <c r="F706" s="4"/>
      <c r="G706" s="4"/>
      <c r="H706" s="4"/>
    </row>
    <row r="707">
      <c r="D707" s="5"/>
      <c r="E707" s="4"/>
      <c r="F707" s="4"/>
      <c r="G707" s="4"/>
      <c r="H707" s="4"/>
    </row>
    <row r="708">
      <c r="D708" s="5"/>
      <c r="E708" s="4"/>
      <c r="F708" s="4"/>
      <c r="G708" s="4"/>
      <c r="H708" s="4"/>
    </row>
    <row r="709">
      <c r="D709" s="5"/>
      <c r="E709" s="4"/>
      <c r="F709" s="4"/>
      <c r="G709" s="4"/>
      <c r="H709" s="4"/>
    </row>
    <row r="710">
      <c r="D710" s="5"/>
      <c r="E710" s="4"/>
      <c r="F710" s="4"/>
      <c r="G710" s="4"/>
      <c r="H710" s="4"/>
    </row>
    <row r="711">
      <c r="D711" s="5"/>
      <c r="E711" s="4"/>
      <c r="F711" s="4"/>
      <c r="G711" s="4"/>
      <c r="H711" s="4"/>
    </row>
    <row r="712">
      <c r="D712" s="5"/>
      <c r="E712" s="4"/>
      <c r="F712" s="4"/>
      <c r="G712" s="4"/>
      <c r="H712" s="4"/>
    </row>
    <row r="713">
      <c r="D713" s="5"/>
      <c r="E713" s="4"/>
      <c r="F713" s="4"/>
      <c r="G713" s="4"/>
      <c r="H713" s="4"/>
    </row>
    <row r="714">
      <c r="D714" s="5"/>
      <c r="E714" s="4"/>
      <c r="F714" s="4"/>
      <c r="G714" s="4"/>
      <c r="H714" s="4"/>
    </row>
    <row r="715">
      <c r="D715" s="5"/>
      <c r="E715" s="4"/>
      <c r="F715" s="4"/>
      <c r="G715" s="4"/>
      <c r="H715" s="4"/>
    </row>
    <row r="716">
      <c r="D716" s="5"/>
      <c r="E716" s="4"/>
      <c r="F716" s="4"/>
      <c r="G716" s="4"/>
      <c r="H716" s="4"/>
    </row>
    <row r="717">
      <c r="D717" s="5"/>
      <c r="E717" s="4"/>
      <c r="F717" s="4"/>
      <c r="G717" s="4"/>
      <c r="H717" s="4"/>
    </row>
    <row r="718">
      <c r="D718" s="5"/>
      <c r="E718" s="4"/>
      <c r="F718" s="4"/>
      <c r="G718" s="4"/>
      <c r="H718" s="4"/>
    </row>
    <row r="719">
      <c r="D719" s="5"/>
      <c r="E719" s="4"/>
      <c r="F719" s="4"/>
      <c r="G719" s="4"/>
      <c r="H719" s="4"/>
    </row>
    <row r="720">
      <c r="D720" s="5"/>
      <c r="E720" s="4"/>
      <c r="F720" s="4"/>
      <c r="G720" s="4"/>
      <c r="H720" s="4"/>
    </row>
    <row r="721">
      <c r="D721" s="5"/>
      <c r="E721" s="4"/>
      <c r="F721" s="4"/>
      <c r="G721" s="4"/>
      <c r="H721" s="4"/>
    </row>
    <row r="722">
      <c r="D722" s="5"/>
      <c r="E722" s="4"/>
      <c r="F722" s="4"/>
      <c r="G722" s="4"/>
      <c r="H722" s="4"/>
    </row>
    <row r="723">
      <c r="D723" s="5"/>
      <c r="E723" s="4"/>
      <c r="F723" s="4"/>
      <c r="G723" s="4"/>
      <c r="H723" s="4"/>
    </row>
    <row r="724">
      <c r="D724" s="5"/>
      <c r="E724" s="4"/>
      <c r="F724" s="4"/>
      <c r="G724" s="4"/>
      <c r="H724" s="4"/>
    </row>
    <row r="725">
      <c r="D725" s="5"/>
      <c r="E725" s="4"/>
      <c r="F725" s="4"/>
      <c r="G725" s="4"/>
      <c r="H725" s="4"/>
    </row>
    <row r="726">
      <c r="D726" s="5"/>
      <c r="E726" s="4"/>
      <c r="F726" s="4"/>
      <c r="G726" s="4"/>
      <c r="H726" s="4"/>
    </row>
    <row r="727">
      <c r="D727" s="5"/>
      <c r="E727" s="4"/>
      <c r="F727" s="4"/>
      <c r="G727" s="4"/>
      <c r="H727" s="4"/>
    </row>
    <row r="728">
      <c r="D728" s="5"/>
      <c r="E728" s="4"/>
      <c r="F728" s="4"/>
      <c r="G728" s="4"/>
      <c r="H728" s="4"/>
    </row>
    <row r="729">
      <c r="D729" s="5"/>
      <c r="E729" s="4"/>
      <c r="F729" s="4"/>
      <c r="G729" s="4"/>
      <c r="H729" s="4"/>
    </row>
    <row r="730">
      <c r="D730" s="5"/>
      <c r="E730" s="4"/>
      <c r="F730" s="4"/>
      <c r="G730" s="4"/>
      <c r="H730" s="4"/>
    </row>
    <row r="731">
      <c r="D731" s="5"/>
      <c r="E731" s="4"/>
      <c r="F731" s="4"/>
      <c r="G731" s="4"/>
      <c r="H731" s="4"/>
    </row>
    <row r="732">
      <c r="D732" s="5"/>
      <c r="E732" s="4"/>
      <c r="F732" s="4"/>
      <c r="G732" s="4"/>
      <c r="H732" s="4"/>
    </row>
    <row r="733">
      <c r="D733" s="5"/>
      <c r="E733" s="4"/>
      <c r="F733" s="4"/>
      <c r="G733" s="4"/>
      <c r="H733" s="4"/>
    </row>
    <row r="734">
      <c r="D734" s="5"/>
      <c r="E734" s="4"/>
      <c r="F734" s="4"/>
      <c r="G734" s="4"/>
      <c r="H734" s="4"/>
    </row>
    <row r="735">
      <c r="D735" s="5"/>
      <c r="E735" s="4"/>
      <c r="F735" s="4"/>
      <c r="G735" s="4"/>
      <c r="H735" s="4"/>
    </row>
    <row r="736">
      <c r="D736" s="5"/>
      <c r="E736" s="4"/>
      <c r="F736" s="4"/>
      <c r="G736" s="4"/>
      <c r="H736" s="4"/>
    </row>
    <row r="737">
      <c r="D737" s="5"/>
      <c r="E737" s="4"/>
      <c r="F737" s="4"/>
      <c r="G737" s="4"/>
      <c r="H737" s="4"/>
    </row>
    <row r="738">
      <c r="D738" s="5"/>
      <c r="E738" s="4"/>
      <c r="F738" s="4"/>
      <c r="G738" s="4"/>
      <c r="H738" s="4"/>
    </row>
    <row r="739">
      <c r="D739" s="5"/>
      <c r="E739" s="4"/>
      <c r="F739" s="4"/>
      <c r="G739" s="4"/>
      <c r="H739" s="4"/>
    </row>
    <row r="740">
      <c r="D740" s="5"/>
      <c r="E740" s="4"/>
      <c r="F740" s="4"/>
      <c r="G740" s="4"/>
      <c r="H740" s="4"/>
    </row>
    <row r="741">
      <c r="D741" s="5"/>
      <c r="E741" s="4"/>
      <c r="F741" s="4"/>
      <c r="G741" s="4"/>
      <c r="H741" s="4"/>
    </row>
    <row r="742">
      <c r="D742" s="5"/>
      <c r="E742" s="4"/>
      <c r="F742" s="4"/>
      <c r="G742" s="4"/>
      <c r="H742" s="4"/>
    </row>
    <row r="743">
      <c r="D743" s="5"/>
      <c r="E743" s="4"/>
      <c r="F743" s="4"/>
      <c r="G743" s="4"/>
      <c r="H743" s="4"/>
    </row>
    <row r="744">
      <c r="D744" s="5"/>
      <c r="E744" s="4"/>
      <c r="F744" s="4"/>
      <c r="G744" s="4"/>
      <c r="H744" s="4"/>
    </row>
    <row r="745">
      <c r="D745" s="5"/>
      <c r="E745" s="4"/>
      <c r="F745" s="4"/>
      <c r="G745" s="4"/>
      <c r="H745" s="4"/>
    </row>
    <row r="746">
      <c r="D746" s="5"/>
      <c r="E746" s="4"/>
      <c r="F746" s="4"/>
      <c r="G746" s="4"/>
      <c r="H746" s="4"/>
    </row>
    <row r="747">
      <c r="D747" s="5"/>
      <c r="E747" s="4"/>
      <c r="F747" s="4"/>
      <c r="G747" s="4"/>
      <c r="H747" s="4"/>
    </row>
    <row r="748">
      <c r="D748" s="5"/>
      <c r="E748" s="4"/>
      <c r="F748" s="4"/>
      <c r="G748" s="4"/>
      <c r="H748" s="4"/>
    </row>
    <row r="749">
      <c r="D749" s="5"/>
      <c r="E749" s="4"/>
      <c r="F749" s="4"/>
      <c r="G749" s="4"/>
      <c r="H749" s="4"/>
    </row>
    <row r="750">
      <c r="D750" s="5"/>
      <c r="E750" s="4"/>
      <c r="F750" s="4"/>
      <c r="G750" s="4"/>
      <c r="H750" s="4"/>
    </row>
    <row r="751">
      <c r="D751" s="5"/>
      <c r="E751" s="4"/>
      <c r="F751" s="4"/>
      <c r="G751" s="4"/>
      <c r="H751" s="4"/>
    </row>
    <row r="752">
      <c r="D752" s="5"/>
      <c r="E752" s="4"/>
      <c r="F752" s="4"/>
      <c r="G752" s="4"/>
      <c r="H752" s="4"/>
    </row>
    <row r="753">
      <c r="D753" s="5"/>
      <c r="E753" s="4"/>
      <c r="F753" s="4"/>
      <c r="G753" s="4"/>
      <c r="H753" s="4"/>
    </row>
    <row r="754">
      <c r="D754" s="5"/>
      <c r="E754" s="4"/>
      <c r="F754" s="4"/>
      <c r="G754" s="4"/>
      <c r="H754" s="4"/>
    </row>
    <row r="755">
      <c r="D755" s="5"/>
      <c r="E755" s="4"/>
      <c r="F755" s="4"/>
      <c r="G755" s="4"/>
      <c r="H755" s="4"/>
    </row>
    <row r="756">
      <c r="D756" s="5"/>
      <c r="E756" s="4"/>
      <c r="F756" s="4"/>
      <c r="G756" s="4"/>
      <c r="H756" s="4"/>
    </row>
    <row r="757">
      <c r="D757" s="5"/>
      <c r="E757" s="4"/>
      <c r="F757" s="4"/>
      <c r="G757" s="4"/>
      <c r="H757" s="4"/>
    </row>
    <row r="758">
      <c r="D758" s="5"/>
      <c r="E758" s="4"/>
      <c r="F758" s="4"/>
      <c r="G758" s="4"/>
      <c r="H758" s="4"/>
    </row>
    <row r="759">
      <c r="D759" s="5"/>
      <c r="E759" s="4"/>
      <c r="F759" s="4"/>
      <c r="G759" s="4"/>
      <c r="H759" s="4"/>
    </row>
    <row r="760">
      <c r="D760" s="5"/>
      <c r="E760" s="4"/>
      <c r="F760" s="4"/>
      <c r="G760" s="4"/>
      <c r="H760" s="4"/>
    </row>
    <row r="761">
      <c r="D761" s="5"/>
      <c r="E761" s="4"/>
      <c r="F761" s="4"/>
      <c r="G761" s="4"/>
      <c r="H761" s="4"/>
    </row>
    <row r="762">
      <c r="D762" s="5"/>
      <c r="E762" s="4"/>
      <c r="F762" s="4"/>
      <c r="G762" s="4"/>
      <c r="H762" s="4"/>
    </row>
    <row r="763">
      <c r="D763" s="5"/>
      <c r="E763" s="4"/>
      <c r="F763" s="4"/>
      <c r="G763" s="4"/>
      <c r="H763" s="4"/>
    </row>
    <row r="764">
      <c r="D764" s="5"/>
      <c r="E764" s="4"/>
      <c r="F764" s="4"/>
      <c r="G764" s="4"/>
      <c r="H764" s="4"/>
    </row>
    <row r="765">
      <c r="D765" s="5"/>
      <c r="E765" s="4"/>
      <c r="F765" s="4"/>
      <c r="G765" s="4"/>
      <c r="H765" s="4"/>
    </row>
    <row r="766">
      <c r="D766" s="5"/>
      <c r="E766" s="4"/>
      <c r="F766" s="4"/>
      <c r="G766" s="4"/>
      <c r="H766" s="4"/>
    </row>
    <row r="767">
      <c r="D767" s="5"/>
      <c r="E767" s="4"/>
      <c r="F767" s="4"/>
      <c r="G767" s="4"/>
      <c r="H767" s="4"/>
    </row>
    <row r="768">
      <c r="D768" s="5"/>
      <c r="E768" s="4"/>
      <c r="F768" s="4"/>
      <c r="G768" s="4"/>
      <c r="H768" s="4"/>
    </row>
    <row r="769">
      <c r="D769" s="5"/>
      <c r="E769" s="4"/>
      <c r="F769" s="4"/>
      <c r="G769" s="4"/>
      <c r="H769" s="4"/>
    </row>
    <row r="770">
      <c r="D770" s="5"/>
      <c r="E770" s="4"/>
      <c r="F770" s="4"/>
      <c r="G770" s="4"/>
      <c r="H770" s="4"/>
    </row>
    <row r="771">
      <c r="D771" s="5"/>
      <c r="E771" s="4"/>
      <c r="F771" s="4"/>
      <c r="G771" s="4"/>
      <c r="H771" s="4"/>
    </row>
    <row r="772">
      <c r="D772" s="5"/>
      <c r="E772" s="4"/>
      <c r="F772" s="4"/>
      <c r="G772" s="4"/>
      <c r="H772" s="4"/>
    </row>
    <row r="773">
      <c r="D773" s="5"/>
      <c r="E773" s="4"/>
      <c r="F773" s="4"/>
      <c r="G773" s="4"/>
      <c r="H773" s="4"/>
    </row>
    <row r="774">
      <c r="D774" s="5"/>
      <c r="E774" s="4"/>
      <c r="F774" s="4"/>
      <c r="G774" s="4"/>
      <c r="H774" s="4"/>
    </row>
    <row r="775">
      <c r="D775" s="5"/>
      <c r="E775" s="4"/>
      <c r="F775" s="4"/>
      <c r="G775" s="4"/>
      <c r="H775" s="4"/>
    </row>
    <row r="776">
      <c r="D776" s="5"/>
      <c r="E776" s="4"/>
      <c r="F776" s="4"/>
      <c r="G776" s="4"/>
      <c r="H776" s="4"/>
    </row>
    <row r="777">
      <c r="D777" s="5"/>
      <c r="E777" s="4"/>
      <c r="F777" s="4"/>
      <c r="G777" s="4"/>
      <c r="H777" s="4"/>
    </row>
    <row r="778">
      <c r="D778" s="5"/>
      <c r="E778" s="4"/>
      <c r="F778" s="4"/>
      <c r="G778" s="4"/>
      <c r="H778" s="4"/>
    </row>
    <row r="779">
      <c r="D779" s="5"/>
      <c r="E779" s="4"/>
      <c r="F779" s="4"/>
      <c r="G779" s="4"/>
      <c r="H779" s="4"/>
    </row>
    <row r="780">
      <c r="D780" s="5"/>
      <c r="E780" s="4"/>
      <c r="F780" s="4"/>
      <c r="G780" s="4"/>
      <c r="H780" s="4"/>
    </row>
    <row r="781">
      <c r="D781" s="5"/>
      <c r="E781" s="4"/>
      <c r="F781" s="4"/>
      <c r="G781" s="4"/>
      <c r="H781" s="4"/>
    </row>
    <row r="782">
      <c r="D782" s="5"/>
      <c r="E782" s="4"/>
      <c r="F782" s="4"/>
      <c r="G782" s="4"/>
      <c r="H782" s="4"/>
    </row>
    <row r="783">
      <c r="D783" s="5"/>
      <c r="E783" s="4"/>
      <c r="F783" s="4"/>
      <c r="G783" s="4"/>
      <c r="H783" s="4"/>
    </row>
    <row r="784">
      <c r="D784" s="5"/>
      <c r="E784" s="4"/>
      <c r="F784" s="4"/>
      <c r="G784" s="4"/>
      <c r="H784" s="4"/>
    </row>
    <row r="785">
      <c r="D785" s="5"/>
      <c r="E785" s="4"/>
      <c r="F785" s="4"/>
      <c r="G785" s="4"/>
      <c r="H785" s="4"/>
    </row>
    <row r="786">
      <c r="D786" s="5"/>
      <c r="E786" s="4"/>
      <c r="F786" s="4"/>
      <c r="G786" s="4"/>
      <c r="H786" s="4"/>
    </row>
    <row r="787">
      <c r="D787" s="5"/>
      <c r="E787" s="4"/>
      <c r="F787" s="4"/>
      <c r="G787" s="4"/>
      <c r="H787" s="4"/>
    </row>
    <row r="788">
      <c r="D788" s="5"/>
      <c r="E788" s="4"/>
      <c r="F788" s="4"/>
      <c r="G788" s="4"/>
      <c r="H788" s="4"/>
    </row>
    <row r="789">
      <c r="D789" s="5"/>
      <c r="E789" s="4"/>
      <c r="F789" s="4"/>
      <c r="G789" s="4"/>
      <c r="H789" s="4"/>
    </row>
    <row r="790">
      <c r="D790" s="5"/>
      <c r="E790" s="4"/>
      <c r="F790" s="4"/>
      <c r="G790" s="4"/>
      <c r="H790" s="4"/>
    </row>
    <row r="791">
      <c r="D791" s="5"/>
      <c r="E791" s="4"/>
      <c r="F791" s="4"/>
      <c r="G791" s="4"/>
      <c r="H791" s="4"/>
    </row>
    <row r="792">
      <c r="D792" s="5"/>
      <c r="E792" s="4"/>
      <c r="F792" s="4"/>
      <c r="G792" s="4"/>
      <c r="H792" s="4"/>
    </row>
    <row r="793">
      <c r="D793" s="5"/>
      <c r="E793" s="4"/>
      <c r="F793" s="4"/>
      <c r="G793" s="4"/>
      <c r="H793" s="4"/>
    </row>
    <row r="794">
      <c r="D794" s="5"/>
      <c r="E794" s="4"/>
      <c r="F794" s="4"/>
      <c r="G794" s="4"/>
      <c r="H794" s="4"/>
    </row>
    <row r="795">
      <c r="D795" s="5"/>
      <c r="E795" s="4"/>
      <c r="F795" s="4"/>
      <c r="G795" s="4"/>
      <c r="H795" s="4"/>
    </row>
    <row r="796">
      <c r="D796" s="5"/>
      <c r="E796" s="4"/>
      <c r="F796" s="4"/>
      <c r="G796" s="4"/>
      <c r="H796" s="4"/>
    </row>
    <row r="797">
      <c r="D797" s="5"/>
      <c r="E797" s="4"/>
      <c r="F797" s="4"/>
      <c r="G797" s="4"/>
      <c r="H797" s="4"/>
    </row>
    <row r="798">
      <c r="D798" s="5"/>
      <c r="E798" s="4"/>
      <c r="F798" s="4"/>
      <c r="G798" s="4"/>
      <c r="H798" s="4"/>
    </row>
    <row r="799">
      <c r="D799" s="5"/>
      <c r="E799" s="4"/>
      <c r="F799" s="4"/>
      <c r="G799" s="4"/>
      <c r="H799" s="4"/>
    </row>
    <row r="800">
      <c r="D800" s="5"/>
      <c r="E800" s="4"/>
      <c r="F800" s="4"/>
      <c r="G800" s="4"/>
      <c r="H800" s="4"/>
    </row>
    <row r="801">
      <c r="D801" s="5"/>
      <c r="E801" s="4"/>
      <c r="F801" s="4"/>
      <c r="G801" s="4"/>
      <c r="H801" s="4"/>
    </row>
    <row r="802">
      <c r="D802" s="5"/>
      <c r="E802" s="4"/>
      <c r="F802" s="4"/>
      <c r="G802" s="4"/>
      <c r="H802" s="4"/>
    </row>
    <row r="803">
      <c r="D803" s="5"/>
      <c r="E803" s="4"/>
      <c r="F803" s="4"/>
      <c r="G803" s="4"/>
      <c r="H803" s="4"/>
    </row>
    <row r="804">
      <c r="D804" s="5"/>
      <c r="E804" s="4"/>
      <c r="F804" s="4"/>
      <c r="G804" s="4"/>
      <c r="H804" s="4"/>
    </row>
    <row r="805">
      <c r="D805" s="5"/>
      <c r="E805" s="4"/>
      <c r="F805" s="4"/>
      <c r="G805" s="4"/>
      <c r="H805" s="4"/>
    </row>
    <row r="806">
      <c r="D806" s="5"/>
      <c r="E806" s="4"/>
      <c r="F806" s="4"/>
      <c r="G806" s="4"/>
      <c r="H806" s="4"/>
    </row>
    <row r="807">
      <c r="D807" s="5"/>
      <c r="E807" s="4"/>
      <c r="F807" s="4"/>
      <c r="G807" s="4"/>
      <c r="H807" s="4"/>
    </row>
    <row r="808">
      <c r="D808" s="5"/>
      <c r="E808" s="4"/>
      <c r="F808" s="4"/>
      <c r="G808" s="4"/>
      <c r="H808" s="4"/>
    </row>
    <row r="809">
      <c r="D809" s="5"/>
      <c r="E809" s="4"/>
      <c r="F809" s="4"/>
      <c r="G809" s="4"/>
      <c r="H809" s="4"/>
    </row>
    <row r="810">
      <c r="D810" s="5"/>
      <c r="E810" s="4"/>
      <c r="F810" s="4"/>
      <c r="G810" s="4"/>
      <c r="H810" s="4"/>
    </row>
    <row r="811">
      <c r="D811" s="5"/>
      <c r="E811" s="4"/>
      <c r="F811" s="4"/>
      <c r="G811" s="4"/>
      <c r="H811" s="4"/>
    </row>
    <row r="812">
      <c r="D812" s="5"/>
      <c r="E812" s="4"/>
      <c r="F812" s="4"/>
      <c r="G812" s="4"/>
      <c r="H812" s="4"/>
    </row>
    <row r="813">
      <c r="D813" s="5"/>
      <c r="E813" s="4"/>
      <c r="F813" s="4"/>
      <c r="G813" s="4"/>
      <c r="H813" s="4"/>
    </row>
    <row r="814">
      <c r="D814" s="5"/>
      <c r="E814" s="4"/>
      <c r="F814" s="4"/>
      <c r="G814" s="4"/>
      <c r="H814" s="4"/>
    </row>
    <row r="815">
      <c r="D815" s="5"/>
      <c r="E815" s="4"/>
      <c r="F815" s="4"/>
      <c r="G815" s="4"/>
      <c r="H815" s="4"/>
    </row>
    <row r="816">
      <c r="D816" s="5"/>
      <c r="E816" s="4"/>
      <c r="F816" s="4"/>
      <c r="G816" s="4"/>
      <c r="H816" s="4"/>
    </row>
    <row r="817">
      <c r="D817" s="5"/>
      <c r="E817" s="4"/>
      <c r="F817" s="4"/>
      <c r="G817" s="4"/>
      <c r="H817" s="4"/>
    </row>
    <row r="818">
      <c r="D818" s="5"/>
      <c r="E818" s="4"/>
      <c r="F818" s="4"/>
      <c r="G818" s="4"/>
      <c r="H818" s="4"/>
    </row>
    <row r="819">
      <c r="D819" s="5"/>
      <c r="E819" s="4"/>
      <c r="F819" s="4"/>
      <c r="G819" s="4"/>
      <c r="H819" s="4"/>
    </row>
    <row r="820">
      <c r="D820" s="5"/>
      <c r="E820" s="4"/>
      <c r="F820" s="4"/>
      <c r="G820" s="4"/>
      <c r="H820" s="4"/>
    </row>
    <row r="821">
      <c r="D821" s="5"/>
      <c r="E821" s="4"/>
      <c r="F821" s="4"/>
      <c r="G821" s="4"/>
      <c r="H821" s="4"/>
    </row>
    <row r="822">
      <c r="D822" s="5"/>
      <c r="E822" s="4"/>
      <c r="F822" s="4"/>
      <c r="G822" s="4"/>
      <c r="H822" s="4"/>
    </row>
    <row r="823">
      <c r="D823" s="5"/>
      <c r="E823" s="4"/>
      <c r="F823" s="4"/>
      <c r="G823" s="4"/>
      <c r="H823" s="4"/>
    </row>
    <row r="824">
      <c r="D824" s="5"/>
      <c r="E824" s="4"/>
      <c r="F824" s="4"/>
      <c r="G824" s="4"/>
      <c r="H824" s="4"/>
    </row>
    <row r="825">
      <c r="D825" s="5"/>
      <c r="E825" s="4"/>
      <c r="F825" s="4"/>
      <c r="G825" s="4"/>
      <c r="H825" s="4"/>
    </row>
    <row r="826">
      <c r="D826" s="5"/>
      <c r="E826" s="4"/>
      <c r="F826" s="4"/>
      <c r="G826" s="4"/>
      <c r="H826" s="4"/>
    </row>
    <row r="827">
      <c r="D827" s="5"/>
      <c r="E827" s="4"/>
      <c r="F827" s="4"/>
      <c r="G827" s="4"/>
      <c r="H827" s="4"/>
    </row>
    <row r="828">
      <c r="D828" s="5"/>
      <c r="E828" s="4"/>
      <c r="F828" s="4"/>
      <c r="G828" s="4"/>
      <c r="H828" s="4"/>
    </row>
    <row r="829">
      <c r="D829" s="5"/>
      <c r="E829" s="4"/>
      <c r="F829" s="4"/>
      <c r="G829" s="4"/>
      <c r="H829" s="4"/>
    </row>
    <row r="830">
      <c r="D830" s="5"/>
      <c r="E830" s="4"/>
      <c r="F830" s="4"/>
      <c r="G830" s="4"/>
      <c r="H830" s="4"/>
    </row>
    <row r="831">
      <c r="D831" s="5"/>
      <c r="E831" s="4"/>
      <c r="F831" s="4"/>
      <c r="G831" s="4"/>
      <c r="H831" s="4"/>
    </row>
    <row r="832">
      <c r="D832" s="5"/>
      <c r="E832" s="4"/>
      <c r="F832" s="4"/>
      <c r="G832" s="4"/>
      <c r="H832" s="4"/>
    </row>
    <row r="833">
      <c r="D833" s="5"/>
      <c r="E833" s="4"/>
      <c r="F833" s="4"/>
      <c r="G833" s="4"/>
      <c r="H833" s="4"/>
    </row>
    <row r="834">
      <c r="D834" s="5"/>
      <c r="E834" s="4"/>
      <c r="F834" s="4"/>
      <c r="G834" s="4"/>
      <c r="H834" s="4"/>
    </row>
    <row r="835">
      <c r="D835" s="5"/>
      <c r="E835" s="4"/>
      <c r="F835" s="4"/>
      <c r="G835" s="4"/>
      <c r="H835" s="4"/>
    </row>
    <row r="836">
      <c r="D836" s="5"/>
      <c r="E836" s="4"/>
      <c r="F836" s="4"/>
      <c r="G836" s="4"/>
      <c r="H836" s="4"/>
    </row>
    <row r="837">
      <c r="D837" s="5"/>
      <c r="E837" s="4"/>
      <c r="F837" s="4"/>
      <c r="G837" s="4"/>
      <c r="H837" s="4"/>
    </row>
    <row r="838">
      <c r="D838" s="5"/>
      <c r="E838" s="4"/>
      <c r="F838" s="4"/>
      <c r="G838" s="4"/>
      <c r="H838" s="4"/>
    </row>
    <row r="839">
      <c r="D839" s="5"/>
      <c r="E839" s="4"/>
      <c r="F839" s="4"/>
      <c r="G839" s="4"/>
      <c r="H839" s="4"/>
    </row>
    <row r="840">
      <c r="D840" s="5"/>
      <c r="E840" s="4"/>
      <c r="F840" s="4"/>
      <c r="G840" s="4"/>
      <c r="H840" s="4"/>
    </row>
    <row r="841">
      <c r="D841" s="5"/>
      <c r="E841" s="4"/>
      <c r="F841" s="4"/>
      <c r="G841" s="4"/>
      <c r="H841" s="4"/>
    </row>
    <row r="842">
      <c r="D842" s="5"/>
      <c r="E842" s="4"/>
      <c r="F842" s="4"/>
      <c r="G842" s="4"/>
      <c r="H842" s="4"/>
    </row>
    <row r="843">
      <c r="D843" s="5"/>
      <c r="E843" s="4"/>
      <c r="F843" s="4"/>
      <c r="G843" s="4"/>
      <c r="H843" s="4"/>
    </row>
    <row r="844">
      <c r="D844" s="5"/>
      <c r="E844" s="4"/>
      <c r="F844" s="4"/>
      <c r="G844" s="4"/>
      <c r="H844" s="4"/>
    </row>
    <row r="845">
      <c r="D845" s="5"/>
      <c r="E845" s="4"/>
      <c r="F845" s="4"/>
      <c r="G845" s="4"/>
      <c r="H845" s="4"/>
    </row>
    <row r="846">
      <c r="D846" s="5"/>
      <c r="E846" s="4"/>
      <c r="F846" s="4"/>
      <c r="G846" s="4"/>
      <c r="H846" s="4"/>
    </row>
    <row r="847">
      <c r="D847" s="5"/>
      <c r="E847" s="4"/>
      <c r="F847" s="4"/>
      <c r="G847" s="4"/>
      <c r="H847" s="4"/>
    </row>
    <row r="848">
      <c r="D848" s="5"/>
      <c r="E848" s="4"/>
      <c r="F848" s="4"/>
      <c r="G848" s="4"/>
      <c r="H848" s="4"/>
    </row>
    <row r="849">
      <c r="D849" s="5"/>
      <c r="E849" s="4"/>
      <c r="F849" s="4"/>
      <c r="G849" s="4"/>
      <c r="H849" s="4"/>
    </row>
    <row r="850">
      <c r="D850" s="5"/>
      <c r="E850" s="4"/>
      <c r="F850" s="4"/>
      <c r="G850" s="4"/>
      <c r="H850" s="4"/>
    </row>
    <row r="851">
      <c r="D851" s="5"/>
      <c r="E851" s="4"/>
      <c r="F851" s="4"/>
      <c r="G851" s="4"/>
      <c r="H851" s="4"/>
    </row>
    <row r="852">
      <c r="D852" s="5"/>
      <c r="E852" s="4"/>
      <c r="F852" s="4"/>
      <c r="G852" s="4"/>
      <c r="H852" s="4"/>
    </row>
    <row r="853">
      <c r="D853" s="5"/>
      <c r="E853" s="4"/>
      <c r="F853" s="4"/>
      <c r="G853" s="4"/>
      <c r="H853" s="4"/>
    </row>
    <row r="854">
      <c r="D854" s="5"/>
      <c r="E854" s="4"/>
      <c r="F854" s="4"/>
      <c r="G854" s="4"/>
      <c r="H854" s="4"/>
    </row>
    <row r="855">
      <c r="D855" s="5"/>
      <c r="E855" s="4"/>
      <c r="F855" s="4"/>
      <c r="G855" s="4"/>
      <c r="H855" s="4"/>
    </row>
    <row r="856">
      <c r="D856" s="5"/>
      <c r="E856" s="4"/>
      <c r="F856" s="4"/>
      <c r="G856" s="4"/>
      <c r="H856" s="4"/>
    </row>
    <row r="857">
      <c r="D857" s="5"/>
      <c r="E857" s="4"/>
      <c r="F857" s="4"/>
      <c r="G857" s="4"/>
      <c r="H857" s="4"/>
    </row>
    <row r="858">
      <c r="D858" s="5"/>
      <c r="E858" s="4"/>
      <c r="F858" s="4"/>
      <c r="G858" s="4"/>
      <c r="H858" s="4"/>
    </row>
    <row r="859">
      <c r="D859" s="5"/>
      <c r="E859" s="4"/>
      <c r="F859" s="4"/>
      <c r="G859" s="4"/>
      <c r="H859" s="4"/>
    </row>
    <row r="860">
      <c r="D860" s="5"/>
      <c r="E860" s="4"/>
      <c r="F860" s="4"/>
      <c r="G860" s="4"/>
      <c r="H860" s="4"/>
    </row>
    <row r="861">
      <c r="D861" s="5"/>
      <c r="E861" s="4"/>
      <c r="F861" s="4"/>
      <c r="G861" s="4"/>
      <c r="H861" s="4"/>
    </row>
    <row r="862">
      <c r="D862" s="5"/>
      <c r="E862" s="4"/>
      <c r="F862" s="4"/>
      <c r="G862" s="4"/>
      <c r="H862" s="4"/>
    </row>
    <row r="863">
      <c r="D863" s="5"/>
      <c r="E863" s="4"/>
      <c r="F863" s="4"/>
      <c r="G863" s="4"/>
      <c r="H863" s="4"/>
    </row>
    <row r="864">
      <c r="D864" s="5"/>
      <c r="E864" s="4"/>
      <c r="F864" s="4"/>
      <c r="G864" s="4"/>
      <c r="H864" s="4"/>
    </row>
    <row r="865">
      <c r="D865" s="5"/>
      <c r="E865" s="4"/>
      <c r="F865" s="4"/>
      <c r="G865" s="4"/>
      <c r="H865" s="4"/>
    </row>
    <row r="866">
      <c r="D866" s="5"/>
      <c r="E866" s="4"/>
      <c r="F866" s="4"/>
      <c r="G866" s="4"/>
      <c r="H866" s="4"/>
    </row>
    <row r="867">
      <c r="D867" s="5"/>
      <c r="E867" s="4"/>
      <c r="F867" s="4"/>
      <c r="G867" s="4"/>
      <c r="H867" s="4"/>
    </row>
    <row r="868">
      <c r="D868" s="5"/>
      <c r="E868" s="4"/>
      <c r="F868" s="4"/>
      <c r="G868" s="4"/>
      <c r="H868" s="4"/>
    </row>
    <row r="869">
      <c r="D869" s="5"/>
      <c r="E869" s="4"/>
      <c r="F869" s="4"/>
      <c r="G869" s="4"/>
      <c r="H869" s="4"/>
    </row>
    <row r="870">
      <c r="D870" s="5"/>
      <c r="E870" s="4"/>
      <c r="F870" s="4"/>
      <c r="G870" s="4"/>
      <c r="H870" s="4"/>
    </row>
    <row r="871">
      <c r="D871" s="5"/>
      <c r="E871" s="4"/>
      <c r="F871" s="4"/>
      <c r="G871" s="4"/>
      <c r="H871" s="4"/>
    </row>
    <row r="872">
      <c r="D872" s="5"/>
      <c r="E872" s="4"/>
      <c r="F872" s="4"/>
      <c r="G872" s="4"/>
      <c r="H872" s="4"/>
    </row>
    <row r="873">
      <c r="D873" s="5"/>
      <c r="E873" s="4"/>
      <c r="F873" s="4"/>
      <c r="G873" s="4"/>
      <c r="H873" s="4"/>
    </row>
    <row r="874">
      <c r="D874" s="5"/>
      <c r="E874" s="4"/>
      <c r="F874" s="4"/>
      <c r="G874" s="4"/>
      <c r="H874" s="4"/>
    </row>
    <row r="875">
      <c r="D875" s="5"/>
      <c r="E875" s="4"/>
      <c r="F875" s="4"/>
      <c r="G875" s="4"/>
      <c r="H875" s="4"/>
    </row>
    <row r="876">
      <c r="D876" s="5"/>
      <c r="E876" s="4"/>
      <c r="F876" s="4"/>
      <c r="G876" s="4"/>
      <c r="H876" s="4"/>
    </row>
    <row r="877">
      <c r="D877" s="5"/>
      <c r="E877" s="4"/>
      <c r="F877" s="4"/>
      <c r="G877" s="4"/>
      <c r="H877" s="4"/>
    </row>
    <row r="878">
      <c r="D878" s="5"/>
      <c r="E878" s="4"/>
      <c r="F878" s="4"/>
      <c r="G878" s="4"/>
      <c r="H878" s="4"/>
    </row>
    <row r="879">
      <c r="D879" s="5"/>
      <c r="E879" s="4"/>
      <c r="F879" s="4"/>
      <c r="G879" s="4"/>
      <c r="H879" s="4"/>
    </row>
    <row r="880">
      <c r="D880" s="5"/>
      <c r="E880" s="4"/>
      <c r="F880" s="4"/>
      <c r="G880" s="4"/>
      <c r="H880" s="4"/>
    </row>
    <row r="881">
      <c r="D881" s="5"/>
      <c r="E881" s="4"/>
      <c r="F881" s="4"/>
      <c r="G881" s="4"/>
      <c r="H881" s="4"/>
    </row>
    <row r="882">
      <c r="D882" s="5"/>
      <c r="E882" s="4"/>
      <c r="F882" s="4"/>
      <c r="G882" s="4"/>
      <c r="H882" s="4"/>
    </row>
    <row r="883">
      <c r="D883" s="5"/>
      <c r="E883" s="4"/>
      <c r="F883" s="4"/>
      <c r="G883" s="4"/>
      <c r="H883" s="4"/>
    </row>
    <row r="884">
      <c r="D884" s="5"/>
      <c r="E884" s="4"/>
      <c r="F884" s="4"/>
      <c r="G884" s="4"/>
      <c r="H884" s="4"/>
    </row>
    <row r="885">
      <c r="D885" s="5"/>
      <c r="E885" s="4"/>
      <c r="F885" s="4"/>
      <c r="G885" s="4"/>
      <c r="H885" s="4"/>
    </row>
    <row r="886">
      <c r="D886" s="5"/>
      <c r="E886" s="4"/>
      <c r="F886" s="4"/>
      <c r="G886" s="4"/>
      <c r="H886" s="4"/>
    </row>
    <row r="887">
      <c r="D887" s="5"/>
      <c r="E887" s="4"/>
      <c r="F887" s="4"/>
      <c r="G887" s="4"/>
      <c r="H887" s="4"/>
    </row>
    <row r="888">
      <c r="D888" s="5"/>
      <c r="E888" s="4"/>
      <c r="F888" s="4"/>
      <c r="G888" s="4"/>
      <c r="H888" s="4"/>
    </row>
    <row r="889">
      <c r="D889" s="5"/>
      <c r="E889" s="4"/>
      <c r="F889" s="4"/>
      <c r="G889" s="4"/>
      <c r="H889" s="4"/>
    </row>
    <row r="890">
      <c r="D890" s="5"/>
      <c r="E890" s="4"/>
      <c r="F890" s="4"/>
      <c r="G890" s="4"/>
      <c r="H890" s="4"/>
    </row>
    <row r="891">
      <c r="D891" s="5"/>
      <c r="E891" s="4"/>
      <c r="F891" s="4"/>
      <c r="G891" s="4"/>
      <c r="H891" s="4"/>
    </row>
    <row r="892">
      <c r="D892" s="5"/>
      <c r="E892" s="4"/>
      <c r="F892" s="4"/>
      <c r="G892" s="4"/>
      <c r="H892" s="4"/>
    </row>
    <row r="893">
      <c r="D893" s="5"/>
      <c r="E893" s="4"/>
      <c r="F893" s="4"/>
      <c r="G893" s="4"/>
      <c r="H893" s="4"/>
    </row>
    <row r="894">
      <c r="D894" s="5"/>
      <c r="E894" s="4"/>
      <c r="F894" s="4"/>
      <c r="G894" s="4"/>
      <c r="H894" s="4"/>
    </row>
    <row r="895">
      <c r="D895" s="5"/>
      <c r="E895" s="4"/>
      <c r="F895" s="4"/>
      <c r="G895" s="4"/>
      <c r="H895" s="4"/>
    </row>
    <row r="896">
      <c r="D896" s="5"/>
      <c r="E896" s="4"/>
      <c r="F896" s="4"/>
      <c r="G896" s="4"/>
      <c r="H896" s="4"/>
    </row>
    <row r="897">
      <c r="D897" s="5"/>
      <c r="E897" s="4"/>
      <c r="F897" s="4"/>
      <c r="G897" s="4"/>
      <c r="H897" s="4"/>
    </row>
    <row r="898">
      <c r="D898" s="5"/>
      <c r="E898" s="4"/>
      <c r="F898" s="4"/>
      <c r="G898" s="4"/>
      <c r="H898" s="4"/>
    </row>
    <row r="899">
      <c r="D899" s="5"/>
      <c r="E899" s="4"/>
      <c r="F899" s="4"/>
      <c r="G899" s="4"/>
      <c r="H899" s="4"/>
    </row>
    <row r="900">
      <c r="D900" s="5"/>
      <c r="E900" s="4"/>
      <c r="F900" s="4"/>
      <c r="G900" s="4"/>
      <c r="H900" s="4"/>
    </row>
    <row r="901">
      <c r="D901" s="5"/>
      <c r="E901" s="4"/>
      <c r="F901" s="4"/>
      <c r="G901" s="4"/>
      <c r="H901" s="4"/>
    </row>
    <row r="902">
      <c r="D902" s="5"/>
      <c r="E902" s="4"/>
      <c r="F902" s="4"/>
      <c r="G902" s="4"/>
      <c r="H902" s="4"/>
    </row>
    <row r="903">
      <c r="D903" s="5"/>
      <c r="E903" s="4"/>
      <c r="F903" s="4"/>
      <c r="G903" s="4"/>
      <c r="H903" s="4"/>
    </row>
    <row r="904">
      <c r="D904" s="5"/>
      <c r="E904" s="4"/>
      <c r="F904" s="4"/>
      <c r="G904" s="4"/>
      <c r="H904" s="4"/>
    </row>
    <row r="905">
      <c r="D905" s="5"/>
      <c r="E905" s="4"/>
      <c r="F905" s="4"/>
      <c r="G905" s="4"/>
      <c r="H905" s="4"/>
    </row>
    <row r="906">
      <c r="D906" s="5"/>
      <c r="E906" s="4"/>
      <c r="F906" s="4"/>
      <c r="G906" s="4"/>
      <c r="H906" s="4"/>
    </row>
    <row r="907">
      <c r="D907" s="5"/>
      <c r="E907" s="4"/>
      <c r="F907" s="4"/>
      <c r="G907" s="4"/>
      <c r="H907" s="4"/>
    </row>
    <row r="908">
      <c r="D908" s="5"/>
      <c r="E908" s="4"/>
      <c r="F908" s="4"/>
      <c r="G908" s="4"/>
      <c r="H908" s="4"/>
    </row>
    <row r="909">
      <c r="D909" s="5"/>
      <c r="E909" s="4"/>
      <c r="F909" s="4"/>
      <c r="G909" s="4"/>
      <c r="H909" s="4"/>
    </row>
    <row r="910">
      <c r="D910" s="5"/>
      <c r="E910" s="4"/>
      <c r="F910" s="4"/>
      <c r="G910" s="4"/>
      <c r="H910" s="4"/>
    </row>
    <row r="911">
      <c r="D911" s="5"/>
      <c r="E911" s="4"/>
      <c r="F911" s="4"/>
      <c r="G911" s="4"/>
      <c r="H911" s="4"/>
    </row>
    <row r="912">
      <c r="D912" s="5"/>
      <c r="E912" s="4"/>
      <c r="F912" s="4"/>
      <c r="G912" s="4"/>
      <c r="H912" s="4"/>
    </row>
    <row r="913">
      <c r="D913" s="5"/>
      <c r="E913" s="4"/>
      <c r="F913" s="4"/>
      <c r="G913" s="4"/>
      <c r="H913" s="4"/>
    </row>
    <row r="914">
      <c r="D914" s="5"/>
      <c r="E914" s="4"/>
      <c r="F914" s="4"/>
      <c r="G914" s="4"/>
      <c r="H914" s="4"/>
    </row>
    <row r="915">
      <c r="D915" s="5"/>
      <c r="E915" s="4"/>
      <c r="F915" s="4"/>
      <c r="G915" s="4"/>
      <c r="H915" s="4"/>
    </row>
    <row r="916">
      <c r="D916" s="5"/>
      <c r="E916" s="4"/>
      <c r="F916" s="4"/>
      <c r="G916" s="4"/>
      <c r="H916" s="4"/>
    </row>
    <row r="917">
      <c r="D917" s="5"/>
      <c r="E917" s="4"/>
      <c r="F917" s="4"/>
      <c r="G917" s="4"/>
      <c r="H917" s="4"/>
    </row>
    <row r="918">
      <c r="D918" s="5"/>
      <c r="E918" s="4"/>
      <c r="F918" s="4"/>
      <c r="G918" s="4"/>
      <c r="H918" s="4"/>
    </row>
    <row r="919">
      <c r="D919" s="5"/>
      <c r="E919" s="4"/>
      <c r="F919" s="4"/>
      <c r="G919" s="4"/>
      <c r="H919" s="4"/>
    </row>
    <row r="920">
      <c r="D920" s="5"/>
      <c r="E920" s="4"/>
      <c r="F920" s="4"/>
      <c r="G920" s="4"/>
      <c r="H920" s="4"/>
    </row>
    <row r="921">
      <c r="D921" s="5"/>
      <c r="E921" s="4"/>
      <c r="F921" s="4"/>
      <c r="G921" s="4"/>
      <c r="H921" s="4"/>
    </row>
    <row r="922">
      <c r="D922" s="5"/>
      <c r="E922" s="4"/>
      <c r="F922" s="4"/>
      <c r="G922" s="4"/>
      <c r="H922" s="4"/>
    </row>
    <row r="923">
      <c r="D923" s="5"/>
      <c r="E923" s="4"/>
      <c r="F923" s="4"/>
      <c r="G923" s="4"/>
      <c r="H923" s="4"/>
    </row>
    <row r="924">
      <c r="D924" s="5"/>
      <c r="E924" s="4"/>
      <c r="F924" s="4"/>
      <c r="G924" s="4"/>
      <c r="H924" s="4"/>
    </row>
    <row r="925">
      <c r="D925" s="5"/>
      <c r="E925" s="4"/>
      <c r="F925" s="4"/>
      <c r="G925" s="4"/>
      <c r="H925" s="4"/>
    </row>
    <row r="926">
      <c r="D926" s="5"/>
      <c r="E926" s="4"/>
      <c r="F926" s="4"/>
      <c r="G926" s="4"/>
      <c r="H926" s="4"/>
    </row>
    <row r="927">
      <c r="D927" s="5"/>
      <c r="E927" s="4"/>
      <c r="F927" s="4"/>
      <c r="G927" s="4"/>
      <c r="H927" s="4"/>
    </row>
    <row r="928">
      <c r="D928" s="5"/>
      <c r="E928" s="4"/>
      <c r="F928" s="4"/>
      <c r="G928" s="4"/>
      <c r="H928" s="4"/>
    </row>
    <row r="929">
      <c r="D929" s="5"/>
      <c r="E929" s="4"/>
      <c r="F929" s="4"/>
      <c r="G929" s="4"/>
      <c r="H929" s="4"/>
    </row>
    <row r="930">
      <c r="D930" s="5"/>
      <c r="E930" s="4"/>
      <c r="F930" s="4"/>
      <c r="G930" s="4"/>
      <c r="H930" s="4"/>
    </row>
    <row r="931">
      <c r="D931" s="5"/>
      <c r="E931" s="4"/>
      <c r="F931" s="4"/>
      <c r="G931" s="4"/>
      <c r="H931" s="4"/>
    </row>
    <row r="932">
      <c r="D932" s="5"/>
      <c r="E932" s="4"/>
      <c r="F932" s="4"/>
      <c r="G932" s="4"/>
      <c r="H932" s="4"/>
    </row>
    <row r="933">
      <c r="D933" s="5"/>
      <c r="E933" s="4"/>
      <c r="F933" s="4"/>
      <c r="G933" s="4"/>
      <c r="H933" s="4"/>
    </row>
    <row r="934">
      <c r="D934" s="5"/>
      <c r="E934" s="4"/>
      <c r="F934" s="4"/>
      <c r="G934" s="4"/>
      <c r="H934" s="4"/>
    </row>
    <row r="935">
      <c r="D935" s="5"/>
      <c r="E935" s="4"/>
      <c r="F935" s="4"/>
      <c r="G935" s="4"/>
      <c r="H935" s="4"/>
    </row>
    <row r="936">
      <c r="D936" s="5"/>
      <c r="E936" s="4"/>
      <c r="F936" s="4"/>
      <c r="G936" s="4"/>
      <c r="H936" s="4"/>
    </row>
    <row r="937">
      <c r="D937" s="5"/>
      <c r="E937" s="4"/>
      <c r="F937" s="4"/>
      <c r="G937" s="4"/>
      <c r="H937" s="4"/>
    </row>
    <row r="938">
      <c r="D938" s="5"/>
      <c r="E938" s="4"/>
      <c r="F938" s="4"/>
      <c r="G938" s="4"/>
      <c r="H938" s="4"/>
    </row>
    <row r="939">
      <c r="D939" s="5"/>
      <c r="E939" s="4"/>
      <c r="F939" s="4"/>
      <c r="G939" s="4"/>
      <c r="H939" s="4"/>
    </row>
    <row r="940">
      <c r="D940" s="5"/>
      <c r="E940" s="4"/>
      <c r="F940" s="4"/>
      <c r="G940" s="4"/>
      <c r="H940" s="4"/>
    </row>
    <row r="941">
      <c r="D941" s="5"/>
      <c r="E941" s="4"/>
      <c r="F941" s="4"/>
      <c r="G941" s="4"/>
      <c r="H941" s="4"/>
    </row>
    <row r="942">
      <c r="D942" s="5"/>
      <c r="E942" s="4"/>
      <c r="F942" s="4"/>
      <c r="G942" s="4"/>
      <c r="H942" s="4"/>
    </row>
    <row r="943">
      <c r="D943" s="5"/>
      <c r="E943" s="4"/>
      <c r="F943" s="4"/>
      <c r="G943" s="4"/>
      <c r="H943" s="4"/>
    </row>
    <row r="944">
      <c r="D944" s="5"/>
      <c r="E944" s="4"/>
      <c r="F944" s="4"/>
      <c r="G944" s="4"/>
      <c r="H944" s="4"/>
    </row>
    <row r="945">
      <c r="D945" s="5"/>
      <c r="E945" s="4"/>
      <c r="F945" s="4"/>
      <c r="G945" s="4"/>
      <c r="H945" s="4"/>
    </row>
    <row r="946">
      <c r="D946" s="5"/>
      <c r="E946" s="4"/>
      <c r="F946" s="4"/>
      <c r="G946" s="4"/>
      <c r="H946" s="4"/>
    </row>
    <row r="947">
      <c r="D947" s="5"/>
      <c r="E947" s="4"/>
      <c r="F947" s="4"/>
      <c r="G947" s="4"/>
      <c r="H947" s="4"/>
    </row>
    <row r="948">
      <c r="D948" s="5"/>
      <c r="E948" s="4"/>
      <c r="F948" s="4"/>
      <c r="G948" s="4"/>
      <c r="H948" s="4"/>
    </row>
    <row r="949">
      <c r="D949" s="5"/>
      <c r="E949" s="4"/>
      <c r="F949" s="4"/>
      <c r="G949" s="4"/>
      <c r="H949" s="4"/>
    </row>
    <row r="950">
      <c r="D950" s="5"/>
      <c r="E950" s="4"/>
      <c r="F950" s="4"/>
      <c r="G950" s="4"/>
      <c r="H950" s="4"/>
    </row>
    <row r="951">
      <c r="D951" s="5"/>
      <c r="E951" s="4"/>
      <c r="F951" s="4"/>
      <c r="G951" s="4"/>
      <c r="H951" s="4"/>
    </row>
    <row r="952">
      <c r="D952" s="5"/>
      <c r="E952" s="4"/>
      <c r="F952" s="4"/>
      <c r="G952" s="4"/>
      <c r="H952" s="4"/>
    </row>
    <row r="953">
      <c r="D953" s="5"/>
      <c r="E953" s="4"/>
      <c r="F953" s="4"/>
      <c r="G953" s="4"/>
      <c r="H953" s="4"/>
    </row>
    <row r="954">
      <c r="D954" s="5"/>
      <c r="E954" s="4"/>
      <c r="F954" s="4"/>
      <c r="G954" s="4"/>
      <c r="H954" s="4"/>
    </row>
    <row r="955">
      <c r="D955" s="5"/>
      <c r="E955" s="4"/>
      <c r="F955" s="4"/>
      <c r="G955" s="4"/>
      <c r="H955" s="4"/>
    </row>
    <row r="956">
      <c r="D956" s="5"/>
      <c r="E956" s="4"/>
      <c r="F956" s="4"/>
      <c r="G956" s="4"/>
      <c r="H956" s="4"/>
    </row>
    <row r="957">
      <c r="D957" s="5"/>
      <c r="E957" s="4"/>
      <c r="F957" s="4"/>
      <c r="G957" s="4"/>
      <c r="H957" s="4"/>
    </row>
    <row r="958">
      <c r="D958" s="5"/>
      <c r="E958" s="4"/>
      <c r="F958" s="4"/>
      <c r="G958" s="4"/>
      <c r="H958" s="4"/>
    </row>
    <row r="959">
      <c r="D959" s="5"/>
      <c r="E959" s="4"/>
      <c r="F959" s="4"/>
      <c r="G959" s="4"/>
      <c r="H959" s="4"/>
    </row>
    <row r="960">
      <c r="D960" s="5"/>
      <c r="E960" s="4"/>
      <c r="F960" s="4"/>
      <c r="G960" s="4"/>
      <c r="H960" s="4"/>
    </row>
    <row r="961">
      <c r="D961" s="5"/>
      <c r="E961" s="4"/>
      <c r="F961" s="4"/>
      <c r="G961" s="4"/>
      <c r="H961" s="4"/>
    </row>
    <row r="962">
      <c r="D962" s="5"/>
      <c r="E962" s="4"/>
      <c r="F962" s="4"/>
      <c r="G962" s="4"/>
      <c r="H962" s="4"/>
    </row>
    <row r="963">
      <c r="D963" s="5"/>
      <c r="E963" s="4"/>
      <c r="F963" s="4"/>
      <c r="G963" s="4"/>
      <c r="H963" s="4"/>
    </row>
    <row r="964">
      <c r="D964" s="5"/>
      <c r="E964" s="4"/>
      <c r="F964" s="4"/>
      <c r="G964" s="4"/>
      <c r="H964" s="4"/>
    </row>
    <row r="965">
      <c r="D965" s="5"/>
      <c r="E965" s="4"/>
      <c r="F965" s="4"/>
      <c r="G965" s="4"/>
      <c r="H965" s="4"/>
    </row>
    <row r="966">
      <c r="D966" s="5"/>
      <c r="E966" s="4"/>
      <c r="F966" s="4"/>
      <c r="G966" s="4"/>
      <c r="H966" s="4"/>
    </row>
    <row r="967">
      <c r="D967" s="5"/>
      <c r="E967" s="4"/>
      <c r="F967" s="4"/>
      <c r="G967" s="4"/>
      <c r="H967" s="4"/>
    </row>
    <row r="968">
      <c r="D968" s="5"/>
      <c r="E968" s="4"/>
      <c r="F968" s="4"/>
      <c r="G968" s="4"/>
      <c r="H968" s="4"/>
    </row>
    <row r="969">
      <c r="D969" s="5"/>
      <c r="E969" s="4"/>
      <c r="F969" s="4"/>
      <c r="G969" s="4"/>
      <c r="H969" s="4"/>
    </row>
    <row r="970">
      <c r="D970" s="5"/>
      <c r="E970" s="4"/>
      <c r="F970" s="4"/>
      <c r="G970" s="4"/>
      <c r="H970" s="4"/>
    </row>
    <row r="971">
      <c r="D971" s="5"/>
      <c r="E971" s="4"/>
      <c r="F971" s="4"/>
      <c r="G971" s="4"/>
      <c r="H971" s="4"/>
    </row>
    <row r="972">
      <c r="D972" s="5"/>
      <c r="E972" s="4"/>
      <c r="F972" s="4"/>
      <c r="G972" s="4"/>
      <c r="H972" s="4"/>
    </row>
    <row r="973">
      <c r="D973" s="5"/>
      <c r="E973" s="4"/>
      <c r="F973" s="4"/>
      <c r="G973" s="4"/>
      <c r="H973" s="4"/>
    </row>
    <row r="974">
      <c r="D974" s="5"/>
      <c r="E974" s="4"/>
      <c r="F974" s="4"/>
      <c r="G974" s="4"/>
      <c r="H974" s="4"/>
    </row>
    <row r="975">
      <c r="D975" s="5"/>
      <c r="E975" s="4"/>
      <c r="F975" s="4"/>
      <c r="G975" s="4"/>
      <c r="H975" s="4"/>
    </row>
    <row r="976">
      <c r="D976" s="5"/>
      <c r="E976" s="4"/>
      <c r="F976" s="4"/>
      <c r="G976" s="4"/>
      <c r="H976" s="4"/>
    </row>
    <row r="977">
      <c r="D977" s="5"/>
      <c r="E977" s="4"/>
      <c r="F977" s="4"/>
      <c r="G977" s="4"/>
      <c r="H977" s="4"/>
    </row>
    <row r="978">
      <c r="D978" s="5"/>
      <c r="E978" s="4"/>
      <c r="F978" s="4"/>
      <c r="G978" s="4"/>
      <c r="H978" s="4"/>
    </row>
    <row r="979">
      <c r="D979" s="5"/>
      <c r="E979" s="4"/>
      <c r="F979" s="4"/>
      <c r="G979" s="4"/>
      <c r="H979" s="4"/>
    </row>
    <row r="980">
      <c r="D980" s="5"/>
      <c r="E980" s="4"/>
      <c r="F980" s="4"/>
      <c r="G980" s="4"/>
      <c r="H980" s="4"/>
    </row>
    <row r="981">
      <c r="D981" s="5"/>
      <c r="E981" s="4"/>
      <c r="F981" s="4"/>
      <c r="G981" s="4"/>
      <c r="H981" s="4"/>
    </row>
    <row r="982">
      <c r="D982" s="5"/>
      <c r="E982" s="4"/>
      <c r="F982" s="4"/>
      <c r="G982" s="4"/>
      <c r="H982" s="4"/>
    </row>
    <row r="983">
      <c r="D983" s="5"/>
      <c r="E983" s="4"/>
      <c r="F983" s="4"/>
      <c r="G983" s="4"/>
      <c r="H983" s="4"/>
    </row>
    <row r="984">
      <c r="D984" s="5"/>
      <c r="E984" s="4"/>
      <c r="F984" s="4"/>
      <c r="G984" s="4"/>
      <c r="H984" s="4"/>
    </row>
    <row r="985">
      <c r="D985" s="5"/>
      <c r="E985" s="4"/>
      <c r="F985" s="4"/>
      <c r="G985" s="4"/>
      <c r="H985" s="4"/>
    </row>
    <row r="986">
      <c r="D986" s="5"/>
      <c r="E986" s="4"/>
      <c r="F986" s="4"/>
      <c r="G986" s="4"/>
      <c r="H986" s="4"/>
    </row>
    <row r="987">
      <c r="D987" s="5"/>
      <c r="E987" s="4"/>
      <c r="F987" s="4"/>
      <c r="G987" s="4"/>
      <c r="H987" s="4"/>
    </row>
    <row r="988">
      <c r="D988" s="5"/>
      <c r="E988" s="4"/>
      <c r="F988" s="4"/>
      <c r="G988" s="4"/>
      <c r="H988" s="4"/>
    </row>
    <row r="989">
      <c r="D989" s="5"/>
      <c r="E989" s="4"/>
      <c r="F989" s="4"/>
      <c r="G989" s="4"/>
      <c r="H989" s="4"/>
    </row>
    <row r="990">
      <c r="D990" s="5"/>
      <c r="E990" s="4"/>
      <c r="F990" s="4"/>
      <c r="G990" s="4"/>
      <c r="H990" s="4"/>
    </row>
    <row r="991">
      <c r="D991" s="5"/>
      <c r="E991" s="4"/>
      <c r="F991" s="4"/>
      <c r="G991" s="4"/>
      <c r="H991" s="4"/>
    </row>
    <row r="992">
      <c r="D992" s="5"/>
      <c r="E992" s="4"/>
      <c r="F992" s="4"/>
      <c r="G992" s="4"/>
      <c r="H992" s="4"/>
    </row>
    <row r="993">
      <c r="D993" s="5"/>
      <c r="E993" s="4"/>
      <c r="F993" s="4"/>
      <c r="G993" s="4"/>
      <c r="H993" s="4"/>
    </row>
    <row r="994">
      <c r="D994" s="5"/>
      <c r="E994" s="4"/>
      <c r="F994" s="4"/>
      <c r="G994" s="4"/>
      <c r="H994" s="4"/>
    </row>
    <row r="995">
      <c r="D995" s="5"/>
      <c r="E995" s="4"/>
      <c r="F995" s="4"/>
      <c r="G995" s="4"/>
      <c r="H995" s="4"/>
    </row>
    <row r="996">
      <c r="D996" s="5"/>
      <c r="E996" s="4"/>
      <c r="F996" s="4"/>
      <c r="G996" s="4"/>
      <c r="H996" s="4"/>
    </row>
    <row r="997">
      <c r="D997" s="5"/>
      <c r="E997" s="4"/>
      <c r="F997" s="4"/>
      <c r="G997" s="4"/>
      <c r="H997" s="4"/>
    </row>
    <row r="998">
      <c r="D998" s="5"/>
      <c r="E998" s="4"/>
      <c r="F998" s="4"/>
      <c r="G998" s="4"/>
      <c r="H998" s="4"/>
    </row>
    <row r="999">
      <c r="D999" s="5"/>
      <c r="E999" s="4"/>
      <c r="F999" s="4"/>
      <c r="G999" s="4"/>
      <c r="H999" s="4"/>
    </row>
    <row r="1000">
      <c r="D1000" s="5"/>
      <c r="E1000" s="4"/>
      <c r="F1000" s="4"/>
      <c r="G1000" s="4"/>
      <c r="H1000" s="4"/>
    </row>
    <row r="1001">
      <c r="D1001" s="5"/>
      <c r="E1001" s="4"/>
      <c r="F1001" s="4"/>
      <c r="G1001" s="4"/>
      <c r="H1001" s="4"/>
    </row>
    <row r="1002">
      <c r="D1002" s="5"/>
      <c r="E1002" s="4"/>
      <c r="F1002" s="4"/>
      <c r="G1002" s="4"/>
      <c r="H1002" s="4"/>
    </row>
    <row r="1003">
      <c r="D1003" s="5"/>
      <c r="E1003" s="4"/>
      <c r="F1003" s="4"/>
      <c r="G1003" s="4"/>
      <c r="H1003" s="4"/>
    </row>
    <row r="1004">
      <c r="D1004" s="5"/>
      <c r="E1004" s="4"/>
      <c r="F1004" s="4"/>
      <c r="G1004" s="4"/>
      <c r="H1004" s="4"/>
    </row>
    <row r="1005">
      <c r="D1005" s="5"/>
      <c r="E1005" s="4"/>
      <c r="F1005" s="4"/>
      <c r="G1005" s="4"/>
      <c r="H1005" s="4"/>
    </row>
    <row r="1006">
      <c r="D1006" s="5"/>
      <c r="E1006" s="4"/>
      <c r="F1006" s="4"/>
      <c r="G1006" s="4"/>
      <c r="H1006" s="4"/>
    </row>
    <row r="1007">
      <c r="D1007" s="5"/>
      <c r="E1007" s="4"/>
      <c r="F1007" s="4"/>
      <c r="G1007" s="4"/>
      <c r="H1007" s="4"/>
    </row>
    <row r="1008">
      <c r="D1008" s="5"/>
      <c r="E1008" s="4"/>
      <c r="F1008" s="4"/>
      <c r="G1008" s="4"/>
      <c r="H1008" s="4"/>
    </row>
    <row r="1009">
      <c r="D1009" s="5"/>
      <c r="E1009" s="4"/>
      <c r="F1009" s="4"/>
      <c r="G1009" s="4"/>
      <c r="H1009" s="4"/>
    </row>
    <row r="1010">
      <c r="D1010" s="5"/>
      <c r="E1010" s="4"/>
      <c r="F1010" s="4"/>
      <c r="G1010" s="4"/>
      <c r="H1010" s="4"/>
    </row>
    <row r="1011">
      <c r="D1011" s="5"/>
      <c r="E1011" s="4"/>
      <c r="F1011" s="4"/>
      <c r="G1011" s="4"/>
      <c r="H1011" s="4"/>
    </row>
    <row r="1012">
      <c r="D1012" s="5"/>
      <c r="E1012" s="4"/>
      <c r="F1012" s="4"/>
      <c r="G1012" s="4"/>
      <c r="H1012" s="4"/>
    </row>
    <row r="1013">
      <c r="D1013" s="5"/>
      <c r="E1013" s="4"/>
      <c r="F1013" s="4"/>
      <c r="G1013" s="4"/>
      <c r="H1013" s="4"/>
    </row>
    <row r="1014">
      <c r="D1014" s="5"/>
      <c r="E1014" s="4"/>
      <c r="F1014" s="4"/>
      <c r="G1014" s="4"/>
      <c r="H1014" s="4"/>
    </row>
    <row r="1015">
      <c r="D1015" s="5"/>
      <c r="E1015" s="4"/>
      <c r="F1015" s="4"/>
      <c r="G1015" s="4"/>
      <c r="H1015" s="4"/>
    </row>
    <row r="1016">
      <c r="D1016" s="5"/>
      <c r="E1016" s="4"/>
      <c r="F1016" s="4"/>
      <c r="G1016" s="4"/>
      <c r="H1016" s="4"/>
    </row>
    <row r="1017">
      <c r="D1017" s="5"/>
      <c r="E1017" s="4"/>
      <c r="F1017" s="4"/>
      <c r="G1017" s="4"/>
      <c r="H1017" s="4"/>
    </row>
    <row r="1018">
      <c r="D1018" s="5"/>
      <c r="E1018" s="4"/>
      <c r="F1018" s="4"/>
      <c r="G1018" s="4"/>
      <c r="H1018" s="4"/>
    </row>
    <row r="1019">
      <c r="D1019" s="5"/>
      <c r="E1019" s="4"/>
      <c r="F1019" s="4"/>
      <c r="G1019" s="4"/>
      <c r="H1019" s="4"/>
    </row>
    <row r="1020">
      <c r="D1020" s="5"/>
      <c r="E1020" s="4"/>
      <c r="F1020" s="4"/>
      <c r="G1020" s="4"/>
      <c r="H1020" s="4"/>
    </row>
    <row r="1021">
      <c r="D1021" s="5"/>
      <c r="E1021" s="4"/>
      <c r="F1021" s="4"/>
      <c r="G1021" s="4"/>
      <c r="H1021" s="4"/>
    </row>
    <row r="1022">
      <c r="D1022" s="5"/>
      <c r="E1022" s="4"/>
      <c r="F1022" s="4"/>
      <c r="G1022" s="4"/>
      <c r="H1022" s="4"/>
    </row>
    <row r="1023">
      <c r="D1023" s="5"/>
      <c r="E1023" s="4"/>
      <c r="F1023" s="4"/>
      <c r="G1023" s="4"/>
      <c r="H1023" s="4"/>
    </row>
    <row r="1024">
      <c r="D1024" s="5"/>
      <c r="E1024" s="4"/>
      <c r="F1024" s="4"/>
      <c r="G1024" s="4"/>
      <c r="H1024" s="4"/>
    </row>
    <row r="1025">
      <c r="D1025" s="5"/>
      <c r="E1025" s="4"/>
      <c r="F1025" s="4"/>
      <c r="G1025" s="4"/>
      <c r="H1025" s="4"/>
    </row>
    <row r="1026">
      <c r="D1026" s="5"/>
      <c r="E1026" s="4"/>
      <c r="F1026" s="4"/>
      <c r="G1026" s="4"/>
      <c r="H1026" s="4"/>
    </row>
    <row r="1027">
      <c r="D1027" s="5"/>
      <c r="E1027" s="4"/>
      <c r="F1027" s="4"/>
      <c r="G1027" s="4"/>
      <c r="H1027" s="4"/>
    </row>
    <row r="1028">
      <c r="D1028" s="5"/>
      <c r="E1028" s="4"/>
      <c r="F1028" s="4"/>
      <c r="G1028" s="4"/>
      <c r="H1028" s="4"/>
    </row>
    <row r="1029">
      <c r="D1029" s="5"/>
      <c r="E1029" s="4"/>
      <c r="F1029" s="4"/>
      <c r="G1029" s="4"/>
      <c r="H1029" s="4"/>
    </row>
    <row r="1030">
      <c r="D1030" s="5"/>
      <c r="E1030" s="4"/>
      <c r="F1030" s="4"/>
      <c r="G1030" s="4"/>
      <c r="H1030" s="4"/>
    </row>
    <row r="1031">
      <c r="D1031" s="5"/>
      <c r="E1031" s="4"/>
      <c r="F1031" s="4"/>
      <c r="G1031" s="4"/>
      <c r="H1031" s="4"/>
    </row>
    <row r="1032">
      <c r="D1032" s="5"/>
      <c r="E1032" s="4"/>
      <c r="F1032" s="4"/>
      <c r="G1032" s="4"/>
      <c r="H1032" s="4"/>
    </row>
    <row r="1033">
      <c r="D1033" s="5"/>
      <c r="E1033" s="4"/>
      <c r="F1033" s="4"/>
      <c r="G1033" s="4"/>
      <c r="H1033" s="4"/>
    </row>
    <row r="1034">
      <c r="D1034" s="5"/>
      <c r="E1034" s="4"/>
      <c r="F1034" s="4"/>
      <c r="G1034" s="4"/>
      <c r="H1034" s="4"/>
    </row>
    <row r="1035">
      <c r="D1035" s="5"/>
      <c r="E1035" s="4"/>
      <c r="F1035" s="4"/>
      <c r="G1035" s="4"/>
      <c r="H1035" s="4"/>
    </row>
    <row r="1036">
      <c r="D1036" s="5"/>
      <c r="E1036" s="4"/>
      <c r="F1036" s="4"/>
      <c r="G1036" s="4"/>
      <c r="H1036" s="4"/>
    </row>
    <row r="1037">
      <c r="D1037" s="5"/>
      <c r="E1037" s="4"/>
      <c r="F1037" s="4"/>
      <c r="G1037" s="4"/>
      <c r="H1037" s="4"/>
    </row>
    <row r="1038">
      <c r="D1038" s="5"/>
      <c r="E1038" s="4"/>
      <c r="F1038" s="4"/>
      <c r="G1038" s="4"/>
      <c r="H1038" s="4"/>
    </row>
    <row r="1039">
      <c r="D1039" s="5"/>
      <c r="E1039" s="4"/>
      <c r="F1039" s="4"/>
      <c r="G1039" s="4"/>
      <c r="H1039" s="4"/>
    </row>
    <row r="1040">
      <c r="D1040" s="5"/>
      <c r="E1040" s="4"/>
      <c r="F1040" s="4"/>
      <c r="G1040" s="4"/>
      <c r="H1040" s="4"/>
    </row>
    <row r="1041">
      <c r="D1041" s="5"/>
      <c r="E1041" s="4"/>
      <c r="F1041" s="4"/>
      <c r="G1041" s="4"/>
      <c r="H1041" s="4"/>
    </row>
    <row r="1042">
      <c r="D1042" s="5"/>
      <c r="E1042" s="4"/>
      <c r="F1042" s="4"/>
      <c r="G1042" s="4"/>
      <c r="H1042" s="4"/>
    </row>
    <row r="1043">
      <c r="D1043" s="5"/>
      <c r="E1043" s="4"/>
      <c r="F1043" s="4"/>
      <c r="G1043" s="4"/>
      <c r="H1043" s="4"/>
    </row>
    <row r="1044">
      <c r="D1044" s="5"/>
      <c r="E1044" s="4"/>
      <c r="F1044" s="4"/>
      <c r="G1044" s="4"/>
      <c r="H1044" s="4"/>
    </row>
    <row r="1045">
      <c r="D1045" s="5"/>
      <c r="E1045" s="4"/>
      <c r="F1045" s="4"/>
      <c r="G1045" s="4"/>
      <c r="H1045" s="4"/>
    </row>
    <row r="1046">
      <c r="D1046" s="5"/>
      <c r="E1046" s="4"/>
      <c r="F1046" s="4"/>
      <c r="G1046" s="4"/>
      <c r="H1046" s="4"/>
    </row>
    <row r="1047">
      <c r="D1047" s="5"/>
      <c r="E1047" s="4"/>
      <c r="F1047" s="4"/>
      <c r="G1047" s="4"/>
      <c r="H1047" s="4"/>
    </row>
    <row r="1048">
      <c r="D1048" s="5"/>
      <c r="E1048" s="4"/>
      <c r="F1048" s="4"/>
      <c r="G1048" s="4"/>
      <c r="H1048" s="4"/>
    </row>
    <row r="1049">
      <c r="D1049" s="5"/>
      <c r="E1049" s="4"/>
      <c r="F1049" s="4"/>
      <c r="G1049" s="4"/>
      <c r="H1049" s="4"/>
    </row>
    <row r="1050">
      <c r="D1050" s="5"/>
      <c r="E1050" s="4"/>
      <c r="F1050" s="4"/>
      <c r="G1050" s="4"/>
      <c r="H1050" s="4"/>
    </row>
    <row r="1051">
      <c r="D1051" s="5"/>
      <c r="E1051" s="4"/>
      <c r="F1051" s="4"/>
      <c r="G1051" s="4"/>
      <c r="H1051" s="4"/>
    </row>
    <row r="1052">
      <c r="D1052" s="5"/>
      <c r="E1052" s="4"/>
      <c r="F1052" s="4"/>
      <c r="G1052" s="4"/>
      <c r="H1052" s="4"/>
    </row>
    <row r="1053">
      <c r="D1053" s="5"/>
      <c r="E1053" s="4"/>
      <c r="F1053" s="4"/>
      <c r="G1053" s="4"/>
      <c r="H1053" s="4"/>
    </row>
    <row r="1054">
      <c r="D1054" s="5"/>
      <c r="E1054" s="4"/>
      <c r="F1054" s="4"/>
      <c r="G1054" s="4"/>
      <c r="H1054" s="4"/>
    </row>
    <row r="1055">
      <c r="D1055" s="5"/>
      <c r="E1055" s="4"/>
      <c r="F1055" s="4"/>
      <c r="G1055" s="4"/>
      <c r="H1055" s="4"/>
    </row>
    <row r="1056">
      <c r="D1056" s="5"/>
      <c r="E1056" s="4"/>
      <c r="F1056" s="4"/>
      <c r="G1056" s="4"/>
      <c r="H1056" s="4"/>
    </row>
    <row r="1057">
      <c r="D1057" s="5"/>
      <c r="E1057" s="4"/>
      <c r="F1057" s="4"/>
      <c r="G1057" s="4"/>
      <c r="H1057" s="4"/>
    </row>
    <row r="1058">
      <c r="D1058" s="5"/>
      <c r="E1058" s="4"/>
      <c r="F1058" s="4"/>
      <c r="G1058" s="4"/>
      <c r="H1058" s="4"/>
    </row>
    <row r="1059">
      <c r="D1059" s="5"/>
      <c r="E1059" s="4"/>
      <c r="F1059" s="4"/>
      <c r="G1059" s="4"/>
      <c r="H1059" s="4"/>
    </row>
    <row r="1060">
      <c r="D1060" s="5"/>
      <c r="E1060" s="4"/>
      <c r="F1060" s="4"/>
      <c r="G1060" s="4"/>
      <c r="H1060" s="4"/>
    </row>
    <row r="1061">
      <c r="D1061" s="5"/>
      <c r="E1061" s="4"/>
      <c r="F1061" s="4"/>
      <c r="G1061" s="4"/>
      <c r="H1061" s="4"/>
    </row>
    <row r="1062">
      <c r="D1062" s="5"/>
      <c r="E1062" s="4"/>
      <c r="F1062" s="4"/>
      <c r="G1062" s="4"/>
      <c r="H1062" s="4"/>
    </row>
    <row r="1063">
      <c r="D1063" s="5"/>
      <c r="E1063" s="4"/>
      <c r="F1063" s="4"/>
      <c r="G1063" s="4"/>
      <c r="H1063" s="4"/>
    </row>
    <row r="1064">
      <c r="D1064" s="5"/>
      <c r="E1064" s="4"/>
      <c r="F1064" s="4"/>
      <c r="G1064" s="4"/>
      <c r="H1064" s="4"/>
    </row>
    <row r="1065">
      <c r="D1065" s="5"/>
      <c r="E1065" s="4"/>
      <c r="F1065" s="4"/>
      <c r="G1065" s="4"/>
      <c r="H1065" s="4"/>
    </row>
    <row r="1066">
      <c r="D1066" s="5"/>
      <c r="E1066" s="4"/>
      <c r="F1066" s="4"/>
      <c r="G1066" s="4"/>
      <c r="H1066" s="4"/>
    </row>
    <row r="1067">
      <c r="D1067" s="5"/>
      <c r="E1067" s="4"/>
      <c r="F1067" s="4"/>
      <c r="G1067" s="4"/>
      <c r="H1067" s="4"/>
    </row>
    <row r="1068">
      <c r="D1068" s="5"/>
      <c r="E1068" s="4"/>
      <c r="F1068" s="4"/>
      <c r="G1068" s="4"/>
      <c r="H1068" s="4"/>
    </row>
    <row r="1069">
      <c r="D1069" s="5"/>
      <c r="E1069" s="4"/>
      <c r="F1069" s="4"/>
      <c r="G1069" s="4"/>
      <c r="H1069" s="4"/>
    </row>
    <row r="1070">
      <c r="D1070" s="5"/>
      <c r="E1070" s="4"/>
      <c r="F1070" s="4"/>
      <c r="G1070" s="4"/>
      <c r="H1070" s="4"/>
    </row>
    <row r="1071">
      <c r="D1071" s="5"/>
      <c r="E1071" s="4"/>
      <c r="F1071" s="4"/>
      <c r="G1071" s="4"/>
      <c r="H1071" s="4"/>
    </row>
    <row r="1072">
      <c r="D1072" s="5"/>
      <c r="E1072" s="4"/>
      <c r="F1072" s="4"/>
      <c r="G1072" s="4"/>
      <c r="H1072" s="4"/>
    </row>
    <row r="1073">
      <c r="D1073" s="5"/>
      <c r="E1073" s="4"/>
      <c r="F1073" s="4"/>
      <c r="G1073" s="4"/>
      <c r="H1073" s="4"/>
    </row>
    <row r="1074">
      <c r="D1074" s="5"/>
      <c r="E1074" s="4"/>
      <c r="F1074" s="4"/>
      <c r="G1074" s="4"/>
      <c r="H1074" s="4"/>
    </row>
    <row r="1075">
      <c r="D1075" s="5"/>
      <c r="E1075" s="4"/>
      <c r="F1075" s="4"/>
      <c r="G1075" s="4"/>
      <c r="H1075" s="4"/>
    </row>
    <row r="1076">
      <c r="D1076" s="5"/>
      <c r="E1076" s="4"/>
      <c r="F1076" s="4"/>
      <c r="G1076" s="4"/>
      <c r="H1076" s="4"/>
    </row>
    <row r="1077">
      <c r="D1077" s="5"/>
      <c r="E1077" s="4"/>
      <c r="F1077" s="4"/>
      <c r="G1077" s="4"/>
      <c r="H1077" s="4"/>
    </row>
    <row r="1078">
      <c r="D1078" s="5"/>
      <c r="E1078" s="4"/>
      <c r="F1078" s="4"/>
      <c r="G1078" s="4"/>
      <c r="H1078" s="4"/>
    </row>
    <row r="1079">
      <c r="D1079" s="5"/>
      <c r="E1079" s="4"/>
      <c r="F1079" s="4"/>
      <c r="G1079" s="4"/>
      <c r="H1079" s="4"/>
    </row>
    <row r="1080">
      <c r="D1080" s="5"/>
      <c r="E1080" s="4"/>
      <c r="F1080" s="4"/>
      <c r="G1080" s="4"/>
      <c r="H1080" s="4"/>
    </row>
    <row r="1081">
      <c r="D1081" s="5"/>
      <c r="E1081" s="4"/>
      <c r="F1081" s="4"/>
      <c r="G1081" s="4"/>
      <c r="H1081" s="4"/>
    </row>
    <row r="1082">
      <c r="D1082" s="5"/>
      <c r="E1082" s="4"/>
      <c r="F1082" s="4"/>
      <c r="G1082" s="4"/>
      <c r="H1082" s="4"/>
    </row>
    <row r="1083">
      <c r="D1083" s="5"/>
      <c r="E1083" s="4"/>
      <c r="F1083" s="4"/>
      <c r="G1083" s="4"/>
      <c r="H1083" s="4"/>
    </row>
    <row r="1084">
      <c r="D1084" s="5"/>
      <c r="E1084" s="4"/>
      <c r="F1084" s="4"/>
      <c r="G1084" s="4"/>
      <c r="H1084" s="4"/>
    </row>
    <row r="1085">
      <c r="D1085" s="5"/>
      <c r="E1085" s="4"/>
      <c r="F1085" s="4"/>
      <c r="G1085" s="4"/>
      <c r="H1085" s="4"/>
    </row>
    <row r="1086">
      <c r="D1086" s="5"/>
      <c r="E1086" s="4"/>
      <c r="F1086" s="4"/>
      <c r="G1086" s="4"/>
      <c r="H1086" s="4"/>
    </row>
    <row r="1087">
      <c r="D1087" s="5"/>
      <c r="E1087" s="4"/>
      <c r="F1087" s="4"/>
      <c r="G1087" s="4"/>
      <c r="H1087" s="4"/>
    </row>
    <row r="1088">
      <c r="D1088" s="5"/>
      <c r="E1088" s="4"/>
      <c r="F1088" s="4"/>
      <c r="G1088" s="4"/>
      <c r="H1088" s="4"/>
    </row>
    <row r="1089">
      <c r="D1089" s="5"/>
      <c r="E1089" s="4"/>
      <c r="F1089" s="4"/>
      <c r="G1089" s="4"/>
      <c r="H1089" s="4"/>
    </row>
    <row r="1090">
      <c r="D1090" s="5"/>
      <c r="E1090" s="4"/>
      <c r="F1090" s="4"/>
      <c r="G1090" s="4"/>
      <c r="H1090" s="4"/>
    </row>
    <row r="1091">
      <c r="D1091" s="5"/>
      <c r="E1091" s="4"/>
      <c r="F1091" s="4"/>
      <c r="G1091" s="4"/>
      <c r="H1091" s="4"/>
    </row>
    <row r="1092">
      <c r="D1092" s="5"/>
      <c r="E1092" s="4"/>
      <c r="F1092" s="4"/>
      <c r="G1092" s="4"/>
      <c r="H1092" s="4"/>
    </row>
    <row r="1093">
      <c r="D1093" s="5"/>
      <c r="E1093" s="4"/>
      <c r="F1093" s="4"/>
      <c r="G1093" s="4"/>
      <c r="H1093" s="4"/>
    </row>
    <row r="1094">
      <c r="D1094" s="5"/>
      <c r="E1094" s="4"/>
      <c r="F1094" s="4"/>
      <c r="G1094" s="4"/>
      <c r="H1094" s="4"/>
    </row>
    <row r="1095">
      <c r="D1095" s="5"/>
      <c r="E1095" s="4"/>
      <c r="F1095" s="4"/>
      <c r="G1095" s="4"/>
      <c r="H1095" s="4"/>
    </row>
    <row r="1096">
      <c r="D1096" s="5"/>
      <c r="E1096" s="4"/>
      <c r="F1096" s="4"/>
      <c r="G1096" s="4"/>
      <c r="H1096" s="4"/>
    </row>
    <row r="1097">
      <c r="D1097" s="5"/>
      <c r="E1097" s="4"/>
      <c r="F1097" s="4"/>
      <c r="G1097" s="4"/>
      <c r="H1097" s="4"/>
    </row>
    <row r="1098">
      <c r="D1098" s="5"/>
      <c r="E1098" s="4"/>
      <c r="F1098" s="4"/>
      <c r="G1098" s="4"/>
      <c r="H1098" s="4"/>
    </row>
    <row r="1099">
      <c r="D1099" s="5"/>
      <c r="E1099" s="4"/>
      <c r="F1099" s="4"/>
      <c r="G1099" s="4"/>
      <c r="H1099" s="4"/>
    </row>
    <row r="1100">
      <c r="D1100" s="5"/>
      <c r="E1100" s="4"/>
      <c r="F1100" s="4"/>
      <c r="G1100" s="4"/>
      <c r="H1100" s="4"/>
    </row>
    <row r="1101">
      <c r="D1101" s="5"/>
      <c r="E1101" s="4"/>
      <c r="F1101" s="4"/>
      <c r="G1101" s="4"/>
      <c r="H1101" s="4"/>
    </row>
    <row r="1102">
      <c r="D1102" s="5"/>
      <c r="E1102" s="4"/>
      <c r="F1102" s="4"/>
      <c r="G1102" s="4"/>
      <c r="H1102" s="4"/>
    </row>
    <row r="1103">
      <c r="D1103" s="5"/>
      <c r="E1103" s="4"/>
      <c r="F1103" s="4"/>
      <c r="G1103" s="4"/>
      <c r="H1103" s="4"/>
    </row>
    <row r="1104">
      <c r="D1104" s="5"/>
      <c r="E1104" s="4"/>
      <c r="F1104" s="4"/>
      <c r="G1104" s="4"/>
      <c r="H1104" s="4"/>
    </row>
    <row r="1105">
      <c r="D1105" s="5"/>
      <c r="E1105" s="4"/>
      <c r="F1105" s="4"/>
      <c r="G1105" s="4"/>
      <c r="H1105" s="4"/>
    </row>
    <row r="1106">
      <c r="D1106" s="5"/>
      <c r="E1106" s="4"/>
      <c r="F1106" s="4"/>
      <c r="G1106" s="4"/>
      <c r="H1106" s="4"/>
    </row>
    <row r="1107">
      <c r="D1107" s="5"/>
      <c r="E1107" s="4"/>
      <c r="F1107" s="4"/>
      <c r="G1107" s="4"/>
      <c r="H1107" s="4"/>
    </row>
    <row r="1108">
      <c r="D1108" s="5"/>
      <c r="E1108" s="4"/>
      <c r="F1108" s="4"/>
      <c r="G1108" s="4"/>
      <c r="H1108" s="4"/>
    </row>
    <row r="1109">
      <c r="D1109" s="5"/>
      <c r="E1109" s="4"/>
      <c r="F1109" s="4"/>
      <c r="G1109" s="4"/>
      <c r="H1109" s="4"/>
    </row>
    <row r="1110">
      <c r="D1110" s="5"/>
      <c r="E1110" s="4"/>
      <c r="F1110" s="4"/>
      <c r="G1110" s="4"/>
      <c r="H1110" s="4"/>
    </row>
    <row r="1111">
      <c r="D1111" s="5"/>
      <c r="E1111" s="4"/>
      <c r="F1111" s="4"/>
      <c r="G1111" s="4"/>
      <c r="H1111" s="4"/>
    </row>
    <row r="1112">
      <c r="D1112" s="5"/>
      <c r="E1112" s="4"/>
      <c r="F1112" s="4"/>
      <c r="G1112" s="4"/>
      <c r="H1112" s="4"/>
    </row>
    <row r="1113">
      <c r="D1113" s="5"/>
      <c r="E1113" s="4"/>
      <c r="F1113" s="4"/>
      <c r="G1113" s="4"/>
      <c r="H1113" s="4"/>
    </row>
    <row r="1114">
      <c r="D1114" s="5"/>
      <c r="E1114" s="4"/>
      <c r="F1114" s="4"/>
      <c r="G1114" s="4"/>
      <c r="H1114" s="4"/>
    </row>
    <row r="1115">
      <c r="D1115" s="5"/>
      <c r="E1115" s="4"/>
      <c r="F1115" s="4"/>
      <c r="G1115" s="4"/>
      <c r="H1115" s="4"/>
    </row>
    <row r="1116">
      <c r="D1116" s="5"/>
      <c r="E1116" s="4"/>
      <c r="F1116" s="4"/>
      <c r="G1116" s="4"/>
      <c r="H1116" s="4"/>
    </row>
    <row r="1117">
      <c r="D1117" s="5"/>
      <c r="E1117" s="4"/>
      <c r="F1117" s="4"/>
      <c r="G1117" s="4"/>
      <c r="H1117" s="4"/>
    </row>
    <row r="1118">
      <c r="D1118" s="5"/>
      <c r="E1118" s="4"/>
      <c r="F1118" s="4"/>
      <c r="G1118" s="4"/>
      <c r="H1118" s="4"/>
    </row>
    <row r="1119">
      <c r="D1119" s="5"/>
      <c r="E1119" s="4"/>
      <c r="F1119" s="4"/>
      <c r="G1119" s="4"/>
      <c r="H1119" s="4"/>
    </row>
    <row r="1120">
      <c r="D1120" s="5"/>
      <c r="E1120" s="4"/>
      <c r="F1120" s="4"/>
      <c r="G1120" s="4"/>
      <c r="H1120" s="4"/>
    </row>
    <row r="1121">
      <c r="D1121" s="5"/>
      <c r="E1121" s="4"/>
      <c r="F1121" s="4"/>
      <c r="G1121" s="4"/>
      <c r="H1121" s="4"/>
    </row>
    <row r="1122">
      <c r="D1122" s="5"/>
      <c r="E1122" s="4"/>
      <c r="F1122" s="4"/>
      <c r="G1122" s="4"/>
      <c r="H1122" s="4"/>
    </row>
    <row r="1123">
      <c r="D1123" s="5"/>
      <c r="E1123" s="4"/>
      <c r="F1123" s="4"/>
      <c r="G1123" s="4"/>
      <c r="H1123" s="4"/>
    </row>
    <row r="1124">
      <c r="D1124" s="5"/>
      <c r="E1124" s="4"/>
      <c r="F1124" s="4"/>
      <c r="G1124" s="4"/>
      <c r="H1124" s="4"/>
    </row>
    <row r="1125">
      <c r="D1125" s="5"/>
      <c r="E1125" s="4"/>
      <c r="F1125" s="4"/>
      <c r="G1125" s="4"/>
      <c r="H1125" s="4"/>
    </row>
    <row r="1126">
      <c r="D1126" s="5"/>
      <c r="E1126" s="4"/>
      <c r="F1126" s="4"/>
      <c r="G1126" s="4"/>
      <c r="H1126" s="4"/>
    </row>
    <row r="1127">
      <c r="D1127" s="5"/>
      <c r="E1127" s="4"/>
      <c r="F1127" s="4"/>
      <c r="G1127" s="4"/>
      <c r="H1127" s="4"/>
    </row>
    <row r="1128">
      <c r="D1128" s="5"/>
      <c r="E1128" s="4"/>
      <c r="F1128" s="4"/>
      <c r="G1128" s="4"/>
      <c r="H1128" s="4"/>
    </row>
    <row r="1129">
      <c r="D1129" s="5"/>
      <c r="E1129" s="4"/>
      <c r="F1129" s="4"/>
      <c r="G1129" s="4"/>
      <c r="H1129" s="4"/>
    </row>
    <row r="1130">
      <c r="D1130" s="5"/>
      <c r="E1130" s="4"/>
      <c r="F1130" s="4"/>
      <c r="G1130" s="4"/>
      <c r="H1130" s="4"/>
    </row>
    <row r="1131">
      <c r="D1131" s="5"/>
      <c r="E1131" s="4"/>
      <c r="F1131" s="4"/>
      <c r="G1131" s="4"/>
      <c r="H1131" s="4"/>
    </row>
    <row r="1132">
      <c r="D1132" s="5"/>
      <c r="E1132" s="4"/>
      <c r="F1132" s="4"/>
      <c r="G1132" s="4"/>
      <c r="H1132" s="4"/>
    </row>
    <row r="1133">
      <c r="D1133" s="5"/>
      <c r="E1133" s="4"/>
      <c r="F1133" s="4"/>
      <c r="G1133" s="4"/>
      <c r="H1133" s="4"/>
    </row>
    <row r="1134">
      <c r="D1134" s="5"/>
      <c r="E1134" s="4"/>
      <c r="F1134" s="4"/>
      <c r="G1134" s="4"/>
      <c r="H1134" s="4"/>
    </row>
    <row r="1135">
      <c r="D1135" s="5"/>
      <c r="E1135" s="4"/>
      <c r="F1135" s="4"/>
      <c r="G1135" s="4"/>
      <c r="H1135" s="4"/>
    </row>
    <row r="1136">
      <c r="D1136" s="5"/>
      <c r="E1136" s="4"/>
      <c r="F1136" s="4"/>
      <c r="G1136" s="4"/>
      <c r="H1136" s="4"/>
    </row>
    <row r="1137">
      <c r="D1137" s="5"/>
      <c r="E1137" s="4"/>
      <c r="F1137" s="4"/>
      <c r="G1137" s="4"/>
      <c r="H1137" s="4"/>
    </row>
    <row r="1138">
      <c r="D1138" s="5"/>
      <c r="E1138" s="4"/>
      <c r="F1138" s="4"/>
      <c r="G1138" s="4"/>
      <c r="H1138" s="4"/>
    </row>
    <row r="1139">
      <c r="D1139" s="5"/>
      <c r="E1139" s="4"/>
      <c r="F1139" s="4"/>
      <c r="G1139" s="4"/>
      <c r="H1139" s="4"/>
    </row>
    <row r="1140">
      <c r="D1140" s="5"/>
      <c r="E1140" s="4"/>
      <c r="F1140" s="4"/>
      <c r="G1140" s="4"/>
      <c r="H1140" s="4"/>
    </row>
    <row r="1141">
      <c r="D1141" s="5"/>
      <c r="E1141" s="4"/>
      <c r="F1141" s="4"/>
      <c r="G1141" s="4"/>
      <c r="H1141" s="4"/>
    </row>
    <row r="1142">
      <c r="D1142" s="5"/>
      <c r="E1142" s="4"/>
      <c r="F1142" s="4"/>
      <c r="G1142" s="4"/>
      <c r="H1142" s="4"/>
    </row>
    <row r="1143">
      <c r="D1143" s="5"/>
      <c r="E1143" s="4"/>
      <c r="F1143" s="4"/>
      <c r="G1143" s="4"/>
      <c r="H1143" s="4"/>
    </row>
    <row r="1144">
      <c r="D1144" s="5"/>
      <c r="E1144" s="4"/>
      <c r="F1144" s="4"/>
      <c r="G1144" s="4"/>
      <c r="H1144" s="4"/>
    </row>
    <row r="1145">
      <c r="D1145" s="5"/>
      <c r="E1145" s="4"/>
      <c r="F1145" s="4"/>
      <c r="G1145" s="4"/>
      <c r="H1145" s="4"/>
    </row>
    <row r="1146">
      <c r="D1146" s="5"/>
      <c r="E1146" s="4"/>
      <c r="F1146" s="4"/>
      <c r="G1146" s="4"/>
      <c r="H1146" s="4"/>
    </row>
    <row r="1147">
      <c r="D1147" s="5"/>
      <c r="E1147" s="4"/>
      <c r="F1147" s="4"/>
      <c r="G1147" s="4"/>
      <c r="H1147" s="4"/>
    </row>
    <row r="1148">
      <c r="D1148" s="5"/>
      <c r="E1148" s="4"/>
      <c r="F1148" s="4"/>
      <c r="G1148" s="4"/>
      <c r="H1148" s="4"/>
    </row>
    <row r="1149">
      <c r="D1149" s="5"/>
      <c r="E1149" s="4"/>
      <c r="F1149" s="4"/>
      <c r="G1149" s="4"/>
      <c r="H1149" s="4"/>
    </row>
    <row r="1150">
      <c r="D1150" s="5"/>
      <c r="E1150" s="4"/>
      <c r="F1150" s="4"/>
      <c r="G1150" s="4"/>
      <c r="H1150" s="4"/>
    </row>
    <row r="1151">
      <c r="D1151" s="5"/>
      <c r="E1151" s="4"/>
      <c r="F1151" s="4"/>
      <c r="G1151" s="4"/>
      <c r="H1151" s="4"/>
    </row>
    <row r="1152">
      <c r="D1152" s="5"/>
      <c r="E1152" s="4"/>
      <c r="F1152" s="4"/>
      <c r="G1152" s="4"/>
      <c r="H1152" s="4"/>
    </row>
    <row r="1153">
      <c r="D1153" s="5"/>
      <c r="E1153" s="4"/>
      <c r="F1153" s="4"/>
      <c r="G1153" s="4"/>
      <c r="H1153" s="4"/>
    </row>
    <row r="1154">
      <c r="D1154" s="5"/>
      <c r="E1154" s="4"/>
      <c r="F1154" s="4"/>
      <c r="G1154" s="4"/>
      <c r="H1154" s="4"/>
    </row>
    <row r="1155">
      <c r="D1155" s="5"/>
      <c r="E1155" s="4"/>
      <c r="F1155" s="4"/>
      <c r="G1155" s="4"/>
      <c r="H1155" s="4"/>
    </row>
    <row r="1156">
      <c r="D1156" s="5"/>
      <c r="E1156" s="4"/>
      <c r="F1156" s="4"/>
      <c r="G1156" s="4"/>
      <c r="H1156" s="4"/>
    </row>
    <row r="1157">
      <c r="D1157" s="5"/>
      <c r="E1157" s="4"/>
      <c r="F1157" s="4"/>
      <c r="G1157" s="4"/>
      <c r="H1157" s="4"/>
    </row>
    <row r="1158">
      <c r="D1158" s="5"/>
      <c r="E1158" s="4"/>
      <c r="F1158" s="4"/>
      <c r="G1158" s="4"/>
      <c r="H1158" s="4"/>
    </row>
    <row r="1159">
      <c r="D1159" s="5"/>
      <c r="E1159" s="4"/>
      <c r="F1159" s="4"/>
      <c r="G1159" s="4"/>
      <c r="H1159" s="4"/>
    </row>
    <row r="1160">
      <c r="D1160" s="5"/>
      <c r="E1160" s="4"/>
      <c r="F1160" s="4"/>
      <c r="G1160" s="4"/>
      <c r="H1160" s="4"/>
    </row>
    <row r="1161">
      <c r="D1161" s="5"/>
      <c r="E1161" s="4"/>
      <c r="F1161" s="4"/>
      <c r="G1161" s="4"/>
      <c r="H1161" s="4"/>
    </row>
    <row r="1162">
      <c r="D1162" s="5"/>
      <c r="E1162" s="4"/>
      <c r="F1162" s="4"/>
      <c r="G1162" s="4"/>
      <c r="H1162" s="4"/>
    </row>
    <row r="1163">
      <c r="D1163" s="5"/>
      <c r="E1163" s="4"/>
      <c r="F1163" s="4"/>
      <c r="G1163" s="4"/>
      <c r="H1163" s="4"/>
    </row>
    <row r="1164">
      <c r="D1164" s="5"/>
      <c r="E1164" s="4"/>
      <c r="F1164" s="4"/>
      <c r="G1164" s="4"/>
      <c r="H1164" s="4"/>
    </row>
    <row r="1165">
      <c r="D1165" s="5"/>
      <c r="E1165" s="4"/>
      <c r="F1165" s="4"/>
      <c r="G1165" s="4"/>
      <c r="H1165" s="4"/>
    </row>
    <row r="1166">
      <c r="D1166" s="5"/>
      <c r="E1166" s="4"/>
      <c r="F1166" s="4"/>
      <c r="G1166" s="4"/>
      <c r="H1166" s="4"/>
    </row>
    <row r="1167">
      <c r="D1167" s="5"/>
      <c r="E1167" s="4"/>
      <c r="F1167" s="4"/>
      <c r="G1167" s="4"/>
      <c r="H1167" s="4"/>
    </row>
    <row r="1168">
      <c r="D1168" s="5"/>
      <c r="E1168" s="4"/>
      <c r="F1168" s="4"/>
      <c r="G1168" s="4"/>
      <c r="H1168" s="4"/>
    </row>
    <row r="1169">
      <c r="D1169" s="5"/>
      <c r="E1169" s="4"/>
      <c r="F1169" s="4"/>
      <c r="G1169" s="4"/>
      <c r="H1169" s="4"/>
    </row>
    <row r="1170">
      <c r="D1170" s="5"/>
      <c r="E1170" s="4"/>
      <c r="F1170" s="4"/>
      <c r="G1170" s="4"/>
      <c r="H1170" s="4"/>
    </row>
    <row r="1171">
      <c r="D1171" s="5"/>
      <c r="E1171" s="4"/>
      <c r="F1171" s="4"/>
      <c r="G1171" s="4"/>
      <c r="H1171" s="4"/>
    </row>
    <row r="1172">
      <c r="D1172" s="5"/>
      <c r="E1172" s="4"/>
      <c r="F1172" s="4"/>
      <c r="G1172" s="4"/>
      <c r="H1172" s="4"/>
    </row>
    <row r="1173">
      <c r="D1173" s="5"/>
      <c r="E1173" s="4"/>
      <c r="F1173" s="4"/>
      <c r="G1173" s="4"/>
      <c r="H1173" s="4"/>
    </row>
    <row r="1174">
      <c r="D1174" s="5"/>
      <c r="E1174" s="4"/>
      <c r="F1174" s="4"/>
      <c r="G1174" s="4"/>
      <c r="H1174" s="4"/>
    </row>
    <row r="1175">
      <c r="D1175" s="5"/>
      <c r="E1175" s="4"/>
      <c r="F1175" s="4"/>
      <c r="G1175" s="4"/>
      <c r="H1175" s="4"/>
    </row>
    <row r="1176">
      <c r="D1176" s="5"/>
      <c r="E1176" s="4"/>
      <c r="F1176" s="4"/>
      <c r="G1176" s="4"/>
      <c r="H1176" s="4"/>
    </row>
    <row r="1177">
      <c r="D1177" s="5"/>
      <c r="E1177" s="4"/>
      <c r="F1177" s="4"/>
      <c r="G1177" s="4"/>
      <c r="H1177" s="4"/>
    </row>
    <row r="1178">
      <c r="D1178" s="5"/>
      <c r="E1178" s="4"/>
      <c r="F1178" s="4"/>
      <c r="G1178" s="4"/>
      <c r="H1178" s="4"/>
    </row>
    <row r="1179">
      <c r="D1179" s="5"/>
      <c r="E1179" s="4"/>
      <c r="F1179" s="4"/>
      <c r="G1179" s="4"/>
      <c r="H1179" s="4"/>
    </row>
    <row r="1180">
      <c r="D1180" s="5"/>
      <c r="E1180" s="4"/>
      <c r="F1180" s="4"/>
      <c r="G1180" s="4"/>
      <c r="H1180" s="4"/>
    </row>
    <row r="1181">
      <c r="D1181" s="5"/>
      <c r="E1181" s="4"/>
      <c r="F1181" s="4"/>
      <c r="G1181" s="4"/>
      <c r="H1181" s="4"/>
    </row>
    <row r="1182">
      <c r="D1182" s="5"/>
      <c r="E1182" s="4"/>
      <c r="F1182" s="4"/>
      <c r="G1182" s="4"/>
      <c r="H1182" s="4"/>
    </row>
    <row r="1183">
      <c r="D1183" s="5"/>
      <c r="E1183" s="4"/>
      <c r="F1183" s="4"/>
      <c r="G1183" s="4"/>
      <c r="H1183" s="4"/>
    </row>
    <row r="1184">
      <c r="D1184" s="5"/>
      <c r="E1184" s="4"/>
      <c r="F1184" s="4"/>
      <c r="G1184" s="4"/>
      <c r="H1184" s="4"/>
    </row>
    <row r="1185">
      <c r="D1185" s="5"/>
      <c r="E1185" s="4"/>
      <c r="F1185" s="4"/>
      <c r="G1185" s="4"/>
      <c r="H1185" s="4"/>
    </row>
    <row r="1186">
      <c r="D1186" s="5"/>
      <c r="E1186" s="4"/>
      <c r="F1186" s="4"/>
      <c r="G1186" s="4"/>
      <c r="H1186" s="4"/>
    </row>
    <row r="1187">
      <c r="D1187" s="5"/>
      <c r="E1187" s="4"/>
      <c r="F1187" s="4"/>
      <c r="G1187" s="4"/>
      <c r="H1187" s="4"/>
    </row>
    <row r="1188">
      <c r="D1188" s="5"/>
      <c r="E1188" s="4"/>
      <c r="F1188" s="4"/>
      <c r="G1188" s="4"/>
      <c r="H1188" s="4"/>
    </row>
    <row r="1189">
      <c r="D1189" s="5"/>
      <c r="E1189" s="4"/>
      <c r="F1189" s="4"/>
      <c r="G1189" s="4"/>
      <c r="H1189" s="4"/>
    </row>
    <row r="1190">
      <c r="D1190" s="5"/>
      <c r="E1190" s="4"/>
      <c r="F1190" s="4"/>
      <c r="G1190" s="4"/>
      <c r="H1190" s="4"/>
    </row>
    <row r="1191">
      <c r="D1191" s="5"/>
      <c r="E1191" s="4"/>
      <c r="F1191" s="4"/>
      <c r="G1191" s="4"/>
      <c r="H1191" s="4"/>
    </row>
    <row r="1192">
      <c r="D1192" s="5"/>
      <c r="E1192" s="4"/>
      <c r="F1192" s="4"/>
      <c r="G1192" s="4"/>
      <c r="H1192" s="4"/>
    </row>
    <row r="1193">
      <c r="D1193" s="5"/>
      <c r="E1193" s="4"/>
      <c r="F1193" s="4"/>
      <c r="G1193" s="4"/>
      <c r="H1193" s="4"/>
    </row>
    <row r="1194">
      <c r="D1194" s="5"/>
      <c r="E1194" s="4"/>
      <c r="F1194" s="4"/>
      <c r="G1194" s="4"/>
      <c r="H1194" s="4"/>
    </row>
    <row r="1195">
      <c r="D1195" s="5"/>
      <c r="E1195" s="4"/>
      <c r="F1195" s="4"/>
      <c r="G1195" s="4"/>
      <c r="H1195" s="4"/>
    </row>
    <row r="1196">
      <c r="D1196" s="5"/>
      <c r="E1196" s="4"/>
      <c r="F1196" s="4"/>
      <c r="G1196" s="4"/>
      <c r="H1196" s="4"/>
    </row>
    <row r="1197">
      <c r="D1197" s="5"/>
      <c r="E1197" s="4"/>
      <c r="F1197" s="4"/>
      <c r="G1197" s="4"/>
      <c r="H1197" s="4"/>
    </row>
    <row r="1198">
      <c r="D1198" s="5"/>
      <c r="E1198" s="4"/>
      <c r="F1198" s="4"/>
      <c r="G1198" s="4"/>
      <c r="H1198" s="4"/>
    </row>
    <row r="1199">
      <c r="D1199" s="5"/>
      <c r="E1199" s="4"/>
      <c r="F1199" s="4"/>
      <c r="G1199" s="4"/>
      <c r="H1199" s="4"/>
    </row>
    <row r="1200">
      <c r="D1200" s="5"/>
      <c r="E1200" s="4"/>
      <c r="F1200" s="4"/>
      <c r="G1200" s="4"/>
      <c r="H1200" s="4"/>
    </row>
    <row r="1201">
      <c r="D1201" s="5"/>
      <c r="E1201" s="4"/>
      <c r="F1201" s="4"/>
      <c r="G1201" s="4"/>
      <c r="H1201" s="4"/>
    </row>
    <row r="1202">
      <c r="D1202" s="5"/>
      <c r="E1202" s="4"/>
      <c r="F1202" s="4"/>
      <c r="G1202" s="4"/>
      <c r="H1202" s="4"/>
    </row>
    <row r="1203">
      <c r="D1203" s="5"/>
      <c r="E1203" s="4"/>
      <c r="F1203" s="4"/>
      <c r="G1203" s="4"/>
      <c r="H1203" s="4"/>
    </row>
    <row r="1204">
      <c r="D1204" s="5"/>
      <c r="E1204" s="4"/>
      <c r="F1204" s="4"/>
      <c r="G1204" s="4"/>
      <c r="H1204" s="4"/>
    </row>
    <row r="1205">
      <c r="D1205" s="5"/>
      <c r="E1205" s="4"/>
      <c r="F1205" s="4"/>
      <c r="G1205" s="4"/>
      <c r="H1205" s="4"/>
    </row>
    <row r="1206">
      <c r="D1206" s="5"/>
      <c r="E1206" s="4"/>
      <c r="F1206" s="4"/>
      <c r="G1206" s="4"/>
      <c r="H1206" s="4"/>
    </row>
    <row r="1207">
      <c r="D1207" s="5"/>
      <c r="E1207" s="4"/>
      <c r="F1207" s="4"/>
      <c r="G1207" s="4"/>
      <c r="H1207" s="4"/>
    </row>
    <row r="1208">
      <c r="D1208" s="5"/>
      <c r="E1208" s="4"/>
      <c r="F1208" s="4"/>
      <c r="G1208" s="4"/>
      <c r="H1208" s="4"/>
    </row>
    <row r="1209">
      <c r="D1209" s="5"/>
      <c r="E1209" s="4"/>
      <c r="F1209" s="4"/>
      <c r="G1209" s="4"/>
      <c r="H1209" s="4"/>
    </row>
    <row r="1210">
      <c r="D1210" s="5"/>
      <c r="E1210" s="4"/>
      <c r="F1210" s="4"/>
      <c r="G1210" s="4"/>
      <c r="H1210" s="4"/>
    </row>
    <row r="1211">
      <c r="D1211" s="5"/>
      <c r="E1211" s="4"/>
      <c r="F1211" s="4"/>
      <c r="G1211" s="4"/>
      <c r="H1211" s="4"/>
    </row>
    <row r="1212">
      <c r="D1212" s="5"/>
      <c r="E1212" s="4"/>
      <c r="F1212" s="4"/>
      <c r="G1212" s="4"/>
      <c r="H1212" s="4"/>
    </row>
    <row r="1213">
      <c r="D1213" s="5"/>
      <c r="E1213" s="4"/>
      <c r="F1213" s="4"/>
      <c r="G1213" s="4"/>
      <c r="H1213" s="4"/>
    </row>
    <row r="1214">
      <c r="D1214" s="5"/>
      <c r="E1214" s="4"/>
      <c r="F1214" s="4"/>
      <c r="G1214" s="4"/>
      <c r="H1214" s="4"/>
    </row>
    <row r="1215">
      <c r="D1215" s="5"/>
      <c r="E1215" s="4"/>
      <c r="F1215" s="4"/>
      <c r="G1215" s="4"/>
      <c r="H1215" s="4"/>
    </row>
    <row r="1216">
      <c r="D1216" s="5"/>
      <c r="E1216" s="4"/>
      <c r="F1216" s="4"/>
      <c r="G1216" s="4"/>
      <c r="H1216" s="4"/>
    </row>
    <row r="1217">
      <c r="D1217" s="5"/>
      <c r="E1217" s="4"/>
      <c r="F1217" s="4"/>
      <c r="G1217" s="4"/>
      <c r="H1217" s="4"/>
    </row>
    <row r="1218">
      <c r="D1218" s="5"/>
      <c r="E1218" s="4"/>
      <c r="F1218" s="4"/>
      <c r="G1218" s="4"/>
      <c r="H1218" s="4"/>
    </row>
    <row r="1219">
      <c r="D1219" s="5"/>
      <c r="E1219" s="4"/>
      <c r="F1219" s="4"/>
      <c r="G1219" s="4"/>
      <c r="H1219" s="4"/>
    </row>
    <row r="1220">
      <c r="D1220" s="5"/>
      <c r="E1220" s="4"/>
      <c r="F1220" s="4"/>
      <c r="G1220" s="4"/>
      <c r="H1220" s="4"/>
    </row>
    <row r="1221">
      <c r="D1221" s="5"/>
      <c r="E1221" s="4"/>
      <c r="F1221" s="4"/>
      <c r="G1221" s="4"/>
      <c r="H1221" s="4"/>
    </row>
    <row r="1222">
      <c r="D1222" s="5"/>
      <c r="E1222" s="4"/>
      <c r="F1222" s="4"/>
      <c r="G1222" s="4"/>
      <c r="H1222" s="4"/>
    </row>
    <row r="1223">
      <c r="D1223" s="5"/>
      <c r="E1223" s="4"/>
      <c r="F1223" s="4"/>
      <c r="G1223" s="4"/>
      <c r="H1223" s="4"/>
    </row>
    <row r="1224">
      <c r="D1224" s="5"/>
      <c r="E1224" s="4"/>
      <c r="F1224" s="4"/>
      <c r="G1224" s="4"/>
      <c r="H1224" s="4"/>
    </row>
    <row r="1225">
      <c r="D1225" s="5"/>
      <c r="E1225" s="4"/>
      <c r="F1225" s="4"/>
      <c r="G1225" s="4"/>
      <c r="H1225" s="4"/>
    </row>
    <row r="1226">
      <c r="D1226" s="5"/>
      <c r="E1226" s="4"/>
      <c r="F1226" s="4"/>
      <c r="G1226" s="4"/>
      <c r="H1226" s="4"/>
    </row>
    <row r="1227">
      <c r="D1227" s="5"/>
      <c r="E1227" s="4"/>
      <c r="F1227" s="4"/>
      <c r="G1227" s="4"/>
      <c r="H1227" s="4"/>
    </row>
    <row r="1228">
      <c r="D1228" s="5"/>
      <c r="E1228" s="4"/>
      <c r="F1228" s="4"/>
      <c r="G1228" s="4"/>
      <c r="H1228" s="4"/>
    </row>
    <row r="1229">
      <c r="D1229" s="5"/>
      <c r="E1229" s="4"/>
      <c r="F1229" s="4"/>
      <c r="G1229" s="4"/>
      <c r="H1229" s="4"/>
    </row>
    <row r="1230">
      <c r="D1230" s="5"/>
      <c r="E1230" s="4"/>
      <c r="F1230" s="4"/>
      <c r="G1230" s="4"/>
      <c r="H1230" s="4"/>
    </row>
    <row r="1231">
      <c r="D1231" s="5"/>
      <c r="E1231" s="4"/>
      <c r="F1231" s="4"/>
      <c r="G1231" s="4"/>
      <c r="H1231" s="4"/>
    </row>
    <row r="1232">
      <c r="D1232" s="5"/>
      <c r="E1232" s="4"/>
      <c r="F1232" s="4"/>
      <c r="G1232" s="4"/>
      <c r="H1232" s="4"/>
    </row>
    <row r="1233">
      <c r="D1233" s="5"/>
      <c r="E1233" s="4"/>
      <c r="F1233" s="4"/>
      <c r="G1233" s="4"/>
      <c r="H1233" s="4"/>
    </row>
    <row r="1234">
      <c r="D1234" s="5"/>
      <c r="E1234" s="4"/>
      <c r="F1234" s="4"/>
      <c r="G1234" s="4"/>
      <c r="H1234" s="4"/>
    </row>
    <row r="1235">
      <c r="D1235" s="5"/>
      <c r="E1235" s="4"/>
      <c r="F1235" s="4"/>
      <c r="G1235" s="4"/>
      <c r="H1235" s="4"/>
    </row>
    <row r="1236">
      <c r="D1236" s="5"/>
      <c r="E1236" s="4"/>
      <c r="F1236" s="4"/>
      <c r="G1236" s="4"/>
      <c r="H1236" s="4"/>
    </row>
    <row r="1237">
      <c r="D1237" s="5"/>
      <c r="E1237" s="4"/>
      <c r="F1237" s="4"/>
      <c r="G1237" s="4"/>
      <c r="H1237" s="4"/>
    </row>
    <row r="1238">
      <c r="D1238" s="5"/>
      <c r="E1238" s="4"/>
      <c r="F1238" s="4"/>
      <c r="G1238" s="4"/>
      <c r="H1238" s="4"/>
    </row>
    <row r="1239">
      <c r="D1239" s="5"/>
      <c r="E1239" s="4"/>
      <c r="F1239" s="4"/>
      <c r="G1239" s="4"/>
      <c r="H1239" s="4"/>
    </row>
    <row r="1240">
      <c r="D1240" s="5"/>
      <c r="E1240" s="4"/>
      <c r="F1240" s="4"/>
      <c r="G1240" s="4"/>
      <c r="H1240" s="4"/>
    </row>
    <row r="1241">
      <c r="D1241" s="5"/>
      <c r="E1241" s="4"/>
      <c r="F1241" s="4"/>
      <c r="G1241" s="4"/>
      <c r="H1241" s="4"/>
    </row>
    <row r="1242">
      <c r="D1242" s="5"/>
      <c r="E1242" s="4"/>
      <c r="F1242" s="4"/>
      <c r="G1242" s="4"/>
      <c r="H1242" s="4"/>
    </row>
    <row r="1243">
      <c r="D1243" s="5"/>
      <c r="E1243" s="4"/>
      <c r="F1243" s="4"/>
      <c r="G1243" s="4"/>
      <c r="H1243" s="4"/>
    </row>
    <row r="1244">
      <c r="D1244" s="5"/>
      <c r="E1244" s="4"/>
      <c r="F1244" s="4"/>
      <c r="G1244" s="4"/>
      <c r="H1244" s="4"/>
    </row>
    <row r="1245">
      <c r="D1245" s="5"/>
      <c r="E1245" s="4"/>
      <c r="F1245" s="4"/>
      <c r="G1245" s="4"/>
      <c r="H1245" s="4"/>
    </row>
    <row r="1246">
      <c r="D1246" s="5"/>
      <c r="E1246" s="4"/>
      <c r="F1246" s="4"/>
      <c r="G1246" s="4"/>
      <c r="H1246" s="4"/>
    </row>
    <row r="1247">
      <c r="D1247" s="5"/>
      <c r="E1247" s="4"/>
      <c r="F1247" s="4"/>
      <c r="G1247" s="4"/>
      <c r="H1247" s="4"/>
    </row>
    <row r="1248">
      <c r="D1248" s="5"/>
      <c r="E1248" s="4"/>
      <c r="F1248" s="4"/>
      <c r="G1248" s="4"/>
      <c r="H1248" s="4"/>
    </row>
    <row r="1249">
      <c r="D1249" s="5"/>
      <c r="E1249" s="4"/>
      <c r="F1249" s="4"/>
      <c r="G1249" s="4"/>
      <c r="H1249" s="4"/>
    </row>
    <row r="1250">
      <c r="D1250" s="5"/>
      <c r="E1250" s="4"/>
      <c r="F1250" s="4"/>
      <c r="G1250" s="4"/>
      <c r="H1250" s="4"/>
    </row>
    <row r="1251">
      <c r="D1251" s="5"/>
      <c r="E1251" s="4"/>
      <c r="F1251" s="4"/>
      <c r="G1251" s="4"/>
      <c r="H1251" s="4"/>
    </row>
    <row r="1252">
      <c r="D1252" s="5"/>
      <c r="E1252" s="4"/>
      <c r="F1252" s="4"/>
      <c r="G1252" s="4"/>
      <c r="H1252" s="4"/>
    </row>
    <row r="1253">
      <c r="D1253" s="5"/>
      <c r="E1253" s="4"/>
      <c r="F1253" s="4"/>
      <c r="G1253" s="4"/>
      <c r="H1253" s="4"/>
    </row>
    <row r="1254">
      <c r="D1254" s="5"/>
      <c r="E1254" s="4"/>
      <c r="F1254" s="4"/>
      <c r="G1254" s="4"/>
      <c r="H1254" s="4"/>
    </row>
    <row r="1255">
      <c r="D1255" s="5"/>
      <c r="E1255" s="4"/>
      <c r="F1255" s="4"/>
      <c r="G1255" s="4"/>
      <c r="H1255" s="4"/>
    </row>
    <row r="1256">
      <c r="D1256" s="5"/>
      <c r="E1256" s="4"/>
      <c r="F1256" s="4"/>
      <c r="G1256" s="4"/>
      <c r="H1256" s="4"/>
    </row>
    <row r="1257">
      <c r="D1257" s="5"/>
      <c r="E1257" s="4"/>
      <c r="F1257" s="4"/>
      <c r="G1257" s="4"/>
      <c r="H1257" s="4"/>
    </row>
    <row r="1258">
      <c r="D1258" s="5"/>
      <c r="E1258" s="4"/>
      <c r="F1258" s="4"/>
      <c r="G1258" s="4"/>
      <c r="H1258" s="4"/>
    </row>
    <row r="1259">
      <c r="D1259" s="5"/>
      <c r="E1259" s="4"/>
      <c r="F1259" s="4"/>
      <c r="G1259" s="4"/>
      <c r="H1259" s="4"/>
    </row>
    <row r="1260">
      <c r="D1260" s="5"/>
      <c r="E1260" s="4"/>
      <c r="F1260" s="4"/>
      <c r="G1260" s="4"/>
      <c r="H1260" s="4"/>
    </row>
    <row r="1261">
      <c r="D1261" s="5"/>
      <c r="E1261" s="4"/>
      <c r="F1261" s="4"/>
      <c r="G1261" s="4"/>
      <c r="H1261" s="4"/>
    </row>
    <row r="1262">
      <c r="D1262" s="5"/>
      <c r="E1262" s="4"/>
      <c r="F1262" s="4"/>
      <c r="G1262" s="4"/>
      <c r="H1262" s="4"/>
    </row>
    <row r="1263">
      <c r="D1263" s="5"/>
      <c r="E1263" s="4"/>
      <c r="F1263" s="4"/>
      <c r="G1263" s="4"/>
      <c r="H1263" s="4"/>
    </row>
    <row r="1264">
      <c r="D1264" s="5"/>
      <c r="E1264" s="4"/>
      <c r="F1264" s="4"/>
      <c r="G1264" s="4"/>
      <c r="H1264" s="4"/>
    </row>
    <row r="1265">
      <c r="D1265" s="5"/>
      <c r="E1265" s="4"/>
      <c r="F1265" s="4"/>
      <c r="G1265" s="4"/>
      <c r="H1265" s="4"/>
    </row>
    <row r="1266">
      <c r="D1266" s="5"/>
      <c r="E1266" s="4"/>
      <c r="F1266" s="4"/>
      <c r="G1266" s="4"/>
      <c r="H1266" s="4"/>
    </row>
    <row r="1267">
      <c r="D1267" s="5"/>
      <c r="E1267" s="4"/>
      <c r="F1267" s="4"/>
      <c r="G1267" s="4"/>
      <c r="H1267" s="4"/>
    </row>
    <row r="1268">
      <c r="D1268" s="5"/>
      <c r="E1268" s="4"/>
      <c r="F1268" s="4"/>
      <c r="G1268" s="4"/>
      <c r="H1268" s="4"/>
    </row>
    <row r="1269">
      <c r="D1269" s="5"/>
      <c r="E1269" s="4"/>
      <c r="F1269" s="4"/>
      <c r="G1269" s="4"/>
      <c r="H1269" s="4"/>
    </row>
    <row r="1270">
      <c r="D1270" s="5"/>
      <c r="E1270" s="4"/>
      <c r="F1270" s="4"/>
      <c r="G1270" s="4"/>
      <c r="H1270" s="4"/>
    </row>
    <row r="1271">
      <c r="D1271" s="5"/>
      <c r="E1271" s="4"/>
      <c r="F1271" s="4"/>
      <c r="G1271" s="4"/>
      <c r="H1271" s="4"/>
    </row>
    <row r="1272">
      <c r="D1272" s="5"/>
      <c r="E1272" s="4"/>
      <c r="F1272" s="4"/>
      <c r="G1272" s="4"/>
      <c r="H1272" s="4"/>
    </row>
    <row r="1273">
      <c r="D1273" s="5"/>
      <c r="E1273" s="4"/>
      <c r="F1273" s="4"/>
      <c r="G1273" s="4"/>
      <c r="H1273" s="4"/>
    </row>
    <row r="1274">
      <c r="D1274" s="5"/>
      <c r="E1274" s="4"/>
      <c r="F1274" s="4"/>
      <c r="G1274" s="4"/>
      <c r="H1274" s="4"/>
    </row>
    <row r="1275">
      <c r="D1275" s="5"/>
      <c r="E1275" s="4"/>
      <c r="F1275" s="4"/>
      <c r="G1275" s="4"/>
      <c r="H1275" s="4"/>
    </row>
    <row r="1276">
      <c r="D1276" s="5"/>
      <c r="E1276" s="4"/>
      <c r="F1276" s="4"/>
      <c r="G1276" s="4"/>
      <c r="H1276" s="4"/>
    </row>
    <row r="1277">
      <c r="D1277" s="5"/>
      <c r="E1277" s="4"/>
      <c r="F1277" s="4"/>
      <c r="G1277" s="4"/>
      <c r="H1277" s="4"/>
    </row>
    <row r="1278">
      <c r="D1278" s="5"/>
      <c r="E1278" s="4"/>
      <c r="F1278" s="4"/>
      <c r="G1278" s="4"/>
      <c r="H1278" s="4"/>
    </row>
    <row r="1279">
      <c r="D1279" s="5"/>
      <c r="E1279" s="4"/>
      <c r="F1279" s="4"/>
      <c r="G1279" s="4"/>
      <c r="H1279" s="4"/>
    </row>
    <row r="1280">
      <c r="D1280" s="5"/>
      <c r="E1280" s="4"/>
      <c r="F1280" s="4"/>
      <c r="G1280" s="4"/>
      <c r="H1280" s="4"/>
    </row>
    <row r="1281">
      <c r="D1281" s="5"/>
      <c r="E1281" s="4"/>
      <c r="F1281" s="4"/>
      <c r="G1281" s="4"/>
      <c r="H1281" s="4"/>
    </row>
    <row r="1282">
      <c r="D1282" s="5"/>
      <c r="E1282" s="4"/>
      <c r="F1282" s="4"/>
      <c r="G1282" s="4"/>
      <c r="H1282" s="4"/>
    </row>
    <row r="1283">
      <c r="D1283" s="5"/>
      <c r="E1283" s="4"/>
      <c r="F1283" s="4"/>
      <c r="G1283" s="4"/>
      <c r="H1283" s="4"/>
    </row>
    <row r="1284">
      <c r="D1284" s="5"/>
      <c r="E1284" s="4"/>
      <c r="F1284" s="4"/>
      <c r="G1284" s="4"/>
      <c r="H1284" s="4"/>
    </row>
    <row r="1285">
      <c r="D1285" s="5"/>
      <c r="E1285" s="4"/>
      <c r="F1285" s="4"/>
      <c r="G1285" s="4"/>
      <c r="H1285" s="4"/>
    </row>
    <row r="1286">
      <c r="D1286" s="5"/>
      <c r="E1286" s="4"/>
      <c r="F1286" s="4"/>
      <c r="G1286" s="4"/>
      <c r="H1286" s="4"/>
    </row>
    <row r="1287">
      <c r="D1287" s="5"/>
      <c r="E1287" s="4"/>
      <c r="F1287" s="4"/>
      <c r="G1287" s="4"/>
      <c r="H1287" s="4"/>
    </row>
    <row r="1288">
      <c r="D1288" s="5"/>
      <c r="E1288" s="4"/>
      <c r="F1288" s="4"/>
      <c r="G1288" s="4"/>
      <c r="H1288" s="4"/>
    </row>
    <row r="1289">
      <c r="D1289" s="5"/>
      <c r="E1289" s="4"/>
      <c r="F1289" s="4"/>
      <c r="G1289" s="4"/>
      <c r="H1289" s="4"/>
    </row>
    <row r="1290">
      <c r="D1290" s="5"/>
      <c r="E1290" s="4"/>
      <c r="F1290" s="4"/>
      <c r="G1290" s="4"/>
      <c r="H1290" s="4"/>
    </row>
    <row r="1291">
      <c r="D1291" s="5"/>
      <c r="E1291" s="4"/>
      <c r="F1291" s="4"/>
      <c r="G1291" s="4"/>
      <c r="H1291" s="4"/>
    </row>
    <row r="1292">
      <c r="D1292" s="5"/>
      <c r="E1292" s="4"/>
      <c r="F1292" s="4"/>
      <c r="G1292" s="4"/>
      <c r="H1292" s="4"/>
    </row>
    <row r="1293">
      <c r="D1293" s="5"/>
      <c r="E1293" s="4"/>
      <c r="F1293" s="4"/>
      <c r="G1293" s="4"/>
      <c r="H1293" s="4"/>
    </row>
    <row r="1294">
      <c r="D1294" s="5"/>
      <c r="E1294" s="4"/>
      <c r="F1294" s="4"/>
      <c r="G1294" s="4"/>
      <c r="H1294" s="4"/>
    </row>
    <row r="1295">
      <c r="D1295" s="5"/>
      <c r="E1295" s="4"/>
      <c r="F1295" s="4"/>
      <c r="G1295" s="4"/>
      <c r="H1295" s="4"/>
    </row>
    <row r="1296">
      <c r="D1296" s="5"/>
      <c r="E1296" s="4"/>
      <c r="F1296" s="4"/>
      <c r="G1296" s="4"/>
      <c r="H1296" s="4"/>
    </row>
    <row r="1297">
      <c r="D1297" s="5"/>
      <c r="E1297" s="4"/>
      <c r="F1297" s="4"/>
      <c r="G1297" s="4"/>
      <c r="H1297" s="4"/>
    </row>
    <row r="1298">
      <c r="D1298" s="5"/>
      <c r="E1298" s="4"/>
      <c r="F1298" s="4"/>
      <c r="G1298" s="4"/>
      <c r="H1298" s="4"/>
    </row>
    <row r="1299">
      <c r="D1299" s="5"/>
      <c r="E1299" s="4"/>
      <c r="F1299" s="4"/>
      <c r="G1299" s="4"/>
      <c r="H1299" s="4"/>
    </row>
    <row r="1300">
      <c r="D1300" s="5"/>
      <c r="E1300" s="4"/>
      <c r="F1300" s="4"/>
      <c r="G1300" s="4"/>
      <c r="H1300" s="4"/>
    </row>
    <row r="1301">
      <c r="D1301" s="5"/>
      <c r="E1301" s="4"/>
      <c r="F1301" s="4"/>
      <c r="G1301" s="4"/>
      <c r="H1301" s="4"/>
    </row>
    <row r="1302">
      <c r="D1302" s="5"/>
      <c r="E1302" s="4"/>
      <c r="F1302" s="4"/>
      <c r="G1302" s="4"/>
      <c r="H1302" s="4"/>
    </row>
    <row r="1303">
      <c r="D1303" s="5"/>
      <c r="E1303" s="4"/>
      <c r="F1303" s="4"/>
      <c r="G1303" s="4"/>
      <c r="H1303" s="4"/>
    </row>
    <row r="1304">
      <c r="D1304" s="5"/>
      <c r="E1304" s="4"/>
      <c r="F1304" s="4"/>
      <c r="G1304" s="4"/>
      <c r="H1304" s="4"/>
    </row>
    <row r="1305">
      <c r="D1305" s="5"/>
      <c r="E1305" s="4"/>
      <c r="F1305" s="4"/>
      <c r="G1305" s="4"/>
      <c r="H1305" s="4"/>
    </row>
    <row r="1306">
      <c r="D1306" s="5"/>
      <c r="E1306" s="4"/>
      <c r="F1306" s="4"/>
      <c r="G1306" s="4"/>
      <c r="H1306" s="4"/>
    </row>
    <row r="1307">
      <c r="D1307" s="5"/>
      <c r="E1307" s="4"/>
      <c r="F1307" s="4"/>
      <c r="G1307" s="4"/>
      <c r="H1307" s="4"/>
    </row>
    <row r="1308">
      <c r="D1308" s="5"/>
      <c r="E1308" s="4"/>
      <c r="F1308" s="4"/>
      <c r="G1308" s="4"/>
      <c r="H1308" s="4"/>
    </row>
    <row r="1309">
      <c r="D1309" s="5"/>
      <c r="E1309" s="4"/>
      <c r="F1309" s="4"/>
      <c r="G1309" s="4"/>
      <c r="H1309" s="4"/>
    </row>
    <row r="1310">
      <c r="D1310" s="5"/>
      <c r="E1310" s="4"/>
      <c r="F1310" s="4"/>
      <c r="G1310" s="4"/>
      <c r="H1310" s="4"/>
    </row>
    <row r="1311">
      <c r="D1311" s="5"/>
      <c r="E1311" s="4"/>
      <c r="F1311" s="4"/>
      <c r="G1311" s="4"/>
      <c r="H1311" s="4"/>
    </row>
    <row r="1312">
      <c r="D1312" s="5"/>
      <c r="E1312" s="4"/>
      <c r="F1312" s="4"/>
      <c r="G1312" s="4"/>
      <c r="H1312" s="4"/>
    </row>
    <row r="1313">
      <c r="D1313" s="5"/>
      <c r="E1313" s="4"/>
      <c r="F1313" s="4"/>
      <c r="G1313" s="4"/>
      <c r="H1313" s="4"/>
    </row>
    <row r="1314">
      <c r="D1314" s="5"/>
      <c r="E1314" s="4"/>
      <c r="F1314" s="4"/>
      <c r="G1314" s="4"/>
      <c r="H1314" s="4"/>
    </row>
    <row r="1315">
      <c r="D1315" s="5"/>
      <c r="E1315" s="4"/>
      <c r="F1315" s="4"/>
      <c r="G1315" s="4"/>
      <c r="H1315" s="4"/>
    </row>
    <row r="1316">
      <c r="D1316" s="5"/>
      <c r="E1316" s="4"/>
      <c r="F1316" s="4"/>
      <c r="G1316" s="4"/>
      <c r="H1316" s="4"/>
    </row>
    <row r="1317">
      <c r="D1317" s="5"/>
      <c r="E1317" s="4"/>
      <c r="F1317" s="4"/>
      <c r="G1317" s="4"/>
      <c r="H1317" s="4"/>
    </row>
    <row r="1318">
      <c r="D1318" s="5"/>
      <c r="E1318" s="4"/>
      <c r="F1318" s="4"/>
      <c r="G1318" s="4"/>
      <c r="H1318" s="4"/>
    </row>
    <row r="1319">
      <c r="D1319" s="5"/>
      <c r="E1319" s="4"/>
      <c r="F1319" s="4"/>
      <c r="G1319" s="4"/>
      <c r="H1319" s="4"/>
    </row>
    <row r="1320">
      <c r="D1320" s="5"/>
      <c r="E1320" s="4"/>
      <c r="F1320" s="4"/>
      <c r="G1320" s="4"/>
      <c r="H1320" s="4"/>
    </row>
    <row r="1321">
      <c r="D1321" s="5"/>
      <c r="E1321" s="4"/>
      <c r="F1321" s="4"/>
      <c r="G1321" s="4"/>
      <c r="H1321" s="4"/>
    </row>
    <row r="1322">
      <c r="D1322" s="5"/>
      <c r="E1322" s="4"/>
      <c r="F1322" s="4"/>
      <c r="G1322" s="4"/>
      <c r="H1322" s="4"/>
    </row>
    <row r="1323">
      <c r="D1323" s="5"/>
      <c r="E1323" s="4"/>
      <c r="F1323" s="4"/>
      <c r="G1323" s="4"/>
      <c r="H1323" s="4"/>
    </row>
    <row r="1324">
      <c r="D1324" s="5"/>
      <c r="E1324" s="4"/>
      <c r="F1324" s="4"/>
      <c r="G1324" s="4"/>
      <c r="H1324" s="4"/>
    </row>
    <row r="1325">
      <c r="D1325" s="5"/>
      <c r="E1325" s="4"/>
      <c r="F1325" s="4"/>
      <c r="G1325" s="4"/>
      <c r="H1325" s="4"/>
    </row>
    <row r="1326">
      <c r="D1326" s="5"/>
      <c r="E1326" s="4"/>
      <c r="F1326" s="4"/>
      <c r="G1326" s="4"/>
      <c r="H1326" s="4"/>
    </row>
    <row r="1327">
      <c r="D1327" s="5"/>
      <c r="E1327" s="4"/>
      <c r="F1327" s="4"/>
      <c r="G1327" s="4"/>
      <c r="H1327" s="4"/>
    </row>
    <row r="1328">
      <c r="D1328" s="5"/>
      <c r="E1328" s="4"/>
      <c r="F1328" s="4"/>
      <c r="G1328" s="4"/>
      <c r="H1328" s="4"/>
    </row>
    <row r="1329">
      <c r="D1329" s="5"/>
      <c r="E1329" s="4"/>
      <c r="F1329" s="4"/>
      <c r="G1329" s="4"/>
      <c r="H1329" s="4"/>
    </row>
    <row r="1330">
      <c r="D1330" s="5"/>
      <c r="E1330" s="4"/>
      <c r="F1330" s="4"/>
      <c r="G1330" s="4"/>
      <c r="H1330" s="4"/>
    </row>
    <row r="1331">
      <c r="D1331" s="5"/>
      <c r="E1331" s="4"/>
      <c r="F1331" s="4"/>
      <c r="G1331" s="4"/>
      <c r="H1331" s="4"/>
    </row>
    <row r="1332">
      <c r="D1332" s="5"/>
      <c r="E1332" s="4"/>
      <c r="F1332" s="4"/>
      <c r="G1332" s="4"/>
      <c r="H1332" s="4"/>
    </row>
    <row r="1333">
      <c r="D1333" s="5"/>
      <c r="E1333" s="4"/>
      <c r="F1333" s="4"/>
      <c r="G1333" s="4"/>
      <c r="H1333" s="4"/>
    </row>
    <row r="1334">
      <c r="D1334" s="5"/>
      <c r="E1334" s="4"/>
      <c r="F1334" s="4"/>
      <c r="G1334" s="4"/>
      <c r="H1334" s="4"/>
    </row>
    <row r="1335">
      <c r="D1335" s="5"/>
      <c r="E1335" s="4"/>
      <c r="F1335" s="4"/>
      <c r="G1335" s="4"/>
      <c r="H1335" s="4"/>
    </row>
    <row r="1336">
      <c r="D1336" s="5"/>
      <c r="E1336" s="4"/>
      <c r="F1336" s="4"/>
      <c r="G1336" s="4"/>
      <c r="H1336" s="4"/>
    </row>
    <row r="1337">
      <c r="D1337" s="5"/>
      <c r="E1337" s="4"/>
      <c r="F1337" s="4"/>
      <c r="G1337" s="4"/>
      <c r="H1337" s="4"/>
    </row>
    <row r="1338">
      <c r="D1338" s="5"/>
      <c r="E1338" s="4"/>
      <c r="F1338" s="4"/>
      <c r="G1338" s="4"/>
      <c r="H1338" s="4"/>
    </row>
    <row r="1339">
      <c r="D1339" s="5"/>
      <c r="E1339" s="4"/>
      <c r="F1339" s="4"/>
      <c r="G1339" s="4"/>
      <c r="H1339" s="4"/>
    </row>
    <row r="1340">
      <c r="D1340" s="5"/>
      <c r="E1340" s="4"/>
      <c r="F1340" s="4"/>
      <c r="G1340" s="4"/>
      <c r="H1340" s="4"/>
    </row>
    <row r="1341">
      <c r="D1341" s="5"/>
      <c r="E1341" s="4"/>
      <c r="F1341" s="4"/>
      <c r="G1341" s="4"/>
      <c r="H1341" s="4"/>
    </row>
    <row r="1342">
      <c r="D1342" s="5"/>
      <c r="E1342" s="4"/>
      <c r="F1342" s="4"/>
      <c r="G1342" s="4"/>
      <c r="H1342" s="4"/>
    </row>
    <row r="1343">
      <c r="D1343" s="5"/>
      <c r="E1343" s="4"/>
      <c r="F1343" s="4"/>
      <c r="G1343" s="4"/>
      <c r="H1343" s="4"/>
    </row>
    <row r="1344">
      <c r="D1344" s="5"/>
      <c r="E1344" s="4"/>
      <c r="F1344" s="4"/>
      <c r="G1344" s="4"/>
      <c r="H1344" s="4"/>
    </row>
    <row r="1345">
      <c r="D1345" s="5"/>
      <c r="E1345" s="4"/>
      <c r="F1345" s="4"/>
      <c r="G1345" s="4"/>
      <c r="H1345" s="4"/>
    </row>
    <row r="1346">
      <c r="D1346" s="5"/>
      <c r="E1346" s="4"/>
      <c r="F1346" s="4"/>
      <c r="G1346" s="4"/>
      <c r="H1346" s="4"/>
    </row>
    <row r="1347">
      <c r="D1347" s="5"/>
      <c r="E1347" s="4"/>
      <c r="F1347" s="4"/>
      <c r="G1347" s="4"/>
      <c r="H1347" s="4"/>
    </row>
    <row r="1348">
      <c r="D1348" s="5"/>
      <c r="E1348" s="4"/>
      <c r="F1348" s="4"/>
      <c r="G1348" s="4"/>
      <c r="H1348" s="4"/>
    </row>
    <row r="1349">
      <c r="D1349" s="5"/>
      <c r="E1349" s="4"/>
      <c r="F1349" s="4"/>
      <c r="G1349" s="4"/>
      <c r="H1349" s="4"/>
    </row>
    <row r="1350">
      <c r="D1350" s="5"/>
      <c r="E1350" s="4"/>
      <c r="F1350" s="4"/>
      <c r="G1350" s="4"/>
      <c r="H1350" s="4"/>
    </row>
    <row r="1351">
      <c r="D1351" s="5"/>
      <c r="E1351" s="4"/>
      <c r="F1351" s="4"/>
      <c r="G1351" s="4"/>
      <c r="H1351" s="4"/>
    </row>
    <row r="1352">
      <c r="D1352" s="5"/>
      <c r="E1352" s="4"/>
      <c r="F1352" s="4"/>
      <c r="G1352" s="4"/>
      <c r="H1352" s="4"/>
    </row>
    <row r="1353">
      <c r="D1353" s="5"/>
      <c r="E1353" s="4"/>
      <c r="F1353" s="4"/>
      <c r="G1353" s="4"/>
      <c r="H1353" s="4"/>
    </row>
    <row r="1354">
      <c r="D1354" s="5"/>
      <c r="E1354" s="4"/>
      <c r="F1354" s="4"/>
      <c r="G1354" s="4"/>
      <c r="H1354" s="4"/>
    </row>
    <row r="1355">
      <c r="D1355" s="5"/>
      <c r="E1355" s="4"/>
      <c r="F1355" s="4"/>
      <c r="G1355" s="4"/>
      <c r="H1355" s="4"/>
    </row>
    <row r="1356">
      <c r="D1356" s="5"/>
      <c r="E1356" s="4"/>
      <c r="F1356" s="4"/>
      <c r="G1356" s="4"/>
      <c r="H1356" s="4"/>
    </row>
    <row r="1357">
      <c r="D1357" s="5"/>
      <c r="E1357" s="4"/>
      <c r="F1357" s="4"/>
      <c r="G1357" s="4"/>
      <c r="H1357" s="4"/>
    </row>
    <row r="1358">
      <c r="D1358" s="5"/>
      <c r="E1358" s="4"/>
      <c r="F1358" s="4"/>
      <c r="G1358" s="4"/>
      <c r="H1358" s="4"/>
    </row>
    <row r="1359">
      <c r="D1359" s="5"/>
      <c r="E1359" s="4"/>
      <c r="F1359" s="4"/>
      <c r="G1359" s="4"/>
      <c r="H1359" s="4"/>
    </row>
    <row r="1360">
      <c r="D1360" s="5"/>
      <c r="E1360" s="4"/>
      <c r="F1360" s="4"/>
      <c r="G1360" s="4"/>
      <c r="H1360" s="4"/>
    </row>
    <row r="1361">
      <c r="D1361" s="5"/>
      <c r="E1361" s="4"/>
      <c r="F1361" s="4"/>
      <c r="G1361" s="4"/>
      <c r="H1361" s="4"/>
    </row>
    <row r="1362">
      <c r="D1362" s="5"/>
      <c r="E1362" s="4"/>
      <c r="F1362" s="4"/>
      <c r="G1362" s="4"/>
      <c r="H1362" s="4"/>
    </row>
    <row r="1363">
      <c r="D1363" s="5"/>
      <c r="E1363" s="4"/>
      <c r="F1363" s="4"/>
      <c r="G1363" s="4"/>
      <c r="H1363" s="4"/>
    </row>
    <row r="1364">
      <c r="D1364" s="5"/>
      <c r="E1364" s="4"/>
      <c r="F1364" s="4"/>
      <c r="G1364" s="4"/>
      <c r="H1364" s="4"/>
    </row>
    <row r="1365">
      <c r="D1365" s="5"/>
      <c r="E1365" s="4"/>
      <c r="F1365" s="4"/>
      <c r="G1365" s="4"/>
      <c r="H1365" s="4"/>
    </row>
    <row r="1366">
      <c r="D1366" s="5"/>
      <c r="E1366" s="4"/>
      <c r="F1366" s="4"/>
      <c r="G1366" s="4"/>
      <c r="H1366" s="4"/>
    </row>
    <row r="1367">
      <c r="D1367" s="5"/>
      <c r="E1367" s="4"/>
      <c r="F1367" s="4"/>
      <c r="G1367" s="4"/>
      <c r="H1367" s="4"/>
    </row>
    <row r="1368">
      <c r="D1368" s="5"/>
      <c r="E1368" s="4"/>
      <c r="F1368" s="4"/>
      <c r="G1368" s="4"/>
      <c r="H1368" s="4"/>
    </row>
    <row r="1369">
      <c r="D1369" s="5"/>
      <c r="E1369" s="4"/>
      <c r="F1369" s="4"/>
      <c r="G1369" s="4"/>
      <c r="H1369" s="4"/>
    </row>
    <row r="1370">
      <c r="D1370" s="5"/>
      <c r="E1370" s="4"/>
      <c r="F1370" s="4"/>
      <c r="G1370" s="4"/>
      <c r="H1370" s="4"/>
    </row>
    <row r="1371">
      <c r="D1371" s="5"/>
      <c r="E1371" s="4"/>
      <c r="F1371" s="4"/>
      <c r="G1371" s="4"/>
      <c r="H1371" s="4"/>
    </row>
    <row r="1372">
      <c r="D1372" s="5"/>
      <c r="E1372" s="4"/>
      <c r="F1372" s="4"/>
      <c r="G1372" s="4"/>
      <c r="H1372" s="4"/>
    </row>
    <row r="1373">
      <c r="D1373" s="5"/>
      <c r="E1373" s="4"/>
      <c r="F1373" s="4"/>
      <c r="G1373" s="4"/>
      <c r="H1373" s="4"/>
    </row>
    <row r="1374">
      <c r="D1374" s="5"/>
      <c r="E1374" s="4"/>
      <c r="F1374" s="4"/>
      <c r="G1374" s="4"/>
      <c r="H1374" s="4"/>
    </row>
    <row r="1375">
      <c r="D1375" s="5"/>
      <c r="E1375" s="4"/>
      <c r="F1375" s="4"/>
      <c r="G1375" s="4"/>
      <c r="H1375" s="4"/>
    </row>
    <row r="1376">
      <c r="D1376" s="5"/>
      <c r="E1376" s="4"/>
      <c r="F1376" s="4"/>
      <c r="G1376" s="4"/>
      <c r="H1376" s="4"/>
    </row>
    <row r="1377">
      <c r="D1377" s="5"/>
      <c r="E1377" s="4"/>
      <c r="F1377" s="4"/>
      <c r="G1377" s="4"/>
      <c r="H1377" s="4"/>
    </row>
    <row r="1378">
      <c r="D1378" s="5"/>
      <c r="E1378" s="4"/>
      <c r="F1378" s="4"/>
      <c r="G1378" s="4"/>
      <c r="H1378" s="4"/>
    </row>
    <row r="1379">
      <c r="D1379" s="5"/>
      <c r="E1379" s="4"/>
      <c r="F1379" s="4"/>
      <c r="G1379" s="4"/>
      <c r="H1379" s="4"/>
    </row>
    <row r="1380">
      <c r="D1380" s="5"/>
      <c r="E1380" s="4"/>
      <c r="F1380" s="4"/>
      <c r="G1380" s="4"/>
      <c r="H1380" s="4"/>
    </row>
    <row r="1381">
      <c r="D1381" s="5"/>
      <c r="E1381" s="4"/>
      <c r="F1381" s="4"/>
      <c r="G1381" s="4"/>
      <c r="H1381" s="4"/>
    </row>
    <row r="1382">
      <c r="D1382" s="5"/>
      <c r="E1382" s="4"/>
      <c r="F1382" s="4"/>
      <c r="G1382" s="4"/>
      <c r="H1382" s="4"/>
    </row>
    <row r="1383">
      <c r="D1383" s="5"/>
      <c r="E1383" s="4"/>
      <c r="F1383" s="4"/>
      <c r="G1383" s="4"/>
      <c r="H1383" s="4"/>
    </row>
    <row r="1384">
      <c r="D1384" s="5"/>
      <c r="E1384" s="4"/>
      <c r="F1384" s="4"/>
      <c r="G1384" s="4"/>
      <c r="H1384" s="4"/>
    </row>
    <row r="1385">
      <c r="D1385" s="5"/>
      <c r="E1385" s="4"/>
      <c r="F1385" s="4"/>
      <c r="G1385" s="4"/>
      <c r="H1385" s="4"/>
    </row>
    <row r="1386">
      <c r="D1386" s="5"/>
      <c r="E1386" s="4"/>
      <c r="F1386" s="4"/>
      <c r="G1386" s="4"/>
      <c r="H1386" s="4"/>
    </row>
    <row r="1387">
      <c r="D1387" s="5"/>
      <c r="E1387" s="4"/>
      <c r="F1387" s="4"/>
      <c r="G1387" s="4"/>
      <c r="H1387" s="4"/>
    </row>
    <row r="1388">
      <c r="D1388" s="5"/>
      <c r="E1388" s="4"/>
      <c r="F1388" s="4"/>
      <c r="G1388" s="4"/>
      <c r="H1388" s="4"/>
    </row>
    <row r="1389">
      <c r="D1389" s="5"/>
      <c r="E1389" s="4"/>
      <c r="F1389" s="4"/>
      <c r="G1389" s="4"/>
      <c r="H1389" s="4"/>
    </row>
    <row r="1390">
      <c r="D1390" s="5"/>
      <c r="E1390" s="4"/>
      <c r="F1390" s="4"/>
      <c r="G1390" s="4"/>
      <c r="H1390" s="4"/>
    </row>
    <row r="1391">
      <c r="D1391" s="5"/>
      <c r="E1391" s="4"/>
      <c r="F1391" s="4"/>
      <c r="G1391" s="4"/>
      <c r="H1391" s="4"/>
    </row>
    <row r="1392">
      <c r="D1392" s="5"/>
      <c r="E1392" s="4"/>
      <c r="F1392" s="4"/>
      <c r="G1392" s="4"/>
      <c r="H1392" s="4"/>
    </row>
    <row r="1393">
      <c r="D1393" s="5"/>
      <c r="E1393" s="4"/>
      <c r="F1393" s="4"/>
      <c r="G1393" s="4"/>
      <c r="H1393" s="4"/>
    </row>
    <row r="1394">
      <c r="D1394" s="5"/>
      <c r="E1394" s="4"/>
      <c r="F1394" s="4"/>
      <c r="G1394" s="4"/>
      <c r="H1394" s="4"/>
    </row>
    <row r="1395">
      <c r="D1395" s="5"/>
      <c r="E1395" s="4"/>
      <c r="F1395" s="4"/>
      <c r="G1395" s="4"/>
      <c r="H1395" s="4"/>
    </row>
    <row r="1396">
      <c r="D1396" s="5"/>
      <c r="E1396" s="4"/>
      <c r="F1396" s="4"/>
      <c r="G1396" s="4"/>
      <c r="H1396" s="4"/>
    </row>
    <row r="1397">
      <c r="D1397" s="5"/>
      <c r="E1397" s="4"/>
      <c r="F1397" s="4"/>
      <c r="G1397" s="4"/>
      <c r="H1397" s="4"/>
    </row>
    <row r="1398">
      <c r="D1398" s="5"/>
      <c r="E1398" s="4"/>
      <c r="F1398" s="4"/>
      <c r="G1398" s="4"/>
      <c r="H1398" s="4"/>
    </row>
    <row r="1399">
      <c r="D1399" s="5"/>
      <c r="E1399" s="4"/>
      <c r="F1399" s="4"/>
      <c r="G1399" s="4"/>
      <c r="H1399" s="4"/>
    </row>
    <row r="1400">
      <c r="D1400" s="5"/>
      <c r="E1400" s="4"/>
      <c r="F1400" s="4"/>
      <c r="G1400" s="4"/>
      <c r="H1400" s="4"/>
    </row>
    <row r="1401">
      <c r="D1401" s="5"/>
      <c r="E1401" s="4"/>
      <c r="F1401" s="4"/>
      <c r="G1401" s="4"/>
      <c r="H1401" s="4"/>
    </row>
    <row r="1402">
      <c r="D1402" s="5"/>
      <c r="E1402" s="4"/>
      <c r="F1402" s="4"/>
      <c r="G1402" s="4"/>
      <c r="H1402" s="4"/>
    </row>
    <row r="1403">
      <c r="D1403" s="5"/>
      <c r="E1403" s="4"/>
      <c r="F1403" s="4"/>
      <c r="G1403" s="4"/>
      <c r="H1403" s="4"/>
    </row>
    <row r="1404">
      <c r="D1404" s="5"/>
      <c r="E1404" s="4"/>
      <c r="F1404" s="4"/>
      <c r="G1404" s="4"/>
      <c r="H1404" s="4"/>
    </row>
    <row r="1405">
      <c r="D1405" s="5"/>
      <c r="E1405" s="4"/>
      <c r="F1405" s="4"/>
      <c r="G1405" s="4"/>
      <c r="H1405" s="4"/>
    </row>
    <row r="1406">
      <c r="D1406" s="5"/>
      <c r="E1406" s="4"/>
      <c r="F1406" s="4"/>
      <c r="G1406" s="4"/>
      <c r="H1406" s="4"/>
    </row>
    <row r="1407">
      <c r="D1407" s="5"/>
      <c r="E1407" s="4"/>
      <c r="F1407" s="4"/>
      <c r="G1407" s="4"/>
      <c r="H1407" s="4"/>
    </row>
    <row r="1408">
      <c r="D1408" s="5"/>
      <c r="E1408" s="4"/>
      <c r="F1408" s="4"/>
      <c r="G1408" s="4"/>
      <c r="H1408" s="4"/>
    </row>
    <row r="1409">
      <c r="D1409" s="5"/>
      <c r="E1409" s="4"/>
      <c r="F1409" s="4"/>
      <c r="G1409" s="4"/>
      <c r="H1409" s="4"/>
    </row>
    <row r="1410">
      <c r="D1410" s="5"/>
      <c r="E1410" s="4"/>
      <c r="F1410" s="4"/>
      <c r="G1410" s="4"/>
      <c r="H1410" s="4"/>
    </row>
    <row r="1411">
      <c r="D1411" s="5"/>
      <c r="E1411" s="4"/>
      <c r="F1411" s="4"/>
      <c r="G1411" s="4"/>
      <c r="H1411" s="4"/>
    </row>
    <row r="1412">
      <c r="D1412" s="5"/>
      <c r="E1412" s="4"/>
      <c r="F1412" s="4"/>
      <c r="G1412" s="4"/>
      <c r="H1412" s="4"/>
    </row>
    <row r="1413">
      <c r="D1413" s="5"/>
      <c r="E1413" s="4"/>
      <c r="F1413" s="4"/>
      <c r="G1413" s="4"/>
      <c r="H1413" s="4"/>
    </row>
    <row r="1414">
      <c r="D1414" s="5"/>
      <c r="E1414" s="4"/>
      <c r="F1414" s="4"/>
      <c r="G1414" s="4"/>
      <c r="H1414" s="4"/>
    </row>
    <row r="1415">
      <c r="D1415" s="5"/>
      <c r="E1415" s="4"/>
      <c r="F1415" s="4"/>
      <c r="G1415" s="4"/>
      <c r="H1415" s="4"/>
    </row>
    <row r="1416">
      <c r="D1416" s="5"/>
      <c r="E1416" s="4"/>
      <c r="F1416" s="4"/>
      <c r="G1416" s="4"/>
      <c r="H1416" s="4"/>
    </row>
    <row r="1417">
      <c r="D1417" s="5"/>
      <c r="E1417" s="4"/>
      <c r="F1417" s="4"/>
      <c r="G1417" s="4"/>
      <c r="H1417" s="4"/>
    </row>
    <row r="1418">
      <c r="D1418" s="5"/>
      <c r="E1418" s="4"/>
      <c r="F1418" s="4"/>
      <c r="G1418" s="4"/>
      <c r="H1418" s="4"/>
    </row>
    <row r="1419">
      <c r="D1419" s="5"/>
      <c r="E1419" s="4"/>
      <c r="F1419" s="4"/>
      <c r="G1419" s="4"/>
      <c r="H1419" s="4"/>
    </row>
    <row r="1420">
      <c r="D1420" s="5"/>
      <c r="E1420" s="4"/>
      <c r="F1420" s="4"/>
      <c r="G1420" s="4"/>
      <c r="H1420" s="4"/>
    </row>
    <row r="1421">
      <c r="D1421" s="5"/>
      <c r="E1421" s="4"/>
      <c r="F1421" s="4"/>
      <c r="G1421" s="4"/>
      <c r="H1421" s="4"/>
    </row>
    <row r="1422">
      <c r="D1422" s="5"/>
      <c r="E1422" s="4"/>
      <c r="F1422" s="4"/>
      <c r="G1422" s="4"/>
      <c r="H1422" s="4"/>
    </row>
    <row r="1423">
      <c r="D1423" s="5"/>
      <c r="E1423" s="4"/>
      <c r="F1423" s="4"/>
      <c r="G1423" s="4"/>
      <c r="H1423" s="4"/>
    </row>
    <row r="1424">
      <c r="D1424" s="5"/>
      <c r="E1424" s="4"/>
      <c r="F1424" s="4"/>
      <c r="G1424" s="4"/>
      <c r="H1424" s="4"/>
    </row>
    <row r="1425">
      <c r="D1425" s="5"/>
      <c r="E1425" s="4"/>
      <c r="F1425" s="4"/>
      <c r="G1425" s="4"/>
      <c r="H1425" s="4"/>
    </row>
    <row r="1426">
      <c r="D1426" s="5"/>
      <c r="E1426" s="4"/>
      <c r="F1426" s="4"/>
      <c r="G1426" s="4"/>
      <c r="H1426" s="4"/>
    </row>
    <row r="1427">
      <c r="D1427" s="5"/>
      <c r="E1427" s="4"/>
      <c r="F1427" s="4"/>
      <c r="G1427" s="4"/>
      <c r="H1427" s="4"/>
    </row>
    <row r="1428">
      <c r="D1428" s="5"/>
      <c r="E1428" s="4"/>
      <c r="F1428" s="4"/>
      <c r="G1428" s="4"/>
      <c r="H1428" s="4"/>
    </row>
    <row r="1429">
      <c r="D1429" s="5"/>
      <c r="E1429" s="4"/>
      <c r="F1429" s="4"/>
      <c r="G1429" s="4"/>
      <c r="H1429" s="4"/>
    </row>
    <row r="1430">
      <c r="D1430" s="5"/>
      <c r="E1430" s="4"/>
      <c r="F1430" s="4"/>
      <c r="G1430" s="4"/>
      <c r="H1430" s="4"/>
    </row>
    <row r="1431">
      <c r="D1431" s="5"/>
      <c r="E1431" s="4"/>
      <c r="F1431" s="4"/>
      <c r="G1431" s="4"/>
      <c r="H1431" s="4"/>
    </row>
    <row r="1432">
      <c r="D1432" s="5"/>
      <c r="E1432" s="4"/>
      <c r="F1432" s="4"/>
      <c r="G1432" s="4"/>
      <c r="H1432" s="4"/>
    </row>
    <row r="1433">
      <c r="D1433" s="5"/>
      <c r="E1433" s="4"/>
      <c r="F1433" s="4"/>
      <c r="G1433" s="4"/>
      <c r="H1433" s="4"/>
    </row>
    <row r="1434">
      <c r="D1434" s="5"/>
      <c r="E1434" s="4"/>
      <c r="F1434" s="4"/>
      <c r="G1434" s="4"/>
      <c r="H1434" s="4"/>
    </row>
    <row r="1435">
      <c r="D1435" s="5"/>
      <c r="E1435" s="4"/>
      <c r="F1435" s="4"/>
      <c r="G1435" s="4"/>
      <c r="H1435" s="4"/>
    </row>
    <row r="1436">
      <c r="D1436" s="5"/>
      <c r="E1436" s="4"/>
      <c r="F1436" s="4"/>
      <c r="G1436" s="4"/>
      <c r="H1436" s="4"/>
    </row>
    <row r="1437">
      <c r="D1437" s="5"/>
      <c r="E1437" s="4"/>
      <c r="F1437" s="4"/>
      <c r="G1437" s="4"/>
      <c r="H1437" s="4"/>
    </row>
    <row r="1438">
      <c r="D1438" s="5"/>
      <c r="E1438" s="4"/>
      <c r="F1438" s="4"/>
      <c r="G1438" s="4"/>
      <c r="H1438" s="4"/>
    </row>
    <row r="1439">
      <c r="D1439" s="5"/>
      <c r="E1439" s="4"/>
      <c r="F1439" s="4"/>
      <c r="G1439" s="4"/>
      <c r="H1439" s="4"/>
    </row>
    <row r="1440">
      <c r="D1440" s="5"/>
      <c r="E1440" s="4"/>
      <c r="F1440" s="4"/>
      <c r="G1440" s="4"/>
      <c r="H1440" s="4"/>
    </row>
    <row r="1441">
      <c r="D1441" s="5"/>
      <c r="E1441" s="4"/>
      <c r="F1441" s="4"/>
      <c r="G1441" s="4"/>
      <c r="H1441" s="4"/>
    </row>
    <row r="1442">
      <c r="D1442" s="5"/>
      <c r="E1442" s="4"/>
      <c r="F1442" s="4"/>
      <c r="G1442" s="4"/>
      <c r="H1442" s="4"/>
    </row>
    <row r="1443">
      <c r="D1443" s="5"/>
      <c r="E1443" s="4"/>
      <c r="F1443" s="4"/>
      <c r="G1443" s="4"/>
      <c r="H1443" s="4"/>
    </row>
    <row r="1444">
      <c r="D1444" s="5"/>
      <c r="E1444" s="4"/>
      <c r="F1444" s="4"/>
      <c r="G1444" s="4"/>
      <c r="H1444" s="4"/>
    </row>
    <row r="1445">
      <c r="D1445" s="5"/>
      <c r="E1445" s="4"/>
      <c r="F1445" s="4"/>
      <c r="G1445" s="4"/>
      <c r="H1445" s="4"/>
    </row>
    <row r="1446">
      <c r="D1446" s="5"/>
      <c r="E1446" s="4"/>
      <c r="F1446" s="4"/>
      <c r="G1446" s="4"/>
      <c r="H1446" s="4"/>
    </row>
    <row r="1447">
      <c r="D1447" s="5"/>
      <c r="E1447" s="4"/>
      <c r="F1447" s="4"/>
      <c r="G1447" s="4"/>
      <c r="H1447" s="4"/>
    </row>
    <row r="1448">
      <c r="D1448" s="5"/>
      <c r="E1448" s="4"/>
      <c r="F1448" s="4"/>
      <c r="G1448" s="4"/>
      <c r="H1448" s="4"/>
    </row>
    <row r="1449">
      <c r="D1449" s="5"/>
      <c r="E1449" s="4"/>
      <c r="F1449" s="4"/>
      <c r="G1449" s="4"/>
      <c r="H1449" s="4"/>
    </row>
    <row r="1450">
      <c r="D1450" s="5"/>
      <c r="E1450" s="4"/>
      <c r="F1450" s="4"/>
      <c r="G1450" s="4"/>
      <c r="H1450" s="4"/>
    </row>
    <row r="1451">
      <c r="D1451" s="5"/>
      <c r="E1451" s="4"/>
      <c r="F1451" s="4"/>
      <c r="G1451" s="4"/>
      <c r="H1451" s="4"/>
    </row>
    <row r="1452">
      <c r="D1452" s="5"/>
      <c r="E1452" s="4"/>
      <c r="F1452" s="4"/>
      <c r="G1452" s="4"/>
      <c r="H1452" s="4"/>
    </row>
    <row r="1453">
      <c r="D1453" s="5"/>
      <c r="E1453" s="4"/>
      <c r="F1453" s="4"/>
      <c r="G1453" s="4"/>
      <c r="H1453" s="4"/>
    </row>
    <row r="1454">
      <c r="D1454" s="5"/>
      <c r="E1454" s="4"/>
      <c r="F1454" s="4"/>
      <c r="G1454" s="4"/>
      <c r="H1454" s="4"/>
    </row>
    <row r="1455">
      <c r="D1455" s="5"/>
      <c r="E1455" s="4"/>
      <c r="F1455" s="4"/>
      <c r="G1455" s="4"/>
      <c r="H1455" s="4"/>
    </row>
    <row r="1456">
      <c r="D1456" s="5"/>
      <c r="E1456" s="4"/>
      <c r="F1456" s="4"/>
      <c r="G1456" s="4"/>
      <c r="H1456" s="4"/>
    </row>
    <row r="1457">
      <c r="D1457" s="5"/>
      <c r="E1457" s="4"/>
      <c r="F1457" s="4"/>
      <c r="G1457" s="4"/>
      <c r="H1457" s="4"/>
    </row>
    <row r="1458">
      <c r="D1458" s="5"/>
      <c r="E1458" s="4"/>
      <c r="F1458" s="4"/>
      <c r="G1458" s="4"/>
      <c r="H1458" s="4"/>
    </row>
    <row r="1459">
      <c r="D1459" s="5"/>
      <c r="E1459" s="4"/>
      <c r="F1459" s="4"/>
      <c r="G1459" s="4"/>
      <c r="H1459" s="4"/>
    </row>
    <row r="1460">
      <c r="D1460" s="5"/>
      <c r="E1460" s="4"/>
      <c r="F1460" s="4"/>
      <c r="G1460" s="4"/>
      <c r="H1460" s="4"/>
    </row>
    <row r="1461">
      <c r="D1461" s="5"/>
      <c r="E1461" s="4"/>
      <c r="F1461" s="4"/>
      <c r="G1461" s="4"/>
      <c r="H1461" s="4"/>
    </row>
    <row r="1462">
      <c r="D1462" s="5"/>
      <c r="E1462" s="4"/>
      <c r="F1462" s="4"/>
      <c r="G1462" s="4"/>
      <c r="H1462" s="4"/>
    </row>
    <row r="1463">
      <c r="D1463" s="5"/>
      <c r="E1463" s="4"/>
      <c r="F1463" s="4"/>
      <c r="G1463" s="4"/>
      <c r="H1463" s="4"/>
    </row>
    <row r="1464">
      <c r="D1464" s="5"/>
      <c r="E1464" s="4"/>
      <c r="F1464" s="4"/>
      <c r="G1464" s="4"/>
      <c r="H1464" s="4"/>
    </row>
    <row r="1465">
      <c r="D1465" s="5"/>
      <c r="E1465" s="4"/>
      <c r="F1465" s="4"/>
      <c r="G1465" s="4"/>
      <c r="H1465" s="4"/>
    </row>
    <row r="1466">
      <c r="D1466" s="5"/>
      <c r="E1466" s="4"/>
      <c r="F1466" s="4"/>
      <c r="G1466" s="4"/>
      <c r="H1466" s="4"/>
    </row>
    <row r="1467">
      <c r="D1467" s="5"/>
      <c r="E1467" s="4"/>
      <c r="F1467" s="4"/>
      <c r="G1467" s="4"/>
      <c r="H1467" s="4"/>
    </row>
    <row r="1468">
      <c r="D1468" s="5"/>
      <c r="E1468" s="4"/>
      <c r="F1468" s="4"/>
      <c r="G1468" s="4"/>
      <c r="H1468" s="4"/>
    </row>
    <row r="1469">
      <c r="D1469" s="5"/>
      <c r="E1469" s="4"/>
      <c r="F1469" s="4"/>
      <c r="G1469" s="4"/>
      <c r="H1469" s="4"/>
    </row>
    <row r="1470">
      <c r="D1470" s="5"/>
      <c r="E1470" s="4"/>
      <c r="F1470" s="4"/>
      <c r="G1470" s="4"/>
      <c r="H1470" s="4"/>
    </row>
    <row r="1471">
      <c r="D1471" s="5"/>
      <c r="E1471" s="4"/>
      <c r="F1471" s="4"/>
      <c r="G1471" s="4"/>
      <c r="H1471" s="4"/>
    </row>
    <row r="1472">
      <c r="D1472" s="5"/>
      <c r="E1472" s="4"/>
      <c r="F1472" s="4"/>
      <c r="G1472" s="4"/>
      <c r="H1472" s="4"/>
    </row>
    <row r="1473">
      <c r="D1473" s="5"/>
      <c r="E1473" s="4"/>
      <c r="F1473" s="4"/>
      <c r="G1473" s="4"/>
      <c r="H1473" s="4"/>
    </row>
    <row r="1474">
      <c r="D1474" s="5"/>
      <c r="E1474" s="4"/>
      <c r="F1474" s="4"/>
      <c r="G1474" s="4"/>
      <c r="H1474" s="4"/>
    </row>
    <row r="1475">
      <c r="D1475" s="5"/>
      <c r="E1475" s="4"/>
      <c r="F1475" s="4"/>
      <c r="G1475" s="4"/>
      <c r="H1475" s="4"/>
    </row>
    <row r="1476">
      <c r="D1476" s="5"/>
      <c r="E1476" s="4"/>
      <c r="F1476" s="4"/>
      <c r="G1476" s="4"/>
      <c r="H1476" s="4"/>
    </row>
    <row r="1477">
      <c r="D1477" s="5"/>
      <c r="E1477" s="4"/>
      <c r="F1477" s="4"/>
      <c r="G1477" s="4"/>
      <c r="H1477" s="4"/>
    </row>
    <row r="1478">
      <c r="D1478" s="5"/>
      <c r="E1478" s="4"/>
      <c r="F1478" s="4"/>
      <c r="G1478" s="4"/>
      <c r="H1478" s="4"/>
    </row>
    <row r="1479">
      <c r="D1479" s="5"/>
      <c r="E1479" s="4"/>
      <c r="F1479" s="4"/>
      <c r="G1479" s="4"/>
      <c r="H1479" s="4"/>
    </row>
    <row r="1480">
      <c r="D1480" s="5"/>
      <c r="E1480" s="4"/>
      <c r="F1480" s="4"/>
      <c r="G1480" s="4"/>
      <c r="H1480" s="4"/>
    </row>
    <row r="1481">
      <c r="D1481" s="5"/>
      <c r="E1481" s="4"/>
      <c r="F1481" s="4"/>
      <c r="G1481" s="4"/>
      <c r="H1481" s="4"/>
    </row>
    <row r="1482">
      <c r="D1482" s="5"/>
      <c r="E1482" s="4"/>
      <c r="F1482" s="4"/>
      <c r="G1482" s="4"/>
      <c r="H1482" s="4"/>
    </row>
    <row r="1483">
      <c r="D1483" s="5"/>
      <c r="E1483" s="4"/>
      <c r="F1483" s="4"/>
      <c r="G1483" s="4"/>
      <c r="H1483" s="4"/>
    </row>
    <row r="1484">
      <c r="D1484" s="5"/>
      <c r="E1484" s="4"/>
      <c r="F1484" s="4"/>
      <c r="G1484" s="4"/>
      <c r="H1484" s="4"/>
    </row>
    <row r="1485">
      <c r="D1485" s="5"/>
      <c r="E1485" s="4"/>
      <c r="F1485" s="4"/>
      <c r="G1485" s="4"/>
      <c r="H1485" s="4"/>
    </row>
    <row r="1486">
      <c r="D1486" s="5"/>
      <c r="E1486" s="4"/>
      <c r="F1486" s="4"/>
      <c r="G1486" s="4"/>
      <c r="H1486" s="4"/>
    </row>
    <row r="1487">
      <c r="D1487" s="5"/>
      <c r="E1487" s="4"/>
      <c r="F1487" s="4"/>
      <c r="G1487" s="4"/>
      <c r="H1487" s="4"/>
    </row>
    <row r="1488">
      <c r="D1488" s="5"/>
      <c r="E1488" s="4"/>
      <c r="F1488" s="4"/>
      <c r="G1488" s="4"/>
      <c r="H1488" s="4"/>
    </row>
    <row r="1489">
      <c r="D1489" s="5"/>
      <c r="E1489" s="4"/>
      <c r="F1489" s="4"/>
      <c r="G1489" s="4"/>
      <c r="H1489" s="4"/>
    </row>
    <row r="1490">
      <c r="D1490" s="5"/>
      <c r="E1490" s="4"/>
      <c r="F1490" s="4"/>
      <c r="G1490" s="4"/>
      <c r="H1490" s="4"/>
    </row>
    <row r="1491">
      <c r="D1491" s="5"/>
      <c r="E1491" s="4"/>
      <c r="F1491" s="4"/>
      <c r="G1491" s="4"/>
      <c r="H1491" s="4"/>
    </row>
    <row r="1492">
      <c r="D1492" s="5"/>
      <c r="E1492" s="4"/>
      <c r="F1492" s="4"/>
      <c r="G1492" s="4"/>
      <c r="H1492" s="4"/>
    </row>
    <row r="1493">
      <c r="D1493" s="5"/>
      <c r="E1493" s="4"/>
      <c r="F1493" s="4"/>
      <c r="G1493" s="4"/>
      <c r="H1493" s="4"/>
    </row>
    <row r="1494">
      <c r="D1494" s="5"/>
      <c r="E1494" s="4"/>
      <c r="F1494" s="4"/>
      <c r="G1494" s="4"/>
      <c r="H1494" s="4"/>
    </row>
    <row r="1495">
      <c r="D1495" s="5"/>
      <c r="E1495" s="4"/>
      <c r="F1495" s="4"/>
      <c r="G1495" s="4"/>
      <c r="H1495" s="4"/>
    </row>
    <row r="1496">
      <c r="D1496" s="5"/>
      <c r="E1496" s="4"/>
      <c r="F1496" s="4"/>
      <c r="G1496" s="4"/>
      <c r="H1496" s="4"/>
    </row>
    <row r="1497">
      <c r="D1497" s="5"/>
      <c r="E1497" s="4"/>
      <c r="F1497" s="4"/>
      <c r="G1497" s="4"/>
      <c r="H1497" s="4"/>
    </row>
    <row r="1498">
      <c r="D1498" s="5"/>
      <c r="E1498" s="4"/>
      <c r="F1498" s="4"/>
      <c r="G1498" s="4"/>
      <c r="H1498" s="4"/>
    </row>
    <row r="1499">
      <c r="D1499" s="5"/>
      <c r="E1499" s="4"/>
      <c r="F1499" s="4"/>
      <c r="G1499" s="4"/>
      <c r="H1499" s="4"/>
    </row>
    <row r="1500">
      <c r="D1500" s="5"/>
      <c r="E1500" s="4"/>
      <c r="F1500" s="4"/>
      <c r="G1500" s="4"/>
      <c r="H1500" s="4"/>
    </row>
    <row r="1501">
      <c r="D1501" s="5"/>
      <c r="E1501" s="4"/>
      <c r="F1501" s="4"/>
      <c r="G1501" s="4"/>
      <c r="H1501" s="4"/>
    </row>
    <row r="1502">
      <c r="D1502" s="5"/>
      <c r="E1502" s="4"/>
      <c r="F1502" s="4"/>
      <c r="G1502" s="4"/>
      <c r="H1502" s="4"/>
    </row>
    <row r="1503">
      <c r="D1503" s="5"/>
      <c r="E1503" s="4"/>
      <c r="F1503" s="4"/>
      <c r="G1503" s="4"/>
      <c r="H1503" s="4"/>
    </row>
    <row r="1504">
      <c r="D1504" s="5"/>
      <c r="E1504" s="4"/>
      <c r="F1504" s="4"/>
      <c r="G1504" s="4"/>
      <c r="H1504" s="4"/>
    </row>
    <row r="1505">
      <c r="D1505" s="5"/>
      <c r="E1505" s="4"/>
      <c r="F1505" s="4"/>
      <c r="G1505" s="4"/>
      <c r="H1505" s="4"/>
    </row>
    <row r="1506">
      <c r="D1506" s="5"/>
      <c r="E1506" s="4"/>
      <c r="F1506" s="4"/>
      <c r="G1506" s="4"/>
      <c r="H1506" s="4"/>
    </row>
    <row r="1507">
      <c r="D1507" s="5"/>
      <c r="E1507" s="4"/>
      <c r="F1507" s="4"/>
      <c r="G1507" s="4"/>
      <c r="H1507" s="4"/>
    </row>
    <row r="1508">
      <c r="D1508" s="5"/>
      <c r="E1508" s="4"/>
      <c r="F1508" s="4"/>
      <c r="G1508" s="4"/>
      <c r="H1508" s="4"/>
    </row>
    <row r="1509">
      <c r="D1509" s="5"/>
      <c r="E1509" s="4"/>
      <c r="F1509" s="4"/>
      <c r="G1509" s="4"/>
      <c r="H1509" s="4"/>
    </row>
    <row r="1510">
      <c r="D1510" s="5"/>
      <c r="E1510" s="4"/>
      <c r="F1510" s="4"/>
      <c r="G1510" s="4"/>
      <c r="H1510" s="4"/>
    </row>
    <row r="1511">
      <c r="D1511" s="5"/>
      <c r="E1511" s="4"/>
      <c r="F1511" s="4"/>
      <c r="G1511" s="4"/>
      <c r="H1511" s="4"/>
    </row>
    <row r="1512">
      <c r="D1512" s="5"/>
      <c r="E1512" s="4"/>
      <c r="F1512" s="4"/>
      <c r="G1512" s="4"/>
      <c r="H1512" s="4"/>
    </row>
    <row r="1513">
      <c r="D1513" s="5"/>
      <c r="E1513" s="4"/>
      <c r="F1513" s="4"/>
      <c r="G1513" s="4"/>
      <c r="H1513" s="4"/>
    </row>
    <row r="1514">
      <c r="D1514" s="5"/>
      <c r="E1514" s="4"/>
      <c r="F1514" s="4"/>
      <c r="G1514" s="4"/>
      <c r="H1514" s="4"/>
    </row>
    <row r="1515">
      <c r="D1515" s="5"/>
      <c r="E1515" s="4"/>
      <c r="F1515" s="4"/>
      <c r="G1515" s="4"/>
      <c r="H1515" s="4"/>
    </row>
    <row r="1516">
      <c r="D1516" s="5"/>
      <c r="E1516" s="4"/>
      <c r="F1516" s="4"/>
      <c r="G1516" s="4"/>
      <c r="H1516" s="4"/>
    </row>
    <row r="1517">
      <c r="D1517" s="5"/>
      <c r="E1517" s="4"/>
      <c r="F1517" s="4"/>
      <c r="G1517" s="4"/>
      <c r="H1517" s="4"/>
    </row>
    <row r="1518">
      <c r="D1518" s="5"/>
      <c r="E1518" s="4"/>
      <c r="F1518" s="4"/>
      <c r="G1518" s="4"/>
      <c r="H1518" s="4"/>
    </row>
    <row r="1519">
      <c r="D1519" s="5"/>
      <c r="E1519" s="4"/>
      <c r="F1519" s="4"/>
      <c r="G1519" s="4"/>
      <c r="H1519" s="4"/>
    </row>
    <row r="1520">
      <c r="D1520" s="5"/>
      <c r="E1520" s="4"/>
      <c r="F1520" s="4"/>
      <c r="G1520" s="4"/>
      <c r="H1520" s="4"/>
    </row>
    <row r="1521">
      <c r="D1521" s="5"/>
      <c r="E1521" s="4"/>
      <c r="F1521" s="4"/>
      <c r="G1521" s="4"/>
      <c r="H1521" s="4"/>
    </row>
    <row r="1522">
      <c r="D1522" s="5"/>
      <c r="E1522" s="4"/>
      <c r="F1522" s="4"/>
      <c r="G1522" s="4"/>
      <c r="H1522" s="4"/>
    </row>
    <row r="1523">
      <c r="D1523" s="5"/>
      <c r="E1523" s="4"/>
      <c r="F1523" s="4"/>
      <c r="G1523" s="4"/>
      <c r="H1523" s="4"/>
    </row>
    <row r="1524">
      <c r="D1524" s="5"/>
      <c r="E1524" s="4"/>
      <c r="F1524" s="4"/>
      <c r="G1524" s="4"/>
      <c r="H1524" s="4"/>
    </row>
    <row r="1525">
      <c r="D1525" s="5"/>
      <c r="E1525" s="4"/>
      <c r="F1525" s="4"/>
      <c r="G1525" s="4"/>
      <c r="H1525" s="4"/>
    </row>
    <row r="1526">
      <c r="D1526" s="5"/>
      <c r="E1526" s="4"/>
      <c r="F1526" s="4"/>
      <c r="G1526" s="4"/>
      <c r="H1526" s="4"/>
    </row>
    <row r="1527">
      <c r="D1527" s="5"/>
      <c r="E1527" s="4"/>
      <c r="F1527" s="4"/>
      <c r="G1527" s="4"/>
      <c r="H1527" s="4"/>
    </row>
    <row r="1528">
      <c r="D1528" s="5"/>
      <c r="E1528" s="4"/>
      <c r="F1528" s="4"/>
      <c r="G1528" s="4"/>
      <c r="H1528" s="4"/>
    </row>
    <row r="1529">
      <c r="D1529" s="5"/>
      <c r="E1529" s="4"/>
      <c r="F1529" s="4"/>
      <c r="G1529" s="4"/>
      <c r="H1529" s="4"/>
    </row>
    <row r="1530">
      <c r="D1530" s="5"/>
      <c r="E1530" s="4"/>
      <c r="F1530" s="4"/>
      <c r="G1530" s="4"/>
      <c r="H1530" s="4"/>
    </row>
    <row r="1531">
      <c r="D1531" s="5"/>
      <c r="E1531" s="4"/>
      <c r="F1531" s="4"/>
      <c r="G1531" s="4"/>
      <c r="H1531" s="4"/>
    </row>
    <row r="1532">
      <c r="D1532" s="5"/>
      <c r="E1532" s="4"/>
      <c r="F1532" s="4"/>
      <c r="G1532" s="4"/>
      <c r="H1532" s="4"/>
    </row>
    <row r="1533">
      <c r="D1533" s="5"/>
      <c r="E1533" s="4"/>
      <c r="F1533" s="4"/>
      <c r="G1533" s="4"/>
      <c r="H1533" s="4"/>
    </row>
    <row r="1534">
      <c r="D1534" s="5"/>
      <c r="E1534" s="4"/>
      <c r="F1534" s="4"/>
      <c r="G1534" s="4"/>
      <c r="H1534" s="4"/>
    </row>
    <row r="1535">
      <c r="D1535" s="5"/>
      <c r="E1535" s="4"/>
      <c r="F1535" s="4"/>
      <c r="G1535" s="4"/>
      <c r="H1535" s="4"/>
    </row>
    <row r="1536">
      <c r="D1536" s="5"/>
      <c r="E1536" s="4"/>
      <c r="F1536" s="4"/>
      <c r="G1536" s="4"/>
      <c r="H1536" s="4"/>
    </row>
    <row r="1537">
      <c r="D1537" s="5"/>
      <c r="E1537" s="4"/>
      <c r="F1537" s="4"/>
      <c r="G1537" s="4"/>
      <c r="H1537" s="4"/>
    </row>
    <row r="1538">
      <c r="D1538" s="5"/>
      <c r="E1538" s="4"/>
      <c r="F1538" s="4"/>
      <c r="G1538" s="4"/>
      <c r="H1538" s="4"/>
    </row>
    <row r="1539">
      <c r="D1539" s="5"/>
      <c r="E1539" s="4"/>
      <c r="F1539" s="4"/>
      <c r="G1539" s="4"/>
      <c r="H1539" s="4"/>
    </row>
    <row r="1540">
      <c r="D1540" s="5"/>
      <c r="E1540" s="4"/>
      <c r="F1540" s="4"/>
      <c r="G1540" s="4"/>
      <c r="H1540" s="4"/>
    </row>
    <row r="1541">
      <c r="D1541" s="5"/>
      <c r="E1541" s="4"/>
      <c r="F1541" s="4"/>
      <c r="G1541" s="4"/>
      <c r="H1541" s="4"/>
    </row>
    <row r="1542">
      <c r="D1542" s="5"/>
      <c r="E1542" s="4"/>
      <c r="F1542" s="4"/>
      <c r="G1542" s="4"/>
      <c r="H1542" s="4"/>
    </row>
    <row r="1543">
      <c r="D1543" s="5"/>
      <c r="E1543" s="4"/>
      <c r="F1543" s="4"/>
      <c r="G1543" s="4"/>
      <c r="H1543" s="4"/>
    </row>
    <row r="1544">
      <c r="D1544" s="5"/>
      <c r="E1544" s="4"/>
      <c r="F1544" s="4"/>
      <c r="G1544" s="4"/>
      <c r="H1544" s="4"/>
    </row>
    <row r="1545">
      <c r="D1545" s="5"/>
      <c r="E1545" s="4"/>
      <c r="F1545" s="4"/>
      <c r="G1545" s="4"/>
      <c r="H1545" s="4"/>
    </row>
    <row r="1546">
      <c r="D1546" s="5"/>
      <c r="E1546" s="4"/>
      <c r="F1546" s="4"/>
      <c r="G1546" s="4"/>
      <c r="H1546" s="4"/>
    </row>
    <row r="1547">
      <c r="D1547" s="5"/>
      <c r="E1547" s="4"/>
      <c r="F1547" s="4"/>
      <c r="G1547" s="4"/>
      <c r="H1547" s="4"/>
    </row>
    <row r="1548">
      <c r="D1548" s="5"/>
      <c r="E1548" s="4"/>
      <c r="F1548" s="4"/>
      <c r="G1548" s="4"/>
      <c r="H1548" s="4"/>
    </row>
    <row r="1549">
      <c r="D1549" s="5"/>
      <c r="E1549" s="4"/>
      <c r="F1549" s="4"/>
      <c r="G1549" s="4"/>
      <c r="H1549" s="4"/>
    </row>
    <row r="1550">
      <c r="D1550" s="5"/>
      <c r="E1550" s="4"/>
      <c r="F1550" s="4"/>
      <c r="G1550" s="4"/>
      <c r="H1550" s="4"/>
    </row>
    <row r="1551">
      <c r="D1551" s="5"/>
      <c r="E1551" s="4"/>
      <c r="F1551" s="4"/>
      <c r="G1551" s="4"/>
      <c r="H1551" s="4"/>
    </row>
    <row r="1552">
      <c r="D1552" s="5"/>
      <c r="E1552" s="4"/>
      <c r="F1552" s="4"/>
      <c r="G1552" s="4"/>
      <c r="H1552" s="4"/>
    </row>
    <row r="1553">
      <c r="D1553" s="5"/>
      <c r="E1553" s="4"/>
      <c r="F1553" s="4"/>
      <c r="G1553" s="4"/>
      <c r="H1553" s="4"/>
    </row>
    <row r="1554">
      <c r="D1554" s="5"/>
      <c r="E1554" s="4"/>
      <c r="F1554" s="4"/>
      <c r="G1554" s="4"/>
      <c r="H1554" s="4"/>
    </row>
    <row r="1555">
      <c r="D1555" s="5"/>
      <c r="E1555" s="4"/>
      <c r="F1555" s="4"/>
      <c r="G1555" s="4"/>
      <c r="H1555" s="4"/>
    </row>
    <row r="1556">
      <c r="D1556" s="5"/>
      <c r="E1556" s="4"/>
      <c r="F1556" s="4"/>
      <c r="G1556" s="4"/>
      <c r="H1556" s="4"/>
    </row>
    <row r="1557">
      <c r="D1557" s="5"/>
      <c r="E1557" s="4"/>
      <c r="F1557" s="4"/>
      <c r="G1557" s="4"/>
      <c r="H1557" s="4"/>
    </row>
    <row r="1558">
      <c r="D1558" s="5"/>
      <c r="E1558" s="4"/>
      <c r="F1558" s="4"/>
      <c r="G1558" s="4"/>
      <c r="H1558" s="4"/>
    </row>
    <row r="1559">
      <c r="D1559" s="5"/>
      <c r="E1559" s="4"/>
      <c r="F1559" s="4"/>
      <c r="G1559" s="4"/>
      <c r="H1559" s="4"/>
    </row>
    <row r="1560">
      <c r="D1560" s="5"/>
      <c r="E1560" s="4"/>
      <c r="F1560" s="4"/>
      <c r="G1560" s="4"/>
      <c r="H1560" s="4"/>
    </row>
    <row r="1561">
      <c r="D1561" s="5"/>
      <c r="E1561" s="4"/>
      <c r="F1561" s="4"/>
      <c r="G1561" s="4"/>
      <c r="H1561" s="4"/>
    </row>
    <row r="1562">
      <c r="D1562" s="5"/>
      <c r="E1562" s="4"/>
      <c r="F1562" s="4"/>
      <c r="G1562" s="4"/>
      <c r="H1562" s="4"/>
    </row>
    <row r="1563">
      <c r="D1563" s="5"/>
      <c r="E1563" s="4"/>
      <c r="F1563" s="4"/>
      <c r="G1563" s="4"/>
      <c r="H1563" s="4"/>
    </row>
    <row r="1564">
      <c r="D1564" s="5"/>
      <c r="E1564" s="4"/>
      <c r="F1564" s="4"/>
      <c r="G1564" s="4"/>
      <c r="H1564" s="4"/>
    </row>
    <row r="1565">
      <c r="D1565" s="5"/>
      <c r="E1565" s="4"/>
      <c r="F1565" s="4"/>
      <c r="G1565" s="4"/>
      <c r="H1565" s="4"/>
    </row>
    <row r="1566">
      <c r="D1566" s="5"/>
      <c r="E1566" s="4"/>
      <c r="F1566" s="4"/>
      <c r="G1566" s="4"/>
      <c r="H1566" s="4"/>
    </row>
    <row r="1567">
      <c r="D1567" s="5"/>
      <c r="E1567" s="4"/>
      <c r="F1567" s="4"/>
      <c r="G1567" s="4"/>
      <c r="H1567" s="4"/>
    </row>
    <row r="1568">
      <c r="D1568" s="5"/>
      <c r="E1568" s="4"/>
      <c r="F1568" s="4"/>
      <c r="G1568" s="4"/>
      <c r="H1568" s="4"/>
    </row>
    <row r="1569">
      <c r="D1569" s="5"/>
      <c r="E1569" s="4"/>
      <c r="F1569" s="4"/>
      <c r="G1569" s="4"/>
      <c r="H1569" s="4"/>
    </row>
    <row r="1570">
      <c r="D1570" s="5"/>
      <c r="E1570" s="4"/>
      <c r="F1570" s="4"/>
      <c r="G1570" s="4"/>
      <c r="H1570" s="4"/>
    </row>
    <row r="1571">
      <c r="D1571" s="5"/>
      <c r="E1571" s="4"/>
      <c r="F1571" s="4"/>
      <c r="G1571" s="4"/>
      <c r="H1571" s="4"/>
    </row>
    <row r="1572">
      <c r="D1572" s="5"/>
      <c r="E1572" s="4"/>
      <c r="F1572" s="4"/>
      <c r="G1572" s="4"/>
      <c r="H1572" s="4"/>
    </row>
    <row r="1573">
      <c r="D1573" s="5"/>
      <c r="E1573" s="4"/>
      <c r="F1573" s="4"/>
      <c r="G1573" s="4"/>
      <c r="H1573" s="4"/>
    </row>
    <row r="1574">
      <c r="D1574" s="5"/>
      <c r="E1574" s="4"/>
      <c r="F1574" s="4"/>
      <c r="G1574" s="4"/>
      <c r="H1574" s="4"/>
    </row>
    <row r="1575">
      <c r="D1575" s="5"/>
      <c r="E1575" s="4"/>
      <c r="F1575" s="4"/>
      <c r="G1575" s="4"/>
      <c r="H1575" s="4"/>
    </row>
    <row r="1576">
      <c r="D1576" s="5"/>
      <c r="E1576" s="4"/>
      <c r="F1576" s="4"/>
      <c r="G1576" s="4"/>
      <c r="H1576" s="4"/>
    </row>
    <row r="1577">
      <c r="D1577" s="5"/>
      <c r="E1577" s="4"/>
      <c r="F1577" s="4"/>
      <c r="G1577" s="4"/>
      <c r="H1577" s="4"/>
    </row>
    <row r="1578">
      <c r="D1578" s="5"/>
      <c r="E1578" s="4"/>
      <c r="F1578" s="4"/>
      <c r="G1578" s="4"/>
      <c r="H1578" s="4"/>
    </row>
    <row r="1579">
      <c r="D1579" s="5"/>
      <c r="E1579" s="4"/>
      <c r="F1579" s="4"/>
      <c r="G1579" s="4"/>
      <c r="H1579" s="4"/>
    </row>
    <row r="1580">
      <c r="D1580" s="5"/>
      <c r="E1580" s="4"/>
      <c r="F1580" s="4"/>
      <c r="G1580" s="4"/>
      <c r="H1580" s="4"/>
    </row>
    <row r="1581">
      <c r="D1581" s="5"/>
      <c r="E1581" s="4"/>
      <c r="F1581" s="4"/>
      <c r="G1581" s="4"/>
      <c r="H1581" s="4"/>
    </row>
    <row r="1582">
      <c r="D1582" s="5"/>
      <c r="E1582" s="4"/>
      <c r="F1582" s="4"/>
      <c r="G1582" s="4"/>
      <c r="H1582" s="4"/>
    </row>
    <row r="1583">
      <c r="D1583" s="5"/>
      <c r="E1583" s="4"/>
      <c r="F1583" s="4"/>
      <c r="G1583" s="4"/>
      <c r="H1583" s="4"/>
    </row>
    <row r="1584">
      <c r="D1584" s="5"/>
      <c r="E1584" s="4"/>
      <c r="F1584" s="4"/>
      <c r="G1584" s="4"/>
      <c r="H1584" s="4"/>
    </row>
    <row r="1585">
      <c r="D1585" s="5"/>
      <c r="E1585" s="4"/>
      <c r="F1585" s="4"/>
      <c r="G1585" s="4"/>
      <c r="H1585" s="4"/>
    </row>
    <row r="1586">
      <c r="D1586" s="5"/>
      <c r="E1586" s="4"/>
      <c r="F1586" s="4"/>
      <c r="G1586" s="4"/>
      <c r="H1586" s="4"/>
    </row>
    <row r="1587">
      <c r="D1587" s="5"/>
      <c r="E1587" s="4"/>
      <c r="F1587" s="4"/>
      <c r="G1587" s="4"/>
      <c r="H1587" s="4"/>
    </row>
    <row r="1588">
      <c r="D1588" s="5"/>
      <c r="E1588" s="4"/>
      <c r="F1588" s="4"/>
      <c r="G1588" s="4"/>
      <c r="H1588" s="4"/>
    </row>
    <row r="1589">
      <c r="D1589" s="5"/>
      <c r="E1589" s="4"/>
      <c r="F1589" s="4"/>
      <c r="G1589" s="4"/>
      <c r="H1589" s="4"/>
    </row>
    <row r="1590">
      <c r="D1590" s="5"/>
      <c r="E1590" s="4"/>
      <c r="F1590" s="4"/>
      <c r="G1590" s="4"/>
      <c r="H1590" s="4"/>
    </row>
    <row r="1591">
      <c r="D1591" s="5"/>
      <c r="E1591" s="4"/>
      <c r="F1591" s="4"/>
      <c r="G1591" s="4"/>
      <c r="H1591" s="4"/>
    </row>
    <row r="1592">
      <c r="D1592" s="5"/>
      <c r="E1592" s="4"/>
      <c r="F1592" s="4"/>
      <c r="G1592" s="4"/>
      <c r="H1592" s="4"/>
    </row>
    <row r="1593">
      <c r="D1593" s="5"/>
      <c r="E1593" s="4"/>
      <c r="F1593" s="4"/>
      <c r="G1593" s="4"/>
      <c r="H1593" s="4"/>
    </row>
    <row r="1594">
      <c r="D1594" s="5"/>
      <c r="E1594" s="4"/>
      <c r="F1594" s="4"/>
      <c r="G1594" s="4"/>
      <c r="H1594" s="4"/>
    </row>
    <row r="1595">
      <c r="D1595" s="5"/>
      <c r="E1595" s="4"/>
      <c r="F1595" s="4"/>
      <c r="G1595" s="4"/>
      <c r="H1595" s="4"/>
    </row>
    <row r="1596">
      <c r="D1596" s="5"/>
      <c r="E1596" s="4"/>
      <c r="F1596" s="4"/>
      <c r="G1596" s="4"/>
      <c r="H1596" s="4"/>
    </row>
    <row r="1597">
      <c r="D1597" s="5"/>
      <c r="E1597" s="4"/>
      <c r="F1597" s="4"/>
      <c r="G1597" s="4"/>
      <c r="H1597" s="4"/>
    </row>
    <row r="1598">
      <c r="D1598" s="5"/>
      <c r="E1598" s="4"/>
      <c r="F1598" s="4"/>
      <c r="G1598" s="4"/>
      <c r="H1598" s="4"/>
    </row>
    <row r="1599">
      <c r="D1599" s="5"/>
      <c r="E1599" s="4"/>
      <c r="F1599" s="4"/>
      <c r="G1599" s="4"/>
      <c r="H1599" s="4"/>
    </row>
    <row r="1600">
      <c r="D1600" s="5"/>
      <c r="E1600" s="4"/>
      <c r="F1600" s="4"/>
      <c r="G1600" s="4"/>
      <c r="H1600" s="4"/>
    </row>
    <row r="1601">
      <c r="D1601" s="5"/>
      <c r="E1601" s="4"/>
      <c r="F1601" s="4"/>
      <c r="G1601" s="4"/>
      <c r="H1601" s="4"/>
    </row>
    <row r="1602">
      <c r="D1602" s="5"/>
      <c r="E1602" s="4"/>
      <c r="F1602" s="4"/>
      <c r="G1602" s="4"/>
      <c r="H1602" s="4"/>
    </row>
    <row r="1603">
      <c r="D1603" s="5"/>
      <c r="E1603" s="4"/>
      <c r="F1603" s="4"/>
      <c r="G1603" s="4"/>
      <c r="H1603" s="4"/>
    </row>
    <row r="1604">
      <c r="D1604" s="5"/>
      <c r="E1604" s="4"/>
      <c r="F1604" s="4"/>
      <c r="G1604" s="4"/>
      <c r="H1604" s="4"/>
    </row>
    <row r="1605">
      <c r="D1605" s="5"/>
      <c r="E1605" s="4"/>
      <c r="F1605" s="4"/>
      <c r="G1605" s="4"/>
      <c r="H1605" s="4"/>
    </row>
    <row r="1606">
      <c r="D1606" s="5"/>
      <c r="E1606" s="4"/>
      <c r="F1606" s="4"/>
      <c r="G1606" s="4"/>
      <c r="H1606" s="4"/>
    </row>
    <row r="1607">
      <c r="D1607" s="5"/>
      <c r="E1607" s="4"/>
      <c r="F1607" s="4"/>
      <c r="G1607" s="4"/>
      <c r="H1607" s="4"/>
    </row>
    <row r="1608">
      <c r="D1608" s="5"/>
      <c r="E1608" s="4"/>
      <c r="F1608" s="4"/>
      <c r="G1608" s="4"/>
      <c r="H1608" s="4"/>
    </row>
    <row r="1609">
      <c r="D1609" s="5"/>
      <c r="E1609" s="4"/>
      <c r="F1609" s="4"/>
      <c r="G1609" s="4"/>
      <c r="H1609" s="4"/>
    </row>
    <row r="1610">
      <c r="D1610" s="5"/>
      <c r="E1610" s="4"/>
      <c r="F1610" s="4"/>
      <c r="G1610" s="4"/>
      <c r="H1610" s="4"/>
    </row>
    <row r="1611">
      <c r="D1611" s="5"/>
      <c r="E1611" s="4"/>
      <c r="F1611" s="4"/>
      <c r="G1611" s="4"/>
      <c r="H1611" s="4"/>
    </row>
    <row r="1612">
      <c r="D1612" s="5"/>
      <c r="E1612" s="4"/>
      <c r="F1612" s="4"/>
      <c r="G1612" s="4"/>
      <c r="H1612" s="4"/>
    </row>
    <row r="1613">
      <c r="D1613" s="5"/>
      <c r="E1613" s="4"/>
      <c r="F1613" s="4"/>
      <c r="G1613" s="4"/>
      <c r="H1613" s="4"/>
    </row>
    <row r="1614">
      <c r="D1614" s="5"/>
      <c r="E1614" s="4"/>
      <c r="F1614" s="4"/>
      <c r="G1614" s="4"/>
      <c r="H1614" s="4"/>
    </row>
    <row r="1615">
      <c r="D1615" s="5"/>
      <c r="E1615" s="4"/>
      <c r="F1615" s="4"/>
      <c r="G1615" s="4"/>
      <c r="H1615" s="4"/>
    </row>
    <row r="1616">
      <c r="D1616" s="5"/>
      <c r="E1616" s="4"/>
      <c r="F1616" s="4"/>
      <c r="G1616" s="4"/>
      <c r="H1616" s="4"/>
    </row>
    <row r="1617">
      <c r="D1617" s="5"/>
      <c r="E1617" s="4"/>
      <c r="F1617" s="4"/>
      <c r="G1617" s="4"/>
      <c r="H1617" s="4"/>
    </row>
    <row r="1618">
      <c r="D1618" s="5"/>
      <c r="E1618" s="4"/>
      <c r="F1618" s="4"/>
      <c r="G1618" s="4"/>
      <c r="H1618" s="4"/>
    </row>
    <row r="1619">
      <c r="D1619" s="5"/>
      <c r="E1619" s="4"/>
      <c r="F1619" s="4"/>
      <c r="G1619" s="4"/>
      <c r="H1619" s="4"/>
    </row>
    <row r="1620">
      <c r="D1620" s="5"/>
      <c r="E1620" s="4"/>
      <c r="F1620" s="4"/>
      <c r="G1620" s="4"/>
      <c r="H1620" s="4"/>
    </row>
    <row r="1621">
      <c r="D1621" s="5"/>
      <c r="E1621" s="4"/>
      <c r="F1621" s="4"/>
      <c r="G1621" s="4"/>
      <c r="H1621" s="4"/>
    </row>
    <row r="1622">
      <c r="D1622" s="5"/>
      <c r="E1622" s="4"/>
      <c r="F1622" s="4"/>
      <c r="G1622" s="4"/>
      <c r="H1622" s="4"/>
    </row>
    <row r="1623">
      <c r="D1623" s="5"/>
      <c r="E1623" s="4"/>
      <c r="F1623" s="4"/>
      <c r="G1623" s="4"/>
      <c r="H1623" s="4"/>
    </row>
    <row r="1624">
      <c r="D1624" s="5"/>
      <c r="E1624" s="4"/>
      <c r="F1624" s="4"/>
      <c r="G1624" s="4"/>
      <c r="H1624" s="4"/>
    </row>
    <row r="1625">
      <c r="D1625" s="5"/>
      <c r="E1625" s="4"/>
      <c r="F1625" s="4"/>
      <c r="G1625" s="4"/>
      <c r="H1625" s="4"/>
    </row>
    <row r="1626">
      <c r="D1626" s="5"/>
      <c r="E1626" s="4"/>
      <c r="F1626" s="4"/>
      <c r="G1626" s="4"/>
      <c r="H1626" s="4"/>
    </row>
    <row r="1627">
      <c r="D1627" s="5"/>
      <c r="E1627" s="4"/>
      <c r="F1627" s="4"/>
      <c r="G1627" s="4"/>
      <c r="H1627" s="4"/>
    </row>
    <row r="1628">
      <c r="D1628" s="5"/>
      <c r="E1628" s="4"/>
      <c r="F1628" s="4"/>
      <c r="G1628" s="4"/>
      <c r="H1628" s="4"/>
    </row>
    <row r="1629">
      <c r="D1629" s="5"/>
      <c r="E1629" s="4"/>
      <c r="F1629" s="4"/>
      <c r="G1629" s="4"/>
      <c r="H1629" s="4"/>
    </row>
    <row r="1630">
      <c r="D1630" s="5"/>
      <c r="E1630" s="4"/>
      <c r="F1630" s="4"/>
      <c r="G1630" s="4"/>
      <c r="H1630" s="4"/>
    </row>
    <row r="1631">
      <c r="D1631" s="5"/>
      <c r="E1631" s="4"/>
      <c r="F1631" s="4"/>
      <c r="G1631" s="4"/>
      <c r="H1631" s="4"/>
    </row>
    <row r="1632">
      <c r="D1632" s="5"/>
      <c r="E1632" s="4"/>
      <c r="F1632" s="4"/>
      <c r="G1632" s="4"/>
      <c r="H1632" s="4"/>
    </row>
    <row r="1633">
      <c r="D1633" s="5"/>
      <c r="E1633" s="4"/>
      <c r="F1633" s="4"/>
      <c r="G1633" s="4"/>
      <c r="H1633" s="4"/>
    </row>
    <row r="1634">
      <c r="D1634" s="5"/>
      <c r="E1634" s="4"/>
      <c r="F1634" s="4"/>
      <c r="G1634" s="4"/>
      <c r="H1634" s="4"/>
    </row>
    <row r="1635">
      <c r="D1635" s="5"/>
      <c r="E1635" s="4"/>
      <c r="F1635" s="4"/>
      <c r="G1635" s="4"/>
      <c r="H1635" s="4"/>
    </row>
    <row r="1636">
      <c r="D1636" s="5"/>
      <c r="E1636" s="4"/>
      <c r="F1636" s="4"/>
      <c r="G1636" s="4"/>
      <c r="H1636" s="4"/>
    </row>
    <row r="1637">
      <c r="D1637" s="5"/>
      <c r="E1637" s="4"/>
      <c r="F1637" s="4"/>
      <c r="G1637" s="4"/>
      <c r="H1637" s="4"/>
    </row>
    <row r="1638">
      <c r="D1638" s="5"/>
      <c r="E1638" s="4"/>
      <c r="F1638" s="4"/>
      <c r="G1638" s="4"/>
      <c r="H1638" s="4"/>
    </row>
    <row r="1639">
      <c r="D1639" s="5"/>
      <c r="E1639" s="4"/>
      <c r="F1639" s="4"/>
      <c r="G1639" s="4"/>
      <c r="H1639" s="4"/>
    </row>
    <row r="1640">
      <c r="D1640" s="5"/>
      <c r="E1640" s="4"/>
      <c r="F1640" s="4"/>
      <c r="G1640" s="4"/>
      <c r="H1640" s="4"/>
    </row>
    <row r="1641">
      <c r="D1641" s="5"/>
      <c r="E1641" s="4"/>
      <c r="F1641" s="4"/>
      <c r="G1641" s="4"/>
      <c r="H1641" s="4"/>
    </row>
    <row r="1642">
      <c r="D1642" s="5"/>
      <c r="E1642" s="4"/>
      <c r="F1642" s="4"/>
      <c r="G1642" s="4"/>
      <c r="H1642" s="4"/>
    </row>
    <row r="1643">
      <c r="D1643" s="5"/>
      <c r="E1643" s="4"/>
      <c r="F1643" s="4"/>
      <c r="G1643" s="4"/>
      <c r="H1643" s="4"/>
    </row>
    <row r="1644">
      <c r="D1644" s="5"/>
      <c r="E1644" s="4"/>
      <c r="F1644" s="4"/>
      <c r="G1644" s="4"/>
      <c r="H1644" s="4"/>
    </row>
    <row r="1645">
      <c r="D1645" s="5"/>
      <c r="E1645" s="4"/>
      <c r="F1645" s="4"/>
      <c r="G1645" s="4"/>
      <c r="H1645" s="4"/>
    </row>
    <row r="1646">
      <c r="D1646" s="5"/>
      <c r="E1646" s="4"/>
      <c r="F1646" s="4"/>
      <c r="G1646" s="4"/>
      <c r="H1646" s="4"/>
    </row>
    <row r="1647">
      <c r="D1647" s="5"/>
      <c r="E1647" s="4"/>
      <c r="F1647" s="4"/>
      <c r="G1647" s="4"/>
      <c r="H1647" s="4"/>
    </row>
    <row r="1648">
      <c r="D1648" s="5"/>
      <c r="E1648" s="4"/>
      <c r="F1648" s="4"/>
      <c r="G1648" s="4"/>
      <c r="H1648" s="4"/>
    </row>
    <row r="1649">
      <c r="D1649" s="5"/>
      <c r="E1649" s="4"/>
      <c r="F1649" s="4"/>
      <c r="G1649" s="4"/>
      <c r="H1649" s="4"/>
    </row>
    <row r="1650">
      <c r="D1650" s="5"/>
      <c r="E1650" s="4"/>
      <c r="F1650" s="4"/>
      <c r="G1650" s="4"/>
      <c r="H1650" s="4"/>
    </row>
    <row r="1651">
      <c r="D1651" s="5"/>
      <c r="E1651" s="4"/>
      <c r="F1651" s="4"/>
      <c r="G1651" s="4"/>
      <c r="H1651" s="4"/>
    </row>
    <row r="1652">
      <c r="D1652" s="5"/>
      <c r="E1652" s="4"/>
      <c r="F1652" s="4"/>
      <c r="G1652" s="4"/>
      <c r="H1652" s="4"/>
    </row>
    <row r="1653">
      <c r="D1653" s="5"/>
      <c r="E1653" s="4"/>
      <c r="F1653" s="4"/>
      <c r="G1653" s="4"/>
      <c r="H1653" s="4"/>
    </row>
    <row r="1654">
      <c r="D1654" s="5"/>
      <c r="E1654" s="4"/>
      <c r="F1654" s="4"/>
      <c r="G1654" s="4"/>
      <c r="H1654" s="4"/>
    </row>
    <row r="1655">
      <c r="D1655" s="5"/>
      <c r="E1655" s="4"/>
      <c r="F1655" s="4"/>
      <c r="G1655" s="4"/>
      <c r="H1655" s="4"/>
    </row>
    <row r="1656">
      <c r="D1656" s="5"/>
      <c r="E1656" s="4"/>
      <c r="F1656" s="4"/>
      <c r="G1656" s="4"/>
      <c r="H1656" s="4"/>
    </row>
    <row r="1657">
      <c r="D1657" s="5"/>
      <c r="E1657" s="4"/>
      <c r="F1657" s="4"/>
      <c r="G1657" s="4"/>
      <c r="H1657" s="4"/>
    </row>
    <row r="1658">
      <c r="D1658" s="5"/>
      <c r="E1658" s="4"/>
      <c r="F1658" s="4"/>
      <c r="G1658" s="4"/>
      <c r="H1658" s="4"/>
    </row>
    <row r="1659">
      <c r="D1659" s="5"/>
      <c r="E1659" s="4"/>
      <c r="F1659" s="4"/>
      <c r="G1659" s="4"/>
      <c r="H1659" s="4"/>
    </row>
    <row r="1660">
      <c r="D1660" s="5"/>
      <c r="E1660" s="4"/>
      <c r="F1660" s="4"/>
      <c r="G1660" s="4"/>
      <c r="H1660" s="4"/>
    </row>
    <row r="1661">
      <c r="D1661" s="5"/>
      <c r="E1661" s="4"/>
      <c r="F1661" s="4"/>
      <c r="G1661" s="4"/>
      <c r="H1661" s="4"/>
    </row>
    <row r="1662">
      <c r="D1662" s="5"/>
      <c r="E1662" s="4"/>
      <c r="F1662" s="4"/>
      <c r="G1662" s="4"/>
      <c r="H1662" s="4"/>
    </row>
    <row r="1663">
      <c r="D1663" s="5"/>
      <c r="E1663" s="4"/>
      <c r="F1663" s="4"/>
      <c r="G1663" s="4"/>
      <c r="H1663" s="4"/>
    </row>
    <row r="1664">
      <c r="D1664" s="5"/>
      <c r="E1664" s="4"/>
      <c r="F1664" s="4"/>
      <c r="G1664" s="4"/>
      <c r="H1664" s="4"/>
    </row>
    <row r="1665">
      <c r="D1665" s="5"/>
      <c r="E1665" s="4"/>
      <c r="F1665" s="4"/>
      <c r="G1665" s="4"/>
      <c r="H1665" s="4"/>
    </row>
    <row r="1666">
      <c r="D1666" s="5"/>
      <c r="E1666" s="4"/>
      <c r="F1666" s="4"/>
      <c r="G1666" s="4"/>
      <c r="H1666" s="4"/>
    </row>
    <row r="1667">
      <c r="D1667" s="5"/>
      <c r="E1667" s="4"/>
      <c r="F1667" s="4"/>
      <c r="G1667" s="4"/>
      <c r="H1667" s="4"/>
    </row>
    <row r="1668">
      <c r="D1668" s="5"/>
      <c r="E1668" s="4"/>
      <c r="F1668" s="4"/>
      <c r="G1668" s="4"/>
      <c r="H1668" s="4"/>
    </row>
    <row r="1669">
      <c r="D1669" s="5"/>
      <c r="E1669" s="4"/>
      <c r="F1669" s="4"/>
      <c r="G1669" s="4"/>
      <c r="H1669" s="4"/>
    </row>
    <row r="1670">
      <c r="D1670" s="5"/>
      <c r="E1670" s="4"/>
      <c r="F1670" s="4"/>
      <c r="G1670" s="4"/>
      <c r="H1670" s="4"/>
    </row>
    <row r="1671">
      <c r="D1671" s="5"/>
      <c r="E1671" s="4"/>
      <c r="F1671" s="4"/>
      <c r="G1671" s="4"/>
      <c r="H1671" s="4"/>
    </row>
    <row r="1672">
      <c r="D1672" s="5"/>
      <c r="E1672" s="4"/>
      <c r="F1672" s="4"/>
      <c r="G1672" s="4"/>
      <c r="H1672" s="4"/>
    </row>
    <row r="1673">
      <c r="D1673" s="5"/>
      <c r="E1673" s="4"/>
      <c r="F1673" s="4"/>
      <c r="G1673" s="4"/>
      <c r="H1673" s="4"/>
    </row>
    <row r="1674">
      <c r="D1674" s="5"/>
      <c r="E1674" s="4"/>
      <c r="F1674" s="4"/>
      <c r="G1674" s="4"/>
      <c r="H1674" s="4"/>
    </row>
    <row r="1675">
      <c r="D1675" s="5"/>
      <c r="E1675" s="4"/>
      <c r="F1675" s="4"/>
      <c r="G1675" s="4"/>
      <c r="H1675" s="4"/>
    </row>
    <row r="1676">
      <c r="D1676" s="5"/>
      <c r="E1676" s="4"/>
      <c r="F1676" s="4"/>
      <c r="G1676" s="4"/>
      <c r="H1676" s="4"/>
    </row>
    <row r="1677">
      <c r="D1677" s="5"/>
      <c r="E1677" s="4"/>
      <c r="F1677" s="4"/>
      <c r="G1677" s="4"/>
      <c r="H1677" s="4"/>
    </row>
    <row r="1678">
      <c r="D1678" s="5"/>
      <c r="E1678" s="4"/>
      <c r="F1678" s="4"/>
      <c r="G1678" s="4"/>
      <c r="H1678" s="4"/>
    </row>
    <row r="1679">
      <c r="D1679" s="5"/>
      <c r="E1679" s="4"/>
      <c r="F1679" s="4"/>
      <c r="G1679" s="4"/>
      <c r="H1679" s="4"/>
    </row>
    <row r="1680">
      <c r="D1680" s="5"/>
      <c r="E1680" s="4"/>
      <c r="F1680" s="4"/>
      <c r="G1680" s="4"/>
      <c r="H1680" s="4"/>
    </row>
    <row r="1681">
      <c r="D1681" s="5"/>
      <c r="E1681" s="4"/>
      <c r="F1681" s="4"/>
      <c r="G1681" s="4"/>
      <c r="H1681" s="4"/>
    </row>
    <row r="1682">
      <c r="D1682" s="5"/>
      <c r="E1682" s="4"/>
      <c r="F1682" s="4"/>
      <c r="G1682" s="4"/>
      <c r="H1682" s="4"/>
    </row>
    <row r="1683">
      <c r="D1683" s="5"/>
      <c r="E1683" s="4"/>
      <c r="F1683" s="4"/>
      <c r="G1683" s="4"/>
      <c r="H1683" s="4"/>
    </row>
    <row r="1684">
      <c r="D1684" s="5"/>
      <c r="E1684" s="4"/>
      <c r="F1684" s="4"/>
      <c r="G1684" s="4"/>
      <c r="H1684" s="4"/>
    </row>
    <row r="1685">
      <c r="D1685" s="5"/>
      <c r="E1685" s="4"/>
      <c r="F1685" s="4"/>
      <c r="G1685" s="4"/>
      <c r="H1685" s="4"/>
    </row>
    <row r="1686">
      <c r="D1686" s="5"/>
      <c r="E1686" s="4"/>
      <c r="F1686" s="4"/>
      <c r="G1686" s="4"/>
      <c r="H1686" s="4"/>
    </row>
    <row r="1687">
      <c r="D1687" s="5"/>
      <c r="E1687" s="4"/>
      <c r="F1687" s="4"/>
      <c r="G1687" s="4"/>
      <c r="H1687" s="4"/>
    </row>
    <row r="1688">
      <c r="D1688" s="5"/>
      <c r="E1688" s="4"/>
      <c r="F1688" s="4"/>
      <c r="G1688" s="4"/>
      <c r="H1688" s="4"/>
    </row>
    <row r="1689">
      <c r="D1689" s="5"/>
      <c r="E1689" s="4"/>
      <c r="F1689" s="4"/>
      <c r="G1689" s="4"/>
      <c r="H1689" s="4"/>
    </row>
    <row r="1690">
      <c r="D1690" s="5"/>
      <c r="E1690" s="4"/>
      <c r="F1690" s="4"/>
      <c r="G1690" s="4"/>
      <c r="H1690" s="4"/>
    </row>
    <row r="1691">
      <c r="D1691" s="5"/>
      <c r="E1691" s="4"/>
      <c r="F1691" s="4"/>
      <c r="G1691" s="4"/>
      <c r="H1691" s="4"/>
    </row>
    <row r="1692">
      <c r="D1692" s="5"/>
      <c r="E1692" s="4"/>
      <c r="F1692" s="4"/>
      <c r="G1692" s="4"/>
      <c r="H1692" s="4"/>
    </row>
    <row r="1693">
      <c r="D1693" s="5"/>
      <c r="E1693" s="4"/>
      <c r="F1693" s="4"/>
      <c r="G1693" s="4"/>
      <c r="H1693" s="4"/>
    </row>
    <row r="1694">
      <c r="D1694" s="5"/>
      <c r="E1694" s="4"/>
      <c r="F1694" s="4"/>
      <c r="G1694" s="4"/>
      <c r="H1694" s="4"/>
    </row>
    <row r="1695">
      <c r="D1695" s="5"/>
      <c r="E1695" s="4"/>
      <c r="F1695" s="4"/>
      <c r="G1695" s="4"/>
      <c r="H1695" s="4"/>
    </row>
    <row r="1696">
      <c r="D1696" s="5"/>
      <c r="E1696" s="4"/>
      <c r="F1696" s="4"/>
      <c r="G1696" s="4"/>
      <c r="H1696" s="4"/>
    </row>
    <row r="1697">
      <c r="D1697" s="5"/>
      <c r="E1697" s="4"/>
      <c r="F1697" s="4"/>
      <c r="G1697" s="4"/>
      <c r="H1697" s="4"/>
    </row>
    <row r="1698">
      <c r="D1698" s="5"/>
      <c r="E1698" s="4"/>
      <c r="F1698" s="4"/>
      <c r="G1698" s="4"/>
      <c r="H1698" s="4"/>
    </row>
    <row r="1699">
      <c r="D1699" s="5"/>
      <c r="E1699" s="4"/>
      <c r="F1699" s="4"/>
      <c r="G1699" s="4"/>
      <c r="H1699" s="4"/>
    </row>
    <row r="1700">
      <c r="D1700" s="5"/>
      <c r="E1700" s="4"/>
      <c r="F1700" s="4"/>
      <c r="G1700" s="4"/>
      <c r="H1700" s="4"/>
    </row>
    <row r="1701">
      <c r="D1701" s="5"/>
      <c r="E1701" s="4"/>
      <c r="F1701" s="4"/>
      <c r="G1701" s="4"/>
      <c r="H1701" s="4"/>
    </row>
    <row r="1702">
      <c r="D1702" s="5"/>
      <c r="E1702" s="4"/>
      <c r="F1702" s="4"/>
      <c r="G1702" s="4"/>
      <c r="H1702" s="4"/>
    </row>
    <row r="1703">
      <c r="D1703" s="5"/>
      <c r="E1703" s="4"/>
      <c r="F1703" s="4"/>
      <c r="G1703" s="4"/>
      <c r="H1703" s="4"/>
    </row>
    <row r="1704">
      <c r="D1704" s="5"/>
      <c r="E1704" s="4"/>
      <c r="F1704" s="4"/>
      <c r="G1704" s="4"/>
      <c r="H1704" s="4"/>
    </row>
    <row r="1705">
      <c r="D1705" s="5"/>
      <c r="E1705" s="4"/>
      <c r="F1705" s="4"/>
      <c r="G1705" s="4"/>
      <c r="H1705" s="4"/>
    </row>
    <row r="1706">
      <c r="D1706" s="5"/>
      <c r="E1706" s="4"/>
      <c r="F1706" s="4"/>
      <c r="G1706" s="4"/>
      <c r="H1706" s="4"/>
    </row>
    <row r="1707">
      <c r="D1707" s="5"/>
      <c r="E1707" s="4"/>
      <c r="F1707" s="4"/>
      <c r="G1707" s="4"/>
      <c r="H1707" s="4"/>
    </row>
    <row r="1708">
      <c r="D1708" s="5"/>
      <c r="E1708" s="4"/>
      <c r="F1708" s="4"/>
      <c r="G1708" s="4"/>
      <c r="H1708" s="4"/>
    </row>
    <row r="1709">
      <c r="D1709" s="5"/>
      <c r="E1709" s="4"/>
      <c r="F1709" s="4"/>
      <c r="G1709" s="4"/>
      <c r="H1709" s="4"/>
    </row>
    <row r="1710">
      <c r="D1710" s="5"/>
      <c r="E1710" s="4"/>
      <c r="F1710" s="4"/>
      <c r="G1710" s="4"/>
      <c r="H1710" s="4"/>
    </row>
    <row r="1711">
      <c r="D1711" s="5"/>
      <c r="E1711" s="4"/>
      <c r="F1711" s="4"/>
      <c r="G1711" s="4"/>
      <c r="H1711" s="4"/>
    </row>
    <row r="1712">
      <c r="D1712" s="5"/>
      <c r="E1712" s="4"/>
      <c r="F1712" s="4"/>
      <c r="G1712" s="4"/>
      <c r="H1712" s="4"/>
    </row>
    <row r="1713">
      <c r="D1713" s="5"/>
      <c r="E1713" s="4"/>
      <c r="F1713" s="4"/>
      <c r="G1713" s="4"/>
      <c r="H1713" s="4"/>
    </row>
    <row r="1714">
      <c r="D1714" s="5"/>
      <c r="E1714" s="4"/>
      <c r="F1714" s="4"/>
      <c r="G1714" s="4"/>
      <c r="H1714" s="4"/>
    </row>
    <row r="1715">
      <c r="D1715" s="5"/>
      <c r="E1715" s="4"/>
      <c r="F1715" s="4"/>
      <c r="G1715" s="4"/>
      <c r="H1715" s="4"/>
    </row>
    <row r="1716">
      <c r="D1716" s="5"/>
      <c r="E1716" s="4"/>
      <c r="F1716" s="4"/>
      <c r="G1716" s="4"/>
      <c r="H1716" s="4"/>
    </row>
    <row r="1717">
      <c r="D1717" s="5"/>
      <c r="E1717" s="4"/>
      <c r="F1717" s="4"/>
      <c r="G1717" s="4"/>
      <c r="H1717" s="4"/>
    </row>
    <row r="1718">
      <c r="D1718" s="5"/>
      <c r="E1718" s="4"/>
      <c r="F1718" s="4"/>
      <c r="G1718" s="4"/>
      <c r="H1718" s="4"/>
    </row>
    <row r="1719">
      <c r="D1719" s="5"/>
      <c r="E1719" s="4"/>
      <c r="F1719" s="4"/>
      <c r="G1719" s="4"/>
      <c r="H1719" s="4"/>
    </row>
    <row r="1720">
      <c r="D1720" s="5"/>
      <c r="E1720" s="4"/>
      <c r="F1720" s="4"/>
      <c r="G1720" s="4"/>
      <c r="H1720" s="4"/>
    </row>
    <row r="1721">
      <c r="D1721" s="5"/>
      <c r="E1721" s="4"/>
      <c r="F1721" s="4"/>
      <c r="G1721" s="4"/>
      <c r="H1721" s="4"/>
    </row>
    <row r="1722">
      <c r="D1722" s="5"/>
      <c r="E1722" s="4"/>
      <c r="F1722" s="4"/>
      <c r="G1722" s="4"/>
      <c r="H1722" s="4"/>
    </row>
    <row r="1723">
      <c r="D1723" s="5"/>
      <c r="E1723" s="4"/>
      <c r="F1723" s="4"/>
      <c r="G1723" s="4"/>
      <c r="H1723" s="4"/>
    </row>
    <row r="1724">
      <c r="D1724" s="5"/>
      <c r="E1724" s="4"/>
      <c r="F1724" s="4"/>
      <c r="G1724" s="4"/>
      <c r="H1724" s="4"/>
    </row>
    <row r="1725">
      <c r="D1725" s="5"/>
      <c r="E1725" s="4"/>
      <c r="F1725" s="4"/>
      <c r="G1725" s="4"/>
      <c r="H1725" s="4"/>
    </row>
    <row r="1726">
      <c r="D1726" s="5"/>
      <c r="E1726" s="4"/>
      <c r="F1726" s="4"/>
      <c r="G1726" s="4"/>
      <c r="H1726" s="4"/>
    </row>
    <row r="1727">
      <c r="D1727" s="5"/>
      <c r="E1727" s="4"/>
      <c r="F1727" s="4"/>
      <c r="G1727" s="4"/>
      <c r="H1727" s="4"/>
    </row>
    <row r="1728">
      <c r="D1728" s="5"/>
      <c r="E1728" s="4"/>
      <c r="F1728" s="4"/>
      <c r="G1728" s="4"/>
      <c r="H1728" s="4"/>
    </row>
    <row r="1729">
      <c r="D1729" s="5"/>
      <c r="E1729" s="4"/>
      <c r="F1729" s="4"/>
      <c r="G1729" s="4"/>
      <c r="H1729" s="4"/>
    </row>
    <row r="1730">
      <c r="D1730" s="5"/>
      <c r="E1730" s="4"/>
      <c r="F1730" s="4"/>
      <c r="G1730" s="4"/>
      <c r="H1730" s="4"/>
    </row>
    <row r="1731">
      <c r="D1731" s="5"/>
      <c r="E1731" s="4"/>
      <c r="F1731" s="4"/>
      <c r="G1731" s="4"/>
      <c r="H1731" s="4"/>
    </row>
    <row r="1732">
      <c r="D1732" s="5"/>
      <c r="E1732" s="4"/>
      <c r="F1732" s="4"/>
      <c r="G1732" s="4"/>
      <c r="H1732" s="4"/>
    </row>
    <row r="1733">
      <c r="D1733" s="5"/>
      <c r="E1733" s="4"/>
      <c r="F1733" s="4"/>
      <c r="G1733" s="4"/>
      <c r="H1733" s="4"/>
    </row>
    <row r="1734">
      <c r="D1734" s="5"/>
      <c r="E1734" s="4"/>
      <c r="F1734" s="4"/>
      <c r="G1734" s="4"/>
      <c r="H1734" s="4"/>
    </row>
    <row r="1735">
      <c r="D1735" s="5"/>
      <c r="E1735" s="4"/>
      <c r="F1735" s="4"/>
      <c r="G1735" s="4"/>
      <c r="H1735" s="4"/>
    </row>
    <row r="1736">
      <c r="D1736" s="5"/>
      <c r="E1736" s="4"/>
      <c r="F1736" s="4"/>
      <c r="G1736" s="4"/>
      <c r="H1736" s="4"/>
    </row>
    <row r="1737">
      <c r="D1737" s="5"/>
      <c r="E1737" s="4"/>
      <c r="F1737" s="4"/>
      <c r="G1737" s="4"/>
      <c r="H1737" s="4"/>
    </row>
    <row r="1738">
      <c r="D1738" s="5"/>
      <c r="E1738" s="4"/>
      <c r="F1738" s="4"/>
      <c r="G1738" s="4"/>
      <c r="H1738" s="4"/>
    </row>
    <row r="1739">
      <c r="D1739" s="5"/>
      <c r="E1739" s="4"/>
      <c r="F1739" s="4"/>
      <c r="G1739" s="4"/>
      <c r="H1739" s="4"/>
    </row>
    <row r="1740">
      <c r="D1740" s="5"/>
      <c r="E1740" s="4"/>
      <c r="F1740" s="4"/>
      <c r="G1740" s="4"/>
      <c r="H1740" s="4"/>
    </row>
    <row r="1741">
      <c r="D1741" s="5"/>
      <c r="E1741" s="4"/>
      <c r="F1741" s="4"/>
      <c r="G1741" s="4"/>
      <c r="H1741" s="4"/>
    </row>
    <row r="1742">
      <c r="D1742" s="5"/>
      <c r="E1742" s="4"/>
      <c r="F1742" s="4"/>
      <c r="G1742" s="4"/>
      <c r="H1742" s="4"/>
    </row>
    <row r="1743">
      <c r="D1743" s="5"/>
      <c r="E1743" s="4"/>
      <c r="F1743" s="4"/>
      <c r="G1743" s="4"/>
      <c r="H1743" s="4"/>
    </row>
    <row r="1744">
      <c r="D1744" s="5"/>
      <c r="E1744" s="4"/>
      <c r="F1744" s="4"/>
      <c r="G1744" s="4"/>
      <c r="H1744" s="4"/>
    </row>
    <row r="1745">
      <c r="D1745" s="5"/>
      <c r="E1745" s="4"/>
      <c r="F1745" s="4"/>
      <c r="G1745" s="4"/>
      <c r="H1745" s="4"/>
    </row>
    <row r="1746">
      <c r="D1746" s="5"/>
      <c r="E1746" s="4"/>
      <c r="F1746" s="4"/>
      <c r="G1746" s="4"/>
      <c r="H1746" s="4"/>
    </row>
    <row r="1747">
      <c r="D1747" s="5"/>
      <c r="E1747" s="4"/>
      <c r="F1747" s="4"/>
      <c r="G1747" s="4"/>
      <c r="H1747" s="4"/>
    </row>
    <row r="1748">
      <c r="D1748" s="5"/>
      <c r="E1748" s="4"/>
      <c r="F1748" s="4"/>
      <c r="G1748" s="4"/>
      <c r="H1748" s="4"/>
    </row>
    <row r="1749">
      <c r="D1749" s="5"/>
      <c r="E1749" s="4"/>
      <c r="F1749" s="4"/>
      <c r="G1749" s="4"/>
      <c r="H1749" s="4"/>
    </row>
    <row r="1750">
      <c r="D1750" s="5"/>
      <c r="E1750" s="4"/>
      <c r="F1750" s="4"/>
      <c r="G1750" s="4"/>
      <c r="H1750" s="4"/>
    </row>
    <row r="1751">
      <c r="D1751" s="5"/>
      <c r="E1751" s="4"/>
      <c r="F1751" s="4"/>
      <c r="G1751" s="4"/>
      <c r="H1751" s="4"/>
    </row>
    <row r="1752">
      <c r="D1752" s="5"/>
      <c r="E1752" s="4"/>
      <c r="F1752" s="4"/>
      <c r="G1752" s="4"/>
      <c r="H1752" s="4"/>
    </row>
    <row r="1753">
      <c r="D1753" s="5"/>
      <c r="E1753" s="4"/>
      <c r="F1753" s="4"/>
      <c r="G1753" s="4"/>
      <c r="H1753" s="4"/>
    </row>
    <row r="1754">
      <c r="D1754" s="5"/>
      <c r="E1754" s="4"/>
      <c r="F1754" s="4"/>
      <c r="G1754" s="4"/>
      <c r="H1754" s="4"/>
    </row>
    <row r="1755">
      <c r="D1755" s="5"/>
      <c r="E1755" s="4"/>
      <c r="F1755" s="4"/>
      <c r="G1755" s="4"/>
      <c r="H1755" s="4"/>
    </row>
    <row r="1756">
      <c r="D1756" s="5"/>
      <c r="E1756" s="4"/>
      <c r="F1756" s="4"/>
      <c r="G1756" s="4"/>
      <c r="H1756" s="4"/>
    </row>
    <row r="1757">
      <c r="D1757" s="5"/>
      <c r="E1757" s="4"/>
      <c r="F1757" s="4"/>
      <c r="G1757" s="4"/>
      <c r="H1757" s="4"/>
    </row>
    <row r="1758">
      <c r="D1758" s="5"/>
      <c r="E1758" s="4"/>
      <c r="F1758" s="4"/>
      <c r="G1758" s="4"/>
      <c r="H1758" s="4"/>
    </row>
    <row r="1759">
      <c r="D1759" s="5"/>
      <c r="E1759" s="4"/>
      <c r="F1759" s="4"/>
      <c r="G1759" s="4"/>
      <c r="H1759" s="4"/>
    </row>
    <row r="1760">
      <c r="D1760" s="5"/>
      <c r="E1760" s="4"/>
      <c r="F1760" s="4"/>
      <c r="G1760" s="4"/>
      <c r="H1760" s="4"/>
    </row>
    <row r="1761">
      <c r="D1761" s="5"/>
      <c r="E1761" s="4"/>
      <c r="F1761" s="4"/>
      <c r="G1761" s="4"/>
      <c r="H1761" s="4"/>
    </row>
    <row r="1762">
      <c r="D1762" s="5"/>
      <c r="E1762" s="4"/>
      <c r="F1762" s="4"/>
      <c r="G1762" s="4"/>
      <c r="H1762" s="4"/>
    </row>
    <row r="1763">
      <c r="D1763" s="5"/>
      <c r="E1763" s="4"/>
      <c r="F1763" s="4"/>
      <c r="G1763" s="4"/>
      <c r="H1763" s="4"/>
    </row>
    <row r="1764">
      <c r="D1764" s="5"/>
      <c r="E1764" s="4"/>
      <c r="F1764" s="4"/>
      <c r="G1764" s="4"/>
      <c r="H1764" s="4"/>
    </row>
    <row r="1765">
      <c r="D1765" s="5"/>
      <c r="E1765" s="4"/>
      <c r="F1765" s="4"/>
      <c r="G1765" s="4"/>
      <c r="H1765" s="4"/>
    </row>
    <row r="1766">
      <c r="D1766" s="5"/>
      <c r="E1766" s="4"/>
      <c r="F1766" s="4"/>
      <c r="G1766" s="4"/>
      <c r="H1766" s="4"/>
    </row>
    <row r="1767">
      <c r="D1767" s="5"/>
      <c r="E1767" s="4"/>
      <c r="F1767" s="4"/>
      <c r="G1767" s="4"/>
      <c r="H1767" s="4"/>
    </row>
    <row r="1768">
      <c r="D1768" s="5"/>
      <c r="E1768" s="4"/>
      <c r="F1768" s="4"/>
      <c r="G1768" s="4"/>
      <c r="H1768" s="4"/>
    </row>
    <row r="1769">
      <c r="D1769" s="5"/>
      <c r="E1769" s="4"/>
      <c r="F1769" s="4"/>
      <c r="G1769" s="4"/>
      <c r="H1769" s="4"/>
    </row>
    <row r="1770">
      <c r="D1770" s="5"/>
      <c r="E1770" s="4"/>
      <c r="F1770" s="4"/>
      <c r="G1770" s="4"/>
      <c r="H1770" s="4"/>
    </row>
    <row r="1771">
      <c r="D1771" s="5"/>
      <c r="E1771" s="4"/>
      <c r="F1771" s="4"/>
      <c r="G1771" s="4"/>
      <c r="H1771" s="4"/>
    </row>
    <row r="1772">
      <c r="D1772" s="5"/>
      <c r="E1772" s="4"/>
      <c r="F1772" s="4"/>
      <c r="G1772" s="4"/>
      <c r="H1772" s="4"/>
    </row>
    <row r="1773">
      <c r="D1773" s="5"/>
      <c r="E1773" s="4"/>
      <c r="F1773" s="4"/>
      <c r="G1773" s="4"/>
      <c r="H1773" s="4"/>
    </row>
    <row r="1774">
      <c r="D1774" s="5"/>
      <c r="E1774" s="4"/>
      <c r="F1774" s="4"/>
      <c r="G1774" s="4"/>
      <c r="H1774" s="4"/>
    </row>
    <row r="1775">
      <c r="D1775" s="5"/>
      <c r="E1775" s="4"/>
      <c r="F1775" s="4"/>
      <c r="G1775" s="4"/>
      <c r="H1775" s="4"/>
    </row>
    <row r="1776">
      <c r="D1776" s="5"/>
      <c r="E1776" s="4"/>
      <c r="F1776" s="4"/>
      <c r="G1776" s="4"/>
      <c r="H1776" s="4"/>
    </row>
    <row r="1777">
      <c r="D1777" s="5"/>
      <c r="E1777" s="4"/>
      <c r="F1777" s="4"/>
      <c r="G1777" s="4"/>
      <c r="H1777" s="4"/>
    </row>
    <row r="1778">
      <c r="D1778" s="5"/>
      <c r="E1778" s="4"/>
      <c r="F1778" s="4"/>
      <c r="G1778" s="4"/>
      <c r="H1778" s="4"/>
    </row>
    <row r="1779">
      <c r="D1779" s="5"/>
      <c r="E1779" s="4"/>
      <c r="F1779" s="4"/>
      <c r="G1779" s="4"/>
      <c r="H1779" s="4"/>
    </row>
    <row r="1780">
      <c r="D1780" s="5"/>
      <c r="E1780" s="4"/>
      <c r="F1780" s="4"/>
      <c r="G1780" s="4"/>
      <c r="H1780" s="4"/>
    </row>
    <row r="1781">
      <c r="D1781" s="5"/>
      <c r="E1781" s="4"/>
      <c r="F1781" s="4"/>
      <c r="G1781" s="4"/>
      <c r="H1781" s="4"/>
    </row>
    <row r="1782">
      <c r="D1782" s="5"/>
      <c r="E1782" s="4"/>
      <c r="F1782" s="4"/>
      <c r="G1782" s="4"/>
      <c r="H1782" s="4"/>
    </row>
    <row r="1783">
      <c r="D1783" s="5"/>
      <c r="E1783" s="4"/>
      <c r="F1783" s="4"/>
      <c r="G1783" s="4"/>
      <c r="H1783" s="4"/>
    </row>
    <row r="1784">
      <c r="D1784" s="5"/>
      <c r="E1784" s="4"/>
      <c r="F1784" s="4"/>
      <c r="G1784" s="4"/>
      <c r="H1784" s="4"/>
    </row>
    <row r="1785">
      <c r="D1785" s="5"/>
      <c r="E1785" s="4"/>
      <c r="F1785" s="4"/>
      <c r="G1785" s="4"/>
      <c r="H1785" s="4"/>
    </row>
    <row r="1786">
      <c r="D1786" s="5"/>
      <c r="E1786" s="4"/>
      <c r="F1786" s="4"/>
      <c r="G1786" s="4"/>
      <c r="H1786" s="4"/>
    </row>
    <row r="1787">
      <c r="D1787" s="5"/>
      <c r="E1787" s="4"/>
      <c r="F1787" s="4"/>
      <c r="G1787" s="4"/>
      <c r="H1787" s="4"/>
    </row>
    <row r="1788">
      <c r="D1788" s="5"/>
      <c r="E1788" s="4"/>
      <c r="F1788" s="4"/>
      <c r="G1788" s="4"/>
      <c r="H1788" s="4"/>
    </row>
    <row r="1789">
      <c r="D1789" s="5"/>
      <c r="E1789" s="4"/>
      <c r="F1789" s="4"/>
      <c r="G1789" s="4"/>
      <c r="H1789" s="4"/>
    </row>
    <row r="1790">
      <c r="D1790" s="5"/>
      <c r="E1790" s="4"/>
      <c r="F1790" s="4"/>
      <c r="G1790" s="4"/>
      <c r="H1790" s="4"/>
    </row>
    <row r="1791">
      <c r="D1791" s="5"/>
      <c r="E1791" s="4"/>
      <c r="F1791" s="4"/>
      <c r="G1791" s="4"/>
      <c r="H1791" s="4"/>
    </row>
    <row r="1792">
      <c r="D1792" s="5"/>
      <c r="E1792" s="4"/>
      <c r="F1792" s="4"/>
      <c r="G1792" s="4"/>
      <c r="H1792" s="4"/>
    </row>
    <row r="1793">
      <c r="D1793" s="5"/>
      <c r="E1793" s="4"/>
      <c r="F1793" s="4"/>
      <c r="G1793" s="4"/>
      <c r="H1793" s="4"/>
    </row>
    <row r="1794">
      <c r="D1794" s="5"/>
      <c r="E1794" s="4"/>
      <c r="F1794" s="4"/>
      <c r="G1794" s="4"/>
      <c r="H1794" s="4"/>
    </row>
    <row r="1795">
      <c r="D1795" s="5"/>
      <c r="E1795" s="4"/>
      <c r="F1795" s="4"/>
      <c r="G1795" s="4"/>
      <c r="H1795" s="4"/>
    </row>
    <row r="1796">
      <c r="D1796" s="5"/>
      <c r="E1796" s="4"/>
      <c r="F1796" s="4"/>
      <c r="G1796" s="4"/>
      <c r="H1796" s="4"/>
    </row>
    <row r="1797">
      <c r="D1797" s="5"/>
      <c r="E1797" s="4"/>
      <c r="F1797" s="4"/>
      <c r="G1797" s="4"/>
      <c r="H1797" s="4"/>
    </row>
    <row r="1798">
      <c r="D1798" s="5"/>
      <c r="E1798" s="4"/>
      <c r="F1798" s="4"/>
      <c r="G1798" s="4"/>
      <c r="H1798" s="4"/>
    </row>
    <row r="1799">
      <c r="D1799" s="5"/>
      <c r="E1799" s="4"/>
      <c r="F1799" s="4"/>
      <c r="G1799" s="4"/>
      <c r="H1799" s="4"/>
    </row>
    <row r="1800">
      <c r="D1800" s="5"/>
      <c r="E1800" s="4"/>
      <c r="F1800" s="4"/>
      <c r="G1800" s="4"/>
      <c r="H1800" s="4"/>
    </row>
    <row r="1801">
      <c r="D1801" s="5"/>
      <c r="E1801" s="4"/>
      <c r="F1801" s="4"/>
      <c r="G1801" s="4"/>
      <c r="H1801" s="4"/>
    </row>
    <row r="1802">
      <c r="D1802" s="5"/>
      <c r="E1802" s="4"/>
      <c r="F1802" s="4"/>
      <c r="G1802" s="4"/>
      <c r="H1802" s="4"/>
    </row>
    <row r="1803">
      <c r="D1803" s="5"/>
      <c r="E1803" s="4"/>
      <c r="F1803" s="4"/>
      <c r="G1803" s="4"/>
      <c r="H1803" s="4"/>
    </row>
    <row r="1804">
      <c r="D1804" s="5"/>
      <c r="E1804" s="4"/>
      <c r="F1804" s="4"/>
      <c r="G1804" s="4"/>
      <c r="H1804" s="4"/>
    </row>
    <row r="1805">
      <c r="D1805" s="5"/>
      <c r="E1805" s="4"/>
      <c r="F1805" s="4"/>
      <c r="G1805" s="4"/>
      <c r="H1805" s="4"/>
    </row>
    <row r="1806">
      <c r="D1806" s="5"/>
      <c r="E1806" s="4"/>
      <c r="F1806" s="4"/>
      <c r="G1806" s="4"/>
      <c r="H1806" s="4"/>
    </row>
    <row r="1807">
      <c r="D1807" s="5"/>
      <c r="E1807" s="4"/>
      <c r="F1807" s="4"/>
      <c r="G1807" s="4"/>
      <c r="H1807" s="4"/>
    </row>
    <row r="1808">
      <c r="D1808" s="5"/>
      <c r="E1808" s="4"/>
      <c r="F1808" s="4"/>
      <c r="G1808" s="4"/>
      <c r="H1808" s="4"/>
    </row>
    <row r="1809">
      <c r="D1809" s="5"/>
      <c r="E1809" s="4"/>
      <c r="F1809" s="4"/>
      <c r="G1809" s="4"/>
      <c r="H1809" s="4"/>
    </row>
    <row r="1810">
      <c r="D1810" s="5"/>
      <c r="E1810" s="4"/>
      <c r="F1810" s="4"/>
      <c r="G1810" s="4"/>
      <c r="H1810" s="4"/>
    </row>
    <row r="1811">
      <c r="D1811" s="5"/>
      <c r="E1811" s="4"/>
      <c r="F1811" s="4"/>
      <c r="G1811" s="4"/>
      <c r="H1811" s="4"/>
    </row>
    <row r="1812">
      <c r="D1812" s="5"/>
      <c r="E1812" s="4"/>
      <c r="F1812" s="4"/>
      <c r="G1812" s="4"/>
      <c r="H1812" s="4"/>
    </row>
    <row r="1813">
      <c r="D1813" s="5"/>
      <c r="E1813" s="4"/>
      <c r="F1813" s="4"/>
      <c r="G1813" s="4"/>
      <c r="H1813" s="4"/>
    </row>
    <row r="1814">
      <c r="D1814" s="5"/>
      <c r="E1814" s="4"/>
      <c r="F1814" s="4"/>
      <c r="G1814" s="4"/>
      <c r="H1814" s="4"/>
    </row>
    <row r="1815">
      <c r="D1815" s="5"/>
      <c r="E1815" s="4"/>
      <c r="F1815" s="4"/>
      <c r="G1815" s="4"/>
      <c r="H1815" s="4"/>
    </row>
    <row r="1816">
      <c r="D1816" s="5"/>
      <c r="E1816" s="4"/>
      <c r="F1816" s="4"/>
      <c r="G1816" s="4"/>
      <c r="H1816" s="4"/>
    </row>
    <row r="1817">
      <c r="D1817" s="5"/>
      <c r="E1817" s="4"/>
      <c r="F1817" s="4"/>
      <c r="G1817" s="4"/>
      <c r="H1817" s="4"/>
    </row>
    <row r="1818">
      <c r="D1818" s="5"/>
      <c r="E1818" s="4"/>
      <c r="F1818" s="4"/>
      <c r="G1818" s="4"/>
      <c r="H1818" s="4"/>
    </row>
    <row r="1819">
      <c r="D1819" s="5"/>
      <c r="E1819" s="4"/>
      <c r="F1819" s="4"/>
      <c r="G1819" s="4"/>
      <c r="H1819" s="4"/>
    </row>
    <row r="1820">
      <c r="D1820" s="5"/>
      <c r="E1820" s="4"/>
      <c r="F1820" s="4"/>
      <c r="G1820" s="4"/>
      <c r="H1820" s="4"/>
    </row>
    <row r="1821">
      <c r="D1821" s="5"/>
      <c r="E1821" s="4"/>
      <c r="F1821" s="4"/>
      <c r="G1821" s="4"/>
      <c r="H1821" s="4"/>
    </row>
    <row r="1822">
      <c r="D1822" s="5"/>
      <c r="E1822" s="4"/>
      <c r="F1822" s="4"/>
      <c r="G1822" s="4"/>
      <c r="H1822" s="4"/>
    </row>
    <row r="1823">
      <c r="D1823" s="5"/>
      <c r="E1823" s="4"/>
      <c r="F1823" s="4"/>
      <c r="G1823" s="4"/>
      <c r="H1823" s="4"/>
    </row>
    <row r="1824">
      <c r="D1824" s="5"/>
      <c r="E1824" s="4"/>
      <c r="F1824" s="4"/>
      <c r="G1824" s="4"/>
      <c r="H1824" s="4"/>
    </row>
    <row r="1825">
      <c r="D1825" s="5"/>
      <c r="E1825" s="4"/>
      <c r="F1825" s="4"/>
      <c r="G1825" s="4"/>
      <c r="H1825" s="4"/>
    </row>
    <row r="1826">
      <c r="D1826" s="5"/>
      <c r="E1826" s="4"/>
      <c r="F1826" s="4"/>
      <c r="G1826" s="4"/>
      <c r="H1826" s="4"/>
    </row>
    <row r="1827">
      <c r="D1827" s="5"/>
      <c r="E1827" s="4"/>
      <c r="F1827" s="4"/>
      <c r="G1827" s="4"/>
      <c r="H1827" s="4"/>
    </row>
    <row r="1828">
      <c r="D1828" s="5"/>
      <c r="E1828" s="4"/>
      <c r="F1828" s="4"/>
      <c r="G1828" s="4"/>
      <c r="H1828" s="4"/>
    </row>
    <row r="1829">
      <c r="D1829" s="5"/>
      <c r="E1829" s="4"/>
      <c r="F1829" s="4"/>
      <c r="G1829" s="4"/>
      <c r="H1829" s="4"/>
    </row>
    <row r="1830">
      <c r="D1830" s="5"/>
      <c r="E1830" s="4"/>
      <c r="F1830" s="4"/>
      <c r="G1830" s="4"/>
      <c r="H1830" s="4"/>
    </row>
    <row r="1831">
      <c r="D1831" s="5"/>
      <c r="E1831" s="4"/>
      <c r="F1831" s="4"/>
      <c r="G1831" s="4"/>
      <c r="H1831" s="4"/>
    </row>
    <row r="1832">
      <c r="D1832" s="5"/>
      <c r="E1832" s="4"/>
      <c r="F1832" s="4"/>
      <c r="G1832" s="4"/>
      <c r="H1832" s="4"/>
    </row>
    <row r="1833">
      <c r="D1833" s="5"/>
      <c r="E1833" s="4"/>
      <c r="F1833" s="4"/>
      <c r="G1833" s="4"/>
      <c r="H1833" s="4"/>
    </row>
    <row r="1834">
      <c r="D1834" s="5"/>
      <c r="E1834" s="4"/>
      <c r="F1834" s="4"/>
      <c r="G1834" s="4"/>
      <c r="H1834" s="4"/>
    </row>
    <row r="1835">
      <c r="D1835" s="5"/>
      <c r="E1835" s="4"/>
      <c r="F1835" s="4"/>
      <c r="G1835" s="4"/>
      <c r="H1835" s="4"/>
    </row>
    <row r="1836">
      <c r="D1836" s="5"/>
      <c r="E1836" s="4"/>
      <c r="F1836" s="4"/>
      <c r="G1836" s="4"/>
      <c r="H1836" s="4"/>
    </row>
    <row r="1837">
      <c r="D1837" s="5"/>
      <c r="E1837" s="4"/>
      <c r="F1837" s="4"/>
      <c r="G1837" s="4"/>
      <c r="H1837" s="4"/>
    </row>
    <row r="1838">
      <c r="D1838" s="5"/>
      <c r="E1838" s="4"/>
      <c r="F1838" s="4"/>
      <c r="G1838" s="4"/>
      <c r="H1838" s="4"/>
    </row>
    <row r="1839">
      <c r="D1839" s="5"/>
      <c r="E1839" s="4"/>
      <c r="F1839" s="4"/>
      <c r="G1839" s="4"/>
      <c r="H1839" s="4"/>
    </row>
    <row r="1840">
      <c r="D1840" s="5"/>
      <c r="E1840" s="4"/>
      <c r="F1840" s="4"/>
      <c r="G1840" s="4"/>
      <c r="H1840" s="4"/>
    </row>
    <row r="1841">
      <c r="D1841" s="5"/>
      <c r="E1841" s="4"/>
      <c r="F1841" s="4"/>
      <c r="G1841" s="4"/>
      <c r="H1841" s="4"/>
    </row>
    <row r="1842">
      <c r="D1842" s="5"/>
      <c r="E1842" s="4"/>
      <c r="F1842" s="4"/>
      <c r="G1842" s="4"/>
      <c r="H1842" s="4"/>
    </row>
    <row r="1843">
      <c r="D1843" s="5"/>
      <c r="E1843" s="4"/>
      <c r="F1843" s="4"/>
      <c r="G1843" s="4"/>
      <c r="H1843" s="4"/>
    </row>
    <row r="1844">
      <c r="D1844" s="5"/>
      <c r="E1844" s="4"/>
      <c r="F1844" s="4"/>
      <c r="G1844" s="4"/>
      <c r="H1844" s="4"/>
    </row>
    <row r="1845">
      <c r="D1845" s="5"/>
      <c r="E1845" s="4"/>
      <c r="F1845" s="4"/>
      <c r="G1845" s="4"/>
      <c r="H1845" s="4"/>
    </row>
    <row r="1846">
      <c r="D1846" s="5"/>
      <c r="E1846" s="4"/>
      <c r="F1846" s="4"/>
      <c r="G1846" s="4"/>
      <c r="H1846" s="4"/>
    </row>
    <row r="1847">
      <c r="D1847" s="5"/>
      <c r="E1847" s="4"/>
      <c r="F1847" s="4"/>
      <c r="G1847" s="4"/>
      <c r="H1847" s="4"/>
    </row>
    <row r="1848">
      <c r="D1848" s="5"/>
      <c r="E1848" s="4"/>
      <c r="F1848" s="4"/>
      <c r="G1848" s="4"/>
      <c r="H1848" s="4"/>
    </row>
    <row r="1849">
      <c r="D1849" s="5"/>
      <c r="E1849" s="4"/>
      <c r="F1849" s="4"/>
      <c r="G1849" s="4"/>
      <c r="H1849" s="4"/>
    </row>
    <row r="1850">
      <c r="D1850" s="5"/>
      <c r="E1850" s="4"/>
      <c r="F1850" s="4"/>
      <c r="G1850" s="4"/>
      <c r="H1850" s="4"/>
    </row>
    <row r="1851">
      <c r="D1851" s="5"/>
      <c r="E1851" s="4"/>
      <c r="F1851" s="4"/>
      <c r="G1851" s="4"/>
      <c r="H1851" s="4"/>
    </row>
    <row r="1852">
      <c r="D1852" s="5"/>
      <c r="E1852" s="4"/>
      <c r="F1852" s="4"/>
      <c r="G1852" s="4"/>
      <c r="H1852" s="4"/>
    </row>
    <row r="1853">
      <c r="D1853" s="5"/>
      <c r="E1853" s="4"/>
      <c r="F1853" s="4"/>
      <c r="G1853" s="4"/>
      <c r="H1853" s="4"/>
    </row>
    <row r="1854">
      <c r="D1854" s="5"/>
      <c r="E1854" s="4"/>
      <c r="F1854" s="4"/>
      <c r="G1854" s="4"/>
      <c r="H1854" s="4"/>
    </row>
    <row r="1855">
      <c r="D1855" s="5"/>
      <c r="E1855" s="4"/>
      <c r="F1855" s="4"/>
      <c r="G1855" s="4"/>
      <c r="H1855" s="4"/>
    </row>
    <row r="1856">
      <c r="D1856" s="5"/>
      <c r="E1856" s="4"/>
      <c r="F1856" s="4"/>
      <c r="G1856" s="4"/>
      <c r="H1856" s="4"/>
    </row>
    <row r="1857">
      <c r="D1857" s="5"/>
      <c r="E1857" s="4"/>
      <c r="F1857" s="4"/>
      <c r="G1857" s="4"/>
      <c r="H1857" s="4"/>
    </row>
    <row r="1858">
      <c r="D1858" s="5"/>
      <c r="E1858" s="4"/>
      <c r="F1858" s="4"/>
      <c r="G1858" s="4"/>
      <c r="H1858" s="4"/>
    </row>
    <row r="1859">
      <c r="D1859" s="5"/>
      <c r="E1859" s="4"/>
      <c r="F1859" s="4"/>
      <c r="G1859" s="4"/>
      <c r="H1859" s="4"/>
    </row>
    <row r="1860">
      <c r="D1860" s="5"/>
      <c r="E1860" s="4"/>
      <c r="F1860" s="4"/>
      <c r="G1860" s="4"/>
      <c r="H1860" s="4"/>
    </row>
    <row r="1861">
      <c r="D1861" s="5"/>
      <c r="E1861" s="4"/>
      <c r="F1861" s="4"/>
      <c r="G1861" s="4"/>
      <c r="H1861" s="4"/>
    </row>
    <row r="1862">
      <c r="D1862" s="5"/>
      <c r="E1862" s="4"/>
      <c r="F1862" s="4"/>
      <c r="G1862" s="4"/>
      <c r="H1862" s="4"/>
    </row>
    <row r="1863">
      <c r="D1863" s="5"/>
      <c r="E1863" s="4"/>
      <c r="F1863" s="4"/>
      <c r="G1863" s="4"/>
      <c r="H1863" s="4"/>
    </row>
    <row r="1864">
      <c r="D1864" s="5"/>
      <c r="E1864" s="4"/>
      <c r="F1864" s="4"/>
      <c r="G1864" s="4"/>
      <c r="H1864" s="4"/>
    </row>
    <row r="1865">
      <c r="D1865" s="5"/>
      <c r="E1865" s="4"/>
      <c r="F1865" s="4"/>
      <c r="G1865" s="4"/>
      <c r="H1865" s="4"/>
    </row>
    <row r="1866">
      <c r="D1866" s="5"/>
      <c r="E1866" s="4"/>
      <c r="F1866" s="4"/>
      <c r="G1866" s="4"/>
      <c r="H1866" s="4"/>
    </row>
    <row r="1867">
      <c r="D1867" s="5"/>
      <c r="E1867" s="4"/>
      <c r="F1867" s="4"/>
      <c r="G1867" s="4"/>
      <c r="H1867" s="4"/>
    </row>
    <row r="1868">
      <c r="D1868" s="5"/>
      <c r="E1868" s="4"/>
      <c r="F1868" s="4"/>
      <c r="G1868" s="4"/>
      <c r="H1868" s="4"/>
    </row>
    <row r="1869">
      <c r="D1869" s="5"/>
      <c r="E1869" s="4"/>
      <c r="F1869" s="4"/>
      <c r="G1869" s="4"/>
      <c r="H1869" s="4"/>
    </row>
    <row r="1870">
      <c r="D1870" s="5"/>
      <c r="E1870" s="4"/>
      <c r="F1870" s="4"/>
      <c r="G1870" s="4"/>
      <c r="H1870" s="4"/>
    </row>
    <row r="1871">
      <c r="D1871" s="5"/>
      <c r="E1871" s="4"/>
      <c r="F1871" s="4"/>
      <c r="G1871" s="4"/>
      <c r="H1871" s="4"/>
    </row>
    <row r="1872">
      <c r="D1872" s="5"/>
      <c r="E1872" s="4"/>
      <c r="F1872" s="4"/>
      <c r="G1872" s="4"/>
      <c r="H1872" s="4"/>
    </row>
    <row r="1873">
      <c r="D1873" s="5"/>
      <c r="E1873" s="4"/>
      <c r="F1873" s="4"/>
      <c r="G1873" s="4"/>
      <c r="H1873" s="4"/>
    </row>
    <row r="1874">
      <c r="D1874" s="5"/>
      <c r="E1874" s="4"/>
      <c r="F1874" s="4"/>
      <c r="G1874" s="4"/>
      <c r="H1874" s="4"/>
    </row>
    <row r="1875">
      <c r="D1875" s="5"/>
      <c r="E1875" s="4"/>
      <c r="F1875" s="4"/>
      <c r="G1875" s="4"/>
      <c r="H1875" s="4"/>
    </row>
    <row r="1876">
      <c r="D1876" s="5"/>
      <c r="E1876" s="4"/>
      <c r="F1876" s="4"/>
      <c r="G1876" s="4"/>
      <c r="H1876" s="4"/>
    </row>
    <row r="1877">
      <c r="D1877" s="5"/>
      <c r="E1877" s="4"/>
      <c r="F1877" s="4"/>
      <c r="G1877" s="4"/>
      <c r="H1877" s="4"/>
    </row>
    <row r="1878">
      <c r="D1878" s="5"/>
      <c r="E1878" s="4"/>
      <c r="F1878" s="4"/>
      <c r="G1878" s="4"/>
      <c r="H1878" s="4"/>
    </row>
    <row r="1879">
      <c r="D1879" s="5"/>
      <c r="E1879" s="4"/>
      <c r="F1879" s="4"/>
      <c r="G1879" s="4"/>
      <c r="H1879" s="4"/>
    </row>
    <row r="1880">
      <c r="D1880" s="5"/>
      <c r="E1880" s="4"/>
      <c r="F1880" s="4"/>
      <c r="G1880" s="4"/>
      <c r="H1880" s="4"/>
    </row>
    <row r="1881">
      <c r="D1881" s="5"/>
      <c r="E1881" s="4"/>
      <c r="F1881" s="4"/>
      <c r="G1881" s="4"/>
      <c r="H1881" s="4"/>
    </row>
    <row r="1882">
      <c r="D1882" s="5"/>
      <c r="E1882" s="4"/>
      <c r="F1882" s="4"/>
      <c r="G1882" s="4"/>
      <c r="H1882" s="4"/>
    </row>
    <row r="1883">
      <c r="D1883" s="5"/>
      <c r="E1883" s="4"/>
      <c r="F1883" s="4"/>
      <c r="G1883" s="4"/>
      <c r="H1883" s="4"/>
    </row>
    <row r="1884">
      <c r="D1884" s="5"/>
      <c r="E1884" s="4"/>
      <c r="F1884" s="4"/>
      <c r="G1884" s="4"/>
      <c r="H1884" s="4"/>
    </row>
    <row r="1885">
      <c r="D1885" s="5"/>
      <c r="E1885" s="4"/>
      <c r="F1885" s="4"/>
      <c r="G1885" s="4"/>
      <c r="H1885" s="4"/>
    </row>
    <row r="1886">
      <c r="D1886" s="5"/>
      <c r="E1886" s="4"/>
      <c r="F1886" s="4"/>
      <c r="G1886" s="4"/>
      <c r="H1886" s="4"/>
    </row>
    <row r="1887">
      <c r="D1887" s="5"/>
      <c r="E1887" s="4"/>
      <c r="F1887" s="4"/>
      <c r="G1887" s="4"/>
      <c r="H1887" s="4"/>
    </row>
    <row r="1888">
      <c r="D1888" s="5"/>
      <c r="E1888" s="4"/>
      <c r="F1888" s="4"/>
      <c r="G1888" s="4"/>
      <c r="H1888" s="4"/>
    </row>
    <row r="1889">
      <c r="D1889" s="5"/>
      <c r="E1889" s="4"/>
      <c r="F1889" s="4"/>
      <c r="G1889" s="4"/>
      <c r="H1889" s="4"/>
    </row>
    <row r="1890">
      <c r="D1890" s="5"/>
      <c r="E1890" s="4"/>
      <c r="F1890" s="4"/>
      <c r="G1890" s="4"/>
      <c r="H1890" s="4"/>
    </row>
    <row r="1891">
      <c r="D1891" s="5"/>
      <c r="E1891" s="4"/>
      <c r="F1891" s="4"/>
      <c r="G1891" s="4"/>
      <c r="H1891" s="4"/>
    </row>
    <row r="1892">
      <c r="D1892" s="5"/>
      <c r="E1892" s="4"/>
      <c r="F1892" s="4"/>
      <c r="G1892" s="4"/>
      <c r="H1892" s="4"/>
    </row>
    <row r="1893">
      <c r="D1893" s="5"/>
      <c r="E1893" s="4"/>
      <c r="F1893" s="4"/>
      <c r="G1893" s="4"/>
      <c r="H1893" s="4"/>
    </row>
    <row r="1894">
      <c r="D1894" s="5"/>
      <c r="E1894" s="4"/>
      <c r="F1894" s="4"/>
      <c r="G1894" s="4"/>
      <c r="H1894" s="4"/>
    </row>
    <row r="1895">
      <c r="D1895" s="5"/>
      <c r="E1895" s="4"/>
      <c r="F1895" s="4"/>
      <c r="G1895" s="4"/>
      <c r="H1895" s="4"/>
    </row>
    <row r="1896">
      <c r="D1896" s="5"/>
      <c r="E1896" s="4"/>
      <c r="F1896" s="4"/>
      <c r="G1896" s="4"/>
      <c r="H1896" s="4"/>
    </row>
    <row r="1897">
      <c r="D1897" s="5"/>
      <c r="E1897" s="4"/>
      <c r="F1897" s="4"/>
      <c r="G1897" s="4"/>
      <c r="H1897" s="4"/>
    </row>
    <row r="1898">
      <c r="D1898" s="5"/>
      <c r="E1898" s="4"/>
      <c r="F1898" s="4"/>
      <c r="G1898" s="4"/>
      <c r="H1898" s="4"/>
    </row>
    <row r="1899">
      <c r="D1899" s="5"/>
      <c r="E1899" s="4"/>
      <c r="F1899" s="4"/>
      <c r="G1899" s="4"/>
      <c r="H1899" s="4"/>
    </row>
    <row r="1900">
      <c r="D1900" s="5"/>
      <c r="E1900" s="4"/>
      <c r="F1900" s="4"/>
      <c r="G1900" s="4"/>
      <c r="H1900" s="4"/>
    </row>
    <row r="1901">
      <c r="D1901" s="5"/>
      <c r="E1901" s="4"/>
      <c r="F1901" s="4"/>
      <c r="G1901" s="4"/>
      <c r="H1901" s="4"/>
    </row>
    <row r="1902">
      <c r="D1902" s="5"/>
      <c r="E1902" s="4"/>
      <c r="F1902" s="4"/>
      <c r="G1902" s="4"/>
      <c r="H1902" s="4"/>
    </row>
    <row r="1903">
      <c r="D1903" s="5"/>
      <c r="E1903" s="4"/>
      <c r="F1903" s="4"/>
      <c r="G1903" s="4"/>
      <c r="H1903" s="4"/>
    </row>
    <row r="1904">
      <c r="D1904" s="5"/>
      <c r="E1904" s="4"/>
      <c r="F1904" s="4"/>
      <c r="G1904" s="4"/>
      <c r="H1904" s="4"/>
    </row>
    <row r="1905">
      <c r="D1905" s="5"/>
      <c r="E1905" s="4"/>
      <c r="F1905" s="4"/>
      <c r="G1905" s="4"/>
      <c r="H1905" s="4"/>
    </row>
    <row r="1906">
      <c r="D1906" s="5"/>
      <c r="E1906" s="4"/>
      <c r="F1906" s="4"/>
      <c r="G1906" s="4"/>
      <c r="H1906" s="4"/>
    </row>
    <row r="1907">
      <c r="D1907" s="5"/>
      <c r="E1907" s="4"/>
      <c r="F1907" s="4"/>
      <c r="G1907" s="4"/>
      <c r="H1907" s="4"/>
    </row>
    <row r="1908">
      <c r="D1908" s="5"/>
      <c r="E1908" s="4"/>
      <c r="F1908" s="4"/>
      <c r="G1908" s="4"/>
      <c r="H1908" s="4"/>
    </row>
    <row r="1909">
      <c r="D1909" s="5"/>
      <c r="E1909" s="4"/>
      <c r="F1909" s="4"/>
      <c r="G1909" s="4"/>
      <c r="H1909" s="4"/>
    </row>
    <row r="1910">
      <c r="D1910" s="5"/>
      <c r="E1910" s="4"/>
      <c r="F1910" s="4"/>
      <c r="G1910" s="4"/>
      <c r="H1910" s="4"/>
    </row>
    <row r="1911">
      <c r="D1911" s="5"/>
      <c r="E1911" s="4"/>
      <c r="F1911" s="4"/>
      <c r="G1911" s="4"/>
      <c r="H1911" s="4"/>
    </row>
    <row r="1912">
      <c r="D1912" s="5"/>
      <c r="E1912" s="4"/>
      <c r="F1912" s="4"/>
      <c r="G1912" s="4"/>
      <c r="H1912" s="4"/>
    </row>
    <row r="1913">
      <c r="D1913" s="5"/>
      <c r="E1913" s="4"/>
      <c r="F1913" s="4"/>
      <c r="G1913" s="4"/>
      <c r="H1913" s="4"/>
    </row>
    <row r="1914">
      <c r="D1914" s="5"/>
      <c r="E1914" s="4"/>
      <c r="F1914" s="4"/>
      <c r="G1914" s="4"/>
      <c r="H1914" s="4"/>
    </row>
    <row r="1915">
      <c r="D1915" s="5"/>
      <c r="E1915" s="4"/>
      <c r="F1915" s="4"/>
      <c r="G1915" s="4"/>
      <c r="H1915" s="4"/>
    </row>
    <row r="1916">
      <c r="D1916" s="5"/>
      <c r="E1916" s="4"/>
      <c r="F1916" s="4"/>
      <c r="G1916" s="4"/>
      <c r="H1916" s="4"/>
    </row>
    <row r="1917">
      <c r="D1917" s="5"/>
      <c r="E1917" s="4"/>
      <c r="F1917" s="4"/>
      <c r="G1917" s="4"/>
      <c r="H1917" s="4"/>
    </row>
    <row r="1918">
      <c r="D1918" s="5"/>
      <c r="E1918" s="4"/>
      <c r="F1918" s="4"/>
      <c r="G1918" s="4"/>
      <c r="H1918" s="4"/>
    </row>
    <row r="1919">
      <c r="D1919" s="5"/>
      <c r="E1919" s="4"/>
      <c r="F1919" s="4"/>
      <c r="G1919" s="4"/>
      <c r="H1919" s="4"/>
    </row>
    <row r="1920">
      <c r="D1920" s="5"/>
      <c r="E1920" s="4"/>
      <c r="F1920" s="4"/>
      <c r="G1920" s="4"/>
      <c r="H1920" s="4"/>
    </row>
    <row r="1921">
      <c r="D1921" s="5"/>
      <c r="E1921" s="4"/>
      <c r="F1921" s="4"/>
      <c r="G1921" s="4"/>
      <c r="H1921" s="4"/>
    </row>
    <row r="1922">
      <c r="D1922" s="5"/>
      <c r="E1922" s="4"/>
      <c r="F1922" s="4"/>
      <c r="G1922" s="4"/>
      <c r="H1922" s="4"/>
    </row>
    <row r="1923">
      <c r="D1923" s="5"/>
      <c r="E1923" s="4"/>
      <c r="F1923" s="4"/>
      <c r="G1923" s="4"/>
      <c r="H1923" s="4"/>
    </row>
    <row r="1924">
      <c r="D1924" s="5"/>
      <c r="E1924" s="4"/>
      <c r="F1924" s="4"/>
      <c r="G1924" s="4"/>
      <c r="H1924" s="4"/>
    </row>
    <row r="1925">
      <c r="D1925" s="5"/>
      <c r="E1925" s="4"/>
      <c r="F1925" s="4"/>
      <c r="G1925" s="4"/>
      <c r="H1925" s="4"/>
    </row>
    <row r="1926">
      <c r="D1926" s="5"/>
      <c r="E1926" s="4"/>
      <c r="F1926" s="4"/>
      <c r="G1926" s="4"/>
      <c r="H1926" s="4"/>
    </row>
    <row r="1927">
      <c r="D1927" s="5"/>
      <c r="E1927" s="4"/>
      <c r="F1927" s="4"/>
      <c r="G1927" s="4"/>
      <c r="H1927" s="4"/>
    </row>
    <row r="1928">
      <c r="D1928" s="5"/>
      <c r="E1928" s="4"/>
      <c r="F1928" s="4"/>
      <c r="G1928" s="4"/>
      <c r="H1928" s="4"/>
    </row>
    <row r="1929">
      <c r="D1929" s="5"/>
      <c r="E1929" s="4"/>
      <c r="F1929" s="4"/>
      <c r="G1929" s="4"/>
      <c r="H1929" s="4"/>
    </row>
    <row r="1930">
      <c r="D1930" s="5"/>
      <c r="E1930" s="4"/>
      <c r="F1930" s="4"/>
      <c r="G1930" s="4"/>
      <c r="H1930" s="4"/>
    </row>
    <row r="1931">
      <c r="D1931" s="5"/>
      <c r="E1931" s="4"/>
      <c r="F1931" s="4"/>
      <c r="G1931" s="4"/>
      <c r="H1931" s="4"/>
    </row>
    <row r="1932">
      <c r="D1932" s="5"/>
      <c r="E1932" s="4"/>
      <c r="F1932" s="4"/>
      <c r="G1932" s="4"/>
      <c r="H1932" s="4"/>
    </row>
    <row r="1933">
      <c r="D1933" s="5"/>
      <c r="E1933" s="4"/>
      <c r="F1933" s="4"/>
      <c r="G1933" s="4"/>
      <c r="H1933" s="4"/>
    </row>
    <row r="1934">
      <c r="D1934" s="5"/>
      <c r="E1934" s="4"/>
      <c r="F1934" s="4"/>
      <c r="G1934" s="4"/>
      <c r="H1934" s="4"/>
    </row>
    <row r="1935">
      <c r="D1935" s="5"/>
      <c r="E1935" s="4"/>
      <c r="F1935" s="4"/>
      <c r="G1935" s="4"/>
      <c r="H1935" s="4"/>
    </row>
    <row r="1936">
      <c r="D1936" s="5"/>
      <c r="E1936" s="4"/>
      <c r="F1936" s="4"/>
      <c r="G1936" s="4"/>
      <c r="H1936" s="4"/>
    </row>
    <row r="1937">
      <c r="D1937" s="5"/>
      <c r="E1937" s="4"/>
      <c r="F1937" s="4"/>
      <c r="G1937" s="4"/>
      <c r="H1937" s="4"/>
    </row>
    <row r="1938">
      <c r="D1938" s="5"/>
      <c r="E1938" s="4"/>
      <c r="F1938" s="4"/>
      <c r="G1938" s="4"/>
      <c r="H1938" s="4"/>
    </row>
    <row r="1939">
      <c r="D1939" s="5"/>
      <c r="E1939" s="4"/>
      <c r="F1939" s="4"/>
      <c r="G1939" s="4"/>
      <c r="H1939" s="4"/>
    </row>
    <row r="1940">
      <c r="D1940" s="5"/>
      <c r="E1940" s="4"/>
      <c r="F1940" s="4"/>
      <c r="G1940" s="4"/>
      <c r="H1940" s="4"/>
    </row>
    <row r="1941">
      <c r="D1941" s="5"/>
      <c r="E1941" s="4"/>
      <c r="F1941" s="4"/>
      <c r="G1941" s="4"/>
      <c r="H1941" s="4"/>
    </row>
    <row r="1942">
      <c r="D1942" s="5"/>
      <c r="E1942" s="4"/>
      <c r="F1942" s="4"/>
      <c r="G1942" s="4"/>
      <c r="H1942" s="4"/>
    </row>
    <row r="1943">
      <c r="D1943" s="5"/>
      <c r="E1943" s="4"/>
      <c r="F1943" s="4"/>
      <c r="G1943" s="4"/>
      <c r="H1943" s="4"/>
    </row>
    <row r="1944">
      <c r="D1944" s="5"/>
      <c r="E1944" s="4"/>
      <c r="F1944" s="4"/>
      <c r="G1944" s="4"/>
      <c r="H1944" s="4"/>
    </row>
    <row r="1945">
      <c r="D1945" s="5"/>
      <c r="E1945" s="4"/>
      <c r="F1945" s="4"/>
      <c r="G1945" s="4"/>
      <c r="H1945" s="4"/>
    </row>
    <row r="1946">
      <c r="D1946" s="5"/>
      <c r="E1946" s="4"/>
      <c r="F1946" s="4"/>
      <c r="G1946" s="4"/>
      <c r="H1946" s="4"/>
    </row>
    <row r="1947">
      <c r="D1947" s="5"/>
      <c r="E1947" s="4"/>
      <c r="F1947" s="4"/>
      <c r="G1947" s="4"/>
      <c r="H1947" s="4"/>
    </row>
    <row r="1948">
      <c r="D1948" s="5"/>
      <c r="E1948" s="4"/>
      <c r="F1948" s="4"/>
      <c r="G1948" s="4"/>
      <c r="H1948" s="4"/>
    </row>
    <row r="1949">
      <c r="D1949" s="5"/>
      <c r="E1949" s="4"/>
      <c r="F1949" s="4"/>
      <c r="G1949" s="4"/>
      <c r="H1949" s="4"/>
    </row>
    <row r="1950">
      <c r="D1950" s="5"/>
      <c r="E1950" s="4"/>
      <c r="F1950" s="4"/>
      <c r="G1950" s="4"/>
      <c r="H1950" s="4"/>
    </row>
    <row r="1951">
      <c r="D1951" s="5"/>
      <c r="E1951" s="4"/>
      <c r="F1951" s="4"/>
      <c r="G1951" s="4"/>
      <c r="H1951" s="4"/>
    </row>
    <row r="1952">
      <c r="D1952" s="5"/>
      <c r="E1952" s="4"/>
      <c r="F1952" s="4"/>
      <c r="G1952" s="4"/>
      <c r="H1952" s="4"/>
    </row>
    <row r="1953">
      <c r="D1953" s="5"/>
      <c r="E1953" s="4"/>
      <c r="F1953" s="4"/>
      <c r="G1953" s="4"/>
      <c r="H1953" s="4"/>
    </row>
    <row r="1954">
      <c r="D1954" s="5"/>
      <c r="E1954" s="4"/>
      <c r="F1954" s="4"/>
      <c r="G1954" s="4"/>
      <c r="H1954" s="4"/>
    </row>
    <row r="1955">
      <c r="D1955" s="5"/>
      <c r="E1955" s="4"/>
      <c r="F1955" s="4"/>
      <c r="G1955" s="4"/>
      <c r="H1955" s="4"/>
    </row>
    <row r="1956">
      <c r="D1956" s="5"/>
      <c r="E1956" s="4"/>
      <c r="F1956" s="4"/>
      <c r="G1956" s="4"/>
      <c r="H1956" s="4"/>
    </row>
    <row r="1957">
      <c r="D1957" s="5"/>
      <c r="E1957" s="4"/>
      <c r="F1957" s="4"/>
      <c r="G1957" s="4"/>
      <c r="H1957" s="4"/>
    </row>
    <row r="1958">
      <c r="D1958" s="5"/>
      <c r="E1958" s="4"/>
      <c r="F1958" s="4"/>
      <c r="G1958" s="4"/>
      <c r="H1958" s="4"/>
    </row>
    <row r="1959">
      <c r="D1959" s="5"/>
      <c r="E1959" s="4"/>
      <c r="F1959" s="4"/>
      <c r="G1959" s="4"/>
      <c r="H1959" s="4"/>
    </row>
    <row r="1960">
      <c r="D1960" s="5"/>
      <c r="E1960" s="4"/>
      <c r="F1960" s="4"/>
      <c r="G1960" s="4"/>
      <c r="H1960" s="4"/>
    </row>
    <row r="1961">
      <c r="D1961" s="5"/>
      <c r="E1961" s="4"/>
      <c r="F1961" s="4"/>
      <c r="G1961" s="4"/>
      <c r="H1961" s="4"/>
    </row>
    <row r="1962">
      <c r="D1962" s="5"/>
      <c r="E1962" s="4"/>
      <c r="F1962" s="4"/>
      <c r="G1962" s="4"/>
      <c r="H1962" s="4"/>
    </row>
    <row r="1963">
      <c r="D1963" s="5"/>
      <c r="E1963" s="4"/>
      <c r="F1963" s="4"/>
      <c r="G1963" s="4"/>
      <c r="H1963" s="4"/>
    </row>
    <row r="1964">
      <c r="D1964" s="5"/>
      <c r="E1964" s="4"/>
      <c r="F1964" s="4"/>
      <c r="G1964" s="4"/>
      <c r="H1964" s="4"/>
    </row>
    <row r="1965">
      <c r="D1965" s="5"/>
      <c r="E1965" s="4"/>
      <c r="F1965" s="4"/>
      <c r="G1965" s="4"/>
      <c r="H1965" s="4"/>
    </row>
    <row r="1966">
      <c r="D1966" s="5"/>
      <c r="E1966" s="4"/>
      <c r="F1966" s="4"/>
      <c r="G1966" s="4"/>
      <c r="H1966" s="4"/>
    </row>
    <row r="1967">
      <c r="D1967" s="5"/>
      <c r="E1967" s="4"/>
      <c r="F1967" s="4"/>
      <c r="G1967" s="4"/>
      <c r="H1967" s="4"/>
    </row>
    <row r="1968">
      <c r="D1968" s="5"/>
      <c r="E1968" s="4"/>
      <c r="F1968" s="4"/>
      <c r="G1968" s="4"/>
      <c r="H1968" s="4"/>
    </row>
    <row r="1969">
      <c r="D1969" s="5"/>
      <c r="E1969" s="4"/>
      <c r="F1969" s="4"/>
      <c r="G1969" s="4"/>
      <c r="H1969" s="4"/>
    </row>
    <row r="1970">
      <c r="D1970" s="5"/>
      <c r="E1970" s="4"/>
      <c r="F1970" s="4"/>
      <c r="G1970" s="4"/>
      <c r="H1970" s="4"/>
    </row>
    <row r="1971">
      <c r="D1971" s="5"/>
      <c r="E1971" s="4"/>
      <c r="F1971" s="4"/>
      <c r="G1971" s="4"/>
      <c r="H1971" s="4"/>
    </row>
    <row r="1972">
      <c r="D1972" s="5"/>
      <c r="E1972" s="4"/>
      <c r="F1972" s="4"/>
      <c r="G1972" s="4"/>
      <c r="H1972" s="4"/>
    </row>
    <row r="1973">
      <c r="D1973" s="5"/>
      <c r="E1973" s="4"/>
      <c r="F1973" s="4"/>
      <c r="G1973" s="4"/>
      <c r="H1973" s="4"/>
    </row>
    <row r="1974">
      <c r="D1974" s="5"/>
      <c r="E1974" s="4"/>
      <c r="F1974" s="4"/>
      <c r="G1974" s="4"/>
      <c r="H1974" s="4"/>
    </row>
    <row r="1975">
      <c r="D1975" s="5"/>
      <c r="E1975" s="4"/>
      <c r="F1975" s="4"/>
      <c r="G1975" s="4"/>
      <c r="H1975" s="4"/>
    </row>
    <row r="1976">
      <c r="D1976" s="5"/>
      <c r="E1976" s="4"/>
      <c r="F1976" s="4"/>
      <c r="G1976" s="4"/>
      <c r="H1976" s="4"/>
    </row>
    <row r="1977">
      <c r="D1977" s="5"/>
      <c r="E1977" s="4"/>
      <c r="F1977" s="4"/>
      <c r="G1977" s="4"/>
      <c r="H1977" s="4"/>
    </row>
    <row r="1978">
      <c r="D1978" s="5"/>
      <c r="E1978" s="4"/>
      <c r="F1978" s="4"/>
      <c r="G1978" s="4"/>
      <c r="H1978" s="4"/>
    </row>
    <row r="1979">
      <c r="D1979" s="5"/>
      <c r="E1979" s="4"/>
      <c r="F1979" s="4"/>
      <c r="G1979" s="4"/>
      <c r="H1979" s="4"/>
    </row>
    <row r="1980">
      <c r="D1980" s="5"/>
      <c r="E1980" s="4"/>
      <c r="F1980" s="4"/>
      <c r="G1980" s="4"/>
      <c r="H1980" s="4"/>
    </row>
    <row r="1981">
      <c r="D1981" s="5"/>
      <c r="E1981" s="4"/>
      <c r="F1981" s="4"/>
      <c r="G1981" s="4"/>
      <c r="H1981" s="4"/>
    </row>
    <row r="1982">
      <c r="D1982" s="5"/>
      <c r="E1982" s="4"/>
      <c r="F1982" s="4"/>
      <c r="G1982" s="4"/>
      <c r="H1982" s="4"/>
    </row>
    <row r="1983">
      <c r="D1983" s="5"/>
      <c r="E1983" s="4"/>
      <c r="F1983" s="4"/>
      <c r="G1983" s="4"/>
      <c r="H1983" s="4"/>
    </row>
    <row r="1984">
      <c r="D1984" s="5"/>
      <c r="E1984" s="4"/>
      <c r="F1984" s="4"/>
      <c r="G1984" s="4"/>
      <c r="H1984" s="4"/>
    </row>
    <row r="1985">
      <c r="D1985" s="5"/>
      <c r="E1985" s="4"/>
      <c r="F1985" s="4"/>
      <c r="G1985" s="4"/>
      <c r="H1985" s="4"/>
    </row>
    <row r="1986">
      <c r="D1986" s="5"/>
      <c r="E1986" s="4"/>
      <c r="F1986" s="4"/>
      <c r="G1986" s="4"/>
      <c r="H1986" s="4"/>
    </row>
    <row r="1987">
      <c r="D1987" s="5"/>
      <c r="E1987" s="4"/>
      <c r="F1987" s="4"/>
      <c r="G1987" s="4"/>
      <c r="H1987" s="4"/>
    </row>
    <row r="1988">
      <c r="D1988" s="5"/>
      <c r="E1988" s="4"/>
      <c r="F1988" s="4"/>
      <c r="G1988" s="4"/>
      <c r="H1988" s="4"/>
    </row>
    <row r="1989">
      <c r="D1989" s="5"/>
      <c r="E1989" s="4"/>
      <c r="F1989" s="4"/>
      <c r="G1989" s="4"/>
      <c r="H1989" s="4"/>
    </row>
    <row r="1990">
      <c r="D1990" s="5"/>
      <c r="E1990" s="4"/>
      <c r="F1990" s="4"/>
      <c r="G1990" s="4"/>
      <c r="H1990" s="4"/>
    </row>
    <row r="1991">
      <c r="D1991" s="5"/>
      <c r="E1991" s="4"/>
      <c r="F1991" s="4"/>
      <c r="G1991" s="4"/>
      <c r="H1991" s="4"/>
    </row>
    <row r="1992">
      <c r="D1992" s="5"/>
      <c r="E1992" s="4"/>
      <c r="F1992" s="4"/>
      <c r="G1992" s="4"/>
      <c r="H1992" s="4"/>
    </row>
    <row r="1993">
      <c r="D1993" s="5"/>
      <c r="E1993" s="4"/>
      <c r="F1993" s="4"/>
      <c r="G1993" s="4"/>
      <c r="H1993" s="4"/>
    </row>
    <row r="1994">
      <c r="D1994" s="5"/>
      <c r="E1994" s="4"/>
      <c r="F1994" s="4"/>
      <c r="G1994" s="4"/>
      <c r="H1994" s="4"/>
    </row>
    <row r="1995">
      <c r="D1995" s="5"/>
      <c r="E1995" s="4"/>
      <c r="F1995" s="4"/>
      <c r="G1995" s="4"/>
      <c r="H1995" s="4"/>
    </row>
    <row r="1996">
      <c r="D1996" s="5"/>
      <c r="E1996" s="4"/>
      <c r="F1996" s="4"/>
      <c r="G1996" s="4"/>
      <c r="H1996" s="4"/>
    </row>
    <row r="1997">
      <c r="D1997" s="5"/>
      <c r="E1997" s="4"/>
      <c r="F1997" s="4"/>
      <c r="G1997" s="4"/>
      <c r="H1997" s="4"/>
    </row>
    <row r="1998">
      <c r="D1998" s="5"/>
      <c r="E1998" s="4"/>
      <c r="F1998" s="4"/>
      <c r="G1998" s="4"/>
      <c r="H1998" s="4"/>
    </row>
    <row r="1999">
      <c r="D1999" s="5"/>
      <c r="E1999" s="4"/>
      <c r="F1999" s="4"/>
      <c r="G1999" s="4"/>
      <c r="H1999" s="4"/>
    </row>
    <row r="2000">
      <c r="D2000" s="5"/>
      <c r="E2000" s="4"/>
      <c r="F2000" s="4"/>
      <c r="G2000" s="4"/>
      <c r="H2000" s="4"/>
    </row>
    <row r="2001">
      <c r="D2001" s="5"/>
      <c r="E2001" s="4"/>
      <c r="F2001" s="4"/>
      <c r="G2001" s="4"/>
      <c r="H2001" s="4"/>
    </row>
    <row r="2002">
      <c r="D2002" s="5"/>
      <c r="E2002" s="4"/>
      <c r="F2002" s="4"/>
      <c r="G2002" s="4"/>
      <c r="H2002" s="4"/>
    </row>
    <row r="2003">
      <c r="D2003" s="5"/>
      <c r="E2003" s="4"/>
      <c r="F2003" s="4"/>
      <c r="G2003" s="4"/>
      <c r="H2003" s="4"/>
    </row>
    <row r="2004">
      <c r="D2004" s="5"/>
      <c r="E2004" s="4"/>
      <c r="F2004" s="4"/>
      <c r="G2004" s="4"/>
      <c r="H2004" s="4"/>
    </row>
    <row r="2005">
      <c r="D2005" s="5"/>
      <c r="E2005" s="4"/>
      <c r="F2005" s="4"/>
      <c r="G2005" s="4"/>
      <c r="H2005" s="4"/>
    </row>
    <row r="2006">
      <c r="D2006" s="5"/>
      <c r="E2006" s="4"/>
      <c r="F2006" s="4"/>
      <c r="G2006" s="4"/>
      <c r="H2006" s="4"/>
    </row>
    <row r="2007">
      <c r="D2007" s="5"/>
      <c r="E2007" s="4"/>
      <c r="F2007" s="4"/>
      <c r="G2007" s="4"/>
      <c r="H2007" s="4"/>
    </row>
    <row r="2008">
      <c r="D2008" s="5"/>
      <c r="E2008" s="4"/>
      <c r="F2008" s="4"/>
      <c r="G2008" s="4"/>
      <c r="H2008" s="4"/>
    </row>
    <row r="2009">
      <c r="D2009" s="5"/>
      <c r="E2009" s="4"/>
      <c r="F2009" s="4"/>
      <c r="G2009" s="4"/>
      <c r="H2009" s="4"/>
    </row>
    <row r="2010">
      <c r="D2010" s="5"/>
      <c r="E2010" s="4"/>
      <c r="F2010" s="4"/>
      <c r="G2010" s="4"/>
      <c r="H2010" s="4"/>
    </row>
    <row r="2011">
      <c r="D2011" s="5"/>
      <c r="E2011" s="4"/>
      <c r="F2011" s="4"/>
      <c r="G2011" s="4"/>
      <c r="H2011" s="4"/>
    </row>
    <row r="2012">
      <c r="D2012" s="5"/>
      <c r="E2012" s="4"/>
      <c r="F2012" s="4"/>
      <c r="G2012" s="4"/>
      <c r="H2012" s="4"/>
    </row>
    <row r="2013">
      <c r="D2013" s="5"/>
      <c r="E2013" s="4"/>
      <c r="F2013" s="4"/>
      <c r="G2013" s="4"/>
      <c r="H2013" s="4"/>
    </row>
    <row r="2014">
      <c r="D2014" s="5"/>
      <c r="E2014" s="4"/>
      <c r="F2014" s="4"/>
      <c r="G2014" s="4"/>
      <c r="H2014" s="4"/>
    </row>
    <row r="2015">
      <c r="D2015" s="5"/>
      <c r="E2015" s="4"/>
      <c r="F2015" s="4"/>
      <c r="G2015" s="4"/>
      <c r="H2015" s="4"/>
    </row>
    <row r="2016">
      <c r="D2016" s="5"/>
      <c r="E2016" s="4"/>
      <c r="F2016" s="4"/>
      <c r="G2016" s="4"/>
      <c r="H2016" s="4"/>
    </row>
    <row r="2017">
      <c r="D2017" s="5"/>
      <c r="E2017" s="4"/>
      <c r="F2017" s="4"/>
      <c r="G2017" s="4"/>
      <c r="H2017" s="4"/>
    </row>
    <row r="2018">
      <c r="D2018" s="5"/>
      <c r="E2018" s="4"/>
      <c r="F2018" s="4"/>
      <c r="G2018" s="4"/>
      <c r="H2018" s="4"/>
    </row>
    <row r="2019">
      <c r="D2019" s="5"/>
      <c r="E2019" s="4"/>
      <c r="F2019" s="4"/>
      <c r="G2019" s="4"/>
      <c r="H2019" s="4"/>
    </row>
    <row r="2020">
      <c r="D2020" s="5"/>
      <c r="E2020" s="4"/>
      <c r="F2020" s="4"/>
      <c r="G2020" s="4"/>
      <c r="H2020" s="4"/>
    </row>
    <row r="2021">
      <c r="D2021" s="5"/>
      <c r="E2021" s="4"/>
      <c r="F2021" s="4"/>
      <c r="G2021" s="4"/>
      <c r="H2021" s="4"/>
    </row>
    <row r="2022">
      <c r="D2022" s="5"/>
      <c r="E2022" s="4"/>
      <c r="F2022" s="4"/>
      <c r="G2022" s="4"/>
      <c r="H2022" s="4"/>
    </row>
    <row r="2023">
      <c r="D2023" s="5"/>
      <c r="E2023" s="4"/>
      <c r="F2023" s="4"/>
      <c r="G2023" s="4"/>
      <c r="H2023" s="4"/>
    </row>
    <row r="2024">
      <c r="D2024" s="5"/>
      <c r="E2024" s="4"/>
      <c r="F2024" s="4"/>
      <c r="G2024" s="4"/>
      <c r="H2024" s="4"/>
    </row>
    <row r="2025">
      <c r="D2025" s="5"/>
      <c r="E2025" s="4"/>
      <c r="F2025" s="4"/>
      <c r="G2025" s="4"/>
      <c r="H2025" s="4"/>
    </row>
    <row r="2026">
      <c r="D2026" s="5"/>
      <c r="E2026" s="4"/>
      <c r="F2026" s="4"/>
      <c r="G2026" s="4"/>
      <c r="H2026" s="4"/>
    </row>
    <row r="2027">
      <c r="D2027" s="5"/>
      <c r="E2027" s="4"/>
      <c r="F2027" s="4"/>
      <c r="G2027" s="4"/>
      <c r="H2027" s="4"/>
    </row>
    <row r="2028">
      <c r="D2028" s="5"/>
      <c r="E2028" s="4"/>
      <c r="F2028" s="4"/>
      <c r="G2028" s="4"/>
      <c r="H2028" s="4"/>
    </row>
    <row r="2029">
      <c r="D2029" s="5"/>
      <c r="E2029" s="4"/>
      <c r="F2029" s="4"/>
      <c r="G2029" s="4"/>
      <c r="H2029" s="4"/>
    </row>
    <row r="2030">
      <c r="D2030" s="5"/>
      <c r="E2030" s="4"/>
      <c r="F2030" s="4"/>
      <c r="G2030" s="4"/>
      <c r="H2030" s="4"/>
    </row>
    <row r="2031">
      <c r="D2031" s="5"/>
      <c r="E2031" s="4"/>
      <c r="F2031" s="4"/>
      <c r="G2031" s="4"/>
      <c r="H2031" s="4"/>
    </row>
    <row r="2032">
      <c r="D2032" s="5"/>
      <c r="E2032" s="4"/>
      <c r="F2032" s="4"/>
      <c r="G2032" s="4"/>
      <c r="H2032" s="4"/>
    </row>
    <row r="2033">
      <c r="D2033" s="5"/>
      <c r="E2033" s="4"/>
      <c r="F2033" s="4"/>
      <c r="G2033" s="4"/>
      <c r="H2033" s="4"/>
    </row>
    <row r="2034">
      <c r="D2034" s="5"/>
      <c r="E2034" s="4"/>
      <c r="F2034" s="4"/>
      <c r="G2034" s="4"/>
      <c r="H2034" s="4"/>
    </row>
    <row r="2035">
      <c r="D2035" s="5"/>
      <c r="E2035" s="4"/>
      <c r="F2035" s="4"/>
      <c r="G2035" s="4"/>
      <c r="H2035" s="4"/>
    </row>
    <row r="2036">
      <c r="D2036" s="5"/>
      <c r="E2036" s="4"/>
      <c r="F2036" s="4"/>
      <c r="G2036" s="4"/>
      <c r="H2036" s="4"/>
    </row>
    <row r="2037">
      <c r="D2037" s="5"/>
      <c r="E2037" s="4"/>
      <c r="F2037" s="4"/>
      <c r="G2037" s="4"/>
      <c r="H2037" s="4"/>
    </row>
    <row r="2038">
      <c r="D2038" s="5"/>
      <c r="E2038" s="4"/>
      <c r="F2038" s="4"/>
      <c r="G2038" s="4"/>
      <c r="H2038" s="4"/>
    </row>
    <row r="2039">
      <c r="D2039" s="5"/>
      <c r="E2039" s="4"/>
      <c r="F2039" s="4"/>
      <c r="G2039" s="4"/>
      <c r="H2039" s="4"/>
    </row>
    <row r="2040">
      <c r="D2040" s="5"/>
      <c r="E2040" s="4"/>
      <c r="F2040" s="4"/>
      <c r="G2040" s="4"/>
      <c r="H2040" s="4"/>
    </row>
    <row r="2041">
      <c r="D2041" s="5"/>
      <c r="E2041" s="4"/>
      <c r="F2041" s="4"/>
      <c r="G2041" s="4"/>
      <c r="H2041" s="4"/>
    </row>
    <row r="2042">
      <c r="D2042" s="5"/>
      <c r="E2042" s="4"/>
      <c r="F2042" s="4"/>
      <c r="G2042" s="4"/>
      <c r="H2042" s="4"/>
    </row>
    <row r="2043">
      <c r="D2043" s="5"/>
      <c r="E2043" s="4"/>
      <c r="F2043" s="4"/>
      <c r="G2043" s="4"/>
      <c r="H2043" s="4"/>
    </row>
    <row r="2044">
      <c r="D2044" s="5"/>
      <c r="E2044" s="4"/>
      <c r="F2044" s="4"/>
      <c r="G2044" s="4"/>
      <c r="H2044" s="4"/>
    </row>
    <row r="2045">
      <c r="D2045" s="5"/>
      <c r="E2045" s="4"/>
      <c r="F2045" s="4"/>
      <c r="G2045" s="4"/>
      <c r="H2045" s="4"/>
    </row>
    <row r="2046">
      <c r="D2046" s="5"/>
      <c r="E2046" s="4"/>
      <c r="F2046" s="4"/>
      <c r="G2046" s="4"/>
      <c r="H2046" s="4"/>
    </row>
    <row r="2047">
      <c r="D2047" s="5"/>
      <c r="E2047" s="4"/>
      <c r="F2047" s="4"/>
      <c r="G2047" s="4"/>
      <c r="H2047" s="4"/>
    </row>
    <row r="2048">
      <c r="D2048" s="5"/>
      <c r="E2048" s="4"/>
      <c r="F2048" s="4"/>
      <c r="G2048" s="4"/>
      <c r="H2048" s="4"/>
    </row>
    <row r="2049">
      <c r="D2049" s="5"/>
      <c r="E2049" s="4"/>
      <c r="F2049" s="4"/>
      <c r="G2049" s="4"/>
      <c r="H2049" s="4"/>
    </row>
    <row r="2050">
      <c r="D2050" s="5"/>
      <c r="E2050" s="4"/>
      <c r="F2050" s="4"/>
      <c r="G2050" s="4"/>
      <c r="H2050" s="4"/>
    </row>
    <row r="2051">
      <c r="D2051" s="5"/>
      <c r="E2051" s="4"/>
      <c r="F2051" s="4"/>
      <c r="G2051" s="4"/>
      <c r="H2051" s="4"/>
    </row>
    <row r="2052">
      <c r="D2052" s="5"/>
      <c r="E2052" s="4"/>
      <c r="F2052" s="4"/>
      <c r="G2052" s="4"/>
      <c r="H2052" s="4"/>
    </row>
    <row r="2053">
      <c r="D2053" s="5"/>
      <c r="E2053" s="4"/>
      <c r="F2053" s="4"/>
      <c r="G2053" s="4"/>
      <c r="H2053" s="4"/>
    </row>
    <row r="2054">
      <c r="D2054" s="5"/>
      <c r="E2054" s="4"/>
      <c r="F2054" s="4"/>
      <c r="G2054" s="4"/>
      <c r="H2054" s="4"/>
    </row>
    <row r="2055">
      <c r="D2055" s="5"/>
      <c r="E2055" s="4"/>
      <c r="F2055" s="4"/>
      <c r="G2055" s="4"/>
      <c r="H2055" s="4"/>
    </row>
    <row r="2056">
      <c r="D2056" s="5"/>
      <c r="E2056" s="4"/>
      <c r="F2056" s="4"/>
      <c r="G2056" s="4"/>
      <c r="H2056" s="4"/>
    </row>
    <row r="2057">
      <c r="D2057" s="5"/>
      <c r="E2057" s="4"/>
      <c r="F2057" s="4"/>
      <c r="G2057" s="4"/>
      <c r="H2057" s="4"/>
    </row>
    <row r="2058">
      <c r="D2058" s="5"/>
      <c r="E2058" s="4"/>
      <c r="F2058" s="4"/>
      <c r="G2058" s="4"/>
      <c r="H2058" s="4"/>
    </row>
    <row r="2059">
      <c r="D2059" s="5"/>
      <c r="E2059" s="4"/>
      <c r="F2059" s="4"/>
      <c r="G2059" s="4"/>
      <c r="H2059" s="4"/>
    </row>
    <row r="2060">
      <c r="D2060" s="5"/>
      <c r="E2060" s="4"/>
      <c r="F2060" s="4"/>
      <c r="G2060" s="4"/>
      <c r="H2060" s="4"/>
    </row>
    <row r="2061">
      <c r="D2061" s="5"/>
      <c r="E2061" s="4"/>
      <c r="F2061" s="4"/>
      <c r="G2061" s="4"/>
      <c r="H2061" s="4"/>
    </row>
    <row r="2062">
      <c r="D2062" s="5"/>
      <c r="E2062" s="4"/>
      <c r="F2062" s="4"/>
      <c r="G2062" s="4"/>
      <c r="H2062" s="4"/>
    </row>
    <row r="2063">
      <c r="D2063" s="5"/>
      <c r="E2063" s="4"/>
      <c r="F2063" s="4"/>
      <c r="G2063" s="4"/>
      <c r="H2063" s="4"/>
    </row>
    <row r="2064">
      <c r="D2064" s="5"/>
      <c r="E2064" s="4"/>
      <c r="F2064" s="4"/>
      <c r="G2064" s="4"/>
      <c r="H2064" s="4"/>
    </row>
    <row r="2065">
      <c r="D2065" s="5"/>
      <c r="E2065" s="4"/>
      <c r="F2065" s="4"/>
      <c r="G2065" s="4"/>
      <c r="H2065" s="4"/>
    </row>
    <row r="2066">
      <c r="D2066" s="5"/>
      <c r="E2066" s="4"/>
      <c r="F2066" s="4"/>
      <c r="G2066" s="4"/>
      <c r="H2066" s="4"/>
    </row>
    <row r="2067">
      <c r="D2067" s="5"/>
      <c r="E2067" s="4"/>
      <c r="F2067" s="4"/>
      <c r="G2067" s="4"/>
      <c r="H2067" s="4"/>
    </row>
    <row r="2068">
      <c r="D2068" s="5"/>
      <c r="E2068" s="4"/>
      <c r="F2068" s="4"/>
      <c r="G2068" s="4"/>
      <c r="H2068" s="4"/>
    </row>
    <row r="2069">
      <c r="D2069" s="5"/>
      <c r="E2069" s="4"/>
      <c r="F2069" s="4"/>
      <c r="G2069" s="4"/>
      <c r="H2069" s="4"/>
    </row>
    <row r="2070">
      <c r="D2070" s="5"/>
      <c r="E2070" s="4"/>
      <c r="F2070" s="4"/>
      <c r="G2070" s="4"/>
      <c r="H2070" s="4"/>
    </row>
    <row r="2071">
      <c r="D2071" s="5"/>
      <c r="E2071" s="4"/>
      <c r="F2071" s="4"/>
      <c r="G2071" s="4"/>
      <c r="H2071" s="4"/>
    </row>
    <row r="2072">
      <c r="D2072" s="5"/>
      <c r="E2072" s="4"/>
      <c r="F2072" s="4"/>
      <c r="G2072" s="4"/>
      <c r="H2072" s="4"/>
    </row>
    <row r="2073">
      <c r="D2073" s="5"/>
      <c r="E2073" s="4"/>
      <c r="F2073" s="4"/>
      <c r="G2073" s="4"/>
      <c r="H2073" s="4"/>
    </row>
    <row r="2074">
      <c r="D2074" s="5"/>
      <c r="E2074" s="4"/>
      <c r="F2074" s="4"/>
      <c r="G2074" s="4"/>
      <c r="H2074" s="4"/>
    </row>
    <row r="2075">
      <c r="D2075" s="5"/>
      <c r="E2075" s="4"/>
      <c r="F2075" s="4"/>
      <c r="G2075" s="4"/>
      <c r="H2075" s="4"/>
    </row>
    <row r="2076">
      <c r="D2076" s="5"/>
      <c r="E2076" s="4"/>
      <c r="F2076" s="4"/>
      <c r="G2076" s="4"/>
      <c r="H2076" s="4"/>
    </row>
    <row r="2077">
      <c r="D2077" s="5"/>
      <c r="E2077" s="4"/>
      <c r="F2077" s="4"/>
      <c r="G2077" s="4"/>
      <c r="H2077" s="4"/>
    </row>
    <row r="2078">
      <c r="D2078" s="5"/>
      <c r="E2078" s="4"/>
      <c r="F2078" s="4"/>
      <c r="G2078" s="4"/>
      <c r="H2078" s="4"/>
    </row>
    <row r="2079">
      <c r="D2079" s="5"/>
      <c r="E2079" s="4"/>
      <c r="F2079" s="4"/>
      <c r="G2079" s="4"/>
      <c r="H2079" s="4"/>
    </row>
    <row r="2080">
      <c r="D2080" s="5"/>
      <c r="E2080" s="4"/>
      <c r="F2080" s="4"/>
      <c r="G2080" s="4"/>
      <c r="H2080" s="4"/>
    </row>
    <row r="2081">
      <c r="D2081" s="5"/>
      <c r="E2081" s="4"/>
      <c r="F2081" s="4"/>
      <c r="G2081" s="4"/>
      <c r="H2081" s="4"/>
    </row>
    <row r="2082">
      <c r="D2082" s="5"/>
      <c r="E2082" s="4"/>
      <c r="F2082" s="4"/>
      <c r="G2082" s="4"/>
      <c r="H2082" s="4"/>
    </row>
    <row r="2083">
      <c r="D2083" s="5"/>
      <c r="E2083" s="4"/>
      <c r="F2083" s="4"/>
      <c r="G2083" s="4"/>
      <c r="H2083" s="4"/>
    </row>
    <row r="2084">
      <c r="D2084" s="5"/>
      <c r="E2084" s="4"/>
      <c r="F2084" s="4"/>
      <c r="G2084" s="4"/>
      <c r="H2084" s="4"/>
    </row>
    <row r="2085">
      <c r="D2085" s="5"/>
      <c r="E2085" s="4"/>
      <c r="F2085" s="4"/>
      <c r="G2085" s="4"/>
      <c r="H2085" s="4"/>
    </row>
    <row r="2086">
      <c r="D2086" s="5"/>
      <c r="E2086" s="4"/>
      <c r="F2086" s="4"/>
      <c r="G2086" s="4"/>
      <c r="H2086" s="4"/>
    </row>
    <row r="2087">
      <c r="D2087" s="5"/>
      <c r="E2087" s="4"/>
      <c r="F2087" s="4"/>
      <c r="G2087" s="4"/>
      <c r="H2087" s="4"/>
    </row>
    <row r="2088">
      <c r="D2088" s="5"/>
      <c r="E2088" s="4"/>
      <c r="F2088" s="4"/>
      <c r="G2088" s="4"/>
      <c r="H2088" s="4"/>
    </row>
    <row r="2089">
      <c r="D2089" s="5"/>
      <c r="E2089" s="4"/>
      <c r="F2089" s="4"/>
      <c r="G2089" s="4"/>
      <c r="H2089" s="4"/>
    </row>
    <row r="2090">
      <c r="D2090" s="5"/>
      <c r="E2090" s="4"/>
      <c r="F2090" s="4"/>
      <c r="G2090" s="4"/>
      <c r="H2090" s="4"/>
    </row>
    <row r="2091">
      <c r="D2091" s="5"/>
      <c r="E2091" s="4"/>
      <c r="F2091" s="4"/>
      <c r="G2091" s="4"/>
      <c r="H2091" s="4"/>
    </row>
    <row r="2092">
      <c r="D2092" s="5"/>
      <c r="E2092" s="4"/>
      <c r="F2092" s="4"/>
      <c r="G2092" s="4"/>
      <c r="H2092" s="4"/>
    </row>
    <row r="2093">
      <c r="D2093" s="5"/>
      <c r="E2093" s="4"/>
      <c r="F2093" s="4"/>
      <c r="G2093" s="4"/>
      <c r="H2093" s="4"/>
    </row>
    <row r="2094">
      <c r="D2094" s="5"/>
      <c r="E2094" s="4"/>
      <c r="F2094" s="4"/>
      <c r="G2094" s="4"/>
      <c r="H2094" s="4"/>
    </row>
    <row r="2095">
      <c r="D2095" s="5"/>
      <c r="E2095" s="4"/>
      <c r="F2095" s="4"/>
      <c r="G2095" s="4"/>
      <c r="H2095" s="4"/>
    </row>
    <row r="2096">
      <c r="D2096" s="5"/>
      <c r="E2096" s="4"/>
      <c r="F2096" s="4"/>
      <c r="G2096" s="4"/>
      <c r="H2096" s="4"/>
    </row>
    <row r="2097">
      <c r="D2097" s="5"/>
      <c r="E2097" s="4"/>
      <c r="F2097" s="4"/>
      <c r="G2097" s="4"/>
      <c r="H2097" s="4"/>
    </row>
    <row r="2098">
      <c r="D2098" s="5"/>
      <c r="E2098" s="4"/>
      <c r="F2098" s="4"/>
      <c r="G2098" s="4"/>
      <c r="H2098" s="4"/>
    </row>
    <row r="2099">
      <c r="D2099" s="5"/>
      <c r="E2099" s="4"/>
      <c r="F2099" s="4"/>
      <c r="G2099" s="4"/>
      <c r="H2099" s="4"/>
    </row>
    <row r="2100">
      <c r="D2100" s="5"/>
      <c r="E2100" s="4"/>
      <c r="F2100" s="4"/>
      <c r="G2100" s="4"/>
      <c r="H2100" s="4"/>
    </row>
    <row r="2101">
      <c r="D2101" s="5"/>
      <c r="E2101" s="4"/>
      <c r="F2101" s="4"/>
      <c r="G2101" s="4"/>
      <c r="H2101" s="4"/>
    </row>
    <row r="2102">
      <c r="D2102" s="5"/>
      <c r="E2102" s="4"/>
      <c r="F2102" s="4"/>
      <c r="G2102" s="4"/>
      <c r="H2102" s="4"/>
    </row>
    <row r="2103">
      <c r="D2103" s="5"/>
      <c r="E2103" s="4"/>
      <c r="F2103" s="4"/>
      <c r="G2103" s="4"/>
      <c r="H2103" s="4"/>
    </row>
    <row r="2104">
      <c r="D2104" s="5"/>
      <c r="E2104" s="4"/>
      <c r="F2104" s="4"/>
      <c r="G2104" s="4"/>
      <c r="H2104" s="4"/>
    </row>
    <row r="2105">
      <c r="D2105" s="5"/>
      <c r="E2105" s="4"/>
      <c r="F2105" s="4"/>
      <c r="G2105" s="4"/>
      <c r="H2105" s="4"/>
    </row>
    <row r="2106">
      <c r="D2106" s="5"/>
      <c r="E2106" s="4"/>
      <c r="F2106" s="4"/>
      <c r="G2106" s="4"/>
      <c r="H2106" s="4"/>
    </row>
    <row r="2107">
      <c r="D2107" s="5"/>
      <c r="E2107" s="4"/>
      <c r="F2107" s="4"/>
      <c r="G2107" s="4"/>
      <c r="H2107" s="4"/>
    </row>
    <row r="2108">
      <c r="D2108" s="5"/>
      <c r="E2108" s="4"/>
      <c r="F2108" s="4"/>
      <c r="G2108" s="4"/>
      <c r="H2108" s="4"/>
    </row>
    <row r="2109">
      <c r="D2109" s="5"/>
      <c r="E2109" s="4"/>
      <c r="F2109" s="4"/>
      <c r="G2109" s="4"/>
      <c r="H2109" s="4"/>
    </row>
    <row r="2110">
      <c r="D2110" s="5"/>
      <c r="E2110" s="4"/>
      <c r="F2110" s="4"/>
      <c r="G2110" s="4"/>
      <c r="H2110" s="4"/>
    </row>
    <row r="2111">
      <c r="D2111" s="5"/>
      <c r="E2111" s="4"/>
      <c r="F2111" s="4"/>
      <c r="G2111" s="4"/>
      <c r="H2111" s="4"/>
    </row>
    <row r="2112">
      <c r="D2112" s="5"/>
      <c r="E2112" s="4"/>
      <c r="F2112" s="4"/>
      <c r="G2112" s="4"/>
      <c r="H2112" s="4"/>
    </row>
    <row r="2113">
      <c r="D2113" s="5"/>
      <c r="E2113" s="4"/>
      <c r="F2113" s="4"/>
      <c r="G2113" s="4"/>
      <c r="H2113" s="4"/>
    </row>
    <row r="2114">
      <c r="D2114" s="5"/>
      <c r="E2114" s="4"/>
      <c r="F2114" s="4"/>
      <c r="G2114" s="4"/>
      <c r="H2114" s="4"/>
    </row>
    <row r="2115">
      <c r="D2115" s="5"/>
      <c r="E2115" s="4"/>
      <c r="F2115" s="4"/>
      <c r="G2115" s="4"/>
      <c r="H2115" s="4"/>
    </row>
    <row r="2116">
      <c r="D2116" s="5"/>
      <c r="E2116" s="4"/>
      <c r="F2116" s="4"/>
      <c r="G2116" s="4"/>
      <c r="H2116" s="4"/>
    </row>
    <row r="2117">
      <c r="D2117" s="5"/>
      <c r="E2117" s="4"/>
      <c r="F2117" s="4"/>
      <c r="G2117" s="4"/>
      <c r="H2117" s="4"/>
    </row>
    <row r="2118">
      <c r="D2118" s="5"/>
      <c r="E2118" s="4"/>
      <c r="F2118" s="4"/>
      <c r="G2118" s="4"/>
      <c r="H2118" s="4"/>
    </row>
    <row r="2119">
      <c r="D2119" s="5"/>
      <c r="E2119" s="4"/>
      <c r="F2119" s="4"/>
      <c r="G2119" s="4"/>
      <c r="H2119" s="4"/>
    </row>
    <row r="2120">
      <c r="D2120" s="5"/>
      <c r="E2120" s="4"/>
      <c r="F2120" s="4"/>
      <c r="G2120" s="4"/>
      <c r="H2120" s="4"/>
    </row>
    <row r="2121">
      <c r="D2121" s="5"/>
      <c r="E2121" s="4"/>
      <c r="F2121" s="4"/>
      <c r="G2121" s="4"/>
      <c r="H2121" s="4"/>
    </row>
    <row r="2122">
      <c r="D2122" s="5"/>
      <c r="E2122" s="4"/>
      <c r="F2122" s="4"/>
      <c r="G2122" s="4"/>
      <c r="H2122" s="4"/>
    </row>
    <row r="2123">
      <c r="D2123" s="5"/>
      <c r="E2123" s="4"/>
      <c r="F2123" s="4"/>
      <c r="G2123" s="4"/>
      <c r="H2123" s="4"/>
    </row>
    <row r="2124">
      <c r="D2124" s="5"/>
      <c r="E2124" s="4"/>
      <c r="F2124" s="4"/>
      <c r="G2124" s="4"/>
      <c r="H2124" s="4"/>
    </row>
    <row r="2125">
      <c r="D2125" s="5"/>
      <c r="E2125" s="4"/>
      <c r="F2125" s="4"/>
      <c r="G2125" s="4"/>
      <c r="H2125" s="4"/>
    </row>
    <row r="2126">
      <c r="D2126" s="5"/>
      <c r="E2126" s="4"/>
      <c r="F2126" s="4"/>
      <c r="G2126" s="4"/>
      <c r="H2126" s="4"/>
    </row>
    <row r="2127">
      <c r="D2127" s="5"/>
      <c r="E2127" s="4"/>
      <c r="F2127" s="4"/>
      <c r="G2127" s="4"/>
      <c r="H2127" s="4"/>
    </row>
    <row r="2128">
      <c r="D2128" s="5"/>
      <c r="E2128" s="4"/>
      <c r="F2128" s="4"/>
      <c r="G2128" s="4"/>
      <c r="H2128" s="4"/>
    </row>
    <row r="2129">
      <c r="D2129" s="5"/>
      <c r="E2129" s="4"/>
      <c r="F2129" s="4"/>
      <c r="G2129" s="4"/>
      <c r="H2129" s="4"/>
    </row>
    <row r="2130">
      <c r="D2130" s="5"/>
      <c r="E2130" s="4"/>
      <c r="F2130" s="4"/>
      <c r="G2130" s="4"/>
      <c r="H2130" s="4"/>
    </row>
    <row r="2131">
      <c r="D2131" s="5"/>
      <c r="E2131" s="4"/>
      <c r="F2131" s="4"/>
      <c r="G2131" s="4"/>
      <c r="H2131" s="4"/>
    </row>
    <row r="2132">
      <c r="D2132" s="5"/>
      <c r="E2132" s="4"/>
      <c r="F2132" s="4"/>
      <c r="G2132" s="4"/>
      <c r="H2132" s="4"/>
    </row>
    <row r="2133">
      <c r="D2133" s="5"/>
      <c r="E2133" s="4"/>
      <c r="F2133" s="4"/>
      <c r="G2133" s="4"/>
      <c r="H2133" s="4"/>
    </row>
    <row r="2134">
      <c r="D2134" s="5"/>
      <c r="E2134" s="4"/>
      <c r="F2134" s="4"/>
      <c r="G2134" s="4"/>
      <c r="H2134" s="4"/>
    </row>
    <row r="2135">
      <c r="D2135" s="5"/>
      <c r="E2135" s="4"/>
      <c r="F2135" s="4"/>
      <c r="G2135" s="4"/>
      <c r="H2135" s="4"/>
    </row>
    <row r="2136">
      <c r="D2136" s="5"/>
      <c r="E2136" s="4"/>
      <c r="F2136" s="4"/>
      <c r="G2136" s="4"/>
      <c r="H2136" s="4"/>
    </row>
    <row r="2137">
      <c r="D2137" s="5"/>
      <c r="E2137" s="4"/>
      <c r="F2137" s="4"/>
      <c r="G2137" s="4"/>
      <c r="H2137" s="4"/>
    </row>
    <row r="2138">
      <c r="D2138" s="5"/>
      <c r="E2138" s="4"/>
      <c r="F2138" s="4"/>
      <c r="G2138" s="4"/>
      <c r="H2138" s="4"/>
    </row>
    <row r="2139">
      <c r="D2139" s="5"/>
      <c r="E2139" s="4"/>
      <c r="F2139" s="4"/>
      <c r="G2139" s="4"/>
      <c r="H2139" s="4"/>
    </row>
    <row r="2140">
      <c r="D2140" s="5"/>
      <c r="E2140" s="4"/>
      <c r="F2140" s="4"/>
      <c r="G2140" s="4"/>
      <c r="H2140" s="4"/>
    </row>
    <row r="2141">
      <c r="D2141" s="5"/>
      <c r="E2141" s="4"/>
      <c r="F2141" s="4"/>
      <c r="G2141" s="4"/>
      <c r="H2141" s="4"/>
    </row>
    <row r="2142">
      <c r="D2142" s="5"/>
      <c r="E2142" s="4"/>
      <c r="F2142" s="4"/>
      <c r="G2142" s="4"/>
      <c r="H2142" s="4"/>
    </row>
    <row r="2143">
      <c r="D2143" s="5"/>
      <c r="E2143" s="4"/>
      <c r="F2143" s="4"/>
      <c r="G2143" s="4"/>
      <c r="H2143" s="4"/>
    </row>
    <row r="2144">
      <c r="D2144" s="5"/>
      <c r="E2144" s="4"/>
      <c r="F2144" s="4"/>
      <c r="G2144" s="4"/>
      <c r="H2144" s="4"/>
    </row>
    <row r="2145">
      <c r="D2145" s="5"/>
      <c r="E2145" s="4"/>
      <c r="F2145" s="4"/>
      <c r="G2145" s="4"/>
      <c r="H2145" s="4"/>
    </row>
    <row r="2146">
      <c r="D2146" s="5"/>
      <c r="E2146" s="4"/>
      <c r="F2146" s="4"/>
      <c r="G2146" s="4"/>
      <c r="H2146" s="4"/>
    </row>
    <row r="2147">
      <c r="D2147" s="5"/>
      <c r="E2147" s="4"/>
      <c r="F2147" s="4"/>
      <c r="G2147" s="4"/>
      <c r="H2147" s="4"/>
    </row>
    <row r="2148">
      <c r="D2148" s="5"/>
      <c r="E2148" s="4"/>
      <c r="F2148" s="4"/>
      <c r="G2148" s="4"/>
      <c r="H2148" s="4"/>
    </row>
    <row r="2149">
      <c r="D2149" s="5"/>
      <c r="E2149" s="4"/>
      <c r="F2149" s="4"/>
      <c r="G2149" s="4"/>
      <c r="H2149" s="4"/>
    </row>
    <row r="2150">
      <c r="D2150" s="5"/>
      <c r="E2150" s="4"/>
      <c r="F2150" s="4"/>
      <c r="G2150" s="4"/>
      <c r="H2150" s="4"/>
    </row>
    <row r="2151">
      <c r="D2151" s="5"/>
      <c r="E2151" s="4"/>
      <c r="F2151" s="4"/>
      <c r="G2151" s="4"/>
      <c r="H2151" s="4"/>
    </row>
    <row r="2152">
      <c r="D2152" s="5"/>
      <c r="E2152" s="4"/>
      <c r="F2152" s="4"/>
      <c r="G2152" s="4"/>
      <c r="H2152" s="4"/>
    </row>
    <row r="2153">
      <c r="D2153" s="5"/>
      <c r="E2153" s="4"/>
      <c r="F2153" s="4"/>
      <c r="G2153" s="4"/>
      <c r="H2153" s="4"/>
    </row>
    <row r="2154">
      <c r="D2154" s="5"/>
      <c r="E2154" s="4"/>
      <c r="F2154" s="4"/>
      <c r="G2154" s="4"/>
      <c r="H2154" s="4"/>
    </row>
    <row r="2155">
      <c r="D2155" s="5"/>
      <c r="E2155" s="4"/>
      <c r="F2155" s="4"/>
      <c r="G2155" s="4"/>
      <c r="H2155" s="4"/>
    </row>
    <row r="2156">
      <c r="D2156" s="5"/>
      <c r="E2156" s="4"/>
      <c r="F2156" s="4"/>
      <c r="G2156" s="4"/>
      <c r="H2156" s="4"/>
    </row>
    <row r="2157">
      <c r="D2157" s="5"/>
      <c r="E2157" s="4"/>
      <c r="F2157" s="4"/>
      <c r="G2157" s="4"/>
      <c r="H2157" s="4"/>
    </row>
    <row r="2158">
      <c r="D2158" s="5"/>
      <c r="E2158" s="4"/>
      <c r="F2158" s="4"/>
      <c r="G2158" s="4"/>
      <c r="H2158" s="4"/>
    </row>
    <row r="2159">
      <c r="D2159" s="5"/>
      <c r="E2159" s="4"/>
      <c r="F2159" s="4"/>
      <c r="G2159" s="4"/>
      <c r="H2159" s="4"/>
    </row>
    <row r="2160">
      <c r="D2160" s="5"/>
      <c r="E2160" s="4"/>
      <c r="F2160" s="4"/>
      <c r="G2160" s="4"/>
      <c r="H2160" s="4"/>
    </row>
    <row r="2161">
      <c r="D2161" s="5"/>
      <c r="E2161" s="4"/>
      <c r="F2161" s="4"/>
      <c r="G2161" s="4"/>
      <c r="H2161" s="4"/>
    </row>
    <row r="2162">
      <c r="D2162" s="5"/>
      <c r="E2162" s="4"/>
      <c r="F2162" s="4"/>
      <c r="G2162" s="4"/>
      <c r="H2162" s="4"/>
    </row>
    <row r="2163">
      <c r="D2163" s="5"/>
      <c r="E2163" s="4"/>
      <c r="F2163" s="4"/>
      <c r="G2163" s="4"/>
      <c r="H2163" s="4"/>
    </row>
    <row r="2164">
      <c r="D2164" s="5"/>
      <c r="E2164" s="4"/>
      <c r="F2164" s="4"/>
      <c r="G2164" s="4"/>
      <c r="H2164" s="4"/>
    </row>
    <row r="2165">
      <c r="D2165" s="5"/>
      <c r="E2165" s="4"/>
      <c r="F2165" s="4"/>
      <c r="G2165" s="4"/>
      <c r="H2165" s="4"/>
    </row>
    <row r="2166">
      <c r="D2166" s="5"/>
      <c r="E2166" s="4"/>
      <c r="F2166" s="4"/>
      <c r="G2166" s="4"/>
      <c r="H2166" s="4"/>
    </row>
    <row r="2167">
      <c r="D2167" s="5"/>
      <c r="E2167" s="4"/>
      <c r="F2167" s="4"/>
      <c r="G2167" s="4"/>
      <c r="H2167" s="4"/>
    </row>
    <row r="2168">
      <c r="D2168" s="5"/>
      <c r="E2168" s="4"/>
      <c r="F2168" s="4"/>
      <c r="G2168" s="4"/>
      <c r="H2168" s="4"/>
    </row>
    <row r="2169">
      <c r="D2169" s="5"/>
      <c r="E2169" s="4"/>
      <c r="F2169" s="4"/>
      <c r="G2169" s="4"/>
      <c r="H2169" s="4"/>
    </row>
    <row r="2170">
      <c r="D2170" s="5"/>
      <c r="E2170" s="4"/>
      <c r="F2170" s="4"/>
      <c r="G2170" s="4"/>
      <c r="H2170" s="4"/>
    </row>
    <row r="2171">
      <c r="D2171" s="5"/>
      <c r="E2171" s="4"/>
      <c r="F2171" s="4"/>
      <c r="G2171" s="4"/>
      <c r="H2171" s="4"/>
    </row>
    <row r="2172">
      <c r="D2172" s="5"/>
      <c r="E2172" s="4"/>
      <c r="F2172" s="4"/>
      <c r="G2172" s="4"/>
      <c r="H2172" s="4"/>
    </row>
    <row r="2173">
      <c r="D2173" s="5"/>
      <c r="E2173" s="4"/>
      <c r="F2173" s="4"/>
      <c r="G2173" s="4"/>
      <c r="H2173" s="4"/>
    </row>
    <row r="2174">
      <c r="D2174" s="5"/>
      <c r="E2174" s="4"/>
      <c r="F2174" s="4"/>
      <c r="G2174" s="4"/>
      <c r="H2174" s="4"/>
    </row>
    <row r="2175">
      <c r="D2175" s="5"/>
      <c r="E2175" s="4"/>
      <c r="F2175" s="4"/>
      <c r="G2175" s="4"/>
      <c r="H2175" s="4"/>
    </row>
    <row r="2176">
      <c r="D2176" s="5"/>
      <c r="E2176" s="4"/>
      <c r="F2176" s="4"/>
      <c r="G2176" s="4"/>
      <c r="H2176" s="4"/>
    </row>
    <row r="2177">
      <c r="D2177" s="5"/>
      <c r="E2177" s="4"/>
      <c r="F2177" s="4"/>
      <c r="G2177" s="4"/>
      <c r="H2177" s="4"/>
    </row>
    <row r="2178">
      <c r="D2178" s="5"/>
      <c r="E2178" s="4"/>
      <c r="F2178" s="4"/>
      <c r="G2178" s="4"/>
      <c r="H2178" s="4"/>
    </row>
    <row r="2179">
      <c r="D2179" s="5"/>
      <c r="E2179" s="4"/>
      <c r="F2179" s="4"/>
      <c r="G2179" s="4"/>
      <c r="H2179" s="4"/>
    </row>
    <row r="2180">
      <c r="D2180" s="5"/>
      <c r="E2180" s="4"/>
      <c r="F2180" s="4"/>
      <c r="G2180" s="4"/>
      <c r="H2180" s="4"/>
    </row>
    <row r="2181">
      <c r="D2181" s="5"/>
      <c r="E2181" s="4"/>
      <c r="F2181" s="4"/>
      <c r="G2181" s="4"/>
      <c r="H2181" s="4"/>
    </row>
    <row r="2182">
      <c r="D2182" s="5"/>
      <c r="E2182" s="4"/>
      <c r="F2182" s="4"/>
      <c r="G2182" s="4"/>
      <c r="H2182" s="4"/>
    </row>
    <row r="2183">
      <c r="D2183" s="5"/>
      <c r="E2183" s="4"/>
      <c r="F2183" s="4"/>
      <c r="G2183" s="4"/>
      <c r="H2183" s="4"/>
    </row>
    <row r="2184">
      <c r="D2184" s="5"/>
      <c r="E2184" s="4"/>
      <c r="F2184" s="4"/>
      <c r="G2184" s="4"/>
      <c r="H2184" s="4"/>
    </row>
    <row r="2185">
      <c r="D2185" s="5"/>
      <c r="E2185" s="4"/>
      <c r="F2185" s="4"/>
      <c r="G2185" s="4"/>
      <c r="H2185" s="4"/>
    </row>
    <row r="2186">
      <c r="D2186" s="5"/>
      <c r="E2186" s="4"/>
      <c r="F2186" s="4"/>
      <c r="G2186" s="4"/>
      <c r="H2186" s="4"/>
    </row>
    <row r="2187">
      <c r="D2187" s="5"/>
      <c r="E2187" s="4"/>
      <c r="F2187" s="4"/>
      <c r="G2187" s="4"/>
      <c r="H2187" s="4"/>
    </row>
    <row r="2188">
      <c r="D2188" s="5"/>
      <c r="E2188" s="4"/>
      <c r="F2188" s="4"/>
      <c r="G2188" s="4"/>
      <c r="H2188" s="4"/>
    </row>
    <row r="2189">
      <c r="D2189" s="5"/>
      <c r="E2189" s="4"/>
      <c r="F2189" s="4"/>
      <c r="G2189" s="4"/>
      <c r="H2189" s="4"/>
    </row>
    <row r="2190">
      <c r="D2190" s="5"/>
      <c r="E2190" s="4"/>
      <c r="F2190" s="4"/>
      <c r="G2190" s="4"/>
      <c r="H2190" s="4"/>
    </row>
    <row r="2191">
      <c r="D2191" s="5"/>
      <c r="E2191" s="4"/>
      <c r="F2191" s="4"/>
      <c r="G2191" s="4"/>
      <c r="H2191" s="4"/>
    </row>
    <row r="2192">
      <c r="D2192" s="5"/>
      <c r="E2192" s="4"/>
      <c r="F2192" s="4"/>
      <c r="G2192" s="4"/>
      <c r="H2192" s="4"/>
    </row>
    <row r="2193">
      <c r="D2193" s="5"/>
      <c r="E2193" s="4"/>
      <c r="F2193" s="4"/>
      <c r="G2193" s="4"/>
      <c r="H2193" s="4"/>
    </row>
    <row r="2194">
      <c r="D2194" s="5"/>
      <c r="E2194" s="4"/>
      <c r="F2194" s="4"/>
      <c r="G2194" s="4"/>
      <c r="H2194" s="4"/>
    </row>
    <row r="2195">
      <c r="D2195" s="5"/>
      <c r="E2195" s="4"/>
      <c r="F2195" s="4"/>
      <c r="G2195" s="4"/>
      <c r="H2195" s="4"/>
    </row>
    <row r="2196">
      <c r="D2196" s="5"/>
      <c r="E2196" s="4"/>
      <c r="F2196" s="4"/>
      <c r="G2196" s="4"/>
      <c r="H2196" s="4"/>
    </row>
    <row r="2197">
      <c r="D2197" s="5"/>
      <c r="E2197" s="4"/>
      <c r="F2197" s="4"/>
      <c r="G2197" s="4"/>
      <c r="H2197" s="4"/>
    </row>
    <row r="2198">
      <c r="D2198" s="5"/>
      <c r="E2198" s="4"/>
      <c r="F2198" s="4"/>
      <c r="G2198" s="4"/>
      <c r="H2198" s="4"/>
    </row>
    <row r="2199">
      <c r="D2199" s="5"/>
      <c r="E2199" s="4"/>
      <c r="F2199" s="4"/>
      <c r="G2199" s="4"/>
      <c r="H2199" s="4"/>
    </row>
    <row r="2200">
      <c r="D2200" s="5"/>
      <c r="E2200" s="4"/>
      <c r="F2200" s="4"/>
      <c r="G2200" s="4"/>
      <c r="H2200" s="4"/>
    </row>
    <row r="2201">
      <c r="D2201" s="5"/>
      <c r="E2201" s="4"/>
      <c r="F2201" s="4"/>
      <c r="G2201" s="4"/>
      <c r="H2201" s="4"/>
    </row>
    <row r="2202">
      <c r="D2202" s="5"/>
      <c r="E2202" s="4"/>
      <c r="F2202" s="4"/>
      <c r="G2202" s="4"/>
      <c r="H2202" s="4"/>
    </row>
    <row r="2203">
      <c r="D2203" s="5"/>
      <c r="E2203" s="4"/>
      <c r="F2203" s="4"/>
      <c r="G2203" s="4"/>
      <c r="H2203" s="4"/>
    </row>
    <row r="2204">
      <c r="D2204" s="5"/>
      <c r="E2204" s="4"/>
      <c r="F2204" s="4"/>
      <c r="G2204" s="4"/>
      <c r="H2204" s="4"/>
    </row>
    <row r="2205">
      <c r="D2205" s="5"/>
      <c r="E2205" s="4"/>
      <c r="F2205" s="4"/>
      <c r="G2205" s="4"/>
      <c r="H2205" s="4"/>
    </row>
    <row r="2206">
      <c r="D2206" s="5"/>
      <c r="E2206" s="4"/>
      <c r="F2206" s="4"/>
      <c r="G2206" s="4"/>
      <c r="H2206" s="4"/>
    </row>
    <row r="2207">
      <c r="D2207" s="5"/>
      <c r="E2207" s="4"/>
      <c r="F2207" s="4"/>
      <c r="G2207" s="4"/>
      <c r="H2207" s="4"/>
    </row>
    <row r="2208">
      <c r="D2208" s="5"/>
      <c r="E2208" s="4"/>
      <c r="F2208" s="4"/>
      <c r="G2208" s="4"/>
      <c r="H2208" s="4"/>
    </row>
    <row r="2209">
      <c r="D2209" s="5"/>
      <c r="E2209" s="4"/>
      <c r="F2209" s="4"/>
      <c r="G2209" s="4"/>
      <c r="H2209" s="4"/>
    </row>
    <row r="2210">
      <c r="D2210" s="5"/>
      <c r="E2210" s="4"/>
      <c r="F2210" s="4"/>
      <c r="G2210" s="4"/>
      <c r="H2210" s="4"/>
    </row>
    <row r="2211">
      <c r="D2211" s="5"/>
      <c r="E2211" s="4"/>
      <c r="F2211" s="4"/>
      <c r="G2211" s="4"/>
      <c r="H2211" s="4"/>
    </row>
    <row r="2212">
      <c r="D2212" s="5"/>
      <c r="E2212" s="4"/>
      <c r="F2212" s="4"/>
      <c r="G2212" s="4"/>
      <c r="H2212" s="4"/>
    </row>
    <row r="2213">
      <c r="D2213" s="5"/>
      <c r="E2213" s="4"/>
      <c r="F2213" s="4"/>
      <c r="G2213" s="4"/>
      <c r="H2213" s="4"/>
    </row>
    <row r="2214">
      <c r="D2214" s="5"/>
      <c r="E2214" s="4"/>
      <c r="F2214" s="4"/>
      <c r="G2214" s="4"/>
      <c r="H2214" s="4"/>
    </row>
    <row r="2215">
      <c r="D2215" s="5"/>
      <c r="E2215" s="4"/>
      <c r="F2215" s="4"/>
      <c r="G2215" s="4"/>
      <c r="H2215" s="4"/>
    </row>
    <row r="2216">
      <c r="D2216" s="5"/>
      <c r="E2216" s="4"/>
      <c r="F2216" s="4"/>
      <c r="G2216" s="4"/>
      <c r="H2216" s="4"/>
    </row>
    <row r="2217">
      <c r="D2217" s="5"/>
      <c r="E2217" s="4"/>
      <c r="F2217" s="4"/>
      <c r="G2217" s="4"/>
      <c r="H2217" s="4"/>
    </row>
    <row r="2218">
      <c r="D2218" s="5"/>
      <c r="E2218" s="4"/>
      <c r="F2218" s="4"/>
      <c r="G2218" s="4"/>
      <c r="H2218" s="4"/>
    </row>
    <row r="2219">
      <c r="D2219" s="5"/>
      <c r="E2219" s="4"/>
      <c r="F2219" s="4"/>
      <c r="G2219" s="4"/>
      <c r="H2219" s="4"/>
    </row>
    <row r="2220">
      <c r="D2220" s="5"/>
      <c r="E2220" s="4"/>
      <c r="F2220" s="4"/>
      <c r="G2220" s="4"/>
      <c r="H2220" s="4"/>
    </row>
    <row r="2221">
      <c r="D2221" s="5"/>
      <c r="E2221" s="4"/>
      <c r="F2221" s="4"/>
      <c r="G2221" s="4"/>
      <c r="H2221" s="4"/>
    </row>
    <row r="2222">
      <c r="D2222" s="5"/>
      <c r="E2222" s="4"/>
      <c r="F2222" s="4"/>
      <c r="G2222" s="4"/>
      <c r="H2222" s="4"/>
    </row>
    <row r="2223">
      <c r="D2223" s="5"/>
      <c r="E2223" s="4"/>
      <c r="F2223" s="4"/>
      <c r="G2223" s="4"/>
      <c r="H2223" s="4"/>
    </row>
    <row r="2224">
      <c r="D2224" s="5"/>
      <c r="E2224" s="4"/>
      <c r="F2224" s="4"/>
      <c r="G2224" s="4"/>
      <c r="H2224" s="4"/>
    </row>
    <row r="2225">
      <c r="D2225" s="5"/>
      <c r="E2225" s="4"/>
      <c r="F2225" s="4"/>
      <c r="G2225" s="4"/>
      <c r="H2225" s="4"/>
    </row>
    <row r="2226">
      <c r="D2226" s="5"/>
      <c r="E2226" s="4"/>
      <c r="F2226" s="4"/>
      <c r="G2226" s="4"/>
      <c r="H2226" s="4"/>
    </row>
    <row r="2227">
      <c r="D2227" s="5"/>
      <c r="E2227" s="4"/>
      <c r="F2227" s="4"/>
      <c r="G2227" s="4"/>
      <c r="H2227" s="4"/>
    </row>
    <row r="2228">
      <c r="D2228" s="5"/>
      <c r="E2228" s="4"/>
      <c r="F2228" s="4"/>
      <c r="G2228" s="4"/>
      <c r="H2228" s="4"/>
    </row>
    <row r="2229">
      <c r="D2229" s="5"/>
      <c r="E2229" s="4"/>
      <c r="F2229" s="4"/>
      <c r="G2229" s="4"/>
      <c r="H2229" s="4"/>
    </row>
    <row r="2230">
      <c r="D2230" s="5"/>
      <c r="E2230" s="4"/>
      <c r="F2230" s="4"/>
      <c r="G2230" s="4"/>
      <c r="H2230" s="4"/>
    </row>
    <row r="2231">
      <c r="D2231" s="5"/>
      <c r="E2231" s="4"/>
      <c r="F2231" s="4"/>
      <c r="G2231" s="4"/>
      <c r="H2231" s="4"/>
    </row>
    <row r="2232">
      <c r="D2232" s="5"/>
      <c r="E2232" s="4"/>
      <c r="F2232" s="4"/>
      <c r="G2232" s="4"/>
      <c r="H2232" s="4"/>
    </row>
    <row r="2233">
      <c r="D2233" s="5"/>
      <c r="E2233" s="4"/>
      <c r="F2233" s="4"/>
      <c r="G2233" s="4"/>
      <c r="H2233" s="4"/>
    </row>
    <row r="2234">
      <c r="D2234" s="5"/>
      <c r="E2234" s="4"/>
      <c r="F2234" s="4"/>
      <c r="G2234" s="4"/>
      <c r="H2234" s="4"/>
    </row>
    <row r="2235">
      <c r="D2235" s="5"/>
      <c r="E2235" s="4"/>
      <c r="F2235" s="4"/>
      <c r="G2235" s="4"/>
      <c r="H2235" s="4"/>
    </row>
    <row r="2236">
      <c r="D2236" s="5"/>
      <c r="E2236" s="4"/>
      <c r="F2236" s="4"/>
      <c r="G2236" s="4"/>
      <c r="H2236" s="4"/>
    </row>
    <row r="2237">
      <c r="D2237" s="5"/>
      <c r="E2237" s="4"/>
      <c r="F2237" s="4"/>
      <c r="G2237" s="4"/>
      <c r="H2237" s="4"/>
    </row>
    <row r="2238">
      <c r="D2238" s="5"/>
      <c r="E2238" s="4"/>
      <c r="F2238" s="4"/>
      <c r="G2238" s="4"/>
      <c r="H2238" s="4"/>
    </row>
    <row r="2239">
      <c r="D2239" s="5"/>
      <c r="E2239" s="4"/>
      <c r="F2239" s="4"/>
      <c r="G2239" s="4"/>
      <c r="H2239" s="4"/>
    </row>
    <row r="2240">
      <c r="D2240" s="5"/>
      <c r="E2240" s="4"/>
      <c r="F2240" s="4"/>
      <c r="G2240" s="4"/>
      <c r="H2240" s="4"/>
    </row>
    <row r="2241">
      <c r="D2241" s="5"/>
      <c r="E2241" s="4"/>
      <c r="F2241" s="4"/>
      <c r="G2241" s="4"/>
      <c r="H2241" s="4"/>
    </row>
    <row r="2242">
      <c r="D2242" s="5"/>
      <c r="E2242" s="4"/>
      <c r="F2242" s="4"/>
      <c r="G2242" s="4"/>
      <c r="H2242" s="4"/>
    </row>
    <row r="2243">
      <c r="D2243" s="5"/>
      <c r="E2243" s="4"/>
      <c r="F2243" s="4"/>
      <c r="G2243" s="4"/>
      <c r="H2243" s="4"/>
    </row>
    <row r="2244">
      <c r="D2244" s="5"/>
      <c r="E2244" s="4"/>
      <c r="F2244" s="4"/>
      <c r="G2244" s="4"/>
      <c r="H2244" s="4"/>
    </row>
    <row r="2245">
      <c r="D2245" s="5"/>
      <c r="E2245" s="4"/>
      <c r="F2245" s="4"/>
      <c r="G2245" s="4"/>
      <c r="H2245" s="4"/>
    </row>
    <row r="2246">
      <c r="D2246" s="5"/>
      <c r="E2246" s="4"/>
      <c r="F2246" s="4"/>
      <c r="G2246" s="4"/>
      <c r="H2246" s="4"/>
    </row>
    <row r="2247">
      <c r="D2247" s="5"/>
      <c r="E2247" s="4"/>
      <c r="F2247" s="4"/>
      <c r="G2247" s="4"/>
      <c r="H2247" s="4"/>
    </row>
    <row r="2248">
      <c r="D2248" s="5"/>
      <c r="E2248" s="4"/>
      <c r="F2248" s="4"/>
      <c r="G2248" s="4"/>
      <c r="H2248" s="4"/>
    </row>
    <row r="2249">
      <c r="D2249" s="5"/>
      <c r="E2249" s="4"/>
      <c r="F2249" s="4"/>
      <c r="G2249" s="4"/>
      <c r="H2249" s="4"/>
    </row>
    <row r="2250">
      <c r="D2250" s="5"/>
      <c r="E2250" s="4"/>
      <c r="F2250" s="4"/>
      <c r="G2250" s="4"/>
      <c r="H2250" s="4"/>
    </row>
    <row r="2251">
      <c r="D2251" s="5"/>
      <c r="E2251" s="4"/>
      <c r="F2251" s="4"/>
      <c r="G2251" s="4"/>
      <c r="H2251" s="4"/>
    </row>
    <row r="2252">
      <c r="D2252" s="5"/>
      <c r="E2252" s="4"/>
      <c r="F2252" s="4"/>
      <c r="G2252" s="4"/>
      <c r="H2252" s="4"/>
    </row>
    <row r="2253">
      <c r="D2253" s="5"/>
      <c r="E2253" s="4"/>
      <c r="F2253" s="4"/>
      <c r="G2253" s="4"/>
      <c r="H2253" s="4"/>
    </row>
    <row r="2254">
      <c r="D2254" s="5"/>
      <c r="E2254" s="4"/>
      <c r="F2254" s="4"/>
      <c r="G2254" s="4"/>
      <c r="H2254" s="4"/>
    </row>
    <row r="2255">
      <c r="D2255" s="5"/>
      <c r="E2255" s="4"/>
      <c r="F2255" s="4"/>
      <c r="G2255" s="4"/>
      <c r="H2255" s="4"/>
    </row>
    <row r="2256">
      <c r="D2256" s="5"/>
      <c r="E2256" s="4"/>
      <c r="F2256" s="4"/>
      <c r="G2256" s="4"/>
      <c r="H2256" s="4"/>
    </row>
    <row r="2257">
      <c r="D2257" s="5"/>
      <c r="E2257" s="4"/>
      <c r="F2257" s="4"/>
      <c r="G2257" s="4"/>
      <c r="H2257" s="4"/>
    </row>
    <row r="2258">
      <c r="D2258" s="5"/>
      <c r="E2258" s="4"/>
      <c r="F2258" s="4"/>
      <c r="G2258" s="4"/>
      <c r="H2258" s="4"/>
    </row>
    <row r="2259">
      <c r="D2259" s="5"/>
      <c r="E2259" s="4"/>
      <c r="F2259" s="4"/>
      <c r="G2259" s="4"/>
      <c r="H2259" s="4"/>
    </row>
    <row r="2260">
      <c r="D2260" s="5"/>
      <c r="E2260" s="4"/>
      <c r="F2260" s="4"/>
      <c r="G2260" s="4"/>
      <c r="H2260" s="4"/>
    </row>
    <row r="2261">
      <c r="D2261" s="5"/>
      <c r="E2261" s="4"/>
      <c r="F2261" s="4"/>
      <c r="G2261" s="4"/>
      <c r="H2261" s="4"/>
    </row>
    <row r="2262">
      <c r="D2262" s="5"/>
      <c r="E2262" s="4"/>
      <c r="F2262" s="4"/>
      <c r="G2262" s="4"/>
      <c r="H2262" s="4"/>
    </row>
    <row r="2263">
      <c r="D2263" s="5"/>
      <c r="E2263" s="4"/>
      <c r="F2263" s="4"/>
      <c r="G2263" s="4"/>
      <c r="H2263" s="4"/>
    </row>
    <row r="2264">
      <c r="D2264" s="5"/>
      <c r="E2264" s="4"/>
      <c r="F2264" s="4"/>
      <c r="G2264" s="4"/>
      <c r="H2264" s="4"/>
    </row>
    <row r="2265">
      <c r="D2265" s="5"/>
      <c r="E2265" s="4"/>
      <c r="F2265" s="4"/>
      <c r="G2265" s="4"/>
      <c r="H2265" s="4"/>
    </row>
    <row r="2266">
      <c r="D2266" s="5"/>
      <c r="E2266" s="4"/>
      <c r="F2266" s="4"/>
      <c r="G2266" s="4"/>
      <c r="H2266" s="4"/>
    </row>
    <row r="2267">
      <c r="D2267" s="5"/>
      <c r="E2267" s="4"/>
      <c r="F2267" s="4"/>
      <c r="G2267" s="4"/>
      <c r="H2267" s="4"/>
    </row>
    <row r="2268">
      <c r="D2268" s="5"/>
      <c r="E2268" s="4"/>
      <c r="F2268" s="4"/>
      <c r="G2268" s="4"/>
      <c r="H2268" s="4"/>
    </row>
    <row r="2269">
      <c r="D2269" s="5"/>
      <c r="E2269" s="4"/>
      <c r="F2269" s="4"/>
      <c r="G2269" s="4"/>
      <c r="H2269" s="4"/>
    </row>
    <row r="2270">
      <c r="D2270" s="5"/>
      <c r="E2270" s="4"/>
      <c r="F2270" s="4"/>
      <c r="G2270" s="4"/>
      <c r="H2270" s="4"/>
    </row>
    <row r="2271">
      <c r="D2271" s="5"/>
      <c r="E2271" s="4"/>
      <c r="F2271" s="4"/>
      <c r="G2271" s="4"/>
      <c r="H2271" s="4"/>
    </row>
    <row r="2272">
      <c r="D2272" s="5"/>
      <c r="E2272" s="4"/>
      <c r="F2272" s="4"/>
      <c r="G2272" s="4"/>
      <c r="H2272" s="4"/>
    </row>
    <row r="2273">
      <c r="D2273" s="5"/>
      <c r="E2273" s="4"/>
      <c r="F2273" s="4"/>
      <c r="G2273" s="4"/>
      <c r="H2273" s="4"/>
    </row>
    <row r="2274">
      <c r="D2274" s="5"/>
      <c r="E2274" s="4"/>
      <c r="F2274" s="4"/>
      <c r="G2274" s="4"/>
      <c r="H2274" s="4"/>
    </row>
    <row r="2275">
      <c r="D2275" s="5"/>
      <c r="E2275" s="4"/>
      <c r="F2275" s="4"/>
      <c r="G2275" s="4"/>
      <c r="H2275" s="4"/>
    </row>
    <row r="2276">
      <c r="D2276" s="5"/>
      <c r="E2276" s="4"/>
      <c r="F2276" s="4"/>
      <c r="G2276" s="4"/>
      <c r="H2276" s="4"/>
    </row>
    <row r="2277">
      <c r="D2277" s="5"/>
      <c r="E2277" s="4"/>
      <c r="F2277" s="4"/>
      <c r="G2277" s="4"/>
      <c r="H2277" s="4"/>
    </row>
    <row r="2278">
      <c r="D2278" s="5"/>
      <c r="E2278" s="4"/>
      <c r="F2278" s="4"/>
      <c r="G2278" s="4"/>
      <c r="H2278" s="4"/>
    </row>
    <row r="2279">
      <c r="D2279" s="5"/>
      <c r="E2279" s="4"/>
      <c r="F2279" s="4"/>
      <c r="G2279" s="4"/>
      <c r="H2279" s="4"/>
    </row>
    <row r="2280">
      <c r="D2280" s="5"/>
      <c r="E2280" s="4"/>
      <c r="F2280" s="4"/>
      <c r="G2280" s="4"/>
      <c r="H2280" s="4"/>
    </row>
    <row r="2281">
      <c r="D2281" s="5"/>
      <c r="E2281" s="4"/>
      <c r="F2281" s="4"/>
      <c r="G2281" s="4"/>
      <c r="H2281" s="4"/>
    </row>
    <row r="2282">
      <c r="D2282" s="5"/>
      <c r="E2282" s="4"/>
      <c r="F2282" s="4"/>
      <c r="G2282" s="4"/>
      <c r="H2282" s="4"/>
    </row>
    <row r="2283">
      <c r="D2283" s="5"/>
      <c r="E2283" s="4"/>
      <c r="F2283" s="4"/>
      <c r="G2283" s="4"/>
      <c r="H2283" s="4"/>
    </row>
    <row r="2284">
      <c r="D2284" s="5"/>
      <c r="E2284" s="4"/>
      <c r="F2284" s="4"/>
      <c r="G2284" s="4"/>
      <c r="H2284" s="4"/>
    </row>
    <row r="2285">
      <c r="D2285" s="5"/>
      <c r="E2285" s="4"/>
      <c r="F2285" s="4"/>
      <c r="G2285" s="4"/>
      <c r="H2285" s="4"/>
    </row>
    <row r="2286">
      <c r="D2286" s="5"/>
      <c r="E2286" s="4"/>
      <c r="F2286" s="4"/>
      <c r="G2286" s="4"/>
      <c r="H2286" s="4"/>
    </row>
    <row r="2287">
      <c r="D2287" s="5"/>
      <c r="E2287" s="4"/>
      <c r="F2287" s="4"/>
      <c r="G2287" s="4"/>
      <c r="H2287" s="4"/>
    </row>
    <row r="2288">
      <c r="D2288" s="5"/>
      <c r="E2288" s="4"/>
      <c r="F2288" s="4"/>
      <c r="G2288" s="4"/>
      <c r="H2288" s="4"/>
    </row>
    <row r="2289">
      <c r="D2289" s="5"/>
      <c r="E2289" s="4"/>
      <c r="F2289" s="4"/>
      <c r="G2289" s="4"/>
      <c r="H2289" s="4"/>
    </row>
    <row r="2290">
      <c r="D2290" s="5"/>
      <c r="E2290" s="4"/>
      <c r="F2290" s="4"/>
      <c r="G2290" s="4"/>
      <c r="H2290" s="4"/>
    </row>
    <row r="2291">
      <c r="D2291" s="5"/>
      <c r="E2291" s="4"/>
      <c r="F2291" s="4"/>
      <c r="G2291" s="4"/>
      <c r="H2291" s="4"/>
    </row>
    <row r="2292">
      <c r="D2292" s="5"/>
      <c r="E2292" s="4"/>
      <c r="F2292" s="4"/>
      <c r="G2292" s="4"/>
      <c r="H2292" s="4"/>
    </row>
    <row r="2293">
      <c r="D2293" s="5"/>
      <c r="E2293" s="4"/>
      <c r="F2293" s="4"/>
      <c r="G2293" s="4"/>
      <c r="H2293" s="4"/>
    </row>
    <row r="2294">
      <c r="D2294" s="5"/>
      <c r="E2294" s="4"/>
      <c r="F2294" s="4"/>
      <c r="G2294" s="4"/>
      <c r="H2294" s="4"/>
    </row>
    <row r="2295">
      <c r="D2295" s="5"/>
      <c r="E2295" s="4"/>
      <c r="F2295" s="4"/>
      <c r="G2295" s="4"/>
      <c r="H2295" s="4"/>
    </row>
    <row r="2296">
      <c r="D2296" s="5"/>
      <c r="E2296" s="4"/>
      <c r="F2296" s="4"/>
      <c r="G2296" s="4"/>
      <c r="H2296" s="4"/>
    </row>
    <row r="2297">
      <c r="D2297" s="5"/>
      <c r="E2297" s="4"/>
      <c r="F2297" s="4"/>
      <c r="G2297" s="4"/>
      <c r="H2297" s="4"/>
    </row>
    <row r="2298">
      <c r="D2298" s="5"/>
      <c r="E2298" s="4"/>
      <c r="F2298" s="4"/>
      <c r="G2298" s="4"/>
      <c r="H2298" s="4"/>
    </row>
    <row r="2299">
      <c r="D2299" s="5"/>
      <c r="E2299" s="4"/>
      <c r="F2299" s="4"/>
      <c r="G2299" s="4"/>
      <c r="H2299" s="4"/>
    </row>
    <row r="2300">
      <c r="D2300" s="5"/>
      <c r="E2300" s="4"/>
      <c r="F2300" s="4"/>
      <c r="G2300" s="4"/>
      <c r="H2300" s="4"/>
    </row>
    <row r="2301">
      <c r="D2301" s="5"/>
      <c r="E2301" s="4"/>
      <c r="F2301" s="4"/>
      <c r="G2301" s="4"/>
      <c r="H2301" s="4"/>
    </row>
    <row r="2302">
      <c r="D2302" s="5"/>
      <c r="E2302" s="4"/>
      <c r="F2302" s="4"/>
      <c r="G2302" s="4"/>
      <c r="H2302" s="4"/>
    </row>
    <row r="2303">
      <c r="D2303" s="5"/>
      <c r="E2303" s="4"/>
      <c r="F2303" s="4"/>
      <c r="G2303" s="4"/>
      <c r="H2303" s="4"/>
    </row>
    <row r="2304">
      <c r="D2304" s="5"/>
      <c r="E2304" s="4"/>
      <c r="F2304" s="4"/>
      <c r="G2304" s="4"/>
      <c r="H2304" s="4"/>
    </row>
    <row r="2305">
      <c r="D2305" s="5"/>
      <c r="E2305" s="4"/>
      <c r="F2305" s="4"/>
      <c r="G2305" s="4"/>
      <c r="H2305" s="4"/>
    </row>
    <row r="2306">
      <c r="D2306" s="5"/>
      <c r="E2306" s="4"/>
      <c r="F2306" s="4"/>
      <c r="G2306" s="4"/>
      <c r="H2306" s="4"/>
    </row>
    <row r="2307">
      <c r="D2307" s="5"/>
      <c r="E2307" s="4"/>
      <c r="F2307" s="4"/>
      <c r="G2307" s="4"/>
      <c r="H2307" s="4"/>
    </row>
    <row r="2308">
      <c r="D2308" s="5"/>
      <c r="E2308" s="4"/>
      <c r="F2308" s="4"/>
      <c r="G2308" s="4"/>
      <c r="H2308" s="4"/>
    </row>
    <row r="2309">
      <c r="D2309" s="5"/>
      <c r="E2309" s="4"/>
      <c r="F2309" s="4"/>
      <c r="G2309" s="4"/>
      <c r="H2309" s="4"/>
    </row>
    <row r="2310">
      <c r="D2310" s="5"/>
      <c r="E2310" s="4"/>
      <c r="F2310" s="4"/>
      <c r="G2310" s="4"/>
      <c r="H2310" s="4"/>
    </row>
    <row r="2311">
      <c r="D2311" s="5"/>
      <c r="E2311" s="4"/>
      <c r="F2311" s="4"/>
      <c r="G2311" s="4"/>
      <c r="H2311" s="4"/>
    </row>
    <row r="2312">
      <c r="D2312" s="5"/>
      <c r="E2312" s="4"/>
      <c r="F2312" s="4"/>
      <c r="G2312" s="4"/>
      <c r="H2312" s="4"/>
    </row>
    <row r="2313">
      <c r="D2313" s="5"/>
      <c r="E2313" s="4"/>
      <c r="F2313" s="4"/>
      <c r="G2313" s="4"/>
      <c r="H2313" s="4"/>
    </row>
    <row r="2314">
      <c r="D2314" s="5"/>
      <c r="E2314" s="4"/>
      <c r="F2314" s="4"/>
      <c r="G2314" s="4"/>
      <c r="H2314" s="4"/>
    </row>
    <row r="2315">
      <c r="D2315" s="5"/>
      <c r="E2315" s="4"/>
      <c r="F2315" s="4"/>
      <c r="G2315" s="4"/>
      <c r="H2315" s="4"/>
    </row>
    <row r="2316">
      <c r="D2316" s="5"/>
      <c r="E2316" s="4"/>
      <c r="F2316" s="4"/>
      <c r="G2316" s="4"/>
      <c r="H2316" s="4"/>
    </row>
    <row r="2317">
      <c r="D2317" s="5"/>
      <c r="E2317" s="4"/>
      <c r="F2317" s="4"/>
      <c r="G2317" s="4"/>
      <c r="H2317" s="4"/>
    </row>
    <row r="2318">
      <c r="D2318" s="5"/>
      <c r="E2318" s="4"/>
      <c r="F2318" s="4"/>
      <c r="G2318" s="4"/>
      <c r="H2318" s="4"/>
    </row>
    <row r="2319">
      <c r="D2319" s="5"/>
      <c r="E2319" s="4"/>
      <c r="F2319" s="4"/>
      <c r="G2319" s="4"/>
      <c r="H2319" s="4"/>
    </row>
    <row r="2320">
      <c r="D2320" s="5"/>
      <c r="E2320" s="4"/>
      <c r="F2320" s="4"/>
      <c r="G2320" s="4"/>
      <c r="H2320" s="4"/>
    </row>
    <row r="2321">
      <c r="D2321" s="5"/>
      <c r="E2321" s="4"/>
      <c r="F2321" s="4"/>
      <c r="G2321" s="4"/>
      <c r="H2321" s="4"/>
    </row>
    <row r="2322">
      <c r="D2322" s="5"/>
      <c r="E2322" s="4"/>
      <c r="F2322" s="4"/>
      <c r="G2322" s="4"/>
      <c r="H2322" s="4"/>
    </row>
    <row r="2323">
      <c r="D2323" s="5"/>
      <c r="E2323" s="4"/>
      <c r="F2323" s="4"/>
      <c r="G2323" s="4"/>
      <c r="H2323" s="4"/>
    </row>
    <row r="2324">
      <c r="D2324" s="5"/>
      <c r="E2324" s="4"/>
      <c r="F2324" s="4"/>
      <c r="G2324" s="4"/>
      <c r="H2324" s="4"/>
    </row>
    <row r="2325">
      <c r="D2325" s="5"/>
      <c r="E2325" s="4"/>
      <c r="F2325" s="4"/>
      <c r="G2325" s="4"/>
      <c r="H2325" s="4"/>
    </row>
    <row r="2326">
      <c r="D2326" s="5"/>
      <c r="E2326" s="4"/>
      <c r="F2326" s="4"/>
      <c r="G2326" s="4"/>
      <c r="H2326" s="4"/>
    </row>
    <row r="2327">
      <c r="D2327" s="5"/>
      <c r="E2327" s="4"/>
      <c r="F2327" s="4"/>
      <c r="G2327" s="4"/>
      <c r="H2327" s="4"/>
    </row>
    <row r="2328">
      <c r="D2328" s="5"/>
      <c r="E2328" s="4"/>
      <c r="F2328" s="4"/>
      <c r="G2328" s="4"/>
      <c r="H2328" s="4"/>
    </row>
    <row r="2329">
      <c r="D2329" s="5"/>
      <c r="E2329" s="4"/>
      <c r="F2329" s="4"/>
      <c r="G2329" s="4"/>
      <c r="H2329" s="4"/>
    </row>
    <row r="2330">
      <c r="D2330" s="5"/>
      <c r="E2330" s="4"/>
      <c r="F2330" s="4"/>
      <c r="G2330" s="4"/>
      <c r="H2330" s="4"/>
    </row>
    <row r="2331">
      <c r="D2331" s="5"/>
      <c r="E2331" s="4"/>
      <c r="F2331" s="4"/>
      <c r="G2331" s="4"/>
      <c r="H2331" s="4"/>
    </row>
    <row r="2332">
      <c r="D2332" s="5"/>
      <c r="E2332" s="4"/>
      <c r="F2332" s="4"/>
      <c r="G2332" s="4"/>
      <c r="H2332" s="4"/>
    </row>
    <row r="2333">
      <c r="D2333" s="5"/>
      <c r="E2333" s="4"/>
      <c r="F2333" s="4"/>
      <c r="G2333" s="4"/>
      <c r="H2333" s="4"/>
    </row>
    <row r="2334">
      <c r="D2334" s="5"/>
      <c r="E2334" s="4"/>
      <c r="F2334" s="4"/>
      <c r="G2334" s="4"/>
      <c r="H2334" s="4"/>
    </row>
    <row r="2335">
      <c r="D2335" s="5"/>
      <c r="E2335" s="4"/>
      <c r="F2335" s="4"/>
      <c r="G2335" s="4"/>
      <c r="H2335" s="4"/>
    </row>
    <row r="2336">
      <c r="D2336" s="5"/>
      <c r="E2336" s="4"/>
      <c r="F2336" s="4"/>
      <c r="G2336" s="4"/>
      <c r="H2336" s="4"/>
    </row>
    <row r="2337">
      <c r="D2337" s="5"/>
      <c r="E2337" s="4"/>
      <c r="F2337" s="4"/>
      <c r="G2337" s="4"/>
      <c r="H2337" s="4"/>
    </row>
    <row r="2338">
      <c r="D2338" s="5"/>
      <c r="E2338" s="4"/>
      <c r="F2338" s="4"/>
      <c r="G2338" s="4"/>
      <c r="H2338" s="4"/>
    </row>
    <row r="2339">
      <c r="D2339" s="5"/>
      <c r="E2339" s="4"/>
      <c r="F2339" s="4"/>
      <c r="G2339" s="4"/>
      <c r="H2339" s="4"/>
    </row>
    <row r="2340">
      <c r="D2340" s="5"/>
      <c r="E2340" s="4"/>
      <c r="F2340" s="4"/>
      <c r="G2340" s="4"/>
      <c r="H2340" s="4"/>
    </row>
    <row r="2341">
      <c r="D2341" s="5"/>
      <c r="E2341" s="4"/>
      <c r="F2341" s="4"/>
      <c r="G2341" s="4"/>
      <c r="H2341" s="4"/>
    </row>
    <row r="2342">
      <c r="D2342" s="5"/>
      <c r="E2342" s="4"/>
      <c r="F2342" s="4"/>
      <c r="G2342" s="4"/>
      <c r="H2342" s="4"/>
    </row>
    <row r="2343">
      <c r="D2343" s="5"/>
      <c r="E2343" s="4"/>
      <c r="F2343" s="4"/>
      <c r="G2343" s="4"/>
      <c r="H2343" s="4"/>
    </row>
    <row r="2344">
      <c r="D2344" s="5"/>
      <c r="E2344" s="4"/>
      <c r="F2344" s="4"/>
      <c r="G2344" s="4"/>
      <c r="H2344" s="4"/>
    </row>
    <row r="2345">
      <c r="D2345" s="5"/>
      <c r="E2345" s="4"/>
      <c r="F2345" s="4"/>
      <c r="G2345" s="4"/>
      <c r="H2345" s="4"/>
    </row>
    <row r="2346">
      <c r="D2346" s="5"/>
      <c r="E2346" s="4"/>
      <c r="F2346" s="4"/>
      <c r="G2346" s="4"/>
      <c r="H2346" s="4"/>
    </row>
    <row r="2347">
      <c r="D2347" s="5"/>
      <c r="E2347" s="4"/>
      <c r="F2347" s="4"/>
      <c r="G2347" s="4"/>
      <c r="H2347" s="4"/>
    </row>
    <row r="2348">
      <c r="D2348" s="5"/>
      <c r="E2348" s="4"/>
      <c r="F2348" s="4"/>
      <c r="G2348" s="4"/>
      <c r="H2348" s="4"/>
    </row>
    <row r="2349">
      <c r="D2349" s="5"/>
      <c r="E2349" s="4"/>
      <c r="F2349" s="4"/>
      <c r="G2349" s="4"/>
      <c r="H2349" s="4"/>
    </row>
    <row r="2350">
      <c r="D2350" s="5"/>
      <c r="E2350" s="4"/>
      <c r="F2350" s="4"/>
      <c r="G2350" s="4"/>
      <c r="H2350" s="4"/>
    </row>
    <row r="2351">
      <c r="D2351" s="5"/>
      <c r="E2351" s="4"/>
      <c r="F2351" s="4"/>
      <c r="G2351" s="4"/>
      <c r="H2351" s="4"/>
    </row>
    <row r="2352">
      <c r="D2352" s="5"/>
      <c r="E2352" s="4"/>
      <c r="F2352" s="4"/>
      <c r="G2352" s="4"/>
      <c r="H2352" s="4"/>
    </row>
    <row r="2353">
      <c r="D2353" s="5"/>
      <c r="E2353" s="4"/>
      <c r="F2353" s="4"/>
      <c r="G2353" s="4"/>
      <c r="H2353" s="4"/>
    </row>
    <row r="2354">
      <c r="D2354" s="5"/>
      <c r="E2354" s="4"/>
      <c r="F2354" s="4"/>
      <c r="G2354" s="4"/>
      <c r="H2354" s="4"/>
    </row>
    <row r="2355">
      <c r="D2355" s="5"/>
      <c r="E2355" s="4"/>
      <c r="F2355" s="4"/>
      <c r="G2355" s="4"/>
      <c r="H2355" s="4"/>
    </row>
    <row r="2356">
      <c r="D2356" s="5"/>
      <c r="E2356" s="4"/>
      <c r="F2356" s="4"/>
      <c r="G2356" s="4"/>
      <c r="H2356" s="4"/>
    </row>
    <row r="2357">
      <c r="D2357" s="5"/>
      <c r="E2357" s="4"/>
      <c r="F2357" s="4"/>
      <c r="G2357" s="4"/>
      <c r="H2357" s="4"/>
    </row>
    <row r="2358">
      <c r="D2358" s="5"/>
      <c r="E2358" s="4"/>
      <c r="F2358" s="4"/>
      <c r="G2358" s="4"/>
      <c r="H2358" s="4"/>
    </row>
    <row r="2359">
      <c r="D2359" s="5"/>
      <c r="E2359" s="4"/>
      <c r="F2359" s="4"/>
      <c r="G2359" s="4"/>
      <c r="H2359" s="4"/>
    </row>
    <row r="2360">
      <c r="D2360" s="5"/>
      <c r="E2360" s="4"/>
      <c r="F2360" s="4"/>
      <c r="G2360" s="4"/>
      <c r="H2360" s="4"/>
    </row>
    <row r="2361">
      <c r="D2361" s="5"/>
      <c r="E2361" s="4"/>
      <c r="F2361" s="4"/>
      <c r="G2361" s="4"/>
      <c r="H2361" s="4"/>
    </row>
    <row r="2362">
      <c r="D2362" s="5"/>
      <c r="E2362" s="4"/>
      <c r="F2362" s="4"/>
      <c r="G2362" s="4"/>
      <c r="H2362" s="4"/>
    </row>
    <row r="2363">
      <c r="D2363" s="5"/>
      <c r="E2363" s="4"/>
      <c r="F2363" s="4"/>
      <c r="G2363" s="4"/>
      <c r="H2363" s="4"/>
    </row>
    <row r="2364">
      <c r="D2364" s="5"/>
      <c r="E2364" s="4"/>
      <c r="F2364" s="4"/>
      <c r="G2364" s="4"/>
      <c r="H2364" s="4"/>
    </row>
    <row r="2365">
      <c r="D2365" s="5"/>
      <c r="E2365" s="4"/>
      <c r="F2365" s="4"/>
      <c r="G2365" s="4"/>
      <c r="H2365" s="4"/>
    </row>
    <row r="2366">
      <c r="D2366" s="5"/>
      <c r="E2366" s="4"/>
      <c r="F2366" s="4"/>
      <c r="G2366" s="4"/>
      <c r="H2366" s="4"/>
    </row>
    <row r="2367">
      <c r="D2367" s="5"/>
      <c r="E2367" s="4"/>
      <c r="F2367" s="4"/>
      <c r="G2367" s="4"/>
      <c r="H2367" s="4"/>
    </row>
    <row r="2368">
      <c r="D2368" s="5"/>
      <c r="E2368" s="4"/>
      <c r="F2368" s="4"/>
      <c r="G2368" s="4"/>
      <c r="H2368" s="4"/>
    </row>
    <row r="2369">
      <c r="D2369" s="5"/>
      <c r="E2369" s="4"/>
      <c r="F2369" s="4"/>
      <c r="G2369" s="4"/>
      <c r="H2369" s="4"/>
    </row>
    <row r="2370">
      <c r="D2370" s="5"/>
      <c r="E2370" s="4"/>
      <c r="F2370" s="4"/>
      <c r="G2370" s="4"/>
      <c r="H2370" s="4"/>
    </row>
    <row r="2371">
      <c r="D2371" s="5"/>
      <c r="E2371" s="4"/>
      <c r="F2371" s="4"/>
      <c r="G2371" s="4"/>
      <c r="H2371" s="4"/>
    </row>
    <row r="2372">
      <c r="D2372" s="5"/>
      <c r="E2372" s="4"/>
      <c r="F2372" s="4"/>
      <c r="G2372" s="4"/>
      <c r="H2372" s="4"/>
    </row>
    <row r="2373">
      <c r="D2373" s="5"/>
      <c r="E2373" s="4"/>
      <c r="F2373" s="4"/>
      <c r="G2373" s="4"/>
      <c r="H2373" s="4"/>
    </row>
    <row r="2374">
      <c r="D2374" s="5"/>
      <c r="E2374" s="4"/>
      <c r="F2374" s="4"/>
      <c r="G2374" s="4"/>
      <c r="H2374" s="4"/>
    </row>
    <row r="2375">
      <c r="D2375" s="5"/>
      <c r="E2375" s="4"/>
      <c r="F2375" s="4"/>
      <c r="G2375" s="4"/>
      <c r="H2375" s="4"/>
    </row>
    <row r="2376">
      <c r="D2376" s="5"/>
      <c r="E2376" s="4"/>
      <c r="F2376" s="4"/>
      <c r="G2376" s="4"/>
      <c r="H2376" s="4"/>
    </row>
    <row r="2377">
      <c r="D2377" s="5"/>
      <c r="E2377" s="4"/>
      <c r="F2377" s="4"/>
      <c r="G2377" s="4"/>
      <c r="H2377" s="4"/>
    </row>
    <row r="2378">
      <c r="D2378" s="5"/>
      <c r="E2378" s="4"/>
      <c r="F2378" s="4"/>
      <c r="G2378" s="4"/>
      <c r="H2378" s="4"/>
    </row>
    <row r="2379">
      <c r="D2379" s="5"/>
      <c r="E2379" s="4"/>
      <c r="F2379" s="4"/>
      <c r="G2379" s="4"/>
      <c r="H2379" s="4"/>
    </row>
    <row r="2380">
      <c r="D2380" s="5"/>
      <c r="E2380" s="4"/>
      <c r="F2380" s="4"/>
      <c r="G2380" s="4"/>
      <c r="H2380" s="4"/>
    </row>
    <row r="2381">
      <c r="D2381" s="5"/>
      <c r="E2381" s="4"/>
      <c r="F2381" s="4"/>
      <c r="G2381" s="4"/>
      <c r="H2381" s="4"/>
    </row>
    <row r="2382">
      <c r="D2382" s="5"/>
      <c r="E2382" s="4"/>
      <c r="F2382" s="4"/>
      <c r="G2382" s="4"/>
      <c r="H2382" s="4"/>
    </row>
    <row r="2383">
      <c r="D2383" s="5"/>
      <c r="E2383" s="4"/>
      <c r="F2383" s="4"/>
      <c r="G2383" s="4"/>
      <c r="H2383" s="4"/>
    </row>
    <row r="2384">
      <c r="D2384" s="5"/>
      <c r="E2384" s="4"/>
      <c r="F2384" s="4"/>
      <c r="G2384" s="4"/>
      <c r="H2384" s="4"/>
    </row>
    <row r="2385">
      <c r="D2385" s="5"/>
      <c r="E2385" s="4"/>
      <c r="F2385" s="4"/>
      <c r="G2385" s="4"/>
      <c r="H2385" s="4"/>
    </row>
    <row r="2386">
      <c r="D2386" s="5"/>
      <c r="E2386" s="4"/>
      <c r="F2386" s="4"/>
      <c r="G2386" s="4"/>
      <c r="H2386" s="4"/>
    </row>
    <row r="2387">
      <c r="D2387" s="5"/>
      <c r="E2387" s="4"/>
      <c r="F2387" s="4"/>
      <c r="G2387" s="4"/>
      <c r="H2387" s="4"/>
    </row>
    <row r="2388">
      <c r="D2388" s="5"/>
      <c r="E2388" s="4"/>
      <c r="F2388" s="4"/>
      <c r="G2388" s="4"/>
      <c r="H2388" s="4"/>
    </row>
    <row r="2389">
      <c r="D2389" s="5"/>
      <c r="E2389" s="4"/>
      <c r="F2389" s="4"/>
      <c r="G2389" s="4"/>
      <c r="H2389" s="4"/>
    </row>
    <row r="2390">
      <c r="D2390" s="5"/>
      <c r="E2390" s="4"/>
      <c r="F2390" s="4"/>
      <c r="G2390" s="4"/>
      <c r="H2390" s="4"/>
    </row>
    <row r="2391">
      <c r="D2391" s="5"/>
      <c r="E2391" s="4"/>
      <c r="F2391" s="4"/>
      <c r="G2391" s="4"/>
      <c r="H2391" s="4"/>
    </row>
    <row r="2392">
      <c r="D2392" s="5"/>
      <c r="E2392" s="4"/>
      <c r="F2392" s="4"/>
      <c r="G2392" s="4"/>
      <c r="H2392" s="4"/>
    </row>
    <row r="2393">
      <c r="D2393" s="5"/>
      <c r="E2393" s="4"/>
      <c r="F2393" s="4"/>
      <c r="G2393" s="4"/>
      <c r="H2393" s="4"/>
    </row>
    <row r="2394">
      <c r="D2394" s="5"/>
      <c r="E2394" s="4"/>
      <c r="F2394" s="4"/>
      <c r="G2394" s="4"/>
      <c r="H2394" s="4"/>
    </row>
    <row r="2395">
      <c r="D2395" s="5"/>
      <c r="E2395" s="4"/>
      <c r="F2395" s="4"/>
      <c r="G2395" s="4"/>
      <c r="H2395" s="4"/>
    </row>
    <row r="2396">
      <c r="D2396" s="5"/>
      <c r="E2396" s="4"/>
      <c r="F2396" s="4"/>
      <c r="G2396" s="4"/>
      <c r="H2396" s="4"/>
    </row>
    <row r="2397">
      <c r="D2397" s="5"/>
      <c r="E2397" s="4"/>
      <c r="F2397" s="4"/>
      <c r="G2397" s="4"/>
      <c r="H2397" s="4"/>
    </row>
    <row r="2398">
      <c r="D2398" s="5"/>
      <c r="E2398" s="4"/>
      <c r="F2398" s="4"/>
      <c r="G2398" s="4"/>
      <c r="H2398" s="4"/>
    </row>
    <row r="2399">
      <c r="D2399" s="5"/>
      <c r="E2399" s="4"/>
      <c r="F2399" s="4"/>
      <c r="G2399" s="4"/>
      <c r="H2399" s="4"/>
    </row>
    <row r="2400">
      <c r="D2400" s="5"/>
      <c r="E2400" s="4"/>
      <c r="F2400" s="4"/>
      <c r="G2400" s="4"/>
      <c r="H2400" s="4"/>
    </row>
    <row r="2401">
      <c r="D2401" s="5"/>
      <c r="E2401" s="4"/>
      <c r="F2401" s="4"/>
      <c r="G2401" s="4"/>
      <c r="H2401" s="4"/>
    </row>
    <row r="2402">
      <c r="D2402" s="5"/>
      <c r="E2402" s="4"/>
      <c r="F2402" s="4"/>
      <c r="G2402" s="4"/>
      <c r="H2402" s="4"/>
    </row>
    <row r="2403">
      <c r="D2403" s="5"/>
      <c r="E2403" s="4"/>
      <c r="F2403" s="4"/>
      <c r="G2403" s="4"/>
      <c r="H2403" s="4"/>
    </row>
    <row r="2404">
      <c r="D2404" s="5"/>
      <c r="E2404" s="4"/>
      <c r="F2404" s="4"/>
      <c r="G2404" s="4"/>
      <c r="H2404" s="4"/>
    </row>
    <row r="2405">
      <c r="D2405" s="5"/>
      <c r="E2405" s="4"/>
      <c r="F2405" s="4"/>
      <c r="G2405" s="4"/>
      <c r="H2405" s="4"/>
    </row>
    <row r="2406">
      <c r="D2406" s="5"/>
      <c r="E2406" s="4"/>
      <c r="F2406" s="4"/>
      <c r="G2406" s="4"/>
      <c r="H2406" s="4"/>
    </row>
    <row r="2407">
      <c r="D2407" s="5"/>
      <c r="E2407" s="4"/>
      <c r="F2407" s="4"/>
      <c r="G2407" s="4"/>
      <c r="H2407" s="4"/>
    </row>
    <row r="2408">
      <c r="D2408" s="5"/>
      <c r="E2408" s="4"/>
      <c r="F2408" s="4"/>
      <c r="G2408" s="4"/>
      <c r="H2408" s="4"/>
    </row>
    <row r="2409">
      <c r="D2409" s="5"/>
      <c r="E2409" s="4"/>
      <c r="F2409" s="4"/>
      <c r="G2409" s="4"/>
      <c r="H2409" s="4"/>
    </row>
    <row r="2410">
      <c r="D2410" s="5"/>
      <c r="E2410" s="4"/>
      <c r="F2410" s="4"/>
      <c r="G2410" s="4"/>
      <c r="H2410" s="4"/>
    </row>
    <row r="2411">
      <c r="D2411" s="5"/>
      <c r="E2411" s="4"/>
      <c r="F2411" s="4"/>
      <c r="G2411" s="4"/>
      <c r="H2411" s="4"/>
    </row>
    <row r="2412">
      <c r="D2412" s="5"/>
      <c r="E2412" s="4"/>
      <c r="F2412" s="4"/>
      <c r="G2412" s="4"/>
      <c r="H2412" s="4"/>
    </row>
    <row r="2413">
      <c r="D2413" s="5"/>
      <c r="E2413" s="4"/>
      <c r="F2413" s="4"/>
      <c r="G2413" s="4"/>
      <c r="H2413" s="4"/>
    </row>
    <row r="2414">
      <c r="D2414" s="5"/>
      <c r="E2414" s="4"/>
      <c r="F2414" s="4"/>
      <c r="G2414" s="4"/>
      <c r="H2414" s="4"/>
    </row>
    <row r="2415">
      <c r="D2415" s="5"/>
      <c r="E2415" s="4"/>
      <c r="F2415" s="4"/>
      <c r="G2415" s="4"/>
      <c r="H2415" s="4"/>
    </row>
    <row r="2416">
      <c r="D2416" s="5"/>
      <c r="E2416" s="4"/>
      <c r="F2416" s="4"/>
      <c r="G2416" s="4"/>
      <c r="H2416" s="4"/>
    </row>
    <row r="2417">
      <c r="D2417" s="5"/>
      <c r="E2417" s="4"/>
      <c r="F2417" s="4"/>
      <c r="G2417" s="4"/>
      <c r="H2417" s="4"/>
    </row>
    <row r="2418">
      <c r="D2418" s="5"/>
      <c r="E2418" s="4"/>
      <c r="F2418" s="4"/>
      <c r="G2418" s="4"/>
      <c r="H2418" s="4"/>
    </row>
    <row r="2419">
      <c r="D2419" s="5"/>
      <c r="E2419" s="4"/>
      <c r="F2419" s="4"/>
      <c r="G2419" s="4"/>
      <c r="H2419" s="4"/>
    </row>
    <row r="2420">
      <c r="D2420" s="5"/>
      <c r="E2420" s="4"/>
      <c r="F2420" s="4"/>
      <c r="G2420" s="4"/>
      <c r="H2420" s="4"/>
    </row>
    <row r="2421">
      <c r="D2421" s="5"/>
      <c r="E2421" s="4"/>
      <c r="F2421" s="4"/>
      <c r="G2421" s="4"/>
      <c r="H2421" s="4"/>
    </row>
    <row r="2422">
      <c r="D2422" s="5"/>
      <c r="E2422" s="4"/>
      <c r="F2422" s="4"/>
      <c r="G2422" s="4"/>
      <c r="H2422" s="4"/>
    </row>
    <row r="2423">
      <c r="D2423" s="5"/>
      <c r="E2423" s="4"/>
      <c r="F2423" s="4"/>
      <c r="G2423" s="4"/>
      <c r="H2423" s="4"/>
    </row>
    <row r="2424">
      <c r="D2424" s="5"/>
      <c r="E2424" s="4"/>
      <c r="F2424" s="4"/>
      <c r="G2424" s="4"/>
      <c r="H2424" s="4"/>
    </row>
    <row r="2425">
      <c r="D2425" s="5"/>
      <c r="E2425" s="4"/>
      <c r="F2425" s="4"/>
      <c r="G2425" s="4"/>
      <c r="H2425" s="4"/>
    </row>
    <row r="2426">
      <c r="D2426" s="5"/>
      <c r="E2426" s="4"/>
      <c r="F2426" s="4"/>
      <c r="G2426" s="4"/>
      <c r="H2426" s="4"/>
    </row>
    <row r="2427">
      <c r="D2427" s="5"/>
      <c r="E2427" s="4"/>
      <c r="F2427" s="4"/>
      <c r="G2427" s="4"/>
      <c r="H2427" s="4"/>
    </row>
    <row r="2428">
      <c r="D2428" s="5"/>
      <c r="E2428" s="4"/>
      <c r="F2428" s="4"/>
      <c r="G2428" s="4"/>
      <c r="H2428" s="4"/>
    </row>
    <row r="2429">
      <c r="D2429" s="5"/>
      <c r="E2429" s="4"/>
      <c r="F2429" s="4"/>
      <c r="G2429" s="4"/>
      <c r="H2429" s="4"/>
    </row>
    <row r="2430">
      <c r="D2430" s="5"/>
      <c r="E2430" s="4"/>
      <c r="F2430" s="4"/>
      <c r="G2430" s="4"/>
      <c r="H2430" s="4"/>
    </row>
    <row r="2431">
      <c r="D2431" s="5"/>
      <c r="E2431" s="4"/>
      <c r="F2431" s="4"/>
      <c r="G2431" s="4"/>
      <c r="H2431" s="4"/>
    </row>
    <row r="2432">
      <c r="D2432" s="5"/>
      <c r="E2432" s="4"/>
      <c r="F2432" s="4"/>
      <c r="G2432" s="4"/>
      <c r="H2432" s="4"/>
    </row>
    <row r="2433">
      <c r="D2433" s="5"/>
      <c r="E2433" s="4"/>
      <c r="F2433" s="4"/>
      <c r="G2433" s="4"/>
      <c r="H2433" s="4"/>
    </row>
    <row r="2434">
      <c r="D2434" s="5"/>
      <c r="E2434" s="4"/>
      <c r="F2434" s="4"/>
      <c r="G2434" s="4"/>
      <c r="H2434" s="4"/>
    </row>
    <row r="2435">
      <c r="D2435" s="5"/>
      <c r="E2435" s="4"/>
      <c r="F2435" s="4"/>
      <c r="G2435" s="4"/>
      <c r="H2435" s="4"/>
    </row>
    <row r="2436">
      <c r="D2436" s="5"/>
      <c r="E2436" s="4"/>
      <c r="F2436" s="4"/>
      <c r="G2436" s="4"/>
      <c r="H2436" s="4"/>
    </row>
    <row r="2437">
      <c r="D2437" s="5"/>
      <c r="E2437" s="4"/>
      <c r="F2437" s="4"/>
      <c r="G2437" s="4"/>
      <c r="H2437" s="4"/>
    </row>
    <row r="2438">
      <c r="D2438" s="5"/>
      <c r="E2438" s="4"/>
      <c r="F2438" s="4"/>
      <c r="G2438" s="4"/>
      <c r="H2438" s="4"/>
    </row>
    <row r="2439">
      <c r="D2439" s="5"/>
      <c r="E2439" s="4"/>
      <c r="F2439" s="4"/>
      <c r="G2439" s="4"/>
      <c r="H2439" s="4"/>
    </row>
    <row r="2440">
      <c r="D2440" s="5"/>
      <c r="E2440" s="4"/>
      <c r="F2440" s="4"/>
      <c r="G2440" s="4"/>
      <c r="H2440" s="4"/>
    </row>
    <row r="2441">
      <c r="D2441" s="5"/>
      <c r="E2441" s="4"/>
      <c r="F2441" s="4"/>
      <c r="G2441" s="4"/>
      <c r="H2441" s="4"/>
    </row>
    <row r="2442">
      <c r="D2442" s="5"/>
      <c r="E2442" s="4"/>
      <c r="F2442" s="4"/>
      <c r="G2442" s="4"/>
      <c r="H2442" s="4"/>
    </row>
    <row r="2443">
      <c r="D2443" s="5"/>
      <c r="E2443" s="4"/>
      <c r="F2443" s="4"/>
      <c r="G2443" s="4"/>
      <c r="H2443" s="4"/>
    </row>
    <row r="2444">
      <c r="D2444" s="5"/>
      <c r="E2444" s="4"/>
      <c r="F2444" s="4"/>
      <c r="G2444" s="4"/>
      <c r="H2444" s="4"/>
    </row>
    <row r="2445">
      <c r="D2445" s="5"/>
      <c r="E2445" s="4"/>
      <c r="F2445" s="4"/>
      <c r="G2445" s="4"/>
      <c r="H2445" s="4"/>
    </row>
    <row r="2446">
      <c r="D2446" s="5"/>
      <c r="E2446" s="4"/>
      <c r="F2446" s="4"/>
      <c r="G2446" s="4"/>
      <c r="H2446" s="4"/>
    </row>
    <row r="2447">
      <c r="D2447" s="5"/>
      <c r="E2447" s="4"/>
      <c r="F2447" s="4"/>
      <c r="G2447" s="4"/>
      <c r="H2447" s="4"/>
    </row>
    <row r="2448">
      <c r="D2448" s="5"/>
      <c r="E2448" s="4"/>
      <c r="F2448" s="4"/>
      <c r="G2448" s="4"/>
      <c r="H2448" s="4"/>
    </row>
    <row r="2449">
      <c r="D2449" s="5"/>
      <c r="E2449" s="4"/>
      <c r="F2449" s="4"/>
      <c r="G2449" s="4"/>
      <c r="H2449" s="4"/>
    </row>
    <row r="2450">
      <c r="D2450" s="5"/>
      <c r="E2450" s="4"/>
      <c r="F2450" s="4"/>
      <c r="G2450" s="4"/>
      <c r="H2450" s="4"/>
    </row>
    <row r="2451">
      <c r="D2451" s="5"/>
      <c r="E2451" s="4"/>
      <c r="F2451" s="4"/>
      <c r="G2451" s="4"/>
      <c r="H2451" s="4"/>
    </row>
    <row r="2452">
      <c r="D2452" s="5"/>
      <c r="E2452" s="4"/>
      <c r="F2452" s="4"/>
      <c r="G2452" s="4"/>
      <c r="H2452" s="4"/>
    </row>
    <row r="2453">
      <c r="D2453" s="5"/>
      <c r="E2453" s="4"/>
      <c r="F2453" s="4"/>
      <c r="G2453" s="4"/>
      <c r="H2453" s="4"/>
    </row>
    <row r="2454">
      <c r="D2454" s="5"/>
      <c r="E2454" s="4"/>
      <c r="F2454" s="4"/>
      <c r="G2454" s="4"/>
      <c r="H2454" s="4"/>
    </row>
    <row r="2455">
      <c r="D2455" s="5"/>
      <c r="E2455" s="4"/>
      <c r="F2455" s="4"/>
      <c r="G2455" s="4"/>
      <c r="H2455" s="4"/>
    </row>
    <row r="2456">
      <c r="D2456" s="5"/>
      <c r="E2456" s="4"/>
      <c r="F2456" s="4"/>
      <c r="G2456" s="4"/>
      <c r="H2456" s="4"/>
    </row>
    <row r="2457">
      <c r="D2457" s="5"/>
      <c r="E2457" s="4"/>
      <c r="F2457" s="4"/>
      <c r="G2457" s="4"/>
      <c r="H2457" s="4"/>
    </row>
    <row r="2458">
      <c r="D2458" s="5"/>
      <c r="E2458" s="4"/>
      <c r="F2458" s="4"/>
      <c r="G2458" s="4"/>
      <c r="H2458" s="4"/>
    </row>
    <row r="2459">
      <c r="D2459" s="5"/>
      <c r="E2459" s="4"/>
      <c r="F2459" s="4"/>
      <c r="G2459" s="4"/>
      <c r="H2459" s="4"/>
    </row>
    <row r="2460">
      <c r="D2460" s="5"/>
      <c r="E2460" s="4"/>
      <c r="F2460" s="4"/>
      <c r="G2460" s="4"/>
      <c r="H2460" s="4"/>
    </row>
    <row r="2461">
      <c r="D2461" s="5"/>
      <c r="E2461" s="4"/>
      <c r="F2461" s="4"/>
      <c r="G2461" s="4"/>
      <c r="H2461" s="4"/>
    </row>
    <row r="2462">
      <c r="D2462" s="5"/>
      <c r="E2462" s="4"/>
      <c r="F2462" s="4"/>
      <c r="G2462" s="4"/>
      <c r="H2462" s="4"/>
    </row>
    <row r="2463">
      <c r="D2463" s="5"/>
      <c r="E2463" s="4"/>
      <c r="F2463" s="4"/>
      <c r="G2463" s="4"/>
      <c r="H2463" s="4"/>
    </row>
    <row r="2464">
      <c r="D2464" s="5"/>
      <c r="E2464" s="4"/>
      <c r="F2464" s="4"/>
      <c r="G2464" s="4"/>
      <c r="H2464" s="4"/>
    </row>
    <row r="2465">
      <c r="D2465" s="5"/>
      <c r="E2465" s="4"/>
      <c r="F2465" s="4"/>
      <c r="G2465" s="4"/>
      <c r="H2465" s="4"/>
    </row>
    <row r="2466">
      <c r="D2466" s="5"/>
      <c r="E2466" s="4"/>
      <c r="F2466" s="4"/>
      <c r="G2466" s="4"/>
      <c r="H2466" s="4"/>
    </row>
    <row r="2467">
      <c r="D2467" s="5"/>
      <c r="E2467" s="4"/>
      <c r="F2467" s="4"/>
      <c r="G2467" s="4"/>
      <c r="H2467" s="4"/>
    </row>
    <row r="2468">
      <c r="D2468" s="5"/>
      <c r="E2468" s="4"/>
      <c r="F2468" s="4"/>
      <c r="G2468" s="4"/>
      <c r="H2468" s="4"/>
    </row>
    <row r="2469">
      <c r="D2469" s="5"/>
      <c r="E2469" s="4"/>
      <c r="F2469" s="4"/>
      <c r="G2469" s="4"/>
      <c r="H2469" s="4"/>
    </row>
    <row r="2470">
      <c r="D2470" s="5"/>
      <c r="E2470" s="4"/>
      <c r="F2470" s="4"/>
      <c r="G2470" s="4"/>
      <c r="H2470" s="4"/>
    </row>
    <row r="2471">
      <c r="D2471" s="5"/>
      <c r="E2471" s="4"/>
      <c r="F2471" s="4"/>
      <c r="G2471" s="4"/>
      <c r="H2471" s="4"/>
    </row>
    <row r="2472">
      <c r="D2472" s="5"/>
      <c r="E2472" s="4"/>
      <c r="F2472" s="4"/>
      <c r="G2472" s="4"/>
      <c r="H2472" s="4"/>
    </row>
    <row r="2473">
      <c r="D2473" s="5"/>
      <c r="E2473" s="4"/>
      <c r="F2473" s="4"/>
      <c r="G2473" s="4"/>
      <c r="H2473" s="4"/>
    </row>
    <row r="2474">
      <c r="D2474" s="5"/>
      <c r="E2474" s="4"/>
      <c r="F2474" s="4"/>
      <c r="G2474" s="4"/>
      <c r="H2474" s="4"/>
    </row>
    <row r="2475">
      <c r="D2475" s="5"/>
      <c r="E2475" s="4"/>
      <c r="F2475" s="4"/>
      <c r="G2475" s="4"/>
      <c r="H2475" s="4"/>
    </row>
    <row r="2476">
      <c r="D2476" s="5"/>
      <c r="E2476" s="4"/>
      <c r="F2476" s="4"/>
      <c r="G2476" s="4"/>
      <c r="H2476" s="4"/>
    </row>
    <row r="2477">
      <c r="D2477" s="5"/>
      <c r="E2477" s="4"/>
      <c r="F2477" s="4"/>
      <c r="G2477" s="4"/>
      <c r="H2477" s="4"/>
    </row>
    <row r="2478">
      <c r="D2478" s="5"/>
      <c r="E2478" s="4"/>
      <c r="F2478" s="4"/>
      <c r="G2478" s="4"/>
      <c r="H2478" s="4"/>
    </row>
    <row r="2479">
      <c r="D2479" s="5"/>
      <c r="E2479" s="4"/>
      <c r="F2479" s="4"/>
      <c r="G2479" s="4"/>
      <c r="H2479" s="4"/>
    </row>
    <row r="2480">
      <c r="D2480" s="5"/>
      <c r="E2480" s="4"/>
      <c r="F2480" s="4"/>
      <c r="G2480" s="4"/>
      <c r="H2480" s="4"/>
    </row>
    <row r="2481">
      <c r="D2481" s="5"/>
      <c r="E2481" s="4"/>
      <c r="F2481" s="4"/>
      <c r="G2481" s="4"/>
      <c r="H2481" s="4"/>
    </row>
    <row r="2482">
      <c r="D2482" s="5"/>
      <c r="E2482" s="4"/>
      <c r="F2482" s="4"/>
      <c r="G2482" s="4"/>
      <c r="H2482" s="4"/>
    </row>
    <row r="2483">
      <c r="D2483" s="5"/>
      <c r="E2483" s="4"/>
      <c r="F2483" s="4"/>
      <c r="G2483" s="4"/>
      <c r="H2483" s="4"/>
    </row>
    <row r="2484">
      <c r="D2484" s="5"/>
      <c r="E2484" s="4"/>
      <c r="F2484" s="4"/>
      <c r="G2484" s="4"/>
      <c r="H2484" s="4"/>
    </row>
    <row r="2485">
      <c r="D2485" s="5"/>
      <c r="E2485" s="4"/>
      <c r="F2485" s="4"/>
      <c r="G2485" s="4"/>
      <c r="H2485" s="4"/>
    </row>
    <row r="2486">
      <c r="D2486" s="5"/>
      <c r="E2486" s="4"/>
      <c r="F2486" s="4"/>
      <c r="G2486" s="4"/>
      <c r="H2486" s="4"/>
    </row>
    <row r="2487">
      <c r="D2487" s="5"/>
      <c r="E2487" s="4"/>
      <c r="F2487" s="4"/>
      <c r="G2487" s="4"/>
      <c r="H2487" s="4"/>
    </row>
    <row r="2488">
      <c r="D2488" s="5"/>
      <c r="E2488" s="4"/>
      <c r="F2488" s="4"/>
      <c r="G2488" s="4"/>
      <c r="H2488" s="4"/>
    </row>
    <row r="2489">
      <c r="D2489" s="5"/>
      <c r="E2489" s="4"/>
      <c r="F2489" s="4"/>
      <c r="G2489" s="4"/>
      <c r="H2489" s="4"/>
    </row>
    <row r="2490">
      <c r="D2490" s="5"/>
      <c r="E2490" s="4"/>
      <c r="F2490" s="4"/>
      <c r="G2490" s="4"/>
      <c r="H2490" s="4"/>
    </row>
    <row r="2491">
      <c r="D2491" s="5"/>
      <c r="E2491" s="4"/>
      <c r="F2491" s="4"/>
      <c r="G2491" s="4"/>
      <c r="H2491" s="4"/>
    </row>
    <row r="2492">
      <c r="D2492" s="5"/>
      <c r="E2492" s="4"/>
      <c r="F2492" s="4"/>
      <c r="G2492" s="4"/>
      <c r="H2492" s="4"/>
    </row>
    <row r="2493">
      <c r="D2493" s="5"/>
      <c r="E2493" s="4"/>
      <c r="F2493" s="4"/>
      <c r="G2493" s="4"/>
      <c r="H2493" s="4"/>
    </row>
    <row r="2494">
      <c r="D2494" s="5"/>
      <c r="E2494" s="4"/>
      <c r="F2494" s="4"/>
      <c r="G2494" s="4"/>
      <c r="H2494" s="4"/>
    </row>
    <row r="2495">
      <c r="D2495" s="5"/>
      <c r="E2495" s="4"/>
      <c r="F2495" s="4"/>
      <c r="G2495" s="4"/>
      <c r="H2495" s="4"/>
    </row>
    <row r="2496">
      <c r="D2496" s="5"/>
      <c r="E2496" s="4"/>
      <c r="F2496" s="4"/>
      <c r="G2496" s="4"/>
      <c r="H2496" s="4"/>
    </row>
    <row r="2497">
      <c r="D2497" s="5"/>
      <c r="E2497" s="4"/>
      <c r="F2497" s="4"/>
      <c r="G2497" s="4"/>
      <c r="H2497" s="4"/>
    </row>
    <row r="2498">
      <c r="D2498" s="5"/>
      <c r="E2498" s="4"/>
      <c r="F2498" s="4"/>
      <c r="G2498" s="4"/>
      <c r="H2498" s="4"/>
    </row>
    <row r="2499">
      <c r="D2499" s="5"/>
      <c r="E2499" s="4"/>
      <c r="F2499" s="4"/>
      <c r="G2499" s="4"/>
      <c r="H2499" s="4"/>
    </row>
    <row r="2500">
      <c r="D2500" s="5"/>
      <c r="E2500" s="4"/>
      <c r="F2500" s="4"/>
      <c r="G2500" s="4"/>
      <c r="H2500" s="4"/>
    </row>
    <row r="2501">
      <c r="D2501" s="5"/>
      <c r="E2501" s="4"/>
      <c r="F2501" s="4"/>
      <c r="G2501" s="4"/>
      <c r="H2501" s="4"/>
    </row>
    <row r="2502">
      <c r="D2502" s="5"/>
      <c r="E2502" s="4"/>
      <c r="F2502" s="4"/>
      <c r="G2502" s="4"/>
      <c r="H2502" s="4"/>
    </row>
    <row r="2503">
      <c r="D2503" s="5"/>
      <c r="E2503" s="4"/>
      <c r="F2503" s="4"/>
      <c r="G2503" s="4"/>
      <c r="H2503" s="4"/>
    </row>
    <row r="2504">
      <c r="D2504" s="5"/>
      <c r="E2504" s="4"/>
      <c r="F2504" s="4"/>
      <c r="G2504" s="4"/>
      <c r="H2504" s="4"/>
    </row>
    <row r="2505">
      <c r="D2505" s="5"/>
      <c r="E2505" s="4"/>
      <c r="F2505" s="4"/>
      <c r="G2505" s="4"/>
      <c r="H2505" s="4"/>
    </row>
    <row r="2506">
      <c r="D2506" s="5"/>
      <c r="E2506" s="4"/>
      <c r="F2506" s="4"/>
      <c r="G2506" s="4"/>
      <c r="H2506" s="4"/>
    </row>
    <row r="2507">
      <c r="D2507" s="5"/>
      <c r="E2507" s="4"/>
      <c r="F2507" s="4"/>
      <c r="G2507" s="4"/>
      <c r="H2507" s="4"/>
    </row>
    <row r="2508">
      <c r="D2508" s="5"/>
      <c r="E2508" s="4"/>
      <c r="F2508" s="4"/>
      <c r="G2508" s="4"/>
      <c r="H2508" s="4"/>
    </row>
    <row r="2509">
      <c r="D2509" s="5"/>
      <c r="E2509" s="4"/>
      <c r="F2509" s="4"/>
      <c r="G2509" s="4"/>
      <c r="H2509" s="4"/>
    </row>
    <row r="2510">
      <c r="D2510" s="5"/>
      <c r="E2510" s="4"/>
      <c r="F2510" s="4"/>
      <c r="G2510" s="4"/>
      <c r="H2510" s="4"/>
    </row>
    <row r="2511">
      <c r="D2511" s="5"/>
      <c r="E2511" s="4"/>
      <c r="F2511" s="4"/>
      <c r="G2511" s="4"/>
      <c r="H2511" s="4"/>
    </row>
    <row r="2512">
      <c r="D2512" s="5"/>
      <c r="E2512" s="4"/>
      <c r="F2512" s="4"/>
      <c r="G2512" s="4"/>
      <c r="H2512" s="4"/>
    </row>
    <row r="2513">
      <c r="D2513" s="5"/>
      <c r="E2513" s="4"/>
      <c r="F2513" s="4"/>
      <c r="G2513" s="4"/>
      <c r="H2513" s="4"/>
    </row>
    <row r="2514">
      <c r="D2514" s="5"/>
      <c r="E2514" s="4"/>
      <c r="F2514" s="4"/>
      <c r="G2514" s="4"/>
      <c r="H2514" s="4"/>
    </row>
    <row r="2515">
      <c r="D2515" s="5"/>
      <c r="E2515" s="4"/>
      <c r="F2515" s="4"/>
      <c r="G2515" s="4"/>
      <c r="H2515" s="4"/>
    </row>
    <row r="2516">
      <c r="D2516" s="5"/>
      <c r="E2516" s="4"/>
      <c r="F2516" s="4"/>
      <c r="G2516" s="4"/>
      <c r="H2516" s="4"/>
    </row>
    <row r="2517">
      <c r="D2517" s="5"/>
      <c r="E2517" s="4"/>
      <c r="F2517" s="4"/>
      <c r="G2517" s="4"/>
      <c r="H2517" s="4"/>
    </row>
    <row r="2518">
      <c r="D2518" s="5"/>
      <c r="E2518" s="4"/>
      <c r="F2518" s="4"/>
      <c r="G2518" s="4"/>
      <c r="H2518" s="4"/>
    </row>
    <row r="2519">
      <c r="D2519" s="5"/>
      <c r="E2519" s="4"/>
      <c r="F2519" s="4"/>
      <c r="G2519" s="4"/>
      <c r="H2519" s="4"/>
    </row>
    <row r="2520">
      <c r="D2520" s="5"/>
      <c r="E2520" s="4"/>
      <c r="F2520" s="4"/>
      <c r="G2520" s="4"/>
      <c r="H2520" s="4"/>
    </row>
    <row r="2521">
      <c r="D2521" s="5"/>
      <c r="E2521" s="4"/>
      <c r="F2521" s="4"/>
      <c r="G2521" s="4"/>
      <c r="H2521" s="4"/>
    </row>
    <row r="2522">
      <c r="D2522" s="5"/>
      <c r="E2522" s="4"/>
      <c r="F2522" s="4"/>
      <c r="G2522" s="4"/>
      <c r="H2522" s="4"/>
    </row>
    <row r="2523">
      <c r="D2523" s="5"/>
      <c r="E2523" s="4"/>
      <c r="F2523" s="4"/>
      <c r="G2523" s="4"/>
      <c r="H2523" s="4"/>
    </row>
    <row r="2524">
      <c r="D2524" s="5"/>
      <c r="E2524" s="4"/>
      <c r="F2524" s="4"/>
      <c r="G2524" s="4"/>
      <c r="H2524" s="4"/>
    </row>
    <row r="2525">
      <c r="D2525" s="5"/>
      <c r="E2525" s="4"/>
      <c r="F2525" s="4"/>
      <c r="G2525" s="4"/>
      <c r="H2525" s="4"/>
    </row>
    <row r="2526">
      <c r="D2526" s="5"/>
      <c r="E2526" s="4"/>
      <c r="F2526" s="4"/>
      <c r="G2526" s="4"/>
      <c r="H2526" s="4"/>
    </row>
    <row r="2527">
      <c r="D2527" s="5"/>
      <c r="E2527" s="4"/>
      <c r="F2527" s="4"/>
      <c r="G2527" s="4"/>
      <c r="H2527" s="4"/>
    </row>
    <row r="2528">
      <c r="D2528" s="5"/>
      <c r="E2528" s="4"/>
      <c r="F2528" s="4"/>
      <c r="G2528" s="4"/>
      <c r="H2528" s="4"/>
    </row>
    <row r="2529">
      <c r="D2529" s="5"/>
      <c r="E2529" s="4"/>
      <c r="F2529" s="4"/>
      <c r="G2529" s="4"/>
      <c r="H2529" s="4"/>
    </row>
    <row r="2530">
      <c r="D2530" s="5"/>
      <c r="E2530" s="4"/>
      <c r="F2530" s="4"/>
      <c r="G2530" s="4"/>
      <c r="H2530" s="4"/>
    </row>
    <row r="2531">
      <c r="D2531" s="5"/>
      <c r="E2531" s="4"/>
      <c r="F2531" s="4"/>
      <c r="G2531" s="4"/>
      <c r="H2531" s="4"/>
    </row>
    <row r="2532">
      <c r="D2532" s="5"/>
      <c r="E2532" s="4"/>
      <c r="F2532" s="4"/>
      <c r="G2532" s="4"/>
      <c r="H2532" s="4"/>
    </row>
    <row r="2533">
      <c r="D2533" s="5"/>
      <c r="E2533" s="4"/>
      <c r="F2533" s="4"/>
      <c r="G2533" s="4"/>
      <c r="H2533" s="4"/>
    </row>
    <row r="2534">
      <c r="D2534" s="5"/>
      <c r="E2534" s="4"/>
      <c r="F2534" s="4"/>
      <c r="G2534" s="4"/>
      <c r="H2534" s="4"/>
    </row>
    <row r="2535">
      <c r="D2535" s="5"/>
      <c r="E2535" s="4"/>
      <c r="F2535" s="4"/>
      <c r="G2535" s="4"/>
      <c r="H2535" s="4"/>
    </row>
    <row r="2536">
      <c r="D2536" s="5"/>
      <c r="E2536" s="4"/>
      <c r="F2536" s="4"/>
      <c r="G2536" s="4"/>
      <c r="H2536" s="4"/>
    </row>
    <row r="2537">
      <c r="D2537" s="5"/>
      <c r="E2537" s="4"/>
      <c r="F2537" s="4"/>
      <c r="G2537" s="4"/>
      <c r="H2537" s="4"/>
    </row>
    <row r="2538">
      <c r="D2538" s="5"/>
      <c r="E2538" s="4"/>
      <c r="F2538" s="4"/>
      <c r="G2538" s="4"/>
      <c r="H2538" s="4"/>
    </row>
    <row r="2539">
      <c r="D2539" s="5"/>
      <c r="E2539" s="4"/>
      <c r="F2539" s="4"/>
      <c r="G2539" s="4"/>
      <c r="H2539" s="4"/>
    </row>
    <row r="2540">
      <c r="D2540" s="5"/>
      <c r="E2540" s="4"/>
      <c r="F2540" s="4"/>
      <c r="G2540" s="4"/>
      <c r="H2540" s="4"/>
    </row>
    <row r="2541">
      <c r="D2541" s="5"/>
      <c r="E2541" s="4"/>
      <c r="F2541" s="4"/>
      <c r="G2541" s="4"/>
      <c r="H2541" s="4"/>
    </row>
    <row r="2542">
      <c r="D2542" s="5"/>
      <c r="E2542" s="4"/>
      <c r="F2542" s="4"/>
      <c r="G2542" s="4"/>
      <c r="H2542" s="4"/>
    </row>
    <row r="2543">
      <c r="D2543" s="5"/>
      <c r="E2543" s="4"/>
      <c r="F2543" s="4"/>
      <c r="G2543" s="4"/>
      <c r="H2543" s="4"/>
    </row>
    <row r="2544">
      <c r="D2544" s="5"/>
      <c r="E2544" s="4"/>
      <c r="F2544" s="4"/>
      <c r="G2544" s="4"/>
      <c r="H2544" s="4"/>
    </row>
    <row r="2545">
      <c r="D2545" s="5"/>
      <c r="E2545" s="4"/>
      <c r="F2545" s="4"/>
      <c r="G2545" s="4"/>
      <c r="H2545" s="4"/>
    </row>
    <row r="2546">
      <c r="D2546" s="5"/>
      <c r="E2546" s="4"/>
      <c r="F2546" s="4"/>
      <c r="G2546" s="4"/>
      <c r="H2546" s="4"/>
    </row>
    <row r="2547">
      <c r="D2547" s="5"/>
      <c r="E2547" s="4"/>
      <c r="F2547" s="4"/>
      <c r="G2547" s="4"/>
      <c r="H2547" s="4"/>
    </row>
    <row r="2548">
      <c r="D2548" s="5"/>
      <c r="E2548" s="4"/>
      <c r="F2548" s="4"/>
      <c r="G2548" s="4"/>
      <c r="H2548" s="4"/>
    </row>
    <row r="2549">
      <c r="D2549" s="5"/>
      <c r="E2549" s="4"/>
      <c r="F2549" s="4"/>
      <c r="G2549" s="4"/>
      <c r="H2549" s="4"/>
    </row>
    <row r="2550">
      <c r="D2550" s="5"/>
      <c r="E2550" s="4"/>
      <c r="F2550" s="4"/>
      <c r="G2550" s="4"/>
      <c r="H2550" s="4"/>
    </row>
    <row r="2551">
      <c r="D2551" s="5"/>
      <c r="E2551" s="4"/>
      <c r="F2551" s="4"/>
      <c r="G2551" s="4"/>
      <c r="H2551" s="4"/>
    </row>
    <row r="2552">
      <c r="D2552" s="5"/>
      <c r="E2552" s="4"/>
      <c r="F2552" s="4"/>
      <c r="G2552" s="4"/>
      <c r="H2552" s="4"/>
    </row>
    <row r="2553">
      <c r="D2553" s="5"/>
      <c r="E2553" s="4"/>
      <c r="F2553" s="4"/>
      <c r="G2553" s="4"/>
      <c r="H2553" s="4"/>
    </row>
    <row r="2554">
      <c r="D2554" s="5"/>
      <c r="E2554" s="4"/>
      <c r="F2554" s="4"/>
      <c r="G2554" s="4"/>
      <c r="H2554" s="4"/>
    </row>
    <row r="2555">
      <c r="D2555" s="5"/>
      <c r="E2555" s="4"/>
      <c r="F2555" s="4"/>
      <c r="G2555" s="4"/>
      <c r="H2555" s="4"/>
    </row>
    <row r="2556">
      <c r="D2556" s="5"/>
      <c r="E2556" s="4"/>
      <c r="F2556" s="4"/>
      <c r="G2556" s="4"/>
      <c r="H2556" s="4"/>
    </row>
    <row r="2557">
      <c r="D2557" s="5"/>
      <c r="E2557" s="4"/>
      <c r="F2557" s="4"/>
      <c r="G2557" s="4"/>
      <c r="H2557" s="4"/>
    </row>
    <row r="2558">
      <c r="D2558" s="5"/>
      <c r="E2558" s="4"/>
      <c r="F2558" s="4"/>
      <c r="G2558" s="4"/>
      <c r="H2558" s="4"/>
    </row>
    <row r="2559">
      <c r="D2559" s="5"/>
      <c r="E2559" s="4"/>
      <c r="F2559" s="4"/>
      <c r="G2559" s="4"/>
      <c r="H2559" s="4"/>
    </row>
    <row r="2560">
      <c r="D2560" s="5"/>
      <c r="E2560" s="4"/>
      <c r="F2560" s="4"/>
      <c r="G2560" s="4"/>
      <c r="H2560" s="4"/>
    </row>
    <row r="2561">
      <c r="D2561" s="5"/>
      <c r="E2561" s="4"/>
      <c r="F2561" s="4"/>
      <c r="G2561" s="4"/>
      <c r="H2561" s="4"/>
    </row>
    <row r="2562">
      <c r="D2562" s="5"/>
      <c r="E2562" s="4"/>
      <c r="F2562" s="4"/>
      <c r="G2562" s="4"/>
      <c r="H2562" s="4"/>
    </row>
    <row r="2563">
      <c r="D2563" s="5"/>
      <c r="E2563" s="4"/>
      <c r="F2563" s="4"/>
      <c r="G2563" s="4"/>
      <c r="H2563" s="4"/>
    </row>
    <row r="2564">
      <c r="D2564" s="5"/>
      <c r="E2564" s="4"/>
      <c r="F2564" s="4"/>
      <c r="G2564" s="4"/>
      <c r="H2564" s="4"/>
    </row>
    <row r="2565">
      <c r="D2565" s="5"/>
      <c r="E2565" s="4"/>
      <c r="F2565" s="4"/>
      <c r="G2565" s="4"/>
      <c r="H2565" s="4"/>
    </row>
    <row r="2566">
      <c r="D2566" s="5"/>
      <c r="E2566" s="4"/>
      <c r="F2566" s="4"/>
      <c r="G2566" s="4"/>
      <c r="H2566" s="4"/>
    </row>
    <row r="2567">
      <c r="D2567" s="5"/>
      <c r="E2567" s="4"/>
      <c r="F2567" s="4"/>
      <c r="G2567" s="4"/>
      <c r="H2567" s="4"/>
    </row>
    <row r="2568">
      <c r="D2568" s="5"/>
      <c r="E2568" s="4"/>
      <c r="F2568" s="4"/>
      <c r="G2568" s="4"/>
      <c r="H2568" s="4"/>
    </row>
    <row r="2569">
      <c r="D2569" s="5"/>
      <c r="E2569" s="4"/>
      <c r="F2569" s="4"/>
      <c r="G2569" s="4"/>
      <c r="H2569" s="4"/>
    </row>
    <row r="2570">
      <c r="D2570" s="5"/>
      <c r="E2570" s="4"/>
      <c r="F2570" s="4"/>
      <c r="G2570" s="4"/>
      <c r="H2570" s="4"/>
    </row>
    <row r="2571">
      <c r="D2571" s="5"/>
      <c r="E2571" s="4"/>
      <c r="F2571" s="4"/>
      <c r="G2571" s="4"/>
      <c r="H2571" s="4"/>
    </row>
    <row r="2572">
      <c r="D2572" s="5"/>
      <c r="E2572" s="4"/>
      <c r="F2572" s="4"/>
      <c r="G2572" s="4"/>
      <c r="H2572" s="4"/>
    </row>
    <row r="2573">
      <c r="D2573" s="5"/>
      <c r="E2573" s="4"/>
      <c r="F2573" s="4"/>
      <c r="G2573" s="4"/>
      <c r="H2573" s="4"/>
    </row>
    <row r="2574">
      <c r="D2574" s="5"/>
      <c r="E2574" s="4"/>
      <c r="F2574" s="4"/>
      <c r="G2574" s="4"/>
      <c r="H2574" s="4"/>
    </row>
    <row r="2575">
      <c r="D2575" s="5"/>
      <c r="E2575" s="4"/>
      <c r="F2575" s="4"/>
      <c r="G2575" s="4"/>
      <c r="H2575" s="4"/>
    </row>
    <row r="2576">
      <c r="D2576" s="5"/>
      <c r="E2576" s="4"/>
      <c r="F2576" s="4"/>
      <c r="G2576" s="4"/>
      <c r="H2576" s="4"/>
    </row>
    <row r="2577">
      <c r="D2577" s="5"/>
      <c r="E2577" s="4"/>
      <c r="F2577" s="4"/>
      <c r="G2577" s="4"/>
      <c r="H2577" s="4"/>
    </row>
    <row r="2578">
      <c r="D2578" s="5"/>
      <c r="E2578" s="4"/>
      <c r="F2578" s="4"/>
      <c r="G2578" s="4"/>
      <c r="H2578" s="4"/>
    </row>
    <row r="2579">
      <c r="D2579" s="5"/>
      <c r="E2579" s="4"/>
      <c r="F2579" s="4"/>
      <c r="G2579" s="4"/>
      <c r="H2579" s="4"/>
    </row>
    <row r="2580">
      <c r="D2580" s="5"/>
      <c r="E2580" s="4"/>
      <c r="F2580" s="4"/>
      <c r="G2580" s="4"/>
      <c r="H2580" s="4"/>
    </row>
    <row r="2581">
      <c r="D2581" s="5"/>
      <c r="E2581" s="4"/>
      <c r="F2581" s="4"/>
      <c r="G2581" s="4"/>
      <c r="H2581" s="4"/>
    </row>
    <row r="2582">
      <c r="D2582" s="5"/>
      <c r="E2582" s="4"/>
      <c r="F2582" s="4"/>
      <c r="G2582" s="4"/>
      <c r="H2582" s="4"/>
    </row>
    <row r="2583">
      <c r="D2583" s="5"/>
      <c r="E2583" s="4"/>
      <c r="F2583" s="4"/>
      <c r="G2583" s="4"/>
      <c r="H2583" s="4"/>
    </row>
    <row r="2584">
      <c r="D2584" s="5"/>
      <c r="E2584" s="4"/>
      <c r="F2584" s="4"/>
      <c r="G2584" s="4"/>
      <c r="H2584" s="4"/>
    </row>
    <row r="2585">
      <c r="D2585" s="5"/>
      <c r="E2585" s="4"/>
      <c r="F2585" s="4"/>
      <c r="G2585" s="4"/>
      <c r="H2585" s="4"/>
    </row>
    <row r="2586">
      <c r="D2586" s="5"/>
      <c r="E2586" s="4"/>
      <c r="F2586" s="4"/>
      <c r="G2586" s="4"/>
      <c r="H2586" s="4"/>
    </row>
    <row r="2587">
      <c r="D2587" s="5"/>
      <c r="E2587" s="4"/>
      <c r="F2587" s="4"/>
      <c r="G2587" s="4"/>
      <c r="H2587" s="4"/>
    </row>
    <row r="2588">
      <c r="D2588" s="5"/>
      <c r="E2588" s="4"/>
      <c r="F2588" s="4"/>
      <c r="G2588" s="4"/>
      <c r="H2588" s="4"/>
    </row>
    <row r="2589">
      <c r="D2589" s="5"/>
      <c r="E2589" s="4"/>
      <c r="F2589" s="4"/>
      <c r="G2589" s="4"/>
      <c r="H2589" s="4"/>
    </row>
    <row r="2590">
      <c r="D2590" s="5"/>
      <c r="E2590" s="4"/>
      <c r="F2590" s="4"/>
      <c r="G2590" s="4"/>
      <c r="H2590" s="4"/>
    </row>
    <row r="2591">
      <c r="D2591" s="5"/>
      <c r="E2591" s="4"/>
      <c r="F2591" s="4"/>
      <c r="G2591" s="4"/>
      <c r="H2591" s="4"/>
    </row>
    <row r="2592">
      <c r="D2592" s="5"/>
      <c r="E2592" s="4"/>
      <c r="F2592" s="4"/>
      <c r="G2592" s="4"/>
      <c r="H2592" s="4"/>
    </row>
    <row r="2593">
      <c r="D2593" s="5"/>
      <c r="E2593" s="4"/>
      <c r="F2593" s="4"/>
      <c r="G2593" s="4"/>
      <c r="H2593" s="4"/>
    </row>
    <row r="2594">
      <c r="D2594" s="5"/>
      <c r="E2594" s="4"/>
      <c r="F2594" s="4"/>
      <c r="G2594" s="4"/>
      <c r="H2594" s="4"/>
    </row>
    <row r="2595">
      <c r="D2595" s="5"/>
      <c r="E2595" s="4"/>
      <c r="F2595" s="4"/>
      <c r="G2595" s="4"/>
      <c r="H2595" s="4"/>
    </row>
    <row r="2596">
      <c r="D2596" s="5"/>
      <c r="E2596" s="4"/>
      <c r="F2596" s="4"/>
      <c r="G2596" s="4"/>
      <c r="H2596" s="4"/>
    </row>
    <row r="2597">
      <c r="D2597" s="5"/>
      <c r="E2597" s="4"/>
      <c r="F2597" s="4"/>
      <c r="G2597" s="4"/>
      <c r="H2597" s="4"/>
    </row>
    <row r="2598">
      <c r="D2598" s="5"/>
      <c r="E2598" s="4"/>
      <c r="F2598" s="4"/>
      <c r="G2598" s="4"/>
      <c r="H2598" s="4"/>
    </row>
    <row r="2599">
      <c r="D2599" s="5"/>
      <c r="E2599" s="4"/>
      <c r="F2599" s="4"/>
      <c r="G2599" s="4"/>
      <c r="H2599" s="4"/>
    </row>
    <row r="2600">
      <c r="D2600" s="5"/>
      <c r="E2600" s="4"/>
      <c r="F2600" s="4"/>
      <c r="G2600" s="4"/>
      <c r="H2600" s="4"/>
    </row>
    <row r="2601">
      <c r="D2601" s="5"/>
      <c r="E2601" s="4"/>
      <c r="F2601" s="4"/>
      <c r="G2601" s="4"/>
      <c r="H2601" s="4"/>
    </row>
    <row r="2602">
      <c r="D2602" s="5"/>
      <c r="E2602" s="4"/>
      <c r="F2602" s="4"/>
      <c r="G2602" s="4"/>
      <c r="H2602" s="4"/>
    </row>
    <row r="2603">
      <c r="D2603" s="5"/>
      <c r="E2603" s="4"/>
      <c r="F2603" s="4"/>
      <c r="G2603" s="4"/>
      <c r="H2603" s="4"/>
    </row>
    <row r="2604">
      <c r="D2604" s="5"/>
      <c r="E2604" s="4"/>
      <c r="F2604" s="4"/>
      <c r="G2604" s="4"/>
      <c r="H2604" s="4"/>
    </row>
    <row r="2605">
      <c r="D2605" s="5"/>
      <c r="E2605" s="4"/>
      <c r="F2605" s="4"/>
      <c r="G2605" s="4"/>
      <c r="H2605" s="4"/>
    </row>
    <row r="2606">
      <c r="D2606" s="5"/>
      <c r="E2606" s="4"/>
      <c r="F2606" s="4"/>
      <c r="G2606" s="4"/>
      <c r="H2606" s="4"/>
    </row>
    <row r="2607">
      <c r="D2607" s="5"/>
      <c r="E2607" s="4"/>
      <c r="F2607" s="4"/>
      <c r="G2607" s="4"/>
      <c r="H2607" s="4"/>
    </row>
    <row r="2608">
      <c r="D2608" s="5"/>
      <c r="E2608" s="4"/>
      <c r="F2608" s="4"/>
      <c r="G2608" s="4"/>
      <c r="H2608" s="4"/>
    </row>
    <row r="2609">
      <c r="D2609" s="5"/>
      <c r="E2609" s="4"/>
      <c r="F2609" s="4"/>
      <c r="G2609" s="4"/>
      <c r="H2609" s="4"/>
    </row>
    <row r="2610">
      <c r="D2610" s="5"/>
      <c r="E2610" s="4"/>
      <c r="F2610" s="4"/>
      <c r="G2610" s="4"/>
      <c r="H2610" s="4"/>
    </row>
    <row r="2611">
      <c r="D2611" s="5"/>
      <c r="E2611" s="4"/>
      <c r="F2611" s="4"/>
      <c r="G2611" s="4"/>
      <c r="H2611" s="4"/>
    </row>
    <row r="2612">
      <c r="D2612" s="5"/>
      <c r="E2612" s="4"/>
      <c r="F2612" s="4"/>
      <c r="G2612" s="4"/>
      <c r="H2612" s="4"/>
    </row>
    <row r="2613">
      <c r="D2613" s="5"/>
      <c r="E2613" s="4"/>
      <c r="F2613" s="4"/>
      <c r="G2613" s="4"/>
      <c r="H2613" s="4"/>
    </row>
    <row r="2614">
      <c r="D2614" s="5"/>
      <c r="E2614" s="4"/>
      <c r="F2614" s="4"/>
      <c r="G2614" s="4"/>
      <c r="H2614" s="4"/>
    </row>
    <row r="2615">
      <c r="D2615" s="5"/>
      <c r="E2615" s="4"/>
      <c r="F2615" s="4"/>
      <c r="G2615" s="4"/>
      <c r="H2615" s="4"/>
    </row>
    <row r="2616">
      <c r="D2616" s="5"/>
      <c r="E2616" s="4"/>
      <c r="F2616" s="4"/>
      <c r="G2616" s="4"/>
      <c r="H2616" s="4"/>
    </row>
    <row r="2617">
      <c r="D2617" s="5"/>
      <c r="E2617" s="4"/>
      <c r="F2617" s="4"/>
      <c r="G2617" s="4"/>
      <c r="H2617" s="4"/>
    </row>
    <row r="2618">
      <c r="D2618" s="5"/>
      <c r="E2618" s="4"/>
      <c r="F2618" s="4"/>
      <c r="G2618" s="4"/>
      <c r="H2618" s="4"/>
    </row>
    <row r="2619">
      <c r="D2619" s="5"/>
      <c r="E2619" s="4"/>
      <c r="F2619" s="4"/>
      <c r="G2619" s="4"/>
      <c r="H2619" s="4"/>
    </row>
    <row r="2620">
      <c r="D2620" s="5"/>
      <c r="E2620" s="4"/>
      <c r="F2620" s="4"/>
      <c r="G2620" s="4"/>
      <c r="H2620" s="4"/>
    </row>
    <row r="2621">
      <c r="D2621" s="5"/>
      <c r="E2621" s="4"/>
      <c r="F2621" s="4"/>
      <c r="G2621" s="4"/>
      <c r="H2621" s="4"/>
    </row>
    <row r="2622">
      <c r="D2622" s="5"/>
      <c r="E2622" s="4"/>
      <c r="F2622" s="4"/>
      <c r="G2622" s="4"/>
      <c r="H2622" s="4"/>
    </row>
    <row r="2623">
      <c r="D2623" s="5"/>
      <c r="E2623" s="4"/>
      <c r="F2623" s="4"/>
      <c r="G2623" s="4"/>
      <c r="H2623" s="4"/>
    </row>
    <row r="2624">
      <c r="D2624" s="5"/>
      <c r="E2624" s="4"/>
      <c r="F2624" s="4"/>
      <c r="G2624" s="4"/>
      <c r="H2624" s="4"/>
    </row>
    <row r="2625">
      <c r="D2625" s="5"/>
      <c r="E2625" s="4"/>
      <c r="F2625" s="4"/>
      <c r="G2625" s="4"/>
      <c r="H2625" s="4"/>
    </row>
    <row r="2626">
      <c r="D2626" s="5"/>
      <c r="E2626" s="4"/>
      <c r="F2626" s="4"/>
      <c r="G2626" s="4"/>
      <c r="H2626" s="4"/>
    </row>
    <row r="2627">
      <c r="D2627" s="5"/>
      <c r="E2627" s="4"/>
      <c r="F2627" s="4"/>
      <c r="G2627" s="4"/>
      <c r="H2627" s="4"/>
    </row>
    <row r="2628">
      <c r="D2628" s="5"/>
      <c r="E2628" s="4"/>
      <c r="F2628" s="4"/>
      <c r="G2628" s="4"/>
      <c r="H2628" s="4"/>
    </row>
    <row r="2629">
      <c r="D2629" s="5"/>
      <c r="E2629" s="4"/>
      <c r="F2629" s="4"/>
      <c r="G2629" s="4"/>
      <c r="H2629" s="4"/>
    </row>
    <row r="2630">
      <c r="D2630" s="5"/>
      <c r="E2630" s="4"/>
      <c r="F2630" s="4"/>
      <c r="G2630" s="4"/>
      <c r="H2630" s="4"/>
    </row>
    <row r="2631">
      <c r="D2631" s="5"/>
      <c r="E2631" s="4"/>
      <c r="F2631" s="4"/>
      <c r="G2631" s="4"/>
      <c r="H2631" s="4"/>
    </row>
    <row r="2632">
      <c r="D2632" s="5"/>
      <c r="E2632" s="4"/>
      <c r="F2632" s="4"/>
      <c r="G2632" s="4"/>
      <c r="H2632" s="4"/>
    </row>
    <row r="2633">
      <c r="D2633" s="5"/>
      <c r="E2633" s="4"/>
      <c r="F2633" s="4"/>
      <c r="G2633" s="4"/>
      <c r="H2633" s="4"/>
    </row>
    <row r="2634">
      <c r="D2634" s="5"/>
      <c r="E2634" s="4"/>
      <c r="F2634" s="4"/>
      <c r="G2634" s="4"/>
      <c r="H2634" s="4"/>
    </row>
    <row r="2635">
      <c r="D2635" s="5"/>
      <c r="E2635" s="4"/>
      <c r="F2635" s="4"/>
      <c r="G2635" s="4"/>
      <c r="H2635" s="4"/>
    </row>
    <row r="2636">
      <c r="D2636" s="5"/>
      <c r="E2636" s="4"/>
      <c r="F2636" s="4"/>
      <c r="G2636" s="4"/>
      <c r="H2636" s="4"/>
    </row>
    <row r="2637">
      <c r="D2637" s="5"/>
      <c r="E2637" s="4"/>
      <c r="F2637" s="4"/>
      <c r="G2637" s="4"/>
      <c r="H2637" s="4"/>
    </row>
    <row r="2638">
      <c r="D2638" s="5"/>
      <c r="E2638" s="4"/>
      <c r="F2638" s="4"/>
      <c r="G2638" s="4"/>
      <c r="H2638" s="4"/>
    </row>
    <row r="2639">
      <c r="D2639" s="5"/>
      <c r="E2639" s="4"/>
      <c r="F2639" s="4"/>
      <c r="G2639" s="4"/>
      <c r="H2639" s="4"/>
    </row>
    <row r="2640">
      <c r="D2640" s="5"/>
      <c r="E2640" s="4"/>
      <c r="F2640" s="4"/>
      <c r="G2640" s="4"/>
      <c r="H2640" s="4"/>
    </row>
    <row r="2641">
      <c r="D2641" s="5"/>
      <c r="E2641" s="4"/>
      <c r="F2641" s="4"/>
      <c r="G2641" s="4"/>
      <c r="H2641" s="4"/>
    </row>
    <row r="2642">
      <c r="D2642" s="5"/>
      <c r="E2642" s="4"/>
      <c r="F2642" s="4"/>
      <c r="G2642" s="4"/>
      <c r="H2642" s="4"/>
    </row>
    <row r="2643">
      <c r="D2643" s="5"/>
      <c r="E2643" s="4"/>
      <c r="F2643" s="4"/>
      <c r="G2643" s="4"/>
      <c r="H2643" s="4"/>
    </row>
    <row r="2644">
      <c r="D2644" s="5"/>
      <c r="E2644" s="4"/>
      <c r="F2644" s="4"/>
      <c r="G2644" s="4"/>
      <c r="H2644" s="4"/>
    </row>
    <row r="2645">
      <c r="D2645" s="5"/>
      <c r="E2645" s="4"/>
      <c r="F2645" s="4"/>
      <c r="G2645" s="4"/>
      <c r="H2645" s="4"/>
    </row>
    <row r="2646">
      <c r="D2646" s="5"/>
      <c r="E2646" s="4"/>
      <c r="F2646" s="4"/>
      <c r="G2646" s="4"/>
      <c r="H2646" s="4"/>
    </row>
    <row r="2647">
      <c r="D2647" s="5"/>
      <c r="E2647" s="4"/>
      <c r="F2647" s="4"/>
      <c r="G2647" s="4"/>
      <c r="H2647" s="4"/>
    </row>
    <row r="2648">
      <c r="D2648" s="5"/>
      <c r="E2648" s="4"/>
      <c r="F2648" s="4"/>
      <c r="G2648" s="4"/>
      <c r="H2648" s="4"/>
    </row>
    <row r="2649">
      <c r="D2649" s="5"/>
      <c r="E2649" s="4"/>
      <c r="F2649" s="4"/>
      <c r="G2649" s="4"/>
      <c r="H2649" s="4"/>
    </row>
    <row r="2650">
      <c r="D2650" s="5"/>
      <c r="E2650" s="4"/>
      <c r="F2650" s="4"/>
      <c r="G2650" s="4"/>
      <c r="H2650" s="4"/>
    </row>
    <row r="2651">
      <c r="D2651" s="5"/>
      <c r="E2651" s="4"/>
      <c r="F2651" s="4"/>
      <c r="G2651" s="4"/>
      <c r="H2651" s="4"/>
    </row>
    <row r="2652">
      <c r="D2652" s="5"/>
      <c r="E2652" s="4"/>
      <c r="F2652" s="4"/>
      <c r="G2652" s="4"/>
      <c r="H2652" s="4"/>
    </row>
    <row r="2653">
      <c r="D2653" s="5"/>
      <c r="E2653" s="4"/>
      <c r="F2653" s="4"/>
      <c r="G2653" s="4"/>
      <c r="H2653" s="4"/>
    </row>
    <row r="2654">
      <c r="D2654" s="5"/>
      <c r="E2654" s="4"/>
      <c r="F2654" s="4"/>
      <c r="G2654" s="4"/>
      <c r="H2654" s="4"/>
    </row>
    <row r="2655">
      <c r="D2655" s="5"/>
      <c r="E2655" s="4"/>
      <c r="F2655" s="4"/>
      <c r="G2655" s="4"/>
      <c r="H2655" s="4"/>
    </row>
    <row r="2656">
      <c r="D2656" s="5"/>
      <c r="E2656" s="4"/>
      <c r="F2656" s="4"/>
      <c r="G2656" s="4"/>
      <c r="H2656" s="4"/>
    </row>
    <row r="2657">
      <c r="D2657" s="5"/>
      <c r="E2657" s="4"/>
      <c r="F2657" s="4"/>
      <c r="G2657" s="4"/>
      <c r="H2657" s="4"/>
    </row>
    <row r="2658">
      <c r="D2658" s="5"/>
      <c r="E2658" s="4"/>
      <c r="F2658" s="4"/>
      <c r="G2658" s="4"/>
      <c r="H2658" s="4"/>
    </row>
    <row r="2659">
      <c r="D2659" s="5"/>
      <c r="E2659" s="4"/>
      <c r="F2659" s="4"/>
      <c r="G2659" s="4"/>
      <c r="H2659" s="4"/>
    </row>
    <row r="2660">
      <c r="D2660" s="5"/>
      <c r="E2660" s="4"/>
      <c r="F2660" s="4"/>
      <c r="G2660" s="4"/>
      <c r="H2660" s="4"/>
    </row>
    <row r="2661">
      <c r="D2661" s="5"/>
      <c r="E2661" s="4"/>
      <c r="F2661" s="4"/>
      <c r="G2661" s="4"/>
      <c r="H2661" s="4"/>
    </row>
    <row r="2662">
      <c r="D2662" s="5"/>
      <c r="E2662" s="4"/>
      <c r="F2662" s="4"/>
      <c r="G2662" s="4"/>
      <c r="H2662" s="4"/>
    </row>
    <row r="2663">
      <c r="D2663" s="5"/>
      <c r="E2663" s="4"/>
      <c r="F2663" s="4"/>
      <c r="G2663" s="4"/>
      <c r="H2663" s="4"/>
    </row>
    <row r="2664">
      <c r="D2664" s="5"/>
      <c r="E2664" s="4"/>
      <c r="F2664" s="4"/>
      <c r="G2664" s="4"/>
      <c r="H2664" s="4"/>
    </row>
    <row r="2665">
      <c r="D2665" s="5"/>
      <c r="E2665" s="4"/>
      <c r="F2665" s="4"/>
      <c r="G2665" s="4"/>
      <c r="H2665" s="4"/>
    </row>
    <row r="2666">
      <c r="D2666" s="5"/>
      <c r="E2666" s="4"/>
      <c r="F2666" s="4"/>
      <c r="G2666" s="4"/>
      <c r="H2666" s="4"/>
    </row>
    <row r="2667">
      <c r="D2667" s="5"/>
      <c r="E2667" s="4"/>
      <c r="F2667" s="4"/>
      <c r="G2667" s="4"/>
      <c r="H2667" s="4"/>
    </row>
    <row r="2668">
      <c r="D2668" s="5"/>
      <c r="E2668" s="4"/>
      <c r="F2668" s="4"/>
      <c r="G2668" s="4"/>
      <c r="H2668" s="4"/>
    </row>
    <row r="2669">
      <c r="D2669" s="5"/>
      <c r="E2669" s="4"/>
      <c r="F2669" s="4"/>
      <c r="G2669" s="4"/>
      <c r="H2669" s="4"/>
    </row>
    <row r="2670">
      <c r="D2670" s="5"/>
      <c r="E2670" s="4"/>
      <c r="F2670" s="4"/>
      <c r="G2670" s="4"/>
      <c r="H2670" s="4"/>
    </row>
    <row r="2671">
      <c r="D2671" s="5"/>
      <c r="E2671" s="4"/>
      <c r="F2671" s="4"/>
      <c r="G2671" s="4"/>
      <c r="H2671" s="4"/>
    </row>
    <row r="2672">
      <c r="D2672" s="5"/>
      <c r="E2672" s="4"/>
      <c r="F2672" s="4"/>
      <c r="G2672" s="4"/>
      <c r="H2672" s="4"/>
    </row>
    <row r="2673">
      <c r="D2673" s="5"/>
      <c r="E2673" s="4"/>
      <c r="F2673" s="4"/>
      <c r="G2673" s="4"/>
      <c r="H2673" s="4"/>
    </row>
    <row r="2674">
      <c r="D2674" s="5"/>
      <c r="E2674" s="4"/>
      <c r="F2674" s="4"/>
      <c r="G2674" s="4"/>
      <c r="H2674" s="4"/>
    </row>
    <row r="2675">
      <c r="D2675" s="5"/>
      <c r="E2675" s="4"/>
      <c r="F2675" s="4"/>
      <c r="G2675" s="4"/>
      <c r="H2675" s="4"/>
    </row>
    <row r="2676">
      <c r="D2676" s="5"/>
      <c r="E2676" s="4"/>
      <c r="F2676" s="4"/>
      <c r="G2676" s="4"/>
      <c r="H2676" s="4"/>
    </row>
    <row r="2677">
      <c r="D2677" s="5"/>
      <c r="E2677" s="4"/>
      <c r="F2677" s="4"/>
      <c r="G2677" s="4"/>
      <c r="H2677" s="4"/>
    </row>
    <row r="2678">
      <c r="D2678" s="5"/>
      <c r="E2678" s="4"/>
      <c r="F2678" s="4"/>
      <c r="G2678" s="4"/>
      <c r="H2678" s="4"/>
    </row>
    <row r="2679">
      <c r="D2679" s="5"/>
      <c r="E2679" s="4"/>
      <c r="F2679" s="4"/>
      <c r="G2679" s="4"/>
      <c r="H2679" s="4"/>
    </row>
    <row r="2680">
      <c r="D2680" s="5"/>
      <c r="E2680" s="4"/>
      <c r="F2680" s="4"/>
      <c r="G2680" s="4"/>
      <c r="H2680" s="4"/>
    </row>
    <row r="2681">
      <c r="D2681" s="5"/>
      <c r="E2681" s="4"/>
      <c r="F2681" s="4"/>
      <c r="G2681" s="4"/>
      <c r="H2681" s="4"/>
    </row>
    <row r="2682">
      <c r="D2682" s="5"/>
      <c r="E2682" s="4"/>
      <c r="F2682" s="4"/>
      <c r="G2682" s="4"/>
      <c r="H2682" s="4"/>
    </row>
    <row r="2683">
      <c r="D2683" s="5"/>
      <c r="E2683" s="4"/>
      <c r="F2683" s="4"/>
      <c r="G2683" s="4"/>
      <c r="H2683" s="4"/>
    </row>
    <row r="2684">
      <c r="D2684" s="5"/>
      <c r="E2684" s="4"/>
      <c r="F2684" s="4"/>
      <c r="G2684" s="4"/>
      <c r="H2684" s="4"/>
    </row>
    <row r="2685">
      <c r="D2685" s="5"/>
      <c r="E2685" s="4"/>
      <c r="F2685" s="4"/>
      <c r="G2685" s="4"/>
      <c r="H2685" s="4"/>
    </row>
    <row r="2686">
      <c r="D2686" s="5"/>
      <c r="E2686" s="4"/>
      <c r="F2686" s="4"/>
      <c r="G2686" s="4"/>
      <c r="H2686" s="4"/>
    </row>
    <row r="2687">
      <c r="D2687" s="5"/>
      <c r="E2687" s="4"/>
      <c r="F2687" s="4"/>
      <c r="G2687" s="4"/>
      <c r="H2687" s="4"/>
    </row>
    <row r="2688">
      <c r="D2688" s="5"/>
      <c r="E2688" s="4"/>
      <c r="F2688" s="4"/>
      <c r="G2688" s="4"/>
      <c r="H2688" s="4"/>
    </row>
    <row r="2689">
      <c r="D2689" s="5"/>
      <c r="E2689" s="4"/>
      <c r="F2689" s="4"/>
      <c r="G2689" s="4"/>
      <c r="H2689" s="4"/>
    </row>
    <row r="2690">
      <c r="D2690" s="5"/>
      <c r="E2690" s="4"/>
      <c r="F2690" s="4"/>
      <c r="G2690" s="4"/>
      <c r="H2690" s="4"/>
    </row>
    <row r="2691">
      <c r="D2691" s="5"/>
      <c r="E2691" s="4"/>
      <c r="F2691" s="4"/>
      <c r="G2691" s="4"/>
      <c r="H2691" s="4"/>
    </row>
    <row r="2692">
      <c r="D2692" s="5"/>
      <c r="E2692" s="4"/>
      <c r="F2692" s="4"/>
      <c r="G2692" s="4"/>
      <c r="H2692" s="4"/>
    </row>
    <row r="2693">
      <c r="D2693" s="5"/>
      <c r="E2693" s="4"/>
      <c r="F2693" s="4"/>
      <c r="G2693" s="4"/>
      <c r="H2693" s="4"/>
    </row>
    <row r="2694">
      <c r="D2694" s="5"/>
      <c r="E2694" s="4"/>
      <c r="F2694" s="4"/>
      <c r="G2694" s="4"/>
      <c r="H2694" s="4"/>
    </row>
    <row r="2695">
      <c r="D2695" s="5"/>
      <c r="E2695" s="4"/>
      <c r="F2695" s="4"/>
      <c r="G2695" s="4"/>
      <c r="H2695" s="4"/>
    </row>
    <row r="2696">
      <c r="D2696" s="5"/>
      <c r="E2696" s="4"/>
      <c r="F2696" s="4"/>
      <c r="G2696" s="4"/>
      <c r="H2696" s="4"/>
    </row>
    <row r="2697">
      <c r="D2697" s="5"/>
      <c r="E2697" s="4"/>
      <c r="F2697" s="4"/>
      <c r="G2697" s="4"/>
      <c r="H2697" s="4"/>
    </row>
    <row r="2698">
      <c r="D2698" s="5"/>
      <c r="E2698" s="4"/>
      <c r="F2698" s="4"/>
      <c r="G2698" s="4"/>
      <c r="H2698" s="4"/>
    </row>
    <row r="2699">
      <c r="D2699" s="5"/>
      <c r="E2699" s="4"/>
      <c r="F2699" s="4"/>
      <c r="G2699" s="4"/>
      <c r="H2699" s="4"/>
    </row>
    <row r="2700">
      <c r="D2700" s="5"/>
      <c r="E2700" s="4"/>
      <c r="F2700" s="4"/>
      <c r="G2700" s="4"/>
      <c r="H2700" s="4"/>
    </row>
    <row r="2701">
      <c r="D2701" s="5"/>
      <c r="E2701" s="4"/>
      <c r="F2701" s="4"/>
      <c r="G2701" s="4"/>
      <c r="H2701" s="4"/>
    </row>
    <row r="2702">
      <c r="D2702" s="5"/>
      <c r="E2702" s="4"/>
      <c r="F2702" s="4"/>
      <c r="G2702" s="4"/>
      <c r="H2702" s="4"/>
    </row>
    <row r="2703">
      <c r="D2703" s="5"/>
      <c r="E2703" s="4"/>
      <c r="F2703" s="4"/>
      <c r="G2703" s="4"/>
      <c r="H2703" s="4"/>
    </row>
    <row r="2704">
      <c r="D2704" s="5"/>
      <c r="E2704" s="4"/>
      <c r="F2704" s="4"/>
      <c r="G2704" s="4"/>
      <c r="H2704" s="4"/>
    </row>
    <row r="2705">
      <c r="D2705" s="5"/>
      <c r="E2705" s="4"/>
      <c r="F2705" s="4"/>
      <c r="G2705" s="4"/>
      <c r="H2705" s="4"/>
    </row>
    <row r="2706">
      <c r="D2706" s="5"/>
      <c r="E2706" s="4"/>
      <c r="F2706" s="4"/>
      <c r="G2706" s="4"/>
      <c r="H2706" s="4"/>
    </row>
    <row r="2707">
      <c r="D2707" s="5"/>
      <c r="E2707" s="4"/>
      <c r="F2707" s="4"/>
      <c r="G2707" s="4"/>
      <c r="H2707" s="4"/>
    </row>
    <row r="2708">
      <c r="D2708" s="5"/>
      <c r="E2708" s="4"/>
      <c r="F2708" s="4"/>
      <c r="G2708" s="4"/>
      <c r="H2708" s="4"/>
    </row>
    <row r="2709">
      <c r="D2709" s="5"/>
      <c r="E2709" s="4"/>
      <c r="F2709" s="4"/>
      <c r="G2709" s="4"/>
      <c r="H2709" s="4"/>
    </row>
    <row r="2710">
      <c r="D2710" s="5"/>
      <c r="E2710" s="4"/>
      <c r="F2710" s="4"/>
      <c r="G2710" s="4"/>
      <c r="H2710" s="4"/>
    </row>
    <row r="2711">
      <c r="D2711" s="5"/>
      <c r="E2711" s="4"/>
      <c r="F2711" s="4"/>
      <c r="G2711" s="4"/>
      <c r="H2711" s="4"/>
    </row>
    <row r="2712">
      <c r="D2712" s="5"/>
      <c r="E2712" s="4"/>
      <c r="F2712" s="4"/>
      <c r="G2712" s="4"/>
      <c r="H2712" s="4"/>
    </row>
    <row r="2713">
      <c r="D2713" s="5"/>
      <c r="E2713" s="4"/>
      <c r="F2713" s="4"/>
      <c r="G2713" s="4"/>
      <c r="H2713" s="4"/>
    </row>
    <row r="2714">
      <c r="D2714" s="5"/>
      <c r="E2714" s="4"/>
      <c r="F2714" s="4"/>
      <c r="G2714" s="4"/>
      <c r="H2714" s="4"/>
    </row>
    <row r="2715">
      <c r="D2715" s="5"/>
      <c r="E2715" s="4"/>
      <c r="F2715" s="4"/>
      <c r="G2715" s="4"/>
      <c r="H2715" s="4"/>
    </row>
    <row r="2716">
      <c r="D2716" s="5"/>
      <c r="E2716" s="4"/>
      <c r="F2716" s="4"/>
      <c r="G2716" s="4"/>
      <c r="H2716" s="4"/>
    </row>
    <row r="2717">
      <c r="D2717" s="5"/>
      <c r="E2717" s="4"/>
      <c r="F2717" s="4"/>
      <c r="G2717" s="4"/>
      <c r="H2717" s="4"/>
    </row>
    <row r="2718">
      <c r="D2718" s="5"/>
      <c r="E2718" s="4"/>
      <c r="F2718" s="4"/>
      <c r="G2718" s="4"/>
      <c r="H2718" s="4"/>
    </row>
    <row r="2719">
      <c r="D2719" s="5"/>
      <c r="E2719" s="4"/>
      <c r="F2719" s="4"/>
      <c r="G2719" s="4"/>
      <c r="H2719" s="4"/>
    </row>
    <row r="2720">
      <c r="D2720" s="5"/>
      <c r="E2720" s="4"/>
      <c r="F2720" s="4"/>
      <c r="G2720" s="4"/>
      <c r="H2720" s="4"/>
    </row>
    <row r="2721">
      <c r="D2721" s="5"/>
      <c r="E2721" s="4"/>
      <c r="F2721" s="4"/>
      <c r="G2721" s="4"/>
      <c r="H2721" s="4"/>
    </row>
    <row r="2722">
      <c r="D2722" s="5"/>
      <c r="E2722" s="4"/>
      <c r="F2722" s="4"/>
      <c r="G2722" s="4"/>
      <c r="H2722" s="4"/>
    </row>
    <row r="2723">
      <c r="D2723" s="5"/>
      <c r="E2723" s="4"/>
      <c r="F2723" s="4"/>
      <c r="G2723" s="4"/>
      <c r="H2723" s="4"/>
    </row>
    <row r="2724">
      <c r="D2724" s="5"/>
      <c r="E2724" s="4"/>
      <c r="F2724" s="4"/>
      <c r="G2724" s="4"/>
      <c r="H2724" s="4"/>
    </row>
    <row r="2725">
      <c r="D2725" s="5"/>
      <c r="E2725" s="4"/>
      <c r="F2725" s="4"/>
      <c r="G2725" s="4"/>
      <c r="H2725" s="4"/>
    </row>
    <row r="2726">
      <c r="D2726" s="5"/>
      <c r="E2726" s="4"/>
      <c r="F2726" s="4"/>
      <c r="G2726" s="4"/>
      <c r="H2726" s="4"/>
    </row>
    <row r="2727">
      <c r="D2727" s="5"/>
      <c r="E2727" s="4"/>
      <c r="F2727" s="4"/>
      <c r="G2727" s="4"/>
      <c r="H2727" s="4"/>
    </row>
    <row r="2728">
      <c r="D2728" s="5"/>
      <c r="E2728" s="4"/>
      <c r="F2728" s="4"/>
      <c r="G2728" s="4"/>
      <c r="H2728" s="4"/>
    </row>
    <row r="2729">
      <c r="D2729" s="5"/>
      <c r="E2729" s="4"/>
      <c r="F2729" s="4"/>
      <c r="G2729" s="4"/>
      <c r="H2729" s="4"/>
    </row>
    <row r="2730">
      <c r="D2730" s="5"/>
      <c r="E2730" s="4"/>
      <c r="F2730" s="4"/>
      <c r="G2730" s="4"/>
      <c r="H2730" s="4"/>
    </row>
    <row r="2731">
      <c r="D2731" s="5"/>
      <c r="E2731" s="4"/>
      <c r="F2731" s="4"/>
      <c r="G2731" s="4"/>
      <c r="H2731" s="4"/>
    </row>
    <row r="2732">
      <c r="D2732" s="5"/>
      <c r="E2732" s="4"/>
      <c r="F2732" s="4"/>
      <c r="G2732" s="4"/>
      <c r="H2732" s="4"/>
    </row>
    <row r="2733">
      <c r="D2733" s="5"/>
      <c r="E2733" s="4"/>
      <c r="F2733" s="4"/>
      <c r="G2733" s="4"/>
      <c r="H2733" s="4"/>
    </row>
    <row r="2734">
      <c r="D2734" s="5"/>
      <c r="E2734" s="4"/>
      <c r="F2734" s="4"/>
      <c r="G2734" s="4"/>
      <c r="H2734" s="4"/>
    </row>
    <row r="2735">
      <c r="D2735" s="5"/>
      <c r="E2735" s="4"/>
      <c r="F2735" s="4"/>
      <c r="G2735" s="4"/>
      <c r="H2735" s="4"/>
    </row>
    <row r="2736">
      <c r="D2736" s="5"/>
      <c r="E2736" s="4"/>
      <c r="F2736" s="4"/>
      <c r="G2736" s="4"/>
      <c r="H2736" s="4"/>
    </row>
    <row r="2737">
      <c r="D2737" s="5"/>
      <c r="E2737" s="4"/>
      <c r="F2737" s="4"/>
      <c r="G2737" s="4"/>
      <c r="H2737" s="4"/>
    </row>
    <row r="2738">
      <c r="D2738" s="5"/>
      <c r="E2738" s="4"/>
      <c r="F2738" s="4"/>
      <c r="G2738" s="4"/>
      <c r="H2738" s="4"/>
    </row>
    <row r="2739">
      <c r="D2739" s="5"/>
      <c r="E2739" s="4"/>
      <c r="F2739" s="4"/>
      <c r="G2739" s="4"/>
      <c r="H2739" s="4"/>
    </row>
    <row r="2740">
      <c r="D2740" s="5"/>
      <c r="E2740" s="4"/>
      <c r="F2740" s="4"/>
      <c r="G2740" s="4"/>
      <c r="H2740" s="4"/>
    </row>
    <row r="2741">
      <c r="D2741" s="5"/>
      <c r="E2741" s="4"/>
      <c r="F2741" s="4"/>
      <c r="G2741" s="4"/>
      <c r="H2741" s="4"/>
    </row>
    <row r="2742">
      <c r="D2742" s="5"/>
      <c r="E2742" s="4"/>
      <c r="F2742" s="4"/>
      <c r="G2742" s="4"/>
      <c r="H2742" s="4"/>
    </row>
    <row r="2743">
      <c r="D2743" s="5"/>
      <c r="E2743" s="4"/>
      <c r="F2743" s="4"/>
      <c r="G2743" s="4"/>
      <c r="H2743" s="4"/>
    </row>
    <row r="2744">
      <c r="D2744" s="5"/>
      <c r="E2744" s="4"/>
      <c r="F2744" s="4"/>
      <c r="G2744" s="4"/>
      <c r="H2744" s="4"/>
    </row>
    <row r="2745">
      <c r="D2745" s="5"/>
      <c r="E2745" s="4"/>
      <c r="F2745" s="4"/>
      <c r="G2745" s="4"/>
      <c r="H2745" s="4"/>
    </row>
    <row r="2746">
      <c r="D2746" s="5"/>
      <c r="E2746" s="4"/>
      <c r="F2746" s="4"/>
      <c r="G2746" s="4"/>
      <c r="H2746" s="4"/>
    </row>
    <row r="2747">
      <c r="D2747" s="5"/>
      <c r="E2747" s="4"/>
      <c r="F2747" s="4"/>
      <c r="G2747" s="4"/>
      <c r="H2747" s="4"/>
    </row>
    <row r="2748">
      <c r="D2748" s="5"/>
      <c r="E2748" s="4"/>
      <c r="F2748" s="4"/>
      <c r="G2748" s="4"/>
      <c r="H2748" s="4"/>
    </row>
    <row r="2749">
      <c r="D2749" s="5"/>
      <c r="E2749" s="4"/>
      <c r="F2749" s="4"/>
      <c r="G2749" s="4"/>
      <c r="H2749" s="4"/>
    </row>
    <row r="2750">
      <c r="D2750" s="5"/>
      <c r="E2750" s="4"/>
      <c r="F2750" s="4"/>
      <c r="G2750" s="4"/>
      <c r="H2750" s="4"/>
    </row>
    <row r="2751">
      <c r="D2751" s="5"/>
      <c r="E2751" s="4"/>
      <c r="F2751" s="4"/>
      <c r="G2751" s="4"/>
      <c r="H2751" s="4"/>
    </row>
    <row r="2752">
      <c r="D2752" s="5"/>
      <c r="E2752" s="4"/>
      <c r="F2752" s="4"/>
      <c r="G2752" s="4"/>
      <c r="H2752" s="4"/>
    </row>
    <row r="2753">
      <c r="D2753" s="5"/>
      <c r="E2753" s="4"/>
      <c r="F2753" s="4"/>
      <c r="G2753" s="4"/>
      <c r="H2753" s="4"/>
    </row>
    <row r="2754">
      <c r="D2754" s="5"/>
      <c r="E2754" s="4"/>
      <c r="F2754" s="4"/>
      <c r="G2754" s="4"/>
      <c r="H2754" s="4"/>
    </row>
    <row r="2755">
      <c r="D2755" s="5"/>
      <c r="E2755" s="4"/>
      <c r="F2755" s="4"/>
      <c r="G2755" s="4"/>
      <c r="H2755" s="4"/>
    </row>
    <row r="2756">
      <c r="D2756" s="5"/>
      <c r="E2756" s="4"/>
      <c r="F2756" s="4"/>
      <c r="G2756" s="4"/>
      <c r="H2756" s="4"/>
    </row>
    <row r="2757">
      <c r="D2757" s="5"/>
      <c r="E2757" s="4"/>
      <c r="F2757" s="4"/>
      <c r="G2757" s="4"/>
      <c r="H2757" s="4"/>
    </row>
    <row r="2758">
      <c r="D2758" s="5"/>
      <c r="E2758" s="4"/>
      <c r="F2758" s="4"/>
      <c r="G2758" s="4"/>
      <c r="H2758" s="4"/>
    </row>
    <row r="2759">
      <c r="D2759" s="5"/>
      <c r="E2759" s="4"/>
      <c r="F2759" s="4"/>
      <c r="G2759" s="4"/>
      <c r="H2759" s="4"/>
    </row>
    <row r="2760">
      <c r="D2760" s="5"/>
      <c r="E2760" s="4"/>
      <c r="F2760" s="4"/>
      <c r="G2760" s="4"/>
      <c r="H2760" s="4"/>
    </row>
    <row r="2761">
      <c r="D2761" s="5"/>
      <c r="E2761" s="4"/>
      <c r="F2761" s="4"/>
      <c r="G2761" s="4"/>
      <c r="H2761" s="4"/>
    </row>
    <row r="2762">
      <c r="D2762" s="5"/>
      <c r="E2762" s="4"/>
      <c r="F2762" s="4"/>
      <c r="G2762" s="4"/>
      <c r="H2762" s="4"/>
    </row>
    <row r="2763">
      <c r="D2763" s="5"/>
      <c r="E2763" s="4"/>
      <c r="F2763" s="4"/>
      <c r="G2763" s="4"/>
      <c r="H2763" s="4"/>
    </row>
    <row r="2764">
      <c r="D2764" s="5"/>
      <c r="E2764" s="4"/>
      <c r="F2764" s="4"/>
      <c r="G2764" s="4"/>
      <c r="H2764" s="4"/>
    </row>
    <row r="2765">
      <c r="D2765" s="5"/>
      <c r="E2765" s="4"/>
      <c r="F2765" s="4"/>
      <c r="G2765" s="4"/>
      <c r="H2765" s="4"/>
    </row>
    <row r="2766">
      <c r="D2766" s="5"/>
      <c r="E2766" s="4"/>
      <c r="F2766" s="4"/>
      <c r="G2766" s="4"/>
      <c r="H2766" s="4"/>
    </row>
    <row r="2767">
      <c r="D2767" s="5"/>
      <c r="E2767" s="4"/>
      <c r="F2767" s="4"/>
      <c r="G2767" s="4"/>
      <c r="H2767" s="4"/>
    </row>
    <row r="2768">
      <c r="D2768" s="5"/>
      <c r="E2768" s="4"/>
      <c r="F2768" s="4"/>
      <c r="G2768" s="4"/>
      <c r="H2768" s="4"/>
    </row>
    <row r="2769">
      <c r="D2769" s="5"/>
      <c r="E2769" s="4"/>
      <c r="F2769" s="4"/>
      <c r="G2769" s="4"/>
      <c r="H2769" s="4"/>
    </row>
    <row r="2770">
      <c r="D2770" s="5"/>
      <c r="E2770" s="4"/>
      <c r="F2770" s="4"/>
      <c r="G2770" s="4"/>
      <c r="H2770" s="4"/>
    </row>
    <row r="2771">
      <c r="D2771" s="5"/>
      <c r="E2771" s="4"/>
      <c r="F2771" s="4"/>
      <c r="G2771" s="4"/>
      <c r="H2771" s="4"/>
    </row>
    <row r="2772">
      <c r="D2772" s="5"/>
      <c r="E2772" s="4"/>
      <c r="F2772" s="4"/>
      <c r="G2772" s="4"/>
      <c r="H2772" s="4"/>
    </row>
    <row r="2773">
      <c r="D2773" s="5"/>
      <c r="E2773" s="4"/>
      <c r="F2773" s="4"/>
      <c r="G2773" s="4"/>
      <c r="H2773" s="4"/>
    </row>
    <row r="2774">
      <c r="D2774" s="5"/>
      <c r="E2774" s="4"/>
      <c r="F2774" s="4"/>
      <c r="G2774" s="4"/>
      <c r="H2774" s="4"/>
    </row>
    <row r="2775">
      <c r="D2775" s="5"/>
      <c r="E2775" s="4"/>
      <c r="F2775" s="4"/>
      <c r="G2775" s="4"/>
      <c r="H2775" s="4"/>
    </row>
    <row r="2776">
      <c r="D2776" s="5"/>
      <c r="E2776" s="4"/>
      <c r="F2776" s="4"/>
      <c r="G2776" s="4"/>
      <c r="H2776" s="4"/>
    </row>
    <row r="2777">
      <c r="D2777" s="5"/>
      <c r="E2777" s="4"/>
      <c r="F2777" s="4"/>
      <c r="G2777" s="4"/>
      <c r="H2777" s="4"/>
    </row>
    <row r="2778">
      <c r="D2778" s="5"/>
      <c r="E2778" s="4"/>
      <c r="F2778" s="4"/>
      <c r="G2778" s="4"/>
      <c r="H2778" s="4"/>
    </row>
    <row r="2779">
      <c r="D2779" s="5"/>
      <c r="E2779" s="4"/>
      <c r="F2779" s="4"/>
      <c r="G2779" s="4"/>
      <c r="H2779" s="4"/>
    </row>
    <row r="2780">
      <c r="D2780" s="5"/>
      <c r="E2780" s="4"/>
      <c r="F2780" s="4"/>
      <c r="G2780" s="4"/>
      <c r="H2780" s="4"/>
    </row>
    <row r="2781">
      <c r="D2781" s="5"/>
      <c r="E2781" s="4"/>
      <c r="F2781" s="4"/>
      <c r="G2781" s="4"/>
      <c r="H2781" s="4"/>
    </row>
    <row r="2782">
      <c r="D2782" s="5"/>
      <c r="E2782" s="4"/>
      <c r="F2782" s="4"/>
      <c r="G2782" s="4"/>
      <c r="H2782" s="4"/>
    </row>
    <row r="2783">
      <c r="D2783" s="5"/>
      <c r="E2783" s="4"/>
      <c r="F2783" s="4"/>
      <c r="G2783" s="4"/>
      <c r="H2783" s="4"/>
    </row>
    <row r="2784">
      <c r="D2784" s="5"/>
      <c r="E2784" s="4"/>
      <c r="F2784" s="4"/>
      <c r="G2784" s="4"/>
      <c r="H2784" s="4"/>
    </row>
    <row r="2785">
      <c r="D2785" s="5"/>
      <c r="E2785" s="4"/>
      <c r="F2785" s="4"/>
      <c r="G2785" s="4"/>
      <c r="H2785" s="4"/>
    </row>
    <row r="2786">
      <c r="D2786" s="5"/>
      <c r="E2786" s="4"/>
      <c r="F2786" s="4"/>
      <c r="G2786" s="4"/>
      <c r="H2786" s="4"/>
    </row>
    <row r="2787">
      <c r="D2787" s="5"/>
      <c r="E2787" s="4"/>
      <c r="F2787" s="4"/>
      <c r="G2787" s="4"/>
      <c r="H2787" s="4"/>
    </row>
    <row r="2788">
      <c r="D2788" s="5"/>
      <c r="E2788" s="4"/>
      <c r="F2788" s="4"/>
      <c r="G2788" s="4"/>
      <c r="H2788" s="4"/>
    </row>
    <row r="2789">
      <c r="D2789" s="5"/>
      <c r="E2789" s="4"/>
      <c r="F2789" s="4"/>
      <c r="G2789" s="4"/>
      <c r="H2789" s="4"/>
    </row>
    <row r="2790">
      <c r="D2790" s="5"/>
      <c r="E2790" s="4"/>
      <c r="F2790" s="4"/>
      <c r="G2790" s="4"/>
      <c r="H2790" s="4"/>
    </row>
    <row r="2791">
      <c r="D2791" s="5"/>
      <c r="E2791" s="4"/>
      <c r="F2791" s="4"/>
      <c r="G2791" s="4"/>
      <c r="H2791" s="4"/>
    </row>
    <row r="2792">
      <c r="D2792" s="5"/>
      <c r="E2792" s="4"/>
      <c r="F2792" s="4"/>
      <c r="G2792" s="4"/>
      <c r="H2792" s="4"/>
    </row>
    <row r="2793">
      <c r="D2793" s="5"/>
      <c r="E2793" s="4"/>
      <c r="F2793" s="4"/>
      <c r="G2793" s="4"/>
      <c r="H2793" s="4"/>
    </row>
    <row r="2794">
      <c r="D2794" s="5"/>
      <c r="E2794" s="4"/>
      <c r="F2794" s="4"/>
      <c r="G2794" s="4"/>
      <c r="H2794" s="4"/>
    </row>
    <row r="2795">
      <c r="D2795" s="5"/>
      <c r="E2795" s="4"/>
      <c r="F2795" s="4"/>
      <c r="G2795" s="4"/>
      <c r="H2795" s="4"/>
    </row>
    <row r="2796">
      <c r="D2796" s="5"/>
      <c r="E2796" s="4"/>
      <c r="F2796" s="4"/>
      <c r="G2796" s="4"/>
      <c r="H2796" s="4"/>
    </row>
    <row r="2797">
      <c r="D2797" s="5"/>
      <c r="E2797" s="4"/>
      <c r="F2797" s="4"/>
      <c r="G2797" s="4"/>
      <c r="H2797" s="4"/>
    </row>
    <row r="2798">
      <c r="D2798" s="5"/>
      <c r="E2798" s="4"/>
      <c r="F2798" s="4"/>
      <c r="G2798" s="4"/>
      <c r="H2798" s="4"/>
    </row>
    <row r="2799">
      <c r="D2799" s="5"/>
      <c r="E2799" s="4"/>
      <c r="F2799" s="4"/>
      <c r="G2799" s="4"/>
      <c r="H2799" s="4"/>
    </row>
    <row r="2800">
      <c r="D2800" s="5"/>
      <c r="E2800" s="4"/>
      <c r="F2800" s="4"/>
      <c r="G2800" s="4"/>
      <c r="H2800" s="4"/>
    </row>
    <row r="2801">
      <c r="D2801" s="5"/>
      <c r="E2801" s="4"/>
      <c r="F2801" s="4"/>
      <c r="G2801" s="4"/>
      <c r="H2801" s="4"/>
    </row>
    <row r="2802">
      <c r="D2802" s="5"/>
      <c r="E2802" s="4"/>
      <c r="F2802" s="4"/>
      <c r="G2802" s="4"/>
      <c r="H2802" s="4"/>
    </row>
    <row r="2803">
      <c r="D2803" s="5"/>
      <c r="E2803" s="4"/>
      <c r="F2803" s="4"/>
      <c r="G2803" s="4"/>
      <c r="H2803" s="4"/>
    </row>
    <row r="2804">
      <c r="D2804" s="5"/>
      <c r="E2804" s="4"/>
      <c r="F2804" s="4"/>
      <c r="G2804" s="4"/>
      <c r="H2804" s="4"/>
    </row>
    <row r="2805">
      <c r="D2805" s="5"/>
      <c r="E2805" s="4"/>
      <c r="F2805" s="4"/>
      <c r="G2805" s="4"/>
      <c r="H2805" s="4"/>
    </row>
    <row r="2806">
      <c r="D2806" s="5"/>
      <c r="E2806" s="4"/>
      <c r="F2806" s="4"/>
      <c r="G2806" s="4"/>
      <c r="H2806" s="4"/>
    </row>
    <row r="2807">
      <c r="D2807" s="5"/>
      <c r="E2807" s="4"/>
      <c r="F2807" s="4"/>
      <c r="G2807" s="4"/>
      <c r="H2807" s="4"/>
    </row>
    <row r="2808">
      <c r="D2808" s="5"/>
      <c r="E2808" s="4"/>
      <c r="F2808" s="4"/>
      <c r="G2808" s="4"/>
      <c r="H2808" s="4"/>
    </row>
    <row r="2809">
      <c r="D2809" s="5"/>
      <c r="E2809" s="4"/>
      <c r="F2809" s="4"/>
      <c r="G2809" s="4"/>
      <c r="H2809" s="4"/>
    </row>
    <row r="2810">
      <c r="D2810" s="5"/>
      <c r="E2810" s="4"/>
      <c r="F2810" s="4"/>
      <c r="G2810" s="4"/>
      <c r="H2810" s="4"/>
    </row>
    <row r="2811">
      <c r="D2811" s="5"/>
      <c r="E2811" s="4"/>
      <c r="F2811" s="4"/>
      <c r="G2811" s="4"/>
      <c r="H2811" s="4"/>
    </row>
    <row r="2812">
      <c r="D2812" s="5"/>
      <c r="E2812" s="4"/>
      <c r="F2812" s="4"/>
      <c r="G2812" s="4"/>
      <c r="H2812" s="4"/>
    </row>
    <row r="2813">
      <c r="D2813" s="5"/>
      <c r="E2813" s="4"/>
      <c r="F2813" s="4"/>
      <c r="G2813" s="4"/>
      <c r="H2813" s="4"/>
    </row>
    <row r="2814">
      <c r="D2814" s="5"/>
      <c r="E2814" s="4"/>
      <c r="F2814" s="4"/>
      <c r="G2814" s="4"/>
      <c r="H2814" s="4"/>
    </row>
    <row r="2815">
      <c r="D2815" s="5"/>
      <c r="E2815" s="4"/>
      <c r="F2815" s="4"/>
      <c r="G2815" s="4"/>
      <c r="H2815" s="4"/>
    </row>
    <row r="2816">
      <c r="D2816" s="5"/>
      <c r="E2816" s="4"/>
      <c r="F2816" s="4"/>
      <c r="G2816" s="4"/>
      <c r="H2816" s="4"/>
    </row>
    <row r="2817">
      <c r="D2817" s="5"/>
      <c r="E2817" s="4"/>
      <c r="F2817" s="4"/>
      <c r="G2817" s="4"/>
      <c r="H2817" s="4"/>
    </row>
    <row r="2818">
      <c r="D2818" s="5"/>
      <c r="E2818" s="4"/>
      <c r="F2818" s="4"/>
      <c r="G2818" s="4"/>
      <c r="H2818" s="4"/>
    </row>
    <row r="2819">
      <c r="D2819" s="5"/>
      <c r="E2819" s="4"/>
      <c r="F2819" s="4"/>
      <c r="G2819" s="4"/>
      <c r="H2819" s="4"/>
    </row>
    <row r="2820">
      <c r="D2820" s="5"/>
      <c r="E2820" s="4"/>
      <c r="F2820" s="4"/>
      <c r="G2820" s="4"/>
      <c r="H2820" s="4"/>
    </row>
    <row r="2821">
      <c r="D2821" s="5"/>
      <c r="E2821" s="4"/>
      <c r="F2821" s="4"/>
      <c r="G2821" s="4"/>
      <c r="H2821" s="4"/>
    </row>
    <row r="2822">
      <c r="D2822" s="5"/>
      <c r="E2822" s="4"/>
      <c r="F2822" s="4"/>
      <c r="G2822" s="4"/>
      <c r="H2822" s="4"/>
    </row>
    <row r="2823">
      <c r="D2823" s="5"/>
      <c r="E2823" s="4"/>
      <c r="F2823" s="4"/>
      <c r="G2823" s="4"/>
      <c r="H2823" s="4"/>
    </row>
    <row r="2824">
      <c r="D2824" s="5"/>
      <c r="E2824" s="4"/>
      <c r="F2824" s="4"/>
      <c r="G2824" s="4"/>
      <c r="H2824" s="4"/>
    </row>
    <row r="2825">
      <c r="D2825" s="5"/>
      <c r="E2825" s="4"/>
      <c r="F2825" s="4"/>
      <c r="G2825" s="4"/>
      <c r="H2825" s="4"/>
    </row>
    <row r="2826">
      <c r="D2826" s="5"/>
      <c r="E2826" s="4"/>
      <c r="F2826" s="4"/>
      <c r="G2826" s="4"/>
      <c r="H2826" s="4"/>
    </row>
    <row r="2827">
      <c r="D2827" s="5"/>
      <c r="E2827" s="4"/>
      <c r="F2827" s="4"/>
      <c r="G2827" s="4"/>
      <c r="H2827" s="4"/>
    </row>
    <row r="2828">
      <c r="D2828" s="5"/>
      <c r="E2828" s="4"/>
      <c r="F2828" s="4"/>
      <c r="G2828" s="4"/>
      <c r="H2828" s="4"/>
    </row>
    <row r="2829">
      <c r="D2829" s="5"/>
      <c r="E2829" s="4"/>
      <c r="F2829" s="4"/>
      <c r="G2829" s="4"/>
      <c r="H2829" s="4"/>
    </row>
    <row r="2830">
      <c r="D2830" s="5"/>
      <c r="E2830" s="4"/>
      <c r="F2830" s="4"/>
      <c r="G2830" s="4"/>
      <c r="H2830" s="4"/>
    </row>
    <row r="2831">
      <c r="D2831" s="5"/>
      <c r="E2831" s="4"/>
      <c r="F2831" s="4"/>
      <c r="G2831" s="4"/>
      <c r="H2831" s="4"/>
    </row>
    <row r="2832">
      <c r="D2832" s="5"/>
      <c r="E2832" s="4"/>
      <c r="F2832" s="4"/>
      <c r="G2832" s="4"/>
      <c r="H2832" s="4"/>
    </row>
    <row r="2833">
      <c r="D2833" s="5"/>
      <c r="E2833" s="4"/>
      <c r="F2833" s="4"/>
      <c r="G2833" s="4"/>
      <c r="H2833" s="4"/>
    </row>
    <row r="2834">
      <c r="D2834" s="5"/>
      <c r="E2834" s="4"/>
      <c r="F2834" s="4"/>
      <c r="G2834" s="4"/>
      <c r="H2834" s="4"/>
    </row>
    <row r="2835">
      <c r="D2835" s="5"/>
      <c r="E2835" s="4"/>
      <c r="F2835" s="4"/>
      <c r="G2835" s="4"/>
      <c r="H2835" s="4"/>
    </row>
    <row r="2836">
      <c r="D2836" s="5"/>
      <c r="E2836" s="4"/>
      <c r="F2836" s="4"/>
      <c r="G2836" s="4"/>
      <c r="H2836" s="4"/>
    </row>
    <row r="2837">
      <c r="D2837" s="5"/>
      <c r="E2837" s="4"/>
      <c r="F2837" s="4"/>
      <c r="G2837" s="4"/>
      <c r="H2837" s="4"/>
    </row>
    <row r="2838">
      <c r="D2838" s="5"/>
      <c r="E2838" s="4"/>
      <c r="F2838" s="4"/>
      <c r="G2838" s="4"/>
      <c r="H2838" s="4"/>
    </row>
    <row r="2839">
      <c r="D2839" s="5"/>
      <c r="E2839" s="4"/>
      <c r="F2839" s="4"/>
      <c r="G2839" s="4"/>
      <c r="H2839" s="4"/>
    </row>
    <row r="2840">
      <c r="D2840" s="5"/>
      <c r="E2840" s="4"/>
      <c r="F2840" s="4"/>
      <c r="G2840" s="4"/>
      <c r="H2840" s="4"/>
    </row>
    <row r="2841">
      <c r="D2841" s="5"/>
      <c r="E2841" s="4"/>
      <c r="F2841" s="4"/>
      <c r="G2841" s="4"/>
      <c r="H2841" s="4"/>
    </row>
    <row r="2842">
      <c r="D2842" s="5"/>
      <c r="E2842" s="4"/>
      <c r="F2842" s="4"/>
      <c r="G2842" s="4"/>
      <c r="H2842" s="4"/>
    </row>
    <row r="2843">
      <c r="D2843" s="5"/>
      <c r="E2843" s="4"/>
      <c r="F2843" s="4"/>
      <c r="G2843" s="4"/>
      <c r="H2843" s="4"/>
    </row>
    <row r="2844">
      <c r="D2844" s="5"/>
      <c r="E2844" s="4"/>
      <c r="F2844" s="4"/>
      <c r="G2844" s="4"/>
      <c r="H2844" s="4"/>
    </row>
    <row r="2845">
      <c r="D2845" s="5"/>
      <c r="E2845" s="4"/>
      <c r="F2845" s="4"/>
      <c r="G2845" s="4"/>
      <c r="H2845" s="4"/>
    </row>
    <row r="2846">
      <c r="D2846" s="5"/>
      <c r="E2846" s="4"/>
      <c r="F2846" s="4"/>
      <c r="G2846" s="4"/>
      <c r="H2846" s="4"/>
    </row>
    <row r="2847">
      <c r="D2847" s="5"/>
      <c r="E2847" s="4"/>
      <c r="F2847" s="4"/>
      <c r="G2847" s="4"/>
      <c r="H2847" s="4"/>
    </row>
    <row r="2848">
      <c r="D2848" s="5"/>
      <c r="E2848" s="4"/>
      <c r="F2848" s="4"/>
      <c r="G2848" s="4"/>
      <c r="H2848" s="4"/>
    </row>
    <row r="2849">
      <c r="D2849" s="5"/>
      <c r="E2849" s="4"/>
      <c r="F2849" s="4"/>
      <c r="G2849" s="4"/>
      <c r="H2849" s="4"/>
    </row>
    <row r="2850">
      <c r="D2850" s="5"/>
      <c r="E2850" s="4"/>
      <c r="F2850" s="4"/>
      <c r="G2850" s="4"/>
      <c r="H2850" s="4"/>
    </row>
    <row r="2851">
      <c r="D2851" s="5"/>
      <c r="E2851" s="4"/>
      <c r="F2851" s="4"/>
      <c r="G2851" s="4"/>
      <c r="H2851" s="4"/>
    </row>
    <row r="2852">
      <c r="D2852" s="5"/>
      <c r="E2852" s="4"/>
      <c r="F2852" s="4"/>
      <c r="G2852" s="4"/>
      <c r="H2852" s="4"/>
    </row>
    <row r="2853">
      <c r="D2853" s="5"/>
      <c r="E2853" s="4"/>
      <c r="F2853" s="4"/>
      <c r="G2853" s="4"/>
      <c r="H2853" s="4"/>
    </row>
    <row r="2854">
      <c r="D2854" s="5"/>
      <c r="E2854" s="4"/>
      <c r="F2854" s="4"/>
      <c r="G2854" s="4"/>
      <c r="H2854" s="4"/>
    </row>
    <row r="2855">
      <c r="D2855" s="5"/>
      <c r="E2855" s="4"/>
      <c r="F2855" s="4"/>
      <c r="G2855" s="4"/>
      <c r="H2855" s="4"/>
    </row>
    <row r="2856">
      <c r="D2856" s="5"/>
      <c r="E2856" s="4"/>
      <c r="F2856" s="4"/>
      <c r="G2856" s="4"/>
      <c r="H2856" s="4"/>
    </row>
    <row r="2857">
      <c r="D2857" s="5"/>
      <c r="E2857" s="4"/>
      <c r="F2857" s="4"/>
      <c r="G2857" s="4"/>
      <c r="H2857" s="4"/>
    </row>
    <row r="2858">
      <c r="D2858" s="5"/>
      <c r="E2858" s="4"/>
      <c r="F2858" s="4"/>
      <c r="G2858" s="4"/>
      <c r="H2858" s="4"/>
    </row>
    <row r="2859">
      <c r="D2859" s="5"/>
      <c r="E2859" s="4"/>
      <c r="F2859" s="4"/>
      <c r="G2859" s="4"/>
      <c r="H2859" s="4"/>
    </row>
    <row r="2860">
      <c r="D2860" s="5"/>
      <c r="E2860" s="4"/>
      <c r="F2860" s="4"/>
      <c r="G2860" s="4"/>
      <c r="H2860" s="4"/>
    </row>
    <row r="2861">
      <c r="D2861" s="5"/>
      <c r="E2861" s="4"/>
      <c r="F2861" s="4"/>
      <c r="G2861" s="4"/>
      <c r="H2861" s="4"/>
    </row>
    <row r="2862">
      <c r="D2862" s="5"/>
      <c r="E2862" s="4"/>
      <c r="F2862" s="4"/>
      <c r="G2862" s="4"/>
      <c r="H2862" s="4"/>
    </row>
    <row r="2863">
      <c r="D2863" s="5"/>
      <c r="E2863" s="4"/>
      <c r="F2863" s="4"/>
      <c r="G2863" s="4"/>
      <c r="H2863" s="4"/>
    </row>
    <row r="2864">
      <c r="D2864" s="5"/>
      <c r="E2864" s="4"/>
      <c r="F2864" s="4"/>
      <c r="G2864" s="4"/>
      <c r="H2864" s="4"/>
    </row>
    <row r="2865">
      <c r="D2865" s="5"/>
      <c r="E2865" s="4"/>
      <c r="F2865" s="4"/>
      <c r="G2865" s="4"/>
      <c r="H2865" s="4"/>
    </row>
    <row r="2866">
      <c r="D2866" s="5"/>
      <c r="E2866" s="4"/>
      <c r="F2866" s="4"/>
      <c r="G2866" s="4"/>
      <c r="H2866" s="4"/>
    </row>
    <row r="2867">
      <c r="D2867" s="5"/>
      <c r="E2867" s="4"/>
      <c r="F2867" s="4"/>
      <c r="G2867" s="4"/>
      <c r="H2867" s="4"/>
    </row>
    <row r="2868">
      <c r="D2868" s="5"/>
      <c r="E2868" s="4"/>
      <c r="F2868" s="4"/>
      <c r="G2868" s="4"/>
      <c r="H2868" s="4"/>
    </row>
    <row r="2869">
      <c r="D2869" s="5"/>
      <c r="E2869" s="4"/>
      <c r="F2869" s="4"/>
      <c r="G2869" s="4"/>
      <c r="H2869" s="4"/>
    </row>
    <row r="2870">
      <c r="D2870" s="5"/>
      <c r="E2870" s="4"/>
      <c r="F2870" s="4"/>
      <c r="G2870" s="4"/>
      <c r="H2870" s="4"/>
    </row>
    <row r="2871">
      <c r="D2871" s="5"/>
      <c r="E2871" s="4"/>
      <c r="F2871" s="4"/>
      <c r="G2871" s="4"/>
      <c r="H2871" s="4"/>
    </row>
    <row r="2872">
      <c r="D2872" s="5"/>
      <c r="E2872" s="4"/>
      <c r="F2872" s="4"/>
      <c r="G2872" s="4"/>
      <c r="H2872" s="4"/>
    </row>
    <row r="2873">
      <c r="D2873" s="5"/>
      <c r="E2873" s="4"/>
      <c r="F2873" s="4"/>
      <c r="G2873" s="4"/>
      <c r="H2873" s="4"/>
    </row>
    <row r="2874">
      <c r="D2874" s="5"/>
      <c r="E2874" s="4"/>
      <c r="F2874" s="4"/>
      <c r="G2874" s="4"/>
      <c r="H2874" s="4"/>
    </row>
    <row r="2875">
      <c r="D2875" s="5"/>
      <c r="E2875" s="4"/>
      <c r="F2875" s="4"/>
      <c r="G2875" s="4"/>
      <c r="H2875" s="4"/>
    </row>
    <row r="2876">
      <c r="D2876" s="5"/>
      <c r="E2876" s="4"/>
      <c r="F2876" s="4"/>
      <c r="G2876" s="4"/>
      <c r="H2876" s="4"/>
    </row>
    <row r="2877">
      <c r="D2877" s="5"/>
      <c r="E2877" s="4"/>
      <c r="F2877" s="4"/>
      <c r="G2877" s="4"/>
      <c r="H2877" s="4"/>
    </row>
    <row r="2878">
      <c r="D2878" s="5"/>
      <c r="E2878" s="4"/>
      <c r="F2878" s="4"/>
      <c r="G2878" s="4"/>
      <c r="H2878" s="4"/>
    </row>
    <row r="2879">
      <c r="D2879" s="5"/>
      <c r="E2879" s="4"/>
      <c r="F2879" s="4"/>
      <c r="G2879" s="4"/>
      <c r="H2879" s="4"/>
    </row>
    <row r="2880">
      <c r="D2880" s="5"/>
      <c r="E2880" s="4"/>
      <c r="F2880" s="4"/>
      <c r="G2880" s="4"/>
      <c r="H2880" s="4"/>
    </row>
    <row r="2881">
      <c r="D2881" s="5"/>
      <c r="E2881" s="4"/>
      <c r="F2881" s="4"/>
      <c r="G2881" s="4"/>
      <c r="H2881" s="4"/>
    </row>
    <row r="2882">
      <c r="D2882" s="5"/>
      <c r="E2882" s="4"/>
      <c r="F2882" s="4"/>
      <c r="G2882" s="4"/>
      <c r="H2882" s="4"/>
    </row>
    <row r="2883">
      <c r="D2883" s="5"/>
      <c r="E2883" s="4"/>
      <c r="F2883" s="4"/>
      <c r="G2883" s="4"/>
      <c r="H2883" s="4"/>
    </row>
    <row r="2884">
      <c r="D2884" s="5"/>
      <c r="E2884" s="4"/>
      <c r="F2884" s="4"/>
      <c r="G2884" s="4"/>
      <c r="H2884" s="4"/>
    </row>
    <row r="2885">
      <c r="D2885" s="5"/>
      <c r="E2885" s="4"/>
      <c r="F2885" s="4"/>
      <c r="G2885" s="4"/>
      <c r="H2885" s="4"/>
    </row>
    <row r="2886">
      <c r="D2886" s="5"/>
      <c r="E2886" s="4"/>
      <c r="F2886" s="4"/>
      <c r="G2886" s="4"/>
      <c r="H2886" s="4"/>
    </row>
    <row r="2887">
      <c r="D2887" s="5"/>
      <c r="E2887" s="4"/>
      <c r="F2887" s="4"/>
      <c r="G2887" s="4"/>
      <c r="H2887" s="4"/>
    </row>
    <row r="2888">
      <c r="D2888" s="5"/>
      <c r="E2888" s="4"/>
      <c r="F2888" s="4"/>
      <c r="G2888" s="4"/>
      <c r="H2888" s="4"/>
    </row>
    <row r="2889">
      <c r="D2889" s="5"/>
      <c r="E2889" s="4"/>
      <c r="F2889" s="4"/>
      <c r="G2889" s="4"/>
      <c r="H2889" s="4"/>
    </row>
    <row r="2890">
      <c r="D2890" s="5"/>
      <c r="E2890" s="4"/>
      <c r="F2890" s="4"/>
      <c r="G2890" s="4"/>
      <c r="H2890" s="4"/>
    </row>
    <row r="2891">
      <c r="D2891" s="5"/>
      <c r="E2891" s="4"/>
      <c r="F2891" s="4"/>
      <c r="G2891" s="4"/>
      <c r="H2891" s="4"/>
    </row>
    <row r="2892">
      <c r="D2892" s="5"/>
      <c r="E2892" s="4"/>
      <c r="F2892" s="4"/>
      <c r="G2892" s="4"/>
      <c r="H2892" s="4"/>
    </row>
    <row r="2893">
      <c r="D2893" s="5"/>
      <c r="E2893" s="4"/>
      <c r="F2893" s="4"/>
      <c r="G2893" s="4"/>
      <c r="H2893" s="4"/>
    </row>
    <row r="2894">
      <c r="D2894" s="5"/>
      <c r="E2894" s="4"/>
      <c r="F2894" s="4"/>
      <c r="G2894" s="4"/>
      <c r="H2894" s="4"/>
    </row>
    <row r="2895">
      <c r="D2895" s="5"/>
      <c r="E2895" s="4"/>
      <c r="F2895" s="4"/>
      <c r="G2895" s="4"/>
      <c r="H2895" s="4"/>
    </row>
    <row r="2896">
      <c r="D2896" s="5"/>
      <c r="E2896" s="4"/>
      <c r="F2896" s="4"/>
      <c r="G2896" s="4"/>
      <c r="H2896" s="4"/>
    </row>
    <row r="2897">
      <c r="D2897" s="5"/>
      <c r="E2897" s="4"/>
      <c r="F2897" s="4"/>
      <c r="G2897" s="4"/>
      <c r="H2897" s="4"/>
    </row>
    <row r="2898">
      <c r="D2898" s="5"/>
      <c r="E2898" s="4"/>
      <c r="F2898" s="4"/>
      <c r="G2898" s="4"/>
      <c r="H2898" s="4"/>
    </row>
    <row r="2899">
      <c r="D2899" s="5"/>
      <c r="E2899" s="4"/>
      <c r="F2899" s="4"/>
      <c r="G2899" s="4"/>
      <c r="H2899" s="4"/>
    </row>
    <row r="2900">
      <c r="D2900" s="5"/>
      <c r="E2900" s="4"/>
      <c r="F2900" s="4"/>
      <c r="G2900" s="4"/>
      <c r="H2900" s="4"/>
    </row>
    <row r="2901">
      <c r="D2901" s="5"/>
      <c r="E2901" s="4"/>
      <c r="F2901" s="4"/>
      <c r="G2901" s="4"/>
      <c r="H2901" s="4"/>
    </row>
    <row r="2902">
      <c r="D2902" s="5"/>
      <c r="E2902" s="4"/>
      <c r="F2902" s="4"/>
      <c r="G2902" s="4"/>
      <c r="H2902" s="4"/>
    </row>
    <row r="2903">
      <c r="D2903" s="5"/>
      <c r="E2903" s="4"/>
      <c r="F2903" s="4"/>
      <c r="G2903" s="4"/>
      <c r="H2903" s="4"/>
    </row>
    <row r="2904">
      <c r="D2904" s="5"/>
      <c r="E2904" s="4"/>
      <c r="F2904" s="4"/>
      <c r="G2904" s="4"/>
      <c r="H2904" s="4"/>
    </row>
    <row r="2905">
      <c r="D2905" s="5"/>
      <c r="E2905" s="4"/>
      <c r="F2905" s="4"/>
      <c r="G2905" s="4"/>
      <c r="H2905" s="4"/>
    </row>
    <row r="2906">
      <c r="D2906" s="5"/>
      <c r="E2906" s="4"/>
      <c r="F2906" s="4"/>
      <c r="G2906" s="4"/>
      <c r="H2906" s="4"/>
    </row>
    <row r="2907">
      <c r="D2907" s="5"/>
      <c r="E2907" s="4"/>
      <c r="F2907" s="4"/>
      <c r="G2907" s="4"/>
      <c r="H2907" s="4"/>
    </row>
    <row r="2908">
      <c r="D2908" s="5"/>
      <c r="E2908" s="4"/>
      <c r="F2908" s="4"/>
      <c r="G2908" s="4"/>
      <c r="H2908" s="4"/>
    </row>
    <row r="2909">
      <c r="D2909" s="5"/>
      <c r="E2909" s="4"/>
      <c r="F2909" s="4"/>
      <c r="G2909" s="4"/>
      <c r="H2909" s="4"/>
    </row>
    <row r="2910">
      <c r="D2910" s="5"/>
      <c r="E2910" s="4"/>
      <c r="F2910" s="4"/>
      <c r="G2910" s="4"/>
      <c r="H2910" s="4"/>
    </row>
    <row r="2911">
      <c r="D2911" s="5"/>
      <c r="E2911" s="4"/>
      <c r="F2911" s="4"/>
      <c r="G2911" s="4"/>
      <c r="H2911" s="4"/>
    </row>
    <row r="2912">
      <c r="D2912" s="5"/>
      <c r="E2912" s="4"/>
      <c r="F2912" s="4"/>
      <c r="G2912" s="4"/>
      <c r="H2912" s="4"/>
    </row>
    <row r="2913">
      <c r="D2913" s="5"/>
      <c r="E2913" s="4"/>
      <c r="F2913" s="4"/>
      <c r="G2913" s="4"/>
      <c r="H2913" s="4"/>
    </row>
    <row r="2914">
      <c r="D2914" s="5"/>
      <c r="E2914" s="4"/>
      <c r="F2914" s="4"/>
      <c r="G2914" s="4"/>
      <c r="H2914" s="4"/>
    </row>
    <row r="2915">
      <c r="D2915" s="5"/>
      <c r="E2915" s="4"/>
      <c r="F2915" s="4"/>
      <c r="G2915" s="4"/>
      <c r="H2915" s="4"/>
    </row>
    <row r="2916">
      <c r="D2916" s="5"/>
      <c r="E2916" s="4"/>
      <c r="F2916" s="4"/>
      <c r="G2916" s="4"/>
      <c r="H2916" s="4"/>
    </row>
    <row r="2917">
      <c r="D2917" s="5"/>
      <c r="E2917" s="4"/>
      <c r="F2917" s="4"/>
      <c r="G2917" s="4"/>
      <c r="H2917" s="4"/>
    </row>
    <row r="2918">
      <c r="D2918" s="5"/>
      <c r="E2918" s="4"/>
      <c r="F2918" s="4"/>
      <c r="G2918" s="4"/>
      <c r="H2918" s="4"/>
    </row>
    <row r="2919">
      <c r="D2919" s="5"/>
      <c r="E2919" s="4"/>
      <c r="F2919" s="4"/>
      <c r="G2919" s="4"/>
      <c r="H2919" s="4"/>
    </row>
    <row r="2920">
      <c r="D2920" s="5"/>
      <c r="E2920" s="4"/>
      <c r="F2920" s="4"/>
      <c r="G2920" s="4"/>
      <c r="H2920" s="4"/>
    </row>
    <row r="2921">
      <c r="D2921" s="5"/>
      <c r="E2921" s="4"/>
      <c r="F2921" s="4"/>
      <c r="G2921" s="4"/>
      <c r="H2921" s="4"/>
    </row>
    <row r="2922">
      <c r="D2922" s="5"/>
      <c r="E2922" s="4"/>
      <c r="F2922" s="4"/>
      <c r="G2922" s="4"/>
      <c r="H2922" s="4"/>
    </row>
    <row r="2923">
      <c r="D2923" s="5"/>
      <c r="E2923" s="4"/>
      <c r="F2923" s="4"/>
      <c r="G2923" s="4"/>
      <c r="H2923" s="4"/>
    </row>
    <row r="2924">
      <c r="D2924" s="5"/>
      <c r="E2924" s="4"/>
      <c r="F2924" s="4"/>
      <c r="G2924" s="4"/>
      <c r="H2924" s="4"/>
    </row>
    <row r="2925">
      <c r="D2925" s="5"/>
      <c r="E2925" s="4"/>
      <c r="F2925" s="4"/>
      <c r="G2925" s="4"/>
      <c r="H2925" s="4"/>
    </row>
    <row r="2926">
      <c r="D2926" s="5"/>
      <c r="E2926" s="4"/>
      <c r="F2926" s="4"/>
      <c r="G2926" s="4"/>
      <c r="H2926" s="4"/>
    </row>
    <row r="2927">
      <c r="D2927" s="5"/>
      <c r="E2927" s="4"/>
      <c r="F2927" s="4"/>
      <c r="G2927" s="4"/>
      <c r="H2927" s="4"/>
    </row>
    <row r="2928">
      <c r="D2928" s="5"/>
      <c r="E2928" s="4"/>
      <c r="F2928" s="4"/>
      <c r="G2928" s="4"/>
      <c r="H2928" s="4"/>
    </row>
    <row r="2929">
      <c r="D2929" s="5"/>
      <c r="E2929" s="4"/>
      <c r="F2929" s="4"/>
      <c r="G2929" s="4"/>
      <c r="H2929" s="4"/>
    </row>
    <row r="2930">
      <c r="D2930" s="5"/>
      <c r="E2930" s="4"/>
      <c r="F2930" s="4"/>
      <c r="G2930" s="4"/>
      <c r="H2930" s="4"/>
    </row>
    <row r="2931">
      <c r="D2931" s="5"/>
      <c r="E2931" s="4"/>
      <c r="F2931" s="4"/>
      <c r="G2931" s="4"/>
      <c r="H2931" s="4"/>
    </row>
    <row r="2932">
      <c r="D2932" s="5"/>
      <c r="E2932" s="4"/>
      <c r="F2932" s="4"/>
      <c r="G2932" s="4"/>
      <c r="H2932" s="4"/>
    </row>
    <row r="2933">
      <c r="D2933" s="5"/>
      <c r="E2933" s="4"/>
      <c r="F2933" s="4"/>
      <c r="G2933" s="4"/>
      <c r="H2933" s="4"/>
    </row>
    <row r="2934">
      <c r="D2934" s="5"/>
      <c r="E2934" s="4"/>
      <c r="F2934" s="4"/>
      <c r="G2934" s="4"/>
      <c r="H2934" s="4"/>
    </row>
    <row r="2935">
      <c r="D2935" s="5"/>
      <c r="E2935" s="4"/>
      <c r="F2935" s="4"/>
      <c r="G2935" s="4"/>
      <c r="H2935" s="4"/>
    </row>
    <row r="2936">
      <c r="D2936" s="5"/>
      <c r="E2936" s="4"/>
      <c r="F2936" s="4"/>
      <c r="G2936" s="4"/>
      <c r="H2936" s="4"/>
    </row>
    <row r="2937">
      <c r="D2937" s="5"/>
      <c r="E2937" s="4"/>
      <c r="F2937" s="4"/>
      <c r="G2937" s="4"/>
      <c r="H2937" s="4"/>
    </row>
    <row r="2938">
      <c r="D2938" s="5"/>
      <c r="E2938" s="4"/>
      <c r="F2938" s="4"/>
      <c r="G2938" s="4"/>
      <c r="H2938" s="4"/>
    </row>
    <row r="2939">
      <c r="D2939" s="5"/>
      <c r="E2939" s="4"/>
      <c r="F2939" s="4"/>
      <c r="G2939" s="4"/>
      <c r="H2939" s="4"/>
    </row>
    <row r="2940">
      <c r="D2940" s="5"/>
      <c r="E2940" s="4"/>
      <c r="F2940" s="4"/>
      <c r="G2940" s="4"/>
      <c r="H2940" s="4"/>
    </row>
    <row r="2941">
      <c r="D2941" s="5"/>
      <c r="E2941" s="4"/>
      <c r="F2941" s="4"/>
      <c r="G2941" s="4"/>
      <c r="H2941" s="4"/>
    </row>
    <row r="2942">
      <c r="D2942" s="5"/>
      <c r="E2942" s="4"/>
      <c r="F2942" s="4"/>
      <c r="G2942" s="4"/>
      <c r="H2942" s="4"/>
    </row>
    <row r="2943">
      <c r="D2943" s="5"/>
      <c r="E2943" s="4"/>
      <c r="F2943" s="4"/>
      <c r="G2943" s="4"/>
      <c r="H2943" s="4"/>
    </row>
    <row r="2944">
      <c r="D2944" s="5"/>
      <c r="E2944" s="4"/>
      <c r="F2944" s="4"/>
      <c r="G2944" s="4"/>
      <c r="H2944" s="4"/>
    </row>
    <row r="2945">
      <c r="D2945" s="5"/>
      <c r="E2945" s="4"/>
      <c r="F2945" s="4"/>
      <c r="G2945" s="4"/>
      <c r="H2945" s="4"/>
    </row>
    <row r="2946">
      <c r="D2946" s="5"/>
      <c r="E2946" s="4"/>
      <c r="F2946" s="4"/>
      <c r="G2946" s="4"/>
      <c r="H2946" s="4"/>
    </row>
    <row r="2947">
      <c r="D2947" s="5"/>
      <c r="E2947" s="4"/>
      <c r="F2947" s="4"/>
      <c r="G2947" s="4"/>
      <c r="H2947" s="4"/>
    </row>
    <row r="2948">
      <c r="D2948" s="5"/>
      <c r="E2948" s="4"/>
      <c r="F2948" s="4"/>
      <c r="G2948" s="4"/>
      <c r="H2948" s="4"/>
    </row>
    <row r="2949">
      <c r="D2949" s="5"/>
      <c r="E2949" s="4"/>
      <c r="F2949" s="4"/>
      <c r="G2949" s="4"/>
      <c r="H2949" s="4"/>
    </row>
    <row r="2950">
      <c r="D2950" s="5"/>
      <c r="E2950" s="4"/>
      <c r="F2950" s="4"/>
      <c r="G2950" s="4"/>
      <c r="H2950" s="4"/>
    </row>
    <row r="2951">
      <c r="D2951" s="5"/>
      <c r="E2951" s="4"/>
      <c r="F2951" s="4"/>
      <c r="G2951" s="4"/>
      <c r="H2951" s="4"/>
    </row>
    <row r="2952">
      <c r="D2952" s="5"/>
      <c r="E2952" s="4"/>
      <c r="F2952" s="4"/>
      <c r="G2952" s="4"/>
      <c r="H2952" s="4"/>
    </row>
    <row r="2953">
      <c r="D2953" s="5"/>
      <c r="E2953" s="4"/>
      <c r="F2953" s="4"/>
      <c r="G2953" s="4"/>
      <c r="H2953" s="4"/>
    </row>
    <row r="2954">
      <c r="D2954" s="5"/>
      <c r="E2954" s="4"/>
      <c r="F2954" s="4"/>
      <c r="G2954" s="4"/>
      <c r="H2954" s="4"/>
    </row>
    <row r="2955">
      <c r="D2955" s="5"/>
      <c r="E2955" s="4"/>
      <c r="F2955" s="4"/>
      <c r="G2955" s="4"/>
      <c r="H2955" s="4"/>
    </row>
    <row r="2956">
      <c r="D2956" s="5"/>
      <c r="E2956" s="4"/>
      <c r="F2956" s="4"/>
      <c r="G2956" s="4"/>
      <c r="H2956" s="4"/>
    </row>
    <row r="2957">
      <c r="D2957" s="5"/>
      <c r="E2957" s="4"/>
      <c r="F2957" s="4"/>
      <c r="G2957" s="4"/>
      <c r="H2957" s="4"/>
    </row>
    <row r="2958">
      <c r="D2958" s="5"/>
      <c r="E2958" s="4"/>
      <c r="F2958" s="4"/>
      <c r="G2958" s="4"/>
      <c r="H2958" s="4"/>
    </row>
    <row r="2959">
      <c r="D2959" s="5"/>
      <c r="E2959" s="4"/>
      <c r="F2959" s="4"/>
      <c r="G2959" s="4"/>
      <c r="H2959" s="4"/>
    </row>
    <row r="2960">
      <c r="D2960" s="5"/>
      <c r="E2960" s="4"/>
      <c r="F2960" s="4"/>
      <c r="G2960" s="4"/>
      <c r="H2960" s="4"/>
    </row>
    <row r="2961">
      <c r="D2961" s="5"/>
      <c r="E2961" s="4"/>
      <c r="F2961" s="4"/>
      <c r="G2961" s="4"/>
      <c r="H2961" s="4"/>
    </row>
    <row r="2962">
      <c r="D2962" s="5"/>
      <c r="E2962" s="4"/>
      <c r="F2962" s="4"/>
      <c r="G2962" s="4"/>
      <c r="H2962" s="4"/>
    </row>
    <row r="2963">
      <c r="D2963" s="5"/>
      <c r="E2963" s="4"/>
      <c r="F2963" s="4"/>
      <c r="G2963" s="4"/>
      <c r="H2963" s="4"/>
    </row>
    <row r="2964">
      <c r="D2964" s="5"/>
      <c r="E2964" s="4"/>
      <c r="F2964" s="4"/>
      <c r="G2964" s="4"/>
      <c r="H2964" s="4"/>
    </row>
    <row r="2965">
      <c r="D2965" s="5"/>
      <c r="E2965" s="4"/>
      <c r="F2965" s="4"/>
      <c r="G2965" s="4"/>
      <c r="H2965" s="4"/>
    </row>
    <row r="2966">
      <c r="D2966" s="5"/>
      <c r="E2966" s="4"/>
      <c r="F2966" s="4"/>
      <c r="G2966" s="4"/>
      <c r="H2966" s="4"/>
    </row>
    <row r="2967">
      <c r="D2967" s="5"/>
      <c r="E2967" s="4"/>
      <c r="F2967" s="4"/>
      <c r="G2967" s="4"/>
      <c r="H2967" s="4"/>
    </row>
    <row r="2968">
      <c r="D2968" s="5"/>
      <c r="E2968" s="4"/>
      <c r="F2968" s="4"/>
      <c r="G2968" s="4"/>
      <c r="H2968" s="4"/>
    </row>
    <row r="2969">
      <c r="D2969" s="5"/>
      <c r="E2969" s="4"/>
      <c r="F2969" s="4"/>
      <c r="G2969" s="4"/>
      <c r="H2969" s="4"/>
    </row>
    <row r="2970">
      <c r="D2970" s="5"/>
      <c r="E2970" s="4"/>
      <c r="F2970" s="4"/>
      <c r="G2970" s="4"/>
      <c r="H2970" s="4"/>
    </row>
    <row r="2971">
      <c r="D2971" s="5"/>
      <c r="E2971" s="4"/>
      <c r="F2971" s="4"/>
      <c r="G2971" s="4"/>
      <c r="H2971" s="4"/>
    </row>
    <row r="2972">
      <c r="D2972" s="5"/>
      <c r="E2972" s="4"/>
      <c r="F2972" s="4"/>
      <c r="G2972" s="4"/>
      <c r="H2972" s="4"/>
    </row>
    <row r="2973">
      <c r="D2973" s="5"/>
      <c r="E2973" s="4"/>
      <c r="F2973" s="4"/>
      <c r="G2973" s="4"/>
      <c r="H2973" s="4"/>
    </row>
    <row r="2974">
      <c r="D2974" s="5"/>
      <c r="E2974" s="4"/>
      <c r="F2974" s="4"/>
      <c r="G2974" s="4"/>
      <c r="H2974" s="4"/>
    </row>
    <row r="2975">
      <c r="D2975" s="5"/>
      <c r="E2975" s="4"/>
      <c r="F2975" s="4"/>
      <c r="G2975" s="4"/>
      <c r="H2975" s="4"/>
    </row>
    <row r="2976">
      <c r="D2976" s="5"/>
      <c r="E2976" s="4"/>
      <c r="F2976" s="4"/>
      <c r="G2976" s="4"/>
      <c r="H2976" s="4"/>
    </row>
    <row r="2977">
      <c r="D2977" s="5"/>
      <c r="E2977" s="4"/>
      <c r="F2977" s="4"/>
      <c r="G2977" s="4"/>
      <c r="H2977" s="4"/>
    </row>
    <row r="2978">
      <c r="D2978" s="5"/>
      <c r="E2978" s="4"/>
      <c r="F2978" s="4"/>
      <c r="G2978" s="4"/>
      <c r="H2978" s="4"/>
    </row>
    <row r="2979">
      <c r="D2979" s="5"/>
      <c r="E2979" s="4"/>
      <c r="F2979" s="4"/>
      <c r="G2979" s="4"/>
      <c r="H2979" s="4"/>
    </row>
    <row r="2980">
      <c r="D2980" s="5"/>
      <c r="E2980" s="4"/>
      <c r="F2980" s="4"/>
      <c r="G2980" s="4"/>
      <c r="H2980" s="4"/>
    </row>
    <row r="2981">
      <c r="D2981" s="5"/>
      <c r="E2981" s="4"/>
      <c r="F2981" s="4"/>
      <c r="G2981" s="4"/>
      <c r="H2981" s="4"/>
    </row>
    <row r="2982">
      <c r="D2982" s="5"/>
      <c r="E2982" s="4"/>
      <c r="F2982" s="4"/>
      <c r="G2982" s="4"/>
      <c r="H2982" s="4"/>
    </row>
    <row r="2983">
      <c r="D2983" s="5"/>
      <c r="E2983" s="4"/>
      <c r="F2983" s="4"/>
      <c r="G2983" s="4"/>
      <c r="H2983" s="4"/>
    </row>
    <row r="2984">
      <c r="D2984" s="5"/>
      <c r="E2984" s="4"/>
      <c r="F2984" s="4"/>
      <c r="G2984" s="4"/>
      <c r="H2984" s="4"/>
    </row>
    <row r="2985">
      <c r="D2985" s="5"/>
      <c r="E2985" s="4"/>
      <c r="F2985" s="4"/>
      <c r="G2985" s="4"/>
      <c r="H2985" s="4"/>
    </row>
    <row r="2986">
      <c r="D2986" s="5"/>
      <c r="E2986" s="4"/>
      <c r="F2986" s="4"/>
      <c r="G2986" s="4"/>
      <c r="H2986" s="4"/>
    </row>
    <row r="2987">
      <c r="D2987" s="5"/>
      <c r="E2987" s="4"/>
      <c r="F2987" s="4"/>
      <c r="G2987" s="4"/>
      <c r="H2987" s="4"/>
    </row>
    <row r="2988">
      <c r="D2988" s="5"/>
      <c r="E2988" s="4"/>
      <c r="F2988" s="4"/>
      <c r="G2988" s="4"/>
      <c r="H2988" s="4"/>
    </row>
    <row r="2989">
      <c r="D2989" s="5"/>
      <c r="E2989" s="4"/>
      <c r="F2989" s="4"/>
      <c r="G2989" s="4"/>
      <c r="H2989" s="4"/>
    </row>
    <row r="2990">
      <c r="D2990" s="5"/>
      <c r="E2990" s="4"/>
      <c r="F2990" s="4"/>
      <c r="G2990" s="4"/>
      <c r="H2990" s="4"/>
    </row>
    <row r="2991">
      <c r="D2991" s="5"/>
      <c r="E2991" s="4"/>
      <c r="F2991" s="4"/>
      <c r="G2991" s="4"/>
      <c r="H2991" s="4"/>
    </row>
    <row r="2992">
      <c r="D2992" s="5"/>
      <c r="E2992" s="4"/>
      <c r="F2992" s="4"/>
      <c r="G2992" s="4"/>
      <c r="H2992" s="4"/>
    </row>
    <row r="2993">
      <c r="D2993" s="5"/>
      <c r="E2993" s="4"/>
      <c r="F2993" s="4"/>
      <c r="G2993" s="4"/>
      <c r="H2993" s="4"/>
    </row>
    <row r="2994">
      <c r="D2994" s="5"/>
      <c r="E2994" s="4"/>
      <c r="F2994" s="4"/>
      <c r="G2994" s="4"/>
      <c r="H2994" s="4"/>
    </row>
    <row r="2995">
      <c r="D2995" s="5"/>
      <c r="E2995" s="4"/>
      <c r="F2995" s="4"/>
      <c r="G2995" s="4"/>
      <c r="H2995" s="4"/>
    </row>
    <row r="2996">
      <c r="D2996" s="5"/>
      <c r="E2996" s="4"/>
      <c r="F2996" s="4"/>
      <c r="G2996" s="4"/>
      <c r="H2996" s="4"/>
    </row>
    <row r="2997">
      <c r="D2997" s="5"/>
      <c r="E2997" s="4"/>
      <c r="F2997" s="4"/>
      <c r="G2997" s="4"/>
      <c r="H2997" s="4"/>
    </row>
    <row r="2998">
      <c r="D2998" s="5"/>
      <c r="E2998" s="4"/>
      <c r="F2998" s="4"/>
      <c r="G2998" s="4"/>
      <c r="H2998" s="4"/>
    </row>
    <row r="2999">
      <c r="D2999" s="5"/>
      <c r="E2999" s="4"/>
      <c r="F2999" s="4"/>
      <c r="G2999" s="4"/>
      <c r="H2999" s="4"/>
    </row>
    <row r="3000">
      <c r="D3000" s="5"/>
      <c r="E3000" s="4"/>
      <c r="F3000" s="4"/>
      <c r="G3000" s="4"/>
      <c r="H3000" s="4"/>
    </row>
    <row r="3001">
      <c r="D3001" s="5"/>
      <c r="E3001" s="4"/>
      <c r="F3001" s="4"/>
      <c r="G3001" s="4"/>
      <c r="H3001" s="4"/>
    </row>
    <row r="3002">
      <c r="D3002" s="5"/>
      <c r="E3002" s="4"/>
      <c r="F3002" s="4"/>
      <c r="G3002" s="4"/>
      <c r="H3002" s="4"/>
    </row>
    <row r="3003">
      <c r="D3003" s="5"/>
      <c r="E3003" s="4"/>
      <c r="F3003" s="4"/>
      <c r="G3003" s="4"/>
      <c r="H3003" s="4"/>
    </row>
    <row r="3004">
      <c r="D3004" s="5"/>
      <c r="E3004" s="4"/>
      <c r="F3004" s="4"/>
      <c r="G3004" s="4"/>
      <c r="H3004" s="4"/>
    </row>
    <row r="3005">
      <c r="D3005" s="5"/>
      <c r="E3005" s="4"/>
      <c r="F3005" s="4"/>
      <c r="G3005" s="4"/>
      <c r="H3005" s="4"/>
    </row>
    <row r="3006">
      <c r="D3006" s="5"/>
      <c r="E3006" s="4"/>
      <c r="F3006" s="4"/>
      <c r="G3006" s="4"/>
      <c r="H3006" s="4"/>
    </row>
    <row r="3007">
      <c r="D3007" s="5"/>
      <c r="E3007" s="4"/>
      <c r="F3007" s="4"/>
      <c r="G3007" s="4"/>
      <c r="H3007" s="4"/>
    </row>
    <row r="3008">
      <c r="D3008" s="5"/>
      <c r="E3008" s="4"/>
      <c r="F3008" s="4"/>
      <c r="G3008" s="4"/>
      <c r="H3008" s="4"/>
    </row>
    <row r="3009">
      <c r="D3009" s="5"/>
      <c r="E3009" s="4"/>
      <c r="F3009" s="4"/>
      <c r="G3009" s="4"/>
      <c r="H3009" s="4"/>
    </row>
    <row r="3010">
      <c r="D3010" s="5"/>
      <c r="E3010" s="4"/>
      <c r="F3010" s="4"/>
      <c r="G3010" s="4"/>
      <c r="H3010" s="4"/>
    </row>
    <row r="3011">
      <c r="D3011" s="5"/>
      <c r="E3011" s="4"/>
      <c r="F3011" s="4"/>
      <c r="G3011" s="4"/>
      <c r="H3011" s="4"/>
    </row>
    <row r="3012">
      <c r="D3012" s="5"/>
      <c r="E3012" s="4"/>
      <c r="F3012" s="4"/>
      <c r="G3012" s="4"/>
      <c r="H3012" s="4"/>
    </row>
    <row r="3013">
      <c r="D3013" s="5"/>
      <c r="E3013" s="4"/>
      <c r="F3013" s="4"/>
      <c r="G3013" s="4"/>
      <c r="H3013" s="4"/>
    </row>
    <row r="3014">
      <c r="D3014" s="5"/>
      <c r="E3014" s="4"/>
      <c r="F3014" s="4"/>
      <c r="G3014" s="4"/>
      <c r="H3014" s="4"/>
    </row>
    <row r="3015">
      <c r="D3015" s="5"/>
      <c r="E3015" s="4"/>
      <c r="F3015" s="4"/>
      <c r="G3015" s="4"/>
      <c r="H3015" s="4"/>
    </row>
    <row r="3016">
      <c r="D3016" s="5"/>
      <c r="E3016" s="4"/>
      <c r="F3016" s="4"/>
      <c r="G3016" s="4"/>
      <c r="H3016" s="4"/>
    </row>
    <row r="3017">
      <c r="D3017" s="5"/>
      <c r="E3017" s="4"/>
      <c r="F3017" s="4"/>
      <c r="G3017" s="4"/>
      <c r="H3017" s="4"/>
    </row>
    <row r="3018">
      <c r="D3018" s="5"/>
      <c r="E3018" s="4"/>
      <c r="F3018" s="4"/>
      <c r="G3018" s="4"/>
      <c r="H3018" s="4"/>
    </row>
    <row r="3019">
      <c r="D3019" s="5"/>
      <c r="E3019" s="4"/>
      <c r="F3019" s="4"/>
      <c r="G3019" s="4"/>
      <c r="H3019" s="4"/>
    </row>
    <row r="3020">
      <c r="D3020" s="5"/>
      <c r="E3020" s="4"/>
      <c r="F3020" s="4"/>
      <c r="G3020" s="4"/>
      <c r="H3020" s="4"/>
    </row>
    <row r="3021">
      <c r="D3021" s="5"/>
      <c r="E3021" s="4"/>
      <c r="F3021" s="4"/>
      <c r="G3021" s="4"/>
      <c r="H3021" s="4"/>
    </row>
    <row r="3022">
      <c r="D3022" s="5"/>
      <c r="E3022" s="4"/>
      <c r="F3022" s="4"/>
      <c r="G3022" s="4"/>
      <c r="H3022" s="4"/>
    </row>
    <row r="3023">
      <c r="D3023" s="5"/>
      <c r="E3023" s="4"/>
      <c r="F3023" s="4"/>
      <c r="G3023" s="4"/>
      <c r="H3023" s="4"/>
    </row>
    <row r="3024">
      <c r="D3024" s="5"/>
      <c r="E3024" s="4"/>
      <c r="F3024" s="4"/>
      <c r="G3024" s="4"/>
      <c r="H3024" s="4"/>
    </row>
    <row r="3025">
      <c r="D3025" s="5"/>
      <c r="E3025" s="4"/>
      <c r="F3025" s="4"/>
      <c r="G3025" s="4"/>
      <c r="H3025" s="4"/>
    </row>
    <row r="3026">
      <c r="D3026" s="5"/>
      <c r="E3026" s="4"/>
      <c r="F3026" s="4"/>
      <c r="G3026" s="4"/>
      <c r="H3026" s="4"/>
    </row>
    <row r="3027">
      <c r="D3027" s="5"/>
      <c r="E3027" s="4"/>
      <c r="F3027" s="4"/>
      <c r="G3027" s="4"/>
      <c r="H3027" s="4"/>
    </row>
    <row r="3028">
      <c r="D3028" s="5"/>
      <c r="E3028" s="4"/>
      <c r="F3028" s="4"/>
      <c r="G3028" s="4"/>
      <c r="H3028" s="4"/>
    </row>
    <row r="3029">
      <c r="D3029" s="5"/>
      <c r="E3029" s="4"/>
      <c r="F3029" s="4"/>
      <c r="G3029" s="4"/>
      <c r="H3029" s="4"/>
    </row>
    <row r="3030">
      <c r="D3030" s="5"/>
      <c r="E3030" s="4"/>
      <c r="F3030" s="4"/>
      <c r="G3030" s="4"/>
      <c r="H3030" s="4"/>
    </row>
    <row r="3031">
      <c r="D3031" s="5"/>
      <c r="E3031" s="4"/>
      <c r="F3031" s="4"/>
      <c r="G3031" s="4"/>
      <c r="H3031" s="4"/>
    </row>
    <row r="3032">
      <c r="D3032" s="5"/>
      <c r="E3032" s="4"/>
      <c r="F3032" s="4"/>
      <c r="G3032" s="4"/>
      <c r="H3032" s="4"/>
    </row>
    <row r="3033">
      <c r="D3033" s="5"/>
      <c r="E3033" s="4"/>
      <c r="F3033" s="4"/>
      <c r="G3033" s="4"/>
      <c r="H3033" s="4"/>
    </row>
    <row r="3034">
      <c r="D3034" s="5"/>
      <c r="E3034" s="4"/>
      <c r="F3034" s="4"/>
      <c r="G3034" s="4"/>
      <c r="H3034" s="4"/>
    </row>
    <row r="3035">
      <c r="D3035" s="5"/>
      <c r="E3035" s="4"/>
      <c r="F3035" s="4"/>
      <c r="G3035" s="4"/>
      <c r="H3035" s="4"/>
    </row>
    <row r="3036">
      <c r="D3036" s="5"/>
      <c r="E3036" s="4"/>
      <c r="F3036" s="4"/>
      <c r="G3036" s="4"/>
      <c r="H3036" s="4"/>
    </row>
    <row r="3037">
      <c r="D3037" s="5"/>
      <c r="E3037" s="4"/>
      <c r="F3037" s="4"/>
      <c r="G3037" s="4"/>
      <c r="H3037" s="4"/>
    </row>
    <row r="3038">
      <c r="D3038" s="5"/>
      <c r="E3038" s="4"/>
      <c r="F3038" s="4"/>
      <c r="G3038" s="4"/>
      <c r="H3038" s="4"/>
    </row>
    <row r="3039">
      <c r="D3039" s="5"/>
      <c r="E3039" s="4"/>
      <c r="F3039" s="4"/>
      <c r="G3039" s="4"/>
      <c r="H3039" s="4"/>
    </row>
    <row r="3040">
      <c r="D3040" s="5"/>
      <c r="E3040" s="4"/>
      <c r="F3040" s="4"/>
      <c r="G3040" s="4"/>
      <c r="H3040" s="4"/>
    </row>
    <row r="3041">
      <c r="D3041" s="5"/>
      <c r="E3041" s="4"/>
      <c r="F3041" s="4"/>
      <c r="G3041" s="4"/>
      <c r="H3041" s="4"/>
    </row>
    <row r="3042">
      <c r="D3042" s="5"/>
      <c r="E3042" s="4"/>
      <c r="F3042" s="4"/>
      <c r="G3042" s="4"/>
      <c r="H3042" s="4"/>
    </row>
    <row r="3043">
      <c r="D3043" s="5"/>
      <c r="E3043" s="4"/>
      <c r="F3043" s="4"/>
      <c r="G3043" s="4"/>
      <c r="H3043" s="4"/>
    </row>
    <row r="3044">
      <c r="D3044" s="5"/>
      <c r="E3044" s="4"/>
      <c r="F3044" s="4"/>
      <c r="G3044" s="4"/>
      <c r="H3044" s="4"/>
    </row>
    <row r="3045">
      <c r="D3045" s="5"/>
      <c r="E3045" s="4"/>
      <c r="F3045" s="4"/>
      <c r="G3045" s="4"/>
      <c r="H3045" s="4"/>
    </row>
    <row r="3046">
      <c r="D3046" s="5"/>
      <c r="E3046" s="4"/>
      <c r="F3046" s="4"/>
      <c r="G3046" s="4"/>
      <c r="H3046" s="4"/>
    </row>
    <row r="3047">
      <c r="D3047" s="5"/>
      <c r="E3047" s="4"/>
      <c r="F3047" s="4"/>
      <c r="G3047" s="4"/>
      <c r="H3047" s="4"/>
    </row>
    <row r="3048">
      <c r="D3048" s="5"/>
      <c r="E3048" s="4"/>
      <c r="F3048" s="4"/>
      <c r="G3048" s="4"/>
      <c r="H3048" s="4"/>
    </row>
    <row r="3049">
      <c r="D3049" s="5"/>
      <c r="E3049" s="4"/>
      <c r="F3049" s="4"/>
      <c r="G3049" s="4"/>
      <c r="H3049" s="4"/>
    </row>
    <row r="3050">
      <c r="D3050" s="5"/>
      <c r="E3050" s="4"/>
      <c r="F3050" s="4"/>
      <c r="G3050" s="4"/>
      <c r="H3050" s="4"/>
    </row>
    <row r="3051">
      <c r="D3051" s="5"/>
      <c r="E3051" s="4"/>
      <c r="F3051" s="4"/>
      <c r="G3051" s="4"/>
      <c r="H3051" s="4"/>
    </row>
    <row r="3052">
      <c r="D3052" s="5"/>
      <c r="E3052" s="4"/>
      <c r="F3052" s="4"/>
      <c r="G3052" s="4"/>
      <c r="H3052" s="4"/>
    </row>
    <row r="3053">
      <c r="D3053" s="5"/>
      <c r="E3053" s="4"/>
      <c r="F3053" s="4"/>
      <c r="G3053" s="4"/>
      <c r="H3053" s="4"/>
    </row>
    <row r="3054">
      <c r="D3054" s="5"/>
      <c r="E3054" s="4"/>
      <c r="F3054" s="4"/>
      <c r="G3054" s="4"/>
      <c r="H3054" s="4"/>
    </row>
    <row r="3055">
      <c r="D3055" s="5"/>
      <c r="E3055" s="4"/>
      <c r="F3055" s="4"/>
      <c r="G3055" s="4"/>
      <c r="H3055" s="4"/>
    </row>
    <row r="3056">
      <c r="D3056" s="5"/>
      <c r="E3056" s="4"/>
      <c r="F3056" s="4"/>
      <c r="G3056" s="4"/>
      <c r="H3056" s="4"/>
    </row>
    <row r="3057">
      <c r="D3057" s="5"/>
      <c r="E3057" s="4"/>
      <c r="F3057" s="4"/>
      <c r="G3057" s="4"/>
      <c r="H3057" s="4"/>
    </row>
    <row r="3058">
      <c r="D3058" s="5"/>
      <c r="E3058" s="4"/>
      <c r="F3058" s="4"/>
      <c r="G3058" s="4"/>
      <c r="H3058" s="4"/>
    </row>
    <row r="3059">
      <c r="D3059" s="5"/>
      <c r="E3059" s="4"/>
      <c r="F3059" s="4"/>
      <c r="G3059" s="4"/>
      <c r="H3059" s="4"/>
    </row>
    <row r="3060">
      <c r="D3060" s="5"/>
      <c r="E3060" s="4"/>
      <c r="F3060" s="4"/>
      <c r="G3060" s="4"/>
      <c r="H3060" s="4"/>
    </row>
    <row r="3061">
      <c r="D3061" s="5"/>
      <c r="E3061" s="4"/>
      <c r="F3061" s="4"/>
      <c r="G3061" s="4"/>
      <c r="H3061" s="4"/>
    </row>
    <row r="3062">
      <c r="D3062" s="5"/>
      <c r="E3062" s="4"/>
      <c r="F3062" s="4"/>
      <c r="G3062" s="4"/>
      <c r="H3062" s="4"/>
    </row>
    <row r="3063">
      <c r="D3063" s="5"/>
      <c r="E3063" s="4"/>
      <c r="F3063" s="4"/>
      <c r="G3063" s="4"/>
      <c r="H3063" s="4"/>
    </row>
    <row r="3064">
      <c r="D3064" s="5"/>
      <c r="E3064" s="4"/>
      <c r="F3064" s="4"/>
      <c r="G3064" s="4"/>
      <c r="H3064" s="4"/>
    </row>
    <row r="3065">
      <c r="D3065" s="5"/>
      <c r="E3065" s="4"/>
      <c r="F3065" s="4"/>
      <c r="G3065" s="4"/>
      <c r="H3065" s="4"/>
    </row>
    <row r="3066">
      <c r="D3066" s="5"/>
      <c r="E3066" s="4"/>
      <c r="F3066" s="4"/>
      <c r="G3066" s="4"/>
      <c r="H3066" s="4"/>
    </row>
    <row r="3067">
      <c r="D3067" s="5"/>
      <c r="E3067" s="4"/>
      <c r="F3067" s="4"/>
      <c r="G3067" s="4"/>
      <c r="H3067" s="4"/>
    </row>
    <row r="3068">
      <c r="D3068" s="5"/>
      <c r="E3068" s="4"/>
      <c r="F3068" s="4"/>
      <c r="G3068" s="4"/>
      <c r="H3068" s="4"/>
    </row>
    <row r="3069">
      <c r="D3069" s="5"/>
      <c r="E3069" s="4"/>
      <c r="F3069" s="4"/>
      <c r="G3069" s="4"/>
      <c r="H3069" s="4"/>
    </row>
    <row r="3070">
      <c r="D3070" s="5"/>
      <c r="E3070" s="4"/>
      <c r="F3070" s="4"/>
      <c r="G3070" s="4"/>
      <c r="H3070" s="4"/>
    </row>
    <row r="3071">
      <c r="D3071" s="5"/>
      <c r="E3071" s="4"/>
      <c r="F3071" s="4"/>
      <c r="G3071" s="4"/>
      <c r="H3071" s="4"/>
    </row>
    <row r="3072">
      <c r="D3072" s="5"/>
      <c r="E3072" s="4"/>
      <c r="F3072" s="4"/>
      <c r="G3072" s="4"/>
      <c r="H3072" s="4"/>
    </row>
    <row r="3073">
      <c r="D3073" s="5"/>
      <c r="E3073" s="4"/>
      <c r="F3073" s="4"/>
      <c r="G3073" s="4"/>
      <c r="H3073" s="4"/>
    </row>
    <row r="3074">
      <c r="D3074" s="5"/>
      <c r="E3074" s="4"/>
      <c r="F3074" s="4"/>
      <c r="G3074" s="4"/>
      <c r="H3074" s="4"/>
    </row>
    <row r="3075">
      <c r="D3075" s="5"/>
      <c r="E3075" s="4"/>
      <c r="F3075" s="4"/>
      <c r="G3075" s="4"/>
      <c r="H3075" s="4"/>
    </row>
    <row r="3076">
      <c r="D3076" s="5"/>
      <c r="E3076" s="4"/>
      <c r="F3076" s="4"/>
      <c r="G3076" s="4"/>
      <c r="H3076" s="4"/>
    </row>
    <row r="3077">
      <c r="D3077" s="5"/>
      <c r="E3077" s="4"/>
      <c r="F3077" s="4"/>
      <c r="G3077" s="4"/>
      <c r="H3077" s="4"/>
    </row>
    <row r="3078">
      <c r="D3078" s="5"/>
      <c r="E3078" s="4"/>
      <c r="F3078" s="4"/>
      <c r="G3078" s="4"/>
      <c r="H3078" s="4"/>
    </row>
    <row r="3079">
      <c r="D3079" s="5"/>
      <c r="E3079" s="4"/>
      <c r="F3079" s="4"/>
      <c r="G3079" s="4"/>
      <c r="H3079" s="4"/>
    </row>
    <row r="3080">
      <c r="D3080" s="5"/>
      <c r="E3080" s="4"/>
      <c r="F3080" s="4"/>
      <c r="G3080" s="4"/>
      <c r="H3080" s="4"/>
    </row>
    <row r="3081">
      <c r="D3081" s="5"/>
      <c r="E3081" s="4"/>
      <c r="F3081" s="4"/>
      <c r="G3081" s="4"/>
      <c r="H3081" s="4"/>
    </row>
    <row r="3082">
      <c r="D3082" s="5"/>
      <c r="E3082" s="4"/>
      <c r="F3082" s="4"/>
      <c r="G3082" s="4"/>
      <c r="H3082" s="4"/>
    </row>
    <row r="3083">
      <c r="D3083" s="5"/>
      <c r="E3083" s="4"/>
      <c r="F3083" s="4"/>
      <c r="G3083" s="4"/>
      <c r="H3083" s="4"/>
    </row>
    <row r="3084">
      <c r="D3084" s="5"/>
      <c r="E3084" s="4"/>
      <c r="F3084" s="4"/>
      <c r="G3084" s="4"/>
      <c r="H3084" s="4"/>
    </row>
    <row r="3085">
      <c r="D3085" s="5"/>
      <c r="E3085" s="4"/>
      <c r="F3085" s="4"/>
      <c r="G3085" s="4"/>
      <c r="H3085" s="4"/>
    </row>
    <row r="3086">
      <c r="D3086" s="5"/>
      <c r="E3086" s="4"/>
      <c r="F3086" s="4"/>
      <c r="G3086" s="4"/>
      <c r="H3086" s="4"/>
    </row>
    <row r="3087">
      <c r="D3087" s="5"/>
      <c r="E3087" s="4"/>
      <c r="F3087" s="4"/>
      <c r="G3087" s="4"/>
      <c r="H3087" s="4"/>
    </row>
    <row r="3088">
      <c r="D3088" s="5"/>
      <c r="E3088" s="4"/>
      <c r="F3088" s="4"/>
      <c r="G3088" s="4"/>
      <c r="H3088" s="4"/>
    </row>
    <row r="3089">
      <c r="D3089" s="5"/>
      <c r="E3089" s="4"/>
      <c r="F3089" s="4"/>
      <c r="G3089" s="4"/>
      <c r="H3089" s="4"/>
    </row>
    <row r="3090">
      <c r="D3090" s="5"/>
      <c r="E3090" s="4"/>
      <c r="F3090" s="4"/>
      <c r="G3090" s="4"/>
      <c r="H3090" s="4"/>
    </row>
    <row r="3091">
      <c r="D3091" s="5"/>
      <c r="E3091" s="4"/>
      <c r="F3091" s="4"/>
      <c r="G3091" s="4"/>
      <c r="H3091" s="4"/>
    </row>
    <row r="3092">
      <c r="D3092" s="5"/>
      <c r="E3092" s="4"/>
      <c r="F3092" s="4"/>
      <c r="G3092" s="4"/>
      <c r="H3092" s="4"/>
    </row>
    <row r="3093">
      <c r="D3093" s="5"/>
      <c r="E3093" s="4"/>
      <c r="F3093" s="4"/>
      <c r="G3093" s="4"/>
      <c r="H3093" s="4"/>
    </row>
    <row r="3094">
      <c r="D3094" s="5"/>
      <c r="E3094" s="4"/>
      <c r="F3094" s="4"/>
      <c r="G3094" s="4"/>
      <c r="H3094" s="4"/>
    </row>
    <row r="3095">
      <c r="D3095" s="5"/>
      <c r="E3095" s="4"/>
      <c r="F3095" s="4"/>
      <c r="G3095" s="4"/>
      <c r="H3095" s="4"/>
    </row>
    <row r="3096">
      <c r="D3096" s="5"/>
      <c r="E3096" s="4"/>
      <c r="F3096" s="4"/>
      <c r="G3096" s="4"/>
      <c r="H3096" s="4"/>
    </row>
    <row r="3097">
      <c r="D3097" s="5"/>
      <c r="E3097" s="4"/>
      <c r="F3097" s="4"/>
      <c r="G3097" s="4"/>
      <c r="H3097" s="4"/>
    </row>
    <row r="3098">
      <c r="D3098" s="5"/>
      <c r="E3098" s="4"/>
      <c r="F3098" s="4"/>
      <c r="G3098" s="4"/>
      <c r="H3098" s="4"/>
    </row>
    <row r="3099">
      <c r="D3099" s="5"/>
      <c r="E3099" s="4"/>
      <c r="F3099" s="4"/>
      <c r="G3099" s="4"/>
      <c r="H3099" s="4"/>
    </row>
    <row r="3100">
      <c r="D3100" s="5"/>
      <c r="E3100" s="4"/>
      <c r="F3100" s="4"/>
      <c r="G3100" s="4"/>
      <c r="H3100" s="4"/>
    </row>
    <row r="3101">
      <c r="D3101" s="5"/>
      <c r="E3101" s="4"/>
      <c r="F3101" s="4"/>
      <c r="G3101" s="4"/>
      <c r="H3101" s="4"/>
    </row>
    <row r="3102">
      <c r="D3102" s="5"/>
      <c r="E3102" s="4"/>
      <c r="F3102" s="4"/>
      <c r="G3102" s="4"/>
      <c r="H3102" s="4"/>
    </row>
    <row r="3103">
      <c r="D3103" s="5"/>
      <c r="E3103" s="4"/>
      <c r="F3103" s="4"/>
      <c r="G3103" s="4"/>
      <c r="H3103" s="4"/>
    </row>
    <row r="3104">
      <c r="D3104" s="5"/>
      <c r="E3104" s="4"/>
      <c r="F3104" s="4"/>
      <c r="G3104" s="4"/>
      <c r="H3104" s="4"/>
    </row>
    <row r="3105">
      <c r="D3105" s="5"/>
      <c r="E3105" s="4"/>
      <c r="F3105" s="4"/>
      <c r="G3105" s="4"/>
      <c r="H3105" s="4"/>
    </row>
    <row r="3106">
      <c r="D3106" s="5"/>
      <c r="E3106" s="4"/>
      <c r="F3106" s="4"/>
      <c r="G3106" s="4"/>
      <c r="H3106" s="4"/>
    </row>
    <row r="3107">
      <c r="D3107" s="5"/>
      <c r="E3107" s="4"/>
      <c r="F3107" s="4"/>
      <c r="G3107" s="4"/>
      <c r="H3107" s="4"/>
    </row>
    <row r="3108">
      <c r="D3108" s="5"/>
      <c r="E3108" s="4"/>
      <c r="F3108" s="4"/>
      <c r="G3108" s="4"/>
      <c r="H3108" s="4"/>
    </row>
    <row r="3109">
      <c r="D3109" s="5"/>
      <c r="E3109" s="4"/>
      <c r="F3109" s="4"/>
      <c r="G3109" s="4"/>
      <c r="H3109" s="4"/>
    </row>
    <row r="3110">
      <c r="D3110" s="5"/>
      <c r="E3110" s="4"/>
      <c r="F3110" s="4"/>
      <c r="G3110" s="4"/>
      <c r="H3110" s="4"/>
    </row>
    <row r="3111">
      <c r="D3111" s="5"/>
      <c r="E3111" s="4"/>
      <c r="F3111" s="4"/>
      <c r="G3111" s="4"/>
      <c r="H3111" s="4"/>
    </row>
    <row r="3112">
      <c r="D3112" s="5"/>
      <c r="E3112" s="4"/>
      <c r="F3112" s="4"/>
      <c r="G3112" s="4"/>
      <c r="H3112" s="4"/>
    </row>
    <row r="3113">
      <c r="D3113" s="5"/>
      <c r="E3113" s="4"/>
      <c r="F3113" s="4"/>
      <c r="G3113" s="4"/>
      <c r="H3113" s="4"/>
    </row>
    <row r="3114">
      <c r="D3114" s="5"/>
      <c r="E3114" s="4"/>
      <c r="F3114" s="4"/>
      <c r="G3114" s="4"/>
      <c r="H3114" s="4"/>
    </row>
    <row r="3115">
      <c r="D3115" s="5"/>
      <c r="E3115" s="4"/>
      <c r="F3115" s="4"/>
      <c r="G3115" s="4"/>
      <c r="H3115" s="4"/>
    </row>
    <row r="3116">
      <c r="D3116" s="5"/>
      <c r="E3116" s="4"/>
      <c r="F3116" s="4"/>
      <c r="G3116" s="4"/>
      <c r="H3116" s="4"/>
    </row>
    <row r="3117">
      <c r="D3117" s="5"/>
      <c r="E3117" s="4"/>
      <c r="F3117" s="4"/>
      <c r="G3117" s="4"/>
      <c r="H3117" s="4"/>
    </row>
    <row r="3118">
      <c r="D3118" s="5"/>
      <c r="E3118" s="4"/>
      <c r="F3118" s="4"/>
      <c r="G3118" s="4"/>
      <c r="H3118" s="4"/>
    </row>
    <row r="3119">
      <c r="D3119" s="5"/>
      <c r="E3119" s="4"/>
      <c r="F3119" s="4"/>
      <c r="G3119" s="4"/>
      <c r="H3119" s="4"/>
    </row>
    <row r="3120">
      <c r="D3120" s="5"/>
      <c r="E3120" s="4"/>
      <c r="F3120" s="4"/>
      <c r="G3120" s="4"/>
      <c r="H3120" s="4"/>
    </row>
    <row r="3121">
      <c r="D3121" s="5"/>
      <c r="E3121" s="4"/>
      <c r="F3121" s="4"/>
      <c r="G3121" s="4"/>
      <c r="H3121" s="4"/>
    </row>
    <row r="3122">
      <c r="D3122" s="5"/>
      <c r="E3122" s="4"/>
      <c r="F3122" s="4"/>
      <c r="G3122" s="4"/>
      <c r="H3122" s="4"/>
    </row>
    <row r="3123">
      <c r="D3123" s="5"/>
      <c r="E3123" s="4"/>
      <c r="F3123" s="4"/>
      <c r="G3123" s="4"/>
      <c r="H3123" s="4"/>
    </row>
    <row r="3124">
      <c r="D3124" s="5"/>
      <c r="E3124" s="4"/>
      <c r="F3124" s="4"/>
      <c r="G3124" s="4"/>
      <c r="H3124" s="4"/>
    </row>
    <row r="3125">
      <c r="D3125" s="5"/>
      <c r="E3125" s="4"/>
      <c r="F3125" s="4"/>
      <c r="G3125" s="4"/>
      <c r="H3125" s="4"/>
    </row>
    <row r="3126">
      <c r="D3126" s="5"/>
      <c r="E3126" s="4"/>
      <c r="F3126" s="4"/>
      <c r="G3126" s="4"/>
      <c r="H3126" s="4"/>
    </row>
    <row r="3127">
      <c r="D3127" s="5"/>
      <c r="E3127" s="4"/>
      <c r="F3127" s="4"/>
      <c r="G3127" s="4"/>
      <c r="H3127" s="4"/>
    </row>
    <row r="3128">
      <c r="D3128" s="5"/>
      <c r="E3128" s="4"/>
      <c r="F3128" s="4"/>
      <c r="G3128" s="4"/>
      <c r="H3128" s="4"/>
    </row>
    <row r="3129">
      <c r="D3129" s="5"/>
      <c r="E3129" s="4"/>
      <c r="F3129" s="4"/>
      <c r="G3129" s="4"/>
      <c r="H3129" s="4"/>
    </row>
    <row r="3130">
      <c r="D3130" s="5"/>
      <c r="E3130" s="4"/>
      <c r="F3130" s="4"/>
      <c r="G3130" s="4"/>
      <c r="H3130" s="4"/>
    </row>
    <row r="3131">
      <c r="D3131" s="5"/>
      <c r="E3131" s="4"/>
      <c r="F3131" s="4"/>
      <c r="G3131" s="4"/>
      <c r="H3131" s="4"/>
    </row>
    <row r="3132">
      <c r="D3132" s="5"/>
      <c r="E3132" s="4"/>
      <c r="F3132" s="4"/>
      <c r="G3132" s="4"/>
      <c r="H3132" s="4"/>
    </row>
    <row r="3133">
      <c r="D3133" s="5"/>
      <c r="E3133" s="4"/>
      <c r="F3133" s="4"/>
      <c r="G3133" s="4"/>
      <c r="H3133" s="4"/>
    </row>
    <row r="3134">
      <c r="D3134" s="5"/>
      <c r="E3134" s="4"/>
      <c r="F3134" s="4"/>
      <c r="G3134" s="4"/>
      <c r="H3134" s="4"/>
    </row>
    <row r="3135">
      <c r="D3135" s="5"/>
      <c r="E3135" s="4"/>
      <c r="F3135" s="4"/>
      <c r="G3135" s="4"/>
      <c r="H3135" s="4"/>
    </row>
    <row r="3136">
      <c r="D3136" s="5"/>
      <c r="E3136" s="4"/>
      <c r="F3136" s="4"/>
      <c r="G3136" s="4"/>
      <c r="H3136" s="4"/>
    </row>
    <row r="3137">
      <c r="D3137" s="5"/>
      <c r="E3137" s="4"/>
      <c r="F3137" s="4"/>
      <c r="G3137" s="4"/>
      <c r="H3137" s="4"/>
    </row>
    <row r="3138">
      <c r="D3138" s="5"/>
      <c r="E3138" s="4"/>
      <c r="F3138" s="4"/>
      <c r="G3138" s="4"/>
      <c r="H3138" s="4"/>
    </row>
    <row r="3139">
      <c r="D3139" s="5"/>
      <c r="E3139" s="4"/>
      <c r="F3139" s="4"/>
      <c r="G3139" s="4"/>
      <c r="H3139" s="4"/>
    </row>
    <row r="3140">
      <c r="D3140" s="5"/>
      <c r="E3140" s="4"/>
      <c r="F3140" s="4"/>
      <c r="G3140" s="4"/>
      <c r="H3140" s="4"/>
    </row>
    <row r="3141">
      <c r="D3141" s="5"/>
      <c r="E3141" s="4"/>
      <c r="F3141" s="4"/>
      <c r="G3141" s="4"/>
      <c r="H3141" s="4"/>
    </row>
    <row r="3142">
      <c r="D3142" s="5"/>
      <c r="E3142" s="4"/>
      <c r="F3142" s="4"/>
      <c r="G3142" s="4"/>
      <c r="H3142" s="4"/>
    </row>
    <row r="3143">
      <c r="D3143" s="5"/>
      <c r="E3143" s="4"/>
      <c r="F3143" s="4"/>
      <c r="G3143" s="4"/>
      <c r="H3143" s="4"/>
    </row>
    <row r="3144">
      <c r="D3144" s="5"/>
      <c r="E3144" s="4"/>
      <c r="F3144" s="4"/>
      <c r="G3144" s="4"/>
      <c r="H3144" s="4"/>
    </row>
    <row r="3145">
      <c r="D3145" s="5"/>
      <c r="E3145" s="4"/>
      <c r="F3145" s="4"/>
      <c r="G3145" s="4"/>
      <c r="H3145" s="4"/>
    </row>
    <row r="3146">
      <c r="D3146" s="5"/>
      <c r="E3146" s="4"/>
      <c r="F3146" s="4"/>
      <c r="G3146" s="4"/>
      <c r="H3146" s="4"/>
    </row>
    <row r="3147">
      <c r="D3147" s="5"/>
      <c r="E3147" s="4"/>
      <c r="F3147" s="4"/>
      <c r="G3147" s="4"/>
      <c r="H3147" s="4"/>
    </row>
    <row r="3148">
      <c r="D3148" s="5"/>
      <c r="E3148" s="4"/>
      <c r="F3148" s="4"/>
      <c r="G3148" s="4"/>
      <c r="H3148" s="4"/>
    </row>
    <row r="3149">
      <c r="D3149" s="5"/>
      <c r="E3149" s="4"/>
      <c r="F3149" s="4"/>
      <c r="G3149" s="4"/>
      <c r="H3149" s="4"/>
    </row>
    <row r="3150">
      <c r="D3150" s="5"/>
      <c r="E3150" s="4"/>
      <c r="F3150" s="4"/>
      <c r="G3150" s="4"/>
      <c r="H3150" s="4"/>
    </row>
    <row r="3151">
      <c r="D3151" s="5"/>
      <c r="E3151" s="4"/>
      <c r="F3151" s="4"/>
      <c r="G3151" s="4"/>
      <c r="H3151" s="4"/>
    </row>
    <row r="3152">
      <c r="D3152" s="5"/>
      <c r="E3152" s="4"/>
      <c r="F3152" s="4"/>
      <c r="G3152" s="4"/>
      <c r="H3152" s="4"/>
    </row>
    <row r="3153">
      <c r="D3153" s="5"/>
      <c r="E3153" s="4"/>
      <c r="F3153" s="4"/>
      <c r="G3153" s="4"/>
      <c r="H3153" s="4"/>
    </row>
    <row r="3154">
      <c r="D3154" s="5"/>
      <c r="E3154" s="4"/>
      <c r="F3154" s="4"/>
      <c r="G3154" s="4"/>
      <c r="H3154" s="4"/>
    </row>
    <row r="3155">
      <c r="D3155" s="5"/>
      <c r="E3155" s="4"/>
      <c r="F3155" s="4"/>
      <c r="G3155" s="4"/>
      <c r="H3155" s="4"/>
    </row>
    <row r="3156">
      <c r="D3156" s="5"/>
      <c r="E3156" s="4"/>
      <c r="F3156" s="4"/>
      <c r="G3156" s="4"/>
      <c r="H3156" s="4"/>
    </row>
    <row r="3157">
      <c r="D3157" s="5"/>
      <c r="E3157" s="4"/>
      <c r="F3157" s="4"/>
      <c r="G3157" s="4"/>
      <c r="H3157" s="4"/>
    </row>
    <row r="3158">
      <c r="D3158" s="5"/>
      <c r="E3158" s="4"/>
      <c r="F3158" s="4"/>
      <c r="G3158" s="4"/>
      <c r="H3158" s="4"/>
    </row>
    <row r="3159">
      <c r="D3159" s="5"/>
      <c r="E3159" s="4"/>
      <c r="F3159" s="4"/>
      <c r="G3159" s="4"/>
      <c r="H3159" s="4"/>
    </row>
    <row r="3160">
      <c r="D3160" s="5"/>
      <c r="E3160" s="4"/>
      <c r="F3160" s="4"/>
      <c r="G3160" s="4"/>
      <c r="H3160" s="4"/>
    </row>
    <row r="3161">
      <c r="D3161" s="5"/>
      <c r="E3161" s="4"/>
      <c r="F3161" s="4"/>
      <c r="G3161" s="4"/>
      <c r="H3161" s="4"/>
    </row>
    <row r="3162">
      <c r="D3162" s="5"/>
      <c r="E3162" s="4"/>
      <c r="F3162" s="4"/>
      <c r="G3162" s="4"/>
      <c r="H3162" s="4"/>
    </row>
    <row r="3163">
      <c r="D3163" s="5"/>
      <c r="E3163" s="4"/>
      <c r="F3163" s="4"/>
      <c r="G3163" s="4"/>
      <c r="H3163" s="4"/>
    </row>
    <row r="3164">
      <c r="D3164" s="5"/>
      <c r="E3164" s="4"/>
      <c r="F3164" s="4"/>
      <c r="G3164" s="4"/>
      <c r="H3164" s="4"/>
    </row>
    <row r="3165">
      <c r="D3165" s="5"/>
      <c r="E3165" s="4"/>
      <c r="F3165" s="4"/>
      <c r="G3165" s="4"/>
      <c r="H3165" s="4"/>
    </row>
    <row r="3166">
      <c r="D3166" s="5"/>
      <c r="E3166" s="4"/>
      <c r="F3166" s="4"/>
      <c r="G3166" s="4"/>
      <c r="H3166" s="4"/>
    </row>
    <row r="3167">
      <c r="D3167" s="5"/>
      <c r="E3167" s="4"/>
      <c r="F3167" s="4"/>
      <c r="G3167" s="4"/>
      <c r="H3167" s="4"/>
    </row>
    <row r="3168">
      <c r="D3168" s="5"/>
      <c r="E3168" s="4"/>
      <c r="F3168" s="4"/>
      <c r="G3168" s="4"/>
      <c r="H3168" s="4"/>
    </row>
    <row r="3169">
      <c r="D3169" s="5"/>
      <c r="E3169" s="4"/>
      <c r="F3169" s="4"/>
      <c r="G3169" s="4"/>
      <c r="H3169" s="4"/>
    </row>
    <row r="3170">
      <c r="D3170" s="5"/>
      <c r="E3170" s="4"/>
      <c r="F3170" s="4"/>
      <c r="G3170" s="4"/>
      <c r="H3170" s="4"/>
    </row>
    <row r="3171">
      <c r="D3171" s="5"/>
      <c r="E3171" s="4"/>
      <c r="F3171" s="4"/>
      <c r="G3171" s="4"/>
      <c r="H3171" s="4"/>
    </row>
    <row r="3172">
      <c r="D3172" s="5"/>
      <c r="E3172" s="4"/>
      <c r="F3172" s="4"/>
      <c r="G3172" s="4"/>
      <c r="H3172" s="4"/>
    </row>
    <row r="3173">
      <c r="D3173" s="5"/>
      <c r="E3173" s="4"/>
      <c r="F3173" s="4"/>
      <c r="G3173" s="4"/>
      <c r="H3173" s="4"/>
    </row>
    <row r="3174">
      <c r="D3174" s="5"/>
      <c r="E3174" s="4"/>
      <c r="F3174" s="4"/>
      <c r="G3174" s="4"/>
      <c r="H3174" s="4"/>
    </row>
    <row r="3175">
      <c r="D3175" s="5"/>
      <c r="E3175" s="4"/>
      <c r="F3175" s="4"/>
      <c r="G3175" s="4"/>
      <c r="H3175" s="4"/>
    </row>
    <row r="3176">
      <c r="D3176" s="5"/>
      <c r="E3176" s="4"/>
      <c r="F3176" s="4"/>
      <c r="G3176" s="4"/>
      <c r="H3176" s="4"/>
    </row>
    <row r="3177">
      <c r="D3177" s="5"/>
      <c r="E3177" s="4"/>
      <c r="F3177" s="4"/>
      <c r="G3177" s="4"/>
      <c r="H3177" s="4"/>
    </row>
    <row r="3178">
      <c r="D3178" s="5"/>
      <c r="E3178" s="4"/>
      <c r="F3178" s="4"/>
      <c r="G3178" s="4"/>
      <c r="H3178" s="4"/>
    </row>
    <row r="3179">
      <c r="D3179" s="5"/>
      <c r="E3179" s="4"/>
      <c r="F3179" s="4"/>
      <c r="G3179" s="4"/>
      <c r="H3179" s="4"/>
    </row>
    <row r="3180">
      <c r="D3180" s="5"/>
      <c r="E3180" s="4"/>
      <c r="F3180" s="4"/>
      <c r="G3180" s="4"/>
      <c r="H3180" s="4"/>
    </row>
    <row r="3181">
      <c r="D3181" s="5"/>
      <c r="E3181" s="4"/>
      <c r="F3181" s="4"/>
      <c r="G3181" s="4"/>
      <c r="H3181" s="4"/>
    </row>
    <row r="3182">
      <c r="D3182" s="5"/>
      <c r="E3182" s="4"/>
      <c r="F3182" s="4"/>
      <c r="G3182" s="4"/>
      <c r="H3182" s="4"/>
    </row>
    <row r="3183">
      <c r="D3183" s="5"/>
      <c r="E3183" s="4"/>
      <c r="F3183" s="4"/>
      <c r="G3183" s="4"/>
      <c r="H3183" s="4"/>
    </row>
    <row r="3184">
      <c r="D3184" s="5"/>
      <c r="E3184" s="4"/>
      <c r="F3184" s="4"/>
      <c r="G3184" s="4"/>
      <c r="H3184" s="4"/>
    </row>
    <row r="3185">
      <c r="D3185" s="5"/>
      <c r="E3185" s="4"/>
      <c r="F3185" s="4"/>
      <c r="G3185" s="4"/>
      <c r="H3185" s="4"/>
    </row>
    <row r="3186">
      <c r="D3186" s="5"/>
      <c r="E3186" s="4"/>
      <c r="F3186" s="4"/>
      <c r="G3186" s="4"/>
      <c r="H3186" s="4"/>
    </row>
    <row r="3187">
      <c r="D3187" s="5"/>
      <c r="E3187" s="4"/>
      <c r="F3187" s="4"/>
      <c r="G3187" s="4"/>
      <c r="H3187" s="4"/>
    </row>
    <row r="3188">
      <c r="D3188" s="5"/>
      <c r="E3188" s="4"/>
      <c r="F3188" s="4"/>
      <c r="G3188" s="4"/>
      <c r="H3188" s="4"/>
    </row>
    <row r="3189">
      <c r="D3189" s="5"/>
      <c r="E3189" s="4"/>
      <c r="F3189" s="4"/>
      <c r="G3189" s="4"/>
      <c r="H3189" s="4"/>
    </row>
    <row r="3190">
      <c r="D3190" s="5"/>
      <c r="E3190" s="4"/>
      <c r="F3190" s="4"/>
      <c r="G3190" s="4"/>
      <c r="H3190" s="4"/>
    </row>
    <row r="3191">
      <c r="D3191" s="5"/>
      <c r="E3191" s="4"/>
      <c r="F3191" s="4"/>
      <c r="G3191" s="4"/>
      <c r="H3191" s="4"/>
    </row>
    <row r="3192">
      <c r="D3192" s="5"/>
      <c r="E3192" s="4"/>
      <c r="F3192" s="4"/>
      <c r="G3192" s="4"/>
      <c r="H3192" s="4"/>
    </row>
    <row r="3193">
      <c r="D3193" s="5"/>
      <c r="E3193" s="4"/>
      <c r="F3193" s="4"/>
      <c r="G3193" s="4"/>
      <c r="H3193" s="4"/>
    </row>
    <row r="3194">
      <c r="D3194" s="5"/>
      <c r="E3194" s="4"/>
      <c r="F3194" s="4"/>
      <c r="G3194" s="4"/>
      <c r="H3194" s="4"/>
    </row>
    <row r="3195">
      <c r="D3195" s="5"/>
      <c r="E3195" s="4"/>
      <c r="F3195" s="4"/>
      <c r="G3195" s="4"/>
      <c r="H3195" s="4"/>
    </row>
    <row r="3196">
      <c r="D3196" s="5"/>
      <c r="E3196" s="4"/>
      <c r="F3196" s="4"/>
      <c r="G3196" s="4"/>
      <c r="H3196" s="4"/>
    </row>
    <row r="3197">
      <c r="D3197" s="5"/>
      <c r="E3197" s="4"/>
      <c r="F3197" s="4"/>
      <c r="G3197" s="4"/>
      <c r="H3197" s="4"/>
    </row>
    <row r="3198">
      <c r="D3198" s="5"/>
      <c r="E3198" s="4"/>
      <c r="F3198" s="4"/>
      <c r="G3198" s="4"/>
      <c r="H3198" s="4"/>
    </row>
    <row r="3199">
      <c r="D3199" s="5"/>
      <c r="E3199" s="4"/>
      <c r="F3199" s="4"/>
      <c r="G3199" s="4"/>
      <c r="H3199" s="4"/>
    </row>
    <row r="3200">
      <c r="D3200" s="5"/>
      <c r="E3200" s="4"/>
      <c r="F3200" s="4"/>
      <c r="G3200" s="4"/>
      <c r="H3200" s="4"/>
    </row>
    <row r="3201">
      <c r="D3201" s="5"/>
      <c r="E3201" s="4"/>
      <c r="F3201" s="4"/>
      <c r="G3201" s="4"/>
      <c r="H3201" s="4"/>
    </row>
    <row r="3202">
      <c r="D3202" s="5"/>
      <c r="E3202" s="4"/>
      <c r="F3202" s="4"/>
      <c r="G3202" s="4"/>
      <c r="H3202" s="4"/>
    </row>
    <row r="3203">
      <c r="D3203" s="5"/>
      <c r="E3203" s="4"/>
      <c r="F3203" s="4"/>
      <c r="G3203" s="4"/>
      <c r="H3203" s="4"/>
    </row>
    <row r="3204">
      <c r="D3204" s="5"/>
      <c r="E3204" s="4"/>
      <c r="F3204" s="4"/>
      <c r="G3204" s="4"/>
      <c r="H3204" s="4"/>
    </row>
    <row r="3205">
      <c r="D3205" s="5"/>
      <c r="E3205" s="4"/>
      <c r="F3205" s="4"/>
      <c r="G3205" s="4"/>
      <c r="H3205" s="4"/>
    </row>
    <row r="3206">
      <c r="D3206" s="5"/>
      <c r="E3206" s="4"/>
      <c r="F3206" s="4"/>
      <c r="G3206" s="4"/>
      <c r="H3206" s="4"/>
    </row>
    <row r="3207">
      <c r="D3207" s="5"/>
      <c r="E3207" s="4"/>
      <c r="F3207" s="4"/>
      <c r="G3207" s="4"/>
      <c r="H3207" s="4"/>
    </row>
    <row r="3208">
      <c r="D3208" s="5"/>
      <c r="E3208" s="4"/>
      <c r="F3208" s="4"/>
      <c r="G3208" s="4"/>
      <c r="H3208" s="4"/>
    </row>
    <row r="3209">
      <c r="D3209" s="5"/>
      <c r="E3209" s="4"/>
      <c r="F3209" s="4"/>
      <c r="G3209" s="4"/>
      <c r="H3209" s="4"/>
    </row>
    <row r="3210">
      <c r="D3210" s="5"/>
      <c r="E3210" s="4"/>
      <c r="F3210" s="4"/>
      <c r="G3210" s="4"/>
      <c r="H3210" s="4"/>
    </row>
    <row r="3211">
      <c r="D3211" s="5"/>
      <c r="E3211" s="4"/>
      <c r="F3211" s="4"/>
      <c r="G3211" s="4"/>
      <c r="H3211" s="4"/>
    </row>
    <row r="3212">
      <c r="D3212" s="5"/>
      <c r="E3212" s="4"/>
      <c r="F3212" s="4"/>
      <c r="G3212" s="4"/>
      <c r="H3212" s="4"/>
    </row>
    <row r="3213">
      <c r="D3213" s="5"/>
      <c r="E3213" s="4"/>
      <c r="F3213" s="4"/>
      <c r="G3213" s="4"/>
      <c r="H3213" s="4"/>
    </row>
    <row r="3214">
      <c r="D3214" s="5"/>
      <c r="E3214" s="4"/>
      <c r="F3214" s="4"/>
      <c r="G3214" s="4"/>
      <c r="H3214" s="4"/>
    </row>
    <row r="3215">
      <c r="D3215" s="5"/>
      <c r="E3215" s="4"/>
      <c r="F3215" s="4"/>
      <c r="G3215" s="4"/>
      <c r="H3215" s="4"/>
    </row>
    <row r="3216">
      <c r="D3216" s="5"/>
      <c r="E3216" s="4"/>
      <c r="F3216" s="4"/>
      <c r="G3216" s="4"/>
      <c r="H3216" s="4"/>
    </row>
    <row r="3217">
      <c r="D3217" s="5"/>
      <c r="E3217" s="4"/>
      <c r="F3217" s="4"/>
      <c r="G3217" s="4"/>
      <c r="H3217" s="4"/>
    </row>
    <row r="3218">
      <c r="D3218" s="5"/>
      <c r="E3218" s="4"/>
      <c r="F3218" s="4"/>
      <c r="G3218" s="4"/>
      <c r="H3218" s="4"/>
    </row>
    <row r="3219">
      <c r="D3219" s="5"/>
      <c r="E3219" s="4"/>
      <c r="F3219" s="4"/>
      <c r="G3219" s="4"/>
      <c r="H3219" s="4"/>
    </row>
    <row r="3220">
      <c r="D3220" s="5"/>
      <c r="E3220" s="4"/>
      <c r="F3220" s="4"/>
      <c r="G3220" s="4"/>
      <c r="H3220" s="4"/>
    </row>
    <row r="3221">
      <c r="D3221" s="5"/>
      <c r="E3221" s="4"/>
      <c r="F3221" s="4"/>
      <c r="G3221" s="4"/>
      <c r="H3221" s="4"/>
    </row>
    <row r="3222">
      <c r="D3222" s="5"/>
      <c r="E3222" s="4"/>
      <c r="F3222" s="4"/>
      <c r="G3222" s="4"/>
      <c r="H3222" s="4"/>
    </row>
    <row r="3223">
      <c r="D3223" s="5"/>
      <c r="E3223" s="4"/>
      <c r="F3223" s="4"/>
      <c r="G3223" s="4"/>
      <c r="H3223" s="4"/>
    </row>
    <row r="3224">
      <c r="D3224" s="5"/>
      <c r="E3224" s="4"/>
      <c r="F3224" s="4"/>
      <c r="G3224" s="4"/>
      <c r="H3224" s="4"/>
    </row>
    <row r="3225">
      <c r="D3225" s="5"/>
      <c r="E3225" s="4"/>
      <c r="F3225" s="4"/>
      <c r="G3225" s="4"/>
      <c r="H3225" s="4"/>
    </row>
    <row r="3226">
      <c r="D3226" s="5"/>
      <c r="E3226" s="4"/>
      <c r="F3226" s="4"/>
      <c r="G3226" s="4"/>
      <c r="H3226" s="4"/>
    </row>
    <row r="3227">
      <c r="D3227" s="5"/>
      <c r="E3227" s="4"/>
      <c r="F3227" s="4"/>
      <c r="G3227" s="4"/>
      <c r="H3227" s="4"/>
    </row>
    <row r="3228">
      <c r="D3228" s="5"/>
      <c r="E3228" s="4"/>
      <c r="F3228" s="4"/>
      <c r="G3228" s="4"/>
      <c r="H3228" s="4"/>
    </row>
    <row r="3229">
      <c r="D3229" s="5"/>
      <c r="E3229" s="4"/>
      <c r="F3229" s="4"/>
      <c r="G3229" s="4"/>
      <c r="H3229" s="4"/>
    </row>
    <row r="3230">
      <c r="D3230" s="5"/>
      <c r="E3230" s="4"/>
      <c r="F3230" s="4"/>
      <c r="G3230" s="4"/>
      <c r="H3230" s="4"/>
    </row>
    <row r="3231">
      <c r="D3231" s="5"/>
      <c r="E3231" s="4"/>
      <c r="F3231" s="4"/>
      <c r="G3231" s="4"/>
      <c r="H3231" s="4"/>
    </row>
    <row r="3232">
      <c r="D3232" s="5"/>
      <c r="E3232" s="4"/>
      <c r="F3232" s="4"/>
      <c r="G3232" s="4"/>
      <c r="H3232" s="4"/>
    </row>
    <row r="3233">
      <c r="D3233" s="5"/>
      <c r="E3233" s="4"/>
      <c r="F3233" s="4"/>
      <c r="G3233" s="4"/>
      <c r="H3233" s="4"/>
    </row>
    <row r="3234">
      <c r="D3234" s="5"/>
      <c r="E3234" s="4"/>
      <c r="F3234" s="4"/>
      <c r="G3234" s="4"/>
      <c r="H3234" s="4"/>
    </row>
    <row r="3235">
      <c r="D3235" s="5"/>
      <c r="E3235" s="4"/>
      <c r="F3235" s="4"/>
      <c r="G3235" s="4"/>
      <c r="H3235" s="4"/>
    </row>
    <row r="3236">
      <c r="D3236" s="5"/>
      <c r="E3236" s="4"/>
      <c r="F3236" s="4"/>
      <c r="G3236" s="4"/>
      <c r="H3236" s="4"/>
    </row>
    <row r="3237">
      <c r="D3237" s="5"/>
      <c r="E3237" s="4"/>
      <c r="F3237" s="4"/>
      <c r="G3237" s="4"/>
      <c r="H3237" s="4"/>
    </row>
    <row r="3238">
      <c r="D3238" s="5"/>
      <c r="E3238" s="4"/>
      <c r="F3238" s="4"/>
      <c r="G3238" s="4"/>
      <c r="H3238" s="4"/>
    </row>
    <row r="3239">
      <c r="D3239" s="5"/>
      <c r="E3239" s="4"/>
      <c r="F3239" s="4"/>
      <c r="G3239" s="4"/>
      <c r="H3239" s="4"/>
    </row>
    <row r="3240">
      <c r="D3240" s="5"/>
      <c r="E3240" s="4"/>
      <c r="F3240" s="4"/>
      <c r="G3240" s="4"/>
      <c r="H3240" s="4"/>
    </row>
    <row r="3241">
      <c r="D3241" s="5"/>
      <c r="E3241" s="4"/>
      <c r="F3241" s="4"/>
      <c r="G3241" s="4"/>
      <c r="H3241" s="4"/>
    </row>
    <row r="3242">
      <c r="D3242" s="5"/>
      <c r="E3242" s="4"/>
      <c r="F3242" s="4"/>
      <c r="G3242" s="4"/>
      <c r="H3242" s="4"/>
    </row>
    <row r="3243">
      <c r="D3243" s="5"/>
      <c r="E3243" s="4"/>
      <c r="F3243" s="4"/>
      <c r="G3243" s="4"/>
      <c r="H3243" s="4"/>
    </row>
    <row r="3244">
      <c r="D3244" s="5"/>
      <c r="E3244" s="4"/>
      <c r="F3244" s="4"/>
      <c r="G3244" s="4"/>
      <c r="H3244" s="4"/>
    </row>
    <row r="3245">
      <c r="D3245" s="5"/>
      <c r="E3245" s="4"/>
      <c r="F3245" s="4"/>
      <c r="G3245" s="4"/>
      <c r="H3245" s="4"/>
    </row>
    <row r="3246">
      <c r="D3246" s="5"/>
      <c r="E3246" s="4"/>
      <c r="F3246" s="4"/>
      <c r="G3246" s="4"/>
      <c r="H3246" s="4"/>
    </row>
    <row r="3247">
      <c r="D3247" s="5"/>
      <c r="E3247" s="4"/>
      <c r="F3247" s="4"/>
      <c r="G3247" s="4"/>
      <c r="H3247" s="4"/>
    </row>
    <row r="3248">
      <c r="D3248" s="5"/>
      <c r="E3248" s="4"/>
      <c r="F3248" s="4"/>
      <c r="G3248" s="4"/>
      <c r="H3248" s="4"/>
    </row>
    <row r="3249">
      <c r="D3249" s="5"/>
      <c r="E3249" s="4"/>
      <c r="F3249" s="4"/>
      <c r="G3249" s="4"/>
      <c r="H3249" s="4"/>
    </row>
    <row r="3250">
      <c r="D3250" s="5"/>
      <c r="E3250" s="4"/>
      <c r="F3250" s="4"/>
      <c r="G3250" s="4"/>
      <c r="H3250" s="4"/>
    </row>
    <row r="3251">
      <c r="D3251" s="5"/>
      <c r="E3251" s="4"/>
      <c r="F3251" s="4"/>
      <c r="G3251" s="4"/>
      <c r="H3251" s="4"/>
    </row>
    <row r="3252">
      <c r="D3252" s="5"/>
      <c r="E3252" s="4"/>
      <c r="F3252" s="4"/>
      <c r="G3252" s="4"/>
      <c r="H3252" s="4"/>
    </row>
    <row r="3253">
      <c r="D3253" s="5"/>
      <c r="E3253" s="4"/>
      <c r="F3253" s="4"/>
      <c r="G3253" s="4"/>
      <c r="H3253" s="4"/>
    </row>
    <row r="3254">
      <c r="D3254" s="5"/>
      <c r="E3254" s="4"/>
      <c r="F3254" s="4"/>
      <c r="G3254" s="4"/>
      <c r="H3254" s="4"/>
    </row>
    <row r="3255">
      <c r="D3255" s="5"/>
      <c r="E3255" s="4"/>
      <c r="F3255" s="4"/>
      <c r="G3255" s="4"/>
      <c r="H3255" s="4"/>
    </row>
    <row r="3256">
      <c r="D3256" s="5"/>
      <c r="E3256" s="4"/>
      <c r="F3256" s="4"/>
      <c r="G3256" s="4"/>
      <c r="H3256" s="4"/>
    </row>
    <row r="3257">
      <c r="D3257" s="5"/>
      <c r="E3257" s="4"/>
      <c r="F3257" s="4"/>
      <c r="G3257" s="4"/>
      <c r="H3257" s="4"/>
    </row>
    <row r="3258">
      <c r="D3258" s="5"/>
      <c r="E3258" s="4"/>
      <c r="F3258" s="4"/>
      <c r="G3258" s="4"/>
      <c r="H3258" s="4"/>
    </row>
    <row r="3259">
      <c r="D3259" s="5"/>
      <c r="E3259" s="4"/>
      <c r="F3259" s="4"/>
      <c r="G3259" s="4"/>
      <c r="H3259" s="4"/>
    </row>
    <row r="3260">
      <c r="D3260" s="5"/>
      <c r="E3260" s="4"/>
      <c r="F3260" s="4"/>
      <c r="G3260" s="4"/>
      <c r="H3260" s="4"/>
    </row>
    <row r="3261">
      <c r="D3261" s="5"/>
      <c r="E3261" s="4"/>
      <c r="F3261" s="4"/>
      <c r="G3261" s="4"/>
      <c r="H3261" s="4"/>
    </row>
    <row r="3262">
      <c r="D3262" s="5"/>
      <c r="E3262" s="4"/>
      <c r="F3262" s="4"/>
      <c r="G3262" s="4"/>
      <c r="H3262" s="4"/>
    </row>
    <row r="3263">
      <c r="D3263" s="5"/>
      <c r="E3263" s="4"/>
      <c r="F3263" s="4"/>
      <c r="G3263" s="4"/>
      <c r="H3263" s="4"/>
    </row>
    <row r="3264">
      <c r="D3264" s="5"/>
      <c r="E3264" s="4"/>
      <c r="F3264" s="4"/>
      <c r="G3264" s="4"/>
      <c r="H3264" s="4"/>
    </row>
    <row r="3265">
      <c r="D3265" s="5"/>
      <c r="E3265" s="4"/>
      <c r="F3265" s="4"/>
      <c r="G3265" s="4"/>
      <c r="H3265" s="4"/>
    </row>
    <row r="3266">
      <c r="D3266" s="5"/>
      <c r="E3266" s="4"/>
      <c r="F3266" s="4"/>
      <c r="G3266" s="4"/>
      <c r="H3266" s="4"/>
    </row>
    <row r="3267">
      <c r="D3267" s="5"/>
      <c r="E3267" s="4"/>
      <c r="F3267" s="4"/>
      <c r="G3267" s="4"/>
      <c r="H3267" s="4"/>
    </row>
    <row r="3268">
      <c r="D3268" s="5"/>
      <c r="E3268" s="4"/>
      <c r="F3268" s="4"/>
      <c r="G3268" s="4"/>
      <c r="H3268" s="4"/>
    </row>
    <row r="3269">
      <c r="D3269" s="5"/>
      <c r="E3269" s="4"/>
      <c r="F3269" s="4"/>
      <c r="G3269" s="4"/>
      <c r="H3269" s="4"/>
    </row>
    <row r="3270">
      <c r="D3270" s="5"/>
      <c r="E3270" s="4"/>
      <c r="F3270" s="4"/>
      <c r="G3270" s="4"/>
      <c r="H3270" s="4"/>
    </row>
    <row r="3271">
      <c r="D3271" s="5"/>
      <c r="E3271" s="4"/>
      <c r="F3271" s="4"/>
      <c r="G3271" s="4"/>
      <c r="H3271" s="4"/>
    </row>
    <row r="3272">
      <c r="D3272" s="5"/>
      <c r="E3272" s="4"/>
      <c r="F3272" s="4"/>
      <c r="G3272" s="4"/>
      <c r="H3272" s="4"/>
    </row>
    <row r="3273">
      <c r="D3273" s="5"/>
      <c r="E3273" s="4"/>
      <c r="F3273" s="4"/>
      <c r="G3273" s="4"/>
      <c r="H3273" s="4"/>
    </row>
    <row r="3274">
      <c r="D3274" s="5"/>
      <c r="E3274" s="4"/>
      <c r="F3274" s="4"/>
      <c r="G3274" s="4"/>
      <c r="H3274" s="4"/>
    </row>
    <row r="3275">
      <c r="D3275" s="5"/>
      <c r="E3275" s="4"/>
      <c r="F3275" s="4"/>
      <c r="G3275" s="4"/>
      <c r="H3275" s="4"/>
    </row>
    <row r="3276">
      <c r="D3276" s="5"/>
      <c r="E3276" s="4"/>
      <c r="F3276" s="4"/>
      <c r="G3276" s="4"/>
      <c r="H3276" s="4"/>
    </row>
    <row r="3277">
      <c r="D3277" s="5"/>
      <c r="E3277" s="4"/>
      <c r="F3277" s="4"/>
      <c r="G3277" s="4"/>
      <c r="H3277" s="4"/>
    </row>
    <row r="3278">
      <c r="D3278" s="5"/>
      <c r="E3278" s="4"/>
      <c r="F3278" s="4"/>
      <c r="G3278" s="4"/>
      <c r="H3278" s="4"/>
    </row>
    <row r="3279">
      <c r="D3279" s="5"/>
      <c r="E3279" s="4"/>
      <c r="F3279" s="4"/>
      <c r="G3279" s="4"/>
      <c r="H3279" s="4"/>
    </row>
    <row r="3280">
      <c r="D3280" s="5"/>
      <c r="E3280" s="4"/>
      <c r="F3280" s="4"/>
      <c r="G3280" s="4"/>
      <c r="H3280" s="4"/>
    </row>
    <row r="3281">
      <c r="D3281" s="5"/>
      <c r="E3281" s="4"/>
      <c r="F3281" s="4"/>
      <c r="G3281" s="4"/>
      <c r="H3281" s="4"/>
    </row>
    <row r="3282">
      <c r="D3282" s="5"/>
      <c r="E3282" s="4"/>
      <c r="F3282" s="4"/>
      <c r="G3282" s="4"/>
      <c r="H3282" s="4"/>
    </row>
    <row r="3283">
      <c r="D3283" s="5"/>
      <c r="E3283" s="4"/>
      <c r="F3283" s="4"/>
      <c r="G3283" s="4"/>
      <c r="H3283" s="4"/>
    </row>
    <row r="3284">
      <c r="D3284" s="5"/>
      <c r="E3284" s="4"/>
      <c r="F3284" s="4"/>
      <c r="G3284" s="4"/>
      <c r="H3284" s="4"/>
    </row>
    <row r="3285">
      <c r="D3285" s="5"/>
      <c r="E3285" s="4"/>
      <c r="F3285" s="4"/>
      <c r="G3285" s="4"/>
      <c r="H3285" s="4"/>
    </row>
    <row r="3286">
      <c r="D3286" s="5"/>
      <c r="E3286" s="4"/>
      <c r="F3286" s="4"/>
      <c r="G3286" s="4"/>
      <c r="H3286" s="4"/>
    </row>
    <row r="3287">
      <c r="D3287" s="5"/>
      <c r="E3287" s="4"/>
      <c r="F3287" s="4"/>
      <c r="G3287" s="4"/>
      <c r="H3287" s="4"/>
    </row>
    <row r="3288">
      <c r="D3288" s="5"/>
      <c r="E3288" s="4"/>
      <c r="F3288" s="4"/>
      <c r="G3288" s="4"/>
      <c r="H3288" s="4"/>
    </row>
    <row r="3289">
      <c r="D3289" s="5"/>
      <c r="E3289" s="4"/>
      <c r="F3289" s="4"/>
      <c r="G3289" s="4"/>
      <c r="H3289" s="4"/>
    </row>
    <row r="3290">
      <c r="D3290" s="5"/>
      <c r="E3290" s="4"/>
      <c r="F3290" s="4"/>
      <c r="G3290" s="4"/>
      <c r="H3290" s="4"/>
    </row>
    <row r="3291">
      <c r="D3291" s="5"/>
      <c r="E3291" s="4"/>
      <c r="F3291" s="4"/>
      <c r="G3291" s="4"/>
      <c r="H3291" s="4"/>
    </row>
    <row r="3292">
      <c r="D3292" s="5"/>
      <c r="E3292" s="4"/>
      <c r="F3292" s="4"/>
      <c r="G3292" s="4"/>
      <c r="H3292" s="4"/>
    </row>
    <row r="3293">
      <c r="D3293" s="5"/>
      <c r="E3293" s="4"/>
      <c r="F3293" s="4"/>
      <c r="G3293" s="4"/>
      <c r="H3293" s="4"/>
    </row>
    <row r="3294">
      <c r="D3294" s="5"/>
      <c r="E3294" s="4"/>
      <c r="F3294" s="4"/>
      <c r="G3294" s="4"/>
      <c r="H3294" s="4"/>
    </row>
    <row r="3295">
      <c r="D3295" s="5"/>
      <c r="E3295" s="4"/>
      <c r="F3295" s="4"/>
      <c r="G3295" s="4"/>
      <c r="H3295" s="4"/>
    </row>
    <row r="3296">
      <c r="D3296" s="5"/>
      <c r="E3296" s="4"/>
      <c r="F3296" s="4"/>
      <c r="G3296" s="4"/>
      <c r="H3296" s="4"/>
    </row>
    <row r="3297">
      <c r="D3297" s="5"/>
      <c r="E3297" s="4"/>
      <c r="F3297" s="4"/>
      <c r="G3297" s="4"/>
      <c r="H3297" s="4"/>
    </row>
    <row r="3298">
      <c r="D3298" s="5"/>
      <c r="E3298" s="4"/>
      <c r="F3298" s="4"/>
      <c r="G3298" s="4"/>
      <c r="H3298" s="4"/>
    </row>
    <row r="3299">
      <c r="D3299" s="5"/>
      <c r="E3299" s="4"/>
      <c r="F3299" s="4"/>
      <c r="G3299" s="4"/>
      <c r="H3299" s="4"/>
    </row>
    <row r="3300">
      <c r="D3300" s="5"/>
      <c r="E3300" s="4"/>
      <c r="F3300" s="4"/>
      <c r="G3300" s="4"/>
      <c r="H3300" s="4"/>
    </row>
    <row r="3301">
      <c r="D3301" s="5"/>
      <c r="E3301" s="4"/>
      <c r="F3301" s="4"/>
      <c r="G3301" s="4"/>
      <c r="H3301" s="4"/>
    </row>
    <row r="3302">
      <c r="D3302" s="5"/>
      <c r="E3302" s="4"/>
      <c r="F3302" s="4"/>
      <c r="G3302" s="4"/>
      <c r="H3302" s="4"/>
    </row>
    <row r="3303">
      <c r="D3303" s="5"/>
      <c r="E3303" s="4"/>
      <c r="F3303" s="4"/>
      <c r="G3303" s="4"/>
      <c r="H3303" s="4"/>
    </row>
    <row r="3304">
      <c r="D3304" s="5"/>
      <c r="E3304" s="4"/>
      <c r="F3304" s="4"/>
      <c r="G3304" s="4"/>
      <c r="H3304" s="4"/>
    </row>
    <row r="3305">
      <c r="D3305" s="5"/>
      <c r="E3305" s="4"/>
      <c r="F3305" s="4"/>
      <c r="G3305" s="4"/>
      <c r="H3305" s="4"/>
    </row>
    <row r="3306">
      <c r="D3306" s="5"/>
      <c r="E3306" s="4"/>
      <c r="F3306" s="4"/>
      <c r="G3306" s="4"/>
      <c r="H3306" s="4"/>
    </row>
    <row r="3307">
      <c r="D3307" s="5"/>
      <c r="E3307" s="4"/>
      <c r="F3307" s="4"/>
      <c r="G3307" s="4"/>
      <c r="H3307" s="4"/>
    </row>
    <row r="3308">
      <c r="D3308" s="5"/>
      <c r="E3308" s="4"/>
      <c r="F3308" s="4"/>
      <c r="G3308" s="4"/>
      <c r="H3308" s="4"/>
    </row>
    <row r="3309">
      <c r="D3309" s="5"/>
      <c r="E3309" s="4"/>
      <c r="F3309" s="4"/>
      <c r="G3309" s="4"/>
      <c r="H3309" s="4"/>
    </row>
    <row r="3310">
      <c r="D3310" s="5"/>
      <c r="E3310" s="4"/>
      <c r="F3310" s="4"/>
      <c r="G3310" s="4"/>
      <c r="H3310" s="4"/>
    </row>
    <row r="3311">
      <c r="D3311" s="5"/>
      <c r="E3311" s="4"/>
      <c r="F3311" s="4"/>
      <c r="G3311" s="4"/>
      <c r="H3311" s="4"/>
    </row>
    <row r="3312">
      <c r="D3312" s="5"/>
      <c r="E3312" s="4"/>
      <c r="F3312" s="4"/>
      <c r="G3312" s="4"/>
      <c r="H3312" s="4"/>
    </row>
    <row r="3313">
      <c r="D3313" s="5"/>
      <c r="E3313" s="4"/>
      <c r="F3313" s="4"/>
      <c r="G3313" s="4"/>
      <c r="H3313" s="4"/>
    </row>
    <row r="3314">
      <c r="D3314" s="5"/>
      <c r="E3314" s="4"/>
      <c r="F3314" s="4"/>
      <c r="G3314" s="4"/>
      <c r="H3314" s="4"/>
    </row>
    <row r="3315">
      <c r="D3315" s="5"/>
      <c r="E3315" s="4"/>
      <c r="F3315" s="4"/>
      <c r="G3315" s="4"/>
      <c r="H3315" s="4"/>
    </row>
    <row r="3316">
      <c r="D3316" s="5"/>
      <c r="E3316" s="4"/>
      <c r="F3316" s="4"/>
      <c r="G3316" s="4"/>
      <c r="H3316" s="4"/>
    </row>
    <row r="3317">
      <c r="D3317" s="5"/>
      <c r="E3317" s="4"/>
      <c r="F3317" s="4"/>
      <c r="G3317" s="4"/>
      <c r="H3317" s="4"/>
    </row>
    <row r="3318">
      <c r="D3318" s="5"/>
      <c r="E3318" s="4"/>
      <c r="F3318" s="4"/>
      <c r="G3318" s="4"/>
      <c r="H3318" s="4"/>
    </row>
    <row r="3319">
      <c r="D3319" s="5"/>
      <c r="E3319" s="4"/>
      <c r="F3319" s="4"/>
      <c r="G3319" s="4"/>
      <c r="H3319" s="4"/>
    </row>
    <row r="3320">
      <c r="D3320" s="5"/>
      <c r="E3320" s="4"/>
      <c r="F3320" s="4"/>
      <c r="G3320" s="4"/>
      <c r="H3320" s="4"/>
    </row>
    <row r="3321">
      <c r="D3321" s="5"/>
      <c r="E3321" s="4"/>
      <c r="F3321" s="4"/>
      <c r="G3321" s="4"/>
      <c r="H3321" s="4"/>
    </row>
    <row r="3322">
      <c r="D3322" s="5"/>
      <c r="E3322" s="4"/>
      <c r="F3322" s="4"/>
      <c r="G3322" s="4"/>
      <c r="H3322" s="4"/>
    </row>
    <row r="3323">
      <c r="D3323" s="5"/>
      <c r="E3323" s="4"/>
      <c r="F3323" s="4"/>
      <c r="G3323" s="4"/>
      <c r="H3323" s="4"/>
    </row>
    <row r="3324">
      <c r="D3324" s="5"/>
      <c r="E3324" s="4"/>
      <c r="F3324" s="4"/>
      <c r="G3324" s="4"/>
      <c r="H3324" s="4"/>
    </row>
    <row r="3325">
      <c r="D3325" s="5"/>
      <c r="E3325" s="4"/>
      <c r="F3325" s="4"/>
      <c r="G3325" s="4"/>
      <c r="H3325" s="4"/>
    </row>
    <row r="3326">
      <c r="D3326" s="5"/>
      <c r="E3326" s="4"/>
      <c r="F3326" s="4"/>
      <c r="G3326" s="4"/>
      <c r="H3326" s="4"/>
    </row>
    <row r="3327">
      <c r="D3327" s="5"/>
      <c r="E3327" s="4"/>
      <c r="F3327" s="4"/>
      <c r="G3327" s="4"/>
      <c r="H3327" s="4"/>
    </row>
    <row r="3328">
      <c r="D3328" s="5"/>
      <c r="E3328" s="4"/>
      <c r="F3328" s="4"/>
      <c r="G3328" s="4"/>
      <c r="H3328" s="4"/>
    </row>
    <row r="3329">
      <c r="D3329" s="5"/>
      <c r="E3329" s="4"/>
      <c r="F3329" s="4"/>
      <c r="G3329" s="4"/>
      <c r="H3329" s="4"/>
    </row>
    <row r="3330">
      <c r="D3330" s="5"/>
      <c r="E3330" s="4"/>
      <c r="F3330" s="4"/>
      <c r="G3330" s="4"/>
      <c r="H3330" s="4"/>
    </row>
    <row r="3331">
      <c r="D3331" s="5"/>
      <c r="E3331" s="4"/>
      <c r="F3331" s="4"/>
      <c r="G3331" s="4"/>
      <c r="H3331" s="4"/>
    </row>
    <row r="3332">
      <c r="D3332" s="5"/>
      <c r="E3332" s="4"/>
      <c r="F3332" s="4"/>
      <c r="G3332" s="4"/>
      <c r="H3332" s="4"/>
    </row>
    <row r="3333">
      <c r="D3333" s="5"/>
      <c r="E3333" s="4"/>
      <c r="F3333" s="4"/>
      <c r="G3333" s="4"/>
      <c r="H3333" s="4"/>
    </row>
    <row r="3334">
      <c r="D3334" s="5"/>
      <c r="E3334" s="4"/>
      <c r="F3334" s="4"/>
      <c r="G3334" s="4"/>
      <c r="H3334" s="4"/>
    </row>
    <row r="3335">
      <c r="D3335" s="5"/>
      <c r="E3335" s="4"/>
      <c r="F3335" s="4"/>
      <c r="G3335" s="4"/>
      <c r="H3335" s="4"/>
    </row>
    <row r="3336">
      <c r="D3336" s="5"/>
      <c r="E3336" s="4"/>
      <c r="F3336" s="4"/>
      <c r="G3336" s="4"/>
      <c r="H3336" s="4"/>
    </row>
    <row r="3337">
      <c r="D3337" s="5"/>
      <c r="E3337" s="4"/>
      <c r="F3337" s="4"/>
      <c r="G3337" s="4"/>
      <c r="H3337" s="4"/>
    </row>
    <row r="3338">
      <c r="D3338" s="5"/>
      <c r="E3338" s="4"/>
      <c r="F3338" s="4"/>
      <c r="G3338" s="4"/>
      <c r="H3338" s="4"/>
    </row>
    <row r="3339">
      <c r="D3339" s="5"/>
      <c r="E3339" s="4"/>
      <c r="F3339" s="4"/>
      <c r="G3339" s="4"/>
      <c r="H3339" s="4"/>
    </row>
    <row r="3340">
      <c r="D3340" s="5"/>
      <c r="E3340" s="4"/>
      <c r="F3340" s="4"/>
      <c r="G3340" s="4"/>
      <c r="H3340" s="4"/>
    </row>
    <row r="3341">
      <c r="D3341" s="5"/>
      <c r="E3341" s="4"/>
      <c r="F3341" s="4"/>
      <c r="G3341" s="4"/>
      <c r="H3341" s="4"/>
    </row>
    <row r="3342">
      <c r="D3342" s="5"/>
      <c r="E3342" s="4"/>
      <c r="F3342" s="4"/>
      <c r="G3342" s="4"/>
      <c r="H3342" s="4"/>
    </row>
    <row r="3343">
      <c r="D3343" s="5"/>
      <c r="E3343" s="4"/>
      <c r="F3343" s="4"/>
      <c r="G3343" s="4"/>
      <c r="H3343" s="4"/>
    </row>
    <row r="3344">
      <c r="D3344" s="5"/>
      <c r="E3344" s="4"/>
      <c r="F3344" s="4"/>
      <c r="G3344" s="4"/>
      <c r="H3344" s="4"/>
    </row>
    <row r="3345">
      <c r="D3345" s="5"/>
      <c r="E3345" s="4"/>
      <c r="F3345" s="4"/>
      <c r="G3345" s="4"/>
      <c r="H3345" s="4"/>
    </row>
    <row r="3346">
      <c r="D3346" s="5"/>
      <c r="E3346" s="4"/>
      <c r="F3346" s="4"/>
      <c r="G3346" s="4"/>
      <c r="H3346" s="4"/>
    </row>
    <row r="3347">
      <c r="D3347" s="5"/>
      <c r="E3347" s="4"/>
      <c r="F3347" s="4"/>
      <c r="G3347" s="4"/>
      <c r="H3347" s="4"/>
    </row>
    <row r="3348">
      <c r="D3348" s="5"/>
      <c r="E3348" s="4"/>
      <c r="F3348" s="4"/>
      <c r="G3348" s="4"/>
      <c r="H3348" s="4"/>
    </row>
    <row r="3349">
      <c r="D3349" s="5"/>
      <c r="E3349" s="4"/>
      <c r="F3349" s="4"/>
      <c r="G3349" s="4"/>
      <c r="H3349" s="4"/>
    </row>
    <row r="3350">
      <c r="D3350" s="5"/>
      <c r="E3350" s="4"/>
      <c r="F3350" s="4"/>
      <c r="G3350" s="4"/>
      <c r="H3350" s="4"/>
    </row>
    <row r="3351">
      <c r="D3351" s="5"/>
      <c r="E3351" s="4"/>
      <c r="F3351" s="4"/>
      <c r="G3351" s="4"/>
      <c r="H3351" s="4"/>
    </row>
    <row r="3352">
      <c r="D3352" s="5"/>
      <c r="E3352" s="4"/>
      <c r="F3352" s="4"/>
      <c r="G3352" s="4"/>
      <c r="H3352" s="4"/>
    </row>
    <row r="3353">
      <c r="D3353" s="5"/>
      <c r="E3353" s="4"/>
      <c r="F3353" s="4"/>
      <c r="G3353" s="4"/>
      <c r="H3353" s="4"/>
    </row>
    <row r="3354">
      <c r="D3354" s="5"/>
      <c r="E3354" s="4"/>
      <c r="F3354" s="4"/>
      <c r="G3354" s="4"/>
      <c r="H3354" s="4"/>
    </row>
    <row r="3355">
      <c r="D3355" s="5"/>
      <c r="E3355" s="4"/>
      <c r="F3355" s="4"/>
      <c r="G3355" s="4"/>
      <c r="H3355" s="4"/>
    </row>
    <row r="3356">
      <c r="D3356" s="5"/>
      <c r="E3356" s="4"/>
      <c r="F3356" s="4"/>
      <c r="G3356" s="4"/>
      <c r="H3356" s="4"/>
    </row>
    <row r="3357">
      <c r="D3357" s="5"/>
      <c r="E3357" s="4"/>
      <c r="F3357" s="4"/>
      <c r="G3357" s="4"/>
      <c r="H3357" s="4"/>
    </row>
    <row r="3358">
      <c r="D3358" s="5"/>
      <c r="E3358" s="4"/>
      <c r="F3358" s="4"/>
      <c r="G3358" s="4"/>
      <c r="H3358" s="4"/>
    </row>
    <row r="3359">
      <c r="D3359" s="5"/>
      <c r="E3359" s="4"/>
      <c r="F3359" s="4"/>
      <c r="G3359" s="4"/>
      <c r="H3359" s="4"/>
    </row>
    <row r="3360">
      <c r="D3360" s="5"/>
      <c r="E3360" s="4"/>
      <c r="F3360" s="4"/>
      <c r="G3360" s="4"/>
      <c r="H3360" s="4"/>
    </row>
    <row r="3361">
      <c r="D3361" s="5"/>
      <c r="E3361" s="4"/>
      <c r="F3361" s="4"/>
      <c r="G3361" s="4"/>
      <c r="H3361" s="4"/>
    </row>
    <row r="3362">
      <c r="D3362" s="5"/>
      <c r="E3362" s="4"/>
      <c r="F3362" s="4"/>
      <c r="G3362" s="4"/>
      <c r="H3362" s="4"/>
    </row>
    <row r="3363">
      <c r="D3363" s="5"/>
      <c r="E3363" s="4"/>
      <c r="F3363" s="4"/>
      <c r="G3363" s="4"/>
      <c r="H3363" s="4"/>
    </row>
    <row r="3364">
      <c r="D3364" s="5"/>
      <c r="E3364" s="4"/>
      <c r="F3364" s="4"/>
      <c r="G3364" s="4"/>
      <c r="H3364" s="4"/>
    </row>
    <row r="3365">
      <c r="D3365" s="5"/>
      <c r="E3365" s="4"/>
      <c r="F3365" s="4"/>
      <c r="G3365" s="4"/>
      <c r="H3365" s="4"/>
    </row>
    <row r="3366">
      <c r="D3366" s="5"/>
      <c r="E3366" s="4"/>
      <c r="F3366" s="4"/>
      <c r="G3366" s="4"/>
      <c r="H3366" s="4"/>
    </row>
    <row r="3367">
      <c r="D3367" s="5"/>
      <c r="E3367" s="4"/>
      <c r="F3367" s="4"/>
      <c r="G3367" s="4"/>
      <c r="H3367" s="4"/>
    </row>
    <row r="3368">
      <c r="D3368" s="5"/>
      <c r="E3368" s="4"/>
      <c r="F3368" s="4"/>
      <c r="G3368" s="4"/>
      <c r="H3368" s="4"/>
    </row>
    <row r="3369">
      <c r="D3369" s="5"/>
      <c r="E3369" s="4"/>
      <c r="F3369" s="4"/>
      <c r="G3369" s="4"/>
      <c r="H3369" s="4"/>
    </row>
    <row r="3370">
      <c r="D3370" s="5"/>
      <c r="E3370" s="4"/>
      <c r="F3370" s="4"/>
      <c r="G3370" s="4"/>
      <c r="H3370" s="4"/>
    </row>
    <row r="3371">
      <c r="D3371" s="5"/>
      <c r="E3371" s="4"/>
      <c r="F3371" s="4"/>
      <c r="G3371" s="4"/>
      <c r="H3371" s="4"/>
    </row>
    <row r="3372">
      <c r="D3372" s="5"/>
      <c r="E3372" s="4"/>
      <c r="F3372" s="4"/>
      <c r="G3372" s="4"/>
      <c r="H3372" s="4"/>
    </row>
    <row r="3373">
      <c r="D3373" s="5"/>
      <c r="E3373" s="4"/>
      <c r="F3373" s="4"/>
      <c r="G3373" s="4"/>
      <c r="H3373" s="4"/>
    </row>
    <row r="3374">
      <c r="D3374" s="5"/>
      <c r="E3374" s="4"/>
      <c r="F3374" s="4"/>
      <c r="G3374" s="4"/>
      <c r="H3374" s="4"/>
    </row>
    <row r="3375">
      <c r="D3375" s="5"/>
      <c r="E3375" s="4"/>
      <c r="F3375" s="4"/>
      <c r="G3375" s="4"/>
      <c r="H3375" s="4"/>
    </row>
    <row r="3376">
      <c r="D3376" s="5"/>
      <c r="E3376" s="4"/>
      <c r="F3376" s="4"/>
      <c r="G3376" s="4"/>
      <c r="H3376" s="4"/>
    </row>
    <row r="3377">
      <c r="D3377" s="5"/>
      <c r="E3377" s="4"/>
      <c r="F3377" s="4"/>
      <c r="G3377" s="4"/>
      <c r="H3377" s="4"/>
    </row>
    <row r="3378">
      <c r="D3378" s="5"/>
      <c r="E3378" s="4"/>
      <c r="F3378" s="4"/>
      <c r="G3378" s="4"/>
      <c r="H3378" s="4"/>
    </row>
    <row r="3379">
      <c r="D3379" s="5"/>
      <c r="E3379" s="4"/>
      <c r="F3379" s="4"/>
      <c r="G3379" s="4"/>
      <c r="H3379" s="4"/>
    </row>
    <row r="3380">
      <c r="D3380" s="5"/>
      <c r="E3380" s="4"/>
      <c r="F3380" s="4"/>
      <c r="G3380" s="4"/>
      <c r="H3380" s="4"/>
    </row>
    <row r="3381">
      <c r="D3381" s="5"/>
      <c r="E3381" s="4"/>
      <c r="F3381" s="4"/>
      <c r="G3381" s="4"/>
      <c r="H3381" s="4"/>
    </row>
    <row r="3382">
      <c r="D3382" s="5"/>
      <c r="E3382" s="4"/>
      <c r="F3382" s="4"/>
      <c r="G3382" s="4"/>
      <c r="H3382" s="4"/>
    </row>
    <row r="3383">
      <c r="D3383" s="5"/>
      <c r="E3383" s="4"/>
      <c r="F3383" s="4"/>
      <c r="G3383" s="4"/>
      <c r="H3383" s="4"/>
    </row>
    <row r="3384">
      <c r="D3384" s="5"/>
      <c r="E3384" s="4"/>
      <c r="F3384" s="4"/>
      <c r="G3384" s="4"/>
      <c r="H3384" s="4"/>
    </row>
    <row r="3385">
      <c r="D3385" s="5"/>
      <c r="E3385" s="4"/>
      <c r="F3385" s="4"/>
      <c r="G3385" s="4"/>
      <c r="H3385" s="4"/>
    </row>
    <row r="3386">
      <c r="D3386" s="5"/>
      <c r="E3386" s="4"/>
      <c r="F3386" s="4"/>
      <c r="G3386" s="4"/>
      <c r="H3386" s="4"/>
    </row>
    <row r="3387">
      <c r="D3387" s="5"/>
      <c r="E3387" s="4"/>
      <c r="F3387" s="4"/>
      <c r="G3387" s="4"/>
      <c r="H3387" s="4"/>
    </row>
    <row r="3388">
      <c r="D3388" s="5"/>
      <c r="E3388" s="4"/>
      <c r="F3388" s="4"/>
      <c r="G3388" s="4"/>
      <c r="H3388" s="4"/>
    </row>
    <row r="3389">
      <c r="D3389" s="5"/>
      <c r="E3389" s="4"/>
      <c r="F3389" s="4"/>
      <c r="G3389" s="4"/>
      <c r="H3389" s="4"/>
    </row>
    <row r="3390">
      <c r="D3390" s="5"/>
      <c r="E3390" s="4"/>
      <c r="F3390" s="4"/>
      <c r="G3390" s="4"/>
      <c r="H3390" s="4"/>
    </row>
    <row r="3391">
      <c r="D3391" s="5"/>
      <c r="E3391" s="4"/>
      <c r="F3391" s="4"/>
      <c r="G3391" s="4"/>
      <c r="H3391" s="4"/>
    </row>
    <row r="3392">
      <c r="D3392" s="5"/>
      <c r="E3392" s="4"/>
      <c r="F3392" s="4"/>
      <c r="G3392" s="4"/>
      <c r="H3392" s="4"/>
    </row>
    <row r="3393">
      <c r="D3393" s="5"/>
      <c r="E3393" s="4"/>
      <c r="F3393" s="4"/>
      <c r="G3393" s="4"/>
      <c r="H3393" s="4"/>
    </row>
    <row r="3394">
      <c r="D3394" s="5"/>
      <c r="E3394" s="4"/>
      <c r="F3394" s="4"/>
      <c r="G3394" s="4"/>
      <c r="H3394" s="4"/>
    </row>
    <row r="3395">
      <c r="D3395" s="5"/>
      <c r="E3395" s="4"/>
      <c r="F3395" s="4"/>
      <c r="G3395" s="4"/>
      <c r="H3395" s="4"/>
    </row>
    <row r="3396">
      <c r="D3396" s="5"/>
      <c r="E3396" s="4"/>
      <c r="F3396" s="4"/>
      <c r="G3396" s="4"/>
      <c r="H3396" s="4"/>
    </row>
    <row r="3397">
      <c r="D3397" s="5"/>
      <c r="E3397" s="4"/>
      <c r="F3397" s="4"/>
      <c r="G3397" s="4"/>
      <c r="H3397" s="4"/>
    </row>
    <row r="3398">
      <c r="D3398" s="5"/>
      <c r="E3398" s="4"/>
      <c r="F3398" s="4"/>
      <c r="G3398" s="4"/>
      <c r="H3398" s="4"/>
    </row>
    <row r="3399">
      <c r="D3399" s="5"/>
      <c r="E3399" s="4"/>
      <c r="F3399" s="4"/>
      <c r="G3399" s="4"/>
      <c r="H3399" s="4"/>
    </row>
    <row r="3400">
      <c r="D3400" s="5"/>
      <c r="E3400" s="4"/>
      <c r="F3400" s="4"/>
      <c r="G3400" s="4"/>
      <c r="H3400" s="4"/>
    </row>
    <row r="3401">
      <c r="D3401" s="5"/>
      <c r="E3401" s="4"/>
      <c r="F3401" s="4"/>
      <c r="G3401" s="4"/>
      <c r="H3401" s="4"/>
    </row>
    <row r="3402">
      <c r="D3402" s="5"/>
      <c r="E3402" s="4"/>
      <c r="F3402" s="4"/>
      <c r="G3402" s="4"/>
      <c r="H3402" s="4"/>
    </row>
    <row r="3403">
      <c r="D3403" s="5"/>
      <c r="E3403" s="4"/>
      <c r="F3403" s="4"/>
      <c r="G3403" s="4"/>
      <c r="H3403" s="4"/>
    </row>
    <row r="3404">
      <c r="D3404" s="5"/>
      <c r="E3404" s="4"/>
      <c r="F3404" s="4"/>
      <c r="G3404" s="4"/>
      <c r="H3404" s="4"/>
    </row>
    <row r="3405">
      <c r="D3405" s="5"/>
      <c r="E3405" s="4"/>
      <c r="F3405" s="4"/>
      <c r="G3405" s="4"/>
      <c r="H3405" s="4"/>
    </row>
    <row r="3406">
      <c r="D3406" s="5"/>
      <c r="E3406" s="4"/>
      <c r="F3406" s="4"/>
      <c r="G3406" s="4"/>
      <c r="H3406" s="4"/>
    </row>
    <row r="3407">
      <c r="D3407" s="5"/>
      <c r="E3407" s="4"/>
      <c r="F3407" s="4"/>
      <c r="G3407" s="4"/>
      <c r="H3407" s="4"/>
    </row>
    <row r="3408">
      <c r="D3408" s="5"/>
      <c r="E3408" s="4"/>
      <c r="F3408" s="4"/>
      <c r="G3408" s="4"/>
      <c r="H3408" s="4"/>
    </row>
    <row r="3409">
      <c r="D3409" s="5"/>
      <c r="E3409" s="4"/>
      <c r="F3409" s="4"/>
      <c r="G3409" s="4"/>
      <c r="H3409" s="4"/>
    </row>
    <row r="3410">
      <c r="D3410" s="5"/>
      <c r="E3410" s="4"/>
      <c r="F3410" s="4"/>
      <c r="G3410" s="4"/>
      <c r="H3410" s="4"/>
    </row>
    <row r="3411">
      <c r="D3411" s="5"/>
      <c r="E3411" s="4"/>
      <c r="F3411" s="4"/>
      <c r="G3411" s="4"/>
      <c r="H3411" s="4"/>
    </row>
    <row r="3412">
      <c r="D3412" s="5"/>
      <c r="E3412" s="4"/>
      <c r="F3412" s="4"/>
      <c r="G3412" s="4"/>
      <c r="H3412" s="4"/>
    </row>
    <row r="3413">
      <c r="D3413" s="5"/>
      <c r="E3413" s="4"/>
      <c r="F3413" s="4"/>
      <c r="G3413" s="4"/>
      <c r="H3413" s="4"/>
    </row>
    <row r="3414">
      <c r="D3414" s="5"/>
      <c r="E3414" s="4"/>
      <c r="F3414" s="4"/>
      <c r="G3414" s="4"/>
      <c r="H3414" s="4"/>
    </row>
    <row r="3415">
      <c r="D3415" s="5"/>
      <c r="E3415" s="4"/>
      <c r="F3415" s="4"/>
      <c r="G3415" s="4"/>
      <c r="H3415" s="4"/>
    </row>
    <row r="3416">
      <c r="D3416" s="5"/>
      <c r="E3416" s="4"/>
      <c r="F3416" s="4"/>
      <c r="G3416" s="4"/>
      <c r="H3416" s="4"/>
    </row>
    <row r="3417">
      <c r="D3417" s="5"/>
      <c r="E3417" s="4"/>
      <c r="F3417" s="4"/>
      <c r="G3417" s="4"/>
      <c r="H3417" s="4"/>
    </row>
    <row r="3418">
      <c r="D3418" s="5"/>
      <c r="E3418" s="4"/>
      <c r="F3418" s="4"/>
      <c r="G3418" s="4"/>
      <c r="H3418" s="4"/>
    </row>
    <row r="3419">
      <c r="D3419" s="5"/>
      <c r="E3419" s="4"/>
      <c r="F3419" s="4"/>
      <c r="G3419" s="4"/>
      <c r="H3419" s="4"/>
    </row>
    <row r="3420">
      <c r="D3420" s="5"/>
      <c r="E3420" s="4"/>
      <c r="F3420" s="4"/>
      <c r="G3420" s="4"/>
      <c r="H3420" s="4"/>
    </row>
    <row r="3421">
      <c r="D3421" s="5"/>
      <c r="E3421" s="4"/>
      <c r="F3421" s="4"/>
      <c r="G3421" s="4"/>
      <c r="H3421" s="4"/>
    </row>
    <row r="3422">
      <c r="D3422" s="5"/>
      <c r="E3422" s="4"/>
      <c r="F3422" s="4"/>
      <c r="G3422" s="4"/>
      <c r="H3422" s="4"/>
    </row>
    <row r="3423">
      <c r="D3423" s="5"/>
      <c r="E3423" s="4"/>
      <c r="F3423" s="4"/>
      <c r="G3423" s="4"/>
      <c r="H3423" s="4"/>
    </row>
    <row r="3424">
      <c r="D3424" s="5"/>
      <c r="E3424" s="4"/>
      <c r="F3424" s="4"/>
      <c r="G3424" s="4"/>
      <c r="H3424" s="4"/>
    </row>
    <row r="3425">
      <c r="D3425" s="5"/>
      <c r="E3425" s="4"/>
      <c r="F3425" s="4"/>
      <c r="G3425" s="4"/>
      <c r="H3425" s="4"/>
    </row>
    <row r="3426">
      <c r="D3426" s="5"/>
      <c r="E3426" s="4"/>
      <c r="F3426" s="4"/>
      <c r="G3426" s="4"/>
      <c r="H3426" s="4"/>
    </row>
    <row r="3427">
      <c r="D3427" s="5"/>
      <c r="E3427" s="4"/>
      <c r="F3427" s="4"/>
      <c r="G3427" s="4"/>
      <c r="H3427" s="4"/>
    </row>
    <row r="3428">
      <c r="D3428" s="5"/>
      <c r="E3428" s="4"/>
      <c r="F3428" s="4"/>
      <c r="G3428" s="4"/>
      <c r="H3428" s="4"/>
    </row>
    <row r="3429">
      <c r="D3429" s="5"/>
      <c r="E3429" s="4"/>
      <c r="F3429" s="4"/>
      <c r="G3429" s="4"/>
      <c r="H3429" s="4"/>
    </row>
    <row r="3430">
      <c r="D3430" s="5"/>
      <c r="E3430" s="4"/>
      <c r="F3430" s="4"/>
      <c r="G3430" s="4"/>
      <c r="H3430" s="4"/>
    </row>
    <row r="3431">
      <c r="D3431" s="5"/>
      <c r="E3431" s="4"/>
      <c r="F3431" s="4"/>
      <c r="G3431" s="4"/>
      <c r="H3431" s="4"/>
    </row>
    <row r="3432">
      <c r="D3432" s="5"/>
      <c r="E3432" s="4"/>
      <c r="F3432" s="4"/>
      <c r="G3432" s="4"/>
      <c r="H3432" s="4"/>
    </row>
    <row r="3433">
      <c r="D3433" s="5"/>
      <c r="E3433" s="4"/>
      <c r="F3433" s="4"/>
      <c r="G3433" s="4"/>
      <c r="H3433" s="4"/>
    </row>
    <row r="3434">
      <c r="D3434" s="5"/>
      <c r="E3434" s="4"/>
      <c r="F3434" s="4"/>
      <c r="G3434" s="4"/>
      <c r="H3434" s="4"/>
    </row>
    <row r="3435">
      <c r="D3435" s="5"/>
      <c r="E3435" s="4"/>
      <c r="F3435" s="4"/>
      <c r="G3435" s="4"/>
      <c r="H3435" s="4"/>
    </row>
    <row r="3436">
      <c r="D3436" s="5"/>
      <c r="E3436" s="4"/>
      <c r="F3436" s="4"/>
      <c r="G3436" s="4"/>
      <c r="H3436" s="4"/>
    </row>
    <row r="3437">
      <c r="D3437" s="5"/>
      <c r="E3437" s="4"/>
      <c r="F3437" s="4"/>
      <c r="G3437" s="4"/>
      <c r="H3437" s="4"/>
    </row>
    <row r="3438">
      <c r="D3438" s="5"/>
      <c r="E3438" s="4"/>
      <c r="F3438" s="4"/>
      <c r="G3438" s="4"/>
      <c r="H3438" s="4"/>
    </row>
    <row r="3439">
      <c r="D3439" s="5"/>
      <c r="E3439" s="4"/>
      <c r="F3439" s="4"/>
      <c r="G3439" s="4"/>
      <c r="H3439" s="4"/>
    </row>
    <row r="3440">
      <c r="D3440" s="5"/>
      <c r="E3440" s="4"/>
      <c r="F3440" s="4"/>
      <c r="G3440" s="4"/>
      <c r="H3440" s="4"/>
    </row>
    <row r="3441">
      <c r="D3441" s="5"/>
      <c r="E3441" s="4"/>
      <c r="F3441" s="4"/>
      <c r="G3441" s="4"/>
      <c r="H3441" s="4"/>
    </row>
    <row r="3442">
      <c r="D3442" s="5"/>
      <c r="E3442" s="4"/>
      <c r="F3442" s="4"/>
      <c r="G3442" s="4"/>
      <c r="H3442" s="4"/>
    </row>
    <row r="3443">
      <c r="D3443" s="5"/>
      <c r="E3443" s="4"/>
      <c r="F3443" s="4"/>
      <c r="G3443" s="4"/>
      <c r="H3443" s="4"/>
    </row>
    <row r="3444">
      <c r="D3444" s="5"/>
      <c r="E3444" s="4"/>
      <c r="F3444" s="4"/>
      <c r="G3444" s="4"/>
      <c r="H3444" s="4"/>
    </row>
    <row r="3445">
      <c r="D3445" s="5"/>
      <c r="E3445" s="4"/>
      <c r="F3445" s="4"/>
      <c r="G3445" s="4"/>
      <c r="H3445" s="4"/>
    </row>
    <row r="3446">
      <c r="D3446" s="5"/>
      <c r="E3446" s="4"/>
      <c r="F3446" s="4"/>
      <c r="G3446" s="4"/>
      <c r="H3446" s="4"/>
    </row>
    <row r="3447">
      <c r="D3447" s="5"/>
      <c r="E3447" s="4"/>
      <c r="F3447" s="4"/>
      <c r="G3447" s="4"/>
      <c r="H3447" s="4"/>
    </row>
    <row r="3448">
      <c r="D3448" s="5"/>
      <c r="E3448" s="4"/>
      <c r="F3448" s="4"/>
      <c r="G3448" s="4"/>
      <c r="H3448" s="4"/>
    </row>
    <row r="3449">
      <c r="D3449" s="5"/>
      <c r="E3449" s="4"/>
      <c r="F3449" s="4"/>
      <c r="G3449" s="4"/>
      <c r="H3449" s="4"/>
    </row>
    <row r="3450">
      <c r="D3450" s="5"/>
      <c r="E3450" s="4"/>
      <c r="F3450" s="4"/>
      <c r="G3450" s="4"/>
      <c r="H3450" s="4"/>
    </row>
    <row r="3451">
      <c r="D3451" s="5"/>
      <c r="E3451" s="4"/>
      <c r="F3451" s="4"/>
      <c r="G3451" s="4"/>
      <c r="H3451" s="4"/>
    </row>
    <row r="3452">
      <c r="D3452" s="5"/>
      <c r="E3452" s="4"/>
      <c r="F3452" s="4"/>
      <c r="G3452" s="4"/>
      <c r="H3452" s="4"/>
    </row>
    <row r="3453">
      <c r="D3453" s="5"/>
      <c r="E3453" s="4"/>
      <c r="F3453" s="4"/>
      <c r="G3453" s="4"/>
      <c r="H3453" s="4"/>
    </row>
    <row r="3454">
      <c r="D3454" s="5"/>
      <c r="E3454" s="4"/>
      <c r="F3454" s="4"/>
      <c r="G3454" s="4"/>
      <c r="H3454" s="4"/>
    </row>
    <row r="3455">
      <c r="D3455" s="5"/>
      <c r="E3455" s="4"/>
      <c r="F3455" s="4"/>
      <c r="G3455" s="4"/>
      <c r="H3455" s="4"/>
    </row>
    <row r="3456">
      <c r="D3456" s="5"/>
      <c r="E3456" s="4"/>
      <c r="F3456" s="4"/>
      <c r="G3456" s="4"/>
      <c r="H3456" s="4"/>
    </row>
    <row r="3457">
      <c r="D3457" s="5"/>
      <c r="E3457" s="4"/>
      <c r="F3457" s="4"/>
      <c r="G3457" s="4"/>
      <c r="H3457" s="4"/>
    </row>
    <row r="3458">
      <c r="D3458" s="5"/>
      <c r="E3458" s="4"/>
      <c r="F3458" s="4"/>
      <c r="G3458" s="4"/>
      <c r="H3458" s="4"/>
    </row>
    <row r="3459">
      <c r="D3459" s="5"/>
      <c r="E3459" s="4"/>
      <c r="F3459" s="4"/>
      <c r="G3459" s="4"/>
      <c r="H3459" s="4"/>
    </row>
    <row r="3460">
      <c r="D3460" s="5"/>
      <c r="E3460" s="4"/>
      <c r="F3460" s="4"/>
      <c r="G3460" s="4"/>
      <c r="H3460" s="4"/>
    </row>
    <row r="3461">
      <c r="D3461" s="5"/>
      <c r="E3461" s="4"/>
      <c r="F3461" s="4"/>
      <c r="G3461" s="4"/>
      <c r="H3461" s="4"/>
    </row>
    <row r="3462">
      <c r="D3462" s="5"/>
      <c r="E3462" s="4"/>
      <c r="F3462" s="4"/>
      <c r="G3462" s="4"/>
      <c r="H3462" s="4"/>
    </row>
    <row r="3463">
      <c r="D3463" s="5"/>
      <c r="E3463" s="4"/>
      <c r="F3463" s="4"/>
      <c r="G3463" s="4"/>
      <c r="H3463" s="4"/>
    </row>
    <row r="3464">
      <c r="D3464" s="5"/>
      <c r="E3464" s="4"/>
      <c r="F3464" s="4"/>
      <c r="G3464" s="4"/>
      <c r="H3464" s="4"/>
    </row>
    <row r="3465">
      <c r="D3465" s="5"/>
      <c r="E3465" s="4"/>
      <c r="F3465" s="4"/>
      <c r="G3465" s="4"/>
      <c r="H3465" s="4"/>
    </row>
    <row r="3466">
      <c r="D3466" s="5"/>
      <c r="E3466" s="4"/>
      <c r="F3466" s="4"/>
      <c r="G3466" s="4"/>
      <c r="H3466" s="4"/>
    </row>
    <row r="3467">
      <c r="D3467" s="5"/>
      <c r="E3467" s="4"/>
      <c r="F3467" s="4"/>
      <c r="G3467" s="4"/>
      <c r="H3467" s="4"/>
    </row>
    <row r="3468">
      <c r="D3468" s="5"/>
      <c r="E3468" s="4"/>
      <c r="F3468" s="4"/>
      <c r="G3468" s="4"/>
      <c r="H3468" s="4"/>
    </row>
    <row r="3469">
      <c r="D3469" s="5"/>
      <c r="E3469" s="4"/>
      <c r="F3469" s="4"/>
      <c r="G3469" s="4"/>
      <c r="H3469" s="4"/>
    </row>
    <row r="3470">
      <c r="D3470" s="5"/>
      <c r="E3470" s="4"/>
      <c r="F3470" s="4"/>
      <c r="G3470" s="4"/>
      <c r="H3470" s="4"/>
    </row>
    <row r="3471">
      <c r="D3471" s="5"/>
      <c r="E3471" s="4"/>
      <c r="F3471" s="4"/>
      <c r="G3471" s="4"/>
      <c r="H3471" s="4"/>
    </row>
    <row r="3472">
      <c r="D3472" s="5"/>
      <c r="E3472" s="4"/>
      <c r="F3472" s="4"/>
      <c r="G3472" s="4"/>
      <c r="H3472" s="4"/>
    </row>
    <row r="3473">
      <c r="D3473" s="5"/>
      <c r="E3473" s="4"/>
      <c r="F3473" s="4"/>
      <c r="G3473" s="4"/>
      <c r="H3473" s="4"/>
    </row>
    <row r="3474">
      <c r="D3474" s="5"/>
      <c r="E3474" s="4"/>
      <c r="F3474" s="4"/>
      <c r="G3474" s="4"/>
      <c r="H3474" s="4"/>
    </row>
    <row r="3475">
      <c r="D3475" s="5"/>
      <c r="E3475" s="4"/>
      <c r="F3475" s="4"/>
      <c r="G3475" s="4"/>
      <c r="H3475" s="4"/>
    </row>
    <row r="3476">
      <c r="D3476" s="5"/>
      <c r="E3476" s="4"/>
      <c r="F3476" s="4"/>
      <c r="G3476" s="4"/>
      <c r="H3476" s="4"/>
    </row>
    <row r="3477">
      <c r="D3477" s="5"/>
      <c r="E3477" s="4"/>
      <c r="F3477" s="4"/>
      <c r="G3477" s="4"/>
      <c r="H3477" s="4"/>
    </row>
    <row r="3478">
      <c r="D3478" s="5"/>
      <c r="E3478" s="4"/>
      <c r="F3478" s="4"/>
      <c r="G3478" s="4"/>
      <c r="H3478" s="4"/>
    </row>
    <row r="3479">
      <c r="D3479" s="5"/>
      <c r="E3479" s="4"/>
      <c r="F3479" s="4"/>
      <c r="G3479" s="4"/>
      <c r="H3479" s="4"/>
    </row>
    <row r="3480">
      <c r="D3480" s="5"/>
      <c r="E3480" s="4"/>
      <c r="F3480" s="4"/>
      <c r="G3480" s="4"/>
      <c r="H3480" s="4"/>
    </row>
    <row r="3481">
      <c r="D3481" s="5"/>
      <c r="E3481" s="4"/>
      <c r="F3481" s="4"/>
      <c r="G3481" s="4"/>
      <c r="H3481" s="4"/>
    </row>
    <row r="3482">
      <c r="D3482" s="5"/>
      <c r="E3482" s="4"/>
      <c r="F3482" s="4"/>
      <c r="G3482" s="4"/>
      <c r="H3482" s="4"/>
    </row>
    <row r="3483">
      <c r="D3483" s="5"/>
      <c r="E3483" s="4"/>
      <c r="F3483" s="4"/>
      <c r="G3483" s="4"/>
      <c r="H3483" s="4"/>
    </row>
    <row r="3484">
      <c r="D3484" s="5"/>
      <c r="E3484" s="4"/>
      <c r="F3484" s="4"/>
      <c r="G3484" s="4"/>
      <c r="H3484" s="4"/>
    </row>
    <row r="3485">
      <c r="D3485" s="5"/>
      <c r="E3485" s="4"/>
      <c r="F3485" s="4"/>
      <c r="G3485" s="4"/>
      <c r="H3485" s="4"/>
    </row>
    <row r="3486">
      <c r="D3486" s="5"/>
      <c r="E3486" s="4"/>
      <c r="F3486" s="4"/>
      <c r="G3486" s="4"/>
      <c r="H3486" s="4"/>
    </row>
    <row r="3487">
      <c r="D3487" s="5"/>
      <c r="E3487" s="4"/>
      <c r="F3487" s="4"/>
      <c r="G3487" s="4"/>
      <c r="H3487" s="4"/>
    </row>
    <row r="3488">
      <c r="D3488" s="5"/>
      <c r="E3488" s="4"/>
      <c r="F3488" s="4"/>
      <c r="G3488" s="4"/>
      <c r="H3488" s="4"/>
    </row>
    <row r="3489">
      <c r="D3489" s="5"/>
      <c r="E3489" s="4"/>
      <c r="F3489" s="4"/>
      <c r="G3489" s="4"/>
      <c r="H3489" s="4"/>
    </row>
    <row r="3490">
      <c r="D3490" s="5"/>
      <c r="E3490" s="4"/>
      <c r="F3490" s="4"/>
      <c r="G3490" s="4"/>
      <c r="H3490" s="4"/>
    </row>
    <row r="3491">
      <c r="D3491" s="5"/>
      <c r="E3491" s="4"/>
      <c r="F3491" s="4"/>
      <c r="G3491" s="4"/>
      <c r="H3491" s="4"/>
    </row>
    <row r="3492">
      <c r="D3492" s="5"/>
      <c r="E3492" s="4"/>
      <c r="F3492" s="4"/>
      <c r="G3492" s="4"/>
      <c r="H3492" s="4"/>
    </row>
    <row r="3493">
      <c r="D3493" s="5"/>
      <c r="E3493" s="4"/>
      <c r="F3493" s="4"/>
      <c r="G3493" s="4"/>
      <c r="H3493" s="4"/>
    </row>
    <row r="3494">
      <c r="D3494" s="5"/>
      <c r="E3494" s="4"/>
      <c r="F3494" s="4"/>
      <c r="G3494" s="4"/>
      <c r="H3494" s="4"/>
    </row>
    <row r="3495">
      <c r="D3495" s="5"/>
      <c r="E3495" s="4"/>
      <c r="F3495" s="4"/>
      <c r="G3495" s="4"/>
      <c r="H3495" s="4"/>
    </row>
    <row r="3496">
      <c r="D3496" s="5"/>
      <c r="E3496" s="4"/>
      <c r="F3496" s="4"/>
      <c r="G3496" s="4"/>
      <c r="H3496" s="4"/>
    </row>
    <row r="3497">
      <c r="D3497" s="5"/>
      <c r="E3497" s="4"/>
      <c r="F3497" s="4"/>
      <c r="G3497" s="4"/>
      <c r="H3497" s="4"/>
    </row>
    <row r="3498">
      <c r="D3498" s="5"/>
      <c r="E3498" s="4"/>
      <c r="F3498" s="4"/>
      <c r="G3498" s="4"/>
      <c r="H3498" s="4"/>
    </row>
    <row r="3499">
      <c r="D3499" s="5"/>
      <c r="E3499" s="4"/>
      <c r="F3499" s="4"/>
      <c r="G3499" s="4"/>
      <c r="H3499" s="4"/>
    </row>
    <row r="3500">
      <c r="D3500" s="5"/>
      <c r="E3500" s="4"/>
      <c r="F3500" s="4"/>
      <c r="G3500" s="4"/>
      <c r="H3500" s="4"/>
    </row>
    <row r="3501">
      <c r="D3501" s="5"/>
      <c r="E3501" s="4"/>
      <c r="F3501" s="4"/>
      <c r="G3501" s="4"/>
      <c r="H3501" s="4"/>
    </row>
    <row r="3502">
      <c r="D3502" s="5"/>
      <c r="E3502" s="4"/>
      <c r="F3502" s="4"/>
      <c r="G3502" s="4"/>
      <c r="H3502" s="4"/>
    </row>
    <row r="3503">
      <c r="D3503" s="5"/>
      <c r="E3503" s="4"/>
      <c r="F3503" s="4"/>
      <c r="G3503" s="4"/>
      <c r="H3503" s="4"/>
    </row>
    <row r="3504">
      <c r="D3504" s="5"/>
      <c r="E3504" s="4"/>
      <c r="F3504" s="4"/>
      <c r="G3504" s="4"/>
      <c r="H3504" s="4"/>
    </row>
    <row r="3505">
      <c r="D3505" s="5"/>
      <c r="E3505" s="4"/>
      <c r="F3505" s="4"/>
      <c r="G3505" s="4"/>
      <c r="H3505" s="4"/>
    </row>
    <row r="3506">
      <c r="D3506" s="5"/>
      <c r="E3506" s="4"/>
      <c r="F3506" s="4"/>
      <c r="G3506" s="4"/>
      <c r="H3506" s="4"/>
    </row>
    <row r="3507">
      <c r="D3507" s="5"/>
      <c r="E3507" s="4"/>
      <c r="F3507" s="4"/>
      <c r="G3507" s="4"/>
      <c r="H3507" s="4"/>
    </row>
    <row r="3508">
      <c r="D3508" s="5"/>
      <c r="E3508" s="4"/>
      <c r="F3508" s="4"/>
      <c r="G3508" s="4"/>
      <c r="H3508" s="4"/>
    </row>
    <row r="3509">
      <c r="D3509" s="5"/>
      <c r="E3509" s="4"/>
      <c r="F3509" s="4"/>
      <c r="G3509" s="4"/>
      <c r="H3509" s="4"/>
    </row>
    <row r="3510">
      <c r="D3510" s="5"/>
      <c r="E3510" s="4"/>
      <c r="F3510" s="4"/>
      <c r="G3510" s="4"/>
      <c r="H3510" s="4"/>
    </row>
    <row r="3511">
      <c r="D3511" s="5"/>
      <c r="E3511" s="4"/>
      <c r="F3511" s="4"/>
      <c r="G3511" s="4"/>
      <c r="H3511" s="4"/>
    </row>
    <row r="3512">
      <c r="D3512" s="5"/>
      <c r="E3512" s="4"/>
      <c r="F3512" s="4"/>
      <c r="G3512" s="4"/>
      <c r="H3512" s="4"/>
    </row>
    <row r="3513">
      <c r="D3513" s="5"/>
      <c r="E3513" s="4"/>
      <c r="F3513" s="4"/>
      <c r="G3513" s="4"/>
      <c r="H3513" s="4"/>
    </row>
    <row r="3514">
      <c r="D3514" s="5"/>
      <c r="E3514" s="4"/>
      <c r="F3514" s="4"/>
      <c r="G3514" s="4"/>
      <c r="H3514" s="4"/>
    </row>
    <row r="3515">
      <c r="D3515" s="5"/>
      <c r="E3515" s="4"/>
      <c r="F3515" s="4"/>
      <c r="G3515" s="4"/>
      <c r="H3515" s="4"/>
    </row>
    <row r="3516">
      <c r="D3516" s="5"/>
      <c r="E3516" s="4"/>
      <c r="F3516" s="4"/>
      <c r="G3516" s="4"/>
      <c r="H3516" s="4"/>
    </row>
    <row r="3517">
      <c r="D3517" s="5"/>
      <c r="E3517" s="4"/>
      <c r="F3517" s="4"/>
      <c r="G3517" s="4"/>
      <c r="H3517" s="4"/>
    </row>
    <row r="3518">
      <c r="D3518" s="5"/>
      <c r="E3518" s="4"/>
      <c r="F3518" s="4"/>
      <c r="G3518" s="4"/>
      <c r="H3518" s="4"/>
    </row>
    <row r="3519">
      <c r="D3519" s="5"/>
      <c r="E3519" s="4"/>
      <c r="F3519" s="4"/>
      <c r="G3519" s="4"/>
      <c r="H3519" s="4"/>
    </row>
    <row r="3520">
      <c r="D3520" s="5"/>
      <c r="E3520" s="4"/>
      <c r="F3520" s="4"/>
      <c r="G3520" s="4"/>
      <c r="H3520" s="4"/>
    </row>
    <row r="3521">
      <c r="D3521" s="5"/>
      <c r="E3521" s="4"/>
      <c r="F3521" s="4"/>
      <c r="G3521" s="4"/>
      <c r="H3521" s="4"/>
    </row>
    <row r="3522">
      <c r="D3522" s="5"/>
      <c r="E3522" s="4"/>
      <c r="F3522" s="4"/>
      <c r="G3522" s="4"/>
      <c r="H3522" s="4"/>
    </row>
    <row r="3523">
      <c r="D3523" s="5"/>
      <c r="E3523" s="4"/>
      <c r="F3523" s="4"/>
      <c r="G3523" s="4"/>
      <c r="H3523" s="4"/>
    </row>
    <row r="3524">
      <c r="D3524" s="5"/>
      <c r="E3524" s="4"/>
      <c r="F3524" s="4"/>
      <c r="G3524" s="4"/>
      <c r="H3524" s="4"/>
    </row>
    <row r="3525">
      <c r="D3525" s="5"/>
      <c r="E3525" s="4"/>
      <c r="F3525" s="4"/>
      <c r="G3525" s="4"/>
      <c r="H3525" s="4"/>
    </row>
    <row r="3526">
      <c r="D3526" s="5"/>
      <c r="E3526" s="4"/>
      <c r="F3526" s="4"/>
      <c r="G3526" s="4"/>
      <c r="H3526" s="4"/>
    </row>
    <row r="3527">
      <c r="D3527" s="5"/>
      <c r="E3527" s="4"/>
      <c r="F3527" s="4"/>
      <c r="G3527" s="4"/>
      <c r="H3527" s="4"/>
    </row>
    <row r="3528">
      <c r="D3528" s="5"/>
      <c r="E3528" s="4"/>
      <c r="F3528" s="4"/>
      <c r="G3528" s="4"/>
      <c r="H3528" s="4"/>
    </row>
    <row r="3529">
      <c r="D3529" s="5"/>
      <c r="E3529" s="4"/>
      <c r="F3529" s="4"/>
      <c r="G3529" s="4"/>
      <c r="H3529" s="4"/>
    </row>
    <row r="3530">
      <c r="D3530" s="5"/>
      <c r="E3530" s="4"/>
      <c r="F3530" s="4"/>
      <c r="G3530" s="4"/>
      <c r="H3530" s="4"/>
    </row>
    <row r="3531">
      <c r="D3531" s="5"/>
      <c r="E3531" s="4"/>
      <c r="F3531" s="4"/>
      <c r="G3531" s="4"/>
      <c r="H3531" s="4"/>
    </row>
    <row r="3532">
      <c r="D3532" s="5"/>
      <c r="E3532" s="4"/>
      <c r="F3532" s="4"/>
      <c r="G3532" s="4"/>
      <c r="H3532" s="4"/>
    </row>
    <row r="3533">
      <c r="D3533" s="5"/>
      <c r="E3533" s="4"/>
      <c r="F3533" s="4"/>
      <c r="G3533" s="4"/>
      <c r="H3533" s="4"/>
    </row>
    <row r="3534">
      <c r="D3534" s="5"/>
      <c r="E3534" s="4"/>
      <c r="F3534" s="4"/>
      <c r="G3534" s="4"/>
      <c r="H3534" s="4"/>
    </row>
    <row r="3535">
      <c r="D3535" s="5"/>
      <c r="E3535" s="4"/>
      <c r="F3535" s="4"/>
      <c r="G3535" s="4"/>
      <c r="H3535" s="4"/>
    </row>
    <row r="3536">
      <c r="D3536" s="5"/>
      <c r="E3536" s="4"/>
      <c r="F3536" s="4"/>
      <c r="G3536" s="4"/>
      <c r="H3536" s="4"/>
    </row>
    <row r="3537">
      <c r="D3537" s="5"/>
      <c r="E3537" s="4"/>
      <c r="F3537" s="4"/>
      <c r="G3537" s="4"/>
      <c r="H3537" s="4"/>
    </row>
    <row r="3538">
      <c r="D3538" s="5"/>
      <c r="E3538" s="4"/>
      <c r="F3538" s="4"/>
      <c r="G3538" s="4"/>
      <c r="H3538" s="4"/>
    </row>
    <row r="3539">
      <c r="D3539" s="5"/>
      <c r="E3539" s="4"/>
      <c r="F3539" s="4"/>
      <c r="G3539" s="4"/>
      <c r="H3539" s="4"/>
    </row>
    <row r="3540">
      <c r="D3540" s="5"/>
      <c r="E3540" s="4"/>
      <c r="F3540" s="4"/>
      <c r="G3540" s="4"/>
      <c r="H3540" s="4"/>
    </row>
    <row r="3541">
      <c r="D3541" s="5"/>
      <c r="E3541" s="4"/>
      <c r="F3541" s="4"/>
      <c r="G3541" s="4"/>
      <c r="H3541" s="4"/>
    </row>
    <row r="3542">
      <c r="D3542" s="5"/>
      <c r="E3542" s="4"/>
      <c r="F3542" s="4"/>
      <c r="G3542" s="4"/>
      <c r="H3542" s="4"/>
    </row>
    <row r="3543">
      <c r="D3543" s="5"/>
      <c r="E3543" s="4"/>
      <c r="F3543" s="4"/>
      <c r="G3543" s="4"/>
      <c r="H3543" s="4"/>
    </row>
    <row r="3544">
      <c r="D3544" s="5"/>
      <c r="E3544" s="4"/>
      <c r="F3544" s="4"/>
      <c r="G3544" s="4"/>
      <c r="H3544" s="4"/>
    </row>
    <row r="3545">
      <c r="D3545" s="5"/>
      <c r="E3545" s="4"/>
      <c r="F3545" s="4"/>
      <c r="G3545" s="4"/>
      <c r="H3545" s="4"/>
    </row>
    <row r="3546">
      <c r="D3546" s="5"/>
      <c r="E3546" s="4"/>
      <c r="F3546" s="4"/>
      <c r="G3546" s="4"/>
      <c r="H3546" s="4"/>
    </row>
    <row r="3547">
      <c r="D3547" s="5"/>
      <c r="E3547" s="4"/>
      <c r="F3547" s="4"/>
      <c r="G3547" s="4"/>
      <c r="H3547" s="4"/>
    </row>
    <row r="3548">
      <c r="D3548" s="5"/>
      <c r="E3548" s="4"/>
      <c r="F3548" s="4"/>
      <c r="G3548" s="4"/>
      <c r="H3548" s="4"/>
    </row>
    <row r="3549">
      <c r="D3549" s="5"/>
      <c r="E3549" s="4"/>
      <c r="F3549" s="4"/>
      <c r="G3549" s="4"/>
      <c r="H3549" s="4"/>
    </row>
    <row r="3550">
      <c r="D3550" s="5"/>
      <c r="E3550" s="4"/>
      <c r="F3550" s="4"/>
      <c r="G3550" s="4"/>
      <c r="H3550" s="4"/>
    </row>
    <row r="3551">
      <c r="D3551" s="5"/>
      <c r="E3551" s="4"/>
      <c r="F3551" s="4"/>
      <c r="G3551" s="4"/>
      <c r="H3551" s="4"/>
    </row>
    <row r="3552">
      <c r="D3552" s="5"/>
      <c r="E3552" s="4"/>
      <c r="F3552" s="4"/>
      <c r="G3552" s="4"/>
      <c r="H3552" s="4"/>
    </row>
    <row r="3553">
      <c r="D3553" s="5"/>
      <c r="E3553" s="4"/>
      <c r="F3553" s="4"/>
      <c r="G3553" s="4"/>
      <c r="H3553" s="4"/>
    </row>
    <row r="3554">
      <c r="D3554" s="5"/>
      <c r="E3554" s="4"/>
      <c r="F3554" s="4"/>
      <c r="G3554" s="4"/>
      <c r="H3554" s="4"/>
    </row>
    <row r="3555">
      <c r="D3555" s="5"/>
      <c r="E3555" s="4"/>
      <c r="F3555" s="4"/>
      <c r="G3555" s="4"/>
      <c r="H3555" s="4"/>
    </row>
    <row r="3556">
      <c r="D3556" s="5"/>
      <c r="E3556" s="4"/>
      <c r="F3556" s="4"/>
      <c r="G3556" s="4"/>
      <c r="H3556" s="4"/>
    </row>
    <row r="3557">
      <c r="D3557" s="5"/>
      <c r="E3557" s="4"/>
      <c r="F3557" s="4"/>
      <c r="G3557" s="4"/>
      <c r="H3557" s="4"/>
    </row>
    <row r="3558">
      <c r="D3558" s="5"/>
      <c r="E3558" s="4"/>
      <c r="F3558" s="4"/>
      <c r="G3558" s="4"/>
      <c r="H3558" s="4"/>
    </row>
    <row r="3559">
      <c r="D3559" s="5"/>
      <c r="E3559" s="4"/>
      <c r="F3559" s="4"/>
      <c r="G3559" s="4"/>
      <c r="H3559" s="4"/>
    </row>
    <row r="3560">
      <c r="D3560" s="5"/>
      <c r="E3560" s="4"/>
      <c r="F3560" s="4"/>
      <c r="G3560" s="4"/>
      <c r="H3560" s="4"/>
    </row>
    <row r="3561">
      <c r="D3561" s="5"/>
      <c r="E3561" s="4"/>
      <c r="F3561" s="4"/>
      <c r="G3561" s="4"/>
      <c r="H3561" s="4"/>
    </row>
    <row r="3562">
      <c r="D3562" s="5"/>
      <c r="E3562" s="4"/>
      <c r="F3562" s="4"/>
      <c r="G3562" s="4"/>
      <c r="H3562" s="4"/>
    </row>
    <row r="3563">
      <c r="D3563" s="5"/>
      <c r="E3563" s="4"/>
      <c r="F3563" s="4"/>
      <c r="G3563" s="4"/>
      <c r="H3563" s="4"/>
    </row>
    <row r="3564">
      <c r="D3564" s="5"/>
      <c r="E3564" s="4"/>
      <c r="F3564" s="4"/>
      <c r="G3564" s="4"/>
      <c r="H3564" s="4"/>
    </row>
    <row r="3565">
      <c r="D3565" s="5"/>
      <c r="E3565" s="4"/>
      <c r="F3565" s="4"/>
      <c r="G3565" s="4"/>
      <c r="H3565" s="4"/>
    </row>
    <row r="3566">
      <c r="D3566" s="5"/>
      <c r="E3566" s="4"/>
      <c r="F3566" s="4"/>
      <c r="G3566" s="4"/>
      <c r="H3566" s="4"/>
    </row>
    <row r="3567">
      <c r="D3567" s="5"/>
      <c r="E3567" s="4"/>
      <c r="F3567" s="4"/>
      <c r="G3567" s="4"/>
      <c r="H3567" s="4"/>
    </row>
    <row r="3568">
      <c r="D3568" s="5"/>
      <c r="E3568" s="4"/>
      <c r="F3568" s="4"/>
      <c r="G3568" s="4"/>
      <c r="H3568" s="4"/>
    </row>
    <row r="3569">
      <c r="D3569" s="5"/>
      <c r="E3569" s="4"/>
      <c r="F3569" s="4"/>
      <c r="G3569" s="4"/>
      <c r="H3569" s="4"/>
    </row>
    <row r="3570">
      <c r="D3570" s="5"/>
      <c r="E3570" s="4"/>
      <c r="F3570" s="4"/>
      <c r="G3570" s="4"/>
      <c r="H3570" s="4"/>
    </row>
    <row r="3571">
      <c r="D3571" s="5"/>
      <c r="E3571" s="4"/>
      <c r="F3571" s="4"/>
      <c r="G3571" s="4"/>
      <c r="H3571" s="4"/>
    </row>
    <row r="3572">
      <c r="D3572" s="5"/>
      <c r="E3572" s="4"/>
      <c r="F3572" s="4"/>
      <c r="G3572" s="4"/>
      <c r="H3572" s="4"/>
    </row>
    <row r="3573">
      <c r="D3573" s="5"/>
      <c r="E3573" s="4"/>
      <c r="F3573" s="4"/>
      <c r="G3573" s="4"/>
      <c r="H3573" s="4"/>
    </row>
    <row r="3574">
      <c r="D3574" s="5"/>
      <c r="E3574" s="4"/>
      <c r="F3574" s="4"/>
      <c r="G3574" s="4"/>
      <c r="H3574" s="4"/>
    </row>
    <row r="3575">
      <c r="D3575" s="5"/>
      <c r="E3575" s="4"/>
      <c r="F3575" s="4"/>
      <c r="G3575" s="4"/>
      <c r="H3575" s="4"/>
    </row>
    <row r="3576">
      <c r="D3576" s="5"/>
      <c r="E3576" s="4"/>
      <c r="F3576" s="4"/>
      <c r="G3576" s="4"/>
      <c r="H3576" s="4"/>
    </row>
    <row r="3577">
      <c r="D3577" s="5"/>
      <c r="E3577" s="4"/>
      <c r="F3577" s="4"/>
      <c r="G3577" s="4"/>
      <c r="H3577" s="4"/>
    </row>
    <row r="3578">
      <c r="D3578" s="5"/>
      <c r="E3578" s="4"/>
      <c r="F3578" s="4"/>
      <c r="G3578" s="4"/>
      <c r="H3578" s="4"/>
    </row>
    <row r="3579">
      <c r="D3579" s="5"/>
      <c r="E3579" s="4"/>
      <c r="F3579" s="4"/>
      <c r="G3579" s="4"/>
      <c r="H3579" s="4"/>
    </row>
    <row r="3580">
      <c r="D3580" s="5"/>
      <c r="E3580" s="4"/>
      <c r="F3580" s="4"/>
      <c r="G3580" s="4"/>
      <c r="H3580" s="4"/>
    </row>
    <row r="3581">
      <c r="D3581" s="5"/>
      <c r="E3581" s="4"/>
      <c r="F3581" s="4"/>
      <c r="G3581" s="4"/>
      <c r="H3581" s="4"/>
    </row>
    <row r="3582">
      <c r="D3582" s="5"/>
      <c r="E3582" s="4"/>
      <c r="F3582" s="4"/>
      <c r="G3582" s="4"/>
      <c r="H3582" s="4"/>
    </row>
    <row r="3583">
      <c r="D3583" s="5"/>
      <c r="E3583" s="4"/>
      <c r="F3583" s="4"/>
      <c r="G3583" s="4"/>
      <c r="H3583" s="4"/>
    </row>
    <row r="3584">
      <c r="D3584" s="5"/>
      <c r="E3584" s="4"/>
      <c r="F3584" s="4"/>
      <c r="G3584" s="4"/>
      <c r="H3584" s="4"/>
    </row>
    <row r="3585">
      <c r="D3585" s="5"/>
      <c r="E3585" s="4"/>
      <c r="F3585" s="4"/>
      <c r="G3585" s="4"/>
      <c r="H3585" s="4"/>
    </row>
    <row r="3586">
      <c r="D3586" s="5"/>
      <c r="E3586" s="4"/>
      <c r="F3586" s="4"/>
      <c r="G3586" s="4"/>
      <c r="H3586" s="4"/>
    </row>
    <row r="3587">
      <c r="D3587" s="5"/>
      <c r="E3587" s="4"/>
      <c r="F3587" s="4"/>
      <c r="G3587" s="4"/>
      <c r="H3587" s="4"/>
    </row>
    <row r="3588">
      <c r="D3588" s="5"/>
      <c r="E3588" s="4"/>
      <c r="F3588" s="4"/>
      <c r="G3588" s="4"/>
      <c r="H3588" s="4"/>
    </row>
    <row r="3589">
      <c r="D3589" s="5"/>
      <c r="E3589" s="4"/>
      <c r="F3589" s="4"/>
      <c r="G3589" s="4"/>
      <c r="H3589" s="4"/>
    </row>
    <row r="3590">
      <c r="D3590" s="5"/>
      <c r="E3590" s="4"/>
      <c r="F3590" s="4"/>
      <c r="G3590" s="4"/>
      <c r="H3590" s="4"/>
    </row>
    <row r="3591">
      <c r="D3591" s="5"/>
      <c r="E3591" s="4"/>
      <c r="F3591" s="4"/>
      <c r="G3591" s="4"/>
      <c r="H3591" s="4"/>
    </row>
    <row r="3592">
      <c r="D3592" s="5"/>
      <c r="E3592" s="4"/>
      <c r="F3592" s="4"/>
      <c r="G3592" s="4"/>
      <c r="H3592" s="4"/>
    </row>
    <row r="3593">
      <c r="D3593" s="5"/>
      <c r="E3593" s="4"/>
      <c r="F3593" s="4"/>
      <c r="G3593" s="4"/>
      <c r="H3593" s="4"/>
    </row>
    <row r="3594">
      <c r="D3594" s="5"/>
      <c r="E3594" s="4"/>
      <c r="F3594" s="4"/>
      <c r="G3594" s="4"/>
      <c r="H3594" s="4"/>
    </row>
    <row r="3595">
      <c r="D3595" s="5"/>
      <c r="E3595" s="4"/>
      <c r="F3595" s="4"/>
      <c r="G3595" s="4"/>
      <c r="H3595" s="4"/>
    </row>
    <row r="3596">
      <c r="D3596" s="5"/>
      <c r="E3596" s="4"/>
      <c r="F3596" s="4"/>
      <c r="G3596" s="4"/>
      <c r="H3596" s="4"/>
    </row>
    <row r="3597">
      <c r="D3597" s="5"/>
      <c r="E3597" s="4"/>
      <c r="F3597" s="4"/>
      <c r="G3597" s="4"/>
      <c r="H3597" s="4"/>
    </row>
    <row r="3598">
      <c r="D3598" s="5"/>
      <c r="E3598" s="4"/>
      <c r="F3598" s="4"/>
      <c r="G3598" s="4"/>
      <c r="H3598" s="4"/>
    </row>
    <row r="3599">
      <c r="D3599" s="5"/>
      <c r="E3599" s="4"/>
      <c r="F3599" s="4"/>
      <c r="G3599" s="4"/>
      <c r="H3599" s="4"/>
    </row>
    <row r="3600">
      <c r="D3600" s="5"/>
      <c r="E3600" s="4"/>
      <c r="F3600" s="4"/>
      <c r="G3600" s="4"/>
      <c r="H3600" s="4"/>
    </row>
    <row r="3601">
      <c r="D3601" s="5"/>
      <c r="E3601" s="4"/>
      <c r="F3601" s="4"/>
      <c r="G3601" s="4"/>
      <c r="H3601" s="4"/>
    </row>
    <row r="3602">
      <c r="D3602" s="5"/>
      <c r="E3602" s="4"/>
      <c r="F3602" s="4"/>
      <c r="G3602" s="4"/>
      <c r="H3602" s="4"/>
    </row>
    <row r="3603">
      <c r="D3603" s="5"/>
      <c r="E3603" s="4"/>
      <c r="F3603" s="4"/>
      <c r="G3603" s="4"/>
      <c r="H3603" s="4"/>
    </row>
    <row r="3604">
      <c r="D3604" s="5"/>
      <c r="E3604" s="4"/>
      <c r="F3604" s="4"/>
      <c r="G3604" s="4"/>
      <c r="H3604" s="4"/>
    </row>
    <row r="3605">
      <c r="D3605" s="5"/>
      <c r="E3605" s="4"/>
      <c r="F3605" s="4"/>
      <c r="G3605" s="4"/>
      <c r="H3605" s="4"/>
    </row>
    <row r="3606">
      <c r="D3606" s="5"/>
      <c r="E3606" s="4"/>
      <c r="F3606" s="4"/>
      <c r="G3606" s="4"/>
      <c r="H3606" s="4"/>
    </row>
    <row r="3607">
      <c r="D3607" s="5"/>
      <c r="E3607" s="4"/>
      <c r="F3607" s="4"/>
      <c r="G3607" s="4"/>
      <c r="H3607" s="4"/>
    </row>
    <row r="3608">
      <c r="D3608" s="5"/>
      <c r="E3608" s="4"/>
      <c r="F3608" s="4"/>
      <c r="G3608" s="4"/>
      <c r="H3608" s="4"/>
    </row>
    <row r="3609">
      <c r="D3609" s="5"/>
      <c r="E3609" s="4"/>
      <c r="F3609" s="4"/>
      <c r="G3609" s="4"/>
      <c r="H3609" s="4"/>
    </row>
    <row r="3610">
      <c r="D3610" s="5"/>
      <c r="E3610" s="4"/>
      <c r="F3610" s="4"/>
      <c r="G3610" s="4"/>
      <c r="H3610" s="4"/>
    </row>
    <row r="3611">
      <c r="D3611" s="5"/>
      <c r="E3611" s="4"/>
      <c r="F3611" s="4"/>
      <c r="G3611" s="4"/>
      <c r="H3611" s="4"/>
    </row>
    <row r="3612">
      <c r="D3612" s="5"/>
      <c r="E3612" s="4"/>
      <c r="F3612" s="4"/>
      <c r="G3612" s="4"/>
      <c r="H3612" s="4"/>
    </row>
    <row r="3613">
      <c r="D3613" s="5"/>
      <c r="E3613" s="4"/>
      <c r="F3613" s="4"/>
      <c r="G3613" s="4"/>
      <c r="H3613" s="4"/>
    </row>
    <row r="3614">
      <c r="D3614" s="5"/>
      <c r="E3614" s="4"/>
      <c r="F3614" s="4"/>
      <c r="G3614" s="4"/>
      <c r="H3614" s="4"/>
    </row>
    <row r="3615">
      <c r="D3615" s="5"/>
      <c r="E3615" s="4"/>
      <c r="F3615" s="4"/>
      <c r="G3615" s="4"/>
      <c r="H3615" s="4"/>
    </row>
    <row r="3616">
      <c r="D3616" s="5"/>
      <c r="E3616" s="4"/>
      <c r="F3616" s="4"/>
      <c r="G3616" s="4"/>
      <c r="H3616" s="4"/>
    </row>
    <row r="3617">
      <c r="D3617" s="5"/>
      <c r="E3617" s="4"/>
      <c r="F3617" s="4"/>
      <c r="G3617" s="4"/>
      <c r="H3617" s="4"/>
    </row>
    <row r="3618">
      <c r="D3618" s="5"/>
      <c r="E3618" s="4"/>
      <c r="F3618" s="4"/>
      <c r="G3618" s="4"/>
      <c r="H3618" s="4"/>
    </row>
    <row r="3619">
      <c r="D3619" s="5"/>
      <c r="E3619" s="4"/>
      <c r="F3619" s="4"/>
      <c r="G3619" s="4"/>
      <c r="H3619" s="4"/>
    </row>
    <row r="3620">
      <c r="D3620" s="5"/>
      <c r="E3620" s="4"/>
      <c r="F3620" s="4"/>
      <c r="G3620" s="4"/>
      <c r="H3620" s="4"/>
    </row>
    <row r="3621">
      <c r="D3621" s="5"/>
      <c r="E3621" s="4"/>
      <c r="F3621" s="4"/>
      <c r="G3621" s="4"/>
      <c r="H3621" s="4"/>
    </row>
    <row r="3622">
      <c r="D3622" s="5"/>
      <c r="E3622" s="4"/>
      <c r="F3622" s="4"/>
      <c r="G3622" s="4"/>
      <c r="H3622" s="4"/>
    </row>
    <row r="3623">
      <c r="D3623" s="5"/>
      <c r="E3623" s="4"/>
      <c r="F3623" s="4"/>
      <c r="G3623" s="4"/>
      <c r="H3623" s="4"/>
    </row>
    <row r="3624">
      <c r="D3624" s="5"/>
      <c r="E3624" s="4"/>
      <c r="F3624" s="4"/>
      <c r="G3624" s="4"/>
      <c r="H3624" s="4"/>
    </row>
    <row r="3625">
      <c r="D3625" s="5"/>
      <c r="E3625" s="4"/>
      <c r="F3625" s="4"/>
      <c r="G3625" s="4"/>
      <c r="H3625" s="4"/>
    </row>
    <row r="3626">
      <c r="D3626" s="5"/>
      <c r="E3626" s="4"/>
      <c r="F3626" s="4"/>
      <c r="G3626" s="4"/>
      <c r="H3626" s="4"/>
    </row>
    <row r="3627">
      <c r="D3627" s="5"/>
      <c r="E3627" s="4"/>
      <c r="F3627" s="4"/>
      <c r="G3627" s="4"/>
      <c r="H3627" s="4"/>
    </row>
    <row r="3628">
      <c r="D3628" s="5"/>
      <c r="E3628" s="4"/>
      <c r="F3628" s="4"/>
      <c r="G3628" s="4"/>
      <c r="H3628" s="4"/>
    </row>
    <row r="3629">
      <c r="D3629" s="5"/>
      <c r="E3629" s="4"/>
      <c r="F3629" s="4"/>
      <c r="G3629" s="4"/>
      <c r="H3629" s="4"/>
    </row>
    <row r="3630">
      <c r="D3630" s="5"/>
      <c r="E3630" s="4"/>
      <c r="F3630" s="4"/>
      <c r="G3630" s="4"/>
      <c r="H3630" s="4"/>
    </row>
    <row r="3631">
      <c r="D3631" s="5"/>
      <c r="E3631" s="4"/>
      <c r="F3631" s="4"/>
      <c r="G3631" s="4"/>
      <c r="H3631" s="4"/>
    </row>
    <row r="3632">
      <c r="D3632" s="5"/>
      <c r="E3632" s="4"/>
      <c r="F3632" s="4"/>
      <c r="G3632" s="4"/>
      <c r="H3632" s="4"/>
    </row>
    <row r="3633">
      <c r="D3633" s="5"/>
      <c r="E3633" s="4"/>
      <c r="F3633" s="4"/>
      <c r="G3633" s="4"/>
      <c r="H3633" s="4"/>
    </row>
    <row r="3634">
      <c r="D3634" s="5"/>
      <c r="E3634" s="4"/>
      <c r="F3634" s="4"/>
      <c r="G3634" s="4"/>
      <c r="H3634" s="4"/>
    </row>
    <row r="3635">
      <c r="D3635" s="5"/>
      <c r="E3635" s="4"/>
      <c r="F3635" s="4"/>
      <c r="G3635" s="4"/>
      <c r="H3635" s="4"/>
    </row>
    <row r="3636">
      <c r="D3636" s="5"/>
      <c r="E3636" s="4"/>
      <c r="F3636" s="4"/>
      <c r="G3636" s="4"/>
      <c r="H3636" s="4"/>
    </row>
    <row r="3637">
      <c r="D3637" s="5"/>
      <c r="E3637" s="4"/>
      <c r="F3637" s="4"/>
      <c r="G3637" s="4"/>
      <c r="H3637" s="4"/>
    </row>
    <row r="3638">
      <c r="D3638" s="5"/>
      <c r="E3638" s="4"/>
      <c r="F3638" s="4"/>
      <c r="G3638" s="4"/>
      <c r="H3638" s="4"/>
    </row>
    <row r="3639">
      <c r="D3639" s="5"/>
      <c r="E3639" s="4"/>
      <c r="F3639" s="4"/>
      <c r="G3639" s="4"/>
      <c r="H3639" s="4"/>
    </row>
    <row r="3640">
      <c r="D3640" s="5"/>
      <c r="E3640" s="4"/>
      <c r="F3640" s="4"/>
      <c r="G3640" s="4"/>
      <c r="H3640" s="4"/>
    </row>
    <row r="3641">
      <c r="D3641" s="5"/>
      <c r="E3641" s="4"/>
      <c r="F3641" s="4"/>
      <c r="G3641" s="4"/>
      <c r="H3641" s="4"/>
    </row>
    <row r="3642">
      <c r="D3642" s="5"/>
      <c r="E3642" s="4"/>
      <c r="F3642" s="4"/>
      <c r="G3642" s="4"/>
      <c r="H3642" s="4"/>
    </row>
    <row r="3643">
      <c r="D3643" s="5"/>
      <c r="E3643" s="4"/>
      <c r="F3643" s="4"/>
      <c r="G3643" s="4"/>
      <c r="H3643" s="4"/>
    </row>
    <row r="3644">
      <c r="D3644" s="5"/>
      <c r="E3644" s="4"/>
      <c r="F3644" s="4"/>
      <c r="G3644" s="4"/>
      <c r="H3644" s="4"/>
    </row>
    <row r="3645">
      <c r="D3645" s="5"/>
      <c r="E3645" s="4"/>
      <c r="F3645" s="4"/>
      <c r="G3645" s="4"/>
      <c r="H3645" s="4"/>
    </row>
    <row r="3646">
      <c r="D3646" s="5"/>
      <c r="E3646" s="4"/>
      <c r="F3646" s="4"/>
      <c r="G3646" s="4"/>
      <c r="H3646" s="4"/>
    </row>
    <row r="3647">
      <c r="D3647" s="5"/>
      <c r="E3647" s="4"/>
      <c r="F3647" s="4"/>
      <c r="G3647" s="4"/>
      <c r="H3647" s="4"/>
    </row>
    <row r="3648">
      <c r="D3648" s="5"/>
      <c r="E3648" s="4"/>
      <c r="F3648" s="4"/>
      <c r="G3648" s="4"/>
      <c r="H3648" s="4"/>
    </row>
    <row r="3649">
      <c r="D3649" s="5"/>
      <c r="E3649" s="4"/>
      <c r="F3649" s="4"/>
      <c r="G3649" s="4"/>
      <c r="H3649" s="4"/>
    </row>
    <row r="3650">
      <c r="D3650" s="5"/>
      <c r="E3650" s="4"/>
      <c r="F3650" s="4"/>
      <c r="G3650" s="4"/>
      <c r="H3650" s="4"/>
    </row>
    <row r="3651">
      <c r="D3651" s="5"/>
      <c r="E3651" s="4"/>
      <c r="F3651" s="4"/>
      <c r="G3651" s="4"/>
      <c r="H3651" s="4"/>
    </row>
    <row r="3652">
      <c r="D3652" s="5"/>
      <c r="E3652" s="4"/>
      <c r="F3652" s="4"/>
      <c r="G3652" s="4"/>
      <c r="H3652" s="4"/>
    </row>
    <row r="3653">
      <c r="D3653" s="5"/>
      <c r="E3653" s="4"/>
      <c r="F3653" s="4"/>
      <c r="G3653" s="4"/>
      <c r="H3653" s="4"/>
    </row>
    <row r="3654">
      <c r="D3654" s="5"/>
      <c r="E3654" s="4"/>
      <c r="F3654" s="4"/>
      <c r="G3654" s="4"/>
      <c r="H3654" s="4"/>
    </row>
    <row r="3655">
      <c r="D3655" s="5"/>
      <c r="E3655" s="4"/>
      <c r="F3655" s="4"/>
      <c r="G3655" s="4"/>
      <c r="H3655" s="4"/>
    </row>
    <row r="3656">
      <c r="D3656" s="5"/>
      <c r="E3656" s="4"/>
      <c r="F3656" s="4"/>
      <c r="G3656" s="4"/>
      <c r="H3656" s="4"/>
    </row>
    <row r="3657">
      <c r="D3657" s="5"/>
      <c r="E3657" s="4"/>
      <c r="F3657" s="4"/>
      <c r="G3657" s="4"/>
      <c r="H3657" s="4"/>
    </row>
    <row r="3658">
      <c r="D3658" s="5"/>
      <c r="E3658" s="4"/>
      <c r="F3658" s="4"/>
      <c r="G3658" s="4"/>
      <c r="H3658" s="4"/>
    </row>
    <row r="3659">
      <c r="D3659" s="5"/>
      <c r="E3659" s="4"/>
      <c r="F3659" s="4"/>
      <c r="G3659" s="4"/>
      <c r="H3659" s="4"/>
    </row>
    <row r="3660">
      <c r="D3660" s="5"/>
      <c r="E3660" s="4"/>
      <c r="F3660" s="4"/>
      <c r="G3660" s="4"/>
      <c r="H3660" s="4"/>
    </row>
    <row r="3661">
      <c r="D3661" s="5"/>
      <c r="E3661" s="4"/>
      <c r="F3661" s="4"/>
      <c r="G3661" s="4"/>
      <c r="H3661" s="4"/>
    </row>
    <row r="3662">
      <c r="D3662" s="5"/>
      <c r="E3662" s="4"/>
      <c r="F3662" s="4"/>
      <c r="G3662" s="4"/>
      <c r="H3662" s="4"/>
    </row>
    <row r="3663">
      <c r="D3663" s="5"/>
      <c r="E3663" s="4"/>
      <c r="F3663" s="4"/>
      <c r="G3663" s="4"/>
      <c r="H3663" s="4"/>
    </row>
    <row r="3664">
      <c r="D3664" s="5"/>
      <c r="E3664" s="4"/>
      <c r="F3664" s="4"/>
      <c r="G3664" s="4"/>
      <c r="H3664" s="4"/>
    </row>
    <row r="3665">
      <c r="D3665" s="5"/>
      <c r="E3665" s="4"/>
      <c r="F3665" s="4"/>
      <c r="G3665" s="4"/>
      <c r="H3665" s="4"/>
    </row>
    <row r="3666">
      <c r="D3666" s="5"/>
      <c r="E3666" s="4"/>
      <c r="F3666" s="4"/>
      <c r="G3666" s="4"/>
      <c r="H3666" s="4"/>
    </row>
    <row r="3667">
      <c r="D3667" s="5"/>
      <c r="E3667" s="4"/>
      <c r="F3667" s="4"/>
      <c r="G3667" s="4"/>
      <c r="H3667" s="4"/>
    </row>
    <row r="3668">
      <c r="D3668" s="5"/>
      <c r="E3668" s="4"/>
      <c r="F3668" s="4"/>
      <c r="G3668" s="4"/>
      <c r="H3668" s="4"/>
    </row>
    <row r="3669">
      <c r="D3669" s="5"/>
      <c r="E3669" s="4"/>
      <c r="F3669" s="4"/>
      <c r="G3669" s="4"/>
      <c r="H3669" s="4"/>
    </row>
    <row r="3670">
      <c r="D3670" s="5"/>
      <c r="E3670" s="4"/>
      <c r="F3670" s="4"/>
      <c r="G3670" s="4"/>
      <c r="H3670" s="4"/>
    </row>
    <row r="3671">
      <c r="D3671" s="5"/>
      <c r="E3671" s="4"/>
      <c r="F3671" s="4"/>
      <c r="G3671" s="4"/>
      <c r="H3671" s="4"/>
    </row>
    <row r="3672">
      <c r="D3672" s="5"/>
      <c r="E3672" s="4"/>
      <c r="F3672" s="4"/>
      <c r="G3672" s="4"/>
      <c r="H3672" s="4"/>
    </row>
    <row r="3673">
      <c r="D3673" s="5"/>
      <c r="E3673" s="4"/>
      <c r="F3673" s="4"/>
      <c r="G3673" s="4"/>
      <c r="H3673" s="4"/>
    </row>
    <row r="3674">
      <c r="D3674" s="5"/>
      <c r="E3674" s="4"/>
      <c r="F3674" s="4"/>
      <c r="G3674" s="4"/>
      <c r="H3674" s="4"/>
    </row>
    <row r="3675">
      <c r="D3675" s="5"/>
      <c r="E3675" s="4"/>
      <c r="F3675" s="4"/>
      <c r="G3675" s="4"/>
      <c r="H3675" s="4"/>
    </row>
    <row r="3676">
      <c r="D3676" s="5"/>
      <c r="E3676" s="4"/>
      <c r="F3676" s="4"/>
      <c r="G3676" s="4"/>
      <c r="H3676" s="4"/>
    </row>
    <row r="3677">
      <c r="D3677" s="5"/>
      <c r="E3677" s="4"/>
      <c r="F3677" s="4"/>
      <c r="G3677" s="4"/>
      <c r="H3677" s="4"/>
    </row>
    <row r="3678">
      <c r="D3678" s="5"/>
      <c r="E3678" s="4"/>
      <c r="F3678" s="4"/>
      <c r="G3678" s="4"/>
      <c r="H3678" s="4"/>
    </row>
    <row r="3679">
      <c r="D3679" s="5"/>
      <c r="E3679" s="4"/>
      <c r="F3679" s="4"/>
      <c r="G3679" s="4"/>
      <c r="H3679" s="4"/>
    </row>
    <row r="3680">
      <c r="D3680" s="5"/>
      <c r="E3680" s="4"/>
      <c r="F3680" s="4"/>
      <c r="G3680" s="4"/>
      <c r="H3680" s="4"/>
    </row>
    <row r="3681">
      <c r="D3681" s="5"/>
      <c r="E3681" s="4"/>
      <c r="F3681" s="4"/>
      <c r="G3681" s="4"/>
      <c r="H3681" s="4"/>
    </row>
    <row r="3682">
      <c r="D3682" s="5"/>
      <c r="E3682" s="4"/>
      <c r="F3682" s="4"/>
      <c r="G3682" s="4"/>
      <c r="H3682" s="4"/>
    </row>
    <row r="3683">
      <c r="D3683" s="5"/>
      <c r="E3683" s="4"/>
      <c r="F3683" s="4"/>
      <c r="G3683" s="4"/>
      <c r="H3683" s="4"/>
    </row>
    <row r="3684">
      <c r="D3684" s="5"/>
      <c r="E3684" s="4"/>
      <c r="F3684" s="4"/>
      <c r="G3684" s="4"/>
      <c r="H3684" s="4"/>
    </row>
    <row r="3685">
      <c r="D3685" s="5"/>
      <c r="E3685" s="4"/>
      <c r="F3685" s="4"/>
      <c r="G3685" s="4"/>
      <c r="H3685" s="4"/>
    </row>
    <row r="3686">
      <c r="D3686" s="5"/>
      <c r="E3686" s="4"/>
      <c r="F3686" s="4"/>
      <c r="G3686" s="4"/>
      <c r="H3686" s="4"/>
    </row>
    <row r="3687">
      <c r="D3687" s="5"/>
      <c r="E3687" s="4"/>
      <c r="F3687" s="4"/>
      <c r="G3687" s="4"/>
      <c r="H3687" s="4"/>
    </row>
    <row r="3688">
      <c r="D3688" s="5"/>
      <c r="E3688" s="4"/>
      <c r="F3688" s="4"/>
      <c r="G3688" s="4"/>
      <c r="H3688" s="4"/>
    </row>
    <row r="3689">
      <c r="D3689" s="5"/>
      <c r="E3689" s="4"/>
      <c r="F3689" s="4"/>
      <c r="G3689" s="4"/>
      <c r="H3689" s="4"/>
    </row>
    <row r="3690">
      <c r="D3690" s="5"/>
      <c r="E3690" s="4"/>
      <c r="F3690" s="4"/>
      <c r="G3690" s="4"/>
      <c r="H3690" s="4"/>
    </row>
    <row r="3691">
      <c r="D3691" s="5"/>
      <c r="E3691" s="4"/>
      <c r="F3691" s="4"/>
      <c r="G3691" s="4"/>
      <c r="H3691" s="4"/>
    </row>
    <row r="3692">
      <c r="D3692" s="5"/>
      <c r="E3692" s="4"/>
      <c r="F3692" s="4"/>
      <c r="G3692" s="4"/>
      <c r="H3692" s="4"/>
    </row>
    <row r="3693">
      <c r="D3693" s="5"/>
      <c r="E3693" s="4"/>
      <c r="F3693" s="4"/>
      <c r="G3693" s="4"/>
      <c r="H3693" s="4"/>
    </row>
    <row r="3694">
      <c r="D3694" s="5"/>
      <c r="E3694" s="4"/>
      <c r="F3694" s="4"/>
      <c r="G3694" s="4"/>
      <c r="H3694" s="4"/>
    </row>
    <row r="3695">
      <c r="D3695" s="5"/>
      <c r="E3695" s="4"/>
      <c r="F3695" s="4"/>
      <c r="G3695" s="4"/>
      <c r="H3695" s="4"/>
    </row>
    <row r="3696">
      <c r="D3696" s="5"/>
      <c r="E3696" s="4"/>
      <c r="F3696" s="4"/>
      <c r="G3696" s="4"/>
      <c r="H3696" s="4"/>
    </row>
    <row r="3697">
      <c r="D3697" s="5"/>
      <c r="E3697" s="4"/>
      <c r="F3697" s="4"/>
      <c r="G3697" s="4"/>
      <c r="H3697" s="4"/>
    </row>
    <row r="3698">
      <c r="D3698" s="5"/>
      <c r="E3698" s="4"/>
      <c r="F3698" s="4"/>
      <c r="G3698" s="4"/>
      <c r="H3698" s="4"/>
    </row>
    <row r="3699">
      <c r="D3699" s="5"/>
      <c r="E3699" s="4"/>
      <c r="F3699" s="4"/>
      <c r="G3699" s="4"/>
      <c r="H3699" s="4"/>
    </row>
    <row r="3700">
      <c r="D3700" s="5"/>
      <c r="E3700" s="4"/>
      <c r="F3700" s="4"/>
      <c r="G3700" s="4"/>
      <c r="H3700" s="4"/>
    </row>
    <row r="3701">
      <c r="D3701" s="5"/>
      <c r="E3701" s="4"/>
      <c r="F3701" s="4"/>
      <c r="G3701" s="4"/>
      <c r="H3701" s="4"/>
    </row>
    <row r="3702">
      <c r="D3702" s="5"/>
      <c r="E3702" s="4"/>
      <c r="F3702" s="4"/>
      <c r="G3702" s="4"/>
      <c r="H3702" s="4"/>
    </row>
    <row r="3703">
      <c r="D3703" s="5"/>
      <c r="E3703" s="4"/>
      <c r="F3703" s="4"/>
      <c r="G3703" s="4"/>
      <c r="H3703" s="4"/>
    </row>
    <row r="3704">
      <c r="D3704" s="5"/>
      <c r="E3704" s="4"/>
      <c r="F3704" s="4"/>
      <c r="G3704" s="4"/>
      <c r="H3704" s="4"/>
    </row>
    <row r="3705">
      <c r="D3705" s="5"/>
      <c r="E3705" s="4"/>
      <c r="F3705" s="4"/>
      <c r="G3705" s="4"/>
      <c r="H3705" s="4"/>
    </row>
    <row r="3706">
      <c r="D3706" s="5"/>
      <c r="E3706" s="4"/>
      <c r="F3706" s="4"/>
      <c r="G3706" s="4"/>
      <c r="H3706" s="4"/>
    </row>
    <row r="3707">
      <c r="D3707" s="5"/>
      <c r="E3707" s="4"/>
      <c r="F3707" s="4"/>
      <c r="G3707" s="4"/>
      <c r="H3707" s="4"/>
    </row>
    <row r="3708">
      <c r="D3708" s="5"/>
      <c r="E3708" s="4"/>
      <c r="F3708" s="4"/>
      <c r="G3708" s="4"/>
      <c r="H3708" s="4"/>
    </row>
    <row r="3709">
      <c r="D3709" s="5"/>
      <c r="E3709" s="4"/>
      <c r="F3709" s="4"/>
      <c r="G3709" s="4"/>
      <c r="H3709" s="4"/>
    </row>
    <row r="3710">
      <c r="D3710" s="5"/>
      <c r="E3710" s="4"/>
      <c r="F3710" s="4"/>
      <c r="G3710" s="4"/>
      <c r="H3710" s="4"/>
    </row>
    <row r="3711">
      <c r="D3711" s="5"/>
      <c r="E3711" s="4"/>
      <c r="F3711" s="4"/>
      <c r="G3711" s="4"/>
      <c r="H3711" s="4"/>
    </row>
    <row r="3712">
      <c r="D3712" s="5"/>
      <c r="E3712" s="4"/>
      <c r="F3712" s="4"/>
      <c r="G3712" s="4"/>
      <c r="H3712" s="4"/>
    </row>
    <row r="3713">
      <c r="D3713" s="5"/>
      <c r="E3713" s="4"/>
      <c r="F3713" s="4"/>
      <c r="G3713" s="4"/>
      <c r="H3713" s="4"/>
    </row>
    <row r="3714">
      <c r="D3714" s="5"/>
      <c r="E3714" s="4"/>
      <c r="F3714" s="4"/>
      <c r="G3714" s="4"/>
      <c r="H3714" s="4"/>
    </row>
    <row r="3715">
      <c r="D3715" s="5"/>
      <c r="E3715" s="4"/>
      <c r="F3715" s="4"/>
      <c r="G3715" s="4"/>
      <c r="H3715" s="4"/>
    </row>
    <row r="3716">
      <c r="D3716" s="5"/>
      <c r="E3716" s="4"/>
      <c r="F3716" s="4"/>
      <c r="G3716" s="4"/>
      <c r="H3716" s="4"/>
    </row>
    <row r="3717">
      <c r="D3717" s="5"/>
      <c r="E3717" s="4"/>
      <c r="F3717" s="4"/>
      <c r="G3717" s="4"/>
      <c r="H3717" s="4"/>
    </row>
    <row r="3718">
      <c r="D3718" s="5"/>
      <c r="E3718" s="4"/>
      <c r="F3718" s="4"/>
      <c r="G3718" s="4"/>
      <c r="H3718" s="4"/>
    </row>
    <row r="3719">
      <c r="D3719" s="5"/>
      <c r="E3719" s="4"/>
      <c r="F3719" s="4"/>
      <c r="G3719" s="4"/>
      <c r="H3719" s="4"/>
    </row>
    <row r="3720">
      <c r="D3720" s="5"/>
      <c r="E3720" s="4"/>
      <c r="F3720" s="4"/>
      <c r="G3720" s="4"/>
      <c r="H3720" s="4"/>
    </row>
    <row r="3721">
      <c r="D3721" s="5"/>
      <c r="E3721" s="4"/>
      <c r="F3721" s="4"/>
      <c r="G3721" s="4"/>
      <c r="H3721" s="4"/>
    </row>
    <row r="3722">
      <c r="D3722" s="5"/>
      <c r="E3722" s="4"/>
      <c r="F3722" s="4"/>
      <c r="G3722" s="4"/>
      <c r="H3722" s="4"/>
    </row>
    <row r="3723">
      <c r="D3723" s="5"/>
      <c r="E3723" s="4"/>
      <c r="F3723" s="4"/>
      <c r="G3723" s="4"/>
      <c r="H3723" s="4"/>
    </row>
    <row r="3724">
      <c r="D3724" s="5"/>
      <c r="E3724" s="4"/>
      <c r="F3724" s="4"/>
      <c r="G3724" s="4"/>
      <c r="H3724" s="4"/>
    </row>
    <row r="3725">
      <c r="D3725" s="5"/>
      <c r="E3725" s="4"/>
      <c r="F3725" s="4"/>
      <c r="G3725" s="4"/>
      <c r="H3725" s="4"/>
    </row>
    <row r="3726">
      <c r="D3726" s="5"/>
      <c r="E3726" s="4"/>
      <c r="F3726" s="4"/>
      <c r="G3726" s="4"/>
      <c r="H3726" s="4"/>
    </row>
    <row r="3727">
      <c r="D3727" s="5"/>
      <c r="E3727" s="4"/>
      <c r="F3727" s="4"/>
      <c r="G3727" s="4"/>
      <c r="H3727" s="4"/>
    </row>
    <row r="3728">
      <c r="D3728" s="5"/>
      <c r="E3728" s="4"/>
      <c r="F3728" s="4"/>
      <c r="G3728" s="4"/>
      <c r="H3728" s="4"/>
    </row>
    <row r="3729">
      <c r="D3729" s="5"/>
      <c r="E3729" s="4"/>
      <c r="F3729" s="4"/>
      <c r="G3729" s="4"/>
      <c r="H3729" s="4"/>
    </row>
    <row r="3730">
      <c r="D3730" s="5"/>
      <c r="E3730" s="4"/>
      <c r="F3730" s="4"/>
      <c r="G3730" s="4"/>
      <c r="H3730" s="4"/>
    </row>
    <row r="3731">
      <c r="D3731" s="5"/>
      <c r="E3731" s="4"/>
      <c r="F3731" s="4"/>
      <c r="G3731" s="4"/>
      <c r="H3731" s="4"/>
    </row>
    <row r="3732">
      <c r="D3732" s="5"/>
      <c r="E3732" s="4"/>
      <c r="F3732" s="4"/>
      <c r="G3732" s="4"/>
      <c r="H3732" s="4"/>
    </row>
    <row r="3733">
      <c r="D3733" s="5"/>
      <c r="E3733" s="4"/>
      <c r="F3733" s="4"/>
      <c r="G3733" s="4"/>
      <c r="H3733" s="4"/>
    </row>
    <row r="3734">
      <c r="D3734" s="5"/>
      <c r="E3734" s="4"/>
      <c r="F3734" s="4"/>
      <c r="G3734" s="4"/>
      <c r="H3734" s="4"/>
    </row>
    <row r="3735">
      <c r="D3735" s="5"/>
      <c r="E3735" s="4"/>
      <c r="F3735" s="4"/>
      <c r="G3735" s="4"/>
      <c r="H3735" s="4"/>
    </row>
    <row r="3736">
      <c r="D3736" s="5"/>
      <c r="E3736" s="4"/>
      <c r="F3736" s="4"/>
      <c r="G3736" s="4"/>
      <c r="H3736" s="4"/>
    </row>
    <row r="3737">
      <c r="D3737" s="5"/>
      <c r="E3737" s="4"/>
      <c r="F3737" s="4"/>
      <c r="G3737" s="4"/>
      <c r="H3737" s="4"/>
    </row>
    <row r="3738">
      <c r="D3738" s="5"/>
      <c r="E3738" s="4"/>
      <c r="F3738" s="4"/>
      <c r="G3738" s="4"/>
      <c r="H3738" s="4"/>
    </row>
    <row r="3739">
      <c r="D3739" s="5"/>
      <c r="E3739" s="4"/>
      <c r="F3739" s="4"/>
      <c r="G3739" s="4"/>
      <c r="H3739" s="4"/>
    </row>
    <row r="3740">
      <c r="D3740" s="5"/>
      <c r="E3740" s="4"/>
      <c r="F3740" s="4"/>
      <c r="G3740" s="4"/>
      <c r="H3740" s="4"/>
    </row>
    <row r="3741">
      <c r="D3741" s="5"/>
      <c r="E3741" s="4"/>
      <c r="F3741" s="4"/>
      <c r="G3741" s="4"/>
      <c r="H3741" s="4"/>
    </row>
    <row r="3742">
      <c r="D3742" s="5"/>
      <c r="E3742" s="4"/>
      <c r="F3742" s="4"/>
      <c r="G3742" s="4"/>
      <c r="H3742" s="4"/>
    </row>
    <row r="3743">
      <c r="D3743" s="5"/>
      <c r="E3743" s="4"/>
      <c r="F3743" s="4"/>
      <c r="G3743" s="4"/>
      <c r="H3743" s="4"/>
    </row>
    <row r="3744">
      <c r="D3744" s="5"/>
      <c r="E3744" s="4"/>
      <c r="F3744" s="4"/>
      <c r="G3744" s="4"/>
      <c r="H3744" s="4"/>
    </row>
    <row r="3745">
      <c r="D3745" s="5"/>
      <c r="E3745" s="4"/>
      <c r="F3745" s="4"/>
      <c r="G3745" s="4"/>
      <c r="H3745" s="4"/>
    </row>
    <row r="3746">
      <c r="D3746" s="5"/>
      <c r="E3746" s="4"/>
      <c r="F3746" s="4"/>
      <c r="G3746" s="4"/>
      <c r="H3746" s="4"/>
    </row>
    <row r="3747">
      <c r="D3747" s="5"/>
      <c r="E3747" s="4"/>
      <c r="F3747" s="4"/>
      <c r="G3747" s="4"/>
      <c r="H3747" s="4"/>
    </row>
    <row r="3748">
      <c r="D3748" s="5"/>
      <c r="E3748" s="4"/>
      <c r="F3748" s="4"/>
      <c r="G3748" s="4"/>
      <c r="H3748" s="4"/>
    </row>
    <row r="3749">
      <c r="D3749" s="5"/>
      <c r="E3749" s="4"/>
      <c r="F3749" s="4"/>
      <c r="G3749" s="4"/>
      <c r="H3749" s="4"/>
    </row>
    <row r="3750">
      <c r="D3750" s="5"/>
      <c r="E3750" s="4"/>
      <c r="F3750" s="4"/>
      <c r="G3750" s="4"/>
      <c r="H3750" s="4"/>
    </row>
    <row r="3751">
      <c r="D3751" s="5"/>
      <c r="E3751" s="4"/>
      <c r="F3751" s="4"/>
      <c r="G3751" s="4"/>
      <c r="H3751" s="4"/>
    </row>
    <row r="3752">
      <c r="D3752" s="5"/>
      <c r="E3752" s="4"/>
      <c r="F3752" s="4"/>
      <c r="G3752" s="4"/>
      <c r="H3752" s="4"/>
    </row>
    <row r="3753">
      <c r="D3753" s="5"/>
      <c r="E3753" s="4"/>
      <c r="F3753" s="4"/>
      <c r="G3753" s="4"/>
      <c r="H3753" s="4"/>
    </row>
    <row r="3754">
      <c r="D3754" s="5"/>
      <c r="E3754" s="4"/>
      <c r="F3754" s="4"/>
      <c r="G3754" s="4"/>
      <c r="H3754" s="4"/>
    </row>
    <row r="3755">
      <c r="D3755" s="5"/>
      <c r="E3755" s="4"/>
      <c r="F3755" s="4"/>
      <c r="G3755" s="4"/>
      <c r="H3755" s="4"/>
    </row>
    <row r="3756">
      <c r="D3756" s="5"/>
      <c r="E3756" s="4"/>
      <c r="F3756" s="4"/>
      <c r="G3756" s="4"/>
      <c r="H3756" s="4"/>
    </row>
    <row r="3757">
      <c r="D3757" s="5"/>
      <c r="E3757" s="4"/>
      <c r="F3757" s="4"/>
      <c r="G3757" s="4"/>
      <c r="H3757" s="4"/>
    </row>
    <row r="3758">
      <c r="D3758" s="5"/>
      <c r="E3758" s="4"/>
      <c r="F3758" s="4"/>
      <c r="G3758" s="4"/>
      <c r="H3758" s="4"/>
    </row>
    <row r="3759">
      <c r="D3759" s="5"/>
      <c r="E3759" s="4"/>
      <c r="F3759" s="4"/>
      <c r="G3759" s="4"/>
      <c r="H3759" s="4"/>
    </row>
    <row r="3760">
      <c r="D3760" s="5"/>
      <c r="E3760" s="4"/>
      <c r="F3760" s="4"/>
      <c r="G3760" s="4"/>
      <c r="H3760" s="4"/>
    </row>
    <row r="3761">
      <c r="D3761" s="5"/>
      <c r="E3761" s="4"/>
      <c r="F3761" s="4"/>
      <c r="G3761" s="4"/>
      <c r="H3761" s="4"/>
    </row>
    <row r="3762">
      <c r="D3762" s="5"/>
      <c r="E3762" s="4"/>
      <c r="F3762" s="4"/>
      <c r="G3762" s="4"/>
      <c r="H3762" s="4"/>
    </row>
    <row r="3763">
      <c r="D3763" s="5"/>
      <c r="E3763" s="4"/>
      <c r="F3763" s="4"/>
      <c r="G3763" s="4"/>
      <c r="H3763" s="4"/>
    </row>
    <row r="3764">
      <c r="D3764" s="5"/>
      <c r="E3764" s="4"/>
      <c r="F3764" s="4"/>
      <c r="G3764" s="4"/>
      <c r="H3764" s="4"/>
    </row>
    <row r="3765">
      <c r="D3765" s="5"/>
      <c r="E3765" s="4"/>
      <c r="F3765" s="4"/>
      <c r="G3765" s="4"/>
      <c r="H3765" s="4"/>
    </row>
    <row r="3766">
      <c r="D3766" s="5"/>
      <c r="E3766" s="4"/>
      <c r="F3766" s="4"/>
      <c r="G3766" s="4"/>
      <c r="H3766" s="4"/>
    </row>
    <row r="3767">
      <c r="D3767" s="5"/>
      <c r="E3767" s="4"/>
      <c r="F3767" s="4"/>
      <c r="G3767" s="4"/>
      <c r="H3767" s="4"/>
    </row>
    <row r="3768">
      <c r="D3768" s="5"/>
      <c r="E3768" s="4"/>
      <c r="F3768" s="4"/>
      <c r="G3768" s="4"/>
      <c r="H3768" s="4"/>
    </row>
    <row r="3769">
      <c r="D3769" s="5"/>
      <c r="E3769" s="4"/>
      <c r="F3769" s="4"/>
      <c r="G3769" s="4"/>
      <c r="H3769" s="4"/>
    </row>
    <row r="3770">
      <c r="D3770" s="5"/>
      <c r="E3770" s="4"/>
      <c r="F3770" s="4"/>
      <c r="G3770" s="4"/>
      <c r="H3770" s="4"/>
    </row>
    <row r="3771">
      <c r="D3771" s="5"/>
      <c r="E3771" s="4"/>
      <c r="F3771" s="4"/>
      <c r="G3771" s="4"/>
      <c r="H3771" s="4"/>
    </row>
    <row r="3772">
      <c r="D3772" s="5"/>
      <c r="E3772" s="4"/>
      <c r="F3772" s="4"/>
      <c r="G3772" s="4"/>
      <c r="H3772" s="4"/>
    </row>
    <row r="3773">
      <c r="D3773" s="5"/>
      <c r="E3773" s="4"/>
      <c r="F3773" s="4"/>
      <c r="G3773" s="4"/>
      <c r="H3773" s="4"/>
    </row>
    <row r="3774">
      <c r="D3774" s="5"/>
      <c r="E3774" s="4"/>
      <c r="F3774" s="4"/>
      <c r="G3774" s="4"/>
      <c r="H3774" s="4"/>
    </row>
    <row r="3775">
      <c r="D3775" s="5"/>
      <c r="E3775" s="4"/>
      <c r="F3775" s="4"/>
      <c r="G3775" s="4"/>
      <c r="H3775" s="4"/>
    </row>
    <row r="3776">
      <c r="D3776" s="5"/>
      <c r="E3776" s="4"/>
      <c r="F3776" s="4"/>
      <c r="G3776" s="4"/>
      <c r="H3776" s="4"/>
    </row>
    <row r="3777">
      <c r="D3777" s="5"/>
      <c r="E3777" s="4"/>
      <c r="F3777" s="4"/>
      <c r="G3777" s="4"/>
      <c r="H3777" s="4"/>
    </row>
    <row r="3778">
      <c r="D3778" s="5"/>
      <c r="E3778" s="4"/>
      <c r="F3778" s="4"/>
      <c r="G3778" s="4"/>
      <c r="H3778" s="4"/>
    </row>
    <row r="3779">
      <c r="D3779" s="5"/>
      <c r="E3779" s="4"/>
      <c r="F3779" s="4"/>
      <c r="G3779" s="4"/>
      <c r="H3779" s="4"/>
    </row>
    <row r="3780">
      <c r="D3780" s="5"/>
      <c r="E3780" s="4"/>
      <c r="F3780" s="4"/>
      <c r="G3780" s="4"/>
      <c r="H3780" s="4"/>
    </row>
    <row r="3781">
      <c r="D3781" s="5"/>
      <c r="E3781" s="4"/>
      <c r="F3781" s="4"/>
      <c r="G3781" s="4"/>
      <c r="H3781" s="4"/>
    </row>
    <row r="3782">
      <c r="D3782" s="5"/>
      <c r="E3782" s="4"/>
      <c r="F3782" s="4"/>
      <c r="G3782" s="4"/>
      <c r="H3782" s="4"/>
    </row>
    <row r="3783">
      <c r="D3783" s="5"/>
      <c r="E3783" s="4"/>
      <c r="F3783" s="4"/>
      <c r="G3783" s="4"/>
      <c r="H3783" s="4"/>
    </row>
    <row r="3784">
      <c r="D3784" s="5"/>
      <c r="E3784" s="4"/>
      <c r="F3784" s="4"/>
      <c r="G3784" s="4"/>
      <c r="H3784" s="4"/>
    </row>
    <row r="3785">
      <c r="D3785" s="5"/>
      <c r="E3785" s="4"/>
      <c r="F3785" s="4"/>
      <c r="G3785" s="4"/>
      <c r="H3785" s="4"/>
    </row>
    <row r="3786">
      <c r="D3786" s="5"/>
      <c r="E3786" s="4"/>
      <c r="F3786" s="4"/>
      <c r="G3786" s="4"/>
      <c r="H3786" s="4"/>
    </row>
    <row r="3787">
      <c r="D3787" s="5"/>
      <c r="E3787" s="4"/>
      <c r="F3787" s="4"/>
      <c r="G3787" s="4"/>
      <c r="H3787" s="4"/>
    </row>
    <row r="3788">
      <c r="D3788" s="5"/>
      <c r="E3788" s="4"/>
      <c r="F3788" s="4"/>
      <c r="G3788" s="4"/>
      <c r="H3788" s="4"/>
    </row>
    <row r="3789">
      <c r="D3789" s="5"/>
      <c r="E3789" s="4"/>
      <c r="F3789" s="4"/>
      <c r="G3789" s="4"/>
      <c r="H3789" s="4"/>
    </row>
    <row r="3790">
      <c r="D3790" s="5"/>
      <c r="E3790" s="4"/>
      <c r="F3790" s="4"/>
      <c r="G3790" s="4"/>
      <c r="H3790" s="4"/>
    </row>
    <row r="3791">
      <c r="D3791" s="5"/>
      <c r="E3791" s="4"/>
      <c r="F3791" s="4"/>
      <c r="G3791" s="4"/>
      <c r="H3791" s="4"/>
    </row>
    <row r="3792">
      <c r="D3792" s="5"/>
      <c r="E3792" s="4"/>
      <c r="F3792" s="4"/>
      <c r="G3792" s="4"/>
      <c r="H3792" s="4"/>
    </row>
    <row r="3793">
      <c r="D3793" s="5"/>
      <c r="E3793" s="4"/>
      <c r="F3793" s="4"/>
      <c r="G3793" s="4"/>
      <c r="H3793" s="4"/>
    </row>
    <row r="3794">
      <c r="D3794" s="5"/>
      <c r="E3794" s="4"/>
      <c r="F3794" s="4"/>
      <c r="G3794" s="4"/>
      <c r="H3794" s="4"/>
    </row>
    <row r="3795">
      <c r="D3795" s="5"/>
      <c r="E3795" s="4"/>
      <c r="F3795" s="4"/>
      <c r="G3795" s="4"/>
      <c r="H3795" s="4"/>
    </row>
    <row r="3796">
      <c r="D3796" s="5"/>
      <c r="E3796" s="4"/>
      <c r="F3796" s="4"/>
      <c r="G3796" s="4"/>
      <c r="H3796" s="4"/>
    </row>
    <row r="3797">
      <c r="D3797" s="5"/>
      <c r="E3797" s="4"/>
      <c r="F3797" s="4"/>
      <c r="G3797" s="4"/>
      <c r="H3797" s="4"/>
    </row>
    <row r="3798">
      <c r="D3798" s="5"/>
      <c r="E3798" s="4"/>
      <c r="F3798" s="4"/>
      <c r="G3798" s="4"/>
      <c r="H3798" s="4"/>
    </row>
    <row r="3799">
      <c r="D3799" s="5"/>
      <c r="E3799" s="4"/>
      <c r="F3799" s="4"/>
      <c r="G3799" s="4"/>
      <c r="H3799" s="4"/>
    </row>
    <row r="3800">
      <c r="D3800" s="5"/>
      <c r="E3800" s="4"/>
      <c r="F3800" s="4"/>
      <c r="G3800" s="4"/>
      <c r="H3800" s="4"/>
    </row>
    <row r="3801">
      <c r="D3801" s="5"/>
      <c r="E3801" s="4"/>
      <c r="F3801" s="4"/>
      <c r="G3801" s="4"/>
      <c r="H3801" s="4"/>
    </row>
    <row r="3802">
      <c r="D3802" s="5"/>
      <c r="E3802" s="4"/>
      <c r="F3802" s="4"/>
      <c r="G3802" s="4"/>
      <c r="H3802" s="4"/>
    </row>
    <row r="3803">
      <c r="D3803" s="5"/>
      <c r="E3803" s="4"/>
      <c r="F3803" s="4"/>
      <c r="G3803" s="4"/>
      <c r="H3803" s="4"/>
    </row>
    <row r="3804">
      <c r="D3804" s="5"/>
      <c r="E3804" s="4"/>
      <c r="F3804" s="4"/>
      <c r="G3804" s="4"/>
      <c r="H3804" s="4"/>
    </row>
    <row r="3805">
      <c r="D3805" s="5"/>
      <c r="E3805" s="4"/>
      <c r="F3805" s="4"/>
      <c r="G3805" s="4"/>
      <c r="H3805" s="4"/>
    </row>
    <row r="3806">
      <c r="D3806" s="5"/>
      <c r="E3806" s="4"/>
      <c r="F3806" s="4"/>
      <c r="G3806" s="4"/>
      <c r="H3806" s="4"/>
    </row>
    <row r="3807">
      <c r="D3807" s="5"/>
      <c r="E3807" s="4"/>
      <c r="F3807" s="4"/>
      <c r="G3807" s="4"/>
      <c r="H3807" s="4"/>
    </row>
    <row r="3808">
      <c r="D3808" s="5"/>
      <c r="E3808" s="4"/>
      <c r="F3808" s="4"/>
      <c r="G3808" s="4"/>
      <c r="H3808" s="4"/>
    </row>
    <row r="3809">
      <c r="D3809" s="5"/>
      <c r="E3809" s="4"/>
      <c r="F3809" s="4"/>
      <c r="G3809" s="4"/>
      <c r="H3809" s="4"/>
    </row>
    <row r="3810">
      <c r="D3810" s="5"/>
      <c r="E3810" s="4"/>
      <c r="F3810" s="4"/>
      <c r="G3810" s="4"/>
      <c r="H3810" s="4"/>
    </row>
    <row r="3811">
      <c r="D3811" s="5"/>
      <c r="E3811" s="4"/>
      <c r="F3811" s="4"/>
      <c r="G3811" s="4"/>
      <c r="H3811" s="4"/>
    </row>
    <row r="3812">
      <c r="D3812" s="5"/>
      <c r="E3812" s="4"/>
      <c r="F3812" s="4"/>
      <c r="G3812" s="4"/>
      <c r="H3812" s="4"/>
    </row>
    <row r="3813">
      <c r="D3813" s="5"/>
      <c r="E3813" s="4"/>
      <c r="F3813" s="4"/>
      <c r="G3813" s="4"/>
      <c r="H3813" s="4"/>
    </row>
    <row r="3814">
      <c r="D3814" s="5"/>
      <c r="E3814" s="4"/>
      <c r="F3814" s="4"/>
      <c r="G3814" s="4"/>
      <c r="H3814" s="4"/>
    </row>
    <row r="3815">
      <c r="D3815" s="5"/>
      <c r="E3815" s="4"/>
      <c r="F3815" s="4"/>
      <c r="G3815" s="4"/>
      <c r="H3815" s="4"/>
    </row>
    <row r="3816">
      <c r="D3816" s="5"/>
      <c r="E3816" s="4"/>
      <c r="F3816" s="4"/>
      <c r="G3816" s="4"/>
      <c r="H3816" s="4"/>
    </row>
    <row r="3817">
      <c r="D3817" s="5"/>
      <c r="E3817" s="4"/>
      <c r="F3817" s="4"/>
      <c r="G3817" s="4"/>
      <c r="H3817" s="4"/>
    </row>
    <row r="3818">
      <c r="D3818" s="5"/>
      <c r="E3818" s="4"/>
      <c r="F3818" s="4"/>
      <c r="G3818" s="4"/>
      <c r="H3818" s="4"/>
    </row>
    <row r="3819">
      <c r="D3819" s="5"/>
      <c r="E3819" s="4"/>
      <c r="F3819" s="4"/>
      <c r="G3819" s="4"/>
      <c r="H3819" s="4"/>
    </row>
    <row r="3820">
      <c r="D3820" s="5"/>
      <c r="E3820" s="4"/>
      <c r="F3820" s="4"/>
      <c r="G3820" s="4"/>
      <c r="H3820" s="4"/>
    </row>
    <row r="3821">
      <c r="D3821" s="5"/>
      <c r="E3821" s="4"/>
      <c r="F3821" s="4"/>
      <c r="G3821" s="4"/>
      <c r="H3821" s="4"/>
    </row>
    <row r="3822">
      <c r="D3822" s="5"/>
      <c r="E3822" s="4"/>
      <c r="F3822" s="4"/>
      <c r="G3822" s="4"/>
      <c r="H3822" s="4"/>
    </row>
    <row r="3823">
      <c r="D3823" s="5"/>
      <c r="E3823" s="4"/>
      <c r="F3823" s="4"/>
      <c r="G3823" s="4"/>
      <c r="H3823" s="4"/>
    </row>
    <row r="3824">
      <c r="D3824" s="5"/>
      <c r="E3824" s="4"/>
      <c r="F3824" s="4"/>
      <c r="G3824" s="4"/>
      <c r="H3824" s="4"/>
    </row>
    <row r="3825">
      <c r="D3825" s="5"/>
      <c r="E3825" s="4"/>
      <c r="F3825" s="4"/>
      <c r="G3825" s="4"/>
      <c r="H3825" s="4"/>
    </row>
    <row r="3826">
      <c r="D3826" s="5"/>
      <c r="E3826" s="4"/>
      <c r="F3826" s="4"/>
      <c r="G3826" s="4"/>
      <c r="H3826" s="4"/>
    </row>
    <row r="3827">
      <c r="D3827" s="5"/>
      <c r="E3827" s="4"/>
      <c r="F3827" s="4"/>
      <c r="G3827" s="4"/>
      <c r="H3827" s="4"/>
    </row>
    <row r="3828">
      <c r="D3828" s="5"/>
      <c r="E3828" s="4"/>
      <c r="F3828" s="4"/>
      <c r="G3828" s="4"/>
      <c r="H3828" s="4"/>
    </row>
    <row r="3829">
      <c r="D3829" s="5"/>
      <c r="E3829" s="4"/>
      <c r="F3829" s="4"/>
      <c r="G3829" s="4"/>
      <c r="H3829" s="4"/>
    </row>
    <row r="3830">
      <c r="D3830" s="5"/>
      <c r="E3830" s="4"/>
      <c r="F3830" s="4"/>
      <c r="G3830" s="4"/>
      <c r="H3830" s="4"/>
    </row>
    <row r="3831">
      <c r="D3831" s="5"/>
      <c r="E3831" s="4"/>
      <c r="F3831" s="4"/>
      <c r="G3831" s="4"/>
      <c r="H3831" s="4"/>
    </row>
    <row r="3832">
      <c r="D3832" s="5"/>
      <c r="E3832" s="4"/>
      <c r="F3832" s="4"/>
      <c r="G3832" s="4"/>
      <c r="H3832" s="4"/>
    </row>
    <row r="3833">
      <c r="D3833" s="5"/>
      <c r="E3833" s="4"/>
      <c r="F3833" s="4"/>
      <c r="G3833" s="4"/>
      <c r="H3833" s="4"/>
    </row>
    <row r="3834">
      <c r="D3834" s="5"/>
      <c r="E3834" s="4"/>
      <c r="F3834" s="4"/>
      <c r="G3834" s="4"/>
      <c r="H3834" s="4"/>
    </row>
    <row r="3835">
      <c r="D3835" s="5"/>
      <c r="E3835" s="4"/>
      <c r="F3835" s="4"/>
      <c r="G3835" s="4"/>
      <c r="H3835" s="4"/>
    </row>
    <row r="3836">
      <c r="D3836" s="5"/>
      <c r="E3836" s="4"/>
      <c r="F3836" s="4"/>
      <c r="G3836" s="4"/>
      <c r="H3836" s="4"/>
    </row>
    <row r="3837">
      <c r="D3837" s="5"/>
      <c r="E3837" s="4"/>
      <c r="F3837" s="4"/>
      <c r="G3837" s="4"/>
      <c r="H3837" s="4"/>
    </row>
    <row r="3838">
      <c r="D3838" s="5"/>
      <c r="E3838" s="4"/>
      <c r="F3838" s="4"/>
      <c r="G3838" s="4"/>
      <c r="H3838" s="4"/>
    </row>
    <row r="3839">
      <c r="D3839" s="5"/>
      <c r="E3839" s="4"/>
      <c r="F3839" s="4"/>
      <c r="G3839" s="4"/>
      <c r="H3839" s="4"/>
    </row>
    <row r="3840">
      <c r="D3840" s="5"/>
      <c r="E3840" s="4"/>
      <c r="F3840" s="4"/>
      <c r="G3840" s="4"/>
      <c r="H3840" s="4"/>
    </row>
    <row r="3841">
      <c r="D3841" s="5"/>
      <c r="E3841" s="4"/>
      <c r="F3841" s="4"/>
      <c r="G3841" s="4"/>
      <c r="H3841" s="4"/>
    </row>
    <row r="3842">
      <c r="D3842" s="5"/>
      <c r="E3842" s="4"/>
      <c r="F3842" s="4"/>
      <c r="G3842" s="4"/>
      <c r="H3842" s="4"/>
    </row>
    <row r="3843">
      <c r="D3843" s="5"/>
      <c r="E3843" s="4"/>
      <c r="F3843" s="4"/>
      <c r="G3843" s="4"/>
      <c r="H3843" s="4"/>
    </row>
    <row r="3844">
      <c r="D3844" s="5"/>
      <c r="E3844" s="4"/>
      <c r="F3844" s="4"/>
      <c r="G3844" s="4"/>
      <c r="H3844" s="4"/>
    </row>
    <row r="3845">
      <c r="D3845" s="5"/>
      <c r="E3845" s="4"/>
      <c r="F3845" s="4"/>
      <c r="G3845" s="4"/>
      <c r="H3845" s="4"/>
    </row>
    <row r="3846">
      <c r="D3846" s="5"/>
      <c r="E3846" s="4"/>
      <c r="F3846" s="4"/>
      <c r="G3846" s="4"/>
      <c r="H3846" s="4"/>
    </row>
    <row r="3847">
      <c r="D3847" s="5"/>
      <c r="E3847" s="4"/>
      <c r="F3847" s="4"/>
      <c r="G3847" s="4"/>
      <c r="H3847" s="4"/>
    </row>
    <row r="3848">
      <c r="D3848" s="5"/>
      <c r="E3848" s="4"/>
      <c r="F3848" s="4"/>
      <c r="G3848" s="4"/>
      <c r="H3848" s="4"/>
    </row>
    <row r="3849">
      <c r="D3849" s="5"/>
      <c r="E3849" s="4"/>
      <c r="F3849" s="4"/>
      <c r="G3849" s="4"/>
      <c r="H3849" s="4"/>
    </row>
    <row r="3850">
      <c r="D3850" s="5"/>
      <c r="E3850" s="4"/>
      <c r="F3850" s="4"/>
      <c r="G3850" s="4"/>
      <c r="H3850" s="4"/>
    </row>
    <row r="3851">
      <c r="D3851" s="5"/>
      <c r="E3851" s="4"/>
      <c r="F3851" s="4"/>
      <c r="G3851" s="4"/>
      <c r="H3851" s="4"/>
    </row>
    <row r="3852">
      <c r="D3852" s="5"/>
      <c r="E3852" s="4"/>
      <c r="F3852" s="4"/>
      <c r="G3852" s="4"/>
      <c r="H3852" s="4"/>
    </row>
    <row r="3853">
      <c r="D3853" s="5"/>
      <c r="E3853" s="4"/>
      <c r="F3853" s="4"/>
      <c r="G3853" s="4"/>
      <c r="H3853" s="4"/>
    </row>
    <row r="3854">
      <c r="D3854" s="5"/>
      <c r="E3854" s="4"/>
      <c r="F3854" s="4"/>
      <c r="G3854" s="4"/>
      <c r="H3854" s="4"/>
    </row>
    <row r="3855">
      <c r="D3855" s="5"/>
      <c r="E3855" s="4"/>
      <c r="F3855" s="4"/>
      <c r="G3855" s="4"/>
      <c r="H3855" s="4"/>
    </row>
    <row r="3856">
      <c r="D3856" s="5"/>
      <c r="E3856" s="4"/>
      <c r="F3856" s="4"/>
      <c r="G3856" s="4"/>
      <c r="H3856" s="4"/>
    </row>
    <row r="3857">
      <c r="D3857" s="5"/>
      <c r="E3857" s="4"/>
      <c r="F3857" s="4"/>
      <c r="G3857" s="4"/>
      <c r="H3857" s="4"/>
    </row>
    <row r="3858">
      <c r="D3858" s="5"/>
      <c r="E3858" s="4"/>
      <c r="F3858" s="4"/>
      <c r="G3858" s="4"/>
      <c r="H3858" s="4"/>
    </row>
    <row r="3859">
      <c r="D3859" s="5"/>
      <c r="E3859" s="4"/>
      <c r="F3859" s="4"/>
      <c r="G3859" s="4"/>
      <c r="H3859" s="4"/>
    </row>
    <row r="3860">
      <c r="D3860" s="5"/>
      <c r="E3860" s="4"/>
      <c r="F3860" s="4"/>
      <c r="G3860" s="4"/>
      <c r="H3860" s="4"/>
    </row>
    <row r="3861">
      <c r="D3861" s="5"/>
      <c r="E3861" s="4"/>
      <c r="F3861" s="4"/>
      <c r="G3861" s="4"/>
      <c r="H3861" s="4"/>
    </row>
    <row r="3862">
      <c r="D3862" s="5"/>
      <c r="E3862" s="4"/>
      <c r="F3862" s="4"/>
      <c r="G3862" s="4"/>
      <c r="H3862" s="4"/>
    </row>
    <row r="3863">
      <c r="D3863" s="5"/>
      <c r="E3863" s="4"/>
      <c r="F3863" s="4"/>
      <c r="G3863" s="4"/>
      <c r="H3863" s="4"/>
    </row>
    <row r="3864">
      <c r="D3864" s="5"/>
      <c r="E3864" s="4"/>
      <c r="F3864" s="4"/>
      <c r="G3864" s="4"/>
      <c r="H3864" s="4"/>
    </row>
    <row r="3865">
      <c r="D3865" s="5"/>
      <c r="E3865" s="4"/>
      <c r="F3865" s="4"/>
      <c r="G3865" s="4"/>
      <c r="H3865" s="4"/>
    </row>
    <row r="3866">
      <c r="D3866" s="5"/>
      <c r="E3866" s="4"/>
      <c r="F3866" s="4"/>
      <c r="G3866" s="4"/>
      <c r="H3866" s="4"/>
    </row>
    <row r="3867">
      <c r="D3867" s="5"/>
      <c r="E3867" s="4"/>
      <c r="F3867" s="4"/>
      <c r="G3867" s="4"/>
      <c r="H3867" s="4"/>
    </row>
    <row r="3868">
      <c r="D3868" s="5"/>
      <c r="E3868" s="4"/>
      <c r="F3868" s="4"/>
      <c r="G3868" s="4"/>
      <c r="H3868" s="4"/>
    </row>
    <row r="3869">
      <c r="D3869" s="5"/>
      <c r="E3869" s="4"/>
      <c r="F3869" s="4"/>
      <c r="G3869" s="4"/>
      <c r="H3869" s="4"/>
    </row>
    <row r="3870">
      <c r="D3870" s="5"/>
      <c r="E3870" s="4"/>
      <c r="F3870" s="4"/>
      <c r="G3870" s="4"/>
      <c r="H3870" s="4"/>
    </row>
    <row r="3871">
      <c r="D3871" s="5"/>
      <c r="E3871" s="4"/>
      <c r="F3871" s="4"/>
      <c r="G3871" s="4"/>
      <c r="H3871" s="4"/>
    </row>
    <row r="3872">
      <c r="D3872" s="5"/>
      <c r="E3872" s="4"/>
      <c r="F3872" s="4"/>
      <c r="G3872" s="4"/>
      <c r="H3872" s="4"/>
    </row>
    <row r="3873">
      <c r="D3873" s="5"/>
      <c r="E3873" s="4"/>
      <c r="F3873" s="4"/>
      <c r="G3873" s="4"/>
      <c r="H3873" s="4"/>
    </row>
    <row r="3874">
      <c r="D3874" s="5"/>
      <c r="E3874" s="4"/>
      <c r="F3874" s="4"/>
      <c r="G3874" s="4"/>
      <c r="H3874" s="4"/>
    </row>
    <row r="3875">
      <c r="D3875" s="5"/>
      <c r="E3875" s="4"/>
      <c r="F3875" s="4"/>
      <c r="G3875" s="4"/>
      <c r="H3875" s="4"/>
    </row>
    <row r="3876">
      <c r="D3876" s="5"/>
      <c r="E3876" s="4"/>
      <c r="F3876" s="4"/>
      <c r="G3876" s="4"/>
      <c r="H3876" s="4"/>
    </row>
    <row r="3877">
      <c r="D3877" s="5"/>
      <c r="E3877" s="4"/>
      <c r="F3877" s="4"/>
      <c r="G3877" s="4"/>
      <c r="H3877" s="4"/>
    </row>
    <row r="3878">
      <c r="D3878" s="5"/>
      <c r="E3878" s="4"/>
      <c r="F3878" s="4"/>
      <c r="G3878" s="4"/>
      <c r="H3878" s="4"/>
    </row>
    <row r="3879">
      <c r="D3879" s="5"/>
      <c r="E3879" s="4"/>
      <c r="F3879" s="4"/>
      <c r="G3879" s="4"/>
      <c r="H3879" s="4"/>
    </row>
    <row r="3880">
      <c r="D3880" s="5"/>
      <c r="E3880" s="4"/>
      <c r="F3880" s="4"/>
      <c r="G3880" s="4"/>
      <c r="H3880" s="4"/>
    </row>
    <row r="3881">
      <c r="D3881" s="5"/>
      <c r="E3881" s="4"/>
      <c r="F3881" s="4"/>
      <c r="G3881" s="4"/>
      <c r="H3881" s="4"/>
    </row>
    <row r="3882">
      <c r="D3882" s="5"/>
      <c r="E3882" s="4"/>
      <c r="F3882" s="4"/>
      <c r="G3882" s="4"/>
      <c r="H3882" s="4"/>
    </row>
    <row r="3883">
      <c r="D3883" s="5"/>
      <c r="E3883" s="4"/>
      <c r="F3883" s="4"/>
      <c r="G3883" s="4"/>
      <c r="H3883" s="4"/>
    </row>
    <row r="3884">
      <c r="D3884" s="5"/>
      <c r="E3884" s="4"/>
      <c r="F3884" s="4"/>
      <c r="G3884" s="4"/>
      <c r="H3884" s="4"/>
    </row>
    <row r="3885">
      <c r="D3885" s="5"/>
      <c r="E3885" s="4"/>
      <c r="F3885" s="4"/>
      <c r="G3885" s="4"/>
      <c r="H3885" s="4"/>
    </row>
    <row r="3886">
      <c r="D3886" s="5"/>
      <c r="E3886" s="4"/>
      <c r="F3886" s="4"/>
      <c r="G3886" s="4"/>
      <c r="H3886" s="4"/>
    </row>
    <row r="3887">
      <c r="D3887" s="5"/>
      <c r="E3887" s="4"/>
      <c r="F3887" s="4"/>
      <c r="G3887" s="4"/>
      <c r="H3887" s="4"/>
    </row>
    <row r="3888">
      <c r="D3888" s="5"/>
      <c r="E3888" s="4"/>
      <c r="F3888" s="4"/>
      <c r="G3888" s="4"/>
      <c r="H3888" s="4"/>
    </row>
    <row r="3889">
      <c r="D3889" s="5"/>
      <c r="E3889" s="4"/>
      <c r="F3889" s="4"/>
      <c r="G3889" s="4"/>
      <c r="H3889" s="4"/>
    </row>
    <row r="3890">
      <c r="D3890" s="5"/>
      <c r="E3890" s="4"/>
      <c r="F3890" s="4"/>
      <c r="G3890" s="4"/>
      <c r="H3890" s="4"/>
    </row>
    <row r="3891">
      <c r="D3891" s="5"/>
      <c r="E3891" s="4"/>
      <c r="F3891" s="4"/>
      <c r="G3891" s="4"/>
      <c r="H3891" s="4"/>
    </row>
    <row r="3892">
      <c r="D3892" s="5"/>
      <c r="E3892" s="4"/>
      <c r="F3892" s="4"/>
      <c r="G3892" s="4"/>
      <c r="H3892" s="4"/>
    </row>
    <row r="3893">
      <c r="D3893" s="5"/>
      <c r="E3893" s="4"/>
      <c r="F3893" s="4"/>
      <c r="G3893" s="4"/>
      <c r="H3893" s="4"/>
    </row>
    <row r="3894">
      <c r="D3894" s="5"/>
      <c r="E3894" s="4"/>
      <c r="F3894" s="4"/>
      <c r="G3894" s="4"/>
      <c r="H3894" s="4"/>
    </row>
    <row r="3895">
      <c r="D3895" s="5"/>
      <c r="E3895" s="4"/>
      <c r="F3895" s="4"/>
      <c r="G3895" s="4"/>
      <c r="H3895" s="4"/>
    </row>
    <row r="3896">
      <c r="D3896" s="5"/>
      <c r="E3896" s="4"/>
      <c r="F3896" s="4"/>
      <c r="G3896" s="4"/>
      <c r="H3896" s="4"/>
    </row>
    <row r="3897">
      <c r="D3897" s="5"/>
      <c r="E3897" s="4"/>
      <c r="F3897" s="4"/>
      <c r="G3897" s="4"/>
      <c r="H3897" s="4"/>
    </row>
    <row r="3898">
      <c r="D3898" s="5"/>
      <c r="E3898" s="4"/>
      <c r="F3898" s="4"/>
      <c r="G3898" s="4"/>
      <c r="H3898" s="4"/>
    </row>
    <row r="3899">
      <c r="D3899" s="5"/>
      <c r="E3899" s="4"/>
      <c r="F3899" s="4"/>
      <c r="G3899" s="4"/>
      <c r="H3899" s="4"/>
    </row>
    <row r="3900">
      <c r="D3900" s="5"/>
      <c r="E3900" s="4"/>
      <c r="F3900" s="4"/>
      <c r="G3900" s="4"/>
      <c r="H3900" s="4"/>
    </row>
    <row r="3901">
      <c r="D3901" s="5"/>
      <c r="E3901" s="4"/>
      <c r="F3901" s="4"/>
      <c r="G3901" s="4"/>
      <c r="H3901" s="4"/>
    </row>
    <row r="3902">
      <c r="D3902" s="5"/>
      <c r="E3902" s="4"/>
      <c r="F3902" s="4"/>
      <c r="G3902" s="4"/>
      <c r="H3902" s="4"/>
    </row>
    <row r="3903">
      <c r="D3903" s="5"/>
      <c r="E3903" s="4"/>
      <c r="F3903" s="4"/>
      <c r="G3903" s="4"/>
      <c r="H3903" s="4"/>
    </row>
    <row r="3904">
      <c r="D3904" s="5"/>
      <c r="E3904" s="4"/>
      <c r="F3904" s="4"/>
      <c r="G3904" s="4"/>
      <c r="H3904" s="4"/>
    </row>
    <row r="3905">
      <c r="D3905" s="5"/>
      <c r="E3905" s="4"/>
      <c r="F3905" s="4"/>
      <c r="G3905" s="4"/>
      <c r="H3905" s="4"/>
    </row>
    <row r="3906">
      <c r="D3906" s="5"/>
      <c r="E3906" s="4"/>
      <c r="F3906" s="4"/>
      <c r="G3906" s="4"/>
      <c r="H3906" s="4"/>
    </row>
    <row r="3907">
      <c r="D3907" s="5"/>
      <c r="E3907" s="4"/>
      <c r="F3907" s="4"/>
      <c r="G3907" s="4"/>
      <c r="H3907" s="4"/>
    </row>
    <row r="3908">
      <c r="D3908" s="5"/>
      <c r="E3908" s="4"/>
      <c r="F3908" s="4"/>
      <c r="G3908" s="4"/>
      <c r="H3908" s="4"/>
    </row>
    <row r="3909">
      <c r="D3909" s="5"/>
      <c r="E3909" s="4"/>
      <c r="F3909" s="4"/>
      <c r="G3909" s="4"/>
      <c r="H3909" s="4"/>
    </row>
    <row r="3910">
      <c r="D3910" s="5"/>
      <c r="E3910" s="4"/>
      <c r="F3910" s="4"/>
      <c r="G3910" s="4"/>
      <c r="H3910" s="4"/>
    </row>
    <row r="3911">
      <c r="D3911" s="5"/>
      <c r="E3911" s="4"/>
      <c r="F3911" s="4"/>
      <c r="G3911" s="4"/>
      <c r="H3911" s="4"/>
    </row>
    <row r="3912">
      <c r="D3912" s="5"/>
      <c r="E3912" s="4"/>
      <c r="F3912" s="4"/>
      <c r="G3912" s="4"/>
      <c r="H3912" s="4"/>
    </row>
    <row r="3913">
      <c r="D3913" s="5"/>
      <c r="E3913" s="4"/>
      <c r="F3913" s="4"/>
      <c r="G3913" s="4"/>
      <c r="H3913" s="4"/>
    </row>
    <row r="3914">
      <c r="D3914" s="5"/>
      <c r="E3914" s="4"/>
      <c r="F3914" s="4"/>
      <c r="G3914" s="4"/>
      <c r="H3914" s="4"/>
    </row>
    <row r="3915">
      <c r="D3915" s="5"/>
      <c r="E3915" s="4"/>
      <c r="F3915" s="4"/>
      <c r="G3915" s="4"/>
      <c r="H3915" s="4"/>
    </row>
    <row r="3916">
      <c r="D3916" s="5"/>
      <c r="E3916" s="4"/>
      <c r="F3916" s="4"/>
      <c r="G3916" s="4"/>
      <c r="H3916" s="4"/>
    </row>
    <row r="3917">
      <c r="D3917" s="5"/>
      <c r="E3917" s="4"/>
      <c r="F3917" s="4"/>
      <c r="G3917" s="4"/>
      <c r="H3917" s="4"/>
    </row>
    <row r="3918">
      <c r="D3918" s="5"/>
      <c r="E3918" s="4"/>
      <c r="F3918" s="4"/>
      <c r="G3918" s="4"/>
      <c r="H3918" s="4"/>
    </row>
    <row r="3919">
      <c r="D3919" s="5"/>
      <c r="E3919" s="4"/>
      <c r="F3919" s="4"/>
      <c r="G3919" s="4"/>
      <c r="H3919" s="4"/>
    </row>
    <row r="3920">
      <c r="D3920" s="5"/>
      <c r="E3920" s="4"/>
      <c r="F3920" s="4"/>
      <c r="G3920" s="4"/>
      <c r="H3920" s="4"/>
    </row>
    <row r="3921">
      <c r="D3921" s="5"/>
      <c r="E3921" s="4"/>
      <c r="F3921" s="4"/>
      <c r="G3921" s="4"/>
      <c r="H3921" s="4"/>
    </row>
    <row r="3922">
      <c r="D3922" s="5"/>
      <c r="E3922" s="4"/>
      <c r="F3922" s="4"/>
      <c r="G3922" s="4"/>
      <c r="H3922" s="4"/>
    </row>
    <row r="3923">
      <c r="D3923" s="5"/>
      <c r="E3923" s="4"/>
      <c r="F3923" s="4"/>
      <c r="G3923" s="4"/>
      <c r="H3923" s="4"/>
    </row>
    <row r="3924">
      <c r="D3924" s="5"/>
      <c r="E3924" s="4"/>
      <c r="F3924" s="4"/>
      <c r="G3924" s="4"/>
      <c r="H3924" s="4"/>
    </row>
    <row r="3925">
      <c r="D3925" s="5"/>
      <c r="E3925" s="4"/>
      <c r="F3925" s="4"/>
      <c r="G3925" s="4"/>
      <c r="H3925" s="4"/>
    </row>
    <row r="3926">
      <c r="D3926" s="5"/>
      <c r="E3926" s="4"/>
      <c r="F3926" s="4"/>
      <c r="G3926" s="4"/>
      <c r="H3926" s="4"/>
    </row>
    <row r="3927">
      <c r="D3927" s="5"/>
      <c r="E3927" s="4"/>
      <c r="F3927" s="4"/>
      <c r="G3927" s="4"/>
      <c r="H3927" s="4"/>
    </row>
    <row r="3928">
      <c r="D3928" s="5"/>
      <c r="E3928" s="4"/>
      <c r="F3928" s="4"/>
      <c r="G3928" s="4"/>
      <c r="H3928" s="4"/>
    </row>
    <row r="3929">
      <c r="D3929" s="5"/>
      <c r="E3929" s="4"/>
      <c r="F3929" s="4"/>
      <c r="G3929" s="4"/>
      <c r="H3929" s="4"/>
    </row>
    <row r="3930">
      <c r="D3930" s="5"/>
      <c r="E3930" s="4"/>
      <c r="F3930" s="4"/>
      <c r="G3930" s="4"/>
      <c r="H3930" s="4"/>
    </row>
    <row r="3931">
      <c r="D3931" s="5"/>
      <c r="E3931" s="4"/>
      <c r="F3931" s="4"/>
      <c r="G3931" s="4"/>
      <c r="H3931" s="4"/>
    </row>
    <row r="3932">
      <c r="D3932" s="5"/>
      <c r="E3932" s="4"/>
      <c r="F3932" s="4"/>
      <c r="G3932" s="4"/>
      <c r="H3932" s="4"/>
    </row>
    <row r="3933">
      <c r="D3933" s="5"/>
      <c r="E3933" s="4"/>
      <c r="F3933" s="4"/>
      <c r="G3933" s="4"/>
      <c r="H3933" s="4"/>
    </row>
    <row r="3934">
      <c r="D3934" s="5"/>
      <c r="E3934" s="4"/>
      <c r="F3934" s="4"/>
      <c r="G3934" s="4"/>
      <c r="H3934" s="4"/>
    </row>
    <row r="3935">
      <c r="D3935" s="5"/>
      <c r="E3935" s="4"/>
      <c r="F3935" s="4"/>
      <c r="G3935" s="4"/>
      <c r="H3935" s="4"/>
    </row>
    <row r="3936">
      <c r="D3936" s="5"/>
      <c r="E3936" s="4"/>
      <c r="F3936" s="4"/>
      <c r="G3936" s="4"/>
      <c r="H3936" s="4"/>
    </row>
    <row r="3937">
      <c r="D3937" s="5"/>
      <c r="E3937" s="4"/>
      <c r="F3937" s="4"/>
      <c r="G3937" s="4"/>
      <c r="H3937" s="4"/>
    </row>
    <row r="3938">
      <c r="D3938" s="5"/>
      <c r="E3938" s="4"/>
      <c r="F3938" s="4"/>
      <c r="G3938" s="4"/>
      <c r="H3938" s="4"/>
    </row>
    <row r="3939">
      <c r="D3939" s="5"/>
      <c r="E3939" s="4"/>
      <c r="F3939" s="4"/>
      <c r="G3939" s="4"/>
      <c r="H3939" s="4"/>
    </row>
    <row r="3940">
      <c r="D3940" s="5"/>
      <c r="E3940" s="4"/>
      <c r="F3940" s="4"/>
      <c r="G3940" s="4"/>
      <c r="H3940" s="4"/>
    </row>
    <row r="3941">
      <c r="D3941" s="5"/>
      <c r="E3941" s="4"/>
      <c r="F3941" s="4"/>
      <c r="G3941" s="4"/>
      <c r="H3941" s="4"/>
    </row>
    <row r="3942">
      <c r="D3942" s="5"/>
      <c r="E3942" s="4"/>
      <c r="F3942" s="4"/>
      <c r="G3942" s="4"/>
      <c r="H3942" s="4"/>
    </row>
    <row r="3943">
      <c r="D3943" s="5"/>
      <c r="E3943" s="4"/>
      <c r="F3943" s="4"/>
      <c r="G3943" s="4"/>
      <c r="H3943" s="4"/>
    </row>
    <row r="3944">
      <c r="D3944" s="5"/>
      <c r="E3944" s="4"/>
      <c r="F3944" s="4"/>
      <c r="G3944" s="4"/>
      <c r="H3944" s="4"/>
    </row>
    <row r="3945">
      <c r="D3945" s="5"/>
      <c r="E3945" s="4"/>
      <c r="F3945" s="4"/>
      <c r="G3945" s="4"/>
      <c r="H3945" s="4"/>
    </row>
    <row r="3946">
      <c r="D3946" s="5"/>
      <c r="E3946" s="4"/>
      <c r="F3946" s="4"/>
      <c r="G3946" s="4"/>
      <c r="H3946" s="4"/>
    </row>
    <row r="3947">
      <c r="D3947" s="5"/>
      <c r="E3947" s="4"/>
      <c r="F3947" s="4"/>
      <c r="G3947" s="4"/>
      <c r="H3947" s="4"/>
    </row>
    <row r="3948">
      <c r="D3948" s="5"/>
      <c r="E3948" s="4"/>
      <c r="F3948" s="4"/>
      <c r="G3948" s="4"/>
      <c r="H3948" s="4"/>
    </row>
    <row r="3949">
      <c r="D3949" s="5"/>
      <c r="E3949" s="4"/>
      <c r="F3949" s="4"/>
      <c r="G3949" s="4"/>
      <c r="H3949" s="4"/>
    </row>
    <row r="3950">
      <c r="D3950" s="5"/>
      <c r="E3950" s="4"/>
      <c r="F3950" s="4"/>
      <c r="G3950" s="4"/>
      <c r="H3950" s="4"/>
    </row>
    <row r="3951">
      <c r="D3951" s="5"/>
      <c r="E3951" s="4"/>
      <c r="F3951" s="4"/>
      <c r="G3951" s="4"/>
      <c r="H3951" s="4"/>
    </row>
    <row r="3952">
      <c r="D3952" s="5"/>
      <c r="E3952" s="4"/>
      <c r="F3952" s="4"/>
      <c r="G3952" s="4"/>
      <c r="H3952" s="4"/>
    </row>
    <row r="3953">
      <c r="D3953" s="5"/>
      <c r="E3953" s="4"/>
      <c r="F3953" s="4"/>
      <c r="G3953" s="4"/>
      <c r="H3953" s="4"/>
    </row>
    <row r="3954">
      <c r="D3954" s="5"/>
      <c r="E3954" s="4"/>
      <c r="F3954" s="4"/>
      <c r="G3954" s="4"/>
      <c r="H3954" s="4"/>
    </row>
    <row r="3955">
      <c r="D3955" s="5"/>
      <c r="E3955" s="4"/>
      <c r="F3955" s="4"/>
      <c r="G3955" s="4"/>
      <c r="H3955" s="4"/>
    </row>
    <row r="3956">
      <c r="D3956" s="5"/>
      <c r="E3956" s="4"/>
      <c r="F3956" s="4"/>
      <c r="G3956" s="4"/>
      <c r="H3956" s="4"/>
    </row>
    <row r="3957">
      <c r="D3957" s="5"/>
      <c r="E3957" s="4"/>
      <c r="F3957" s="4"/>
      <c r="G3957" s="4"/>
      <c r="H3957" s="4"/>
    </row>
    <row r="3958">
      <c r="D3958" s="5"/>
      <c r="E3958" s="4"/>
      <c r="F3958" s="4"/>
      <c r="G3958" s="4"/>
      <c r="H3958" s="4"/>
    </row>
    <row r="3959">
      <c r="D3959" s="5"/>
      <c r="E3959" s="4"/>
      <c r="F3959" s="4"/>
      <c r="G3959" s="4"/>
      <c r="H3959" s="4"/>
    </row>
    <row r="3960">
      <c r="D3960" s="5"/>
      <c r="E3960" s="4"/>
      <c r="F3960" s="4"/>
      <c r="G3960" s="4"/>
      <c r="H3960" s="4"/>
    </row>
    <row r="3961">
      <c r="D3961" s="5"/>
      <c r="E3961" s="4"/>
      <c r="F3961" s="4"/>
      <c r="G3961" s="4"/>
      <c r="H3961" s="4"/>
    </row>
    <row r="3962">
      <c r="D3962" s="5"/>
      <c r="E3962" s="4"/>
      <c r="F3962" s="4"/>
      <c r="G3962" s="4"/>
      <c r="H3962" s="4"/>
    </row>
    <row r="3963">
      <c r="D3963" s="5"/>
      <c r="E3963" s="4"/>
      <c r="F3963" s="4"/>
      <c r="G3963" s="4"/>
      <c r="H3963" s="4"/>
    </row>
    <row r="3964">
      <c r="D3964" s="5"/>
      <c r="E3964" s="4"/>
      <c r="F3964" s="4"/>
      <c r="G3964" s="4"/>
      <c r="H3964" s="4"/>
    </row>
    <row r="3965">
      <c r="D3965" s="5"/>
      <c r="E3965" s="4"/>
      <c r="F3965" s="4"/>
      <c r="G3965" s="4"/>
      <c r="H3965" s="4"/>
    </row>
    <row r="3966">
      <c r="D3966" s="5"/>
      <c r="E3966" s="4"/>
      <c r="F3966" s="4"/>
      <c r="G3966" s="4"/>
      <c r="H3966" s="4"/>
    </row>
    <row r="3967">
      <c r="D3967" s="5"/>
      <c r="E3967" s="4"/>
      <c r="F3967" s="4"/>
      <c r="G3967" s="4"/>
      <c r="H3967" s="4"/>
    </row>
    <row r="3968">
      <c r="D3968" s="5"/>
      <c r="E3968" s="4"/>
      <c r="F3968" s="4"/>
      <c r="G3968" s="4"/>
      <c r="H3968" s="4"/>
    </row>
    <row r="3969">
      <c r="D3969" s="5"/>
      <c r="E3969" s="4"/>
      <c r="F3969" s="4"/>
      <c r="G3969" s="4"/>
      <c r="H3969" s="4"/>
    </row>
    <row r="3970">
      <c r="D3970" s="5"/>
      <c r="E3970" s="4"/>
      <c r="F3970" s="4"/>
      <c r="G3970" s="4"/>
      <c r="H3970" s="4"/>
    </row>
    <row r="3971">
      <c r="D3971" s="5"/>
      <c r="E3971" s="4"/>
      <c r="F3971" s="4"/>
      <c r="G3971" s="4"/>
      <c r="H3971" s="4"/>
    </row>
    <row r="3972">
      <c r="D3972" s="5"/>
      <c r="E3972" s="4"/>
      <c r="F3972" s="4"/>
      <c r="G3972" s="4"/>
      <c r="H3972" s="4"/>
    </row>
    <row r="3973">
      <c r="D3973" s="5"/>
      <c r="E3973" s="4"/>
      <c r="F3973" s="4"/>
      <c r="G3973" s="4"/>
      <c r="H3973" s="4"/>
    </row>
    <row r="3974">
      <c r="D3974" s="5"/>
      <c r="E3974" s="4"/>
      <c r="F3974" s="4"/>
      <c r="G3974" s="4"/>
      <c r="H3974" s="4"/>
    </row>
    <row r="3975">
      <c r="D3975" s="5"/>
      <c r="E3975" s="4"/>
      <c r="F3975" s="4"/>
      <c r="G3975" s="4"/>
      <c r="H3975" s="4"/>
    </row>
    <row r="3976">
      <c r="D3976" s="5"/>
      <c r="E3976" s="4"/>
      <c r="F3976" s="4"/>
      <c r="G3976" s="4"/>
      <c r="H3976" s="4"/>
    </row>
    <row r="3977">
      <c r="D3977" s="5"/>
      <c r="E3977" s="4"/>
      <c r="F3977" s="4"/>
      <c r="G3977" s="4"/>
      <c r="H3977" s="4"/>
    </row>
    <row r="3978">
      <c r="D3978" s="5"/>
      <c r="E3978" s="4"/>
      <c r="F3978" s="4"/>
      <c r="G3978" s="4"/>
      <c r="H3978" s="4"/>
    </row>
    <row r="3979">
      <c r="D3979" s="5"/>
      <c r="E3979" s="4"/>
      <c r="F3979" s="4"/>
      <c r="G3979" s="4"/>
      <c r="H3979" s="4"/>
    </row>
    <row r="3980">
      <c r="D3980" s="5"/>
      <c r="E3980" s="4"/>
      <c r="F3980" s="4"/>
      <c r="G3980" s="4"/>
      <c r="H3980" s="4"/>
    </row>
    <row r="3981">
      <c r="D3981" s="5"/>
      <c r="E3981" s="4"/>
      <c r="F3981" s="4"/>
      <c r="G3981" s="4"/>
      <c r="H3981" s="4"/>
    </row>
    <row r="3982">
      <c r="D3982" s="5"/>
      <c r="E3982" s="4"/>
      <c r="F3982" s="4"/>
      <c r="G3982" s="4"/>
      <c r="H3982" s="4"/>
    </row>
    <row r="3983">
      <c r="D3983" s="5"/>
      <c r="E3983" s="4"/>
      <c r="F3983" s="4"/>
      <c r="G3983" s="4"/>
      <c r="H3983" s="4"/>
    </row>
    <row r="3984">
      <c r="D3984" s="5"/>
      <c r="E3984" s="4"/>
      <c r="F3984" s="4"/>
      <c r="G3984" s="4"/>
      <c r="H3984" s="4"/>
    </row>
    <row r="3985">
      <c r="D3985" s="5"/>
      <c r="E3985" s="4"/>
      <c r="F3985" s="4"/>
      <c r="G3985" s="4"/>
      <c r="H3985" s="4"/>
    </row>
    <row r="3986">
      <c r="D3986" s="5"/>
      <c r="E3986" s="4"/>
      <c r="F3986" s="4"/>
      <c r="G3986" s="4"/>
      <c r="H3986" s="4"/>
    </row>
    <row r="3987">
      <c r="D3987" s="5"/>
      <c r="E3987" s="4"/>
      <c r="F3987" s="4"/>
      <c r="G3987" s="4"/>
      <c r="H3987" s="4"/>
    </row>
    <row r="3988">
      <c r="D3988" s="5"/>
      <c r="E3988" s="4"/>
      <c r="F3988" s="4"/>
      <c r="G3988" s="4"/>
      <c r="H3988" s="4"/>
    </row>
    <row r="3989">
      <c r="D3989" s="5"/>
      <c r="E3989" s="4"/>
      <c r="F3989" s="4"/>
      <c r="G3989" s="4"/>
      <c r="H3989" s="4"/>
    </row>
    <row r="3990">
      <c r="D3990" s="5"/>
      <c r="E3990" s="4"/>
      <c r="F3990" s="4"/>
      <c r="G3990" s="4"/>
      <c r="H3990" s="4"/>
    </row>
    <row r="3991">
      <c r="D3991" s="5"/>
      <c r="E3991" s="4"/>
      <c r="F3991" s="4"/>
      <c r="G3991" s="4"/>
      <c r="H3991" s="4"/>
    </row>
    <row r="3992">
      <c r="D3992" s="5"/>
      <c r="E3992" s="4"/>
      <c r="F3992" s="4"/>
      <c r="G3992" s="4"/>
      <c r="H3992" s="4"/>
    </row>
    <row r="3993">
      <c r="D3993" s="5"/>
      <c r="E3993" s="4"/>
      <c r="F3993" s="4"/>
      <c r="G3993" s="4"/>
      <c r="H3993" s="4"/>
    </row>
    <row r="3994">
      <c r="D3994" s="5"/>
      <c r="E3994" s="4"/>
      <c r="F3994" s="4"/>
      <c r="G3994" s="4"/>
      <c r="H3994" s="4"/>
    </row>
    <row r="3995">
      <c r="D3995" s="5"/>
      <c r="E3995" s="4"/>
      <c r="F3995" s="4"/>
      <c r="G3995" s="4"/>
      <c r="H3995" s="4"/>
    </row>
    <row r="3996">
      <c r="D3996" s="5"/>
      <c r="E3996" s="4"/>
      <c r="F3996" s="4"/>
      <c r="G3996" s="4"/>
      <c r="H3996" s="4"/>
    </row>
    <row r="3997">
      <c r="D3997" s="5"/>
      <c r="E3997" s="4"/>
      <c r="F3997" s="4"/>
      <c r="G3997" s="4"/>
      <c r="H3997" s="4"/>
    </row>
    <row r="3998">
      <c r="D3998" s="5"/>
      <c r="E3998" s="4"/>
      <c r="F3998" s="4"/>
      <c r="G3998" s="4"/>
      <c r="H3998" s="4"/>
    </row>
    <row r="3999">
      <c r="D3999" s="5"/>
      <c r="E3999" s="4"/>
      <c r="F3999" s="4"/>
      <c r="G3999" s="4"/>
      <c r="H3999" s="4"/>
    </row>
    <row r="4000">
      <c r="D4000" s="5"/>
      <c r="E4000" s="4"/>
      <c r="F4000" s="4"/>
      <c r="G4000" s="4"/>
      <c r="H4000" s="4"/>
    </row>
    <row r="4001">
      <c r="D4001" s="5"/>
      <c r="E4001" s="4"/>
      <c r="F4001" s="4"/>
      <c r="G4001" s="4"/>
      <c r="H4001" s="4"/>
    </row>
    <row r="4002">
      <c r="D4002" s="5"/>
      <c r="E4002" s="4"/>
      <c r="F4002" s="4"/>
      <c r="G4002" s="4"/>
      <c r="H4002" s="4"/>
    </row>
    <row r="4003">
      <c r="D4003" s="5"/>
      <c r="E4003" s="4"/>
      <c r="F4003" s="4"/>
      <c r="G4003" s="4"/>
      <c r="H4003" s="4"/>
    </row>
    <row r="4004">
      <c r="D4004" s="5"/>
      <c r="E4004" s="4"/>
      <c r="F4004" s="4"/>
      <c r="G4004" s="4"/>
      <c r="H4004" s="4"/>
    </row>
    <row r="4005">
      <c r="D4005" s="5"/>
      <c r="E4005" s="4"/>
      <c r="F4005" s="4"/>
      <c r="G4005" s="4"/>
      <c r="H4005" s="4"/>
    </row>
    <row r="4006">
      <c r="D4006" s="5"/>
      <c r="E4006" s="4"/>
      <c r="F4006" s="4"/>
      <c r="G4006" s="4"/>
      <c r="H4006" s="4"/>
    </row>
    <row r="4007">
      <c r="D4007" s="5"/>
      <c r="E4007" s="4"/>
      <c r="F4007" s="4"/>
      <c r="G4007" s="4"/>
      <c r="H4007" s="4"/>
    </row>
    <row r="4008">
      <c r="D4008" s="5"/>
      <c r="E4008" s="4"/>
      <c r="F4008" s="4"/>
      <c r="G4008" s="4"/>
      <c r="H4008" s="4"/>
    </row>
    <row r="4009">
      <c r="D4009" s="5"/>
      <c r="E4009" s="4"/>
      <c r="F4009" s="4"/>
      <c r="G4009" s="4"/>
      <c r="H4009" s="4"/>
    </row>
    <row r="4010">
      <c r="D4010" s="5"/>
      <c r="E4010" s="4"/>
      <c r="F4010" s="4"/>
      <c r="G4010" s="4"/>
      <c r="H4010" s="4"/>
    </row>
    <row r="4011">
      <c r="D4011" s="5"/>
      <c r="E4011" s="4"/>
      <c r="F4011" s="4"/>
      <c r="G4011" s="4"/>
      <c r="H4011" s="4"/>
    </row>
    <row r="4012">
      <c r="D4012" s="5"/>
      <c r="E4012" s="4"/>
      <c r="F4012" s="4"/>
      <c r="G4012" s="4"/>
      <c r="H4012" s="4"/>
    </row>
    <row r="4013">
      <c r="D4013" s="5"/>
      <c r="E4013" s="4"/>
      <c r="F4013" s="4"/>
      <c r="G4013" s="4"/>
      <c r="H4013" s="4"/>
    </row>
    <row r="4014">
      <c r="D4014" s="5"/>
      <c r="E4014" s="4"/>
      <c r="F4014" s="4"/>
      <c r="G4014" s="4"/>
      <c r="H4014" s="4"/>
    </row>
    <row r="4015">
      <c r="D4015" s="5"/>
      <c r="E4015" s="4"/>
      <c r="F4015" s="4"/>
      <c r="G4015" s="4"/>
      <c r="H4015" s="4"/>
    </row>
    <row r="4016">
      <c r="D4016" s="5"/>
      <c r="E4016" s="4"/>
      <c r="F4016" s="4"/>
      <c r="G4016" s="4"/>
      <c r="H4016" s="4"/>
    </row>
    <row r="4017">
      <c r="D4017" s="5"/>
      <c r="E4017" s="4"/>
      <c r="F4017" s="4"/>
      <c r="G4017" s="4"/>
      <c r="H4017" s="4"/>
    </row>
    <row r="4018">
      <c r="D4018" s="5"/>
      <c r="E4018" s="4"/>
      <c r="F4018" s="4"/>
      <c r="G4018" s="4"/>
      <c r="H4018" s="4"/>
    </row>
    <row r="4019">
      <c r="D4019" s="5"/>
      <c r="E4019" s="4"/>
      <c r="F4019" s="4"/>
      <c r="G4019" s="4"/>
      <c r="H4019" s="4"/>
    </row>
    <row r="4020">
      <c r="D4020" s="5"/>
      <c r="E4020" s="4"/>
      <c r="F4020" s="4"/>
      <c r="G4020" s="4"/>
      <c r="H4020" s="4"/>
    </row>
    <row r="4021">
      <c r="D4021" s="5"/>
      <c r="E4021" s="4"/>
      <c r="F4021" s="4"/>
      <c r="G4021" s="4"/>
      <c r="H4021" s="4"/>
    </row>
    <row r="4022">
      <c r="D4022" s="5"/>
      <c r="E4022" s="4"/>
      <c r="F4022" s="4"/>
      <c r="G4022" s="4"/>
      <c r="H4022" s="4"/>
    </row>
    <row r="4023">
      <c r="D4023" s="5"/>
      <c r="E4023" s="4"/>
      <c r="F4023" s="4"/>
      <c r="G4023" s="4"/>
      <c r="H4023" s="4"/>
    </row>
    <row r="4024">
      <c r="D4024" s="5"/>
      <c r="E4024" s="4"/>
      <c r="F4024" s="4"/>
      <c r="G4024" s="4"/>
      <c r="H4024" s="4"/>
    </row>
    <row r="4025">
      <c r="D4025" s="5"/>
      <c r="E4025" s="4"/>
      <c r="F4025" s="4"/>
      <c r="G4025" s="4"/>
      <c r="H4025" s="4"/>
    </row>
    <row r="4026">
      <c r="D4026" s="5"/>
      <c r="E4026" s="4"/>
      <c r="F4026" s="4"/>
      <c r="G4026" s="4"/>
      <c r="H4026" s="4"/>
    </row>
    <row r="4027">
      <c r="D4027" s="5"/>
      <c r="E4027" s="4"/>
      <c r="F4027" s="4"/>
      <c r="G4027" s="4"/>
      <c r="H4027" s="4"/>
    </row>
    <row r="4028">
      <c r="D4028" s="5"/>
      <c r="E4028" s="4"/>
      <c r="F4028" s="4"/>
      <c r="G4028" s="4"/>
      <c r="H4028" s="4"/>
    </row>
    <row r="4029">
      <c r="D4029" s="5"/>
      <c r="E4029" s="4"/>
      <c r="F4029" s="4"/>
      <c r="G4029" s="4"/>
      <c r="H4029" s="4"/>
    </row>
    <row r="4030">
      <c r="D4030" s="5"/>
      <c r="E4030" s="4"/>
      <c r="F4030" s="4"/>
      <c r="G4030" s="4"/>
      <c r="H4030" s="4"/>
    </row>
    <row r="4031">
      <c r="D4031" s="5"/>
      <c r="E4031" s="4"/>
      <c r="F4031" s="4"/>
      <c r="G4031" s="4"/>
      <c r="H4031" s="4"/>
    </row>
    <row r="4032">
      <c r="D4032" s="5"/>
      <c r="E4032" s="4"/>
      <c r="F4032" s="4"/>
      <c r="G4032" s="4"/>
      <c r="H4032" s="4"/>
    </row>
    <row r="4033">
      <c r="D4033" s="5"/>
      <c r="E4033" s="4"/>
      <c r="F4033" s="4"/>
      <c r="G4033" s="4"/>
      <c r="H4033" s="4"/>
    </row>
    <row r="4034">
      <c r="D4034" s="5"/>
      <c r="E4034" s="4"/>
      <c r="F4034" s="4"/>
      <c r="G4034" s="4"/>
      <c r="H4034" s="4"/>
    </row>
    <row r="4035">
      <c r="D4035" s="5"/>
      <c r="E4035" s="4"/>
      <c r="F4035" s="4"/>
      <c r="G4035" s="4"/>
      <c r="H4035" s="4"/>
    </row>
    <row r="4036">
      <c r="D4036" s="5"/>
      <c r="E4036" s="4"/>
      <c r="F4036" s="4"/>
      <c r="G4036" s="4"/>
      <c r="H4036" s="4"/>
    </row>
    <row r="4037">
      <c r="D4037" s="5"/>
      <c r="E4037" s="4"/>
      <c r="F4037" s="4"/>
      <c r="G4037" s="4"/>
      <c r="H4037" s="4"/>
    </row>
    <row r="4038">
      <c r="D4038" s="5"/>
      <c r="E4038" s="4"/>
      <c r="F4038" s="4"/>
      <c r="G4038" s="4"/>
      <c r="H4038" s="4"/>
    </row>
    <row r="4039">
      <c r="D4039" s="5"/>
      <c r="E4039" s="4"/>
      <c r="F4039" s="4"/>
      <c r="G4039" s="4"/>
      <c r="H4039" s="4"/>
    </row>
    <row r="4040">
      <c r="D4040" s="5"/>
      <c r="E4040" s="4"/>
      <c r="F4040" s="4"/>
      <c r="G4040" s="4"/>
      <c r="H4040" s="4"/>
    </row>
    <row r="4041">
      <c r="D4041" s="5"/>
      <c r="E4041" s="4"/>
      <c r="F4041" s="4"/>
      <c r="G4041" s="4"/>
      <c r="H4041" s="4"/>
    </row>
    <row r="4042">
      <c r="D4042" s="5"/>
      <c r="E4042" s="4"/>
      <c r="F4042" s="4"/>
      <c r="G4042" s="4"/>
      <c r="H4042" s="4"/>
    </row>
    <row r="4043">
      <c r="D4043" s="5"/>
      <c r="E4043" s="4"/>
      <c r="F4043" s="4"/>
      <c r="G4043" s="4"/>
      <c r="H4043" s="4"/>
    </row>
    <row r="4044">
      <c r="D4044" s="5"/>
      <c r="E4044" s="4"/>
      <c r="F4044" s="4"/>
      <c r="G4044" s="4"/>
      <c r="H4044" s="4"/>
    </row>
    <row r="4045">
      <c r="D4045" s="5"/>
      <c r="E4045" s="4"/>
      <c r="F4045" s="4"/>
      <c r="G4045" s="4"/>
      <c r="H4045" s="4"/>
    </row>
    <row r="4046">
      <c r="D4046" s="5"/>
      <c r="E4046" s="4"/>
      <c r="F4046" s="4"/>
      <c r="G4046" s="4"/>
      <c r="H4046" s="4"/>
    </row>
    <row r="4047">
      <c r="D4047" s="5"/>
      <c r="E4047" s="4"/>
      <c r="F4047" s="4"/>
      <c r="G4047" s="4"/>
      <c r="H4047" s="4"/>
    </row>
    <row r="4048">
      <c r="D4048" s="5"/>
      <c r="E4048" s="4"/>
      <c r="F4048" s="4"/>
      <c r="G4048" s="4"/>
      <c r="H4048" s="4"/>
    </row>
    <row r="4049">
      <c r="D4049" s="5"/>
      <c r="E4049" s="4"/>
      <c r="F4049" s="4"/>
      <c r="G4049" s="4"/>
      <c r="H4049" s="4"/>
    </row>
    <row r="4050">
      <c r="D4050" s="5"/>
      <c r="E4050" s="4"/>
      <c r="F4050" s="4"/>
      <c r="G4050" s="4"/>
      <c r="H4050" s="4"/>
    </row>
    <row r="4051">
      <c r="D4051" s="5"/>
      <c r="E4051" s="4"/>
      <c r="F4051" s="4"/>
      <c r="G4051" s="4"/>
      <c r="H4051" s="4"/>
    </row>
    <row r="4052">
      <c r="D4052" s="5"/>
      <c r="E4052" s="4"/>
      <c r="F4052" s="4"/>
      <c r="G4052" s="4"/>
      <c r="H4052" s="4"/>
    </row>
    <row r="4053">
      <c r="D4053" s="5"/>
      <c r="E4053" s="4"/>
      <c r="F4053" s="4"/>
      <c r="G4053" s="4"/>
      <c r="H4053" s="4"/>
    </row>
    <row r="4054">
      <c r="D4054" s="5"/>
      <c r="E4054" s="4"/>
      <c r="F4054" s="4"/>
      <c r="G4054" s="4"/>
      <c r="H4054" s="4"/>
    </row>
    <row r="4055">
      <c r="D4055" s="5"/>
      <c r="E4055" s="4"/>
      <c r="F4055" s="4"/>
      <c r="G4055" s="4"/>
      <c r="H4055" s="4"/>
    </row>
    <row r="4056">
      <c r="D4056" s="5"/>
      <c r="E4056" s="4"/>
      <c r="F4056" s="4"/>
      <c r="G4056" s="4"/>
      <c r="H4056" s="4"/>
    </row>
    <row r="4057">
      <c r="D4057" s="5"/>
      <c r="E4057" s="4"/>
      <c r="F4057" s="4"/>
      <c r="G4057" s="4"/>
      <c r="H4057" s="4"/>
    </row>
    <row r="4058">
      <c r="D4058" s="5"/>
      <c r="E4058" s="4"/>
      <c r="F4058" s="4"/>
      <c r="G4058" s="4"/>
      <c r="H4058" s="4"/>
    </row>
    <row r="4059">
      <c r="D4059" s="5"/>
      <c r="E4059" s="4"/>
      <c r="F4059" s="4"/>
      <c r="G4059" s="4"/>
      <c r="H4059" s="4"/>
    </row>
    <row r="4060">
      <c r="D4060" s="5"/>
      <c r="E4060" s="4"/>
      <c r="F4060" s="4"/>
      <c r="G4060" s="4"/>
      <c r="H4060" s="4"/>
    </row>
    <row r="4061">
      <c r="D4061" s="5"/>
      <c r="E4061" s="4"/>
      <c r="F4061" s="4"/>
      <c r="G4061" s="4"/>
      <c r="H4061" s="4"/>
    </row>
    <row r="4062">
      <c r="D4062" s="5"/>
      <c r="E4062" s="4"/>
      <c r="F4062" s="4"/>
      <c r="G4062" s="4"/>
      <c r="H4062" s="4"/>
    </row>
    <row r="4063">
      <c r="D4063" s="5"/>
      <c r="E4063" s="4"/>
      <c r="F4063" s="4"/>
      <c r="G4063" s="4"/>
      <c r="H4063" s="4"/>
    </row>
    <row r="4064">
      <c r="D4064" s="5"/>
      <c r="E4064" s="4"/>
      <c r="F4064" s="4"/>
      <c r="G4064" s="4"/>
      <c r="H4064" s="4"/>
    </row>
    <row r="4065">
      <c r="D4065" s="5"/>
      <c r="E4065" s="4"/>
      <c r="F4065" s="4"/>
      <c r="G4065" s="4"/>
      <c r="H4065" s="4"/>
    </row>
    <row r="4066">
      <c r="D4066" s="5"/>
      <c r="E4066" s="4"/>
      <c r="F4066" s="4"/>
      <c r="G4066" s="4"/>
      <c r="H4066" s="4"/>
    </row>
    <row r="4067">
      <c r="D4067" s="5"/>
      <c r="E4067" s="4"/>
      <c r="F4067" s="4"/>
      <c r="G4067" s="4"/>
      <c r="H4067" s="4"/>
    </row>
    <row r="4068">
      <c r="D4068" s="5"/>
      <c r="E4068" s="4"/>
      <c r="F4068" s="4"/>
      <c r="G4068" s="4"/>
      <c r="H4068" s="4"/>
    </row>
    <row r="4069">
      <c r="D4069" s="5"/>
      <c r="E4069" s="4"/>
      <c r="F4069" s="4"/>
      <c r="G4069" s="4"/>
      <c r="H4069" s="4"/>
    </row>
    <row r="4070">
      <c r="D4070" s="5"/>
      <c r="E4070" s="4"/>
      <c r="F4070" s="4"/>
      <c r="G4070" s="4"/>
      <c r="H4070" s="4"/>
    </row>
    <row r="4071">
      <c r="D4071" s="5"/>
      <c r="E4071" s="4"/>
      <c r="F4071" s="4"/>
      <c r="G4071" s="4"/>
      <c r="H4071" s="4"/>
    </row>
    <row r="4072">
      <c r="D4072" s="5"/>
      <c r="E4072" s="4"/>
      <c r="F4072" s="4"/>
      <c r="G4072" s="4"/>
      <c r="H4072" s="4"/>
    </row>
    <row r="4073">
      <c r="D4073" s="5"/>
      <c r="E4073" s="4"/>
      <c r="F4073" s="4"/>
      <c r="G4073" s="4"/>
      <c r="H4073" s="4"/>
    </row>
    <row r="4074">
      <c r="D4074" s="5"/>
      <c r="E4074" s="4"/>
      <c r="F4074" s="4"/>
      <c r="G4074" s="4"/>
      <c r="H4074" s="4"/>
    </row>
    <row r="4075">
      <c r="D4075" s="5"/>
      <c r="E4075" s="4"/>
      <c r="F4075" s="4"/>
      <c r="G4075" s="4"/>
      <c r="H4075" s="4"/>
    </row>
    <row r="4076">
      <c r="D4076" s="5"/>
      <c r="E4076" s="4"/>
      <c r="F4076" s="4"/>
      <c r="G4076" s="4"/>
      <c r="H4076" s="4"/>
    </row>
    <row r="4077">
      <c r="D4077" s="5"/>
      <c r="E4077" s="4"/>
      <c r="F4077" s="4"/>
      <c r="G4077" s="4"/>
      <c r="H4077" s="4"/>
    </row>
    <row r="4078">
      <c r="D4078" s="5"/>
      <c r="E4078" s="4"/>
      <c r="F4078" s="4"/>
      <c r="G4078" s="4"/>
      <c r="H4078" s="4"/>
    </row>
    <row r="4079">
      <c r="D4079" s="5"/>
      <c r="E4079" s="4"/>
      <c r="F4079" s="4"/>
      <c r="G4079" s="4"/>
      <c r="H4079" s="4"/>
    </row>
    <row r="4080">
      <c r="D4080" s="5"/>
      <c r="E4080" s="4"/>
      <c r="F4080" s="4"/>
      <c r="G4080" s="4"/>
      <c r="H4080" s="4"/>
    </row>
    <row r="4081">
      <c r="D4081" s="5"/>
      <c r="E4081" s="4"/>
      <c r="F4081" s="4"/>
      <c r="G4081" s="4"/>
      <c r="H4081" s="4"/>
    </row>
    <row r="4082">
      <c r="D4082" s="5"/>
      <c r="E4082" s="4"/>
      <c r="F4082" s="4"/>
      <c r="G4082" s="4"/>
      <c r="H4082" s="4"/>
    </row>
    <row r="4083">
      <c r="D4083" s="5"/>
      <c r="E4083" s="4"/>
      <c r="F4083" s="4"/>
      <c r="G4083" s="4"/>
      <c r="H4083" s="4"/>
    </row>
    <row r="4084">
      <c r="D4084" s="5"/>
      <c r="E4084" s="4"/>
      <c r="F4084" s="4"/>
      <c r="G4084" s="4"/>
      <c r="H4084" s="4"/>
    </row>
    <row r="4085">
      <c r="D4085" s="5"/>
      <c r="E4085" s="4"/>
      <c r="F4085" s="4"/>
      <c r="G4085" s="4"/>
      <c r="H4085" s="4"/>
    </row>
    <row r="4086">
      <c r="D4086" s="5"/>
      <c r="E4086" s="4"/>
      <c r="F4086" s="4"/>
      <c r="G4086" s="4"/>
      <c r="H4086" s="4"/>
    </row>
    <row r="4087">
      <c r="D4087" s="5"/>
      <c r="E4087" s="4"/>
      <c r="F4087" s="4"/>
      <c r="G4087" s="4"/>
      <c r="H4087" s="4"/>
    </row>
    <row r="4088">
      <c r="D4088" s="5"/>
      <c r="E4088" s="4"/>
      <c r="F4088" s="4"/>
      <c r="G4088" s="4"/>
      <c r="H4088" s="4"/>
    </row>
    <row r="4089">
      <c r="D4089" s="5"/>
      <c r="E4089" s="4"/>
      <c r="F4089" s="4"/>
      <c r="G4089" s="4"/>
      <c r="H4089" s="4"/>
    </row>
    <row r="4090">
      <c r="D4090" s="5"/>
      <c r="E4090" s="4"/>
      <c r="F4090" s="4"/>
      <c r="G4090" s="4"/>
      <c r="H4090" s="4"/>
    </row>
    <row r="4091">
      <c r="D4091" s="5"/>
      <c r="E4091" s="4"/>
      <c r="F4091" s="4"/>
      <c r="G4091" s="4"/>
      <c r="H4091" s="4"/>
    </row>
    <row r="4092">
      <c r="D4092" s="5"/>
      <c r="E4092" s="4"/>
      <c r="F4092" s="4"/>
      <c r="G4092" s="4"/>
      <c r="H4092" s="4"/>
    </row>
    <row r="4093">
      <c r="D4093" s="5"/>
      <c r="E4093" s="4"/>
      <c r="F4093" s="4"/>
      <c r="G4093" s="4"/>
      <c r="H4093" s="4"/>
    </row>
    <row r="4094">
      <c r="D4094" s="5"/>
      <c r="E4094" s="4"/>
      <c r="F4094" s="4"/>
      <c r="G4094" s="4"/>
      <c r="H4094" s="4"/>
    </row>
    <row r="4095">
      <c r="D4095" s="5"/>
      <c r="E4095" s="4"/>
      <c r="F4095" s="4"/>
      <c r="G4095" s="4"/>
      <c r="H4095" s="4"/>
    </row>
    <row r="4096">
      <c r="D4096" s="5"/>
      <c r="E4096" s="4"/>
      <c r="F4096" s="4"/>
      <c r="G4096" s="4"/>
      <c r="H4096" s="4"/>
    </row>
    <row r="4097">
      <c r="D4097" s="5"/>
      <c r="E4097" s="4"/>
      <c r="F4097" s="4"/>
      <c r="G4097" s="4"/>
      <c r="H4097" s="4"/>
    </row>
    <row r="4098">
      <c r="D4098" s="5"/>
      <c r="E4098" s="4"/>
      <c r="F4098" s="4"/>
      <c r="G4098" s="4"/>
      <c r="H4098" s="4"/>
    </row>
    <row r="4099">
      <c r="D4099" s="5"/>
      <c r="E4099" s="4"/>
      <c r="F4099" s="4"/>
      <c r="G4099" s="4"/>
      <c r="H4099" s="4"/>
    </row>
    <row r="4100">
      <c r="D4100" s="5"/>
      <c r="E4100" s="4"/>
      <c r="F4100" s="4"/>
      <c r="G4100" s="4"/>
      <c r="H4100" s="4"/>
    </row>
    <row r="4101">
      <c r="D4101" s="5"/>
      <c r="E4101" s="4"/>
      <c r="F4101" s="4"/>
      <c r="G4101" s="4"/>
      <c r="H4101" s="4"/>
    </row>
    <row r="4102">
      <c r="D4102" s="5"/>
      <c r="E4102" s="4"/>
      <c r="F4102" s="4"/>
      <c r="G4102" s="4"/>
      <c r="H4102" s="4"/>
    </row>
    <row r="4103">
      <c r="D4103" s="5"/>
      <c r="E4103" s="4"/>
      <c r="F4103" s="4"/>
      <c r="G4103" s="4"/>
      <c r="H4103" s="4"/>
    </row>
    <row r="4104">
      <c r="D4104" s="5"/>
      <c r="E4104" s="4"/>
      <c r="F4104" s="4"/>
      <c r="G4104" s="4"/>
      <c r="H4104" s="4"/>
    </row>
    <row r="4105">
      <c r="D4105" s="5"/>
      <c r="E4105" s="4"/>
      <c r="F4105" s="4"/>
      <c r="G4105" s="4"/>
      <c r="H4105" s="4"/>
    </row>
    <row r="4106">
      <c r="D4106" s="5"/>
      <c r="E4106" s="4"/>
      <c r="F4106" s="4"/>
      <c r="G4106" s="4"/>
      <c r="H4106" s="4"/>
    </row>
    <row r="4107">
      <c r="D4107" s="5"/>
      <c r="E4107" s="4"/>
      <c r="F4107" s="4"/>
      <c r="G4107" s="4"/>
      <c r="H4107" s="4"/>
    </row>
    <row r="4108">
      <c r="D4108" s="5"/>
      <c r="E4108" s="4"/>
      <c r="F4108" s="4"/>
      <c r="G4108" s="4"/>
      <c r="H4108" s="4"/>
    </row>
    <row r="4109">
      <c r="D4109" s="5"/>
      <c r="E4109" s="4"/>
      <c r="F4109" s="4"/>
      <c r="G4109" s="4"/>
      <c r="H4109" s="4"/>
    </row>
    <row r="4110">
      <c r="D4110" s="5"/>
      <c r="E4110" s="4"/>
      <c r="F4110" s="4"/>
      <c r="G4110" s="4"/>
      <c r="H4110" s="4"/>
    </row>
    <row r="4111">
      <c r="D4111" s="5"/>
      <c r="E4111" s="4"/>
      <c r="F4111" s="4"/>
      <c r="G4111" s="4"/>
      <c r="H4111" s="4"/>
    </row>
    <row r="4112">
      <c r="D4112" s="5"/>
      <c r="E4112" s="4"/>
      <c r="F4112" s="4"/>
      <c r="G4112" s="4"/>
      <c r="H4112" s="4"/>
    </row>
    <row r="4113">
      <c r="D4113" s="5"/>
      <c r="E4113" s="4"/>
      <c r="F4113" s="4"/>
      <c r="G4113" s="4"/>
      <c r="H4113" s="4"/>
    </row>
    <row r="4114">
      <c r="D4114" s="5"/>
      <c r="E4114" s="4"/>
      <c r="F4114" s="4"/>
      <c r="G4114" s="4"/>
      <c r="H4114" s="4"/>
    </row>
    <row r="4115">
      <c r="D4115" s="5"/>
      <c r="E4115" s="4"/>
      <c r="F4115" s="4"/>
      <c r="G4115" s="4"/>
      <c r="H4115" s="4"/>
    </row>
    <row r="4116">
      <c r="D4116" s="5"/>
      <c r="E4116" s="4"/>
      <c r="F4116" s="4"/>
      <c r="G4116" s="4"/>
      <c r="H4116" s="4"/>
    </row>
    <row r="4117">
      <c r="D4117" s="5"/>
      <c r="E4117" s="4"/>
      <c r="F4117" s="4"/>
      <c r="G4117" s="4"/>
      <c r="H4117" s="4"/>
    </row>
    <row r="4118">
      <c r="D4118" s="5"/>
      <c r="E4118" s="4"/>
      <c r="F4118" s="4"/>
      <c r="G4118" s="4"/>
      <c r="H4118" s="4"/>
    </row>
    <row r="4119">
      <c r="D4119" s="5"/>
      <c r="E4119" s="4"/>
      <c r="F4119" s="4"/>
      <c r="G4119" s="4"/>
      <c r="H4119" s="4"/>
    </row>
    <row r="4120">
      <c r="D4120" s="5"/>
      <c r="E4120" s="4"/>
      <c r="F4120" s="4"/>
      <c r="G4120" s="4"/>
      <c r="H4120" s="4"/>
    </row>
    <row r="4121">
      <c r="D4121" s="5"/>
      <c r="E4121" s="4"/>
      <c r="F4121" s="4"/>
      <c r="G4121" s="4"/>
      <c r="H4121" s="4"/>
    </row>
    <row r="4122">
      <c r="D4122" s="5"/>
      <c r="E4122" s="4"/>
      <c r="F4122" s="4"/>
      <c r="G4122" s="4"/>
      <c r="H4122" s="4"/>
    </row>
    <row r="4123">
      <c r="D4123" s="5"/>
      <c r="E4123" s="4"/>
      <c r="F4123" s="4"/>
      <c r="G4123" s="4"/>
      <c r="H4123" s="4"/>
    </row>
    <row r="4124">
      <c r="D4124" s="5"/>
      <c r="E4124" s="4"/>
      <c r="F4124" s="4"/>
      <c r="G4124" s="4"/>
      <c r="H4124" s="4"/>
    </row>
    <row r="4125">
      <c r="D4125" s="5"/>
      <c r="E4125" s="4"/>
      <c r="F4125" s="4"/>
      <c r="G4125" s="4"/>
      <c r="H4125" s="4"/>
    </row>
    <row r="4126">
      <c r="D4126" s="5"/>
      <c r="E4126" s="4"/>
      <c r="F4126" s="4"/>
      <c r="G4126" s="4"/>
      <c r="H4126" s="4"/>
    </row>
    <row r="4127">
      <c r="D4127" s="5"/>
      <c r="E4127" s="4"/>
      <c r="F4127" s="4"/>
      <c r="G4127" s="4"/>
      <c r="H4127" s="4"/>
    </row>
    <row r="4128">
      <c r="D4128" s="5"/>
      <c r="E4128" s="4"/>
      <c r="F4128" s="4"/>
      <c r="G4128" s="4"/>
      <c r="H4128" s="4"/>
    </row>
    <row r="4129">
      <c r="D4129" s="5"/>
      <c r="E4129" s="4"/>
      <c r="F4129" s="4"/>
      <c r="G4129" s="4"/>
      <c r="H4129" s="4"/>
    </row>
    <row r="4130">
      <c r="D4130" s="5"/>
      <c r="E4130" s="4"/>
      <c r="F4130" s="4"/>
      <c r="G4130" s="4"/>
      <c r="H4130" s="4"/>
    </row>
    <row r="4131">
      <c r="D4131" s="5"/>
      <c r="E4131" s="4"/>
      <c r="F4131" s="4"/>
      <c r="G4131" s="4"/>
      <c r="H4131" s="4"/>
    </row>
    <row r="4132">
      <c r="D4132" s="5"/>
      <c r="E4132" s="4"/>
      <c r="F4132" s="4"/>
      <c r="G4132" s="4"/>
      <c r="H4132" s="4"/>
    </row>
    <row r="4133">
      <c r="D4133" s="5"/>
      <c r="E4133" s="4"/>
      <c r="F4133" s="4"/>
      <c r="G4133" s="4"/>
      <c r="H4133" s="4"/>
    </row>
    <row r="4134">
      <c r="D4134" s="5"/>
      <c r="E4134" s="4"/>
      <c r="F4134" s="4"/>
      <c r="G4134" s="4"/>
      <c r="H4134" s="4"/>
    </row>
    <row r="4135">
      <c r="D4135" s="5"/>
      <c r="E4135" s="4"/>
      <c r="F4135" s="4"/>
      <c r="G4135" s="4"/>
      <c r="H4135" s="4"/>
    </row>
    <row r="4136">
      <c r="D4136" s="5"/>
      <c r="E4136" s="4"/>
      <c r="F4136" s="4"/>
      <c r="G4136" s="4"/>
      <c r="H4136" s="4"/>
    </row>
    <row r="4137">
      <c r="D4137" s="5"/>
      <c r="E4137" s="4"/>
      <c r="F4137" s="4"/>
      <c r="G4137" s="4"/>
      <c r="H4137" s="4"/>
    </row>
    <row r="4138">
      <c r="D4138" s="5"/>
      <c r="E4138" s="4"/>
      <c r="F4138" s="4"/>
      <c r="G4138" s="4"/>
      <c r="H4138" s="4"/>
    </row>
    <row r="4139">
      <c r="D4139" s="5"/>
      <c r="E4139" s="4"/>
      <c r="F4139" s="4"/>
      <c r="G4139" s="4"/>
      <c r="H4139" s="4"/>
    </row>
    <row r="4140">
      <c r="D4140" s="5"/>
      <c r="E4140" s="4"/>
      <c r="F4140" s="4"/>
      <c r="G4140" s="4"/>
      <c r="H4140" s="4"/>
    </row>
    <row r="4141">
      <c r="D4141" s="5"/>
      <c r="E4141" s="4"/>
      <c r="F4141" s="4"/>
      <c r="G4141" s="4"/>
      <c r="H4141" s="4"/>
    </row>
    <row r="4142">
      <c r="D4142" s="5"/>
      <c r="E4142" s="4"/>
      <c r="F4142" s="4"/>
      <c r="G4142" s="4"/>
      <c r="H4142" s="4"/>
    </row>
    <row r="4143">
      <c r="D4143" s="5"/>
      <c r="E4143" s="4"/>
      <c r="F4143" s="4"/>
      <c r="G4143" s="4"/>
      <c r="H4143" s="4"/>
    </row>
    <row r="4144">
      <c r="D4144" s="5"/>
      <c r="E4144" s="4"/>
      <c r="F4144" s="4"/>
      <c r="G4144" s="4"/>
      <c r="H4144" s="4"/>
    </row>
    <row r="4145">
      <c r="D4145" s="5"/>
      <c r="E4145" s="4"/>
      <c r="F4145" s="4"/>
      <c r="G4145" s="4"/>
      <c r="H4145" s="4"/>
    </row>
    <row r="4146">
      <c r="D4146" s="5"/>
      <c r="E4146" s="4"/>
      <c r="F4146" s="4"/>
      <c r="G4146" s="4"/>
      <c r="H4146" s="4"/>
    </row>
    <row r="4147">
      <c r="D4147" s="5"/>
      <c r="E4147" s="4"/>
      <c r="F4147" s="4"/>
      <c r="G4147" s="4"/>
      <c r="H4147" s="4"/>
    </row>
    <row r="4148">
      <c r="D4148" s="5"/>
      <c r="E4148" s="4"/>
      <c r="F4148" s="4"/>
      <c r="G4148" s="4"/>
      <c r="H4148" s="4"/>
    </row>
    <row r="4149">
      <c r="D4149" s="5"/>
      <c r="E4149" s="4"/>
      <c r="F4149" s="4"/>
      <c r="G4149" s="4"/>
      <c r="H4149" s="4"/>
    </row>
    <row r="4150">
      <c r="D4150" s="5"/>
      <c r="E4150" s="4"/>
      <c r="F4150" s="4"/>
      <c r="G4150" s="4"/>
      <c r="H4150" s="4"/>
    </row>
    <row r="4151">
      <c r="D4151" s="5"/>
      <c r="E4151" s="4"/>
      <c r="F4151" s="4"/>
      <c r="G4151" s="4"/>
      <c r="H4151" s="4"/>
    </row>
    <row r="4152">
      <c r="D4152" s="5"/>
      <c r="E4152" s="4"/>
      <c r="F4152" s="4"/>
      <c r="G4152" s="4"/>
      <c r="H4152" s="4"/>
    </row>
    <row r="4153">
      <c r="D4153" s="5"/>
      <c r="E4153" s="4"/>
      <c r="F4153" s="4"/>
      <c r="G4153" s="4"/>
      <c r="H4153" s="4"/>
    </row>
    <row r="4154">
      <c r="D4154" s="5"/>
      <c r="E4154" s="4"/>
      <c r="F4154" s="4"/>
      <c r="G4154" s="4"/>
      <c r="H4154" s="4"/>
    </row>
    <row r="4155">
      <c r="D4155" s="5"/>
      <c r="E4155" s="4"/>
      <c r="F4155" s="4"/>
      <c r="G4155" s="4"/>
      <c r="H4155" s="4"/>
    </row>
    <row r="4156">
      <c r="D4156" s="5"/>
      <c r="E4156" s="4"/>
      <c r="F4156" s="4"/>
      <c r="G4156" s="4"/>
      <c r="H4156" s="4"/>
    </row>
    <row r="4157">
      <c r="D4157" s="5"/>
      <c r="E4157" s="4"/>
      <c r="F4157" s="4"/>
      <c r="G4157" s="4"/>
      <c r="H4157" s="4"/>
    </row>
    <row r="4158">
      <c r="D4158" s="5"/>
      <c r="E4158" s="4"/>
      <c r="F4158" s="4"/>
      <c r="G4158" s="4"/>
      <c r="H4158" s="4"/>
    </row>
    <row r="4159">
      <c r="D4159" s="5"/>
      <c r="E4159" s="4"/>
      <c r="F4159" s="4"/>
      <c r="G4159" s="4"/>
      <c r="H4159" s="4"/>
    </row>
    <row r="4160">
      <c r="D4160" s="5"/>
      <c r="E4160" s="4"/>
      <c r="F4160" s="4"/>
      <c r="G4160" s="4"/>
      <c r="H4160" s="4"/>
    </row>
    <row r="4161">
      <c r="D4161" s="5"/>
      <c r="E4161" s="4"/>
      <c r="F4161" s="4"/>
      <c r="G4161" s="4"/>
      <c r="H4161" s="4"/>
    </row>
    <row r="4162">
      <c r="D4162" s="5"/>
      <c r="E4162" s="4"/>
      <c r="F4162" s="4"/>
      <c r="G4162" s="4"/>
      <c r="H4162" s="4"/>
    </row>
    <row r="4163">
      <c r="D4163" s="5"/>
      <c r="E4163" s="4"/>
      <c r="F4163" s="4"/>
      <c r="G4163" s="4"/>
      <c r="H4163" s="4"/>
    </row>
    <row r="4164">
      <c r="D4164" s="5"/>
      <c r="E4164" s="4"/>
      <c r="F4164" s="4"/>
      <c r="G4164" s="4"/>
      <c r="H4164" s="4"/>
    </row>
    <row r="4165">
      <c r="D4165" s="5"/>
      <c r="E4165" s="4"/>
      <c r="F4165" s="4"/>
      <c r="G4165" s="4"/>
      <c r="H4165" s="4"/>
    </row>
    <row r="4166">
      <c r="D4166" s="5"/>
      <c r="E4166" s="4"/>
      <c r="F4166" s="4"/>
      <c r="G4166" s="4"/>
      <c r="H4166" s="4"/>
    </row>
    <row r="4167">
      <c r="D4167" s="5"/>
      <c r="E4167" s="4"/>
      <c r="F4167" s="4"/>
      <c r="G4167" s="4"/>
      <c r="H4167" s="4"/>
    </row>
    <row r="4168">
      <c r="D4168" s="5"/>
      <c r="E4168" s="4"/>
      <c r="F4168" s="4"/>
      <c r="G4168" s="4"/>
      <c r="H4168" s="4"/>
    </row>
    <row r="4169">
      <c r="D4169" s="5"/>
      <c r="E4169" s="4"/>
      <c r="F4169" s="4"/>
      <c r="G4169" s="4"/>
      <c r="H4169" s="4"/>
    </row>
    <row r="4170">
      <c r="D4170" s="5"/>
      <c r="E4170" s="4"/>
      <c r="F4170" s="4"/>
      <c r="G4170" s="4"/>
      <c r="H4170" s="4"/>
    </row>
    <row r="4171">
      <c r="D4171" s="5"/>
      <c r="E4171" s="4"/>
      <c r="F4171" s="4"/>
      <c r="G4171" s="4"/>
      <c r="H4171" s="4"/>
    </row>
    <row r="4172">
      <c r="D4172" s="5"/>
      <c r="E4172" s="4"/>
      <c r="F4172" s="4"/>
      <c r="G4172" s="4"/>
      <c r="H4172" s="4"/>
    </row>
    <row r="4173">
      <c r="D4173" s="5"/>
      <c r="E4173" s="4"/>
      <c r="F4173" s="4"/>
      <c r="G4173" s="4"/>
      <c r="H4173" s="4"/>
    </row>
    <row r="4174">
      <c r="D4174" s="5"/>
      <c r="E4174" s="4"/>
      <c r="F4174" s="4"/>
      <c r="G4174" s="4"/>
      <c r="H4174" s="4"/>
    </row>
    <row r="4175">
      <c r="D4175" s="5"/>
      <c r="E4175" s="4"/>
      <c r="F4175" s="4"/>
      <c r="G4175" s="4"/>
      <c r="H4175" s="4"/>
    </row>
    <row r="4176">
      <c r="D4176" s="5"/>
      <c r="E4176" s="4"/>
      <c r="F4176" s="4"/>
      <c r="G4176" s="4"/>
      <c r="H4176" s="4"/>
    </row>
    <row r="4177">
      <c r="D4177" s="5"/>
      <c r="E4177" s="4"/>
      <c r="F4177" s="4"/>
      <c r="G4177" s="4"/>
      <c r="H4177" s="4"/>
    </row>
    <row r="4178">
      <c r="D4178" s="5"/>
      <c r="E4178" s="4"/>
      <c r="F4178" s="4"/>
      <c r="G4178" s="4"/>
      <c r="H4178" s="4"/>
    </row>
    <row r="4179">
      <c r="D4179" s="5"/>
      <c r="E4179" s="4"/>
      <c r="F4179" s="4"/>
      <c r="G4179" s="4"/>
      <c r="H4179" s="4"/>
    </row>
    <row r="4180">
      <c r="D4180" s="5"/>
      <c r="E4180" s="4"/>
      <c r="F4180" s="4"/>
      <c r="G4180" s="4"/>
      <c r="H4180" s="4"/>
    </row>
    <row r="4181">
      <c r="D4181" s="5"/>
      <c r="E4181" s="4"/>
      <c r="F4181" s="4"/>
      <c r="G4181" s="4"/>
      <c r="H4181" s="4"/>
    </row>
    <row r="4182">
      <c r="D4182" s="5"/>
      <c r="E4182" s="4"/>
      <c r="F4182" s="4"/>
      <c r="G4182" s="4"/>
      <c r="H4182" s="4"/>
    </row>
    <row r="4183">
      <c r="D4183" s="5"/>
      <c r="E4183" s="4"/>
      <c r="F4183" s="4"/>
      <c r="G4183" s="4"/>
      <c r="H4183" s="4"/>
    </row>
    <row r="4184">
      <c r="D4184" s="5"/>
      <c r="E4184" s="4"/>
      <c r="F4184" s="4"/>
      <c r="G4184" s="4"/>
      <c r="H4184" s="4"/>
    </row>
    <row r="4185">
      <c r="D4185" s="5"/>
      <c r="E4185" s="4"/>
      <c r="F4185" s="4"/>
      <c r="G4185" s="4"/>
      <c r="H4185" s="4"/>
    </row>
    <row r="4186">
      <c r="D4186" s="5"/>
      <c r="E4186" s="4"/>
      <c r="F4186" s="4"/>
      <c r="G4186" s="4"/>
      <c r="H4186" s="4"/>
    </row>
    <row r="4187">
      <c r="D4187" s="5"/>
      <c r="E4187" s="4"/>
      <c r="F4187" s="4"/>
      <c r="G4187" s="4"/>
      <c r="H4187" s="4"/>
    </row>
    <row r="4188">
      <c r="D4188" s="5"/>
      <c r="E4188" s="4"/>
      <c r="F4188" s="4"/>
      <c r="G4188" s="4"/>
      <c r="H4188" s="4"/>
    </row>
    <row r="4189">
      <c r="D4189" s="5"/>
      <c r="E4189" s="4"/>
      <c r="F4189" s="4"/>
      <c r="G4189" s="4"/>
      <c r="H4189" s="4"/>
    </row>
    <row r="4190">
      <c r="D4190" s="5"/>
      <c r="E4190" s="4"/>
      <c r="F4190" s="4"/>
      <c r="G4190" s="4"/>
      <c r="H4190" s="4"/>
    </row>
    <row r="4191">
      <c r="D4191" s="5"/>
      <c r="E4191" s="4"/>
      <c r="F4191" s="4"/>
      <c r="G4191" s="4"/>
      <c r="H4191" s="4"/>
    </row>
    <row r="4192">
      <c r="D4192" s="5"/>
      <c r="E4192" s="4"/>
      <c r="F4192" s="4"/>
      <c r="G4192" s="4"/>
      <c r="H4192" s="4"/>
    </row>
    <row r="4193">
      <c r="D4193" s="5"/>
      <c r="E4193" s="4"/>
      <c r="F4193" s="4"/>
      <c r="G4193" s="4"/>
      <c r="H4193" s="4"/>
    </row>
    <row r="4194">
      <c r="D4194" s="5"/>
      <c r="E4194" s="4"/>
      <c r="F4194" s="4"/>
      <c r="G4194" s="4"/>
      <c r="H4194" s="4"/>
    </row>
    <row r="4195">
      <c r="D4195" s="5"/>
      <c r="E4195" s="4"/>
      <c r="F4195" s="4"/>
      <c r="G4195" s="4"/>
      <c r="H4195" s="4"/>
    </row>
    <row r="4196">
      <c r="D4196" s="5"/>
      <c r="E4196" s="4"/>
      <c r="F4196" s="4"/>
      <c r="G4196" s="4"/>
      <c r="H4196" s="4"/>
    </row>
    <row r="4197">
      <c r="D4197" s="5"/>
      <c r="E4197" s="4"/>
      <c r="F4197" s="4"/>
      <c r="G4197" s="4"/>
      <c r="H4197" s="4"/>
    </row>
    <row r="4198">
      <c r="D4198" s="5"/>
      <c r="E4198" s="4"/>
      <c r="F4198" s="4"/>
      <c r="G4198" s="4"/>
      <c r="H4198" s="4"/>
    </row>
    <row r="4199">
      <c r="D4199" s="5"/>
      <c r="E4199" s="4"/>
      <c r="F4199" s="4"/>
      <c r="G4199" s="4"/>
      <c r="H4199" s="4"/>
    </row>
    <row r="4200">
      <c r="D4200" s="5"/>
      <c r="E4200" s="4"/>
      <c r="F4200" s="4"/>
      <c r="G4200" s="4"/>
      <c r="H4200" s="4"/>
    </row>
    <row r="4201">
      <c r="D4201" s="5"/>
      <c r="E4201" s="4"/>
      <c r="F4201" s="4"/>
      <c r="G4201" s="4"/>
      <c r="H4201" s="4"/>
    </row>
    <row r="4202">
      <c r="D4202" s="5"/>
      <c r="E4202" s="4"/>
      <c r="F4202" s="4"/>
      <c r="G4202" s="4"/>
      <c r="H4202" s="4"/>
    </row>
    <row r="4203">
      <c r="D4203" s="5"/>
      <c r="E4203" s="4"/>
      <c r="F4203" s="4"/>
      <c r="G4203" s="4"/>
      <c r="H4203" s="4"/>
    </row>
    <row r="4204">
      <c r="D4204" s="5"/>
      <c r="E4204" s="4"/>
      <c r="F4204" s="4"/>
      <c r="G4204" s="4"/>
      <c r="H4204" s="4"/>
    </row>
    <row r="4205">
      <c r="D4205" s="5"/>
      <c r="E4205" s="4"/>
      <c r="F4205" s="4"/>
      <c r="G4205" s="4"/>
      <c r="H4205" s="4"/>
    </row>
    <row r="4206">
      <c r="D4206" s="5"/>
      <c r="E4206" s="4"/>
      <c r="F4206" s="4"/>
      <c r="G4206" s="4"/>
      <c r="H4206" s="4"/>
    </row>
    <row r="4207">
      <c r="D4207" s="5"/>
      <c r="E4207" s="4"/>
      <c r="F4207" s="4"/>
      <c r="G4207" s="4"/>
      <c r="H4207" s="4"/>
    </row>
    <row r="4208">
      <c r="D4208" s="5"/>
      <c r="E4208" s="4"/>
      <c r="F4208" s="4"/>
      <c r="G4208" s="4"/>
      <c r="H4208" s="4"/>
    </row>
    <row r="4209">
      <c r="D4209" s="5"/>
      <c r="E4209" s="4"/>
      <c r="F4209" s="4"/>
      <c r="G4209" s="4"/>
      <c r="H4209" s="4"/>
    </row>
    <row r="4210">
      <c r="D4210" s="5"/>
      <c r="E4210" s="4"/>
      <c r="F4210" s="4"/>
      <c r="G4210" s="4"/>
      <c r="H4210" s="4"/>
    </row>
    <row r="4211">
      <c r="D4211" s="5"/>
      <c r="E4211" s="4"/>
      <c r="F4211" s="4"/>
      <c r="G4211" s="4"/>
      <c r="H4211" s="4"/>
    </row>
    <row r="4212">
      <c r="D4212" s="5"/>
      <c r="E4212" s="4"/>
      <c r="F4212" s="4"/>
      <c r="G4212" s="4"/>
      <c r="H4212" s="4"/>
    </row>
    <row r="4213">
      <c r="D4213" s="5"/>
      <c r="E4213" s="4"/>
      <c r="F4213" s="4"/>
      <c r="G4213" s="4"/>
      <c r="H4213" s="4"/>
    </row>
    <row r="4214">
      <c r="D4214" s="5"/>
      <c r="E4214" s="4"/>
      <c r="F4214" s="4"/>
      <c r="G4214" s="4"/>
      <c r="H4214" s="4"/>
    </row>
    <row r="4215">
      <c r="D4215" s="5"/>
      <c r="E4215" s="4"/>
      <c r="F4215" s="4"/>
      <c r="G4215" s="4"/>
      <c r="H4215" s="4"/>
    </row>
    <row r="4216">
      <c r="D4216" s="5"/>
      <c r="E4216" s="4"/>
      <c r="F4216" s="4"/>
      <c r="G4216" s="4"/>
      <c r="H4216" s="4"/>
    </row>
    <row r="4217">
      <c r="D4217" s="5"/>
      <c r="E4217" s="4"/>
      <c r="F4217" s="4"/>
      <c r="G4217" s="4"/>
      <c r="H4217" s="4"/>
    </row>
    <row r="4218">
      <c r="D4218" s="5"/>
      <c r="E4218" s="4"/>
      <c r="F4218" s="4"/>
      <c r="G4218" s="4"/>
      <c r="H4218" s="4"/>
    </row>
    <row r="4219">
      <c r="D4219" s="5"/>
      <c r="E4219" s="4"/>
      <c r="F4219" s="4"/>
      <c r="G4219" s="4"/>
      <c r="H4219" s="4"/>
    </row>
    <row r="4220">
      <c r="D4220" s="5"/>
      <c r="E4220" s="4"/>
      <c r="F4220" s="4"/>
      <c r="G4220" s="4"/>
      <c r="H4220" s="4"/>
    </row>
    <row r="4221">
      <c r="D4221" s="5"/>
      <c r="E4221" s="4"/>
      <c r="F4221" s="4"/>
      <c r="G4221" s="4"/>
      <c r="H4221" s="4"/>
    </row>
    <row r="4222">
      <c r="D4222" s="5"/>
      <c r="E4222" s="4"/>
      <c r="F4222" s="4"/>
      <c r="G4222" s="4"/>
      <c r="H4222" s="4"/>
    </row>
    <row r="4223">
      <c r="D4223" s="5"/>
      <c r="E4223" s="4"/>
      <c r="F4223" s="4"/>
      <c r="G4223" s="4"/>
      <c r="H4223" s="4"/>
    </row>
    <row r="4224">
      <c r="D4224" s="5"/>
      <c r="E4224" s="4"/>
      <c r="F4224" s="4"/>
      <c r="G4224" s="4"/>
      <c r="H4224" s="4"/>
    </row>
    <row r="4225">
      <c r="D4225" s="5"/>
      <c r="E4225" s="4"/>
      <c r="F4225" s="4"/>
      <c r="G4225" s="4"/>
      <c r="H4225" s="4"/>
    </row>
    <row r="4226">
      <c r="D4226" s="5"/>
      <c r="E4226" s="4"/>
      <c r="F4226" s="4"/>
      <c r="G4226" s="4"/>
      <c r="H4226" s="4"/>
    </row>
    <row r="4227">
      <c r="D4227" s="5"/>
      <c r="E4227" s="4"/>
      <c r="F4227" s="4"/>
      <c r="G4227" s="4"/>
      <c r="H4227" s="4"/>
    </row>
    <row r="4228">
      <c r="D4228" s="5"/>
      <c r="E4228" s="4"/>
      <c r="F4228" s="4"/>
      <c r="G4228" s="4"/>
      <c r="H4228" s="4"/>
    </row>
    <row r="4229">
      <c r="D4229" s="5"/>
      <c r="E4229" s="4"/>
      <c r="F4229" s="4"/>
      <c r="G4229" s="4"/>
      <c r="H4229" s="4"/>
    </row>
    <row r="4230">
      <c r="D4230" s="5"/>
      <c r="E4230" s="4"/>
      <c r="F4230" s="4"/>
      <c r="G4230" s="4"/>
      <c r="H4230" s="4"/>
    </row>
    <row r="4231">
      <c r="D4231" s="5"/>
      <c r="E4231" s="4"/>
      <c r="F4231" s="4"/>
      <c r="G4231" s="4"/>
      <c r="H4231" s="4"/>
    </row>
    <row r="4232">
      <c r="D4232" s="5"/>
      <c r="E4232" s="4"/>
      <c r="F4232" s="4"/>
      <c r="G4232" s="4"/>
      <c r="H4232" s="4"/>
    </row>
    <row r="4233">
      <c r="D4233" s="5"/>
      <c r="E4233" s="4"/>
      <c r="F4233" s="4"/>
      <c r="G4233" s="4"/>
      <c r="H4233" s="4"/>
    </row>
    <row r="4234">
      <c r="D4234" s="5"/>
      <c r="E4234" s="4"/>
      <c r="F4234" s="4"/>
      <c r="G4234" s="4"/>
      <c r="H4234" s="4"/>
    </row>
    <row r="4235">
      <c r="D4235" s="5"/>
      <c r="E4235" s="4"/>
      <c r="F4235" s="4"/>
      <c r="G4235" s="4"/>
      <c r="H4235" s="4"/>
    </row>
    <row r="4236">
      <c r="D4236" s="5"/>
      <c r="E4236" s="4"/>
      <c r="F4236" s="4"/>
      <c r="G4236" s="4"/>
      <c r="H4236" s="4"/>
    </row>
    <row r="4237">
      <c r="D4237" s="5"/>
      <c r="E4237" s="4"/>
      <c r="F4237" s="4"/>
      <c r="G4237" s="4"/>
      <c r="H4237" s="4"/>
    </row>
    <row r="4238">
      <c r="D4238" s="5"/>
      <c r="E4238" s="4"/>
      <c r="F4238" s="4"/>
      <c r="G4238" s="4"/>
      <c r="H4238" s="4"/>
    </row>
    <row r="4239">
      <c r="D4239" s="5"/>
      <c r="E4239" s="4"/>
      <c r="F4239" s="4"/>
      <c r="G4239" s="4"/>
      <c r="H4239" s="4"/>
    </row>
    <row r="4240">
      <c r="D4240" s="5"/>
      <c r="E4240" s="4"/>
      <c r="F4240" s="4"/>
      <c r="G4240" s="4"/>
      <c r="H4240" s="4"/>
    </row>
    <row r="4241">
      <c r="D4241" s="5"/>
      <c r="E4241" s="4"/>
      <c r="F4241" s="4"/>
      <c r="G4241" s="4"/>
      <c r="H4241" s="4"/>
    </row>
    <row r="4242">
      <c r="D4242" s="5"/>
      <c r="E4242" s="4"/>
      <c r="F4242" s="4"/>
      <c r="G4242" s="4"/>
      <c r="H4242" s="4"/>
    </row>
    <row r="4243">
      <c r="D4243" s="5"/>
      <c r="E4243" s="4"/>
      <c r="F4243" s="4"/>
      <c r="G4243" s="4"/>
      <c r="H4243" s="4"/>
    </row>
    <row r="4244">
      <c r="D4244" s="5"/>
      <c r="E4244" s="4"/>
      <c r="F4244" s="4"/>
      <c r="G4244" s="4"/>
      <c r="H4244" s="4"/>
    </row>
    <row r="4245">
      <c r="D4245" s="5"/>
      <c r="E4245" s="4"/>
      <c r="F4245" s="4"/>
      <c r="G4245" s="4"/>
      <c r="H4245" s="4"/>
    </row>
    <row r="4246">
      <c r="D4246" s="5"/>
      <c r="E4246" s="4"/>
      <c r="F4246" s="4"/>
      <c r="G4246" s="4"/>
      <c r="H4246" s="4"/>
    </row>
    <row r="4247">
      <c r="D4247" s="5"/>
      <c r="E4247" s="4"/>
      <c r="F4247" s="4"/>
      <c r="G4247" s="4"/>
      <c r="H4247" s="4"/>
    </row>
    <row r="4248">
      <c r="D4248" s="5"/>
      <c r="E4248" s="4"/>
      <c r="F4248" s="4"/>
      <c r="G4248" s="4"/>
      <c r="H4248" s="4"/>
    </row>
    <row r="4249">
      <c r="D4249" s="5"/>
      <c r="E4249" s="4"/>
      <c r="F4249" s="4"/>
      <c r="G4249" s="4"/>
      <c r="H4249" s="4"/>
    </row>
    <row r="4250">
      <c r="D4250" s="5"/>
      <c r="E4250" s="4"/>
      <c r="F4250" s="4"/>
      <c r="G4250" s="4"/>
      <c r="H4250" s="4"/>
    </row>
    <row r="4251">
      <c r="D4251" s="5"/>
      <c r="E4251" s="4"/>
      <c r="F4251" s="4"/>
      <c r="G4251" s="4"/>
      <c r="H4251" s="4"/>
    </row>
    <row r="4252">
      <c r="D4252" s="5"/>
      <c r="E4252" s="4"/>
      <c r="F4252" s="4"/>
      <c r="G4252" s="4"/>
      <c r="H4252" s="4"/>
    </row>
    <row r="4253">
      <c r="D4253" s="5"/>
      <c r="E4253" s="4"/>
      <c r="F4253" s="4"/>
      <c r="G4253" s="4"/>
      <c r="H4253" s="4"/>
    </row>
    <row r="4254">
      <c r="D4254" s="5"/>
      <c r="E4254" s="4"/>
      <c r="F4254" s="4"/>
      <c r="G4254" s="4"/>
      <c r="H4254" s="4"/>
    </row>
    <row r="4255">
      <c r="D4255" s="5"/>
      <c r="E4255" s="4"/>
      <c r="F4255" s="4"/>
      <c r="G4255" s="4"/>
      <c r="H4255" s="4"/>
    </row>
    <row r="4256">
      <c r="D4256" s="5"/>
      <c r="E4256" s="4"/>
      <c r="F4256" s="4"/>
      <c r="G4256" s="4"/>
      <c r="H4256" s="4"/>
    </row>
    <row r="4257">
      <c r="D4257" s="5"/>
      <c r="E4257" s="4"/>
      <c r="F4257" s="4"/>
      <c r="G4257" s="4"/>
      <c r="H4257" s="4"/>
    </row>
    <row r="4258">
      <c r="D4258" s="5"/>
      <c r="E4258" s="4"/>
      <c r="F4258" s="4"/>
      <c r="G4258" s="4"/>
      <c r="H4258" s="4"/>
    </row>
    <row r="4259">
      <c r="D4259" s="5"/>
      <c r="E4259" s="4"/>
      <c r="F4259" s="4"/>
      <c r="G4259" s="4"/>
      <c r="H4259" s="4"/>
    </row>
    <row r="4260">
      <c r="D4260" s="5"/>
      <c r="E4260" s="4"/>
      <c r="F4260" s="4"/>
      <c r="G4260" s="4"/>
      <c r="H4260" s="4"/>
    </row>
    <row r="4261">
      <c r="D4261" s="5"/>
      <c r="E4261" s="4"/>
      <c r="F4261" s="4"/>
      <c r="G4261" s="4"/>
      <c r="H4261" s="4"/>
    </row>
    <row r="4262">
      <c r="D4262" s="5"/>
      <c r="E4262" s="4"/>
      <c r="F4262" s="4"/>
      <c r="G4262" s="4"/>
      <c r="H4262" s="4"/>
    </row>
    <row r="4263">
      <c r="D4263" s="5"/>
      <c r="E4263" s="4"/>
      <c r="F4263" s="4"/>
      <c r="G4263" s="4"/>
      <c r="H4263" s="4"/>
    </row>
    <row r="4264">
      <c r="D4264" s="5"/>
      <c r="E4264" s="4"/>
      <c r="F4264" s="4"/>
      <c r="G4264" s="4"/>
      <c r="H4264" s="4"/>
    </row>
    <row r="4265">
      <c r="D4265" s="5"/>
      <c r="E4265" s="4"/>
      <c r="F4265" s="4"/>
      <c r="G4265" s="4"/>
      <c r="H4265" s="4"/>
    </row>
    <row r="4266">
      <c r="D4266" s="5"/>
      <c r="E4266" s="4"/>
      <c r="F4266" s="4"/>
      <c r="G4266" s="4"/>
      <c r="H4266" s="4"/>
    </row>
    <row r="4267">
      <c r="D4267" s="5"/>
      <c r="E4267" s="4"/>
      <c r="F4267" s="4"/>
      <c r="G4267" s="4"/>
      <c r="H4267" s="4"/>
    </row>
    <row r="4268">
      <c r="D4268" s="5"/>
      <c r="E4268" s="4"/>
      <c r="F4268" s="4"/>
      <c r="G4268" s="4"/>
      <c r="H4268" s="4"/>
    </row>
    <row r="4269">
      <c r="D4269" s="5"/>
      <c r="E4269" s="4"/>
      <c r="F4269" s="4"/>
      <c r="G4269" s="4"/>
      <c r="H4269" s="4"/>
    </row>
    <row r="4270">
      <c r="D4270" s="5"/>
      <c r="E4270" s="4"/>
      <c r="F4270" s="4"/>
      <c r="G4270" s="4"/>
      <c r="H4270" s="4"/>
    </row>
    <row r="4271">
      <c r="D4271" s="5"/>
      <c r="E4271" s="4"/>
      <c r="F4271" s="4"/>
      <c r="G4271" s="4"/>
      <c r="H4271" s="4"/>
    </row>
    <row r="4272">
      <c r="D4272" s="5"/>
      <c r="E4272" s="4"/>
      <c r="F4272" s="4"/>
      <c r="G4272" s="4"/>
      <c r="H4272" s="4"/>
    </row>
    <row r="4273">
      <c r="D4273" s="5"/>
      <c r="E4273" s="4"/>
      <c r="F4273" s="4"/>
      <c r="G4273" s="4"/>
      <c r="H4273" s="4"/>
    </row>
    <row r="4274">
      <c r="D4274" s="5"/>
      <c r="E4274" s="4"/>
      <c r="F4274" s="4"/>
      <c r="G4274" s="4"/>
      <c r="H4274" s="4"/>
    </row>
    <row r="4275">
      <c r="D4275" s="5"/>
      <c r="E4275" s="4"/>
      <c r="F4275" s="4"/>
      <c r="G4275" s="4"/>
      <c r="H4275" s="4"/>
    </row>
    <row r="4276">
      <c r="D4276" s="5"/>
      <c r="E4276" s="4"/>
      <c r="F4276" s="4"/>
      <c r="G4276" s="4"/>
      <c r="H4276" s="4"/>
    </row>
    <row r="4277">
      <c r="D4277" s="5"/>
      <c r="E4277" s="4"/>
      <c r="F4277" s="4"/>
      <c r="G4277" s="4"/>
      <c r="H4277" s="4"/>
    </row>
    <row r="4278">
      <c r="D4278" s="5"/>
      <c r="E4278" s="4"/>
      <c r="F4278" s="4"/>
      <c r="G4278" s="4"/>
      <c r="H4278" s="4"/>
    </row>
    <row r="4279">
      <c r="D4279" s="5"/>
      <c r="E4279" s="4"/>
      <c r="F4279" s="4"/>
      <c r="G4279" s="4"/>
      <c r="H4279" s="4"/>
    </row>
    <row r="4280">
      <c r="D4280" s="5"/>
      <c r="E4280" s="4"/>
      <c r="F4280" s="4"/>
      <c r="G4280" s="4"/>
      <c r="H4280" s="4"/>
    </row>
    <row r="4281">
      <c r="D4281" s="5"/>
      <c r="E4281" s="4"/>
      <c r="F4281" s="4"/>
      <c r="G4281" s="4"/>
      <c r="H4281" s="4"/>
    </row>
    <row r="4282">
      <c r="D4282" s="5"/>
      <c r="E4282" s="4"/>
      <c r="F4282" s="4"/>
      <c r="G4282" s="4"/>
      <c r="H4282" s="4"/>
    </row>
    <row r="4283">
      <c r="D4283" s="5"/>
      <c r="E4283" s="4"/>
      <c r="F4283" s="4"/>
      <c r="G4283" s="4"/>
      <c r="H4283" s="4"/>
    </row>
    <row r="4284">
      <c r="D4284" s="5"/>
      <c r="E4284" s="4"/>
      <c r="F4284" s="4"/>
      <c r="G4284" s="4"/>
      <c r="H4284" s="4"/>
    </row>
    <row r="4285">
      <c r="D4285" s="5"/>
      <c r="E4285" s="4"/>
      <c r="F4285" s="4"/>
      <c r="G4285" s="4"/>
      <c r="H4285" s="4"/>
    </row>
    <row r="4286">
      <c r="D4286" s="5"/>
      <c r="E4286" s="4"/>
      <c r="F4286" s="4"/>
      <c r="G4286" s="4"/>
      <c r="H4286" s="4"/>
    </row>
    <row r="4287">
      <c r="D4287" s="5"/>
      <c r="E4287" s="4"/>
      <c r="F4287" s="4"/>
      <c r="G4287" s="4"/>
      <c r="H4287" s="4"/>
    </row>
    <row r="4288">
      <c r="D4288" s="5"/>
      <c r="E4288" s="4"/>
      <c r="F4288" s="4"/>
      <c r="G4288" s="4"/>
      <c r="H4288" s="4"/>
    </row>
    <row r="4289">
      <c r="D4289" s="5"/>
      <c r="E4289" s="4"/>
      <c r="F4289" s="4"/>
      <c r="G4289" s="4"/>
      <c r="H4289" s="4"/>
    </row>
    <row r="4290">
      <c r="D4290" s="5"/>
      <c r="E4290" s="4"/>
      <c r="F4290" s="4"/>
      <c r="G4290" s="4"/>
      <c r="H4290" s="4"/>
    </row>
    <row r="4291">
      <c r="D4291" s="5"/>
      <c r="E4291" s="4"/>
      <c r="F4291" s="4"/>
      <c r="G4291" s="4"/>
      <c r="H4291" s="4"/>
    </row>
    <row r="4292">
      <c r="D4292" s="5"/>
      <c r="E4292" s="4"/>
      <c r="F4292" s="4"/>
      <c r="G4292" s="4"/>
      <c r="H4292" s="4"/>
    </row>
    <row r="4293">
      <c r="D4293" s="5"/>
      <c r="E4293" s="4"/>
      <c r="F4293" s="4"/>
      <c r="G4293" s="4"/>
      <c r="H4293" s="4"/>
    </row>
    <row r="4294">
      <c r="D4294" s="5"/>
      <c r="E4294" s="4"/>
      <c r="F4294" s="4"/>
      <c r="G4294" s="4"/>
      <c r="H4294" s="4"/>
    </row>
    <row r="4295">
      <c r="D4295" s="5"/>
      <c r="E4295" s="4"/>
      <c r="F4295" s="4"/>
      <c r="G4295" s="4"/>
      <c r="H4295" s="4"/>
    </row>
    <row r="4296">
      <c r="D4296" s="5"/>
      <c r="E4296" s="4"/>
      <c r="F4296" s="4"/>
      <c r="G4296" s="4"/>
      <c r="H4296" s="4"/>
    </row>
    <row r="4297">
      <c r="D4297" s="5"/>
      <c r="E4297" s="4"/>
      <c r="F4297" s="4"/>
      <c r="G4297" s="4"/>
      <c r="H4297" s="4"/>
    </row>
    <row r="4298">
      <c r="D4298" s="5"/>
      <c r="E4298" s="4"/>
      <c r="F4298" s="4"/>
      <c r="G4298" s="4"/>
      <c r="H4298" s="4"/>
    </row>
    <row r="4299">
      <c r="D4299" s="5"/>
      <c r="E4299" s="4"/>
      <c r="F4299" s="4"/>
      <c r="G4299" s="4"/>
      <c r="H4299" s="4"/>
    </row>
    <row r="4300">
      <c r="D4300" s="5"/>
      <c r="E4300" s="4"/>
      <c r="F4300" s="4"/>
      <c r="G4300" s="4"/>
      <c r="H4300" s="4"/>
    </row>
    <row r="4301">
      <c r="D4301" s="5"/>
      <c r="E4301" s="4"/>
      <c r="F4301" s="4"/>
      <c r="G4301" s="4"/>
      <c r="H4301" s="4"/>
    </row>
    <row r="4302">
      <c r="D4302" s="5"/>
      <c r="E4302" s="4"/>
      <c r="F4302" s="4"/>
      <c r="G4302" s="4"/>
      <c r="H4302" s="4"/>
    </row>
    <row r="4303">
      <c r="D4303" s="5"/>
      <c r="E4303" s="4"/>
      <c r="F4303" s="4"/>
      <c r="G4303" s="4"/>
      <c r="H4303" s="4"/>
    </row>
    <row r="4304">
      <c r="D4304" s="5"/>
      <c r="E4304" s="4"/>
      <c r="F4304" s="4"/>
      <c r="G4304" s="4"/>
      <c r="H4304" s="4"/>
    </row>
    <row r="4305">
      <c r="D4305" s="5"/>
      <c r="E4305" s="4"/>
      <c r="F4305" s="4"/>
      <c r="G4305" s="4"/>
      <c r="H4305" s="4"/>
    </row>
    <row r="4306">
      <c r="D4306" s="5"/>
      <c r="E4306" s="4"/>
      <c r="F4306" s="4"/>
      <c r="G4306" s="4"/>
      <c r="H4306" s="4"/>
    </row>
    <row r="4307">
      <c r="D4307" s="5"/>
      <c r="E4307" s="4"/>
      <c r="F4307" s="4"/>
      <c r="G4307" s="4"/>
      <c r="H4307" s="4"/>
    </row>
    <row r="4308">
      <c r="D4308" s="5"/>
      <c r="E4308" s="4"/>
      <c r="F4308" s="4"/>
      <c r="G4308" s="4"/>
      <c r="H4308" s="4"/>
    </row>
    <row r="4309">
      <c r="D4309" s="5"/>
      <c r="E4309" s="4"/>
      <c r="F4309" s="4"/>
      <c r="G4309" s="4"/>
      <c r="H4309" s="4"/>
    </row>
    <row r="4310">
      <c r="D4310" s="5"/>
      <c r="E4310" s="4"/>
      <c r="F4310" s="4"/>
      <c r="G4310" s="4"/>
      <c r="H4310" s="4"/>
    </row>
    <row r="4311">
      <c r="D4311" s="5"/>
      <c r="E4311" s="4"/>
      <c r="F4311" s="4"/>
      <c r="G4311" s="4"/>
      <c r="H4311" s="4"/>
    </row>
    <row r="4312">
      <c r="D4312" s="5"/>
      <c r="E4312" s="4"/>
      <c r="F4312" s="4"/>
      <c r="G4312" s="4"/>
      <c r="H4312" s="4"/>
    </row>
    <row r="4313">
      <c r="D4313" s="5"/>
      <c r="E4313" s="4"/>
      <c r="F4313" s="4"/>
      <c r="G4313" s="4"/>
      <c r="H4313" s="4"/>
    </row>
    <row r="4314">
      <c r="D4314" s="5"/>
      <c r="E4314" s="4"/>
      <c r="F4314" s="4"/>
      <c r="G4314" s="4"/>
      <c r="H4314" s="4"/>
    </row>
    <row r="4315">
      <c r="D4315" s="5"/>
      <c r="E4315" s="4"/>
      <c r="F4315" s="4"/>
      <c r="G4315" s="4"/>
      <c r="H4315" s="4"/>
    </row>
    <row r="4316">
      <c r="D4316" s="5"/>
      <c r="E4316" s="4"/>
      <c r="F4316" s="4"/>
      <c r="G4316" s="4"/>
      <c r="H4316" s="4"/>
    </row>
    <row r="4317">
      <c r="D4317" s="5"/>
      <c r="E4317" s="4"/>
      <c r="F4317" s="4"/>
      <c r="G4317" s="4"/>
      <c r="H4317" s="4"/>
    </row>
    <row r="4318">
      <c r="D4318" s="5"/>
      <c r="E4318" s="4"/>
      <c r="F4318" s="4"/>
      <c r="G4318" s="4"/>
      <c r="H4318" s="4"/>
    </row>
    <row r="4319">
      <c r="D4319" s="5"/>
      <c r="E4319" s="4"/>
      <c r="F4319" s="4"/>
      <c r="G4319" s="4"/>
      <c r="H4319" s="4"/>
    </row>
    <row r="4320">
      <c r="D4320" s="5"/>
      <c r="E4320" s="4"/>
      <c r="F4320" s="4"/>
      <c r="G4320" s="4"/>
      <c r="H4320" s="4"/>
    </row>
    <row r="4321">
      <c r="D4321" s="5"/>
      <c r="E4321" s="4"/>
      <c r="F4321" s="4"/>
      <c r="G4321" s="4"/>
      <c r="H4321" s="4"/>
    </row>
    <row r="4322">
      <c r="D4322" s="5"/>
      <c r="E4322" s="4"/>
      <c r="F4322" s="4"/>
      <c r="G4322" s="4"/>
      <c r="H4322" s="4"/>
    </row>
    <row r="4323">
      <c r="D4323" s="5"/>
      <c r="E4323" s="4"/>
      <c r="F4323" s="4"/>
      <c r="G4323" s="4"/>
      <c r="H4323" s="4"/>
    </row>
    <row r="4324">
      <c r="D4324" s="5"/>
      <c r="E4324" s="4"/>
      <c r="F4324" s="4"/>
      <c r="G4324" s="4"/>
      <c r="H4324" s="4"/>
    </row>
    <row r="4325">
      <c r="D4325" s="5"/>
      <c r="E4325" s="4"/>
      <c r="F4325" s="4"/>
      <c r="G4325" s="4"/>
      <c r="H4325" s="4"/>
    </row>
    <row r="4326">
      <c r="D4326" s="5"/>
      <c r="E4326" s="4"/>
      <c r="F4326" s="4"/>
      <c r="G4326" s="4"/>
      <c r="H4326" s="4"/>
    </row>
    <row r="4327">
      <c r="D4327" s="5"/>
      <c r="E4327" s="4"/>
      <c r="F4327" s="4"/>
      <c r="G4327" s="4"/>
      <c r="H4327" s="4"/>
    </row>
    <row r="4328">
      <c r="D4328" s="5"/>
      <c r="E4328" s="4"/>
      <c r="F4328" s="4"/>
      <c r="G4328" s="4"/>
      <c r="H4328" s="4"/>
    </row>
    <row r="4329">
      <c r="D4329" s="5"/>
      <c r="E4329" s="4"/>
      <c r="F4329" s="4"/>
      <c r="G4329" s="4"/>
      <c r="H4329" s="4"/>
    </row>
    <row r="4330">
      <c r="D4330" s="5"/>
      <c r="E4330" s="4"/>
      <c r="F4330" s="4"/>
      <c r="G4330" s="4"/>
      <c r="H4330" s="4"/>
    </row>
    <row r="4331">
      <c r="D4331" s="5"/>
      <c r="E4331" s="4"/>
      <c r="F4331" s="4"/>
      <c r="G4331" s="4"/>
      <c r="H4331" s="4"/>
    </row>
    <row r="4332">
      <c r="D4332" s="5"/>
      <c r="E4332" s="4"/>
      <c r="F4332" s="4"/>
      <c r="G4332" s="4"/>
      <c r="H4332" s="4"/>
    </row>
    <row r="4333">
      <c r="D4333" s="5"/>
      <c r="E4333" s="4"/>
      <c r="F4333" s="4"/>
      <c r="G4333" s="4"/>
      <c r="H4333" s="4"/>
    </row>
    <row r="4334">
      <c r="D4334" s="5"/>
      <c r="E4334" s="4"/>
      <c r="F4334" s="4"/>
      <c r="G4334" s="4"/>
      <c r="H4334" s="4"/>
    </row>
    <row r="4335">
      <c r="D4335" s="5"/>
      <c r="E4335" s="4"/>
      <c r="F4335" s="4"/>
      <c r="G4335" s="4"/>
      <c r="H4335" s="4"/>
    </row>
    <row r="4336">
      <c r="D4336" s="5"/>
      <c r="E4336" s="4"/>
      <c r="F4336" s="4"/>
      <c r="G4336" s="4"/>
      <c r="H4336" s="4"/>
    </row>
    <row r="4337">
      <c r="D4337" s="5"/>
      <c r="E4337" s="4"/>
      <c r="F4337" s="4"/>
      <c r="G4337" s="4"/>
      <c r="H4337" s="4"/>
    </row>
    <row r="4338">
      <c r="D4338" s="5"/>
      <c r="E4338" s="4"/>
      <c r="F4338" s="4"/>
      <c r="G4338" s="4"/>
      <c r="H4338" s="4"/>
    </row>
    <row r="4339">
      <c r="D4339" s="5"/>
      <c r="E4339" s="4"/>
      <c r="F4339" s="4"/>
      <c r="G4339" s="4"/>
      <c r="H4339" s="4"/>
    </row>
    <row r="4340">
      <c r="D4340" s="5"/>
      <c r="E4340" s="4"/>
      <c r="F4340" s="4"/>
      <c r="G4340" s="4"/>
      <c r="H4340" s="4"/>
    </row>
    <row r="4341">
      <c r="D4341" s="5"/>
      <c r="E4341" s="4"/>
      <c r="F4341" s="4"/>
      <c r="G4341" s="4"/>
      <c r="H4341" s="4"/>
    </row>
    <row r="4342">
      <c r="D4342" s="5"/>
      <c r="E4342" s="4"/>
      <c r="F4342" s="4"/>
      <c r="G4342" s="4"/>
      <c r="H4342" s="4"/>
    </row>
    <row r="4343">
      <c r="D4343" s="5"/>
      <c r="E4343" s="4"/>
      <c r="F4343" s="4"/>
      <c r="G4343" s="4"/>
      <c r="H4343" s="4"/>
    </row>
    <row r="4344">
      <c r="D4344" s="5"/>
      <c r="E4344" s="4"/>
      <c r="F4344" s="4"/>
      <c r="G4344" s="4"/>
      <c r="H4344" s="4"/>
    </row>
    <row r="4345">
      <c r="D4345" s="5"/>
      <c r="E4345" s="4"/>
      <c r="F4345" s="4"/>
      <c r="G4345" s="4"/>
      <c r="H4345" s="4"/>
    </row>
    <row r="4346">
      <c r="D4346" s="5"/>
      <c r="E4346" s="4"/>
      <c r="F4346" s="4"/>
      <c r="G4346" s="4"/>
      <c r="H4346" s="4"/>
    </row>
    <row r="4347">
      <c r="D4347" s="5"/>
      <c r="E4347" s="4"/>
      <c r="F4347" s="4"/>
      <c r="G4347" s="4"/>
      <c r="H4347" s="4"/>
    </row>
    <row r="4348">
      <c r="D4348" s="5"/>
      <c r="E4348" s="4"/>
      <c r="F4348" s="4"/>
      <c r="G4348" s="4"/>
      <c r="H4348" s="4"/>
    </row>
    <row r="4349">
      <c r="D4349" s="5"/>
      <c r="E4349" s="4"/>
      <c r="F4349" s="4"/>
      <c r="G4349" s="4"/>
      <c r="H4349" s="4"/>
    </row>
    <row r="4350">
      <c r="D4350" s="5"/>
      <c r="E4350" s="4"/>
      <c r="F4350" s="4"/>
      <c r="G4350" s="4"/>
      <c r="H4350" s="4"/>
    </row>
    <row r="4351">
      <c r="D4351" s="5"/>
      <c r="E4351" s="4"/>
      <c r="F4351" s="4"/>
      <c r="G4351" s="4"/>
      <c r="H4351" s="4"/>
    </row>
    <row r="4352">
      <c r="D4352" s="5"/>
      <c r="E4352" s="4"/>
      <c r="F4352" s="4"/>
      <c r="G4352" s="4"/>
      <c r="H4352" s="4"/>
    </row>
    <row r="4353">
      <c r="D4353" s="5"/>
      <c r="E4353" s="4"/>
      <c r="F4353" s="4"/>
      <c r="G4353" s="4"/>
      <c r="H4353" s="4"/>
    </row>
    <row r="4354">
      <c r="D4354" s="5"/>
      <c r="E4354" s="4"/>
      <c r="F4354" s="4"/>
      <c r="G4354" s="4"/>
      <c r="H4354" s="4"/>
    </row>
    <row r="4355">
      <c r="D4355" s="5"/>
      <c r="E4355" s="4"/>
      <c r="F4355" s="4"/>
      <c r="G4355" s="4"/>
      <c r="H4355" s="4"/>
    </row>
    <row r="4356">
      <c r="D4356" s="5"/>
      <c r="E4356" s="4"/>
      <c r="F4356" s="4"/>
      <c r="G4356" s="4"/>
      <c r="H4356" s="4"/>
    </row>
    <row r="4357">
      <c r="D4357" s="5"/>
      <c r="E4357" s="4"/>
      <c r="F4357" s="4"/>
      <c r="G4357" s="4"/>
      <c r="H4357" s="4"/>
    </row>
    <row r="4358">
      <c r="D4358" s="5"/>
      <c r="E4358" s="4"/>
      <c r="F4358" s="4"/>
      <c r="G4358" s="4"/>
      <c r="H4358" s="4"/>
    </row>
    <row r="4359">
      <c r="D4359" s="5"/>
      <c r="E4359" s="4"/>
      <c r="F4359" s="4"/>
      <c r="G4359" s="4"/>
      <c r="H4359" s="4"/>
    </row>
    <row r="4360">
      <c r="D4360" s="5"/>
      <c r="E4360" s="4"/>
      <c r="F4360" s="4"/>
      <c r="G4360" s="4"/>
      <c r="H4360" s="4"/>
    </row>
    <row r="4361">
      <c r="D4361" s="5"/>
      <c r="E4361" s="4"/>
      <c r="F4361" s="4"/>
      <c r="G4361" s="4"/>
      <c r="H4361" s="4"/>
    </row>
    <row r="4362">
      <c r="D4362" s="5"/>
      <c r="E4362" s="4"/>
      <c r="F4362" s="4"/>
      <c r="G4362" s="4"/>
      <c r="H4362" s="4"/>
    </row>
    <row r="4363">
      <c r="D4363" s="5"/>
      <c r="E4363" s="4"/>
      <c r="F4363" s="4"/>
      <c r="G4363" s="4"/>
      <c r="H4363" s="4"/>
    </row>
    <row r="4364">
      <c r="D4364" s="5"/>
      <c r="E4364" s="4"/>
      <c r="F4364" s="4"/>
      <c r="G4364" s="4"/>
      <c r="H4364" s="4"/>
    </row>
    <row r="4365">
      <c r="D4365" s="5"/>
      <c r="E4365" s="4"/>
      <c r="F4365" s="4"/>
      <c r="G4365" s="4"/>
      <c r="H4365" s="4"/>
    </row>
    <row r="4366">
      <c r="D4366" s="5"/>
      <c r="E4366" s="4"/>
      <c r="F4366" s="4"/>
      <c r="G4366" s="4"/>
      <c r="H4366" s="4"/>
    </row>
    <row r="4367">
      <c r="D4367" s="5"/>
      <c r="E4367" s="4"/>
      <c r="F4367" s="4"/>
      <c r="G4367" s="4"/>
      <c r="H4367" s="4"/>
    </row>
    <row r="4368">
      <c r="D4368" s="5"/>
      <c r="E4368" s="4"/>
      <c r="F4368" s="4"/>
      <c r="G4368" s="4"/>
      <c r="H4368" s="4"/>
    </row>
    <row r="4369">
      <c r="D4369" s="5"/>
      <c r="E4369" s="4"/>
      <c r="F4369" s="4"/>
      <c r="G4369" s="4"/>
      <c r="H4369" s="4"/>
    </row>
    <row r="4370">
      <c r="D4370" s="5"/>
      <c r="E4370" s="4"/>
      <c r="F4370" s="4"/>
      <c r="G4370" s="4"/>
      <c r="H4370" s="4"/>
    </row>
    <row r="4371">
      <c r="D4371" s="5"/>
      <c r="E4371" s="4"/>
      <c r="F4371" s="4"/>
      <c r="G4371" s="4"/>
      <c r="H4371" s="4"/>
    </row>
    <row r="4372">
      <c r="D4372" s="5"/>
      <c r="E4372" s="4"/>
      <c r="F4372" s="4"/>
      <c r="G4372" s="4"/>
      <c r="H4372" s="4"/>
    </row>
    <row r="4373">
      <c r="D4373" s="5"/>
      <c r="E4373" s="4"/>
      <c r="F4373" s="4"/>
      <c r="G4373" s="4"/>
      <c r="H4373" s="4"/>
    </row>
    <row r="4374">
      <c r="D4374" s="5"/>
      <c r="E4374" s="4"/>
      <c r="F4374" s="4"/>
      <c r="G4374" s="4"/>
      <c r="H4374" s="4"/>
    </row>
    <row r="4375">
      <c r="D4375" s="5"/>
      <c r="E4375" s="4"/>
      <c r="F4375" s="4"/>
      <c r="G4375" s="4"/>
      <c r="H4375" s="4"/>
    </row>
    <row r="4376">
      <c r="D4376" s="5"/>
      <c r="E4376" s="4"/>
      <c r="F4376" s="4"/>
      <c r="G4376" s="4"/>
      <c r="H4376" s="4"/>
    </row>
    <row r="4377">
      <c r="D4377" s="5"/>
      <c r="E4377" s="4"/>
      <c r="F4377" s="4"/>
      <c r="G4377" s="4"/>
      <c r="H4377" s="4"/>
    </row>
    <row r="4378">
      <c r="D4378" s="5"/>
      <c r="E4378" s="4"/>
      <c r="F4378" s="4"/>
      <c r="G4378" s="4"/>
      <c r="H4378" s="4"/>
    </row>
    <row r="4379">
      <c r="D4379" s="5"/>
      <c r="E4379" s="4"/>
      <c r="F4379" s="4"/>
      <c r="G4379" s="4"/>
      <c r="H4379" s="4"/>
    </row>
    <row r="4380">
      <c r="D4380" s="5"/>
      <c r="E4380" s="4"/>
      <c r="F4380" s="4"/>
      <c r="G4380" s="4"/>
      <c r="H4380" s="4"/>
    </row>
    <row r="4381">
      <c r="D4381" s="5"/>
      <c r="E4381" s="4"/>
      <c r="F4381" s="4"/>
      <c r="G4381" s="4"/>
      <c r="H4381" s="4"/>
    </row>
    <row r="4382">
      <c r="D4382" s="5"/>
      <c r="E4382" s="4"/>
      <c r="F4382" s="4"/>
      <c r="G4382" s="4"/>
      <c r="H4382" s="4"/>
    </row>
    <row r="4383">
      <c r="D4383" s="5"/>
      <c r="E4383" s="4"/>
      <c r="F4383" s="4"/>
      <c r="G4383" s="4"/>
      <c r="H4383" s="4"/>
    </row>
    <row r="4384">
      <c r="D4384" s="5"/>
      <c r="E4384" s="4"/>
      <c r="F4384" s="4"/>
      <c r="G4384" s="4"/>
      <c r="H4384" s="4"/>
    </row>
    <row r="4385">
      <c r="D4385" s="5"/>
      <c r="E4385" s="4"/>
      <c r="F4385" s="4"/>
      <c r="G4385" s="4"/>
      <c r="H4385" s="4"/>
    </row>
    <row r="4386">
      <c r="D4386" s="5"/>
      <c r="E4386" s="4"/>
      <c r="F4386" s="4"/>
      <c r="G4386" s="4"/>
      <c r="H4386" s="4"/>
    </row>
    <row r="4387">
      <c r="D4387" s="5"/>
      <c r="E4387" s="4"/>
      <c r="F4387" s="4"/>
      <c r="G4387" s="4"/>
      <c r="H4387" s="4"/>
    </row>
    <row r="4388">
      <c r="D4388" s="5"/>
      <c r="E4388" s="4"/>
      <c r="F4388" s="4"/>
      <c r="G4388" s="4"/>
      <c r="H4388" s="4"/>
    </row>
    <row r="4389">
      <c r="D4389" s="5"/>
      <c r="E4389" s="4"/>
      <c r="F4389" s="4"/>
      <c r="G4389" s="4"/>
      <c r="H4389" s="4"/>
    </row>
    <row r="4390">
      <c r="D4390" s="5"/>
      <c r="E4390" s="4"/>
      <c r="F4390" s="4"/>
      <c r="G4390" s="4"/>
      <c r="H4390" s="4"/>
    </row>
    <row r="4391">
      <c r="D4391" s="5"/>
      <c r="E4391" s="4"/>
      <c r="F4391" s="4"/>
      <c r="G4391" s="4"/>
      <c r="H4391" s="4"/>
    </row>
    <row r="4392">
      <c r="D4392" s="5"/>
      <c r="E4392" s="4"/>
      <c r="F4392" s="4"/>
      <c r="G4392" s="4"/>
      <c r="H4392" s="4"/>
    </row>
    <row r="4393">
      <c r="D4393" s="5"/>
      <c r="E4393" s="4"/>
      <c r="F4393" s="4"/>
      <c r="G4393" s="4"/>
      <c r="H4393" s="4"/>
    </row>
    <row r="4394">
      <c r="D4394" s="5"/>
      <c r="E4394" s="4"/>
      <c r="F4394" s="4"/>
      <c r="G4394" s="4"/>
      <c r="H4394" s="4"/>
    </row>
    <row r="4395">
      <c r="D4395" s="5"/>
      <c r="E4395" s="4"/>
      <c r="F4395" s="4"/>
      <c r="G4395" s="4"/>
      <c r="H4395" s="4"/>
    </row>
    <row r="4396">
      <c r="D4396" s="5"/>
      <c r="E4396" s="4"/>
      <c r="F4396" s="4"/>
      <c r="G4396" s="4"/>
      <c r="H4396" s="4"/>
    </row>
    <row r="4397">
      <c r="D4397" s="5"/>
      <c r="E4397" s="4"/>
      <c r="F4397" s="4"/>
      <c r="G4397" s="4"/>
      <c r="H4397" s="4"/>
    </row>
    <row r="4398">
      <c r="D4398" s="5"/>
      <c r="E4398" s="4"/>
      <c r="F4398" s="4"/>
      <c r="G4398" s="4"/>
      <c r="H4398" s="4"/>
    </row>
    <row r="4399">
      <c r="D4399" s="5"/>
      <c r="E4399" s="4"/>
      <c r="F4399" s="4"/>
      <c r="G4399" s="4"/>
      <c r="H4399" s="4"/>
    </row>
    <row r="4400">
      <c r="D4400" s="5"/>
      <c r="E4400" s="4"/>
      <c r="F4400" s="4"/>
      <c r="G4400" s="4"/>
      <c r="H4400" s="4"/>
    </row>
    <row r="4401">
      <c r="D4401" s="5"/>
      <c r="E4401" s="4"/>
      <c r="F4401" s="4"/>
      <c r="G4401" s="4"/>
      <c r="H4401" s="4"/>
    </row>
    <row r="4402">
      <c r="D4402" s="5"/>
      <c r="E4402" s="4"/>
      <c r="F4402" s="4"/>
      <c r="G4402" s="4"/>
      <c r="H4402" s="4"/>
    </row>
    <row r="4403">
      <c r="D4403" s="5"/>
      <c r="E4403" s="4"/>
      <c r="F4403" s="4"/>
      <c r="G4403" s="4"/>
      <c r="H4403" s="4"/>
    </row>
    <row r="4404">
      <c r="D4404" s="5"/>
      <c r="E4404" s="4"/>
      <c r="F4404" s="4"/>
      <c r="G4404" s="4"/>
      <c r="H4404" s="4"/>
    </row>
    <row r="4405">
      <c r="D4405" s="5"/>
      <c r="E4405" s="4"/>
      <c r="F4405" s="4"/>
      <c r="G4405" s="4"/>
      <c r="H4405" s="4"/>
    </row>
    <row r="4406">
      <c r="D4406" s="5"/>
      <c r="E4406" s="4"/>
      <c r="F4406" s="4"/>
      <c r="G4406" s="4"/>
      <c r="H4406" s="4"/>
    </row>
    <row r="4407">
      <c r="D4407" s="5"/>
      <c r="E4407" s="4"/>
      <c r="F4407" s="4"/>
      <c r="G4407" s="4"/>
      <c r="H4407" s="4"/>
    </row>
    <row r="4408">
      <c r="D4408" s="5"/>
      <c r="E4408" s="4"/>
      <c r="F4408" s="4"/>
      <c r="G4408" s="4"/>
      <c r="H4408" s="4"/>
    </row>
    <row r="4409">
      <c r="D4409" s="5"/>
      <c r="E4409" s="4"/>
      <c r="F4409" s="4"/>
      <c r="G4409" s="4"/>
      <c r="H4409" s="4"/>
    </row>
    <row r="4410">
      <c r="D4410" s="5"/>
      <c r="E4410" s="4"/>
      <c r="F4410" s="4"/>
      <c r="G4410" s="4"/>
      <c r="H4410" s="4"/>
    </row>
    <row r="4411">
      <c r="D4411" s="5"/>
      <c r="E4411" s="4"/>
      <c r="F4411" s="4"/>
      <c r="G4411" s="4"/>
      <c r="H4411" s="4"/>
    </row>
    <row r="4412">
      <c r="D4412" s="5"/>
      <c r="E4412" s="4"/>
      <c r="F4412" s="4"/>
      <c r="G4412" s="4"/>
      <c r="H4412" s="4"/>
    </row>
    <row r="4413">
      <c r="D4413" s="5"/>
      <c r="E4413" s="4"/>
      <c r="F4413" s="4"/>
      <c r="G4413" s="4"/>
      <c r="H4413" s="4"/>
    </row>
    <row r="4414">
      <c r="D4414" s="5"/>
      <c r="E4414" s="4"/>
      <c r="F4414" s="4"/>
      <c r="G4414" s="4"/>
      <c r="H4414" s="4"/>
    </row>
    <row r="4415">
      <c r="D4415" s="5"/>
      <c r="E4415" s="4"/>
      <c r="F4415" s="4"/>
      <c r="G4415" s="4"/>
      <c r="H4415" s="4"/>
    </row>
    <row r="4416">
      <c r="D4416" s="5"/>
      <c r="E4416" s="4"/>
      <c r="F4416" s="4"/>
      <c r="G4416" s="4"/>
      <c r="H4416" s="4"/>
    </row>
    <row r="4417">
      <c r="D4417" s="5"/>
      <c r="E4417" s="4"/>
      <c r="F4417" s="4"/>
      <c r="G4417" s="4"/>
      <c r="H4417" s="4"/>
    </row>
    <row r="4418">
      <c r="D4418" s="5"/>
      <c r="E4418" s="4"/>
      <c r="F4418" s="4"/>
      <c r="G4418" s="4"/>
      <c r="H4418" s="4"/>
    </row>
    <row r="4419">
      <c r="D4419" s="5"/>
      <c r="E4419" s="4"/>
      <c r="F4419" s="4"/>
      <c r="G4419" s="4"/>
      <c r="H4419" s="4"/>
    </row>
    <row r="4420">
      <c r="D4420" s="5"/>
      <c r="E4420" s="4"/>
      <c r="F4420" s="4"/>
      <c r="G4420" s="4"/>
      <c r="H4420" s="4"/>
    </row>
    <row r="4421">
      <c r="D4421" s="5"/>
      <c r="E4421" s="4"/>
      <c r="F4421" s="4"/>
      <c r="G4421" s="4"/>
      <c r="H4421" s="4"/>
    </row>
    <row r="4422">
      <c r="D4422" s="5"/>
      <c r="E4422" s="4"/>
      <c r="F4422" s="4"/>
      <c r="G4422" s="4"/>
      <c r="H4422" s="4"/>
    </row>
    <row r="4423">
      <c r="D4423" s="5"/>
      <c r="E4423" s="4"/>
      <c r="F4423" s="4"/>
      <c r="G4423" s="4"/>
      <c r="H4423" s="4"/>
    </row>
    <row r="4424">
      <c r="D4424" s="5"/>
      <c r="E4424" s="4"/>
      <c r="F4424" s="4"/>
      <c r="G4424" s="4"/>
      <c r="H4424" s="4"/>
    </row>
    <row r="4425">
      <c r="D4425" s="5"/>
      <c r="E4425" s="4"/>
      <c r="F4425" s="4"/>
      <c r="G4425" s="4"/>
      <c r="H4425" s="4"/>
    </row>
    <row r="4426">
      <c r="D4426" s="5"/>
      <c r="E4426" s="4"/>
      <c r="F4426" s="4"/>
      <c r="G4426" s="4"/>
      <c r="H4426" s="4"/>
    </row>
    <row r="4427">
      <c r="D4427" s="5"/>
      <c r="E4427" s="4"/>
      <c r="F4427" s="4"/>
      <c r="G4427" s="4"/>
      <c r="H4427" s="4"/>
    </row>
    <row r="4428">
      <c r="D4428" s="5"/>
      <c r="E4428" s="4"/>
      <c r="F4428" s="4"/>
      <c r="G4428" s="4"/>
      <c r="H4428" s="4"/>
    </row>
    <row r="4429">
      <c r="D4429" s="5"/>
      <c r="E4429" s="4"/>
      <c r="F4429" s="4"/>
      <c r="G4429" s="4"/>
      <c r="H4429" s="4"/>
    </row>
    <row r="4430">
      <c r="D4430" s="5"/>
      <c r="E4430" s="4"/>
      <c r="F4430" s="4"/>
      <c r="G4430" s="4"/>
      <c r="H4430" s="4"/>
    </row>
    <row r="4431">
      <c r="D4431" s="5"/>
      <c r="E4431" s="4"/>
      <c r="F4431" s="4"/>
      <c r="G4431" s="4"/>
      <c r="H4431" s="4"/>
    </row>
    <row r="4432">
      <c r="D4432" s="5"/>
      <c r="E4432" s="4"/>
      <c r="F4432" s="4"/>
      <c r="G4432" s="4"/>
      <c r="H4432" s="4"/>
    </row>
    <row r="4433">
      <c r="D4433" s="5"/>
      <c r="E4433" s="4"/>
      <c r="F4433" s="4"/>
      <c r="G4433" s="4"/>
      <c r="H4433" s="4"/>
    </row>
    <row r="4434">
      <c r="D4434" s="5"/>
      <c r="E4434" s="4"/>
      <c r="F4434" s="4"/>
      <c r="G4434" s="4"/>
      <c r="H4434" s="4"/>
    </row>
    <row r="4435">
      <c r="D4435" s="5"/>
      <c r="E4435" s="4"/>
      <c r="F4435" s="4"/>
      <c r="G4435" s="4"/>
      <c r="H4435" s="4"/>
    </row>
    <row r="4436">
      <c r="D4436" s="5"/>
      <c r="E4436" s="4"/>
      <c r="F4436" s="4"/>
      <c r="G4436" s="4"/>
      <c r="H4436" s="4"/>
    </row>
    <row r="4437">
      <c r="D4437" s="5"/>
      <c r="E4437" s="4"/>
      <c r="F4437" s="4"/>
      <c r="G4437" s="4"/>
      <c r="H4437" s="4"/>
    </row>
    <row r="4438">
      <c r="D4438" s="5"/>
      <c r="E4438" s="4"/>
      <c r="F4438" s="4"/>
      <c r="G4438" s="4"/>
      <c r="H4438" s="4"/>
    </row>
    <row r="4439">
      <c r="D4439" s="5"/>
      <c r="E4439" s="4"/>
      <c r="F4439" s="4"/>
      <c r="G4439" s="4"/>
      <c r="H4439" s="4"/>
    </row>
    <row r="4440">
      <c r="D4440" s="5"/>
      <c r="E4440" s="4"/>
      <c r="F4440" s="4"/>
      <c r="G4440" s="4"/>
      <c r="H4440" s="4"/>
    </row>
    <row r="4441">
      <c r="D4441" s="5"/>
      <c r="E4441" s="4"/>
      <c r="F4441" s="4"/>
      <c r="G4441" s="4"/>
      <c r="H4441" s="4"/>
    </row>
    <row r="4442">
      <c r="D4442" s="5"/>
      <c r="E4442" s="4"/>
      <c r="F4442" s="4"/>
      <c r="G4442" s="4"/>
      <c r="H4442" s="4"/>
    </row>
    <row r="4443">
      <c r="D4443" s="5"/>
      <c r="E4443" s="4"/>
      <c r="F4443" s="4"/>
      <c r="G4443" s="4"/>
      <c r="H4443" s="4"/>
    </row>
    <row r="4444">
      <c r="D4444" s="5"/>
      <c r="E4444" s="4"/>
      <c r="F4444" s="4"/>
      <c r="G4444" s="4"/>
      <c r="H4444" s="4"/>
    </row>
    <row r="4445">
      <c r="D4445" s="5"/>
      <c r="E4445" s="4"/>
      <c r="F4445" s="4"/>
      <c r="G4445" s="4"/>
      <c r="H4445" s="4"/>
    </row>
    <row r="4446">
      <c r="D4446" s="5"/>
      <c r="E4446" s="4"/>
      <c r="F4446" s="4"/>
      <c r="G4446" s="4"/>
      <c r="H4446" s="4"/>
    </row>
    <row r="4447">
      <c r="D4447" s="5"/>
      <c r="E4447" s="4"/>
      <c r="F4447" s="4"/>
      <c r="G4447" s="4"/>
      <c r="H4447" s="4"/>
    </row>
    <row r="4448">
      <c r="D4448" s="5"/>
      <c r="E4448" s="4"/>
      <c r="F4448" s="4"/>
      <c r="G4448" s="4"/>
      <c r="H4448" s="4"/>
    </row>
    <row r="4449">
      <c r="D4449" s="5"/>
      <c r="E4449" s="4"/>
      <c r="F4449" s="4"/>
      <c r="G4449" s="4"/>
      <c r="H4449" s="4"/>
    </row>
    <row r="4450">
      <c r="D4450" s="5"/>
      <c r="E4450" s="4"/>
      <c r="F4450" s="4"/>
      <c r="G4450" s="4"/>
      <c r="H4450" s="4"/>
    </row>
    <row r="4451">
      <c r="D4451" s="5"/>
      <c r="E4451" s="4"/>
      <c r="F4451" s="4"/>
      <c r="G4451" s="4"/>
      <c r="H4451" s="4"/>
    </row>
    <row r="4452">
      <c r="D4452" s="5"/>
      <c r="E4452" s="4"/>
      <c r="F4452" s="4"/>
      <c r="G4452" s="4"/>
      <c r="H4452" s="4"/>
    </row>
    <row r="4453">
      <c r="D4453" s="5"/>
      <c r="E4453" s="4"/>
      <c r="F4453" s="4"/>
      <c r="G4453" s="4"/>
      <c r="H4453" s="4"/>
    </row>
    <row r="4454">
      <c r="D4454" s="5"/>
      <c r="E4454" s="4"/>
      <c r="F4454" s="4"/>
      <c r="G4454" s="4"/>
      <c r="H4454" s="4"/>
    </row>
    <row r="4455">
      <c r="D4455" s="5"/>
      <c r="E4455" s="4"/>
      <c r="F4455" s="4"/>
      <c r="G4455" s="4"/>
      <c r="H4455" s="4"/>
    </row>
    <row r="4456">
      <c r="D4456" s="5"/>
      <c r="E4456" s="4"/>
      <c r="F4456" s="4"/>
      <c r="G4456" s="4"/>
      <c r="H4456" s="4"/>
    </row>
    <row r="4457">
      <c r="D4457" s="5"/>
      <c r="E4457" s="4"/>
      <c r="F4457" s="4"/>
      <c r="G4457" s="4"/>
      <c r="H4457" s="4"/>
    </row>
    <row r="4458">
      <c r="D4458" s="5"/>
      <c r="E4458" s="4"/>
      <c r="F4458" s="4"/>
      <c r="G4458" s="4"/>
      <c r="H4458" s="4"/>
    </row>
    <row r="4459">
      <c r="D4459" s="5"/>
      <c r="E4459" s="4"/>
      <c r="F4459" s="4"/>
      <c r="G4459" s="4"/>
      <c r="H4459" s="4"/>
    </row>
    <row r="4460">
      <c r="D4460" s="5"/>
      <c r="E4460" s="4"/>
      <c r="F4460" s="4"/>
      <c r="G4460" s="4"/>
      <c r="H4460" s="4"/>
    </row>
    <row r="4461">
      <c r="D4461" s="5"/>
      <c r="E4461" s="4"/>
      <c r="F4461" s="4"/>
      <c r="G4461" s="4"/>
      <c r="H4461" s="4"/>
    </row>
    <row r="4462">
      <c r="D4462" s="5"/>
      <c r="E4462" s="4"/>
      <c r="F4462" s="4"/>
      <c r="G4462" s="4"/>
      <c r="H4462" s="4"/>
    </row>
    <row r="4463">
      <c r="D4463" s="5"/>
      <c r="E4463" s="4"/>
      <c r="F4463" s="4"/>
      <c r="G4463" s="4"/>
      <c r="H4463" s="4"/>
    </row>
    <row r="4464">
      <c r="D4464" s="5"/>
      <c r="E4464" s="4"/>
      <c r="F4464" s="4"/>
      <c r="G4464" s="4"/>
      <c r="H4464" s="4"/>
    </row>
    <row r="4465">
      <c r="D4465" s="5"/>
      <c r="E4465" s="4"/>
      <c r="F4465" s="4"/>
      <c r="G4465" s="4"/>
      <c r="H4465" s="4"/>
    </row>
    <row r="4466">
      <c r="D4466" s="5"/>
      <c r="E4466" s="4"/>
      <c r="F4466" s="4"/>
      <c r="G4466" s="4"/>
      <c r="H4466" s="4"/>
    </row>
    <row r="4467">
      <c r="D4467" s="5"/>
      <c r="E4467" s="4"/>
      <c r="F4467" s="4"/>
      <c r="G4467" s="4"/>
      <c r="H4467" s="4"/>
    </row>
    <row r="4468">
      <c r="D4468" s="5"/>
      <c r="E4468" s="4"/>
      <c r="F4468" s="4"/>
      <c r="G4468" s="4"/>
      <c r="H4468" s="4"/>
    </row>
    <row r="4469">
      <c r="D4469" s="5"/>
      <c r="E4469" s="4"/>
      <c r="F4469" s="4"/>
      <c r="G4469" s="4"/>
      <c r="H4469" s="4"/>
    </row>
    <row r="4470">
      <c r="D4470" s="5"/>
      <c r="E4470" s="4"/>
      <c r="F4470" s="4"/>
      <c r="G4470" s="4"/>
      <c r="H4470" s="4"/>
    </row>
    <row r="4471">
      <c r="D4471" s="5"/>
      <c r="E4471" s="4"/>
      <c r="F4471" s="4"/>
      <c r="G4471" s="4"/>
      <c r="H4471" s="4"/>
    </row>
    <row r="4472">
      <c r="D4472" s="5"/>
      <c r="E4472" s="4"/>
      <c r="F4472" s="4"/>
      <c r="G4472" s="4"/>
      <c r="H4472" s="4"/>
    </row>
    <row r="4473">
      <c r="D4473" s="5"/>
      <c r="E4473" s="4"/>
      <c r="F4473" s="4"/>
      <c r="G4473" s="4"/>
      <c r="H4473" s="4"/>
    </row>
    <row r="4474">
      <c r="D4474" s="5"/>
      <c r="E4474" s="4"/>
      <c r="F4474" s="4"/>
      <c r="G4474" s="4"/>
      <c r="H4474" s="4"/>
    </row>
    <row r="4475">
      <c r="D4475" s="5"/>
      <c r="E4475" s="4"/>
      <c r="F4475" s="4"/>
      <c r="G4475" s="4"/>
      <c r="H4475" s="4"/>
    </row>
    <row r="4476">
      <c r="D4476" s="5"/>
      <c r="E4476" s="4"/>
      <c r="F4476" s="4"/>
      <c r="G4476" s="4"/>
      <c r="H4476" s="4"/>
    </row>
    <row r="4477">
      <c r="D4477" s="5"/>
      <c r="E4477" s="4"/>
      <c r="F4477" s="4"/>
      <c r="G4477" s="4"/>
      <c r="H4477" s="4"/>
    </row>
    <row r="4478">
      <c r="D4478" s="5"/>
      <c r="E4478" s="4"/>
      <c r="F4478" s="4"/>
      <c r="G4478" s="4"/>
      <c r="H4478" s="4"/>
    </row>
    <row r="4479">
      <c r="D4479" s="5"/>
      <c r="E4479" s="4"/>
      <c r="F4479" s="4"/>
      <c r="G4479" s="4"/>
      <c r="H4479" s="4"/>
    </row>
    <row r="4480">
      <c r="D4480" s="5"/>
      <c r="E4480" s="4"/>
      <c r="F4480" s="4"/>
      <c r="G4480" s="4"/>
      <c r="H4480" s="4"/>
    </row>
    <row r="4481">
      <c r="D4481" s="5"/>
      <c r="E4481" s="4"/>
      <c r="F4481" s="4"/>
      <c r="G4481" s="4"/>
      <c r="H4481" s="4"/>
    </row>
    <row r="4482">
      <c r="D4482" s="5"/>
      <c r="E4482" s="4"/>
      <c r="F4482" s="4"/>
      <c r="G4482" s="4"/>
      <c r="H4482" s="4"/>
    </row>
    <row r="4483">
      <c r="D4483" s="5"/>
      <c r="E4483" s="4"/>
      <c r="F4483" s="4"/>
      <c r="G4483" s="4"/>
      <c r="H4483" s="4"/>
    </row>
    <row r="4484">
      <c r="D4484" s="5"/>
      <c r="E4484" s="4"/>
      <c r="F4484" s="4"/>
      <c r="G4484" s="4"/>
      <c r="H4484" s="4"/>
    </row>
    <row r="4485">
      <c r="D4485" s="5"/>
      <c r="E4485" s="4"/>
      <c r="F4485" s="4"/>
      <c r="G4485" s="4"/>
      <c r="H4485" s="4"/>
    </row>
    <row r="4486">
      <c r="D4486" s="5"/>
      <c r="E4486" s="4"/>
      <c r="F4486" s="4"/>
      <c r="G4486" s="4"/>
      <c r="H4486" s="4"/>
    </row>
    <row r="4487">
      <c r="D4487" s="5"/>
      <c r="E4487" s="4"/>
      <c r="F4487" s="4"/>
      <c r="G4487" s="4"/>
      <c r="H4487" s="4"/>
    </row>
    <row r="4488">
      <c r="D4488" s="5"/>
      <c r="E4488" s="4"/>
      <c r="F4488" s="4"/>
      <c r="G4488" s="4"/>
      <c r="H4488" s="4"/>
    </row>
    <row r="4489">
      <c r="D4489" s="5"/>
      <c r="E4489" s="4"/>
      <c r="F4489" s="4"/>
      <c r="G4489" s="4"/>
      <c r="H4489" s="4"/>
    </row>
    <row r="4490">
      <c r="D4490" s="5"/>
      <c r="E4490" s="4"/>
      <c r="F4490" s="4"/>
      <c r="G4490" s="4"/>
      <c r="H4490" s="4"/>
    </row>
    <row r="4491">
      <c r="D4491" s="5"/>
      <c r="E4491" s="4"/>
      <c r="F4491" s="4"/>
      <c r="G4491" s="4"/>
      <c r="H4491" s="4"/>
    </row>
    <row r="4492">
      <c r="D4492" s="5"/>
      <c r="E4492" s="4"/>
      <c r="F4492" s="4"/>
      <c r="G4492" s="4"/>
      <c r="H4492" s="4"/>
    </row>
    <row r="4493">
      <c r="D4493" s="5"/>
      <c r="E4493" s="4"/>
      <c r="F4493" s="4"/>
      <c r="G4493" s="4"/>
      <c r="H4493" s="4"/>
    </row>
    <row r="4494">
      <c r="D4494" s="5"/>
      <c r="E4494" s="4"/>
      <c r="F4494" s="4"/>
      <c r="G4494" s="4"/>
      <c r="H4494" s="4"/>
    </row>
    <row r="4495">
      <c r="D4495" s="5"/>
      <c r="E4495" s="4"/>
      <c r="F4495" s="4"/>
      <c r="G4495" s="4"/>
      <c r="H4495" s="4"/>
    </row>
    <row r="4496">
      <c r="D4496" s="5"/>
      <c r="E4496" s="4"/>
      <c r="F4496" s="4"/>
      <c r="G4496" s="4"/>
      <c r="H4496" s="4"/>
    </row>
    <row r="4497">
      <c r="D4497" s="5"/>
      <c r="E4497" s="4"/>
      <c r="F4497" s="4"/>
      <c r="G4497" s="4"/>
      <c r="H4497" s="4"/>
    </row>
    <row r="4498">
      <c r="D4498" s="5"/>
      <c r="E4498" s="4"/>
      <c r="F4498" s="4"/>
      <c r="G4498" s="4"/>
      <c r="H4498" s="4"/>
    </row>
    <row r="4499">
      <c r="D4499" s="5"/>
      <c r="E4499" s="4"/>
      <c r="F4499" s="4"/>
      <c r="G4499" s="4"/>
      <c r="H4499" s="4"/>
    </row>
    <row r="4500">
      <c r="D4500" s="5"/>
      <c r="E4500" s="4"/>
      <c r="F4500" s="4"/>
      <c r="G4500" s="4"/>
      <c r="H4500" s="4"/>
    </row>
    <row r="4501">
      <c r="D4501" s="5"/>
      <c r="E4501" s="4"/>
      <c r="F4501" s="4"/>
      <c r="G4501" s="4"/>
      <c r="H4501" s="4"/>
    </row>
    <row r="4502">
      <c r="D4502" s="5"/>
      <c r="E4502" s="4"/>
      <c r="F4502" s="4"/>
      <c r="G4502" s="4"/>
      <c r="H4502" s="4"/>
    </row>
    <row r="4503">
      <c r="D4503" s="5"/>
      <c r="E4503" s="4"/>
      <c r="F4503" s="4"/>
      <c r="G4503" s="4"/>
      <c r="H4503" s="4"/>
    </row>
    <row r="4504">
      <c r="D4504" s="5"/>
      <c r="E4504" s="4"/>
      <c r="F4504" s="4"/>
      <c r="G4504" s="4"/>
      <c r="H4504" s="4"/>
    </row>
    <row r="4505">
      <c r="D4505" s="5"/>
      <c r="E4505" s="4"/>
      <c r="F4505" s="4"/>
      <c r="G4505" s="4"/>
      <c r="H4505" s="4"/>
    </row>
    <row r="4506">
      <c r="D4506" s="5"/>
      <c r="E4506" s="4"/>
      <c r="F4506" s="4"/>
      <c r="G4506" s="4"/>
      <c r="H4506" s="4"/>
    </row>
    <row r="4507">
      <c r="D4507" s="5"/>
      <c r="E4507" s="4"/>
      <c r="F4507" s="4"/>
      <c r="G4507" s="4"/>
      <c r="H4507" s="4"/>
    </row>
    <row r="4508">
      <c r="D4508" s="5"/>
      <c r="E4508" s="4"/>
      <c r="F4508" s="4"/>
      <c r="G4508" s="4"/>
      <c r="H4508" s="4"/>
    </row>
    <row r="4509">
      <c r="D4509" s="5"/>
      <c r="E4509" s="4"/>
      <c r="F4509" s="4"/>
      <c r="G4509" s="4"/>
      <c r="H4509" s="4"/>
    </row>
    <row r="4510">
      <c r="D4510" s="5"/>
      <c r="E4510" s="4"/>
      <c r="F4510" s="4"/>
      <c r="G4510" s="4"/>
      <c r="H4510" s="4"/>
    </row>
    <row r="4511">
      <c r="D4511" s="5"/>
      <c r="E4511" s="4"/>
      <c r="F4511" s="4"/>
      <c r="G4511" s="4"/>
      <c r="H4511" s="4"/>
    </row>
    <row r="4512">
      <c r="D4512" s="5"/>
      <c r="E4512" s="4"/>
      <c r="F4512" s="4"/>
      <c r="G4512" s="4"/>
      <c r="H4512" s="4"/>
    </row>
    <row r="4513">
      <c r="D4513" s="5"/>
      <c r="E4513" s="4"/>
      <c r="F4513" s="4"/>
      <c r="G4513" s="4"/>
      <c r="H4513" s="4"/>
    </row>
    <row r="4514">
      <c r="D4514" s="5"/>
      <c r="E4514" s="4"/>
      <c r="F4514" s="4"/>
      <c r="G4514" s="4"/>
      <c r="H4514" s="4"/>
    </row>
    <row r="4515">
      <c r="D4515" s="5"/>
      <c r="E4515" s="4"/>
      <c r="F4515" s="4"/>
      <c r="G4515" s="4"/>
      <c r="H4515" s="4"/>
    </row>
    <row r="4516">
      <c r="D4516" s="5"/>
      <c r="E4516" s="4"/>
      <c r="F4516" s="4"/>
      <c r="G4516" s="4"/>
      <c r="H4516" s="4"/>
    </row>
    <row r="4517">
      <c r="D4517" s="5"/>
      <c r="E4517" s="4"/>
      <c r="F4517" s="4"/>
      <c r="G4517" s="4"/>
      <c r="H4517" s="4"/>
    </row>
    <row r="4518">
      <c r="D4518" s="5"/>
      <c r="E4518" s="4"/>
      <c r="F4518" s="4"/>
      <c r="G4518" s="4"/>
      <c r="H4518" s="4"/>
    </row>
    <row r="4519">
      <c r="D4519" s="5"/>
      <c r="E4519" s="4"/>
      <c r="F4519" s="4"/>
      <c r="G4519" s="4"/>
      <c r="H4519" s="4"/>
    </row>
    <row r="4520">
      <c r="D4520" s="5"/>
      <c r="E4520" s="4"/>
      <c r="F4520" s="4"/>
      <c r="G4520" s="4"/>
      <c r="H4520" s="4"/>
    </row>
    <row r="4521">
      <c r="D4521" s="5"/>
      <c r="E4521" s="4"/>
      <c r="F4521" s="4"/>
      <c r="G4521" s="4"/>
      <c r="H4521" s="4"/>
    </row>
    <row r="4522">
      <c r="D4522" s="5"/>
      <c r="E4522" s="4"/>
      <c r="F4522" s="4"/>
      <c r="G4522" s="4"/>
      <c r="H4522" s="4"/>
    </row>
    <row r="4523">
      <c r="D4523" s="5"/>
      <c r="E4523" s="4"/>
      <c r="F4523" s="4"/>
      <c r="G4523" s="4"/>
      <c r="H4523" s="4"/>
    </row>
    <row r="4524">
      <c r="D4524" s="5"/>
      <c r="E4524" s="4"/>
      <c r="F4524" s="4"/>
      <c r="G4524" s="4"/>
      <c r="H4524" s="4"/>
    </row>
    <row r="4525">
      <c r="D4525" s="5"/>
      <c r="E4525" s="4"/>
      <c r="F4525" s="4"/>
      <c r="G4525" s="4"/>
      <c r="H4525" s="4"/>
    </row>
    <row r="4526">
      <c r="D4526" s="5"/>
      <c r="E4526" s="4"/>
      <c r="F4526" s="4"/>
      <c r="G4526" s="4"/>
      <c r="H4526" s="4"/>
    </row>
    <row r="4527">
      <c r="D4527" s="5"/>
      <c r="E4527" s="4"/>
      <c r="F4527" s="4"/>
      <c r="G4527" s="4"/>
      <c r="H4527" s="4"/>
    </row>
    <row r="4528">
      <c r="D4528" s="5"/>
      <c r="E4528" s="4"/>
      <c r="F4528" s="4"/>
      <c r="G4528" s="4"/>
      <c r="H4528" s="4"/>
    </row>
    <row r="4529">
      <c r="D4529" s="5"/>
      <c r="E4529" s="4"/>
      <c r="F4529" s="4"/>
      <c r="G4529" s="4"/>
      <c r="H4529" s="4"/>
    </row>
    <row r="4530">
      <c r="D4530" s="5"/>
      <c r="E4530" s="4"/>
      <c r="F4530" s="4"/>
      <c r="G4530" s="4"/>
      <c r="H4530" s="4"/>
    </row>
    <row r="4531">
      <c r="D4531" s="5"/>
      <c r="E4531" s="4"/>
      <c r="F4531" s="4"/>
      <c r="G4531" s="4"/>
      <c r="H4531" s="4"/>
    </row>
    <row r="4532">
      <c r="D4532" s="5"/>
      <c r="E4532" s="4"/>
      <c r="F4532" s="4"/>
      <c r="G4532" s="4"/>
      <c r="H4532" s="4"/>
    </row>
    <row r="4533">
      <c r="D4533" s="5"/>
      <c r="E4533" s="4"/>
      <c r="F4533" s="4"/>
      <c r="G4533" s="4"/>
      <c r="H4533" s="4"/>
    </row>
    <row r="4534">
      <c r="D4534" s="5"/>
      <c r="E4534" s="4"/>
      <c r="F4534" s="4"/>
      <c r="G4534" s="4"/>
      <c r="H4534" s="4"/>
    </row>
    <row r="4535">
      <c r="D4535" s="5"/>
      <c r="E4535" s="4"/>
      <c r="F4535" s="4"/>
      <c r="G4535" s="4"/>
      <c r="H4535" s="4"/>
    </row>
    <row r="4536">
      <c r="D4536" s="5"/>
      <c r="E4536" s="4"/>
      <c r="F4536" s="4"/>
      <c r="G4536" s="4"/>
      <c r="H4536" s="4"/>
    </row>
    <row r="4537">
      <c r="D4537" s="5"/>
      <c r="E4537" s="4"/>
      <c r="F4537" s="4"/>
      <c r="G4537" s="4"/>
      <c r="H4537" s="4"/>
    </row>
    <row r="4538">
      <c r="D4538" s="5"/>
      <c r="E4538" s="4"/>
      <c r="F4538" s="4"/>
      <c r="G4538" s="4"/>
      <c r="H4538" s="4"/>
    </row>
    <row r="4539">
      <c r="D4539" s="5"/>
      <c r="E4539" s="4"/>
      <c r="F4539" s="4"/>
      <c r="G4539" s="4"/>
      <c r="H4539" s="4"/>
    </row>
    <row r="4540">
      <c r="D4540" s="5"/>
      <c r="E4540" s="4"/>
      <c r="F4540" s="4"/>
      <c r="G4540" s="4"/>
      <c r="H4540" s="4"/>
    </row>
    <row r="4541">
      <c r="D4541" s="5"/>
      <c r="E4541" s="4"/>
      <c r="F4541" s="4"/>
      <c r="G4541" s="4"/>
      <c r="H4541" s="4"/>
    </row>
    <row r="4542">
      <c r="D4542" s="5"/>
      <c r="E4542" s="4"/>
      <c r="F4542" s="4"/>
      <c r="G4542" s="4"/>
      <c r="H4542" s="4"/>
    </row>
    <row r="4543">
      <c r="D4543" s="5"/>
      <c r="E4543" s="4"/>
      <c r="F4543" s="4"/>
      <c r="G4543" s="4"/>
      <c r="H4543" s="4"/>
    </row>
    <row r="4544">
      <c r="D4544" s="5"/>
      <c r="E4544" s="4"/>
      <c r="F4544" s="4"/>
      <c r="G4544" s="4"/>
      <c r="H4544" s="4"/>
    </row>
    <row r="4545">
      <c r="D4545" s="5"/>
      <c r="E4545" s="4"/>
      <c r="F4545" s="4"/>
      <c r="G4545" s="4"/>
      <c r="H4545" s="4"/>
    </row>
    <row r="4546">
      <c r="D4546" s="5"/>
      <c r="E4546" s="4"/>
      <c r="F4546" s="4"/>
      <c r="G4546" s="4"/>
      <c r="H4546" s="4"/>
    </row>
    <row r="4547">
      <c r="D4547" s="5"/>
      <c r="E4547" s="4"/>
      <c r="F4547" s="4"/>
      <c r="G4547" s="4"/>
      <c r="H4547" s="4"/>
    </row>
    <row r="4548">
      <c r="D4548" s="5"/>
      <c r="E4548" s="4"/>
      <c r="F4548" s="4"/>
      <c r="G4548" s="4"/>
      <c r="H4548" s="4"/>
    </row>
    <row r="4549">
      <c r="D4549" s="5"/>
      <c r="E4549" s="4"/>
      <c r="F4549" s="4"/>
      <c r="G4549" s="4"/>
      <c r="H4549" s="4"/>
    </row>
    <row r="4550">
      <c r="D4550" s="5"/>
      <c r="E4550" s="4"/>
      <c r="F4550" s="4"/>
      <c r="G4550" s="4"/>
      <c r="H4550" s="4"/>
    </row>
    <row r="4551">
      <c r="D4551" s="5"/>
      <c r="E4551" s="4"/>
      <c r="F4551" s="4"/>
      <c r="G4551" s="4"/>
      <c r="H4551" s="4"/>
    </row>
    <row r="4552">
      <c r="D4552" s="5"/>
      <c r="E4552" s="4"/>
      <c r="F4552" s="4"/>
      <c r="G4552" s="4"/>
      <c r="H4552" s="4"/>
    </row>
    <row r="4553">
      <c r="D4553" s="5"/>
      <c r="E4553" s="4"/>
      <c r="F4553" s="4"/>
      <c r="G4553" s="4"/>
      <c r="H4553" s="4"/>
    </row>
    <row r="4554">
      <c r="D4554" s="5"/>
      <c r="E4554" s="4"/>
      <c r="F4554" s="4"/>
      <c r="G4554" s="4"/>
      <c r="H4554" s="4"/>
    </row>
    <row r="4555">
      <c r="D4555" s="5"/>
      <c r="E4555" s="4"/>
      <c r="F4555" s="4"/>
      <c r="G4555" s="4"/>
      <c r="H4555" s="4"/>
    </row>
    <row r="4556">
      <c r="D4556" s="5"/>
      <c r="E4556" s="4"/>
      <c r="F4556" s="4"/>
      <c r="G4556" s="4"/>
      <c r="H4556" s="4"/>
    </row>
    <row r="4557">
      <c r="D4557" s="5"/>
      <c r="E4557" s="4"/>
      <c r="F4557" s="4"/>
      <c r="G4557" s="4"/>
      <c r="H4557" s="4"/>
    </row>
    <row r="4558">
      <c r="D4558" s="5"/>
      <c r="E4558" s="4"/>
      <c r="F4558" s="4"/>
      <c r="G4558" s="4"/>
      <c r="H4558" s="4"/>
    </row>
    <row r="4559">
      <c r="D4559" s="5"/>
      <c r="E4559" s="4"/>
      <c r="F4559" s="4"/>
      <c r="G4559" s="4"/>
      <c r="H4559" s="4"/>
    </row>
    <row r="4560">
      <c r="D4560" s="5"/>
      <c r="E4560" s="4"/>
      <c r="F4560" s="4"/>
      <c r="G4560" s="4"/>
      <c r="H4560" s="4"/>
    </row>
    <row r="4561">
      <c r="D4561" s="5"/>
      <c r="E4561" s="4"/>
      <c r="F4561" s="4"/>
      <c r="G4561" s="4"/>
      <c r="H4561" s="4"/>
    </row>
    <row r="4562">
      <c r="D4562" s="5"/>
      <c r="E4562" s="4"/>
      <c r="F4562" s="4"/>
      <c r="G4562" s="4"/>
      <c r="H4562" s="4"/>
    </row>
    <row r="4563">
      <c r="D4563" s="5"/>
      <c r="E4563" s="4"/>
      <c r="F4563" s="4"/>
      <c r="G4563" s="4"/>
      <c r="H4563" s="4"/>
    </row>
    <row r="4564">
      <c r="D4564" s="5"/>
      <c r="E4564" s="4"/>
      <c r="F4564" s="4"/>
      <c r="G4564" s="4"/>
      <c r="H4564" s="4"/>
    </row>
    <row r="4565">
      <c r="D4565" s="5"/>
      <c r="E4565" s="4"/>
      <c r="F4565" s="4"/>
      <c r="G4565" s="4"/>
      <c r="H4565" s="4"/>
    </row>
    <row r="4566">
      <c r="D4566" s="5"/>
      <c r="E4566" s="4"/>
      <c r="F4566" s="4"/>
      <c r="G4566" s="4"/>
      <c r="H4566" s="4"/>
    </row>
    <row r="4567">
      <c r="D4567" s="5"/>
      <c r="E4567" s="4"/>
      <c r="F4567" s="4"/>
      <c r="G4567" s="4"/>
      <c r="H4567" s="4"/>
    </row>
    <row r="4568">
      <c r="D4568" s="5"/>
      <c r="E4568" s="4"/>
      <c r="F4568" s="4"/>
      <c r="G4568" s="4"/>
      <c r="H4568" s="4"/>
    </row>
    <row r="4569">
      <c r="D4569" s="5"/>
      <c r="E4569" s="4"/>
      <c r="F4569" s="4"/>
      <c r="G4569" s="4"/>
      <c r="H4569" s="4"/>
    </row>
    <row r="4570">
      <c r="D4570" s="5"/>
      <c r="E4570" s="4"/>
      <c r="F4570" s="4"/>
      <c r="G4570" s="4"/>
      <c r="H4570" s="4"/>
    </row>
    <row r="4571">
      <c r="D4571" s="5"/>
      <c r="E4571" s="4"/>
      <c r="F4571" s="4"/>
      <c r="G4571" s="4"/>
      <c r="H4571" s="4"/>
    </row>
    <row r="4572">
      <c r="D4572" s="5"/>
      <c r="E4572" s="4"/>
      <c r="F4572" s="4"/>
      <c r="G4572" s="4"/>
      <c r="H4572" s="4"/>
    </row>
    <row r="4573">
      <c r="D4573" s="5"/>
      <c r="E4573" s="4"/>
      <c r="F4573" s="4"/>
      <c r="G4573" s="4"/>
      <c r="H4573" s="4"/>
    </row>
    <row r="4574">
      <c r="D4574" s="5"/>
      <c r="E4574" s="4"/>
      <c r="F4574" s="4"/>
      <c r="G4574" s="4"/>
      <c r="H4574" s="4"/>
    </row>
    <row r="4575">
      <c r="D4575" s="5"/>
      <c r="E4575" s="4"/>
      <c r="F4575" s="4"/>
      <c r="G4575" s="4"/>
      <c r="H4575" s="4"/>
    </row>
    <row r="4576">
      <c r="D4576" s="5"/>
      <c r="E4576" s="4"/>
      <c r="F4576" s="4"/>
      <c r="G4576" s="4"/>
      <c r="H4576" s="4"/>
    </row>
    <row r="4577">
      <c r="D4577" s="5"/>
      <c r="E4577" s="4"/>
      <c r="F4577" s="4"/>
      <c r="G4577" s="4"/>
      <c r="H4577" s="4"/>
    </row>
    <row r="4578">
      <c r="D4578" s="5"/>
      <c r="E4578" s="4"/>
      <c r="F4578" s="4"/>
      <c r="G4578" s="4"/>
      <c r="H4578" s="4"/>
    </row>
    <row r="4579">
      <c r="D4579" s="5"/>
      <c r="E4579" s="4"/>
      <c r="F4579" s="4"/>
      <c r="G4579" s="4"/>
      <c r="H4579" s="4"/>
    </row>
    <row r="4580">
      <c r="D4580" s="5"/>
      <c r="E4580" s="4"/>
      <c r="F4580" s="4"/>
      <c r="G4580" s="4"/>
      <c r="H4580" s="4"/>
    </row>
    <row r="4581">
      <c r="D4581" s="5"/>
      <c r="E4581" s="4"/>
      <c r="F4581" s="4"/>
      <c r="G4581" s="4"/>
      <c r="H4581" s="4"/>
    </row>
    <row r="4582">
      <c r="D4582" s="5"/>
      <c r="E4582" s="4"/>
      <c r="F4582" s="4"/>
      <c r="G4582" s="4"/>
      <c r="H4582" s="4"/>
    </row>
    <row r="4583">
      <c r="D4583" s="5"/>
      <c r="E4583" s="4"/>
      <c r="F4583" s="4"/>
      <c r="G4583" s="4"/>
      <c r="H4583" s="4"/>
    </row>
    <row r="4584">
      <c r="D4584" s="5"/>
      <c r="E4584" s="4"/>
      <c r="F4584" s="4"/>
      <c r="G4584" s="4"/>
      <c r="H4584" s="4"/>
    </row>
    <row r="4585">
      <c r="D4585" s="5"/>
      <c r="E4585" s="4"/>
      <c r="F4585" s="4"/>
      <c r="G4585" s="4"/>
      <c r="H4585" s="4"/>
    </row>
    <row r="4586">
      <c r="D4586" s="5"/>
      <c r="E4586" s="4"/>
      <c r="F4586" s="4"/>
      <c r="G4586" s="4"/>
      <c r="H4586" s="4"/>
    </row>
    <row r="4587">
      <c r="D4587" s="5"/>
      <c r="E4587" s="4"/>
      <c r="F4587" s="4"/>
      <c r="G4587" s="4"/>
      <c r="H4587" s="4"/>
    </row>
    <row r="4588">
      <c r="D4588" s="5"/>
      <c r="E4588" s="4"/>
      <c r="F4588" s="4"/>
      <c r="G4588" s="4"/>
      <c r="H4588" s="4"/>
    </row>
    <row r="4589">
      <c r="D4589" s="5"/>
      <c r="E4589" s="4"/>
      <c r="F4589" s="4"/>
      <c r="G4589" s="4"/>
      <c r="H4589" s="4"/>
    </row>
    <row r="4590">
      <c r="D4590" s="5"/>
      <c r="E4590" s="4"/>
      <c r="F4590" s="4"/>
      <c r="G4590" s="4"/>
      <c r="H4590" s="4"/>
    </row>
    <row r="4591">
      <c r="D4591" s="5"/>
      <c r="E4591" s="4"/>
      <c r="F4591" s="4"/>
      <c r="G4591" s="4"/>
      <c r="H4591" s="4"/>
    </row>
    <row r="4592">
      <c r="D4592" s="5"/>
      <c r="E4592" s="4"/>
      <c r="F4592" s="4"/>
      <c r="G4592" s="4"/>
      <c r="H4592" s="4"/>
    </row>
    <row r="4593">
      <c r="D4593" s="5"/>
      <c r="E4593" s="4"/>
      <c r="F4593" s="4"/>
      <c r="G4593" s="4"/>
      <c r="H4593" s="4"/>
    </row>
    <row r="4594">
      <c r="D4594" s="5"/>
      <c r="E4594" s="4"/>
      <c r="F4594" s="4"/>
      <c r="G4594" s="4"/>
      <c r="H4594" s="4"/>
    </row>
    <row r="4595">
      <c r="D4595" s="5"/>
      <c r="E4595" s="4"/>
      <c r="F4595" s="4"/>
      <c r="G4595" s="4"/>
      <c r="H4595" s="4"/>
    </row>
    <row r="4596">
      <c r="D4596" s="5"/>
      <c r="E4596" s="4"/>
      <c r="F4596" s="4"/>
      <c r="G4596" s="4"/>
      <c r="H4596" s="4"/>
    </row>
    <row r="4597">
      <c r="D4597" s="5"/>
      <c r="E4597" s="4"/>
      <c r="F4597" s="4"/>
      <c r="G4597" s="4"/>
      <c r="H4597" s="4"/>
    </row>
    <row r="4598">
      <c r="D4598" s="5"/>
      <c r="E4598" s="4"/>
      <c r="F4598" s="4"/>
      <c r="G4598" s="4"/>
      <c r="H4598" s="4"/>
    </row>
    <row r="4599">
      <c r="D4599" s="5"/>
      <c r="E4599" s="4"/>
      <c r="F4599" s="4"/>
      <c r="G4599" s="4"/>
      <c r="H4599" s="4"/>
    </row>
    <row r="4600">
      <c r="D4600" s="5"/>
      <c r="E4600" s="4"/>
      <c r="F4600" s="4"/>
      <c r="G4600" s="4"/>
      <c r="H4600" s="4"/>
    </row>
    <row r="4601">
      <c r="D4601" s="5"/>
      <c r="E4601" s="4"/>
      <c r="F4601" s="4"/>
      <c r="G4601" s="4"/>
      <c r="H4601" s="4"/>
    </row>
    <row r="4602">
      <c r="D4602" s="5"/>
      <c r="E4602" s="4"/>
      <c r="F4602" s="4"/>
      <c r="G4602" s="4"/>
      <c r="H4602" s="4"/>
    </row>
    <row r="4603">
      <c r="D4603" s="5"/>
      <c r="E4603" s="4"/>
      <c r="F4603" s="4"/>
      <c r="G4603" s="4"/>
      <c r="H4603" s="4"/>
    </row>
    <row r="4604">
      <c r="D4604" s="5"/>
      <c r="E4604" s="4"/>
      <c r="F4604" s="4"/>
      <c r="G4604" s="4"/>
      <c r="H4604" s="4"/>
    </row>
    <row r="4605">
      <c r="D4605" s="5"/>
      <c r="E4605" s="4"/>
      <c r="F4605" s="4"/>
      <c r="G4605" s="4"/>
      <c r="H4605" s="4"/>
    </row>
    <row r="4606">
      <c r="D4606" s="5"/>
      <c r="E4606" s="4"/>
      <c r="F4606" s="4"/>
      <c r="G4606" s="4"/>
      <c r="H4606" s="4"/>
    </row>
    <row r="4607">
      <c r="D4607" s="5"/>
      <c r="E4607" s="4"/>
      <c r="F4607" s="4"/>
      <c r="G4607" s="4"/>
      <c r="H4607" s="4"/>
    </row>
    <row r="4608">
      <c r="D4608" s="5"/>
      <c r="E4608" s="4"/>
      <c r="F4608" s="4"/>
      <c r="G4608" s="4"/>
      <c r="H4608" s="4"/>
    </row>
    <row r="4609">
      <c r="D4609" s="5"/>
      <c r="E4609" s="4"/>
      <c r="F4609" s="4"/>
      <c r="G4609" s="4"/>
      <c r="H4609" s="4"/>
    </row>
    <row r="4610">
      <c r="D4610" s="5"/>
      <c r="E4610" s="4"/>
      <c r="F4610" s="4"/>
      <c r="G4610" s="4"/>
      <c r="H4610" s="4"/>
    </row>
    <row r="4611">
      <c r="D4611" s="5"/>
      <c r="E4611" s="4"/>
      <c r="F4611" s="4"/>
      <c r="G4611" s="4"/>
      <c r="H4611" s="4"/>
    </row>
    <row r="4612">
      <c r="D4612" s="5"/>
      <c r="E4612" s="4"/>
      <c r="F4612" s="4"/>
      <c r="G4612" s="4"/>
      <c r="H4612" s="4"/>
    </row>
    <row r="4613">
      <c r="D4613" s="5"/>
      <c r="E4613" s="4"/>
      <c r="F4613" s="4"/>
      <c r="G4613" s="4"/>
      <c r="H4613" s="4"/>
    </row>
    <row r="4614">
      <c r="D4614" s="5"/>
      <c r="E4614" s="4"/>
      <c r="F4614" s="4"/>
      <c r="G4614" s="4"/>
      <c r="H4614" s="4"/>
    </row>
    <row r="4615">
      <c r="D4615" s="5"/>
      <c r="E4615" s="4"/>
      <c r="F4615" s="4"/>
      <c r="G4615" s="4"/>
      <c r="H4615" s="4"/>
    </row>
    <row r="4616">
      <c r="D4616" s="5"/>
      <c r="E4616" s="4"/>
      <c r="F4616" s="4"/>
      <c r="G4616" s="4"/>
      <c r="H4616" s="4"/>
    </row>
    <row r="4617">
      <c r="D4617" s="5"/>
      <c r="E4617" s="4"/>
      <c r="F4617" s="4"/>
      <c r="G4617" s="4"/>
      <c r="H4617" s="4"/>
    </row>
    <row r="4618">
      <c r="D4618" s="5"/>
      <c r="E4618" s="4"/>
      <c r="F4618" s="4"/>
      <c r="G4618" s="4"/>
      <c r="H4618" s="4"/>
    </row>
    <row r="4619">
      <c r="D4619" s="5"/>
      <c r="E4619" s="4"/>
      <c r="F4619" s="4"/>
      <c r="G4619" s="4"/>
      <c r="H4619" s="4"/>
    </row>
    <row r="4620">
      <c r="D4620" s="5"/>
      <c r="E4620" s="4"/>
      <c r="F4620" s="4"/>
      <c r="G4620" s="4"/>
      <c r="H4620" s="4"/>
    </row>
    <row r="4621">
      <c r="D4621" s="5"/>
      <c r="E4621" s="4"/>
      <c r="F4621" s="4"/>
      <c r="G4621" s="4"/>
      <c r="H4621" s="4"/>
    </row>
    <row r="4622">
      <c r="D4622" s="5"/>
      <c r="E4622" s="4"/>
      <c r="F4622" s="4"/>
      <c r="G4622" s="4"/>
      <c r="H4622" s="4"/>
    </row>
    <row r="4623">
      <c r="D4623" s="5"/>
      <c r="E4623" s="4"/>
      <c r="F4623" s="4"/>
      <c r="G4623" s="4"/>
      <c r="H4623" s="4"/>
    </row>
    <row r="4624">
      <c r="D4624" s="5"/>
      <c r="E4624" s="4"/>
      <c r="F4624" s="4"/>
      <c r="G4624" s="4"/>
      <c r="H4624" s="4"/>
    </row>
    <row r="4625">
      <c r="D4625" s="5"/>
      <c r="E4625" s="4"/>
      <c r="F4625" s="4"/>
      <c r="G4625" s="4"/>
      <c r="H4625" s="4"/>
    </row>
    <row r="4626">
      <c r="D4626" s="5"/>
      <c r="E4626" s="4"/>
      <c r="F4626" s="4"/>
      <c r="G4626" s="4"/>
      <c r="H4626" s="4"/>
    </row>
    <row r="4627">
      <c r="D4627" s="5"/>
      <c r="E4627" s="4"/>
      <c r="F4627" s="4"/>
      <c r="G4627" s="4"/>
      <c r="H4627" s="4"/>
    </row>
    <row r="4628">
      <c r="D4628" s="5"/>
      <c r="E4628" s="4"/>
      <c r="F4628" s="4"/>
      <c r="G4628" s="4"/>
      <c r="H4628" s="4"/>
    </row>
    <row r="4629">
      <c r="D4629" s="5"/>
      <c r="E4629" s="4"/>
      <c r="F4629" s="4"/>
      <c r="G4629" s="4"/>
      <c r="H4629" s="4"/>
    </row>
    <row r="4630">
      <c r="D4630" s="5"/>
      <c r="E4630" s="4"/>
      <c r="F4630" s="4"/>
      <c r="G4630" s="4"/>
      <c r="H4630" s="4"/>
    </row>
    <row r="4631">
      <c r="D4631" s="5"/>
      <c r="E4631" s="4"/>
      <c r="F4631" s="4"/>
      <c r="G4631" s="4"/>
      <c r="H4631" s="4"/>
    </row>
    <row r="4632">
      <c r="D4632" s="5"/>
      <c r="E4632" s="4"/>
      <c r="F4632" s="4"/>
      <c r="G4632" s="4"/>
      <c r="H4632" s="4"/>
    </row>
    <row r="4633">
      <c r="D4633" s="5"/>
      <c r="E4633" s="4"/>
      <c r="F4633" s="4"/>
      <c r="G4633" s="4"/>
      <c r="H4633" s="4"/>
    </row>
    <row r="4634">
      <c r="D4634" s="5"/>
      <c r="E4634" s="4"/>
      <c r="F4634" s="4"/>
      <c r="G4634" s="4"/>
      <c r="H4634" s="4"/>
    </row>
    <row r="4635">
      <c r="D4635" s="5"/>
      <c r="E4635" s="4"/>
      <c r="F4635" s="4"/>
      <c r="G4635" s="4"/>
      <c r="H4635" s="4"/>
    </row>
    <row r="4636">
      <c r="D4636" s="5"/>
      <c r="E4636" s="4"/>
      <c r="F4636" s="4"/>
      <c r="G4636" s="4"/>
      <c r="H4636" s="4"/>
    </row>
    <row r="4637">
      <c r="D4637" s="5"/>
      <c r="E4637" s="4"/>
      <c r="F4637" s="4"/>
      <c r="G4637" s="4"/>
      <c r="H4637" s="4"/>
    </row>
    <row r="4638">
      <c r="D4638" s="5"/>
      <c r="E4638" s="4"/>
      <c r="F4638" s="4"/>
      <c r="G4638" s="4"/>
      <c r="H4638" s="4"/>
    </row>
    <row r="4639">
      <c r="D4639" s="5"/>
      <c r="E4639" s="4"/>
      <c r="F4639" s="4"/>
      <c r="G4639" s="4"/>
      <c r="H4639" s="4"/>
    </row>
    <row r="4640">
      <c r="D4640" s="5"/>
      <c r="E4640" s="4"/>
      <c r="F4640" s="4"/>
      <c r="G4640" s="4"/>
      <c r="H4640" s="4"/>
    </row>
    <row r="4641">
      <c r="D4641" s="5"/>
      <c r="E4641" s="4"/>
      <c r="F4641" s="4"/>
      <c r="G4641" s="4"/>
      <c r="H4641" s="4"/>
    </row>
    <row r="4642">
      <c r="D4642" s="5"/>
      <c r="E4642" s="4"/>
      <c r="F4642" s="4"/>
      <c r="G4642" s="4"/>
      <c r="H4642" s="4"/>
    </row>
    <row r="4643">
      <c r="D4643" s="5"/>
      <c r="E4643" s="4"/>
      <c r="F4643" s="4"/>
      <c r="G4643" s="4"/>
      <c r="H4643" s="4"/>
    </row>
    <row r="4644">
      <c r="D4644" s="5"/>
      <c r="E4644" s="4"/>
      <c r="F4644" s="4"/>
      <c r="G4644" s="4"/>
      <c r="H4644" s="4"/>
    </row>
    <row r="4645">
      <c r="D4645" s="5"/>
      <c r="E4645" s="4"/>
      <c r="F4645" s="4"/>
      <c r="G4645" s="4"/>
      <c r="H4645" s="4"/>
    </row>
    <row r="4646">
      <c r="D4646" s="5"/>
      <c r="E4646" s="4"/>
      <c r="F4646" s="4"/>
      <c r="G4646" s="4"/>
      <c r="H4646" s="4"/>
    </row>
    <row r="4647">
      <c r="D4647" s="5"/>
      <c r="E4647" s="4"/>
      <c r="F4647" s="4"/>
      <c r="G4647" s="4"/>
      <c r="H4647" s="4"/>
    </row>
    <row r="4648">
      <c r="D4648" s="5"/>
      <c r="E4648" s="4"/>
      <c r="F4648" s="4"/>
      <c r="G4648" s="4"/>
      <c r="H4648" s="4"/>
    </row>
    <row r="4649">
      <c r="D4649" s="5"/>
      <c r="E4649" s="4"/>
      <c r="F4649" s="4"/>
      <c r="G4649" s="4"/>
      <c r="H4649" s="4"/>
    </row>
    <row r="4650">
      <c r="D4650" s="5"/>
      <c r="E4650" s="4"/>
      <c r="F4650" s="4"/>
      <c r="G4650" s="4"/>
      <c r="H4650" s="4"/>
    </row>
    <row r="4651">
      <c r="D4651" s="5"/>
      <c r="E4651" s="4"/>
      <c r="F4651" s="4"/>
      <c r="G4651" s="4"/>
      <c r="H4651" s="4"/>
    </row>
    <row r="4652">
      <c r="D4652" s="5"/>
      <c r="E4652" s="4"/>
      <c r="F4652" s="4"/>
      <c r="G4652" s="4"/>
      <c r="H4652" s="4"/>
    </row>
    <row r="4653">
      <c r="D4653" s="5"/>
      <c r="E4653" s="4"/>
      <c r="F4653" s="4"/>
      <c r="G4653" s="4"/>
      <c r="H4653" s="4"/>
    </row>
    <row r="4654">
      <c r="D4654" s="5"/>
      <c r="E4654" s="4"/>
      <c r="F4654" s="4"/>
      <c r="G4654" s="4"/>
      <c r="H4654" s="4"/>
    </row>
    <row r="4655">
      <c r="D4655" s="5"/>
      <c r="E4655" s="4"/>
      <c r="F4655" s="4"/>
      <c r="G4655" s="4"/>
      <c r="H4655" s="4"/>
    </row>
    <row r="4656">
      <c r="D4656" s="5"/>
      <c r="E4656" s="4"/>
      <c r="F4656" s="4"/>
      <c r="G4656" s="4"/>
      <c r="H4656" s="4"/>
    </row>
    <row r="4657">
      <c r="D4657" s="5"/>
      <c r="E4657" s="4"/>
      <c r="F4657" s="4"/>
      <c r="G4657" s="4"/>
      <c r="H4657" s="4"/>
    </row>
    <row r="4658">
      <c r="D4658" s="5"/>
      <c r="E4658" s="4"/>
      <c r="F4658" s="4"/>
      <c r="G4658" s="4"/>
      <c r="H4658" s="4"/>
    </row>
    <row r="4659">
      <c r="D4659" s="5"/>
      <c r="E4659" s="4"/>
      <c r="F4659" s="4"/>
      <c r="G4659" s="4"/>
      <c r="H4659" s="4"/>
    </row>
    <row r="4660">
      <c r="D4660" s="5"/>
      <c r="E4660" s="4"/>
      <c r="F4660" s="4"/>
      <c r="G4660" s="4"/>
      <c r="H4660" s="4"/>
    </row>
    <row r="4661">
      <c r="D4661" s="5"/>
      <c r="E4661" s="4"/>
      <c r="F4661" s="4"/>
      <c r="G4661" s="4"/>
      <c r="H4661" s="4"/>
    </row>
    <row r="4662">
      <c r="D4662" s="5"/>
      <c r="E4662" s="4"/>
      <c r="F4662" s="4"/>
      <c r="G4662" s="4"/>
      <c r="H4662" s="4"/>
    </row>
    <row r="4663">
      <c r="D4663" s="5"/>
      <c r="E4663" s="4"/>
      <c r="F4663" s="4"/>
      <c r="G4663" s="4"/>
      <c r="H4663" s="4"/>
    </row>
    <row r="4664">
      <c r="D4664" s="5"/>
      <c r="E4664" s="4"/>
      <c r="F4664" s="4"/>
      <c r="G4664" s="4"/>
      <c r="H4664" s="4"/>
    </row>
    <row r="4665">
      <c r="D4665" s="5"/>
      <c r="E4665" s="4"/>
      <c r="F4665" s="4"/>
      <c r="G4665" s="4"/>
      <c r="H4665" s="4"/>
    </row>
    <row r="4666">
      <c r="D4666" s="5"/>
      <c r="E4666" s="4"/>
      <c r="F4666" s="4"/>
      <c r="G4666" s="4"/>
      <c r="H4666" s="4"/>
    </row>
    <row r="4667">
      <c r="D4667" s="5"/>
      <c r="E4667" s="4"/>
      <c r="F4667" s="4"/>
      <c r="G4667" s="4"/>
      <c r="H4667" s="4"/>
    </row>
    <row r="4668">
      <c r="D4668" s="5"/>
      <c r="E4668" s="4"/>
      <c r="F4668" s="4"/>
      <c r="G4668" s="4"/>
      <c r="H4668" s="4"/>
    </row>
    <row r="4669">
      <c r="D4669" s="5"/>
      <c r="E4669" s="4"/>
      <c r="F4669" s="4"/>
      <c r="G4669" s="4"/>
      <c r="H4669" s="4"/>
    </row>
    <row r="4670">
      <c r="D4670" s="5"/>
      <c r="E4670" s="4"/>
      <c r="F4670" s="4"/>
      <c r="G4670" s="4"/>
      <c r="H4670" s="4"/>
    </row>
    <row r="4671">
      <c r="D4671" s="5"/>
      <c r="E4671" s="4"/>
      <c r="F4671" s="4"/>
      <c r="G4671" s="4"/>
      <c r="H4671" s="4"/>
    </row>
    <row r="4672">
      <c r="D4672" s="5"/>
      <c r="E4672" s="4"/>
      <c r="F4672" s="4"/>
      <c r="G4672" s="4"/>
      <c r="H4672" s="4"/>
    </row>
    <row r="4673">
      <c r="D4673" s="5"/>
      <c r="E4673" s="4"/>
      <c r="F4673" s="4"/>
      <c r="G4673" s="4"/>
      <c r="H4673" s="4"/>
    </row>
    <row r="4674">
      <c r="D4674" s="5"/>
      <c r="E4674" s="4"/>
      <c r="F4674" s="4"/>
      <c r="G4674" s="4"/>
      <c r="H4674" s="4"/>
    </row>
    <row r="4675">
      <c r="D4675" s="5"/>
      <c r="E4675" s="4"/>
      <c r="F4675" s="4"/>
      <c r="G4675" s="4"/>
      <c r="H4675" s="4"/>
    </row>
    <row r="4676">
      <c r="D4676" s="5"/>
      <c r="E4676" s="4"/>
      <c r="F4676" s="4"/>
      <c r="G4676" s="4"/>
      <c r="H4676" s="4"/>
    </row>
    <row r="4677">
      <c r="D4677" s="5"/>
      <c r="E4677" s="4"/>
      <c r="F4677" s="4"/>
      <c r="G4677" s="4"/>
      <c r="H4677" s="4"/>
    </row>
    <row r="4678">
      <c r="D4678" s="5"/>
      <c r="E4678" s="4"/>
      <c r="F4678" s="4"/>
      <c r="G4678" s="4"/>
      <c r="H4678" s="4"/>
    </row>
    <row r="4679">
      <c r="D4679" s="5"/>
      <c r="E4679" s="4"/>
      <c r="F4679" s="4"/>
      <c r="G4679" s="4"/>
      <c r="H4679" s="4"/>
    </row>
    <row r="4680">
      <c r="D4680" s="5"/>
      <c r="E4680" s="4"/>
      <c r="F4680" s="4"/>
      <c r="G4680" s="4"/>
      <c r="H4680" s="4"/>
    </row>
    <row r="4681">
      <c r="D4681" s="5"/>
      <c r="E4681" s="4"/>
      <c r="F4681" s="4"/>
      <c r="G4681" s="4"/>
      <c r="H4681" s="4"/>
    </row>
    <row r="4682">
      <c r="D4682" s="5"/>
      <c r="E4682" s="4"/>
      <c r="F4682" s="4"/>
      <c r="G4682" s="4"/>
      <c r="H4682" s="4"/>
    </row>
    <row r="4683">
      <c r="D4683" s="5"/>
      <c r="E4683" s="4"/>
      <c r="F4683" s="4"/>
      <c r="G4683" s="4"/>
      <c r="H4683" s="4"/>
    </row>
    <row r="4684">
      <c r="D4684" s="5"/>
      <c r="E4684" s="4"/>
      <c r="F4684" s="4"/>
      <c r="G4684" s="4"/>
      <c r="H4684" s="4"/>
    </row>
    <row r="4685">
      <c r="D4685" s="5"/>
      <c r="E4685" s="4"/>
      <c r="F4685" s="4"/>
      <c r="G4685" s="4"/>
      <c r="H4685" s="4"/>
    </row>
    <row r="4686">
      <c r="D4686" s="5"/>
      <c r="E4686" s="4"/>
      <c r="F4686" s="4"/>
      <c r="G4686" s="4"/>
      <c r="H4686" s="4"/>
    </row>
    <row r="4687">
      <c r="D4687" s="5"/>
      <c r="E4687" s="4"/>
      <c r="F4687" s="4"/>
      <c r="G4687" s="4"/>
      <c r="H4687" s="4"/>
    </row>
    <row r="4688">
      <c r="D4688" s="5"/>
      <c r="E4688" s="4"/>
      <c r="F4688" s="4"/>
      <c r="G4688" s="4"/>
      <c r="H4688" s="4"/>
    </row>
    <row r="4689">
      <c r="D4689" s="5"/>
      <c r="E4689" s="4"/>
      <c r="F4689" s="4"/>
      <c r="G4689" s="4"/>
      <c r="H4689" s="4"/>
    </row>
    <row r="4690">
      <c r="D4690" s="5"/>
      <c r="E4690" s="4"/>
      <c r="F4690" s="4"/>
      <c r="G4690" s="4"/>
      <c r="H4690" s="4"/>
    </row>
    <row r="4691">
      <c r="D4691" s="5"/>
      <c r="E4691" s="4"/>
      <c r="F4691" s="4"/>
      <c r="G4691" s="4"/>
      <c r="H4691" s="4"/>
    </row>
    <row r="4692">
      <c r="D4692" s="5"/>
      <c r="E4692" s="4"/>
      <c r="F4692" s="4"/>
      <c r="G4692" s="4"/>
      <c r="H4692" s="4"/>
    </row>
    <row r="4693">
      <c r="D4693" s="5"/>
      <c r="E4693" s="4"/>
      <c r="F4693" s="4"/>
      <c r="G4693" s="4"/>
      <c r="H4693" s="4"/>
    </row>
    <row r="4694">
      <c r="D4694" s="5"/>
      <c r="E4694" s="4"/>
      <c r="F4694" s="4"/>
      <c r="G4694" s="4"/>
      <c r="H4694" s="4"/>
    </row>
    <row r="4695">
      <c r="D4695" s="5"/>
      <c r="E4695" s="4"/>
      <c r="F4695" s="4"/>
      <c r="G4695" s="4"/>
      <c r="H4695" s="4"/>
    </row>
    <row r="4696">
      <c r="D4696" s="5"/>
      <c r="E4696" s="4"/>
      <c r="F4696" s="4"/>
      <c r="G4696" s="4"/>
      <c r="H4696" s="4"/>
    </row>
    <row r="4697">
      <c r="D4697" s="5"/>
      <c r="E4697" s="4"/>
      <c r="F4697" s="4"/>
      <c r="G4697" s="4"/>
      <c r="H4697" s="4"/>
    </row>
    <row r="4698">
      <c r="D4698" s="5"/>
      <c r="E4698" s="4"/>
      <c r="F4698" s="4"/>
      <c r="G4698" s="4"/>
      <c r="H4698" s="4"/>
    </row>
    <row r="4699">
      <c r="D4699" s="5"/>
      <c r="E4699" s="4"/>
      <c r="F4699" s="4"/>
      <c r="G4699" s="4"/>
      <c r="H4699" s="4"/>
    </row>
    <row r="4700">
      <c r="D4700" s="5"/>
      <c r="E4700" s="4"/>
      <c r="F4700" s="4"/>
      <c r="G4700" s="4"/>
      <c r="H4700" s="4"/>
    </row>
    <row r="4701">
      <c r="D4701" s="5"/>
      <c r="E4701" s="4"/>
      <c r="F4701" s="4"/>
      <c r="G4701" s="4"/>
      <c r="H4701" s="4"/>
    </row>
    <row r="4702">
      <c r="D4702" s="5"/>
      <c r="E4702" s="4"/>
      <c r="F4702" s="4"/>
      <c r="G4702" s="4"/>
      <c r="H4702" s="4"/>
    </row>
    <row r="4703">
      <c r="D4703" s="5"/>
      <c r="E4703" s="4"/>
      <c r="F4703" s="4"/>
      <c r="G4703" s="4"/>
      <c r="H4703" s="4"/>
    </row>
    <row r="4704">
      <c r="D4704" s="5"/>
      <c r="E4704" s="4"/>
      <c r="F4704" s="4"/>
      <c r="G4704" s="4"/>
      <c r="H4704" s="4"/>
    </row>
    <row r="4705">
      <c r="D4705" s="5"/>
      <c r="E4705" s="4"/>
      <c r="F4705" s="4"/>
      <c r="G4705" s="4"/>
      <c r="H4705" s="4"/>
    </row>
    <row r="4706">
      <c r="D4706" s="5"/>
      <c r="E4706" s="4"/>
      <c r="F4706" s="4"/>
      <c r="G4706" s="4"/>
      <c r="H4706" s="4"/>
    </row>
    <row r="4707">
      <c r="D4707" s="5"/>
      <c r="E4707" s="4"/>
      <c r="F4707" s="4"/>
      <c r="G4707" s="4"/>
      <c r="H4707" s="4"/>
    </row>
    <row r="4708">
      <c r="D4708" s="5"/>
      <c r="E4708" s="4"/>
      <c r="F4708" s="4"/>
      <c r="G4708" s="4"/>
      <c r="H4708" s="4"/>
    </row>
    <row r="4709">
      <c r="D4709" s="5"/>
      <c r="E4709" s="4"/>
      <c r="F4709" s="4"/>
      <c r="G4709" s="4"/>
      <c r="H4709" s="4"/>
    </row>
    <row r="4710">
      <c r="D4710" s="5"/>
      <c r="E4710" s="4"/>
      <c r="F4710" s="4"/>
      <c r="G4710" s="4"/>
      <c r="H4710" s="4"/>
    </row>
    <row r="4711">
      <c r="D4711" s="5"/>
      <c r="E4711" s="4"/>
      <c r="F4711" s="4"/>
      <c r="G4711" s="4"/>
      <c r="H4711" s="4"/>
    </row>
    <row r="4712">
      <c r="D4712" s="5"/>
      <c r="E4712" s="4"/>
      <c r="F4712" s="4"/>
      <c r="G4712" s="4"/>
      <c r="H4712" s="4"/>
    </row>
    <row r="4713">
      <c r="D4713" s="5"/>
      <c r="E4713" s="4"/>
      <c r="F4713" s="4"/>
      <c r="G4713" s="4"/>
      <c r="H4713" s="4"/>
    </row>
    <row r="4714">
      <c r="D4714" s="5"/>
      <c r="E4714" s="4"/>
      <c r="F4714" s="4"/>
      <c r="G4714" s="4"/>
      <c r="H4714" s="4"/>
    </row>
    <row r="4715">
      <c r="D4715" s="5"/>
      <c r="E4715" s="4"/>
      <c r="F4715" s="4"/>
      <c r="G4715" s="4"/>
      <c r="H4715" s="4"/>
    </row>
    <row r="4716">
      <c r="D4716" s="5"/>
      <c r="E4716" s="4"/>
      <c r="F4716" s="4"/>
      <c r="G4716" s="4"/>
      <c r="H4716" s="4"/>
    </row>
    <row r="4717">
      <c r="D4717" s="5"/>
      <c r="E4717" s="4"/>
      <c r="F4717" s="4"/>
      <c r="G4717" s="4"/>
      <c r="H4717" s="4"/>
    </row>
    <row r="4718">
      <c r="D4718" s="5"/>
      <c r="E4718" s="4"/>
      <c r="F4718" s="4"/>
      <c r="G4718" s="4"/>
      <c r="H4718" s="4"/>
    </row>
    <row r="4719">
      <c r="D4719" s="5"/>
      <c r="E4719" s="4"/>
      <c r="F4719" s="4"/>
      <c r="G4719" s="4"/>
      <c r="H4719" s="4"/>
    </row>
    <row r="4720">
      <c r="D4720" s="5"/>
      <c r="E4720" s="4"/>
      <c r="F4720" s="4"/>
      <c r="G4720" s="4"/>
      <c r="H4720" s="4"/>
    </row>
    <row r="4721">
      <c r="D4721" s="5"/>
      <c r="E4721" s="4"/>
      <c r="F4721" s="4"/>
      <c r="G4721" s="4"/>
      <c r="H4721" s="4"/>
    </row>
    <row r="4722">
      <c r="D4722" s="5"/>
      <c r="E4722" s="4"/>
      <c r="F4722" s="4"/>
      <c r="G4722" s="4"/>
      <c r="H4722" s="4"/>
    </row>
    <row r="4723">
      <c r="D4723" s="5"/>
      <c r="E4723" s="4"/>
      <c r="F4723" s="4"/>
      <c r="G4723" s="4"/>
      <c r="H4723" s="4"/>
    </row>
    <row r="4724">
      <c r="D4724" s="5"/>
      <c r="E4724" s="4"/>
      <c r="F4724" s="4"/>
      <c r="G4724" s="4"/>
      <c r="H4724" s="4"/>
    </row>
    <row r="4725">
      <c r="D4725" s="5"/>
      <c r="E4725" s="4"/>
      <c r="F4725" s="4"/>
      <c r="G4725" s="4"/>
      <c r="H4725" s="4"/>
    </row>
    <row r="4726">
      <c r="D4726" s="5"/>
      <c r="E4726" s="4"/>
      <c r="F4726" s="4"/>
      <c r="G4726" s="4"/>
      <c r="H4726" s="4"/>
    </row>
    <row r="4727">
      <c r="D4727" s="5"/>
      <c r="E4727" s="4"/>
      <c r="F4727" s="4"/>
      <c r="G4727" s="4"/>
      <c r="H4727" s="4"/>
    </row>
    <row r="4728">
      <c r="D4728" s="5"/>
      <c r="E4728" s="4"/>
      <c r="F4728" s="4"/>
      <c r="G4728" s="4"/>
      <c r="H4728" s="4"/>
    </row>
    <row r="4729">
      <c r="D4729" s="5"/>
      <c r="E4729" s="4"/>
      <c r="F4729" s="4"/>
      <c r="G4729" s="4"/>
      <c r="H4729" s="4"/>
    </row>
    <row r="4730">
      <c r="D4730" s="5"/>
      <c r="E4730" s="4"/>
      <c r="F4730" s="4"/>
      <c r="G4730" s="4"/>
      <c r="H4730" s="4"/>
    </row>
    <row r="4731">
      <c r="D4731" s="5"/>
      <c r="E4731" s="4"/>
      <c r="F4731" s="4"/>
      <c r="G4731" s="4"/>
      <c r="H4731" s="4"/>
    </row>
    <row r="4732">
      <c r="D4732" s="5"/>
      <c r="E4732" s="4"/>
      <c r="F4732" s="4"/>
      <c r="G4732" s="4"/>
      <c r="H4732" s="4"/>
    </row>
    <row r="4733">
      <c r="D4733" s="5"/>
      <c r="E4733" s="4"/>
      <c r="F4733" s="4"/>
      <c r="G4733" s="4"/>
      <c r="H4733" s="4"/>
    </row>
    <row r="4734">
      <c r="D4734" s="5"/>
      <c r="E4734" s="4"/>
      <c r="F4734" s="4"/>
      <c r="G4734" s="4"/>
      <c r="H4734" s="4"/>
    </row>
    <row r="4735">
      <c r="D4735" s="5"/>
      <c r="E4735" s="4"/>
      <c r="F4735" s="4"/>
      <c r="G4735" s="4"/>
      <c r="H4735" s="4"/>
    </row>
    <row r="4736">
      <c r="D4736" s="5"/>
      <c r="E4736" s="4"/>
      <c r="F4736" s="4"/>
      <c r="G4736" s="4"/>
      <c r="H4736" s="4"/>
    </row>
    <row r="4737">
      <c r="D4737" s="5"/>
      <c r="E4737" s="4"/>
      <c r="F4737" s="4"/>
      <c r="G4737" s="4"/>
      <c r="H4737" s="4"/>
    </row>
    <row r="4738">
      <c r="D4738" s="5"/>
      <c r="E4738" s="4"/>
      <c r="F4738" s="4"/>
      <c r="G4738" s="4"/>
      <c r="H4738" s="4"/>
    </row>
    <row r="4739">
      <c r="D4739" s="5"/>
      <c r="E4739" s="4"/>
      <c r="F4739" s="4"/>
      <c r="G4739" s="4"/>
      <c r="H4739" s="4"/>
    </row>
    <row r="4740">
      <c r="D4740" s="5"/>
      <c r="E4740" s="4"/>
      <c r="F4740" s="4"/>
      <c r="G4740" s="4"/>
      <c r="H4740" s="4"/>
    </row>
    <row r="4741">
      <c r="D4741" s="5"/>
      <c r="E4741" s="4"/>
      <c r="F4741" s="4"/>
      <c r="G4741" s="4"/>
      <c r="H4741" s="4"/>
    </row>
    <row r="4742">
      <c r="D4742" s="5"/>
      <c r="E4742" s="4"/>
      <c r="F4742" s="4"/>
      <c r="G4742" s="4"/>
      <c r="H4742" s="4"/>
    </row>
    <row r="4743">
      <c r="D4743" s="5"/>
      <c r="E4743" s="4"/>
      <c r="F4743" s="4"/>
      <c r="G4743" s="4"/>
      <c r="H4743" s="4"/>
    </row>
    <row r="4744">
      <c r="D4744" s="5"/>
      <c r="E4744" s="4"/>
      <c r="F4744" s="4"/>
      <c r="G4744" s="4"/>
      <c r="H4744" s="4"/>
    </row>
    <row r="4745">
      <c r="D4745" s="5"/>
      <c r="E4745" s="4"/>
      <c r="F4745" s="4"/>
      <c r="G4745" s="4"/>
      <c r="H4745" s="4"/>
    </row>
    <row r="4746">
      <c r="D4746" s="5"/>
      <c r="E4746" s="4"/>
      <c r="F4746" s="4"/>
      <c r="G4746" s="4"/>
      <c r="H4746" s="4"/>
    </row>
    <row r="4747">
      <c r="D4747" s="5"/>
      <c r="E4747" s="4"/>
      <c r="F4747" s="4"/>
      <c r="G4747" s="4"/>
      <c r="H4747" s="4"/>
    </row>
    <row r="4748">
      <c r="D4748" s="5"/>
      <c r="E4748" s="4"/>
      <c r="F4748" s="4"/>
      <c r="G4748" s="4"/>
      <c r="H4748" s="4"/>
    </row>
    <row r="4749">
      <c r="D4749" s="5"/>
      <c r="E4749" s="4"/>
      <c r="F4749" s="4"/>
      <c r="G4749" s="4"/>
      <c r="H4749" s="4"/>
    </row>
    <row r="4750">
      <c r="D4750" s="5"/>
      <c r="E4750" s="4"/>
      <c r="F4750" s="4"/>
      <c r="G4750" s="4"/>
      <c r="H4750" s="4"/>
    </row>
    <row r="4751">
      <c r="D4751" s="5"/>
      <c r="E4751" s="4"/>
      <c r="F4751" s="4"/>
      <c r="G4751" s="4"/>
      <c r="H4751" s="4"/>
    </row>
    <row r="4752">
      <c r="D4752" s="5"/>
      <c r="E4752" s="4"/>
      <c r="F4752" s="4"/>
      <c r="G4752" s="4"/>
      <c r="H4752" s="4"/>
    </row>
    <row r="4753">
      <c r="D4753" s="5"/>
      <c r="E4753" s="4"/>
      <c r="F4753" s="4"/>
      <c r="G4753" s="4"/>
      <c r="H4753" s="4"/>
    </row>
    <row r="4754">
      <c r="D4754" s="5"/>
      <c r="E4754" s="4"/>
      <c r="F4754" s="4"/>
      <c r="G4754" s="4"/>
      <c r="H4754" s="4"/>
    </row>
    <row r="4755">
      <c r="D4755" s="5"/>
      <c r="E4755" s="4"/>
      <c r="F4755" s="4"/>
      <c r="G4755" s="4"/>
      <c r="H4755" s="4"/>
    </row>
    <row r="4756">
      <c r="D4756" s="5"/>
      <c r="E4756" s="4"/>
      <c r="F4756" s="4"/>
      <c r="G4756" s="4"/>
      <c r="H4756" s="4"/>
    </row>
    <row r="4757">
      <c r="D4757" s="5"/>
      <c r="E4757" s="4"/>
      <c r="F4757" s="4"/>
      <c r="G4757" s="4"/>
      <c r="H4757" s="4"/>
    </row>
    <row r="4758">
      <c r="D4758" s="5"/>
      <c r="E4758" s="4"/>
      <c r="F4758" s="4"/>
      <c r="G4758" s="4"/>
      <c r="H4758" s="4"/>
    </row>
    <row r="4759">
      <c r="D4759" s="5"/>
      <c r="E4759" s="4"/>
      <c r="F4759" s="4"/>
      <c r="G4759" s="4"/>
      <c r="H4759" s="4"/>
    </row>
    <row r="4760">
      <c r="D4760" s="5"/>
      <c r="E4760" s="4"/>
      <c r="F4760" s="4"/>
      <c r="G4760" s="4"/>
      <c r="H4760" s="4"/>
    </row>
    <row r="4761">
      <c r="D4761" s="5"/>
      <c r="E4761" s="4"/>
      <c r="F4761" s="4"/>
      <c r="G4761" s="4"/>
      <c r="H4761" s="4"/>
    </row>
    <row r="4762">
      <c r="D4762" s="5"/>
      <c r="E4762" s="4"/>
      <c r="F4762" s="4"/>
      <c r="G4762" s="4"/>
      <c r="H4762" s="4"/>
    </row>
    <row r="4763">
      <c r="D4763" s="5"/>
      <c r="E4763" s="4"/>
      <c r="F4763" s="4"/>
      <c r="G4763" s="4"/>
      <c r="H4763" s="4"/>
    </row>
    <row r="4764">
      <c r="D4764" s="5"/>
      <c r="E4764" s="4"/>
      <c r="F4764" s="4"/>
      <c r="G4764" s="4"/>
      <c r="H4764" s="4"/>
    </row>
    <row r="4765">
      <c r="D4765" s="5"/>
      <c r="E4765" s="4"/>
      <c r="F4765" s="4"/>
      <c r="G4765" s="4"/>
      <c r="H4765" s="4"/>
    </row>
    <row r="4766">
      <c r="D4766" s="5"/>
      <c r="E4766" s="4"/>
      <c r="F4766" s="4"/>
      <c r="G4766" s="4"/>
      <c r="H4766" s="4"/>
    </row>
    <row r="4767">
      <c r="D4767" s="5"/>
      <c r="E4767" s="4"/>
      <c r="F4767" s="4"/>
      <c r="G4767" s="4"/>
      <c r="H4767" s="4"/>
    </row>
    <row r="4768">
      <c r="D4768" s="5"/>
      <c r="E4768" s="4"/>
      <c r="F4768" s="4"/>
      <c r="G4768" s="4"/>
      <c r="H4768" s="4"/>
    </row>
    <row r="4769">
      <c r="D4769" s="5"/>
      <c r="E4769" s="4"/>
      <c r="F4769" s="4"/>
      <c r="G4769" s="4"/>
      <c r="H4769" s="4"/>
    </row>
    <row r="4770">
      <c r="D4770" s="5"/>
      <c r="E4770" s="4"/>
      <c r="F4770" s="4"/>
      <c r="G4770" s="4"/>
      <c r="H4770" s="4"/>
    </row>
    <row r="4771">
      <c r="D4771" s="5"/>
      <c r="E4771" s="4"/>
      <c r="F4771" s="4"/>
      <c r="G4771" s="4"/>
      <c r="H4771" s="4"/>
    </row>
    <row r="4772">
      <c r="D4772" s="5"/>
      <c r="E4772" s="4"/>
      <c r="F4772" s="4"/>
      <c r="G4772" s="4"/>
      <c r="H4772" s="4"/>
    </row>
    <row r="4773">
      <c r="D4773" s="5"/>
      <c r="E4773" s="4"/>
      <c r="F4773" s="4"/>
      <c r="G4773" s="4"/>
      <c r="H4773" s="4"/>
    </row>
    <row r="4774">
      <c r="D4774" s="5"/>
      <c r="E4774" s="4"/>
      <c r="F4774" s="4"/>
      <c r="G4774" s="4"/>
      <c r="H4774" s="4"/>
    </row>
    <row r="4775">
      <c r="D4775" s="5"/>
      <c r="E4775" s="4"/>
      <c r="F4775" s="4"/>
      <c r="G4775" s="4"/>
      <c r="H4775" s="4"/>
    </row>
    <row r="4776">
      <c r="D4776" s="5"/>
      <c r="E4776" s="4"/>
      <c r="F4776" s="4"/>
      <c r="G4776" s="4"/>
      <c r="H4776" s="4"/>
    </row>
    <row r="4777">
      <c r="D4777" s="5"/>
      <c r="E4777" s="4"/>
      <c r="F4777" s="4"/>
      <c r="G4777" s="4"/>
      <c r="H4777" s="4"/>
    </row>
    <row r="4778">
      <c r="D4778" s="5"/>
      <c r="E4778" s="4"/>
      <c r="F4778" s="4"/>
      <c r="G4778" s="4"/>
      <c r="H4778" s="4"/>
    </row>
    <row r="4779">
      <c r="D4779" s="5"/>
      <c r="E4779" s="4"/>
      <c r="F4779" s="4"/>
      <c r="G4779" s="4"/>
      <c r="H4779" s="4"/>
    </row>
    <row r="4780">
      <c r="D4780" s="5"/>
      <c r="E4780" s="4"/>
      <c r="F4780" s="4"/>
      <c r="G4780" s="4"/>
      <c r="H4780" s="4"/>
    </row>
    <row r="4781">
      <c r="D4781" s="5"/>
      <c r="E4781" s="4"/>
      <c r="F4781" s="4"/>
      <c r="G4781" s="4"/>
      <c r="H4781" s="4"/>
    </row>
    <row r="4782">
      <c r="D4782" s="5"/>
      <c r="E4782" s="4"/>
      <c r="F4782" s="4"/>
      <c r="G4782" s="4"/>
      <c r="H4782" s="4"/>
    </row>
    <row r="4783">
      <c r="D4783" s="5"/>
      <c r="E4783" s="4"/>
      <c r="F4783" s="4"/>
      <c r="G4783" s="4"/>
      <c r="H4783" s="4"/>
    </row>
    <row r="4784">
      <c r="D4784" s="5"/>
      <c r="E4784" s="4"/>
      <c r="F4784" s="4"/>
      <c r="G4784" s="4"/>
      <c r="H4784" s="4"/>
    </row>
    <row r="4785">
      <c r="D4785" s="5"/>
      <c r="E4785" s="4"/>
      <c r="F4785" s="4"/>
      <c r="G4785" s="4"/>
      <c r="H4785" s="4"/>
    </row>
    <row r="4786">
      <c r="D4786" s="5"/>
      <c r="E4786" s="4"/>
      <c r="F4786" s="4"/>
      <c r="G4786" s="4"/>
      <c r="H4786" s="4"/>
    </row>
    <row r="4787">
      <c r="D4787" s="5"/>
      <c r="E4787" s="4"/>
      <c r="F4787" s="4"/>
      <c r="G4787" s="4"/>
      <c r="H4787" s="4"/>
    </row>
    <row r="4788">
      <c r="D4788" s="5"/>
      <c r="E4788" s="4"/>
      <c r="F4788" s="4"/>
      <c r="G4788" s="4"/>
      <c r="H4788" s="4"/>
    </row>
    <row r="4789">
      <c r="D4789" s="5"/>
      <c r="E4789" s="4"/>
      <c r="F4789" s="4"/>
      <c r="G4789" s="4"/>
      <c r="H4789" s="4"/>
    </row>
    <row r="4790">
      <c r="D4790" s="5"/>
      <c r="E4790" s="4"/>
      <c r="F4790" s="4"/>
      <c r="G4790" s="4"/>
      <c r="H4790" s="4"/>
    </row>
    <row r="4791">
      <c r="D4791" s="5"/>
      <c r="E4791" s="4"/>
      <c r="F4791" s="4"/>
      <c r="G4791" s="4"/>
      <c r="H4791" s="4"/>
    </row>
    <row r="4792">
      <c r="D4792" s="5"/>
      <c r="E4792" s="4"/>
      <c r="F4792" s="4"/>
      <c r="G4792" s="4"/>
      <c r="H4792" s="4"/>
    </row>
    <row r="4793">
      <c r="D4793" s="5"/>
      <c r="E4793" s="4"/>
      <c r="F4793" s="4"/>
      <c r="G4793" s="4"/>
      <c r="H4793" s="4"/>
    </row>
    <row r="4794">
      <c r="D4794" s="5"/>
      <c r="E4794" s="4"/>
      <c r="F4794" s="4"/>
      <c r="G4794" s="4"/>
      <c r="H4794" s="4"/>
    </row>
    <row r="4795">
      <c r="D4795" s="5"/>
      <c r="E4795" s="4"/>
      <c r="F4795" s="4"/>
      <c r="G4795" s="4"/>
      <c r="H4795" s="4"/>
    </row>
    <row r="4796">
      <c r="D4796" s="5"/>
      <c r="E4796" s="4"/>
      <c r="F4796" s="4"/>
      <c r="G4796" s="4"/>
      <c r="H4796" s="4"/>
    </row>
    <row r="4797">
      <c r="D4797" s="5"/>
      <c r="E4797" s="4"/>
      <c r="F4797" s="4"/>
      <c r="G4797" s="4"/>
      <c r="H4797" s="4"/>
    </row>
    <row r="4798">
      <c r="D4798" s="5"/>
      <c r="E4798" s="4"/>
      <c r="F4798" s="4"/>
      <c r="G4798" s="4"/>
      <c r="H4798" s="4"/>
    </row>
    <row r="4799">
      <c r="D4799" s="5"/>
      <c r="E4799" s="4"/>
      <c r="F4799" s="4"/>
      <c r="G4799" s="4"/>
      <c r="H4799" s="4"/>
    </row>
    <row r="4800">
      <c r="D4800" s="5"/>
      <c r="E4800" s="4"/>
      <c r="F4800" s="4"/>
      <c r="G4800" s="4"/>
      <c r="H4800" s="4"/>
    </row>
    <row r="4801">
      <c r="D4801" s="5"/>
      <c r="E4801" s="4"/>
      <c r="F4801" s="4"/>
      <c r="G4801" s="4"/>
      <c r="H4801" s="4"/>
    </row>
    <row r="4802">
      <c r="D4802" s="5"/>
      <c r="E4802" s="4"/>
      <c r="F4802" s="4"/>
      <c r="G4802" s="4"/>
      <c r="H4802" s="4"/>
    </row>
    <row r="4803">
      <c r="D4803" s="5"/>
      <c r="E4803" s="4"/>
      <c r="F4803" s="4"/>
      <c r="G4803" s="4"/>
      <c r="H4803" s="4"/>
    </row>
    <row r="4804">
      <c r="D4804" s="5"/>
      <c r="E4804" s="4"/>
      <c r="F4804" s="4"/>
      <c r="G4804" s="4"/>
      <c r="H4804" s="4"/>
    </row>
    <row r="4805">
      <c r="D4805" s="5"/>
      <c r="E4805" s="4"/>
      <c r="F4805" s="4"/>
      <c r="G4805" s="4"/>
      <c r="H4805" s="4"/>
    </row>
    <row r="4806">
      <c r="D4806" s="5"/>
      <c r="E4806" s="4"/>
      <c r="F4806" s="4"/>
      <c r="G4806" s="4"/>
      <c r="H4806" s="4"/>
    </row>
    <row r="4807">
      <c r="D4807" s="5"/>
      <c r="E4807" s="4"/>
      <c r="F4807" s="4"/>
      <c r="G4807" s="4"/>
      <c r="H4807" s="4"/>
    </row>
    <row r="4808">
      <c r="D4808" s="5"/>
      <c r="E4808" s="4"/>
      <c r="F4808" s="4"/>
      <c r="G4808" s="4"/>
      <c r="H4808" s="4"/>
    </row>
    <row r="4809">
      <c r="D4809" s="5"/>
      <c r="E4809" s="4"/>
      <c r="F4809" s="4"/>
      <c r="G4809" s="4"/>
      <c r="H4809" s="4"/>
    </row>
    <row r="4810">
      <c r="D4810" s="5"/>
      <c r="E4810" s="4"/>
      <c r="F4810" s="4"/>
      <c r="G4810" s="4"/>
      <c r="H4810" s="4"/>
    </row>
    <row r="4811">
      <c r="D4811" s="5"/>
      <c r="E4811" s="4"/>
      <c r="F4811" s="4"/>
      <c r="G4811" s="4"/>
      <c r="H4811" s="4"/>
    </row>
    <row r="4812">
      <c r="D4812" s="5"/>
      <c r="E4812" s="4"/>
      <c r="F4812" s="4"/>
      <c r="G4812" s="4"/>
      <c r="H4812" s="4"/>
    </row>
    <row r="4813">
      <c r="D4813" s="5"/>
      <c r="E4813" s="4"/>
      <c r="F4813" s="4"/>
      <c r="G4813" s="4"/>
      <c r="H4813" s="4"/>
    </row>
    <row r="4814">
      <c r="D4814" s="5"/>
      <c r="E4814" s="4"/>
      <c r="F4814" s="4"/>
      <c r="G4814" s="4"/>
      <c r="H4814" s="4"/>
    </row>
    <row r="4815">
      <c r="D4815" s="5"/>
      <c r="E4815" s="4"/>
      <c r="F4815" s="4"/>
      <c r="G4815" s="4"/>
      <c r="H4815" s="4"/>
    </row>
    <row r="4816">
      <c r="D4816" s="5"/>
      <c r="E4816" s="4"/>
      <c r="F4816" s="4"/>
      <c r="G4816" s="4"/>
      <c r="H4816" s="4"/>
    </row>
    <row r="4817">
      <c r="D4817" s="5"/>
      <c r="E4817" s="4"/>
      <c r="F4817" s="4"/>
      <c r="G4817" s="4"/>
      <c r="H4817" s="4"/>
    </row>
    <row r="4818">
      <c r="D4818" s="5"/>
      <c r="E4818" s="4"/>
      <c r="F4818" s="4"/>
      <c r="G4818" s="4"/>
      <c r="H4818" s="4"/>
    </row>
    <row r="4819">
      <c r="D4819" s="5"/>
      <c r="E4819" s="4"/>
      <c r="F4819" s="4"/>
      <c r="G4819" s="4"/>
      <c r="H4819" s="4"/>
    </row>
    <row r="4820">
      <c r="D4820" s="5"/>
      <c r="E4820" s="4"/>
      <c r="F4820" s="4"/>
      <c r="G4820" s="4"/>
      <c r="H4820" s="4"/>
    </row>
    <row r="4821">
      <c r="D4821" s="5"/>
      <c r="E4821" s="4"/>
      <c r="F4821" s="4"/>
      <c r="G4821" s="4"/>
      <c r="H4821" s="4"/>
    </row>
    <row r="4822">
      <c r="D4822" s="5"/>
      <c r="E4822" s="4"/>
      <c r="F4822" s="4"/>
      <c r="G4822" s="4"/>
      <c r="H4822" s="4"/>
    </row>
    <row r="4823">
      <c r="D4823" s="5"/>
      <c r="E4823" s="4"/>
      <c r="F4823" s="4"/>
      <c r="G4823" s="4"/>
      <c r="H4823" s="4"/>
    </row>
    <row r="4824">
      <c r="D4824" s="5"/>
      <c r="E4824" s="4"/>
      <c r="F4824" s="4"/>
      <c r="G4824" s="4"/>
      <c r="H4824" s="4"/>
    </row>
    <row r="4825">
      <c r="D4825" s="5"/>
      <c r="E4825" s="4"/>
      <c r="F4825" s="4"/>
      <c r="G4825" s="4"/>
      <c r="H4825" s="4"/>
    </row>
    <row r="4826">
      <c r="D4826" s="5"/>
      <c r="E4826" s="4"/>
      <c r="F4826" s="4"/>
      <c r="G4826" s="4"/>
      <c r="H4826" s="4"/>
    </row>
    <row r="4827">
      <c r="D4827" s="5"/>
      <c r="E4827" s="4"/>
      <c r="F4827" s="4"/>
      <c r="G4827" s="4"/>
      <c r="H4827" s="4"/>
    </row>
    <row r="4828">
      <c r="D4828" s="5"/>
      <c r="E4828" s="4"/>
      <c r="F4828" s="4"/>
      <c r="G4828" s="4"/>
      <c r="H4828" s="4"/>
    </row>
    <row r="4829">
      <c r="D4829" s="5"/>
      <c r="E4829" s="4"/>
      <c r="F4829" s="4"/>
      <c r="G4829" s="4"/>
      <c r="H4829" s="4"/>
    </row>
    <row r="4830">
      <c r="D4830" s="5"/>
      <c r="E4830" s="4"/>
      <c r="F4830" s="4"/>
      <c r="G4830" s="4"/>
      <c r="H4830" s="4"/>
    </row>
    <row r="4831">
      <c r="D4831" s="5"/>
      <c r="E4831" s="4"/>
      <c r="F4831" s="4"/>
      <c r="G4831" s="4"/>
      <c r="H4831" s="4"/>
    </row>
    <row r="4832">
      <c r="D4832" s="5"/>
      <c r="E4832" s="4"/>
      <c r="F4832" s="4"/>
      <c r="G4832" s="4"/>
      <c r="H4832" s="4"/>
    </row>
    <row r="4833">
      <c r="D4833" s="5"/>
      <c r="E4833" s="4"/>
      <c r="F4833" s="4"/>
      <c r="G4833" s="4"/>
      <c r="H4833" s="4"/>
    </row>
    <row r="4834">
      <c r="D4834" s="5"/>
      <c r="E4834" s="4"/>
      <c r="F4834" s="4"/>
      <c r="G4834" s="4"/>
      <c r="H4834" s="4"/>
    </row>
    <row r="4835">
      <c r="D4835" s="5"/>
      <c r="E4835" s="4"/>
      <c r="F4835" s="4"/>
      <c r="G4835" s="4"/>
      <c r="H4835" s="4"/>
    </row>
    <row r="4836">
      <c r="D4836" s="5"/>
      <c r="E4836" s="4"/>
      <c r="F4836" s="4"/>
      <c r="G4836" s="4"/>
      <c r="H4836" s="4"/>
    </row>
    <row r="4837">
      <c r="D4837" s="5"/>
      <c r="E4837" s="4"/>
      <c r="F4837" s="4"/>
      <c r="G4837" s="4"/>
      <c r="H4837" s="4"/>
    </row>
    <row r="4838">
      <c r="D4838" s="5"/>
      <c r="E4838" s="4"/>
      <c r="F4838" s="4"/>
      <c r="G4838" s="4"/>
      <c r="H4838" s="4"/>
    </row>
    <row r="4839">
      <c r="D4839" s="5"/>
      <c r="E4839" s="4"/>
      <c r="F4839" s="4"/>
      <c r="G4839" s="4"/>
      <c r="H4839" s="4"/>
    </row>
    <row r="4840">
      <c r="D4840" s="5"/>
      <c r="E4840" s="4"/>
      <c r="F4840" s="4"/>
      <c r="G4840" s="4"/>
      <c r="H4840" s="4"/>
    </row>
    <row r="4841">
      <c r="D4841" s="5"/>
      <c r="E4841" s="4"/>
      <c r="F4841" s="4"/>
      <c r="G4841" s="4"/>
      <c r="H4841" s="4"/>
    </row>
    <row r="4842">
      <c r="D4842" s="5"/>
      <c r="E4842" s="4"/>
      <c r="F4842" s="4"/>
      <c r="G4842" s="4"/>
      <c r="H4842" s="4"/>
    </row>
    <row r="4843">
      <c r="D4843" s="5"/>
      <c r="E4843" s="4"/>
      <c r="F4843" s="4"/>
      <c r="G4843" s="4"/>
      <c r="H4843" s="4"/>
    </row>
    <row r="4844">
      <c r="D4844" s="5"/>
      <c r="E4844" s="4"/>
      <c r="F4844" s="4"/>
      <c r="G4844" s="4"/>
      <c r="H4844" s="4"/>
    </row>
    <row r="4845">
      <c r="D4845" s="5"/>
      <c r="E4845" s="4"/>
      <c r="F4845" s="4"/>
      <c r="G4845" s="4"/>
      <c r="H4845" s="4"/>
    </row>
    <row r="4846">
      <c r="D4846" s="5"/>
      <c r="E4846" s="4"/>
      <c r="F4846" s="4"/>
      <c r="G4846" s="4"/>
      <c r="H4846" s="4"/>
    </row>
    <row r="4847">
      <c r="D4847" s="5"/>
      <c r="E4847" s="4"/>
      <c r="F4847" s="4"/>
      <c r="G4847" s="4"/>
      <c r="H4847" s="4"/>
    </row>
    <row r="4848">
      <c r="D4848" s="5"/>
      <c r="E4848" s="4"/>
      <c r="F4848" s="4"/>
      <c r="G4848" s="4"/>
      <c r="H4848" s="4"/>
    </row>
    <row r="4849">
      <c r="D4849" s="5"/>
      <c r="E4849" s="4"/>
      <c r="F4849" s="4"/>
      <c r="G4849" s="4"/>
      <c r="H4849" s="4"/>
    </row>
    <row r="4850">
      <c r="D4850" s="5"/>
      <c r="E4850" s="4"/>
      <c r="F4850" s="4"/>
      <c r="G4850" s="4"/>
      <c r="H4850" s="4"/>
    </row>
    <row r="4851">
      <c r="D4851" s="5"/>
      <c r="E4851" s="4"/>
      <c r="F4851" s="4"/>
      <c r="G4851" s="4"/>
      <c r="H4851" s="4"/>
    </row>
    <row r="4852">
      <c r="D4852" s="5"/>
      <c r="E4852" s="4"/>
      <c r="F4852" s="4"/>
      <c r="G4852" s="4"/>
      <c r="H4852" s="4"/>
    </row>
    <row r="4853">
      <c r="D4853" s="5"/>
      <c r="E4853" s="4"/>
      <c r="F4853" s="4"/>
      <c r="G4853" s="4"/>
      <c r="H4853" s="4"/>
    </row>
    <row r="4854">
      <c r="D4854" s="5"/>
      <c r="E4854" s="4"/>
      <c r="F4854" s="4"/>
      <c r="G4854" s="4"/>
      <c r="H4854" s="4"/>
    </row>
    <row r="4855">
      <c r="D4855" s="5"/>
      <c r="E4855" s="4"/>
      <c r="F4855" s="4"/>
      <c r="G4855" s="4"/>
      <c r="H4855" s="4"/>
    </row>
    <row r="4856">
      <c r="D4856" s="5"/>
      <c r="E4856" s="4"/>
      <c r="F4856" s="4"/>
      <c r="G4856" s="4"/>
      <c r="H4856" s="4"/>
    </row>
    <row r="4857">
      <c r="D4857" s="5"/>
      <c r="E4857" s="4"/>
      <c r="F4857" s="4"/>
      <c r="G4857" s="4"/>
      <c r="H4857" s="4"/>
    </row>
    <row r="4858">
      <c r="D4858" s="5"/>
      <c r="E4858" s="4"/>
      <c r="F4858" s="4"/>
      <c r="G4858" s="4"/>
      <c r="H4858" s="4"/>
    </row>
    <row r="4859">
      <c r="D4859" s="5"/>
      <c r="E4859" s="4"/>
      <c r="F4859" s="4"/>
      <c r="G4859" s="4"/>
      <c r="H4859" s="4"/>
    </row>
    <row r="4860">
      <c r="D4860" s="5"/>
      <c r="E4860" s="4"/>
      <c r="F4860" s="4"/>
      <c r="G4860" s="4"/>
      <c r="H4860" s="4"/>
    </row>
    <row r="4861">
      <c r="D4861" s="5"/>
      <c r="E4861" s="4"/>
      <c r="F4861" s="4"/>
      <c r="G4861" s="4"/>
      <c r="H4861" s="4"/>
    </row>
    <row r="4862">
      <c r="D4862" s="5"/>
      <c r="E4862" s="4"/>
      <c r="F4862" s="4"/>
      <c r="G4862" s="4"/>
      <c r="H4862" s="4"/>
    </row>
    <row r="4863">
      <c r="D4863" s="5"/>
      <c r="E4863" s="4"/>
      <c r="F4863" s="4"/>
      <c r="G4863" s="4"/>
      <c r="H4863" s="4"/>
    </row>
    <row r="4864">
      <c r="D4864" s="5"/>
      <c r="E4864" s="4"/>
      <c r="F4864" s="4"/>
      <c r="G4864" s="4"/>
      <c r="H4864" s="4"/>
    </row>
    <row r="4865">
      <c r="D4865" s="5"/>
      <c r="E4865" s="4"/>
      <c r="F4865" s="4"/>
      <c r="G4865" s="4"/>
      <c r="H4865" s="4"/>
    </row>
    <row r="4866">
      <c r="D4866" s="5"/>
      <c r="E4866" s="4"/>
      <c r="F4866" s="4"/>
      <c r="G4866" s="4"/>
      <c r="H4866" s="4"/>
    </row>
    <row r="4867">
      <c r="D4867" s="5"/>
      <c r="E4867" s="4"/>
      <c r="F4867" s="4"/>
      <c r="G4867" s="4"/>
      <c r="H4867" s="4"/>
    </row>
    <row r="4868">
      <c r="D4868" s="5"/>
      <c r="E4868" s="4"/>
      <c r="F4868" s="4"/>
      <c r="G4868" s="4"/>
      <c r="H4868" s="4"/>
    </row>
    <row r="4869">
      <c r="D4869" s="5"/>
      <c r="E4869" s="4"/>
      <c r="F4869" s="4"/>
      <c r="G4869" s="4"/>
      <c r="H4869" s="4"/>
    </row>
    <row r="4870">
      <c r="D4870" s="5"/>
      <c r="E4870" s="4"/>
      <c r="F4870" s="4"/>
      <c r="G4870" s="4"/>
      <c r="H4870" s="4"/>
    </row>
    <row r="4871">
      <c r="D4871" s="5"/>
      <c r="E4871" s="4"/>
      <c r="F4871" s="4"/>
      <c r="G4871" s="4"/>
      <c r="H4871" s="4"/>
    </row>
    <row r="4872">
      <c r="D4872" s="5"/>
      <c r="E4872" s="4"/>
      <c r="F4872" s="4"/>
      <c r="G4872" s="4"/>
      <c r="H4872" s="4"/>
    </row>
    <row r="4873">
      <c r="D4873" s="5"/>
      <c r="E4873" s="4"/>
      <c r="F4873" s="4"/>
      <c r="G4873" s="4"/>
      <c r="H4873" s="4"/>
    </row>
    <row r="4874">
      <c r="D4874" s="5"/>
      <c r="E4874" s="4"/>
      <c r="F4874" s="4"/>
      <c r="G4874" s="4"/>
      <c r="H4874" s="4"/>
    </row>
    <row r="4875">
      <c r="D4875" s="5"/>
      <c r="E4875" s="4"/>
      <c r="F4875" s="4"/>
      <c r="G4875" s="4"/>
      <c r="H4875" s="4"/>
    </row>
    <row r="4876">
      <c r="D4876" s="5"/>
      <c r="E4876" s="4"/>
      <c r="F4876" s="4"/>
      <c r="G4876" s="4"/>
      <c r="H4876" s="4"/>
    </row>
    <row r="4877">
      <c r="D4877" s="5"/>
      <c r="E4877" s="4"/>
      <c r="F4877" s="4"/>
      <c r="G4877" s="4"/>
      <c r="H4877" s="4"/>
    </row>
    <row r="4878">
      <c r="D4878" s="5"/>
      <c r="E4878" s="4"/>
      <c r="F4878" s="4"/>
      <c r="G4878" s="4"/>
      <c r="H4878" s="4"/>
    </row>
    <row r="4879">
      <c r="D4879" s="5"/>
      <c r="E4879" s="4"/>
      <c r="F4879" s="4"/>
      <c r="G4879" s="4"/>
      <c r="H4879" s="4"/>
    </row>
    <row r="4880">
      <c r="D4880" s="5"/>
      <c r="E4880" s="4"/>
      <c r="F4880" s="4"/>
      <c r="G4880" s="4"/>
      <c r="H4880" s="4"/>
    </row>
    <row r="4881">
      <c r="D4881" s="5"/>
      <c r="E4881" s="4"/>
      <c r="F4881" s="4"/>
      <c r="G4881" s="4"/>
      <c r="H4881" s="4"/>
    </row>
    <row r="4882">
      <c r="D4882" s="5"/>
      <c r="E4882" s="4"/>
      <c r="F4882" s="4"/>
      <c r="G4882" s="4"/>
      <c r="H4882" s="4"/>
    </row>
    <row r="4883">
      <c r="D4883" s="5"/>
      <c r="E4883" s="4"/>
      <c r="F4883" s="4"/>
      <c r="G4883" s="4"/>
      <c r="H4883" s="4"/>
    </row>
    <row r="4884">
      <c r="D4884" s="5"/>
      <c r="E4884" s="4"/>
      <c r="F4884" s="4"/>
      <c r="G4884" s="4"/>
      <c r="H4884" s="4"/>
    </row>
    <row r="4885">
      <c r="D4885" s="5"/>
      <c r="E4885" s="4"/>
      <c r="F4885" s="4"/>
      <c r="G4885" s="4"/>
      <c r="H4885" s="4"/>
    </row>
    <row r="4886">
      <c r="D4886" s="5"/>
      <c r="E4886" s="4"/>
      <c r="F4886" s="4"/>
      <c r="G4886" s="4"/>
      <c r="H4886" s="4"/>
    </row>
    <row r="4887">
      <c r="D4887" s="5"/>
      <c r="E4887" s="4"/>
      <c r="F4887" s="4"/>
      <c r="G4887" s="4"/>
      <c r="H4887" s="4"/>
    </row>
    <row r="4888">
      <c r="D4888" s="5"/>
      <c r="E4888" s="4"/>
      <c r="F4888" s="4"/>
      <c r="G4888" s="4"/>
      <c r="H4888" s="4"/>
    </row>
    <row r="4889">
      <c r="D4889" s="5"/>
      <c r="E4889" s="4"/>
      <c r="F4889" s="4"/>
      <c r="G4889" s="4"/>
      <c r="H4889" s="4"/>
    </row>
    <row r="4890">
      <c r="D4890" s="5"/>
      <c r="E4890" s="4"/>
      <c r="F4890" s="4"/>
      <c r="G4890" s="4"/>
      <c r="H4890" s="4"/>
    </row>
    <row r="4891">
      <c r="D4891" s="5"/>
      <c r="E4891" s="4"/>
      <c r="F4891" s="4"/>
      <c r="G4891" s="4"/>
      <c r="H4891" s="4"/>
    </row>
    <row r="4892">
      <c r="D4892" s="5"/>
      <c r="E4892" s="4"/>
      <c r="F4892" s="4"/>
      <c r="G4892" s="4"/>
      <c r="H4892" s="4"/>
    </row>
    <row r="4893">
      <c r="D4893" s="5"/>
      <c r="E4893" s="4"/>
      <c r="F4893" s="4"/>
      <c r="G4893" s="4"/>
      <c r="H4893" s="4"/>
    </row>
    <row r="4894">
      <c r="D4894" s="5"/>
      <c r="E4894" s="4"/>
      <c r="F4894" s="4"/>
      <c r="G4894" s="4"/>
      <c r="H4894" s="4"/>
    </row>
    <row r="4895">
      <c r="D4895" s="5"/>
      <c r="E4895" s="4"/>
      <c r="F4895" s="4"/>
      <c r="G4895" s="4"/>
      <c r="H4895" s="4"/>
    </row>
    <row r="4896">
      <c r="D4896" s="5"/>
      <c r="E4896" s="4"/>
      <c r="F4896" s="4"/>
      <c r="G4896" s="4"/>
      <c r="H4896" s="4"/>
    </row>
    <row r="4897">
      <c r="D4897" s="5"/>
      <c r="E4897" s="4"/>
      <c r="F4897" s="4"/>
      <c r="G4897" s="4"/>
      <c r="H4897" s="4"/>
    </row>
    <row r="4898">
      <c r="D4898" s="5"/>
      <c r="E4898" s="4"/>
      <c r="F4898" s="4"/>
      <c r="G4898" s="4"/>
      <c r="H4898" s="4"/>
    </row>
    <row r="4899">
      <c r="D4899" s="5"/>
      <c r="E4899" s="4"/>
      <c r="F4899" s="4"/>
      <c r="G4899" s="4"/>
      <c r="H4899" s="4"/>
    </row>
    <row r="4900">
      <c r="D4900" s="5"/>
      <c r="E4900" s="4"/>
      <c r="F4900" s="4"/>
      <c r="G4900" s="4"/>
      <c r="H4900" s="4"/>
    </row>
    <row r="4901">
      <c r="D4901" s="5"/>
      <c r="E4901" s="4"/>
      <c r="F4901" s="4"/>
      <c r="G4901" s="4"/>
      <c r="H4901" s="4"/>
    </row>
    <row r="4902">
      <c r="D4902" s="5"/>
      <c r="E4902" s="4"/>
      <c r="F4902" s="4"/>
      <c r="G4902" s="4"/>
      <c r="H4902" s="4"/>
    </row>
    <row r="4903">
      <c r="D4903" s="5"/>
      <c r="E4903" s="4"/>
      <c r="F4903" s="4"/>
      <c r="G4903" s="4"/>
      <c r="H4903" s="4"/>
    </row>
    <row r="4904">
      <c r="D4904" s="5"/>
      <c r="E4904" s="4"/>
      <c r="F4904" s="4"/>
      <c r="G4904" s="4"/>
      <c r="H4904" s="4"/>
    </row>
    <row r="4905">
      <c r="D4905" s="5"/>
      <c r="E4905" s="4"/>
      <c r="F4905" s="4"/>
      <c r="G4905" s="4"/>
      <c r="H4905" s="4"/>
    </row>
    <row r="4906">
      <c r="D4906" s="5"/>
      <c r="E4906" s="4"/>
      <c r="F4906" s="4"/>
      <c r="G4906" s="4"/>
      <c r="H4906" s="4"/>
    </row>
    <row r="4907">
      <c r="D4907" s="5"/>
      <c r="E4907" s="4"/>
      <c r="F4907" s="4"/>
      <c r="G4907" s="4"/>
      <c r="H4907" s="4"/>
    </row>
    <row r="4908">
      <c r="D4908" s="5"/>
      <c r="E4908" s="4"/>
      <c r="F4908" s="4"/>
      <c r="G4908" s="4"/>
      <c r="H4908" s="4"/>
    </row>
    <row r="4909">
      <c r="D4909" s="5"/>
      <c r="E4909" s="4"/>
      <c r="F4909" s="4"/>
      <c r="G4909" s="4"/>
      <c r="H4909" s="4"/>
    </row>
    <row r="4910">
      <c r="D4910" s="5"/>
      <c r="E4910" s="4"/>
      <c r="F4910" s="4"/>
      <c r="G4910" s="4"/>
      <c r="H4910" s="4"/>
    </row>
    <row r="4911">
      <c r="D4911" s="5"/>
      <c r="E4911" s="4"/>
      <c r="F4911" s="4"/>
      <c r="G4911" s="4"/>
      <c r="H4911" s="4"/>
    </row>
    <row r="4912">
      <c r="D4912" s="5"/>
      <c r="E4912" s="4"/>
      <c r="F4912" s="4"/>
      <c r="G4912" s="4"/>
      <c r="H4912" s="4"/>
    </row>
    <row r="4913">
      <c r="D4913" s="5"/>
      <c r="E4913" s="4"/>
      <c r="F4913" s="4"/>
      <c r="G4913" s="4"/>
      <c r="H4913" s="4"/>
    </row>
    <row r="4914">
      <c r="D4914" s="5"/>
      <c r="E4914" s="4"/>
      <c r="F4914" s="4"/>
      <c r="G4914" s="4"/>
      <c r="H4914" s="4"/>
    </row>
    <row r="4915">
      <c r="D4915" s="5"/>
      <c r="E4915" s="4"/>
      <c r="F4915" s="4"/>
      <c r="G4915" s="4"/>
      <c r="H4915" s="4"/>
    </row>
    <row r="4916">
      <c r="D4916" s="5"/>
      <c r="E4916" s="4"/>
      <c r="F4916" s="4"/>
      <c r="G4916" s="4"/>
      <c r="H4916" s="4"/>
    </row>
    <row r="4917">
      <c r="D4917" s="5"/>
      <c r="E4917" s="4"/>
      <c r="F4917" s="4"/>
      <c r="G4917" s="4"/>
      <c r="H4917" s="4"/>
    </row>
    <row r="4918">
      <c r="D4918" s="5"/>
      <c r="E4918" s="4"/>
      <c r="F4918" s="4"/>
      <c r="G4918" s="4"/>
      <c r="H4918" s="4"/>
    </row>
    <row r="4919">
      <c r="D4919" s="5"/>
      <c r="E4919" s="4"/>
      <c r="F4919" s="4"/>
      <c r="G4919" s="4"/>
      <c r="H4919" s="4"/>
    </row>
    <row r="4920">
      <c r="D4920" s="5"/>
      <c r="E4920" s="4"/>
      <c r="F4920" s="4"/>
      <c r="G4920" s="4"/>
      <c r="H4920" s="4"/>
    </row>
    <row r="4921">
      <c r="D4921" s="5"/>
      <c r="E4921" s="4"/>
      <c r="F4921" s="4"/>
      <c r="G4921" s="4"/>
      <c r="H4921" s="4"/>
    </row>
    <row r="4922">
      <c r="D4922" s="5"/>
      <c r="E4922" s="4"/>
      <c r="F4922" s="4"/>
      <c r="G4922" s="4"/>
      <c r="H4922" s="4"/>
    </row>
    <row r="4923">
      <c r="D4923" s="5"/>
      <c r="E4923" s="4"/>
      <c r="F4923" s="4"/>
      <c r="G4923" s="4"/>
      <c r="H4923" s="4"/>
    </row>
    <row r="4924">
      <c r="D4924" s="5"/>
      <c r="E4924" s="4"/>
      <c r="F4924" s="4"/>
      <c r="G4924" s="4"/>
      <c r="H4924" s="4"/>
    </row>
    <row r="4925">
      <c r="D4925" s="5"/>
      <c r="E4925" s="4"/>
      <c r="F4925" s="4"/>
      <c r="G4925" s="4"/>
      <c r="H4925" s="4"/>
    </row>
    <row r="4926">
      <c r="D4926" s="5"/>
      <c r="E4926" s="4"/>
      <c r="F4926" s="4"/>
      <c r="G4926" s="4"/>
      <c r="H4926" s="4"/>
    </row>
    <row r="4927">
      <c r="D4927" s="5"/>
      <c r="E4927" s="4"/>
      <c r="F4927" s="4"/>
      <c r="G4927" s="4"/>
      <c r="H4927" s="4"/>
    </row>
    <row r="4928">
      <c r="D4928" s="5"/>
      <c r="E4928" s="4"/>
      <c r="F4928" s="4"/>
      <c r="G4928" s="4"/>
      <c r="H4928" s="4"/>
    </row>
    <row r="4929">
      <c r="D4929" s="5"/>
      <c r="E4929" s="4"/>
      <c r="F4929" s="4"/>
      <c r="G4929" s="4"/>
      <c r="H4929" s="4"/>
    </row>
    <row r="4930">
      <c r="D4930" s="5"/>
      <c r="E4930" s="4"/>
      <c r="F4930" s="4"/>
      <c r="G4930" s="4"/>
      <c r="H4930" s="4"/>
    </row>
    <row r="4931">
      <c r="D4931" s="5"/>
      <c r="E4931" s="4"/>
      <c r="F4931" s="4"/>
      <c r="G4931" s="4"/>
      <c r="H4931" s="4"/>
    </row>
    <row r="4932">
      <c r="D4932" s="5"/>
      <c r="E4932" s="4"/>
      <c r="F4932" s="4"/>
      <c r="G4932" s="4"/>
      <c r="H4932" s="4"/>
    </row>
    <row r="4933">
      <c r="D4933" s="5"/>
      <c r="E4933" s="4"/>
      <c r="F4933" s="4"/>
      <c r="G4933" s="4"/>
      <c r="H4933" s="4"/>
    </row>
    <row r="4934">
      <c r="D4934" s="5"/>
      <c r="E4934" s="4"/>
      <c r="F4934" s="4"/>
      <c r="G4934" s="4"/>
      <c r="H4934" s="4"/>
    </row>
    <row r="4935">
      <c r="D4935" s="5"/>
      <c r="E4935" s="4"/>
      <c r="F4935" s="4"/>
      <c r="G4935" s="4"/>
      <c r="H4935" s="4"/>
    </row>
    <row r="4936">
      <c r="D4936" s="5"/>
      <c r="E4936" s="4"/>
      <c r="F4936" s="4"/>
      <c r="G4936" s="4"/>
      <c r="H4936" s="4"/>
    </row>
    <row r="4937">
      <c r="D4937" s="5"/>
      <c r="E4937" s="4"/>
      <c r="F4937" s="4"/>
      <c r="G4937" s="4"/>
      <c r="H4937" s="4"/>
    </row>
    <row r="4938">
      <c r="D4938" s="5"/>
      <c r="E4938" s="4"/>
      <c r="F4938" s="4"/>
      <c r="G4938" s="4"/>
      <c r="H4938" s="4"/>
    </row>
    <row r="4939">
      <c r="D4939" s="5"/>
      <c r="E4939" s="4"/>
      <c r="F4939" s="4"/>
      <c r="G4939" s="4"/>
      <c r="H4939" s="4"/>
    </row>
    <row r="4940">
      <c r="D4940" s="5"/>
      <c r="E4940" s="4"/>
      <c r="F4940" s="4"/>
      <c r="G4940" s="4"/>
      <c r="H4940" s="4"/>
    </row>
    <row r="4941">
      <c r="D4941" s="5"/>
      <c r="E4941" s="4"/>
      <c r="F4941" s="4"/>
      <c r="G4941" s="4"/>
      <c r="H4941" s="4"/>
    </row>
    <row r="4942">
      <c r="D4942" s="5"/>
      <c r="E4942" s="4"/>
      <c r="F4942" s="4"/>
      <c r="G4942" s="4"/>
      <c r="H4942" s="4"/>
    </row>
    <row r="4943">
      <c r="D4943" s="5"/>
      <c r="E4943" s="4"/>
      <c r="F4943" s="4"/>
      <c r="G4943" s="4"/>
      <c r="H4943" s="4"/>
    </row>
    <row r="4944">
      <c r="D4944" s="5"/>
      <c r="E4944" s="4"/>
      <c r="F4944" s="4"/>
      <c r="G4944" s="4"/>
      <c r="H4944" s="4"/>
    </row>
    <row r="4945">
      <c r="D4945" s="5"/>
      <c r="E4945" s="4"/>
      <c r="F4945" s="4"/>
      <c r="G4945" s="4"/>
      <c r="H4945" s="4"/>
    </row>
    <row r="4946">
      <c r="D4946" s="5"/>
      <c r="E4946" s="4"/>
      <c r="F4946" s="4"/>
      <c r="G4946" s="4"/>
      <c r="H4946" s="4"/>
    </row>
    <row r="4947">
      <c r="D4947" s="5"/>
      <c r="E4947" s="4"/>
      <c r="F4947" s="4"/>
      <c r="G4947" s="4"/>
      <c r="H4947" s="4"/>
    </row>
    <row r="4948">
      <c r="D4948" s="5"/>
      <c r="E4948" s="4"/>
      <c r="F4948" s="4"/>
      <c r="G4948" s="4"/>
      <c r="H4948" s="4"/>
    </row>
    <row r="4949">
      <c r="D4949" s="5"/>
      <c r="E4949" s="4"/>
      <c r="F4949" s="4"/>
      <c r="G4949" s="4"/>
      <c r="H4949" s="4"/>
    </row>
    <row r="4950">
      <c r="D4950" s="5"/>
      <c r="E4950" s="4"/>
      <c r="F4950" s="4"/>
      <c r="G4950" s="4"/>
      <c r="H4950" s="4"/>
    </row>
    <row r="4951">
      <c r="D4951" s="5"/>
      <c r="E4951" s="4"/>
      <c r="F4951" s="4"/>
      <c r="G4951" s="4"/>
      <c r="H4951" s="4"/>
    </row>
    <row r="4952">
      <c r="D4952" s="5"/>
      <c r="E4952" s="4"/>
      <c r="F4952" s="4"/>
      <c r="G4952" s="4"/>
      <c r="H4952" s="4"/>
    </row>
    <row r="4953">
      <c r="D4953" s="5"/>
      <c r="E4953" s="4"/>
      <c r="F4953" s="4"/>
      <c r="G4953" s="4"/>
      <c r="H4953" s="4"/>
    </row>
    <row r="4954">
      <c r="D4954" s="5"/>
      <c r="E4954" s="4"/>
      <c r="F4954" s="4"/>
      <c r="G4954" s="4"/>
      <c r="H4954" s="4"/>
    </row>
    <row r="4955">
      <c r="D4955" s="5"/>
      <c r="E4955" s="4"/>
      <c r="F4955" s="4"/>
      <c r="G4955" s="4"/>
      <c r="H4955" s="4"/>
    </row>
    <row r="4956">
      <c r="D4956" s="5"/>
      <c r="E4956" s="4"/>
      <c r="F4956" s="4"/>
      <c r="G4956" s="4"/>
      <c r="H4956" s="4"/>
    </row>
    <row r="4957">
      <c r="D4957" s="5"/>
      <c r="E4957" s="4"/>
      <c r="F4957" s="4"/>
      <c r="G4957" s="4"/>
      <c r="H4957" s="4"/>
    </row>
    <row r="4958">
      <c r="D4958" s="5"/>
      <c r="E4958" s="4"/>
      <c r="F4958" s="4"/>
      <c r="G4958" s="4"/>
      <c r="H4958" s="4"/>
    </row>
    <row r="4959">
      <c r="D4959" s="5"/>
      <c r="E4959" s="4"/>
      <c r="F4959" s="4"/>
      <c r="G4959" s="4"/>
      <c r="H4959" s="4"/>
    </row>
    <row r="4960">
      <c r="D4960" s="5"/>
      <c r="E4960" s="4"/>
      <c r="F4960" s="4"/>
      <c r="G4960" s="4"/>
      <c r="H4960" s="4"/>
    </row>
    <row r="4961">
      <c r="D4961" s="5"/>
      <c r="E4961" s="4"/>
      <c r="F4961" s="4"/>
      <c r="G4961" s="4"/>
      <c r="H4961" s="4"/>
    </row>
    <row r="4962">
      <c r="D4962" s="5"/>
      <c r="E4962" s="4"/>
      <c r="F4962" s="4"/>
      <c r="G4962" s="4"/>
      <c r="H4962" s="4"/>
    </row>
    <row r="4963">
      <c r="D4963" s="5"/>
      <c r="E4963" s="4"/>
      <c r="F4963" s="4"/>
      <c r="G4963" s="4"/>
      <c r="H4963" s="4"/>
    </row>
    <row r="4964">
      <c r="D4964" s="5"/>
      <c r="E4964" s="4"/>
      <c r="F4964" s="4"/>
      <c r="G4964" s="4"/>
      <c r="H4964" s="4"/>
    </row>
    <row r="4965">
      <c r="D4965" s="5"/>
      <c r="E4965" s="4"/>
      <c r="F4965" s="4"/>
      <c r="G4965" s="4"/>
      <c r="H4965" s="4"/>
    </row>
    <row r="4966">
      <c r="D4966" s="5"/>
      <c r="E4966" s="4"/>
      <c r="F4966" s="4"/>
      <c r="G4966" s="4"/>
      <c r="H4966" s="4"/>
    </row>
    <row r="4967">
      <c r="D4967" s="5"/>
      <c r="E4967" s="4"/>
      <c r="F4967" s="4"/>
      <c r="G4967" s="4"/>
      <c r="H4967" s="4"/>
    </row>
    <row r="4968">
      <c r="D4968" s="5"/>
      <c r="E4968" s="4"/>
      <c r="F4968" s="4"/>
      <c r="G4968" s="4"/>
      <c r="H4968" s="4"/>
    </row>
    <row r="4969">
      <c r="D4969" s="5"/>
      <c r="E4969" s="4"/>
      <c r="F4969" s="4"/>
      <c r="G4969" s="4"/>
      <c r="H4969" s="4"/>
    </row>
    <row r="4970">
      <c r="D4970" s="5"/>
      <c r="E4970" s="4"/>
      <c r="F4970" s="4"/>
      <c r="G4970" s="4"/>
      <c r="H4970" s="4"/>
    </row>
    <row r="4971">
      <c r="D4971" s="5"/>
      <c r="E4971" s="4"/>
      <c r="F4971" s="4"/>
      <c r="G4971" s="4"/>
      <c r="H4971" s="4"/>
    </row>
    <row r="4972">
      <c r="D4972" s="5"/>
      <c r="E4972" s="4"/>
      <c r="F4972" s="4"/>
      <c r="G4972" s="4"/>
      <c r="H4972" s="4"/>
    </row>
    <row r="4973">
      <c r="D4973" s="5"/>
      <c r="E4973" s="4"/>
      <c r="F4973" s="4"/>
      <c r="G4973" s="4"/>
      <c r="H4973" s="4"/>
    </row>
    <row r="4974">
      <c r="D4974" s="5"/>
      <c r="E4974" s="4"/>
      <c r="F4974" s="4"/>
      <c r="G4974" s="4"/>
      <c r="H4974" s="4"/>
    </row>
    <row r="4975">
      <c r="D4975" s="5"/>
      <c r="E4975" s="4"/>
      <c r="F4975" s="4"/>
      <c r="G4975" s="4"/>
      <c r="H4975" s="4"/>
    </row>
    <row r="4976">
      <c r="D4976" s="5"/>
      <c r="E4976" s="4"/>
      <c r="F4976" s="4"/>
      <c r="G4976" s="4"/>
      <c r="H4976" s="4"/>
    </row>
    <row r="4977">
      <c r="D4977" s="5"/>
      <c r="E4977" s="4"/>
      <c r="F4977" s="4"/>
      <c r="G4977" s="4"/>
      <c r="H4977" s="4"/>
    </row>
    <row r="4978">
      <c r="D4978" s="5"/>
      <c r="E4978" s="4"/>
      <c r="F4978" s="4"/>
      <c r="G4978" s="4"/>
      <c r="H4978" s="4"/>
    </row>
    <row r="4979">
      <c r="D4979" s="5"/>
      <c r="E4979" s="4"/>
      <c r="F4979" s="4"/>
      <c r="G4979" s="4"/>
      <c r="H4979" s="4"/>
    </row>
    <row r="4980">
      <c r="D4980" s="5"/>
      <c r="E4980" s="4"/>
      <c r="F4980" s="4"/>
      <c r="G4980" s="4"/>
      <c r="H4980" s="4"/>
    </row>
    <row r="4981">
      <c r="D4981" s="5"/>
      <c r="E4981" s="4"/>
      <c r="F4981" s="4"/>
      <c r="G4981" s="4"/>
      <c r="H4981" s="4"/>
    </row>
    <row r="4982">
      <c r="D4982" s="5"/>
      <c r="E4982" s="4"/>
      <c r="F4982" s="4"/>
      <c r="G4982" s="4"/>
      <c r="H4982" s="4"/>
    </row>
    <row r="4983">
      <c r="D4983" s="5"/>
      <c r="E4983" s="4"/>
      <c r="F4983" s="4"/>
      <c r="G4983" s="4"/>
      <c r="H4983" s="4"/>
    </row>
    <row r="4984">
      <c r="D4984" s="5"/>
      <c r="E4984" s="4"/>
      <c r="F4984" s="4"/>
      <c r="G4984" s="4"/>
      <c r="H4984" s="4"/>
    </row>
    <row r="4985">
      <c r="D4985" s="5"/>
      <c r="E4985" s="4"/>
      <c r="F4985" s="4"/>
      <c r="G4985" s="4"/>
      <c r="H4985" s="4"/>
    </row>
    <row r="4986">
      <c r="D4986" s="5"/>
      <c r="E4986" s="4"/>
      <c r="F4986" s="4"/>
      <c r="G4986" s="4"/>
      <c r="H4986" s="4"/>
    </row>
    <row r="4987">
      <c r="D4987" s="5"/>
      <c r="E4987" s="4"/>
      <c r="F4987" s="4"/>
      <c r="G4987" s="4"/>
      <c r="H4987" s="4"/>
    </row>
    <row r="4988">
      <c r="D4988" s="5"/>
      <c r="E4988" s="4"/>
      <c r="F4988" s="4"/>
      <c r="G4988" s="4"/>
      <c r="H4988" s="4"/>
    </row>
    <row r="4989">
      <c r="D4989" s="5"/>
      <c r="E4989" s="4"/>
      <c r="F4989" s="4"/>
      <c r="G4989" s="4"/>
      <c r="H4989" s="4"/>
    </row>
    <row r="4990">
      <c r="D4990" s="5"/>
      <c r="E4990" s="4"/>
      <c r="F4990" s="4"/>
      <c r="G4990" s="4"/>
      <c r="H4990" s="4"/>
    </row>
    <row r="4991">
      <c r="D4991" s="5"/>
      <c r="E4991" s="4"/>
      <c r="F4991" s="4"/>
      <c r="G4991" s="4"/>
      <c r="H4991" s="4"/>
    </row>
    <row r="4992">
      <c r="D4992" s="5"/>
      <c r="E4992" s="4"/>
      <c r="F4992" s="4"/>
      <c r="G4992" s="4"/>
      <c r="H4992" s="4"/>
    </row>
    <row r="4993">
      <c r="D4993" s="5"/>
      <c r="E4993" s="4"/>
      <c r="F4993" s="4"/>
      <c r="G4993" s="4"/>
      <c r="H4993" s="4"/>
    </row>
    <row r="4994">
      <c r="D4994" s="5"/>
      <c r="E4994" s="4"/>
      <c r="F4994" s="4"/>
      <c r="G4994" s="4"/>
      <c r="H4994" s="4"/>
    </row>
    <row r="4995">
      <c r="D4995" s="5"/>
      <c r="E4995" s="4"/>
      <c r="F4995" s="4"/>
      <c r="G4995" s="4"/>
      <c r="H4995" s="4"/>
    </row>
    <row r="4996">
      <c r="D4996" s="5"/>
      <c r="E4996" s="4"/>
      <c r="F4996" s="4"/>
      <c r="G4996" s="4"/>
      <c r="H4996" s="4"/>
    </row>
    <row r="4997">
      <c r="D4997" s="5"/>
      <c r="E4997" s="4"/>
      <c r="F4997" s="4"/>
      <c r="G4997" s="4"/>
      <c r="H4997" s="4"/>
    </row>
    <row r="4998">
      <c r="D4998" s="5"/>
      <c r="E4998" s="4"/>
      <c r="F4998" s="4"/>
      <c r="G4998" s="4"/>
      <c r="H4998" s="4"/>
    </row>
    <row r="4999">
      <c r="D4999" s="5"/>
      <c r="E4999" s="4"/>
      <c r="F4999" s="4"/>
      <c r="G4999" s="4"/>
      <c r="H4999" s="4"/>
    </row>
    <row r="5000">
      <c r="D5000" s="5"/>
      <c r="E5000" s="4"/>
      <c r="F5000" s="4"/>
      <c r="G5000" s="4"/>
      <c r="H5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6" width="14.43"/>
    <col customWidth="1" min="7" max="19" width="4.71"/>
    <col customWidth="1" min="20" max="26" width="7.29"/>
  </cols>
  <sheetData>
    <row r="1">
      <c r="A1" s="8" t="s">
        <v>0</v>
      </c>
      <c r="B1" s="9" t="s">
        <v>1</v>
      </c>
      <c r="C1" s="9" t="s">
        <v>2</v>
      </c>
      <c r="D1" s="9" t="s">
        <v>3</v>
      </c>
      <c r="E1" s="9" t="s">
        <v>4</v>
      </c>
      <c r="F1" s="10" t="s">
        <v>5</v>
      </c>
      <c r="G1" s="11"/>
      <c r="H1" s="12" t="s">
        <v>6</v>
      </c>
      <c r="I1" s="12" t="s">
        <v>6</v>
      </c>
      <c r="J1" s="12" t="s">
        <v>6</v>
      </c>
      <c r="K1" s="11"/>
      <c r="L1" s="11"/>
      <c r="M1" s="11"/>
      <c r="N1" s="11"/>
      <c r="O1" s="11"/>
      <c r="P1" s="11"/>
      <c r="Q1" s="11"/>
      <c r="R1" s="11"/>
      <c r="S1" s="11"/>
      <c r="T1" s="11"/>
      <c r="U1" s="11"/>
      <c r="V1" s="11"/>
      <c r="W1" s="11"/>
      <c r="X1" s="11"/>
      <c r="Y1" s="11"/>
      <c r="Z1" s="11"/>
    </row>
    <row r="2">
      <c r="A2" s="13" t="s">
        <v>7</v>
      </c>
      <c r="B2" s="14">
        <f t="array" ref="B2">sum(iserr(indirect("'"&amp;A2&amp;"'!1:3"))+0)</f>
        <v>0</v>
      </c>
      <c r="C2" s="14">
        <f t="array" ref="C2">sum(len(indirect("'"&amp;A2&amp;"'!1:3")))</f>
        <v>884</v>
      </c>
      <c r="D2" s="14">
        <f t="array" ref="D2">sum(iferror(value(indirect("'"&amp;A2&amp;"'!1:3"))))</f>
        <v>3.362</v>
      </c>
      <c r="E2" s="15">
        <f t="array" ref="E2">if(A2="","",iferror(max(row(indirect("'"&amp;A2&amp;"'!A:A")))))</f>
        <v>4221</v>
      </c>
      <c r="F2" s="15">
        <f t="array" ref="F2">if(A2="","",iferror(max(column(indirect("'"&amp;A2&amp;"'!1:1")))))</f>
        <v>38</v>
      </c>
      <c r="G2" s="16"/>
      <c r="H2" s="17">
        <v>4.4</v>
      </c>
      <c r="I2" s="18" t="s">
        <v>8</v>
      </c>
      <c r="J2" s="19"/>
      <c r="K2" s="20" t="s">
        <v>9</v>
      </c>
      <c r="L2" s="20" t="s">
        <v>10</v>
      </c>
      <c r="M2" s="20" t="s">
        <v>11</v>
      </c>
      <c r="N2" s="20" t="s">
        <v>10</v>
      </c>
      <c r="O2" s="20" t="s">
        <v>12</v>
      </c>
      <c r="P2" s="20" t="s">
        <v>10</v>
      </c>
      <c r="Q2" s="21"/>
      <c r="R2" s="22"/>
      <c r="S2" s="23"/>
      <c r="T2" s="24"/>
      <c r="U2" s="24"/>
      <c r="V2" s="24"/>
      <c r="W2" s="24"/>
      <c r="X2" s="16"/>
      <c r="Y2" s="16"/>
      <c r="Z2" s="16"/>
    </row>
    <row r="3">
      <c r="A3" s="25" t="s">
        <v>13</v>
      </c>
      <c r="B3" s="15">
        <f t="array" ref="B3">if(A3="","",sum(iserr(indirect("'"&amp;A3&amp;"'!1:100000"))+0))</f>
        <v>1</v>
      </c>
      <c r="C3" s="15" t="str">
        <f t="array" ref="C3">if(A3="","",sum(len(indirect("'"&amp;A3&amp;"'!1:100000"))))</f>
        <v>#REF!</v>
      </c>
      <c r="D3" s="15">
        <f t="array" ref="D3">if(A3="","",sum(iferror(value(indirect("'"&amp;A3&amp;"'!1:100000")))))</f>
        <v>0</v>
      </c>
      <c r="E3" s="15" t="str">
        <f t="array" ref="E3">if(A3="","",iferror(max(row(indirect("'"&amp;A3&amp;"'!A:A")))))</f>
        <v/>
      </c>
      <c r="F3" s="15" t="str">
        <f t="array" ref="F3">if(A3="","",iferror(max(column(indirect("'"&amp;A3&amp;"'!1:1")))))</f>
        <v/>
      </c>
      <c r="G3" s="16"/>
      <c r="H3" s="19"/>
      <c r="I3" s="19"/>
      <c r="J3" s="19"/>
      <c r="K3" s="26">
        <v>0.0</v>
      </c>
      <c r="L3" s="27">
        <v>500.0</v>
      </c>
      <c r="M3" s="28">
        <v>0.0</v>
      </c>
      <c r="N3" s="27">
        <v>494.0</v>
      </c>
      <c r="O3" s="29">
        <v>0.0</v>
      </c>
      <c r="P3" s="27">
        <v>608.0</v>
      </c>
      <c r="Q3" s="30"/>
      <c r="R3" s="31"/>
      <c r="S3" s="32"/>
      <c r="T3" s="24"/>
      <c r="U3" s="24"/>
      <c r="V3" s="24"/>
      <c r="W3" s="24"/>
      <c r="X3" s="16"/>
      <c r="Y3" s="16"/>
      <c r="Z3" s="16"/>
    </row>
    <row r="4">
      <c r="A4" s="25" t="s">
        <v>14</v>
      </c>
      <c r="B4" s="15">
        <f t="array" ref="B4">if(A4="","",sum(iserr(indirect("'"&amp;A4&amp;"'!1:100000"))+0))</f>
        <v>1</v>
      </c>
      <c r="C4" s="15" t="str">
        <f t="array" ref="C4">if(A4="","",sum(len(indirect("'"&amp;A4&amp;"'!1:100000"))))</f>
        <v>#REF!</v>
      </c>
      <c r="D4" s="15">
        <f t="array" ref="D4">if(A4="","",sum(iferror(value(indirect("'"&amp;A4&amp;"'!1:100000")))))</f>
        <v>0</v>
      </c>
      <c r="E4" s="15" t="str">
        <f t="array" ref="E4">if(A4="","",iferror(max(row(indirect("'"&amp;A4&amp;"'!A:A")))))</f>
        <v/>
      </c>
      <c r="F4" s="15" t="str">
        <f t="array" ref="F4">if(A4="","",iferror(max(column(indirect("'"&amp;A4&amp;"'!1:1")))))</f>
        <v/>
      </c>
      <c r="G4" s="16"/>
      <c r="H4" s="18" t="s">
        <v>15</v>
      </c>
      <c r="I4" s="17">
        <v>1431.0</v>
      </c>
      <c r="J4" s="17">
        <v>1077.0</v>
      </c>
      <c r="K4" s="26">
        <v>1.0</v>
      </c>
      <c r="L4" s="27">
        <v>324.0</v>
      </c>
      <c r="M4" s="28">
        <v>1.0</v>
      </c>
      <c r="N4" s="27">
        <v>326.0</v>
      </c>
      <c r="O4" s="29">
        <v>1.0</v>
      </c>
      <c r="P4" s="27">
        <v>52.0</v>
      </c>
      <c r="Q4" s="32"/>
      <c r="R4" s="31"/>
      <c r="S4" s="32"/>
      <c r="T4" s="24"/>
      <c r="U4" s="24"/>
      <c r="V4" s="24"/>
      <c r="W4" s="24"/>
      <c r="X4" s="16"/>
      <c r="Y4" s="16"/>
      <c r="Z4" s="16"/>
    </row>
    <row r="5">
      <c r="A5" s="25" t="s">
        <v>16</v>
      </c>
      <c r="B5" s="15">
        <f t="array" ref="B5">if(A5="","",sum(iserr(indirect("'"&amp;A5&amp;"'!1:100000"))+0))</f>
        <v>1</v>
      </c>
      <c r="C5" s="15" t="str">
        <f t="array" ref="C5">if(A5="","",sum(len(indirect("'"&amp;A5&amp;"'!1:100000"))))</f>
        <v>#REF!</v>
      </c>
      <c r="D5" s="15">
        <f t="array" ref="D5">if(A5="","",sum(iferror(value(indirect("'"&amp;A5&amp;"'!1:100000")))))</f>
        <v>0</v>
      </c>
      <c r="E5" s="15" t="str">
        <f t="array" ref="E5">if(A5="","",iferror(max(row(indirect("'"&amp;A5&amp;"'!A:A")))))</f>
        <v/>
      </c>
      <c r="F5" s="15" t="str">
        <f t="array" ref="F5">if(A5="","",iferror(max(column(indirect("'"&amp;A5&amp;"'!1:1")))))</f>
        <v/>
      </c>
      <c r="G5" s="16"/>
      <c r="H5" s="18" t="s">
        <v>17</v>
      </c>
      <c r="I5" s="17">
        <v>740.0</v>
      </c>
      <c r="J5" s="17">
        <v>1768.0</v>
      </c>
      <c r="K5" s="26">
        <v>2.0</v>
      </c>
      <c r="L5" s="27">
        <v>212.0</v>
      </c>
      <c r="M5" s="28">
        <v>2.0</v>
      </c>
      <c r="N5" s="27">
        <v>55.0</v>
      </c>
      <c r="O5" s="29">
        <v>2.0</v>
      </c>
      <c r="P5" s="27">
        <v>22.0</v>
      </c>
      <c r="Q5" s="32"/>
      <c r="R5" s="31"/>
      <c r="S5" s="32"/>
      <c r="T5" s="24"/>
      <c r="U5" s="24"/>
      <c r="V5" s="24"/>
      <c r="W5" s="24"/>
      <c r="X5" s="16"/>
      <c r="Y5" s="16"/>
      <c r="Z5" s="16"/>
    </row>
    <row r="6">
      <c r="A6" s="25" t="s">
        <v>18</v>
      </c>
      <c r="B6" s="15">
        <f t="array" ref="B6">if(A6="","",sum(iserr(indirect("'"&amp;A6&amp;"'!1:100000"))+0))</f>
        <v>1</v>
      </c>
      <c r="C6" s="15" t="str">
        <f t="array" ref="C6">if(A6="","",sum(len(indirect("'"&amp;A6&amp;"'!1:100000"))))</f>
        <v>#REF!</v>
      </c>
      <c r="D6" s="15">
        <f t="array" ref="D6">if(A6="","",sum(iferror(value(indirect("'"&amp;A6&amp;"'!1:100000")))))</f>
        <v>0</v>
      </c>
      <c r="E6" s="15" t="str">
        <f t="array" ref="E6">if(A6="","",iferror(max(row(indirect("'"&amp;A6&amp;"'!A:A")))))</f>
        <v/>
      </c>
      <c r="F6" s="15" t="str">
        <f t="array" ref="F6">if(A6="","",iferror(max(column(indirect("'"&amp;A6&amp;"'!1:1")))))</f>
        <v/>
      </c>
      <c r="G6" s="16"/>
      <c r="H6" s="18" t="s">
        <v>19</v>
      </c>
      <c r="I6" s="17">
        <v>231.0</v>
      </c>
      <c r="J6" s="17">
        <v>2277.0</v>
      </c>
      <c r="K6" s="26">
        <v>3.0</v>
      </c>
      <c r="L6" s="27">
        <v>120.0</v>
      </c>
      <c r="M6" s="28">
        <v>3.0</v>
      </c>
      <c r="N6" s="27">
        <v>9.0</v>
      </c>
      <c r="O6" s="29">
        <v>3.0</v>
      </c>
      <c r="P6" s="27">
        <v>18.0</v>
      </c>
      <c r="Q6" s="32"/>
      <c r="R6" s="31"/>
      <c r="S6" s="32"/>
      <c r="T6" s="24"/>
      <c r="U6" s="24"/>
      <c r="V6" s="24"/>
      <c r="W6" s="24"/>
      <c r="X6" s="16"/>
      <c r="Y6" s="16"/>
      <c r="Z6" s="16"/>
    </row>
    <row r="7">
      <c r="A7" s="25" t="s">
        <v>20</v>
      </c>
      <c r="B7" s="15">
        <f t="array" ref="B7">if(A7="","",sum(iserr(indirect("'"&amp;A7&amp;"'!1:100000"))+0))</f>
        <v>1</v>
      </c>
      <c r="C7" s="15" t="str">
        <f t="array" ref="C7">if(A7="","",sum(len(indirect("'"&amp;A7&amp;"'!1:100000"))))</f>
        <v>#REF!</v>
      </c>
      <c r="D7" s="15">
        <f t="array" ref="D7">if(A7="","",sum(iferror(value(indirect("'"&amp;A7&amp;"'!1:100000")))))</f>
        <v>0</v>
      </c>
      <c r="E7" s="15" t="str">
        <f t="array" ref="E7">if(A7="","",iferror(max(row(indirect("'"&amp;A7&amp;"'!A:A")))))</f>
        <v/>
      </c>
      <c r="F7" s="15" t="str">
        <f t="array" ref="F7">if(A7="","",iferror(max(column(indirect("'"&amp;A7&amp;"'!1:1")))))</f>
        <v/>
      </c>
      <c r="G7" s="16"/>
      <c r="H7" s="18" t="s">
        <v>21</v>
      </c>
      <c r="I7" s="17">
        <v>80.0</v>
      </c>
      <c r="J7" s="17">
        <v>2428.0</v>
      </c>
      <c r="K7" s="26">
        <v>4.0</v>
      </c>
      <c r="L7" s="27">
        <v>56.0</v>
      </c>
      <c r="M7" s="28">
        <v>4.0</v>
      </c>
      <c r="N7" s="27">
        <v>3.0</v>
      </c>
      <c r="O7" s="29">
        <v>4.0</v>
      </c>
      <c r="P7" s="27">
        <v>13.0</v>
      </c>
      <c r="Q7" s="32"/>
      <c r="R7" s="31"/>
      <c r="S7" s="32"/>
      <c r="T7" s="24"/>
      <c r="U7" s="24"/>
      <c r="V7" s="24"/>
      <c r="W7" s="24"/>
      <c r="X7" s="16"/>
      <c r="Y7" s="16"/>
      <c r="Z7" s="16"/>
    </row>
    <row r="8">
      <c r="A8" s="25" t="s">
        <v>22</v>
      </c>
      <c r="B8" s="15">
        <f t="array" ref="B8">if(A8="","",sum(iserr(indirect("'"&amp;A8&amp;"'!1:100000"))+0))</f>
        <v>1</v>
      </c>
      <c r="C8" s="15" t="str">
        <f t="array" ref="C8">if(A8="","",sum(len(indirect("'"&amp;A8&amp;"'!1:100000"))))</f>
        <v>#REF!</v>
      </c>
      <c r="D8" s="15">
        <f t="array" ref="D8">if(A8="","",sum(iferror(value(indirect("'"&amp;A8&amp;"'!1:100000")))))</f>
        <v>0</v>
      </c>
      <c r="E8" s="15" t="str">
        <f t="array" ref="E8">if(A8="","",iferror(max(row(indirect("'"&amp;A8&amp;"'!A:A")))))</f>
        <v/>
      </c>
      <c r="F8" s="15" t="str">
        <f t="array" ref="F8">if(A8="","",iferror(max(column(indirect("'"&amp;A8&amp;"'!1:1")))))</f>
        <v/>
      </c>
      <c r="G8" s="16"/>
      <c r="H8" s="18" t="s">
        <v>23</v>
      </c>
      <c r="I8" s="17">
        <v>26.0</v>
      </c>
      <c r="J8" s="17">
        <v>2482.0</v>
      </c>
      <c r="K8" s="26">
        <v>5.0</v>
      </c>
      <c r="L8" s="27">
        <v>32.0</v>
      </c>
      <c r="M8" s="28">
        <v>5.0</v>
      </c>
      <c r="N8" s="27">
        <v>3.0</v>
      </c>
      <c r="O8" s="29">
        <v>5.0</v>
      </c>
      <c r="P8" s="27">
        <v>5.0</v>
      </c>
      <c r="Q8" s="32"/>
      <c r="R8" s="31"/>
      <c r="S8" s="32"/>
      <c r="T8" s="24"/>
      <c r="U8" s="24"/>
      <c r="V8" s="24"/>
      <c r="W8" s="24"/>
      <c r="X8" s="16"/>
      <c r="Y8" s="16"/>
      <c r="Z8" s="16"/>
    </row>
    <row r="9">
      <c r="A9" s="25"/>
      <c r="B9" s="15" t="str">
        <f t="array" ref="B9">if(A9="","",sum(iserr(indirect("'"&amp;A9&amp;"'!1:100000"))+0))</f>
        <v/>
      </c>
      <c r="C9" s="15" t="str">
        <f t="array" ref="C9">if(A9="","",sum(len(indirect("'"&amp;A9&amp;"'!1:100000"))))</f>
        <v/>
      </c>
      <c r="D9" s="15" t="str">
        <f t="array" ref="D9">if(A9="","",sum(iferror(value(indirect("'"&amp;A9&amp;"'!1:100000")))))</f>
        <v/>
      </c>
      <c r="E9" s="15" t="str">
        <f t="array" ref="E9">if(A9="","",iferror(max(row(indirect("'"&amp;A9&amp;"'!A:A")))))</f>
        <v/>
      </c>
      <c r="F9" s="15" t="str">
        <f t="array" ref="F9">if(A9="","",iferror(max(column(indirect("'"&amp;A9&amp;"'!1:1")))))</f>
        <v/>
      </c>
      <c r="G9" s="16"/>
      <c r="H9" s="19"/>
      <c r="I9" s="17">
        <v>2508.0</v>
      </c>
      <c r="J9" s="19"/>
      <c r="K9" s="26">
        <v>6.0</v>
      </c>
      <c r="L9" s="27">
        <v>57.0</v>
      </c>
      <c r="M9" s="28">
        <v>6.0</v>
      </c>
      <c r="N9" s="27">
        <v>3.0</v>
      </c>
      <c r="O9" s="29">
        <v>6.0</v>
      </c>
      <c r="P9" s="27">
        <v>45.0</v>
      </c>
      <c r="Q9" s="30"/>
      <c r="R9" s="31"/>
      <c r="S9" s="32"/>
      <c r="T9" s="24"/>
      <c r="U9" s="24"/>
      <c r="V9" s="24"/>
      <c r="W9" s="24"/>
      <c r="X9" s="16"/>
      <c r="Y9" s="16"/>
      <c r="Z9" s="16"/>
    </row>
    <row r="10">
      <c r="A10" s="25"/>
      <c r="B10" s="15" t="str">
        <f t="array" ref="B10">if(A10="","",sum(iserr(indirect("'"&amp;A10&amp;"'!1:100000"))+0))</f>
        <v/>
      </c>
      <c r="C10" s="15" t="str">
        <f t="array" ref="C10">if(A10="","",sum(len(indirect("'"&amp;A10&amp;"'!1:100000"))))</f>
        <v/>
      </c>
      <c r="D10" s="15" t="str">
        <f t="array" ref="D10">if(A10="","",sum(iferror(value(indirect("'"&amp;A10&amp;"'!1:100000")))))</f>
        <v/>
      </c>
      <c r="E10" s="15" t="str">
        <f t="array" ref="E10">if(A10="","",iferror(max(row(indirect("'"&amp;A10&amp;"'!A:A")))))</f>
        <v/>
      </c>
      <c r="F10" s="15" t="str">
        <f t="array" ref="F10">if(A10="","",iferror(max(column(indirect("'"&amp;A10&amp;"'!1:1")))))</f>
        <v/>
      </c>
      <c r="G10" s="33"/>
      <c r="H10" s="19"/>
      <c r="I10" s="19"/>
      <c r="J10" s="19"/>
      <c r="K10" s="34"/>
      <c r="L10" s="34"/>
      <c r="M10" s="35"/>
      <c r="N10" s="35"/>
      <c r="O10" s="35"/>
      <c r="P10" s="35"/>
      <c r="Q10" s="21"/>
      <c r="R10" s="22"/>
      <c r="S10" s="36"/>
      <c r="T10" s="33"/>
      <c r="U10" s="33"/>
      <c r="V10" s="33"/>
      <c r="W10" s="33"/>
      <c r="X10" s="33"/>
      <c r="Y10" s="33"/>
      <c r="Z10" s="33"/>
    </row>
    <row r="11">
      <c r="A11" s="13"/>
      <c r="B11" s="15" t="str">
        <f t="array" ref="B11">if(A11="","",sum(iserr(indirect("'"&amp;A11&amp;"'!1:100000"))+0))</f>
        <v/>
      </c>
      <c r="C11" s="15" t="str">
        <f t="array" ref="C11">if(A11="","",sum(len(indirect("'"&amp;A11&amp;"'!1:100000"))))</f>
        <v/>
      </c>
      <c r="D11" s="15" t="str">
        <f t="array" ref="D11">if(A11="","",sum(iferror(value(indirect("'"&amp;A11&amp;"'!1:100000")))))</f>
        <v/>
      </c>
      <c r="E11" s="15" t="str">
        <f t="array" ref="E11">if(A11="","",iferror(max(row(indirect("'"&amp;A11&amp;"'!A:A")))))</f>
        <v/>
      </c>
      <c r="F11" s="15" t="str">
        <f t="array" ref="F11">if(A11="","",iferror(max(column(indirect("'"&amp;A11&amp;"'!1:1")))))</f>
        <v/>
      </c>
      <c r="G11" s="33"/>
      <c r="H11" s="19"/>
      <c r="I11" s="19"/>
      <c r="J11" s="19"/>
      <c r="K11" s="35"/>
      <c r="L11" s="35"/>
      <c r="M11" s="35"/>
      <c r="N11" s="35"/>
      <c r="O11" s="35"/>
      <c r="P11" s="35"/>
      <c r="Q11" s="21"/>
      <c r="R11" s="22"/>
      <c r="S11" s="36"/>
      <c r="T11" s="33"/>
      <c r="U11" s="33"/>
      <c r="V11" s="33"/>
      <c r="W11" s="33"/>
      <c r="X11" s="33"/>
      <c r="Y11" s="33"/>
      <c r="Z11" s="33"/>
    </row>
    <row r="12">
      <c r="A12" s="13"/>
      <c r="B12" s="15" t="str">
        <f t="array" ref="B12">if(A12="","",sum(iserr(indirect("'"&amp;A12&amp;"'!1:100000"))+0))</f>
        <v/>
      </c>
      <c r="C12" s="15" t="str">
        <f t="array" ref="C12">if(A12="","",sum(len(indirect("'"&amp;A12&amp;"'!1:100000"))))</f>
        <v/>
      </c>
      <c r="D12" s="15" t="str">
        <f t="array" ref="D12">if(A12="","",sum(iferror(value(indirect("'"&amp;A12&amp;"'!1:100000")))))</f>
        <v/>
      </c>
      <c r="E12" s="15" t="str">
        <f t="array" ref="E12">if(A12="","",iferror(max(row(indirect("'"&amp;A12&amp;"'!A:A")))))</f>
        <v/>
      </c>
      <c r="F12" s="15" t="str">
        <f t="array" ref="F12">if(A12="","",iferror(max(column(indirect("'"&amp;A12&amp;"'!1:1")))))</f>
        <v/>
      </c>
      <c r="G12" s="16"/>
      <c r="H12" s="17">
        <v>4.6</v>
      </c>
      <c r="I12" s="18" t="s">
        <v>24</v>
      </c>
      <c r="J12" s="19"/>
      <c r="K12" s="35"/>
      <c r="L12" s="35"/>
      <c r="M12" s="35"/>
      <c r="N12" s="35"/>
      <c r="O12" s="37"/>
      <c r="P12" s="37"/>
      <c r="Q12" s="21"/>
      <c r="R12" s="22"/>
      <c r="S12" s="21"/>
      <c r="T12" s="16"/>
      <c r="U12" s="16"/>
      <c r="V12" s="16"/>
      <c r="W12" s="16"/>
      <c r="X12" s="16"/>
      <c r="Y12" s="16"/>
      <c r="Z12" s="16"/>
    </row>
    <row r="13">
      <c r="A13" s="38"/>
      <c r="B13" s="15" t="str">
        <f t="array" ref="B13">if(A13="","",sum(iserr(indirect("'"&amp;A13&amp;"'!1:100000"))+0))</f>
        <v/>
      </c>
      <c r="C13" s="15" t="str">
        <f t="array" ref="C13">if(A13="","",sum(len(indirect("'"&amp;A13&amp;"'!1:100000"))))</f>
        <v/>
      </c>
      <c r="D13" s="15" t="str">
        <f t="array" ref="D13">if(A13="","",sum(iferror(value(indirect("'"&amp;A13&amp;"'!1:100000")))))</f>
        <v/>
      </c>
      <c r="E13" s="15" t="str">
        <f t="array" ref="E13">if(A13="","",iferror(max(row(indirect("'"&amp;A13&amp;"'!A:A")))))</f>
        <v/>
      </c>
      <c r="F13" s="15" t="str">
        <f t="array" ref="F13">if(A13="","",iferror(max(column(indirect("'"&amp;A13&amp;"'!1:1")))))</f>
        <v/>
      </c>
      <c r="G13" s="16"/>
      <c r="H13" s="19"/>
      <c r="I13" s="19"/>
      <c r="J13" s="19"/>
      <c r="K13" s="35"/>
      <c r="L13" s="35"/>
      <c r="M13" s="35"/>
      <c r="N13" s="35"/>
      <c r="O13" s="35"/>
      <c r="P13" s="35"/>
      <c r="Q13" s="21"/>
      <c r="R13" s="22"/>
      <c r="S13" s="21"/>
      <c r="T13" s="16"/>
      <c r="U13" s="16"/>
      <c r="V13" s="16"/>
      <c r="W13" s="16"/>
      <c r="X13" s="16"/>
      <c r="Y13" s="16"/>
      <c r="Z13" s="16"/>
    </row>
    <row r="14">
      <c r="A14" s="25" t="s">
        <v>25</v>
      </c>
      <c r="B14" s="39">
        <f t="array" ref="B14">sum(iserr(indirect("'"&amp;A14&amp;"'!G:Z"))+0)</f>
        <v>0</v>
      </c>
      <c r="C14" s="14">
        <f t="array" ref="C14">sum(len(indirect("'"&amp;A14&amp;"'!G:Z")))</f>
        <v>1229</v>
      </c>
      <c r="D14" s="14">
        <f t="array" ref="D14">sum(iferror(value(indirect("'"&amp;A14&amp;"'!G:Z"))))</f>
        <v>74936.5</v>
      </c>
      <c r="E14" s="15">
        <f t="array" ref="E14">if(A14="","",iferror(max(row(indirect("'"&amp;A14&amp;"'!A:A")))))</f>
        <v>56</v>
      </c>
      <c r="F14" s="15">
        <f t="array" ref="F14">if(A14="","",iferror(max(column(indirect("'"&amp;A14&amp;"'!1:1")))))</f>
        <v>26</v>
      </c>
      <c r="G14" s="16"/>
      <c r="H14" s="18" t="s">
        <v>15</v>
      </c>
      <c r="I14" s="17">
        <v>1745.0</v>
      </c>
      <c r="J14" s="17">
        <v>760.0</v>
      </c>
      <c r="K14" s="35"/>
      <c r="L14" s="35"/>
      <c r="M14" s="35"/>
      <c r="N14" s="35"/>
      <c r="O14" s="37"/>
      <c r="P14" s="37"/>
      <c r="Q14" s="23"/>
      <c r="R14" s="22"/>
      <c r="S14" s="23"/>
      <c r="T14" s="16"/>
      <c r="U14" s="16"/>
      <c r="V14" s="16"/>
      <c r="W14" s="16"/>
      <c r="X14" s="16"/>
      <c r="Y14" s="16"/>
      <c r="Z14" s="16"/>
    </row>
    <row r="15">
      <c r="A15" s="40" t="s">
        <v>7</v>
      </c>
      <c r="B15" s="41" t="str">
        <f>#REF!+D15</f>
        <v>#REF!</v>
      </c>
      <c r="C15" s="42" t="s">
        <v>26</v>
      </c>
      <c r="D15" s="43">
        <f>8/24</f>
        <v>0.3333333333</v>
      </c>
      <c r="E15" s="42"/>
      <c r="F15" s="42"/>
      <c r="G15" s="16"/>
      <c r="H15" s="18" t="s">
        <v>17</v>
      </c>
      <c r="I15" s="17">
        <v>579.0</v>
      </c>
      <c r="J15" s="17">
        <v>1926.0</v>
      </c>
      <c r="K15" s="35"/>
      <c r="L15" s="35"/>
      <c r="M15" s="35"/>
      <c r="N15" s="35"/>
      <c r="O15" s="37"/>
      <c r="P15" s="37"/>
      <c r="Q15" s="23"/>
      <c r="R15" s="22"/>
      <c r="S15" s="23"/>
      <c r="T15" s="16"/>
      <c r="U15" s="16"/>
      <c r="V15" s="16"/>
      <c r="W15" s="16"/>
      <c r="X15" s="16"/>
      <c r="Y15" s="16"/>
      <c r="Z15" s="16"/>
    </row>
    <row r="16">
      <c r="A16" s="42"/>
      <c r="B16" s="44"/>
      <c r="C16" s="16"/>
      <c r="D16" s="16"/>
      <c r="E16" s="42"/>
      <c r="F16" s="42"/>
      <c r="G16" s="16"/>
      <c r="H16" s="18" t="s">
        <v>19</v>
      </c>
      <c r="I16" s="17">
        <v>141.0</v>
      </c>
      <c r="J16" s="17">
        <v>2364.0</v>
      </c>
      <c r="K16" s="35"/>
      <c r="L16" s="35"/>
      <c r="M16" s="35"/>
      <c r="N16" s="35"/>
      <c r="O16" s="37"/>
      <c r="P16" s="37"/>
      <c r="Q16" s="23"/>
      <c r="R16" s="22"/>
      <c r="S16" s="23"/>
      <c r="T16" s="16"/>
      <c r="U16" s="16"/>
      <c r="V16" s="16"/>
      <c r="W16" s="16"/>
      <c r="X16" s="16"/>
      <c r="Y16" s="16"/>
      <c r="Z16" s="16"/>
    </row>
    <row r="17">
      <c r="A17" s="45"/>
      <c r="B17" s="42"/>
      <c r="C17" s="42"/>
      <c r="D17" s="42"/>
      <c r="E17" s="42"/>
      <c r="F17" s="42"/>
      <c r="G17" s="46"/>
      <c r="H17" s="18" t="s">
        <v>21</v>
      </c>
      <c r="I17" s="47">
        <v>32.0</v>
      </c>
      <c r="J17" s="47">
        <v>2473.0</v>
      </c>
      <c r="K17" s="48"/>
      <c r="L17" s="48"/>
      <c r="M17" s="48"/>
      <c r="N17" s="48"/>
      <c r="O17" s="37"/>
      <c r="P17" s="49"/>
      <c r="Q17" s="50"/>
      <c r="R17" s="22"/>
      <c r="S17" s="50"/>
      <c r="T17" s="46"/>
      <c r="U17" s="46"/>
      <c r="V17" s="46"/>
      <c r="W17" s="46"/>
      <c r="X17" s="46"/>
      <c r="Y17" s="46"/>
      <c r="Z17" s="46"/>
    </row>
    <row r="18">
      <c r="A18" s="45"/>
      <c r="B18" s="42"/>
      <c r="C18" s="42"/>
      <c r="D18" s="42"/>
      <c r="E18" s="42"/>
      <c r="F18" s="42"/>
      <c r="G18" s="46"/>
      <c r="H18" s="18" t="s">
        <v>23</v>
      </c>
      <c r="I18" s="47">
        <v>8.0</v>
      </c>
      <c r="J18" s="47">
        <v>2497.0</v>
      </c>
      <c r="K18" s="48"/>
      <c r="L18" s="48"/>
      <c r="M18" s="48"/>
      <c r="N18" s="48"/>
      <c r="O18" s="37"/>
      <c r="P18" s="49"/>
      <c r="Q18" s="50"/>
      <c r="R18" s="22"/>
      <c r="S18" s="50"/>
      <c r="T18" s="46"/>
      <c r="U18" s="46"/>
      <c r="V18" s="46"/>
      <c r="W18" s="46"/>
      <c r="X18" s="46"/>
      <c r="Y18" s="46"/>
      <c r="Z18" s="46"/>
    </row>
    <row r="19">
      <c r="A19" s="45"/>
      <c r="B19" s="42"/>
      <c r="C19" s="42"/>
      <c r="D19" s="42"/>
      <c r="E19" s="42"/>
      <c r="F19" s="42"/>
      <c r="G19" s="33"/>
      <c r="H19" s="51"/>
      <c r="I19" s="47">
        <v>2505.0</v>
      </c>
      <c r="J19" s="51"/>
      <c r="K19" s="48"/>
      <c r="L19" s="48"/>
      <c r="M19" s="48"/>
      <c r="N19" s="48"/>
      <c r="O19" s="48"/>
      <c r="P19" s="49"/>
      <c r="Q19" s="52"/>
      <c r="R19" s="22"/>
      <c r="S19" s="52"/>
      <c r="T19" s="46"/>
      <c r="U19" s="46"/>
      <c r="V19" s="46"/>
      <c r="W19" s="46"/>
      <c r="X19" s="46"/>
      <c r="Y19" s="46"/>
      <c r="Z19" s="46"/>
    </row>
    <row r="20">
      <c r="A20" s="42"/>
      <c r="B20" s="45"/>
      <c r="C20" s="45"/>
      <c r="D20" s="45"/>
      <c r="E20" s="45"/>
      <c r="F20" s="45"/>
      <c r="G20" s="33"/>
      <c r="H20" s="51"/>
      <c r="I20" s="51"/>
      <c r="J20" s="53"/>
      <c r="K20" s="54"/>
      <c r="L20" s="54"/>
      <c r="M20" s="54"/>
      <c r="N20" s="54"/>
      <c r="O20" s="54"/>
      <c r="P20" s="54"/>
      <c r="Q20" s="55"/>
      <c r="R20" s="22"/>
      <c r="S20" s="55"/>
      <c r="T20" s="46"/>
      <c r="U20" s="46"/>
      <c r="V20" s="46"/>
      <c r="W20" s="46"/>
      <c r="X20" s="46"/>
      <c r="Y20" s="46"/>
      <c r="Z20" s="46"/>
    </row>
    <row r="21">
      <c r="A21" s="45"/>
      <c r="B21" s="45"/>
      <c r="C21" s="45"/>
      <c r="D21" s="45"/>
      <c r="E21" s="45"/>
      <c r="F21" s="45"/>
      <c r="G21" s="56"/>
      <c r="H21" s="57"/>
      <c r="I21" s="57"/>
      <c r="J21" s="57"/>
      <c r="K21" s="58"/>
      <c r="L21" s="58"/>
      <c r="M21" s="58"/>
      <c r="N21" s="58"/>
      <c r="O21" s="58"/>
      <c r="P21" s="58"/>
      <c r="Q21" s="59"/>
      <c r="R21" s="60"/>
      <c r="S21" s="61"/>
      <c r="T21" s="56"/>
      <c r="U21" s="56"/>
      <c r="V21" s="56"/>
      <c r="W21" s="56"/>
      <c r="X21" s="56"/>
      <c r="Y21" s="56"/>
      <c r="Z21" s="56"/>
    </row>
    <row r="22">
      <c r="A22" s="45"/>
      <c r="B22" s="62" t="s">
        <v>27</v>
      </c>
      <c r="C22" s="63" t="s">
        <v>28</v>
      </c>
      <c r="D22" s="45"/>
      <c r="E22" s="45"/>
      <c r="F22" s="45"/>
      <c r="G22" s="64"/>
      <c r="H22" s="47">
        <v>4.3</v>
      </c>
      <c r="I22" s="18" t="s">
        <v>29</v>
      </c>
      <c r="J22" s="51"/>
      <c r="K22" s="48"/>
      <c r="L22" s="48"/>
      <c r="M22" s="48"/>
      <c r="N22" s="48"/>
      <c r="O22" s="49"/>
      <c r="P22" s="37"/>
      <c r="Q22" s="52"/>
      <c r="R22" s="22"/>
      <c r="S22" s="65"/>
      <c r="T22" s="64"/>
      <c r="U22" s="64"/>
      <c r="V22" s="64"/>
      <c r="W22" s="64"/>
      <c r="X22" s="64"/>
      <c r="Y22" s="64"/>
      <c r="Z22" s="64"/>
    </row>
    <row r="23">
      <c r="A23" s="45"/>
      <c r="B23" s="62" t="s">
        <v>30</v>
      </c>
      <c r="C23" s="62" t="s">
        <v>31</v>
      </c>
      <c r="D23" s="45"/>
      <c r="E23" s="45"/>
      <c r="F23" s="45"/>
      <c r="G23" s="66"/>
      <c r="H23" s="51"/>
      <c r="I23" s="51"/>
      <c r="J23" s="51"/>
      <c r="K23" s="48"/>
      <c r="L23" s="48"/>
      <c r="M23" s="48"/>
      <c r="N23" s="48"/>
      <c r="O23" s="48"/>
      <c r="P23" s="48"/>
      <c r="Q23" s="52"/>
      <c r="R23" s="22"/>
      <c r="S23" s="65"/>
      <c r="T23" s="66"/>
      <c r="U23" s="66"/>
      <c r="V23" s="66"/>
      <c r="W23" s="66"/>
      <c r="X23" s="66"/>
      <c r="Y23" s="66"/>
      <c r="Z23" s="66"/>
    </row>
    <row r="24">
      <c r="A24" s="45"/>
      <c r="B24" s="62" t="s">
        <v>32</v>
      </c>
      <c r="C24" s="62" t="s">
        <v>33</v>
      </c>
      <c r="D24" s="45"/>
      <c r="E24" s="45"/>
      <c r="F24" s="45"/>
      <c r="G24" s="66"/>
      <c r="H24" s="18" t="s">
        <v>15</v>
      </c>
      <c r="I24" s="47">
        <v>1374.0</v>
      </c>
      <c r="J24" s="47">
        <v>1129.0</v>
      </c>
      <c r="K24" s="48"/>
      <c r="L24" s="48"/>
      <c r="M24" s="48"/>
      <c r="N24" s="48"/>
      <c r="O24" s="37"/>
      <c r="P24" s="49"/>
      <c r="Q24" s="50"/>
      <c r="R24" s="22"/>
      <c r="S24" s="50"/>
      <c r="T24" s="66"/>
      <c r="U24" s="66"/>
      <c r="V24" s="66"/>
      <c r="W24" s="66"/>
      <c r="X24" s="66"/>
      <c r="Y24" s="66"/>
      <c r="Z24" s="66"/>
    </row>
    <row r="25">
      <c r="A25" s="45"/>
      <c r="B25" s="62" t="s">
        <v>34</v>
      </c>
      <c r="C25" s="62" t="s">
        <v>35</v>
      </c>
      <c r="D25" s="45"/>
      <c r="E25" s="45"/>
      <c r="F25" s="45"/>
      <c r="G25" s="66"/>
      <c r="H25" s="18" t="s">
        <v>17</v>
      </c>
      <c r="I25" s="47">
        <v>724.0</v>
      </c>
      <c r="J25" s="47">
        <v>1779.0</v>
      </c>
      <c r="K25" s="48"/>
      <c r="L25" s="48"/>
      <c r="M25" s="48"/>
      <c r="N25" s="48"/>
      <c r="O25" s="37"/>
      <c r="P25" s="49"/>
      <c r="Q25" s="50"/>
      <c r="R25" s="22"/>
      <c r="S25" s="52"/>
      <c r="T25" s="66"/>
      <c r="U25" s="66"/>
      <c r="V25" s="66"/>
      <c r="W25" s="66"/>
      <c r="X25" s="66"/>
      <c r="Y25" s="66"/>
      <c r="Z25" s="66"/>
    </row>
    <row r="26">
      <c r="A26" s="45"/>
      <c r="B26" s="62" t="s">
        <v>36</v>
      </c>
      <c r="C26" s="62" t="s">
        <v>37</v>
      </c>
      <c r="D26" s="45"/>
      <c r="E26" s="45"/>
      <c r="F26" s="45"/>
      <c r="G26" s="66"/>
      <c r="H26" s="18" t="s">
        <v>19</v>
      </c>
      <c r="I26" s="47">
        <v>239.0</v>
      </c>
      <c r="J26" s="47">
        <v>2264.0</v>
      </c>
      <c r="K26" s="48"/>
      <c r="L26" s="48"/>
      <c r="M26" s="48"/>
      <c r="N26" s="48"/>
      <c r="O26" s="37"/>
      <c r="P26" s="49"/>
      <c r="Q26" s="50"/>
      <c r="R26" s="22"/>
      <c r="S26" s="50"/>
      <c r="T26" s="66"/>
      <c r="U26" s="66"/>
      <c r="V26" s="66"/>
      <c r="W26" s="66"/>
      <c r="X26" s="66"/>
      <c r="Y26" s="66"/>
      <c r="Z26" s="66"/>
    </row>
    <row r="27">
      <c r="A27" s="45"/>
      <c r="B27" s="62" t="s">
        <v>38</v>
      </c>
      <c r="C27" s="62" t="s">
        <v>39</v>
      </c>
      <c r="D27" s="45"/>
      <c r="E27" s="45"/>
      <c r="F27" s="45"/>
      <c r="G27" s="66"/>
      <c r="H27" s="18" t="s">
        <v>21</v>
      </c>
      <c r="I27" s="47">
        <v>119.0</v>
      </c>
      <c r="J27" s="47">
        <v>2384.0</v>
      </c>
      <c r="K27" s="48"/>
      <c r="L27" s="48"/>
      <c r="M27" s="48"/>
      <c r="N27" s="48"/>
      <c r="O27" s="37"/>
      <c r="P27" s="49"/>
      <c r="Q27" s="50"/>
      <c r="R27" s="22"/>
      <c r="S27" s="52"/>
      <c r="T27" s="66"/>
      <c r="U27" s="66"/>
      <c r="V27" s="66"/>
      <c r="W27" s="66"/>
      <c r="X27" s="66"/>
      <c r="Y27" s="66"/>
      <c r="Z27" s="66"/>
    </row>
    <row r="28">
      <c r="A28" s="45"/>
      <c r="B28" s="67" t="s">
        <v>40</v>
      </c>
      <c r="C28" s="67" t="s">
        <v>41</v>
      </c>
      <c r="D28" s="45"/>
      <c r="E28" s="45"/>
      <c r="F28" s="45"/>
      <c r="G28" s="64"/>
      <c r="H28" s="18" t="s">
        <v>23</v>
      </c>
      <c r="I28" s="47">
        <v>47.0</v>
      </c>
      <c r="J28" s="47">
        <v>2456.0</v>
      </c>
      <c r="K28" s="48"/>
      <c r="L28" s="48"/>
      <c r="M28" s="48"/>
      <c r="N28" s="48"/>
      <c r="O28" s="37"/>
      <c r="P28" s="49"/>
      <c r="Q28" s="50"/>
      <c r="R28" s="22"/>
      <c r="S28" s="50"/>
      <c r="T28" s="64"/>
      <c r="U28" s="64"/>
      <c r="V28" s="64"/>
      <c r="W28" s="64"/>
      <c r="X28" s="64"/>
      <c r="Y28" s="64"/>
      <c r="Z28" s="64"/>
    </row>
    <row r="29">
      <c r="A29" s="45"/>
      <c r="B29" s="68"/>
      <c r="C29" s="68"/>
      <c r="D29" s="45"/>
      <c r="E29" s="45"/>
      <c r="F29" s="45"/>
      <c r="G29" s="64"/>
      <c r="H29" s="51"/>
      <c r="I29" s="47">
        <v>2503.0</v>
      </c>
      <c r="J29" s="51"/>
      <c r="K29" s="48"/>
      <c r="L29" s="48"/>
      <c r="M29" s="48"/>
      <c r="N29" s="48"/>
      <c r="O29" s="48"/>
      <c r="P29" s="49"/>
      <c r="Q29" s="52"/>
      <c r="R29" s="22"/>
      <c r="S29" s="50"/>
      <c r="T29" s="64"/>
      <c r="U29" s="64"/>
      <c r="V29" s="64"/>
      <c r="W29" s="64"/>
      <c r="X29" s="64"/>
      <c r="Y29" s="64"/>
      <c r="Z29" s="64"/>
    </row>
    <row r="30">
      <c r="A30" s="45"/>
      <c r="B30" s="69"/>
      <c r="C30" s="62"/>
      <c r="D30" s="45"/>
      <c r="E30" s="45"/>
      <c r="F30" s="45"/>
      <c r="G30" s="64"/>
      <c r="H30" s="51"/>
      <c r="I30" s="51"/>
      <c r="J30" s="51"/>
      <c r="K30" s="48"/>
      <c r="L30" s="48"/>
      <c r="M30" s="48"/>
      <c r="N30" s="48"/>
      <c r="O30" s="48"/>
      <c r="P30" s="48"/>
      <c r="Q30" s="52"/>
      <c r="R30" s="22"/>
      <c r="S30" s="65"/>
      <c r="T30" s="64"/>
      <c r="U30" s="64"/>
      <c r="V30" s="64"/>
      <c r="W30" s="64"/>
      <c r="X30" s="64"/>
      <c r="Y30" s="64"/>
      <c r="Z30" s="64"/>
    </row>
    <row r="31">
      <c r="A31" s="70"/>
      <c r="B31" s="70"/>
      <c r="C31" s="70"/>
      <c r="D31" s="70"/>
      <c r="E31" s="45"/>
      <c r="F31" s="45"/>
      <c r="G31" s="64"/>
      <c r="H31" s="51"/>
      <c r="I31" s="51"/>
      <c r="J31" s="51"/>
      <c r="K31" s="48"/>
      <c r="L31" s="48"/>
      <c r="M31" s="48"/>
      <c r="N31" s="48"/>
      <c r="O31" s="48"/>
      <c r="P31" s="48"/>
      <c r="Q31" s="52"/>
      <c r="R31" s="22"/>
      <c r="S31" s="65"/>
      <c r="T31" s="64"/>
      <c r="U31" s="64"/>
      <c r="V31" s="64"/>
      <c r="W31" s="64"/>
      <c r="X31" s="64"/>
      <c r="Y31" s="64"/>
      <c r="Z31" s="64"/>
    </row>
    <row r="32">
      <c r="A32" s="70"/>
      <c r="B32" s="70"/>
      <c r="C32" s="70"/>
      <c r="D32" s="70"/>
      <c r="E32" s="45"/>
      <c r="F32" s="45"/>
      <c r="G32" s="64"/>
      <c r="H32" s="47">
        <v>3.3</v>
      </c>
      <c r="I32" s="18" t="s">
        <v>42</v>
      </c>
      <c r="J32" s="51"/>
      <c r="K32" s="48"/>
      <c r="L32" s="48"/>
      <c r="M32" s="48"/>
      <c r="N32" s="48"/>
      <c r="O32" s="49"/>
      <c r="P32" s="37"/>
      <c r="Q32" s="52"/>
      <c r="R32" s="22"/>
      <c r="S32" s="52"/>
      <c r="T32" s="64"/>
      <c r="U32" s="64"/>
      <c r="V32" s="64"/>
      <c r="W32" s="64"/>
      <c r="X32" s="64"/>
      <c r="Y32" s="64"/>
      <c r="Z32" s="64"/>
    </row>
    <row r="33">
      <c r="A33" s="70"/>
      <c r="B33" s="70"/>
      <c r="C33" s="70"/>
      <c r="D33" s="70"/>
      <c r="E33" s="45"/>
      <c r="F33" s="45"/>
      <c r="G33" s="64"/>
      <c r="H33" s="51"/>
      <c r="I33" s="51"/>
      <c r="J33" s="51"/>
      <c r="K33" s="48"/>
      <c r="L33" s="48"/>
      <c r="M33" s="48"/>
      <c r="N33" s="48"/>
      <c r="O33" s="48"/>
      <c r="P33" s="48"/>
      <c r="Q33" s="52"/>
      <c r="R33" s="22"/>
      <c r="S33" s="65"/>
      <c r="T33" s="64"/>
      <c r="U33" s="64"/>
      <c r="V33" s="64"/>
      <c r="W33" s="64"/>
      <c r="X33" s="64"/>
      <c r="Y33" s="64"/>
      <c r="Z33" s="64"/>
    </row>
    <row r="34">
      <c r="A34" s="70"/>
      <c r="B34" s="70"/>
      <c r="C34" s="70"/>
      <c r="D34" s="70"/>
      <c r="E34" s="45"/>
      <c r="F34" s="45"/>
      <c r="G34" s="64"/>
      <c r="H34" s="18" t="s">
        <v>15</v>
      </c>
      <c r="I34" s="47">
        <v>653.0</v>
      </c>
      <c r="J34" s="47">
        <v>1802.0</v>
      </c>
      <c r="K34" s="48"/>
      <c r="L34" s="48"/>
      <c r="M34" s="48"/>
      <c r="N34" s="48"/>
      <c r="O34" s="37"/>
      <c r="P34" s="49"/>
      <c r="Q34" s="50"/>
      <c r="R34" s="22"/>
      <c r="S34" s="65"/>
      <c r="T34" s="64"/>
      <c r="U34" s="64"/>
      <c r="V34" s="64"/>
      <c r="W34" s="64"/>
      <c r="X34" s="64"/>
      <c r="Y34" s="64"/>
      <c r="Z34" s="64"/>
    </row>
    <row r="35">
      <c r="A35" s="70"/>
      <c r="B35" s="70"/>
      <c r="C35" s="70"/>
      <c r="D35" s="70"/>
      <c r="E35" s="45"/>
      <c r="F35" s="45"/>
      <c r="G35" s="64"/>
      <c r="H35" s="18" t="s">
        <v>17</v>
      </c>
      <c r="I35" s="47">
        <v>488.0</v>
      </c>
      <c r="J35" s="47">
        <v>1967.0</v>
      </c>
      <c r="K35" s="48"/>
      <c r="L35" s="48"/>
      <c r="M35" s="48"/>
      <c r="N35" s="48"/>
      <c r="O35" s="37"/>
      <c r="P35" s="49"/>
      <c r="Q35" s="50"/>
      <c r="R35" s="22"/>
      <c r="S35" s="52"/>
      <c r="T35" s="64"/>
      <c r="U35" s="64"/>
      <c r="V35" s="64"/>
      <c r="W35" s="64"/>
      <c r="X35" s="64"/>
      <c r="Y35" s="64"/>
      <c r="Z35" s="64"/>
    </row>
    <row r="36">
      <c r="A36" s="70"/>
      <c r="B36" s="70"/>
      <c r="C36" s="70"/>
      <c r="D36" s="70"/>
      <c r="E36" s="45"/>
      <c r="F36" s="45"/>
      <c r="G36" s="64"/>
      <c r="H36" s="18" t="s">
        <v>19</v>
      </c>
      <c r="I36" s="47">
        <v>511.0</v>
      </c>
      <c r="J36" s="47">
        <v>1944.0</v>
      </c>
      <c r="K36" s="48"/>
      <c r="L36" s="48"/>
      <c r="M36" s="48"/>
      <c r="N36" s="48"/>
      <c r="O36" s="37"/>
      <c r="P36" s="49"/>
      <c r="Q36" s="50"/>
      <c r="R36" s="22"/>
      <c r="S36" s="65"/>
      <c r="T36" s="64"/>
      <c r="U36" s="64"/>
      <c r="V36" s="64"/>
      <c r="W36" s="64"/>
      <c r="X36" s="64"/>
      <c r="Y36" s="64"/>
      <c r="Z36" s="64"/>
    </row>
    <row r="37">
      <c r="A37" s="70"/>
      <c r="B37" s="70"/>
      <c r="C37" s="70"/>
      <c r="D37" s="70"/>
      <c r="E37" s="45"/>
      <c r="F37" s="45"/>
      <c r="G37" s="64"/>
      <c r="H37" s="18" t="s">
        <v>21</v>
      </c>
      <c r="I37" s="47">
        <v>455.0</v>
      </c>
      <c r="J37" s="47">
        <v>2000.0</v>
      </c>
      <c r="K37" s="48"/>
      <c r="L37" s="48"/>
      <c r="M37" s="48"/>
      <c r="N37" s="48"/>
      <c r="O37" s="37"/>
      <c r="P37" s="49"/>
      <c r="Q37" s="50"/>
      <c r="R37" s="22"/>
      <c r="S37" s="65"/>
      <c r="T37" s="64"/>
      <c r="U37" s="64"/>
      <c r="V37" s="64"/>
      <c r="W37" s="64"/>
      <c r="X37" s="64"/>
      <c r="Y37" s="64"/>
      <c r="Z37" s="64"/>
    </row>
    <row r="38">
      <c r="A38" s="70"/>
      <c r="B38" s="70"/>
      <c r="C38" s="70"/>
      <c r="D38" s="70"/>
      <c r="E38" s="45"/>
      <c r="F38" s="45"/>
      <c r="G38" s="64"/>
      <c r="H38" s="18" t="s">
        <v>23</v>
      </c>
      <c r="I38" s="47">
        <v>348.0</v>
      </c>
      <c r="J38" s="47">
        <v>2107.0</v>
      </c>
      <c r="K38" s="48"/>
      <c r="L38" s="48"/>
      <c r="M38" s="48"/>
      <c r="N38" s="48"/>
      <c r="O38" s="37"/>
      <c r="P38" s="49"/>
      <c r="Q38" s="50"/>
      <c r="R38" s="22"/>
      <c r="S38" s="65"/>
      <c r="T38" s="64"/>
      <c r="U38" s="64"/>
      <c r="V38" s="64"/>
      <c r="W38" s="64"/>
      <c r="X38" s="64"/>
      <c r="Y38" s="64"/>
      <c r="Z38" s="64"/>
    </row>
    <row r="39">
      <c r="A39" s="70"/>
      <c r="B39" s="70"/>
      <c r="C39" s="70"/>
      <c r="D39" s="70"/>
      <c r="E39" s="45"/>
      <c r="F39" s="45"/>
      <c r="G39" s="64"/>
      <c r="H39" s="51"/>
      <c r="I39" s="47">
        <v>2455.0</v>
      </c>
      <c r="J39" s="51"/>
      <c r="K39" s="48"/>
      <c r="L39" s="48"/>
      <c r="M39" s="48"/>
      <c r="N39" s="48"/>
      <c r="O39" s="48"/>
      <c r="P39" s="49"/>
      <c r="Q39" s="52"/>
      <c r="R39" s="22"/>
      <c r="S39" s="65"/>
      <c r="T39" s="64"/>
      <c r="U39" s="64"/>
      <c r="V39" s="64"/>
      <c r="W39" s="64"/>
      <c r="X39" s="64"/>
      <c r="Y39" s="64"/>
      <c r="Z39" s="64"/>
    </row>
    <row r="40">
      <c r="A40" s="70"/>
      <c r="B40" s="70"/>
      <c r="C40" s="70"/>
      <c r="D40" s="70"/>
      <c r="E40" s="45"/>
      <c r="F40" s="45"/>
      <c r="G40" s="64"/>
      <c r="H40" s="51"/>
      <c r="I40" s="51"/>
      <c r="J40" s="51"/>
      <c r="K40" s="48"/>
      <c r="L40" s="48"/>
      <c r="M40" s="48"/>
      <c r="N40" s="48"/>
      <c r="O40" s="48"/>
      <c r="P40" s="48"/>
      <c r="Q40" s="52"/>
      <c r="R40" s="22"/>
      <c r="S40" s="65"/>
      <c r="T40" s="64"/>
      <c r="U40" s="64"/>
      <c r="V40" s="64"/>
      <c r="W40" s="64"/>
      <c r="X40" s="64"/>
      <c r="Y40" s="64"/>
      <c r="Z40" s="64"/>
    </row>
    <row r="41">
      <c r="A41" s="71"/>
      <c r="B41" s="71"/>
      <c r="C41" s="71"/>
      <c r="D41" s="71"/>
      <c r="E41" s="42"/>
      <c r="F41" s="42"/>
      <c r="G41" s="64"/>
      <c r="H41" s="51"/>
      <c r="I41" s="51"/>
      <c r="J41" s="51"/>
      <c r="K41" s="48"/>
      <c r="L41" s="48"/>
      <c r="M41" s="48"/>
      <c r="N41" s="48"/>
      <c r="O41" s="48"/>
      <c r="P41" s="48"/>
      <c r="Q41" s="52"/>
      <c r="R41" s="22"/>
      <c r="S41" s="65"/>
      <c r="T41" s="64"/>
      <c r="U41" s="64"/>
      <c r="V41" s="64"/>
      <c r="W41" s="64"/>
      <c r="X41" s="64"/>
      <c r="Y41" s="64"/>
      <c r="Z41" s="64"/>
    </row>
    <row r="42">
      <c r="A42" s="70"/>
      <c r="B42" s="70"/>
      <c r="C42" s="70"/>
      <c r="D42" s="70"/>
      <c r="E42" s="72"/>
      <c r="F42" s="72"/>
      <c r="G42" s="64"/>
      <c r="H42" s="47">
        <v>3.9</v>
      </c>
      <c r="I42" s="18" t="s">
        <v>43</v>
      </c>
      <c r="J42" s="51"/>
      <c r="K42" s="48"/>
      <c r="L42" s="48"/>
      <c r="M42" s="48"/>
      <c r="N42" s="48"/>
      <c r="O42" s="49"/>
      <c r="P42" s="37"/>
      <c r="Q42" s="52"/>
      <c r="R42" s="22"/>
      <c r="S42" s="52"/>
      <c r="T42" s="64"/>
      <c r="U42" s="64"/>
      <c r="V42" s="64"/>
      <c r="W42" s="64"/>
      <c r="X42" s="64"/>
      <c r="Y42" s="64"/>
      <c r="Z42" s="64"/>
    </row>
    <row r="43">
      <c r="A43" s="70"/>
      <c r="B43" s="70"/>
      <c r="C43" s="70"/>
      <c r="D43" s="70"/>
      <c r="E43" s="72"/>
      <c r="F43" s="72"/>
      <c r="G43" s="64"/>
      <c r="H43" s="51"/>
      <c r="I43" s="51"/>
      <c r="J43" s="51"/>
      <c r="K43" s="48"/>
      <c r="L43" s="48"/>
      <c r="M43" s="48"/>
      <c r="N43" s="48"/>
      <c r="O43" s="48"/>
      <c r="P43" s="48"/>
      <c r="Q43" s="52"/>
      <c r="R43" s="22"/>
      <c r="S43" s="65"/>
      <c r="T43" s="64"/>
      <c r="U43" s="64"/>
      <c r="V43" s="64"/>
      <c r="W43" s="64"/>
      <c r="X43" s="64"/>
      <c r="Y43" s="64"/>
      <c r="Z43" s="64"/>
    </row>
    <row r="44">
      <c r="A44" s="70"/>
      <c r="B44" s="70"/>
      <c r="C44" s="70"/>
      <c r="D44" s="70"/>
      <c r="E44" s="72"/>
      <c r="F44" s="72"/>
      <c r="G44" s="64"/>
      <c r="H44" s="18" t="s">
        <v>15</v>
      </c>
      <c r="I44" s="47">
        <v>1041.0</v>
      </c>
      <c r="J44" s="47">
        <v>1474.0</v>
      </c>
      <c r="K44" s="48"/>
      <c r="L44" s="48"/>
      <c r="M44" s="48"/>
      <c r="N44" s="48"/>
      <c r="O44" s="37"/>
      <c r="P44" s="49"/>
      <c r="Q44" s="50"/>
      <c r="R44" s="22"/>
      <c r="S44" s="65"/>
      <c r="T44" s="64"/>
      <c r="U44" s="64"/>
      <c r="V44" s="64"/>
      <c r="W44" s="64"/>
      <c r="X44" s="64"/>
      <c r="Y44" s="64"/>
      <c r="Z44" s="64"/>
    </row>
    <row r="45">
      <c r="A45" s="70"/>
      <c r="B45" s="70"/>
      <c r="C45" s="70"/>
      <c r="D45" s="70"/>
      <c r="E45" s="72"/>
      <c r="F45" s="45"/>
      <c r="G45" s="64"/>
      <c r="H45" s="18" t="s">
        <v>17</v>
      </c>
      <c r="I45" s="47">
        <v>659.0</v>
      </c>
      <c r="J45" s="47">
        <v>1856.0</v>
      </c>
      <c r="K45" s="48"/>
      <c r="L45" s="48"/>
      <c r="M45" s="48"/>
      <c r="N45" s="48"/>
      <c r="O45" s="37"/>
      <c r="P45" s="49"/>
      <c r="Q45" s="50"/>
      <c r="R45" s="22"/>
      <c r="S45" s="65"/>
      <c r="T45" s="64"/>
      <c r="U45" s="64"/>
      <c r="V45" s="64"/>
      <c r="W45" s="64"/>
      <c r="X45" s="64"/>
      <c r="Y45" s="64"/>
      <c r="Z45" s="64"/>
    </row>
    <row r="46">
      <c r="A46" s="70"/>
      <c r="B46" s="70"/>
      <c r="C46" s="70"/>
      <c r="D46" s="70"/>
      <c r="E46" s="45"/>
      <c r="F46" s="45"/>
      <c r="G46" s="64"/>
      <c r="H46" s="18" t="s">
        <v>19</v>
      </c>
      <c r="I46" s="47">
        <v>447.0</v>
      </c>
      <c r="J46" s="47">
        <v>2068.0</v>
      </c>
      <c r="K46" s="48"/>
      <c r="L46" s="48"/>
      <c r="M46" s="48"/>
      <c r="N46" s="48"/>
      <c r="O46" s="37"/>
      <c r="P46" s="49"/>
      <c r="Q46" s="50"/>
      <c r="R46" s="22"/>
      <c r="S46" s="65"/>
      <c r="T46" s="64"/>
      <c r="U46" s="64"/>
      <c r="V46" s="64"/>
      <c r="W46" s="64"/>
      <c r="X46" s="64"/>
      <c r="Y46" s="64"/>
      <c r="Z46" s="64"/>
    </row>
    <row r="47">
      <c r="A47" s="70"/>
      <c r="B47" s="70"/>
      <c r="C47" s="70"/>
      <c r="D47" s="70"/>
      <c r="E47" s="45"/>
      <c r="F47" s="45"/>
      <c r="G47" s="64"/>
      <c r="H47" s="18" t="s">
        <v>21</v>
      </c>
      <c r="I47" s="47">
        <v>255.0</v>
      </c>
      <c r="J47" s="47">
        <v>2260.0</v>
      </c>
      <c r="K47" s="48"/>
      <c r="L47" s="48"/>
      <c r="M47" s="48"/>
      <c r="N47" s="48"/>
      <c r="O47" s="37"/>
      <c r="P47" s="49"/>
      <c r="Q47" s="50"/>
      <c r="R47" s="22"/>
      <c r="S47" s="65"/>
      <c r="T47" s="64"/>
      <c r="U47" s="64"/>
      <c r="V47" s="64"/>
      <c r="W47" s="64"/>
      <c r="X47" s="64"/>
      <c r="Y47" s="64"/>
      <c r="Z47" s="64"/>
    </row>
    <row r="48">
      <c r="A48" s="70"/>
      <c r="B48" s="70"/>
      <c r="C48" s="70"/>
      <c r="D48" s="70"/>
      <c r="E48" s="45"/>
      <c r="F48" s="45"/>
      <c r="G48" s="64"/>
      <c r="H48" s="18" t="s">
        <v>23</v>
      </c>
      <c r="I48" s="47">
        <v>113.0</v>
      </c>
      <c r="J48" s="47">
        <v>2402.0</v>
      </c>
      <c r="K48" s="48"/>
      <c r="L48" s="48"/>
      <c r="M48" s="48"/>
      <c r="N48" s="48"/>
      <c r="O48" s="37"/>
      <c r="P48" s="49"/>
      <c r="Q48" s="50"/>
      <c r="R48" s="22"/>
      <c r="S48" s="65"/>
      <c r="T48" s="64"/>
      <c r="U48" s="64"/>
      <c r="V48" s="64"/>
      <c r="W48" s="64"/>
      <c r="X48" s="64"/>
      <c r="Y48" s="64"/>
      <c r="Z48" s="64"/>
    </row>
    <row r="49">
      <c r="A49" s="70"/>
      <c r="B49" s="70"/>
      <c r="C49" s="70"/>
      <c r="D49" s="70"/>
      <c r="E49" s="45"/>
      <c r="F49" s="45"/>
      <c r="G49" s="64"/>
      <c r="H49" s="51"/>
      <c r="I49" s="47">
        <v>2515.0</v>
      </c>
      <c r="J49" s="51"/>
      <c r="K49" s="48"/>
      <c r="L49" s="48"/>
      <c r="M49" s="48"/>
      <c r="N49" s="48"/>
      <c r="O49" s="48"/>
      <c r="P49" s="49"/>
      <c r="Q49" s="52"/>
      <c r="R49" s="22"/>
      <c r="S49" s="52"/>
      <c r="T49" s="64"/>
      <c r="U49" s="64"/>
      <c r="V49" s="64"/>
      <c r="W49" s="64"/>
      <c r="X49" s="64"/>
      <c r="Y49" s="64"/>
      <c r="Z49" s="64"/>
    </row>
    <row r="50">
      <c r="A50" s="70"/>
      <c r="B50" s="70"/>
      <c r="C50" s="70"/>
      <c r="D50" s="70"/>
      <c r="E50" s="45"/>
      <c r="F50" s="45"/>
      <c r="G50" s="64"/>
      <c r="H50" s="51"/>
      <c r="I50" s="51"/>
      <c r="J50" s="51"/>
      <c r="K50" s="48"/>
      <c r="L50" s="48"/>
      <c r="M50" s="48"/>
      <c r="N50" s="48"/>
      <c r="O50" s="48"/>
      <c r="P50" s="48"/>
      <c r="Q50" s="52"/>
      <c r="R50" s="22"/>
      <c r="S50" s="52"/>
      <c r="T50" s="64"/>
      <c r="U50" s="64"/>
      <c r="V50" s="64"/>
      <c r="W50" s="64"/>
      <c r="X50" s="64"/>
      <c r="Y50" s="64"/>
      <c r="Z50" s="64"/>
    </row>
    <row r="51">
      <c r="A51" s="70"/>
      <c r="B51" s="70"/>
      <c r="C51" s="70"/>
      <c r="D51" s="70"/>
      <c r="E51" s="45"/>
      <c r="F51" s="45"/>
      <c r="G51" s="64"/>
      <c r="H51" s="51"/>
      <c r="I51" s="51"/>
      <c r="J51" s="51"/>
      <c r="K51" s="48"/>
      <c r="L51" s="48"/>
      <c r="M51" s="48"/>
      <c r="N51" s="48"/>
      <c r="O51" s="48"/>
      <c r="P51" s="48"/>
      <c r="Q51" s="52"/>
      <c r="R51" s="22"/>
      <c r="S51" s="65"/>
      <c r="T51" s="64"/>
      <c r="U51" s="64"/>
      <c r="V51" s="64"/>
      <c r="W51" s="64"/>
      <c r="X51" s="64"/>
      <c r="Y51" s="64"/>
      <c r="Z51" s="64"/>
    </row>
    <row r="52">
      <c r="A52" s="70"/>
      <c r="B52" s="70"/>
      <c r="C52" s="70"/>
      <c r="D52" s="70"/>
      <c r="E52" s="45"/>
      <c r="F52" s="45"/>
      <c r="G52" s="64"/>
      <c r="H52" s="51"/>
      <c r="I52" s="51"/>
      <c r="J52" s="51"/>
      <c r="K52" s="48"/>
      <c r="L52" s="48"/>
      <c r="M52" s="48"/>
      <c r="N52" s="48"/>
      <c r="O52" s="48"/>
      <c r="P52" s="48"/>
      <c r="Q52" s="52"/>
      <c r="R52" s="22"/>
      <c r="S52" s="52"/>
      <c r="T52" s="64"/>
      <c r="U52" s="64"/>
      <c r="V52" s="64"/>
      <c r="W52" s="64"/>
      <c r="X52" s="64"/>
      <c r="Y52" s="64"/>
      <c r="Z52" s="64"/>
    </row>
    <row r="53">
      <c r="A53" s="70"/>
      <c r="B53" s="70"/>
      <c r="C53" s="70"/>
      <c r="D53" s="70"/>
      <c r="E53" s="45"/>
      <c r="F53" s="45"/>
      <c r="G53" s="64"/>
      <c r="H53" s="64"/>
      <c r="I53" s="64"/>
      <c r="J53" s="64"/>
      <c r="K53" s="64"/>
      <c r="L53" s="64"/>
      <c r="M53" s="64"/>
      <c r="N53" s="64"/>
      <c r="O53" s="64"/>
      <c r="P53" s="64"/>
      <c r="Q53" s="64"/>
      <c r="R53" s="64"/>
      <c r="S53" s="64"/>
      <c r="T53" s="64"/>
      <c r="U53" s="64"/>
      <c r="V53" s="64"/>
      <c r="W53" s="64"/>
      <c r="X53" s="64"/>
      <c r="Y53" s="64"/>
      <c r="Z53" s="64"/>
    </row>
    <row r="54">
      <c r="A54" s="70"/>
      <c r="B54" s="70"/>
      <c r="C54" s="70"/>
      <c r="D54" s="70"/>
      <c r="E54" s="45"/>
      <c r="F54" s="45"/>
      <c r="G54" s="64"/>
      <c r="H54" s="64"/>
      <c r="I54" s="64"/>
      <c r="J54" s="64"/>
      <c r="K54" s="64"/>
      <c r="L54" s="64"/>
      <c r="M54" s="64"/>
      <c r="N54" s="64"/>
      <c r="O54" s="64"/>
      <c r="P54" s="64"/>
      <c r="Q54" s="64"/>
      <c r="R54" s="64"/>
      <c r="S54" s="64"/>
      <c r="T54" s="64"/>
      <c r="U54" s="64"/>
      <c r="V54" s="64"/>
      <c r="W54" s="64"/>
      <c r="X54" s="64"/>
      <c r="Y54" s="64"/>
      <c r="Z54" s="64"/>
    </row>
    <row r="55">
      <c r="A55" s="70"/>
      <c r="B55" s="70"/>
      <c r="C55" s="70"/>
      <c r="D55" s="70"/>
      <c r="E55" s="45"/>
      <c r="F55" s="45"/>
      <c r="G55" s="64"/>
      <c r="H55" s="64"/>
      <c r="I55" s="64"/>
      <c r="J55" s="64"/>
      <c r="K55" s="64"/>
      <c r="L55" s="64"/>
      <c r="M55" s="64"/>
      <c r="N55" s="64"/>
      <c r="O55" s="64"/>
      <c r="P55" s="64"/>
      <c r="Q55" s="64"/>
      <c r="R55" s="64"/>
      <c r="S55" s="64"/>
      <c r="T55" s="64"/>
      <c r="U55" s="64"/>
      <c r="V55" s="64"/>
      <c r="W55" s="64"/>
      <c r="X55" s="64"/>
      <c r="Y55" s="64"/>
      <c r="Z55" s="64"/>
    </row>
    <row r="56">
      <c r="A56" s="70"/>
      <c r="B56" s="70"/>
      <c r="C56" s="70"/>
      <c r="D56" s="70"/>
      <c r="E56" s="45"/>
      <c r="F56" s="45"/>
      <c r="G56" s="64"/>
      <c r="H56" s="64"/>
      <c r="I56" s="64"/>
      <c r="J56" s="64"/>
      <c r="K56" s="64"/>
      <c r="L56" s="64"/>
      <c r="M56" s="64"/>
      <c r="N56" s="64"/>
      <c r="O56" s="64"/>
      <c r="P56" s="64"/>
      <c r="Q56" s="64"/>
      <c r="R56" s="64"/>
      <c r="S56" s="64"/>
      <c r="T56" s="64"/>
      <c r="U56" s="64"/>
      <c r="V56" s="64"/>
      <c r="W56" s="64"/>
      <c r="X56" s="64"/>
      <c r="Y56" s="64"/>
      <c r="Z56" s="64"/>
    </row>
  </sheetData>
  <hyperlinks>
    <hyperlink r:id="rId1" ref="C2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pageSetUpPr fitToPage="1"/>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75"/>
  <cols>
    <col customWidth="1" min="1" max="1" width="19.0"/>
    <col customWidth="1" min="2" max="2" width="13.71"/>
    <col customWidth="1" min="3" max="3" width="12.71"/>
    <col customWidth="1" min="4" max="4" width="11.57"/>
    <col customWidth="1" min="5" max="5" width="14.29"/>
    <col customWidth="1" min="6" max="8" width="16.71"/>
    <col customWidth="1" min="9" max="9" width="17.71"/>
    <col customWidth="1" min="10" max="10" width="16.71"/>
    <col customWidth="1" min="11" max="13" width="15.14"/>
    <col customWidth="1" min="14" max="14" width="17.14"/>
    <col customWidth="1" min="15" max="15" width="20.86"/>
    <col customWidth="1" min="16" max="16" width="14.43"/>
    <col customWidth="1" min="17" max="17" width="14.57"/>
    <col customWidth="1" min="18" max="18" width="19.57"/>
    <col customWidth="1" min="19" max="19" width="21.86"/>
    <col customWidth="1" min="20" max="20" width="23.57"/>
    <col customWidth="1" min="21" max="21" width="23.86"/>
    <col customWidth="1" min="22" max="22" width="26.29"/>
    <col customWidth="1" min="23" max="23" width="50.14"/>
    <col customWidth="1" min="24" max="25" width="19.43"/>
    <col customWidth="1" min="26" max="26" width="21.57"/>
    <col customWidth="1" min="27" max="28" width="19.43"/>
    <col customWidth="1" min="29" max="29" width="21.57"/>
    <col customWidth="1" min="30" max="30" width="28.14"/>
    <col customWidth="1" min="31" max="31" width="25.57"/>
    <col customWidth="1" min="32" max="32" width="29.71"/>
    <col customWidth="1" min="33" max="33" width="85.14"/>
    <col customWidth="1" min="34" max="38" width="14.43"/>
  </cols>
  <sheetData>
    <row r="1" ht="20.25" customHeight="1">
      <c r="A1" s="73" t="str">
        <f>if(subtotal(103,A4:A4221)=counta(A4:A4221),text(counta(A4:A4221),"#,###")&amp;" entries",text(subtotal(103,A4:A4221),"#,###")&amp;"/"&amp;text(counta(A4:A4221),"#,###")&amp;"="&amp;text(subtotal(103,A4:A4221)/counta(A4:A4221),"0%"))</f>
        <v>3,708 entries</v>
      </c>
      <c r="B1" s="74" t="str">
        <f>hyperlink("https://docs.google.com/forms/d/e/1FAIpQLScW5QUYZatZZRohDYhm1jGC_Ta0kJ6gJrtvg8gWSHi40TfO1g/viewform","Google Form")</f>
        <v>Google Form</v>
      </c>
      <c r="C1" s="75" t="s">
        <v>44</v>
      </c>
      <c r="D1" s="76"/>
      <c r="E1" s="77"/>
      <c r="F1" s="78">
        <f>subtotal(102,F4:F4221)/subtotal(103,$A$4:$A4221)</f>
        <v>0.902373247</v>
      </c>
      <c r="G1" s="78">
        <f>subtotal(103,G4:G4221)/subtotal(103,$A$4:$A4221)</f>
        <v>0.2470334412</v>
      </c>
      <c r="H1" s="78">
        <f>subtotal(102,H4:H4221)/subtotal(103,$A$4:$A4221)</f>
        <v>0.8330636462</v>
      </c>
      <c r="I1" s="78">
        <f>subtotal(103,I4:I4221)/subtotal(103,$A$4:$A4221)</f>
        <v>0.465210356</v>
      </c>
      <c r="J1" s="79">
        <f>subtotal(102,J4:J4221)/subtotal(103,$A$4:$A4221)</f>
        <v>0.9150485437</v>
      </c>
      <c r="K1" s="80" t="str">
        <f t="shared" ref="K1:M1" si="1">"AVG "&amp;round(subtotal(101,K4:K4221),0)&amp;" days"</f>
        <v>AVG 38 days</v>
      </c>
      <c r="L1" s="81" t="str">
        <f t="shared" si="1"/>
        <v>AVG 12 days</v>
      </c>
      <c r="M1" s="82" t="str">
        <f t="shared" si="1"/>
        <v>AVG 50 days</v>
      </c>
      <c r="N1" s="83" t="str">
        <f>HYPERLINK("https://youtu.be/vIPHFpt1EhM?t=203","Video")</f>
        <v>Video</v>
      </c>
      <c r="O1" s="84" t="s">
        <v>45</v>
      </c>
      <c r="P1" s="85"/>
      <c r="Q1" s="85"/>
      <c r="R1" s="85"/>
      <c r="S1" s="85"/>
      <c r="T1" s="86"/>
      <c r="U1" s="86"/>
      <c r="V1" s="86"/>
      <c r="W1" s="86"/>
      <c r="X1" s="87"/>
      <c r="Y1" s="87"/>
      <c r="Z1" s="88" t="s">
        <v>46</v>
      </c>
      <c r="AA1" s="87"/>
      <c r="AB1" s="89"/>
      <c r="AC1" s="90"/>
      <c r="AD1" s="91" t="s">
        <v>47</v>
      </c>
      <c r="AE1" s="92"/>
      <c r="AF1" s="93"/>
      <c r="AG1" s="86"/>
      <c r="AH1" s="94"/>
      <c r="AI1" s="94"/>
      <c r="AJ1" s="94"/>
      <c r="AK1" s="94"/>
      <c r="AL1" s="94"/>
    </row>
    <row r="2" ht="1.5" customHeight="1">
      <c r="A2" s="95"/>
      <c r="B2" s="96"/>
      <c r="C2" s="97"/>
      <c r="D2" s="98"/>
      <c r="E2" s="99"/>
      <c r="F2" s="100"/>
      <c r="G2" s="101"/>
      <c r="H2" s="102"/>
      <c r="I2" s="103"/>
      <c r="J2" s="100"/>
      <c r="K2" s="104"/>
      <c r="L2" s="104"/>
      <c r="M2" s="104"/>
      <c r="N2" s="105"/>
      <c r="O2" s="105"/>
      <c r="P2" s="106"/>
      <c r="Q2" s="107"/>
      <c r="R2" s="108"/>
      <c r="S2" s="108"/>
      <c r="T2" s="109"/>
      <c r="U2" s="109"/>
      <c r="V2" s="98"/>
      <c r="W2" s="98"/>
      <c r="X2" s="97"/>
      <c r="Y2" s="110"/>
      <c r="Z2" s="110"/>
      <c r="AA2" s="110"/>
      <c r="AB2" s="110"/>
      <c r="AC2" s="111"/>
      <c r="AD2" s="111"/>
      <c r="AE2" s="111"/>
      <c r="AF2" s="112"/>
      <c r="AG2" s="98"/>
      <c r="AH2" s="113"/>
      <c r="AI2" s="110"/>
      <c r="AJ2" s="110"/>
      <c r="AK2" s="110"/>
      <c r="AL2" s="110"/>
    </row>
    <row r="3" ht="18.75" customHeight="1">
      <c r="A3" s="114" t="str">
        <f>IFERROR(__xludf.DUMMYFUNCTION("{query({'Form responses'!$A:$AJ},""select * order by Col5 desc,Col1 asc"",1)}"),"Username")</f>
        <v>Username</v>
      </c>
      <c r="B3" s="115" t="str">
        <f>IFERROR(__xludf.DUMMYFUNCTION("""COMPUTED_VALUE"""),"City or town")</f>
        <v>City or town</v>
      </c>
      <c r="C3" s="115" t="str">
        <f>IFERROR(__xludf.DUMMYFUNCTION("""COMPUTED_VALUE"""),"State or Province")</f>
        <v>State or Province</v>
      </c>
      <c r="D3" s="115" t="str">
        <f>IFERROR(__xludf.DUMMYFUNCTION("""COMPUTED_VALUE"""),"Country")</f>
        <v>Country</v>
      </c>
      <c r="E3" s="116" t="str">
        <f>IFERROR(__xludf.DUMMYFUNCTION("""COMPUTED_VALUE"""),"Order date ▼")</f>
        <v>Order date ▼</v>
      </c>
      <c r="F3" s="116" t="str">
        <f>IFERROR(__xludf.DUMMYFUNCTION("""COMPUTED_VALUE"""),"VIN Date")</f>
        <v>VIN Date</v>
      </c>
      <c r="G3" s="117" t="str">
        <f>IFERROR(__xludf.DUMMYFUNCTION("""COMPUTED_VALUE"""),"VIN source")</f>
        <v>VIN source</v>
      </c>
      <c r="H3" s="118" t="str">
        <f>IFERROR(__xludf.DUMMYFUNCTION("""COMPUTED_VALUE"""),"VIN")</f>
        <v>VIN</v>
      </c>
      <c r="I3" s="119" t="str">
        <f>IFERROR(__xludf.DUMMYFUNCTION("""COMPUTED_VALUE"""),"Month/Year of manufacture")</f>
        <v>Month/Year of manufacture</v>
      </c>
      <c r="J3" s="116" t="str">
        <f>IFERROR(__xludf.DUMMYFUNCTION("""COMPUTED_VALUE"""),"Delivery Date")</f>
        <v>Delivery Date</v>
      </c>
      <c r="K3" s="120" t="str">
        <f>IFERROR(__xludf.DUMMYFUNCTION("""COMPUTED_VALUE"""),"Order to VIN")</f>
        <v>Order to VIN</v>
      </c>
      <c r="L3" s="120" t="str">
        <f>IFERROR(__xludf.DUMMYFUNCTION("""COMPUTED_VALUE"""),"VIN to Delivery")</f>
        <v>VIN to Delivery</v>
      </c>
      <c r="M3" s="120" t="str">
        <f>IFERROR(__xludf.DUMMYFUNCTION("""COMPUTED_VALUE"""),"Order to Delivery")</f>
        <v>Order to Delivery</v>
      </c>
      <c r="N3" s="115" t="str">
        <f>IFERROR(__xludf.DUMMYFUNCTION("""COMPUTED_VALUE"""),"Trim level")</f>
        <v>Trim level</v>
      </c>
      <c r="O3" s="115" t="str">
        <f>IFERROR(__xludf.DUMMYFUNCTION("""COMPUTED_VALUE"""),"Paint color")</f>
        <v>Paint color</v>
      </c>
      <c r="P3" s="121" t="str">
        <f>IFERROR(__xludf.DUMMYFUNCTION("""COMPUTED_VALUE"""),"Wheels")</f>
        <v>Wheels</v>
      </c>
      <c r="Q3" s="115" t="str">
        <f>IFERROR(__xludf.DUMMYFUNCTION("""COMPUTED_VALUE"""),"Interior")</f>
        <v>Interior</v>
      </c>
      <c r="R3" s="115" t="str">
        <f>IFERROR(__xludf.DUMMYFUNCTION("""COMPUTED_VALUE"""),"Autopilot")</f>
        <v>Autopilot</v>
      </c>
      <c r="S3" s="115" t="str">
        <f>IFERROR(__xludf.DUMMYFUNCTION("""COMPUTED_VALUE"""),"Purchase Method")</f>
        <v>Purchase Method</v>
      </c>
      <c r="T3" s="117" t="str">
        <f>IFERROR(__xludf.DUMMYFUNCTION("""COMPUTED_VALUE"""),"What is your current car?")</f>
        <v>What is your current car?</v>
      </c>
      <c r="U3" s="115" t="str">
        <f>IFERROR(__xludf.DUMMYFUNCTION("""COMPUTED_VALUE"""),"What do you like most about Model Y?")</f>
        <v>What do you like most about Model Y?</v>
      </c>
      <c r="V3" s="115" t="str">
        <f>IFERROR(__xludf.DUMMYFUNCTION("""COMPUTED_VALUE"""),"What do you wish Tesla would add to Model Y?")</f>
        <v>What do you wish Tesla would add to Model Y?</v>
      </c>
      <c r="W3" s="117" t="str">
        <f>IFERROR(__xludf.DUMMYFUNCTION("""COMPUTED_VALUE"""),"Any tips or advice for new buyers?")</f>
        <v>Any tips or advice for new buyers?</v>
      </c>
      <c r="X3" s="115" t="str">
        <f>IFERROR(__xludf.DUMMYFUNCTION("""COMPUTED_VALUE"""),"Panel gaps")</f>
        <v>Panel gaps</v>
      </c>
      <c r="Y3" s="122" t="str">
        <f>IFERROR(__xludf.DUMMYFUNCTION("""COMPUTED_VALUE"""),"Interior fit and finish")</f>
        <v>Interior fit and finish</v>
      </c>
      <c r="Z3" s="122" t="str">
        <f>IFERROR(__xludf.DUMMYFUNCTION("""COMPUTED_VALUE"""),"Paint and exterior surfaces")</f>
        <v>Paint and exterior surfaces</v>
      </c>
      <c r="AA3" s="122" t="str">
        <f>IFERROR(__xludf.DUMMYFUNCTION("""COMPUTED_VALUE"""),"Communication prior to delivery")</f>
        <v>Communication prior to delivery</v>
      </c>
      <c r="AB3" s="122" t="str">
        <f>IFERROR(__xludf.DUMMYFUNCTION("""COMPUTED_VALUE"""),"Delivery experience")</f>
        <v>Delivery experience</v>
      </c>
      <c r="AC3" s="115" t="str">
        <f>IFERROR(__xludf.DUMMYFUNCTION("""COMPUTED_VALUE"""),"Number of defects that needed fixing")</f>
        <v>Number of defects that needed fixing</v>
      </c>
      <c r="AD3" s="115" t="str">
        <f>IFERROR(__xludf.DUMMYFUNCTION("""COMPUTED_VALUE"""),"Number of service center or mobile service visits")</f>
        <v>Number of service center or mobile service visits</v>
      </c>
      <c r="AE3" s="115" t="str">
        <f>IFERROR(__xludf.DUMMYFUNCTION("""COMPUTED_VALUE"""),"Number of days Tesla kept the car for repairs")</f>
        <v>Number of days Tesla kept the car for repairs</v>
      </c>
      <c r="AF3" s="115" t="str">
        <f>IFERROR(__xludf.DUMMYFUNCTION("""COMPUTED_VALUE"""),"Have you refused delivery or returned the car?")</f>
        <v>Have you refused delivery or returned the car?</v>
      </c>
      <c r="AG3" s="117" t="str">
        <f>IFERROR(__xludf.DUMMYFUNCTION("""COMPUTED_VALUE"""),"Other comments")</f>
        <v>Other comments</v>
      </c>
      <c r="AH3" s="116" t="str">
        <f>IFERROR(__xludf.DUMMYFUNCTION("""COMPUTED_VALUE"""),"Last Update")</f>
        <v>Last Update</v>
      </c>
      <c r="AI3" s="123" t="str">
        <f>IFERROR(__xludf.DUMMYFUNCTION("""COMPUTED_VALUE"""),"")</f>
        <v/>
      </c>
      <c r="AJ3" s="123" t="str">
        <f>IFERROR(__xludf.DUMMYFUNCTION("""COMPUTED_VALUE"""),"")</f>
        <v/>
      </c>
      <c r="AK3" s="123"/>
      <c r="AL3" s="124"/>
    </row>
    <row r="4" ht="20.25" customHeight="1">
      <c r="A4" s="125" t="str">
        <f>IFERROR(__xludf.DUMMYFUNCTION("""COMPUTED_VALUE"""),"HYUNi")</f>
        <v>HYUNi</v>
      </c>
      <c r="B4" s="126" t="str">
        <f>IFERROR(__xludf.DUMMYFUNCTION("""COMPUTED_VALUE"""),"Santa Clara")</f>
        <v>Santa Clara</v>
      </c>
      <c r="C4" s="127" t="str">
        <f>IFERROR(__xludf.DUMMYFUNCTION("""COMPUTED_VALUE"""),"CA")</f>
        <v>CA</v>
      </c>
      <c r="D4" s="127" t="str">
        <f>IFERROR(__xludf.DUMMYFUNCTION("""COMPUTED_VALUE"""),"USA")</f>
        <v>USA</v>
      </c>
      <c r="E4" s="128">
        <f>IFERROR(__xludf.DUMMYFUNCTION("""COMPUTED_VALUE"""),44507.0)</f>
        <v>44507</v>
      </c>
      <c r="F4" s="129"/>
      <c r="G4" s="130"/>
      <c r="H4" s="131"/>
      <c r="I4" s="132"/>
      <c r="J4" s="129"/>
      <c r="K4" s="133"/>
      <c r="L4" s="133"/>
      <c r="M4" s="133"/>
      <c r="N4" s="127" t="str">
        <f>IFERROR(__xludf.DUMMYFUNCTION("""COMPUTED_VALUE"""),"Model 3 LR AWD")</f>
        <v>Model 3 LR AWD</v>
      </c>
      <c r="O4" s="127" t="str">
        <f>IFERROR(__xludf.DUMMYFUNCTION("""COMPUTED_VALUE"""),"Midnight Silver Metallic")</f>
        <v>Midnight Silver Metallic</v>
      </c>
      <c r="P4" s="134" t="str">
        <f>IFERROR(__xludf.DUMMYFUNCTION("""COMPUTED_VALUE"""),"18 inch")</f>
        <v>18 inch</v>
      </c>
      <c r="Q4" s="127" t="str">
        <f>IFERROR(__xludf.DUMMYFUNCTION("""COMPUTED_VALUE"""),"All Black")</f>
        <v>All Black</v>
      </c>
      <c r="R4" s="127" t="str">
        <f>IFERROR(__xludf.DUMMYFUNCTION("""COMPUTED_VALUE"""),"Autopilot included")</f>
        <v>Autopilot included</v>
      </c>
      <c r="S4" s="127"/>
      <c r="T4" s="135" t="str">
        <f>IFERROR(__xludf.DUMMYFUNCTION("""COMPUTED_VALUE"""),"Mini Countryman")</f>
        <v>Mini Countryman</v>
      </c>
      <c r="U4" s="135" t="str">
        <f>IFERROR(__xludf.DUMMYFUNCTION("""COMPUTED_VALUE"""),"Electric!")</f>
        <v>Electric!</v>
      </c>
      <c r="V4" s="135" t="str">
        <f>IFERROR(__xludf.DUMMYFUNCTION("""COMPUTED_VALUE"""),"Air suspension")</f>
        <v>Air suspension</v>
      </c>
      <c r="W4" s="136"/>
      <c r="X4" s="137"/>
      <c r="Y4" s="138"/>
      <c r="Z4" s="138"/>
      <c r="AA4" s="138"/>
      <c r="AB4" s="138"/>
      <c r="AC4" s="139"/>
      <c r="AD4" s="139"/>
      <c r="AE4" s="139"/>
      <c r="AF4" s="140"/>
      <c r="AG4" s="136"/>
      <c r="AH4" s="141">
        <f>IFERROR(__xludf.DUMMYFUNCTION("""COMPUTED_VALUE"""),44508.4221571875)</f>
        <v>44508.42216</v>
      </c>
      <c r="AI4" s="138"/>
      <c r="AJ4" s="138"/>
      <c r="AK4" s="138"/>
      <c r="AL4" s="142"/>
    </row>
    <row r="5" ht="20.25" customHeight="1">
      <c r="A5" s="125" t="str">
        <f>IFERROR(__xludf.DUMMYFUNCTION("""COMPUTED_VALUE"""),"brud")</f>
        <v>brud</v>
      </c>
      <c r="B5" s="127" t="str">
        <f>IFERROR(__xludf.DUMMYFUNCTION("""COMPUTED_VALUE"""),"Corpus Christi")</f>
        <v>Corpus Christi</v>
      </c>
      <c r="C5" s="127" t="str">
        <f>IFERROR(__xludf.DUMMYFUNCTION("""COMPUTED_VALUE"""),"TX")</f>
        <v>TX</v>
      </c>
      <c r="D5" s="127" t="str">
        <f>IFERROR(__xludf.DUMMYFUNCTION("""COMPUTED_VALUE"""),"USA")</f>
        <v>USA</v>
      </c>
      <c r="E5" s="128">
        <f>IFERROR(__xludf.DUMMYFUNCTION("""COMPUTED_VALUE"""),44506.0)</f>
        <v>44506</v>
      </c>
      <c r="F5" s="129"/>
      <c r="G5" s="143"/>
      <c r="H5" s="131"/>
      <c r="I5" s="144"/>
      <c r="J5" s="129"/>
      <c r="K5" s="133"/>
      <c r="L5" s="133"/>
      <c r="M5" s="133"/>
      <c r="N5" s="127" t="str">
        <f>IFERROR(__xludf.DUMMYFUNCTION("""COMPUTED_VALUE"""),"Model 3 LR AWD")</f>
        <v>Model 3 LR AWD</v>
      </c>
      <c r="O5" s="127" t="str">
        <f>IFERROR(__xludf.DUMMYFUNCTION("""COMPUTED_VALUE"""),"Midnight Silver Metallic")</f>
        <v>Midnight Silver Metallic</v>
      </c>
      <c r="P5" s="134" t="str">
        <f>IFERROR(__xludf.DUMMYFUNCTION("""COMPUTED_VALUE"""),"19 inch")</f>
        <v>19 inch</v>
      </c>
      <c r="Q5" s="127" t="str">
        <f>IFERROR(__xludf.DUMMYFUNCTION("""COMPUTED_VALUE"""),"All Black")</f>
        <v>All Black</v>
      </c>
      <c r="R5" s="127" t="str">
        <f>IFERROR(__xludf.DUMMYFUNCTION("""COMPUTED_VALUE"""),"Autopilot included")</f>
        <v>Autopilot included</v>
      </c>
      <c r="S5" s="127" t="str">
        <f>IFERROR(__xludf.DUMMYFUNCTION("""COMPUTED_VALUE"""),"Cash")</f>
        <v>Cash</v>
      </c>
      <c r="T5" s="135"/>
      <c r="U5" s="135"/>
      <c r="V5" s="135"/>
      <c r="W5" s="145"/>
      <c r="X5" s="137"/>
      <c r="Y5" s="138"/>
      <c r="Z5" s="138"/>
      <c r="AA5" s="138"/>
      <c r="AB5" s="138"/>
      <c r="AC5" s="139"/>
      <c r="AD5" s="139"/>
      <c r="AE5" s="139"/>
      <c r="AF5" s="140"/>
      <c r="AG5" s="145"/>
      <c r="AH5" s="141">
        <f>IFERROR(__xludf.DUMMYFUNCTION("""COMPUTED_VALUE"""),44506.79584547454)</f>
        <v>44506.79585</v>
      </c>
      <c r="AI5" s="138"/>
      <c r="AJ5" s="138"/>
      <c r="AK5" s="138"/>
      <c r="AL5" s="142"/>
    </row>
    <row r="6" ht="20.25" customHeight="1">
      <c r="A6" s="125" t="str">
        <f>IFERROR(__xludf.DUMMYFUNCTION("""COMPUTED_VALUE"""),"GraniteStateEV")</f>
        <v>GraniteStateEV</v>
      </c>
      <c r="B6" s="127" t="str">
        <f>IFERROR(__xludf.DUMMYFUNCTION("""COMPUTED_VALUE"""),"Auburn")</f>
        <v>Auburn</v>
      </c>
      <c r="C6" s="127" t="str">
        <f>IFERROR(__xludf.DUMMYFUNCTION("""COMPUTED_VALUE"""),"NH")</f>
        <v>NH</v>
      </c>
      <c r="D6" s="127" t="str">
        <f>IFERROR(__xludf.DUMMYFUNCTION("""COMPUTED_VALUE"""),"USA")</f>
        <v>USA</v>
      </c>
      <c r="E6" s="128">
        <f>IFERROR(__xludf.DUMMYFUNCTION("""COMPUTED_VALUE"""),44505.0)</f>
        <v>44505</v>
      </c>
      <c r="F6" s="146"/>
      <c r="G6" s="143"/>
      <c r="H6" s="147"/>
      <c r="I6" s="144"/>
      <c r="J6" s="129"/>
      <c r="K6" s="148"/>
      <c r="L6" s="133"/>
      <c r="M6" s="133"/>
      <c r="N6" s="127" t="str">
        <f>IFERROR(__xludf.DUMMYFUNCTION("""COMPUTED_VALUE"""),"Model 3 Performance")</f>
        <v>Model 3 Performance</v>
      </c>
      <c r="O6" s="127" t="str">
        <f>IFERROR(__xludf.DUMMYFUNCTION("""COMPUTED_VALUE"""),"Midnight Silver Metallic")</f>
        <v>Midnight Silver Metallic</v>
      </c>
      <c r="P6" s="134"/>
      <c r="Q6" s="127" t="str">
        <f>IFERROR(__xludf.DUMMYFUNCTION("""COMPUTED_VALUE"""),"All Black")</f>
        <v>All Black</v>
      </c>
      <c r="R6" s="127" t="str">
        <f>IFERROR(__xludf.DUMMYFUNCTION("""COMPUTED_VALUE"""),"Autopilot included")</f>
        <v>Autopilot included</v>
      </c>
      <c r="S6" s="127" t="str">
        <f>IFERROR(__xludf.DUMMYFUNCTION("""COMPUTED_VALUE"""),"Loan")</f>
        <v>Loan</v>
      </c>
      <c r="T6" s="135" t="str">
        <f>IFERROR(__xludf.DUMMYFUNCTION("""COMPUTED_VALUE"""),"Mercedes C300")</f>
        <v>Mercedes C300</v>
      </c>
      <c r="U6" s="135" t="str">
        <f>IFERROR(__xludf.DUMMYFUNCTION("""COMPUTED_VALUE"""),"Electric!")</f>
        <v>Electric!</v>
      </c>
      <c r="V6" s="135" t="str">
        <f>IFERROR(__xludf.DUMMYFUNCTION("""COMPUTED_VALUE"""),"360° Bird's eye view")</f>
        <v>360° Bird's eye view</v>
      </c>
      <c r="W6" s="136"/>
      <c r="X6" s="137"/>
      <c r="Y6" s="138"/>
      <c r="Z6" s="138"/>
      <c r="AA6" s="138"/>
      <c r="AB6" s="138"/>
      <c r="AC6" s="139"/>
      <c r="AD6" s="139"/>
      <c r="AE6" s="139"/>
      <c r="AF6" s="140"/>
      <c r="AG6" s="136"/>
      <c r="AH6" s="141">
        <f>IFERROR(__xludf.DUMMYFUNCTION("""COMPUTED_VALUE"""),44508.493680057865)</f>
        <v>44508.49368</v>
      </c>
      <c r="AI6" s="138"/>
      <c r="AJ6" s="138"/>
      <c r="AK6" s="138"/>
      <c r="AL6" s="142"/>
    </row>
    <row r="7" ht="20.25" customHeight="1">
      <c r="A7" s="125" t="str">
        <f>IFERROR(__xludf.DUMMYFUNCTION("""COMPUTED_VALUE"""),"Rao")</f>
        <v>Rao</v>
      </c>
      <c r="B7" s="149" t="str">
        <f>IFERROR(__xludf.DUMMYFUNCTION("""COMPUTED_VALUE"""),"Farmington Hills")</f>
        <v>Farmington Hills</v>
      </c>
      <c r="C7" s="127" t="str">
        <f>IFERROR(__xludf.DUMMYFUNCTION("""COMPUTED_VALUE"""),"MI")</f>
        <v>MI</v>
      </c>
      <c r="D7" s="127" t="str">
        <f>IFERROR(__xludf.DUMMYFUNCTION("""COMPUTED_VALUE"""),"USA")</f>
        <v>USA</v>
      </c>
      <c r="E7" s="128">
        <f>IFERROR(__xludf.DUMMYFUNCTION("""COMPUTED_VALUE"""),44505.0)</f>
        <v>44505</v>
      </c>
      <c r="F7" s="129"/>
      <c r="G7" s="130"/>
      <c r="H7" s="131"/>
      <c r="I7" s="144"/>
      <c r="J7" s="129"/>
      <c r="K7" s="133"/>
      <c r="L7" s="133"/>
      <c r="M7" s="133"/>
      <c r="N7" s="127" t="str">
        <f>IFERROR(__xludf.DUMMYFUNCTION("""COMPUTED_VALUE"""),"Model 3 LR AWD")</f>
        <v>Model 3 LR AWD</v>
      </c>
      <c r="O7" s="127" t="str">
        <f>IFERROR(__xludf.DUMMYFUNCTION("""COMPUTED_VALUE"""),"Pearl White Multi-Coat")</f>
        <v>Pearl White Multi-Coat</v>
      </c>
      <c r="P7" s="134" t="str">
        <f>IFERROR(__xludf.DUMMYFUNCTION("""COMPUTED_VALUE"""),"18 inch")</f>
        <v>18 inch</v>
      </c>
      <c r="Q7" s="127" t="str">
        <f>IFERROR(__xludf.DUMMYFUNCTION("""COMPUTED_VALUE"""),"All Black")</f>
        <v>All Black</v>
      </c>
      <c r="R7" s="127" t="str">
        <f>IFERROR(__xludf.DUMMYFUNCTION("""COMPUTED_VALUE"""),"Autopilot included")</f>
        <v>Autopilot included</v>
      </c>
      <c r="S7" s="127" t="str">
        <f>IFERROR(__xludf.DUMMYFUNCTION("""COMPUTED_VALUE"""),"Loan")</f>
        <v>Loan</v>
      </c>
      <c r="T7" s="135" t="str">
        <f>IFERROR(__xludf.DUMMYFUNCTION("""COMPUTED_VALUE"""),"Hyundai Sonata")</f>
        <v>Hyundai Sonata</v>
      </c>
      <c r="U7" s="135" t="str">
        <f>IFERROR(__xludf.DUMMYFUNCTION("""COMPUTED_VALUE"""),"Electric!")</f>
        <v>Electric!</v>
      </c>
      <c r="V7" s="135" t="str">
        <f>IFERROR(__xludf.DUMMYFUNCTION("""COMPUTED_VALUE"""),"Head-up display")</f>
        <v>Head-up display</v>
      </c>
      <c r="W7" s="136"/>
      <c r="X7" s="137"/>
      <c r="Y7" s="138"/>
      <c r="Z7" s="138"/>
      <c r="AA7" s="138"/>
      <c r="AB7" s="138"/>
      <c r="AC7" s="139"/>
      <c r="AD7" s="139"/>
      <c r="AE7" s="139"/>
      <c r="AF7" s="140"/>
      <c r="AG7" s="136"/>
      <c r="AH7" s="141">
        <f>IFERROR(__xludf.DUMMYFUNCTION("""COMPUTED_VALUE"""),44507.86535851852)</f>
        <v>44507.86536</v>
      </c>
      <c r="AI7" s="138"/>
      <c r="AJ7" s="138"/>
      <c r="AK7" s="138"/>
      <c r="AL7" s="142"/>
    </row>
    <row r="8" ht="20.25" customHeight="1">
      <c r="A8" s="125" t="str">
        <f>IFERROR(__xludf.DUMMYFUNCTION("""COMPUTED_VALUE"""),"Teryul")</f>
        <v>Teryul</v>
      </c>
      <c r="B8" s="127" t="str">
        <f>IFERROR(__xludf.DUMMYFUNCTION("""COMPUTED_VALUE"""),"Colorado Springs")</f>
        <v>Colorado Springs</v>
      </c>
      <c r="C8" s="127" t="str">
        <f>IFERROR(__xludf.DUMMYFUNCTION("""COMPUTED_VALUE"""),"CO")</f>
        <v>CO</v>
      </c>
      <c r="D8" s="127" t="str">
        <f>IFERROR(__xludf.DUMMYFUNCTION("""COMPUTED_VALUE"""),"USA")</f>
        <v>USA</v>
      </c>
      <c r="E8" s="128">
        <f>IFERROR(__xludf.DUMMYFUNCTION("""COMPUTED_VALUE"""),44504.0)</f>
        <v>44504</v>
      </c>
      <c r="F8" s="129"/>
      <c r="G8" s="130"/>
      <c r="H8" s="131"/>
      <c r="I8" s="144"/>
      <c r="J8" s="129"/>
      <c r="K8" s="133"/>
      <c r="L8" s="133"/>
      <c r="M8" s="133"/>
      <c r="N8" s="127" t="str">
        <f>IFERROR(__xludf.DUMMYFUNCTION("""COMPUTED_VALUE"""),"Model 3 LR AWD")</f>
        <v>Model 3 LR AWD</v>
      </c>
      <c r="O8" s="127" t="str">
        <f>IFERROR(__xludf.DUMMYFUNCTION("""COMPUTED_VALUE"""),"Deep Blue Metallic")</f>
        <v>Deep Blue Metallic</v>
      </c>
      <c r="P8" s="134" t="str">
        <f>IFERROR(__xludf.DUMMYFUNCTION("""COMPUTED_VALUE"""),"18 inch")</f>
        <v>18 inch</v>
      </c>
      <c r="Q8" s="127" t="str">
        <f>IFERROR(__xludf.DUMMYFUNCTION("""COMPUTED_VALUE"""),"Black and White")</f>
        <v>Black and White</v>
      </c>
      <c r="R8" s="127" t="str">
        <f>IFERROR(__xludf.DUMMYFUNCTION("""COMPUTED_VALUE"""),"Autopilot included")</f>
        <v>Autopilot included</v>
      </c>
      <c r="S8" s="127" t="str">
        <f>IFERROR(__xludf.DUMMYFUNCTION("""COMPUTED_VALUE"""),"Cash")</f>
        <v>Cash</v>
      </c>
      <c r="T8" s="135" t="str">
        <f>IFERROR(__xludf.DUMMYFUNCTION("""COMPUTED_VALUE"""),"Porsche Macan S")</f>
        <v>Porsche Macan S</v>
      </c>
      <c r="U8" s="135" t="str">
        <f>IFERROR(__xludf.DUMMYFUNCTION("""COMPUTED_VALUE"""),"Electric!")</f>
        <v>Electric!</v>
      </c>
      <c r="V8" s="135" t="str">
        <f>IFERROR(__xludf.DUMMYFUNCTION("""COMPUTED_VALUE"""),"Ventilated seats")</f>
        <v>Ventilated seats</v>
      </c>
      <c r="W8" s="136"/>
      <c r="X8" s="137"/>
      <c r="Y8" s="138"/>
      <c r="Z8" s="138"/>
      <c r="AA8" s="138"/>
      <c r="AB8" s="138"/>
      <c r="AC8" s="139"/>
      <c r="AD8" s="139"/>
      <c r="AE8" s="139"/>
      <c r="AF8" s="140"/>
      <c r="AG8" s="136"/>
      <c r="AH8" s="141">
        <f>IFERROR(__xludf.DUMMYFUNCTION("""COMPUTED_VALUE"""),44508.856870358795)</f>
        <v>44508.85687</v>
      </c>
      <c r="AI8" s="138"/>
      <c r="AJ8" s="138"/>
      <c r="AK8" s="138"/>
      <c r="AL8" s="142"/>
    </row>
    <row r="9" ht="20.25" customHeight="1">
      <c r="A9" s="125" t="str">
        <f>IFERROR(__xludf.DUMMYFUNCTION("""COMPUTED_VALUE"""),"BC Performance")</f>
        <v>BC Performance</v>
      </c>
      <c r="B9" s="150" t="str">
        <f>IFERROR(__xludf.DUMMYFUNCTION("""COMPUTED_VALUE"""),"Minneapolis")</f>
        <v>Minneapolis</v>
      </c>
      <c r="C9" s="127" t="str">
        <f>IFERROR(__xludf.DUMMYFUNCTION("""COMPUTED_VALUE"""),"MN")</f>
        <v>MN</v>
      </c>
      <c r="D9" s="127" t="str">
        <f>IFERROR(__xludf.DUMMYFUNCTION("""COMPUTED_VALUE"""),"USA")</f>
        <v>USA</v>
      </c>
      <c r="E9" s="128">
        <f>IFERROR(__xludf.DUMMYFUNCTION("""COMPUTED_VALUE"""),44503.0)</f>
        <v>44503</v>
      </c>
      <c r="F9" s="146"/>
      <c r="G9" s="143"/>
      <c r="H9" s="147"/>
      <c r="I9" s="144"/>
      <c r="J9" s="146"/>
      <c r="K9" s="148"/>
      <c r="L9" s="148"/>
      <c r="M9" s="148"/>
      <c r="N9" s="127" t="str">
        <f>IFERROR(__xludf.DUMMYFUNCTION("""COMPUTED_VALUE"""),"Model 3 Performance")</f>
        <v>Model 3 Performance</v>
      </c>
      <c r="O9" s="127" t="str">
        <f>IFERROR(__xludf.DUMMYFUNCTION("""COMPUTED_VALUE"""),"Red Multi-Coat")</f>
        <v>Red Multi-Coat</v>
      </c>
      <c r="P9" s="134" t="str">
        <f>IFERROR(__xludf.DUMMYFUNCTION("""COMPUTED_VALUE"""),"20 inch")</f>
        <v>20 inch</v>
      </c>
      <c r="Q9" s="127" t="str">
        <f>IFERROR(__xludf.DUMMYFUNCTION("""COMPUTED_VALUE"""),"Black and White")</f>
        <v>Black and White</v>
      </c>
      <c r="R9" s="127" t="str">
        <f>IFERROR(__xludf.DUMMYFUNCTION("""COMPUTED_VALUE"""),"Autopilot included")</f>
        <v>Autopilot included</v>
      </c>
      <c r="S9" s="127" t="str">
        <f>IFERROR(__xludf.DUMMYFUNCTION("""COMPUTED_VALUE"""),"Loan")</f>
        <v>Loan</v>
      </c>
      <c r="T9" s="145" t="str">
        <f>IFERROR(__xludf.DUMMYFUNCTION("""COMPUTED_VALUE"""),"Ford Explorer Sport")</f>
        <v>Ford Explorer Sport</v>
      </c>
      <c r="U9" s="135" t="str">
        <f>IFERROR(__xludf.DUMMYFUNCTION("""COMPUTED_VALUE"""),"Tesla brand image")</f>
        <v>Tesla brand image</v>
      </c>
      <c r="V9" s="135" t="str">
        <f>IFERROR(__xludf.DUMMYFUNCTION("""COMPUTED_VALUE"""),"Head-up display")</f>
        <v>Head-up display</v>
      </c>
      <c r="W9" s="145"/>
      <c r="X9" s="137"/>
      <c r="Y9" s="138"/>
      <c r="Z9" s="138"/>
      <c r="AA9" s="138"/>
      <c r="AB9" s="138"/>
      <c r="AC9" s="139"/>
      <c r="AD9" s="139"/>
      <c r="AE9" s="139"/>
      <c r="AF9" s="140"/>
      <c r="AG9" s="145"/>
      <c r="AH9" s="141">
        <f>IFERROR(__xludf.DUMMYFUNCTION("""COMPUTED_VALUE"""),44504.52324721065)</f>
        <v>44504.52325</v>
      </c>
      <c r="AI9" s="138"/>
      <c r="AJ9" s="138"/>
      <c r="AK9" s="138"/>
      <c r="AL9" s="142"/>
    </row>
    <row r="10" ht="20.25" customHeight="1">
      <c r="A10" s="125" t="str">
        <f>IFERROR(__xludf.DUMMYFUNCTION("""COMPUTED_VALUE"""),"Pixel")</f>
        <v>Pixel</v>
      </c>
      <c r="B10" s="127"/>
      <c r="C10" s="127"/>
      <c r="D10" s="127" t="str">
        <f>IFERROR(__xludf.DUMMYFUNCTION("""COMPUTED_VALUE"""),"Germany")</f>
        <v>Germany</v>
      </c>
      <c r="E10" s="128">
        <f>IFERROR(__xludf.DUMMYFUNCTION("""COMPUTED_VALUE"""),44502.0)</f>
        <v>44502</v>
      </c>
      <c r="F10" s="146"/>
      <c r="G10" s="143"/>
      <c r="H10" s="147"/>
      <c r="I10" s="144"/>
      <c r="J10" s="129"/>
      <c r="K10" s="148"/>
      <c r="L10" s="133"/>
      <c r="M10" s="133"/>
      <c r="N10" s="127" t="str">
        <f>IFERROR(__xludf.DUMMYFUNCTION("""COMPUTED_VALUE"""),"Model 3 SR+")</f>
        <v>Model 3 SR+</v>
      </c>
      <c r="O10" s="127" t="str">
        <f>IFERROR(__xludf.DUMMYFUNCTION("""COMPUTED_VALUE"""),"Deep Blue Metallic")</f>
        <v>Deep Blue Metallic</v>
      </c>
      <c r="P10" s="134" t="str">
        <f>IFERROR(__xludf.DUMMYFUNCTION("""COMPUTED_VALUE"""),"18 inch")</f>
        <v>18 inch</v>
      </c>
      <c r="Q10" s="127" t="str">
        <f>IFERROR(__xludf.DUMMYFUNCTION("""COMPUTED_VALUE"""),"All Black")</f>
        <v>All Black</v>
      </c>
      <c r="R10" s="127" t="str">
        <f>IFERROR(__xludf.DUMMYFUNCTION("""COMPUTED_VALUE"""),"Autopilot included")</f>
        <v>Autopilot included</v>
      </c>
      <c r="S10" s="127" t="str">
        <f>IFERROR(__xludf.DUMMYFUNCTION("""COMPUTED_VALUE"""),"Lease")</f>
        <v>Lease</v>
      </c>
      <c r="T10" s="145" t="str">
        <f>IFERROR(__xludf.DUMMYFUNCTION("""COMPUTED_VALUE"""),"BMW 3 Series")</f>
        <v>BMW 3 Series</v>
      </c>
      <c r="U10" s="135" t="str">
        <f>IFERROR(__xludf.DUMMYFUNCTION("""COMPUTED_VALUE"""),"Electric!")</f>
        <v>Electric!</v>
      </c>
      <c r="V10" s="135" t="str">
        <f>IFERROR(__xludf.DUMMYFUNCTION("""COMPUTED_VALUE"""),"Head-up display")</f>
        <v>Head-up display</v>
      </c>
      <c r="W10" s="145"/>
      <c r="X10" s="137"/>
      <c r="Y10" s="138"/>
      <c r="Z10" s="138"/>
      <c r="AA10" s="138"/>
      <c r="AB10" s="138"/>
      <c r="AC10" s="139"/>
      <c r="AD10" s="139"/>
      <c r="AE10" s="139"/>
      <c r="AF10" s="140"/>
      <c r="AG10" s="145"/>
      <c r="AH10" s="141">
        <f>IFERROR(__xludf.DUMMYFUNCTION("""COMPUTED_VALUE"""),44507.951888668984)</f>
        <v>44507.95189</v>
      </c>
      <c r="AI10" s="138"/>
      <c r="AJ10" s="138"/>
      <c r="AK10" s="138"/>
      <c r="AL10" s="142"/>
    </row>
    <row r="11" ht="20.25" customHeight="1">
      <c r="A11" s="125" t="str">
        <f>IFERROR(__xludf.DUMMYFUNCTION("""COMPUTED_VALUE"""),"teggo24")</f>
        <v>teggo24</v>
      </c>
      <c r="B11" s="127"/>
      <c r="C11" s="127" t="str">
        <f>IFERROR(__xludf.DUMMYFUNCTION("""COMPUTED_VALUE"""),"CA")</f>
        <v>CA</v>
      </c>
      <c r="D11" s="127" t="str">
        <f>IFERROR(__xludf.DUMMYFUNCTION("""COMPUTED_VALUE"""),"USA")</f>
        <v>USA</v>
      </c>
      <c r="E11" s="128">
        <f>IFERROR(__xludf.DUMMYFUNCTION("""COMPUTED_VALUE"""),44501.0)</f>
        <v>44501</v>
      </c>
      <c r="F11" s="129"/>
      <c r="G11" s="130"/>
      <c r="H11" s="131"/>
      <c r="I11" s="144"/>
      <c r="J11" s="129"/>
      <c r="K11" s="133"/>
      <c r="L11" s="133"/>
      <c r="M11" s="133"/>
      <c r="N11" s="127" t="str">
        <f>IFERROR(__xludf.DUMMYFUNCTION("""COMPUTED_VALUE"""),"Model 3 Performance")</f>
        <v>Model 3 Performance</v>
      </c>
      <c r="O11" s="127" t="str">
        <f>IFERROR(__xludf.DUMMYFUNCTION("""COMPUTED_VALUE"""),"Deep Blue Metallic")</f>
        <v>Deep Blue Metallic</v>
      </c>
      <c r="P11" s="134" t="str">
        <f>IFERROR(__xludf.DUMMYFUNCTION("""COMPUTED_VALUE"""),"20 inch")</f>
        <v>20 inch</v>
      </c>
      <c r="Q11" s="127" t="str">
        <f>IFERROR(__xludf.DUMMYFUNCTION("""COMPUTED_VALUE"""),"All Black")</f>
        <v>All Black</v>
      </c>
      <c r="R11" s="127" t="str">
        <f>IFERROR(__xludf.DUMMYFUNCTION("""COMPUTED_VALUE"""),"Full Self-Driving")</f>
        <v>Full Self-Driving</v>
      </c>
      <c r="S11" s="127" t="str">
        <f>IFERROR(__xludf.DUMMYFUNCTION("""COMPUTED_VALUE"""),"Loan")</f>
        <v>Loan</v>
      </c>
      <c r="T11" s="135"/>
      <c r="U11" s="135"/>
      <c r="V11" s="135"/>
      <c r="W11" s="136"/>
      <c r="X11" s="137"/>
      <c r="Y11" s="138"/>
      <c r="Z11" s="138"/>
      <c r="AA11" s="138"/>
      <c r="AB11" s="138"/>
      <c r="AC11" s="139"/>
      <c r="AD11" s="139"/>
      <c r="AE11" s="139"/>
      <c r="AF11" s="140"/>
      <c r="AG11" s="136"/>
      <c r="AH11" s="141">
        <f>IFERROR(__xludf.DUMMYFUNCTION("""COMPUTED_VALUE"""),44506.576242835654)</f>
        <v>44506.57624</v>
      </c>
      <c r="AI11" s="138"/>
      <c r="AJ11" s="138"/>
      <c r="AK11" s="138"/>
      <c r="AL11" s="142"/>
    </row>
    <row r="12" ht="20.25" customHeight="1">
      <c r="A12" s="125" t="str">
        <f>IFERROR(__xludf.DUMMYFUNCTION("""COMPUTED_VALUE"""),"marcooo")</f>
        <v>marcooo</v>
      </c>
      <c r="B12" s="149" t="str">
        <f>IFERROR(__xludf.DUMMYFUNCTION("""COMPUTED_VALUE"""),"Vancouver")</f>
        <v>Vancouver</v>
      </c>
      <c r="C12" s="127" t="str">
        <f>IFERROR(__xludf.DUMMYFUNCTION("""COMPUTED_VALUE"""),"BC")</f>
        <v>BC</v>
      </c>
      <c r="D12" s="127" t="str">
        <f>IFERROR(__xludf.DUMMYFUNCTION("""COMPUTED_VALUE"""),"Canada")</f>
        <v>Canada</v>
      </c>
      <c r="E12" s="128">
        <f>IFERROR(__xludf.DUMMYFUNCTION("""COMPUTED_VALUE"""),44500.0)</f>
        <v>44500</v>
      </c>
      <c r="F12" s="129"/>
      <c r="G12" s="130"/>
      <c r="H12" s="131"/>
      <c r="I12" s="144"/>
      <c r="J12" s="129"/>
      <c r="K12" s="133"/>
      <c r="L12" s="133"/>
      <c r="M12" s="133"/>
      <c r="N12" s="127" t="str">
        <f>IFERROR(__xludf.DUMMYFUNCTION("""COMPUTED_VALUE"""),"Model 3 LR AWD")</f>
        <v>Model 3 LR AWD</v>
      </c>
      <c r="O12" s="127" t="str">
        <f>IFERROR(__xludf.DUMMYFUNCTION("""COMPUTED_VALUE"""),"Midnight Silver Metallic")</f>
        <v>Midnight Silver Metallic</v>
      </c>
      <c r="P12" s="134" t="str">
        <f>IFERROR(__xludf.DUMMYFUNCTION("""COMPUTED_VALUE"""),"18 inch")</f>
        <v>18 inch</v>
      </c>
      <c r="Q12" s="127" t="str">
        <f>IFERROR(__xludf.DUMMYFUNCTION("""COMPUTED_VALUE"""),"Black and White")</f>
        <v>Black and White</v>
      </c>
      <c r="R12" s="127" t="str">
        <f>IFERROR(__xludf.DUMMYFUNCTION("""COMPUTED_VALUE"""),"Autopilot included")</f>
        <v>Autopilot included</v>
      </c>
      <c r="S12" s="149" t="str">
        <f>IFERROR(__xludf.DUMMYFUNCTION("""COMPUTED_VALUE"""),"Loan")</f>
        <v>Loan</v>
      </c>
      <c r="T12" s="145" t="str">
        <f>IFERROR(__xludf.DUMMYFUNCTION("""COMPUTED_VALUE"""),"Toyota Tundra")</f>
        <v>Toyota Tundra</v>
      </c>
      <c r="U12" s="145" t="str">
        <f>IFERROR(__xludf.DUMMYFUNCTION("""COMPUTED_VALUE"""),"Electric!")</f>
        <v>Electric!</v>
      </c>
      <c r="V12" s="145" t="str">
        <f>IFERROR(__xludf.DUMMYFUNCTION("""COMPUTED_VALUE"""),"Head-up display")</f>
        <v>Head-up display</v>
      </c>
      <c r="W12" s="145"/>
      <c r="X12" s="151"/>
      <c r="Y12" s="138"/>
      <c r="Z12" s="138"/>
      <c r="AA12" s="138"/>
      <c r="AB12" s="138"/>
      <c r="AC12" s="139"/>
      <c r="AD12" s="139"/>
      <c r="AE12" s="139"/>
      <c r="AF12" s="140"/>
      <c r="AG12" s="145"/>
      <c r="AH12" s="141">
        <f>IFERROR(__xludf.DUMMYFUNCTION("""COMPUTED_VALUE"""),44504.90372873843)</f>
        <v>44504.90373</v>
      </c>
      <c r="AI12" s="138"/>
      <c r="AJ12" s="138"/>
      <c r="AK12" s="138"/>
      <c r="AL12" s="142"/>
    </row>
    <row r="13" ht="20.25" customHeight="1">
      <c r="A13" s="125" t="str">
        <f>IFERROR(__xludf.DUMMYFUNCTION("""COMPUTED_VALUE"""),"StephanW")</f>
        <v>StephanW</v>
      </c>
      <c r="B13" s="127" t="str">
        <f>IFERROR(__xludf.DUMMYFUNCTION("""COMPUTED_VALUE"""),"Walla Walla")</f>
        <v>Walla Walla</v>
      </c>
      <c r="C13" s="127" t="str">
        <f>IFERROR(__xludf.DUMMYFUNCTION("""COMPUTED_VALUE"""),"WA")</f>
        <v>WA</v>
      </c>
      <c r="D13" s="127" t="str">
        <f>IFERROR(__xludf.DUMMYFUNCTION("""COMPUTED_VALUE"""),"USA")</f>
        <v>USA</v>
      </c>
      <c r="E13" s="128">
        <f>IFERROR(__xludf.DUMMYFUNCTION("""COMPUTED_VALUE"""),44500.0)</f>
        <v>44500</v>
      </c>
      <c r="F13" s="146"/>
      <c r="G13" s="143"/>
      <c r="H13" s="147"/>
      <c r="I13" s="144"/>
      <c r="J13" s="146"/>
      <c r="K13" s="148"/>
      <c r="L13" s="148"/>
      <c r="M13" s="148"/>
      <c r="N13" s="127" t="str">
        <f>IFERROR(__xludf.DUMMYFUNCTION("""COMPUTED_VALUE"""),"Model 3 LR AWD")</f>
        <v>Model 3 LR AWD</v>
      </c>
      <c r="O13" s="127" t="str">
        <f>IFERROR(__xludf.DUMMYFUNCTION("""COMPUTED_VALUE"""),"Pearl White Multi-Coat")</f>
        <v>Pearl White Multi-Coat</v>
      </c>
      <c r="P13" s="134" t="str">
        <f>IFERROR(__xludf.DUMMYFUNCTION("""COMPUTED_VALUE"""),"18 inch")</f>
        <v>18 inch</v>
      </c>
      <c r="Q13" s="127" t="str">
        <f>IFERROR(__xludf.DUMMYFUNCTION("""COMPUTED_VALUE"""),"All Black")</f>
        <v>All Black</v>
      </c>
      <c r="R13" s="127" t="str">
        <f>IFERROR(__xludf.DUMMYFUNCTION("""COMPUTED_VALUE"""),"Autopilot included")</f>
        <v>Autopilot included</v>
      </c>
      <c r="S13" s="127" t="str">
        <f>IFERROR(__xludf.DUMMYFUNCTION("""COMPUTED_VALUE"""),"Cash")</f>
        <v>Cash</v>
      </c>
      <c r="T13" s="145" t="str">
        <f>IFERROR(__xludf.DUMMYFUNCTION("""COMPUTED_VALUE"""),"Tesla Model 3")</f>
        <v>Tesla Model 3</v>
      </c>
      <c r="U13" s="135" t="str">
        <f>IFERROR(__xludf.DUMMYFUNCTION("""COMPUTED_VALUE"""),"Electric!")</f>
        <v>Electric!</v>
      </c>
      <c r="V13" s="135" t="str">
        <f>IFERROR(__xludf.DUMMYFUNCTION("""COMPUTED_VALUE"""),"Ventilated seats")</f>
        <v>Ventilated seats</v>
      </c>
      <c r="W13" s="136"/>
      <c r="X13" s="137"/>
      <c r="Y13" s="138"/>
      <c r="Z13" s="138"/>
      <c r="AA13" s="138"/>
      <c r="AB13" s="138"/>
      <c r="AC13" s="139"/>
      <c r="AD13" s="139"/>
      <c r="AE13" s="139"/>
      <c r="AF13" s="140"/>
      <c r="AG13" s="136"/>
      <c r="AH13" s="141">
        <f>IFERROR(__xludf.DUMMYFUNCTION("""COMPUTED_VALUE"""),44504.86387046296)</f>
        <v>44504.86387</v>
      </c>
      <c r="AI13" s="138"/>
      <c r="AJ13" s="138"/>
      <c r="AK13" s="138"/>
      <c r="AL13" s="142"/>
    </row>
    <row r="14" ht="20.25" customHeight="1">
      <c r="A14" s="125" t="str">
        <f>IFERROR(__xludf.DUMMYFUNCTION("""COMPUTED_VALUE"""),"ohiader")</f>
        <v>ohiader</v>
      </c>
      <c r="B14" s="127" t="str">
        <f>IFERROR(__xludf.DUMMYFUNCTION("""COMPUTED_VALUE"""),"Phoenix")</f>
        <v>Phoenix</v>
      </c>
      <c r="C14" s="127" t="str">
        <f>IFERROR(__xludf.DUMMYFUNCTION("""COMPUTED_VALUE"""),"AZ")</f>
        <v>AZ</v>
      </c>
      <c r="D14" s="127" t="str">
        <f>IFERROR(__xludf.DUMMYFUNCTION("""COMPUTED_VALUE"""),"USA")</f>
        <v>USA</v>
      </c>
      <c r="E14" s="128">
        <f>IFERROR(__xludf.DUMMYFUNCTION("""COMPUTED_VALUE"""),44499.0)</f>
        <v>44499</v>
      </c>
      <c r="F14" s="129"/>
      <c r="G14" s="130"/>
      <c r="H14" s="131"/>
      <c r="I14" s="144"/>
      <c r="J14" s="129"/>
      <c r="K14" s="133"/>
      <c r="L14" s="133"/>
      <c r="M14" s="133"/>
      <c r="N14" s="127" t="str">
        <f>IFERROR(__xludf.DUMMYFUNCTION("""COMPUTED_VALUE"""),"Model 3 LR AWD")</f>
        <v>Model 3 LR AWD</v>
      </c>
      <c r="O14" s="152" t="str">
        <f>IFERROR(__xludf.DUMMYFUNCTION("""COMPUTED_VALUE"""),"Pearl White Multi-Coat")</f>
        <v>Pearl White Multi-Coat</v>
      </c>
      <c r="P14" s="153" t="str">
        <f>IFERROR(__xludf.DUMMYFUNCTION("""COMPUTED_VALUE"""),"18 inch")</f>
        <v>18 inch</v>
      </c>
      <c r="Q14" s="152" t="str">
        <f>IFERROR(__xludf.DUMMYFUNCTION("""COMPUTED_VALUE"""),"All Black")</f>
        <v>All Black</v>
      </c>
      <c r="R14" s="149" t="str">
        <f>IFERROR(__xludf.DUMMYFUNCTION("""COMPUTED_VALUE"""),"Autopilot included")</f>
        <v>Autopilot included</v>
      </c>
      <c r="S14" s="149" t="str">
        <f>IFERROR(__xludf.DUMMYFUNCTION("""COMPUTED_VALUE"""),"Loan")</f>
        <v>Loan</v>
      </c>
      <c r="T14" s="145" t="str">
        <f>IFERROR(__xludf.DUMMYFUNCTION("""COMPUTED_VALUE"""),"BMW 128i")</f>
        <v>BMW 128i</v>
      </c>
      <c r="U14" s="145" t="str">
        <f>IFERROR(__xludf.DUMMYFUNCTION("""COMPUTED_VALUE"""),"Electric!")</f>
        <v>Electric!</v>
      </c>
      <c r="V14" s="145" t="str">
        <f>IFERROR(__xludf.DUMMYFUNCTION("""COMPUTED_VALUE"""),"Ventilated seats")</f>
        <v>Ventilated seats</v>
      </c>
      <c r="W14" s="136"/>
      <c r="X14" s="137"/>
      <c r="Y14" s="138"/>
      <c r="Z14" s="138"/>
      <c r="AA14" s="138"/>
      <c r="AB14" s="138"/>
      <c r="AC14" s="139"/>
      <c r="AD14" s="139"/>
      <c r="AE14" s="139"/>
      <c r="AF14" s="140"/>
      <c r="AG14" s="136"/>
      <c r="AH14" s="141">
        <f>IFERROR(__xludf.DUMMYFUNCTION("""COMPUTED_VALUE"""),44502.3312441088)</f>
        <v>44502.33124</v>
      </c>
      <c r="AI14" s="138"/>
      <c r="AJ14" s="138"/>
      <c r="AK14" s="138"/>
      <c r="AL14" s="142"/>
    </row>
    <row r="15" ht="20.25" customHeight="1">
      <c r="A15" s="125" t="str">
        <f>IFERROR(__xludf.DUMMYFUNCTION("""COMPUTED_VALUE"""),"Zarandan")</f>
        <v>Zarandan</v>
      </c>
      <c r="B15" s="127"/>
      <c r="C15" s="127"/>
      <c r="D15" s="127" t="str">
        <f>IFERROR(__xludf.DUMMYFUNCTION("""COMPUTED_VALUE"""),"Netherlands")</f>
        <v>Netherlands</v>
      </c>
      <c r="E15" s="128">
        <f>IFERROR(__xludf.DUMMYFUNCTION("""COMPUTED_VALUE"""),44498.0)</f>
        <v>44498</v>
      </c>
      <c r="F15" s="146"/>
      <c r="G15" s="135"/>
      <c r="H15" s="147"/>
      <c r="I15" s="144"/>
      <c r="J15" s="146"/>
      <c r="K15" s="148"/>
      <c r="L15" s="148"/>
      <c r="M15" s="148"/>
      <c r="N15" s="127" t="str">
        <f>IFERROR(__xludf.DUMMYFUNCTION("""COMPUTED_VALUE"""),"Model 3 SR+")</f>
        <v>Model 3 SR+</v>
      </c>
      <c r="O15" s="127" t="str">
        <f>IFERROR(__xludf.DUMMYFUNCTION("""COMPUTED_VALUE"""),"Deep Blue Metallic")</f>
        <v>Deep Blue Metallic</v>
      </c>
      <c r="P15" s="134" t="str">
        <f>IFERROR(__xludf.DUMMYFUNCTION("""COMPUTED_VALUE"""),"18 inch")</f>
        <v>18 inch</v>
      </c>
      <c r="Q15" s="127" t="str">
        <f>IFERROR(__xludf.DUMMYFUNCTION("""COMPUTED_VALUE"""),"All Black")</f>
        <v>All Black</v>
      </c>
      <c r="R15" s="127"/>
      <c r="S15" s="127" t="str">
        <f>IFERROR(__xludf.DUMMYFUNCTION("""COMPUTED_VALUE"""),"Cash")</f>
        <v>Cash</v>
      </c>
      <c r="T15" s="135"/>
      <c r="U15" s="135" t="str">
        <f>IFERROR(__xludf.DUMMYFUNCTION("""COMPUTED_VALUE"""),"Electric!")</f>
        <v>Electric!</v>
      </c>
      <c r="V15" s="135" t="str">
        <f>IFERROR(__xludf.DUMMYFUNCTION("""COMPUTED_VALUE"""),"Apple CarPlay / Android Auto / SiriusXM Radio")</f>
        <v>Apple CarPlay / Android Auto / SiriusXM Radio</v>
      </c>
      <c r="W15" s="136"/>
      <c r="X15" s="137"/>
      <c r="Y15" s="138"/>
      <c r="Z15" s="138"/>
      <c r="AA15" s="138"/>
      <c r="AB15" s="138"/>
      <c r="AC15" s="139"/>
      <c r="AD15" s="139"/>
      <c r="AE15" s="139"/>
      <c r="AF15" s="140"/>
      <c r="AG15" s="136"/>
      <c r="AH15" s="141">
        <f>IFERROR(__xludf.DUMMYFUNCTION("""COMPUTED_VALUE"""),44499.36278626157)</f>
        <v>44499.36279</v>
      </c>
      <c r="AI15" s="138"/>
      <c r="AJ15" s="138"/>
      <c r="AK15" s="138"/>
      <c r="AL15" s="142"/>
    </row>
    <row r="16" ht="20.25" customHeight="1">
      <c r="A16" s="125" t="str">
        <f>IFERROR(__xludf.DUMMYFUNCTION("""COMPUTED_VALUE"""),"oscar208")</f>
        <v>oscar208</v>
      </c>
      <c r="B16" s="149" t="str">
        <f>IFERROR(__xludf.DUMMYFUNCTION("""COMPUTED_VALUE"""),"Heber City")</f>
        <v>Heber City</v>
      </c>
      <c r="C16" s="127" t="str">
        <f>IFERROR(__xludf.DUMMYFUNCTION("""COMPUTED_VALUE"""),"UT")</f>
        <v>UT</v>
      </c>
      <c r="D16" s="127" t="str">
        <f>IFERROR(__xludf.DUMMYFUNCTION("""COMPUTED_VALUE"""),"USA")</f>
        <v>USA</v>
      </c>
      <c r="E16" s="128">
        <f>IFERROR(__xludf.DUMMYFUNCTION("""COMPUTED_VALUE"""),44497.0)</f>
        <v>44497</v>
      </c>
      <c r="F16" s="146"/>
      <c r="G16" s="135"/>
      <c r="H16" s="147"/>
      <c r="I16" s="144"/>
      <c r="J16" s="129"/>
      <c r="K16" s="148"/>
      <c r="L16" s="133"/>
      <c r="M16" s="133"/>
      <c r="N16" s="127" t="str">
        <f>IFERROR(__xludf.DUMMYFUNCTION("""COMPUTED_VALUE"""),"Model 3 LR AWD")</f>
        <v>Model 3 LR AWD</v>
      </c>
      <c r="O16" s="127" t="str">
        <f>IFERROR(__xludf.DUMMYFUNCTION("""COMPUTED_VALUE"""),"Midnight Silver Metallic")</f>
        <v>Midnight Silver Metallic</v>
      </c>
      <c r="P16" s="134" t="str">
        <f>IFERROR(__xludf.DUMMYFUNCTION("""COMPUTED_VALUE"""),"18 inch")</f>
        <v>18 inch</v>
      </c>
      <c r="Q16" s="127" t="str">
        <f>IFERROR(__xludf.DUMMYFUNCTION("""COMPUTED_VALUE"""),"All Black")</f>
        <v>All Black</v>
      </c>
      <c r="R16" s="127" t="str">
        <f>IFERROR(__xludf.DUMMYFUNCTION("""COMPUTED_VALUE"""),"Autopilot included")</f>
        <v>Autopilot included</v>
      </c>
      <c r="S16" s="127" t="str">
        <f>IFERROR(__xludf.DUMMYFUNCTION("""COMPUTED_VALUE"""),"Loan")</f>
        <v>Loan</v>
      </c>
      <c r="T16" s="145"/>
      <c r="U16" s="145" t="str">
        <f>IFERROR(__xludf.DUMMYFUNCTION("""COMPUTED_VALUE"""),"Electric!")</f>
        <v>Electric!</v>
      </c>
      <c r="V16" s="145" t="str">
        <f>IFERROR(__xludf.DUMMYFUNCTION("""COMPUTED_VALUE"""),"Head-up display")</f>
        <v>Head-up display</v>
      </c>
      <c r="W16" s="136"/>
      <c r="X16" s="137"/>
      <c r="Y16" s="138"/>
      <c r="Z16" s="138"/>
      <c r="AA16" s="138"/>
      <c r="AB16" s="138"/>
      <c r="AC16" s="139"/>
      <c r="AD16" s="139"/>
      <c r="AE16" s="139"/>
      <c r="AF16" s="140"/>
      <c r="AG16" s="136"/>
      <c r="AH16" s="141">
        <f>IFERROR(__xludf.DUMMYFUNCTION("""COMPUTED_VALUE"""),44503.75230974537)</f>
        <v>44503.75231</v>
      </c>
      <c r="AI16" s="138"/>
      <c r="AJ16" s="138"/>
      <c r="AK16" s="138"/>
      <c r="AL16" s="142"/>
    </row>
    <row r="17" ht="20.25" customHeight="1">
      <c r="A17" s="125" t="str">
        <f>IFERROR(__xludf.DUMMYFUNCTION("""COMPUTED_VALUE"""),"the33rdstate")</f>
        <v>the33rdstate</v>
      </c>
      <c r="B17" s="127" t="str">
        <f>IFERROR(__xludf.DUMMYFUNCTION("""COMPUTED_VALUE"""),"Klamath Falls")</f>
        <v>Klamath Falls</v>
      </c>
      <c r="C17" s="127" t="str">
        <f>IFERROR(__xludf.DUMMYFUNCTION("""COMPUTED_VALUE"""),"OR")</f>
        <v>OR</v>
      </c>
      <c r="D17" s="127" t="str">
        <f>IFERROR(__xludf.DUMMYFUNCTION("""COMPUTED_VALUE"""),"USA")</f>
        <v>USA</v>
      </c>
      <c r="E17" s="128">
        <f>IFERROR(__xludf.DUMMYFUNCTION("""COMPUTED_VALUE"""),44497.0)</f>
        <v>44497</v>
      </c>
      <c r="F17" s="129"/>
      <c r="G17" s="154"/>
      <c r="H17" s="131"/>
      <c r="I17" s="144"/>
      <c r="J17" s="129"/>
      <c r="K17" s="133"/>
      <c r="L17" s="133"/>
      <c r="M17" s="133"/>
      <c r="N17" s="127" t="str">
        <f>IFERROR(__xludf.DUMMYFUNCTION("""COMPUTED_VALUE"""),"Model 3 LR AWD")</f>
        <v>Model 3 LR AWD</v>
      </c>
      <c r="O17" s="127" t="str">
        <f>IFERROR(__xludf.DUMMYFUNCTION("""COMPUTED_VALUE"""),"Midnight Silver Metallic")</f>
        <v>Midnight Silver Metallic</v>
      </c>
      <c r="P17" s="134" t="str">
        <f>IFERROR(__xludf.DUMMYFUNCTION("""COMPUTED_VALUE"""),"19 inch")</f>
        <v>19 inch</v>
      </c>
      <c r="Q17" s="127" t="str">
        <f>IFERROR(__xludf.DUMMYFUNCTION("""COMPUTED_VALUE"""),"All Black")</f>
        <v>All Black</v>
      </c>
      <c r="R17" s="127" t="str">
        <f>IFERROR(__xludf.DUMMYFUNCTION("""COMPUTED_VALUE"""),"Autopilot included")</f>
        <v>Autopilot included</v>
      </c>
      <c r="S17" s="127" t="str">
        <f>IFERROR(__xludf.DUMMYFUNCTION("""COMPUTED_VALUE"""),"Cash")</f>
        <v>Cash</v>
      </c>
      <c r="T17" s="135" t="str">
        <f>IFERROR(__xludf.DUMMYFUNCTION("""COMPUTED_VALUE"""),"Toyo Tundra")</f>
        <v>Toyo Tundra</v>
      </c>
      <c r="U17" s="135" t="str">
        <f>IFERROR(__xludf.DUMMYFUNCTION("""COMPUTED_VALUE"""),"Electric!")</f>
        <v>Electric!</v>
      </c>
      <c r="V17" s="135" t="str">
        <f>IFERROR(__xludf.DUMMYFUNCTION("""COMPUTED_VALUE"""),"Bioweapon defense mode")</f>
        <v>Bioweapon defense mode</v>
      </c>
      <c r="W17" s="145"/>
      <c r="X17" s="137"/>
      <c r="Y17" s="138"/>
      <c r="Z17" s="138"/>
      <c r="AA17" s="138"/>
      <c r="AB17" s="138"/>
      <c r="AC17" s="139"/>
      <c r="AD17" s="139"/>
      <c r="AE17" s="139"/>
      <c r="AF17" s="140"/>
      <c r="AG17" s="145"/>
      <c r="AH17" s="141">
        <f>IFERROR(__xludf.DUMMYFUNCTION("""COMPUTED_VALUE"""),44501.48605215277)</f>
        <v>44501.48605</v>
      </c>
      <c r="AI17" s="138"/>
      <c r="AJ17" s="138"/>
      <c r="AK17" s="138"/>
      <c r="AL17" s="142"/>
    </row>
    <row r="18" ht="20.25" customHeight="1">
      <c r="A18" s="125" t="str">
        <f>IFERROR(__xludf.DUMMYFUNCTION("""COMPUTED_VALUE"""),"UpstateNYM3")</f>
        <v>UpstateNYM3</v>
      </c>
      <c r="B18" s="127" t="str">
        <f>IFERROR(__xludf.DUMMYFUNCTION("""COMPUTED_VALUE"""),"Syracuse")</f>
        <v>Syracuse</v>
      </c>
      <c r="C18" s="127" t="str">
        <f>IFERROR(__xludf.DUMMYFUNCTION("""COMPUTED_VALUE"""),"NY")</f>
        <v>NY</v>
      </c>
      <c r="D18" s="127" t="str">
        <f>IFERROR(__xludf.DUMMYFUNCTION("""COMPUTED_VALUE"""),"USA")</f>
        <v>USA</v>
      </c>
      <c r="E18" s="128">
        <f>IFERROR(__xludf.DUMMYFUNCTION("""COMPUTED_VALUE"""),44497.0)</f>
        <v>44497</v>
      </c>
      <c r="F18" s="129"/>
      <c r="G18" s="154"/>
      <c r="H18" s="131"/>
      <c r="I18" s="144"/>
      <c r="J18" s="129"/>
      <c r="K18" s="133"/>
      <c r="L18" s="133"/>
      <c r="M18" s="133"/>
      <c r="N18" s="127" t="str">
        <f>IFERROR(__xludf.DUMMYFUNCTION("""COMPUTED_VALUE"""),"Model 3 LR AWD")</f>
        <v>Model 3 LR AWD</v>
      </c>
      <c r="O18" s="127" t="str">
        <f>IFERROR(__xludf.DUMMYFUNCTION("""COMPUTED_VALUE"""),"Pearl White Multi-Coat")</f>
        <v>Pearl White Multi-Coat</v>
      </c>
      <c r="P18" s="134" t="str">
        <f>IFERROR(__xludf.DUMMYFUNCTION("""COMPUTED_VALUE"""),"18 inch")</f>
        <v>18 inch</v>
      </c>
      <c r="Q18" s="127" t="str">
        <f>IFERROR(__xludf.DUMMYFUNCTION("""COMPUTED_VALUE"""),"All Black")</f>
        <v>All Black</v>
      </c>
      <c r="R18" s="127" t="str">
        <f>IFERROR(__xludf.DUMMYFUNCTION("""COMPUTED_VALUE"""),"Autopilot included")</f>
        <v>Autopilot included</v>
      </c>
      <c r="S18" s="127" t="str">
        <f>IFERROR(__xludf.DUMMYFUNCTION("""COMPUTED_VALUE"""),"Loan")</f>
        <v>Loan</v>
      </c>
      <c r="T18" s="145" t="str">
        <f>IFERROR(__xludf.DUMMYFUNCTION("""COMPUTED_VALUE"""),"Tesla Model 3")</f>
        <v>Tesla Model 3</v>
      </c>
      <c r="U18" s="135" t="str">
        <f>IFERROR(__xludf.DUMMYFUNCTION("""COMPUTED_VALUE"""),"Electric!")</f>
        <v>Electric!</v>
      </c>
      <c r="V18" s="135" t="str">
        <f>IFERROR(__xludf.DUMMYFUNCTION("""COMPUTED_VALUE"""),"360° Bird's eye view")</f>
        <v>360° Bird's eye view</v>
      </c>
      <c r="W18" s="136"/>
      <c r="X18" s="137"/>
      <c r="Y18" s="138"/>
      <c r="Z18" s="138"/>
      <c r="AA18" s="138"/>
      <c r="AB18" s="138"/>
      <c r="AC18" s="139"/>
      <c r="AD18" s="139"/>
      <c r="AE18" s="139"/>
      <c r="AF18" s="140"/>
      <c r="AG18" s="136"/>
      <c r="AH18" s="141">
        <f>IFERROR(__xludf.DUMMYFUNCTION("""COMPUTED_VALUE"""),44502.70547365741)</f>
        <v>44502.70547</v>
      </c>
      <c r="AI18" s="138"/>
      <c r="AJ18" s="138"/>
      <c r="AK18" s="138"/>
      <c r="AL18" s="142"/>
    </row>
    <row r="19" ht="20.25" customHeight="1">
      <c r="A19" s="125" t="str">
        <f>IFERROR(__xludf.DUMMYFUNCTION("""COMPUTED_VALUE"""),"godsfavoritecustomer")</f>
        <v>godsfavoritecustomer</v>
      </c>
      <c r="B19" s="127" t="str">
        <f>IFERROR(__xludf.DUMMYFUNCTION("""COMPUTED_VALUE"""),"St George")</f>
        <v>St George</v>
      </c>
      <c r="C19" s="127" t="str">
        <f>IFERROR(__xludf.DUMMYFUNCTION("""COMPUTED_VALUE"""),"UT")</f>
        <v>UT</v>
      </c>
      <c r="D19" s="127" t="str">
        <f>IFERROR(__xludf.DUMMYFUNCTION("""COMPUTED_VALUE"""),"USA")</f>
        <v>USA</v>
      </c>
      <c r="E19" s="128">
        <f>IFERROR(__xludf.DUMMYFUNCTION("""COMPUTED_VALUE"""),44495.0)</f>
        <v>44495</v>
      </c>
      <c r="F19" s="146"/>
      <c r="G19" s="135"/>
      <c r="H19" s="147"/>
      <c r="I19" s="144"/>
      <c r="J19" s="129"/>
      <c r="K19" s="148"/>
      <c r="L19" s="133"/>
      <c r="M19" s="133"/>
      <c r="N19" s="127" t="str">
        <f>IFERROR(__xludf.DUMMYFUNCTION("""COMPUTED_VALUE"""),"Model 3 Performance")</f>
        <v>Model 3 Performance</v>
      </c>
      <c r="O19" s="127" t="str">
        <f>IFERROR(__xludf.DUMMYFUNCTION("""COMPUTED_VALUE"""),"Pearl White Multi-Coat")</f>
        <v>Pearl White Multi-Coat</v>
      </c>
      <c r="P19" s="134" t="str">
        <f>IFERROR(__xludf.DUMMYFUNCTION("""COMPUTED_VALUE"""),"20 inch")</f>
        <v>20 inch</v>
      </c>
      <c r="Q19" s="127" t="str">
        <f>IFERROR(__xludf.DUMMYFUNCTION("""COMPUTED_VALUE"""),"Black and White")</f>
        <v>Black and White</v>
      </c>
      <c r="R19" s="127" t="str">
        <f>IFERROR(__xludf.DUMMYFUNCTION("""COMPUTED_VALUE"""),"Autopilot included")</f>
        <v>Autopilot included</v>
      </c>
      <c r="S19" s="127" t="str">
        <f>IFERROR(__xludf.DUMMYFUNCTION("""COMPUTED_VALUE"""),"Loan")</f>
        <v>Loan</v>
      </c>
      <c r="T19" s="135" t="str">
        <f>IFERROR(__xludf.DUMMYFUNCTION("""COMPUTED_VALUE"""),"Audi Allroad")</f>
        <v>Audi Allroad</v>
      </c>
      <c r="U19" s="135" t="str">
        <f>IFERROR(__xludf.DUMMYFUNCTION("""COMPUTED_VALUE"""),"Supercharger V3 support")</f>
        <v>Supercharger V3 support</v>
      </c>
      <c r="V19" s="135" t="str">
        <f>IFERROR(__xludf.DUMMYFUNCTION("""COMPUTED_VALUE"""),"360° Bird's eye view")</f>
        <v>360° Bird's eye view</v>
      </c>
      <c r="W19" s="136"/>
      <c r="X19" s="137"/>
      <c r="Y19" s="138"/>
      <c r="Z19" s="138"/>
      <c r="AA19" s="138"/>
      <c r="AB19" s="138"/>
      <c r="AC19" s="139"/>
      <c r="AD19" s="139"/>
      <c r="AE19" s="139"/>
      <c r="AF19" s="140"/>
      <c r="AG19" s="136"/>
      <c r="AH19" s="141">
        <f>IFERROR(__xludf.DUMMYFUNCTION("""COMPUTED_VALUE"""),44496.69314525463)</f>
        <v>44496.69315</v>
      </c>
      <c r="AI19" s="138"/>
      <c r="AJ19" s="138"/>
      <c r="AK19" s="138"/>
      <c r="AL19" s="142"/>
    </row>
    <row r="20" ht="20.25" customHeight="1">
      <c r="A20" s="125" t="str">
        <f>IFERROR(__xludf.DUMMYFUNCTION("""COMPUTED_VALUE"""),"teisen")</f>
        <v>teisen</v>
      </c>
      <c r="B20" s="127" t="str">
        <f>IFERROR(__xludf.DUMMYFUNCTION("""COMPUTED_VALUE"""),"Savannah")</f>
        <v>Savannah</v>
      </c>
      <c r="C20" s="127" t="str">
        <f>IFERROR(__xludf.DUMMYFUNCTION("""COMPUTED_VALUE"""),"GA")</f>
        <v>GA</v>
      </c>
      <c r="D20" s="127" t="str">
        <f>IFERROR(__xludf.DUMMYFUNCTION("""COMPUTED_VALUE"""),"USA")</f>
        <v>USA</v>
      </c>
      <c r="E20" s="128">
        <f>IFERROR(__xludf.DUMMYFUNCTION("""COMPUTED_VALUE"""),44495.0)</f>
        <v>44495</v>
      </c>
      <c r="F20" s="146"/>
      <c r="G20" s="135"/>
      <c r="H20" s="147"/>
      <c r="I20" s="144"/>
      <c r="J20" s="129"/>
      <c r="K20" s="148"/>
      <c r="L20" s="133"/>
      <c r="M20" s="133"/>
      <c r="N20" s="127" t="str">
        <f>IFERROR(__xludf.DUMMYFUNCTION("""COMPUTED_VALUE"""),"Model 3 Performance")</f>
        <v>Model 3 Performance</v>
      </c>
      <c r="O20" s="127" t="str">
        <f>IFERROR(__xludf.DUMMYFUNCTION("""COMPUTED_VALUE"""),"Red Multi-Coat")</f>
        <v>Red Multi-Coat</v>
      </c>
      <c r="P20" s="134" t="str">
        <f>IFERROR(__xludf.DUMMYFUNCTION("""COMPUTED_VALUE"""),"20 inch")</f>
        <v>20 inch</v>
      </c>
      <c r="Q20" s="127" t="str">
        <f>IFERROR(__xludf.DUMMYFUNCTION("""COMPUTED_VALUE"""),"Black and White")</f>
        <v>Black and White</v>
      </c>
      <c r="R20" s="127" t="str">
        <f>IFERROR(__xludf.DUMMYFUNCTION("""COMPUTED_VALUE"""),"Autopilot included")</f>
        <v>Autopilot included</v>
      </c>
      <c r="S20" s="127" t="str">
        <f>IFERROR(__xludf.DUMMYFUNCTION("""COMPUTED_VALUE"""),"Cash")</f>
        <v>Cash</v>
      </c>
      <c r="T20" s="135" t="str">
        <f>IFERROR(__xludf.DUMMYFUNCTION("""COMPUTED_VALUE"""),"Tesla Model 3")</f>
        <v>Tesla Model 3</v>
      </c>
      <c r="U20" s="135" t="str">
        <f>IFERROR(__xludf.DUMMYFUNCTION("""COMPUTED_VALUE"""),"Electric!")</f>
        <v>Electric!</v>
      </c>
      <c r="V20" s="135" t="str">
        <f>IFERROR(__xludf.DUMMYFUNCTION("""COMPUTED_VALUE"""),"Air suspension")</f>
        <v>Air suspension</v>
      </c>
      <c r="W20" s="145"/>
      <c r="X20" s="137"/>
      <c r="Y20" s="138"/>
      <c r="Z20" s="138"/>
      <c r="AA20" s="138"/>
      <c r="AB20" s="138"/>
      <c r="AC20" s="139"/>
      <c r="AD20" s="139"/>
      <c r="AE20" s="139"/>
      <c r="AF20" s="140"/>
      <c r="AG20" s="145"/>
      <c r="AH20" s="141">
        <f>IFERROR(__xludf.DUMMYFUNCTION("""COMPUTED_VALUE"""),44495.48459878472)</f>
        <v>44495.4846</v>
      </c>
      <c r="AI20" s="138"/>
      <c r="AJ20" s="138"/>
      <c r="AK20" s="138"/>
      <c r="AL20" s="142"/>
    </row>
    <row r="21" ht="20.25" customHeight="1">
      <c r="A21" s="125" t="str">
        <f>IFERROR(__xludf.DUMMYFUNCTION("""COMPUTED_VALUE"""),"cjaffree1")</f>
        <v>cjaffree1</v>
      </c>
      <c r="B21" s="127" t="str">
        <f>IFERROR(__xludf.DUMMYFUNCTION("""COMPUTED_VALUE"""),"Madison")</f>
        <v>Madison</v>
      </c>
      <c r="C21" s="127" t="str">
        <f>IFERROR(__xludf.DUMMYFUNCTION("""COMPUTED_VALUE"""),"AL")</f>
        <v>AL</v>
      </c>
      <c r="D21" s="127" t="str">
        <f>IFERROR(__xludf.DUMMYFUNCTION("""COMPUTED_VALUE"""),"USA")</f>
        <v>USA</v>
      </c>
      <c r="E21" s="128">
        <f>IFERROR(__xludf.DUMMYFUNCTION("""COMPUTED_VALUE"""),44494.0)</f>
        <v>44494</v>
      </c>
      <c r="F21" s="146"/>
      <c r="G21" s="135"/>
      <c r="H21" s="147"/>
      <c r="I21" s="144"/>
      <c r="J21" s="129"/>
      <c r="K21" s="148"/>
      <c r="L21" s="133"/>
      <c r="M21" s="133"/>
      <c r="N21" s="127" t="str">
        <f>IFERROR(__xludf.DUMMYFUNCTION("""COMPUTED_VALUE"""),"Model 3 Performance")</f>
        <v>Model 3 Performance</v>
      </c>
      <c r="O21" s="127" t="str">
        <f>IFERROR(__xludf.DUMMYFUNCTION("""COMPUTED_VALUE"""),"Deep Blue Metallic")</f>
        <v>Deep Blue Metallic</v>
      </c>
      <c r="P21" s="134" t="str">
        <f>IFERROR(__xludf.DUMMYFUNCTION("""COMPUTED_VALUE"""),"20 inch")</f>
        <v>20 inch</v>
      </c>
      <c r="Q21" s="127" t="str">
        <f>IFERROR(__xludf.DUMMYFUNCTION("""COMPUTED_VALUE"""),"All Black")</f>
        <v>All Black</v>
      </c>
      <c r="R21" s="127" t="str">
        <f>IFERROR(__xludf.DUMMYFUNCTION("""COMPUTED_VALUE"""),"Autopilot included")</f>
        <v>Autopilot included</v>
      </c>
      <c r="S21" s="127" t="str">
        <f>IFERROR(__xludf.DUMMYFUNCTION("""COMPUTED_VALUE"""),"Cash")</f>
        <v>Cash</v>
      </c>
      <c r="T21" s="135" t="str">
        <f>IFERROR(__xludf.DUMMYFUNCTION("""COMPUTED_VALUE"""),"Tesla Model 3")</f>
        <v>Tesla Model 3</v>
      </c>
      <c r="U21" s="135" t="str">
        <f>IFERROR(__xludf.DUMMYFUNCTION("""COMPUTED_VALUE"""),"Electric!")</f>
        <v>Electric!</v>
      </c>
      <c r="V21" s="135" t="str">
        <f>IFERROR(__xludf.DUMMYFUNCTION("""COMPUTED_VALUE"""),"Apple CarPlay / Android Auto / SiriusXM Radio")</f>
        <v>Apple CarPlay / Android Auto / SiriusXM Radio</v>
      </c>
      <c r="W21" s="136" t="str">
        <f>IFERROR(__xludf.DUMMYFUNCTION("""COMPUTED_VALUE"""),"INSPECT your car before driving off with it")</f>
        <v>INSPECT your car before driving off with it</v>
      </c>
      <c r="X21" s="137"/>
      <c r="Y21" s="138"/>
      <c r="Z21" s="138"/>
      <c r="AA21" s="138"/>
      <c r="AB21" s="138"/>
      <c r="AC21" s="139"/>
      <c r="AD21" s="139"/>
      <c r="AE21" s="139"/>
      <c r="AF21" s="140"/>
      <c r="AG21" s="136" t="str">
        <f>IFERROR(__xludf.DUMMYFUNCTION("""COMPUTED_VALUE"""),"Loved it so much, I'm getting two more.")</f>
        <v>Loved it so much, I'm getting two more.</v>
      </c>
      <c r="AH21" s="141">
        <f>IFERROR(__xludf.DUMMYFUNCTION("""COMPUTED_VALUE"""),44495.79970991899)</f>
        <v>44495.79971</v>
      </c>
      <c r="AI21" s="138"/>
      <c r="AJ21" s="138"/>
      <c r="AK21" s="138"/>
      <c r="AL21" s="142"/>
    </row>
    <row r="22" ht="20.25" customHeight="1">
      <c r="A22" s="125" t="str">
        <f>IFERROR(__xludf.DUMMYFUNCTION("""COMPUTED_VALUE"""),"Idkorcare")</f>
        <v>Idkorcare</v>
      </c>
      <c r="B22" s="127" t="str">
        <f>IFERROR(__xludf.DUMMYFUNCTION("""COMPUTED_VALUE"""),"Atlanta")</f>
        <v>Atlanta</v>
      </c>
      <c r="C22" s="127" t="str">
        <f>IFERROR(__xludf.DUMMYFUNCTION("""COMPUTED_VALUE"""),"GA")</f>
        <v>GA</v>
      </c>
      <c r="D22" s="127" t="str">
        <f>IFERROR(__xludf.DUMMYFUNCTION("""COMPUTED_VALUE"""),"USA")</f>
        <v>USA</v>
      </c>
      <c r="E22" s="128">
        <f>IFERROR(__xludf.DUMMYFUNCTION("""COMPUTED_VALUE"""),44494.0)</f>
        <v>44494</v>
      </c>
      <c r="F22" s="129"/>
      <c r="G22" s="154"/>
      <c r="H22" s="131"/>
      <c r="I22" s="144"/>
      <c r="J22" s="129"/>
      <c r="K22" s="133"/>
      <c r="L22" s="133"/>
      <c r="M22" s="133"/>
      <c r="N22" s="127" t="str">
        <f>IFERROR(__xludf.DUMMYFUNCTION("""COMPUTED_VALUE"""),"Model 3 LR AWD")</f>
        <v>Model 3 LR AWD</v>
      </c>
      <c r="O22" s="127" t="str">
        <f>IFERROR(__xludf.DUMMYFUNCTION("""COMPUTED_VALUE"""),"Deep Blue Metallic")</f>
        <v>Deep Blue Metallic</v>
      </c>
      <c r="P22" s="134" t="str">
        <f>IFERROR(__xludf.DUMMYFUNCTION("""COMPUTED_VALUE"""),"18 inch")</f>
        <v>18 inch</v>
      </c>
      <c r="Q22" s="127" t="str">
        <f>IFERROR(__xludf.DUMMYFUNCTION("""COMPUTED_VALUE"""),"Black and White")</f>
        <v>Black and White</v>
      </c>
      <c r="R22" s="127" t="str">
        <f>IFERROR(__xludf.DUMMYFUNCTION("""COMPUTED_VALUE"""),"Autopilot included")</f>
        <v>Autopilot included</v>
      </c>
      <c r="S22" s="127" t="str">
        <f>IFERROR(__xludf.DUMMYFUNCTION("""COMPUTED_VALUE"""),"Loan")</f>
        <v>Loan</v>
      </c>
      <c r="T22" s="135" t="str">
        <f>IFERROR(__xludf.DUMMYFUNCTION("""COMPUTED_VALUE"""),"Tesla Model 3")</f>
        <v>Tesla Model 3</v>
      </c>
      <c r="U22" s="135" t="str">
        <f>IFERROR(__xludf.DUMMYFUNCTION("""COMPUTED_VALUE"""),"Electric!")</f>
        <v>Electric!</v>
      </c>
      <c r="V22" s="135" t="str">
        <f>IFERROR(__xludf.DUMMYFUNCTION("""COMPUTED_VALUE"""),"Apple CarPlay / Android Auto / SiriusXM Radio")</f>
        <v>Apple CarPlay / Android Auto / SiriusXM Radio</v>
      </c>
      <c r="W22" s="136"/>
      <c r="X22" s="151"/>
      <c r="Y22" s="138"/>
      <c r="Z22" s="138"/>
      <c r="AA22" s="138"/>
      <c r="AB22" s="138"/>
      <c r="AC22" s="139"/>
      <c r="AD22" s="139"/>
      <c r="AE22" s="139"/>
      <c r="AF22" s="140"/>
      <c r="AG22" s="136"/>
      <c r="AH22" s="141">
        <f>IFERROR(__xludf.DUMMYFUNCTION("""COMPUTED_VALUE"""),44494.93992725695)</f>
        <v>44494.93993</v>
      </c>
      <c r="AI22" s="138"/>
      <c r="AJ22" s="138"/>
      <c r="AK22" s="138"/>
      <c r="AL22" s="142"/>
    </row>
    <row r="23" ht="20.25" customHeight="1">
      <c r="A23" s="125" t="str">
        <f>IFERROR(__xludf.DUMMYFUNCTION("""COMPUTED_VALUE"""),"sdoja3")</f>
        <v>sdoja3</v>
      </c>
      <c r="B23" s="127" t="str">
        <f>IFERROR(__xludf.DUMMYFUNCTION("""COMPUTED_VALUE"""),"Valparaiso")</f>
        <v>Valparaiso</v>
      </c>
      <c r="C23" s="127" t="str">
        <f>IFERROR(__xludf.DUMMYFUNCTION("""COMPUTED_VALUE"""),"IN")</f>
        <v>IN</v>
      </c>
      <c r="D23" s="127" t="str">
        <f>IFERROR(__xludf.DUMMYFUNCTION("""COMPUTED_VALUE"""),"USA")</f>
        <v>USA</v>
      </c>
      <c r="E23" s="128">
        <f>IFERROR(__xludf.DUMMYFUNCTION("""COMPUTED_VALUE"""),44494.0)</f>
        <v>44494</v>
      </c>
      <c r="F23" s="146"/>
      <c r="G23" s="135"/>
      <c r="H23" s="147"/>
      <c r="I23" s="144"/>
      <c r="J23" s="129"/>
      <c r="K23" s="148"/>
      <c r="L23" s="133"/>
      <c r="M23" s="133"/>
      <c r="N23" s="127" t="str">
        <f>IFERROR(__xludf.DUMMYFUNCTION("""COMPUTED_VALUE"""),"Model 3 LR AWD")</f>
        <v>Model 3 LR AWD</v>
      </c>
      <c r="O23" s="127" t="str">
        <f>IFERROR(__xludf.DUMMYFUNCTION("""COMPUTED_VALUE"""),"Midnight Silver Metallic")</f>
        <v>Midnight Silver Metallic</v>
      </c>
      <c r="P23" s="134" t="str">
        <f>IFERROR(__xludf.DUMMYFUNCTION("""COMPUTED_VALUE"""),"19 inch")</f>
        <v>19 inch</v>
      </c>
      <c r="Q23" s="127" t="str">
        <f>IFERROR(__xludf.DUMMYFUNCTION("""COMPUTED_VALUE"""),"All Black")</f>
        <v>All Black</v>
      </c>
      <c r="R23" s="127" t="str">
        <f>IFERROR(__xludf.DUMMYFUNCTION("""COMPUTED_VALUE"""),"Autopilot included")</f>
        <v>Autopilot included</v>
      </c>
      <c r="S23" s="127" t="str">
        <f>IFERROR(__xludf.DUMMYFUNCTION("""COMPUTED_VALUE"""),"Cash")</f>
        <v>Cash</v>
      </c>
      <c r="T23" s="135"/>
      <c r="U23" s="135"/>
      <c r="V23" s="135"/>
      <c r="W23" s="145"/>
      <c r="X23" s="137"/>
      <c r="Y23" s="138"/>
      <c r="Z23" s="138"/>
      <c r="AA23" s="138"/>
      <c r="AB23" s="138"/>
      <c r="AC23" s="139"/>
      <c r="AD23" s="139"/>
      <c r="AE23" s="139"/>
      <c r="AF23" s="140"/>
      <c r="AG23" s="145"/>
      <c r="AH23" s="141">
        <f>IFERROR(__xludf.DUMMYFUNCTION("""COMPUTED_VALUE"""),44494.5766925)</f>
        <v>44494.57669</v>
      </c>
      <c r="AI23" s="138"/>
      <c r="AJ23" s="138"/>
      <c r="AK23" s="138"/>
      <c r="AL23" s="142"/>
    </row>
    <row r="24" ht="20.25" customHeight="1">
      <c r="A24" s="125" t="str">
        <f>IFERROR(__xludf.DUMMYFUNCTION("""COMPUTED_VALUE"""),"cjaffree1")</f>
        <v>cjaffree1</v>
      </c>
      <c r="B24" s="127" t="str">
        <f>IFERROR(__xludf.DUMMYFUNCTION("""COMPUTED_VALUE"""),"Madison")</f>
        <v>Madison</v>
      </c>
      <c r="C24" s="127" t="str">
        <f>IFERROR(__xludf.DUMMYFUNCTION("""COMPUTED_VALUE"""),"AL")</f>
        <v>AL</v>
      </c>
      <c r="D24" s="127" t="str">
        <f>IFERROR(__xludf.DUMMYFUNCTION("""COMPUTED_VALUE"""),"USA")</f>
        <v>USA</v>
      </c>
      <c r="E24" s="128">
        <f>IFERROR(__xludf.DUMMYFUNCTION("""COMPUTED_VALUE"""),44493.0)</f>
        <v>44493</v>
      </c>
      <c r="F24" s="129">
        <f>IFERROR(__xludf.DUMMYFUNCTION("""COMPUTED_VALUE"""),44502.0)</f>
        <v>44502</v>
      </c>
      <c r="G24" s="154" t="str">
        <f>IFERROR(__xludf.DUMMYFUNCTION("""COMPUTED_VALUE"""),"Manage order page (normal text)")</f>
        <v>Manage order page (normal text)</v>
      </c>
      <c r="H24" s="131">
        <f>IFERROR(__xludf.DUMMYFUNCTION("""COMPUTED_VALUE"""),105955.0)</f>
        <v>105955</v>
      </c>
      <c r="I24" s="144"/>
      <c r="J24" s="129"/>
      <c r="K24" s="133">
        <f>IFERROR(__xludf.DUMMYFUNCTION("""COMPUTED_VALUE"""),9.0)</f>
        <v>9</v>
      </c>
      <c r="L24" s="133"/>
      <c r="M24" s="133"/>
      <c r="N24" s="127" t="str">
        <f>IFERROR(__xludf.DUMMYFUNCTION("""COMPUTED_VALUE"""),"Model 3 Performance")</f>
        <v>Model 3 Performance</v>
      </c>
      <c r="O24" s="127" t="str">
        <f>IFERROR(__xludf.DUMMYFUNCTION("""COMPUTED_VALUE"""),"Deep Blue Metallic")</f>
        <v>Deep Blue Metallic</v>
      </c>
      <c r="P24" s="134" t="str">
        <f>IFERROR(__xludf.DUMMYFUNCTION("""COMPUTED_VALUE"""),"20 inch")</f>
        <v>20 inch</v>
      </c>
      <c r="Q24" s="127" t="str">
        <f>IFERROR(__xludf.DUMMYFUNCTION("""COMPUTED_VALUE"""),"All Black")</f>
        <v>All Black</v>
      </c>
      <c r="R24" s="127" t="str">
        <f>IFERROR(__xludf.DUMMYFUNCTION("""COMPUTED_VALUE"""),"Autopilot included")</f>
        <v>Autopilot included</v>
      </c>
      <c r="S24" s="127" t="str">
        <f>IFERROR(__xludf.DUMMYFUNCTION("""COMPUTED_VALUE"""),"Loan")</f>
        <v>Loan</v>
      </c>
      <c r="T24" s="135" t="str">
        <f>IFERROR(__xludf.DUMMYFUNCTION("""COMPUTED_VALUE"""),"Tesla Model 3")</f>
        <v>Tesla Model 3</v>
      </c>
      <c r="U24" s="135" t="str">
        <f>IFERROR(__xludf.DUMMYFUNCTION("""COMPUTED_VALUE"""),"Electric!")</f>
        <v>Electric!</v>
      </c>
      <c r="V24" s="135" t="str">
        <f>IFERROR(__xludf.DUMMYFUNCTION("""COMPUTED_VALUE"""),"Apple CarPlay / Android Auto / SiriusXM Radio")</f>
        <v>Apple CarPlay / Android Auto / SiriusXM Radio</v>
      </c>
      <c r="W24" s="136"/>
      <c r="X24" s="137"/>
      <c r="Y24" s="138"/>
      <c r="Z24" s="138"/>
      <c r="AA24" s="138"/>
      <c r="AB24" s="138"/>
      <c r="AC24" s="139"/>
      <c r="AD24" s="139"/>
      <c r="AE24" s="139"/>
      <c r="AF24" s="140"/>
      <c r="AG24" s="136"/>
      <c r="AH24" s="141">
        <f>IFERROR(__xludf.DUMMYFUNCTION("""COMPUTED_VALUE"""),44503.63784898148)</f>
        <v>44503.63785</v>
      </c>
      <c r="AI24" s="138"/>
      <c r="AJ24" s="138"/>
      <c r="AK24" s="138"/>
      <c r="AL24" s="142"/>
    </row>
    <row r="25" ht="20.25" customHeight="1">
      <c r="A25" s="155" t="str">
        <f>IFERROR(__xludf.DUMMYFUNCTION("""COMPUTED_VALUE"""),"cosmicllama")</f>
        <v>cosmicllama</v>
      </c>
      <c r="B25" s="149" t="str">
        <f>IFERROR(__xludf.DUMMYFUNCTION("""COMPUTED_VALUE"""),"Tysons Corner")</f>
        <v>Tysons Corner</v>
      </c>
      <c r="C25" s="149" t="str">
        <f>IFERROR(__xludf.DUMMYFUNCTION("""COMPUTED_VALUE"""),"VA")</f>
        <v>VA</v>
      </c>
      <c r="D25" s="149" t="str">
        <f>IFERROR(__xludf.DUMMYFUNCTION("""COMPUTED_VALUE"""),"USA")</f>
        <v>USA</v>
      </c>
      <c r="E25" s="156">
        <f>IFERROR(__xludf.DUMMYFUNCTION("""COMPUTED_VALUE"""),44493.0)</f>
        <v>44493</v>
      </c>
      <c r="F25" s="129"/>
      <c r="G25" s="154"/>
      <c r="H25" s="131"/>
      <c r="I25" s="144"/>
      <c r="J25" s="129"/>
      <c r="K25" s="133"/>
      <c r="L25" s="133"/>
      <c r="M25" s="133"/>
      <c r="N25" s="152" t="str">
        <f>IFERROR(__xludf.DUMMYFUNCTION("""COMPUTED_VALUE"""),"Model 3 LR AWD")</f>
        <v>Model 3 LR AWD</v>
      </c>
      <c r="O25" s="152" t="str">
        <f>IFERROR(__xludf.DUMMYFUNCTION("""COMPUTED_VALUE"""),"Deep Blue Metallic")</f>
        <v>Deep Blue Metallic</v>
      </c>
      <c r="P25" s="153" t="str">
        <f>IFERROR(__xludf.DUMMYFUNCTION("""COMPUTED_VALUE"""),"18 inch")</f>
        <v>18 inch</v>
      </c>
      <c r="Q25" s="152" t="str">
        <f>IFERROR(__xludf.DUMMYFUNCTION("""COMPUTED_VALUE"""),"Black and White")</f>
        <v>Black and White</v>
      </c>
      <c r="R25" s="149" t="str">
        <f>IFERROR(__xludf.DUMMYFUNCTION("""COMPUTED_VALUE"""),"Autopilot included")</f>
        <v>Autopilot included</v>
      </c>
      <c r="S25" s="149" t="str">
        <f>IFERROR(__xludf.DUMMYFUNCTION("""COMPUTED_VALUE"""),"Loan")</f>
        <v>Loan</v>
      </c>
      <c r="T25" s="145" t="str">
        <f>IFERROR(__xludf.DUMMYFUNCTION("""COMPUTED_VALUE"""),"Tesla Model 3")</f>
        <v>Tesla Model 3</v>
      </c>
      <c r="U25" s="145" t="str">
        <f>IFERROR(__xludf.DUMMYFUNCTION("""COMPUTED_VALUE"""),"Electric!")</f>
        <v>Electric!</v>
      </c>
      <c r="V25" s="145" t="str">
        <f>IFERROR(__xludf.DUMMYFUNCTION("""COMPUTED_VALUE"""),"360° Bird's eye view")</f>
        <v>360° Bird's eye view</v>
      </c>
      <c r="W25" s="145"/>
      <c r="X25" s="137"/>
      <c r="Y25" s="138"/>
      <c r="Z25" s="138"/>
      <c r="AA25" s="138"/>
      <c r="AB25" s="138"/>
      <c r="AC25" s="139"/>
      <c r="AD25" s="139"/>
      <c r="AE25" s="139"/>
      <c r="AF25" s="140"/>
      <c r="AG25" s="145"/>
      <c r="AH25" s="157">
        <f>IFERROR(__xludf.DUMMYFUNCTION("""COMPUTED_VALUE"""),44493.509045856474)</f>
        <v>44493.50905</v>
      </c>
      <c r="AI25" s="138"/>
      <c r="AJ25" s="138"/>
      <c r="AK25" s="138"/>
      <c r="AL25" s="142"/>
    </row>
    <row r="26" ht="20.25" customHeight="1">
      <c r="A26" s="155" t="str">
        <f>IFERROR(__xludf.DUMMYFUNCTION("""COMPUTED_VALUE"""),"mshar")</f>
        <v>mshar</v>
      </c>
      <c r="B26" s="149"/>
      <c r="C26" s="149"/>
      <c r="D26" s="149" t="str">
        <f>IFERROR(__xludf.DUMMYFUNCTION("""COMPUTED_VALUE"""),"United Kingdom")</f>
        <v>United Kingdom</v>
      </c>
      <c r="E26" s="156">
        <f>IFERROR(__xludf.DUMMYFUNCTION("""COMPUTED_VALUE"""),44491.0)</f>
        <v>44491</v>
      </c>
      <c r="F26" s="129"/>
      <c r="G26" s="154"/>
      <c r="H26" s="131"/>
      <c r="I26" s="144"/>
      <c r="J26" s="129"/>
      <c r="K26" s="133"/>
      <c r="L26" s="133"/>
      <c r="M26" s="133"/>
      <c r="N26" s="152" t="str">
        <f>IFERROR(__xludf.DUMMYFUNCTION("""COMPUTED_VALUE"""),"Model 3 LR AWD")</f>
        <v>Model 3 LR AWD</v>
      </c>
      <c r="O26" s="152" t="str">
        <f>IFERROR(__xludf.DUMMYFUNCTION("""COMPUTED_VALUE"""),"Red Multi-Coat")</f>
        <v>Red Multi-Coat</v>
      </c>
      <c r="P26" s="153" t="str">
        <f>IFERROR(__xludf.DUMMYFUNCTION("""COMPUTED_VALUE"""),"19 inch")</f>
        <v>19 inch</v>
      </c>
      <c r="Q26" s="152" t="str">
        <f>IFERROR(__xludf.DUMMYFUNCTION("""COMPUTED_VALUE"""),"All Black")</f>
        <v>All Black</v>
      </c>
      <c r="R26" s="149" t="str">
        <f>IFERROR(__xludf.DUMMYFUNCTION("""COMPUTED_VALUE"""),"Autopilot included")</f>
        <v>Autopilot included</v>
      </c>
      <c r="S26" s="149" t="str">
        <f>IFERROR(__xludf.DUMMYFUNCTION("""COMPUTED_VALUE"""),"Loan")</f>
        <v>Loan</v>
      </c>
      <c r="T26" s="145" t="str">
        <f>IFERROR(__xludf.DUMMYFUNCTION("""COMPUTED_VALUE"""),"Fiat 500")</f>
        <v>Fiat 500</v>
      </c>
      <c r="U26" s="145" t="str">
        <f>IFERROR(__xludf.DUMMYFUNCTION("""COMPUTED_VALUE"""),"Electric!")</f>
        <v>Electric!</v>
      </c>
      <c r="V26" s="145"/>
      <c r="W26" s="145"/>
      <c r="X26" s="137"/>
      <c r="Y26" s="138"/>
      <c r="Z26" s="138"/>
      <c r="AA26" s="138"/>
      <c r="AB26" s="138"/>
      <c r="AC26" s="139"/>
      <c r="AD26" s="139"/>
      <c r="AE26" s="139"/>
      <c r="AF26" s="140"/>
      <c r="AG26" s="145"/>
      <c r="AH26" s="157">
        <f>IFERROR(__xludf.DUMMYFUNCTION("""COMPUTED_VALUE"""),44504.566697361115)</f>
        <v>44504.5667</v>
      </c>
      <c r="AI26" s="138"/>
      <c r="AJ26" s="138"/>
      <c r="AK26" s="138"/>
      <c r="AL26" s="142"/>
    </row>
    <row r="27" ht="20.25" customHeight="1">
      <c r="A27" s="155" t="str">
        <f>IFERROR(__xludf.DUMMYFUNCTION("""COMPUTED_VALUE"""),"LadM3")</f>
        <v>LadM3</v>
      </c>
      <c r="B27" s="149" t="str">
        <f>IFERROR(__xludf.DUMMYFUNCTION("""COMPUTED_VALUE"""),"Charlotte")</f>
        <v>Charlotte</v>
      </c>
      <c r="C27" s="149" t="str">
        <f>IFERROR(__xludf.DUMMYFUNCTION("""COMPUTED_VALUE"""),"NC")</f>
        <v>NC</v>
      </c>
      <c r="D27" s="149" t="str">
        <f>IFERROR(__xludf.DUMMYFUNCTION("""COMPUTED_VALUE"""),"USA")</f>
        <v>USA</v>
      </c>
      <c r="E27" s="156">
        <f>IFERROR(__xludf.DUMMYFUNCTION("""COMPUTED_VALUE"""),44490.0)</f>
        <v>44490</v>
      </c>
      <c r="F27" s="129">
        <f>IFERROR(__xludf.DUMMYFUNCTION("""COMPUTED_VALUE"""),44507.0)</f>
        <v>44507</v>
      </c>
      <c r="G27" s="154" t="str">
        <f>IFERROR(__xludf.DUMMYFUNCTION("""COMPUTED_VALUE"""),"Manage order page (normal text)")</f>
        <v>Manage order page (normal text)</v>
      </c>
      <c r="H27" s="131">
        <f>IFERROR(__xludf.DUMMYFUNCTION("""COMPUTED_VALUE"""),105629.0)</f>
        <v>105629</v>
      </c>
      <c r="I27" s="144"/>
      <c r="J27" s="129"/>
      <c r="K27" s="133">
        <f>IFERROR(__xludf.DUMMYFUNCTION("""COMPUTED_VALUE"""),17.0)</f>
        <v>17</v>
      </c>
      <c r="L27" s="133"/>
      <c r="M27" s="133"/>
      <c r="N27" s="152" t="str">
        <f>IFERROR(__xludf.DUMMYFUNCTION("""COMPUTED_VALUE"""),"Model 3 LR AWD")</f>
        <v>Model 3 LR AWD</v>
      </c>
      <c r="O27" s="152" t="str">
        <f>IFERROR(__xludf.DUMMYFUNCTION("""COMPUTED_VALUE"""),"Deep Blue Metallic")</f>
        <v>Deep Blue Metallic</v>
      </c>
      <c r="P27" s="153" t="str">
        <f>IFERROR(__xludf.DUMMYFUNCTION("""COMPUTED_VALUE"""),"18 inch")</f>
        <v>18 inch</v>
      </c>
      <c r="Q27" s="152" t="str">
        <f>IFERROR(__xludf.DUMMYFUNCTION("""COMPUTED_VALUE"""),"All Black")</f>
        <v>All Black</v>
      </c>
      <c r="R27" s="149" t="str">
        <f>IFERROR(__xludf.DUMMYFUNCTION("""COMPUTED_VALUE"""),"Autopilot included")</f>
        <v>Autopilot included</v>
      </c>
      <c r="S27" s="149"/>
      <c r="T27" s="145" t="str">
        <f>IFERROR(__xludf.DUMMYFUNCTION("""COMPUTED_VALUE"""),"Tesla Model 3")</f>
        <v>Tesla Model 3</v>
      </c>
      <c r="U27" s="145" t="str">
        <f>IFERROR(__xludf.DUMMYFUNCTION("""COMPUTED_VALUE"""),"Electric!")</f>
        <v>Electric!</v>
      </c>
      <c r="V27" s="145" t="str">
        <f>IFERROR(__xludf.DUMMYFUNCTION("""COMPUTED_VALUE"""),"Head-up display")</f>
        <v>Head-up display</v>
      </c>
      <c r="W27" s="136"/>
      <c r="X27" s="137"/>
      <c r="Y27" s="138"/>
      <c r="Z27" s="138"/>
      <c r="AA27" s="138"/>
      <c r="AB27" s="138"/>
      <c r="AC27" s="139"/>
      <c r="AD27" s="139"/>
      <c r="AE27" s="139"/>
      <c r="AF27" s="140"/>
      <c r="AG27" s="136"/>
      <c r="AH27" s="157">
        <f>IFERROR(__xludf.DUMMYFUNCTION("""COMPUTED_VALUE"""),44507.28626538195)</f>
        <v>44507.28627</v>
      </c>
      <c r="AI27" s="138"/>
      <c r="AJ27" s="138"/>
      <c r="AK27" s="138"/>
      <c r="AL27" s="142"/>
    </row>
    <row r="28" ht="20.25" customHeight="1">
      <c r="A28" s="155" t="str">
        <f>IFERROR(__xludf.DUMMYFUNCTION("""COMPUTED_VALUE"""),"RateMyFuneral")</f>
        <v>RateMyFuneral</v>
      </c>
      <c r="B28" s="150" t="str">
        <f>IFERROR(__xludf.DUMMYFUNCTION("""COMPUTED_VALUE"""),"Essex")</f>
        <v>Essex</v>
      </c>
      <c r="C28" s="149"/>
      <c r="D28" s="149" t="str">
        <f>IFERROR(__xludf.DUMMYFUNCTION("""COMPUTED_VALUE"""),"United Kingdom")</f>
        <v>United Kingdom</v>
      </c>
      <c r="E28" s="156">
        <f>IFERROR(__xludf.DUMMYFUNCTION("""COMPUTED_VALUE"""),44490.0)</f>
        <v>44490</v>
      </c>
      <c r="F28" s="129">
        <f>IFERROR(__xludf.DUMMYFUNCTION("""COMPUTED_VALUE"""),44502.0)</f>
        <v>44502</v>
      </c>
      <c r="G28" s="154" t="str">
        <f>IFERROR(__xludf.DUMMYFUNCTION("""COMPUTED_VALUE"""),"Source code")</f>
        <v>Source code</v>
      </c>
      <c r="H28" s="131"/>
      <c r="I28" s="144"/>
      <c r="J28" s="129"/>
      <c r="K28" s="133">
        <f>IFERROR(__xludf.DUMMYFUNCTION("""COMPUTED_VALUE"""),12.0)</f>
        <v>12</v>
      </c>
      <c r="L28" s="133"/>
      <c r="M28" s="133"/>
      <c r="N28" s="152" t="str">
        <f>IFERROR(__xludf.DUMMYFUNCTION("""COMPUTED_VALUE"""),"Model 3 LR AWD")</f>
        <v>Model 3 LR AWD</v>
      </c>
      <c r="O28" s="152" t="str">
        <f>IFERROR(__xludf.DUMMYFUNCTION("""COMPUTED_VALUE"""),"Midnight Silver Metallic")</f>
        <v>Midnight Silver Metallic</v>
      </c>
      <c r="P28" s="153" t="str">
        <f>IFERROR(__xludf.DUMMYFUNCTION("""COMPUTED_VALUE"""),"19 inch")</f>
        <v>19 inch</v>
      </c>
      <c r="Q28" s="152" t="str">
        <f>IFERROR(__xludf.DUMMYFUNCTION("""COMPUTED_VALUE"""),"Black and White")</f>
        <v>Black and White</v>
      </c>
      <c r="R28" s="149" t="str">
        <f>IFERROR(__xludf.DUMMYFUNCTION("""COMPUTED_VALUE"""),"Autopilot included")</f>
        <v>Autopilot included</v>
      </c>
      <c r="S28" s="149" t="str">
        <f>IFERROR(__xludf.DUMMYFUNCTION("""COMPUTED_VALUE"""),"Lease")</f>
        <v>Lease</v>
      </c>
      <c r="T28" s="145" t="str">
        <f>IFERROR(__xludf.DUMMYFUNCTION("""COMPUTED_VALUE"""),"Land Rover Discovery Sport")</f>
        <v>Land Rover Discovery Sport</v>
      </c>
      <c r="U28" s="145" t="str">
        <f>IFERROR(__xludf.DUMMYFUNCTION("""COMPUTED_VALUE"""),"Autopilot")</f>
        <v>Autopilot</v>
      </c>
      <c r="V28" s="145" t="str">
        <f>IFERROR(__xludf.DUMMYFUNCTION("""COMPUTED_VALUE"""),"Apple CarPlay / Android Auto / SiriusXM Radio")</f>
        <v>Apple CarPlay / Android Auto / SiriusXM Radio</v>
      </c>
      <c r="W28" s="136"/>
      <c r="X28" s="137"/>
      <c r="Y28" s="138"/>
      <c r="Z28" s="138"/>
      <c r="AA28" s="138"/>
      <c r="AB28" s="138"/>
      <c r="AC28" s="139"/>
      <c r="AD28" s="139"/>
      <c r="AE28" s="139"/>
      <c r="AF28" s="140"/>
      <c r="AG28" s="136"/>
      <c r="AH28" s="157">
        <f>IFERROR(__xludf.DUMMYFUNCTION("""COMPUTED_VALUE"""),44502.25550815972)</f>
        <v>44502.25551</v>
      </c>
      <c r="AI28" s="138"/>
      <c r="AJ28" s="138"/>
      <c r="AK28" s="138"/>
      <c r="AL28" s="142"/>
    </row>
    <row r="29" ht="20.25" customHeight="1">
      <c r="A29" s="155" t="str">
        <f>IFERROR(__xludf.DUMMYFUNCTION("""COMPUTED_VALUE"""),"sunnyday3")</f>
        <v>sunnyday3</v>
      </c>
      <c r="B29" s="149" t="str">
        <f>IFERROR(__xludf.DUMMYFUNCTION("""COMPUTED_VALUE"""),"Aurora")</f>
        <v>Aurora</v>
      </c>
      <c r="C29" s="149" t="str">
        <f>IFERROR(__xludf.DUMMYFUNCTION("""COMPUTED_VALUE"""),"ON")</f>
        <v>ON</v>
      </c>
      <c r="D29" s="149" t="str">
        <f>IFERROR(__xludf.DUMMYFUNCTION("""COMPUTED_VALUE"""),"Canada")</f>
        <v>Canada</v>
      </c>
      <c r="E29" s="156">
        <f>IFERROR(__xludf.DUMMYFUNCTION("""COMPUTED_VALUE"""),44490.0)</f>
        <v>44490</v>
      </c>
      <c r="F29" s="129"/>
      <c r="G29" s="154"/>
      <c r="H29" s="131"/>
      <c r="I29" s="144"/>
      <c r="J29" s="129"/>
      <c r="K29" s="133"/>
      <c r="L29" s="133"/>
      <c r="M29" s="133"/>
      <c r="N29" s="152" t="str">
        <f>IFERROR(__xludf.DUMMYFUNCTION("""COMPUTED_VALUE"""),"Model 3 LR AWD")</f>
        <v>Model 3 LR AWD</v>
      </c>
      <c r="O29" s="152" t="str">
        <f>IFERROR(__xludf.DUMMYFUNCTION("""COMPUTED_VALUE"""),"Midnight Silver Metallic")</f>
        <v>Midnight Silver Metallic</v>
      </c>
      <c r="P29" s="153" t="str">
        <f>IFERROR(__xludf.DUMMYFUNCTION("""COMPUTED_VALUE"""),"18 inch")</f>
        <v>18 inch</v>
      </c>
      <c r="Q29" s="152" t="str">
        <f>IFERROR(__xludf.DUMMYFUNCTION("""COMPUTED_VALUE"""),"All Black")</f>
        <v>All Black</v>
      </c>
      <c r="R29" s="149" t="str">
        <f>IFERROR(__xludf.DUMMYFUNCTION("""COMPUTED_VALUE"""),"Autopilot included")</f>
        <v>Autopilot included</v>
      </c>
      <c r="S29" s="149" t="str">
        <f>IFERROR(__xludf.DUMMYFUNCTION("""COMPUTED_VALUE"""),"Loan")</f>
        <v>Loan</v>
      </c>
      <c r="T29" s="145" t="str">
        <f>IFERROR(__xludf.DUMMYFUNCTION("""COMPUTED_VALUE"""),"Honda Civic")</f>
        <v>Honda Civic</v>
      </c>
      <c r="U29" s="145" t="str">
        <f>IFERROR(__xludf.DUMMYFUNCTION("""COMPUTED_VALUE"""),"Electric!")</f>
        <v>Electric!</v>
      </c>
      <c r="V29" s="145"/>
      <c r="W29" s="145"/>
      <c r="X29" s="137"/>
      <c r="Y29" s="138"/>
      <c r="Z29" s="138"/>
      <c r="AA29" s="138"/>
      <c r="AB29" s="138"/>
      <c r="AC29" s="139"/>
      <c r="AD29" s="139"/>
      <c r="AE29" s="139"/>
      <c r="AF29" s="140"/>
      <c r="AG29" s="145"/>
      <c r="AH29" s="157">
        <f>IFERROR(__xludf.DUMMYFUNCTION("""COMPUTED_VALUE"""),44500.77746981481)</f>
        <v>44500.77747</v>
      </c>
      <c r="AI29" s="138"/>
      <c r="AJ29" s="138"/>
      <c r="AK29" s="138"/>
      <c r="AL29" s="142"/>
    </row>
    <row r="30" ht="20.25" customHeight="1">
      <c r="A30" s="155" t="str">
        <f>IFERROR(__xludf.DUMMYFUNCTION("""COMPUTED_VALUE"""),"Willant")</f>
        <v>Willant</v>
      </c>
      <c r="B30" s="149" t="str">
        <f>IFERROR(__xludf.DUMMYFUNCTION("""COMPUTED_VALUE"""),"Coral Springs")</f>
        <v>Coral Springs</v>
      </c>
      <c r="C30" s="149" t="str">
        <f>IFERROR(__xludf.DUMMYFUNCTION("""COMPUTED_VALUE"""),"FL")</f>
        <v>FL</v>
      </c>
      <c r="D30" s="149" t="str">
        <f>IFERROR(__xludf.DUMMYFUNCTION("""COMPUTED_VALUE"""),"USA")</f>
        <v>USA</v>
      </c>
      <c r="E30" s="156">
        <f>IFERROR(__xludf.DUMMYFUNCTION("""COMPUTED_VALUE"""),44490.0)</f>
        <v>44490</v>
      </c>
      <c r="F30" s="129">
        <f>IFERROR(__xludf.DUMMYFUNCTION("""COMPUTED_VALUE"""),44503.0)</f>
        <v>44503</v>
      </c>
      <c r="G30" s="154" t="str">
        <f>IFERROR(__xludf.DUMMYFUNCTION("""COMPUTED_VALUE"""),"Manage order page (normal text)")</f>
        <v>Manage order page (normal text)</v>
      </c>
      <c r="H30" s="131">
        <f>IFERROR(__xludf.DUMMYFUNCTION("""COMPUTED_VALUE"""),104855.0)</f>
        <v>104855</v>
      </c>
      <c r="I30" s="144"/>
      <c r="J30" s="129"/>
      <c r="K30" s="133">
        <f>IFERROR(__xludf.DUMMYFUNCTION("""COMPUTED_VALUE"""),13.0)</f>
        <v>13</v>
      </c>
      <c r="L30" s="133"/>
      <c r="M30" s="133"/>
      <c r="N30" s="152" t="str">
        <f>IFERROR(__xludf.DUMMYFUNCTION("""COMPUTED_VALUE"""),"Model 3 LR AWD")</f>
        <v>Model 3 LR AWD</v>
      </c>
      <c r="O30" s="152" t="str">
        <f>IFERROR(__xludf.DUMMYFUNCTION("""COMPUTED_VALUE"""),"Pearl White Multi-Coat")</f>
        <v>Pearl White Multi-Coat</v>
      </c>
      <c r="P30" s="153" t="str">
        <f>IFERROR(__xludf.DUMMYFUNCTION("""COMPUTED_VALUE"""),"18 inch")</f>
        <v>18 inch</v>
      </c>
      <c r="Q30" s="152" t="str">
        <f>IFERROR(__xludf.DUMMYFUNCTION("""COMPUTED_VALUE"""),"All Black")</f>
        <v>All Black</v>
      </c>
      <c r="R30" s="149" t="str">
        <f>IFERROR(__xludf.DUMMYFUNCTION("""COMPUTED_VALUE"""),"Autopilot included")</f>
        <v>Autopilot included</v>
      </c>
      <c r="S30" s="149" t="str">
        <f>IFERROR(__xludf.DUMMYFUNCTION("""COMPUTED_VALUE"""),"Loan")</f>
        <v>Loan</v>
      </c>
      <c r="T30" s="145" t="str">
        <f>IFERROR(__xludf.DUMMYFUNCTION("""COMPUTED_VALUE"""),"Infiniti Q60")</f>
        <v>Infiniti Q60</v>
      </c>
      <c r="U30" s="145" t="str">
        <f>IFERROR(__xludf.DUMMYFUNCTION("""COMPUTED_VALUE"""),"Electric!")</f>
        <v>Electric!</v>
      </c>
      <c r="V30" s="145" t="str">
        <f>IFERROR(__xludf.DUMMYFUNCTION("""COMPUTED_VALUE"""),"Ventilated seats")</f>
        <v>Ventilated seats</v>
      </c>
      <c r="W30" s="136"/>
      <c r="X30" s="137"/>
      <c r="Y30" s="138"/>
      <c r="Z30" s="138"/>
      <c r="AA30" s="138"/>
      <c r="AB30" s="138"/>
      <c r="AC30" s="139"/>
      <c r="AD30" s="139"/>
      <c r="AE30" s="139"/>
      <c r="AF30" s="140"/>
      <c r="AG30" s="136"/>
      <c r="AH30" s="157">
        <f>IFERROR(__xludf.DUMMYFUNCTION("""COMPUTED_VALUE"""),44504.83645892361)</f>
        <v>44504.83646</v>
      </c>
      <c r="AI30" s="138"/>
      <c r="AJ30" s="138"/>
      <c r="AK30" s="138"/>
      <c r="AL30" s="142"/>
    </row>
    <row r="31" ht="20.25" customHeight="1">
      <c r="A31" s="155" t="str">
        <f>IFERROR(__xludf.DUMMYFUNCTION("""COMPUTED_VALUE"""),"Dyrnwyn")</f>
        <v>Dyrnwyn</v>
      </c>
      <c r="B31" s="149" t="str">
        <f>IFERROR(__xludf.DUMMYFUNCTION("""COMPUTED_VALUE"""),"Montreal")</f>
        <v>Montreal</v>
      </c>
      <c r="C31" s="149" t="str">
        <f>IFERROR(__xludf.DUMMYFUNCTION("""COMPUTED_VALUE"""),"QC")</f>
        <v>QC</v>
      </c>
      <c r="D31" s="149" t="str">
        <f>IFERROR(__xludf.DUMMYFUNCTION("""COMPUTED_VALUE"""),"Canada")</f>
        <v>Canada</v>
      </c>
      <c r="E31" s="156">
        <f>IFERROR(__xludf.DUMMYFUNCTION("""COMPUTED_VALUE"""),44489.0)</f>
        <v>44489</v>
      </c>
      <c r="F31" s="129"/>
      <c r="G31" s="154"/>
      <c r="H31" s="131"/>
      <c r="I31" s="144"/>
      <c r="J31" s="129"/>
      <c r="K31" s="133"/>
      <c r="L31" s="133"/>
      <c r="M31" s="133"/>
      <c r="N31" s="152" t="str">
        <f>IFERROR(__xludf.DUMMYFUNCTION("""COMPUTED_VALUE"""),"Model 3 SR+")</f>
        <v>Model 3 SR+</v>
      </c>
      <c r="O31" s="152" t="str">
        <f>IFERROR(__xludf.DUMMYFUNCTION("""COMPUTED_VALUE"""),"Pearl White Multi-Coat")</f>
        <v>Pearl White Multi-Coat</v>
      </c>
      <c r="P31" s="153" t="str">
        <f>IFERROR(__xludf.DUMMYFUNCTION("""COMPUTED_VALUE"""),"18 inch")</f>
        <v>18 inch</v>
      </c>
      <c r="Q31" s="152" t="str">
        <f>IFERROR(__xludf.DUMMYFUNCTION("""COMPUTED_VALUE"""),"All Black")</f>
        <v>All Black</v>
      </c>
      <c r="R31" s="149" t="str">
        <f>IFERROR(__xludf.DUMMYFUNCTION("""COMPUTED_VALUE"""),"Autopilot included")</f>
        <v>Autopilot included</v>
      </c>
      <c r="S31" s="149" t="str">
        <f>IFERROR(__xludf.DUMMYFUNCTION("""COMPUTED_VALUE"""),"Loan")</f>
        <v>Loan</v>
      </c>
      <c r="T31" s="145" t="str">
        <f>IFERROR(__xludf.DUMMYFUNCTION("""COMPUTED_VALUE"""),"BMW X5")</f>
        <v>BMW X5</v>
      </c>
      <c r="U31" s="145" t="str">
        <f>IFERROR(__xludf.DUMMYFUNCTION("""COMPUTED_VALUE"""),"Electric!")</f>
        <v>Electric!</v>
      </c>
      <c r="V31" s="145" t="str">
        <f>IFERROR(__xludf.DUMMYFUNCTION("""COMPUTED_VALUE"""),"Dashboard")</f>
        <v>Dashboard</v>
      </c>
      <c r="W31" s="145"/>
      <c r="X31" s="137"/>
      <c r="Y31" s="138"/>
      <c r="Z31" s="138"/>
      <c r="AA31" s="138"/>
      <c r="AB31" s="138"/>
      <c r="AC31" s="139"/>
      <c r="AD31" s="139"/>
      <c r="AE31" s="139"/>
      <c r="AF31" s="140"/>
      <c r="AG31" s="145"/>
      <c r="AH31" s="157">
        <f>IFERROR(__xludf.DUMMYFUNCTION("""COMPUTED_VALUE"""),44497.83497532407)</f>
        <v>44497.83498</v>
      </c>
      <c r="AI31" s="138"/>
      <c r="AJ31" s="138"/>
      <c r="AK31" s="138"/>
      <c r="AL31" s="142"/>
    </row>
    <row r="32" ht="20.25" customHeight="1">
      <c r="A32" s="155" t="str">
        <f>IFERROR(__xludf.DUMMYFUNCTION("""COMPUTED_VALUE"""),"GraGor")</f>
        <v>GraGor</v>
      </c>
      <c r="B32" s="149" t="str">
        <f>IFERROR(__xludf.DUMMYFUNCTION("""COMPUTED_VALUE"""),"Glasgow")</f>
        <v>Glasgow</v>
      </c>
      <c r="C32" s="149"/>
      <c r="D32" s="149" t="str">
        <f>IFERROR(__xludf.DUMMYFUNCTION("""COMPUTED_VALUE"""),"United Kingdom")</f>
        <v>United Kingdom</v>
      </c>
      <c r="E32" s="156">
        <f>IFERROR(__xludf.DUMMYFUNCTION("""COMPUTED_VALUE"""),44489.0)</f>
        <v>44489</v>
      </c>
      <c r="F32" s="129">
        <f>IFERROR(__xludf.DUMMYFUNCTION("""COMPUTED_VALUE"""),44502.0)</f>
        <v>44502</v>
      </c>
      <c r="G32" s="154" t="str">
        <f>IFERROR(__xludf.DUMMYFUNCTION("""COMPUTED_VALUE"""),"Source code")</f>
        <v>Source code</v>
      </c>
      <c r="H32" s="131"/>
      <c r="I32" s="144"/>
      <c r="J32" s="129"/>
      <c r="K32" s="133">
        <f>IFERROR(__xludf.DUMMYFUNCTION("""COMPUTED_VALUE"""),13.0)</f>
        <v>13</v>
      </c>
      <c r="L32" s="133"/>
      <c r="M32" s="133"/>
      <c r="N32" s="152" t="str">
        <f>IFERROR(__xludf.DUMMYFUNCTION("""COMPUTED_VALUE"""),"Model 3 SR+")</f>
        <v>Model 3 SR+</v>
      </c>
      <c r="O32" s="152" t="str">
        <f>IFERROR(__xludf.DUMMYFUNCTION("""COMPUTED_VALUE"""),"Midnight Silver Metallic")</f>
        <v>Midnight Silver Metallic</v>
      </c>
      <c r="P32" s="153" t="str">
        <f>IFERROR(__xludf.DUMMYFUNCTION("""COMPUTED_VALUE"""),"18 inch")</f>
        <v>18 inch</v>
      </c>
      <c r="Q32" s="152" t="str">
        <f>IFERROR(__xludf.DUMMYFUNCTION("""COMPUTED_VALUE"""),"All Black")</f>
        <v>All Black</v>
      </c>
      <c r="R32" s="149" t="str">
        <f>IFERROR(__xludf.DUMMYFUNCTION("""COMPUTED_VALUE"""),"Autopilot included")</f>
        <v>Autopilot included</v>
      </c>
      <c r="S32" s="149" t="str">
        <f>IFERROR(__xludf.DUMMYFUNCTION("""COMPUTED_VALUE"""),"Cash")</f>
        <v>Cash</v>
      </c>
      <c r="T32" s="145" t="str">
        <f>IFERROR(__xludf.DUMMYFUNCTION("""COMPUTED_VALUE"""),"Mercedes C200")</f>
        <v>Mercedes C200</v>
      </c>
      <c r="U32" s="145" t="str">
        <f>IFERROR(__xludf.DUMMYFUNCTION("""COMPUTED_VALUE"""),"Electric!")</f>
        <v>Electric!</v>
      </c>
      <c r="V32" s="145" t="str">
        <f>IFERROR(__xludf.DUMMYFUNCTION("""COMPUTED_VALUE"""),"Head-up display")</f>
        <v>Head-up display</v>
      </c>
      <c r="W32" s="145"/>
      <c r="X32" s="137"/>
      <c r="Y32" s="138"/>
      <c r="Z32" s="138"/>
      <c r="AA32" s="138"/>
      <c r="AB32" s="138"/>
      <c r="AC32" s="139"/>
      <c r="AD32" s="139"/>
      <c r="AE32" s="139"/>
      <c r="AF32" s="140"/>
      <c r="AG32" s="145"/>
      <c r="AH32" s="157">
        <f>IFERROR(__xludf.DUMMYFUNCTION("""COMPUTED_VALUE"""),44502.44705173611)</f>
        <v>44502.44705</v>
      </c>
      <c r="AI32" s="138"/>
      <c r="AJ32" s="138"/>
      <c r="AK32" s="138"/>
      <c r="AL32" s="142"/>
    </row>
    <row r="33" ht="20.25" customHeight="1">
      <c r="A33" s="155" t="str">
        <f>IFERROR(__xludf.DUMMYFUNCTION("""COMPUTED_VALUE"""),"Meshio")</f>
        <v>Meshio</v>
      </c>
      <c r="B33" s="149" t="str">
        <f>IFERROR(__xludf.DUMMYFUNCTION("""COMPUTED_VALUE"""),"Telford")</f>
        <v>Telford</v>
      </c>
      <c r="C33" s="149"/>
      <c r="D33" s="149" t="str">
        <f>IFERROR(__xludf.DUMMYFUNCTION("""COMPUTED_VALUE"""),"United Kingdom")</f>
        <v>United Kingdom</v>
      </c>
      <c r="E33" s="156">
        <f>IFERROR(__xludf.DUMMYFUNCTION("""COMPUTED_VALUE"""),44489.0)</f>
        <v>44489</v>
      </c>
      <c r="F33" s="129"/>
      <c r="G33" s="154"/>
      <c r="H33" s="131"/>
      <c r="I33" s="144"/>
      <c r="J33" s="129"/>
      <c r="K33" s="133"/>
      <c r="L33" s="133"/>
      <c r="M33" s="133"/>
      <c r="N33" s="152" t="str">
        <f>IFERROR(__xludf.DUMMYFUNCTION("""COMPUTED_VALUE"""),"Model 3 LR AWD")</f>
        <v>Model 3 LR AWD</v>
      </c>
      <c r="O33" s="152" t="str">
        <f>IFERROR(__xludf.DUMMYFUNCTION("""COMPUTED_VALUE"""),"Deep Blue Metallic")</f>
        <v>Deep Blue Metallic</v>
      </c>
      <c r="P33" s="153" t="str">
        <f>IFERROR(__xludf.DUMMYFUNCTION("""COMPUTED_VALUE"""),"19 inch")</f>
        <v>19 inch</v>
      </c>
      <c r="Q33" s="152" t="str">
        <f>IFERROR(__xludf.DUMMYFUNCTION("""COMPUTED_VALUE"""),"All Black")</f>
        <v>All Black</v>
      </c>
      <c r="R33" s="149" t="str">
        <f>IFERROR(__xludf.DUMMYFUNCTION("""COMPUTED_VALUE"""),"Autopilot included")</f>
        <v>Autopilot included</v>
      </c>
      <c r="S33" s="149" t="str">
        <f>IFERROR(__xludf.DUMMYFUNCTION("""COMPUTED_VALUE"""),"Lease")</f>
        <v>Lease</v>
      </c>
      <c r="T33" s="145" t="str">
        <f>IFERROR(__xludf.DUMMYFUNCTION("""COMPUTED_VALUE"""),"Audi A5 sportback")</f>
        <v>Audi A5 sportback</v>
      </c>
      <c r="U33" s="145" t="str">
        <f>IFERROR(__xludf.DUMMYFUNCTION("""COMPUTED_VALUE"""),"Autopilot")</f>
        <v>Autopilot</v>
      </c>
      <c r="V33" s="145" t="str">
        <f>IFERROR(__xludf.DUMMYFUNCTION("""COMPUTED_VALUE"""),"Apple CarPlay / Android Auto / SiriusXM Radio")</f>
        <v>Apple CarPlay / Android Auto / SiriusXM Radio</v>
      </c>
      <c r="W33" s="145"/>
      <c r="X33" s="137"/>
      <c r="Y33" s="138"/>
      <c r="Z33" s="138"/>
      <c r="AA33" s="138"/>
      <c r="AB33" s="138"/>
      <c r="AC33" s="139"/>
      <c r="AD33" s="139"/>
      <c r="AE33" s="139"/>
      <c r="AF33" s="140"/>
      <c r="AG33" s="145"/>
      <c r="AH33" s="157">
        <f>IFERROR(__xludf.DUMMYFUNCTION("""COMPUTED_VALUE"""),44490.37852189815)</f>
        <v>44490.37852</v>
      </c>
      <c r="AI33" s="138"/>
      <c r="AJ33" s="138"/>
      <c r="AK33" s="138"/>
      <c r="AL33" s="142"/>
    </row>
    <row r="34" ht="20.25" customHeight="1">
      <c r="A34" s="155" t="str">
        <f>IFERROR(__xludf.DUMMYFUNCTION("""COMPUTED_VALUE"""),"mehmet68")</f>
        <v>mehmet68</v>
      </c>
      <c r="B34" s="149" t="str">
        <f>IFERROR(__xludf.DUMMYFUNCTION("""COMPUTED_VALUE"""),"Long Island")</f>
        <v>Long Island</v>
      </c>
      <c r="C34" s="149" t="str">
        <f>IFERROR(__xludf.DUMMYFUNCTION("""COMPUTED_VALUE"""),"NY")</f>
        <v>NY</v>
      </c>
      <c r="D34" s="149" t="str">
        <f>IFERROR(__xludf.DUMMYFUNCTION("""COMPUTED_VALUE"""),"USA")</f>
        <v>USA</v>
      </c>
      <c r="E34" s="156">
        <f>IFERROR(__xludf.DUMMYFUNCTION("""COMPUTED_VALUE"""),44488.0)</f>
        <v>44488</v>
      </c>
      <c r="F34" s="129"/>
      <c r="G34" s="154"/>
      <c r="H34" s="131"/>
      <c r="I34" s="144"/>
      <c r="J34" s="129"/>
      <c r="K34" s="133"/>
      <c r="L34" s="133"/>
      <c r="M34" s="133"/>
      <c r="N34" s="152" t="str">
        <f>IFERROR(__xludf.DUMMYFUNCTION("""COMPUTED_VALUE"""),"Model 3 LR AWD")</f>
        <v>Model 3 LR AWD</v>
      </c>
      <c r="O34" s="152" t="str">
        <f>IFERROR(__xludf.DUMMYFUNCTION("""COMPUTED_VALUE"""),"Pearl White Multi-Coat")</f>
        <v>Pearl White Multi-Coat</v>
      </c>
      <c r="P34" s="153" t="str">
        <f>IFERROR(__xludf.DUMMYFUNCTION("""COMPUTED_VALUE"""),"18 inch")</f>
        <v>18 inch</v>
      </c>
      <c r="Q34" s="152" t="str">
        <f>IFERROR(__xludf.DUMMYFUNCTION("""COMPUTED_VALUE"""),"All Black")</f>
        <v>All Black</v>
      </c>
      <c r="R34" s="149" t="str">
        <f>IFERROR(__xludf.DUMMYFUNCTION("""COMPUTED_VALUE"""),"Autopilot included")</f>
        <v>Autopilot included</v>
      </c>
      <c r="S34" s="149" t="str">
        <f>IFERROR(__xludf.DUMMYFUNCTION("""COMPUTED_VALUE"""),"Cash")</f>
        <v>Cash</v>
      </c>
      <c r="T34" s="145"/>
      <c r="U34" s="145"/>
      <c r="V34" s="145"/>
      <c r="W34" s="136"/>
      <c r="X34" s="137"/>
      <c r="Y34" s="138"/>
      <c r="Z34" s="138"/>
      <c r="AA34" s="138"/>
      <c r="AB34" s="138"/>
      <c r="AC34" s="139"/>
      <c r="AD34" s="139"/>
      <c r="AE34" s="139"/>
      <c r="AF34" s="140"/>
      <c r="AG34" s="136"/>
      <c r="AH34" s="157">
        <f>IFERROR(__xludf.DUMMYFUNCTION("""COMPUTED_VALUE"""),44503.407241886576)</f>
        <v>44503.40724</v>
      </c>
      <c r="AI34" s="138"/>
      <c r="AJ34" s="138"/>
      <c r="AK34" s="138"/>
      <c r="AL34" s="142"/>
    </row>
    <row r="35" ht="20.25" customHeight="1">
      <c r="A35" s="155" t="str">
        <f>IFERROR(__xludf.DUMMYFUNCTION("""COMPUTED_VALUE"""),"bnb5550")</f>
        <v>bnb5550</v>
      </c>
      <c r="B35" s="149" t="str">
        <f>IFERROR(__xludf.DUMMYFUNCTION("""COMPUTED_VALUE"""),"Sacramento")</f>
        <v>Sacramento</v>
      </c>
      <c r="C35" s="149" t="str">
        <f>IFERROR(__xludf.DUMMYFUNCTION("""COMPUTED_VALUE"""),"CA")</f>
        <v>CA</v>
      </c>
      <c r="D35" s="149" t="str">
        <f>IFERROR(__xludf.DUMMYFUNCTION("""COMPUTED_VALUE"""),"USA")</f>
        <v>USA</v>
      </c>
      <c r="E35" s="156">
        <f>IFERROR(__xludf.DUMMYFUNCTION("""COMPUTED_VALUE"""),44487.0)</f>
        <v>44487</v>
      </c>
      <c r="F35" s="129">
        <f>IFERROR(__xludf.DUMMYFUNCTION("""COMPUTED_VALUE"""),44487.0)</f>
        <v>44487</v>
      </c>
      <c r="G35" s="154" t="str">
        <f>IFERROR(__xludf.DUMMYFUNCTION("""COMPUTED_VALUE"""),"Manage order page (normal text)")</f>
        <v>Manage order page (normal text)</v>
      </c>
      <c r="H35" s="131"/>
      <c r="I35" s="144"/>
      <c r="J35" s="129">
        <f>IFERROR(__xludf.DUMMYFUNCTION("""COMPUTED_VALUE"""),44492.0)</f>
        <v>44492</v>
      </c>
      <c r="K35" s="133">
        <f>IFERROR(__xludf.DUMMYFUNCTION("""COMPUTED_VALUE"""),0.0)</f>
        <v>0</v>
      </c>
      <c r="L35" s="133">
        <f>IFERROR(__xludf.DUMMYFUNCTION("""COMPUTED_VALUE"""),5.0)</f>
        <v>5</v>
      </c>
      <c r="M35" s="133">
        <f>IFERROR(__xludf.DUMMYFUNCTION("""COMPUTED_VALUE"""),5.0)</f>
        <v>5</v>
      </c>
      <c r="N35" s="152" t="str">
        <f>IFERROR(__xludf.DUMMYFUNCTION("""COMPUTED_VALUE"""),"Model 3 SR+")</f>
        <v>Model 3 SR+</v>
      </c>
      <c r="O35" s="152" t="str">
        <f>IFERROR(__xludf.DUMMYFUNCTION("""COMPUTED_VALUE"""),"Midnight Silver Metallic")</f>
        <v>Midnight Silver Metallic</v>
      </c>
      <c r="P35" s="153" t="str">
        <f>IFERROR(__xludf.DUMMYFUNCTION("""COMPUTED_VALUE"""),"19 inch")</f>
        <v>19 inch</v>
      </c>
      <c r="Q35" s="152" t="str">
        <f>IFERROR(__xludf.DUMMYFUNCTION("""COMPUTED_VALUE"""),"All Black")</f>
        <v>All Black</v>
      </c>
      <c r="R35" s="149" t="str">
        <f>IFERROR(__xludf.DUMMYFUNCTION("""COMPUTED_VALUE"""),"Autopilot included")</f>
        <v>Autopilot included</v>
      </c>
      <c r="S35" s="149" t="str">
        <f>IFERROR(__xludf.DUMMYFUNCTION("""COMPUTED_VALUE"""),"Loan")</f>
        <v>Loan</v>
      </c>
      <c r="T35" s="145" t="str">
        <f>IFERROR(__xludf.DUMMYFUNCTION("""COMPUTED_VALUE"""),"Mazda3")</f>
        <v>Mazda3</v>
      </c>
      <c r="U35" s="145" t="str">
        <f>IFERROR(__xludf.DUMMYFUNCTION("""COMPUTED_VALUE"""),"Supercharger V3 support")</f>
        <v>Supercharger V3 support</v>
      </c>
      <c r="V35" s="145" t="str">
        <f>IFERROR(__xludf.DUMMYFUNCTION("""COMPUTED_VALUE"""),"Apple CarPlay / Android Auto / SiriusXM Radio")</f>
        <v>Apple CarPlay / Android Auto / SiriusXM Radio</v>
      </c>
      <c r="W35" s="145"/>
      <c r="X35" s="158"/>
      <c r="Y35" s="138"/>
      <c r="Z35" s="138"/>
      <c r="AA35" s="138"/>
      <c r="AB35" s="138"/>
      <c r="AC35" s="139"/>
      <c r="AD35" s="139"/>
      <c r="AE35" s="139"/>
      <c r="AF35" s="140"/>
      <c r="AG35" s="145" t="str">
        <f>IFERROR(__xludf.DUMMYFUNCTION("""COMPUTED_VALUE"""),"Existing inventory purchase ")</f>
        <v>Existing inventory purchase </v>
      </c>
      <c r="AH35" s="157">
        <f>IFERROR(__xludf.DUMMYFUNCTION("""COMPUTED_VALUE"""),44488.906743831016)</f>
        <v>44488.90674</v>
      </c>
      <c r="AI35" s="138"/>
      <c r="AJ35" s="138"/>
      <c r="AK35" s="138"/>
      <c r="AL35" s="142"/>
    </row>
    <row r="36" ht="20.25" customHeight="1">
      <c r="A36" s="155" t="str">
        <f>IFERROR(__xludf.DUMMYFUNCTION("""COMPUTED_VALUE"""),"bretth")</f>
        <v>bretth</v>
      </c>
      <c r="B36" s="149" t="str">
        <f>IFERROR(__xludf.DUMMYFUNCTION("""COMPUTED_VALUE"""),"Newport Beach")</f>
        <v>Newport Beach</v>
      </c>
      <c r="C36" s="149" t="str">
        <f>IFERROR(__xludf.DUMMYFUNCTION("""COMPUTED_VALUE"""),"CA")</f>
        <v>CA</v>
      </c>
      <c r="D36" s="149" t="str">
        <f>IFERROR(__xludf.DUMMYFUNCTION("""COMPUTED_VALUE"""),"USA")</f>
        <v>USA</v>
      </c>
      <c r="E36" s="156">
        <f>IFERROR(__xludf.DUMMYFUNCTION("""COMPUTED_VALUE"""),44487.0)</f>
        <v>44487</v>
      </c>
      <c r="F36" s="129"/>
      <c r="G36" s="154"/>
      <c r="H36" s="131"/>
      <c r="I36" s="144"/>
      <c r="J36" s="129"/>
      <c r="K36" s="133"/>
      <c r="L36" s="133"/>
      <c r="M36" s="133"/>
      <c r="N36" s="152" t="str">
        <f>IFERROR(__xludf.DUMMYFUNCTION("""COMPUTED_VALUE"""),"Model 3 LR AWD")</f>
        <v>Model 3 LR AWD</v>
      </c>
      <c r="O36" s="152" t="str">
        <f>IFERROR(__xludf.DUMMYFUNCTION("""COMPUTED_VALUE"""),"Midnight Silver Metallic")</f>
        <v>Midnight Silver Metallic</v>
      </c>
      <c r="P36" s="153" t="str">
        <f>IFERROR(__xludf.DUMMYFUNCTION("""COMPUTED_VALUE"""),"18 inch")</f>
        <v>18 inch</v>
      </c>
      <c r="Q36" s="152" t="str">
        <f>IFERROR(__xludf.DUMMYFUNCTION("""COMPUTED_VALUE"""),"Black and White")</f>
        <v>Black and White</v>
      </c>
      <c r="R36" s="149" t="str">
        <f>IFERROR(__xludf.DUMMYFUNCTION("""COMPUTED_VALUE"""),"Autopilot included")</f>
        <v>Autopilot included</v>
      </c>
      <c r="S36" s="149" t="str">
        <f>IFERROR(__xludf.DUMMYFUNCTION("""COMPUTED_VALUE"""),"Cash")</f>
        <v>Cash</v>
      </c>
      <c r="T36" s="145" t="str">
        <f>IFERROR(__xludf.DUMMYFUNCTION("""COMPUTED_VALUE"""),"Tesla Model 3")</f>
        <v>Tesla Model 3</v>
      </c>
      <c r="U36" s="145" t="str">
        <f>IFERROR(__xludf.DUMMYFUNCTION("""COMPUTED_VALUE"""),"Electric!")</f>
        <v>Electric!</v>
      </c>
      <c r="V36" s="145" t="str">
        <f>IFERROR(__xludf.DUMMYFUNCTION("""COMPUTED_VALUE"""),"Apple CarPlay / Android Auto / SiriusXM Radio")</f>
        <v>Apple CarPlay / Android Auto / SiriusXM Radio</v>
      </c>
      <c r="W36" s="145"/>
      <c r="X36" s="137"/>
      <c r="Y36" s="138"/>
      <c r="Z36" s="138"/>
      <c r="AA36" s="138"/>
      <c r="AB36" s="138"/>
      <c r="AC36" s="139"/>
      <c r="AD36" s="139"/>
      <c r="AE36" s="139"/>
      <c r="AF36" s="140"/>
      <c r="AG36" s="145"/>
      <c r="AH36" s="157">
        <f>IFERROR(__xludf.DUMMYFUNCTION("""COMPUTED_VALUE"""),44489.78332957176)</f>
        <v>44489.78333</v>
      </c>
      <c r="AI36" s="138"/>
      <c r="AJ36" s="138"/>
      <c r="AK36" s="138"/>
      <c r="AL36" s="142"/>
    </row>
    <row r="37" ht="20.25" customHeight="1">
      <c r="A37" s="155" t="str">
        <f>IFERROR(__xludf.DUMMYFUNCTION("""COMPUTED_VALUE"""),"skype909")</f>
        <v>skype909</v>
      </c>
      <c r="B37" s="149" t="str">
        <f>IFERROR(__xludf.DUMMYFUNCTION("""COMPUTED_VALUE"""),"Kilkenny, Ireland")</f>
        <v>Kilkenny, Ireland</v>
      </c>
      <c r="C37" s="149"/>
      <c r="D37" s="149" t="str">
        <f>IFERROR(__xludf.DUMMYFUNCTION("""COMPUTED_VALUE"""),"Other (include country together with city)")</f>
        <v>Other (include country together with city)</v>
      </c>
      <c r="E37" s="156">
        <f>IFERROR(__xludf.DUMMYFUNCTION("""COMPUTED_VALUE"""),44487.0)</f>
        <v>44487</v>
      </c>
      <c r="F37" s="129"/>
      <c r="G37" s="154"/>
      <c r="H37" s="131"/>
      <c r="I37" s="144"/>
      <c r="J37" s="129"/>
      <c r="K37" s="133"/>
      <c r="L37" s="133"/>
      <c r="M37" s="133"/>
      <c r="N37" s="152" t="str">
        <f>IFERROR(__xludf.DUMMYFUNCTION("""COMPUTED_VALUE"""),"Model 3 SR+")</f>
        <v>Model 3 SR+</v>
      </c>
      <c r="O37" s="152" t="str">
        <f>IFERROR(__xludf.DUMMYFUNCTION("""COMPUTED_VALUE"""),"Pearl White Multi-Coat")</f>
        <v>Pearl White Multi-Coat</v>
      </c>
      <c r="P37" s="153" t="str">
        <f>IFERROR(__xludf.DUMMYFUNCTION("""COMPUTED_VALUE"""),"18 inch")</f>
        <v>18 inch</v>
      </c>
      <c r="Q37" s="152" t="str">
        <f>IFERROR(__xludf.DUMMYFUNCTION("""COMPUTED_VALUE"""),"All Black")</f>
        <v>All Black</v>
      </c>
      <c r="R37" s="149" t="str">
        <f>IFERROR(__xludf.DUMMYFUNCTION("""COMPUTED_VALUE"""),"Autopilot included")</f>
        <v>Autopilot included</v>
      </c>
      <c r="S37" s="149" t="str">
        <f>IFERROR(__xludf.DUMMYFUNCTION("""COMPUTED_VALUE"""),"Loan")</f>
        <v>Loan</v>
      </c>
      <c r="T37" s="145" t="str">
        <f>IFERROR(__xludf.DUMMYFUNCTION("""COMPUTED_VALUE"""),"BMW 3 Series")</f>
        <v>BMW 3 Series</v>
      </c>
      <c r="U37" s="145" t="str">
        <f>IFERROR(__xludf.DUMMYFUNCTION("""COMPUTED_VALUE"""),"Electric!")</f>
        <v>Electric!</v>
      </c>
      <c r="V37" s="145" t="str">
        <f>IFERROR(__xludf.DUMMYFUNCTION("""COMPUTED_VALUE"""),"Heated steering wheel")</f>
        <v>Heated steering wheel</v>
      </c>
      <c r="W37" s="136"/>
      <c r="X37" s="137"/>
      <c r="Y37" s="138"/>
      <c r="Z37" s="138"/>
      <c r="AA37" s="138"/>
      <c r="AB37" s="138"/>
      <c r="AC37" s="139"/>
      <c r="AD37" s="139"/>
      <c r="AE37" s="139"/>
      <c r="AF37" s="140"/>
      <c r="AG37" s="136"/>
      <c r="AH37" s="157">
        <f>IFERROR(__xludf.DUMMYFUNCTION("""COMPUTED_VALUE"""),44487.60394082176)</f>
        <v>44487.60394</v>
      </c>
      <c r="AI37" s="138"/>
      <c r="AJ37" s="138"/>
      <c r="AK37" s="138"/>
      <c r="AL37" s="142"/>
    </row>
    <row r="38" ht="20.25" customHeight="1">
      <c r="A38" s="155" t="str">
        <f>IFERROR(__xludf.DUMMYFUNCTION("""COMPUTED_VALUE"""),"Gauntleteer")</f>
        <v>Gauntleteer</v>
      </c>
      <c r="B38" s="149" t="str">
        <f>IFERROR(__xludf.DUMMYFUNCTION("""COMPUTED_VALUE"""),"Kailua Kona")</f>
        <v>Kailua Kona</v>
      </c>
      <c r="C38" s="149" t="str">
        <f>IFERROR(__xludf.DUMMYFUNCTION("""COMPUTED_VALUE"""),"HI")</f>
        <v>HI</v>
      </c>
      <c r="D38" s="149" t="str">
        <f>IFERROR(__xludf.DUMMYFUNCTION("""COMPUTED_VALUE"""),"USA")</f>
        <v>USA</v>
      </c>
      <c r="E38" s="156">
        <f>IFERROR(__xludf.DUMMYFUNCTION("""COMPUTED_VALUE"""),44486.0)</f>
        <v>44486</v>
      </c>
      <c r="F38" s="129"/>
      <c r="G38" s="154"/>
      <c r="H38" s="131"/>
      <c r="I38" s="144"/>
      <c r="J38" s="129"/>
      <c r="K38" s="133"/>
      <c r="L38" s="133"/>
      <c r="M38" s="133"/>
      <c r="N38" s="152" t="str">
        <f>IFERROR(__xludf.DUMMYFUNCTION("""COMPUTED_VALUE"""),"Model 3 LR AWD")</f>
        <v>Model 3 LR AWD</v>
      </c>
      <c r="O38" s="152" t="str">
        <f>IFERROR(__xludf.DUMMYFUNCTION("""COMPUTED_VALUE"""),"Pearl White Multi-Coat")</f>
        <v>Pearl White Multi-Coat</v>
      </c>
      <c r="P38" s="153" t="str">
        <f>IFERROR(__xludf.DUMMYFUNCTION("""COMPUTED_VALUE"""),"18 inch")</f>
        <v>18 inch</v>
      </c>
      <c r="Q38" s="152" t="str">
        <f>IFERROR(__xludf.DUMMYFUNCTION("""COMPUTED_VALUE"""),"Black and White")</f>
        <v>Black and White</v>
      </c>
      <c r="R38" s="149" t="str">
        <f>IFERROR(__xludf.DUMMYFUNCTION("""COMPUTED_VALUE"""),"Autopilot included")</f>
        <v>Autopilot included</v>
      </c>
      <c r="S38" s="149" t="str">
        <f>IFERROR(__xludf.DUMMYFUNCTION("""COMPUTED_VALUE"""),"Cash")</f>
        <v>Cash</v>
      </c>
      <c r="T38" s="145" t="str">
        <f>IFERROR(__xludf.DUMMYFUNCTION("""COMPUTED_VALUE"""),"Toyota Prius")</f>
        <v>Toyota Prius</v>
      </c>
      <c r="U38" s="145"/>
      <c r="V38" s="145"/>
      <c r="W38" s="136"/>
      <c r="X38" s="137"/>
      <c r="Y38" s="138"/>
      <c r="Z38" s="138"/>
      <c r="AA38" s="138"/>
      <c r="AB38" s="138"/>
      <c r="AC38" s="139"/>
      <c r="AD38" s="139"/>
      <c r="AE38" s="139"/>
      <c r="AF38" s="140"/>
      <c r="AG38" s="136"/>
      <c r="AH38" s="157">
        <f>IFERROR(__xludf.DUMMYFUNCTION("""COMPUTED_VALUE"""),44486.84292326389)</f>
        <v>44486.84292</v>
      </c>
      <c r="AI38" s="138"/>
      <c r="AJ38" s="138"/>
      <c r="AK38" s="138"/>
      <c r="AL38" s="142"/>
    </row>
    <row r="39" ht="20.25" customHeight="1">
      <c r="A39" s="155" t="str">
        <f>IFERROR(__xludf.DUMMYFUNCTION("""COMPUTED_VALUE"""),"J2001")</f>
        <v>J2001</v>
      </c>
      <c r="B39" s="149"/>
      <c r="C39" s="149" t="str">
        <f>IFERROR(__xludf.DUMMYFUNCTION("""COMPUTED_VALUE"""),"MA")</f>
        <v>MA</v>
      </c>
      <c r="D39" s="149" t="str">
        <f>IFERROR(__xludf.DUMMYFUNCTION("""COMPUTED_VALUE"""),"USA")</f>
        <v>USA</v>
      </c>
      <c r="E39" s="156">
        <f>IFERROR(__xludf.DUMMYFUNCTION("""COMPUTED_VALUE"""),44486.0)</f>
        <v>44486</v>
      </c>
      <c r="F39" s="129"/>
      <c r="G39" s="154"/>
      <c r="H39" s="131"/>
      <c r="I39" s="144"/>
      <c r="J39" s="129"/>
      <c r="K39" s="133"/>
      <c r="L39" s="133"/>
      <c r="M39" s="133"/>
      <c r="N39" s="152" t="str">
        <f>IFERROR(__xludf.DUMMYFUNCTION("""COMPUTED_VALUE"""),"Model 3 Performance")</f>
        <v>Model 3 Performance</v>
      </c>
      <c r="O39" s="152" t="str">
        <f>IFERROR(__xludf.DUMMYFUNCTION("""COMPUTED_VALUE"""),"Midnight Silver Metallic")</f>
        <v>Midnight Silver Metallic</v>
      </c>
      <c r="P39" s="153" t="str">
        <f>IFERROR(__xludf.DUMMYFUNCTION("""COMPUTED_VALUE"""),"20 inch")</f>
        <v>20 inch</v>
      </c>
      <c r="Q39" s="152" t="str">
        <f>IFERROR(__xludf.DUMMYFUNCTION("""COMPUTED_VALUE"""),"All Black")</f>
        <v>All Black</v>
      </c>
      <c r="R39" s="149" t="str">
        <f>IFERROR(__xludf.DUMMYFUNCTION("""COMPUTED_VALUE"""),"Autopilot included")</f>
        <v>Autopilot included</v>
      </c>
      <c r="S39" s="149" t="str">
        <f>IFERROR(__xludf.DUMMYFUNCTION("""COMPUTED_VALUE"""),"Loan")</f>
        <v>Loan</v>
      </c>
      <c r="T39" s="145"/>
      <c r="U39" s="145" t="str">
        <f>IFERROR(__xludf.DUMMYFUNCTION("""COMPUTED_VALUE"""),"Electric!")</f>
        <v>Electric!</v>
      </c>
      <c r="V39" s="145" t="str">
        <f>IFERROR(__xludf.DUMMYFUNCTION("""COMPUTED_VALUE"""),"Apple CarPlay / Android Auto / SiriusXM Radio")</f>
        <v>Apple CarPlay / Android Auto / SiriusXM Radio</v>
      </c>
      <c r="W39" s="145"/>
      <c r="X39" s="137"/>
      <c r="Y39" s="138"/>
      <c r="Z39" s="138"/>
      <c r="AA39" s="138"/>
      <c r="AB39" s="138"/>
      <c r="AC39" s="139"/>
      <c r="AD39" s="139"/>
      <c r="AE39" s="139"/>
      <c r="AF39" s="140"/>
      <c r="AG39" s="145"/>
      <c r="AH39" s="157">
        <f>IFERROR(__xludf.DUMMYFUNCTION("""COMPUTED_VALUE"""),44491.68113640046)</f>
        <v>44491.68114</v>
      </c>
      <c r="AI39" s="138"/>
      <c r="AJ39" s="138"/>
      <c r="AK39" s="138"/>
      <c r="AL39" s="142"/>
    </row>
    <row r="40" ht="20.25" customHeight="1">
      <c r="A40" s="155" t="str">
        <f>IFERROR(__xludf.DUMMYFUNCTION("""COMPUTED_VALUE"""),"LtLightnin")</f>
        <v>LtLightnin</v>
      </c>
      <c r="B40" s="149" t="str">
        <f>IFERROR(__xludf.DUMMYFUNCTION("""COMPUTED_VALUE"""),"Houston, TX")</f>
        <v>Houston, TX</v>
      </c>
      <c r="C40" s="149" t="str">
        <f>IFERROR(__xludf.DUMMYFUNCTION("""COMPUTED_VALUE"""),"TX")</f>
        <v>TX</v>
      </c>
      <c r="D40" s="149" t="str">
        <f>IFERROR(__xludf.DUMMYFUNCTION("""COMPUTED_VALUE"""),"USA")</f>
        <v>USA</v>
      </c>
      <c r="E40" s="156">
        <f>IFERROR(__xludf.DUMMYFUNCTION("""COMPUTED_VALUE"""),44486.0)</f>
        <v>44486</v>
      </c>
      <c r="F40" s="129">
        <f>IFERROR(__xludf.DUMMYFUNCTION("""COMPUTED_VALUE"""),44501.0)</f>
        <v>44501</v>
      </c>
      <c r="G40" s="154" t="str">
        <f>IFERROR(__xludf.DUMMYFUNCTION("""COMPUTED_VALUE"""),"Manage order page (normal text)")</f>
        <v>Manage order page (normal text)</v>
      </c>
      <c r="H40" s="131"/>
      <c r="I40" s="144"/>
      <c r="J40" s="129"/>
      <c r="K40" s="133">
        <f>IFERROR(__xludf.DUMMYFUNCTION("""COMPUTED_VALUE"""),15.0)</f>
        <v>15</v>
      </c>
      <c r="L40" s="133"/>
      <c r="M40" s="133"/>
      <c r="N40" s="152" t="str">
        <f>IFERROR(__xludf.DUMMYFUNCTION("""COMPUTED_VALUE"""),"Model 3 Performance")</f>
        <v>Model 3 Performance</v>
      </c>
      <c r="O40" s="152" t="str">
        <f>IFERROR(__xludf.DUMMYFUNCTION("""COMPUTED_VALUE"""),"Deep Blue Metallic")</f>
        <v>Deep Blue Metallic</v>
      </c>
      <c r="P40" s="153" t="str">
        <f>IFERROR(__xludf.DUMMYFUNCTION("""COMPUTED_VALUE"""),"20 inch")</f>
        <v>20 inch</v>
      </c>
      <c r="Q40" s="152" t="str">
        <f>IFERROR(__xludf.DUMMYFUNCTION("""COMPUTED_VALUE"""),"All Black")</f>
        <v>All Black</v>
      </c>
      <c r="R40" s="149" t="str">
        <f>IFERROR(__xludf.DUMMYFUNCTION("""COMPUTED_VALUE"""),"Autopilot included")</f>
        <v>Autopilot included</v>
      </c>
      <c r="S40" s="149" t="str">
        <f>IFERROR(__xludf.DUMMYFUNCTION("""COMPUTED_VALUE"""),"Loan")</f>
        <v>Loan</v>
      </c>
      <c r="T40" s="145" t="str">
        <f>IFERROR(__xludf.DUMMYFUNCTION("""COMPUTED_VALUE"""),"Mazda Miata")</f>
        <v>Mazda Miata</v>
      </c>
      <c r="U40" s="145" t="str">
        <f>IFERROR(__xludf.DUMMYFUNCTION("""COMPUTED_VALUE"""),"Everything")</f>
        <v>Everything</v>
      </c>
      <c r="V40" s="145" t="str">
        <f>IFERROR(__xludf.DUMMYFUNCTION("""COMPUTED_VALUE"""),"Head-up display")</f>
        <v>Head-up display</v>
      </c>
      <c r="W40" s="145"/>
      <c r="X40" s="137"/>
      <c r="Y40" s="138"/>
      <c r="Z40" s="138"/>
      <c r="AA40" s="138"/>
      <c r="AB40" s="138"/>
      <c r="AC40" s="139"/>
      <c r="AD40" s="139"/>
      <c r="AE40" s="139"/>
      <c r="AF40" s="140"/>
      <c r="AG40" s="145"/>
      <c r="AH40" s="157">
        <f>IFERROR(__xludf.DUMMYFUNCTION("""COMPUTED_VALUE"""),44503.636811701384)</f>
        <v>44503.63681</v>
      </c>
      <c r="AI40" s="138"/>
      <c r="AJ40" s="138"/>
      <c r="AK40" s="138"/>
      <c r="AL40" s="142"/>
    </row>
    <row r="41" ht="20.25" customHeight="1">
      <c r="A41" s="155" t="str">
        <f>IFERROR(__xludf.DUMMYFUNCTION("""COMPUTED_VALUE"""),"9welkzysdjz")</f>
        <v>9welkzysdjz</v>
      </c>
      <c r="B41" s="149"/>
      <c r="C41" s="149" t="str">
        <f>IFERROR(__xludf.DUMMYFUNCTION("""COMPUTED_VALUE"""),"AZ")</f>
        <v>AZ</v>
      </c>
      <c r="D41" s="149" t="str">
        <f>IFERROR(__xludf.DUMMYFUNCTION("""COMPUTED_VALUE"""),"USA")</f>
        <v>USA</v>
      </c>
      <c r="E41" s="156">
        <f>IFERROR(__xludf.DUMMYFUNCTION("""COMPUTED_VALUE"""),44485.0)</f>
        <v>44485</v>
      </c>
      <c r="F41" s="129"/>
      <c r="G41" s="154"/>
      <c r="H41" s="131"/>
      <c r="I41" s="144"/>
      <c r="J41" s="129"/>
      <c r="K41" s="133"/>
      <c r="L41" s="133"/>
      <c r="M41" s="133"/>
      <c r="N41" s="152" t="str">
        <f>IFERROR(__xludf.DUMMYFUNCTION("""COMPUTED_VALUE"""),"Model 3 Performance")</f>
        <v>Model 3 Performance</v>
      </c>
      <c r="O41" s="152" t="str">
        <f>IFERROR(__xludf.DUMMYFUNCTION("""COMPUTED_VALUE"""),"Pearl White Multi-Coat")</f>
        <v>Pearl White Multi-Coat</v>
      </c>
      <c r="P41" s="153" t="str">
        <f>IFERROR(__xludf.DUMMYFUNCTION("""COMPUTED_VALUE"""),"20 inch")</f>
        <v>20 inch</v>
      </c>
      <c r="Q41" s="152" t="str">
        <f>IFERROR(__xludf.DUMMYFUNCTION("""COMPUTED_VALUE"""),"Black and White")</f>
        <v>Black and White</v>
      </c>
      <c r="R41" s="149" t="str">
        <f>IFERROR(__xludf.DUMMYFUNCTION("""COMPUTED_VALUE"""),"Autopilot included")</f>
        <v>Autopilot included</v>
      </c>
      <c r="S41" s="149" t="str">
        <f>IFERROR(__xludf.DUMMYFUNCTION("""COMPUTED_VALUE"""),"Cash")</f>
        <v>Cash</v>
      </c>
      <c r="T41" s="145" t="str">
        <f>IFERROR(__xludf.DUMMYFUNCTION("""COMPUTED_VALUE"""),"Toyota Camry")</f>
        <v>Toyota Camry</v>
      </c>
      <c r="U41" s="145" t="str">
        <f>IFERROR(__xludf.DUMMYFUNCTION("""COMPUTED_VALUE"""),"Electric!")</f>
        <v>Electric!</v>
      </c>
      <c r="V41" s="145" t="str">
        <f>IFERROR(__xludf.DUMMYFUNCTION("""COMPUTED_VALUE"""),"360° Bird's eye view")</f>
        <v>360° Bird's eye view</v>
      </c>
      <c r="W41" s="145"/>
      <c r="X41" s="137"/>
      <c r="Y41" s="138"/>
      <c r="Z41" s="138"/>
      <c r="AA41" s="138"/>
      <c r="AB41" s="138"/>
      <c r="AC41" s="139"/>
      <c r="AD41" s="139"/>
      <c r="AE41" s="139"/>
      <c r="AF41" s="140"/>
      <c r="AG41" s="145"/>
      <c r="AH41" s="157">
        <f>IFERROR(__xludf.DUMMYFUNCTION("""COMPUTED_VALUE"""),44496.68677597222)</f>
        <v>44496.68678</v>
      </c>
      <c r="AI41" s="138"/>
      <c r="AJ41" s="138"/>
      <c r="AK41" s="138"/>
      <c r="AL41" s="142"/>
    </row>
    <row r="42" ht="20.25" customHeight="1">
      <c r="A42" s="155" t="str">
        <f>IFERROR(__xludf.DUMMYFUNCTION("""COMPUTED_VALUE"""),"avatar1999")</f>
        <v>avatar1999</v>
      </c>
      <c r="B42" s="149"/>
      <c r="C42" s="149" t="str">
        <f>IFERROR(__xludf.DUMMYFUNCTION("""COMPUTED_VALUE"""),"PA")</f>
        <v>PA</v>
      </c>
      <c r="D42" s="149" t="str">
        <f>IFERROR(__xludf.DUMMYFUNCTION("""COMPUTED_VALUE"""),"USA")</f>
        <v>USA</v>
      </c>
      <c r="E42" s="156">
        <f>IFERROR(__xludf.DUMMYFUNCTION("""COMPUTED_VALUE"""),44485.0)</f>
        <v>44485</v>
      </c>
      <c r="F42" s="129"/>
      <c r="G42" s="154"/>
      <c r="H42" s="131"/>
      <c r="I42" s="144"/>
      <c r="J42" s="129"/>
      <c r="K42" s="133"/>
      <c r="L42" s="133"/>
      <c r="M42" s="133"/>
      <c r="N42" s="152" t="str">
        <f>IFERROR(__xludf.DUMMYFUNCTION("""COMPUTED_VALUE"""),"Model 3 LR AWD")</f>
        <v>Model 3 LR AWD</v>
      </c>
      <c r="O42" s="152" t="str">
        <f>IFERROR(__xludf.DUMMYFUNCTION("""COMPUTED_VALUE"""),"Deep Blue Metallic")</f>
        <v>Deep Blue Metallic</v>
      </c>
      <c r="P42" s="153" t="str">
        <f>IFERROR(__xludf.DUMMYFUNCTION("""COMPUTED_VALUE"""),"18 inch")</f>
        <v>18 inch</v>
      </c>
      <c r="Q42" s="152" t="str">
        <f>IFERROR(__xludf.DUMMYFUNCTION("""COMPUTED_VALUE"""),"All Black")</f>
        <v>All Black</v>
      </c>
      <c r="R42" s="149" t="str">
        <f>IFERROR(__xludf.DUMMYFUNCTION("""COMPUTED_VALUE"""),"Autopilot included")</f>
        <v>Autopilot included</v>
      </c>
      <c r="S42" s="149" t="str">
        <f>IFERROR(__xludf.DUMMYFUNCTION("""COMPUTED_VALUE"""),"Loan")</f>
        <v>Loan</v>
      </c>
      <c r="T42" s="145" t="str">
        <f>IFERROR(__xludf.DUMMYFUNCTION("""COMPUTED_VALUE"""),"Mazda 6")</f>
        <v>Mazda 6</v>
      </c>
      <c r="U42" s="145" t="str">
        <f>IFERROR(__xludf.DUMMYFUNCTION("""COMPUTED_VALUE"""),"Electric!")</f>
        <v>Electric!</v>
      </c>
      <c r="V42" s="145" t="str">
        <f>IFERROR(__xludf.DUMMYFUNCTION("""COMPUTED_VALUE"""),"Ventilated seats")</f>
        <v>Ventilated seats</v>
      </c>
      <c r="W42" s="136"/>
      <c r="X42" s="137"/>
      <c r="Y42" s="138"/>
      <c r="Z42" s="138"/>
      <c r="AA42" s="138"/>
      <c r="AB42" s="138"/>
      <c r="AC42" s="139"/>
      <c r="AD42" s="139"/>
      <c r="AE42" s="139"/>
      <c r="AF42" s="140"/>
      <c r="AG42" s="136"/>
      <c r="AH42" s="157">
        <f>IFERROR(__xludf.DUMMYFUNCTION("""COMPUTED_VALUE"""),44504.3485912037)</f>
        <v>44504.34859</v>
      </c>
      <c r="AI42" s="138"/>
      <c r="AJ42" s="138"/>
      <c r="AK42" s="138"/>
      <c r="AL42" s="142"/>
    </row>
    <row r="43" ht="20.25" customHeight="1">
      <c r="A43" s="155" t="str">
        <f>IFERROR(__xludf.DUMMYFUNCTION("""COMPUTED_VALUE"""),"bschaetzle")</f>
        <v>bschaetzle</v>
      </c>
      <c r="B43" s="149" t="str">
        <f>IFERROR(__xludf.DUMMYFUNCTION("""COMPUTED_VALUE"""),"Dubuque")</f>
        <v>Dubuque</v>
      </c>
      <c r="C43" s="149" t="str">
        <f>IFERROR(__xludf.DUMMYFUNCTION("""COMPUTED_VALUE"""),"IA")</f>
        <v>IA</v>
      </c>
      <c r="D43" s="149" t="str">
        <f>IFERROR(__xludf.DUMMYFUNCTION("""COMPUTED_VALUE"""),"USA")</f>
        <v>USA</v>
      </c>
      <c r="E43" s="156">
        <f>IFERROR(__xludf.DUMMYFUNCTION("""COMPUTED_VALUE"""),44485.0)</f>
        <v>44485</v>
      </c>
      <c r="F43" s="129"/>
      <c r="G43" s="154"/>
      <c r="H43" s="131"/>
      <c r="I43" s="144"/>
      <c r="J43" s="129"/>
      <c r="K43" s="133"/>
      <c r="L43" s="133"/>
      <c r="M43" s="133"/>
      <c r="N43" s="152" t="str">
        <f>IFERROR(__xludf.DUMMYFUNCTION("""COMPUTED_VALUE"""),"Model 3 LR AWD")</f>
        <v>Model 3 LR AWD</v>
      </c>
      <c r="O43" s="152" t="str">
        <f>IFERROR(__xludf.DUMMYFUNCTION("""COMPUTED_VALUE"""),"Solid Black")</f>
        <v>Solid Black</v>
      </c>
      <c r="P43" s="153" t="str">
        <f>IFERROR(__xludf.DUMMYFUNCTION("""COMPUTED_VALUE"""),"18 inch")</f>
        <v>18 inch</v>
      </c>
      <c r="Q43" s="152" t="str">
        <f>IFERROR(__xludf.DUMMYFUNCTION("""COMPUTED_VALUE"""),"All Black")</f>
        <v>All Black</v>
      </c>
      <c r="R43" s="149" t="str">
        <f>IFERROR(__xludf.DUMMYFUNCTION("""COMPUTED_VALUE"""),"Autopilot included")</f>
        <v>Autopilot included</v>
      </c>
      <c r="S43" s="149" t="str">
        <f>IFERROR(__xludf.DUMMYFUNCTION("""COMPUTED_VALUE"""),"Loan")</f>
        <v>Loan</v>
      </c>
      <c r="T43" s="145" t="str">
        <f>IFERROR(__xludf.DUMMYFUNCTION("""COMPUTED_VALUE"""),"Mazda cx9")</f>
        <v>Mazda cx9</v>
      </c>
      <c r="U43" s="145" t="str">
        <f>IFERROR(__xludf.DUMMYFUNCTION("""COMPUTED_VALUE"""),"Autopilot")</f>
        <v>Autopilot</v>
      </c>
      <c r="V43" s="145" t="str">
        <f>IFERROR(__xludf.DUMMYFUNCTION("""COMPUTED_VALUE"""),"Apple CarPlay / Android Auto / SiriusXM Radio")</f>
        <v>Apple CarPlay / Android Auto / SiriusXM Radio</v>
      </c>
      <c r="W43" s="136"/>
      <c r="X43" s="137"/>
      <c r="Y43" s="138"/>
      <c r="Z43" s="138"/>
      <c r="AA43" s="138"/>
      <c r="AB43" s="138"/>
      <c r="AC43" s="139"/>
      <c r="AD43" s="139"/>
      <c r="AE43" s="139"/>
      <c r="AF43" s="140"/>
      <c r="AG43" s="136"/>
      <c r="AH43" s="157">
        <f>IFERROR(__xludf.DUMMYFUNCTION("""COMPUTED_VALUE"""),44497.420632395835)</f>
        <v>44497.42063</v>
      </c>
      <c r="AI43" s="138"/>
      <c r="AJ43" s="138"/>
      <c r="AK43" s="138"/>
      <c r="AL43" s="142"/>
    </row>
    <row r="44" ht="20.25" customHeight="1">
      <c r="A44" s="155" t="str">
        <f>IFERROR(__xludf.DUMMYFUNCTION("""COMPUTED_VALUE"""),"Julien")</f>
        <v>Julien</v>
      </c>
      <c r="B44" s="150"/>
      <c r="C44" s="149"/>
      <c r="D44" s="149" t="str">
        <f>IFERROR(__xludf.DUMMYFUNCTION("""COMPUTED_VALUE"""),"Switzerland")</f>
        <v>Switzerland</v>
      </c>
      <c r="E44" s="156">
        <f>IFERROR(__xludf.DUMMYFUNCTION("""COMPUTED_VALUE"""),44484.0)</f>
        <v>44484</v>
      </c>
      <c r="F44" s="129">
        <f>IFERROR(__xludf.DUMMYFUNCTION("""COMPUTED_VALUE"""),44494.0)</f>
        <v>44494</v>
      </c>
      <c r="G44" s="154" t="str">
        <f>IFERROR(__xludf.DUMMYFUNCTION("""COMPUTED_VALUE"""),"Manage order page (normal text)")</f>
        <v>Manage order page (normal text)</v>
      </c>
      <c r="H44" s="131"/>
      <c r="I44" s="144"/>
      <c r="J44" s="129"/>
      <c r="K44" s="133">
        <f>IFERROR(__xludf.DUMMYFUNCTION("""COMPUTED_VALUE"""),10.0)</f>
        <v>10</v>
      </c>
      <c r="L44" s="133"/>
      <c r="M44" s="133"/>
      <c r="N44" s="152" t="str">
        <f>IFERROR(__xludf.DUMMYFUNCTION("""COMPUTED_VALUE"""),"Model 3 LR AWD")</f>
        <v>Model 3 LR AWD</v>
      </c>
      <c r="O44" s="152" t="str">
        <f>IFERROR(__xludf.DUMMYFUNCTION("""COMPUTED_VALUE"""),"Midnight Silver Metallic")</f>
        <v>Midnight Silver Metallic</v>
      </c>
      <c r="P44" s="153" t="str">
        <f>IFERROR(__xludf.DUMMYFUNCTION("""COMPUTED_VALUE"""),"18 inch")</f>
        <v>18 inch</v>
      </c>
      <c r="Q44" s="152" t="str">
        <f>IFERROR(__xludf.DUMMYFUNCTION("""COMPUTED_VALUE"""),"All Black")</f>
        <v>All Black</v>
      </c>
      <c r="R44" s="149" t="str">
        <f>IFERROR(__xludf.DUMMYFUNCTION("""COMPUTED_VALUE"""),"Full Self-Driving")</f>
        <v>Full Self-Driving</v>
      </c>
      <c r="S44" s="149" t="str">
        <f>IFERROR(__xludf.DUMMYFUNCTION("""COMPUTED_VALUE"""),"Lease")</f>
        <v>Lease</v>
      </c>
      <c r="T44" s="145"/>
      <c r="U44" s="145" t="str">
        <f>IFERROR(__xludf.DUMMYFUNCTION("""COMPUTED_VALUE"""),"Tesla brand image")</f>
        <v>Tesla brand image</v>
      </c>
      <c r="V44" s="145"/>
      <c r="W44" s="136"/>
      <c r="X44" s="137"/>
      <c r="Y44" s="138"/>
      <c r="Z44" s="138"/>
      <c r="AA44" s="138"/>
      <c r="AB44" s="138"/>
      <c r="AC44" s="139"/>
      <c r="AD44" s="139"/>
      <c r="AE44" s="139"/>
      <c r="AF44" s="140"/>
      <c r="AG44" s="136"/>
      <c r="AH44" s="157">
        <f>IFERROR(__xludf.DUMMYFUNCTION("""COMPUTED_VALUE"""),44494.50602217592)</f>
        <v>44494.50602</v>
      </c>
      <c r="AI44" s="138"/>
      <c r="AJ44" s="138"/>
      <c r="AK44" s="138"/>
      <c r="AL44" s="142"/>
    </row>
    <row r="45" ht="20.25" customHeight="1">
      <c r="A45" s="155" t="str">
        <f>IFERROR(__xludf.DUMMYFUNCTION("""COMPUTED_VALUE"""),"M@")</f>
        <v>M@</v>
      </c>
      <c r="B45" s="149" t="str">
        <f>IFERROR(__xludf.DUMMYFUNCTION("""COMPUTED_VALUE"""),"Bow")</f>
        <v>Bow</v>
      </c>
      <c r="C45" s="149" t="str">
        <f>IFERROR(__xludf.DUMMYFUNCTION("""COMPUTED_VALUE"""),"NH")</f>
        <v>NH</v>
      </c>
      <c r="D45" s="149" t="str">
        <f>IFERROR(__xludf.DUMMYFUNCTION("""COMPUTED_VALUE"""),"USA")</f>
        <v>USA</v>
      </c>
      <c r="E45" s="156">
        <f>IFERROR(__xludf.DUMMYFUNCTION("""COMPUTED_VALUE"""),44484.0)</f>
        <v>44484</v>
      </c>
      <c r="F45" s="129"/>
      <c r="G45" s="154"/>
      <c r="H45" s="131"/>
      <c r="I45" s="144"/>
      <c r="J45" s="129"/>
      <c r="K45" s="133"/>
      <c r="L45" s="133"/>
      <c r="M45" s="133"/>
      <c r="N45" s="152" t="str">
        <f>IFERROR(__xludf.DUMMYFUNCTION("""COMPUTED_VALUE"""),"Model 3 LR AWD")</f>
        <v>Model 3 LR AWD</v>
      </c>
      <c r="O45" s="152" t="str">
        <f>IFERROR(__xludf.DUMMYFUNCTION("""COMPUTED_VALUE"""),"Pearl White Multi-Coat")</f>
        <v>Pearl White Multi-Coat</v>
      </c>
      <c r="P45" s="153" t="str">
        <f>IFERROR(__xludf.DUMMYFUNCTION("""COMPUTED_VALUE"""),"18 inch")</f>
        <v>18 inch</v>
      </c>
      <c r="Q45" s="152" t="str">
        <f>IFERROR(__xludf.DUMMYFUNCTION("""COMPUTED_VALUE"""),"All Black")</f>
        <v>All Black</v>
      </c>
      <c r="R45" s="149" t="str">
        <f>IFERROR(__xludf.DUMMYFUNCTION("""COMPUTED_VALUE"""),"Autopilot included")</f>
        <v>Autopilot included</v>
      </c>
      <c r="S45" s="149" t="str">
        <f>IFERROR(__xludf.DUMMYFUNCTION("""COMPUTED_VALUE"""),"Cash")</f>
        <v>Cash</v>
      </c>
      <c r="T45" s="145" t="str">
        <f>IFERROR(__xludf.DUMMYFUNCTION("""COMPUTED_VALUE"""),"Mercedes E500")</f>
        <v>Mercedes E500</v>
      </c>
      <c r="U45" s="145" t="str">
        <f>IFERROR(__xludf.DUMMYFUNCTION("""COMPUTED_VALUE"""),"Autopilot")</f>
        <v>Autopilot</v>
      </c>
      <c r="V45" s="145"/>
      <c r="W45" s="145"/>
      <c r="X45" s="137"/>
      <c r="Y45" s="138"/>
      <c r="Z45" s="138"/>
      <c r="AA45" s="138"/>
      <c r="AB45" s="138"/>
      <c r="AC45" s="139"/>
      <c r="AD45" s="139"/>
      <c r="AE45" s="139"/>
      <c r="AF45" s="140"/>
      <c r="AG45" s="145"/>
      <c r="AH45" s="157">
        <f>IFERROR(__xludf.DUMMYFUNCTION("""COMPUTED_VALUE"""),44500.3452787037)</f>
        <v>44500.34528</v>
      </c>
      <c r="AI45" s="138"/>
      <c r="AJ45" s="138"/>
      <c r="AK45" s="138"/>
      <c r="AL45" s="142"/>
    </row>
    <row r="46" ht="20.25" customHeight="1">
      <c r="A46" s="155" t="str">
        <f>IFERROR(__xludf.DUMMYFUNCTION("""COMPUTED_VALUE"""),"Napoleon1981")</f>
        <v>Napoleon1981</v>
      </c>
      <c r="B46" s="149" t="str">
        <f>IFERROR(__xludf.DUMMYFUNCTION("""COMPUTED_VALUE"""),"Lake Villa")</f>
        <v>Lake Villa</v>
      </c>
      <c r="C46" s="149" t="str">
        <f>IFERROR(__xludf.DUMMYFUNCTION("""COMPUTED_VALUE"""),"IL")</f>
        <v>IL</v>
      </c>
      <c r="D46" s="149" t="str">
        <f>IFERROR(__xludf.DUMMYFUNCTION("""COMPUTED_VALUE"""),"USA")</f>
        <v>USA</v>
      </c>
      <c r="E46" s="156">
        <f>IFERROR(__xludf.DUMMYFUNCTION("""COMPUTED_VALUE"""),44484.0)</f>
        <v>44484</v>
      </c>
      <c r="F46" s="129"/>
      <c r="G46" s="154"/>
      <c r="H46" s="131"/>
      <c r="I46" s="132"/>
      <c r="J46" s="129"/>
      <c r="K46" s="133"/>
      <c r="L46" s="133"/>
      <c r="M46" s="133"/>
      <c r="N46" s="152" t="str">
        <f>IFERROR(__xludf.DUMMYFUNCTION("""COMPUTED_VALUE"""),"Model 3 Performance")</f>
        <v>Model 3 Performance</v>
      </c>
      <c r="O46" s="152" t="str">
        <f>IFERROR(__xludf.DUMMYFUNCTION("""COMPUTED_VALUE"""),"Red Multi-Coat")</f>
        <v>Red Multi-Coat</v>
      </c>
      <c r="P46" s="153" t="str">
        <f>IFERROR(__xludf.DUMMYFUNCTION("""COMPUTED_VALUE"""),"20 inch")</f>
        <v>20 inch</v>
      </c>
      <c r="Q46" s="152" t="str">
        <f>IFERROR(__xludf.DUMMYFUNCTION("""COMPUTED_VALUE"""),"All Black")</f>
        <v>All Black</v>
      </c>
      <c r="R46" s="150" t="str">
        <f>IFERROR(__xludf.DUMMYFUNCTION("""COMPUTED_VALUE"""),"Autopilot included")</f>
        <v>Autopilot included</v>
      </c>
      <c r="S46" s="150" t="str">
        <f>IFERROR(__xludf.DUMMYFUNCTION("""COMPUTED_VALUE"""),"Loan")</f>
        <v>Loan</v>
      </c>
      <c r="T46" s="136" t="str">
        <f>IFERROR(__xludf.DUMMYFUNCTION("""COMPUTED_VALUE"""),"Tesla Model 3")</f>
        <v>Tesla Model 3</v>
      </c>
      <c r="U46" s="136" t="str">
        <f>IFERROR(__xludf.DUMMYFUNCTION("""COMPUTED_VALUE"""),"Electric!")</f>
        <v>Electric!</v>
      </c>
      <c r="V46" s="136" t="str">
        <f>IFERROR(__xludf.DUMMYFUNCTION("""COMPUTED_VALUE"""),"Heated steering wheel")</f>
        <v>Heated steering wheel</v>
      </c>
      <c r="W46" s="136"/>
      <c r="X46" s="137"/>
      <c r="Y46" s="138"/>
      <c r="Z46" s="138"/>
      <c r="AA46" s="138"/>
      <c r="AB46" s="138"/>
      <c r="AC46" s="139"/>
      <c r="AD46" s="139"/>
      <c r="AE46" s="139"/>
      <c r="AF46" s="140"/>
      <c r="AG46" s="136"/>
      <c r="AH46" s="157">
        <f>IFERROR(__xludf.DUMMYFUNCTION("""COMPUTED_VALUE"""),44488.5510078125)</f>
        <v>44488.55101</v>
      </c>
      <c r="AI46" s="138"/>
      <c r="AJ46" s="138"/>
      <c r="AK46" s="138"/>
      <c r="AL46" s="142"/>
    </row>
    <row r="47" ht="20.25" customHeight="1">
      <c r="A47" s="155" t="str">
        <f>IFERROR(__xludf.DUMMYFUNCTION("""COMPUTED_VALUE"""),"NTGreat")</f>
        <v>NTGreat</v>
      </c>
      <c r="B47" s="149"/>
      <c r="C47" s="149" t="str">
        <f>IFERROR(__xludf.DUMMYFUNCTION("""COMPUTED_VALUE"""),"NJ")</f>
        <v>NJ</v>
      </c>
      <c r="D47" s="149" t="str">
        <f>IFERROR(__xludf.DUMMYFUNCTION("""COMPUTED_VALUE"""),"USA")</f>
        <v>USA</v>
      </c>
      <c r="E47" s="156">
        <f>IFERROR(__xludf.DUMMYFUNCTION("""COMPUTED_VALUE"""),44484.0)</f>
        <v>44484</v>
      </c>
      <c r="F47" s="129">
        <f>IFERROR(__xludf.DUMMYFUNCTION("""COMPUTED_VALUE"""),44497.0)</f>
        <v>44497</v>
      </c>
      <c r="G47" s="154" t="str">
        <f>IFERROR(__xludf.DUMMYFUNCTION("""COMPUTED_VALUE"""),"Manage order page (normal text)")</f>
        <v>Manage order page (normal text)</v>
      </c>
      <c r="H47" s="131"/>
      <c r="I47" s="144"/>
      <c r="J47" s="129">
        <f>IFERROR(__xludf.DUMMYFUNCTION("""COMPUTED_VALUE"""),44512.0)</f>
        <v>44512</v>
      </c>
      <c r="K47" s="133">
        <f>IFERROR(__xludf.DUMMYFUNCTION("""COMPUTED_VALUE"""),13.0)</f>
        <v>13</v>
      </c>
      <c r="L47" s="133">
        <f>IFERROR(__xludf.DUMMYFUNCTION("""COMPUTED_VALUE"""),15.0)</f>
        <v>15</v>
      </c>
      <c r="M47" s="133">
        <f>IFERROR(__xludf.DUMMYFUNCTION("""COMPUTED_VALUE"""),28.0)</f>
        <v>28</v>
      </c>
      <c r="N47" s="152" t="str">
        <f>IFERROR(__xludf.DUMMYFUNCTION("""COMPUTED_VALUE"""),"Model 3 Performance")</f>
        <v>Model 3 Performance</v>
      </c>
      <c r="O47" s="152" t="str">
        <f>IFERROR(__xludf.DUMMYFUNCTION("""COMPUTED_VALUE"""),"Pearl White Multi-Coat")</f>
        <v>Pearl White Multi-Coat</v>
      </c>
      <c r="P47" s="153" t="str">
        <f>IFERROR(__xludf.DUMMYFUNCTION("""COMPUTED_VALUE"""),"20 inch")</f>
        <v>20 inch</v>
      </c>
      <c r="Q47" s="152" t="str">
        <f>IFERROR(__xludf.DUMMYFUNCTION("""COMPUTED_VALUE"""),"All Black")</f>
        <v>All Black</v>
      </c>
      <c r="R47" s="149" t="str">
        <f>IFERROR(__xludf.DUMMYFUNCTION("""COMPUTED_VALUE"""),"Autopilot included")</f>
        <v>Autopilot included</v>
      </c>
      <c r="S47" s="149" t="str">
        <f>IFERROR(__xludf.DUMMYFUNCTION("""COMPUTED_VALUE"""),"Cash")</f>
        <v>Cash</v>
      </c>
      <c r="T47" s="145"/>
      <c r="U47" s="145" t="str">
        <f>IFERROR(__xludf.DUMMYFUNCTION("""COMPUTED_VALUE"""),"Autopilot")</f>
        <v>Autopilot</v>
      </c>
      <c r="V47" s="145" t="str">
        <f>IFERROR(__xludf.DUMMYFUNCTION("""COMPUTED_VALUE"""),"Head-up display")</f>
        <v>Head-up display</v>
      </c>
      <c r="W47" s="145"/>
      <c r="X47" s="137"/>
      <c r="Y47" s="138"/>
      <c r="Z47" s="138"/>
      <c r="AA47" s="138"/>
      <c r="AB47" s="138"/>
      <c r="AC47" s="139"/>
      <c r="AD47" s="139"/>
      <c r="AE47" s="139"/>
      <c r="AF47" s="140"/>
      <c r="AG47" s="145"/>
      <c r="AH47" s="157">
        <f>IFERROR(__xludf.DUMMYFUNCTION("""COMPUTED_VALUE"""),44502.901111747684)</f>
        <v>44502.90111</v>
      </c>
      <c r="AI47" s="138"/>
      <c r="AJ47" s="138"/>
      <c r="AK47" s="138"/>
      <c r="AL47" s="142"/>
    </row>
    <row r="48" ht="20.25" customHeight="1">
      <c r="A48" s="155" t="str">
        <f>IFERROR(__xludf.DUMMYFUNCTION("""COMPUTED_VALUE"""),"sjhanlon")</f>
        <v>sjhanlon</v>
      </c>
      <c r="B48" s="149" t="str">
        <f>IFERROR(__xludf.DUMMYFUNCTION("""COMPUTED_VALUE"""),"Barrie")</f>
        <v>Barrie</v>
      </c>
      <c r="C48" s="149" t="str">
        <f>IFERROR(__xludf.DUMMYFUNCTION("""COMPUTED_VALUE"""),"ON")</f>
        <v>ON</v>
      </c>
      <c r="D48" s="149" t="str">
        <f>IFERROR(__xludf.DUMMYFUNCTION("""COMPUTED_VALUE"""),"Canada")</f>
        <v>Canada</v>
      </c>
      <c r="E48" s="156">
        <f>IFERROR(__xludf.DUMMYFUNCTION("""COMPUTED_VALUE"""),44484.0)</f>
        <v>44484</v>
      </c>
      <c r="F48" s="129"/>
      <c r="G48" s="154"/>
      <c r="H48" s="131"/>
      <c r="I48" s="144"/>
      <c r="J48" s="129"/>
      <c r="K48" s="133"/>
      <c r="L48" s="133"/>
      <c r="M48" s="133"/>
      <c r="N48" s="152" t="str">
        <f>IFERROR(__xludf.DUMMYFUNCTION("""COMPUTED_VALUE"""),"Model 3 Performance")</f>
        <v>Model 3 Performance</v>
      </c>
      <c r="O48" s="152" t="str">
        <f>IFERROR(__xludf.DUMMYFUNCTION("""COMPUTED_VALUE"""),"Solid Black")</f>
        <v>Solid Black</v>
      </c>
      <c r="P48" s="153" t="str">
        <f>IFERROR(__xludf.DUMMYFUNCTION("""COMPUTED_VALUE"""),"20 inch")</f>
        <v>20 inch</v>
      </c>
      <c r="Q48" s="152" t="str">
        <f>IFERROR(__xludf.DUMMYFUNCTION("""COMPUTED_VALUE"""),"All Black")</f>
        <v>All Black</v>
      </c>
      <c r="R48" s="149" t="str">
        <f>IFERROR(__xludf.DUMMYFUNCTION("""COMPUTED_VALUE"""),"Full Self-Driving")</f>
        <v>Full Self-Driving</v>
      </c>
      <c r="S48" s="149" t="str">
        <f>IFERROR(__xludf.DUMMYFUNCTION("""COMPUTED_VALUE"""),"Loan")</f>
        <v>Loan</v>
      </c>
      <c r="T48" s="145" t="str">
        <f>IFERROR(__xludf.DUMMYFUNCTION("""COMPUTED_VALUE"""),"AMG 53")</f>
        <v>AMG 53</v>
      </c>
      <c r="U48" s="145" t="str">
        <f>IFERROR(__xludf.DUMMYFUNCTION("""COMPUTED_VALUE"""),"Electric!")</f>
        <v>Electric!</v>
      </c>
      <c r="V48" s="145" t="str">
        <f>IFERROR(__xludf.DUMMYFUNCTION("""COMPUTED_VALUE"""),"Head-up display")</f>
        <v>Head-up display</v>
      </c>
      <c r="W48" s="145"/>
      <c r="X48" s="137"/>
      <c r="Y48" s="138"/>
      <c r="Z48" s="138"/>
      <c r="AA48" s="138"/>
      <c r="AB48" s="138"/>
      <c r="AC48" s="139"/>
      <c r="AD48" s="139"/>
      <c r="AE48" s="139"/>
      <c r="AF48" s="140"/>
      <c r="AG48" s="145"/>
      <c r="AH48" s="157">
        <f>IFERROR(__xludf.DUMMYFUNCTION("""COMPUTED_VALUE"""),44486.49954956019)</f>
        <v>44486.49955</v>
      </c>
      <c r="AI48" s="138"/>
      <c r="AJ48" s="138"/>
      <c r="AK48" s="138"/>
      <c r="AL48" s="142"/>
    </row>
    <row r="49" ht="20.25" customHeight="1">
      <c r="A49" s="155" t="str">
        <f>IFERROR(__xludf.DUMMYFUNCTION("""COMPUTED_VALUE"""),"stuigi99")</f>
        <v>stuigi99</v>
      </c>
      <c r="B49" s="149" t="str">
        <f>IFERROR(__xludf.DUMMYFUNCTION("""COMPUTED_VALUE"""),"Gloucester")</f>
        <v>Gloucester</v>
      </c>
      <c r="C49" s="149"/>
      <c r="D49" s="149" t="str">
        <f>IFERROR(__xludf.DUMMYFUNCTION("""COMPUTED_VALUE"""),"United Kingdom")</f>
        <v>United Kingdom</v>
      </c>
      <c r="E49" s="156">
        <f>IFERROR(__xludf.DUMMYFUNCTION("""COMPUTED_VALUE"""),44484.0)</f>
        <v>44484</v>
      </c>
      <c r="F49" s="129">
        <f>IFERROR(__xludf.DUMMYFUNCTION("""COMPUTED_VALUE"""),44503.0)</f>
        <v>44503</v>
      </c>
      <c r="G49" s="154" t="str">
        <f>IFERROR(__xludf.DUMMYFUNCTION("""COMPUTED_VALUE"""),"from leasing company")</f>
        <v>from leasing company</v>
      </c>
      <c r="H49" s="131"/>
      <c r="I49" s="132"/>
      <c r="J49" s="129"/>
      <c r="K49" s="133">
        <f>IFERROR(__xludf.DUMMYFUNCTION("""COMPUTED_VALUE"""),19.0)</f>
        <v>19</v>
      </c>
      <c r="L49" s="133"/>
      <c r="M49" s="133"/>
      <c r="N49" s="152" t="str">
        <f>IFERROR(__xludf.DUMMYFUNCTION("""COMPUTED_VALUE"""),"Model 3 LR AWD")</f>
        <v>Model 3 LR AWD</v>
      </c>
      <c r="O49" s="152" t="str">
        <f>IFERROR(__xludf.DUMMYFUNCTION("""COMPUTED_VALUE"""),"Pearl White Multi-Coat")</f>
        <v>Pearl White Multi-Coat</v>
      </c>
      <c r="P49" s="153" t="str">
        <f>IFERROR(__xludf.DUMMYFUNCTION("""COMPUTED_VALUE"""),"18 inch")</f>
        <v>18 inch</v>
      </c>
      <c r="Q49" s="152" t="str">
        <f>IFERROR(__xludf.DUMMYFUNCTION("""COMPUTED_VALUE"""),"All Black")</f>
        <v>All Black</v>
      </c>
      <c r="R49" s="150"/>
      <c r="S49" s="150" t="str">
        <f>IFERROR(__xludf.DUMMYFUNCTION("""COMPUTED_VALUE"""),"Lease")</f>
        <v>Lease</v>
      </c>
      <c r="T49" s="136" t="str">
        <f>IFERROR(__xludf.DUMMYFUNCTION("""COMPUTED_VALUE"""),"Mini Cooper")</f>
        <v>Mini Cooper</v>
      </c>
      <c r="U49" s="136" t="str">
        <f>IFERROR(__xludf.DUMMYFUNCTION("""COMPUTED_VALUE"""),"Electric!")</f>
        <v>Electric!</v>
      </c>
      <c r="V49" s="136" t="str">
        <f>IFERROR(__xludf.DUMMYFUNCTION("""COMPUTED_VALUE"""),"360° Bird's eye view")</f>
        <v>360° Bird's eye view</v>
      </c>
      <c r="W49" s="136"/>
      <c r="X49" s="137"/>
      <c r="Y49" s="138"/>
      <c r="Z49" s="138"/>
      <c r="AA49" s="138"/>
      <c r="AB49" s="138"/>
      <c r="AC49" s="139"/>
      <c r="AD49" s="139"/>
      <c r="AE49" s="139"/>
      <c r="AF49" s="140"/>
      <c r="AG49" s="136"/>
      <c r="AH49" s="157">
        <f>IFERROR(__xludf.DUMMYFUNCTION("""COMPUTED_VALUE"""),44503.45525803241)</f>
        <v>44503.45526</v>
      </c>
      <c r="AI49" s="138"/>
      <c r="AJ49" s="138"/>
      <c r="AK49" s="138"/>
      <c r="AL49" s="142"/>
    </row>
    <row r="50" ht="20.25" customHeight="1">
      <c r="A50" s="155" t="str">
        <f>IFERROR(__xludf.DUMMYFUNCTION("""COMPUTED_VALUE"""),"mordeeb")</f>
        <v>mordeeb</v>
      </c>
      <c r="B50" s="149"/>
      <c r="C50" s="149" t="str">
        <f>IFERROR(__xludf.DUMMYFUNCTION("""COMPUTED_VALUE"""),"MA")</f>
        <v>MA</v>
      </c>
      <c r="D50" s="149" t="str">
        <f>IFERROR(__xludf.DUMMYFUNCTION("""COMPUTED_VALUE"""),"USA")</f>
        <v>USA</v>
      </c>
      <c r="E50" s="156">
        <f>IFERROR(__xludf.DUMMYFUNCTION("""COMPUTED_VALUE"""),44483.0)</f>
        <v>44483</v>
      </c>
      <c r="F50" s="129"/>
      <c r="G50" s="154"/>
      <c r="H50" s="131"/>
      <c r="I50" s="144"/>
      <c r="J50" s="129"/>
      <c r="K50" s="133"/>
      <c r="L50" s="133"/>
      <c r="M50" s="133"/>
      <c r="N50" s="152" t="str">
        <f>IFERROR(__xludf.DUMMYFUNCTION("""COMPUTED_VALUE"""),"Model 3 LR AWD")</f>
        <v>Model 3 LR AWD</v>
      </c>
      <c r="O50" s="152" t="str">
        <f>IFERROR(__xludf.DUMMYFUNCTION("""COMPUTED_VALUE"""),"Pearl White Multi-Coat")</f>
        <v>Pearl White Multi-Coat</v>
      </c>
      <c r="P50" s="153" t="str">
        <f>IFERROR(__xludf.DUMMYFUNCTION("""COMPUTED_VALUE"""),"18 inch")</f>
        <v>18 inch</v>
      </c>
      <c r="Q50" s="152" t="str">
        <f>IFERROR(__xludf.DUMMYFUNCTION("""COMPUTED_VALUE"""),"All Black")</f>
        <v>All Black</v>
      </c>
      <c r="R50" s="149" t="str">
        <f>IFERROR(__xludf.DUMMYFUNCTION("""COMPUTED_VALUE"""),"Autopilot included")</f>
        <v>Autopilot included</v>
      </c>
      <c r="S50" s="149" t="str">
        <f>IFERROR(__xludf.DUMMYFUNCTION("""COMPUTED_VALUE"""),"Cash")</f>
        <v>Cash</v>
      </c>
      <c r="T50" s="145"/>
      <c r="U50" s="145" t="str">
        <f>IFERROR(__xludf.DUMMYFUNCTION("""COMPUTED_VALUE"""),"Electric!")</f>
        <v>Electric!</v>
      </c>
      <c r="V50" s="145" t="str">
        <f>IFERROR(__xludf.DUMMYFUNCTION("""COMPUTED_VALUE"""),"Apple CarPlay / Android Auto / SiriusXM Radio")</f>
        <v>Apple CarPlay / Android Auto / SiriusXM Radio</v>
      </c>
      <c r="W50" s="136"/>
      <c r="X50" s="137"/>
      <c r="Y50" s="138"/>
      <c r="Z50" s="138"/>
      <c r="AA50" s="138"/>
      <c r="AB50" s="138"/>
      <c r="AC50" s="139"/>
      <c r="AD50" s="139"/>
      <c r="AE50" s="139"/>
      <c r="AF50" s="140"/>
      <c r="AG50" s="136"/>
      <c r="AH50" s="157">
        <f>IFERROR(__xludf.DUMMYFUNCTION("""COMPUTED_VALUE"""),44501.52469579861)</f>
        <v>44501.5247</v>
      </c>
      <c r="AI50" s="138"/>
      <c r="AJ50" s="138"/>
      <c r="AK50" s="138"/>
      <c r="AL50" s="142"/>
    </row>
    <row r="51" ht="20.25" customHeight="1">
      <c r="A51" s="155" t="str">
        <f>IFERROR(__xludf.DUMMYFUNCTION("""COMPUTED_VALUE"""),"RexIrby")</f>
        <v>RexIrby</v>
      </c>
      <c r="B51" s="149" t="str">
        <f>IFERROR(__xludf.DUMMYFUNCTION("""COMPUTED_VALUE"""),"Elmhurst")</f>
        <v>Elmhurst</v>
      </c>
      <c r="C51" s="149" t="str">
        <f>IFERROR(__xludf.DUMMYFUNCTION("""COMPUTED_VALUE"""),"IL")</f>
        <v>IL</v>
      </c>
      <c r="D51" s="149" t="str">
        <f>IFERROR(__xludf.DUMMYFUNCTION("""COMPUTED_VALUE"""),"USA")</f>
        <v>USA</v>
      </c>
      <c r="E51" s="156">
        <f>IFERROR(__xludf.DUMMYFUNCTION("""COMPUTED_VALUE"""),44483.0)</f>
        <v>44483</v>
      </c>
      <c r="F51" s="129"/>
      <c r="G51" s="154"/>
      <c r="H51" s="131"/>
      <c r="I51" s="144"/>
      <c r="J51" s="129"/>
      <c r="K51" s="133"/>
      <c r="L51" s="133"/>
      <c r="M51" s="133"/>
      <c r="N51" s="152" t="str">
        <f>IFERROR(__xludf.DUMMYFUNCTION("""COMPUTED_VALUE"""),"Model 3 LR AWD")</f>
        <v>Model 3 LR AWD</v>
      </c>
      <c r="O51" s="152" t="str">
        <f>IFERROR(__xludf.DUMMYFUNCTION("""COMPUTED_VALUE"""),"Pearl White Multi-Coat")</f>
        <v>Pearl White Multi-Coat</v>
      </c>
      <c r="P51" s="153" t="str">
        <f>IFERROR(__xludf.DUMMYFUNCTION("""COMPUTED_VALUE"""),"18 inch")</f>
        <v>18 inch</v>
      </c>
      <c r="Q51" s="152" t="str">
        <f>IFERROR(__xludf.DUMMYFUNCTION("""COMPUTED_VALUE"""),"All Black")</f>
        <v>All Black</v>
      </c>
      <c r="R51" s="149" t="str">
        <f>IFERROR(__xludf.DUMMYFUNCTION("""COMPUTED_VALUE"""),"Autopilot included")</f>
        <v>Autopilot included</v>
      </c>
      <c r="S51" s="149" t="str">
        <f>IFERROR(__xludf.DUMMYFUNCTION("""COMPUTED_VALUE"""),"Cash")</f>
        <v>Cash</v>
      </c>
      <c r="T51" s="145" t="str">
        <f>IFERROR(__xludf.DUMMYFUNCTION("""COMPUTED_VALUE"""),"Nissan Leaf")</f>
        <v>Nissan Leaf</v>
      </c>
      <c r="U51" s="145" t="str">
        <f>IFERROR(__xludf.DUMMYFUNCTION("""COMPUTED_VALUE"""),"Electric!")</f>
        <v>Electric!</v>
      </c>
      <c r="V51" s="145"/>
      <c r="W51" s="145"/>
      <c r="X51" s="137"/>
      <c r="Y51" s="138"/>
      <c r="Z51" s="138"/>
      <c r="AA51" s="138"/>
      <c r="AB51" s="138"/>
      <c r="AC51" s="139"/>
      <c r="AD51" s="139"/>
      <c r="AE51" s="139"/>
      <c r="AF51" s="140"/>
      <c r="AG51" s="145"/>
      <c r="AH51" s="157">
        <f>IFERROR(__xludf.DUMMYFUNCTION("""COMPUTED_VALUE"""),44484.67202394676)</f>
        <v>44484.67202</v>
      </c>
      <c r="AI51" s="138"/>
      <c r="AJ51" s="138"/>
      <c r="AK51" s="138"/>
      <c r="AL51" s="142"/>
    </row>
    <row r="52" ht="20.25" customHeight="1">
      <c r="A52" s="155" t="str">
        <f>IFERROR(__xludf.DUMMYFUNCTION("""COMPUTED_VALUE"""),"BlueWRXPride")</f>
        <v>BlueWRXPride</v>
      </c>
      <c r="B52" s="149" t="str">
        <f>IFERROR(__xludf.DUMMYFUNCTION("""COMPUTED_VALUE"""),"Syracuse")</f>
        <v>Syracuse</v>
      </c>
      <c r="C52" s="149" t="str">
        <f>IFERROR(__xludf.DUMMYFUNCTION("""COMPUTED_VALUE"""),"NY")</f>
        <v>NY</v>
      </c>
      <c r="D52" s="149" t="str">
        <f>IFERROR(__xludf.DUMMYFUNCTION("""COMPUTED_VALUE"""),"USA")</f>
        <v>USA</v>
      </c>
      <c r="E52" s="156">
        <f>IFERROR(__xludf.DUMMYFUNCTION("""COMPUTED_VALUE"""),44482.0)</f>
        <v>44482</v>
      </c>
      <c r="F52" s="129"/>
      <c r="G52" s="154"/>
      <c r="H52" s="131"/>
      <c r="I52" s="132"/>
      <c r="J52" s="129"/>
      <c r="K52" s="133"/>
      <c r="L52" s="133"/>
      <c r="M52" s="133"/>
      <c r="N52" s="152" t="str">
        <f>IFERROR(__xludf.DUMMYFUNCTION("""COMPUTED_VALUE"""),"Model 3 LR AWD")</f>
        <v>Model 3 LR AWD</v>
      </c>
      <c r="O52" s="152" t="str">
        <f>IFERROR(__xludf.DUMMYFUNCTION("""COMPUTED_VALUE"""),"Red Multi-Coat")</f>
        <v>Red Multi-Coat</v>
      </c>
      <c r="P52" s="153" t="str">
        <f>IFERROR(__xludf.DUMMYFUNCTION("""COMPUTED_VALUE"""),"18 inch")</f>
        <v>18 inch</v>
      </c>
      <c r="Q52" s="152" t="str">
        <f>IFERROR(__xludf.DUMMYFUNCTION("""COMPUTED_VALUE"""),"All Black")</f>
        <v>All Black</v>
      </c>
      <c r="R52" s="150" t="str">
        <f>IFERROR(__xludf.DUMMYFUNCTION("""COMPUTED_VALUE"""),"Autopilot included")</f>
        <v>Autopilot included</v>
      </c>
      <c r="S52" s="150" t="str">
        <f>IFERROR(__xludf.DUMMYFUNCTION("""COMPUTED_VALUE"""),"Loan")</f>
        <v>Loan</v>
      </c>
      <c r="T52" s="136" t="str">
        <f>IFERROR(__xludf.DUMMYFUNCTION("""COMPUTED_VALUE"""),"Tesla Model 3")</f>
        <v>Tesla Model 3</v>
      </c>
      <c r="U52" s="136" t="str">
        <f>IFERROR(__xludf.DUMMYFUNCTION("""COMPUTED_VALUE"""),"Electric!")</f>
        <v>Electric!</v>
      </c>
      <c r="V52" s="136" t="str">
        <f>IFERROR(__xludf.DUMMYFUNCTION("""COMPUTED_VALUE"""),"Blind spot indicators on side mirrors")</f>
        <v>Blind spot indicators on side mirrors</v>
      </c>
      <c r="W52" s="136"/>
      <c r="X52" s="137"/>
      <c r="Y52" s="138"/>
      <c r="Z52" s="138"/>
      <c r="AA52" s="138"/>
      <c r="AB52" s="138"/>
      <c r="AC52" s="139"/>
      <c r="AD52" s="139"/>
      <c r="AE52" s="139"/>
      <c r="AF52" s="140"/>
      <c r="AG52" s="136"/>
      <c r="AH52" s="157">
        <f>IFERROR(__xludf.DUMMYFUNCTION("""COMPUTED_VALUE"""),44482.38770127315)</f>
        <v>44482.3877</v>
      </c>
      <c r="AI52" s="138"/>
      <c r="AJ52" s="138"/>
      <c r="AK52" s="138"/>
      <c r="AL52" s="142"/>
    </row>
    <row r="53" ht="20.25" customHeight="1">
      <c r="A53" s="155" t="str">
        <f>IFERROR(__xludf.DUMMYFUNCTION("""COMPUTED_VALUE"""),"Cartech")</f>
        <v>Cartech</v>
      </c>
      <c r="B53" s="149" t="str">
        <f>IFERROR(__xludf.DUMMYFUNCTION("""COMPUTED_VALUE"""),"Kansas City")</f>
        <v>Kansas City</v>
      </c>
      <c r="C53" s="149" t="str">
        <f>IFERROR(__xludf.DUMMYFUNCTION("""COMPUTED_VALUE"""),"AR")</f>
        <v>AR</v>
      </c>
      <c r="D53" s="149" t="str">
        <f>IFERROR(__xludf.DUMMYFUNCTION("""COMPUTED_VALUE"""),"USA")</f>
        <v>USA</v>
      </c>
      <c r="E53" s="156">
        <f>IFERROR(__xludf.DUMMYFUNCTION("""COMPUTED_VALUE"""),44482.0)</f>
        <v>44482</v>
      </c>
      <c r="F53" s="129">
        <f>IFERROR(__xludf.DUMMYFUNCTION("""COMPUTED_VALUE"""),44502.0)</f>
        <v>44502</v>
      </c>
      <c r="G53" s="154" t="str">
        <f>IFERROR(__xludf.DUMMYFUNCTION("""COMPUTED_VALUE"""),"Manage order page (normal text)")</f>
        <v>Manage order page (normal text)</v>
      </c>
      <c r="H53" s="131"/>
      <c r="I53" s="132"/>
      <c r="J53" s="129"/>
      <c r="K53" s="133">
        <f>IFERROR(__xludf.DUMMYFUNCTION("""COMPUTED_VALUE"""),20.0)</f>
        <v>20</v>
      </c>
      <c r="L53" s="133"/>
      <c r="M53" s="133"/>
      <c r="N53" s="152" t="str">
        <f>IFERROR(__xludf.DUMMYFUNCTION("""COMPUTED_VALUE"""),"Model 3 Performance")</f>
        <v>Model 3 Performance</v>
      </c>
      <c r="O53" s="152" t="str">
        <f>IFERROR(__xludf.DUMMYFUNCTION("""COMPUTED_VALUE"""),"Solid Black")</f>
        <v>Solid Black</v>
      </c>
      <c r="P53" s="153" t="str">
        <f>IFERROR(__xludf.DUMMYFUNCTION("""COMPUTED_VALUE"""),"20 inch")</f>
        <v>20 inch</v>
      </c>
      <c r="Q53" s="152" t="str">
        <f>IFERROR(__xludf.DUMMYFUNCTION("""COMPUTED_VALUE"""),"All Black")</f>
        <v>All Black</v>
      </c>
      <c r="R53" s="150" t="str">
        <f>IFERROR(__xludf.DUMMYFUNCTION("""COMPUTED_VALUE"""),"Autopilot included")</f>
        <v>Autopilot included</v>
      </c>
      <c r="S53" s="150" t="str">
        <f>IFERROR(__xludf.DUMMYFUNCTION("""COMPUTED_VALUE"""),"Lease")</f>
        <v>Lease</v>
      </c>
      <c r="T53" s="136" t="str">
        <f>IFERROR(__xludf.DUMMYFUNCTION("""COMPUTED_VALUE"""),"Subaru BRZ")</f>
        <v>Subaru BRZ</v>
      </c>
      <c r="U53" s="136"/>
      <c r="V53" s="136" t="str">
        <f>IFERROR(__xludf.DUMMYFUNCTION("""COMPUTED_VALUE"""),"Heated steering wheel")</f>
        <v>Heated steering wheel</v>
      </c>
      <c r="W53" s="136"/>
      <c r="X53" s="137"/>
      <c r="Y53" s="138"/>
      <c r="Z53" s="138"/>
      <c r="AA53" s="138"/>
      <c r="AB53" s="138"/>
      <c r="AC53" s="139"/>
      <c r="AD53" s="139"/>
      <c r="AE53" s="139"/>
      <c r="AF53" s="140"/>
      <c r="AG53" s="136"/>
      <c r="AH53" s="157">
        <f>IFERROR(__xludf.DUMMYFUNCTION("""COMPUTED_VALUE"""),44503.60032622686)</f>
        <v>44503.60033</v>
      </c>
      <c r="AI53" s="138"/>
      <c r="AJ53" s="138"/>
      <c r="AK53" s="138"/>
      <c r="AL53" s="142"/>
    </row>
    <row r="54" ht="20.25" customHeight="1">
      <c r="A54" s="155" t="str">
        <f>IFERROR(__xludf.DUMMYFUNCTION("""COMPUTED_VALUE"""),"bigboss115")</f>
        <v>bigboss115</v>
      </c>
      <c r="B54" s="149" t="str">
        <f>IFERROR(__xludf.DUMMYFUNCTION("""COMPUTED_VALUE"""),"LA")</f>
        <v>LA</v>
      </c>
      <c r="C54" s="149" t="str">
        <f>IFERROR(__xludf.DUMMYFUNCTION("""COMPUTED_VALUE"""),"CA")</f>
        <v>CA</v>
      </c>
      <c r="D54" s="149" t="str">
        <f>IFERROR(__xludf.DUMMYFUNCTION("""COMPUTED_VALUE"""),"USA")</f>
        <v>USA</v>
      </c>
      <c r="E54" s="156">
        <f>IFERROR(__xludf.DUMMYFUNCTION("""COMPUTED_VALUE"""),44481.0)</f>
        <v>44481</v>
      </c>
      <c r="F54" s="129"/>
      <c r="G54" s="154"/>
      <c r="H54" s="131"/>
      <c r="I54" s="144"/>
      <c r="J54" s="129">
        <f>IFERROR(__xludf.DUMMYFUNCTION("""COMPUTED_VALUE"""),44505.0)</f>
        <v>44505</v>
      </c>
      <c r="K54" s="133"/>
      <c r="L54" s="133"/>
      <c r="M54" s="133">
        <f>IFERROR(__xludf.DUMMYFUNCTION("""COMPUTED_VALUE"""),24.0)</f>
        <v>24</v>
      </c>
      <c r="N54" s="152" t="str">
        <f>IFERROR(__xludf.DUMMYFUNCTION("""COMPUTED_VALUE"""),"Model 3 LR AWD")</f>
        <v>Model 3 LR AWD</v>
      </c>
      <c r="O54" s="152" t="str">
        <f>IFERROR(__xludf.DUMMYFUNCTION("""COMPUTED_VALUE"""),"Pearl White Multi-Coat")</f>
        <v>Pearl White Multi-Coat</v>
      </c>
      <c r="P54" s="153" t="str">
        <f>IFERROR(__xludf.DUMMYFUNCTION("""COMPUTED_VALUE"""),"18 inch")</f>
        <v>18 inch</v>
      </c>
      <c r="Q54" s="152" t="str">
        <f>IFERROR(__xludf.DUMMYFUNCTION("""COMPUTED_VALUE"""),"All Black")</f>
        <v>All Black</v>
      </c>
      <c r="R54" s="149" t="str">
        <f>IFERROR(__xludf.DUMMYFUNCTION("""COMPUTED_VALUE"""),"Autopilot included")</f>
        <v>Autopilot included</v>
      </c>
      <c r="S54" s="149" t="str">
        <f>IFERROR(__xludf.DUMMYFUNCTION("""COMPUTED_VALUE"""),"Loan")</f>
        <v>Loan</v>
      </c>
      <c r="T54" s="145" t="str">
        <f>IFERROR(__xludf.DUMMYFUNCTION("""COMPUTED_VALUE"""),"Honda Civic")</f>
        <v>Honda Civic</v>
      </c>
      <c r="U54" s="145"/>
      <c r="V54" s="145" t="str">
        <f>IFERROR(__xludf.DUMMYFUNCTION("""COMPUTED_VALUE"""),"Apple CarPlay / Android Auto / SiriusXM Radio")</f>
        <v>Apple CarPlay / Android Auto / SiriusXM Radio</v>
      </c>
      <c r="W54" s="136"/>
      <c r="X54" s="137"/>
      <c r="Y54" s="138"/>
      <c r="Z54" s="138"/>
      <c r="AA54" s="138"/>
      <c r="AB54" s="138"/>
      <c r="AC54" s="139"/>
      <c r="AD54" s="139"/>
      <c r="AE54" s="139"/>
      <c r="AF54" s="140"/>
      <c r="AG54" s="136"/>
      <c r="AH54" s="157">
        <f>IFERROR(__xludf.DUMMYFUNCTION("""COMPUTED_VALUE"""),44503.52684912037)</f>
        <v>44503.52685</v>
      </c>
      <c r="AI54" s="138"/>
      <c r="AJ54" s="138"/>
      <c r="AK54" s="138"/>
      <c r="AL54" s="142"/>
    </row>
    <row r="55" ht="20.25" customHeight="1">
      <c r="A55" s="155" t="str">
        <f>IFERROR(__xludf.DUMMYFUNCTION("""COMPUTED_VALUE"""),"helloworld")</f>
        <v>helloworld</v>
      </c>
      <c r="B55" s="149" t="str">
        <f>IFERROR(__xludf.DUMMYFUNCTION("""COMPUTED_VALUE"""),"cambridge")</f>
        <v>cambridge</v>
      </c>
      <c r="C55" s="149" t="str">
        <f>IFERROR(__xludf.DUMMYFUNCTION("""COMPUTED_VALUE"""),"MA")</f>
        <v>MA</v>
      </c>
      <c r="D55" s="149" t="str">
        <f>IFERROR(__xludf.DUMMYFUNCTION("""COMPUTED_VALUE"""),"USA")</f>
        <v>USA</v>
      </c>
      <c r="E55" s="156">
        <f>IFERROR(__xludf.DUMMYFUNCTION("""COMPUTED_VALUE"""),44481.0)</f>
        <v>44481</v>
      </c>
      <c r="F55" s="129"/>
      <c r="G55" s="154"/>
      <c r="H55" s="131"/>
      <c r="I55" s="144"/>
      <c r="J55" s="129"/>
      <c r="K55" s="133"/>
      <c r="L55" s="133"/>
      <c r="M55" s="133"/>
      <c r="N55" s="152" t="str">
        <f>IFERROR(__xludf.DUMMYFUNCTION("""COMPUTED_VALUE"""),"Model 3 LR AWD")</f>
        <v>Model 3 LR AWD</v>
      </c>
      <c r="O55" s="152" t="str">
        <f>IFERROR(__xludf.DUMMYFUNCTION("""COMPUTED_VALUE"""),"Pearl White Multi-Coat")</f>
        <v>Pearl White Multi-Coat</v>
      </c>
      <c r="P55" s="153" t="str">
        <f>IFERROR(__xludf.DUMMYFUNCTION("""COMPUTED_VALUE"""),"18 inch")</f>
        <v>18 inch</v>
      </c>
      <c r="Q55" s="152" t="str">
        <f>IFERROR(__xludf.DUMMYFUNCTION("""COMPUTED_VALUE"""),"All Black")</f>
        <v>All Black</v>
      </c>
      <c r="R55" s="149" t="str">
        <f>IFERROR(__xludf.DUMMYFUNCTION("""COMPUTED_VALUE"""),"Autopilot included")</f>
        <v>Autopilot included</v>
      </c>
      <c r="S55" s="149" t="str">
        <f>IFERROR(__xludf.DUMMYFUNCTION("""COMPUTED_VALUE"""),"Loan")</f>
        <v>Loan</v>
      </c>
      <c r="T55" s="145"/>
      <c r="U55" s="145" t="str">
        <f>IFERROR(__xludf.DUMMYFUNCTION("""COMPUTED_VALUE"""),"Autopilot")</f>
        <v>Autopilot</v>
      </c>
      <c r="V55" s="145"/>
      <c r="W55" s="136"/>
      <c r="X55" s="137"/>
      <c r="Y55" s="138"/>
      <c r="Z55" s="138"/>
      <c r="AA55" s="138"/>
      <c r="AB55" s="138"/>
      <c r="AC55" s="139"/>
      <c r="AD55" s="139"/>
      <c r="AE55" s="139"/>
      <c r="AF55" s="140"/>
      <c r="AG55" s="136"/>
      <c r="AH55" s="157">
        <f>IFERROR(__xludf.DUMMYFUNCTION("""COMPUTED_VALUE"""),44496.63609744213)</f>
        <v>44496.6361</v>
      </c>
      <c r="AI55" s="138"/>
      <c r="AJ55" s="138"/>
      <c r="AK55" s="138"/>
      <c r="AL55" s="142"/>
    </row>
    <row r="56" ht="20.25" customHeight="1">
      <c r="A56" s="155" t="str">
        <f>IFERROR(__xludf.DUMMYFUNCTION("""COMPUTED_VALUE"""),"Mr.B")</f>
        <v>Mr.B</v>
      </c>
      <c r="B56" s="149" t="str">
        <f>IFERROR(__xludf.DUMMYFUNCTION("""COMPUTED_VALUE"""),"Bay Area")</f>
        <v>Bay Area</v>
      </c>
      <c r="C56" s="149" t="str">
        <f>IFERROR(__xludf.DUMMYFUNCTION("""COMPUTED_VALUE"""),"CA")</f>
        <v>CA</v>
      </c>
      <c r="D56" s="149" t="str">
        <f>IFERROR(__xludf.DUMMYFUNCTION("""COMPUTED_VALUE"""),"USA")</f>
        <v>USA</v>
      </c>
      <c r="E56" s="156">
        <f>IFERROR(__xludf.DUMMYFUNCTION("""COMPUTED_VALUE"""),44481.0)</f>
        <v>44481</v>
      </c>
      <c r="F56" s="129"/>
      <c r="G56" s="154"/>
      <c r="H56" s="131"/>
      <c r="I56" s="144"/>
      <c r="J56" s="129"/>
      <c r="K56" s="133"/>
      <c r="L56" s="133"/>
      <c r="M56" s="133"/>
      <c r="N56" s="152" t="str">
        <f>IFERROR(__xludf.DUMMYFUNCTION("""COMPUTED_VALUE"""),"Model 3 LR AWD")</f>
        <v>Model 3 LR AWD</v>
      </c>
      <c r="O56" s="152" t="str">
        <f>IFERROR(__xludf.DUMMYFUNCTION("""COMPUTED_VALUE"""),"Midnight Silver Metallic")</f>
        <v>Midnight Silver Metallic</v>
      </c>
      <c r="P56" s="153" t="str">
        <f>IFERROR(__xludf.DUMMYFUNCTION("""COMPUTED_VALUE"""),"18 inch")</f>
        <v>18 inch</v>
      </c>
      <c r="Q56" s="152" t="str">
        <f>IFERROR(__xludf.DUMMYFUNCTION("""COMPUTED_VALUE"""),"All Black")</f>
        <v>All Black</v>
      </c>
      <c r="R56" s="149" t="str">
        <f>IFERROR(__xludf.DUMMYFUNCTION("""COMPUTED_VALUE"""),"Autopilot included")</f>
        <v>Autopilot included</v>
      </c>
      <c r="S56" s="149" t="str">
        <f>IFERROR(__xludf.DUMMYFUNCTION("""COMPUTED_VALUE"""),"Loan")</f>
        <v>Loan</v>
      </c>
      <c r="T56" s="145"/>
      <c r="U56" s="145" t="str">
        <f>IFERROR(__xludf.DUMMYFUNCTION("""COMPUTED_VALUE"""),"Electric!")</f>
        <v>Electric!</v>
      </c>
      <c r="V56" s="145" t="str">
        <f>IFERROR(__xludf.DUMMYFUNCTION("""COMPUTED_VALUE"""),"Air suspension")</f>
        <v>Air suspension</v>
      </c>
      <c r="W56" s="136"/>
      <c r="X56" s="137"/>
      <c r="Y56" s="138"/>
      <c r="Z56" s="138"/>
      <c r="AA56" s="138"/>
      <c r="AB56" s="138"/>
      <c r="AC56" s="139"/>
      <c r="AD56" s="139"/>
      <c r="AE56" s="139"/>
      <c r="AF56" s="140"/>
      <c r="AG56" s="136"/>
      <c r="AH56" s="157">
        <f>IFERROR(__xludf.DUMMYFUNCTION("""COMPUTED_VALUE"""),44505.44866775463)</f>
        <v>44505.44867</v>
      </c>
      <c r="AI56" s="138"/>
      <c r="AJ56" s="138"/>
      <c r="AK56" s="138"/>
      <c r="AL56" s="142"/>
    </row>
    <row r="57" ht="20.25" customHeight="1">
      <c r="A57" s="155" t="str">
        <f>IFERROR(__xludf.DUMMYFUNCTION("""COMPUTED_VALUE"""),"Max R")</f>
        <v>Max R</v>
      </c>
      <c r="B57" s="149" t="str">
        <f>IFERROR(__xludf.DUMMYFUNCTION("""COMPUTED_VALUE"""),"Maidenhead")</f>
        <v>Maidenhead</v>
      </c>
      <c r="C57" s="149"/>
      <c r="D57" s="149" t="str">
        <f>IFERROR(__xludf.DUMMYFUNCTION("""COMPUTED_VALUE"""),"United Kingdom")</f>
        <v>United Kingdom</v>
      </c>
      <c r="E57" s="156">
        <f>IFERROR(__xludf.DUMMYFUNCTION("""COMPUTED_VALUE"""),44480.0)</f>
        <v>44480</v>
      </c>
      <c r="F57" s="129">
        <f>IFERROR(__xludf.DUMMYFUNCTION("""COMPUTED_VALUE"""),44495.0)</f>
        <v>44495</v>
      </c>
      <c r="G57" s="154" t="str">
        <f>IFERROR(__xludf.DUMMYFUNCTION("""COMPUTED_VALUE"""),"Source code")</f>
        <v>Source code</v>
      </c>
      <c r="H57" s="131">
        <f>IFERROR(__xludf.DUMMYFUNCTION("""COMPUTED_VALUE"""),393855.0)</f>
        <v>393855</v>
      </c>
      <c r="I57" s="144"/>
      <c r="J57" s="129">
        <f>IFERROR(__xludf.DUMMYFUNCTION("""COMPUTED_VALUE"""),44531.0)</f>
        <v>44531</v>
      </c>
      <c r="K57" s="133">
        <f>IFERROR(__xludf.DUMMYFUNCTION("""COMPUTED_VALUE"""),15.0)</f>
        <v>15</v>
      </c>
      <c r="L57" s="133">
        <f>IFERROR(__xludf.DUMMYFUNCTION("""COMPUTED_VALUE"""),36.0)</f>
        <v>36</v>
      </c>
      <c r="M57" s="133">
        <f>IFERROR(__xludf.DUMMYFUNCTION("""COMPUTED_VALUE"""),51.0)</f>
        <v>51</v>
      </c>
      <c r="N57" s="152" t="str">
        <f>IFERROR(__xludf.DUMMYFUNCTION("""COMPUTED_VALUE"""),"Model 3 LR AWD")</f>
        <v>Model 3 LR AWD</v>
      </c>
      <c r="O57" s="152" t="str">
        <f>IFERROR(__xludf.DUMMYFUNCTION("""COMPUTED_VALUE"""),"Pearl White Multi-Coat")</f>
        <v>Pearl White Multi-Coat</v>
      </c>
      <c r="P57" s="153" t="str">
        <f>IFERROR(__xludf.DUMMYFUNCTION("""COMPUTED_VALUE"""),"18 inch")</f>
        <v>18 inch</v>
      </c>
      <c r="Q57" s="152" t="str">
        <f>IFERROR(__xludf.DUMMYFUNCTION("""COMPUTED_VALUE"""),"All Black")</f>
        <v>All Black</v>
      </c>
      <c r="R57" s="149" t="str">
        <f>IFERROR(__xludf.DUMMYFUNCTION("""COMPUTED_VALUE"""),"Autopilot included")</f>
        <v>Autopilot included</v>
      </c>
      <c r="S57" s="149" t="str">
        <f>IFERROR(__xludf.DUMMYFUNCTION("""COMPUTED_VALUE"""),"Cash")</f>
        <v>Cash</v>
      </c>
      <c r="T57" s="145" t="str">
        <f>IFERROR(__xludf.DUMMYFUNCTION("""COMPUTED_VALUE"""),"Volkswagen Golf GTE")</f>
        <v>Volkswagen Golf GTE</v>
      </c>
      <c r="U57" s="145" t="str">
        <f>IFERROR(__xludf.DUMMYFUNCTION("""COMPUTED_VALUE"""),"Electric!")</f>
        <v>Electric!</v>
      </c>
      <c r="V57" s="145" t="str">
        <f>IFERROR(__xludf.DUMMYFUNCTION("""COMPUTED_VALUE"""),"More sound insulation")</f>
        <v>More sound insulation</v>
      </c>
      <c r="W57" s="136"/>
      <c r="X57" s="137"/>
      <c r="Y57" s="138"/>
      <c r="Z57" s="138"/>
      <c r="AA57" s="138"/>
      <c r="AB57" s="138"/>
      <c r="AC57" s="139"/>
      <c r="AD57" s="139"/>
      <c r="AE57" s="139"/>
      <c r="AF57" s="140"/>
      <c r="AG57" s="136"/>
      <c r="AH57" s="157">
        <f>IFERROR(__xludf.DUMMYFUNCTION("""COMPUTED_VALUE"""),44500.39297453704)</f>
        <v>44500.39297</v>
      </c>
      <c r="AI57" s="138"/>
      <c r="AJ57" s="138"/>
      <c r="AK57" s="138"/>
      <c r="AL57" s="142"/>
    </row>
    <row r="58" ht="20.25" customHeight="1">
      <c r="A58" s="155" t="str">
        <f>IFERROR(__xludf.DUMMYFUNCTION("""COMPUTED_VALUE"""),"smowens1919")</f>
        <v>smowens1919</v>
      </c>
      <c r="B58" s="149" t="str">
        <f>IFERROR(__xludf.DUMMYFUNCTION("""COMPUTED_VALUE"""),"Grayslake")</f>
        <v>Grayslake</v>
      </c>
      <c r="C58" s="149" t="str">
        <f>IFERROR(__xludf.DUMMYFUNCTION("""COMPUTED_VALUE"""),"IL")</f>
        <v>IL</v>
      </c>
      <c r="D58" s="149" t="str">
        <f>IFERROR(__xludf.DUMMYFUNCTION("""COMPUTED_VALUE"""),"USA")</f>
        <v>USA</v>
      </c>
      <c r="E58" s="156">
        <f>IFERROR(__xludf.DUMMYFUNCTION("""COMPUTED_VALUE"""),44480.0)</f>
        <v>44480</v>
      </c>
      <c r="F58" s="129"/>
      <c r="G58" s="154"/>
      <c r="H58" s="131"/>
      <c r="I58" s="132"/>
      <c r="J58" s="129"/>
      <c r="K58" s="133"/>
      <c r="L58" s="133"/>
      <c r="M58" s="133"/>
      <c r="N58" s="152" t="str">
        <f>IFERROR(__xludf.DUMMYFUNCTION("""COMPUTED_VALUE"""),"Model 3 LR AWD")</f>
        <v>Model 3 LR AWD</v>
      </c>
      <c r="O58" s="152" t="str">
        <f>IFERROR(__xludf.DUMMYFUNCTION("""COMPUTED_VALUE"""),"Midnight Silver Metallic")</f>
        <v>Midnight Silver Metallic</v>
      </c>
      <c r="P58" s="153" t="str">
        <f>IFERROR(__xludf.DUMMYFUNCTION("""COMPUTED_VALUE"""),"18 inch")</f>
        <v>18 inch</v>
      </c>
      <c r="Q58" s="152" t="str">
        <f>IFERROR(__xludf.DUMMYFUNCTION("""COMPUTED_VALUE"""),"Black and White")</f>
        <v>Black and White</v>
      </c>
      <c r="R58" s="150" t="str">
        <f>IFERROR(__xludf.DUMMYFUNCTION("""COMPUTED_VALUE"""),"Autopilot included")</f>
        <v>Autopilot included</v>
      </c>
      <c r="S58" s="150" t="str">
        <f>IFERROR(__xludf.DUMMYFUNCTION("""COMPUTED_VALUE"""),"Loan")</f>
        <v>Loan</v>
      </c>
      <c r="T58" s="136" t="str">
        <f>IFERROR(__xludf.DUMMYFUNCTION("""COMPUTED_VALUE"""),"Tesla Model 3")</f>
        <v>Tesla Model 3</v>
      </c>
      <c r="U58" s="136" t="str">
        <f>IFERROR(__xludf.DUMMYFUNCTION("""COMPUTED_VALUE"""),"Electric!")</f>
        <v>Electric!</v>
      </c>
      <c r="V58" s="136" t="str">
        <f>IFERROR(__xludf.DUMMYFUNCTION("""COMPUTED_VALUE"""),"Blind spot indicators on side mirrors")</f>
        <v>Blind spot indicators on side mirrors</v>
      </c>
      <c r="W58" s="136"/>
      <c r="X58" s="137"/>
      <c r="Y58" s="138"/>
      <c r="Z58" s="138"/>
      <c r="AA58" s="138"/>
      <c r="AB58" s="138"/>
      <c r="AC58" s="139"/>
      <c r="AD58" s="139"/>
      <c r="AE58" s="139"/>
      <c r="AF58" s="140"/>
      <c r="AG58" s="136"/>
      <c r="AH58" s="157">
        <f>IFERROR(__xludf.DUMMYFUNCTION("""COMPUTED_VALUE"""),44505.45539703704)</f>
        <v>44505.4554</v>
      </c>
      <c r="AI58" s="138"/>
      <c r="AJ58" s="138"/>
      <c r="AK58" s="138"/>
      <c r="AL58" s="142"/>
    </row>
    <row r="59" ht="20.25" customHeight="1">
      <c r="A59" s="155" t="str">
        <f>IFERROR(__xludf.DUMMYFUNCTION("""COMPUTED_VALUE"""),"ChrisTheVet")</f>
        <v>ChrisTheVet</v>
      </c>
      <c r="B59" s="149" t="str">
        <f>IFERROR(__xludf.DUMMYFUNCTION("""COMPUTED_VALUE"""),"Canterbury")</f>
        <v>Canterbury</v>
      </c>
      <c r="C59" s="149"/>
      <c r="D59" s="149" t="str">
        <f>IFERROR(__xludf.DUMMYFUNCTION("""COMPUTED_VALUE"""),"United Kingdom")</f>
        <v>United Kingdom</v>
      </c>
      <c r="E59" s="156">
        <f>IFERROR(__xludf.DUMMYFUNCTION("""COMPUTED_VALUE"""),44479.0)</f>
        <v>44479</v>
      </c>
      <c r="F59" s="129">
        <f>IFERROR(__xludf.DUMMYFUNCTION("""COMPUTED_VALUE"""),44502.0)</f>
        <v>44502</v>
      </c>
      <c r="G59" s="154" t="str">
        <f>IFERROR(__xludf.DUMMYFUNCTION("""COMPUTED_VALUE"""),"Source code")</f>
        <v>Source code</v>
      </c>
      <c r="H59" s="131"/>
      <c r="I59" s="132"/>
      <c r="J59" s="129"/>
      <c r="K59" s="133">
        <f>IFERROR(__xludf.DUMMYFUNCTION("""COMPUTED_VALUE"""),23.0)</f>
        <v>23</v>
      </c>
      <c r="L59" s="133"/>
      <c r="M59" s="133"/>
      <c r="N59" s="152" t="str">
        <f>IFERROR(__xludf.DUMMYFUNCTION("""COMPUTED_VALUE"""),"Model 3 LR AWD")</f>
        <v>Model 3 LR AWD</v>
      </c>
      <c r="O59" s="152" t="str">
        <f>IFERROR(__xludf.DUMMYFUNCTION("""COMPUTED_VALUE"""),"Deep Blue Metallic")</f>
        <v>Deep Blue Metallic</v>
      </c>
      <c r="P59" s="153" t="str">
        <f>IFERROR(__xludf.DUMMYFUNCTION("""COMPUTED_VALUE"""),"19 inch")</f>
        <v>19 inch</v>
      </c>
      <c r="Q59" s="152" t="str">
        <f>IFERROR(__xludf.DUMMYFUNCTION("""COMPUTED_VALUE"""),"All Black")</f>
        <v>All Black</v>
      </c>
      <c r="R59" s="150" t="str">
        <f>IFERROR(__xludf.DUMMYFUNCTION("""COMPUTED_VALUE"""),"Autopilot included")</f>
        <v>Autopilot included</v>
      </c>
      <c r="S59" s="150" t="str">
        <f>IFERROR(__xludf.DUMMYFUNCTION("""COMPUTED_VALUE"""),"Loan")</f>
        <v>Loan</v>
      </c>
      <c r="T59" s="145" t="str">
        <f>IFERROR(__xludf.DUMMYFUNCTION("""COMPUTED_VALUE"""),"VW Passat")</f>
        <v>VW Passat</v>
      </c>
      <c r="U59" s="145" t="str">
        <f>IFERROR(__xludf.DUMMYFUNCTION("""COMPUTED_VALUE"""),"Electric!")</f>
        <v>Electric!</v>
      </c>
      <c r="V59" s="145" t="str">
        <f>IFERROR(__xludf.DUMMYFUNCTION("""COMPUTED_VALUE"""),"Head-up display")</f>
        <v>Head-up display</v>
      </c>
      <c r="W59" s="145"/>
      <c r="X59" s="137"/>
      <c r="Y59" s="138"/>
      <c r="Z59" s="138"/>
      <c r="AA59" s="138"/>
      <c r="AB59" s="138"/>
      <c r="AC59" s="139"/>
      <c r="AD59" s="139"/>
      <c r="AE59" s="139"/>
      <c r="AF59" s="140"/>
      <c r="AG59" s="145"/>
      <c r="AH59" s="157">
        <f>IFERROR(__xludf.DUMMYFUNCTION("""COMPUTED_VALUE"""),44505.14358337963)</f>
        <v>44505.14358</v>
      </c>
      <c r="AI59" s="138"/>
      <c r="AJ59" s="138"/>
      <c r="AK59" s="138"/>
      <c r="AL59" s="142"/>
    </row>
    <row r="60" ht="20.25" customHeight="1">
      <c r="A60" s="155" t="str">
        <f>IFERROR(__xludf.DUMMYFUNCTION("""COMPUTED_VALUE"""),"dfw21")</f>
        <v>dfw21</v>
      </c>
      <c r="B60" s="149" t="str">
        <f>IFERROR(__xludf.DUMMYFUNCTION("""COMPUTED_VALUE"""),"Fort Worth")</f>
        <v>Fort Worth</v>
      </c>
      <c r="C60" s="149" t="str">
        <f>IFERROR(__xludf.DUMMYFUNCTION("""COMPUTED_VALUE"""),"TX")</f>
        <v>TX</v>
      </c>
      <c r="D60" s="149" t="str">
        <f>IFERROR(__xludf.DUMMYFUNCTION("""COMPUTED_VALUE"""),"USA")</f>
        <v>USA</v>
      </c>
      <c r="E60" s="156">
        <f>IFERROR(__xludf.DUMMYFUNCTION("""COMPUTED_VALUE"""),44479.0)</f>
        <v>44479</v>
      </c>
      <c r="F60" s="129"/>
      <c r="G60" s="154"/>
      <c r="H60" s="131"/>
      <c r="I60" s="144"/>
      <c r="J60" s="129"/>
      <c r="K60" s="133"/>
      <c r="L60" s="133"/>
      <c r="M60" s="133"/>
      <c r="N60" s="152" t="str">
        <f>IFERROR(__xludf.DUMMYFUNCTION("""COMPUTED_VALUE"""),"Model 3 LR AWD")</f>
        <v>Model 3 LR AWD</v>
      </c>
      <c r="O60" s="152" t="str">
        <f>IFERROR(__xludf.DUMMYFUNCTION("""COMPUTED_VALUE"""),"Midnight Silver Metallic")</f>
        <v>Midnight Silver Metallic</v>
      </c>
      <c r="P60" s="153" t="str">
        <f>IFERROR(__xludf.DUMMYFUNCTION("""COMPUTED_VALUE"""),"19 inch")</f>
        <v>19 inch</v>
      </c>
      <c r="Q60" s="152" t="str">
        <f>IFERROR(__xludf.DUMMYFUNCTION("""COMPUTED_VALUE"""),"All Black")</f>
        <v>All Black</v>
      </c>
      <c r="R60" s="149" t="str">
        <f>IFERROR(__xludf.DUMMYFUNCTION("""COMPUTED_VALUE"""),"Autopilot included")</f>
        <v>Autopilot included</v>
      </c>
      <c r="S60" s="149"/>
      <c r="T60" s="145"/>
      <c r="U60" s="145" t="str">
        <f>IFERROR(__xludf.DUMMYFUNCTION("""COMPUTED_VALUE"""),"Electric!")</f>
        <v>Electric!</v>
      </c>
      <c r="V60" s="145" t="str">
        <f>IFERROR(__xludf.DUMMYFUNCTION("""COMPUTED_VALUE"""),"Ventilated seats")</f>
        <v>Ventilated seats</v>
      </c>
      <c r="W60" s="145"/>
      <c r="X60" s="137"/>
      <c r="Y60" s="138"/>
      <c r="Z60" s="138"/>
      <c r="AA60" s="138"/>
      <c r="AB60" s="138"/>
      <c r="AC60" s="139"/>
      <c r="AD60" s="139"/>
      <c r="AE60" s="139"/>
      <c r="AF60" s="140"/>
      <c r="AG60" s="145"/>
      <c r="AH60" s="157">
        <f>IFERROR(__xludf.DUMMYFUNCTION("""COMPUTED_VALUE"""),44496.29865295139)</f>
        <v>44496.29865</v>
      </c>
      <c r="AI60" s="138"/>
      <c r="AJ60" s="138"/>
      <c r="AK60" s="138"/>
      <c r="AL60" s="142"/>
    </row>
    <row r="61" ht="20.25" customHeight="1">
      <c r="A61" s="155" t="str">
        <f>IFERROR(__xludf.DUMMYFUNCTION("""COMPUTED_VALUE"""),"jrh211")</f>
        <v>jrh211</v>
      </c>
      <c r="B61" s="149"/>
      <c r="C61" s="149" t="str">
        <f>IFERROR(__xludf.DUMMYFUNCTION("""COMPUTED_VALUE"""),"NY")</f>
        <v>NY</v>
      </c>
      <c r="D61" s="149" t="str">
        <f>IFERROR(__xludf.DUMMYFUNCTION("""COMPUTED_VALUE"""),"USA")</f>
        <v>USA</v>
      </c>
      <c r="E61" s="156">
        <f>IFERROR(__xludf.DUMMYFUNCTION("""COMPUTED_VALUE"""),44479.0)</f>
        <v>44479</v>
      </c>
      <c r="F61" s="129"/>
      <c r="G61" s="154"/>
      <c r="H61" s="131"/>
      <c r="I61" s="144"/>
      <c r="J61" s="129"/>
      <c r="K61" s="133"/>
      <c r="L61" s="133"/>
      <c r="M61" s="133"/>
      <c r="N61" s="152" t="str">
        <f>IFERROR(__xludf.DUMMYFUNCTION("""COMPUTED_VALUE"""),"Model 3 LR AWD")</f>
        <v>Model 3 LR AWD</v>
      </c>
      <c r="O61" s="152" t="str">
        <f>IFERROR(__xludf.DUMMYFUNCTION("""COMPUTED_VALUE"""),"Deep Blue Metallic")</f>
        <v>Deep Blue Metallic</v>
      </c>
      <c r="P61" s="153" t="str">
        <f>IFERROR(__xludf.DUMMYFUNCTION("""COMPUTED_VALUE"""),"18 inch")</f>
        <v>18 inch</v>
      </c>
      <c r="Q61" s="152" t="str">
        <f>IFERROR(__xludf.DUMMYFUNCTION("""COMPUTED_VALUE"""),"All Black")</f>
        <v>All Black</v>
      </c>
      <c r="R61" s="149" t="str">
        <f>IFERROR(__xludf.DUMMYFUNCTION("""COMPUTED_VALUE"""),"Autopilot included")</f>
        <v>Autopilot included</v>
      </c>
      <c r="S61" s="149" t="str">
        <f>IFERROR(__xludf.DUMMYFUNCTION("""COMPUTED_VALUE"""),"Loan")</f>
        <v>Loan</v>
      </c>
      <c r="T61" s="145" t="str">
        <f>IFERROR(__xludf.DUMMYFUNCTION("""COMPUTED_VALUE"""),"Chevy Camaro")</f>
        <v>Chevy Camaro</v>
      </c>
      <c r="U61" s="145" t="str">
        <f>IFERROR(__xludf.DUMMYFUNCTION("""COMPUTED_VALUE"""),"Electric!")</f>
        <v>Electric!</v>
      </c>
      <c r="V61" s="145" t="str">
        <f>IFERROR(__xludf.DUMMYFUNCTION("""COMPUTED_VALUE"""),"Apple CarPlay / Android Auto / SiriusXM Radio")</f>
        <v>Apple CarPlay / Android Auto / SiriusXM Radio</v>
      </c>
      <c r="W61" s="145"/>
      <c r="X61" s="137"/>
      <c r="Y61" s="138"/>
      <c r="Z61" s="138"/>
      <c r="AA61" s="138"/>
      <c r="AB61" s="138"/>
      <c r="AC61" s="139"/>
      <c r="AD61" s="139"/>
      <c r="AE61" s="139"/>
      <c r="AF61" s="140"/>
      <c r="AG61" s="145"/>
      <c r="AH61" s="157">
        <f>IFERROR(__xludf.DUMMYFUNCTION("""COMPUTED_VALUE"""),44503.75837309028)</f>
        <v>44503.75837</v>
      </c>
      <c r="AI61" s="138"/>
      <c r="AJ61" s="138"/>
      <c r="AK61" s="138"/>
      <c r="AL61" s="142"/>
    </row>
    <row r="62" ht="20.25" customHeight="1">
      <c r="A62" s="155" t="str">
        <f>IFERROR(__xludf.DUMMYFUNCTION("""COMPUTED_VALUE"""),"morsecp")</f>
        <v>morsecp</v>
      </c>
      <c r="B62" s="149" t="str">
        <f>IFERROR(__xludf.DUMMYFUNCTION("""COMPUTED_VALUE"""),"South Hero")</f>
        <v>South Hero</v>
      </c>
      <c r="C62" s="149" t="str">
        <f>IFERROR(__xludf.DUMMYFUNCTION("""COMPUTED_VALUE"""),"VT")</f>
        <v>VT</v>
      </c>
      <c r="D62" s="149" t="str">
        <f>IFERROR(__xludf.DUMMYFUNCTION("""COMPUTED_VALUE"""),"USA")</f>
        <v>USA</v>
      </c>
      <c r="E62" s="156">
        <f>IFERROR(__xludf.DUMMYFUNCTION("""COMPUTED_VALUE"""),44479.0)</f>
        <v>44479</v>
      </c>
      <c r="F62" s="129"/>
      <c r="G62" s="154"/>
      <c r="H62" s="131"/>
      <c r="I62" s="144"/>
      <c r="J62" s="129"/>
      <c r="K62" s="133"/>
      <c r="L62" s="133"/>
      <c r="M62" s="133"/>
      <c r="N62" s="152" t="str">
        <f>IFERROR(__xludf.DUMMYFUNCTION("""COMPUTED_VALUE"""),"Model 3 LR AWD")</f>
        <v>Model 3 LR AWD</v>
      </c>
      <c r="O62" s="152" t="str">
        <f>IFERROR(__xludf.DUMMYFUNCTION("""COMPUTED_VALUE"""),"Pearl White Multi-Coat")</f>
        <v>Pearl White Multi-Coat</v>
      </c>
      <c r="P62" s="153" t="str">
        <f>IFERROR(__xludf.DUMMYFUNCTION("""COMPUTED_VALUE"""),"19 inch")</f>
        <v>19 inch</v>
      </c>
      <c r="Q62" s="152" t="str">
        <f>IFERROR(__xludf.DUMMYFUNCTION("""COMPUTED_VALUE"""),"Black and White")</f>
        <v>Black and White</v>
      </c>
      <c r="R62" s="149" t="str">
        <f>IFERROR(__xludf.DUMMYFUNCTION("""COMPUTED_VALUE"""),"Autopilot included")</f>
        <v>Autopilot included</v>
      </c>
      <c r="S62" s="149" t="str">
        <f>IFERROR(__xludf.DUMMYFUNCTION("""COMPUTED_VALUE"""),"Cash")</f>
        <v>Cash</v>
      </c>
      <c r="T62" s="145" t="str">
        <f>IFERROR(__xludf.DUMMYFUNCTION("""COMPUTED_VALUE"""),"Honda CRV")</f>
        <v>Honda CRV</v>
      </c>
      <c r="U62" s="145" t="str">
        <f>IFERROR(__xludf.DUMMYFUNCTION("""COMPUTED_VALUE"""),"Electric!")</f>
        <v>Electric!</v>
      </c>
      <c r="V62" s="145" t="str">
        <f>IFERROR(__xludf.DUMMYFUNCTION("""COMPUTED_VALUE"""),"Apple CarPlay / Android Auto / SiriusXM Radio")</f>
        <v>Apple CarPlay / Android Auto / SiriusXM Radio</v>
      </c>
      <c r="W62" s="145"/>
      <c r="X62" s="137"/>
      <c r="Y62" s="138"/>
      <c r="Z62" s="138"/>
      <c r="AA62" s="138"/>
      <c r="AB62" s="138"/>
      <c r="AC62" s="139"/>
      <c r="AD62" s="139"/>
      <c r="AE62" s="139"/>
      <c r="AF62" s="140"/>
      <c r="AG62" s="136"/>
      <c r="AH62" s="157">
        <f>IFERROR(__xludf.DUMMYFUNCTION("""COMPUTED_VALUE"""),44482.41021501157)</f>
        <v>44482.41022</v>
      </c>
      <c r="AI62" s="138"/>
      <c r="AJ62" s="138"/>
      <c r="AK62" s="138"/>
      <c r="AL62" s="142"/>
    </row>
    <row r="63" ht="20.25" customHeight="1">
      <c r="A63" s="155" t="str">
        <f>IFERROR(__xludf.DUMMYFUNCTION("""COMPUTED_VALUE"""),"musicman")</f>
        <v>musicman</v>
      </c>
      <c r="B63" s="149" t="str">
        <f>IFERROR(__xludf.DUMMYFUNCTION("""COMPUTED_VALUE"""),"Jackson")</f>
        <v>Jackson</v>
      </c>
      <c r="C63" s="149" t="str">
        <f>IFERROR(__xludf.DUMMYFUNCTION("""COMPUTED_VALUE"""),"TN")</f>
        <v>TN</v>
      </c>
      <c r="D63" s="149" t="str">
        <f>IFERROR(__xludf.DUMMYFUNCTION("""COMPUTED_VALUE"""),"USA")</f>
        <v>USA</v>
      </c>
      <c r="E63" s="156">
        <f>IFERROR(__xludf.DUMMYFUNCTION("""COMPUTED_VALUE"""),44477.0)</f>
        <v>44477</v>
      </c>
      <c r="F63" s="129">
        <f>IFERROR(__xludf.DUMMYFUNCTION("""COMPUTED_VALUE"""),44489.0)</f>
        <v>44489</v>
      </c>
      <c r="G63" s="154" t="str">
        <f>IFERROR(__xludf.DUMMYFUNCTION("""COMPUTED_VALUE"""),"Manage order page (normal text)")</f>
        <v>Manage order page (normal text)</v>
      </c>
      <c r="H63" s="131">
        <f>IFERROR(__xludf.DUMMYFUNCTION("""COMPUTED_VALUE"""),92555.0)</f>
        <v>92555</v>
      </c>
      <c r="I63" s="144"/>
      <c r="J63" s="129">
        <f>IFERROR(__xludf.DUMMYFUNCTION("""COMPUTED_VALUE"""),44509.0)</f>
        <v>44509</v>
      </c>
      <c r="K63" s="133">
        <f>IFERROR(__xludf.DUMMYFUNCTION("""COMPUTED_VALUE"""),12.0)</f>
        <v>12</v>
      </c>
      <c r="L63" s="133">
        <f>IFERROR(__xludf.DUMMYFUNCTION("""COMPUTED_VALUE"""),20.0)</f>
        <v>20</v>
      </c>
      <c r="M63" s="133">
        <f>IFERROR(__xludf.DUMMYFUNCTION("""COMPUTED_VALUE"""),32.0)</f>
        <v>32</v>
      </c>
      <c r="N63" s="152" t="str">
        <f>IFERROR(__xludf.DUMMYFUNCTION("""COMPUTED_VALUE"""),"Model 3 Performance")</f>
        <v>Model 3 Performance</v>
      </c>
      <c r="O63" s="152" t="str">
        <f>IFERROR(__xludf.DUMMYFUNCTION("""COMPUTED_VALUE"""),"Midnight Silver Metallic")</f>
        <v>Midnight Silver Metallic</v>
      </c>
      <c r="P63" s="153" t="str">
        <f>IFERROR(__xludf.DUMMYFUNCTION("""COMPUTED_VALUE"""),"20 inch")</f>
        <v>20 inch</v>
      </c>
      <c r="Q63" s="152" t="str">
        <f>IFERROR(__xludf.DUMMYFUNCTION("""COMPUTED_VALUE"""),"Black and White")</f>
        <v>Black and White</v>
      </c>
      <c r="R63" s="149" t="str">
        <f>IFERROR(__xludf.DUMMYFUNCTION("""COMPUTED_VALUE"""),"Autopilot included")</f>
        <v>Autopilot included</v>
      </c>
      <c r="S63" s="149" t="str">
        <f>IFERROR(__xludf.DUMMYFUNCTION("""COMPUTED_VALUE"""),"Loan")</f>
        <v>Loan</v>
      </c>
      <c r="T63" s="145" t="str">
        <f>IFERROR(__xludf.DUMMYFUNCTION("""COMPUTED_VALUE"""),"Lincoln MKZ")</f>
        <v>Lincoln MKZ</v>
      </c>
      <c r="U63" s="145" t="str">
        <f>IFERROR(__xludf.DUMMYFUNCTION("""COMPUTED_VALUE"""),"Tesla brand image")</f>
        <v>Tesla brand image</v>
      </c>
      <c r="V63" s="145" t="str">
        <f>IFERROR(__xludf.DUMMYFUNCTION("""COMPUTED_VALUE"""),"Head-up display")</f>
        <v>Head-up display</v>
      </c>
      <c r="W63" s="136"/>
      <c r="X63" s="137"/>
      <c r="Y63" s="138"/>
      <c r="Z63" s="138"/>
      <c r="AA63" s="138"/>
      <c r="AB63" s="138"/>
      <c r="AC63" s="139"/>
      <c r="AD63" s="139"/>
      <c r="AE63" s="139"/>
      <c r="AF63" s="140"/>
      <c r="AG63" s="136" t="str">
        <f>IFERROR(__xludf.DUMMYFUNCTION("""COMPUTED_VALUE"""),"Changed to White Interior on 10/16")</f>
        <v>Changed to White Interior on 10/16</v>
      </c>
      <c r="AH63" s="157">
        <f>IFERROR(__xludf.DUMMYFUNCTION("""COMPUTED_VALUE"""),44506.38583734954)</f>
        <v>44506.38584</v>
      </c>
      <c r="AI63" s="138"/>
      <c r="AJ63" s="138"/>
      <c r="AK63" s="138"/>
      <c r="AL63" s="142"/>
    </row>
    <row r="64" ht="20.25" customHeight="1">
      <c r="A64" s="155" t="str">
        <f>IFERROR(__xludf.DUMMYFUNCTION("""COMPUTED_VALUE"""),"Terry213")</f>
        <v>Terry213</v>
      </c>
      <c r="B64" s="149" t="str">
        <f>IFERROR(__xludf.DUMMYFUNCTION("""COMPUTED_VALUE"""),"Clarkson")</f>
        <v>Clarkson</v>
      </c>
      <c r="C64" s="149" t="str">
        <f>IFERROR(__xludf.DUMMYFUNCTION("""COMPUTED_VALUE"""),"MI")</f>
        <v>MI</v>
      </c>
      <c r="D64" s="149" t="str">
        <f>IFERROR(__xludf.DUMMYFUNCTION("""COMPUTED_VALUE"""),"USA")</f>
        <v>USA</v>
      </c>
      <c r="E64" s="156">
        <f>IFERROR(__xludf.DUMMYFUNCTION("""COMPUTED_VALUE"""),44477.0)</f>
        <v>44477</v>
      </c>
      <c r="F64" s="129"/>
      <c r="G64" s="154"/>
      <c r="H64" s="131"/>
      <c r="I64" s="144"/>
      <c r="J64" s="129"/>
      <c r="K64" s="133"/>
      <c r="L64" s="133"/>
      <c r="M64" s="133"/>
      <c r="N64" s="152" t="str">
        <f>IFERROR(__xludf.DUMMYFUNCTION("""COMPUTED_VALUE"""),"Model 3 SR+")</f>
        <v>Model 3 SR+</v>
      </c>
      <c r="O64" s="152" t="str">
        <f>IFERROR(__xludf.DUMMYFUNCTION("""COMPUTED_VALUE"""),"Solid Black")</f>
        <v>Solid Black</v>
      </c>
      <c r="P64" s="153" t="str">
        <f>IFERROR(__xludf.DUMMYFUNCTION("""COMPUTED_VALUE"""),"19 inch")</f>
        <v>19 inch</v>
      </c>
      <c r="Q64" s="152" t="str">
        <f>IFERROR(__xludf.DUMMYFUNCTION("""COMPUTED_VALUE"""),"Black and White")</f>
        <v>Black and White</v>
      </c>
      <c r="R64" s="149" t="str">
        <f>IFERROR(__xludf.DUMMYFUNCTION("""COMPUTED_VALUE"""),"Autopilot included")</f>
        <v>Autopilot included</v>
      </c>
      <c r="S64" s="149" t="str">
        <f>IFERROR(__xludf.DUMMYFUNCTION("""COMPUTED_VALUE"""),"Cash")</f>
        <v>Cash</v>
      </c>
      <c r="T64" s="145" t="str">
        <f>IFERROR(__xludf.DUMMYFUNCTION("""COMPUTED_VALUE"""),"Model 3 will be my first car!")</f>
        <v>Model 3 will be my first car!</v>
      </c>
      <c r="U64" s="145"/>
      <c r="V64" s="145"/>
      <c r="W64" s="136"/>
      <c r="X64" s="137"/>
      <c r="Y64" s="138"/>
      <c r="Z64" s="138"/>
      <c r="AA64" s="138"/>
      <c r="AB64" s="138"/>
      <c r="AC64" s="139"/>
      <c r="AD64" s="139"/>
      <c r="AE64" s="139"/>
      <c r="AF64" s="140"/>
      <c r="AG64" s="136"/>
      <c r="AH64" s="157">
        <f>IFERROR(__xludf.DUMMYFUNCTION("""COMPUTED_VALUE"""),44495.85363078704)</f>
        <v>44495.85363</v>
      </c>
      <c r="AI64" s="138"/>
      <c r="AJ64" s="138"/>
      <c r="AK64" s="138"/>
      <c r="AL64" s="142"/>
    </row>
    <row r="65" ht="20.25" customHeight="1">
      <c r="A65" s="155" t="str">
        <f>IFERROR(__xludf.DUMMYFUNCTION("""COMPUTED_VALUE"""),"whiskeylover")</f>
        <v>whiskeylover</v>
      </c>
      <c r="B65" s="149"/>
      <c r="C65" s="149" t="str">
        <f>IFERROR(__xludf.DUMMYFUNCTION("""COMPUTED_VALUE"""),"MA")</f>
        <v>MA</v>
      </c>
      <c r="D65" s="149" t="str">
        <f>IFERROR(__xludf.DUMMYFUNCTION("""COMPUTED_VALUE"""),"USA")</f>
        <v>USA</v>
      </c>
      <c r="E65" s="156">
        <f>IFERROR(__xludf.DUMMYFUNCTION("""COMPUTED_VALUE"""),44477.0)</f>
        <v>44477</v>
      </c>
      <c r="F65" s="129"/>
      <c r="G65" s="154"/>
      <c r="H65" s="131"/>
      <c r="I65" s="144"/>
      <c r="J65" s="129"/>
      <c r="K65" s="133"/>
      <c r="L65" s="133"/>
      <c r="M65" s="133"/>
      <c r="N65" s="152" t="str">
        <f>IFERROR(__xludf.DUMMYFUNCTION("""COMPUTED_VALUE"""),"Model 3 LR AWD")</f>
        <v>Model 3 LR AWD</v>
      </c>
      <c r="O65" s="152" t="str">
        <f>IFERROR(__xludf.DUMMYFUNCTION("""COMPUTED_VALUE"""),"Deep Blue Metallic")</f>
        <v>Deep Blue Metallic</v>
      </c>
      <c r="P65" s="153" t="str">
        <f>IFERROR(__xludf.DUMMYFUNCTION("""COMPUTED_VALUE"""),"18 inch")</f>
        <v>18 inch</v>
      </c>
      <c r="Q65" s="152" t="str">
        <f>IFERROR(__xludf.DUMMYFUNCTION("""COMPUTED_VALUE"""),"Black and White")</f>
        <v>Black and White</v>
      </c>
      <c r="R65" s="149" t="str">
        <f>IFERROR(__xludf.DUMMYFUNCTION("""COMPUTED_VALUE"""),"Full Self-Driving")</f>
        <v>Full Self-Driving</v>
      </c>
      <c r="S65" s="149" t="str">
        <f>IFERROR(__xludf.DUMMYFUNCTION("""COMPUTED_VALUE"""),"Loan")</f>
        <v>Loan</v>
      </c>
      <c r="T65" s="145"/>
      <c r="U65" s="145" t="str">
        <f>IFERROR(__xludf.DUMMYFUNCTION("""COMPUTED_VALUE"""),"Autopilot")</f>
        <v>Autopilot</v>
      </c>
      <c r="V65" s="145" t="str">
        <f>IFERROR(__xludf.DUMMYFUNCTION("""COMPUTED_VALUE"""),"Apple CarPlay / Android Auto / SiriusXM Radio")</f>
        <v>Apple CarPlay / Android Auto / SiriusXM Radio</v>
      </c>
      <c r="W65" s="136"/>
      <c r="X65" s="137"/>
      <c r="Y65" s="138"/>
      <c r="Z65" s="138"/>
      <c r="AA65" s="138"/>
      <c r="AB65" s="138"/>
      <c r="AC65" s="139"/>
      <c r="AD65" s="139"/>
      <c r="AE65" s="139"/>
      <c r="AF65" s="140"/>
      <c r="AG65" s="136"/>
      <c r="AH65" s="157">
        <f>IFERROR(__xludf.DUMMYFUNCTION("""COMPUTED_VALUE"""),44489.03244503472)</f>
        <v>44489.03245</v>
      </c>
      <c r="AI65" s="138"/>
      <c r="AJ65" s="138"/>
      <c r="AK65" s="138"/>
      <c r="AL65" s="142"/>
    </row>
    <row r="66" ht="20.25" customHeight="1">
      <c r="A66" s="155" t="str">
        <f>IFERROR(__xludf.DUMMYFUNCTION("""COMPUTED_VALUE"""),"Doccobb ")</f>
        <v>Doccobb </v>
      </c>
      <c r="B66" s="149" t="str">
        <f>IFERROR(__xludf.DUMMYFUNCTION("""COMPUTED_VALUE"""),"Chapel Hill")</f>
        <v>Chapel Hill</v>
      </c>
      <c r="C66" s="149" t="str">
        <f>IFERROR(__xludf.DUMMYFUNCTION("""COMPUTED_VALUE"""),"NC")</f>
        <v>NC</v>
      </c>
      <c r="D66" s="149" t="str">
        <f>IFERROR(__xludf.DUMMYFUNCTION("""COMPUTED_VALUE"""),"USA")</f>
        <v>USA</v>
      </c>
      <c r="E66" s="156">
        <f>IFERROR(__xludf.DUMMYFUNCTION("""COMPUTED_VALUE"""),44476.0)</f>
        <v>44476</v>
      </c>
      <c r="F66" s="129"/>
      <c r="G66" s="154"/>
      <c r="H66" s="131"/>
      <c r="I66" s="144"/>
      <c r="J66" s="129"/>
      <c r="K66" s="133"/>
      <c r="L66" s="133"/>
      <c r="M66" s="133"/>
      <c r="N66" s="152" t="str">
        <f>IFERROR(__xludf.DUMMYFUNCTION("""COMPUTED_VALUE"""),"Model 3 LR AWD")</f>
        <v>Model 3 LR AWD</v>
      </c>
      <c r="O66" s="152" t="str">
        <f>IFERROR(__xludf.DUMMYFUNCTION("""COMPUTED_VALUE"""),"Midnight Silver Metallic")</f>
        <v>Midnight Silver Metallic</v>
      </c>
      <c r="P66" s="153" t="str">
        <f>IFERROR(__xludf.DUMMYFUNCTION("""COMPUTED_VALUE"""),"18 inch")</f>
        <v>18 inch</v>
      </c>
      <c r="Q66" s="152" t="str">
        <f>IFERROR(__xludf.DUMMYFUNCTION("""COMPUTED_VALUE"""),"All Black")</f>
        <v>All Black</v>
      </c>
      <c r="R66" s="149" t="str">
        <f>IFERROR(__xludf.DUMMYFUNCTION("""COMPUTED_VALUE"""),"Autopilot included")</f>
        <v>Autopilot included</v>
      </c>
      <c r="S66" s="149"/>
      <c r="T66" s="145" t="str">
        <f>IFERROR(__xludf.DUMMYFUNCTION("""COMPUTED_VALUE"""),"E Golf")</f>
        <v>E Golf</v>
      </c>
      <c r="U66" s="145" t="str">
        <f>IFERROR(__xludf.DUMMYFUNCTION("""COMPUTED_VALUE"""),"Supercharger V3 support")</f>
        <v>Supercharger V3 support</v>
      </c>
      <c r="V66" s="145" t="str">
        <f>IFERROR(__xludf.DUMMYFUNCTION("""COMPUTED_VALUE"""),"Ventilated seats")</f>
        <v>Ventilated seats</v>
      </c>
      <c r="W66" s="145"/>
      <c r="X66" s="137"/>
      <c r="Y66" s="138"/>
      <c r="Z66" s="138"/>
      <c r="AA66" s="138"/>
      <c r="AB66" s="138"/>
      <c r="AC66" s="139"/>
      <c r="AD66" s="139"/>
      <c r="AE66" s="139"/>
      <c r="AF66" s="140"/>
      <c r="AG66" s="145"/>
      <c r="AH66" s="157">
        <f>IFERROR(__xludf.DUMMYFUNCTION("""COMPUTED_VALUE"""),44486.21826539352)</f>
        <v>44486.21827</v>
      </c>
      <c r="AI66" s="138"/>
      <c r="AJ66" s="138"/>
      <c r="AK66" s="138"/>
      <c r="AL66" s="142"/>
    </row>
    <row r="67" ht="20.25" customHeight="1">
      <c r="A67" s="155" t="str">
        <f>IFERROR(__xludf.DUMMYFUNCTION("""COMPUTED_VALUE"""),"Dupregh")</f>
        <v>Dupregh</v>
      </c>
      <c r="B67" s="149" t="str">
        <f>IFERROR(__xludf.DUMMYFUNCTION("""COMPUTED_VALUE"""),"Buckingham")</f>
        <v>Buckingham</v>
      </c>
      <c r="C67" s="149"/>
      <c r="D67" s="149" t="str">
        <f>IFERROR(__xludf.DUMMYFUNCTION("""COMPUTED_VALUE"""),"United Kingdom")</f>
        <v>United Kingdom</v>
      </c>
      <c r="E67" s="156">
        <f>IFERROR(__xludf.DUMMYFUNCTION("""COMPUTED_VALUE"""),44476.0)</f>
        <v>44476</v>
      </c>
      <c r="F67" s="129"/>
      <c r="G67" s="154"/>
      <c r="H67" s="131"/>
      <c r="I67" s="144"/>
      <c r="J67" s="129"/>
      <c r="K67" s="133"/>
      <c r="L67" s="133"/>
      <c r="M67" s="133"/>
      <c r="N67" s="152" t="str">
        <f>IFERROR(__xludf.DUMMYFUNCTION("""COMPUTED_VALUE"""),"Model 3 LR AWD")</f>
        <v>Model 3 LR AWD</v>
      </c>
      <c r="O67" s="152" t="str">
        <f>IFERROR(__xludf.DUMMYFUNCTION("""COMPUTED_VALUE"""),"Midnight Silver Metallic")</f>
        <v>Midnight Silver Metallic</v>
      </c>
      <c r="P67" s="153" t="str">
        <f>IFERROR(__xludf.DUMMYFUNCTION("""COMPUTED_VALUE"""),"18 inch")</f>
        <v>18 inch</v>
      </c>
      <c r="Q67" s="152" t="str">
        <f>IFERROR(__xludf.DUMMYFUNCTION("""COMPUTED_VALUE"""),"Black and White")</f>
        <v>Black and White</v>
      </c>
      <c r="R67" s="149" t="str">
        <f>IFERROR(__xludf.DUMMYFUNCTION("""COMPUTED_VALUE"""),"Autopilot included")</f>
        <v>Autopilot included</v>
      </c>
      <c r="S67" s="149" t="str">
        <f>IFERROR(__xludf.DUMMYFUNCTION("""COMPUTED_VALUE"""),"Loan")</f>
        <v>Loan</v>
      </c>
      <c r="T67" s="145" t="str">
        <f>IFERROR(__xludf.DUMMYFUNCTION("""COMPUTED_VALUE"""),"Ford Ranger Wildtrak")</f>
        <v>Ford Ranger Wildtrak</v>
      </c>
      <c r="U67" s="145" t="str">
        <f>IFERROR(__xludf.DUMMYFUNCTION("""COMPUTED_VALUE"""),"Electric!")</f>
        <v>Electric!</v>
      </c>
      <c r="V67" s="145"/>
      <c r="W67" s="136"/>
      <c r="X67" s="137"/>
      <c r="Y67" s="138"/>
      <c r="Z67" s="138"/>
      <c r="AA67" s="138"/>
      <c r="AB67" s="138"/>
      <c r="AC67" s="139"/>
      <c r="AD67" s="139"/>
      <c r="AE67" s="139"/>
      <c r="AF67" s="140"/>
      <c r="AG67" s="136"/>
      <c r="AH67" s="157">
        <f>IFERROR(__xludf.DUMMYFUNCTION("""COMPUTED_VALUE"""),44496.599483460646)</f>
        <v>44496.59948</v>
      </c>
      <c r="AI67" s="138"/>
      <c r="AJ67" s="138"/>
      <c r="AK67" s="138"/>
      <c r="AL67" s="142"/>
    </row>
    <row r="68" ht="20.25" customHeight="1">
      <c r="A68" s="155" t="str">
        <f>IFERROR(__xludf.DUMMYFUNCTION("""COMPUTED_VALUE"""),"Preet")</f>
        <v>Preet</v>
      </c>
      <c r="B68" s="149" t="str">
        <f>IFERROR(__xludf.DUMMYFUNCTION("""COMPUTED_VALUE"""),"Regina")</f>
        <v>Regina</v>
      </c>
      <c r="C68" s="149" t="str">
        <f>IFERROR(__xludf.DUMMYFUNCTION("""COMPUTED_VALUE"""),"SK")</f>
        <v>SK</v>
      </c>
      <c r="D68" s="149" t="str">
        <f>IFERROR(__xludf.DUMMYFUNCTION("""COMPUTED_VALUE"""),"Canada")</f>
        <v>Canada</v>
      </c>
      <c r="E68" s="156">
        <f>IFERROR(__xludf.DUMMYFUNCTION("""COMPUTED_VALUE"""),44476.0)</f>
        <v>44476</v>
      </c>
      <c r="F68" s="129"/>
      <c r="G68" s="154"/>
      <c r="H68" s="131"/>
      <c r="I68" s="144"/>
      <c r="J68" s="129"/>
      <c r="K68" s="133"/>
      <c r="L68" s="133"/>
      <c r="M68" s="133"/>
      <c r="N68" s="152" t="str">
        <f>IFERROR(__xludf.DUMMYFUNCTION("""COMPUTED_VALUE"""),"Model 3 SR+")</f>
        <v>Model 3 SR+</v>
      </c>
      <c r="O68" s="152" t="str">
        <f>IFERROR(__xludf.DUMMYFUNCTION("""COMPUTED_VALUE"""),"Solid Black")</f>
        <v>Solid Black</v>
      </c>
      <c r="P68" s="153" t="str">
        <f>IFERROR(__xludf.DUMMYFUNCTION("""COMPUTED_VALUE"""),"18 inch")</f>
        <v>18 inch</v>
      </c>
      <c r="Q68" s="152" t="str">
        <f>IFERROR(__xludf.DUMMYFUNCTION("""COMPUTED_VALUE"""),"Black and White")</f>
        <v>Black and White</v>
      </c>
      <c r="R68" s="149"/>
      <c r="S68" s="149" t="str">
        <f>IFERROR(__xludf.DUMMYFUNCTION("""COMPUTED_VALUE"""),"Loan")</f>
        <v>Loan</v>
      </c>
      <c r="T68" s="145" t="str">
        <f>IFERROR(__xludf.DUMMYFUNCTION("""COMPUTED_VALUE"""),"Genesis coupe")</f>
        <v>Genesis coupe</v>
      </c>
      <c r="U68" s="145" t="str">
        <f>IFERROR(__xludf.DUMMYFUNCTION("""COMPUTED_VALUE"""),"Electric!")</f>
        <v>Electric!</v>
      </c>
      <c r="V68" s="145" t="str">
        <f>IFERROR(__xludf.DUMMYFUNCTION("""COMPUTED_VALUE"""),"Ventilated seats")</f>
        <v>Ventilated seats</v>
      </c>
      <c r="W68" s="145"/>
      <c r="X68" s="137"/>
      <c r="Y68" s="138"/>
      <c r="Z68" s="138"/>
      <c r="AA68" s="138"/>
      <c r="AB68" s="138"/>
      <c r="AC68" s="139"/>
      <c r="AD68" s="139"/>
      <c r="AE68" s="139"/>
      <c r="AF68" s="140"/>
      <c r="AG68" s="145"/>
      <c r="AH68" s="157">
        <f>IFERROR(__xludf.DUMMYFUNCTION("""COMPUTED_VALUE"""),44482.84518062501)</f>
        <v>44482.84518</v>
      </c>
      <c r="AI68" s="138"/>
      <c r="AJ68" s="138"/>
      <c r="AK68" s="138"/>
      <c r="AL68" s="142"/>
    </row>
    <row r="69" ht="20.25" customHeight="1">
      <c r="A69" s="155" t="str">
        <f>IFERROR(__xludf.DUMMYFUNCTION("""COMPUTED_VALUE"""),"sandiego858")</f>
        <v>sandiego858</v>
      </c>
      <c r="B69" s="149" t="str">
        <f>IFERROR(__xludf.DUMMYFUNCTION("""COMPUTED_VALUE"""),"San Diego")</f>
        <v>San Diego</v>
      </c>
      <c r="C69" s="149" t="str">
        <f>IFERROR(__xludf.DUMMYFUNCTION("""COMPUTED_VALUE"""),"CA")</f>
        <v>CA</v>
      </c>
      <c r="D69" s="149" t="str">
        <f>IFERROR(__xludf.DUMMYFUNCTION("""COMPUTED_VALUE"""),"USA")</f>
        <v>USA</v>
      </c>
      <c r="E69" s="156">
        <f>IFERROR(__xludf.DUMMYFUNCTION("""COMPUTED_VALUE"""),44476.0)</f>
        <v>44476</v>
      </c>
      <c r="F69" s="129"/>
      <c r="G69" s="154"/>
      <c r="H69" s="131"/>
      <c r="I69" s="144"/>
      <c r="J69" s="129"/>
      <c r="K69" s="133"/>
      <c r="L69" s="133"/>
      <c r="M69" s="133"/>
      <c r="N69" s="152" t="str">
        <f>IFERROR(__xludf.DUMMYFUNCTION("""COMPUTED_VALUE"""),"Model 3 LR AWD")</f>
        <v>Model 3 LR AWD</v>
      </c>
      <c r="O69" s="152" t="str">
        <f>IFERROR(__xludf.DUMMYFUNCTION("""COMPUTED_VALUE"""),"Pearl White Multi-Coat")</f>
        <v>Pearl White Multi-Coat</v>
      </c>
      <c r="P69" s="153" t="str">
        <f>IFERROR(__xludf.DUMMYFUNCTION("""COMPUTED_VALUE"""),"18 inch")</f>
        <v>18 inch</v>
      </c>
      <c r="Q69" s="152" t="str">
        <f>IFERROR(__xludf.DUMMYFUNCTION("""COMPUTED_VALUE"""),"All Black")</f>
        <v>All Black</v>
      </c>
      <c r="R69" s="149" t="str">
        <f>IFERROR(__xludf.DUMMYFUNCTION("""COMPUTED_VALUE"""),"Autopilot included")</f>
        <v>Autopilot included</v>
      </c>
      <c r="S69" s="149" t="str">
        <f>IFERROR(__xludf.DUMMYFUNCTION("""COMPUTED_VALUE"""),"Cash")</f>
        <v>Cash</v>
      </c>
      <c r="T69" s="145" t="str">
        <f>IFERROR(__xludf.DUMMYFUNCTION("""COMPUTED_VALUE"""),"Hyundai Ioniq Hybrid")</f>
        <v>Hyundai Ioniq Hybrid</v>
      </c>
      <c r="U69" s="145" t="str">
        <f>IFERROR(__xludf.DUMMYFUNCTION("""COMPUTED_VALUE"""),"Electric!")</f>
        <v>Electric!</v>
      </c>
      <c r="V69" s="145" t="str">
        <f>IFERROR(__xludf.DUMMYFUNCTION("""COMPUTED_VALUE"""),"Apple CarPlay / Android Auto / SiriusXM Radio")</f>
        <v>Apple CarPlay / Android Auto / SiriusXM Radio</v>
      </c>
      <c r="W69" s="145"/>
      <c r="X69" s="137"/>
      <c r="Y69" s="138"/>
      <c r="Z69" s="138"/>
      <c r="AA69" s="138"/>
      <c r="AB69" s="138"/>
      <c r="AC69" s="139"/>
      <c r="AD69" s="139"/>
      <c r="AE69" s="139"/>
      <c r="AF69" s="140"/>
      <c r="AG69" s="145"/>
      <c r="AH69" s="157">
        <f>IFERROR(__xludf.DUMMYFUNCTION("""COMPUTED_VALUE"""),44501.32670762731)</f>
        <v>44501.32671</v>
      </c>
      <c r="AI69" s="138"/>
      <c r="AJ69" s="138"/>
      <c r="AK69" s="138"/>
      <c r="AL69" s="142"/>
    </row>
    <row r="70" ht="20.25" customHeight="1">
      <c r="A70" s="155" t="str">
        <f>IFERROR(__xludf.DUMMYFUNCTION("""COMPUTED_VALUE"""),"tanddev")</f>
        <v>tanddev</v>
      </c>
      <c r="B70" s="149" t="str">
        <f>IFERROR(__xludf.DUMMYFUNCTION("""COMPUTED_VALUE"""),"Tampa")</f>
        <v>Tampa</v>
      </c>
      <c r="C70" s="149" t="str">
        <f>IFERROR(__xludf.DUMMYFUNCTION("""COMPUTED_VALUE"""),"FL")</f>
        <v>FL</v>
      </c>
      <c r="D70" s="149" t="str">
        <f>IFERROR(__xludf.DUMMYFUNCTION("""COMPUTED_VALUE"""),"USA")</f>
        <v>USA</v>
      </c>
      <c r="E70" s="156">
        <f>IFERROR(__xludf.DUMMYFUNCTION("""COMPUTED_VALUE"""),44476.0)</f>
        <v>44476</v>
      </c>
      <c r="F70" s="129"/>
      <c r="G70" s="154"/>
      <c r="H70" s="131"/>
      <c r="I70" s="144"/>
      <c r="J70" s="129"/>
      <c r="K70" s="133"/>
      <c r="L70" s="133"/>
      <c r="M70" s="133"/>
      <c r="N70" s="152" t="str">
        <f>IFERROR(__xludf.DUMMYFUNCTION("""COMPUTED_VALUE"""),"Model 3 Performance")</f>
        <v>Model 3 Performance</v>
      </c>
      <c r="O70" s="152" t="str">
        <f>IFERROR(__xludf.DUMMYFUNCTION("""COMPUTED_VALUE"""),"Pearl White Multi-Coat")</f>
        <v>Pearl White Multi-Coat</v>
      </c>
      <c r="P70" s="153" t="str">
        <f>IFERROR(__xludf.DUMMYFUNCTION("""COMPUTED_VALUE"""),"20 inch")</f>
        <v>20 inch</v>
      </c>
      <c r="Q70" s="152" t="str">
        <f>IFERROR(__xludf.DUMMYFUNCTION("""COMPUTED_VALUE"""),"Black and White")</f>
        <v>Black and White</v>
      </c>
      <c r="R70" s="149" t="str">
        <f>IFERROR(__xludf.DUMMYFUNCTION("""COMPUTED_VALUE"""),"Full Self-Driving")</f>
        <v>Full Self-Driving</v>
      </c>
      <c r="S70" s="149" t="str">
        <f>IFERROR(__xludf.DUMMYFUNCTION("""COMPUTED_VALUE"""),"Loan")</f>
        <v>Loan</v>
      </c>
      <c r="T70" s="145" t="str">
        <f>IFERROR(__xludf.DUMMYFUNCTION("""COMPUTED_VALUE"""),"Honda Type R")</f>
        <v>Honda Type R</v>
      </c>
      <c r="U70" s="145" t="str">
        <f>IFERROR(__xludf.DUMMYFUNCTION("""COMPUTED_VALUE"""),"All of the above + SPEED")</f>
        <v>All of the above + SPEED</v>
      </c>
      <c r="V70" s="136" t="str">
        <f>IFERROR(__xludf.DUMMYFUNCTION("""COMPUTED_VALUE"""),"Head-up display")</f>
        <v>Head-up display</v>
      </c>
      <c r="W70" s="145"/>
      <c r="X70" s="137"/>
      <c r="Y70" s="138"/>
      <c r="Z70" s="138"/>
      <c r="AA70" s="138"/>
      <c r="AB70" s="138"/>
      <c r="AC70" s="139"/>
      <c r="AD70" s="139"/>
      <c r="AE70" s="139"/>
      <c r="AF70" s="140"/>
      <c r="AG70" s="145"/>
      <c r="AH70" s="157">
        <f>IFERROR(__xludf.DUMMYFUNCTION("""COMPUTED_VALUE"""),44497.408707442126)</f>
        <v>44497.40871</v>
      </c>
      <c r="AI70" s="138"/>
      <c r="AJ70" s="138"/>
      <c r="AK70" s="138"/>
      <c r="AL70" s="142"/>
    </row>
    <row r="71" ht="20.25" customHeight="1">
      <c r="A71" s="155" t="str">
        <f>IFERROR(__xludf.DUMMYFUNCTION("""COMPUTED_VALUE"""),"wildburrito")</f>
        <v>wildburrito</v>
      </c>
      <c r="B71" s="149" t="str">
        <f>IFERROR(__xludf.DUMMYFUNCTION("""COMPUTED_VALUE"""),"Boca Raton")</f>
        <v>Boca Raton</v>
      </c>
      <c r="C71" s="149" t="str">
        <f>IFERROR(__xludf.DUMMYFUNCTION("""COMPUTED_VALUE"""),"FL")</f>
        <v>FL</v>
      </c>
      <c r="D71" s="149" t="str">
        <f>IFERROR(__xludf.DUMMYFUNCTION("""COMPUTED_VALUE"""),"USA")</f>
        <v>USA</v>
      </c>
      <c r="E71" s="156">
        <f>IFERROR(__xludf.DUMMYFUNCTION("""COMPUTED_VALUE"""),44476.0)</f>
        <v>44476</v>
      </c>
      <c r="F71" s="129">
        <f>IFERROR(__xludf.DUMMYFUNCTION("""COMPUTED_VALUE"""),44484.0)</f>
        <v>44484</v>
      </c>
      <c r="G71" s="154" t="str">
        <f>IFERROR(__xludf.DUMMYFUNCTION("""COMPUTED_VALUE"""),"Manage order page (normal text)")</f>
        <v>Manage order page (normal text)</v>
      </c>
      <c r="H71" s="131"/>
      <c r="I71" s="144"/>
      <c r="J71" s="129"/>
      <c r="K71" s="133">
        <f>IFERROR(__xludf.DUMMYFUNCTION("""COMPUTED_VALUE"""),8.0)</f>
        <v>8</v>
      </c>
      <c r="L71" s="133"/>
      <c r="M71" s="133"/>
      <c r="N71" s="152" t="str">
        <f>IFERROR(__xludf.DUMMYFUNCTION("""COMPUTED_VALUE"""),"Model 3 Performance")</f>
        <v>Model 3 Performance</v>
      </c>
      <c r="O71" s="152" t="str">
        <f>IFERROR(__xludf.DUMMYFUNCTION("""COMPUTED_VALUE"""),"Pearl White Multi-Coat")</f>
        <v>Pearl White Multi-Coat</v>
      </c>
      <c r="P71" s="153" t="str">
        <f>IFERROR(__xludf.DUMMYFUNCTION("""COMPUTED_VALUE"""),"20 inch")</f>
        <v>20 inch</v>
      </c>
      <c r="Q71" s="152" t="str">
        <f>IFERROR(__xludf.DUMMYFUNCTION("""COMPUTED_VALUE"""),"Black and White")</f>
        <v>Black and White</v>
      </c>
      <c r="R71" s="149" t="str">
        <f>IFERROR(__xludf.DUMMYFUNCTION("""COMPUTED_VALUE"""),"Autopilot included")</f>
        <v>Autopilot included</v>
      </c>
      <c r="S71" s="149" t="str">
        <f>IFERROR(__xludf.DUMMYFUNCTION("""COMPUTED_VALUE"""),"Lease")</f>
        <v>Lease</v>
      </c>
      <c r="T71" s="136"/>
      <c r="U71" s="136"/>
      <c r="V71" s="136"/>
      <c r="W71" s="136"/>
      <c r="X71" s="158"/>
      <c r="Y71" s="138"/>
      <c r="Z71" s="138"/>
      <c r="AA71" s="138"/>
      <c r="AB71" s="138"/>
      <c r="AC71" s="139"/>
      <c r="AD71" s="139"/>
      <c r="AE71" s="139"/>
      <c r="AF71" s="140"/>
      <c r="AG71" s="136"/>
      <c r="AH71" s="157">
        <f>IFERROR(__xludf.DUMMYFUNCTION("""COMPUTED_VALUE"""),44484.526745891206)</f>
        <v>44484.52675</v>
      </c>
      <c r="AI71" s="138"/>
      <c r="AJ71" s="138"/>
      <c r="AK71" s="138"/>
      <c r="AL71" s="142"/>
    </row>
    <row r="72" ht="20.25" customHeight="1">
      <c r="A72" s="155" t="str">
        <f>IFERROR(__xludf.DUMMYFUNCTION("""COMPUTED_VALUE"""),"jackm94")</f>
        <v>jackm94</v>
      </c>
      <c r="B72" s="149" t="str">
        <f>IFERROR(__xludf.DUMMYFUNCTION("""COMPUTED_VALUE"""),"Northampton")</f>
        <v>Northampton</v>
      </c>
      <c r="C72" s="149"/>
      <c r="D72" s="149" t="str">
        <f>IFERROR(__xludf.DUMMYFUNCTION("""COMPUTED_VALUE"""),"United Kingdom")</f>
        <v>United Kingdom</v>
      </c>
      <c r="E72" s="156">
        <f>IFERROR(__xludf.DUMMYFUNCTION("""COMPUTED_VALUE"""),44475.0)</f>
        <v>44475</v>
      </c>
      <c r="F72" s="129">
        <f>IFERROR(__xludf.DUMMYFUNCTION("""COMPUTED_VALUE"""),44495.0)</f>
        <v>44495</v>
      </c>
      <c r="G72" s="154" t="str">
        <f>IFERROR(__xludf.DUMMYFUNCTION("""COMPUTED_VALUE"""),"Source code")</f>
        <v>Source code</v>
      </c>
      <c r="H72" s="131"/>
      <c r="I72" s="132"/>
      <c r="J72" s="129">
        <f>IFERROR(__xludf.DUMMYFUNCTION("""COMPUTED_VALUE"""),44527.0)</f>
        <v>44527</v>
      </c>
      <c r="K72" s="133">
        <f>IFERROR(__xludf.DUMMYFUNCTION("""COMPUTED_VALUE"""),20.0)</f>
        <v>20</v>
      </c>
      <c r="L72" s="133">
        <f>IFERROR(__xludf.DUMMYFUNCTION("""COMPUTED_VALUE"""),32.0)</f>
        <v>32</v>
      </c>
      <c r="M72" s="133">
        <f>IFERROR(__xludf.DUMMYFUNCTION("""COMPUTED_VALUE"""),52.0)</f>
        <v>52</v>
      </c>
      <c r="N72" s="152" t="str">
        <f>IFERROR(__xludf.DUMMYFUNCTION("""COMPUTED_VALUE"""),"Model 3 LR AWD")</f>
        <v>Model 3 LR AWD</v>
      </c>
      <c r="O72" s="152" t="str">
        <f>IFERROR(__xludf.DUMMYFUNCTION("""COMPUTED_VALUE"""),"Pearl White Multi-Coat")</f>
        <v>Pearl White Multi-Coat</v>
      </c>
      <c r="P72" s="153" t="str">
        <f>IFERROR(__xludf.DUMMYFUNCTION("""COMPUTED_VALUE"""),"18 inch")</f>
        <v>18 inch</v>
      </c>
      <c r="Q72" s="152" t="str">
        <f>IFERROR(__xludf.DUMMYFUNCTION("""COMPUTED_VALUE"""),"Black and White")</f>
        <v>Black and White</v>
      </c>
      <c r="R72" s="150" t="str">
        <f>IFERROR(__xludf.DUMMYFUNCTION("""COMPUTED_VALUE"""),"Autopilot included")</f>
        <v>Autopilot included</v>
      </c>
      <c r="S72" s="150" t="str">
        <f>IFERROR(__xludf.DUMMYFUNCTION("""COMPUTED_VALUE"""),"Loan")</f>
        <v>Loan</v>
      </c>
      <c r="T72" s="136" t="str">
        <f>IFERROR(__xludf.DUMMYFUNCTION("""COMPUTED_VALUE"""),"Aston Martin V8 Vantage")</f>
        <v>Aston Martin V8 Vantage</v>
      </c>
      <c r="U72" s="136" t="str">
        <f>IFERROR(__xludf.DUMMYFUNCTION("""COMPUTED_VALUE"""),"All-glass roof")</f>
        <v>All-glass roof</v>
      </c>
      <c r="V72" s="136" t="str">
        <f>IFERROR(__xludf.DUMMYFUNCTION("""COMPUTED_VALUE"""),"Head-up display")</f>
        <v>Head-up display</v>
      </c>
      <c r="W72" s="136"/>
      <c r="X72" s="137"/>
      <c r="Y72" s="138"/>
      <c r="Z72" s="138"/>
      <c r="AA72" s="138"/>
      <c r="AB72" s="138"/>
      <c r="AC72" s="139"/>
      <c r="AD72" s="139"/>
      <c r="AE72" s="139"/>
      <c r="AF72" s="140"/>
      <c r="AG72" s="136"/>
      <c r="AH72" s="157">
        <f>IFERROR(__xludf.DUMMYFUNCTION("""COMPUTED_VALUE"""),44498.502150844906)</f>
        <v>44498.50215</v>
      </c>
      <c r="AI72" s="138"/>
      <c r="AJ72" s="138"/>
      <c r="AK72" s="138"/>
      <c r="AL72" s="142"/>
    </row>
    <row r="73" ht="20.25" customHeight="1">
      <c r="A73" s="155" t="str">
        <f>IFERROR(__xludf.DUMMYFUNCTION("""COMPUTED_VALUE"""),"ylexus")</f>
        <v>ylexus</v>
      </c>
      <c r="B73" s="149" t="str">
        <f>IFERROR(__xludf.DUMMYFUNCTION("""COMPUTED_VALUE"""),"London ")</f>
        <v>London </v>
      </c>
      <c r="C73" s="149"/>
      <c r="D73" s="149" t="str">
        <f>IFERROR(__xludf.DUMMYFUNCTION("""COMPUTED_VALUE"""),"United Kingdom")</f>
        <v>United Kingdom</v>
      </c>
      <c r="E73" s="156">
        <f>IFERROR(__xludf.DUMMYFUNCTION("""COMPUTED_VALUE"""),44475.0)</f>
        <v>44475</v>
      </c>
      <c r="F73" s="129"/>
      <c r="G73" s="154"/>
      <c r="H73" s="131"/>
      <c r="I73" s="144"/>
      <c r="J73" s="129"/>
      <c r="K73" s="133"/>
      <c r="L73" s="133"/>
      <c r="M73" s="133"/>
      <c r="N73" s="152" t="str">
        <f>IFERROR(__xludf.DUMMYFUNCTION("""COMPUTED_VALUE"""),"Model 3 LR AWD")</f>
        <v>Model 3 LR AWD</v>
      </c>
      <c r="O73" s="152" t="str">
        <f>IFERROR(__xludf.DUMMYFUNCTION("""COMPUTED_VALUE"""),"Pearl White Multi-Coat")</f>
        <v>Pearl White Multi-Coat</v>
      </c>
      <c r="P73" s="153" t="str">
        <f>IFERROR(__xludf.DUMMYFUNCTION("""COMPUTED_VALUE"""),"18 inch")</f>
        <v>18 inch</v>
      </c>
      <c r="Q73" s="152" t="str">
        <f>IFERROR(__xludf.DUMMYFUNCTION("""COMPUTED_VALUE"""),"All Black")</f>
        <v>All Black</v>
      </c>
      <c r="R73" s="149" t="str">
        <f>IFERROR(__xludf.DUMMYFUNCTION("""COMPUTED_VALUE"""),"Autopilot included")</f>
        <v>Autopilot included</v>
      </c>
      <c r="S73" s="149" t="str">
        <f>IFERROR(__xludf.DUMMYFUNCTION("""COMPUTED_VALUE"""),"Cash")</f>
        <v>Cash</v>
      </c>
      <c r="T73" s="145" t="str">
        <f>IFERROR(__xludf.DUMMYFUNCTION("""COMPUTED_VALUE"""),"Mitsubishi Outlander PHEV ")</f>
        <v>Mitsubishi Outlander PHEV </v>
      </c>
      <c r="U73" s="145" t="str">
        <f>IFERROR(__xludf.DUMMYFUNCTION("""COMPUTED_VALUE"""),"Autopilot")</f>
        <v>Autopilot</v>
      </c>
      <c r="V73" s="145" t="str">
        <f>IFERROR(__xludf.DUMMYFUNCTION("""COMPUTED_VALUE"""),"Apple CarPlay / Android Auto / SiriusXM Radio")</f>
        <v>Apple CarPlay / Android Auto / SiriusXM Radio</v>
      </c>
      <c r="W73" s="136"/>
      <c r="X73" s="137"/>
      <c r="Y73" s="138"/>
      <c r="Z73" s="138"/>
      <c r="AA73" s="138"/>
      <c r="AB73" s="138"/>
      <c r="AC73" s="139"/>
      <c r="AD73" s="139"/>
      <c r="AE73" s="139"/>
      <c r="AF73" s="140"/>
      <c r="AG73" s="136"/>
      <c r="AH73" s="157">
        <f>IFERROR(__xludf.DUMMYFUNCTION("""COMPUTED_VALUE"""),44507.35348844907)</f>
        <v>44507.35349</v>
      </c>
      <c r="AI73" s="138"/>
      <c r="AJ73" s="138"/>
      <c r="AK73" s="138"/>
      <c r="AL73" s="142"/>
    </row>
    <row r="74" ht="20.25" customHeight="1">
      <c r="A74" s="155" t="str">
        <f>IFERROR(__xludf.DUMMYFUNCTION("""COMPUTED_VALUE"""),"aaronkase")</f>
        <v>aaronkase</v>
      </c>
      <c r="B74" s="149" t="str">
        <f>IFERROR(__xludf.DUMMYFUNCTION("""COMPUTED_VALUE"""),"Northbrook")</f>
        <v>Northbrook</v>
      </c>
      <c r="C74" s="149" t="str">
        <f>IFERROR(__xludf.DUMMYFUNCTION("""COMPUTED_VALUE"""),"IL")</f>
        <v>IL</v>
      </c>
      <c r="D74" s="149" t="str">
        <f>IFERROR(__xludf.DUMMYFUNCTION("""COMPUTED_VALUE"""),"USA")</f>
        <v>USA</v>
      </c>
      <c r="E74" s="156">
        <f>IFERROR(__xludf.DUMMYFUNCTION("""COMPUTED_VALUE"""),44474.0)</f>
        <v>44474</v>
      </c>
      <c r="F74" s="129"/>
      <c r="G74" s="154"/>
      <c r="H74" s="131"/>
      <c r="I74" s="144"/>
      <c r="J74" s="129"/>
      <c r="K74" s="133"/>
      <c r="L74" s="133"/>
      <c r="M74" s="133"/>
      <c r="N74" s="152" t="str">
        <f>IFERROR(__xludf.DUMMYFUNCTION("""COMPUTED_VALUE"""),"Model 3 LR AWD")</f>
        <v>Model 3 LR AWD</v>
      </c>
      <c r="O74" s="152" t="str">
        <f>IFERROR(__xludf.DUMMYFUNCTION("""COMPUTED_VALUE"""),"Deep Blue Metallic")</f>
        <v>Deep Blue Metallic</v>
      </c>
      <c r="P74" s="153" t="str">
        <f>IFERROR(__xludf.DUMMYFUNCTION("""COMPUTED_VALUE"""),"18 inch")</f>
        <v>18 inch</v>
      </c>
      <c r="Q74" s="152" t="str">
        <f>IFERROR(__xludf.DUMMYFUNCTION("""COMPUTED_VALUE"""),"All Black")</f>
        <v>All Black</v>
      </c>
      <c r="R74" s="149" t="str">
        <f>IFERROR(__xludf.DUMMYFUNCTION("""COMPUTED_VALUE"""),"Autopilot included")</f>
        <v>Autopilot included</v>
      </c>
      <c r="S74" s="149" t="str">
        <f>IFERROR(__xludf.DUMMYFUNCTION("""COMPUTED_VALUE"""),"Cash")</f>
        <v>Cash</v>
      </c>
      <c r="T74" s="145" t="str">
        <f>IFERROR(__xludf.DUMMYFUNCTION("""COMPUTED_VALUE"""),"Honda CRV")</f>
        <v>Honda CRV</v>
      </c>
      <c r="U74" s="145" t="str">
        <f>IFERROR(__xludf.DUMMYFUNCTION("""COMPUTED_VALUE"""),"Electric!")</f>
        <v>Electric!</v>
      </c>
      <c r="V74" s="145" t="str">
        <f>IFERROR(__xludf.DUMMYFUNCTION("""COMPUTED_VALUE"""),"Apple CarPlay / Android Auto / SiriusXM Radio")</f>
        <v>Apple CarPlay / Android Auto / SiriusXM Radio</v>
      </c>
      <c r="W74" s="136"/>
      <c r="X74" s="137"/>
      <c r="Y74" s="138"/>
      <c r="Z74" s="138"/>
      <c r="AA74" s="138"/>
      <c r="AB74" s="138"/>
      <c r="AC74" s="139"/>
      <c r="AD74" s="139"/>
      <c r="AE74" s="139"/>
      <c r="AF74" s="140"/>
      <c r="AG74" s="136"/>
      <c r="AH74" s="157">
        <f>IFERROR(__xludf.DUMMYFUNCTION("""COMPUTED_VALUE"""),44502.07004684028)</f>
        <v>44502.07005</v>
      </c>
      <c r="AI74" s="138"/>
      <c r="AJ74" s="138"/>
      <c r="AK74" s="138"/>
      <c r="AL74" s="142"/>
    </row>
    <row r="75" ht="20.25" customHeight="1">
      <c r="A75" s="155" t="str">
        <f>IFERROR(__xludf.DUMMYFUNCTION("""COMPUTED_VALUE"""),"Jewelsource")</f>
        <v>Jewelsource</v>
      </c>
      <c r="B75" s="149" t="str">
        <f>IFERROR(__xludf.DUMMYFUNCTION("""COMPUTED_VALUE"""),"Davie")</f>
        <v>Davie</v>
      </c>
      <c r="C75" s="149" t="str">
        <f>IFERROR(__xludf.DUMMYFUNCTION("""COMPUTED_VALUE"""),"FL")</f>
        <v>FL</v>
      </c>
      <c r="D75" s="149" t="str">
        <f>IFERROR(__xludf.DUMMYFUNCTION("""COMPUTED_VALUE"""),"USA")</f>
        <v>USA</v>
      </c>
      <c r="E75" s="156">
        <f>IFERROR(__xludf.DUMMYFUNCTION("""COMPUTED_VALUE"""),44474.0)</f>
        <v>44474</v>
      </c>
      <c r="F75" s="129"/>
      <c r="G75" s="154"/>
      <c r="H75" s="131"/>
      <c r="I75" s="144"/>
      <c r="J75" s="129"/>
      <c r="K75" s="133"/>
      <c r="L75" s="133"/>
      <c r="M75" s="133"/>
      <c r="N75" s="152" t="str">
        <f>IFERROR(__xludf.DUMMYFUNCTION("""COMPUTED_VALUE"""),"Model 3 LR AWD")</f>
        <v>Model 3 LR AWD</v>
      </c>
      <c r="O75" s="152" t="str">
        <f>IFERROR(__xludf.DUMMYFUNCTION("""COMPUTED_VALUE"""),"Pearl White Multi-Coat")</f>
        <v>Pearl White Multi-Coat</v>
      </c>
      <c r="P75" s="153" t="str">
        <f>IFERROR(__xludf.DUMMYFUNCTION("""COMPUTED_VALUE"""),"18 inch")</f>
        <v>18 inch</v>
      </c>
      <c r="Q75" s="152" t="str">
        <f>IFERROR(__xludf.DUMMYFUNCTION("""COMPUTED_VALUE"""),"All Black")</f>
        <v>All Black</v>
      </c>
      <c r="R75" s="149" t="str">
        <f>IFERROR(__xludf.DUMMYFUNCTION("""COMPUTED_VALUE"""),"Autopilot included")</f>
        <v>Autopilot included</v>
      </c>
      <c r="S75" s="149"/>
      <c r="T75" s="145" t="str">
        <f>IFERROR(__xludf.DUMMYFUNCTION("""COMPUTED_VALUE"""),"F-150")</f>
        <v>F-150</v>
      </c>
      <c r="U75" s="145" t="str">
        <f>IFERROR(__xludf.DUMMYFUNCTION("""COMPUTED_VALUE"""),"Autopilot")</f>
        <v>Autopilot</v>
      </c>
      <c r="V75" s="145" t="str">
        <f>IFERROR(__xludf.DUMMYFUNCTION("""COMPUTED_VALUE"""),"Head-up display")</f>
        <v>Head-up display</v>
      </c>
      <c r="W75" s="136"/>
      <c r="X75" s="137"/>
      <c r="Y75" s="138"/>
      <c r="Z75" s="138"/>
      <c r="AA75" s="138"/>
      <c r="AB75" s="138"/>
      <c r="AC75" s="139"/>
      <c r="AD75" s="139"/>
      <c r="AE75" s="139"/>
      <c r="AF75" s="140"/>
      <c r="AG75" s="136"/>
      <c r="AH75" s="157">
        <f>IFERROR(__xludf.DUMMYFUNCTION("""COMPUTED_VALUE"""),44482.83542905092)</f>
        <v>44482.83543</v>
      </c>
      <c r="AI75" s="138"/>
      <c r="AJ75" s="138"/>
      <c r="AK75" s="138"/>
      <c r="AL75" s="142"/>
    </row>
    <row r="76" ht="20.25" customHeight="1">
      <c r="A76" s="155" t="str">
        <f>IFERROR(__xludf.DUMMYFUNCTION("""COMPUTED_VALUE"""),"Jewelsource")</f>
        <v>Jewelsource</v>
      </c>
      <c r="B76" s="149" t="str">
        <f>IFERROR(__xludf.DUMMYFUNCTION("""COMPUTED_VALUE"""),"Davie")</f>
        <v>Davie</v>
      </c>
      <c r="C76" s="149" t="str">
        <f>IFERROR(__xludf.DUMMYFUNCTION("""COMPUTED_VALUE"""),"FL")</f>
        <v>FL</v>
      </c>
      <c r="D76" s="149" t="str">
        <f>IFERROR(__xludf.DUMMYFUNCTION("""COMPUTED_VALUE"""),"USA")</f>
        <v>USA</v>
      </c>
      <c r="E76" s="156">
        <f>IFERROR(__xludf.DUMMYFUNCTION("""COMPUTED_VALUE"""),44474.0)</f>
        <v>44474</v>
      </c>
      <c r="F76" s="129">
        <f>IFERROR(__xludf.DUMMYFUNCTION("""COMPUTED_VALUE"""),44503.0)</f>
        <v>44503</v>
      </c>
      <c r="G76" s="154" t="str">
        <f>IFERROR(__xludf.DUMMYFUNCTION("""COMPUTED_VALUE"""),"Manage order page (normal text)")</f>
        <v>Manage order page (normal text)</v>
      </c>
      <c r="H76" s="131">
        <f>IFERROR(__xludf.DUMMYFUNCTION("""COMPUTED_VALUE"""),105755.0)</f>
        <v>105755</v>
      </c>
      <c r="I76" s="132"/>
      <c r="J76" s="129"/>
      <c r="K76" s="133">
        <f>IFERROR(__xludf.DUMMYFUNCTION("""COMPUTED_VALUE"""),29.0)</f>
        <v>29</v>
      </c>
      <c r="L76" s="133"/>
      <c r="M76" s="133"/>
      <c r="N76" s="152" t="str">
        <f>IFERROR(__xludf.DUMMYFUNCTION("""COMPUTED_VALUE"""),"Model 3 LR AWD")</f>
        <v>Model 3 LR AWD</v>
      </c>
      <c r="O76" s="152" t="str">
        <f>IFERROR(__xludf.DUMMYFUNCTION("""COMPUTED_VALUE"""),"Pearl White Multi-Coat")</f>
        <v>Pearl White Multi-Coat</v>
      </c>
      <c r="P76" s="153" t="str">
        <f>IFERROR(__xludf.DUMMYFUNCTION("""COMPUTED_VALUE"""),"18 inch")</f>
        <v>18 inch</v>
      </c>
      <c r="Q76" s="152" t="str">
        <f>IFERROR(__xludf.DUMMYFUNCTION("""COMPUTED_VALUE"""),"All Black")</f>
        <v>All Black</v>
      </c>
      <c r="R76" s="150" t="str">
        <f>IFERROR(__xludf.DUMMYFUNCTION("""COMPUTED_VALUE"""),"Autopilot included")</f>
        <v>Autopilot included</v>
      </c>
      <c r="S76" s="150" t="str">
        <f>IFERROR(__xludf.DUMMYFUNCTION("""COMPUTED_VALUE"""),"Loan")</f>
        <v>Loan</v>
      </c>
      <c r="T76" s="136" t="str">
        <f>IFERROR(__xludf.DUMMYFUNCTION("""COMPUTED_VALUE"""),"F-150")</f>
        <v>F-150</v>
      </c>
      <c r="U76" s="136" t="str">
        <f>IFERROR(__xludf.DUMMYFUNCTION("""COMPUTED_VALUE"""),"Autopilot")</f>
        <v>Autopilot</v>
      </c>
      <c r="V76" s="136" t="str">
        <f>IFERROR(__xludf.DUMMYFUNCTION("""COMPUTED_VALUE"""),"Head-up display")</f>
        <v>Head-up display</v>
      </c>
      <c r="W76" s="136"/>
      <c r="X76" s="151"/>
      <c r="Y76" s="138"/>
      <c r="Z76" s="138"/>
      <c r="AA76" s="138"/>
      <c r="AB76" s="138"/>
      <c r="AC76" s="139"/>
      <c r="AD76" s="139"/>
      <c r="AE76" s="139"/>
      <c r="AF76" s="140"/>
      <c r="AG76" s="136"/>
      <c r="AH76" s="157">
        <f>IFERROR(__xludf.DUMMYFUNCTION("""COMPUTED_VALUE"""),44503.68933946759)</f>
        <v>44503.68934</v>
      </c>
      <c r="AI76" s="138"/>
      <c r="AJ76" s="138"/>
      <c r="AK76" s="138"/>
      <c r="AL76" s="142"/>
    </row>
    <row r="77" ht="20.25" customHeight="1">
      <c r="A77" s="155" t="str">
        <f>IFERROR(__xludf.DUMMYFUNCTION("""COMPUTED_VALUE"""),"MrChuckNorris")</f>
        <v>MrChuckNorris</v>
      </c>
      <c r="B77" s="149" t="str">
        <f>IFERROR(__xludf.DUMMYFUNCTION("""COMPUTED_VALUE"""),"Toronto ")</f>
        <v>Toronto </v>
      </c>
      <c r="C77" s="149" t="str">
        <f>IFERROR(__xludf.DUMMYFUNCTION("""COMPUTED_VALUE"""),"ON")</f>
        <v>ON</v>
      </c>
      <c r="D77" s="149" t="str">
        <f>IFERROR(__xludf.DUMMYFUNCTION("""COMPUTED_VALUE"""),"Canada")</f>
        <v>Canada</v>
      </c>
      <c r="E77" s="156">
        <f>IFERROR(__xludf.DUMMYFUNCTION("""COMPUTED_VALUE"""),44474.0)</f>
        <v>44474</v>
      </c>
      <c r="F77" s="129"/>
      <c r="G77" s="154"/>
      <c r="H77" s="131"/>
      <c r="I77" s="144"/>
      <c r="J77" s="129"/>
      <c r="K77" s="133"/>
      <c r="L77" s="133"/>
      <c r="M77" s="133"/>
      <c r="N77" s="152" t="str">
        <f>IFERROR(__xludf.DUMMYFUNCTION("""COMPUTED_VALUE"""),"Model 3 LR AWD")</f>
        <v>Model 3 LR AWD</v>
      </c>
      <c r="O77" s="152" t="str">
        <f>IFERROR(__xludf.DUMMYFUNCTION("""COMPUTED_VALUE"""),"Pearl White Multi-Coat")</f>
        <v>Pearl White Multi-Coat</v>
      </c>
      <c r="P77" s="153" t="str">
        <f>IFERROR(__xludf.DUMMYFUNCTION("""COMPUTED_VALUE"""),"18 inch")</f>
        <v>18 inch</v>
      </c>
      <c r="Q77" s="152" t="str">
        <f>IFERROR(__xludf.DUMMYFUNCTION("""COMPUTED_VALUE"""),"All Black")</f>
        <v>All Black</v>
      </c>
      <c r="R77" s="149" t="str">
        <f>IFERROR(__xludf.DUMMYFUNCTION("""COMPUTED_VALUE"""),"Full Self-Driving")</f>
        <v>Full Self-Driving</v>
      </c>
      <c r="S77" s="149" t="str">
        <f>IFERROR(__xludf.DUMMYFUNCTION("""COMPUTED_VALUE"""),"Loan")</f>
        <v>Loan</v>
      </c>
      <c r="T77" s="145" t="str">
        <f>IFERROR(__xludf.DUMMYFUNCTION("""COMPUTED_VALUE"""),"BMW X3")</f>
        <v>BMW X3</v>
      </c>
      <c r="U77" s="145" t="str">
        <f>IFERROR(__xludf.DUMMYFUNCTION("""COMPUTED_VALUE"""),"Autopilot")</f>
        <v>Autopilot</v>
      </c>
      <c r="V77" s="145" t="str">
        <f>IFERROR(__xludf.DUMMYFUNCTION("""COMPUTED_VALUE"""),"Head-up display")</f>
        <v>Head-up display</v>
      </c>
      <c r="W77" s="145"/>
      <c r="X77" s="137"/>
      <c r="Y77" s="138"/>
      <c r="Z77" s="138"/>
      <c r="AA77" s="138"/>
      <c r="AB77" s="138"/>
      <c r="AC77" s="139"/>
      <c r="AD77" s="139"/>
      <c r="AE77" s="139"/>
      <c r="AF77" s="140"/>
      <c r="AG77" s="145"/>
      <c r="AH77" s="157">
        <f>IFERROR(__xludf.DUMMYFUNCTION("""COMPUTED_VALUE"""),44501.435532233794)</f>
        <v>44501.43553</v>
      </c>
      <c r="AI77" s="138"/>
      <c r="AJ77" s="138"/>
      <c r="AK77" s="138"/>
      <c r="AL77" s="142"/>
    </row>
    <row r="78" ht="20.25" customHeight="1">
      <c r="A78" s="155" t="str">
        <f>IFERROR(__xludf.DUMMYFUNCTION("""COMPUTED_VALUE"""),"tong123")</f>
        <v>tong123</v>
      </c>
      <c r="B78" s="149" t="str">
        <f>IFERROR(__xludf.DUMMYFUNCTION("""COMPUTED_VALUE"""),"Austin")</f>
        <v>Austin</v>
      </c>
      <c r="C78" s="149" t="str">
        <f>IFERROR(__xludf.DUMMYFUNCTION("""COMPUTED_VALUE"""),"TX")</f>
        <v>TX</v>
      </c>
      <c r="D78" s="149" t="str">
        <f>IFERROR(__xludf.DUMMYFUNCTION("""COMPUTED_VALUE"""),"USA")</f>
        <v>USA</v>
      </c>
      <c r="E78" s="156">
        <f>IFERROR(__xludf.DUMMYFUNCTION("""COMPUTED_VALUE"""),44474.0)</f>
        <v>44474</v>
      </c>
      <c r="F78" s="129"/>
      <c r="G78" s="154"/>
      <c r="H78" s="131"/>
      <c r="I78" s="144"/>
      <c r="J78" s="129"/>
      <c r="K78" s="133"/>
      <c r="L78" s="133"/>
      <c r="M78" s="133"/>
      <c r="N78" s="152" t="str">
        <f>IFERROR(__xludf.DUMMYFUNCTION("""COMPUTED_VALUE"""),"Model 3 LR AWD")</f>
        <v>Model 3 LR AWD</v>
      </c>
      <c r="O78" s="152" t="str">
        <f>IFERROR(__xludf.DUMMYFUNCTION("""COMPUTED_VALUE"""),"Midnight Silver Metallic")</f>
        <v>Midnight Silver Metallic</v>
      </c>
      <c r="P78" s="153" t="str">
        <f>IFERROR(__xludf.DUMMYFUNCTION("""COMPUTED_VALUE"""),"18 inch")</f>
        <v>18 inch</v>
      </c>
      <c r="Q78" s="152" t="str">
        <f>IFERROR(__xludf.DUMMYFUNCTION("""COMPUTED_VALUE"""),"All Black")</f>
        <v>All Black</v>
      </c>
      <c r="R78" s="149" t="str">
        <f>IFERROR(__xludf.DUMMYFUNCTION("""COMPUTED_VALUE"""),"Autopilot included")</f>
        <v>Autopilot included</v>
      </c>
      <c r="S78" s="149" t="str">
        <f>IFERROR(__xludf.DUMMYFUNCTION("""COMPUTED_VALUE"""),"Loan")</f>
        <v>Loan</v>
      </c>
      <c r="T78" s="145" t="str">
        <f>IFERROR(__xludf.DUMMYFUNCTION("""COMPUTED_VALUE"""),"Model 3 will be my first car!")</f>
        <v>Model 3 will be my first car!</v>
      </c>
      <c r="U78" s="145" t="str">
        <f>IFERROR(__xludf.DUMMYFUNCTION("""COMPUTED_VALUE"""),"Electric!")</f>
        <v>Electric!</v>
      </c>
      <c r="V78" s="145"/>
      <c r="W78" s="145"/>
      <c r="X78" s="137"/>
      <c r="Y78" s="138"/>
      <c r="Z78" s="138"/>
      <c r="AA78" s="138"/>
      <c r="AB78" s="138"/>
      <c r="AC78" s="139"/>
      <c r="AD78" s="139"/>
      <c r="AE78" s="139"/>
      <c r="AF78" s="140"/>
      <c r="AG78" s="145"/>
      <c r="AH78" s="157">
        <f>IFERROR(__xludf.DUMMYFUNCTION("""COMPUTED_VALUE"""),44507.45380083333)</f>
        <v>44507.4538</v>
      </c>
      <c r="AI78" s="138"/>
      <c r="AJ78" s="138"/>
      <c r="AK78" s="138"/>
      <c r="AL78" s="142"/>
    </row>
    <row r="79" ht="20.25" customHeight="1">
      <c r="A79" s="155" t="str">
        <f>IFERROR(__xludf.DUMMYFUNCTION("""COMPUTED_VALUE"""),"amace")</f>
        <v>amace</v>
      </c>
      <c r="B79" s="149" t="str">
        <f>IFERROR(__xludf.DUMMYFUNCTION("""COMPUTED_VALUE"""),"Hickory")</f>
        <v>Hickory</v>
      </c>
      <c r="C79" s="149" t="str">
        <f>IFERROR(__xludf.DUMMYFUNCTION("""COMPUTED_VALUE"""),"NC")</f>
        <v>NC</v>
      </c>
      <c r="D79" s="149" t="str">
        <f>IFERROR(__xludf.DUMMYFUNCTION("""COMPUTED_VALUE"""),"USA")</f>
        <v>USA</v>
      </c>
      <c r="E79" s="156">
        <f>IFERROR(__xludf.DUMMYFUNCTION("""COMPUTED_VALUE"""),44473.0)</f>
        <v>44473</v>
      </c>
      <c r="F79" s="129"/>
      <c r="G79" s="154"/>
      <c r="H79" s="131"/>
      <c r="I79" s="144"/>
      <c r="J79" s="129">
        <f>IFERROR(__xludf.DUMMYFUNCTION("""COMPUTED_VALUE"""),44500.0)</f>
        <v>44500</v>
      </c>
      <c r="K79" s="133"/>
      <c r="L79" s="133"/>
      <c r="M79" s="133">
        <f>IFERROR(__xludf.DUMMYFUNCTION("""COMPUTED_VALUE"""),27.0)</f>
        <v>27</v>
      </c>
      <c r="N79" s="152" t="str">
        <f>IFERROR(__xludf.DUMMYFUNCTION("""COMPUTED_VALUE"""),"Model 3 Performance")</f>
        <v>Model 3 Performance</v>
      </c>
      <c r="O79" s="152" t="str">
        <f>IFERROR(__xludf.DUMMYFUNCTION("""COMPUTED_VALUE"""),"Pearl White Multi-Coat")</f>
        <v>Pearl White Multi-Coat</v>
      </c>
      <c r="P79" s="153" t="str">
        <f>IFERROR(__xludf.DUMMYFUNCTION("""COMPUTED_VALUE"""),"20 inch")</f>
        <v>20 inch</v>
      </c>
      <c r="Q79" s="152" t="str">
        <f>IFERROR(__xludf.DUMMYFUNCTION("""COMPUTED_VALUE"""),"Black and White")</f>
        <v>Black and White</v>
      </c>
      <c r="R79" s="149" t="str">
        <f>IFERROR(__xludf.DUMMYFUNCTION("""COMPUTED_VALUE"""),"Autopilot included")</f>
        <v>Autopilot included</v>
      </c>
      <c r="S79" s="149" t="str">
        <f>IFERROR(__xludf.DUMMYFUNCTION("""COMPUTED_VALUE"""),"Loan")</f>
        <v>Loan</v>
      </c>
      <c r="T79" s="145"/>
      <c r="U79" s="145" t="str">
        <f>IFERROR(__xludf.DUMMYFUNCTION("""COMPUTED_VALUE"""),"Electric!")</f>
        <v>Electric!</v>
      </c>
      <c r="V79" s="145" t="str">
        <f>IFERROR(__xludf.DUMMYFUNCTION("""COMPUTED_VALUE"""),"Apple CarPlay / Android Auto / SiriusXM Radio")</f>
        <v>Apple CarPlay / Android Auto / SiriusXM Radio</v>
      </c>
      <c r="W79" s="145"/>
      <c r="X79" s="137"/>
      <c r="Y79" s="138"/>
      <c r="Z79" s="138"/>
      <c r="AA79" s="138"/>
      <c r="AB79" s="138"/>
      <c r="AC79" s="139"/>
      <c r="AD79" s="139"/>
      <c r="AE79" s="139"/>
      <c r="AF79" s="140"/>
      <c r="AG79" s="145"/>
      <c r="AH79" s="157">
        <f>IFERROR(__xludf.DUMMYFUNCTION("""COMPUTED_VALUE"""),44488.818983275465)</f>
        <v>44488.81898</v>
      </c>
      <c r="AI79" s="138"/>
      <c r="AJ79" s="138"/>
      <c r="AK79" s="138"/>
      <c r="AL79" s="142"/>
    </row>
    <row r="80" ht="20.25" customHeight="1">
      <c r="A80" s="155" t="str">
        <f>IFERROR(__xludf.DUMMYFUNCTION("""COMPUTED_VALUE"""),"BH-Orlando")</f>
        <v>BH-Orlando</v>
      </c>
      <c r="B80" s="149" t="str">
        <f>IFERROR(__xludf.DUMMYFUNCTION("""COMPUTED_VALUE"""),"Orlando")</f>
        <v>Orlando</v>
      </c>
      <c r="C80" s="149" t="str">
        <f>IFERROR(__xludf.DUMMYFUNCTION("""COMPUTED_VALUE"""),"FL")</f>
        <v>FL</v>
      </c>
      <c r="D80" s="149" t="str">
        <f>IFERROR(__xludf.DUMMYFUNCTION("""COMPUTED_VALUE"""),"USA")</f>
        <v>USA</v>
      </c>
      <c r="E80" s="156">
        <f>IFERROR(__xludf.DUMMYFUNCTION("""COMPUTED_VALUE"""),44473.0)</f>
        <v>44473</v>
      </c>
      <c r="F80" s="129">
        <f>IFERROR(__xludf.DUMMYFUNCTION("""COMPUTED_VALUE"""),44503.0)</f>
        <v>44503</v>
      </c>
      <c r="G80" s="154" t="str">
        <f>IFERROR(__xludf.DUMMYFUNCTION("""COMPUTED_VALUE"""),"Manage order page (normal text)")</f>
        <v>Manage order page (normal text)</v>
      </c>
      <c r="H80" s="131">
        <f>IFERROR(__xludf.DUMMYFUNCTION("""COMPUTED_VALUE"""),105555.0)</f>
        <v>105555</v>
      </c>
      <c r="I80" s="144"/>
      <c r="J80" s="129"/>
      <c r="K80" s="133">
        <f>IFERROR(__xludf.DUMMYFUNCTION("""COMPUTED_VALUE"""),30.0)</f>
        <v>30</v>
      </c>
      <c r="L80" s="133"/>
      <c r="M80" s="133"/>
      <c r="N80" s="152" t="str">
        <f>IFERROR(__xludf.DUMMYFUNCTION("""COMPUTED_VALUE"""),"Model 3 LR AWD")</f>
        <v>Model 3 LR AWD</v>
      </c>
      <c r="O80" s="152" t="str">
        <f>IFERROR(__xludf.DUMMYFUNCTION("""COMPUTED_VALUE"""),"Red Multi-Coat")</f>
        <v>Red Multi-Coat</v>
      </c>
      <c r="P80" s="153" t="str">
        <f>IFERROR(__xludf.DUMMYFUNCTION("""COMPUTED_VALUE"""),"18 inch")</f>
        <v>18 inch</v>
      </c>
      <c r="Q80" s="152" t="str">
        <f>IFERROR(__xludf.DUMMYFUNCTION("""COMPUTED_VALUE"""),"All Black")</f>
        <v>All Black</v>
      </c>
      <c r="R80" s="149" t="str">
        <f>IFERROR(__xludf.DUMMYFUNCTION("""COMPUTED_VALUE"""),"Autopilot included")</f>
        <v>Autopilot included</v>
      </c>
      <c r="S80" s="149" t="str">
        <f>IFERROR(__xludf.DUMMYFUNCTION("""COMPUTED_VALUE"""),"Loan")</f>
        <v>Loan</v>
      </c>
      <c r="T80" s="145" t="str">
        <f>IFERROR(__xludf.DUMMYFUNCTION("""COMPUTED_VALUE"""),"Dodge Charger")</f>
        <v>Dodge Charger</v>
      </c>
      <c r="U80" s="145" t="str">
        <f>IFERROR(__xludf.DUMMYFUNCTION("""COMPUTED_VALUE"""),"Electric!")</f>
        <v>Electric!</v>
      </c>
      <c r="V80" s="145" t="str">
        <f>IFERROR(__xludf.DUMMYFUNCTION("""COMPUTED_VALUE"""),"Ventilated seats")</f>
        <v>Ventilated seats</v>
      </c>
      <c r="W80" s="136"/>
      <c r="X80" s="137"/>
      <c r="Y80" s="138"/>
      <c r="Z80" s="138"/>
      <c r="AA80" s="138"/>
      <c r="AB80" s="138"/>
      <c r="AC80" s="139"/>
      <c r="AD80" s="139"/>
      <c r="AE80" s="139"/>
      <c r="AF80" s="140"/>
      <c r="AG80" s="136"/>
      <c r="AH80" s="157">
        <f>IFERROR(__xludf.DUMMYFUNCTION("""COMPUTED_VALUE"""),44505.66594324074)</f>
        <v>44505.66594</v>
      </c>
      <c r="AI80" s="138"/>
      <c r="AJ80" s="138"/>
      <c r="AK80" s="138"/>
      <c r="AL80" s="142"/>
    </row>
    <row r="81" ht="20.25" customHeight="1">
      <c r="A81" s="155" t="str">
        <f>IFERROR(__xludf.DUMMYFUNCTION("""COMPUTED_VALUE"""),"bobbydij")</f>
        <v>bobbydij</v>
      </c>
      <c r="B81" s="149"/>
      <c r="C81" s="149" t="str">
        <f>IFERROR(__xludf.DUMMYFUNCTION("""COMPUTED_VALUE"""),"MA")</f>
        <v>MA</v>
      </c>
      <c r="D81" s="149" t="str">
        <f>IFERROR(__xludf.DUMMYFUNCTION("""COMPUTED_VALUE"""),"USA")</f>
        <v>USA</v>
      </c>
      <c r="E81" s="156">
        <f>IFERROR(__xludf.DUMMYFUNCTION("""COMPUTED_VALUE"""),44473.0)</f>
        <v>44473</v>
      </c>
      <c r="F81" s="129"/>
      <c r="G81" s="154"/>
      <c r="H81" s="131"/>
      <c r="I81" s="132"/>
      <c r="J81" s="129"/>
      <c r="K81" s="133"/>
      <c r="L81" s="133"/>
      <c r="M81" s="133"/>
      <c r="N81" s="152" t="str">
        <f>IFERROR(__xludf.DUMMYFUNCTION("""COMPUTED_VALUE"""),"Model 3 SR+")</f>
        <v>Model 3 SR+</v>
      </c>
      <c r="O81" s="152" t="str">
        <f>IFERROR(__xludf.DUMMYFUNCTION("""COMPUTED_VALUE"""),"Pearl White Multi-Coat")</f>
        <v>Pearl White Multi-Coat</v>
      </c>
      <c r="P81" s="153" t="str">
        <f>IFERROR(__xludf.DUMMYFUNCTION("""COMPUTED_VALUE"""),"18 inch")</f>
        <v>18 inch</v>
      </c>
      <c r="Q81" s="152" t="str">
        <f>IFERROR(__xludf.DUMMYFUNCTION("""COMPUTED_VALUE"""),"All Black")</f>
        <v>All Black</v>
      </c>
      <c r="R81" s="150" t="str">
        <f>IFERROR(__xludf.DUMMYFUNCTION("""COMPUTED_VALUE"""),"Autopilot included")</f>
        <v>Autopilot included</v>
      </c>
      <c r="S81" s="150" t="str">
        <f>IFERROR(__xludf.DUMMYFUNCTION("""COMPUTED_VALUE"""),"Cash")</f>
        <v>Cash</v>
      </c>
      <c r="T81" s="136" t="str">
        <f>IFERROR(__xludf.DUMMYFUNCTION("""COMPUTED_VALUE"""),"honda fit")</f>
        <v>honda fit</v>
      </c>
      <c r="U81" s="136" t="str">
        <f>IFERROR(__xludf.DUMMYFUNCTION("""COMPUTED_VALUE"""),"go fast")</f>
        <v>go fast</v>
      </c>
      <c r="V81" s="136" t="str">
        <f>IFERROR(__xludf.DUMMYFUNCTION("""COMPUTED_VALUE"""),"Apple CarPlay / Android Auto / SiriusXM Radio")</f>
        <v>Apple CarPlay / Android Auto / SiriusXM Radio</v>
      </c>
      <c r="W81" s="136"/>
      <c r="X81" s="137"/>
      <c r="Y81" s="138"/>
      <c r="Z81" s="138"/>
      <c r="AA81" s="138"/>
      <c r="AB81" s="138"/>
      <c r="AC81" s="139"/>
      <c r="AD81" s="139"/>
      <c r="AE81" s="139"/>
      <c r="AF81" s="140"/>
      <c r="AG81" s="136"/>
      <c r="AH81" s="157">
        <f>IFERROR(__xludf.DUMMYFUNCTION("""COMPUTED_VALUE"""),44508.77188126157)</f>
        <v>44508.77188</v>
      </c>
      <c r="AI81" s="138"/>
      <c r="AJ81" s="138"/>
      <c r="AK81" s="138"/>
      <c r="AL81" s="142"/>
    </row>
    <row r="82" ht="20.25" customHeight="1">
      <c r="A82" s="155" t="str">
        <f>IFERROR(__xludf.DUMMYFUNCTION("""COMPUTED_VALUE"""),"Djidji")</f>
        <v>Djidji</v>
      </c>
      <c r="B82" s="149" t="str">
        <f>IFERROR(__xludf.DUMMYFUNCTION("""COMPUTED_VALUE"""),"Nice")</f>
        <v>Nice</v>
      </c>
      <c r="C82" s="149"/>
      <c r="D82" s="149" t="str">
        <f>IFERROR(__xludf.DUMMYFUNCTION("""COMPUTED_VALUE"""),"France")</f>
        <v>France</v>
      </c>
      <c r="E82" s="156">
        <f>IFERROR(__xludf.DUMMYFUNCTION("""COMPUTED_VALUE"""),44472.0)</f>
        <v>44472</v>
      </c>
      <c r="F82" s="129">
        <f>IFERROR(__xludf.DUMMYFUNCTION("""COMPUTED_VALUE"""),44489.0)</f>
        <v>44489</v>
      </c>
      <c r="G82" s="154" t="str">
        <f>IFERROR(__xludf.DUMMYFUNCTION("""COMPUTED_VALUE"""),"Both email and source code")</f>
        <v>Both email and source code</v>
      </c>
      <c r="H82" s="131">
        <f>IFERROR(__xludf.DUMMYFUNCTION("""COMPUTED_VALUE"""),379955.0)</f>
        <v>379955</v>
      </c>
      <c r="I82" s="132"/>
      <c r="J82" s="129">
        <f>IFERROR(__xludf.DUMMYFUNCTION("""COMPUTED_VALUE"""),44512.0)</f>
        <v>44512</v>
      </c>
      <c r="K82" s="133">
        <f>IFERROR(__xludf.DUMMYFUNCTION("""COMPUTED_VALUE"""),17.0)</f>
        <v>17</v>
      </c>
      <c r="L82" s="133">
        <f>IFERROR(__xludf.DUMMYFUNCTION("""COMPUTED_VALUE"""),23.0)</f>
        <v>23</v>
      </c>
      <c r="M82" s="133">
        <f>IFERROR(__xludf.DUMMYFUNCTION("""COMPUTED_VALUE"""),40.0)</f>
        <v>40</v>
      </c>
      <c r="N82" s="152" t="str">
        <f>IFERROR(__xludf.DUMMYFUNCTION("""COMPUTED_VALUE"""),"Model 3 SR+")</f>
        <v>Model 3 SR+</v>
      </c>
      <c r="O82" s="152" t="str">
        <f>IFERROR(__xludf.DUMMYFUNCTION("""COMPUTED_VALUE"""),"Pearl White Multi-Coat")</f>
        <v>Pearl White Multi-Coat</v>
      </c>
      <c r="P82" s="153" t="str">
        <f>IFERROR(__xludf.DUMMYFUNCTION("""COMPUTED_VALUE"""),"18 inch")</f>
        <v>18 inch</v>
      </c>
      <c r="Q82" s="152" t="str">
        <f>IFERROR(__xludf.DUMMYFUNCTION("""COMPUTED_VALUE"""),"All Black")</f>
        <v>All Black</v>
      </c>
      <c r="R82" s="150" t="str">
        <f>IFERROR(__xludf.DUMMYFUNCTION("""COMPUTED_VALUE"""),"Autopilot included")</f>
        <v>Autopilot included</v>
      </c>
      <c r="S82" s="150" t="str">
        <f>IFERROR(__xludf.DUMMYFUNCTION("""COMPUTED_VALUE"""),"Cash")</f>
        <v>Cash</v>
      </c>
      <c r="T82" s="136" t="str">
        <f>IFERROR(__xludf.DUMMYFUNCTION("""COMPUTED_VALUE"""),"Peugeot 308 GT")</f>
        <v>Peugeot 308 GT</v>
      </c>
      <c r="U82" s="136" t="str">
        <f>IFERROR(__xludf.DUMMYFUNCTION("""COMPUTED_VALUE"""),"Electric!")</f>
        <v>Electric!</v>
      </c>
      <c r="V82" s="136" t="str">
        <f>IFERROR(__xludf.DUMMYFUNCTION("""COMPUTED_VALUE"""),"Head-up display")</f>
        <v>Head-up display</v>
      </c>
      <c r="W82" s="136"/>
      <c r="X82" s="137"/>
      <c r="Y82" s="138"/>
      <c r="Z82" s="138"/>
      <c r="AA82" s="138"/>
      <c r="AB82" s="138"/>
      <c r="AC82" s="139"/>
      <c r="AD82" s="139"/>
      <c r="AE82" s="139"/>
      <c r="AF82" s="140"/>
      <c r="AG82" s="136"/>
      <c r="AH82" s="157">
        <f>IFERROR(__xludf.DUMMYFUNCTION("""COMPUTED_VALUE"""),44493.30063510417)</f>
        <v>44493.30064</v>
      </c>
      <c r="AI82" s="138"/>
      <c r="AJ82" s="138"/>
      <c r="AK82" s="138"/>
      <c r="AL82" s="142"/>
    </row>
    <row r="83" ht="20.25" customHeight="1">
      <c r="A83" s="155" t="str">
        <f>IFERROR(__xludf.DUMMYFUNCTION("""COMPUTED_VALUE"""),"Jack")</f>
        <v>Jack</v>
      </c>
      <c r="B83" s="149" t="str">
        <f>IFERROR(__xludf.DUMMYFUNCTION("""COMPUTED_VALUE"""),"Maplewood")</f>
        <v>Maplewood</v>
      </c>
      <c r="C83" s="149" t="str">
        <f>IFERROR(__xludf.DUMMYFUNCTION("""COMPUTED_VALUE"""),"MN")</f>
        <v>MN</v>
      </c>
      <c r="D83" s="149" t="str">
        <f>IFERROR(__xludf.DUMMYFUNCTION("""COMPUTED_VALUE"""),"USA")</f>
        <v>USA</v>
      </c>
      <c r="E83" s="156">
        <f>IFERROR(__xludf.DUMMYFUNCTION("""COMPUTED_VALUE"""),44472.0)</f>
        <v>44472</v>
      </c>
      <c r="F83" s="129"/>
      <c r="G83" s="154"/>
      <c r="H83" s="131"/>
      <c r="I83" s="144"/>
      <c r="J83" s="129"/>
      <c r="K83" s="133"/>
      <c r="L83" s="133"/>
      <c r="M83" s="133"/>
      <c r="N83" s="152" t="str">
        <f>IFERROR(__xludf.DUMMYFUNCTION("""COMPUTED_VALUE"""),"Model 3 Performance")</f>
        <v>Model 3 Performance</v>
      </c>
      <c r="O83" s="152" t="str">
        <f>IFERROR(__xludf.DUMMYFUNCTION("""COMPUTED_VALUE"""),"Deep Blue Metallic")</f>
        <v>Deep Blue Metallic</v>
      </c>
      <c r="P83" s="153" t="str">
        <f>IFERROR(__xludf.DUMMYFUNCTION("""COMPUTED_VALUE"""),"20 inch")</f>
        <v>20 inch</v>
      </c>
      <c r="Q83" s="152" t="str">
        <f>IFERROR(__xludf.DUMMYFUNCTION("""COMPUTED_VALUE"""),"Black and White")</f>
        <v>Black and White</v>
      </c>
      <c r="R83" s="149" t="str">
        <f>IFERROR(__xludf.DUMMYFUNCTION("""COMPUTED_VALUE"""),"Autopilot included")</f>
        <v>Autopilot included</v>
      </c>
      <c r="S83" s="149" t="str">
        <f>IFERROR(__xludf.DUMMYFUNCTION("""COMPUTED_VALUE"""),"Loan")</f>
        <v>Loan</v>
      </c>
      <c r="T83" s="145" t="str">
        <f>IFERROR(__xludf.DUMMYFUNCTION("""COMPUTED_VALUE"""),"Dodge Charger Daytona 392")</f>
        <v>Dodge Charger Daytona 392</v>
      </c>
      <c r="U83" s="145" t="str">
        <f>IFERROR(__xludf.DUMMYFUNCTION("""COMPUTED_VALUE"""),"Electric!")</f>
        <v>Electric!</v>
      </c>
      <c r="V83" s="145" t="str">
        <f>IFERROR(__xludf.DUMMYFUNCTION("""COMPUTED_VALUE"""),"Ventilated seats")</f>
        <v>Ventilated seats</v>
      </c>
      <c r="W83" s="136"/>
      <c r="X83" s="137"/>
      <c r="Y83" s="138"/>
      <c r="Z83" s="138"/>
      <c r="AA83" s="138"/>
      <c r="AB83" s="138"/>
      <c r="AC83" s="139"/>
      <c r="AD83" s="139"/>
      <c r="AE83" s="139"/>
      <c r="AF83" s="140"/>
      <c r="AG83" s="136"/>
      <c r="AH83" s="157">
        <f>IFERROR(__xludf.DUMMYFUNCTION("""COMPUTED_VALUE"""),44496.24314111112)</f>
        <v>44496.24314</v>
      </c>
      <c r="AI83" s="138"/>
      <c r="AJ83" s="138"/>
      <c r="AK83" s="138"/>
      <c r="AL83" s="142"/>
    </row>
    <row r="84" ht="20.25" customHeight="1">
      <c r="A84" s="155" t="str">
        <f>IFERROR(__xludf.DUMMYFUNCTION("""COMPUTED_VALUE"""),"KevlarCoated")</f>
        <v>KevlarCoated</v>
      </c>
      <c r="B84" s="149"/>
      <c r="C84" s="149" t="str">
        <f>IFERROR(__xludf.DUMMYFUNCTION("""COMPUTED_VALUE"""),"ON")</f>
        <v>ON</v>
      </c>
      <c r="D84" s="149" t="str">
        <f>IFERROR(__xludf.DUMMYFUNCTION("""COMPUTED_VALUE"""),"Canada")</f>
        <v>Canada</v>
      </c>
      <c r="E84" s="156">
        <f>IFERROR(__xludf.DUMMYFUNCTION("""COMPUTED_VALUE"""),44472.0)</f>
        <v>44472</v>
      </c>
      <c r="F84" s="129"/>
      <c r="G84" s="154"/>
      <c r="H84" s="131"/>
      <c r="I84" s="132"/>
      <c r="J84" s="129"/>
      <c r="K84" s="133"/>
      <c r="L84" s="133"/>
      <c r="M84" s="133"/>
      <c r="N84" s="152" t="str">
        <f>IFERROR(__xludf.DUMMYFUNCTION("""COMPUTED_VALUE"""),"Model 3 SR+")</f>
        <v>Model 3 SR+</v>
      </c>
      <c r="O84" s="152" t="str">
        <f>IFERROR(__xludf.DUMMYFUNCTION("""COMPUTED_VALUE"""),"Midnight Silver Metallic")</f>
        <v>Midnight Silver Metallic</v>
      </c>
      <c r="P84" s="153" t="str">
        <f>IFERROR(__xludf.DUMMYFUNCTION("""COMPUTED_VALUE"""),"18 inch")</f>
        <v>18 inch</v>
      </c>
      <c r="Q84" s="152" t="str">
        <f>IFERROR(__xludf.DUMMYFUNCTION("""COMPUTED_VALUE"""),"All Black")</f>
        <v>All Black</v>
      </c>
      <c r="R84" s="150" t="str">
        <f>IFERROR(__xludf.DUMMYFUNCTION("""COMPUTED_VALUE"""),"Autopilot included")</f>
        <v>Autopilot included</v>
      </c>
      <c r="S84" s="150" t="str">
        <f>IFERROR(__xludf.DUMMYFUNCTION("""COMPUTED_VALUE"""),"Cash")</f>
        <v>Cash</v>
      </c>
      <c r="T84" s="145" t="str">
        <f>IFERROR(__xludf.DUMMYFUNCTION("""COMPUTED_VALUE"""),"VW Jetta")</f>
        <v>VW Jetta</v>
      </c>
      <c r="U84" s="145" t="str">
        <f>IFERROR(__xludf.DUMMYFUNCTION("""COMPUTED_VALUE"""),"Electric!")</f>
        <v>Electric!</v>
      </c>
      <c r="V84" s="145" t="str">
        <f>IFERROR(__xludf.DUMMYFUNCTION("""COMPUTED_VALUE"""),"Blind spot indicators on side mirrors")</f>
        <v>Blind spot indicators on side mirrors</v>
      </c>
      <c r="W84" s="136"/>
      <c r="X84" s="137"/>
      <c r="Y84" s="138"/>
      <c r="Z84" s="138"/>
      <c r="AA84" s="138"/>
      <c r="AB84" s="138"/>
      <c r="AC84" s="139"/>
      <c r="AD84" s="139"/>
      <c r="AE84" s="139"/>
      <c r="AF84" s="140"/>
      <c r="AG84" s="145"/>
      <c r="AH84" s="157">
        <f>IFERROR(__xludf.DUMMYFUNCTION("""COMPUTED_VALUE"""),44474.55131613425)</f>
        <v>44474.55132</v>
      </c>
      <c r="AI84" s="138"/>
      <c r="AJ84" s="138"/>
      <c r="AK84" s="138"/>
      <c r="AL84" s="142"/>
    </row>
    <row r="85" ht="20.25" customHeight="1">
      <c r="A85" s="155" t="str">
        <f>IFERROR(__xludf.DUMMYFUNCTION("""COMPUTED_VALUE"""),"manuelv142")</f>
        <v>manuelv142</v>
      </c>
      <c r="B85" s="149" t="str">
        <f>IFERROR(__xludf.DUMMYFUNCTION("""COMPUTED_VALUE"""),"Austin")</f>
        <v>Austin</v>
      </c>
      <c r="C85" s="149" t="str">
        <f>IFERROR(__xludf.DUMMYFUNCTION("""COMPUTED_VALUE"""),"TX")</f>
        <v>TX</v>
      </c>
      <c r="D85" s="149" t="str">
        <f>IFERROR(__xludf.DUMMYFUNCTION("""COMPUTED_VALUE"""),"USA")</f>
        <v>USA</v>
      </c>
      <c r="E85" s="156">
        <f>IFERROR(__xludf.DUMMYFUNCTION("""COMPUTED_VALUE"""),44472.0)</f>
        <v>44472</v>
      </c>
      <c r="F85" s="129"/>
      <c r="G85" s="154"/>
      <c r="H85" s="131"/>
      <c r="I85" s="144"/>
      <c r="J85" s="129"/>
      <c r="K85" s="133"/>
      <c r="L85" s="133"/>
      <c r="M85" s="133"/>
      <c r="N85" s="152" t="str">
        <f>IFERROR(__xludf.DUMMYFUNCTION("""COMPUTED_VALUE"""),"Model 3 Performance")</f>
        <v>Model 3 Performance</v>
      </c>
      <c r="O85" s="152" t="str">
        <f>IFERROR(__xludf.DUMMYFUNCTION("""COMPUTED_VALUE"""),"Solid Black")</f>
        <v>Solid Black</v>
      </c>
      <c r="P85" s="153" t="str">
        <f>IFERROR(__xludf.DUMMYFUNCTION("""COMPUTED_VALUE"""),"20 inch")</f>
        <v>20 inch</v>
      </c>
      <c r="Q85" s="152" t="str">
        <f>IFERROR(__xludf.DUMMYFUNCTION("""COMPUTED_VALUE"""),"Black and White")</f>
        <v>Black and White</v>
      </c>
      <c r="R85" s="149" t="str">
        <f>IFERROR(__xludf.DUMMYFUNCTION("""COMPUTED_VALUE"""),"Autopilot included")</f>
        <v>Autopilot included</v>
      </c>
      <c r="S85" s="149" t="str">
        <f>IFERROR(__xludf.DUMMYFUNCTION("""COMPUTED_VALUE"""),"Loan")</f>
        <v>Loan</v>
      </c>
      <c r="T85" s="145" t="str">
        <f>IFERROR(__xludf.DUMMYFUNCTION("""COMPUTED_VALUE"""),"Tesla Model Y")</f>
        <v>Tesla Model Y</v>
      </c>
      <c r="U85" s="145"/>
      <c r="V85" s="145" t="str">
        <f>IFERROR(__xludf.DUMMYFUNCTION("""COMPUTED_VALUE"""),"Ventilated seats")</f>
        <v>Ventilated seats</v>
      </c>
      <c r="W85" s="145"/>
      <c r="X85" s="137"/>
      <c r="Y85" s="138"/>
      <c r="Z85" s="138"/>
      <c r="AA85" s="138"/>
      <c r="AB85" s="138"/>
      <c r="AC85" s="139"/>
      <c r="AD85" s="139"/>
      <c r="AE85" s="139"/>
      <c r="AF85" s="140"/>
      <c r="AG85" s="145"/>
      <c r="AH85" s="157">
        <f>IFERROR(__xludf.DUMMYFUNCTION("""COMPUTED_VALUE"""),44474.7726516088)</f>
        <v>44474.77265</v>
      </c>
      <c r="AI85" s="138"/>
      <c r="AJ85" s="138"/>
      <c r="AK85" s="138"/>
      <c r="AL85" s="142"/>
    </row>
    <row r="86" ht="20.25" customHeight="1">
      <c r="A86" s="155" t="str">
        <f>IFERROR(__xludf.DUMMYFUNCTION("""COMPUTED_VALUE"""),"MCowd")</f>
        <v>MCowd</v>
      </c>
      <c r="B86" s="149"/>
      <c r="C86" s="149" t="str">
        <f>IFERROR(__xludf.DUMMYFUNCTION("""COMPUTED_VALUE"""),"VA")</f>
        <v>VA</v>
      </c>
      <c r="D86" s="149" t="str">
        <f>IFERROR(__xludf.DUMMYFUNCTION("""COMPUTED_VALUE"""),"USA")</f>
        <v>USA</v>
      </c>
      <c r="E86" s="156">
        <f>IFERROR(__xludf.DUMMYFUNCTION("""COMPUTED_VALUE"""),44472.0)</f>
        <v>44472</v>
      </c>
      <c r="F86" s="129">
        <f>IFERROR(__xludf.DUMMYFUNCTION("""COMPUTED_VALUE"""),44480.0)</f>
        <v>44480</v>
      </c>
      <c r="G86" s="154" t="str">
        <f>IFERROR(__xludf.DUMMYFUNCTION("""COMPUTED_VALUE"""),"Manage order page (normal text)")</f>
        <v>Manage order page (normal text)</v>
      </c>
      <c r="H86" s="131"/>
      <c r="I86" s="144"/>
      <c r="J86" s="129">
        <f>IFERROR(__xludf.DUMMYFUNCTION("""COMPUTED_VALUE"""),44491.0)</f>
        <v>44491</v>
      </c>
      <c r="K86" s="133">
        <f>IFERROR(__xludf.DUMMYFUNCTION("""COMPUTED_VALUE"""),8.0)</f>
        <v>8</v>
      </c>
      <c r="L86" s="133">
        <f>IFERROR(__xludf.DUMMYFUNCTION("""COMPUTED_VALUE"""),11.0)</f>
        <v>11</v>
      </c>
      <c r="M86" s="133">
        <f>IFERROR(__xludf.DUMMYFUNCTION("""COMPUTED_VALUE"""),19.0)</f>
        <v>19</v>
      </c>
      <c r="N86" s="152" t="str">
        <f>IFERROR(__xludf.DUMMYFUNCTION("""COMPUTED_VALUE"""),"Model 3 SR+")</f>
        <v>Model 3 SR+</v>
      </c>
      <c r="O86" s="152" t="str">
        <f>IFERROR(__xludf.DUMMYFUNCTION("""COMPUTED_VALUE"""),"Red Multi-Coat")</f>
        <v>Red Multi-Coat</v>
      </c>
      <c r="P86" s="153" t="str">
        <f>IFERROR(__xludf.DUMMYFUNCTION("""COMPUTED_VALUE"""),"19 inch")</f>
        <v>19 inch</v>
      </c>
      <c r="Q86" s="152" t="str">
        <f>IFERROR(__xludf.DUMMYFUNCTION("""COMPUTED_VALUE"""),"All Black")</f>
        <v>All Black</v>
      </c>
      <c r="R86" s="149" t="str">
        <f>IFERROR(__xludf.DUMMYFUNCTION("""COMPUTED_VALUE"""),"Autopilot included")</f>
        <v>Autopilot included</v>
      </c>
      <c r="S86" s="149" t="str">
        <f>IFERROR(__xludf.DUMMYFUNCTION("""COMPUTED_VALUE"""),"Loan")</f>
        <v>Loan</v>
      </c>
      <c r="T86" s="145" t="str">
        <f>IFERROR(__xludf.DUMMYFUNCTION("""COMPUTED_VALUE"""),"VW GTI")</f>
        <v>VW GTI</v>
      </c>
      <c r="U86" s="145" t="str">
        <f>IFERROR(__xludf.DUMMYFUNCTION("""COMPUTED_VALUE"""),"Electric!")</f>
        <v>Electric!</v>
      </c>
      <c r="V86" s="145" t="str">
        <f>IFERROR(__xludf.DUMMYFUNCTION("""COMPUTED_VALUE"""),"Ventilated seats")</f>
        <v>Ventilated seats</v>
      </c>
      <c r="W86" s="136"/>
      <c r="X86" s="137"/>
      <c r="Y86" s="138"/>
      <c r="Z86" s="138"/>
      <c r="AA86" s="138"/>
      <c r="AB86" s="138"/>
      <c r="AC86" s="139"/>
      <c r="AD86" s="139"/>
      <c r="AE86" s="139"/>
      <c r="AF86" s="140"/>
      <c r="AG86" s="136"/>
      <c r="AH86" s="157">
        <f>IFERROR(__xludf.DUMMYFUNCTION("""COMPUTED_VALUE"""),44482.489558229165)</f>
        <v>44482.48956</v>
      </c>
      <c r="AI86" s="138"/>
      <c r="AJ86" s="138"/>
      <c r="AK86" s="138"/>
      <c r="AL86" s="142"/>
    </row>
    <row r="87" ht="20.25" customHeight="1">
      <c r="A87" s="155" t="str">
        <f>IFERROR(__xludf.DUMMYFUNCTION("""COMPUTED_VALUE"""),"rgupta0747")</f>
        <v>rgupta0747</v>
      </c>
      <c r="B87" s="149" t="str">
        <f>IFERROR(__xludf.DUMMYFUNCTION("""COMPUTED_VALUE"""),"Fremont")</f>
        <v>Fremont</v>
      </c>
      <c r="C87" s="149" t="str">
        <f>IFERROR(__xludf.DUMMYFUNCTION("""COMPUTED_VALUE"""),"CA")</f>
        <v>CA</v>
      </c>
      <c r="D87" s="149" t="str">
        <f>IFERROR(__xludf.DUMMYFUNCTION("""COMPUTED_VALUE"""),"USA")</f>
        <v>USA</v>
      </c>
      <c r="E87" s="156">
        <f>IFERROR(__xludf.DUMMYFUNCTION("""COMPUTED_VALUE"""),44472.0)</f>
        <v>44472</v>
      </c>
      <c r="F87" s="129"/>
      <c r="G87" s="154"/>
      <c r="H87" s="131"/>
      <c r="I87" s="144"/>
      <c r="J87" s="129"/>
      <c r="K87" s="133"/>
      <c r="L87" s="133"/>
      <c r="M87" s="133"/>
      <c r="N87" s="152" t="str">
        <f>IFERROR(__xludf.DUMMYFUNCTION("""COMPUTED_VALUE"""),"Model 3 SR+")</f>
        <v>Model 3 SR+</v>
      </c>
      <c r="O87" s="152" t="str">
        <f>IFERROR(__xludf.DUMMYFUNCTION("""COMPUTED_VALUE"""),"Red Multi-Coat")</f>
        <v>Red Multi-Coat</v>
      </c>
      <c r="P87" s="153" t="str">
        <f>IFERROR(__xludf.DUMMYFUNCTION("""COMPUTED_VALUE"""),"18 inch")</f>
        <v>18 inch</v>
      </c>
      <c r="Q87" s="152" t="str">
        <f>IFERROR(__xludf.DUMMYFUNCTION("""COMPUTED_VALUE"""),"All Black")</f>
        <v>All Black</v>
      </c>
      <c r="R87" s="149" t="str">
        <f>IFERROR(__xludf.DUMMYFUNCTION("""COMPUTED_VALUE"""),"Autopilot included")</f>
        <v>Autopilot included</v>
      </c>
      <c r="S87" s="149" t="str">
        <f>IFERROR(__xludf.DUMMYFUNCTION("""COMPUTED_VALUE"""),"Cash")</f>
        <v>Cash</v>
      </c>
      <c r="T87" s="145" t="str">
        <f>IFERROR(__xludf.DUMMYFUNCTION("""COMPUTED_VALUE"""),"Hyundai Sonata")</f>
        <v>Hyundai Sonata</v>
      </c>
      <c r="U87" s="145" t="str">
        <f>IFERROR(__xludf.DUMMYFUNCTION("""COMPUTED_VALUE"""),"Electric!")</f>
        <v>Electric!</v>
      </c>
      <c r="V87" s="145" t="str">
        <f>IFERROR(__xludf.DUMMYFUNCTION("""COMPUTED_VALUE"""),"Apple CarPlay / Android Auto / SiriusXM Radio")</f>
        <v>Apple CarPlay / Android Auto / SiriusXM Radio</v>
      </c>
      <c r="W87" s="136"/>
      <c r="X87" s="137"/>
      <c r="Y87" s="138"/>
      <c r="Z87" s="138"/>
      <c r="AA87" s="138"/>
      <c r="AB87" s="138"/>
      <c r="AC87" s="139"/>
      <c r="AD87" s="139"/>
      <c r="AE87" s="139"/>
      <c r="AF87" s="140"/>
      <c r="AG87" s="136"/>
      <c r="AH87" s="157">
        <f>IFERROR(__xludf.DUMMYFUNCTION("""COMPUTED_VALUE"""),44474.6054584375)</f>
        <v>44474.60546</v>
      </c>
      <c r="AI87" s="138"/>
      <c r="AJ87" s="138"/>
      <c r="AK87" s="138"/>
      <c r="AL87" s="142"/>
    </row>
    <row r="88" ht="20.25" customHeight="1">
      <c r="A88" s="155" t="str">
        <f>IFERROR(__xludf.DUMMYFUNCTION("""COMPUTED_VALUE"""),"Raytown")</f>
        <v>Raytown</v>
      </c>
      <c r="B88" s="149" t="str">
        <f>IFERROR(__xludf.DUMMYFUNCTION("""COMPUTED_VALUE"""),"Phoenix")</f>
        <v>Phoenix</v>
      </c>
      <c r="C88" s="149" t="str">
        <f>IFERROR(__xludf.DUMMYFUNCTION("""COMPUTED_VALUE"""),"AZ")</f>
        <v>AZ</v>
      </c>
      <c r="D88" s="149" t="str">
        <f>IFERROR(__xludf.DUMMYFUNCTION("""COMPUTED_VALUE"""),"USA")</f>
        <v>USA</v>
      </c>
      <c r="E88" s="156">
        <f>IFERROR(__xludf.DUMMYFUNCTION("""COMPUTED_VALUE"""),44471.0)</f>
        <v>44471</v>
      </c>
      <c r="F88" s="129"/>
      <c r="G88" s="154"/>
      <c r="H88" s="131"/>
      <c r="I88" s="144"/>
      <c r="J88" s="129"/>
      <c r="K88" s="133"/>
      <c r="L88" s="133"/>
      <c r="M88" s="133"/>
      <c r="N88" s="152" t="str">
        <f>IFERROR(__xludf.DUMMYFUNCTION("""COMPUTED_VALUE"""),"Model 3 SR+")</f>
        <v>Model 3 SR+</v>
      </c>
      <c r="O88" s="152" t="str">
        <f>IFERROR(__xludf.DUMMYFUNCTION("""COMPUTED_VALUE"""),"Deep Blue Metallic")</f>
        <v>Deep Blue Metallic</v>
      </c>
      <c r="P88" s="153" t="str">
        <f>IFERROR(__xludf.DUMMYFUNCTION("""COMPUTED_VALUE"""),"19 inch")</f>
        <v>19 inch</v>
      </c>
      <c r="Q88" s="152" t="str">
        <f>IFERROR(__xludf.DUMMYFUNCTION("""COMPUTED_VALUE"""),"All Black")</f>
        <v>All Black</v>
      </c>
      <c r="R88" s="149" t="str">
        <f>IFERROR(__xludf.DUMMYFUNCTION("""COMPUTED_VALUE"""),"Autopilot included")</f>
        <v>Autopilot included</v>
      </c>
      <c r="S88" s="149" t="str">
        <f>IFERROR(__xludf.DUMMYFUNCTION("""COMPUTED_VALUE"""),"Loan")</f>
        <v>Loan</v>
      </c>
      <c r="T88" s="145" t="str">
        <f>IFERROR(__xludf.DUMMYFUNCTION("""COMPUTED_VALUE"""),"Volvo S40")</f>
        <v>Volvo S40</v>
      </c>
      <c r="U88" s="145" t="str">
        <f>IFERROR(__xludf.DUMMYFUNCTION("""COMPUTED_VALUE"""),"Electric!")</f>
        <v>Electric!</v>
      </c>
      <c r="V88" s="145" t="str">
        <f>IFERROR(__xludf.DUMMYFUNCTION("""COMPUTED_VALUE"""),"Ventilated seats")</f>
        <v>Ventilated seats</v>
      </c>
      <c r="W88" s="136"/>
      <c r="X88" s="137"/>
      <c r="Y88" s="138"/>
      <c r="Z88" s="138"/>
      <c r="AA88" s="138"/>
      <c r="AB88" s="138"/>
      <c r="AC88" s="139"/>
      <c r="AD88" s="139"/>
      <c r="AE88" s="139"/>
      <c r="AF88" s="140"/>
      <c r="AG88" s="136"/>
      <c r="AH88" s="157">
        <f>IFERROR(__xludf.DUMMYFUNCTION("""COMPUTED_VALUE"""),44483.62394579861)</f>
        <v>44483.62395</v>
      </c>
      <c r="AI88" s="138"/>
      <c r="AJ88" s="138"/>
      <c r="AK88" s="138"/>
      <c r="AL88" s="142"/>
    </row>
    <row r="89" ht="20.25" customHeight="1">
      <c r="A89" s="155" t="str">
        <f>IFERROR(__xludf.DUMMYFUNCTION("""COMPUTED_VALUE"""),"Tessolo")</f>
        <v>Tessolo</v>
      </c>
      <c r="B89" s="149" t="str">
        <f>IFERROR(__xludf.DUMMYFUNCTION("""COMPUTED_VALUE"""),"Dallas")</f>
        <v>Dallas</v>
      </c>
      <c r="C89" s="149" t="str">
        <f>IFERROR(__xludf.DUMMYFUNCTION("""COMPUTED_VALUE"""),"TX")</f>
        <v>TX</v>
      </c>
      <c r="D89" s="149" t="str">
        <f>IFERROR(__xludf.DUMMYFUNCTION("""COMPUTED_VALUE"""),"USA")</f>
        <v>USA</v>
      </c>
      <c r="E89" s="156">
        <f>IFERROR(__xludf.DUMMYFUNCTION("""COMPUTED_VALUE"""),44471.0)</f>
        <v>44471</v>
      </c>
      <c r="F89" s="129">
        <f>IFERROR(__xludf.DUMMYFUNCTION("""COMPUTED_VALUE"""),44499.0)</f>
        <v>44499</v>
      </c>
      <c r="G89" s="154" t="str">
        <f>IFERROR(__xludf.DUMMYFUNCTION("""COMPUTED_VALUE"""),"Manage order page (normal text)")</f>
        <v>Manage order page (normal text)</v>
      </c>
      <c r="H89" s="131"/>
      <c r="I89" s="144"/>
      <c r="J89" s="129">
        <f>IFERROR(__xludf.DUMMYFUNCTION("""COMPUTED_VALUE"""),44515.0)</f>
        <v>44515</v>
      </c>
      <c r="K89" s="133">
        <f>IFERROR(__xludf.DUMMYFUNCTION("""COMPUTED_VALUE"""),28.0)</f>
        <v>28</v>
      </c>
      <c r="L89" s="133">
        <f>IFERROR(__xludf.DUMMYFUNCTION("""COMPUTED_VALUE"""),16.0)</f>
        <v>16</v>
      </c>
      <c r="M89" s="133">
        <f>IFERROR(__xludf.DUMMYFUNCTION("""COMPUTED_VALUE"""),44.0)</f>
        <v>44</v>
      </c>
      <c r="N89" s="152" t="str">
        <f>IFERROR(__xludf.DUMMYFUNCTION("""COMPUTED_VALUE"""),"Model 3 SR+")</f>
        <v>Model 3 SR+</v>
      </c>
      <c r="O89" s="152" t="str">
        <f>IFERROR(__xludf.DUMMYFUNCTION("""COMPUTED_VALUE"""),"Midnight Silver Metallic")</f>
        <v>Midnight Silver Metallic</v>
      </c>
      <c r="P89" s="153" t="str">
        <f>IFERROR(__xludf.DUMMYFUNCTION("""COMPUTED_VALUE"""),"18 inch")</f>
        <v>18 inch</v>
      </c>
      <c r="Q89" s="152" t="str">
        <f>IFERROR(__xludf.DUMMYFUNCTION("""COMPUTED_VALUE"""),"All Black")</f>
        <v>All Black</v>
      </c>
      <c r="R89" s="149" t="str">
        <f>IFERROR(__xludf.DUMMYFUNCTION("""COMPUTED_VALUE"""),"Autopilot included")</f>
        <v>Autopilot included</v>
      </c>
      <c r="S89" s="149" t="str">
        <f>IFERROR(__xludf.DUMMYFUNCTION("""COMPUTED_VALUE"""),"Cash")</f>
        <v>Cash</v>
      </c>
      <c r="T89" s="145" t="str">
        <f>IFERROR(__xludf.DUMMYFUNCTION("""COMPUTED_VALUE"""),"Tesla Model 3")</f>
        <v>Tesla Model 3</v>
      </c>
      <c r="U89" s="145"/>
      <c r="V89" s="145" t="str">
        <f>IFERROR(__xludf.DUMMYFUNCTION("""COMPUTED_VALUE"""),"Dashboard")</f>
        <v>Dashboard</v>
      </c>
      <c r="W89" s="145"/>
      <c r="X89" s="137"/>
      <c r="Y89" s="138"/>
      <c r="Z89" s="138"/>
      <c r="AA89" s="138"/>
      <c r="AB89" s="138"/>
      <c r="AC89" s="139"/>
      <c r="AD89" s="139"/>
      <c r="AE89" s="139"/>
      <c r="AF89" s="140"/>
      <c r="AG89" s="145"/>
      <c r="AH89" s="157">
        <f>IFERROR(__xludf.DUMMYFUNCTION("""COMPUTED_VALUE"""),44509.23247949074)</f>
        <v>44509.23248</v>
      </c>
      <c r="AI89" s="138"/>
      <c r="AJ89" s="138"/>
      <c r="AK89" s="138"/>
      <c r="AL89" s="142"/>
    </row>
    <row r="90" ht="20.25" customHeight="1">
      <c r="A90" s="155" t="str">
        <f>IFERROR(__xludf.DUMMYFUNCTION("""COMPUTED_VALUE"""),"neshmi")</f>
        <v>neshmi</v>
      </c>
      <c r="B90" s="149" t="str">
        <f>IFERROR(__xludf.DUMMYFUNCTION("""COMPUTED_VALUE"""),"Hertfordshire")</f>
        <v>Hertfordshire</v>
      </c>
      <c r="C90" s="149"/>
      <c r="D90" s="149" t="str">
        <f>IFERROR(__xludf.DUMMYFUNCTION("""COMPUTED_VALUE"""),"United Kingdom")</f>
        <v>United Kingdom</v>
      </c>
      <c r="E90" s="156">
        <f>IFERROR(__xludf.DUMMYFUNCTION("""COMPUTED_VALUE"""),44470.0)</f>
        <v>44470</v>
      </c>
      <c r="F90" s="129"/>
      <c r="G90" s="154"/>
      <c r="H90" s="131"/>
      <c r="I90" s="132"/>
      <c r="J90" s="129"/>
      <c r="K90" s="133"/>
      <c r="L90" s="133"/>
      <c r="M90" s="133"/>
      <c r="N90" s="152" t="str">
        <f>IFERROR(__xludf.DUMMYFUNCTION("""COMPUTED_VALUE"""),"Model 3 Performance")</f>
        <v>Model 3 Performance</v>
      </c>
      <c r="O90" s="152" t="str">
        <f>IFERROR(__xludf.DUMMYFUNCTION("""COMPUTED_VALUE"""),"Midnight Silver Metallic")</f>
        <v>Midnight Silver Metallic</v>
      </c>
      <c r="P90" s="153" t="str">
        <f>IFERROR(__xludf.DUMMYFUNCTION("""COMPUTED_VALUE"""),"20 inch")</f>
        <v>20 inch</v>
      </c>
      <c r="Q90" s="152" t="str">
        <f>IFERROR(__xludf.DUMMYFUNCTION("""COMPUTED_VALUE"""),"All Black")</f>
        <v>All Black</v>
      </c>
      <c r="R90" s="150" t="str">
        <f>IFERROR(__xludf.DUMMYFUNCTION("""COMPUTED_VALUE"""),"Full Self-Driving")</f>
        <v>Full Self-Driving</v>
      </c>
      <c r="S90" s="150" t="str">
        <f>IFERROR(__xludf.DUMMYFUNCTION("""COMPUTED_VALUE"""),"Loan")</f>
        <v>Loan</v>
      </c>
      <c r="T90" s="136" t="str">
        <f>IFERROR(__xludf.DUMMYFUNCTION("""COMPUTED_VALUE"""),"Volvo XC60")</f>
        <v>Volvo XC60</v>
      </c>
      <c r="U90" s="136" t="str">
        <f>IFERROR(__xludf.DUMMYFUNCTION("""COMPUTED_VALUE"""),"Electric!")</f>
        <v>Electric!</v>
      </c>
      <c r="V90" s="136" t="str">
        <f>IFERROR(__xludf.DUMMYFUNCTION("""COMPUTED_VALUE"""),"Apple CarPlay / Android Auto / SiriusXM Radio")</f>
        <v>Apple CarPlay / Android Auto / SiriusXM Radio</v>
      </c>
      <c r="W90" s="136"/>
      <c r="X90" s="137"/>
      <c r="Y90" s="138"/>
      <c r="Z90" s="138"/>
      <c r="AA90" s="138"/>
      <c r="AB90" s="138"/>
      <c r="AC90" s="139"/>
      <c r="AD90" s="139"/>
      <c r="AE90" s="139"/>
      <c r="AF90" s="140"/>
      <c r="AG90" s="136"/>
      <c r="AH90" s="157">
        <f>IFERROR(__xludf.DUMMYFUNCTION("""COMPUTED_VALUE"""),44498.32061412037)</f>
        <v>44498.32061</v>
      </c>
      <c r="AI90" s="138"/>
      <c r="AJ90" s="138"/>
      <c r="AK90" s="138"/>
      <c r="AL90" s="142"/>
    </row>
    <row r="91" ht="20.25" customHeight="1">
      <c r="A91" s="155" t="str">
        <f>IFERROR(__xludf.DUMMYFUNCTION("""COMPUTED_VALUE"""),"Pauls17")</f>
        <v>Pauls17</v>
      </c>
      <c r="B91" s="149"/>
      <c r="C91" s="149"/>
      <c r="D91" s="149" t="str">
        <f>IFERROR(__xludf.DUMMYFUNCTION("""COMPUTED_VALUE"""),"United Kingdom")</f>
        <v>United Kingdom</v>
      </c>
      <c r="E91" s="156">
        <f>IFERROR(__xludf.DUMMYFUNCTION("""COMPUTED_VALUE"""),44470.0)</f>
        <v>44470</v>
      </c>
      <c r="F91" s="129">
        <f>IFERROR(__xludf.DUMMYFUNCTION("""COMPUTED_VALUE"""),44496.0)</f>
        <v>44496</v>
      </c>
      <c r="G91" s="154" t="str">
        <f>IFERROR(__xludf.DUMMYFUNCTION("""COMPUTED_VALUE"""),"Source code")</f>
        <v>Source code</v>
      </c>
      <c r="H91" s="131"/>
      <c r="I91" s="144"/>
      <c r="J91" s="129">
        <f>IFERROR(__xludf.DUMMYFUNCTION("""COMPUTED_VALUE"""),44533.0)</f>
        <v>44533</v>
      </c>
      <c r="K91" s="133">
        <f>IFERROR(__xludf.DUMMYFUNCTION("""COMPUTED_VALUE"""),26.0)</f>
        <v>26</v>
      </c>
      <c r="L91" s="133">
        <f>IFERROR(__xludf.DUMMYFUNCTION("""COMPUTED_VALUE"""),37.0)</f>
        <v>37</v>
      </c>
      <c r="M91" s="133">
        <f>IFERROR(__xludf.DUMMYFUNCTION("""COMPUTED_VALUE"""),63.0)</f>
        <v>63</v>
      </c>
      <c r="N91" s="152" t="str">
        <f>IFERROR(__xludf.DUMMYFUNCTION("""COMPUTED_VALUE"""),"Model 3 LR AWD")</f>
        <v>Model 3 LR AWD</v>
      </c>
      <c r="O91" s="152" t="str">
        <f>IFERROR(__xludf.DUMMYFUNCTION("""COMPUTED_VALUE"""),"Pearl White Multi-Coat")</f>
        <v>Pearl White Multi-Coat</v>
      </c>
      <c r="P91" s="153" t="str">
        <f>IFERROR(__xludf.DUMMYFUNCTION("""COMPUTED_VALUE"""),"19 inch")</f>
        <v>19 inch</v>
      </c>
      <c r="Q91" s="152" t="str">
        <f>IFERROR(__xludf.DUMMYFUNCTION("""COMPUTED_VALUE"""),"Black and White")</f>
        <v>Black and White</v>
      </c>
      <c r="R91" s="149" t="str">
        <f>IFERROR(__xludf.DUMMYFUNCTION("""COMPUTED_VALUE"""),"Autopilot included")</f>
        <v>Autopilot included</v>
      </c>
      <c r="S91" s="149"/>
      <c r="T91" s="145" t="str">
        <f>IFERROR(__xludf.DUMMYFUNCTION("""COMPUTED_VALUE"""),"Jaguar F-Pace")</f>
        <v>Jaguar F-Pace</v>
      </c>
      <c r="U91" s="145" t="str">
        <f>IFERROR(__xludf.DUMMYFUNCTION("""COMPUTED_VALUE"""),"Electric!")</f>
        <v>Electric!</v>
      </c>
      <c r="V91" s="145" t="str">
        <f>IFERROR(__xludf.DUMMYFUNCTION("""COMPUTED_VALUE"""),"Head-up display")</f>
        <v>Head-up display</v>
      </c>
      <c r="W91" s="136"/>
      <c r="X91" s="137"/>
      <c r="Y91" s="138"/>
      <c r="Z91" s="138"/>
      <c r="AA91" s="138"/>
      <c r="AB91" s="138"/>
      <c r="AC91" s="139"/>
      <c r="AD91" s="139"/>
      <c r="AE91" s="139"/>
      <c r="AF91" s="140"/>
      <c r="AG91" s="136"/>
      <c r="AH91" s="157">
        <f>IFERROR(__xludf.DUMMYFUNCTION("""COMPUTED_VALUE"""),44500.59171875)</f>
        <v>44500.59172</v>
      </c>
      <c r="AI91" s="138"/>
      <c r="AJ91" s="138"/>
      <c r="AK91" s="138"/>
      <c r="AL91" s="142"/>
    </row>
    <row r="92" ht="20.25" customHeight="1">
      <c r="A92" s="155" t="str">
        <f>IFERROR(__xludf.DUMMYFUNCTION("""COMPUTED_VALUE"""),"spacecortes")</f>
        <v>spacecortes</v>
      </c>
      <c r="B92" s="149" t="str">
        <f>IFERROR(__xludf.DUMMYFUNCTION("""COMPUTED_VALUE"""),"Louisville")</f>
        <v>Louisville</v>
      </c>
      <c r="C92" s="149" t="str">
        <f>IFERROR(__xludf.DUMMYFUNCTION("""COMPUTED_VALUE"""),"KY")</f>
        <v>KY</v>
      </c>
      <c r="D92" s="149" t="str">
        <f>IFERROR(__xludf.DUMMYFUNCTION("""COMPUTED_VALUE"""),"USA")</f>
        <v>USA</v>
      </c>
      <c r="E92" s="156">
        <f>IFERROR(__xludf.DUMMYFUNCTION("""COMPUTED_VALUE"""),44470.0)</f>
        <v>44470</v>
      </c>
      <c r="F92" s="129"/>
      <c r="G92" s="154"/>
      <c r="H92" s="131"/>
      <c r="I92" s="144"/>
      <c r="J92" s="129"/>
      <c r="K92" s="133"/>
      <c r="L92" s="133"/>
      <c r="M92" s="133"/>
      <c r="N92" s="152" t="str">
        <f>IFERROR(__xludf.DUMMYFUNCTION("""COMPUTED_VALUE"""),"Model 3 LR AWD")</f>
        <v>Model 3 LR AWD</v>
      </c>
      <c r="O92" s="152" t="str">
        <f>IFERROR(__xludf.DUMMYFUNCTION("""COMPUTED_VALUE"""),"Solid Black")</f>
        <v>Solid Black</v>
      </c>
      <c r="P92" s="153" t="str">
        <f>IFERROR(__xludf.DUMMYFUNCTION("""COMPUTED_VALUE"""),"18 inch")</f>
        <v>18 inch</v>
      </c>
      <c r="Q92" s="152" t="str">
        <f>IFERROR(__xludf.DUMMYFUNCTION("""COMPUTED_VALUE"""),"Black and White")</f>
        <v>Black and White</v>
      </c>
      <c r="R92" s="149" t="str">
        <f>IFERROR(__xludf.DUMMYFUNCTION("""COMPUTED_VALUE"""),"Autopilot included")</f>
        <v>Autopilot included</v>
      </c>
      <c r="S92" s="149" t="str">
        <f>IFERROR(__xludf.DUMMYFUNCTION("""COMPUTED_VALUE"""),"Loan")</f>
        <v>Loan</v>
      </c>
      <c r="T92" s="145"/>
      <c r="U92" s="145"/>
      <c r="V92" s="145" t="str">
        <f>IFERROR(__xludf.DUMMYFUNCTION("""COMPUTED_VALUE"""),"Blind spot indicators on side mirrors")</f>
        <v>Blind spot indicators on side mirrors</v>
      </c>
      <c r="W92" s="136"/>
      <c r="X92" s="137"/>
      <c r="Y92" s="138"/>
      <c r="Z92" s="138"/>
      <c r="AA92" s="138"/>
      <c r="AB92" s="138"/>
      <c r="AC92" s="139"/>
      <c r="AD92" s="139"/>
      <c r="AE92" s="139"/>
      <c r="AF92" s="140"/>
      <c r="AG92" s="145"/>
      <c r="AH92" s="157">
        <f>IFERROR(__xludf.DUMMYFUNCTION("""COMPUTED_VALUE"""),44498.3812675)</f>
        <v>44498.38127</v>
      </c>
      <c r="AI92" s="138"/>
      <c r="AJ92" s="138"/>
      <c r="AK92" s="138"/>
      <c r="AL92" s="142"/>
    </row>
    <row r="93" ht="20.25" customHeight="1">
      <c r="A93" s="155" t="str">
        <f>IFERROR(__xludf.DUMMYFUNCTION("""COMPUTED_VALUE"""),"tb12")</f>
        <v>tb12</v>
      </c>
      <c r="B93" s="149" t="str">
        <f>IFERROR(__xludf.DUMMYFUNCTION("""COMPUTED_VALUE"""),"Austin")</f>
        <v>Austin</v>
      </c>
      <c r="C93" s="149" t="str">
        <f>IFERROR(__xludf.DUMMYFUNCTION("""COMPUTED_VALUE"""),"TX")</f>
        <v>TX</v>
      </c>
      <c r="D93" s="149" t="str">
        <f>IFERROR(__xludf.DUMMYFUNCTION("""COMPUTED_VALUE"""),"USA")</f>
        <v>USA</v>
      </c>
      <c r="E93" s="156">
        <f>IFERROR(__xludf.DUMMYFUNCTION("""COMPUTED_VALUE"""),44470.0)</f>
        <v>44470</v>
      </c>
      <c r="F93" s="129"/>
      <c r="G93" s="154"/>
      <c r="H93" s="131"/>
      <c r="I93" s="132"/>
      <c r="J93" s="129"/>
      <c r="K93" s="133"/>
      <c r="L93" s="133"/>
      <c r="M93" s="133"/>
      <c r="N93" s="152" t="str">
        <f>IFERROR(__xludf.DUMMYFUNCTION("""COMPUTED_VALUE"""),"Model 3 LR AWD")</f>
        <v>Model 3 LR AWD</v>
      </c>
      <c r="O93" s="152" t="str">
        <f>IFERROR(__xludf.DUMMYFUNCTION("""COMPUTED_VALUE"""),"Midnight Silver Metallic")</f>
        <v>Midnight Silver Metallic</v>
      </c>
      <c r="P93" s="153" t="str">
        <f>IFERROR(__xludf.DUMMYFUNCTION("""COMPUTED_VALUE"""),"18 inch")</f>
        <v>18 inch</v>
      </c>
      <c r="Q93" s="152" t="str">
        <f>IFERROR(__xludf.DUMMYFUNCTION("""COMPUTED_VALUE"""),"All Black")</f>
        <v>All Black</v>
      </c>
      <c r="R93" s="150" t="str">
        <f>IFERROR(__xludf.DUMMYFUNCTION("""COMPUTED_VALUE"""),"Full Self-Driving")</f>
        <v>Full Self-Driving</v>
      </c>
      <c r="S93" s="150" t="str">
        <f>IFERROR(__xludf.DUMMYFUNCTION("""COMPUTED_VALUE"""),"Loan")</f>
        <v>Loan</v>
      </c>
      <c r="T93" s="136" t="str">
        <f>IFERROR(__xludf.DUMMYFUNCTION("""COMPUTED_VALUE"""),"Volkswagen GTI")</f>
        <v>Volkswagen GTI</v>
      </c>
      <c r="U93" s="136" t="str">
        <f>IFERROR(__xludf.DUMMYFUNCTION("""COMPUTED_VALUE"""),"Autopilot")</f>
        <v>Autopilot</v>
      </c>
      <c r="V93" s="136" t="str">
        <f>IFERROR(__xludf.DUMMYFUNCTION("""COMPUTED_VALUE"""),"Head-up display")</f>
        <v>Head-up display</v>
      </c>
      <c r="W93" s="136"/>
      <c r="X93" s="137"/>
      <c r="Y93" s="138"/>
      <c r="Z93" s="138"/>
      <c r="AA93" s="138"/>
      <c r="AB93" s="138"/>
      <c r="AC93" s="139"/>
      <c r="AD93" s="139"/>
      <c r="AE93" s="139"/>
      <c r="AF93" s="140"/>
      <c r="AG93" s="136"/>
      <c r="AH93" s="157">
        <f>IFERROR(__xludf.DUMMYFUNCTION("""COMPUTED_VALUE"""),44472.74199574075)</f>
        <v>44472.742</v>
      </c>
      <c r="AI93" s="138"/>
      <c r="AJ93" s="138"/>
      <c r="AK93" s="138"/>
      <c r="AL93" s="142"/>
    </row>
    <row r="94" ht="20.25" customHeight="1">
      <c r="A94" s="155" t="str">
        <f>IFERROR(__xludf.DUMMYFUNCTION("""COMPUTED_VALUE"""),"gc38")</f>
        <v>gc38</v>
      </c>
      <c r="B94" s="149" t="str">
        <f>IFERROR(__xludf.DUMMYFUNCTION("""COMPUTED_VALUE"""),"Chicago")</f>
        <v>Chicago</v>
      </c>
      <c r="C94" s="149" t="str">
        <f>IFERROR(__xludf.DUMMYFUNCTION("""COMPUTED_VALUE"""),"IL")</f>
        <v>IL</v>
      </c>
      <c r="D94" s="149" t="str">
        <f>IFERROR(__xludf.DUMMYFUNCTION("""COMPUTED_VALUE"""),"USA")</f>
        <v>USA</v>
      </c>
      <c r="E94" s="156">
        <f>IFERROR(__xludf.DUMMYFUNCTION("""COMPUTED_VALUE"""),44469.0)</f>
        <v>44469</v>
      </c>
      <c r="F94" s="129"/>
      <c r="G94" s="154"/>
      <c r="H94" s="131"/>
      <c r="I94" s="144"/>
      <c r="J94" s="129"/>
      <c r="K94" s="133"/>
      <c r="L94" s="133"/>
      <c r="M94" s="133"/>
      <c r="N94" s="152" t="str">
        <f>IFERROR(__xludf.DUMMYFUNCTION("""COMPUTED_VALUE"""),"Model 3 LR AWD")</f>
        <v>Model 3 LR AWD</v>
      </c>
      <c r="O94" s="152" t="str">
        <f>IFERROR(__xludf.DUMMYFUNCTION("""COMPUTED_VALUE"""),"Pearl White Multi-Coat")</f>
        <v>Pearl White Multi-Coat</v>
      </c>
      <c r="P94" s="153" t="str">
        <f>IFERROR(__xludf.DUMMYFUNCTION("""COMPUTED_VALUE"""),"18 inch")</f>
        <v>18 inch</v>
      </c>
      <c r="Q94" s="152" t="str">
        <f>IFERROR(__xludf.DUMMYFUNCTION("""COMPUTED_VALUE"""),"All Black")</f>
        <v>All Black</v>
      </c>
      <c r="R94" s="149" t="str">
        <f>IFERROR(__xludf.DUMMYFUNCTION("""COMPUTED_VALUE"""),"Autopilot included")</f>
        <v>Autopilot included</v>
      </c>
      <c r="S94" s="149" t="str">
        <f>IFERROR(__xludf.DUMMYFUNCTION("""COMPUTED_VALUE"""),"Loan")</f>
        <v>Loan</v>
      </c>
      <c r="T94" s="145" t="str">
        <f>IFERROR(__xludf.DUMMYFUNCTION("""COMPUTED_VALUE"""),"Genesis Coupe 3.8")</f>
        <v>Genesis Coupe 3.8</v>
      </c>
      <c r="U94" s="145" t="str">
        <f>IFERROR(__xludf.DUMMYFUNCTION("""COMPUTED_VALUE"""),"Electric!")</f>
        <v>Electric!</v>
      </c>
      <c r="V94" s="145" t="str">
        <f>IFERROR(__xludf.DUMMYFUNCTION("""COMPUTED_VALUE"""),"Air suspension")</f>
        <v>Air suspension</v>
      </c>
      <c r="W94" s="136"/>
      <c r="X94" s="137"/>
      <c r="Y94" s="138"/>
      <c r="Z94" s="138"/>
      <c r="AA94" s="138"/>
      <c r="AB94" s="138"/>
      <c r="AC94" s="139"/>
      <c r="AD94" s="139"/>
      <c r="AE94" s="139"/>
      <c r="AF94" s="140"/>
      <c r="AG94" s="136"/>
      <c r="AH94" s="157">
        <f>IFERROR(__xludf.DUMMYFUNCTION("""COMPUTED_VALUE"""),44473.81304526621)</f>
        <v>44473.81305</v>
      </c>
      <c r="AI94" s="138"/>
      <c r="AJ94" s="138"/>
      <c r="AK94" s="138"/>
      <c r="AL94" s="142"/>
    </row>
    <row r="95" ht="20.25" customHeight="1">
      <c r="A95" s="155" t="str">
        <f>IFERROR(__xludf.DUMMYFUNCTION("""COMPUTED_VALUE"""),"Jonpho")</f>
        <v>Jonpho</v>
      </c>
      <c r="B95" s="149" t="str">
        <f>IFERROR(__xludf.DUMMYFUNCTION("""COMPUTED_VALUE"""),"Lytham St.Annes")</f>
        <v>Lytham St.Annes</v>
      </c>
      <c r="C95" s="149"/>
      <c r="D95" s="149" t="str">
        <f>IFERROR(__xludf.DUMMYFUNCTION("""COMPUTED_VALUE"""),"United Kingdom")</f>
        <v>United Kingdom</v>
      </c>
      <c r="E95" s="156">
        <f>IFERROR(__xludf.DUMMYFUNCTION("""COMPUTED_VALUE"""),44469.0)</f>
        <v>44469</v>
      </c>
      <c r="F95" s="129"/>
      <c r="G95" s="154"/>
      <c r="H95" s="131"/>
      <c r="I95" s="144"/>
      <c r="J95" s="129"/>
      <c r="K95" s="133"/>
      <c r="L95" s="133"/>
      <c r="M95" s="133"/>
      <c r="N95" s="152" t="str">
        <f>IFERROR(__xludf.DUMMYFUNCTION("""COMPUTED_VALUE"""),"Model 3 LR AWD")</f>
        <v>Model 3 LR AWD</v>
      </c>
      <c r="O95" s="152" t="str">
        <f>IFERROR(__xludf.DUMMYFUNCTION("""COMPUTED_VALUE"""),"Solid Black")</f>
        <v>Solid Black</v>
      </c>
      <c r="P95" s="153" t="str">
        <f>IFERROR(__xludf.DUMMYFUNCTION("""COMPUTED_VALUE"""),"18 inch")</f>
        <v>18 inch</v>
      </c>
      <c r="Q95" s="152" t="str">
        <f>IFERROR(__xludf.DUMMYFUNCTION("""COMPUTED_VALUE"""),"All Black")</f>
        <v>All Black</v>
      </c>
      <c r="R95" s="149" t="str">
        <f>IFERROR(__xludf.DUMMYFUNCTION("""COMPUTED_VALUE"""),"Autopilot included")</f>
        <v>Autopilot included</v>
      </c>
      <c r="S95" s="149" t="str">
        <f>IFERROR(__xludf.DUMMYFUNCTION("""COMPUTED_VALUE"""),"Loan")</f>
        <v>Loan</v>
      </c>
      <c r="T95" s="145" t="str">
        <f>IFERROR(__xludf.DUMMYFUNCTION("""COMPUTED_VALUE"""),"Toyota Prius")</f>
        <v>Toyota Prius</v>
      </c>
      <c r="U95" s="145" t="str">
        <f>IFERROR(__xludf.DUMMYFUNCTION("""COMPUTED_VALUE"""),"Electric!")</f>
        <v>Electric!</v>
      </c>
      <c r="V95" s="145" t="str">
        <f>IFERROR(__xludf.DUMMYFUNCTION("""COMPUTED_VALUE"""),"Apple CarPlay / Android Auto / SiriusXM Radio")</f>
        <v>Apple CarPlay / Android Auto / SiriusXM Radio</v>
      </c>
      <c r="W95" s="136"/>
      <c r="X95" s="137"/>
      <c r="Y95" s="138"/>
      <c r="Z95" s="138"/>
      <c r="AA95" s="138"/>
      <c r="AB95" s="138"/>
      <c r="AC95" s="139"/>
      <c r="AD95" s="139"/>
      <c r="AE95" s="139"/>
      <c r="AF95" s="140"/>
      <c r="AG95" s="136"/>
      <c r="AH95" s="157">
        <f>IFERROR(__xludf.DUMMYFUNCTION("""COMPUTED_VALUE"""),44499.00158614583)</f>
        <v>44499.00159</v>
      </c>
      <c r="AI95" s="138"/>
      <c r="AJ95" s="138"/>
      <c r="AK95" s="138"/>
      <c r="AL95" s="142"/>
    </row>
    <row r="96" ht="20.25" customHeight="1">
      <c r="A96" s="155" t="str">
        <f>IFERROR(__xludf.DUMMYFUNCTION("""COMPUTED_VALUE"""),"Kalessin")</f>
        <v>Kalessin</v>
      </c>
      <c r="B96" s="149" t="str">
        <f>IFERROR(__xludf.DUMMYFUNCTION("""COMPUTED_VALUE"""),"Northampton")</f>
        <v>Northampton</v>
      </c>
      <c r="C96" s="149"/>
      <c r="D96" s="149" t="str">
        <f>IFERROR(__xludf.DUMMYFUNCTION("""COMPUTED_VALUE"""),"United Kingdom")</f>
        <v>United Kingdom</v>
      </c>
      <c r="E96" s="156">
        <f>IFERROR(__xludf.DUMMYFUNCTION("""COMPUTED_VALUE"""),44469.0)</f>
        <v>44469</v>
      </c>
      <c r="F96" s="129"/>
      <c r="G96" s="154"/>
      <c r="H96" s="131"/>
      <c r="I96" s="144"/>
      <c r="J96" s="129"/>
      <c r="K96" s="133"/>
      <c r="L96" s="133"/>
      <c r="M96" s="133"/>
      <c r="N96" s="152" t="str">
        <f>IFERROR(__xludf.DUMMYFUNCTION("""COMPUTED_VALUE"""),"Model 3 LR AWD")</f>
        <v>Model 3 LR AWD</v>
      </c>
      <c r="O96" s="152" t="str">
        <f>IFERROR(__xludf.DUMMYFUNCTION("""COMPUTED_VALUE"""),"Pearl White Multi-Coat")</f>
        <v>Pearl White Multi-Coat</v>
      </c>
      <c r="P96" s="153" t="str">
        <f>IFERROR(__xludf.DUMMYFUNCTION("""COMPUTED_VALUE"""),"19 inch")</f>
        <v>19 inch</v>
      </c>
      <c r="Q96" s="152" t="str">
        <f>IFERROR(__xludf.DUMMYFUNCTION("""COMPUTED_VALUE"""),"Black and White")</f>
        <v>Black and White</v>
      </c>
      <c r="R96" s="149" t="str">
        <f>IFERROR(__xludf.DUMMYFUNCTION("""COMPUTED_VALUE"""),"Autopilot included")</f>
        <v>Autopilot included</v>
      </c>
      <c r="S96" s="149" t="str">
        <f>IFERROR(__xludf.DUMMYFUNCTION("""COMPUTED_VALUE"""),"Loan")</f>
        <v>Loan</v>
      </c>
      <c r="T96" s="145" t="str">
        <f>IFERROR(__xludf.DUMMYFUNCTION("""COMPUTED_VALUE"""),"Ford Focus")</f>
        <v>Ford Focus</v>
      </c>
      <c r="U96" s="145" t="str">
        <f>IFERROR(__xludf.DUMMYFUNCTION("""COMPUTED_VALUE"""),"Electric!")</f>
        <v>Electric!</v>
      </c>
      <c r="V96" s="145" t="str">
        <f>IFERROR(__xludf.DUMMYFUNCTION("""COMPUTED_VALUE"""),"Apple CarPlay / Android Auto / SiriusXM Radio")</f>
        <v>Apple CarPlay / Android Auto / SiriusXM Radio</v>
      </c>
      <c r="W96" s="136"/>
      <c r="X96" s="137"/>
      <c r="Y96" s="138"/>
      <c r="Z96" s="138"/>
      <c r="AA96" s="138"/>
      <c r="AB96" s="138"/>
      <c r="AC96" s="139"/>
      <c r="AD96" s="139"/>
      <c r="AE96" s="139"/>
      <c r="AF96" s="140"/>
      <c r="AG96" s="136"/>
      <c r="AH96" s="157">
        <f>IFERROR(__xludf.DUMMYFUNCTION("""COMPUTED_VALUE"""),44472.144171238426)</f>
        <v>44472.14417</v>
      </c>
      <c r="AI96" s="138"/>
      <c r="AJ96" s="138"/>
      <c r="AK96" s="138"/>
      <c r="AL96" s="142"/>
    </row>
    <row r="97" ht="20.25" customHeight="1">
      <c r="A97" s="155" t="str">
        <f>IFERROR(__xludf.DUMMYFUNCTION("""COMPUTED_VALUE"""),"mama_marf")</f>
        <v>mama_marf</v>
      </c>
      <c r="B97" s="149" t="str">
        <f>IFERROR(__xludf.DUMMYFUNCTION("""COMPUTED_VALUE"""),"Brentwood")</f>
        <v>Brentwood</v>
      </c>
      <c r="C97" s="149" t="str">
        <f>IFERROR(__xludf.DUMMYFUNCTION("""COMPUTED_VALUE"""),"CA")</f>
        <v>CA</v>
      </c>
      <c r="D97" s="149" t="str">
        <f>IFERROR(__xludf.DUMMYFUNCTION("""COMPUTED_VALUE"""),"USA")</f>
        <v>USA</v>
      </c>
      <c r="E97" s="156">
        <f>IFERROR(__xludf.DUMMYFUNCTION("""COMPUTED_VALUE"""),44469.0)</f>
        <v>44469</v>
      </c>
      <c r="F97" s="129"/>
      <c r="G97" s="154"/>
      <c r="H97" s="131"/>
      <c r="I97" s="144"/>
      <c r="J97" s="129"/>
      <c r="K97" s="133"/>
      <c r="L97" s="133"/>
      <c r="M97" s="133"/>
      <c r="N97" s="152" t="str">
        <f>IFERROR(__xludf.DUMMYFUNCTION("""COMPUTED_VALUE"""),"Model 3 LR AWD")</f>
        <v>Model 3 LR AWD</v>
      </c>
      <c r="O97" s="152" t="str">
        <f>IFERROR(__xludf.DUMMYFUNCTION("""COMPUTED_VALUE"""),"Red Multi-Coat")</f>
        <v>Red Multi-Coat</v>
      </c>
      <c r="P97" s="153" t="str">
        <f>IFERROR(__xludf.DUMMYFUNCTION("""COMPUTED_VALUE"""),"19 inch")</f>
        <v>19 inch</v>
      </c>
      <c r="Q97" s="152" t="str">
        <f>IFERROR(__xludf.DUMMYFUNCTION("""COMPUTED_VALUE"""),"All Black")</f>
        <v>All Black</v>
      </c>
      <c r="R97" s="149" t="str">
        <f>IFERROR(__xludf.DUMMYFUNCTION("""COMPUTED_VALUE"""),"Autopilot included")</f>
        <v>Autopilot included</v>
      </c>
      <c r="S97" s="149" t="str">
        <f>IFERROR(__xludf.DUMMYFUNCTION("""COMPUTED_VALUE"""),"Cash")</f>
        <v>Cash</v>
      </c>
      <c r="T97" s="145" t="str">
        <f>IFERROR(__xludf.DUMMYFUNCTION("""COMPUTED_VALUE"""),"Audi A3")</f>
        <v>Audi A3</v>
      </c>
      <c r="U97" s="145" t="str">
        <f>IFERROR(__xludf.DUMMYFUNCTION("""COMPUTED_VALUE"""),"Electric!")</f>
        <v>Electric!</v>
      </c>
      <c r="V97" s="145" t="str">
        <f>IFERROR(__xludf.DUMMYFUNCTION("""COMPUTED_VALUE"""),"Apple CarPlay / Android Auto / SiriusXM Radio")</f>
        <v>Apple CarPlay / Android Auto / SiriusXM Radio</v>
      </c>
      <c r="W97" s="136"/>
      <c r="X97" s="137"/>
      <c r="Y97" s="138"/>
      <c r="Z97" s="138"/>
      <c r="AA97" s="138"/>
      <c r="AB97" s="138"/>
      <c r="AC97" s="139"/>
      <c r="AD97" s="139"/>
      <c r="AE97" s="139"/>
      <c r="AF97" s="140"/>
      <c r="AG97" s="136"/>
      <c r="AH97" s="157">
        <f>IFERROR(__xludf.DUMMYFUNCTION("""COMPUTED_VALUE"""),44490.64593859953)</f>
        <v>44490.64594</v>
      </c>
      <c r="AI97" s="138"/>
      <c r="AJ97" s="138"/>
      <c r="AK97" s="138"/>
      <c r="AL97" s="142"/>
    </row>
    <row r="98" ht="20.25" customHeight="1">
      <c r="A98" s="155" t="str">
        <f>IFERROR(__xludf.DUMMYFUNCTION("""COMPUTED_VALUE"""),"rzambrano")</f>
        <v>rzambrano</v>
      </c>
      <c r="B98" s="159" t="str">
        <f>IFERROR(__xludf.DUMMYFUNCTION("""COMPUTED_VALUE"""),"Los Angeles")</f>
        <v>Los Angeles</v>
      </c>
      <c r="C98" s="159" t="str">
        <f>IFERROR(__xludf.DUMMYFUNCTION("""COMPUTED_VALUE"""),"CA")</f>
        <v>CA</v>
      </c>
      <c r="D98" s="159" t="str">
        <f>IFERROR(__xludf.DUMMYFUNCTION("""COMPUTED_VALUE"""),"USA")</f>
        <v>USA</v>
      </c>
      <c r="E98" s="156">
        <f>IFERROR(__xludf.DUMMYFUNCTION("""COMPUTED_VALUE"""),44469.0)</f>
        <v>44469</v>
      </c>
      <c r="F98" s="129"/>
      <c r="G98" s="154"/>
      <c r="H98" s="131"/>
      <c r="I98" s="160"/>
      <c r="J98" s="129"/>
      <c r="K98" s="133"/>
      <c r="L98" s="133"/>
      <c r="M98" s="133"/>
      <c r="N98" s="152" t="str">
        <f>IFERROR(__xludf.DUMMYFUNCTION("""COMPUTED_VALUE"""),"Model 3 SR+")</f>
        <v>Model 3 SR+</v>
      </c>
      <c r="O98" s="152" t="str">
        <f>IFERROR(__xludf.DUMMYFUNCTION("""COMPUTED_VALUE"""),"Pearl White Multi-Coat")</f>
        <v>Pearl White Multi-Coat</v>
      </c>
      <c r="P98" s="153" t="str">
        <f>IFERROR(__xludf.DUMMYFUNCTION("""COMPUTED_VALUE"""),"18 inch")</f>
        <v>18 inch</v>
      </c>
      <c r="Q98" s="152" t="str">
        <f>IFERROR(__xludf.DUMMYFUNCTION("""COMPUTED_VALUE"""),"All Black")</f>
        <v>All Black</v>
      </c>
      <c r="R98" s="159" t="str">
        <f>IFERROR(__xludf.DUMMYFUNCTION("""COMPUTED_VALUE"""),"Autopilot included")</f>
        <v>Autopilot included</v>
      </c>
      <c r="S98" s="159" t="str">
        <f>IFERROR(__xludf.DUMMYFUNCTION("""COMPUTED_VALUE"""),"Cash")</f>
        <v>Cash</v>
      </c>
      <c r="T98" s="161" t="str">
        <f>IFERROR(__xludf.DUMMYFUNCTION("""COMPUTED_VALUE"""),"Model 3 will be my first car!")</f>
        <v>Model 3 will be my first car!</v>
      </c>
      <c r="U98" s="161" t="str">
        <f>IFERROR(__xludf.DUMMYFUNCTION("""COMPUTED_VALUE"""),"Electric!")</f>
        <v>Electric!</v>
      </c>
      <c r="V98" s="161" t="str">
        <f>IFERROR(__xludf.DUMMYFUNCTION("""COMPUTED_VALUE"""),"Apple CarPlay / Android Auto / SiriusXM Radio")</f>
        <v>Apple CarPlay / Android Auto / SiriusXM Radio</v>
      </c>
      <c r="W98" s="161"/>
      <c r="X98" s="137"/>
      <c r="Y98" s="138"/>
      <c r="Z98" s="138"/>
      <c r="AA98" s="138"/>
      <c r="AB98" s="138"/>
      <c r="AC98" s="139"/>
      <c r="AD98" s="139"/>
      <c r="AE98" s="139"/>
      <c r="AF98" s="140"/>
      <c r="AG98" s="161"/>
      <c r="AH98" s="157">
        <f>IFERROR(__xludf.DUMMYFUNCTION("""COMPUTED_VALUE"""),44487.835379895834)</f>
        <v>44487.83538</v>
      </c>
      <c r="AI98" s="138"/>
      <c r="AJ98" s="138"/>
      <c r="AK98" s="138"/>
      <c r="AL98" s="142"/>
    </row>
    <row r="99" ht="20.25" customHeight="1">
      <c r="A99" s="155" t="str">
        <f>IFERROR(__xludf.DUMMYFUNCTION("""COMPUTED_VALUE"""),"ChaosZombie999")</f>
        <v>ChaosZombie999</v>
      </c>
      <c r="B99" s="149" t="str">
        <f>IFERROR(__xludf.DUMMYFUNCTION("""COMPUTED_VALUE"""),"Dallas ")</f>
        <v>Dallas </v>
      </c>
      <c r="C99" s="149" t="str">
        <f>IFERROR(__xludf.DUMMYFUNCTION("""COMPUTED_VALUE"""),"TX")</f>
        <v>TX</v>
      </c>
      <c r="D99" s="149" t="str">
        <f>IFERROR(__xludf.DUMMYFUNCTION("""COMPUTED_VALUE"""),"USA")</f>
        <v>USA</v>
      </c>
      <c r="E99" s="156">
        <f>IFERROR(__xludf.DUMMYFUNCTION("""COMPUTED_VALUE"""),44468.0)</f>
        <v>44468</v>
      </c>
      <c r="F99" s="129">
        <f>IFERROR(__xludf.DUMMYFUNCTION("""COMPUTED_VALUE"""),44502.0)</f>
        <v>44502</v>
      </c>
      <c r="G99" s="154" t="str">
        <f>IFERROR(__xludf.DUMMYFUNCTION("""COMPUTED_VALUE"""),"Email")</f>
        <v>Email</v>
      </c>
      <c r="H99" s="131">
        <f>IFERROR(__xludf.DUMMYFUNCTION("""COMPUTED_VALUE"""),92568.0)</f>
        <v>92568</v>
      </c>
      <c r="I99" s="144"/>
      <c r="J99" s="129">
        <f>IFERROR(__xludf.DUMMYFUNCTION("""COMPUTED_VALUE"""),44508.0)</f>
        <v>44508</v>
      </c>
      <c r="K99" s="133">
        <f>IFERROR(__xludf.DUMMYFUNCTION("""COMPUTED_VALUE"""),34.0)</f>
        <v>34</v>
      </c>
      <c r="L99" s="133">
        <f>IFERROR(__xludf.DUMMYFUNCTION("""COMPUTED_VALUE"""),6.0)</f>
        <v>6</v>
      </c>
      <c r="M99" s="133">
        <f>IFERROR(__xludf.DUMMYFUNCTION("""COMPUTED_VALUE"""),40.0)</f>
        <v>40</v>
      </c>
      <c r="N99" s="152" t="str">
        <f>IFERROR(__xludf.DUMMYFUNCTION("""COMPUTED_VALUE"""),"Model 3 LR AWD")</f>
        <v>Model 3 LR AWD</v>
      </c>
      <c r="O99" s="152" t="str">
        <f>IFERROR(__xludf.DUMMYFUNCTION("""COMPUTED_VALUE"""),"Deep Blue Metallic")</f>
        <v>Deep Blue Metallic</v>
      </c>
      <c r="P99" s="153" t="str">
        <f>IFERROR(__xludf.DUMMYFUNCTION("""COMPUTED_VALUE"""),"18 inch")</f>
        <v>18 inch</v>
      </c>
      <c r="Q99" s="152" t="str">
        <f>IFERROR(__xludf.DUMMYFUNCTION("""COMPUTED_VALUE"""),"Black and White")</f>
        <v>Black and White</v>
      </c>
      <c r="R99" s="149" t="str">
        <f>IFERROR(__xludf.DUMMYFUNCTION("""COMPUTED_VALUE"""),"Autopilot included")</f>
        <v>Autopilot included</v>
      </c>
      <c r="S99" s="149" t="str">
        <f>IFERROR(__xludf.DUMMYFUNCTION("""COMPUTED_VALUE"""),"Cash")</f>
        <v>Cash</v>
      </c>
      <c r="T99" s="145" t="str">
        <f>IFERROR(__xludf.DUMMYFUNCTION("""COMPUTED_VALUE"""),"Land Rover Range Rover ")</f>
        <v>Land Rover Range Rover </v>
      </c>
      <c r="U99" s="145" t="str">
        <f>IFERROR(__xludf.DUMMYFUNCTION("""COMPUTED_VALUE"""),"Electric!")</f>
        <v>Electric!</v>
      </c>
      <c r="V99" s="145" t="str">
        <f>IFERROR(__xludf.DUMMYFUNCTION("""COMPUTED_VALUE"""),"The ability to ""current energy"" statistics (like range in kWh and voltage going to each motor etc etc)")</f>
        <v>The ability to "current energy" statistics (like range in kWh and voltage going to each motor etc etc)</v>
      </c>
      <c r="W99" s="145" t="str">
        <f>IFERROR(__xludf.DUMMYFUNCTION("""COMPUTED_VALUE"""),"Choose the paintwork and interior colour that you know you will like before you place your order, as changing your order (i.e changing from Deep Blue Metallic to red) can potentially delay your order ")</f>
        <v>Choose the paintwork and interior colour that you know you will like before you place your order, as changing your order (i.e changing from Deep Blue Metallic to red) can potentially delay your order </v>
      </c>
      <c r="X99" s="137"/>
      <c r="Y99" s="138"/>
      <c r="Z99" s="138"/>
      <c r="AA99" s="138"/>
      <c r="AB99" s="138"/>
      <c r="AC99" s="139"/>
      <c r="AD99" s="139"/>
      <c r="AE99" s="139"/>
      <c r="AF99" s="140" t="str">
        <f>IFERROR(__xludf.DUMMYFUNCTION("""COMPUTED_VALUE"""),"No. I took delivery of the first car Tesla was able to deliver.")</f>
        <v>No. I took delivery of the first car Tesla was able to deliver.</v>
      </c>
      <c r="AG99" s="145"/>
      <c r="AH99" s="157">
        <f>IFERROR(__xludf.DUMMYFUNCTION("""COMPUTED_VALUE"""),44502.79031159722)</f>
        <v>44502.79031</v>
      </c>
      <c r="AI99" s="138"/>
      <c r="AJ99" s="138"/>
      <c r="AK99" s="138"/>
      <c r="AL99" s="142"/>
    </row>
    <row r="100" ht="20.25" customHeight="1">
      <c r="A100" s="155" t="str">
        <f>IFERROR(__xludf.DUMMYFUNCTION("""COMPUTED_VALUE"""),"shakenbake444")</f>
        <v>shakenbake444</v>
      </c>
      <c r="B100" s="149" t="str">
        <f>IFERROR(__xludf.DUMMYFUNCTION("""COMPUTED_VALUE"""),"Corning")</f>
        <v>Corning</v>
      </c>
      <c r="C100" s="149"/>
      <c r="D100" s="149" t="str">
        <f>IFERROR(__xludf.DUMMYFUNCTION("""COMPUTED_VALUE"""),"USA")</f>
        <v>USA</v>
      </c>
      <c r="E100" s="156">
        <f>IFERROR(__xludf.DUMMYFUNCTION("""COMPUTED_VALUE"""),44468.0)</f>
        <v>44468</v>
      </c>
      <c r="F100" s="129"/>
      <c r="G100" s="154"/>
      <c r="H100" s="131"/>
      <c r="I100" s="144"/>
      <c r="J100" s="129"/>
      <c r="K100" s="133"/>
      <c r="L100" s="133"/>
      <c r="M100" s="133"/>
      <c r="N100" s="152" t="str">
        <f>IFERROR(__xludf.DUMMYFUNCTION("""COMPUTED_VALUE"""),"Model 3 LR AWD")</f>
        <v>Model 3 LR AWD</v>
      </c>
      <c r="O100" s="152" t="str">
        <f>IFERROR(__xludf.DUMMYFUNCTION("""COMPUTED_VALUE"""),"Midnight Silver Metallic")</f>
        <v>Midnight Silver Metallic</v>
      </c>
      <c r="P100" s="153" t="str">
        <f>IFERROR(__xludf.DUMMYFUNCTION("""COMPUTED_VALUE"""),"18 inch")</f>
        <v>18 inch</v>
      </c>
      <c r="Q100" s="152" t="str">
        <f>IFERROR(__xludf.DUMMYFUNCTION("""COMPUTED_VALUE"""),"All Black")</f>
        <v>All Black</v>
      </c>
      <c r="R100" s="149" t="str">
        <f>IFERROR(__xludf.DUMMYFUNCTION("""COMPUTED_VALUE"""),"Autopilot included")</f>
        <v>Autopilot included</v>
      </c>
      <c r="S100" s="149" t="str">
        <f>IFERROR(__xludf.DUMMYFUNCTION("""COMPUTED_VALUE"""),"Cash")</f>
        <v>Cash</v>
      </c>
      <c r="T100" s="145"/>
      <c r="U100" s="145"/>
      <c r="V100" s="145"/>
      <c r="W100" s="145"/>
      <c r="X100" s="137"/>
      <c r="Y100" s="138"/>
      <c r="Z100" s="138"/>
      <c r="AA100" s="138"/>
      <c r="AB100" s="138"/>
      <c r="AC100" s="139"/>
      <c r="AD100" s="139"/>
      <c r="AE100" s="139"/>
      <c r="AF100" s="140"/>
      <c r="AG100" s="145"/>
      <c r="AH100" s="157">
        <f>IFERROR(__xludf.DUMMYFUNCTION("""COMPUTED_VALUE"""),44486.69543216435)</f>
        <v>44486.69543</v>
      </c>
      <c r="AI100" s="138"/>
      <c r="AJ100" s="138"/>
      <c r="AK100" s="138"/>
      <c r="AL100" s="142"/>
    </row>
    <row r="101" ht="20.25" customHeight="1">
      <c r="A101" s="155" t="str">
        <f>IFERROR(__xludf.DUMMYFUNCTION("""COMPUTED_VALUE"""),"Waliza")</f>
        <v>Waliza</v>
      </c>
      <c r="B101" s="149" t="str">
        <f>IFERROR(__xludf.DUMMYFUNCTION("""COMPUTED_VALUE"""),"Bay Area")</f>
        <v>Bay Area</v>
      </c>
      <c r="C101" s="149" t="str">
        <f>IFERROR(__xludf.DUMMYFUNCTION("""COMPUTED_VALUE"""),"CA")</f>
        <v>CA</v>
      </c>
      <c r="D101" s="149" t="str">
        <f>IFERROR(__xludf.DUMMYFUNCTION("""COMPUTED_VALUE"""),"USA")</f>
        <v>USA</v>
      </c>
      <c r="E101" s="156">
        <f>IFERROR(__xludf.DUMMYFUNCTION("""COMPUTED_VALUE"""),44468.0)</f>
        <v>44468</v>
      </c>
      <c r="F101" s="129">
        <f>IFERROR(__xludf.DUMMYFUNCTION("""COMPUTED_VALUE"""),44468.0)</f>
        <v>44468</v>
      </c>
      <c r="G101" s="154" t="str">
        <f>IFERROR(__xludf.DUMMYFUNCTION("""COMPUTED_VALUE"""),"Manage order page (normal text)")</f>
        <v>Manage order page (normal text)</v>
      </c>
      <c r="H101" s="131">
        <f>IFERROR(__xludf.DUMMYFUNCTION("""COMPUTED_VALUE"""),289355.0)</f>
        <v>289355</v>
      </c>
      <c r="I101" s="144" t="str">
        <f>IFERROR(__xludf.DUMMYFUNCTION("""COMPUTED_VALUE"""),"08/21")</f>
        <v>08/21</v>
      </c>
      <c r="J101" s="129">
        <f>IFERROR(__xludf.DUMMYFUNCTION("""COMPUTED_VALUE"""),44469.0)</f>
        <v>44469</v>
      </c>
      <c r="K101" s="133">
        <f>IFERROR(__xludf.DUMMYFUNCTION("""COMPUTED_VALUE"""),0.0)</f>
        <v>0</v>
      </c>
      <c r="L101" s="133">
        <f>IFERROR(__xludf.DUMMYFUNCTION("""COMPUTED_VALUE"""),1.0)</f>
        <v>1</v>
      </c>
      <c r="M101" s="133">
        <f>IFERROR(__xludf.DUMMYFUNCTION("""COMPUTED_VALUE"""),1.0)</f>
        <v>1</v>
      </c>
      <c r="N101" s="152" t="str">
        <f>IFERROR(__xludf.DUMMYFUNCTION("""COMPUTED_VALUE"""),"Model 3 Performance")</f>
        <v>Model 3 Performance</v>
      </c>
      <c r="O101" s="152" t="str">
        <f>IFERROR(__xludf.DUMMYFUNCTION("""COMPUTED_VALUE"""),"Deep Blue Metallic")</f>
        <v>Deep Blue Metallic</v>
      </c>
      <c r="P101" s="153" t="str">
        <f>IFERROR(__xludf.DUMMYFUNCTION("""COMPUTED_VALUE"""),"20 inch")</f>
        <v>20 inch</v>
      </c>
      <c r="Q101" s="152" t="str">
        <f>IFERROR(__xludf.DUMMYFUNCTION("""COMPUTED_VALUE"""),"All Black")</f>
        <v>All Black</v>
      </c>
      <c r="R101" s="149" t="str">
        <f>IFERROR(__xludf.DUMMYFUNCTION("""COMPUTED_VALUE"""),"Autopilot included")</f>
        <v>Autopilot included</v>
      </c>
      <c r="S101" s="149" t="str">
        <f>IFERROR(__xludf.DUMMYFUNCTION("""COMPUTED_VALUE"""),"Loan")</f>
        <v>Loan</v>
      </c>
      <c r="T101" s="145" t="str">
        <f>IFERROR(__xludf.DUMMYFUNCTION("""COMPUTED_VALUE"""),"BMW i3")</f>
        <v>BMW i3</v>
      </c>
      <c r="U101" s="145" t="str">
        <f>IFERROR(__xludf.DUMMYFUNCTION("""COMPUTED_VALUE"""),"Electric!")</f>
        <v>Electric!</v>
      </c>
      <c r="V101" s="145" t="str">
        <f>IFERROR(__xludf.DUMMYFUNCTION("""COMPUTED_VALUE"""),"Head-up display")</f>
        <v>Head-up display</v>
      </c>
      <c r="W101" s="136" t="str">
        <f>IFERROR(__xludf.DUMMYFUNCTION("""COMPUTED_VALUE"""),"Watch the existing inventory page, only way to get your car fast. There are cars under 50 miles and they are great.")</f>
        <v>Watch the existing inventory page, only way to get your car fast. There are cars under 50 miles and they are great.</v>
      </c>
      <c r="X101" s="137" t="str">
        <f>IFERROR(__xludf.DUMMYFUNCTION("""COMPUTED_VALUE"""),"Excellent")</f>
        <v>Excellent</v>
      </c>
      <c r="Y101" s="138" t="str">
        <f>IFERROR(__xludf.DUMMYFUNCTION("""COMPUTED_VALUE"""),"Excellent")</f>
        <v>Excellent</v>
      </c>
      <c r="Z101" s="138" t="str">
        <f>IFERROR(__xludf.DUMMYFUNCTION("""COMPUTED_VALUE"""),"Excellent")</f>
        <v>Excellent</v>
      </c>
      <c r="AA101" s="138" t="str">
        <f>IFERROR(__xludf.DUMMYFUNCTION("""COMPUTED_VALUE"""),"Excellent")</f>
        <v>Excellent</v>
      </c>
      <c r="AB101" s="138" t="str">
        <f>IFERROR(__xludf.DUMMYFUNCTION("""COMPUTED_VALUE"""),"Good")</f>
        <v>Good</v>
      </c>
      <c r="AC101" s="139">
        <f>IFERROR(__xludf.DUMMYFUNCTION("""COMPUTED_VALUE"""),0.0)</f>
        <v>0</v>
      </c>
      <c r="AD101" s="139">
        <f>IFERROR(__xludf.DUMMYFUNCTION("""COMPUTED_VALUE"""),0.0)</f>
        <v>0</v>
      </c>
      <c r="AE101" s="139">
        <f>IFERROR(__xludf.DUMMYFUNCTION("""COMPUTED_VALUE"""),0.0)</f>
        <v>0</v>
      </c>
      <c r="AF101" s="140" t="str">
        <f>IFERROR(__xludf.DUMMYFUNCTION("""COMPUTED_VALUE"""),"No. I took delivery of the first car Tesla was able to deliver.")</f>
        <v>No. I took delivery of the first car Tesla was able to deliver.</v>
      </c>
      <c r="AG101" s="136"/>
      <c r="AH101" s="157">
        <f>IFERROR(__xludf.DUMMYFUNCTION("""COMPUTED_VALUE"""),44470.73299706018)</f>
        <v>44470.733</v>
      </c>
      <c r="AI101" s="138"/>
      <c r="AJ101" s="138"/>
      <c r="AK101" s="138"/>
      <c r="AL101" s="142"/>
    </row>
    <row r="102" ht="20.25" customHeight="1">
      <c r="A102" s="155" t="str">
        <f>IFERROR(__xludf.DUMMYFUNCTION("""COMPUTED_VALUE"""),"Fher03")</f>
        <v>Fher03</v>
      </c>
      <c r="B102" s="149" t="str">
        <f>IFERROR(__xludf.DUMMYFUNCTION("""COMPUTED_VALUE"""),"Ontario")</f>
        <v>Ontario</v>
      </c>
      <c r="C102" s="149" t="str">
        <f>IFERROR(__xludf.DUMMYFUNCTION("""COMPUTED_VALUE"""),"CA")</f>
        <v>CA</v>
      </c>
      <c r="D102" s="149" t="str">
        <f>IFERROR(__xludf.DUMMYFUNCTION("""COMPUTED_VALUE"""),"USA")</f>
        <v>USA</v>
      </c>
      <c r="E102" s="156">
        <f>IFERROR(__xludf.DUMMYFUNCTION("""COMPUTED_VALUE"""),44467.0)</f>
        <v>44467</v>
      </c>
      <c r="F102" s="129"/>
      <c r="G102" s="154"/>
      <c r="H102" s="131"/>
      <c r="I102" s="144"/>
      <c r="J102" s="129"/>
      <c r="K102" s="133"/>
      <c r="L102" s="133"/>
      <c r="M102" s="133"/>
      <c r="N102" s="152" t="str">
        <f>IFERROR(__xludf.DUMMYFUNCTION("""COMPUTED_VALUE"""),"Model 3 LR AWD")</f>
        <v>Model 3 LR AWD</v>
      </c>
      <c r="O102" s="152" t="str">
        <f>IFERROR(__xludf.DUMMYFUNCTION("""COMPUTED_VALUE"""),"Pearl White Multi-Coat")</f>
        <v>Pearl White Multi-Coat</v>
      </c>
      <c r="P102" s="153" t="str">
        <f>IFERROR(__xludf.DUMMYFUNCTION("""COMPUTED_VALUE"""),"18 inch")</f>
        <v>18 inch</v>
      </c>
      <c r="Q102" s="152" t="str">
        <f>IFERROR(__xludf.DUMMYFUNCTION("""COMPUTED_VALUE"""),"All Black")</f>
        <v>All Black</v>
      </c>
      <c r="R102" s="149" t="str">
        <f>IFERROR(__xludf.DUMMYFUNCTION("""COMPUTED_VALUE"""),"Autopilot included")</f>
        <v>Autopilot included</v>
      </c>
      <c r="S102" s="149" t="str">
        <f>IFERROR(__xludf.DUMMYFUNCTION("""COMPUTED_VALUE"""),"Loan")</f>
        <v>Loan</v>
      </c>
      <c r="T102" s="145"/>
      <c r="U102" s="145"/>
      <c r="V102" s="145" t="str">
        <f>IFERROR(__xludf.DUMMYFUNCTION("""COMPUTED_VALUE"""),"Head-up display")</f>
        <v>Head-up display</v>
      </c>
      <c r="W102" s="136"/>
      <c r="X102" s="137"/>
      <c r="Y102" s="138"/>
      <c r="Z102" s="138"/>
      <c r="AA102" s="138"/>
      <c r="AB102" s="138"/>
      <c r="AC102" s="139"/>
      <c r="AD102" s="139"/>
      <c r="AE102" s="139"/>
      <c r="AF102" s="140"/>
      <c r="AG102" s="136"/>
      <c r="AH102" s="157">
        <f>IFERROR(__xludf.DUMMYFUNCTION("""COMPUTED_VALUE"""),44474.43353383101)</f>
        <v>44474.43353</v>
      </c>
      <c r="AI102" s="138"/>
      <c r="AJ102" s="138"/>
      <c r="AK102" s="138"/>
      <c r="AL102" s="142"/>
    </row>
    <row r="103" ht="20.25" customHeight="1">
      <c r="A103" s="155" t="str">
        <f>IFERROR(__xludf.DUMMYFUNCTION("""COMPUTED_VALUE"""),"Dj_Schrader")</f>
        <v>Dj_Schrader</v>
      </c>
      <c r="B103" s="149" t="str">
        <f>IFERROR(__xludf.DUMMYFUNCTION("""COMPUTED_VALUE"""),"Los Angeles")</f>
        <v>Los Angeles</v>
      </c>
      <c r="C103" s="149" t="str">
        <f>IFERROR(__xludf.DUMMYFUNCTION("""COMPUTED_VALUE"""),"CA")</f>
        <v>CA</v>
      </c>
      <c r="D103" s="149" t="str">
        <f>IFERROR(__xludf.DUMMYFUNCTION("""COMPUTED_VALUE"""),"USA")</f>
        <v>USA</v>
      </c>
      <c r="E103" s="156">
        <f>IFERROR(__xludf.DUMMYFUNCTION("""COMPUTED_VALUE"""),44466.0)</f>
        <v>44466</v>
      </c>
      <c r="F103" s="129"/>
      <c r="G103" s="154"/>
      <c r="H103" s="131"/>
      <c r="I103" s="144"/>
      <c r="J103" s="129"/>
      <c r="K103" s="133"/>
      <c r="L103" s="133"/>
      <c r="M103" s="133"/>
      <c r="N103" s="152" t="str">
        <f>IFERROR(__xludf.DUMMYFUNCTION("""COMPUTED_VALUE"""),"Model 3 LR AWD")</f>
        <v>Model 3 LR AWD</v>
      </c>
      <c r="O103" s="152" t="str">
        <f>IFERROR(__xludf.DUMMYFUNCTION("""COMPUTED_VALUE"""),"Solid Black")</f>
        <v>Solid Black</v>
      </c>
      <c r="P103" s="153" t="str">
        <f>IFERROR(__xludf.DUMMYFUNCTION("""COMPUTED_VALUE"""),"19 inch")</f>
        <v>19 inch</v>
      </c>
      <c r="Q103" s="152" t="str">
        <f>IFERROR(__xludf.DUMMYFUNCTION("""COMPUTED_VALUE"""),"All Black")</f>
        <v>All Black</v>
      </c>
      <c r="R103" s="149" t="str">
        <f>IFERROR(__xludf.DUMMYFUNCTION("""COMPUTED_VALUE"""),"Autopilot included")</f>
        <v>Autopilot included</v>
      </c>
      <c r="S103" s="149" t="str">
        <f>IFERROR(__xludf.DUMMYFUNCTION("""COMPUTED_VALUE"""),"Loan")</f>
        <v>Loan</v>
      </c>
      <c r="T103" s="145"/>
      <c r="U103" s="145"/>
      <c r="V103" s="145"/>
      <c r="W103" s="145"/>
      <c r="X103" s="137"/>
      <c r="Y103" s="138"/>
      <c r="Z103" s="138"/>
      <c r="AA103" s="138"/>
      <c r="AB103" s="138"/>
      <c r="AC103" s="139"/>
      <c r="AD103" s="139"/>
      <c r="AE103" s="139"/>
      <c r="AF103" s="140"/>
      <c r="AG103" s="145"/>
      <c r="AH103" s="157">
        <f>IFERROR(__xludf.DUMMYFUNCTION("""COMPUTED_VALUE"""),44496.46552226851)</f>
        <v>44496.46552</v>
      </c>
      <c r="AI103" s="138"/>
      <c r="AJ103" s="138"/>
      <c r="AK103" s="138"/>
      <c r="AL103" s="142"/>
    </row>
    <row r="104" ht="20.25" customHeight="1">
      <c r="A104" s="155" t="str">
        <f>IFERROR(__xludf.DUMMYFUNCTION("""COMPUTED_VALUE"""),"joshverd")</f>
        <v>joshverd</v>
      </c>
      <c r="B104" s="149" t="str">
        <f>IFERROR(__xludf.DUMMYFUNCTION("""COMPUTED_VALUE"""),"Houston")</f>
        <v>Houston</v>
      </c>
      <c r="C104" s="149" t="str">
        <f>IFERROR(__xludf.DUMMYFUNCTION("""COMPUTED_VALUE"""),"TX")</f>
        <v>TX</v>
      </c>
      <c r="D104" s="149" t="str">
        <f>IFERROR(__xludf.DUMMYFUNCTION("""COMPUTED_VALUE"""),"USA")</f>
        <v>USA</v>
      </c>
      <c r="E104" s="156">
        <f>IFERROR(__xludf.DUMMYFUNCTION("""COMPUTED_VALUE"""),44466.0)</f>
        <v>44466</v>
      </c>
      <c r="F104" s="129"/>
      <c r="G104" s="154"/>
      <c r="H104" s="131"/>
      <c r="I104" s="144"/>
      <c r="J104" s="129"/>
      <c r="K104" s="133"/>
      <c r="L104" s="133"/>
      <c r="M104" s="133"/>
      <c r="N104" s="152" t="str">
        <f>IFERROR(__xludf.DUMMYFUNCTION("""COMPUTED_VALUE"""),"Model 3 LR AWD")</f>
        <v>Model 3 LR AWD</v>
      </c>
      <c r="O104" s="152" t="str">
        <f>IFERROR(__xludf.DUMMYFUNCTION("""COMPUTED_VALUE"""),"Pearl White Multi-Coat")</f>
        <v>Pearl White Multi-Coat</v>
      </c>
      <c r="P104" s="153" t="str">
        <f>IFERROR(__xludf.DUMMYFUNCTION("""COMPUTED_VALUE"""),"18 inch")</f>
        <v>18 inch</v>
      </c>
      <c r="Q104" s="152" t="str">
        <f>IFERROR(__xludf.DUMMYFUNCTION("""COMPUTED_VALUE"""),"All Black")</f>
        <v>All Black</v>
      </c>
      <c r="R104" s="149" t="str">
        <f>IFERROR(__xludf.DUMMYFUNCTION("""COMPUTED_VALUE"""),"Autopilot included")</f>
        <v>Autopilot included</v>
      </c>
      <c r="S104" s="149" t="str">
        <f>IFERROR(__xludf.DUMMYFUNCTION("""COMPUTED_VALUE"""),"Loan")</f>
        <v>Loan</v>
      </c>
      <c r="T104" s="145" t="str">
        <f>IFERROR(__xludf.DUMMYFUNCTION("""COMPUTED_VALUE"""),"Model 3 will be my first car!")</f>
        <v>Model 3 will be my first car!</v>
      </c>
      <c r="U104" s="145" t="str">
        <f>IFERROR(__xludf.DUMMYFUNCTION("""COMPUTED_VALUE"""),"Electric!")</f>
        <v>Electric!</v>
      </c>
      <c r="V104" s="145" t="str">
        <f>IFERROR(__xludf.DUMMYFUNCTION("""COMPUTED_VALUE"""),"Head-up display")</f>
        <v>Head-up display</v>
      </c>
      <c r="W104" s="136"/>
      <c r="X104" s="137"/>
      <c r="Y104" s="138"/>
      <c r="Z104" s="138"/>
      <c r="AA104" s="138"/>
      <c r="AB104" s="138"/>
      <c r="AC104" s="139"/>
      <c r="AD104" s="139"/>
      <c r="AE104" s="139"/>
      <c r="AF104" s="140"/>
      <c r="AG104" s="136"/>
      <c r="AH104" s="157">
        <f>IFERROR(__xludf.DUMMYFUNCTION("""COMPUTED_VALUE"""),44482.78326531251)</f>
        <v>44482.78327</v>
      </c>
      <c r="AI104" s="138"/>
      <c r="AJ104" s="138"/>
      <c r="AK104" s="138"/>
      <c r="AL104" s="142"/>
    </row>
    <row r="105" ht="20.25" customHeight="1">
      <c r="A105" s="155" t="str">
        <f>IFERROR(__xludf.DUMMYFUNCTION("""COMPUTED_VALUE"""),"Cezar")</f>
        <v>Cezar</v>
      </c>
      <c r="B105" s="149" t="str">
        <f>IFERROR(__xludf.DUMMYFUNCTION("""COMPUTED_VALUE"""),"Statesboro")</f>
        <v>Statesboro</v>
      </c>
      <c r="C105" s="149" t="str">
        <f>IFERROR(__xludf.DUMMYFUNCTION("""COMPUTED_VALUE"""),"GA")</f>
        <v>GA</v>
      </c>
      <c r="D105" s="149" t="str">
        <f>IFERROR(__xludf.DUMMYFUNCTION("""COMPUTED_VALUE"""),"USA")</f>
        <v>USA</v>
      </c>
      <c r="E105" s="156">
        <f>IFERROR(__xludf.DUMMYFUNCTION("""COMPUTED_VALUE"""),44465.0)</f>
        <v>44465</v>
      </c>
      <c r="F105" s="129"/>
      <c r="G105" s="154"/>
      <c r="H105" s="131"/>
      <c r="I105" s="132"/>
      <c r="J105" s="129"/>
      <c r="K105" s="133"/>
      <c r="L105" s="133"/>
      <c r="M105" s="133"/>
      <c r="N105" s="152" t="str">
        <f>IFERROR(__xludf.DUMMYFUNCTION("""COMPUTED_VALUE"""),"Model 3 LR AWD")</f>
        <v>Model 3 LR AWD</v>
      </c>
      <c r="O105" s="152" t="str">
        <f>IFERROR(__xludf.DUMMYFUNCTION("""COMPUTED_VALUE"""),"Red Multi-Coat")</f>
        <v>Red Multi-Coat</v>
      </c>
      <c r="P105" s="153" t="str">
        <f>IFERROR(__xludf.DUMMYFUNCTION("""COMPUTED_VALUE"""),"19 inch")</f>
        <v>19 inch</v>
      </c>
      <c r="Q105" s="152" t="str">
        <f>IFERROR(__xludf.DUMMYFUNCTION("""COMPUTED_VALUE"""),"All Black")</f>
        <v>All Black</v>
      </c>
      <c r="R105" s="150" t="str">
        <f>IFERROR(__xludf.DUMMYFUNCTION("""COMPUTED_VALUE"""),"Full Self-Driving")</f>
        <v>Full Self-Driving</v>
      </c>
      <c r="S105" s="150" t="str">
        <f>IFERROR(__xludf.DUMMYFUNCTION("""COMPUTED_VALUE"""),"Loan")</f>
        <v>Loan</v>
      </c>
      <c r="T105" s="136" t="str">
        <f>IFERROR(__xludf.DUMMYFUNCTION("""COMPUTED_VALUE"""),"Honda Insight")</f>
        <v>Honda Insight</v>
      </c>
      <c r="U105" s="136" t="str">
        <f>IFERROR(__xludf.DUMMYFUNCTION("""COMPUTED_VALUE"""),"Electric!")</f>
        <v>Electric!</v>
      </c>
      <c r="V105" s="136" t="str">
        <f>IFERROR(__xludf.DUMMYFUNCTION("""COMPUTED_VALUE"""),"Apple CarPlay / Android Auto / SiriusXM Radio")</f>
        <v>Apple CarPlay / Android Auto / SiriusXM Radio</v>
      </c>
      <c r="W105" s="145"/>
      <c r="X105" s="137"/>
      <c r="Y105" s="138"/>
      <c r="Z105" s="138"/>
      <c r="AA105" s="138"/>
      <c r="AB105" s="138"/>
      <c r="AC105" s="139"/>
      <c r="AD105" s="139"/>
      <c r="AE105" s="139"/>
      <c r="AF105" s="140"/>
      <c r="AG105" s="136"/>
      <c r="AH105" s="157">
        <f>IFERROR(__xludf.DUMMYFUNCTION("""COMPUTED_VALUE"""),44497.98890516204)</f>
        <v>44497.98891</v>
      </c>
      <c r="AI105" s="138"/>
      <c r="AJ105" s="138"/>
      <c r="AK105" s="138"/>
      <c r="AL105" s="142"/>
    </row>
    <row r="106" ht="20.25" customHeight="1">
      <c r="A106" s="155" t="str">
        <f>IFERROR(__xludf.DUMMYFUNCTION("""COMPUTED_VALUE"""),"MZBKA")</f>
        <v>MZBKA</v>
      </c>
      <c r="B106" s="149"/>
      <c r="C106" s="149" t="str">
        <f>IFERROR(__xludf.DUMMYFUNCTION("""COMPUTED_VALUE"""),"MN")</f>
        <v>MN</v>
      </c>
      <c r="D106" s="149" t="str">
        <f>IFERROR(__xludf.DUMMYFUNCTION("""COMPUTED_VALUE"""),"USA")</f>
        <v>USA</v>
      </c>
      <c r="E106" s="156">
        <f>IFERROR(__xludf.DUMMYFUNCTION("""COMPUTED_VALUE"""),44465.0)</f>
        <v>44465</v>
      </c>
      <c r="F106" s="129">
        <f>IFERROR(__xludf.DUMMYFUNCTION("""COMPUTED_VALUE"""),44481.0)</f>
        <v>44481</v>
      </c>
      <c r="G106" s="154" t="str">
        <f>IFERROR(__xludf.DUMMYFUNCTION("""COMPUTED_VALUE"""),"Manage order page (normal text)")</f>
        <v>Manage order page (normal text)</v>
      </c>
      <c r="H106" s="131"/>
      <c r="I106" s="144"/>
      <c r="J106" s="129">
        <f>IFERROR(__xludf.DUMMYFUNCTION("""COMPUTED_VALUE"""),44496.0)</f>
        <v>44496</v>
      </c>
      <c r="K106" s="133">
        <f>IFERROR(__xludf.DUMMYFUNCTION("""COMPUTED_VALUE"""),16.0)</f>
        <v>16</v>
      </c>
      <c r="L106" s="133">
        <f>IFERROR(__xludf.DUMMYFUNCTION("""COMPUTED_VALUE"""),15.0)</f>
        <v>15</v>
      </c>
      <c r="M106" s="133">
        <f>IFERROR(__xludf.DUMMYFUNCTION("""COMPUTED_VALUE"""),31.0)</f>
        <v>31</v>
      </c>
      <c r="N106" s="152" t="str">
        <f>IFERROR(__xludf.DUMMYFUNCTION("""COMPUTED_VALUE"""),"Model 3 Performance")</f>
        <v>Model 3 Performance</v>
      </c>
      <c r="O106" s="152" t="str">
        <f>IFERROR(__xludf.DUMMYFUNCTION("""COMPUTED_VALUE"""),"Midnight Silver Metallic")</f>
        <v>Midnight Silver Metallic</v>
      </c>
      <c r="P106" s="153" t="str">
        <f>IFERROR(__xludf.DUMMYFUNCTION("""COMPUTED_VALUE"""),"20 inch")</f>
        <v>20 inch</v>
      </c>
      <c r="Q106" s="152" t="str">
        <f>IFERROR(__xludf.DUMMYFUNCTION("""COMPUTED_VALUE"""),"Black and White")</f>
        <v>Black and White</v>
      </c>
      <c r="R106" s="149" t="str">
        <f>IFERROR(__xludf.DUMMYFUNCTION("""COMPUTED_VALUE"""),"Autopilot included")</f>
        <v>Autopilot included</v>
      </c>
      <c r="S106" s="149" t="str">
        <f>IFERROR(__xludf.DUMMYFUNCTION("""COMPUTED_VALUE"""),"Loan")</f>
        <v>Loan</v>
      </c>
      <c r="T106" s="145"/>
      <c r="U106" s="145"/>
      <c r="V106" s="145"/>
      <c r="W106" s="145"/>
      <c r="X106" s="137"/>
      <c r="Y106" s="138"/>
      <c r="Z106" s="138"/>
      <c r="AA106" s="138"/>
      <c r="AB106" s="138"/>
      <c r="AC106" s="139"/>
      <c r="AD106" s="139"/>
      <c r="AE106" s="139"/>
      <c r="AF106" s="140"/>
      <c r="AG106" s="145"/>
      <c r="AH106" s="157">
        <f>IFERROR(__xludf.DUMMYFUNCTION("""COMPUTED_VALUE"""),44488.60716872685)</f>
        <v>44488.60717</v>
      </c>
      <c r="AI106" s="138"/>
      <c r="AJ106" s="138"/>
      <c r="AK106" s="138"/>
      <c r="AL106" s="142"/>
    </row>
    <row r="107" ht="20.25" customHeight="1">
      <c r="A107" s="155" t="str">
        <f>IFERROR(__xludf.DUMMYFUNCTION("""COMPUTED_VALUE"""),"steely")</f>
        <v>steely</v>
      </c>
      <c r="B107" s="149"/>
      <c r="C107" s="149" t="str">
        <f>IFERROR(__xludf.DUMMYFUNCTION("""COMPUTED_VALUE"""),"OH")</f>
        <v>OH</v>
      </c>
      <c r="D107" s="149" t="str">
        <f>IFERROR(__xludf.DUMMYFUNCTION("""COMPUTED_VALUE"""),"USA")</f>
        <v>USA</v>
      </c>
      <c r="E107" s="156">
        <f>IFERROR(__xludf.DUMMYFUNCTION("""COMPUTED_VALUE"""),44465.0)</f>
        <v>44465</v>
      </c>
      <c r="F107" s="129"/>
      <c r="G107" s="154"/>
      <c r="H107" s="131"/>
      <c r="I107" s="144"/>
      <c r="J107" s="129"/>
      <c r="K107" s="133"/>
      <c r="L107" s="133"/>
      <c r="M107" s="133"/>
      <c r="N107" s="152" t="str">
        <f>IFERROR(__xludf.DUMMYFUNCTION("""COMPUTED_VALUE"""),"Model 3 SR+")</f>
        <v>Model 3 SR+</v>
      </c>
      <c r="O107" s="152" t="str">
        <f>IFERROR(__xludf.DUMMYFUNCTION("""COMPUTED_VALUE"""),"Pearl White Multi-Coat")</f>
        <v>Pearl White Multi-Coat</v>
      </c>
      <c r="P107" s="153" t="str">
        <f>IFERROR(__xludf.DUMMYFUNCTION("""COMPUTED_VALUE"""),"18 inch")</f>
        <v>18 inch</v>
      </c>
      <c r="Q107" s="152" t="str">
        <f>IFERROR(__xludf.DUMMYFUNCTION("""COMPUTED_VALUE"""),"Black and White")</f>
        <v>Black and White</v>
      </c>
      <c r="R107" s="149" t="str">
        <f>IFERROR(__xludf.DUMMYFUNCTION("""COMPUTED_VALUE"""),"Autopilot included")</f>
        <v>Autopilot included</v>
      </c>
      <c r="S107" s="149"/>
      <c r="T107" s="145"/>
      <c r="U107" s="145" t="str">
        <f>IFERROR(__xludf.DUMMYFUNCTION("""COMPUTED_VALUE"""),"Electric!")</f>
        <v>Electric!</v>
      </c>
      <c r="V107" s="145"/>
      <c r="W107" s="145"/>
      <c r="X107" s="137"/>
      <c r="Y107" s="138"/>
      <c r="Z107" s="138"/>
      <c r="AA107" s="138"/>
      <c r="AB107" s="138"/>
      <c r="AC107" s="139"/>
      <c r="AD107" s="139"/>
      <c r="AE107" s="139"/>
      <c r="AF107" s="140"/>
      <c r="AG107" s="145"/>
      <c r="AH107" s="157">
        <f>IFERROR(__xludf.DUMMYFUNCTION("""COMPUTED_VALUE"""),44468.24483127314)</f>
        <v>44468.24483</v>
      </c>
      <c r="AI107" s="138"/>
      <c r="AJ107" s="138"/>
      <c r="AK107" s="138"/>
      <c r="AL107" s="142"/>
    </row>
    <row r="108" ht="20.25" customHeight="1">
      <c r="A108" s="155" t="str">
        <f>IFERROR(__xludf.DUMMYFUNCTION("""COMPUTED_VALUE"""),"CharlesInCharge")</f>
        <v>CharlesInCharge</v>
      </c>
      <c r="B108" s="149"/>
      <c r="C108" s="149" t="str">
        <f>IFERROR(__xludf.DUMMYFUNCTION("""COMPUTED_VALUE"""),"TN")</f>
        <v>TN</v>
      </c>
      <c r="D108" s="149" t="str">
        <f>IFERROR(__xludf.DUMMYFUNCTION("""COMPUTED_VALUE"""),"USA")</f>
        <v>USA</v>
      </c>
      <c r="E108" s="156">
        <f>IFERROR(__xludf.DUMMYFUNCTION("""COMPUTED_VALUE"""),44464.0)</f>
        <v>44464</v>
      </c>
      <c r="F108" s="129"/>
      <c r="G108" s="154"/>
      <c r="H108" s="131"/>
      <c r="I108" s="144"/>
      <c r="J108" s="129"/>
      <c r="K108" s="133"/>
      <c r="L108" s="133"/>
      <c r="M108" s="133"/>
      <c r="N108" s="152" t="str">
        <f>IFERROR(__xludf.DUMMYFUNCTION("""COMPUTED_VALUE"""),"Model 3 LR AWD")</f>
        <v>Model 3 LR AWD</v>
      </c>
      <c r="O108" s="152" t="str">
        <f>IFERROR(__xludf.DUMMYFUNCTION("""COMPUTED_VALUE"""),"Pearl White Multi-Coat")</f>
        <v>Pearl White Multi-Coat</v>
      </c>
      <c r="P108" s="153" t="str">
        <f>IFERROR(__xludf.DUMMYFUNCTION("""COMPUTED_VALUE"""),"18 inch")</f>
        <v>18 inch</v>
      </c>
      <c r="Q108" s="152" t="str">
        <f>IFERROR(__xludf.DUMMYFUNCTION("""COMPUTED_VALUE"""),"All Black")</f>
        <v>All Black</v>
      </c>
      <c r="R108" s="149" t="str">
        <f>IFERROR(__xludf.DUMMYFUNCTION("""COMPUTED_VALUE"""),"Autopilot included")</f>
        <v>Autopilot included</v>
      </c>
      <c r="S108" s="149"/>
      <c r="T108" s="145"/>
      <c r="U108" s="145" t="str">
        <f>IFERROR(__xludf.DUMMYFUNCTION("""COMPUTED_VALUE"""),"Electric!")</f>
        <v>Electric!</v>
      </c>
      <c r="V108" s="145" t="str">
        <f>IFERROR(__xludf.DUMMYFUNCTION("""COMPUTED_VALUE"""),"Head-up display")</f>
        <v>Head-up display</v>
      </c>
      <c r="W108" s="145"/>
      <c r="X108" s="137"/>
      <c r="Y108" s="138"/>
      <c r="Z108" s="138"/>
      <c r="AA108" s="138"/>
      <c r="AB108" s="138"/>
      <c r="AC108" s="139"/>
      <c r="AD108" s="139"/>
      <c r="AE108" s="139"/>
      <c r="AF108" s="140"/>
      <c r="AG108" s="145"/>
      <c r="AH108" s="157">
        <f>IFERROR(__xludf.DUMMYFUNCTION("""COMPUTED_VALUE"""),44490.49914768519)</f>
        <v>44490.49915</v>
      </c>
      <c r="AI108" s="138"/>
      <c r="AJ108" s="138"/>
      <c r="AK108" s="138"/>
      <c r="AL108" s="142"/>
    </row>
    <row r="109" ht="20.25" customHeight="1">
      <c r="A109" s="155" t="str">
        <f>IFERROR(__xludf.DUMMYFUNCTION("""COMPUTED_VALUE"""),"DfwGuy")</f>
        <v>DfwGuy</v>
      </c>
      <c r="B109" s="149" t="str">
        <f>IFERROR(__xludf.DUMMYFUNCTION("""COMPUTED_VALUE"""),"Dallas")</f>
        <v>Dallas</v>
      </c>
      <c r="C109" s="149" t="str">
        <f>IFERROR(__xludf.DUMMYFUNCTION("""COMPUTED_VALUE"""),"TX")</f>
        <v>TX</v>
      </c>
      <c r="D109" s="149" t="str">
        <f>IFERROR(__xludf.DUMMYFUNCTION("""COMPUTED_VALUE"""),"USA")</f>
        <v>USA</v>
      </c>
      <c r="E109" s="156">
        <f>IFERROR(__xludf.DUMMYFUNCTION("""COMPUTED_VALUE"""),44464.0)</f>
        <v>44464</v>
      </c>
      <c r="F109" s="129">
        <f>IFERROR(__xludf.DUMMYFUNCTION("""COMPUTED_VALUE"""),44477.0)</f>
        <v>44477</v>
      </c>
      <c r="G109" s="154" t="str">
        <f>IFERROR(__xludf.DUMMYFUNCTION("""COMPUTED_VALUE"""),"Manage order page (normal text)")</f>
        <v>Manage order page (normal text)</v>
      </c>
      <c r="H109" s="131">
        <f>IFERROR(__xludf.DUMMYFUNCTION("""COMPUTED_VALUE"""),83374.0)</f>
        <v>83374</v>
      </c>
      <c r="I109" s="144" t="str">
        <f>IFERROR(__xludf.DUMMYFUNCTION("""COMPUTED_VALUE"""),"10/21")</f>
        <v>10/21</v>
      </c>
      <c r="J109" s="129"/>
      <c r="K109" s="133">
        <f>IFERROR(__xludf.DUMMYFUNCTION("""COMPUTED_VALUE"""),13.0)</f>
        <v>13</v>
      </c>
      <c r="L109" s="133"/>
      <c r="M109" s="133"/>
      <c r="N109" s="152" t="str">
        <f>IFERROR(__xludf.DUMMYFUNCTION("""COMPUTED_VALUE"""),"Model 3 Performance")</f>
        <v>Model 3 Performance</v>
      </c>
      <c r="O109" s="152" t="str">
        <f>IFERROR(__xludf.DUMMYFUNCTION("""COMPUTED_VALUE"""),"Pearl White Multi-Coat")</f>
        <v>Pearl White Multi-Coat</v>
      </c>
      <c r="P109" s="153" t="str">
        <f>IFERROR(__xludf.DUMMYFUNCTION("""COMPUTED_VALUE"""),"20 inch")</f>
        <v>20 inch</v>
      </c>
      <c r="Q109" s="152" t="str">
        <f>IFERROR(__xludf.DUMMYFUNCTION("""COMPUTED_VALUE"""),"Black and White")</f>
        <v>Black and White</v>
      </c>
      <c r="R109" s="149" t="str">
        <f>IFERROR(__xludf.DUMMYFUNCTION("""COMPUTED_VALUE"""),"Autopilot included")</f>
        <v>Autopilot included</v>
      </c>
      <c r="S109" s="149" t="str">
        <f>IFERROR(__xludf.DUMMYFUNCTION("""COMPUTED_VALUE"""),"Loan")</f>
        <v>Loan</v>
      </c>
      <c r="T109" s="145" t="str">
        <f>IFERROR(__xludf.DUMMYFUNCTION("""COMPUTED_VALUE"""),"Alfa Romeo")</f>
        <v>Alfa Romeo</v>
      </c>
      <c r="U109" s="145" t="str">
        <f>IFERROR(__xludf.DUMMYFUNCTION("""COMPUTED_VALUE"""),"Acceleration")</f>
        <v>Acceleration</v>
      </c>
      <c r="V109" s="145" t="str">
        <f>IFERROR(__xludf.DUMMYFUNCTION("""COMPUTED_VALUE"""),"Ventilated seats")</f>
        <v>Ventilated seats</v>
      </c>
      <c r="W109" s="145"/>
      <c r="X109" s="137"/>
      <c r="Y109" s="138"/>
      <c r="Z109" s="138"/>
      <c r="AA109" s="138"/>
      <c r="AB109" s="138"/>
      <c r="AC109" s="139"/>
      <c r="AD109" s="139"/>
      <c r="AE109" s="139"/>
      <c r="AF109" s="140"/>
      <c r="AG109" s="145"/>
      <c r="AH109" s="157">
        <f>IFERROR(__xludf.DUMMYFUNCTION("""COMPUTED_VALUE"""),44477.4318662963)</f>
        <v>44477.43187</v>
      </c>
      <c r="AI109" s="138"/>
      <c r="AJ109" s="138"/>
      <c r="AK109" s="138"/>
      <c r="AL109" s="142"/>
    </row>
    <row r="110" ht="20.25" customHeight="1">
      <c r="A110" s="155" t="str">
        <f>IFERROR(__xludf.DUMMYFUNCTION("""COMPUTED_VALUE"""),"Dudu ")</f>
        <v>Dudu </v>
      </c>
      <c r="B110" s="149"/>
      <c r="C110" s="149" t="str">
        <f>IFERROR(__xludf.DUMMYFUNCTION("""COMPUTED_VALUE"""),"MB")</f>
        <v>MB</v>
      </c>
      <c r="D110" s="149" t="str">
        <f>IFERROR(__xludf.DUMMYFUNCTION("""COMPUTED_VALUE"""),"Canada")</f>
        <v>Canada</v>
      </c>
      <c r="E110" s="156">
        <f>IFERROR(__xludf.DUMMYFUNCTION("""COMPUTED_VALUE"""),44464.0)</f>
        <v>44464</v>
      </c>
      <c r="F110" s="129"/>
      <c r="G110" s="154"/>
      <c r="H110" s="131"/>
      <c r="I110" s="144"/>
      <c r="J110" s="129"/>
      <c r="K110" s="133"/>
      <c r="L110" s="133"/>
      <c r="M110" s="133"/>
      <c r="N110" s="152" t="str">
        <f>IFERROR(__xludf.DUMMYFUNCTION("""COMPUTED_VALUE"""),"Model 3 LR AWD")</f>
        <v>Model 3 LR AWD</v>
      </c>
      <c r="O110" s="152" t="str">
        <f>IFERROR(__xludf.DUMMYFUNCTION("""COMPUTED_VALUE"""),"Midnight Silver Metallic")</f>
        <v>Midnight Silver Metallic</v>
      </c>
      <c r="P110" s="153" t="str">
        <f>IFERROR(__xludf.DUMMYFUNCTION("""COMPUTED_VALUE"""),"18 inch")</f>
        <v>18 inch</v>
      </c>
      <c r="Q110" s="152" t="str">
        <f>IFERROR(__xludf.DUMMYFUNCTION("""COMPUTED_VALUE"""),"All Black")</f>
        <v>All Black</v>
      </c>
      <c r="R110" s="149" t="str">
        <f>IFERROR(__xludf.DUMMYFUNCTION("""COMPUTED_VALUE"""),"Autopilot included")</f>
        <v>Autopilot included</v>
      </c>
      <c r="S110" s="149" t="str">
        <f>IFERROR(__xludf.DUMMYFUNCTION("""COMPUTED_VALUE"""),"Loan")</f>
        <v>Loan</v>
      </c>
      <c r="T110" s="145" t="str">
        <f>IFERROR(__xludf.DUMMYFUNCTION("""COMPUTED_VALUE"""),"Acura TL")</f>
        <v>Acura TL</v>
      </c>
      <c r="U110" s="145" t="str">
        <f>IFERROR(__xludf.DUMMYFUNCTION("""COMPUTED_VALUE"""),"Electric!")</f>
        <v>Electric!</v>
      </c>
      <c r="V110" s="145" t="str">
        <f>IFERROR(__xludf.DUMMYFUNCTION("""COMPUTED_VALUE"""),"Head-up display")</f>
        <v>Head-up display</v>
      </c>
      <c r="W110" s="145"/>
      <c r="X110" s="137"/>
      <c r="Y110" s="138"/>
      <c r="Z110" s="138"/>
      <c r="AA110" s="138"/>
      <c r="AB110" s="138"/>
      <c r="AC110" s="139"/>
      <c r="AD110" s="139"/>
      <c r="AE110" s="139"/>
      <c r="AF110" s="140"/>
      <c r="AG110" s="145"/>
      <c r="AH110" s="157">
        <f>IFERROR(__xludf.DUMMYFUNCTION("""COMPUTED_VALUE"""),44480.79904827547)</f>
        <v>44480.79905</v>
      </c>
      <c r="AI110" s="138"/>
      <c r="AJ110" s="138"/>
      <c r="AK110" s="138"/>
      <c r="AL110" s="142"/>
    </row>
    <row r="111" ht="20.25" customHeight="1">
      <c r="A111" s="155" t="str">
        <f>IFERROR(__xludf.DUMMYFUNCTION("""COMPUTED_VALUE"""),"Flight Controller")</f>
        <v>Flight Controller</v>
      </c>
      <c r="B111" s="149" t="str">
        <f>IFERROR(__xludf.DUMMYFUNCTION("""COMPUTED_VALUE"""),"Vancouver")</f>
        <v>Vancouver</v>
      </c>
      <c r="C111" s="149" t="str">
        <f>IFERROR(__xludf.DUMMYFUNCTION("""COMPUTED_VALUE"""),"BC")</f>
        <v>BC</v>
      </c>
      <c r="D111" s="149" t="str">
        <f>IFERROR(__xludf.DUMMYFUNCTION("""COMPUTED_VALUE"""),"Canada")</f>
        <v>Canada</v>
      </c>
      <c r="E111" s="156">
        <f>IFERROR(__xludf.DUMMYFUNCTION("""COMPUTED_VALUE"""),44464.0)</f>
        <v>44464</v>
      </c>
      <c r="F111" s="129"/>
      <c r="G111" s="154"/>
      <c r="H111" s="131"/>
      <c r="I111" s="132"/>
      <c r="J111" s="129"/>
      <c r="K111" s="133"/>
      <c r="L111" s="133"/>
      <c r="M111" s="133"/>
      <c r="N111" s="152" t="str">
        <f>IFERROR(__xludf.DUMMYFUNCTION("""COMPUTED_VALUE"""),"Model 3 SR+")</f>
        <v>Model 3 SR+</v>
      </c>
      <c r="O111" s="152" t="str">
        <f>IFERROR(__xludf.DUMMYFUNCTION("""COMPUTED_VALUE"""),"Pearl White Multi-Coat")</f>
        <v>Pearl White Multi-Coat</v>
      </c>
      <c r="P111" s="153" t="str">
        <f>IFERROR(__xludf.DUMMYFUNCTION("""COMPUTED_VALUE"""),"18 inch")</f>
        <v>18 inch</v>
      </c>
      <c r="Q111" s="152" t="str">
        <f>IFERROR(__xludf.DUMMYFUNCTION("""COMPUTED_VALUE"""),"All Black")</f>
        <v>All Black</v>
      </c>
      <c r="R111" s="150" t="str">
        <f>IFERROR(__xludf.DUMMYFUNCTION("""COMPUTED_VALUE"""),"Autopilot included")</f>
        <v>Autopilot included</v>
      </c>
      <c r="S111" s="150" t="str">
        <f>IFERROR(__xludf.DUMMYFUNCTION("""COMPUTED_VALUE"""),"Cash")</f>
        <v>Cash</v>
      </c>
      <c r="T111" s="136" t="str">
        <f>IFERROR(__xludf.DUMMYFUNCTION("""COMPUTED_VALUE"""),"Acura MDX")</f>
        <v>Acura MDX</v>
      </c>
      <c r="U111" s="136" t="str">
        <f>IFERROR(__xludf.DUMMYFUNCTION("""COMPUTED_VALUE"""),"Electric!")</f>
        <v>Electric!</v>
      </c>
      <c r="V111" s="136" t="str">
        <f>IFERROR(__xludf.DUMMYFUNCTION("""COMPUTED_VALUE"""),"Apple CarPlay / Android Auto / SiriusXM Radio")</f>
        <v>Apple CarPlay / Android Auto / SiriusXM Radio</v>
      </c>
      <c r="W111" s="136"/>
      <c r="X111" s="158"/>
      <c r="Y111" s="138"/>
      <c r="Z111" s="138"/>
      <c r="AA111" s="138"/>
      <c r="AB111" s="138"/>
      <c r="AC111" s="139"/>
      <c r="AD111" s="139"/>
      <c r="AE111" s="139"/>
      <c r="AF111" s="140"/>
      <c r="AG111" s="136"/>
      <c r="AH111" s="157">
        <f>IFERROR(__xludf.DUMMYFUNCTION("""COMPUTED_VALUE"""),44505.512058182874)</f>
        <v>44505.51206</v>
      </c>
      <c r="AI111" s="138"/>
      <c r="AJ111" s="138"/>
      <c r="AK111" s="138"/>
      <c r="AL111" s="142"/>
    </row>
    <row r="112" ht="20.25" customHeight="1">
      <c r="A112" s="155" t="str">
        <f>IFERROR(__xludf.DUMMYFUNCTION("""COMPUTED_VALUE"""),"UserNo42")</f>
        <v>UserNo42</v>
      </c>
      <c r="B112" s="149" t="str">
        <f>IFERROR(__xludf.DUMMYFUNCTION("""COMPUTED_VALUE"""),"Mountain House")</f>
        <v>Mountain House</v>
      </c>
      <c r="C112" s="149" t="str">
        <f>IFERROR(__xludf.DUMMYFUNCTION("""COMPUTED_VALUE"""),"CA")</f>
        <v>CA</v>
      </c>
      <c r="D112" s="149" t="str">
        <f>IFERROR(__xludf.DUMMYFUNCTION("""COMPUTED_VALUE"""),"USA")</f>
        <v>USA</v>
      </c>
      <c r="E112" s="156">
        <f>IFERROR(__xludf.DUMMYFUNCTION("""COMPUTED_VALUE"""),44464.0)</f>
        <v>44464</v>
      </c>
      <c r="F112" s="129"/>
      <c r="G112" s="154"/>
      <c r="H112" s="131"/>
      <c r="I112" s="144"/>
      <c r="J112" s="129"/>
      <c r="K112" s="133"/>
      <c r="L112" s="133"/>
      <c r="M112" s="133"/>
      <c r="N112" s="152" t="str">
        <f>IFERROR(__xludf.DUMMYFUNCTION("""COMPUTED_VALUE"""),"Model 3 LR AWD")</f>
        <v>Model 3 LR AWD</v>
      </c>
      <c r="O112" s="152" t="str">
        <f>IFERROR(__xludf.DUMMYFUNCTION("""COMPUTED_VALUE"""),"Pearl White Multi-Coat")</f>
        <v>Pearl White Multi-Coat</v>
      </c>
      <c r="P112" s="153" t="str">
        <f>IFERROR(__xludf.DUMMYFUNCTION("""COMPUTED_VALUE"""),"18 inch")</f>
        <v>18 inch</v>
      </c>
      <c r="Q112" s="152" t="str">
        <f>IFERROR(__xludf.DUMMYFUNCTION("""COMPUTED_VALUE"""),"All Black")</f>
        <v>All Black</v>
      </c>
      <c r="R112" s="149" t="str">
        <f>IFERROR(__xludf.DUMMYFUNCTION("""COMPUTED_VALUE"""),"Autopilot included")</f>
        <v>Autopilot included</v>
      </c>
      <c r="S112" s="149" t="str">
        <f>IFERROR(__xludf.DUMMYFUNCTION("""COMPUTED_VALUE"""),"Loan")</f>
        <v>Loan</v>
      </c>
      <c r="T112" s="145" t="str">
        <f>IFERROR(__xludf.DUMMYFUNCTION("""COMPUTED_VALUE"""),"Tesla Model 3")</f>
        <v>Tesla Model 3</v>
      </c>
      <c r="U112" s="145" t="str">
        <f>IFERROR(__xludf.DUMMYFUNCTION("""COMPUTED_VALUE"""),"Electric!")</f>
        <v>Electric!</v>
      </c>
      <c r="V112" s="145" t="str">
        <f>IFERROR(__xludf.DUMMYFUNCTION("""COMPUTED_VALUE"""),"Ventilated seats")</f>
        <v>Ventilated seats</v>
      </c>
      <c r="W112" s="145"/>
      <c r="X112" s="137"/>
      <c r="Y112" s="138"/>
      <c r="Z112" s="138"/>
      <c r="AA112" s="138"/>
      <c r="AB112" s="138"/>
      <c r="AC112" s="139"/>
      <c r="AD112" s="139"/>
      <c r="AE112" s="139"/>
      <c r="AF112" s="140"/>
      <c r="AG112" s="145"/>
      <c r="AH112" s="157">
        <f>IFERROR(__xludf.DUMMYFUNCTION("""COMPUTED_VALUE"""),44473.63408673611)</f>
        <v>44473.63409</v>
      </c>
      <c r="AI112" s="138"/>
      <c r="AJ112" s="138"/>
      <c r="AK112" s="138"/>
      <c r="AL112" s="142"/>
    </row>
    <row r="113" ht="20.25" customHeight="1">
      <c r="A113" s="155" t="str">
        <f>IFERROR(__xludf.DUMMYFUNCTION("""COMPUTED_VALUE"""),"Cos")</f>
        <v>Cos</v>
      </c>
      <c r="B113" s="149" t="str">
        <f>IFERROR(__xludf.DUMMYFUNCTION("""COMPUTED_VALUE"""),"Colorado Springs")</f>
        <v>Colorado Springs</v>
      </c>
      <c r="C113" s="149" t="str">
        <f>IFERROR(__xludf.DUMMYFUNCTION("""COMPUTED_VALUE"""),"CO")</f>
        <v>CO</v>
      </c>
      <c r="D113" s="149" t="str">
        <f>IFERROR(__xludf.DUMMYFUNCTION("""COMPUTED_VALUE"""),"USA")</f>
        <v>USA</v>
      </c>
      <c r="E113" s="156">
        <f>IFERROR(__xludf.DUMMYFUNCTION("""COMPUTED_VALUE"""),44463.0)</f>
        <v>44463</v>
      </c>
      <c r="F113" s="129">
        <f>IFERROR(__xludf.DUMMYFUNCTION("""COMPUTED_VALUE"""),44485.0)</f>
        <v>44485</v>
      </c>
      <c r="G113" s="154" t="str">
        <f>IFERROR(__xludf.DUMMYFUNCTION("""COMPUTED_VALUE"""),"Manage order page (normal text)")</f>
        <v>Manage order page (normal text)</v>
      </c>
      <c r="H113" s="131">
        <f>IFERROR(__xludf.DUMMYFUNCTION("""COMPUTED_VALUE"""),91995.0)</f>
        <v>91995</v>
      </c>
      <c r="I113" s="144"/>
      <c r="J113" s="129"/>
      <c r="K113" s="133">
        <f>IFERROR(__xludf.DUMMYFUNCTION("""COMPUTED_VALUE"""),22.0)</f>
        <v>22</v>
      </c>
      <c r="L113" s="133"/>
      <c r="M113" s="133"/>
      <c r="N113" s="152" t="str">
        <f>IFERROR(__xludf.DUMMYFUNCTION("""COMPUTED_VALUE"""),"Model 3 LR AWD")</f>
        <v>Model 3 LR AWD</v>
      </c>
      <c r="O113" s="152" t="str">
        <f>IFERROR(__xludf.DUMMYFUNCTION("""COMPUTED_VALUE"""),"Deep Blue Metallic")</f>
        <v>Deep Blue Metallic</v>
      </c>
      <c r="P113" s="153" t="str">
        <f>IFERROR(__xludf.DUMMYFUNCTION("""COMPUTED_VALUE"""),"18 inch")</f>
        <v>18 inch</v>
      </c>
      <c r="Q113" s="152" t="str">
        <f>IFERROR(__xludf.DUMMYFUNCTION("""COMPUTED_VALUE"""),"All Black")</f>
        <v>All Black</v>
      </c>
      <c r="R113" s="149" t="str">
        <f>IFERROR(__xludf.DUMMYFUNCTION("""COMPUTED_VALUE"""),"Full Self-Driving")</f>
        <v>Full Self-Driving</v>
      </c>
      <c r="S113" s="149" t="str">
        <f>IFERROR(__xludf.DUMMYFUNCTION("""COMPUTED_VALUE"""),"Loan")</f>
        <v>Loan</v>
      </c>
      <c r="T113" s="145"/>
      <c r="U113" s="145"/>
      <c r="V113" s="145"/>
      <c r="W113" s="145"/>
      <c r="X113" s="137"/>
      <c r="Y113" s="138"/>
      <c r="Z113" s="138"/>
      <c r="AA113" s="138"/>
      <c r="AB113" s="138"/>
      <c r="AC113" s="139"/>
      <c r="AD113" s="139"/>
      <c r="AE113" s="139"/>
      <c r="AF113" s="140"/>
      <c r="AG113" s="145"/>
      <c r="AH113" s="157">
        <f>IFERROR(__xludf.DUMMYFUNCTION("""COMPUTED_VALUE"""),44485.44585283565)</f>
        <v>44485.44585</v>
      </c>
      <c r="AI113" s="138"/>
      <c r="AJ113" s="138"/>
      <c r="AK113" s="138"/>
      <c r="AL113" s="142"/>
    </row>
    <row r="114" ht="20.25" customHeight="1">
      <c r="A114" s="155" t="str">
        <f>IFERROR(__xludf.DUMMYFUNCTION("""COMPUTED_VALUE"""),"mapletuesday")</f>
        <v>mapletuesday</v>
      </c>
      <c r="B114" s="149" t="str">
        <f>IFERROR(__xludf.DUMMYFUNCTION("""COMPUTED_VALUE"""),"Pittsburgh ")</f>
        <v>Pittsburgh </v>
      </c>
      <c r="C114" s="149" t="str">
        <f>IFERROR(__xludf.DUMMYFUNCTION("""COMPUTED_VALUE"""),"PA")</f>
        <v>PA</v>
      </c>
      <c r="D114" s="149" t="str">
        <f>IFERROR(__xludf.DUMMYFUNCTION("""COMPUTED_VALUE"""),"USA")</f>
        <v>USA</v>
      </c>
      <c r="E114" s="156">
        <f>IFERROR(__xludf.DUMMYFUNCTION("""COMPUTED_VALUE"""),44463.0)</f>
        <v>44463</v>
      </c>
      <c r="F114" s="129"/>
      <c r="G114" s="154"/>
      <c r="H114" s="131"/>
      <c r="I114" s="132"/>
      <c r="J114" s="129"/>
      <c r="K114" s="133"/>
      <c r="L114" s="133"/>
      <c r="M114" s="133"/>
      <c r="N114" s="152" t="str">
        <f>IFERROR(__xludf.DUMMYFUNCTION("""COMPUTED_VALUE"""),"Model 3 LR AWD")</f>
        <v>Model 3 LR AWD</v>
      </c>
      <c r="O114" s="152" t="str">
        <f>IFERROR(__xludf.DUMMYFUNCTION("""COMPUTED_VALUE"""),"Pearl White Multi-Coat")</f>
        <v>Pearl White Multi-Coat</v>
      </c>
      <c r="P114" s="153" t="str">
        <f>IFERROR(__xludf.DUMMYFUNCTION("""COMPUTED_VALUE"""),"18 inch")</f>
        <v>18 inch</v>
      </c>
      <c r="Q114" s="152" t="str">
        <f>IFERROR(__xludf.DUMMYFUNCTION("""COMPUTED_VALUE"""),"Black and White")</f>
        <v>Black and White</v>
      </c>
      <c r="R114" s="150" t="str">
        <f>IFERROR(__xludf.DUMMYFUNCTION("""COMPUTED_VALUE"""),"Autopilot included")</f>
        <v>Autopilot included</v>
      </c>
      <c r="S114" s="150" t="str">
        <f>IFERROR(__xludf.DUMMYFUNCTION("""COMPUTED_VALUE"""),"Cash")</f>
        <v>Cash</v>
      </c>
      <c r="T114" s="136" t="str">
        <f>IFERROR(__xludf.DUMMYFUNCTION("""COMPUTED_VALUE"""),"F150")</f>
        <v>F150</v>
      </c>
      <c r="U114" s="136" t="str">
        <f>IFERROR(__xludf.DUMMYFUNCTION("""COMPUTED_VALUE"""),"Electric!")</f>
        <v>Electric!</v>
      </c>
      <c r="V114" s="136" t="str">
        <f>IFERROR(__xludf.DUMMYFUNCTION("""COMPUTED_VALUE"""),"360° Bird's eye view")</f>
        <v>360° Bird's eye view</v>
      </c>
      <c r="W114" s="136"/>
      <c r="X114" s="137"/>
      <c r="Y114" s="138"/>
      <c r="Z114" s="138"/>
      <c r="AA114" s="138"/>
      <c r="AB114" s="138"/>
      <c r="AC114" s="139"/>
      <c r="AD114" s="139"/>
      <c r="AE114" s="139"/>
      <c r="AF114" s="140"/>
      <c r="AG114" s="136"/>
      <c r="AH114" s="157">
        <f>IFERROR(__xludf.DUMMYFUNCTION("""COMPUTED_VALUE"""),44471.78563019676)</f>
        <v>44471.78563</v>
      </c>
      <c r="AI114" s="138"/>
      <c r="AJ114" s="138"/>
      <c r="AK114" s="138"/>
      <c r="AL114" s="142"/>
    </row>
    <row r="115" ht="20.25" customHeight="1">
      <c r="A115" s="155" t="str">
        <f>IFERROR(__xludf.DUMMYFUNCTION("""COMPUTED_VALUE"""),"priyapatel975")</f>
        <v>priyapatel975</v>
      </c>
      <c r="B115" s="149" t="str">
        <f>IFERROR(__xludf.DUMMYFUNCTION("""COMPUTED_VALUE"""),"New Jersey")</f>
        <v>New Jersey</v>
      </c>
      <c r="C115" s="149" t="str">
        <f>IFERROR(__xludf.DUMMYFUNCTION("""COMPUTED_VALUE"""),"NJ")</f>
        <v>NJ</v>
      </c>
      <c r="D115" s="149" t="str">
        <f>IFERROR(__xludf.DUMMYFUNCTION("""COMPUTED_VALUE"""),"USA")</f>
        <v>USA</v>
      </c>
      <c r="E115" s="156">
        <f>IFERROR(__xludf.DUMMYFUNCTION("""COMPUTED_VALUE"""),44463.0)</f>
        <v>44463</v>
      </c>
      <c r="F115" s="129"/>
      <c r="G115" s="154"/>
      <c r="H115" s="131"/>
      <c r="I115" s="144"/>
      <c r="J115" s="129"/>
      <c r="K115" s="133"/>
      <c r="L115" s="133"/>
      <c r="M115" s="133"/>
      <c r="N115" s="152" t="str">
        <f>IFERROR(__xludf.DUMMYFUNCTION("""COMPUTED_VALUE"""),"Model 3 LR AWD")</f>
        <v>Model 3 LR AWD</v>
      </c>
      <c r="O115" s="152" t="str">
        <f>IFERROR(__xludf.DUMMYFUNCTION("""COMPUTED_VALUE"""),"Pearl White Multi-Coat")</f>
        <v>Pearl White Multi-Coat</v>
      </c>
      <c r="P115" s="153" t="str">
        <f>IFERROR(__xludf.DUMMYFUNCTION("""COMPUTED_VALUE"""),"18 inch")</f>
        <v>18 inch</v>
      </c>
      <c r="Q115" s="152" t="str">
        <f>IFERROR(__xludf.DUMMYFUNCTION("""COMPUTED_VALUE"""),"Black and White")</f>
        <v>Black and White</v>
      </c>
      <c r="R115" s="149" t="str">
        <f>IFERROR(__xludf.DUMMYFUNCTION("""COMPUTED_VALUE"""),"Autopilot included")</f>
        <v>Autopilot included</v>
      </c>
      <c r="S115" s="149" t="str">
        <f>IFERROR(__xludf.DUMMYFUNCTION("""COMPUTED_VALUE"""),"Loan")</f>
        <v>Loan</v>
      </c>
      <c r="T115" s="145" t="str">
        <f>IFERROR(__xludf.DUMMYFUNCTION("""COMPUTED_VALUE"""),"Model 3 will be my first car!")</f>
        <v>Model 3 will be my first car!</v>
      </c>
      <c r="U115" s="145" t="str">
        <f>IFERROR(__xludf.DUMMYFUNCTION("""COMPUTED_VALUE"""),"Electric!")</f>
        <v>Electric!</v>
      </c>
      <c r="V115" s="145" t="str">
        <f>IFERROR(__xludf.DUMMYFUNCTION("""COMPUTED_VALUE"""),"360° Bird's eye view")</f>
        <v>360° Bird's eye view</v>
      </c>
      <c r="W115" s="145"/>
      <c r="X115" s="137"/>
      <c r="Y115" s="138"/>
      <c r="Z115" s="138"/>
      <c r="AA115" s="138"/>
      <c r="AB115" s="138"/>
      <c r="AC115" s="139"/>
      <c r="AD115" s="139"/>
      <c r="AE115" s="139"/>
      <c r="AF115" s="140"/>
      <c r="AG115" s="145"/>
      <c r="AH115" s="157">
        <f>IFERROR(__xludf.DUMMYFUNCTION("""COMPUTED_VALUE"""),44481.59957116898)</f>
        <v>44481.59957</v>
      </c>
      <c r="AI115" s="138"/>
      <c r="AJ115" s="138"/>
      <c r="AK115" s="138"/>
      <c r="AL115" s="142"/>
    </row>
    <row r="116" ht="20.25" customHeight="1">
      <c r="A116" s="155" t="str">
        <f>IFERROR(__xludf.DUMMYFUNCTION("""COMPUTED_VALUE"""),"Tekraftian")</f>
        <v>Tekraftian</v>
      </c>
      <c r="B116" s="149" t="str">
        <f>IFERROR(__xludf.DUMMYFUNCTION("""COMPUTED_VALUE"""),"Atlanta")</f>
        <v>Atlanta</v>
      </c>
      <c r="C116" s="149" t="str">
        <f>IFERROR(__xludf.DUMMYFUNCTION("""COMPUTED_VALUE"""),"GA")</f>
        <v>GA</v>
      </c>
      <c r="D116" s="149" t="str">
        <f>IFERROR(__xludf.DUMMYFUNCTION("""COMPUTED_VALUE"""),"USA")</f>
        <v>USA</v>
      </c>
      <c r="E116" s="156">
        <f>IFERROR(__xludf.DUMMYFUNCTION("""COMPUTED_VALUE"""),44463.0)</f>
        <v>44463</v>
      </c>
      <c r="F116" s="129">
        <f>IFERROR(__xludf.DUMMYFUNCTION("""COMPUTED_VALUE"""),44484.0)</f>
        <v>44484</v>
      </c>
      <c r="G116" s="154" t="str">
        <f>IFERROR(__xludf.DUMMYFUNCTION("""COMPUTED_VALUE"""),"Manage order page (normal text)")</f>
        <v>Manage order page (normal text)</v>
      </c>
      <c r="H116" s="131"/>
      <c r="I116" s="144"/>
      <c r="J116" s="129">
        <f>IFERROR(__xludf.DUMMYFUNCTION("""COMPUTED_VALUE"""),44503.0)</f>
        <v>44503</v>
      </c>
      <c r="K116" s="133">
        <f>IFERROR(__xludf.DUMMYFUNCTION("""COMPUTED_VALUE"""),21.0)</f>
        <v>21</v>
      </c>
      <c r="L116" s="133">
        <f>IFERROR(__xludf.DUMMYFUNCTION("""COMPUTED_VALUE"""),19.0)</f>
        <v>19</v>
      </c>
      <c r="M116" s="133">
        <f>IFERROR(__xludf.DUMMYFUNCTION("""COMPUTED_VALUE"""),40.0)</f>
        <v>40</v>
      </c>
      <c r="N116" s="152" t="str">
        <f>IFERROR(__xludf.DUMMYFUNCTION("""COMPUTED_VALUE"""),"Model 3 SR+")</f>
        <v>Model 3 SR+</v>
      </c>
      <c r="O116" s="152" t="str">
        <f>IFERROR(__xludf.DUMMYFUNCTION("""COMPUTED_VALUE"""),"Pearl White Multi-Coat")</f>
        <v>Pearl White Multi-Coat</v>
      </c>
      <c r="P116" s="153" t="str">
        <f>IFERROR(__xludf.DUMMYFUNCTION("""COMPUTED_VALUE"""),"18 inch")</f>
        <v>18 inch</v>
      </c>
      <c r="Q116" s="152" t="str">
        <f>IFERROR(__xludf.DUMMYFUNCTION("""COMPUTED_VALUE"""),"Black and White")</f>
        <v>Black and White</v>
      </c>
      <c r="R116" s="149" t="str">
        <f>IFERROR(__xludf.DUMMYFUNCTION("""COMPUTED_VALUE"""),"Full Self-Driving")</f>
        <v>Full Self-Driving</v>
      </c>
      <c r="S116" s="149" t="str">
        <f>IFERROR(__xludf.DUMMYFUNCTION("""COMPUTED_VALUE"""),"Cash")</f>
        <v>Cash</v>
      </c>
      <c r="T116" s="145" t="str">
        <f>IFERROR(__xludf.DUMMYFUNCTION("""COMPUTED_VALUE"""),"Model 3 will be my first car!")</f>
        <v>Model 3 will be my first car!</v>
      </c>
      <c r="U116" s="145" t="str">
        <f>IFERROR(__xludf.DUMMYFUNCTION("""COMPUTED_VALUE"""),"Autopilot")</f>
        <v>Autopilot</v>
      </c>
      <c r="V116" s="145" t="str">
        <f>IFERROR(__xludf.DUMMYFUNCTION("""COMPUTED_VALUE"""),"360° Bird's eye view")</f>
        <v>360° Bird's eye view</v>
      </c>
      <c r="W116" s="136"/>
      <c r="X116" s="137"/>
      <c r="Y116" s="138"/>
      <c r="Z116" s="138"/>
      <c r="AA116" s="138"/>
      <c r="AB116" s="138"/>
      <c r="AC116" s="139"/>
      <c r="AD116" s="139"/>
      <c r="AE116" s="139"/>
      <c r="AF116" s="140"/>
      <c r="AG116" s="136"/>
      <c r="AH116" s="157">
        <f>IFERROR(__xludf.DUMMYFUNCTION("""COMPUTED_VALUE"""),44501.50890966435)</f>
        <v>44501.50891</v>
      </c>
      <c r="AI116" s="138"/>
      <c r="AJ116" s="138"/>
      <c r="AK116" s="138"/>
      <c r="AL116" s="142"/>
    </row>
    <row r="117" ht="20.25" customHeight="1">
      <c r="A117" s="155" t="str">
        <f>IFERROR(__xludf.DUMMYFUNCTION("""COMPUTED_VALUE"""),"wassct")</f>
        <v>wassct</v>
      </c>
      <c r="B117" s="149" t="str">
        <f>IFERROR(__xludf.DUMMYFUNCTION("""COMPUTED_VALUE"""),"Milford")</f>
        <v>Milford</v>
      </c>
      <c r="C117" s="149" t="str">
        <f>IFERROR(__xludf.DUMMYFUNCTION("""COMPUTED_VALUE"""),"CT")</f>
        <v>CT</v>
      </c>
      <c r="D117" s="149" t="str">
        <f>IFERROR(__xludf.DUMMYFUNCTION("""COMPUTED_VALUE"""),"USA")</f>
        <v>USA</v>
      </c>
      <c r="E117" s="156">
        <f>IFERROR(__xludf.DUMMYFUNCTION("""COMPUTED_VALUE"""),44463.0)</f>
        <v>44463</v>
      </c>
      <c r="F117" s="129"/>
      <c r="G117" s="154"/>
      <c r="H117" s="131"/>
      <c r="I117" s="144"/>
      <c r="J117" s="129"/>
      <c r="K117" s="133"/>
      <c r="L117" s="133"/>
      <c r="M117" s="133"/>
      <c r="N117" s="152" t="str">
        <f>IFERROR(__xludf.DUMMYFUNCTION("""COMPUTED_VALUE"""),"Model 3 SR+")</f>
        <v>Model 3 SR+</v>
      </c>
      <c r="O117" s="152" t="str">
        <f>IFERROR(__xludf.DUMMYFUNCTION("""COMPUTED_VALUE"""),"Pearl White Multi-Coat")</f>
        <v>Pearl White Multi-Coat</v>
      </c>
      <c r="P117" s="153" t="str">
        <f>IFERROR(__xludf.DUMMYFUNCTION("""COMPUTED_VALUE"""),"18 inch")</f>
        <v>18 inch</v>
      </c>
      <c r="Q117" s="152" t="str">
        <f>IFERROR(__xludf.DUMMYFUNCTION("""COMPUTED_VALUE"""),"Black and White")</f>
        <v>Black and White</v>
      </c>
      <c r="R117" s="149" t="str">
        <f>IFERROR(__xludf.DUMMYFUNCTION("""COMPUTED_VALUE"""),"Autopilot included")</f>
        <v>Autopilot included</v>
      </c>
      <c r="S117" s="149" t="str">
        <f>IFERROR(__xludf.DUMMYFUNCTION("""COMPUTED_VALUE"""),"Loan")</f>
        <v>Loan</v>
      </c>
      <c r="T117" s="145" t="str">
        <f>IFERROR(__xludf.DUMMYFUNCTION("""COMPUTED_VALUE"""),"Chevy Volt")</f>
        <v>Chevy Volt</v>
      </c>
      <c r="U117" s="145" t="str">
        <f>IFERROR(__xludf.DUMMYFUNCTION("""COMPUTED_VALUE"""),"Electric!")</f>
        <v>Electric!</v>
      </c>
      <c r="V117" s="145" t="str">
        <f>IFERROR(__xludf.DUMMYFUNCTION("""COMPUTED_VALUE"""),"Blind spot indicators on side mirrors")</f>
        <v>Blind spot indicators on side mirrors</v>
      </c>
      <c r="W117" s="136"/>
      <c r="X117" s="137"/>
      <c r="Y117" s="138"/>
      <c r="Z117" s="138"/>
      <c r="AA117" s="138"/>
      <c r="AB117" s="138"/>
      <c r="AC117" s="139"/>
      <c r="AD117" s="139"/>
      <c r="AE117" s="139"/>
      <c r="AF117" s="140"/>
      <c r="AG117" s="136"/>
      <c r="AH117" s="157">
        <f>IFERROR(__xludf.DUMMYFUNCTION("""COMPUTED_VALUE"""),44482.80526288195)</f>
        <v>44482.80526</v>
      </c>
      <c r="AI117" s="138"/>
      <c r="AJ117" s="138"/>
      <c r="AK117" s="138"/>
      <c r="AL117" s="142"/>
    </row>
    <row r="118" ht="20.25" customHeight="1">
      <c r="A118" s="155" t="str">
        <f>IFERROR(__xludf.DUMMYFUNCTION("""COMPUTED_VALUE"""),"atrelix")</f>
        <v>atrelix</v>
      </c>
      <c r="B118" s="149" t="str">
        <f>IFERROR(__xludf.DUMMYFUNCTION("""COMPUTED_VALUE"""),"Philadelphia")</f>
        <v>Philadelphia</v>
      </c>
      <c r="C118" s="149" t="str">
        <f>IFERROR(__xludf.DUMMYFUNCTION("""COMPUTED_VALUE"""),"PA")</f>
        <v>PA</v>
      </c>
      <c r="D118" s="149" t="str">
        <f>IFERROR(__xludf.DUMMYFUNCTION("""COMPUTED_VALUE"""),"USA")</f>
        <v>USA</v>
      </c>
      <c r="E118" s="156">
        <f>IFERROR(__xludf.DUMMYFUNCTION("""COMPUTED_VALUE"""),44462.0)</f>
        <v>44462</v>
      </c>
      <c r="F118" s="129"/>
      <c r="G118" s="154"/>
      <c r="H118" s="131"/>
      <c r="I118" s="144"/>
      <c r="J118" s="129"/>
      <c r="K118" s="133"/>
      <c r="L118" s="133"/>
      <c r="M118" s="133"/>
      <c r="N118" s="152" t="str">
        <f>IFERROR(__xludf.DUMMYFUNCTION("""COMPUTED_VALUE"""),"Model 3 LR AWD")</f>
        <v>Model 3 LR AWD</v>
      </c>
      <c r="O118" s="152" t="str">
        <f>IFERROR(__xludf.DUMMYFUNCTION("""COMPUTED_VALUE"""),"Deep Blue Metallic")</f>
        <v>Deep Blue Metallic</v>
      </c>
      <c r="P118" s="153" t="str">
        <f>IFERROR(__xludf.DUMMYFUNCTION("""COMPUTED_VALUE"""),"18 inch")</f>
        <v>18 inch</v>
      </c>
      <c r="Q118" s="152" t="str">
        <f>IFERROR(__xludf.DUMMYFUNCTION("""COMPUTED_VALUE"""),"Black and White")</f>
        <v>Black and White</v>
      </c>
      <c r="R118" s="149" t="str">
        <f>IFERROR(__xludf.DUMMYFUNCTION("""COMPUTED_VALUE"""),"Autopilot included")</f>
        <v>Autopilot included</v>
      </c>
      <c r="S118" s="149" t="str">
        <f>IFERROR(__xludf.DUMMYFUNCTION("""COMPUTED_VALUE"""),"Loan")</f>
        <v>Loan</v>
      </c>
      <c r="T118" s="145" t="str">
        <f>IFERROR(__xludf.DUMMYFUNCTION("""COMPUTED_VALUE"""),"Honda Insight")</f>
        <v>Honda Insight</v>
      </c>
      <c r="U118" s="145" t="str">
        <f>IFERROR(__xludf.DUMMYFUNCTION("""COMPUTED_VALUE"""),"Electric!")</f>
        <v>Electric!</v>
      </c>
      <c r="V118" s="145" t="str">
        <f>IFERROR(__xludf.DUMMYFUNCTION("""COMPUTED_VALUE"""),"Air suspension")</f>
        <v>Air suspension</v>
      </c>
      <c r="W118" s="136"/>
      <c r="X118" s="137"/>
      <c r="Y118" s="138"/>
      <c r="Z118" s="138"/>
      <c r="AA118" s="138"/>
      <c r="AB118" s="138"/>
      <c r="AC118" s="139"/>
      <c r="AD118" s="139"/>
      <c r="AE118" s="139"/>
      <c r="AF118" s="140"/>
      <c r="AG118" s="136"/>
      <c r="AH118" s="157">
        <f>IFERROR(__xludf.DUMMYFUNCTION("""COMPUTED_VALUE"""),44482.89171077546)</f>
        <v>44482.89171</v>
      </c>
      <c r="AI118" s="138"/>
      <c r="AJ118" s="138"/>
      <c r="AK118" s="138"/>
      <c r="AL118" s="142"/>
    </row>
    <row r="119" ht="20.25" customHeight="1">
      <c r="A119" s="155" t="str">
        <f>IFERROR(__xludf.DUMMYFUNCTION("""COMPUTED_VALUE"""),"g235")</f>
        <v>g235</v>
      </c>
      <c r="B119" s="149" t="str">
        <f>IFERROR(__xludf.DUMMYFUNCTION("""COMPUTED_VALUE"""),"Olney")</f>
        <v>Olney</v>
      </c>
      <c r="C119" s="149" t="str">
        <f>IFERROR(__xludf.DUMMYFUNCTION("""COMPUTED_VALUE"""),"MD")</f>
        <v>MD</v>
      </c>
      <c r="D119" s="149" t="str">
        <f>IFERROR(__xludf.DUMMYFUNCTION("""COMPUTED_VALUE"""),"USA")</f>
        <v>USA</v>
      </c>
      <c r="E119" s="156">
        <f>IFERROR(__xludf.DUMMYFUNCTION("""COMPUTED_VALUE"""),44462.0)</f>
        <v>44462</v>
      </c>
      <c r="F119" s="129"/>
      <c r="G119" s="154"/>
      <c r="H119" s="131"/>
      <c r="I119" s="144"/>
      <c r="J119" s="129"/>
      <c r="K119" s="133"/>
      <c r="L119" s="133"/>
      <c r="M119" s="133"/>
      <c r="N119" s="152" t="str">
        <f>IFERROR(__xludf.DUMMYFUNCTION("""COMPUTED_VALUE"""),"Model 3 LR AWD")</f>
        <v>Model 3 LR AWD</v>
      </c>
      <c r="O119" s="152" t="str">
        <f>IFERROR(__xludf.DUMMYFUNCTION("""COMPUTED_VALUE"""),"Deep Blue Metallic")</f>
        <v>Deep Blue Metallic</v>
      </c>
      <c r="P119" s="153" t="str">
        <f>IFERROR(__xludf.DUMMYFUNCTION("""COMPUTED_VALUE"""),"18 inch")</f>
        <v>18 inch</v>
      </c>
      <c r="Q119" s="152" t="str">
        <f>IFERROR(__xludf.DUMMYFUNCTION("""COMPUTED_VALUE"""),"All Black")</f>
        <v>All Black</v>
      </c>
      <c r="R119" s="149" t="str">
        <f>IFERROR(__xludf.DUMMYFUNCTION("""COMPUTED_VALUE"""),"Autopilot included")</f>
        <v>Autopilot included</v>
      </c>
      <c r="S119" s="149" t="str">
        <f>IFERROR(__xludf.DUMMYFUNCTION("""COMPUTED_VALUE"""),"Lease")</f>
        <v>Lease</v>
      </c>
      <c r="T119" s="145" t="str">
        <f>IFERROR(__xludf.DUMMYFUNCTION("""COMPUTED_VALUE"""),"Jeep Grand Cherokee")</f>
        <v>Jeep Grand Cherokee</v>
      </c>
      <c r="U119" s="145" t="str">
        <f>IFERROR(__xludf.DUMMYFUNCTION("""COMPUTED_VALUE"""),"Electric!")</f>
        <v>Electric!</v>
      </c>
      <c r="V119" s="145" t="str">
        <f>IFERROR(__xludf.DUMMYFUNCTION("""COMPUTED_VALUE"""),"Apple CarPlay / Android Auto / SiriusXM Radio")</f>
        <v>Apple CarPlay / Android Auto / SiriusXM Radio</v>
      </c>
      <c r="W119" s="145"/>
      <c r="X119" s="137"/>
      <c r="Y119" s="138"/>
      <c r="Z119" s="138"/>
      <c r="AA119" s="138"/>
      <c r="AB119" s="138"/>
      <c r="AC119" s="139"/>
      <c r="AD119" s="139"/>
      <c r="AE119" s="139"/>
      <c r="AF119" s="140"/>
      <c r="AG119" s="145"/>
      <c r="AH119" s="157">
        <f>IFERROR(__xludf.DUMMYFUNCTION("""COMPUTED_VALUE"""),44466.74695479166)</f>
        <v>44466.74695</v>
      </c>
      <c r="AI119" s="138"/>
      <c r="AJ119" s="138"/>
      <c r="AK119" s="138"/>
      <c r="AL119" s="142"/>
    </row>
    <row r="120" ht="20.25" customHeight="1">
      <c r="A120" s="155" t="str">
        <f>IFERROR(__xludf.DUMMYFUNCTION("""COMPUTED_VALUE"""),"Washout")</f>
        <v>Washout</v>
      </c>
      <c r="B120" s="149"/>
      <c r="C120" s="149"/>
      <c r="D120" s="149" t="str">
        <f>IFERROR(__xludf.DUMMYFUNCTION("""COMPUTED_VALUE"""),"United Kingdom")</f>
        <v>United Kingdom</v>
      </c>
      <c r="E120" s="156">
        <f>IFERROR(__xludf.DUMMYFUNCTION("""COMPUTED_VALUE"""),44462.0)</f>
        <v>44462</v>
      </c>
      <c r="F120" s="129"/>
      <c r="G120" s="154"/>
      <c r="H120" s="131"/>
      <c r="I120" s="144"/>
      <c r="J120" s="129"/>
      <c r="K120" s="133"/>
      <c r="L120" s="133"/>
      <c r="M120" s="133"/>
      <c r="N120" s="152" t="str">
        <f>IFERROR(__xludf.DUMMYFUNCTION("""COMPUTED_VALUE"""),"Model 3 LR AWD")</f>
        <v>Model 3 LR AWD</v>
      </c>
      <c r="O120" s="152" t="str">
        <f>IFERROR(__xludf.DUMMYFUNCTION("""COMPUTED_VALUE"""),"Midnight Silver Metallic")</f>
        <v>Midnight Silver Metallic</v>
      </c>
      <c r="P120" s="153" t="str">
        <f>IFERROR(__xludf.DUMMYFUNCTION("""COMPUTED_VALUE"""),"19 inch")</f>
        <v>19 inch</v>
      </c>
      <c r="Q120" s="152" t="str">
        <f>IFERROR(__xludf.DUMMYFUNCTION("""COMPUTED_VALUE"""),"All Black")</f>
        <v>All Black</v>
      </c>
      <c r="R120" s="149" t="str">
        <f>IFERROR(__xludf.DUMMYFUNCTION("""COMPUTED_VALUE"""),"Autopilot included")</f>
        <v>Autopilot included</v>
      </c>
      <c r="S120" s="149" t="str">
        <f>IFERROR(__xludf.DUMMYFUNCTION("""COMPUTED_VALUE"""),"Loan")</f>
        <v>Loan</v>
      </c>
      <c r="T120" s="145" t="str">
        <f>IFERROR(__xludf.DUMMYFUNCTION("""COMPUTED_VALUE"""),"Jaguar F-Pace")</f>
        <v>Jaguar F-Pace</v>
      </c>
      <c r="U120" s="145" t="str">
        <f>IFERROR(__xludf.DUMMYFUNCTION("""COMPUTED_VALUE"""),"Electric!")</f>
        <v>Electric!</v>
      </c>
      <c r="V120" s="145" t="str">
        <f>IFERROR(__xludf.DUMMYFUNCTION("""COMPUTED_VALUE"""),"Head-up display")</f>
        <v>Head-up display</v>
      </c>
      <c r="W120" s="145"/>
      <c r="X120" s="137"/>
      <c r="Y120" s="138"/>
      <c r="Z120" s="138"/>
      <c r="AA120" s="138"/>
      <c r="AB120" s="138"/>
      <c r="AC120" s="139"/>
      <c r="AD120" s="139"/>
      <c r="AE120" s="139"/>
      <c r="AF120" s="140"/>
      <c r="AG120" s="145"/>
      <c r="AH120" s="157">
        <f>IFERROR(__xludf.DUMMYFUNCTION("""COMPUTED_VALUE"""),44466.056819861114)</f>
        <v>44466.05682</v>
      </c>
      <c r="AI120" s="138"/>
      <c r="AJ120" s="138"/>
      <c r="AK120" s="138"/>
      <c r="AL120" s="142"/>
    </row>
    <row r="121" ht="20.25" customHeight="1">
      <c r="A121" s="155" t="str">
        <f>IFERROR(__xludf.DUMMYFUNCTION("""COMPUTED_VALUE"""),"dfm3")</f>
        <v>dfm3</v>
      </c>
      <c r="B121" s="149"/>
      <c r="C121" s="149" t="str">
        <f>IFERROR(__xludf.DUMMYFUNCTION("""COMPUTED_VALUE"""),"TX")</f>
        <v>TX</v>
      </c>
      <c r="D121" s="149" t="str">
        <f>IFERROR(__xludf.DUMMYFUNCTION("""COMPUTED_VALUE"""),"USA")</f>
        <v>USA</v>
      </c>
      <c r="E121" s="156">
        <f>IFERROR(__xludf.DUMMYFUNCTION("""COMPUTED_VALUE"""),44460.0)</f>
        <v>44460</v>
      </c>
      <c r="F121" s="129"/>
      <c r="G121" s="154"/>
      <c r="H121" s="131"/>
      <c r="I121" s="144"/>
      <c r="J121" s="129"/>
      <c r="K121" s="133"/>
      <c r="L121" s="133"/>
      <c r="M121" s="133"/>
      <c r="N121" s="152" t="str">
        <f>IFERROR(__xludf.DUMMYFUNCTION("""COMPUTED_VALUE"""),"Model 3 SR+")</f>
        <v>Model 3 SR+</v>
      </c>
      <c r="O121" s="152" t="str">
        <f>IFERROR(__xludf.DUMMYFUNCTION("""COMPUTED_VALUE"""),"Pearl White Multi-Coat")</f>
        <v>Pearl White Multi-Coat</v>
      </c>
      <c r="P121" s="153" t="str">
        <f>IFERROR(__xludf.DUMMYFUNCTION("""COMPUTED_VALUE"""),"18 inch")</f>
        <v>18 inch</v>
      </c>
      <c r="Q121" s="152" t="str">
        <f>IFERROR(__xludf.DUMMYFUNCTION("""COMPUTED_VALUE"""),"Black and White")</f>
        <v>Black and White</v>
      </c>
      <c r="R121" s="149" t="str">
        <f>IFERROR(__xludf.DUMMYFUNCTION("""COMPUTED_VALUE"""),"Autopilot included")</f>
        <v>Autopilot included</v>
      </c>
      <c r="S121" s="149" t="str">
        <f>IFERROR(__xludf.DUMMYFUNCTION("""COMPUTED_VALUE"""),"Loan")</f>
        <v>Loan</v>
      </c>
      <c r="T121" s="145" t="str">
        <f>IFERROR(__xludf.DUMMYFUNCTION("""COMPUTED_VALUE"""),"Toyota Camry")</f>
        <v>Toyota Camry</v>
      </c>
      <c r="U121" s="145" t="str">
        <f>IFERROR(__xludf.DUMMYFUNCTION("""COMPUTED_VALUE"""),"Electric!")</f>
        <v>Electric!</v>
      </c>
      <c r="V121" s="145" t="str">
        <f>IFERROR(__xludf.DUMMYFUNCTION("""COMPUTED_VALUE"""),"Head-up display")</f>
        <v>Head-up display</v>
      </c>
      <c r="W121" s="145"/>
      <c r="X121" s="137"/>
      <c r="Y121" s="138"/>
      <c r="Z121" s="138"/>
      <c r="AA121" s="138"/>
      <c r="AB121" s="138"/>
      <c r="AC121" s="139"/>
      <c r="AD121" s="139"/>
      <c r="AE121" s="139"/>
      <c r="AF121" s="140"/>
      <c r="AG121" s="145"/>
      <c r="AH121" s="157">
        <f>IFERROR(__xludf.DUMMYFUNCTION("""COMPUTED_VALUE"""),44480.80708756945)</f>
        <v>44480.80709</v>
      </c>
      <c r="AI121" s="138"/>
      <c r="AJ121" s="138"/>
      <c r="AK121" s="138"/>
      <c r="AL121" s="142"/>
    </row>
    <row r="122" ht="20.25" customHeight="1">
      <c r="A122" s="155" t="str">
        <f>IFERROR(__xludf.DUMMYFUNCTION("""COMPUTED_VALUE"""),"fati06070607")</f>
        <v>fati06070607</v>
      </c>
      <c r="B122" s="149" t="str">
        <f>IFERROR(__xludf.DUMMYFUNCTION("""COMPUTED_VALUE"""),"Los Angeles")</f>
        <v>Los Angeles</v>
      </c>
      <c r="C122" s="149" t="str">
        <f>IFERROR(__xludf.DUMMYFUNCTION("""COMPUTED_VALUE"""),"CA")</f>
        <v>CA</v>
      </c>
      <c r="D122" s="149" t="str">
        <f>IFERROR(__xludf.DUMMYFUNCTION("""COMPUTED_VALUE"""),"USA")</f>
        <v>USA</v>
      </c>
      <c r="E122" s="156">
        <f>IFERROR(__xludf.DUMMYFUNCTION("""COMPUTED_VALUE"""),44460.0)</f>
        <v>44460</v>
      </c>
      <c r="F122" s="129"/>
      <c r="G122" s="154"/>
      <c r="H122" s="131"/>
      <c r="I122" s="144"/>
      <c r="J122" s="129"/>
      <c r="K122" s="133"/>
      <c r="L122" s="133"/>
      <c r="M122" s="133"/>
      <c r="N122" s="152" t="str">
        <f>IFERROR(__xludf.DUMMYFUNCTION("""COMPUTED_VALUE"""),"Model 3 LR AWD")</f>
        <v>Model 3 LR AWD</v>
      </c>
      <c r="O122" s="152" t="str">
        <f>IFERROR(__xludf.DUMMYFUNCTION("""COMPUTED_VALUE"""),"Pearl White Multi-Coat")</f>
        <v>Pearl White Multi-Coat</v>
      </c>
      <c r="P122" s="153" t="str">
        <f>IFERROR(__xludf.DUMMYFUNCTION("""COMPUTED_VALUE"""),"19 inch")</f>
        <v>19 inch</v>
      </c>
      <c r="Q122" s="152" t="str">
        <f>IFERROR(__xludf.DUMMYFUNCTION("""COMPUTED_VALUE"""),"All Black")</f>
        <v>All Black</v>
      </c>
      <c r="R122" s="149" t="str">
        <f>IFERROR(__xludf.DUMMYFUNCTION("""COMPUTED_VALUE"""),"Autopilot included")</f>
        <v>Autopilot included</v>
      </c>
      <c r="S122" s="149" t="str">
        <f>IFERROR(__xludf.DUMMYFUNCTION("""COMPUTED_VALUE"""),"Cash")</f>
        <v>Cash</v>
      </c>
      <c r="T122" s="145" t="str">
        <f>IFERROR(__xludf.DUMMYFUNCTION("""COMPUTED_VALUE"""),"Honda Accord")</f>
        <v>Honda Accord</v>
      </c>
      <c r="U122" s="145" t="str">
        <f>IFERROR(__xludf.DUMMYFUNCTION("""COMPUTED_VALUE"""),"All-glass roof")</f>
        <v>All-glass roof</v>
      </c>
      <c r="V122" s="145" t="str">
        <f>IFERROR(__xludf.DUMMYFUNCTION("""COMPUTED_VALUE"""),"Blind spot indicators on side mirrors")</f>
        <v>Blind spot indicators on side mirrors</v>
      </c>
      <c r="W122" s="136"/>
      <c r="X122" s="137"/>
      <c r="Y122" s="138"/>
      <c r="Z122" s="138"/>
      <c r="AA122" s="138"/>
      <c r="AB122" s="138"/>
      <c r="AC122" s="139"/>
      <c r="AD122" s="139"/>
      <c r="AE122" s="139"/>
      <c r="AF122" s="140"/>
      <c r="AG122" s="136"/>
      <c r="AH122" s="157">
        <f>IFERROR(__xludf.DUMMYFUNCTION("""COMPUTED_VALUE"""),44481.68498251157)</f>
        <v>44481.68498</v>
      </c>
      <c r="AI122" s="138"/>
      <c r="AJ122" s="138"/>
      <c r="AK122" s="138"/>
      <c r="AL122" s="142"/>
    </row>
    <row r="123" ht="20.25" customHeight="1">
      <c r="A123" s="155" t="str">
        <f>IFERROR(__xludf.DUMMYFUNCTION("""COMPUTED_VALUE"""),"pumped4M3")</f>
        <v>pumped4M3</v>
      </c>
      <c r="B123" s="149" t="str">
        <f>IFERROR(__xludf.DUMMYFUNCTION("""COMPUTED_VALUE"""),"Boston")</f>
        <v>Boston</v>
      </c>
      <c r="C123" s="149" t="str">
        <f>IFERROR(__xludf.DUMMYFUNCTION("""COMPUTED_VALUE"""),"MA")</f>
        <v>MA</v>
      </c>
      <c r="D123" s="149" t="str">
        <f>IFERROR(__xludf.DUMMYFUNCTION("""COMPUTED_VALUE"""),"USA")</f>
        <v>USA</v>
      </c>
      <c r="E123" s="156">
        <f>IFERROR(__xludf.DUMMYFUNCTION("""COMPUTED_VALUE"""),44460.0)</f>
        <v>44460</v>
      </c>
      <c r="F123" s="129"/>
      <c r="G123" s="154"/>
      <c r="H123" s="131"/>
      <c r="I123" s="132"/>
      <c r="J123" s="129"/>
      <c r="K123" s="133"/>
      <c r="L123" s="133"/>
      <c r="M123" s="133"/>
      <c r="N123" s="152" t="str">
        <f>IFERROR(__xludf.DUMMYFUNCTION("""COMPUTED_VALUE"""),"Model 3 LR AWD")</f>
        <v>Model 3 LR AWD</v>
      </c>
      <c r="O123" s="152" t="str">
        <f>IFERROR(__xludf.DUMMYFUNCTION("""COMPUTED_VALUE"""),"Pearl White Multi-Coat")</f>
        <v>Pearl White Multi-Coat</v>
      </c>
      <c r="P123" s="153" t="str">
        <f>IFERROR(__xludf.DUMMYFUNCTION("""COMPUTED_VALUE"""),"18 inch")</f>
        <v>18 inch</v>
      </c>
      <c r="Q123" s="152" t="str">
        <f>IFERROR(__xludf.DUMMYFUNCTION("""COMPUTED_VALUE"""),"All Black")</f>
        <v>All Black</v>
      </c>
      <c r="R123" s="150" t="str">
        <f>IFERROR(__xludf.DUMMYFUNCTION("""COMPUTED_VALUE"""),"Autopilot included")</f>
        <v>Autopilot included</v>
      </c>
      <c r="S123" s="150" t="str">
        <f>IFERROR(__xludf.DUMMYFUNCTION("""COMPUTED_VALUE"""),"Loan")</f>
        <v>Loan</v>
      </c>
      <c r="T123" s="136" t="str">
        <f>IFERROR(__xludf.DUMMYFUNCTION("""COMPUTED_VALUE"""),"Model 3 will be my first car!")</f>
        <v>Model 3 will be my first car!</v>
      </c>
      <c r="U123" s="136" t="str">
        <f>IFERROR(__xludf.DUMMYFUNCTION("""COMPUTED_VALUE"""),"Electric!")</f>
        <v>Electric!</v>
      </c>
      <c r="V123" s="136" t="str">
        <f>IFERROR(__xludf.DUMMYFUNCTION("""COMPUTED_VALUE"""),"Dashboard")</f>
        <v>Dashboard</v>
      </c>
      <c r="W123" s="136"/>
      <c r="X123" s="137"/>
      <c r="Y123" s="138"/>
      <c r="Z123" s="138"/>
      <c r="AA123" s="138"/>
      <c r="AB123" s="138"/>
      <c r="AC123" s="139"/>
      <c r="AD123" s="139"/>
      <c r="AE123" s="139"/>
      <c r="AF123" s="140"/>
      <c r="AG123" s="136"/>
      <c r="AH123" s="157">
        <f>IFERROR(__xludf.DUMMYFUNCTION("""COMPUTED_VALUE"""),44474.067417858794)</f>
        <v>44474.06742</v>
      </c>
      <c r="AI123" s="138"/>
      <c r="AJ123" s="138"/>
      <c r="AK123" s="138"/>
      <c r="AL123" s="142"/>
    </row>
    <row r="124" ht="20.25" customHeight="1">
      <c r="A124" s="155" t="str">
        <f>IFERROR(__xludf.DUMMYFUNCTION("""COMPUTED_VALUE"""),"akitainu")</f>
        <v>akitainu</v>
      </c>
      <c r="B124" s="149" t="str">
        <f>IFERROR(__xludf.DUMMYFUNCTION("""COMPUTED_VALUE"""),"Redmond")</f>
        <v>Redmond</v>
      </c>
      <c r="C124" s="149" t="str">
        <f>IFERROR(__xludf.DUMMYFUNCTION("""COMPUTED_VALUE"""),"WA")</f>
        <v>WA</v>
      </c>
      <c r="D124" s="149" t="str">
        <f>IFERROR(__xludf.DUMMYFUNCTION("""COMPUTED_VALUE"""),"USA")</f>
        <v>USA</v>
      </c>
      <c r="E124" s="156">
        <f>IFERROR(__xludf.DUMMYFUNCTION("""COMPUTED_VALUE"""),44458.0)</f>
        <v>44458</v>
      </c>
      <c r="F124" s="129"/>
      <c r="G124" s="154"/>
      <c r="H124" s="131"/>
      <c r="I124" s="144"/>
      <c r="J124" s="129"/>
      <c r="K124" s="133"/>
      <c r="L124" s="133"/>
      <c r="M124" s="133"/>
      <c r="N124" s="152" t="str">
        <f>IFERROR(__xludf.DUMMYFUNCTION("""COMPUTED_VALUE"""),"Model 3 SR+")</f>
        <v>Model 3 SR+</v>
      </c>
      <c r="O124" s="152" t="str">
        <f>IFERROR(__xludf.DUMMYFUNCTION("""COMPUTED_VALUE"""),"Pearl White Multi-Coat")</f>
        <v>Pearl White Multi-Coat</v>
      </c>
      <c r="P124" s="153" t="str">
        <f>IFERROR(__xludf.DUMMYFUNCTION("""COMPUTED_VALUE"""),"18 inch")</f>
        <v>18 inch</v>
      </c>
      <c r="Q124" s="152" t="str">
        <f>IFERROR(__xludf.DUMMYFUNCTION("""COMPUTED_VALUE"""),"All Black")</f>
        <v>All Black</v>
      </c>
      <c r="R124" s="149" t="str">
        <f>IFERROR(__xludf.DUMMYFUNCTION("""COMPUTED_VALUE"""),"Autopilot included")</f>
        <v>Autopilot included</v>
      </c>
      <c r="S124" s="149" t="str">
        <f>IFERROR(__xludf.DUMMYFUNCTION("""COMPUTED_VALUE"""),"Cash")</f>
        <v>Cash</v>
      </c>
      <c r="T124" s="145" t="str">
        <f>IFERROR(__xludf.DUMMYFUNCTION("""COMPUTED_VALUE"""),"Subaru Crosstrek")</f>
        <v>Subaru Crosstrek</v>
      </c>
      <c r="U124" s="145" t="str">
        <f>IFERROR(__xludf.DUMMYFUNCTION("""COMPUTED_VALUE"""),"Electric!")</f>
        <v>Electric!</v>
      </c>
      <c r="V124" s="145" t="str">
        <f>IFERROR(__xludf.DUMMYFUNCTION("""COMPUTED_VALUE"""),"360° Bird's eye view")</f>
        <v>360° Bird's eye view</v>
      </c>
      <c r="W124" s="136"/>
      <c r="X124" s="137"/>
      <c r="Y124" s="138"/>
      <c r="Z124" s="138"/>
      <c r="AA124" s="138"/>
      <c r="AB124" s="138"/>
      <c r="AC124" s="139"/>
      <c r="AD124" s="139"/>
      <c r="AE124" s="139"/>
      <c r="AF124" s="140"/>
      <c r="AG124" s="136"/>
      <c r="AH124" s="157">
        <f>IFERROR(__xludf.DUMMYFUNCTION("""COMPUTED_VALUE"""),44462.63789893519)</f>
        <v>44462.6379</v>
      </c>
      <c r="AI124" s="138"/>
      <c r="AJ124" s="138"/>
      <c r="AK124" s="138"/>
      <c r="AL124" s="142"/>
    </row>
    <row r="125" ht="20.25" customHeight="1">
      <c r="A125" s="155" t="str">
        <f>IFERROR(__xludf.DUMMYFUNCTION("""COMPUTED_VALUE"""),"JC919")</f>
        <v>JC919</v>
      </c>
      <c r="B125" s="149" t="str">
        <f>IFERROR(__xludf.DUMMYFUNCTION("""COMPUTED_VALUE"""),"Raleigh ")</f>
        <v>Raleigh </v>
      </c>
      <c r="C125" s="149" t="str">
        <f>IFERROR(__xludf.DUMMYFUNCTION("""COMPUTED_VALUE"""),"NC")</f>
        <v>NC</v>
      </c>
      <c r="D125" s="149" t="str">
        <f>IFERROR(__xludf.DUMMYFUNCTION("""COMPUTED_VALUE"""),"USA")</f>
        <v>USA</v>
      </c>
      <c r="E125" s="156">
        <f>IFERROR(__xludf.DUMMYFUNCTION("""COMPUTED_VALUE"""),44458.0)</f>
        <v>44458</v>
      </c>
      <c r="F125" s="129">
        <f>IFERROR(__xludf.DUMMYFUNCTION("""COMPUTED_VALUE"""),44508.0)</f>
        <v>44508</v>
      </c>
      <c r="G125" s="154" t="str">
        <f>IFERROR(__xludf.DUMMYFUNCTION("""COMPUTED_VALUE"""),"Manage order page (normal text)")</f>
        <v>Manage order page (normal text)</v>
      </c>
      <c r="H125" s="131">
        <f>IFERROR(__xludf.DUMMYFUNCTION("""COMPUTED_VALUE"""),102365.0)</f>
        <v>102365</v>
      </c>
      <c r="I125" s="144"/>
      <c r="J125" s="129"/>
      <c r="K125" s="133">
        <f>IFERROR(__xludf.DUMMYFUNCTION("""COMPUTED_VALUE"""),50.0)</f>
        <v>50</v>
      </c>
      <c r="L125" s="133"/>
      <c r="M125" s="133"/>
      <c r="N125" s="152" t="str">
        <f>IFERROR(__xludf.DUMMYFUNCTION("""COMPUTED_VALUE"""),"Model 3 LR AWD")</f>
        <v>Model 3 LR AWD</v>
      </c>
      <c r="O125" s="152" t="str">
        <f>IFERROR(__xludf.DUMMYFUNCTION("""COMPUTED_VALUE"""),"Solid Black")</f>
        <v>Solid Black</v>
      </c>
      <c r="P125" s="153" t="str">
        <f>IFERROR(__xludf.DUMMYFUNCTION("""COMPUTED_VALUE"""),"19 inch")</f>
        <v>19 inch</v>
      </c>
      <c r="Q125" s="152" t="str">
        <f>IFERROR(__xludf.DUMMYFUNCTION("""COMPUTED_VALUE"""),"Black and White")</f>
        <v>Black and White</v>
      </c>
      <c r="R125" s="149" t="str">
        <f>IFERROR(__xludf.DUMMYFUNCTION("""COMPUTED_VALUE"""),"Autopilot included")</f>
        <v>Autopilot included</v>
      </c>
      <c r="S125" s="149" t="str">
        <f>IFERROR(__xludf.DUMMYFUNCTION("""COMPUTED_VALUE"""),"Loan")</f>
        <v>Loan</v>
      </c>
      <c r="T125" s="145" t="str">
        <f>IFERROR(__xludf.DUMMYFUNCTION("""COMPUTED_VALUE"""),"Mustang")</f>
        <v>Mustang</v>
      </c>
      <c r="U125" s="145"/>
      <c r="V125" s="145" t="str">
        <f>IFERROR(__xludf.DUMMYFUNCTION("""COMPUTED_VALUE"""),"Apple CarPlay / Android Auto / SiriusXM Radio")</f>
        <v>Apple CarPlay / Android Auto / SiriusXM Radio</v>
      </c>
      <c r="W125" s="136"/>
      <c r="X125" s="137"/>
      <c r="Y125" s="138"/>
      <c r="Z125" s="138"/>
      <c r="AA125" s="138"/>
      <c r="AB125" s="138"/>
      <c r="AC125" s="139"/>
      <c r="AD125" s="139"/>
      <c r="AE125" s="139"/>
      <c r="AF125" s="140"/>
      <c r="AG125" s="136"/>
      <c r="AH125" s="157">
        <f>IFERROR(__xludf.DUMMYFUNCTION("""COMPUTED_VALUE"""),44508.39030515046)</f>
        <v>44508.39031</v>
      </c>
      <c r="AI125" s="138"/>
      <c r="AJ125" s="138"/>
      <c r="AK125" s="138"/>
      <c r="AL125" s="142"/>
    </row>
    <row r="126" ht="20.25" customHeight="1">
      <c r="A126" s="155" t="str">
        <f>IFERROR(__xludf.DUMMYFUNCTION("""COMPUTED_VALUE"""),"callmerory")</f>
        <v>callmerory</v>
      </c>
      <c r="B126" s="149" t="str">
        <f>IFERROR(__xludf.DUMMYFUNCTION("""COMPUTED_VALUE"""),"Seattle")</f>
        <v>Seattle</v>
      </c>
      <c r="C126" s="149" t="str">
        <f>IFERROR(__xludf.DUMMYFUNCTION("""COMPUTED_VALUE"""),"WA")</f>
        <v>WA</v>
      </c>
      <c r="D126" s="149" t="str">
        <f>IFERROR(__xludf.DUMMYFUNCTION("""COMPUTED_VALUE"""),"USA")</f>
        <v>USA</v>
      </c>
      <c r="E126" s="156">
        <f>IFERROR(__xludf.DUMMYFUNCTION("""COMPUTED_VALUE"""),44457.0)</f>
        <v>44457</v>
      </c>
      <c r="F126" s="129">
        <f>IFERROR(__xludf.DUMMYFUNCTION("""COMPUTED_VALUE"""),44506.0)</f>
        <v>44506</v>
      </c>
      <c r="G126" s="154" t="str">
        <f>IFERROR(__xludf.DUMMYFUNCTION("""COMPUTED_VALUE"""),"Manage order page (normal text)")</f>
        <v>Manage order page (normal text)</v>
      </c>
      <c r="H126" s="131">
        <f>IFERROR(__xludf.DUMMYFUNCTION("""COMPUTED_VALUE"""),103355.0)</f>
        <v>103355</v>
      </c>
      <c r="I126" s="144"/>
      <c r="J126" s="129"/>
      <c r="K126" s="133">
        <f>IFERROR(__xludf.DUMMYFUNCTION("""COMPUTED_VALUE"""),49.0)</f>
        <v>49</v>
      </c>
      <c r="L126" s="133"/>
      <c r="M126" s="133"/>
      <c r="N126" s="152" t="str">
        <f>IFERROR(__xludf.DUMMYFUNCTION("""COMPUTED_VALUE"""),"Model 3 LR AWD")</f>
        <v>Model 3 LR AWD</v>
      </c>
      <c r="O126" s="152" t="str">
        <f>IFERROR(__xludf.DUMMYFUNCTION("""COMPUTED_VALUE"""),"Midnight Silver Metallic")</f>
        <v>Midnight Silver Metallic</v>
      </c>
      <c r="P126" s="153" t="str">
        <f>IFERROR(__xludf.DUMMYFUNCTION("""COMPUTED_VALUE"""),"18 inch")</f>
        <v>18 inch</v>
      </c>
      <c r="Q126" s="152" t="str">
        <f>IFERROR(__xludf.DUMMYFUNCTION("""COMPUTED_VALUE"""),"All Black")</f>
        <v>All Black</v>
      </c>
      <c r="R126" s="149" t="str">
        <f>IFERROR(__xludf.DUMMYFUNCTION("""COMPUTED_VALUE"""),"Autopilot included")</f>
        <v>Autopilot included</v>
      </c>
      <c r="S126" s="149" t="str">
        <f>IFERROR(__xludf.DUMMYFUNCTION("""COMPUTED_VALUE"""),"Lease")</f>
        <v>Lease</v>
      </c>
      <c r="T126" s="145" t="str">
        <f>IFERROR(__xludf.DUMMYFUNCTION("""COMPUTED_VALUE"""),"Volkswagen ID.4")</f>
        <v>Volkswagen ID.4</v>
      </c>
      <c r="U126" s="145" t="str">
        <f>IFERROR(__xludf.DUMMYFUNCTION("""COMPUTED_VALUE"""),"Electric!")</f>
        <v>Electric!</v>
      </c>
      <c r="V126" s="145" t="str">
        <f>IFERROR(__xludf.DUMMYFUNCTION("""COMPUTED_VALUE"""),"Apple CarPlay / Android Auto / SiriusXM Radio")</f>
        <v>Apple CarPlay / Android Auto / SiriusXM Radio</v>
      </c>
      <c r="W126" s="136"/>
      <c r="X126" s="137"/>
      <c r="Y126" s="138"/>
      <c r="Z126" s="138"/>
      <c r="AA126" s="138"/>
      <c r="AB126" s="138"/>
      <c r="AC126" s="139"/>
      <c r="AD126" s="139"/>
      <c r="AE126" s="139"/>
      <c r="AF126" s="140"/>
      <c r="AG126" s="136"/>
      <c r="AH126" s="157">
        <f>IFERROR(__xludf.DUMMYFUNCTION("""COMPUTED_VALUE"""),44506.53764930555)</f>
        <v>44506.53765</v>
      </c>
      <c r="AI126" s="138"/>
      <c r="AJ126" s="138"/>
      <c r="AK126" s="138"/>
      <c r="AL126" s="142"/>
    </row>
    <row r="127" ht="20.25" customHeight="1">
      <c r="A127" s="155" t="str">
        <f>IFERROR(__xludf.DUMMYFUNCTION("""COMPUTED_VALUE"""),"NemoNine")</f>
        <v>NemoNine</v>
      </c>
      <c r="B127" s="149"/>
      <c r="C127" s="149" t="str">
        <f>IFERROR(__xludf.DUMMYFUNCTION("""COMPUTED_VALUE"""),"GA")</f>
        <v>GA</v>
      </c>
      <c r="D127" s="149" t="str">
        <f>IFERROR(__xludf.DUMMYFUNCTION("""COMPUTED_VALUE"""),"USA")</f>
        <v>USA</v>
      </c>
      <c r="E127" s="156">
        <f>IFERROR(__xludf.DUMMYFUNCTION("""COMPUTED_VALUE"""),44457.0)</f>
        <v>44457</v>
      </c>
      <c r="F127" s="129"/>
      <c r="G127" s="154"/>
      <c r="H127" s="131"/>
      <c r="I127" s="144"/>
      <c r="J127" s="129"/>
      <c r="K127" s="133"/>
      <c r="L127" s="133"/>
      <c r="M127" s="133"/>
      <c r="N127" s="152" t="str">
        <f>IFERROR(__xludf.DUMMYFUNCTION("""COMPUTED_VALUE"""),"Model 3 Performance")</f>
        <v>Model 3 Performance</v>
      </c>
      <c r="O127" s="152" t="str">
        <f>IFERROR(__xludf.DUMMYFUNCTION("""COMPUTED_VALUE"""),"Pearl White Multi-Coat")</f>
        <v>Pearl White Multi-Coat</v>
      </c>
      <c r="P127" s="153" t="str">
        <f>IFERROR(__xludf.DUMMYFUNCTION("""COMPUTED_VALUE"""),"20 inch")</f>
        <v>20 inch</v>
      </c>
      <c r="Q127" s="152" t="str">
        <f>IFERROR(__xludf.DUMMYFUNCTION("""COMPUTED_VALUE"""),"Black and White")</f>
        <v>Black and White</v>
      </c>
      <c r="R127" s="149" t="str">
        <f>IFERROR(__xludf.DUMMYFUNCTION("""COMPUTED_VALUE"""),"Autopilot included")</f>
        <v>Autopilot included</v>
      </c>
      <c r="S127" s="149" t="str">
        <f>IFERROR(__xludf.DUMMYFUNCTION("""COMPUTED_VALUE"""),"Loan")</f>
        <v>Loan</v>
      </c>
      <c r="T127" s="145"/>
      <c r="U127" s="145"/>
      <c r="V127" s="145"/>
      <c r="W127" s="136"/>
      <c r="X127" s="137"/>
      <c r="Y127" s="138"/>
      <c r="Z127" s="138"/>
      <c r="AA127" s="138"/>
      <c r="AB127" s="138"/>
      <c r="AC127" s="139"/>
      <c r="AD127" s="139"/>
      <c r="AE127" s="139"/>
      <c r="AF127" s="140"/>
      <c r="AG127" s="136"/>
      <c r="AH127" s="157">
        <f>IFERROR(__xludf.DUMMYFUNCTION("""COMPUTED_VALUE"""),44459.72317657407)</f>
        <v>44459.72318</v>
      </c>
      <c r="AI127" s="138"/>
      <c r="AJ127" s="138"/>
      <c r="AK127" s="138"/>
      <c r="AL127" s="142"/>
    </row>
    <row r="128" ht="20.25" customHeight="1">
      <c r="A128" s="155" t="str">
        <f>IFERROR(__xludf.DUMMYFUNCTION("""COMPUTED_VALUE"""),"BnGrm")</f>
        <v>BnGrm</v>
      </c>
      <c r="B128" s="149"/>
      <c r="C128" s="149" t="str">
        <f>IFERROR(__xludf.DUMMYFUNCTION("""COMPUTED_VALUE"""),"FL")</f>
        <v>FL</v>
      </c>
      <c r="D128" s="149" t="str">
        <f>IFERROR(__xludf.DUMMYFUNCTION("""COMPUTED_VALUE"""),"USA")</f>
        <v>USA</v>
      </c>
      <c r="E128" s="156">
        <f>IFERROR(__xludf.DUMMYFUNCTION("""COMPUTED_VALUE"""),44456.0)</f>
        <v>44456</v>
      </c>
      <c r="F128" s="129"/>
      <c r="G128" s="154"/>
      <c r="H128" s="131"/>
      <c r="I128" s="132"/>
      <c r="J128" s="129"/>
      <c r="K128" s="133"/>
      <c r="L128" s="133"/>
      <c r="M128" s="133"/>
      <c r="N128" s="152" t="str">
        <f>IFERROR(__xludf.DUMMYFUNCTION("""COMPUTED_VALUE"""),"Model 3 LR AWD")</f>
        <v>Model 3 LR AWD</v>
      </c>
      <c r="O128" s="152" t="str">
        <f>IFERROR(__xludf.DUMMYFUNCTION("""COMPUTED_VALUE"""),"Solid Black")</f>
        <v>Solid Black</v>
      </c>
      <c r="P128" s="153" t="str">
        <f>IFERROR(__xludf.DUMMYFUNCTION("""COMPUTED_VALUE"""),"19 inch")</f>
        <v>19 inch</v>
      </c>
      <c r="Q128" s="152" t="str">
        <f>IFERROR(__xludf.DUMMYFUNCTION("""COMPUTED_VALUE"""),"Black and White")</f>
        <v>Black and White</v>
      </c>
      <c r="R128" s="150" t="str">
        <f>IFERROR(__xludf.DUMMYFUNCTION("""COMPUTED_VALUE"""),"Autopilot included")</f>
        <v>Autopilot included</v>
      </c>
      <c r="S128" s="150" t="str">
        <f>IFERROR(__xludf.DUMMYFUNCTION("""COMPUTED_VALUE"""),"Cash")</f>
        <v>Cash</v>
      </c>
      <c r="T128" s="136"/>
      <c r="U128" s="136"/>
      <c r="V128" s="136" t="str">
        <f>IFERROR(__xludf.DUMMYFUNCTION("""COMPUTED_VALUE"""),"Head-up display")</f>
        <v>Head-up display</v>
      </c>
      <c r="W128" s="136"/>
      <c r="X128" s="137"/>
      <c r="Y128" s="138"/>
      <c r="Z128" s="138"/>
      <c r="AA128" s="138"/>
      <c r="AB128" s="138"/>
      <c r="AC128" s="139"/>
      <c r="AD128" s="139"/>
      <c r="AE128" s="139"/>
      <c r="AF128" s="140"/>
      <c r="AG128" s="136"/>
      <c r="AH128" s="157">
        <f>IFERROR(__xludf.DUMMYFUNCTION("""COMPUTED_VALUE"""),44505.412422905094)</f>
        <v>44505.41242</v>
      </c>
      <c r="AI128" s="138"/>
      <c r="AJ128" s="138"/>
      <c r="AK128" s="138"/>
      <c r="AL128" s="142"/>
    </row>
    <row r="129" ht="20.25" customHeight="1">
      <c r="A129" s="155" t="str">
        <f>IFERROR(__xludf.DUMMYFUNCTION("""COMPUTED_VALUE"""),"Bobby Mcdoodle")</f>
        <v>Bobby Mcdoodle</v>
      </c>
      <c r="B129" s="149" t="str">
        <f>IFERROR(__xludf.DUMMYFUNCTION("""COMPUTED_VALUE"""),"Dedham")</f>
        <v>Dedham</v>
      </c>
      <c r="C129" s="149" t="str">
        <f>IFERROR(__xludf.DUMMYFUNCTION("""COMPUTED_VALUE"""),"ME")</f>
        <v>ME</v>
      </c>
      <c r="D129" s="149" t="str">
        <f>IFERROR(__xludf.DUMMYFUNCTION("""COMPUTED_VALUE"""),"USA")</f>
        <v>USA</v>
      </c>
      <c r="E129" s="156">
        <f>IFERROR(__xludf.DUMMYFUNCTION("""COMPUTED_VALUE"""),44456.0)</f>
        <v>44456</v>
      </c>
      <c r="F129" s="129">
        <f>IFERROR(__xludf.DUMMYFUNCTION("""COMPUTED_VALUE"""),44506.0)</f>
        <v>44506</v>
      </c>
      <c r="G129" s="154" t="str">
        <f>IFERROR(__xludf.DUMMYFUNCTION("""COMPUTED_VALUE"""),"Manage order page (normal text)")</f>
        <v>Manage order page (normal text)</v>
      </c>
      <c r="H129" s="131">
        <f>IFERROR(__xludf.DUMMYFUNCTION("""COMPUTED_VALUE"""),105331.0)</f>
        <v>105331</v>
      </c>
      <c r="I129" s="144"/>
      <c r="J129" s="129"/>
      <c r="K129" s="133">
        <f>IFERROR(__xludf.DUMMYFUNCTION("""COMPUTED_VALUE"""),50.0)</f>
        <v>50</v>
      </c>
      <c r="L129" s="133"/>
      <c r="M129" s="133"/>
      <c r="N129" s="152" t="str">
        <f>IFERROR(__xludf.DUMMYFUNCTION("""COMPUTED_VALUE"""),"Model 3 LR AWD")</f>
        <v>Model 3 LR AWD</v>
      </c>
      <c r="O129" s="152" t="str">
        <f>IFERROR(__xludf.DUMMYFUNCTION("""COMPUTED_VALUE"""),"Solid Black")</f>
        <v>Solid Black</v>
      </c>
      <c r="P129" s="153" t="str">
        <f>IFERROR(__xludf.DUMMYFUNCTION("""COMPUTED_VALUE"""),"18 inch")</f>
        <v>18 inch</v>
      </c>
      <c r="Q129" s="152" t="str">
        <f>IFERROR(__xludf.DUMMYFUNCTION("""COMPUTED_VALUE"""),"All Black")</f>
        <v>All Black</v>
      </c>
      <c r="R129" s="149" t="str">
        <f>IFERROR(__xludf.DUMMYFUNCTION("""COMPUTED_VALUE"""),"Full Self-Driving")</f>
        <v>Full Self-Driving</v>
      </c>
      <c r="S129" s="149" t="str">
        <f>IFERROR(__xludf.DUMMYFUNCTION("""COMPUTED_VALUE"""),"Loan")</f>
        <v>Loan</v>
      </c>
      <c r="T129" s="145"/>
      <c r="U129" s="145" t="str">
        <f>IFERROR(__xludf.DUMMYFUNCTION("""COMPUTED_VALUE"""),"Autopilot")</f>
        <v>Autopilot</v>
      </c>
      <c r="V129" s="145" t="str">
        <f>IFERROR(__xludf.DUMMYFUNCTION("""COMPUTED_VALUE"""),"Head-up display")</f>
        <v>Head-up display</v>
      </c>
      <c r="W129" s="145"/>
      <c r="X129" s="137"/>
      <c r="Y129" s="138"/>
      <c r="Z129" s="138"/>
      <c r="AA129" s="138"/>
      <c r="AB129" s="138"/>
      <c r="AC129" s="139"/>
      <c r="AD129" s="139"/>
      <c r="AE129" s="139"/>
      <c r="AF129" s="140"/>
      <c r="AG129" s="145"/>
      <c r="AH129" s="157">
        <f>IFERROR(__xludf.DUMMYFUNCTION("""COMPUTED_VALUE"""),44508.44932666667)</f>
        <v>44508.44933</v>
      </c>
      <c r="AI129" s="138"/>
      <c r="AJ129" s="138"/>
      <c r="AK129" s="138"/>
      <c r="AL129" s="142"/>
    </row>
    <row r="130" ht="20.25" customHeight="1">
      <c r="A130" s="155" t="str">
        <f>IFERROR(__xludf.DUMMYFUNCTION("""COMPUTED_VALUE"""),"cmrs2k")</f>
        <v>cmrs2k</v>
      </c>
      <c r="B130" s="149"/>
      <c r="C130" s="149" t="str">
        <f>IFERROR(__xludf.DUMMYFUNCTION("""COMPUTED_VALUE"""),"MS")</f>
        <v>MS</v>
      </c>
      <c r="D130" s="149" t="str">
        <f>IFERROR(__xludf.DUMMYFUNCTION("""COMPUTED_VALUE"""),"USA")</f>
        <v>USA</v>
      </c>
      <c r="E130" s="156">
        <f>IFERROR(__xludf.DUMMYFUNCTION("""COMPUTED_VALUE"""),44456.0)</f>
        <v>44456</v>
      </c>
      <c r="F130" s="129">
        <f>IFERROR(__xludf.DUMMYFUNCTION("""COMPUTED_VALUE"""),44501.0)</f>
        <v>44501</v>
      </c>
      <c r="G130" s="154" t="str">
        <f>IFERROR(__xludf.DUMMYFUNCTION("""COMPUTED_VALUE"""),"Email")</f>
        <v>Email</v>
      </c>
      <c r="H130" s="131"/>
      <c r="I130" s="144"/>
      <c r="J130" s="129"/>
      <c r="K130" s="133">
        <f>IFERROR(__xludf.DUMMYFUNCTION("""COMPUTED_VALUE"""),45.0)</f>
        <v>45</v>
      </c>
      <c r="L130" s="133"/>
      <c r="M130" s="133"/>
      <c r="N130" s="152" t="str">
        <f>IFERROR(__xludf.DUMMYFUNCTION("""COMPUTED_VALUE"""),"Model 3 LR AWD")</f>
        <v>Model 3 LR AWD</v>
      </c>
      <c r="O130" s="152" t="str">
        <f>IFERROR(__xludf.DUMMYFUNCTION("""COMPUTED_VALUE"""),"Deep Blue Metallic")</f>
        <v>Deep Blue Metallic</v>
      </c>
      <c r="P130" s="153" t="str">
        <f>IFERROR(__xludf.DUMMYFUNCTION("""COMPUTED_VALUE"""),"18 inch")</f>
        <v>18 inch</v>
      </c>
      <c r="Q130" s="152" t="str">
        <f>IFERROR(__xludf.DUMMYFUNCTION("""COMPUTED_VALUE"""),"All Black")</f>
        <v>All Black</v>
      </c>
      <c r="R130" s="149" t="str">
        <f>IFERROR(__xludf.DUMMYFUNCTION("""COMPUTED_VALUE"""),"Full Self-Driving")</f>
        <v>Full Self-Driving</v>
      </c>
      <c r="S130" s="149" t="str">
        <f>IFERROR(__xludf.DUMMYFUNCTION("""COMPUTED_VALUE"""),"Cash")</f>
        <v>Cash</v>
      </c>
      <c r="T130" s="145" t="str">
        <f>IFERROR(__xludf.DUMMYFUNCTION("""COMPUTED_VALUE"""),"Honda S2000")</f>
        <v>Honda S2000</v>
      </c>
      <c r="U130" s="145" t="str">
        <f>IFERROR(__xludf.DUMMYFUNCTION("""COMPUTED_VALUE"""),"Tesla brand image")</f>
        <v>Tesla brand image</v>
      </c>
      <c r="V130" s="145" t="str">
        <f>IFERROR(__xludf.DUMMYFUNCTION("""COMPUTED_VALUE"""),"360° Bird's eye view")</f>
        <v>360° Bird's eye view</v>
      </c>
      <c r="W130" s="136"/>
      <c r="X130" s="137"/>
      <c r="Y130" s="138"/>
      <c r="Z130" s="138"/>
      <c r="AA130" s="138"/>
      <c r="AB130" s="138"/>
      <c r="AC130" s="139"/>
      <c r="AD130" s="139"/>
      <c r="AE130" s="139"/>
      <c r="AF130" s="140"/>
      <c r="AG130" s="136"/>
      <c r="AH130" s="157">
        <f>IFERROR(__xludf.DUMMYFUNCTION("""COMPUTED_VALUE"""),44503.22996483796)</f>
        <v>44503.22996</v>
      </c>
      <c r="AI130" s="138"/>
      <c r="AJ130" s="138"/>
      <c r="AK130" s="138"/>
      <c r="AL130" s="142"/>
    </row>
    <row r="131" ht="20.25" customHeight="1">
      <c r="A131" s="155" t="str">
        <f>IFERROR(__xludf.DUMMYFUNCTION("""COMPUTED_VALUE"""),"ftjack")</f>
        <v>ftjack</v>
      </c>
      <c r="B131" s="149" t="str">
        <f>IFERROR(__xludf.DUMMYFUNCTION("""COMPUTED_VALUE"""),"Austin")</f>
        <v>Austin</v>
      </c>
      <c r="C131" s="149" t="str">
        <f>IFERROR(__xludf.DUMMYFUNCTION("""COMPUTED_VALUE"""),"TX")</f>
        <v>TX</v>
      </c>
      <c r="D131" s="149" t="str">
        <f>IFERROR(__xludf.DUMMYFUNCTION("""COMPUTED_VALUE"""),"USA")</f>
        <v>USA</v>
      </c>
      <c r="E131" s="156">
        <f>IFERROR(__xludf.DUMMYFUNCTION("""COMPUTED_VALUE"""),44456.0)</f>
        <v>44456</v>
      </c>
      <c r="F131" s="129">
        <f>IFERROR(__xludf.DUMMYFUNCTION("""COMPUTED_VALUE"""),44476.0)</f>
        <v>44476</v>
      </c>
      <c r="G131" s="154" t="str">
        <f>IFERROR(__xludf.DUMMYFUNCTION("""COMPUTED_VALUE"""),"Manage order page (normal text)")</f>
        <v>Manage order page (normal text)</v>
      </c>
      <c r="H131" s="131"/>
      <c r="I131" s="144"/>
      <c r="J131" s="129"/>
      <c r="K131" s="133">
        <f>IFERROR(__xludf.DUMMYFUNCTION("""COMPUTED_VALUE"""),20.0)</f>
        <v>20</v>
      </c>
      <c r="L131" s="133"/>
      <c r="M131" s="133"/>
      <c r="N131" s="152" t="str">
        <f>IFERROR(__xludf.DUMMYFUNCTION("""COMPUTED_VALUE"""),"Model 3 Performance")</f>
        <v>Model 3 Performance</v>
      </c>
      <c r="O131" s="152" t="str">
        <f>IFERROR(__xludf.DUMMYFUNCTION("""COMPUTED_VALUE"""),"Red Multi-Coat")</f>
        <v>Red Multi-Coat</v>
      </c>
      <c r="P131" s="153" t="str">
        <f>IFERROR(__xludf.DUMMYFUNCTION("""COMPUTED_VALUE"""),"20 inch")</f>
        <v>20 inch</v>
      </c>
      <c r="Q131" s="152" t="str">
        <f>IFERROR(__xludf.DUMMYFUNCTION("""COMPUTED_VALUE"""),"All Black")</f>
        <v>All Black</v>
      </c>
      <c r="R131" s="149" t="str">
        <f>IFERROR(__xludf.DUMMYFUNCTION("""COMPUTED_VALUE"""),"Autopilot included")</f>
        <v>Autopilot included</v>
      </c>
      <c r="S131" s="149" t="str">
        <f>IFERROR(__xludf.DUMMYFUNCTION("""COMPUTED_VALUE"""),"Cash")</f>
        <v>Cash</v>
      </c>
      <c r="T131" s="145"/>
      <c r="U131" s="145" t="str">
        <f>IFERROR(__xludf.DUMMYFUNCTION("""COMPUTED_VALUE"""),"Electric!")</f>
        <v>Electric!</v>
      </c>
      <c r="V131" s="145" t="str">
        <f>IFERROR(__xludf.DUMMYFUNCTION("""COMPUTED_VALUE"""),"360° Bird's eye view")</f>
        <v>360° Bird's eye view</v>
      </c>
      <c r="W131" s="136"/>
      <c r="X131" s="137"/>
      <c r="Y131" s="138"/>
      <c r="Z131" s="138"/>
      <c r="AA131" s="138"/>
      <c r="AB131" s="138"/>
      <c r="AC131" s="139"/>
      <c r="AD131" s="139"/>
      <c r="AE131" s="139"/>
      <c r="AF131" s="140"/>
      <c r="AG131" s="136"/>
      <c r="AH131" s="157">
        <f>IFERROR(__xludf.DUMMYFUNCTION("""COMPUTED_VALUE"""),44479.925834548616)</f>
        <v>44479.92583</v>
      </c>
      <c r="AI131" s="138"/>
      <c r="AJ131" s="138"/>
      <c r="AK131" s="138"/>
      <c r="AL131" s="142"/>
    </row>
    <row r="132" ht="20.25" customHeight="1">
      <c r="A132" s="155" t="str">
        <f>IFERROR(__xludf.DUMMYFUNCTION("""COMPUTED_VALUE"""),"Gingeeeeee")</f>
        <v>Gingeeeeee</v>
      </c>
      <c r="B132" s="149" t="str">
        <f>IFERROR(__xludf.DUMMYFUNCTION("""COMPUTED_VALUE"""),"Wenonah")</f>
        <v>Wenonah</v>
      </c>
      <c r="C132" s="149" t="str">
        <f>IFERROR(__xludf.DUMMYFUNCTION("""COMPUTED_VALUE"""),"NJ")</f>
        <v>NJ</v>
      </c>
      <c r="D132" s="149" t="str">
        <f>IFERROR(__xludf.DUMMYFUNCTION("""COMPUTED_VALUE"""),"USA")</f>
        <v>USA</v>
      </c>
      <c r="E132" s="156">
        <f>IFERROR(__xludf.DUMMYFUNCTION("""COMPUTED_VALUE"""),44456.0)</f>
        <v>44456</v>
      </c>
      <c r="F132" s="129"/>
      <c r="G132" s="154"/>
      <c r="H132" s="131"/>
      <c r="I132" s="144"/>
      <c r="J132" s="129"/>
      <c r="K132" s="133"/>
      <c r="L132" s="133"/>
      <c r="M132" s="133"/>
      <c r="N132" s="152" t="str">
        <f>IFERROR(__xludf.DUMMYFUNCTION("""COMPUTED_VALUE"""),"Model 3 Performance")</f>
        <v>Model 3 Performance</v>
      </c>
      <c r="O132" s="152" t="str">
        <f>IFERROR(__xludf.DUMMYFUNCTION("""COMPUTED_VALUE"""),"Red Multi-Coat")</f>
        <v>Red Multi-Coat</v>
      </c>
      <c r="P132" s="153" t="str">
        <f>IFERROR(__xludf.DUMMYFUNCTION("""COMPUTED_VALUE"""),"20 inch")</f>
        <v>20 inch</v>
      </c>
      <c r="Q132" s="152" t="str">
        <f>IFERROR(__xludf.DUMMYFUNCTION("""COMPUTED_VALUE"""),"Black and White")</f>
        <v>Black and White</v>
      </c>
      <c r="R132" s="149" t="str">
        <f>IFERROR(__xludf.DUMMYFUNCTION("""COMPUTED_VALUE"""),"Autopilot included")</f>
        <v>Autopilot included</v>
      </c>
      <c r="S132" s="149" t="str">
        <f>IFERROR(__xludf.DUMMYFUNCTION("""COMPUTED_VALUE"""),"Loan")</f>
        <v>Loan</v>
      </c>
      <c r="T132" s="145"/>
      <c r="U132" s="145"/>
      <c r="V132" s="145"/>
      <c r="W132" s="145"/>
      <c r="X132" s="137"/>
      <c r="Y132" s="138"/>
      <c r="Z132" s="138"/>
      <c r="AA132" s="138"/>
      <c r="AB132" s="138"/>
      <c r="AC132" s="139"/>
      <c r="AD132" s="139"/>
      <c r="AE132" s="139"/>
      <c r="AF132" s="140"/>
      <c r="AG132" s="145"/>
      <c r="AH132" s="157">
        <f>IFERROR(__xludf.DUMMYFUNCTION("""COMPUTED_VALUE"""),44479.374635914355)</f>
        <v>44479.37464</v>
      </c>
      <c r="AI132" s="138"/>
      <c r="AJ132" s="138"/>
      <c r="AK132" s="138"/>
      <c r="AL132" s="142"/>
    </row>
    <row r="133" ht="20.25" customHeight="1">
      <c r="A133" s="155" t="str">
        <f>IFERROR(__xludf.DUMMYFUNCTION("""COMPUTED_VALUE"""),"orntar")</f>
        <v>orntar</v>
      </c>
      <c r="B133" s="149" t="str">
        <f>IFERROR(__xludf.DUMMYFUNCTION("""COMPUTED_VALUE"""),"Meridian")</f>
        <v>Meridian</v>
      </c>
      <c r="C133" s="149" t="str">
        <f>IFERROR(__xludf.DUMMYFUNCTION("""COMPUTED_VALUE"""),"ID")</f>
        <v>ID</v>
      </c>
      <c r="D133" s="149" t="str">
        <f>IFERROR(__xludf.DUMMYFUNCTION("""COMPUTED_VALUE"""),"USA")</f>
        <v>USA</v>
      </c>
      <c r="E133" s="156">
        <f>IFERROR(__xludf.DUMMYFUNCTION("""COMPUTED_VALUE"""),44456.0)</f>
        <v>44456</v>
      </c>
      <c r="F133" s="129"/>
      <c r="G133" s="154"/>
      <c r="H133" s="131"/>
      <c r="I133" s="132"/>
      <c r="J133" s="129"/>
      <c r="K133" s="133"/>
      <c r="L133" s="133"/>
      <c r="M133" s="133"/>
      <c r="N133" s="152" t="str">
        <f>IFERROR(__xludf.DUMMYFUNCTION("""COMPUTED_VALUE"""),"Model 3 LR AWD")</f>
        <v>Model 3 LR AWD</v>
      </c>
      <c r="O133" s="152" t="str">
        <f>IFERROR(__xludf.DUMMYFUNCTION("""COMPUTED_VALUE"""),"Midnight Silver Metallic")</f>
        <v>Midnight Silver Metallic</v>
      </c>
      <c r="P133" s="153" t="str">
        <f>IFERROR(__xludf.DUMMYFUNCTION("""COMPUTED_VALUE"""),"18 inch")</f>
        <v>18 inch</v>
      </c>
      <c r="Q133" s="152" t="str">
        <f>IFERROR(__xludf.DUMMYFUNCTION("""COMPUTED_VALUE"""),"All Black")</f>
        <v>All Black</v>
      </c>
      <c r="R133" s="150" t="str">
        <f>IFERROR(__xludf.DUMMYFUNCTION("""COMPUTED_VALUE"""),"Autopilot included")</f>
        <v>Autopilot included</v>
      </c>
      <c r="S133" s="150" t="str">
        <f>IFERROR(__xludf.DUMMYFUNCTION("""COMPUTED_VALUE"""),"Loan")</f>
        <v>Loan</v>
      </c>
      <c r="T133" s="136" t="str">
        <f>IFERROR(__xludf.DUMMYFUNCTION("""COMPUTED_VALUE"""),"F150")</f>
        <v>F150</v>
      </c>
      <c r="U133" s="136" t="str">
        <f>IFERROR(__xludf.DUMMYFUNCTION("""COMPUTED_VALUE"""),"Electric!")</f>
        <v>Electric!</v>
      </c>
      <c r="V133" s="136" t="str">
        <f>IFERROR(__xludf.DUMMYFUNCTION("""COMPUTED_VALUE"""),"HomeLink")</f>
        <v>HomeLink</v>
      </c>
      <c r="W133" s="136"/>
      <c r="X133" s="137"/>
      <c r="Y133" s="138"/>
      <c r="Z133" s="138"/>
      <c r="AA133" s="138"/>
      <c r="AB133" s="138"/>
      <c r="AC133" s="139"/>
      <c r="AD133" s="139"/>
      <c r="AE133" s="139"/>
      <c r="AF133" s="140"/>
      <c r="AG133" s="136"/>
      <c r="AH133" s="157">
        <f>IFERROR(__xludf.DUMMYFUNCTION("""COMPUTED_VALUE"""),44459.501363807874)</f>
        <v>44459.50136</v>
      </c>
      <c r="AI133" s="138"/>
      <c r="AJ133" s="138"/>
      <c r="AK133" s="138"/>
      <c r="AL133" s="142"/>
    </row>
    <row r="134" ht="20.25" customHeight="1">
      <c r="A134" s="155" t="str">
        <f>IFERROR(__xludf.DUMMYFUNCTION("""COMPUTED_VALUE"""),"bgonline")</f>
        <v>bgonline</v>
      </c>
      <c r="B134" s="150" t="str">
        <f>IFERROR(__xludf.DUMMYFUNCTION("""COMPUTED_VALUE"""),"Baltimore")</f>
        <v>Baltimore</v>
      </c>
      <c r="C134" s="150" t="str">
        <f>IFERROR(__xludf.DUMMYFUNCTION("""COMPUTED_VALUE"""),"MD")</f>
        <v>MD</v>
      </c>
      <c r="D134" s="150" t="str">
        <f>IFERROR(__xludf.DUMMYFUNCTION("""COMPUTED_VALUE"""),"USA")</f>
        <v>USA</v>
      </c>
      <c r="E134" s="156">
        <f>IFERROR(__xludf.DUMMYFUNCTION("""COMPUTED_VALUE"""),44455.0)</f>
        <v>44455</v>
      </c>
      <c r="F134" s="129">
        <f>IFERROR(__xludf.DUMMYFUNCTION("""COMPUTED_VALUE"""),44477.0)</f>
        <v>44477</v>
      </c>
      <c r="G134" s="154" t="str">
        <f>IFERROR(__xludf.DUMMYFUNCTION("""COMPUTED_VALUE"""),"Manage order page (normal text)")</f>
        <v>Manage order page (normal text)</v>
      </c>
      <c r="H134" s="131"/>
      <c r="I134" s="132" t="str">
        <f>IFERROR(__xludf.DUMMYFUNCTION("""COMPUTED_VALUE"""),"10/21")</f>
        <v>10/21</v>
      </c>
      <c r="J134" s="129">
        <f>IFERROR(__xludf.DUMMYFUNCTION("""COMPUTED_VALUE"""),44492.0)</f>
        <v>44492</v>
      </c>
      <c r="K134" s="133">
        <f>IFERROR(__xludf.DUMMYFUNCTION("""COMPUTED_VALUE"""),22.0)</f>
        <v>22</v>
      </c>
      <c r="L134" s="133">
        <f>IFERROR(__xludf.DUMMYFUNCTION("""COMPUTED_VALUE"""),15.0)</f>
        <v>15</v>
      </c>
      <c r="M134" s="133">
        <f>IFERROR(__xludf.DUMMYFUNCTION("""COMPUTED_VALUE"""),37.0)</f>
        <v>37</v>
      </c>
      <c r="N134" s="152" t="str">
        <f>IFERROR(__xludf.DUMMYFUNCTION("""COMPUTED_VALUE"""),"Model 3 Performance")</f>
        <v>Model 3 Performance</v>
      </c>
      <c r="O134" s="152" t="str">
        <f>IFERROR(__xludf.DUMMYFUNCTION("""COMPUTED_VALUE"""),"Solid Black")</f>
        <v>Solid Black</v>
      </c>
      <c r="P134" s="153" t="str">
        <f>IFERROR(__xludf.DUMMYFUNCTION("""COMPUTED_VALUE"""),"20 inch")</f>
        <v>20 inch</v>
      </c>
      <c r="Q134" s="152" t="str">
        <f>IFERROR(__xludf.DUMMYFUNCTION("""COMPUTED_VALUE"""),"Black and White")</f>
        <v>Black and White</v>
      </c>
      <c r="R134" s="150" t="str">
        <f>IFERROR(__xludf.DUMMYFUNCTION("""COMPUTED_VALUE"""),"Full Self-Driving")</f>
        <v>Full Self-Driving</v>
      </c>
      <c r="S134" s="150" t="str">
        <f>IFERROR(__xludf.DUMMYFUNCTION("""COMPUTED_VALUE"""),"Cash")</f>
        <v>Cash</v>
      </c>
      <c r="T134" s="136" t="str">
        <f>IFERROR(__xludf.DUMMYFUNCTION("""COMPUTED_VALUE"""),"Volvo V90 R Design")</f>
        <v>Volvo V90 R Design</v>
      </c>
      <c r="U134" s="136" t="str">
        <f>IFERROR(__xludf.DUMMYFUNCTION("""COMPUTED_VALUE"""),"Electric!")</f>
        <v>Electric!</v>
      </c>
      <c r="V134" s="136" t="str">
        <f>IFERROR(__xludf.DUMMYFUNCTION("""COMPUTED_VALUE"""),"Head-up display")</f>
        <v>Head-up display</v>
      </c>
      <c r="W134" s="136" t="str">
        <f>IFERROR(__xludf.DUMMYFUNCTION("""COMPUTED_VALUE"""),"Get a referral code")</f>
        <v>Get a referral code</v>
      </c>
      <c r="X134" s="137" t="str">
        <f>IFERROR(__xludf.DUMMYFUNCTION("""COMPUTED_VALUE"""),"Very Good")</f>
        <v>Very Good</v>
      </c>
      <c r="Y134" s="138" t="str">
        <f>IFERROR(__xludf.DUMMYFUNCTION("""COMPUTED_VALUE"""),"Very Good")</f>
        <v>Very Good</v>
      </c>
      <c r="Z134" s="138" t="str">
        <f>IFERROR(__xludf.DUMMYFUNCTION("""COMPUTED_VALUE"""),"Very Good")</f>
        <v>Very Good</v>
      </c>
      <c r="AA134" s="138" t="str">
        <f>IFERROR(__xludf.DUMMYFUNCTION("""COMPUTED_VALUE"""),"Excellent")</f>
        <v>Excellent</v>
      </c>
      <c r="AB134" s="138" t="str">
        <f>IFERROR(__xludf.DUMMYFUNCTION("""COMPUTED_VALUE"""),"Excellent")</f>
        <v>Excellent</v>
      </c>
      <c r="AC134" s="139">
        <f>IFERROR(__xludf.DUMMYFUNCTION("""COMPUTED_VALUE"""),1.0)</f>
        <v>1</v>
      </c>
      <c r="AD134" s="139"/>
      <c r="AE134" s="139"/>
      <c r="AF134" s="140"/>
      <c r="AG134" s="136"/>
      <c r="AH134" s="157">
        <f>IFERROR(__xludf.DUMMYFUNCTION("""COMPUTED_VALUE"""),44503.767063136576)</f>
        <v>44503.76706</v>
      </c>
      <c r="AI134" s="138"/>
      <c r="AJ134" s="138"/>
      <c r="AK134" s="138"/>
      <c r="AL134" s="142"/>
    </row>
    <row r="135" ht="20.25" customHeight="1">
      <c r="A135" s="155" t="str">
        <f>IFERROR(__xludf.DUMMYFUNCTION("""COMPUTED_VALUE"""),"Baluchi")</f>
        <v>Baluchi</v>
      </c>
      <c r="B135" s="149" t="str">
        <f>IFERROR(__xludf.DUMMYFUNCTION("""COMPUTED_VALUE"""),"St Louis")</f>
        <v>St Louis</v>
      </c>
      <c r="C135" s="149" t="str">
        <f>IFERROR(__xludf.DUMMYFUNCTION("""COMPUTED_VALUE"""),"MO")</f>
        <v>MO</v>
      </c>
      <c r="D135" s="149" t="str">
        <f>IFERROR(__xludf.DUMMYFUNCTION("""COMPUTED_VALUE"""),"USA")</f>
        <v>USA</v>
      </c>
      <c r="E135" s="156">
        <f>IFERROR(__xludf.DUMMYFUNCTION("""COMPUTED_VALUE"""),44454.0)</f>
        <v>44454</v>
      </c>
      <c r="F135" s="129">
        <f>IFERROR(__xludf.DUMMYFUNCTION("""COMPUTED_VALUE"""),44454.0)</f>
        <v>44454</v>
      </c>
      <c r="G135" s="154" t="str">
        <f>IFERROR(__xludf.DUMMYFUNCTION("""COMPUTED_VALUE"""),"Manage order page (normal text)")</f>
        <v>Manage order page (normal text)</v>
      </c>
      <c r="H135" s="131">
        <f>IFERROR(__xludf.DUMMYFUNCTION("""COMPUTED_VALUE"""),57249.0)</f>
        <v>57249</v>
      </c>
      <c r="I135" s="132"/>
      <c r="J135" s="129">
        <f>IFERROR(__xludf.DUMMYFUNCTION("""COMPUTED_VALUE"""),44461.0)</f>
        <v>44461</v>
      </c>
      <c r="K135" s="133">
        <f>IFERROR(__xludf.DUMMYFUNCTION("""COMPUTED_VALUE"""),0.0)</f>
        <v>0</v>
      </c>
      <c r="L135" s="133">
        <f>IFERROR(__xludf.DUMMYFUNCTION("""COMPUTED_VALUE"""),7.0)</f>
        <v>7</v>
      </c>
      <c r="M135" s="133">
        <f>IFERROR(__xludf.DUMMYFUNCTION("""COMPUTED_VALUE"""),7.0)</f>
        <v>7</v>
      </c>
      <c r="N135" s="152" t="str">
        <f>IFERROR(__xludf.DUMMYFUNCTION("""COMPUTED_VALUE"""),"Model 3 SR+")</f>
        <v>Model 3 SR+</v>
      </c>
      <c r="O135" s="152" t="str">
        <f>IFERROR(__xludf.DUMMYFUNCTION("""COMPUTED_VALUE"""),"Pearl White Multi-Coat")</f>
        <v>Pearl White Multi-Coat</v>
      </c>
      <c r="P135" s="153" t="str">
        <f>IFERROR(__xludf.DUMMYFUNCTION("""COMPUTED_VALUE"""),"18 inch")</f>
        <v>18 inch</v>
      </c>
      <c r="Q135" s="152" t="str">
        <f>IFERROR(__xludf.DUMMYFUNCTION("""COMPUTED_VALUE"""),"All Black")</f>
        <v>All Black</v>
      </c>
      <c r="R135" s="150" t="str">
        <f>IFERROR(__xludf.DUMMYFUNCTION("""COMPUTED_VALUE"""),"Autopilot included")</f>
        <v>Autopilot included</v>
      </c>
      <c r="S135" s="150" t="str">
        <f>IFERROR(__xludf.DUMMYFUNCTION("""COMPUTED_VALUE"""),"Cash")</f>
        <v>Cash</v>
      </c>
      <c r="T135" s="136" t="str">
        <f>IFERROR(__xludf.DUMMYFUNCTION("""COMPUTED_VALUE"""),"Ford Focus")</f>
        <v>Ford Focus</v>
      </c>
      <c r="U135" s="136" t="str">
        <f>IFERROR(__xludf.DUMMYFUNCTION("""COMPUTED_VALUE"""),"Electric!")</f>
        <v>Electric!</v>
      </c>
      <c r="V135" s="136" t="str">
        <f>IFERROR(__xludf.DUMMYFUNCTION("""COMPUTED_VALUE"""),"Blind spot indicators on side mirrors")</f>
        <v>Blind spot indicators on side mirrors</v>
      </c>
      <c r="W135" s="136"/>
      <c r="X135" s="137" t="str">
        <f>IFERROR(__xludf.DUMMYFUNCTION("""COMPUTED_VALUE"""),"Excellent")</f>
        <v>Excellent</v>
      </c>
      <c r="Y135" s="138" t="str">
        <f>IFERROR(__xludf.DUMMYFUNCTION("""COMPUTED_VALUE"""),"Excellent")</f>
        <v>Excellent</v>
      </c>
      <c r="Z135" s="138" t="str">
        <f>IFERROR(__xludf.DUMMYFUNCTION("""COMPUTED_VALUE"""),"Excellent")</f>
        <v>Excellent</v>
      </c>
      <c r="AA135" s="138" t="str">
        <f>IFERROR(__xludf.DUMMYFUNCTION("""COMPUTED_VALUE"""),"Excellent")</f>
        <v>Excellent</v>
      </c>
      <c r="AB135" s="138" t="str">
        <f>IFERROR(__xludf.DUMMYFUNCTION("""COMPUTED_VALUE"""),"Excellent")</f>
        <v>Excellent</v>
      </c>
      <c r="AC135" s="139"/>
      <c r="AD135" s="139"/>
      <c r="AE135" s="139"/>
      <c r="AF135" s="140" t="str">
        <f>IFERROR(__xludf.DUMMYFUNCTION("""COMPUTED_VALUE"""),"No. I took delivery of the first car Tesla was able to deliver.")</f>
        <v>No. I took delivery of the first car Tesla was able to deliver.</v>
      </c>
      <c r="AG135" s="136"/>
      <c r="AH135" s="157">
        <f>IFERROR(__xludf.DUMMYFUNCTION("""COMPUTED_VALUE"""),44461.74723263889)</f>
        <v>44461.74723</v>
      </c>
      <c r="AI135" s="138"/>
      <c r="AJ135" s="138"/>
      <c r="AK135" s="138"/>
      <c r="AL135" s="142"/>
    </row>
    <row r="136" ht="20.25" customHeight="1">
      <c r="A136" s="155" t="str">
        <f>IFERROR(__xludf.DUMMYFUNCTION("""COMPUTED_VALUE"""),"jhauto")</f>
        <v>jhauto</v>
      </c>
      <c r="B136" s="149" t="str">
        <f>IFERROR(__xludf.DUMMYFUNCTION("""COMPUTED_VALUE"""),"Kirkland")</f>
        <v>Kirkland</v>
      </c>
      <c r="C136" s="149" t="str">
        <f>IFERROR(__xludf.DUMMYFUNCTION("""COMPUTED_VALUE"""),"WA")</f>
        <v>WA</v>
      </c>
      <c r="D136" s="149" t="str">
        <f>IFERROR(__xludf.DUMMYFUNCTION("""COMPUTED_VALUE"""),"USA")</f>
        <v>USA</v>
      </c>
      <c r="E136" s="156">
        <f>IFERROR(__xludf.DUMMYFUNCTION("""COMPUTED_VALUE"""),44454.0)</f>
        <v>44454</v>
      </c>
      <c r="F136" s="129">
        <f>IFERROR(__xludf.DUMMYFUNCTION("""COMPUTED_VALUE"""),44464.0)</f>
        <v>44464</v>
      </c>
      <c r="G136" s="154" t="str">
        <f>IFERROR(__xludf.DUMMYFUNCTION("""COMPUTED_VALUE"""),"Manage order page (normal text)")</f>
        <v>Manage order page (normal text)</v>
      </c>
      <c r="H136" s="131">
        <f>IFERROR(__xludf.DUMMYFUNCTION("""COMPUTED_VALUE"""),71955.0)</f>
        <v>71955</v>
      </c>
      <c r="I136" s="144"/>
      <c r="J136" s="129">
        <f>IFERROR(__xludf.DUMMYFUNCTION("""COMPUTED_VALUE"""),44468.0)</f>
        <v>44468</v>
      </c>
      <c r="K136" s="133">
        <f>IFERROR(__xludf.DUMMYFUNCTION("""COMPUTED_VALUE"""),10.0)</f>
        <v>10</v>
      </c>
      <c r="L136" s="133">
        <f>IFERROR(__xludf.DUMMYFUNCTION("""COMPUTED_VALUE"""),4.0)</f>
        <v>4</v>
      </c>
      <c r="M136" s="133">
        <f>IFERROR(__xludf.DUMMYFUNCTION("""COMPUTED_VALUE"""),14.0)</f>
        <v>14</v>
      </c>
      <c r="N136" s="152" t="str">
        <f>IFERROR(__xludf.DUMMYFUNCTION("""COMPUTED_VALUE"""),"Model 3 Performance")</f>
        <v>Model 3 Performance</v>
      </c>
      <c r="O136" s="152" t="str">
        <f>IFERROR(__xludf.DUMMYFUNCTION("""COMPUTED_VALUE"""),"Deep Blue Metallic")</f>
        <v>Deep Blue Metallic</v>
      </c>
      <c r="P136" s="153" t="str">
        <f>IFERROR(__xludf.DUMMYFUNCTION("""COMPUTED_VALUE"""),"20 inch")</f>
        <v>20 inch</v>
      </c>
      <c r="Q136" s="152" t="str">
        <f>IFERROR(__xludf.DUMMYFUNCTION("""COMPUTED_VALUE"""),"All Black")</f>
        <v>All Black</v>
      </c>
      <c r="R136" s="149"/>
      <c r="S136" s="149" t="str">
        <f>IFERROR(__xludf.DUMMYFUNCTION("""COMPUTED_VALUE"""),"Cash")</f>
        <v>Cash</v>
      </c>
      <c r="T136" s="145" t="str">
        <f>IFERROR(__xludf.DUMMYFUNCTION("""COMPUTED_VALUE"""),"Acura RDX")</f>
        <v>Acura RDX</v>
      </c>
      <c r="U136" s="145"/>
      <c r="V136" s="145" t="str">
        <f>IFERROR(__xludf.DUMMYFUNCTION("""COMPUTED_VALUE"""),"360° Bird's eye view")</f>
        <v>360° Bird's eye view</v>
      </c>
      <c r="W136" s="145"/>
      <c r="X136" s="137"/>
      <c r="Y136" s="138"/>
      <c r="Z136" s="138"/>
      <c r="AA136" s="138"/>
      <c r="AB136" s="138"/>
      <c r="AC136" s="139"/>
      <c r="AD136" s="139"/>
      <c r="AE136" s="139"/>
      <c r="AF136" s="140"/>
      <c r="AG136" s="145"/>
      <c r="AH136" s="157">
        <f>IFERROR(__xludf.DUMMYFUNCTION("""COMPUTED_VALUE"""),44468.637995324076)</f>
        <v>44468.638</v>
      </c>
      <c r="AI136" s="138"/>
      <c r="AJ136" s="138"/>
      <c r="AK136" s="138"/>
      <c r="AL136" s="142"/>
    </row>
    <row r="137" ht="20.25" customHeight="1">
      <c r="A137" s="155" t="str">
        <f>IFERROR(__xludf.DUMMYFUNCTION("""COMPUTED_VALUE"""),"WhiteStar")</f>
        <v>WhiteStar</v>
      </c>
      <c r="B137" s="149" t="str">
        <f>IFERROR(__xludf.DUMMYFUNCTION("""COMPUTED_VALUE"""),"Edison")</f>
        <v>Edison</v>
      </c>
      <c r="C137" s="149" t="str">
        <f>IFERROR(__xludf.DUMMYFUNCTION("""COMPUTED_VALUE"""),"NJ")</f>
        <v>NJ</v>
      </c>
      <c r="D137" s="149" t="str">
        <f>IFERROR(__xludf.DUMMYFUNCTION("""COMPUTED_VALUE"""),"USA")</f>
        <v>USA</v>
      </c>
      <c r="E137" s="156">
        <f>IFERROR(__xludf.DUMMYFUNCTION("""COMPUTED_VALUE"""),44454.0)</f>
        <v>44454</v>
      </c>
      <c r="F137" s="129"/>
      <c r="G137" s="154"/>
      <c r="H137" s="131"/>
      <c r="I137" s="144"/>
      <c r="J137" s="129"/>
      <c r="K137" s="133"/>
      <c r="L137" s="133"/>
      <c r="M137" s="133"/>
      <c r="N137" s="152" t="str">
        <f>IFERROR(__xludf.DUMMYFUNCTION("""COMPUTED_VALUE"""),"Model 3 SR+")</f>
        <v>Model 3 SR+</v>
      </c>
      <c r="O137" s="152" t="str">
        <f>IFERROR(__xludf.DUMMYFUNCTION("""COMPUTED_VALUE"""),"Pearl White Multi-Coat")</f>
        <v>Pearl White Multi-Coat</v>
      </c>
      <c r="P137" s="153" t="str">
        <f>IFERROR(__xludf.DUMMYFUNCTION("""COMPUTED_VALUE"""),"18 inch")</f>
        <v>18 inch</v>
      </c>
      <c r="Q137" s="152" t="str">
        <f>IFERROR(__xludf.DUMMYFUNCTION("""COMPUTED_VALUE"""),"All Black")</f>
        <v>All Black</v>
      </c>
      <c r="R137" s="149" t="str">
        <f>IFERROR(__xludf.DUMMYFUNCTION("""COMPUTED_VALUE"""),"Autopilot included")</f>
        <v>Autopilot included</v>
      </c>
      <c r="S137" s="149" t="str">
        <f>IFERROR(__xludf.DUMMYFUNCTION("""COMPUTED_VALUE"""),"Loan")</f>
        <v>Loan</v>
      </c>
      <c r="T137" s="145"/>
      <c r="U137" s="145" t="str">
        <f>IFERROR(__xludf.DUMMYFUNCTION("""COMPUTED_VALUE"""),"Electric!")</f>
        <v>Electric!</v>
      </c>
      <c r="V137" s="145"/>
      <c r="W137" s="136"/>
      <c r="X137" s="137"/>
      <c r="Y137" s="138"/>
      <c r="Z137" s="138"/>
      <c r="AA137" s="138"/>
      <c r="AB137" s="138"/>
      <c r="AC137" s="139"/>
      <c r="AD137" s="139"/>
      <c r="AE137" s="139"/>
      <c r="AF137" s="140"/>
      <c r="AG137" s="136"/>
      <c r="AH137" s="157">
        <f>IFERROR(__xludf.DUMMYFUNCTION("""COMPUTED_VALUE"""),44463.86900586805)</f>
        <v>44463.86901</v>
      </c>
      <c r="AI137" s="138"/>
      <c r="AJ137" s="138"/>
      <c r="AK137" s="138"/>
      <c r="AL137" s="142"/>
    </row>
    <row r="138" ht="20.25" customHeight="1">
      <c r="A138" s="155" t="str">
        <f>IFERROR(__xludf.DUMMYFUNCTION("""COMPUTED_VALUE"""),"gabb")</f>
        <v>gabb</v>
      </c>
      <c r="B138" s="149" t="str">
        <f>IFERROR(__xludf.DUMMYFUNCTION("""COMPUTED_VALUE"""),"Milpitas")</f>
        <v>Milpitas</v>
      </c>
      <c r="C138" s="149" t="str">
        <f>IFERROR(__xludf.DUMMYFUNCTION("""COMPUTED_VALUE"""),"CA")</f>
        <v>CA</v>
      </c>
      <c r="D138" s="149" t="str">
        <f>IFERROR(__xludf.DUMMYFUNCTION("""COMPUTED_VALUE"""),"USA")</f>
        <v>USA</v>
      </c>
      <c r="E138" s="156">
        <f>IFERROR(__xludf.DUMMYFUNCTION("""COMPUTED_VALUE"""),44453.0)</f>
        <v>44453</v>
      </c>
      <c r="F138" s="129">
        <f>IFERROR(__xludf.DUMMYFUNCTION("""COMPUTED_VALUE"""),44509.0)</f>
        <v>44509</v>
      </c>
      <c r="G138" s="154" t="str">
        <f>IFERROR(__xludf.DUMMYFUNCTION("""COMPUTED_VALUE"""),"MVPA")</f>
        <v>MVPA</v>
      </c>
      <c r="H138" s="131">
        <f>IFERROR(__xludf.DUMMYFUNCTION("""COMPUTED_VALUE"""),107055.0)</f>
        <v>107055</v>
      </c>
      <c r="I138" s="144"/>
      <c r="J138" s="129"/>
      <c r="K138" s="133">
        <f>IFERROR(__xludf.DUMMYFUNCTION("""COMPUTED_VALUE"""),56.0)</f>
        <v>56</v>
      </c>
      <c r="L138" s="133"/>
      <c r="M138" s="133"/>
      <c r="N138" s="152" t="str">
        <f>IFERROR(__xludf.DUMMYFUNCTION("""COMPUTED_VALUE"""),"Model 3 LR AWD")</f>
        <v>Model 3 LR AWD</v>
      </c>
      <c r="O138" s="152" t="str">
        <f>IFERROR(__xludf.DUMMYFUNCTION("""COMPUTED_VALUE"""),"Red Multi-Coat")</f>
        <v>Red Multi-Coat</v>
      </c>
      <c r="P138" s="153" t="str">
        <f>IFERROR(__xludf.DUMMYFUNCTION("""COMPUTED_VALUE"""),"19 inch")</f>
        <v>19 inch</v>
      </c>
      <c r="Q138" s="152" t="str">
        <f>IFERROR(__xludf.DUMMYFUNCTION("""COMPUTED_VALUE"""),"All Black")</f>
        <v>All Black</v>
      </c>
      <c r="R138" s="149" t="str">
        <f>IFERROR(__xludf.DUMMYFUNCTION("""COMPUTED_VALUE"""),"Autopilot included")</f>
        <v>Autopilot included</v>
      </c>
      <c r="S138" s="149" t="str">
        <f>IFERROR(__xludf.DUMMYFUNCTION("""COMPUTED_VALUE"""),"Loan")</f>
        <v>Loan</v>
      </c>
      <c r="T138" s="145" t="str">
        <f>IFERROR(__xludf.DUMMYFUNCTION("""COMPUTED_VALUE"""),"BMW i3")</f>
        <v>BMW i3</v>
      </c>
      <c r="U138" s="145" t="str">
        <f>IFERROR(__xludf.DUMMYFUNCTION("""COMPUTED_VALUE"""),"all the above")</f>
        <v>all the above</v>
      </c>
      <c r="V138" s="145" t="str">
        <f>IFERROR(__xludf.DUMMYFUNCTION("""COMPUTED_VALUE"""),"Apple CarPlay / Android Auto / SiriusXM Radio")</f>
        <v>Apple CarPlay / Android Auto / SiriusXM Radio</v>
      </c>
      <c r="W138" s="145"/>
      <c r="X138" s="137"/>
      <c r="Y138" s="138"/>
      <c r="Z138" s="138"/>
      <c r="AA138" s="138"/>
      <c r="AB138" s="138"/>
      <c r="AC138" s="139"/>
      <c r="AD138" s="139"/>
      <c r="AE138" s="139"/>
      <c r="AF138" s="140"/>
      <c r="AG138" s="145"/>
      <c r="AH138" s="157">
        <f>IFERROR(__xludf.DUMMYFUNCTION("""COMPUTED_VALUE"""),44509.64750083333)</f>
        <v>44509.6475</v>
      </c>
      <c r="AI138" s="138"/>
      <c r="AJ138" s="138"/>
      <c r="AK138" s="138"/>
      <c r="AL138" s="142"/>
    </row>
    <row r="139" ht="20.25" customHeight="1">
      <c r="A139" s="155" t="str">
        <f>IFERROR(__xludf.DUMMYFUNCTION("""COMPUTED_VALUE"""),"Kellygeorge ")</f>
        <v>Kellygeorge </v>
      </c>
      <c r="B139" s="150" t="str">
        <f>IFERROR(__xludf.DUMMYFUNCTION("""COMPUTED_VALUE"""),"Corvallis")</f>
        <v>Corvallis</v>
      </c>
      <c r="C139" s="149" t="str">
        <f>IFERROR(__xludf.DUMMYFUNCTION("""COMPUTED_VALUE"""),"OR")</f>
        <v>OR</v>
      </c>
      <c r="D139" s="149" t="str">
        <f>IFERROR(__xludf.DUMMYFUNCTION("""COMPUTED_VALUE"""),"USA")</f>
        <v>USA</v>
      </c>
      <c r="E139" s="156">
        <f>IFERROR(__xludf.DUMMYFUNCTION("""COMPUTED_VALUE"""),44453.0)</f>
        <v>44453</v>
      </c>
      <c r="F139" s="129"/>
      <c r="G139" s="154"/>
      <c r="H139" s="131"/>
      <c r="I139" s="132"/>
      <c r="J139" s="129"/>
      <c r="K139" s="133"/>
      <c r="L139" s="133"/>
      <c r="M139" s="133"/>
      <c r="N139" s="152" t="str">
        <f>IFERROR(__xludf.DUMMYFUNCTION("""COMPUTED_VALUE"""),"Model 3 LR AWD")</f>
        <v>Model 3 LR AWD</v>
      </c>
      <c r="O139" s="152" t="str">
        <f>IFERROR(__xludf.DUMMYFUNCTION("""COMPUTED_VALUE"""),"Midnight Silver Metallic")</f>
        <v>Midnight Silver Metallic</v>
      </c>
      <c r="P139" s="153" t="str">
        <f>IFERROR(__xludf.DUMMYFUNCTION("""COMPUTED_VALUE"""),"18 inch")</f>
        <v>18 inch</v>
      </c>
      <c r="Q139" s="152" t="str">
        <f>IFERROR(__xludf.DUMMYFUNCTION("""COMPUTED_VALUE"""),"All Black")</f>
        <v>All Black</v>
      </c>
      <c r="R139" s="150" t="str">
        <f>IFERROR(__xludf.DUMMYFUNCTION("""COMPUTED_VALUE"""),"Autopilot included")</f>
        <v>Autopilot included</v>
      </c>
      <c r="S139" s="150" t="str">
        <f>IFERROR(__xludf.DUMMYFUNCTION("""COMPUTED_VALUE"""),"Loan")</f>
        <v>Loan</v>
      </c>
      <c r="T139" s="136"/>
      <c r="U139" s="136"/>
      <c r="V139" s="136"/>
      <c r="W139" s="136"/>
      <c r="X139" s="137"/>
      <c r="Y139" s="138"/>
      <c r="Z139" s="138"/>
      <c r="AA139" s="138"/>
      <c r="AB139" s="138"/>
      <c r="AC139" s="139"/>
      <c r="AD139" s="139"/>
      <c r="AE139" s="139"/>
      <c r="AF139" s="140"/>
      <c r="AG139" s="136"/>
      <c r="AH139" s="157">
        <f>IFERROR(__xludf.DUMMYFUNCTION("""COMPUTED_VALUE"""),44466.731299039355)</f>
        <v>44466.7313</v>
      </c>
      <c r="AI139" s="138"/>
      <c r="AJ139" s="138"/>
      <c r="AK139" s="138"/>
      <c r="AL139" s="142"/>
    </row>
    <row r="140" ht="20.25" customHeight="1">
      <c r="A140" s="155" t="str">
        <f>IFERROR(__xludf.DUMMYFUNCTION("""COMPUTED_VALUE"""),"Mithre")</f>
        <v>Mithre</v>
      </c>
      <c r="B140" s="149" t="str">
        <f>IFERROR(__xludf.DUMMYFUNCTION("""COMPUTED_VALUE"""),"Rockville")</f>
        <v>Rockville</v>
      </c>
      <c r="C140" s="149" t="str">
        <f>IFERROR(__xludf.DUMMYFUNCTION("""COMPUTED_VALUE"""),"MD")</f>
        <v>MD</v>
      </c>
      <c r="D140" s="149" t="str">
        <f>IFERROR(__xludf.DUMMYFUNCTION("""COMPUTED_VALUE"""),"USA")</f>
        <v>USA</v>
      </c>
      <c r="E140" s="156">
        <f>IFERROR(__xludf.DUMMYFUNCTION("""COMPUTED_VALUE"""),44453.0)</f>
        <v>44453</v>
      </c>
      <c r="F140" s="129"/>
      <c r="G140" s="154"/>
      <c r="H140" s="131"/>
      <c r="I140" s="144"/>
      <c r="J140" s="129"/>
      <c r="K140" s="133"/>
      <c r="L140" s="133"/>
      <c r="M140" s="133"/>
      <c r="N140" s="152" t="str">
        <f>IFERROR(__xludf.DUMMYFUNCTION("""COMPUTED_VALUE"""),"Model 3 LR AWD")</f>
        <v>Model 3 LR AWD</v>
      </c>
      <c r="O140" s="152" t="str">
        <f>IFERROR(__xludf.DUMMYFUNCTION("""COMPUTED_VALUE"""),"Deep Blue Metallic")</f>
        <v>Deep Blue Metallic</v>
      </c>
      <c r="P140" s="153" t="str">
        <f>IFERROR(__xludf.DUMMYFUNCTION("""COMPUTED_VALUE"""),"18 inch")</f>
        <v>18 inch</v>
      </c>
      <c r="Q140" s="152" t="str">
        <f>IFERROR(__xludf.DUMMYFUNCTION("""COMPUTED_VALUE"""),"All Black")</f>
        <v>All Black</v>
      </c>
      <c r="R140" s="149" t="str">
        <f>IFERROR(__xludf.DUMMYFUNCTION("""COMPUTED_VALUE"""),"Autopilot included")</f>
        <v>Autopilot included</v>
      </c>
      <c r="S140" s="149" t="str">
        <f>IFERROR(__xludf.DUMMYFUNCTION("""COMPUTED_VALUE"""),"Cash")</f>
        <v>Cash</v>
      </c>
      <c r="T140" s="145" t="str">
        <f>IFERROR(__xludf.DUMMYFUNCTION("""COMPUTED_VALUE"""),"Pontiac G6")</f>
        <v>Pontiac G6</v>
      </c>
      <c r="U140" s="145" t="str">
        <f>IFERROR(__xludf.DUMMYFUNCTION("""COMPUTED_VALUE"""),"Electric!")</f>
        <v>Electric!</v>
      </c>
      <c r="V140" s="145" t="str">
        <f>IFERROR(__xludf.DUMMYFUNCTION("""COMPUTED_VALUE"""),"Head-up display")</f>
        <v>Head-up display</v>
      </c>
      <c r="W140" s="136"/>
      <c r="X140" s="162"/>
      <c r="Y140" s="138"/>
      <c r="Z140" s="138"/>
      <c r="AA140" s="138"/>
      <c r="AB140" s="138"/>
      <c r="AC140" s="139"/>
      <c r="AD140" s="139"/>
      <c r="AE140" s="139"/>
      <c r="AF140" s="140"/>
      <c r="AG140" s="136"/>
      <c r="AH140" s="157">
        <f>IFERROR(__xludf.DUMMYFUNCTION("""COMPUTED_VALUE"""),44453.54785550926)</f>
        <v>44453.54786</v>
      </c>
      <c r="AI140" s="138"/>
      <c r="AJ140" s="138"/>
      <c r="AK140" s="138"/>
      <c r="AL140" s="142"/>
    </row>
    <row r="141" ht="20.25" customHeight="1">
      <c r="A141" s="155" t="str">
        <f>IFERROR(__xludf.DUMMYFUNCTION("""COMPUTED_VALUE"""),"mosie7")</f>
        <v>mosie7</v>
      </c>
      <c r="B141" s="149"/>
      <c r="C141" s="149"/>
      <c r="D141" s="149" t="str">
        <f>IFERROR(__xludf.DUMMYFUNCTION("""COMPUTED_VALUE"""),"United Kingdom")</f>
        <v>United Kingdom</v>
      </c>
      <c r="E141" s="156">
        <f>IFERROR(__xludf.DUMMYFUNCTION("""COMPUTED_VALUE"""),44453.0)</f>
        <v>44453</v>
      </c>
      <c r="F141" s="129"/>
      <c r="G141" s="154" t="str">
        <f>IFERROR(__xludf.DUMMYFUNCTION("""COMPUTED_VALUE"""),"Manage order page (normal text)")</f>
        <v>Manage order page (normal text)</v>
      </c>
      <c r="H141" s="131"/>
      <c r="I141" s="144"/>
      <c r="J141" s="129"/>
      <c r="K141" s="133"/>
      <c r="L141" s="133"/>
      <c r="M141" s="133"/>
      <c r="N141" s="152" t="str">
        <f>IFERROR(__xludf.DUMMYFUNCTION("""COMPUTED_VALUE"""),"Model 3 SR+")</f>
        <v>Model 3 SR+</v>
      </c>
      <c r="O141" s="152" t="str">
        <f>IFERROR(__xludf.DUMMYFUNCTION("""COMPUTED_VALUE"""),"Solid Black")</f>
        <v>Solid Black</v>
      </c>
      <c r="P141" s="153" t="str">
        <f>IFERROR(__xludf.DUMMYFUNCTION("""COMPUTED_VALUE"""),"18 inch")</f>
        <v>18 inch</v>
      </c>
      <c r="Q141" s="152" t="str">
        <f>IFERROR(__xludf.DUMMYFUNCTION("""COMPUTED_VALUE"""),"Black and White")</f>
        <v>Black and White</v>
      </c>
      <c r="R141" s="149" t="str">
        <f>IFERROR(__xludf.DUMMYFUNCTION("""COMPUTED_VALUE"""),"Autopilot included")</f>
        <v>Autopilot included</v>
      </c>
      <c r="S141" s="149" t="str">
        <f>IFERROR(__xludf.DUMMYFUNCTION("""COMPUTED_VALUE"""),"Lease")</f>
        <v>Lease</v>
      </c>
      <c r="T141" s="145" t="str">
        <f>IFERROR(__xludf.DUMMYFUNCTION("""COMPUTED_VALUE"""),"VW Tiguan")</f>
        <v>VW Tiguan</v>
      </c>
      <c r="U141" s="145" t="str">
        <f>IFERROR(__xludf.DUMMYFUNCTION("""COMPUTED_VALUE"""),"Electric!")</f>
        <v>Electric!</v>
      </c>
      <c r="V141" s="145" t="str">
        <f>IFERROR(__xludf.DUMMYFUNCTION("""COMPUTED_VALUE"""),"Apple CarPlay / Android Auto / SiriusXM Radio")</f>
        <v>Apple CarPlay / Android Auto / SiriusXM Radio</v>
      </c>
      <c r="W141" s="136"/>
      <c r="X141" s="137"/>
      <c r="Y141" s="138"/>
      <c r="Z141" s="138"/>
      <c r="AA141" s="138"/>
      <c r="AB141" s="138"/>
      <c r="AC141" s="139"/>
      <c r="AD141" s="139"/>
      <c r="AE141" s="139"/>
      <c r="AF141" s="140"/>
      <c r="AG141" s="136"/>
      <c r="AH141" s="157">
        <f>IFERROR(__xludf.DUMMYFUNCTION("""COMPUTED_VALUE"""),44466.10084763889)</f>
        <v>44466.10085</v>
      </c>
      <c r="AI141" s="138"/>
      <c r="AJ141" s="138"/>
      <c r="AK141" s="138"/>
      <c r="AL141" s="142"/>
    </row>
    <row r="142" ht="20.25" customHeight="1">
      <c r="A142" s="155" t="str">
        <f>IFERROR(__xludf.DUMMYFUNCTION("""COMPUTED_VALUE"""),"s1sdsu")</f>
        <v>s1sdsu</v>
      </c>
      <c r="B142" s="149" t="str">
        <f>IFERROR(__xludf.DUMMYFUNCTION("""COMPUTED_VALUE"""),"San Diego")</f>
        <v>San Diego</v>
      </c>
      <c r="C142" s="149" t="str">
        <f>IFERROR(__xludf.DUMMYFUNCTION("""COMPUTED_VALUE"""),"CA")</f>
        <v>CA</v>
      </c>
      <c r="D142" s="149" t="str">
        <f>IFERROR(__xludf.DUMMYFUNCTION("""COMPUTED_VALUE"""),"USA")</f>
        <v>USA</v>
      </c>
      <c r="E142" s="156">
        <f>IFERROR(__xludf.DUMMYFUNCTION("""COMPUTED_VALUE"""),44453.0)</f>
        <v>44453</v>
      </c>
      <c r="F142" s="129"/>
      <c r="G142" s="154"/>
      <c r="H142" s="131"/>
      <c r="I142" s="144"/>
      <c r="J142" s="129"/>
      <c r="K142" s="133"/>
      <c r="L142" s="133"/>
      <c r="M142" s="133"/>
      <c r="N142" s="152" t="str">
        <f>IFERROR(__xludf.DUMMYFUNCTION("""COMPUTED_VALUE"""),"Model 3 LR AWD")</f>
        <v>Model 3 LR AWD</v>
      </c>
      <c r="O142" s="152" t="str">
        <f>IFERROR(__xludf.DUMMYFUNCTION("""COMPUTED_VALUE"""),"Solid Black")</f>
        <v>Solid Black</v>
      </c>
      <c r="P142" s="153" t="str">
        <f>IFERROR(__xludf.DUMMYFUNCTION("""COMPUTED_VALUE"""),"19 inch")</f>
        <v>19 inch</v>
      </c>
      <c r="Q142" s="152" t="str">
        <f>IFERROR(__xludf.DUMMYFUNCTION("""COMPUTED_VALUE"""),"All Black")</f>
        <v>All Black</v>
      </c>
      <c r="R142" s="149" t="str">
        <f>IFERROR(__xludf.DUMMYFUNCTION("""COMPUTED_VALUE"""),"Autopilot included")</f>
        <v>Autopilot included</v>
      </c>
      <c r="S142" s="149" t="str">
        <f>IFERROR(__xludf.DUMMYFUNCTION("""COMPUTED_VALUE"""),"Loan")</f>
        <v>Loan</v>
      </c>
      <c r="T142" s="145" t="str">
        <f>IFERROR(__xludf.DUMMYFUNCTION("""COMPUTED_VALUE"""),"Toyota Prius")</f>
        <v>Toyota Prius</v>
      </c>
      <c r="U142" s="145" t="str">
        <f>IFERROR(__xludf.DUMMYFUNCTION("""COMPUTED_VALUE"""),"All above")</f>
        <v>All above</v>
      </c>
      <c r="V142" s="145" t="str">
        <f>IFERROR(__xludf.DUMMYFUNCTION("""COMPUTED_VALUE"""),"HUD, Blind alert, video on turn signal, lower suspension ")</f>
        <v>HUD, Blind alert, video on turn signal, lower suspension </v>
      </c>
      <c r="W142" s="136"/>
      <c r="X142" s="158"/>
      <c r="Y142" s="138"/>
      <c r="Z142" s="138"/>
      <c r="AA142" s="138"/>
      <c r="AB142" s="138"/>
      <c r="AC142" s="139"/>
      <c r="AD142" s="139"/>
      <c r="AE142" s="139"/>
      <c r="AF142" s="140"/>
      <c r="AG142" s="136"/>
      <c r="AH142" s="157">
        <f>IFERROR(__xludf.DUMMYFUNCTION("""COMPUTED_VALUE"""),44458.98680197917)</f>
        <v>44458.9868</v>
      </c>
      <c r="AI142" s="138"/>
      <c r="AJ142" s="138"/>
      <c r="AK142" s="138"/>
      <c r="AL142" s="142"/>
    </row>
    <row r="143" ht="20.25" customHeight="1">
      <c r="A143" s="155" t="str">
        <f>IFERROR(__xludf.DUMMYFUNCTION("""COMPUTED_VALUE"""),"dlambley")</f>
        <v>dlambley</v>
      </c>
      <c r="B143" s="149" t="str">
        <f>IFERROR(__xludf.DUMMYFUNCTION("""COMPUTED_VALUE"""),"Williamsburg")</f>
        <v>Williamsburg</v>
      </c>
      <c r="C143" s="149" t="str">
        <f>IFERROR(__xludf.DUMMYFUNCTION("""COMPUTED_VALUE"""),"VA")</f>
        <v>VA</v>
      </c>
      <c r="D143" s="149" t="str">
        <f>IFERROR(__xludf.DUMMYFUNCTION("""COMPUTED_VALUE"""),"USA")</f>
        <v>USA</v>
      </c>
      <c r="E143" s="156">
        <f>IFERROR(__xludf.DUMMYFUNCTION("""COMPUTED_VALUE"""),44452.0)</f>
        <v>44452</v>
      </c>
      <c r="F143" s="129"/>
      <c r="G143" s="154"/>
      <c r="H143" s="131"/>
      <c r="I143" s="144"/>
      <c r="J143" s="129"/>
      <c r="K143" s="133"/>
      <c r="L143" s="133"/>
      <c r="M143" s="133"/>
      <c r="N143" s="152" t="str">
        <f>IFERROR(__xludf.DUMMYFUNCTION("""COMPUTED_VALUE"""),"Model 3 SR+")</f>
        <v>Model 3 SR+</v>
      </c>
      <c r="O143" s="152" t="str">
        <f>IFERROR(__xludf.DUMMYFUNCTION("""COMPUTED_VALUE"""),"Deep Blue Metallic")</f>
        <v>Deep Blue Metallic</v>
      </c>
      <c r="P143" s="153"/>
      <c r="Q143" s="152" t="str">
        <f>IFERROR(__xludf.DUMMYFUNCTION("""COMPUTED_VALUE"""),"All Black")</f>
        <v>All Black</v>
      </c>
      <c r="R143" s="149" t="str">
        <f>IFERROR(__xludf.DUMMYFUNCTION("""COMPUTED_VALUE"""),"Autopilot included")</f>
        <v>Autopilot included</v>
      </c>
      <c r="S143" s="149" t="str">
        <f>IFERROR(__xludf.DUMMYFUNCTION("""COMPUTED_VALUE"""),"Loan")</f>
        <v>Loan</v>
      </c>
      <c r="T143" s="145" t="str">
        <f>IFERROR(__xludf.DUMMYFUNCTION("""COMPUTED_VALUE"""),"Mazda 3")</f>
        <v>Mazda 3</v>
      </c>
      <c r="U143" s="145" t="str">
        <f>IFERROR(__xludf.DUMMYFUNCTION("""COMPUTED_VALUE"""),"Electric!")</f>
        <v>Electric!</v>
      </c>
      <c r="V143" s="145" t="str">
        <f>IFERROR(__xludf.DUMMYFUNCTION("""COMPUTED_VALUE"""),"Head-up display")</f>
        <v>Head-up display</v>
      </c>
      <c r="W143" s="145"/>
      <c r="X143" s="137"/>
      <c r="Y143" s="138"/>
      <c r="Z143" s="138"/>
      <c r="AA143" s="138"/>
      <c r="AB143" s="138"/>
      <c r="AC143" s="139"/>
      <c r="AD143" s="139"/>
      <c r="AE143" s="139"/>
      <c r="AF143" s="140"/>
      <c r="AG143" s="145"/>
      <c r="AH143" s="157">
        <f>IFERROR(__xludf.DUMMYFUNCTION("""COMPUTED_VALUE"""),44478.35120287037)</f>
        <v>44478.3512</v>
      </c>
      <c r="AI143" s="138"/>
      <c r="AJ143" s="138"/>
      <c r="AK143" s="138"/>
      <c r="AL143" s="142"/>
    </row>
    <row r="144" ht="20.25" customHeight="1">
      <c r="A144" s="155" t="str">
        <f>IFERROR(__xludf.DUMMYFUNCTION("""COMPUTED_VALUE"""),"macv70")</f>
        <v>macv70</v>
      </c>
      <c r="B144" s="149" t="str">
        <f>IFERROR(__xludf.DUMMYFUNCTION("""COMPUTED_VALUE"""),"Williamsport")</f>
        <v>Williamsport</v>
      </c>
      <c r="C144" s="149" t="str">
        <f>IFERROR(__xludf.DUMMYFUNCTION("""COMPUTED_VALUE"""),"PA")</f>
        <v>PA</v>
      </c>
      <c r="D144" s="149" t="str">
        <f>IFERROR(__xludf.DUMMYFUNCTION("""COMPUTED_VALUE"""),"USA")</f>
        <v>USA</v>
      </c>
      <c r="E144" s="156">
        <f>IFERROR(__xludf.DUMMYFUNCTION("""COMPUTED_VALUE"""),44452.0)</f>
        <v>44452</v>
      </c>
      <c r="F144" s="129">
        <f>IFERROR(__xludf.DUMMYFUNCTION("""COMPUTED_VALUE"""),44505.0)</f>
        <v>44505</v>
      </c>
      <c r="G144" s="154" t="str">
        <f>IFERROR(__xludf.DUMMYFUNCTION("""COMPUTED_VALUE"""),"Email")</f>
        <v>Email</v>
      </c>
      <c r="H144" s="131"/>
      <c r="I144" s="144"/>
      <c r="J144" s="129"/>
      <c r="K144" s="133">
        <f>IFERROR(__xludf.DUMMYFUNCTION("""COMPUTED_VALUE"""),53.0)</f>
        <v>53</v>
      </c>
      <c r="L144" s="133"/>
      <c r="M144" s="133"/>
      <c r="N144" s="152" t="str">
        <f>IFERROR(__xludf.DUMMYFUNCTION("""COMPUTED_VALUE"""),"Model 3 LR AWD")</f>
        <v>Model 3 LR AWD</v>
      </c>
      <c r="O144" s="152" t="str">
        <f>IFERROR(__xludf.DUMMYFUNCTION("""COMPUTED_VALUE"""),"Deep Blue Metallic")</f>
        <v>Deep Blue Metallic</v>
      </c>
      <c r="P144" s="153" t="str">
        <f>IFERROR(__xludf.DUMMYFUNCTION("""COMPUTED_VALUE"""),"18 inch")</f>
        <v>18 inch</v>
      </c>
      <c r="Q144" s="152" t="str">
        <f>IFERROR(__xludf.DUMMYFUNCTION("""COMPUTED_VALUE"""),"All Black")</f>
        <v>All Black</v>
      </c>
      <c r="R144" s="149" t="str">
        <f>IFERROR(__xludf.DUMMYFUNCTION("""COMPUTED_VALUE"""),"Autopilot included")</f>
        <v>Autopilot included</v>
      </c>
      <c r="S144" s="149" t="str">
        <f>IFERROR(__xludf.DUMMYFUNCTION("""COMPUTED_VALUE"""),"Loan")</f>
        <v>Loan</v>
      </c>
      <c r="T144" s="145" t="str">
        <f>IFERROR(__xludf.DUMMYFUNCTION("""COMPUTED_VALUE"""),"Nissan Altima")</f>
        <v>Nissan Altima</v>
      </c>
      <c r="U144" s="145" t="str">
        <f>IFERROR(__xludf.DUMMYFUNCTION("""COMPUTED_VALUE"""),"Electric!")</f>
        <v>Electric!</v>
      </c>
      <c r="V144" s="145" t="str">
        <f>IFERROR(__xludf.DUMMYFUNCTION("""COMPUTED_VALUE"""),"Head-up display")</f>
        <v>Head-up display</v>
      </c>
      <c r="W144" s="136"/>
      <c r="X144" s="137"/>
      <c r="Y144" s="138"/>
      <c r="Z144" s="138"/>
      <c r="AA144" s="138"/>
      <c r="AB144" s="138"/>
      <c r="AC144" s="139"/>
      <c r="AD144" s="139"/>
      <c r="AE144" s="139"/>
      <c r="AF144" s="140"/>
      <c r="AG144" s="136"/>
      <c r="AH144" s="157">
        <f>IFERROR(__xludf.DUMMYFUNCTION("""COMPUTED_VALUE"""),44505.63221143519)</f>
        <v>44505.63221</v>
      </c>
      <c r="AI144" s="138"/>
      <c r="AJ144" s="138"/>
      <c r="AK144" s="138"/>
      <c r="AL144" s="142"/>
    </row>
    <row r="145" ht="20.25" customHeight="1">
      <c r="A145" s="155" t="str">
        <f>IFERROR(__xludf.DUMMYFUNCTION("""COMPUTED_VALUE"""),"MattyK14")</f>
        <v>MattyK14</v>
      </c>
      <c r="B145" s="149" t="str">
        <f>IFERROR(__xludf.DUMMYFUNCTION("""COMPUTED_VALUE"""),"Paradise")</f>
        <v>Paradise</v>
      </c>
      <c r="C145" s="149" t="str">
        <f>IFERROR(__xludf.DUMMYFUNCTION("""COMPUTED_VALUE"""),"NL")</f>
        <v>NL</v>
      </c>
      <c r="D145" s="149" t="str">
        <f>IFERROR(__xludf.DUMMYFUNCTION("""COMPUTED_VALUE"""),"Canada")</f>
        <v>Canada</v>
      </c>
      <c r="E145" s="156">
        <f>IFERROR(__xludf.DUMMYFUNCTION("""COMPUTED_VALUE"""),44452.0)</f>
        <v>44452</v>
      </c>
      <c r="F145" s="129"/>
      <c r="G145" s="154"/>
      <c r="H145" s="131"/>
      <c r="I145" s="144"/>
      <c r="J145" s="129"/>
      <c r="K145" s="133"/>
      <c r="L145" s="133"/>
      <c r="M145" s="133"/>
      <c r="N145" s="152" t="str">
        <f>IFERROR(__xludf.DUMMYFUNCTION("""COMPUTED_VALUE"""),"Model 3 SR+")</f>
        <v>Model 3 SR+</v>
      </c>
      <c r="O145" s="152" t="str">
        <f>IFERROR(__xludf.DUMMYFUNCTION("""COMPUTED_VALUE"""),"Pearl White Multi-Coat")</f>
        <v>Pearl White Multi-Coat</v>
      </c>
      <c r="P145" s="153" t="str">
        <f>IFERROR(__xludf.DUMMYFUNCTION("""COMPUTED_VALUE"""),"18 inch")</f>
        <v>18 inch</v>
      </c>
      <c r="Q145" s="152" t="str">
        <f>IFERROR(__xludf.DUMMYFUNCTION("""COMPUTED_VALUE"""),"All Black")</f>
        <v>All Black</v>
      </c>
      <c r="R145" s="149" t="str">
        <f>IFERROR(__xludf.DUMMYFUNCTION("""COMPUTED_VALUE"""),"Autopilot included")</f>
        <v>Autopilot included</v>
      </c>
      <c r="S145" s="149" t="str">
        <f>IFERROR(__xludf.DUMMYFUNCTION("""COMPUTED_VALUE"""),"Loan")</f>
        <v>Loan</v>
      </c>
      <c r="T145" s="145" t="str">
        <f>IFERROR(__xludf.DUMMYFUNCTION("""COMPUTED_VALUE"""),"Mazda 3")</f>
        <v>Mazda 3</v>
      </c>
      <c r="U145" s="145" t="str">
        <f>IFERROR(__xludf.DUMMYFUNCTION("""COMPUTED_VALUE"""),"Electric!")</f>
        <v>Electric!</v>
      </c>
      <c r="V145" s="145" t="str">
        <f>IFERROR(__xludf.DUMMYFUNCTION("""COMPUTED_VALUE"""),"Apple CarPlay / Android Auto / SiriusXM Radio")</f>
        <v>Apple CarPlay / Android Auto / SiriusXM Radio</v>
      </c>
      <c r="W145" s="136"/>
      <c r="X145" s="137"/>
      <c r="Y145" s="138"/>
      <c r="Z145" s="138"/>
      <c r="AA145" s="138"/>
      <c r="AB145" s="138"/>
      <c r="AC145" s="139"/>
      <c r="AD145" s="139"/>
      <c r="AE145" s="139"/>
      <c r="AF145" s="140"/>
      <c r="AG145" s="136"/>
      <c r="AH145" s="157">
        <f>IFERROR(__xludf.DUMMYFUNCTION("""COMPUTED_VALUE"""),44461.39224533565)</f>
        <v>44461.39225</v>
      </c>
      <c r="AI145" s="138"/>
      <c r="AJ145" s="138"/>
      <c r="AK145" s="138"/>
      <c r="AL145" s="142"/>
    </row>
    <row r="146" ht="20.25" customHeight="1">
      <c r="A146" s="155" t="str">
        <f>IFERROR(__xludf.DUMMYFUNCTION("""COMPUTED_VALUE"""),"mike224jb")</f>
        <v>mike224jb</v>
      </c>
      <c r="B146" s="149" t="str">
        <f>IFERROR(__xludf.DUMMYFUNCTION("""COMPUTED_VALUE"""),"Columbus")</f>
        <v>Columbus</v>
      </c>
      <c r="C146" s="149" t="str">
        <f>IFERROR(__xludf.DUMMYFUNCTION("""COMPUTED_VALUE"""),"OH")</f>
        <v>OH</v>
      </c>
      <c r="D146" s="149" t="str">
        <f>IFERROR(__xludf.DUMMYFUNCTION("""COMPUTED_VALUE"""),"USA")</f>
        <v>USA</v>
      </c>
      <c r="E146" s="156">
        <f>IFERROR(__xludf.DUMMYFUNCTION("""COMPUTED_VALUE"""),44451.0)</f>
        <v>44451</v>
      </c>
      <c r="F146" s="129">
        <f>IFERROR(__xludf.DUMMYFUNCTION("""COMPUTED_VALUE"""),44478.0)</f>
        <v>44478</v>
      </c>
      <c r="G146" s="154" t="str">
        <f>IFERROR(__xludf.DUMMYFUNCTION("""COMPUTED_VALUE"""),"Phone call")</f>
        <v>Phone call</v>
      </c>
      <c r="H146" s="131"/>
      <c r="I146" s="144" t="str">
        <f>IFERROR(__xludf.DUMMYFUNCTION("""COMPUTED_VALUE"""),"10/21")</f>
        <v>10/21</v>
      </c>
      <c r="J146" s="129">
        <f>IFERROR(__xludf.DUMMYFUNCTION("""COMPUTED_VALUE"""),44487.0)</f>
        <v>44487</v>
      </c>
      <c r="K146" s="133">
        <f>IFERROR(__xludf.DUMMYFUNCTION("""COMPUTED_VALUE"""),27.0)</f>
        <v>27</v>
      </c>
      <c r="L146" s="133">
        <f>IFERROR(__xludf.DUMMYFUNCTION("""COMPUTED_VALUE"""),9.0)</f>
        <v>9</v>
      </c>
      <c r="M146" s="133">
        <f>IFERROR(__xludf.DUMMYFUNCTION("""COMPUTED_VALUE"""),36.0)</f>
        <v>36</v>
      </c>
      <c r="N146" s="152" t="str">
        <f>IFERROR(__xludf.DUMMYFUNCTION("""COMPUTED_VALUE"""),"Model 3 Performance")</f>
        <v>Model 3 Performance</v>
      </c>
      <c r="O146" s="152" t="str">
        <f>IFERROR(__xludf.DUMMYFUNCTION("""COMPUTED_VALUE"""),"Midnight Silver Metallic")</f>
        <v>Midnight Silver Metallic</v>
      </c>
      <c r="P146" s="153" t="str">
        <f>IFERROR(__xludf.DUMMYFUNCTION("""COMPUTED_VALUE"""),"20 inch")</f>
        <v>20 inch</v>
      </c>
      <c r="Q146" s="152" t="str">
        <f>IFERROR(__xludf.DUMMYFUNCTION("""COMPUTED_VALUE"""),"Black and White")</f>
        <v>Black and White</v>
      </c>
      <c r="R146" s="149" t="str">
        <f>IFERROR(__xludf.DUMMYFUNCTION("""COMPUTED_VALUE"""),"Autopilot included")</f>
        <v>Autopilot included</v>
      </c>
      <c r="S146" s="149" t="str">
        <f>IFERROR(__xludf.DUMMYFUNCTION("""COMPUTED_VALUE"""),"Lease")</f>
        <v>Lease</v>
      </c>
      <c r="T146" s="145" t="str">
        <f>IFERROR(__xludf.DUMMYFUNCTION("""COMPUTED_VALUE"""),"Honda Civic")</f>
        <v>Honda Civic</v>
      </c>
      <c r="U146" s="145" t="str">
        <f>IFERROR(__xludf.DUMMYFUNCTION("""COMPUTED_VALUE"""),"Electric!")</f>
        <v>Electric!</v>
      </c>
      <c r="V146" s="145" t="str">
        <f>IFERROR(__xludf.DUMMYFUNCTION("""COMPUTED_VALUE"""),"HomeLink")</f>
        <v>HomeLink</v>
      </c>
      <c r="W146" s="136" t="str">
        <f>IFERROR(__xludf.DUMMYFUNCTION("""COMPUTED_VALUE"""),"Supercharging is more expensive than I expected, but still comparable to a gas vehicle.")</f>
        <v>Supercharging is more expensive than I expected, but still comparable to a gas vehicle.</v>
      </c>
      <c r="X146" s="137" t="str">
        <f>IFERROR(__xludf.DUMMYFUNCTION("""COMPUTED_VALUE"""),"Excellent")</f>
        <v>Excellent</v>
      </c>
      <c r="Y146" s="138" t="str">
        <f>IFERROR(__xludf.DUMMYFUNCTION("""COMPUTED_VALUE"""),"Excellent")</f>
        <v>Excellent</v>
      </c>
      <c r="Z146" s="138" t="str">
        <f>IFERROR(__xludf.DUMMYFUNCTION("""COMPUTED_VALUE"""),"Excellent")</f>
        <v>Excellent</v>
      </c>
      <c r="AA146" s="138" t="str">
        <f>IFERROR(__xludf.DUMMYFUNCTION("""COMPUTED_VALUE"""),"Excellent")</f>
        <v>Excellent</v>
      </c>
      <c r="AB146" s="138" t="str">
        <f>IFERROR(__xludf.DUMMYFUNCTION("""COMPUTED_VALUE"""),"Excellent")</f>
        <v>Excellent</v>
      </c>
      <c r="AC146" s="139">
        <f>IFERROR(__xludf.DUMMYFUNCTION("""COMPUTED_VALUE"""),0.0)</f>
        <v>0</v>
      </c>
      <c r="AD146" s="139">
        <f>IFERROR(__xludf.DUMMYFUNCTION("""COMPUTED_VALUE"""),0.0)</f>
        <v>0</v>
      </c>
      <c r="AE146" s="139">
        <f>IFERROR(__xludf.DUMMYFUNCTION("""COMPUTED_VALUE"""),0.0)</f>
        <v>0</v>
      </c>
      <c r="AF146" s="140" t="str">
        <f>IFERROR(__xludf.DUMMYFUNCTION("""COMPUTED_VALUE"""),"No. I took delivery of the first car Tesla was able to deliver.")</f>
        <v>No. I took delivery of the first car Tesla was able to deliver.</v>
      </c>
      <c r="AG146" s="136" t="str">
        <f>IFERROR(__xludf.DUMMYFUNCTION("""COMPUTED_VALUE"""),"Tesla Columbus was fantastic.  Delivered the car early and right to my driveway.  A+++")</f>
        <v>Tesla Columbus was fantastic.  Delivered the car early and right to my driveway.  A+++</v>
      </c>
      <c r="AH146" s="157">
        <f>IFERROR(__xludf.DUMMYFUNCTION("""COMPUTED_VALUE"""),44501.498035578705)</f>
        <v>44501.49804</v>
      </c>
      <c r="AI146" s="138"/>
      <c r="AJ146" s="138"/>
      <c r="AK146" s="138"/>
      <c r="AL146" s="142"/>
    </row>
    <row r="147" ht="20.25" customHeight="1">
      <c r="A147" s="155" t="str">
        <f>IFERROR(__xludf.DUMMYFUNCTION("""COMPUTED_VALUE"""),"tommiexboi")</f>
        <v>tommiexboi</v>
      </c>
      <c r="B147" s="149" t="str">
        <f>IFERROR(__xludf.DUMMYFUNCTION("""COMPUTED_VALUE"""),"Irvine")</f>
        <v>Irvine</v>
      </c>
      <c r="C147" s="149" t="str">
        <f>IFERROR(__xludf.DUMMYFUNCTION("""COMPUTED_VALUE"""),"CA")</f>
        <v>CA</v>
      </c>
      <c r="D147" s="149" t="str">
        <f>IFERROR(__xludf.DUMMYFUNCTION("""COMPUTED_VALUE"""),"USA")</f>
        <v>USA</v>
      </c>
      <c r="E147" s="156">
        <f>IFERROR(__xludf.DUMMYFUNCTION("""COMPUTED_VALUE"""),44451.0)</f>
        <v>44451</v>
      </c>
      <c r="F147" s="129"/>
      <c r="G147" s="154"/>
      <c r="H147" s="131"/>
      <c r="I147" s="144"/>
      <c r="J147" s="129"/>
      <c r="K147" s="133"/>
      <c r="L147" s="133"/>
      <c r="M147" s="133"/>
      <c r="N147" s="152" t="str">
        <f>IFERROR(__xludf.DUMMYFUNCTION("""COMPUTED_VALUE"""),"Model 3 SR+")</f>
        <v>Model 3 SR+</v>
      </c>
      <c r="O147" s="152" t="str">
        <f>IFERROR(__xludf.DUMMYFUNCTION("""COMPUTED_VALUE"""),"Solid Black")</f>
        <v>Solid Black</v>
      </c>
      <c r="P147" s="153" t="str">
        <f>IFERROR(__xludf.DUMMYFUNCTION("""COMPUTED_VALUE"""),"18 inch")</f>
        <v>18 inch</v>
      </c>
      <c r="Q147" s="152" t="str">
        <f>IFERROR(__xludf.DUMMYFUNCTION("""COMPUTED_VALUE"""),"All Black")</f>
        <v>All Black</v>
      </c>
      <c r="R147" s="149" t="str">
        <f>IFERROR(__xludf.DUMMYFUNCTION("""COMPUTED_VALUE"""),"Autopilot included")</f>
        <v>Autopilot included</v>
      </c>
      <c r="S147" s="149" t="str">
        <f>IFERROR(__xludf.DUMMYFUNCTION("""COMPUTED_VALUE"""),"Loan")</f>
        <v>Loan</v>
      </c>
      <c r="T147" s="145" t="str">
        <f>IFERROR(__xludf.DUMMYFUNCTION("""COMPUTED_VALUE"""),"Toyota 4Runner")</f>
        <v>Toyota 4Runner</v>
      </c>
      <c r="U147" s="145" t="str">
        <f>IFERROR(__xludf.DUMMYFUNCTION("""COMPUTED_VALUE"""),"Autopilot")</f>
        <v>Autopilot</v>
      </c>
      <c r="V147" s="145" t="str">
        <f>IFERROR(__xludf.DUMMYFUNCTION("""COMPUTED_VALUE"""),"Apple CarPlay / Android Auto / SiriusXM Radio")</f>
        <v>Apple CarPlay / Android Auto / SiriusXM Radio</v>
      </c>
      <c r="W147" s="136"/>
      <c r="X147" s="137"/>
      <c r="Y147" s="138"/>
      <c r="Z147" s="138"/>
      <c r="AA147" s="138"/>
      <c r="AB147" s="138"/>
      <c r="AC147" s="139"/>
      <c r="AD147" s="139"/>
      <c r="AE147" s="139"/>
      <c r="AF147" s="140"/>
      <c r="AG147" s="136"/>
      <c r="AH147" s="157">
        <f>IFERROR(__xludf.DUMMYFUNCTION("""COMPUTED_VALUE"""),44459.91473475694)</f>
        <v>44459.91473</v>
      </c>
      <c r="AI147" s="138"/>
      <c r="AJ147" s="138"/>
      <c r="AK147" s="138"/>
      <c r="AL147" s="142"/>
    </row>
    <row r="148" ht="20.25" customHeight="1">
      <c r="A148" s="155" t="str">
        <f>IFERROR(__xludf.DUMMYFUNCTION("""COMPUTED_VALUE"""),"Boourns")</f>
        <v>Boourns</v>
      </c>
      <c r="B148" s="149" t="str">
        <f>IFERROR(__xludf.DUMMYFUNCTION("""COMPUTED_VALUE"""),"Dallas")</f>
        <v>Dallas</v>
      </c>
      <c r="C148" s="149" t="str">
        <f>IFERROR(__xludf.DUMMYFUNCTION("""COMPUTED_VALUE"""),"TX")</f>
        <v>TX</v>
      </c>
      <c r="D148" s="149" t="str">
        <f>IFERROR(__xludf.DUMMYFUNCTION("""COMPUTED_VALUE"""),"USA")</f>
        <v>USA</v>
      </c>
      <c r="E148" s="156">
        <f>IFERROR(__xludf.DUMMYFUNCTION("""COMPUTED_VALUE"""),44450.0)</f>
        <v>44450</v>
      </c>
      <c r="F148" s="129">
        <f>IFERROR(__xludf.DUMMYFUNCTION("""COMPUTED_VALUE"""),44452.0)</f>
        <v>44452</v>
      </c>
      <c r="G148" s="154" t="str">
        <f>IFERROR(__xludf.DUMMYFUNCTION("""COMPUTED_VALUE"""),"Manage order page (normal text)")</f>
        <v>Manage order page (normal text)</v>
      </c>
      <c r="H148" s="131">
        <f>IFERROR(__xludf.DUMMYFUNCTION("""COMPUTED_VALUE"""),56155.0)</f>
        <v>56155</v>
      </c>
      <c r="I148" s="132"/>
      <c r="J148" s="129"/>
      <c r="K148" s="133">
        <f>IFERROR(__xludf.DUMMYFUNCTION("""COMPUTED_VALUE"""),2.0)</f>
        <v>2</v>
      </c>
      <c r="L148" s="133"/>
      <c r="M148" s="133"/>
      <c r="N148" s="152" t="str">
        <f>IFERROR(__xludf.DUMMYFUNCTION("""COMPUTED_VALUE"""),"Model 3 Performance")</f>
        <v>Model 3 Performance</v>
      </c>
      <c r="O148" s="152" t="str">
        <f>IFERROR(__xludf.DUMMYFUNCTION("""COMPUTED_VALUE"""),"Red Multi-Coat")</f>
        <v>Red Multi-Coat</v>
      </c>
      <c r="P148" s="153" t="str">
        <f>IFERROR(__xludf.DUMMYFUNCTION("""COMPUTED_VALUE"""),"20 inch")</f>
        <v>20 inch</v>
      </c>
      <c r="Q148" s="152" t="str">
        <f>IFERROR(__xludf.DUMMYFUNCTION("""COMPUTED_VALUE"""),"Black and White")</f>
        <v>Black and White</v>
      </c>
      <c r="R148" s="150" t="str">
        <f>IFERROR(__xludf.DUMMYFUNCTION("""COMPUTED_VALUE"""),"Autopilot included")</f>
        <v>Autopilot included</v>
      </c>
      <c r="S148" s="150" t="str">
        <f>IFERROR(__xludf.DUMMYFUNCTION("""COMPUTED_VALUE"""),"Cash")</f>
        <v>Cash</v>
      </c>
      <c r="T148" s="136" t="str">
        <f>IFERROR(__xludf.DUMMYFUNCTION("""COMPUTED_VALUE"""),"Tesla Model 3")</f>
        <v>Tesla Model 3</v>
      </c>
      <c r="U148" s="136"/>
      <c r="V148" s="136"/>
      <c r="W148" s="136"/>
      <c r="X148" s="137"/>
      <c r="Y148" s="138"/>
      <c r="Z148" s="138"/>
      <c r="AA148" s="138"/>
      <c r="AB148" s="138"/>
      <c r="AC148" s="139"/>
      <c r="AD148" s="139"/>
      <c r="AE148" s="139"/>
      <c r="AF148" s="140"/>
      <c r="AG148" s="136"/>
      <c r="AH148" s="157">
        <f>IFERROR(__xludf.DUMMYFUNCTION("""COMPUTED_VALUE"""),44452.47192810185)</f>
        <v>44452.47193</v>
      </c>
      <c r="AI148" s="138"/>
      <c r="AJ148" s="138"/>
      <c r="AK148" s="138"/>
      <c r="AL148" s="142"/>
    </row>
    <row r="149" ht="20.25" customHeight="1">
      <c r="A149" s="155" t="str">
        <f>IFERROR(__xludf.DUMMYFUNCTION("""COMPUTED_VALUE"""),"clint1234")</f>
        <v>clint1234</v>
      </c>
      <c r="B149" s="149" t="str">
        <f>IFERROR(__xludf.DUMMYFUNCTION("""COMPUTED_VALUE"""),"Austin")</f>
        <v>Austin</v>
      </c>
      <c r="C149" s="149" t="str">
        <f>IFERROR(__xludf.DUMMYFUNCTION("""COMPUTED_VALUE"""),"TX")</f>
        <v>TX</v>
      </c>
      <c r="D149" s="149" t="str">
        <f>IFERROR(__xludf.DUMMYFUNCTION("""COMPUTED_VALUE"""),"USA")</f>
        <v>USA</v>
      </c>
      <c r="E149" s="156">
        <f>IFERROR(__xludf.DUMMYFUNCTION("""COMPUTED_VALUE"""),44450.0)</f>
        <v>44450</v>
      </c>
      <c r="F149" s="129"/>
      <c r="G149" s="154"/>
      <c r="H149" s="131"/>
      <c r="I149" s="144"/>
      <c r="J149" s="129"/>
      <c r="K149" s="133"/>
      <c r="L149" s="133"/>
      <c r="M149" s="133"/>
      <c r="N149" s="152" t="str">
        <f>IFERROR(__xludf.DUMMYFUNCTION("""COMPUTED_VALUE"""),"Model 3 SR+")</f>
        <v>Model 3 SR+</v>
      </c>
      <c r="O149" s="152" t="str">
        <f>IFERROR(__xludf.DUMMYFUNCTION("""COMPUTED_VALUE"""),"Pearl White Multi-Coat")</f>
        <v>Pearl White Multi-Coat</v>
      </c>
      <c r="P149" s="153" t="str">
        <f>IFERROR(__xludf.DUMMYFUNCTION("""COMPUTED_VALUE"""),"19 inch")</f>
        <v>19 inch</v>
      </c>
      <c r="Q149" s="152" t="str">
        <f>IFERROR(__xludf.DUMMYFUNCTION("""COMPUTED_VALUE"""),"Black and White")</f>
        <v>Black and White</v>
      </c>
      <c r="R149" s="149" t="str">
        <f>IFERROR(__xludf.DUMMYFUNCTION("""COMPUTED_VALUE"""),"Autopilot included")</f>
        <v>Autopilot included</v>
      </c>
      <c r="S149" s="149" t="str">
        <f>IFERROR(__xludf.DUMMYFUNCTION("""COMPUTED_VALUE"""),"Loan")</f>
        <v>Loan</v>
      </c>
      <c r="T149" s="145"/>
      <c r="U149" s="145"/>
      <c r="V149" s="145"/>
      <c r="W149" s="145"/>
      <c r="X149" s="137"/>
      <c r="Y149" s="138"/>
      <c r="Z149" s="138"/>
      <c r="AA149" s="138"/>
      <c r="AB149" s="138"/>
      <c r="AC149" s="139"/>
      <c r="AD149" s="139"/>
      <c r="AE149" s="139"/>
      <c r="AF149" s="140"/>
      <c r="AG149" s="145"/>
      <c r="AH149" s="157">
        <f>IFERROR(__xludf.DUMMYFUNCTION("""COMPUTED_VALUE"""),44463.33178304398)</f>
        <v>44463.33178</v>
      </c>
      <c r="AI149" s="138"/>
      <c r="AJ149" s="138"/>
      <c r="AK149" s="138"/>
      <c r="AL149" s="142"/>
    </row>
    <row r="150" ht="20.25" customHeight="1">
      <c r="A150" s="155" t="str">
        <f>IFERROR(__xludf.DUMMYFUNCTION("""COMPUTED_VALUE"""),"John")</f>
        <v>John</v>
      </c>
      <c r="B150" s="149"/>
      <c r="C150" s="149" t="str">
        <f>IFERROR(__xludf.DUMMYFUNCTION("""COMPUTED_VALUE"""),"NJ")</f>
        <v>NJ</v>
      </c>
      <c r="D150" s="149" t="str">
        <f>IFERROR(__xludf.DUMMYFUNCTION("""COMPUTED_VALUE"""),"USA")</f>
        <v>USA</v>
      </c>
      <c r="E150" s="156">
        <f>IFERROR(__xludf.DUMMYFUNCTION("""COMPUTED_VALUE"""),44450.0)</f>
        <v>44450</v>
      </c>
      <c r="F150" s="129"/>
      <c r="G150" s="154"/>
      <c r="H150" s="131"/>
      <c r="I150" s="144"/>
      <c r="J150" s="129"/>
      <c r="K150" s="133"/>
      <c r="L150" s="133"/>
      <c r="M150" s="133"/>
      <c r="N150" s="152" t="str">
        <f>IFERROR(__xludf.DUMMYFUNCTION("""COMPUTED_VALUE"""),"Model 3 LR AWD")</f>
        <v>Model 3 LR AWD</v>
      </c>
      <c r="O150" s="152" t="str">
        <f>IFERROR(__xludf.DUMMYFUNCTION("""COMPUTED_VALUE"""),"Pearl White Multi-Coat")</f>
        <v>Pearl White Multi-Coat</v>
      </c>
      <c r="P150" s="153" t="str">
        <f>IFERROR(__xludf.DUMMYFUNCTION("""COMPUTED_VALUE"""),"18 inch")</f>
        <v>18 inch</v>
      </c>
      <c r="Q150" s="152" t="str">
        <f>IFERROR(__xludf.DUMMYFUNCTION("""COMPUTED_VALUE"""),"All Black")</f>
        <v>All Black</v>
      </c>
      <c r="R150" s="149" t="str">
        <f>IFERROR(__xludf.DUMMYFUNCTION("""COMPUTED_VALUE"""),"Autopilot included")</f>
        <v>Autopilot included</v>
      </c>
      <c r="S150" s="149" t="str">
        <f>IFERROR(__xludf.DUMMYFUNCTION("""COMPUTED_VALUE"""),"Cash")</f>
        <v>Cash</v>
      </c>
      <c r="T150" s="145" t="str">
        <f>IFERROR(__xludf.DUMMYFUNCTION("""COMPUTED_VALUE"""),"Honda Accord")</f>
        <v>Honda Accord</v>
      </c>
      <c r="U150" s="145" t="str">
        <f>IFERROR(__xludf.DUMMYFUNCTION("""COMPUTED_VALUE"""),"Electric!")</f>
        <v>Electric!</v>
      </c>
      <c r="V150" s="145" t="str">
        <f>IFERROR(__xludf.DUMMYFUNCTION("""COMPUTED_VALUE"""),"Head-up display")</f>
        <v>Head-up display</v>
      </c>
      <c r="W150" s="136"/>
      <c r="X150" s="137"/>
      <c r="Y150" s="138"/>
      <c r="Z150" s="138"/>
      <c r="AA150" s="138"/>
      <c r="AB150" s="138"/>
      <c r="AC150" s="139"/>
      <c r="AD150" s="139"/>
      <c r="AE150" s="139"/>
      <c r="AF150" s="140"/>
      <c r="AG150" s="136"/>
      <c r="AH150" s="157">
        <f>IFERROR(__xludf.DUMMYFUNCTION("""COMPUTED_VALUE"""),44480.30504996528)</f>
        <v>44480.30505</v>
      </c>
      <c r="AI150" s="138"/>
      <c r="AJ150" s="138"/>
      <c r="AK150" s="138"/>
      <c r="AL150" s="142"/>
    </row>
    <row r="151" ht="20.25" customHeight="1">
      <c r="A151" s="155" t="str">
        <f>IFERROR(__xludf.DUMMYFUNCTION("""COMPUTED_VALUE"""),"keithman")</f>
        <v>keithman</v>
      </c>
      <c r="B151" s="149" t="str">
        <f>IFERROR(__xludf.DUMMYFUNCTION("""COMPUTED_VALUE"""),"San Diego")</f>
        <v>San Diego</v>
      </c>
      <c r="C151" s="149" t="str">
        <f>IFERROR(__xludf.DUMMYFUNCTION("""COMPUTED_VALUE"""),"CA")</f>
        <v>CA</v>
      </c>
      <c r="D151" s="149" t="str">
        <f>IFERROR(__xludf.DUMMYFUNCTION("""COMPUTED_VALUE"""),"USA")</f>
        <v>USA</v>
      </c>
      <c r="E151" s="156">
        <f>IFERROR(__xludf.DUMMYFUNCTION("""COMPUTED_VALUE"""),44450.0)</f>
        <v>44450</v>
      </c>
      <c r="F151" s="129">
        <f>IFERROR(__xludf.DUMMYFUNCTION("""COMPUTED_VALUE"""),44504.0)</f>
        <v>44504</v>
      </c>
      <c r="G151" s="154" t="str">
        <f>IFERROR(__xludf.DUMMYFUNCTION("""COMPUTED_VALUE"""),"Manage order page (normal text)")</f>
        <v>Manage order page (normal text)</v>
      </c>
      <c r="H151" s="131">
        <f>IFERROR(__xludf.DUMMYFUNCTION("""COMPUTED_VALUE"""),101055.0)</f>
        <v>101055</v>
      </c>
      <c r="I151" s="144"/>
      <c r="J151" s="129">
        <f>IFERROR(__xludf.DUMMYFUNCTION("""COMPUTED_VALUE"""),44508.0)</f>
        <v>44508</v>
      </c>
      <c r="K151" s="133">
        <f>IFERROR(__xludf.DUMMYFUNCTION("""COMPUTED_VALUE"""),54.0)</f>
        <v>54</v>
      </c>
      <c r="L151" s="133">
        <f>IFERROR(__xludf.DUMMYFUNCTION("""COMPUTED_VALUE"""),4.0)</f>
        <v>4</v>
      </c>
      <c r="M151" s="133">
        <f>IFERROR(__xludf.DUMMYFUNCTION("""COMPUTED_VALUE"""),58.0)</f>
        <v>58</v>
      </c>
      <c r="N151" s="152" t="str">
        <f>IFERROR(__xludf.DUMMYFUNCTION("""COMPUTED_VALUE"""),"Model 3 LR AWD")</f>
        <v>Model 3 LR AWD</v>
      </c>
      <c r="O151" s="152" t="str">
        <f>IFERROR(__xludf.DUMMYFUNCTION("""COMPUTED_VALUE"""),"Red Multi-Coat")</f>
        <v>Red Multi-Coat</v>
      </c>
      <c r="P151" s="153" t="str">
        <f>IFERROR(__xludf.DUMMYFUNCTION("""COMPUTED_VALUE"""),"19 inch")</f>
        <v>19 inch</v>
      </c>
      <c r="Q151" s="152" t="str">
        <f>IFERROR(__xludf.DUMMYFUNCTION("""COMPUTED_VALUE"""),"All Black")</f>
        <v>All Black</v>
      </c>
      <c r="R151" s="149" t="str">
        <f>IFERROR(__xludf.DUMMYFUNCTION("""COMPUTED_VALUE"""),"Full Self-Driving")</f>
        <v>Full Self-Driving</v>
      </c>
      <c r="S151" s="149" t="str">
        <f>IFERROR(__xludf.DUMMYFUNCTION("""COMPUTED_VALUE"""),"Loan")</f>
        <v>Loan</v>
      </c>
      <c r="T151" s="145" t="str">
        <f>IFERROR(__xludf.DUMMYFUNCTION("""COMPUTED_VALUE"""),"Porsche Macan S")</f>
        <v>Porsche Macan S</v>
      </c>
      <c r="U151" s="145" t="str">
        <f>IFERROR(__xludf.DUMMYFUNCTION("""COMPUTED_VALUE"""),"Electric!")</f>
        <v>Electric!</v>
      </c>
      <c r="V151" s="145" t="str">
        <f>IFERROR(__xludf.DUMMYFUNCTION("""COMPUTED_VALUE"""),"Bioweapon defense mode")</f>
        <v>Bioweapon defense mode</v>
      </c>
      <c r="W151" s="145"/>
      <c r="X151" s="137"/>
      <c r="Y151" s="138"/>
      <c r="Z151" s="138"/>
      <c r="AA151" s="138"/>
      <c r="AB151" s="138"/>
      <c r="AC151" s="139"/>
      <c r="AD151" s="139"/>
      <c r="AE151" s="139"/>
      <c r="AF151" s="140"/>
      <c r="AG151" s="145"/>
      <c r="AH151" s="157">
        <f>IFERROR(__xludf.DUMMYFUNCTION("""COMPUTED_VALUE"""),44508.27213942129)</f>
        <v>44508.27214</v>
      </c>
      <c r="AI151" s="138"/>
      <c r="AJ151" s="138"/>
      <c r="AK151" s="138"/>
      <c r="AL151" s="142"/>
    </row>
    <row r="152" ht="20.25" customHeight="1">
      <c r="A152" s="155" t="str">
        <f>IFERROR(__xludf.DUMMYFUNCTION("""COMPUTED_VALUE"""),"tesskulrez")</f>
        <v>tesskulrez</v>
      </c>
      <c r="B152" s="149" t="str">
        <f>IFERROR(__xludf.DUMMYFUNCTION("""COMPUTED_VALUE"""),"San Francisco")</f>
        <v>San Francisco</v>
      </c>
      <c r="C152" s="149" t="str">
        <f>IFERROR(__xludf.DUMMYFUNCTION("""COMPUTED_VALUE"""),"CA")</f>
        <v>CA</v>
      </c>
      <c r="D152" s="149" t="str">
        <f>IFERROR(__xludf.DUMMYFUNCTION("""COMPUTED_VALUE"""),"USA")</f>
        <v>USA</v>
      </c>
      <c r="E152" s="156">
        <f>IFERROR(__xludf.DUMMYFUNCTION("""COMPUTED_VALUE"""),44449.0)</f>
        <v>44449</v>
      </c>
      <c r="F152" s="129">
        <f>IFERROR(__xludf.DUMMYFUNCTION("""COMPUTED_VALUE"""),44461.0)</f>
        <v>44461</v>
      </c>
      <c r="G152" s="154" t="str">
        <f>IFERROR(__xludf.DUMMYFUNCTION("""COMPUTED_VALUE"""),"Manage order page (normal text)")</f>
        <v>Manage order page (normal text)</v>
      </c>
      <c r="H152" s="131">
        <f>IFERROR(__xludf.DUMMYFUNCTION("""COMPUTED_VALUE"""),69155.0)</f>
        <v>69155</v>
      </c>
      <c r="I152" s="144" t="str">
        <f>IFERROR(__xludf.DUMMYFUNCTION("""COMPUTED_VALUE"""),"09/21")</f>
        <v>09/21</v>
      </c>
      <c r="J152" s="129">
        <f>IFERROR(__xludf.DUMMYFUNCTION("""COMPUTED_VALUE"""),44463.0)</f>
        <v>44463</v>
      </c>
      <c r="K152" s="133">
        <f>IFERROR(__xludf.DUMMYFUNCTION("""COMPUTED_VALUE"""),12.0)</f>
        <v>12</v>
      </c>
      <c r="L152" s="133">
        <f>IFERROR(__xludf.DUMMYFUNCTION("""COMPUTED_VALUE"""),2.0)</f>
        <v>2</v>
      </c>
      <c r="M152" s="133">
        <f>IFERROR(__xludf.DUMMYFUNCTION("""COMPUTED_VALUE"""),14.0)</f>
        <v>14</v>
      </c>
      <c r="N152" s="152" t="str">
        <f>IFERROR(__xludf.DUMMYFUNCTION("""COMPUTED_VALUE"""),"Model 3 Performance")</f>
        <v>Model 3 Performance</v>
      </c>
      <c r="O152" s="152" t="str">
        <f>IFERROR(__xludf.DUMMYFUNCTION("""COMPUTED_VALUE"""),"Solid Black")</f>
        <v>Solid Black</v>
      </c>
      <c r="P152" s="153" t="str">
        <f>IFERROR(__xludf.DUMMYFUNCTION("""COMPUTED_VALUE"""),"20 inch")</f>
        <v>20 inch</v>
      </c>
      <c r="Q152" s="152" t="str">
        <f>IFERROR(__xludf.DUMMYFUNCTION("""COMPUTED_VALUE"""),"All Black")</f>
        <v>All Black</v>
      </c>
      <c r="R152" s="149" t="str">
        <f>IFERROR(__xludf.DUMMYFUNCTION("""COMPUTED_VALUE"""),"Full Self-Driving")</f>
        <v>Full Self-Driving</v>
      </c>
      <c r="S152" s="149" t="str">
        <f>IFERROR(__xludf.DUMMYFUNCTION("""COMPUTED_VALUE"""),"Loan")</f>
        <v>Loan</v>
      </c>
      <c r="T152" s="145" t="str">
        <f>IFERROR(__xludf.DUMMYFUNCTION("""COMPUTED_VALUE"""),"Honda Accord")</f>
        <v>Honda Accord</v>
      </c>
      <c r="U152" s="145" t="str">
        <f>IFERROR(__xludf.DUMMYFUNCTION("""COMPUTED_VALUE"""),"Supercharger V3 support")</f>
        <v>Supercharger V3 support</v>
      </c>
      <c r="V152" s="145" t="str">
        <f>IFERROR(__xludf.DUMMYFUNCTION("""COMPUTED_VALUE"""),"Air suspension")</f>
        <v>Air suspension</v>
      </c>
      <c r="W152" s="136"/>
      <c r="X152" s="137" t="str">
        <f>IFERROR(__xludf.DUMMYFUNCTION("""COMPUTED_VALUE"""),"Excellent")</f>
        <v>Excellent</v>
      </c>
      <c r="Y152" s="138" t="str">
        <f>IFERROR(__xludf.DUMMYFUNCTION("""COMPUTED_VALUE"""),"Good")</f>
        <v>Good</v>
      </c>
      <c r="Z152" s="138" t="str">
        <f>IFERROR(__xludf.DUMMYFUNCTION("""COMPUTED_VALUE"""),"Excellent")</f>
        <v>Excellent</v>
      </c>
      <c r="AA152" s="138" t="str">
        <f>IFERROR(__xludf.DUMMYFUNCTION("""COMPUTED_VALUE"""),"Poor")</f>
        <v>Poor</v>
      </c>
      <c r="AB152" s="138" t="str">
        <f>IFERROR(__xludf.DUMMYFUNCTION("""COMPUTED_VALUE"""),"Poor")</f>
        <v>Poor</v>
      </c>
      <c r="AC152" s="139"/>
      <c r="AD152" s="139"/>
      <c r="AE152" s="139"/>
      <c r="AF152" s="140" t="str">
        <f>IFERROR(__xludf.DUMMYFUNCTION("""COMPUTED_VALUE"""),"No. I took delivery of the first car Tesla was able to deliver.")</f>
        <v>No. I took delivery of the first car Tesla was able to deliver.</v>
      </c>
      <c r="AG152" s="136"/>
      <c r="AH152" s="157">
        <f>IFERROR(__xludf.DUMMYFUNCTION("""COMPUTED_VALUE"""),44464.19938184028)</f>
        <v>44464.19938</v>
      </c>
      <c r="AI152" s="138"/>
      <c r="AJ152" s="138"/>
      <c r="AK152" s="138"/>
      <c r="AL152" s="142"/>
    </row>
    <row r="153" ht="20.25" customHeight="1">
      <c r="A153" s="155" t="str">
        <f>IFERROR(__xludf.DUMMYFUNCTION("""COMPUTED_VALUE"""),"baselinetd")</f>
        <v>baselinetd</v>
      </c>
      <c r="B153" s="149" t="str">
        <f>IFERROR(__xludf.DUMMYFUNCTION("""COMPUTED_VALUE"""),"Oakville")</f>
        <v>Oakville</v>
      </c>
      <c r="C153" s="149" t="str">
        <f>IFERROR(__xludf.DUMMYFUNCTION("""COMPUTED_VALUE"""),"ON")</f>
        <v>ON</v>
      </c>
      <c r="D153" s="149" t="str">
        <f>IFERROR(__xludf.DUMMYFUNCTION("""COMPUTED_VALUE"""),"Canada")</f>
        <v>Canada</v>
      </c>
      <c r="E153" s="156">
        <f>IFERROR(__xludf.DUMMYFUNCTION("""COMPUTED_VALUE"""),44448.0)</f>
        <v>44448</v>
      </c>
      <c r="F153" s="129">
        <f>IFERROR(__xludf.DUMMYFUNCTION("""COMPUTED_VALUE"""),44494.0)</f>
        <v>44494</v>
      </c>
      <c r="G153" s="154" t="str">
        <f>IFERROR(__xludf.DUMMYFUNCTION("""COMPUTED_VALUE"""),"Email")</f>
        <v>Email</v>
      </c>
      <c r="H153" s="131"/>
      <c r="I153" s="144"/>
      <c r="J153" s="129">
        <f>IFERROR(__xludf.DUMMYFUNCTION("""COMPUTED_VALUE"""),44505.0)</f>
        <v>44505</v>
      </c>
      <c r="K153" s="133">
        <f>IFERROR(__xludf.DUMMYFUNCTION("""COMPUTED_VALUE"""),46.0)</f>
        <v>46</v>
      </c>
      <c r="L153" s="133">
        <f>IFERROR(__xludf.DUMMYFUNCTION("""COMPUTED_VALUE"""),11.0)</f>
        <v>11</v>
      </c>
      <c r="M153" s="133">
        <f>IFERROR(__xludf.DUMMYFUNCTION("""COMPUTED_VALUE"""),57.0)</f>
        <v>57</v>
      </c>
      <c r="N153" s="152" t="str">
        <f>IFERROR(__xludf.DUMMYFUNCTION("""COMPUTED_VALUE"""),"Model 3 LR AWD")</f>
        <v>Model 3 LR AWD</v>
      </c>
      <c r="O153" s="152" t="str">
        <f>IFERROR(__xludf.DUMMYFUNCTION("""COMPUTED_VALUE"""),"Deep Blue Metallic")</f>
        <v>Deep Blue Metallic</v>
      </c>
      <c r="P153" s="153" t="str">
        <f>IFERROR(__xludf.DUMMYFUNCTION("""COMPUTED_VALUE"""),"18 inch")</f>
        <v>18 inch</v>
      </c>
      <c r="Q153" s="152" t="str">
        <f>IFERROR(__xludf.DUMMYFUNCTION("""COMPUTED_VALUE"""),"Black and White")</f>
        <v>Black and White</v>
      </c>
      <c r="R153" s="149" t="str">
        <f>IFERROR(__xludf.DUMMYFUNCTION("""COMPUTED_VALUE"""),"Autopilot included")</f>
        <v>Autopilot included</v>
      </c>
      <c r="S153" s="149" t="str">
        <f>IFERROR(__xludf.DUMMYFUNCTION("""COMPUTED_VALUE"""),"Loan")</f>
        <v>Loan</v>
      </c>
      <c r="T153" s="145"/>
      <c r="U153" s="145"/>
      <c r="V153" s="145"/>
      <c r="W153" s="145"/>
      <c r="X153" s="137"/>
      <c r="Y153" s="138"/>
      <c r="Z153" s="138"/>
      <c r="AA153" s="138"/>
      <c r="AB153" s="138"/>
      <c r="AC153" s="139"/>
      <c r="AD153" s="139"/>
      <c r="AE153" s="139"/>
      <c r="AF153" s="140"/>
      <c r="AG153" s="145"/>
      <c r="AH153" s="157">
        <f>IFERROR(__xludf.DUMMYFUNCTION("""COMPUTED_VALUE"""),44496.56020273148)</f>
        <v>44496.5602</v>
      </c>
      <c r="AI153" s="138"/>
      <c r="AJ153" s="138"/>
      <c r="AK153" s="138"/>
      <c r="AL153" s="142"/>
    </row>
    <row r="154" ht="20.25" customHeight="1">
      <c r="A154" s="155" t="str">
        <f>IFERROR(__xludf.DUMMYFUNCTION("""COMPUTED_VALUE"""),"chris789789")</f>
        <v>chris789789</v>
      </c>
      <c r="B154" s="149" t="str">
        <f>IFERROR(__xludf.DUMMYFUNCTION("""COMPUTED_VALUE"""),"Durham")</f>
        <v>Durham</v>
      </c>
      <c r="C154" s="149" t="str">
        <f>IFERROR(__xludf.DUMMYFUNCTION("""COMPUTED_VALUE"""),"NC")</f>
        <v>NC</v>
      </c>
      <c r="D154" s="149" t="str">
        <f>IFERROR(__xludf.DUMMYFUNCTION("""COMPUTED_VALUE"""),"USA")</f>
        <v>USA</v>
      </c>
      <c r="E154" s="156">
        <f>IFERROR(__xludf.DUMMYFUNCTION("""COMPUTED_VALUE"""),44448.0)</f>
        <v>44448</v>
      </c>
      <c r="F154" s="129"/>
      <c r="G154" s="154"/>
      <c r="H154" s="131"/>
      <c r="I154" s="144"/>
      <c r="J154" s="129"/>
      <c r="K154" s="133"/>
      <c r="L154" s="133"/>
      <c r="M154" s="133"/>
      <c r="N154" s="152" t="str">
        <f>IFERROR(__xludf.DUMMYFUNCTION("""COMPUTED_VALUE"""),"Model 3 SR+")</f>
        <v>Model 3 SR+</v>
      </c>
      <c r="O154" s="152" t="str">
        <f>IFERROR(__xludf.DUMMYFUNCTION("""COMPUTED_VALUE"""),"Red Multi-Coat")</f>
        <v>Red Multi-Coat</v>
      </c>
      <c r="P154" s="153" t="str">
        <f>IFERROR(__xludf.DUMMYFUNCTION("""COMPUTED_VALUE"""),"18 inch")</f>
        <v>18 inch</v>
      </c>
      <c r="Q154" s="152" t="str">
        <f>IFERROR(__xludf.DUMMYFUNCTION("""COMPUTED_VALUE"""),"All Black")</f>
        <v>All Black</v>
      </c>
      <c r="R154" s="149"/>
      <c r="S154" s="149" t="str">
        <f>IFERROR(__xludf.DUMMYFUNCTION("""COMPUTED_VALUE"""),"Loan")</f>
        <v>Loan</v>
      </c>
      <c r="T154" s="145"/>
      <c r="U154" s="145" t="str">
        <f>IFERROR(__xludf.DUMMYFUNCTION("""COMPUTED_VALUE"""),"Electric!")</f>
        <v>Electric!</v>
      </c>
      <c r="V154" s="145"/>
      <c r="W154" s="145"/>
      <c r="X154" s="137"/>
      <c r="Y154" s="138"/>
      <c r="Z154" s="138"/>
      <c r="AA154" s="138"/>
      <c r="AB154" s="138"/>
      <c r="AC154" s="139"/>
      <c r="AD154" s="139"/>
      <c r="AE154" s="139"/>
      <c r="AF154" s="140"/>
      <c r="AG154" s="145"/>
      <c r="AH154" s="157">
        <f>IFERROR(__xludf.DUMMYFUNCTION("""COMPUTED_VALUE"""),44448.60808009259)</f>
        <v>44448.60808</v>
      </c>
      <c r="AI154" s="138"/>
      <c r="AJ154" s="138"/>
      <c r="AK154" s="138"/>
      <c r="AL154" s="142"/>
    </row>
    <row r="155" ht="20.25" customHeight="1">
      <c r="A155" s="155" t="str">
        <f>IFERROR(__xludf.DUMMYFUNCTION("""COMPUTED_VALUE"""),"comprex")</f>
        <v>comprex</v>
      </c>
      <c r="B155" s="149" t="str">
        <f>IFERROR(__xludf.DUMMYFUNCTION("""COMPUTED_VALUE"""),"Houston")</f>
        <v>Houston</v>
      </c>
      <c r="C155" s="149" t="str">
        <f>IFERROR(__xludf.DUMMYFUNCTION("""COMPUTED_VALUE"""),"TX")</f>
        <v>TX</v>
      </c>
      <c r="D155" s="149" t="str">
        <f>IFERROR(__xludf.DUMMYFUNCTION("""COMPUTED_VALUE"""),"USA")</f>
        <v>USA</v>
      </c>
      <c r="E155" s="156">
        <f>IFERROR(__xludf.DUMMYFUNCTION("""COMPUTED_VALUE"""),44448.0)</f>
        <v>44448</v>
      </c>
      <c r="F155" s="129"/>
      <c r="G155" s="154"/>
      <c r="H155" s="131"/>
      <c r="I155" s="144"/>
      <c r="J155" s="129"/>
      <c r="K155" s="133"/>
      <c r="L155" s="133"/>
      <c r="M155" s="133"/>
      <c r="N155" s="152" t="str">
        <f>IFERROR(__xludf.DUMMYFUNCTION("""COMPUTED_VALUE"""),"Model 3 SR+")</f>
        <v>Model 3 SR+</v>
      </c>
      <c r="O155" s="152" t="str">
        <f>IFERROR(__xludf.DUMMYFUNCTION("""COMPUTED_VALUE"""),"Pearl White Multi-Coat")</f>
        <v>Pearl White Multi-Coat</v>
      </c>
      <c r="P155" s="153" t="str">
        <f>IFERROR(__xludf.DUMMYFUNCTION("""COMPUTED_VALUE"""),"18 inch")</f>
        <v>18 inch</v>
      </c>
      <c r="Q155" s="152" t="str">
        <f>IFERROR(__xludf.DUMMYFUNCTION("""COMPUTED_VALUE"""),"All Black")</f>
        <v>All Black</v>
      </c>
      <c r="R155" s="149" t="str">
        <f>IFERROR(__xludf.DUMMYFUNCTION("""COMPUTED_VALUE"""),"Autopilot included")</f>
        <v>Autopilot included</v>
      </c>
      <c r="S155" s="149" t="str">
        <f>IFERROR(__xludf.DUMMYFUNCTION("""COMPUTED_VALUE"""),"Loan")</f>
        <v>Loan</v>
      </c>
      <c r="T155" s="145"/>
      <c r="U155" s="145"/>
      <c r="V155" s="145"/>
      <c r="W155" s="136"/>
      <c r="X155" s="137"/>
      <c r="Y155" s="138"/>
      <c r="Z155" s="138"/>
      <c r="AA155" s="138"/>
      <c r="AB155" s="138"/>
      <c r="AC155" s="139"/>
      <c r="AD155" s="139"/>
      <c r="AE155" s="139"/>
      <c r="AF155" s="140"/>
      <c r="AG155" s="136"/>
      <c r="AH155" s="157">
        <f>IFERROR(__xludf.DUMMYFUNCTION("""COMPUTED_VALUE"""),44475.28439667824)</f>
        <v>44475.2844</v>
      </c>
      <c r="AI155" s="138"/>
      <c r="AJ155" s="138"/>
      <c r="AK155" s="138"/>
      <c r="AL155" s="142"/>
    </row>
    <row r="156" ht="20.25" customHeight="1">
      <c r="A156" s="155" t="str">
        <f>IFERROR(__xludf.DUMMYFUNCTION("""COMPUTED_VALUE"""),"differentphase")</f>
        <v>differentphase</v>
      </c>
      <c r="B156" s="149" t="str">
        <f>IFERROR(__xludf.DUMMYFUNCTION("""COMPUTED_VALUE"""),"Philadelphia")</f>
        <v>Philadelphia</v>
      </c>
      <c r="C156" s="149" t="str">
        <f>IFERROR(__xludf.DUMMYFUNCTION("""COMPUTED_VALUE"""),"PA")</f>
        <v>PA</v>
      </c>
      <c r="D156" s="149" t="str">
        <f>IFERROR(__xludf.DUMMYFUNCTION("""COMPUTED_VALUE"""),"USA")</f>
        <v>USA</v>
      </c>
      <c r="E156" s="156">
        <f>IFERROR(__xludf.DUMMYFUNCTION("""COMPUTED_VALUE"""),44448.0)</f>
        <v>44448</v>
      </c>
      <c r="F156" s="129">
        <f>IFERROR(__xludf.DUMMYFUNCTION("""COMPUTED_VALUE"""),44506.0)</f>
        <v>44506</v>
      </c>
      <c r="G156" s="154" t="str">
        <f>IFERROR(__xludf.DUMMYFUNCTION("""COMPUTED_VALUE"""),"Manage order page (normal text)")</f>
        <v>Manage order page (normal text)</v>
      </c>
      <c r="H156" s="131">
        <f>IFERROR(__xludf.DUMMYFUNCTION("""COMPUTED_VALUE"""),105165.0)</f>
        <v>105165</v>
      </c>
      <c r="I156" s="144"/>
      <c r="J156" s="129"/>
      <c r="K156" s="133">
        <f>IFERROR(__xludf.DUMMYFUNCTION("""COMPUTED_VALUE"""),58.0)</f>
        <v>58</v>
      </c>
      <c r="L156" s="133"/>
      <c r="M156" s="133"/>
      <c r="N156" s="152" t="str">
        <f>IFERROR(__xludf.DUMMYFUNCTION("""COMPUTED_VALUE"""),"Model 3 LR AWD")</f>
        <v>Model 3 LR AWD</v>
      </c>
      <c r="O156" s="152" t="str">
        <f>IFERROR(__xludf.DUMMYFUNCTION("""COMPUTED_VALUE"""),"Pearl White Multi-Coat")</f>
        <v>Pearl White Multi-Coat</v>
      </c>
      <c r="P156" s="153" t="str">
        <f>IFERROR(__xludf.DUMMYFUNCTION("""COMPUTED_VALUE"""),"18 inch")</f>
        <v>18 inch</v>
      </c>
      <c r="Q156" s="152" t="str">
        <f>IFERROR(__xludf.DUMMYFUNCTION("""COMPUTED_VALUE"""),"All Black")</f>
        <v>All Black</v>
      </c>
      <c r="R156" s="149" t="str">
        <f>IFERROR(__xludf.DUMMYFUNCTION("""COMPUTED_VALUE"""),"Autopilot included")</f>
        <v>Autopilot included</v>
      </c>
      <c r="S156" s="149"/>
      <c r="T156" s="145"/>
      <c r="U156" s="145"/>
      <c r="V156" s="145"/>
      <c r="W156" s="136"/>
      <c r="X156" s="137"/>
      <c r="Y156" s="138"/>
      <c r="Z156" s="138"/>
      <c r="AA156" s="138"/>
      <c r="AB156" s="138"/>
      <c r="AC156" s="139"/>
      <c r="AD156" s="139"/>
      <c r="AE156" s="139"/>
      <c r="AF156" s="140"/>
      <c r="AG156" s="136"/>
      <c r="AH156" s="157">
        <f>IFERROR(__xludf.DUMMYFUNCTION("""COMPUTED_VALUE"""),44506.30124719907)</f>
        <v>44506.30125</v>
      </c>
      <c r="AI156" s="138"/>
      <c r="AJ156" s="138"/>
      <c r="AK156" s="138"/>
      <c r="AL156" s="142"/>
    </row>
    <row r="157" ht="20.25" customHeight="1">
      <c r="A157" s="155" t="str">
        <f>IFERROR(__xludf.DUMMYFUNCTION("""COMPUTED_VALUE"""),"m0rk")</f>
        <v>m0rk</v>
      </c>
      <c r="B157" s="149" t="str">
        <f>IFERROR(__xludf.DUMMYFUNCTION("""COMPUTED_VALUE"""),"Portsmouth")</f>
        <v>Portsmouth</v>
      </c>
      <c r="C157" s="149"/>
      <c r="D157" s="149" t="str">
        <f>IFERROR(__xludf.DUMMYFUNCTION("""COMPUTED_VALUE"""),"United Kingdom")</f>
        <v>United Kingdom</v>
      </c>
      <c r="E157" s="156">
        <f>IFERROR(__xludf.DUMMYFUNCTION("""COMPUTED_VALUE"""),44448.0)</f>
        <v>44448</v>
      </c>
      <c r="F157" s="129"/>
      <c r="G157" s="154"/>
      <c r="H157" s="131"/>
      <c r="I157" s="132"/>
      <c r="J157" s="129"/>
      <c r="K157" s="133"/>
      <c r="L157" s="133"/>
      <c r="M157" s="133"/>
      <c r="N157" s="152" t="str">
        <f>IFERROR(__xludf.DUMMYFUNCTION("""COMPUTED_VALUE"""),"Model 3 LR AWD")</f>
        <v>Model 3 LR AWD</v>
      </c>
      <c r="O157" s="152" t="str">
        <f>IFERROR(__xludf.DUMMYFUNCTION("""COMPUTED_VALUE"""),"Pearl White Multi-Coat")</f>
        <v>Pearl White Multi-Coat</v>
      </c>
      <c r="P157" s="153" t="str">
        <f>IFERROR(__xludf.DUMMYFUNCTION("""COMPUTED_VALUE"""),"18 inch")</f>
        <v>18 inch</v>
      </c>
      <c r="Q157" s="152" t="str">
        <f>IFERROR(__xludf.DUMMYFUNCTION("""COMPUTED_VALUE"""),"All Black")</f>
        <v>All Black</v>
      </c>
      <c r="R157" s="150"/>
      <c r="S157" s="150" t="str">
        <f>IFERROR(__xludf.DUMMYFUNCTION("""COMPUTED_VALUE"""),"Lease")</f>
        <v>Lease</v>
      </c>
      <c r="T157" s="136" t="str">
        <f>IFERROR(__xludf.DUMMYFUNCTION("""COMPUTED_VALUE"""),"Ford Focus")</f>
        <v>Ford Focus</v>
      </c>
      <c r="U157" s="136" t="str">
        <f>IFERROR(__xludf.DUMMYFUNCTION("""COMPUTED_VALUE"""),"Supercharger V3 support")</f>
        <v>Supercharger V3 support</v>
      </c>
      <c r="V157" s="136" t="str">
        <f>IFERROR(__xludf.DUMMYFUNCTION("""COMPUTED_VALUE"""),"Apple CarPlay / Android Auto / SiriusXM Radio")</f>
        <v>Apple CarPlay / Android Auto / SiriusXM Radio</v>
      </c>
      <c r="W157" s="136"/>
      <c r="X157" s="137"/>
      <c r="Y157" s="138"/>
      <c r="Z157" s="138"/>
      <c r="AA157" s="138"/>
      <c r="AB157" s="138"/>
      <c r="AC157" s="139"/>
      <c r="AD157" s="139"/>
      <c r="AE157" s="139"/>
      <c r="AF157" s="140"/>
      <c r="AG157" s="136"/>
      <c r="AH157" s="157">
        <f>IFERROR(__xludf.DUMMYFUNCTION("""COMPUTED_VALUE"""),44451.379086458335)</f>
        <v>44451.37909</v>
      </c>
      <c r="AI157" s="138"/>
      <c r="AJ157" s="138"/>
      <c r="AK157" s="138"/>
      <c r="AL157" s="142"/>
    </row>
    <row r="158" ht="20.25" customHeight="1">
      <c r="A158" s="155" t="str">
        <f>IFERROR(__xludf.DUMMYFUNCTION("""COMPUTED_VALUE"""),"Ray Mc")</f>
        <v>Ray Mc</v>
      </c>
      <c r="B158" s="149" t="str">
        <f>IFERROR(__xludf.DUMMYFUNCTION("""COMPUTED_VALUE"""),"Gary")</f>
        <v>Gary</v>
      </c>
      <c r="C158" s="149" t="str">
        <f>IFERROR(__xludf.DUMMYFUNCTION("""COMPUTED_VALUE"""),"IN")</f>
        <v>IN</v>
      </c>
      <c r="D158" s="149" t="str">
        <f>IFERROR(__xludf.DUMMYFUNCTION("""COMPUTED_VALUE"""),"USA")</f>
        <v>USA</v>
      </c>
      <c r="E158" s="156">
        <f>IFERROR(__xludf.DUMMYFUNCTION("""COMPUTED_VALUE"""),44448.0)</f>
        <v>44448</v>
      </c>
      <c r="F158" s="129"/>
      <c r="G158" s="154"/>
      <c r="H158" s="131"/>
      <c r="I158" s="144"/>
      <c r="J158" s="129"/>
      <c r="K158" s="133"/>
      <c r="L158" s="133"/>
      <c r="M158" s="133"/>
      <c r="N158" s="152" t="str">
        <f>IFERROR(__xludf.DUMMYFUNCTION("""COMPUTED_VALUE"""),"Model 3 LR AWD")</f>
        <v>Model 3 LR AWD</v>
      </c>
      <c r="O158" s="152" t="str">
        <f>IFERROR(__xludf.DUMMYFUNCTION("""COMPUTED_VALUE"""),"Red Multi-Coat")</f>
        <v>Red Multi-Coat</v>
      </c>
      <c r="P158" s="153" t="str">
        <f>IFERROR(__xludf.DUMMYFUNCTION("""COMPUTED_VALUE"""),"18 inch")</f>
        <v>18 inch</v>
      </c>
      <c r="Q158" s="152" t="str">
        <f>IFERROR(__xludf.DUMMYFUNCTION("""COMPUTED_VALUE"""),"All Black")</f>
        <v>All Black</v>
      </c>
      <c r="R158" s="149" t="str">
        <f>IFERROR(__xludf.DUMMYFUNCTION("""COMPUTED_VALUE"""),"Autopilot included")</f>
        <v>Autopilot included</v>
      </c>
      <c r="S158" s="149" t="str">
        <f>IFERROR(__xludf.DUMMYFUNCTION("""COMPUTED_VALUE"""),"Loan")</f>
        <v>Loan</v>
      </c>
      <c r="T158" s="145" t="str">
        <f>IFERROR(__xludf.DUMMYFUNCTION("""COMPUTED_VALUE"""),"Saturn Vue 2004")</f>
        <v>Saturn Vue 2004</v>
      </c>
      <c r="U158" s="145" t="str">
        <f>IFERROR(__xludf.DUMMYFUNCTION("""COMPUTED_VALUE"""),"Electric!")</f>
        <v>Electric!</v>
      </c>
      <c r="V158" s="145" t="str">
        <f>IFERROR(__xludf.DUMMYFUNCTION("""COMPUTED_VALUE"""),"Air suspension")</f>
        <v>Air suspension</v>
      </c>
      <c r="W158" s="136" t="str">
        <f>IFERROR(__xludf.DUMMYFUNCTION("""COMPUTED_VALUE"""),"Patience")</f>
        <v>Patience</v>
      </c>
      <c r="X158" s="137"/>
      <c r="Y158" s="138"/>
      <c r="Z158" s="138"/>
      <c r="AA158" s="138"/>
      <c r="AB158" s="138"/>
      <c r="AC158" s="139"/>
      <c r="AD158" s="139"/>
      <c r="AE158" s="139"/>
      <c r="AF158" s="140"/>
      <c r="AG158" s="136"/>
      <c r="AH158" s="157">
        <f>IFERROR(__xludf.DUMMYFUNCTION("""COMPUTED_VALUE"""),44487.36442613426)</f>
        <v>44487.36443</v>
      </c>
      <c r="AI158" s="138"/>
      <c r="AJ158" s="138"/>
      <c r="AK158" s="138"/>
      <c r="AL158" s="142"/>
    </row>
    <row r="159" ht="20.25" customHeight="1">
      <c r="A159" s="155" t="str">
        <f>IFERROR(__xludf.DUMMYFUNCTION("""COMPUTED_VALUE"""),"Samgiguere")</f>
        <v>Samgiguere</v>
      </c>
      <c r="B159" s="149" t="str">
        <f>IFERROR(__xludf.DUMMYFUNCTION("""COMPUTED_VALUE"""),"Trois-Rivieres")</f>
        <v>Trois-Rivieres</v>
      </c>
      <c r="C159" s="149" t="str">
        <f>IFERROR(__xludf.DUMMYFUNCTION("""COMPUTED_VALUE"""),"QC")</f>
        <v>QC</v>
      </c>
      <c r="D159" s="149" t="str">
        <f>IFERROR(__xludf.DUMMYFUNCTION("""COMPUTED_VALUE"""),"Canada")</f>
        <v>Canada</v>
      </c>
      <c r="E159" s="156">
        <f>IFERROR(__xludf.DUMMYFUNCTION("""COMPUTED_VALUE"""),44448.0)</f>
        <v>44448</v>
      </c>
      <c r="F159" s="129"/>
      <c r="G159" s="154"/>
      <c r="H159" s="131"/>
      <c r="I159" s="132"/>
      <c r="J159" s="129"/>
      <c r="K159" s="133"/>
      <c r="L159" s="133"/>
      <c r="M159" s="133"/>
      <c r="N159" s="152" t="str">
        <f>IFERROR(__xludf.DUMMYFUNCTION("""COMPUTED_VALUE"""),"Model 3 SR+")</f>
        <v>Model 3 SR+</v>
      </c>
      <c r="O159" s="152" t="str">
        <f>IFERROR(__xludf.DUMMYFUNCTION("""COMPUTED_VALUE"""),"Deep Blue Metallic")</f>
        <v>Deep Blue Metallic</v>
      </c>
      <c r="P159" s="153" t="str">
        <f>IFERROR(__xludf.DUMMYFUNCTION("""COMPUTED_VALUE"""),"18 inch")</f>
        <v>18 inch</v>
      </c>
      <c r="Q159" s="152" t="str">
        <f>IFERROR(__xludf.DUMMYFUNCTION("""COMPUTED_VALUE"""),"All Black")</f>
        <v>All Black</v>
      </c>
      <c r="R159" s="150" t="str">
        <f>IFERROR(__xludf.DUMMYFUNCTION("""COMPUTED_VALUE"""),"Autopilot included")</f>
        <v>Autopilot included</v>
      </c>
      <c r="S159" s="150" t="str">
        <f>IFERROR(__xludf.DUMMYFUNCTION("""COMPUTED_VALUE"""),"Loan")</f>
        <v>Loan</v>
      </c>
      <c r="T159" s="136" t="str">
        <f>IFERROR(__xludf.DUMMYFUNCTION("""COMPUTED_VALUE"""),"Golf")</f>
        <v>Golf</v>
      </c>
      <c r="U159" s="136" t="str">
        <f>IFERROR(__xludf.DUMMYFUNCTION("""COMPUTED_VALUE"""),"All-glass roof")</f>
        <v>All-glass roof</v>
      </c>
      <c r="V159" s="136" t="str">
        <f>IFERROR(__xludf.DUMMYFUNCTION("""COMPUTED_VALUE"""),"Head-up display")</f>
        <v>Head-up display</v>
      </c>
      <c r="W159" s="136"/>
      <c r="X159" s="137"/>
      <c r="Y159" s="138"/>
      <c r="Z159" s="138"/>
      <c r="AA159" s="138"/>
      <c r="AB159" s="138"/>
      <c r="AC159" s="139"/>
      <c r="AD159" s="139"/>
      <c r="AE159" s="139"/>
      <c r="AF159" s="140"/>
      <c r="AG159" s="136"/>
      <c r="AH159" s="157">
        <f>IFERROR(__xludf.DUMMYFUNCTION("""COMPUTED_VALUE"""),44465.52781122685)</f>
        <v>44465.52781</v>
      </c>
      <c r="AI159" s="138"/>
      <c r="AJ159" s="138"/>
      <c r="AK159" s="138"/>
      <c r="AL159" s="142"/>
    </row>
    <row r="160" ht="20.25" customHeight="1">
      <c r="A160" s="155" t="str">
        <f>IFERROR(__xludf.DUMMYFUNCTION("""COMPUTED_VALUE"""),"sap5001")</f>
        <v>sap5001</v>
      </c>
      <c r="B160" s="149" t="str">
        <f>IFERROR(__xludf.DUMMYFUNCTION("""COMPUTED_VALUE"""),"Apex")</f>
        <v>Apex</v>
      </c>
      <c r="C160" s="149" t="str">
        <f>IFERROR(__xludf.DUMMYFUNCTION("""COMPUTED_VALUE"""),"NC")</f>
        <v>NC</v>
      </c>
      <c r="D160" s="149" t="str">
        <f>IFERROR(__xludf.DUMMYFUNCTION("""COMPUTED_VALUE"""),"USA")</f>
        <v>USA</v>
      </c>
      <c r="E160" s="156">
        <f>IFERROR(__xludf.DUMMYFUNCTION("""COMPUTED_VALUE"""),44448.0)</f>
        <v>44448</v>
      </c>
      <c r="F160" s="129"/>
      <c r="G160" s="154"/>
      <c r="H160" s="131"/>
      <c r="I160" s="144"/>
      <c r="J160" s="129"/>
      <c r="K160" s="133"/>
      <c r="L160" s="133"/>
      <c r="M160" s="133"/>
      <c r="N160" s="152" t="str">
        <f>IFERROR(__xludf.DUMMYFUNCTION("""COMPUTED_VALUE"""),"Model 3 SR+")</f>
        <v>Model 3 SR+</v>
      </c>
      <c r="O160" s="152" t="str">
        <f>IFERROR(__xludf.DUMMYFUNCTION("""COMPUTED_VALUE"""),"Midnight Silver Metallic")</f>
        <v>Midnight Silver Metallic</v>
      </c>
      <c r="P160" s="153" t="str">
        <f>IFERROR(__xludf.DUMMYFUNCTION("""COMPUTED_VALUE"""),"18 inch")</f>
        <v>18 inch</v>
      </c>
      <c r="Q160" s="152" t="str">
        <f>IFERROR(__xludf.DUMMYFUNCTION("""COMPUTED_VALUE"""),"All Black")</f>
        <v>All Black</v>
      </c>
      <c r="R160" s="149" t="str">
        <f>IFERROR(__xludf.DUMMYFUNCTION("""COMPUTED_VALUE"""),"Autopilot included")</f>
        <v>Autopilot included</v>
      </c>
      <c r="S160" s="149" t="str">
        <f>IFERROR(__xludf.DUMMYFUNCTION("""COMPUTED_VALUE"""),"Loan")</f>
        <v>Loan</v>
      </c>
      <c r="T160" s="145"/>
      <c r="U160" s="145" t="str">
        <f>IFERROR(__xludf.DUMMYFUNCTION("""COMPUTED_VALUE"""),"Electric!")</f>
        <v>Electric!</v>
      </c>
      <c r="V160" s="145" t="str">
        <f>IFERROR(__xludf.DUMMYFUNCTION("""COMPUTED_VALUE"""),"360° Bird's eye view")</f>
        <v>360° Bird's eye view</v>
      </c>
      <c r="W160" s="145"/>
      <c r="X160" s="137"/>
      <c r="Y160" s="138"/>
      <c r="Z160" s="138"/>
      <c r="AA160" s="138"/>
      <c r="AB160" s="138"/>
      <c r="AC160" s="139"/>
      <c r="AD160" s="139"/>
      <c r="AE160" s="139"/>
      <c r="AF160" s="140"/>
      <c r="AG160" s="145"/>
      <c r="AH160" s="157">
        <f>IFERROR(__xludf.DUMMYFUNCTION("""COMPUTED_VALUE"""),44462.30533761574)</f>
        <v>44462.30534</v>
      </c>
      <c r="AI160" s="138"/>
      <c r="AJ160" s="138"/>
      <c r="AK160" s="138"/>
      <c r="AL160" s="142"/>
    </row>
    <row r="161" ht="20.25" customHeight="1">
      <c r="A161" s="155" t="str">
        <f>IFERROR(__xludf.DUMMYFUNCTION("""COMPUTED_VALUE"""),"Space Cowboy")</f>
        <v>Space Cowboy</v>
      </c>
      <c r="B161" s="149" t="str">
        <f>IFERROR(__xludf.DUMMYFUNCTION("""COMPUTED_VALUE"""),"Leeds")</f>
        <v>Leeds</v>
      </c>
      <c r="C161" s="149"/>
      <c r="D161" s="149" t="str">
        <f>IFERROR(__xludf.DUMMYFUNCTION("""COMPUTED_VALUE"""),"United Kingdom")</f>
        <v>United Kingdom</v>
      </c>
      <c r="E161" s="156">
        <f>IFERROR(__xludf.DUMMYFUNCTION("""COMPUTED_VALUE"""),44448.0)</f>
        <v>44448</v>
      </c>
      <c r="F161" s="129"/>
      <c r="G161" s="154"/>
      <c r="H161" s="131"/>
      <c r="I161" s="144"/>
      <c r="J161" s="129">
        <f>IFERROR(__xludf.DUMMYFUNCTION("""COMPUTED_VALUE"""),44529.0)</f>
        <v>44529</v>
      </c>
      <c r="K161" s="133"/>
      <c r="L161" s="133"/>
      <c r="M161" s="133">
        <f>IFERROR(__xludf.DUMMYFUNCTION("""COMPUTED_VALUE"""),81.0)</f>
        <v>81</v>
      </c>
      <c r="N161" s="152" t="str">
        <f>IFERROR(__xludf.DUMMYFUNCTION("""COMPUTED_VALUE"""),"Model 3 SR+")</f>
        <v>Model 3 SR+</v>
      </c>
      <c r="O161" s="152" t="str">
        <f>IFERROR(__xludf.DUMMYFUNCTION("""COMPUTED_VALUE"""),"Pearl White Multi-Coat")</f>
        <v>Pearl White Multi-Coat</v>
      </c>
      <c r="P161" s="153" t="str">
        <f>IFERROR(__xludf.DUMMYFUNCTION("""COMPUTED_VALUE"""),"18 inch")</f>
        <v>18 inch</v>
      </c>
      <c r="Q161" s="152" t="str">
        <f>IFERROR(__xludf.DUMMYFUNCTION("""COMPUTED_VALUE"""),"All Black")</f>
        <v>All Black</v>
      </c>
      <c r="R161" s="149" t="str">
        <f>IFERROR(__xludf.DUMMYFUNCTION("""COMPUTED_VALUE"""),"Autopilot included")</f>
        <v>Autopilot included</v>
      </c>
      <c r="S161" s="149" t="str">
        <f>IFERROR(__xludf.DUMMYFUNCTION("""COMPUTED_VALUE"""),"Lease")</f>
        <v>Lease</v>
      </c>
      <c r="T161" s="145"/>
      <c r="U161" s="145"/>
      <c r="V161" s="145" t="str">
        <f>IFERROR(__xludf.DUMMYFUNCTION("""COMPUTED_VALUE"""),"Apple CarPlay / Android Auto / SiriusXM Radio")</f>
        <v>Apple CarPlay / Android Auto / SiriusXM Radio</v>
      </c>
      <c r="W161" s="145"/>
      <c r="X161" s="137"/>
      <c r="Y161" s="138"/>
      <c r="Z161" s="138"/>
      <c r="AA161" s="138"/>
      <c r="AB161" s="138"/>
      <c r="AC161" s="139"/>
      <c r="AD161" s="139"/>
      <c r="AE161" s="139"/>
      <c r="AF161" s="140"/>
      <c r="AG161" s="145"/>
      <c r="AH161" s="157">
        <f>IFERROR(__xludf.DUMMYFUNCTION("""COMPUTED_VALUE"""),44498.09008630787)</f>
        <v>44498.09009</v>
      </c>
      <c r="AI161" s="138"/>
      <c r="AJ161" s="138"/>
      <c r="AK161" s="138"/>
      <c r="AL161" s="142"/>
    </row>
    <row r="162" ht="20.25" customHeight="1">
      <c r="A162" s="155" t="str">
        <f>IFERROR(__xludf.DUMMYFUNCTION("""COMPUTED_VALUE"""),"Tenatious")</f>
        <v>Tenatious</v>
      </c>
      <c r="B162" s="149"/>
      <c r="C162" s="149"/>
      <c r="D162" s="149" t="str">
        <f>IFERROR(__xludf.DUMMYFUNCTION("""COMPUTED_VALUE"""),"United Kingdom")</f>
        <v>United Kingdom</v>
      </c>
      <c r="E162" s="156">
        <f>IFERROR(__xludf.DUMMYFUNCTION("""COMPUTED_VALUE"""),44448.0)</f>
        <v>44448</v>
      </c>
      <c r="F162" s="129"/>
      <c r="G162" s="154"/>
      <c r="H162" s="131"/>
      <c r="I162" s="144"/>
      <c r="J162" s="129"/>
      <c r="K162" s="133"/>
      <c r="L162" s="133"/>
      <c r="M162" s="133"/>
      <c r="N162" s="152" t="str">
        <f>IFERROR(__xludf.DUMMYFUNCTION("""COMPUTED_VALUE"""),"Model 3 LR AWD")</f>
        <v>Model 3 LR AWD</v>
      </c>
      <c r="O162" s="152" t="str">
        <f>IFERROR(__xludf.DUMMYFUNCTION("""COMPUTED_VALUE"""),"Pearl White Multi-Coat")</f>
        <v>Pearl White Multi-Coat</v>
      </c>
      <c r="P162" s="153" t="str">
        <f>IFERROR(__xludf.DUMMYFUNCTION("""COMPUTED_VALUE"""),"18 inch")</f>
        <v>18 inch</v>
      </c>
      <c r="Q162" s="152" t="str">
        <f>IFERROR(__xludf.DUMMYFUNCTION("""COMPUTED_VALUE"""),"All Black")</f>
        <v>All Black</v>
      </c>
      <c r="R162" s="149" t="str">
        <f>IFERROR(__xludf.DUMMYFUNCTION("""COMPUTED_VALUE"""),"Autopilot included")</f>
        <v>Autopilot included</v>
      </c>
      <c r="S162" s="149" t="str">
        <f>IFERROR(__xludf.DUMMYFUNCTION("""COMPUTED_VALUE"""),"Lease")</f>
        <v>Lease</v>
      </c>
      <c r="T162" s="145" t="str">
        <f>IFERROR(__xludf.DUMMYFUNCTION("""COMPUTED_VALUE"""),"VW Tiguan")</f>
        <v>VW Tiguan</v>
      </c>
      <c r="U162" s="145" t="str">
        <f>IFERROR(__xludf.DUMMYFUNCTION("""COMPUTED_VALUE"""),"Electric!")</f>
        <v>Electric!</v>
      </c>
      <c r="V162" s="145" t="str">
        <f>IFERROR(__xludf.DUMMYFUNCTION("""COMPUTED_VALUE"""),"Apple CarPlay / Android Auto / SiriusXM Radio")</f>
        <v>Apple CarPlay / Android Auto / SiriusXM Radio</v>
      </c>
      <c r="W162" s="136"/>
      <c r="X162" s="137"/>
      <c r="Y162" s="138"/>
      <c r="Z162" s="138"/>
      <c r="AA162" s="138"/>
      <c r="AB162" s="138"/>
      <c r="AC162" s="139"/>
      <c r="AD162" s="139"/>
      <c r="AE162" s="139"/>
      <c r="AF162" s="140"/>
      <c r="AG162" s="136"/>
      <c r="AH162" s="157">
        <f>IFERROR(__xludf.DUMMYFUNCTION("""COMPUTED_VALUE"""),44483.43704488426)</f>
        <v>44483.43704</v>
      </c>
      <c r="AI162" s="138"/>
      <c r="AJ162" s="138"/>
      <c r="AK162" s="138"/>
      <c r="AL162" s="142"/>
    </row>
    <row r="163" ht="20.25" customHeight="1">
      <c r="A163" s="155" t="str">
        <f>IFERROR(__xludf.DUMMYFUNCTION("""COMPUTED_VALUE"""),"thederrrek")</f>
        <v>thederrrek</v>
      </c>
      <c r="B163" s="149" t="str">
        <f>IFERROR(__xludf.DUMMYFUNCTION("""COMPUTED_VALUE"""),"Northwest")</f>
        <v>Northwest</v>
      </c>
      <c r="C163" s="149" t="str">
        <f>IFERROR(__xludf.DUMMYFUNCTION("""COMPUTED_VALUE"""),"FL")</f>
        <v>FL</v>
      </c>
      <c r="D163" s="149" t="str">
        <f>IFERROR(__xludf.DUMMYFUNCTION("""COMPUTED_VALUE"""),"USA")</f>
        <v>USA</v>
      </c>
      <c r="E163" s="156">
        <f>IFERROR(__xludf.DUMMYFUNCTION("""COMPUTED_VALUE"""),44448.0)</f>
        <v>44448</v>
      </c>
      <c r="F163" s="129">
        <f>IFERROR(__xludf.DUMMYFUNCTION("""COMPUTED_VALUE"""),44505.0)</f>
        <v>44505</v>
      </c>
      <c r="G163" s="154" t="str">
        <f>IFERROR(__xludf.DUMMYFUNCTION("""COMPUTED_VALUE"""),"Manage order page (normal text)")</f>
        <v>Manage order page (normal text)</v>
      </c>
      <c r="H163" s="131"/>
      <c r="I163" s="144" t="str">
        <f>IFERROR(__xludf.DUMMYFUNCTION("""COMPUTED_VALUE"""),"10/21")</f>
        <v>10/21</v>
      </c>
      <c r="J163" s="129"/>
      <c r="K163" s="133">
        <f>IFERROR(__xludf.DUMMYFUNCTION("""COMPUTED_VALUE"""),57.0)</f>
        <v>57</v>
      </c>
      <c r="L163" s="133"/>
      <c r="M163" s="133"/>
      <c r="N163" s="152" t="str">
        <f>IFERROR(__xludf.DUMMYFUNCTION("""COMPUTED_VALUE"""),"Model 3 LR AWD")</f>
        <v>Model 3 LR AWD</v>
      </c>
      <c r="O163" s="152" t="str">
        <f>IFERROR(__xludf.DUMMYFUNCTION("""COMPUTED_VALUE"""),"Midnight Silver Metallic")</f>
        <v>Midnight Silver Metallic</v>
      </c>
      <c r="P163" s="153" t="str">
        <f>IFERROR(__xludf.DUMMYFUNCTION("""COMPUTED_VALUE"""),"18 inch")</f>
        <v>18 inch</v>
      </c>
      <c r="Q163" s="152" t="str">
        <f>IFERROR(__xludf.DUMMYFUNCTION("""COMPUTED_VALUE"""),"All Black")</f>
        <v>All Black</v>
      </c>
      <c r="R163" s="149" t="str">
        <f>IFERROR(__xludf.DUMMYFUNCTION("""COMPUTED_VALUE"""),"Autopilot included")</f>
        <v>Autopilot included</v>
      </c>
      <c r="S163" s="149"/>
      <c r="T163" s="145"/>
      <c r="U163" s="145"/>
      <c r="V163" s="145"/>
      <c r="W163" s="136"/>
      <c r="X163" s="137" t="str">
        <f>IFERROR(__xludf.DUMMYFUNCTION("""COMPUTED_VALUE"""),"Excellent")</f>
        <v>Excellent</v>
      </c>
      <c r="Y163" s="138" t="str">
        <f>IFERROR(__xludf.DUMMYFUNCTION("""COMPUTED_VALUE"""),"Excellent")</f>
        <v>Excellent</v>
      </c>
      <c r="Z163" s="138" t="str">
        <f>IFERROR(__xludf.DUMMYFUNCTION("""COMPUTED_VALUE"""),"Excellent")</f>
        <v>Excellent</v>
      </c>
      <c r="AA163" s="138" t="str">
        <f>IFERROR(__xludf.DUMMYFUNCTION("""COMPUTED_VALUE"""),"Very Good")</f>
        <v>Very Good</v>
      </c>
      <c r="AB163" s="138" t="str">
        <f>IFERROR(__xludf.DUMMYFUNCTION("""COMPUTED_VALUE"""),"Fair")</f>
        <v>Fair</v>
      </c>
      <c r="AC163" s="139"/>
      <c r="AD163" s="139"/>
      <c r="AE163" s="139"/>
      <c r="AF163" s="140"/>
      <c r="AG163" s="136"/>
      <c r="AH163" s="157">
        <f>IFERROR(__xludf.DUMMYFUNCTION("""COMPUTED_VALUE"""),44505.465964039344)</f>
        <v>44505.46596</v>
      </c>
      <c r="AI163" s="138"/>
      <c r="AJ163" s="138"/>
      <c r="AK163" s="138"/>
      <c r="AL163" s="142"/>
    </row>
    <row r="164" ht="20.25" customHeight="1">
      <c r="A164" s="155" t="str">
        <f>IFERROR(__xludf.DUMMYFUNCTION("""COMPUTED_VALUE"""),"cg")</f>
        <v>cg</v>
      </c>
      <c r="B164" s="149"/>
      <c r="C164" s="149"/>
      <c r="D164" s="149" t="str">
        <f>IFERROR(__xludf.DUMMYFUNCTION("""COMPUTED_VALUE"""),"Switzerland")</f>
        <v>Switzerland</v>
      </c>
      <c r="E164" s="156">
        <f>IFERROR(__xludf.DUMMYFUNCTION("""COMPUTED_VALUE"""),44447.0)</f>
        <v>44447</v>
      </c>
      <c r="F164" s="129">
        <f>IFERROR(__xludf.DUMMYFUNCTION("""COMPUTED_VALUE"""),44491.0)</f>
        <v>44491</v>
      </c>
      <c r="G164" s="154" t="str">
        <f>IFERROR(__xludf.DUMMYFUNCTION("""COMPUTED_VALUE"""),"Source code")</f>
        <v>Source code</v>
      </c>
      <c r="H164" s="131">
        <f>IFERROR(__xludf.DUMMYFUNCTION("""COMPUTED_VALUE"""),384055.0)</f>
        <v>384055</v>
      </c>
      <c r="I164" s="144"/>
      <c r="J164" s="129"/>
      <c r="K164" s="133">
        <f>IFERROR(__xludf.DUMMYFUNCTION("""COMPUTED_VALUE"""),44.0)</f>
        <v>44</v>
      </c>
      <c r="L164" s="133"/>
      <c r="M164" s="133"/>
      <c r="N164" s="152" t="str">
        <f>IFERROR(__xludf.DUMMYFUNCTION("""COMPUTED_VALUE"""),"Model 3 Performance")</f>
        <v>Model 3 Performance</v>
      </c>
      <c r="O164" s="152" t="str">
        <f>IFERROR(__xludf.DUMMYFUNCTION("""COMPUTED_VALUE"""),"Deep Blue Metallic")</f>
        <v>Deep Blue Metallic</v>
      </c>
      <c r="P164" s="153" t="str">
        <f>IFERROR(__xludf.DUMMYFUNCTION("""COMPUTED_VALUE"""),"20 inch")</f>
        <v>20 inch</v>
      </c>
      <c r="Q164" s="152" t="str">
        <f>IFERROR(__xludf.DUMMYFUNCTION("""COMPUTED_VALUE"""),"Black and White")</f>
        <v>Black and White</v>
      </c>
      <c r="R164" s="149" t="str">
        <f>IFERROR(__xludf.DUMMYFUNCTION("""COMPUTED_VALUE"""),"Autopilot included")</f>
        <v>Autopilot included</v>
      </c>
      <c r="S164" s="149" t="str">
        <f>IFERROR(__xludf.DUMMYFUNCTION("""COMPUTED_VALUE"""),"Cash")</f>
        <v>Cash</v>
      </c>
      <c r="T164" s="145" t="str">
        <f>IFERROR(__xludf.DUMMYFUNCTION("""COMPUTED_VALUE"""),"Tesla Model S")</f>
        <v>Tesla Model S</v>
      </c>
      <c r="U164" s="145" t="str">
        <f>IFERROR(__xludf.DUMMYFUNCTION("""COMPUTED_VALUE"""),"Electric!")</f>
        <v>Electric!</v>
      </c>
      <c r="V164" s="145" t="str">
        <f>IFERROR(__xludf.DUMMYFUNCTION("""COMPUTED_VALUE"""),"Ventilated seats")</f>
        <v>Ventilated seats</v>
      </c>
      <c r="W164" s="145"/>
      <c r="X164" s="137"/>
      <c r="Y164" s="138"/>
      <c r="Z164" s="138"/>
      <c r="AA164" s="138"/>
      <c r="AB164" s="138"/>
      <c r="AC164" s="139"/>
      <c r="AD164" s="139"/>
      <c r="AE164" s="139"/>
      <c r="AF164" s="140"/>
      <c r="AG164" s="145"/>
      <c r="AH164" s="157">
        <f>IFERROR(__xludf.DUMMYFUNCTION("""COMPUTED_VALUE"""),44490.96028269676)</f>
        <v>44490.96028</v>
      </c>
      <c r="AI164" s="138"/>
      <c r="AJ164" s="138"/>
      <c r="AK164" s="138"/>
      <c r="AL164" s="142"/>
    </row>
    <row r="165" ht="20.25" customHeight="1">
      <c r="A165" s="155" t="str">
        <f>IFERROR(__xludf.DUMMYFUNCTION("""COMPUTED_VALUE"""),"Thyself")</f>
        <v>Thyself</v>
      </c>
      <c r="B165" s="149" t="str">
        <f>IFERROR(__xludf.DUMMYFUNCTION("""COMPUTED_VALUE"""),"Norfolk")</f>
        <v>Norfolk</v>
      </c>
      <c r="C165" s="149" t="str">
        <f>IFERROR(__xludf.DUMMYFUNCTION("""COMPUTED_VALUE"""),"VA")</f>
        <v>VA</v>
      </c>
      <c r="D165" s="149" t="str">
        <f>IFERROR(__xludf.DUMMYFUNCTION("""COMPUTED_VALUE"""),"USA")</f>
        <v>USA</v>
      </c>
      <c r="E165" s="156">
        <f>IFERROR(__xludf.DUMMYFUNCTION("""COMPUTED_VALUE"""),44447.0)</f>
        <v>44447</v>
      </c>
      <c r="F165" s="129">
        <f>IFERROR(__xludf.DUMMYFUNCTION("""COMPUTED_VALUE"""),44450.0)</f>
        <v>44450</v>
      </c>
      <c r="G165" s="154" t="str">
        <f>IFERROR(__xludf.DUMMYFUNCTION("""COMPUTED_VALUE"""),"Manage order page (normal text)")</f>
        <v>Manage order page (normal text)</v>
      </c>
      <c r="H165" s="131">
        <f>IFERROR(__xludf.DUMMYFUNCTION("""COMPUTED_VALUE"""),54742.0)</f>
        <v>54742</v>
      </c>
      <c r="I165" s="144"/>
      <c r="J165" s="129"/>
      <c r="K165" s="133">
        <f>IFERROR(__xludf.DUMMYFUNCTION("""COMPUTED_VALUE"""),3.0)</f>
        <v>3</v>
      </c>
      <c r="L165" s="133"/>
      <c r="M165" s="133"/>
      <c r="N165" s="152" t="str">
        <f>IFERROR(__xludf.DUMMYFUNCTION("""COMPUTED_VALUE"""),"Model 3 Performance")</f>
        <v>Model 3 Performance</v>
      </c>
      <c r="O165" s="152" t="str">
        <f>IFERROR(__xludf.DUMMYFUNCTION("""COMPUTED_VALUE"""),"Pearl White Multi-Coat")</f>
        <v>Pearl White Multi-Coat</v>
      </c>
      <c r="P165" s="153" t="str">
        <f>IFERROR(__xludf.DUMMYFUNCTION("""COMPUTED_VALUE"""),"20 inch")</f>
        <v>20 inch</v>
      </c>
      <c r="Q165" s="152" t="str">
        <f>IFERROR(__xludf.DUMMYFUNCTION("""COMPUTED_VALUE"""),"All Black")</f>
        <v>All Black</v>
      </c>
      <c r="R165" s="149" t="str">
        <f>IFERROR(__xludf.DUMMYFUNCTION("""COMPUTED_VALUE"""),"Autopilot included")</f>
        <v>Autopilot included</v>
      </c>
      <c r="S165" s="149" t="str">
        <f>IFERROR(__xludf.DUMMYFUNCTION("""COMPUTED_VALUE"""),"Loan")</f>
        <v>Loan</v>
      </c>
      <c r="T165" s="145" t="str">
        <f>IFERROR(__xludf.DUMMYFUNCTION("""COMPUTED_VALUE"""),"Subaru BRZ")</f>
        <v>Subaru BRZ</v>
      </c>
      <c r="U165" s="145" t="str">
        <f>IFERROR(__xludf.DUMMYFUNCTION("""COMPUTED_VALUE"""),"Electric!")</f>
        <v>Electric!</v>
      </c>
      <c r="V165" s="145" t="str">
        <f>IFERROR(__xludf.DUMMYFUNCTION("""COMPUTED_VALUE"""),"Head-up display")</f>
        <v>Head-up display</v>
      </c>
      <c r="W165" s="136"/>
      <c r="X165" s="137"/>
      <c r="Y165" s="138"/>
      <c r="Z165" s="138"/>
      <c r="AA165" s="138"/>
      <c r="AB165" s="138"/>
      <c r="AC165" s="139"/>
      <c r="AD165" s="139"/>
      <c r="AE165" s="139"/>
      <c r="AF165" s="140"/>
      <c r="AG165" s="136"/>
      <c r="AH165" s="157">
        <f>IFERROR(__xludf.DUMMYFUNCTION("""COMPUTED_VALUE"""),44450.42552979167)</f>
        <v>44450.42553</v>
      </c>
      <c r="AI165" s="138"/>
      <c r="AJ165" s="138"/>
      <c r="AK165" s="138"/>
      <c r="AL165" s="142"/>
    </row>
    <row r="166" ht="20.25" customHeight="1">
      <c r="A166" s="155" t="str">
        <f>IFERROR(__xludf.DUMMYFUNCTION("""COMPUTED_VALUE"""),"bvac")</f>
        <v>bvac</v>
      </c>
      <c r="B166" s="149" t="str">
        <f>IFERROR(__xludf.DUMMYFUNCTION("""COMPUTED_VALUE"""),"Boca Raton")</f>
        <v>Boca Raton</v>
      </c>
      <c r="C166" s="149" t="str">
        <f>IFERROR(__xludf.DUMMYFUNCTION("""COMPUTED_VALUE"""),"FL")</f>
        <v>FL</v>
      </c>
      <c r="D166" s="149" t="str">
        <f>IFERROR(__xludf.DUMMYFUNCTION("""COMPUTED_VALUE"""),"USA")</f>
        <v>USA</v>
      </c>
      <c r="E166" s="156">
        <f>IFERROR(__xludf.DUMMYFUNCTION("""COMPUTED_VALUE"""),44445.0)</f>
        <v>44445</v>
      </c>
      <c r="F166" s="129">
        <f>IFERROR(__xludf.DUMMYFUNCTION("""COMPUTED_VALUE"""),44495.0)</f>
        <v>44495</v>
      </c>
      <c r="G166" s="154" t="str">
        <f>IFERROR(__xludf.DUMMYFUNCTION("""COMPUTED_VALUE"""),"Manage order page (normal text)")</f>
        <v>Manage order page (normal text)</v>
      </c>
      <c r="H166" s="131">
        <f>IFERROR(__xludf.DUMMYFUNCTION("""COMPUTED_VALUE"""),97310.0)</f>
        <v>97310</v>
      </c>
      <c r="I166" s="144"/>
      <c r="J166" s="129">
        <f>IFERROR(__xludf.DUMMYFUNCTION("""COMPUTED_VALUE"""),44518.0)</f>
        <v>44518</v>
      </c>
      <c r="K166" s="133">
        <f>IFERROR(__xludf.DUMMYFUNCTION("""COMPUTED_VALUE"""),50.0)</f>
        <v>50</v>
      </c>
      <c r="L166" s="133">
        <f>IFERROR(__xludf.DUMMYFUNCTION("""COMPUTED_VALUE"""),23.0)</f>
        <v>23</v>
      </c>
      <c r="M166" s="133">
        <f>IFERROR(__xludf.DUMMYFUNCTION("""COMPUTED_VALUE"""),73.0)</f>
        <v>73</v>
      </c>
      <c r="N166" s="152" t="str">
        <f>IFERROR(__xludf.DUMMYFUNCTION("""COMPUTED_VALUE"""),"Model 3 SR+")</f>
        <v>Model 3 SR+</v>
      </c>
      <c r="O166" s="152" t="str">
        <f>IFERROR(__xludf.DUMMYFUNCTION("""COMPUTED_VALUE"""),"Pearl White Multi-Coat")</f>
        <v>Pearl White Multi-Coat</v>
      </c>
      <c r="P166" s="153" t="str">
        <f>IFERROR(__xludf.DUMMYFUNCTION("""COMPUTED_VALUE"""),"19 inch")</f>
        <v>19 inch</v>
      </c>
      <c r="Q166" s="152" t="str">
        <f>IFERROR(__xludf.DUMMYFUNCTION("""COMPUTED_VALUE"""),"All Black")</f>
        <v>All Black</v>
      </c>
      <c r="R166" s="149" t="str">
        <f>IFERROR(__xludf.DUMMYFUNCTION("""COMPUTED_VALUE"""),"Autopilot included")</f>
        <v>Autopilot included</v>
      </c>
      <c r="S166" s="149" t="str">
        <f>IFERROR(__xludf.DUMMYFUNCTION("""COMPUTED_VALUE"""),"Loan")</f>
        <v>Loan</v>
      </c>
      <c r="T166" s="145" t="str">
        <f>IFERROR(__xludf.DUMMYFUNCTION("""COMPUTED_VALUE"""),"Toyota CH-R")</f>
        <v>Toyota CH-R</v>
      </c>
      <c r="U166" s="145" t="str">
        <f>IFERROR(__xludf.DUMMYFUNCTION("""COMPUTED_VALUE"""),"Electric!")</f>
        <v>Electric!</v>
      </c>
      <c r="V166" s="145" t="str">
        <f>IFERROR(__xludf.DUMMYFUNCTION("""COMPUTED_VALUE"""),"Head-up display")</f>
        <v>Head-up display</v>
      </c>
      <c r="W166" s="145"/>
      <c r="X166" s="137"/>
      <c r="Y166" s="138"/>
      <c r="Z166" s="138"/>
      <c r="AA166" s="138"/>
      <c r="AB166" s="138"/>
      <c r="AC166" s="139"/>
      <c r="AD166" s="139"/>
      <c r="AE166" s="139"/>
      <c r="AF166" s="140"/>
      <c r="AG166" s="145"/>
      <c r="AH166" s="157">
        <f>IFERROR(__xludf.DUMMYFUNCTION("""COMPUTED_VALUE"""),44509.428517037035)</f>
        <v>44509.42852</v>
      </c>
      <c r="AI166" s="138"/>
      <c r="AJ166" s="138"/>
      <c r="AK166" s="138"/>
      <c r="AL166" s="142"/>
    </row>
    <row r="167" ht="20.25" customHeight="1">
      <c r="A167" s="155" t="str">
        <f>IFERROR(__xludf.DUMMYFUNCTION("""COMPUTED_VALUE"""),"jkb1983")</f>
        <v>jkb1983</v>
      </c>
      <c r="B167" s="149" t="str">
        <f>IFERROR(__xludf.DUMMYFUNCTION("""COMPUTED_VALUE"""),"Cypress ")</f>
        <v>Cypress </v>
      </c>
      <c r="C167" s="149" t="str">
        <f>IFERROR(__xludf.DUMMYFUNCTION("""COMPUTED_VALUE"""),"CA")</f>
        <v>CA</v>
      </c>
      <c r="D167" s="149" t="str">
        <f>IFERROR(__xludf.DUMMYFUNCTION("""COMPUTED_VALUE"""),"USA")</f>
        <v>USA</v>
      </c>
      <c r="E167" s="156">
        <f>IFERROR(__xludf.DUMMYFUNCTION("""COMPUTED_VALUE"""),44445.0)</f>
        <v>44445</v>
      </c>
      <c r="F167" s="129"/>
      <c r="G167" s="154"/>
      <c r="H167" s="131"/>
      <c r="I167" s="144"/>
      <c r="J167" s="129"/>
      <c r="K167" s="133"/>
      <c r="L167" s="133"/>
      <c r="M167" s="133"/>
      <c r="N167" s="152" t="str">
        <f>IFERROR(__xludf.DUMMYFUNCTION("""COMPUTED_VALUE"""),"Model 3 SR+")</f>
        <v>Model 3 SR+</v>
      </c>
      <c r="O167" s="152" t="str">
        <f>IFERROR(__xludf.DUMMYFUNCTION("""COMPUTED_VALUE"""),"Pearl White Multi-Coat")</f>
        <v>Pearl White Multi-Coat</v>
      </c>
      <c r="P167" s="153" t="str">
        <f>IFERROR(__xludf.DUMMYFUNCTION("""COMPUTED_VALUE"""),"19 inch")</f>
        <v>19 inch</v>
      </c>
      <c r="Q167" s="152" t="str">
        <f>IFERROR(__xludf.DUMMYFUNCTION("""COMPUTED_VALUE"""),"Black and White")</f>
        <v>Black and White</v>
      </c>
      <c r="R167" s="149" t="str">
        <f>IFERROR(__xludf.DUMMYFUNCTION("""COMPUTED_VALUE"""),"Autopilot included")</f>
        <v>Autopilot included</v>
      </c>
      <c r="S167" s="149" t="str">
        <f>IFERROR(__xludf.DUMMYFUNCTION("""COMPUTED_VALUE"""),"Loan")</f>
        <v>Loan</v>
      </c>
      <c r="T167" s="145" t="str">
        <f>IFERROR(__xludf.DUMMYFUNCTION("""COMPUTED_VALUE"""),"Ford Fusion")</f>
        <v>Ford Fusion</v>
      </c>
      <c r="U167" s="145" t="str">
        <f>IFERROR(__xludf.DUMMYFUNCTION("""COMPUTED_VALUE"""),"Electric!")</f>
        <v>Electric!</v>
      </c>
      <c r="V167" s="145" t="str">
        <f>IFERROR(__xludf.DUMMYFUNCTION("""COMPUTED_VALUE"""),"360° Bird's eye view")</f>
        <v>360° Bird's eye view</v>
      </c>
      <c r="W167" s="145"/>
      <c r="X167" s="137"/>
      <c r="Y167" s="138"/>
      <c r="Z167" s="138"/>
      <c r="AA167" s="138"/>
      <c r="AB167" s="138"/>
      <c r="AC167" s="139"/>
      <c r="AD167" s="139"/>
      <c r="AE167" s="139"/>
      <c r="AF167" s="140"/>
      <c r="AG167" s="145"/>
      <c r="AH167" s="157">
        <f>IFERROR(__xludf.DUMMYFUNCTION("""COMPUTED_VALUE"""),44461.62603818287)</f>
        <v>44461.62604</v>
      </c>
      <c r="AI167" s="138"/>
      <c r="AJ167" s="138"/>
      <c r="AK167" s="138"/>
      <c r="AL167" s="142"/>
    </row>
    <row r="168" ht="20.25" customHeight="1">
      <c r="A168" s="155" t="str">
        <f>IFERROR(__xludf.DUMMYFUNCTION("""COMPUTED_VALUE"""),"ValarMorghulis")</f>
        <v>ValarMorghulis</v>
      </c>
      <c r="B168" s="149" t="str">
        <f>IFERROR(__xludf.DUMMYFUNCTION("""COMPUTED_VALUE"""),"Seattle")</f>
        <v>Seattle</v>
      </c>
      <c r="C168" s="149" t="str">
        <f>IFERROR(__xludf.DUMMYFUNCTION("""COMPUTED_VALUE"""),"WA")</f>
        <v>WA</v>
      </c>
      <c r="D168" s="149" t="str">
        <f>IFERROR(__xludf.DUMMYFUNCTION("""COMPUTED_VALUE"""),"USA")</f>
        <v>USA</v>
      </c>
      <c r="E168" s="156">
        <f>IFERROR(__xludf.DUMMYFUNCTION("""COMPUTED_VALUE"""),44445.0)</f>
        <v>44445</v>
      </c>
      <c r="F168" s="129"/>
      <c r="G168" s="154"/>
      <c r="H168" s="131"/>
      <c r="I168" s="144"/>
      <c r="J168" s="129"/>
      <c r="K168" s="133"/>
      <c r="L168" s="133"/>
      <c r="M168" s="133"/>
      <c r="N168" s="152" t="str">
        <f>IFERROR(__xludf.DUMMYFUNCTION("""COMPUTED_VALUE"""),"Model 3 LR AWD")</f>
        <v>Model 3 LR AWD</v>
      </c>
      <c r="O168" s="152" t="str">
        <f>IFERROR(__xludf.DUMMYFUNCTION("""COMPUTED_VALUE"""),"Midnight Silver Metallic")</f>
        <v>Midnight Silver Metallic</v>
      </c>
      <c r="P168" s="153" t="str">
        <f>IFERROR(__xludf.DUMMYFUNCTION("""COMPUTED_VALUE"""),"18 inch")</f>
        <v>18 inch</v>
      </c>
      <c r="Q168" s="152" t="str">
        <f>IFERROR(__xludf.DUMMYFUNCTION("""COMPUTED_VALUE"""),"Black and White")</f>
        <v>Black and White</v>
      </c>
      <c r="R168" s="149" t="str">
        <f>IFERROR(__xludf.DUMMYFUNCTION("""COMPUTED_VALUE"""),"Full Self-Driving")</f>
        <v>Full Self-Driving</v>
      </c>
      <c r="S168" s="149"/>
      <c r="T168" s="145"/>
      <c r="U168" s="145"/>
      <c r="V168" s="145"/>
      <c r="W168" s="136"/>
      <c r="X168" s="137"/>
      <c r="Y168" s="138"/>
      <c r="Z168" s="138"/>
      <c r="AA168" s="138"/>
      <c r="AB168" s="138"/>
      <c r="AC168" s="139"/>
      <c r="AD168" s="139"/>
      <c r="AE168" s="139"/>
      <c r="AF168" s="140"/>
      <c r="AG168" s="136"/>
      <c r="AH168" s="157">
        <f>IFERROR(__xludf.DUMMYFUNCTION("""COMPUTED_VALUE"""),44502.01761263889)</f>
        <v>44502.01761</v>
      </c>
      <c r="AI168" s="138"/>
      <c r="AJ168" s="138"/>
      <c r="AK168" s="138"/>
      <c r="AL168" s="142"/>
    </row>
    <row r="169" ht="20.25" customHeight="1">
      <c r="A169" s="155" t="str">
        <f>IFERROR(__xludf.DUMMYFUNCTION("""COMPUTED_VALUE"""),"Dunno")</f>
        <v>Dunno</v>
      </c>
      <c r="B169" s="149" t="str">
        <f>IFERROR(__xludf.DUMMYFUNCTION("""COMPUTED_VALUE"""),"Turlock")</f>
        <v>Turlock</v>
      </c>
      <c r="C169" s="149" t="str">
        <f>IFERROR(__xludf.DUMMYFUNCTION("""COMPUTED_VALUE"""),"CA")</f>
        <v>CA</v>
      </c>
      <c r="D169" s="149" t="str">
        <f>IFERROR(__xludf.DUMMYFUNCTION("""COMPUTED_VALUE"""),"USA")</f>
        <v>USA</v>
      </c>
      <c r="E169" s="156">
        <f>IFERROR(__xludf.DUMMYFUNCTION("""COMPUTED_VALUE"""),44444.0)</f>
        <v>44444</v>
      </c>
      <c r="F169" s="129"/>
      <c r="G169" s="154"/>
      <c r="H169" s="131"/>
      <c r="I169" s="144"/>
      <c r="J169" s="129"/>
      <c r="K169" s="133"/>
      <c r="L169" s="133"/>
      <c r="M169" s="133"/>
      <c r="N169" s="152" t="str">
        <f>IFERROR(__xludf.DUMMYFUNCTION("""COMPUTED_VALUE"""),"Model 3 Performance")</f>
        <v>Model 3 Performance</v>
      </c>
      <c r="O169" s="152" t="str">
        <f>IFERROR(__xludf.DUMMYFUNCTION("""COMPUTED_VALUE"""),"Pearl White Multi-Coat")</f>
        <v>Pearl White Multi-Coat</v>
      </c>
      <c r="P169" s="153" t="str">
        <f>IFERROR(__xludf.DUMMYFUNCTION("""COMPUTED_VALUE"""),"20 inch")</f>
        <v>20 inch</v>
      </c>
      <c r="Q169" s="152" t="str">
        <f>IFERROR(__xludf.DUMMYFUNCTION("""COMPUTED_VALUE"""),"All Black")</f>
        <v>All Black</v>
      </c>
      <c r="R169" s="149" t="str">
        <f>IFERROR(__xludf.DUMMYFUNCTION("""COMPUTED_VALUE"""),"Full Self-Driving")</f>
        <v>Full Self-Driving</v>
      </c>
      <c r="S169" s="149" t="str">
        <f>IFERROR(__xludf.DUMMYFUNCTION("""COMPUTED_VALUE"""),"Loan")</f>
        <v>Loan</v>
      </c>
      <c r="T169" s="145" t="str">
        <f>IFERROR(__xludf.DUMMYFUNCTION("""COMPUTED_VALUE"""),"Model 3 will be my first car!")</f>
        <v>Model 3 will be my first car!</v>
      </c>
      <c r="U169" s="145" t="str">
        <f>IFERROR(__xludf.DUMMYFUNCTION("""COMPUTED_VALUE"""),"Autopilot")</f>
        <v>Autopilot</v>
      </c>
      <c r="V169" s="145" t="str">
        <f>IFERROR(__xludf.DUMMYFUNCTION("""COMPUTED_VALUE"""),"Head-up display")</f>
        <v>Head-up display</v>
      </c>
      <c r="W169" s="136"/>
      <c r="X169" s="137"/>
      <c r="Y169" s="138"/>
      <c r="Z169" s="138"/>
      <c r="AA169" s="138"/>
      <c r="AB169" s="138"/>
      <c r="AC169" s="139"/>
      <c r="AD169" s="139"/>
      <c r="AE169" s="139"/>
      <c r="AF169" s="140"/>
      <c r="AG169" s="136"/>
      <c r="AH169" s="157">
        <f>IFERROR(__xludf.DUMMYFUNCTION("""COMPUTED_VALUE"""),44451.88852168982)</f>
        <v>44451.88852</v>
      </c>
      <c r="AI169" s="138"/>
      <c r="AJ169" s="138"/>
      <c r="AK169" s="138"/>
      <c r="AL169" s="142"/>
    </row>
    <row r="170" ht="20.25" customHeight="1">
      <c r="A170" s="155" t="str">
        <f>IFERROR(__xludf.DUMMYFUNCTION("""COMPUTED_VALUE"""),"Kamisama")</f>
        <v>Kamisama</v>
      </c>
      <c r="B170" s="149" t="str">
        <f>IFERROR(__xludf.DUMMYFUNCTION("""COMPUTED_VALUE"""),"Layton")</f>
        <v>Layton</v>
      </c>
      <c r="C170" s="149" t="str">
        <f>IFERROR(__xludf.DUMMYFUNCTION("""COMPUTED_VALUE"""),"UT")</f>
        <v>UT</v>
      </c>
      <c r="D170" s="149" t="str">
        <f>IFERROR(__xludf.DUMMYFUNCTION("""COMPUTED_VALUE"""),"USA")</f>
        <v>USA</v>
      </c>
      <c r="E170" s="156">
        <f>IFERROR(__xludf.DUMMYFUNCTION("""COMPUTED_VALUE"""),44444.0)</f>
        <v>44444</v>
      </c>
      <c r="F170" s="129"/>
      <c r="G170" s="154"/>
      <c r="H170" s="131"/>
      <c r="I170" s="144"/>
      <c r="J170" s="129"/>
      <c r="K170" s="133"/>
      <c r="L170" s="133"/>
      <c r="M170" s="133"/>
      <c r="N170" s="152" t="str">
        <f>IFERROR(__xludf.DUMMYFUNCTION("""COMPUTED_VALUE"""),"Model 3 Performance")</f>
        <v>Model 3 Performance</v>
      </c>
      <c r="O170" s="152" t="str">
        <f>IFERROR(__xludf.DUMMYFUNCTION("""COMPUTED_VALUE"""),"Pearl White Multi-Coat")</f>
        <v>Pearl White Multi-Coat</v>
      </c>
      <c r="P170" s="153" t="str">
        <f>IFERROR(__xludf.DUMMYFUNCTION("""COMPUTED_VALUE"""),"20 inch")</f>
        <v>20 inch</v>
      </c>
      <c r="Q170" s="152" t="str">
        <f>IFERROR(__xludf.DUMMYFUNCTION("""COMPUTED_VALUE"""),"Black and White")</f>
        <v>Black and White</v>
      </c>
      <c r="R170" s="149" t="str">
        <f>IFERROR(__xludf.DUMMYFUNCTION("""COMPUTED_VALUE"""),"Autopilot included")</f>
        <v>Autopilot included</v>
      </c>
      <c r="S170" s="149" t="str">
        <f>IFERROR(__xludf.DUMMYFUNCTION("""COMPUTED_VALUE"""),"Loan")</f>
        <v>Loan</v>
      </c>
      <c r="T170" s="145" t="str">
        <f>IFERROR(__xludf.DUMMYFUNCTION("""COMPUTED_VALUE"""),"Tesla Model 3")</f>
        <v>Tesla Model 3</v>
      </c>
      <c r="U170" s="145" t="str">
        <f>IFERROR(__xludf.DUMMYFUNCTION("""COMPUTED_VALUE"""),"Autopilot")</f>
        <v>Autopilot</v>
      </c>
      <c r="V170" s="145" t="str">
        <f>IFERROR(__xludf.DUMMYFUNCTION("""COMPUTED_VALUE"""),"Air suspension")</f>
        <v>Air suspension</v>
      </c>
      <c r="W170" s="136"/>
      <c r="X170" s="137"/>
      <c r="Y170" s="138"/>
      <c r="Z170" s="138"/>
      <c r="AA170" s="138"/>
      <c r="AB170" s="138"/>
      <c r="AC170" s="139"/>
      <c r="AD170" s="139"/>
      <c r="AE170" s="139"/>
      <c r="AF170" s="140"/>
      <c r="AG170" s="136"/>
      <c r="AH170" s="157">
        <f>IFERROR(__xludf.DUMMYFUNCTION("""COMPUTED_VALUE"""),44445.54065850694)</f>
        <v>44445.54066</v>
      </c>
      <c r="AI170" s="138"/>
      <c r="AJ170" s="138"/>
      <c r="AK170" s="138"/>
      <c r="AL170" s="142"/>
    </row>
    <row r="171" ht="20.25" customHeight="1">
      <c r="A171" s="155" t="str">
        <f>IFERROR(__xludf.DUMMYFUNCTION("""COMPUTED_VALUE"""),"nrj")</f>
        <v>nrj</v>
      </c>
      <c r="B171" s="149" t="str">
        <f>IFERROR(__xludf.DUMMYFUNCTION("""COMPUTED_VALUE"""),"Seattle")</f>
        <v>Seattle</v>
      </c>
      <c r="C171" s="149" t="str">
        <f>IFERROR(__xludf.DUMMYFUNCTION("""COMPUTED_VALUE"""),"WA")</f>
        <v>WA</v>
      </c>
      <c r="D171" s="149" t="str">
        <f>IFERROR(__xludf.DUMMYFUNCTION("""COMPUTED_VALUE"""),"USA")</f>
        <v>USA</v>
      </c>
      <c r="E171" s="156">
        <f>IFERROR(__xludf.DUMMYFUNCTION("""COMPUTED_VALUE"""),44444.0)</f>
        <v>44444</v>
      </c>
      <c r="F171" s="129"/>
      <c r="G171" s="154"/>
      <c r="H171" s="131"/>
      <c r="I171" s="144"/>
      <c r="J171" s="129"/>
      <c r="K171" s="133"/>
      <c r="L171" s="133"/>
      <c r="M171" s="133"/>
      <c r="N171" s="152" t="str">
        <f>IFERROR(__xludf.DUMMYFUNCTION("""COMPUTED_VALUE"""),"Model 3 Performance")</f>
        <v>Model 3 Performance</v>
      </c>
      <c r="O171" s="152" t="str">
        <f>IFERROR(__xludf.DUMMYFUNCTION("""COMPUTED_VALUE"""),"Pearl White Multi-Coat")</f>
        <v>Pearl White Multi-Coat</v>
      </c>
      <c r="P171" s="153" t="str">
        <f>IFERROR(__xludf.DUMMYFUNCTION("""COMPUTED_VALUE"""),"20 inch")</f>
        <v>20 inch</v>
      </c>
      <c r="Q171" s="152" t="str">
        <f>IFERROR(__xludf.DUMMYFUNCTION("""COMPUTED_VALUE"""),"Black and White")</f>
        <v>Black and White</v>
      </c>
      <c r="R171" s="149" t="str">
        <f>IFERROR(__xludf.DUMMYFUNCTION("""COMPUTED_VALUE"""),"Autopilot included")</f>
        <v>Autopilot included</v>
      </c>
      <c r="S171" s="149" t="str">
        <f>IFERROR(__xludf.DUMMYFUNCTION("""COMPUTED_VALUE"""),"Loan")</f>
        <v>Loan</v>
      </c>
      <c r="T171" s="145" t="str">
        <f>IFERROR(__xludf.DUMMYFUNCTION("""COMPUTED_VALUE"""),"Toyota 4Runner")</f>
        <v>Toyota 4Runner</v>
      </c>
      <c r="U171" s="145" t="str">
        <f>IFERROR(__xludf.DUMMYFUNCTION("""COMPUTED_VALUE"""),"Tesla brand image")</f>
        <v>Tesla brand image</v>
      </c>
      <c r="V171" s="145" t="str">
        <f>IFERROR(__xludf.DUMMYFUNCTION("""COMPUTED_VALUE"""),"Head-up display")</f>
        <v>Head-up display</v>
      </c>
      <c r="W171" s="136"/>
      <c r="X171" s="137"/>
      <c r="Y171" s="138"/>
      <c r="Z171" s="138"/>
      <c r="AA171" s="138"/>
      <c r="AB171" s="138"/>
      <c r="AC171" s="139"/>
      <c r="AD171" s="139"/>
      <c r="AE171" s="139"/>
      <c r="AF171" s="140"/>
      <c r="AG171" s="136"/>
      <c r="AH171" s="157">
        <f>IFERROR(__xludf.DUMMYFUNCTION("""COMPUTED_VALUE"""),44460.59675793981)</f>
        <v>44460.59676</v>
      </c>
      <c r="AI171" s="138"/>
      <c r="AJ171" s="138"/>
      <c r="AK171" s="138"/>
      <c r="AL171" s="142"/>
    </row>
    <row r="172" ht="20.25" customHeight="1">
      <c r="A172" s="155" t="str">
        <f>IFERROR(__xludf.DUMMYFUNCTION("""COMPUTED_VALUE"""),"usna92")</f>
        <v>usna92</v>
      </c>
      <c r="B172" s="149" t="str">
        <f>IFERROR(__xludf.DUMMYFUNCTION("""COMPUTED_VALUE"""),"Snoqualmie")</f>
        <v>Snoqualmie</v>
      </c>
      <c r="C172" s="149" t="str">
        <f>IFERROR(__xludf.DUMMYFUNCTION("""COMPUTED_VALUE"""),"WA")</f>
        <v>WA</v>
      </c>
      <c r="D172" s="149" t="str">
        <f>IFERROR(__xludf.DUMMYFUNCTION("""COMPUTED_VALUE"""),"USA")</f>
        <v>USA</v>
      </c>
      <c r="E172" s="156">
        <f>IFERROR(__xludf.DUMMYFUNCTION("""COMPUTED_VALUE"""),44444.0)</f>
        <v>44444</v>
      </c>
      <c r="F172" s="129"/>
      <c r="G172" s="154"/>
      <c r="H172" s="131"/>
      <c r="I172" s="144"/>
      <c r="J172" s="129"/>
      <c r="K172" s="133"/>
      <c r="L172" s="133"/>
      <c r="M172" s="133"/>
      <c r="N172" s="152" t="str">
        <f>IFERROR(__xludf.DUMMYFUNCTION("""COMPUTED_VALUE"""),"Model 3 LR AWD")</f>
        <v>Model 3 LR AWD</v>
      </c>
      <c r="O172" s="152" t="str">
        <f>IFERROR(__xludf.DUMMYFUNCTION("""COMPUTED_VALUE"""),"Midnight Silver Metallic")</f>
        <v>Midnight Silver Metallic</v>
      </c>
      <c r="P172" s="153" t="str">
        <f>IFERROR(__xludf.DUMMYFUNCTION("""COMPUTED_VALUE"""),"18 inch")</f>
        <v>18 inch</v>
      </c>
      <c r="Q172" s="152" t="str">
        <f>IFERROR(__xludf.DUMMYFUNCTION("""COMPUTED_VALUE"""),"All Black")</f>
        <v>All Black</v>
      </c>
      <c r="R172" s="149" t="str">
        <f>IFERROR(__xludf.DUMMYFUNCTION("""COMPUTED_VALUE"""),"Autopilot included")</f>
        <v>Autopilot included</v>
      </c>
      <c r="S172" s="149" t="str">
        <f>IFERROR(__xludf.DUMMYFUNCTION("""COMPUTED_VALUE"""),"Cash")</f>
        <v>Cash</v>
      </c>
      <c r="T172" s="145" t="str">
        <f>IFERROR(__xludf.DUMMYFUNCTION("""COMPUTED_VALUE"""),"Chevy Bolt")</f>
        <v>Chevy Bolt</v>
      </c>
      <c r="U172" s="145" t="str">
        <f>IFERROR(__xludf.DUMMYFUNCTION("""COMPUTED_VALUE"""),"Electric!")</f>
        <v>Electric!</v>
      </c>
      <c r="V172" s="145" t="str">
        <f>IFERROR(__xludf.DUMMYFUNCTION("""COMPUTED_VALUE"""),"360° Bird's eye view")</f>
        <v>360° Bird's eye view</v>
      </c>
      <c r="W172" s="136"/>
      <c r="X172" s="137"/>
      <c r="Y172" s="138"/>
      <c r="Z172" s="138"/>
      <c r="AA172" s="138"/>
      <c r="AB172" s="138"/>
      <c r="AC172" s="139"/>
      <c r="AD172" s="139"/>
      <c r="AE172" s="139"/>
      <c r="AF172" s="140"/>
      <c r="AG172" s="136"/>
      <c r="AH172" s="157">
        <f>IFERROR(__xludf.DUMMYFUNCTION("""COMPUTED_VALUE"""),44449.383947395836)</f>
        <v>44449.38395</v>
      </c>
      <c r="AI172" s="138"/>
      <c r="AJ172" s="138"/>
      <c r="AK172" s="138"/>
      <c r="AL172" s="142"/>
    </row>
    <row r="173" ht="20.25" customHeight="1">
      <c r="A173" s="155" t="str">
        <f>IFERROR(__xludf.DUMMYFUNCTION("""COMPUTED_VALUE"""),"Crispy44")</f>
        <v>Crispy44</v>
      </c>
      <c r="B173" s="149" t="str">
        <f>IFERROR(__xludf.DUMMYFUNCTION("""COMPUTED_VALUE"""),"Redlands")</f>
        <v>Redlands</v>
      </c>
      <c r="C173" s="149" t="str">
        <f>IFERROR(__xludf.DUMMYFUNCTION("""COMPUTED_VALUE"""),"CA")</f>
        <v>CA</v>
      </c>
      <c r="D173" s="149" t="str">
        <f>IFERROR(__xludf.DUMMYFUNCTION("""COMPUTED_VALUE"""),"USA")</f>
        <v>USA</v>
      </c>
      <c r="E173" s="156">
        <f>IFERROR(__xludf.DUMMYFUNCTION("""COMPUTED_VALUE"""),44443.0)</f>
        <v>44443</v>
      </c>
      <c r="F173" s="129">
        <f>IFERROR(__xludf.DUMMYFUNCTION("""COMPUTED_VALUE"""),44465.0)</f>
        <v>44465</v>
      </c>
      <c r="G173" s="154" t="str">
        <f>IFERROR(__xludf.DUMMYFUNCTION("""COMPUTED_VALUE"""),"Manage order page (normal text)")</f>
        <v>Manage order page (normal text)</v>
      </c>
      <c r="H173" s="131">
        <f>IFERROR(__xludf.DUMMYFUNCTION("""COMPUTED_VALUE"""),77055.0)</f>
        <v>77055</v>
      </c>
      <c r="I173" s="144"/>
      <c r="J173" s="129"/>
      <c r="K173" s="133">
        <f>IFERROR(__xludf.DUMMYFUNCTION("""COMPUTED_VALUE"""),22.0)</f>
        <v>22</v>
      </c>
      <c r="L173" s="133"/>
      <c r="M173" s="133"/>
      <c r="N173" s="152" t="str">
        <f>IFERROR(__xludf.DUMMYFUNCTION("""COMPUTED_VALUE"""),"Model 3 Performance")</f>
        <v>Model 3 Performance</v>
      </c>
      <c r="O173" s="152" t="str">
        <f>IFERROR(__xludf.DUMMYFUNCTION("""COMPUTED_VALUE"""),"Pearl White Multi-Coat")</f>
        <v>Pearl White Multi-Coat</v>
      </c>
      <c r="P173" s="153" t="str">
        <f>IFERROR(__xludf.DUMMYFUNCTION("""COMPUTED_VALUE"""),"20 inch")</f>
        <v>20 inch</v>
      </c>
      <c r="Q173" s="152" t="str">
        <f>IFERROR(__xludf.DUMMYFUNCTION("""COMPUTED_VALUE"""),"All Black")</f>
        <v>All Black</v>
      </c>
      <c r="R173" s="149" t="str">
        <f>IFERROR(__xludf.DUMMYFUNCTION("""COMPUTED_VALUE"""),"Autopilot included")</f>
        <v>Autopilot included</v>
      </c>
      <c r="S173" s="149" t="str">
        <f>IFERROR(__xludf.DUMMYFUNCTION("""COMPUTED_VALUE"""),"Loan")</f>
        <v>Loan</v>
      </c>
      <c r="T173" s="145" t="str">
        <f>IFERROR(__xludf.DUMMYFUNCTION("""COMPUTED_VALUE"""),"Chevy Silverado")</f>
        <v>Chevy Silverado</v>
      </c>
      <c r="U173" s="145" t="str">
        <f>IFERROR(__xludf.DUMMYFUNCTION("""COMPUTED_VALUE"""),"No petrol")</f>
        <v>No petrol</v>
      </c>
      <c r="V173" s="145" t="str">
        <f>IFERROR(__xludf.DUMMYFUNCTION("""COMPUTED_VALUE"""),"Ventilated seats")</f>
        <v>Ventilated seats</v>
      </c>
      <c r="W173" s="145"/>
      <c r="X173" s="137"/>
      <c r="Y173" s="138"/>
      <c r="Z173" s="138"/>
      <c r="AA173" s="138"/>
      <c r="AB173" s="138"/>
      <c r="AC173" s="139"/>
      <c r="AD173" s="139"/>
      <c r="AE173" s="139"/>
      <c r="AF173" s="140"/>
      <c r="AG173" s="145"/>
      <c r="AH173" s="157">
        <f>IFERROR(__xludf.DUMMYFUNCTION("""COMPUTED_VALUE"""),44465.51497899306)</f>
        <v>44465.51498</v>
      </c>
      <c r="AI173" s="138"/>
      <c r="AJ173" s="138"/>
      <c r="AK173" s="138"/>
      <c r="AL173" s="142"/>
    </row>
    <row r="174" ht="20.25" customHeight="1">
      <c r="A174" s="155" t="str">
        <f>IFERROR(__xludf.DUMMYFUNCTION("""COMPUTED_VALUE"""),"jamari")</f>
        <v>jamari</v>
      </c>
      <c r="B174" s="149"/>
      <c r="C174" s="149" t="str">
        <f>IFERROR(__xludf.DUMMYFUNCTION("""COMPUTED_VALUE"""),"AZ")</f>
        <v>AZ</v>
      </c>
      <c r="D174" s="149" t="str">
        <f>IFERROR(__xludf.DUMMYFUNCTION("""COMPUTED_VALUE"""),"USA")</f>
        <v>USA</v>
      </c>
      <c r="E174" s="156">
        <f>IFERROR(__xludf.DUMMYFUNCTION("""COMPUTED_VALUE"""),44443.0)</f>
        <v>44443</v>
      </c>
      <c r="F174" s="129">
        <f>IFERROR(__xludf.DUMMYFUNCTION("""COMPUTED_VALUE"""),44443.0)</f>
        <v>44443</v>
      </c>
      <c r="G174" s="154" t="str">
        <f>IFERROR(__xludf.DUMMYFUNCTION("""COMPUTED_VALUE"""),"Manage order page (normal text)")</f>
        <v>Manage order page (normal text)</v>
      </c>
      <c r="H174" s="131">
        <f>IFERROR(__xludf.DUMMYFUNCTION("""COMPUTED_VALUE"""),63055.0)</f>
        <v>63055</v>
      </c>
      <c r="I174" s="144"/>
      <c r="J174" s="129">
        <f>IFERROR(__xludf.DUMMYFUNCTION("""COMPUTED_VALUE"""),44456.0)</f>
        <v>44456</v>
      </c>
      <c r="K174" s="133">
        <f>IFERROR(__xludf.DUMMYFUNCTION("""COMPUTED_VALUE"""),0.0)</f>
        <v>0</v>
      </c>
      <c r="L174" s="133">
        <f>IFERROR(__xludf.DUMMYFUNCTION("""COMPUTED_VALUE"""),13.0)</f>
        <v>13</v>
      </c>
      <c r="M174" s="133">
        <f>IFERROR(__xludf.DUMMYFUNCTION("""COMPUTED_VALUE"""),13.0)</f>
        <v>13</v>
      </c>
      <c r="N174" s="152" t="str">
        <f>IFERROR(__xludf.DUMMYFUNCTION("""COMPUTED_VALUE"""),"Model 3 SR+")</f>
        <v>Model 3 SR+</v>
      </c>
      <c r="O174" s="152" t="str">
        <f>IFERROR(__xludf.DUMMYFUNCTION("""COMPUTED_VALUE"""),"Pearl White Multi-Coat")</f>
        <v>Pearl White Multi-Coat</v>
      </c>
      <c r="P174" s="153" t="str">
        <f>IFERROR(__xludf.DUMMYFUNCTION("""COMPUTED_VALUE"""),"18 inch")</f>
        <v>18 inch</v>
      </c>
      <c r="Q174" s="152" t="str">
        <f>IFERROR(__xludf.DUMMYFUNCTION("""COMPUTED_VALUE"""),"Black and White")</f>
        <v>Black and White</v>
      </c>
      <c r="R174" s="149" t="str">
        <f>IFERROR(__xludf.DUMMYFUNCTION("""COMPUTED_VALUE"""),"Autopilot included")</f>
        <v>Autopilot included</v>
      </c>
      <c r="S174" s="149" t="str">
        <f>IFERROR(__xludf.DUMMYFUNCTION("""COMPUTED_VALUE"""),"Loan")</f>
        <v>Loan</v>
      </c>
      <c r="T174" s="145"/>
      <c r="U174" s="145"/>
      <c r="V174" s="145" t="str">
        <f>IFERROR(__xludf.DUMMYFUNCTION("""COMPUTED_VALUE"""),"Apple CarPlay / Android Auto / SiriusXM Radio")</f>
        <v>Apple CarPlay / Android Auto / SiriusXM Radio</v>
      </c>
      <c r="W174" s="145"/>
      <c r="X174" s="137"/>
      <c r="Y174" s="138"/>
      <c r="Z174" s="138"/>
      <c r="AA174" s="138"/>
      <c r="AB174" s="138"/>
      <c r="AC174" s="139"/>
      <c r="AD174" s="139"/>
      <c r="AE174" s="139"/>
      <c r="AF174" s="140"/>
      <c r="AG174" s="145" t="str">
        <f>IFERROR(__xludf.DUMMYFUNCTION("""COMPUTED_VALUE"""),"Existing Inventory - LFP. Cancelled previous Aug 10 order.")</f>
        <v>Existing Inventory - LFP. Cancelled previous Aug 10 order.</v>
      </c>
      <c r="AH174" s="157">
        <f>IFERROR(__xludf.DUMMYFUNCTION("""COMPUTED_VALUE"""),44452.73084949074)</f>
        <v>44452.73085</v>
      </c>
      <c r="AI174" s="138"/>
      <c r="AJ174" s="138"/>
      <c r="AK174" s="138"/>
      <c r="AL174" s="142"/>
    </row>
    <row r="175" ht="20.25" customHeight="1">
      <c r="A175" s="155" t="str">
        <f>IFERROR(__xludf.DUMMYFUNCTION("""COMPUTED_VALUE"""),"joula")</f>
        <v>joula</v>
      </c>
      <c r="B175" s="149" t="str">
        <f>IFERROR(__xludf.DUMMYFUNCTION("""COMPUTED_VALUE"""),"Fort Worth")</f>
        <v>Fort Worth</v>
      </c>
      <c r="C175" s="149" t="str">
        <f>IFERROR(__xludf.DUMMYFUNCTION("""COMPUTED_VALUE"""),"TX")</f>
        <v>TX</v>
      </c>
      <c r="D175" s="149" t="str">
        <f>IFERROR(__xludf.DUMMYFUNCTION("""COMPUTED_VALUE"""),"USA")</f>
        <v>USA</v>
      </c>
      <c r="E175" s="156">
        <f>IFERROR(__xludf.DUMMYFUNCTION("""COMPUTED_VALUE"""),44443.0)</f>
        <v>44443</v>
      </c>
      <c r="F175" s="129">
        <f>IFERROR(__xludf.DUMMYFUNCTION("""COMPUTED_VALUE"""),44443.0)</f>
        <v>44443</v>
      </c>
      <c r="G175" s="154" t="str">
        <f>IFERROR(__xludf.DUMMYFUNCTION("""COMPUTED_VALUE"""),"Manage order page (normal text)")</f>
        <v>Manage order page (normal text)</v>
      </c>
      <c r="H175" s="131">
        <f>IFERROR(__xludf.DUMMYFUNCTION("""COMPUTED_VALUE"""),64355.0)</f>
        <v>64355</v>
      </c>
      <c r="I175" s="144"/>
      <c r="J175" s="129">
        <f>IFERROR(__xludf.DUMMYFUNCTION("""COMPUTED_VALUE"""),44465.0)</f>
        <v>44465</v>
      </c>
      <c r="K175" s="133">
        <f>IFERROR(__xludf.DUMMYFUNCTION("""COMPUTED_VALUE"""),0.0)</f>
        <v>0</v>
      </c>
      <c r="L175" s="133">
        <f>IFERROR(__xludf.DUMMYFUNCTION("""COMPUTED_VALUE"""),22.0)</f>
        <v>22</v>
      </c>
      <c r="M175" s="133">
        <f>IFERROR(__xludf.DUMMYFUNCTION("""COMPUTED_VALUE"""),22.0)</f>
        <v>22</v>
      </c>
      <c r="N175" s="152" t="str">
        <f>IFERROR(__xludf.DUMMYFUNCTION("""COMPUTED_VALUE"""),"Model 3 SR+")</f>
        <v>Model 3 SR+</v>
      </c>
      <c r="O175" s="152" t="str">
        <f>IFERROR(__xludf.DUMMYFUNCTION("""COMPUTED_VALUE"""),"Pearl White Multi-Coat")</f>
        <v>Pearl White Multi-Coat</v>
      </c>
      <c r="P175" s="153" t="str">
        <f>IFERROR(__xludf.DUMMYFUNCTION("""COMPUTED_VALUE"""),"18 inch")</f>
        <v>18 inch</v>
      </c>
      <c r="Q175" s="152" t="str">
        <f>IFERROR(__xludf.DUMMYFUNCTION("""COMPUTED_VALUE"""),"All Black")</f>
        <v>All Black</v>
      </c>
      <c r="R175" s="149" t="str">
        <f>IFERROR(__xludf.DUMMYFUNCTION("""COMPUTED_VALUE"""),"Autopilot included")</f>
        <v>Autopilot included</v>
      </c>
      <c r="S175" s="149"/>
      <c r="T175" s="145"/>
      <c r="U175" s="145"/>
      <c r="V175" s="145"/>
      <c r="W175" s="145"/>
      <c r="X175" s="137"/>
      <c r="Y175" s="138"/>
      <c r="Z175" s="138"/>
      <c r="AA175" s="138"/>
      <c r="AB175" s="138"/>
      <c r="AC175" s="139"/>
      <c r="AD175" s="139"/>
      <c r="AE175" s="139"/>
      <c r="AF175" s="140"/>
      <c r="AG175" s="145"/>
      <c r="AH175" s="157">
        <f>IFERROR(__xludf.DUMMYFUNCTION("""COMPUTED_VALUE"""),44452.7610112963)</f>
        <v>44452.76101</v>
      </c>
      <c r="AI175" s="138"/>
      <c r="AJ175" s="138"/>
      <c r="AK175" s="138"/>
      <c r="AL175" s="142"/>
    </row>
    <row r="176" ht="20.25" customHeight="1">
      <c r="A176" s="155" t="str">
        <f>IFERROR(__xludf.DUMMYFUNCTION("""COMPUTED_VALUE"""),"sam3sr")</f>
        <v>sam3sr</v>
      </c>
      <c r="B176" s="149" t="str">
        <f>IFERROR(__xludf.DUMMYFUNCTION("""COMPUTED_VALUE"""),"chicago")</f>
        <v>chicago</v>
      </c>
      <c r="C176" s="149" t="str">
        <f>IFERROR(__xludf.DUMMYFUNCTION("""COMPUTED_VALUE"""),"IL")</f>
        <v>IL</v>
      </c>
      <c r="D176" s="149" t="str">
        <f>IFERROR(__xludf.DUMMYFUNCTION("""COMPUTED_VALUE"""),"USA")</f>
        <v>USA</v>
      </c>
      <c r="E176" s="156">
        <f>IFERROR(__xludf.DUMMYFUNCTION("""COMPUTED_VALUE"""),44443.0)</f>
        <v>44443</v>
      </c>
      <c r="F176" s="129">
        <f>IFERROR(__xludf.DUMMYFUNCTION("""COMPUTED_VALUE"""),44473.0)</f>
        <v>44473</v>
      </c>
      <c r="G176" s="154" t="str">
        <f>IFERROR(__xludf.DUMMYFUNCTION("""COMPUTED_VALUE"""),"Manage order page (normal text)")</f>
        <v>Manage order page (normal text)</v>
      </c>
      <c r="H176" s="131">
        <f>IFERROR(__xludf.DUMMYFUNCTION("""COMPUTED_VALUE"""),81900.0)</f>
        <v>81900</v>
      </c>
      <c r="I176" s="144"/>
      <c r="J176" s="129"/>
      <c r="K176" s="133">
        <f>IFERROR(__xludf.DUMMYFUNCTION("""COMPUTED_VALUE"""),30.0)</f>
        <v>30</v>
      </c>
      <c r="L176" s="133"/>
      <c r="M176" s="133"/>
      <c r="N176" s="152" t="str">
        <f>IFERROR(__xludf.DUMMYFUNCTION("""COMPUTED_VALUE"""),"Model 3 SR+")</f>
        <v>Model 3 SR+</v>
      </c>
      <c r="O176" s="152" t="str">
        <f>IFERROR(__xludf.DUMMYFUNCTION("""COMPUTED_VALUE"""),"Pearl White Multi-Coat")</f>
        <v>Pearl White Multi-Coat</v>
      </c>
      <c r="P176" s="153" t="str">
        <f>IFERROR(__xludf.DUMMYFUNCTION("""COMPUTED_VALUE"""),"18 inch")</f>
        <v>18 inch</v>
      </c>
      <c r="Q176" s="152" t="str">
        <f>IFERROR(__xludf.DUMMYFUNCTION("""COMPUTED_VALUE"""),"All Black")</f>
        <v>All Black</v>
      </c>
      <c r="R176" s="149" t="str">
        <f>IFERROR(__xludf.DUMMYFUNCTION("""COMPUTED_VALUE"""),"Autopilot included")</f>
        <v>Autopilot included</v>
      </c>
      <c r="S176" s="149" t="str">
        <f>IFERROR(__xludf.DUMMYFUNCTION("""COMPUTED_VALUE"""),"Loan")</f>
        <v>Loan</v>
      </c>
      <c r="T176" s="145" t="str">
        <f>IFERROR(__xludf.DUMMYFUNCTION("""COMPUTED_VALUE"""),"Lexus RX")</f>
        <v>Lexus RX</v>
      </c>
      <c r="U176" s="145" t="str">
        <f>IFERROR(__xludf.DUMMYFUNCTION("""COMPUTED_VALUE"""),"Electric!")</f>
        <v>Electric!</v>
      </c>
      <c r="V176" s="145" t="str">
        <f>IFERROR(__xludf.DUMMYFUNCTION("""COMPUTED_VALUE"""),"Head-up display")</f>
        <v>Head-up display</v>
      </c>
      <c r="W176" s="136"/>
      <c r="X176" s="162"/>
      <c r="Y176" s="138"/>
      <c r="Z176" s="138"/>
      <c r="AA176" s="138"/>
      <c r="AB176" s="138"/>
      <c r="AC176" s="139"/>
      <c r="AD176" s="139"/>
      <c r="AE176" s="139"/>
      <c r="AF176" s="140"/>
      <c r="AG176" s="136"/>
      <c r="AH176" s="157">
        <f>IFERROR(__xludf.DUMMYFUNCTION("""COMPUTED_VALUE"""),44474.44330123842)</f>
        <v>44474.4433</v>
      </c>
      <c r="AI176" s="138"/>
      <c r="AJ176" s="138"/>
      <c r="AK176" s="138"/>
      <c r="AL176" s="142"/>
    </row>
    <row r="177" ht="20.25" customHeight="1">
      <c r="A177" s="155" t="str">
        <f>IFERROR(__xludf.DUMMYFUNCTION("""COMPUTED_VALUE"""),"Apag ")</f>
        <v>Apag </v>
      </c>
      <c r="B177" s="149" t="str">
        <f>IFERROR(__xludf.DUMMYFUNCTION("""COMPUTED_VALUE"""),"Los Angeles")</f>
        <v>Los Angeles</v>
      </c>
      <c r="C177" s="149" t="str">
        <f>IFERROR(__xludf.DUMMYFUNCTION("""COMPUTED_VALUE"""),"CA")</f>
        <v>CA</v>
      </c>
      <c r="D177" s="149" t="str">
        <f>IFERROR(__xludf.DUMMYFUNCTION("""COMPUTED_VALUE"""),"USA")</f>
        <v>USA</v>
      </c>
      <c r="E177" s="156">
        <f>IFERROR(__xludf.DUMMYFUNCTION("""COMPUTED_VALUE"""),44442.0)</f>
        <v>44442</v>
      </c>
      <c r="F177" s="129">
        <f>IFERROR(__xludf.DUMMYFUNCTION("""COMPUTED_VALUE"""),44442.0)</f>
        <v>44442</v>
      </c>
      <c r="G177" s="154" t="str">
        <f>IFERROR(__xludf.DUMMYFUNCTION("""COMPUTED_VALUE"""),"Manage order page (normal text)")</f>
        <v>Manage order page (normal text)</v>
      </c>
      <c r="H177" s="131">
        <f>IFERROR(__xludf.DUMMYFUNCTION("""COMPUTED_VALUE"""),63755.0)</f>
        <v>63755</v>
      </c>
      <c r="I177" s="144"/>
      <c r="J177" s="129"/>
      <c r="K177" s="133">
        <f>IFERROR(__xludf.DUMMYFUNCTION("""COMPUTED_VALUE"""),0.0)</f>
        <v>0</v>
      </c>
      <c r="L177" s="133"/>
      <c r="M177" s="133"/>
      <c r="N177" s="152" t="str">
        <f>IFERROR(__xludf.DUMMYFUNCTION("""COMPUTED_VALUE"""),"Model 3 SR+")</f>
        <v>Model 3 SR+</v>
      </c>
      <c r="O177" s="152" t="str">
        <f>IFERROR(__xludf.DUMMYFUNCTION("""COMPUTED_VALUE"""),"Midnight Silver Metallic")</f>
        <v>Midnight Silver Metallic</v>
      </c>
      <c r="P177" s="153" t="str">
        <f>IFERROR(__xludf.DUMMYFUNCTION("""COMPUTED_VALUE"""),"19 inch")</f>
        <v>19 inch</v>
      </c>
      <c r="Q177" s="152" t="str">
        <f>IFERROR(__xludf.DUMMYFUNCTION("""COMPUTED_VALUE"""),"All Black")</f>
        <v>All Black</v>
      </c>
      <c r="R177" s="149" t="str">
        <f>IFERROR(__xludf.DUMMYFUNCTION("""COMPUTED_VALUE"""),"Autopilot included")</f>
        <v>Autopilot included</v>
      </c>
      <c r="S177" s="149" t="str">
        <f>IFERROR(__xludf.DUMMYFUNCTION("""COMPUTED_VALUE"""),"Loan")</f>
        <v>Loan</v>
      </c>
      <c r="T177" s="145" t="str">
        <f>IFERROR(__xludf.DUMMYFUNCTION("""COMPUTED_VALUE"""),"Chevy Bolt")</f>
        <v>Chevy Bolt</v>
      </c>
      <c r="U177" s="145" t="str">
        <f>IFERROR(__xludf.DUMMYFUNCTION("""COMPUTED_VALUE"""),"Autopilot")</f>
        <v>Autopilot</v>
      </c>
      <c r="V177" s="145" t="str">
        <f>IFERROR(__xludf.DUMMYFUNCTION("""COMPUTED_VALUE"""),"Apple CarPlay / Android Auto / SiriusXM Radio")</f>
        <v>Apple CarPlay / Android Auto / SiriusXM Radio</v>
      </c>
      <c r="W177" s="136"/>
      <c r="X177" s="137"/>
      <c r="Y177" s="138"/>
      <c r="Z177" s="138"/>
      <c r="AA177" s="138"/>
      <c r="AB177" s="138"/>
      <c r="AC177" s="139"/>
      <c r="AD177" s="139"/>
      <c r="AE177" s="139"/>
      <c r="AF177" s="140"/>
      <c r="AG177" s="136"/>
      <c r="AH177" s="157">
        <f>IFERROR(__xludf.DUMMYFUNCTION("""COMPUTED_VALUE"""),44457.35692511574)</f>
        <v>44457.35693</v>
      </c>
      <c r="AI177" s="138"/>
      <c r="AJ177" s="138"/>
      <c r="AK177" s="138"/>
      <c r="AL177" s="142"/>
    </row>
    <row r="178" ht="20.25" customHeight="1">
      <c r="A178" s="155" t="str">
        <f>IFERROR(__xludf.DUMMYFUNCTION("""COMPUTED_VALUE"""),"autisticmom")</f>
        <v>autisticmom</v>
      </c>
      <c r="B178" s="149" t="str">
        <f>IFERROR(__xludf.DUMMYFUNCTION("""COMPUTED_VALUE"""),"Temecula ")</f>
        <v>Temecula </v>
      </c>
      <c r="C178" s="149" t="str">
        <f>IFERROR(__xludf.DUMMYFUNCTION("""COMPUTED_VALUE"""),"CA")</f>
        <v>CA</v>
      </c>
      <c r="D178" s="149" t="str">
        <f>IFERROR(__xludf.DUMMYFUNCTION("""COMPUTED_VALUE"""),"USA")</f>
        <v>USA</v>
      </c>
      <c r="E178" s="156">
        <f>IFERROR(__xludf.DUMMYFUNCTION("""COMPUTED_VALUE"""),44442.0)</f>
        <v>44442</v>
      </c>
      <c r="F178" s="129"/>
      <c r="G178" s="154"/>
      <c r="H178" s="131"/>
      <c r="I178" s="132"/>
      <c r="J178" s="129"/>
      <c r="K178" s="133"/>
      <c r="L178" s="133"/>
      <c r="M178" s="133"/>
      <c r="N178" s="152" t="str">
        <f>IFERROR(__xludf.DUMMYFUNCTION("""COMPUTED_VALUE"""),"Model 3 Performance")</f>
        <v>Model 3 Performance</v>
      </c>
      <c r="O178" s="152" t="str">
        <f>IFERROR(__xludf.DUMMYFUNCTION("""COMPUTED_VALUE"""),"Solid Black")</f>
        <v>Solid Black</v>
      </c>
      <c r="P178" s="153" t="str">
        <f>IFERROR(__xludf.DUMMYFUNCTION("""COMPUTED_VALUE"""),"20 inch")</f>
        <v>20 inch</v>
      </c>
      <c r="Q178" s="152" t="str">
        <f>IFERROR(__xludf.DUMMYFUNCTION("""COMPUTED_VALUE"""),"All Black")</f>
        <v>All Black</v>
      </c>
      <c r="R178" s="150" t="str">
        <f>IFERROR(__xludf.DUMMYFUNCTION("""COMPUTED_VALUE"""),"Autopilot included")</f>
        <v>Autopilot included</v>
      </c>
      <c r="S178" s="150" t="str">
        <f>IFERROR(__xludf.DUMMYFUNCTION("""COMPUTED_VALUE"""),"Loan")</f>
        <v>Loan</v>
      </c>
      <c r="T178" s="136" t="str">
        <f>IFERROR(__xludf.DUMMYFUNCTION("""COMPUTED_VALUE"""),"Toyota Tundra")</f>
        <v>Toyota Tundra</v>
      </c>
      <c r="U178" s="136" t="str">
        <f>IFERROR(__xludf.DUMMYFUNCTION("""COMPUTED_VALUE"""),"Electric!")</f>
        <v>Electric!</v>
      </c>
      <c r="V178" s="136" t="str">
        <f>IFERROR(__xludf.DUMMYFUNCTION("""COMPUTED_VALUE"""),"Apple CarPlay / Android Auto / SiriusXM Radio")</f>
        <v>Apple CarPlay / Android Auto / SiriusXM Radio</v>
      </c>
      <c r="W178" s="136"/>
      <c r="X178" s="137"/>
      <c r="Y178" s="138"/>
      <c r="Z178" s="138"/>
      <c r="AA178" s="138"/>
      <c r="AB178" s="138"/>
      <c r="AC178" s="139"/>
      <c r="AD178" s="139"/>
      <c r="AE178" s="139"/>
      <c r="AF178" s="140"/>
      <c r="AG178" s="136"/>
      <c r="AH178" s="157">
        <f>IFERROR(__xludf.DUMMYFUNCTION("""COMPUTED_VALUE"""),44455.723551435185)</f>
        <v>44455.72355</v>
      </c>
      <c r="AI178" s="138"/>
      <c r="AJ178" s="138"/>
      <c r="AK178" s="138"/>
      <c r="AL178" s="142"/>
    </row>
    <row r="179" ht="20.25" customHeight="1">
      <c r="A179" s="155" t="str">
        <f>IFERROR(__xludf.DUMMYFUNCTION("""COMPUTED_VALUE"""),"deebee")</f>
        <v>deebee</v>
      </c>
      <c r="B179" s="149" t="str">
        <f>IFERROR(__xludf.DUMMYFUNCTION("""COMPUTED_VALUE"""),"Portland")</f>
        <v>Portland</v>
      </c>
      <c r="C179" s="149" t="str">
        <f>IFERROR(__xludf.DUMMYFUNCTION("""COMPUTED_VALUE"""),"OR")</f>
        <v>OR</v>
      </c>
      <c r="D179" s="149" t="str">
        <f>IFERROR(__xludf.DUMMYFUNCTION("""COMPUTED_VALUE"""),"USA")</f>
        <v>USA</v>
      </c>
      <c r="E179" s="156">
        <f>IFERROR(__xludf.DUMMYFUNCTION("""COMPUTED_VALUE"""),44442.0)</f>
        <v>44442</v>
      </c>
      <c r="F179" s="129">
        <f>IFERROR(__xludf.DUMMYFUNCTION("""COMPUTED_VALUE"""),44461.0)</f>
        <v>44461</v>
      </c>
      <c r="G179" s="154" t="str">
        <f>IFERROR(__xludf.DUMMYFUNCTION("""COMPUTED_VALUE"""),"Manage order page (normal text)")</f>
        <v>Manage order page (normal text)</v>
      </c>
      <c r="H179" s="131"/>
      <c r="I179" s="144"/>
      <c r="J179" s="129">
        <f>IFERROR(__xludf.DUMMYFUNCTION("""COMPUTED_VALUE"""),44464.0)</f>
        <v>44464</v>
      </c>
      <c r="K179" s="133">
        <f>IFERROR(__xludf.DUMMYFUNCTION("""COMPUTED_VALUE"""),19.0)</f>
        <v>19</v>
      </c>
      <c r="L179" s="133">
        <f>IFERROR(__xludf.DUMMYFUNCTION("""COMPUTED_VALUE"""),3.0)</f>
        <v>3</v>
      </c>
      <c r="M179" s="133">
        <f>IFERROR(__xludf.DUMMYFUNCTION("""COMPUTED_VALUE"""),22.0)</f>
        <v>22</v>
      </c>
      <c r="N179" s="152" t="str">
        <f>IFERROR(__xludf.DUMMYFUNCTION("""COMPUTED_VALUE"""),"Model 3 Performance")</f>
        <v>Model 3 Performance</v>
      </c>
      <c r="O179" s="152" t="str">
        <f>IFERROR(__xludf.DUMMYFUNCTION("""COMPUTED_VALUE"""),"Midnight Silver Metallic")</f>
        <v>Midnight Silver Metallic</v>
      </c>
      <c r="P179" s="153" t="str">
        <f>IFERROR(__xludf.DUMMYFUNCTION("""COMPUTED_VALUE"""),"20 inch")</f>
        <v>20 inch</v>
      </c>
      <c r="Q179" s="152" t="str">
        <f>IFERROR(__xludf.DUMMYFUNCTION("""COMPUTED_VALUE"""),"Black and White")</f>
        <v>Black and White</v>
      </c>
      <c r="R179" s="149" t="str">
        <f>IFERROR(__xludf.DUMMYFUNCTION("""COMPUTED_VALUE"""),"Autopilot included")</f>
        <v>Autopilot included</v>
      </c>
      <c r="S179" s="149" t="str">
        <f>IFERROR(__xludf.DUMMYFUNCTION("""COMPUTED_VALUE"""),"Loan")</f>
        <v>Loan</v>
      </c>
      <c r="T179" s="145"/>
      <c r="U179" s="145"/>
      <c r="V179" s="145"/>
      <c r="W179" s="136"/>
      <c r="X179" s="137"/>
      <c r="Y179" s="138"/>
      <c r="Z179" s="138"/>
      <c r="AA179" s="138"/>
      <c r="AB179" s="138"/>
      <c r="AC179" s="139"/>
      <c r="AD179" s="139"/>
      <c r="AE179" s="139"/>
      <c r="AF179" s="140"/>
      <c r="AG179" s="136"/>
      <c r="AH179" s="157">
        <f>IFERROR(__xludf.DUMMYFUNCTION("""COMPUTED_VALUE"""),44461.68143744213)</f>
        <v>44461.68144</v>
      </c>
      <c r="AI179" s="138"/>
      <c r="AJ179" s="138"/>
      <c r="AK179" s="138"/>
      <c r="AL179" s="142"/>
    </row>
    <row r="180" ht="20.25" customHeight="1">
      <c r="A180" s="155" t="str">
        <f>IFERROR(__xludf.DUMMYFUNCTION("""COMPUTED_VALUE"""),"Doggster")</f>
        <v>Doggster</v>
      </c>
      <c r="B180" s="149" t="str">
        <f>IFERROR(__xludf.DUMMYFUNCTION("""COMPUTED_VALUE"""),"Orange County")</f>
        <v>Orange County</v>
      </c>
      <c r="C180" s="149" t="str">
        <f>IFERROR(__xludf.DUMMYFUNCTION("""COMPUTED_VALUE"""),"CA")</f>
        <v>CA</v>
      </c>
      <c r="D180" s="149" t="str">
        <f>IFERROR(__xludf.DUMMYFUNCTION("""COMPUTED_VALUE"""),"USA")</f>
        <v>USA</v>
      </c>
      <c r="E180" s="156">
        <f>IFERROR(__xludf.DUMMYFUNCTION("""COMPUTED_VALUE"""),44442.0)</f>
        <v>44442</v>
      </c>
      <c r="F180" s="129">
        <f>IFERROR(__xludf.DUMMYFUNCTION("""COMPUTED_VALUE"""),44442.0)</f>
        <v>44442</v>
      </c>
      <c r="G180" s="154" t="str">
        <f>IFERROR(__xludf.DUMMYFUNCTION("""COMPUTED_VALUE"""),"Manage order page (normal text)")</f>
        <v>Manage order page (normal text)</v>
      </c>
      <c r="H180" s="131">
        <f>IFERROR(__xludf.DUMMYFUNCTION("""COMPUTED_VALUE"""),63055.0)</f>
        <v>63055</v>
      </c>
      <c r="I180" s="144"/>
      <c r="J180" s="129">
        <f>IFERROR(__xludf.DUMMYFUNCTION("""COMPUTED_VALUE"""),44456.0)</f>
        <v>44456</v>
      </c>
      <c r="K180" s="133">
        <f>IFERROR(__xludf.DUMMYFUNCTION("""COMPUTED_VALUE"""),0.0)</f>
        <v>0</v>
      </c>
      <c r="L180" s="133">
        <f>IFERROR(__xludf.DUMMYFUNCTION("""COMPUTED_VALUE"""),14.0)</f>
        <v>14</v>
      </c>
      <c r="M180" s="133">
        <f>IFERROR(__xludf.DUMMYFUNCTION("""COMPUTED_VALUE"""),14.0)</f>
        <v>14</v>
      </c>
      <c r="N180" s="152" t="str">
        <f>IFERROR(__xludf.DUMMYFUNCTION("""COMPUTED_VALUE"""),"Model 3 SR+")</f>
        <v>Model 3 SR+</v>
      </c>
      <c r="O180" s="152" t="str">
        <f>IFERROR(__xludf.DUMMYFUNCTION("""COMPUTED_VALUE"""),"Pearl White Multi-Coat")</f>
        <v>Pearl White Multi-Coat</v>
      </c>
      <c r="P180" s="153" t="str">
        <f>IFERROR(__xludf.DUMMYFUNCTION("""COMPUTED_VALUE"""),"18 inch")</f>
        <v>18 inch</v>
      </c>
      <c r="Q180" s="152" t="str">
        <f>IFERROR(__xludf.DUMMYFUNCTION("""COMPUTED_VALUE"""),"Black and White")</f>
        <v>Black and White</v>
      </c>
      <c r="R180" s="149" t="str">
        <f>IFERROR(__xludf.DUMMYFUNCTION("""COMPUTED_VALUE"""),"Autopilot included")</f>
        <v>Autopilot included</v>
      </c>
      <c r="S180" s="149" t="str">
        <f>IFERROR(__xludf.DUMMYFUNCTION("""COMPUTED_VALUE"""),"Loan")</f>
        <v>Loan</v>
      </c>
      <c r="T180" s="145" t="str">
        <f>IFERROR(__xludf.DUMMYFUNCTION("""COMPUTED_VALUE"""),"BMW 4 Series")</f>
        <v>BMW 4 Series</v>
      </c>
      <c r="U180" s="145" t="str">
        <f>IFERROR(__xludf.DUMMYFUNCTION("""COMPUTED_VALUE"""),"Autopilot")</f>
        <v>Autopilot</v>
      </c>
      <c r="V180" s="145" t="str">
        <f>IFERROR(__xludf.DUMMYFUNCTION("""COMPUTED_VALUE"""),"Head-up display")</f>
        <v>Head-up display</v>
      </c>
      <c r="W180" s="145"/>
      <c r="X180" s="137"/>
      <c r="Y180" s="138"/>
      <c r="Z180" s="138"/>
      <c r="AA180" s="138"/>
      <c r="AB180" s="138"/>
      <c r="AC180" s="139"/>
      <c r="AD180" s="139"/>
      <c r="AE180" s="139"/>
      <c r="AF180" s="140"/>
      <c r="AG180" s="145"/>
      <c r="AH180" s="157">
        <f>IFERROR(__xludf.DUMMYFUNCTION("""COMPUTED_VALUE"""),44456.89375349537)</f>
        <v>44456.89375</v>
      </c>
      <c r="AI180" s="138"/>
      <c r="AJ180" s="138"/>
      <c r="AK180" s="138"/>
      <c r="AL180" s="142"/>
    </row>
    <row r="181" ht="20.25" customHeight="1">
      <c r="A181" s="155" t="str">
        <f>IFERROR(__xludf.DUMMYFUNCTION("""COMPUTED_VALUE"""),"lcagle")</f>
        <v>lcagle</v>
      </c>
      <c r="B181" s="159" t="str">
        <f>IFERROR(__xludf.DUMMYFUNCTION("""COMPUTED_VALUE"""),"Tampa")</f>
        <v>Tampa</v>
      </c>
      <c r="C181" s="159" t="str">
        <f>IFERROR(__xludf.DUMMYFUNCTION("""COMPUTED_VALUE"""),"FL")</f>
        <v>FL</v>
      </c>
      <c r="D181" s="159" t="str">
        <f>IFERROR(__xludf.DUMMYFUNCTION("""COMPUTED_VALUE"""),"USA")</f>
        <v>USA</v>
      </c>
      <c r="E181" s="156">
        <f>IFERROR(__xludf.DUMMYFUNCTION("""COMPUTED_VALUE"""),44442.0)</f>
        <v>44442</v>
      </c>
      <c r="F181" s="129">
        <f>IFERROR(__xludf.DUMMYFUNCTION("""COMPUTED_VALUE"""),44448.0)</f>
        <v>44448</v>
      </c>
      <c r="G181" s="154" t="str">
        <f>IFERROR(__xludf.DUMMYFUNCTION("""COMPUTED_VALUE"""),"Manage order page (normal text)")</f>
        <v>Manage order page (normal text)</v>
      </c>
      <c r="H181" s="131">
        <f>IFERROR(__xludf.DUMMYFUNCTION("""COMPUTED_VALUE"""),61955.0)</f>
        <v>61955</v>
      </c>
      <c r="I181" s="160" t="str">
        <f>IFERROR(__xludf.DUMMYFUNCTION("""COMPUTED_VALUE"""),"09/21")</f>
        <v>09/21</v>
      </c>
      <c r="J181" s="129">
        <f>IFERROR(__xludf.DUMMYFUNCTION("""COMPUTED_VALUE"""),44464.0)</f>
        <v>44464</v>
      </c>
      <c r="K181" s="133">
        <f>IFERROR(__xludf.DUMMYFUNCTION("""COMPUTED_VALUE"""),6.0)</f>
        <v>6</v>
      </c>
      <c r="L181" s="133">
        <f>IFERROR(__xludf.DUMMYFUNCTION("""COMPUTED_VALUE"""),16.0)</f>
        <v>16</v>
      </c>
      <c r="M181" s="133">
        <f>IFERROR(__xludf.DUMMYFUNCTION("""COMPUTED_VALUE"""),22.0)</f>
        <v>22</v>
      </c>
      <c r="N181" s="152" t="str">
        <f>IFERROR(__xludf.DUMMYFUNCTION("""COMPUTED_VALUE"""),"Model 3 Performance")</f>
        <v>Model 3 Performance</v>
      </c>
      <c r="O181" s="152" t="str">
        <f>IFERROR(__xludf.DUMMYFUNCTION("""COMPUTED_VALUE"""),"Midnight Silver Metallic")</f>
        <v>Midnight Silver Metallic</v>
      </c>
      <c r="P181" s="153" t="str">
        <f>IFERROR(__xludf.DUMMYFUNCTION("""COMPUTED_VALUE"""),"20 inch")</f>
        <v>20 inch</v>
      </c>
      <c r="Q181" s="152" t="str">
        <f>IFERROR(__xludf.DUMMYFUNCTION("""COMPUTED_VALUE"""),"Black and White")</f>
        <v>Black and White</v>
      </c>
      <c r="R181" s="159" t="str">
        <f>IFERROR(__xludf.DUMMYFUNCTION("""COMPUTED_VALUE"""),"Autopilot included")</f>
        <v>Autopilot included</v>
      </c>
      <c r="S181" s="159" t="str">
        <f>IFERROR(__xludf.DUMMYFUNCTION("""COMPUTED_VALUE"""),"Loan")</f>
        <v>Loan</v>
      </c>
      <c r="T181" s="161" t="str">
        <f>IFERROR(__xludf.DUMMYFUNCTION("""COMPUTED_VALUE"""),"Ford Mustang")</f>
        <v>Ford Mustang</v>
      </c>
      <c r="U181" s="161" t="str">
        <f>IFERROR(__xludf.DUMMYFUNCTION("""COMPUTED_VALUE"""),"It's futuristic")</f>
        <v>It's futuristic</v>
      </c>
      <c r="V181" s="161" t="str">
        <f>IFERROR(__xludf.DUMMYFUNCTION("""COMPUTED_VALUE"""),"Air suspension")</f>
        <v>Air suspension</v>
      </c>
      <c r="W181" s="161"/>
      <c r="X181" s="137" t="str">
        <f>IFERROR(__xludf.DUMMYFUNCTION("""COMPUTED_VALUE"""),"Good")</f>
        <v>Good</v>
      </c>
      <c r="Y181" s="138" t="str">
        <f>IFERROR(__xludf.DUMMYFUNCTION("""COMPUTED_VALUE"""),"Very Good")</f>
        <v>Very Good</v>
      </c>
      <c r="Z181" s="138" t="str">
        <f>IFERROR(__xludf.DUMMYFUNCTION("""COMPUTED_VALUE"""),"Fair")</f>
        <v>Fair</v>
      </c>
      <c r="AA181" s="138" t="str">
        <f>IFERROR(__xludf.DUMMYFUNCTION("""COMPUTED_VALUE"""),"Very Good")</f>
        <v>Very Good</v>
      </c>
      <c r="AB181" s="138" t="str">
        <f>IFERROR(__xludf.DUMMYFUNCTION("""COMPUTED_VALUE"""),"Fair")</f>
        <v>Fair</v>
      </c>
      <c r="AC181" s="139">
        <f>IFERROR(__xludf.DUMMYFUNCTION("""COMPUTED_VALUE"""),5.0)</f>
        <v>5</v>
      </c>
      <c r="AD181" s="139"/>
      <c r="AE181" s="139"/>
      <c r="AF181" s="140" t="str">
        <f>IFERROR(__xludf.DUMMYFUNCTION("""COMPUTED_VALUE"""),"No. I took delivery of the first car Tesla was able to deliver.")</f>
        <v>No. I took delivery of the first car Tesla was able to deliver.</v>
      </c>
      <c r="AG181" s="161"/>
      <c r="AH181" s="157">
        <f>IFERROR(__xludf.DUMMYFUNCTION("""COMPUTED_VALUE"""),44508.27148020833)</f>
        <v>44508.27148</v>
      </c>
      <c r="AI181" s="138"/>
      <c r="AJ181" s="138"/>
      <c r="AK181" s="138"/>
      <c r="AL181" s="142"/>
    </row>
    <row r="182" ht="20.25" customHeight="1">
      <c r="A182" s="155" t="str">
        <f>IFERROR(__xludf.DUMMYFUNCTION("""COMPUTED_VALUE"""),"nikha")</f>
        <v>nikha</v>
      </c>
      <c r="B182" s="149" t="str">
        <f>IFERROR(__xludf.DUMMYFUNCTION("""COMPUTED_VALUE"""),"Newark")</f>
        <v>Newark</v>
      </c>
      <c r="C182" s="149" t="str">
        <f>IFERROR(__xludf.DUMMYFUNCTION("""COMPUTED_VALUE"""),"CA")</f>
        <v>CA</v>
      </c>
      <c r="D182" s="149" t="str">
        <f>IFERROR(__xludf.DUMMYFUNCTION("""COMPUTED_VALUE"""),"USA")</f>
        <v>USA</v>
      </c>
      <c r="E182" s="156">
        <f>IFERROR(__xludf.DUMMYFUNCTION("""COMPUTED_VALUE"""),44442.0)</f>
        <v>44442</v>
      </c>
      <c r="F182" s="129">
        <f>IFERROR(__xludf.DUMMYFUNCTION("""COMPUTED_VALUE"""),44442.0)</f>
        <v>44442</v>
      </c>
      <c r="G182" s="154" t="str">
        <f>IFERROR(__xludf.DUMMYFUNCTION("""COMPUTED_VALUE"""),"Manage order page (normal text)")</f>
        <v>Manage order page (normal text)</v>
      </c>
      <c r="H182" s="131">
        <f>IFERROR(__xludf.DUMMYFUNCTION("""COMPUTED_VALUE"""),61250.0)</f>
        <v>61250</v>
      </c>
      <c r="I182" s="144"/>
      <c r="J182" s="129"/>
      <c r="K182" s="133">
        <f>IFERROR(__xludf.DUMMYFUNCTION("""COMPUTED_VALUE"""),0.0)</f>
        <v>0</v>
      </c>
      <c r="L182" s="133"/>
      <c r="M182" s="133"/>
      <c r="N182" s="152" t="str">
        <f>IFERROR(__xludf.DUMMYFUNCTION("""COMPUTED_VALUE"""),"Model 3 SR+")</f>
        <v>Model 3 SR+</v>
      </c>
      <c r="O182" s="152" t="str">
        <f>IFERROR(__xludf.DUMMYFUNCTION("""COMPUTED_VALUE"""),"Pearl White Multi-Coat")</f>
        <v>Pearl White Multi-Coat</v>
      </c>
      <c r="P182" s="153" t="str">
        <f>IFERROR(__xludf.DUMMYFUNCTION("""COMPUTED_VALUE"""),"18 inch")</f>
        <v>18 inch</v>
      </c>
      <c r="Q182" s="152" t="str">
        <f>IFERROR(__xludf.DUMMYFUNCTION("""COMPUTED_VALUE"""),"All Black")</f>
        <v>All Black</v>
      </c>
      <c r="R182" s="149" t="str">
        <f>IFERROR(__xludf.DUMMYFUNCTION("""COMPUTED_VALUE"""),"Autopilot included")</f>
        <v>Autopilot included</v>
      </c>
      <c r="S182" s="149" t="str">
        <f>IFERROR(__xludf.DUMMYFUNCTION("""COMPUTED_VALUE"""),"Loan")</f>
        <v>Loan</v>
      </c>
      <c r="T182" s="145" t="str">
        <f>IFERROR(__xludf.DUMMYFUNCTION("""COMPUTED_VALUE"""),"Dont have a car")</f>
        <v>Dont have a car</v>
      </c>
      <c r="U182" s="145"/>
      <c r="V182" s="145"/>
      <c r="W182" s="145"/>
      <c r="X182" s="137"/>
      <c r="Y182" s="138"/>
      <c r="Z182" s="138"/>
      <c r="AA182" s="138"/>
      <c r="AB182" s="138"/>
      <c r="AC182" s="139"/>
      <c r="AD182" s="139"/>
      <c r="AE182" s="139"/>
      <c r="AF182" s="140"/>
      <c r="AG182" s="145"/>
      <c r="AH182" s="157">
        <f>IFERROR(__xludf.DUMMYFUNCTION("""COMPUTED_VALUE"""),44444.90388233796)</f>
        <v>44444.90388</v>
      </c>
      <c r="AI182" s="138"/>
      <c r="AJ182" s="138"/>
      <c r="AK182" s="138"/>
      <c r="AL182" s="142"/>
    </row>
    <row r="183" ht="20.25" customHeight="1">
      <c r="A183" s="155" t="str">
        <f>IFERROR(__xludf.DUMMYFUNCTION("""COMPUTED_VALUE"""),"OkButWhy")</f>
        <v>OkButWhy</v>
      </c>
      <c r="B183" s="149" t="str">
        <f>IFERROR(__xludf.DUMMYFUNCTION("""COMPUTED_VALUE"""),"Dallas")</f>
        <v>Dallas</v>
      </c>
      <c r="C183" s="149" t="str">
        <f>IFERROR(__xludf.DUMMYFUNCTION("""COMPUTED_VALUE"""),"TX")</f>
        <v>TX</v>
      </c>
      <c r="D183" s="149" t="str">
        <f>IFERROR(__xludf.DUMMYFUNCTION("""COMPUTED_VALUE"""),"USA")</f>
        <v>USA</v>
      </c>
      <c r="E183" s="156">
        <f>IFERROR(__xludf.DUMMYFUNCTION("""COMPUTED_VALUE"""),44442.0)</f>
        <v>44442</v>
      </c>
      <c r="F183" s="129">
        <f>IFERROR(__xludf.DUMMYFUNCTION("""COMPUTED_VALUE"""),44442.0)</f>
        <v>44442</v>
      </c>
      <c r="G183" s="154" t="str">
        <f>IFERROR(__xludf.DUMMYFUNCTION("""COMPUTED_VALUE"""),"Existing inventory")</f>
        <v>Existing inventory</v>
      </c>
      <c r="H183" s="131"/>
      <c r="I183" s="144"/>
      <c r="J183" s="129">
        <f>IFERROR(__xludf.DUMMYFUNCTION("""COMPUTED_VALUE"""),44465.0)</f>
        <v>44465</v>
      </c>
      <c r="K183" s="133">
        <f>IFERROR(__xludf.DUMMYFUNCTION("""COMPUTED_VALUE"""),0.0)</f>
        <v>0</v>
      </c>
      <c r="L183" s="133">
        <f>IFERROR(__xludf.DUMMYFUNCTION("""COMPUTED_VALUE"""),23.0)</f>
        <v>23</v>
      </c>
      <c r="M183" s="133">
        <f>IFERROR(__xludf.DUMMYFUNCTION("""COMPUTED_VALUE"""),23.0)</f>
        <v>23</v>
      </c>
      <c r="N183" s="152" t="str">
        <f>IFERROR(__xludf.DUMMYFUNCTION("""COMPUTED_VALUE"""),"Model 3 SR+")</f>
        <v>Model 3 SR+</v>
      </c>
      <c r="O183" s="152" t="str">
        <f>IFERROR(__xludf.DUMMYFUNCTION("""COMPUTED_VALUE"""),"Pearl White Multi-Coat")</f>
        <v>Pearl White Multi-Coat</v>
      </c>
      <c r="P183" s="153" t="str">
        <f>IFERROR(__xludf.DUMMYFUNCTION("""COMPUTED_VALUE"""),"18 inch")</f>
        <v>18 inch</v>
      </c>
      <c r="Q183" s="152" t="str">
        <f>IFERROR(__xludf.DUMMYFUNCTION("""COMPUTED_VALUE"""),"All Black")</f>
        <v>All Black</v>
      </c>
      <c r="R183" s="149" t="str">
        <f>IFERROR(__xludf.DUMMYFUNCTION("""COMPUTED_VALUE"""),"Autopilot included")</f>
        <v>Autopilot included</v>
      </c>
      <c r="S183" s="149" t="str">
        <f>IFERROR(__xludf.DUMMYFUNCTION("""COMPUTED_VALUE"""),"Loan")</f>
        <v>Loan</v>
      </c>
      <c r="T183" s="145" t="str">
        <f>IFERROR(__xludf.DUMMYFUNCTION("""COMPUTED_VALUE"""),"Model 3 will be my first car!")</f>
        <v>Model 3 will be my first car!</v>
      </c>
      <c r="U183" s="145" t="str">
        <f>IFERROR(__xludf.DUMMYFUNCTION("""COMPUTED_VALUE"""),"Electric!")</f>
        <v>Electric!</v>
      </c>
      <c r="V183" s="145" t="str">
        <f>IFERROR(__xludf.DUMMYFUNCTION("""COMPUTED_VALUE"""),"360° Bird's eye view")</f>
        <v>360° Bird's eye view</v>
      </c>
      <c r="W183" s="136" t="str">
        <f>IFERROR(__xludf.DUMMYFUNCTION("""COMPUTED_VALUE"""),"Patience, ask questions to your SA")</f>
        <v>Patience, ask questions to your SA</v>
      </c>
      <c r="X183" s="137" t="str">
        <f>IFERROR(__xludf.DUMMYFUNCTION("""COMPUTED_VALUE"""),"Excellent")</f>
        <v>Excellent</v>
      </c>
      <c r="Y183" s="138" t="str">
        <f>IFERROR(__xludf.DUMMYFUNCTION("""COMPUTED_VALUE"""),"Very Good")</f>
        <v>Very Good</v>
      </c>
      <c r="Z183" s="138" t="str">
        <f>IFERROR(__xludf.DUMMYFUNCTION("""COMPUTED_VALUE"""),"Excellent")</f>
        <v>Excellent</v>
      </c>
      <c r="AA183" s="138" t="str">
        <f>IFERROR(__xludf.DUMMYFUNCTION("""COMPUTED_VALUE"""),"Good")</f>
        <v>Good</v>
      </c>
      <c r="AB183" s="138" t="str">
        <f>IFERROR(__xludf.DUMMYFUNCTION("""COMPUTED_VALUE"""),"Excellent")</f>
        <v>Excellent</v>
      </c>
      <c r="AC183" s="139"/>
      <c r="AD183" s="139"/>
      <c r="AE183" s="139"/>
      <c r="AF183" s="140" t="str">
        <f>IFERROR(__xludf.DUMMYFUNCTION("""COMPUTED_VALUE"""),"No. I took delivery of the first car Tesla was able to deliver.")</f>
        <v>No. I took delivery of the first car Tesla was able to deliver.</v>
      </c>
      <c r="AG183" s="136"/>
      <c r="AH183" s="157">
        <f>IFERROR(__xludf.DUMMYFUNCTION("""COMPUTED_VALUE"""),44465.74718605324)</f>
        <v>44465.74719</v>
      </c>
      <c r="AI183" s="138"/>
      <c r="AJ183" s="138"/>
      <c r="AK183" s="138"/>
      <c r="AL183" s="142"/>
    </row>
    <row r="184" ht="20.25" customHeight="1">
      <c r="A184" s="155" t="str">
        <f>IFERROR(__xludf.DUMMYFUNCTION("""COMPUTED_VALUE"""),"Spiltz")</f>
        <v>Spiltz</v>
      </c>
      <c r="B184" s="149" t="str">
        <f>IFERROR(__xludf.DUMMYFUNCTION("""COMPUTED_VALUE"""),"Montreal")</f>
        <v>Montreal</v>
      </c>
      <c r="C184" s="149" t="str">
        <f>IFERROR(__xludf.DUMMYFUNCTION("""COMPUTED_VALUE"""),"QC")</f>
        <v>QC</v>
      </c>
      <c r="D184" s="149" t="str">
        <f>IFERROR(__xludf.DUMMYFUNCTION("""COMPUTED_VALUE"""),"Canada")</f>
        <v>Canada</v>
      </c>
      <c r="E184" s="156">
        <f>IFERROR(__xludf.DUMMYFUNCTION("""COMPUTED_VALUE"""),44442.0)</f>
        <v>44442</v>
      </c>
      <c r="F184" s="129"/>
      <c r="G184" s="154"/>
      <c r="H184" s="131"/>
      <c r="I184" s="144"/>
      <c r="J184" s="129"/>
      <c r="K184" s="133"/>
      <c r="L184" s="133"/>
      <c r="M184" s="133"/>
      <c r="N184" s="152" t="str">
        <f>IFERROR(__xludf.DUMMYFUNCTION("""COMPUTED_VALUE"""),"Model 3 SR+")</f>
        <v>Model 3 SR+</v>
      </c>
      <c r="O184" s="152" t="str">
        <f>IFERROR(__xludf.DUMMYFUNCTION("""COMPUTED_VALUE"""),"Midnight Silver Metallic")</f>
        <v>Midnight Silver Metallic</v>
      </c>
      <c r="P184" s="153" t="str">
        <f>IFERROR(__xludf.DUMMYFUNCTION("""COMPUTED_VALUE"""),"18 inch")</f>
        <v>18 inch</v>
      </c>
      <c r="Q184" s="152" t="str">
        <f>IFERROR(__xludf.DUMMYFUNCTION("""COMPUTED_VALUE"""),"All Black")</f>
        <v>All Black</v>
      </c>
      <c r="R184" s="149" t="str">
        <f>IFERROR(__xludf.DUMMYFUNCTION("""COMPUTED_VALUE"""),"Autopilot included")</f>
        <v>Autopilot included</v>
      </c>
      <c r="S184" s="149" t="str">
        <f>IFERROR(__xludf.DUMMYFUNCTION("""COMPUTED_VALUE"""),"Cash")</f>
        <v>Cash</v>
      </c>
      <c r="T184" s="145" t="str">
        <f>IFERROR(__xludf.DUMMYFUNCTION("""COMPUTED_VALUE"""),"Jeep Cherokee")</f>
        <v>Jeep Cherokee</v>
      </c>
      <c r="U184" s="145" t="str">
        <f>IFERROR(__xludf.DUMMYFUNCTION("""COMPUTED_VALUE"""),"All of the above")</f>
        <v>All of the above</v>
      </c>
      <c r="V184" s="145" t="str">
        <f>IFERROR(__xludf.DUMMYFUNCTION("""COMPUTED_VALUE"""),"Heated steering wheel")</f>
        <v>Heated steering wheel</v>
      </c>
      <c r="W184" s="145"/>
      <c r="X184" s="137"/>
      <c r="Y184" s="138"/>
      <c r="Z184" s="138"/>
      <c r="AA184" s="138"/>
      <c r="AB184" s="138"/>
      <c r="AC184" s="139"/>
      <c r="AD184" s="139"/>
      <c r="AE184" s="139"/>
      <c r="AF184" s="140"/>
      <c r="AG184" s="145"/>
      <c r="AH184" s="157">
        <f>IFERROR(__xludf.DUMMYFUNCTION("""COMPUTED_VALUE"""),44482.7733199537)</f>
        <v>44482.77332</v>
      </c>
      <c r="AI184" s="138"/>
      <c r="AJ184" s="138"/>
      <c r="AK184" s="138"/>
      <c r="AL184" s="142"/>
    </row>
    <row r="185" ht="20.25" customHeight="1">
      <c r="A185" s="155" t="str">
        <f>IFERROR(__xludf.DUMMYFUNCTION("""COMPUTED_VALUE"""),"walshy")</f>
        <v>walshy</v>
      </c>
      <c r="B185" s="149" t="str">
        <f>IFERROR(__xludf.DUMMYFUNCTION("""COMPUTED_VALUE"""),"Chicago")</f>
        <v>Chicago</v>
      </c>
      <c r="C185" s="149" t="str">
        <f>IFERROR(__xludf.DUMMYFUNCTION("""COMPUTED_VALUE"""),"IL")</f>
        <v>IL</v>
      </c>
      <c r="D185" s="149" t="str">
        <f>IFERROR(__xludf.DUMMYFUNCTION("""COMPUTED_VALUE"""),"USA")</f>
        <v>USA</v>
      </c>
      <c r="E185" s="156">
        <f>IFERROR(__xludf.DUMMYFUNCTION("""COMPUTED_VALUE"""),44442.0)</f>
        <v>44442</v>
      </c>
      <c r="F185" s="129"/>
      <c r="G185" s="154"/>
      <c r="H185" s="131"/>
      <c r="I185" s="144"/>
      <c r="J185" s="129"/>
      <c r="K185" s="133"/>
      <c r="L185" s="133"/>
      <c r="M185" s="133"/>
      <c r="N185" s="152" t="str">
        <f>IFERROR(__xludf.DUMMYFUNCTION("""COMPUTED_VALUE"""),"Model 3 LR AWD")</f>
        <v>Model 3 LR AWD</v>
      </c>
      <c r="O185" s="152" t="str">
        <f>IFERROR(__xludf.DUMMYFUNCTION("""COMPUTED_VALUE"""),"Deep Blue Metallic")</f>
        <v>Deep Blue Metallic</v>
      </c>
      <c r="P185" s="153" t="str">
        <f>IFERROR(__xludf.DUMMYFUNCTION("""COMPUTED_VALUE"""),"18 inch")</f>
        <v>18 inch</v>
      </c>
      <c r="Q185" s="152" t="str">
        <f>IFERROR(__xludf.DUMMYFUNCTION("""COMPUTED_VALUE"""),"Black and White")</f>
        <v>Black and White</v>
      </c>
      <c r="R185" s="149" t="str">
        <f>IFERROR(__xludf.DUMMYFUNCTION("""COMPUTED_VALUE"""),"Autopilot included")</f>
        <v>Autopilot included</v>
      </c>
      <c r="S185" s="149" t="str">
        <f>IFERROR(__xludf.DUMMYFUNCTION("""COMPUTED_VALUE"""),"Loan")</f>
        <v>Loan</v>
      </c>
      <c r="T185" s="145" t="str">
        <f>IFERROR(__xludf.DUMMYFUNCTION("""COMPUTED_VALUE"""),"Honda Accord")</f>
        <v>Honda Accord</v>
      </c>
      <c r="U185" s="145" t="str">
        <f>IFERROR(__xludf.DUMMYFUNCTION("""COMPUTED_VALUE"""),"acceleration ")</f>
        <v>acceleration </v>
      </c>
      <c r="V185" s="145" t="str">
        <f>IFERROR(__xludf.DUMMYFUNCTION("""COMPUTED_VALUE"""),"Air suspension")</f>
        <v>Air suspension</v>
      </c>
      <c r="W185" s="136"/>
      <c r="X185" s="137"/>
      <c r="Y185" s="138"/>
      <c r="Z185" s="138"/>
      <c r="AA185" s="138"/>
      <c r="AB185" s="138"/>
      <c r="AC185" s="139"/>
      <c r="AD185" s="139"/>
      <c r="AE185" s="139"/>
      <c r="AF185" s="140"/>
      <c r="AG185" s="136"/>
      <c r="AH185" s="157">
        <f>IFERROR(__xludf.DUMMYFUNCTION("""COMPUTED_VALUE"""),44496.60985695602)</f>
        <v>44496.60986</v>
      </c>
      <c r="AI185" s="138"/>
      <c r="AJ185" s="138"/>
      <c r="AK185" s="138"/>
      <c r="AL185" s="142"/>
    </row>
    <row r="186" ht="20.25" customHeight="1">
      <c r="A186" s="155" t="str">
        <f>IFERROR(__xludf.DUMMYFUNCTION("""COMPUTED_VALUE"""),"z3r0")</f>
        <v>z3r0</v>
      </c>
      <c r="B186" s="149"/>
      <c r="C186" s="149" t="str">
        <f>IFERROR(__xludf.DUMMYFUNCTION("""COMPUTED_VALUE"""),"MO")</f>
        <v>MO</v>
      </c>
      <c r="D186" s="149" t="str">
        <f>IFERROR(__xludf.DUMMYFUNCTION("""COMPUTED_VALUE"""),"USA")</f>
        <v>USA</v>
      </c>
      <c r="E186" s="156">
        <f>IFERROR(__xludf.DUMMYFUNCTION("""COMPUTED_VALUE"""),44442.0)</f>
        <v>44442</v>
      </c>
      <c r="F186" s="129">
        <f>IFERROR(__xludf.DUMMYFUNCTION("""COMPUTED_VALUE"""),44448.0)</f>
        <v>44448</v>
      </c>
      <c r="G186" s="154" t="str">
        <f>IFERROR(__xludf.DUMMYFUNCTION("""COMPUTED_VALUE"""),"Manage order page (normal text)")</f>
        <v>Manage order page (normal text)</v>
      </c>
      <c r="H186" s="131">
        <f>IFERROR(__xludf.DUMMYFUNCTION("""COMPUTED_VALUE"""),59600.0)</f>
        <v>59600</v>
      </c>
      <c r="I186" s="144"/>
      <c r="J186" s="129">
        <f>IFERROR(__xludf.DUMMYFUNCTION("""COMPUTED_VALUE"""),44469.0)</f>
        <v>44469</v>
      </c>
      <c r="K186" s="133">
        <f>IFERROR(__xludf.DUMMYFUNCTION("""COMPUTED_VALUE"""),6.0)</f>
        <v>6</v>
      </c>
      <c r="L186" s="133">
        <f>IFERROR(__xludf.DUMMYFUNCTION("""COMPUTED_VALUE"""),21.0)</f>
        <v>21</v>
      </c>
      <c r="M186" s="133">
        <f>IFERROR(__xludf.DUMMYFUNCTION("""COMPUTED_VALUE"""),27.0)</f>
        <v>27</v>
      </c>
      <c r="N186" s="152" t="str">
        <f>IFERROR(__xludf.DUMMYFUNCTION("""COMPUTED_VALUE"""),"Model 3 Performance")</f>
        <v>Model 3 Performance</v>
      </c>
      <c r="O186" s="152" t="str">
        <f>IFERROR(__xludf.DUMMYFUNCTION("""COMPUTED_VALUE"""),"Pearl White Multi-Coat")</f>
        <v>Pearl White Multi-Coat</v>
      </c>
      <c r="P186" s="153" t="str">
        <f>IFERROR(__xludf.DUMMYFUNCTION("""COMPUTED_VALUE"""),"20 inch")</f>
        <v>20 inch</v>
      </c>
      <c r="Q186" s="152" t="str">
        <f>IFERROR(__xludf.DUMMYFUNCTION("""COMPUTED_VALUE"""),"Black and White")</f>
        <v>Black and White</v>
      </c>
      <c r="R186" s="149" t="str">
        <f>IFERROR(__xludf.DUMMYFUNCTION("""COMPUTED_VALUE"""),"Full Self-Driving")</f>
        <v>Full Self-Driving</v>
      </c>
      <c r="S186" s="149" t="str">
        <f>IFERROR(__xludf.DUMMYFUNCTION("""COMPUTED_VALUE"""),"Cash")</f>
        <v>Cash</v>
      </c>
      <c r="T186" s="145"/>
      <c r="U186" s="145" t="str">
        <f>IFERROR(__xludf.DUMMYFUNCTION("""COMPUTED_VALUE"""),"Electric!")</f>
        <v>Electric!</v>
      </c>
      <c r="V186" s="145" t="str">
        <f>IFERROR(__xludf.DUMMYFUNCTION("""COMPUTED_VALUE"""),"Ventilated seats")</f>
        <v>Ventilated seats</v>
      </c>
      <c r="W186" s="136"/>
      <c r="X186" s="137"/>
      <c r="Y186" s="138"/>
      <c r="Z186" s="138"/>
      <c r="AA186" s="138"/>
      <c r="AB186" s="138"/>
      <c r="AC186" s="139"/>
      <c r="AD186" s="139"/>
      <c r="AE186" s="139"/>
      <c r="AF186" s="140"/>
      <c r="AG186" s="136"/>
      <c r="AH186" s="157">
        <f>IFERROR(__xludf.DUMMYFUNCTION("""COMPUTED_VALUE"""),44469.49954668982)</f>
        <v>44469.49955</v>
      </c>
      <c r="AI186" s="138"/>
      <c r="AJ186" s="138"/>
      <c r="AK186" s="138"/>
      <c r="AL186" s="142"/>
    </row>
    <row r="187" ht="20.25" customHeight="1">
      <c r="A187" s="155" t="str">
        <f>IFERROR(__xludf.DUMMYFUNCTION("""COMPUTED_VALUE"""),"CheezyNachos")</f>
        <v>CheezyNachos</v>
      </c>
      <c r="B187" s="149" t="str">
        <f>IFERROR(__xludf.DUMMYFUNCTION("""COMPUTED_VALUE"""),"Appleton")</f>
        <v>Appleton</v>
      </c>
      <c r="C187" s="149" t="str">
        <f>IFERROR(__xludf.DUMMYFUNCTION("""COMPUTED_VALUE"""),"WI")</f>
        <v>WI</v>
      </c>
      <c r="D187" s="149" t="str">
        <f>IFERROR(__xludf.DUMMYFUNCTION("""COMPUTED_VALUE"""),"USA")</f>
        <v>USA</v>
      </c>
      <c r="E187" s="156">
        <f>IFERROR(__xludf.DUMMYFUNCTION("""COMPUTED_VALUE"""),44441.0)</f>
        <v>44441</v>
      </c>
      <c r="F187" s="129">
        <f>IFERROR(__xludf.DUMMYFUNCTION("""COMPUTED_VALUE"""),44448.0)</f>
        <v>44448</v>
      </c>
      <c r="G187" s="154" t="str">
        <f>IFERROR(__xludf.DUMMYFUNCTION("""COMPUTED_VALUE"""),"Email")</f>
        <v>Email</v>
      </c>
      <c r="H187" s="131">
        <f>IFERROR(__xludf.DUMMYFUNCTION("""COMPUTED_VALUE"""),61930.0)</f>
        <v>61930</v>
      </c>
      <c r="I187" s="144" t="str">
        <f>IFERROR(__xludf.DUMMYFUNCTION("""COMPUTED_VALUE"""),"09/21")</f>
        <v>09/21</v>
      </c>
      <c r="J187" s="129">
        <f>IFERROR(__xludf.DUMMYFUNCTION("""COMPUTED_VALUE"""),44461.0)</f>
        <v>44461</v>
      </c>
      <c r="K187" s="133">
        <f>IFERROR(__xludf.DUMMYFUNCTION("""COMPUTED_VALUE"""),7.0)</f>
        <v>7</v>
      </c>
      <c r="L187" s="133">
        <f>IFERROR(__xludf.DUMMYFUNCTION("""COMPUTED_VALUE"""),13.0)</f>
        <v>13</v>
      </c>
      <c r="M187" s="133">
        <f>IFERROR(__xludf.DUMMYFUNCTION("""COMPUTED_VALUE"""),20.0)</f>
        <v>20</v>
      </c>
      <c r="N187" s="152" t="str">
        <f>IFERROR(__xludf.DUMMYFUNCTION("""COMPUTED_VALUE"""),"Model 3 Performance")</f>
        <v>Model 3 Performance</v>
      </c>
      <c r="O187" s="152" t="str">
        <f>IFERROR(__xludf.DUMMYFUNCTION("""COMPUTED_VALUE"""),"Pearl White Multi-Coat")</f>
        <v>Pearl White Multi-Coat</v>
      </c>
      <c r="P187" s="153" t="str">
        <f>IFERROR(__xludf.DUMMYFUNCTION("""COMPUTED_VALUE"""),"20 inch")</f>
        <v>20 inch</v>
      </c>
      <c r="Q187" s="152" t="str">
        <f>IFERROR(__xludf.DUMMYFUNCTION("""COMPUTED_VALUE"""),"Black and White")</f>
        <v>Black and White</v>
      </c>
      <c r="R187" s="149" t="str">
        <f>IFERROR(__xludf.DUMMYFUNCTION("""COMPUTED_VALUE"""),"Autopilot included")</f>
        <v>Autopilot included</v>
      </c>
      <c r="S187" s="149" t="str">
        <f>IFERROR(__xludf.DUMMYFUNCTION("""COMPUTED_VALUE"""),"Loan")</f>
        <v>Loan</v>
      </c>
      <c r="T187" s="145" t="str">
        <f>IFERROR(__xludf.DUMMYFUNCTION("""COMPUTED_VALUE"""),"Toyota GR Supra 3.0 Premium")</f>
        <v>Toyota GR Supra 3.0 Premium</v>
      </c>
      <c r="U187" s="145" t="str">
        <f>IFERROR(__xludf.DUMMYFUNCTION("""COMPUTED_VALUE"""),"Acceleration")</f>
        <v>Acceleration</v>
      </c>
      <c r="V187" s="145" t="str">
        <f>IFERROR(__xludf.DUMMYFUNCTION("""COMPUTED_VALUE"""),"Head-up display")</f>
        <v>Head-up display</v>
      </c>
      <c r="W187" s="136"/>
      <c r="X187" s="137" t="str">
        <f>IFERROR(__xludf.DUMMYFUNCTION("""COMPUTED_VALUE"""),"Excellent")</f>
        <v>Excellent</v>
      </c>
      <c r="Y187" s="138" t="str">
        <f>IFERROR(__xludf.DUMMYFUNCTION("""COMPUTED_VALUE"""),"Excellent")</f>
        <v>Excellent</v>
      </c>
      <c r="Z187" s="138" t="str">
        <f>IFERROR(__xludf.DUMMYFUNCTION("""COMPUTED_VALUE"""),"Excellent")</f>
        <v>Excellent</v>
      </c>
      <c r="AA187" s="138" t="str">
        <f>IFERROR(__xludf.DUMMYFUNCTION("""COMPUTED_VALUE"""),"Good")</f>
        <v>Good</v>
      </c>
      <c r="AB187" s="138" t="str">
        <f>IFERROR(__xludf.DUMMYFUNCTION("""COMPUTED_VALUE"""),"Poor")</f>
        <v>Poor</v>
      </c>
      <c r="AC187" s="139">
        <f>IFERROR(__xludf.DUMMYFUNCTION("""COMPUTED_VALUE"""),0.0)</f>
        <v>0</v>
      </c>
      <c r="AD187" s="139"/>
      <c r="AE187" s="139"/>
      <c r="AF187" s="140"/>
      <c r="AG187" s="136"/>
      <c r="AH187" s="157">
        <f>IFERROR(__xludf.DUMMYFUNCTION("""COMPUTED_VALUE"""),44472.33046534722)</f>
        <v>44472.33047</v>
      </c>
      <c r="AI187" s="138"/>
      <c r="AJ187" s="138"/>
      <c r="AK187" s="138"/>
      <c r="AL187" s="142"/>
    </row>
    <row r="188" ht="20.25" customHeight="1">
      <c r="A188" s="155" t="str">
        <f>IFERROR(__xludf.DUMMYFUNCTION("""COMPUTED_VALUE"""),"CTS")</f>
        <v>CTS</v>
      </c>
      <c r="B188" s="149"/>
      <c r="C188" s="149" t="str">
        <f>IFERROR(__xludf.DUMMYFUNCTION("""COMPUTED_VALUE"""),"CA")</f>
        <v>CA</v>
      </c>
      <c r="D188" s="149" t="str">
        <f>IFERROR(__xludf.DUMMYFUNCTION("""COMPUTED_VALUE"""),"USA")</f>
        <v>USA</v>
      </c>
      <c r="E188" s="156">
        <f>IFERROR(__xludf.DUMMYFUNCTION("""COMPUTED_VALUE"""),44441.0)</f>
        <v>44441</v>
      </c>
      <c r="F188" s="129"/>
      <c r="G188" s="154"/>
      <c r="H188" s="131"/>
      <c r="I188" s="132"/>
      <c r="J188" s="129"/>
      <c r="K188" s="133"/>
      <c r="L188" s="133"/>
      <c r="M188" s="133"/>
      <c r="N188" s="152" t="str">
        <f>IFERROR(__xludf.DUMMYFUNCTION("""COMPUTED_VALUE"""),"Model 3 LR AWD")</f>
        <v>Model 3 LR AWD</v>
      </c>
      <c r="O188" s="152" t="str">
        <f>IFERROR(__xludf.DUMMYFUNCTION("""COMPUTED_VALUE"""),"Pearl White Multi-Coat")</f>
        <v>Pearl White Multi-Coat</v>
      </c>
      <c r="P188" s="153" t="str">
        <f>IFERROR(__xludf.DUMMYFUNCTION("""COMPUTED_VALUE"""),"18 inch")</f>
        <v>18 inch</v>
      </c>
      <c r="Q188" s="152" t="str">
        <f>IFERROR(__xludf.DUMMYFUNCTION("""COMPUTED_VALUE"""),"All Black")</f>
        <v>All Black</v>
      </c>
      <c r="R188" s="150" t="str">
        <f>IFERROR(__xludf.DUMMYFUNCTION("""COMPUTED_VALUE"""),"Autopilot included")</f>
        <v>Autopilot included</v>
      </c>
      <c r="S188" s="150" t="str">
        <f>IFERROR(__xludf.DUMMYFUNCTION("""COMPUTED_VALUE"""),"Cash")</f>
        <v>Cash</v>
      </c>
      <c r="T188" s="136"/>
      <c r="U188" s="136" t="str">
        <f>IFERROR(__xludf.DUMMYFUNCTION("""COMPUTED_VALUE"""),"Autopilot")</f>
        <v>Autopilot</v>
      </c>
      <c r="V188" s="136" t="str">
        <f>IFERROR(__xludf.DUMMYFUNCTION("""COMPUTED_VALUE"""),"Apple CarPlay / Android Auto / SiriusXM Radio")</f>
        <v>Apple CarPlay / Android Auto / SiriusXM Radio</v>
      </c>
      <c r="W188" s="145"/>
      <c r="X188" s="137"/>
      <c r="Y188" s="138"/>
      <c r="Z188" s="138"/>
      <c r="AA188" s="138"/>
      <c r="AB188" s="138"/>
      <c r="AC188" s="139"/>
      <c r="AD188" s="139"/>
      <c r="AE188" s="139"/>
      <c r="AF188" s="140"/>
      <c r="AG188" s="145"/>
      <c r="AH188" s="157">
        <f>IFERROR(__xludf.DUMMYFUNCTION("""COMPUTED_VALUE"""),44442.36082649305)</f>
        <v>44442.36083</v>
      </c>
      <c r="AI188" s="138"/>
      <c r="AJ188" s="138"/>
      <c r="AK188" s="138"/>
      <c r="AL188" s="142"/>
    </row>
    <row r="189" ht="20.25" customHeight="1">
      <c r="A189" s="155" t="str">
        <f>IFERROR(__xludf.DUMMYFUNCTION("""COMPUTED_VALUE"""),"TwistedNerv")</f>
        <v>TwistedNerv</v>
      </c>
      <c r="B189" s="149" t="str">
        <f>IFERROR(__xludf.DUMMYFUNCTION("""COMPUTED_VALUE"""),"Choctaw")</f>
        <v>Choctaw</v>
      </c>
      <c r="C189" s="149" t="str">
        <f>IFERROR(__xludf.DUMMYFUNCTION("""COMPUTED_VALUE"""),"OK")</f>
        <v>OK</v>
      </c>
      <c r="D189" s="149" t="str">
        <f>IFERROR(__xludf.DUMMYFUNCTION("""COMPUTED_VALUE"""),"USA")</f>
        <v>USA</v>
      </c>
      <c r="E189" s="156">
        <f>IFERROR(__xludf.DUMMYFUNCTION("""COMPUTED_VALUE"""),44441.0)</f>
        <v>44441</v>
      </c>
      <c r="F189" s="129">
        <f>IFERROR(__xludf.DUMMYFUNCTION("""COMPUTED_VALUE"""),44482.0)</f>
        <v>44482</v>
      </c>
      <c r="G189" s="154" t="str">
        <f>IFERROR(__xludf.DUMMYFUNCTION("""COMPUTED_VALUE"""),"Text message")</f>
        <v>Text message</v>
      </c>
      <c r="H189" s="131"/>
      <c r="I189" s="144"/>
      <c r="J189" s="129">
        <f>IFERROR(__xludf.DUMMYFUNCTION("""COMPUTED_VALUE"""),44497.0)</f>
        <v>44497</v>
      </c>
      <c r="K189" s="133">
        <f>IFERROR(__xludf.DUMMYFUNCTION("""COMPUTED_VALUE"""),41.0)</f>
        <v>41</v>
      </c>
      <c r="L189" s="133">
        <f>IFERROR(__xludf.DUMMYFUNCTION("""COMPUTED_VALUE"""),15.0)</f>
        <v>15</v>
      </c>
      <c r="M189" s="133">
        <f>IFERROR(__xludf.DUMMYFUNCTION("""COMPUTED_VALUE"""),56.0)</f>
        <v>56</v>
      </c>
      <c r="N189" s="152" t="str">
        <f>IFERROR(__xludf.DUMMYFUNCTION("""COMPUTED_VALUE"""),"Model 3 LR AWD")</f>
        <v>Model 3 LR AWD</v>
      </c>
      <c r="O189" s="152" t="str">
        <f>IFERROR(__xludf.DUMMYFUNCTION("""COMPUTED_VALUE"""),"Midnight Silver Metallic")</f>
        <v>Midnight Silver Metallic</v>
      </c>
      <c r="P189" s="153" t="str">
        <f>IFERROR(__xludf.DUMMYFUNCTION("""COMPUTED_VALUE"""),"18 inch")</f>
        <v>18 inch</v>
      </c>
      <c r="Q189" s="152" t="str">
        <f>IFERROR(__xludf.DUMMYFUNCTION("""COMPUTED_VALUE"""),"All Black")</f>
        <v>All Black</v>
      </c>
      <c r="R189" s="149" t="str">
        <f>IFERROR(__xludf.DUMMYFUNCTION("""COMPUTED_VALUE"""),"Autopilot included")</f>
        <v>Autopilot included</v>
      </c>
      <c r="S189" s="149" t="str">
        <f>IFERROR(__xludf.DUMMYFUNCTION("""COMPUTED_VALUE"""),"Loan")</f>
        <v>Loan</v>
      </c>
      <c r="T189" s="145"/>
      <c r="U189" s="145" t="str">
        <f>IFERROR(__xludf.DUMMYFUNCTION("""COMPUTED_VALUE"""),"Electric!")</f>
        <v>Electric!</v>
      </c>
      <c r="V189" s="145" t="str">
        <f>IFERROR(__xludf.DUMMYFUNCTION("""COMPUTED_VALUE"""),"Blind spot indicators on side mirrors")</f>
        <v>Blind spot indicators on side mirrors</v>
      </c>
      <c r="W189" s="136"/>
      <c r="X189" s="137" t="str">
        <f>IFERROR(__xludf.DUMMYFUNCTION("""COMPUTED_VALUE"""),"Excellent")</f>
        <v>Excellent</v>
      </c>
      <c r="Y189" s="138" t="str">
        <f>IFERROR(__xludf.DUMMYFUNCTION("""COMPUTED_VALUE"""),"Excellent")</f>
        <v>Excellent</v>
      </c>
      <c r="Z189" s="138" t="str">
        <f>IFERROR(__xludf.DUMMYFUNCTION("""COMPUTED_VALUE"""),"Excellent")</f>
        <v>Excellent</v>
      </c>
      <c r="AA189" s="138" t="str">
        <f>IFERROR(__xludf.DUMMYFUNCTION("""COMPUTED_VALUE"""),"Excellent")</f>
        <v>Excellent</v>
      </c>
      <c r="AB189" s="138" t="str">
        <f>IFERROR(__xludf.DUMMYFUNCTION("""COMPUTED_VALUE"""),"Excellent")</f>
        <v>Excellent</v>
      </c>
      <c r="AC189" s="139"/>
      <c r="AD189" s="139"/>
      <c r="AE189" s="139"/>
      <c r="AF189" s="140" t="str">
        <f>IFERROR(__xludf.DUMMYFUNCTION("""COMPUTED_VALUE"""),"No. I took delivery of the first car Tesla was able to deliver.")</f>
        <v>No. I took delivery of the first car Tesla was able to deliver.</v>
      </c>
      <c r="AG189" s="136"/>
      <c r="AH189" s="157">
        <f>IFERROR(__xludf.DUMMYFUNCTION("""COMPUTED_VALUE"""),44498.38739253472)</f>
        <v>44498.38739</v>
      </c>
      <c r="AI189" s="138"/>
      <c r="AJ189" s="138"/>
      <c r="AK189" s="138"/>
      <c r="AL189" s="142"/>
    </row>
    <row r="190" ht="20.25" customHeight="1">
      <c r="A190" s="155" t="str">
        <f>IFERROR(__xludf.DUMMYFUNCTION("""COMPUTED_VALUE"""),"frank")</f>
        <v>frank</v>
      </c>
      <c r="B190" s="149" t="str">
        <f>IFERROR(__xludf.DUMMYFUNCTION("""COMPUTED_VALUE"""),"Dolbeau-Mistassini")</f>
        <v>Dolbeau-Mistassini</v>
      </c>
      <c r="C190" s="149" t="str">
        <f>IFERROR(__xludf.DUMMYFUNCTION("""COMPUTED_VALUE"""),"QC")</f>
        <v>QC</v>
      </c>
      <c r="D190" s="149" t="str">
        <f>IFERROR(__xludf.DUMMYFUNCTION("""COMPUTED_VALUE"""),"Canada")</f>
        <v>Canada</v>
      </c>
      <c r="E190" s="156">
        <f>IFERROR(__xludf.DUMMYFUNCTION("""COMPUTED_VALUE"""),44440.0)</f>
        <v>44440</v>
      </c>
      <c r="F190" s="129"/>
      <c r="G190" s="154"/>
      <c r="H190" s="131"/>
      <c r="I190" s="144"/>
      <c r="J190" s="129"/>
      <c r="K190" s="133"/>
      <c r="L190" s="133"/>
      <c r="M190" s="133"/>
      <c r="N190" s="152" t="str">
        <f>IFERROR(__xludf.DUMMYFUNCTION("""COMPUTED_VALUE"""),"Model 3 SR+")</f>
        <v>Model 3 SR+</v>
      </c>
      <c r="O190" s="152" t="str">
        <f>IFERROR(__xludf.DUMMYFUNCTION("""COMPUTED_VALUE"""),"Solid Black")</f>
        <v>Solid Black</v>
      </c>
      <c r="P190" s="153" t="str">
        <f>IFERROR(__xludf.DUMMYFUNCTION("""COMPUTED_VALUE"""),"18 inch")</f>
        <v>18 inch</v>
      </c>
      <c r="Q190" s="152" t="str">
        <f>IFERROR(__xludf.DUMMYFUNCTION("""COMPUTED_VALUE"""),"All Black")</f>
        <v>All Black</v>
      </c>
      <c r="R190" s="149" t="str">
        <f>IFERROR(__xludf.DUMMYFUNCTION("""COMPUTED_VALUE"""),"Autopilot included")</f>
        <v>Autopilot included</v>
      </c>
      <c r="S190" s="149" t="str">
        <f>IFERROR(__xludf.DUMMYFUNCTION("""COMPUTED_VALUE"""),"Loan")</f>
        <v>Loan</v>
      </c>
      <c r="T190" s="145" t="str">
        <f>IFERROR(__xludf.DUMMYFUNCTION("""COMPUTED_VALUE"""),"Ford Fusion")</f>
        <v>Ford Fusion</v>
      </c>
      <c r="U190" s="145" t="str">
        <f>IFERROR(__xludf.DUMMYFUNCTION("""COMPUTED_VALUE"""),"Electric!")</f>
        <v>Electric!</v>
      </c>
      <c r="V190" s="145" t="str">
        <f>IFERROR(__xludf.DUMMYFUNCTION("""COMPUTED_VALUE"""),"Heated steering wheel")</f>
        <v>Heated steering wheel</v>
      </c>
      <c r="W190" s="145"/>
      <c r="X190" s="137"/>
      <c r="Y190" s="138"/>
      <c r="Z190" s="138"/>
      <c r="AA190" s="138"/>
      <c r="AB190" s="138"/>
      <c r="AC190" s="139"/>
      <c r="AD190" s="139"/>
      <c r="AE190" s="139"/>
      <c r="AF190" s="140"/>
      <c r="AG190" s="145"/>
      <c r="AH190" s="157">
        <f>IFERROR(__xludf.DUMMYFUNCTION("""COMPUTED_VALUE"""),44464.63015325232)</f>
        <v>44464.63015</v>
      </c>
      <c r="AI190" s="138"/>
      <c r="AJ190" s="138"/>
      <c r="AK190" s="138"/>
      <c r="AL190" s="142"/>
    </row>
    <row r="191" ht="20.25" customHeight="1">
      <c r="A191" s="155" t="str">
        <f>IFERROR(__xludf.DUMMYFUNCTION("""COMPUTED_VALUE"""),"JaseW")</f>
        <v>JaseW</v>
      </c>
      <c r="B191" s="149" t="str">
        <f>IFERROR(__xludf.DUMMYFUNCTION("""COMPUTED_VALUE"""),"London")</f>
        <v>London</v>
      </c>
      <c r="C191" s="149"/>
      <c r="D191" s="149" t="str">
        <f>IFERROR(__xludf.DUMMYFUNCTION("""COMPUTED_VALUE"""),"United Kingdom")</f>
        <v>United Kingdom</v>
      </c>
      <c r="E191" s="156">
        <f>IFERROR(__xludf.DUMMYFUNCTION("""COMPUTED_VALUE"""),44440.0)</f>
        <v>44440</v>
      </c>
      <c r="F191" s="129"/>
      <c r="G191" s="154"/>
      <c r="H191" s="131"/>
      <c r="I191" s="144"/>
      <c r="J191" s="129"/>
      <c r="K191" s="133"/>
      <c r="L191" s="133"/>
      <c r="M191" s="133"/>
      <c r="N191" s="152" t="str">
        <f>IFERROR(__xludf.DUMMYFUNCTION("""COMPUTED_VALUE"""),"Model 3 LR AWD")</f>
        <v>Model 3 LR AWD</v>
      </c>
      <c r="O191" s="152" t="str">
        <f>IFERROR(__xludf.DUMMYFUNCTION("""COMPUTED_VALUE"""),"Pearl White Multi-Coat")</f>
        <v>Pearl White Multi-Coat</v>
      </c>
      <c r="P191" s="153" t="str">
        <f>IFERROR(__xludf.DUMMYFUNCTION("""COMPUTED_VALUE"""),"19 inch")</f>
        <v>19 inch</v>
      </c>
      <c r="Q191" s="152" t="str">
        <f>IFERROR(__xludf.DUMMYFUNCTION("""COMPUTED_VALUE"""),"All Black")</f>
        <v>All Black</v>
      </c>
      <c r="R191" s="149"/>
      <c r="S191" s="149" t="str">
        <f>IFERROR(__xludf.DUMMYFUNCTION("""COMPUTED_VALUE"""),"Cash")</f>
        <v>Cash</v>
      </c>
      <c r="T191" s="145" t="str">
        <f>IFERROR(__xludf.DUMMYFUNCTION("""COMPUTED_VALUE"""),"Vauxhall Astra")</f>
        <v>Vauxhall Astra</v>
      </c>
      <c r="U191" s="145" t="str">
        <f>IFERROR(__xludf.DUMMYFUNCTION("""COMPUTED_VALUE"""),"Electric!")</f>
        <v>Electric!</v>
      </c>
      <c r="V191" s="145" t="str">
        <f>IFERROR(__xludf.DUMMYFUNCTION("""COMPUTED_VALUE"""),"Head-up display")</f>
        <v>Head-up display</v>
      </c>
      <c r="W191" s="136"/>
      <c r="X191" s="137"/>
      <c r="Y191" s="138"/>
      <c r="Z191" s="138"/>
      <c r="AA191" s="138"/>
      <c r="AB191" s="138"/>
      <c r="AC191" s="139"/>
      <c r="AD191" s="139"/>
      <c r="AE191" s="139"/>
      <c r="AF191" s="140"/>
      <c r="AG191" s="136"/>
      <c r="AH191" s="157">
        <f>IFERROR(__xludf.DUMMYFUNCTION("""COMPUTED_VALUE"""),44441.73744012732)</f>
        <v>44441.73744</v>
      </c>
      <c r="AI191" s="138"/>
      <c r="AJ191" s="138"/>
      <c r="AK191" s="138"/>
      <c r="AL191" s="142"/>
    </row>
    <row r="192" ht="20.25" customHeight="1">
      <c r="A192" s="155" t="str">
        <f>IFERROR(__xludf.DUMMYFUNCTION("""COMPUTED_VALUE"""),"marianne0909")</f>
        <v>marianne0909</v>
      </c>
      <c r="B192" s="149" t="str">
        <f>IFERROR(__xludf.DUMMYFUNCTION("""COMPUTED_VALUE"""),"London")</f>
        <v>London</v>
      </c>
      <c r="C192" s="149" t="str">
        <f>IFERROR(__xludf.DUMMYFUNCTION("""COMPUTED_VALUE"""),"ON")</f>
        <v>ON</v>
      </c>
      <c r="D192" s="149" t="str">
        <f>IFERROR(__xludf.DUMMYFUNCTION("""COMPUTED_VALUE"""),"Canada")</f>
        <v>Canada</v>
      </c>
      <c r="E192" s="156">
        <f>IFERROR(__xludf.DUMMYFUNCTION("""COMPUTED_VALUE"""),44440.0)</f>
        <v>44440</v>
      </c>
      <c r="F192" s="129"/>
      <c r="G192" s="154"/>
      <c r="H192" s="131"/>
      <c r="I192" s="144"/>
      <c r="J192" s="129"/>
      <c r="K192" s="133"/>
      <c r="L192" s="133"/>
      <c r="M192" s="133"/>
      <c r="N192" s="152" t="str">
        <f>IFERROR(__xludf.DUMMYFUNCTION("""COMPUTED_VALUE"""),"Model 3 SR+")</f>
        <v>Model 3 SR+</v>
      </c>
      <c r="O192" s="152" t="str">
        <f>IFERROR(__xludf.DUMMYFUNCTION("""COMPUTED_VALUE"""),"Midnight Silver Metallic")</f>
        <v>Midnight Silver Metallic</v>
      </c>
      <c r="P192" s="153" t="str">
        <f>IFERROR(__xludf.DUMMYFUNCTION("""COMPUTED_VALUE"""),"18 inch")</f>
        <v>18 inch</v>
      </c>
      <c r="Q192" s="152" t="str">
        <f>IFERROR(__xludf.DUMMYFUNCTION("""COMPUTED_VALUE"""),"All Black")</f>
        <v>All Black</v>
      </c>
      <c r="R192" s="149" t="str">
        <f>IFERROR(__xludf.DUMMYFUNCTION("""COMPUTED_VALUE"""),"Autopilot included")</f>
        <v>Autopilot included</v>
      </c>
      <c r="S192" s="149" t="str">
        <f>IFERROR(__xludf.DUMMYFUNCTION("""COMPUTED_VALUE"""),"Cash")</f>
        <v>Cash</v>
      </c>
      <c r="T192" s="145" t="str">
        <f>IFERROR(__xludf.DUMMYFUNCTION("""COMPUTED_VALUE"""),"Honda CRV")</f>
        <v>Honda CRV</v>
      </c>
      <c r="U192" s="145" t="str">
        <f>IFERROR(__xludf.DUMMYFUNCTION("""COMPUTED_VALUE"""),"Electric!")</f>
        <v>Electric!</v>
      </c>
      <c r="V192" s="145"/>
      <c r="W192" s="145"/>
      <c r="X192" s="137"/>
      <c r="Y192" s="138"/>
      <c r="Z192" s="138"/>
      <c r="AA192" s="138"/>
      <c r="AB192" s="138"/>
      <c r="AC192" s="139"/>
      <c r="AD192" s="139"/>
      <c r="AE192" s="139"/>
      <c r="AF192" s="140"/>
      <c r="AG192" s="145"/>
      <c r="AH192" s="157">
        <f>IFERROR(__xludf.DUMMYFUNCTION("""COMPUTED_VALUE"""),44476.4903866088)</f>
        <v>44476.49039</v>
      </c>
      <c r="AI192" s="138"/>
      <c r="AJ192" s="138"/>
      <c r="AK192" s="138"/>
      <c r="AL192" s="142"/>
    </row>
    <row r="193" ht="20.25" customHeight="1">
      <c r="A193" s="155" t="str">
        <f>IFERROR(__xludf.DUMMYFUNCTION("""COMPUTED_VALUE"""),"Whiskeyjack")</f>
        <v>Whiskeyjack</v>
      </c>
      <c r="B193" s="149" t="str">
        <f>IFERROR(__xludf.DUMMYFUNCTION("""COMPUTED_VALUE"""),"L'Ange-Gardien")</f>
        <v>L'Ange-Gardien</v>
      </c>
      <c r="C193" s="149" t="str">
        <f>IFERROR(__xludf.DUMMYFUNCTION("""COMPUTED_VALUE"""),"QC")</f>
        <v>QC</v>
      </c>
      <c r="D193" s="149" t="str">
        <f>IFERROR(__xludf.DUMMYFUNCTION("""COMPUTED_VALUE"""),"Canada")</f>
        <v>Canada</v>
      </c>
      <c r="E193" s="156">
        <f>IFERROR(__xludf.DUMMYFUNCTION("""COMPUTED_VALUE"""),44440.0)</f>
        <v>44440</v>
      </c>
      <c r="F193" s="129"/>
      <c r="G193" s="154"/>
      <c r="H193" s="131"/>
      <c r="I193" s="132"/>
      <c r="J193" s="129"/>
      <c r="K193" s="133"/>
      <c r="L193" s="133"/>
      <c r="M193" s="133"/>
      <c r="N193" s="152" t="str">
        <f>IFERROR(__xludf.DUMMYFUNCTION("""COMPUTED_VALUE"""),"Model 3 SR+")</f>
        <v>Model 3 SR+</v>
      </c>
      <c r="O193" s="152" t="str">
        <f>IFERROR(__xludf.DUMMYFUNCTION("""COMPUTED_VALUE"""),"Midnight Silver Metallic")</f>
        <v>Midnight Silver Metallic</v>
      </c>
      <c r="P193" s="153" t="str">
        <f>IFERROR(__xludf.DUMMYFUNCTION("""COMPUTED_VALUE"""),"18 inch")</f>
        <v>18 inch</v>
      </c>
      <c r="Q193" s="152" t="str">
        <f>IFERROR(__xludf.DUMMYFUNCTION("""COMPUTED_VALUE"""),"All Black")</f>
        <v>All Black</v>
      </c>
      <c r="R193" s="150" t="str">
        <f>IFERROR(__xludf.DUMMYFUNCTION("""COMPUTED_VALUE"""),"Autopilot included")</f>
        <v>Autopilot included</v>
      </c>
      <c r="S193" s="150" t="str">
        <f>IFERROR(__xludf.DUMMYFUNCTION("""COMPUTED_VALUE"""),"Loan")</f>
        <v>Loan</v>
      </c>
      <c r="T193" s="136" t="str">
        <f>IFERROR(__xludf.DUMMYFUNCTION("""COMPUTED_VALUE"""),"Jeep Wrangler")</f>
        <v>Jeep Wrangler</v>
      </c>
      <c r="U193" s="136" t="str">
        <f>IFERROR(__xludf.DUMMYFUNCTION("""COMPUTED_VALUE"""),"Electric!")</f>
        <v>Electric!</v>
      </c>
      <c r="V193" s="136" t="str">
        <f>IFERROR(__xludf.DUMMYFUNCTION("""COMPUTED_VALUE"""),"Apple CarPlay / Android Auto / SiriusXM Radio")</f>
        <v>Apple CarPlay / Android Auto / SiriusXM Radio</v>
      </c>
      <c r="W193" s="136"/>
      <c r="X193" s="137"/>
      <c r="Y193" s="138"/>
      <c r="Z193" s="138"/>
      <c r="AA193" s="138"/>
      <c r="AB193" s="138"/>
      <c r="AC193" s="139"/>
      <c r="AD193" s="139"/>
      <c r="AE193" s="139"/>
      <c r="AF193" s="140"/>
      <c r="AG193" s="136"/>
      <c r="AH193" s="157">
        <f>IFERROR(__xludf.DUMMYFUNCTION("""COMPUTED_VALUE"""),44445.493393923614)</f>
        <v>44445.49339</v>
      </c>
      <c r="AI193" s="138"/>
      <c r="AJ193" s="138"/>
      <c r="AK193" s="138"/>
      <c r="AL193" s="142"/>
    </row>
    <row r="194" ht="20.25" customHeight="1">
      <c r="A194" s="155" t="str">
        <f>IFERROR(__xludf.DUMMYFUNCTION("""COMPUTED_VALUE"""),"Evjaime")</f>
        <v>Evjaime</v>
      </c>
      <c r="B194" s="149" t="str">
        <f>IFERROR(__xludf.DUMMYFUNCTION("""COMPUTED_VALUE"""),"Phoenix")</f>
        <v>Phoenix</v>
      </c>
      <c r="C194" s="149" t="str">
        <f>IFERROR(__xludf.DUMMYFUNCTION("""COMPUTED_VALUE"""),"AZ")</f>
        <v>AZ</v>
      </c>
      <c r="D194" s="149" t="str">
        <f>IFERROR(__xludf.DUMMYFUNCTION("""COMPUTED_VALUE"""),"USA")</f>
        <v>USA</v>
      </c>
      <c r="E194" s="156">
        <f>IFERROR(__xludf.DUMMYFUNCTION("""COMPUTED_VALUE"""),44439.0)</f>
        <v>44439</v>
      </c>
      <c r="F194" s="129"/>
      <c r="G194" s="154"/>
      <c r="H194" s="131"/>
      <c r="I194" s="144"/>
      <c r="J194" s="129"/>
      <c r="K194" s="133"/>
      <c r="L194" s="133"/>
      <c r="M194" s="133"/>
      <c r="N194" s="152" t="str">
        <f>IFERROR(__xludf.DUMMYFUNCTION("""COMPUTED_VALUE"""),"Model 3 LR AWD")</f>
        <v>Model 3 LR AWD</v>
      </c>
      <c r="O194" s="152" t="str">
        <f>IFERROR(__xludf.DUMMYFUNCTION("""COMPUTED_VALUE"""),"Solid Black")</f>
        <v>Solid Black</v>
      </c>
      <c r="P194" s="153" t="str">
        <f>IFERROR(__xludf.DUMMYFUNCTION("""COMPUTED_VALUE"""),"18 inch")</f>
        <v>18 inch</v>
      </c>
      <c r="Q194" s="152" t="str">
        <f>IFERROR(__xludf.DUMMYFUNCTION("""COMPUTED_VALUE"""),"All Black")</f>
        <v>All Black</v>
      </c>
      <c r="R194" s="149" t="str">
        <f>IFERROR(__xludf.DUMMYFUNCTION("""COMPUTED_VALUE"""),"Autopilot included")</f>
        <v>Autopilot included</v>
      </c>
      <c r="S194" s="149" t="str">
        <f>IFERROR(__xludf.DUMMYFUNCTION("""COMPUTED_VALUE"""),"Loan")</f>
        <v>Loan</v>
      </c>
      <c r="T194" s="145" t="str">
        <f>IFERROR(__xludf.DUMMYFUNCTION("""COMPUTED_VALUE"""),"Tesla Model 3")</f>
        <v>Tesla Model 3</v>
      </c>
      <c r="U194" s="145"/>
      <c r="V194" s="145"/>
      <c r="W194" s="136"/>
      <c r="X194" s="137"/>
      <c r="Y194" s="138"/>
      <c r="Z194" s="138"/>
      <c r="AA194" s="138"/>
      <c r="AB194" s="138"/>
      <c r="AC194" s="139"/>
      <c r="AD194" s="139"/>
      <c r="AE194" s="139"/>
      <c r="AF194" s="140"/>
      <c r="AG194" s="136"/>
      <c r="AH194" s="157">
        <f>IFERROR(__xludf.DUMMYFUNCTION("""COMPUTED_VALUE"""),44455.847814733796)</f>
        <v>44455.84781</v>
      </c>
      <c r="AI194" s="138"/>
      <c r="AJ194" s="138"/>
      <c r="AK194" s="138"/>
      <c r="AL194" s="142"/>
    </row>
    <row r="195" ht="20.25" customHeight="1">
      <c r="A195" s="155" t="str">
        <f>IFERROR(__xludf.DUMMYFUNCTION("""COMPUTED_VALUE"""),"ScreenName")</f>
        <v>ScreenName</v>
      </c>
      <c r="B195" s="149" t="str">
        <f>IFERROR(__xludf.DUMMYFUNCTION("""COMPUTED_VALUE"""),"Austin")</f>
        <v>Austin</v>
      </c>
      <c r="C195" s="149" t="str">
        <f>IFERROR(__xludf.DUMMYFUNCTION("""COMPUTED_VALUE"""),"TX")</f>
        <v>TX</v>
      </c>
      <c r="D195" s="149" t="str">
        <f>IFERROR(__xludf.DUMMYFUNCTION("""COMPUTED_VALUE"""),"USA")</f>
        <v>USA</v>
      </c>
      <c r="E195" s="156">
        <f>IFERROR(__xludf.DUMMYFUNCTION("""COMPUTED_VALUE"""),44439.0)</f>
        <v>44439</v>
      </c>
      <c r="F195" s="129">
        <f>IFERROR(__xludf.DUMMYFUNCTION("""COMPUTED_VALUE"""),44449.0)</f>
        <v>44449</v>
      </c>
      <c r="G195" s="154" t="str">
        <f>IFERROR(__xludf.DUMMYFUNCTION("""COMPUTED_VALUE"""),"Email")</f>
        <v>Email</v>
      </c>
      <c r="H195" s="131">
        <f>IFERROR(__xludf.DUMMYFUNCTION("""COMPUTED_VALUE"""),63428.0)</f>
        <v>63428</v>
      </c>
      <c r="I195" s="144" t="str">
        <f>IFERROR(__xludf.DUMMYFUNCTION("""COMPUTED_VALUE"""),"09/21")</f>
        <v>09/21</v>
      </c>
      <c r="J195" s="129">
        <f>IFERROR(__xludf.DUMMYFUNCTION("""COMPUTED_VALUE"""),44462.0)</f>
        <v>44462</v>
      </c>
      <c r="K195" s="133">
        <f>IFERROR(__xludf.DUMMYFUNCTION("""COMPUTED_VALUE"""),10.0)</f>
        <v>10</v>
      </c>
      <c r="L195" s="133">
        <f>IFERROR(__xludf.DUMMYFUNCTION("""COMPUTED_VALUE"""),13.0)</f>
        <v>13</v>
      </c>
      <c r="M195" s="133">
        <f>IFERROR(__xludf.DUMMYFUNCTION("""COMPUTED_VALUE"""),23.0)</f>
        <v>23</v>
      </c>
      <c r="N195" s="152" t="str">
        <f>IFERROR(__xludf.DUMMYFUNCTION("""COMPUTED_VALUE"""),"Model 3 Performance")</f>
        <v>Model 3 Performance</v>
      </c>
      <c r="O195" s="152" t="str">
        <f>IFERROR(__xludf.DUMMYFUNCTION("""COMPUTED_VALUE"""),"Deep Blue Metallic")</f>
        <v>Deep Blue Metallic</v>
      </c>
      <c r="P195" s="153" t="str">
        <f>IFERROR(__xludf.DUMMYFUNCTION("""COMPUTED_VALUE"""),"20 inch")</f>
        <v>20 inch</v>
      </c>
      <c r="Q195" s="152" t="str">
        <f>IFERROR(__xludf.DUMMYFUNCTION("""COMPUTED_VALUE"""),"Black and White")</f>
        <v>Black and White</v>
      </c>
      <c r="R195" s="149" t="str">
        <f>IFERROR(__xludf.DUMMYFUNCTION("""COMPUTED_VALUE"""),"Full Self-Driving")</f>
        <v>Full Self-Driving</v>
      </c>
      <c r="S195" s="149" t="str">
        <f>IFERROR(__xludf.DUMMYFUNCTION("""COMPUTED_VALUE"""),"Loan")</f>
        <v>Loan</v>
      </c>
      <c r="T195" s="145"/>
      <c r="U195" s="145"/>
      <c r="V195" s="145"/>
      <c r="W195" s="145"/>
      <c r="X195" s="137"/>
      <c r="Y195" s="138"/>
      <c r="Z195" s="138"/>
      <c r="AA195" s="138"/>
      <c r="AB195" s="138"/>
      <c r="AC195" s="139"/>
      <c r="AD195" s="139"/>
      <c r="AE195" s="139"/>
      <c r="AF195" s="140"/>
      <c r="AG195" s="145"/>
      <c r="AH195" s="157">
        <f>IFERROR(__xludf.DUMMYFUNCTION("""COMPUTED_VALUE"""),44462.545360428245)</f>
        <v>44462.54536</v>
      </c>
      <c r="AI195" s="138"/>
      <c r="AJ195" s="138"/>
      <c r="AK195" s="138"/>
      <c r="AL195" s="142"/>
    </row>
    <row r="196" ht="20.25" customHeight="1">
      <c r="A196" s="155" t="str">
        <f>IFERROR(__xludf.DUMMYFUNCTION("""COMPUTED_VALUE"""),"Vifik")</f>
        <v>Vifik</v>
      </c>
      <c r="B196" s="149" t="str">
        <f>IFERROR(__xludf.DUMMYFUNCTION("""COMPUTED_VALUE"""),"Basingstoke")</f>
        <v>Basingstoke</v>
      </c>
      <c r="C196" s="149"/>
      <c r="D196" s="149" t="str">
        <f>IFERROR(__xludf.DUMMYFUNCTION("""COMPUTED_VALUE"""),"United Kingdom")</f>
        <v>United Kingdom</v>
      </c>
      <c r="E196" s="156">
        <f>IFERROR(__xludf.DUMMYFUNCTION("""COMPUTED_VALUE"""),44439.0)</f>
        <v>44439</v>
      </c>
      <c r="F196" s="129">
        <f>IFERROR(__xludf.DUMMYFUNCTION("""COMPUTED_VALUE"""),44508.0)</f>
        <v>44508</v>
      </c>
      <c r="G196" s="154" t="str">
        <f>IFERROR(__xludf.DUMMYFUNCTION("""COMPUTED_VALUE"""),"Source code")</f>
        <v>Source code</v>
      </c>
      <c r="H196" s="131">
        <f>IFERROR(__xludf.DUMMYFUNCTION("""COMPUTED_VALUE"""),390755.0)</f>
        <v>390755</v>
      </c>
      <c r="I196" s="144"/>
      <c r="J196" s="129"/>
      <c r="K196" s="133">
        <f>IFERROR(__xludf.DUMMYFUNCTION("""COMPUTED_VALUE"""),69.0)</f>
        <v>69</v>
      </c>
      <c r="L196" s="133"/>
      <c r="M196" s="133"/>
      <c r="N196" s="152" t="str">
        <f>IFERROR(__xludf.DUMMYFUNCTION("""COMPUTED_VALUE"""),"Model 3 LR AWD")</f>
        <v>Model 3 LR AWD</v>
      </c>
      <c r="O196" s="152" t="str">
        <f>IFERROR(__xludf.DUMMYFUNCTION("""COMPUTED_VALUE"""),"Midnight Silver Metallic")</f>
        <v>Midnight Silver Metallic</v>
      </c>
      <c r="P196" s="153" t="str">
        <f>IFERROR(__xludf.DUMMYFUNCTION("""COMPUTED_VALUE"""),"18 inch")</f>
        <v>18 inch</v>
      </c>
      <c r="Q196" s="152" t="str">
        <f>IFERROR(__xludf.DUMMYFUNCTION("""COMPUTED_VALUE"""),"All Black")</f>
        <v>All Black</v>
      </c>
      <c r="R196" s="149" t="str">
        <f>IFERROR(__xludf.DUMMYFUNCTION("""COMPUTED_VALUE"""),"Autopilot included")</f>
        <v>Autopilot included</v>
      </c>
      <c r="S196" s="149" t="str">
        <f>IFERROR(__xludf.DUMMYFUNCTION("""COMPUTED_VALUE"""),"Cash")</f>
        <v>Cash</v>
      </c>
      <c r="T196" s="145" t="str">
        <f>IFERROR(__xludf.DUMMYFUNCTION("""COMPUTED_VALUE"""),"Volvo XC90")</f>
        <v>Volvo XC90</v>
      </c>
      <c r="U196" s="145" t="str">
        <f>IFERROR(__xludf.DUMMYFUNCTION("""COMPUTED_VALUE"""),"Electric!")</f>
        <v>Electric!</v>
      </c>
      <c r="V196" s="145" t="str">
        <f>IFERROR(__xludf.DUMMYFUNCTION("""COMPUTED_VALUE"""),"Head-up display")</f>
        <v>Head-up display</v>
      </c>
      <c r="W196" s="145"/>
      <c r="X196" s="137"/>
      <c r="Y196" s="138"/>
      <c r="Z196" s="138"/>
      <c r="AA196" s="138"/>
      <c r="AB196" s="138"/>
      <c r="AC196" s="139"/>
      <c r="AD196" s="139"/>
      <c r="AE196" s="139"/>
      <c r="AF196" s="140"/>
      <c r="AG196" s="145"/>
      <c r="AH196" s="157">
        <f>IFERROR(__xludf.DUMMYFUNCTION("""COMPUTED_VALUE"""),44508.41959790509)</f>
        <v>44508.4196</v>
      </c>
      <c r="AI196" s="138"/>
      <c r="AJ196" s="138"/>
      <c r="AK196" s="138"/>
      <c r="AL196" s="142"/>
    </row>
    <row r="197" ht="20.25" customHeight="1">
      <c r="A197" s="155" t="str">
        <f>IFERROR(__xludf.DUMMYFUNCTION("""COMPUTED_VALUE"""),"ntrskr")</f>
        <v>ntrskr</v>
      </c>
      <c r="B197" s="149" t="str">
        <f>IFERROR(__xludf.DUMMYFUNCTION("""COMPUTED_VALUE"""),"rocklin")</f>
        <v>rocklin</v>
      </c>
      <c r="C197" s="149" t="str">
        <f>IFERROR(__xludf.DUMMYFUNCTION("""COMPUTED_VALUE"""),"CA")</f>
        <v>CA</v>
      </c>
      <c r="D197" s="149" t="str">
        <f>IFERROR(__xludf.DUMMYFUNCTION("""COMPUTED_VALUE"""),"USA")</f>
        <v>USA</v>
      </c>
      <c r="E197" s="156">
        <f>IFERROR(__xludf.DUMMYFUNCTION("""COMPUTED_VALUE"""),44438.0)</f>
        <v>44438</v>
      </c>
      <c r="F197" s="129"/>
      <c r="G197" s="154"/>
      <c r="H197" s="131"/>
      <c r="I197" s="144"/>
      <c r="J197" s="129"/>
      <c r="K197" s="133"/>
      <c r="L197" s="133"/>
      <c r="M197" s="133"/>
      <c r="N197" s="152" t="str">
        <f>IFERROR(__xludf.DUMMYFUNCTION("""COMPUTED_VALUE"""),"Model 3 LR AWD")</f>
        <v>Model 3 LR AWD</v>
      </c>
      <c r="O197" s="152" t="str">
        <f>IFERROR(__xludf.DUMMYFUNCTION("""COMPUTED_VALUE"""),"Midnight Silver Metallic")</f>
        <v>Midnight Silver Metallic</v>
      </c>
      <c r="P197" s="153" t="str">
        <f>IFERROR(__xludf.DUMMYFUNCTION("""COMPUTED_VALUE"""),"18 inch")</f>
        <v>18 inch</v>
      </c>
      <c r="Q197" s="152" t="str">
        <f>IFERROR(__xludf.DUMMYFUNCTION("""COMPUTED_VALUE"""),"All Black")</f>
        <v>All Black</v>
      </c>
      <c r="R197" s="149" t="str">
        <f>IFERROR(__xludf.DUMMYFUNCTION("""COMPUTED_VALUE"""),"Autopilot included")</f>
        <v>Autopilot included</v>
      </c>
      <c r="S197" s="149" t="str">
        <f>IFERROR(__xludf.DUMMYFUNCTION("""COMPUTED_VALUE"""),"Loan")</f>
        <v>Loan</v>
      </c>
      <c r="T197" s="145" t="str">
        <f>IFERROR(__xludf.DUMMYFUNCTION("""COMPUTED_VALUE"""),"Honda CRV")</f>
        <v>Honda CRV</v>
      </c>
      <c r="U197" s="145" t="str">
        <f>IFERROR(__xludf.DUMMYFUNCTION("""COMPUTED_VALUE"""),"Autopilot")</f>
        <v>Autopilot</v>
      </c>
      <c r="V197" s="145" t="str">
        <f>IFERROR(__xludf.DUMMYFUNCTION("""COMPUTED_VALUE"""),"Air suspension")</f>
        <v>Air suspension</v>
      </c>
      <c r="W197" s="145"/>
      <c r="X197" s="137"/>
      <c r="Y197" s="138"/>
      <c r="Z197" s="138"/>
      <c r="AA197" s="138"/>
      <c r="AB197" s="138"/>
      <c r="AC197" s="139"/>
      <c r="AD197" s="139"/>
      <c r="AE197" s="139"/>
      <c r="AF197" s="140"/>
      <c r="AG197" s="145"/>
      <c r="AH197" s="157">
        <f>IFERROR(__xludf.DUMMYFUNCTION("""COMPUTED_VALUE"""),44441.11212612269)</f>
        <v>44441.11213</v>
      </c>
      <c r="AI197" s="138"/>
      <c r="AJ197" s="138"/>
      <c r="AK197" s="138"/>
      <c r="AL197" s="142"/>
    </row>
    <row r="198" ht="20.25" customHeight="1">
      <c r="A198" s="155" t="str">
        <f>IFERROR(__xludf.DUMMYFUNCTION("""COMPUTED_VALUE"""),"weakpulse")</f>
        <v>weakpulse</v>
      </c>
      <c r="B198" s="149" t="str">
        <f>IFERROR(__xludf.DUMMYFUNCTION("""COMPUTED_VALUE"""),"Roseville")</f>
        <v>Roseville</v>
      </c>
      <c r="C198" s="149" t="str">
        <f>IFERROR(__xludf.DUMMYFUNCTION("""COMPUTED_VALUE"""),"CA")</f>
        <v>CA</v>
      </c>
      <c r="D198" s="149" t="str">
        <f>IFERROR(__xludf.DUMMYFUNCTION("""COMPUTED_VALUE"""),"USA")</f>
        <v>USA</v>
      </c>
      <c r="E198" s="156">
        <f>IFERROR(__xludf.DUMMYFUNCTION("""COMPUTED_VALUE"""),44438.0)</f>
        <v>44438</v>
      </c>
      <c r="F198" s="129">
        <f>IFERROR(__xludf.DUMMYFUNCTION("""COMPUTED_VALUE"""),44462.0)</f>
        <v>44462</v>
      </c>
      <c r="G198" s="154" t="str">
        <f>IFERROR(__xludf.DUMMYFUNCTION("""COMPUTED_VALUE"""),"Manage order page (normal text)")</f>
        <v>Manage order page (normal text)</v>
      </c>
      <c r="H198" s="131"/>
      <c r="I198" s="144"/>
      <c r="J198" s="129">
        <f>IFERROR(__xludf.DUMMYFUNCTION("""COMPUTED_VALUE"""),44465.0)</f>
        <v>44465</v>
      </c>
      <c r="K198" s="133">
        <f>IFERROR(__xludf.DUMMYFUNCTION("""COMPUTED_VALUE"""),24.0)</f>
        <v>24</v>
      </c>
      <c r="L198" s="133">
        <f>IFERROR(__xludf.DUMMYFUNCTION("""COMPUTED_VALUE"""),3.0)</f>
        <v>3</v>
      </c>
      <c r="M198" s="133">
        <f>IFERROR(__xludf.DUMMYFUNCTION("""COMPUTED_VALUE"""),27.0)</f>
        <v>27</v>
      </c>
      <c r="N198" s="152" t="str">
        <f>IFERROR(__xludf.DUMMYFUNCTION("""COMPUTED_VALUE"""),"Model 3 Performance")</f>
        <v>Model 3 Performance</v>
      </c>
      <c r="O198" s="152" t="str">
        <f>IFERROR(__xludf.DUMMYFUNCTION("""COMPUTED_VALUE"""),"Pearl White Multi-Coat")</f>
        <v>Pearl White Multi-Coat</v>
      </c>
      <c r="P198" s="153" t="str">
        <f>IFERROR(__xludf.DUMMYFUNCTION("""COMPUTED_VALUE"""),"20 inch")</f>
        <v>20 inch</v>
      </c>
      <c r="Q198" s="152" t="str">
        <f>IFERROR(__xludf.DUMMYFUNCTION("""COMPUTED_VALUE"""),"Black and White")</f>
        <v>Black and White</v>
      </c>
      <c r="R198" s="149" t="str">
        <f>IFERROR(__xludf.DUMMYFUNCTION("""COMPUTED_VALUE"""),"Autopilot included")</f>
        <v>Autopilot included</v>
      </c>
      <c r="S198" s="149" t="str">
        <f>IFERROR(__xludf.DUMMYFUNCTION("""COMPUTED_VALUE"""),"Loan")</f>
        <v>Loan</v>
      </c>
      <c r="T198" s="145" t="str">
        <f>IFERROR(__xludf.DUMMYFUNCTION("""COMPUTED_VALUE"""),"Mercedes Benz E class")</f>
        <v>Mercedes Benz E class</v>
      </c>
      <c r="U198" s="145" t="str">
        <f>IFERROR(__xludf.DUMMYFUNCTION("""COMPUTED_VALUE"""),"Electric!")</f>
        <v>Electric!</v>
      </c>
      <c r="V198" s="145" t="str">
        <f>IFERROR(__xludf.DUMMYFUNCTION("""COMPUTED_VALUE"""),"360° Bird's eye view")</f>
        <v>360° Bird's eye view</v>
      </c>
      <c r="W198" s="145"/>
      <c r="X198" s="137" t="str">
        <f>IFERROR(__xludf.DUMMYFUNCTION("""COMPUTED_VALUE"""),"Very Good")</f>
        <v>Very Good</v>
      </c>
      <c r="Y198" s="138" t="str">
        <f>IFERROR(__xludf.DUMMYFUNCTION("""COMPUTED_VALUE"""),"Very Good")</f>
        <v>Very Good</v>
      </c>
      <c r="Z198" s="138" t="str">
        <f>IFERROR(__xludf.DUMMYFUNCTION("""COMPUTED_VALUE"""),"Excellent")</f>
        <v>Excellent</v>
      </c>
      <c r="AA198" s="138" t="str">
        <f>IFERROR(__xludf.DUMMYFUNCTION("""COMPUTED_VALUE"""),"Good")</f>
        <v>Good</v>
      </c>
      <c r="AB198" s="138" t="str">
        <f>IFERROR(__xludf.DUMMYFUNCTION("""COMPUTED_VALUE"""),"Very Good")</f>
        <v>Very Good</v>
      </c>
      <c r="AC198" s="139">
        <f>IFERROR(__xludf.DUMMYFUNCTION("""COMPUTED_VALUE"""),2.0)</f>
        <v>2</v>
      </c>
      <c r="AD198" s="139"/>
      <c r="AE198" s="139"/>
      <c r="AF198" s="140" t="str">
        <f>IFERROR(__xludf.DUMMYFUNCTION("""COMPUTED_VALUE"""),"No. I took delivery of the first car Tesla was able to deliver.")</f>
        <v>No. I took delivery of the first car Tesla was able to deliver.</v>
      </c>
      <c r="AG198" s="145"/>
      <c r="AH198" s="157">
        <f>IFERROR(__xludf.DUMMYFUNCTION("""COMPUTED_VALUE"""),44466.84388583333)</f>
        <v>44466.84389</v>
      </c>
      <c r="AI198" s="138"/>
      <c r="AJ198" s="138"/>
      <c r="AK198" s="138"/>
      <c r="AL198" s="142"/>
    </row>
    <row r="199" ht="20.25" customHeight="1">
      <c r="A199" s="155" t="str">
        <f>IFERROR(__xludf.DUMMYFUNCTION("""COMPUTED_VALUE"""),"WesB")</f>
        <v>WesB</v>
      </c>
      <c r="B199" s="149" t="str">
        <f>IFERROR(__xludf.DUMMYFUNCTION("""COMPUTED_VALUE"""),"Columbus")</f>
        <v>Columbus</v>
      </c>
      <c r="C199" s="149" t="str">
        <f>IFERROR(__xludf.DUMMYFUNCTION("""COMPUTED_VALUE"""),"OH")</f>
        <v>OH</v>
      </c>
      <c r="D199" s="149" t="str">
        <f>IFERROR(__xludf.DUMMYFUNCTION("""COMPUTED_VALUE"""),"USA")</f>
        <v>USA</v>
      </c>
      <c r="E199" s="156">
        <f>IFERROR(__xludf.DUMMYFUNCTION("""COMPUTED_VALUE"""),44438.0)</f>
        <v>44438</v>
      </c>
      <c r="F199" s="129">
        <f>IFERROR(__xludf.DUMMYFUNCTION("""COMPUTED_VALUE"""),44454.0)</f>
        <v>44454</v>
      </c>
      <c r="G199" s="154" t="str">
        <f>IFERROR(__xludf.DUMMYFUNCTION("""COMPUTED_VALUE"""),"Email")</f>
        <v>Email</v>
      </c>
      <c r="H199" s="131">
        <f>IFERROR(__xludf.DUMMYFUNCTION("""COMPUTED_VALUE"""),69155.0)</f>
        <v>69155</v>
      </c>
      <c r="I199" s="144"/>
      <c r="J199" s="129">
        <f>IFERROR(__xludf.DUMMYFUNCTION("""COMPUTED_VALUE"""),44467.0)</f>
        <v>44467</v>
      </c>
      <c r="K199" s="133">
        <f>IFERROR(__xludf.DUMMYFUNCTION("""COMPUTED_VALUE"""),16.0)</f>
        <v>16</v>
      </c>
      <c r="L199" s="133">
        <f>IFERROR(__xludf.DUMMYFUNCTION("""COMPUTED_VALUE"""),13.0)</f>
        <v>13</v>
      </c>
      <c r="M199" s="133">
        <f>IFERROR(__xludf.DUMMYFUNCTION("""COMPUTED_VALUE"""),29.0)</f>
        <v>29</v>
      </c>
      <c r="N199" s="152" t="str">
        <f>IFERROR(__xludf.DUMMYFUNCTION("""COMPUTED_VALUE"""),"Model 3 LR AWD")</f>
        <v>Model 3 LR AWD</v>
      </c>
      <c r="O199" s="152" t="str">
        <f>IFERROR(__xludf.DUMMYFUNCTION("""COMPUTED_VALUE"""),"Deep Blue Metallic")</f>
        <v>Deep Blue Metallic</v>
      </c>
      <c r="P199" s="153" t="str">
        <f>IFERROR(__xludf.DUMMYFUNCTION("""COMPUTED_VALUE"""),"18 inch")</f>
        <v>18 inch</v>
      </c>
      <c r="Q199" s="152" t="str">
        <f>IFERROR(__xludf.DUMMYFUNCTION("""COMPUTED_VALUE"""),"All Black")</f>
        <v>All Black</v>
      </c>
      <c r="R199" s="149" t="str">
        <f>IFERROR(__xludf.DUMMYFUNCTION("""COMPUTED_VALUE"""),"Autopilot included")</f>
        <v>Autopilot included</v>
      </c>
      <c r="S199" s="149" t="str">
        <f>IFERROR(__xludf.DUMMYFUNCTION("""COMPUTED_VALUE"""),"Loan")</f>
        <v>Loan</v>
      </c>
      <c r="T199" s="145" t="str">
        <f>IFERROR(__xludf.DUMMYFUNCTION("""COMPUTED_VALUE"""),"Chevy Bolt")</f>
        <v>Chevy Bolt</v>
      </c>
      <c r="U199" s="145" t="str">
        <f>IFERROR(__xludf.DUMMYFUNCTION("""COMPUTED_VALUE"""),"All-glass roof")</f>
        <v>All-glass roof</v>
      </c>
      <c r="V199" s="145" t="str">
        <f>IFERROR(__xludf.DUMMYFUNCTION("""COMPUTED_VALUE"""),"Apple CarPlay / Android Auto / SiriusXM Radio")</f>
        <v>Apple CarPlay / Android Auto / SiriusXM Radio</v>
      </c>
      <c r="W199" s="136"/>
      <c r="X199" s="137"/>
      <c r="Y199" s="138"/>
      <c r="Z199" s="138"/>
      <c r="AA199" s="138"/>
      <c r="AB199" s="138"/>
      <c r="AC199" s="139"/>
      <c r="AD199" s="139"/>
      <c r="AE199" s="139"/>
      <c r="AF199" s="140"/>
      <c r="AG199" s="136"/>
      <c r="AH199" s="157">
        <f>IFERROR(__xludf.DUMMYFUNCTION("""COMPUTED_VALUE"""),44466.833205219904)</f>
        <v>44466.83321</v>
      </c>
      <c r="AI199" s="138"/>
      <c r="AJ199" s="138"/>
      <c r="AK199" s="138"/>
      <c r="AL199" s="142"/>
    </row>
    <row r="200" ht="20.25" customHeight="1">
      <c r="A200" s="155" t="str">
        <f>IFERROR(__xludf.DUMMYFUNCTION("""COMPUTED_VALUE"""),"larlyssa")</f>
        <v>larlyssa</v>
      </c>
      <c r="B200" s="149" t="str">
        <f>IFERROR(__xludf.DUMMYFUNCTION("""COMPUTED_VALUE"""),"Bellevue")</f>
        <v>Bellevue</v>
      </c>
      <c r="C200" s="149" t="str">
        <f>IFERROR(__xludf.DUMMYFUNCTION("""COMPUTED_VALUE"""),"WA")</f>
        <v>WA</v>
      </c>
      <c r="D200" s="149" t="str">
        <f>IFERROR(__xludf.DUMMYFUNCTION("""COMPUTED_VALUE"""),"USA")</f>
        <v>USA</v>
      </c>
      <c r="E200" s="156">
        <f>IFERROR(__xludf.DUMMYFUNCTION("""COMPUTED_VALUE"""),44437.0)</f>
        <v>44437</v>
      </c>
      <c r="F200" s="129">
        <f>IFERROR(__xludf.DUMMYFUNCTION("""COMPUTED_VALUE"""),44477.0)</f>
        <v>44477</v>
      </c>
      <c r="G200" s="154" t="str">
        <f>IFERROR(__xludf.DUMMYFUNCTION("""COMPUTED_VALUE"""),"Manage order page (normal text)")</f>
        <v>Manage order page (normal text)</v>
      </c>
      <c r="H200" s="131"/>
      <c r="I200" s="144"/>
      <c r="J200" s="129">
        <f>IFERROR(__xludf.DUMMYFUNCTION("""COMPUTED_VALUE"""),44483.0)</f>
        <v>44483</v>
      </c>
      <c r="K200" s="133">
        <f>IFERROR(__xludf.DUMMYFUNCTION("""COMPUTED_VALUE"""),40.0)</f>
        <v>40</v>
      </c>
      <c r="L200" s="133">
        <f>IFERROR(__xludf.DUMMYFUNCTION("""COMPUTED_VALUE"""),6.0)</f>
        <v>6</v>
      </c>
      <c r="M200" s="133">
        <f>IFERROR(__xludf.DUMMYFUNCTION("""COMPUTED_VALUE"""),46.0)</f>
        <v>46</v>
      </c>
      <c r="N200" s="152" t="str">
        <f>IFERROR(__xludf.DUMMYFUNCTION("""COMPUTED_VALUE"""),"Model 3 LR AWD")</f>
        <v>Model 3 LR AWD</v>
      </c>
      <c r="O200" s="152" t="str">
        <f>IFERROR(__xludf.DUMMYFUNCTION("""COMPUTED_VALUE"""),"Red Multi-Coat")</f>
        <v>Red Multi-Coat</v>
      </c>
      <c r="P200" s="153" t="str">
        <f>IFERROR(__xludf.DUMMYFUNCTION("""COMPUTED_VALUE"""),"19 inch")</f>
        <v>19 inch</v>
      </c>
      <c r="Q200" s="152" t="str">
        <f>IFERROR(__xludf.DUMMYFUNCTION("""COMPUTED_VALUE"""),"All Black")</f>
        <v>All Black</v>
      </c>
      <c r="R200" s="149" t="str">
        <f>IFERROR(__xludf.DUMMYFUNCTION("""COMPUTED_VALUE"""),"Autopilot included")</f>
        <v>Autopilot included</v>
      </c>
      <c r="S200" s="149" t="str">
        <f>IFERROR(__xludf.DUMMYFUNCTION("""COMPUTED_VALUE"""),"Cash")</f>
        <v>Cash</v>
      </c>
      <c r="T200" s="145" t="str">
        <f>IFERROR(__xludf.DUMMYFUNCTION("""COMPUTED_VALUE"""),"Model 3 will be my first car!")</f>
        <v>Model 3 will be my first car!</v>
      </c>
      <c r="U200" s="145" t="str">
        <f>IFERROR(__xludf.DUMMYFUNCTION("""COMPUTED_VALUE"""),"Electric!")</f>
        <v>Electric!</v>
      </c>
      <c r="V200" s="145" t="str">
        <f>IFERROR(__xludf.DUMMYFUNCTION("""COMPUTED_VALUE"""),"360° Bird's eye view")</f>
        <v>360° Bird's eye view</v>
      </c>
      <c r="W200" s="136"/>
      <c r="X200" s="137"/>
      <c r="Y200" s="138"/>
      <c r="Z200" s="138"/>
      <c r="AA200" s="138"/>
      <c r="AB200" s="138"/>
      <c r="AC200" s="139"/>
      <c r="AD200" s="139"/>
      <c r="AE200" s="139"/>
      <c r="AF200" s="140"/>
      <c r="AG200" s="136"/>
      <c r="AH200" s="157">
        <f>IFERROR(__xludf.DUMMYFUNCTION("""COMPUTED_VALUE"""),44482.40540891203)</f>
        <v>44482.40541</v>
      </c>
      <c r="AI200" s="138"/>
      <c r="AJ200" s="138"/>
      <c r="AK200" s="138"/>
      <c r="AL200" s="142"/>
    </row>
    <row r="201" ht="20.25" customHeight="1">
      <c r="A201" s="155" t="str">
        <f>IFERROR(__xludf.DUMMYFUNCTION("""COMPUTED_VALUE"""),"AmelieS")</f>
        <v>AmelieS</v>
      </c>
      <c r="B201" s="149" t="str">
        <f>IFERROR(__xludf.DUMMYFUNCTION("""COMPUTED_VALUE"""),"Mirabel")</f>
        <v>Mirabel</v>
      </c>
      <c r="C201" s="149" t="str">
        <f>IFERROR(__xludf.DUMMYFUNCTION("""COMPUTED_VALUE"""),"QC")</f>
        <v>QC</v>
      </c>
      <c r="D201" s="149" t="str">
        <f>IFERROR(__xludf.DUMMYFUNCTION("""COMPUTED_VALUE"""),"Canada")</f>
        <v>Canada</v>
      </c>
      <c r="E201" s="156">
        <f>IFERROR(__xludf.DUMMYFUNCTION("""COMPUTED_VALUE"""),44436.0)</f>
        <v>44436</v>
      </c>
      <c r="F201" s="129"/>
      <c r="G201" s="154"/>
      <c r="H201" s="131"/>
      <c r="I201" s="144"/>
      <c r="J201" s="129"/>
      <c r="K201" s="133"/>
      <c r="L201" s="133"/>
      <c r="M201" s="133"/>
      <c r="N201" s="152" t="str">
        <f>IFERROR(__xludf.DUMMYFUNCTION("""COMPUTED_VALUE"""),"Model 3 SR+")</f>
        <v>Model 3 SR+</v>
      </c>
      <c r="O201" s="152" t="str">
        <f>IFERROR(__xludf.DUMMYFUNCTION("""COMPUTED_VALUE"""),"Solid Black")</f>
        <v>Solid Black</v>
      </c>
      <c r="P201" s="153" t="str">
        <f>IFERROR(__xludf.DUMMYFUNCTION("""COMPUTED_VALUE"""),"18 inch")</f>
        <v>18 inch</v>
      </c>
      <c r="Q201" s="152" t="str">
        <f>IFERROR(__xludf.DUMMYFUNCTION("""COMPUTED_VALUE"""),"All Black")</f>
        <v>All Black</v>
      </c>
      <c r="R201" s="149" t="str">
        <f>IFERROR(__xludf.DUMMYFUNCTION("""COMPUTED_VALUE"""),"Autopilot included")</f>
        <v>Autopilot included</v>
      </c>
      <c r="S201" s="149" t="str">
        <f>IFERROR(__xludf.DUMMYFUNCTION("""COMPUTED_VALUE"""),"Loan")</f>
        <v>Loan</v>
      </c>
      <c r="T201" s="145"/>
      <c r="U201" s="145" t="str">
        <f>IFERROR(__xludf.DUMMYFUNCTION("""COMPUTED_VALUE"""),"Tesla brand image")</f>
        <v>Tesla brand image</v>
      </c>
      <c r="V201" s="145"/>
      <c r="W201" s="136"/>
      <c r="X201" s="137"/>
      <c r="Y201" s="138"/>
      <c r="Z201" s="138" t="str">
        <f>IFERROR(__xludf.DUMMYFUNCTION("""COMPUTED_VALUE"""),"Good")</f>
        <v>Good</v>
      </c>
      <c r="AA201" s="138"/>
      <c r="AB201" s="138"/>
      <c r="AC201" s="139"/>
      <c r="AD201" s="139"/>
      <c r="AE201" s="139"/>
      <c r="AF201" s="140"/>
      <c r="AG201" s="136"/>
      <c r="AH201" s="157">
        <f>IFERROR(__xludf.DUMMYFUNCTION("""COMPUTED_VALUE"""),44454.35542021991)</f>
        <v>44454.35542</v>
      </c>
      <c r="AI201" s="138"/>
      <c r="AJ201" s="138"/>
      <c r="AK201" s="138"/>
      <c r="AL201" s="142"/>
    </row>
    <row r="202" ht="20.25" customHeight="1">
      <c r="A202" s="155" t="str">
        <f>IFERROR(__xludf.DUMMYFUNCTION("""COMPUTED_VALUE"""),"bluem3P")</f>
        <v>bluem3P</v>
      </c>
      <c r="B202" s="149" t="str">
        <f>IFERROR(__xludf.DUMMYFUNCTION("""COMPUTED_VALUE"""),"Gainesville")</f>
        <v>Gainesville</v>
      </c>
      <c r="C202" s="149" t="str">
        <f>IFERROR(__xludf.DUMMYFUNCTION("""COMPUTED_VALUE"""),"FL")</f>
        <v>FL</v>
      </c>
      <c r="D202" s="149" t="str">
        <f>IFERROR(__xludf.DUMMYFUNCTION("""COMPUTED_VALUE"""),"USA")</f>
        <v>USA</v>
      </c>
      <c r="E202" s="156">
        <f>IFERROR(__xludf.DUMMYFUNCTION("""COMPUTED_VALUE"""),44436.0)</f>
        <v>44436</v>
      </c>
      <c r="F202" s="129">
        <f>IFERROR(__xludf.DUMMYFUNCTION("""COMPUTED_VALUE"""),44440.0)</f>
        <v>44440</v>
      </c>
      <c r="G202" s="154" t="str">
        <f>IFERROR(__xludf.DUMMYFUNCTION("""COMPUTED_VALUE"""),"Manage order page (normal text)")</f>
        <v>Manage order page (normal text)</v>
      </c>
      <c r="H202" s="131"/>
      <c r="I202" s="144"/>
      <c r="J202" s="129">
        <f>IFERROR(__xludf.DUMMYFUNCTION("""COMPUTED_VALUE"""),44457.0)</f>
        <v>44457</v>
      </c>
      <c r="K202" s="133">
        <f>IFERROR(__xludf.DUMMYFUNCTION("""COMPUTED_VALUE"""),4.0)</f>
        <v>4</v>
      </c>
      <c r="L202" s="133">
        <f>IFERROR(__xludf.DUMMYFUNCTION("""COMPUTED_VALUE"""),17.0)</f>
        <v>17</v>
      </c>
      <c r="M202" s="133">
        <f>IFERROR(__xludf.DUMMYFUNCTION("""COMPUTED_VALUE"""),21.0)</f>
        <v>21</v>
      </c>
      <c r="N202" s="152" t="str">
        <f>IFERROR(__xludf.DUMMYFUNCTION("""COMPUTED_VALUE"""),"Model 3 Performance")</f>
        <v>Model 3 Performance</v>
      </c>
      <c r="O202" s="152" t="str">
        <f>IFERROR(__xludf.DUMMYFUNCTION("""COMPUTED_VALUE"""),"Deep Blue Metallic")</f>
        <v>Deep Blue Metallic</v>
      </c>
      <c r="P202" s="153" t="str">
        <f>IFERROR(__xludf.DUMMYFUNCTION("""COMPUTED_VALUE"""),"20 inch")</f>
        <v>20 inch</v>
      </c>
      <c r="Q202" s="152" t="str">
        <f>IFERROR(__xludf.DUMMYFUNCTION("""COMPUTED_VALUE"""),"Black and White")</f>
        <v>Black and White</v>
      </c>
      <c r="R202" s="149" t="str">
        <f>IFERROR(__xludf.DUMMYFUNCTION("""COMPUTED_VALUE"""),"Full Self-Driving")</f>
        <v>Full Self-Driving</v>
      </c>
      <c r="S202" s="149" t="str">
        <f>IFERROR(__xludf.DUMMYFUNCTION("""COMPUTED_VALUE"""),"Loan")</f>
        <v>Loan</v>
      </c>
      <c r="T202" s="145" t="str">
        <f>IFERROR(__xludf.DUMMYFUNCTION("""COMPUTED_VALUE"""),"VW Passat")</f>
        <v>VW Passat</v>
      </c>
      <c r="U202" s="145" t="str">
        <f>IFERROR(__xludf.DUMMYFUNCTION("""COMPUTED_VALUE"""),"FAST")</f>
        <v>FAST</v>
      </c>
      <c r="V202" s="145" t="str">
        <f>IFERROR(__xludf.DUMMYFUNCTION("""COMPUTED_VALUE"""),"Head-up display")</f>
        <v>Head-up display</v>
      </c>
      <c r="W202" s="136"/>
      <c r="X202" s="137" t="str">
        <f>IFERROR(__xludf.DUMMYFUNCTION("""COMPUTED_VALUE"""),"Good")</f>
        <v>Good</v>
      </c>
      <c r="Y202" s="138" t="str">
        <f>IFERROR(__xludf.DUMMYFUNCTION("""COMPUTED_VALUE"""),"Excellent")</f>
        <v>Excellent</v>
      </c>
      <c r="Z202" s="138" t="str">
        <f>IFERROR(__xludf.DUMMYFUNCTION("""COMPUTED_VALUE"""),"Excellent")</f>
        <v>Excellent</v>
      </c>
      <c r="AA202" s="138" t="str">
        <f>IFERROR(__xludf.DUMMYFUNCTION("""COMPUTED_VALUE"""),"Fair")</f>
        <v>Fair</v>
      </c>
      <c r="AB202" s="138" t="str">
        <f>IFERROR(__xludf.DUMMYFUNCTION("""COMPUTED_VALUE"""),"Good")</f>
        <v>Good</v>
      </c>
      <c r="AC202" s="139">
        <f>IFERROR(__xludf.DUMMYFUNCTION("""COMPUTED_VALUE"""),1.0)</f>
        <v>1</v>
      </c>
      <c r="AD202" s="139">
        <f>IFERROR(__xludf.DUMMYFUNCTION("""COMPUTED_VALUE"""),1.0)</f>
        <v>1</v>
      </c>
      <c r="AE202" s="139">
        <f>IFERROR(__xludf.DUMMYFUNCTION("""COMPUTED_VALUE"""),0.0)</f>
        <v>0</v>
      </c>
      <c r="AF202" s="140" t="str">
        <f>IFERROR(__xludf.DUMMYFUNCTION("""COMPUTED_VALUE"""),"No. I took delivery of the first car Tesla was able to deliver.")</f>
        <v>No. I took delivery of the first car Tesla was able to deliver.</v>
      </c>
      <c r="AG202" s="136"/>
      <c r="AH202" s="157">
        <f>IFERROR(__xludf.DUMMYFUNCTION("""COMPUTED_VALUE"""),44459.353944166665)</f>
        <v>44459.35394</v>
      </c>
      <c r="AI202" s="138"/>
      <c r="AJ202" s="138"/>
      <c r="AK202" s="138"/>
      <c r="AL202" s="142"/>
    </row>
    <row r="203" ht="20.25" customHeight="1">
      <c r="A203" s="155" t="str">
        <f>IFERROR(__xludf.DUMMYFUNCTION("""COMPUTED_VALUE"""),"BNM")</f>
        <v>BNM</v>
      </c>
      <c r="B203" s="149" t="str">
        <f>IFERROR(__xludf.DUMMYFUNCTION("""COMPUTED_VALUE"""),"Phoenix")</f>
        <v>Phoenix</v>
      </c>
      <c r="C203" s="149" t="str">
        <f>IFERROR(__xludf.DUMMYFUNCTION("""COMPUTED_VALUE"""),"AZ")</f>
        <v>AZ</v>
      </c>
      <c r="D203" s="149" t="str">
        <f>IFERROR(__xludf.DUMMYFUNCTION("""COMPUTED_VALUE"""),"USA")</f>
        <v>USA</v>
      </c>
      <c r="E203" s="156">
        <f>IFERROR(__xludf.DUMMYFUNCTION("""COMPUTED_VALUE"""),44436.0)</f>
        <v>44436</v>
      </c>
      <c r="F203" s="129">
        <f>IFERROR(__xludf.DUMMYFUNCTION("""COMPUTED_VALUE"""),44461.0)</f>
        <v>44461</v>
      </c>
      <c r="G203" s="154" t="str">
        <f>IFERROR(__xludf.DUMMYFUNCTION("""COMPUTED_VALUE"""),"Text message")</f>
        <v>Text message</v>
      </c>
      <c r="H203" s="131"/>
      <c r="I203" s="132"/>
      <c r="J203" s="129">
        <f>IFERROR(__xludf.DUMMYFUNCTION("""COMPUTED_VALUE"""),44464.0)</f>
        <v>44464</v>
      </c>
      <c r="K203" s="133">
        <f>IFERROR(__xludf.DUMMYFUNCTION("""COMPUTED_VALUE"""),25.0)</f>
        <v>25</v>
      </c>
      <c r="L203" s="133">
        <f>IFERROR(__xludf.DUMMYFUNCTION("""COMPUTED_VALUE"""),3.0)</f>
        <v>3</v>
      </c>
      <c r="M203" s="133">
        <f>IFERROR(__xludf.DUMMYFUNCTION("""COMPUTED_VALUE"""),28.0)</f>
        <v>28</v>
      </c>
      <c r="N203" s="152" t="str">
        <f>IFERROR(__xludf.DUMMYFUNCTION("""COMPUTED_VALUE"""),"Model 3 Performance")</f>
        <v>Model 3 Performance</v>
      </c>
      <c r="O203" s="152" t="str">
        <f>IFERROR(__xludf.DUMMYFUNCTION("""COMPUTED_VALUE"""),"Deep Blue Metallic")</f>
        <v>Deep Blue Metallic</v>
      </c>
      <c r="P203" s="153" t="str">
        <f>IFERROR(__xludf.DUMMYFUNCTION("""COMPUTED_VALUE"""),"20 inch")</f>
        <v>20 inch</v>
      </c>
      <c r="Q203" s="152" t="str">
        <f>IFERROR(__xludf.DUMMYFUNCTION("""COMPUTED_VALUE"""),"Black and White")</f>
        <v>Black and White</v>
      </c>
      <c r="R203" s="150" t="str">
        <f>IFERROR(__xludf.DUMMYFUNCTION("""COMPUTED_VALUE"""),"Full Self-Driving")</f>
        <v>Full Self-Driving</v>
      </c>
      <c r="S203" s="150" t="str">
        <f>IFERROR(__xludf.DUMMYFUNCTION("""COMPUTED_VALUE"""),"Loan")</f>
        <v>Loan</v>
      </c>
      <c r="T203" s="136" t="str">
        <f>IFERROR(__xludf.DUMMYFUNCTION("""COMPUTED_VALUE"""),"BMW M240I")</f>
        <v>BMW M240I</v>
      </c>
      <c r="U203" s="136" t="str">
        <f>IFERROR(__xludf.DUMMYFUNCTION("""COMPUTED_VALUE"""),"SPEED")</f>
        <v>SPEED</v>
      </c>
      <c r="V203" s="136" t="str">
        <f>IFERROR(__xludf.DUMMYFUNCTION("""COMPUTED_VALUE"""),"Apple CarPlay / Android Auto / SiriusXM Radio")</f>
        <v>Apple CarPlay / Android Auto / SiriusXM Radio</v>
      </c>
      <c r="W203" s="145"/>
      <c r="X203" s="151"/>
      <c r="Y203" s="138"/>
      <c r="Z203" s="138"/>
      <c r="AA203" s="138"/>
      <c r="AB203" s="138"/>
      <c r="AC203" s="139"/>
      <c r="AD203" s="139"/>
      <c r="AE203" s="139"/>
      <c r="AF203" s="140"/>
      <c r="AG203" s="136"/>
      <c r="AH203" s="157">
        <f>IFERROR(__xludf.DUMMYFUNCTION("""COMPUTED_VALUE"""),44462.431783611115)</f>
        <v>44462.43178</v>
      </c>
      <c r="AI203" s="138"/>
      <c r="AJ203" s="138"/>
      <c r="AK203" s="138"/>
      <c r="AL203" s="142"/>
    </row>
    <row r="204" ht="20.25" customHeight="1">
      <c r="A204" s="155" t="str">
        <f>IFERROR(__xludf.DUMMYFUNCTION("""COMPUTED_VALUE"""),"HeavyArmor")</f>
        <v>HeavyArmor</v>
      </c>
      <c r="B204" s="149" t="str">
        <f>IFERROR(__xludf.DUMMYFUNCTION("""COMPUTED_VALUE"""),"St Louis")</f>
        <v>St Louis</v>
      </c>
      <c r="C204" s="149" t="str">
        <f>IFERROR(__xludf.DUMMYFUNCTION("""COMPUTED_VALUE"""),"MO")</f>
        <v>MO</v>
      </c>
      <c r="D204" s="149" t="str">
        <f>IFERROR(__xludf.DUMMYFUNCTION("""COMPUTED_VALUE"""),"USA")</f>
        <v>USA</v>
      </c>
      <c r="E204" s="156">
        <f>IFERROR(__xludf.DUMMYFUNCTION("""COMPUTED_VALUE"""),44436.0)</f>
        <v>44436</v>
      </c>
      <c r="F204" s="129"/>
      <c r="G204" s="154"/>
      <c r="H204" s="131"/>
      <c r="I204" s="144"/>
      <c r="J204" s="129"/>
      <c r="K204" s="133"/>
      <c r="L204" s="133"/>
      <c r="M204" s="133"/>
      <c r="N204" s="152" t="str">
        <f>IFERROR(__xludf.DUMMYFUNCTION("""COMPUTED_VALUE"""),"Model 3 LR AWD")</f>
        <v>Model 3 LR AWD</v>
      </c>
      <c r="O204" s="152" t="str">
        <f>IFERROR(__xludf.DUMMYFUNCTION("""COMPUTED_VALUE"""),"Pearl White Multi-Coat")</f>
        <v>Pearl White Multi-Coat</v>
      </c>
      <c r="P204" s="153" t="str">
        <f>IFERROR(__xludf.DUMMYFUNCTION("""COMPUTED_VALUE"""),"18 inch")</f>
        <v>18 inch</v>
      </c>
      <c r="Q204" s="152" t="str">
        <f>IFERROR(__xludf.DUMMYFUNCTION("""COMPUTED_VALUE"""),"All Black")</f>
        <v>All Black</v>
      </c>
      <c r="R204" s="149" t="str">
        <f>IFERROR(__xludf.DUMMYFUNCTION("""COMPUTED_VALUE"""),"Autopilot included")</f>
        <v>Autopilot included</v>
      </c>
      <c r="S204" s="149" t="str">
        <f>IFERROR(__xludf.DUMMYFUNCTION("""COMPUTED_VALUE"""),"Lease")</f>
        <v>Lease</v>
      </c>
      <c r="T204" s="145" t="str">
        <f>IFERROR(__xludf.DUMMYFUNCTION("""COMPUTED_VALUE"""),"Honda Civic")</f>
        <v>Honda Civic</v>
      </c>
      <c r="U204" s="145" t="str">
        <f>IFERROR(__xludf.DUMMYFUNCTION("""COMPUTED_VALUE"""),"Electric!")</f>
        <v>Electric!</v>
      </c>
      <c r="V204" s="145" t="str">
        <f>IFERROR(__xludf.DUMMYFUNCTION("""COMPUTED_VALUE"""),"Ventilated seats")</f>
        <v>Ventilated seats</v>
      </c>
      <c r="W204" s="145"/>
      <c r="X204" s="137"/>
      <c r="Y204" s="138"/>
      <c r="Z204" s="138"/>
      <c r="AA204" s="138"/>
      <c r="AB204" s="138"/>
      <c r="AC204" s="139"/>
      <c r="AD204" s="139"/>
      <c r="AE204" s="139"/>
      <c r="AF204" s="140"/>
      <c r="AG204" s="145"/>
      <c r="AH204" s="157">
        <f>IFERROR(__xludf.DUMMYFUNCTION("""COMPUTED_VALUE"""),44447.65908914352)</f>
        <v>44447.65909</v>
      </c>
      <c r="AI204" s="138"/>
      <c r="AJ204" s="138"/>
      <c r="AK204" s="138"/>
      <c r="AL204" s="142"/>
    </row>
    <row r="205" ht="20.25" customHeight="1">
      <c r="A205" s="155" t="str">
        <f>IFERROR(__xludf.DUMMYFUNCTION("""COMPUTED_VALUE"""),"setokaiba")</f>
        <v>setokaiba</v>
      </c>
      <c r="B205" s="149" t="str">
        <f>IFERROR(__xludf.DUMMYFUNCTION("""COMPUTED_VALUE"""),"Santa Clara")</f>
        <v>Santa Clara</v>
      </c>
      <c r="C205" s="149" t="str">
        <f>IFERROR(__xludf.DUMMYFUNCTION("""COMPUTED_VALUE"""),"CA")</f>
        <v>CA</v>
      </c>
      <c r="D205" s="149" t="str">
        <f>IFERROR(__xludf.DUMMYFUNCTION("""COMPUTED_VALUE"""),"USA")</f>
        <v>USA</v>
      </c>
      <c r="E205" s="156">
        <f>IFERROR(__xludf.DUMMYFUNCTION("""COMPUTED_VALUE"""),44436.0)</f>
        <v>44436</v>
      </c>
      <c r="F205" s="129"/>
      <c r="G205" s="154"/>
      <c r="H205" s="131"/>
      <c r="I205" s="144"/>
      <c r="J205" s="129"/>
      <c r="K205" s="133"/>
      <c r="L205" s="133"/>
      <c r="M205" s="133"/>
      <c r="N205" s="152" t="str">
        <f>IFERROR(__xludf.DUMMYFUNCTION("""COMPUTED_VALUE"""),"Model 3 SR+")</f>
        <v>Model 3 SR+</v>
      </c>
      <c r="O205" s="152" t="str">
        <f>IFERROR(__xludf.DUMMYFUNCTION("""COMPUTED_VALUE"""),"Deep Blue Metallic")</f>
        <v>Deep Blue Metallic</v>
      </c>
      <c r="P205" s="153" t="str">
        <f>IFERROR(__xludf.DUMMYFUNCTION("""COMPUTED_VALUE"""),"18 inch")</f>
        <v>18 inch</v>
      </c>
      <c r="Q205" s="152" t="str">
        <f>IFERROR(__xludf.DUMMYFUNCTION("""COMPUTED_VALUE"""),"All Black")</f>
        <v>All Black</v>
      </c>
      <c r="R205" s="149" t="str">
        <f>IFERROR(__xludf.DUMMYFUNCTION("""COMPUTED_VALUE"""),"Autopilot included")</f>
        <v>Autopilot included</v>
      </c>
      <c r="S205" s="149" t="str">
        <f>IFERROR(__xludf.DUMMYFUNCTION("""COMPUTED_VALUE"""),"Loan")</f>
        <v>Loan</v>
      </c>
      <c r="T205" s="145" t="str">
        <f>IFERROR(__xludf.DUMMYFUNCTION("""COMPUTED_VALUE"""),"Model 3 will be my first car!")</f>
        <v>Model 3 will be my first car!</v>
      </c>
      <c r="U205" s="145" t="str">
        <f>IFERROR(__xludf.DUMMYFUNCTION("""COMPUTED_VALUE"""),"Electric!")</f>
        <v>Electric!</v>
      </c>
      <c r="V205" s="145" t="str">
        <f>IFERROR(__xludf.DUMMYFUNCTION("""COMPUTED_VALUE"""),"Dashboard")</f>
        <v>Dashboard</v>
      </c>
      <c r="W205" s="145"/>
      <c r="X205" s="137"/>
      <c r="Y205" s="138"/>
      <c r="Z205" s="138"/>
      <c r="AA205" s="138"/>
      <c r="AB205" s="138"/>
      <c r="AC205" s="139"/>
      <c r="AD205" s="139"/>
      <c r="AE205" s="139"/>
      <c r="AF205" s="140"/>
      <c r="AG205" s="145"/>
      <c r="AH205" s="157">
        <f>IFERROR(__xludf.DUMMYFUNCTION("""COMPUTED_VALUE"""),44439.45551828704)</f>
        <v>44439.45552</v>
      </c>
      <c r="AI205" s="138"/>
      <c r="AJ205" s="138"/>
      <c r="AK205" s="138"/>
      <c r="AL205" s="142"/>
    </row>
    <row r="206" ht="20.25" customHeight="1">
      <c r="A206" s="155" t="str">
        <f>IFERROR(__xludf.DUMMYFUNCTION("""COMPUTED_VALUE"""),"talktorobi")</f>
        <v>talktorobi</v>
      </c>
      <c r="B206" s="149" t="str">
        <f>IFERROR(__xludf.DUMMYFUNCTION("""COMPUTED_VALUE"""),"Essex")</f>
        <v>Essex</v>
      </c>
      <c r="C206" s="149"/>
      <c r="D206" s="149" t="str">
        <f>IFERROR(__xludf.DUMMYFUNCTION("""COMPUTED_VALUE"""),"United Kingdom")</f>
        <v>United Kingdom</v>
      </c>
      <c r="E206" s="156">
        <f>IFERROR(__xludf.DUMMYFUNCTION("""COMPUTED_VALUE"""),44436.0)</f>
        <v>44436</v>
      </c>
      <c r="F206" s="129"/>
      <c r="G206" s="154" t="str">
        <f>IFERROR(__xludf.DUMMYFUNCTION("""COMPUTED_VALUE"""),"invoice")</f>
        <v>invoice</v>
      </c>
      <c r="H206" s="131">
        <f>IFERROR(__xludf.DUMMYFUNCTION("""COMPUTED_VALUE"""),392875.0)</f>
        <v>392875</v>
      </c>
      <c r="I206" s="144"/>
      <c r="J206" s="129">
        <f>IFERROR(__xludf.DUMMYFUNCTION("""COMPUTED_VALUE"""),44529.0)</f>
        <v>44529</v>
      </c>
      <c r="K206" s="133"/>
      <c r="L206" s="133"/>
      <c r="M206" s="133">
        <f>IFERROR(__xludf.DUMMYFUNCTION("""COMPUTED_VALUE"""),93.0)</f>
        <v>93</v>
      </c>
      <c r="N206" s="152" t="str">
        <f>IFERROR(__xludf.DUMMYFUNCTION("""COMPUTED_VALUE"""),"Model 3 LR AWD")</f>
        <v>Model 3 LR AWD</v>
      </c>
      <c r="O206" s="152" t="str">
        <f>IFERROR(__xludf.DUMMYFUNCTION("""COMPUTED_VALUE"""),"Pearl White Multi-Coat")</f>
        <v>Pearl White Multi-Coat</v>
      </c>
      <c r="P206" s="153" t="str">
        <f>IFERROR(__xludf.DUMMYFUNCTION("""COMPUTED_VALUE"""),"18 inch")</f>
        <v>18 inch</v>
      </c>
      <c r="Q206" s="152" t="str">
        <f>IFERROR(__xludf.DUMMYFUNCTION("""COMPUTED_VALUE"""),"All Black")</f>
        <v>All Black</v>
      </c>
      <c r="R206" s="149" t="str">
        <f>IFERROR(__xludf.DUMMYFUNCTION("""COMPUTED_VALUE"""),"Autopilot included")</f>
        <v>Autopilot included</v>
      </c>
      <c r="S206" s="149" t="str">
        <f>IFERROR(__xludf.DUMMYFUNCTION("""COMPUTED_VALUE"""),"Loan")</f>
        <v>Loan</v>
      </c>
      <c r="T206" s="145" t="str">
        <f>IFERROR(__xludf.DUMMYFUNCTION("""COMPUTED_VALUE"""),"BMW 3 Series")</f>
        <v>BMW 3 Series</v>
      </c>
      <c r="U206" s="145" t="str">
        <f>IFERROR(__xludf.DUMMYFUNCTION("""COMPUTED_VALUE"""),"Electric!")</f>
        <v>Electric!</v>
      </c>
      <c r="V206" s="145" t="str">
        <f>IFERROR(__xludf.DUMMYFUNCTION("""COMPUTED_VALUE"""),"Air suspension")</f>
        <v>Air suspension</v>
      </c>
      <c r="W206" s="136"/>
      <c r="X206" s="137"/>
      <c r="Y206" s="138"/>
      <c r="Z206" s="138"/>
      <c r="AA206" s="138"/>
      <c r="AB206" s="138"/>
      <c r="AC206" s="139"/>
      <c r="AD206" s="139"/>
      <c r="AE206" s="139"/>
      <c r="AF206" s="140"/>
      <c r="AG206" s="136"/>
      <c r="AH206" s="157">
        <f>IFERROR(__xludf.DUMMYFUNCTION("""COMPUTED_VALUE"""),44506.14942241899)</f>
        <v>44506.14942</v>
      </c>
      <c r="AI206" s="138"/>
      <c r="AJ206" s="138"/>
      <c r="AK206" s="138"/>
      <c r="AL206" s="142"/>
    </row>
    <row r="207" ht="20.25" customHeight="1">
      <c r="A207" s="155" t="str">
        <f>IFERROR(__xludf.DUMMYFUNCTION("""COMPUTED_VALUE"""),"7eslafied")</f>
        <v>7eslafied</v>
      </c>
      <c r="B207" s="159" t="str">
        <f>IFERROR(__xludf.DUMMYFUNCTION("""COMPUTED_VALUE"""),"West Palm Beach")</f>
        <v>West Palm Beach</v>
      </c>
      <c r="C207" s="159" t="str">
        <f>IFERROR(__xludf.DUMMYFUNCTION("""COMPUTED_VALUE"""),"FL")</f>
        <v>FL</v>
      </c>
      <c r="D207" s="159" t="str">
        <f>IFERROR(__xludf.DUMMYFUNCTION("""COMPUTED_VALUE"""),"USA")</f>
        <v>USA</v>
      </c>
      <c r="E207" s="156">
        <f>IFERROR(__xludf.DUMMYFUNCTION("""COMPUTED_VALUE"""),44435.0)</f>
        <v>44435</v>
      </c>
      <c r="F207" s="129">
        <f>IFERROR(__xludf.DUMMYFUNCTION("""COMPUTED_VALUE"""),44435.0)</f>
        <v>44435</v>
      </c>
      <c r="G207" s="154" t="str">
        <f>IFERROR(__xludf.DUMMYFUNCTION("""COMPUTED_VALUE"""),"Manage order page (normal text)")</f>
        <v>Manage order page (normal text)</v>
      </c>
      <c r="H207" s="131"/>
      <c r="I207" s="160" t="str">
        <f>IFERROR(__xludf.DUMMYFUNCTION("""COMPUTED_VALUE"""),"08/21")</f>
        <v>08/21</v>
      </c>
      <c r="J207" s="129">
        <f>IFERROR(__xludf.DUMMYFUNCTION("""COMPUTED_VALUE"""),44448.0)</f>
        <v>44448</v>
      </c>
      <c r="K207" s="133">
        <f>IFERROR(__xludf.DUMMYFUNCTION("""COMPUTED_VALUE"""),0.0)</f>
        <v>0</v>
      </c>
      <c r="L207" s="133">
        <f>IFERROR(__xludf.DUMMYFUNCTION("""COMPUTED_VALUE"""),13.0)</f>
        <v>13</v>
      </c>
      <c r="M207" s="133">
        <f>IFERROR(__xludf.DUMMYFUNCTION("""COMPUTED_VALUE"""),13.0)</f>
        <v>13</v>
      </c>
      <c r="N207" s="152" t="str">
        <f>IFERROR(__xludf.DUMMYFUNCTION("""COMPUTED_VALUE"""),"Model 3 SR+")</f>
        <v>Model 3 SR+</v>
      </c>
      <c r="O207" s="152" t="str">
        <f>IFERROR(__xludf.DUMMYFUNCTION("""COMPUTED_VALUE"""),"Pearl White Multi-Coat")</f>
        <v>Pearl White Multi-Coat</v>
      </c>
      <c r="P207" s="153" t="str">
        <f>IFERROR(__xludf.DUMMYFUNCTION("""COMPUTED_VALUE"""),"18 inch")</f>
        <v>18 inch</v>
      </c>
      <c r="Q207" s="152" t="str">
        <f>IFERROR(__xludf.DUMMYFUNCTION("""COMPUTED_VALUE"""),"All Black")</f>
        <v>All Black</v>
      </c>
      <c r="R207" s="159" t="str">
        <f>IFERROR(__xludf.DUMMYFUNCTION("""COMPUTED_VALUE"""),"Autopilot included")</f>
        <v>Autopilot included</v>
      </c>
      <c r="S207" s="159" t="str">
        <f>IFERROR(__xludf.DUMMYFUNCTION("""COMPUTED_VALUE"""),"Loan")</f>
        <v>Loan</v>
      </c>
      <c r="T207" s="161" t="str">
        <f>IFERROR(__xludf.DUMMYFUNCTION("""COMPUTED_VALUE"""),"Lexus RX 350")</f>
        <v>Lexus RX 350</v>
      </c>
      <c r="U207" s="161" t="str">
        <f>IFERROR(__xludf.DUMMYFUNCTION("""COMPUTED_VALUE"""),"Revolutionized car design")</f>
        <v>Revolutionized car design</v>
      </c>
      <c r="V207" s="161" t="str">
        <f>IFERROR(__xludf.DUMMYFUNCTION("""COMPUTED_VALUE"""),"Apple CarPlay / Android Auto / SiriusXM Radio")</f>
        <v>Apple CarPlay / Android Auto / SiriusXM Radio</v>
      </c>
      <c r="W207" s="161"/>
      <c r="X207" s="137" t="str">
        <f>IFERROR(__xludf.DUMMYFUNCTION("""COMPUTED_VALUE"""),"Very Good")</f>
        <v>Very Good</v>
      </c>
      <c r="Y207" s="138" t="str">
        <f>IFERROR(__xludf.DUMMYFUNCTION("""COMPUTED_VALUE"""),"Excellent")</f>
        <v>Excellent</v>
      </c>
      <c r="Z207" s="138" t="str">
        <f>IFERROR(__xludf.DUMMYFUNCTION("""COMPUTED_VALUE"""),"Excellent")</f>
        <v>Excellent</v>
      </c>
      <c r="AA207" s="138" t="str">
        <f>IFERROR(__xludf.DUMMYFUNCTION("""COMPUTED_VALUE"""),"Poor")</f>
        <v>Poor</v>
      </c>
      <c r="AB207" s="138" t="str">
        <f>IFERROR(__xludf.DUMMYFUNCTION("""COMPUTED_VALUE"""),"Poor")</f>
        <v>Poor</v>
      </c>
      <c r="AC207" s="139"/>
      <c r="AD207" s="139">
        <f>IFERROR(__xludf.DUMMYFUNCTION("""COMPUTED_VALUE"""),1.0)</f>
        <v>1</v>
      </c>
      <c r="AE207" s="139"/>
      <c r="AF207" s="140"/>
      <c r="AG207" s="161" t="str">
        <f>IFERROR(__xludf.DUMMYFUNCTION("""COMPUTED_VALUE"""),"Had previous order moved to LFP battery version.")</f>
        <v>Had previous order moved to LFP battery version.</v>
      </c>
      <c r="AH207" s="157">
        <f>IFERROR(__xludf.DUMMYFUNCTION("""COMPUTED_VALUE"""),44463.608291412034)</f>
        <v>44463.60829</v>
      </c>
      <c r="AI207" s="138"/>
      <c r="AJ207" s="138"/>
      <c r="AK207" s="138"/>
      <c r="AL207" s="142"/>
    </row>
    <row r="208" ht="20.25" customHeight="1">
      <c r="A208" s="155" t="str">
        <f>IFERROR(__xludf.DUMMYFUNCTION("""COMPUTED_VALUE"""),"KodyCheyne")</f>
        <v>KodyCheyne</v>
      </c>
      <c r="B208" s="149" t="str">
        <f>IFERROR(__xludf.DUMMYFUNCTION("""COMPUTED_VALUE"""),"Alexandria, VA")</f>
        <v>Alexandria, VA</v>
      </c>
      <c r="C208" s="149" t="str">
        <f>IFERROR(__xludf.DUMMYFUNCTION("""COMPUTED_VALUE"""),"VA")</f>
        <v>VA</v>
      </c>
      <c r="D208" s="149" t="str">
        <f>IFERROR(__xludf.DUMMYFUNCTION("""COMPUTED_VALUE"""),"USA")</f>
        <v>USA</v>
      </c>
      <c r="E208" s="156">
        <f>IFERROR(__xludf.DUMMYFUNCTION("""COMPUTED_VALUE"""),44435.0)</f>
        <v>44435</v>
      </c>
      <c r="F208" s="129">
        <f>IFERROR(__xludf.DUMMYFUNCTION("""COMPUTED_VALUE"""),44435.0)</f>
        <v>44435</v>
      </c>
      <c r="G208" s="154" t="str">
        <f>IFERROR(__xludf.DUMMYFUNCTION("""COMPUTED_VALUE"""),"Manage order page (normal text)")</f>
        <v>Manage order page (normal text)</v>
      </c>
      <c r="H208" s="131">
        <f>IFERROR(__xludf.DUMMYFUNCTION("""COMPUTED_VALUE"""),46987.0)</f>
        <v>46987</v>
      </c>
      <c r="I208" s="144"/>
      <c r="J208" s="129">
        <f>IFERROR(__xludf.DUMMYFUNCTION("""COMPUTED_VALUE"""),44444.0)</f>
        <v>44444</v>
      </c>
      <c r="K208" s="133">
        <f>IFERROR(__xludf.DUMMYFUNCTION("""COMPUTED_VALUE"""),0.0)</f>
        <v>0</v>
      </c>
      <c r="L208" s="133">
        <f>IFERROR(__xludf.DUMMYFUNCTION("""COMPUTED_VALUE"""),9.0)</f>
        <v>9</v>
      </c>
      <c r="M208" s="133">
        <f>IFERROR(__xludf.DUMMYFUNCTION("""COMPUTED_VALUE"""),9.0)</f>
        <v>9</v>
      </c>
      <c r="N208" s="152" t="str">
        <f>IFERROR(__xludf.DUMMYFUNCTION("""COMPUTED_VALUE"""),"Model 3 SR+")</f>
        <v>Model 3 SR+</v>
      </c>
      <c r="O208" s="152" t="str">
        <f>IFERROR(__xludf.DUMMYFUNCTION("""COMPUTED_VALUE"""),"Solid Black")</f>
        <v>Solid Black</v>
      </c>
      <c r="P208" s="153" t="str">
        <f>IFERROR(__xludf.DUMMYFUNCTION("""COMPUTED_VALUE"""),"18 inch")</f>
        <v>18 inch</v>
      </c>
      <c r="Q208" s="152" t="str">
        <f>IFERROR(__xludf.DUMMYFUNCTION("""COMPUTED_VALUE"""),"All Black")</f>
        <v>All Black</v>
      </c>
      <c r="R208" s="149" t="str">
        <f>IFERROR(__xludf.DUMMYFUNCTION("""COMPUTED_VALUE"""),"Autopilot included")</f>
        <v>Autopilot included</v>
      </c>
      <c r="S208" s="149" t="str">
        <f>IFERROR(__xludf.DUMMYFUNCTION("""COMPUTED_VALUE"""),"Loan")</f>
        <v>Loan</v>
      </c>
      <c r="T208" s="145" t="str">
        <f>IFERROR(__xludf.DUMMYFUNCTION("""COMPUTED_VALUE"""),"Alfa Romeo Giulia")</f>
        <v>Alfa Romeo Giulia</v>
      </c>
      <c r="U208" s="145" t="str">
        <f>IFERROR(__xludf.DUMMYFUNCTION("""COMPUTED_VALUE"""),"Electric!")</f>
        <v>Electric!</v>
      </c>
      <c r="V208" s="145" t="str">
        <f>IFERROR(__xludf.DUMMYFUNCTION("""COMPUTED_VALUE"""),"360° Bird's eye view")</f>
        <v>360° Bird's eye view</v>
      </c>
      <c r="W208" s="145"/>
      <c r="X208" s="137" t="str">
        <f>IFERROR(__xludf.DUMMYFUNCTION("""COMPUTED_VALUE"""),"Excellent")</f>
        <v>Excellent</v>
      </c>
      <c r="Y208" s="138" t="str">
        <f>IFERROR(__xludf.DUMMYFUNCTION("""COMPUTED_VALUE"""),"Excellent")</f>
        <v>Excellent</v>
      </c>
      <c r="Z208" s="138" t="str">
        <f>IFERROR(__xludf.DUMMYFUNCTION("""COMPUTED_VALUE"""),"Excellent")</f>
        <v>Excellent</v>
      </c>
      <c r="AA208" s="138" t="str">
        <f>IFERROR(__xludf.DUMMYFUNCTION("""COMPUTED_VALUE"""),"Poor")</f>
        <v>Poor</v>
      </c>
      <c r="AB208" s="138" t="str">
        <f>IFERROR(__xludf.DUMMYFUNCTION("""COMPUTED_VALUE"""),"Very Good")</f>
        <v>Very Good</v>
      </c>
      <c r="AC208" s="139"/>
      <c r="AD208" s="139"/>
      <c r="AE208" s="139"/>
      <c r="AF208" s="140" t="str">
        <f>IFERROR(__xludf.DUMMYFUNCTION("""COMPUTED_VALUE"""),"No. I took delivery of the first car Tesla was able to deliver.")</f>
        <v>No. I took delivery of the first car Tesla was able to deliver.</v>
      </c>
      <c r="AG208" s="145"/>
      <c r="AH208" s="157">
        <f>IFERROR(__xludf.DUMMYFUNCTION("""COMPUTED_VALUE"""),44445.74050886574)</f>
        <v>44445.74051</v>
      </c>
      <c r="AI208" s="138"/>
      <c r="AJ208" s="138"/>
      <c r="AK208" s="138"/>
      <c r="AL208" s="142"/>
    </row>
    <row r="209" ht="20.25" customHeight="1">
      <c r="A209" s="155" t="str">
        <f>IFERROR(__xludf.DUMMYFUNCTION("""COMPUTED_VALUE"""),"mcstravis")</f>
        <v>mcstravis</v>
      </c>
      <c r="B209" s="150" t="str">
        <f>IFERROR(__xludf.DUMMYFUNCTION("""COMPUTED_VALUE"""),"Ottawa")</f>
        <v>Ottawa</v>
      </c>
      <c r="C209" s="150" t="str">
        <f>IFERROR(__xludf.DUMMYFUNCTION("""COMPUTED_VALUE"""),"ON")</f>
        <v>ON</v>
      </c>
      <c r="D209" s="150" t="str">
        <f>IFERROR(__xludf.DUMMYFUNCTION("""COMPUTED_VALUE"""),"Canada")</f>
        <v>Canada</v>
      </c>
      <c r="E209" s="156">
        <f>IFERROR(__xludf.DUMMYFUNCTION("""COMPUTED_VALUE"""),44435.0)</f>
        <v>44435</v>
      </c>
      <c r="F209" s="129"/>
      <c r="G209" s="154"/>
      <c r="H209" s="131"/>
      <c r="I209" s="132"/>
      <c r="J209" s="129"/>
      <c r="K209" s="133"/>
      <c r="L209" s="133"/>
      <c r="M209" s="133"/>
      <c r="N209" s="152" t="str">
        <f>IFERROR(__xludf.DUMMYFUNCTION("""COMPUTED_VALUE"""),"Model 3 SR+")</f>
        <v>Model 3 SR+</v>
      </c>
      <c r="O209" s="152" t="str">
        <f>IFERROR(__xludf.DUMMYFUNCTION("""COMPUTED_VALUE"""),"Solid Black")</f>
        <v>Solid Black</v>
      </c>
      <c r="P209" s="153" t="str">
        <f>IFERROR(__xludf.DUMMYFUNCTION("""COMPUTED_VALUE"""),"18 inch")</f>
        <v>18 inch</v>
      </c>
      <c r="Q209" s="152" t="str">
        <f>IFERROR(__xludf.DUMMYFUNCTION("""COMPUTED_VALUE"""),"All Black")</f>
        <v>All Black</v>
      </c>
      <c r="R209" s="150" t="str">
        <f>IFERROR(__xludf.DUMMYFUNCTION("""COMPUTED_VALUE"""),"Autopilot included")</f>
        <v>Autopilot included</v>
      </c>
      <c r="S209" s="150" t="str">
        <f>IFERROR(__xludf.DUMMYFUNCTION("""COMPUTED_VALUE"""),"Cash")</f>
        <v>Cash</v>
      </c>
      <c r="T209" s="136" t="str">
        <f>IFERROR(__xludf.DUMMYFUNCTION("""COMPUTED_VALUE"""),"Suzuki SX4")</f>
        <v>Suzuki SX4</v>
      </c>
      <c r="U209" s="136" t="str">
        <f>IFERROR(__xludf.DUMMYFUNCTION("""COMPUTED_VALUE"""),"Electric!")</f>
        <v>Electric!</v>
      </c>
      <c r="V209" s="136" t="str">
        <f>IFERROR(__xludf.DUMMYFUNCTION("""COMPUTED_VALUE"""),"Apple CarPlay / Android Auto / SiriusXM Radio")</f>
        <v>Apple CarPlay / Android Auto / SiriusXM Radio</v>
      </c>
      <c r="W209" s="136"/>
      <c r="X209" s="137"/>
      <c r="Y209" s="138"/>
      <c r="Z209" s="138"/>
      <c r="AA209" s="138"/>
      <c r="AB209" s="138"/>
      <c r="AC209" s="139"/>
      <c r="AD209" s="139"/>
      <c r="AE209" s="139"/>
      <c r="AF209" s="140"/>
      <c r="AG209" s="136"/>
      <c r="AH209" s="157">
        <f>IFERROR(__xludf.DUMMYFUNCTION("""COMPUTED_VALUE"""),44501.29287413194)</f>
        <v>44501.29287</v>
      </c>
      <c r="AI209" s="138"/>
      <c r="AJ209" s="138"/>
      <c r="AK209" s="138"/>
      <c r="AL209" s="142"/>
    </row>
    <row r="210" ht="20.25" customHeight="1">
      <c r="A210" s="155" t="str">
        <f>IFERROR(__xludf.DUMMYFUNCTION("""COMPUTED_VALUE"""),"meatwandd")</f>
        <v>meatwandd</v>
      </c>
      <c r="B210" s="149" t="str">
        <f>IFERROR(__xludf.DUMMYFUNCTION("""COMPUTED_VALUE"""),"Lake Grove")</f>
        <v>Lake Grove</v>
      </c>
      <c r="C210" s="149" t="str">
        <f>IFERROR(__xludf.DUMMYFUNCTION("""COMPUTED_VALUE"""),"NY")</f>
        <v>NY</v>
      </c>
      <c r="D210" s="149" t="str">
        <f>IFERROR(__xludf.DUMMYFUNCTION("""COMPUTED_VALUE"""),"USA")</f>
        <v>USA</v>
      </c>
      <c r="E210" s="156">
        <f>IFERROR(__xludf.DUMMYFUNCTION("""COMPUTED_VALUE"""),44435.0)</f>
        <v>44435</v>
      </c>
      <c r="F210" s="129">
        <f>IFERROR(__xludf.DUMMYFUNCTION("""COMPUTED_VALUE"""),44438.0)</f>
        <v>44438</v>
      </c>
      <c r="G210" s="154" t="str">
        <f>IFERROR(__xludf.DUMMYFUNCTION("""COMPUTED_VALUE"""),"Manage order page (normal text)")</f>
        <v>Manage order page (normal text)</v>
      </c>
      <c r="H210" s="131">
        <f>IFERROR(__xludf.DUMMYFUNCTION("""COMPUTED_VALUE"""),43765.0)</f>
        <v>43765</v>
      </c>
      <c r="I210" s="132"/>
      <c r="J210" s="129"/>
      <c r="K210" s="133">
        <f>IFERROR(__xludf.DUMMYFUNCTION("""COMPUTED_VALUE"""),3.0)</f>
        <v>3</v>
      </c>
      <c r="L210" s="133"/>
      <c r="M210" s="133"/>
      <c r="N210" s="152" t="str">
        <f>IFERROR(__xludf.DUMMYFUNCTION("""COMPUTED_VALUE"""),"Model 3 SR+")</f>
        <v>Model 3 SR+</v>
      </c>
      <c r="O210" s="152" t="str">
        <f>IFERROR(__xludf.DUMMYFUNCTION("""COMPUTED_VALUE"""),"Pearl White Multi-Coat")</f>
        <v>Pearl White Multi-Coat</v>
      </c>
      <c r="P210" s="153" t="str">
        <f>IFERROR(__xludf.DUMMYFUNCTION("""COMPUTED_VALUE"""),"18 inch")</f>
        <v>18 inch</v>
      </c>
      <c r="Q210" s="152" t="str">
        <f>IFERROR(__xludf.DUMMYFUNCTION("""COMPUTED_VALUE"""),"All Black")</f>
        <v>All Black</v>
      </c>
      <c r="R210" s="150" t="str">
        <f>IFERROR(__xludf.DUMMYFUNCTION("""COMPUTED_VALUE"""),"Autopilot included")</f>
        <v>Autopilot included</v>
      </c>
      <c r="S210" s="150" t="str">
        <f>IFERROR(__xludf.DUMMYFUNCTION("""COMPUTED_VALUE"""),"Loan")</f>
        <v>Loan</v>
      </c>
      <c r="T210" s="136" t="str">
        <f>IFERROR(__xludf.DUMMYFUNCTION("""COMPUTED_VALUE"""),"Cadillac STS")</f>
        <v>Cadillac STS</v>
      </c>
      <c r="U210" s="136"/>
      <c r="V210" s="136" t="str">
        <f>IFERROR(__xludf.DUMMYFUNCTION("""COMPUTED_VALUE"""),"360° Bird's eye view")</f>
        <v>360° Bird's eye view</v>
      </c>
      <c r="W210" s="136"/>
      <c r="X210" s="137"/>
      <c r="Y210" s="138"/>
      <c r="Z210" s="138"/>
      <c r="AA210" s="138"/>
      <c r="AB210" s="138"/>
      <c r="AC210" s="139"/>
      <c r="AD210" s="139"/>
      <c r="AE210" s="139"/>
      <c r="AF210" s="140"/>
      <c r="AG210" s="136"/>
      <c r="AH210" s="157">
        <f>IFERROR(__xludf.DUMMYFUNCTION("""COMPUTED_VALUE"""),44447.951647256945)</f>
        <v>44447.95165</v>
      </c>
      <c r="AI210" s="138"/>
      <c r="AJ210" s="138"/>
      <c r="AK210" s="138"/>
      <c r="AL210" s="142"/>
    </row>
    <row r="211" ht="20.25" customHeight="1">
      <c r="A211" s="155" t="str">
        <f>IFERROR(__xludf.DUMMYFUNCTION("""COMPUTED_VALUE"""),"SublimeHelicopter")</f>
        <v>SublimeHelicopter</v>
      </c>
      <c r="B211" s="149" t="str">
        <f>IFERROR(__xludf.DUMMYFUNCTION("""COMPUTED_VALUE"""),"Los Angeles")</f>
        <v>Los Angeles</v>
      </c>
      <c r="C211" s="149" t="str">
        <f>IFERROR(__xludf.DUMMYFUNCTION("""COMPUTED_VALUE"""),"CA")</f>
        <v>CA</v>
      </c>
      <c r="D211" s="149" t="str">
        <f>IFERROR(__xludf.DUMMYFUNCTION("""COMPUTED_VALUE"""),"USA")</f>
        <v>USA</v>
      </c>
      <c r="E211" s="156">
        <f>IFERROR(__xludf.DUMMYFUNCTION("""COMPUTED_VALUE"""),44435.0)</f>
        <v>44435</v>
      </c>
      <c r="F211" s="129"/>
      <c r="G211" s="154"/>
      <c r="H211" s="131"/>
      <c r="I211" s="144"/>
      <c r="J211" s="129"/>
      <c r="K211" s="133"/>
      <c r="L211" s="133"/>
      <c r="M211" s="133"/>
      <c r="N211" s="152" t="str">
        <f>IFERROR(__xludf.DUMMYFUNCTION("""COMPUTED_VALUE"""),"Model 3 LR AWD")</f>
        <v>Model 3 LR AWD</v>
      </c>
      <c r="O211" s="152" t="str">
        <f>IFERROR(__xludf.DUMMYFUNCTION("""COMPUTED_VALUE"""),"Deep Blue Metallic")</f>
        <v>Deep Blue Metallic</v>
      </c>
      <c r="P211" s="153" t="str">
        <f>IFERROR(__xludf.DUMMYFUNCTION("""COMPUTED_VALUE"""),"19 inch")</f>
        <v>19 inch</v>
      </c>
      <c r="Q211" s="152" t="str">
        <f>IFERROR(__xludf.DUMMYFUNCTION("""COMPUTED_VALUE"""),"Black and White")</f>
        <v>Black and White</v>
      </c>
      <c r="R211" s="149" t="str">
        <f>IFERROR(__xludf.DUMMYFUNCTION("""COMPUTED_VALUE"""),"Full Self-Driving")</f>
        <v>Full Self-Driving</v>
      </c>
      <c r="S211" s="149" t="str">
        <f>IFERROR(__xludf.DUMMYFUNCTION("""COMPUTED_VALUE"""),"Cash")</f>
        <v>Cash</v>
      </c>
      <c r="T211" s="145"/>
      <c r="U211" s="145" t="str">
        <f>IFERROR(__xludf.DUMMYFUNCTION("""COMPUTED_VALUE"""),"Autopilot")</f>
        <v>Autopilot</v>
      </c>
      <c r="V211" s="145"/>
      <c r="W211" s="136"/>
      <c r="X211" s="137"/>
      <c r="Y211" s="138"/>
      <c r="Z211" s="138"/>
      <c r="AA211" s="138"/>
      <c r="AB211" s="138"/>
      <c r="AC211" s="139"/>
      <c r="AD211" s="139"/>
      <c r="AE211" s="139"/>
      <c r="AF211" s="140"/>
      <c r="AG211" s="136"/>
      <c r="AH211" s="157">
        <f>IFERROR(__xludf.DUMMYFUNCTION("""COMPUTED_VALUE"""),44435.25288665509)</f>
        <v>44435.25289</v>
      </c>
      <c r="AI211" s="138"/>
      <c r="AJ211" s="138"/>
      <c r="AK211" s="138"/>
      <c r="AL211" s="142"/>
    </row>
    <row r="212" ht="20.25" customHeight="1">
      <c r="A212" s="155" t="str">
        <f>IFERROR(__xludf.DUMMYFUNCTION("""COMPUTED_VALUE"""),"BrooksH")</f>
        <v>BrooksH</v>
      </c>
      <c r="B212" s="149" t="str">
        <f>IFERROR(__xludf.DUMMYFUNCTION("""COMPUTED_VALUE"""),"Kirkland")</f>
        <v>Kirkland</v>
      </c>
      <c r="C212" s="149" t="str">
        <f>IFERROR(__xludf.DUMMYFUNCTION("""COMPUTED_VALUE"""),"WA")</f>
        <v>WA</v>
      </c>
      <c r="D212" s="149" t="str">
        <f>IFERROR(__xludf.DUMMYFUNCTION("""COMPUTED_VALUE"""),"USA")</f>
        <v>USA</v>
      </c>
      <c r="E212" s="156">
        <f>IFERROR(__xludf.DUMMYFUNCTION("""COMPUTED_VALUE"""),44434.0)</f>
        <v>44434</v>
      </c>
      <c r="F212" s="129"/>
      <c r="G212" s="154"/>
      <c r="H212" s="131"/>
      <c r="I212" s="144"/>
      <c r="J212" s="129"/>
      <c r="K212" s="133"/>
      <c r="L212" s="133"/>
      <c r="M212" s="133"/>
      <c r="N212" s="152" t="str">
        <f>IFERROR(__xludf.DUMMYFUNCTION("""COMPUTED_VALUE"""),"Model 3 SR+")</f>
        <v>Model 3 SR+</v>
      </c>
      <c r="O212" s="152" t="str">
        <f>IFERROR(__xludf.DUMMYFUNCTION("""COMPUTED_VALUE"""),"Midnight Silver Metallic")</f>
        <v>Midnight Silver Metallic</v>
      </c>
      <c r="P212" s="153" t="str">
        <f>IFERROR(__xludf.DUMMYFUNCTION("""COMPUTED_VALUE"""),"19 inch")</f>
        <v>19 inch</v>
      </c>
      <c r="Q212" s="152" t="str">
        <f>IFERROR(__xludf.DUMMYFUNCTION("""COMPUTED_VALUE"""),"All Black")</f>
        <v>All Black</v>
      </c>
      <c r="R212" s="149" t="str">
        <f>IFERROR(__xludf.DUMMYFUNCTION("""COMPUTED_VALUE"""),"Autopilot included")</f>
        <v>Autopilot included</v>
      </c>
      <c r="S212" s="149" t="str">
        <f>IFERROR(__xludf.DUMMYFUNCTION("""COMPUTED_VALUE"""),"Loan")</f>
        <v>Loan</v>
      </c>
      <c r="T212" s="145" t="str">
        <f>IFERROR(__xludf.DUMMYFUNCTION("""COMPUTED_VALUE"""),"Ford Fusion Energi")</f>
        <v>Ford Fusion Energi</v>
      </c>
      <c r="U212" s="145" t="str">
        <f>IFERROR(__xludf.DUMMYFUNCTION("""COMPUTED_VALUE"""),"Autopilot")</f>
        <v>Autopilot</v>
      </c>
      <c r="V212" s="145" t="str">
        <f>IFERROR(__xludf.DUMMYFUNCTION("""COMPUTED_VALUE"""),"360° Bird's eye view")</f>
        <v>360° Bird's eye view</v>
      </c>
      <c r="W212" s="136"/>
      <c r="X212" s="137"/>
      <c r="Y212" s="138"/>
      <c r="Z212" s="138"/>
      <c r="AA212" s="138"/>
      <c r="AB212" s="138"/>
      <c r="AC212" s="139"/>
      <c r="AD212" s="139"/>
      <c r="AE212" s="139"/>
      <c r="AF212" s="140"/>
      <c r="AG212" s="136"/>
      <c r="AH212" s="157">
        <f>IFERROR(__xludf.DUMMYFUNCTION("""COMPUTED_VALUE"""),44462.06045065972)</f>
        <v>44462.06045</v>
      </c>
      <c r="AI212" s="138"/>
      <c r="AJ212" s="138"/>
      <c r="AK212" s="138"/>
      <c r="AL212" s="142"/>
    </row>
    <row r="213" ht="20.25" customHeight="1">
      <c r="A213" s="155" t="str">
        <f>IFERROR(__xludf.DUMMYFUNCTION("""COMPUTED_VALUE"""),"ImTinyRiick")</f>
        <v>ImTinyRiick</v>
      </c>
      <c r="B213" s="149" t="str">
        <f>IFERROR(__xludf.DUMMYFUNCTION("""COMPUTED_VALUE"""),"Atlanta")</f>
        <v>Atlanta</v>
      </c>
      <c r="C213" s="149" t="str">
        <f>IFERROR(__xludf.DUMMYFUNCTION("""COMPUTED_VALUE"""),"GA")</f>
        <v>GA</v>
      </c>
      <c r="D213" s="149" t="str">
        <f>IFERROR(__xludf.DUMMYFUNCTION("""COMPUTED_VALUE"""),"USA")</f>
        <v>USA</v>
      </c>
      <c r="E213" s="156">
        <f>IFERROR(__xludf.DUMMYFUNCTION("""COMPUTED_VALUE"""),44434.0)</f>
        <v>44434</v>
      </c>
      <c r="F213" s="129">
        <f>IFERROR(__xludf.DUMMYFUNCTION("""COMPUTED_VALUE"""),44434.0)</f>
        <v>44434</v>
      </c>
      <c r="G213" s="154" t="str">
        <f>IFERROR(__xludf.DUMMYFUNCTION("""COMPUTED_VALUE"""),"Manage order page (normal text)")</f>
        <v>Manage order page (normal text)</v>
      </c>
      <c r="H213" s="131"/>
      <c r="I213" s="144"/>
      <c r="J213" s="129">
        <f>IFERROR(__xludf.DUMMYFUNCTION("""COMPUTED_VALUE"""),44450.0)</f>
        <v>44450</v>
      </c>
      <c r="K213" s="133">
        <f>IFERROR(__xludf.DUMMYFUNCTION("""COMPUTED_VALUE"""),0.0)</f>
        <v>0</v>
      </c>
      <c r="L213" s="133">
        <f>IFERROR(__xludf.DUMMYFUNCTION("""COMPUTED_VALUE"""),16.0)</f>
        <v>16</v>
      </c>
      <c r="M213" s="133">
        <f>IFERROR(__xludf.DUMMYFUNCTION("""COMPUTED_VALUE"""),16.0)</f>
        <v>16</v>
      </c>
      <c r="N213" s="152" t="str">
        <f>IFERROR(__xludf.DUMMYFUNCTION("""COMPUTED_VALUE"""),"Model 3 SR+")</f>
        <v>Model 3 SR+</v>
      </c>
      <c r="O213" s="152" t="str">
        <f>IFERROR(__xludf.DUMMYFUNCTION("""COMPUTED_VALUE"""),"Midnight Silver Metallic")</f>
        <v>Midnight Silver Metallic</v>
      </c>
      <c r="P213" s="153" t="str">
        <f>IFERROR(__xludf.DUMMYFUNCTION("""COMPUTED_VALUE"""),"18 inch")</f>
        <v>18 inch</v>
      </c>
      <c r="Q213" s="152" t="str">
        <f>IFERROR(__xludf.DUMMYFUNCTION("""COMPUTED_VALUE"""),"All Black")</f>
        <v>All Black</v>
      </c>
      <c r="R213" s="149" t="str">
        <f>IFERROR(__xludf.DUMMYFUNCTION("""COMPUTED_VALUE"""),"Autopilot included")</f>
        <v>Autopilot included</v>
      </c>
      <c r="S213" s="149" t="str">
        <f>IFERROR(__xludf.DUMMYFUNCTION("""COMPUTED_VALUE"""),"Loan")</f>
        <v>Loan</v>
      </c>
      <c r="T213" s="145" t="str">
        <f>IFERROR(__xludf.DUMMYFUNCTION("""COMPUTED_VALUE"""),"Ford Escape")</f>
        <v>Ford Escape</v>
      </c>
      <c r="U213" s="145" t="str">
        <f>IFERROR(__xludf.DUMMYFUNCTION("""COMPUTED_VALUE"""),"Autopilot")</f>
        <v>Autopilot</v>
      </c>
      <c r="V213" s="145" t="str">
        <f>IFERROR(__xludf.DUMMYFUNCTION("""COMPUTED_VALUE"""),"Apple CarPlay / Android Auto / SiriusXM Radio")</f>
        <v>Apple CarPlay / Android Auto / SiriusXM Radio</v>
      </c>
      <c r="W213" s="136"/>
      <c r="X213" s="137"/>
      <c r="Y213" s="138"/>
      <c r="Z213" s="138"/>
      <c r="AA213" s="138"/>
      <c r="AB213" s="138"/>
      <c r="AC213" s="139"/>
      <c r="AD213" s="139"/>
      <c r="AE213" s="139"/>
      <c r="AF213" s="140"/>
      <c r="AG213" s="136" t="str">
        <f>IFERROR(__xludf.DUMMYFUNCTION("""COMPUTED_VALUE"""),"Ended up getting the new Model 3 with LFP battery. Got VIN assigned same day as order. So excited!")</f>
        <v>Ended up getting the new Model 3 with LFP battery. Got VIN assigned same day as order. So excited!</v>
      </c>
      <c r="AH213" s="157">
        <f>IFERROR(__xludf.DUMMYFUNCTION("""COMPUTED_VALUE"""),44438.36422065972)</f>
        <v>44438.36422</v>
      </c>
      <c r="AI213" s="138"/>
      <c r="AJ213" s="138"/>
      <c r="AK213" s="138"/>
      <c r="AL213" s="142"/>
    </row>
    <row r="214" ht="20.25" customHeight="1">
      <c r="A214" s="155" t="str">
        <f>IFERROR(__xludf.DUMMYFUNCTION("""COMPUTED_VALUE"""),"mattg")</f>
        <v>mattg</v>
      </c>
      <c r="B214" s="149" t="str">
        <f>IFERROR(__xludf.DUMMYFUNCTION("""COMPUTED_VALUE"""),"Wexford")</f>
        <v>Wexford</v>
      </c>
      <c r="C214" s="149" t="str">
        <f>IFERROR(__xludf.DUMMYFUNCTION("""COMPUTED_VALUE"""),"PA")</f>
        <v>PA</v>
      </c>
      <c r="D214" s="149" t="str">
        <f>IFERROR(__xludf.DUMMYFUNCTION("""COMPUTED_VALUE"""),"USA")</f>
        <v>USA</v>
      </c>
      <c r="E214" s="156">
        <f>IFERROR(__xludf.DUMMYFUNCTION("""COMPUTED_VALUE"""),44434.0)</f>
        <v>44434</v>
      </c>
      <c r="F214" s="129">
        <f>IFERROR(__xludf.DUMMYFUNCTION("""COMPUTED_VALUE"""),44471.0)</f>
        <v>44471</v>
      </c>
      <c r="G214" s="154" t="str">
        <f>IFERROR(__xludf.DUMMYFUNCTION("""COMPUTED_VALUE"""),"Manage order page (normal text)")</f>
        <v>Manage order page (normal text)</v>
      </c>
      <c r="H214" s="131">
        <f>IFERROR(__xludf.DUMMYFUNCTION("""COMPUTED_VALUE"""),79555.0)</f>
        <v>79555</v>
      </c>
      <c r="I214" s="144"/>
      <c r="J214" s="129">
        <f>IFERROR(__xludf.DUMMYFUNCTION("""COMPUTED_VALUE"""),44477.0)</f>
        <v>44477</v>
      </c>
      <c r="K214" s="133">
        <f>IFERROR(__xludf.DUMMYFUNCTION("""COMPUTED_VALUE"""),37.0)</f>
        <v>37</v>
      </c>
      <c r="L214" s="133">
        <f>IFERROR(__xludf.DUMMYFUNCTION("""COMPUTED_VALUE"""),6.0)</f>
        <v>6</v>
      </c>
      <c r="M214" s="133">
        <f>IFERROR(__xludf.DUMMYFUNCTION("""COMPUTED_VALUE"""),43.0)</f>
        <v>43</v>
      </c>
      <c r="N214" s="152" t="str">
        <f>IFERROR(__xludf.DUMMYFUNCTION("""COMPUTED_VALUE"""),"Model 3 LR AWD")</f>
        <v>Model 3 LR AWD</v>
      </c>
      <c r="O214" s="152" t="str">
        <f>IFERROR(__xludf.DUMMYFUNCTION("""COMPUTED_VALUE"""),"Pearl White Multi-Coat")</f>
        <v>Pearl White Multi-Coat</v>
      </c>
      <c r="P214" s="153" t="str">
        <f>IFERROR(__xludf.DUMMYFUNCTION("""COMPUTED_VALUE"""),"18 inch")</f>
        <v>18 inch</v>
      </c>
      <c r="Q214" s="152" t="str">
        <f>IFERROR(__xludf.DUMMYFUNCTION("""COMPUTED_VALUE"""),"Black and White")</f>
        <v>Black and White</v>
      </c>
      <c r="R214" s="149" t="str">
        <f>IFERROR(__xludf.DUMMYFUNCTION("""COMPUTED_VALUE"""),"Autopilot included")</f>
        <v>Autopilot included</v>
      </c>
      <c r="S214" s="149" t="str">
        <f>IFERROR(__xludf.DUMMYFUNCTION("""COMPUTED_VALUE"""),"Cash")</f>
        <v>Cash</v>
      </c>
      <c r="T214" s="145" t="str">
        <f>IFERROR(__xludf.DUMMYFUNCTION("""COMPUTED_VALUE"""),"Honda Civic")</f>
        <v>Honda Civic</v>
      </c>
      <c r="U214" s="145" t="str">
        <f>IFERROR(__xludf.DUMMYFUNCTION("""COMPUTED_VALUE"""),"Speed")</f>
        <v>Speed</v>
      </c>
      <c r="V214" s="145" t="str">
        <f>IFERROR(__xludf.DUMMYFUNCTION("""COMPUTED_VALUE"""),"Apple CarPlay / Android Auto / SiriusXM Radio")</f>
        <v>Apple CarPlay / Android Auto / SiriusXM Radio</v>
      </c>
      <c r="W214" s="145"/>
      <c r="X214" s="137"/>
      <c r="Y214" s="138"/>
      <c r="Z214" s="138"/>
      <c r="AA214" s="138"/>
      <c r="AB214" s="138"/>
      <c r="AC214" s="139"/>
      <c r="AD214" s="139"/>
      <c r="AE214" s="139"/>
      <c r="AF214" s="140"/>
      <c r="AG214" s="145"/>
      <c r="AH214" s="157">
        <f>IFERROR(__xludf.DUMMYFUNCTION("""COMPUTED_VALUE"""),44472.372634085645)</f>
        <v>44472.37263</v>
      </c>
      <c r="AI214" s="138"/>
      <c r="AJ214" s="138"/>
      <c r="AK214" s="138"/>
      <c r="AL214" s="142"/>
    </row>
    <row r="215" ht="20.25" customHeight="1">
      <c r="A215" s="155" t="str">
        <f>IFERROR(__xludf.DUMMYFUNCTION("""COMPUTED_VALUE"""),"ortonj90")</f>
        <v>ortonj90</v>
      </c>
      <c r="B215" s="149" t="str">
        <f>IFERROR(__xludf.DUMMYFUNCTION("""COMPUTED_VALUE"""),"Fremont")</f>
        <v>Fremont</v>
      </c>
      <c r="C215" s="149" t="str">
        <f>IFERROR(__xludf.DUMMYFUNCTION("""COMPUTED_VALUE"""),"CA")</f>
        <v>CA</v>
      </c>
      <c r="D215" s="149" t="str">
        <f>IFERROR(__xludf.DUMMYFUNCTION("""COMPUTED_VALUE"""),"USA")</f>
        <v>USA</v>
      </c>
      <c r="E215" s="156">
        <f>IFERROR(__xludf.DUMMYFUNCTION("""COMPUTED_VALUE"""),44434.0)</f>
        <v>44434</v>
      </c>
      <c r="F215" s="129"/>
      <c r="G215" s="154"/>
      <c r="H215" s="131"/>
      <c r="I215" s="144"/>
      <c r="J215" s="129"/>
      <c r="K215" s="133"/>
      <c r="L215" s="133"/>
      <c r="M215" s="133"/>
      <c r="N215" s="152" t="str">
        <f>IFERROR(__xludf.DUMMYFUNCTION("""COMPUTED_VALUE"""),"Model 3 LR AWD")</f>
        <v>Model 3 LR AWD</v>
      </c>
      <c r="O215" s="152" t="str">
        <f>IFERROR(__xludf.DUMMYFUNCTION("""COMPUTED_VALUE"""),"Pearl White Multi-Coat")</f>
        <v>Pearl White Multi-Coat</v>
      </c>
      <c r="P215" s="153" t="str">
        <f>IFERROR(__xludf.DUMMYFUNCTION("""COMPUTED_VALUE"""),"18 inch")</f>
        <v>18 inch</v>
      </c>
      <c r="Q215" s="152" t="str">
        <f>IFERROR(__xludf.DUMMYFUNCTION("""COMPUTED_VALUE"""),"All Black")</f>
        <v>All Black</v>
      </c>
      <c r="R215" s="149" t="str">
        <f>IFERROR(__xludf.DUMMYFUNCTION("""COMPUTED_VALUE"""),"Autopilot included")</f>
        <v>Autopilot included</v>
      </c>
      <c r="S215" s="149" t="str">
        <f>IFERROR(__xludf.DUMMYFUNCTION("""COMPUTED_VALUE"""),"Loan")</f>
        <v>Loan</v>
      </c>
      <c r="T215" s="145" t="str">
        <f>IFERROR(__xludf.DUMMYFUNCTION("""COMPUTED_VALUE"""),"Model 3 will be my first car!")</f>
        <v>Model 3 will be my first car!</v>
      </c>
      <c r="U215" s="145" t="str">
        <f>IFERROR(__xludf.DUMMYFUNCTION("""COMPUTED_VALUE"""),"Electric!")</f>
        <v>Electric!</v>
      </c>
      <c r="V215" s="145" t="str">
        <f>IFERROR(__xludf.DUMMYFUNCTION("""COMPUTED_VALUE"""),"Apple CarPlay / Android Auto / SiriusXM Radio")</f>
        <v>Apple CarPlay / Android Auto / SiriusXM Radio</v>
      </c>
      <c r="W215" s="136"/>
      <c r="X215" s="137"/>
      <c r="Y215" s="138"/>
      <c r="Z215" s="138"/>
      <c r="AA215" s="138"/>
      <c r="AB215" s="138"/>
      <c r="AC215" s="139"/>
      <c r="AD215" s="139"/>
      <c r="AE215" s="139"/>
      <c r="AF215" s="140"/>
      <c r="AG215" s="136"/>
      <c r="AH215" s="157">
        <f>IFERROR(__xludf.DUMMYFUNCTION("""COMPUTED_VALUE"""),44434.53615039352)</f>
        <v>44434.53615</v>
      </c>
      <c r="AI215" s="138"/>
      <c r="AJ215" s="138"/>
      <c r="AK215" s="138"/>
      <c r="AL215" s="142"/>
    </row>
    <row r="216" ht="20.25" customHeight="1">
      <c r="A216" s="155" t="str">
        <f>IFERROR(__xludf.DUMMYFUNCTION("""COMPUTED_VALUE"""),"Radwick")</f>
        <v>Radwick</v>
      </c>
      <c r="B216" s="149" t="str">
        <f>IFERROR(__xludf.DUMMYFUNCTION("""COMPUTED_VALUE"""),"Las Vegas")</f>
        <v>Las Vegas</v>
      </c>
      <c r="C216" s="149" t="str">
        <f>IFERROR(__xludf.DUMMYFUNCTION("""COMPUTED_VALUE"""),"NV")</f>
        <v>NV</v>
      </c>
      <c r="D216" s="149" t="str">
        <f>IFERROR(__xludf.DUMMYFUNCTION("""COMPUTED_VALUE"""),"USA")</f>
        <v>USA</v>
      </c>
      <c r="E216" s="156">
        <f>IFERROR(__xludf.DUMMYFUNCTION("""COMPUTED_VALUE"""),44434.0)</f>
        <v>44434</v>
      </c>
      <c r="F216" s="129">
        <f>IFERROR(__xludf.DUMMYFUNCTION("""COMPUTED_VALUE"""),44434.0)</f>
        <v>44434</v>
      </c>
      <c r="G216" s="154" t="str">
        <f>IFERROR(__xludf.DUMMYFUNCTION("""COMPUTED_VALUE"""),"Manage order page (normal text)")</f>
        <v>Manage order page (normal text)</v>
      </c>
      <c r="H216" s="131">
        <f>IFERROR(__xludf.DUMMYFUNCTION("""COMPUTED_VALUE"""),48882.0)</f>
        <v>48882</v>
      </c>
      <c r="I216" s="144" t="str">
        <f>IFERROR(__xludf.DUMMYFUNCTION("""COMPUTED_VALUE"""),"08/21")</f>
        <v>08/21</v>
      </c>
      <c r="J216" s="129">
        <f>IFERROR(__xludf.DUMMYFUNCTION("""COMPUTED_VALUE"""),44445.0)</f>
        <v>44445</v>
      </c>
      <c r="K216" s="133">
        <f>IFERROR(__xludf.DUMMYFUNCTION("""COMPUTED_VALUE"""),0.0)</f>
        <v>0</v>
      </c>
      <c r="L216" s="133">
        <f>IFERROR(__xludf.DUMMYFUNCTION("""COMPUTED_VALUE"""),11.0)</f>
        <v>11</v>
      </c>
      <c r="M216" s="133">
        <f>IFERROR(__xludf.DUMMYFUNCTION("""COMPUTED_VALUE"""),11.0)</f>
        <v>11</v>
      </c>
      <c r="N216" s="152" t="str">
        <f>IFERROR(__xludf.DUMMYFUNCTION("""COMPUTED_VALUE"""),"Model 3 SR+")</f>
        <v>Model 3 SR+</v>
      </c>
      <c r="O216" s="152" t="str">
        <f>IFERROR(__xludf.DUMMYFUNCTION("""COMPUTED_VALUE"""),"Deep Blue Metallic")</f>
        <v>Deep Blue Metallic</v>
      </c>
      <c r="P216" s="153" t="str">
        <f>IFERROR(__xludf.DUMMYFUNCTION("""COMPUTED_VALUE"""),"19 inch")</f>
        <v>19 inch</v>
      </c>
      <c r="Q216" s="152" t="str">
        <f>IFERROR(__xludf.DUMMYFUNCTION("""COMPUTED_VALUE"""),"Black and White")</f>
        <v>Black and White</v>
      </c>
      <c r="R216" s="149" t="str">
        <f>IFERROR(__xludf.DUMMYFUNCTION("""COMPUTED_VALUE"""),"Autopilot included")</f>
        <v>Autopilot included</v>
      </c>
      <c r="S216" s="149" t="str">
        <f>IFERROR(__xludf.DUMMYFUNCTION("""COMPUTED_VALUE"""),"Loan")</f>
        <v>Loan</v>
      </c>
      <c r="T216" s="145" t="str">
        <f>IFERROR(__xludf.DUMMYFUNCTION("""COMPUTED_VALUE"""),"Lexus NX 200t")</f>
        <v>Lexus NX 200t</v>
      </c>
      <c r="U216" s="145" t="str">
        <f>IFERROR(__xludf.DUMMYFUNCTION("""COMPUTED_VALUE"""),"Electric!")</f>
        <v>Electric!</v>
      </c>
      <c r="V216" s="145" t="str">
        <f>IFERROR(__xludf.DUMMYFUNCTION("""COMPUTED_VALUE"""),"360° Bird's eye view")</f>
        <v>360° Bird's eye view</v>
      </c>
      <c r="W216" s="136"/>
      <c r="X216" s="137" t="str">
        <f>IFERROR(__xludf.DUMMYFUNCTION("""COMPUTED_VALUE"""),"Excellent")</f>
        <v>Excellent</v>
      </c>
      <c r="Y216" s="138" t="str">
        <f>IFERROR(__xludf.DUMMYFUNCTION("""COMPUTED_VALUE"""),"Excellent")</f>
        <v>Excellent</v>
      </c>
      <c r="Z216" s="138" t="str">
        <f>IFERROR(__xludf.DUMMYFUNCTION("""COMPUTED_VALUE"""),"Excellent")</f>
        <v>Excellent</v>
      </c>
      <c r="AA216" s="138" t="str">
        <f>IFERROR(__xludf.DUMMYFUNCTION("""COMPUTED_VALUE"""),"Good")</f>
        <v>Good</v>
      </c>
      <c r="AB216" s="138" t="str">
        <f>IFERROR(__xludf.DUMMYFUNCTION("""COMPUTED_VALUE"""),"Excellent")</f>
        <v>Excellent</v>
      </c>
      <c r="AC216" s="139"/>
      <c r="AD216" s="139"/>
      <c r="AE216" s="139"/>
      <c r="AF216" s="140" t="str">
        <f>IFERROR(__xludf.DUMMYFUNCTION("""COMPUTED_VALUE"""),"No. I took delivery of the first car Tesla was able to deliver.")</f>
        <v>No. I took delivery of the first car Tesla was able to deliver.</v>
      </c>
      <c r="AG216" s="136"/>
      <c r="AH216" s="157">
        <f>IFERROR(__xludf.DUMMYFUNCTION("""COMPUTED_VALUE"""),44450.47288262731)</f>
        <v>44450.47288</v>
      </c>
      <c r="AI216" s="138"/>
      <c r="AJ216" s="138"/>
      <c r="AK216" s="138"/>
      <c r="AL216" s="142"/>
    </row>
    <row r="217" ht="20.25" customHeight="1">
      <c r="A217" s="155" t="str">
        <f>IFERROR(__xludf.DUMMYFUNCTION("""COMPUTED_VALUE"""),"rbarbera26")</f>
        <v>rbarbera26</v>
      </c>
      <c r="B217" s="149" t="str">
        <f>IFERROR(__xludf.DUMMYFUNCTION("""COMPUTED_VALUE"""),"Boston")</f>
        <v>Boston</v>
      </c>
      <c r="C217" s="149" t="str">
        <f>IFERROR(__xludf.DUMMYFUNCTION("""COMPUTED_VALUE"""),"MA")</f>
        <v>MA</v>
      </c>
      <c r="D217" s="149" t="str">
        <f>IFERROR(__xludf.DUMMYFUNCTION("""COMPUTED_VALUE"""),"USA")</f>
        <v>USA</v>
      </c>
      <c r="E217" s="156">
        <f>IFERROR(__xludf.DUMMYFUNCTION("""COMPUTED_VALUE"""),44434.0)</f>
        <v>44434</v>
      </c>
      <c r="F217" s="129">
        <f>IFERROR(__xludf.DUMMYFUNCTION("""COMPUTED_VALUE"""),44434.0)</f>
        <v>44434</v>
      </c>
      <c r="G217" s="154" t="str">
        <f>IFERROR(__xludf.DUMMYFUNCTION("""COMPUTED_VALUE"""),"Manage order page (normal text)")</f>
        <v>Manage order page (normal text)</v>
      </c>
      <c r="H217" s="131"/>
      <c r="I217" s="144"/>
      <c r="J217" s="129">
        <f>IFERROR(__xludf.DUMMYFUNCTION("""COMPUTED_VALUE"""),44447.0)</f>
        <v>44447</v>
      </c>
      <c r="K217" s="133">
        <f>IFERROR(__xludf.DUMMYFUNCTION("""COMPUTED_VALUE"""),0.0)</f>
        <v>0</v>
      </c>
      <c r="L217" s="133">
        <f>IFERROR(__xludf.DUMMYFUNCTION("""COMPUTED_VALUE"""),13.0)</f>
        <v>13</v>
      </c>
      <c r="M217" s="133">
        <f>IFERROR(__xludf.DUMMYFUNCTION("""COMPUTED_VALUE"""),13.0)</f>
        <v>13</v>
      </c>
      <c r="N217" s="152" t="str">
        <f>IFERROR(__xludf.DUMMYFUNCTION("""COMPUTED_VALUE"""),"Model 3 SR+")</f>
        <v>Model 3 SR+</v>
      </c>
      <c r="O217" s="152" t="str">
        <f>IFERROR(__xludf.DUMMYFUNCTION("""COMPUTED_VALUE"""),"Deep Blue Metallic")</f>
        <v>Deep Blue Metallic</v>
      </c>
      <c r="P217" s="153" t="str">
        <f>IFERROR(__xludf.DUMMYFUNCTION("""COMPUTED_VALUE"""),"18 inch")</f>
        <v>18 inch</v>
      </c>
      <c r="Q217" s="152" t="str">
        <f>IFERROR(__xludf.DUMMYFUNCTION("""COMPUTED_VALUE"""),"All Black")</f>
        <v>All Black</v>
      </c>
      <c r="R217" s="149" t="str">
        <f>IFERROR(__xludf.DUMMYFUNCTION("""COMPUTED_VALUE"""),"Autopilot included")</f>
        <v>Autopilot included</v>
      </c>
      <c r="S217" s="149" t="str">
        <f>IFERROR(__xludf.DUMMYFUNCTION("""COMPUTED_VALUE"""),"Loan")</f>
        <v>Loan</v>
      </c>
      <c r="T217" s="145" t="str">
        <f>IFERROR(__xludf.DUMMYFUNCTION("""COMPUTED_VALUE"""),"Jeep Patriot")</f>
        <v>Jeep Patriot</v>
      </c>
      <c r="U217" s="145" t="str">
        <f>IFERROR(__xludf.DUMMYFUNCTION("""COMPUTED_VALUE"""),"Electric!")</f>
        <v>Electric!</v>
      </c>
      <c r="V217" s="145" t="str">
        <f>IFERROR(__xludf.DUMMYFUNCTION("""COMPUTED_VALUE"""),"360° Bird's eye view")</f>
        <v>360° Bird's eye view</v>
      </c>
      <c r="W217" s="145"/>
      <c r="X217" s="137"/>
      <c r="Y217" s="138"/>
      <c r="Z217" s="138"/>
      <c r="AA217" s="138"/>
      <c r="AB217" s="138"/>
      <c r="AC217" s="139"/>
      <c r="AD217" s="139"/>
      <c r="AE217" s="139"/>
      <c r="AF217" s="140"/>
      <c r="AG217" s="145"/>
      <c r="AH217" s="157">
        <f>IFERROR(__xludf.DUMMYFUNCTION("""COMPUTED_VALUE"""),44442.55363469908)</f>
        <v>44442.55363</v>
      </c>
      <c r="AI217" s="138"/>
      <c r="AJ217" s="138"/>
      <c r="AK217" s="138"/>
      <c r="AL217" s="142"/>
    </row>
    <row r="218" ht="20.25" customHeight="1">
      <c r="A218" s="155" t="str">
        <f>IFERROR(__xludf.DUMMYFUNCTION("""COMPUTED_VALUE"""),"Xarthan")</f>
        <v>Xarthan</v>
      </c>
      <c r="B218" s="149"/>
      <c r="C218" s="149" t="str">
        <f>IFERROR(__xludf.DUMMYFUNCTION("""COMPUTED_VALUE"""),"OR")</f>
        <v>OR</v>
      </c>
      <c r="D218" s="149" t="str">
        <f>IFERROR(__xludf.DUMMYFUNCTION("""COMPUTED_VALUE"""),"USA")</f>
        <v>USA</v>
      </c>
      <c r="E218" s="156">
        <f>IFERROR(__xludf.DUMMYFUNCTION("""COMPUTED_VALUE"""),44434.0)</f>
        <v>44434</v>
      </c>
      <c r="F218" s="129">
        <f>IFERROR(__xludf.DUMMYFUNCTION("""COMPUTED_VALUE"""),44434.0)</f>
        <v>44434</v>
      </c>
      <c r="G218" s="154" t="str">
        <f>IFERROR(__xludf.DUMMYFUNCTION("""COMPUTED_VALUE"""),"Manage order page (normal text)")</f>
        <v>Manage order page (normal text)</v>
      </c>
      <c r="H218" s="131"/>
      <c r="I218" s="144" t="str">
        <f>IFERROR(__xludf.DUMMYFUNCTION("""COMPUTED_VALUE"""),"08/21")</f>
        <v>08/21</v>
      </c>
      <c r="J218" s="129">
        <f>IFERROR(__xludf.DUMMYFUNCTION("""COMPUTED_VALUE"""),44442.0)</f>
        <v>44442</v>
      </c>
      <c r="K218" s="133">
        <f>IFERROR(__xludf.DUMMYFUNCTION("""COMPUTED_VALUE"""),0.0)</f>
        <v>0</v>
      </c>
      <c r="L218" s="133">
        <f>IFERROR(__xludf.DUMMYFUNCTION("""COMPUTED_VALUE"""),8.0)</f>
        <v>8</v>
      </c>
      <c r="M218" s="133">
        <f>IFERROR(__xludf.DUMMYFUNCTION("""COMPUTED_VALUE"""),8.0)</f>
        <v>8</v>
      </c>
      <c r="N218" s="152" t="str">
        <f>IFERROR(__xludf.DUMMYFUNCTION("""COMPUTED_VALUE"""),"Model 3 SR+")</f>
        <v>Model 3 SR+</v>
      </c>
      <c r="O218" s="152" t="str">
        <f>IFERROR(__xludf.DUMMYFUNCTION("""COMPUTED_VALUE"""),"Pearl White Multi-Coat")</f>
        <v>Pearl White Multi-Coat</v>
      </c>
      <c r="P218" s="153" t="str">
        <f>IFERROR(__xludf.DUMMYFUNCTION("""COMPUTED_VALUE"""),"18 inch")</f>
        <v>18 inch</v>
      </c>
      <c r="Q218" s="152" t="str">
        <f>IFERROR(__xludf.DUMMYFUNCTION("""COMPUTED_VALUE"""),"All Black")</f>
        <v>All Black</v>
      </c>
      <c r="R218" s="149" t="str">
        <f>IFERROR(__xludf.DUMMYFUNCTION("""COMPUTED_VALUE"""),"Autopilot included")</f>
        <v>Autopilot included</v>
      </c>
      <c r="S218" s="149"/>
      <c r="T218" s="145"/>
      <c r="U218" s="145"/>
      <c r="V218" s="145"/>
      <c r="W218" s="145"/>
      <c r="X218" s="137"/>
      <c r="Y218" s="138"/>
      <c r="Z218" s="138"/>
      <c r="AA218" s="138"/>
      <c r="AB218" s="138"/>
      <c r="AC218" s="139"/>
      <c r="AD218" s="139"/>
      <c r="AE218" s="139"/>
      <c r="AF218" s="140"/>
      <c r="AG218" s="145"/>
      <c r="AH218" s="157">
        <f>IFERROR(__xludf.DUMMYFUNCTION("""COMPUTED_VALUE"""),44444.36510545139)</f>
        <v>44444.36511</v>
      </c>
      <c r="AI218" s="138"/>
      <c r="AJ218" s="138"/>
      <c r="AK218" s="138"/>
      <c r="AL218" s="142"/>
    </row>
    <row r="219" ht="20.25" customHeight="1">
      <c r="A219" s="155" t="str">
        <f>IFERROR(__xludf.DUMMYFUNCTION("""COMPUTED_VALUE"""),"CSpat")</f>
        <v>CSpat</v>
      </c>
      <c r="B219" s="149" t="str">
        <f>IFERROR(__xludf.DUMMYFUNCTION("""COMPUTED_VALUE"""),"KC")</f>
        <v>KC</v>
      </c>
      <c r="C219" s="149" t="str">
        <f>IFERROR(__xludf.DUMMYFUNCTION("""COMPUTED_VALUE"""),"MO")</f>
        <v>MO</v>
      </c>
      <c r="D219" s="149" t="str">
        <f>IFERROR(__xludf.DUMMYFUNCTION("""COMPUTED_VALUE"""),"USA")</f>
        <v>USA</v>
      </c>
      <c r="E219" s="156">
        <f>IFERROR(__xludf.DUMMYFUNCTION("""COMPUTED_VALUE"""),44433.0)</f>
        <v>44433</v>
      </c>
      <c r="F219" s="129"/>
      <c r="G219" s="154"/>
      <c r="H219" s="131"/>
      <c r="I219" s="144"/>
      <c r="J219" s="129"/>
      <c r="K219" s="133"/>
      <c r="L219" s="133"/>
      <c r="M219" s="133"/>
      <c r="N219" s="152" t="str">
        <f>IFERROR(__xludf.DUMMYFUNCTION("""COMPUTED_VALUE"""),"Model 3 LR AWD")</f>
        <v>Model 3 LR AWD</v>
      </c>
      <c r="O219" s="152" t="str">
        <f>IFERROR(__xludf.DUMMYFUNCTION("""COMPUTED_VALUE"""),"Midnight Silver Metallic")</f>
        <v>Midnight Silver Metallic</v>
      </c>
      <c r="P219" s="153" t="str">
        <f>IFERROR(__xludf.DUMMYFUNCTION("""COMPUTED_VALUE"""),"18 inch")</f>
        <v>18 inch</v>
      </c>
      <c r="Q219" s="152" t="str">
        <f>IFERROR(__xludf.DUMMYFUNCTION("""COMPUTED_VALUE"""),"All Black")</f>
        <v>All Black</v>
      </c>
      <c r="R219" s="149" t="str">
        <f>IFERROR(__xludf.DUMMYFUNCTION("""COMPUTED_VALUE"""),"Autopilot included")</f>
        <v>Autopilot included</v>
      </c>
      <c r="S219" s="149"/>
      <c r="T219" s="145"/>
      <c r="U219" s="145"/>
      <c r="V219" s="145" t="str">
        <f>IFERROR(__xludf.DUMMYFUNCTION("""COMPUTED_VALUE"""),"Ventilated seats")</f>
        <v>Ventilated seats</v>
      </c>
      <c r="W219" s="145"/>
      <c r="X219" s="137"/>
      <c r="Y219" s="138"/>
      <c r="Z219" s="138"/>
      <c r="AA219" s="138"/>
      <c r="AB219" s="138"/>
      <c r="AC219" s="139"/>
      <c r="AD219" s="139"/>
      <c r="AE219" s="139"/>
      <c r="AF219" s="140"/>
      <c r="AG219" s="145" t="str">
        <f>IFERROR(__xludf.DUMMYFUNCTION("""COMPUTED_VALUE"""),"Original Order was a SR+ on 8/11 but modified to LR")</f>
        <v>Original Order was a SR+ on 8/11 but modified to LR</v>
      </c>
      <c r="AH219" s="157">
        <f>IFERROR(__xludf.DUMMYFUNCTION("""COMPUTED_VALUE"""),44440.63772086805)</f>
        <v>44440.63772</v>
      </c>
      <c r="AI219" s="138"/>
      <c r="AJ219" s="138"/>
      <c r="AK219" s="138"/>
      <c r="AL219" s="142"/>
    </row>
    <row r="220" ht="20.25" customHeight="1">
      <c r="A220" s="155" t="str">
        <f>IFERROR(__xludf.DUMMYFUNCTION("""COMPUTED_VALUE"""),"moomoo")</f>
        <v>moomoo</v>
      </c>
      <c r="B220" s="149" t="str">
        <f>IFERROR(__xludf.DUMMYFUNCTION("""COMPUTED_VALUE"""),"Fairfax")</f>
        <v>Fairfax</v>
      </c>
      <c r="C220" s="149" t="str">
        <f>IFERROR(__xludf.DUMMYFUNCTION("""COMPUTED_VALUE"""),"VA")</f>
        <v>VA</v>
      </c>
      <c r="D220" s="149" t="str">
        <f>IFERROR(__xludf.DUMMYFUNCTION("""COMPUTED_VALUE"""),"USA")</f>
        <v>USA</v>
      </c>
      <c r="E220" s="156">
        <f>IFERROR(__xludf.DUMMYFUNCTION("""COMPUTED_VALUE"""),44433.0)</f>
        <v>44433</v>
      </c>
      <c r="F220" s="129">
        <f>IFERROR(__xludf.DUMMYFUNCTION("""COMPUTED_VALUE"""),44447.0)</f>
        <v>44447</v>
      </c>
      <c r="G220" s="154" t="str">
        <f>IFERROR(__xludf.DUMMYFUNCTION("""COMPUTED_VALUE"""),"Manage order page (normal text)")</f>
        <v>Manage order page (normal text)</v>
      </c>
      <c r="H220" s="131"/>
      <c r="I220" s="144"/>
      <c r="J220" s="129">
        <f>IFERROR(__xludf.DUMMYFUNCTION("""COMPUTED_VALUE"""),44461.0)</f>
        <v>44461</v>
      </c>
      <c r="K220" s="133">
        <f>IFERROR(__xludf.DUMMYFUNCTION("""COMPUTED_VALUE"""),14.0)</f>
        <v>14</v>
      </c>
      <c r="L220" s="133">
        <f>IFERROR(__xludf.DUMMYFUNCTION("""COMPUTED_VALUE"""),14.0)</f>
        <v>14</v>
      </c>
      <c r="M220" s="133">
        <f>IFERROR(__xludf.DUMMYFUNCTION("""COMPUTED_VALUE"""),28.0)</f>
        <v>28</v>
      </c>
      <c r="N220" s="152" t="str">
        <f>IFERROR(__xludf.DUMMYFUNCTION("""COMPUTED_VALUE"""),"Model 3 LR AWD")</f>
        <v>Model 3 LR AWD</v>
      </c>
      <c r="O220" s="152" t="str">
        <f>IFERROR(__xludf.DUMMYFUNCTION("""COMPUTED_VALUE"""),"Pearl White Multi-Coat")</f>
        <v>Pearl White Multi-Coat</v>
      </c>
      <c r="P220" s="153" t="str">
        <f>IFERROR(__xludf.DUMMYFUNCTION("""COMPUTED_VALUE"""),"18 inch")</f>
        <v>18 inch</v>
      </c>
      <c r="Q220" s="152" t="str">
        <f>IFERROR(__xludf.DUMMYFUNCTION("""COMPUTED_VALUE"""),"All Black")</f>
        <v>All Black</v>
      </c>
      <c r="R220" s="149" t="str">
        <f>IFERROR(__xludf.DUMMYFUNCTION("""COMPUTED_VALUE"""),"Autopilot included")</f>
        <v>Autopilot included</v>
      </c>
      <c r="S220" s="149" t="str">
        <f>IFERROR(__xludf.DUMMYFUNCTION("""COMPUTED_VALUE"""),"Loan")</f>
        <v>Loan</v>
      </c>
      <c r="T220" s="145" t="str">
        <f>IFERROR(__xludf.DUMMYFUNCTION("""COMPUTED_VALUE"""),"M2C")</f>
        <v>M2C</v>
      </c>
      <c r="U220" s="145" t="str">
        <f>IFERROR(__xludf.DUMMYFUNCTION("""COMPUTED_VALUE"""),"Electric!")</f>
        <v>Electric!</v>
      </c>
      <c r="V220" s="145" t="str">
        <f>IFERROR(__xludf.DUMMYFUNCTION("""COMPUTED_VALUE"""),"Apple CarPlay / Android Auto / SiriusXM Radio")</f>
        <v>Apple CarPlay / Android Auto / SiriusXM Radio</v>
      </c>
      <c r="W220" s="145"/>
      <c r="X220" s="137"/>
      <c r="Y220" s="138"/>
      <c r="Z220" s="138"/>
      <c r="AA220" s="138"/>
      <c r="AB220" s="138"/>
      <c r="AC220" s="139"/>
      <c r="AD220" s="139"/>
      <c r="AE220" s="139"/>
      <c r="AF220" s="140"/>
      <c r="AG220" s="145"/>
      <c r="AH220" s="157">
        <f>IFERROR(__xludf.DUMMYFUNCTION("""COMPUTED_VALUE"""),44452.50250296297)</f>
        <v>44452.5025</v>
      </c>
      <c r="AI220" s="138"/>
      <c r="AJ220" s="138"/>
      <c r="AK220" s="138"/>
      <c r="AL220" s="142"/>
    </row>
    <row r="221" ht="20.25" customHeight="1">
      <c r="A221" s="155" t="str">
        <f>IFERROR(__xludf.DUMMYFUNCTION("""COMPUTED_VALUE"""),"MPang14")</f>
        <v>MPang14</v>
      </c>
      <c r="B221" s="149" t="str">
        <f>IFERROR(__xludf.DUMMYFUNCTION("""COMPUTED_VALUE"""),"Orange County")</f>
        <v>Orange County</v>
      </c>
      <c r="C221" s="149" t="str">
        <f>IFERROR(__xludf.DUMMYFUNCTION("""COMPUTED_VALUE"""),"CA")</f>
        <v>CA</v>
      </c>
      <c r="D221" s="149" t="str">
        <f>IFERROR(__xludf.DUMMYFUNCTION("""COMPUTED_VALUE"""),"USA")</f>
        <v>USA</v>
      </c>
      <c r="E221" s="156">
        <f>IFERROR(__xludf.DUMMYFUNCTION("""COMPUTED_VALUE"""),44433.0)</f>
        <v>44433</v>
      </c>
      <c r="F221" s="129"/>
      <c r="G221" s="154"/>
      <c r="H221" s="131"/>
      <c r="I221" s="144"/>
      <c r="J221" s="129"/>
      <c r="K221" s="133"/>
      <c r="L221" s="133"/>
      <c r="M221" s="133"/>
      <c r="N221" s="152" t="str">
        <f>IFERROR(__xludf.DUMMYFUNCTION("""COMPUTED_VALUE"""),"Model 3 LR AWD")</f>
        <v>Model 3 LR AWD</v>
      </c>
      <c r="O221" s="152" t="str">
        <f>IFERROR(__xludf.DUMMYFUNCTION("""COMPUTED_VALUE"""),"Deep Blue Metallic")</f>
        <v>Deep Blue Metallic</v>
      </c>
      <c r="P221" s="153" t="str">
        <f>IFERROR(__xludf.DUMMYFUNCTION("""COMPUTED_VALUE"""),"18 inch")</f>
        <v>18 inch</v>
      </c>
      <c r="Q221" s="152" t="str">
        <f>IFERROR(__xludf.DUMMYFUNCTION("""COMPUTED_VALUE"""),"Black and White")</f>
        <v>Black and White</v>
      </c>
      <c r="R221" s="149" t="str">
        <f>IFERROR(__xludf.DUMMYFUNCTION("""COMPUTED_VALUE"""),"Autopilot included")</f>
        <v>Autopilot included</v>
      </c>
      <c r="S221" s="149" t="str">
        <f>IFERROR(__xludf.DUMMYFUNCTION("""COMPUTED_VALUE"""),"Cash")</f>
        <v>Cash</v>
      </c>
      <c r="T221" s="145" t="str">
        <f>IFERROR(__xludf.DUMMYFUNCTION("""COMPUTED_VALUE"""),"Toyota Prius")</f>
        <v>Toyota Prius</v>
      </c>
      <c r="U221" s="145" t="str">
        <f>IFERROR(__xludf.DUMMYFUNCTION("""COMPUTED_VALUE"""),"Electric!")</f>
        <v>Electric!</v>
      </c>
      <c r="V221" s="145" t="str">
        <f>IFERROR(__xludf.DUMMYFUNCTION("""COMPUTED_VALUE"""),"Apple CarPlay / Android Auto / SiriusXM Radio")</f>
        <v>Apple CarPlay / Android Auto / SiriusXM Radio</v>
      </c>
      <c r="W221" s="145"/>
      <c r="X221" s="137"/>
      <c r="Y221" s="138"/>
      <c r="Z221" s="138"/>
      <c r="AA221" s="138"/>
      <c r="AB221" s="138"/>
      <c r="AC221" s="139"/>
      <c r="AD221" s="139"/>
      <c r="AE221" s="139"/>
      <c r="AF221" s="140"/>
      <c r="AG221" s="145"/>
      <c r="AH221" s="157">
        <f>IFERROR(__xludf.DUMMYFUNCTION("""COMPUTED_VALUE"""),44433.60480601852)</f>
        <v>44433.60481</v>
      </c>
      <c r="AI221" s="138"/>
      <c r="AJ221" s="138"/>
      <c r="AK221" s="138"/>
      <c r="AL221" s="142"/>
    </row>
    <row r="222" ht="20.25" customHeight="1">
      <c r="A222" s="155" t="str">
        <f>IFERROR(__xludf.DUMMYFUNCTION("""COMPUTED_VALUE"""),"MyPianoMan")</f>
        <v>MyPianoMan</v>
      </c>
      <c r="B222" s="149" t="str">
        <f>IFERROR(__xludf.DUMMYFUNCTION("""COMPUTED_VALUE"""),"Fremont")</f>
        <v>Fremont</v>
      </c>
      <c r="C222" s="149" t="str">
        <f>IFERROR(__xludf.DUMMYFUNCTION("""COMPUTED_VALUE"""),"CA")</f>
        <v>CA</v>
      </c>
      <c r="D222" s="149" t="str">
        <f>IFERROR(__xludf.DUMMYFUNCTION("""COMPUTED_VALUE"""),"USA")</f>
        <v>USA</v>
      </c>
      <c r="E222" s="156">
        <f>IFERROR(__xludf.DUMMYFUNCTION("""COMPUTED_VALUE"""),44433.0)</f>
        <v>44433</v>
      </c>
      <c r="F222" s="129">
        <f>IFERROR(__xludf.DUMMYFUNCTION("""COMPUTED_VALUE"""),44467.0)</f>
        <v>44467</v>
      </c>
      <c r="G222" s="154" t="str">
        <f>IFERROR(__xludf.DUMMYFUNCTION("""COMPUTED_VALUE"""),"Manage order page (normal text)")</f>
        <v>Manage order page (normal text)</v>
      </c>
      <c r="H222" s="131">
        <f>IFERROR(__xludf.DUMMYFUNCTION("""COMPUTED_VALUE"""),76355.0)</f>
        <v>76355</v>
      </c>
      <c r="I222" s="144"/>
      <c r="J222" s="129">
        <f>IFERROR(__xludf.DUMMYFUNCTION("""COMPUTED_VALUE"""),44471.0)</f>
        <v>44471</v>
      </c>
      <c r="K222" s="133">
        <f>IFERROR(__xludf.DUMMYFUNCTION("""COMPUTED_VALUE"""),34.0)</f>
        <v>34</v>
      </c>
      <c r="L222" s="133">
        <f>IFERROR(__xludf.DUMMYFUNCTION("""COMPUTED_VALUE"""),4.0)</f>
        <v>4</v>
      </c>
      <c r="M222" s="133">
        <f>IFERROR(__xludf.DUMMYFUNCTION("""COMPUTED_VALUE"""),38.0)</f>
        <v>38</v>
      </c>
      <c r="N222" s="152" t="str">
        <f>IFERROR(__xludf.DUMMYFUNCTION("""COMPUTED_VALUE"""),"Model 3 SR+")</f>
        <v>Model 3 SR+</v>
      </c>
      <c r="O222" s="152" t="str">
        <f>IFERROR(__xludf.DUMMYFUNCTION("""COMPUTED_VALUE"""),"Pearl White Multi-Coat")</f>
        <v>Pearl White Multi-Coat</v>
      </c>
      <c r="P222" s="153" t="str">
        <f>IFERROR(__xludf.DUMMYFUNCTION("""COMPUTED_VALUE"""),"19 inch")</f>
        <v>19 inch</v>
      </c>
      <c r="Q222" s="152" t="str">
        <f>IFERROR(__xludf.DUMMYFUNCTION("""COMPUTED_VALUE"""),"All Black")</f>
        <v>All Black</v>
      </c>
      <c r="R222" s="149" t="str">
        <f>IFERROR(__xludf.DUMMYFUNCTION("""COMPUTED_VALUE"""),"Autopilot included")</f>
        <v>Autopilot included</v>
      </c>
      <c r="S222" s="149" t="str">
        <f>IFERROR(__xludf.DUMMYFUNCTION("""COMPUTED_VALUE"""),"Cash")</f>
        <v>Cash</v>
      </c>
      <c r="T222" s="145"/>
      <c r="U222" s="145"/>
      <c r="V222" s="145"/>
      <c r="W222" s="145"/>
      <c r="X222" s="137"/>
      <c r="Y222" s="138"/>
      <c r="Z222" s="138"/>
      <c r="AA222" s="138"/>
      <c r="AB222" s="138"/>
      <c r="AC222" s="139"/>
      <c r="AD222" s="139"/>
      <c r="AE222" s="139"/>
      <c r="AF222" s="140"/>
      <c r="AG222" s="145"/>
      <c r="AH222" s="157">
        <f>IFERROR(__xludf.DUMMYFUNCTION("""COMPUTED_VALUE"""),44471.79545511574)</f>
        <v>44471.79546</v>
      </c>
      <c r="AI222" s="138"/>
      <c r="AJ222" s="138"/>
      <c r="AK222" s="138"/>
      <c r="AL222" s="142"/>
    </row>
    <row r="223" ht="20.25" customHeight="1">
      <c r="A223" s="155" t="str">
        <f>IFERROR(__xludf.DUMMYFUNCTION("""COMPUTED_VALUE"""),"choppertank")</f>
        <v>choppertank</v>
      </c>
      <c r="B223" s="149" t="str">
        <f>IFERROR(__xludf.DUMMYFUNCTION("""COMPUTED_VALUE"""),"Chicago")</f>
        <v>Chicago</v>
      </c>
      <c r="C223" s="149" t="str">
        <f>IFERROR(__xludf.DUMMYFUNCTION("""COMPUTED_VALUE"""),"IL")</f>
        <v>IL</v>
      </c>
      <c r="D223" s="149" t="str">
        <f>IFERROR(__xludf.DUMMYFUNCTION("""COMPUTED_VALUE"""),"USA")</f>
        <v>USA</v>
      </c>
      <c r="E223" s="156">
        <f>IFERROR(__xludf.DUMMYFUNCTION("""COMPUTED_VALUE"""),44432.0)</f>
        <v>44432</v>
      </c>
      <c r="F223" s="129">
        <f>IFERROR(__xludf.DUMMYFUNCTION("""COMPUTED_VALUE"""),44440.0)</f>
        <v>44440</v>
      </c>
      <c r="G223" s="154" t="str">
        <f>IFERROR(__xludf.DUMMYFUNCTION("""COMPUTED_VALUE"""),"Manage order page (normal text)")</f>
        <v>Manage order page (normal text)</v>
      </c>
      <c r="H223" s="131">
        <f>IFERROR(__xludf.DUMMYFUNCTION("""COMPUTED_VALUE"""),56555.0)</f>
        <v>56555</v>
      </c>
      <c r="I223" s="144"/>
      <c r="J223" s="129">
        <f>IFERROR(__xludf.DUMMYFUNCTION("""COMPUTED_VALUE"""),44450.0)</f>
        <v>44450</v>
      </c>
      <c r="K223" s="133">
        <f>IFERROR(__xludf.DUMMYFUNCTION("""COMPUTED_VALUE"""),8.0)</f>
        <v>8</v>
      </c>
      <c r="L223" s="133">
        <f>IFERROR(__xludf.DUMMYFUNCTION("""COMPUTED_VALUE"""),10.0)</f>
        <v>10</v>
      </c>
      <c r="M223" s="133">
        <f>IFERROR(__xludf.DUMMYFUNCTION("""COMPUTED_VALUE"""),18.0)</f>
        <v>18</v>
      </c>
      <c r="N223" s="152" t="str">
        <f>IFERROR(__xludf.DUMMYFUNCTION("""COMPUTED_VALUE"""),"Model 3 Performance")</f>
        <v>Model 3 Performance</v>
      </c>
      <c r="O223" s="152" t="str">
        <f>IFERROR(__xludf.DUMMYFUNCTION("""COMPUTED_VALUE"""),"Deep Blue Metallic")</f>
        <v>Deep Blue Metallic</v>
      </c>
      <c r="P223" s="153" t="str">
        <f>IFERROR(__xludf.DUMMYFUNCTION("""COMPUTED_VALUE"""),"20 inch")</f>
        <v>20 inch</v>
      </c>
      <c r="Q223" s="152" t="str">
        <f>IFERROR(__xludf.DUMMYFUNCTION("""COMPUTED_VALUE"""),"Black seats")</f>
        <v>Black seats</v>
      </c>
      <c r="R223" s="149" t="str">
        <f>IFERROR(__xludf.DUMMYFUNCTION("""COMPUTED_VALUE"""),"Autopilot")</f>
        <v>Autopilot</v>
      </c>
      <c r="S223" s="149"/>
      <c r="T223" s="145"/>
      <c r="U223" s="145"/>
      <c r="V223" s="145"/>
      <c r="W223" s="145"/>
      <c r="X223" s="137" t="str">
        <f>IFERROR(__xludf.DUMMYFUNCTION("""COMPUTED_VALUE"""),"Very Good")</f>
        <v>Very Good</v>
      </c>
      <c r="Y223" s="138" t="str">
        <f>IFERROR(__xludf.DUMMYFUNCTION("""COMPUTED_VALUE"""),"Very Good")</f>
        <v>Very Good</v>
      </c>
      <c r="Z223" s="138" t="str">
        <f>IFERROR(__xludf.DUMMYFUNCTION("""COMPUTED_VALUE"""),"Good")</f>
        <v>Good</v>
      </c>
      <c r="AA223" s="138" t="str">
        <f>IFERROR(__xludf.DUMMYFUNCTION("""COMPUTED_VALUE"""),"Very Good")</f>
        <v>Very Good</v>
      </c>
      <c r="AB223" s="138" t="str">
        <f>IFERROR(__xludf.DUMMYFUNCTION("""COMPUTED_VALUE"""),"Very Good")</f>
        <v>Very Good</v>
      </c>
      <c r="AC223" s="139">
        <f>IFERROR(__xludf.DUMMYFUNCTION("""COMPUTED_VALUE"""),2.0)</f>
        <v>2</v>
      </c>
      <c r="AD223" s="139">
        <f>IFERROR(__xludf.DUMMYFUNCTION("""COMPUTED_VALUE"""),0.0)</f>
        <v>0</v>
      </c>
      <c r="AE223" s="139">
        <f>IFERROR(__xludf.DUMMYFUNCTION("""COMPUTED_VALUE"""),0.0)</f>
        <v>0</v>
      </c>
      <c r="AF223" s="140"/>
      <c r="AG223" s="145"/>
      <c r="AH223" s="157">
        <f>IFERROR(__xludf.DUMMYFUNCTION("""COMPUTED_VALUE"""),44447.594184953705)</f>
        <v>44447.59418</v>
      </c>
      <c r="AI223" s="138"/>
      <c r="AJ223" s="138"/>
      <c r="AK223" s="138"/>
      <c r="AL223" s="142"/>
    </row>
    <row r="224" ht="20.25" customHeight="1">
      <c r="A224" s="155" t="str">
        <f>IFERROR(__xludf.DUMMYFUNCTION("""COMPUTED_VALUE"""),"Ronnie")</f>
        <v>Ronnie</v>
      </c>
      <c r="B224" s="150" t="str">
        <f>IFERROR(__xludf.DUMMYFUNCTION("""COMPUTED_VALUE"""),"Calgary")</f>
        <v>Calgary</v>
      </c>
      <c r="C224" s="149" t="str">
        <f>IFERROR(__xludf.DUMMYFUNCTION("""COMPUTED_VALUE"""),"AB")</f>
        <v>AB</v>
      </c>
      <c r="D224" s="149" t="str">
        <f>IFERROR(__xludf.DUMMYFUNCTION("""COMPUTED_VALUE"""),"Canada")</f>
        <v>Canada</v>
      </c>
      <c r="E224" s="156">
        <f>IFERROR(__xludf.DUMMYFUNCTION("""COMPUTED_VALUE"""),44432.0)</f>
        <v>44432</v>
      </c>
      <c r="F224" s="129"/>
      <c r="G224" s="154"/>
      <c r="H224" s="131"/>
      <c r="I224" s="132"/>
      <c r="J224" s="129"/>
      <c r="K224" s="133"/>
      <c r="L224" s="133"/>
      <c r="M224" s="133"/>
      <c r="N224" s="152" t="str">
        <f>IFERROR(__xludf.DUMMYFUNCTION("""COMPUTED_VALUE"""),"Model 3 LR AWD")</f>
        <v>Model 3 LR AWD</v>
      </c>
      <c r="O224" s="152" t="str">
        <f>IFERROR(__xludf.DUMMYFUNCTION("""COMPUTED_VALUE"""),"Midnight Silver Metallic")</f>
        <v>Midnight Silver Metallic</v>
      </c>
      <c r="P224" s="153" t="str">
        <f>IFERROR(__xludf.DUMMYFUNCTION("""COMPUTED_VALUE"""),"18 inch")</f>
        <v>18 inch</v>
      </c>
      <c r="Q224" s="152" t="str">
        <f>IFERROR(__xludf.DUMMYFUNCTION("""COMPUTED_VALUE"""),"Black and White")</f>
        <v>Black and White</v>
      </c>
      <c r="R224" s="150"/>
      <c r="S224" s="150" t="str">
        <f>IFERROR(__xludf.DUMMYFUNCTION("""COMPUTED_VALUE"""),"Cash")</f>
        <v>Cash</v>
      </c>
      <c r="T224" s="136"/>
      <c r="U224" s="136"/>
      <c r="V224" s="136"/>
      <c r="W224" s="136"/>
      <c r="X224" s="137"/>
      <c r="Y224" s="138"/>
      <c r="Z224" s="138"/>
      <c r="AA224" s="138"/>
      <c r="AB224" s="138"/>
      <c r="AC224" s="139"/>
      <c r="AD224" s="139"/>
      <c r="AE224" s="139"/>
      <c r="AF224" s="140"/>
      <c r="AG224" s="136"/>
      <c r="AH224" s="157">
        <f>IFERROR(__xludf.DUMMYFUNCTION("""COMPUTED_VALUE"""),44490.74705844907)</f>
        <v>44490.74706</v>
      </c>
      <c r="AI224" s="138"/>
      <c r="AJ224" s="138"/>
      <c r="AK224" s="138"/>
      <c r="AL224" s="142"/>
    </row>
    <row r="225" ht="20.25" customHeight="1">
      <c r="A225" s="155" t="str">
        <f>IFERROR(__xludf.DUMMYFUNCTION("""COMPUTED_VALUE"""),"Azo9987")</f>
        <v>Azo9987</v>
      </c>
      <c r="B225" s="149" t="str">
        <f>IFERROR(__xludf.DUMMYFUNCTION("""COMPUTED_VALUE"""),"Wexford")</f>
        <v>Wexford</v>
      </c>
      <c r="C225" s="149" t="str">
        <f>IFERROR(__xludf.DUMMYFUNCTION("""COMPUTED_VALUE"""),"PA")</f>
        <v>PA</v>
      </c>
      <c r="D225" s="149" t="str">
        <f>IFERROR(__xludf.DUMMYFUNCTION("""COMPUTED_VALUE"""),"USA")</f>
        <v>USA</v>
      </c>
      <c r="E225" s="156">
        <f>IFERROR(__xludf.DUMMYFUNCTION("""COMPUTED_VALUE"""),44431.0)</f>
        <v>44431</v>
      </c>
      <c r="F225" s="129">
        <f>IFERROR(__xludf.DUMMYFUNCTION("""COMPUTED_VALUE"""),44454.0)</f>
        <v>44454</v>
      </c>
      <c r="G225" s="154" t="str">
        <f>IFERROR(__xludf.DUMMYFUNCTION("""COMPUTED_VALUE"""),"Manage order page (normal text)")</f>
        <v>Manage order page (normal text)</v>
      </c>
      <c r="H225" s="131"/>
      <c r="I225" s="144"/>
      <c r="J225" s="129">
        <f>IFERROR(__xludf.DUMMYFUNCTION("""COMPUTED_VALUE"""),44466.0)</f>
        <v>44466</v>
      </c>
      <c r="K225" s="133">
        <f>IFERROR(__xludf.DUMMYFUNCTION("""COMPUTED_VALUE"""),23.0)</f>
        <v>23</v>
      </c>
      <c r="L225" s="133">
        <f>IFERROR(__xludf.DUMMYFUNCTION("""COMPUTED_VALUE"""),12.0)</f>
        <v>12</v>
      </c>
      <c r="M225" s="133">
        <f>IFERROR(__xludf.DUMMYFUNCTION("""COMPUTED_VALUE"""),35.0)</f>
        <v>35</v>
      </c>
      <c r="N225" s="152" t="str">
        <f>IFERROR(__xludf.DUMMYFUNCTION("""COMPUTED_VALUE"""),"Model 3 LR AWD")</f>
        <v>Model 3 LR AWD</v>
      </c>
      <c r="O225" s="152" t="str">
        <f>IFERROR(__xludf.DUMMYFUNCTION("""COMPUTED_VALUE"""),"Midnight Silver Metallic")</f>
        <v>Midnight Silver Metallic</v>
      </c>
      <c r="P225" s="153" t="str">
        <f>IFERROR(__xludf.DUMMYFUNCTION("""COMPUTED_VALUE"""),"18 inch")</f>
        <v>18 inch</v>
      </c>
      <c r="Q225" s="152" t="str">
        <f>IFERROR(__xludf.DUMMYFUNCTION("""COMPUTED_VALUE"""),"All Black")</f>
        <v>All Black</v>
      </c>
      <c r="R225" s="149" t="str">
        <f>IFERROR(__xludf.DUMMYFUNCTION("""COMPUTED_VALUE"""),"Autopilot included")</f>
        <v>Autopilot included</v>
      </c>
      <c r="S225" s="149" t="str">
        <f>IFERROR(__xludf.DUMMYFUNCTION("""COMPUTED_VALUE"""),"Loan")</f>
        <v>Loan</v>
      </c>
      <c r="T225" s="145" t="str">
        <f>IFERROR(__xludf.DUMMYFUNCTION("""COMPUTED_VALUE"""),"2015 Ford Edge")</f>
        <v>2015 Ford Edge</v>
      </c>
      <c r="U225" s="145" t="str">
        <f>IFERROR(__xludf.DUMMYFUNCTION("""COMPUTED_VALUE"""),"Electric!")</f>
        <v>Electric!</v>
      </c>
      <c r="V225" s="145" t="str">
        <f>IFERROR(__xludf.DUMMYFUNCTION("""COMPUTED_VALUE"""),"Apple CarPlay / Android Auto / SiriusXM Radio")</f>
        <v>Apple CarPlay / Android Auto / SiriusXM Radio</v>
      </c>
      <c r="W225" s="136"/>
      <c r="X225" s="137"/>
      <c r="Y225" s="138"/>
      <c r="Z225" s="138"/>
      <c r="AA225" s="138"/>
      <c r="AB225" s="138"/>
      <c r="AC225" s="139"/>
      <c r="AD225" s="139"/>
      <c r="AE225" s="139"/>
      <c r="AF225" s="140"/>
      <c r="AG225" s="136"/>
      <c r="AH225" s="157">
        <f>IFERROR(__xludf.DUMMYFUNCTION("""COMPUTED_VALUE"""),44462.28124483797)</f>
        <v>44462.28124</v>
      </c>
      <c r="AI225" s="138"/>
      <c r="AJ225" s="138"/>
      <c r="AK225" s="138"/>
      <c r="AL225" s="142"/>
    </row>
    <row r="226" ht="20.25" customHeight="1">
      <c r="A226" s="155" t="str">
        <f>IFERROR(__xludf.DUMMYFUNCTION("""COMPUTED_VALUE"""),"CougarTsl1984")</f>
        <v>CougarTsl1984</v>
      </c>
      <c r="B226" s="149" t="str">
        <f>IFERROR(__xludf.DUMMYFUNCTION("""COMPUTED_VALUE"""),"Salt Lake City")</f>
        <v>Salt Lake City</v>
      </c>
      <c r="C226" s="149" t="str">
        <f>IFERROR(__xludf.DUMMYFUNCTION("""COMPUTED_VALUE"""),"UT")</f>
        <v>UT</v>
      </c>
      <c r="D226" s="149" t="str">
        <f>IFERROR(__xludf.DUMMYFUNCTION("""COMPUTED_VALUE"""),"USA")</f>
        <v>USA</v>
      </c>
      <c r="E226" s="156">
        <f>IFERROR(__xludf.DUMMYFUNCTION("""COMPUTED_VALUE"""),44430.0)</f>
        <v>44430</v>
      </c>
      <c r="F226" s="129"/>
      <c r="G226" s="154"/>
      <c r="H226" s="131"/>
      <c r="I226" s="132"/>
      <c r="J226" s="129"/>
      <c r="K226" s="133"/>
      <c r="L226" s="133"/>
      <c r="M226" s="133"/>
      <c r="N226" s="152" t="str">
        <f>IFERROR(__xludf.DUMMYFUNCTION("""COMPUTED_VALUE"""),"Model 3 LR AWD")</f>
        <v>Model 3 LR AWD</v>
      </c>
      <c r="O226" s="152" t="str">
        <f>IFERROR(__xludf.DUMMYFUNCTION("""COMPUTED_VALUE"""),"Deep Blue Metallic")</f>
        <v>Deep Blue Metallic</v>
      </c>
      <c r="P226" s="153" t="str">
        <f>IFERROR(__xludf.DUMMYFUNCTION("""COMPUTED_VALUE"""),"18 inch")</f>
        <v>18 inch</v>
      </c>
      <c r="Q226" s="152" t="str">
        <f>IFERROR(__xludf.DUMMYFUNCTION("""COMPUTED_VALUE"""),"All Black")</f>
        <v>All Black</v>
      </c>
      <c r="R226" s="150" t="str">
        <f>IFERROR(__xludf.DUMMYFUNCTION("""COMPUTED_VALUE"""),"Autopilot included")</f>
        <v>Autopilot included</v>
      </c>
      <c r="S226" s="150" t="str">
        <f>IFERROR(__xludf.DUMMYFUNCTION("""COMPUTED_VALUE"""),"Cash")</f>
        <v>Cash</v>
      </c>
      <c r="T226" s="136" t="str">
        <f>IFERROR(__xludf.DUMMYFUNCTION("""COMPUTED_VALUE"""),"Honda Accord")</f>
        <v>Honda Accord</v>
      </c>
      <c r="U226" s="136" t="str">
        <f>IFERROR(__xludf.DUMMYFUNCTION("""COMPUTED_VALUE"""),"Autopilot")</f>
        <v>Autopilot</v>
      </c>
      <c r="V226" s="136" t="str">
        <f>IFERROR(__xludf.DUMMYFUNCTION("""COMPUTED_VALUE"""),"Ventilated seats")</f>
        <v>Ventilated seats</v>
      </c>
      <c r="W226" s="136"/>
      <c r="X226" s="137"/>
      <c r="Y226" s="138"/>
      <c r="Z226" s="138"/>
      <c r="AA226" s="138"/>
      <c r="AB226" s="138"/>
      <c r="AC226" s="139"/>
      <c r="AD226" s="139"/>
      <c r="AE226" s="139"/>
      <c r="AF226" s="140"/>
      <c r="AG226" s="136"/>
      <c r="AH226" s="157">
        <f>IFERROR(__xludf.DUMMYFUNCTION("""COMPUTED_VALUE"""),44440.59492019677)</f>
        <v>44440.59492</v>
      </c>
      <c r="AI226" s="138"/>
      <c r="AJ226" s="138"/>
      <c r="AK226" s="138"/>
      <c r="AL226" s="142"/>
    </row>
    <row r="227" ht="20.25" customHeight="1">
      <c r="A227" s="155" t="str">
        <f>IFERROR(__xludf.DUMMYFUNCTION("""COMPUTED_VALUE"""),"HaileyDD")</f>
        <v>HaileyDD</v>
      </c>
      <c r="B227" s="149" t="str">
        <f>IFERROR(__xludf.DUMMYFUNCTION("""COMPUTED_VALUE"""),"Eugene")</f>
        <v>Eugene</v>
      </c>
      <c r="C227" s="149" t="str">
        <f>IFERROR(__xludf.DUMMYFUNCTION("""COMPUTED_VALUE"""),"OR")</f>
        <v>OR</v>
      </c>
      <c r="D227" s="149" t="str">
        <f>IFERROR(__xludf.DUMMYFUNCTION("""COMPUTED_VALUE"""),"USA")</f>
        <v>USA</v>
      </c>
      <c r="E227" s="156">
        <f>IFERROR(__xludf.DUMMYFUNCTION("""COMPUTED_VALUE"""),44430.0)</f>
        <v>44430</v>
      </c>
      <c r="F227" s="129"/>
      <c r="G227" s="154"/>
      <c r="H227" s="131"/>
      <c r="I227" s="144"/>
      <c r="J227" s="129"/>
      <c r="K227" s="133"/>
      <c r="L227" s="133"/>
      <c r="M227" s="133"/>
      <c r="N227" s="152" t="str">
        <f>IFERROR(__xludf.DUMMYFUNCTION("""COMPUTED_VALUE"""),"Model 3 SR+")</f>
        <v>Model 3 SR+</v>
      </c>
      <c r="O227" s="152" t="str">
        <f>IFERROR(__xludf.DUMMYFUNCTION("""COMPUTED_VALUE"""),"Pearl White Multi-Coat")</f>
        <v>Pearl White Multi-Coat</v>
      </c>
      <c r="P227" s="153" t="str">
        <f>IFERROR(__xludf.DUMMYFUNCTION("""COMPUTED_VALUE"""),"18 inch")</f>
        <v>18 inch</v>
      </c>
      <c r="Q227" s="152" t="str">
        <f>IFERROR(__xludf.DUMMYFUNCTION("""COMPUTED_VALUE"""),"All Black")</f>
        <v>All Black</v>
      </c>
      <c r="R227" s="149" t="str">
        <f>IFERROR(__xludf.DUMMYFUNCTION("""COMPUTED_VALUE"""),"Autopilot included")</f>
        <v>Autopilot included</v>
      </c>
      <c r="S227" s="149" t="str">
        <f>IFERROR(__xludf.DUMMYFUNCTION("""COMPUTED_VALUE"""),"Cash")</f>
        <v>Cash</v>
      </c>
      <c r="T227" s="145"/>
      <c r="U227" s="145" t="str">
        <f>IFERROR(__xludf.DUMMYFUNCTION("""COMPUTED_VALUE"""),"Electric!")</f>
        <v>Electric!</v>
      </c>
      <c r="V227" s="145" t="str">
        <f>IFERROR(__xludf.DUMMYFUNCTION("""COMPUTED_VALUE"""),"Blind spot indicators on side mirrors")</f>
        <v>Blind spot indicators on side mirrors</v>
      </c>
      <c r="W227" s="145"/>
      <c r="X227" s="137"/>
      <c r="Y227" s="138"/>
      <c r="Z227" s="138"/>
      <c r="AA227" s="138"/>
      <c r="AB227" s="138"/>
      <c r="AC227" s="139"/>
      <c r="AD227" s="139"/>
      <c r="AE227" s="139"/>
      <c r="AF227" s="140"/>
      <c r="AG227" s="145"/>
      <c r="AH227" s="157">
        <f>IFERROR(__xludf.DUMMYFUNCTION("""COMPUTED_VALUE"""),44433.43283392361)</f>
        <v>44433.43283</v>
      </c>
      <c r="AI227" s="138"/>
      <c r="AJ227" s="138"/>
      <c r="AK227" s="138"/>
      <c r="AL227" s="142"/>
    </row>
    <row r="228" ht="20.25" customHeight="1">
      <c r="A228" s="155" t="str">
        <f>IFERROR(__xludf.DUMMYFUNCTION("""COMPUTED_VALUE"""),"Jaydinnn")</f>
        <v>Jaydinnn</v>
      </c>
      <c r="B228" s="149" t="str">
        <f>IFERROR(__xludf.DUMMYFUNCTION("""COMPUTED_VALUE"""),"Belleville")</f>
        <v>Belleville</v>
      </c>
      <c r="C228" s="149" t="str">
        <f>IFERROR(__xludf.DUMMYFUNCTION("""COMPUTED_VALUE"""),"ON")</f>
        <v>ON</v>
      </c>
      <c r="D228" s="149" t="str">
        <f>IFERROR(__xludf.DUMMYFUNCTION("""COMPUTED_VALUE"""),"Canada")</f>
        <v>Canada</v>
      </c>
      <c r="E228" s="156">
        <f>IFERROR(__xludf.DUMMYFUNCTION("""COMPUTED_VALUE"""),44430.0)</f>
        <v>44430</v>
      </c>
      <c r="F228" s="129"/>
      <c r="G228" s="154"/>
      <c r="H228" s="131"/>
      <c r="I228" s="144"/>
      <c r="J228" s="129"/>
      <c r="K228" s="133"/>
      <c r="L228" s="133"/>
      <c r="M228" s="133"/>
      <c r="N228" s="152" t="str">
        <f>IFERROR(__xludf.DUMMYFUNCTION("""COMPUTED_VALUE"""),"Model 3 SR+")</f>
        <v>Model 3 SR+</v>
      </c>
      <c r="O228" s="152" t="str">
        <f>IFERROR(__xludf.DUMMYFUNCTION("""COMPUTED_VALUE"""),"Pearl White Multi-Coat")</f>
        <v>Pearl White Multi-Coat</v>
      </c>
      <c r="P228" s="153" t="str">
        <f>IFERROR(__xludf.DUMMYFUNCTION("""COMPUTED_VALUE"""),"18 inch")</f>
        <v>18 inch</v>
      </c>
      <c r="Q228" s="152" t="str">
        <f>IFERROR(__xludf.DUMMYFUNCTION("""COMPUTED_VALUE"""),"All Black")</f>
        <v>All Black</v>
      </c>
      <c r="R228" s="149" t="str">
        <f>IFERROR(__xludf.DUMMYFUNCTION("""COMPUTED_VALUE"""),"Autopilot included")</f>
        <v>Autopilot included</v>
      </c>
      <c r="S228" s="149" t="str">
        <f>IFERROR(__xludf.DUMMYFUNCTION("""COMPUTED_VALUE"""),"Loan")</f>
        <v>Loan</v>
      </c>
      <c r="T228" s="145" t="str">
        <f>IFERROR(__xludf.DUMMYFUNCTION("""COMPUTED_VALUE"""),"Hyundai Elantra")</f>
        <v>Hyundai Elantra</v>
      </c>
      <c r="U228" s="145" t="str">
        <f>IFERROR(__xludf.DUMMYFUNCTION("""COMPUTED_VALUE"""),"Speed")</f>
        <v>Speed</v>
      </c>
      <c r="V228" s="145" t="str">
        <f>IFERROR(__xludf.DUMMYFUNCTION("""COMPUTED_VALUE"""),"Head-up display")</f>
        <v>Head-up display</v>
      </c>
      <c r="W228" s="136"/>
      <c r="X228" s="137"/>
      <c r="Y228" s="138"/>
      <c r="Z228" s="138"/>
      <c r="AA228" s="138"/>
      <c r="AB228" s="138"/>
      <c r="AC228" s="139"/>
      <c r="AD228" s="139"/>
      <c r="AE228" s="139"/>
      <c r="AF228" s="140"/>
      <c r="AG228" s="136"/>
      <c r="AH228" s="157">
        <f>IFERROR(__xludf.DUMMYFUNCTION("""COMPUTED_VALUE"""),44459.36464668981)</f>
        <v>44459.36465</v>
      </c>
      <c r="AI228" s="138"/>
      <c r="AJ228" s="138"/>
      <c r="AK228" s="138"/>
      <c r="AL228" s="142"/>
    </row>
    <row r="229" ht="20.25" customHeight="1">
      <c r="A229" s="155" t="str">
        <f>IFERROR(__xludf.DUMMYFUNCTION("""COMPUTED_VALUE"""),"jiggawatt")</f>
        <v>jiggawatt</v>
      </c>
      <c r="B229" s="149" t="str">
        <f>IFERROR(__xludf.DUMMYFUNCTION("""COMPUTED_VALUE"""),"Chicago")</f>
        <v>Chicago</v>
      </c>
      <c r="C229" s="149" t="str">
        <f>IFERROR(__xludf.DUMMYFUNCTION("""COMPUTED_VALUE"""),"IL")</f>
        <v>IL</v>
      </c>
      <c r="D229" s="149" t="str">
        <f>IFERROR(__xludf.DUMMYFUNCTION("""COMPUTED_VALUE"""),"USA")</f>
        <v>USA</v>
      </c>
      <c r="E229" s="156">
        <f>IFERROR(__xludf.DUMMYFUNCTION("""COMPUTED_VALUE"""),44430.0)</f>
        <v>44430</v>
      </c>
      <c r="F229" s="129"/>
      <c r="G229" s="154"/>
      <c r="H229" s="131"/>
      <c r="I229" s="144"/>
      <c r="J229" s="129"/>
      <c r="K229" s="133"/>
      <c r="L229" s="133"/>
      <c r="M229" s="133"/>
      <c r="N229" s="152" t="str">
        <f>IFERROR(__xludf.DUMMYFUNCTION("""COMPUTED_VALUE"""),"Model 3 SR+")</f>
        <v>Model 3 SR+</v>
      </c>
      <c r="O229" s="152" t="str">
        <f>IFERROR(__xludf.DUMMYFUNCTION("""COMPUTED_VALUE"""),"Solid Black")</f>
        <v>Solid Black</v>
      </c>
      <c r="P229" s="153" t="str">
        <f>IFERROR(__xludf.DUMMYFUNCTION("""COMPUTED_VALUE"""),"19 inch")</f>
        <v>19 inch</v>
      </c>
      <c r="Q229" s="152" t="str">
        <f>IFERROR(__xludf.DUMMYFUNCTION("""COMPUTED_VALUE"""),"All Black")</f>
        <v>All Black</v>
      </c>
      <c r="R229" s="149" t="str">
        <f>IFERROR(__xludf.DUMMYFUNCTION("""COMPUTED_VALUE"""),"Autopilot included")</f>
        <v>Autopilot included</v>
      </c>
      <c r="S229" s="149" t="str">
        <f>IFERROR(__xludf.DUMMYFUNCTION("""COMPUTED_VALUE"""),"Cash")</f>
        <v>Cash</v>
      </c>
      <c r="T229" s="145" t="str">
        <f>IFERROR(__xludf.DUMMYFUNCTION("""COMPUTED_VALUE"""),"Audi A4")</f>
        <v>Audi A4</v>
      </c>
      <c r="U229" s="145" t="str">
        <f>IFERROR(__xludf.DUMMYFUNCTION("""COMPUTED_VALUE"""),"Electric!")</f>
        <v>Electric!</v>
      </c>
      <c r="V229" s="145" t="str">
        <f>IFERROR(__xludf.DUMMYFUNCTION("""COMPUTED_VALUE"""),"Air suspension")</f>
        <v>Air suspension</v>
      </c>
      <c r="W229" s="136"/>
      <c r="X229" s="137"/>
      <c r="Y229" s="138"/>
      <c r="Z229" s="138"/>
      <c r="AA229" s="138"/>
      <c r="AB229" s="138"/>
      <c r="AC229" s="139"/>
      <c r="AD229" s="139"/>
      <c r="AE229" s="139"/>
      <c r="AF229" s="140"/>
      <c r="AG229" s="136"/>
      <c r="AH229" s="157">
        <f>IFERROR(__xludf.DUMMYFUNCTION("""COMPUTED_VALUE"""),44430.7152425)</f>
        <v>44430.71524</v>
      </c>
      <c r="AI229" s="138"/>
      <c r="AJ229" s="138"/>
      <c r="AK229" s="138"/>
      <c r="AL229" s="142"/>
    </row>
    <row r="230" ht="20.25" customHeight="1">
      <c r="A230" s="155" t="str">
        <f>IFERROR(__xludf.DUMMYFUNCTION("""COMPUTED_VALUE"""),"Trekker_")</f>
        <v>Trekker_</v>
      </c>
      <c r="B230" s="149" t="str">
        <f>IFERROR(__xludf.DUMMYFUNCTION("""COMPUTED_VALUE"""),"Mission Viejo")</f>
        <v>Mission Viejo</v>
      </c>
      <c r="C230" s="149" t="str">
        <f>IFERROR(__xludf.DUMMYFUNCTION("""COMPUTED_VALUE"""),"CA")</f>
        <v>CA</v>
      </c>
      <c r="D230" s="149" t="str">
        <f>IFERROR(__xludf.DUMMYFUNCTION("""COMPUTED_VALUE"""),"USA")</f>
        <v>USA</v>
      </c>
      <c r="E230" s="156">
        <f>IFERROR(__xludf.DUMMYFUNCTION("""COMPUTED_VALUE"""),44430.0)</f>
        <v>44430</v>
      </c>
      <c r="F230" s="129">
        <f>IFERROR(__xludf.DUMMYFUNCTION("""COMPUTED_VALUE"""),44466.0)</f>
        <v>44466</v>
      </c>
      <c r="G230" s="154" t="str">
        <f>IFERROR(__xludf.DUMMYFUNCTION("""COMPUTED_VALUE"""),"Manage order page (normal text)")</f>
        <v>Manage order page (normal text)</v>
      </c>
      <c r="H230" s="131">
        <f>IFERROR(__xludf.DUMMYFUNCTION("""COMPUTED_VALUE"""),77453.0)</f>
        <v>77453</v>
      </c>
      <c r="I230" s="144"/>
      <c r="J230" s="129"/>
      <c r="K230" s="133">
        <f>IFERROR(__xludf.DUMMYFUNCTION("""COMPUTED_VALUE"""),36.0)</f>
        <v>36</v>
      </c>
      <c r="L230" s="133"/>
      <c r="M230" s="133"/>
      <c r="N230" s="152" t="str">
        <f>IFERROR(__xludf.DUMMYFUNCTION("""COMPUTED_VALUE"""),"Model 3 Performance")</f>
        <v>Model 3 Performance</v>
      </c>
      <c r="O230" s="152" t="str">
        <f>IFERROR(__xludf.DUMMYFUNCTION("""COMPUTED_VALUE"""),"Midnight Silver Metallic")</f>
        <v>Midnight Silver Metallic</v>
      </c>
      <c r="P230" s="153" t="str">
        <f>IFERROR(__xludf.DUMMYFUNCTION("""COMPUTED_VALUE"""),"20 inch")</f>
        <v>20 inch</v>
      </c>
      <c r="Q230" s="152" t="str">
        <f>IFERROR(__xludf.DUMMYFUNCTION("""COMPUTED_VALUE"""),"All Black")</f>
        <v>All Black</v>
      </c>
      <c r="R230" s="149" t="str">
        <f>IFERROR(__xludf.DUMMYFUNCTION("""COMPUTED_VALUE"""),"Autopilot included")</f>
        <v>Autopilot included</v>
      </c>
      <c r="S230" s="149" t="str">
        <f>IFERROR(__xludf.DUMMYFUNCTION("""COMPUTED_VALUE"""),"Loan")</f>
        <v>Loan</v>
      </c>
      <c r="T230" s="145" t="str">
        <f>IFERROR(__xludf.DUMMYFUNCTION("""COMPUTED_VALUE"""),"2012 F-350 Lariat")</f>
        <v>2012 F-350 Lariat</v>
      </c>
      <c r="U230" s="145" t="str">
        <f>IFERROR(__xludf.DUMMYFUNCTION("""COMPUTED_VALUE"""),"Autopilot")</f>
        <v>Autopilot</v>
      </c>
      <c r="V230" s="145" t="str">
        <f>IFERROR(__xludf.DUMMYFUNCTION("""COMPUTED_VALUE"""),"Head-up display")</f>
        <v>Head-up display</v>
      </c>
      <c r="W230" s="136"/>
      <c r="X230" s="137"/>
      <c r="Y230" s="138"/>
      <c r="Z230" s="138"/>
      <c r="AA230" s="138"/>
      <c r="AB230" s="138"/>
      <c r="AC230" s="139"/>
      <c r="AD230" s="139"/>
      <c r="AE230" s="139"/>
      <c r="AF230" s="140"/>
      <c r="AG230" s="136"/>
      <c r="AH230" s="157">
        <f>IFERROR(__xludf.DUMMYFUNCTION("""COMPUTED_VALUE"""),44466.96559540509)</f>
        <v>44466.9656</v>
      </c>
      <c r="AI230" s="138"/>
      <c r="AJ230" s="138"/>
      <c r="AK230" s="138"/>
      <c r="AL230" s="142"/>
    </row>
    <row r="231" ht="20.25" customHeight="1">
      <c r="A231" s="155" t="str">
        <f>IFERROR(__xludf.DUMMYFUNCTION("""COMPUTED_VALUE"""),"Yanhoch")</f>
        <v>Yanhoch</v>
      </c>
      <c r="B231" s="149" t="str">
        <f>IFERROR(__xludf.DUMMYFUNCTION("""COMPUTED_VALUE"""),"Sainte-Julie")</f>
        <v>Sainte-Julie</v>
      </c>
      <c r="C231" s="149" t="str">
        <f>IFERROR(__xludf.DUMMYFUNCTION("""COMPUTED_VALUE"""),"QC")</f>
        <v>QC</v>
      </c>
      <c r="D231" s="149" t="str">
        <f>IFERROR(__xludf.DUMMYFUNCTION("""COMPUTED_VALUE"""),"Canada")</f>
        <v>Canada</v>
      </c>
      <c r="E231" s="156">
        <f>IFERROR(__xludf.DUMMYFUNCTION("""COMPUTED_VALUE"""),44430.0)</f>
        <v>44430</v>
      </c>
      <c r="F231" s="129"/>
      <c r="G231" s="154"/>
      <c r="H231" s="131"/>
      <c r="I231" s="144"/>
      <c r="J231" s="129"/>
      <c r="K231" s="133"/>
      <c r="L231" s="133"/>
      <c r="M231" s="133"/>
      <c r="N231" s="152" t="str">
        <f>IFERROR(__xludf.DUMMYFUNCTION("""COMPUTED_VALUE"""),"Model 3 SR+")</f>
        <v>Model 3 SR+</v>
      </c>
      <c r="O231" s="152" t="str">
        <f>IFERROR(__xludf.DUMMYFUNCTION("""COMPUTED_VALUE"""),"Pearl White Multi-Coat")</f>
        <v>Pearl White Multi-Coat</v>
      </c>
      <c r="P231" s="153" t="str">
        <f>IFERROR(__xludf.DUMMYFUNCTION("""COMPUTED_VALUE"""),"18 inch")</f>
        <v>18 inch</v>
      </c>
      <c r="Q231" s="152" t="str">
        <f>IFERROR(__xludf.DUMMYFUNCTION("""COMPUTED_VALUE"""),"All Black")</f>
        <v>All Black</v>
      </c>
      <c r="R231" s="149" t="str">
        <f>IFERROR(__xludf.DUMMYFUNCTION("""COMPUTED_VALUE"""),"Autopilot included")</f>
        <v>Autopilot included</v>
      </c>
      <c r="S231" s="149" t="str">
        <f>IFERROR(__xludf.DUMMYFUNCTION("""COMPUTED_VALUE"""),"Loan")</f>
        <v>Loan</v>
      </c>
      <c r="T231" s="145" t="str">
        <f>IFERROR(__xludf.DUMMYFUNCTION("""COMPUTED_VALUE"""),"Nissan Leaf")</f>
        <v>Nissan Leaf</v>
      </c>
      <c r="U231" s="145" t="str">
        <f>IFERROR(__xludf.DUMMYFUNCTION("""COMPUTED_VALUE"""),"Electric!")</f>
        <v>Electric!</v>
      </c>
      <c r="V231" s="145" t="str">
        <f>IFERROR(__xludf.DUMMYFUNCTION("""COMPUTED_VALUE"""),"Heated steering wheel")</f>
        <v>Heated steering wheel</v>
      </c>
      <c r="W231" s="145"/>
      <c r="X231" s="137"/>
      <c r="Y231" s="138"/>
      <c r="Z231" s="138"/>
      <c r="AA231" s="138"/>
      <c r="AB231" s="138"/>
      <c r="AC231" s="139"/>
      <c r="AD231" s="139"/>
      <c r="AE231" s="139"/>
      <c r="AF231" s="140"/>
      <c r="AG231" s="145"/>
      <c r="AH231" s="157">
        <f>IFERROR(__xludf.DUMMYFUNCTION("""COMPUTED_VALUE"""),44487.85253686343)</f>
        <v>44487.85254</v>
      </c>
      <c r="AI231" s="138"/>
      <c r="AJ231" s="138"/>
      <c r="AK231" s="138"/>
      <c r="AL231" s="142"/>
    </row>
    <row r="232" ht="20.25" customHeight="1">
      <c r="A232" s="155" t="str">
        <f>IFERROR(__xludf.DUMMYFUNCTION("""COMPUTED_VALUE"""),"CaptainMcFunk")</f>
        <v>CaptainMcFunk</v>
      </c>
      <c r="B232" s="149" t="str">
        <f>IFERROR(__xludf.DUMMYFUNCTION("""COMPUTED_VALUE"""),"Little Rock")</f>
        <v>Little Rock</v>
      </c>
      <c r="C232" s="149" t="str">
        <f>IFERROR(__xludf.DUMMYFUNCTION("""COMPUTED_VALUE"""),"AR")</f>
        <v>AR</v>
      </c>
      <c r="D232" s="149" t="str">
        <f>IFERROR(__xludf.DUMMYFUNCTION("""COMPUTED_VALUE"""),"USA")</f>
        <v>USA</v>
      </c>
      <c r="E232" s="156">
        <f>IFERROR(__xludf.DUMMYFUNCTION("""COMPUTED_VALUE"""),44429.0)</f>
        <v>44429</v>
      </c>
      <c r="F232" s="129">
        <f>IFERROR(__xludf.DUMMYFUNCTION("""COMPUTED_VALUE"""),44439.0)</f>
        <v>44439</v>
      </c>
      <c r="G232" s="154" t="str">
        <f>IFERROR(__xludf.DUMMYFUNCTION("""COMPUTED_VALUE"""),"Manage order page (normal text)")</f>
        <v>Manage order page (normal text)</v>
      </c>
      <c r="H232" s="131">
        <f>IFERROR(__xludf.DUMMYFUNCTION("""COMPUTED_VALUE"""),55103.0)</f>
        <v>55103</v>
      </c>
      <c r="I232" s="144"/>
      <c r="J232" s="129"/>
      <c r="K232" s="133">
        <f>IFERROR(__xludf.DUMMYFUNCTION("""COMPUTED_VALUE"""),10.0)</f>
        <v>10</v>
      </c>
      <c r="L232" s="133"/>
      <c r="M232" s="133"/>
      <c r="N232" s="152" t="str">
        <f>IFERROR(__xludf.DUMMYFUNCTION("""COMPUTED_VALUE"""),"Model 3 Performance")</f>
        <v>Model 3 Performance</v>
      </c>
      <c r="O232" s="152" t="str">
        <f>IFERROR(__xludf.DUMMYFUNCTION("""COMPUTED_VALUE"""),"Solid Black")</f>
        <v>Solid Black</v>
      </c>
      <c r="P232" s="153" t="str">
        <f>IFERROR(__xludf.DUMMYFUNCTION("""COMPUTED_VALUE"""),"20 inch")</f>
        <v>20 inch</v>
      </c>
      <c r="Q232" s="152" t="str">
        <f>IFERROR(__xludf.DUMMYFUNCTION("""COMPUTED_VALUE"""),"All Black")</f>
        <v>All Black</v>
      </c>
      <c r="R232" s="149" t="str">
        <f>IFERROR(__xludf.DUMMYFUNCTION("""COMPUTED_VALUE"""),"Autopilot included")</f>
        <v>Autopilot included</v>
      </c>
      <c r="S232" s="149" t="str">
        <f>IFERROR(__xludf.DUMMYFUNCTION("""COMPUTED_VALUE"""),"Cash")</f>
        <v>Cash</v>
      </c>
      <c r="T232" s="145"/>
      <c r="U232" s="145" t="str">
        <f>IFERROR(__xludf.DUMMYFUNCTION("""COMPUTED_VALUE"""),"Electric!")</f>
        <v>Electric!</v>
      </c>
      <c r="V232" s="145" t="str">
        <f>IFERROR(__xludf.DUMMYFUNCTION("""COMPUTED_VALUE"""),"Air suspension")</f>
        <v>Air suspension</v>
      </c>
      <c r="W232" s="145"/>
      <c r="X232" s="137"/>
      <c r="Y232" s="138"/>
      <c r="Z232" s="138"/>
      <c r="AA232" s="138"/>
      <c r="AB232" s="138"/>
      <c r="AC232" s="139"/>
      <c r="AD232" s="139"/>
      <c r="AE232" s="139"/>
      <c r="AF232" s="140"/>
      <c r="AG232" s="145"/>
      <c r="AH232" s="157">
        <f>IFERROR(__xludf.DUMMYFUNCTION("""COMPUTED_VALUE"""),44452.57054854166)</f>
        <v>44452.57055</v>
      </c>
      <c r="AI232" s="138"/>
      <c r="AJ232" s="138"/>
      <c r="AK232" s="138"/>
      <c r="AL232" s="142"/>
    </row>
    <row r="233" ht="20.25" customHeight="1">
      <c r="A233" s="155" t="str">
        <f>IFERROR(__xludf.DUMMYFUNCTION("""COMPUTED_VALUE"""),"Cpt_Pessimist")</f>
        <v>Cpt_Pessimist</v>
      </c>
      <c r="B233" s="149"/>
      <c r="C233" s="149" t="str">
        <f>IFERROR(__xludf.DUMMYFUNCTION("""COMPUTED_VALUE"""),"CT")</f>
        <v>CT</v>
      </c>
      <c r="D233" s="149" t="str">
        <f>IFERROR(__xludf.DUMMYFUNCTION("""COMPUTED_VALUE"""),"USA")</f>
        <v>USA</v>
      </c>
      <c r="E233" s="156">
        <f>IFERROR(__xludf.DUMMYFUNCTION("""COMPUTED_VALUE"""),44429.0)</f>
        <v>44429</v>
      </c>
      <c r="F233" s="129"/>
      <c r="G233" s="154"/>
      <c r="H233" s="131"/>
      <c r="I233" s="144"/>
      <c r="J233" s="129"/>
      <c r="K233" s="133"/>
      <c r="L233" s="133"/>
      <c r="M233" s="133"/>
      <c r="N233" s="152" t="str">
        <f>IFERROR(__xludf.DUMMYFUNCTION("""COMPUTED_VALUE"""),"Model 3 SR+")</f>
        <v>Model 3 SR+</v>
      </c>
      <c r="O233" s="152" t="str">
        <f>IFERROR(__xludf.DUMMYFUNCTION("""COMPUTED_VALUE"""),"Solid Black")</f>
        <v>Solid Black</v>
      </c>
      <c r="P233" s="153" t="str">
        <f>IFERROR(__xludf.DUMMYFUNCTION("""COMPUTED_VALUE"""),"18 inch")</f>
        <v>18 inch</v>
      </c>
      <c r="Q233" s="152" t="str">
        <f>IFERROR(__xludf.DUMMYFUNCTION("""COMPUTED_VALUE"""),"All Black")</f>
        <v>All Black</v>
      </c>
      <c r="R233" s="149" t="str">
        <f>IFERROR(__xludf.DUMMYFUNCTION("""COMPUTED_VALUE"""),"Autopilot included")</f>
        <v>Autopilot included</v>
      </c>
      <c r="S233" s="149" t="str">
        <f>IFERROR(__xludf.DUMMYFUNCTION("""COMPUTED_VALUE"""),"Lease")</f>
        <v>Lease</v>
      </c>
      <c r="T233" s="145"/>
      <c r="U233" s="145" t="str">
        <f>IFERROR(__xludf.DUMMYFUNCTION("""COMPUTED_VALUE"""),"Electric!")</f>
        <v>Electric!</v>
      </c>
      <c r="V233" s="145" t="str">
        <f>IFERROR(__xludf.DUMMYFUNCTION("""COMPUTED_VALUE"""),"Blind spot indicators on side mirrors")</f>
        <v>Blind spot indicators on side mirrors</v>
      </c>
      <c r="W233" s="145"/>
      <c r="X233" s="137"/>
      <c r="Y233" s="138"/>
      <c r="Z233" s="138"/>
      <c r="AA233" s="138"/>
      <c r="AB233" s="138"/>
      <c r="AC233" s="139"/>
      <c r="AD233" s="139"/>
      <c r="AE233" s="139"/>
      <c r="AF233" s="140"/>
      <c r="AG233" s="145"/>
      <c r="AH233" s="157">
        <f>IFERROR(__xludf.DUMMYFUNCTION("""COMPUTED_VALUE"""),44494.209943078706)</f>
        <v>44494.20994</v>
      </c>
      <c r="AI233" s="138"/>
      <c r="AJ233" s="138"/>
      <c r="AK233" s="138"/>
      <c r="AL233" s="142"/>
    </row>
    <row r="234" ht="20.25" customHeight="1">
      <c r="A234" s="155" t="str">
        <f>IFERROR(__xludf.DUMMYFUNCTION("""COMPUTED_VALUE"""),"l4r4")</f>
        <v>l4r4</v>
      </c>
      <c r="B234" s="149" t="str">
        <f>IFERROR(__xludf.DUMMYFUNCTION("""COMPUTED_VALUE"""),"Mckinney")</f>
        <v>Mckinney</v>
      </c>
      <c r="C234" s="149" t="str">
        <f>IFERROR(__xludf.DUMMYFUNCTION("""COMPUTED_VALUE"""),"TX")</f>
        <v>TX</v>
      </c>
      <c r="D234" s="149" t="str">
        <f>IFERROR(__xludf.DUMMYFUNCTION("""COMPUTED_VALUE"""),"USA")</f>
        <v>USA</v>
      </c>
      <c r="E234" s="156">
        <f>IFERROR(__xludf.DUMMYFUNCTION("""COMPUTED_VALUE"""),44428.0)</f>
        <v>44428</v>
      </c>
      <c r="F234" s="129">
        <f>IFERROR(__xludf.DUMMYFUNCTION("""COMPUTED_VALUE"""),44441.0)</f>
        <v>44441</v>
      </c>
      <c r="G234" s="154" t="str">
        <f>IFERROR(__xludf.DUMMYFUNCTION("""COMPUTED_VALUE"""),"Manage order page (normal text)")</f>
        <v>Manage order page (normal text)</v>
      </c>
      <c r="H234" s="131">
        <f>IFERROR(__xludf.DUMMYFUNCTION("""COMPUTED_VALUE"""),56155.0)</f>
        <v>56155</v>
      </c>
      <c r="I234" s="144"/>
      <c r="J234" s="129">
        <f>IFERROR(__xludf.DUMMYFUNCTION("""COMPUTED_VALUE"""),44453.0)</f>
        <v>44453</v>
      </c>
      <c r="K234" s="133">
        <f>IFERROR(__xludf.DUMMYFUNCTION("""COMPUTED_VALUE"""),13.0)</f>
        <v>13</v>
      </c>
      <c r="L234" s="133">
        <f>IFERROR(__xludf.DUMMYFUNCTION("""COMPUTED_VALUE"""),12.0)</f>
        <v>12</v>
      </c>
      <c r="M234" s="133">
        <f>IFERROR(__xludf.DUMMYFUNCTION("""COMPUTED_VALUE"""),25.0)</f>
        <v>25</v>
      </c>
      <c r="N234" s="152" t="str">
        <f>IFERROR(__xludf.DUMMYFUNCTION("""COMPUTED_VALUE"""),"Model 3 Performance")</f>
        <v>Model 3 Performance</v>
      </c>
      <c r="O234" s="152" t="str">
        <f>IFERROR(__xludf.DUMMYFUNCTION("""COMPUTED_VALUE"""),"Pearl White Multi-Coat")</f>
        <v>Pearl White Multi-Coat</v>
      </c>
      <c r="P234" s="153" t="str">
        <f>IFERROR(__xludf.DUMMYFUNCTION("""COMPUTED_VALUE"""),"20 inch")</f>
        <v>20 inch</v>
      </c>
      <c r="Q234" s="152" t="str">
        <f>IFERROR(__xludf.DUMMYFUNCTION("""COMPUTED_VALUE"""),"Black and White")</f>
        <v>Black and White</v>
      </c>
      <c r="R234" s="149" t="str">
        <f>IFERROR(__xludf.DUMMYFUNCTION("""COMPUTED_VALUE"""),"Autopilot included")</f>
        <v>Autopilot included</v>
      </c>
      <c r="S234" s="149" t="str">
        <f>IFERROR(__xludf.DUMMYFUNCTION("""COMPUTED_VALUE"""),"Loan")</f>
        <v>Loan</v>
      </c>
      <c r="T234" s="145" t="str">
        <f>IFERROR(__xludf.DUMMYFUNCTION("""COMPUTED_VALUE"""),"Hyundai Santa Fe Limited 2.4")</f>
        <v>Hyundai Santa Fe Limited 2.4</v>
      </c>
      <c r="U234" s="145" t="str">
        <f>IFERROR(__xludf.DUMMYFUNCTION("""COMPUTED_VALUE"""),"Electric!")</f>
        <v>Electric!</v>
      </c>
      <c r="V234" s="145" t="str">
        <f>IFERROR(__xludf.DUMMYFUNCTION("""COMPUTED_VALUE"""),"Head-up display")</f>
        <v>Head-up display</v>
      </c>
      <c r="W234" s="145"/>
      <c r="X234" s="137" t="str">
        <f>IFERROR(__xludf.DUMMYFUNCTION("""COMPUTED_VALUE"""),"Fair")</f>
        <v>Fair</v>
      </c>
      <c r="Y234" s="138" t="str">
        <f>IFERROR(__xludf.DUMMYFUNCTION("""COMPUTED_VALUE"""),"Fair")</f>
        <v>Fair</v>
      </c>
      <c r="Z234" s="138" t="str">
        <f>IFERROR(__xludf.DUMMYFUNCTION("""COMPUTED_VALUE"""),"Good")</f>
        <v>Good</v>
      </c>
      <c r="AA234" s="138" t="str">
        <f>IFERROR(__xludf.DUMMYFUNCTION("""COMPUTED_VALUE"""),"Fair")</f>
        <v>Fair</v>
      </c>
      <c r="AB234" s="138" t="str">
        <f>IFERROR(__xludf.DUMMYFUNCTION("""COMPUTED_VALUE"""),"Fair")</f>
        <v>Fair</v>
      </c>
      <c r="AC234" s="139"/>
      <c r="AD234" s="139"/>
      <c r="AE234" s="139"/>
      <c r="AF234" s="140" t="str">
        <f>IFERROR(__xludf.DUMMYFUNCTION("""COMPUTED_VALUE"""),"No. I took delivery of the first car Tesla was able to deliver.")</f>
        <v>No. I took delivery of the first car Tesla was able to deliver.</v>
      </c>
      <c r="AG234" s="145"/>
      <c r="AH234" s="157">
        <f>IFERROR(__xludf.DUMMYFUNCTION("""COMPUTED_VALUE"""),44454.01965422453)</f>
        <v>44454.01965</v>
      </c>
      <c r="AI234" s="138"/>
      <c r="AJ234" s="138"/>
      <c r="AK234" s="138"/>
      <c r="AL234" s="142"/>
    </row>
    <row r="235" ht="20.25" customHeight="1">
      <c r="A235" s="155" t="str">
        <f>IFERROR(__xludf.DUMMYFUNCTION("""COMPUTED_VALUE"""),"lifjoy")</f>
        <v>lifjoy</v>
      </c>
      <c r="B235" s="149" t="str">
        <f>IFERROR(__xludf.DUMMYFUNCTION("""COMPUTED_VALUE"""),"Bend")</f>
        <v>Bend</v>
      </c>
      <c r="C235" s="149" t="str">
        <f>IFERROR(__xludf.DUMMYFUNCTION("""COMPUTED_VALUE"""),"OR")</f>
        <v>OR</v>
      </c>
      <c r="D235" s="149" t="str">
        <f>IFERROR(__xludf.DUMMYFUNCTION("""COMPUTED_VALUE"""),"USA")</f>
        <v>USA</v>
      </c>
      <c r="E235" s="156">
        <f>IFERROR(__xludf.DUMMYFUNCTION("""COMPUTED_VALUE"""),44428.0)</f>
        <v>44428</v>
      </c>
      <c r="F235" s="129"/>
      <c r="G235" s="154"/>
      <c r="H235" s="131"/>
      <c r="I235" s="144"/>
      <c r="J235" s="129"/>
      <c r="K235" s="133"/>
      <c r="L235" s="133"/>
      <c r="M235" s="133"/>
      <c r="N235" s="152" t="str">
        <f>IFERROR(__xludf.DUMMYFUNCTION("""COMPUTED_VALUE"""),"Model 3 LR AWD")</f>
        <v>Model 3 LR AWD</v>
      </c>
      <c r="O235" s="152" t="str">
        <f>IFERROR(__xludf.DUMMYFUNCTION("""COMPUTED_VALUE"""),"Midnight Silver Metallic")</f>
        <v>Midnight Silver Metallic</v>
      </c>
      <c r="P235" s="153" t="str">
        <f>IFERROR(__xludf.DUMMYFUNCTION("""COMPUTED_VALUE"""),"18 inch")</f>
        <v>18 inch</v>
      </c>
      <c r="Q235" s="152" t="str">
        <f>IFERROR(__xludf.DUMMYFUNCTION("""COMPUTED_VALUE"""),"All Black")</f>
        <v>All Black</v>
      </c>
      <c r="R235" s="149" t="str">
        <f>IFERROR(__xludf.DUMMYFUNCTION("""COMPUTED_VALUE"""),"Autopilot included")</f>
        <v>Autopilot included</v>
      </c>
      <c r="S235" s="149" t="str">
        <f>IFERROR(__xludf.DUMMYFUNCTION("""COMPUTED_VALUE"""),"Cash")</f>
        <v>Cash</v>
      </c>
      <c r="T235" s="145" t="str">
        <f>IFERROR(__xludf.DUMMYFUNCTION("""COMPUTED_VALUE"""),"Audi A4 Allroad")</f>
        <v>Audi A4 Allroad</v>
      </c>
      <c r="U235" s="145" t="str">
        <f>IFERROR(__xludf.DUMMYFUNCTION("""COMPUTED_VALUE"""),"It's just plain cool")</f>
        <v>It's just plain cool</v>
      </c>
      <c r="V235" s="145" t="str">
        <f>IFERROR(__xludf.DUMMYFUNCTION("""COMPUTED_VALUE"""),"360° Bird's eye view")</f>
        <v>360° Bird's eye view</v>
      </c>
      <c r="W235" s="136"/>
      <c r="X235" s="137"/>
      <c r="Y235" s="138"/>
      <c r="Z235" s="138"/>
      <c r="AA235" s="138"/>
      <c r="AB235" s="138"/>
      <c r="AC235" s="139"/>
      <c r="AD235" s="139"/>
      <c r="AE235" s="139"/>
      <c r="AF235" s="140"/>
      <c r="AG235" s="136"/>
      <c r="AH235" s="157">
        <f>IFERROR(__xludf.DUMMYFUNCTION("""COMPUTED_VALUE"""),44441.71280324074)</f>
        <v>44441.7128</v>
      </c>
      <c r="AI235" s="138"/>
      <c r="AJ235" s="138"/>
      <c r="AK235" s="138"/>
      <c r="AL235" s="142"/>
    </row>
    <row r="236" ht="20.25" customHeight="1">
      <c r="A236" s="155" t="str">
        <f>IFERROR(__xludf.DUMMYFUNCTION("""COMPUTED_VALUE"""),"litz")</f>
        <v>litz</v>
      </c>
      <c r="B236" s="149" t="str">
        <f>IFERROR(__xludf.DUMMYFUNCTION("""COMPUTED_VALUE"""),"Sunnyvale")</f>
        <v>Sunnyvale</v>
      </c>
      <c r="C236" s="149" t="str">
        <f>IFERROR(__xludf.DUMMYFUNCTION("""COMPUTED_VALUE"""),"CA")</f>
        <v>CA</v>
      </c>
      <c r="D236" s="149" t="str">
        <f>IFERROR(__xludf.DUMMYFUNCTION("""COMPUTED_VALUE"""),"USA")</f>
        <v>USA</v>
      </c>
      <c r="E236" s="156">
        <f>IFERROR(__xludf.DUMMYFUNCTION("""COMPUTED_VALUE"""),44428.0)</f>
        <v>44428</v>
      </c>
      <c r="F236" s="129">
        <f>IFERROR(__xludf.DUMMYFUNCTION("""COMPUTED_VALUE"""),44464.0)</f>
        <v>44464</v>
      </c>
      <c r="G236" s="154" t="str">
        <f>IFERROR(__xludf.DUMMYFUNCTION("""COMPUTED_VALUE"""),"Manage order page (normal text)")</f>
        <v>Manage order page (normal text)</v>
      </c>
      <c r="H236" s="131"/>
      <c r="I236" s="144" t="str">
        <f>IFERROR(__xludf.DUMMYFUNCTION("""COMPUTED_VALUE"""),"09/21")</f>
        <v>09/21</v>
      </c>
      <c r="J236" s="129">
        <f>IFERROR(__xludf.DUMMYFUNCTION("""COMPUTED_VALUE"""),44464.0)</f>
        <v>44464</v>
      </c>
      <c r="K236" s="133">
        <f>IFERROR(__xludf.DUMMYFUNCTION("""COMPUTED_VALUE"""),36.0)</f>
        <v>36</v>
      </c>
      <c r="L236" s="133">
        <f>IFERROR(__xludf.DUMMYFUNCTION("""COMPUTED_VALUE"""),0.0)</f>
        <v>0</v>
      </c>
      <c r="M236" s="133">
        <f>IFERROR(__xludf.DUMMYFUNCTION("""COMPUTED_VALUE"""),36.0)</f>
        <v>36</v>
      </c>
      <c r="N236" s="152" t="str">
        <f>IFERROR(__xludf.DUMMYFUNCTION("""COMPUTED_VALUE"""),"Model 3 SR+")</f>
        <v>Model 3 SR+</v>
      </c>
      <c r="O236" s="152" t="str">
        <f>IFERROR(__xludf.DUMMYFUNCTION("""COMPUTED_VALUE"""),"Red Multi-Coat")</f>
        <v>Red Multi-Coat</v>
      </c>
      <c r="P236" s="153" t="str">
        <f>IFERROR(__xludf.DUMMYFUNCTION("""COMPUTED_VALUE"""),"19 inch")</f>
        <v>19 inch</v>
      </c>
      <c r="Q236" s="152" t="str">
        <f>IFERROR(__xludf.DUMMYFUNCTION("""COMPUTED_VALUE"""),"Black and White")</f>
        <v>Black and White</v>
      </c>
      <c r="R236" s="149" t="str">
        <f>IFERROR(__xludf.DUMMYFUNCTION("""COMPUTED_VALUE"""),"Autopilot included")</f>
        <v>Autopilot included</v>
      </c>
      <c r="S236" s="149" t="str">
        <f>IFERROR(__xludf.DUMMYFUNCTION("""COMPUTED_VALUE"""),"Loan")</f>
        <v>Loan</v>
      </c>
      <c r="T236" s="145" t="str">
        <f>IFERROR(__xludf.DUMMYFUNCTION("""COMPUTED_VALUE"""),"Honda CRV")</f>
        <v>Honda CRV</v>
      </c>
      <c r="U236" s="145" t="str">
        <f>IFERROR(__xludf.DUMMYFUNCTION("""COMPUTED_VALUE"""),"Tesla brand image")</f>
        <v>Tesla brand image</v>
      </c>
      <c r="V236" s="145" t="str">
        <f>IFERROR(__xludf.DUMMYFUNCTION("""COMPUTED_VALUE"""),"Ventilated seats")</f>
        <v>Ventilated seats</v>
      </c>
      <c r="W236" s="136"/>
      <c r="X236" s="137" t="str">
        <f>IFERROR(__xludf.DUMMYFUNCTION("""COMPUTED_VALUE"""),"Excellent")</f>
        <v>Excellent</v>
      </c>
      <c r="Y236" s="138" t="str">
        <f>IFERROR(__xludf.DUMMYFUNCTION("""COMPUTED_VALUE"""),"Excellent")</f>
        <v>Excellent</v>
      </c>
      <c r="Z236" s="138" t="str">
        <f>IFERROR(__xludf.DUMMYFUNCTION("""COMPUTED_VALUE"""),"Excellent")</f>
        <v>Excellent</v>
      </c>
      <c r="AA236" s="138" t="str">
        <f>IFERROR(__xludf.DUMMYFUNCTION("""COMPUTED_VALUE"""),"Excellent")</f>
        <v>Excellent</v>
      </c>
      <c r="AB236" s="138" t="str">
        <f>IFERROR(__xludf.DUMMYFUNCTION("""COMPUTED_VALUE"""),"Excellent")</f>
        <v>Excellent</v>
      </c>
      <c r="AC236" s="139"/>
      <c r="AD236" s="139"/>
      <c r="AE236" s="139"/>
      <c r="AF236" s="140" t="str">
        <f>IFERROR(__xludf.DUMMYFUNCTION("""COMPUTED_VALUE"""),"No. I took delivery of the first car Tesla was able to deliver.")</f>
        <v>No. I took delivery of the first car Tesla was able to deliver.</v>
      </c>
      <c r="AG236" s="136"/>
      <c r="AH236" s="157">
        <f>IFERROR(__xludf.DUMMYFUNCTION("""COMPUTED_VALUE"""),44464.70124659722)</f>
        <v>44464.70125</v>
      </c>
      <c r="AI236" s="138"/>
      <c r="AJ236" s="138"/>
      <c r="AK236" s="138"/>
      <c r="AL236" s="142"/>
    </row>
    <row r="237" ht="20.25" customHeight="1">
      <c r="A237" s="155" t="str">
        <f>IFERROR(__xludf.DUMMYFUNCTION("""COMPUTED_VALUE"""),"Sh0ptildr ")</f>
        <v>Sh0ptildr </v>
      </c>
      <c r="B237" s="149"/>
      <c r="C237" s="149" t="str">
        <f>IFERROR(__xludf.DUMMYFUNCTION("""COMPUTED_VALUE"""),"AL")</f>
        <v>AL</v>
      </c>
      <c r="D237" s="149" t="str">
        <f>IFERROR(__xludf.DUMMYFUNCTION("""COMPUTED_VALUE"""),"USA")</f>
        <v>USA</v>
      </c>
      <c r="E237" s="156">
        <f>IFERROR(__xludf.DUMMYFUNCTION("""COMPUTED_VALUE"""),44428.0)</f>
        <v>44428</v>
      </c>
      <c r="F237" s="129"/>
      <c r="G237" s="154"/>
      <c r="H237" s="131"/>
      <c r="I237" s="132"/>
      <c r="J237" s="129"/>
      <c r="K237" s="133"/>
      <c r="L237" s="133"/>
      <c r="M237" s="133"/>
      <c r="N237" s="152" t="str">
        <f>IFERROR(__xludf.DUMMYFUNCTION("""COMPUTED_VALUE"""),"Model 3 SR+")</f>
        <v>Model 3 SR+</v>
      </c>
      <c r="O237" s="152" t="str">
        <f>IFERROR(__xludf.DUMMYFUNCTION("""COMPUTED_VALUE"""),"Pearl White Multi-Coat")</f>
        <v>Pearl White Multi-Coat</v>
      </c>
      <c r="P237" s="153" t="str">
        <f>IFERROR(__xludf.DUMMYFUNCTION("""COMPUTED_VALUE"""),"18 inch")</f>
        <v>18 inch</v>
      </c>
      <c r="Q237" s="152" t="str">
        <f>IFERROR(__xludf.DUMMYFUNCTION("""COMPUTED_VALUE"""),"Black and White")</f>
        <v>Black and White</v>
      </c>
      <c r="R237" s="150" t="str">
        <f>IFERROR(__xludf.DUMMYFUNCTION("""COMPUTED_VALUE"""),"Autopilot included")</f>
        <v>Autopilot included</v>
      </c>
      <c r="S237" s="150" t="str">
        <f>IFERROR(__xludf.DUMMYFUNCTION("""COMPUTED_VALUE"""),"Loan")</f>
        <v>Loan</v>
      </c>
      <c r="T237" s="136" t="str">
        <f>IFERROR(__xludf.DUMMYFUNCTION("""COMPUTED_VALUE"""),"Tesla Model X")</f>
        <v>Tesla Model X</v>
      </c>
      <c r="U237" s="136" t="str">
        <f>IFERROR(__xludf.DUMMYFUNCTION("""COMPUTED_VALUE"""),"Electric!")</f>
        <v>Electric!</v>
      </c>
      <c r="V237" s="136" t="str">
        <f>IFERROR(__xludf.DUMMYFUNCTION("""COMPUTED_VALUE"""),"HomeLink")</f>
        <v>HomeLink</v>
      </c>
      <c r="W237" s="145"/>
      <c r="X237" s="151"/>
      <c r="Y237" s="138"/>
      <c r="Z237" s="138"/>
      <c r="AA237" s="138"/>
      <c r="AB237" s="138"/>
      <c r="AC237" s="139"/>
      <c r="AD237" s="139"/>
      <c r="AE237" s="139"/>
      <c r="AF237" s="140"/>
      <c r="AG237" s="136"/>
      <c r="AH237" s="157">
        <f>IFERROR(__xludf.DUMMYFUNCTION("""COMPUTED_VALUE"""),44432.842964780095)</f>
        <v>44432.84296</v>
      </c>
      <c r="AI237" s="138"/>
      <c r="AJ237" s="138"/>
      <c r="AK237" s="138"/>
      <c r="AL237" s="142"/>
    </row>
    <row r="238" ht="20.25" customHeight="1">
      <c r="A238" s="155" t="str">
        <f>IFERROR(__xludf.DUMMYFUNCTION("""COMPUTED_VALUE"""),"TeslaLover2000")</f>
        <v>TeslaLover2000</v>
      </c>
      <c r="B238" s="149" t="str">
        <f>IFERROR(__xludf.DUMMYFUNCTION("""COMPUTED_VALUE"""),"Temecula")</f>
        <v>Temecula</v>
      </c>
      <c r="C238" s="149" t="str">
        <f>IFERROR(__xludf.DUMMYFUNCTION("""COMPUTED_VALUE"""),"CA")</f>
        <v>CA</v>
      </c>
      <c r="D238" s="149" t="str">
        <f>IFERROR(__xludf.DUMMYFUNCTION("""COMPUTED_VALUE"""),"USA")</f>
        <v>USA</v>
      </c>
      <c r="E238" s="156">
        <f>IFERROR(__xludf.DUMMYFUNCTION("""COMPUTED_VALUE"""),44428.0)</f>
        <v>44428</v>
      </c>
      <c r="F238" s="129"/>
      <c r="G238" s="154"/>
      <c r="H238" s="131"/>
      <c r="I238" s="144"/>
      <c r="J238" s="129"/>
      <c r="K238" s="133"/>
      <c r="L238" s="133"/>
      <c r="M238" s="133"/>
      <c r="N238" s="152" t="str">
        <f>IFERROR(__xludf.DUMMYFUNCTION("""COMPUTED_VALUE"""),"Model 3 SR+")</f>
        <v>Model 3 SR+</v>
      </c>
      <c r="O238" s="152" t="str">
        <f>IFERROR(__xludf.DUMMYFUNCTION("""COMPUTED_VALUE"""),"Pearl White Multi-Coat")</f>
        <v>Pearl White Multi-Coat</v>
      </c>
      <c r="P238" s="153" t="str">
        <f>IFERROR(__xludf.DUMMYFUNCTION("""COMPUTED_VALUE"""),"18 inch")</f>
        <v>18 inch</v>
      </c>
      <c r="Q238" s="152" t="str">
        <f>IFERROR(__xludf.DUMMYFUNCTION("""COMPUTED_VALUE"""),"All Black")</f>
        <v>All Black</v>
      </c>
      <c r="R238" s="149" t="str">
        <f>IFERROR(__xludf.DUMMYFUNCTION("""COMPUTED_VALUE"""),"Autopilot included")</f>
        <v>Autopilot included</v>
      </c>
      <c r="S238" s="149" t="str">
        <f>IFERROR(__xludf.DUMMYFUNCTION("""COMPUTED_VALUE"""),"Loan")</f>
        <v>Loan</v>
      </c>
      <c r="T238" s="145" t="str">
        <f>IFERROR(__xludf.DUMMYFUNCTION("""COMPUTED_VALUE"""),"Model 3 will be my first car!")</f>
        <v>Model 3 will be my first car!</v>
      </c>
      <c r="U238" s="145" t="str">
        <f>IFERROR(__xludf.DUMMYFUNCTION("""COMPUTED_VALUE"""),"Electric!")</f>
        <v>Electric!</v>
      </c>
      <c r="V238" s="145" t="str">
        <f>IFERROR(__xludf.DUMMYFUNCTION("""COMPUTED_VALUE"""),"Head-up display")</f>
        <v>Head-up display</v>
      </c>
      <c r="W238" s="145"/>
      <c r="X238" s="137"/>
      <c r="Y238" s="138"/>
      <c r="Z238" s="138"/>
      <c r="AA238" s="138"/>
      <c r="AB238" s="138"/>
      <c r="AC238" s="139"/>
      <c r="AD238" s="139"/>
      <c r="AE238" s="139"/>
      <c r="AF238" s="140"/>
      <c r="AG238" s="145"/>
      <c r="AH238" s="157">
        <f>IFERROR(__xludf.DUMMYFUNCTION("""COMPUTED_VALUE"""),44429.37898513889)</f>
        <v>44429.37899</v>
      </c>
      <c r="AI238" s="138"/>
      <c r="AJ238" s="138"/>
      <c r="AK238" s="138"/>
      <c r="AL238" s="142"/>
    </row>
    <row r="239" ht="20.25" customHeight="1">
      <c r="A239" s="155" t="str">
        <f>IFERROR(__xludf.DUMMYFUNCTION("""COMPUTED_VALUE"""),"BEATsc")</f>
        <v>BEATsc</v>
      </c>
      <c r="B239" s="149" t="str">
        <f>IFERROR(__xludf.DUMMYFUNCTION("""COMPUTED_VALUE"""),"Long Beach")</f>
        <v>Long Beach</v>
      </c>
      <c r="C239" s="149" t="str">
        <f>IFERROR(__xludf.DUMMYFUNCTION("""COMPUTED_VALUE"""),"CA")</f>
        <v>CA</v>
      </c>
      <c r="D239" s="149" t="str">
        <f>IFERROR(__xludf.DUMMYFUNCTION("""COMPUTED_VALUE"""),"USA")</f>
        <v>USA</v>
      </c>
      <c r="E239" s="156">
        <f>IFERROR(__xludf.DUMMYFUNCTION("""COMPUTED_VALUE"""),44427.0)</f>
        <v>44427</v>
      </c>
      <c r="F239" s="129"/>
      <c r="G239" s="154"/>
      <c r="H239" s="131"/>
      <c r="I239" s="132"/>
      <c r="J239" s="129"/>
      <c r="K239" s="133"/>
      <c r="L239" s="133"/>
      <c r="M239" s="133"/>
      <c r="N239" s="152" t="str">
        <f>IFERROR(__xludf.DUMMYFUNCTION("""COMPUTED_VALUE"""),"Model 3 SR+")</f>
        <v>Model 3 SR+</v>
      </c>
      <c r="O239" s="152" t="str">
        <f>IFERROR(__xludf.DUMMYFUNCTION("""COMPUTED_VALUE"""),"Deep Blue Metallic")</f>
        <v>Deep Blue Metallic</v>
      </c>
      <c r="P239" s="153" t="str">
        <f>IFERROR(__xludf.DUMMYFUNCTION("""COMPUTED_VALUE"""),"18 inch")</f>
        <v>18 inch</v>
      </c>
      <c r="Q239" s="152" t="str">
        <f>IFERROR(__xludf.DUMMYFUNCTION("""COMPUTED_VALUE"""),"Black and White")</f>
        <v>Black and White</v>
      </c>
      <c r="R239" s="150" t="str">
        <f>IFERROR(__xludf.DUMMYFUNCTION("""COMPUTED_VALUE"""),"Autopilot included")</f>
        <v>Autopilot included</v>
      </c>
      <c r="S239" s="150" t="str">
        <f>IFERROR(__xludf.DUMMYFUNCTION("""COMPUTED_VALUE"""),"Lease")</f>
        <v>Lease</v>
      </c>
      <c r="T239" s="136" t="str">
        <f>IFERROR(__xludf.DUMMYFUNCTION("""COMPUTED_VALUE"""),"Toyota Camry")</f>
        <v>Toyota Camry</v>
      </c>
      <c r="U239" s="136"/>
      <c r="V239" s="136" t="str">
        <f>IFERROR(__xludf.DUMMYFUNCTION("""COMPUTED_VALUE"""),"Apple CarPlay / Android Auto / SiriusXM Radio")</f>
        <v>Apple CarPlay / Android Auto / SiriusXM Radio</v>
      </c>
      <c r="W239" s="136"/>
      <c r="X239" s="137"/>
      <c r="Y239" s="138"/>
      <c r="Z239" s="138"/>
      <c r="AA239" s="138"/>
      <c r="AB239" s="138"/>
      <c r="AC239" s="139"/>
      <c r="AD239" s="139"/>
      <c r="AE239" s="139"/>
      <c r="AF239" s="140"/>
      <c r="AG239" s="136"/>
      <c r="AH239" s="157">
        <f>IFERROR(__xludf.DUMMYFUNCTION("""COMPUTED_VALUE"""),44468.724882256945)</f>
        <v>44468.72488</v>
      </c>
      <c r="AI239" s="138"/>
      <c r="AJ239" s="138"/>
      <c r="AK239" s="138"/>
      <c r="AL239" s="142"/>
    </row>
    <row r="240" ht="20.25" customHeight="1">
      <c r="A240" s="155" t="str">
        <f>IFERROR(__xludf.DUMMYFUNCTION("""COMPUTED_VALUE"""),"bmw0086")</f>
        <v>bmw0086</v>
      </c>
      <c r="B240" s="149" t="str">
        <f>IFERROR(__xludf.DUMMYFUNCTION("""COMPUTED_VALUE"""),"Dallas")</f>
        <v>Dallas</v>
      </c>
      <c r="C240" s="149" t="str">
        <f>IFERROR(__xludf.DUMMYFUNCTION("""COMPUTED_VALUE"""),"TX")</f>
        <v>TX</v>
      </c>
      <c r="D240" s="149" t="str">
        <f>IFERROR(__xludf.DUMMYFUNCTION("""COMPUTED_VALUE"""),"USA")</f>
        <v>USA</v>
      </c>
      <c r="E240" s="156">
        <f>IFERROR(__xludf.DUMMYFUNCTION("""COMPUTED_VALUE"""),44427.0)</f>
        <v>44427</v>
      </c>
      <c r="F240" s="129">
        <f>IFERROR(__xludf.DUMMYFUNCTION("""COMPUTED_VALUE"""),44454.0)</f>
        <v>44454</v>
      </c>
      <c r="G240" s="154" t="str">
        <f>IFERROR(__xludf.DUMMYFUNCTION("""COMPUTED_VALUE"""),"Manage order page (normal text)")</f>
        <v>Manage order page (normal text)</v>
      </c>
      <c r="H240" s="131">
        <f>IFERROR(__xludf.DUMMYFUNCTION("""COMPUTED_VALUE"""),67407.0)</f>
        <v>67407</v>
      </c>
      <c r="I240" s="144"/>
      <c r="J240" s="129">
        <f>IFERROR(__xludf.DUMMYFUNCTION("""COMPUTED_VALUE"""),44466.0)</f>
        <v>44466</v>
      </c>
      <c r="K240" s="133">
        <f>IFERROR(__xludf.DUMMYFUNCTION("""COMPUTED_VALUE"""),27.0)</f>
        <v>27</v>
      </c>
      <c r="L240" s="133">
        <f>IFERROR(__xludf.DUMMYFUNCTION("""COMPUTED_VALUE"""),12.0)</f>
        <v>12</v>
      </c>
      <c r="M240" s="133">
        <f>IFERROR(__xludf.DUMMYFUNCTION("""COMPUTED_VALUE"""),39.0)</f>
        <v>39</v>
      </c>
      <c r="N240" s="152" t="str">
        <f>IFERROR(__xludf.DUMMYFUNCTION("""COMPUTED_VALUE"""),"Model 3 LR AWD")</f>
        <v>Model 3 LR AWD</v>
      </c>
      <c r="O240" s="152" t="str">
        <f>IFERROR(__xludf.DUMMYFUNCTION("""COMPUTED_VALUE"""),"Midnight Silver Metallic")</f>
        <v>Midnight Silver Metallic</v>
      </c>
      <c r="P240" s="153" t="str">
        <f>IFERROR(__xludf.DUMMYFUNCTION("""COMPUTED_VALUE"""),"18 inch")</f>
        <v>18 inch</v>
      </c>
      <c r="Q240" s="152" t="str">
        <f>IFERROR(__xludf.DUMMYFUNCTION("""COMPUTED_VALUE"""),"All Black")</f>
        <v>All Black</v>
      </c>
      <c r="R240" s="149" t="str">
        <f>IFERROR(__xludf.DUMMYFUNCTION("""COMPUTED_VALUE"""),"Autopilot included")</f>
        <v>Autopilot included</v>
      </c>
      <c r="S240" s="149" t="str">
        <f>IFERROR(__xludf.DUMMYFUNCTION("""COMPUTED_VALUE"""),"Loan")</f>
        <v>Loan</v>
      </c>
      <c r="T240" s="145" t="str">
        <f>IFERROR(__xludf.DUMMYFUNCTION("""COMPUTED_VALUE"""),"Lexus")</f>
        <v>Lexus</v>
      </c>
      <c r="U240" s="145" t="str">
        <f>IFERROR(__xludf.DUMMYFUNCTION("""COMPUTED_VALUE"""),"Electric!")</f>
        <v>Electric!</v>
      </c>
      <c r="V240" s="145" t="str">
        <f>IFERROR(__xludf.DUMMYFUNCTION("""COMPUTED_VALUE"""),"Apple CarPlay / Android Auto / SiriusXM Radio")</f>
        <v>Apple CarPlay / Android Auto / SiriusXM Radio</v>
      </c>
      <c r="W240" s="136"/>
      <c r="X240" s="137"/>
      <c r="Y240" s="138"/>
      <c r="Z240" s="138"/>
      <c r="AA240" s="138"/>
      <c r="AB240" s="138"/>
      <c r="AC240" s="139"/>
      <c r="AD240" s="139"/>
      <c r="AE240" s="139"/>
      <c r="AF240" s="140"/>
      <c r="AG240" s="136"/>
      <c r="AH240" s="157">
        <f>IFERROR(__xludf.DUMMYFUNCTION("""COMPUTED_VALUE"""),44468.62968788194)</f>
        <v>44468.62969</v>
      </c>
      <c r="AI240" s="138"/>
      <c r="AJ240" s="138"/>
      <c r="AK240" s="138"/>
      <c r="AL240" s="142"/>
    </row>
    <row r="241" ht="20.25" customHeight="1">
      <c r="A241" s="155" t="str">
        <f>IFERROR(__xludf.DUMMYFUNCTION("""COMPUTED_VALUE"""),"Msites106 ")</f>
        <v>Msites106 </v>
      </c>
      <c r="B241" s="149" t="str">
        <f>IFERROR(__xludf.DUMMYFUNCTION("""COMPUTED_VALUE"""),"Martinsburg")</f>
        <v>Martinsburg</v>
      </c>
      <c r="C241" s="149" t="str">
        <f>IFERROR(__xludf.DUMMYFUNCTION("""COMPUTED_VALUE"""),"WV")</f>
        <v>WV</v>
      </c>
      <c r="D241" s="149" t="str">
        <f>IFERROR(__xludf.DUMMYFUNCTION("""COMPUTED_VALUE"""),"USA")</f>
        <v>USA</v>
      </c>
      <c r="E241" s="156">
        <f>IFERROR(__xludf.DUMMYFUNCTION("""COMPUTED_VALUE"""),44427.0)</f>
        <v>44427</v>
      </c>
      <c r="F241" s="129">
        <f>IFERROR(__xludf.DUMMYFUNCTION("""COMPUTED_VALUE"""),41163.0)</f>
        <v>41163</v>
      </c>
      <c r="G241" s="154" t="str">
        <f>IFERROR(__xludf.DUMMYFUNCTION("""COMPUTED_VALUE"""),"Manage order page (normal text)")</f>
        <v>Manage order page (normal text)</v>
      </c>
      <c r="H241" s="131">
        <f>IFERROR(__xludf.DUMMYFUNCTION("""COMPUTED_VALUE"""),54858.0)</f>
        <v>54858</v>
      </c>
      <c r="I241" s="144" t="str">
        <f>IFERROR(__xludf.DUMMYFUNCTION("""COMPUTED_VALUE"""),"09/21")</f>
        <v>09/21</v>
      </c>
      <c r="J241" s="129">
        <f>IFERROR(__xludf.DUMMYFUNCTION("""COMPUTED_VALUE"""),44455.0)</f>
        <v>44455</v>
      </c>
      <c r="K241" s="133"/>
      <c r="L241" s="133"/>
      <c r="M241" s="133">
        <f>IFERROR(__xludf.DUMMYFUNCTION("""COMPUTED_VALUE"""),28.0)</f>
        <v>28</v>
      </c>
      <c r="N241" s="152" t="str">
        <f>IFERROR(__xludf.DUMMYFUNCTION("""COMPUTED_VALUE"""),"Model 3 LR AWD")</f>
        <v>Model 3 LR AWD</v>
      </c>
      <c r="O241" s="152" t="str">
        <f>IFERROR(__xludf.DUMMYFUNCTION("""COMPUTED_VALUE"""),"Midnight Silver Metallic")</f>
        <v>Midnight Silver Metallic</v>
      </c>
      <c r="P241" s="153" t="str">
        <f>IFERROR(__xludf.DUMMYFUNCTION("""COMPUTED_VALUE"""),"18 inch")</f>
        <v>18 inch</v>
      </c>
      <c r="Q241" s="152" t="str">
        <f>IFERROR(__xludf.DUMMYFUNCTION("""COMPUTED_VALUE"""),"All Black")</f>
        <v>All Black</v>
      </c>
      <c r="R241" s="149" t="str">
        <f>IFERROR(__xludf.DUMMYFUNCTION("""COMPUTED_VALUE"""),"Autopilot included")</f>
        <v>Autopilot included</v>
      </c>
      <c r="S241" s="149" t="str">
        <f>IFERROR(__xludf.DUMMYFUNCTION("""COMPUTED_VALUE"""),"Loan")</f>
        <v>Loan</v>
      </c>
      <c r="T241" s="145" t="str">
        <f>IFERROR(__xludf.DUMMYFUNCTION("""COMPUTED_VALUE"""),"Chevy Cruze")</f>
        <v>Chevy Cruze</v>
      </c>
      <c r="U241" s="145" t="str">
        <f>IFERROR(__xludf.DUMMYFUNCTION("""COMPUTED_VALUE"""),"Electric!")</f>
        <v>Electric!</v>
      </c>
      <c r="V241" s="145" t="str">
        <f>IFERROR(__xludf.DUMMYFUNCTION("""COMPUTED_VALUE"""),"Ventilated seats")</f>
        <v>Ventilated seats</v>
      </c>
      <c r="W241" s="145"/>
      <c r="X241" s="137" t="str">
        <f>IFERROR(__xludf.DUMMYFUNCTION("""COMPUTED_VALUE"""),"Excellent")</f>
        <v>Excellent</v>
      </c>
      <c r="Y241" s="138" t="str">
        <f>IFERROR(__xludf.DUMMYFUNCTION("""COMPUTED_VALUE"""),"Excellent")</f>
        <v>Excellent</v>
      </c>
      <c r="Z241" s="138" t="str">
        <f>IFERROR(__xludf.DUMMYFUNCTION("""COMPUTED_VALUE"""),"Excellent")</f>
        <v>Excellent</v>
      </c>
      <c r="AA241" s="138" t="str">
        <f>IFERROR(__xludf.DUMMYFUNCTION("""COMPUTED_VALUE"""),"Excellent")</f>
        <v>Excellent</v>
      </c>
      <c r="AB241" s="138" t="str">
        <f>IFERROR(__xludf.DUMMYFUNCTION("""COMPUTED_VALUE"""),"Excellent")</f>
        <v>Excellent</v>
      </c>
      <c r="AC241" s="139">
        <f>IFERROR(__xludf.DUMMYFUNCTION("""COMPUTED_VALUE"""),1.0)</f>
        <v>1</v>
      </c>
      <c r="AD241" s="139"/>
      <c r="AE241" s="139"/>
      <c r="AF241" s="140" t="str">
        <f>IFERROR(__xludf.DUMMYFUNCTION("""COMPUTED_VALUE"""),"No. I took delivery of the first car Tesla was able to deliver.")</f>
        <v>No. I took delivery of the first car Tesla was able to deliver.</v>
      </c>
      <c r="AG241" s="145"/>
      <c r="AH241" s="157">
        <f>IFERROR(__xludf.DUMMYFUNCTION("""COMPUTED_VALUE"""),44457.670076793984)</f>
        <v>44457.67008</v>
      </c>
      <c r="AI241" s="138"/>
      <c r="AJ241" s="138"/>
      <c r="AK241" s="138"/>
      <c r="AL241" s="142"/>
    </row>
    <row r="242" ht="20.25" customHeight="1">
      <c r="A242" s="155" t="str">
        <f>IFERROR(__xludf.DUMMYFUNCTION("""COMPUTED_VALUE"""),"scoobybri")</f>
        <v>scoobybri</v>
      </c>
      <c r="B242" s="149" t="str">
        <f>IFERROR(__xludf.DUMMYFUNCTION("""COMPUTED_VALUE"""),"Chesterfield")</f>
        <v>Chesterfield</v>
      </c>
      <c r="C242" s="149" t="str">
        <f>IFERROR(__xludf.DUMMYFUNCTION("""COMPUTED_VALUE"""),"VA")</f>
        <v>VA</v>
      </c>
      <c r="D242" s="149" t="str">
        <f>IFERROR(__xludf.DUMMYFUNCTION("""COMPUTED_VALUE"""),"USA")</f>
        <v>USA</v>
      </c>
      <c r="E242" s="156">
        <f>IFERROR(__xludf.DUMMYFUNCTION("""COMPUTED_VALUE"""),44427.0)</f>
        <v>44427</v>
      </c>
      <c r="F242" s="129">
        <f>IFERROR(__xludf.DUMMYFUNCTION("""COMPUTED_VALUE"""),44446.0)</f>
        <v>44446</v>
      </c>
      <c r="G242" s="154" t="str">
        <f>IFERROR(__xludf.DUMMYFUNCTION("""COMPUTED_VALUE"""),"Manage order page (normal text)")</f>
        <v>Manage order page (normal text)</v>
      </c>
      <c r="H242" s="131">
        <f>IFERROR(__xludf.DUMMYFUNCTION("""COMPUTED_VALUE"""),63955.0)</f>
        <v>63955</v>
      </c>
      <c r="I242" s="144"/>
      <c r="J242" s="129">
        <f>IFERROR(__xludf.DUMMYFUNCTION("""COMPUTED_VALUE"""),44460.0)</f>
        <v>44460</v>
      </c>
      <c r="K242" s="133">
        <f>IFERROR(__xludf.DUMMYFUNCTION("""COMPUTED_VALUE"""),19.0)</f>
        <v>19</v>
      </c>
      <c r="L242" s="133">
        <f>IFERROR(__xludf.DUMMYFUNCTION("""COMPUTED_VALUE"""),14.0)</f>
        <v>14</v>
      </c>
      <c r="M242" s="133">
        <f>IFERROR(__xludf.DUMMYFUNCTION("""COMPUTED_VALUE"""),33.0)</f>
        <v>33</v>
      </c>
      <c r="N242" s="152" t="str">
        <f>IFERROR(__xludf.DUMMYFUNCTION("""COMPUTED_VALUE"""),"Model 3 LR AWD")</f>
        <v>Model 3 LR AWD</v>
      </c>
      <c r="O242" s="152" t="str">
        <f>IFERROR(__xludf.DUMMYFUNCTION("""COMPUTED_VALUE"""),"Deep Blue Metallic")</f>
        <v>Deep Blue Metallic</v>
      </c>
      <c r="P242" s="153" t="str">
        <f>IFERROR(__xludf.DUMMYFUNCTION("""COMPUTED_VALUE"""),"18 inch")</f>
        <v>18 inch</v>
      </c>
      <c r="Q242" s="152" t="str">
        <f>IFERROR(__xludf.DUMMYFUNCTION("""COMPUTED_VALUE"""),"All Black")</f>
        <v>All Black</v>
      </c>
      <c r="R242" s="149" t="str">
        <f>IFERROR(__xludf.DUMMYFUNCTION("""COMPUTED_VALUE"""),"Autopilot included")</f>
        <v>Autopilot included</v>
      </c>
      <c r="S242" s="149" t="str">
        <f>IFERROR(__xludf.DUMMYFUNCTION("""COMPUTED_VALUE"""),"Cash")</f>
        <v>Cash</v>
      </c>
      <c r="T242" s="145" t="str">
        <f>IFERROR(__xludf.DUMMYFUNCTION("""COMPUTED_VALUE"""),"Chevy Bolt")</f>
        <v>Chevy Bolt</v>
      </c>
      <c r="U242" s="145" t="str">
        <f>IFERROR(__xludf.DUMMYFUNCTION("""COMPUTED_VALUE"""),"Range")</f>
        <v>Range</v>
      </c>
      <c r="V242" s="145" t="str">
        <f>IFERROR(__xludf.DUMMYFUNCTION("""COMPUTED_VALUE"""),"Apple CarPlay / Android Auto / SiriusXM Radio")</f>
        <v>Apple CarPlay / Android Auto / SiriusXM Radio</v>
      </c>
      <c r="W242" s="145"/>
      <c r="X242" s="137"/>
      <c r="Y242" s="138"/>
      <c r="Z242" s="138"/>
      <c r="AA242" s="138"/>
      <c r="AB242" s="138"/>
      <c r="AC242" s="139"/>
      <c r="AD242" s="139"/>
      <c r="AE242" s="139"/>
      <c r="AF242" s="140"/>
      <c r="AG242" s="145"/>
      <c r="AH242" s="157">
        <f>IFERROR(__xludf.DUMMYFUNCTION("""COMPUTED_VALUE"""),44449.34196290509)</f>
        <v>44449.34196</v>
      </c>
      <c r="AI242" s="138"/>
      <c r="AJ242" s="138"/>
      <c r="AK242" s="138"/>
      <c r="AL242" s="142"/>
    </row>
    <row r="243" ht="20.25" customHeight="1">
      <c r="A243" s="155" t="str">
        <f>IFERROR(__xludf.DUMMYFUNCTION("""COMPUTED_VALUE"""),"aerodyno")</f>
        <v>aerodyno</v>
      </c>
      <c r="B243" s="149" t="str">
        <f>IFERROR(__xludf.DUMMYFUNCTION("""COMPUTED_VALUE"""),"Princeton")</f>
        <v>Princeton</v>
      </c>
      <c r="C243" s="149" t="str">
        <f>IFERROR(__xludf.DUMMYFUNCTION("""COMPUTED_VALUE"""),"NJ")</f>
        <v>NJ</v>
      </c>
      <c r="D243" s="149" t="str">
        <f>IFERROR(__xludf.DUMMYFUNCTION("""COMPUTED_VALUE"""),"USA")</f>
        <v>USA</v>
      </c>
      <c r="E243" s="156">
        <f>IFERROR(__xludf.DUMMYFUNCTION("""COMPUTED_VALUE"""),44426.0)</f>
        <v>44426</v>
      </c>
      <c r="F243" s="129">
        <f>IFERROR(__xludf.DUMMYFUNCTION("""COMPUTED_VALUE"""),44440.0)</f>
        <v>44440</v>
      </c>
      <c r="G243" s="154" t="str">
        <f>IFERROR(__xludf.DUMMYFUNCTION("""COMPUTED_VALUE"""),"Manage order page (normal text)")</f>
        <v>Manage order page (normal text)</v>
      </c>
      <c r="H243" s="131">
        <f>IFERROR(__xludf.DUMMYFUNCTION("""COMPUTED_VALUE"""),56055.0)</f>
        <v>56055</v>
      </c>
      <c r="I243" s="144" t="str">
        <f>IFERROR(__xludf.DUMMYFUNCTION("""COMPUTED_VALUE"""),"09/21")</f>
        <v>09/21</v>
      </c>
      <c r="J243" s="129">
        <f>IFERROR(__xludf.DUMMYFUNCTION("""COMPUTED_VALUE"""),44456.0)</f>
        <v>44456</v>
      </c>
      <c r="K243" s="133">
        <f>IFERROR(__xludf.DUMMYFUNCTION("""COMPUTED_VALUE"""),14.0)</f>
        <v>14</v>
      </c>
      <c r="L243" s="133">
        <f>IFERROR(__xludf.DUMMYFUNCTION("""COMPUTED_VALUE"""),16.0)</f>
        <v>16</v>
      </c>
      <c r="M243" s="133">
        <f>IFERROR(__xludf.DUMMYFUNCTION("""COMPUTED_VALUE"""),30.0)</f>
        <v>30</v>
      </c>
      <c r="N243" s="152" t="str">
        <f>IFERROR(__xludf.DUMMYFUNCTION("""COMPUTED_VALUE"""),"Model 3 LR AWD")</f>
        <v>Model 3 LR AWD</v>
      </c>
      <c r="O243" s="152" t="str">
        <f>IFERROR(__xludf.DUMMYFUNCTION("""COMPUTED_VALUE"""),"Deep Blue Metallic")</f>
        <v>Deep Blue Metallic</v>
      </c>
      <c r="P243" s="153" t="str">
        <f>IFERROR(__xludf.DUMMYFUNCTION("""COMPUTED_VALUE"""),"18 inch")</f>
        <v>18 inch</v>
      </c>
      <c r="Q243" s="152" t="str">
        <f>IFERROR(__xludf.DUMMYFUNCTION("""COMPUTED_VALUE"""),"Black and White")</f>
        <v>Black and White</v>
      </c>
      <c r="R243" s="149" t="str">
        <f>IFERROR(__xludf.DUMMYFUNCTION("""COMPUTED_VALUE"""),"Autopilot included")</f>
        <v>Autopilot included</v>
      </c>
      <c r="S243" s="149" t="str">
        <f>IFERROR(__xludf.DUMMYFUNCTION("""COMPUTED_VALUE"""),"Loan")</f>
        <v>Loan</v>
      </c>
      <c r="T243" s="145" t="str">
        <f>IFERROR(__xludf.DUMMYFUNCTION("""COMPUTED_VALUE"""),"2002 Nissan Maxima")</f>
        <v>2002 Nissan Maxima</v>
      </c>
      <c r="U243" s="145" t="str">
        <f>IFERROR(__xludf.DUMMYFUNCTION("""COMPUTED_VALUE"""),"Electric!")</f>
        <v>Electric!</v>
      </c>
      <c r="V243" s="145" t="str">
        <f>IFERROR(__xludf.DUMMYFUNCTION("""COMPUTED_VALUE"""),"Apple CarPlay / Android Auto / SiriusXM Radio")</f>
        <v>Apple CarPlay / Android Auto / SiriusXM Radio</v>
      </c>
      <c r="W243" s="145"/>
      <c r="X243" s="137" t="str">
        <f>IFERROR(__xludf.DUMMYFUNCTION("""COMPUTED_VALUE"""),"Excellent")</f>
        <v>Excellent</v>
      </c>
      <c r="Y243" s="138" t="str">
        <f>IFERROR(__xludf.DUMMYFUNCTION("""COMPUTED_VALUE"""),"Excellent")</f>
        <v>Excellent</v>
      </c>
      <c r="Z243" s="138" t="str">
        <f>IFERROR(__xludf.DUMMYFUNCTION("""COMPUTED_VALUE"""),"Excellent")</f>
        <v>Excellent</v>
      </c>
      <c r="AA243" s="138" t="str">
        <f>IFERROR(__xludf.DUMMYFUNCTION("""COMPUTED_VALUE"""),"Excellent")</f>
        <v>Excellent</v>
      </c>
      <c r="AB243" s="138" t="str">
        <f>IFERROR(__xludf.DUMMYFUNCTION("""COMPUTED_VALUE"""),"Excellent")</f>
        <v>Excellent</v>
      </c>
      <c r="AC243" s="139"/>
      <c r="AD243" s="139"/>
      <c r="AE243" s="139"/>
      <c r="AF243" s="140" t="str">
        <f>IFERROR(__xludf.DUMMYFUNCTION("""COMPUTED_VALUE"""),"No. I took delivery of the first car Tesla was able to deliver.")</f>
        <v>No. I took delivery of the first car Tesla was able to deliver.</v>
      </c>
      <c r="AG243" s="145"/>
      <c r="AH243" s="157">
        <f>IFERROR(__xludf.DUMMYFUNCTION("""COMPUTED_VALUE"""),44458.20109340278)</f>
        <v>44458.20109</v>
      </c>
      <c r="AI243" s="138"/>
      <c r="AJ243" s="138"/>
      <c r="AK243" s="138"/>
      <c r="AL243" s="142"/>
    </row>
    <row r="244" ht="20.25" customHeight="1">
      <c r="A244" s="155" t="str">
        <f>IFERROR(__xludf.DUMMYFUNCTION("""COMPUTED_VALUE"""),"ArturoM")</f>
        <v>ArturoM</v>
      </c>
      <c r="B244" s="149" t="str">
        <f>IFERROR(__xludf.DUMMYFUNCTION("""COMPUTED_VALUE"""),"Lawrenceville")</f>
        <v>Lawrenceville</v>
      </c>
      <c r="C244" s="149" t="str">
        <f>IFERROR(__xludf.DUMMYFUNCTION("""COMPUTED_VALUE"""),"GA")</f>
        <v>GA</v>
      </c>
      <c r="D244" s="149" t="str">
        <f>IFERROR(__xludf.DUMMYFUNCTION("""COMPUTED_VALUE"""),"USA")</f>
        <v>USA</v>
      </c>
      <c r="E244" s="156">
        <f>IFERROR(__xludf.DUMMYFUNCTION("""COMPUTED_VALUE"""),44426.0)</f>
        <v>44426</v>
      </c>
      <c r="F244" s="129">
        <f>IFERROR(__xludf.DUMMYFUNCTION("""COMPUTED_VALUE"""),44448.0)</f>
        <v>44448</v>
      </c>
      <c r="G244" s="154" t="str">
        <f>IFERROR(__xludf.DUMMYFUNCTION("""COMPUTED_VALUE"""),"Manage order page (normal text)")</f>
        <v>Manage order page (normal text)</v>
      </c>
      <c r="H244" s="131">
        <f>IFERROR(__xludf.DUMMYFUNCTION("""COMPUTED_VALUE"""),59755.0)</f>
        <v>59755</v>
      </c>
      <c r="I244" s="144"/>
      <c r="J244" s="129"/>
      <c r="K244" s="133">
        <f>IFERROR(__xludf.DUMMYFUNCTION("""COMPUTED_VALUE"""),22.0)</f>
        <v>22</v>
      </c>
      <c r="L244" s="133"/>
      <c r="M244" s="133"/>
      <c r="N244" s="152" t="str">
        <f>IFERROR(__xludf.DUMMYFUNCTION("""COMPUTED_VALUE"""),"Model 3 LR AWD")</f>
        <v>Model 3 LR AWD</v>
      </c>
      <c r="O244" s="152" t="str">
        <f>IFERROR(__xludf.DUMMYFUNCTION("""COMPUTED_VALUE"""),"Pearl White Multi-Coat")</f>
        <v>Pearl White Multi-Coat</v>
      </c>
      <c r="P244" s="153" t="str">
        <f>IFERROR(__xludf.DUMMYFUNCTION("""COMPUTED_VALUE"""),"19 inch")</f>
        <v>19 inch</v>
      </c>
      <c r="Q244" s="152" t="str">
        <f>IFERROR(__xludf.DUMMYFUNCTION("""COMPUTED_VALUE"""),"Black and White")</f>
        <v>Black and White</v>
      </c>
      <c r="R244" s="149" t="str">
        <f>IFERROR(__xludf.DUMMYFUNCTION("""COMPUTED_VALUE"""),"Autopilot included")</f>
        <v>Autopilot included</v>
      </c>
      <c r="S244" s="149" t="str">
        <f>IFERROR(__xludf.DUMMYFUNCTION("""COMPUTED_VALUE"""),"Loan")</f>
        <v>Loan</v>
      </c>
      <c r="T244" s="145" t="str">
        <f>IFERROR(__xludf.DUMMYFUNCTION("""COMPUTED_VALUE"""),"Kia Soul")</f>
        <v>Kia Soul</v>
      </c>
      <c r="U244" s="145" t="str">
        <f>IFERROR(__xludf.DUMMYFUNCTION("""COMPUTED_VALUE"""),"Electric!")</f>
        <v>Electric!</v>
      </c>
      <c r="V244" s="145" t="str">
        <f>IFERROR(__xludf.DUMMYFUNCTION("""COMPUTED_VALUE"""),"Head-up display")</f>
        <v>Head-up display</v>
      </c>
      <c r="W244" s="145"/>
      <c r="X244" s="137"/>
      <c r="Y244" s="138"/>
      <c r="Z244" s="138"/>
      <c r="AA244" s="138"/>
      <c r="AB244" s="138"/>
      <c r="AC244" s="139"/>
      <c r="AD244" s="139"/>
      <c r="AE244" s="139"/>
      <c r="AF244" s="140"/>
      <c r="AG244" s="145"/>
      <c r="AH244" s="157">
        <f>IFERROR(__xludf.DUMMYFUNCTION("""COMPUTED_VALUE"""),44448.93247748843)</f>
        <v>44448.93248</v>
      </c>
      <c r="AI244" s="138"/>
      <c r="AJ244" s="138"/>
      <c r="AK244" s="138"/>
      <c r="AL244" s="142"/>
    </row>
    <row r="245" ht="20.25" customHeight="1">
      <c r="A245" s="155" t="str">
        <f>IFERROR(__xludf.DUMMYFUNCTION("""COMPUTED_VALUE"""),"brikrob")</f>
        <v>brikrob</v>
      </c>
      <c r="B245" s="159" t="str">
        <f>IFERROR(__xludf.DUMMYFUNCTION("""COMPUTED_VALUE"""),"Oakland")</f>
        <v>Oakland</v>
      </c>
      <c r="C245" s="159" t="str">
        <f>IFERROR(__xludf.DUMMYFUNCTION("""COMPUTED_VALUE"""),"CA")</f>
        <v>CA</v>
      </c>
      <c r="D245" s="159" t="str">
        <f>IFERROR(__xludf.DUMMYFUNCTION("""COMPUTED_VALUE"""),"USA")</f>
        <v>USA</v>
      </c>
      <c r="E245" s="156">
        <f>IFERROR(__xludf.DUMMYFUNCTION("""COMPUTED_VALUE"""),44426.0)</f>
        <v>44426</v>
      </c>
      <c r="F245" s="129">
        <f>IFERROR(__xludf.DUMMYFUNCTION("""COMPUTED_VALUE"""),44436.0)</f>
        <v>44436</v>
      </c>
      <c r="G245" s="154" t="str">
        <f>IFERROR(__xludf.DUMMYFUNCTION("""COMPUTED_VALUE"""),"Manage order page (normal text)")</f>
        <v>Manage order page (normal text)</v>
      </c>
      <c r="H245" s="131">
        <f>IFERROR(__xludf.DUMMYFUNCTION("""COMPUTED_VALUE"""),58155.0)</f>
        <v>58155</v>
      </c>
      <c r="I245" s="160"/>
      <c r="J245" s="129"/>
      <c r="K245" s="133">
        <f>IFERROR(__xludf.DUMMYFUNCTION("""COMPUTED_VALUE"""),10.0)</f>
        <v>10</v>
      </c>
      <c r="L245" s="133"/>
      <c r="M245" s="133"/>
      <c r="N245" s="152" t="str">
        <f>IFERROR(__xludf.DUMMYFUNCTION("""COMPUTED_VALUE"""),"Model 3 SR+")</f>
        <v>Model 3 SR+</v>
      </c>
      <c r="O245" s="152" t="str">
        <f>IFERROR(__xludf.DUMMYFUNCTION("""COMPUTED_VALUE"""),"Red Multi-Coat")</f>
        <v>Red Multi-Coat</v>
      </c>
      <c r="P245" s="153" t="str">
        <f>IFERROR(__xludf.DUMMYFUNCTION("""COMPUTED_VALUE"""),"19 inch")</f>
        <v>19 inch</v>
      </c>
      <c r="Q245" s="152" t="str">
        <f>IFERROR(__xludf.DUMMYFUNCTION("""COMPUTED_VALUE"""),"All Black")</f>
        <v>All Black</v>
      </c>
      <c r="R245" s="159" t="str">
        <f>IFERROR(__xludf.DUMMYFUNCTION("""COMPUTED_VALUE"""),"Autopilot included")</f>
        <v>Autopilot included</v>
      </c>
      <c r="S245" s="159" t="str">
        <f>IFERROR(__xludf.DUMMYFUNCTION("""COMPUTED_VALUE"""),"Loan")</f>
        <v>Loan</v>
      </c>
      <c r="T245" s="161" t="str">
        <f>IFERROR(__xludf.DUMMYFUNCTION("""COMPUTED_VALUE"""),"Honda CRV")</f>
        <v>Honda CRV</v>
      </c>
      <c r="U245" s="161" t="str">
        <f>IFERROR(__xludf.DUMMYFUNCTION("""COMPUTED_VALUE"""),"Electric!")</f>
        <v>Electric!</v>
      </c>
      <c r="V245" s="161" t="str">
        <f>IFERROR(__xludf.DUMMYFUNCTION("""COMPUTED_VALUE"""),"Apple CarPlay / Android Auto / SiriusXM Radio")</f>
        <v>Apple CarPlay / Android Auto / SiriusXM Radio</v>
      </c>
      <c r="W245" s="161"/>
      <c r="X245" s="137"/>
      <c r="Y245" s="138"/>
      <c r="Z245" s="138"/>
      <c r="AA245" s="138"/>
      <c r="AB245" s="138"/>
      <c r="AC245" s="139"/>
      <c r="AD245" s="139"/>
      <c r="AE245" s="139"/>
      <c r="AF245" s="140"/>
      <c r="AG245" s="161"/>
      <c r="AH245" s="157">
        <f>IFERROR(__xludf.DUMMYFUNCTION("""COMPUTED_VALUE"""),44438.882095092595)</f>
        <v>44438.8821</v>
      </c>
      <c r="AI245" s="138"/>
      <c r="AJ245" s="138"/>
      <c r="AK245" s="138"/>
      <c r="AL245" s="142"/>
    </row>
    <row r="246" ht="20.25" customHeight="1">
      <c r="A246" s="155" t="str">
        <f>IFERROR(__xludf.DUMMYFUNCTION("""COMPUTED_VALUE"""),"Kueshen")</f>
        <v>Kueshen</v>
      </c>
      <c r="B246" s="149"/>
      <c r="C246" s="149" t="str">
        <f>IFERROR(__xludf.DUMMYFUNCTION("""COMPUTED_VALUE"""),"OR")</f>
        <v>OR</v>
      </c>
      <c r="D246" s="149" t="str">
        <f>IFERROR(__xludf.DUMMYFUNCTION("""COMPUTED_VALUE"""),"USA")</f>
        <v>USA</v>
      </c>
      <c r="E246" s="156">
        <f>IFERROR(__xludf.DUMMYFUNCTION("""COMPUTED_VALUE"""),44426.0)</f>
        <v>44426</v>
      </c>
      <c r="F246" s="129">
        <f>IFERROR(__xludf.DUMMYFUNCTION("""COMPUTED_VALUE"""),44433.0)</f>
        <v>44433</v>
      </c>
      <c r="G246" s="154" t="str">
        <f>IFERROR(__xludf.DUMMYFUNCTION("""COMPUTED_VALUE"""),"Email")</f>
        <v>Email</v>
      </c>
      <c r="H246" s="131"/>
      <c r="I246" s="144"/>
      <c r="J246" s="129">
        <f>IFERROR(__xludf.DUMMYFUNCTION("""COMPUTED_VALUE"""),44439.0)</f>
        <v>44439</v>
      </c>
      <c r="K246" s="133">
        <f>IFERROR(__xludf.DUMMYFUNCTION("""COMPUTED_VALUE"""),7.0)</f>
        <v>7</v>
      </c>
      <c r="L246" s="133">
        <f>IFERROR(__xludf.DUMMYFUNCTION("""COMPUTED_VALUE"""),6.0)</f>
        <v>6</v>
      </c>
      <c r="M246" s="133">
        <f>IFERROR(__xludf.DUMMYFUNCTION("""COMPUTED_VALUE"""),13.0)</f>
        <v>13</v>
      </c>
      <c r="N246" s="152" t="str">
        <f>IFERROR(__xludf.DUMMYFUNCTION("""COMPUTED_VALUE"""),"Model 3 Performance")</f>
        <v>Model 3 Performance</v>
      </c>
      <c r="O246" s="152" t="str">
        <f>IFERROR(__xludf.DUMMYFUNCTION("""COMPUTED_VALUE"""),"Pearl White Multi-Coat")</f>
        <v>Pearl White Multi-Coat</v>
      </c>
      <c r="P246" s="153" t="str">
        <f>IFERROR(__xludf.DUMMYFUNCTION("""COMPUTED_VALUE"""),"20 inch")</f>
        <v>20 inch</v>
      </c>
      <c r="Q246" s="152" t="str">
        <f>IFERROR(__xludf.DUMMYFUNCTION("""COMPUTED_VALUE"""),"Black and White")</f>
        <v>Black and White</v>
      </c>
      <c r="R246" s="149" t="str">
        <f>IFERROR(__xludf.DUMMYFUNCTION("""COMPUTED_VALUE"""),"Autopilot included")</f>
        <v>Autopilot included</v>
      </c>
      <c r="S246" s="149" t="str">
        <f>IFERROR(__xludf.DUMMYFUNCTION("""COMPUTED_VALUE"""),"Loan")</f>
        <v>Loan</v>
      </c>
      <c r="T246" s="145"/>
      <c r="U246" s="145" t="str">
        <f>IFERROR(__xludf.DUMMYFUNCTION("""COMPUTED_VALUE"""),"Electric!")</f>
        <v>Electric!</v>
      </c>
      <c r="V246" s="145" t="str">
        <f>IFERROR(__xludf.DUMMYFUNCTION("""COMPUTED_VALUE"""),"360° Bird's eye view")</f>
        <v>360° Bird's eye view</v>
      </c>
      <c r="W246" s="136"/>
      <c r="X246" s="163"/>
      <c r="Y246" s="138"/>
      <c r="Z246" s="138"/>
      <c r="AA246" s="138"/>
      <c r="AB246" s="138"/>
      <c r="AC246" s="139"/>
      <c r="AD246" s="139"/>
      <c r="AE246" s="139"/>
      <c r="AF246" s="140"/>
      <c r="AG246" s="136"/>
      <c r="AH246" s="157">
        <f>IFERROR(__xludf.DUMMYFUNCTION("""COMPUTED_VALUE"""),44440.360014687496)</f>
        <v>44440.36001</v>
      </c>
      <c r="AI246" s="138"/>
      <c r="AJ246" s="138"/>
      <c r="AK246" s="138"/>
      <c r="AL246" s="142"/>
    </row>
    <row r="247" ht="20.25" customHeight="1">
      <c r="A247" s="155" t="str">
        <f>IFERROR(__xludf.DUMMYFUNCTION("""COMPUTED_VALUE"""),"ldub")</f>
        <v>ldub</v>
      </c>
      <c r="B247" s="149" t="str">
        <f>IFERROR(__xludf.DUMMYFUNCTION("""COMPUTED_VALUE"""),"Redondo Beach")</f>
        <v>Redondo Beach</v>
      </c>
      <c r="C247" s="149" t="str">
        <f>IFERROR(__xludf.DUMMYFUNCTION("""COMPUTED_VALUE"""),"CA")</f>
        <v>CA</v>
      </c>
      <c r="D247" s="149" t="str">
        <f>IFERROR(__xludf.DUMMYFUNCTION("""COMPUTED_VALUE"""),"USA")</f>
        <v>USA</v>
      </c>
      <c r="E247" s="156">
        <f>IFERROR(__xludf.DUMMYFUNCTION("""COMPUTED_VALUE"""),44426.0)</f>
        <v>44426</v>
      </c>
      <c r="F247" s="129"/>
      <c r="G247" s="154"/>
      <c r="H247" s="131"/>
      <c r="I247" s="144"/>
      <c r="J247" s="129"/>
      <c r="K247" s="133"/>
      <c r="L247" s="133"/>
      <c r="M247" s="133"/>
      <c r="N247" s="152" t="str">
        <f>IFERROR(__xludf.DUMMYFUNCTION("""COMPUTED_VALUE"""),"Model 3 SR+")</f>
        <v>Model 3 SR+</v>
      </c>
      <c r="O247" s="152" t="str">
        <f>IFERROR(__xludf.DUMMYFUNCTION("""COMPUTED_VALUE"""),"Midnight Silver Metallic")</f>
        <v>Midnight Silver Metallic</v>
      </c>
      <c r="P247" s="153" t="str">
        <f>IFERROR(__xludf.DUMMYFUNCTION("""COMPUTED_VALUE"""),"18 inch")</f>
        <v>18 inch</v>
      </c>
      <c r="Q247" s="152" t="str">
        <f>IFERROR(__xludf.DUMMYFUNCTION("""COMPUTED_VALUE"""),"All Black")</f>
        <v>All Black</v>
      </c>
      <c r="R247" s="149" t="str">
        <f>IFERROR(__xludf.DUMMYFUNCTION("""COMPUTED_VALUE"""),"Autopilot included")</f>
        <v>Autopilot included</v>
      </c>
      <c r="S247" s="149" t="str">
        <f>IFERROR(__xludf.DUMMYFUNCTION("""COMPUTED_VALUE"""),"Lease")</f>
        <v>Lease</v>
      </c>
      <c r="T247" s="145" t="str">
        <f>IFERROR(__xludf.DUMMYFUNCTION("""COMPUTED_VALUE"""),"MB GLK 350")</f>
        <v>MB GLK 350</v>
      </c>
      <c r="U247" s="145" t="str">
        <f>IFERROR(__xludf.DUMMYFUNCTION("""COMPUTED_VALUE"""),"Electric!")</f>
        <v>Electric!</v>
      </c>
      <c r="V247" s="145" t="str">
        <f>IFERROR(__xludf.DUMMYFUNCTION("""COMPUTED_VALUE"""),"Ventilated seats")</f>
        <v>Ventilated seats</v>
      </c>
      <c r="W247" s="145"/>
      <c r="X247" s="137"/>
      <c r="Y247" s="138"/>
      <c r="Z247" s="138"/>
      <c r="AA247" s="138"/>
      <c r="AB247" s="138"/>
      <c r="AC247" s="139"/>
      <c r="AD247" s="139"/>
      <c r="AE247" s="139"/>
      <c r="AF247" s="140"/>
      <c r="AG247" s="145"/>
      <c r="AH247" s="157">
        <f>IFERROR(__xludf.DUMMYFUNCTION("""COMPUTED_VALUE"""),44480.61038325231)</f>
        <v>44480.61038</v>
      </c>
      <c r="AI247" s="138"/>
      <c r="AJ247" s="138"/>
      <c r="AK247" s="138"/>
      <c r="AL247" s="142"/>
    </row>
    <row r="248" ht="20.25" customHeight="1">
      <c r="A248" s="155" t="str">
        <f>IFERROR(__xludf.DUMMYFUNCTION("""COMPUTED_VALUE"""),"Ruepic")</f>
        <v>Ruepic</v>
      </c>
      <c r="B248" s="149" t="str">
        <f>IFERROR(__xludf.DUMMYFUNCTION("""COMPUTED_VALUE"""),"Halifax")</f>
        <v>Halifax</v>
      </c>
      <c r="C248" s="149" t="str">
        <f>IFERROR(__xludf.DUMMYFUNCTION("""COMPUTED_VALUE"""),"NS")</f>
        <v>NS</v>
      </c>
      <c r="D248" s="149" t="str">
        <f>IFERROR(__xludf.DUMMYFUNCTION("""COMPUTED_VALUE"""),"Canada")</f>
        <v>Canada</v>
      </c>
      <c r="E248" s="156">
        <f>IFERROR(__xludf.DUMMYFUNCTION("""COMPUTED_VALUE"""),44426.0)</f>
        <v>44426</v>
      </c>
      <c r="F248" s="129"/>
      <c r="G248" s="154"/>
      <c r="H248" s="131"/>
      <c r="I248" s="144"/>
      <c r="J248" s="129"/>
      <c r="K248" s="133"/>
      <c r="L248" s="133"/>
      <c r="M248" s="133"/>
      <c r="N248" s="152" t="str">
        <f>IFERROR(__xludf.DUMMYFUNCTION("""COMPUTED_VALUE"""),"Model 3 SR+")</f>
        <v>Model 3 SR+</v>
      </c>
      <c r="O248" s="152" t="str">
        <f>IFERROR(__xludf.DUMMYFUNCTION("""COMPUTED_VALUE"""),"Pearl White Multi-Coat")</f>
        <v>Pearl White Multi-Coat</v>
      </c>
      <c r="P248" s="153" t="str">
        <f>IFERROR(__xludf.DUMMYFUNCTION("""COMPUTED_VALUE"""),"18 inch")</f>
        <v>18 inch</v>
      </c>
      <c r="Q248" s="152" t="str">
        <f>IFERROR(__xludf.DUMMYFUNCTION("""COMPUTED_VALUE"""),"All Black")</f>
        <v>All Black</v>
      </c>
      <c r="R248" s="149" t="str">
        <f>IFERROR(__xludf.DUMMYFUNCTION("""COMPUTED_VALUE"""),"Autopilot included")</f>
        <v>Autopilot included</v>
      </c>
      <c r="S248" s="149" t="str">
        <f>IFERROR(__xludf.DUMMYFUNCTION("""COMPUTED_VALUE"""),"Cash")</f>
        <v>Cash</v>
      </c>
      <c r="T248" s="145" t="str">
        <f>IFERROR(__xludf.DUMMYFUNCTION("""COMPUTED_VALUE"""),"Audi Q5")</f>
        <v>Audi Q5</v>
      </c>
      <c r="U248" s="145" t="str">
        <f>IFERROR(__xludf.DUMMYFUNCTION("""COMPUTED_VALUE"""),"Electric!")</f>
        <v>Electric!</v>
      </c>
      <c r="V248" s="145" t="str">
        <f>IFERROR(__xludf.DUMMYFUNCTION("""COMPUTED_VALUE"""),"Heated steering wheel")</f>
        <v>Heated steering wheel</v>
      </c>
      <c r="W248" s="136"/>
      <c r="X248" s="137"/>
      <c r="Y248" s="138"/>
      <c r="Z248" s="138"/>
      <c r="AA248" s="138"/>
      <c r="AB248" s="138"/>
      <c r="AC248" s="139"/>
      <c r="AD248" s="139"/>
      <c r="AE248" s="139"/>
      <c r="AF248" s="140"/>
      <c r="AG248" s="136"/>
      <c r="AH248" s="157">
        <f>IFERROR(__xludf.DUMMYFUNCTION("""COMPUTED_VALUE"""),44483.3547557986)</f>
        <v>44483.35476</v>
      </c>
      <c r="AI248" s="138"/>
      <c r="AJ248" s="138"/>
      <c r="AK248" s="138"/>
      <c r="AL248" s="142"/>
    </row>
    <row r="249" ht="20.25" customHeight="1">
      <c r="A249" s="155" t="str">
        <f>IFERROR(__xludf.DUMMYFUNCTION("""COMPUTED_VALUE"""),"VTShaggy")</f>
        <v>VTShaggy</v>
      </c>
      <c r="B249" s="149" t="str">
        <f>IFERROR(__xludf.DUMMYFUNCTION("""COMPUTED_VALUE"""),"Springfield")</f>
        <v>Springfield</v>
      </c>
      <c r="C249" s="149" t="str">
        <f>IFERROR(__xludf.DUMMYFUNCTION("""COMPUTED_VALUE"""),"VA")</f>
        <v>VA</v>
      </c>
      <c r="D249" s="149" t="str">
        <f>IFERROR(__xludf.DUMMYFUNCTION("""COMPUTED_VALUE"""),"USA")</f>
        <v>USA</v>
      </c>
      <c r="E249" s="156">
        <f>IFERROR(__xludf.DUMMYFUNCTION("""COMPUTED_VALUE"""),44426.0)</f>
        <v>44426</v>
      </c>
      <c r="F249" s="129"/>
      <c r="G249" s="154"/>
      <c r="H249" s="131"/>
      <c r="I249" s="132" t="str">
        <f>IFERROR(__xludf.DUMMYFUNCTION("""COMPUTED_VALUE"""),"01/21")</f>
        <v>01/21</v>
      </c>
      <c r="J249" s="129"/>
      <c r="K249" s="133"/>
      <c r="L249" s="133"/>
      <c r="M249" s="133"/>
      <c r="N249" s="152" t="str">
        <f>IFERROR(__xludf.DUMMYFUNCTION("""COMPUTED_VALUE"""),"Model 3 SR+")</f>
        <v>Model 3 SR+</v>
      </c>
      <c r="O249" s="152" t="str">
        <f>IFERROR(__xludf.DUMMYFUNCTION("""COMPUTED_VALUE"""),"Pearl White Multi-Coat")</f>
        <v>Pearl White Multi-Coat</v>
      </c>
      <c r="P249" s="153" t="str">
        <f>IFERROR(__xludf.DUMMYFUNCTION("""COMPUTED_VALUE"""),"18 inch")</f>
        <v>18 inch</v>
      </c>
      <c r="Q249" s="152" t="str">
        <f>IFERROR(__xludf.DUMMYFUNCTION("""COMPUTED_VALUE"""),"All Black")</f>
        <v>All Black</v>
      </c>
      <c r="R249" s="150" t="str">
        <f>IFERROR(__xludf.DUMMYFUNCTION("""COMPUTED_VALUE"""),"Autopilot included")</f>
        <v>Autopilot included</v>
      </c>
      <c r="S249" s="150" t="str">
        <f>IFERROR(__xludf.DUMMYFUNCTION("""COMPUTED_VALUE"""),"Loan")</f>
        <v>Loan</v>
      </c>
      <c r="T249" s="136" t="str">
        <f>IFERROR(__xludf.DUMMYFUNCTION("""COMPUTED_VALUE"""),"Tesla Model 3")</f>
        <v>Tesla Model 3</v>
      </c>
      <c r="U249" s="136" t="str">
        <f>IFERROR(__xludf.DUMMYFUNCTION("""COMPUTED_VALUE"""),"Supercharger V3 support")</f>
        <v>Supercharger V3 support</v>
      </c>
      <c r="V249" s="136" t="str">
        <f>IFERROR(__xludf.DUMMYFUNCTION("""COMPUTED_VALUE"""),"Mega castings")</f>
        <v>Mega castings</v>
      </c>
      <c r="W249" s="136"/>
      <c r="X249" s="137" t="str">
        <f>IFERROR(__xludf.DUMMYFUNCTION("""COMPUTED_VALUE"""),"Excellent")</f>
        <v>Excellent</v>
      </c>
      <c r="Y249" s="138" t="str">
        <f>IFERROR(__xludf.DUMMYFUNCTION("""COMPUTED_VALUE"""),"Excellent")</f>
        <v>Excellent</v>
      </c>
      <c r="Z249" s="138" t="str">
        <f>IFERROR(__xludf.DUMMYFUNCTION("""COMPUTED_VALUE"""),"Excellent")</f>
        <v>Excellent</v>
      </c>
      <c r="AA249" s="138" t="str">
        <f>IFERROR(__xludf.DUMMYFUNCTION("""COMPUTED_VALUE"""),"Excellent")</f>
        <v>Excellent</v>
      </c>
      <c r="AB249" s="138" t="str">
        <f>IFERROR(__xludf.DUMMYFUNCTION("""COMPUTED_VALUE"""),"Excellent")</f>
        <v>Excellent</v>
      </c>
      <c r="AC249" s="139"/>
      <c r="AD249" s="139"/>
      <c r="AE249" s="139"/>
      <c r="AF249" s="140"/>
      <c r="AG249" s="136"/>
      <c r="AH249" s="157">
        <f>IFERROR(__xludf.DUMMYFUNCTION("""COMPUTED_VALUE"""),44468.23524285879)</f>
        <v>44468.23524</v>
      </c>
      <c r="AI249" s="138"/>
      <c r="AJ249" s="138"/>
      <c r="AK249" s="138"/>
      <c r="AL249" s="142"/>
    </row>
    <row r="250" ht="20.25" customHeight="1">
      <c r="A250" s="155" t="str">
        <f>IFERROR(__xludf.DUMMYFUNCTION("""COMPUTED_VALUE"""),"JimboEV")</f>
        <v>JimboEV</v>
      </c>
      <c r="B250" s="149" t="str">
        <f>IFERROR(__xludf.DUMMYFUNCTION("""COMPUTED_VALUE"""),"Albuquerque")</f>
        <v>Albuquerque</v>
      </c>
      <c r="C250" s="149" t="str">
        <f>IFERROR(__xludf.DUMMYFUNCTION("""COMPUTED_VALUE"""),"NM")</f>
        <v>NM</v>
      </c>
      <c r="D250" s="149" t="str">
        <f>IFERROR(__xludf.DUMMYFUNCTION("""COMPUTED_VALUE"""),"USA")</f>
        <v>USA</v>
      </c>
      <c r="E250" s="156">
        <f>IFERROR(__xludf.DUMMYFUNCTION("""COMPUTED_VALUE"""),44425.0)</f>
        <v>44425</v>
      </c>
      <c r="F250" s="129">
        <f>IFERROR(__xludf.DUMMYFUNCTION("""COMPUTED_VALUE"""),44455.0)</f>
        <v>44455</v>
      </c>
      <c r="G250" s="154" t="str">
        <f>IFERROR(__xludf.DUMMYFUNCTION("""COMPUTED_VALUE"""),"Manage order page (normal text)")</f>
        <v>Manage order page (normal text)</v>
      </c>
      <c r="H250" s="131">
        <f>IFERROR(__xludf.DUMMYFUNCTION("""COMPUTED_VALUE"""),65555.0)</f>
        <v>65555</v>
      </c>
      <c r="I250" s="144"/>
      <c r="J250" s="129">
        <f>IFERROR(__xludf.DUMMYFUNCTION("""COMPUTED_VALUE"""),44464.0)</f>
        <v>44464</v>
      </c>
      <c r="K250" s="133">
        <f>IFERROR(__xludf.DUMMYFUNCTION("""COMPUTED_VALUE"""),30.0)</f>
        <v>30</v>
      </c>
      <c r="L250" s="133">
        <f>IFERROR(__xludf.DUMMYFUNCTION("""COMPUTED_VALUE"""),9.0)</f>
        <v>9</v>
      </c>
      <c r="M250" s="133">
        <f>IFERROR(__xludf.DUMMYFUNCTION("""COMPUTED_VALUE"""),39.0)</f>
        <v>39</v>
      </c>
      <c r="N250" s="152" t="str">
        <f>IFERROR(__xludf.DUMMYFUNCTION("""COMPUTED_VALUE"""),"Model 3 LR AWD")</f>
        <v>Model 3 LR AWD</v>
      </c>
      <c r="O250" s="152" t="str">
        <f>IFERROR(__xludf.DUMMYFUNCTION("""COMPUTED_VALUE"""),"Pearl White Multi-Coat")</f>
        <v>Pearl White Multi-Coat</v>
      </c>
      <c r="P250" s="153" t="str">
        <f>IFERROR(__xludf.DUMMYFUNCTION("""COMPUTED_VALUE"""),"18 inch")</f>
        <v>18 inch</v>
      </c>
      <c r="Q250" s="152" t="str">
        <f>IFERROR(__xludf.DUMMYFUNCTION("""COMPUTED_VALUE"""),"All Black")</f>
        <v>All Black</v>
      </c>
      <c r="R250" s="149" t="str">
        <f>IFERROR(__xludf.DUMMYFUNCTION("""COMPUTED_VALUE"""),"Autopilot included")</f>
        <v>Autopilot included</v>
      </c>
      <c r="S250" s="149" t="str">
        <f>IFERROR(__xludf.DUMMYFUNCTION("""COMPUTED_VALUE"""),"Loan")</f>
        <v>Loan</v>
      </c>
      <c r="T250" s="145" t="str">
        <f>IFERROR(__xludf.DUMMYFUNCTION("""COMPUTED_VALUE"""),"BMW 3 Series")</f>
        <v>BMW 3 Series</v>
      </c>
      <c r="U250" s="145" t="str">
        <f>IFERROR(__xludf.DUMMYFUNCTION("""COMPUTED_VALUE"""),"Electric!")</f>
        <v>Electric!</v>
      </c>
      <c r="V250" s="145" t="str">
        <f>IFERROR(__xludf.DUMMYFUNCTION("""COMPUTED_VALUE"""),"Apple CarPlay / Android Auto / SiriusXM Radio")</f>
        <v>Apple CarPlay / Android Auto / SiriusXM Radio</v>
      </c>
      <c r="W250" s="145"/>
      <c r="X250" s="137" t="str">
        <f>IFERROR(__xludf.DUMMYFUNCTION("""COMPUTED_VALUE"""),"Very Good")</f>
        <v>Very Good</v>
      </c>
      <c r="Y250" s="138" t="str">
        <f>IFERROR(__xludf.DUMMYFUNCTION("""COMPUTED_VALUE"""),"Excellent")</f>
        <v>Excellent</v>
      </c>
      <c r="Z250" s="138" t="str">
        <f>IFERROR(__xludf.DUMMYFUNCTION("""COMPUTED_VALUE"""),"Excellent")</f>
        <v>Excellent</v>
      </c>
      <c r="AA250" s="138" t="str">
        <f>IFERROR(__xludf.DUMMYFUNCTION("""COMPUTED_VALUE"""),"Excellent")</f>
        <v>Excellent</v>
      </c>
      <c r="AB250" s="138" t="str">
        <f>IFERROR(__xludf.DUMMYFUNCTION("""COMPUTED_VALUE"""),"Excellent")</f>
        <v>Excellent</v>
      </c>
      <c r="AC250" s="139">
        <f>IFERROR(__xludf.DUMMYFUNCTION("""COMPUTED_VALUE"""),1.0)</f>
        <v>1</v>
      </c>
      <c r="AD250" s="139"/>
      <c r="AE250" s="139"/>
      <c r="AF250" s="140" t="str">
        <f>IFERROR(__xludf.DUMMYFUNCTION("""COMPUTED_VALUE"""),"No. I took delivery of the first car Tesla was able to deliver.")</f>
        <v>No. I took delivery of the first car Tesla was able to deliver.</v>
      </c>
      <c r="AG250" s="145"/>
      <c r="AH250" s="157">
        <f>IFERROR(__xludf.DUMMYFUNCTION("""COMPUTED_VALUE"""),44465.35813888889)</f>
        <v>44465.35814</v>
      </c>
      <c r="AI250" s="138"/>
      <c r="AJ250" s="138"/>
      <c r="AK250" s="138"/>
      <c r="AL250" s="142"/>
    </row>
    <row r="251" ht="20.25" customHeight="1">
      <c r="A251" s="155" t="str">
        <f>IFERROR(__xludf.DUMMYFUNCTION("""COMPUTED_VALUE"""),"M3ster")</f>
        <v>M3ster</v>
      </c>
      <c r="B251" s="149" t="str">
        <f>IFERROR(__xludf.DUMMYFUNCTION("""COMPUTED_VALUE"""),"Salt Lake City")</f>
        <v>Salt Lake City</v>
      </c>
      <c r="C251" s="149" t="str">
        <f>IFERROR(__xludf.DUMMYFUNCTION("""COMPUTED_VALUE"""),"UT")</f>
        <v>UT</v>
      </c>
      <c r="D251" s="149" t="str">
        <f>IFERROR(__xludf.DUMMYFUNCTION("""COMPUTED_VALUE"""),"USA")</f>
        <v>USA</v>
      </c>
      <c r="E251" s="156">
        <f>IFERROR(__xludf.DUMMYFUNCTION("""COMPUTED_VALUE"""),44425.0)</f>
        <v>44425</v>
      </c>
      <c r="F251" s="129"/>
      <c r="G251" s="154"/>
      <c r="H251" s="131"/>
      <c r="I251" s="144"/>
      <c r="J251" s="129"/>
      <c r="K251" s="133"/>
      <c r="L251" s="133"/>
      <c r="M251" s="133"/>
      <c r="N251" s="152" t="str">
        <f>IFERROR(__xludf.DUMMYFUNCTION("""COMPUTED_VALUE"""),"Model 3 Performance")</f>
        <v>Model 3 Performance</v>
      </c>
      <c r="O251" s="152" t="str">
        <f>IFERROR(__xludf.DUMMYFUNCTION("""COMPUTED_VALUE"""),"Midnight Silver Metallic")</f>
        <v>Midnight Silver Metallic</v>
      </c>
      <c r="P251" s="153" t="str">
        <f>IFERROR(__xludf.DUMMYFUNCTION("""COMPUTED_VALUE"""),"20 inch")</f>
        <v>20 inch</v>
      </c>
      <c r="Q251" s="152" t="str">
        <f>IFERROR(__xludf.DUMMYFUNCTION("""COMPUTED_VALUE"""),"All Black")</f>
        <v>All Black</v>
      </c>
      <c r="R251" s="149" t="str">
        <f>IFERROR(__xludf.DUMMYFUNCTION("""COMPUTED_VALUE"""),"Autopilot included")</f>
        <v>Autopilot included</v>
      </c>
      <c r="S251" s="149" t="str">
        <f>IFERROR(__xludf.DUMMYFUNCTION("""COMPUTED_VALUE"""),"Loan")</f>
        <v>Loan</v>
      </c>
      <c r="T251" s="145" t="str">
        <f>IFERROR(__xludf.DUMMYFUNCTION("""COMPUTED_VALUE"""),"Tesla Model 3")</f>
        <v>Tesla Model 3</v>
      </c>
      <c r="U251" s="145" t="str">
        <f>IFERROR(__xludf.DUMMYFUNCTION("""COMPUTED_VALUE"""),"Electric!")</f>
        <v>Electric!</v>
      </c>
      <c r="V251" s="145" t="str">
        <f>IFERROR(__xludf.DUMMYFUNCTION("""COMPUTED_VALUE"""),"Head-up display")</f>
        <v>Head-up display</v>
      </c>
      <c r="W251" s="145"/>
      <c r="X251" s="137"/>
      <c r="Y251" s="138"/>
      <c r="Z251" s="138"/>
      <c r="AA251" s="138"/>
      <c r="AB251" s="138"/>
      <c r="AC251" s="139"/>
      <c r="AD251" s="139"/>
      <c r="AE251" s="139"/>
      <c r="AF251" s="140"/>
      <c r="AG251" s="145"/>
      <c r="AH251" s="157">
        <f>IFERROR(__xludf.DUMMYFUNCTION("""COMPUTED_VALUE"""),44509.685939814815)</f>
        <v>44509.68594</v>
      </c>
      <c r="AI251" s="138"/>
      <c r="AJ251" s="138"/>
      <c r="AK251" s="138"/>
      <c r="AL251" s="142"/>
    </row>
    <row r="252" ht="20.25" customHeight="1">
      <c r="A252" s="155" t="str">
        <f>IFERROR(__xludf.DUMMYFUNCTION("""COMPUTED_VALUE"""),"VictorC")</f>
        <v>VictorC</v>
      </c>
      <c r="B252" s="149" t="str">
        <f>IFERROR(__xludf.DUMMYFUNCTION("""COMPUTED_VALUE"""),"Princeton")</f>
        <v>Princeton</v>
      </c>
      <c r="C252" s="149" t="str">
        <f>IFERROR(__xludf.DUMMYFUNCTION("""COMPUTED_VALUE"""),"NJ")</f>
        <v>NJ</v>
      </c>
      <c r="D252" s="149" t="str">
        <f>IFERROR(__xludf.DUMMYFUNCTION("""COMPUTED_VALUE"""),"USA")</f>
        <v>USA</v>
      </c>
      <c r="E252" s="156">
        <f>IFERROR(__xludf.DUMMYFUNCTION("""COMPUTED_VALUE"""),44425.0)</f>
        <v>44425</v>
      </c>
      <c r="F252" s="129"/>
      <c r="G252" s="154"/>
      <c r="H252" s="131"/>
      <c r="I252" s="132"/>
      <c r="J252" s="129"/>
      <c r="K252" s="133"/>
      <c r="L252" s="133"/>
      <c r="M252" s="133"/>
      <c r="N252" s="152" t="str">
        <f>IFERROR(__xludf.DUMMYFUNCTION("""COMPUTED_VALUE"""),"Model 3 SR+")</f>
        <v>Model 3 SR+</v>
      </c>
      <c r="O252" s="152" t="str">
        <f>IFERROR(__xludf.DUMMYFUNCTION("""COMPUTED_VALUE"""),"Pearl White Multi-Coat")</f>
        <v>Pearl White Multi-Coat</v>
      </c>
      <c r="P252" s="153" t="str">
        <f>IFERROR(__xludf.DUMMYFUNCTION("""COMPUTED_VALUE"""),"19 inch")</f>
        <v>19 inch</v>
      </c>
      <c r="Q252" s="152" t="str">
        <f>IFERROR(__xludf.DUMMYFUNCTION("""COMPUTED_VALUE"""),"All Black")</f>
        <v>All Black</v>
      </c>
      <c r="R252" s="150" t="str">
        <f>IFERROR(__xludf.DUMMYFUNCTION("""COMPUTED_VALUE"""),"Autopilot included")</f>
        <v>Autopilot included</v>
      </c>
      <c r="S252" s="150" t="str">
        <f>IFERROR(__xludf.DUMMYFUNCTION("""COMPUTED_VALUE"""),"Loan")</f>
        <v>Loan</v>
      </c>
      <c r="T252" s="136"/>
      <c r="U252" s="136" t="str">
        <f>IFERROR(__xludf.DUMMYFUNCTION("""COMPUTED_VALUE"""),"Electric!")</f>
        <v>Electric!</v>
      </c>
      <c r="V252" s="136" t="str">
        <f>IFERROR(__xludf.DUMMYFUNCTION("""COMPUTED_VALUE"""),"360° Bird's eye view")</f>
        <v>360° Bird's eye view</v>
      </c>
      <c r="W252" s="136"/>
      <c r="X252" s="137"/>
      <c r="Y252" s="138"/>
      <c r="Z252" s="138"/>
      <c r="AA252" s="138"/>
      <c r="AB252" s="138"/>
      <c r="AC252" s="139"/>
      <c r="AD252" s="139"/>
      <c r="AE252" s="139"/>
      <c r="AF252" s="140"/>
      <c r="AG252" s="136"/>
      <c r="AH252" s="157">
        <f>IFERROR(__xludf.DUMMYFUNCTION("""COMPUTED_VALUE"""),44428.27978704861)</f>
        <v>44428.27979</v>
      </c>
      <c r="AI252" s="138"/>
      <c r="AJ252" s="138"/>
      <c r="AK252" s="138"/>
      <c r="AL252" s="142"/>
    </row>
    <row r="253" ht="20.25" customHeight="1">
      <c r="A253" s="155" t="str">
        <f>IFERROR(__xludf.DUMMYFUNCTION("""COMPUTED_VALUE"""),"beepbeep")</f>
        <v>beepbeep</v>
      </c>
      <c r="B253" s="150" t="str">
        <f>IFERROR(__xludf.DUMMYFUNCTION("""COMPUTED_VALUE"""),"Dallas")</f>
        <v>Dallas</v>
      </c>
      <c r="C253" s="149" t="str">
        <f>IFERROR(__xludf.DUMMYFUNCTION("""COMPUTED_VALUE"""),"TX")</f>
        <v>TX</v>
      </c>
      <c r="D253" s="149" t="str">
        <f>IFERROR(__xludf.DUMMYFUNCTION("""COMPUTED_VALUE"""),"USA")</f>
        <v>USA</v>
      </c>
      <c r="E253" s="156">
        <f>IFERROR(__xludf.DUMMYFUNCTION("""COMPUTED_VALUE"""),44424.0)</f>
        <v>44424</v>
      </c>
      <c r="F253" s="129">
        <f>IFERROR(__xludf.DUMMYFUNCTION("""COMPUTED_VALUE"""),44454.0)</f>
        <v>44454</v>
      </c>
      <c r="G253" s="154" t="str">
        <f>IFERROR(__xludf.DUMMYFUNCTION("""COMPUTED_VALUE"""),"Email")</f>
        <v>Email</v>
      </c>
      <c r="H253" s="131"/>
      <c r="I253" s="144"/>
      <c r="J253" s="129"/>
      <c r="K253" s="133">
        <f>IFERROR(__xludf.DUMMYFUNCTION("""COMPUTED_VALUE"""),30.0)</f>
        <v>30</v>
      </c>
      <c r="L253" s="133"/>
      <c r="M253" s="133"/>
      <c r="N253" s="152" t="str">
        <f>IFERROR(__xludf.DUMMYFUNCTION("""COMPUTED_VALUE"""),"Model 3 LR AWD")</f>
        <v>Model 3 LR AWD</v>
      </c>
      <c r="O253" s="152" t="str">
        <f>IFERROR(__xludf.DUMMYFUNCTION("""COMPUTED_VALUE"""),"Midnight Silver Metallic")</f>
        <v>Midnight Silver Metallic</v>
      </c>
      <c r="P253" s="153" t="str">
        <f>IFERROR(__xludf.DUMMYFUNCTION("""COMPUTED_VALUE"""),"18 inch")</f>
        <v>18 inch</v>
      </c>
      <c r="Q253" s="152" t="str">
        <f>IFERROR(__xludf.DUMMYFUNCTION("""COMPUTED_VALUE"""),"All Black")</f>
        <v>All Black</v>
      </c>
      <c r="R253" s="149" t="str">
        <f>IFERROR(__xludf.DUMMYFUNCTION("""COMPUTED_VALUE"""),"Autopilot included")</f>
        <v>Autopilot included</v>
      </c>
      <c r="S253" s="149" t="str">
        <f>IFERROR(__xludf.DUMMYFUNCTION("""COMPUTED_VALUE"""),"Cash")</f>
        <v>Cash</v>
      </c>
      <c r="T253" s="145"/>
      <c r="U253" s="145"/>
      <c r="V253" s="145"/>
      <c r="W253" s="136"/>
      <c r="X253" s="137"/>
      <c r="Y253" s="138"/>
      <c r="Z253" s="138"/>
      <c r="AA253" s="138"/>
      <c r="AB253" s="138"/>
      <c r="AC253" s="139"/>
      <c r="AD253" s="139"/>
      <c r="AE253" s="139"/>
      <c r="AF253" s="140"/>
      <c r="AG253" s="136"/>
      <c r="AH253" s="157">
        <f>IFERROR(__xludf.DUMMYFUNCTION("""COMPUTED_VALUE"""),44454.4194434375)</f>
        <v>44454.41944</v>
      </c>
      <c r="AI253" s="138"/>
      <c r="AJ253" s="138"/>
      <c r="AK253" s="138"/>
      <c r="AL253" s="142"/>
    </row>
    <row r="254" ht="20.25" customHeight="1">
      <c r="A254" s="155" t="str">
        <f>IFERROR(__xludf.DUMMYFUNCTION("""COMPUTED_VALUE"""),"crossienick")</f>
        <v>crossienick</v>
      </c>
      <c r="B254" s="149" t="str">
        <f>IFERROR(__xludf.DUMMYFUNCTION("""COMPUTED_VALUE"""),"Preston")</f>
        <v>Preston</v>
      </c>
      <c r="C254" s="149"/>
      <c r="D254" s="149" t="str">
        <f>IFERROR(__xludf.DUMMYFUNCTION("""COMPUTED_VALUE"""),"United Kingdom")</f>
        <v>United Kingdom</v>
      </c>
      <c r="E254" s="156">
        <f>IFERROR(__xludf.DUMMYFUNCTION("""COMPUTED_VALUE"""),44424.0)</f>
        <v>44424</v>
      </c>
      <c r="F254" s="129">
        <f>IFERROR(__xludf.DUMMYFUNCTION("""COMPUTED_VALUE"""),44431.0)</f>
        <v>44431</v>
      </c>
      <c r="G254" s="154" t="str">
        <f>IFERROR(__xludf.DUMMYFUNCTION("""COMPUTED_VALUE"""),"Source code")</f>
        <v>Source code</v>
      </c>
      <c r="H254" s="131">
        <f>IFERROR(__xludf.DUMMYFUNCTION("""COMPUTED_VALUE"""),321755.0)</f>
        <v>321755</v>
      </c>
      <c r="I254" s="144"/>
      <c r="J254" s="129">
        <f>IFERROR(__xludf.DUMMYFUNCTION("""COMPUTED_VALUE"""),44467.0)</f>
        <v>44467</v>
      </c>
      <c r="K254" s="133">
        <f>IFERROR(__xludf.DUMMYFUNCTION("""COMPUTED_VALUE"""),7.0)</f>
        <v>7</v>
      </c>
      <c r="L254" s="133">
        <f>IFERROR(__xludf.DUMMYFUNCTION("""COMPUTED_VALUE"""),36.0)</f>
        <v>36</v>
      </c>
      <c r="M254" s="133">
        <f>IFERROR(__xludf.DUMMYFUNCTION("""COMPUTED_VALUE"""),43.0)</f>
        <v>43</v>
      </c>
      <c r="N254" s="152" t="str">
        <f>IFERROR(__xludf.DUMMYFUNCTION("""COMPUTED_VALUE"""),"Model 3 LR AWD")</f>
        <v>Model 3 LR AWD</v>
      </c>
      <c r="O254" s="152" t="str">
        <f>IFERROR(__xludf.DUMMYFUNCTION("""COMPUTED_VALUE"""),"Solid Black")</f>
        <v>Solid Black</v>
      </c>
      <c r="P254" s="153" t="str">
        <f>IFERROR(__xludf.DUMMYFUNCTION("""COMPUTED_VALUE"""),"18 inch")</f>
        <v>18 inch</v>
      </c>
      <c r="Q254" s="152" t="str">
        <f>IFERROR(__xludf.DUMMYFUNCTION("""COMPUTED_VALUE"""),"All Black")</f>
        <v>All Black</v>
      </c>
      <c r="R254" s="149" t="str">
        <f>IFERROR(__xludf.DUMMYFUNCTION("""COMPUTED_VALUE"""),"Autopilot included")</f>
        <v>Autopilot included</v>
      </c>
      <c r="S254" s="149" t="str">
        <f>IFERROR(__xludf.DUMMYFUNCTION("""COMPUTED_VALUE"""),"Loan")</f>
        <v>Loan</v>
      </c>
      <c r="T254" s="145" t="str">
        <f>IFERROR(__xludf.DUMMYFUNCTION("""COMPUTED_VALUE"""),"BMW 3 Series")</f>
        <v>BMW 3 Series</v>
      </c>
      <c r="U254" s="145" t="str">
        <f>IFERROR(__xludf.DUMMYFUNCTION("""COMPUTED_VALUE"""),"Whole package")</f>
        <v>Whole package</v>
      </c>
      <c r="V254" s="145" t="str">
        <f>IFERROR(__xludf.DUMMYFUNCTION("""COMPUTED_VALUE"""),"Head-up display")</f>
        <v>Head-up display</v>
      </c>
      <c r="W254" s="136"/>
      <c r="X254" s="137"/>
      <c r="Y254" s="138"/>
      <c r="Z254" s="138"/>
      <c r="AA254" s="138"/>
      <c r="AB254" s="138"/>
      <c r="AC254" s="139"/>
      <c r="AD254" s="139"/>
      <c r="AE254" s="139"/>
      <c r="AF254" s="140"/>
      <c r="AG254" s="136"/>
      <c r="AH254" s="157">
        <f>IFERROR(__xludf.DUMMYFUNCTION("""COMPUTED_VALUE"""),44449.601916782405)</f>
        <v>44449.60192</v>
      </c>
      <c r="AI254" s="138"/>
      <c r="AJ254" s="138"/>
      <c r="AK254" s="138"/>
      <c r="AL254" s="142"/>
    </row>
    <row r="255" ht="20.25" customHeight="1">
      <c r="A255" s="155" t="str">
        <f>IFERROR(__xludf.DUMMYFUNCTION("""COMPUTED_VALUE"""),"Kambob")</f>
        <v>Kambob</v>
      </c>
      <c r="B255" s="149" t="str">
        <f>IFERROR(__xludf.DUMMYFUNCTION("""COMPUTED_VALUE"""),"Los Angeles")</f>
        <v>Los Angeles</v>
      </c>
      <c r="C255" s="149" t="str">
        <f>IFERROR(__xludf.DUMMYFUNCTION("""COMPUTED_VALUE"""),"CA")</f>
        <v>CA</v>
      </c>
      <c r="D255" s="149" t="str">
        <f>IFERROR(__xludf.DUMMYFUNCTION("""COMPUTED_VALUE"""),"USA")</f>
        <v>USA</v>
      </c>
      <c r="E255" s="156">
        <f>IFERROR(__xludf.DUMMYFUNCTION("""COMPUTED_VALUE"""),44424.0)</f>
        <v>44424</v>
      </c>
      <c r="F255" s="129"/>
      <c r="G255" s="154"/>
      <c r="H255" s="131"/>
      <c r="I255" s="144"/>
      <c r="J255" s="129"/>
      <c r="K255" s="133"/>
      <c r="L255" s="133"/>
      <c r="M255" s="133"/>
      <c r="N255" s="152" t="str">
        <f>IFERROR(__xludf.DUMMYFUNCTION("""COMPUTED_VALUE"""),"Model 3 SR+")</f>
        <v>Model 3 SR+</v>
      </c>
      <c r="O255" s="152" t="str">
        <f>IFERROR(__xludf.DUMMYFUNCTION("""COMPUTED_VALUE"""),"Deep Blue Metallic")</f>
        <v>Deep Blue Metallic</v>
      </c>
      <c r="P255" s="153" t="str">
        <f>IFERROR(__xludf.DUMMYFUNCTION("""COMPUTED_VALUE"""),"18 inch")</f>
        <v>18 inch</v>
      </c>
      <c r="Q255" s="152" t="str">
        <f>IFERROR(__xludf.DUMMYFUNCTION("""COMPUTED_VALUE"""),"All Black")</f>
        <v>All Black</v>
      </c>
      <c r="R255" s="149" t="str">
        <f>IFERROR(__xludf.DUMMYFUNCTION("""COMPUTED_VALUE"""),"Autopilot included")</f>
        <v>Autopilot included</v>
      </c>
      <c r="S255" s="149" t="str">
        <f>IFERROR(__xludf.DUMMYFUNCTION("""COMPUTED_VALUE"""),"Lease")</f>
        <v>Lease</v>
      </c>
      <c r="T255" s="145" t="str">
        <f>IFERROR(__xludf.DUMMYFUNCTION("""COMPUTED_VALUE"""),"Model 3 will be my first car!")</f>
        <v>Model 3 will be my first car!</v>
      </c>
      <c r="U255" s="145"/>
      <c r="V255" s="145"/>
      <c r="W255" s="136"/>
      <c r="X255" s="137"/>
      <c r="Y255" s="138"/>
      <c r="Z255" s="138"/>
      <c r="AA255" s="138"/>
      <c r="AB255" s="138"/>
      <c r="AC255" s="139"/>
      <c r="AD255" s="139"/>
      <c r="AE255" s="139"/>
      <c r="AF255" s="140"/>
      <c r="AG255" s="136"/>
      <c r="AH255" s="157">
        <f>IFERROR(__xludf.DUMMYFUNCTION("""COMPUTED_VALUE"""),44488.87651111111)</f>
        <v>44488.87651</v>
      </c>
      <c r="AI255" s="138"/>
      <c r="AJ255" s="138"/>
      <c r="AK255" s="138"/>
      <c r="AL255" s="142"/>
    </row>
    <row r="256" ht="20.25" customHeight="1">
      <c r="A256" s="155" t="str">
        <f>IFERROR(__xludf.DUMMYFUNCTION("""COMPUTED_VALUE"""),"Kousze")</f>
        <v>Kousze</v>
      </c>
      <c r="B256" s="149" t="str">
        <f>IFERROR(__xludf.DUMMYFUNCTION("""COMPUTED_VALUE"""),"Apex")</f>
        <v>Apex</v>
      </c>
      <c r="C256" s="149" t="str">
        <f>IFERROR(__xludf.DUMMYFUNCTION("""COMPUTED_VALUE"""),"NC")</f>
        <v>NC</v>
      </c>
      <c r="D256" s="149" t="str">
        <f>IFERROR(__xludf.DUMMYFUNCTION("""COMPUTED_VALUE"""),"USA")</f>
        <v>USA</v>
      </c>
      <c r="E256" s="156">
        <f>IFERROR(__xludf.DUMMYFUNCTION("""COMPUTED_VALUE"""),44424.0)</f>
        <v>44424</v>
      </c>
      <c r="F256" s="129">
        <f>IFERROR(__xludf.DUMMYFUNCTION("""COMPUTED_VALUE"""),44493.0)</f>
        <v>44493</v>
      </c>
      <c r="G256" s="154"/>
      <c r="H256" s="131">
        <f>IFERROR(__xludf.DUMMYFUNCTION("""COMPUTED_VALUE"""),93455.0)</f>
        <v>93455</v>
      </c>
      <c r="I256" s="144"/>
      <c r="J256" s="129">
        <f>IFERROR(__xludf.DUMMYFUNCTION("""COMPUTED_VALUE"""),44510.0)</f>
        <v>44510</v>
      </c>
      <c r="K256" s="133">
        <f>IFERROR(__xludf.DUMMYFUNCTION("""COMPUTED_VALUE"""),69.0)</f>
        <v>69</v>
      </c>
      <c r="L256" s="133">
        <f>IFERROR(__xludf.DUMMYFUNCTION("""COMPUTED_VALUE"""),17.0)</f>
        <v>17</v>
      </c>
      <c r="M256" s="133">
        <f>IFERROR(__xludf.DUMMYFUNCTION("""COMPUTED_VALUE"""),86.0)</f>
        <v>86</v>
      </c>
      <c r="N256" s="152" t="str">
        <f>IFERROR(__xludf.DUMMYFUNCTION("""COMPUTED_VALUE"""),"Model 3 SR+")</f>
        <v>Model 3 SR+</v>
      </c>
      <c r="O256" s="152" t="str">
        <f>IFERROR(__xludf.DUMMYFUNCTION("""COMPUTED_VALUE"""),"Pearl White Multi-Coat")</f>
        <v>Pearl White Multi-Coat</v>
      </c>
      <c r="P256" s="153" t="str">
        <f>IFERROR(__xludf.DUMMYFUNCTION("""COMPUTED_VALUE"""),"18 inch")</f>
        <v>18 inch</v>
      </c>
      <c r="Q256" s="152" t="str">
        <f>IFERROR(__xludf.DUMMYFUNCTION("""COMPUTED_VALUE"""),"All Black")</f>
        <v>All Black</v>
      </c>
      <c r="R256" s="149" t="str">
        <f>IFERROR(__xludf.DUMMYFUNCTION("""COMPUTED_VALUE"""),"Autopilot included")</f>
        <v>Autopilot included</v>
      </c>
      <c r="S256" s="149" t="str">
        <f>IFERROR(__xludf.DUMMYFUNCTION("""COMPUTED_VALUE"""),"Loan")</f>
        <v>Loan</v>
      </c>
      <c r="T256" s="145"/>
      <c r="U256" s="145" t="str">
        <f>IFERROR(__xludf.DUMMYFUNCTION("""COMPUTED_VALUE"""),"Electric!")</f>
        <v>Electric!</v>
      </c>
      <c r="V256" s="145" t="str">
        <f>IFERROR(__xludf.DUMMYFUNCTION("""COMPUTED_VALUE"""),"Apple CarPlay / Android Auto / SiriusXM Radio")</f>
        <v>Apple CarPlay / Android Auto / SiriusXM Radio</v>
      </c>
      <c r="W256" s="136"/>
      <c r="X256" s="137"/>
      <c r="Y256" s="138"/>
      <c r="Z256" s="138"/>
      <c r="AA256" s="138"/>
      <c r="AB256" s="138"/>
      <c r="AC256" s="139"/>
      <c r="AD256" s="139"/>
      <c r="AE256" s="139"/>
      <c r="AF256" s="140"/>
      <c r="AG256" s="136"/>
      <c r="AH256" s="157">
        <f>IFERROR(__xludf.DUMMYFUNCTION("""COMPUTED_VALUE"""),44495.772967349534)</f>
        <v>44495.77297</v>
      </c>
      <c r="AI256" s="138"/>
      <c r="AJ256" s="138"/>
      <c r="AK256" s="138"/>
      <c r="AL256" s="142"/>
    </row>
    <row r="257" ht="20.25" customHeight="1">
      <c r="A257" s="155" t="str">
        <f>IFERROR(__xludf.DUMMYFUNCTION("""COMPUTED_VALUE"""),"Ox-in-a-box")</f>
        <v>Ox-in-a-box</v>
      </c>
      <c r="B257" s="149" t="str">
        <f>IFERROR(__xludf.DUMMYFUNCTION("""COMPUTED_VALUE"""),"Austin")</f>
        <v>Austin</v>
      </c>
      <c r="C257" s="149" t="str">
        <f>IFERROR(__xludf.DUMMYFUNCTION("""COMPUTED_VALUE"""),"TX")</f>
        <v>TX</v>
      </c>
      <c r="D257" s="149" t="str">
        <f>IFERROR(__xludf.DUMMYFUNCTION("""COMPUTED_VALUE"""),"USA")</f>
        <v>USA</v>
      </c>
      <c r="E257" s="156">
        <f>IFERROR(__xludf.DUMMYFUNCTION("""COMPUTED_VALUE"""),44424.0)</f>
        <v>44424</v>
      </c>
      <c r="F257" s="129"/>
      <c r="G257" s="154"/>
      <c r="H257" s="131"/>
      <c r="I257" s="144"/>
      <c r="J257" s="129"/>
      <c r="K257" s="133"/>
      <c r="L257" s="133"/>
      <c r="M257" s="133"/>
      <c r="N257" s="152" t="str">
        <f>IFERROR(__xludf.DUMMYFUNCTION("""COMPUTED_VALUE"""),"Model 3 SR+")</f>
        <v>Model 3 SR+</v>
      </c>
      <c r="O257" s="152" t="str">
        <f>IFERROR(__xludf.DUMMYFUNCTION("""COMPUTED_VALUE"""),"Solid Black")</f>
        <v>Solid Black</v>
      </c>
      <c r="P257" s="153" t="str">
        <f>IFERROR(__xludf.DUMMYFUNCTION("""COMPUTED_VALUE"""),"19 inch")</f>
        <v>19 inch</v>
      </c>
      <c r="Q257" s="152" t="str">
        <f>IFERROR(__xludf.DUMMYFUNCTION("""COMPUTED_VALUE"""),"All Black")</f>
        <v>All Black</v>
      </c>
      <c r="R257" s="149" t="str">
        <f>IFERROR(__xludf.DUMMYFUNCTION("""COMPUTED_VALUE"""),"Autopilot included")</f>
        <v>Autopilot included</v>
      </c>
      <c r="S257" s="149" t="str">
        <f>IFERROR(__xludf.DUMMYFUNCTION("""COMPUTED_VALUE"""),"Loan")</f>
        <v>Loan</v>
      </c>
      <c r="T257" s="145" t="str">
        <f>IFERROR(__xludf.DUMMYFUNCTION("""COMPUTED_VALUE"""),"Model 3 will be my first car!")</f>
        <v>Model 3 will be my first car!</v>
      </c>
      <c r="U257" s="145" t="str">
        <f>IFERROR(__xludf.DUMMYFUNCTION("""COMPUTED_VALUE"""),"Safety")</f>
        <v>Safety</v>
      </c>
      <c r="V257" s="145" t="str">
        <f>IFERROR(__xludf.DUMMYFUNCTION("""COMPUTED_VALUE"""),"Apple CarPlay / Android Auto / SiriusXM Radio")</f>
        <v>Apple CarPlay / Android Auto / SiriusXM Radio</v>
      </c>
      <c r="W257" s="136"/>
      <c r="X257" s="137"/>
      <c r="Y257" s="138"/>
      <c r="Z257" s="138"/>
      <c r="AA257" s="138"/>
      <c r="AB257" s="138"/>
      <c r="AC257" s="139"/>
      <c r="AD257" s="139"/>
      <c r="AE257" s="139"/>
      <c r="AF257" s="140"/>
      <c r="AG257" s="136"/>
      <c r="AH257" s="157">
        <f>IFERROR(__xludf.DUMMYFUNCTION("""COMPUTED_VALUE"""),44440.50739680556)</f>
        <v>44440.5074</v>
      </c>
      <c r="AI257" s="138"/>
      <c r="AJ257" s="138"/>
      <c r="AK257" s="138"/>
      <c r="AL257" s="142"/>
    </row>
    <row r="258" ht="20.25" customHeight="1">
      <c r="A258" s="155" t="str">
        <f>IFERROR(__xludf.DUMMYFUNCTION("""COMPUTED_VALUE"""),"RichardMa0830")</f>
        <v>RichardMa0830</v>
      </c>
      <c r="B258" s="149" t="str">
        <f>IFERROR(__xludf.DUMMYFUNCTION("""COMPUTED_VALUE"""),"Los Angeles")</f>
        <v>Los Angeles</v>
      </c>
      <c r="C258" s="149" t="str">
        <f>IFERROR(__xludf.DUMMYFUNCTION("""COMPUTED_VALUE"""),"CA")</f>
        <v>CA</v>
      </c>
      <c r="D258" s="149" t="str">
        <f>IFERROR(__xludf.DUMMYFUNCTION("""COMPUTED_VALUE"""),"USA")</f>
        <v>USA</v>
      </c>
      <c r="E258" s="156">
        <f>IFERROR(__xludf.DUMMYFUNCTION("""COMPUTED_VALUE"""),44424.0)</f>
        <v>44424</v>
      </c>
      <c r="F258" s="129">
        <f>IFERROR(__xludf.DUMMYFUNCTION("""COMPUTED_VALUE"""),44434.0)</f>
        <v>44434</v>
      </c>
      <c r="G258" s="154" t="str">
        <f>IFERROR(__xludf.DUMMYFUNCTION("""COMPUTED_VALUE"""),"Manage order page (normal text)")</f>
        <v>Manage order page (normal text)</v>
      </c>
      <c r="H258" s="131">
        <f>IFERROR(__xludf.DUMMYFUNCTION("""COMPUTED_VALUE"""),51655.0)</f>
        <v>51655</v>
      </c>
      <c r="I258" s="144"/>
      <c r="J258" s="129">
        <f>IFERROR(__xludf.DUMMYFUNCTION("""COMPUTED_VALUE"""),44450.0)</f>
        <v>44450</v>
      </c>
      <c r="K258" s="133">
        <f>IFERROR(__xludf.DUMMYFUNCTION("""COMPUTED_VALUE"""),10.0)</f>
        <v>10</v>
      </c>
      <c r="L258" s="133">
        <f>IFERROR(__xludf.DUMMYFUNCTION("""COMPUTED_VALUE"""),16.0)</f>
        <v>16</v>
      </c>
      <c r="M258" s="133">
        <f>IFERROR(__xludf.DUMMYFUNCTION("""COMPUTED_VALUE"""),26.0)</f>
        <v>26</v>
      </c>
      <c r="N258" s="152" t="str">
        <f>IFERROR(__xludf.DUMMYFUNCTION("""COMPUTED_VALUE"""),"Model 3 SR+")</f>
        <v>Model 3 SR+</v>
      </c>
      <c r="O258" s="152" t="str">
        <f>IFERROR(__xludf.DUMMYFUNCTION("""COMPUTED_VALUE"""),"Pearl White Multi-Coat")</f>
        <v>Pearl White Multi-Coat</v>
      </c>
      <c r="P258" s="153" t="str">
        <f>IFERROR(__xludf.DUMMYFUNCTION("""COMPUTED_VALUE"""),"18 inch")</f>
        <v>18 inch</v>
      </c>
      <c r="Q258" s="152" t="str">
        <f>IFERROR(__xludf.DUMMYFUNCTION("""COMPUTED_VALUE"""),"All Black")</f>
        <v>All Black</v>
      </c>
      <c r="R258" s="149" t="str">
        <f>IFERROR(__xludf.DUMMYFUNCTION("""COMPUTED_VALUE"""),"Autopilot included")</f>
        <v>Autopilot included</v>
      </c>
      <c r="S258" s="149" t="str">
        <f>IFERROR(__xludf.DUMMYFUNCTION("""COMPUTED_VALUE"""),"Lease")</f>
        <v>Lease</v>
      </c>
      <c r="T258" s="145" t="str">
        <f>IFERROR(__xludf.DUMMYFUNCTION("""COMPUTED_VALUE"""),"VOLVO XC60")</f>
        <v>VOLVO XC60</v>
      </c>
      <c r="U258" s="145" t="str">
        <f>IFERROR(__xludf.DUMMYFUNCTION("""COMPUTED_VALUE"""),"Electric!")</f>
        <v>Electric!</v>
      </c>
      <c r="V258" s="145" t="str">
        <f>IFERROR(__xludf.DUMMYFUNCTION("""COMPUTED_VALUE"""),"Apple CarPlay / Android Auto / SiriusXM Radio")</f>
        <v>Apple CarPlay / Android Auto / SiriusXM Radio</v>
      </c>
      <c r="W258" s="136"/>
      <c r="X258" s="137" t="str">
        <f>IFERROR(__xludf.DUMMYFUNCTION("""COMPUTED_VALUE"""),"Excellent")</f>
        <v>Excellent</v>
      </c>
      <c r="Y258" s="138" t="str">
        <f>IFERROR(__xludf.DUMMYFUNCTION("""COMPUTED_VALUE"""),"Excellent")</f>
        <v>Excellent</v>
      </c>
      <c r="Z258" s="138" t="str">
        <f>IFERROR(__xludf.DUMMYFUNCTION("""COMPUTED_VALUE"""),"Excellent")</f>
        <v>Excellent</v>
      </c>
      <c r="AA258" s="138" t="str">
        <f>IFERROR(__xludf.DUMMYFUNCTION("""COMPUTED_VALUE"""),"Good")</f>
        <v>Good</v>
      </c>
      <c r="AB258" s="138" t="str">
        <f>IFERROR(__xludf.DUMMYFUNCTION("""COMPUTED_VALUE"""),"Very Good")</f>
        <v>Very Good</v>
      </c>
      <c r="AC258" s="139">
        <f>IFERROR(__xludf.DUMMYFUNCTION("""COMPUTED_VALUE"""),0.0)</f>
        <v>0</v>
      </c>
      <c r="AD258" s="139">
        <f>IFERROR(__xludf.DUMMYFUNCTION("""COMPUTED_VALUE"""),0.0)</f>
        <v>0</v>
      </c>
      <c r="AE258" s="139">
        <f>IFERROR(__xludf.DUMMYFUNCTION("""COMPUTED_VALUE"""),0.0)</f>
        <v>0</v>
      </c>
      <c r="AF258" s="140" t="str">
        <f>IFERROR(__xludf.DUMMYFUNCTION("""COMPUTED_VALUE"""),"No. I took delivery of the first car Tesla was able to deliver.")</f>
        <v>No. I took delivery of the first car Tesla was able to deliver.</v>
      </c>
      <c r="AG258" s="136" t="str">
        <f>IFERROR(__xludf.DUMMYFUNCTION("""COMPUTED_VALUE"""),"LFP Model 3 SR+")</f>
        <v>LFP Model 3 SR+</v>
      </c>
      <c r="AH258" s="157">
        <f>IFERROR(__xludf.DUMMYFUNCTION("""COMPUTED_VALUE"""),44452.908195208336)</f>
        <v>44452.9082</v>
      </c>
      <c r="AI258" s="138"/>
      <c r="AJ258" s="138"/>
      <c r="AK258" s="138"/>
      <c r="AL258" s="142"/>
    </row>
    <row r="259" ht="20.25" customHeight="1">
      <c r="A259" s="155" t="str">
        <f>IFERROR(__xludf.DUMMYFUNCTION("""COMPUTED_VALUE"""),"Chazzymoto ")</f>
        <v>Chazzymoto </v>
      </c>
      <c r="B259" s="149" t="str">
        <f>IFERROR(__xludf.DUMMYFUNCTION("""COMPUTED_VALUE"""),"Seattle")</f>
        <v>Seattle</v>
      </c>
      <c r="C259" s="149" t="str">
        <f>IFERROR(__xludf.DUMMYFUNCTION("""COMPUTED_VALUE"""),"WA")</f>
        <v>WA</v>
      </c>
      <c r="D259" s="149" t="str">
        <f>IFERROR(__xludf.DUMMYFUNCTION("""COMPUTED_VALUE"""),"USA")</f>
        <v>USA</v>
      </c>
      <c r="E259" s="156">
        <f>IFERROR(__xludf.DUMMYFUNCTION("""COMPUTED_VALUE"""),44423.0)</f>
        <v>44423</v>
      </c>
      <c r="F259" s="129"/>
      <c r="G259" s="154"/>
      <c r="H259" s="131"/>
      <c r="I259" s="144"/>
      <c r="J259" s="129"/>
      <c r="K259" s="133"/>
      <c r="L259" s="133"/>
      <c r="M259" s="133"/>
      <c r="N259" s="152" t="str">
        <f>IFERROR(__xludf.DUMMYFUNCTION("""COMPUTED_VALUE"""),"Model 3 Performance")</f>
        <v>Model 3 Performance</v>
      </c>
      <c r="O259" s="152" t="str">
        <f>IFERROR(__xludf.DUMMYFUNCTION("""COMPUTED_VALUE"""),"Midnight Silver Metallic")</f>
        <v>Midnight Silver Metallic</v>
      </c>
      <c r="P259" s="153" t="str">
        <f>IFERROR(__xludf.DUMMYFUNCTION("""COMPUTED_VALUE"""),"20 inch")</f>
        <v>20 inch</v>
      </c>
      <c r="Q259" s="152" t="str">
        <f>IFERROR(__xludf.DUMMYFUNCTION("""COMPUTED_VALUE"""),"All Black")</f>
        <v>All Black</v>
      </c>
      <c r="R259" s="149" t="str">
        <f>IFERROR(__xludf.DUMMYFUNCTION("""COMPUTED_VALUE"""),"Autopilot included")</f>
        <v>Autopilot included</v>
      </c>
      <c r="S259" s="149" t="str">
        <f>IFERROR(__xludf.DUMMYFUNCTION("""COMPUTED_VALUE"""),"Loan")</f>
        <v>Loan</v>
      </c>
      <c r="T259" s="145"/>
      <c r="U259" s="145"/>
      <c r="V259" s="145"/>
      <c r="W259" s="136"/>
      <c r="X259" s="137"/>
      <c r="Y259" s="138"/>
      <c r="Z259" s="138"/>
      <c r="AA259" s="138"/>
      <c r="AB259" s="138"/>
      <c r="AC259" s="139"/>
      <c r="AD259" s="139"/>
      <c r="AE259" s="139"/>
      <c r="AF259" s="140"/>
      <c r="AG259" s="136"/>
      <c r="AH259" s="157">
        <f>IFERROR(__xludf.DUMMYFUNCTION("""COMPUTED_VALUE"""),44474.66163530092)</f>
        <v>44474.66164</v>
      </c>
      <c r="AI259" s="138"/>
      <c r="AJ259" s="138"/>
      <c r="AK259" s="138"/>
      <c r="AL259" s="142"/>
    </row>
    <row r="260" ht="20.25" customHeight="1">
      <c r="A260" s="155" t="str">
        <f>IFERROR(__xludf.DUMMYFUNCTION("""COMPUTED_VALUE"""),"EmmJay")</f>
        <v>EmmJay</v>
      </c>
      <c r="B260" s="149" t="str">
        <f>IFERROR(__xludf.DUMMYFUNCTION("""COMPUTED_VALUE"""),"Nashville")</f>
        <v>Nashville</v>
      </c>
      <c r="C260" s="149" t="str">
        <f>IFERROR(__xludf.DUMMYFUNCTION("""COMPUTED_VALUE"""),"TN")</f>
        <v>TN</v>
      </c>
      <c r="D260" s="149" t="str">
        <f>IFERROR(__xludf.DUMMYFUNCTION("""COMPUTED_VALUE"""),"USA")</f>
        <v>USA</v>
      </c>
      <c r="E260" s="156">
        <f>IFERROR(__xludf.DUMMYFUNCTION("""COMPUTED_VALUE"""),44423.0)</f>
        <v>44423</v>
      </c>
      <c r="F260" s="129"/>
      <c r="G260" s="154"/>
      <c r="H260" s="131"/>
      <c r="I260" s="144"/>
      <c r="J260" s="129"/>
      <c r="K260" s="133"/>
      <c r="L260" s="133"/>
      <c r="M260" s="133"/>
      <c r="N260" s="152" t="str">
        <f>IFERROR(__xludf.DUMMYFUNCTION("""COMPUTED_VALUE"""),"Model 3 SR+")</f>
        <v>Model 3 SR+</v>
      </c>
      <c r="O260" s="152" t="str">
        <f>IFERROR(__xludf.DUMMYFUNCTION("""COMPUTED_VALUE"""),"Deep Blue Metallic")</f>
        <v>Deep Blue Metallic</v>
      </c>
      <c r="P260" s="153" t="str">
        <f>IFERROR(__xludf.DUMMYFUNCTION("""COMPUTED_VALUE"""),"19 inch")</f>
        <v>19 inch</v>
      </c>
      <c r="Q260" s="152" t="str">
        <f>IFERROR(__xludf.DUMMYFUNCTION("""COMPUTED_VALUE"""),"Black and White")</f>
        <v>Black and White</v>
      </c>
      <c r="R260" s="149" t="str">
        <f>IFERROR(__xludf.DUMMYFUNCTION("""COMPUTED_VALUE"""),"Autopilot included")</f>
        <v>Autopilot included</v>
      </c>
      <c r="S260" s="149" t="str">
        <f>IFERROR(__xludf.DUMMYFUNCTION("""COMPUTED_VALUE"""),"Loan")</f>
        <v>Loan</v>
      </c>
      <c r="T260" s="145" t="str">
        <f>IFERROR(__xludf.DUMMYFUNCTION("""COMPUTED_VALUE"""),"Kia Soul")</f>
        <v>Kia Soul</v>
      </c>
      <c r="U260" s="145" t="str">
        <f>IFERROR(__xludf.DUMMYFUNCTION("""COMPUTED_VALUE"""),"Electric!")</f>
        <v>Electric!</v>
      </c>
      <c r="V260" s="145" t="str">
        <f>IFERROR(__xludf.DUMMYFUNCTION("""COMPUTED_VALUE"""),"Blind spot indicators on side mirrors")</f>
        <v>Blind spot indicators on side mirrors</v>
      </c>
      <c r="W260" s="136"/>
      <c r="X260" s="137"/>
      <c r="Y260" s="138"/>
      <c r="Z260" s="138"/>
      <c r="AA260" s="138"/>
      <c r="AB260" s="138"/>
      <c r="AC260" s="139"/>
      <c r="AD260" s="139"/>
      <c r="AE260" s="139"/>
      <c r="AF260" s="140"/>
      <c r="AG260" s="136"/>
      <c r="AH260" s="157">
        <f>IFERROR(__xludf.DUMMYFUNCTION("""COMPUTED_VALUE"""),44424.48753125)</f>
        <v>44424.48753</v>
      </c>
      <c r="AI260" s="138"/>
      <c r="AJ260" s="138"/>
      <c r="AK260" s="138"/>
      <c r="AL260" s="142"/>
    </row>
    <row r="261" ht="20.25" customHeight="1">
      <c r="A261" s="155" t="str">
        <f>IFERROR(__xludf.DUMMYFUNCTION("""COMPUTED_VALUE"""),"erackpenguyen")</f>
        <v>erackpenguyen</v>
      </c>
      <c r="B261" s="149" t="str">
        <f>IFERROR(__xludf.DUMMYFUNCTION("""COMPUTED_VALUE"""),"Las Vegas")</f>
        <v>Las Vegas</v>
      </c>
      <c r="C261" s="149" t="str">
        <f>IFERROR(__xludf.DUMMYFUNCTION("""COMPUTED_VALUE"""),"NV")</f>
        <v>NV</v>
      </c>
      <c r="D261" s="149" t="str">
        <f>IFERROR(__xludf.DUMMYFUNCTION("""COMPUTED_VALUE"""),"USA")</f>
        <v>USA</v>
      </c>
      <c r="E261" s="156">
        <f>IFERROR(__xludf.DUMMYFUNCTION("""COMPUTED_VALUE"""),44423.0)</f>
        <v>44423</v>
      </c>
      <c r="F261" s="129"/>
      <c r="G261" s="154"/>
      <c r="H261" s="131"/>
      <c r="I261" s="144"/>
      <c r="J261" s="129"/>
      <c r="K261" s="133"/>
      <c r="L261" s="133"/>
      <c r="M261" s="133"/>
      <c r="N261" s="152" t="str">
        <f>IFERROR(__xludf.DUMMYFUNCTION("""COMPUTED_VALUE"""),"Model 3 SR+")</f>
        <v>Model 3 SR+</v>
      </c>
      <c r="O261" s="152" t="str">
        <f>IFERROR(__xludf.DUMMYFUNCTION("""COMPUTED_VALUE"""),"Pearl White Multi-Coat")</f>
        <v>Pearl White Multi-Coat</v>
      </c>
      <c r="P261" s="153" t="str">
        <f>IFERROR(__xludf.DUMMYFUNCTION("""COMPUTED_VALUE"""),"18 inch")</f>
        <v>18 inch</v>
      </c>
      <c r="Q261" s="152" t="str">
        <f>IFERROR(__xludf.DUMMYFUNCTION("""COMPUTED_VALUE"""),"Black and White")</f>
        <v>Black and White</v>
      </c>
      <c r="R261" s="149" t="str">
        <f>IFERROR(__xludf.DUMMYFUNCTION("""COMPUTED_VALUE"""),"Autopilot included")</f>
        <v>Autopilot included</v>
      </c>
      <c r="S261" s="149" t="str">
        <f>IFERROR(__xludf.DUMMYFUNCTION("""COMPUTED_VALUE"""),"Loan")</f>
        <v>Loan</v>
      </c>
      <c r="T261" s="145"/>
      <c r="U261" s="145"/>
      <c r="V261" s="145"/>
      <c r="W261" s="136"/>
      <c r="X261" s="137"/>
      <c r="Y261" s="138"/>
      <c r="Z261" s="138"/>
      <c r="AA261" s="138"/>
      <c r="AB261" s="138"/>
      <c r="AC261" s="139"/>
      <c r="AD261" s="139"/>
      <c r="AE261" s="139"/>
      <c r="AF261" s="140"/>
      <c r="AG261" s="136"/>
      <c r="AH261" s="157">
        <f>IFERROR(__xludf.DUMMYFUNCTION("""COMPUTED_VALUE"""),44490.483699675926)</f>
        <v>44490.4837</v>
      </c>
      <c r="AI261" s="138"/>
      <c r="AJ261" s="138"/>
      <c r="AK261" s="138"/>
      <c r="AL261" s="142"/>
    </row>
    <row r="262" ht="20.25" customHeight="1">
      <c r="A262" s="155" t="str">
        <f>IFERROR(__xludf.DUMMYFUNCTION("""COMPUTED_VALUE"""),"Jazzmanstv")</f>
        <v>Jazzmanstv</v>
      </c>
      <c r="B262" s="149" t="str">
        <f>IFERROR(__xludf.DUMMYFUNCTION("""COMPUTED_VALUE"""),"Saratoga springs")</f>
        <v>Saratoga springs</v>
      </c>
      <c r="C262" s="149" t="str">
        <f>IFERROR(__xludf.DUMMYFUNCTION("""COMPUTED_VALUE"""),"UT")</f>
        <v>UT</v>
      </c>
      <c r="D262" s="149" t="str">
        <f>IFERROR(__xludf.DUMMYFUNCTION("""COMPUTED_VALUE"""),"USA")</f>
        <v>USA</v>
      </c>
      <c r="E262" s="156">
        <f>IFERROR(__xludf.DUMMYFUNCTION("""COMPUTED_VALUE"""),44423.0)</f>
        <v>44423</v>
      </c>
      <c r="F262" s="129"/>
      <c r="G262" s="154"/>
      <c r="H262" s="131"/>
      <c r="I262" s="132"/>
      <c r="J262" s="129"/>
      <c r="K262" s="133"/>
      <c r="L262" s="133"/>
      <c r="M262" s="133"/>
      <c r="N262" s="152" t="str">
        <f>IFERROR(__xludf.DUMMYFUNCTION("""COMPUTED_VALUE"""),"Model 3 SR+")</f>
        <v>Model 3 SR+</v>
      </c>
      <c r="O262" s="152" t="str">
        <f>IFERROR(__xludf.DUMMYFUNCTION("""COMPUTED_VALUE"""),"Pearl White Multi-Coat")</f>
        <v>Pearl White Multi-Coat</v>
      </c>
      <c r="P262" s="153" t="str">
        <f>IFERROR(__xludf.DUMMYFUNCTION("""COMPUTED_VALUE"""),"18 inch")</f>
        <v>18 inch</v>
      </c>
      <c r="Q262" s="152" t="str">
        <f>IFERROR(__xludf.DUMMYFUNCTION("""COMPUTED_VALUE"""),"All Black")</f>
        <v>All Black</v>
      </c>
      <c r="R262" s="150" t="str">
        <f>IFERROR(__xludf.DUMMYFUNCTION("""COMPUTED_VALUE"""),"Autopilot included")</f>
        <v>Autopilot included</v>
      </c>
      <c r="S262" s="150" t="str">
        <f>IFERROR(__xludf.DUMMYFUNCTION("""COMPUTED_VALUE"""),"Loan")</f>
        <v>Loan</v>
      </c>
      <c r="T262" s="136" t="str">
        <f>IFERROR(__xludf.DUMMYFUNCTION("""COMPUTED_VALUE"""),"Nissan Leaf")</f>
        <v>Nissan Leaf</v>
      </c>
      <c r="U262" s="136" t="str">
        <f>IFERROR(__xludf.DUMMYFUNCTION("""COMPUTED_VALUE"""),"Supercharger V3 support")</f>
        <v>Supercharger V3 support</v>
      </c>
      <c r="V262" s="136"/>
      <c r="W262" s="136"/>
      <c r="X262" s="137"/>
      <c r="Y262" s="138"/>
      <c r="Z262" s="138"/>
      <c r="AA262" s="138"/>
      <c r="AB262" s="138"/>
      <c r="AC262" s="139"/>
      <c r="AD262" s="139"/>
      <c r="AE262" s="139"/>
      <c r="AF262" s="140"/>
      <c r="AG262" s="136"/>
      <c r="AH262" s="157">
        <f>IFERROR(__xludf.DUMMYFUNCTION("""COMPUTED_VALUE"""),44477.312737442124)</f>
        <v>44477.31274</v>
      </c>
      <c r="AI262" s="138"/>
      <c r="AJ262" s="138"/>
      <c r="AK262" s="138"/>
      <c r="AL262" s="142"/>
    </row>
    <row r="263" ht="20.25" customHeight="1">
      <c r="A263" s="155" t="str">
        <f>IFERROR(__xludf.DUMMYFUNCTION("""COMPUTED_VALUE"""),"rush")</f>
        <v>rush</v>
      </c>
      <c r="B263" s="149" t="str">
        <f>IFERROR(__xludf.DUMMYFUNCTION("""COMPUTED_VALUE"""),"Bay Area")</f>
        <v>Bay Area</v>
      </c>
      <c r="C263" s="149" t="str">
        <f>IFERROR(__xludf.DUMMYFUNCTION("""COMPUTED_VALUE"""),"CA")</f>
        <v>CA</v>
      </c>
      <c r="D263" s="149" t="str">
        <f>IFERROR(__xludf.DUMMYFUNCTION("""COMPUTED_VALUE"""),"USA")</f>
        <v>USA</v>
      </c>
      <c r="E263" s="156">
        <f>IFERROR(__xludf.DUMMYFUNCTION("""COMPUTED_VALUE"""),44423.0)</f>
        <v>44423</v>
      </c>
      <c r="F263" s="129"/>
      <c r="G263" s="154"/>
      <c r="H263" s="131"/>
      <c r="I263" s="144"/>
      <c r="J263" s="129"/>
      <c r="K263" s="133"/>
      <c r="L263" s="133"/>
      <c r="M263" s="133"/>
      <c r="N263" s="152" t="str">
        <f>IFERROR(__xludf.DUMMYFUNCTION("""COMPUTED_VALUE"""),"Model 3 LR AWD")</f>
        <v>Model 3 LR AWD</v>
      </c>
      <c r="O263" s="152" t="str">
        <f>IFERROR(__xludf.DUMMYFUNCTION("""COMPUTED_VALUE"""),"Pearl White Multi-Coat")</f>
        <v>Pearl White Multi-Coat</v>
      </c>
      <c r="P263" s="153" t="str">
        <f>IFERROR(__xludf.DUMMYFUNCTION("""COMPUTED_VALUE"""),"18 inch")</f>
        <v>18 inch</v>
      </c>
      <c r="Q263" s="152" t="str">
        <f>IFERROR(__xludf.DUMMYFUNCTION("""COMPUTED_VALUE"""),"All Black")</f>
        <v>All Black</v>
      </c>
      <c r="R263" s="149" t="str">
        <f>IFERROR(__xludf.DUMMYFUNCTION("""COMPUTED_VALUE"""),"Autopilot included")</f>
        <v>Autopilot included</v>
      </c>
      <c r="S263" s="149" t="str">
        <f>IFERROR(__xludf.DUMMYFUNCTION("""COMPUTED_VALUE"""),"Loan")</f>
        <v>Loan</v>
      </c>
      <c r="T263" s="145"/>
      <c r="U263" s="145"/>
      <c r="V263" s="145"/>
      <c r="W263" s="136"/>
      <c r="X263" s="137"/>
      <c r="Y263" s="138"/>
      <c r="Z263" s="138"/>
      <c r="AA263" s="138"/>
      <c r="AB263" s="138"/>
      <c r="AC263" s="139"/>
      <c r="AD263" s="139"/>
      <c r="AE263" s="139"/>
      <c r="AF263" s="140"/>
      <c r="AG263" s="136"/>
      <c r="AH263" s="157">
        <f>IFERROR(__xludf.DUMMYFUNCTION("""COMPUTED_VALUE"""),44464.918885902785)</f>
        <v>44464.91889</v>
      </c>
      <c r="AI263" s="138"/>
      <c r="AJ263" s="138"/>
      <c r="AK263" s="138"/>
      <c r="AL263" s="142"/>
    </row>
    <row r="264" ht="20.25" customHeight="1">
      <c r="A264" s="155" t="str">
        <f>IFERROR(__xludf.DUMMYFUNCTION("""COMPUTED_VALUE"""),"brampton549")</f>
        <v>brampton549</v>
      </c>
      <c r="B264" s="149" t="str">
        <f>IFERROR(__xludf.DUMMYFUNCTION("""COMPUTED_VALUE"""),"brampton")</f>
        <v>brampton</v>
      </c>
      <c r="C264" s="149" t="str">
        <f>IFERROR(__xludf.DUMMYFUNCTION("""COMPUTED_VALUE"""),"ON")</f>
        <v>ON</v>
      </c>
      <c r="D264" s="149" t="str">
        <f>IFERROR(__xludf.DUMMYFUNCTION("""COMPUTED_VALUE"""),"Canada")</f>
        <v>Canada</v>
      </c>
      <c r="E264" s="156">
        <f>IFERROR(__xludf.DUMMYFUNCTION("""COMPUTED_VALUE"""),44422.0)</f>
        <v>44422</v>
      </c>
      <c r="F264" s="129"/>
      <c r="G264" s="154"/>
      <c r="H264" s="131"/>
      <c r="I264" s="144"/>
      <c r="J264" s="129"/>
      <c r="K264" s="133"/>
      <c r="L264" s="133"/>
      <c r="M264" s="133"/>
      <c r="N264" s="152" t="str">
        <f>IFERROR(__xludf.DUMMYFUNCTION("""COMPUTED_VALUE"""),"Model 3 SR+")</f>
        <v>Model 3 SR+</v>
      </c>
      <c r="O264" s="152" t="str">
        <f>IFERROR(__xludf.DUMMYFUNCTION("""COMPUTED_VALUE"""),"Red Multi-Coat")</f>
        <v>Red Multi-Coat</v>
      </c>
      <c r="P264" s="153" t="str">
        <f>IFERROR(__xludf.DUMMYFUNCTION("""COMPUTED_VALUE"""),"18 inch")</f>
        <v>18 inch</v>
      </c>
      <c r="Q264" s="152" t="str">
        <f>IFERROR(__xludf.DUMMYFUNCTION("""COMPUTED_VALUE"""),"All Black")</f>
        <v>All Black</v>
      </c>
      <c r="R264" s="149" t="str">
        <f>IFERROR(__xludf.DUMMYFUNCTION("""COMPUTED_VALUE"""),"Autopilot included")</f>
        <v>Autopilot included</v>
      </c>
      <c r="S264" s="149" t="str">
        <f>IFERROR(__xludf.DUMMYFUNCTION("""COMPUTED_VALUE"""),"Loan")</f>
        <v>Loan</v>
      </c>
      <c r="T264" s="145" t="str">
        <f>IFERROR(__xludf.DUMMYFUNCTION("""COMPUTED_VALUE"""),"Model 3 will be my first car!")</f>
        <v>Model 3 will be my first car!</v>
      </c>
      <c r="U264" s="145" t="str">
        <f>IFERROR(__xludf.DUMMYFUNCTION("""COMPUTED_VALUE"""),"Electric!")</f>
        <v>Electric!</v>
      </c>
      <c r="V264" s="145" t="str">
        <f>IFERROR(__xludf.DUMMYFUNCTION("""COMPUTED_VALUE"""),"360° Bird's eye view")</f>
        <v>360° Bird's eye view</v>
      </c>
      <c r="W264" s="136"/>
      <c r="X264" s="137"/>
      <c r="Y264" s="138"/>
      <c r="Z264" s="138"/>
      <c r="AA264" s="138"/>
      <c r="AB264" s="138"/>
      <c r="AC264" s="139"/>
      <c r="AD264" s="139"/>
      <c r="AE264" s="139"/>
      <c r="AF264" s="140"/>
      <c r="AG264" s="136"/>
      <c r="AH264" s="157">
        <f>IFERROR(__xludf.DUMMYFUNCTION("""COMPUTED_VALUE"""),44423.81120222222)</f>
        <v>44423.8112</v>
      </c>
      <c r="AI264" s="138"/>
      <c r="AJ264" s="138"/>
      <c r="AK264" s="138"/>
      <c r="AL264" s="142"/>
    </row>
    <row r="265" ht="20.25" customHeight="1">
      <c r="A265" s="155" t="str">
        <f>IFERROR(__xludf.DUMMYFUNCTION("""COMPUTED_VALUE"""),"chrsgerhart")</f>
        <v>chrsgerhart</v>
      </c>
      <c r="B265" s="149" t="str">
        <f>IFERROR(__xludf.DUMMYFUNCTION("""COMPUTED_VALUE"""),"Andalusia")</f>
        <v>Andalusia</v>
      </c>
      <c r="C265" s="149" t="str">
        <f>IFERROR(__xludf.DUMMYFUNCTION("""COMPUTED_VALUE"""),"AL")</f>
        <v>AL</v>
      </c>
      <c r="D265" s="149" t="str">
        <f>IFERROR(__xludf.DUMMYFUNCTION("""COMPUTED_VALUE"""),"USA")</f>
        <v>USA</v>
      </c>
      <c r="E265" s="156">
        <f>IFERROR(__xludf.DUMMYFUNCTION("""COMPUTED_VALUE"""),44422.0)</f>
        <v>44422</v>
      </c>
      <c r="F265" s="129">
        <f>IFERROR(__xludf.DUMMYFUNCTION("""COMPUTED_VALUE"""),44425.0)</f>
        <v>44425</v>
      </c>
      <c r="G265" s="154" t="str">
        <f>IFERROR(__xludf.DUMMYFUNCTION("""COMPUTED_VALUE"""),"Manage order page (normal text)")</f>
        <v>Manage order page (normal text)</v>
      </c>
      <c r="H265" s="131">
        <f>IFERROR(__xludf.DUMMYFUNCTION("""COMPUTED_VALUE"""),44247.0)</f>
        <v>44247</v>
      </c>
      <c r="I265" s="144"/>
      <c r="J265" s="129">
        <f>IFERROR(__xludf.DUMMYFUNCTION("""COMPUTED_VALUE"""),44445.0)</f>
        <v>44445</v>
      </c>
      <c r="K265" s="133">
        <f>IFERROR(__xludf.DUMMYFUNCTION("""COMPUTED_VALUE"""),3.0)</f>
        <v>3</v>
      </c>
      <c r="L265" s="133">
        <f>IFERROR(__xludf.DUMMYFUNCTION("""COMPUTED_VALUE"""),20.0)</f>
        <v>20</v>
      </c>
      <c r="M265" s="133">
        <f>IFERROR(__xludf.DUMMYFUNCTION("""COMPUTED_VALUE"""),23.0)</f>
        <v>23</v>
      </c>
      <c r="N265" s="152" t="str">
        <f>IFERROR(__xludf.DUMMYFUNCTION("""COMPUTED_VALUE"""),"Model 3 Performance")</f>
        <v>Model 3 Performance</v>
      </c>
      <c r="O265" s="152" t="str">
        <f>IFERROR(__xludf.DUMMYFUNCTION("""COMPUTED_VALUE"""),"Deep Blue Metallic")</f>
        <v>Deep Blue Metallic</v>
      </c>
      <c r="P265" s="153" t="str">
        <f>IFERROR(__xludf.DUMMYFUNCTION("""COMPUTED_VALUE"""),"20 inch")</f>
        <v>20 inch</v>
      </c>
      <c r="Q265" s="152" t="str">
        <f>IFERROR(__xludf.DUMMYFUNCTION("""COMPUTED_VALUE"""),"Black and White")</f>
        <v>Black and White</v>
      </c>
      <c r="R265" s="149" t="str">
        <f>IFERROR(__xludf.DUMMYFUNCTION("""COMPUTED_VALUE"""),"Autopilot included")</f>
        <v>Autopilot included</v>
      </c>
      <c r="S265" s="149" t="str">
        <f>IFERROR(__xludf.DUMMYFUNCTION("""COMPUTED_VALUE"""),"Loan")</f>
        <v>Loan</v>
      </c>
      <c r="T265" s="145" t="str">
        <f>IFERROR(__xludf.DUMMYFUNCTION("""COMPUTED_VALUE"""),"Chevrolet Camaro")</f>
        <v>Chevrolet Camaro</v>
      </c>
      <c r="U265" s="145" t="str">
        <f>IFERROR(__xludf.DUMMYFUNCTION("""COMPUTED_VALUE"""),"Electric!")</f>
        <v>Electric!</v>
      </c>
      <c r="V265" s="145" t="str">
        <f>IFERROR(__xludf.DUMMYFUNCTION("""COMPUTED_VALUE"""),"Blind spot indicators on side mirrors")</f>
        <v>Blind spot indicators on side mirrors</v>
      </c>
      <c r="W265" s="145"/>
      <c r="X265" s="137"/>
      <c r="Y265" s="138"/>
      <c r="Z265" s="138"/>
      <c r="AA265" s="138"/>
      <c r="AB265" s="138"/>
      <c r="AC265" s="139"/>
      <c r="AD265" s="139"/>
      <c r="AE265" s="139"/>
      <c r="AF265" s="140"/>
      <c r="AG265" s="145"/>
      <c r="AH265" s="157">
        <f>IFERROR(__xludf.DUMMYFUNCTION("""COMPUTED_VALUE"""),44433.39635809028)</f>
        <v>44433.39636</v>
      </c>
      <c r="AI265" s="138"/>
      <c r="AJ265" s="138"/>
      <c r="AK265" s="138"/>
      <c r="AL265" s="142"/>
    </row>
    <row r="266" ht="20.25" customHeight="1">
      <c r="A266" s="155" t="str">
        <f>IFERROR(__xludf.DUMMYFUNCTION("""COMPUTED_VALUE"""),"michael")</f>
        <v>michael</v>
      </c>
      <c r="B266" s="149" t="str">
        <f>IFERROR(__xludf.DUMMYFUNCTION("""COMPUTED_VALUE"""),"St. Louis")</f>
        <v>St. Louis</v>
      </c>
      <c r="C266" s="149" t="str">
        <f>IFERROR(__xludf.DUMMYFUNCTION("""COMPUTED_VALUE"""),"MO")</f>
        <v>MO</v>
      </c>
      <c r="D266" s="149" t="str">
        <f>IFERROR(__xludf.DUMMYFUNCTION("""COMPUTED_VALUE"""),"USA")</f>
        <v>USA</v>
      </c>
      <c r="E266" s="156">
        <f>IFERROR(__xludf.DUMMYFUNCTION("""COMPUTED_VALUE"""),44422.0)</f>
        <v>44422</v>
      </c>
      <c r="F266" s="129">
        <f>IFERROR(__xludf.DUMMYFUNCTION("""COMPUTED_VALUE"""),44451.0)</f>
        <v>44451</v>
      </c>
      <c r="G266" s="154" t="str">
        <f>IFERROR(__xludf.DUMMYFUNCTION("""COMPUTED_VALUE"""),"Email")</f>
        <v>Email</v>
      </c>
      <c r="H266" s="131"/>
      <c r="I266" s="144"/>
      <c r="J266" s="129">
        <f>IFERROR(__xludf.DUMMYFUNCTION("""COMPUTED_VALUE"""),44463.0)</f>
        <v>44463</v>
      </c>
      <c r="K266" s="133">
        <f>IFERROR(__xludf.DUMMYFUNCTION("""COMPUTED_VALUE"""),29.0)</f>
        <v>29</v>
      </c>
      <c r="L266" s="133">
        <f>IFERROR(__xludf.DUMMYFUNCTION("""COMPUTED_VALUE"""),12.0)</f>
        <v>12</v>
      </c>
      <c r="M266" s="133">
        <f>IFERROR(__xludf.DUMMYFUNCTION("""COMPUTED_VALUE"""),41.0)</f>
        <v>41</v>
      </c>
      <c r="N266" s="152" t="str">
        <f>IFERROR(__xludf.DUMMYFUNCTION("""COMPUTED_VALUE"""),"Model 3 LR AWD")</f>
        <v>Model 3 LR AWD</v>
      </c>
      <c r="O266" s="152" t="str">
        <f>IFERROR(__xludf.DUMMYFUNCTION("""COMPUTED_VALUE"""),"Pearl White Multi-Coat")</f>
        <v>Pearl White Multi-Coat</v>
      </c>
      <c r="P266" s="153" t="str">
        <f>IFERROR(__xludf.DUMMYFUNCTION("""COMPUTED_VALUE"""),"19 inch")</f>
        <v>19 inch</v>
      </c>
      <c r="Q266" s="152" t="str">
        <f>IFERROR(__xludf.DUMMYFUNCTION("""COMPUTED_VALUE"""),"All Black")</f>
        <v>All Black</v>
      </c>
      <c r="R266" s="149" t="str">
        <f>IFERROR(__xludf.DUMMYFUNCTION("""COMPUTED_VALUE"""),"Autopilot included")</f>
        <v>Autopilot included</v>
      </c>
      <c r="S266" s="149" t="str">
        <f>IFERROR(__xludf.DUMMYFUNCTION("""COMPUTED_VALUE"""),"Cash")</f>
        <v>Cash</v>
      </c>
      <c r="T266" s="145" t="str">
        <f>IFERROR(__xludf.DUMMYFUNCTION("""COMPUTED_VALUE"""),"VW Golf")</f>
        <v>VW Golf</v>
      </c>
      <c r="U266" s="145" t="str">
        <f>IFERROR(__xludf.DUMMYFUNCTION("""COMPUTED_VALUE"""),"Electric!")</f>
        <v>Electric!</v>
      </c>
      <c r="V266" s="145" t="str">
        <f>IFERROR(__xludf.DUMMYFUNCTION("""COMPUTED_VALUE"""),"Ventilated seats")</f>
        <v>Ventilated seats</v>
      </c>
      <c r="W266" s="145"/>
      <c r="X266" s="137"/>
      <c r="Y266" s="138"/>
      <c r="Z266" s="138"/>
      <c r="AA266" s="138"/>
      <c r="AB266" s="138"/>
      <c r="AC266" s="139"/>
      <c r="AD266" s="139"/>
      <c r="AE266" s="139"/>
      <c r="AF266" s="140"/>
      <c r="AG266" s="145"/>
      <c r="AH266" s="157">
        <f>IFERROR(__xludf.DUMMYFUNCTION("""COMPUTED_VALUE"""),44466.14632704861)</f>
        <v>44466.14633</v>
      </c>
      <c r="AI266" s="138"/>
      <c r="AJ266" s="138"/>
      <c r="AK266" s="138"/>
      <c r="AL266" s="142"/>
    </row>
    <row r="267" ht="20.25" customHeight="1">
      <c r="A267" s="155" t="str">
        <f>IFERROR(__xludf.DUMMYFUNCTION("""COMPUTED_VALUE"""),"cgartly")</f>
        <v>cgartly</v>
      </c>
      <c r="B267" s="149" t="str">
        <f>IFERROR(__xludf.DUMMYFUNCTION("""COMPUTED_VALUE"""),"Kelowna")</f>
        <v>Kelowna</v>
      </c>
      <c r="C267" s="149" t="str">
        <f>IFERROR(__xludf.DUMMYFUNCTION("""COMPUTED_VALUE"""),"BC")</f>
        <v>BC</v>
      </c>
      <c r="D267" s="149" t="str">
        <f>IFERROR(__xludf.DUMMYFUNCTION("""COMPUTED_VALUE"""),"Canada")</f>
        <v>Canada</v>
      </c>
      <c r="E267" s="156">
        <f>IFERROR(__xludf.DUMMYFUNCTION("""COMPUTED_VALUE"""),44421.0)</f>
        <v>44421</v>
      </c>
      <c r="F267" s="129"/>
      <c r="G267" s="154"/>
      <c r="H267" s="131"/>
      <c r="I267" s="144"/>
      <c r="J267" s="129"/>
      <c r="K267" s="133"/>
      <c r="L267" s="133"/>
      <c r="M267" s="133"/>
      <c r="N267" s="152" t="str">
        <f>IFERROR(__xludf.DUMMYFUNCTION("""COMPUTED_VALUE"""),"Model 3 SR+")</f>
        <v>Model 3 SR+</v>
      </c>
      <c r="O267" s="152" t="str">
        <f>IFERROR(__xludf.DUMMYFUNCTION("""COMPUTED_VALUE"""),"Midnight Silver Metallic")</f>
        <v>Midnight Silver Metallic</v>
      </c>
      <c r="P267" s="153" t="str">
        <f>IFERROR(__xludf.DUMMYFUNCTION("""COMPUTED_VALUE"""),"18 inch")</f>
        <v>18 inch</v>
      </c>
      <c r="Q267" s="152" t="str">
        <f>IFERROR(__xludf.DUMMYFUNCTION("""COMPUTED_VALUE"""),"Black and White")</f>
        <v>Black and White</v>
      </c>
      <c r="R267" s="149" t="str">
        <f>IFERROR(__xludf.DUMMYFUNCTION("""COMPUTED_VALUE"""),"Autopilot included")</f>
        <v>Autopilot included</v>
      </c>
      <c r="S267" s="149" t="str">
        <f>IFERROR(__xludf.DUMMYFUNCTION("""COMPUTED_VALUE"""),"Loan")</f>
        <v>Loan</v>
      </c>
      <c r="T267" s="145"/>
      <c r="U267" s="145" t="str">
        <f>IFERROR(__xludf.DUMMYFUNCTION("""COMPUTED_VALUE"""),"Tesla brand image")</f>
        <v>Tesla brand image</v>
      </c>
      <c r="V267" s="145" t="str">
        <f>IFERROR(__xludf.DUMMYFUNCTION("""COMPUTED_VALUE"""),"Blind spot indicators on side mirrors")</f>
        <v>Blind spot indicators on side mirrors</v>
      </c>
      <c r="W267" s="145"/>
      <c r="X267" s="137"/>
      <c r="Y267" s="138"/>
      <c r="Z267" s="138"/>
      <c r="AA267" s="138"/>
      <c r="AB267" s="138"/>
      <c r="AC267" s="139"/>
      <c r="AD267" s="139"/>
      <c r="AE267" s="139"/>
      <c r="AF267" s="140"/>
      <c r="AG267" s="145"/>
      <c r="AH267" s="157">
        <f>IFERROR(__xludf.DUMMYFUNCTION("""COMPUTED_VALUE"""),44425.80404354167)</f>
        <v>44425.80404</v>
      </c>
      <c r="AI267" s="138"/>
      <c r="AJ267" s="138"/>
      <c r="AK267" s="138"/>
      <c r="AL267" s="142"/>
    </row>
    <row r="268" ht="20.25" customHeight="1">
      <c r="A268" s="155" t="str">
        <f>IFERROR(__xludf.DUMMYFUNCTION("""COMPUTED_VALUE"""),"davidg")</f>
        <v>davidg</v>
      </c>
      <c r="B268" s="149" t="str">
        <f>IFERROR(__xludf.DUMMYFUNCTION("""COMPUTED_VALUE"""),"Portland")</f>
        <v>Portland</v>
      </c>
      <c r="C268" s="149" t="str">
        <f>IFERROR(__xludf.DUMMYFUNCTION("""COMPUTED_VALUE"""),"ME")</f>
        <v>ME</v>
      </c>
      <c r="D268" s="149" t="str">
        <f>IFERROR(__xludf.DUMMYFUNCTION("""COMPUTED_VALUE"""),"USA")</f>
        <v>USA</v>
      </c>
      <c r="E268" s="156">
        <f>IFERROR(__xludf.DUMMYFUNCTION("""COMPUTED_VALUE"""),44421.0)</f>
        <v>44421</v>
      </c>
      <c r="F268" s="129">
        <f>IFERROR(__xludf.DUMMYFUNCTION("""COMPUTED_VALUE"""),44497.0)</f>
        <v>44497</v>
      </c>
      <c r="G268" s="154" t="str">
        <f>IFERROR(__xludf.DUMMYFUNCTION("""COMPUTED_VALUE"""),"Manage order page (normal text)")</f>
        <v>Manage order page (normal text)</v>
      </c>
      <c r="H268" s="131">
        <f>IFERROR(__xludf.DUMMYFUNCTION("""COMPUTED_VALUE"""),99355.0)</f>
        <v>99355</v>
      </c>
      <c r="I268" s="144"/>
      <c r="J268" s="129">
        <f>IFERROR(__xludf.DUMMYFUNCTION("""COMPUTED_VALUE"""),44510.0)</f>
        <v>44510</v>
      </c>
      <c r="K268" s="133">
        <f>IFERROR(__xludf.DUMMYFUNCTION("""COMPUTED_VALUE"""),76.0)</f>
        <v>76</v>
      </c>
      <c r="L268" s="133">
        <f>IFERROR(__xludf.DUMMYFUNCTION("""COMPUTED_VALUE"""),13.0)</f>
        <v>13</v>
      </c>
      <c r="M268" s="133">
        <f>IFERROR(__xludf.DUMMYFUNCTION("""COMPUTED_VALUE"""),89.0)</f>
        <v>89</v>
      </c>
      <c r="N268" s="152" t="str">
        <f>IFERROR(__xludf.DUMMYFUNCTION("""COMPUTED_VALUE"""),"Model 3 SR+")</f>
        <v>Model 3 SR+</v>
      </c>
      <c r="O268" s="152" t="str">
        <f>IFERROR(__xludf.DUMMYFUNCTION("""COMPUTED_VALUE"""),"Pearl White Multi-Coat")</f>
        <v>Pearl White Multi-Coat</v>
      </c>
      <c r="P268" s="153" t="str">
        <f>IFERROR(__xludf.DUMMYFUNCTION("""COMPUTED_VALUE"""),"18 inch")</f>
        <v>18 inch</v>
      </c>
      <c r="Q268" s="152" t="str">
        <f>IFERROR(__xludf.DUMMYFUNCTION("""COMPUTED_VALUE"""),"Black and White")</f>
        <v>Black and White</v>
      </c>
      <c r="R268" s="149" t="str">
        <f>IFERROR(__xludf.DUMMYFUNCTION("""COMPUTED_VALUE"""),"Autopilot included")</f>
        <v>Autopilot included</v>
      </c>
      <c r="S268" s="149" t="str">
        <f>IFERROR(__xludf.DUMMYFUNCTION("""COMPUTED_VALUE"""),"Loan")</f>
        <v>Loan</v>
      </c>
      <c r="T268" s="145" t="str">
        <f>IFERROR(__xludf.DUMMYFUNCTION("""COMPUTED_VALUE"""),"Ford Escape")</f>
        <v>Ford Escape</v>
      </c>
      <c r="U268" s="145" t="str">
        <f>IFERROR(__xludf.DUMMYFUNCTION("""COMPUTED_VALUE"""),"Electric!")</f>
        <v>Electric!</v>
      </c>
      <c r="V268" s="145"/>
      <c r="W268" s="136"/>
      <c r="X268" s="137"/>
      <c r="Y268" s="138"/>
      <c r="Z268" s="138"/>
      <c r="AA268" s="138"/>
      <c r="AB268" s="138"/>
      <c r="AC268" s="139"/>
      <c r="AD268" s="139"/>
      <c r="AE268" s="139"/>
      <c r="AF268" s="140"/>
      <c r="AG268" s="136"/>
      <c r="AH268" s="157">
        <f>IFERROR(__xludf.DUMMYFUNCTION("""COMPUTED_VALUE"""),44502.030807835654)</f>
        <v>44502.03081</v>
      </c>
      <c r="AI268" s="138"/>
      <c r="AJ268" s="138"/>
      <c r="AK268" s="138"/>
      <c r="AL268" s="142"/>
    </row>
    <row r="269" ht="20.25" customHeight="1">
      <c r="A269" s="155" t="str">
        <f>IFERROR(__xludf.DUMMYFUNCTION("""COMPUTED_VALUE"""),"gtechie")</f>
        <v>gtechie</v>
      </c>
      <c r="B269" s="149" t="str">
        <f>IFERROR(__xludf.DUMMYFUNCTION("""COMPUTED_VALUE"""),"Jacksonville")</f>
        <v>Jacksonville</v>
      </c>
      <c r="C269" s="149" t="str">
        <f>IFERROR(__xludf.DUMMYFUNCTION("""COMPUTED_VALUE"""),"FL")</f>
        <v>FL</v>
      </c>
      <c r="D269" s="149" t="str">
        <f>IFERROR(__xludf.DUMMYFUNCTION("""COMPUTED_VALUE"""),"USA")</f>
        <v>USA</v>
      </c>
      <c r="E269" s="156">
        <f>IFERROR(__xludf.DUMMYFUNCTION("""COMPUTED_VALUE"""),44421.0)</f>
        <v>44421</v>
      </c>
      <c r="F269" s="129">
        <f>IFERROR(__xludf.DUMMYFUNCTION("""COMPUTED_VALUE"""),44492.0)</f>
        <v>44492</v>
      </c>
      <c r="G269" s="154" t="str">
        <f>IFERROR(__xludf.DUMMYFUNCTION("""COMPUTED_VALUE"""),"Manage order page (normal text)")</f>
        <v>Manage order page (normal text)</v>
      </c>
      <c r="H269" s="131">
        <f>IFERROR(__xludf.DUMMYFUNCTION("""COMPUTED_VALUE"""),94555.0)</f>
        <v>94555</v>
      </c>
      <c r="I269" s="144"/>
      <c r="J269" s="129">
        <f>IFERROR(__xludf.DUMMYFUNCTION("""COMPUTED_VALUE"""),44509.0)</f>
        <v>44509</v>
      </c>
      <c r="K269" s="133">
        <f>IFERROR(__xludf.DUMMYFUNCTION("""COMPUTED_VALUE"""),71.0)</f>
        <v>71</v>
      </c>
      <c r="L269" s="133">
        <f>IFERROR(__xludf.DUMMYFUNCTION("""COMPUTED_VALUE"""),17.0)</f>
        <v>17</v>
      </c>
      <c r="M269" s="133">
        <f>IFERROR(__xludf.DUMMYFUNCTION("""COMPUTED_VALUE"""),88.0)</f>
        <v>88</v>
      </c>
      <c r="N269" s="152" t="str">
        <f>IFERROR(__xludf.DUMMYFUNCTION("""COMPUTED_VALUE"""),"Model 3 SR+")</f>
        <v>Model 3 SR+</v>
      </c>
      <c r="O269" s="152" t="str">
        <f>IFERROR(__xludf.DUMMYFUNCTION("""COMPUTED_VALUE"""),"Red Multi-Coat")</f>
        <v>Red Multi-Coat</v>
      </c>
      <c r="P269" s="153" t="str">
        <f>IFERROR(__xludf.DUMMYFUNCTION("""COMPUTED_VALUE"""),"18 inch")</f>
        <v>18 inch</v>
      </c>
      <c r="Q269" s="152" t="str">
        <f>IFERROR(__xludf.DUMMYFUNCTION("""COMPUTED_VALUE"""),"All Black")</f>
        <v>All Black</v>
      </c>
      <c r="R269" s="149" t="str">
        <f>IFERROR(__xludf.DUMMYFUNCTION("""COMPUTED_VALUE"""),"Autopilot included")</f>
        <v>Autopilot included</v>
      </c>
      <c r="S269" s="149" t="str">
        <f>IFERROR(__xludf.DUMMYFUNCTION("""COMPUTED_VALUE"""),"Loan")</f>
        <v>Loan</v>
      </c>
      <c r="T269" s="145" t="str">
        <f>IFERROR(__xludf.DUMMYFUNCTION("""COMPUTED_VALUE"""),"Chevy Spark EV")</f>
        <v>Chevy Spark EV</v>
      </c>
      <c r="U269" s="145" t="str">
        <f>IFERROR(__xludf.DUMMYFUNCTION("""COMPUTED_VALUE"""),"Performance, range, charging network")</f>
        <v>Performance, range, charging network</v>
      </c>
      <c r="V269" s="145" t="str">
        <f>IFERROR(__xludf.DUMMYFUNCTION("""COMPUTED_VALUE"""),"Bioweapon defense mode")</f>
        <v>Bioweapon defense mode</v>
      </c>
      <c r="W269" s="136"/>
      <c r="X269" s="137"/>
      <c r="Y269" s="138"/>
      <c r="Z269" s="138"/>
      <c r="AA269" s="138"/>
      <c r="AB269" s="138"/>
      <c r="AC269" s="139"/>
      <c r="AD269" s="139"/>
      <c r="AE269" s="139"/>
      <c r="AF269" s="140"/>
      <c r="AG269" s="136"/>
      <c r="AH269" s="157">
        <f>IFERROR(__xludf.DUMMYFUNCTION("""COMPUTED_VALUE"""),44498.45540550926)</f>
        <v>44498.45541</v>
      </c>
      <c r="AI269" s="138"/>
      <c r="AJ269" s="138"/>
      <c r="AK269" s="138"/>
      <c r="AL269" s="142"/>
    </row>
    <row r="270" ht="20.25" customHeight="1">
      <c r="A270" s="155" t="str">
        <f>IFERROR(__xludf.DUMMYFUNCTION("""COMPUTED_VALUE"""),"OllieEdge")</f>
        <v>OllieEdge</v>
      </c>
      <c r="B270" s="149" t="str">
        <f>IFERROR(__xludf.DUMMYFUNCTION("""COMPUTED_VALUE"""),"London")</f>
        <v>London</v>
      </c>
      <c r="C270" s="149"/>
      <c r="D270" s="149" t="str">
        <f>IFERROR(__xludf.DUMMYFUNCTION("""COMPUTED_VALUE"""),"United Kingdom")</f>
        <v>United Kingdom</v>
      </c>
      <c r="E270" s="156">
        <f>IFERROR(__xludf.DUMMYFUNCTION("""COMPUTED_VALUE"""),44421.0)</f>
        <v>44421</v>
      </c>
      <c r="F270" s="129">
        <f>IFERROR(__xludf.DUMMYFUNCTION("""COMPUTED_VALUE"""),44421.0)</f>
        <v>44421</v>
      </c>
      <c r="G270" s="154" t="str">
        <f>IFERROR(__xludf.DUMMYFUNCTION("""COMPUTED_VALUE"""),"Invoice")</f>
        <v>Invoice</v>
      </c>
      <c r="H270" s="131">
        <f>IFERROR(__xludf.DUMMYFUNCTION("""COMPUTED_VALUE"""),322555.0)</f>
        <v>322555</v>
      </c>
      <c r="I270" s="144"/>
      <c r="J270" s="129">
        <f>IFERROR(__xludf.DUMMYFUNCTION("""COMPUTED_VALUE"""),44466.0)</f>
        <v>44466</v>
      </c>
      <c r="K270" s="133">
        <f>IFERROR(__xludf.DUMMYFUNCTION("""COMPUTED_VALUE"""),0.0)</f>
        <v>0</v>
      </c>
      <c r="L270" s="133">
        <f>IFERROR(__xludf.DUMMYFUNCTION("""COMPUTED_VALUE"""),45.0)</f>
        <v>45</v>
      </c>
      <c r="M270" s="133">
        <f>IFERROR(__xludf.DUMMYFUNCTION("""COMPUTED_VALUE"""),45.0)</f>
        <v>45</v>
      </c>
      <c r="N270" s="152" t="str">
        <f>IFERROR(__xludf.DUMMYFUNCTION("""COMPUTED_VALUE"""),"Model 3 LR AWD")</f>
        <v>Model 3 LR AWD</v>
      </c>
      <c r="O270" s="152" t="str">
        <f>IFERROR(__xludf.DUMMYFUNCTION("""COMPUTED_VALUE"""),"Red Multi-Coat")</f>
        <v>Red Multi-Coat</v>
      </c>
      <c r="P270" s="153" t="str">
        <f>IFERROR(__xludf.DUMMYFUNCTION("""COMPUTED_VALUE"""),"18 inch")</f>
        <v>18 inch</v>
      </c>
      <c r="Q270" s="152" t="str">
        <f>IFERROR(__xludf.DUMMYFUNCTION("""COMPUTED_VALUE"""),"All Black")</f>
        <v>All Black</v>
      </c>
      <c r="R270" s="149" t="str">
        <f>IFERROR(__xludf.DUMMYFUNCTION("""COMPUTED_VALUE"""),"Autopilot included")</f>
        <v>Autopilot included</v>
      </c>
      <c r="S270" s="149" t="str">
        <f>IFERROR(__xludf.DUMMYFUNCTION("""COMPUTED_VALUE"""),"Lease")</f>
        <v>Lease</v>
      </c>
      <c r="T270" s="145" t="str">
        <f>IFERROR(__xludf.DUMMYFUNCTION("""COMPUTED_VALUE"""),"Hyundai SantaFe '15")</f>
        <v>Hyundai SantaFe '15</v>
      </c>
      <c r="U270" s="145" t="str">
        <f>IFERROR(__xludf.DUMMYFUNCTION("""COMPUTED_VALUE"""),"Electric!")</f>
        <v>Electric!</v>
      </c>
      <c r="V270" s="145" t="str">
        <f>IFERROR(__xludf.DUMMYFUNCTION("""COMPUTED_VALUE"""),"360° Bird's eye view")</f>
        <v>360° Bird's eye view</v>
      </c>
      <c r="W270" s="136"/>
      <c r="X270" s="137"/>
      <c r="Y270" s="138"/>
      <c r="Z270" s="138"/>
      <c r="AA270" s="138"/>
      <c r="AB270" s="138"/>
      <c r="AC270" s="139"/>
      <c r="AD270" s="139"/>
      <c r="AE270" s="139"/>
      <c r="AF270" s="140"/>
      <c r="AG270" s="136"/>
      <c r="AH270" s="157">
        <f>IFERROR(__xludf.DUMMYFUNCTION("""COMPUTED_VALUE"""),44441.23890354167)</f>
        <v>44441.2389</v>
      </c>
      <c r="AI270" s="138"/>
      <c r="AJ270" s="138"/>
      <c r="AK270" s="138"/>
      <c r="AL270" s="142"/>
    </row>
    <row r="271" ht="20.25" customHeight="1">
      <c r="A271" s="155" t="str">
        <f>IFERROR(__xludf.DUMMYFUNCTION("""COMPUTED_VALUE"""),"rahi")</f>
        <v>rahi</v>
      </c>
      <c r="B271" s="149" t="str">
        <f>IFERROR(__xludf.DUMMYFUNCTION("""COMPUTED_VALUE"""),"Montreal")</f>
        <v>Montreal</v>
      </c>
      <c r="C271" s="149" t="str">
        <f>IFERROR(__xludf.DUMMYFUNCTION("""COMPUTED_VALUE"""),"QC")</f>
        <v>QC</v>
      </c>
      <c r="D271" s="149" t="str">
        <f>IFERROR(__xludf.DUMMYFUNCTION("""COMPUTED_VALUE"""),"Canada")</f>
        <v>Canada</v>
      </c>
      <c r="E271" s="156">
        <f>IFERROR(__xludf.DUMMYFUNCTION("""COMPUTED_VALUE"""),44421.0)</f>
        <v>44421</v>
      </c>
      <c r="F271" s="129"/>
      <c r="G271" s="154"/>
      <c r="H271" s="131"/>
      <c r="I271" s="132"/>
      <c r="J271" s="129"/>
      <c r="K271" s="133"/>
      <c r="L271" s="133"/>
      <c r="M271" s="133"/>
      <c r="N271" s="152" t="str">
        <f>IFERROR(__xludf.DUMMYFUNCTION("""COMPUTED_VALUE"""),"Model 3 SR+")</f>
        <v>Model 3 SR+</v>
      </c>
      <c r="O271" s="152" t="str">
        <f>IFERROR(__xludf.DUMMYFUNCTION("""COMPUTED_VALUE"""),"Pearl White Multi-Coat")</f>
        <v>Pearl White Multi-Coat</v>
      </c>
      <c r="P271" s="153" t="str">
        <f>IFERROR(__xludf.DUMMYFUNCTION("""COMPUTED_VALUE"""),"18 inch")</f>
        <v>18 inch</v>
      </c>
      <c r="Q271" s="152" t="str">
        <f>IFERROR(__xludf.DUMMYFUNCTION("""COMPUTED_VALUE"""),"All Black")</f>
        <v>All Black</v>
      </c>
      <c r="R271" s="150" t="str">
        <f>IFERROR(__xludf.DUMMYFUNCTION("""COMPUTED_VALUE"""),"Autopilot included")</f>
        <v>Autopilot included</v>
      </c>
      <c r="S271" s="150" t="str">
        <f>IFERROR(__xludf.DUMMYFUNCTION("""COMPUTED_VALUE"""),"Loan")</f>
        <v>Loan</v>
      </c>
      <c r="T271" s="136" t="str">
        <f>IFERROR(__xludf.DUMMYFUNCTION("""COMPUTED_VALUE"""),"Honda Civic")</f>
        <v>Honda Civic</v>
      </c>
      <c r="U271" s="136" t="str">
        <f>IFERROR(__xludf.DUMMYFUNCTION("""COMPUTED_VALUE"""),"Electric!")</f>
        <v>Electric!</v>
      </c>
      <c r="V271" s="136" t="str">
        <f>IFERROR(__xludf.DUMMYFUNCTION("""COMPUTED_VALUE"""),"Heated steering wheel")</f>
        <v>Heated steering wheel</v>
      </c>
      <c r="W271" s="136"/>
      <c r="X271" s="162"/>
      <c r="Y271" s="138"/>
      <c r="Z271" s="138"/>
      <c r="AA271" s="138"/>
      <c r="AB271" s="138"/>
      <c r="AC271" s="139"/>
      <c r="AD271" s="139"/>
      <c r="AE271" s="139"/>
      <c r="AF271" s="140"/>
      <c r="AG271" s="136"/>
      <c r="AH271" s="157">
        <f>IFERROR(__xludf.DUMMYFUNCTION("""COMPUTED_VALUE"""),44436.782242905094)</f>
        <v>44436.78224</v>
      </c>
      <c r="AI271" s="138"/>
      <c r="AJ271" s="138"/>
      <c r="AK271" s="138"/>
      <c r="AL271" s="142"/>
    </row>
    <row r="272" ht="20.25" customHeight="1">
      <c r="A272" s="155" t="str">
        <f>IFERROR(__xludf.DUMMYFUNCTION("""COMPUTED_VALUE"""),"3Me")</f>
        <v>3Me</v>
      </c>
      <c r="B272" s="149" t="str">
        <f>IFERROR(__xludf.DUMMYFUNCTION("""COMPUTED_VALUE"""),"Gray")</f>
        <v>Gray</v>
      </c>
      <c r="C272" s="149" t="str">
        <f>IFERROR(__xludf.DUMMYFUNCTION("""COMPUTED_VALUE"""),"GA")</f>
        <v>GA</v>
      </c>
      <c r="D272" s="149" t="str">
        <f>IFERROR(__xludf.DUMMYFUNCTION("""COMPUTED_VALUE"""),"USA")</f>
        <v>USA</v>
      </c>
      <c r="E272" s="156">
        <f>IFERROR(__xludf.DUMMYFUNCTION("""COMPUTED_VALUE"""),44420.0)</f>
        <v>44420</v>
      </c>
      <c r="F272" s="129">
        <f>IFERROR(__xludf.DUMMYFUNCTION("""COMPUTED_VALUE"""),44439.0)</f>
        <v>44439</v>
      </c>
      <c r="G272" s="154" t="str">
        <f>IFERROR(__xludf.DUMMYFUNCTION("""COMPUTED_VALUE"""),"Manage order page (normal text)")</f>
        <v>Manage order page (normal text)</v>
      </c>
      <c r="H272" s="131">
        <f>IFERROR(__xludf.DUMMYFUNCTION("""COMPUTED_VALUE"""),56155.0)</f>
        <v>56155</v>
      </c>
      <c r="I272" s="132" t="str">
        <f>IFERROR(__xludf.DUMMYFUNCTION("""COMPUTED_VALUE"""),"08/21")</f>
        <v>08/21</v>
      </c>
      <c r="J272" s="129">
        <f>IFERROR(__xludf.DUMMYFUNCTION("""COMPUTED_VALUE"""),44453.0)</f>
        <v>44453</v>
      </c>
      <c r="K272" s="133">
        <f>IFERROR(__xludf.DUMMYFUNCTION("""COMPUTED_VALUE"""),19.0)</f>
        <v>19</v>
      </c>
      <c r="L272" s="133">
        <f>IFERROR(__xludf.DUMMYFUNCTION("""COMPUTED_VALUE"""),14.0)</f>
        <v>14</v>
      </c>
      <c r="M272" s="133">
        <f>IFERROR(__xludf.DUMMYFUNCTION("""COMPUTED_VALUE"""),33.0)</f>
        <v>33</v>
      </c>
      <c r="N272" s="152" t="str">
        <f>IFERROR(__xludf.DUMMYFUNCTION("""COMPUTED_VALUE"""),"Model 3 LR AWD")</f>
        <v>Model 3 LR AWD</v>
      </c>
      <c r="O272" s="152" t="str">
        <f>IFERROR(__xludf.DUMMYFUNCTION("""COMPUTED_VALUE"""),"Solid Black")</f>
        <v>Solid Black</v>
      </c>
      <c r="P272" s="153" t="str">
        <f>IFERROR(__xludf.DUMMYFUNCTION("""COMPUTED_VALUE"""),"19 inch")</f>
        <v>19 inch</v>
      </c>
      <c r="Q272" s="152" t="str">
        <f>IFERROR(__xludf.DUMMYFUNCTION("""COMPUTED_VALUE"""),"All Black")</f>
        <v>All Black</v>
      </c>
      <c r="R272" s="150" t="str">
        <f>IFERROR(__xludf.DUMMYFUNCTION("""COMPUTED_VALUE"""),"Autopilot included")</f>
        <v>Autopilot included</v>
      </c>
      <c r="S272" s="150" t="str">
        <f>IFERROR(__xludf.DUMMYFUNCTION("""COMPUTED_VALUE"""),"Loan")</f>
        <v>Loan</v>
      </c>
      <c r="T272" s="136" t="str">
        <f>IFERROR(__xludf.DUMMYFUNCTION("""COMPUTED_VALUE"""),"GMC Yukon")</f>
        <v>GMC Yukon</v>
      </c>
      <c r="U272" s="136" t="str">
        <f>IFERROR(__xludf.DUMMYFUNCTION("""COMPUTED_VALUE"""),"Electric!")</f>
        <v>Electric!</v>
      </c>
      <c r="V272" s="136" t="str">
        <f>IFERROR(__xludf.DUMMYFUNCTION("""COMPUTED_VALUE"""),"Blind spot indicators on side mirrors")</f>
        <v>Blind spot indicators on side mirrors</v>
      </c>
      <c r="W272" s="136"/>
      <c r="X272" s="137"/>
      <c r="Y272" s="138"/>
      <c r="Z272" s="138"/>
      <c r="AA272" s="138"/>
      <c r="AB272" s="138"/>
      <c r="AC272" s="139"/>
      <c r="AD272" s="139"/>
      <c r="AE272" s="139"/>
      <c r="AF272" s="140"/>
      <c r="AG272" s="136"/>
      <c r="AH272" s="157">
        <f>IFERROR(__xludf.DUMMYFUNCTION("""COMPUTED_VALUE"""),44439.78474565972)</f>
        <v>44439.78475</v>
      </c>
      <c r="AI272" s="138"/>
      <c r="AJ272" s="138"/>
      <c r="AK272" s="138"/>
      <c r="AL272" s="142"/>
    </row>
    <row r="273" ht="20.25" customHeight="1">
      <c r="A273" s="155" t="str">
        <f>IFERROR(__xludf.DUMMYFUNCTION("""COMPUTED_VALUE"""),"Chrissto")</f>
        <v>Chrissto</v>
      </c>
      <c r="B273" s="149"/>
      <c r="C273" s="149" t="str">
        <f>IFERROR(__xludf.DUMMYFUNCTION("""COMPUTED_VALUE"""),"OR")</f>
        <v>OR</v>
      </c>
      <c r="D273" s="149" t="str">
        <f>IFERROR(__xludf.DUMMYFUNCTION("""COMPUTED_VALUE"""),"USA")</f>
        <v>USA</v>
      </c>
      <c r="E273" s="156">
        <f>IFERROR(__xludf.DUMMYFUNCTION("""COMPUTED_VALUE"""),44420.0)</f>
        <v>44420</v>
      </c>
      <c r="F273" s="129"/>
      <c r="G273" s="154"/>
      <c r="H273" s="131"/>
      <c r="I273" s="144"/>
      <c r="J273" s="129"/>
      <c r="K273" s="133"/>
      <c r="L273" s="133"/>
      <c r="M273" s="133"/>
      <c r="N273" s="152" t="str">
        <f>IFERROR(__xludf.DUMMYFUNCTION("""COMPUTED_VALUE"""),"Model 3 LR AWD")</f>
        <v>Model 3 LR AWD</v>
      </c>
      <c r="O273" s="152" t="str">
        <f>IFERROR(__xludf.DUMMYFUNCTION("""COMPUTED_VALUE"""),"Red Multi-Coat")</f>
        <v>Red Multi-Coat</v>
      </c>
      <c r="P273" s="153" t="str">
        <f>IFERROR(__xludf.DUMMYFUNCTION("""COMPUTED_VALUE"""),"18 inch")</f>
        <v>18 inch</v>
      </c>
      <c r="Q273" s="152" t="str">
        <f>IFERROR(__xludf.DUMMYFUNCTION("""COMPUTED_VALUE"""),"Black and White")</f>
        <v>Black and White</v>
      </c>
      <c r="R273" s="149" t="str">
        <f>IFERROR(__xludf.DUMMYFUNCTION("""COMPUTED_VALUE"""),"Full Self-Driving")</f>
        <v>Full Self-Driving</v>
      </c>
      <c r="S273" s="149" t="str">
        <f>IFERROR(__xludf.DUMMYFUNCTION("""COMPUTED_VALUE"""),"Cash")</f>
        <v>Cash</v>
      </c>
      <c r="T273" s="145"/>
      <c r="U273" s="145"/>
      <c r="V273" s="145"/>
      <c r="W273" s="136"/>
      <c r="X273" s="137"/>
      <c r="Y273" s="138"/>
      <c r="Z273" s="138"/>
      <c r="AA273" s="138"/>
      <c r="AB273" s="138"/>
      <c r="AC273" s="139"/>
      <c r="AD273" s="139"/>
      <c r="AE273" s="139"/>
      <c r="AF273" s="140"/>
      <c r="AG273" s="136"/>
      <c r="AH273" s="157">
        <f>IFERROR(__xludf.DUMMYFUNCTION("""COMPUTED_VALUE"""),44446.805469768515)</f>
        <v>44446.80547</v>
      </c>
      <c r="AI273" s="138"/>
      <c r="AJ273" s="138"/>
      <c r="AK273" s="138"/>
      <c r="AL273" s="142"/>
    </row>
    <row r="274" ht="20.25" customHeight="1">
      <c r="A274" s="155" t="str">
        <f>IFERROR(__xludf.DUMMYFUNCTION("""COMPUTED_VALUE"""),"gearbot66")</f>
        <v>gearbot66</v>
      </c>
      <c r="B274" s="149" t="str">
        <f>IFERROR(__xludf.DUMMYFUNCTION("""COMPUTED_VALUE"""),"Hatfield")</f>
        <v>Hatfield</v>
      </c>
      <c r="C274" s="149" t="str">
        <f>IFERROR(__xludf.DUMMYFUNCTION("""COMPUTED_VALUE"""),"PA")</f>
        <v>PA</v>
      </c>
      <c r="D274" s="149" t="str">
        <f>IFERROR(__xludf.DUMMYFUNCTION("""COMPUTED_VALUE"""),"USA")</f>
        <v>USA</v>
      </c>
      <c r="E274" s="156">
        <f>IFERROR(__xludf.DUMMYFUNCTION("""COMPUTED_VALUE"""),44420.0)</f>
        <v>44420</v>
      </c>
      <c r="F274" s="129">
        <f>IFERROR(__xludf.DUMMYFUNCTION("""COMPUTED_VALUE"""),44497.0)</f>
        <v>44497</v>
      </c>
      <c r="G274" s="154" t="str">
        <f>IFERROR(__xludf.DUMMYFUNCTION("""COMPUTED_VALUE"""),"Manage order page (normal text)")</f>
        <v>Manage order page (normal text)</v>
      </c>
      <c r="H274" s="131">
        <f>IFERROR(__xludf.DUMMYFUNCTION("""COMPUTED_VALUE"""),99955.0)</f>
        <v>99955</v>
      </c>
      <c r="I274" s="144"/>
      <c r="J274" s="129"/>
      <c r="K274" s="133">
        <f>IFERROR(__xludf.DUMMYFUNCTION("""COMPUTED_VALUE"""),77.0)</f>
        <v>77</v>
      </c>
      <c r="L274" s="133"/>
      <c r="M274" s="133"/>
      <c r="N274" s="152" t="str">
        <f>IFERROR(__xludf.DUMMYFUNCTION("""COMPUTED_VALUE"""),"Model 3 SR+")</f>
        <v>Model 3 SR+</v>
      </c>
      <c r="O274" s="152" t="str">
        <f>IFERROR(__xludf.DUMMYFUNCTION("""COMPUTED_VALUE"""),"Deep Blue Metallic")</f>
        <v>Deep Blue Metallic</v>
      </c>
      <c r="P274" s="153" t="str">
        <f>IFERROR(__xludf.DUMMYFUNCTION("""COMPUTED_VALUE"""),"19 inch")</f>
        <v>19 inch</v>
      </c>
      <c r="Q274" s="152" t="str">
        <f>IFERROR(__xludf.DUMMYFUNCTION("""COMPUTED_VALUE"""),"All Black")</f>
        <v>All Black</v>
      </c>
      <c r="R274" s="149" t="str">
        <f>IFERROR(__xludf.DUMMYFUNCTION("""COMPUTED_VALUE"""),"Autopilot included")</f>
        <v>Autopilot included</v>
      </c>
      <c r="S274" s="149" t="str">
        <f>IFERROR(__xludf.DUMMYFUNCTION("""COMPUTED_VALUE"""),"Loan")</f>
        <v>Loan</v>
      </c>
      <c r="T274" s="145" t="str">
        <f>IFERROR(__xludf.DUMMYFUNCTION("""COMPUTED_VALUE"""),"Volkswagen Jetta")</f>
        <v>Volkswagen Jetta</v>
      </c>
      <c r="U274" s="145" t="str">
        <f>IFERROR(__xludf.DUMMYFUNCTION("""COMPUTED_VALUE"""),"Autopilot")</f>
        <v>Autopilot</v>
      </c>
      <c r="V274" s="145" t="str">
        <f>IFERROR(__xludf.DUMMYFUNCTION("""COMPUTED_VALUE"""),"Apple CarPlay / Android Auto / SiriusXM Radio")</f>
        <v>Apple CarPlay / Android Auto / SiriusXM Radio</v>
      </c>
      <c r="W274" s="136"/>
      <c r="X274" s="137"/>
      <c r="Y274" s="138"/>
      <c r="Z274" s="138"/>
      <c r="AA274" s="138"/>
      <c r="AB274" s="138"/>
      <c r="AC274" s="139"/>
      <c r="AD274" s="139"/>
      <c r="AE274" s="139"/>
      <c r="AF274" s="140"/>
      <c r="AG274" s="136"/>
      <c r="AH274" s="157">
        <f>IFERROR(__xludf.DUMMYFUNCTION("""COMPUTED_VALUE"""),44497.57081130787)</f>
        <v>44497.57081</v>
      </c>
      <c r="AI274" s="138"/>
      <c r="AJ274" s="138"/>
      <c r="AK274" s="138"/>
      <c r="AL274" s="142"/>
    </row>
    <row r="275" ht="20.25" customHeight="1">
      <c r="A275" s="155" t="str">
        <f>IFERROR(__xludf.DUMMYFUNCTION("""COMPUTED_VALUE"""),"HBstephenie")</f>
        <v>HBstephenie</v>
      </c>
      <c r="B275" s="149" t="str">
        <f>IFERROR(__xludf.DUMMYFUNCTION("""COMPUTED_VALUE"""),"Huntington Beach")</f>
        <v>Huntington Beach</v>
      </c>
      <c r="C275" s="149" t="str">
        <f>IFERROR(__xludf.DUMMYFUNCTION("""COMPUTED_VALUE"""),"CA")</f>
        <v>CA</v>
      </c>
      <c r="D275" s="149" t="str">
        <f>IFERROR(__xludf.DUMMYFUNCTION("""COMPUTED_VALUE"""),"USA")</f>
        <v>USA</v>
      </c>
      <c r="E275" s="156">
        <f>IFERROR(__xludf.DUMMYFUNCTION("""COMPUTED_VALUE"""),44420.0)</f>
        <v>44420</v>
      </c>
      <c r="F275" s="129">
        <f>IFERROR(__xludf.DUMMYFUNCTION("""COMPUTED_VALUE"""),44463.0)</f>
        <v>44463</v>
      </c>
      <c r="G275" s="154" t="str">
        <f>IFERROR(__xludf.DUMMYFUNCTION("""COMPUTED_VALUE"""),"Manage order page (normal text)")</f>
        <v>Manage order page (normal text)</v>
      </c>
      <c r="H275" s="131">
        <f>IFERROR(__xludf.DUMMYFUNCTION("""COMPUTED_VALUE"""),73455.0)</f>
        <v>73455</v>
      </c>
      <c r="I275" s="144" t="str">
        <f>IFERROR(__xludf.DUMMYFUNCTION("""COMPUTED_VALUE"""),"09/21")</f>
        <v>09/21</v>
      </c>
      <c r="J275" s="129">
        <f>IFERROR(__xludf.DUMMYFUNCTION("""COMPUTED_VALUE"""),44465.0)</f>
        <v>44465</v>
      </c>
      <c r="K275" s="133">
        <f>IFERROR(__xludf.DUMMYFUNCTION("""COMPUTED_VALUE"""),43.0)</f>
        <v>43</v>
      </c>
      <c r="L275" s="133">
        <f>IFERROR(__xludf.DUMMYFUNCTION("""COMPUTED_VALUE"""),2.0)</f>
        <v>2</v>
      </c>
      <c r="M275" s="133">
        <f>IFERROR(__xludf.DUMMYFUNCTION("""COMPUTED_VALUE"""),45.0)</f>
        <v>45</v>
      </c>
      <c r="N275" s="152" t="str">
        <f>IFERROR(__xludf.DUMMYFUNCTION("""COMPUTED_VALUE"""),"Model 3 SR+")</f>
        <v>Model 3 SR+</v>
      </c>
      <c r="O275" s="152" t="str">
        <f>IFERROR(__xludf.DUMMYFUNCTION("""COMPUTED_VALUE"""),"Deep Blue Metallic")</f>
        <v>Deep Blue Metallic</v>
      </c>
      <c r="P275" s="153" t="str">
        <f>IFERROR(__xludf.DUMMYFUNCTION("""COMPUTED_VALUE"""),"19 inch")</f>
        <v>19 inch</v>
      </c>
      <c r="Q275" s="152" t="str">
        <f>IFERROR(__xludf.DUMMYFUNCTION("""COMPUTED_VALUE"""),"Black and White")</f>
        <v>Black and White</v>
      </c>
      <c r="R275" s="149" t="str">
        <f>IFERROR(__xludf.DUMMYFUNCTION("""COMPUTED_VALUE"""),"Autopilot included")</f>
        <v>Autopilot included</v>
      </c>
      <c r="S275" s="149" t="str">
        <f>IFERROR(__xludf.DUMMYFUNCTION("""COMPUTED_VALUE"""),"Loan")</f>
        <v>Loan</v>
      </c>
      <c r="T275" s="145" t="str">
        <f>IFERROR(__xludf.DUMMYFUNCTION("""COMPUTED_VALUE"""),"Infinity Q60 ")</f>
        <v>Infinity Q60 </v>
      </c>
      <c r="U275" s="145" t="str">
        <f>IFERROR(__xludf.DUMMYFUNCTION("""COMPUTED_VALUE"""),"acceleration")</f>
        <v>acceleration</v>
      </c>
      <c r="V275" s="145" t="str">
        <f>IFERROR(__xludf.DUMMYFUNCTION("""COMPUTED_VALUE"""),"Apple CarPlay / Android Auto / SiriusXM Radio")</f>
        <v>Apple CarPlay / Android Auto / SiriusXM Radio</v>
      </c>
      <c r="W275" s="136"/>
      <c r="X275" s="137" t="str">
        <f>IFERROR(__xludf.DUMMYFUNCTION("""COMPUTED_VALUE"""),"Excellent")</f>
        <v>Excellent</v>
      </c>
      <c r="Y275" s="138" t="str">
        <f>IFERROR(__xludf.DUMMYFUNCTION("""COMPUTED_VALUE"""),"Excellent")</f>
        <v>Excellent</v>
      </c>
      <c r="Z275" s="138" t="str">
        <f>IFERROR(__xludf.DUMMYFUNCTION("""COMPUTED_VALUE"""),"Excellent")</f>
        <v>Excellent</v>
      </c>
      <c r="AA275" s="138" t="str">
        <f>IFERROR(__xludf.DUMMYFUNCTION("""COMPUTED_VALUE"""),"Excellent")</f>
        <v>Excellent</v>
      </c>
      <c r="AB275" s="138" t="str">
        <f>IFERROR(__xludf.DUMMYFUNCTION("""COMPUTED_VALUE"""),"Good")</f>
        <v>Good</v>
      </c>
      <c r="AC275" s="139"/>
      <c r="AD275" s="139"/>
      <c r="AE275" s="139"/>
      <c r="AF275" s="140" t="str">
        <f>IFERROR(__xludf.DUMMYFUNCTION("""COMPUTED_VALUE"""),"No. I took delivery of the first car Tesla was able to deliver.")</f>
        <v>No. I took delivery of the first car Tesla was able to deliver.</v>
      </c>
      <c r="AG275" s="136" t="str">
        <f>IFERROR(__xludf.DUMMYFUNCTION("""COMPUTED_VALUE"""),"No regrets!  I love this car!")</f>
        <v>No regrets!  I love this car!</v>
      </c>
      <c r="AH275" s="157">
        <f>IFERROR(__xludf.DUMMYFUNCTION("""COMPUTED_VALUE"""),44466.44823101852)</f>
        <v>44466.44823</v>
      </c>
      <c r="AI275" s="138"/>
      <c r="AJ275" s="138"/>
      <c r="AK275" s="138"/>
      <c r="AL275" s="142"/>
    </row>
    <row r="276" ht="20.25" customHeight="1">
      <c r="A276" s="155" t="str">
        <f>IFERROR(__xludf.DUMMYFUNCTION("""COMPUTED_VALUE"""),"Impatientlywaiting")</f>
        <v>Impatientlywaiting</v>
      </c>
      <c r="B276" s="149" t="str">
        <f>IFERROR(__xludf.DUMMYFUNCTION("""COMPUTED_VALUE"""),"Sacramento")</f>
        <v>Sacramento</v>
      </c>
      <c r="C276" s="149" t="str">
        <f>IFERROR(__xludf.DUMMYFUNCTION("""COMPUTED_VALUE"""),"CA")</f>
        <v>CA</v>
      </c>
      <c r="D276" s="149" t="str">
        <f>IFERROR(__xludf.DUMMYFUNCTION("""COMPUTED_VALUE"""),"USA")</f>
        <v>USA</v>
      </c>
      <c r="E276" s="156">
        <f>IFERROR(__xludf.DUMMYFUNCTION("""COMPUTED_VALUE"""),44420.0)</f>
        <v>44420</v>
      </c>
      <c r="F276" s="129"/>
      <c r="G276" s="154"/>
      <c r="H276" s="131"/>
      <c r="I276" s="144"/>
      <c r="J276" s="129"/>
      <c r="K276" s="133"/>
      <c r="L276" s="133"/>
      <c r="M276" s="133"/>
      <c r="N276" s="152" t="str">
        <f>IFERROR(__xludf.DUMMYFUNCTION("""COMPUTED_VALUE"""),"Model 3 SR+")</f>
        <v>Model 3 SR+</v>
      </c>
      <c r="O276" s="152" t="str">
        <f>IFERROR(__xludf.DUMMYFUNCTION("""COMPUTED_VALUE"""),"Red Multi-Coat")</f>
        <v>Red Multi-Coat</v>
      </c>
      <c r="P276" s="153" t="str">
        <f>IFERROR(__xludf.DUMMYFUNCTION("""COMPUTED_VALUE"""),"18 inch")</f>
        <v>18 inch</v>
      </c>
      <c r="Q276" s="152" t="str">
        <f>IFERROR(__xludf.DUMMYFUNCTION("""COMPUTED_VALUE"""),"Black and White")</f>
        <v>Black and White</v>
      </c>
      <c r="R276" s="149" t="str">
        <f>IFERROR(__xludf.DUMMYFUNCTION("""COMPUTED_VALUE"""),"Autopilot included")</f>
        <v>Autopilot included</v>
      </c>
      <c r="S276" s="149" t="str">
        <f>IFERROR(__xludf.DUMMYFUNCTION("""COMPUTED_VALUE"""),"Loan")</f>
        <v>Loan</v>
      </c>
      <c r="T276" s="145" t="str">
        <f>IFERROR(__xludf.DUMMYFUNCTION("""COMPUTED_VALUE"""),"Honda Accord")</f>
        <v>Honda Accord</v>
      </c>
      <c r="U276" s="145" t="str">
        <f>IFERROR(__xludf.DUMMYFUNCTION("""COMPUTED_VALUE"""),"Electric!")</f>
        <v>Electric!</v>
      </c>
      <c r="V276" s="145" t="str">
        <f>IFERROR(__xludf.DUMMYFUNCTION("""COMPUTED_VALUE"""),"Apple CarPlay / Android Auto / SiriusXM Radio")</f>
        <v>Apple CarPlay / Android Auto / SiriusXM Radio</v>
      </c>
      <c r="W276" s="136"/>
      <c r="X276" s="137"/>
      <c r="Y276" s="138"/>
      <c r="Z276" s="138"/>
      <c r="AA276" s="138"/>
      <c r="AB276" s="138"/>
      <c r="AC276" s="139"/>
      <c r="AD276" s="139"/>
      <c r="AE276" s="139"/>
      <c r="AF276" s="140"/>
      <c r="AG276" s="136"/>
      <c r="AH276" s="157">
        <f>IFERROR(__xludf.DUMMYFUNCTION("""COMPUTED_VALUE"""),44483.62445158565)</f>
        <v>44483.62445</v>
      </c>
      <c r="AI276" s="138"/>
      <c r="AJ276" s="138"/>
      <c r="AK276" s="138"/>
      <c r="AL276" s="142"/>
    </row>
    <row r="277" ht="20.25" customHeight="1">
      <c r="A277" s="155" t="str">
        <f>IFERROR(__xludf.DUMMYFUNCTION("""COMPUTED_VALUE"""),"Jeremy3292")</f>
        <v>Jeremy3292</v>
      </c>
      <c r="B277" s="149" t="str">
        <f>IFERROR(__xludf.DUMMYFUNCTION("""COMPUTED_VALUE"""),"Greenville")</f>
        <v>Greenville</v>
      </c>
      <c r="C277" s="149" t="str">
        <f>IFERROR(__xludf.DUMMYFUNCTION("""COMPUTED_VALUE"""),"SC")</f>
        <v>SC</v>
      </c>
      <c r="D277" s="149" t="str">
        <f>IFERROR(__xludf.DUMMYFUNCTION("""COMPUTED_VALUE"""),"USA")</f>
        <v>USA</v>
      </c>
      <c r="E277" s="156">
        <f>IFERROR(__xludf.DUMMYFUNCTION("""COMPUTED_VALUE"""),44420.0)</f>
        <v>44420</v>
      </c>
      <c r="F277" s="129"/>
      <c r="G277" s="154"/>
      <c r="H277" s="131"/>
      <c r="I277" s="144"/>
      <c r="J277" s="129"/>
      <c r="K277" s="133"/>
      <c r="L277" s="133"/>
      <c r="M277" s="133"/>
      <c r="N277" s="152" t="str">
        <f>IFERROR(__xludf.DUMMYFUNCTION("""COMPUTED_VALUE"""),"Model 3 LR AWD")</f>
        <v>Model 3 LR AWD</v>
      </c>
      <c r="O277" s="152" t="str">
        <f>IFERROR(__xludf.DUMMYFUNCTION("""COMPUTED_VALUE"""),"Midnight Silver Metallic")</f>
        <v>Midnight Silver Metallic</v>
      </c>
      <c r="P277" s="153" t="str">
        <f>IFERROR(__xludf.DUMMYFUNCTION("""COMPUTED_VALUE"""),"18 inch")</f>
        <v>18 inch</v>
      </c>
      <c r="Q277" s="152" t="str">
        <f>IFERROR(__xludf.DUMMYFUNCTION("""COMPUTED_VALUE"""),"All Black")</f>
        <v>All Black</v>
      </c>
      <c r="R277" s="149" t="str">
        <f>IFERROR(__xludf.DUMMYFUNCTION("""COMPUTED_VALUE"""),"Autopilot included")</f>
        <v>Autopilot included</v>
      </c>
      <c r="S277" s="149" t="str">
        <f>IFERROR(__xludf.DUMMYFUNCTION("""COMPUTED_VALUE"""),"Loan")</f>
        <v>Loan</v>
      </c>
      <c r="T277" s="145" t="str">
        <f>IFERROR(__xludf.DUMMYFUNCTION("""COMPUTED_VALUE"""),"Hyundai Sonata")</f>
        <v>Hyundai Sonata</v>
      </c>
      <c r="U277" s="145" t="str">
        <f>IFERROR(__xludf.DUMMYFUNCTION("""COMPUTED_VALUE"""),"Electric!")</f>
        <v>Electric!</v>
      </c>
      <c r="V277" s="145" t="str">
        <f>IFERROR(__xludf.DUMMYFUNCTION("""COMPUTED_VALUE"""),"Apple CarPlay / Android Auto / SiriusXM Radio")</f>
        <v>Apple CarPlay / Android Auto / SiriusXM Radio</v>
      </c>
      <c r="W277" s="136"/>
      <c r="X277" s="137"/>
      <c r="Y277" s="138"/>
      <c r="Z277" s="138"/>
      <c r="AA277" s="138"/>
      <c r="AB277" s="138"/>
      <c r="AC277" s="139"/>
      <c r="AD277" s="139"/>
      <c r="AE277" s="139"/>
      <c r="AF277" s="140"/>
      <c r="AG277" s="136"/>
      <c r="AH277" s="157">
        <f>IFERROR(__xludf.DUMMYFUNCTION("""COMPUTED_VALUE"""),44420.719239363425)</f>
        <v>44420.71924</v>
      </c>
      <c r="AI277" s="138"/>
      <c r="AJ277" s="138"/>
      <c r="AK277" s="138"/>
      <c r="AL277" s="142"/>
    </row>
    <row r="278" ht="20.25" customHeight="1">
      <c r="A278" s="155" t="str">
        <f>IFERROR(__xludf.DUMMYFUNCTION("""COMPUTED_VALUE"""),"Nezz")</f>
        <v>Nezz</v>
      </c>
      <c r="B278" s="149" t="str">
        <f>IFERROR(__xludf.DUMMYFUNCTION("""COMPUTED_VALUE"""),"Phoenix")</f>
        <v>Phoenix</v>
      </c>
      <c r="C278" s="149" t="str">
        <f>IFERROR(__xludf.DUMMYFUNCTION("""COMPUTED_VALUE"""),"AZ")</f>
        <v>AZ</v>
      </c>
      <c r="D278" s="149" t="str">
        <f>IFERROR(__xludf.DUMMYFUNCTION("""COMPUTED_VALUE"""),"USA")</f>
        <v>USA</v>
      </c>
      <c r="E278" s="156">
        <f>IFERROR(__xludf.DUMMYFUNCTION("""COMPUTED_VALUE"""),44420.0)</f>
        <v>44420</v>
      </c>
      <c r="F278" s="129"/>
      <c r="G278" s="154"/>
      <c r="H278" s="131"/>
      <c r="I278" s="132"/>
      <c r="J278" s="129"/>
      <c r="K278" s="133"/>
      <c r="L278" s="133"/>
      <c r="M278" s="133"/>
      <c r="N278" s="152" t="str">
        <f>IFERROR(__xludf.DUMMYFUNCTION("""COMPUTED_VALUE"""),"Model 3 SR+")</f>
        <v>Model 3 SR+</v>
      </c>
      <c r="O278" s="152" t="str">
        <f>IFERROR(__xludf.DUMMYFUNCTION("""COMPUTED_VALUE"""),"Pearl White Multi-Coat")</f>
        <v>Pearl White Multi-Coat</v>
      </c>
      <c r="P278" s="153" t="str">
        <f>IFERROR(__xludf.DUMMYFUNCTION("""COMPUTED_VALUE"""),"18 inch")</f>
        <v>18 inch</v>
      </c>
      <c r="Q278" s="152" t="str">
        <f>IFERROR(__xludf.DUMMYFUNCTION("""COMPUTED_VALUE"""),"All Black")</f>
        <v>All Black</v>
      </c>
      <c r="R278" s="150" t="str">
        <f>IFERROR(__xludf.DUMMYFUNCTION("""COMPUTED_VALUE"""),"Autopilot included")</f>
        <v>Autopilot included</v>
      </c>
      <c r="S278" s="150" t="str">
        <f>IFERROR(__xludf.DUMMYFUNCTION("""COMPUTED_VALUE"""),"Loan")</f>
        <v>Loan</v>
      </c>
      <c r="T278" s="136" t="str">
        <f>IFERROR(__xludf.DUMMYFUNCTION("""COMPUTED_VALUE"""),"Chevy Volt")</f>
        <v>Chevy Volt</v>
      </c>
      <c r="U278" s="136" t="str">
        <f>IFERROR(__xludf.DUMMYFUNCTION("""COMPUTED_VALUE"""),"Tesla brand image")</f>
        <v>Tesla brand image</v>
      </c>
      <c r="V278" s="136" t="str">
        <f>IFERROR(__xludf.DUMMYFUNCTION("""COMPUTED_VALUE"""),"Active Noise Canceling")</f>
        <v>Active Noise Canceling</v>
      </c>
      <c r="W278" s="136"/>
      <c r="X278" s="137"/>
      <c r="Y278" s="138"/>
      <c r="Z278" s="138"/>
      <c r="AA278" s="138"/>
      <c r="AB278" s="138"/>
      <c r="AC278" s="139"/>
      <c r="AD278" s="139"/>
      <c r="AE278" s="139"/>
      <c r="AF278" s="140"/>
      <c r="AG278" s="136"/>
      <c r="AH278" s="157">
        <f>IFERROR(__xludf.DUMMYFUNCTION("""COMPUTED_VALUE"""),44425.627930856484)</f>
        <v>44425.62793</v>
      </c>
      <c r="AI278" s="138"/>
      <c r="AJ278" s="138"/>
      <c r="AK278" s="138"/>
      <c r="AL278" s="142"/>
    </row>
    <row r="279" ht="20.25" customHeight="1">
      <c r="A279" s="155" t="str">
        <f>IFERROR(__xludf.DUMMYFUNCTION("""COMPUTED_VALUE"""),"CG")</f>
        <v>CG</v>
      </c>
      <c r="B279" s="149" t="str">
        <f>IFERROR(__xludf.DUMMYFUNCTION("""COMPUTED_VALUE"""),"Edmonton")</f>
        <v>Edmonton</v>
      </c>
      <c r="C279" s="149" t="str">
        <f>IFERROR(__xludf.DUMMYFUNCTION("""COMPUTED_VALUE"""),"AB")</f>
        <v>AB</v>
      </c>
      <c r="D279" s="149" t="str">
        <f>IFERROR(__xludf.DUMMYFUNCTION("""COMPUTED_VALUE"""),"Canada")</f>
        <v>Canada</v>
      </c>
      <c r="E279" s="156">
        <f>IFERROR(__xludf.DUMMYFUNCTION("""COMPUTED_VALUE"""),44419.0)</f>
        <v>44419</v>
      </c>
      <c r="F279" s="129"/>
      <c r="G279" s="154"/>
      <c r="H279" s="131"/>
      <c r="I279" s="132"/>
      <c r="J279" s="129"/>
      <c r="K279" s="133"/>
      <c r="L279" s="133"/>
      <c r="M279" s="133"/>
      <c r="N279" s="152" t="str">
        <f>IFERROR(__xludf.DUMMYFUNCTION("""COMPUTED_VALUE"""),"Model 3 Performance")</f>
        <v>Model 3 Performance</v>
      </c>
      <c r="O279" s="152" t="str">
        <f>IFERROR(__xludf.DUMMYFUNCTION("""COMPUTED_VALUE"""),"Midnight Silver Metallic")</f>
        <v>Midnight Silver Metallic</v>
      </c>
      <c r="P279" s="153" t="str">
        <f>IFERROR(__xludf.DUMMYFUNCTION("""COMPUTED_VALUE"""),"20 inch")</f>
        <v>20 inch</v>
      </c>
      <c r="Q279" s="152" t="str">
        <f>IFERROR(__xludf.DUMMYFUNCTION("""COMPUTED_VALUE"""),"All Black")</f>
        <v>All Black</v>
      </c>
      <c r="R279" s="150" t="str">
        <f>IFERROR(__xludf.DUMMYFUNCTION("""COMPUTED_VALUE"""),"Autopilot included")</f>
        <v>Autopilot included</v>
      </c>
      <c r="S279" s="150" t="str">
        <f>IFERROR(__xludf.DUMMYFUNCTION("""COMPUTED_VALUE"""),"Loan")</f>
        <v>Loan</v>
      </c>
      <c r="T279" s="136" t="str">
        <f>IFERROR(__xludf.DUMMYFUNCTION("""COMPUTED_VALUE"""),"Mazda 3 Sport GT")</f>
        <v>Mazda 3 Sport GT</v>
      </c>
      <c r="U279" s="136" t="str">
        <f>IFERROR(__xludf.DUMMYFUNCTION("""COMPUTED_VALUE"""),"Electric!")</f>
        <v>Electric!</v>
      </c>
      <c r="V279" s="136" t="str">
        <f>IFERROR(__xludf.DUMMYFUNCTION("""COMPUTED_VALUE"""),"Apple CarPlay / Android Auto / SiriusXM Radio")</f>
        <v>Apple CarPlay / Android Auto / SiriusXM Radio</v>
      </c>
      <c r="W279" s="136"/>
      <c r="X279" s="137"/>
      <c r="Y279" s="138"/>
      <c r="Z279" s="138"/>
      <c r="AA279" s="138"/>
      <c r="AB279" s="138"/>
      <c r="AC279" s="139"/>
      <c r="AD279" s="139"/>
      <c r="AE279" s="139"/>
      <c r="AF279" s="140"/>
      <c r="AG279" s="136"/>
      <c r="AH279" s="157">
        <f>IFERROR(__xludf.DUMMYFUNCTION("""COMPUTED_VALUE"""),44420.65376972222)</f>
        <v>44420.65377</v>
      </c>
      <c r="AI279" s="138"/>
      <c r="AJ279" s="138"/>
      <c r="AK279" s="138"/>
      <c r="AL279" s="142"/>
    </row>
    <row r="280" ht="20.25" customHeight="1">
      <c r="A280" s="155" t="str">
        <f>IFERROR(__xludf.DUMMYFUNCTION("""COMPUTED_VALUE"""),"Haydrows3xy")</f>
        <v>Haydrows3xy</v>
      </c>
      <c r="B280" s="149" t="str">
        <f>IFERROR(__xludf.DUMMYFUNCTION("""COMPUTED_VALUE"""),"London, Ontario ")</f>
        <v>London, Ontario </v>
      </c>
      <c r="C280" s="149" t="str">
        <f>IFERROR(__xludf.DUMMYFUNCTION("""COMPUTED_VALUE"""),"ON")</f>
        <v>ON</v>
      </c>
      <c r="D280" s="149" t="str">
        <f>IFERROR(__xludf.DUMMYFUNCTION("""COMPUTED_VALUE"""),"Canada")</f>
        <v>Canada</v>
      </c>
      <c r="E280" s="156">
        <f>IFERROR(__xludf.DUMMYFUNCTION("""COMPUTED_VALUE"""),44419.0)</f>
        <v>44419</v>
      </c>
      <c r="F280" s="129"/>
      <c r="G280" s="154"/>
      <c r="H280" s="131"/>
      <c r="I280" s="132"/>
      <c r="J280" s="129"/>
      <c r="K280" s="133"/>
      <c r="L280" s="133"/>
      <c r="M280" s="133"/>
      <c r="N280" s="152" t="str">
        <f>IFERROR(__xludf.DUMMYFUNCTION("""COMPUTED_VALUE"""),"Model 3 SR+")</f>
        <v>Model 3 SR+</v>
      </c>
      <c r="O280" s="152" t="str">
        <f>IFERROR(__xludf.DUMMYFUNCTION("""COMPUTED_VALUE"""),"Midnight Silver Metallic")</f>
        <v>Midnight Silver Metallic</v>
      </c>
      <c r="P280" s="153" t="str">
        <f>IFERROR(__xludf.DUMMYFUNCTION("""COMPUTED_VALUE"""),"18 inch")</f>
        <v>18 inch</v>
      </c>
      <c r="Q280" s="152" t="str">
        <f>IFERROR(__xludf.DUMMYFUNCTION("""COMPUTED_VALUE"""),"All Black")</f>
        <v>All Black</v>
      </c>
      <c r="R280" s="150" t="str">
        <f>IFERROR(__xludf.DUMMYFUNCTION("""COMPUTED_VALUE"""),"Autopilot included")</f>
        <v>Autopilot included</v>
      </c>
      <c r="S280" s="150" t="str">
        <f>IFERROR(__xludf.DUMMYFUNCTION("""COMPUTED_VALUE"""),"Loan")</f>
        <v>Loan</v>
      </c>
      <c r="T280" s="136" t="str">
        <f>IFERROR(__xludf.DUMMYFUNCTION("""COMPUTED_VALUE"""),"VW Tiguan")</f>
        <v>VW Tiguan</v>
      </c>
      <c r="U280" s="136" t="str">
        <f>IFERROR(__xludf.DUMMYFUNCTION("""COMPUTED_VALUE"""),"Electric!")</f>
        <v>Electric!</v>
      </c>
      <c r="V280" s="136" t="str">
        <f>IFERROR(__xludf.DUMMYFUNCTION("""COMPUTED_VALUE"""),"Ventilated seats")</f>
        <v>Ventilated seats</v>
      </c>
      <c r="W280" s="136"/>
      <c r="X280" s="137"/>
      <c r="Y280" s="138"/>
      <c r="Z280" s="138"/>
      <c r="AA280" s="138"/>
      <c r="AB280" s="138"/>
      <c r="AC280" s="139"/>
      <c r="AD280" s="139"/>
      <c r="AE280" s="139"/>
      <c r="AF280" s="140"/>
      <c r="AG280" s="136"/>
      <c r="AH280" s="157">
        <f>IFERROR(__xludf.DUMMYFUNCTION("""COMPUTED_VALUE"""),44420.55565956018)</f>
        <v>44420.55566</v>
      </c>
      <c r="AI280" s="138"/>
      <c r="AJ280" s="138"/>
      <c r="AK280" s="138"/>
      <c r="AL280" s="142"/>
    </row>
    <row r="281" ht="20.25" customHeight="1">
      <c r="A281" s="155" t="str">
        <f>IFERROR(__xludf.DUMMYFUNCTION("""COMPUTED_VALUE"""),"noeltykay")</f>
        <v>noeltykay</v>
      </c>
      <c r="B281" s="149" t="str">
        <f>IFERROR(__xludf.DUMMYFUNCTION("""COMPUTED_VALUE"""),"Los Angeles")</f>
        <v>Los Angeles</v>
      </c>
      <c r="C281" s="149" t="str">
        <f>IFERROR(__xludf.DUMMYFUNCTION("""COMPUTED_VALUE"""),"CA")</f>
        <v>CA</v>
      </c>
      <c r="D281" s="149" t="str">
        <f>IFERROR(__xludf.DUMMYFUNCTION("""COMPUTED_VALUE"""),"USA")</f>
        <v>USA</v>
      </c>
      <c r="E281" s="156">
        <f>IFERROR(__xludf.DUMMYFUNCTION("""COMPUTED_VALUE"""),44419.0)</f>
        <v>44419</v>
      </c>
      <c r="F281" s="129"/>
      <c r="G281" s="154"/>
      <c r="H281" s="131"/>
      <c r="I281" s="132"/>
      <c r="J281" s="129"/>
      <c r="K281" s="133"/>
      <c r="L281" s="133"/>
      <c r="M281" s="133"/>
      <c r="N281" s="152" t="str">
        <f>IFERROR(__xludf.DUMMYFUNCTION("""COMPUTED_VALUE"""),"Model 3 LR AWD")</f>
        <v>Model 3 LR AWD</v>
      </c>
      <c r="O281" s="152" t="str">
        <f>IFERROR(__xludf.DUMMYFUNCTION("""COMPUTED_VALUE"""),"Red Multi-Coat")</f>
        <v>Red Multi-Coat</v>
      </c>
      <c r="P281" s="153" t="str">
        <f>IFERROR(__xludf.DUMMYFUNCTION("""COMPUTED_VALUE"""),"19 inch")</f>
        <v>19 inch</v>
      </c>
      <c r="Q281" s="152" t="str">
        <f>IFERROR(__xludf.DUMMYFUNCTION("""COMPUTED_VALUE"""),"All Black")</f>
        <v>All Black</v>
      </c>
      <c r="R281" s="150" t="str">
        <f>IFERROR(__xludf.DUMMYFUNCTION("""COMPUTED_VALUE"""),"Autopilot included")</f>
        <v>Autopilot included</v>
      </c>
      <c r="S281" s="150" t="str">
        <f>IFERROR(__xludf.DUMMYFUNCTION("""COMPUTED_VALUE"""),"Loan")</f>
        <v>Loan</v>
      </c>
      <c r="T281" s="136" t="str">
        <f>IFERROR(__xludf.DUMMYFUNCTION("""COMPUTED_VALUE"""),"Mini Cooper Countryman S ")</f>
        <v>Mini Cooper Countryman S </v>
      </c>
      <c r="U281" s="136" t="str">
        <f>IFERROR(__xludf.DUMMYFUNCTION("""COMPUTED_VALUE"""),"All-glass roof")</f>
        <v>All-glass roof</v>
      </c>
      <c r="V281" s="136" t="str">
        <f>IFERROR(__xludf.DUMMYFUNCTION("""COMPUTED_VALUE"""),"Apple CarPlay / Android Auto / SiriusXM Radio")</f>
        <v>Apple CarPlay / Android Auto / SiriusXM Radio</v>
      </c>
      <c r="W281" s="136"/>
      <c r="X281" s="137"/>
      <c r="Y281" s="138"/>
      <c r="Z281" s="138"/>
      <c r="AA281" s="138"/>
      <c r="AB281" s="138"/>
      <c r="AC281" s="139"/>
      <c r="AD281" s="139"/>
      <c r="AE281" s="139"/>
      <c r="AF281" s="140"/>
      <c r="AG281" s="136"/>
      <c r="AH281" s="157">
        <f>IFERROR(__xludf.DUMMYFUNCTION("""COMPUTED_VALUE"""),44444.31296538194)</f>
        <v>44444.31297</v>
      </c>
      <c r="AI281" s="138"/>
      <c r="AJ281" s="138"/>
      <c r="AK281" s="138"/>
      <c r="AL281" s="142"/>
    </row>
    <row r="282" ht="20.25" customHeight="1">
      <c r="A282" s="155" t="str">
        <f>IFERROR(__xludf.DUMMYFUNCTION("""COMPUTED_VALUE"""),"CarlZ")</f>
        <v>CarlZ</v>
      </c>
      <c r="B282" s="150" t="str">
        <f>IFERROR(__xludf.DUMMYFUNCTION("""COMPUTED_VALUE"""),"Toronto")</f>
        <v>Toronto</v>
      </c>
      <c r="C282" s="150" t="str">
        <f>IFERROR(__xludf.DUMMYFUNCTION("""COMPUTED_VALUE"""),"ON")</f>
        <v>ON</v>
      </c>
      <c r="D282" s="150" t="str">
        <f>IFERROR(__xludf.DUMMYFUNCTION("""COMPUTED_VALUE"""),"Canada")</f>
        <v>Canada</v>
      </c>
      <c r="E282" s="156">
        <f>IFERROR(__xludf.DUMMYFUNCTION("""COMPUTED_VALUE"""),44418.0)</f>
        <v>44418</v>
      </c>
      <c r="F282" s="129"/>
      <c r="G282" s="154"/>
      <c r="H282" s="131"/>
      <c r="I282" s="132"/>
      <c r="J282" s="129"/>
      <c r="K282" s="133"/>
      <c r="L282" s="133"/>
      <c r="M282" s="133"/>
      <c r="N282" s="152" t="str">
        <f>IFERROR(__xludf.DUMMYFUNCTION("""COMPUTED_VALUE"""),"Model 3 SR+")</f>
        <v>Model 3 SR+</v>
      </c>
      <c r="O282" s="152" t="str">
        <f>IFERROR(__xludf.DUMMYFUNCTION("""COMPUTED_VALUE"""),"Pearl White Multi-Coat")</f>
        <v>Pearl White Multi-Coat</v>
      </c>
      <c r="P282" s="153" t="str">
        <f>IFERROR(__xludf.DUMMYFUNCTION("""COMPUTED_VALUE"""),"18 inch")</f>
        <v>18 inch</v>
      </c>
      <c r="Q282" s="152" t="str">
        <f>IFERROR(__xludf.DUMMYFUNCTION("""COMPUTED_VALUE"""),"Black and White")</f>
        <v>Black and White</v>
      </c>
      <c r="R282" s="150" t="str">
        <f>IFERROR(__xludf.DUMMYFUNCTION("""COMPUTED_VALUE"""),"Full Self-Driving")</f>
        <v>Full Self-Driving</v>
      </c>
      <c r="S282" s="150"/>
      <c r="T282" s="136" t="str">
        <f>IFERROR(__xludf.DUMMYFUNCTION("""COMPUTED_VALUE"""),"Mazda CX-5")</f>
        <v>Mazda CX-5</v>
      </c>
      <c r="U282" s="136" t="str">
        <f>IFERROR(__xludf.DUMMYFUNCTION("""COMPUTED_VALUE"""),"Electric!")</f>
        <v>Electric!</v>
      </c>
      <c r="V282" s="136" t="str">
        <f>IFERROR(__xludf.DUMMYFUNCTION("""COMPUTED_VALUE"""),"Heated steering wheel")</f>
        <v>Heated steering wheel</v>
      </c>
      <c r="W282" s="136"/>
      <c r="X282" s="137"/>
      <c r="Y282" s="138"/>
      <c r="Z282" s="138"/>
      <c r="AA282" s="138"/>
      <c r="AB282" s="138"/>
      <c r="AC282" s="139"/>
      <c r="AD282" s="139"/>
      <c r="AE282" s="139"/>
      <c r="AF282" s="140"/>
      <c r="AG282" s="136"/>
      <c r="AH282" s="157">
        <f>IFERROR(__xludf.DUMMYFUNCTION("""COMPUTED_VALUE"""),44430.80791017361)</f>
        <v>44430.80791</v>
      </c>
      <c r="AI282" s="138"/>
      <c r="AJ282" s="138"/>
      <c r="AK282" s="138"/>
      <c r="AL282" s="142"/>
    </row>
    <row r="283" ht="20.25" customHeight="1">
      <c r="A283" s="155" t="str">
        <f>IFERROR(__xludf.DUMMYFUNCTION("""COMPUTED_VALUE"""),"CC52")</f>
        <v>CC52</v>
      </c>
      <c r="B283" s="149" t="str">
        <f>IFERROR(__xludf.DUMMYFUNCTION("""COMPUTED_VALUE"""),"Jersey City")</f>
        <v>Jersey City</v>
      </c>
      <c r="C283" s="149" t="str">
        <f>IFERROR(__xludf.DUMMYFUNCTION("""COMPUTED_VALUE"""),"NJ")</f>
        <v>NJ</v>
      </c>
      <c r="D283" s="149" t="str">
        <f>IFERROR(__xludf.DUMMYFUNCTION("""COMPUTED_VALUE"""),"USA")</f>
        <v>USA</v>
      </c>
      <c r="E283" s="156">
        <f>IFERROR(__xludf.DUMMYFUNCTION("""COMPUTED_VALUE"""),44418.0)</f>
        <v>44418</v>
      </c>
      <c r="F283" s="129">
        <f>IFERROR(__xludf.DUMMYFUNCTION("""COMPUTED_VALUE"""),44509.0)</f>
        <v>44509</v>
      </c>
      <c r="G283" s="154" t="str">
        <f>IFERROR(__xludf.DUMMYFUNCTION("""COMPUTED_VALUE"""),"Manage order page (normal text)")</f>
        <v>Manage order page (normal text)</v>
      </c>
      <c r="H283" s="131">
        <f>IFERROR(__xludf.DUMMYFUNCTION("""COMPUTED_VALUE"""),102455.0)</f>
        <v>102455</v>
      </c>
      <c r="I283" s="144"/>
      <c r="J283" s="129"/>
      <c r="K283" s="133">
        <f>IFERROR(__xludf.DUMMYFUNCTION("""COMPUTED_VALUE"""),91.0)</f>
        <v>91</v>
      </c>
      <c r="L283" s="133"/>
      <c r="M283" s="133"/>
      <c r="N283" s="152" t="str">
        <f>IFERROR(__xludf.DUMMYFUNCTION("""COMPUTED_VALUE"""),"Model 3 SR+")</f>
        <v>Model 3 SR+</v>
      </c>
      <c r="O283" s="152" t="str">
        <f>IFERROR(__xludf.DUMMYFUNCTION("""COMPUTED_VALUE"""),"Pearl White Multi-Coat")</f>
        <v>Pearl White Multi-Coat</v>
      </c>
      <c r="P283" s="153" t="str">
        <f>IFERROR(__xludf.DUMMYFUNCTION("""COMPUTED_VALUE"""),"18 inch")</f>
        <v>18 inch</v>
      </c>
      <c r="Q283" s="152" t="str">
        <f>IFERROR(__xludf.DUMMYFUNCTION("""COMPUTED_VALUE"""),"All Black")</f>
        <v>All Black</v>
      </c>
      <c r="R283" s="149" t="str">
        <f>IFERROR(__xludf.DUMMYFUNCTION("""COMPUTED_VALUE"""),"Autopilot included")</f>
        <v>Autopilot included</v>
      </c>
      <c r="S283" s="149" t="str">
        <f>IFERROR(__xludf.DUMMYFUNCTION("""COMPUTED_VALUE"""),"Lease")</f>
        <v>Lease</v>
      </c>
      <c r="T283" s="145" t="str">
        <f>IFERROR(__xludf.DUMMYFUNCTION("""COMPUTED_VALUE"""),"Model 3 will be my first car!")</f>
        <v>Model 3 will be my first car!</v>
      </c>
      <c r="U283" s="145" t="str">
        <f>IFERROR(__xludf.DUMMYFUNCTION("""COMPUTED_VALUE"""),"Electric!")</f>
        <v>Electric!</v>
      </c>
      <c r="V283" s="145" t="str">
        <f>IFERROR(__xludf.DUMMYFUNCTION("""COMPUTED_VALUE"""),"Dashboard")</f>
        <v>Dashboard</v>
      </c>
      <c r="W283" s="145"/>
      <c r="X283" s="137"/>
      <c r="Y283" s="138"/>
      <c r="Z283" s="138"/>
      <c r="AA283" s="138"/>
      <c r="AB283" s="138"/>
      <c r="AC283" s="139"/>
      <c r="AD283" s="139"/>
      <c r="AE283" s="139"/>
      <c r="AF283" s="140"/>
      <c r="AG283" s="145"/>
      <c r="AH283" s="157">
        <f>IFERROR(__xludf.DUMMYFUNCTION("""COMPUTED_VALUE"""),44508.91568436343)</f>
        <v>44508.91568</v>
      </c>
      <c r="AI283" s="138"/>
      <c r="AJ283" s="138"/>
      <c r="AK283" s="138"/>
      <c r="AL283" s="142"/>
    </row>
    <row r="284" ht="20.25" customHeight="1">
      <c r="A284" s="155" t="str">
        <f>IFERROR(__xludf.DUMMYFUNCTION("""COMPUTED_VALUE"""),"chulsey87")</f>
        <v>chulsey87</v>
      </c>
      <c r="B284" s="149" t="str">
        <f>IFERROR(__xludf.DUMMYFUNCTION("""COMPUTED_VALUE"""),"St. Louis")</f>
        <v>St. Louis</v>
      </c>
      <c r="C284" s="149" t="str">
        <f>IFERROR(__xludf.DUMMYFUNCTION("""COMPUTED_VALUE"""),"MO")</f>
        <v>MO</v>
      </c>
      <c r="D284" s="149" t="str">
        <f>IFERROR(__xludf.DUMMYFUNCTION("""COMPUTED_VALUE"""),"USA")</f>
        <v>USA</v>
      </c>
      <c r="E284" s="156">
        <f>IFERROR(__xludf.DUMMYFUNCTION("""COMPUTED_VALUE"""),44418.0)</f>
        <v>44418</v>
      </c>
      <c r="F284" s="129">
        <f>IFERROR(__xludf.DUMMYFUNCTION("""COMPUTED_VALUE"""),44453.0)</f>
        <v>44453</v>
      </c>
      <c r="G284" s="154" t="str">
        <f>IFERROR(__xludf.DUMMYFUNCTION("""COMPUTED_VALUE"""),"Manage order page (normal text)")</f>
        <v>Manage order page (normal text)</v>
      </c>
      <c r="H284" s="131">
        <f>IFERROR(__xludf.DUMMYFUNCTION("""COMPUTED_VALUE"""),66155.0)</f>
        <v>66155</v>
      </c>
      <c r="I284" s="144"/>
      <c r="J284" s="129"/>
      <c r="K284" s="133">
        <f>IFERROR(__xludf.DUMMYFUNCTION("""COMPUTED_VALUE"""),35.0)</f>
        <v>35</v>
      </c>
      <c r="L284" s="133"/>
      <c r="M284" s="133"/>
      <c r="N284" s="152" t="str">
        <f>IFERROR(__xludf.DUMMYFUNCTION("""COMPUTED_VALUE"""),"Model 3 LR AWD")</f>
        <v>Model 3 LR AWD</v>
      </c>
      <c r="O284" s="152" t="str">
        <f>IFERROR(__xludf.DUMMYFUNCTION("""COMPUTED_VALUE"""),"Deep Blue Metallic")</f>
        <v>Deep Blue Metallic</v>
      </c>
      <c r="P284" s="153" t="str">
        <f>IFERROR(__xludf.DUMMYFUNCTION("""COMPUTED_VALUE"""),"18 inch")</f>
        <v>18 inch</v>
      </c>
      <c r="Q284" s="152" t="str">
        <f>IFERROR(__xludf.DUMMYFUNCTION("""COMPUTED_VALUE"""),"All Black")</f>
        <v>All Black</v>
      </c>
      <c r="R284" s="149" t="str">
        <f>IFERROR(__xludf.DUMMYFUNCTION("""COMPUTED_VALUE"""),"Autopilot included")</f>
        <v>Autopilot included</v>
      </c>
      <c r="S284" s="149" t="str">
        <f>IFERROR(__xludf.DUMMYFUNCTION("""COMPUTED_VALUE"""),"Loan")</f>
        <v>Loan</v>
      </c>
      <c r="T284" s="145" t="str">
        <f>IFERROR(__xludf.DUMMYFUNCTION("""COMPUTED_VALUE"""),"Nissan Versa Note")</f>
        <v>Nissan Versa Note</v>
      </c>
      <c r="U284" s="145" t="str">
        <f>IFERROR(__xludf.DUMMYFUNCTION("""COMPUTED_VALUE"""),"Electric!")</f>
        <v>Electric!</v>
      </c>
      <c r="V284" s="145" t="str">
        <f>IFERROR(__xludf.DUMMYFUNCTION("""COMPUTED_VALUE"""),"Ventilated seats")</f>
        <v>Ventilated seats</v>
      </c>
      <c r="W284" s="136"/>
      <c r="X284" s="137"/>
      <c r="Y284" s="138"/>
      <c r="Z284" s="138"/>
      <c r="AA284" s="138"/>
      <c r="AB284" s="138"/>
      <c r="AC284" s="139"/>
      <c r="AD284" s="139"/>
      <c r="AE284" s="139"/>
      <c r="AF284" s="140"/>
      <c r="AG284" s="136"/>
      <c r="AH284" s="157">
        <f>IFERROR(__xludf.DUMMYFUNCTION("""COMPUTED_VALUE"""),44456.33268670139)</f>
        <v>44456.33269</v>
      </c>
      <c r="AI284" s="138"/>
      <c r="AJ284" s="138"/>
      <c r="AK284" s="138"/>
      <c r="AL284" s="142"/>
    </row>
    <row r="285" ht="20.25" customHeight="1">
      <c r="A285" s="155" t="str">
        <f>IFERROR(__xludf.DUMMYFUNCTION("""COMPUTED_VALUE"""),"Geo2021")</f>
        <v>Geo2021</v>
      </c>
      <c r="B285" s="149" t="str">
        <f>IFERROR(__xludf.DUMMYFUNCTION("""COMPUTED_VALUE"""),"Cincinnati")</f>
        <v>Cincinnati</v>
      </c>
      <c r="C285" s="149" t="str">
        <f>IFERROR(__xludf.DUMMYFUNCTION("""COMPUTED_VALUE"""),"OH")</f>
        <v>OH</v>
      </c>
      <c r="D285" s="149" t="str">
        <f>IFERROR(__xludf.DUMMYFUNCTION("""COMPUTED_VALUE"""),"USA")</f>
        <v>USA</v>
      </c>
      <c r="E285" s="156">
        <f>IFERROR(__xludf.DUMMYFUNCTION("""COMPUTED_VALUE"""),44418.0)</f>
        <v>44418</v>
      </c>
      <c r="F285" s="129">
        <f>IFERROR(__xludf.DUMMYFUNCTION("""COMPUTED_VALUE"""),44453.0)</f>
        <v>44453</v>
      </c>
      <c r="G285" s="154" t="str">
        <f>IFERROR(__xludf.DUMMYFUNCTION("""COMPUTED_VALUE"""),"Manage order page (normal text)")</f>
        <v>Manage order page (normal text)</v>
      </c>
      <c r="H285" s="131">
        <f>IFERROR(__xludf.DUMMYFUNCTION("""COMPUTED_VALUE"""),60955.0)</f>
        <v>60955</v>
      </c>
      <c r="I285" s="144"/>
      <c r="J285" s="129">
        <f>IFERROR(__xludf.DUMMYFUNCTION("""COMPUTED_VALUE"""),44458.0)</f>
        <v>44458</v>
      </c>
      <c r="K285" s="133">
        <f>IFERROR(__xludf.DUMMYFUNCTION("""COMPUTED_VALUE"""),35.0)</f>
        <v>35</v>
      </c>
      <c r="L285" s="133">
        <f>IFERROR(__xludf.DUMMYFUNCTION("""COMPUTED_VALUE"""),5.0)</f>
        <v>5</v>
      </c>
      <c r="M285" s="133">
        <f>IFERROR(__xludf.DUMMYFUNCTION("""COMPUTED_VALUE"""),40.0)</f>
        <v>40</v>
      </c>
      <c r="N285" s="152" t="str">
        <f>IFERROR(__xludf.DUMMYFUNCTION("""COMPUTED_VALUE"""),"Model 3 LR AWD")</f>
        <v>Model 3 LR AWD</v>
      </c>
      <c r="O285" s="152" t="str">
        <f>IFERROR(__xludf.DUMMYFUNCTION("""COMPUTED_VALUE"""),"Pearl White Multi-Coat")</f>
        <v>Pearl White Multi-Coat</v>
      </c>
      <c r="P285" s="153" t="str">
        <f>IFERROR(__xludf.DUMMYFUNCTION("""COMPUTED_VALUE"""),"18 inch")</f>
        <v>18 inch</v>
      </c>
      <c r="Q285" s="152" t="str">
        <f>IFERROR(__xludf.DUMMYFUNCTION("""COMPUTED_VALUE"""),"All Black")</f>
        <v>All Black</v>
      </c>
      <c r="R285" s="149" t="str">
        <f>IFERROR(__xludf.DUMMYFUNCTION("""COMPUTED_VALUE"""),"Autopilot included")</f>
        <v>Autopilot included</v>
      </c>
      <c r="S285" s="149" t="str">
        <f>IFERROR(__xludf.DUMMYFUNCTION("""COMPUTED_VALUE"""),"Cash")</f>
        <v>Cash</v>
      </c>
      <c r="T285" s="145" t="str">
        <f>IFERROR(__xludf.DUMMYFUNCTION("""COMPUTED_VALUE"""),"Toyota Tacoma")</f>
        <v>Toyota Tacoma</v>
      </c>
      <c r="U285" s="145" t="str">
        <f>IFERROR(__xludf.DUMMYFUNCTION("""COMPUTED_VALUE"""),"Electric!")</f>
        <v>Electric!</v>
      </c>
      <c r="V285" s="145" t="str">
        <f>IFERROR(__xludf.DUMMYFUNCTION("""COMPUTED_VALUE"""),"Blind spot indicators on side mirrors")</f>
        <v>Blind spot indicators on side mirrors</v>
      </c>
      <c r="W285" s="136"/>
      <c r="X285" s="137" t="str">
        <f>IFERROR(__xludf.DUMMYFUNCTION("""COMPUTED_VALUE"""),"Excellent")</f>
        <v>Excellent</v>
      </c>
      <c r="Y285" s="138" t="str">
        <f>IFERROR(__xludf.DUMMYFUNCTION("""COMPUTED_VALUE"""),"Excellent")</f>
        <v>Excellent</v>
      </c>
      <c r="Z285" s="138" t="str">
        <f>IFERROR(__xludf.DUMMYFUNCTION("""COMPUTED_VALUE"""),"Excellent")</f>
        <v>Excellent</v>
      </c>
      <c r="AA285" s="138" t="str">
        <f>IFERROR(__xludf.DUMMYFUNCTION("""COMPUTED_VALUE"""),"Excellent")</f>
        <v>Excellent</v>
      </c>
      <c r="AB285" s="138" t="str">
        <f>IFERROR(__xludf.DUMMYFUNCTION("""COMPUTED_VALUE"""),"Excellent")</f>
        <v>Excellent</v>
      </c>
      <c r="AC285" s="139">
        <f>IFERROR(__xludf.DUMMYFUNCTION("""COMPUTED_VALUE"""),1.0)</f>
        <v>1</v>
      </c>
      <c r="AD285" s="139">
        <f>IFERROR(__xludf.DUMMYFUNCTION("""COMPUTED_VALUE"""),1.0)</f>
        <v>1</v>
      </c>
      <c r="AE285" s="139">
        <f>IFERROR(__xludf.DUMMYFUNCTION("""COMPUTED_VALUE"""),0.0)</f>
        <v>0</v>
      </c>
      <c r="AF285" s="140" t="str">
        <f>IFERROR(__xludf.DUMMYFUNCTION("""COMPUTED_VALUE"""),"No. I took delivery of the first car Tesla was able to deliver.")</f>
        <v>No. I took delivery of the first car Tesla was able to deliver.</v>
      </c>
      <c r="AG285" s="136"/>
      <c r="AH285" s="157">
        <f>IFERROR(__xludf.DUMMYFUNCTION("""COMPUTED_VALUE"""),44463.46958853009)</f>
        <v>44463.46959</v>
      </c>
      <c r="AI285" s="138"/>
      <c r="AJ285" s="138"/>
      <c r="AK285" s="138"/>
      <c r="AL285" s="142"/>
    </row>
    <row r="286" ht="20.25" customHeight="1">
      <c r="A286" s="155" t="str">
        <f>IFERROR(__xludf.DUMMYFUNCTION("""COMPUTED_VALUE"""),"mkhalasi85")</f>
        <v>mkhalasi85</v>
      </c>
      <c r="B286" s="149" t="str">
        <f>IFERROR(__xludf.DUMMYFUNCTION("""COMPUTED_VALUE"""),"Sacramento")</f>
        <v>Sacramento</v>
      </c>
      <c r="C286" s="149" t="str">
        <f>IFERROR(__xludf.DUMMYFUNCTION("""COMPUTED_VALUE"""),"CA")</f>
        <v>CA</v>
      </c>
      <c r="D286" s="149" t="str">
        <f>IFERROR(__xludf.DUMMYFUNCTION("""COMPUTED_VALUE"""),"USA")</f>
        <v>USA</v>
      </c>
      <c r="E286" s="156">
        <f>IFERROR(__xludf.DUMMYFUNCTION("""COMPUTED_VALUE"""),44418.0)</f>
        <v>44418</v>
      </c>
      <c r="F286" s="129">
        <f>IFERROR(__xludf.DUMMYFUNCTION("""COMPUTED_VALUE"""),44496.0)</f>
        <v>44496</v>
      </c>
      <c r="G286" s="154" t="str">
        <f>IFERROR(__xludf.DUMMYFUNCTION("""COMPUTED_VALUE"""),"Text message")</f>
        <v>Text message</v>
      </c>
      <c r="H286" s="131">
        <f>IFERROR(__xludf.DUMMYFUNCTION("""COMPUTED_VALUE"""),86155.0)</f>
        <v>86155</v>
      </c>
      <c r="I286" s="144"/>
      <c r="J286" s="129">
        <f>IFERROR(__xludf.DUMMYFUNCTION("""COMPUTED_VALUE"""),44498.0)</f>
        <v>44498</v>
      </c>
      <c r="K286" s="133">
        <f>IFERROR(__xludf.DUMMYFUNCTION("""COMPUTED_VALUE"""),78.0)</f>
        <v>78</v>
      </c>
      <c r="L286" s="133">
        <f>IFERROR(__xludf.DUMMYFUNCTION("""COMPUTED_VALUE"""),2.0)</f>
        <v>2</v>
      </c>
      <c r="M286" s="133">
        <f>IFERROR(__xludf.DUMMYFUNCTION("""COMPUTED_VALUE"""),80.0)</f>
        <v>80</v>
      </c>
      <c r="N286" s="152" t="str">
        <f>IFERROR(__xludf.DUMMYFUNCTION("""COMPUTED_VALUE"""),"Model 3 SR+")</f>
        <v>Model 3 SR+</v>
      </c>
      <c r="O286" s="152" t="str">
        <f>IFERROR(__xludf.DUMMYFUNCTION("""COMPUTED_VALUE"""),"Pearl White Multi-Coat")</f>
        <v>Pearl White Multi-Coat</v>
      </c>
      <c r="P286" s="153" t="str">
        <f>IFERROR(__xludf.DUMMYFUNCTION("""COMPUTED_VALUE"""),"18 inch")</f>
        <v>18 inch</v>
      </c>
      <c r="Q286" s="152" t="str">
        <f>IFERROR(__xludf.DUMMYFUNCTION("""COMPUTED_VALUE"""),"All Black")</f>
        <v>All Black</v>
      </c>
      <c r="R286" s="149" t="str">
        <f>IFERROR(__xludf.DUMMYFUNCTION("""COMPUTED_VALUE"""),"Autopilot included")</f>
        <v>Autopilot included</v>
      </c>
      <c r="S286" s="149" t="str">
        <f>IFERROR(__xludf.DUMMYFUNCTION("""COMPUTED_VALUE"""),"Loan")</f>
        <v>Loan</v>
      </c>
      <c r="T286" s="145" t="str">
        <f>IFERROR(__xludf.DUMMYFUNCTION("""COMPUTED_VALUE"""),"Tesla Model X")</f>
        <v>Tesla Model X</v>
      </c>
      <c r="U286" s="145" t="str">
        <f>IFERROR(__xludf.DUMMYFUNCTION("""COMPUTED_VALUE"""),"Electric!")</f>
        <v>Electric!</v>
      </c>
      <c r="V286" s="145" t="str">
        <f>IFERROR(__xludf.DUMMYFUNCTION("""COMPUTED_VALUE"""),"Air suspension")</f>
        <v>Air suspension</v>
      </c>
      <c r="W286" s="145"/>
      <c r="X286" s="137"/>
      <c r="Y286" s="138"/>
      <c r="Z286" s="138"/>
      <c r="AA286" s="138"/>
      <c r="AB286" s="138"/>
      <c r="AC286" s="139"/>
      <c r="AD286" s="139"/>
      <c r="AE286" s="139"/>
      <c r="AF286" s="140"/>
      <c r="AG286" s="145"/>
      <c r="AH286" s="157">
        <f>IFERROR(__xludf.DUMMYFUNCTION("""COMPUTED_VALUE"""),44496.526055243055)</f>
        <v>44496.52606</v>
      </c>
      <c r="AI286" s="138"/>
      <c r="AJ286" s="138"/>
      <c r="AK286" s="138"/>
      <c r="AL286" s="142"/>
    </row>
    <row r="287" ht="20.25" customHeight="1">
      <c r="A287" s="155" t="str">
        <f>IFERROR(__xludf.DUMMYFUNCTION("""COMPUTED_VALUE"""),"mystle")</f>
        <v>mystle</v>
      </c>
      <c r="B287" s="149" t="str">
        <f>IFERROR(__xludf.DUMMYFUNCTION("""COMPUTED_VALUE"""),"Montreal")</f>
        <v>Montreal</v>
      </c>
      <c r="C287" s="149" t="str">
        <f>IFERROR(__xludf.DUMMYFUNCTION("""COMPUTED_VALUE"""),"QC")</f>
        <v>QC</v>
      </c>
      <c r="D287" s="149" t="str">
        <f>IFERROR(__xludf.DUMMYFUNCTION("""COMPUTED_VALUE"""),"Canada")</f>
        <v>Canada</v>
      </c>
      <c r="E287" s="156">
        <f>IFERROR(__xludf.DUMMYFUNCTION("""COMPUTED_VALUE"""),44418.0)</f>
        <v>44418</v>
      </c>
      <c r="F287" s="129">
        <f>IFERROR(__xludf.DUMMYFUNCTION("""COMPUTED_VALUE"""),44493.0)</f>
        <v>44493</v>
      </c>
      <c r="G287" s="154" t="str">
        <f>IFERROR(__xludf.DUMMYFUNCTION("""COMPUTED_VALUE"""),"MVPA")</f>
        <v>MVPA</v>
      </c>
      <c r="H287" s="131"/>
      <c r="I287" s="132"/>
      <c r="J287" s="129">
        <f>IFERROR(__xludf.DUMMYFUNCTION("""COMPUTED_VALUE"""),44506.0)</f>
        <v>44506</v>
      </c>
      <c r="K287" s="133">
        <f>IFERROR(__xludf.DUMMYFUNCTION("""COMPUTED_VALUE"""),75.0)</f>
        <v>75</v>
      </c>
      <c r="L287" s="133">
        <f>IFERROR(__xludf.DUMMYFUNCTION("""COMPUTED_VALUE"""),13.0)</f>
        <v>13</v>
      </c>
      <c r="M287" s="133">
        <f>IFERROR(__xludf.DUMMYFUNCTION("""COMPUTED_VALUE"""),88.0)</f>
        <v>88</v>
      </c>
      <c r="N287" s="152" t="str">
        <f>IFERROR(__xludf.DUMMYFUNCTION("""COMPUTED_VALUE"""),"Model 3 SR+")</f>
        <v>Model 3 SR+</v>
      </c>
      <c r="O287" s="152" t="str">
        <f>IFERROR(__xludf.DUMMYFUNCTION("""COMPUTED_VALUE"""),"Pearl White Multi-Coat")</f>
        <v>Pearl White Multi-Coat</v>
      </c>
      <c r="P287" s="153" t="str">
        <f>IFERROR(__xludf.DUMMYFUNCTION("""COMPUTED_VALUE"""),"18 inch")</f>
        <v>18 inch</v>
      </c>
      <c r="Q287" s="152" t="str">
        <f>IFERROR(__xludf.DUMMYFUNCTION("""COMPUTED_VALUE"""),"All Black")</f>
        <v>All Black</v>
      </c>
      <c r="R287" s="150" t="str">
        <f>IFERROR(__xludf.DUMMYFUNCTION("""COMPUTED_VALUE"""),"Autopilot included")</f>
        <v>Autopilot included</v>
      </c>
      <c r="S287" s="150" t="str">
        <f>IFERROR(__xludf.DUMMYFUNCTION("""COMPUTED_VALUE"""),"Loan")</f>
        <v>Loan</v>
      </c>
      <c r="T287" s="136" t="str">
        <f>IFERROR(__xludf.DUMMYFUNCTION("""COMPUTED_VALUE"""),"Honda Civic")</f>
        <v>Honda Civic</v>
      </c>
      <c r="U287" s="136" t="str">
        <f>IFERROR(__xludf.DUMMYFUNCTION("""COMPUTED_VALUE"""),"Autopilot")</f>
        <v>Autopilot</v>
      </c>
      <c r="V287" s="136" t="str">
        <f>IFERROR(__xludf.DUMMYFUNCTION("""COMPUTED_VALUE"""),"Blind spot indicators on side mirrors")</f>
        <v>Blind spot indicators on side mirrors</v>
      </c>
      <c r="W287" s="145"/>
      <c r="X287" s="137"/>
      <c r="Y287" s="138"/>
      <c r="Z287" s="138"/>
      <c r="AA287" s="138"/>
      <c r="AB287" s="138"/>
      <c r="AC287" s="139"/>
      <c r="AD287" s="139"/>
      <c r="AE287" s="139"/>
      <c r="AF287" s="140"/>
      <c r="AG287" s="145"/>
      <c r="AH287" s="157">
        <f>IFERROR(__xludf.DUMMYFUNCTION("""COMPUTED_VALUE"""),44493.506664560184)</f>
        <v>44493.50666</v>
      </c>
      <c r="AI287" s="138"/>
      <c r="AJ287" s="138"/>
      <c r="AK287" s="138"/>
      <c r="AL287" s="142"/>
    </row>
    <row r="288" ht="20.25" customHeight="1">
      <c r="A288" s="155" t="str">
        <f>IFERROR(__xludf.DUMMYFUNCTION("""COMPUTED_VALUE"""),"Sbahog")</f>
        <v>Sbahog</v>
      </c>
      <c r="B288" s="149" t="str">
        <f>IFERROR(__xludf.DUMMYFUNCTION("""COMPUTED_VALUE"""),"Montreal")</f>
        <v>Montreal</v>
      </c>
      <c r="C288" s="149" t="str">
        <f>IFERROR(__xludf.DUMMYFUNCTION("""COMPUTED_VALUE"""),"QC")</f>
        <v>QC</v>
      </c>
      <c r="D288" s="149" t="str">
        <f>IFERROR(__xludf.DUMMYFUNCTION("""COMPUTED_VALUE"""),"Canada")</f>
        <v>Canada</v>
      </c>
      <c r="E288" s="156">
        <f>IFERROR(__xludf.DUMMYFUNCTION("""COMPUTED_VALUE"""),44418.0)</f>
        <v>44418</v>
      </c>
      <c r="F288" s="129">
        <f>IFERROR(__xludf.DUMMYFUNCTION("""COMPUTED_VALUE"""),44505.0)</f>
        <v>44505</v>
      </c>
      <c r="G288" s="154" t="str">
        <f>IFERROR(__xludf.DUMMYFUNCTION("""COMPUTED_VALUE"""),"Email")</f>
        <v>Email</v>
      </c>
      <c r="H288" s="131"/>
      <c r="I288" s="144"/>
      <c r="J288" s="129"/>
      <c r="K288" s="133">
        <f>IFERROR(__xludf.DUMMYFUNCTION("""COMPUTED_VALUE"""),87.0)</f>
        <v>87</v>
      </c>
      <c r="L288" s="133"/>
      <c r="M288" s="133"/>
      <c r="N288" s="152" t="str">
        <f>IFERROR(__xludf.DUMMYFUNCTION("""COMPUTED_VALUE"""),"Model 3 SR+")</f>
        <v>Model 3 SR+</v>
      </c>
      <c r="O288" s="152" t="str">
        <f>IFERROR(__xludf.DUMMYFUNCTION("""COMPUTED_VALUE"""),"Solid Black")</f>
        <v>Solid Black</v>
      </c>
      <c r="P288" s="153" t="str">
        <f>IFERROR(__xludf.DUMMYFUNCTION("""COMPUTED_VALUE"""),"18 inch")</f>
        <v>18 inch</v>
      </c>
      <c r="Q288" s="152" t="str">
        <f>IFERROR(__xludf.DUMMYFUNCTION("""COMPUTED_VALUE"""),"All Black")</f>
        <v>All Black</v>
      </c>
      <c r="R288" s="149" t="str">
        <f>IFERROR(__xludf.DUMMYFUNCTION("""COMPUTED_VALUE"""),"Autopilot included")</f>
        <v>Autopilot included</v>
      </c>
      <c r="S288" s="149" t="str">
        <f>IFERROR(__xludf.DUMMYFUNCTION("""COMPUTED_VALUE"""),"Loan")</f>
        <v>Loan</v>
      </c>
      <c r="T288" s="145" t="str">
        <f>IFERROR(__xludf.DUMMYFUNCTION("""COMPUTED_VALUE"""),"Mazda CX-5")</f>
        <v>Mazda CX-5</v>
      </c>
      <c r="U288" s="145" t="str">
        <f>IFERROR(__xludf.DUMMYFUNCTION("""COMPUTED_VALUE"""),"Electric!")</f>
        <v>Electric!</v>
      </c>
      <c r="V288" s="145" t="str">
        <f>IFERROR(__xludf.DUMMYFUNCTION("""COMPUTED_VALUE"""),"Heated steering wheel")</f>
        <v>Heated steering wheel</v>
      </c>
      <c r="W288" s="136"/>
      <c r="X288" s="158"/>
      <c r="Y288" s="138"/>
      <c r="Z288" s="138"/>
      <c r="AA288" s="138"/>
      <c r="AB288" s="138"/>
      <c r="AC288" s="139"/>
      <c r="AD288" s="139"/>
      <c r="AE288" s="139"/>
      <c r="AF288" s="140"/>
      <c r="AG288" s="136"/>
      <c r="AH288" s="157">
        <f>IFERROR(__xludf.DUMMYFUNCTION("""COMPUTED_VALUE"""),44508.59121194445)</f>
        <v>44508.59121</v>
      </c>
      <c r="AI288" s="138"/>
      <c r="AJ288" s="138"/>
      <c r="AK288" s="138"/>
      <c r="AL288" s="142"/>
    </row>
    <row r="289" ht="20.25" customHeight="1">
      <c r="A289" s="155" t="str">
        <f>IFERROR(__xludf.DUMMYFUNCTION("""COMPUTED_VALUE"""),"kilmanjaro")</f>
        <v>kilmanjaro</v>
      </c>
      <c r="B289" s="149"/>
      <c r="C289" s="149" t="str">
        <f>IFERROR(__xludf.DUMMYFUNCTION("""COMPUTED_VALUE"""),"OK")</f>
        <v>OK</v>
      </c>
      <c r="D289" s="149" t="str">
        <f>IFERROR(__xludf.DUMMYFUNCTION("""COMPUTED_VALUE"""),"USA")</f>
        <v>USA</v>
      </c>
      <c r="E289" s="156">
        <f>IFERROR(__xludf.DUMMYFUNCTION("""COMPUTED_VALUE"""),44417.0)</f>
        <v>44417</v>
      </c>
      <c r="F289" s="129"/>
      <c r="G289" s="154"/>
      <c r="H289" s="131"/>
      <c r="I289" s="144"/>
      <c r="J289" s="129"/>
      <c r="K289" s="133"/>
      <c r="L289" s="133"/>
      <c r="M289" s="133"/>
      <c r="N289" s="152" t="str">
        <f>IFERROR(__xludf.DUMMYFUNCTION("""COMPUTED_VALUE"""),"Model 3 LR AWD")</f>
        <v>Model 3 LR AWD</v>
      </c>
      <c r="O289" s="152" t="str">
        <f>IFERROR(__xludf.DUMMYFUNCTION("""COMPUTED_VALUE"""),"Deep Blue Metallic")</f>
        <v>Deep Blue Metallic</v>
      </c>
      <c r="P289" s="153" t="str">
        <f>IFERROR(__xludf.DUMMYFUNCTION("""COMPUTED_VALUE"""),"18 inch")</f>
        <v>18 inch</v>
      </c>
      <c r="Q289" s="152" t="str">
        <f>IFERROR(__xludf.DUMMYFUNCTION("""COMPUTED_VALUE"""),"All Black")</f>
        <v>All Black</v>
      </c>
      <c r="R289" s="149" t="str">
        <f>IFERROR(__xludf.DUMMYFUNCTION("""COMPUTED_VALUE"""),"Autopilot included")</f>
        <v>Autopilot included</v>
      </c>
      <c r="S289" s="149" t="str">
        <f>IFERROR(__xludf.DUMMYFUNCTION("""COMPUTED_VALUE"""),"Loan")</f>
        <v>Loan</v>
      </c>
      <c r="T289" s="145" t="str">
        <f>IFERROR(__xludf.DUMMYFUNCTION("""COMPUTED_VALUE"""),"Lexus IS 350")</f>
        <v>Lexus IS 350</v>
      </c>
      <c r="U289" s="145" t="str">
        <f>IFERROR(__xludf.DUMMYFUNCTION("""COMPUTED_VALUE"""),"Electric!")</f>
        <v>Electric!</v>
      </c>
      <c r="V289" s="145" t="str">
        <f>IFERROR(__xludf.DUMMYFUNCTION("""COMPUTED_VALUE"""),"Head-up display")</f>
        <v>Head-up display</v>
      </c>
      <c r="W289" s="136"/>
      <c r="X289" s="137"/>
      <c r="Y289" s="138"/>
      <c r="Z289" s="138"/>
      <c r="AA289" s="138"/>
      <c r="AB289" s="138"/>
      <c r="AC289" s="139"/>
      <c r="AD289" s="139"/>
      <c r="AE289" s="139"/>
      <c r="AF289" s="140"/>
      <c r="AG289" s="136"/>
      <c r="AH289" s="157">
        <f>IFERROR(__xludf.DUMMYFUNCTION("""COMPUTED_VALUE"""),44421.61546057871)</f>
        <v>44421.61546</v>
      </c>
      <c r="AI289" s="138"/>
      <c r="AJ289" s="138"/>
      <c r="AK289" s="138"/>
      <c r="AL289" s="142"/>
    </row>
    <row r="290" ht="20.25" customHeight="1">
      <c r="A290" s="155" t="str">
        <f>IFERROR(__xludf.DUMMYFUNCTION("""COMPUTED_VALUE"""),"Model3FriscoTX")</f>
        <v>Model3FriscoTX</v>
      </c>
      <c r="B290" s="149" t="str">
        <f>IFERROR(__xludf.DUMMYFUNCTION("""COMPUTED_VALUE"""),"Frisco, TX")</f>
        <v>Frisco, TX</v>
      </c>
      <c r="C290" s="149" t="str">
        <f>IFERROR(__xludf.DUMMYFUNCTION("""COMPUTED_VALUE"""),"TX")</f>
        <v>TX</v>
      </c>
      <c r="D290" s="149" t="str">
        <f>IFERROR(__xludf.DUMMYFUNCTION("""COMPUTED_VALUE"""),"USA")</f>
        <v>USA</v>
      </c>
      <c r="E290" s="156">
        <f>IFERROR(__xludf.DUMMYFUNCTION("""COMPUTED_VALUE"""),44417.0)</f>
        <v>44417</v>
      </c>
      <c r="F290" s="129">
        <f>IFERROR(__xludf.DUMMYFUNCTION("""COMPUTED_VALUE"""),44449.0)</f>
        <v>44449</v>
      </c>
      <c r="G290" s="154" t="str">
        <f>IFERROR(__xludf.DUMMYFUNCTION("""COMPUTED_VALUE"""),"Manage order page (normal text)")</f>
        <v>Manage order page (normal text)</v>
      </c>
      <c r="H290" s="131">
        <f>IFERROR(__xludf.DUMMYFUNCTION("""COMPUTED_VALUE"""),61965.0)</f>
        <v>61965</v>
      </c>
      <c r="I290" s="144"/>
      <c r="J290" s="129"/>
      <c r="K290" s="133">
        <f>IFERROR(__xludf.DUMMYFUNCTION("""COMPUTED_VALUE"""),32.0)</f>
        <v>32</v>
      </c>
      <c r="L290" s="133"/>
      <c r="M290" s="133"/>
      <c r="N290" s="152" t="str">
        <f>IFERROR(__xludf.DUMMYFUNCTION("""COMPUTED_VALUE"""),"Model 3 LR AWD")</f>
        <v>Model 3 LR AWD</v>
      </c>
      <c r="O290" s="152" t="str">
        <f>IFERROR(__xludf.DUMMYFUNCTION("""COMPUTED_VALUE"""),"Pearl White Multi-Coat")</f>
        <v>Pearl White Multi-Coat</v>
      </c>
      <c r="P290" s="153" t="str">
        <f>IFERROR(__xludf.DUMMYFUNCTION("""COMPUTED_VALUE"""),"18 inch")</f>
        <v>18 inch</v>
      </c>
      <c r="Q290" s="152" t="str">
        <f>IFERROR(__xludf.DUMMYFUNCTION("""COMPUTED_VALUE"""),"Black and White")</f>
        <v>Black and White</v>
      </c>
      <c r="R290" s="149" t="str">
        <f>IFERROR(__xludf.DUMMYFUNCTION("""COMPUTED_VALUE"""),"Autopilot included")</f>
        <v>Autopilot included</v>
      </c>
      <c r="S290" s="149" t="str">
        <f>IFERROR(__xludf.DUMMYFUNCTION("""COMPUTED_VALUE"""),"Cash")</f>
        <v>Cash</v>
      </c>
      <c r="T290" s="145" t="str">
        <f>IFERROR(__xludf.DUMMYFUNCTION("""COMPUTED_VALUE"""),"BMW 3 Series")</f>
        <v>BMW 3 Series</v>
      </c>
      <c r="U290" s="145" t="str">
        <f>IFERROR(__xludf.DUMMYFUNCTION("""COMPUTED_VALUE"""),"Electric!")</f>
        <v>Electric!</v>
      </c>
      <c r="V290" s="145" t="str">
        <f>IFERROR(__xludf.DUMMYFUNCTION("""COMPUTED_VALUE"""),"Apple CarPlay / Android Auto / SiriusXM Radio")</f>
        <v>Apple CarPlay / Android Auto / SiriusXM Radio</v>
      </c>
      <c r="W290" s="145"/>
      <c r="X290" s="137"/>
      <c r="Y290" s="138"/>
      <c r="Z290" s="138"/>
      <c r="AA290" s="138"/>
      <c r="AB290" s="138"/>
      <c r="AC290" s="139"/>
      <c r="AD290" s="139"/>
      <c r="AE290" s="139"/>
      <c r="AF290" s="140"/>
      <c r="AG290" s="145"/>
      <c r="AH290" s="157">
        <f>IFERROR(__xludf.DUMMYFUNCTION("""COMPUTED_VALUE"""),44449.49526552083)</f>
        <v>44449.49527</v>
      </c>
      <c r="AI290" s="138"/>
      <c r="AJ290" s="138"/>
      <c r="AK290" s="138"/>
      <c r="AL290" s="142"/>
    </row>
    <row r="291" ht="20.25" customHeight="1">
      <c r="A291" s="155" t="str">
        <f>IFERROR(__xludf.DUMMYFUNCTION("""COMPUTED_VALUE"""),"rknight2021")</f>
        <v>rknight2021</v>
      </c>
      <c r="B291" s="149" t="str">
        <f>IFERROR(__xludf.DUMMYFUNCTION("""COMPUTED_VALUE"""),"Los Angeles")</f>
        <v>Los Angeles</v>
      </c>
      <c r="C291" s="149" t="str">
        <f>IFERROR(__xludf.DUMMYFUNCTION("""COMPUTED_VALUE"""),"CA")</f>
        <v>CA</v>
      </c>
      <c r="D291" s="149" t="str">
        <f>IFERROR(__xludf.DUMMYFUNCTION("""COMPUTED_VALUE"""),"USA")</f>
        <v>USA</v>
      </c>
      <c r="E291" s="156">
        <f>IFERROR(__xludf.DUMMYFUNCTION("""COMPUTED_VALUE"""),44417.0)</f>
        <v>44417</v>
      </c>
      <c r="F291" s="129">
        <f>IFERROR(__xludf.DUMMYFUNCTION("""COMPUTED_VALUE"""),44453.0)</f>
        <v>44453</v>
      </c>
      <c r="G291" s="154" t="str">
        <f>IFERROR(__xludf.DUMMYFUNCTION("""COMPUTED_VALUE"""),"Manage order page (normal text)")</f>
        <v>Manage order page (normal text)</v>
      </c>
      <c r="H291" s="131">
        <f>IFERROR(__xludf.DUMMYFUNCTION("""COMPUTED_VALUE"""),66096.0)</f>
        <v>66096</v>
      </c>
      <c r="I291" s="132" t="str">
        <f>IFERROR(__xludf.DUMMYFUNCTION("""COMPUTED_VALUE"""),"09/21")</f>
        <v>09/21</v>
      </c>
      <c r="J291" s="129"/>
      <c r="K291" s="133">
        <f>IFERROR(__xludf.DUMMYFUNCTION("""COMPUTED_VALUE"""),36.0)</f>
        <v>36</v>
      </c>
      <c r="L291" s="133"/>
      <c r="M291" s="133"/>
      <c r="N291" s="152" t="str">
        <f>IFERROR(__xludf.DUMMYFUNCTION("""COMPUTED_VALUE"""),"Model 3 Performance")</f>
        <v>Model 3 Performance</v>
      </c>
      <c r="O291" s="152" t="str">
        <f>IFERROR(__xludf.DUMMYFUNCTION("""COMPUTED_VALUE"""),"Red Multi-Coat")</f>
        <v>Red Multi-Coat</v>
      </c>
      <c r="P291" s="153" t="str">
        <f>IFERROR(__xludf.DUMMYFUNCTION("""COMPUTED_VALUE"""),"20 inch")</f>
        <v>20 inch</v>
      </c>
      <c r="Q291" s="152" t="str">
        <f>IFERROR(__xludf.DUMMYFUNCTION("""COMPUTED_VALUE"""),"All Black")</f>
        <v>All Black</v>
      </c>
      <c r="R291" s="150" t="str">
        <f>IFERROR(__xludf.DUMMYFUNCTION("""COMPUTED_VALUE"""),"Full Self-Driving")</f>
        <v>Full Self-Driving</v>
      </c>
      <c r="S291" s="150" t="str">
        <f>IFERROR(__xludf.DUMMYFUNCTION("""COMPUTED_VALUE"""),"Loan")</f>
        <v>Loan</v>
      </c>
      <c r="T291" s="136" t="str">
        <f>IFERROR(__xludf.DUMMYFUNCTION("""COMPUTED_VALUE"""),"Tesla Model 3")</f>
        <v>Tesla Model 3</v>
      </c>
      <c r="U291" s="136" t="str">
        <f>IFERROR(__xludf.DUMMYFUNCTION("""COMPUTED_VALUE"""),"Tesla brand image")</f>
        <v>Tesla brand image</v>
      </c>
      <c r="V291" s="136"/>
      <c r="W291" s="136"/>
      <c r="X291" s="137" t="str">
        <f>IFERROR(__xludf.DUMMYFUNCTION("""COMPUTED_VALUE"""),"Very Good")</f>
        <v>Very Good</v>
      </c>
      <c r="Y291" s="138" t="str">
        <f>IFERROR(__xludf.DUMMYFUNCTION("""COMPUTED_VALUE"""),"Good")</f>
        <v>Good</v>
      </c>
      <c r="Z291" s="138" t="str">
        <f>IFERROR(__xludf.DUMMYFUNCTION("""COMPUTED_VALUE"""),"Excellent")</f>
        <v>Excellent</v>
      </c>
      <c r="AA291" s="138" t="str">
        <f>IFERROR(__xludf.DUMMYFUNCTION("""COMPUTED_VALUE"""),"Good")</f>
        <v>Good</v>
      </c>
      <c r="AB291" s="138" t="str">
        <f>IFERROR(__xludf.DUMMYFUNCTION("""COMPUTED_VALUE"""),"Fair")</f>
        <v>Fair</v>
      </c>
      <c r="AC291" s="139"/>
      <c r="AD291" s="139"/>
      <c r="AE291" s="139"/>
      <c r="AF291" s="140"/>
      <c r="AG291" s="136"/>
      <c r="AH291" s="157">
        <f>IFERROR(__xludf.DUMMYFUNCTION("""COMPUTED_VALUE"""),44453.24951552084)</f>
        <v>44453.24952</v>
      </c>
      <c r="AI291" s="138"/>
      <c r="AJ291" s="138"/>
      <c r="AK291" s="138"/>
      <c r="AL291" s="142"/>
    </row>
    <row r="292" ht="20.25" customHeight="1">
      <c r="A292" s="155" t="str">
        <f>IFERROR(__xludf.DUMMYFUNCTION("""COMPUTED_VALUE"""),"rknight2021")</f>
        <v>rknight2021</v>
      </c>
      <c r="B292" s="149" t="str">
        <f>IFERROR(__xludf.DUMMYFUNCTION("""COMPUTED_VALUE"""),"Los Angeles")</f>
        <v>Los Angeles</v>
      </c>
      <c r="C292" s="149" t="str">
        <f>IFERROR(__xludf.DUMMYFUNCTION("""COMPUTED_VALUE"""),"CA")</f>
        <v>CA</v>
      </c>
      <c r="D292" s="149" t="str">
        <f>IFERROR(__xludf.DUMMYFUNCTION("""COMPUTED_VALUE"""),"USA")</f>
        <v>USA</v>
      </c>
      <c r="E292" s="156">
        <f>IFERROR(__xludf.DUMMYFUNCTION("""COMPUTED_VALUE"""),44417.0)</f>
        <v>44417</v>
      </c>
      <c r="F292" s="129"/>
      <c r="G292" s="154"/>
      <c r="H292" s="131"/>
      <c r="I292" s="144"/>
      <c r="J292" s="129"/>
      <c r="K292" s="133"/>
      <c r="L292" s="133"/>
      <c r="M292" s="133"/>
      <c r="N292" s="152" t="str">
        <f>IFERROR(__xludf.DUMMYFUNCTION("""COMPUTED_VALUE"""),"Model 3 Performance")</f>
        <v>Model 3 Performance</v>
      </c>
      <c r="O292" s="152" t="str">
        <f>IFERROR(__xludf.DUMMYFUNCTION("""COMPUTED_VALUE"""),"Red Multi-Coat")</f>
        <v>Red Multi-Coat</v>
      </c>
      <c r="P292" s="153" t="str">
        <f>IFERROR(__xludf.DUMMYFUNCTION("""COMPUTED_VALUE"""),"20 inch")</f>
        <v>20 inch</v>
      </c>
      <c r="Q292" s="152" t="str">
        <f>IFERROR(__xludf.DUMMYFUNCTION("""COMPUTED_VALUE"""),"All Black")</f>
        <v>All Black</v>
      </c>
      <c r="R292" s="149" t="str">
        <f>IFERROR(__xludf.DUMMYFUNCTION("""COMPUTED_VALUE"""),"Full Self-Driving")</f>
        <v>Full Self-Driving</v>
      </c>
      <c r="S292" s="149" t="str">
        <f>IFERROR(__xludf.DUMMYFUNCTION("""COMPUTED_VALUE"""),"Loan")</f>
        <v>Loan</v>
      </c>
      <c r="T292" s="145" t="str">
        <f>IFERROR(__xludf.DUMMYFUNCTION("""COMPUTED_VALUE"""),"Tesla Model 3")</f>
        <v>Tesla Model 3</v>
      </c>
      <c r="U292" s="145" t="str">
        <f>IFERROR(__xludf.DUMMYFUNCTION("""COMPUTED_VALUE"""),"Tesla brand image")</f>
        <v>Tesla brand image</v>
      </c>
      <c r="V292" s="145" t="str">
        <f>IFERROR(__xludf.DUMMYFUNCTION("""COMPUTED_VALUE"""),"Ventilated seats")</f>
        <v>Ventilated seats</v>
      </c>
      <c r="W292" s="136"/>
      <c r="X292" s="137"/>
      <c r="Y292" s="138"/>
      <c r="Z292" s="138"/>
      <c r="AA292" s="138"/>
      <c r="AB292" s="138"/>
      <c r="AC292" s="139"/>
      <c r="AD292" s="139"/>
      <c r="AE292" s="139"/>
      <c r="AF292" s="140"/>
      <c r="AG292" s="136"/>
      <c r="AH292" s="157">
        <f>IFERROR(__xludf.DUMMYFUNCTION("""COMPUTED_VALUE"""),44430.55977674769)</f>
        <v>44430.55978</v>
      </c>
      <c r="AI292" s="138"/>
      <c r="AJ292" s="138"/>
      <c r="AK292" s="138"/>
      <c r="AL292" s="142"/>
    </row>
    <row r="293" ht="20.25" customHeight="1">
      <c r="A293" s="155" t="str">
        <f>IFERROR(__xludf.DUMMYFUNCTION("""COMPUTED_VALUE"""),"RoiDuNord")</f>
        <v>RoiDuNord</v>
      </c>
      <c r="B293" s="149" t="str">
        <f>IFERROR(__xludf.DUMMYFUNCTION("""COMPUTED_VALUE"""),"Trenton")</f>
        <v>Trenton</v>
      </c>
      <c r="C293" s="149" t="str">
        <f>IFERROR(__xludf.DUMMYFUNCTION("""COMPUTED_VALUE"""),"ME")</f>
        <v>ME</v>
      </c>
      <c r="D293" s="149" t="str">
        <f>IFERROR(__xludf.DUMMYFUNCTION("""COMPUTED_VALUE"""),"USA")</f>
        <v>USA</v>
      </c>
      <c r="E293" s="156">
        <f>IFERROR(__xludf.DUMMYFUNCTION("""COMPUTED_VALUE"""),44417.0)</f>
        <v>44417</v>
      </c>
      <c r="F293" s="129"/>
      <c r="G293" s="154"/>
      <c r="H293" s="131"/>
      <c r="I293" s="144"/>
      <c r="J293" s="129"/>
      <c r="K293" s="133"/>
      <c r="L293" s="133"/>
      <c r="M293" s="133"/>
      <c r="N293" s="152" t="str">
        <f>IFERROR(__xludf.DUMMYFUNCTION("""COMPUTED_VALUE"""),"Model 3 LR AWD")</f>
        <v>Model 3 LR AWD</v>
      </c>
      <c r="O293" s="152" t="str">
        <f>IFERROR(__xludf.DUMMYFUNCTION("""COMPUTED_VALUE"""),"Deep Blue Metallic")</f>
        <v>Deep Blue Metallic</v>
      </c>
      <c r="P293" s="153" t="str">
        <f>IFERROR(__xludf.DUMMYFUNCTION("""COMPUTED_VALUE"""),"18 inch")</f>
        <v>18 inch</v>
      </c>
      <c r="Q293" s="152" t="str">
        <f>IFERROR(__xludf.DUMMYFUNCTION("""COMPUTED_VALUE"""),"All Black")</f>
        <v>All Black</v>
      </c>
      <c r="R293" s="149" t="str">
        <f>IFERROR(__xludf.DUMMYFUNCTION("""COMPUTED_VALUE"""),"Autopilot included")</f>
        <v>Autopilot included</v>
      </c>
      <c r="S293" s="149" t="str">
        <f>IFERROR(__xludf.DUMMYFUNCTION("""COMPUTED_VALUE"""),"Cash")</f>
        <v>Cash</v>
      </c>
      <c r="T293" s="145" t="str">
        <f>IFERROR(__xludf.DUMMYFUNCTION("""COMPUTED_VALUE"""),"Toyota Tacoma")</f>
        <v>Toyota Tacoma</v>
      </c>
      <c r="U293" s="145" t="str">
        <f>IFERROR(__xludf.DUMMYFUNCTION("""COMPUTED_VALUE"""),"Supercharger V3 support")</f>
        <v>Supercharger V3 support</v>
      </c>
      <c r="V293" s="145" t="str">
        <f>IFERROR(__xludf.DUMMYFUNCTION("""COMPUTED_VALUE"""),"Apple CarPlay / Android Auto / SiriusXM Radio")</f>
        <v>Apple CarPlay / Android Auto / SiriusXM Radio</v>
      </c>
      <c r="W293" s="136"/>
      <c r="X293" s="137"/>
      <c r="Y293" s="138"/>
      <c r="Z293" s="138"/>
      <c r="AA293" s="138"/>
      <c r="AB293" s="138"/>
      <c r="AC293" s="139"/>
      <c r="AD293" s="139"/>
      <c r="AE293" s="139"/>
      <c r="AF293" s="140"/>
      <c r="AG293" s="136"/>
      <c r="AH293" s="157">
        <f>IFERROR(__xludf.DUMMYFUNCTION("""COMPUTED_VALUE"""),44419.6920171875)</f>
        <v>44419.69202</v>
      </c>
      <c r="AI293" s="138"/>
      <c r="AJ293" s="138"/>
      <c r="AK293" s="138"/>
      <c r="AL293" s="142"/>
    </row>
    <row r="294" ht="20.25" customHeight="1">
      <c r="A294" s="155" t="str">
        <f>IFERROR(__xludf.DUMMYFUNCTION("""COMPUTED_VALUE"""),"Telbirtg")</f>
        <v>Telbirtg</v>
      </c>
      <c r="B294" s="149" t="str">
        <f>IFERROR(__xludf.DUMMYFUNCTION("""COMPUTED_VALUE"""),"Oakland")</f>
        <v>Oakland</v>
      </c>
      <c r="C294" s="149" t="str">
        <f>IFERROR(__xludf.DUMMYFUNCTION("""COMPUTED_VALUE"""),"CA")</f>
        <v>CA</v>
      </c>
      <c r="D294" s="149" t="str">
        <f>IFERROR(__xludf.DUMMYFUNCTION("""COMPUTED_VALUE"""),"USA")</f>
        <v>USA</v>
      </c>
      <c r="E294" s="156">
        <f>IFERROR(__xludf.DUMMYFUNCTION("""COMPUTED_VALUE"""),44417.0)</f>
        <v>44417</v>
      </c>
      <c r="F294" s="129">
        <f>IFERROR(__xludf.DUMMYFUNCTION("""COMPUTED_VALUE"""),44500.0)</f>
        <v>44500</v>
      </c>
      <c r="G294" s="154" t="str">
        <f>IFERROR(__xludf.DUMMYFUNCTION("""COMPUTED_VALUE"""),"Manage order page (normal text)")</f>
        <v>Manage order page (normal text)</v>
      </c>
      <c r="H294" s="131">
        <f>IFERROR(__xludf.DUMMYFUNCTION("""COMPUTED_VALUE"""),98455.0)</f>
        <v>98455</v>
      </c>
      <c r="I294" s="144"/>
      <c r="J294" s="129">
        <f>IFERROR(__xludf.DUMMYFUNCTION("""COMPUTED_VALUE"""),44503.0)</f>
        <v>44503</v>
      </c>
      <c r="K294" s="133">
        <f>IFERROR(__xludf.DUMMYFUNCTION("""COMPUTED_VALUE"""),83.0)</f>
        <v>83</v>
      </c>
      <c r="L294" s="133">
        <f>IFERROR(__xludf.DUMMYFUNCTION("""COMPUTED_VALUE"""),3.0)</f>
        <v>3</v>
      </c>
      <c r="M294" s="133">
        <f>IFERROR(__xludf.DUMMYFUNCTION("""COMPUTED_VALUE"""),86.0)</f>
        <v>86</v>
      </c>
      <c r="N294" s="152" t="str">
        <f>IFERROR(__xludf.DUMMYFUNCTION("""COMPUTED_VALUE"""),"Model 3 SR+")</f>
        <v>Model 3 SR+</v>
      </c>
      <c r="O294" s="152" t="str">
        <f>IFERROR(__xludf.DUMMYFUNCTION("""COMPUTED_VALUE"""),"Midnight Silver Metallic")</f>
        <v>Midnight Silver Metallic</v>
      </c>
      <c r="P294" s="153" t="str">
        <f>IFERROR(__xludf.DUMMYFUNCTION("""COMPUTED_VALUE"""),"18 inch")</f>
        <v>18 inch</v>
      </c>
      <c r="Q294" s="152" t="str">
        <f>IFERROR(__xludf.DUMMYFUNCTION("""COMPUTED_VALUE"""),"All Black")</f>
        <v>All Black</v>
      </c>
      <c r="R294" s="149" t="str">
        <f>IFERROR(__xludf.DUMMYFUNCTION("""COMPUTED_VALUE"""),"Autopilot included")</f>
        <v>Autopilot included</v>
      </c>
      <c r="S294" s="149" t="str">
        <f>IFERROR(__xludf.DUMMYFUNCTION("""COMPUTED_VALUE"""),"Loan")</f>
        <v>Loan</v>
      </c>
      <c r="T294" s="145" t="str">
        <f>IFERROR(__xludf.DUMMYFUNCTION("""COMPUTED_VALUE"""),"Model 3 will be my first car!")</f>
        <v>Model 3 will be my first car!</v>
      </c>
      <c r="U294" s="145" t="str">
        <f>IFERROR(__xludf.DUMMYFUNCTION("""COMPUTED_VALUE"""),"Autopilot")</f>
        <v>Autopilot</v>
      </c>
      <c r="V294" s="145" t="str">
        <f>IFERROR(__xludf.DUMMYFUNCTION("""COMPUTED_VALUE"""),"360° Bird's eye view")</f>
        <v>360° Bird's eye view</v>
      </c>
      <c r="W294" s="136"/>
      <c r="X294" s="137"/>
      <c r="Y294" s="138"/>
      <c r="Z294" s="138"/>
      <c r="AA294" s="138"/>
      <c r="AB294" s="138"/>
      <c r="AC294" s="139"/>
      <c r="AD294" s="139"/>
      <c r="AE294" s="139"/>
      <c r="AF294" s="140"/>
      <c r="AG294" s="136"/>
      <c r="AH294" s="157">
        <f>IFERROR(__xludf.DUMMYFUNCTION("""COMPUTED_VALUE"""),44501.398772754634)</f>
        <v>44501.39877</v>
      </c>
      <c r="AI294" s="138"/>
      <c r="AJ294" s="138"/>
      <c r="AK294" s="138"/>
      <c r="AL294" s="142"/>
    </row>
    <row r="295" ht="20.25" customHeight="1">
      <c r="A295" s="155" t="str">
        <f>IFERROR(__xludf.DUMMYFUNCTION("""COMPUTED_VALUE"""),"Ithron")</f>
        <v>Ithron</v>
      </c>
      <c r="B295" s="149" t="str">
        <f>IFERROR(__xludf.DUMMYFUNCTION("""COMPUTED_VALUE"""),"Atlanta")</f>
        <v>Atlanta</v>
      </c>
      <c r="C295" s="149" t="str">
        <f>IFERROR(__xludf.DUMMYFUNCTION("""COMPUTED_VALUE"""),"GA")</f>
        <v>GA</v>
      </c>
      <c r="D295" s="149" t="str">
        <f>IFERROR(__xludf.DUMMYFUNCTION("""COMPUTED_VALUE"""),"USA")</f>
        <v>USA</v>
      </c>
      <c r="E295" s="156">
        <f>IFERROR(__xludf.DUMMYFUNCTION("""COMPUTED_VALUE"""),44416.0)</f>
        <v>44416</v>
      </c>
      <c r="F295" s="129">
        <f>IFERROR(__xludf.DUMMYFUNCTION("""COMPUTED_VALUE"""),44425.0)</f>
        <v>44425</v>
      </c>
      <c r="G295" s="154" t="str">
        <f>IFERROR(__xludf.DUMMYFUNCTION("""COMPUTED_VALUE"""),"Manage order page (normal text)")</f>
        <v>Manage order page (normal text)</v>
      </c>
      <c r="H295" s="131">
        <f>IFERROR(__xludf.DUMMYFUNCTION("""COMPUTED_VALUE"""),44455.0)</f>
        <v>44455</v>
      </c>
      <c r="I295" s="144"/>
      <c r="J295" s="129">
        <f>IFERROR(__xludf.DUMMYFUNCTION("""COMPUTED_VALUE"""),44441.0)</f>
        <v>44441</v>
      </c>
      <c r="K295" s="133">
        <f>IFERROR(__xludf.DUMMYFUNCTION("""COMPUTED_VALUE"""),9.0)</f>
        <v>9</v>
      </c>
      <c r="L295" s="133">
        <f>IFERROR(__xludf.DUMMYFUNCTION("""COMPUTED_VALUE"""),16.0)</f>
        <v>16</v>
      </c>
      <c r="M295" s="133">
        <f>IFERROR(__xludf.DUMMYFUNCTION("""COMPUTED_VALUE"""),25.0)</f>
        <v>25</v>
      </c>
      <c r="N295" s="152" t="str">
        <f>IFERROR(__xludf.DUMMYFUNCTION("""COMPUTED_VALUE"""),"Model 3 Performance")</f>
        <v>Model 3 Performance</v>
      </c>
      <c r="O295" s="152" t="str">
        <f>IFERROR(__xludf.DUMMYFUNCTION("""COMPUTED_VALUE"""),"Red Multi-Coat")</f>
        <v>Red Multi-Coat</v>
      </c>
      <c r="P295" s="153" t="str">
        <f>IFERROR(__xludf.DUMMYFUNCTION("""COMPUTED_VALUE"""),"20 inch")</f>
        <v>20 inch</v>
      </c>
      <c r="Q295" s="152" t="str">
        <f>IFERROR(__xludf.DUMMYFUNCTION("""COMPUTED_VALUE"""),"All Black")</f>
        <v>All Black</v>
      </c>
      <c r="R295" s="149" t="str">
        <f>IFERROR(__xludf.DUMMYFUNCTION("""COMPUTED_VALUE"""),"Autopilot included")</f>
        <v>Autopilot included</v>
      </c>
      <c r="S295" s="149" t="str">
        <f>IFERROR(__xludf.DUMMYFUNCTION("""COMPUTED_VALUE"""),"Cash")</f>
        <v>Cash</v>
      </c>
      <c r="T295" s="145" t="str">
        <f>IFERROR(__xludf.DUMMYFUNCTION("""COMPUTED_VALUE"""),"Honda Civic")</f>
        <v>Honda Civic</v>
      </c>
      <c r="U295" s="145" t="str">
        <f>IFERROR(__xludf.DUMMYFUNCTION("""COMPUTED_VALUE"""),"Tech and constant updates")</f>
        <v>Tech and constant updates</v>
      </c>
      <c r="V295" s="145" t="str">
        <f>IFERROR(__xludf.DUMMYFUNCTION("""COMPUTED_VALUE"""),"Automatically open side-cameras when indicating to change lanes")</f>
        <v>Automatically open side-cameras when indicating to change lanes</v>
      </c>
      <c r="W295" s="136"/>
      <c r="X295" s="137"/>
      <c r="Y295" s="138"/>
      <c r="Z295" s="138"/>
      <c r="AA295" s="138"/>
      <c r="AB295" s="138"/>
      <c r="AC295" s="139"/>
      <c r="AD295" s="139"/>
      <c r="AE295" s="139"/>
      <c r="AF295" s="140"/>
      <c r="AG295" s="136"/>
      <c r="AH295" s="157">
        <f>IFERROR(__xludf.DUMMYFUNCTION("""COMPUTED_VALUE"""),44428.28879738426)</f>
        <v>44428.2888</v>
      </c>
      <c r="AI295" s="138"/>
      <c r="AJ295" s="138"/>
      <c r="AK295" s="138"/>
      <c r="AL295" s="142"/>
    </row>
    <row r="296" ht="20.25" customHeight="1">
      <c r="A296" s="155" t="str">
        <f>IFERROR(__xludf.DUMMYFUNCTION("""COMPUTED_VALUE"""),"kn")</f>
        <v>kn</v>
      </c>
      <c r="B296" s="149" t="str">
        <f>IFERROR(__xludf.DUMMYFUNCTION("""COMPUTED_VALUE"""),"Montreal")</f>
        <v>Montreal</v>
      </c>
      <c r="C296" s="149" t="str">
        <f>IFERROR(__xludf.DUMMYFUNCTION("""COMPUTED_VALUE"""),"QC")</f>
        <v>QC</v>
      </c>
      <c r="D296" s="149" t="str">
        <f>IFERROR(__xludf.DUMMYFUNCTION("""COMPUTED_VALUE"""),"Canada")</f>
        <v>Canada</v>
      </c>
      <c r="E296" s="156">
        <f>IFERROR(__xludf.DUMMYFUNCTION("""COMPUTED_VALUE"""),44416.0)</f>
        <v>44416</v>
      </c>
      <c r="F296" s="129">
        <f>IFERROR(__xludf.DUMMYFUNCTION("""COMPUTED_VALUE"""),44493.0)</f>
        <v>44493</v>
      </c>
      <c r="G296" s="154" t="str">
        <f>IFERROR(__xludf.DUMMYFUNCTION("""COMPUTED_VALUE"""),"Source code")</f>
        <v>Source code</v>
      </c>
      <c r="H296" s="131"/>
      <c r="I296" s="132"/>
      <c r="J296" s="129">
        <f>IFERROR(__xludf.DUMMYFUNCTION("""COMPUTED_VALUE"""),44506.0)</f>
        <v>44506</v>
      </c>
      <c r="K296" s="133">
        <f>IFERROR(__xludf.DUMMYFUNCTION("""COMPUTED_VALUE"""),77.0)</f>
        <v>77</v>
      </c>
      <c r="L296" s="133">
        <f>IFERROR(__xludf.DUMMYFUNCTION("""COMPUTED_VALUE"""),13.0)</f>
        <v>13</v>
      </c>
      <c r="M296" s="133">
        <f>IFERROR(__xludf.DUMMYFUNCTION("""COMPUTED_VALUE"""),90.0)</f>
        <v>90</v>
      </c>
      <c r="N296" s="152" t="str">
        <f>IFERROR(__xludf.DUMMYFUNCTION("""COMPUTED_VALUE"""),"Model 3 SR+")</f>
        <v>Model 3 SR+</v>
      </c>
      <c r="O296" s="152" t="str">
        <f>IFERROR(__xludf.DUMMYFUNCTION("""COMPUTED_VALUE"""),"Pearl White Multi-Coat")</f>
        <v>Pearl White Multi-Coat</v>
      </c>
      <c r="P296" s="153" t="str">
        <f>IFERROR(__xludf.DUMMYFUNCTION("""COMPUTED_VALUE"""),"18 inch")</f>
        <v>18 inch</v>
      </c>
      <c r="Q296" s="152" t="str">
        <f>IFERROR(__xludf.DUMMYFUNCTION("""COMPUTED_VALUE"""),"All Black")</f>
        <v>All Black</v>
      </c>
      <c r="R296" s="150" t="str">
        <f>IFERROR(__xludf.DUMMYFUNCTION("""COMPUTED_VALUE"""),"Autopilot included")</f>
        <v>Autopilot included</v>
      </c>
      <c r="S296" s="150" t="str">
        <f>IFERROR(__xludf.DUMMYFUNCTION("""COMPUTED_VALUE"""),"Loan")</f>
        <v>Loan</v>
      </c>
      <c r="T296" s="136" t="str">
        <f>IFERROR(__xludf.DUMMYFUNCTION("""COMPUTED_VALUE"""),"Honda Accord")</f>
        <v>Honda Accord</v>
      </c>
      <c r="U296" s="136" t="str">
        <f>IFERROR(__xludf.DUMMYFUNCTION("""COMPUTED_VALUE"""),"Electric!")</f>
        <v>Electric!</v>
      </c>
      <c r="V296" s="136"/>
      <c r="W296" s="136"/>
      <c r="X296" s="137"/>
      <c r="Y296" s="138"/>
      <c r="Z296" s="138"/>
      <c r="AA296" s="138"/>
      <c r="AB296" s="138"/>
      <c r="AC296" s="139"/>
      <c r="AD296" s="139"/>
      <c r="AE296" s="139"/>
      <c r="AF296" s="140"/>
      <c r="AG296" s="136"/>
      <c r="AH296" s="157">
        <f>IFERROR(__xludf.DUMMYFUNCTION("""COMPUTED_VALUE"""),44502.44051995371)</f>
        <v>44502.44052</v>
      </c>
      <c r="AI296" s="138"/>
      <c r="AJ296" s="138"/>
      <c r="AK296" s="138"/>
      <c r="AL296" s="142"/>
    </row>
    <row r="297" ht="20.25" customHeight="1">
      <c r="A297" s="155" t="str">
        <f>IFERROR(__xludf.DUMMYFUNCTION("""COMPUTED_VALUE"""),"Mike K")</f>
        <v>Mike K</v>
      </c>
      <c r="B297" s="150" t="str">
        <f>IFERROR(__xludf.DUMMYFUNCTION("""COMPUTED_VALUE"""),"Houston")</f>
        <v>Houston</v>
      </c>
      <c r="C297" s="150" t="str">
        <f>IFERROR(__xludf.DUMMYFUNCTION("""COMPUTED_VALUE"""),"TX")</f>
        <v>TX</v>
      </c>
      <c r="D297" s="150" t="str">
        <f>IFERROR(__xludf.DUMMYFUNCTION("""COMPUTED_VALUE"""),"USA")</f>
        <v>USA</v>
      </c>
      <c r="E297" s="156">
        <f>IFERROR(__xludf.DUMMYFUNCTION("""COMPUTED_VALUE"""),44416.0)</f>
        <v>44416</v>
      </c>
      <c r="F297" s="129">
        <f>IFERROR(__xludf.DUMMYFUNCTION("""COMPUTED_VALUE"""),44439.0)</f>
        <v>44439</v>
      </c>
      <c r="G297" s="154" t="str">
        <f>IFERROR(__xludf.DUMMYFUNCTION("""COMPUTED_VALUE"""),"Email")</f>
        <v>Email</v>
      </c>
      <c r="H297" s="131">
        <f>IFERROR(__xludf.DUMMYFUNCTION("""COMPUTED_VALUE"""),55798.0)</f>
        <v>55798</v>
      </c>
      <c r="I297" s="144"/>
      <c r="J297" s="129"/>
      <c r="K297" s="133">
        <f>IFERROR(__xludf.DUMMYFUNCTION("""COMPUTED_VALUE"""),23.0)</f>
        <v>23</v>
      </c>
      <c r="L297" s="133"/>
      <c r="M297" s="133"/>
      <c r="N297" s="152" t="str">
        <f>IFERROR(__xludf.DUMMYFUNCTION("""COMPUTED_VALUE"""),"Model 3 Performance")</f>
        <v>Model 3 Performance</v>
      </c>
      <c r="O297" s="152" t="str">
        <f>IFERROR(__xludf.DUMMYFUNCTION("""COMPUTED_VALUE"""),"Solid Black")</f>
        <v>Solid Black</v>
      </c>
      <c r="P297" s="153" t="str">
        <f>IFERROR(__xludf.DUMMYFUNCTION("""COMPUTED_VALUE"""),"20 inch")</f>
        <v>20 inch</v>
      </c>
      <c r="Q297" s="152" t="str">
        <f>IFERROR(__xludf.DUMMYFUNCTION("""COMPUTED_VALUE"""),"All Black")</f>
        <v>All Black</v>
      </c>
      <c r="R297" s="149" t="str">
        <f>IFERROR(__xludf.DUMMYFUNCTION("""COMPUTED_VALUE"""),"Autopilot included")</f>
        <v>Autopilot included</v>
      </c>
      <c r="S297" s="149" t="str">
        <f>IFERROR(__xludf.DUMMYFUNCTION("""COMPUTED_VALUE"""),"Loan")</f>
        <v>Loan</v>
      </c>
      <c r="T297" s="145" t="str">
        <f>IFERROR(__xludf.DUMMYFUNCTION("""COMPUTED_VALUE"""),"M2")</f>
        <v>M2</v>
      </c>
      <c r="U297" s="145"/>
      <c r="V297" s="145" t="str">
        <f>IFERROR(__xludf.DUMMYFUNCTION("""COMPUTED_VALUE"""),"Head-up display")</f>
        <v>Head-up display</v>
      </c>
      <c r="W297" s="145"/>
      <c r="X297" s="137"/>
      <c r="Y297" s="138"/>
      <c r="Z297" s="138"/>
      <c r="AA297" s="138"/>
      <c r="AB297" s="138"/>
      <c r="AC297" s="139"/>
      <c r="AD297" s="139"/>
      <c r="AE297" s="139"/>
      <c r="AF297" s="140"/>
      <c r="AG297" s="145"/>
      <c r="AH297" s="157">
        <f>IFERROR(__xludf.DUMMYFUNCTION("""COMPUTED_VALUE"""),44439.70173436343)</f>
        <v>44439.70173</v>
      </c>
      <c r="AI297" s="138"/>
      <c r="AJ297" s="138"/>
      <c r="AK297" s="138"/>
      <c r="AL297" s="142"/>
    </row>
    <row r="298" ht="20.25" customHeight="1">
      <c r="A298" s="155" t="str">
        <f>IFERROR(__xludf.DUMMYFUNCTION("""COMPUTED_VALUE"""),"Not_Sure")</f>
        <v>Not_Sure</v>
      </c>
      <c r="B298" s="149" t="str">
        <f>IFERROR(__xludf.DUMMYFUNCTION("""COMPUTED_VALUE"""),"Fort Myers")</f>
        <v>Fort Myers</v>
      </c>
      <c r="C298" s="149" t="str">
        <f>IFERROR(__xludf.DUMMYFUNCTION("""COMPUTED_VALUE"""),"FL")</f>
        <v>FL</v>
      </c>
      <c r="D298" s="149" t="str">
        <f>IFERROR(__xludf.DUMMYFUNCTION("""COMPUTED_VALUE"""),"USA")</f>
        <v>USA</v>
      </c>
      <c r="E298" s="156">
        <f>IFERROR(__xludf.DUMMYFUNCTION("""COMPUTED_VALUE"""),44416.0)</f>
        <v>44416</v>
      </c>
      <c r="F298" s="129"/>
      <c r="G298" s="154"/>
      <c r="H298" s="131"/>
      <c r="I298" s="144"/>
      <c r="J298" s="129"/>
      <c r="K298" s="133"/>
      <c r="L298" s="133"/>
      <c r="M298" s="133"/>
      <c r="N298" s="152" t="str">
        <f>IFERROR(__xludf.DUMMYFUNCTION("""COMPUTED_VALUE"""),"Model 3 SR+")</f>
        <v>Model 3 SR+</v>
      </c>
      <c r="O298" s="152" t="str">
        <f>IFERROR(__xludf.DUMMYFUNCTION("""COMPUTED_VALUE"""),"Solid Black")</f>
        <v>Solid Black</v>
      </c>
      <c r="P298" s="153" t="str">
        <f>IFERROR(__xludf.DUMMYFUNCTION("""COMPUTED_VALUE"""),"18 inch")</f>
        <v>18 inch</v>
      </c>
      <c r="Q298" s="152" t="str">
        <f>IFERROR(__xludf.DUMMYFUNCTION("""COMPUTED_VALUE"""),"All Black")</f>
        <v>All Black</v>
      </c>
      <c r="R298" s="149" t="str">
        <f>IFERROR(__xludf.DUMMYFUNCTION("""COMPUTED_VALUE"""),"Autopilot included")</f>
        <v>Autopilot included</v>
      </c>
      <c r="S298" s="149" t="str">
        <f>IFERROR(__xludf.DUMMYFUNCTION("""COMPUTED_VALUE"""),"Loan")</f>
        <v>Loan</v>
      </c>
      <c r="T298" s="145" t="str">
        <f>IFERROR(__xludf.DUMMYFUNCTION("""COMPUTED_VALUE"""),"Audi A4")</f>
        <v>Audi A4</v>
      </c>
      <c r="U298" s="145" t="str">
        <f>IFERROR(__xludf.DUMMYFUNCTION("""COMPUTED_VALUE"""),"Electric!")</f>
        <v>Electric!</v>
      </c>
      <c r="V298" s="145" t="str">
        <f>IFERROR(__xludf.DUMMYFUNCTION("""COMPUTED_VALUE"""),"Ventilated seats")</f>
        <v>Ventilated seats</v>
      </c>
      <c r="W298" s="145"/>
      <c r="X298" s="137"/>
      <c r="Y298" s="138"/>
      <c r="Z298" s="138"/>
      <c r="AA298" s="138"/>
      <c r="AB298" s="138"/>
      <c r="AC298" s="139"/>
      <c r="AD298" s="139"/>
      <c r="AE298" s="139"/>
      <c r="AF298" s="140"/>
      <c r="AG298" s="145"/>
      <c r="AH298" s="157">
        <f>IFERROR(__xludf.DUMMYFUNCTION("""COMPUTED_VALUE"""),44421.334473449075)</f>
        <v>44421.33447</v>
      </c>
      <c r="AI298" s="138"/>
      <c r="AJ298" s="138"/>
      <c r="AK298" s="138"/>
      <c r="AL298" s="142"/>
    </row>
    <row r="299" ht="20.25" customHeight="1">
      <c r="A299" s="155" t="str">
        <f>IFERROR(__xludf.DUMMYFUNCTION("""COMPUTED_VALUE"""),"someCat")</f>
        <v>someCat</v>
      </c>
      <c r="B299" s="149" t="str">
        <f>IFERROR(__xludf.DUMMYFUNCTION("""COMPUTED_VALUE"""),"Montreal")</f>
        <v>Montreal</v>
      </c>
      <c r="C299" s="149" t="str">
        <f>IFERROR(__xludf.DUMMYFUNCTION("""COMPUTED_VALUE"""),"QC")</f>
        <v>QC</v>
      </c>
      <c r="D299" s="149" t="str">
        <f>IFERROR(__xludf.DUMMYFUNCTION("""COMPUTED_VALUE"""),"Canada")</f>
        <v>Canada</v>
      </c>
      <c r="E299" s="156">
        <f>IFERROR(__xludf.DUMMYFUNCTION("""COMPUTED_VALUE"""),44416.0)</f>
        <v>44416</v>
      </c>
      <c r="F299" s="129">
        <f>IFERROR(__xludf.DUMMYFUNCTION("""COMPUTED_VALUE"""),44493.0)</f>
        <v>44493</v>
      </c>
      <c r="G299" s="154" t="str">
        <f>IFERROR(__xludf.DUMMYFUNCTION("""COMPUTED_VALUE"""),"Source code")</f>
        <v>Source code</v>
      </c>
      <c r="H299" s="131">
        <f>IFERROR(__xludf.DUMMYFUNCTION("""COMPUTED_VALUE"""),95355.0)</f>
        <v>95355</v>
      </c>
      <c r="I299" s="144"/>
      <c r="J299" s="129">
        <f>IFERROR(__xludf.DUMMYFUNCTION("""COMPUTED_VALUE"""),44506.0)</f>
        <v>44506</v>
      </c>
      <c r="K299" s="133">
        <f>IFERROR(__xludf.DUMMYFUNCTION("""COMPUTED_VALUE"""),77.0)</f>
        <v>77</v>
      </c>
      <c r="L299" s="133">
        <f>IFERROR(__xludf.DUMMYFUNCTION("""COMPUTED_VALUE"""),13.0)</f>
        <v>13</v>
      </c>
      <c r="M299" s="133">
        <f>IFERROR(__xludf.DUMMYFUNCTION("""COMPUTED_VALUE"""),90.0)</f>
        <v>90</v>
      </c>
      <c r="N299" s="152" t="str">
        <f>IFERROR(__xludf.DUMMYFUNCTION("""COMPUTED_VALUE"""),"Model 3 SR+")</f>
        <v>Model 3 SR+</v>
      </c>
      <c r="O299" s="152" t="str">
        <f>IFERROR(__xludf.DUMMYFUNCTION("""COMPUTED_VALUE"""),"Pearl White Multi-Coat")</f>
        <v>Pearl White Multi-Coat</v>
      </c>
      <c r="P299" s="153" t="str">
        <f>IFERROR(__xludf.DUMMYFUNCTION("""COMPUTED_VALUE"""),"18 inch")</f>
        <v>18 inch</v>
      </c>
      <c r="Q299" s="152" t="str">
        <f>IFERROR(__xludf.DUMMYFUNCTION("""COMPUTED_VALUE"""),"All Black")</f>
        <v>All Black</v>
      </c>
      <c r="R299" s="149" t="str">
        <f>IFERROR(__xludf.DUMMYFUNCTION("""COMPUTED_VALUE"""),"Autopilot included")</f>
        <v>Autopilot included</v>
      </c>
      <c r="S299" s="149" t="str">
        <f>IFERROR(__xludf.DUMMYFUNCTION("""COMPUTED_VALUE"""),"Loan")</f>
        <v>Loan</v>
      </c>
      <c r="T299" s="145" t="str">
        <f>IFERROR(__xludf.DUMMYFUNCTION("""COMPUTED_VALUE"""),"Model 3 will be my first car!")</f>
        <v>Model 3 will be my first car!</v>
      </c>
      <c r="U299" s="145" t="str">
        <f>IFERROR(__xludf.DUMMYFUNCTION("""COMPUTED_VALUE"""),"Electric!")</f>
        <v>Electric!</v>
      </c>
      <c r="V299" s="145"/>
      <c r="W299" s="145"/>
      <c r="X299" s="137"/>
      <c r="Y299" s="138"/>
      <c r="Z299" s="138"/>
      <c r="AA299" s="138"/>
      <c r="AB299" s="138"/>
      <c r="AC299" s="139"/>
      <c r="AD299" s="139"/>
      <c r="AE299" s="139"/>
      <c r="AF299" s="140"/>
      <c r="AG299" s="145"/>
      <c r="AH299" s="157">
        <f>IFERROR(__xludf.DUMMYFUNCTION("""COMPUTED_VALUE"""),44499.65288542824)</f>
        <v>44499.65289</v>
      </c>
      <c r="AI299" s="138"/>
      <c r="AJ299" s="138"/>
      <c r="AK299" s="138"/>
      <c r="AL299" s="142"/>
    </row>
    <row r="300" ht="20.25" customHeight="1">
      <c r="A300" s="155" t="str">
        <f>IFERROR(__xludf.DUMMYFUNCTION("""COMPUTED_VALUE"""),"YongS QC")</f>
        <v>YongS QC</v>
      </c>
      <c r="B300" s="149" t="str">
        <f>IFERROR(__xludf.DUMMYFUNCTION("""COMPUTED_VALUE"""),"Montreal")</f>
        <v>Montreal</v>
      </c>
      <c r="C300" s="149" t="str">
        <f>IFERROR(__xludf.DUMMYFUNCTION("""COMPUTED_VALUE"""),"QC")</f>
        <v>QC</v>
      </c>
      <c r="D300" s="149" t="str">
        <f>IFERROR(__xludf.DUMMYFUNCTION("""COMPUTED_VALUE"""),"Canada")</f>
        <v>Canada</v>
      </c>
      <c r="E300" s="156">
        <f>IFERROR(__xludf.DUMMYFUNCTION("""COMPUTED_VALUE"""),44416.0)</f>
        <v>44416</v>
      </c>
      <c r="F300" s="129">
        <f>IFERROR(__xludf.DUMMYFUNCTION("""COMPUTED_VALUE"""),44493.0)</f>
        <v>44493</v>
      </c>
      <c r="G300" s="154" t="str">
        <f>IFERROR(__xludf.DUMMYFUNCTION("""COMPUTED_VALUE"""),"Source code")</f>
        <v>Source code</v>
      </c>
      <c r="H300" s="131">
        <f>IFERROR(__xludf.DUMMYFUNCTION("""COMPUTED_VALUE"""),94155.0)</f>
        <v>94155</v>
      </c>
      <c r="I300" s="144"/>
      <c r="J300" s="129">
        <f>IFERROR(__xludf.DUMMYFUNCTION("""COMPUTED_VALUE"""),44506.0)</f>
        <v>44506</v>
      </c>
      <c r="K300" s="133">
        <f>IFERROR(__xludf.DUMMYFUNCTION("""COMPUTED_VALUE"""),77.0)</f>
        <v>77</v>
      </c>
      <c r="L300" s="133">
        <f>IFERROR(__xludf.DUMMYFUNCTION("""COMPUTED_VALUE"""),13.0)</f>
        <v>13</v>
      </c>
      <c r="M300" s="133">
        <f>IFERROR(__xludf.DUMMYFUNCTION("""COMPUTED_VALUE"""),90.0)</f>
        <v>90</v>
      </c>
      <c r="N300" s="152" t="str">
        <f>IFERROR(__xludf.DUMMYFUNCTION("""COMPUTED_VALUE"""),"Model 3 SR+")</f>
        <v>Model 3 SR+</v>
      </c>
      <c r="O300" s="152" t="str">
        <f>IFERROR(__xludf.DUMMYFUNCTION("""COMPUTED_VALUE"""),"Pearl White Multi-Coat")</f>
        <v>Pearl White Multi-Coat</v>
      </c>
      <c r="P300" s="153" t="str">
        <f>IFERROR(__xludf.DUMMYFUNCTION("""COMPUTED_VALUE"""),"18 inch")</f>
        <v>18 inch</v>
      </c>
      <c r="Q300" s="152" t="str">
        <f>IFERROR(__xludf.DUMMYFUNCTION("""COMPUTED_VALUE"""),"All Black")</f>
        <v>All Black</v>
      </c>
      <c r="R300" s="149" t="str">
        <f>IFERROR(__xludf.DUMMYFUNCTION("""COMPUTED_VALUE"""),"Autopilot included")</f>
        <v>Autopilot included</v>
      </c>
      <c r="S300" s="149" t="str">
        <f>IFERROR(__xludf.DUMMYFUNCTION("""COMPUTED_VALUE"""),"Cash")</f>
        <v>Cash</v>
      </c>
      <c r="T300" s="145"/>
      <c r="U300" s="145" t="str">
        <f>IFERROR(__xludf.DUMMYFUNCTION("""COMPUTED_VALUE"""),"Electric!")</f>
        <v>Electric!</v>
      </c>
      <c r="V300" s="145" t="str">
        <f>IFERROR(__xludf.DUMMYFUNCTION("""COMPUTED_VALUE"""),"Ventilated seats")</f>
        <v>Ventilated seats</v>
      </c>
      <c r="W300" s="136"/>
      <c r="X300" s="137"/>
      <c r="Y300" s="138"/>
      <c r="Z300" s="138"/>
      <c r="AA300" s="138"/>
      <c r="AB300" s="138"/>
      <c r="AC300" s="139"/>
      <c r="AD300" s="139"/>
      <c r="AE300" s="139"/>
      <c r="AF300" s="140" t="str">
        <f>IFERROR(__xludf.DUMMYFUNCTION("""COMPUTED_VALUE"""),"No. I took delivery of the first car Tesla was able to deliver.")</f>
        <v>No. I took delivery of the first car Tesla was able to deliver.</v>
      </c>
      <c r="AG300" s="136"/>
      <c r="AH300" s="157">
        <f>IFERROR(__xludf.DUMMYFUNCTION("""COMPUTED_VALUE"""),44506.681509849535)</f>
        <v>44506.68151</v>
      </c>
      <c r="AI300" s="138"/>
      <c r="AJ300" s="138"/>
      <c r="AK300" s="138"/>
      <c r="AL300" s="142"/>
    </row>
    <row r="301" ht="20.25" customHeight="1">
      <c r="A301" s="155" t="str">
        <f>IFERROR(__xludf.DUMMYFUNCTION("""COMPUTED_VALUE"""),"D-Dogg")</f>
        <v>D-Dogg</v>
      </c>
      <c r="B301" s="149"/>
      <c r="C301" s="149" t="str">
        <f>IFERROR(__xludf.DUMMYFUNCTION("""COMPUTED_VALUE"""),"VA")</f>
        <v>VA</v>
      </c>
      <c r="D301" s="149" t="str">
        <f>IFERROR(__xludf.DUMMYFUNCTION("""COMPUTED_VALUE"""),"USA")</f>
        <v>USA</v>
      </c>
      <c r="E301" s="156">
        <f>IFERROR(__xludf.DUMMYFUNCTION("""COMPUTED_VALUE"""),44415.0)</f>
        <v>44415</v>
      </c>
      <c r="F301" s="129"/>
      <c r="G301" s="154"/>
      <c r="H301" s="131"/>
      <c r="I301" s="144"/>
      <c r="J301" s="129"/>
      <c r="K301" s="133"/>
      <c r="L301" s="133"/>
      <c r="M301" s="133"/>
      <c r="N301" s="152" t="str">
        <f>IFERROR(__xludf.DUMMYFUNCTION("""COMPUTED_VALUE"""),"Model 3 LR AWD")</f>
        <v>Model 3 LR AWD</v>
      </c>
      <c r="O301" s="152" t="str">
        <f>IFERROR(__xludf.DUMMYFUNCTION("""COMPUTED_VALUE"""),"Midnight Silver Metallic")</f>
        <v>Midnight Silver Metallic</v>
      </c>
      <c r="P301" s="153" t="str">
        <f>IFERROR(__xludf.DUMMYFUNCTION("""COMPUTED_VALUE"""),"18 inch")</f>
        <v>18 inch</v>
      </c>
      <c r="Q301" s="152" t="str">
        <f>IFERROR(__xludf.DUMMYFUNCTION("""COMPUTED_VALUE"""),"All Black")</f>
        <v>All Black</v>
      </c>
      <c r="R301" s="149" t="str">
        <f>IFERROR(__xludf.DUMMYFUNCTION("""COMPUTED_VALUE"""),"Autopilot included")</f>
        <v>Autopilot included</v>
      </c>
      <c r="S301" s="149" t="str">
        <f>IFERROR(__xludf.DUMMYFUNCTION("""COMPUTED_VALUE"""),"Loan")</f>
        <v>Loan</v>
      </c>
      <c r="T301" s="145"/>
      <c r="U301" s="145"/>
      <c r="V301" s="145"/>
      <c r="W301" s="145"/>
      <c r="X301" s="137"/>
      <c r="Y301" s="138"/>
      <c r="Z301" s="138"/>
      <c r="AA301" s="138"/>
      <c r="AB301" s="138"/>
      <c r="AC301" s="139"/>
      <c r="AD301" s="139"/>
      <c r="AE301" s="139"/>
      <c r="AF301" s="140"/>
      <c r="AG301" s="145"/>
      <c r="AH301" s="157">
        <f>IFERROR(__xludf.DUMMYFUNCTION("""COMPUTED_VALUE"""),44426.56417216435)</f>
        <v>44426.56417</v>
      </c>
      <c r="AI301" s="138"/>
      <c r="AJ301" s="138"/>
      <c r="AK301" s="138"/>
      <c r="AL301" s="142"/>
    </row>
    <row r="302" ht="20.25" customHeight="1">
      <c r="A302" s="155" t="str">
        <f>IFERROR(__xludf.DUMMYFUNCTION("""COMPUTED_VALUE"""),"mickey05")</f>
        <v>mickey05</v>
      </c>
      <c r="B302" s="150" t="str">
        <f>IFERROR(__xludf.DUMMYFUNCTION("""COMPUTED_VALUE"""),"Hayward")</f>
        <v>Hayward</v>
      </c>
      <c r="C302" s="149" t="str">
        <f>IFERROR(__xludf.DUMMYFUNCTION("""COMPUTED_VALUE"""),"CA")</f>
        <v>CA</v>
      </c>
      <c r="D302" s="149" t="str">
        <f>IFERROR(__xludf.DUMMYFUNCTION("""COMPUTED_VALUE"""),"USA")</f>
        <v>USA</v>
      </c>
      <c r="E302" s="156">
        <f>IFERROR(__xludf.DUMMYFUNCTION("""COMPUTED_VALUE"""),44415.0)</f>
        <v>44415</v>
      </c>
      <c r="F302" s="129">
        <f>IFERROR(__xludf.DUMMYFUNCTION("""COMPUTED_VALUE"""),44461.0)</f>
        <v>44461</v>
      </c>
      <c r="G302" s="154" t="str">
        <f>IFERROR(__xludf.DUMMYFUNCTION("""COMPUTED_VALUE"""),"Manage order page (normal text)")</f>
        <v>Manage order page (normal text)</v>
      </c>
      <c r="H302" s="131">
        <f>IFERROR(__xludf.DUMMYFUNCTION("""COMPUTED_VALUE"""),72955.0)</f>
        <v>72955</v>
      </c>
      <c r="I302" s="132"/>
      <c r="J302" s="129">
        <f>IFERROR(__xludf.DUMMYFUNCTION("""COMPUTED_VALUE"""),44462.0)</f>
        <v>44462</v>
      </c>
      <c r="K302" s="133">
        <f>IFERROR(__xludf.DUMMYFUNCTION("""COMPUTED_VALUE"""),46.0)</f>
        <v>46</v>
      </c>
      <c r="L302" s="133">
        <f>IFERROR(__xludf.DUMMYFUNCTION("""COMPUTED_VALUE"""),1.0)</f>
        <v>1</v>
      </c>
      <c r="M302" s="133">
        <f>IFERROR(__xludf.DUMMYFUNCTION("""COMPUTED_VALUE"""),47.0)</f>
        <v>47</v>
      </c>
      <c r="N302" s="152" t="str">
        <f>IFERROR(__xludf.DUMMYFUNCTION("""COMPUTED_VALUE"""),"Model 3 LR AWD")</f>
        <v>Model 3 LR AWD</v>
      </c>
      <c r="O302" s="152" t="str">
        <f>IFERROR(__xludf.DUMMYFUNCTION("""COMPUTED_VALUE"""),"Pearl White Multi-Coat")</f>
        <v>Pearl White Multi-Coat</v>
      </c>
      <c r="P302" s="153" t="str">
        <f>IFERROR(__xludf.DUMMYFUNCTION("""COMPUTED_VALUE"""),"18 inch")</f>
        <v>18 inch</v>
      </c>
      <c r="Q302" s="152" t="str">
        <f>IFERROR(__xludf.DUMMYFUNCTION("""COMPUTED_VALUE"""),"All Black")</f>
        <v>All Black</v>
      </c>
      <c r="R302" s="150" t="str">
        <f>IFERROR(__xludf.DUMMYFUNCTION("""COMPUTED_VALUE"""),"Autopilot included")</f>
        <v>Autopilot included</v>
      </c>
      <c r="S302" s="150" t="str">
        <f>IFERROR(__xludf.DUMMYFUNCTION("""COMPUTED_VALUE"""),"Loan")</f>
        <v>Loan</v>
      </c>
      <c r="T302" s="136" t="str">
        <f>IFERROR(__xludf.DUMMYFUNCTION("""COMPUTED_VALUE"""),"no car")</f>
        <v>no car</v>
      </c>
      <c r="U302" s="136" t="str">
        <f>IFERROR(__xludf.DUMMYFUNCTION("""COMPUTED_VALUE"""),"Electric!")</f>
        <v>Electric!</v>
      </c>
      <c r="V302" s="136" t="str">
        <f>IFERROR(__xludf.DUMMYFUNCTION("""COMPUTED_VALUE"""),"Apple CarPlay / Android Auto / SiriusXM Radio")</f>
        <v>Apple CarPlay / Android Auto / SiriusXM Radio</v>
      </c>
      <c r="W302" s="136"/>
      <c r="X302" s="137"/>
      <c r="Y302" s="138"/>
      <c r="Z302" s="138"/>
      <c r="AA302" s="138"/>
      <c r="AB302" s="138"/>
      <c r="AC302" s="139"/>
      <c r="AD302" s="139"/>
      <c r="AE302" s="139"/>
      <c r="AF302" s="140"/>
      <c r="AG302" s="136"/>
      <c r="AH302" s="157">
        <f>IFERROR(__xludf.DUMMYFUNCTION("""COMPUTED_VALUE"""),44462.53276516204)</f>
        <v>44462.53277</v>
      </c>
      <c r="AI302" s="138"/>
      <c r="AJ302" s="138"/>
      <c r="AK302" s="138"/>
      <c r="AL302" s="142"/>
    </row>
    <row r="303" ht="20.25" customHeight="1">
      <c r="A303" s="155" t="str">
        <f>IFERROR(__xludf.DUMMYFUNCTION("""COMPUTED_VALUE"""),"SuperVisual")</f>
        <v>SuperVisual</v>
      </c>
      <c r="B303" s="149" t="str">
        <f>IFERROR(__xludf.DUMMYFUNCTION("""COMPUTED_VALUE"""),"Hove")</f>
        <v>Hove</v>
      </c>
      <c r="C303" s="149"/>
      <c r="D303" s="149" t="str">
        <f>IFERROR(__xludf.DUMMYFUNCTION("""COMPUTED_VALUE"""),"United Kingdom")</f>
        <v>United Kingdom</v>
      </c>
      <c r="E303" s="156">
        <f>IFERROR(__xludf.DUMMYFUNCTION("""COMPUTED_VALUE"""),44415.0)</f>
        <v>44415</v>
      </c>
      <c r="F303" s="129">
        <f>IFERROR(__xludf.DUMMYFUNCTION("""COMPUTED_VALUE"""),44428.0)</f>
        <v>44428</v>
      </c>
      <c r="G303" s="154" t="str">
        <f>IFERROR(__xludf.DUMMYFUNCTION("""COMPUTED_VALUE"""),"Source code")</f>
        <v>Source code</v>
      </c>
      <c r="H303" s="131">
        <f>IFERROR(__xludf.DUMMYFUNCTION("""COMPUTED_VALUE"""),335255.0)</f>
        <v>335255</v>
      </c>
      <c r="I303" s="144"/>
      <c r="J303" s="129"/>
      <c r="K303" s="133">
        <f>IFERROR(__xludf.DUMMYFUNCTION("""COMPUTED_VALUE"""),13.0)</f>
        <v>13</v>
      </c>
      <c r="L303" s="133"/>
      <c r="M303" s="133"/>
      <c r="N303" s="152" t="str">
        <f>IFERROR(__xludf.DUMMYFUNCTION("""COMPUTED_VALUE"""),"Model 3 SR+")</f>
        <v>Model 3 SR+</v>
      </c>
      <c r="O303" s="152" t="str">
        <f>IFERROR(__xludf.DUMMYFUNCTION("""COMPUTED_VALUE"""),"Pearl White Multi-Coat")</f>
        <v>Pearl White Multi-Coat</v>
      </c>
      <c r="P303" s="153" t="str">
        <f>IFERROR(__xludf.DUMMYFUNCTION("""COMPUTED_VALUE"""),"18 inch")</f>
        <v>18 inch</v>
      </c>
      <c r="Q303" s="152" t="str">
        <f>IFERROR(__xludf.DUMMYFUNCTION("""COMPUTED_VALUE"""),"All Black")</f>
        <v>All Black</v>
      </c>
      <c r="R303" s="149" t="str">
        <f>IFERROR(__xludf.DUMMYFUNCTION("""COMPUTED_VALUE"""),"Autopilot included")</f>
        <v>Autopilot included</v>
      </c>
      <c r="S303" s="149" t="str">
        <f>IFERROR(__xludf.DUMMYFUNCTION("""COMPUTED_VALUE"""),"Loan")</f>
        <v>Loan</v>
      </c>
      <c r="T303" s="145" t="str">
        <f>IFERROR(__xludf.DUMMYFUNCTION("""COMPUTED_VALUE"""),"Model 3 will be my first car!")</f>
        <v>Model 3 will be my first car!</v>
      </c>
      <c r="U303" s="145" t="str">
        <f>IFERROR(__xludf.DUMMYFUNCTION("""COMPUTED_VALUE"""),"Electric!")</f>
        <v>Electric!</v>
      </c>
      <c r="V303" s="145" t="str">
        <f>IFERROR(__xludf.DUMMYFUNCTION("""COMPUTED_VALUE"""),"Apple CarPlay / Android Auto / SiriusXM Radio")</f>
        <v>Apple CarPlay / Android Auto / SiriusXM Radio</v>
      </c>
      <c r="W303" s="136"/>
      <c r="X303" s="137"/>
      <c r="Y303" s="138"/>
      <c r="Z303" s="138"/>
      <c r="AA303" s="138"/>
      <c r="AB303" s="138"/>
      <c r="AC303" s="139"/>
      <c r="AD303" s="139"/>
      <c r="AE303" s="139"/>
      <c r="AF303" s="140"/>
      <c r="AG303" s="136"/>
      <c r="AH303" s="157">
        <f>IFERROR(__xludf.DUMMYFUNCTION("""COMPUTED_VALUE"""),44428.125320949075)</f>
        <v>44428.12532</v>
      </c>
      <c r="AI303" s="138"/>
      <c r="AJ303" s="138"/>
      <c r="AK303" s="138"/>
      <c r="AL303" s="142"/>
    </row>
    <row r="304" ht="20.25" customHeight="1">
      <c r="A304" s="155" t="str">
        <f>IFERROR(__xludf.DUMMYFUNCTION("""COMPUTED_VALUE"""),"chrdumas")</f>
        <v>chrdumas</v>
      </c>
      <c r="B304" s="149" t="str">
        <f>IFERROR(__xludf.DUMMYFUNCTION("""COMPUTED_VALUE"""),"Laval")</f>
        <v>Laval</v>
      </c>
      <c r="C304" s="149" t="str">
        <f>IFERROR(__xludf.DUMMYFUNCTION("""COMPUTED_VALUE"""),"QC")</f>
        <v>QC</v>
      </c>
      <c r="D304" s="149" t="str">
        <f>IFERROR(__xludf.DUMMYFUNCTION("""COMPUTED_VALUE"""),"Canada")</f>
        <v>Canada</v>
      </c>
      <c r="E304" s="156">
        <f>IFERROR(__xludf.DUMMYFUNCTION("""COMPUTED_VALUE"""),44414.0)</f>
        <v>44414</v>
      </c>
      <c r="F304" s="129">
        <f>IFERROR(__xludf.DUMMYFUNCTION("""COMPUTED_VALUE"""),44491.0)</f>
        <v>44491</v>
      </c>
      <c r="G304" s="154" t="str">
        <f>IFERROR(__xludf.DUMMYFUNCTION("""COMPUTED_VALUE"""),"Source code")</f>
        <v>Source code</v>
      </c>
      <c r="H304" s="131"/>
      <c r="I304" s="144"/>
      <c r="J304" s="129">
        <f>IFERROR(__xludf.DUMMYFUNCTION("""COMPUTED_VALUE"""),44504.0)</f>
        <v>44504</v>
      </c>
      <c r="K304" s="133">
        <f>IFERROR(__xludf.DUMMYFUNCTION("""COMPUTED_VALUE"""),77.0)</f>
        <v>77</v>
      </c>
      <c r="L304" s="133">
        <f>IFERROR(__xludf.DUMMYFUNCTION("""COMPUTED_VALUE"""),13.0)</f>
        <v>13</v>
      </c>
      <c r="M304" s="133">
        <f>IFERROR(__xludf.DUMMYFUNCTION("""COMPUTED_VALUE"""),90.0)</f>
        <v>90</v>
      </c>
      <c r="N304" s="152" t="str">
        <f>IFERROR(__xludf.DUMMYFUNCTION("""COMPUTED_VALUE"""),"Model 3 SR+")</f>
        <v>Model 3 SR+</v>
      </c>
      <c r="O304" s="152" t="str">
        <f>IFERROR(__xludf.DUMMYFUNCTION("""COMPUTED_VALUE"""),"Pearl White Multi-Coat")</f>
        <v>Pearl White Multi-Coat</v>
      </c>
      <c r="P304" s="153" t="str">
        <f>IFERROR(__xludf.DUMMYFUNCTION("""COMPUTED_VALUE"""),"18 inch")</f>
        <v>18 inch</v>
      </c>
      <c r="Q304" s="152" t="str">
        <f>IFERROR(__xludf.DUMMYFUNCTION("""COMPUTED_VALUE"""),"All Black")</f>
        <v>All Black</v>
      </c>
      <c r="R304" s="149" t="str">
        <f>IFERROR(__xludf.DUMMYFUNCTION("""COMPUTED_VALUE"""),"Autopilot included")</f>
        <v>Autopilot included</v>
      </c>
      <c r="S304" s="149" t="str">
        <f>IFERROR(__xludf.DUMMYFUNCTION("""COMPUTED_VALUE"""),"Loan")</f>
        <v>Loan</v>
      </c>
      <c r="T304" s="145" t="str">
        <f>IFERROR(__xludf.DUMMYFUNCTION("""COMPUTED_VALUE"""),"BMW 3 Series")</f>
        <v>BMW 3 Series</v>
      </c>
      <c r="U304" s="145" t="str">
        <f>IFERROR(__xludf.DUMMYFUNCTION("""COMPUTED_VALUE"""),"Electric!")</f>
        <v>Electric!</v>
      </c>
      <c r="V304" s="145" t="str">
        <f>IFERROR(__xludf.DUMMYFUNCTION("""COMPUTED_VALUE"""),"Apple CarPlay / Android Auto / SiriusXM Radio")</f>
        <v>Apple CarPlay / Android Auto / SiriusXM Radio</v>
      </c>
      <c r="W304" s="136"/>
      <c r="X304" s="137"/>
      <c r="Y304" s="138"/>
      <c r="Z304" s="138"/>
      <c r="AA304" s="138"/>
      <c r="AB304" s="138"/>
      <c r="AC304" s="139"/>
      <c r="AD304" s="139"/>
      <c r="AE304" s="139"/>
      <c r="AF304" s="140"/>
      <c r="AG304" s="136"/>
      <c r="AH304" s="157">
        <f>IFERROR(__xludf.DUMMYFUNCTION("""COMPUTED_VALUE"""),44497.59971151621)</f>
        <v>44497.59971</v>
      </c>
      <c r="AI304" s="138"/>
      <c r="AJ304" s="138"/>
      <c r="AK304" s="138"/>
      <c r="AL304" s="142"/>
    </row>
    <row r="305" ht="20.25" customHeight="1">
      <c r="A305" s="155" t="str">
        <f>IFERROR(__xludf.DUMMYFUNCTION("""COMPUTED_VALUE"""),"Sandmaster")</f>
        <v>Sandmaster</v>
      </c>
      <c r="B305" s="149"/>
      <c r="C305" s="149" t="str">
        <f>IFERROR(__xludf.DUMMYFUNCTION("""COMPUTED_VALUE"""),"MN")</f>
        <v>MN</v>
      </c>
      <c r="D305" s="149" t="str">
        <f>IFERROR(__xludf.DUMMYFUNCTION("""COMPUTED_VALUE"""),"USA")</f>
        <v>USA</v>
      </c>
      <c r="E305" s="156">
        <f>IFERROR(__xludf.DUMMYFUNCTION("""COMPUTED_VALUE"""),44414.0)</f>
        <v>44414</v>
      </c>
      <c r="F305" s="129">
        <f>IFERROR(__xludf.DUMMYFUNCTION("""COMPUTED_VALUE"""),44445.0)</f>
        <v>44445</v>
      </c>
      <c r="G305" s="154" t="str">
        <f>IFERROR(__xludf.DUMMYFUNCTION("""COMPUTED_VALUE"""),"Manage order page (normal text)")</f>
        <v>Manage order page (normal text)</v>
      </c>
      <c r="H305" s="131">
        <f>IFERROR(__xludf.DUMMYFUNCTION("""COMPUTED_VALUE"""),60155.0)</f>
        <v>60155</v>
      </c>
      <c r="I305" s="144" t="str">
        <f>IFERROR(__xludf.DUMMYFUNCTION("""COMPUTED_VALUE"""),"09/21")</f>
        <v>09/21</v>
      </c>
      <c r="J305" s="129">
        <f>IFERROR(__xludf.DUMMYFUNCTION("""COMPUTED_VALUE"""),44455.0)</f>
        <v>44455</v>
      </c>
      <c r="K305" s="133">
        <f>IFERROR(__xludf.DUMMYFUNCTION("""COMPUTED_VALUE"""),31.0)</f>
        <v>31</v>
      </c>
      <c r="L305" s="133">
        <f>IFERROR(__xludf.DUMMYFUNCTION("""COMPUTED_VALUE"""),10.0)</f>
        <v>10</v>
      </c>
      <c r="M305" s="133">
        <f>IFERROR(__xludf.DUMMYFUNCTION("""COMPUTED_VALUE"""),41.0)</f>
        <v>41</v>
      </c>
      <c r="N305" s="152" t="str">
        <f>IFERROR(__xludf.DUMMYFUNCTION("""COMPUTED_VALUE"""),"Model 3 LR AWD")</f>
        <v>Model 3 LR AWD</v>
      </c>
      <c r="O305" s="152" t="str">
        <f>IFERROR(__xludf.DUMMYFUNCTION("""COMPUTED_VALUE"""),"Pearl White Multi-Coat")</f>
        <v>Pearl White Multi-Coat</v>
      </c>
      <c r="P305" s="153" t="str">
        <f>IFERROR(__xludf.DUMMYFUNCTION("""COMPUTED_VALUE"""),"19 inch")</f>
        <v>19 inch</v>
      </c>
      <c r="Q305" s="152" t="str">
        <f>IFERROR(__xludf.DUMMYFUNCTION("""COMPUTED_VALUE"""),"All Black")</f>
        <v>All Black</v>
      </c>
      <c r="R305" s="149" t="str">
        <f>IFERROR(__xludf.DUMMYFUNCTION("""COMPUTED_VALUE"""),"Autopilot included")</f>
        <v>Autopilot included</v>
      </c>
      <c r="S305" s="149" t="str">
        <f>IFERROR(__xludf.DUMMYFUNCTION("""COMPUTED_VALUE"""),"Loan")</f>
        <v>Loan</v>
      </c>
      <c r="T305" s="145" t="str">
        <f>IFERROR(__xludf.DUMMYFUNCTION("""COMPUTED_VALUE"""),"Chevy Volt")</f>
        <v>Chevy Volt</v>
      </c>
      <c r="U305" s="145" t="str">
        <f>IFERROR(__xludf.DUMMYFUNCTION("""COMPUTED_VALUE"""),"Charging speeds &amp; charger options/support")</f>
        <v>Charging speeds &amp; charger options/support</v>
      </c>
      <c r="V305" s="145" t="str">
        <f>IFERROR(__xludf.DUMMYFUNCTION("""COMPUTED_VALUE"""),"Ventilated Seats / Blind spot Indicators")</f>
        <v>Ventilated Seats / Blind spot Indicators</v>
      </c>
      <c r="W305" s="136"/>
      <c r="X305" s="137" t="str">
        <f>IFERROR(__xludf.DUMMYFUNCTION("""COMPUTED_VALUE"""),"Excellent")</f>
        <v>Excellent</v>
      </c>
      <c r="Y305" s="138" t="str">
        <f>IFERROR(__xludf.DUMMYFUNCTION("""COMPUTED_VALUE"""),"Excellent")</f>
        <v>Excellent</v>
      </c>
      <c r="Z305" s="138" t="str">
        <f>IFERROR(__xludf.DUMMYFUNCTION("""COMPUTED_VALUE"""),"Excellent")</f>
        <v>Excellent</v>
      </c>
      <c r="AA305" s="138" t="str">
        <f>IFERROR(__xludf.DUMMYFUNCTION("""COMPUTED_VALUE"""),"Very Good")</f>
        <v>Very Good</v>
      </c>
      <c r="AB305" s="138" t="str">
        <f>IFERROR(__xludf.DUMMYFUNCTION("""COMPUTED_VALUE"""),"Excellent")</f>
        <v>Excellent</v>
      </c>
      <c r="AC305" s="139">
        <f>IFERROR(__xludf.DUMMYFUNCTION("""COMPUTED_VALUE"""),0.0)</f>
        <v>0</v>
      </c>
      <c r="AD305" s="139">
        <f>IFERROR(__xludf.DUMMYFUNCTION("""COMPUTED_VALUE"""),0.0)</f>
        <v>0</v>
      </c>
      <c r="AE305" s="139">
        <f>IFERROR(__xludf.DUMMYFUNCTION("""COMPUTED_VALUE"""),0.0)</f>
        <v>0</v>
      </c>
      <c r="AF305" s="140" t="str">
        <f>IFERROR(__xludf.DUMMYFUNCTION("""COMPUTED_VALUE"""),"No. I took delivery of the first car Tesla was able to deliver.")</f>
        <v>No. I took delivery of the first car Tesla was able to deliver.</v>
      </c>
      <c r="AG305" s="136"/>
      <c r="AH305" s="157">
        <f>IFERROR(__xludf.DUMMYFUNCTION("""COMPUTED_VALUE"""),44455.53900009259)</f>
        <v>44455.539</v>
      </c>
      <c r="AI305" s="138"/>
      <c r="AJ305" s="138"/>
      <c r="AK305" s="138"/>
      <c r="AL305" s="142"/>
    </row>
    <row r="306" ht="20.25" customHeight="1">
      <c r="A306" s="155" t="str">
        <f>IFERROR(__xludf.DUMMYFUNCTION("""COMPUTED_VALUE"""),"fossilcreek")</f>
        <v>fossilcreek</v>
      </c>
      <c r="B306" s="149" t="str">
        <f>IFERROR(__xludf.DUMMYFUNCTION("""COMPUTED_VALUE"""),"Fort Worth")</f>
        <v>Fort Worth</v>
      </c>
      <c r="C306" s="149" t="str">
        <f>IFERROR(__xludf.DUMMYFUNCTION("""COMPUTED_VALUE"""),"TX")</f>
        <v>TX</v>
      </c>
      <c r="D306" s="149" t="str">
        <f>IFERROR(__xludf.DUMMYFUNCTION("""COMPUTED_VALUE"""),"USA")</f>
        <v>USA</v>
      </c>
      <c r="E306" s="156">
        <f>IFERROR(__xludf.DUMMYFUNCTION("""COMPUTED_VALUE"""),44413.0)</f>
        <v>44413</v>
      </c>
      <c r="F306" s="129">
        <f>IFERROR(__xludf.DUMMYFUNCTION("""COMPUTED_VALUE"""),44433.0)</f>
        <v>44433</v>
      </c>
      <c r="G306" s="154" t="str">
        <f>IFERROR(__xludf.DUMMYFUNCTION("""COMPUTED_VALUE"""),"Manage order page (normal text)")</f>
        <v>Manage order page (normal text)</v>
      </c>
      <c r="H306" s="131">
        <f>IFERROR(__xludf.DUMMYFUNCTION("""COMPUTED_VALUE"""),49755.0)</f>
        <v>49755</v>
      </c>
      <c r="I306" s="144"/>
      <c r="J306" s="129">
        <f>IFERROR(__xludf.DUMMYFUNCTION("""COMPUTED_VALUE"""),44446.0)</f>
        <v>44446</v>
      </c>
      <c r="K306" s="133">
        <f>IFERROR(__xludf.DUMMYFUNCTION("""COMPUTED_VALUE"""),20.0)</f>
        <v>20</v>
      </c>
      <c r="L306" s="133">
        <f>IFERROR(__xludf.DUMMYFUNCTION("""COMPUTED_VALUE"""),13.0)</f>
        <v>13</v>
      </c>
      <c r="M306" s="133">
        <f>IFERROR(__xludf.DUMMYFUNCTION("""COMPUTED_VALUE"""),33.0)</f>
        <v>33</v>
      </c>
      <c r="N306" s="152" t="str">
        <f>IFERROR(__xludf.DUMMYFUNCTION("""COMPUTED_VALUE"""),"Model 3 Performance")</f>
        <v>Model 3 Performance</v>
      </c>
      <c r="O306" s="152" t="str">
        <f>IFERROR(__xludf.DUMMYFUNCTION("""COMPUTED_VALUE"""),"Deep Blue Metallic")</f>
        <v>Deep Blue Metallic</v>
      </c>
      <c r="P306" s="153" t="str">
        <f>IFERROR(__xludf.DUMMYFUNCTION("""COMPUTED_VALUE"""),"20 inch")</f>
        <v>20 inch</v>
      </c>
      <c r="Q306" s="152" t="str">
        <f>IFERROR(__xludf.DUMMYFUNCTION("""COMPUTED_VALUE"""),"Black and White")</f>
        <v>Black and White</v>
      </c>
      <c r="R306" s="149" t="str">
        <f>IFERROR(__xludf.DUMMYFUNCTION("""COMPUTED_VALUE"""),"Autopilot included")</f>
        <v>Autopilot included</v>
      </c>
      <c r="S306" s="149" t="str">
        <f>IFERROR(__xludf.DUMMYFUNCTION("""COMPUTED_VALUE"""),"Loan")</f>
        <v>Loan</v>
      </c>
      <c r="T306" s="145" t="str">
        <f>IFERROR(__xludf.DUMMYFUNCTION("""COMPUTED_VALUE"""),"KIA Stinger GT1")</f>
        <v>KIA Stinger GT1</v>
      </c>
      <c r="U306" s="145"/>
      <c r="V306" s="145" t="str">
        <f>IFERROR(__xludf.DUMMYFUNCTION("""COMPUTED_VALUE"""),"Ventilated seats")</f>
        <v>Ventilated seats</v>
      </c>
      <c r="W306" s="136"/>
      <c r="X306" s="137" t="str">
        <f>IFERROR(__xludf.DUMMYFUNCTION("""COMPUTED_VALUE"""),"Very Good")</f>
        <v>Very Good</v>
      </c>
      <c r="Y306" s="138" t="str">
        <f>IFERROR(__xludf.DUMMYFUNCTION("""COMPUTED_VALUE"""),"Excellent")</f>
        <v>Excellent</v>
      </c>
      <c r="Z306" s="138" t="str">
        <f>IFERROR(__xludf.DUMMYFUNCTION("""COMPUTED_VALUE"""),"Very Good")</f>
        <v>Very Good</v>
      </c>
      <c r="AA306" s="138" t="str">
        <f>IFERROR(__xludf.DUMMYFUNCTION("""COMPUTED_VALUE"""),"Excellent")</f>
        <v>Excellent</v>
      </c>
      <c r="AB306" s="138" t="str">
        <f>IFERROR(__xludf.DUMMYFUNCTION("""COMPUTED_VALUE"""),"Very Good")</f>
        <v>Very Good</v>
      </c>
      <c r="AC306" s="139"/>
      <c r="AD306" s="139"/>
      <c r="AE306" s="139"/>
      <c r="AF306" s="140" t="str">
        <f>IFERROR(__xludf.DUMMYFUNCTION("""COMPUTED_VALUE"""),"No. I took delivery of the first car Tesla was able to deliver.")</f>
        <v>No. I took delivery of the first car Tesla was able to deliver.</v>
      </c>
      <c r="AG306" s="136"/>
      <c r="AH306" s="157">
        <f>IFERROR(__xludf.DUMMYFUNCTION("""COMPUTED_VALUE"""),44446.50775164352)</f>
        <v>44446.50775</v>
      </c>
      <c r="AI306" s="138"/>
      <c r="AJ306" s="138"/>
      <c r="AK306" s="138"/>
      <c r="AL306" s="142"/>
    </row>
    <row r="307" ht="20.25" customHeight="1">
      <c r="A307" s="155" t="str">
        <f>IFERROR(__xludf.DUMMYFUNCTION("""COMPUTED_VALUE"""),"MKVTDI")</f>
        <v>MKVTDI</v>
      </c>
      <c r="B307" s="149" t="str">
        <f>IFERROR(__xludf.DUMMYFUNCTION("""COMPUTED_VALUE"""),"Frederick")</f>
        <v>Frederick</v>
      </c>
      <c r="C307" s="149" t="str">
        <f>IFERROR(__xludf.DUMMYFUNCTION("""COMPUTED_VALUE"""),"MD")</f>
        <v>MD</v>
      </c>
      <c r="D307" s="149" t="str">
        <f>IFERROR(__xludf.DUMMYFUNCTION("""COMPUTED_VALUE"""),"USA")</f>
        <v>USA</v>
      </c>
      <c r="E307" s="156">
        <f>IFERROR(__xludf.DUMMYFUNCTION("""COMPUTED_VALUE"""),44413.0)</f>
        <v>44413</v>
      </c>
      <c r="F307" s="129">
        <f>IFERROR(__xludf.DUMMYFUNCTION("""COMPUTED_VALUE"""),44433.0)</f>
        <v>44433</v>
      </c>
      <c r="G307" s="154" t="str">
        <f>IFERROR(__xludf.DUMMYFUNCTION("""COMPUTED_VALUE"""),"Manage order page (normal text)")</f>
        <v>Manage order page (normal text)</v>
      </c>
      <c r="H307" s="131">
        <f>IFERROR(__xludf.DUMMYFUNCTION("""COMPUTED_VALUE"""),50532.0)</f>
        <v>50532</v>
      </c>
      <c r="I307" s="144"/>
      <c r="J307" s="129">
        <f>IFERROR(__xludf.DUMMYFUNCTION("""COMPUTED_VALUE"""),44446.0)</f>
        <v>44446</v>
      </c>
      <c r="K307" s="133">
        <f>IFERROR(__xludf.DUMMYFUNCTION("""COMPUTED_VALUE"""),20.0)</f>
        <v>20</v>
      </c>
      <c r="L307" s="133">
        <f>IFERROR(__xludf.DUMMYFUNCTION("""COMPUTED_VALUE"""),13.0)</f>
        <v>13</v>
      </c>
      <c r="M307" s="133">
        <f>IFERROR(__xludf.DUMMYFUNCTION("""COMPUTED_VALUE"""),33.0)</f>
        <v>33</v>
      </c>
      <c r="N307" s="152" t="str">
        <f>IFERROR(__xludf.DUMMYFUNCTION("""COMPUTED_VALUE"""),"Model 3 Performance")</f>
        <v>Model 3 Performance</v>
      </c>
      <c r="O307" s="152" t="str">
        <f>IFERROR(__xludf.DUMMYFUNCTION("""COMPUTED_VALUE"""),"Pearl White Multi-Coat")</f>
        <v>Pearl White Multi-Coat</v>
      </c>
      <c r="P307" s="153" t="str">
        <f>IFERROR(__xludf.DUMMYFUNCTION("""COMPUTED_VALUE"""),"20 inch")</f>
        <v>20 inch</v>
      </c>
      <c r="Q307" s="152" t="str">
        <f>IFERROR(__xludf.DUMMYFUNCTION("""COMPUTED_VALUE"""),"All Black")</f>
        <v>All Black</v>
      </c>
      <c r="R307" s="149" t="str">
        <f>IFERROR(__xludf.DUMMYFUNCTION("""COMPUTED_VALUE"""),"Autopilot included")</f>
        <v>Autopilot included</v>
      </c>
      <c r="S307" s="149" t="str">
        <f>IFERROR(__xludf.DUMMYFUNCTION("""COMPUTED_VALUE"""),"Cash")</f>
        <v>Cash</v>
      </c>
      <c r="T307" s="145" t="str">
        <f>IFERROR(__xludf.DUMMYFUNCTION("""COMPUTED_VALUE"""),"Tesla Model 3")</f>
        <v>Tesla Model 3</v>
      </c>
      <c r="U307" s="145" t="str">
        <f>IFERROR(__xludf.DUMMYFUNCTION("""COMPUTED_VALUE"""),"Electric!")</f>
        <v>Electric!</v>
      </c>
      <c r="V307" s="145" t="str">
        <f>IFERROR(__xludf.DUMMYFUNCTION("""COMPUTED_VALUE"""),"HomeLink")</f>
        <v>HomeLink</v>
      </c>
      <c r="W307" s="145"/>
      <c r="X307" s="137" t="str">
        <f>IFERROR(__xludf.DUMMYFUNCTION("""COMPUTED_VALUE"""),"Good")</f>
        <v>Good</v>
      </c>
      <c r="Y307" s="138" t="str">
        <f>IFERROR(__xludf.DUMMYFUNCTION("""COMPUTED_VALUE"""),"Excellent")</f>
        <v>Excellent</v>
      </c>
      <c r="Z307" s="138" t="str">
        <f>IFERROR(__xludf.DUMMYFUNCTION("""COMPUTED_VALUE"""),"Very Good")</f>
        <v>Very Good</v>
      </c>
      <c r="AA307" s="138" t="str">
        <f>IFERROR(__xludf.DUMMYFUNCTION("""COMPUTED_VALUE"""),"Fair")</f>
        <v>Fair</v>
      </c>
      <c r="AB307" s="138" t="str">
        <f>IFERROR(__xludf.DUMMYFUNCTION("""COMPUTED_VALUE"""),"Good")</f>
        <v>Good</v>
      </c>
      <c r="AC307" s="139"/>
      <c r="AD307" s="139"/>
      <c r="AE307" s="139"/>
      <c r="AF307" s="140"/>
      <c r="AG307" s="145"/>
      <c r="AH307" s="157">
        <f>IFERROR(__xludf.DUMMYFUNCTION("""COMPUTED_VALUE"""),44440.55645322917)</f>
        <v>44440.55645</v>
      </c>
      <c r="AI307" s="138"/>
      <c r="AJ307" s="138"/>
      <c r="AK307" s="138"/>
      <c r="AL307" s="142"/>
    </row>
    <row r="308" ht="20.25" customHeight="1">
      <c r="A308" s="155" t="str">
        <f>IFERROR(__xludf.DUMMYFUNCTION("""COMPUTED_VALUE"""),"Tezzin")</f>
        <v>Tezzin</v>
      </c>
      <c r="B308" s="149" t="str">
        <f>IFERROR(__xludf.DUMMYFUNCTION("""COMPUTED_VALUE"""),"Drammen")</f>
        <v>Drammen</v>
      </c>
      <c r="C308" s="149"/>
      <c r="D308" s="149" t="str">
        <f>IFERROR(__xludf.DUMMYFUNCTION("""COMPUTED_VALUE"""),"Norway")</f>
        <v>Norway</v>
      </c>
      <c r="E308" s="156">
        <f>IFERROR(__xludf.DUMMYFUNCTION("""COMPUTED_VALUE"""),44413.0)</f>
        <v>44413</v>
      </c>
      <c r="F308" s="129">
        <f>IFERROR(__xludf.DUMMYFUNCTION("""COMPUTED_VALUE"""),44413.0)</f>
        <v>44413</v>
      </c>
      <c r="G308" s="154" t="str">
        <f>IFERROR(__xludf.DUMMYFUNCTION("""COMPUTED_VALUE"""),"Manage order page (normal text)")</f>
        <v>Manage order page (normal text)</v>
      </c>
      <c r="H308" s="131"/>
      <c r="I308" s="144"/>
      <c r="J308" s="129"/>
      <c r="K308" s="133">
        <f>IFERROR(__xludf.DUMMYFUNCTION("""COMPUTED_VALUE"""),0.0)</f>
        <v>0</v>
      </c>
      <c r="L308" s="133"/>
      <c r="M308" s="133"/>
      <c r="N308" s="152" t="str">
        <f>IFERROR(__xludf.DUMMYFUNCTION("""COMPUTED_VALUE"""),"Model 3 LR AWD")</f>
        <v>Model 3 LR AWD</v>
      </c>
      <c r="O308" s="152" t="str">
        <f>IFERROR(__xludf.DUMMYFUNCTION("""COMPUTED_VALUE"""),"Pearl White Multi-Coat")</f>
        <v>Pearl White Multi-Coat</v>
      </c>
      <c r="P308" s="153" t="str">
        <f>IFERROR(__xludf.DUMMYFUNCTION("""COMPUTED_VALUE"""),"18 inch")</f>
        <v>18 inch</v>
      </c>
      <c r="Q308" s="152" t="str">
        <f>IFERROR(__xludf.DUMMYFUNCTION("""COMPUTED_VALUE"""),"All Black")</f>
        <v>All Black</v>
      </c>
      <c r="R308" s="149" t="str">
        <f>IFERROR(__xludf.DUMMYFUNCTION("""COMPUTED_VALUE"""),"Full Self-Driving")</f>
        <v>Full Self-Driving</v>
      </c>
      <c r="S308" s="149" t="str">
        <f>IFERROR(__xludf.DUMMYFUNCTION("""COMPUTED_VALUE"""),"Loan")</f>
        <v>Loan</v>
      </c>
      <c r="T308" s="145" t="str">
        <f>IFERROR(__xludf.DUMMYFUNCTION("""COMPUTED_VALUE"""),"BMW 3 Series")</f>
        <v>BMW 3 Series</v>
      </c>
      <c r="U308" s="145" t="str">
        <f>IFERROR(__xludf.DUMMYFUNCTION("""COMPUTED_VALUE"""),"All of the above")</f>
        <v>All of the above</v>
      </c>
      <c r="V308" s="145" t="str">
        <f>IFERROR(__xludf.DUMMYFUNCTION("""COMPUTED_VALUE"""),"360° Bird's eye view")</f>
        <v>360° Bird's eye view</v>
      </c>
      <c r="W308" s="136"/>
      <c r="X308" s="137"/>
      <c r="Y308" s="138"/>
      <c r="Z308" s="138"/>
      <c r="AA308" s="138"/>
      <c r="AB308" s="138"/>
      <c r="AC308" s="139"/>
      <c r="AD308" s="139"/>
      <c r="AE308" s="139"/>
      <c r="AF308" s="140"/>
      <c r="AG308" s="145"/>
      <c r="AH308" s="157">
        <f>IFERROR(__xludf.DUMMYFUNCTION("""COMPUTED_VALUE"""),44422.58702069444)</f>
        <v>44422.58702</v>
      </c>
      <c r="AI308" s="138"/>
      <c r="AJ308" s="138"/>
      <c r="AK308" s="138"/>
      <c r="AL308" s="142"/>
    </row>
    <row r="309" ht="20.25" customHeight="1">
      <c r="A309" s="155" t="str">
        <f>IFERROR(__xludf.DUMMYFUNCTION("""COMPUTED_VALUE"""),"Bingo Bango")</f>
        <v>Bingo Bango</v>
      </c>
      <c r="B309" s="149" t="str">
        <f>IFERROR(__xludf.DUMMYFUNCTION("""COMPUTED_VALUE"""),"Newport Beach")</f>
        <v>Newport Beach</v>
      </c>
      <c r="C309" s="149" t="str">
        <f>IFERROR(__xludf.DUMMYFUNCTION("""COMPUTED_VALUE"""),"CA")</f>
        <v>CA</v>
      </c>
      <c r="D309" s="149" t="str">
        <f>IFERROR(__xludf.DUMMYFUNCTION("""COMPUTED_VALUE"""),"USA")</f>
        <v>USA</v>
      </c>
      <c r="E309" s="156">
        <f>IFERROR(__xludf.DUMMYFUNCTION("""COMPUTED_VALUE"""),44412.0)</f>
        <v>44412</v>
      </c>
      <c r="F309" s="129"/>
      <c r="G309" s="154"/>
      <c r="H309" s="131"/>
      <c r="I309" s="132"/>
      <c r="J309" s="129">
        <f>IFERROR(__xludf.DUMMYFUNCTION("""COMPUTED_VALUE"""),44471.0)</f>
        <v>44471</v>
      </c>
      <c r="K309" s="133"/>
      <c r="L309" s="133"/>
      <c r="M309" s="133">
        <f>IFERROR(__xludf.DUMMYFUNCTION("""COMPUTED_VALUE"""),59.0)</f>
        <v>59</v>
      </c>
      <c r="N309" s="152" t="str">
        <f>IFERROR(__xludf.DUMMYFUNCTION("""COMPUTED_VALUE"""),"Model 3 SR+")</f>
        <v>Model 3 SR+</v>
      </c>
      <c r="O309" s="152" t="str">
        <f>IFERROR(__xludf.DUMMYFUNCTION("""COMPUTED_VALUE"""),"Deep Blue Metallic")</f>
        <v>Deep Blue Metallic</v>
      </c>
      <c r="P309" s="153" t="str">
        <f>IFERROR(__xludf.DUMMYFUNCTION("""COMPUTED_VALUE"""),"18 inch")</f>
        <v>18 inch</v>
      </c>
      <c r="Q309" s="152" t="str">
        <f>IFERROR(__xludf.DUMMYFUNCTION("""COMPUTED_VALUE"""),"Black and White")</f>
        <v>Black and White</v>
      </c>
      <c r="R309" s="150" t="str">
        <f>IFERROR(__xludf.DUMMYFUNCTION("""COMPUTED_VALUE"""),"Autopilot included")</f>
        <v>Autopilot included</v>
      </c>
      <c r="S309" s="150" t="str">
        <f>IFERROR(__xludf.DUMMYFUNCTION("""COMPUTED_VALUE"""),"Loan")</f>
        <v>Loan</v>
      </c>
      <c r="T309" s="136" t="str">
        <f>IFERROR(__xludf.DUMMYFUNCTION("""COMPUTED_VALUE"""),"Volkswagen Touareg")</f>
        <v>Volkswagen Touareg</v>
      </c>
      <c r="U309" s="136" t="str">
        <f>IFERROR(__xludf.DUMMYFUNCTION("""COMPUTED_VALUE"""),"Electric!")</f>
        <v>Electric!</v>
      </c>
      <c r="V309" s="145" t="str">
        <f>IFERROR(__xludf.DUMMYFUNCTION("""COMPUTED_VALUE"""),"Head-up display, vent seats, and maybe a few physical controls for climate or radio")</f>
        <v>Head-up display, vent seats, and maybe a few physical controls for climate or radio</v>
      </c>
      <c r="W309" s="136"/>
      <c r="X309" s="137"/>
      <c r="Y309" s="138"/>
      <c r="Z309" s="138"/>
      <c r="AA309" s="138"/>
      <c r="AB309" s="138"/>
      <c r="AC309" s="139"/>
      <c r="AD309" s="139"/>
      <c r="AE309" s="139"/>
      <c r="AF309" s="140"/>
      <c r="AG309" s="136"/>
      <c r="AH309" s="157">
        <f>IFERROR(__xludf.DUMMYFUNCTION("""COMPUTED_VALUE"""),44418.38778880787)</f>
        <v>44418.38779</v>
      </c>
      <c r="AI309" s="138"/>
      <c r="AJ309" s="138"/>
      <c r="AK309" s="138"/>
      <c r="AL309" s="142"/>
    </row>
    <row r="310" ht="20.25" customHeight="1">
      <c r="A310" s="155" t="str">
        <f>IFERROR(__xludf.DUMMYFUNCTION("""COMPUTED_VALUE"""),"Jason746")</f>
        <v>Jason746</v>
      </c>
      <c r="B310" s="149" t="str">
        <f>IFERROR(__xludf.DUMMYFUNCTION("""COMPUTED_VALUE"""),"Lexington")</f>
        <v>Lexington</v>
      </c>
      <c r="C310" s="149" t="str">
        <f>IFERROR(__xludf.DUMMYFUNCTION("""COMPUTED_VALUE"""),"KY")</f>
        <v>KY</v>
      </c>
      <c r="D310" s="149" t="str">
        <f>IFERROR(__xludf.DUMMYFUNCTION("""COMPUTED_VALUE"""),"USA")</f>
        <v>USA</v>
      </c>
      <c r="E310" s="156">
        <f>IFERROR(__xludf.DUMMYFUNCTION("""COMPUTED_VALUE"""),44412.0)</f>
        <v>44412</v>
      </c>
      <c r="F310" s="129">
        <f>IFERROR(__xludf.DUMMYFUNCTION("""COMPUTED_VALUE"""),44445.0)</f>
        <v>44445</v>
      </c>
      <c r="G310" s="154" t="str">
        <f>IFERROR(__xludf.DUMMYFUNCTION("""COMPUTED_VALUE"""),"Manage order page (normal text)")</f>
        <v>Manage order page (normal text)</v>
      </c>
      <c r="H310" s="131">
        <f>IFERROR(__xludf.DUMMYFUNCTION("""COMPUTED_VALUE"""),60855.0)</f>
        <v>60855</v>
      </c>
      <c r="I310" s="144"/>
      <c r="J310" s="129"/>
      <c r="K310" s="133">
        <f>IFERROR(__xludf.DUMMYFUNCTION("""COMPUTED_VALUE"""),33.0)</f>
        <v>33</v>
      </c>
      <c r="L310" s="133"/>
      <c r="M310" s="133"/>
      <c r="N310" s="152" t="str">
        <f>IFERROR(__xludf.DUMMYFUNCTION("""COMPUTED_VALUE"""),"Model 3 LR AWD")</f>
        <v>Model 3 LR AWD</v>
      </c>
      <c r="O310" s="152" t="str">
        <f>IFERROR(__xludf.DUMMYFUNCTION("""COMPUTED_VALUE"""),"Midnight Silver Metallic")</f>
        <v>Midnight Silver Metallic</v>
      </c>
      <c r="P310" s="153" t="str">
        <f>IFERROR(__xludf.DUMMYFUNCTION("""COMPUTED_VALUE"""),"19 inch")</f>
        <v>19 inch</v>
      </c>
      <c r="Q310" s="152" t="str">
        <f>IFERROR(__xludf.DUMMYFUNCTION("""COMPUTED_VALUE"""),"All Black")</f>
        <v>All Black</v>
      </c>
      <c r="R310" s="149" t="str">
        <f>IFERROR(__xludf.DUMMYFUNCTION("""COMPUTED_VALUE"""),"Autopilot included")</f>
        <v>Autopilot included</v>
      </c>
      <c r="S310" s="149" t="str">
        <f>IFERROR(__xludf.DUMMYFUNCTION("""COMPUTED_VALUE"""),"Loan")</f>
        <v>Loan</v>
      </c>
      <c r="T310" s="145" t="str">
        <f>IFERROR(__xludf.DUMMYFUNCTION("""COMPUTED_VALUE"""),"2015 Subaru WRX (Sold)")</f>
        <v>2015 Subaru WRX (Sold)</v>
      </c>
      <c r="U310" s="145" t="str">
        <f>IFERROR(__xludf.DUMMYFUNCTION("""COMPUTED_VALUE"""),"Electric!")</f>
        <v>Electric!</v>
      </c>
      <c r="V310" s="145" t="str">
        <f>IFERROR(__xludf.DUMMYFUNCTION("""COMPUTED_VALUE"""),"Head-up display")</f>
        <v>Head-up display</v>
      </c>
      <c r="W310" s="136"/>
      <c r="X310" s="137"/>
      <c r="Y310" s="138"/>
      <c r="Z310" s="138"/>
      <c r="AA310" s="138"/>
      <c r="AB310" s="138"/>
      <c r="AC310" s="139"/>
      <c r="AD310" s="139"/>
      <c r="AE310" s="139"/>
      <c r="AF310" s="140"/>
      <c r="AG310" s="136"/>
      <c r="AH310" s="157">
        <f>IFERROR(__xludf.DUMMYFUNCTION("""COMPUTED_VALUE"""),44445.758633310186)</f>
        <v>44445.75863</v>
      </c>
      <c r="AI310" s="138"/>
      <c r="AJ310" s="138"/>
      <c r="AK310" s="138"/>
      <c r="AL310" s="142"/>
    </row>
    <row r="311" ht="20.25" customHeight="1">
      <c r="A311" s="155" t="str">
        <f>IFERROR(__xludf.DUMMYFUNCTION("""COMPUTED_VALUE"""),"jatze")</f>
        <v>jatze</v>
      </c>
      <c r="B311" s="149"/>
      <c r="C311" s="149"/>
      <c r="D311" s="149" t="str">
        <f>IFERROR(__xludf.DUMMYFUNCTION("""COMPUTED_VALUE"""),"United Kingdom")</f>
        <v>United Kingdom</v>
      </c>
      <c r="E311" s="156">
        <f>IFERROR(__xludf.DUMMYFUNCTION("""COMPUTED_VALUE"""),44412.0)</f>
        <v>44412</v>
      </c>
      <c r="F311" s="129">
        <f>IFERROR(__xludf.DUMMYFUNCTION("""COMPUTED_VALUE"""),44413.0)</f>
        <v>44413</v>
      </c>
      <c r="G311" s="154" t="str">
        <f>IFERROR(__xludf.DUMMYFUNCTION("""COMPUTED_VALUE"""),"Source code")</f>
        <v>Source code</v>
      </c>
      <c r="H311" s="131">
        <f>IFERROR(__xludf.DUMMYFUNCTION("""COMPUTED_VALUE"""),333055.0)</f>
        <v>333055</v>
      </c>
      <c r="I311" s="144"/>
      <c r="J311" s="129"/>
      <c r="K311" s="133">
        <f>IFERROR(__xludf.DUMMYFUNCTION("""COMPUTED_VALUE"""),1.0)</f>
        <v>1</v>
      </c>
      <c r="L311" s="133"/>
      <c r="M311" s="133"/>
      <c r="N311" s="152" t="str">
        <f>IFERROR(__xludf.DUMMYFUNCTION("""COMPUTED_VALUE"""),"Model 3 Performance")</f>
        <v>Model 3 Performance</v>
      </c>
      <c r="O311" s="152" t="str">
        <f>IFERROR(__xludf.DUMMYFUNCTION("""COMPUTED_VALUE"""),"Pearl White Multi-Coat")</f>
        <v>Pearl White Multi-Coat</v>
      </c>
      <c r="P311" s="153" t="str">
        <f>IFERROR(__xludf.DUMMYFUNCTION("""COMPUTED_VALUE"""),"20 inch")</f>
        <v>20 inch</v>
      </c>
      <c r="Q311" s="152" t="str">
        <f>IFERROR(__xludf.DUMMYFUNCTION("""COMPUTED_VALUE"""),"All Black")</f>
        <v>All Black</v>
      </c>
      <c r="R311" s="149"/>
      <c r="S311" s="149" t="str">
        <f>IFERROR(__xludf.DUMMYFUNCTION("""COMPUTED_VALUE"""),"Cash")</f>
        <v>Cash</v>
      </c>
      <c r="T311" s="145" t="str">
        <f>IFERROR(__xludf.DUMMYFUNCTION("""COMPUTED_VALUE"""),"Porsche 911 turbo (997)")</f>
        <v>Porsche 911 turbo (997)</v>
      </c>
      <c r="U311" s="145" t="str">
        <f>IFERROR(__xludf.DUMMYFUNCTION("""COMPUTED_VALUE"""),"Autopilot")</f>
        <v>Autopilot</v>
      </c>
      <c r="V311" s="145" t="str">
        <f>IFERROR(__xludf.DUMMYFUNCTION("""COMPUTED_VALUE"""),"Apple CarPlay / Android Auto / SiriusXM Radio")</f>
        <v>Apple CarPlay / Android Auto / SiriusXM Radio</v>
      </c>
      <c r="W311" s="145"/>
      <c r="X311" s="137"/>
      <c r="Y311" s="138"/>
      <c r="Z311" s="138"/>
      <c r="AA311" s="138"/>
      <c r="AB311" s="138"/>
      <c r="AC311" s="139"/>
      <c r="AD311" s="139"/>
      <c r="AE311" s="139"/>
      <c r="AF311" s="140"/>
      <c r="AG311" s="145"/>
      <c r="AH311" s="157">
        <f>IFERROR(__xludf.DUMMYFUNCTION("""COMPUTED_VALUE"""),44428.12179921296)</f>
        <v>44428.1218</v>
      </c>
      <c r="AI311" s="138"/>
      <c r="AJ311" s="138"/>
      <c r="AK311" s="138"/>
      <c r="AL311" s="142"/>
    </row>
    <row r="312" ht="20.25" customHeight="1">
      <c r="A312" s="155" t="str">
        <f>IFERROR(__xludf.DUMMYFUNCTION("""COMPUTED_VALUE"""),"Max223")</f>
        <v>Max223</v>
      </c>
      <c r="B312" s="149" t="str">
        <f>IFERROR(__xludf.DUMMYFUNCTION("""COMPUTED_VALUE"""),"Chicago")</f>
        <v>Chicago</v>
      </c>
      <c r="C312" s="149" t="str">
        <f>IFERROR(__xludf.DUMMYFUNCTION("""COMPUTED_VALUE"""),"IL")</f>
        <v>IL</v>
      </c>
      <c r="D312" s="149" t="str">
        <f>IFERROR(__xludf.DUMMYFUNCTION("""COMPUTED_VALUE"""),"USA")</f>
        <v>USA</v>
      </c>
      <c r="E312" s="156">
        <f>IFERROR(__xludf.DUMMYFUNCTION("""COMPUTED_VALUE"""),44412.0)</f>
        <v>44412</v>
      </c>
      <c r="F312" s="129">
        <f>IFERROR(__xludf.DUMMYFUNCTION("""COMPUTED_VALUE"""),44431.0)</f>
        <v>44431</v>
      </c>
      <c r="G312" s="154" t="str">
        <f>IFERROR(__xludf.DUMMYFUNCTION("""COMPUTED_VALUE"""),"Manage order page (normal text)")</f>
        <v>Manage order page (normal text)</v>
      </c>
      <c r="H312" s="131">
        <f>IFERROR(__xludf.DUMMYFUNCTION("""COMPUTED_VALUE"""),36255.0)</f>
        <v>36255</v>
      </c>
      <c r="I312" s="144"/>
      <c r="J312" s="129">
        <f>IFERROR(__xludf.DUMMYFUNCTION("""COMPUTED_VALUE"""),44435.0)</f>
        <v>44435</v>
      </c>
      <c r="K312" s="133">
        <f>IFERROR(__xludf.DUMMYFUNCTION("""COMPUTED_VALUE"""),19.0)</f>
        <v>19</v>
      </c>
      <c r="L312" s="133">
        <f>IFERROR(__xludf.DUMMYFUNCTION("""COMPUTED_VALUE"""),4.0)</f>
        <v>4</v>
      </c>
      <c r="M312" s="133">
        <f>IFERROR(__xludf.DUMMYFUNCTION("""COMPUTED_VALUE"""),23.0)</f>
        <v>23</v>
      </c>
      <c r="N312" s="152" t="str">
        <f>IFERROR(__xludf.DUMMYFUNCTION("""COMPUTED_VALUE"""),"Model 3 Performance")</f>
        <v>Model 3 Performance</v>
      </c>
      <c r="O312" s="152" t="str">
        <f>IFERROR(__xludf.DUMMYFUNCTION("""COMPUTED_VALUE"""),"Midnight Silver Metallic")</f>
        <v>Midnight Silver Metallic</v>
      </c>
      <c r="P312" s="153" t="str">
        <f>IFERROR(__xludf.DUMMYFUNCTION("""COMPUTED_VALUE"""),"20 inch")</f>
        <v>20 inch</v>
      </c>
      <c r="Q312" s="152" t="str">
        <f>IFERROR(__xludf.DUMMYFUNCTION("""COMPUTED_VALUE"""),"All Black")</f>
        <v>All Black</v>
      </c>
      <c r="R312" s="149" t="str">
        <f>IFERROR(__xludf.DUMMYFUNCTION("""COMPUTED_VALUE"""),"Autopilot included")</f>
        <v>Autopilot included</v>
      </c>
      <c r="S312" s="149" t="str">
        <f>IFERROR(__xludf.DUMMYFUNCTION("""COMPUTED_VALUE"""),"Loan")</f>
        <v>Loan</v>
      </c>
      <c r="T312" s="145" t="str">
        <f>IFERROR(__xludf.DUMMYFUNCTION("""COMPUTED_VALUE"""),"Infiniti G37x")</f>
        <v>Infiniti G37x</v>
      </c>
      <c r="U312" s="145" t="str">
        <f>IFERROR(__xludf.DUMMYFUNCTION("""COMPUTED_VALUE"""),"Electric!")</f>
        <v>Electric!</v>
      </c>
      <c r="V312" s="145" t="str">
        <f>IFERROR(__xludf.DUMMYFUNCTION("""COMPUTED_VALUE"""),"All of the above!  Carplay, Ventilated Seats, HUD, 360 camera, and BSM, and homelink would make the perfect car")</f>
        <v>All of the above!  Carplay, Ventilated Seats, HUD, 360 camera, and BSM, and homelink would make the perfect car</v>
      </c>
      <c r="W312" s="145"/>
      <c r="X312" s="137"/>
      <c r="Y312" s="138"/>
      <c r="Z312" s="138"/>
      <c r="AA312" s="138"/>
      <c r="AB312" s="138"/>
      <c r="AC312" s="139"/>
      <c r="AD312" s="139"/>
      <c r="AE312" s="139"/>
      <c r="AF312" s="140"/>
      <c r="AG312" s="145"/>
      <c r="AH312" s="157">
        <f>IFERROR(__xludf.DUMMYFUNCTION("""COMPUTED_VALUE"""),44432.468944849534)</f>
        <v>44432.46894</v>
      </c>
      <c r="AI312" s="138"/>
      <c r="AJ312" s="138"/>
      <c r="AK312" s="138"/>
      <c r="AL312" s="142"/>
    </row>
    <row r="313" ht="20.25" customHeight="1">
      <c r="A313" s="155" t="str">
        <f>IFERROR(__xludf.DUMMYFUNCTION("""COMPUTED_VALUE"""),"Sidhu.p117")</f>
        <v>Sidhu.p117</v>
      </c>
      <c r="B313" s="149" t="str">
        <f>IFERROR(__xludf.DUMMYFUNCTION("""COMPUTED_VALUE"""),"New Jersey")</f>
        <v>New Jersey</v>
      </c>
      <c r="C313" s="149" t="str">
        <f>IFERROR(__xludf.DUMMYFUNCTION("""COMPUTED_VALUE"""),"NJ")</f>
        <v>NJ</v>
      </c>
      <c r="D313" s="149" t="str">
        <f>IFERROR(__xludf.DUMMYFUNCTION("""COMPUTED_VALUE"""),"USA")</f>
        <v>USA</v>
      </c>
      <c r="E313" s="156">
        <f>IFERROR(__xludf.DUMMYFUNCTION("""COMPUTED_VALUE"""),44412.0)</f>
        <v>44412</v>
      </c>
      <c r="F313" s="129"/>
      <c r="G313" s="154"/>
      <c r="H313" s="131"/>
      <c r="I313" s="144"/>
      <c r="J313" s="129"/>
      <c r="K313" s="133"/>
      <c r="L313" s="133"/>
      <c r="M313" s="133"/>
      <c r="N313" s="152" t="str">
        <f>IFERROR(__xludf.DUMMYFUNCTION("""COMPUTED_VALUE"""),"Model 3 SR+")</f>
        <v>Model 3 SR+</v>
      </c>
      <c r="O313" s="152" t="str">
        <f>IFERROR(__xludf.DUMMYFUNCTION("""COMPUTED_VALUE"""),"Deep Blue Metallic")</f>
        <v>Deep Blue Metallic</v>
      </c>
      <c r="P313" s="153" t="str">
        <f>IFERROR(__xludf.DUMMYFUNCTION("""COMPUTED_VALUE"""),"19 inch")</f>
        <v>19 inch</v>
      </c>
      <c r="Q313" s="152" t="str">
        <f>IFERROR(__xludf.DUMMYFUNCTION("""COMPUTED_VALUE"""),"All Black")</f>
        <v>All Black</v>
      </c>
      <c r="R313" s="149" t="str">
        <f>IFERROR(__xludf.DUMMYFUNCTION("""COMPUTED_VALUE"""),"Autopilot included")</f>
        <v>Autopilot included</v>
      </c>
      <c r="S313" s="149" t="str">
        <f>IFERROR(__xludf.DUMMYFUNCTION("""COMPUTED_VALUE"""),"Cash")</f>
        <v>Cash</v>
      </c>
      <c r="T313" s="145" t="str">
        <f>IFERROR(__xludf.DUMMYFUNCTION("""COMPUTED_VALUE"""),"Audi A4")</f>
        <v>Audi A4</v>
      </c>
      <c r="U313" s="145" t="str">
        <f>IFERROR(__xludf.DUMMYFUNCTION("""COMPUTED_VALUE"""),"Electric!")</f>
        <v>Electric!</v>
      </c>
      <c r="V313" s="145" t="str">
        <f>IFERROR(__xludf.DUMMYFUNCTION("""COMPUTED_VALUE"""),"Apple CarPlay / Android Auto / SiriusXM Radio")</f>
        <v>Apple CarPlay / Android Auto / SiriusXM Radio</v>
      </c>
      <c r="W313" s="145"/>
      <c r="X313" s="137"/>
      <c r="Y313" s="138"/>
      <c r="Z313" s="138"/>
      <c r="AA313" s="138"/>
      <c r="AB313" s="138"/>
      <c r="AC313" s="139"/>
      <c r="AD313" s="139"/>
      <c r="AE313" s="139"/>
      <c r="AF313" s="140"/>
      <c r="AG313" s="145"/>
      <c r="AH313" s="157">
        <f>IFERROR(__xludf.DUMMYFUNCTION("""COMPUTED_VALUE"""),44434.29027587963)</f>
        <v>44434.29028</v>
      </c>
      <c r="AI313" s="138"/>
      <c r="AJ313" s="138"/>
      <c r="AK313" s="138"/>
      <c r="AL313" s="142"/>
    </row>
    <row r="314" ht="20.25" customHeight="1">
      <c r="A314" s="155" t="str">
        <f>IFERROR(__xludf.DUMMYFUNCTION("""COMPUTED_VALUE"""),"WingsCreates")</f>
        <v>WingsCreates</v>
      </c>
      <c r="B314" s="149" t="str">
        <f>IFERROR(__xludf.DUMMYFUNCTION("""COMPUTED_VALUE"""),"Madison")</f>
        <v>Madison</v>
      </c>
      <c r="C314" s="149" t="str">
        <f>IFERROR(__xludf.DUMMYFUNCTION("""COMPUTED_VALUE"""),"WI")</f>
        <v>WI</v>
      </c>
      <c r="D314" s="149" t="str">
        <f>IFERROR(__xludf.DUMMYFUNCTION("""COMPUTED_VALUE"""),"USA")</f>
        <v>USA</v>
      </c>
      <c r="E314" s="156">
        <f>IFERROR(__xludf.DUMMYFUNCTION("""COMPUTED_VALUE"""),44412.0)</f>
        <v>44412</v>
      </c>
      <c r="F314" s="129">
        <f>IFERROR(__xludf.DUMMYFUNCTION("""COMPUTED_VALUE"""),44420.0)</f>
        <v>44420</v>
      </c>
      <c r="G314" s="154" t="str">
        <f>IFERROR(__xludf.DUMMYFUNCTION("""COMPUTED_VALUE"""),"Existing Inventory")</f>
        <v>Existing Inventory</v>
      </c>
      <c r="H314" s="131">
        <f>IFERROR(__xludf.DUMMYFUNCTION("""COMPUTED_VALUE"""),28055.0)</f>
        <v>28055</v>
      </c>
      <c r="I314" s="144"/>
      <c r="J314" s="129">
        <f>IFERROR(__xludf.DUMMYFUNCTION("""COMPUTED_VALUE"""),44426.0)</f>
        <v>44426</v>
      </c>
      <c r="K314" s="133">
        <f>IFERROR(__xludf.DUMMYFUNCTION("""COMPUTED_VALUE"""),8.0)</f>
        <v>8</v>
      </c>
      <c r="L314" s="133">
        <f>IFERROR(__xludf.DUMMYFUNCTION("""COMPUTED_VALUE"""),6.0)</f>
        <v>6</v>
      </c>
      <c r="M314" s="133">
        <f>IFERROR(__xludf.DUMMYFUNCTION("""COMPUTED_VALUE"""),14.0)</f>
        <v>14</v>
      </c>
      <c r="N314" s="152" t="str">
        <f>IFERROR(__xludf.DUMMYFUNCTION("""COMPUTED_VALUE"""),"Model 3 SR+")</f>
        <v>Model 3 SR+</v>
      </c>
      <c r="O314" s="152" t="str">
        <f>IFERROR(__xludf.DUMMYFUNCTION("""COMPUTED_VALUE"""),"Red Multi-Coat")</f>
        <v>Red Multi-Coat</v>
      </c>
      <c r="P314" s="153" t="str">
        <f>IFERROR(__xludf.DUMMYFUNCTION("""COMPUTED_VALUE"""),"19 inch")</f>
        <v>19 inch</v>
      </c>
      <c r="Q314" s="152" t="str">
        <f>IFERROR(__xludf.DUMMYFUNCTION("""COMPUTED_VALUE"""),"All Black")</f>
        <v>All Black</v>
      </c>
      <c r="R314" s="149" t="str">
        <f>IFERROR(__xludf.DUMMYFUNCTION("""COMPUTED_VALUE"""),"Full Self-Driving")</f>
        <v>Full Self-Driving</v>
      </c>
      <c r="S314" s="149" t="str">
        <f>IFERROR(__xludf.DUMMYFUNCTION("""COMPUTED_VALUE"""),"Loan")</f>
        <v>Loan</v>
      </c>
      <c r="T314" s="145" t="str">
        <f>IFERROR(__xludf.DUMMYFUNCTION("""COMPUTED_VALUE"""),"Mazda 3 Hatchback")</f>
        <v>Mazda 3 Hatchback</v>
      </c>
      <c r="U314" s="145" t="str">
        <f>IFERROR(__xludf.DUMMYFUNCTION("""COMPUTED_VALUE"""),"Autopilot")</f>
        <v>Autopilot</v>
      </c>
      <c r="V314" s="145" t="str">
        <f>IFERROR(__xludf.DUMMYFUNCTION("""COMPUTED_VALUE"""),"Head-up display")</f>
        <v>Head-up display</v>
      </c>
      <c r="W314" s="145"/>
      <c r="X314" s="137"/>
      <c r="Y314" s="138"/>
      <c r="Z314" s="138"/>
      <c r="AA314" s="138"/>
      <c r="AB314" s="138"/>
      <c r="AC314" s="139"/>
      <c r="AD314" s="139"/>
      <c r="AE314" s="139"/>
      <c r="AF314" s="140"/>
      <c r="AG314" s="145"/>
      <c r="AH314" s="157">
        <f>IFERROR(__xludf.DUMMYFUNCTION("""COMPUTED_VALUE"""),44420.49133329862)</f>
        <v>44420.49133</v>
      </c>
      <c r="AI314" s="138"/>
      <c r="AJ314" s="138"/>
      <c r="AK314" s="138"/>
      <c r="AL314" s="142"/>
    </row>
    <row r="315" ht="20.25" customHeight="1">
      <c r="A315" s="155" t="str">
        <f>IFERROR(__xludf.DUMMYFUNCTION("""COMPUTED_VALUE"""),"ARPL")</f>
        <v>ARPL</v>
      </c>
      <c r="B315" s="149" t="str">
        <f>IFERROR(__xludf.DUMMYFUNCTION("""COMPUTED_VALUE"""),"Warsaw, Poland")</f>
        <v>Warsaw, Poland</v>
      </c>
      <c r="C315" s="149"/>
      <c r="D315" s="149" t="str">
        <f>IFERROR(__xludf.DUMMYFUNCTION("""COMPUTED_VALUE"""),"Other (include country together with city)")</f>
        <v>Other (include country together with city)</v>
      </c>
      <c r="E315" s="156">
        <f>IFERROR(__xludf.DUMMYFUNCTION("""COMPUTED_VALUE"""),44411.0)</f>
        <v>44411</v>
      </c>
      <c r="F315" s="129">
        <f>IFERROR(__xludf.DUMMYFUNCTION("""COMPUTED_VALUE"""),44425.0)</f>
        <v>44425</v>
      </c>
      <c r="G315" s="154" t="str">
        <f>IFERROR(__xludf.DUMMYFUNCTION("""COMPUTED_VALUE"""),"Source code")</f>
        <v>Source code</v>
      </c>
      <c r="H315" s="131">
        <f>IFERROR(__xludf.DUMMYFUNCTION("""COMPUTED_VALUE"""),324155.0)</f>
        <v>324155</v>
      </c>
      <c r="I315" s="144" t="str">
        <f>IFERROR(__xludf.DUMMYFUNCTION("""COMPUTED_VALUE"""),"08/21")</f>
        <v>08/21</v>
      </c>
      <c r="J315" s="129">
        <f>IFERROR(__xludf.DUMMYFUNCTION("""COMPUTED_VALUE"""),44457.0)</f>
        <v>44457</v>
      </c>
      <c r="K315" s="133">
        <f>IFERROR(__xludf.DUMMYFUNCTION("""COMPUTED_VALUE"""),14.0)</f>
        <v>14</v>
      </c>
      <c r="L315" s="133">
        <f>IFERROR(__xludf.DUMMYFUNCTION("""COMPUTED_VALUE"""),32.0)</f>
        <v>32</v>
      </c>
      <c r="M315" s="133">
        <f>IFERROR(__xludf.DUMMYFUNCTION("""COMPUTED_VALUE"""),46.0)</f>
        <v>46</v>
      </c>
      <c r="N315" s="152" t="str">
        <f>IFERROR(__xludf.DUMMYFUNCTION("""COMPUTED_VALUE"""),"Model 3 SR+")</f>
        <v>Model 3 SR+</v>
      </c>
      <c r="O315" s="152" t="str">
        <f>IFERROR(__xludf.DUMMYFUNCTION("""COMPUTED_VALUE"""),"Pearl White Multi-Coat")</f>
        <v>Pearl White Multi-Coat</v>
      </c>
      <c r="P315" s="153" t="str">
        <f>IFERROR(__xludf.DUMMYFUNCTION("""COMPUTED_VALUE"""),"18 inch")</f>
        <v>18 inch</v>
      </c>
      <c r="Q315" s="152" t="str">
        <f>IFERROR(__xludf.DUMMYFUNCTION("""COMPUTED_VALUE"""),"Black and White")</f>
        <v>Black and White</v>
      </c>
      <c r="R315" s="149" t="str">
        <f>IFERROR(__xludf.DUMMYFUNCTION("""COMPUTED_VALUE"""),"Autopilot included")</f>
        <v>Autopilot included</v>
      </c>
      <c r="S315" s="149" t="str">
        <f>IFERROR(__xludf.DUMMYFUNCTION("""COMPUTED_VALUE"""),"Cash")</f>
        <v>Cash</v>
      </c>
      <c r="T315" s="145" t="str">
        <f>IFERROR(__xludf.DUMMYFUNCTION("""COMPUTED_VALUE"""),"Mercedes A-Class")</f>
        <v>Mercedes A-Class</v>
      </c>
      <c r="U315" s="145" t="str">
        <f>IFERROR(__xludf.DUMMYFUNCTION("""COMPUTED_VALUE"""),"Autopilot")</f>
        <v>Autopilot</v>
      </c>
      <c r="V315" s="145" t="str">
        <f>IFERROR(__xludf.DUMMYFUNCTION("""COMPUTED_VALUE"""),"360° Bird's eye view")</f>
        <v>360° Bird's eye view</v>
      </c>
      <c r="W315" s="136"/>
      <c r="X315" s="137" t="str">
        <f>IFERROR(__xludf.DUMMYFUNCTION("""COMPUTED_VALUE"""),"Excellent")</f>
        <v>Excellent</v>
      </c>
      <c r="Y315" s="138" t="str">
        <f>IFERROR(__xludf.DUMMYFUNCTION("""COMPUTED_VALUE"""),"Excellent")</f>
        <v>Excellent</v>
      </c>
      <c r="Z315" s="138" t="str">
        <f>IFERROR(__xludf.DUMMYFUNCTION("""COMPUTED_VALUE"""),"Excellent")</f>
        <v>Excellent</v>
      </c>
      <c r="AA315" s="138" t="str">
        <f>IFERROR(__xludf.DUMMYFUNCTION("""COMPUTED_VALUE"""),"Excellent")</f>
        <v>Excellent</v>
      </c>
      <c r="AB315" s="138" t="str">
        <f>IFERROR(__xludf.DUMMYFUNCTION("""COMPUTED_VALUE"""),"Very Good")</f>
        <v>Very Good</v>
      </c>
      <c r="AC315" s="139">
        <f>IFERROR(__xludf.DUMMYFUNCTION("""COMPUTED_VALUE"""),0.0)</f>
        <v>0</v>
      </c>
      <c r="AD315" s="139">
        <f>IFERROR(__xludf.DUMMYFUNCTION("""COMPUTED_VALUE"""),1.0)</f>
        <v>1</v>
      </c>
      <c r="AE315" s="139">
        <f>IFERROR(__xludf.DUMMYFUNCTION("""COMPUTED_VALUE"""),0.0)</f>
        <v>0</v>
      </c>
      <c r="AF315" s="140" t="str">
        <f>IFERROR(__xludf.DUMMYFUNCTION("""COMPUTED_VALUE"""),"No. I took delivery of the first car Tesla was able to deliver.")</f>
        <v>No. I took delivery of the first car Tesla was able to deliver.</v>
      </c>
      <c r="AG315" s="136"/>
      <c r="AH315" s="157">
        <f>IFERROR(__xludf.DUMMYFUNCTION("""COMPUTED_VALUE"""),44492.371629375)</f>
        <v>44492.37163</v>
      </c>
      <c r="AI315" s="138"/>
      <c r="AJ315" s="138"/>
      <c r="AK315" s="138"/>
      <c r="AL315" s="142"/>
    </row>
    <row r="316" ht="20.25" customHeight="1">
      <c r="A316" s="155" t="str">
        <f>IFERROR(__xludf.DUMMYFUNCTION("""COMPUTED_VALUE"""),"agentmcbride")</f>
        <v>agentmcbride</v>
      </c>
      <c r="B316" s="149" t="str">
        <f>IFERROR(__xludf.DUMMYFUNCTION("""COMPUTED_VALUE"""),"buffalo")</f>
        <v>buffalo</v>
      </c>
      <c r="C316" s="149" t="str">
        <f>IFERROR(__xludf.DUMMYFUNCTION("""COMPUTED_VALUE"""),"NY")</f>
        <v>NY</v>
      </c>
      <c r="D316" s="149" t="str">
        <f>IFERROR(__xludf.DUMMYFUNCTION("""COMPUTED_VALUE"""),"USA")</f>
        <v>USA</v>
      </c>
      <c r="E316" s="156">
        <f>IFERROR(__xludf.DUMMYFUNCTION("""COMPUTED_VALUE"""),44410.0)</f>
        <v>44410</v>
      </c>
      <c r="F316" s="129">
        <f>IFERROR(__xludf.DUMMYFUNCTION("""COMPUTED_VALUE"""),44501.0)</f>
        <v>44501</v>
      </c>
      <c r="G316" s="154" t="str">
        <f>IFERROR(__xludf.DUMMYFUNCTION("""COMPUTED_VALUE"""),"Phone call")</f>
        <v>Phone call</v>
      </c>
      <c r="H316" s="131">
        <f>IFERROR(__xludf.DUMMYFUNCTION("""COMPUTED_VALUE"""),96955.0)</f>
        <v>96955</v>
      </c>
      <c r="I316" s="132"/>
      <c r="J316" s="129"/>
      <c r="K316" s="133">
        <f>IFERROR(__xludf.DUMMYFUNCTION("""COMPUTED_VALUE"""),91.0)</f>
        <v>91</v>
      </c>
      <c r="L316" s="133"/>
      <c r="M316" s="133"/>
      <c r="N316" s="152" t="str">
        <f>IFERROR(__xludf.DUMMYFUNCTION("""COMPUTED_VALUE"""),"Model 3 SR+")</f>
        <v>Model 3 SR+</v>
      </c>
      <c r="O316" s="152" t="str">
        <f>IFERROR(__xludf.DUMMYFUNCTION("""COMPUTED_VALUE"""),"Pearl White Multi-Coat")</f>
        <v>Pearl White Multi-Coat</v>
      </c>
      <c r="P316" s="153" t="str">
        <f>IFERROR(__xludf.DUMMYFUNCTION("""COMPUTED_VALUE"""),"18 inch")</f>
        <v>18 inch</v>
      </c>
      <c r="Q316" s="152" t="str">
        <f>IFERROR(__xludf.DUMMYFUNCTION("""COMPUTED_VALUE"""),"All Black")</f>
        <v>All Black</v>
      </c>
      <c r="R316" s="150" t="str">
        <f>IFERROR(__xludf.DUMMYFUNCTION("""COMPUTED_VALUE"""),"Autopilot included")</f>
        <v>Autopilot included</v>
      </c>
      <c r="S316" s="150" t="str">
        <f>IFERROR(__xludf.DUMMYFUNCTION("""COMPUTED_VALUE"""),"Loan")</f>
        <v>Loan</v>
      </c>
      <c r="T316" s="145" t="str">
        <f>IFERROR(__xludf.DUMMYFUNCTION("""COMPUTED_VALUE"""),"Chevy Volt")</f>
        <v>Chevy Volt</v>
      </c>
      <c r="U316" s="145" t="str">
        <f>IFERROR(__xludf.DUMMYFUNCTION("""COMPUTED_VALUE"""),"Electric!")</f>
        <v>Electric!</v>
      </c>
      <c r="V316" s="145" t="str">
        <f>IFERROR(__xludf.DUMMYFUNCTION("""COMPUTED_VALUE"""),"Apple CarPlay / Android Auto / SiriusXM Radio")</f>
        <v>Apple CarPlay / Android Auto / SiriusXM Radio</v>
      </c>
      <c r="W316" s="136"/>
      <c r="X316" s="137"/>
      <c r="Y316" s="138"/>
      <c r="Z316" s="138"/>
      <c r="AA316" s="138"/>
      <c r="AB316" s="138"/>
      <c r="AC316" s="139"/>
      <c r="AD316" s="139"/>
      <c r="AE316" s="139"/>
      <c r="AF316" s="140"/>
      <c r="AG316" s="136"/>
      <c r="AH316" s="157">
        <f>IFERROR(__xludf.DUMMYFUNCTION("""COMPUTED_VALUE"""),44501.54303392361)</f>
        <v>44501.54303</v>
      </c>
      <c r="AI316" s="138"/>
      <c r="AJ316" s="138"/>
      <c r="AK316" s="138"/>
      <c r="AL316" s="142"/>
    </row>
    <row r="317" ht="20.25" customHeight="1">
      <c r="A317" s="155" t="str">
        <f>IFERROR(__xludf.DUMMYFUNCTION("""COMPUTED_VALUE"""),"Aj")</f>
        <v>Aj</v>
      </c>
      <c r="B317" s="150" t="str">
        <f>IFERROR(__xludf.DUMMYFUNCTION("""COMPUTED_VALUE"""),"Holly Springs")</f>
        <v>Holly Springs</v>
      </c>
      <c r="C317" s="149" t="str">
        <f>IFERROR(__xludf.DUMMYFUNCTION("""COMPUTED_VALUE"""),"NC")</f>
        <v>NC</v>
      </c>
      <c r="D317" s="149" t="str">
        <f>IFERROR(__xludf.DUMMYFUNCTION("""COMPUTED_VALUE"""),"USA")</f>
        <v>USA</v>
      </c>
      <c r="E317" s="156">
        <f>IFERROR(__xludf.DUMMYFUNCTION("""COMPUTED_VALUE"""),44410.0)</f>
        <v>44410</v>
      </c>
      <c r="F317" s="129"/>
      <c r="G317" s="154"/>
      <c r="H317" s="131"/>
      <c r="I317" s="144"/>
      <c r="J317" s="129"/>
      <c r="K317" s="133"/>
      <c r="L317" s="133"/>
      <c r="M317" s="133"/>
      <c r="N317" s="152" t="str">
        <f>IFERROR(__xludf.DUMMYFUNCTION("""COMPUTED_VALUE"""),"Model 3 SR+")</f>
        <v>Model 3 SR+</v>
      </c>
      <c r="O317" s="152" t="str">
        <f>IFERROR(__xludf.DUMMYFUNCTION("""COMPUTED_VALUE"""),"Pearl White Multi-Coat")</f>
        <v>Pearl White Multi-Coat</v>
      </c>
      <c r="P317" s="153" t="str">
        <f>IFERROR(__xludf.DUMMYFUNCTION("""COMPUTED_VALUE"""),"18 inch")</f>
        <v>18 inch</v>
      </c>
      <c r="Q317" s="152" t="str">
        <f>IFERROR(__xludf.DUMMYFUNCTION("""COMPUTED_VALUE"""),"Black and White")</f>
        <v>Black and White</v>
      </c>
      <c r="R317" s="149" t="str">
        <f>IFERROR(__xludf.DUMMYFUNCTION("""COMPUTED_VALUE"""),"Autopilot included")</f>
        <v>Autopilot included</v>
      </c>
      <c r="S317" s="149" t="str">
        <f>IFERROR(__xludf.DUMMYFUNCTION("""COMPUTED_VALUE"""),"Loan")</f>
        <v>Loan</v>
      </c>
      <c r="T317" s="145" t="str">
        <f>IFERROR(__xludf.DUMMYFUNCTION("""COMPUTED_VALUE"""),"Honda CRV")</f>
        <v>Honda CRV</v>
      </c>
      <c r="U317" s="145"/>
      <c r="V317" s="145" t="str">
        <f>IFERROR(__xludf.DUMMYFUNCTION("""COMPUTED_VALUE"""),"Head-up display")</f>
        <v>Head-up display</v>
      </c>
      <c r="W317" s="136"/>
      <c r="X317" s="137"/>
      <c r="Y317" s="138"/>
      <c r="Z317" s="138"/>
      <c r="AA317" s="138"/>
      <c r="AB317" s="138"/>
      <c r="AC317" s="139"/>
      <c r="AD317" s="139"/>
      <c r="AE317" s="139"/>
      <c r="AF317" s="140"/>
      <c r="AG317" s="136"/>
      <c r="AH317" s="157">
        <f>IFERROR(__xludf.DUMMYFUNCTION("""COMPUTED_VALUE"""),44423.83985052083)</f>
        <v>44423.83985</v>
      </c>
      <c r="AI317" s="138"/>
      <c r="AJ317" s="138"/>
      <c r="AK317" s="138"/>
      <c r="AL317" s="142"/>
    </row>
    <row r="318" ht="20.25" customHeight="1">
      <c r="A318" s="155" t="str">
        <f>IFERROR(__xludf.DUMMYFUNCTION("""COMPUTED_VALUE"""),"gzzz")</f>
        <v>gzzz</v>
      </c>
      <c r="B318" s="149" t="str">
        <f>IFERROR(__xludf.DUMMYFUNCTION("""COMPUTED_VALUE"""),"Bay Area")</f>
        <v>Bay Area</v>
      </c>
      <c r="C318" s="149" t="str">
        <f>IFERROR(__xludf.DUMMYFUNCTION("""COMPUTED_VALUE"""),"CA")</f>
        <v>CA</v>
      </c>
      <c r="D318" s="149" t="str">
        <f>IFERROR(__xludf.DUMMYFUNCTION("""COMPUTED_VALUE"""),"USA")</f>
        <v>USA</v>
      </c>
      <c r="E318" s="156">
        <f>IFERROR(__xludf.DUMMYFUNCTION("""COMPUTED_VALUE"""),44410.0)</f>
        <v>44410</v>
      </c>
      <c r="F318" s="129"/>
      <c r="G318" s="154"/>
      <c r="H318" s="131"/>
      <c r="I318" s="144"/>
      <c r="J318" s="129"/>
      <c r="K318" s="133"/>
      <c r="L318" s="133"/>
      <c r="M318" s="133"/>
      <c r="N318" s="152" t="str">
        <f>IFERROR(__xludf.DUMMYFUNCTION("""COMPUTED_VALUE"""),"Model 3 LR AWD")</f>
        <v>Model 3 LR AWD</v>
      </c>
      <c r="O318" s="152" t="str">
        <f>IFERROR(__xludf.DUMMYFUNCTION("""COMPUTED_VALUE"""),"Pearl White Multi-Coat")</f>
        <v>Pearl White Multi-Coat</v>
      </c>
      <c r="P318" s="153" t="str">
        <f>IFERROR(__xludf.DUMMYFUNCTION("""COMPUTED_VALUE"""),"18 inch")</f>
        <v>18 inch</v>
      </c>
      <c r="Q318" s="152" t="str">
        <f>IFERROR(__xludf.DUMMYFUNCTION("""COMPUTED_VALUE"""),"All Black")</f>
        <v>All Black</v>
      </c>
      <c r="R318" s="149" t="str">
        <f>IFERROR(__xludf.DUMMYFUNCTION("""COMPUTED_VALUE"""),"Autopilot included")</f>
        <v>Autopilot included</v>
      </c>
      <c r="S318" s="149" t="str">
        <f>IFERROR(__xludf.DUMMYFUNCTION("""COMPUTED_VALUE"""),"Cash")</f>
        <v>Cash</v>
      </c>
      <c r="T318" s="145" t="str">
        <f>IFERROR(__xludf.DUMMYFUNCTION("""COMPUTED_VALUE"""),"BMW 3 Series")</f>
        <v>BMW 3 Series</v>
      </c>
      <c r="U318" s="145" t="str">
        <f>IFERROR(__xludf.DUMMYFUNCTION("""COMPUTED_VALUE"""),"Electric!")</f>
        <v>Electric!</v>
      </c>
      <c r="V318" s="145" t="str">
        <f>IFERROR(__xludf.DUMMYFUNCTION("""COMPUTED_VALUE"""),"Blind spot indicators on side mirrors")</f>
        <v>Blind spot indicators on side mirrors</v>
      </c>
      <c r="W318" s="145"/>
      <c r="X318" s="137"/>
      <c r="Y318" s="138"/>
      <c r="Z318" s="138"/>
      <c r="AA318" s="138"/>
      <c r="AB318" s="138"/>
      <c r="AC318" s="139"/>
      <c r="AD318" s="139"/>
      <c r="AE318" s="139"/>
      <c r="AF318" s="140"/>
      <c r="AG318" s="145"/>
      <c r="AH318" s="157">
        <f>IFERROR(__xludf.DUMMYFUNCTION("""COMPUTED_VALUE"""),44449.702589479166)</f>
        <v>44449.70259</v>
      </c>
      <c r="AI318" s="138"/>
      <c r="AJ318" s="138"/>
      <c r="AK318" s="138"/>
      <c r="AL318" s="142"/>
    </row>
    <row r="319" ht="20.25" customHeight="1">
      <c r="A319" s="155" t="str">
        <f>IFERROR(__xludf.DUMMYFUNCTION("""COMPUTED_VALUE"""),"PeaksIsland")</f>
        <v>PeaksIsland</v>
      </c>
      <c r="B319" s="149" t="str">
        <f>IFERROR(__xludf.DUMMYFUNCTION("""COMPUTED_VALUE"""),"Saco")</f>
        <v>Saco</v>
      </c>
      <c r="C319" s="149" t="str">
        <f>IFERROR(__xludf.DUMMYFUNCTION("""COMPUTED_VALUE"""),"ME")</f>
        <v>ME</v>
      </c>
      <c r="D319" s="149" t="str">
        <f>IFERROR(__xludf.DUMMYFUNCTION("""COMPUTED_VALUE"""),"USA")</f>
        <v>USA</v>
      </c>
      <c r="E319" s="156">
        <f>IFERROR(__xludf.DUMMYFUNCTION("""COMPUTED_VALUE"""),44410.0)</f>
        <v>44410</v>
      </c>
      <c r="F319" s="129"/>
      <c r="G319" s="154"/>
      <c r="H319" s="131"/>
      <c r="I319" s="132"/>
      <c r="J319" s="129"/>
      <c r="K319" s="133"/>
      <c r="L319" s="133"/>
      <c r="M319" s="133"/>
      <c r="N319" s="152" t="str">
        <f>IFERROR(__xludf.DUMMYFUNCTION("""COMPUTED_VALUE"""),"Model 3 SR+")</f>
        <v>Model 3 SR+</v>
      </c>
      <c r="O319" s="152" t="str">
        <f>IFERROR(__xludf.DUMMYFUNCTION("""COMPUTED_VALUE"""),"Pearl White Multi-Coat")</f>
        <v>Pearl White Multi-Coat</v>
      </c>
      <c r="P319" s="153" t="str">
        <f>IFERROR(__xludf.DUMMYFUNCTION("""COMPUTED_VALUE"""),"18 inch")</f>
        <v>18 inch</v>
      </c>
      <c r="Q319" s="152" t="str">
        <f>IFERROR(__xludf.DUMMYFUNCTION("""COMPUTED_VALUE"""),"Black and White")</f>
        <v>Black and White</v>
      </c>
      <c r="R319" s="150" t="str">
        <f>IFERROR(__xludf.DUMMYFUNCTION("""COMPUTED_VALUE"""),"Autopilot included")</f>
        <v>Autopilot included</v>
      </c>
      <c r="S319" s="150" t="str">
        <f>IFERROR(__xludf.DUMMYFUNCTION("""COMPUTED_VALUE"""),"Cash")</f>
        <v>Cash</v>
      </c>
      <c r="T319" s="136" t="str">
        <f>IFERROR(__xludf.DUMMYFUNCTION("""COMPUTED_VALUE"""),"Prius")</f>
        <v>Prius</v>
      </c>
      <c r="U319" s="136" t="str">
        <f>IFERROR(__xludf.DUMMYFUNCTION("""COMPUTED_VALUE"""),"Electric!")</f>
        <v>Electric!</v>
      </c>
      <c r="V319" s="136" t="str">
        <f>IFERROR(__xludf.DUMMYFUNCTION("""COMPUTED_VALUE"""),"Heated steering wheel")</f>
        <v>Heated steering wheel</v>
      </c>
      <c r="W319" s="136"/>
      <c r="X319" s="137"/>
      <c r="Y319" s="138"/>
      <c r="Z319" s="138"/>
      <c r="AA319" s="138"/>
      <c r="AB319" s="138"/>
      <c r="AC319" s="139"/>
      <c r="AD319" s="139"/>
      <c r="AE319" s="139"/>
      <c r="AF319" s="140"/>
      <c r="AG319" s="136"/>
      <c r="AH319" s="157">
        <f>IFERROR(__xludf.DUMMYFUNCTION("""COMPUTED_VALUE"""),44492.39639163195)</f>
        <v>44492.39639</v>
      </c>
      <c r="AI319" s="138"/>
      <c r="AJ319" s="138"/>
      <c r="AK319" s="138"/>
      <c r="AL319" s="142"/>
    </row>
    <row r="320" ht="20.25" customHeight="1">
      <c r="A320" s="155" t="str">
        <f>IFERROR(__xludf.DUMMYFUNCTION("""COMPUTED_VALUE"""),"Raxen")</f>
        <v>Raxen</v>
      </c>
      <c r="B320" s="149" t="str">
        <f>IFERROR(__xludf.DUMMYFUNCTION("""COMPUTED_VALUE"""),"Toronto")</f>
        <v>Toronto</v>
      </c>
      <c r="C320" s="149" t="str">
        <f>IFERROR(__xludf.DUMMYFUNCTION("""COMPUTED_VALUE"""),"ON")</f>
        <v>ON</v>
      </c>
      <c r="D320" s="149" t="str">
        <f>IFERROR(__xludf.DUMMYFUNCTION("""COMPUTED_VALUE"""),"Canada")</f>
        <v>Canada</v>
      </c>
      <c r="E320" s="156">
        <f>IFERROR(__xludf.DUMMYFUNCTION("""COMPUTED_VALUE"""),44410.0)</f>
        <v>44410</v>
      </c>
      <c r="F320" s="129">
        <f>IFERROR(__xludf.DUMMYFUNCTION("""COMPUTED_VALUE"""),44491.0)</f>
        <v>44491</v>
      </c>
      <c r="G320" s="154" t="str">
        <f>IFERROR(__xludf.DUMMYFUNCTION("""COMPUTED_VALUE"""),"Email")</f>
        <v>Email</v>
      </c>
      <c r="H320" s="131">
        <f>IFERROR(__xludf.DUMMYFUNCTION("""COMPUTED_VALUE"""),84755.0)</f>
        <v>84755</v>
      </c>
      <c r="I320" s="144"/>
      <c r="J320" s="129">
        <f>IFERROR(__xludf.DUMMYFUNCTION("""COMPUTED_VALUE"""),44492.0)</f>
        <v>44492</v>
      </c>
      <c r="K320" s="133">
        <f>IFERROR(__xludf.DUMMYFUNCTION("""COMPUTED_VALUE"""),81.0)</f>
        <v>81</v>
      </c>
      <c r="L320" s="133">
        <f>IFERROR(__xludf.DUMMYFUNCTION("""COMPUTED_VALUE"""),1.0)</f>
        <v>1</v>
      </c>
      <c r="M320" s="133">
        <f>IFERROR(__xludf.DUMMYFUNCTION("""COMPUTED_VALUE"""),82.0)</f>
        <v>82</v>
      </c>
      <c r="N320" s="152" t="str">
        <f>IFERROR(__xludf.DUMMYFUNCTION("""COMPUTED_VALUE"""),"Model 3 SR+")</f>
        <v>Model 3 SR+</v>
      </c>
      <c r="O320" s="152" t="str">
        <f>IFERROR(__xludf.DUMMYFUNCTION("""COMPUTED_VALUE"""),"Pearl White Multi-Coat")</f>
        <v>Pearl White Multi-Coat</v>
      </c>
      <c r="P320" s="153" t="str">
        <f>IFERROR(__xludf.DUMMYFUNCTION("""COMPUTED_VALUE"""),"18 inch")</f>
        <v>18 inch</v>
      </c>
      <c r="Q320" s="152" t="str">
        <f>IFERROR(__xludf.DUMMYFUNCTION("""COMPUTED_VALUE"""),"All Black")</f>
        <v>All Black</v>
      </c>
      <c r="R320" s="149" t="str">
        <f>IFERROR(__xludf.DUMMYFUNCTION("""COMPUTED_VALUE"""),"Autopilot included")</f>
        <v>Autopilot included</v>
      </c>
      <c r="S320" s="149" t="str">
        <f>IFERROR(__xludf.DUMMYFUNCTION("""COMPUTED_VALUE"""),"Loan")</f>
        <v>Loan</v>
      </c>
      <c r="T320" s="145"/>
      <c r="U320" s="145"/>
      <c r="V320" s="145" t="str">
        <f>IFERROR(__xludf.DUMMYFUNCTION("""COMPUTED_VALUE"""),"Apple CarPlay / Android Auto / SiriusXM Radio")</f>
        <v>Apple CarPlay / Android Auto / SiriusXM Radio</v>
      </c>
      <c r="W320" s="136"/>
      <c r="X320" s="137" t="str">
        <f>IFERROR(__xludf.DUMMYFUNCTION("""COMPUTED_VALUE"""),"Good")</f>
        <v>Good</v>
      </c>
      <c r="Y320" s="138" t="str">
        <f>IFERROR(__xludf.DUMMYFUNCTION("""COMPUTED_VALUE"""),"Excellent")</f>
        <v>Excellent</v>
      </c>
      <c r="Z320" s="138" t="str">
        <f>IFERROR(__xludf.DUMMYFUNCTION("""COMPUTED_VALUE"""),"Excellent")</f>
        <v>Excellent</v>
      </c>
      <c r="AA320" s="138" t="str">
        <f>IFERROR(__xludf.DUMMYFUNCTION("""COMPUTED_VALUE"""),"Fair")</f>
        <v>Fair</v>
      </c>
      <c r="AB320" s="138" t="str">
        <f>IFERROR(__xludf.DUMMYFUNCTION("""COMPUTED_VALUE"""),"Good")</f>
        <v>Good</v>
      </c>
      <c r="AC320" s="139">
        <f>IFERROR(__xludf.DUMMYFUNCTION("""COMPUTED_VALUE"""),3.0)</f>
        <v>3</v>
      </c>
      <c r="AD320" s="139"/>
      <c r="AE320" s="139"/>
      <c r="AF320" s="140" t="str">
        <f>IFERROR(__xludf.DUMMYFUNCTION("""COMPUTED_VALUE"""),"No. I took delivery of the first car Tesla was able to deliver.")</f>
        <v>No. I took delivery of the first car Tesla was able to deliver.</v>
      </c>
      <c r="AG320" s="136" t="str">
        <f>IFERROR(__xludf.DUMMYFUNCTION("""COMPUTED_VALUE"""),"Sales Advisor informed me of a white available so I changed from blue to white and took delivery. ")</f>
        <v>Sales Advisor informed me of a white available so I changed from blue to white and took delivery. </v>
      </c>
      <c r="AH320" s="157">
        <f>IFERROR(__xludf.DUMMYFUNCTION("""COMPUTED_VALUE"""),44493.86641581019)</f>
        <v>44493.86642</v>
      </c>
      <c r="AI320" s="138"/>
      <c r="AJ320" s="138"/>
      <c r="AK320" s="138"/>
      <c r="AL320" s="142"/>
    </row>
    <row r="321" ht="20.25" customHeight="1">
      <c r="A321" s="155" t="str">
        <f>IFERROR(__xludf.DUMMYFUNCTION("""COMPUTED_VALUE"""),"Rowland'sM3P")</f>
        <v>Rowland'sM3P</v>
      </c>
      <c r="B321" s="149" t="str">
        <f>IFERROR(__xludf.DUMMYFUNCTION("""COMPUTED_VALUE"""),"Atlanta")</f>
        <v>Atlanta</v>
      </c>
      <c r="C321" s="149" t="str">
        <f>IFERROR(__xludf.DUMMYFUNCTION("""COMPUTED_VALUE"""),"GA")</f>
        <v>GA</v>
      </c>
      <c r="D321" s="149" t="str">
        <f>IFERROR(__xludf.DUMMYFUNCTION("""COMPUTED_VALUE"""),"USA")</f>
        <v>USA</v>
      </c>
      <c r="E321" s="156">
        <f>IFERROR(__xludf.DUMMYFUNCTION("""COMPUTED_VALUE"""),44410.0)</f>
        <v>44410</v>
      </c>
      <c r="F321" s="129">
        <f>IFERROR(__xludf.DUMMYFUNCTION("""COMPUTED_VALUE"""),44418.0)</f>
        <v>44418</v>
      </c>
      <c r="G321" s="154" t="str">
        <f>IFERROR(__xludf.DUMMYFUNCTION("""COMPUTED_VALUE"""),"Manage order page (normal text)")</f>
        <v>Manage order page (normal text)</v>
      </c>
      <c r="H321" s="131">
        <f>IFERROR(__xludf.DUMMYFUNCTION("""COMPUTED_VALUE"""),34755.0)</f>
        <v>34755</v>
      </c>
      <c r="I321" s="144"/>
      <c r="J321" s="129">
        <f>IFERROR(__xludf.DUMMYFUNCTION("""COMPUTED_VALUE"""),44436.0)</f>
        <v>44436</v>
      </c>
      <c r="K321" s="133">
        <f>IFERROR(__xludf.DUMMYFUNCTION("""COMPUTED_VALUE"""),8.0)</f>
        <v>8</v>
      </c>
      <c r="L321" s="133">
        <f>IFERROR(__xludf.DUMMYFUNCTION("""COMPUTED_VALUE"""),18.0)</f>
        <v>18</v>
      </c>
      <c r="M321" s="133">
        <f>IFERROR(__xludf.DUMMYFUNCTION("""COMPUTED_VALUE"""),26.0)</f>
        <v>26</v>
      </c>
      <c r="N321" s="152" t="str">
        <f>IFERROR(__xludf.DUMMYFUNCTION("""COMPUTED_VALUE"""),"Model 3 Performance")</f>
        <v>Model 3 Performance</v>
      </c>
      <c r="O321" s="152" t="str">
        <f>IFERROR(__xludf.DUMMYFUNCTION("""COMPUTED_VALUE"""),"Pearl White Multi-Coat")</f>
        <v>Pearl White Multi-Coat</v>
      </c>
      <c r="P321" s="153" t="str">
        <f>IFERROR(__xludf.DUMMYFUNCTION("""COMPUTED_VALUE"""),"20 inch")</f>
        <v>20 inch</v>
      </c>
      <c r="Q321" s="152" t="str">
        <f>IFERROR(__xludf.DUMMYFUNCTION("""COMPUTED_VALUE"""),"All Black")</f>
        <v>All Black</v>
      </c>
      <c r="R321" s="149" t="str">
        <f>IFERROR(__xludf.DUMMYFUNCTION("""COMPUTED_VALUE"""),"Autopilot included")</f>
        <v>Autopilot included</v>
      </c>
      <c r="S321" s="149" t="str">
        <f>IFERROR(__xludf.DUMMYFUNCTION("""COMPUTED_VALUE"""),"Loan")</f>
        <v>Loan</v>
      </c>
      <c r="T321" s="145" t="str">
        <f>IFERROR(__xludf.DUMMYFUNCTION("""COMPUTED_VALUE"""),"Volkswagen Jetta")</f>
        <v>Volkswagen Jetta</v>
      </c>
      <c r="U321" s="145" t="str">
        <f>IFERROR(__xludf.DUMMYFUNCTION("""COMPUTED_VALUE"""),"Fast &amp; Safe")</f>
        <v>Fast &amp; Safe</v>
      </c>
      <c r="V321" s="145" t="str">
        <f>IFERROR(__xludf.DUMMYFUNCTION("""COMPUTED_VALUE"""),"Better maps, blind spot indicators, and HUD")</f>
        <v>Better maps, blind spot indicators, and HUD</v>
      </c>
      <c r="W321" s="136" t="str">
        <f>IFERROR(__xludf.DUMMYFUNCTION("""COMPUTED_VALUE"""),"Potentially get to dealer before delivery appointment. I believe my car was hit in parking lot about hour before appointment.")</f>
        <v>Potentially get to dealer before delivery appointment. I believe my car was hit in parking lot about hour before appointment.</v>
      </c>
      <c r="X321" s="137"/>
      <c r="Y321" s="138"/>
      <c r="Z321" s="138"/>
      <c r="AA321" s="138" t="str">
        <f>IFERROR(__xludf.DUMMYFUNCTION("""COMPUTED_VALUE"""),"Good")</f>
        <v>Good</v>
      </c>
      <c r="AB321" s="138" t="str">
        <f>IFERROR(__xludf.DUMMYFUNCTION("""COMPUTED_VALUE"""),"Poor")</f>
        <v>Poor</v>
      </c>
      <c r="AC321" s="139">
        <f>IFERROR(__xludf.DUMMYFUNCTION("""COMPUTED_VALUE"""),1.0)</f>
        <v>1</v>
      </c>
      <c r="AD321" s="139">
        <f>IFERROR(__xludf.DUMMYFUNCTION("""COMPUTED_VALUE"""),1.0)</f>
        <v>1</v>
      </c>
      <c r="AE321" s="139"/>
      <c r="AF321" s="140" t="str">
        <f>IFERROR(__xludf.DUMMYFUNCTION("""COMPUTED_VALUE"""),"My car arrived in 'undeliverable condition. Tesla is either going to fix bumper or provide another car.")</f>
        <v>My car arrived in 'undeliverable condition. Tesla is either going to fix bumper or provide another car.</v>
      </c>
      <c r="AG321" s="136" t="str">
        <f>IFERROR(__xludf.DUMMYFUNCTION("""COMPUTED_VALUE"""),"Really wish Tesla would show me car damage before stating it's undeliverable. From the sounds of severity I have trouble believing it occurred in transit.")</f>
        <v>Really wish Tesla would show me car damage before stating it's undeliverable. From the sounds of severity I have trouble believing it occurred in transit.</v>
      </c>
      <c r="AH321" s="157">
        <f>IFERROR(__xludf.DUMMYFUNCTION("""COMPUTED_VALUE"""),44438.4245443287)</f>
        <v>44438.42454</v>
      </c>
      <c r="AI321" s="138"/>
      <c r="AJ321" s="138"/>
      <c r="AK321" s="138"/>
      <c r="AL321" s="142"/>
    </row>
    <row r="322" ht="20.25" customHeight="1">
      <c r="A322" s="155" t="str">
        <f>IFERROR(__xludf.DUMMYFUNCTION("""COMPUTED_VALUE"""),"_SunShine")</f>
        <v>_SunShine</v>
      </c>
      <c r="B322" s="149" t="str">
        <f>IFERROR(__xludf.DUMMYFUNCTION("""COMPUTED_VALUE"""),"Düsseldorf")</f>
        <v>Düsseldorf</v>
      </c>
      <c r="C322" s="149"/>
      <c r="D322" s="149" t="str">
        <f>IFERROR(__xludf.DUMMYFUNCTION("""COMPUTED_VALUE"""),"Germany")</f>
        <v>Germany</v>
      </c>
      <c r="E322" s="156">
        <f>IFERROR(__xludf.DUMMYFUNCTION("""COMPUTED_VALUE"""),44409.0)</f>
        <v>44409</v>
      </c>
      <c r="F322" s="129"/>
      <c r="G322" s="154"/>
      <c r="H322" s="131"/>
      <c r="I322" s="144" t="str">
        <f>IFERROR(__xludf.DUMMYFUNCTION("""COMPUTED_VALUE"""),"10/21")</f>
        <v>10/21</v>
      </c>
      <c r="J322" s="129"/>
      <c r="K322" s="133"/>
      <c r="L322" s="133"/>
      <c r="M322" s="133"/>
      <c r="N322" s="152" t="str">
        <f>IFERROR(__xludf.DUMMYFUNCTION("""COMPUTED_VALUE"""),"Model 3 LR AWD")</f>
        <v>Model 3 LR AWD</v>
      </c>
      <c r="O322" s="152" t="str">
        <f>IFERROR(__xludf.DUMMYFUNCTION("""COMPUTED_VALUE"""),"Pearl White Multi-Coat")</f>
        <v>Pearl White Multi-Coat</v>
      </c>
      <c r="P322" s="153" t="str">
        <f>IFERROR(__xludf.DUMMYFUNCTION("""COMPUTED_VALUE"""),"18 inch")</f>
        <v>18 inch</v>
      </c>
      <c r="Q322" s="152" t="str">
        <f>IFERROR(__xludf.DUMMYFUNCTION("""COMPUTED_VALUE"""),"All Black")</f>
        <v>All Black</v>
      </c>
      <c r="R322" s="149"/>
      <c r="S322" s="149" t="str">
        <f>IFERROR(__xludf.DUMMYFUNCTION("""COMPUTED_VALUE"""),"Cash")</f>
        <v>Cash</v>
      </c>
      <c r="T322" s="145" t="str">
        <f>IFERROR(__xludf.DUMMYFUNCTION("""COMPUTED_VALUE"""),"BMW 3 Series")</f>
        <v>BMW 3 Series</v>
      </c>
      <c r="U322" s="145" t="str">
        <f>IFERROR(__xludf.DUMMYFUNCTION("""COMPUTED_VALUE"""),"Tesla brand image")</f>
        <v>Tesla brand image</v>
      </c>
      <c r="V322" s="145" t="str">
        <f>IFERROR(__xludf.DUMMYFUNCTION("""COMPUTED_VALUE"""),"360° Bird's eye view")</f>
        <v>360° Bird's eye view</v>
      </c>
      <c r="W322" s="136"/>
      <c r="X322" s="137"/>
      <c r="Y322" s="138"/>
      <c r="Z322" s="138"/>
      <c r="AA322" s="138"/>
      <c r="AB322" s="138"/>
      <c r="AC322" s="139"/>
      <c r="AD322" s="139"/>
      <c r="AE322" s="139"/>
      <c r="AF322" s="140"/>
      <c r="AG322" s="136"/>
      <c r="AH322" s="157">
        <f>IFERROR(__xludf.DUMMYFUNCTION("""COMPUTED_VALUE"""),44473.36951991898)</f>
        <v>44473.36952</v>
      </c>
      <c r="AI322" s="138"/>
      <c r="AJ322" s="138"/>
      <c r="AK322" s="138"/>
      <c r="AL322" s="142"/>
    </row>
    <row r="323" ht="20.25" customHeight="1">
      <c r="A323" s="155" t="str">
        <f>IFERROR(__xludf.DUMMYFUNCTION("""COMPUTED_VALUE"""),"MyByulTae")</f>
        <v>MyByulTae</v>
      </c>
      <c r="B323" s="149" t="str">
        <f>IFERROR(__xludf.DUMMYFUNCTION("""COMPUTED_VALUE"""),"Las Vegas")</f>
        <v>Las Vegas</v>
      </c>
      <c r="C323" s="150" t="str">
        <f>IFERROR(__xludf.DUMMYFUNCTION("""COMPUTED_VALUE"""),"NV")</f>
        <v>NV</v>
      </c>
      <c r="D323" s="150" t="str">
        <f>IFERROR(__xludf.DUMMYFUNCTION("""COMPUTED_VALUE"""),"USA")</f>
        <v>USA</v>
      </c>
      <c r="E323" s="156">
        <f>IFERROR(__xludf.DUMMYFUNCTION("""COMPUTED_VALUE"""),44409.0)</f>
        <v>44409</v>
      </c>
      <c r="F323" s="129">
        <f>IFERROR(__xludf.DUMMYFUNCTION("""COMPUTED_VALUE"""),44454.0)</f>
        <v>44454</v>
      </c>
      <c r="G323" s="154" t="str">
        <f>IFERROR(__xludf.DUMMYFUNCTION("""COMPUTED_VALUE"""),"Manage order page (normal text)")</f>
        <v>Manage order page (normal text)</v>
      </c>
      <c r="H323" s="131">
        <f>IFERROR(__xludf.DUMMYFUNCTION("""COMPUTED_VALUE"""),67455.0)</f>
        <v>67455</v>
      </c>
      <c r="I323" s="144"/>
      <c r="J323" s="129">
        <f>IFERROR(__xludf.DUMMYFUNCTION("""COMPUTED_VALUE"""),44457.0)</f>
        <v>44457</v>
      </c>
      <c r="K323" s="133">
        <f>IFERROR(__xludf.DUMMYFUNCTION("""COMPUTED_VALUE"""),45.0)</f>
        <v>45</v>
      </c>
      <c r="L323" s="133">
        <f>IFERROR(__xludf.DUMMYFUNCTION("""COMPUTED_VALUE"""),3.0)</f>
        <v>3</v>
      </c>
      <c r="M323" s="133">
        <f>IFERROR(__xludf.DUMMYFUNCTION("""COMPUTED_VALUE"""),48.0)</f>
        <v>48</v>
      </c>
      <c r="N323" s="152" t="str">
        <f>IFERROR(__xludf.DUMMYFUNCTION("""COMPUTED_VALUE"""),"Model 3 LR AWD")</f>
        <v>Model 3 LR AWD</v>
      </c>
      <c r="O323" s="152" t="str">
        <f>IFERROR(__xludf.DUMMYFUNCTION("""COMPUTED_VALUE"""),"Midnight Silver Metallic")</f>
        <v>Midnight Silver Metallic</v>
      </c>
      <c r="P323" s="153" t="str">
        <f>IFERROR(__xludf.DUMMYFUNCTION("""COMPUTED_VALUE"""),"18 inch")</f>
        <v>18 inch</v>
      </c>
      <c r="Q323" s="152" t="str">
        <f>IFERROR(__xludf.DUMMYFUNCTION("""COMPUTED_VALUE"""),"All Black")</f>
        <v>All Black</v>
      </c>
      <c r="R323" s="149" t="str">
        <f>IFERROR(__xludf.DUMMYFUNCTION("""COMPUTED_VALUE"""),"Autopilot included")</f>
        <v>Autopilot included</v>
      </c>
      <c r="S323" s="149" t="str">
        <f>IFERROR(__xludf.DUMMYFUNCTION("""COMPUTED_VALUE"""),"Loan")</f>
        <v>Loan</v>
      </c>
      <c r="T323" s="145" t="str">
        <f>IFERROR(__xludf.DUMMYFUNCTION("""COMPUTED_VALUE"""),"Honda Accord")</f>
        <v>Honda Accord</v>
      </c>
      <c r="U323" s="145" t="str">
        <f>IFERROR(__xludf.DUMMYFUNCTION("""COMPUTED_VALUE"""),"Tesla brand image")</f>
        <v>Tesla brand image</v>
      </c>
      <c r="V323" s="145" t="str">
        <f>IFERROR(__xludf.DUMMYFUNCTION("""COMPUTED_VALUE"""),"Apple CarPlay / Android Auto / SiriusXM Radio")</f>
        <v>Apple CarPlay / Android Auto / SiriusXM Radio</v>
      </c>
      <c r="W323" s="145"/>
      <c r="X323" s="137" t="str">
        <f>IFERROR(__xludf.DUMMYFUNCTION("""COMPUTED_VALUE"""),"Good")</f>
        <v>Good</v>
      </c>
      <c r="Y323" s="138" t="str">
        <f>IFERROR(__xludf.DUMMYFUNCTION("""COMPUTED_VALUE"""),"Very Good")</f>
        <v>Very Good</v>
      </c>
      <c r="Z323" s="138" t="str">
        <f>IFERROR(__xludf.DUMMYFUNCTION("""COMPUTED_VALUE"""),"Very Good")</f>
        <v>Very Good</v>
      </c>
      <c r="AA323" s="138" t="str">
        <f>IFERROR(__xludf.DUMMYFUNCTION("""COMPUTED_VALUE"""),"Excellent")</f>
        <v>Excellent</v>
      </c>
      <c r="AB323" s="138" t="str">
        <f>IFERROR(__xludf.DUMMYFUNCTION("""COMPUTED_VALUE"""),"Excellent")</f>
        <v>Excellent</v>
      </c>
      <c r="AC323" s="139">
        <f>IFERROR(__xludf.DUMMYFUNCTION("""COMPUTED_VALUE"""),2.0)</f>
        <v>2</v>
      </c>
      <c r="AD323" s="139">
        <f>IFERROR(__xludf.DUMMYFUNCTION("""COMPUTED_VALUE"""),1.0)</f>
        <v>1</v>
      </c>
      <c r="AE323" s="139">
        <f>IFERROR(__xludf.DUMMYFUNCTION("""COMPUTED_VALUE"""),0.0)</f>
        <v>0</v>
      </c>
      <c r="AF323" s="140" t="str">
        <f>IFERROR(__xludf.DUMMYFUNCTION("""COMPUTED_VALUE"""),"No. I took delivery of the first car Tesla was able to deliver.")</f>
        <v>No. I took delivery of the first car Tesla was able to deliver.</v>
      </c>
      <c r="AG323" s="145" t="str">
        <f>IFERROR(__xludf.DUMMYFUNCTION("""COMPUTED_VALUE"""),"Had misaligned trunk, mobile service appt made and fixed on the spot!")</f>
        <v>Had misaligned trunk, mobile service appt made and fixed on the spot!</v>
      </c>
      <c r="AH323" s="157">
        <f>IFERROR(__xludf.DUMMYFUNCTION("""COMPUTED_VALUE"""),44473.75100527778)</f>
        <v>44473.75101</v>
      </c>
      <c r="AI323" s="138"/>
      <c r="AJ323" s="138"/>
      <c r="AK323" s="138"/>
      <c r="AL323" s="142"/>
    </row>
    <row r="324" ht="20.25" customHeight="1">
      <c r="A324" s="155" t="str">
        <f>IFERROR(__xludf.DUMMYFUNCTION("""COMPUTED_VALUE"""),"Offended")</f>
        <v>Offended</v>
      </c>
      <c r="B324" s="149" t="str">
        <f>IFERROR(__xludf.DUMMYFUNCTION("""COMPUTED_VALUE"""),"Seattle")</f>
        <v>Seattle</v>
      </c>
      <c r="C324" s="149" t="str">
        <f>IFERROR(__xludf.DUMMYFUNCTION("""COMPUTED_VALUE"""),"WA")</f>
        <v>WA</v>
      </c>
      <c r="D324" s="149" t="str">
        <f>IFERROR(__xludf.DUMMYFUNCTION("""COMPUTED_VALUE"""),"USA")</f>
        <v>USA</v>
      </c>
      <c r="E324" s="156">
        <f>IFERROR(__xludf.DUMMYFUNCTION("""COMPUTED_VALUE"""),44409.0)</f>
        <v>44409</v>
      </c>
      <c r="F324" s="129"/>
      <c r="G324" s="154"/>
      <c r="H324" s="131"/>
      <c r="I324" s="144"/>
      <c r="J324" s="129"/>
      <c r="K324" s="133"/>
      <c r="L324" s="133"/>
      <c r="M324" s="133"/>
      <c r="N324" s="152" t="str">
        <f>IFERROR(__xludf.DUMMYFUNCTION("""COMPUTED_VALUE"""),"Model 3 Performance")</f>
        <v>Model 3 Performance</v>
      </c>
      <c r="O324" s="152" t="str">
        <f>IFERROR(__xludf.DUMMYFUNCTION("""COMPUTED_VALUE"""),"Pearl White Multi-Coat")</f>
        <v>Pearl White Multi-Coat</v>
      </c>
      <c r="P324" s="153" t="str">
        <f>IFERROR(__xludf.DUMMYFUNCTION("""COMPUTED_VALUE"""),"20 inch")</f>
        <v>20 inch</v>
      </c>
      <c r="Q324" s="152" t="str">
        <f>IFERROR(__xludf.DUMMYFUNCTION("""COMPUTED_VALUE"""),"Black and White")</f>
        <v>Black and White</v>
      </c>
      <c r="R324" s="149" t="str">
        <f>IFERROR(__xludf.DUMMYFUNCTION("""COMPUTED_VALUE"""),"Autopilot included")</f>
        <v>Autopilot included</v>
      </c>
      <c r="S324" s="149" t="str">
        <f>IFERROR(__xludf.DUMMYFUNCTION("""COMPUTED_VALUE"""),"Cash")</f>
        <v>Cash</v>
      </c>
      <c r="T324" s="145"/>
      <c r="U324" s="145"/>
      <c r="V324" s="145"/>
      <c r="W324" s="145"/>
      <c r="X324" s="137"/>
      <c r="Y324" s="138"/>
      <c r="Z324" s="138"/>
      <c r="AA324" s="138"/>
      <c r="AB324" s="138"/>
      <c r="AC324" s="139"/>
      <c r="AD324" s="139"/>
      <c r="AE324" s="139"/>
      <c r="AF324" s="140"/>
      <c r="AG324" s="136"/>
      <c r="AH324" s="157">
        <f>IFERROR(__xludf.DUMMYFUNCTION("""COMPUTED_VALUE"""),44436.80196362269)</f>
        <v>44436.80196</v>
      </c>
      <c r="AI324" s="138"/>
      <c r="AJ324" s="138"/>
      <c r="AK324" s="138"/>
      <c r="AL324" s="142"/>
    </row>
    <row r="325" ht="20.25" customHeight="1">
      <c r="A325" s="155" t="str">
        <f>IFERROR(__xludf.DUMMYFUNCTION("""COMPUTED_VALUE"""),"Quanto")</f>
        <v>Quanto</v>
      </c>
      <c r="B325" s="149" t="str">
        <f>IFERROR(__xludf.DUMMYFUNCTION("""COMPUTED_VALUE"""),"Barrie")</f>
        <v>Barrie</v>
      </c>
      <c r="C325" s="149" t="str">
        <f>IFERROR(__xludf.DUMMYFUNCTION("""COMPUTED_VALUE"""),"ON")</f>
        <v>ON</v>
      </c>
      <c r="D325" s="149" t="str">
        <f>IFERROR(__xludf.DUMMYFUNCTION("""COMPUTED_VALUE"""),"Canada")</f>
        <v>Canada</v>
      </c>
      <c r="E325" s="156">
        <f>IFERROR(__xludf.DUMMYFUNCTION("""COMPUTED_VALUE"""),44409.0)</f>
        <v>44409</v>
      </c>
      <c r="F325" s="129"/>
      <c r="G325" s="154"/>
      <c r="H325" s="131"/>
      <c r="I325" s="144"/>
      <c r="J325" s="129"/>
      <c r="K325" s="133"/>
      <c r="L325" s="133"/>
      <c r="M325" s="133"/>
      <c r="N325" s="152" t="str">
        <f>IFERROR(__xludf.DUMMYFUNCTION("""COMPUTED_VALUE"""),"Model 3 LR AWD")</f>
        <v>Model 3 LR AWD</v>
      </c>
      <c r="O325" s="152" t="str">
        <f>IFERROR(__xludf.DUMMYFUNCTION("""COMPUTED_VALUE"""),"Deep Blue Metallic")</f>
        <v>Deep Blue Metallic</v>
      </c>
      <c r="P325" s="153" t="str">
        <f>IFERROR(__xludf.DUMMYFUNCTION("""COMPUTED_VALUE"""),"18 inch")</f>
        <v>18 inch</v>
      </c>
      <c r="Q325" s="152" t="str">
        <f>IFERROR(__xludf.DUMMYFUNCTION("""COMPUTED_VALUE"""),"All Black")</f>
        <v>All Black</v>
      </c>
      <c r="R325" s="149" t="str">
        <f>IFERROR(__xludf.DUMMYFUNCTION("""COMPUTED_VALUE"""),"Autopilot included")</f>
        <v>Autopilot included</v>
      </c>
      <c r="S325" s="149" t="str">
        <f>IFERROR(__xludf.DUMMYFUNCTION("""COMPUTED_VALUE"""),"Loan")</f>
        <v>Loan</v>
      </c>
      <c r="T325" s="145"/>
      <c r="U325" s="145" t="str">
        <f>IFERROR(__xludf.DUMMYFUNCTION("""COMPUTED_VALUE"""),"Electric!")</f>
        <v>Electric!</v>
      </c>
      <c r="V325" s="145" t="str">
        <f>IFERROR(__xludf.DUMMYFUNCTION("""COMPUTED_VALUE"""),"Apple CarPlay / Android Auto / SiriusXM Radio")</f>
        <v>Apple CarPlay / Android Auto / SiriusXM Radio</v>
      </c>
      <c r="W325" s="145"/>
      <c r="X325" s="137"/>
      <c r="Y325" s="138"/>
      <c r="Z325" s="138"/>
      <c r="AA325" s="138"/>
      <c r="AB325" s="138"/>
      <c r="AC325" s="139"/>
      <c r="AD325" s="139"/>
      <c r="AE325" s="139"/>
      <c r="AF325" s="140"/>
      <c r="AG325" s="145"/>
      <c r="AH325" s="157">
        <f>IFERROR(__xludf.DUMMYFUNCTION("""COMPUTED_VALUE"""),44456.79047105324)</f>
        <v>44456.79047</v>
      </c>
      <c r="AI325" s="138"/>
      <c r="AJ325" s="138"/>
      <c r="AK325" s="138"/>
      <c r="AL325" s="142"/>
    </row>
    <row r="326" ht="20.25" customHeight="1">
      <c r="A326" s="155" t="str">
        <f>IFERROR(__xludf.DUMMYFUNCTION("""COMPUTED_VALUE"""),"Sverdrup")</f>
        <v>Sverdrup</v>
      </c>
      <c r="B326" s="149" t="str">
        <f>IFERROR(__xludf.DUMMYFUNCTION("""COMPUTED_VALUE"""),"Quebec city")</f>
        <v>Quebec city</v>
      </c>
      <c r="C326" s="149" t="str">
        <f>IFERROR(__xludf.DUMMYFUNCTION("""COMPUTED_VALUE"""),"QC")</f>
        <v>QC</v>
      </c>
      <c r="D326" s="149" t="str">
        <f>IFERROR(__xludf.DUMMYFUNCTION("""COMPUTED_VALUE"""),"Canada")</f>
        <v>Canada</v>
      </c>
      <c r="E326" s="156">
        <f>IFERROR(__xludf.DUMMYFUNCTION("""COMPUTED_VALUE"""),44409.0)</f>
        <v>44409</v>
      </c>
      <c r="F326" s="129">
        <f>IFERROR(__xludf.DUMMYFUNCTION("""COMPUTED_VALUE"""),44492.0)</f>
        <v>44492</v>
      </c>
      <c r="G326" s="154" t="str">
        <f>IFERROR(__xludf.DUMMYFUNCTION("""COMPUTED_VALUE"""),"MVPA")</f>
        <v>MVPA</v>
      </c>
      <c r="H326" s="131"/>
      <c r="I326" s="144"/>
      <c r="J326" s="129">
        <f>IFERROR(__xludf.DUMMYFUNCTION("""COMPUTED_VALUE"""),44509.0)</f>
        <v>44509</v>
      </c>
      <c r="K326" s="133">
        <f>IFERROR(__xludf.DUMMYFUNCTION("""COMPUTED_VALUE"""),83.0)</f>
        <v>83</v>
      </c>
      <c r="L326" s="133">
        <f>IFERROR(__xludf.DUMMYFUNCTION("""COMPUTED_VALUE"""),17.0)</f>
        <v>17</v>
      </c>
      <c r="M326" s="133">
        <f>IFERROR(__xludf.DUMMYFUNCTION("""COMPUTED_VALUE"""),100.0)</f>
        <v>100</v>
      </c>
      <c r="N326" s="152" t="str">
        <f>IFERROR(__xludf.DUMMYFUNCTION("""COMPUTED_VALUE"""),"Model 3 SR+")</f>
        <v>Model 3 SR+</v>
      </c>
      <c r="O326" s="152" t="str">
        <f>IFERROR(__xludf.DUMMYFUNCTION("""COMPUTED_VALUE"""),"Midnight Silver Metallic")</f>
        <v>Midnight Silver Metallic</v>
      </c>
      <c r="P326" s="153" t="str">
        <f>IFERROR(__xludf.DUMMYFUNCTION("""COMPUTED_VALUE"""),"18 inch")</f>
        <v>18 inch</v>
      </c>
      <c r="Q326" s="152" t="str">
        <f>IFERROR(__xludf.DUMMYFUNCTION("""COMPUTED_VALUE"""),"All Black")</f>
        <v>All Black</v>
      </c>
      <c r="R326" s="149" t="str">
        <f>IFERROR(__xludf.DUMMYFUNCTION("""COMPUTED_VALUE"""),"Autopilot included")</f>
        <v>Autopilot included</v>
      </c>
      <c r="S326" s="149" t="str">
        <f>IFERROR(__xludf.DUMMYFUNCTION("""COMPUTED_VALUE"""),"Cash")</f>
        <v>Cash</v>
      </c>
      <c r="T326" s="145" t="str">
        <f>IFERROR(__xludf.DUMMYFUNCTION("""COMPUTED_VALUE"""),"Chevy Bolt")</f>
        <v>Chevy Bolt</v>
      </c>
      <c r="U326" s="145" t="str">
        <f>IFERROR(__xludf.DUMMYFUNCTION("""COMPUTED_VALUE"""),"Electric!")</f>
        <v>Electric!</v>
      </c>
      <c r="V326" s="145"/>
      <c r="W326" s="145"/>
      <c r="X326" s="137"/>
      <c r="Y326" s="138"/>
      <c r="Z326" s="138"/>
      <c r="AA326" s="138"/>
      <c r="AB326" s="138"/>
      <c r="AC326" s="139"/>
      <c r="AD326" s="139"/>
      <c r="AE326" s="139"/>
      <c r="AF326" s="140"/>
      <c r="AG326" s="145"/>
      <c r="AH326" s="157">
        <f>IFERROR(__xludf.DUMMYFUNCTION("""COMPUTED_VALUE"""),44503.17802721065)</f>
        <v>44503.17803</v>
      </c>
      <c r="AI326" s="138"/>
      <c r="AJ326" s="138"/>
      <c r="AK326" s="138"/>
      <c r="AL326" s="142"/>
    </row>
    <row r="327" ht="20.25" customHeight="1">
      <c r="A327" s="155" t="str">
        <f>IFERROR(__xludf.DUMMYFUNCTION("""COMPUTED_VALUE"""),"ArthurL")</f>
        <v>ArthurL</v>
      </c>
      <c r="B327" s="149" t="str">
        <f>IFERROR(__xludf.DUMMYFUNCTION("""COMPUTED_VALUE"""),"Holmdel")</f>
        <v>Holmdel</v>
      </c>
      <c r="C327" s="149" t="str">
        <f>IFERROR(__xludf.DUMMYFUNCTION("""COMPUTED_VALUE"""),"NJ")</f>
        <v>NJ</v>
      </c>
      <c r="D327" s="149" t="str">
        <f>IFERROR(__xludf.DUMMYFUNCTION("""COMPUTED_VALUE"""),"USA")</f>
        <v>USA</v>
      </c>
      <c r="E327" s="156">
        <f>IFERROR(__xludf.DUMMYFUNCTION("""COMPUTED_VALUE"""),44408.0)</f>
        <v>44408</v>
      </c>
      <c r="F327" s="129">
        <f>IFERROR(__xludf.DUMMYFUNCTION("""COMPUTED_VALUE"""),44488.0)</f>
        <v>44488</v>
      </c>
      <c r="G327" s="154" t="str">
        <f>IFERROR(__xludf.DUMMYFUNCTION("""COMPUTED_VALUE"""),"Manage order page (normal text)")</f>
        <v>Manage order page (normal text)</v>
      </c>
      <c r="H327" s="131">
        <f>IFERROR(__xludf.DUMMYFUNCTION("""COMPUTED_VALUE"""),85055.0)</f>
        <v>85055</v>
      </c>
      <c r="I327" s="144" t="str">
        <f>IFERROR(__xludf.DUMMYFUNCTION("""COMPUTED_VALUE"""),"10/21")</f>
        <v>10/21</v>
      </c>
      <c r="J327" s="129">
        <f>IFERROR(__xludf.DUMMYFUNCTION("""COMPUTED_VALUE"""),44492.0)</f>
        <v>44492</v>
      </c>
      <c r="K327" s="133">
        <f>IFERROR(__xludf.DUMMYFUNCTION("""COMPUTED_VALUE"""),80.0)</f>
        <v>80</v>
      </c>
      <c r="L327" s="133">
        <f>IFERROR(__xludf.DUMMYFUNCTION("""COMPUTED_VALUE"""),4.0)</f>
        <v>4</v>
      </c>
      <c r="M327" s="133">
        <f>IFERROR(__xludf.DUMMYFUNCTION("""COMPUTED_VALUE"""),84.0)</f>
        <v>84</v>
      </c>
      <c r="N327" s="152" t="str">
        <f>IFERROR(__xludf.DUMMYFUNCTION("""COMPUTED_VALUE"""),"Model 3 SR+")</f>
        <v>Model 3 SR+</v>
      </c>
      <c r="O327" s="152" t="str">
        <f>IFERROR(__xludf.DUMMYFUNCTION("""COMPUTED_VALUE"""),"Deep Blue Metallic")</f>
        <v>Deep Blue Metallic</v>
      </c>
      <c r="P327" s="153" t="str">
        <f>IFERROR(__xludf.DUMMYFUNCTION("""COMPUTED_VALUE"""),"19 inch")</f>
        <v>19 inch</v>
      </c>
      <c r="Q327" s="152" t="str">
        <f>IFERROR(__xludf.DUMMYFUNCTION("""COMPUTED_VALUE"""),"Black and White")</f>
        <v>Black and White</v>
      </c>
      <c r="R327" s="149" t="str">
        <f>IFERROR(__xludf.DUMMYFUNCTION("""COMPUTED_VALUE"""),"Autopilot included")</f>
        <v>Autopilot included</v>
      </c>
      <c r="S327" s="149" t="str">
        <f>IFERROR(__xludf.DUMMYFUNCTION("""COMPUTED_VALUE"""),"Loan")</f>
        <v>Loan</v>
      </c>
      <c r="T327" s="145" t="str">
        <f>IFERROR(__xludf.DUMMYFUNCTION("""COMPUTED_VALUE"""),"Lexus RX350")</f>
        <v>Lexus RX350</v>
      </c>
      <c r="U327" s="145" t="str">
        <f>IFERROR(__xludf.DUMMYFUNCTION("""COMPUTED_VALUE"""),"Great Value!")</f>
        <v>Great Value!</v>
      </c>
      <c r="V327" s="145" t="str">
        <f>IFERROR(__xludf.DUMMYFUNCTION("""COMPUTED_VALUE"""),"Ventilated seats")</f>
        <v>Ventilated seats</v>
      </c>
      <c r="W327" s="136"/>
      <c r="X327" s="137" t="str">
        <f>IFERROR(__xludf.DUMMYFUNCTION("""COMPUTED_VALUE"""),"Excellent")</f>
        <v>Excellent</v>
      </c>
      <c r="Y327" s="138" t="str">
        <f>IFERROR(__xludf.DUMMYFUNCTION("""COMPUTED_VALUE"""),"Excellent")</f>
        <v>Excellent</v>
      </c>
      <c r="Z327" s="138" t="str">
        <f>IFERROR(__xludf.DUMMYFUNCTION("""COMPUTED_VALUE"""),"Very Good")</f>
        <v>Very Good</v>
      </c>
      <c r="AA327" s="138" t="str">
        <f>IFERROR(__xludf.DUMMYFUNCTION("""COMPUTED_VALUE"""),"Excellent")</f>
        <v>Excellent</v>
      </c>
      <c r="AB327" s="138" t="str">
        <f>IFERROR(__xludf.DUMMYFUNCTION("""COMPUTED_VALUE"""),"Excellent")</f>
        <v>Excellent</v>
      </c>
      <c r="AC327" s="139"/>
      <c r="AD327" s="139"/>
      <c r="AE327" s="139"/>
      <c r="AF327" s="140" t="str">
        <f>IFERROR(__xludf.DUMMYFUNCTION("""COMPUTED_VALUE"""),"No. I took delivery of the first car Tesla was able to deliver.")</f>
        <v>No. I took delivery of the first car Tesla was able to deliver.</v>
      </c>
      <c r="AG327" s="136"/>
      <c r="AH327" s="157">
        <f>IFERROR(__xludf.DUMMYFUNCTION("""COMPUTED_VALUE"""),44494.49781636574)</f>
        <v>44494.49782</v>
      </c>
      <c r="AI327" s="138"/>
      <c r="AJ327" s="138"/>
      <c r="AK327" s="138"/>
      <c r="AL327" s="142"/>
    </row>
    <row r="328" ht="20.25" customHeight="1">
      <c r="A328" s="155" t="str">
        <f>IFERROR(__xludf.DUMMYFUNCTION("""COMPUTED_VALUE"""),"dregarcia")</f>
        <v>dregarcia</v>
      </c>
      <c r="B328" s="149" t="str">
        <f>IFERROR(__xludf.DUMMYFUNCTION("""COMPUTED_VALUE"""),"Stockton")</f>
        <v>Stockton</v>
      </c>
      <c r="C328" s="149" t="str">
        <f>IFERROR(__xludf.DUMMYFUNCTION("""COMPUTED_VALUE"""),"CA")</f>
        <v>CA</v>
      </c>
      <c r="D328" s="149" t="str">
        <f>IFERROR(__xludf.DUMMYFUNCTION("""COMPUTED_VALUE"""),"USA")</f>
        <v>USA</v>
      </c>
      <c r="E328" s="156">
        <f>IFERROR(__xludf.DUMMYFUNCTION("""COMPUTED_VALUE"""),44408.0)</f>
        <v>44408</v>
      </c>
      <c r="F328" s="129">
        <f>IFERROR(__xludf.DUMMYFUNCTION("""COMPUTED_VALUE"""),44467.0)</f>
        <v>44467</v>
      </c>
      <c r="G328" s="154" t="str">
        <f>IFERROR(__xludf.DUMMYFUNCTION("""COMPUTED_VALUE"""),"Manage order page (normal text)")</f>
        <v>Manage order page (normal text)</v>
      </c>
      <c r="H328" s="131"/>
      <c r="I328" s="144"/>
      <c r="J328" s="129">
        <f>IFERROR(__xludf.DUMMYFUNCTION("""COMPUTED_VALUE"""),44467.0)</f>
        <v>44467</v>
      </c>
      <c r="K328" s="133">
        <f>IFERROR(__xludf.DUMMYFUNCTION("""COMPUTED_VALUE"""),59.0)</f>
        <v>59</v>
      </c>
      <c r="L328" s="133">
        <f>IFERROR(__xludf.DUMMYFUNCTION("""COMPUTED_VALUE"""),0.0)</f>
        <v>0</v>
      </c>
      <c r="M328" s="133">
        <f>IFERROR(__xludf.DUMMYFUNCTION("""COMPUTED_VALUE"""),59.0)</f>
        <v>59</v>
      </c>
      <c r="N328" s="152" t="str">
        <f>IFERROR(__xludf.DUMMYFUNCTION("""COMPUTED_VALUE"""),"Model 3 LR AWD")</f>
        <v>Model 3 LR AWD</v>
      </c>
      <c r="O328" s="152" t="str">
        <f>IFERROR(__xludf.DUMMYFUNCTION("""COMPUTED_VALUE"""),"Red Multi-Coat")</f>
        <v>Red Multi-Coat</v>
      </c>
      <c r="P328" s="153" t="str">
        <f>IFERROR(__xludf.DUMMYFUNCTION("""COMPUTED_VALUE"""),"19 inch")</f>
        <v>19 inch</v>
      </c>
      <c r="Q328" s="152" t="str">
        <f>IFERROR(__xludf.DUMMYFUNCTION("""COMPUTED_VALUE"""),"All Black")</f>
        <v>All Black</v>
      </c>
      <c r="R328" s="149" t="str">
        <f>IFERROR(__xludf.DUMMYFUNCTION("""COMPUTED_VALUE"""),"Autopilot included")</f>
        <v>Autopilot included</v>
      </c>
      <c r="S328" s="149" t="str">
        <f>IFERROR(__xludf.DUMMYFUNCTION("""COMPUTED_VALUE"""),"Cash")</f>
        <v>Cash</v>
      </c>
      <c r="T328" s="145" t="str">
        <f>IFERROR(__xludf.DUMMYFUNCTION("""COMPUTED_VALUE"""),"BMW 5 Series")</f>
        <v>BMW 5 Series</v>
      </c>
      <c r="U328" s="145" t="str">
        <f>IFERROR(__xludf.DUMMYFUNCTION("""COMPUTED_VALUE"""),"Electric!")</f>
        <v>Electric!</v>
      </c>
      <c r="V328" s="145" t="str">
        <f>IFERROR(__xludf.DUMMYFUNCTION("""COMPUTED_VALUE"""),"Apple CarPlay / Android Auto / SiriusXM Radio")</f>
        <v>Apple CarPlay / Android Auto / SiriusXM Radio</v>
      </c>
      <c r="W328" s="136"/>
      <c r="X328" s="137" t="str">
        <f>IFERROR(__xludf.DUMMYFUNCTION("""COMPUTED_VALUE"""),"Excellent")</f>
        <v>Excellent</v>
      </c>
      <c r="Y328" s="138" t="str">
        <f>IFERROR(__xludf.DUMMYFUNCTION("""COMPUTED_VALUE"""),"Excellent")</f>
        <v>Excellent</v>
      </c>
      <c r="Z328" s="138" t="str">
        <f>IFERROR(__xludf.DUMMYFUNCTION("""COMPUTED_VALUE"""),"Good")</f>
        <v>Good</v>
      </c>
      <c r="AA328" s="138" t="str">
        <f>IFERROR(__xludf.DUMMYFUNCTION("""COMPUTED_VALUE"""),"Excellent")</f>
        <v>Excellent</v>
      </c>
      <c r="AB328" s="138" t="str">
        <f>IFERROR(__xludf.DUMMYFUNCTION("""COMPUTED_VALUE"""),"Excellent")</f>
        <v>Excellent</v>
      </c>
      <c r="AC328" s="139">
        <f>IFERROR(__xludf.DUMMYFUNCTION("""COMPUTED_VALUE"""),1.0)</f>
        <v>1</v>
      </c>
      <c r="AD328" s="139"/>
      <c r="AE328" s="139"/>
      <c r="AF328" s="140" t="str">
        <f>IFERROR(__xludf.DUMMYFUNCTION("""COMPUTED_VALUE"""),"No. I took delivery of the first car Tesla was able to deliver.")</f>
        <v>No. I took delivery of the first car Tesla was able to deliver.</v>
      </c>
      <c r="AG328" s="136"/>
      <c r="AH328" s="157">
        <f>IFERROR(__xludf.DUMMYFUNCTION("""COMPUTED_VALUE"""),44467.94107837963)</f>
        <v>44467.94108</v>
      </c>
      <c r="AI328" s="138"/>
      <c r="AJ328" s="138"/>
      <c r="AK328" s="138"/>
      <c r="AL328" s="142"/>
    </row>
    <row r="329" ht="20.25" customHeight="1">
      <c r="A329" s="155" t="str">
        <f>IFERROR(__xludf.DUMMYFUNCTION("""COMPUTED_VALUE"""),"Investigator")</f>
        <v>Investigator</v>
      </c>
      <c r="B329" s="149" t="str">
        <f>IFERROR(__xludf.DUMMYFUNCTION("""COMPUTED_VALUE"""),"Tyson corner")</f>
        <v>Tyson corner</v>
      </c>
      <c r="C329" s="149" t="str">
        <f>IFERROR(__xludf.DUMMYFUNCTION("""COMPUTED_VALUE"""),"VA")</f>
        <v>VA</v>
      </c>
      <c r="D329" s="149" t="str">
        <f>IFERROR(__xludf.DUMMYFUNCTION("""COMPUTED_VALUE"""),"USA")</f>
        <v>USA</v>
      </c>
      <c r="E329" s="156">
        <f>IFERROR(__xludf.DUMMYFUNCTION("""COMPUTED_VALUE"""),44408.0)</f>
        <v>44408</v>
      </c>
      <c r="F329" s="129"/>
      <c r="G329" s="154"/>
      <c r="H329" s="131"/>
      <c r="I329" s="144"/>
      <c r="J329" s="129"/>
      <c r="K329" s="133"/>
      <c r="L329" s="133"/>
      <c r="M329" s="133"/>
      <c r="N329" s="152" t="str">
        <f>IFERROR(__xludf.DUMMYFUNCTION("""COMPUTED_VALUE"""),"Model 3 SR+")</f>
        <v>Model 3 SR+</v>
      </c>
      <c r="O329" s="152" t="str">
        <f>IFERROR(__xludf.DUMMYFUNCTION("""COMPUTED_VALUE"""),"Solid Black")</f>
        <v>Solid Black</v>
      </c>
      <c r="P329" s="153" t="str">
        <f>IFERROR(__xludf.DUMMYFUNCTION("""COMPUTED_VALUE"""),"18 inch")</f>
        <v>18 inch</v>
      </c>
      <c r="Q329" s="152" t="str">
        <f>IFERROR(__xludf.DUMMYFUNCTION("""COMPUTED_VALUE"""),"All Black")</f>
        <v>All Black</v>
      </c>
      <c r="R329" s="149" t="str">
        <f>IFERROR(__xludf.DUMMYFUNCTION("""COMPUTED_VALUE"""),"Full Self-Driving")</f>
        <v>Full Self-Driving</v>
      </c>
      <c r="S329" s="149" t="str">
        <f>IFERROR(__xludf.DUMMYFUNCTION("""COMPUTED_VALUE"""),"Loan")</f>
        <v>Loan</v>
      </c>
      <c r="T329" s="145" t="str">
        <f>IFERROR(__xludf.DUMMYFUNCTION("""COMPUTED_VALUE"""),"model 3 will be my first car")</f>
        <v>model 3 will be my first car</v>
      </c>
      <c r="U329" s="145" t="str">
        <f>IFERROR(__xludf.DUMMYFUNCTION("""COMPUTED_VALUE"""),"all of the above")</f>
        <v>all of the above</v>
      </c>
      <c r="V329" s="145" t="str">
        <f>IFERROR(__xludf.DUMMYFUNCTION("""COMPUTED_VALUE"""),"Ventilated seats")</f>
        <v>Ventilated seats</v>
      </c>
      <c r="W329" s="145"/>
      <c r="X329" s="137"/>
      <c r="Y329" s="138"/>
      <c r="Z329" s="138"/>
      <c r="AA329" s="138"/>
      <c r="AB329" s="138"/>
      <c r="AC329" s="139"/>
      <c r="AD329" s="139"/>
      <c r="AE329" s="139"/>
      <c r="AF329" s="140"/>
      <c r="AG329" s="145"/>
      <c r="AH329" s="157">
        <f>IFERROR(__xludf.DUMMYFUNCTION("""COMPUTED_VALUE"""),44425.486455081016)</f>
        <v>44425.48646</v>
      </c>
      <c r="AI329" s="138"/>
      <c r="AJ329" s="138"/>
      <c r="AK329" s="138"/>
      <c r="AL329" s="142"/>
    </row>
    <row r="330" ht="20.25" customHeight="1">
      <c r="A330" s="155" t="str">
        <f>IFERROR(__xludf.DUMMYFUNCTION("""COMPUTED_VALUE"""),"MeelonMusk")</f>
        <v>MeelonMusk</v>
      </c>
      <c r="B330" s="149" t="str">
        <f>IFERROR(__xludf.DUMMYFUNCTION("""COMPUTED_VALUE"""),"Seattle")</f>
        <v>Seattle</v>
      </c>
      <c r="C330" s="149" t="str">
        <f>IFERROR(__xludf.DUMMYFUNCTION("""COMPUTED_VALUE"""),"WA")</f>
        <v>WA</v>
      </c>
      <c r="D330" s="149" t="str">
        <f>IFERROR(__xludf.DUMMYFUNCTION("""COMPUTED_VALUE"""),"USA")</f>
        <v>USA</v>
      </c>
      <c r="E330" s="156">
        <f>IFERROR(__xludf.DUMMYFUNCTION("""COMPUTED_VALUE"""),44408.0)</f>
        <v>44408</v>
      </c>
      <c r="F330" s="129"/>
      <c r="G330" s="154"/>
      <c r="H330" s="131"/>
      <c r="I330" s="132"/>
      <c r="J330" s="129"/>
      <c r="K330" s="133"/>
      <c r="L330" s="133"/>
      <c r="M330" s="133"/>
      <c r="N330" s="152" t="str">
        <f>IFERROR(__xludf.DUMMYFUNCTION("""COMPUTED_VALUE"""),"Model 3 LR AWD")</f>
        <v>Model 3 LR AWD</v>
      </c>
      <c r="O330" s="152" t="str">
        <f>IFERROR(__xludf.DUMMYFUNCTION("""COMPUTED_VALUE"""),"Midnight Silver Metallic")</f>
        <v>Midnight Silver Metallic</v>
      </c>
      <c r="P330" s="153" t="str">
        <f>IFERROR(__xludf.DUMMYFUNCTION("""COMPUTED_VALUE"""),"18 inch")</f>
        <v>18 inch</v>
      </c>
      <c r="Q330" s="152" t="str">
        <f>IFERROR(__xludf.DUMMYFUNCTION("""COMPUTED_VALUE"""),"All Black")</f>
        <v>All Black</v>
      </c>
      <c r="R330" s="150" t="str">
        <f>IFERROR(__xludf.DUMMYFUNCTION("""COMPUTED_VALUE"""),"Autopilot included")</f>
        <v>Autopilot included</v>
      </c>
      <c r="S330" s="150"/>
      <c r="T330" s="136"/>
      <c r="U330" s="136"/>
      <c r="V330" s="136" t="str">
        <f>IFERROR(__xludf.DUMMYFUNCTION("""COMPUTED_VALUE"""),"Air suspension")</f>
        <v>Air suspension</v>
      </c>
      <c r="W330" s="136"/>
      <c r="X330" s="137"/>
      <c r="Y330" s="138"/>
      <c r="Z330" s="138"/>
      <c r="AA330" s="138"/>
      <c r="AB330" s="138"/>
      <c r="AC330" s="139"/>
      <c r="AD330" s="139"/>
      <c r="AE330" s="139"/>
      <c r="AF330" s="140"/>
      <c r="AG330" s="136"/>
      <c r="AH330" s="157">
        <f>IFERROR(__xludf.DUMMYFUNCTION("""COMPUTED_VALUE"""),44426.42696769676)</f>
        <v>44426.42697</v>
      </c>
      <c r="AI330" s="138"/>
      <c r="AJ330" s="138"/>
      <c r="AK330" s="138"/>
      <c r="AL330" s="142"/>
    </row>
    <row r="331" ht="20.25" customHeight="1">
      <c r="A331" s="155" t="str">
        <f>IFERROR(__xludf.DUMMYFUNCTION("""COMPUTED_VALUE"""),"PigInASuit")</f>
        <v>PigInASuit</v>
      </c>
      <c r="B331" s="149" t="str">
        <f>IFERROR(__xludf.DUMMYFUNCTION("""COMPUTED_VALUE"""),"Vallejo")</f>
        <v>Vallejo</v>
      </c>
      <c r="C331" s="149" t="str">
        <f>IFERROR(__xludf.DUMMYFUNCTION("""COMPUTED_VALUE"""),"CA")</f>
        <v>CA</v>
      </c>
      <c r="D331" s="149" t="str">
        <f>IFERROR(__xludf.DUMMYFUNCTION("""COMPUTED_VALUE"""),"USA")</f>
        <v>USA</v>
      </c>
      <c r="E331" s="156">
        <f>IFERROR(__xludf.DUMMYFUNCTION("""COMPUTED_VALUE"""),44408.0)</f>
        <v>44408</v>
      </c>
      <c r="F331" s="129"/>
      <c r="G331" s="154"/>
      <c r="H331" s="131"/>
      <c r="I331" s="144"/>
      <c r="J331" s="129">
        <f>IFERROR(__xludf.DUMMYFUNCTION("""COMPUTED_VALUE"""),44469.0)</f>
        <v>44469</v>
      </c>
      <c r="K331" s="133"/>
      <c r="L331" s="133"/>
      <c r="M331" s="133">
        <f>IFERROR(__xludf.DUMMYFUNCTION("""COMPUTED_VALUE"""),61.0)</f>
        <v>61</v>
      </c>
      <c r="N331" s="152" t="str">
        <f>IFERROR(__xludf.DUMMYFUNCTION("""COMPUTED_VALUE"""),"Model 3 LR AWD")</f>
        <v>Model 3 LR AWD</v>
      </c>
      <c r="O331" s="152" t="str">
        <f>IFERROR(__xludf.DUMMYFUNCTION("""COMPUTED_VALUE"""),"Deep Blue Metallic")</f>
        <v>Deep Blue Metallic</v>
      </c>
      <c r="P331" s="153" t="str">
        <f>IFERROR(__xludf.DUMMYFUNCTION("""COMPUTED_VALUE"""),"18 inch")</f>
        <v>18 inch</v>
      </c>
      <c r="Q331" s="152" t="str">
        <f>IFERROR(__xludf.DUMMYFUNCTION("""COMPUTED_VALUE"""),"All Black")</f>
        <v>All Black</v>
      </c>
      <c r="R331" s="149" t="str">
        <f>IFERROR(__xludf.DUMMYFUNCTION("""COMPUTED_VALUE"""),"Full Self-Driving")</f>
        <v>Full Self-Driving</v>
      </c>
      <c r="S331" s="149" t="str">
        <f>IFERROR(__xludf.DUMMYFUNCTION("""COMPUTED_VALUE"""),"Loan")</f>
        <v>Loan</v>
      </c>
      <c r="T331" s="145"/>
      <c r="U331" s="145" t="str">
        <f>IFERROR(__xludf.DUMMYFUNCTION("""COMPUTED_VALUE"""),"Autopilot")</f>
        <v>Autopilot</v>
      </c>
      <c r="V331" s="145" t="str">
        <f>IFERROR(__xludf.DUMMYFUNCTION("""COMPUTED_VALUE"""),"Air suspension")</f>
        <v>Air suspension</v>
      </c>
      <c r="W331" s="145"/>
      <c r="X331" s="137"/>
      <c r="Y331" s="138"/>
      <c r="Z331" s="138"/>
      <c r="AA331" s="138"/>
      <c r="AB331" s="138"/>
      <c r="AC331" s="139"/>
      <c r="AD331" s="139"/>
      <c r="AE331" s="139"/>
      <c r="AF331" s="140"/>
      <c r="AG331" s="145"/>
      <c r="AH331" s="157">
        <f>IFERROR(__xludf.DUMMYFUNCTION("""COMPUTED_VALUE"""),44431.5010784375)</f>
        <v>44431.50108</v>
      </c>
      <c r="AI331" s="138"/>
      <c r="AJ331" s="138"/>
      <c r="AK331" s="138"/>
      <c r="AL331" s="142"/>
    </row>
    <row r="332" ht="20.25" customHeight="1">
      <c r="A332" s="155" t="str">
        <f>IFERROR(__xludf.DUMMYFUNCTION("""COMPUTED_VALUE"""),"PigInASuit")</f>
        <v>PigInASuit</v>
      </c>
      <c r="B332" s="149" t="str">
        <f>IFERROR(__xludf.DUMMYFUNCTION("""COMPUTED_VALUE"""),"Vallejo")</f>
        <v>Vallejo</v>
      </c>
      <c r="C332" s="149" t="str">
        <f>IFERROR(__xludf.DUMMYFUNCTION("""COMPUTED_VALUE"""),"CA")</f>
        <v>CA</v>
      </c>
      <c r="D332" s="149" t="str">
        <f>IFERROR(__xludf.DUMMYFUNCTION("""COMPUTED_VALUE"""),"USA")</f>
        <v>USA</v>
      </c>
      <c r="E332" s="156">
        <f>IFERROR(__xludf.DUMMYFUNCTION("""COMPUTED_VALUE"""),44408.0)</f>
        <v>44408</v>
      </c>
      <c r="F332" s="129">
        <f>IFERROR(__xludf.DUMMYFUNCTION("""COMPUTED_VALUE"""),44457.0)</f>
        <v>44457</v>
      </c>
      <c r="G332" s="154" t="str">
        <f>IFERROR(__xludf.DUMMYFUNCTION("""COMPUTED_VALUE"""),"Manage order page (normal text)")</f>
        <v>Manage order page (normal text)</v>
      </c>
      <c r="H332" s="131"/>
      <c r="I332" s="144"/>
      <c r="J332" s="129">
        <f>IFERROR(__xludf.DUMMYFUNCTION("""COMPUTED_VALUE"""),44458.0)</f>
        <v>44458</v>
      </c>
      <c r="K332" s="133">
        <f>IFERROR(__xludf.DUMMYFUNCTION("""COMPUTED_VALUE"""),49.0)</f>
        <v>49</v>
      </c>
      <c r="L332" s="133">
        <f>IFERROR(__xludf.DUMMYFUNCTION("""COMPUTED_VALUE"""),1.0)</f>
        <v>1</v>
      </c>
      <c r="M332" s="133">
        <f>IFERROR(__xludf.DUMMYFUNCTION("""COMPUTED_VALUE"""),50.0)</f>
        <v>50</v>
      </c>
      <c r="N332" s="152" t="str">
        <f>IFERROR(__xludf.DUMMYFUNCTION("""COMPUTED_VALUE"""),"Model 3 LR AWD")</f>
        <v>Model 3 LR AWD</v>
      </c>
      <c r="O332" s="152" t="str">
        <f>IFERROR(__xludf.DUMMYFUNCTION("""COMPUTED_VALUE"""),"Deep Blue Metallic")</f>
        <v>Deep Blue Metallic</v>
      </c>
      <c r="P332" s="153" t="str">
        <f>IFERROR(__xludf.DUMMYFUNCTION("""COMPUTED_VALUE"""),"18 inch")</f>
        <v>18 inch</v>
      </c>
      <c r="Q332" s="152" t="str">
        <f>IFERROR(__xludf.DUMMYFUNCTION("""COMPUTED_VALUE"""),"All Black")</f>
        <v>All Black</v>
      </c>
      <c r="R332" s="149" t="str">
        <f>IFERROR(__xludf.DUMMYFUNCTION("""COMPUTED_VALUE"""),"Full Self-Driving")</f>
        <v>Full Self-Driving</v>
      </c>
      <c r="S332" s="149" t="str">
        <f>IFERROR(__xludf.DUMMYFUNCTION("""COMPUTED_VALUE"""),"Loan")</f>
        <v>Loan</v>
      </c>
      <c r="T332" s="145" t="str">
        <f>IFERROR(__xludf.DUMMYFUNCTION("""COMPUTED_VALUE"""),"2015 XV Subaru Crosstrek")</f>
        <v>2015 XV Subaru Crosstrek</v>
      </c>
      <c r="U332" s="145" t="str">
        <f>IFERROR(__xludf.DUMMYFUNCTION("""COMPUTED_VALUE"""),"Electric!")</f>
        <v>Electric!</v>
      </c>
      <c r="V332" s="145" t="str">
        <f>IFERROR(__xludf.DUMMYFUNCTION("""COMPUTED_VALUE"""),"Ventilated seats")</f>
        <v>Ventilated seats</v>
      </c>
      <c r="W332" s="136" t="str">
        <f>IFERROR(__xludf.DUMMYFUNCTION("""COMPUTED_VALUE"""),"EDD will change - especially closer to your delivery date. Sometimes the first day after expected delivery. End of quarter is when California gets deliveries.")</f>
        <v>EDD will change - especially closer to your delivery date. Sometimes the first day after expected delivery. End of quarter is when California gets deliveries.</v>
      </c>
      <c r="X332" s="137"/>
      <c r="Y332" s="138"/>
      <c r="Z332" s="138"/>
      <c r="AA332" s="138"/>
      <c r="AB332" s="138"/>
      <c r="AC332" s="139"/>
      <c r="AD332" s="139"/>
      <c r="AE332" s="139"/>
      <c r="AF332" s="140"/>
      <c r="AG332" s="136" t="str">
        <f>IFERROR(__xludf.DUMMYFUNCTION("""COMPUTED_VALUE"""),"I called when I got my text to schedule my delivery. I asked if I could move it to a day not listed on the calendar. They accepted and allowed delivery a day early. (day after I got my vin).")</f>
        <v>I called when I got my text to schedule my delivery. I asked if I could move it to a day not listed on the calendar. They accepted and allowed delivery a day early. (day after I got my vin).</v>
      </c>
      <c r="AH332" s="157">
        <f>IFERROR(__xludf.DUMMYFUNCTION("""COMPUTED_VALUE"""),44457.7520108912)</f>
        <v>44457.75201</v>
      </c>
      <c r="AI332" s="138"/>
      <c r="AJ332" s="138"/>
      <c r="AK332" s="138"/>
      <c r="AL332" s="142"/>
    </row>
    <row r="333" ht="20.25" customHeight="1">
      <c r="A333" s="155" t="str">
        <f>IFERROR(__xludf.DUMMYFUNCTION("""COMPUTED_VALUE"""),"SD419")</f>
        <v>SD419</v>
      </c>
      <c r="B333" s="149" t="str">
        <f>IFERROR(__xludf.DUMMYFUNCTION("""COMPUTED_VALUE"""),"Oceanside")</f>
        <v>Oceanside</v>
      </c>
      <c r="C333" s="149" t="str">
        <f>IFERROR(__xludf.DUMMYFUNCTION("""COMPUTED_VALUE"""),"CA")</f>
        <v>CA</v>
      </c>
      <c r="D333" s="149" t="str">
        <f>IFERROR(__xludf.DUMMYFUNCTION("""COMPUTED_VALUE"""),"USA")</f>
        <v>USA</v>
      </c>
      <c r="E333" s="156">
        <f>IFERROR(__xludf.DUMMYFUNCTION("""COMPUTED_VALUE"""),44408.0)</f>
        <v>44408</v>
      </c>
      <c r="F333" s="129">
        <f>IFERROR(__xludf.DUMMYFUNCTION("""COMPUTED_VALUE"""),44460.0)</f>
        <v>44460</v>
      </c>
      <c r="G333" s="154" t="str">
        <f>IFERROR(__xludf.DUMMYFUNCTION("""COMPUTED_VALUE"""),"Manage order page (normal text)")</f>
        <v>Manage order page (normal text)</v>
      </c>
      <c r="H333" s="131">
        <f>IFERROR(__xludf.DUMMYFUNCTION("""COMPUTED_VALUE"""),64855.0)</f>
        <v>64855</v>
      </c>
      <c r="I333" s="144"/>
      <c r="J333" s="129">
        <f>IFERROR(__xludf.DUMMYFUNCTION("""COMPUTED_VALUE"""),44463.0)</f>
        <v>44463</v>
      </c>
      <c r="K333" s="133">
        <f>IFERROR(__xludf.DUMMYFUNCTION("""COMPUTED_VALUE"""),52.0)</f>
        <v>52</v>
      </c>
      <c r="L333" s="133">
        <f>IFERROR(__xludf.DUMMYFUNCTION("""COMPUTED_VALUE"""),3.0)</f>
        <v>3</v>
      </c>
      <c r="M333" s="133">
        <f>IFERROR(__xludf.DUMMYFUNCTION("""COMPUTED_VALUE"""),55.0)</f>
        <v>55</v>
      </c>
      <c r="N333" s="152" t="str">
        <f>IFERROR(__xludf.DUMMYFUNCTION("""COMPUTED_VALUE"""),"Model 3 SR+")</f>
        <v>Model 3 SR+</v>
      </c>
      <c r="O333" s="152" t="str">
        <f>IFERROR(__xludf.DUMMYFUNCTION("""COMPUTED_VALUE"""),"Pearl White Multi-Coat")</f>
        <v>Pearl White Multi-Coat</v>
      </c>
      <c r="P333" s="153" t="str">
        <f>IFERROR(__xludf.DUMMYFUNCTION("""COMPUTED_VALUE"""),"19 inch")</f>
        <v>19 inch</v>
      </c>
      <c r="Q333" s="152" t="str">
        <f>IFERROR(__xludf.DUMMYFUNCTION("""COMPUTED_VALUE"""),"Black and White")</f>
        <v>Black and White</v>
      </c>
      <c r="R333" s="149" t="str">
        <f>IFERROR(__xludf.DUMMYFUNCTION("""COMPUTED_VALUE"""),"Autopilot included")</f>
        <v>Autopilot included</v>
      </c>
      <c r="S333" s="149" t="str">
        <f>IFERROR(__xludf.DUMMYFUNCTION("""COMPUTED_VALUE"""),"Cash")</f>
        <v>Cash</v>
      </c>
      <c r="T333" s="145" t="str">
        <f>IFERROR(__xludf.DUMMYFUNCTION("""COMPUTED_VALUE"""),"Acura MDX")</f>
        <v>Acura MDX</v>
      </c>
      <c r="U333" s="145" t="str">
        <f>IFERROR(__xludf.DUMMYFUNCTION("""COMPUTED_VALUE"""),"Electric!")</f>
        <v>Electric!</v>
      </c>
      <c r="V333" s="145"/>
      <c r="W333" s="136"/>
      <c r="X333" s="137"/>
      <c r="Y333" s="138"/>
      <c r="Z333" s="138"/>
      <c r="AA333" s="138"/>
      <c r="AB333" s="138"/>
      <c r="AC333" s="139"/>
      <c r="AD333" s="139"/>
      <c r="AE333" s="139"/>
      <c r="AF333" s="140"/>
      <c r="AG333" s="136"/>
      <c r="AH333" s="157">
        <f>IFERROR(__xludf.DUMMYFUNCTION("""COMPUTED_VALUE"""),44460.482372604165)</f>
        <v>44460.48237</v>
      </c>
      <c r="AI333" s="138"/>
      <c r="AJ333" s="138"/>
      <c r="AK333" s="138"/>
      <c r="AL333" s="142"/>
    </row>
    <row r="334" ht="20.25" customHeight="1">
      <c r="A334" s="155" t="str">
        <f>IFERROR(__xludf.DUMMYFUNCTION("""COMPUTED_VALUE"""),"thyatt")</f>
        <v>thyatt</v>
      </c>
      <c r="B334" s="149" t="str">
        <f>IFERROR(__xludf.DUMMYFUNCTION("""COMPUTED_VALUE"""),"Palo Alto")</f>
        <v>Palo Alto</v>
      </c>
      <c r="C334" s="149" t="str">
        <f>IFERROR(__xludf.DUMMYFUNCTION("""COMPUTED_VALUE"""),"CA")</f>
        <v>CA</v>
      </c>
      <c r="D334" s="149" t="str">
        <f>IFERROR(__xludf.DUMMYFUNCTION("""COMPUTED_VALUE"""),"USA")</f>
        <v>USA</v>
      </c>
      <c r="E334" s="156">
        <f>IFERROR(__xludf.DUMMYFUNCTION("""COMPUTED_VALUE"""),44408.0)</f>
        <v>44408</v>
      </c>
      <c r="F334" s="129"/>
      <c r="G334" s="154"/>
      <c r="H334" s="131"/>
      <c r="I334" s="144"/>
      <c r="J334" s="129"/>
      <c r="K334" s="133"/>
      <c r="L334" s="133"/>
      <c r="M334" s="133"/>
      <c r="N334" s="152" t="str">
        <f>IFERROR(__xludf.DUMMYFUNCTION("""COMPUTED_VALUE"""),"Model 3 LR AWD")</f>
        <v>Model 3 LR AWD</v>
      </c>
      <c r="O334" s="152" t="str">
        <f>IFERROR(__xludf.DUMMYFUNCTION("""COMPUTED_VALUE"""),"Pearl White Multi-Coat")</f>
        <v>Pearl White Multi-Coat</v>
      </c>
      <c r="P334" s="153" t="str">
        <f>IFERROR(__xludf.DUMMYFUNCTION("""COMPUTED_VALUE"""),"18 inch")</f>
        <v>18 inch</v>
      </c>
      <c r="Q334" s="152" t="str">
        <f>IFERROR(__xludf.DUMMYFUNCTION("""COMPUTED_VALUE"""),"Black and White")</f>
        <v>Black and White</v>
      </c>
      <c r="R334" s="149" t="str">
        <f>IFERROR(__xludf.DUMMYFUNCTION("""COMPUTED_VALUE"""),"Autopilot included")</f>
        <v>Autopilot included</v>
      </c>
      <c r="S334" s="149" t="str">
        <f>IFERROR(__xludf.DUMMYFUNCTION("""COMPUTED_VALUE"""),"Loan")</f>
        <v>Loan</v>
      </c>
      <c r="T334" s="145" t="str">
        <f>IFERROR(__xludf.DUMMYFUNCTION("""COMPUTED_VALUE"""),"Subaru WRX")</f>
        <v>Subaru WRX</v>
      </c>
      <c r="U334" s="145" t="str">
        <f>IFERROR(__xludf.DUMMYFUNCTION("""COMPUTED_VALUE"""),"Acceleration, comfort, and not having to buy gas")</f>
        <v>Acceleration, comfort, and not having to buy gas</v>
      </c>
      <c r="V334" s="145" t="str">
        <f>IFERROR(__xludf.DUMMYFUNCTION("""COMPUTED_VALUE"""),"Ventilated seats")</f>
        <v>Ventilated seats</v>
      </c>
      <c r="W334" s="145"/>
      <c r="X334" s="137"/>
      <c r="Y334" s="138"/>
      <c r="Z334" s="138"/>
      <c r="AA334" s="138"/>
      <c r="AB334" s="138"/>
      <c r="AC334" s="139"/>
      <c r="AD334" s="139"/>
      <c r="AE334" s="139"/>
      <c r="AF334" s="140"/>
      <c r="AG334" s="145"/>
      <c r="AH334" s="157">
        <f>IFERROR(__xludf.DUMMYFUNCTION("""COMPUTED_VALUE"""),44452.55507290509)</f>
        <v>44452.55507</v>
      </c>
      <c r="AI334" s="138"/>
      <c r="AJ334" s="138"/>
      <c r="AK334" s="138"/>
      <c r="AL334" s="142"/>
    </row>
    <row r="335" ht="20.25" customHeight="1">
      <c r="A335" s="155" t="str">
        <f>IFERROR(__xludf.DUMMYFUNCTION("""COMPUTED_VALUE"""),"V8Drover")</f>
        <v>V8Drover</v>
      </c>
      <c r="B335" s="149" t="str">
        <f>IFERROR(__xludf.DUMMYFUNCTION("""COMPUTED_VALUE"""),"Memphis")</f>
        <v>Memphis</v>
      </c>
      <c r="C335" s="149" t="str">
        <f>IFERROR(__xludf.DUMMYFUNCTION("""COMPUTED_VALUE"""),"TN")</f>
        <v>TN</v>
      </c>
      <c r="D335" s="149" t="str">
        <f>IFERROR(__xludf.DUMMYFUNCTION("""COMPUTED_VALUE"""),"USA")</f>
        <v>USA</v>
      </c>
      <c r="E335" s="156">
        <f>IFERROR(__xludf.DUMMYFUNCTION("""COMPUTED_VALUE"""),44408.0)</f>
        <v>44408</v>
      </c>
      <c r="F335" s="129"/>
      <c r="G335" s="154"/>
      <c r="H335" s="131"/>
      <c r="I335" s="132"/>
      <c r="J335" s="129"/>
      <c r="K335" s="133"/>
      <c r="L335" s="133"/>
      <c r="M335" s="133"/>
      <c r="N335" s="152" t="str">
        <f>IFERROR(__xludf.DUMMYFUNCTION("""COMPUTED_VALUE"""),"Model 3 LR AWD")</f>
        <v>Model 3 LR AWD</v>
      </c>
      <c r="O335" s="152" t="str">
        <f>IFERROR(__xludf.DUMMYFUNCTION("""COMPUTED_VALUE"""),"Deep Blue Metallic")</f>
        <v>Deep Blue Metallic</v>
      </c>
      <c r="P335" s="153" t="str">
        <f>IFERROR(__xludf.DUMMYFUNCTION("""COMPUTED_VALUE"""),"18 inch")</f>
        <v>18 inch</v>
      </c>
      <c r="Q335" s="152" t="str">
        <f>IFERROR(__xludf.DUMMYFUNCTION("""COMPUTED_VALUE"""),"All Black")</f>
        <v>All Black</v>
      </c>
      <c r="R335" s="150" t="str">
        <f>IFERROR(__xludf.DUMMYFUNCTION("""COMPUTED_VALUE"""),"Autopilot included")</f>
        <v>Autopilot included</v>
      </c>
      <c r="S335" s="150" t="str">
        <f>IFERROR(__xludf.DUMMYFUNCTION("""COMPUTED_VALUE"""),"Lease")</f>
        <v>Lease</v>
      </c>
      <c r="T335" s="136" t="str">
        <f>IFERROR(__xludf.DUMMYFUNCTION("""COMPUTED_VALUE"""),"Ford Edge ST")</f>
        <v>Ford Edge ST</v>
      </c>
      <c r="U335" s="136" t="str">
        <f>IFERROR(__xludf.DUMMYFUNCTION("""COMPUTED_VALUE"""),"Tesla brand image")</f>
        <v>Tesla brand image</v>
      </c>
      <c r="V335" s="136" t="str">
        <f>IFERROR(__xludf.DUMMYFUNCTION("""COMPUTED_VALUE"""),"Apple CarPlay / Android Auto / SiriusXM Radio")</f>
        <v>Apple CarPlay / Android Auto / SiriusXM Radio</v>
      </c>
      <c r="W335" s="136"/>
      <c r="X335" s="137"/>
      <c r="Y335" s="138"/>
      <c r="Z335" s="138"/>
      <c r="AA335" s="138"/>
      <c r="AB335" s="138"/>
      <c r="AC335" s="139"/>
      <c r="AD335" s="139"/>
      <c r="AE335" s="139"/>
      <c r="AF335" s="140"/>
      <c r="AG335" s="136"/>
      <c r="AH335" s="157">
        <f>IFERROR(__xludf.DUMMYFUNCTION("""COMPUTED_VALUE"""),44419.804591423606)</f>
        <v>44419.80459</v>
      </c>
      <c r="AI335" s="138"/>
      <c r="AJ335" s="138"/>
      <c r="AK335" s="138"/>
      <c r="AL335" s="142"/>
    </row>
    <row r="336" ht="20.25" customHeight="1">
      <c r="A336" s="155" t="str">
        <f>IFERROR(__xludf.DUMMYFUNCTION("""COMPUTED_VALUE"""),"ah346")</f>
        <v>ah346</v>
      </c>
      <c r="B336" s="149" t="str">
        <f>IFERROR(__xludf.DUMMYFUNCTION("""COMPUTED_VALUE"""),"San Diego")</f>
        <v>San Diego</v>
      </c>
      <c r="C336" s="149" t="str">
        <f>IFERROR(__xludf.DUMMYFUNCTION("""COMPUTED_VALUE"""),"CA")</f>
        <v>CA</v>
      </c>
      <c r="D336" s="149" t="str">
        <f>IFERROR(__xludf.DUMMYFUNCTION("""COMPUTED_VALUE"""),"USA")</f>
        <v>USA</v>
      </c>
      <c r="E336" s="156">
        <f>IFERROR(__xludf.DUMMYFUNCTION("""COMPUTED_VALUE"""),44407.0)</f>
        <v>44407</v>
      </c>
      <c r="F336" s="129">
        <f>IFERROR(__xludf.DUMMYFUNCTION("""COMPUTED_VALUE"""),44495.0)</f>
        <v>44495</v>
      </c>
      <c r="G336" s="154" t="str">
        <f>IFERROR(__xludf.DUMMYFUNCTION("""COMPUTED_VALUE"""),"Manage order page (normal text)")</f>
        <v>Manage order page (normal text)</v>
      </c>
      <c r="H336" s="131"/>
      <c r="I336" s="144"/>
      <c r="J336" s="129">
        <f>IFERROR(__xludf.DUMMYFUNCTION("""COMPUTED_VALUE"""),44498.0)</f>
        <v>44498</v>
      </c>
      <c r="K336" s="133">
        <f>IFERROR(__xludf.DUMMYFUNCTION("""COMPUTED_VALUE"""),88.0)</f>
        <v>88</v>
      </c>
      <c r="L336" s="133">
        <f>IFERROR(__xludf.DUMMYFUNCTION("""COMPUTED_VALUE"""),3.0)</f>
        <v>3</v>
      </c>
      <c r="M336" s="133">
        <f>IFERROR(__xludf.DUMMYFUNCTION("""COMPUTED_VALUE"""),91.0)</f>
        <v>91</v>
      </c>
      <c r="N336" s="152" t="str">
        <f>IFERROR(__xludf.DUMMYFUNCTION("""COMPUTED_VALUE"""),"Model 3 SR+")</f>
        <v>Model 3 SR+</v>
      </c>
      <c r="O336" s="152" t="str">
        <f>IFERROR(__xludf.DUMMYFUNCTION("""COMPUTED_VALUE"""),"Pearl White Multi-Coat")</f>
        <v>Pearl White Multi-Coat</v>
      </c>
      <c r="P336" s="153" t="str">
        <f>IFERROR(__xludf.DUMMYFUNCTION("""COMPUTED_VALUE"""),"18 inch")</f>
        <v>18 inch</v>
      </c>
      <c r="Q336" s="152" t="str">
        <f>IFERROR(__xludf.DUMMYFUNCTION("""COMPUTED_VALUE"""),"All Black")</f>
        <v>All Black</v>
      </c>
      <c r="R336" s="149" t="str">
        <f>IFERROR(__xludf.DUMMYFUNCTION("""COMPUTED_VALUE"""),"Autopilot included")</f>
        <v>Autopilot included</v>
      </c>
      <c r="S336" s="149" t="str">
        <f>IFERROR(__xludf.DUMMYFUNCTION("""COMPUTED_VALUE"""),"Loan")</f>
        <v>Loan</v>
      </c>
      <c r="T336" s="145" t="str">
        <f>IFERROR(__xludf.DUMMYFUNCTION("""COMPUTED_VALUE"""),"Model 3 will be my first car!")</f>
        <v>Model 3 will be my first car!</v>
      </c>
      <c r="U336" s="145" t="str">
        <f>IFERROR(__xludf.DUMMYFUNCTION("""COMPUTED_VALUE"""),"Electric!")</f>
        <v>Electric!</v>
      </c>
      <c r="V336" s="145" t="str">
        <f>IFERROR(__xludf.DUMMYFUNCTION("""COMPUTED_VALUE"""),"Dashboard")</f>
        <v>Dashboard</v>
      </c>
      <c r="W336" s="145"/>
      <c r="X336" s="137"/>
      <c r="Y336" s="138"/>
      <c r="Z336" s="138"/>
      <c r="AA336" s="138"/>
      <c r="AB336" s="138"/>
      <c r="AC336" s="139"/>
      <c r="AD336" s="139"/>
      <c r="AE336" s="139"/>
      <c r="AF336" s="140"/>
      <c r="AG336" s="145"/>
      <c r="AH336" s="157">
        <f>IFERROR(__xludf.DUMMYFUNCTION("""COMPUTED_VALUE"""),44495.81994693287)</f>
        <v>44495.81995</v>
      </c>
      <c r="AI336" s="138"/>
      <c r="AJ336" s="138"/>
      <c r="AK336" s="138"/>
      <c r="AL336" s="142"/>
    </row>
    <row r="337" ht="20.25" customHeight="1">
      <c r="A337" s="155" t="str">
        <f>IFERROR(__xludf.DUMMYFUNCTION("""COMPUTED_VALUE"""),"BigPotato")</f>
        <v>BigPotato</v>
      </c>
      <c r="B337" s="149" t="str">
        <f>IFERROR(__xludf.DUMMYFUNCTION("""COMPUTED_VALUE"""),"Farnborough, Hampshire")</f>
        <v>Farnborough, Hampshire</v>
      </c>
      <c r="C337" s="149"/>
      <c r="D337" s="149" t="str">
        <f>IFERROR(__xludf.DUMMYFUNCTION("""COMPUTED_VALUE"""),"United Kingdom")</f>
        <v>United Kingdom</v>
      </c>
      <c r="E337" s="156">
        <f>IFERROR(__xludf.DUMMYFUNCTION("""COMPUTED_VALUE"""),44407.0)</f>
        <v>44407</v>
      </c>
      <c r="F337" s="129">
        <f>IFERROR(__xludf.DUMMYFUNCTION("""COMPUTED_VALUE"""),44459.0)</f>
        <v>44459</v>
      </c>
      <c r="G337" s="154" t="str">
        <f>IFERROR(__xludf.DUMMYFUNCTION("""COMPUTED_VALUE"""),"Text message")</f>
        <v>Text message</v>
      </c>
      <c r="H337" s="131">
        <f>IFERROR(__xludf.DUMMYFUNCTION("""COMPUTED_VALUE"""),322155.0)</f>
        <v>322155</v>
      </c>
      <c r="I337" s="144"/>
      <c r="J337" s="129">
        <f>IFERROR(__xludf.DUMMYFUNCTION("""COMPUTED_VALUE"""),44467.0)</f>
        <v>44467</v>
      </c>
      <c r="K337" s="133">
        <f>IFERROR(__xludf.DUMMYFUNCTION("""COMPUTED_VALUE"""),52.0)</f>
        <v>52</v>
      </c>
      <c r="L337" s="133">
        <f>IFERROR(__xludf.DUMMYFUNCTION("""COMPUTED_VALUE"""),8.0)</f>
        <v>8</v>
      </c>
      <c r="M337" s="133">
        <f>IFERROR(__xludf.DUMMYFUNCTION("""COMPUTED_VALUE"""),60.0)</f>
        <v>60</v>
      </c>
      <c r="N337" s="152" t="str">
        <f>IFERROR(__xludf.DUMMYFUNCTION("""COMPUTED_VALUE"""),"Model 3 LR AWD")</f>
        <v>Model 3 LR AWD</v>
      </c>
      <c r="O337" s="152" t="str">
        <f>IFERROR(__xludf.DUMMYFUNCTION("""COMPUTED_VALUE"""),"Midnight Silver Metallic")</f>
        <v>Midnight Silver Metallic</v>
      </c>
      <c r="P337" s="153" t="str">
        <f>IFERROR(__xludf.DUMMYFUNCTION("""COMPUTED_VALUE"""),"18 inch")</f>
        <v>18 inch</v>
      </c>
      <c r="Q337" s="152" t="str">
        <f>IFERROR(__xludf.DUMMYFUNCTION("""COMPUTED_VALUE"""),"All Black")</f>
        <v>All Black</v>
      </c>
      <c r="R337" s="149" t="str">
        <f>IFERROR(__xludf.DUMMYFUNCTION("""COMPUTED_VALUE"""),"Autopilot included")</f>
        <v>Autopilot included</v>
      </c>
      <c r="S337" s="149" t="str">
        <f>IFERROR(__xludf.DUMMYFUNCTION("""COMPUTED_VALUE"""),"Lease")</f>
        <v>Lease</v>
      </c>
      <c r="T337" s="145" t="str">
        <f>IFERROR(__xludf.DUMMYFUNCTION("""COMPUTED_VALUE"""),"Mercedes C350e")</f>
        <v>Mercedes C350e</v>
      </c>
      <c r="U337" s="145" t="str">
        <f>IFERROR(__xludf.DUMMYFUNCTION("""COMPUTED_VALUE"""),"Tesla brand image")</f>
        <v>Tesla brand image</v>
      </c>
      <c r="V337" s="145" t="str">
        <f>IFERROR(__xludf.DUMMYFUNCTION("""COMPUTED_VALUE"""),"Head-up display")</f>
        <v>Head-up display</v>
      </c>
      <c r="W337" s="145"/>
      <c r="X337" s="137" t="str">
        <f>IFERROR(__xludf.DUMMYFUNCTION("""COMPUTED_VALUE"""),"Excellent")</f>
        <v>Excellent</v>
      </c>
      <c r="Y337" s="138" t="str">
        <f>IFERROR(__xludf.DUMMYFUNCTION("""COMPUTED_VALUE"""),"Excellent")</f>
        <v>Excellent</v>
      </c>
      <c r="Z337" s="138" t="str">
        <f>IFERROR(__xludf.DUMMYFUNCTION("""COMPUTED_VALUE"""),"Excellent")</f>
        <v>Excellent</v>
      </c>
      <c r="AA337" s="138" t="str">
        <f>IFERROR(__xludf.DUMMYFUNCTION("""COMPUTED_VALUE"""),"Excellent")</f>
        <v>Excellent</v>
      </c>
      <c r="AB337" s="138" t="str">
        <f>IFERROR(__xludf.DUMMYFUNCTION("""COMPUTED_VALUE"""),"Excellent")</f>
        <v>Excellent</v>
      </c>
      <c r="AC337" s="139"/>
      <c r="AD337" s="139"/>
      <c r="AE337" s="139"/>
      <c r="AF337" s="140" t="str">
        <f>IFERROR(__xludf.DUMMYFUNCTION("""COMPUTED_VALUE"""),"No. I took delivery of the first car Tesla was able to deliver.")</f>
        <v>No. I took delivery of the first car Tesla was able to deliver.</v>
      </c>
      <c r="AG337" s="145"/>
      <c r="AH337" s="157">
        <f>IFERROR(__xludf.DUMMYFUNCTION("""COMPUTED_VALUE"""),44473.13319237268)</f>
        <v>44473.13319</v>
      </c>
      <c r="AI337" s="138"/>
      <c r="AJ337" s="138"/>
      <c r="AK337" s="138"/>
      <c r="AL337" s="142"/>
    </row>
    <row r="338" ht="20.25" customHeight="1">
      <c r="A338" s="155" t="str">
        <f>IFERROR(__xludf.DUMMYFUNCTION("""COMPUTED_VALUE"""),"dukenyc125")</f>
        <v>dukenyc125</v>
      </c>
      <c r="B338" s="149"/>
      <c r="C338" s="149" t="str">
        <f>IFERROR(__xludf.DUMMYFUNCTION("""COMPUTED_VALUE"""),"NY")</f>
        <v>NY</v>
      </c>
      <c r="D338" s="149" t="str">
        <f>IFERROR(__xludf.DUMMYFUNCTION("""COMPUTED_VALUE"""),"USA")</f>
        <v>USA</v>
      </c>
      <c r="E338" s="156">
        <f>IFERROR(__xludf.DUMMYFUNCTION("""COMPUTED_VALUE"""),44407.0)</f>
        <v>44407</v>
      </c>
      <c r="F338" s="129"/>
      <c r="G338" s="154"/>
      <c r="H338" s="131"/>
      <c r="I338" s="144"/>
      <c r="J338" s="129"/>
      <c r="K338" s="133"/>
      <c r="L338" s="133"/>
      <c r="M338" s="133"/>
      <c r="N338" s="152" t="str">
        <f>IFERROR(__xludf.DUMMYFUNCTION("""COMPUTED_VALUE"""),"Model 3 SR+")</f>
        <v>Model 3 SR+</v>
      </c>
      <c r="O338" s="152"/>
      <c r="P338" s="153" t="str">
        <f>IFERROR(__xludf.DUMMYFUNCTION("""COMPUTED_VALUE"""),"18 inch")</f>
        <v>18 inch</v>
      </c>
      <c r="Q338" s="152" t="str">
        <f>IFERROR(__xludf.DUMMYFUNCTION("""COMPUTED_VALUE"""),"All Black")</f>
        <v>All Black</v>
      </c>
      <c r="R338" s="149" t="str">
        <f>IFERROR(__xludf.DUMMYFUNCTION("""COMPUTED_VALUE"""),"Autopilot included")</f>
        <v>Autopilot included</v>
      </c>
      <c r="S338" s="149" t="str">
        <f>IFERROR(__xludf.DUMMYFUNCTION("""COMPUTED_VALUE"""),"Loan")</f>
        <v>Loan</v>
      </c>
      <c r="T338" s="145" t="str">
        <f>IFERROR(__xludf.DUMMYFUNCTION("""COMPUTED_VALUE"""),"BMW X5")</f>
        <v>BMW X5</v>
      </c>
      <c r="U338" s="145" t="str">
        <f>IFERROR(__xludf.DUMMYFUNCTION("""COMPUTED_VALUE"""),"Autopilot")</f>
        <v>Autopilot</v>
      </c>
      <c r="V338" s="145" t="str">
        <f>IFERROR(__xludf.DUMMYFUNCTION("""COMPUTED_VALUE"""),"Apple CarPlay / Android Auto / SiriusXM Radio")</f>
        <v>Apple CarPlay / Android Auto / SiriusXM Radio</v>
      </c>
      <c r="W338" s="136"/>
      <c r="X338" s="137"/>
      <c r="Y338" s="138"/>
      <c r="Z338" s="138"/>
      <c r="AA338" s="138"/>
      <c r="AB338" s="138"/>
      <c r="AC338" s="139"/>
      <c r="AD338" s="139"/>
      <c r="AE338" s="139"/>
      <c r="AF338" s="140"/>
      <c r="AG338" s="136"/>
      <c r="AH338" s="157">
        <f>IFERROR(__xludf.DUMMYFUNCTION("""COMPUTED_VALUE"""),44420.82730077546)</f>
        <v>44420.8273</v>
      </c>
      <c r="AI338" s="138"/>
      <c r="AJ338" s="138"/>
      <c r="AK338" s="138"/>
      <c r="AL338" s="142"/>
    </row>
    <row r="339" ht="20.25" customHeight="1">
      <c r="A339" s="155" t="str">
        <f>IFERROR(__xludf.DUMMYFUNCTION("""COMPUTED_VALUE"""),"firsttimetesla")</f>
        <v>firsttimetesla</v>
      </c>
      <c r="B339" s="149" t="str">
        <f>IFERROR(__xludf.DUMMYFUNCTION("""COMPUTED_VALUE"""),"Austin")</f>
        <v>Austin</v>
      </c>
      <c r="C339" s="149" t="str">
        <f>IFERROR(__xludf.DUMMYFUNCTION("""COMPUTED_VALUE"""),"TX")</f>
        <v>TX</v>
      </c>
      <c r="D339" s="149" t="str">
        <f>IFERROR(__xludf.DUMMYFUNCTION("""COMPUTED_VALUE"""),"USA")</f>
        <v>USA</v>
      </c>
      <c r="E339" s="156">
        <f>IFERROR(__xludf.DUMMYFUNCTION("""COMPUTED_VALUE"""),44407.0)</f>
        <v>44407</v>
      </c>
      <c r="F339" s="129">
        <f>IFERROR(__xludf.DUMMYFUNCTION("""COMPUTED_VALUE"""),44438.0)</f>
        <v>44438</v>
      </c>
      <c r="G339" s="154" t="str">
        <f>IFERROR(__xludf.DUMMYFUNCTION("""COMPUTED_VALUE"""),"Email")</f>
        <v>Email</v>
      </c>
      <c r="H339" s="131"/>
      <c r="I339" s="132"/>
      <c r="J339" s="129">
        <f>IFERROR(__xludf.DUMMYFUNCTION("""COMPUTED_VALUE"""),44452.0)</f>
        <v>44452</v>
      </c>
      <c r="K339" s="133">
        <f>IFERROR(__xludf.DUMMYFUNCTION("""COMPUTED_VALUE"""),31.0)</f>
        <v>31</v>
      </c>
      <c r="L339" s="133">
        <f>IFERROR(__xludf.DUMMYFUNCTION("""COMPUTED_VALUE"""),14.0)</f>
        <v>14</v>
      </c>
      <c r="M339" s="133">
        <f>IFERROR(__xludf.DUMMYFUNCTION("""COMPUTED_VALUE"""),45.0)</f>
        <v>45</v>
      </c>
      <c r="N339" s="152" t="str">
        <f>IFERROR(__xludf.DUMMYFUNCTION("""COMPUTED_VALUE"""),"Model 3 SR+")</f>
        <v>Model 3 SR+</v>
      </c>
      <c r="O339" s="152" t="str">
        <f>IFERROR(__xludf.DUMMYFUNCTION("""COMPUTED_VALUE"""),"Solid Black")</f>
        <v>Solid Black</v>
      </c>
      <c r="P339" s="153" t="str">
        <f>IFERROR(__xludf.DUMMYFUNCTION("""COMPUTED_VALUE"""),"19 inch")</f>
        <v>19 inch</v>
      </c>
      <c r="Q339" s="152" t="str">
        <f>IFERROR(__xludf.DUMMYFUNCTION("""COMPUTED_VALUE"""),"All Black")</f>
        <v>All Black</v>
      </c>
      <c r="R339" s="150" t="str">
        <f>IFERROR(__xludf.DUMMYFUNCTION("""COMPUTED_VALUE"""),"Autopilot included")</f>
        <v>Autopilot included</v>
      </c>
      <c r="S339" s="150" t="str">
        <f>IFERROR(__xludf.DUMMYFUNCTION("""COMPUTED_VALUE"""),"Cash")</f>
        <v>Cash</v>
      </c>
      <c r="T339" s="145" t="str">
        <f>IFERROR(__xludf.DUMMYFUNCTION("""COMPUTED_VALUE"""),"Model 3 will be my first car!")</f>
        <v>Model 3 will be my first car!</v>
      </c>
      <c r="U339" s="145" t="str">
        <f>IFERROR(__xludf.DUMMYFUNCTION("""COMPUTED_VALUE"""),"Electric!")</f>
        <v>Electric!</v>
      </c>
      <c r="V339" s="145" t="str">
        <f>IFERROR(__xludf.DUMMYFUNCTION("""COMPUTED_VALUE"""),"Apple CarPlay / Android Auto / SiriusXM Radio")</f>
        <v>Apple CarPlay / Android Auto / SiriusXM Radio</v>
      </c>
      <c r="W339" s="145"/>
      <c r="X339" s="137"/>
      <c r="Y339" s="138"/>
      <c r="Z339" s="138"/>
      <c r="AA339" s="138"/>
      <c r="AB339" s="138"/>
      <c r="AC339" s="139"/>
      <c r="AD339" s="139"/>
      <c r="AE339" s="139"/>
      <c r="AF339" s="140"/>
      <c r="AG339" s="145"/>
      <c r="AH339" s="157">
        <f>IFERROR(__xludf.DUMMYFUNCTION("""COMPUTED_VALUE"""),44462.56047689815)</f>
        <v>44462.56048</v>
      </c>
      <c r="AI339" s="138"/>
      <c r="AJ339" s="138"/>
      <c r="AK339" s="138"/>
      <c r="AL339" s="142"/>
    </row>
    <row r="340" ht="20.25" customHeight="1">
      <c r="A340" s="155" t="str">
        <f>IFERROR(__xludf.DUMMYFUNCTION("""COMPUTED_VALUE"""),"jzv")</f>
        <v>jzv</v>
      </c>
      <c r="B340" s="149" t="str">
        <f>IFERROR(__xludf.DUMMYFUNCTION("""COMPUTED_VALUE"""),"Olympia")</f>
        <v>Olympia</v>
      </c>
      <c r="C340" s="149" t="str">
        <f>IFERROR(__xludf.DUMMYFUNCTION("""COMPUTED_VALUE"""),"WA")</f>
        <v>WA</v>
      </c>
      <c r="D340" s="149" t="str">
        <f>IFERROR(__xludf.DUMMYFUNCTION("""COMPUTED_VALUE"""),"USA")</f>
        <v>USA</v>
      </c>
      <c r="E340" s="156">
        <f>IFERROR(__xludf.DUMMYFUNCTION("""COMPUTED_VALUE"""),44407.0)</f>
        <v>44407</v>
      </c>
      <c r="F340" s="129">
        <f>IFERROR(__xludf.DUMMYFUNCTION("""COMPUTED_VALUE"""),44454.0)</f>
        <v>44454</v>
      </c>
      <c r="G340" s="154" t="str">
        <f>IFERROR(__xludf.DUMMYFUNCTION("""COMPUTED_VALUE"""),"Email")</f>
        <v>Email</v>
      </c>
      <c r="H340" s="131">
        <f>IFERROR(__xludf.DUMMYFUNCTION("""COMPUTED_VALUE"""),67465.0)</f>
        <v>67465</v>
      </c>
      <c r="I340" s="132"/>
      <c r="J340" s="129">
        <f>IFERROR(__xludf.DUMMYFUNCTION("""COMPUTED_VALUE"""),44460.0)</f>
        <v>44460</v>
      </c>
      <c r="K340" s="133">
        <f>IFERROR(__xludf.DUMMYFUNCTION("""COMPUTED_VALUE"""),47.0)</f>
        <v>47</v>
      </c>
      <c r="L340" s="133">
        <f>IFERROR(__xludf.DUMMYFUNCTION("""COMPUTED_VALUE"""),6.0)</f>
        <v>6</v>
      </c>
      <c r="M340" s="133">
        <f>IFERROR(__xludf.DUMMYFUNCTION("""COMPUTED_VALUE"""),53.0)</f>
        <v>53</v>
      </c>
      <c r="N340" s="152" t="str">
        <f>IFERROR(__xludf.DUMMYFUNCTION("""COMPUTED_VALUE"""),"Model 3 LR AWD")</f>
        <v>Model 3 LR AWD</v>
      </c>
      <c r="O340" s="152" t="str">
        <f>IFERROR(__xludf.DUMMYFUNCTION("""COMPUTED_VALUE"""),"Solid Black")</f>
        <v>Solid Black</v>
      </c>
      <c r="P340" s="153" t="str">
        <f>IFERROR(__xludf.DUMMYFUNCTION("""COMPUTED_VALUE"""),"18 inch")</f>
        <v>18 inch</v>
      </c>
      <c r="Q340" s="152" t="str">
        <f>IFERROR(__xludf.DUMMYFUNCTION("""COMPUTED_VALUE"""),"All Black")</f>
        <v>All Black</v>
      </c>
      <c r="R340" s="150" t="str">
        <f>IFERROR(__xludf.DUMMYFUNCTION("""COMPUTED_VALUE"""),"Autopilot included")</f>
        <v>Autopilot included</v>
      </c>
      <c r="S340" s="150" t="str">
        <f>IFERROR(__xludf.DUMMYFUNCTION("""COMPUTED_VALUE"""),"Loan")</f>
        <v>Loan</v>
      </c>
      <c r="T340" s="136" t="str">
        <f>IFERROR(__xludf.DUMMYFUNCTION("""COMPUTED_VALUE"""),"Honda Insight")</f>
        <v>Honda Insight</v>
      </c>
      <c r="U340" s="136" t="str">
        <f>IFERROR(__xludf.DUMMYFUNCTION("""COMPUTED_VALUE"""),"Electric!")</f>
        <v>Electric!</v>
      </c>
      <c r="V340" s="136" t="str">
        <f>IFERROR(__xludf.DUMMYFUNCTION("""COMPUTED_VALUE"""),"HomeLink")</f>
        <v>HomeLink</v>
      </c>
      <c r="W340" s="136"/>
      <c r="X340" s="137"/>
      <c r="Y340" s="138"/>
      <c r="Z340" s="138"/>
      <c r="AA340" s="138"/>
      <c r="AB340" s="138"/>
      <c r="AC340" s="139"/>
      <c r="AD340" s="139"/>
      <c r="AE340" s="139"/>
      <c r="AF340" s="140"/>
      <c r="AG340" s="136"/>
      <c r="AH340" s="157">
        <f>IFERROR(__xludf.DUMMYFUNCTION("""COMPUTED_VALUE"""),44455.763428472215)</f>
        <v>44455.76343</v>
      </c>
      <c r="AI340" s="138"/>
      <c r="AJ340" s="138"/>
      <c r="AK340" s="138"/>
      <c r="AL340" s="142"/>
    </row>
    <row r="341" ht="20.25" customHeight="1">
      <c r="A341" s="155" t="str">
        <f>IFERROR(__xludf.DUMMYFUNCTION("""COMPUTED_VALUE"""),"left")</f>
        <v>left</v>
      </c>
      <c r="B341" s="149" t="str">
        <f>IFERROR(__xludf.DUMMYFUNCTION("""COMPUTED_VALUE"""),"Mesquite")</f>
        <v>Mesquite</v>
      </c>
      <c r="C341" s="149" t="str">
        <f>IFERROR(__xludf.DUMMYFUNCTION("""COMPUTED_VALUE"""),"TX")</f>
        <v>TX</v>
      </c>
      <c r="D341" s="149" t="str">
        <f>IFERROR(__xludf.DUMMYFUNCTION("""COMPUTED_VALUE"""),"USA")</f>
        <v>USA</v>
      </c>
      <c r="E341" s="156">
        <f>IFERROR(__xludf.DUMMYFUNCTION("""COMPUTED_VALUE"""),44407.0)</f>
        <v>44407</v>
      </c>
      <c r="F341" s="129">
        <f>IFERROR(__xludf.DUMMYFUNCTION("""COMPUTED_VALUE"""),44410.0)</f>
        <v>44410</v>
      </c>
      <c r="G341" s="154" t="str">
        <f>IFERROR(__xludf.DUMMYFUNCTION("""COMPUTED_VALUE"""),"Manage order page (normal text)")</f>
        <v>Manage order page (normal text)</v>
      </c>
      <c r="H341" s="131"/>
      <c r="I341" s="132"/>
      <c r="J341" s="129">
        <f>IFERROR(__xludf.DUMMYFUNCTION("""COMPUTED_VALUE"""),44421.0)</f>
        <v>44421</v>
      </c>
      <c r="K341" s="133">
        <f>IFERROR(__xludf.DUMMYFUNCTION("""COMPUTED_VALUE"""),3.0)</f>
        <v>3</v>
      </c>
      <c r="L341" s="133">
        <f>IFERROR(__xludf.DUMMYFUNCTION("""COMPUTED_VALUE"""),11.0)</f>
        <v>11</v>
      </c>
      <c r="M341" s="133">
        <f>IFERROR(__xludf.DUMMYFUNCTION("""COMPUTED_VALUE"""),14.0)</f>
        <v>14</v>
      </c>
      <c r="N341" s="152" t="str">
        <f>IFERROR(__xludf.DUMMYFUNCTION("""COMPUTED_VALUE"""),"Model 3 Performance")</f>
        <v>Model 3 Performance</v>
      </c>
      <c r="O341" s="152" t="str">
        <f>IFERROR(__xludf.DUMMYFUNCTION("""COMPUTED_VALUE"""),"Pearl White Multi-Coat")</f>
        <v>Pearl White Multi-Coat</v>
      </c>
      <c r="P341" s="153" t="str">
        <f>IFERROR(__xludf.DUMMYFUNCTION("""COMPUTED_VALUE"""),"20 inch")</f>
        <v>20 inch</v>
      </c>
      <c r="Q341" s="152" t="str">
        <f>IFERROR(__xludf.DUMMYFUNCTION("""COMPUTED_VALUE"""),"Black and White")</f>
        <v>Black and White</v>
      </c>
      <c r="R341" s="150" t="str">
        <f>IFERROR(__xludf.DUMMYFUNCTION("""COMPUTED_VALUE"""),"Autopilot included")</f>
        <v>Autopilot included</v>
      </c>
      <c r="S341" s="150" t="str">
        <f>IFERROR(__xludf.DUMMYFUNCTION("""COMPUTED_VALUE"""),"Loan")</f>
        <v>Loan</v>
      </c>
      <c r="T341" s="136" t="str">
        <f>IFERROR(__xludf.DUMMYFUNCTION("""COMPUTED_VALUE"""),"none")</f>
        <v>none</v>
      </c>
      <c r="U341" s="136" t="str">
        <f>IFERROR(__xludf.DUMMYFUNCTION("""COMPUTED_VALUE"""),"Electric!")</f>
        <v>Electric!</v>
      </c>
      <c r="V341" s="136" t="str">
        <f>IFERROR(__xludf.DUMMYFUNCTION("""COMPUTED_VALUE"""),"Air suspension")</f>
        <v>Air suspension</v>
      </c>
      <c r="W341" s="145"/>
      <c r="X341" s="151"/>
      <c r="Y341" s="138"/>
      <c r="Z341" s="138"/>
      <c r="AA341" s="138"/>
      <c r="AB341" s="138"/>
      <c r="AC341" s="139"/>
      <c r="AD341" s="139"/>
      <c r="AE341" s="139"/>
      <c r="AF341" s="140"/>
      <c r="AG341" s="136"/>
      <c r="AH341" s="157">
        <f>IFERROR(__xludf.DUMMYFUNCTION("""COMPUTED_VALUE"""),44415.766633796295)</f>
        <v>44415.76663</v>
      </c>
      <c r="AI341" s="138"/>
      <c r="AJ341" s="138"/>
      <c r="AK341" s="138"/>
      <c r="AL341" s="142"/>
    </row>
    <row r="342" ht="20.25" customHeight="1">
      <c r="A342" s="155" t="str">
        <f>IFERROR(__xludf.DUMMYFUNCTION("""COMPUTED_VALUE"""),"NL1205")</f>
        <v>NL1205</v>
      </c>
      <c r="B342" s="149" t="str">
        <f>IFERROR(__xludf.DUMMYFUNCTION("""COMPUTED_VALUE"""),"Decatur")</f>
        <v>Decatur</v>
      </c>
      <c r="C342" s="149" t="str">
        <f>IFERROR(__xludf.DUMMYFUNCTION("""COMPUTED_VALUE"""),"GA")</f>
        <v>GA</v>
      </c>
      <c r="D342" s="149" t="str">
        <f>IFERROR(__xludf.DUMMYFUNCTION("""COMPUTED_VALUE"""),"USA")</f>
        <v>USA</v>
      </c>
      <c r="E342" s="156">
        <f>IFERROR(__xludf.DUMMYFUNCTION("""COMPUTED_VALUE"""),44407.0)</f>
        <v>44407</v>
      </c>
      <c r="F342" s="129">
        <f>IFERROR(__xludf.DUMMYFUNCTION("""COMPUTED_VALUE"""),44425.0)</f>
        <v>44425</v>
      </c>
      <c r="G342" s="154" t="str">
        <f>IFERROR(__xludf.DUMMYFUNCTION("""COMPUTED_VALUE"""),"Phone call")</f>
        <v>Phone call</v>
      </c>
      <c r="H342" s="131"/>
      <c r="I342" s="144"/>
      <c r="J342" s="129">
        <f>IFERROR(__xludf.DUMMYFUNCTION("""COMPUTED_VALUE"""),44443.0)</f>
        <v>44443</v>
      </c>
      <c r="K342" s="133">
        <f>IFERROR(__xludf.DUMMYFUNCTION("""COMPUTED_VALUE"""),18.0)</f>
        <v>18</v>
      </c>
      <c r="L342" s="133">
        <f>IFERROR(__xludf.DUMMYFUNCTION("""COMPUTED_VALUE"""),18.0)</f>
        <v>18</v>
      </c>
      <c r="M342" s="133">
        <f>IFERROR(__xludf.DUMMYFUNCTION("""COMPUTED_VALUE"""),36.0)</f>
        <v>36</v>
      </c>
      <c r="N342" s="152" t="str">
        <f>IFERROR(__xludf.DUMMYFUNCTION("""COMPUTED_VALUE"""),"Model 3 Performance")</f>
        <v>Model 3 Performance</v>
      </c>
      <c r="O342" s="152" t="str">
        <f>IFERROR(__xludf.DUMMYFUNCTION("""COMPUTED_VALUE"""),"Pearl White Multi-Coat")</f>
        <v>Pearl White Multi-Coat</v>
      </c>
      <c r="P342" s="153" t="str">
        <f>IFERROR(__xludf.DUMMYFUNCTION("""COMPUTED_VALUE"""),"20 inch")</f>
        <v>20 inch</v>
      </c>
      <c r="Q342" s="152" t="str">
        <f>IFERROR(__xludf.DUMMYFUNCTION("""COMPUTED_VALUE"""),"Black and White")</f>
        <v>Black and White</v>
      </c>
      <c r="R342" s="149" t="str">
        <f>IFERROR(__xludf.DUMMYFUNCTION("""COMPUTED_VALUE"""),"Autopilot included")</f>
        <v>Autopilot included</v>
      </c>
      <c r="S342" s="149" t="str">
        <f>IFERROR(__xludf.DUMMYFUNCTION("""COMPUTED_VALUE"""),"Loan")</f>
        <v>Loan</v>
      </c>
      <c r="T342" s="145" t="str">
        <f>IFERROR(__xludf.DUMMYFUNCTION("""COMPUTED_VALUE"""),"BMW M2")</f>
        <v>BMW M2</v>
      </c>
      <c r="U342" s="145" t="str">
        <f>IFERROR(__xludf.DUMMYFUNCTION("""COMPUTED_VALUE"""),"Performance")</f>
        <v>Performance</v>
      </c>
      <c r="V342" s="145" t="str">
        <f>IFERROR(__xludf.DUMMYFUNCTION("""COMPUTED_VALUE"""),"Head-up display")</f>
        <v>Head-up display</v>
      </c>
      <c r="W342" s="136"/>
      <c r="X342" s="137"/>
      <c r="Y342" s="138"/>
      <c r="Z342" s="138"/>
      <c r="AA342" s="138"/>
      <c r="AB342" s="138"/>
      <c r="AC342" s="139"/>
      <c r="AD342" s="139"/>
      <c r="AE342" s="139"/>
      <c r="AF342" s="140"/>
      <c r="AG342" s="136"/>
      <c r="AH342" s="157">
        <f>IFERROR(__xludf.DUMMYFUNCTION("""COMPUTED_VALUE"""),44426.353809988424)</f>
        <v>44426.35381</v>
      </c>
      <c r="AI342" s="138"/>
      <c r="AJ342" s="138"/>
      <c r="AK342" s="138"/>
      <c r="AL342" s="142"/>
    </row>
    <row r="343" ht="20.25" customHeight="1">
      <c r="A343" s="155" t="str">
        <f>IFERROR(__xludf.DUMMYFUNCTION("""COMPUTED_VALUE"""),"PalmTree")</f>
        <v>PalmTree</v>
      </c>
      <c r="B343" s="149" t="str">
        <f>IFERROR(__xludf.DUMMYFUNCTION("""COMPUTED_VALUE"""),"Calgary")</f>
        <v>Calgary</v>
      </c>
      <c r="C343" s="149" t="str">
        <f>IFERROR(__xludf.DUMMYFUNCTION("""COMPUTED_VALUE"""),"AB")</f>
        <v>AB</v>
      </c>
      <c r="D343" s="149" t="str">
        <f>IFERROR(__xludf.DUMMYFUNCTION("""COMPUTED_VALUE"""),"Canada")</f>
        <v>Canada</v>
      </c>
      <c r="E343" s="156">
        <f>IFERROR(__xludf.DUMMYFUNCTION("""COMPUTED_VALUE"""),44407.0)</f>
        <v>44407</v>
      </c>
      <c r="F343" s="129"/>
      <c r="G343" s="154"/>
      <c r="H343" s="131"/>
      <c r="I343" s="144"/>
      <c r="J343" s="129"/>
      <c r="K343" s="133"/>
      <c r="L343" s="133"/>
      <c r="M343" s="133"/>
      <c r="N343" s="152" t="str">
        <f>IFERROR(__xludf.DUMMYFUNCTION("""COMPUTED_VALUE"""),"Model 3 SR+")</f>
        <v>Model 3 SR+</v>
      </c>
      <c r="O343" s="152" t="str">
        <f>IFERROR(__xludf.DUMMYFUNCTION("""COMPUTED_VALUE"""),"Pearl White Multi-Coat")</f>
        <v>Pearl White Multi-Coat</v>
      </c>
      <c r="P343" s="153" t="str">
        <f>IFERROR(__xludf.DUMMYFUNCTION("""COMPUTED_VALUE"""),"18 inch")</f>
        <v>18 inch</v>
      </c>
      <c r="Q343" s="152" t="str">
        <f>IFERROR(__xludf.DUMMYFUNCTION("""COMPUTED_VALUE"""),"Black and White")</f>
        <v>Black and White</v>
      </c>
      <c r="R343" s="149" t="str">
        <f>IFERROR(__xludf.DUMMYFUNCTION("""COMPUTED_VALUE"""),"Autopilot included")</f>
        <v>Autopilot included</v>
      </c>
      <c r="S343" s="149" t="str">
        <f>IFERROR(__xludf.DUMMYFUNCTION("""COMPUTED_VALUE"""),"Cash")</f>
        <v>Cash</v>
      </c>
      <c r="T343" s="145"/>
      <c r="U343" s="145" t="str">
        <f>IFERROR(__xludf.DUMMYFUNCTION("""COMPUTED_VALUE"""),"Electric!")</f>
        <v>Electric!</v>
      </c>
      <c r="V343" s="145"/>
      <c r="W343" s="136"/>
      <c r="X343" s="137"/>
      <c r="Y343" s="138"/>
      <c r="Z343" s="138"/>
      <c r="AA343" s="138"/>
      <c r="AB343" s="138"/>
      <c r="AC343" s="139"/>
      <c r="AD343" s="139"/>
      <c r="AE343" s="139"/>
      <c r="AF343" s="140"/>
      <c r="AG343" s="136"/>
      <c r="AH343" s="157">
        <f>IFERROR(__xludf.DUMMYFUNCTION("""COMPUTED_VALUE"""),44427.65988295138)</f>
        <v>44427.65988</v>
      </c>
      <c r="AI343" s="138"/>
      <c r="AJ343" s="138"/>
      <c r="AK343" s="138"/>
      <c r="AL343" s="142"/>
    </row>
    <row r="344" ht="20.25" customHeight="1">
      <c r="A344" s="155" t="str">
        <f>IFERROR(__xludf.DUMMYFUNCTION("""COMPUTED_VALUE"""),"Stanman77")</f>
        <v>Stanman77</v>
      </c>
      <c r="B344" s="149" t="str">
        <f>IFERROR(__xludf.DUMMYFUNCTION("""COMPUTED_VALUE"""),"Boston")</f>
        <v>Boston</v>
      </c>
      <c r="C344" s="149" t="str">
        <f>IFERROR(__xludf.DUMMYFUNCTION("""COMPUTED_VALUE"""),"MA")</f>
        <v>MA</v>
      </c>
      <c r="D344" s="149" t="str">
        <f>IFERROR(__xludf.DUMMYFUNCTION("""COMPUTED_VALUE"""),"USA")</f>
        <v>USA</v>
      </c>
      <c r="E344" s="156">
        <f>IFERROR(__xludf.DUMMYFUNCTION("""COMPUTED_VALUE"""),44407.0)</f>
        <v>44407</v>
      </c>
      <c r="F344" s="129">
        <f>IFERROR(__xludf.DUMMYFUNCTION("""COMPUTED_VALUE"""),44419.0)</f>
        <v>44419</v>
      </c>
      <c r="G344" s="154" t="str">
        <f>IFERROR(__xludf.DUMMYFUNCTION("""COMPUTED_VALUE"""),"Email")</f>
        <v>Email</v>
      </c>
      <c r="H344" s="131">
        <f>IFERROR(__xludf.DUMMYFUNCTION("""COMPUTED_VALUE"""),35555.0)</f>
        <v>35555</v>
      </c>
      <c r="I344" s="132"/>
      <c r="J344" s="129">
        <f>IFERROR(__xludf.DUMMYFUNCTION("""COMPUTED_VALUE"""),44434.0)</f>
        <v>44434</v>
      </c>
      <c r="K344" s="133">
        <f>IFERROR(__xludf.DUMMYFUNCTION("""COMPUTED_VALUE"""),12.0)</f>
        <v>12</v>
      </c>
      <c r="L344" s="133">
        <f>IFERROR(__xludf.DUMMYFUNCTION("""COMPUTED_VALUE"""),15.0)</f>
        <v>15</v>
      </c>
      <c r="M344" s="133">
        <f>IFERROR(__xludf.DUMMYFUNCTION("""COMPUTED_VALUE"""),27.0)</f>
        <v>27</v>
      </c>
      <c r="N344" s="152" t="str">
        <f>IFERROR(__xludf.DUMMYFUNCTION("""COMPUTED_VALUE"""),"Model 3 Performance")</f>
        <v>Model 3 Performance</v>
      </c>
      <c r="O344" s="152" t="str">
        <f>IFERROR(__xludf.DUMMYFUNCTION("""COMPUTED_VALUE"""),"Deep Blue Metallic")</f>
        <v>Deep Blue Metallic</v>
      </c>
      <c r="P344" s="153" t="str">
        <f>IFERROR(__xludf.DUMMYFUNCTION("""COMPUTED_VALUE"""),"20 inch")</f>
        <v>20 inch</v>
      </c>
      <c r="Q344" s="152" t="str">
        <f>IFERROR(__xludf.DUMMYFUNCTION("""COMPUTED_VALUE"""),"Black and White")</f>
        <v>Black and White</v>
      </c>
      <c r="R344" s="150" t="str">
        <f>IFERROR(__xludf.DUMMYFUNCTION("""COMPUTED_VALUE"""),"Autopilot included")</f>
        <v>Autopilot included</v>
      </c>
      <c r="S344" s="150" t="str">
        <f>IFERROR(__xludf.DUMMYFUNCTION("""COMPUTED_VALUE"""),"Loan")</f>
        <v>Loan</v>
      </c>
      <c r="T344" s="136" t="str">
        <f>IFERROR(__xludf.DUMMYFUNCTION("""COMPUTED_VALUE"""),"Tesla Model 3")</f>
        <v>Tesla Model 3</v>
      </c>
      <c r="U344" s="136" t="str">
        <f>IFERROR(__xludf.DUMMYFUNCTION("""COMPUTED_VALUE"""),"Electric!")</f>
        <v>Electric!</v>
      </c>
      <c r="V344" s="136" t="str">
        <f>IFERROR(__xludf.DUMMYFUNCTION("""COMPUTED_VALUE"""),"Air suspension")</f>
        <v>Air suspension</v>
      </c>
      <c r="W344" s="136" t="str">
        <f>IFERROR(__xludf.DUMMYFUNCTION("""COMPUTED_VALUE"""),"Waiting sucks")</f>
        <v>Waiting sucks</v>
      </c>
      <c r="X344" s="137" t="str">
        <f>IFERROR(__xludf.DUMMYFUNCTION("""COMPUTED_VALUE"""),"Excellent")</f>
        <v>Excellent</v>
      </c>
      <c r="Y344" s="138" t="str">
        <f>IFERROR(__xludf.DUMMYFUNCTION("""COMPUTED_VALUE"""),"Excellent")</f>
        <v>Excellent</v>
      </c>
      <c r="Z344" s="138" t="str">
        <f>IFERROR(__xludf.DUMMYFUNCTION("""COMPUTED_VALUE"""),"Very Good")</f>
        <v>Very Good</v>
      </c>
      <c r="AA344" s="138" t="str">
        <f>IFERROR(__xludf.DUMMYFUNCTION("""COMPUTED_VALUE"""),"Fair")</f>
        <v>Fair</v>
      </c>
      <c r="AB344" s="138" t="str">
        <f>IFERROR(__xludf.DUMMYFUNCTION("""COMPUTED_VALUE"""),"Excellent")</f>
        <v>Excellent</v>
      </c>
      <c r="AC344" s="139">
        <f>IFERROR(__xludf.DUMMYFUNCTION("""COMPUTED_VALUE"""),0.0)</f>
        <v>0</v>
      </c>
      <c r="AD344" s="139">
        <f>IFERROR(__xludf.DUMMYFUNCTION("""COMPUTED_VALUE"""),0.0)</f>
        <v>0</v>
      </c>
      <c r="AE344" s="139">
        <f>IFERROR(__xludf.DUMMYFUNCTION("""COMPUTED_VALUE"""),0.0)</f>
        <v>0</v>
      </c>
      <c r="AF344" s="140" t="str">
        <f>IFERROR(__xludf.DUMMYFUNCTION("""COMPUTED_VALUE"""),"No. I took delivery of the first car Tesla was able to deliver.")</f>
        <v>No. I took delivery of the first car Tesla was able to deliver.</v>
      </c>
      <c r="AG344" s="136" t="str">
        <f>IFERROR(__xludf.DUMMYFUNCTION("""COMPUTED_VALUE"""),"Blue with white interior might be the best color combo. I traded my model 3 in with FSD fully paid, not worth. ")</f>
        <v>Blue with white interior might be the best color combo. I traded my model 3 in with FSD fully paid, not worth. </v>
      </c>
      <c r="AH344" s="157">
        <f>IFERROR(__xludf.DUMMYFUNCTION("""COMPUTED_VALUE"""),44437.80313954861)</f>
        <v>44437.80314</v>
      </c>
      <c r="AI344" s="138"/>
      <c r="AJ344" s="138"/>
      <c r="AK344" s="138"/>
      <c r="AL344" s="142"/>
    </row>
    <row r="345" ht="20.25" customHeight="1">
      <c r="A345" s="155" t="str">
        <f>IFERROR(__xludf.DUMMYFUNCTION("""COMPUTED_VALUE"""),"wilmsas")</f>
        <v>wilmsas</v>
      </c>
      <c r="B345" s="149" t="str">
        <f>IFERROR(__xludf.DUMMYFUNCTION("""COMPUTED_VALUE"""),"Austin")</f>
        <v>Austin</v>
      </c>
      <c r="C345" s="149" t="str">
        <f>IFERROR(__xludf.DUMMYFUNCTION("""COMPUTED_VALUE"""),"TX")</f>
        <v>TX</v>
      </c>
      <c r="D345" s="149" t="str">
        <f>IFERROR(__xludf.DUMMYFUNCTION("""COMPUTED_VALUE"""),"USA")</f>
        <v>USA</v>
      </c>
      <c r="E345" s="156">
        <f>IFERROR(__xludf.DUMMYFUNCTION("""COMPUTED_VALUE"""),44407.0)</f>
        <v>44407</v>
      </c>
      <c r="F345" s="129"/>
      <c r="G345" s="154"/>
      <c r="H345" s="131"/>
      <c r="I345" s="132"/>
      <c r="J345" s="129"/>
      <c r="K345" s="133"/>
      <c r="L345" s="133"/>
      <c r="M345" s="133"/>
      <c r="N345" s="152" t="str">
        <f>IFERROR(__xludf.DUMMYFUNCTION("""COMPUTED_VALUE"""),"Model 3 LR AWD")</f>
        <v>Model 3 LR AWD</v>
      </c>
      <c r="O345" s="152" t="str">
        <f>IFERROR(__xludf.DUMMYFUNCTION("""COMPUTED_VALUE"""),"Red Multi-Coat")</f>
        <v>Red Multi-Coat</v>
      </c>
      <c r="P345" s="153" t="str">
        <f>IFERROR(__xludf.DUMMYFUNCTION("""COMPUTED_VALUE"""),"18 inch")</f>
        <v>18 inch</v>
      </c>
      <c r="Q345" s="152" t="str">
        <f>IFERROR(__xludf.DUMMYFUNCTION("""COMPUTED_VALUE"""),"All Black")</f>
        <v>All Black</v>
      </c>
      <c r="R345" s="150" t="str">
        <f>IFERROR(__xludf.DUMMYFUNCTION("""COMPUTED_VALUE"""),"Autopilot included")</f>
        <v>Autopilot included</v>
      </c>
      <c r="S345" s="150" t="str">
        <f>IFERROR(__xludf.DUMMYFUNCTION("""COMPUTED_VALUE"""),"Loan")</f>
        <v>Loan</v>
      </c>
      <c r="T345" s="136" t="str">
        <f>IFERROR(__xludf.DUMMYFUNCTION("""COMPUTED_VALUE"""),"Abarth Spider 124")</f>
        <v>Abarth Spider 124</v>
      </c>
      <c r="U345" s="136" t="str">
        <f>IFERROR(__xludf.DUMMYFUNCTION("""COMPUTED_VALUE"""),"Electric!")</f>
        <v>Electric!</v>
      </c>
      <c r="V345" s="145" t="str">
        <f>IFERROR(__xludf.DUMMYFUNCTION("""COMPUTED_VALUE"""),"Apple CarPlay / Android Auto / SiriusXM Radio")</f>
        <v>Apple CarPlay / Android Auto / SiriusXM Radio</v>
      </c>
      <c r="W345" s="136"/>
      <c r="X345" s="137"/>
      <c r="Y345" s="138"/>
      <c r="Z345" s="138"/>
      <c r="AA345" s="138"/>
      <c r="AB345" s="138"/>
      <c r="AC345" s="139"/>
      <c r="AD345" s="139"/>
      <c r="AE345" s="139"/>
      <c r="AF345" s="140"/>
      <c r="AG345" s="136"/>
      <c r="AH345" s="157">
        <f>IFERROR(__xludf.DUMMYFUNCTION("""COMPUTED_VALUE"""),44431.51420368055)</f>
        <v>44431.5142</v>
      </c>
      <c r="AI345" s="138"/>
      <c r="AJ345" s="138"/>
      <c r="AK345" s="138"/>
      <c r="AL345" s="142"/>
    </row>
    <row r="346" ht="20.25" customHeight="1">
      <c r="A346" s="155" t="str">
        <f>IFERROR(__xludf.DUMMYFUNCTION("""COMPUTED_VALUE"""),"Cygnus ")</f>
        <v>Cygnus </v>
      </c>
      <c r="B346" s="149" t="str">
        <f>IFERROR(__xludf.DUMMYFUNCTION("""COMPUTED_VALUE"""),"Long Island ")</f>
        <v>Long Island </v>
      </c>
      <c r="C346" s="149" t="str">
        <f>IFERROR(__xludf.DUMMYFUNCTION("""COMPUTED_VALUE"""),"NY")</f>
        <v>NY</v>
      </c>
      <c r="D346" s="149" t="str">
        <f>IFERROR(__xludf.DUMMYFUNCTION("""COMPUTED_VALUE"""),"USA")</f>
        <v>USA</v>
      </c>
      <c r="E346" s="156">
        <f>IFERROR(__xludf.DUMMYFUNCTION("""COMPUTED_VALUE"""),44406.0)</f>
        <v>44406</v>
      </c>
      <c r="F346" s="129">
        <f>IFERROR(__xludf.DUMMYFUNCTION("""COMPUTED_VALUE"""),44435.0)</f>
        <v>44435</v>
      </c>
      <c r="G346" s="154" t="str">
        <f>IFERROR(__xludf.DUMMYFUNCTION("""COMPUTED_VALUE"""),"Manage order page (normal text)")</f>
        <v>Manage order page (normal text)</v>
      </c>
      <c r="H346" s="131">
        <f>IFERROR(__xludf.DUMMYFUNCTION("""COMPUTED_VALUE"""),51955.0)</f>
        <v>51955</v>
      </c>
      <c r="I346" s="144"/>
      <c r="J346" s="129">
        <f>IFERROR(__xludf.DUMMYFUNCTION("""COMPUTED_VALUE"""),44450.0)</f>
        <v>44450</v>
      </c>
      <c r="K346" s="133">
        <f>IFERROR(__xludf.DUMMYFUNCTION("""COMPUTED_VALUE"""),29.0)</f>
        <v>29</v>
      </c>
      <c r="L346" s="133">
        <f>IFERROR(__xludf.DUMMYFUNCTION("""COMPUTED_VALUE"""),15.0)</f>
        <v>15</v>
      </c>
      <c r="M346" s="133">
        <f>IFERROR(__xludf.DUMMYFUNCTION("""COMPUTED_VALUE"""),44.0)</f>
        <v>44</v>
      </c>
      <c r="N346" s="152" t="str">
        <f>IFERROR(__xludf.DUMMYFUNCTION("""COMPUTED_VALUE"""),"Model 3 LR AWD")</f>
        <v>Model 3 LR AWD</v>
      </c>
      <c r="O346" s="152" t="str">
        <f>IFERROR(__xludf.DUMMYFUNCTION("""COMPUTED_VALUE"""),"Red Multi-Coat")</f>
        <v>Red Multi-Coat</v>
      </c>
      <c r="P346" s="153" t="str">
        <f>IFERROR(__xludf.DUMMYFUNCTION("""COMPUTED_VALUE"""),"18 inch")</f>
        <v>18 inch</v>
      </c>
      <c r="Q346" s="152" t="str">
        <f>IFERROR(__xludf.DUMMYFUNCTION("""COMPUTED_VALUE"""),"All Black")</f>
        <v>All Black</v>
      </c>
      <c r="R346" s="149" t="str">
        <f>IFERROR(__xludf.DUMMYFUNCTION("""COMPUTED_VALUE"""),"Full Self-Driving")</f>
        <v>Full Self-Driving</v>
      </c>
      <c r="S346" s="149" t="str">
        <f>IFERROR(__xludf.DUMMYFUNCTION("""COMPUTED_VALUE"""),"Loan")</f>
        <v>Loan</v>
      </c>
      <c r="T346" s="145" t="str">
        <f>IFERROR(__xludf.DUMMYFUNCTION("""COMPUTED_VALUE"""),"Merceded e350")</f>
        <v>Merceded e350</v>
      </c>
      <c r="U346" s="145" t="str">
        <f>IFERROR(__xludf.DUMMYFUNCTION("""COMPUTED_VALUE"""),"Electric!")</f>
        <v>Electric!</v>
      </c>
      <c r="V346" s="145" t="str">
        <f>IFERROR(__xludf.DUMMYFUNCTION("""COMPUTED_VALUE"""),"Apple CarPlay / Android Auto / SiriusXM Radio")</f>
        <v>Apple CarPlay / Android Auto / SiriusXM Radio</v>
      </c>
      <c r="W346" s="136"/>
      <c r="X346" s="137"/>
      <c r="Y346" s="138"/>
      <c r="Z346" s="138"/>
      <c r="AA346" s="138"/>
      <c r="AB346" s="138"/>
      <c r="AC346" s="139"/>
      <c r="AD346" s="139"/>
      <c r="AE346" s="139"/>
      <c r="AF346" s="140"/>
      <c r="AG346" s="136"/>
      <c r="AH346" s="157">
        <f>IFERROR(__xludf.DUMMYFUNCTION("""COMPUTED_VALUE"""),44450.60034163195)</f>
        <v>44450.60034</v>
      </c>
      <c r="AI346" s="138"/>
      <c r="AJ346" s="138"/>
      <c r="AK346" s="138"/>
      <c r="AL346" s="142"/>
    </row>
    <row r="347" ht="20.25" customHeight="1">
      <c r="A347" s="155" t="str">
        <f>IFERROR(__xludf.DUMMYFUNCTION("""COMPUTED_VALUE"""),"Eldy")</f>
        <v>Eldy</v>
      </c>
      <c r="B347" s="149" t="str">
        <f>IFERROR(__xludf.DUMMYFUNCTION("""COMPUTED_VALUE"""),"Austin")</f>
        <v>Austin</v>
      </c>
      <c r="C347" s="149" t="str">
        <f>IFERROR(__xludf.DUMMYFUNCTION("""COMPUTED_VALUE"""),"TX")</f>
        <v>TX</v>
      </c>
      <c r="D347" s="149" t="str">
        <f>IFERROR(__xludf.DUMMYFUNCTION("""COMPUTED_VALUE"""),"USA")</f>
        <v>USA</v>
      </c>
      <c r="E347" s="156">
        <f>IFERROR(__xludf.DUMMYFUNCTION("""COMPUTED_VALUE"""),44406.0)</f>
        <v>44406</v>
      </c>
      <c r="F347" s="129">
        <f>IFERROR(__xludf.DUMMYFUNCTION("""COMPUTED_VALUE"""),44439.0)</f>
        <v>44439</v>
      </c>
      <c r="G347" s="154" t="str">
        <f>IFERROR(__xludf.DUMMYFUNCTION("""COMPUTED_VALUE"""),"Manage order page (normal text)")</f>
        <v>Manage order page (normal text)</v>
      </c>
      <c r="H347" s="131">
        <f>IFERROR(__xludf.DUMMYFUNCTION("""COMPUTED_VALUE"""),55022.0)</f>
        <v>55022</v>
      </c>
      <c r="I347" s="144"/>
      <c r="J347" s="129">
        <f>IFERROR(__xludf.DUMMYFUNCTION("""COMPUTED_VALUE"""),44452.0)</f>
        <v>44452</v>
      </c>
      <c r="K347" s="133">
        <f>IFERROR(__xludf.DUMMYFUNCTION("""COMPUTED_VALUE"""),33.0)</f>
        <v>33</v>
      </c>
      <c r="L347" s="133">
        <f>IFERROR(__xludf.DUMMYFUNCTION("""COMPUTED_VALUE"""),13.0)</f>
        <v>13</v>
      </c>
      <c r="M347" s="133">
        <f>IFERROR(__xludf.DUMMYFUNCTION("""COMPUTED_VALUE"""),46.0)</f>
        <v>46</v>
      </c>
      <c r="N347" s="152" t="str">
        <f>IFERROR(__xludf.DUMMYFUNCTION("""COMPUTED_VALUE"""),"Model 3 LR AWD")</f>
        <v>Model 3 LR AWD</v>
      </c>
      <c r="O347" s="152" t="str">
        <f>IFERROR(__xludf.DUMMYFUNCTION("""COMPUTED_VALUE"""),"Solid Black")</f>
        <v>Solid Black</v>
      </c>
      <c r="P347" s="153" t="str">
        <f>IFERROR(__xludf.DUMMYFUNCTION("""COMPUTED_VALUE"""),"19 inch")</f>
        <v>19 inch</v>
      </c>
      <c r="Q347" s="152" t="str">
        <f>IFERROR(__xludf.DUMMYFUNCTION("""COMPUTED_VALUE"""),"All Black")</f>
        <v>All Black</v>
      </c>
      <c r="R347" s="149" t="str">
        <f>IFERROR(__xludf.DUMMYFUNCTION("""COMPUTED_VALUE"""),"Autopilot included")</f>
        <v>Autopilot included</v>
      </c>
      <c r="S347" s="149" t="str">
        <f>IFERROR(__xludf.DUMMYFUNCTION("""COMPUTED_VALUE"""),"Loan")</f>
        <v>Loan</v>
      </c>
      <c r="T347" s="145" t="str">
        <f>IFERROR(__xludf.DUMMYFUNCTION("""COMPUTED_VALUE"""),"Model 3 will be my first car!")</f>
        <v>Model 3 will be my first car!</v>
      </c>
      <c r="U347" s="145" t="str">
        <f>IFERROR(__xludf.DUMMYFUNCTION("""COMPUTED_VALUE"""),"Autopilot")</f>
        <v>Autopilot</v>
      </c>
      <c r="V347" s="145" t="str">
        <f>IFERROR(__xludf.DUMMYFUNCTION("""COMPUTED_VALUE"""),"Bioweapon defense mode")</f>
        <v>Bioweapon defense mode</v>
      </c>
      <c r="W347" s="145" t="str">
        <f>IFERROR(__xludf.DUMMYFUNCTION("""COMPUTED_VALUE"""),"YOU DONT NEED TO DRIVE AS FAST AS THE CAR LETS YOU ")</f>
        <v>YOU DONT NEED TO DRIVE AS FAST AS THE CAR LETS YOU </v>
      </c>
      <c r="X347" s="137" t="str">
        <f>IFERROR(__xludf.DUMMYFUNCTION("""COMPUTED_VALUE"""),"Excellent")</f>
        <v>Excellent</v>
      </c>
      <c r="Y347" s="138" t="str">
        <f>IFERROR(__xludf.DUMMYFUNCTION("""COMPUTED_VALUE"""),"Excellent")</f>
        <v>Excellent</v>
      </c>
      <c r="Z347" s="138" t="str">
        <f>IFERROR(__xludf.DUMMYFUNCTION("""COMPUTED_VALUE"""),"Excellent")</f>
        <v>Excellent</v>
      </c>
      <c r="AA347" s="138" t="str">
        <f>IFERROR(__xludf.DUMMYFUNCTION("""COMPUTED_VALUE"""),"Very Good")</f>
        <v>Very Good</v>
      </c>
      <c r="AB347" s="138" t="str">
        <f>IFERROR(__xludf.DUMMYFUNCTION("""COMPUTED_VALUE"""),"Excellent")</f>
        <v>Excellent</v>
      </c>
      <c r="AC347" s="139">
        <f>IFERROR(__xludf.DUMMYFUNCTION("""COMPUTED_VALUE"""),0.0)</f>
        <v>0</v>
      </c>
      <c r="AD347" s="139">
        <f>IFERROR(__xludf.DUMMYFUNCTION("""COMPUTED_VALUE"""),0.0)</f>
        <v>0</v>
      </c>
      <c r="AE347" s="139">
        <f>IFERROR(__xludf.DUMMYFUNCTION("""COMPUTED_VALUE"""),0.0)</f>
        <v>0</v>
      </c>
      <c r="AF347" s="140" t="str">
        <f>IFERROR(__xludf.DUMMYFUNCTION("""COMPUTED_VALUE"""),"No. I took delivery of the first car Tesla was able to deliver.")</f>
        <v>No. I took delivery of the first car Tesla was able to deliver.</v>
      </c>
      <c r="AG347" s="145"/>
      <c r="AH347" s="157">
        <f>IFERROR(__xludf.DUMMYFUNCTION("""COMPUTED_VALUE"""),44461.40446474536)</f>
        <v>44461.40446</v>
      </c>
      <c r="AI347" s="138"/>
      <c r="AJ347" s="138"/>
      <c r="AK347" s="138"/>
      <c r="AL347" s="142"/>
    </row>
    <row r="348" ht="20.25" customHeight="1">
      <c r="A348" s="155" t="str">
        <f>IFERROR(__xludf.DUMMYFUNCTION("""COMPUTED_VALUE"""),"Evensteven")</f>
        <v>Evensteven</v>
      </c>
      <c r="B348" s="149"/>
      <c r="C348" s="149" t="str">
        <f>IFERROR(__xludf.DUMMYFUNCTION("""COMPUTED_VALUE"""),"NJ")</f>
        <v>NJ</v>
      </c>
      <c r="D348" s="149" t="str">
        <f>IFERROR(__xludf.DUMMYFUNCTION("""COMPUTED_VALUE"""),"USA")</f>
        <v>USA</v>
      </c>
      <c r="E348" s="156">
        <f>IFERROR(__xludf.DUMMYFUNCTION("""COMPUTED_VALUE"""),44406.0)</f>
        <v>44406</v>
      </c>
      <c r="F348" s="129">
        <f>IFERROR(__xludf.DUMMYFUNCTION("""COMPUTED_VALUE"""),44449.0)</f>
        <v>44449</v>
      </c>
      <c r="G348" s="154" t="str">
        <f>IFERROR(__xludf.DUMMYFUNCTION("""COMPUTED_VALUE"""),"Manage order page (normal text)")</f>
        <v>Manage order page (normal text)</v>
      </c>
      <c r="H348" s="131">
        <f>IFERROR(__xludf.DUMMYFUNCTION("""COMPUTED_VALUE"""),59697.0)</f>
        <v>59697</v>
      </c>
      <c r="I348" s="144"/>
      <c r="J348" s="129">
        <f>IFERROR(__xludf.DUMMYFUNCTION("""COMPUTED_VALUE"""),44463.0)</f>
        <v>44463</v>
      </c>
      <c r="K348" s="133">
        <f>IFERROR(__xludf.DUMMYFUNCTION("""COMPUTED_VALUE"""),43.0)</f>
        <v>43</v>
      </c>
      <c r="L348" s="133">
        <f>IFERROR(__xludf.DUMMYFUNCTION("""COMPUTED_VALUE"""),14.0)</f>
        <v>14</v>
      </c>
      <c r="M348" s="133">
        <f>IFERROR(__xludf.DUMMYFUNCTION("""COMPUTED_VALUE"""),57.0)</f>
        <v>57</v>
      </c>
      <c r="N348" s="152" t="str">
        <f>IFERROR(__xludf.DUMMYFUNCTION("""COMPUTED_VALUE"""),"Model 3 LR AWD")</f>
        <v>Model 3 LR AWD</v>
      </c>
      <c r="O348" s="152" t="str">
        <f>IFERROR(__xludf.DUMMYFUNCTION("""COMPUTED_VALUE"""),"Midnight Silver Metallic")</f>
        <v>Midnight Silver Metallic</v>
      </c>
      <c r="P348" s="153" t="str">
        <f>IFERROR(__xludf.DUMMYFUNCTION("""COMPUTED_VALUE"""),"18 inch")</f>
        <v>18 inch</v>
      </c>
      <c r="Q348" s="152" t="str">
        <f>IFERROR(__xludf.DUMMYFUNCTION("""COMPUTED_VALUE"""),"Black and White")</f>
        <v>Black and White</v>
      </c>
      <c r="R348" s="149" t="str">
        <f>IFERROR(__xludf.DUMMYFUNCTION("""COMPUTED_VALUE"""),"Autopilot included")</f>
        <v>Autopilot included</v>
      </c>
      <c r="S348" s="149" t="str">
        <f>IFERROR(__xludf.DUMMYFUNCTION("""COMPUTED_VALUE"""),"Loan")</f>
        <v>Loan</v>
      </c>
      <c r="T348" s="145" t="str">
        <f>IFERROR(__xludf.DUMMYFUNCTION("""COMPUTED_VALUE"""),"Model 3 will be my first car!")</f>
        <v>Model 3 will be my first car!</v>
      </c>
      <c r="U348" s="145" t="str">
        <f>IFERROR(__xludf.DUMMYFUNCTION("""COMPUTED_VALUE"""),"Electric!")</f>
        <v>Electric!</v>
      </c>
      <c r="V348" s="145" t="str">
        <f>IFERROR(__xludf.DUMMYFUNCTION("""COMPUTED_VALUE"""),"Apple CarPlay / Android Auto / SiriusXM Radio")</f>
        <v>Apple CarPlay / Android Auto / SiriusXM Radio</v>
      </c>
      <c r="W348" s="136"/>
      <c r="X348" s="137"/>
      <c r="Y348" s="138"/>
      <c r="Z348" s="138"/>
      <c r="AA348" s="138"/>
      <c r="AB348" s="138"/>
      <c r="AC348" s="139"/>
      <c r="AD348" s="139"/>
      <c r="AE348" s="139"/>
      <c r="AF348" s="140"/>
      <c r="AG348" s="136"/>
      <c r="AH348" s="157">
        <f>IFERROR(__xludf.DUMMYFUNCTION("""COMPUTED_VALUE"""),44454.812919976845)</f>
        <v>44454.81292</v>
      </c>
      <c r="AI348" s="138"/>
      <c r="AJ348" s="138"/>
      <c r="AK348" s="138"/>
      <c r="AL348" s="142"/>
    </row>
    <row r="349" ht="20.25" customHeight="1">
      <c r="A349" s="155" t="str">
        <f>IFERROR(__xludf.DUMMYFUNCTION("""COMPUTED_VALUE"""),"Maxhazards")</f>
        <v>Maxhazards</v>
      </c>
      <c r="B349" s="149" t="str">
        <f>IFERROR(__xludf.DUMMYFUNCTION("""COMPUTED_VALUE"""),"Fort Lauderdale")</f>
        <v>Fort Lauderdale</v>
      </c>
      <c r="C349" s="149" t="str">
        <f>IFERROR(__xludf.DUMMYFUNCTION("""COMPUTED_VALUE"""),"FL")</f>
        <v>FL</v>
      </c>
      <c r="D349" s="149" t="str">
        <f>IFERROR(__xludf.DUMMYFUNCTION("""COMPUTED_VALUE"""),"USA")</f>
        <v>USA</v>
      </c>
      <c r="E349" s="156">
        <f>IFERROR(__xludf.DUMMYFUNCTION("""COMPUTED_VALUE"""),44406.0)</f>
        <v>44406</v>
      </c>
      <c r="F349" s="129">
        <f>IFERROR(__xludf.DUMMYFUNCTION("""COMPUTED_VALUE"""),44418.0)</f>
        <v>44418</v>
      </c>
      <c r="G349" s="154" t="str">
        <f>IFERROR(__xludf.DUMMYFUNCTION("""COMPUTED_VALUE"""),"Email")</f>
        <v>Email</v>
      </c>
      <c r="H349" s="131"/>
      <c r="I349" s="144"/>
      <c r="J349" s="129">
        <f>IFERROR(__xludf.DUMMYFUNCTION("""COMPUTED_VALUE"""),44436.0)</f>
        <v>44436</v>
      </c>
      <c r="K349" s="133">
        <f>IFERROR(__xludf.DUMMYFUNCTION("""COMPUTED_VALUE"""),12.0)</f>
        <v>12</v>
      </c>
      <c r="L349" s="133">
        <f>IFERROR(__xludf.DUMMYFUNCTION("""COMPUTED_VALUE"""),18.0)</f>
        <v>18</v>
      </c>
      <c r="M349" s="133">
        <f>IFERROR(__xludf.DUMMYFUNCTION("""COMPUTED_VALUE"""),30.0)</f>
        <v>30</v>
      </c>
      <c r="N349" s="152" t="str">
        <f>IFERROR(__xludf.DUMMYFUNCTION("""COMPUTED_VALUE"""),"Model 3 Performance")</f>
        <v>Model 3 Performance</v>
      </c>
      <c r="O349" s="152" t="str">
        <f>IFERROR(__xludf.DUMMYFUNCTION("""COMPUTED_VALUE"""),"Pearl White Multi-Coat")</f>
        <v>Pearl White Multi-Coat</v>
      </c>
      <c r="P349" s="153" t="str">
        <f>IFERROR(__xludf.DUMMYFUNCTION("""COMPUTED_VALUE"""),"20 inch")</f>
        <v>20 inch</v>
      </c>
      <c r="Q349" s="152" t="str">
        <f>IFERROR(__xludf.DUMMYFUNCTION("""COMPUTED_VALUE"""),"All Black")</f>
        <v>All Black</v>
      </c>
      <c r="R349" s="149" t="str">
        <f>IFERROR(__xludf.DUMMYFUNCTION("""COMPUTED_VALUE"""),"Autopilot included")</f>
        <v>Autopilot included</v>
      </c>
      <c r="S349" s="149" t="str">
        <f>IFERROR(__xludf.DUMMYFUNCTION("""COMPUTED_VALUE"""),"Loan")</f>
        <v>Loan</v>
      </c>
      <c r="T349" s="145" t="str">
        <f>IFERROR(__xludf.DUMMYFUNCTION("""COMPUTED_VALUE"""),"Toyota RAV4")</f>
        <v>Toyota RAV4</v>
      </c>
      <c r="U349" s="145"/>
      <c r="V349" s="145"/>
      <c r="W349" s="136"/>
      <c r="X349" s="137"/>
      <c r="Y349" s="138"/>
      <c r="Z349" s="138"/>
      <c r="AA349" s="138"/>
      <c r="AB349" s="138"/>
      <c r="AC349" s="139"/>
      <c r="AD349" s="139"/>
      <c r="AE349" s="139"/>
      <c r="AF349" s="140"/>
      <c r="AG349" s="136"/>
      <c r="AH349" s="157">
        <f>IFERROR(__xludf.DUMMYFUNCTION("""COMPUTED_VALUE"""),44429.106139027775)</f>
        <v>44429.10614</v>
      </c>
      <c r="AI349" s="138"/>
      <c r="AJ349" s="138"/>
      <c r="AK349" s="138"/>
      <c r="AL349" s="142"/>
    </row>
    <row r="350" ht="20.25" customHeight="1">
      <c r="A350" s="155" t="str">
        <f>IFERROR(__xludf.DUMMYFUNCTION("""COMPUTED_VALUE"""),"TesslAshanti")</f>
        <v>TesslAshanti</v>
      </c>
      <c r="B350" s="149" t="str">
        <f>IFERROR(__xludf.DUMMYFUNCTION("""COMPUTED_VALUE"""),"Flower Mound")</f>
        <v>Flower Mound</v>
      </c>
      <c r="C350" s="149" t="str">
        <f>IFERROR(__xludf.DUMMYFUNCTION("""COMPUTED_VALUE"""),"TX")</f>
        <v>TX</v>
      </c>
      <c r="D350" s="149" t="str">
        <f>IFERROR(__xludf.DUMMYFUNCTION("""COMPUTED_VALUE"""),"USA")</f>
        <v>USA</v>
      </c>
      <c r="E350" s="156">
        <f>IFERROR(__xludf.DUMMYFUNCTION("""COMPUTED_VALUE"""),44406.0)</f>
        <v>44406</v>
      </c>
      <c r="F350" s="129">
        <f>IFERROR(__xludf.DUMMYFUNCTION("""COMPUTED_VALUE"""),44425.0)</f>
        <v>44425</v>
      </c>
      <c r="G350" s="154" t="str">
        <f>IFERROR(__xludf.DUMMYFUNCTION("""COMPUTED_VALUE"""),"Manage order page (normal text)")</f>
        <v>Manage order page (normal text)</v>
      </c>
      <c r="H350" s="131">
        <f>IFERROR(__xludf.DUMMYFUNCTION("""COMPUTED_VALUE"""),44255.0)</f>
        <v>44255</v>
      </c>
      <c r="I350" s="132"/>
      <c r="J350" s="129">
        <f>IFERROR(__xludf.DUMMYFUNCTION("""COMPUTED_VALUE"""),44437.0)</f>
        <v>44437</v>
      </c>
      <c r="K350" s="133">
        <f>IFERROR(__xludf.DUMMYFUNCTION("""COMPUTED_VALUE"""),19.0)</f>
        <v>19</v>
      </c>
      <c r="L350" s="133">
        <f>IFERROR(__xludf.DUMMYFUNCTION("""COMPUTED_VALUE"""),12.0)</f>
        <v>12</v>
      </c>
      <c r="M350" s="133">
        <f>IFERROR(__xludf.DUMMYFUNCTION("""COMPUTED_VALUE"""),31.0)</f>
        <v>31</v>
      </c>
      <c r="N350" s="152" t="str">
        <f>IFERROR(__xludf.DUMMYFUNCTION("""COMPUTED_VALUE"""),"Model 3 Performance")</f>
        <v>Model 3 Performance</v>
      </c>
      <c r="O350" s="152" t="str">
        <f>IFERROR(__xludf.DUMMYFUNCTION("""COMPUTED_VALUE"""),"Solid Black")</f>
        <v>Solid Black</v>
      </c>
      <c r="P350" s="153" t="str">
        <f>IFERROR(__xludf.DUMMYFUNCTION("""COMPUTED_VALUE"""),"20 inch")</f>
        <v>20 inch</v>
      </c>
      <c r="Q350" s="152" t="str">
        <f>IFERROR(__xludf.DUMMYFUNCTION("""COMPUTED_VALUE"""),"All Black")</f>
        <v>All Black</v>
      </c>
      <c r="R350" s="150" t="str">
        <f>IFERROR(__xludf.DUMMYFUNCTION("""COMPUTED_VALUE"""),"Full Self-Driving")</f>
        <v>Full Self-Driving</v>
      </c>
      <c r="S350" s="150" t="str">
        <f>IFERROR(__xludf.DUMMYFUNCTION("""COMPUTED_VALUE"""),"Loan")</f>
        <v>Loan</v>
      </c>
      <c r="T350" s="145" t="str">
        <f>IFERROR(__xludf.DUMMYFUNCTION("""COMPUTED_VALUE"""),"Honda Accord")</f>
        <v>Honda Accord</v>
      </c>
      <c r="U350" s="145" t="str">
        <f>IFERROR(__xludf.DUMMYFUNCTION("""COMPUTED_VALUE"""),"Tesla brand image")</f>
        <v>Tesla brand image</v>
      </c>
      <c r="V350" s="136" t="str">
        <f>IFERROR(__xludf.DUMMYFUNCTION("""COMPUTED_VALUE"""),"HomeLink")</f>
        <v>HomeLink</v>
      </c>
      <c r="W350" s="136"/>
      <c r="X350" s="137"/>
      <c r="Y350" s="138"/>
      <c r="Z350" s="138"/>
      <c r="AA350" s="138"/>
      <c r="AB350" s="138"/>
      <c r="AC350" s="139"/>
      <c r="AD350" s="139"/>
      <c r="AE350" s="139"/>
      <c r="AF350" s="140"/>
      <c r="AG350" s="145"/>
      <c r="AH350" s="157">
        <f>IFERROR(__xludf.DUMMYFUNCTION("""COMPUTED_VALUE"""),44433.808643460645)</f>
        <v>44433.80864</v>
      </c>
      <c r="AI350" s="138"/>
      <c r="AJ350" s="138"/>
      <c r="AK350" s="138"/>
      <c r="AL350" s="142"/>
    </row>
    <row r="351" ht="20.25" customHeight="1">
      <c r="A351" s="155" t="str">
        <f>IFERROR(__xludf.DUMMYFUNCTION("""COMPUTED_VALUE"""),"Daemon")</f>
        <v>Daemon</v>
      </c>
      <c r="B351" s="149" t="str">
        <f>IFERROR(__xludf.DUMMYFUNCTION("""COMPUTED_VALUE"""),"Los Angeles")</f>
        <v>Los Angeles</v>
      </c>
      <c r="C351" s="149" t="str">
        <f>IFERROR(__xludf.DUMMYFUNCTION("""COMPUTED_VALUE"""),"CA")</f>
        <v>CA</v>
      </c>
      <c r="D351" s="149" t="str">
        <f>IFERROR(__xludf.DUMMYFUNCTION("""COMPUTED_VALUE"""),"USA")</f>
        <v>USA</v>
      </c>
      <c r="E351" s="156">
        <f>IFERROR(__xludf.DUMMYFUNCTION("""COMPUTED_VALUE"""),44405.0)</f>
        <v>44405</v>
      </c>
      <c r="F351" s="129">
        <f>IFERROR(__xludf.DUMMYFUNCTION("""COMPUTED_VALUE"""),44456.0)</f>
        <v>44456</v>
      </c>
      <c r="G351" s="154" t="str">
        <f>IFERROR(__xludf.DUMMYFUNCTION("""COMPUTED_VALUE"""),"Manage order page (normal text)")</f>
        <v>Manage order page (normal text)</v>
      </c>
      <c r="H351" s="131">
        <f>IFERROR(__xludf.DUMMYFUNCTION("""COMPUTED_VALUE"""),66955.0)</f>
        <v>66955</v>
      </c>
      <c r="I351" s="144" t="str">
        <f>IFERROR(__xludf.DUMMYFUNCTION("""COMPUTED_VALUE"""),"09/21")</f>
        <v>09/21</v>
      </c>
      <c r="J351" s="129">
        <f>IFERROR(__xludf.DUMMYFUNCTION("""COMPUTED_VALUE"""),44458.0)</f>
        <v>44458</v>
      </c>
      <c r="K351" s="133">
        <f>IFERROR(__xludf.DUMMYFUNCTION("""COMPUTED_VALUE"""),51.0)</f>
        <v>51</v>
      </c>
      <c r="L351" s="133">
        <f>IFERROR(__xludf.DUMMYFUNCTION("""COMPUTED_VALUE"""),2.0)</f>
        <v>2</v>
      </c>
      <c r="M351" s="133">
        <f>IFERROR(__xludf.DUMMYFUNCTION("""COMPUTED_VALUE"""),53.0)</f>
        <v>53</v>
      </c>
      <c r="N351" s="152" t="str">
        <f>IFERROR(__xludf.DUMMYFUNCTION("""COMPUTED_VALUE"""),"Model 3 LR AWD")</f>
        <v>Model 3 LR AWD</v>
      </c>
      <c r="O351" s="152" t="str">
        <f>IFERROR(__xludf.DUMMYFUNCTION("""COMPUTED_VALUE"""),"Pearl White Multi-Coat")</f>
        <v>Pearl White Multi-Coat</v>
      </c>
      <c r="P351" s="153" t="str">
        <f>IFERROR(__xludf.DUMMYFUNCTION("""COMPUTED_VALUE"""),"18 inch")</f>
        <v>18 inch</v>
      </c>
      <c r="Q351" s="152" t="str">
        <f>IFERROR(__xludf.DUMMYFUNCTION("""COMPUTED_VALUE"""),"Black and White")</f>
        <v>Black and White</v>
      </c>
      <c r="R351" s="149" t="str">
        <f>IFERROR(__xludf.DUMMYFUNCTION("""COMPUTED_VALUE"""),"Autopilot included")</f>
        <v>Autopilot included</v>
      </c>
      <c r="S351" s="149" t="str">
        <f>IFERROR(__xludf.DUMMYFUNCTION("""COMPUTED_VALUE"""),"Cash")</f>
        <v>Cash</v>
      </c>
      <c r="T351" s="145" t="str">
        <f>IFERROR(__xludf.DUMMYFUNCTION("""COMPUTED_VALUE"""),"Toyota Camry")</f>
        <v>Toyota Camry</v>
      </c>
      <c r="U351" s="145" t="str">
        <f>IFERROR(__xludf.DUMMYFUNCTION("""COMPUTED_VALUE"""),"Tesla brand image")</f>
        <v>Tesla brand image</v>
      </c>
      <c r="V351" s="145" t="str">
        <f>IFERROR(__xludf.DUMMYFUNCTION("""COMPUTED_VALUE"""),"Apple CarPlay / Android Auto / SiriusXM Radio")</f>
        <v>Apple CarPlay / Android Auto / SiriusXM Radio</v>
      </c>
      <c r="W351" s="145"/>
      <c r="X351" s="137" t="str">
        <f>IFERROR(__xludf.DUMMYFUNCTION("""COMPUTED_VALUE"""),"Excellent")</f>
        <v>Excellent</v>
      </c>
      <c r="Y351" s="138" t="str">
        <f>IFERROR(__xludf.DUMMYFUNCTION("""COMPUTED_VALUE"""),"Excellent")</f>
        <v>Excellent</v>
      </c>
      <c r="Z351" s="138" t="str">
        <f>IFERROR(__xludf.DUMMYFUNCTION("""COMPUTED_VALUE"""),"Excellent")</f>
        <v>Excellent</v>
      </c>
      <c r="AA351" s="138" t="str">
        <f>IFERROR(__xludf.DUMMYFUNCTION("""COMPUTED_VALUE"""),"Poor")</f>
        <v>Poor</v>
      </c>
      <c r="AB351" s="138" t="str">
        <f>IFERROR(__xludf.DUMMYFUNCTION("""COMPUTED_VALUE"""),"Very Good")</f>
        <v>Very Good</v>
      </c>
      <c r="AC351" s="139"/>
      <c r="AD351" s="139"/>
      <c r="AE351" s="139"/>
      <c r="AF351" s="140" t="str">
        <f>IFERROR(__xludf.DUMMYFUNCTION("""COMPUTED_VALUE"""),"No. I took delivery of the first car Tesla was able to deliver.")</f>
        <v>No. I took delivery of the first car Tesla was able to deliver.</v>
      </c>
      <c r="AG351" s="145"/>
      <c r="AH351" s="157">
        <f>IFERROR(__xludf.DUMMYFUNCTION("""COMPUTED_VALUE"""),44459.015058275465)</f>
        <v>44459.01506</v>
      </c>
      <c r="AI351" s="138"/>
      <c r="AJ351" s="138"/>
      <c r="AK351" s="138"/>
      <c r="AL351" s="142"/>
    </row>
    <row r="352" ht="20.25" customHeight="1">
      <c r="A352" s="155" t="str">
        <f>IFERROR(__xludf.DUMMYFUNCTION("""COMPUTED_VALUE"""),"mbucko")</f>
        <v>mbucko</v>
      </c>
      <c r="B352" s="149" t="str">
        <f>IFERROR(__xludf.DUMMYFUNCTION("""COMPUTED_VALUE"""),"Los Angeles")</f>
        <v>Los Angeles</v>
      </c>
      <c r="C352" s="149" t="str">
        <f>IFERROR(__xludf.DUMMYFUNCTION("""COMPUTED_VALUE"""),"CA")</f>
        <v>CA</v>
      </c>
      <c r="D352" s="149" t="str">
        <f>IFERROR(__xludf.DUMMYFUNCTION("""COMPUTED_VALUE"""),"USA")</f>
        <v>USA</v>
      </c>
      <c r="E352" s="156">
        <f>IFERROR(__xludf.DUMMYFUNCTION("""COMPUTED_VALUE"""),44405.0)</f>
        <v>44405</v>
      </c>
      <c r="F352" s="129">
        <f>IFERROR(__xludf.DUMMYFUNCTION("""COMPUTED_VALUE"""),44461.0)</f>
        <v>44461</v>
      </c>
      <c r="G352" s="154" t="str">
        <f>IFERROR(__xludf.DUMMYFUNCTION("""COMPUTED_VALUE"""),"Manage order page (normal text)")</f>
        <v>Manage order page (normal text)</v>
      </c>
      <c r="H352" s="131">
        <f>IFERROR(__xludf.DUMMYFUNCTION("""COMPUTED_VALUE"""),70163.0)</f>
        <v>70163</v>
      </c>
      <c r="I352" s="132"/>
      <c r="J352" s="129">
        <f>IFERROR(__xludf.DUMMYFUNCTION("""COMPUTED_VALUE"""),44463.0)</f>
        <v>44463</v>
      </c>
      <c r="K352" s="133">
        <f>IFERROR(__xludf.DUMMYFUNCTION("""COMPUTED_VALUE"""),56.0)</f>
        <v>56</v>
      </c>
      <c r="L352" s="133">
        <f>IFERROR(__xludf.DUMMYFUNCTION("""COMPUTED_VALUE"""),2.0)</f>
        <v>2</v>
      </c>
      <c r="M352" s="133">
        <f>IFERROR(__xludf.DUMMYFUNCTION("""COMPUTED_VALUE"""),58.0)</f>
        <v>58</v>
      </c>
      <c r="N352" s="152" t="str">
        <f>IFERROR(__xludf.DUMMYFUNCTION("""COMPUTED_VALUE"""),"Model 3 Performance")</f>
        <v>Model 3 Performance</v>
      </c>
      <c r="O352" s="152" t="str">
        <f>IFERROR(__xludf.DUMMYFUNCTION("""COMPUTED_VALUE"""),"Pearl White Multi-Coat")</f>
        <v>Pearl White Multi-Coat</v>
      </c>
      <c r="P352" s="153" t="str">
        <f>IFERROR(__xludf.DUMMYFUNCTION("""COMPUTED_VALUE"""),"20 inch")</f>
        <v>20 inch</v>
      </c>
      <c r="Q352" s="152" t="str">
        <f>IFERROR(__xludf.DUMMYFUNCTION("""COMPUTED_VALUE"""),"Black and White")</f>
        <v>Black and White</v>
      </c>
      <c r="R352" s="150" t="str">
        <f>IFERROR(__xludf.DUMMYFUNCTION("""COMPUTED_VALUE"""),"Full Self-Driving")</f>
        <v>Full Self-Driving</v>
      </c>
      <c r="S352" s="150" t="str">
        <f>IFERROR(__xludf.DUMMYFUNCTION("""COMPUTED_VALUE"""),"Loan")</f>
        <v>Loan</v>
      </c>
      <c r="T352" s="136" t="str">
        <f>IFERROR(__xludf.DUMMYFUNCTION("""COMPUTED_VALUE"""),"Model 3 will be my first car!")</f>
        <v>Model 3 will be my first car!</v>
      </c>
      <c r="U352" s="136" t="str">
        <f>IFERROR(__xludf.DUMMYFUNCTION("""COMPUTED_VALUE"""),"Autopilot")</f>
        <v>Autopilot</v>
      </c>
      <c r="V352" s="136" t="str">
        <f>IFERROR(__xludf.DUMMYFUNCTION("""COMPUTED_VALUE"""),"Head-up display")</f>
        <v>Head-up display</v>
      </c>
      <c r="W352" s="136" t="str">
        <f>IFERROR(__xludf.DUMMYFUNCTION("""COMPUTED_VALUE"""),"If you're ordering in California ignore the EDD, your car will arrive at the end of the quarter.")</f>
        <v>If you're ordering in California ignore the EDD, your car will arrive at the end of the quarter.</v>
      </c>
      <c r="X352" s="137" t="str">
        <f>IFERROR(__xludf.DUMMYFUNCTION("""COMPUTED_VALUE"""),"Very Good")</f>
        <v>Very Good</v>
      </c>
      <c r="Y352" s="138" t="str">
        <f>IFERROR(__xludf.DUMMYFUNCTION("""COMPUTED_VALUE"""),"Excellent")</f>
        <v>Excellent</v>
      </c>
      <c r="Z352" s="138" t="str">
        <f>IFERROR(__xludf.DUMMYFUNCTION("""COMPUTED_VALUE"""),"Excellent")</f>
        <v>Excellent</v>
      </c>
      <c r="AA352" s="138" t="str">
        <f>IFERROR(__xludf.DUMMYFUNCTION("""COMPUTED_VALUE"""),"Good")</f>
        <v>Good</v>
      </c>
      <c r="AB352" s="138" t="str">
        <f>IFERROR(__xludf.DUMMYFUNCTION("""COMPUTED_VALUE"""),"Excellent")</f>
        <v>Excellent</v>
      </c>
      <c r="AC352" s="139">
        <f>IFERROR(__xludf.DUMMYFUNCTION("""COMPUTED_VALUE"""),0.0)</f>
        <v>0</v>
      </c>
      <c r="AD352" s="139">
        <f>IFERROR(__xludf.DUMMYFUNCTION("""COMPUTED_VALUE"""),0.0)</f>
        <v>0</v>
      </c>
      <c r="AE352" s="139"/>
      <c r="AF352" s="140" t="str">
        <f>IFERROR(__xludf.DUMMYFUNCTION("""COMPUTED_VALUE"""),"No. I took delivery of the first car Tesla was able to deliver.")</f>
        <v>No. I took delivery of the first car Tesla was able to deliver.</v>
      </c>
      <c r="AG352" s="136"/>
      <c r="AH352" s="157">
        <f>IFERROR(__xludf.DUMMYFUNCTION("""COMPUTED_VALUE"""),44464.33236746528)</f>
        <v>44464.33237</v>
      </c>
      <c r="AI352" s="138"/>
      <c r="AJ352" s="138"/>
      <c r="AK352" s="138"/>
      <c r="AL352" s="142"/>
    </row>
    <row r="353" ht="20.25" customHeight="1">
      <c r="A353" s="155" t="str">
        <f>IFERROR(__xludf.DUMMYFUNCTION("""COMPUTED_VALUE"""),"Polar")</f>
        <v>Polar</v>
      </c>
      <c r="B353" s="149" t="str">
        <f>IFERROR(__xludf.DUMMYFUNCTION("""COMPUTED_VALUE"""),"Wexford")</f>
        <v>Wexford</v>
      </c>
      <c r="C353" s="149" t="str">
        <f>IFERROR(__xludf.DUMMYFUNCTION("""COMPUTED_VALUE"""),"PA")</f>
        <v>PA</v>
      </c>
      <c r="D353" s="149" t="str">
        <f>IFERROR(__xludf.DUMMYFUNCTION("""COMPUTED_VALUE"""),"USA")</f>
        <v>USA</v>
      </c>
      <c r="E353" s="156">
        <f>IFERROR(__xludf.DUMMYFUNCTION("""COMPUTED_VALUE"""),44405.0)</f>
        <v>44405</v>
      </c>
      <c r="F353" s="129"/>
      <c r="G353" s="154"/>
      <c r="H353" s="131"/>
      <c r="I353" s="144"/>
      <c r="J353" s="129"/>
      <c r="K353" s="133"/>
      <c r="L353" s="133"/>
      <c r="M353" s="133"/>
      <c r="N353" s="152" t="str">
        <f>IFERROR(__xludf.DUMMYFUNCTION("""COMPUTED_VALUE"""),"Model 3 SR+")</f>
        <v>Model 3 SR+</v>
      </c>
      <c r="O353" s="152" t="str">
        <f>IFERROR(__xludf.DUMMYFUNCTION("""COMPUTED_VALUE"""),"Solid Black")</f>
        <v>Solid Black</v>
      </c>
      <c r="P353" s="153" t="str">
        <f>IFERROR(__xludf.DUMMYFUNCTION("""COMPUTED_VALUE"""),"18 inch")</f>
        <v>18 inch</v>
      </c>
      <c r="Q353" s="152" t="str">
        <f>IFERROR(__xludf.DUMMYFUNCTION("""COMPUTED_VALUE"""),"All Black")</f>
        <v>All Black</v>
      </c>
      <c r="R353" s="149" t="str">
        <f>IFERROR(__xludf.DUMMYFUNCTION("""COMPUTED_VALUE"""),"Autopilot included")</f>
        <v>Autopilot included</v>
      </c>
      <c r="S353" s="149" t="str">
        <f>IFERROR(__xludf.DUMMYFUNCTION("""COMPUTED_VALUE"""),"Loan")</f>
        <v>Loan</v>
      </c>
      <c r="T353" s="145" t="str">
        <f>IFERROR(__xludf.DUMMYFUNCTION("""COMPUTED_VALUE"""),"Subaru Impreza")</f>
        <v>Subaru Impreza</v>
      </c>
      <c r="U353" s="145" t="str">
        <f>IFERROR(__xludf.DUMMYFUNCTION("""COMPUTED_VALUE"""),"Electric!")</f>
        <v>Electric!</v>
      </c>
      <c r="V353" s="145" t="str">
        <f>IFERROR(__xludf.DUMMYFUNCTION("""COMPUTED_VALUE"""),"Blind spot indicators on side mirrors")</f>
        <v>Blind spot indicators on side mirrors</v>
      </c>
      <c r="W353" s="136"/>
      <c r="X353" s="137"/>
      <c r="Y353" s="138"/>
      <c r="Z353" s="138"/>
      <c r="AA353" s="138"/>
      <c r="AB353" s="138"/>
      <c r="AC353" s="139"/>
      <c r="AD353" s="139"/>
      <c r="AE353" s="139"/>
      <c r="AF353" s="140"/>
      <c r="AG353" s="136"/>
      <c r="AH353" s="157">
        <f>IFERROR(__xludf.DUMMYFUNCTION("""COMPUTED_VALUE"""),44420.20822802083)</f>
        <v>44420.20823</v>
      </c>
      <c r="AI353" s="138"/>
      <c r="AJ353" s="138"/>
      <c r="AK353" s="138"/>
      <c r="AL353" s="142"/>
    </row>
    <row r="354" ht="20.25" customHeight="1">
      <c r="A354" s="155" t="str">
        <f>IFERROR(__xludf.DUMMYFUNCTION("""COMPUTED_VALUE"""),"Terpsolit")</f>
        <v>Terpsolit</v>
      </c>
      <c r="B354" s="149" t="str">
        <f>IFERROR(__xludf.DUMMYFUNCTION("""COMPUTED_VALUE"""),"Houston")</f>
        <v>Houston</v>
      </c>
      <c r="C354" s="149" t="str">
        <f>IFERROR(__xludf.DUMMYFUNCTION("""COMPUTED_VALUE"""),"TX")</f>
        <v>TX</v>
      </c>
      <c r="D354" s="149" t="str">
        <f>IFERROR(__xludf.DUMMYFUNCTION("""COMPUTED_VALUE"""),"USA")</f>
        <v>USA</v>
      </c>
      <c r="E354" s="156">
        <f>IFERROR(__xludf.DUMMYFUNCTION("""COMPUTED_VALUE"""),44405.0)</f>
        <v>44405</v>
      </c>
      <c r="F354" s="129"/>
      <c r="G354" s="154"/>
      <c r="H354" s="131"/>
      <c r="I354" s="144"/>
      <c r="J354" s="129"/>
      <c r="K354" s="133"/>
      <c r="L354" s="133"/>
      <c r="M354" s="133"/>
      <c r="N354" s="152" t="str">
        <f>IFERROR(__xludf.DUMMYFUNCTION("""COMPUTED_VALUE"""),"Model 3 SR+")</f>
        <v>Model 3 SR+</v>
      </c>
      <c r="O354" s="152" t="str">
        <f>IFERROR(__xludf.DUMMYFUNCTION("""COMPUTED_VALUE"""),"Red Multi-Coat")</f>
        <v>Red Multi-Coat</v>
      </c>
      <c r="P354" s="153" t="str">
        <f>IFERROR(__xludf.DUMMYFUNCTION("""COMPUTED_VALUE"""),"18 inch")</f>
        <v>18 inch</v>
      </c>
      <c r="Q354" s="152" t="str">
        <f>IFERROR(__xludf.DUMMYFUNCTION("""COMPUTED_VALUE"""),"All Black")</f>
        <v>All Black</v>
      </c>
      <c r="R354" s="149" t="str">
        <f>IFERROR(__xludf.DUMMYFUNCTION("""COMPUTED_VALUE"""),"Full Self-Driving")</f>
        <v>Full Self-Driving</v>
      </c>
      <c r="S354" s="149" t="str">
        <f>IFERROR(__xludf.DUMMYFUNCTION("""COMPUTED_VALUE"""),"Loan")</f>
        <v>Loan</v>
      </c>
      <c r="T354" s="145" t="str">
        <f>IFERROR(__xludf.DUMMYFUNCTION("""COMPUTED_VALUE"""),"Model 3 will be my first car!")</f>
        <v>Model 3 will be my first car!</v>
      </c>
      <c r="U354" s="145" t="str">
        <f>IFERROR(__xludf.DUMMYFUNCTION("""COMPUTED_VALUE"""),"Electric!")</f>
        <v>Electric!</v>
      </c>
      <c r="V354" s="145" t="str">
        <f>IFERROR(__xludf.DUMMYFUNCTION("""COMPUTED_VALUE"""),"360° Bird's eye view")</f>
        <v>360° Bird's eye view</v>
      </c>
      <c r="W354" s="136"/>
      <c r="X354" s="137"/>
      <c r="Y354" s="138"/>
      <c r="Z354" s="138"/>
      <c r="AA354" s="138"/>
      <c r="AB354" s="138"/>
      <c r="AC354" s="139"/>
      <c r="AD354" s="139"/>
      <c r="AE354" s="139"/>
      <c r="AF354" s="140"/>
      <c r="AG354" s="136"/>
      <c r="AH354" s="157">
        <f>IFERROR(__xludf.DUMMYFUNCTION("""COMPUTED_VALUE"""),44431.38663618056)</f>
        <v>44431.38664</v>
      </c>
      <c r="AI354" s="138"/>
      <c r="AJ354" s="138"/>
      <c r="AK354" s="138"/>
      <c r="AL354" s="142"/>
    </row>
    <row r="355" ht="20.25" customHeight="1">
      <c r="A355" s="155" t="str">
        <f>IFERROR(__xludf.DUMMYFUNCTION("""COMPUTED_VALUE"""),"TessieBlk")</f>
        <v>TessieBlk</v>
      </c>
      <c r="B355" s="149" t="str">
        <f>IFERROR(__xludf.DUMMYFUNCTION("""COMPUTED_VALUE"""),"Los Angeles")</f>
        <v>Los Angeles</v>
      </c>
      <c r="C355" s="149" t="str">
        <f>IFERROR(__xludf.DUMMYFUNCTION("""COMPUTED_VALUE"""),"CA")</f>
        <v>CA</v>
      </c>
      <c r="D355" s="149" t="str">
        <f>IFERROR(__xludf.DUMMYFUNCTION("""COMPUTED_VALUE"""),"USA")</f>
        <v>USA</v>
      </c>
      <c r="E355" s="156">
        <f>IFERROR(__xludf.DUMMYFUNCTION("""COMPUTED_VALUE"""),44405.0)</f>
        <v>44405</v>
      </c>
      <c r="F355" s="129">
        <f>IFERROR(__xludf.DUMMYFUNCTION("""COMPUTED_VALUE"""),44498.0)</f>
        <v>44498</v>
      </c>
      <c r="G355" s="154" t="str">
        <f>IFERROR(__xludf.DUMMYFUNCTION("""COMPUTED_VALUE"""),"Manage order page (normal text)")</f>
        <v>Manage order page (normal text)</v>
      </c>
      <c r="H355" s="131">
        <f>IFERROR(__xludf.DUMMYFUNCTION("""COMPUTED_VALUE"""),100555.0)</f>
        <v>100555</v>
      </c>
      <c r="I355" s="144"/>
      <c r="J355" s="129"/>
      <c r="K355" s="133">
        <f>IFERROR(__xludf.DUMMYFUNCTION("""COMPUTED_VALUE"""),93.0)</f>
        <v>93</v>
      </c>
      <c r="L355" s="133"/>
      <c r="M355" s="133"/>
      <c r="N355" s="152" t="str">
        <f>IFERROR(__xludf.DUMMYFUNCTION("""COMPUTED_VALUE"""),"Model 3 SR+")</f>
        <v>Model 3 SR+</v>
      </c>
      <c r="O355" s="152" t="str">
        <f>IFERROR(__xludf.DUMMYFUNCTION("""COMPUTED_VALUE"""),"Pearl White Multi-Coat")</f>
        <v>Pearl White Multi-Coat</v>
      </c>
      <c r="P355" s="153" t="str">
        <f>IFERROR(__xludf.DUMMYFUNCTION("""COMPUTED_VALUE"""),"18 inch")</f>
        <v>18 inch</v>
      </c>
      <c r="Q355" s="152" t="str">
        <f>IFERROR(__xludf.DUMMYFUNCTION("""COMPUTED_VALUE"""),"All Black")</f>
        <v>All Black</v>
      </c>
      <c r="R355" s="149" t="str">
        <f>IFERROR(__xludf.DUMMYFUNCTION("""COMPUTED_VALUE"""),"Autopilot included")</f>
        <v>Autopilot included</v>
      </c>
      <c r="S355" s="149" t="str">
        <f>IFERROR(__xludf.DUMMYFUNCTION("""COMPUTED_VALUE"""),"Loan")</f>
        <v>Loan</v>
      </c>
      <c r="T355" s="145" t="str">
        <f>IFERROR(__xludf.DUMMYFUNCTION("""COMPUTED_VALUE"""),"Model 3 will be my first car!")</f>
        <v>Model 3 will be my first car!</v>
      </c>
      <c r="U355" s="145" t="str">
        <f>IFERROR(__xludf.DUMMYFUNCTION("""COMPUTED_VALUE"""),"Electric!")</f>
        <v>Electric!</v>
      </c>
      <c r="V355" s="145" t="str">
        <f>IFERROR(__xludf.DUMMYFUNCTION("""COMPUTED_VALUE"""),"Apple CarPlay / Android Auto / SiriusXM Radio")</f>
        <v>Apple CarPlay / Android Auto / SiriusXM Radio</v>
      </c>
      <c r="W355" s="136"/>
      <c r="X355" s="137"/>
      <c r="Y355" s="138"/>
      <c r="Z355" s="138"/>
      <c r="AA355" s="138"/>
      <c r="AB355" s="138"/>
      <c r="AC355" s="139"/>
      <c r="AD355" s="139"/>
      <c r="AE355" s="139"/>
      <c r="AF355" s="140"/>
      <c r="AG355" s="136"/>
      <c r="AH355" s="157">
        <f>IFERROR(__xludf.DUMMYFUNCTION("""COMPUTED_VALUE"""),44498.74392425926)</f>
        <v>44498.74392</v>
      </c>
      <c r="AI355" s="138"/>
      <c r="AJ355" s="138"/>
      <c r="AK355" s="138"/>
      <c r="AL355" s="142"/>
    </row>
    <row r="356" ht="20.25" customHeight="1">
      <c r="A356" s="155" t="str">
        <f>IFERROR(__xludf.DUMMYFUNCTION("""COMPUTED_VALUE"""),"duhm")</f>
        <v>duhm</v>
      </c>
      <c r="B356" s="149" t="str">
        <f>IFERROR(__xludf.DUMMYFUNCTION("""COMPUTED_VALUE"""),"Rockville")</f>
        <v>Rockville</v>
      </c>
      <c r="C356" s="149" t="str">
        <f>IFERROR(__xludf.DUMMYFUNCTION("""COMPUTED_VALUE"""),"MD")</f>
        <v>MD</v>
      </c>
      <c r="D356" s="149" t="str">
        <f>IFERROR(__xludf.DUMMYFUNCTION("""COMPUTED_VALUE"""),"USA")</f>
        <v>USA</v>
      </c>
      <c r="E356" s="156">
        <f>IFERROR(__xludf.DUMMYFUNCTION("""COMPUTED_VALUE"""),44404.0)</f>
        <v>44404</v>
      </c>
      <c r="F356" s="129">
        <f>IFERROR(__xludf.DUMMYFUNCTION("""COMPUTED_VALUE"""),44435.0)</f>
        <v>44435</v>
      </c>
      <c r="G356" s="154" t="str">
        <f>IFERROR(__xludf.DUMMYFUNCTION("""COMPUTED_VALUE"""),"Manage order page (normal text)")</f>
        <v>Manage order page (normal text)</v>
      </c>
      <c r="H356" s="131"/>
      <c r="I356" s="144"/>
      <c r="J356" s="129"/>
      <c r="K356" s="133">
        <f>IFERROR(__xludf.DUMMYFUNCTION("""COMPUTED_VALUE"""),31.0)</f>
        <v>31</v>
      </c>
      <c r="L356" s="133"/>
      <c r="M356" s="133"/>
      <c r="N356" s="152" t="str">
        <f>IFERROR(__xludf.DUMMYFUNCTION("""COMPUTED_VALUE"""),"Model 3 LR AWD")</f>
        <v>Model 3 LR AWD</v>
      </c>
      <c r="O356" s="152" t="str">
        <f>IFERROR(__xludf.DUMMYFUNCTION("""COMPUTED_VALUE"""),"Midnight Silver Metallic")</f>
        <v>Midnight Silver Metallic</v>
      </c>
      <c r="P356" s="153" t="str">
        <f>IFERROR(__xludf.DUMMYFUNCTION("""COMPUTED_VALUE"""),"18 inch")</f>
        <v>18 inch</v>
      </c>
      <c r="Q356" s="152" t="str">
        <f>IFERROR(__xludf.DUMMYFUNCTION("""COMPUTED_VALUE"""),"All Black")</f>
        <v>All Black</v>
      </c>
      <c r="R356" s="149" t="str">
        <f>IFERROR(__xludf.DUMMYFUNCTION("""COMPUTED_VALUE"""),"Autopilot included")</f>
        <v>Autopilot included</v>
      </c>
      <c r="S356" s="149" t="str">
        <f>IFERROR(__xludf.DUMMYFUNCTION("""COMPUTED_VALUE"""),"Loan")</f>
        <v>Loan</v>
      </c>
      <c r="T356" s="145"/>
      <c r="U356" s="145"/>
      <c r="V356" s="145"/>
      <c r="W356" s="145"/>
      <c r="X356" s="137"/>
      <c r="Y356" s="138"/>
      <c r="Z356" s="138"/>
      <c r="AA356" s="138"/>
      <c r="AB356" s="138"/>
      <c r="AC356" s="139"/>
      <c r="AD356" s="139"/>
      <c r="AE356" s="139"/>
      <c r="AF356" s="140"/>
      <c r="AG356" s="145"/>
      <c r="AH356" s="157">
        <f>IFERROR(__xludf.DUMMYFUNCTION("""COMPUTED_VALUE"""),44435.47307361111)</f>
        <v>44435.47307</v>
      </c>
      <c r="AI356" s="138"/>
      <c r="AJ356" s="138"/>
      <c r="AK356" s="138"/>
      <c r="AL356" s="142"/>
    </row>
    <row r="357" ht="20.25" customHeight="1">
      <c r="A357" s="155" t="str">
        <f>IFERROR(__xludf.DUMMYFUNCTION("""COMPUTED_VALUE"""),"fujimonster")</f>
        <v>fujimonster</v>
      </c>
      <c r="B357" s="149" t="str">
        <f>IFERROR(__xludf.DUMMYFUNCTION("""COMPUTED_VALUE"""),"Indian Trail")</f>
        <v>Indian Trail</v>
      </c>
      <c r="C357" s="149" t="str">
        <f>IFERROR(__xludf.DUMMYFUNCTION("""COMPUTED_VALUE"""),"NC")</f>
        <v>NC</v>
      </c>
      <c r="D357" s="149" t="str">
        <f>IFERROR(__xludf.DUMMYFUNCTION("""COMPUTED_VALUE"""),"USA")</f>
        <v>USA</v>
      </c>
      <c r="E357" s="156">
        <f>IFERROR(__xludf.DUMMYFUNCTION("""COMPUTED_VALUE"""),44404.0)</f>
        <v>44404</v>
      </c>
      <c r="F357" s="129">
        <f>IFERROR(__xludf.DUMMYFUNCTION("""COMPUTED_VALUE"""),44444.0)</f>
        <v>44444</v>
      </c>
      <c r="G357" s="154" t="str">
        <f>IFERROR(__xludf.DUMMYFUNCTION("""COMPUTED_VALUE"""),"Manage order page (normal text)")</f>
        <v>Manage order page (normal text)</v>
      </c>
      <c r="H357" s="131"/>
      <c r="I357" s="144"/>
      <c r="J357" s="129">
        <f>IFERROR(__xludf.DUMMYFUNCTION("""COMPUTED_VALUE"""),44464.0)</f>
        <v>44464</v>
      </c>
      <c r="K357" s="133">
        <f>IFERROR(__xludf.DUMMYFUNCTION("""COMPUTED_VALUE"""),40.0)</f>
        <v>40</v>
      </c>
      <c r="L357" s="133">
        <f>IFERROR(__xludf.DUMMYFUNCTION("""COMPUTED_VALUE"""),20.0)</f>
        <v>20</v>
      </c>
      <c r="M357" s="133">
        <f>IFERROR(__xludf.DUMMYFUNCTION("""COMPUTED_VALUE"""),60.0)</f>
        <v>60</v>
      </c>
      <c r="N357" s="152" t="str">
        <f>IFERROR(__xludf.DUMMYFUNCTION("""COMPUTED_VALUE"""),"Model 3 LR AWD")</f>
        <v>Model 3 LR AWD</v>
      </c>
      <c r="O357" s="152" t="str">
        <f>IFERROR(__xludf.DUMMYFUNCTION("""COMPUTED_VALUE"""),"Red Multi-Coat")</f>
        <v>Red Multi-Coat</v>
      </c>
      <c r="P357" s="153" t="str">
        <f>IFERROR(__xludf.DUMMYFUNCTION("""COMPUTED_VALUE"""),"19 inch")</f>
        <v>19 inch</v>
      </c>
      <c r="Q357" s="152" t="str">
        <f>IFERROR(__xludf.DUMMYFUNCTION("""COMPUTED_VALUE"""),"Black and White")</f>
        <v>Black and White</v>
      </c>
      <c r="R357" s="149" t="str">
        <f>IFERROR(__xludf.DUMMYFUNCTION("""COMPUTED_VALUE"""),"Autopilot included")</f>
        <v>Autopilot included</v>
      </c>
      <c r="S357" s="149" t="str">
        <f>IFERROR(__xludf.DUMMYFUNCTION("""COMPUTED_VALUE"""),"Loan")</f>
        <v>Loan</v>
      </c>
      <c r="T357" s="145"/>
      <c r="U357" s="145"/>
      <c r="V357" s="145"/>
      <c r="W357" s="136"/>
      <c r="X357" s="137"/>
      <c r="Y357" s="138"/>
      <c r="Z357" s="138"/>
      <c r="AA357" s="138"/>
      <c r="AB357" s="138"/>
      <c r="AC357" s="139"/>
      <c r="AD357" s="139"/>
      <c r="AE357" s="139"/>
      <c r="AF357" s="140"/>
      <c r="AG357" s="136"/>
      <c r="AH357" s="157">
        <f>IFERROR(__xludf.DUMMYFUNCTION("""COMPUTED_VALUE"""),44466.49823201389)</f>
        <v>44466.49823</v>
      </c>
      <c r="AI357" s="138"/>
      <c r="AJ357" s="138"/>
      <c r="AK357" s="138"/>
      <c r="AL357" s="142"/>
    </row>
    <row r="358" ht="20.25" customHeight="1">
      <c r="A358" s="155" t="str">
        <f>IFERROR(__xludf.DUMMYFUNCTION("""COMPUTED_VALUE"""),"hassanTesla")</f>
        <v>hassanTesla</v>
      </c>
      <c r="B358" s="149" t="str">
        <f>IFERROR(__xludf.DUMMYFUNCTION("""COMPUTED_VALUE"""),"West Vancouver")</f>
        <v>West Vancouver</v>
      </c>
      <c r="C358" s="149" t="str">
        <f>IFERROR(__xludf.DUMMYFUNCTION("""COMPUTED_VALUE"""),"BC")</f>
        <v>BC</v>
      </c>
      <c r="D358" s="149" t="str">
        <f>IFERROR(__xludf.DUMMYFUNCTION("""COMPUTED_VALUE"""),"Canada")</f>
        <v>Canada</v>
      </c>
      <c r="E358" s="156">
        <f>IFERROR(__xludf.DUMMYFUNCTION("""COMPUTED_VALUE"""),44404.0)</f>
        <v>44404</v>
      </c>
      <c r="F358" s="129">
        <f>IFERROR(__xludf.DUMMYFUNCTION("""COMPUTED_VALUE"""),44487.0)</f>
        <v>44487</v>
      </c>
      <c r="G358" s="154" t="str">
        <f>IFERROR(__xludf.DUMMYFUNCTION("""COMPUTED_VALUE"""),"Manage order page (normal text)")</f>
        <v>Manage order page (normal text)</v>
      </c>
      <c r="H358" s="131">
        <f>IFERROR(__xludf.DUMMYFUNCTION("""COMPUTED_VALUE"""),89055.0)</f>
        <v>89055</v>
      </c>
      <c r="I358" s="144"/>
      <c r="J358" s="129">
        <f>IFERROR(__xludf.DUMMYFUNCTION("""COMPUTED_VALUE"""),44490.0)</f>
        <v>44490</v>
      </c>
      <c r="K358" s="133">
        <f>IFERROR(__xludf.DUMMYFUNCTION("""COMPUTED_VALUE"""),83.0)</f>
        <v>83</v>
      </c>
      <c r="L358" s="133">
        <f>IFERROR(__xludf.DUMMYFUNCTION("""COMPUTED_VALUE"""),3.0)</f>
        <v>3</v>
      </c>
      <c r="M358" s="133">
        <f>IFERROR(__xludf.DUMMYFUNCTION("""COMPUTED_VALUE"""),86.0)</f>
        <v>86</v>
      </c>
      <c r="N358" s="152" t="str">
        <f>IFERROR(__xludf.DUMMYFUNCTION("""COMPUTED_VALUE"""),"Model 3 SR+")</f>
        <v>Model 3 SR+</v>
      </c>
      <c r="O358" s="152" t="str">
        <f>IFERROR(__xludf.DUMMYFUNCTION("""COMPUTED_VALUE"""),"Midnight Silver Metallic")</f>
        <v>Midnight Silver Metallic</v>
      </c>
      <c r="P358" s="153" t="str">
        <f>IFERROR(__xludf.DUMMYFUNCTION("""COMPUTED_VALUE"""),"18 inch")</f>
        <v>18 inch</v>
      </c>
      <c r="Q358" s="152" t="str">
        <f>IFERROR(__xludf.DUMMYFUNCTION("""COMPUTED_VALUE"""),"All Black")</f>
        <v>All Black</v>
      </c>
      <c r="R358" s="149" t="str">
        <f>IFERROR(__xludf.DUMMYFUNCTION("""COMPUTED_VALUE"""),"Autopilot included")</f>
        <v>Autopilot included</v>
      </c>
      <c r="S358" s="149" t="str">
        <f>IFERROR(__xludf.DUMMYFUNCTION("""COMPUTED_VALUE"""),"Lease")</f>
        <v>Lease</v>
      </c>
      <c r="T358" s="145" t="str">
        <f>IFERROR(__xludf.DUMMYFUNCTION("""COMPUTED_VALUE"""),"Audi S4")</f>
        <v>Audi S4</v>
      </c>
      <c r="U358" s="145" t="str">
        <f>IFERROR(__xludf.DUMMYFUNCTION("""COMPUTED_VALUE"""),"Autopilot")</f>
        <v>Autopilot</v>
      </c>
      <c r="V358" s="145" t="str">
        <f>IFERROR(__xludf.DUMMYFUNCTION("""COMPUTED_VALUE"""),"Apple CarPlay / Android Auto / SiriusXM Radio")</f>
        <v>Apple CarPlay / Android Auto / SiriusXM Radio</v>
      </c>
      <c r="W358" s="136"/>
      <c r="X358" s="151"/>
      <c r="Y358" s="138"/>
      <c r="Z358" s="138"/>
      <c r="AA358" s="138"/>
      <c r="AB358" s="138"/>
      <c r="AC358" s="139"/>
      <c r="AD358" s="139"/>
      <c r="AE358" s="139"/>
      <c r="AF358" s="140"/>
      <c r="AG358" s="136"/>
      <c r="AH358" s="157">
        <f>IFERROR(__xludf.DUMMYFUNCTION("""COMPUTED_VALUE"""),44487.36997788195)</f>
        <v>44487.36998</v>
      </c>
      <c r="AI358" s="138"/>
      <c r="AJ358" s="138"/>
      <c r="AK358" s="138"/>
      <c r="AL358" s="142"/>
    </row>
    <row r="359" ht="20.25" customHeight="1">
      <c r="A359" s="155" t="str">
        <f>IFERROR(__xludf.DUMMYFUNCTION("""COMPUTED_VALUE"""),"KFMI")</f>
        <v>KFMI</v>
      </c>
      <c r="B359" s="149" t="str">
        <f>IFERROR(__xludf.DUMMYFUNCTION("""COMPUTED_VALUE"""),"Dundee")</f>
        <v>Dundee</v>
      </c>
      <c r="C359" s="149" t="str">
        <f>IFERROR(__xludf.DUMMYFUNCTION("""COMPUTED_VALUE"""),"QC")</f>
        <v>QC</v>
      </c>
      <c r="D359" s="149" t="str">
        <f>IFERROR(__xludf.DUMMYFUNCTION("""COMPUTED_VALUE"""),"Canada")</f>
        <v>Canada</v>
      </c>
      <c r="E359" s="156">
        <f>IFERROR(__xludf.DUMMYFUNCTION("""COMPUTED_VALUE"""),44404.0)</f>
        <v>44404</v>
      </c>
      <c r="F359" s="129">
        <f>IFERROR(__xludf.DUMMYFUNCTION("""COMPUTED_VALUE"""),44481.0)</f>
        <v>44481</v>
      </c>
      <c r="G359" s="154" t="str">
        <f>IFERROR(__xludf.DUMMYFUNCTION("""COMPUTED_VALUE"""),"Source code")</f>
        <v>Source code</v>
      </c>
      <c r="H359" s="131"/>
      <c r="I359" s="132"/>
      <c r="J359" s="129">
        <f>IFERROR(__xludf.DUMMYFUNCTION("""COMPUTED_VALUE"""),44491.0)</f>
        <v>44491</v>
      </c>
      <c r="K359" s="133">
        <f>IFERROR(__xludf.DUMMYFUNCTION("""COMPUTED_VALUE"""),77.0)</f>
        <v>77</v>
      </c>
      <c r="L359" s="133">
        <f>IFERROR(__xludf.DUMMYFUNCTION("""COMPUTED_VALUE"""),10.0)</f>
        <v>10</v>
      </c>
      <c r="M359" s="133">
        <f>IFERROR(__xludf.DUMMYFUNCTION("""COMPUTED_VALUE"""),87.0)</f>
        <v>87</v>
      </c>
      <c r="N359" s="152" t="str">
        <f>IFERROR(__xludf.DUMMYFUNCTION("""COMPUTED_VALUE"""),"Model 3 SR+")</f>
        <v>Model 3 SR+</v>
      </c>
      <c r="O359" s="152" t="str">
        <f>IFERROR(__xludf.DUMMYFUNCTION("""COMPUTED_VALUE"""),"Red Multi-Coat")</f>
        <v>Red Multi-Coat</v>
      </c>
      <c r="P359" s="153" t="str">
        <f>IFERROR(__xludf.DUMMYFUNCTION("""COMPUTED_VALUE"""),"18 inch")</f>
        <v>18 inch</v>
      </c>
      <c r="Q359" s="152" t="str">
        <f>IFERROR(__xludf.DUMMYFUNCTION("""COMPUTED_VALUE"""),"All Black")</f>
        <v>All Black</v>
      </c>
      <c r="R359" s="150" t="str">
        <f>IFERROR(__xludf.DUMMYFUNCTION("""COMPUTED_VALUE"""),"Autopilot included")</f>
        <v>Autopilot included</v>
      </c>
      <c r="S359" s="150" t="str">
        <f>IFERROR(__xludf.DUMMYFUNCTION("""COMPUTED_VALUE"""),"Loan")</f>
        <v>Loan</v>
      </c>
      <c r="T359" s="136" t="str">
        <f>IFERROR(__xludf.DUMMYFUNCTION("""COMPUTED_VALUE"""),"Honda Accord")</f>
        <v>Honda Accord</v>
      </c>
      <c r="U359" s="136" t="str">
        <f>IFERROR(__xludf.DUMMYFUNCTION("""COMPUTED_VALUE"""),"Electric!")</f>
        <v>Electric!</v>
      </c>
      <c r="V359" s="136" t="str">
        <f>IFERROR(__xludf.DUMMYFUNCTION("""COMPUTED_VALUE"""),"Bioweapon defense mode")</f>
        <v>Bioweapon defense mode</v>
      </c>
      <c r="W359" s="136"/>
      <c r="X359" s="137" t="str">
        <f>IFERROR(__xludf.DUMMYFUNCTION("""COMPUTED_VALUE"""),"Excellent")</f>
        <v>Excellent</v>
      </c>
      <c r="Y359" s="138" t="str">
        <f>IFERROR(__xludf.DUMMYFUNCTION("""COMPUTED_VALUE"""),"Excellent")</f>
        <v>Excellent</v>
      </c>
      <c r="Z359" s="138" t="str">
        <f>IFERROR(__xludf.DUMMYFUNCTION("""COMPUTED_VALUE"""),"Excellent")</f>
        <v>Excellent</v>
      </c>
      <c r="AA359" s="138" t="str">
        <f>IFERROR(__xludf.DUMMYFUNCTION("""COMPUTED_VALUE"""),"Excellent")</f>
        <v>Excellent</v>
      </c>
      <c r="AB359" s="138" t="str">
        <f>IFERROR(__xludf.DUMMYFUNCTION("""COMPUTED_VALUE"""),"Excellent")</f>
        <v>Excellent</v>
      </c>
      <c r="AC359" s="139">
        <f>IFERROR(__xludf.DUMMYFUNCTION("""COMPUTED_VALUE"""),0.0)</f>
        <v>0</v>
      </c>
      <c r="AD359" s="139"/>
      <c r="AE359" s="139"/>
      <c r="AF359" s="140" t="str">
        <f>IFERROR(__xludf.DUMMYFUNCTION("""COMPUTED_VALUE"""),"No. I took delivery of the first car Tesla was able to deliver.")</f>
        <v>No. I took delivery of the first car Tesla was able to deliver.</v>
      </c>
      <c r="AG359" s="136"/>
      <c r="AH359" s="157">
        <f>IFERROR(__xludf.DUMMYFUNCTION("""COMPUTED_VALUE"""),44493.262521979166)</f>
        <v>44493.26252</v>
      </c>
      <c r="AI359" s="138"/>
      <c r="AJ359" s="138"/>
      <c r="AK359" s="138"/>
      <c r="AL359" s="142"/>
    </row>
    <row r="360" ht="20.25" customHeight="1">
      <c r="A360" s="155" t="str">
        <f>IFERROR(__xludf.DUMMYFUNCTION("""COMPUTED_VALUE"""),"Umafurm@n")</f>
        <v>Umafurm@n</v>
      </c>
      <c r="B360" s="150"/>
      <c r="C360" s="150" t="str">
        <f>IFERROR(__xludf.DUMMYFUNCTION("""COMPUTED_VALUE"""),"NY")</f>
        <v>NY</v>
      </c>
      <c r="D360" s="150" t="str">
        <f>IFERROR(__xludf.DUMMYFUNCTION("""COMPUTED_VALUE"""),"USA")</f>
        <v>USA</v>
      </c>
      <c r="E360" s="156">
        <f>IFERROR(__xludf.DUMMYFUNCTION("""COMPUTED_VALUE"""),44404.0)</f>
        <v>44404</v>
      </c>
      <c r="F360" s="129">
        <f>IFERROR(__xludf.DUMMYFUNCTION("""COMPUTED_VALUE"""),44436.0)</f>
        <v>44436</v>
      </c>
      <c r="G360" s="154" t="str">
        <f>IFERROR(__xludf.DUMMYFUNCTION("""COMPUTED_VALUE"""),"Manage order page (normal text)")</f>
        <v>Manage order page (normal text)</v>
      </c>
      <c r="H360" s="131">
        <f>IFERROR(__xludf.DUMMYFUNCTION("""COMPUTED_VALUE"""),51055.0)</f>
        <v>51055</v>
      </c>
      <c r="I360" s="144"/>
      <c r="J360" s="129">
        <f>IFERROR(__xludf.DUMMYFUNCTION("""COMPUTED_VALUE"""),44450.0)</f>
        <v>44450</v>
      </c>
      <c r="K360" s="133">
        <f>IFERROR(__xludf.DUMMYFUNCTION("""COMPUTED_VALUE"""),32.0)</f>
        <v>32</v>
      </c>
      <c r="L360" s="133">
        <f>IFERROR(__xludf.DUMMYFUNCTION("""COMPUTED_VALUE"""),14.0)</f>
        <v>14</v>
      </c>
      <c r="M360" s="133">
        <f>IFERROR(__xludf.DUMMYFUNCTION("""COMPUTED_VALUE"""),46.0)</f>
        <v>46</v>
      </c>
      <c r="N360" s="152" t="str">
        <f>IFERROR(__xludf.DUMMYFUNCTION("""COMPUTED_VALUE"""),"Model 3 LR AWD")</f>
        <v>Model 3 LR AWD</v>
      </c>
      <c r="O360" s="152" t="str">
        <f>IFERROR(__xludf.DUMMYFUNCTION("""COMPUTED_VALUE"""),"Solid Black")</f>
        <v>Solid Black</v>
      </c>
      <c r="P360" s="153" t="str">
        <f>IFERROR(__xludf.DUMMYFUNCTION("""COMPUTED_VALUE"""),"18 inch")</f>
        <v>18 inch</v>
      </c>
      <c r="Q360" s="152" t="str">
        <f>IFERROR(__xludf.DUMMYFUNCTION("""COMPUTED_VALUE"""),"Black and White")</f>
        <v>Black and White</v>
      </c>
      <c r="R360" s="149" t="str">
        <f>IFERROR(__xludf.DUMMYFUNCTION("""COMPUTED_VALUE"""),"Autopilot included")</f>
        <v>Autopilot included</v>
      </c>
      <c r="S360" s="149" t="str">
        <f>IFERROR(__xludf.DUMMYFUNCTION("""COMPUTED_VALUE"""),"Loan")</f>
        <v>Loan</v>
      </c>
      <c r="T360" s="145" t="str">
        <f>IFERROR(__xludf.DUMMYFUNCTION("""COMPUTED_VALUE"""),"Model 3 will be my first car!")</f>
        <v>Model 3 will be my first car!</v>
      </c>
      <c r="U360" s="145"/>
      <c r="V360" s="145"/>
      <c r="W360" s="145"/>
      <c r="X360" s="137"/>
      <c r="Y360" s="138"/>
      <c r="Z360" s="138"/>
      <c r="AA360" s="138"/>
      <c r="AB360" s="138"/>
      <c r="AC360" s="139"/>
      <c r="AD360" s="139"/>
      <c r="AE360" s="139"/>
      <c r="AF360" s="140"/>
      <c r="AG360" s="145"/>
      <c r="AH360" s="157">
        <f>IFERROR(__xludf.DUMMYFUNCTION("""COMPUTED_VALUE"""),44440.634832766205)</f>
        <v>44440.63483</v>
      </c>
      <c r="AI360" s="138"/>
      <c r="AJ360" s="138"/>
      <c r="AK360" s="138"/>
      <c r="AL360" s="142"/>
    </row>
    <row r="361" ht="20.25" customHeight="1">
      <c r="A361" s="155" t="str">
        <f>IFERROR(__xludf.DUMMYFUNCTION("""COMPUTED_VALUE"""),"vincentliang")</f>
        <v>vincentliang</v>
      </c>
      <c r="B361" s="149" t="str">
        <f>IFERROR(__xludf.DUMMYFUNCTION("""COMPUTED_VALUE"""),"Vancouver")</f>
        <v>Vancouver</v>
      </c>
      <c r="C361" s="149" t="str">
        <f>IFERROR(__xludf.DUMMYFUNCTION("""COMPUTED_VALUE"""),"BC")</f>
        <v>BC</v>
      </c>
      <c r="D361" s="149" t="str">
        <f>IFERROR(__xludf.DUMMYFUNCTION("""COMPUTED_VALUE"""),"Canada")</f>
        <v>Canada</v>
      </c>
      <c r="E361" s="156">
        <f>IFERROR(__xludf.DUMMYFUNCTION("""COMPUTED_VALUE"""),44404.0)</f>
        <v>44404</v>
      </c>
      <c r="F361" s="129">
        <f>IFERROR(__xludf.DUMMYFUNCTION("""COMPUTED_VALUE"""),44486.0)</f>
        <v>44486</v>
      </c>
      <c r="G361" s="154" t="str">
        <f>IFERROR(__xludf.DUMMYFUNCTION("""COMPUTED_VALUE"""),"Manage order page (normal text)")</f>
        <v>Manage order page (normal text)</v>
      </c>
      <c r="H361" s="131"/>
      <c r="I361" s="144"/>
      <c r="J361" s="129">
        <f>IFERROR(__xludf.DUMMYFUNCTION("""COMPUTED_VALUE"""),44490.0)</f>
        <v>44490</v>
      </c>
      <c r="K361" s="133">
        <f>IFERROR(__xludf.DUMMYFUNCTION("""COMPUTED_VALUE"""),82.0)</f>
        <v>82</v>
      </c>
      <c r="L361" s="133">
        <f>IFERROR(__xludf.DUMMYFUNCTION("""COMPUTED_VALUE"""),4.0)</f>
        <v>4</v>
      </c>
      <c r="M361" s="133">
        <f>IFERROR(__xludf.DUMMYFUNCTION("""COMPUTED_VALUE"""),86.0)</f>
        <v>86</v>
      </c>
      <c r="N361" s="152" t="str">
        <f>IFERROR(__xludf.DUMMYFUNCTION("""COMPUTED_VALUE"""),"Model 3 SR+")</f>
        <v>Model 3 SR+</v>
      </c>
      <c r="O361" s="152" t="str">
        <f>IFERROR(__xludf.DUMMYFUNCTION("""COMPUTED_VALUE"""),"Pearl White Multi-Coat")</f>
        <v>Pearl White Multi-Coat</v>
      </c>
      <c r="P361" s="153" t="str">
        <f>IFERROR(__xludf.DUMMYFUNCTION("""COMPUTED_VALUE"""),"18 inch")</f>
        <v>18 inch</v>
      </c>
      <c r="Q361" s="152" t="str">
        <f>IFERROR(__xludf.DUMMYFUNCTION("""COMPUTED_VALUE"""),"All Black")</f>
        <v>All Black</v>
      </c>
      <c r="R361" s="149" t="str">
        <f>IFERROR(__xludf.DUMMYFUNCTION("""COMPUTED_VALUE"""),"Autopilot included")</f>
        <v>Autopilot included</v>
      </c>
      <c r="S361" s="149" t="str">
        <f>IFERROR(__xludf.DUMMYFUNCTION("""COMPUTED_VALUE"""),"Lease")</f>
        <v>Lease</v>
      </c>
      <c r="T361" s="145" t="str">
        <f>IFERROR(__xludf.DUMMYFUNCTION("""COMPUTED_VALUE"""),"VW E-Golf")</f>
        <v>VW E-Golf</v>
      </c>
      <c r="U361" s="145" t="str">
        <f>IFERROR(__xludf.DUMMYFUNCTION("""COMPUTED_VALUE"""),"Electric!")</f>
        <v>Electric!</v>
      </c>
      <c r="V361" s="145" t="str">
        <f>IFERROR(__xludf.DUMMYFUNCTION("""COMPUTED_VALUE"""),"Apple CarPlay / Android Auto / SiriusXM Radio")</f>
        <v>Apple CarPlay / Android Auto / SiriusXM Radio</v>
      </c>
      <c r="W361" s="145"/>
      <c r="X361" s="137"/>
      <c r="Y361" s="138"/>
      <c r="Z361" s="138"/>
      <c r="AA361" s="138"/>
      <c r="AB361" s="138"/>
      <c r="AC361" s="139"/>
      <c r="AD361" s="139"/>
      <c r="AE361" s="139"/>
      <c r="AF361" s="140" t="str">
        <f>IFERROR(__xludf.DUMMYFUNCTION("""COMPUTED_VALUE"""),"No. I took delivery of the first car Tesla was able to deliver.")</f>
        <v>No. I took delivery of the first car Tesla was able to deliver.</v>
      </c>
      <c r="AG361" s="145"/>
      <c r="AH361" s="157">
        <f>IFERROR(__xludf.DUMMYFUNCTION("""COMPUTED_VALUE"""),44496.577691805556)</f>
        <v>44496.57769</v>
      </c>
      <c r="AI361" s="138"/>
      <c r="AJ361" s="138"/>
      <c r="AK361" s="138"/>
      <c r="AL361" s="142"/>
    </row>
    <row r="362" ht="20.25" customHeight="1">
      <c r="A362" s="155" t="str">
        <f>IFERROR(__xludf.DUMMYFUNCTION("""COMPUTED_VALUE"""),"jevi")</f>
        <v>jevi</v>
      </c>
      <c r="B362" s="149"/>
      <c r="C362" s="149"/>
      <c r="D362" s="149" t="str">
        <f>IFERROR(__xludf.DUMMYFUNCTION("""COMPUTED_VALUE"""),"United Kingdom")</f>
        <v>United Kingdom</v>
      </c>
      <c r="E362" s="156">
        <f>IFERROR(__xludf.DUMMYFUNCTION("""COMPUTED_VALUE"""),44403.0)</f>
        <v>44403</v>
      </c>
      <c r="F362" s="129">
        <f>IFERROR(__xludf.DUMMYFUNCTION("""COMPUTED_VALUE"""),44412.0)</f>
        <v>44412</v>
      </c>
      <c r="G362" s="154" t="str">
        <f>IFERROR(__xludf.DUMMYFUNCTION("""COMPUTED_VALUE"""),"Source code")</f>
        <v>Source code</v>
      </c>
      <c r="H362" s="131">
        <f>IFERROR(__xludf.DUMMYFUNCTION("""COMPUTED_VALUE"""),321655.0)</f>
        <v>321655</v>
      </c>
      <c r="I362" s="144"/>
      <c r="J362" s="129"/>
      <c r="K362" s="133">
        <f>IFERROR(__xludf.DUMMYFUNCTION("""COMPUTED_VALUE"""),9.0)</f>
        <v>9</v>
      </c>
      <c r="L362" s="133"/>
      <c r="M362" s="133"/>
      <c r="N362" s="152" t="str">
        <f>IFERROR(__xludf.DUMMYFUNCTION("""COMPUTED_VALUE"""),"Model 3 LR AWD")</f>
        <v>Model 3 LR AWD</v>
      </c>
      <c r="O362" s="152" t="str">
        <f>IFERROR(__xludf.DUMMYFUNCTION("""COMPUTED_VALUE"""),"Deep Blue Metallic")</f>
        <v>Deep Blue Metallic</v>
      </c>
      <c r="P362" s="153" t="str">
        <f>IFERROR(__xludf.DUMMYFUNCTION("""COMPUTED_VALUE"""),"18 inch")</f>
        <v>18 inch</v>
      </c>
      <c r="Q362" s="152" t="str">
        <f>IFERROR(__xludf.DUMMYFUNCTION("""COMPUTED_VALUE"""),"All Black")</f>
        <v>All Black</v>
      </c>
      <c r="R362" s="149" t="str">
        <f>IFERROR(__xludf.DUMMYFUNCTION("""COMPUTED_VALUE"""),"Autopilot included")</f>
        <v>Autopilot included</v>
      </c>
      <c r="S362" s="149" t="str">
        <f>IFERROR(__xludf.DUMMYFUNCTION("""COMPUTED_VALUE"""),"Loan")</f>
        <v>Loan</v>
      </c>
      <c r="T362" s="145" t="str">
        <f>IFERROR(__xludf.DUMMYFUNCTION("""COMPUTED_VALUE"""),"Audi S3")</f>
        <v>Audi S3</v>
      </c>
      <c r="U362" s="145" t="str">
        <f>IFERROR(__xludf.DUMMYFUNCTION("""COMPUTED_VALUE"""),"Autopilot")</f>
        <v>Autopilot</v>
      </c>
      <c r="V362" s="145" t="str">
        <f>IFERROR(__xludf.DUMMYFUNCTION("""COMPUTED_VALUE"""),"Apple CarPlay / Android Auto / SiriusXM Radio")</f>
        <v>Apple CarPlay / Android Auto / SiriusXM Radio</v>
      </c>
      <c r="W362" s="136"/>
      <c r="X362" s="137"/>
      <c r="Y362" s="138"/>
      <c r="Z362" s="138"/>
      <c r="AA362" s="138"/>
      <c r="AB362" s="138"/>
      <c r="AC362" s="139"/>
      <c r="AD362" s="139"/>
      <c r="AE362" s="139"/>
      <c r="AF362" s="140"/>
      <c r="AG362" s="136"/>
      <c r="AH362" s="157">
        <f>IFERROR(__xludf.DUMMYFUNCTION("""COMPUTED_VALUE"""),44427.21275053241)</f>
        <v>44427.21275</v>
      </c>
      <c r="AI362" s="138"/>
      <c r="AJ362" s="138"/>
      <c r="AK362" s="138"/>
      <c r="AL362" s="142"/>
    </row>
    <row r="363" ht="20.25" customHeight="1">
      <c r="A363" s="155" t="str">
        <f>IFERROR(__xludf.DUMMYFUNCTION("""COMPUTED_VALUE"""),"Larry in TN")</f>
        <v>Larry in TN</v>
      </c>
      <c r="B363" s="149" t="str">
        <f>IFERROR(__xludf.DUMMYFUNCTION("""COMPUTED_VALUE"""),"Nashville")</f>
        <v>Nashville</v>
      </c>
      <c r="C363" s="149" t="str">
        <f>IFERROR(__xludf.DUMMYFUNCTION("""COMPUTED_VALUE"""),"TN")</f>
        <v>TN</v>
      </c>
      <c r="D363" s="149" t="str">
        <f>IFERROR(__xludf.DUMMYFUNCTION("""COMPUTED_VALUE"""),"USA")</f>
        <v>USA</v>
      </c>
      <c r="E363" s="156">
        <f>IFERROR(__xludf.DUMMYFUNCTION("""COMPUTED_VALUE"""),44403.0)</f>
        <v>44403</v>
      </c>
      <c r="F363" s="129">
        <f>IFERROR(__xludf.DUMMYFUNCTION("""COMPUTED_VALUE"""),44434.0)</f>
        <v>44434</v>
      </c>
      <c r="G363" s="154" t="str">
        <f>IFERROR(__xludf.DUMMYFUNCTION("""COMPUTED_VALUE"""),"Manage order page (normal text)")</f>
        <v>Manage order page (normal text)</v>
      </c>
      <c r="H363" s="131">
        <f>IFERROR(__xludf.DUMMYFUNCTION("""COMPUTED_VALUE"""),49355.0)</f>
        <v>49355</v>
      </c>
      <c r="I363" s="144" t="str">
        <f>IFERROR(__xludf.DUMMYFUNCTION("""COMPUTED_VALUE"""),"08/21")</f>
        <v>08/21</v>
      </c>
      <c r="J363" s="129">
        <f>IFERROR(__xludf.DUMMYFUNCTION("""COMPUTED_VALUE"""),44454.0)</f>
        <v>44454</v>
      </c>
      <c r="K363" s="133">
        <f>IFERROR(__xludf.DUMMYFUNCTION("""COMPUTED_VALUE"""),31.0)</f>
        <v>31</v>
      </c>
      <c r="L363" s="133">
        <f>IFERROR(__xludf.DUMMYFUNCTION("""COMPUTED_VALUE"""),20.0)</f>
        <v>20</v>
      </c>
      <c r="M363" s="133">
        <f>IFERROR(__xludf.DUMMYFUNCTION("""COMPUTED_VALUE"""),51.0)</f>
        <v>51</v>
      </c>
      <c r="N363" s="152" t="str">
        <f>IFERROR(__xludf.DUMMYFUNCTION("""COMPUTED_VALUE"""),"Model 3 LR AWD")</f>
        <v>Model 3 LR AWD</v>
      </c>
      <c r="O363" s="152" t="str">
        <f>IFERROR(__xludf.DUMMYFUNCTION("""COMPUTED_VALUE"""),"Deep Blue Metallic")</f>
        <v>Deep Blue Metallic</v>
      </c>
      <c r="P363" s="153" t="str">
        <f>IFERROR(__xludf.DUMMYFUNCTION("""COMPUTED_VALUE"""),"18 inch")</f>
        <v>18 inch</v>
      </c>
      <c r="Q363" s="152" t="str">
        <f>IFERROR(__xludf.DUMMYFUNCTION("""COMPUTED_VALUE"""),"All Black")</f>
        <v>All Black</v>
      </c>
      <c r="R363" s="149" t="str">
        <f>IFERROR(__xludf.DUMMYFUNCTION("""COMPUTED_VALUE"""),"Autopilot included")</f>
        <v>Autopilot included</v>
      </c>
      <c r="S363" s="149" t="str">
        <f>IFERROR(__xludf.DUMMYFUNCTION("""COMPUTED_VALUE"""),"Cash")</f>
        <v>Cash</v>
      </c>
      <c r="T363" s="145" t="str">
        <f>IFERROR(__xludf.DUMMYFUNCTION("""COMPUTED_VALUE"""),"Mazda Mazda3")</f>
        <v>Mazda Mazda3</v>
      </c>
      <c r="U363" s="145" t="str">
        <f>IFERROR(__xludf.DUMMYFUNCTION("""COMPUTED_VALUE"""),"Electric!")</f>
        <v>Electric!</v>
      </c>
      <c r="V363" s="145" t="str">
        <f>IFERROR(__xludf.DUMMYFUNCTION("""COMPUTED_VALUE"""),"Apple CarPlay / Android Auto / SiriusXM Radio")</f>
        <v>Apple CarPlay / Android Auto / SiriusXM Radio</v>
      </c>
      <c r="W363" s="136" t="str">
        <f>IFERROR(__xludf.DUMMYFUNCTION("""COMPUTED_VALUE"""),"Get the phone extension number from your sales associate so you can reach them directly")</f>
        <v>Get the phone extension number from your sales associate so you can reach them directly</v>
      </c>
      <c r="X363" s="137" t="str">
        <f>IFERROR(__xludf.DUMMYFUNCTION("""COMPUTED_VALUE"""),"Excellent")</f>
        <v>Excellent</v>
      </c>
      <c r="Y363" s="138" t="str">
        <f>IFERROR(__xludf.DUMMYFUNCTION("""COMPUTED_VALUE"""),"Excellent")</f>
        <v>Excellent</v>
      </c>
      <c r="Z363" s="138" t="str">
        <f>IFERROR(__xludf.DUMMYFUNCTION("""COMPUTED_VALUE"""),"Excellent")</f>
        <v>Excellent</v>
      </c>
      <c r="AA363" s="138" t="str">
        <f>IFERROR(__xludf.DUMMYFUNCTION("""COMPUTED_VALUE"""),"Fair")</f>
        <v>Fair</v>
      </c>
      <c r="AB363" s="138" t="str">
        <f>IFERROR(__xludf.DUMMYFUNCTION("""COMPUTED_VALUE"""),"Excellent")</f>
        <v>Excellent</v>
      </c>
      <c r="AC363" s="139"/>
      <c r="AD363" s="139"/>
      <c r="AE363" s="139"/>
      <c r="AF363" s="140" t="str">
        <f>IFERROR(__xludf.DUMMYFUNCTION("""COMPUTED_VALUE"""),"No. I took delivery of the first car Tesla was able to deliver.")</f>
        <v>No. I took delivery of the first car Tesla was able to deliver.</v>
      </c>
      <c r="AG363" s="136"/>
      <c r="AH363" s="157">
        <f>IFERROR(__xludf.DUMMYFUNCTION("""COMPUTED_VALUE"""),44454.79845591436)</f>
        <v>44454.79846</v>
      </c>
      <c r="AI363" s="138"/>
      <c r="AJ363" s="138"/>
      <c r="AK363" s="138"/>
      <c r="AL363" s="142"/>
    </row>
    <row r="364" ht="20.25" customHeight="1">
      <c r="A364" s="155" t="str">
        <f>IFERROR(__xludf.DUMMYFUNCTION("""COMPUTED_VALUE"""),"mikeyg-ev")</f>
        <v>mikeyg-ev</v>
      </c>
      <c r="B364" s="149" t="str">
        <f>IFERROR(__xludf.DUMMYFUNCTION("""COMPUTED_VALUE"""),"London")</f>
        <v>London</v>
      </c>
      <c r="C364" s="149"/>
      <c r="D364" s="149" t="str">
        <f>IFERROR(__xludf.DUMMYFUNCTION("""COMPUTED_VALUE"""),"United Kingdom")</f>
        <v>United Kingdom</v>
      </c>
      <c r="E364" s="156">
        <f>IFERROR(__xludf.DUMMYFUNCTION("""COMPUTED_VALUE"""),44403.0)</f>
        <v>44403</v>
      </c>
      <c r="F364" s="129">
        <f>IFERROR(__xludf.DUMMYFUNCTION("""COMPUTED_VALUE"""),44428.0)</f>
        <v>44428</v>
      </c>
      <c r="G364" s="154" t="str">
        <f>IFERROR(__xludf.DUMMYFUNCTION("""COMPUTED_VALUE"""),"Source code")</f>
        <v>Source code</v>
      </c>
      <c r="H364" s="131">
        <f>IFERROR(__xludf.DUMMYFUNCTION("""COMPUTED_VALUE"""),328355.0)</f>
        <v>328355</v>
      </c>
      <c r="I364" s="144"/>
      <c r="J364" s="129">
        <f>IFERROR(__xludf.DUMMYFUNCTION("""COMPUTED_VALUE"""),44461.0)</f>
        <v>44461</v>
      </c>
      <c r="K364" s="133">
        <f>IFERROR(__xludf.DUMMYFUNCTION("""COMPUTED_VALUE"""),25.0)</f>
        <v>25</v>
      </c>
      <c r="L364" s="133">
        <f>IFERROR(__xludf.DUMMYFUNCTION("""COMPUTED_VALUE"""),33.0)</f>
        <v>33</v>
      </c>
      <c r="M364" s="133">
        <f>IFERROR(__xludf.DUMMYFUNCTION("""COMPUTED_VALUE"""),58.0)</f>
        <v>58</v>
      </c>
      <c r="N364" s="152" t="str">
        <f>IFERROR(__xludf.DUMMYFUNCTION("""COMPUTED_VALUE"""),"Model 3 LR AWD")</f>
        <v>Model 3 LR AWD</v>
      </c>
      <c r="O364" s="152" t="str">
        <f>IFERROR(__xludf.DUMMYFUNCTION("""COMPUTED_VALUE"""),"Deep Blue Metallic")</f>
        <v>Deep Blue Metallic</v>
      </c>
      <c r="P364" s="153" t="str">
        <f>IFERROR(__xludf.DUMMYFUNCTION("""COMPUTED_VALUE"""),"19 inch")</f>
        <v>19 inch</v>
      </c>
      <c r="Q364" s="152" t="str">
        <f>IFERROR(__xludf.DUMMYFUNCTION("""COMPUTED_VALUE"""),"All Black")</f>
        <v>All Black</v>
      </c>
      <c r="R364" s="149" t="str">
        <f>IFERROR(__xludf.DUMMYFUNCTION("""COMPUTED_VALUE"""),"Full Self-Driving")</f>
        <v>Full Self-Driving</v>
      </c>
      <c r="S364" s="149" t="str">
        <f>IFERROR(__xludf.DUMMYFUNCTION("""COMPUTED_VALUE"""),"Lease")</f>
        <v>Lease</v>
      </c>
      <c r="T364" s="145" t="str">
        <f>IFERROR(__xludf.DUMMYFUNCTION("""COMPUTED_VALUE"""),"BMW 3 Series")</f>
        <v>BMW 3 Series</v>
      </c>
      <c r="U364" s="145" t="str">
        <f>IFERROR(__xludf.DUMMYFUNCTION("""COMPUTED_VALUE"""),"Electric!")</f>
        <v>Electric!</v>
      </c>
      <c r="V364" s="145" t="str">
        <f>IFERROR(__xludf.DUMMYFUNCTION("""COMPUTED_VALUE"""),"Apple CarPlay / Android Auto / SiriusXM Radio")</f>
        <v>Apple CarPlay / Android Auto / SiriusXM Radio</v>
      </c>
      <c r="W364" s="136" t="str">
        <f>IFERROR(__xludf.DUMMYFUNCTION("""COMPUTED_VALUE"""),"Ask them not to wash it before delivery as their washing scratches the pain")</f>
        <v>Ask them not to wash it before delivery as their washing scratches the pain</v>
      </c>
      <c r="X364" s="137" t="str">
        <f>IFERROR(__xludf.DUMMYFUNCTION("""COMPUTED_VALUE"""),"Excellent")</f>
        <v>Excellent</v>
      </c>
      <c r="Y364" s="138" t="str">
        <f>IFERROR(__xludf.DUMMYFUNCTION("""COMPUTED_VALUE"""),"Excellent")</f>
        <v>Excellent</v>
      </c>
      <c r="Z364" s="138" t="str">
        <f>IFERROR(__xludf.DUMMYFUNCTION("""COMPUTED_VALUE"""),"Poor")</f>
        <v>Poor</v>
      </c>
      <c r="AA364" s="138" t="str">
        <f>IFERROR(__xludf.DUMMYFUNCTION("""COMPUTED_VALUE"""),"Very Good")</f>
        <v>Very Good</v>
      </c>
      <c r="AB364" s="138" t="str">
        <f>IFERROR(__xludf.DUMMYFUNCTION("""COMPUTED_VALUE"""),"Excellent")</f>
        <v>Excellent</v>
      </c>
      <c r="AC364" s="139">
        <f>IFERROR(__xludf.DUMMYFUNCTION("""COMPUTED_VALUE"""),1.0)</f>
        <v>1</v>
      </c>
      <c r="AD364" s="139">
        <f>IFERROR(__xludf.DUMMYFUNCTION("""COMPUTED_VALUE"""),1.0)</f>
        <v>1</v>
      </c>
      <c r="AE364" s="139">
        <f>IFERROR(__xludf.DUMMYFUNCTION("""COMPUTED_VALUE"""),1.0)</f>
        <v>1</v>
      </c>
      <c r="AF364" s="140" t="str">
        <f>IFERROR(__xludf.DUMMYFUNCTION("""COMPUTED_VALUE"""),"No. I took delivery of the first car Tesla was able to deliver.")</f>
        <v>No. I took delivery of the first car Tesla was able to deliver.</v>
      </c>
      <c r="AG364" s="145"/>
      <c r="AH364" s="157">
        <f>IFERROR(__xludf.DUMMYFUNCTION("""COMPUTED_VALUE"""),44467.06326131945)</f>
        <v>44467.06326</v>
      </c>
      <c r="AI364" s="138"/>
      <c r="AJ364" s="138"/>
      <c r="AK364" s="138"/>
      <c r="AL364" s="142"/>
    </row>
    <row r="365" ht="20.25" customHeight="1">
      <c r="A365" s="155" t="str">
        <f>IFERROR(__xludf.DUMMYFUNCTION("""COMPUTED_VALUE"""),"PeePants")</f>
        <v>PeePants</v>
      </c>
      <c r="B365" s="149"/>
      <c r="C365" s="149" t="str">
        <f>IFERROR(__xludf.DUMMYFUNCTION("""COMPUTED_VALUE"""),"FL")</f>
        <v>FL</v>
      </c>
      <c r="D365" s="149" t="str">
        <f>IFERROR(__xludf.DUMMYFUNCTION("""COMPUTED_VALUE"""),"USA")</f>
        <v>USA</v>
      </c>
      <c r="E365" s="156">
        <f>IFERROR(__xludf.DUMMYFUNCTION("""COMPUTED_VALUE"""),44403.0)</f>
        <v>44403</v>
      </c>
      <c r="F365" s="129">
        <f>IFERROR(__xludf.DUMMYFUNCTION("""COMPUTED_VALUE"""),44415.0)</f>
        <v>44415</v>
      </c>
      <c r="G365" s="154" t="str">
        <f>IFERROR(__xludf.DUMMYFUNCTION("""COMPUTED_VALUE"""),"Manage order page (normal text)")</f>
        <v>Manage order page (normal text)</v>
      </c>
      <c r="H365" s="131"/>
      <c r="I365" s="144" t="str">
        <f>IFERROR(__xludf.DUMMYFUNCTION("""COMPUTED_VALUE"""),"08/21")</f>
        <v>08/21</v>
      </c>
      <c r="J365" s="129">
        <f>IFERROR(__xludf.DUMMYFUNCTION("""COMPUTED_VALUE"""),44427.0)</f>
        <v>44427</v>
      </c>
      <c r="K365" s="133">
        <f>IFERROR(__xludf.DUMMYFUNCTION("""COMPUTED_VALUE"""),12.0)</f>
        <v>12</v>
      </c>
      <c r="L365" s="133">
        <f>IFERROR(__xludf.DUMMYFUNCTION("""COMPUTED_VALUE"""),12.0)</f>
        <v>12</v>
      </c>
      <c r="M365" s="133">
        <f>IFERROR(__xludf.DUMMYFUNCTION("""COMPUTED_VALUE"""),24.0)</f>
        <v>24</v>
      </c>
      <c r="N365" s="152" t="str">
        <f>IFERROR(__xludf.DUMMYFUNCTION("""COMPUTED_VALUE"""),"Model 3 Performance")</f>
        <v>Model 3 Performance</v>
      </c>
      <c r="O365" s="152" t="str">
        <f>IFERROR(__xludf.DUMMYFUNCTION("""COMPUTED_VALUE"""),"Midnight Silver Metallic")</f>
        <v>Midnight Silver Metallic</v>
      </c>
      <c r="P365" s="153" t="str">
        <f>IFERROR(__xludf.DUMMYFUNCTION("""COMPUTED_VALUE"""),"20 inch")</f>
        <v>20 inch</v>
      </c>
      <c r="Q365" s="152" t="str">
        <f>IFERROR(__xludf.DUMMYFUNCTION("""COMPUTED_VALUE"""),"All Black")</f>
        <v>All Black</v>
      </c>
      <c r="R365" s="149" t="str">
        <f>IFERROR(__xludf.DUMMYFUNCTION("""COMPUTED_VALUE"""),"Autopilot included")</f>
        <v>Autopilot included</v>
      </c>
      <c r="S365" s="149"/>
      <c r="T365" s="145"/>
      <c r="U365" s="145" t="str">
        <f>IFERROR(__xludf.DUMMYFUNCTION("""COMPUTED_VALUE"""),"Electric!")</f>
        <v>Electric!</v>
      </c>
      <c r="V365" s="145" t="str">
        <f>IFERROR(__xludf.DUMMYFUNCTION("""COMPUTED_VALUE"""),"360° Bird's eye view")</f>
        <v>360° Bird's eye view</v>
      </c>
      <c r="W365" s="145"/>
      <c r="X365" s="137" t="str">
        <f>IFERROR(__xludf.DUMMYFUNCTION("""COMPUTED_VALUE"""),"Very Good")</f>
        <v>Very Good</v>
      </c>
      <c r="Y365" s="138" t="str">
        <f>IFERROR(__xludf.DUMMYFUNCTION("""COMPUTED_VALUE"""),"Very Good")</f>
        <v>Very Good</v>
      </c>
      <c r="Z365" s="138"/>
      <c r="AA365" s="138" t="str">
        <f>IFERROR(__xludf.DUMMYFUNCTION("""COMPUTED_VALUE"""),"Excellent")</f>
        <v>Excellent</v>
      </c>
      <c r="AB365" s="138" t="str">
        <f>IFERROR(__xludf.DUMMYFUNCTION("""COMPUTED_VALUE"""),"Excellent")</f>
        <v>Excellent</v>
      </c>
      <c r="AC365" s="139">
        <f>IFERROR(__xludf.DUMMYFUNCTION("""COMPUTED_VALUE"""),1.0)</f>
        <v>1</v>
      </c>
      <c r="AD365" s="139"/>
      <c r="AE365" s="139"/>
      <c r="AF365" s="140" t="str">
        <f>IFERROR(__xludf.DUMMYFUNCTION("""COMPUTED_VALUE"""),"No. I took delivery of the first car Tesla was able to deliver.")</f>
        <v>No. I took delivery of the first car Tesla was able to deliver.</v>
      </c>
      <c r="AG365" s="145"/>
      <c r="AH365" s="157">
        <f>IFERROR(__xludf.DUMMYFUNCTION("""COMPUTED_VALUE"""),44427.83063225695)</f>
        <v>44427.83063</v>
      </c>
      <c r="AI365" s="138"/>
      <c r="AJ365" s="138"/>
      <c r="AK365" s="138"/>
      <c r="AL365" s="142"/>
    </row>
    <row r="366" ht="20.25" customHeight="1">
      <c r="A366" s="155" t="str">
        <f>IFERROR(__xludf.DUMMYFUNCTION("""COMPUTED_VALUE"""),"ARoD0524")</f>
        <v>ARoD0524</v>
      </c>
      <c r="B366" s="149" t="str">
        <f>IFERROR(__xludf.DUMMYFUNCTION("""COMPUTED_VALUE"""),"Goodyear")</f>
        <v>Goodyear</v>
      </c>
      <c r="C366" s="149" t="str">
        <f>IFERROR(__xludf.DUMMYFUNCTION("""COMPUTED_VALUE"""),"AZ")</f>
        <v>AZ</v>
      </c>
      <c r="D366" s="149" t="str">
        <f>IFERROR(__xludf.DUMMYFUNCTION("""COMPUTED_VALUE"""),"USA")</f>
        <v>USA</v>
      </c>
      <c r="E366" s="156">
        <f>IFERROR(__xludf.DUMMYFUNCTION("""COMPUTED_VALUE"""),44402.0)</f>
        <v>44402</v>
      </c>
      <c r="F366" s="129">
        <f>IFERROR(__xludf.DUMMYFUNCTION("""COMPUTED_VALUE"""),44439.0)</f>
        <v>44439</v>
      </c>
      <c r="G366" s="154" t="str">
        <f>IFERROR(__xludf.DUMMYFUNCTION("""COMPUTED_VALUE"""),"Manage order page (normal text)")</f>
        <v>Manage order page (normal text)</v>
      </c>
      <c r="H366" s="131"/>
      <c r="I366" s="144"/>
      <c r="J366" s="129">
        <f>IFERROR(__xludf.DUMMYFUNCTION("""COMPUTED_VALUE"""),44443.0)</f>
        <v>44443</v>
      </c>
      <c r="K366" s="133">
        <f>IFERROR(__xludf.DUMMYFUNCTION("""COMPUTED_VALUE"""),37.0)</f>
        <v>37</v>
      </c>
      <c r="L366" s="133">
        <f>IFERROR(__xludf.DUMMYFUNCTION("""COMPUTED_VALUE"""),4.0)</f>
        <v>4</v>
      </c>
      <c r="M366" s="133">
        <f>IFERROR(__xludf.DUMMYFUNCTION("""COMPUTED_VALUE"""),41.0)</f>
        <v>41</v>
      </c>
      <c r="N366" s="152" t="str">
        <f>IFERROR(__xludf.DUMMYFUNCTION("""COMPUTED_VALUE"""),"Model 3 LR AWD")</f>
        <v>Model 3 LR AWD</v>
      </c>
      <c r="O366" s="152" t="str">
        <f>IFERROR(__xludf.DUMMYFUNCTION("""COMPUTED_VALUE"""),"Deep Blue Metallic")</f>
        <v>Deep Blue Metallic</v>
      </c>
      <c r="P366" s="153" t="str">
        <f>IFERROR(__xludf.DUMMYFUNCTION("""COMPUTED_VALUE"""),"19 inch")</f>
        <v>19 inch</v>
      </c>
      <c r="Q366" s="152" t="str">
        <f>IFERROR(__xludf.DUMMYFUNCTION("""COMPUTED_VALUE"""),"All Black")</f>
        <v>All Black</v>
      </c>
      <c r="R366" s="149" t="str">
        <f>IFERROR(__xludf.DUMMYFUNCTION("""COMPUTED_VALUE"""),"Full Self-Driving")</f>
        <v>Full Self-Driving</v>
      </c>
      <c r="S366" s="149" t="str">
        <f>IFERROR(__xludf.DUMMYFUNCTION("""COMPUTED_VALUE"""),"Loan")</f>
        <v>Loan</v>
      </c>
      <c r="T366" s="145" t="str">
        <f>IFERROR(__xludf.DUMMYFUNCTION("""COMPUTED_VALUE"""),"Toyota Corolla")</f>
        <v>Toyota Corolla</v>
      </c>
      <c r="U366" s="145"/>
      <c r="V366" s="145"/>
      <c r="W366" s="145"/>
      <c r="X366" s="137"/>
      <c r="Y366" s="138"/>
      <c r="Z366" s="138"/>
      <c r="AA366" s="138"/>
      <c r="AB366" s="138"/>
      <c r="AC366" s="139"/>
      <c r="AD366" s="139"/>
      <c r="AE366" s="139"/>
      <c r="AF366" s="140"/>
      <c r="AG366" s="145"/>
      <c r="AH366" s="157">
        <f>IFERROR(__xludf.DUMMYFUNCTION("""COMPUTED_VALUE"""),44439.50587692129)</f>
        <v>44439.50588</v>
      </c>
      <c r="AI366" s="138"/>
      <c r="AJ366" s="138"/>
      <c r="AK366" s="138"/>
      <c r="AL366" s="142"/>
    </row>
    <row r="367" ht="20.25" customHeight="1">
      <c r="A367" s="155" t="str">
        <f>IFERROR(__xludf.DUMMYFUNCTION("""COMPUTED_VALUE"""),"aroncbrown")</f>
        <v>aroncbrown</v>
      </c>
      <c r="B367" s="149" t="str">
        <f>IFERROR(__xludf.DUMMYFUNCTION("""COMPUTED_VALUE"""),"Houston")</f>
        <v>Houston</v>
      </c>
      <c r="C367" s="149" t="str">
        <f>IFERROR(__xludf.DUMMYFUNCTION("""COMPUTED_VALUE"""),"TX")</f>
        <v>TX</v>
      </c>
      <c r="D367" s="149" t="str">
        <f>IFERROR(__xludf.DUMMYFUNCTION("""COMPUTED_VALUE"""),"USA")</f>
        <v>USA</v>
      </c>
      <c r="E367" s="156">
        <f>IFERROR(__xludf.DUMMYFUNCTION("""COMPUTED_VALUE"""),44402.0)</f>
        <v>44402</v>
      </c>
      <c r="F367" s="129">
        <f>IFERROR(__xludf.DUMMYFUNCTION("""COMPUTED_VALUE"""),44432.0)</f>
        <v>44432</v>
      </c>
      <c r="G367" s="154" t="str">
        <f>IFERROR(__xludf.DUMMYFUNCTION("""COMPUTED_VALUE"""),"Manage order page (normal text)")</f>
        <v>Manage order page (normal text)</v>
      </c>
      <c r="H367" s="131"/>
      <c r="I367" s="144"/>
      <c r="J367" s="129">
        <f>IFERROR(__xludf.DUMMYFUNCTION("""COMPUTED_VALUE"""),44446.0)</f>
        <v>44446</v>
      </c>
      <c r="K367" s="133">
        <f>IFERROR(__xludf.DUMMYFUNCTION("""COMPUTED_VALUE"""),30.0)</f>
        <v>30</v>
      </c>
      <c r="L367" s="133">
        <f>IFERROR(__xludf.DUMMYFUNCTION("""COMPUTED_VALUE"""),14.0)</f>
        <v>14</v>
      </c>
      <c r="M367" s="133">
        <f>IFERROR(__xludf.DUMMYFUNCTION("""COMPUTED_VALUE"""),44.0)</f>
        <v>44</v>
      </c>
      <c r="N367" s="152" t="str">
        <f>IFERROR(__xludf.DUMMYFUNCTION("""COMPUTED_VALUE"""),"Model 3 Performance")</f>
        <v>Model 3 Performance</v>
      </c>
      <c r="O367" s="152" t="str">
        <f>IFERROR(__xludf.DUMMYFUNCTION("""COMPUTED_VALUE"""),"Solid Black")</f>
        <v>Solid Black</v>
      </c>
      <c r="P367" s="153" t="str">
        <f>IFERROR(__xludf.DUMMYFUNCTION("""COMPUTED_VALUE"""),"20 inch")</f>
        <v>20 inch</v>
      </c>
      <c r="Q367" s="152" t="str">
        <f>IFERROR(__xludf.DUMMYFUNCTION("""COMPUTED_VALUE"""),"All Black")</f>
        <v>All Black</v>
      </c>
      <c r="R367" s="149" t="str">
        <f>IFERROR(__xludf.DUMMYFUNCTION("""COMPUTED_VALUE"""),"Autopilot included")</f>
        <v>Autopilot included</v>
      </c>
      <c r="S367" s="149" t="str">
        <f>IFERROR(__xludf.DUMMYFUNCTION("""COMPUTED_VALUE"""),"Loan")</f>
        <v>Loan</v>
      </c>
      <c r="T367" s="145"/>
      <c r="U367" s="145" t="str">
        <f>IFERROR(__xludf.DUMMYFUNCTION("""COMPUTED_VALUE"""),"Electric!")</f>
        <v>Electric!</v>
      </c>
      <c r="V367" s="145"/>
      <c r="W367" s="145"/>
      <c r="X367" s="137"/>
      <c r="Y367" s="138"/>
      <c r="Z367" s="138"/>
      <c r="AA367" s="138"/>
      <c r="AB367" s="138"/>
      <c r="AC367" s="139"/>
      <c r="AD367" s="139"/>
      <c r="AE367" s="139"/>
      <c r="AF367" s="140"/>
      <c r="AG367" s="145"/>
      <c r="AH367" s="157">
        <f>IFERROR(__xludf.DUMMYFUNCTION("""COMPUTED_VALUE"""),44439.568151064814)</f>
        <v>44439.56815</v>
      </c>
      <c r="AI367" s="138"/>
      <c r="AJ367" s="138"/>
      <c r="AK367" s="138"/>
      <c r="AL367" s="142"/>
    </row>
    <row r="368" ht="20.25" customHeight="1">
      <c r="A368" s="155" t="str">
        <f>IFERROR(__xludf.DUMMYFUNCTION("""COMPUTED_VALUE"""),"HughP")</f>
        <v>HughP</v>
      </c>
      <c r="B368" s="149" t="str">
        <f>IFERROR(__xludf.DUMMYFUNCTION("""COMPUTED_VALUE"""),"Berkshire")</f>
        <v>Berkshire</v>
      </c>
      <c r="C368" s="149"/>
      <c r="D368" s="149" t="str">
        <f>IFERROR(__xludf.DUMMYFUNCTION("""COMPUTED_VALUE"""),"United Kingdom")</f>
        <v>United Kingdom</v>
      </c>
      <c r="E368" s="156">
        <f>IFERROR(__xludf.DUMMYFUNCTION("""COMPUTED_VALUE"""),44402.0)</f>
        <v>44402</v>
      </c>
      <c r="F368" s="129"/>
      <c r="G368" s="154"/>
      <c r="H368" s="131"/>
      <c r="I368" s="144"/>
      <c r="J368" s="129">
        <f>IFERROR(__xludf.DUMMYFUNCTION("""COMPUTED_VALUE"""),44462.0)</f>
        <v>44462</v>
      </c>
      <c r="K368" s="133"/>
      <c r="L368" s="133"/>
      <c r="M368" s="133">
        <f>IFERROR(__xludf.DUMMYFUNCTION("""COMPUTED_VALUE"""),60.0)</f>
        <v>60</v>
      </c>
      <c r="N368" s="152" t="str">
        <f>IFERROR(__xludf.DUMMYFUNCTION("""COMPUTED_VALUE"""),"Model 3 LR AWD")</f>
        <v>Model 3 LR AWD</v>
      </c>
      <c r="O368" s="152" t="str">
        <f>IFERROR(__xludf.DUMMYFUNCTION("""COMPUTED_VALUE"""),"Red Multi-Coat")</f>
        <v>Red Multi-Coat</v>
      </c>
      <c r="P368" s="153" t="str">
        <f>IFERROR(__xludf.DUMMYFUNCTION("""COMPUTED_VALUE"""),"18 inch")</f>
        <v>18 inch</v>
      </c>
      <c r="Q368" s="152" t="str">
        <f>IFERROR(__xludf.DUMMYFUNCTION("""COMPUTED_VALUE"""),"All Black")</f>
        <v>All Black</v>
      </c>
      <c r="R368" s="149" t="str">
        <f>IFERROR(__xludf.DUMMYFUNCTION("""COMPUTED_VALUE"""),"Autopilot included")</f>
        <v>Autopilot included</v>
      </c>
      <c r="S368" s="149" t="str">
        <f>IFERROR(__xludf.DUMMYFUNCTION("""COMPUTED_VALUE"""),"Cash")</f>
        <v>Cash</v>
      </c>
      <c r="T368" s="145" t="str">
        <f>IFERROR(__xludf.DUMMYFUNCTION("""COMPUTED_VALUE"""),"Honda HR-V")</f>
        <v>Honda HR-V</v>
      </c>
      <c r="U368" s="145"/>
      <c r="V368" s="145"/>
      <c r="W368" s="145"/>
      <c r="X368" s="137"/>
      <c r="Y368" s="138"/>
      <c r="Z368" s="138"/>
      <c r="AA368" s="138"/>
      <c r="AB368" s="138"/>
      <c r="AC368" s="139"/>
      <c r="AD368" s="139"/>
      <c r="AE368" s="139"/>
      <c r="AF368" s="140"/>
      <c r="AG368" s="145"/>
      <c r="AH368" s="157">
        <f>IFERROR(__xludf.DUMMYFUNCTION("""COMPUTED_VALUE"""),44432.503162175926)</f>
        <v>44432.50316</v>
      </c>
      <c r="AI368" s="138"/>
      <c r="AJ368" s="138"/>
      <c r="AK368" s="138"/>
      <c r="AL368" s="142"/>
    </row>
    <row r="369" ht="20.25" customHeight="1">
      <c r="A369" s="155" t="str">
        <f>IFERROR(__xludf.DUMMYFUNCTION("""COMPUTED_VALUE"""),"notuniqueenough")</f>
        <v>notuniqueenough</v>
      </c>
      <c r="B369" s="149" t="str">
        <f>IFERROR(__xludf.DUMMYFUNCTION("""COMPUTED_VALUE"""),"RTP")</f>
        <v>RTP</v>
      </c>
      <c r="C369" s="149" t="str">
        <f>IFERROR(__xludf.DUMMYFUNCTION("""COMPUTED_VALUE"""),"NC")</f>
        <v>NC</v>
      </c>
      <c r="D369" s="149" t="str">
        <f>IFERROR(__xludf.DUMMYFUNCTION("""COMPUTED_VALUE"""),"USA")</f>
        <v>USA</v>
      </c>
      <c r="E369" s="156">
        <f>IFERROR(__xludf.DUMMYFUNCTION("""COMPUTED_VALUE"""),44402.0)</f>
        <v>44402</v>
      </c>
      <c r="F369" s="129">
        <f>IFERROR(__xludf.DUMMYFUNCTION("""COMPUTED_VALUE"""),44436.0)</f>
        <v>44436</v>
      </c>
      <c r="G369" s="154" t="str">
        <f>IFERROR(__xludf.DUMMYFUNCTION("""COMPUTED_VALUE"""),"Manage order page (normal text)")</f>
        <v>Manage order page (normal text)</v>
      </c>
      <c r="H369" s="131"/>
      <c r="I369" s="144"/>
      <c r="J369" s="129">
        <f>IFERROR(__xludf.DUMMYFUNCTION("""COMPUTED_VALUE"""),44453.0)</f>
        <v>44453</v>
      </c>
      <c r="K369" s="133">
        <f>IFERROR(__xludf.DUMMYFUNCTION("""COMPUTED_VALUE"""),34.0)</f>
        <v>34</v>
      </c>
      <c r="L369" s="133">
        <f>IFERROR(__xludf.DUMMYFUNCTION("""COMPUTED_VALUE"""),17.0)</f>
        <v>17</v>
      </c>
      <c r="M369" s="133">
        <f>IFERROR(__xludf.DUMMYFUNCTION("""COMPUTED_VALUE"""),51.0)</f>
        <v>51</v>
      </c>
      <c r="N369" s="152" t="str">
        <f>IFERROR(__xludf.DUMMYFUNCTION("""COMPUTED_VALUE"""),"Model 3 LR AWD")</f>
        <v>Model 3 LR AWD</v>
      </c>
      <c r="O369" s="152" t="str">
        <f>IFERROR(__xludf.DUMMYFUNCTION("""COMPUTED_VALUE"""),"Pearl White Multi-Coat")</f>
        <v>Pearl White Multi-Coat</v>
      </c>
      <c r="P369" s="153" t="str">
        <f>IFERROR(__xludf.DUMMYFUNCTION("""COMPUTED_VALUE"""),"18 inch")</f>
        <v>18 inch</v>
      </c>
      <c r="Q369" s="152" t="str">
        <f>IFERROR(__xludf.DUMMYFUNCTION("""COMPUTED_VALUE"""),"Black and White")</f>
        <v>Black and White</v>
      </c>
      <c r="R369" s="149" t="str">
        <f>IFERROR(__xludf.DUMMYFUNCTION("""COMPUTED_VALUE"""),"Autopilot included")</f>
        <v>Autopilot included</v>
      </c>
      <c r="S369" s="149" t="str">
        <f>IFERROR(__xludf.DUMMYFUNCTION("""COMPUTED_VALUE"""),"Loan")</f>
        <v>Loan</v>
      </c>
      <c r="T369" s="145" t="str">
        <f>IFERROR(__xludf.DUMMYFUNCTION("""COMPUTED_VALUE"""),"Mazda CX-5")</f>
        <v>Mazda CX-5</v>
      </c>
      <c r="U369" s="145" t="str">
        <f>IFERROR(__xludf.DUMMYFUNCTION("""COMPUTED_VALUE"""),"Electric!")</f>
        <v>Electric!</v>
      </c>
      <c r="V369" s="145" t="str">
        <f>IFERROR(__xludf.DUMMYFUNCTION("""COMPUTED_VALUE"""),"Apple CarPlay / Android Auto / SiriusXM Radio")</f>
        <v>Apple CarPlay / Android Auto / SiriusXM Radio</v>
      </c>
      <c r="W369" s="145"/>
      <c r="X369" s="137" t="str">
        <f>IFERROR(__xludf.DUMMYFUNCTION("""COMPUTED_VALUE"""),"Good")</f>
        <v>Good</v>
      </c>
      <c r="Y369" s="138" t="str">
        <f>IFERROR(__xludf.DUMMYFUNCTION("""COMPUTED_VALUE"""),"Excellent")</f>
        <v>Excellent</v>
      </c>
      <c r="Z369" s="138" t="str">
        <f>IFERROR(__xludf.DUMMYFUNCTION("""COMPUTED_VALUE"""),"Very Good")</f>
        <v>Very Good</v>
      </c>
      <c r="AA369" s="138" t="str">
        <f>IFERROR(__xludf.DUMMYFUNCTION("""COMPUTED_VALUE"""),"Good")</f>
        <v>Good</v>
      </c>
      <c r="AB369" s="138" t="str">
        <f>IFERROR(__xludf.DUMMYFUNCTION("""COMPUTED_VALUE"""),"Very Good")</f>
        <v>Very Good</v>
      </c>
      <c r="AC369" s="139">
        <f>IFERROR(__xludf.DUMMYFUNCTION("""COMPUTED_VALUE"""),1.0)</f>
        <v>1</v>
      </c>
      <c r="AD369" s="139">
        <f>IFERROR(__xludf.DUMMYFUNCTION("""COMPUTED_VALUE"""),1.0)</f>
        <v>1</v>
      </c>
      <c r="AE369" s="139">
        <f>IFERROR(__xludf.DUMMYFUNCTION("""COMPUTED_VALUE"""),0.0)</f>
        <v>0</v>
      </c>
      <c r="AF369" s="140" t="str">
        <f>IFERROR(__xludf.DUMMYFUNCTION("""COMPUTED_VALUE"""),"No. I took delivery of the first car Tesla was able to deliver.")</f>
        <v>No. I took delivery of the first car Tesla was able to deliver.</v>
      </c>
      <c r="AG369" s="145"/>
      <c r="AH369" s="157">
        <f>IFERROR(__xludf.DUMMYFUNCTION("""COMPUTED_VALUE"""),44454.4133190625)</f>
        <v>44454.41332</v>
      </c>
      <c r="AI369" s="138"/>
      <c r="AJ369" s="138"/>
      <c r="AK369" s="138"/>
      <c r="AL369" s="142"/>
    </row>
    <row r="370" ht="20.25" customHeight="1">
      <c r="A370" s="155" t="str">
        <f>IFERROR(__xludf.DUMMYFUNCTION("""COMPUTED_VALUE"""),"Sophia")</f>
        <v>Sophia</v>
      </c>
      <c r="B370" s="149" t="str">
        <f>IFERROR(__xludf.DUMMYFUNCTION("""COMPUTED_VALUE"""),"Houston")</f>
        <v>Houston</v>
      </c>
      <c r="C370" s="149" t="str">
        <f>IFERROR(__xludf.DUMMYFUNCTION("""COMPUTED_VALUE"""),"TX")</f>
        <v>TX</v>
      </c>
      <c r="D370" s="149" t="str">
        <f>IFERROR(__xludf.DUMMYFUNCTION("""COMPUTED_VALUE"""),"USA")</f>
        <v>USA</v>
      </c>
      <c r="E370" s="156">
        <f>IFERROR(__xludf.DUMMYFUNCTION("""COMPUTED_VALUE"""),44402.0)</f>
        <v>44402</v>
      </c>
      <c r="F370" s="129">
        <f>IFERROR(__xludf.DUMMYFUNCTION("""COMPUTED_VALUE"""),44434.0)</f>
        <v>44434</v>
      </c>
      <c r="G370" s="154" t="str">
        <f>IFERROR(__xludf.DUMMYFUNCTION("""COMPUTED_VALUE"""),"Manage order page (normal text)")</f>
        <v>Manage order page (normal text)</v>
      </c>
      <c r="H370" s="131"/>
      <c r="I370" s="144"/>
      <c r="J370" s="129">
        <f>IFERROR(__xludf.DUMMYFUNCTION("""COMPUTED_VALUE"""),44447.0)</f>
        <v>44447</v>
      </c>
      <c r="K370" s="133">
        <f>IFERROR(__xludf.DUMMYFUNCTION("""COMPUTED_VALUE"""),32.0)</f>
        <v>32</v>
      </c>
      <c r="L370" s="133">
        <f>IFERROR(__xludf.DUMMYFUNCTION("""COMPUTED_VALUE"""),13.0)</f>
        <v>13</v>
      </c>
      <c r="M370" s="133">
        <f>IFERROR(__xludf.DUMMYFUNCTION("""COMPUTED_VALUE"""),45.0)</f>
        <v>45</v>
      </c>
      <c r="N370" s="152" t="str">
        <f>IFERROR(__xludf.DUMMYFUNCTION("""COMPUTED_VALUE"""),"Model 3 SR+")</f>
        <v>Model 3 SR+</v>
      </c>
      <c r="O370" s="152" t="str">
        <f>IFERROR(__xludf.DUMMYFUNCTION("""COMPUTED_VALUE"""),"Pearl White Multi-Coat")</f>
        <v>Pearl White Multi-Coat</v>
      </c>
      <c r="P370" s="153" t="str">
        <f>IFERROR(__xludf.DUMMYFUNCTION("""COMPUTED_VALUE"""),"18 inch")</f>
        <v>18 inch</v>
      </c>
      <c r="Q370" s="152" t="str">
        <f>IFERROR(__xludf.DUMMYFUNCTION("""COMPUTED_VALUE"""),"All Black")</f>
        <v>All Black</v>
      </c>
      <c r="R370" s="149" t="str">
        <f>IFERROR(__xludf.DUMMYFUNCTION("""COMPUTED_VALUE"""),"Autopilot included")</f>
        <v>Autopilot included</v>
      </c>
      <c r="S370" s="149" t="str">
        <f>IFERROR(__xludf.DUMMYFUNCTION("""COMPUTED_VALUE"""),"Loan")</f>
        <v>Loan</v>
      </c>
      <c r="T370" s="145" t="str">
        <f>IFERROR(__xludf.DUMMYFUNCTION("""COMPUTED_VALUE"""),"Volvo S90")</f>
        <v>Volvo S90</v>
      </c>
      <c r="U370" s="145" t="str">
        <f>IFERROR(__xludf.DUMMYFUNCTION("""COMPUTED_VALUE"""),"All-glass roof")</f>
        <v>All-glass roof</v>
      </c>
      <c r="V370" s="145" t="str">
        <f>IFERROR(__xludf.DUMMYFUNCTION("""COMPUTED_VALUE"""),"360° Bird's eye view")</f>
        <v>360° Bird's eye view</v>
      </c>
      <c r="W370" s="136"/>
      <c r="X370" s="137"/>
      <c r="Y370" s="138"/>
      <c r="Z370" s="138"/>
      <c r="AA370" s="138"/>
      <c r="AB370" s="138"/>
      <c r="AC370" s="139"/>
      <c r="AD370" s="139"/>
      <c r="AE370" s="139"/>
      <c r="AF370" s="140" t="str">
        <f>IFERROR(__xludf.DUMMYFUNCTION("""COMPUTED_VALUE"""),"No. I took delivery of the first car Tesla was able to deliver.")</f>
        <v>No. I took delivery of the first car Tesla was able to deliver.</v>
      </c>
      <c r="AG370" s="136"/>
      <c r="AH370" s="157">
        <f>IFERROR(__xludf.DUMMYFUNCTION("""COMPUTED_VALUE"""),44435.3741494213)</f>
        <v>44435.37415</v>
      </c>
      <c r="AI370" s="138"/>
      <c r="AJ370" s="138"/>
      <c r="AK370" s="138"/>
      <c r="AL370" s="142"/>
    </row>
    <row r="371" ht="20.25" customHeight="1">
      <c r="A371" s="155" t="str">
        <f>IFERROR(__xludf.DUMMYFUNCTION("""COMPUTED_VALUE"""),"thebestiam1")</f>
        <v>thebestiam1</v>
      </c>
      <c r="B371" s="149" t="str">
        <f>IFERROR(__xludf.DUMMYFUNCTION("""COMPUTED_VALUE"""),"Bay Area")</f>
        <v>Bay Area</v>
      </c>
      <c r="C371" s="149" t="str">
        <f>IFERROR(__xludf.DUMMYFUNCTION("""COMPUTED_VALUE"""),"CA")</f>
        <v>CA</v>
      </c>
      <c r="D371" s="149" t="str">
        <f>IFERROR(__xludf.DUMMYFUNCTION("""COMPUTED_VALUE"""),"USA")</f>
        <v>USA</v>
      </c>
      <c r="E371" s="156">
        <f>IFERROR(__xludf.DUMMYFUNCTION("""COMPUTED_VALUE"""),44402.0)</f>
        <v>44402</v>
      </c>
      <c r="F371" s="129"/>
      <c r="G371" s="154"/>
      <c r="H371" s="131"/>
      <c r="I371" s="144"/>
      <c r="J371" s="129"/>
      <c r="K371" s="133"/>
      <c r="L371" s="133"/>
      <c r="M371" s="133"/>
      <c r="N371" s="152" t="str">
        <f>IFERROR(__xludf.DUMMYFUNCTION("""COMPUTED_VALUE"""),"Model 3 SR+")</f>
        <v>Model 3 SR+</v>
      </c>
      <c r="O371" s="152" t="str">
        <f>IFERROR(__xludf.DUMMYFUNCTION("""COMPUTED_VALUE"""),"Midnight Silver Metallic")</f>
        <v>Midnight Silver Metallic</v>
      </c>
      <c r="P371" s="153" t="str">
        <f>IFERROR(__xludf.DUMMYFUNCTION("""COMPUTED_VALUE"""),"19 inch")</f>
        <v>19 inch</v>
      </c>
      <c r="Q371" s="152" t="str">
        <f>IFERROR(__xludf.DUMMYFUNCTION("""COMPUTED_VALUE"""),"All Black")</f>
        <v>All Black</v>
      </c>
      <c r="R371" s="149" t="str">
        <f>IFERROR(__xludf.DUMMYFUNCTION("""COMPUTED_VALUE"""),"Autopilot included")</f>
        <v>Autopilot included</v>
      </c>
      <c r="S371" s="149"/>
      <c r="T371" s="145" t="str">
        <f>IFERROR(__xludf.DUMMYFUNCTION("""COMPUTED_VALUE"""),"Tesla Model S")</f>
        <v>Tesla Model S</v>
      </c>
      <c r="U371" s="145" t="str">
        <f>IFERROR(__xludf.DUMMYFUNCTION("""COMPUTED_VALUE"""),"Autopilot")</f>
        <v>Autopilot</v>
      </c>
      <c r="V371" s="145" t="str">
        <f>IFERROR(__xludf.DUMMYFUNCTION("""COMPUTED_VALUE"""),"Air suspension")</f>
        <v>Air suspension</v>
      </c>
      <c r="W371" s="136"/>
      <c r="X371" s="137"/>
      <c r="Y371" s="138"/>
      <c r="Z371" s="138"/>
      <c r="AA371" s="138"/>
      <c r="AB371" s="138"/>
      <c r="AC371" s="139"/>
      <c r="AD371" s="139"/>
      <c r="AE371" s="139"/>
      <c r="AF371" s="140"/>
      <c r="AG371" s="136"/>
      <c r="AH371" s="157">
        <f>IFERROR(__xludf.DUMMYFUNCTION("""COMPUTED_VALUE"""),44430.6982916088)</f>
        <v>44430.69829</v>
      </c>
      <c r="AI371" s="138"/>
      <c r="AJ371" s="138"/>
      <c r="AK371" s="138"/>
      <c r="AL371" s="142"/>
    </row>
    <row r="372" ht="20.25" customHeight="1">
      <c r="A372" s="155" t="str">
        <f>IFERROR(__xludf.DUMMYFUNCTION("""COMPUTED_VALUE"""),"Dr_Hamz")</f>
        <v>Dr_Hamz</v>
      </c>
      <c r="B372" s="149" t="str">
        <f>IFERROR(__xludf.DUMMYFUNCTION("""COMPUTED_VALUE"""),"Dallas")</f>
        <v>Dallas</v>
      </c>
      <c r="C372" s="149" t="str">
        <f>IFERROR(__xludf.DUMMYFUNCTION("""COMPUTED_VALUE"""),"TX")</f>
        <v>TX</v>
      </c>
      <c r="D372" s="149" t="str">
        <f>IFERROR(__xludf.DUMMYFUNCTION("""COMPUTED_VALUE"""),"USA")</f>
        <v>USA</v>
      </c>
      <c r="E372" s="156">
        <f>IFERROR(__xludf.DUMMYFUNCTION("""COMPUTED_VALUE"""),44401.0)</f>
        <v>44401</v>
      </c>
      <c r="F372" s="129"/>
      <c r="G372" s="154"/>
      <c r="H372" s="131"/>
      <c r="I372" s="144"/>
      <c r="J372" s="129">
        <f>IFERROR(__xludf.DUMMYFUNCTION("""COMPUTED_VALUE"""),44463.0)</f>
        <v>44463</v>
      </c>
      <c r="K372" s="133"/>
      <c r="L372" s="133"/>
      <c r="M372" s="133">
        <f>IFERROR(__xludf.DUMMYFUNCTION("""COMPUTED_VALUE"""),62.0)</f>
        <v>62</v>
      </c>
      <c r="N372" s="152" t="str">
        <f>IFERROR(__xludf.DUMMYFUNCTION("""COMPUTED_VALUE"""),"Model 3 LR AWD")</f>
        <v>Model 3 LR AWD</v>
      </c>
      <c r="O372" s="152" t="str">
        <f>IFERROR(__xludf.DUMMYFUNCTION("""COMPUTED_VALUE"""),"Deep Blue Metallic")</f>
        <v>Deep Blue Metallic</v>
      </c>
      <c r="P372" s="153" t="str">
        <f>IFERROR(__xludf.DUMMYFUNCTION("""COMPUTED_VALUE"""),"19 inch")</f>
        <v>19 inch</v>
      </c>
      <c r="Q372" s="152" t="str">
        <f>IFERROR(__xludf.DUMMYFUNCTION("""COMPUTED_VALUE"""),"Black and White")</f>
        <v>Black and White</v>
      </c>
      <c r="R372" s="149" t="str">
        <f>IFERROR(__xludf.DUMMYFUNCTION("""COMPUTED_VALUE"""),"Autopilot included")</f>
        <v>Autopilot included</v>
      </c>
      <c r="S372" s="149" t="str">
        <f>IFERROR(__xludf.DUMMYFUNCTION("""COMPUTED_VALUE"""),"Loan")</f>
        <v>Loan</v>
      </c>
      <c r="T372" s="145" t="str">
        <f>IFERROR(__xludf.DUMMYFUNCTION("""COMPUTED_VALUE"""),"BMW 5 Series")</f>
        <v>BMW 5 Series</v>
      </c>
      <c r="U372" s="145" t="str">
        <f>IFERROR(__xludf.DUMMYFUNCTION("""COMPUTED_VALUE"""),"Electric!")</f>
        <v>Electric!</v>
      </c>
      <c r="V372" s="145"/>
      <c r="W372" s="136"/>
      <c r="X372" s="137"/>
      <c r="Y372" s="138"/>
      <c r="Z372" s="138"/>
      <c r="AA372" s="138"/>
      <c r="AB372" s="138"/>
      <c r="AC372" s="139"/>
      <c r="AD372" s="139"/>
      <c r="AE372" s="139"/>
      <c r="AF372" s="140"/>
      <c r="AG372" s="136"/>
      <c r="AH372" s="157">
        <f>IFERROR(__xludf.DUMMYFUNCTION("""COMPUTED_VALUE"""),44425.4555029051)</f>
        <v>44425.4555</v>
      </c>
      <c r="AI372" s="138"/>
      <c r="AJ372" s="138"/>
      <c r="AK372" s="138"/>
      <c r="AL372" s="142"/>
    </row>
    <row r="373" ht="20.25" customHeight="1">
      <c r="A373" s="155" t="str">
        <f>IFERROR(__xludf.DUMMYFUNCTION("""COMPUTED_VALUE"""),"JTrow9")</f>
        <v>JTrow9</v>
      </c>
      <c r="B373" s="149" t="str">
        <f>IFERROR(__xludf.DUMMYFUNCTION("""COMPUTED_VALUE"""),"Salem")</f>
        <v>Salem</v>
      </c>
      <c r="C373" s="149" t="str">
        <f>IFERROR(__xludf.DUMMYFUNCTION("""COMPUTED_VALUE"""),"OR")</f>
        <v>OR</v>
      </c>
      <c r="D373" s="149" t="str">
        <f>IFERROR(__xludf.DUMMYFUNCTION("""COMPUTED_VALUE"""),"USA")</f>
        <v>USA</v>
      </c>
      <c r="E373" s="156">
        <f>IFERROR(__xludf.DUMMYFUNCTION("""COMPUTED_VALUE"""),44401.0)</f>
        <v>44401</v>
      </c>
      <c r="F373" s="129"/>
      <c r="G373" s="154"/>
      <c r="H373" s="131"/>
      <c r="I373" s="144"/>
      <c r="J373" s="129"/>
      <c r="K373" s="133"/>
      <c r="L373" s="133"/>
      <c r="M373" s="133"/>
      <c r="N373" s="152" t="str">
        <f>IFERROR(__xludf.DUMMYFUNCTION("""COMPUTED_VALUE"""),"Model 3 LR AWD")</f>
        <v>Model 3 LR AWD</v>
      </c>
      <c r="O373" s="152" t="str">
        <f>IFERROR(__xludf.DUMMYFUNCTION("""COMPUTED_VALUE"""),"Pearl White Multi-Coat")</f>
        <v>Pearl White Multi-Coat</v>
      </c>
      <c r="P373" s="153" t="str">
        <f>IFERROR(__xludf.DUMMYFUNCTION("""COMPUTED_VALUE"""),"18 inch")</f>
        <v>18 inch</v>
      </c>
      <c r="Q373" s="152" t="str">
        <f>IFERROR(__xludf.DUMMYFUNCTION("""COMPUTED_VALUE"""),"Black and White")</f>
        <v>Black and White</v>
      </c>
      <c r="R373" s="149" t="str">
        <f>IFERROR(__xludf.DUMMYFUNCTION("""COMPUTED_VALUE"""),"Autopilot included")</f>
        <v>Autopilot included</v>
      </c>
      <c r="S373" s="149" t="str">
        <f>IFERROR(__xludf.DUMMYFUNCTION("""COMPUTED_VALUE"""),"Loan")</f>
        <v>Loan</v>
      </c>
      <c r="T373" s="145" t="str">
        <f>IFERROR(__xludf.DUMMYFUNCTION("""COMPUTED_VALUE"""),"Toyota 4Runner")</f>
        <v>Toyota 4Runner</v>
      </c>
      <c r="U373" s="145" t="str">
        <f>IFERROR(__xludf.DUMMYFUNCTION("""COMPUTED_VALUE"""),"Electric!")</f>
        <v>Electric!</v>
      </c>
      <c r="V373" s="145" t="str">
        <f>IFERROR(__xludf.DUMMYFUNCTION("""COMPUTED_VALUE"""),"Ventilated seats")</f>
        <v>Ventilated seats</v>
      </c>
      <c r="W373" s="136"/>
      <c r="X373" s="137"/>
      <c r="Y373" s="138"/>
      <c r="Z373" s="138"/>
      <c r="AA373" s="138"/>
      <c r="AB373" s="138"/>
      <c r="AC373" s="139"/>
      <c r="AD373" s="139"/>
      <c r="AE373" s="139"/>
      <c r="AF373" s="140"/>
      <c r="AG373" s="136"/>
      <c r="AH373" s="157">
        <f>IFERROR(__xludf.DUMMYFUNCTION("""COMPUTED_VALUE"""),44422.284348506946)</f>
        <v>44422.28435</v>
      </c>
      <c r="AI373" s="138"/>
      <c r="AJ373" s="138"/>
      <c r="AK373" s="138"/>
      <c r="AL373" s="142"/>
    </row>
    <row r="374" ht="20.25" customHeight="1">
      <c r="A374" s="155" t="str">
        <f>IFERROR(__xludf.DUMMYFUNCTION("""COMPUTED_VALUE"""),"Micklethepickle")</f>
        <v>Micklethepickle</v>
      </c>
      <c r="B374" s="149" t="str">
        <f>IFERROR(__xludf.DUMMYFUNCTION("""COMPUTED_VALUE"""),"Boulder")</f>
        <v>Boulder</v>
      </c>
      <c r="C374" s="149" t="str">
        <f>IFERROR(__xludf.DUMMYFUNCTION("""COMPUTED_VALUE"""),"CO")</f>
        <v>CO</v>
      </c>
      <c r="D374" s="149" t="str">
        <f>IFERROR(__xludf.DUMMYFUNCTION("""COMPUTED_VALUE"""),"USA")</f>
        <v>USA</v>
      </c>
      <c r="E374" s="156">
        <f>IFERROR(__xludf.DUMMYFUNCTION("""COMPUTED_VALUE"""),44401.0)</f>
        <v>44401</v>
      </c>
      <c r="F374" s="129">
        <f>IFERROR(__xludf.DUMMYFUNCTION("""COMPUTED_VALUE"""),44441.0)</f>
        <v>44441</v>
      </c>
      <c r="G374" s="154" t="str">
        <f>IFERROR(__xludf.DUMMYFUNCTION("""COMPUTED_VALUE"""),"Manage order page (normal text)")</f>
        <v>Manage order page (normal text)</v>
      </c>
      <c r="H374" s="131">
        <f>IFERROR(__xludf.DUMMYFUNCTION("""COMPUTED_VALUE"""),56655.0)</f>
        <v>56655</v>
      </c>
      <c r="I374" s="144"/>
      <c r="J374" s="129">
        <f>IFERROR(__xludf.DUMMYFUNCTION("""COMPUTED_VALUE"""),44452.0)</f>
        <v>44452</v>
      </c>
      <c r="K374" s="133">
        <f>IFERROR(__xludf.DUMMYFUNCTION("""COMPUTED_VALUE"""),40.0)</f>
        <v>40</v>
      </c>
      <c r="L374" s="133">
        <f>IFERROR(__xludf.DUMMYFUNCTION("""COMPUTED_VALUE"""),11.0)</f>
        <v>11</v>
      </c>
      <c r="M374" s="133">
        <f>IFERROR(__xludf.DUMMYFUNCTION("""COMPUTED_VALUE"""),51.0)</f>
        <v>51</v>
      </c>
      <c r="N374" s="152" t="str">
        <f>IFERROR(__xludf.DUMMYFUNCTION("""COMPUTED_VALUE"""),"Model 3 LR AWD")</f>
        <v>Model 3 LR AWD</v>
      </c>
      <c r="O374" s="152" t="str">
        <f>IFERROR(__xludf.DUMMYFUNCTION("""COMPUTED_VALUE"""),"Pearl White Multi-Coat")</f>
        <v>Pearl White Multi-Coat</v>
      </c>
      <c r="P374" s="153" t="str">
        <f>IFERROR(__xludf.DUMMYFUNCTION("""COMPUTED_VALUE"""),"18 inch")</f>
        <v>18 inch</v>
      </c>
      <c r="Q374" s="152" t="str">
        <f>IFERROR(__xludf.DUMMYFUNCTION("""COMPUTED_VALUE"""),"All Black")</f>
        <v>All Black</v>
      </c>
      <c r="R374" s="149" t="str">
        <f>IFERROR(__xludf.DUMMYFUNCTION("""COMPUTED_VALUE"""),"Autopilot included")</f>
        <v>Autopilot included</v>
      </c>
      <c r="S374" s="149" t="str">
        <f>IFERROR(__xludf.DUMMYFUNCTION("""COMPUTED_VALUE"""),"Lease")</f>
        <v>Lease</v>
      </c>
      <c r="T374" s="145" t="str">
        <f>IFERROR(__xludf.DUMMYFUNCTION("""COMPUTED_VALUE"""),"Volkswagen Passat ")</f>
        <v>Volkswagen Passat </v>
      </c>
      <c r="U374" s="145" t="str">
        <f>IFERROR(__xludf.DUMMYFUNCTION("""COMPUTED_VALUE"""),"Electric!")</f>
        <v>Electric!</v>
      </c>
      <c r="V374" s="145" t="str">
        <f>IFERROR(__xludf.DUMMYFUNCTION("""COMPUTED_VALUE"""),"Apple CarPlay / Android Auto / SiriusXM Radio")</f>
        <v>Apple CarPlay / Android Auto / SiriusXM Radio</v>
      </c>
      <c r="W374" s="145" t="str">
        <f>IFERROR(__xludf.DUMMYFUNCTION("""COMPUTED_VALUE"""),"Make sure you select Cash so you don’t have to stress about Financing until you get your VIN!")</f>
        <v>Make sure you select Cash so you don’t have to stress about Financing until you get your VIN!</v>
      </c>
      <c r="X374" s="137" t="str">
        <f>IFERROR(__xludf.DUMMYFUNCTION("""COMPUTED_VALUE"""),"Excellent")</f>
        <v>Excellent</v>
      </c>
      <c r="Y374" s="138" t="str">
        <f>IFERROR(__xludf.DUMMYFUNCTION("""COMPUTED_VALUE"""),"Excellent")</f>
        <v>Excellent</v>
      </c>
      <c r="Z374" s="138" t="str">
        <f>IFERROR(__xludf.DUMMYFUNCTION("""COMPUTED_VALUE"""),"Very Good")</f>
        <v>Very Good</v>
      </c>
      <c r="AA374" s="138" t="str">
        <f>IFERROR(__xludf.DUMMYFUNCTION("""COMPUTED_VALUE"""),"Very Good")</f>
        <v>Very Good</v>
      </c>
      <c r="AB374" s="138" t="str">
        <f>IFERROR(__xludf.DUMMYFUNCTION("""COMPUTED_VALUE"""),"Very Good")</f>
        <v>Very Good</v>
      </c>
      <c r="AC374" s="139">
        <f>IFERROR(__xludf.DUMMYFUNCTION("""COMPUTED_VALUE"""),0.0)</f>
        <v>0</v>
      </c>
      <c r="AD374" s="139">
        <f>IFERROR(__xludf.DUMMYFUNCTION("""COMPUTED_VALUE"""),0.0)</f>
        <v>0</v>
      </c>
      <c r="AE374" s="139">
        <f>IFERROR(__xludf.DUMMYFUNCTION("""COMPUTED_VALUE"""),0.0)</f>
        <v>0</v>
      </c>
      <c r="AF374" s="140" t="str">
        <f>IFERROR(__xludf.DUMMYFUNCTION("""COMPUTED_VALUE"""),"No. I took delivery of the first car Tesla was able to deliver.")</f>
        <v>No. I took delivery of the first car Tesla was able to deliver.</v>
      </c>
      <c r="AG374" s="145" t="str">
        <f>IFERROR(__xludf.DUMMYFUNCTION("""COMPUTED_VALUE"""),"The new model 3 long range does have heated steering wheels :)")</f>
        <v>The new model 3 long range does have heated steering wheels :)</v>
      </c>
      <c r="AH374" s="157">
        <f>IFERROR(__xludf.DUMMYFUNCTION("""COMPUTED_VALUE"""),44455.27079732639)</f>
        <v>44455.2708</v>
      </c>
      <c r="AI374" s="138"/>
      <c r="AJ374" s="138"/>
      <c r="AK374" s="138"/>
      <c r="AL374" s="142"/>
    </row>
    <row r="375" ht="20.25" customHeight="1">
      <c r="A375" s="155" t="str">
        <f>IFERROR(__xludf.DUMMYFUNCTION("""COMPUTED_VALUE"""),"MYoung")</f>
        <v>MYoung</v>
      </c>
      <c r="B375" s="149" t="str">
        <f>IFERROR(__xludf.DUMMYFUNCTION("""COMPUTED_VALUE"""),"Owings Mills")</f>
        <v>Owings Mills</v>
      </c>
      <c r="C375" s="149" t="str">
        <f>IFERROR(__xludf.DUMMYFUNCTION("""COMPUTED_VALUE"""),"MD")</f>
        <v>MD</v>
      </c>
      <c r="D375" s="149" t="str">
        <f>IFERROR(__xludf.DUMMYFUNCTION("""COMPUTED_VALUE"""),"USA")</f>
        <v>USA</v>
      </c>
      <c r="E375" s="156">
        <f>IFERROR(__xludf.DUMMYFUNCTION("""COMPUTED_VALUE"""),44401.0)</f>
        <v>44401</v>
      </c>
      <c r="F375" s="129">
        <f>IFERROR(__xludf.DUMMYFUNCTION("""COMPUTED_VALUE"""),44434.0)</f>
        <v>44434</v>
      </c>
      <c r="G375" s="154" t="str">
        <f>IFERROR(__xludf.DUMMYFUNCTION("""COMPUTED_VALUE"""),"Email")</f>
        <v>Email</v>
      </c>
      <c r="H375" s="131"/>
      <c r="I375" s="144"/>
      <c r="J375" s="129">
        <f>IFERROR(__xludf.DUMMYFUNCTION("""COMPUTED_VALUE"""),44449.0)</f>
        <v>44449</v>
      </c>
      <c r="K375" s="133">
        <f>IFERROR(__xludf.DUMMYFUNCTION("""COMPUTED_VALUE"""),33.0)</f>
        <v>33</v>
      </c>
      <c r="L375" s="133">
        <f>IFERROR(__xludf.DUMMYFUNCTION("""COMPUTED_VALUE"""),15.0)</f>
        <v>15</v>
      </c>
      <c r="M375" s="133">
        <f>IFERROR(__xludf.DUMMYFUNCTION("""COMPUTED_VALUE"""),48.0)</f>
        <v>48</v>
      </c>
      <c r="N375" s="152" t="str">
        <f>IFERROR(__xludf.DUMMYFUNCTION("""COMPUTED_VALUE"""),"Model 3 LR AWD")</f>
        <v>Model 3 LR AWD</v>
      </c>
      <c r="O375" s="152" t="str">
        <f>IFERROR(__xludf.DUMMYFUNCTION("""COMPUTED_VALUE"""),"Solid Black")</f>
        <v>Solid Black</v>
      </c>
      <c r="P375" s="153" t="str">
        <f>IFERROR(__xludf.DUMMYFUNCTION("""COMPUTED_VALUE"""),"18 inch")</f>
        <v>18 inch</v>
      </c>
      <c r="Q375" s="152" t="str">
        <f>IFERROR(__xludf.DUMMYFUNCTION("""COMPUTED_VALUE"""),"All Black")</f>
        <v>All Black</v>
      </c>
      <c r="R375" s="149" t="str">
        <f>IFERROR(__xludf.DUMMYFUNCTION("""COMPUTED_VALUE"""),"Autopilot included")</f>
        <v>Autopilot included</v>
      </c>
      <c r="S375" s="149" t="str">
        <f>IFERROR(__xludf.DUMMYFUNCTION("""COMPUTED_VALUE"""),"Cash")</f>
        <v>Cash</v>
      </c>
      <c r="T375" s="145"/>
      <c r="U375" s="145" t="str">
        <f>IFERROR(__xludf.DUMMYFUNCTION("""COMPUTED_VALUE"""),"Luxury Performance - High Tech!")</f>
        <v>Luxury Performance - High Tech!</v>
      </c>
      <c r="V375" s="145" t="str">
        <f>IFERROR(__xludf.DUMMYFUNCTION("""COMPUTED_VALUE"""),"A/C Ventilated Seats")</f>
        <v>A/C Ventilated Seats</v>
      </c>
      <c r="W375" s="136"/>
      <c r="X375" s="137"/>
      <c r="Y375" s="138"/>
      <c r="Z375" s="138"/>
      <c r="AA375" s="138"/>
      <c r="AB375" s="138"/>
      <c r="AC375" s="139"/>
      <c r="AD375" s="139"/>
      <c r="AE375" s="139"/>
      <c r="AF375" s="140"/>
      <c r="AG375" s="136" t="str">
        <f>IFERROR(__xludf.DUMMYFUNCTION("""COMPUTED_VALUE"""),"On 8/20/2021 my ETA range reduced to 12 days")</f>
        <v>On 8/20/2021 my ETA range reduced to 12 days</v>
      </c>
      <c r="AH375" s="157">
        <f>IFERROR(__xludf.DUMMYFUNCTION("""COMPUTED_VALUE"""),44434.696274444446)</f>
        <v>44434.69627</v>
      </c>
      <c r="AI375" s="138"/>
      <c r="AJ375" s="138"/>
      <c r="AK375" s="138"/>
      <c r="AL375" s="142"/>
    </row>
    <row r="376" ht="20.25" customHeight="1">
      <c r="A376" s="155" t="str">
        <f>IFERROR(__xludf.DUMMYFUNCTION("""COMPUTED_VALUE"""),"EwOilChanges")</f>
        <v>EwOilChanges</v>
      </c>
      <c r="B376" s="149" t="str">
        <f>IFERROR(__xludf.DUMMYFUNCTION("""COMPUTED_VALUE"""),"DMV")</f>
        <v>DMV</v>
      </c>
      <c r="C376" s="149" t="str">
        <f>IFERROR(__xludf.DUMMYFUNCTION("""COMPUTED_VALUE"""),"MD")</f>
        <v>MD</v>
      </c>
      <c r="D376" s="149" t="str">
        <f>IFERROR(__xludf.DUMMYFUNCTION("""COMPUTED_VALUE"""),"USA")</f>
        <v>USA</v>
      </c>
      <c r="E376" s="156">
        <f>IFERROR(__xludf.DUMMYFUNCTION("""COMPUTED_VALUE"""),44400.0)</f>
        <v>44400</v>
      </c>
      <c r="F376" s="129">
        <f>IFERROR(__xludf.DUMMYFUNCTION("""COMPUTED_VALUE"""),44435.0)</f>
        <v>44435</v>
      </c>
      <c r="G376" s="154" t="str">
        <f>IFERROR(__xludf.DUMMYFUNCTION("""COMPUTED_VALUE"""),"Manage order page (normal text)")</f>
        <v>Manage order page (normal text)</v>
      </c>
      <c r="H376" s="131"/>
      <c r="I376" s="144"/>
      <c r="J376" s="129"/>
      <c r="K376" s="133">
        <f>IFERROR(__xludf.DUMMYFUNCTION("""COMPUTED_VALUE"""),35.0)</f>
        <v>35</v>
      </c>
      <c r="L376" s="133"/>
      <c r="M376" s="133"/>
      <c r="N376" s="152" t="str">
        <f>IFERROR(__xludf.DUMMYFUNCTION("""COMPUTED_VALUE"""),"Model 3 LR AWD")</f>
        <v>Model 3 LR AWD</v>
      </c>
      <c r="O376" s="152" t="str">
        <f>IFERROR(__xludf.DUMMYFUNCTION("""COMPUTED_VALUE"""),"Deep Blue Metallic")</f>
        <v>Deep Blue Metallic</v>
      </c>
      <c r="P376" s="153" t="str">
        <f>IFERROR(__xludf.DUMMYFUNCTION("""COMPUTED_VALUE"""),"18 inch")</f>
        <v>18 inch</v>
      </c>
      <c r="Q376" s="152" t="str">
        <f>IFERROR(__xludf.DUMMYFUNCTION("""COMPUTED_VALUE"""),"Black and White")</f>
        <v>Black and White</v>
      </c>
      <c r="R376" s="149" t="str">
        <f>IFERROR(__xludf.DUMMYFUNCTION("""COMPUTED_VALUE"""),"Autopilot included")</f>
        <v>Autopilot included</v>
      </c>
      <c r="S376" s="149"/>
      <c r="T376" s="145"/>
      <c r="U376" s="145" t="str">
        <f>IFERROR(__xludf.DUMMYFUNCTION("""COMPUTED_VALUE"""),"Electric!")</f>
        <v>Electric!</v>
      </c>
      <c r="V376" s="145" t="str">
        <f>IFERROR(__xludf.DUMMYFUNCTION("""COMPUTED_VALUE"""),"Air suspension")</f>
        <v>Air suspension</v>
      </c>
      <c r="W376" s="136"/>
      <c r="X376" s="137"/>
      <c r="Y376" s="138"/>
      <c r="Z376" s="138"/>
      <c r="AA376" s="138"/>
      <c r="AB376" s="138"/>
      <c r="AC376" s="139"/>
      <c r="AD376" s="139"/>
      <c r="AE376" s="139"/>
      <c r="AF376" s="140"/>
      <c r="AG376" s="136"/>
      <c r="AH376" s="157">
        <f>IFERROR(__xludf.DUMMYFUNCTION("""COMPUTED_VALUE"""),44435.68656271991)</f>
        <v>44435.68656</v>
      </c>
      <c r="AI376" s="138"/>
      <c r="AJ376" s="138"/>
      <c r="AK376" s="138"/>
      <c r="AL376" s="142"/>
    </row>
    <row r="377" ht="20.25" customHeight="1">
      <c r="A377" s="155" t="str">
        <f>IFERROR(__xludf.DUMMYFUNCTION("""COMPUTED_VALUE"""),"FlyingAnon3s")</f>
        <v>FlyingAnon3s</v>
      </c>
      <c r="B377" s="149" t="str">
        <f>IFERROR(__xludf.DUMMYFUNCTION("""COMPUTED_VALUE"""),"Bay Area")</f>
        <v>Bay Area</v>
      </c>
      <c r="C377" s="149" t="str">
        <f>IFERROR(__xludf.DUMMYFUNCTION("""COMPUTED_VALUE"""),"CA")</f>
        <v>CA</v>
      </c>
      <c r="D377" s="149" t="str">
        <f>IFERROR(__xludf.DUMMYFUNCTION("""COMPUTED_VALUE"""),"USA")</f>
        <v>USA</v>
      </c>
      <c r="E377" s="156">
        <f>IFERROR(__xludf.DUMMYFUNCTION("""COMPUTED_VALUE"""),44400.0)</f>
        <v>44400</v>
      </c>
      <c r="F377" s="129">
        <f>IFERROR(__xludf.DUMMYFUNCTION("""COMPUTED_VALUE"""),44453.0)</f>
        <v>44453</v>
      </c>
      <c r="G377" s="154" t="str">
        <f>IFERROR(__xludf.DUMMYFUNCTION("""COMPUTED_VALUE"""),"Manage order page (normal text)")</f>
        <v>Manage order page (normal text)</v>
      </c>
      <c r="H377" s="131"/>
      <c r="I377" s="144"/>
      <c r="J377" s="129">
        <f>IFERROR(__xludf.DUMMYFUNCTION("""COMPUTED_VALUE"""),44454.0)</f>
        <v>44454</v>
      </c>
      <c r="K377" s="133">
        <f>IFERROR(__xludf.DUMMYFUNCTION("""COMPUTED_VALUE"""),53.0)</f>
        <v>53</v>
      </c>
      <c r="L377" s="133">
        <f>IFERROR(__xludf.DUMMYFUNCTION("""COMPUTED_VALUE"""),1.0)</f>
        <v>1</v>
      </c>
      <c r="M377" s="133">
        <f>IFERROR(__xludf.DUMMYFUNCTION("""COMPUTED_VALUE"""),54.0)</f>
        <v>54</v>
      </c>
      <c r="N377" s="152" t="str">
        <f>IFERROR(__xludf.DUMMYFUNCTION("""COMPUTED_VALUE"""),"Model 3 LR AWD")</f>
        <v>Model 3 LR AWD</v>
      </c>
      <c r="O377" s="152" t="str">
        <f>IFERROR(__xludf.DUMMYFUNCTION("""COMPUTED_VALUE"""),"Red Multi-Coat")</f>
        <v>Red Multi-Coat</v>
      </c>
      <c r="P377" s="153" t="str">
        <f>IFERROR(__xludf.DUMMYFUNCTION("""COMPUTED_VALUE"""),"18 inch")</f>
        <v>18 inch</v>
      </c>
      <c r="Q377" s="152" t="str">
        <f>IFERROR(__xludf.DUMMYFUNCTION("""COMPUTED_VALUE"""),"All Black")</f>
        <v>All Black</v>
      </c>
      <c r="R377" s="149" t="str">
        <f>IFERROR(__xludf.DUMMYFUNCTION("""COMPUTED_VALUE"""),"Autopilot included")</f>
        <v>Autopilot included</v>
      </c>
      <c r="S377" s="149" t="str">
        <f>IFERROR(__xludf.DUMMYFUNCTION("""COMPUTED_VALUE"""),"Loan")</f>
        <v>Loan</v>
      </c>
      <c r="T377" s="145" t="str">
        <f>IFERROR(__xludf.DUMMYFUNCTION("""COMPUTED_VALUE"""),"Model 3 will be my first car!")</f>
        <v>Model 3 will be my first car!</v>
      </c>
      <c r="U377" s="145" t="str">
        <f>IFERROR(__xludf.DUMMYFUNCTION("""COMPUTED_VALUE"""),"Electric!")</f>
        <v>Electric!</v>
      </c>
      <c r="V377" s="145" t="str">
        <f>IFERROR(__xludf.DUMMYFUNCTION("""COMPUTED_VALUE"""),"360° Bird's eye view")</f>
        <v>360° Bird's eye view</v>
      </c>
      <c r="W377" s="145"/>
      <c r="X377" s="137" t="str">
        <f>IFERROR(__xludf.DUMMYFUNCTION("""COMPUTED_VALUE"""),"Excellent")</f>
        <v>Excellent</v>
      </c>
      <c r="Y377" s="138" t="str">
        <f>IFERROR(__xludf.DUMMYFUNCTION("""COMPUTED_VALUE"""),"Excellent")</f>
        <v>Excellent</v>
      </c>
      <c r="Z377" s="138" t="str">
        <f>IFERROR(__xludf.DUMMYFUNCTION("""COMPUTED_VALUE"""),"Excellent")</f>
        <v>Excellent</v>
      </c>
      <c r="AA377" s="138" t="str">
        <f>IFERROR(__xludf.DUMMYFUNCTION("""COMPUTED_VALUE"""),"Excellent")</f>
        <v>Excellent</v>
      </c>
      <c r="AB377" s="138" t="str">
        <f>IFERROR(__xludf.DUMMYFUNCTION("""COMPUTED_VALUE"""),"Excellent")</f>
        <v>Excellent</v>
      </c>
      <c r="AC377" s="139"/>
      <c r="AD377" s="139"/>
      <c r="AE377" s="139"/>
      <c r="AF377" s="140"/>
      <c r="AG377" s="145"/>
      <c r="AH377" s="157">
        <f>IFERROR(__xludf.DUMMYFUNCTION("""COMPUTED_VALUE"""),44454.59282553241)</f>
        <v>44454.59283</v>
      </c>
      <c r="AI377" s="138"/>
      <c r="AJ377" s="138"/>
      <c r="AK377" s="138"/>
      <c r="AL377" s="142"/>
    </row>
    <row r="378" ht="20.25" customHeight="1">
      <c r="A378" s="155" t="str">
        <f>IFERROR(__xludf.DUMMYFUNCTION("""COMPUTED_VALUE"""),"Haber")</f>
        <v>Haber</v>
      </c>
      <c r="B378" s="149" t="str">
        <f>IFERROR(__xludf.DUMMYFUNCTION("""COMPUTED_VALUE"""),"Vancouver")</f>
        <v>Vancouver</v>
      </c>
      <c r="C378" s="149" t="str">
        <f>IFERROR(__xludf.DUMMYFUNCTION("""COMPUTED_VALUE"""),"BC")</f>
        <v>BC</v>
      </c>
      <c r="D378" s="149" t="str">
        <f>IFERROR(__xludf.DUMMYFUNCTION("""COMPUTED_VALUE"""),"Canada")</f>
        <v>Canada</v>
      </c>
      <c r="E378" s="156">
        <f>IFERROR(__xludf.DUMMYFUNCTION("""COMPUTED_VALUE"""),44400.0)</f>
        <v>44400</v>
      </c>
      <c r="F378" s="129"/>
      <c r="G378" s="154"/>
      <c r="H378" s="131"/>
      <c r="I378" s="144"/>
      <c r="J378" s="129"/>
      <c r="K378" s="133"/>
      <c r="L378" s="133"/>
      <c r="M378" s="133"/>
      <c r="N378" s="152" t="str">
        <f>IFERROR(__xludf.DUMMYFUNCTION("""COMPUTED_VALUE"""),"Model 3 SR+")</f>
        <v>Model 3 SR+</v>
      </c>
      <c r="O378" s="152" t="str">
        <f>IFERROR(__xludf.DUMMYFUNCTION("""COMPUTED_VALUE"""),"Pearl White Multi-Coat")</f>
        <v>Pearl White Multi-Coat</v>
      </c>
      <c r="P378" s="153" t="str">
        <f>IFERROR(__xludf.DUMMYFUNCTION("""COMPUTED_VALUE"""),"19 inch")</f>
        <v>19 inch</v>
      </c>
      <c r="Q378" s="152" t="str">
        <f>IFERROR(__xludf.DUMMYFUNCTION("""COMPUTED_VALUE"""),"All Black")</f>
        <v>All Black</v>
      </c>
      <c r="R378" s="149" t="str">
        <f>IFERROR(__xludf.DUMMYFUNCTION("""COMPUTED_VALUE"""),"Autopilot included")</f>
        <v>Autopilot included</v>
      </c>
      <c r="S378" s="149" t="str">
        <f>IFERROR(__xludf.DUMMYFUNCTION("""COMPUTED_VALUE"""),"Loan")</f>
        <v>Loan</v>
      </c>
      <c r="T378" s="145"/>
      <c r="U378" s="145"/>
      <c r="V378" s="145"/>
      <c r="W378" s="145"/>
      <c r="X378" s="137"/>
      <c r="Y378" s="138"/>
      <c r="Z378" s="138"/>
      <c r="AA378" s="138"/>
      <c r="AB378" s="138"/>
      <c r="AC378" s="139"/>
      <c r="AD378" s="139"/>
      <c r="AE378" s="139"/>
      <c r="AF378" s="140"/>
      <c r="AG378" s="145"/>
      <c r="AH378" s="157">
        <f>IFERROR(__xludf.DUMMYFUNCTION("""COMPUTED_VALUE"""),44423.46555840277)</f>
        <v>44423.46556</v>
      </c>
      <c r="AI378" s="138"/>
      <c r="AJ378" s="138"/>
      <c r="AK378" s="138"/>
      <c r="AL378" s="142"/>
    </row>
    <row r="379" ht="20.25" customHeight="1">
      <c r="A379" s="155" t="str">
        <f>IFERROR(__xludf.DUMMYFUNCTION("""COMPUTED_VALUE"""),"RioRedCobra")</f>
        <v>RioRedCobra</v>
      </c>
      <c r="B379" s="149" t="str">
        <f>IFERROR(__xludf.DUMMYFUNCTION("""COMPUTED_VALUE"""),"Katy")</f>
        <v>Katy</v>
      </c>
      <c r="C379" s="149" t="str">
        <f>IFERROR(__xludf.DUMMYFUNCTION("""COMPUTED_VALUE"""),"TX")</f>
        <v>TX</v>
      </c>
      <c r="D379" s="149" t="str">
        <f>IFERROR(__xludf.DUMMYFUNCTION("""COMPUTED_VALUE"""),"USA")</f>
        <v>USA</v>
      </c>
      <c r="E379" s="156">
        <f>IFERROR(__xludf.DUMMYFUNCTION("""COMPUTED_VALUE"""),44400.0)</f>
        <v>44400</v>
      </c>
      <c r="F379" s="129">
        <f>IFERROR(__xludf.DUMMYFUNCTION("""COMPUTED_VALUE"""),44425.0)</f>
        <v>44425</v>
      </c>
      <c r="G379" s="154" t="str">
        <f>IFERROR(__xludf.DUMMYFUNCTION("""COMPUTED_VALUE"""),"Manage order page (normal text)")</f>
        <v>Manage order page (normal text)</v>
      </c>
      <c r="H379" s="131"/>
      <c r="I379" s="144"/>
      <c r="J379" s="129">
        <f>IFERROR(__xludf.DUMMYFUNCTION("""COMPUTED_VALUE"""),44441.0)</f>
        <v>44441</v>
      </c>
      <c r="K379" s="133">
        <f>IFERROR(__xludf.DUMMYFUNCTION("""COMPUTED_VALUE"""),25.0)</f>
        <v>25</v>
      </c>
      <c r="L379" s="133">
        <f>IFERROR(__xludf.DUMMYFUNCTION("""COMPUTED_VALUE"""),16.0)</f>
        <v>16</v>
      </c>
      <c r="M379" s="133">
        <f>IFERROR(__xludf.DUMMYFUNCTION("""COMPUTED_VALUE"""),41.0)</f>
        <v>41</v>
      </c>
      <c r="N379" s="152" t="str">
        <f>IFERROR(__xludf.DUMMYFUNCTION("""COMPUTED_VALUE"""),"Model 3 LR AWD")</f>
        <v>Model 3 LR AWD</v>
      </c>
      <c r="O379" s="152" t="str">
        <f>IFERROR(__xludf.DUMMYFUNCTION("""COMPUTED_VALUE"""),"Pearl White Multi-Coat")</f>
        <v>Pearl White Multi-Coat</v>
      </c>
      <c r="P379" s="153" t="str">
        <f>IFERROR(__xludf.DUMMYFUNCTION("""COMPUTED_VALUE"""),"19 inch")</f>
        <v>19 inch</v>
      </c>
      <c r="Q379" s="152" t="str">
        <f>IFERROR(__xludf.DUMMYFUNCTION("""COMPUTED_VALUE"""),"All Black")</f>
        <v>All Black</v>
      </c>
      <c r="R379" s="149" t="str">
        <f>IFERROR(__xludf.DUMMYFUNCTION("""COMPUTED_VALUE"""),"Autopilot included")</f>
        <v>Autopilot included</v>
      </c>
      <c r="S379" s="149" t="str">
        <f>IFERROR(__xludf.DUMMYFUNCTION("""COMPUTED_VALUE"""),"Cash")</f>
        <v>Cash</v>
      </c>
      <c r="T379" s="145" t="str">
        <f>IFERROR(__xludf.DUMMYFUNCTION("""COMPUTED_VALUE"""),"Chevy SS")</f>
        <v>Chevy SS</v>
      </c>
      <c r="U379" s="145" t="str">
        <f>IFERROR(__xludf.DUMMYFUNCTION("""COMPUTED_VALUE"""),"Autopilot")</f>
        <v>Autopilot</v>
      </c>
      <c r="V379" s="145" t="str">
        <f>IFERROR(__xludf.DUMMYFUNCTION("""COMPUTED_VALUE"""),"Ventilated seats")</f>
        <v>Ventilated seats</v>
      </c>
      <c r="W379" s="136"/>
      <c r="X379" s="137"/>
      <c r="Y379" s="138"/>
      <c r="Z379" s="138"/>
      <c r="AA379" s="138"/>
      <c r="AB379" s="138"/>
      <c r="AC379" s="139"/>
      <c r="AD379" s="139"/>
      <c r="AE379" s="139"/>
      <c r="AF379" s="140"/>
      <c r="AG379" s="136"/>
      <c r="AH379" s="157">
        <f>IFERROR(__xludf.DUMMYFUNCTION("""COMPUTED_VALUE"""),44431.10767721065)</f>
        <v>44431.10768</v>
      </c>
      <c r="AI379" s="138"/>
      <c r="AJ379" s="138"/>
      <c r="AK379" s="138"/>
      <c r="AL379" s="142"/>
    </row>
    <row r="380" ht="20.25" customHeight="1">
      <c r="A380" s="155" t="str">
        <f>IFERROR(__xludf.DUMMYFUNCTION("""COMPUTED_VALUE"""),"ankur194")</f>
        <v>ankur194</v>
      </c>
      <c r="B380" s="149" t="str">
        <f>IFERROR(__xludf.DUMMYFUNCTION("""COMPUTED_VALUE"""),"Southern California")</f>
        <v>Southern California</v>
      </c>
      <c r="C380" s="149" t="str">
        <f>IFERROR(__xludf.DUMMYFUNCTION("""COMPUTED_VALUE"""),"CA")</f>
        <v>CA</v>
      </c>
      <c r="D380" s="149" t="str">
        <f>IFERROR(__xludf.DUMMYFUNCTION("""COMPUTED_VALUE"""),"USA")</f>
        <v>USA</v>
      </c>
      <c r="E380" s="156">
        <f>IFERROR(__xludf.DUMMYFUNCTION("""COMPUTED_VALUE"""),44399.0)</f>
        <v>44399</v>
      </c>
      <c r="F380" s="129"/>
      <c r="G380" s="154"/>
      <c r="H380" s="131"/>
      <c r="I380" s="132"/>
      <c r="J380" s="129"/>
      <c r="K380" s="133"/>
      <c r="L380" s="133"/>
      <c r="M380" s="133"/>
      <c r="N380" s="152" t="str">
        <f>IFERROR(__xludf.DUMMYFUNCTION("""COMPUTED_VALUE"""),"Model 3 SR+")</f>
        <v>Model 3 SR+</v>
      </c>
      <c r="O380" s="152" t="str">
        <f>IFERROR(__xludf.DUMMYFUNCTION("""COMPUTED_VALUE"""),"Deep Blue Metallic")</f>
        <v>Deep Blue Metallic</v>
      </c>
      <c r="P380" s="153" t="str">
        <f>IFERROR(__xludf.DUMMYFUNCTION("""COMPUTED_VALUE"""),"18 inch")</f>
        <v>18 inch</v>
      </c>
      <c r="Q380" s="152" t="str">
        <f>IFERROR(__xludf.DUMMYFUNCTION("""COMPUTED_VALUE"""),"All Black")</f>
        <v>All Black</v>
      </c>
      <c r="R380" s="150"/>
      <c r="S380" s="150" t="str">
        <f>IFERROR(__xludf.DUMMYFUNCTION("""COMPUTED_VALUE"""),"Loan")</f>
        <v>Loan</v>
      </c>
      <c r="T380" s="136" t="str">
        <f>IFERROR(__xludf.DUMMYFUNCTION("""COMPUTED_VALUE"""),"Audi Q5")</f>
        <v>Audi Q5</v>
      </c>
      <c r="U380" s="136" t="str">
        <f>IFERROR(__xludf.DUMMYFUNCTION("""COMPUTED_VALUE"""),"Electric!")</f>
        <v>Electric!</v>
      </c>
      <c r="V380" s="136" t="str">
        <f>IFERROR(__xludf.DUMMYFUNCTION("""COMPUTED_VALUE"""),"360° Bird's eye view")</f>
        <v>360° Bird's eye view</v>
      </c>
      <c r="W380" s="136"/>
      <c r="X380" s="137"/>
      <c r="Y380" s="138"/>
      <c r="Z380" s="138"/>
      <c r="AA380" s="138"/>
      <c r="AB380" s="138"/>
      <c r="AC380" s="139"/>
      <c r="AD380" s="139"/>
      <c r="AE380" s="139"/>
      <c r="AF380" s="140"/>
      <c r="AG380" s="136"/>
      <c r="AH380" s="157">
        <f>IFERROR(__xludf.DUMMYFUNCTION("""COMPUTED_VALUE"""),44428.71011921297)</f>
        <v>44428.71012</v>
      </c>
      <c r="AI380" s="138"/>
      <c r="AJ380" s="138"/>
      <c r="AK380" s="138"/>
      <c r="AL380" s="142"/>
    </row>
    <row r="381" ht="20.25" customHeight="1">
      <c r="A381" s="155" t="str">
        <f>IFERROR(__xludf.DUMMYFUNCTION("""COMPUTED_VALUE"""),"DrIvan")</f>
        <v>DrIvan</v>
      </c>
      <c r="B381" s="149" t="str">
        <f>IFERROR(__xludf.DUMMYFUNCTION("""COMPUTED_VALUE"""),"Charlotte")</f>
        <v>Charlotte</v>
      </c>
      <c r="C381" s="149" t="str">
        <f>IFERROR(__xludf.DUMMYFUNCTION("""COMPUTED_VALUE"""),"NC")</f>
        <v>NC</v>
      </c>
      <c r="D381" s="149" t="str">
        <f>IFERROR(__xludf.DUMMYFUNCTION("""COMPUTED_VALUE"""),"USA")</f>
        <v>USA</v>
      </c>
      <c r="E381" s="156">
        <f>IFERROR(__xludf.DUMMYFUNCTION("""COMPUTED_VALUE"""),44399.0)</f>
        <v>44399</v>
      </c>
      <c r="F381" s="129">
        <f>IFERROR(__xludf.DUMMYFUNCTION("""COMPUTED_VALUE"""),44436.0)</f>
        <v>44436</v>
      </c>
      <c r="G381" s="154" t="str">
        <f>IFERROR(__xludf.DUMMYFUNCTION("""COMPUTED_VALUE"""),"Manage order page (normal text)")</f>
        <v>Manage order page (normal text)</v>
      </c>
      <c r="H381" s="131"/>
      <c r="I381" s="132"/>
      <c r="J381" s="129">
        <f>IFERROR(__xludf.DUMMYFUNCTION("""COMPUTED_VALUE"""),44445.0)</f>
        <v>44445</v>
      </c>
      <c r="K381" s="133">
        <f>IFERROR(__xludf.DUMMYFUNCTION("""COMPUTED_VALUE"""),37.0)</f>
        <v>37</v>
      </c>
      <c r="L381" s="133">
        <f>IFERROR(__xludf.DUMMYFUNCTION("""COMPUTED_VALUE"""),9.0)</f>
        <v>9</v>
      </c>
      <c r="M381" s="133">
        <f>IFERROR(__xludf.DUMMYFUNCTION("""COMPUTED_VALUE"""),46.0)</f>
        <v>46</v>
      </c>
      <c r="N381" s="152" t="str">
        <f>IFERROR(__xludf.DUMMYFUNCTION("""COMPUTED_VALUE"""),"Model 3 LR AWD")</f>
        <v>Model 3 LR AWD</v>
      </c>
      <c r="O381" s="152" t="str">
        <f>IFERROR(__xludf.DUMMYFUNCTION("""COMPUTED_VALUE"""),"Midnight Silver Metallic")</f>
        <v>Midnight Silver Metallic</v>
      </c>
      <c r="P381" s="153" t="str">
        <f>IFERROR(__xludf.DUMMYFUNCTION("""COMPUTED_VALUE"""),"19 inch")</f>
        <v>19 inch</v>
      </c>
      <c r="Q381" s="152" t="str">
        <f>IFERROR(__xludf.DUMMYFUNCTION("""COMPUTED_VALUE"""),"Black and White")</f>
        <v>Black and White</v>
      </c>
      <c r="R381" s="150" t="str">
        <f>IFERROR(__xludf.DUMMYFUNCTION("""COMPUTED_VALUE"""),"Autopilot included")</f>
        <v>Autopilot included</v>
      </c>
      <c r="S381" s="150"/>
      <c r="T381" s="136"/>
      <c r="U381" s="136"/>
      <c r="V381" s="136"/>
      <c r="W381" s="136"/>
      <c r="X381" s="137"/>
      <c r="Y381" s="138"/>
      <c r="Z381" s="138"/>
      <c r="AA381" s="138"/>
      <c r="AB381" s="138"/>
      <c r="AC381" s="139"/>
      <c r="AD381" s="139"/>
      <c r="AE381" s="139"/>
      <c r="AF381" s="140"/>
      <c r="AG381" s="136"/>
      <c r="AH381" s="157">
        <f>IFERROR(__xludf.DUMMYFUNCTION("""COMPUTED_VALUE"""),44440.41261478009)</f>
        <v>44440.41261</v>
      </c>
      <c r="AI381" s="138"/>
      <c r="AJ381" s="138"/>
      <c r="AK381" s="138"/>
      <c r="AL381" s="142"/>
    </row>
    <row r="382" ht="20.25" customHeight="1">
      <c r="A382" s="155" t="str">
        <f>IFERROR(__xludf.DUMMYFUNCTION("""COMPUTED_VALUE"""),"DTCJEM")</f>
        <v>DTCJEM</v>
      </c>
      <c r="B382" s="149" t="str">
        <f>IFERROR(__xludf.DUMMYFUNCTION("""COMPUTED_VALUE"""),"Danville")</f>
        <v>Danville</v>
      </c>
      <c r="C382" s="149" t="str">
        <f>IFERROR(__xludf.DUMMYFUNCTION("""COMPUTED_VALUE"""),"NH")</f>
        <v>NH</v>
      </c>
      <c r="D382" s="149" t="str">
        <f>IFERROR(__xludf.DUMMYFUNCTION("""COMPUTED_VALUE"""),"USA")</f>
        <v>USA</v>
      </c>
      <c r="E382" s="156">
        <f>IFERROR(__xludf.DUMMYFUNCTION("""COMPUTED_VALUE"""),44399.0)</f>
        <v>44399</v>
      </c>
      <c r="F382" s="129">
        <f>IFERROR(__xludf.DUMMYFUNCTION("""COMPUTED_VALUE"""),44434.0)</f>
        <v>44434</v>
      </c>
      <c r="G382" s="154" t="str">
        <f>IFERROR(__xludf.DUMMYFUNCTION("""COMPUTED_VALUE"""),"Manage order page (normal text)")</f>
        <v>Manage order page (normal text)</v>
      </c>
      <c r="H382" s="131"/>
      <c r="I382" s="144"/>
      <c r="J382" s="129">
        <f>IFERROR(__xludf.DUMMYFUNCTION("""COMPUTED_VALUE"""),44448.0)</f>
        <v>44448</v>
      </c>
      <c r="K382" s="133">
        <f>IFERROR(__xludf.DUMMYFUNCTION("""COMPUTED_VALUE"""),35.0)</f>
        <v>35</v>
      </c>
      <c r="L382" s="133">
        <f>IFERROR(__xludf.DUMMYFUNCTION("""COMPUTED_VALUE"""),14.0)</f>
        <v>14</v>
      </c>
      <c r="M382" s="133">
        <f>IFERROR(__xludf.DUMMYFUNCTION("""COMPUTED_VALUE"""),49.0)</f>
        <v>49</v>
      </c>
      <c r="N382" s="152" t="str">
        <f>IFERROR(__xludf.DUMMYFUNCTION("""COMPUTED_VALUE"""),"Model 3 LR AWD")</f>
        <v>Model 3 LR AWD</v>
      </c>
      <c r="O382" s="152" t="str">
        <f>IFERROR(__xludf.DUMMYFUNCTION("""COMPUTED_VALUE"""),"Deep Blue Metallic")</f>
        <v>Deep Blue Metallic</v>
      </c>
      <c r="P382" s="153" t="str">
        <f>IFERROR(__xludf.DUMMYFUNCTION("""COMPUTED_VALUE"""),"18 inch")</f>
        <v>18 inch</v>
      </c>
      <c r="Q382" s="152" t="str">
        <f>IFERROR(__xludf.DUMMYFUNCTION("""COMPUTED_VALUE"""),"All Black")</f>
        <v>All Black</v>
      </c>
      <c r="R382" s="149" t="str">
        <f>IFERROR(__xludf.DUMMYFUNCTION("""COMPUTED_VALUE"""),"Autopilot included")</f>
        <v>Autopilot included</v>
      </c>
      <c r="S382" s="149" t="str">
        <f>IFERROR(__xludf.DUMMYFUNCTION("""COMPUTED_VALUE"""),"Loan")</f>
        <v>Loan</v>
      </c>
      <c r="T382" s="145" t="str">
        <f>IFERROR(__xludf.DUMMYFUNCTION("""COMPUTED_VALUE"""),"Toyota Tacoma 2WD")</f>
        <v>Toyota Tacoma 2WD</v>
      </c>
      <c r="U382" s="145" t="str">
        <f>IFERROR(__xludf.DUMMYFUNCTION("""COMPUTED_VALUE"""),"Electric!")</f>
        <v>Electric!</v>
      </c>
      <c r="V382" s="145" t="str">
        <f>IFERROR(__xludf.DUMMYFUNCTION("""COMPUTED_VALUE"""),"Apple CarPlay / Android Auto / SiriusXM Radio")</f>
        <v>Apple CarPlay / Android Auto / SiriusXM Radio</v>
      </c>
      <c r="W382" s="145"/>
      <c r="X382" s="137"/>
      <c r="Y382" s="138"/>
      <c r="Z382" s="138"/>
      <c r="AA382" s="138"/>
      <c r="AB382" s="138"/>
      <c r="AC382" s="139"/>
      <c r="AD382" s="139"/>
      <c r="AE382" s="139"/>
      <c r="AF382" s="140"/>
      <c r="AG382" s="145"/>
      <c r="AH382" s="157">
        <f>IFERROR(__xludf.DUMMYFUNCTION("""COMPUTED_VALUE"""),44440.46869155092)</f>
        <v>44440.46869</v>
      </c>
      <c r="AI382" s="138"/>
      <c r="AJ382" s="138"/>
      <c r="AK382" s="138"/>
      <c r="AL382" s="142"/>
    </row>
    <row r="383" ht="20.25" customHeight="1">
      <c r="A383" s="155" t="str">
        <f>IFERROR(__xludf.DUMMYFUNCTION("""COMPUTED_VALUE"""),"Giavid")</f>
        <v>Giavid</v>
      </c>
      <c r="B383" s="150" t="str">
        <f>IFERROR(__xludf.DUMMYFUNCTION("""COMPUTED_VALUE"""),"Aubrey")</f>
        <v>Aubrey</v>
      </c>
      <c r="C383" s="150" t="str">
        <f>IFERROR(__xludf.DUMMYFUNCTION("""COMPUTED_VALUE"""),"TX")</f>
        <v>TX</v>
      </c>
      <c r="D383" s="150" t="str">
        <f>IFERROR(__xludf.DUMMYFUNCTION("""COMPUTED_VALUE"""),"USA")</f>
        <v>USA</v>
      </c>
      <c r="E383" s="156">
        <f>IFERROR(__xludf.DUMMYFUNCTION("""COMPUTED_VALUE"""),44399.0)</f>
        <v>44399</v>
      </c>
      <c r="F383" s="129"/>
      <c r="G383" s="154"/>
      <c r="H383" s="131"/>
      <c r="I383" s="132"/>
      <c r="J383" s="129"/>
      <c r="K383" s="133"/>
      <c r="L383" s="133"/>
      <c r="M383" s="133"/>
      <c r="N383" s="152" t="str">
        <f>IFERROR(__xludf.DUMMYFUNCTION("""COMPUTED_VALUE"""),"Model 3 LR AWD")</f>
        <v>Model 3 LR AWD</v>
      </c>
      <c r="O383" s="152" t="str">
        <f>IFERROR(__xludf.DUMMYFUNCTION("""COMPUTED_VALUE"""),"Deep Blue Metallic")</f>
        <v>Deep Blue Metallic</v>
      </c>
      <c r="P383" s="153" t="str">
        <f>IFERROR(__xludf.DUMMYFUNCTION("""COMPUTED_VALUE"""),"19 inch")</f>
        <v>19 inch</v>
      </c>
      <c r="Q383" s="152" t="str">
        <f>IFERROR(__xludf.DUMMYFUNCTION("""COMPUTED_VALUE"""),"All Black")</f>
        <v>All Black</v>
      </c>
      <c r="R383" s="150" t="str">
        <f>IFERROR(__xludf.DUMMYFUNCTION("""COMPUTED_VALUE"""),"Autopilot included")</f>
        <v>Autopilot included</v>
      </c>
      <c r="S383" s="150" t="str">
        <f>IFERROR(__xludf.DUMMYFUNCTION("""COMPUTED_VALUE"""),"Loan")</f>
        <v>Loan</v>
      </c>
      <c r="T383" s="136" t="str">
        <f>IFERROR(__xludf.DUMMYFUNCTION("""COMPUTED_VALUE"""),"Tesla Model 3")</f>
        <v>Tesla Model 3</v>
      </c>
      <c r="U383" s="136" t="str">
        <f>IFERROR(__xludf.DUMMYFUNCTION("""COMPUTED_VALUE"""),"Electric!")</f>
        <v>Electric!</v>
      </c>
      <c r="V383" s="136" t="str">
        <f>IFERROR(__xludf.DUMMYFUNCTION("""COMPUTED_VALUE"""),"Ventilated seats")</f>
        <v>Ventilated seats</v>
      </c>
      <c r="W383" s="136"/>
      <c r="X383" s="137"/>
      <c r="Y383" s="138"/>
      <c r="Z383" s="138"/>
      <c r="AA383" s="138"/>
      <c r="AB383" s="138"/>
      <c r="AC383" s="139"/>
      <c r="AD383" s="139"/>
      <c r="AE383" s="139"/>
      <c r="AF383" s="140"/>
      <c r="AG383" s="136"/>
      <c r="AH383" s="157">
        <f>IFERROR(__xludf.DUMMYFUNCTION("""COMPUTED_VALUE"""),44421.94920859954)</f>
        <v>44421.94921</v>
      </c>
      <c r="AI383" s="138"/>
      <c r="AJ383" s="138"/>
      <c r="AK383" s="138"/>
      <c r="AL383" s="142"/>
    </row>
    <row r="384" ht="20.25" customHeight="1">
      <c r="A384" s="155" t="str">
        <f>IFERROR(__xludf.DUMMYFUNCTION("""COMPUTED_VALUE"""),"PETROLDETH")</f>
        <v>PETROLDETH</v>
      </c>
      <c r="B384" s="149" t="str">
        <f>IFERROR(__xludf.DUMMYFUNCTION("""COMPUTED_VALUE"""),"Temecula")</f>
        <v>Temecula</v>
      </c>
      <c r="C384" s="149" t="str">
        <f>IFERROR(__xludf.DUMMYFUNCTION("""COMPUTED_VALUE"""),"CA")</f>
        <v>CA</v>
      </c>
      <c r="D384" s="149" t="str">
        <f>IFERROR(__xludf.DUMMYFUNCTION("""COMPUTED_VALUE"""),"USA")</f>
        <v>USA</v>
      </c>
      <c r="E384" s="156">
        <f>IFERROR(__xludf.DUMMYFUNCTION("""COMPUTED_VALUE"""),44399.0)</f>
        <v>44399</v>
      </c>
      <c r="F384" s="129">
        <f>IFERROR(__xludf.DUMMYFUNCTION("""COMPUTED_VALUE"""),44432.0)</f>
        <v>44432</v>
      </c>
      <c r="G384" s="154" t="str">
        <f>IFERROR(__xludf.DUMMYFUNCTION("""COMPUTED_VALUE"""),"Manage order page (normal text)")</f>
        <v>Manage order page (normal text)</v>
      </c>
      <c r="H384" s="131"/>
      <c r="I384" s="144"/>
      <c r="J384" s="129">
        <f>IFERROR(__xludf.DUMMYFUNCTION("""COMPUTED_VALUE"""),44435.0)</f>
        <v>44435</v>
      </c>
      <c r="K384" s="133">
        <f>IFERROR(__xludf.DUMMYFUNCTION("""COMPUTED_VALUE"""),33.0)</f>
        <v>33</v>
      </c>
      <c r="L384" s="133">
        <f>IFERROR(__xludf.DUMMYFUNCTION("""COMPUTED_VALUE"""),3.0)</f>
        <v>3</v>
      </c>
      <c r="M384" s="133">
        <f>IFERROR(__xludf.DUMMYFUNCTION("""COMPUTED_VALUE"""),36.0)</f>
        <v>36</v>
      </c>
      <c r="N384" s="152" t="str">
        <f>IFERROR(__xludf.DUMMYFUNCTION("""COMPUTED_VALUE"""),"Model 3 Performance")</f>
        <v>Model 3 Performance</v>
      </c>
      <c r="O384" s="152" t="str">
        <f>IFERROR(__xludf.DUMMYFUNCTION("""COMPUTED_VALUE"""),"Midnight Silver Metallic")</f>
        <v>Midnight Silver Metallic</v>
      </c>
      <c r="P384" s="153" t="str">
        <f>IFERROR(__xludf.DUMMYFUNCTION("""COMPUTED_VALUE"""),"20 inch")</f>
        <v>20 inch</v>
      </c>
      <c r="Q384" s="152" t="str">
        <f>IFERROR(__xludf.DUMMYFUNCTION("""COMPUTED_VALUE"""),"Black and White")</f>
        <v>Black and White</v>
      </c>
      <c r="R384" s="149" t="str">
        <f>IFERROR(__xludf.DUMMYFUNCTION("""COMPUTED_VALUE"""),"Autopilot included")</f>
        <v>Autopilot included</v>
      </c>
      <c r="S384" s="149" t="str">
        <f>IFERROR(__xludf.DUMMYFUNCTION("""COMPUTED_VALUE"""),"Loan")</f>
        <v>Loan</v>
      </c>
      <c r="T384" s="145" t="str">
        <f>IFERROR(__xludf.DUMMYFUNCTION("""COMPUTED_VALUE"""),"s2000")</f>
        <v>s2000</v>
      </c>
      <c r="U384" s="145" t="str">
        <f>IFERROR(__xludf.DUMMYFUNCTION("""COMPUTED_VALUE"""),"Electric!")</f>
        <v>Electric!</v>
      </c>
      <c r="V384" s="145" t="str">
        <f>IFERROR(__xludf.DUMMYFUNCTION("""COMPUTED_VALUE"""),"Apple CarPlay / Android Auto / SiriusXM Radio")</f>
        <v>Apple CarPlay / Android Auto / SiriusXM Radio</v>
      </c>
      <c r="W384" s="145"/>
      <c r="X384" s="137" t="str">
        <f>IFERROR(__xludf.DUMMYFUNCTION("""COMPUTED_VALUE"""),"Excellent")</f>
        <v>Excellent</v>
      </c>
      <c r="Y384" s="138" t="str">
        <f>IFERROR(__xludf.DUMMYFUNCTION("""COMPUTED_VALUE"""),"Excellent")</f>
        <v>Excellent</v>
      </c>
      <c r="Z384" s="138" t="str">
        <f>IFERROR(__xludf.DUMMYFUNCTION("""COMPUTED_VALUE"""),"Excellent")</f>
        <v>Excellent</v>
      </c>
      <c r="AA384" s="138" t="str">
        <f>IFERROR(__xludf.DUMMYFUNCTION("""COMPUTED_VALUE"""),"Excellent")</f>
        <v>Excellent</v>
      </c>
      <c r="AB384" s="138" t="str">
        <f>IFERROR(__xludf.DUMMYFUNCTION("""COMPUTED_VALUE"""),"Excellent")</f>
        <v>Excellent</v>
      </c>
      <c r="AC384" s="139"/>
      <c r="AD384" s="139"/>
      <c r="AE384" s="139"/>
      <c r="AF384" s="140" t="str">
        <f>IFERROR(__xludf.DUMMYFUNCTION("""COMPUTED_VALUE"""),"No. I took delivery of the first car Tesla was able to deliver.")</f>
        <v>No. I took delivery of the first car Tesla was able to deliver.</v>
      </c>
      <c r="AG384" s="145"/>
      <c r="AH384" s="157">
        <f>IFERROR(__xludf.DUMMYFUNCTION("""COMPUTED_VALUE"""),44449.68260930556)</f>
        <v>44449.68261</v>
      </c>
      <c r="AI384" s="138"/>
      <c r="AJ384" s="138"/>
      <c r="AK384" s="138"/>
      <c r="AL384" s="142"/>
    </row>
    <row r="385" ht="20.25" customHeight="1">
      <c r="A385" s="155" t="str">
        <f>IFERROR(__xludf.DUMMYFUNCTION("""COMPUTED_VALUE"""),"PhoenixArise")</f>
        <v>PhoenixArise</v>
      </c>
      <c r="B385" s="150" t="str">
        <f>IFERROR(__xludf.DUMMYFUNCTION("""COMPUTED_VALUE"""),"Rochester")</f>
        <v>Rochester</v>
      </c>
      <c r="C385" s="149" t="str">
        <f>IFERROR(__xludf.DUMMYFUNCTION("""COMPUTED_VALUE"""),"MN")</f>
        <v>MN</v>
      </c>
      <c r="D385" s="149" t="str">
        <f>IFERROR(__xludf.DUMMYFUNCTION("""COMPUTED_VALUE"""),"USA")</f>
        <v>USA</v>
      </c>
      <c r="E385" s="156">
        <f>IFERROR(__xludf.DUMMYFUNCTION("""COMPUTED_VALUE"""),44399.0)</f>
        <v>44399</v>
      </c>
      <c r="F385" s="129">
        <f>IFERROR(__xludf.DUMMYFUNCTION("""COMPUTED_VALUE"""),44443.0)</f>
        <v>44443</v>
      </c>
      <c r="G385" s="154" t="str">
        <f>IFERROR(__xludf.DUMMYFUNCTION("""COMPUTED_VALUE"""),"MVPA")</f>
        <v>MVPA</v>
      </c>
      <c r="H385" s="131"/>
      <c r="I385" s="144"/>
      <c r="J385" s="129">
        <f>IFERROR(__xludf.DUMMYFUNCTION("""COMPUTED_VALUE"""),44457.0)</f>
        <v>44457</v>
      </c>
      <c r="K385" s="133">
        <f>IFERROR(__xludf.DUMMYFUNCTION("""COMPUTED_VALUE"""),44.0)</f>
        <v>44</v>
      </c>
      <c r="L385" s="133">
        <f>IFERROR(__xludf.DUMMYFUNCTION("""COMPUTED_VALUE"""),14.0)</f>
        <v>14</v>
      </c>
      <c r="M385" s="133">
        <f>IFERROR(__xludf.DUMMYFUNCTION("""COMPUTED_VALUE"""),58.0)</f>
        <v>58</v>
      </c>
      <c r="N385" s="152" t="str">
        <f>IFERROR(__xludf.DUMMYFUNCTION("""COMPUTED_VALUE"""),"Model 3 LR AWD")</f>
        <v>Model 3 LR AWD</v>
      </c>
      <c r="O385" s="152" t="str">
        <f>IFERROR(__xludf.DUMMYFUNCTION("""COMPUTED_VALUE"""),"Pearl White Multi-Coat")</f>
        <v>Pearl White Multi-Coat</v>
      </c>
      <c r="P385" s="153" t="str">
        <f>IFERROR(__xludf.DUMMYFUNCTION("""COMPUTED_VALUE"""),"18 inch")</f>
        <v>18 inch</v>
      </c>
      <c r="Q385" s="152" t="str">
        <f>IFERROR(__xludf.DUMMYFUNCTION("""COMPUTED_VALUE"""),"Black and White")</f>
        <v>Black and White</v>
      </c>
      <c r="R385" s="149" t="str">
        <f>IFERROR(__xludf.DUMMYFUNCTION("""COMPUTED_VALUE"""),"Autopilot included")</f>
        <v>Autopilot included</v>
      </c>
      <c r="S385" s="149" t="str">
        <f>IFERROR(__xludf.DUMMYFUNCTION("""COMPUTED_VALUE"""),"Loan")</f>
        <v>Loan</v>
      </c>
      <c r="T385" s="145" t="str">
        <f>IFERROR(__xludf.DUMMYFUNCTION("""COMPUTED_VALUE"""),"Chevrolet Equinox")</f>
        <v>Chevrolet Equinox</v>
      </c>
      <c r="U385" s="145" t="str">
        <f>IFERROR(__xludf.DUMMYFUNCTION("""COMPUTED_VALUE"""),"Electric!")</f>
        <v>Electric!</v>
      </c>
      <c r="V385" s="145" t="str">
        <f>IFERROR(__xludf.DUMMYFUNCTION("""COMPUTED_VALUE"""),"HomeLink")</f>
        <v>HomeLink</v>
      </c>
      <c r="W385" s="136"/>
      <c r="X385" s="137"/>
      <c r="Y385" s="138"/>
      <c r="Z385" s="138"/>
      <c r="AA385" s="138"/>
      <c r="AB385" s="138"/>
      <c r="AC385" s="139"/>
      <c r="AD385" s="139"/>
      <c r="AE385" s="139"/>
      <c r="AF385" s="140"/>
      <c r="AG385" s="136"/>
      <c r="AH385" s="157">
        <f>IFERROR(__xludf.DUMMYFUNCTION("""COMPUTED_VALUE"""),44447.64917909722)</f>
        <v>44447.64918</v>
      </c>
      <c r="AI385" s="138"/>
      <c r="AJ385" s="138"/>
      <c r="AK385" s="138"/>
      <c r="AL385" s="142"/>
    </row>
    <row r="386" ht="20.25" customHeight="1">
      <c r="A386" s="155" t="str">
        <f>IFERROR(__xludf.DUMMYFUNCTION("""COMPUTED_VALUE"""),"Rana678")</f>
        <v>Rana678</v>
      </c>
      <c r="B386" s="149" t="str">
        <f>IFERROR(__xludf.DUMMYFUNCTION("""COMPUTED_VALUE"""),"Surrey")</f>
        <v>Surrey</v>
      </c>
      <c r="C386" s="149" t="str">
        <f>IFERROR(__xludf.DUMMYFUNCTION("""COMPUTED_VALUE"""),"BC")</f>
        <v>BC</v>
      </c>
      <c r="D386" s="149" t="str">
        <f>IFERROR(__xludf.DUMMYFUNCTION("""COMPUTED_VALUE"""),"Canada")</f>
        <v>Canada</v>
      </c>
      <c r="E386" s="156">
        <f>IFERROR(__xludf.DUMMYFUNCTION("""COMPUTED_VALUE"""),44399.0)</f>
        <v>44399</v>
      </c>
      <c r="F386" s="129"/>
      <c r="G386" s="154"/>
      <c r="H386" s="131"/>
      <c r="I386" s="144"/>
      <c r="J386" s="129"/>
      <c r="K386" s="133"/>
      <c r="L386" s="133"/>
      <c r="M386" s="133"/>
      <c r="N386" s="152" t="str">
        <f>IFERROR(__xludf.DUMMYFUNCTION("""COMPUTED_VALUE"""),"Model 3 SR+")</f>
        <v>Model 3 SR+</v>
      </c>
      <c r="O386" s="152" t="str">
        <f>IFERROR(__xludf.DUMMYFUNCTION("""COMPUTED_VALUE"""),"Pearl White Multi-Coat")</f>
        <v>Pearl White Multi-Coat</v>
      </c>
      <c r="P386" s="153" t="str">
        <f>IFERROR(__xludf.DUMMYFUNCTION("""COMPUTED_VALUE"""),"18 inch")</f>
        <v>18 inch</v>
      </c>
      <c r="Q386" s="152" t="str">
        <f>IFERROR(__xludf.DUMMYFUNCTION("""COMPUTED_VALUE"""),"All Black")</f>
        <v>All Black</v>
      </c>
      <c r="R386" s="149" t="str">
        <f>IFERROR(__xludf.DUMMYFUNCTION("""COMPUTED_VALUE"""),"Autopilot included")</f>
        <v>Autopilot included</v>
      </c>
      <c r="S386" s="149" t="str">
        <f>IFERROR(__xludf.DUMMYFUNCTION("""COMPUTED_VALUE"""),"Loan")</f>
        <v>Loan</v>
      </c>
      <c r="T386" s="145" t="str">
        <f>IFERROR(__xludf.DUMMYFUNCTION("""COMPUTED_VALUE"""),"Mercedes C class")</f>
        <v>Mercedes C class</v>
      </c>
      <c r="U386" s="145" t="str">
        <f>IFERROR(__xludf.DUMMYFUNCTION("""COMPUTED_VALUE"""),"Autopilot")</f>
        <v>Autopilot</v>
      </c>
      <c r="V386" s="145" t="str">
        <f>IFERROR(__xludf.DUMMYFUNCTION("""COMPUTED_VALUE"""),"Apple music")</f>
        <v>Apple music</v>
      </c>
      <c r="W386" s="145"/>
      <c r="X386" s="137"/>
      <c r="Y386" s="138"/>
      <c r="Z386" s="138"/>
      <c r="AA386" s="138"/>
      <c r="AB386" s="138"/>
      <c r="AC386" s="139"/>
      <c r="AD386" s="139"/>
      <c r="AE386" s="139"/>
      <c r="AF386" s="140"/>
      <c r="AG386" s="145"/>
      <c r="AH386" s="157">
        <f>IFERROR(__xludf.DUMMYFUNCTION("""COMPUTED_VALUE"""),44482.865799884254)</f>
        <v>44482.8658</v>
      </c>
      <c r="AI386" s="138"/>
      <c r="AJ386" s="138"/>
      <c r="AK386" s="138"/>
      <c r="AL386" s="142"/>
    </row>
    <row r="387" ht="20.25" customHeight="1">
      <c r="A387" s="155" t="str">
        <f>IFERROR(__xludf.DUMMYFUNCTION("""COMPUTED_VALUE"""),"Chokz")</f>
        <v>Chokz</v>
      </c>
      <c r="B387" s="149" t="str">
        <f>IFERROR(__xludf.DUMMYFUNCTION("""COMPUTED_VALUE"""),"London")</f>
        <v>London</v>
      </c>
      <c r="C387" s="149"/>
      <c r="D387" s="149" t="str">
        <f>IFERROR(__xludf.DUMMYFUNCTION("""COMPUTED_VALUE"""),"United Kingdom")</f>
        <v>United Kingdom</v>
      </c>
      <c r="E387" s="156">
        <f>IFERROR(__xludf.DUMMYFUNCTION("""COMPUTED_VALUE"""),44398.0)</f>
        <v>44398</v>
      </c>
      <c r="F387" s="129">
        <f>IFERROR(__xludf.DUMMYFUNCTION("""COMPUTED_VALUE"""),44447.0)</f>
        <v>44447</v>
      </c>
      <c r="G387" s="154" t="str">
        <f>IFERROR(__xludf.DUMMYFUNCTION("""COMPUTED_VALUE"""),"Text message")</f>
        <v>Text message</v>
      </c>
      <c r="H387" s="131">
        <f>IFERROR(__xludf.DUMMYFUNCTION("""COMPUTED_VALUE"""),334755.0)</f>
        <v>334755</v>
      </c>
      <c r="I387" s="144"/>
      <c r="J387" s="129">
        <f>IFERROR(__xludf.DUMMYFUNCTION("""COMPUTED_VALUE"""),44463.0)</f>
        <v>44463</v>
      </c>
      <c r="K387" s="133">
        <f>IFERROR(__xludf.DUMMYFUNCTION("""COMPUTED_VALUE"""),49.0)</f>
        <v>49</v>
      </c>
      <c r="L387" s="133">
        <f>IFERROR(__xludf.DUMMYFUNCTION("""COMPUTED_VALUE"""),16.0)</f>
        <v>16</v>
      </c>
      <c r="M387" s="133">
        <f>IFERROR(__xludf.DUMMYFUNCTION("""COMPUTED_VALUE"""),65.0)</f>
        <v>65</v>
      </c>
      <c r="N387" s="152" t="str">
        <f>IFERROR(__xludf.DUMMYFUNCTION("""COMPUTED_VALUE"""),"Model 3 LR AWD")</f>
        <v>Model 3 LR AWD</v>
      </c>
      <c r="O387" s="152" t="str">
        <f>IFERROR(__xludf.DUMMYFUNCTION("""COMPUTED_VALUE"""),"Deep Blue Metallic")</f>
        <v>Deep Blue Metallic</v>
      </c>
      <c r="P387" s="153" t="str">
        <f>IFERROR(__xludf.DUMMYFUNCTION("""COMPUTED_VALUE"""),"18 inch")</f>
        <v>18 inch</v>
      </c>
      <c r="Q387" s="152" t="str">
        <f>IFERROR(__xludf.DUMMYFUNCTION("""COMPUTED_VALUE"""),"All Black")</f>
        <v>All Black</v>
      </c>
      <c r="R387" s="149" t="str">
        <f>IFERROR(__xludf.DUMMYFUNCTION("""COMPUTED_VALUE"""),"Autopilot included")</f>
        <v>Autopilot included</v>
      </c>
      <c r="S387" s="149" t="str">
        <f>IFERROR(__xludf.DUMMYFUNCTION("""COMPUTED_VALUE"""),"Lease")</f>
        <v>Lease</v>
      </c>
      <c r="T387" s="145" t="str">
        <f>IFERROR(__xludf.DUMMYFUNCTION("""COMPUTED_VALUE"""),"Audi A4 2017")</f>
        <v>Audi A4 2017</v>
      </c>
      <c r="U387" s="145" t="str">
        <f>IFERROR(__xludf.DUMMYFUNCTION("""COMPUTED_VALUE"""),"Autopilot")</f>
        <v>Autopilot</v>
      </c>
      <c r="V387" s="145" t="str">
        <f>IFERROR(__xludf.DUMMYFUNCTION("""COMPUTED_VALUE"""),"Head-up display")</f>
        <v>Head-up display</v>
      </c>
      <c r="W387" s="145"/>
      <c r="X387" s="137"/>
      <c r="Y387" s="138"/>
      <c r="Z387" s="138"/>
      <c r="AA387" s="138"/>
      <c r="AB387" s="138"/>
      <c r="AC387" s="139"/>
      <c r="AD387" s="139"/>
      <c r="AE387" s="139"/>
      <c r="AF387" s="140"/>
      <c r="AG387" s="145"/>
      <c r="AH387" s="157">
        <f>IFERROR(__xludf.DUMMYFUNCTION("""COMPUTED_VALUE"""),44447.3149662963)</f>
        <v>44447.31497</v>
      </c>
      <c r="AI387" s="138"/>
      <c r="AJ387" s="138"/>
      <c r="AK387" s="138"/>
      <c r="AL387" s="142"/>
    </row>
    <row r="388" ht="20.25" customHeight="1">
      <c r="A388" s="155" t="str">
        <f>IFERROR(__xludf.DUMMYFUNCTION("""COMPUTED_VALUE"""),"ConnorLinfoot")</f>
        <v>ConnorLinfoot</v>
      </c>
      <c r="B388" s="149" t="str">
        <f>IFERROR(__xludf.DUMMYFUNCTION("""COMPUTED_VALUE"""),"Sheffield")</f>
        <v>Sheffield</v>
      </c>
      <c r="C388" s="149"/>
      <c r="D388" s="149" t="str">
        <f>IFERROR(__xludf.DUMMYFUNCTION("""COMPUTED_VALUE"""),"United Kingdom")</f>
        <v>United Kingdom</v>
      </c>
      <c r="E388" s="156">
        <f>IFERROR(__xludf.DUMMYFUNCTION("""COMPUTED_VALUE"""),44398.0)</f>
        <v>44398</v>
      </c>
      <c r="F388" s="129">
        <f>IFERROR(__xludf.DUMMYFUNCTION("""COMPUTED_VALUE"""),44428.0)</f>
        <v>44428</v>
      </c>
      <c r="G388" s="154" t="str">
        <f>IFERROR(__xludf.DUMMYFUNCTION("""COMPUTED_VALUE"""),"Source code")</f>
        <v>Source code</v>
      </c>
      <c r="H388" s="131">
        <f>IFERROR(__xludf.DUMMYFUNCTION("""COMPUTED_VALUE"""),334155.0)</f>
        <v>334155</v>
      </c>
      <c r="I388" s="132"/>
      <c r="J388" s="129">
        <f>IFERROR(__xludf.DUMMYFUNCTION("""COMPUTED_VALUE"""),44461.0)</f>
        <v>44461</v>
      </c>
      <c r="K388" s="133">
        <f>IFERROR(__xludf.DUMMYFUNCTION("""COMPUTED_VALUE"""),30.0)</f>
        <v>30</v>
      </c>
      <c r="L388" s="133">
        <f>IFERROR(__xludf.DUMMYFUNCTION("""COMPUTED_VALUE"""),33.0)</f>
        <v>33</v>
      </c>
      <c r="M388" s="133">
        <f>IFERROR(__xludf.DUMMYFUNCTION("""COMPUTED_VALUE"""),63.0)</f>
        <v>63</v>
      </c>
      <c r="N388" s="152" t="str">
        <f>IFERROR(__xludf.DUMMYFUNCTION("""COMPUTED_VALUE"""),"Model 3 Performance")</f>
        <v>Model 3 Performance</v>
      </c>
      <c r="O388" s="152" t="str">
        <f>IFERROR(__xludf.DUMMYFUNCTION("""COMPUTED_VALUE"""),"Solid Black")</f>
        <v>Solid Black</v>
      </c>
      <c r="P388" s="153" t="str">
        <f>IFERROR(__xludf.DUMMYFUNCTION("""COMPUTED_VALUE"""),"20 inch")</f>
        <v>20 inch</v>
      </c>
      <c r="Q388" s="152" t="str">
        <f>IFERROR(__xludf.DUMMYFUNCTION("""COMPUTED_VALUE"""),"All Black")</f>
        <v>All Black</v>
      </c>
      <c r="R388" s="150" t="str">
        <f>IFERROR(__xludf.DUMMYFUNCTION("""COMPUTED_VALUE"""),"Full Self-Driving")</f>
        <v>Full Self-Driving</v>
      </c>
      <c r="S388" s="150" t="str">
        <f>IFERROR(__xludf.DUMMYFUNCTION("""COMPUTED_VALUE"""),"Loan")</f>
        <v>Loan</v>
      </c>
      <c r="T388" s="136"/>
      <c r="U388" s="136" t="str">
        <f>IFERROR(__xludf.DUMMYFUNCTION("""COMPUTED_VALUE"""),"Electric!")</f>
        <v>Electric!</v>
      </c>
      <c r="V388" s="145" t="str">
        <f>IFERROR(__xludf.DUMMYFUNCTION("""COMPUTED_VALUE"""),"Apple CarPlay / Android Auto / SiriusXM Radio")</f>
        <v>Apple CarPlay / Android Auto / SiriusXM Radio</v>
      </c>
      <c r="W388" s="136"/>
      <c r="X388" s="137"/>
      <c r="Y388" s="138"/>
      <c r="Z388" s="138"/>
      <c r="AA388" s="138"/>
      <c r="AB388" s="138"/>
      <c r="AC388" s="139"/>
      <c r="AD388" s="139"/>
      <c r="AE388" s="139"/>
      <c r="AF388" s="140"/>
      <c r="AG388" s="136"/>
      <c r="AH388" s="157">
        <f>IFERROR(__xludf.DUMMYFUNCTION("""COMPUTED_VALUE"""),44432.50060685185)</f>
        <v>44432.50061</v>
      </c>
      <c r="AI388" s="138"/>
      <c r="AJ388" s="138"/>
      <c r="AK388" s="138"/>
      <c r="AL388" s="142"/>
    </row>
    <row r="389" ht="20.25" customHeight="1">
      <c r="A389" s="155" t="str">
        <f>IFERROR(__xludf.DUMMYFUNCTION("""COMPUTED_VALUE"""),"iangw")</f>
        <v>iangw</v>
      </c>
      <c r="B389" s="149" t="str">
        <f>IFERROR(__xludf.DUMMYFUNCTION("""COMPUTED_VALUE"""),"Langley")</f>
        <v>Langley</v>
      </c>
      <c r="C389" s="149" t="str">
        <f>IFERROR(__xludf.DUMMYFUNCTION("""COMPUTED_VALUE"""),"BC")</f>
        <v>BC</v>
      </c>
      <c r="D389" s="149" t="str">
        <f>IFERROR(__xludf.DUMMYFUNCTION("""COMPUTED_VALUE"""),"Canada")</f>
        <v>Canada</v>
      </c>
      <c r="E389" s="156">
        <f>IFERROR(__xludf.DUMMYFUNCTION("""COMPUTED_VALUE"""),44398.0)</f>
        <v>44398</v>
      </c>
      <c r="F389" s="129"/>
      <c r="G389" s="154"/>
      <c r="H389" s="131"/>
      <c r="I389" s="132"/>
      <c r="J389" s="129">
        <f>IFERROR(__xludf.DUMMYFUNCTION("""COMPUTED_VALUE"""),44489.0)</f>
        <v>44489</v>
      </c>
      <c r="K389" s="133"/>
      <c r="L389" s="133"/>
      <c r="M389" s="133">
        <f>IFERROR(__xludf.DUMMYFUNCTION("""COMPUTED_VALUE"""),91.0)</f>
        <v>91</v>
      </c>
      <c r="N389" s="152" t="str">
        <f>IFERROR(__xludf.DUMMYFUNCTION("""COMPUTED_VALUE"""),"Model 3 SR+")</f>
        <v>Model 3 SR+</v>
      </c>
      <c r="O389" s="152" t="str">
        <f>IFERROR(__xludf.DUMMYFUNCTION("""COMPUTED_VALUE"""),"Midnight Silver Metallic")</f>
        <v>Midnight Silver Metallic</v>
      </c>
      <c r="P389" s="153" t="str">
        <f>IFERROR(__xludf.DUMMYFUNCTION("""COMPUTED_VALUE"""),"18 inch")</f>
        <v>18 inch</v>
      </c>
      <c r="Q389" s="152" t="str">
        <f>IFERROR(__xludf.DUMMYFUNCTION("""COMPUTED_VALUE"""),"All Black")</f>
        <v>All Black</v>
      </c>
      <c r="R389" s="150" t="str">
        <f>IFERROR(__xludf.DUMMYFUNCTION("""COMPUTED_VALUE"""),"Autopilot included")</f>
        <v>Autopilot included</v>
      </c>
      <c r="S389" s="150" t="str">
        <f>IFERROR(__xludf.DUMMYFUNCTION("""COMPUTED_VALUE"""),"Loan")</f>
        <v>Loan</v>
      </c>
      <c r="T389" s="136" t="str">
        <f>IFERROR(__xludf.DUMMYFUNCTION("""COMPUTED_VALUE"""),"VW Passat Wagon")</f>
        <v>VW Passat Wagon</v>
      </c>
      <c r="U389" s="136" t="str">
        <f>IFERROR(__xludf.DUMMYFUNCTION("""COMPUTED_VALUE"""),"Electric!")</f>
        <v>Electric!</v>
      </c>
      <c r="V389" s="136" t="str">
        <f>IFERROR(__xludf.DUMMYFUNCTION("""COMPUTED_VALUE"""),"Air suspension")</f>
        <v>Air suspension</v>
      </c>
      <c r="W389" s="145"/>
      <c r="X389" s="137"/>
      <c r="Y389" s="138"/>
      <c r="Z389" s="138"/>
      <c r="AA389" s="138"/>
      <c r="AB389" s="138"/>
      <c r="AC389" s="139"/>
      <c r="AD389" s="139"/>
      <c r="AE389" s="139"/>
      <c r="AF389" s="140"/>
      <c r="AG389" s="145"/>
      <c r="AH389" s="157">
        <f>IFERROR(__xludf.DUMMYFUNCTION("""COMPUTED_VALUE"""),44450.004901342596)</f>
        <v>44450.0049</v>
      </c>
      <c r="AI389" s="138"/>
      <c r="AJ389" s="138"/>
      <c r="AK389" s="138"/>
      <c r="AL389" s="142"/>
    </row>
    <row r="390" ht="20.25" customHeight="1">
      <c r="A390" s="155" t="str">
        <f>IFERROR(__xludf.DUMMYFUNCTION("""COMPUTED_VALUE"""),"teatimekingpin")</f>
        <v>teatimekingpin</v>
      </c>
      <c r="B390" s="149"/>
      <c r="C390" s="149" t="str">
        <f>IFERROR(__xludf.DUMMYFUNCTION("""COMPUTED_VALUE"""),"PA")</f>
        <v>PA</v>
      </c>
      <c r="D390" s="149" t="str">
        <f>IFERROR(__xludf.DUMMYFUNCTION("""COMPUTED_VALUE"""),"USA")</f>
        <v>USA</v>
      </c>
      <c r="E390" s="156">
        <f>IFERROR(__xludf.DUMMYFUNCTION("""COMPUTED_VALUE"""),44398.0)</f>
        <v>44398</v>
      </c>
      <c r="F390" s="129"/>
      <c r="G390" s="154" t="str">
        <f>IFERROR(__xludf.DUMMYFUNCTION("""COMPUTED_VALUE"""),"Manage order page (normal text)")</f>
        <v>Manage order page (normal text)</v>
      </c>
      <c r="H390" s="131"/>
      <c r="I390" s="144"/>
      <c r="J390" s="129">
        <f>IFERROR(__xludf.DUMMYFUNCTION("""COMPUTED_VALUE"""),44449.0)</f>
        <v>44449</v>
      </c>
      <c r="K390" s="133"/>
      <c r="L390" s="133"/>
      <c r="M390" s="133">
        <f>IFERROR(__xludf.DUMMYFUNCTION("""COMPUTED_VALUE"""),51.0)</f>
        <v>51</v>
      </c>
      <c r="N390" s="152" t="str">
        <f>IFERROR(__xludf.DUMMYFUNCTION("""COMPUTED_VALUE"""),"Model 3 LR AWD")</f>
        <v>Model 3 LR AWD</v>
      </c>
      <c r="O390" s="152" t="str">
        <f>IFERROR(__xludf.DUMMYFUNCTION("""COMPUTED_VALUE"""),"Pearl White Multi-Coat")</f>
        <v>Pearl White Multi-Coat</v>
      </c>
      <c r="P390" s="153" t="str">
        <f>IFERROR(__xludf.DUMMYFUNCTION("""COMPUTED_VALUE"""),"18 inch")</f>
        <v>18 inch</v>
      </c>
      <c r="Q390" s="152" t="str">
        <f>IFERROR(__xludf.DUMMYFUNCTION("""COMPUTED_VALUE"""),"All Black")</f>
        <v>All Black</v>
      </c>
      <c r="R390" s="149" t="str">
        <f>IFERROR(__xludf.DUMMYFUNCTION("""COMPUTED_VALUE"""),"Autopilot included")</f>
        <v>Autopilot included</v>
      </c>
      <c r="S390" s="149" t="str">
        <f>IFERROR(__xludf.DUMMYFUNCTION("""COMPUTED_VALUE"""),"Loan")</f>
        <v>Loan</v>
      </c>
      <c r="T390" s="145" t="str">
        <f>IFERROR(__xludf.DUMMYFUNCTION("""COMPUTED_VALUE"""),"Model 3 will be my first car!")</f>
        <v>Model 3 will be my first car!</v>
      </c>
      <c r="U390" s="145" t="str">
        <f>IFERROR(__xludf.DUMMYFUNCTION("""COMPUTED_VALUE"""),"Electric!")</f>
        <v>Electric!</v>
      </c>
      <c r="V390" s="145" t="str">
        <f>IFERROR(__xludf.DUMMYFUNCTION("""COMPUTED_VALUE"""),"Apple CarPlay / Android Auto / SiriusXM Radio")</f>
        <v>Apple CarPlay / Android Auto / SiriusXM Radio</v>
      </c>
      <c r="W390" s="145"/>
      <c r="X390" s="137"/>
      <c r="Y390" s="138"/>
      <c r="Z390" s="138"/>
      <c r="AA390" s="138"/>
      <c r="AB390" s="138"/>
      <c r="AC390" s="139"/>
      <c r="AD390" s="139"/>
      <c r="AE390" s="139"/>
      <c r="AF390" s="140"/>
      <c r="AG390" s="145"/>
      <c r="AH390" s="157">
        <f>IFERROR(__xludf.DUMMYFUNCTION("""COMPUTED_VALUE"""),44441.279698680555)</f>
        <v>44441.2797</v>
      </c>
      <c r="AI390" s="138"/>
      <c r="AJ390" s="138"/>
      <c r="AK390" s="138"/>
      <c r="AL390" s="142"/>
    </row>
    <row r="391" ht="20.25" customHeight="1">
      <c r="A391" s="155" t="str">
        <f>IFERROR(__xludf.DUMMYFUNCTION("""COMPUTED_VALUE"""),"wiswanson")</f>
        <v>wiswanson</v>
      </c>
      <c r="B391" s="150" t="str">
        <f>IFERROR(__xludf.DUMMYFUNCTION("""COMPUTED_VALUE"""),"Madison")</f>
        <v>Madison</v>
      </c>
      <c r="C391" s="150" t="str">
        <f>IFERROR(__xludf.DUMMYFUNCTION("""COMPUTED_VALUE"""),"WI")</f>
        <v>WI</v>
      </c>
      <c r="D391" s="150" t="str">
        <f>IFERROR(__xludf.DUMMYFUNCTION("""COMPUTED_VALUE"""),"USA")</f>
        <v>USA</v>
      </c>
      <c r="E391" s="156">
        <f>IFERROR(__xludf.DUMMYFUNCTION("""COMPUTED_VALUE"""),44398.0)</f>
        <v>44398</v>
      </c>
      <c r="F391" s="129">
        <f>IFERROR(__xludf.DUMMYFUNCTION("""COMPUTED_VALUE"""),44457.0)</f>
        <v>44457</v>
      </c>
      <c r="G391" s="154" t="str">
        <f>IFERROR(__xludf.DUMMYFUNCTION("""COMPUTED_VALUE"""),"Text message")</f>
        <v>Text message</v>
      </c>
      <c r="H391" s="131">
        <f>IFERROR(__xludf.DUMMYFUNCTION("""COMPUTED_VALUE"""),62955.0)</f>
        <v>62955</v>
      </c>
      <c r="I391" s="132" t="str">
        <f>IFERROR(__xludf.DUMMYFUNCTION("""COMPUTED_VALUE"""),"09/21")</f>
        <v>09/21</v>
      </c>
      <c r="J391" s="129">
        <f>IFERROR(__xludf.DUMMYFUNCTION("""COMPUTED_VALUE"""),44457.0)</f>
        <v>44457</v>
      </c>
      <c r="K391" s="133">
        <f>IFERROR(__xludf.DUMMYFUNCTION("""COMPUTED_VALUE"""),59.0)</f>
        <v>59</v>
      </c>
      <c r="L391" s="133">
        <f>IFERROR(__xludf.DUMMYFUNCTION("""COMPUTED_VALUE"""),0.0)</f>
        <v>0</v>
      </c>
      <c r="M391" s="133">
        <f>IFERROR(__xludf.DUMMYFUNCTION("""COMPUTED_VALUE"""),59.0)</f>
        <v>59</v>
      </c>
      <c r="N391" s="152" t="str">
        <f>IFERROR(__xludf.DUMMYFUNCTION("""COMPUTED_VALUE"""),"Model 3 SR+")</f>
        <v>Model 3 SR+</v>
      </c>
      <c r="O391" s="152" t="str">
        <f>IFERROR(__xludf.DUMMYFUNCTION("""COMPUTED_VALUE"""),"Pearl White Multi-Coat")</f>
        <v>Pearl White Multi-Coat</v>
      </c>
      <c r="P391" s="153" t="str">
        <f>IFERROR(__xludf.DUMMYFUNCTION("""COMPUTED_VALUE"""),"18 inch")</f>
        <v>18 inch</v>
      </c>
      <c r="Q391" s="152" t="str">
        <f>IFERROR(__xludf.DUMMYFUNCTION("""COMPUTED_VALUE"""),"All Black")</f>
        <v>All Black</v>
      </c>
      <c r="R391" s="150" t="str">
        <f>IFERROR(__xludf.DUMMYFUNCTION("""COMPUTED_VALUE"""),"Autopilot included")</f>
        <v>Autopilot included</v>
      </c>
      <c r="S391" s="150" t="str">
        <f>IFERROR(__xludf.DUMMYFUNCTION("""COMPUTED_VALUE"""),"Loan")</f>
        <v>Loan</v>
      </c>
      <c r="T391" s="136"/>
      <c r="U391" s="136" t="str">
        <f>IFERROR(__xludf.DUMMYFUNCTION("""COMPUTED_VALUE"""),"Electric!")</f>
        <v>Electric!</v>
      </c>
      <c r="V391" s="136" t="str">
        <f>IFERROR(__xludf.DUMMYFUNCTION("""COMPUTED_VALUE"""),"Bioweapon defense mode")</f>
        <v>Bioweapon defense mode</v>
      </c>
      <c r="W391" s="136" t="str">
        <f>IFERROR(__xludf.DUMMYFUNCTION("""COMPUTED_VALUE"""),"Got VIN and was able to pick up same day by calling service center.")</f>
        <v>Got VIN and was able to pick up same day by calling service center.</v>
      </c>
      <c r="X391" s="137"/>
      <c r="Y391" s="138"/>
      <c r="Z391" s="138"/>
      <c r="AA391" s="138"/>
      <c r="AB391" s="138"/>
      <c r="AC391" s="139"/>
      <c r="AD391" s="139"/>
      <c r="AE391" s="139"/>
      <c r="AF391" s="140" t="str">
        <f>IFERROR(__xludf.DUMMYFUNCTION("""COMPUTED_VALUE"""),"No. I took delivery of the first car Tesla was able to deliver.")</f>
        <v>No. I took delivery of the first car Tesla was able to deliver.</v>
      </c>
      <c r="AG391" s="136" t="str">
        <f>IFERROR(__xludf.DUMMYFUNCTION("""COMPUTED_VALUE"""),"If you don't want an LFP SR+, it could take awhile!")</f>
        <v>If you don't want an LFP SR+, it could take awhile!</v>
      </c>
      <c r="AH391" s="157">
        <f>IFERROR(__xludf.DUMMYFUNCTION("""COMPUTED_VALUE"""),44458.43717662037)</f>
        <v>44458.43718</v>
      </c>
      <c r="AI391" s="138"/>
      <c r="AJ391" s="138"/>
      <c r="AK391" s="138"/>
      <c r="AL391" s="142"/>
    </row>
    <row r="392" ht="20.25" customHeight="1">
      <c r="A392" s="155" t="str">
        <f>IFERROR(__xludf.DUMMYFUNCTION("""COMPUTED_VALUE"""),"cairn")</f>
        <v>cairn</v>
      </c>
      <c r="B392" s="149" t="str">
        <f>IFERROR(__xludf.DUMMYFUNCTION("""COMPUTED_VALUE"""),"Victoria")</f>
        <v>Victoria</v>
      </c>
      <c r="C392" s="149" t="str">
        <f>IFERROR(__xludf.DUMMYFUNCTION("""COMPUTED_VALUE"""),"BC")</f>
        <v>BC</v>
      </c>
      <c r="D392" s="149" t="str">
        <f>IFERROR(__xludf.DUMMYFUNCTION("""COMPUTED_VALUE"""),"Canada")</f>
        <v>Canada</v>
      </c>
      <c r="E392" s="156">
        <f>IFERROR(__xludf.DUMMYFUNCTION("""COMPUTED_VALUE"""),44397.0)</f>
        <v>44397</v>
      </c>
      <c r="F392" s="129">
        <f>IFERROR(__xludf.DUMMYFUNCTION("""COMPUTED_VALUE"""),44423.0)</f>
        <v>44423</v>
      </c>
      <c r="G392" s="154" t="str">
        <f>IFERROR(__xludf.DUMMYFUNCTION("""COMPUTED_VALUE"""),"Existing Inventory Page")</f>
        <v>Existing Inventory Page</v>
      </c>
      <c r="H392" s="131">
        <f>IFERROR(__xludf.DUMMYFUNCTION("""COMPUTED_VALUE"""),27355.0)</f>
        <v>27355</v>
      </c>
      <c r="I392" s="132"/>
      <c r="J392" s="129">
        <f>IFERROR(__xludf.DUMMYFUNCTION("""COMPUTED_VALUE"""),44429.0)</f>
        <v>44429</v>
      </c>
      <c r="K392" s="133">
        <f>IFERROR(__xludf.DUMMYFUNCTION("""COMPUTED_VALUE"""),26.0)</f>
        <v>26</v>
      </c>
      <c r="L392" s="133">
        <f>IFERROR(__xludf.DUMMYFUNCTION("""COMPUTED_VALUE"""),6.0)</f>
        <v>6</v>
      </c>
      <c r="M392" s="133">
        <f>IFERROR(__xludf.DUMMYFUNCTION("""COMPUTED_VALUE"""),32.0)</f>
        <v>32</v>
      </c>
      <c r="N392" s="152" t="str">
        <f>IFERROR(__xludf.DUMMYFUNCTION("""COMPUTED_VALUE"""),"Model 3 SR+")</f>
        <v>Model 3 SR+</v>
      </c>
      <c r="O392" s="152" t="str">
        <f>IFERROR(__xludf.DUMMYFUNCTION("""COMPUTED_VALUE"""),"Midnight Silver Metallic")</f>
        <v>Midnight Silver Metallic</v>
      </c>
      <c r="P392" s="153" t="str">
        <f>IFERROR(__xludf.DUMMYFUNCTION("""COMPUTED_VALUE"""),"19 inch")</f>
        <v>19 inch</v>
      </c>
      <c r="Q392" s="152" t="str">
        <f>IFERROR(__xludf.DUMMYFUNCTION("""COMPUTED_VALUE"""),"All Black")</f>
        <v>All Black</v>
      </c>
      <c r="R392" s="150" t="str">
        <f>IFERROR(__xludf.DUMMYFUNCTION("""COMPUTED_VALUE"""),"Autopilot included")</f>
        <v>Autopilot included</v>
      </c>
      <c r="S392" s="150" t="str">
        <f>IFERROR(__xludf.DUMMYFUNCTION("""COMPUTED_VALUE"""),"Loan")</f>
        <v>Loan</v>
      </c>
      <c r="T392" s="136" t="str">
        <f>IFERROR(__xludf.DUMMYFUNCTION("""COMPUTED_VALUE"""),"Model 3 will be my first car!")</f>
        <v>Model 3 will be my first car!</v>
      </c>
      <c r="U392" s="136" t="str">
        <f>IFERROR(__xludf.DUMMYFUNCTION("""COMPUTED_VALUE"""),"Electric!")</f>
        <v>Electric!</v>
      </c>
      <c r="V392" s="136" t="str">
        <f>IFERROR(__xludf.DUMMYFUNCTION("""COMPUTED_VALUE"""),"360° Bird's eye view")</f>
        <v>360° Bird's eye view</v>
      </c>
      <c r="W392" s="136"/>
      <c r="X392" s="137"/>
      <c r="Y392" s="138"/>
      <c r="Z392" s="138"/>
      <c r="AA392" s="138"/>
      <c r="AB392" s="138"/>
      <c r="AC392" s="139"/>
      <c r="AD392" s="139"/>
      <c r="AE392" s="139"/>
      <c r="AF392" s="140"/>
      <c r="AG392" s="136"/>
      <c r="AH392" s="157">
        <f>IFERROR(__xludf.DUMMYFUNCTION("""COMPUTED_VALUE"""),44425.3853562963)</f>
        <v>44425.38536</v>
      </c>
      <c r="AI392" s="138"/>
      <c r="AJ392" s="138"/>
      <c r="AK392" s="138"/>
      <c r="AL392" s="142"/>
    </row>
    <row r="393" ht="20.25" customHeight="1">
      <c r="A393" s="155" t="str">
        <f>IFERROR(__xludf.DUMMYFUNCTION("""COMPUTED_VALUE"""),"cwolfie")</f>
        <v>cwolfie</v>
      </c>
      <c r="B393" s="149" t="str">
        <f>IFERROR(__xludf.DUMMYFUNCTION("""COMPUTED_VALUE"""),"Durham")</f>
        <v>Durham</v>
      </c>
      <c r="C393" s="149" t="str">
        <f>IFERROR(__xludf.DUMMYFUNCTION("""COMPUTED_VALUE"""),"NC")</f>
        <v>NC</v>
      </c>
      <c r="D393" s="149" t="str">
        <f>IFERROR(__xludf.DUMMYFUNCTION("""COMPUTED_VALUE"""),"USA")</f>
        <v>USA</v>
      </c>
      <c r="E393" s="156">
        <f>IFERROR(__xludf.DUMMYFUNCTION("""COMPUTED_VALUE"""),44397.0)</f>
        <v>44397</v>
      </c>
      <c r="F393" s="129">
        <f>IFERROR(__xludf.DUMMYFUNCTION("""COMPUTED_VALUE"""),44427.0)</f>
        <v>44427</v>
      </c>
      <c r="G393" s="154" t="str">
        <f>IFERROR(__xludf.DUMMYFUNCTION("""COMPUTED_VALUE"""),"Manage order page (normal text)")</f>
        <v>Manage order page (normal text)</v>
      </c>
      <c r="H393" s="131"/>
      <c r="I393" s="144"/>
      <c r="J393" s="129"/>
      <c r="K393" s="133">
        <f>IFERROR(__xludf.DUMMYFUNCTION("""COMPUTED_VALUE"""),30.0)</f>
        <v>30</v>
      </c>
      <c r="L393" s="133"/>
      <c r="M393" s="133"/>
      <c r="N393" s="152" t="str">
        <f>IFERROR(__xludf.DUMMYFUNCTION("""COMPUTED_VALUE"""),"Model 3 LR AWD")</f>
        <v>Model 3 LR AWD</v>
      </c>
      <c r="O393" s="152" t="str">
        <f>IFERROR(__xludf.DUMMYFUNCTION("""COMPUTED_VALUE"""),"Solid Black")</f>
        <v>Solid Black</v>
      </c>
      <c r="P393" s="153" t="str">
        <f>IFERROR(__xludf.DUMMYFUNCTION("""COMPUTED_VALUE"""),"18 inch")</f>
        <v>18 inch</v>
      </c>
      <c r="Q393" s="152" t="str">
        <f>IFERROR(__xludf.DUMMYFUNCTION("""COMPUTED_VALUE"""),"All Black")</f>
        <v>All Black</v>
      </c>
      <c r="R393" s="149" t="str">
        <f>IFERROR(__xludf.DUMMYFUNCTION("""COMPUTED_VALUE"""),"Autopilot included")</f>
        <v>Autopilot included</v>
      </c>
      <c r="S393" s="149" t="str">
        <f>IFERROR(__xludf.DUMMYFUNCTION("""COMPUTED_VALUE"""),"Loan")</f>
        <v>Loan</v>
      </c>
      <c r="T393" s="145"/>
      <c r="U393" s="145"/>
      <c r="V393" s="145"/>
      <c r="W393" s="136"/>
      <c r="X393" s="137"/>
      <c r="Y393" s="138"/>
      <c r="Z393" s="138"/>
      <c r="AA393" s="138"/>
      <c r="AB393" s="138"/>
      <c r="AC393" s="139"/>
      <c r="AD393" s="139"/>
      <c r="AE393" s="139"/>
      <c r="AF393" s="140"/>
      <c r="AG393" s="145"/>
      <c r="AH393" s="157">
        <f>IFERROR(__xludf.DUMMYFUNCTION("""COMPUTED_VALUE"""),44427.53171074074)</f>
        <v>44427.53171</v>
      </c>
      <c r="AI393" s="138"/>
      <c r="AJ393" s="138"/>
      <c r="AK393" s="138"/>
      <c r="AL393" s="142"/>
    </row>
    <row r="394" ht="20.25" customHeight="1">
      <c r="A394" s="155" t="str">
        <f>IFERROR(__xludf.DUMMYFUNCTION("""COMPUTED_VALUE"""),"djjimboy")</f>
        <v>djjimboy</v>
      </c>
      <c r="B394" s="149" t="str">
        <f>IFERROR(__xludf.DUMMYFUNCTION("""COMPUTED_VALUE"""),"PDX")</f>
        <v>PDX</v>
      </c>
      <c r="C394" s="149" t="str">
        <f>IFERROR(__xludf.DUMMYFUNCTION("""COMPUTED_VALUE"""),"OR")</f>
        <v>OR</v>
      </c>
      <c r="D394" s="149" t="str">
        <f>IFERROR(__xludf.DUMMYFUNCTION("""COMPUTED_VALUE"""),"USA")</f>
        <v>USA</v>
      </c>
      <c r="E394" s="156">
        <f>IFERROR(__xludf.DUMMYFUNCTION("""COMPUTED_VALUE"""),44397.0)</f>
        <v>44397</v>
      </c>
      <c r="F394" s="129">
        <f>IFERROR(__xludf.DUMMYFUNCTION("""COMPUTED_VALUE"""),44473.0)</f>
        <v>44473</v>
      </c>
      <c r="G394" s="154" t="str">
        <f>IFERROR(__xludf.DUMMYFUNCTION("""COMPUTED_VALUE"""),"Email")</f>
        <v>Email</v>
      </c>
      <c r="H394" s="131"/>
      <c r="I394" s="132"/>
      <c r="J394" s="129">
        <f>IFERROR(__xludf.DUMMYFUNCTION("""COMPUTED_VALUE"""),44478.0)</f>
        <v>44478</v>
      </c>
      <c r="K394" s="133">
        <f>IFERROR(__xludf.DUMMYFUNCTION("""COMPUTED_VALUE"""),76.0)</f>
        <v>76</v>
      </c>
      <c r="L394" s="133">
        <f>IFERROR(__xludf.DUMMYFUNCTION("""COMPUTED_VALUE"""),5.0)</f>
        <v>5</v>
      </c>
      <c r="M394" s="133">
        <f>IFERROR(__xludf.DUMMYFUNCTION("""COMPUTED_VALUE"""),81.0)</f>
        <v>81</v>
      </c>
      <c r="N394" s="152" t="str">
        <f>IFERROR(__xludf.DUMMYFUNCTION("""COMPUTED_VALUE"""),"Model 3 SR+")</f>
        <v>Model 3 SR+</v>
      </c>
      <c r="O394" s="152"/>
      <c r="P394" s="153" t="str">
        <f>IFERROR(__xludf.DUMMYFUNCTION("""COMPUTED_VALUE"""),"18 inch")</f>
        <v>18 inch</v>
      </c>
      <c r="Q394" s="152" t="str">
        <f>IFERROR(__xludf.DUMMYFUNCTION("""COMPUTED_VALUE"""),"All Black")</f>
        <v>All Black</v>
      </c>
      <c r="R394" s="150" t="str">
        <f>IFERROR(__xludf.DUMMYFUNCTION("""COMPUTED_VALUE"""),"Autopilot included")</f>
        <v>Autopilot included</v>
      </c>
      <c r="S394" s="150" t="str">
        <f>IFERROR(__xludf.DUMMYFUNCTION("""COMPUTED_VALUE"""),"Loan")</f>
        <v>Loan</v>
      </c>
      <c r="T394" s="136"/>
      <c r="U394" s="136"/>
      <c r="V394" s="136"/>
      <c r="W394" s="136"/>
      <c r="X394" s="137"/>
      <c r="Y394" s="138"/>
      <c r="Z394" s="138"/>
      <c r="AA394" s="138"/>
      <c r="AB394" s="138"/>
      <c r="AC394" s="139"/>
      <c r="AD394" s="139"/>
      <c r="AE394" s="139"/>
      <c r="AF394" s="140"/>
      <c r="AG394" s="136"/>
      <c r="AH394" s="157">
        <f>IFERROR(__xludf.DUMMYFUNCTION("""COMPUTED_VALUE"""),44479.182871192126)</f>
        <v>44479.18287</v>
      </c>
      <c r="AI394" s="138"/>
      <c r="AJ394" s="138"/>
      <c r="AK394" s="138"/>
      <c r="AL394" s="142"/>
    </row>
    <row r="395" ht="20.25" customHeight="1">
      <c r="A395" s="155" t="str">
        <f>IFERROR(__xludf.DUMMYFUNCTION("""COMPUTED_VALUE"""),"inlo")</f>
        <v>inlo</v>
      </c>
      <c r="B395" s="149" t="str">
        <f>IFERROR(__xludf.DUMMYFUNCTION("""COMPUTED_VALUE"""),"Charlotte")</f>
        <v>Charlotte</v>
      </c>
      <c r="C395" s="149" t="str">
        <f>IFERROR(__xludf.DUMMYFUNCTION("""COMPUTED_VALUE"""),"NC")</f>
        <v>NC</v>
      </c>
      <c r="D395" s="149" t="str">
        <f>IFERROR(__xludf.DUMMYFUNCTION("""COMPUTED_VALUE"""),"USA")</f>
        <v>USA</v>
      </c>
      <c r="E395" s="156">
        <f>IFERROR(__xludf.DUMMYFUNCTION("""COMPUTED_VALUE"""),44397.0)</f>
        <v>44397</v>
      </c>
      <c r="F395" s="129"/>
      <c r="G395" s="154"/>
      <c r="H395" s="131"/>
      <c r="I395" s="132"/>
      <c r="J395" s="129"/>
      <c r="K395" s="133"/>
      <c r="L395" s="133"/>
      <c r="M395" s="133"/>
      <c r="N395" s="152" t="str">
        <f>IFERROR(__xludf.DUMMYFUNCTION("""COMPUTED_VALUE"""),"Model 3 SR+")</f>
        <v>Model 3 SR+</v>
      </c>
      <c r="O395" s="152" t="str">
        <f>IFERROR(__xludf.DUMMYFUNCTION("""COMPUTED_VALUE"""),"Deep Blue Metallic")</f>
        <v>Deep Blue Metallic</v>
      </c>
      <c r="P395" s="153" t="str">
        <f>IFERROR(__xludf.DUMMYFUNCTION("""COMPUTED_VALUE"""),"18 inch")</f>
        <v>18 inch</v>
      </c>
      <c r="Q395" s="152" t="str">
        <f>IFERROR(__xludf.DUMMYFUNCTION("""COMPUTED_VALUE"""),"All Black")</f>
        <v>All Black</v>
      </c>
      <c r="R395" s="150" t="str">
        <f>IFERROR(__xludf.DUMMYFUNCTION("""COMPUTED_VALUE"""),"Autopilot included")</f>
        <v>Autopilot included</v>
      </c>
      <c r="S395" s="150" t="str">
        <f>IFERROR(__xludf.DUMMYFUNCTION("""COMPUTED_VALUE"""),"Loan")</f>
        <v>Loan</v>
      </c>
      <c r="T395" s="136" t="str">
        <f>IFERROR(__xludf.DUMMYFUNCTION("""COMPUTED_VALUE"""),"Ford Edge")</f>
        <v>Ford Edge</v>
      </c>
      <c r="U395" s="136" t="str">
        <f>IFERROR(__xludf.DUMMYFUNCTION("""COMPUTED_VALUE"""),"Electric!")</f>
        <v>Electric!</v>
      </c>
      <c r="V395" s="136" t="str">
        <f>IFERROR(__xludf.DUMMYFUNCTION("""COMPUTED_VALUE"""),"Ventilated seats")</f>
        <v>Ventilated seats</v>
      </c>
      <c r="W395" s="136"/>
      <c r="X395" s="137"/>
      <c r="Y395" s="138"/>
      <c r="Z395" s="138"/>
      <c r="AA395" s="138"/>
      <c r="AB395" s="138"/>
      <c r="AC395" s="139"/>
      <c r="AD395" s="139"/>
      <c r="AE395" s="139"/>
      <c r="AF395" s="140"/>
      <c r="AG395" s="136"/>
      <c r="AH395" s="157">
        <f>IFERROR(__xludf.DUMMYFUNCTION("""COMPUTED_VALUE"""),44426.39479215278)</f>
        <v>44426.39479</v>
      </c>
      <c r="AI395" s="138"/>
      <c r="AJ395" s="138"/>
      <c r="AK395" s="138"/>
      <c r="AL395" s="142"/>
    </row>
    <row r="396" ht="20.25" customHeight="1">
      <c r="A396" s="155" t="str">
        <f>IFERROR(__xludf.DUMMYFUNCTION("""COMPUTED_VALUE"""),"KEMPD31")</f>
        <v>KEMPD31</v>
      </c>
      <c r="B396" s="149"/>
      <c r="C396" s="149"/>
      <c r="D396" s="149" t="str">
        <f>IFERROR(__xludf.DUMMYFUNCTION("""COMPUTED_VALUE"""),"USA")</f>
        <v>USA</v>
      </c>
      <c r="E396" s="156">
        <f>IFERROR(__xludf.DUMMYFUNCTION("""COMPUTED_VALUE"""),44397.0)</f>
        <v>44397</v>
      </c>
      <c r="F396" s="129">
        <f>IFERROR(__xludf.DUMMYFUNCTION("""COMPUTED_VALUE"""),44433.0)</f>
        <v>44433</v>
      </c>
      <c r="G396" s="154" t="str">
        <f>IFERROR(__xludf.DUMMYFUNCTION("""COMPUTED_VALUE"""),"Manage order page (normal text)")</f>
        <v>Manage order page (normal text)</v>
      </c>
      <c r="H396" s="131"/>
      <c r="I396" s="132"/>
      <c r="J396" s="129"/>
      <c r="K396" s="133">
        <f>IFERROR(__xludf.DUMMYFUNCTION("""COMPUTED_VALUE"""),36.0)</f>
        <v>36</v>
      </c>
      <c r="L396" s="133"/>
      <c r="M396" s="133"/>
      <c r="N396" s="152" t="str">
        <f>IFERROR(__xludf.DUMMYFUNCTION("""COMPUTED_VALUE"""),"Model 3 LR AWD")</f>
        <v>Model 3 LR AWD</v>
      </c>
      <c r="O396" s="152"/>
      <c r="P396" s="153"/>
      <c r="Q396" s="152"/>
      <c r="R396" s="150"/>
      <c r="S396" s="150"/>
      <c r="T396" s="136"/>
      <c r="U396" s="136"/>
      <c r="V396" s="136"/>
      <c r="W396" s="136"/>
      <c r="X396" s="137"/>
      <c r="Y396" s="138"/>
      <c r="Z396" s="138"/>
      <c r="AA396" s="138"/>
      <c r="AB396" s="138"/>
      <c r="AC396" s="139"/>
      <c r="AD396" s="139"/>
      <c r="AE396" s="139"/>
      <c r="AF396" s="140"/>
      <c r="AG396" s="136"/>
      <c r="AH396" s="157">
        <f>IFERROR(__xludf.DUMMYFUNCTION("""COMPUTED_VALUE"""),44434.494832847224)</f>
        <v>44434.49483</v>
      </c>
      <c r="AI396" s="138"/>
      <c r="AJ396" s="138"/>
      <c r="AK396" s="138"/>
      <c r="AL396" s="142"/>
    </row>
    <row r="397" ht="20.25" customHeight="1">
      <c r="A397" s="155" t="str">
        <f>IFERROR(__xludf.DUMMYFUNCTION("""COMPUTED_VALUE"""),"Lgv50")</f>
        <v>Lgv50</v>
      </c>
      <c r="B397" s="149" t="str">
        <f>IFERROR(__xludf.DUMMYFUNCTION("""COMPUTED_VALUE"""),"Fort Wayne")</f>
        <v>Fort Wayne</v>
      </c>
      <c r="C397" s="149" t="str">
        <f>IFERROR(__xludf.DUMMYFUNCTION("""COMPUTED_VALUE"""),"IN")</f>
        <v>IN</v>
      </c>
      <c r="D397" s="149" t="str">
        <f>IFERROR(__xludf.DUMMYFUNCTION("""COMPUTED_VALUE"""),"USA")</f>
        <v>USA</v>
      </c>
      <c r="E397" s="156">
        <f>IFERROR(__xludf.DUMMYFUNCTION("""COMPUTED_VALUE"""),44397.0)</f>
        <v>44397</v>
      </c>
      <c r="F397" s="129">
        <f>IFERROR(__xludf.DUMMYFUNCTION("""COMPUTED_VALUE"""),44437.0)</f>
        <v>44437</v>
      </c>
      <c r="G397" s="154" t="str">
        <f>IFERROR(__xludf.DUMMYFUNCTION("""COMPUTED_VALUE"""),"Email")</f>
        <v>Email</v>
      </c>
      <c r="H397" s="131">
        <f>IFERROR(__xludf.DUMMYFUNCTION("""COMPUTED_VALUE"""),54185.0)</f>
        <v>54185</v>
      </c>
      <c r="I397" s="132"/>
      <c r="J397" s="129"/>
      <c r="K397" s="133">
        <f>IFERROR(__xludf.DUMMYFUNCTION("""COMPUTED_VALUE"""),40.0)</f>
        <v>40</v>
      </c>
      <c r="L397" s="133"/>
      <c r="M397" s="133"/>
      <c r="N397" s="152" t="str">
        <f>IFERROR(__xludf.DUMMYFUNCTION("""COMPUTED_VALUE"""),"Model 3 SR+")</f>
        <v>Model 3 SR+</v>
      </c>
      <c r="O397" s="152" t="str">
        <f>IFERROR(__xludf.DUMMYFUNCTION("""COMPUTED_VALUE"""),"Midnight Silver Metallic")</f>
        <v>Midnight Silver Metallic</v>
      </c>
      <c r="P397" s="153" t="str">
        <f>IFERROR(__xludf.DUMMYFUNCTION("""COMPUTED_VALUE"""),"18 inch")</f>
        <v>18 inch</v>
      </c>
      <c r="Q397" s="152" t="str">
        <f>IFERROR(__xludf.DUMMYFUNCTION("""COMPUTED_VALUE"""),"All Black")</f>
        <v>All Black</v>
      </c>
      <c r="R397" s="150" t="str">
        <f>IFERROR(__xludf.DUMMYFUNCTION("""COMPUTED_VALUE"""),"Autopilot included")</f>
        <v>Autopilot included</v>
      </c>
      <c r="S397" s="150" t="str">
        <f>IFERROR(__xludf.DUMMYFUNCTION("""COMPUTED_VALUE"""),"Loan")</f>
        <v>Loan</v>
      </c>
      <c r="T397" s="136" t="str">
        <f>IFERROR(__xludf.DUMMYFUNCTION("""COMPUTED_VALUE"""),"Mazda 6")</f>
        <v>Mazda 6</v>
      </c>
      <c r="U397" s="136" t="str">
        <f>IFERROR(__xludf.DUMMYFUNCTION("""COMPUTED_VALUE"""),"All-glass roof")</f>
        <v>All-glass roof</v>
      </c>
      <c r="V397" s="136" t="str">
        <f>IFERROR(__xludf.DUMMYFUNCTION("""COMPUTED_VALUE"""),"Head-up display")</f>
        <v>Head-up display</v>
      </c>
      <c r="W397" s="136"/>
      <c r="X397" s="137"/>
      <c r="Y397" s="138"/>
      <c r="Z397" s="138"/>
      <c r="AA397" s="138"/>
      <c r="AB397" s="138"/>
      <c r="AC397" s="139"/>
      <c r="AD397" s="139"/>
      <c r="AE397" s="139"/>
      <c r="AF397" s="140"/>
      <c r="AG397" s="136"/>
      <c r="AH397" s="157">
        <f>IFERROR(__xludf.DUMMYFUNCTION("""COMPUTED_VALUE"""),44437.47523300926)</f>
        <v>44437.47523</v>
      </c>
      <c r="AI397" s="138"/>
      <c r="AJ397" s="138"/>
      <c r="AK397" s="138"/>
      <c r="AL397" s="142"/>
    </row>
    <row r="398" ht="20.25" customHeight="1">
      <c r="A398" s="155" t="str">
        <f>IFERROR(__xludf.DUMMYFUNCTION("""COMPUTED_VALUE"""),"hazel524")</f>
        <v>hazel524</v>
      </c>
      <c r="B398" s="149" t="str">
        <f>IFERROR(__xludf.DUMMYFUNCTION("""COMPUTED_VALUE"""),"Atlanta")</f>
        <v>Atlanta</v>
      </c>
      <c r="C398" s="149" t="str">
        <f>IFERROR(__xludf.DUMMYFUNCTION("""COMPUTED_VALUE"""),"GA")</f>
        <v>GA</v>
      </c>
      <c r="D398" s="149" t="str">
        <f>IFERROR(__xludf.DUMMYFUNCTION("""COMPUTED_VALUE"""),"USA")</f>
        <v>USA</v>
      </c>
      <c r="E398" s="156">
        <f>IFERROR(__xludf.DUMMYFUNCTION("""COMPUTED_VALUE"""),44396.0)</f>
        <v>44396</v>
      </c>
      <c r="F398" s="129"/>
      <c r="G398" s="154"/>
      <c r="H398" s="131"/>
      <c r="I398" s="144"/>
      <c r="J398" s="129"/>
      <c r="K398" s="133"/>
      <c r="L398" s="133"/>
      <c r="M398" s="133"/>
      <c r="N398" s="152" t="str">
        <f>IFERROR(__xludf.DUMMYFUNCTION("""COMPUTED_VALUE"""),"Model 3 LR AWD")</f>
        <v>Model 3 LR AWD</v>
      </c>
      <c r="O398" s="152" t="str">
        <f>IFERROR(__xludf.DUMMYFUNCTION("""COMPUTED_VALUE"""),"Pearl White Multi-Coat")</f>
        <v>Pearl White Multi-Coat</v>
      </c>
      <c r="P398" s="153" t="str">
        <f>IFERROR(__xludf.DUMMYFUNCTION("""COMPUTED_VALUE"""),"19 inch")</f>
        <v>19 inch</v>
      </c>
      <c r="Q398" s="152" t="str">
        <f>IFERROR(__xludf.DUMMYFUNCTION("""COMPUTED_VALUE"""),"Black and White")</f>
        <v>Black and White</v>
      </c>
      <c r="R398" s="149" t="str">
        <f>IFERROR(__xludf.DUMMYFUNCTION("""COMPUTED_VALUE"""),"Autopilot included")</f>
        <v>Autopilot included</v>
      </c>
      <c r="S398" s="149" t="str">
        <f>IFERROR(__xludf.DUMMYFUNCTION("""COMPUTED_VALUE"""),"Loan")</f>
        <v>Loan</v>
      </c>
      <c r="T398" s="145" t="str">
        <f>IFERROR(__xludf.DUMMYFUNCTION("""COMPUTED_VALUE"""),"Hyundai Tuscon")</f>
        <v>Hyundai Tuscon</v>
      </c>
      <c r="U398" s="145" t="str">
        <f>IFERROR(__xludf.DUMMYFUNCTION("""COMPUTED_VALUE"""),"Electric!")</f>
        <v>Electric!</v>
      </c>
      <c r="V398" s="145" t="str">
        <f>IFERROR(__xludf.DUMMYFUNCTION("""COMPUTED_VALUE"""),"Apple CarPlay / Android Auto / SiriusXM Radio")</f>
        <v>Apple CarPlay / Android Auto / SiriusXM Radio</v>
      </c>
      <c r="W398" s="145"/>
      <c r="X398" s="151"/>
      <c r="Y398" s="138"/>
      <c r="Z398" s="138"/>
      <c r="AA398" s="138"/>
      <c r="AB398" s="138"/>
      <c r="AC398" s="139"/>
      <c r="AD398" s="139"/>
      <c r="AE398" s="139"/>
      <c r="AF398" s="140"/>
      <c r="AG398" s="145"/>
      <c r="AH398" s="157">
        <f>IFERROR(__xludf.DUMMYFUNCTION("""COMPUTED_VALUE"""),44424.66046296296)</f>
        <v>44424.66046</v>
      </c>
      <c r="AI398" s="138"/>
      <c r="AJ398" s="138"/>
      <c r="AK398" s="138"/>
      <c r="AL398" s="142"/>
    </row>
    <row r="399" ht="20.25" customHeight="1">
      <c r="A399" s="155" t="str">
        <f>IFERROR(__xludf.DUMMYFUNCTION("""COMPUTED_VALUE"""),"moodal_tree")</f>
        <v>moodal_tree</v>
      </c>
      <c r="B399" s="149" t="str">
        <f>IFERROR(__xludf.DUMMYFUNCTION("""COMPUTED_VALUE"""),"London")</f>
        <v>London</v>
      </c>
      <c r="C399" s="149"/>
      <c r="D399" s="149" t="str">
        <f>IFERROR(__xludf.DUMMYFUNCTION("""COMPUTED_VALUE"""),"United Kingdom")</f>
        <v>United Kingdom</v>
      </c>
      <c r="E399" s="156">
        <f>IFERROR(__xludf.DUMMYFUNCTION("""COMPUTED_VALUE"""),44396.0)</f>
        <v>44396</v>
      </c>
      <c r="F399" s="129">
        <f>IFERROR(__xludf.DUMMYFUNCTION("""COMPUTED_VALUE"""),44421.0)</f>
        <v>44421</v>
      </c>
      <c r="G399" s="154" t="str">
        <f>IFERROR(__xludf.DUMMYFUNCTION("""COMPUTED_VALUE"""),"Online Chat")</f>
        <v>Online Chat</v>
      </c>
      <c r="H399" s="131">
        <f>IFERROR(__xludf.DUMMYFUNCTION("""COMPUTED_VALUE"""),326255.0)</f>
        <v>326255</v>
      </c>
      <c r="I399" s="144"/>
      <c r="J399" s="129">
        <f>IFERROR(__xludf.DUMMYFUNCTION("""COMPUTED_VALUE"""),44468.0)</f>
        <v>44468</v>
      </c>
      <c r="K399" s="133">
        <f>IFERROR(__xludf.DUMMYFUNCTION("""COMPUTED_VALUE"""),25.0)</f>
        <v>25</v>
      </c>
      <c r="L399" s="133">
        <f>IFERROR(__xludf.DUMMYFUNCTION("""COMPUTED_VALUE"""),47.0)</f>
        <v>47</v>
      </c>
      <c r="M399" s="133">
        <f>IFERROR(__xludf.DUMMYFUNCTION("""COMPUTED_VALUE"""),72.0)</f>
        <v>72</v>
      </c>
      <c r="N399" s="152" t="str">
        <f>IFERROR(__xludf.DUMMYFUNCTION("""COMPUTED_VALUE"""),"Model 3 LR AWD")</f>
        <v>Model 3 LR AWD</v>
      </c>
      <c r="O399" s="152" t="str">
        <f>IFERROR(__xludf.DUMMYFUNCTION("""COMPUTED_VALUE"""),"Deep Blue Metallic")</f>
        <v>Deep Blue Metallic</v>
      </c>
      <c r="P399" s="153" t="str">
        <f>IFERROR(__xludf.DUMMYFUNCTION("""COMPUTED_VALUE"""),"18 inch")</f>
        <v>18 inch</v>
      </c>
      <c r="Q399" s="152" t="str">
        <f>IFERROR(__xludf.DUMMYFUNCTION("""COMPUTED_VALUE"""),"All Black")</f>
        <v>All Black</v>
      </c>
      <c r="R399" s="149" t="str">
        <f>IFERROR(__xludf.DUMMYFUNCTION("""COMPUTED_VALUE"""),"Autopilot included")</f>
        <v>Autopilot included</v>
      </c>
      <c r="S399" s="149" t="str">
        <f>IFERROR(__xludf.DUMMYFUNCTION("""COMPUTED_VALUE"""),"Loan")</f>
        <v>Loan</v>
      </c>
      <c r="T399" s="145" t="str">
        <f>IFERROR(__xludf.DUMMYFUNCTION("""COMPUTED_VALUE"""),"Golf R MK7.5")</f>
        <v>Golf R MK7.5</v>
      </c>
      <c r="U399" s="145" t="str">
        <f>IFERROR(__xludf.DUMMYFUNCTION("""COMPUTED_VALUE"""),"Everything, the Golf R was incredible, this is next level")</f>
        <v>Everything, the Golf R was incredible, this is next level</v>
      </c>
      <c r="V399" s="145" t="str">
        <f>IFERROR(__xludf.DUMMYFUNCTION("""COMPUTED_VALUE"""),"Blind spot indicators on side mirrors")</f>
        <v>Blind spot indicators on side mirrors</v>
      </c>
      <c r="W399" s="145"/>
      <c r="X399" s="137"/>
      <c r="Y399" s="138"/>
      <c r="Z399" s="138"/>
      <c r="AA399" s="138"/>
      <c r="AB399" s="138"/>
      <c r="AC399" s="139"/>
      <c r="AD399" s="139"/>
      <c r="AE399" s="139"/>
      <c r="AF399" s="140"/>
      <c r="AG399" s="145"/>
      <c r="AH399" s="157">
        <f>IFERROR(__xludf.DUMMYFUNCTION("""COMPUTED_VALUE"""),44450.414097094916)</f>
        <v>44450.4141</v>
      </c>
      <c r="AI399" s="138"/>
      <c r="AJ399" s="138"/>
      <c r="AK399" s="138"/>
      <c r="AL399" s="142"/>
    </row>
    <row r="400" ht="20.25" customHeight="1">
      <c r="A400" s="155" t="str">
        <f>IFERROR(__xludf.DUMMYFUNCTION("""COMPUTED_VALUE"""),"Dag")</f>
        <v>Dag</v>
      </c>
      <c r="B400" s="150" t="str">
        <f>IFERROR(__xludf.DUMMYFUNCTION("""COMPUTED_VALUE"""),"San Jose")</f>
        <v>San Jose</v>
      </c>
      <c r="C400" s="150" t="str">
        <f>IFERROR(__xludf.DUMMYFUNCTION("""COMPUTED_VALUE"""),"CA")</f>
        <v>CA</v>
      </c>
      <c r="D400" s="150" t="str">
        <f>IFERROR(__xludf.DUMMYFUNCTION("""COMPUTED_VALUE"""),"USA")</f>
        <v>USA</v>
      </c>
      <c r="E400" s="156">
        <f>IFERROR(__xludf.DUMMYFUNCTION("""COMPUTED_VALUE"""),44395.0)</f>
        <v>44395</v>
      </c>
      <c r="F400" s="129">
        <f>IFERROR(__xludf.DUMMYFUNCTION("""COMPUTED_VALUE"""),44460.0)</f>
        <v>44460</v>
      </c>
      <c r="G400" s="154" t="str">
        <f>IFERROR(__xludf.DUMMYFUNCTION("""COMPUTED_VALUE"""),"Manage order page (normal text)")</f>
        <v>Manage order page (normal text)</v>
      </c>
      <c r="H400" s="131">
        <f>IFERROR(__xludf.DUMMYFUNCTION("""COMPUTED_VALUE"""),71555.0)</f>
        <v>71555</v>
      </c>
      <c r="I400" s="132"/>
      <c r="J400" s="129">
        <f>IFERROR(__xludf.DUMMYFUNCTION("""COMPUTED_VALUE"""),44463.0)</f>
        <v>44463</v>
      </c>
      <c r="K400" s="133">
        <f>IFERROR(__xludf.DUMMYFUNCTION("""COMPUTED_VALUE"""),65.0)</f>
        <v>65</v>
      </c>
      <c r="L400" s="133">
        <f>IFERROR(__xludf.DUMMYFUNCTION("""COMPUTED_VALUE"""),3.0)</f>
        <v>3</v>
      </c>
      <c r="M400" s="133">
        <f>IFERROR(__xludf.DUMMYFUNCTION("""COMPUTED_VALUE"""),68.0)</f>
        <v>68</v>
      </c>
      <c r="N400" s="152" t="str">
        <f>IFERROR(__xludf.DUMMYFUNCTION("""COMPUTED_VALUE"""),"Model 3 Performance")</f>
        <v>Model 3 Performance</v>
      </c>
      <c r="O400" s="152" t="str">
        <f>IFERROR(__xludf.DUMMYFUNCTION("""COMPUTED_VALUE"""),"Pearl White Multi-Coat")</f>
        <v>Pearl White Multi-Coat</v>
      </c>
      <c r="P400" s="153" t="str">
        <f>IFERROR(__xludf.DUMMYFUNCTION("""COMPUTED_VALUE"""),"20 inch")</f>
        <v>20 inch</v>
      </c>
      <c r="Q400" s="152" t="str">
        <f>IFERROR(__xludf.DUMMYFUNCTION("""COMPUTED_VALUE"""),"All Black")</f>
        <v>All Black</v>
      </c>
      <c r="R400" s="150" t="str">
        <f>IFERROR(__xludf.DUMMYFUNCTION("""COMPUTED_VALUE"""),"Full Self-Driving")</f>
        <v>Full Self-Driving</v>
      </c>
      <c r="S400" s="150" t="str">
        <f>IFERROR(__xludf.DUMMYFUNCTION("""COMPUTED_VALUE"""),"Loan")</f>
        <v>Loan</v>
      </c>
      <c r="T400" s="136" t="str">
        <f>IFERROR(__xludf.DUMMYFUNCTION("""COMPUTED_VALUE"""),"Tesla Model 3")</f>
        <v>Tesla Model 3</v>
      </c>
      <c r="U400" s="136" t="str">
        <f>IFERROR(__xludf.DUMMYFUNCTION("""COMPUTED_VALUE"""),"Autopilot")</f>
        <v>Autopilot</v>
      </c>
      <c r="V400" s="136" t="str">
        <f>IFERROR(__xludf.DUMMYFUNCTION("""COMPUTED_VALUE"""),"Air suspension")</f>
        <v>Air suspension</v>
      </c>
      <c r="W400" s="136"/>
      <c r="X400" s="137"/>
      <c r="Y400" s="138"/>
      <c r="Z400" s="138"/>
      <c r="AA400" s="138"/>
      <c r="AB400" s="138"/>
      <c r="AC400" s="139"/>
      <c r="AD400" s="139"/>
      <c r="AE400" s="139"/>
      <c r="AF400" s="140"/>
      <c r="AG400" s="136"/>
      <c r="AH400" s="157">
        <f>IFERROR(__xludf.DUMMYFUNCTION("""COMPUTED_VALUE"""),44468.20299165509)</f>
        <v>44468.20299</v>
      </c>
      <c r="AI400" s="138"/>
      <c r="AJ400" s="138"/>
      <c r="AK400" s="138"/>
      <c r="AL400" s="142"/>
    </row>
    <row r="401" ht="20.25" customHeight="1">
      <c r="A401" s="155" t="str">
        <f>IFERROR(__xludf.DUMMYFUNCTION("""COMPUTED_VALUE"""),"findingdory")</f>
        <v>findingdory</v>
      </c>
      <c r="B401" s="150" t="str">
        <f>IFERROR(__xludf.DUMMYFUNCTION("""COMPUTED_VALUE"""),"Los Angeles")</f>
        <v>Los Angeles</v>
      </c>
      <c r="C401" s="150" t="str">
        <f>IFERROR(__xludf.DUMMYFUNCTION("""COMPUTED_VALUE"""),"CA")</f>
        <v>CA</v>
      </c>
      <c r="D401" s="150" t="str">
        <f>IFERROR(__xludf.DUMMYFUNCTION("""COMPUTED_VALUE"""),"USA")</f>
        <v>USA</v>
      </c>
      <c r="E401" s="156">
        <f>IFERROR(__xludf.DUMMYFUNCTION("""COMPUTED_VALUE"""),44395.0)</f>
        <v>44395</v>
      </c>
      <c r="F401" s="129">
        <f>IFERROR(__xludf.DUMMYFUNCTION("""COMPUTED_VALUE"""),44497.0)</f>
        <v>44497</v>
      </c>
      <c r="G401" s="154" t="str">
        <f>IFERROR(__xludf.DUMMYFUNCTION("""COMPUTED_VALUE"""),"Manage order page (normal text)")</f>
        <v>Manage order page (normal text)</v>
      </c>
      <c r="H401" s="131">
        <f>IFERROR(__xludf.DUMMYFUNCTION("""COMPUTED_VALUE"""),97455.0)</f>
        <v>97455</v>
      </c>
      <c r="I401" s="132"/>
      <c r="J401" s="129">
        <f>IFERROR(__xludf.DUMMYFUNCTION("""COMPUTED_VALUE"""),44501.0)</f>
        <v>44501</v>
      </c>
      <c r="K401" s="133">
        <f>IFERROR(__xludf.DUMMYFUNCTION("""COMPUTED_VALUE"""),102.0)</f>
        <v>102</v>
      </c>
      <c r="L401" s="133">
        <f>IFERROR(__xludf.DUMMYFUNCTION("""COMPUTED_VALUE"""),4.0)</f>
        <v>4</v>
      </c>
      <c r="M401" s="133">
        <f>IFERROR(__xludf.DUMMYFUNCTION("""COMPUTED_VALUE"""),106.0)</f>
        <v>106</v>
      </c>
      <c r="N401" s="152" t="str">
        <f>IFERROR(__xludf.DUMMYFUNCTION("""COMPUTED_VALUE"""),"Model 3 SR+")</f>
        <v>Model 3 SR+</v>
      </c>
      <c r="O401" s="152" t="str">
        <f>IFERROR(__xludf.DUMMYFUNCTION("""COMPUTED_VALUE"""),"Solid Black")</f>
        <v>Solid Black</v>
      </c>
      <c r="P401" s="153" t="str">
        <f>IFERROR(__xludf.DUMMYFUNCTION("""COMPUTED_VALUE"""),"18 inch")</f>
        <v>18 inch</v>
      </c>
      <c r="Q401" s="152" t="str">
        <f>IFERROR(__xludf.DUMMYFUNCTION("""COMPUTED_VALUE"""),"All Black")</f>
        <v>All Black</v>
      </c>
      <c r="R401" s="150" t="str">
        <f>IFERROR(__xludf.DUMMYFUNCTION("""COMPUTED_VALUE"""),"Autopilot included")</f>
        <v>Autopilot included</v>
      </c>
      <c r="S401" s="150" t="str">
        <f>IFERROR(__xludf.DUMMYFUNCTION("""COMPUTED_VALUE"""),"Loan")</f>
        <v>Loan</v>
      </c>
      <c r="T401" s="136"/>
      <c r="U401" s="136" t="str">
        <f>IFERROR(__xludf.DUMMYFUNCTION("""COMPUTED_VALUE"""),"Electric!")</f>
        <v>Electric!</v>
      </c>
      <c r="V401" s="136"/>
      <c r="W401" s="136"/>
      <c r="X401" s="137"/>
      <c r="Y401" s="138"/>
      <c r="Z401" s="138"/>
      <c r="AA401" s="138"/>
      <c r="AB401" s="138"/>
      <c r="AC401" s="139"/>
      <c r="AD401" s="139"/>
      <c r="AE401" s="139"/>
      <c r="AF401" s="140"/>
      <c r="AG401" s="136"/>
      <c r="AH401" s="157">
        <f>IFERROR(__xludf.DUMMYFUNCTION("""COMPUTED_VALUE"""),44498.41244111112)</f>
        <v>44498.41244</v>
      </c>
      <c r="AI401" s="138"/>
      <c r="AJ401" s="138"/>
      <c r="AK401" s="138"/>
      <c r="AL401" s="142"/>
    </row>
    <row r="402" ht="20.25" customHeight="1">
      <c r="A402" s="155" t="str">
        <f>IFERROR(__xludf.DUMMYFUNCTION("""COMPUTED_VALUE"""),"Ilike2brkthngs")</f>
        <v>Ilike2brkthngs</v>
      </c>
      <c r="B402" s="149"/>
      <c r="C402" s="149" t="str">
        <f>IFERROR(__xludf.DUMMYFUNCTION("""COMPUTED_VALUE"""),"FL")</f>
        <v>FL</v>
      </c>
      <c r="D402" s="149" t="str">
        <f>IFERROR(__xludf.DUMMYFUNCTION("""COMPUTED_VALUE"""),"USA")</f>
        <v>USA</v>
      </c>
      <c r="E402" s="156">
        <f>IFERROR(__xludf.DUMMYFUNCTION("""COMPUTED_VALUE"""),44395.0)</f>
        <v>44395</v>
      </c>
      <c r="F402" s="129"/>
      <c r="G402" s="154"/>
      <c r="H402" s="131"/>
      <c r="I402" s="144"/>
      <c r="J402" s="129"/>
      <c r="K402" s="133"/>
      <c r="L402" s="133"/>
      <c r="M402" s="133"/>
      <c r="N402" s="152" t="str">
        <f>IFERROR(__xludf.DUMMYFUNCTION("""COMPUTED_VALUE"""),"Model 3 SR+")</f>
        <v>Model 3 SR+</v>
      </c>
      <c r="O402" s="152" t="str">
        <f>IFERROR(__xludf.DUMMYFUNCTION("""COMPUTED_VALUE"""),"Pearl White Multi-Coat")</f>
        <v>Pearl White Multi-Coat</v>
      </c>
      <c r="P402" s="153" t="str">
        <f>IFERROR(__xludf.DUMMYFUNCTION("""COMPUTED_VALUE"""),"19 inch")</f>
        <v>19 inch</v>
      </c>
      <c r="Q402" s="152" t="str">
        <f>IFERROR(__xludf.DUMMYFUNCTION("""COMPUTED_VALUE"""),"All Black")</f>
        <v>All Black</v>
      </c>
      <c r="R402" s="149" t="str">
        <f>IFERROR(__xludf.DUMMYFUNCTION("""COMPUTED_VALUE"""),"Autopilot included")</f>
        <v>Autopilot included</v>
      </c>
      <c r="S402" s="149" t="str">
        <f>IFERROR(__xludf.DUMMYFUNCTION("""COMPUTED_VALUE"""),"Cash")</f>
        <v>Cash</v>
      </c>
      <c r="T402" s="145"/>
      <c r="U402" s="145" t="str">
        <f>IFERROR(__xludf.DUMMYFUNCTION("""COMPUTED_VALUE"""),"All-glass roof")</f>
        <v>All-glass roof</v>
      </c>
      <c r="V402" s="145" t="str">
        <f>IFERROR(__xludf.DUMMYFUNCTION("""COMPUTED_VALUE"""),"Apple CarPlay / Android Auto / SiriusXM Radio")</f>
        <v>Apple CarPlay / Android Auto / SiriusXM Radio</v>
      </c>
      <c r="W402" s="136"/>
      <c r="X402" s="137"/>
      <c r="Y402" s="138"/>
      <c r="Z402" s="138"/>
      <c r="AA402" s="138"/>
      <c r="AB402" s="138"/>
      <c r="AC402" s="139"/>
      <c r="AD402" s="139"/>
      <c r="AE402" s="139"/>
      <c r="AF402" s="140"/>
      <c r="AG402" s="136"/>
      <c r="AH402" s="157">
        <f>IFERROR(__xludf.DUMMYFUNCTION("""COMPUTED_VALUE"""),44427.59545321759)</f>
        <v>44427.59545</v>
      </c>
      <c r="AI402" s="138"/>
      <c r="AJ402" s="138"/>
      <c r="AK402" s="138"/>
      <c r="AL402" s="142"/>
    </row>
    <row r="403" ht="20.25" customHeight="1">
      <c r="A403" s="155" t="str">
        <f>IFERROR(__xludf.DUMMYFUNCTION("""COMPUTED_VALUE"""),"Jreddd1")</f>
        <v>Jreddd1</v>
      </c>
      <c r="B403" s="149" t="str">
        <f>IFERROR(__xludf.DUMMYFUNCTION("""COMPUTED_VALUE"""),"Austin")</f>
        <v>Austin</v>
      </c>
      <c r="C403" s="149" t="str">
        <f>IFERROR(__xludf.DUMMYFUNCTION("""COMPUTED_VALUE"""),"TX")</f>
        <v>TX</v>
      </c>
      <c r="D403" s="149" t="str">
        <f>IFERROR(__xludf.DUMMYFUNCTION("""COMPUTED_VALUE"""),"USA")</f>
        <v>USA</v>
      </c>
      <c r="E403" s="156">
        <f>IFERROR(__xludf.DUMMYFUNCTION("""COMPUTED_VALUE"""),44395.0)</f>
        <v>44395</v>
      </c>
      <c r="F403" s="129">
        <f>IFERROR(__xludf.DUMMYFUNCTION("""COMPUTED_VALUE"""),44430.0)</f>
        <v>44430</v>
      </c>
      <c r="G403" s="154" t="str">
        <f>IFERROR(__xludf.DUMMYFUNCTION("""COMPUTED_VALUE"""),"Manage order page (normal text)")</f>
        <v>Manage order page (normal text)</v>
      </c>
      <c r="H403" s="131"/>
      <c r="I403" s="144"/>
      <c r="J403" s="129">
        <f>IFERROR(__xludf.DUMMYFUNCTION("""COMPUTED_VALUE"""),44438.0)</f>
        <v>44438</v>
      </c>
      <c r="K403" s="133">
        <f>IFERROR(__xludf.DUMMYFUNCTION("""COMPUTED_VALUE"""),35.0)</f>
        <v>35</v>
      </c>
      <c r="L403" s="133">
        <f>IFERROR(__xludf.DUMMYFUNCTION("""COMPUTED_VALUE"""),8.0)</f>
        <v>8</v>
      </c>
      <c r="M403" s="133">
        <f>IFERROR(__xludf.DUMMYFUNCTION("""COMPUTED_VALUE"""),43.0)</f>
        <v>43</v>
      </c>
      <c r="N403" s="152" t="str">
        <f>IFERROR(__xludf.DUMMYFUNCTION("""COMPUTED_VALUE"""),"Model 3 LR AWD")</f>
        <v>Model 3 LR AWD</v>
      </c>
      <c r="O403" s="152" t="str">
        <f>IFERROR(__xludf.DUMMYFUNCTION("""COMPUTED_VALUE"""),"Pearl White Multi-Coat")</f>
        <v>Pearl White Multi-Coat</v>
      </c>
      <c r="P403" s="153" t="str">
        <f>IFERROR(__xludf.DUMMYFUNCTION("""COMPUTED_VALUE"""),"19 inch")</f>
        <v>19 inch</v>
      </c>
      <c r="Q403" s="152" t="str">
        <f>IFERROR(__xludf.DUMMYFUNCTION("""COMPUTED_VALUE"""),"Black and White")</f>
        <v>Black and White</v>
      </c>
      <c r="R403" s="149" t="str">
        <f>IFERROR(__xludf.DUMMYFUNCTION("""COMPUTED_VALUE"""),"Autopilot included")</f>
        <v>Autopilot included</v>
      </c>
      <c r="S403" s="149" t="str">
        <f>IFERROR(__xludf.DUMMYFUNCTION("""COMPUTED_VALUE"""),"Loan")</f>
        <v>Loan</v>
      </c>
      <c r="T403" s="145" t="str">
        <f>IFERROR(__xludf.DUMMYFUNCTION("""COMPUTED_VALUE"""),"Jetta")</f>
        <v>Jetta</v>
      </c>
      <c r="U403" s="145" t="str">
        <f>IFERROR(__xludf.DUMMYFUNCTION("""COMPUTED_VALUE"""),"Autopilot")</f>
        <v>Autopilot</v>
      </c>
      <c r="V403" s="145" t="str">
        <f>IFERROR(__xludf.DUMMYFUNCTION("""COMPUTED_VALUE"""),"Apple CarPlay / Android Auto / SiriusXM Radio")</f>
        <v>Apple CarPlay / Android Auto / SiriusXM Radio</v>
      </c>
      <c r="W403" s="145"/>
      <c r="X403" s="137"/>
      <c r="Y403" s="138"/>
      <c r="Z403" s="138"/>
      <c r="AA403" s="138"/>
      <c r="AB403" s="138"/>
      <c r="AC403" s="139"/>
      <c r="AD403" s="139"/>
      <c r="AE403" s="139"/>
      <c r="AF403" s="140"/>
      <c r="AG403" s="145"/>
      <c r="AH403" s="157">
        <f>IFERROR(__xludf.DUMMYFUNCTION("""COMPUTED_VALUE"""),44433.24360921296)</f>
        <v>44433.24361</v>
      </c>
      <c r="AI403" s="138"/>
      <c r="AJ403" s="138"/>
      <c r="AK403" s="138"/>
      <c r="AL403" s="142"/>
    </row>
    <row r="404" ht="20.25" customHeight="1">
      <c r="A404" s="155" t="str">
        <f>IFERROR(__xludf.DUMMYFUNCTION("""COMPUTED_VALUE"""),"louiskie")</f>
        <v>louiskie</v>
      </c>
      <c r="B404" s="150" t="str">
        <f>IFERROR(__xludf.DUMMYFUNCTION("""COMPUTED_VALUE"""),"Cary")</f>
        <v>Cary</v>
      </c>
      <c r="C404" s="150" t="str">
        <f>IFERROR(__xludf.DUMMYFUNCTION("""COMPUTED_VALUE"""),"NC")</f>
        <v>NC</v>
      </c>
      <c r="D404" s="150" t="str">
        <f>IFERROR(__xludf.DUMMYFUNCTION("""COMPUTED_VALUE"""),"USA")</f>
        <v>USA</v>
      </c>
      <c r="E404" s="156">
        <f>IFERROR(__xludf.DUMMYFUNCTION("""COMPUTED_VALUE"""),44395.0)</f>
        <v>44395</v>
      </c>
      <c r="F404" s="129"/>
      <c r="G404" s="154"/>
      <c r="H404" s="131"/>
      <c r="I404" s="132"/>
      <c r="J404" s="129"/>
      <c r="K404" s="133"/>
      <c r="L404" s="133"/>
      <c r="M404" s="133"/>
      <c r="N404" s="152" t="str">
        <f>IFERROR(__xludf.DUMMYFUNCTION("""COMPUTED_VALUE"""),"Model 3 SR+")</f>
        <v>Model 3 SR+</v>
      </c>
      <c r="O404" s="152" t="str">
        <f>IFERROR(__xludf.DUMMYFUNCTION("""COMPUTED_VALUE"""),"Solid Black")</f>
        <v>Solid Black</v>
      </c>
      <c r="P404" s="153" t="str">
        <f>IFERROR(__xludf.DUMMYFUNCTION("""COMPUTED_VALUE"""),"18 inch")</f>
        <v>18 inch</v>
      </c>
      <c r="Q404" s="152" t="str">
        <f>IFERROR(__xludf.DUMMYFUNCTION("""COMPUTED_VALUE"""),"All Black")</f>
        <v>All Black</v>
      </c>
      <c r="R404" s="150" t="str">
        <f>IFERROR(__xludf.DUMMYFUNCTION("""COMPUTED_VALUE"""),"Autopilot included")</f>
        <v>Autopilot included</v>
      </c>
      <c r="S404" s="150" t="str">
        <f>IFERROR(__xludf.DUMMYFUNCTION("""COMPUTED_VALUE"""),"Cash")</f>
        <v>Cash</v>
      </c>
      <c r="T404" s="136" t="str">
        <f>IFERROR(__xludf.DUMMYFUNCTION("""COMPUTED_VALUE"""),"Audi A4")</f>
        <v>Audi A4</v>
      </c>
      <c r="U404" s="136" t="str">
        <f>IFERROR(__xludf.DUMMYFUNCTION("""COMPUTED_VALUE"""),"Electric!")</f>
        <v>Electric!</v>
      </c>
      <c r="V404" s="136" t="str">
        <f>IFERROR(__xludf.DUMMYFUNCTION("""COMPUTED_VALUE"""),"Ventilated seats")</f>
        <v>Ventilated seats</v>
      </c>
      <c r="W404" s="136"/>
      <c r="X404" s="137"/>
      <c r="Y404" s="138"/>
      <c r="Z404" s="138"/>
      <c r="AA404" s="138"/>
      <c r="AB404" s="138"/>
      <c r="AC404" s="139"/>
      <c r="AD404" s="139"/>
      <c r="AE404" s="139"/>
      <c r="AF404" s="140"/>
      <c r="AG404" s="136"/>
      <c r="AH404" s="157">
        <f>IFERROR(__xludf.DUMMYFUNCTION("""COMPUTED_VALUE"""),44431.48944734954)</f>
        <v>44431.48945</v>
      </c>
      <c r="AI404" s="138"/>
      <c r="AJ404" s="138"/>
      <c r="AK404" s="138"/>
      <c r="AL404" s="142"/>
    </row>
    <row r="405" ht="20.25" customHeight="1">
      <c r="A405" s="155" t="str">
        <f>IFERROR(__xludf.DUMMYFUNCTION("""COMPUTED_VALUE"""),"Ohlala")</f>
        <v>Ohlala</v>
      </c>
      <c r="B405" s="159"/>
      <c r="C405" s="159" t="str">
        <f>IFERROR(__xludf.DUMMYFUNCTION("""COMPUTED_VALUE"""),"CA")</f>
        <v>CA</v>
      </c>
      <c r="D405" s="159" t="str">
        <f>IFERROR(__xludf.DUMMYFUNCTION("""COMPUTED_VALUE"""),"USA")</f>
        <v>USA</v>
      </c>
      <c r="E405" s="156">
        <f>IFERROR(__xludf.DUMMYFUNCTION("""COMPUTED_VALUE"""),44395.0)</f>
        <v>44395</v>
      </c>
      <c r="F405" s="129">
        <f>IFERROR(__xludf.DUMMYFUNCTION("""COMPUTED_VALUE"""),44419.0)</f>
        <v>44419</v>
      </c>
      <c r="G405" s="154" t="str">
        <f>IFERROR(__xludf.DUMMYFUNCTION("""COMPUTED_VALUE"""),"Text message")</f>
        <v>Text message</v>
      </c>
      <c r="H405" s="131"/>
      <c r="I405" s="160"/>
      <c r="J405" s="129">
        <f>IFERROR(__xludf.DUMMYFUNCTION("""COMPUTED_VALUE"""),44421.0)</f>
        <v>44421</v>
      </c>
      <c r="K405" s="133">
        <f>IFERROR(__xludf.DUMMYFUNCTION("""COMPUTED_VALUE"""),24.0)</f>
        <v>24</v>
      </c>
      <c r="L405" s="133">
        <f>IFERROR(__xludf.DUMMYFUNCTION("""COMPUTED_VALUE"""),2.0)</f>
        <v>2</v>
      </c>
      <c r="M405" s="133">
        <f>IFERROR(__xludf.DUMMYFUNCTION("""COMPUTED_VALUE"""),26.0)</f>
        <v>26</v>
      </c>
      <c r="N405" s="152" t="str">
        <f>IFERROR(__xludf.DUMMYFUNCTION("""COMPUTED_VALUE"""),"Model 3 Performance")</f>
        <v>Model 3 Performance</v>
      </c>
      <c r="O405" s="152" t="str">
        <f>IFERROR(__xludf.DUMMYFUNCTION("""COMPUTED_VALUE"""),"Pearl White Multi-Coat")</f>
        <v>Pearl White Multi-Coat</v>
      </c>
      <c r="P405" s="153" t="str">
        <f>IFERROR(__xludf.DUMMYFUNCTION("""COMPUTED_VALUE"""),"20 inch")</f>
        <v>20 inch</v>
      </c>
      <c r="Q405" s="152" t="str">
        <f>IFERROR(__xludf.DUMMYFUNCTION("""COMPUTED_VALUE"""),"All Black")</f>
        <v>All Black</v>
      </c>
      <c r="R405" s="159" t="str">
        <f>IFERROR(__xludf.DUMMYFUNCTION("""COMPUTED_VALUE"""),"Autopilot included")</f>
        <v>Autopilot included</v>
      </c>
      <c r="S405" s="159" t="str">
        <f>IFERROR(__xludf.DUMMYFUNCTION("""COMPUTED_VALUE"""),"Loan")</f>
        <v>Loan</v>
      </c>
      <c r="T405" s="161" t="str">
        <f>IFERROR(__xludf.DUMMYFUNCTION("""COMPUTED_VALUE"""),"BMW 3 Series")</f>
        <v>BMW 3 Series</v>
      </c>
      <c r="U405" s="161" t="str">
        <f>IFERROR(__xludf.DUMMYFUNCTION("""COMPUTED_VALUE"""),"Speed")</f>
        <v>Speed</v>
      </c>
      <c r="V405" s="161" t="str">
        <f>IFERROR(__xludf.DUMMYFUNCTION("""COMPUTED_VALUE"""),"Apple CarPlay / Android Auto / SiriusXM Radio")</f>
        <v>Apple CarPlay / Android Auto / SiriusXM Radio</v>
      </c>
      <c r="W405" s="161"/>
      <c r="X405" s="137"/>
      <c r="Y405" s="138"/>
      <c r="Z405" s="138"/>
      <c r="AA405" s="138"/>
      <c r="AB405" s="138"/>
      <c r="AC405" s="139"/>
      <c r="AD405" s="139"/>
      <c r="AE405" s="139"/>
      <c r="AF405" s="140"/>
      <c r="AG405" s="161"/>
      <c r="AH405" s="157">
        <f>IFERROR(__xludf.DUMMYFUNCTION("""COMPUTED_VALUE"""),44420.60610603009)</f>
        <v>44420.60611</v>
      </c>
      <c r="AI405" s="138"/>
      <c r="AJ405" s="138"/>
      <c r="AK405" s="138"/>
      <c r="AL405" s="142"/>
    </row>
    <row r="406" ht="20.25" customHeight="1">
      <c r="A406" s="155" t="str">
        <f>IFERROR(__xludf.DUMMYFUNCTION("""COMPUTED_VALUE"""),"TomServo")</f>
        <v>TomServo</v>
      </c>
      <c r="B406" s="149" t="str">
        <f>IFERROR(__xludf.DUMMYFUNCTION("""COMPUTED_VALUE"""),"Burbank")</f>
        <v>Burbank</v>
      </c>
      <c r="C406" s="149" t="str">
        <f>IFERROR(__xludf.DUMMYFUNCTION("""COMPUTED_VALUE"""),"CA")</f>
        <v>CA</v>
      </c>
      <c r="D406" s="149" t="str">
        <f>IFERROR(__xludf.DUMMYFUNCTION("""COMPUTED_VALUE"""),"USA")</f>
        <v>USA</v>
      </c>
      <c r="E406" s="156">
        <f>IFERROR(__xludf.DUMMYFUNCTION("""COMPUTED_VALUE"""),44395.0)</f>
        <v>44395</v>
      </c>
      <c r="F406" s="129">
        <f>IFERROR(__xludf.DUMMYFUNCTION("""COMPUTED_VALUE"""),44434.0)</f>
        <v>44434</v>
      </c>
      <c r="G406" s="154" t="str">
        <f>IFERROR(__xludf.DUMMYFUNCTION("""COMPUTED_VALUE"""),"LFP Battery Car from Existing Stock")</f>
        <v>LFP Battery Car from Existing Stock</v>
      </c>
      <c r="H406" s="131">
        <f>IFERROR(__xludf.DUMMYFUNCTION("""COMPUTED_VALUE"""),53155.0)</f>
        <v>53155</v>
      </c>
      <c r="I406" s="132"/>
      <c r="J406" s="129"/>
      <c r="K406" s="133">
        <f>IFERROR(__xludf.DUMMYFUNCTION("""COMPUTED_VALUE"""),39.0)</f>
        <v>39</v>
      </c>
      <c r="L406" s="133"/>
      <c r="M406" s="133"/>
      <c r="N406" s="152" t="str">
        <f>IFERROR(__xludf.DUMMYFUNCTION("""COMPUTED_VALUE"""),"Model 3 SR+")</f>
        <v>Model 3 SR+</v>
      </c>
      <c r="O406" s="152" t="str">
        <f>IFERROR(__xludf.DUMMYFUNCTION("""COMPUTED_VALUE"""),"Deep Blue Metallic")</f>
        <v>Deep Blue Metallic</v>
      </c>
      <c r="P406" s="153" t="str">
        <f>IFERROR(__xludf.DUMMYFUNCTION("""COMPUTED_VALUE"""),"18 inch")</f>
        <v>18 inch</v>
      </c>
      <c r="Q406" s="152" t="str">
        <f>IFERROR(__xludf.DUMMYFUNCTION("""COMPUTED_VALUE"""),"All Black")</f>
        <v>All Black</v>
      </c>
      <c r="R406" s="150" t="str">
        <f>IFERROR(__xludf.DUMMYFUNCTION("""COMPUTED_VALUE"""),"Autopilot included")</f>
        <v>Autopilot included</v>
      </c>
      <c r="S406" s="150" t="str">
        <f>IFERROR(__xludf.DUMMYFUNCTION("""COMPUTED_VALUE"""),"Loan")</f>
        <v>Loan</v>
      </c>
      <c r="T406" s="136" t="str">
        <f>IFERROR(__xludf.DUMMYFUNCTION("""COMPUTED_VALUE"""),"Chevy Bolt")</f>
        <v>Chevy Bolt</v>
      </c>
      <c r="U406" s="136" t="str">
        <f>IFERROR(__xludf.DUMMYFUNCTION("""COMPUTED_VALUE"""),"Autopilot")</f>
        <v>Autopilot</v>
      </c>
      <c r="V406" s="136" t="str">
        <f>IFERROR(__xludf.DUMMYFUNCTION("""COMPUTED_VALUE"""),"Apple CarPlay / Android Auto / SiriusXM Radio")</f>
        <v>Apple CarPlay / Android Auto / SiriusXM Radio</v>
      </c>
      <c r="W406" s="136"/>
      <c r="X406" s="137"/>
      <c r="Y406" s="138"/>
      <c r="Z406" s="138"/>
      <c r="AA406" s="138"/>
      <c r="AB406" s="138"/>
      <c r="AC406" s="139"/>
      <c r="AD406" s="139"/>
      <c r="AE406" s="139"/>
      <c r="AF406" s="140"/>
      <c r="AG406" s="136"/>
      <c r="AH406" s="157">
        <f>IFERROR(__xludf.DUMMYFUNCTION("""COMPUTED_VALUE"""),44435.59029827546)</f>
        <v>44435.5903</v>
      </c>
      <c r="AI406" s="138"/>
      <c r="AJ406" s="138"/>
      <c r="AK406" s="138"/>
      <c r="AL406" s="142"/>
    </row>
    <row r="407" ht="20.25" customHeight="1">
      <c r="A407" s="155" t="str">
        <f>IFERROR(__xludf.DUMMYFUNCTION("""COMPUTED_VALUE"""),"CD")</f>
        <v>CD</v>
      </c>
      <c r="B407" s="150" t="str">
        <f>IFERROR(__xludf.DUMMYFUNCTION("""COMPUTED_VALUE"""),"Los Angles")</f>
        <v>Los Angles</v>
      </c>
      <c r="C407" s="149" t="str">
        <f>IFERROR(__xludf.DUMMYFUNCTION("""COMPUTED_VALUE"""),"CA")</f>
        <v>CA</v>
      </c>
      <c r="D407" s="149" t="str">
        <f>IFERROR(__xludf.DUMMYFUNCTION("""COMPUTED_VALUE"""),"USA")</f>
        <v>USA</v>
      </c>
      <c r="E407" s="156">
        <f>IFERROR(__xludf.DUMMYFUNCTION("""COMPUTED_VALUE"""),44394.0)</f>
        <v>44394</v>
      </c>
      <c r="F407" s="129"/>
      <c r="G407" s="154"/>
      <c r="H407" s="131"/>
      <c r="I407" s="132"/>
      <c r="J407" s="129"/>
      <c r="K407" s="133"/>
      <c r="L407" s="133"/>
      <c r="M407" s="133"/>
      <c r="N407" s="152" t="str">
        <f>IFERROR(__xludf.DUMMYFUNCTION("""COMPUTED_VALUE"""),"Model 3 LR AWD")</f>
        <v>Model 3 LR AWD</v>
      </c>
      <c r="O407" s="152" t="str">
        <f>IFERROR(__xludf.DUMMYFUNCTION("""COMPUTED_VALUE"""),"Solid Black")</f>
        <v>Solid Black</v>
      </c>
      <c r="P407" s="153" t="str">
        <f>IFERROR(__xludf.DUMMYFUNCTION("""COMPUTED_VALUE"""),"18 inch")</f>
        <v>18 inch</v>
      </c>
      <c r="Q407" s="152" t="str">
        <f>IFERROR(__xludf.DUMMYFUNCTION("""COMPUTED_VALUE"""),"All Black")</f>
        <v>All Black</v>
      </c>
      <c r="R407" s="150" t="str">
        <f>IFERROR(__xludf.DUMMYFUNCTION("""COMPUTED_VALUE"""),"Autopilot included")</f>
        <v>Autopilot included</v>
      </c>
      <c r="S407" s="150" t="str">
        <f>IFERROR(__xludf.DUMMYFUNCTION("""COMPUTED_VALUE"""),"Loan")</f>
        <v>Loan</v>
      </c>
      <c r="T407" s="136" t="str">
        <f>IFERROR(__xludf.DUMMYFUNCTION("""COMPUTED_VALUE"""),"BMW 3 Series")</f>
        <v>BMW 3 Series</v>
      </c>
      <c r="U407" s="136" t="str">
        <f>IFERROR(__xludf.DUMMYFUNCTION("""COMPUTED_VALUE"""),"Electric!")</f>
        <v>Electric!</v>
      </c>
      <c r="V407" s="136" t="str">
        <f>IFERROR(__xludf.DUMMYFUNCTION("""COMPUTED_VALUE"""),"Air suspension")</f>
        <v>Air suspension</v>
      </c>
      <c r="W407" s="136"/>
      <c r="X407" s="137"/>
      <c r="Y407" s="138"/>
      <c r="Z407" s="138"/>
      <c r="AA407" s="138"/>
      <c r="AB407" s="138"/>
      <c r="AC407" s="139"/>
      <c r="AD407" s="139"/>
      <c r="AE407" s="139"/>
      <c r="AF407" s="140"/>
      <c r="AG407" s="136"/>
      <c r="AH407" s="157">
        <f>IFERROR(__xludf.DUMMYFUNCTION("""COMPUTED_VALUE"""),44447.93916671296)</f>
        <v>44447.93917</v>
      </c>
      <c r="AI407" s="138"/>
      <c r="AJ407" s="138"/>
      <c r="AK407" s="138"/>
      <c r="AL407" s="142"/>
    </row>
    <row r="408" ht="20.25" customHeight="1">
      <c r="A408" s="155" t="str">
        <f>IFERROR(__xludf.DUMMYFUNCTION("""COMPUTED_VALUE"""),"initial0")</f>
        <v>initial0</v>
      </c>
      <c r="B408" s="149" t="str">
        <f>IFERROR(__xludf.DUMMYFUNCTION("""COMPUTED_VALUE"""),"Los Angeles")</f>
        <v>Los Angeles</v>
      </c>
      <c r="C408" s="149" t="str">
        <f>IFERROR(__xludf.DUMMYFUNCTION("""COMPUTED_VALUE"""),"CA")</f>
        <v>CA</v>
      </c>
      <c r="D408" s="149" t="str">
        <f>IFERROR(__xludf.DUMMYFUNCTION("""COMPUTED_VALUE"""),"USA")</f>
        <v>USA</v>
      </c>
      <c r="E408" s="156">
        <f>IFERROR(__xludf.DUMMYFUNCTION("""COMPUTED_VALUE"""),44394.0)</f>
        <v>44394</v>
      </c>
      <c r="F408" s="129">
        <f>IFERROR(__xludf.DUMMYFUNCTION("""COMPUTED_VALUE"""),44451.0)</f>
        <v>44451</v>
      </c>
      <c r="G408" s="154" t="str">
        <f>IFERROR(__xludf.DUMMYFUNCTION("""COMPUTED_VALUE"""),"Manage order page (normal text)")</f>
        <v>Manage order page (normal text)</v>
      </c>
      <c r="H408" s="131"/>
      <c r="I408" s="144"/>
      <c r="J408" s="129">
        <f>IFERROR(__xludf.DUMMYFUNCTION("""COMPUTED_VALUE"""),44451.0)</f>
        <v>44451</v>
      </c>
      <c r="K408" s="133">
        <f>IFERROR(__xludf.DUMMYFUNCTION("""COMPUTED_VALUE"""),57.0)</f>
        <v>57</v>
      </c>
      <c r="L408" s="133">
        <f>IFERROR(__xludf.DUMMYFUNCTION("""COMPUTED_VALUE"""),0.0)</f>
        <v>0</v>
      </c>
      <c r="M408" s="133">
        <f>IFERROR(__xludf.DUMMYFUNCTION("""COMPUTED_VALUE"""),57.0)</f>
        <v>57</v>
      </c>
      <c r="N408" s="152" t="str">
        <f>IFERROR(__xludf.DUMMYFUNCTION("""COMPUTED_VALUE"""),"Model 3 LR AWD")</f>
        <v>Model 3 LR AWD</v>
      </c>
      <c r="O408" s="152" t="str">
        <f>IFERROR(__xludf.DUMMYFUNCTION("""COMPUTED_VALUE"""),"Solid Black")</f>
        <v>Solid Black</v>
      </c>
      <c r="P408" s="153" t="str">
        <f>IFERROR(__xludf.DUMMYFUNCTION("""COMPUTED_VALUE"""),"18 inch")</f>
        <v>18 inch</v>
      </c>
      <c r="Q408" s="152" t="str">
        <f>IFERROR(__xludf.DUMMYFUNCTION("""COMPUTED_VALUE"""),"All Black")</f>
        <v>All Black</v>
      </c>
      <c r="R408" s="149" t="str">
        <f>IFERROR(__xludf.DUMMYFUNCTION("""COMPUTED_VALUE"""),"Full Self-Driving")</f>
        <v>Full Self-Driving</v>
      </c>
      <c r="S408" s="149" t="str">
        <f>IFERROR(__xludf.DUMMYFUNCTION("""COMPUTED_VALUE"""),"Cash")</f>
        <v>Cash</v>
      </c>
      <c r="T408" s="145"/>
      <c r="U408" s="145" t="str">
        <f>IFERROR(__xludf.DUMMYFUNCTION("""COMPUTED_VALUE"""),"Electric!")</f>
        <v>Electric!</v>
      </c>
      <c r="V408" s="145" t="str">
        <f>IFERROR(__xludf.DUMMYFUNCTION("""COMPUTED_VALUE"""),"Ventilated seats")</f>
        <v>Ventilated seats</v>
      </c>
      <c r="W408" s="136"/>
      <c r="X408" s="137" t="str">
        <f>IFERROR(__xludf.DUMMYFUNCTION("""COMPUTED_VALUE"""),"Very Good")</f>
        <v>Very Good</v>
      </c>
      <c r="Y408" s="138" t="str">
        <f>IFERROR(__xludf.DUMMYFUNCTION("""COMPUTED_VALUE"""),"Very Good")</f>
        <v>Very Good</v>
      </c>
      <c r="Z408" s="138" t="str">
        <f>IFERROR(__xludf.DUMMYFUNCTION("""COMPUTED_VALUE"""),"Very Good")</f>
        <v>Very Good</v>
      </c>
      <c r="AA408" s="138" t="str">
        <f>IFERROR(__xludf.DUMMYFUNCTION("""COMPUTED_VALUE"""),"Poor")</f>
        <v>Poor</v>
      </c>
      <c r="AB408" s="138" t="str">
        <f>IFERROR(__xludf.DUMMYFUNCTION("""COMPUTED_VALUE"""),"Very Good")</f>
        <v>Very Good</v>
      </c>
      <c r="AC408" s="139"/>
      <c r="AD408" s="139"/>
      <c r="AE408" s="139"/>
      <c r="AF408" s="140" t="str">
        <f>IFERROR(__xludf.DUMMYFUNCTION("""COMPUTED_VALUE"""),"No. I took delivery of the first car Tesla was able to deliver.")</f>
        <v>No. I took delivery of the first car Tesla was able to deliver.</v>
      </c>
      <c r="AG408" s="136"/>
      <c r="AH408" s="157">
        <f>IFERROR(__xludf.DUMMYFUNCTION("""COMPUTED_VALUE"""),44451.80418092592)</f>
        <v>44451.80418</v>
      </c>
      <c r="AI408" s="138"/>
      <c r="AJ408" s="138"/>
      <c r="AK408" s="138"/>
      <c r="AL408" s="142"/>
    </row>
    <row r="409" ht="20.25" customHeight="1">
      <c r="A409" s="155" t="str">
        <f>IFERROR(__xludf.DUMMYFUNCTION("""COMPUTED_VALUE"""),"Jmann234")</f>
        <v>Jmann234</v>
      </c>
      <c r="B409" s="149" t="str">
        <f>IFERROR(__xludf.DUMMYFUNCTION("""COMPUTED_VALUE"""),"Burbank, CA")</f>
        <v>Burbank, CA</v>
      </c>
      <c r="C409" s="149" t="str">
        <f>IFERROR(__xludf.DUMMYFUNCTION("""COMPUTED_VALUE"""),"CA")</f>
        <v>CA</v>
      </c>
      <c r="D409" s="149" t="str">
        <f>IFERROR(__xludf.DUMMYFUNCTION("""COMPUTED_VALUE"""),"USA")</f>
        <v>USA</v>
      </c>
      <c r="E409" s="156">
        <f>IFERROR(__xludf.DUMMYFUNCTION("""COMPUTED_VALUE"""),44394.0)</f>
        <v>44394</v>
      </c>
      <c r="F409" s="129"/>
      <c r="G409" s="154"/>
      <c r="H409" s="131"/>
      <c r="I409" s="132"/>
      <c r="J409" s="129">
        <f>IFERROR(__xludf.DUMMYFUNCTION("""COMPUTED_VALUE"""),44507.0)</f>
        <v>44507</v>
      </c>
      <c r="K409" s="133"/>
      <c r="L409" s="133"/>
      <c r="M409" s="133">
        <f>IFERROR(__xludf.DUMMYFUNCTION("""COMPUTED_VALUE"""),113.0)</f>
        <v>113</v>
      </c>
      <c r="N409" s="152" t="str">
        <f>IFERROR(__xludf.DUMMYFUNCTION("""COMPUTED_VALUE"""),"Model 3 LR AWD")</f>
        <v>Model 3 LR AWD</v>
      </c>
      <c r="O409" s="152" t="str">
        <f>IFERROR(__xludf.DUMMYFUNCTION("""COMPUTED_VALUE"""),"Deep Blue Metallic")</f>
        <v>Deep Blue Metallic</v>
      </c>
      <c r="P409" s="153" t="str">
        <f>IFERROR(__xludf.DUMMYFUNCTION("""COMPUTED_VALUE"""),"18 inch")</f>
        <v>18 inch</v>
      </c>
      <c r="Q409" s="152" t="str">
        <f>IFERROR(__xludf.DUMMYFUNCTION("""COMPUTED_VALUE"""),"All Black")</f>
        <v>All Black</v>
      </c>
      <c r="R409" s="150" t="str">
        <f>IFERROR(__xludf.DUMMYFUNCTION("""COMPUTED_VALUE"""),"Autopilot included")</f>
        <v>Autopilot included</v>
      </c>
      <c r="S409" s="150" t="str">
        <f>IFERROR(__xludf.DUMMYFUNCTION("""COMPUTED_VALUE"""),"Cash")</f>
        <v>Cash</v>
      </c>
      <c r="T409" s="136" t="str">
        <f>IFERROR(__xludf.DUMMYFUNCTION("""COMPUTED_VALUE"""),"Chevy cobalt")</f>
        <v>Chevy cobalt</v>
      </c>
      <c r="U409" s="136"/>
      <c r="V409" s="145"/>
      <c r="W409" s="136"/>
      <c r="X409" s="137"/>
      <c r="Y409" s="138"/>
      <c r="Z409" s="138"/>
      <c r="AA409" s="138"/>
      <c r="AB409" s="138"/>
      <c r="AC409" s="139"/>
      <c r="AD409" s="139"/>
      <c r="AE409" s="139"/>
      <c r="AF409" s="140"/>
      <c r="AG409" s="136"/>
      <c r="AH409" s="157">
        <f>IFERROR(__xludf.DUMMYFUNCTION("""COMPUTED_VALUE"""),44409.444083055554)</f>
        <v>44409.44408</v>
      </c>
      <c r="AI409" s="138"/>
      <c r="AJ409" s="138"/>
      <c r="AK409" s="138"/>
      <c r="AL409" s="142"/>
    </row>
    <row r="410" ht="20.25" customHeight="1">
      <c r="A410" s="155" t="str">
        <f>IFERROR(__xludf.DUMMYFUNCTION("""COMPUTED_VALUE"""),"kkkkkiii")</f>
        <v>kkkkkiii</v>
      </c>
      <c r="B410" s="149" t="str">
        <f>IFERROR(__xludf.DUMMYFUNCTION("""COMPUTED_VALUE"""),"Fremont")</f>
        <v>Fremont</v>
      </c>
      <c r="C410" s="149" t="str">
        <f>IFERROR(__xludf.DUMMYFUNCTION("""COMPUTED_VALUE"""),"CA")</f>
        <v>CA</v>
      </c>
      <c r="D410" s="149" t="str">
        <f>IFERROR(__xludf.DUMMYFUNCTION("""COMPUTED_VALUE"""),"USA")</f>
        <v>USA</v>
      </c>
      <c r="E410" s="156">
        <f>IFERROR(__xludf.DUMMYFUNCTION("""COMPUTED_VALUE"""),44394.0)</f>
        <v>44394</v>
      </c>
      <c r="F410" s="129">
        <f>IFERROR(__xludf.DUMMYFUNCTION("""COMPUTED_VALUE"""),44471.0)</f>
        <v>44471</v>
      </c>
      <c r="G410" s="154" t="str">
        <f>IFERROR(__xludf.DUMMYFUNCTION("""COMPUTED_VALUE"""),"Manage order page (normal text)")</f>
        <v>Manage order page (normal text)</v>
      </c>
      <c r="H410" s="131"/>
      <c r="I410" s="144"/>
      <c r="J410" s="129"/>
      <c r="K410" s="133">
        <f>IFERROR(__xludf.DUMMYFUNCTION("""COMPUTED_VALUE"""),77.0)</f>
        <v>77</v>
      </c>
      <c r="L410" s="133"/>
      <c r="M410" s="133"/>
      <c r="N410" s="152" t="str">
        <f>IFERROR(__xludf.DUMMYFUNCTION("""COMPUTED_VALUE"""),"Model 3 SR+")</f>
        <v>Model 3 SR+</v>
      </c>
      <c r="O410" s="152" t="str">
        <f>IFERROR(__xludf.DUMMYFUNCTION("""COMPUTED_VALUE"""),"Pearl White Multi-Coat")</f>
        <v>Pearl White Multi-Coat</v>
      </c>
      <c r="P410" s="153" t="str">
        <f>IFERROR(__xludf.DUMMYFUNCTION("""COMPUTED_VALUE"""),"18 inch")</f>
        <v>18 inch</v>
      </c>
      <c r="Q410" s="152" t="str">
        <f>IFERROR(__xludf.DUMMYFUNCTION("""COMPUTED_VALUE"""),"All Black")</f>
        <v>All Black</v>
      </c>
      <c r="R410" s="149" t="str">
        <f>IFERROR(__xludf.DUMMYFUNCTION("""COMPUTED_VALUE"""),"Autopilot included")</f>
        <v>Autopilot included</v>
      </c>
      <c r="S410" s="149" t="str">
        <f>IFERROR(__xludf.DUMMYFUNCTION("""COMPUTED_VALUE"""),"Loan")</f>
        <v>Loan</v>
      </c>
      <c r="T410" s="145"/>
      <c r="U410" s="145"/>
      <c r="V410" s="145"/>
      <c r="W410" s="145"/>
      <c r="X410" s="137"/>
      <c r="Y410" s="138"/>
      <c r="Z410" s="138"/>
      <c r="AA410" s="138"/>
      <c r="AB410" s="138"/>
      <c r="AC410" s="139"/>
      <c r="AD410" s="139"/>
      <c r="AE410" s="139"/>
      <c r="AF410" s="140"/>
      <c r="AG410" s="145"/>
      <c r="AH410" s="157">
        <f>IFERROR(__xludf.DUMMYFUNCTION("""COMPUTED_VALUE"""),44471.54256989583)</f>
        <v>44471.54257</v>
      </c>
      <c r="AI410" s="138"/>
      <c r="AJ410" s="138"/>
      <c r="AK410" s="138"/>
      <c r="AL410" s="142"/>
    </row>
    <row r="411" ht="20.25" customHeight="1">
      <c r="A411" s="155" t="str">
        <f>IFERROR(__xludf.DUMMYFUNCTION("""COMPUTED_VALUE"""),"mcx1235")</f>
        <v>mcx1235</v>
      </c>
      <c r="B411" s="149" t="str">
        <f>IFERROR(__xludf.DUMMYFUNCTION("""COMPUTED_VALUE"""),"West Palm Beach")</f>
        <v>West Palm Beach</v>
      </c>
      <c r="C411" s="149" t="str">
        <f>IFERROR(__xludf.DUMMYFUNCTION("""COMPUTED_VALUE"""),"FL")</f>
        <v>FL</v>
      </c>
      <c r="D411" s="149" t="str">
        <f>IFERROR(__xludf.DUMMYFUNCTION("""COMPUTED_VALUE"""),"USA")</f>
        <v>USA</v>
      </c>
      <c r="E411" s="156">
        <f>IFERROR(__xludf.DUMMYFUNCTION("""COMPUTED_VALUE"""),44394.0)</f>
        <v>44394</v>
      </c>
      <c r="F411" s="129">
        <f>IFERROR(__xludf.DUMMYFUNCTION("""COMPUTED_VALUE"""),44440.0)</f>
        <v>44440</v>
      </c>
      <c r="G411" s="154" t="str">
        <f>IFERROR(__xludf.DUMMYFUNCTION("""COMPUTED_VALUE"""),"Text message")</f>
        <v>Text message</v>
      </c>
      <c r="H411" s="131">
        <f>IFERROR(__xludf.DUMMYFUNCTION("""COMPUTED_VALUE"""),56215.0)</f>
        <v>56215</v>
      </c>
      <c r="I411" s="144"/>
      <c r="J411" s="129">
        <f>IFERROR(__xludf.DUMMYFUNCTION("""COMPUTED_VALUE"""),44457.0)</f>
        <v>44457</v>
      </c>
      <c r="K411" s="133">
        <f>IFERROR(__xludf.DUMMYFUNCTION("""COMPUTED_VALUE"""),46.0)</f>
        <v>46</v>
      </c>
      <c r="L411" s="133">
        <f>IFERROR(__xludf.DUMMYFUNCTION("""COMPUTED_VALUE"""),17.0)</f>
        <v>17</v>
      </c>
      <c r="M411" s="133">
        <f>IFERROR(__xludf.DUMMYFUNCTION("""COMPUTED_VALUE"""),63.0)</f>
        <v>63</v>
      </c>
      <c r="N411" s="152" t="str">
        <f>IFERROR(__xludf.DUMMYFUNCTION("""COMPUTED_VALUE"""),"Model 3 LR AWD")</f>
        <v>Model 3 LR AWD</v>
      </c>
      <c r="O411" s="152" t="str">
        <f>IFERROR(__xludf.DUMMYFUNCTION("""COMPUTED_VALUE"""),"Midnight Silver Metallic")</f>
        <v>Midnight Silver Metallic</v>
      </c>
      <c r="P411" s="153" t="str">
        <f>IFERROR(__xludf.DUMMYFUNCTION("""COMPUTED_VALUE"""),"18 inch")</f>
        <v>18 inch</v>
      </c>
      <c r="Q411" s="152" t="str">
        <f>IFERROR(__xludf.DUMMYFUNCTION("""COMPUTED_VALUE"""),"All Black")</f>
        <v>All Black</v>
      </c>
      <c r="R411" s="149" t="str">
        <f>IFERROR(__xludf.DUMMYFUNCTION("""COMPUTED_VALUE"""),"Autopilot included")</f>
        <v>Autopilot included</v>
      </c>
      <c r="S411" s="149" t="str">
        <f>IFERROR(__xludf.DUMMYFUNCTION("""COMPUTED_VALUE"""),"Cash")</f>
        <v>Cash</v>
      </c>
      <c r="T411" s="145" t="str">
        <f>IFERROR(__xludf.DUMMYFUNCTION("""COMPUTED_VALUE"""),"BMW X3")</f>
        <v>BMW X3</v>
      </c>
      <c r="U411" s="145" t="str">
        <f>IFERROR(__xludf.DUMMYFUNCTION("""COMPUTED_VALUE"""),"Electric!")</f>
        <v>Electric!</v>
      </c>
      <c r="V411" s="145" t="str">
        <f>IFERROR(__xludf.DUMMYFUNCTION("""COMPUTED_VALUE"""),"Ventilated seats")</f>
        <v>Ventilated seats</v>
      </c>
      <c r="W411" s="145"/>
      <c r="X411" s="137"/>
      <c r="Y411" s="138"/>
      <c r="Z411" s="138"/>
      <c r="AA411" s="138"/>
      <c r="AB411" s="138"/>
      <c r="AC411" s="139"/>
      <c r="AD411" s="139"/>
      <c r="AE411" s="139"/>
      <c r="AF411" s="140"/>
      <c r="AG411" s="145"/>
      <c r="AH411" s="157">
        <f>IFERROR(__xludf.DUMMYFUNCTION("""COMPUTED_VALUE"""),44447.80019268519)</f>
        <v>44447.80019</v>
      </c>
      <c r="AI411" s="138"/>
      <c r="AJ411" s="138"/>
      <c r="AK411" s="138"/>
      <c r="AL411" s="142"/>
    </row>
    <row r="412" ht="20.25" customHeight="1">
      <c r="A412" s="155" t="str">
        <f>IFERROR(__xludf.DUMMYFUNCTION("""COMPUTED_VALUE"""),"Nikki&amp;Mike")</f>
        <v>Nikki&amp;Mike</v>
      </c>
      <c r="B412" s="149" t="str">
        <f>IFERROR(__xludf.DUMMYFUNCTION("""COMPUTED_VALUE"""),"San Antonio")</f>
        <v>San Antonio</v>
      </c>
      <c r="C412" s="149" t="str">
        <f>IFERROR(__xludf.DUMMYFUNCTION("""COMPUTED_VALUE"""),"TX")</f>
        <v>TX</v>
      </c>
      <c r="D412" s="149" t="str">
        <f>IFERROR(__xludf.DUMMYFUNCTION("""COMPUTED_VALUE"""),"USA")</f>
        <v>USA</v>
      </c>
      <c r="E412" s="156">
        <f>IFERROR(__xludf.DUMMYFUNCTION("""COMPUTED_VALUE"""),44394.0)</f>
        <v>44394</v>
      </c>
      <c r="F412" s="129">
        <f>IFERROR(__xludf.DUMMYFUNCTION("""COMPUTED_VALUE"""),44440.0)</f>
        <v>44440</v>
      </c>
      <c r="G412" s="154" t="str">
        <f>IFERROR(__xludf.DUMMYFUNCTION("""COMPUTED_VALUE"""),"Manage order page (normal text)")</f>
        <v>Manage order page (normal text)</v>
      </c>
      <c r="H412" s="131">
        <f>IFERROR(__xludf.DUMMYFUNCTION("""COMPUTED_VALUE"""),56255.0)</f>
        <v>56255</v>
      </c>
      <c r="I412" s="132" t="str">
        <f>IFERROR(__xludf.DUMMYFUNCTION("""COMPUTED_VALUE"""),"09/21")</f>
        <v>09/21</v>
      </c>
      <c r="J412" s="129">
        <f>IFERROR(__xludf.DUMMYFUNCTION("""COMPUTED_VALUE"""),44453.0)</f>
        <v>44453</v>
      </c>
      <c r="K412" s="133">
        <f>IFERROR(__xludf.DUMMYFUNCTION("""COMPUTED_VALUE"""),46.0)</f>
        <v>46</v>
      </c>
      <c r="L412" s="133">
        <f>IFERROR(__xludf.DUMMYFUNCTION("""COMPUTED_VALUE"""),13.0)</f>
        <v>13</v>
      </c>
      <c r="M412" s="133">
        <f>IFERROR(__xludf.DUMMYFUNCTION("""COMPUTED_VALUE"""),59.0)</f>
        <v>59</v>
      </c>
      <c r="N412" s="152" t="str">
        <f>IFERROR(__xludf.DUMMYFUNCTION("""COMPUTED_VALUE"""),"Model 3 LR AWD")</f>
        <v>Model 3 LR AWD</v>
      </c>
      <c r="O412" s="152" t="str">
        <f>IFERROR(__xludf.DUMMYFUNCTION("""COMPUTED_VALUE"""),"Deep Blue Metallic")</f>
        <v>Deep Blue Metallic</v>
      </c>
      <c r="P412" s="153" t="str">
        <f>IFERROR(__xludf.DUMMYFUNCTION("""COMPUTED_VALUE"""),"18 inch")</f>
        <v>18 inch</v>
      </c>
      <c r="Q412" s="152" t="str">
        <f>IFERROR(__xludf.DUMMYFUNCTION("""COMPUTED_VALUE"""),"All Black")</f>
        <v>All Black</v>
      </c>
      <c r="R412" s="150" t="str">
        <f>IFERROR(__xludf.DUMMYFUNCTION("""COMPUTED_VALUE"""),"Autopilot included")</f>
        <v>Autopilot included</v>
      </c>
      <c r="S412" s="150" t="str">
        <f>IFERROR(__xludf.DUMMYFUNCTION("""COMPUTED_VALUE"""),"Loan")</f>
        <v>Loan</v>
      </c>
      <c r="T412" s="136" t="str">
        <f>IFERROR(__xludf.DUMMYFUNCTION("""COMPUTED_VALUE"""),"Ford Escape")</f>
        <v>Ford Escape</v>
      </c>
      <c r="U412" s="136" t="str">
        <f>IFERROR(__xludf.DUMMYFUNCTION("""COMPUTED_VALUE"""),"Range/performance")</f>
        <v>Range/performance</v>
      </c>
      <c r="V412" s="136" t="str">
        <f>IFERROR(__xludf.DUMMYFUNCTION("""COMPUTED_VALUE"""),"Apple CarPlay / Android Auto / SiriusXM Radio")</f>
        <v>Apple CarPlay / Android Auto / SiriusXM Radio</v>
      </c>
      <c r="W412" s="136"/>
      <c r="X412" s="137" t="str">
        <f>IFERROR(__xludf.DUMMYFUNCTION("""COMPUTED_VALUE"""),"Excellent")</f>
        <v>Excellent</v>
      </c>
      <c r="Y412" s="138" t="str">
        <f>IFERROR(__xludf.DUMMYFUNCTION("""COMPUTED_VALUE"""),"Excellent")</f>
        <v>Excellent</v>
      </c>
      <c r="Z412" s="138" t="str">
        <f>IFERROR(__xludf.DUMMYFUNCTION("""COMPUTED_VALUE"""),"Excellent")</f>
        <v>Excellent</v>
      </c>
      <c r="AA412" s="138" t="str">
        <f>IFERROR(__xludf.DUMMYFUNCTION("""COMPUTED_VALUE"""),"Fair")</f>
        <v>Fair</v>
      </c>
      <c r="AB412" s="138" t="str">
        <f>IFERROR(__xludf.DUMMYFUNCTION("""COMPUTED_VALUE"""),"Fair")</f>
        <v>Fair</v>
      </c>
      <c r="AC412" s="139">
        <f>IFERROR(__xludf.DUMMYFUNCTION("""COMPUTED_VALUE"""),4.0)</f>
        <v>4</v>
      </c>
      <c r="AD412" s="139">
        <f>IFERROR(__xludf.DUMMYFUNCTION("""COMPUTED_VALUE"""),1.0)</f>
        <v>1</v>
      </c>
      <c r="AE412" s="139">
        <f>IFERROR(__xludf.DUMMYFUNCTION("""COMPUTED_VALUE"""),0.0)</f>
        <v>0</v>
      </c>
      <c r="AF412" s="140" t="str">
        <f>IFERROR(__xludf.DUMMYFUNCTION("""COMPUTED_VALUE"""),"No. I took delivery of the first car Tesla was able to deliver.")</f>
        <v>No. I took delivery of the first car Tesla was able to deliver.</v>
      </c>
      <c r="AG412" s="136"/>
      <c r="AH412" s="157">
        <f>IFERROR(__xludf.DUMMYFUNCTION("""COMPUTED_VALUE"""),44456.78211068286)</f>
        <v>44456.78211</v>
      </c>
      <c r="AI412" s="138"/>
      <c r="AJ412" s="138"/>
      <c r="AK412" s="138"/>
      <c r="AL412" s="142"/>
    </row>
    <row r="413" ht="20.25" customHeight="1">
      <c r="A413" s="155" t="str">
        <f>IFERROR(__xludf.DUMMYFUNCTION("""COMPUTED_VALUE"""),"TampaM3")</f>
        <v>TampaM3</v>
      </c>
      <c r="B413" s="149" t="str">
        <f>IFERROR(__xludf.DUMMYFUNCTION("""COMPUTED_VALUE"""),"Tampa")</f>
        <v>Tampa</v>
      </c>
      <c r="C413" s="149" t="str">
        <f>IFERROR(__xludf.DUMMYFUNCTION("""COMPUTED_VALUE"""),"FL")</f>
        <v>FL</v>
      </c>
      <c r="D413" s="149" t="str">
        <f>IFERROR(__xludf.DUMMYFUNCTION("""COMPUTED_VALUE"""),"USA")</f>
        <v>USA</v>
      </c>
      <c r="E413" s="156">
        <f>IFERROR(__xludf.DUMMYFUNCTION("""COMPUTED_VALUE"""),44394.0)</f>
        <v>44394</v>
      </c>
      <c r="F413" s="129">
        <f>IFERROR(__xludf.DUMMYFUNCTION("""COMPUTED_VALUE"""),44429.0)</f>
        <v>44429</v>
      </c>
      <c r="G413" s="154" t="str">
        <f>IFERROR(__xludf.DUMMYFUNCTION("""COMPUTED_VALUE"""),"Manage order page (normal text)")</f>
        <v>Manage order page (normal text)</v>
      </c>
      <c r="H413" s="131">
        <f>IFERROR(__xludf.DUMMYFUNCTION("""COMPUTED_VALUE"""),34155.0)</f>
        <v>34155</v>
      </c>
      <c r="I413" s="144"/>
      <c r="J413" s="129"/>
      <c r="K413" s="133">
        <f>IFERROR(__xludf.DUMMYFUNCTION("""COMPUTED_VALUE"""),35.0)</f>
        <v>35</v>
      </c>
      <c r="L413" s="133"/>
      <c r="M413" s="133"/>
      <c r="N413" s="152" t="str">
        <f>IFERROR(__xludf.DUMMYFUNCTION("""COMPUTED_VALUE"""),"Model 3 LR AWD")</f>
        <v>Model 3 LR AWD</v>
      </c>
      <c r="O413" s="152" t="str">
        <f>IFERROR(__xludf.DUMMYFUNCTION("""COMPUTED_VALUE"""),"Midnight Silver Metallic")</f>
        <v>Midnight Silver Metallic</v>
      </c>
      <c r="P413" s="153" t="str">
        <f>IFERROR(__xludf.DUMMYFUNCTION("""COMPUTED_VALUE"""),"18 inch")</f>
        <v>18 inch</v>
      </c>
      <c r="Q413" s="152" t="str">
        <f>IFERROR(__xludf.DUMMYFUNCTION("""COMPUTED_VALUE"""),"Black and White")</f>
        <v>Black and White</v>
      </c>
      <c r="R413" s="149" t="str">
        <f>IFERROR(__xludf.DUMMYFUNCTION("""COMPUTED_VALUE"""),"Autopilot included")</f>
        <v>Autopilot included</v>
      </c>
      <c r="S413" s="149" t="str">
        <f>IFERROR(__xludf.DUMMYFUNCTION("""COMPUTED_VALUE"""),"Loan")</f>
        <v>Loan</v>
      </c>
      <c r="T413" s="145" t="str">
        <f>IFERROR(__xludf.DUMMYFUNCTION("""COMPUTED_VALUE"""),"Subaru Outback")</f>
        <v>Subaru Outback</v>
      </c>
      <c r="U413" s="145" t="str">
        <f>IFERROR(__xludf.DUMMYFUNCTION("""COMPUTED_VALUE"""),"Autopilot")</f>
        <v>Autopilot</v>
      </c>
      <c r="V413" s="145" t="str">
        <f>IFERROR(__xludf.DUMMYFUNCTION("""COMPUTED_VALUE"""),"Ventilated seats")</f>
        <v>Ventilated seats</v>
      </c>
      <c r="W413" s="136"/>
      <c r="X413" s="137"/>
      <c r="Y413" s="138"/>
      <c r="Z413" s="138"/>
      <c r="AA413" s="138"/>
      <c r="AB413" s="138"/>
      <c r="AC413" s="139"/>
      <c r="AD413" s="139"/>
      <c r="AE413" s="139"/>
      <c r="AF413" s="140"/>
      <c r="AG413" s="136"/>
      <c r="AH413" s="157">
        <f>IFERROR(__xludf.DUMMYFUNCTION("""COMPUTED_VALUE"""),44429.981737905095)</f>
        <v>44429.98174</v>
      </c>
      <c r="AI413" s="138"/>
      <c r="AJ413" s="138"/>
      <c r="AK413" s="138"/>
      <c r="AL413" s="142"/>
    </row>
    <row r="414" ht="20.25" customHeight="1">
      <c r="A414" s="155" t="str">
        <f>IFERROR(__xludf.DUMMYFUNCTION("""COMPUTED_VALUE"""),"thekhanbreaker")</f>
        <v>thekhanbreaker</v>
      </c>
      <c r="B414" s="150" t="str">
        <f>IFERROR(__xludf.DUMMYFUNCTION("""COMPUTED_VALUE"""),"Seattle")</f>
        <v>Seattle</v>
      </c>
      <c r="C414" s="149" t="str">
        <f>IFERROR(__xludf.DUMMYFUNCTION("""COMPUTED_VALUE"""),"WA")</f>
        <v>WA</v>
      </c>
      <c r="D414" s="149" t="str">
        <f>IFERROR(__xludf.DUMMYFUNCTION("""COMPUTED_VALUE"""),"USA")</f>
        <v>USA</v>
      </c>
      <c r="E414" s="156">
        <f>IFERROR(__xludf.DUMMYFUNCTION("""COMPUTED_VALUE"""),44394.0)</f>
        <v>44394</v>
      </c>
      <c r="F414" s="129">
        <f>IFERROR(__xludf.DUMMYFUNCTION("""COMPUTED_VALUE"""),44427.0)</f>
        <v>44427</v>
      </c>
      <c r="G414" s="154" t="str">
        <f>IFERROR(__xludf.DUMMYFUNCTION("""COMPUTED_VALUE"""),"Manage order page (normal text)")</f>
        <v>Manage order page (normal text)</v>
      </c>
      <c r="H414" s="131"/>
      <c r="I414" s="144"/>
      <c r="J414" s="129"/>
      <c r="K414" s="133">
        <f>IFERROR(__xludf.DUMMYFUNCTION("""COMPUTED_VALUE"""),33.0)</f>
        <v>33</v>
      </c>
      <c r="L414" s="133"/>
      <c r="M414" s="133"/>
      <c r="N414" s="152" t="str">
        <f>IFERROR(__xludf.DUMMYFUNCTION("""COMPUTED_VALUE"""),"Model 3 LR AWD")</f>
        <v>Model 3 LR AWD</v>
      </c>
      <c r="O414" s="152" t="str">
        <f>IFERROR(__xludf.DUMMYFUNCTION("""COMPUTED_VALUE"""),"Pearl White Multi-Coat")</f>
        <v>Pearl White Multi-Coat</v>
      </c>
      <c r="P414" s="153" t="str">
        <f>IFERROR(__xludf.DUMMYFUNCTION("""COMPUTED_VALUE"""),"18 inch")</f>
        <v>18 inch</v>
      </c>
      <c r="Q414" s="152" t="str">
        <f>IFERROR(__xludf.DUMMYFUNCTION("""COMPUTED_VALUE"""),"Black and White")</f>
        <v>Black and White</v>
      </c>
      <c r="R414" s="149" t="str">
        <f>IFERROR(__xludf.DUMMYFUNCTION("""COMPUTED_VALUE"""),"Autopilot included")</f>
        <v>Autopilot included</v>
      </c>
      <c r="S414" s="149" t="str">
        <f>IFERROR(__xludf.DUMMYFUNCTION("""COMPUTED_VALUE"""),"Loan")</f>
        <v>Loan</v>
      </c>
      <c r="T414" s="145" t="str">
        <f>IFERROR(__xludf.DUMMYFUNCTION("""COMPUTED_VALUE"""),"Audi A4")</f>
        <v>Audi A4</v>
      </c>
      <c r="U414" s="145" t="str">
        <f>IFERROR(__xludf.DUMMYFUNCTION("""COMPUTED_VALUE"""),"Tech")</f>
        <v>Tech</v>
      </c>
      <c r="V414" s="136" t="str">
        <f>IFERROR(__xludf.DUMMYFUNCTION("""COMPUTED_VALUE"""),"Blind spot indicators on side mirrors")</f>
        <v>Blind spot indicators on side mirrors</v>
      </c>
      <c r="W414" s="136"/>
      <c r="X414" s="137"/>
      <c r="Y414" s="138"/>
      <c r="Z414" s="138"/>
      <c r="AA414" s="138"/>
      <c r="AB414" s="138"/>
      <c r="AC414" s="139"/>
      <c r="AD414" s="139"/>
      <c r="AE414" s="139"/>
      <c r="AF414" s="140"/>
      <c r="AG414" s="136"/>
      <c r="AH414" s="157">
        <f>IFERROR(__xludf.DUMMYFUNCTION("""COMPUTED_VALUE"""),44427.74309615741)</f>
        <v>44427.7431</v>
      </c>
      <c r="AI414" s="138"/>
      <c r="AJ414" s="138"/>
      <c r="AK414" s="138"/>
      <c r="AL414" s="142"/>
    </row>
    <row r="415" ht="20.25" customHeight="1">
      <c r="A415" s="155" t="str">
        <f>IFERROR(__xludf.DUMMYFUNCTION("""COMPUTED_VALUE"""),"DirtyDan")</f>
        <v>DirtyDan</v>
      </c>
      <c r="B415" s="149" t="str">
        <f>IFERROR(__xludf.DUMMYFUNCTION("""COMPUTED_VALUE"""),"Los Angeles")</f>
        <v>Los Angeles</v>
      </c>
      <c r="C415" s="149" t="str">
        <f>IFERROR(__xludf.DUMMYFUNCTION("""COMPUTED_VALUE"""),"CA")</f>
        <v>CA</v>
      </c>
      <c r="D415" s="149" t="str">
        <f>IFERROR(__xludf.DUMMYFUNCTION("""COMPUTED_VALUE"""),"USA")</f>
        <v>USA</v>
      </c>
      <c r="E415" s="156">
        <f>IFERROR(__xludf.DUMMYFUNCTION("""COMPUTED_VALUE"""),44393.0)</f>
        <v>44393</v>
      </c>
      <c r="F415" s="129">
        <f>IFERROR(__xludf.DUMMYFUNCTION("""COMPUTED_VALUE"""),44448.0)</f>
        <v>44448</v>
      </c>
      <c r="G415" s="154" t="str">
        <f>IFERROR(__xludf.DUMMYFUNCTION("""COMPUTED_VALUE"""),"Manage order page (normal text)")</f>
        <v>Manage order page (normal text)</v>
      </c>
      <c r="H415" s="131">
        <f>IFERROR(__xludf.DUMMYFUNCTION("""COMPUTED_VALUE"""),56855.0)</f>
        <v>56855</v>
      </c>
      <c r="I415" s="144"/>
      <c r="J415" s="129">
        <f>IFERROR(__xludf.DUMMYFUNCTION("""COMPUTED_VALUE"""),44450.0)</f>
        <v>44450</v>
      </c>
      <c r="K415" s="133">
        <f>IFERROR(__xludf.DUMMYFUNCTION("""COMPUTED_VALUE"""),55.0)</f>
        <v>55</v>
      </c>
      <c r="L415" s="133">
        <f>IFERROR(__xludf.DUMMYFUNCTION("""COMPUTED_VALUE"""),2.0)</f>
        <v>2</v>
      </c>
      <c r="M415" s="133">
        <f>IFERROR(__xludf.DUMMYFUNCTION("""COMPUTED_VALUE"""),57.0)</f>
        <v>57</v>
      </c>
      <c r="N415" s="152" t="str">
        <f>IFERROR(__xludf.DUMMYFUNCTION("""COMPUTED_VALUE"""),"Model 3 LR AWD")</f>
        <v>Model 3 LR AWD</v>
      </c>
      <c r="O415" s="152" t="str">
        <f>IFERROR(__xludf.DUMMYFUNCTION("""COMPUTED_VALUE"""),"Midnight Silver Metallic")</f>
        <v>Midnight Silver Metallic</v>
      </c>
      <c r="P415" s="153" t="str">
        <f>IFERROR(__xludf.DUMMYFUNCTION("""COMPUTED_VALUE"""),"19 inch")</f>
        <v>19 inch</v>
      </c>
      <c r="Q415" s="152" t="str">
        <f>IFERROR(__xludf.DUMMYFUNCTION("""COMPUTED_VALUE"""),"Black and White")</f>
        <v>Black and White</v>
      </c>
      <c r="R415" s="149" t="str">
        <f>IFERROR(__xludf.DUMMYFUNCTION("""COMPUTED_VALUE"""),"Autopilot included")</f>
        <v>Autopilot included</v>
      </c>
      <c r="S415" s="149" t="str">
        <f>IFERROR(__xludf.DUMMYFUNCTION("""COMPUTED_VALUE"""),"Lease")</f>
        <v>Lease</v>
      </c>
      <c r="T415" s="145" t="str">
        <f>IFERROR(__xludf.DUMMYFUNCTION("""COMPUTED_VALUE"""),"BMW 3 Series")</f>
        <v>BMW 3 Series</v>
      </c>
      <c r="U415" s="145" t="str">
        <f>IFERROR(__xludf.DUMMYFUNCTION("""COMPUTED_VALUE"""),"Electric!")</f>
        <v>Electric!</v>
      </c>
      <c r="V415" s="145"/>
      <c r="W415" s="145"/>
      <c r="X415" s="137"/>
      <c r="Y415" s="138"/>
      <c r="Z415" s="138"/>
      <c r="AA415" s="138"/>
      <c r="AB415" s="138"/>
      <c r="AC415" s="139"/>
      <c r="AD415" s="139"/>
      <c r="AE415" s="139"/>
      <c r="AF415" s="140"/>
      <c r="AG415" s="145"/>
      <c r="AH415" s="157">
        <f>IFERROR(__xludf.DUMMYFUNCTION("""COMPUTED_VALUE"""),44449.88084032407)</f>
        <v>44449.88084</v>
      </c>
      <c r="AI415" s="138"/>
      <c r="AJ415" s="138"/>
      <c r="AK415" s="138"/>
      <c r="AL415" s="142"/>
    </row>
    <row r="416" ht="20.25" customHeight="1">
      <c r="A416" s="155" t="str">
        <f>IFERROR(__xludf.DUMMYFUNCTION("""COMPUTED_VALUE"""),"hiphiphooray")</f>
        <v>hiphiphooray</v>
      </c>
      <c r="B416" s="149" t="str">
        <f>IFERROR(__xludf.DUMMYFUNCTION("""COMPUTED_VALUE"""),"North Brunswick")</f>
        <v>North Brunswick</v>
      </c>
      <c r="C416" s="149" t="str">
        <f>IFERROR(__xludf.DUMMYFUNCTION("""COMPUTED_VALUE"""),"NJ")</f>
        <v>NJ</v>
      </c>
      <c r="D416" s="149" t="str">
        <f>IFERROR(__xludf.DUMMYFUNCTION("""COMPUTED_VALUE"""),"USA")</f>
        <v>USA</v>
      </c>
      <c r="E416" s="156">
        <f>IFERROR(__xludf.DUMMYFUNCTION("""COMPUTED_VALUE"""),44393.0)</f>
        <v>44393</v>
      </c>
      <c r="F416" s="129"/>
      <c r="G416" s="154"/>
      <c r="H416" s="131"/>
      <c r="I416" s="144"/>
      <c r="J416" s="129"/>
      <c r="K416" s="133"/>
      <c r="L416" s="133"/>
      <c r="M416" s="133"/>
      <c r="N416" s="152" t="str">
        <f>IFERROR(__xludf.DUMMYFUNCTION("""COMPUTED_VALUE"""),"Model 3 SR+")</f>
        <v>Model 3 SR+</v>
      </c>
      <c r="O416" s="152" t="str">
        <f>IFERROR(__xludf.DUMMYFUNCTION("""COMPUTED_VALUE"""),"Pearl White Multi-Coat")</f>
        <v>Pearl White Multi-Coat</v>
      </c>
      <c r="P416" s="153" t="str">
        <f>IFERROR(__xludf.DUMMYFUNCTION("""COMPUTED_VALUE"""),"18 inch")</f>
        <v>18 inch</v>
      </c>
      <c r="Q416" s="152" t="str">
        <f>IFERROR(__xludf.DUMMYFUNCTION("""COMPUTED_VALUE"""),"All Black")</f>
        <v>All Black</v>
      </c>
      <c r="R416" s="149" t="str">
        <f>IFERROR(__xludf.DUMMYFUNCTION("""COMPUTED_VALUE"""),"Autopilot included")</f>
        <v>Autopilot included</v>
      </c>
      <c r="S416" s="149" t="str">
        <f>IFERROR(__xludf.DUMMYFUNCTION("""COMPUTED_VALUE"""),"Cash")</f>
        <v>Cash</v>
      </c>
      <c r="T416" s="145" t="str">
        <f>IFERROR(__xludf.DUMMYFUNCTION("""COMPUTED_VALUE"""),"VW Jetta")</f>
        <v>VW Jetta</v>
      </c>
      <c r="U416" s="145" t="str">
        <f>IFERROR(__xludf.DUMMYFUNCTION("""COMPUTED_VALUE"""),"Electric!")</f>
        <v>Electric!</v>
      </c>
      <c r="V416" s="145" t="str">
        <f>IFERROR(__xludf.DUMMYFUNCTION("""COMPUTED_VALUE"""),"Apple CarPlay / Android Auto / SiriusXM Radio")</f>
        <v>Apple CarPlay / Android Auto / SiriusXM Radio</v>
      </c>
      <c r="W416" s="136"/>
      <c r="X416" s="151"/>
      <c r="Y416" s="138"/>
      <c r="Z416" s="138"/>
      <c r="AA416" s="138"/>
      <c r="AB416" s="138"/>
      <c r="AC416" s="139"/>
      <c r="AD416" s="139"/>
      <c r="AE416" s="139"/>
      <c r="AF416" s="140"/>
      <c r="AG416" s="136"/>
      <c r="AH416" s="157">
        <f>IFERROR(__xludf.DUMMYFUNCTION("""COMPUTED_VALUE"""),44445.62069556713)</f>
        <v>44445.6207</v>
      </c>
      <c r="AI416" s="138"/>
      <c r="AJ416" s="138"/>
      <c r="AK416" s="138"/>
      <c r="AL416" s="142"/>
    </row>
    <row r="417" ht="20.25" customHeight="1">
      <c r="A417" s="155" t="str">
        <f>IFERROR(__xludf.DUMMYFUNCTION("""COMPUTED_VALUE"""),"wafer")</f>
        <v>wafer</v>
      </c>
      <c r="B417" s="149" t="str">
        <f>IFERROR(__xludf.DUMMYFUNCTION("""COMPUTED_VALUE"""),"Garland")</f>
        <v>Garland</v>
      </c>
      <c r="C417" s="149" t="str">
        <f>IFERROR(__xludf.DUMMYFUNCTION("""COMPUTED_VALUE"""),"TX")</f>
        <v>TX</v>
      </c>
      <c r="D417" s="149" t="str">
        <f>IFERROR(__xludf.DUMMYFUNCTION("""COMPUTED_VALUE"""),"USA")</f>
        <v>USA</v>
      </c>
      <c r="E417" s="156">
        <f>IFERROR(__xludf.DUMMYFUNCTION("""COMPUTED_VALUE"""),44393.0)</f>
        <v>44393</v>
      </c>
      <c r="F417" s="129"/>
      <c r="G417" s="154"/>
      <c r="H417" s="131"/>
      <c r="I417" s="144"/>
      <c r="J417" s="129"/>
      <c r="K417" s="133"/>
      <c r="L417" s="133"/>
      <c r="M417" s="133"/>
      <c r="N417" s="152" t="str">
        <f>IFERROR(__xludf.DUMMYFUNCTION("""COMPUTED_VALUE"""),"Model 3 SR+")</f>
        <v>Model 3 SR+</v>
      </c>
      <c r="O417" s="152" t="str">
        <f>IFERROR(__xludf.DUMMYFUNCTION("""COMPUTED_VALUE"""),"Pearl White Multi-Coat")</f>
        <v>Pearl White Multi-Coat</v>
      </c>
      <c r="P417" s="153" t="str">
        <f>IFERROR(__xludf.DUMMYFUNCTION("""COMPUTED_VALUE"""),"19 inch")</f>
        <v>19 inch</v>
      </c>
      <c r="Q417" s="152" t="str">
        <f>IFERROR(__xludf.DUMMYFUNCTION("""COMPUTED_VALUE"""),"All Black")</f>
        <v>All Black</v>
      </c>
      <c r="R417" s="149" t="str">
        <f>IFERROR(__xludf.DUMMYFUNCTION("""COMPUTED_VALUE"""),"Full Self-Driving")</f>
        <v>Full Self-Driving</v>
      </c>
      <c r="S417" s="149" t="str">
        <f>IFERROR(__xludf.DUMMYFUNCTION("""COMPUTED_VALUE"""),"Loan")</f>
        <v>Loan</v>
      </c>
      <c r="T417" s="145"/>
      <c r="U417" s="145" t="str">
        <f>IFERROR(__xludf.DUMMYFUNCTION("""COMPUTED_VALUE"""),"FSD")</f>
        <v>FSD</v>
      </c>
      <c r="V417" s="145" t="str">
        <f>IFERROR(__xludf.DUMMYFUNCTION("""COMPUTED_VALUE"""),"Apple CarPlay / Android Auto / SiriusXM Radio")</f>
        <v>Apple CarPlay / Android Auto / SiriusXM Radio</v>
      </c>
      <c r="W417" s="145"/>
      <c r="X417" s="137"/>
      <c r="Y417" s="138"/>
      <c r="Z417" s="138"/>
      <c r="AA417" s="138"/>
      <c r="AB417" s="138"/>
      <c r="AC417" s="139"/>
      <c r="AD417" s="139"/>
      <c r="AE417" s="139"/>
      <c r="AF417" s="140"/>
      <c r="AG417" s="145"/>
      <c r="AH417" s="157">
        <f>IFERROR(__xludf.DUMMYFUNCTION("""COMPUTED_VALUE"""),44423.89790269676)</f>
        <v>44423.8979</v>
      </c>
      <c r="AI417" s="138"/>
      <c r="AJ417" s="138"/>
      <c r="AK417" s="138"/>
      <c r="AL417" s="142"/>
    </row>
    <row r="418" ht="20.25" customHeight="1">
      <c r="A418" s="155" t="str">
        <f>IFERROR(__xludf.DUMMYFUNCTION("""COMPUTED_VALUE"""),"JJ")</f>
        <v>JJ</v>
      </c>
      <c r="B418" s="149" t="str">
        <f>IFERROR(__xludf.DUMMYFUNCTION("""COMPUTED_VALUE"""),"Tampa")</f>
        <v>Tampa</v>
      </c>
      <c r="C418" s="149" t="str">
        <f>IFERROR(__xludf.DUMMYFUNCTION("""COMPUTED_VALUE"""),"FL")</f>
        <v>FL</v>
      </c>
      <c r="D418" s="149" t="str">
        <f>IFERROR(__xludf.DUMMYFUNCTION("""COMPUTED_VALUE"""),"USA")</f>
        <v>USA</v>
      </c>
      <c r="E418" s="156">
        <f>IFERROR(__xludf.DUMMYFUNCTION("""COMPUTED_VALUE"""),44392.0)</f>
        <v>44392</v>
      </c>
      <c r="F418" s="129">
        <f>IFERROR(__xludf.DUMMYFUNCTION("""COMPUTED_VALUE"""),44421.0)</f>
        <v>44421</v>
      </c>
      <c r="G418" s="154" t="str">
        <f>IFERROR(__xludf.DUMMYFUNCTION("""COMPUTED_VALUE"""),"Manage order page (normal text)")</f>
        <v>Manage order page (normal text)</v>
      </c>
      <c r="H418" s="131"/>
      <c r="I418" s="144"/>
      <c r="J418" s="129">
        <f>IFERROR(__xludf.DUMMYFUNCTION("""COMPUTED_VALUE"""),44447.0)</f>
        <v>44447</v>
      </c>
      <c r="K418" s="133">
        <f>IFERROR(__xludf.DUMMYFUNCTION("""COMPUTED_VALUE"""),29.0)</f>
        <v>29</v>
      </c>
      <c r="L418" s="133">
        <f>IFERROR(__xludf.DUMMYFUNCTION("""COMPUTED_VALUE"""),26.0)</f>
        <v>26</v>
      </c>
      <c r="M418" s="133">
        <f>IFERROR(__xludf.DUMMYFUNCTION("""COMPUTED_VALUE"""),55.0)</f>
        <v>55</v>
      </c>
      <c r="N418" s="152" t="str">
        <f>IFERROR(__xludf.DUMMYFUNCTION("""COMPUTED_VALUE"""),"Model 3 LR AWD")</f>
        <v>Model 3 LR AWD</v>
      </c>
      <c r="O418" s="152" t="str">
        <f>IFERROR(__xludf.DUMMYFUNCTION("""COMPUTED_VALUE"""),"Deep Blue Metallic")</f>
        <v>Deep Blue Metallic</v>
      </c>
      <c r="P418" s="153" t="str">
        <f>IFERROR(__xludf.DUMMYFUNCTION("""COMPUTED_VALUE"""),"18 inch")</f>
        <v>18 inch</v>
      </c>
      <c r="Q418" s="152" t="str">
        <f>IFERROR(__xludf.DUMMYFUNCTION("""COMPUTED_VALUE"""),"All Black")</f>
        <v>All Black</v>
      </c>
      <c r="R418" s="149" t="str">
        <f>IFERROR(__xludf.DUMMYFUNCTION("""COMPUTED_VALUE"""),"Autopilot included")</f>
        <v>Autopilot included</v>
      </c>
      <c r="S418" s="149" t="str">
        <f>IFERROR(__xludf.DUMMYFUNCTION("""COMPUTED_VALUE"""),"Loan")</f>
        <v>Loan</v>
      </c>
      <c r="T418" s="145"/>
      <c r="U418" s="145" t="str">
        <f>IFERROR(__xludf.DUMMYFUNCTION("""COMPUTED_VALUE"""),"Electric!")</f>
        <v>Electric!</v>
      </c>
      <c r="V418" s="145" t="str">
        <f>IFERROR(__xludf.DUMMYFUNCTION("""COMPUTED_VALUE"""),"Bioweapon defense mode")</f>
        <v>Bioweapon defense mode</v>
      </c>
      <c r="W418" s="136"/>
      <c r="X418" s="137"/>
      <c r="Y418" s="138"/>
      <c r="Z418" s="138"/>
      <c r="AA418" s="138"/>
      <c r="AB418" s="138"/>
      <c r="AC418" s="139"/>
      <c r="AD418" s="139"/>
      <c r="AE418" s="139"/>
      <c r="AF418" s="140"/>
      <c r="AG418" s="136"/>
      <c r="AH418" s="157">
        <f>IFERROR(__xludf.DUMMYFUNCTION("""COMPUTED_VALUE"""),44439.42609793981)</f>
        <v>44439.4261</v>
      </c>
      <c r="AI418" s="138"/>
      <c r="AJ418" s="138"/>
      <c r="AK418" s="138"/>
      <c r="AL418" s="142"/>
    </row>
    <row r="419" ht="20.25" customHeight="1">
      <c r="A419" s="155" t="str">
        <f>IFERROR(__xludf.DUMMYFUNCTION("""COMPUTED_VALUE"""),"SelenerDarkVader")</f>
        <v>SelenerDarkVader</v>
      </c>
      <c r="B419" s="149" t="str">
        <f>IFERROR(__xludf.DUMMYFUNCTION("""COMPUTED_VALUE"""),"YVR")</f>
        <v>YVR</v>
      </c>
      <c r="C419" s="149" t="str">
        <f>IFERROR(__xludf.DUMMYFUNCTION("""COMPUTED_VALUE"""),"BC")</f>
        <v>BC</v>
      </c>
      <c r="D419" s="149" t="str">
        <f>IFERROR(__xludf.DUMMYFUNCTION("""COMPUTED_VALUE"""),"Canada")</f>
        <v>Canada</v>
      </c>
      <c r="E419" s="156">
        <f>IFERROR(__xludf.DUMMYFUNCTION("""COMPUTED_VALUE"""),44392.0)</f>
        <v>44392</v>
      </c>
      <c r="F419" s="129">
        <f>IFERROR(__xludf.DUMMYFUNCTION("""COMPUTED_VALUE"""),44478.0)</f>
        <v>44478</v>
      </c>
      <c r="G419" s="154" t="str">
        <f>IFERROR(__xludf.DUMMYFUNCTION("""COMPUTED_VALUE"""),"Source code")</f>
        <v>Source code</v>
      </c>
      <c r="H419" s="131"/>
      <c r="I419" s="144"/>
      <c r="J419" s="129">
        <f>IFERROR(__xludf.DUMMYFUNCTION("""COMPUTED_VALUE"""),44483.0)</f>
        <v>44483</v>
      </c>
      <c r="K419" s="133">
        <f>IFERROR(__xludf.DUMMYFUNCTION("""COMPUTED_VALUE"""),86.0)</f>
        <v>86</v>
      </c>
      <c r="L419" s="133">
        <f>IFERROR(__xludf.DUMMYFUNCTION("""COMPUTED_VALUE"""),5.0)</f>
        <v>5</v>
      </c>
      <c r="M419" s="133">
        <f>IFERROR(__xludf.DUMMYFUNCTION("""COMPUTED_VALUE"""),91.0)</f>
        <v>91</v>
      </c>
      <c r="N419" s="152" t="str">
        <f>IFERROR(__xludf.DUMMYFUNCTION("""COMPUTED_VALUE"""),"Model 3 SR+")</f>
        <v>Model 3 SR+</v>
      </c>
      <c r="O419" s="152" t="str">
        <f>IFERROR(__xludf.DUMMYFUNCTION("""COMPUTED_VALUE"""),"Red Multi-Coat")</f>
        <v>Red Multi-Coat</v>
      </c>
      <c r="P419" s="153" t="str">
        <f>IFERROR(__xludf.DUMMYFUNCTION("""COMPUTED_VALUE"""),"18 inch")</f>
        <v>18 inch</v>
      </c>
      <c r="Q419" s="152" t="str">
        <f>IFERROR(__xludf.DUMMYFUNCTION("""COMPUTED_VALUE"""),"All Black")</f>
        <v>All Black</v>
      </c>
      <c r="R419" s="149" t="str">
        <f>IFERROR(__xludf.DUMMYFUNCTION("""COMPUTED_VALUE"""),"Autopilot included")</f>
        <v>Autopilot included</v>
      </c>
      <c r="S419" s="149" t="str">
        <f>IFERROR(__xludf.DUMMYFUNCTION("""COMPUTED_VALUE"""),"Loan")</f>
        <v>Loan</v>
      </c>
      <c r="T419" s="145" t="str">
        <f>IFERROR(__xludf.DUMMYFUNCTION("""COMPUTED_VALUE"""),"Model 3 will be my first car!")</f>
        <v>Model 3 will be my first car!</v>
      </c>
      <c r="U419" s="145" t="str">
        <f>IFERROR(__xludf.DUMMYFUNCTION("""COMPUTED_VALUE"""),"Electric!")</f>
        <v>Electric!</v>
      </c>
      <c r="V419" s="145" t="str">
        <f>IFERROR(__xludf.DUMMYFUNCTION("""COMPUTED_VALUE"""),"Bioweapon defense mode")</f>
        <v>Bioweapon defense mode</v>
      </c>
      <c r="W419" s="145"/>
      <c r="X419" s="137" t="str">
        <f>IFERROR(__xludf.DUMMYFUNCTION("""COMPUTED_VALUE"""),"Excellent")</f>
        <v>Excellent</v>
      </c>
      <c r="Y419" s="138" t="str">
        <f>IFERROR(__xludf.DUMMYFUNCTION("""COMPUTED_VALUE"""),"Excellent")</f>
        <v>Excellent</v>
      </c>
      <c r="Z419" s="138" t="str">
        <f>IFERROR(__xludf.DUMMYFUNCTION("""COMPUTED_VALUE"""),"Excellent")</f>
        <v>Excellent</v>
      </c>
      <c r="AA419" s="138" t="str">
        <f>IFERROR(__xludf.DUMMYFUNCTION("""COMPUTED_VALUE"""),"Fair")</f>
        <v>Fair</v>
      </c>
      <c r="AB419" s="138" t="str">
        <f>IFERROR(__xludf.DUMMYFUNCTION("""COMPUTED_VALUE"""),"Good")</f>
        <v>Good</v>
      </c>
      <c r="AC419" s="139"/>
      <c r="AD419" s="139"/>
      <c r="AE419" s="139"/>
      <c r="AF419" s="140"/>
      <c r="AG419" s="145"/>
      <c r="AH419" s="157">
        <f>IFERROR(__xludf.DUMMYFUNCTION("""COMPUTED_VALUE"""),44487.49395034723)</f>
        <v>44487.49395</v>
      </c>
      <c r="AI419" s="138"/>
      <c r="AJ419" s="138"/>
      <c r="AK419" s="138"/>
      <c r="AL419" s="142"/>
    </row>
    <row r="420" ht="20.25" customHeight="1">
      <c r="A420" s="155" t="str">
        <f>IFERROR(__xludf.DUMMYFUNCTION("""COMPUTED_VALUE"""),"CAF")</f>
        <v>CAF</v>
      </c>
      <c r="B420" s="149" t="str">
        <f>IFERROR(__xludf.DUMMYFUNCTION("""COMPUTED_VALUE"""),"Los Angeles ")</f>
        <v>Los Angeles </v>
      </c>
      <c r="C420" s="149" t="str">
        <f>IFERROR(__xludf.DUMMYFUNCTION("""COMPUTED_VALUE"""),"CA")</f>
        <v>CA</v>
      </c>
      <c r="D420" s="149" t="str">
        <f>IFERROR(__xludf.DUMMYFUNCTION("""COMPUTED_VALUE"""),"USA")</f>
        <v>USA</v>
      </c>
      <c r="E420" s="156">
        <f>IFERROR(__xludf.DUMMYFUNCTION("""COMPUTED_VALUE"""),44391.0)</f>
        <v>44391</v>
      </c>
      <c r="F420" s="129">
        <f>IFERROR(__xludf.DUMMYFUNCTION("""COMPUTED_VALUE"""),44422.0)</f>
        <v>44422</v>
      </c>
      <c r="G420" s="154" t="str">
        <f>IFERROR(__xludf.DUMMYFUNCTION("""COMPUTED_VALUE"""),"Email")</f>
        <v>Email</v>
      </c>
      <c r="H420" s="131">
        <f>IFERROR(__xludf.DUMMYFUNCTION("""COMPUTED_VALUE"""),36515.0)</f>
        <v>36515</v>
      </c>
      <c r="I420" s="132" t="str">
        <f>IFERROR(__xludf.DUMMYFUNCTION("""COMPUTED_VALUE"""),"08/21")</f>
        <v>08/21</v>
      </c>
      <c r="J420" s="129">
        <f>IFERROR(__xludf.DUMMYFUNCTION("""COMPUTED_VALUE"""),44426.0)</f>
        <v>44426</v>
      </c>
      <c r="K420" s="133">
        <f>IFERROR(__xludf.DUMMYFUNCTION("""COMPUTED_VALUE"""),31.0)</f>
        <v>31</v>
      </c>
      <c r="L420" s="133">
        <f>IFERROR(__xludf.DUMMYFUNCTION("""COMPUTED_VALUE"""),4.0)</f>
        <v>4</v>
      </c>
      <c r="M420" s="133">
        <f>IFERROR(__xludf.DUMMYFUNCTION("""COMPUTED_VALUE"""),35.0)</f>
        <v>35</v>
      </c>
      <c r="N420" s="152" t="str">
        <f>IFERROR(__xludf.DUMMYFUNCTION("""COMPUTED_VALUE"""),"Model 3 LR AWD")</f>
        <v>Model 3 LR AWD</v>
      </c>
      <c r="O420" s="152" t="str">
        <f>IFERROR(__xludf.DUMMYFUNCTION("""COMPUTED_VALUE"""),"Midnight Silver Metallic")</f>
        <v>Midnight Silver Metallic</v>
      </c>
      <c r="P420" s="153" t="str">
        <f>IFERROR(__xludf.DUMMYFUNCTION("""COMPUTED_VALUE"""),"19 inch")</f>
        <v>19 inch</v>
      </c>
      <c r="Q420" s="152" t="str">
        <f>IFERROR(__xludf.DUMMYFUNCTION("""COMPUTED_VALUE"""),"Black and White")</f>
        <v>Black and White</v>
      </c>
      <c r="R420" s="150" t="str">
        <f>IFERROR(__xludf.DUMMYFUNCTION("""COMPUTED_VALUE"""),"Autopilot included")</f>
        <v>Autopilot included</v>
      </c>
      <c r="S420" s="150" t="str">
        <f>IFERROR(__xludf.DUMMYFUNCTION("""COMPUTED_VALUE"""),"Cash")</f>
        <v>Cash</v>
      </c>
      <c r="T420" s="145"/>
      <c r="U420" s="145" t="str">
        <f>IFERROR(__xludf.DUMMYFUNCTION("""COMPUTED_VALUE"""),"Electric!")</f>
        <v>Electric!</v>
      </c>
      <c r="V420" s="145" t="str">
        <f>IFERROR(__xludf.DUMMYFUNCTION("""COMPUTED_VALUE"""),"Apple CarPlay / Android Auto / SiriusXM Radio")</f>
        <v>Apple CarPlay / Android Auto / SiriusXM Radio</v>
      </c>
      <c r="W420" s="145" t="str">
        <f>IFERROR(__xludf.DUMMYFUNCTION("""COMPUTED_VALUE"""),"Schedule any PPF or ceramic coating when you get your VIN. Sooner the better to protect the delicate (Fremont) paint.")</f>
        <v>Schedule any PPF or ceramic coating when you get your VIN. Sooner the better to protect the delicate (Fremont) paint.</v>
      </c>
      <c r="X420" s="137"/>
      <c r="Y420" s="138"/>
      <c r="Z420" s="138"/>
      <c r="AA420" s="138"/>
      <c r="AB420" s="138"/>
      <c r="AC420" s="139"/>
      <c r="AD420" s="139"/>
      <c r="AE420" s="139"/>
      <c r="AF420" s="140" t="str">
        <f>IFERROR(__xludf.DUMMYFUNCTION("""COMPUTED_VALUE"""),"No. I took delivery of the first car Tesla was able to deliver.")</f>
        <v>No. I took delivery of the first car Tesla was able to deliver.</v>
      </c>
      <c r="AG420" s="145" t="str">
        <f>IFERROR(__xludf.DUMMYFUNCTION("""COMPUTED_VALUE"""),"My EDD hovered in the same time frame for 3 weeks or so and then moved to the right by two weeks and I was bummed but suddenly got an email at midnight requesting final payment/delivery scheduling! I'm in awe they beat their EDD by weeks for me! You never"&amp;" know! :) Good luck! ")</f>
        <v>My EDD hovered in the same time frame for 3 weeks or so and then moved to the right by two weeks and I was bummed but suddenly got an email at midnight requesting final payment/delivery scheduling! I'm in awe they beat their EDD by weeks for me! You never know! :) Good luck! </v>
      </c>
      <c r="AH420" s="157">
        <f>IFERROR(__xludf.DUMMYFUNCTION("""COMPUTED_VALUE"""),44427.76634814815)</f>
        <v>44427.76635</v>
      </c>
      <c r="AI420" s="138"/>
      <c r="AJ420" s="138"/>
      <c r="AK420" s="138"/>
      <c r="AL420" s="142"/>
    </row>
    <row r="421" ht="20.25" customHeight="1">
      <c r="A421" s="155" t="str">
        <f>IFERROR(__xludf.DUMMYFUNCTION("""COMPUTED_VALUE"""),"D_d_")</f>
        <v>D_d_</v>
      </c>
      <c r="B421" s="149" t="str">
        <f>IFERROR(__xludf.DUMMYFUNCTION("""COMPUTED_VALUE"""),"Burlingame")</f>
        <v>Burlingame</v>
      </c>
      <c r="C421" s="149" t="str">
        <f>IFERROR(__xludf.DUMMYFUNCTION("""COMPUTED_VALUE"""),"CA")</f>
        <v>CA</v>
      </c>
      <c r="D421" s="149" t="str">
        <f>IFERROR(__xludf.DUMMYFUNCTION("""COMPUTED_VALUE"""),"USA")</f>
        <v>USA</v>
      </c>
      <c r="E421" s="156">
        <f>IFERROR(__xludf.DUMMYFUNCTION("""COMPUTED_VALUE"""),44391.0)</f>
        <v>44391</v>
      </c>
      <c r="F421" s="129">
        <f>IFERROR(__xludf.DUMMYFUNCTION("""COMPUTED_VALUE"""),44427.0)</f>
        <v>44427</v>
      </c>
      <c r="G421" s="154" t="str">
        <f>IFERROR(__xludf.DUMMYFUNCTION("""COMPUTED_VALUE"""),"Manage order page (normal text)")</f>
        <v>Manage order page (normal text)</v>
      </c>
      <c r="H421" s="131"/>
      <c r="I421" s="144"/>
      <c r="J421" s="129">
        <f>IFERROR(__xludf.DUMMYFUNCTION("""COMPUTED_VALUE"""),44431.0)</f>
        <v>44431</v>
      </c>
      <c r="K421" s="133">
        <f>IFERROR(__xludf.DUMMYFUNCTION("""COMPUTED_VALUE"""),36.0)</f>
        <v>36</v>
      </c>
      <c r="L421" s="133">
        <f>IFERROR(__xludf.DUMMYFUNCTION("""COMPUTED_VALUE"""),4.0)</f>
        <v>4</v>
      </c>
      <c r="M421" s="133">
        <f>IFERROR(__xludf.DUMMYFUNCTION("""COMPUTED_VALUE"""),40.0)</f>
        <v>40</v>
      </c>
      <c r="N421" s="152" t="str">
        <f>IFERROR(__xludf.DUMMYFUNCTION("""COMPUTED_VALUE"""),"Model 3 LR AWD")</f>
        <v>Model 3 LR AWD</v>
      </c>
      <c r="O421" s="152" t="str">
        <f>IFERROR(__xludf.DUMMYFUNCTION("""COMPUTED_VALUE"""),"Midnight Silver Metallic")</f>
        <v>Midnight Silver Metallic</v>
      </c>
      <c r="P421" s="153" t="str">
        <f>IFERROR(__xludf.DUMMYFUNCTION("""COMPUTED_VALUE"""),"18 inch")</f>
        <v>18 inch</v>
      </c>
      <c r="Q421" s="152" t="str">
        <f>IFERROR(__xludf.DUMMYFUNCTION("""COMPUTED_VALUE"""),"All Black")</f>
        <v>All Black</v>
      </c>
      <c r="R421" s="149" t="str">
        <f>IFERROR(__xludf.DUMMYFUNCTION("""COMPUTED_VALUE"""),"Autopilot included")</f>
        <v>Autopilot included</v>
      </c>
      <c r="S421" s="149" t="str">
        <f>IFERROR(__xludf.DUMMYFUNCTION("""COMPUTED_VALUE"""),"Loan")</f>
        <v>Loan</v>
      </c>
      <c r="T421" s="145"/>
      <c r="U421" s="145"/>
      <c r="V421" s="145"/>
      <c r="W421" s="145"/>
      <c r="X421" s="137"/>
      <c r="Y421" s="138"/>
      <c r="Z421" s="138"/>
      <c r="AA421" s="138"/>
      <c r="AB421" s="138"/>
      <c r="AC421" s="139"/>
      <c r="AD421" s="139"/>
      <c r="AE421" s="139"/>
      <c r="AF421" s="140"/>
      <c r="AG421" s="145"/>
      <c r="AH421" s="157">
        <f>IFERROR(__xludf.DUMMYFUNCTION("""COMPUTED_VALUE"""),44429.595157731485)</f>
        <v>44429.59516</v>
      </c>
      <c r="AI421" s="138"/>
      <c r="AJ421" s="138"/>
      <c r="AK421" s="138"/>
      <c r="AL421" s="142"/>
    </row>
    <row r="422" ht="20.25" customHeight="1">
      <c r="A422" s="155" t="str">
        <f>IFERROR(__xludf.DUMMYFUNCTION("""COMPUTED_VALUE"""),"fireshipjohn")</f>
        <v>fireshipjohn</v>
      </c>
      <c r="B422" s="149"/>
      <c r="C422" s="149"/>
      <c r="D422" s="149" t="str">
        <f>IFERROR(__xludf.DUMMYFUNCTION("""COMPUTED_VALUE"""),"United Kingdom")</f>
        <v>United Kingdom</v>
      </c>
      <c r="E422" s="156">
        <f>IFERROR(__xludf.DUMMYFUNCTION("""COMPUTED_VALUE"""),44391.0)</f>
        <v>44391</v>
      </c>
      <c r="F422" s="129">
        <f>IFERROR(__xludf.DUMMYFUNCTION("""COMPUTED_VALUE"""),44409.0)</f>
        <v>44409</v>
      </c>
      <c r="G422" s="154" t="str">
        <f>IFERROR(__xludf.DUMMYFUNCTION("""COMPUTED_VALUE"""),"Source code")</f>
        <v>Source code</v>
      </c>
      <c r="H422" s="131">
        <f>IFERROR(__xludf.DUMMYFUNCTION("""COMPUTED_VALUE"""),311755.0)</f>
        <v>311755</v>
      </c>
      <c r="I422" s="144"/>
      <c r="J422" s="129">
        <f>IFERROR(__xludf.DUMMYFUNCTION("""COMPUTED_VALUE"""),44449.0)</f>
        <v>44449</v>
      </c>
      <c r="K422" s="133">
        <f>IFERROR(__xludf.DUMMYFUNCTION("""COMPUTED_VALUE"""),18.0)</f>
        <v>18</v>
      </c>
      <c r="L422" s="133">
        <f>IFERROR(__xludf.DUMMYFUNCTION("""COMPUTED_VALUE"""),40.0)</f>
        <v>40</v>
      </c>
      <c r="M422" s="133">
        <f>IFERROR(__xludf.DUMMYFUNCTION("""COMPUTED_VALUE"""),58.0)</f>
        <v>58</v>
      </c>
      <c r="N422" s="152" t="str">
        <f>IFERROR(__xludf.DUMMYFUNCTION("""COMPUTED_VALUE"""),"Model 3 LR AWD")</f>
        <v>Model 3 LR AWD</v>
      </c>
      <c r="O422" s="152" t="str">
        <f>IFERROR(__xludf.DUMMYFUNCTION("""COMPUTED_VALUE"""),"Deep Blue Metallic")</f>
        <v>Deep Blue Metallic</v>
      </c>
      <c r="P422" s="153" t="str">
        <f>IFERROR(__xludf.DUMMYFUNCTION("""COMPUTED_VALUE"""),"18 inch")</f>
        <v>18 inch</v>
      </c>
      <c r="Q422" s="152" t="str">
        <f>IFERROR(__xludf.DUMMYFUNCTION("""COMPUTED_VALUE"""),"All Black")</f>
        <v>All Black</v>
      </c>
      <c r="R422" s="149"/>
      <c r="S422" s="149" t="str">
        <f>IFERROR(__xludf.DUMMYFUNCTION("""COMPUTED_VALUE"""),"Loan")</f>
        <v>Loan</v>
      </c>
      <c r="T422" s="145" t="str">
        <f>IFERROR(__xludf.DUMMYFUNCTION("""COMPUTED_VALUE"""),"Mercedes-Benz c350e")</f>
        <v>Mercedes-Benz c350e</v>
      </c>
      <c r="U422" s="145" t="str">
        <f>IFERROR(__xludf.DUMMYFUNCTION("""COMPUTED_VALUE"""),"Electric!")</f>
        <v>Electric!</v>
      </c>
      <c r="V422" s="145"/>
      <c r="W422" s="136"/>
      <c r="X422" s="137"/>
      <c r="Y422" s="138"/>
      <c r="Z422" s="138"/>
      <c r="AA422" s="138"/>
      <c r="AB422" s="138"/>
      <c r="AC422" s="139"/>
      <c r="AD422" s="139"/>
      <c r="AE422" s="139"/>
      <c r="AF422" s="140"/>
      <c r="AG422" s="136"/>
      <c r="AH422" s="157">
        <f>IFERROR(__xludf.DUMMYFUNCTION("""COMPUTED_VALUE"""),44428.14426760416)</f>
        <v>44428.14427</v>
      </c>
      <c r="AI422" s="138"/>
      <c r="AJ422" s="138"/>
      <c r="AK422" s="138"/>
      <c r="AL422" s="142"/>
    </row>
    <row r="423" ht="20.25" customHeight="1">
      <c r="A423" s="155" t="str">
        <f>IFERROR(__xludf.DUMMYFUNCTION("""COMPUTED_VALUE"""),"TJ")</f>
        <v>TJ</v>
      </c>
      <c r="B423" s="149" t="str">
        <f>IFERROR(__xludf.DUMMYFUNCTION("""COMPUTED_VALUE"""),"Vancouver")</f>
        <v>Vancouver</v>
      </c>
      <c r="C423" s="149" t="str">
        <f>IFERROR(__xludf.DUMMYFUNCTION("""COMPUTED_VALUE"""),"BC")</f>
        <v>BC</v>
      </c>
      <c r="D423" s="149" t="str">
        <f>IFERROR(__xludf.DUMMYFUNCTION("""COMPUTED_VALUE"""),"Canada")</f>
        <v>Canada</v>
      </c>
      <c r="E423" s="156">
        <f>IFERROR(__xludf.DUMMYFUNCTION("""COMPUTED_VALUE"""),44391.0)</f>
        <v>44391</v>
      </c>
      <c r="F423" s="129"/>
      <c r="G423" s="154" t="str">
        <f>IFERROR(__xludf.DUMMYFUNCTION("""COMPUTED_VALUE"""),"Existing Inventory")</f>
        <v>Existing Inventory</v>
      </c>
      <c r="H423" s="131"/>
      <c r="I423" s="132"/>
      <c r="J423" s="129">
        <f>IFERROR(__xludf.DUMMYFUNCTION("""COMPUTED_VALUE"""),44436.0)</f>
        <v>44436</v>
      </c>
      <c r="K423" s="133"/>
      <c r="L423" s="133"/>
      <c r="M423" s="133">
        <f>IFERROR(__xludf.DUMMYFUNCTION("""COMPUTED_VALUE"""),45.0)</f>
        <v>45</v>
      </c>
      <c r="N423" s="152" t="str">
        <f>IFERROR(__xludf.DUMMYFUNCTION("""COMPUTED_VALUE"""),"Model 3 LR AWD")</f>
        <v>Model 3 LR AWD</v>
      </c>
      <c r="O423" s="152" t="str">
        <f>IFERROR(__xludf.DUMMYFUNCTION("""COMPUTED_VALUE"""),"Pearl White Multi-Coat")</f>
        <v>Pearl White Multi-Coat</v>
      </c>
      <c r="P423" s="153" t="str">
        <f>IFERROR(__xludf.DUMMYFUNCTION("""COMPUTED_VALUE"""),"18 inch")</f>
        <v>18 inch</v>
      </c>
      <c r="Q423" s="152" t="str">
        <f>IFERROR(__xludf.DUMMYFUNCTION("""COMPUTED_VALUE"""),"All Black")</f>
        <v>All Black</v>
      </c>
      <c r="R423" s="150" t="str">
        <f>IFERROR(__xludf.DUMMYFUNCTION("""COMPUTED_VALUE"""),"Autopilot included")</f>
        <v>Autopilot included</v>
      </c>
      <c r="S423" s="150" t="str">
        <f>IFERROR(__xludf.DUMMYFUNCTION("""COMPUTED_VALUE"""),"Cash")</f>
        <v>Cash</v>
      </c>
      <c r="T423" s="136"/>
      <c r="U423" s="136"/>
      <c r="V423" s="136"/>
      <c r="W423" s="136"/>
      <c r="X423" s="137"/>
      <c r="Y423" s="138"/>
      <c r="Z423" s="138"/>
      <c r="AA423" s="138"/>
      <c r="AB423" s="138"/>
      <c r="AC423" s="139"/>
      <c r="AD423" s="139"/>
      <c r="AE423" s="139"/>
      <c r="AF423" s="140"/>
      <c r="AG423" s="136"/>
      <c r="AH423" s="157">
        <f>IFERROR(__xludf.DUMMYFUNCTION("""COMPUTED_VALUE"""),44429.03453896991)</f>
        <v>44429.03454</v>
      </c>
      <c r="AI423" s="138"/>
      <c r="AJ423" s="138"/>
      <c r="AK423" s="138"/>
      <c r="AL423" s="142"/>
    </row>
    <row r="424" ht="20.25" customHeight="1">
      <c r="A424" s="155" t="str">
        <f>IFERROR(__xludf.DUMMYFUNCTION("""COMPUTED_VALUE"""),"acidblank shot")</f>
        <v>acidblank shot</v>
      </c>
      <c r="B424" s="149" t="str">
        <f>IFERROR(__xludf.DUMMYFUNCTION("""COMPUTED_VALUE"""),"Los Angeles")</f>
        <v>Los Angeles</v>
      </c>
      <c r="C424" s="149" t="str">
        <f>IFERROR(__xludf.DUMMYFUNCTION("""COMPUTED_VALUE"""),"CA")</f>
        <v>CA</v>
      </c>
      <c r="D424" s="149" t="str">
        <f>IFERROR(__xludf.DUMMYFUNCTION("""COMPUTED_VALUE"""),"USA")</f>
        <v>USA</v>
      </c>
      <c r="E424" s="156">
        <f>IFERROR(__xludf.DUMMYFUNCTION("""COMPUTED_VALUE"""),44390.0)</f>
        <v>44390</v>
      </c>
      <c r="F424" s="129">
        <f>IFERROR(__xludf.DUMMYFUNCTION("""COMPUTED_VALUE"""),44451.0)</f>
        <v>44451</v>
      </c>
      <c r="G424" s="154" t="str">
        <f>IFERROR(__xludf.DUMMYFUNCTION("""COMPUTED_VALUE"""),"Manage order page (normal text)")</f>
        <v>Manage order page (normal text)</v>
      </c>
      <c r="H424" s="131">
        <f>IFERROR(__xludf.DUMMYFUNCTION("""COMPUTED_VALUE"""),64655.0)</f>
        <v>64655</v>
      </c>
      <c r="I424" s="132"/>
      <c r="J424" s="129">
        <f>IFERROR(__xludf.DUMMYFUNCTION("""COMPUTED_VALUE"""),44457.0)</f>
        <v>44457</v>
      </c>
      <c r="K424" s="133">
        <f>IFERROR(__xludf.DUMMYFUNCTION("""COMPUTED_VALUE"""),61.0)</f>
        <v>61</v>
      </c>
      <c r="L424" s="133">
        <f>IFERROR(__xludf.DUMMYFUNCTION("""COMPUTED_VALUE"""),6.0)</f>
        <v>6</v>
      </c>
      <c r="M424" s="133">
        <f>IFERROR(__xludf.DUMMYFUNCTION("""COMPUTED_VALUE"""),67.0)</f>
        <v>67</v>
      </c>
      <c r="N424" s="152" t="str">
        <f>IFERROR(__xludf.DUMMYFUNCTION("""COMPUTED_VALUE"""),"Model 3 LR AWD")</f>
        <v>Model 3 LR AWD</v>
      </c>
      <c r="O424" s="152" t="str">
        <f>IFERROR(__xludf.DUMMYFUNCTION("""COMPUTED_VALUE"""),"Solid Black")</f>
        <v>Solid Black</v>
      </c>
      <c r="P424" s="153" t="str">
        <f>IFERROR(__xludf.DUMMYFUNCTION("""COMPUTED_VALUE"""),"19 inch")</f>
        <v>19 inch</v>
      </c>
      <c r="Q424" s="152" t="str">
        <f>IFERROR(__xludf.DUMMYFUNCTION("""COMPUTED_VALUE"""),"All Black")</f>
        <v>All Black</v>
      </c>
      <c r="R424" s="150" t="str">
        <f>IFERROR(__xludf.DUMMYFUNCTION("""COMPUTED_VALUE"""),"Autopilot included")</f>
        <v>Autopilot included</v>
      </c>
      <c r="S424" s="150" t="str">
        <f>IFERROR(__xludf.DUMMYFUNCTION("""COMPUTED_VALUE"""),"Loan")</f>
        <v>Loan</v>
      </c>
      <c r="T424" s="136" t="str">
        <f>IFERROR(__xludf.DUMMYFUNCTION("""COMPUTED_VALUE"""),"Honda Civic")</f>
        <v>Honda Civic</v>
      </c>
      <c r="U424" s="136" t="str">
        <f>IFERROR(__xludf.DUMMYFUNCTION("""COMPUTED_VALUE"""),"Electric!")</f>
        <v>Electric!</v>
      </c>
      <c r="V424" s="136" t="str">
        <f>IFERROR(__xludf.DUMMYFUNCTION("""COMPUTED_VALUE"""),"Apple CarPlay / Android Auto / SiriusXM Radio")</f>
        <v>Apple CarPlay / Android Auto / SiriusXM Radio</v>
      </c>
      <c r="W424" s="136"/>
      <c r="X424" s="137"/>
      <c r="Y424" s="138"/>
      <c r="Z424" s="138"/>
      <c r="AA424" s="138"/>
      <c r="AB424" s="138"/>
      <c r="AC424" s="139"/>
      <c r="AD424" s="139"/>
      <c r="AE424" s="139"/>
      <c r="AF424" s="140"/>
      <c r="AG424" s="136"/>
      <c r="AH424" s="157">
        <f>IFERROR(__xludf.DUMMYFUNCTION("""COMPUTED_VALUE"""),44452.50956314815)</f>
        <v>44452.50956</v>
      </c>
      <c r="AI424" s="138"/>
      <c r="AJ424" s="138"/>
      <c r="AK424" s="138"/>
      <c r="AL424" s="142"/>
    </row>
    <row r="425" ht="20.25" customHeight="1">
      <c r="A425" s="155" t="str">
        <f>IFERROR(__xludf.DUMMYFUNCTION("""COMPUTED_VALUE"""),"maowai")</f>
        <v>maowai</v>
      </c>
      <c r="B425" s="149" t="str">
        <f>IFERROR(__xludf.DUMMYFUNCTION("""COMPUTED_VALUE"""),"Longmont")</f>
        <v>Longmont</v>
      </c>
      <c r="C425" s="149" t="str">
        <f>IFERROR(__xludf.DUMMYFUNCTION("""COMPUTED_VALUE"""),"CO")</f>
        <v>CO</v>
      </c>
      <c r="D425" s="149" t="str">
        <f>IFERROR(__xludf.DUMMYFUNCTION("""COMPUTED_VALUE"""),"USA")</f>
        <v>USA</v>
      </c>
      <c r="E425" s="156">
        <f>IFERROR(__xludf.DUMMYFUNCTION("""COMPUTED_VALUE"""),44390.0)</f>
        <v>44390</v>
      </c>
      <c r="F425" s="129">
        <f>IFERROR(__xludf.DUMMYFUNCTION("""COMPUTED_VALUE"""),44423.0)</f>
        <v>44423</v>
      </c>
      <c r="G425" s="154" t="str">
        <f>IFERROR(__xludf.DUMMYFUNCTION("""COMPUTED_VALUE"""),"Manage order page (normal text)")</f>
        <v>Manage order page (normal text)</v>
      </c>
      <c r="H425" s="131">
        <f>IFERROR(__xludf.DUMMYFUNCTION("""COMPUTED_VALUE"""),37214.0)</f>
        <v>37214</v>
      </c>
      <c r="I425" s="144"/>
      <c r="J425" s="129">
        <f>IFERROR(__xludf.DUMMYFUNCTION("""COMPUTED_VALUE"""),44438.0)</f>
        <v>44438</v>
      </c>
      <c r="K425" s="133">
        <f>IFERROR(__xludf.DUMMYFUNCTION("""COMPUTED_VALUE"""),33.0)</f>
        <v>33</v>
      </c>
      <c r="L425" s="133">
        <f>IFERROR(__xludf.DUMMYFUNCTION("""COMPUTED_VALUE"""),15.0)</f>
        <v>15</v>
      </c>
      <c r="M425" s="133">
        <f>IFERROR(__xludf.DUMMYFUNCTION("""COMPUTED_VALUE"""),48.0)</f>
        <v>48</v>
      </c>
      <c r="N425" s="152" t="str">
        <f>IFERROR(__xludf.DUMMYFUNCTION("""COMPUTED_VALUE"""),"Model 3 LR AWD")</f>
        <v>Model 3 LR AWD</v>
      </c>
      <c r="O425" s="152" t="str">
        <f>IFERROR(__xludf.DUMMYFUNCTION("""COMPUTED_VALUE"""),"Pearl White Multi-Coat")</f>
        <v>Pearl White Multi-Coat</v>
      </c>
      <c r="P425" s="153" t="str">
        <f>IFERROR(__xludf.DUMMYFUNCTION("""COMPUTED_VALUE"""),"18 inch")</f>
        <v>18 inch</v>
      </c>
      <c r="Q425" s="152" t="str">
        <f>IFERROR(__xludf.DUMMYFUNCTION("""COMPUTED_VALUE"""),"Black and White")</f>
        <v>Black and White</v>
      </c>
      <c r="R425" s="149" t="str">
        <f>IFERROR(__xludf.DUMMYFUNCTION("""COMPUTED_VALUE"""),"Autopilot included")</f>
        <v>Autopilot included</v>
      </c>
      <c r="S425" s="149"/>
      <c r="T425" s="145"/>
      <c r="U425" s="145"/>
      <c r="V425" s="145" t="str">
        <f>IFERROR(__xludf.DUMMYFUNCTION("""COMPUTED_VALUE"""),"360° Bird's eye view")</f>
        <v>360° Bird's eye view</v>
      </c>
      <c r="W425" s="136"/>
      <c r="X425" s="137" t="str">
        <f>IFERROR(__xludf.DUMMYFUNCTION("""COMPUTED_VALUE"""),"Good")</f>
        <v>Good</v>
      </c>
      <c r="Y425" s="138" t="str">
        <f>IFERROR(__xludf.DUMMYFUNCTION("""COMPUTED_VALUE"""),"Very Good")</f>
        <v>Very Good</v>
      </c>
      <c r="Z425" s="138" t="str">
        <f>IFERROR(__xludf.DUMMYFUNCTION("""COMPUTED_VALUE"""),"Excellent")</f>
        <v>Excellent</v>
      </c>
      <c r="AA425" s="138" t="str">
        <f>IFERROR(__xludf.DUMMYFUNCTION("""COMPUTED_VALUE"""),"Good")</f>
        <v>Good</v>
      </c>
      <c r="AB425" s="138" t="str">
        <f>IFERROR(__xludf.DUMMYFUNCTION("""COMPUTED_VALUE"""),"Very Good")</f>
        <v>Very Good</v>
      </c>
      <c r="AC425" s="139">
        <f>IFERROR(__xludf.DUMMYFUNCTION("""COMPUTED_VALUE"""),1.0)</f>
        <v>1</v>
      </c>
      <c r="AD425" s="139">
        <f>IFERROR(__xludf.DUMMYFUNCTION("""COMPUTED_VALUE"""),1.0)</f>
        <v>1</v>
      </c>
      <c r="AE425" s="139">
        <f>IFERROR(__xludf.DUMMYFUNCTION("""COMPUTED_VALUE"""),0.0)</f>
        <v>0</v>
      </c>
      <c r="AF425" s="140" t="str">
        <f>IFERROR(__xludf.DUMMYFUNCTION("""COMPUTED_VALUE"""),"No. I took delivery of the first car Tesla was able to deliver.")</f>
        <v>No. I took delivery of the first car Tesla was able to deliver.</v>
      </c>
      <c r="AG425" s="136"/>
      <c r="AH425" s="157">
        <f>IFERROR(__xludf.DUMMYFUNCTION("""COMPUTED_VALUE"""),44459.42140895833)</f>
        <v>44459.42141</v>
      </c>
      <c r="AI425" s="138"/>
      <c r="AJ425" s="138"/>
      <c r="AK425" s="138"/>
      <c r="AL425" s="142"/>
    </row>
    <row r="426" ht="20.25" customHeight="1">
      <c r="A426" s="155" t="str">
        <f>IFERROR(__xludf.DUMMYFUNCTION("""COMPUTED_VALUE"""),"mrc73")</f>
        <v>mrc73</v>
      </c>
      <c r="B426" s="159" t="str">
        <f>IFERROR(__xludf.DUMMYFUNCTION("""COMPUTED_VALUE"""),"St. Louis")</f>
        <v>St. Louis</v>
      </c>
      <c r="C426" s="159" t="str">
        <f>IFERROR(__xludf.DUMMYFUNCTION("""COMPUTED_VALUE"""),"MO")</f>
        <v>MO</v>
      </c>
      <c r="D426" s="159" t="str">
        <f>IFERROR(__xludf.DUMMYFUNCTION("""COMPUTED_VALUE"""),"USA")</f>
        <v>USA</v>
      </c>
      <c r="E426" s="156">
        <f>IFERROR(__xludf.DUMMYFUNCTION("""COMPUTED_VALUE"""),44390.0)</f>
        <v>44390</v>
      </c>
      <c r="F426" s="129">
        <f>IFERROR(__xludf.DUMMYFUNCTION("""COMPUTED_VALUE"""),44431.0)</f>
        <v>44431</v>
      </c>
      <c r="G426" s="154" t="str">
        <f>IFERROR(__xludf.DUMMYFUNCTION("""COMPUTED_VALUE"""),"Manage order page (normal text)")</f>
        <v>Manage order page (normal text)</v>
      </c>
      <c r="H426" s="131">
        <f>IFERROR(__xludf.DUMMYFUNCTION("""COMPUTED_VALUE"""),28247.0)</f>
        <v>28247</v>
      </c>
      <c r="I426" s="160" t="str">
        <f>IFERROR(__xludf.DUMMYFUNCTION("""COMPUTED_VALUE"""),"08/21")</f>
        <v>08/21</v>
      </c>
      <c r="J426" s="129">
        <f>IFERROR(__xludf.DUMMYFUNCTION("""COMPUTED_VALUE"""),44438.0)</f>
        <v>44438</v>
      </c>
      <c r="K426" s="133">
        <f>IFERROR(__xludf.DUMMYFUNCTION("""COMPUTED_VALUE"""),41.0)</f>
        <v>41</v>
      </c>
      <c r="L426" s="133">
        <f>IFERROR(__xludf.DUMMYFUNCTION("""COMPUTED_VALUE"""),7.0)</f>
        <v>7</v>
      </c>
      <c r="M426" s="133">
        <f>IFERROR(__xludf.DUMMYFUNCTION("""COMPUTED_VALUE"""),48.0)</f>
        <v>48</v>
      </c>
      <c r="N426" s="152" t="str">
        <f>IFERROR(__xludf.DUMMYFUNCTION("""COMPUTED_VALUE"""),"Model 3 LR AWD")</f>
        <v>Model 3 LR AWD</v>
      </c>
      <c r="O426" s="152" t="str">
        <f>IFERROR(__xludf.DUMMYFUNCTION("""COMPUTED_VALUE"""),"Red Multi-Coat")</f>
        <v>Red Multi-Coat</v>
      </c>
      <c r="P426" s="153" t="str">
        <f>IFERROR(__xludf.DUMMYFUNCTION("""COMPUTED_VALUE"""),"19 inch")</f>
        <v>19 inch</v>
      </c>
      <c r="Q426" s="152" t="str">
        <f>IFERROR(__xludf.DUMMYFUNCTION("""COMPUTED_VALUE"""),"All Black")</f>
        <v>All Black</v>
      </c>
      <c r="R426" s="159" t="str">
        <f>IFERROR(__xludf.DUMMYFUNCTION("""COMPUTED_VALUE"""),"Autopilot included")</f>
        <v>Autopilot included</v>
      </c>
      <c r="S426" s="159" t="str">
        <f>IFERROR(__xludf.DUMMYFUNCTION("""COMPUTED_VALUE"""),"Loan")</f>
        <v>Loan</v>
      </c>
      <c r="T426" s="161" t="str">
        <f>IFERROR(__xludf.DUMMYFUNCTION("""COMPUTED_VALUE"""),"Toyota 4Runner")</f>
        <v>Toyota 4Runner</v>
      </c>
      <c r="U426" s="161" t="str">
        <f>IFERROR(__xludf.DUMMYFUNCTION("""COMPUTED_VALUE"""),"Electric!")</f>
        <v>Electric!</v>
      </c>
      <c r="V426" s="161" t="str">
        <f>IFERROR(__xludf.DUMMYFUNCTION("""COMPUTED_VALUE"""),"HomeLink")</f>
        <v>HomeLink</v>
      </c>
      <c r="W426" s="161"/>
      <c r="X426" s="137" t="str">
        <f>IFERROR(__xludf.DUMMYFUNCTION("""COMPUTED_VALUE"""),"Excellent")</f>
        <v>Excellent</v>
      </c>
      <c r="Y426" s="138" t="str">
        <f>IFERROR(__xludf.DUMMYFUNCTION("""COMPUTED_VALUE"""),"Excellent")</f>
        <v>Excellent</v>
      </c>
      <c r="Z426" s="138" t="str">
        <f>IFERROR(__xludf.DUMMYFUNCTION("""COMPUTED_VALUE"""),"Very Good")</f>
        <v>Very Good</v>
      </c>
      <c r="AA426" s="138" t="str">
        <f>IFERROR(__xludf.DUMMYFUNCTION("""COMPUTED_VALUE"""),"Fair")</f>
        <v>Fair</v>
      </c>
      <c r="AB426" s="138" t="str">
        <f>IFERROR(__xludf.DUMMYFUNCTION("""COMPUTED_VALUE"""),"Very Good")</f>
        <v>Very Good</v>
      </c>
      <c r="AC426" s="139">
        <f>IFERROR(__xludf.DUMMYFUNCTION("""COMPUTED_VALUE"""),1.0)</f>
        <v>1</v>
      </c>
      <c r="AD426" s="139">
        <f>IFERROR(__xludf.DUMMYFUNCTION("""COMPUTED_VALUE"""),0.0)</f>
        <v>0</v>
      </c>
      <c r="AE426" s="139"/>
      <c r="AF426" s="140" t="str">
        <f>IFERROR(__xludf.DUMMYFUNCTION("""COMPUTED_VALUE"""),"No. I took delivery of the first car Tesla was able to deliver.")</f>
        <v>No. I took delivery of the first car Tesla was able to deliver.</v>
      </c>
      <c r="AG426" s="161"/>
      <c r="AH426" s="157">
        <f>IFERROR(__xludf.DUMMYFUNCTION("""COMPUTED_VALUE"""),44440.36077233797)</f>
        <v>44440.36077</v>
      </c>
      <c r="AI426" s="138"/>
      <c r="AJ426" s="138"/>
      <c r="AK426" s="138"/>
      <c r="AL426" s="142"/>
    </row>
    <row r="427" ht="20.25" customHeight="1">
      <c r="A427" s="155" t="str">
        <f>IFERROR(__xludf.DUMMYFUNCTION("""COMPUTED_VALUE"""),"Schmozy")</f>
        <v>Schmozy</v>
      </c>
      <c r="B427" s="149" t="str">
        <f>IFERROR(__xludf.DUMMYFUNCTION("""COMPUTED_VALUE"""),"Manassas")</f>
        <v>Manassas</v>
      </c>
      <c r="C427" s="149" t="str">
        <f>IFERROR(__xludf.DUMMYFUNCTION("""COMPUTED_VALUE"""),"VA")</f>
        <v>VA</v>
      </c>
      <c r="D427" s="149" t="str">
        <f>IFERROR(__xludf.DUMMYFUNCTION("""COMPUTED_VALUE"""),"USA")</f>
        <v>USA</v>
      </c>
      <c r="E427" s="156">
        <f>IFERROR(__xludf.DUMMYFUNCTION("""COMPUTED_VALUE"""),44390.0)</f>
        <v>44390</v>
      </c>
      <c r="F427" s="129">
        <f>IFERROR(__xludf.DUMMYFUNCTION("""COMPUTED_VALUE"""),44426.0)</f>
        <v>44426</v>
      </c>
      <c r="G427" s="154" t="str">
        <f>IFERROR(__xludf.DUMMYFUNCTION("""COMPUTED_VALUE"""),"Email")</f>
        <v>Email</v>
      </c>
      <c r="H427" s="131"/>
      <c r="I427" s="132" t="str">
        <f>IFERROR(__xludf.DUMMYFUNCTION("""COMPUTED_VALUE"""),"08/21")</f>
        <v>08/21</v>
      </c>
      <c r="J427" s="129">
        <f>IFERROR(__xludf.DUMMYFUNCTION("""COMPUTED_VALUE"""),44440.0)</f>
        <v>44440</v>
      </c>
      <c r="K427" s="133">
        <f>IFERROR(__xludf.DUMMYFUNCTION("""COMPUTED_VALUE"""),36.0)</f>
        <v>36</v>
      </c>
      <c r="L427" s="133">
        <f>IFERROR(__xludf.DUMMYFUNCTION("""COMPUTED_VALUE"""),14.0)</f>
        <v>14</v>
      </c>
      <c r="M427" s="133">
        <f>IFERROR(__xludf.DUMMYFUNCTION("""COMPUTED_VALUE"""),50.0)</f>
        <v>50</v>
      </c>
      <c r="N427" s="152" t="str">
        <f>IFERROR(__xludf.DUMMYFUNCTION("""COMPUTED_VALUE"""),"Model 3 LR AWD")</f>
        <v>Model 3 LR AWD</v>
      </c>
      <c r="O427" s="152" t="str">
        <f>IFERROR(__xludf.DUMMYFUNCTION("""COMPUTED_VALUE"""),"Midnight Silver Metallic")</f>
        <v>Midnight Silver Metallic</v>
      </c>
      <c r="P427" s="153" t="str">
        <f>IFERROR(__xludf.DUMMYFUNCTION("""COMPUTED_VALUE"""),"18 inch")</f>
        <v>18 inch</v>
      </c>
      <c r="Q427" s="152" t="str">
        <f>IFERROR(__xludf.DUMMYFUNCTION("""COMPUTED_VALUE"""),"All Black")</f>
        <v>All Black</v>
      </c>
      <c r="R427" s="150" t="str">
        <f>IFERROR(__xludf.DUMMYFUNCTION("""COMPUTED_VALUE"""),"Full Self-Driving")</f>
        <v>Full Self-Driving</v>
      </c>
      <c r="S427" s="150" t="str">
        <f>IFERROR(__xludf.DUMMYFUNCTION("""COMPUTED_VALUE"""),"Loan")</f>
        <v>Loan</v>
      </c>
      <c r="T427" s="136" t="str">
        <f>IFERROR(__xludf.DUMMYFUNCTION("""COMPUTED_VALUE"""),"Hyundai Kona")</f>
        <v>Hyundai Kona</v>
      </c>
      <c r="U427" s="136" t="str">
        <f>IFERROR(__xludf.DUMMYFUNCTION("""COMPUTED_VALUE"""),"Supercharger V3 support")</f>
        <v>Supercharger V3 support</v>
      </c>
      <c r="V427" s="136" t="str">
        <f>IFERROR(__xludf.DUMMYFUNCTION("""COMPUTED_VALUE"""),"Ventilated seats")</f>
        <v>Ventilated seats</v>
      </c>
      <c r="W427" s="136"/>
      <c r="X427" s="137" t="str">
        <f>IFERROR(__xludf.DUMMYFUNCTION("""COMPUTED_VALUE"""),"Very Good")</f>
        <v>Very Good</v>
      </c>
      <c r="Y427" s="138" t="str">
        <f>IFERROR(__xludf.DUMMYFUNCTION("""COMPUTED_VALUE"""),"Fair")</f>
        <v>Fair</v>
      </c>
      <c r="Z427" s="138" t="str">
        <f>IFERROR(__xludf.DUMMYFUNCTION("""COMPUTED_VALUE"""),"Very Good")</f>
        <v>Very Good</v>
      </c>
      <c r="AA427" s="138" t="str">
        <f>IFERROR(__xludf.DUMMYFUNCTION("""COMPUTED_VALUE"""),"Poor")</f>
        <v>Poor</v>
      </c>
      <c r="AB427" s="138" t="str">
        <f>IFERROR(__xludf.DUMMYFUNCTION("""COMPUTED_VALUE"""),"Very Good")</f>
        <v>Very Good</v>
      </c>
      <c r="AC427" s="139">
        <f>IFERROR(__xludf.DUMMYFUNCTION("""COMPUTED_VALUE"""),1.0)</f>
        <v>1</v>
      </c>
      <c r="AD427" s="139">
        <f>IFERROR(__xludf.DUMMYFUNCTION("""COMPUTED_VALUE"""),1.0)</f>
        <v>1</v>
      </c>
      <c r="AE427" s="139">
        <f>IFERROR(__xludf.DUMMYFUNCTION("""COMPUTED_VALUE"""),0.0)</f>
        <v>0</v>
      </c>
      <c r="AF427" s="140" t="str">
        <f>IFERROR(__xludf.DUMMYFUNCTION("""COMPUTED_VALUE"""),"No. I took delivery of the first car Tesla was able to deliver.")</f>
        <v>No. I took delivery of the first car Tesla was able to deliver.</v>
      </c>
      <c r="AG427" s="136"/>
      <c r="AH427" s="157">
        <f>IFERROR(__xludf.DUMMYFUNCTION("""COMPUTED_VALUE"""),44441.8783200926)</f>
        <v>44441.87832</v>
      </c>
      <c r="AI427" s="138"/>
      <c r="AJ427" s="138"/>
      <c r="AK427" s="138"/>
      <c r="AL427" s="142"/>
    </row>
    <row r="428" ht="20.25" customHeight="1">
      <c r="A428" s="155" t="str">
        <f>IFERROR(__xludf.DUMMYFUNCTION("""COMPUTED_VALUE"""),"Stinger1234")</f>
        <v>Stinger1234</v>
      </c>
      <c r="B428" s="149" t="str">
        <f>IFERROR(__xludf.DUMMYFUNCTION("""COMPUTED_VALUE"""),"Calgary")</f>
        <v>Calgary</v>
      </c>
      <c r="C428" s="149" t="str">
        <f>IFERROR(__xludf.DUMMYFUNCTION("""COMPUTED_VALUE"""),"AB")</f>
        <v>AB</v>
      </c>
      <c r="D428" s="149" t="str">
        <f>IFERROR(__xludf.DUMMYFUNCTION("""COMPUTED_VALUE"""),"Canada")</f>
        <v>Canada</v>
      </c>
      <c r="E428" s="156">
        <f>IFERROR(__xludf.DUMMYFUNCTION("""COMPUTED_VALUE"""),44390.0)</f>
        <v>44390</v>
      </c>
      <c r="F428" s="129">
        <f>IFERROR(__xludf.DUMMYFUNCTION("""COMPUTED_VALUE"""),44442.0)</f>
        <v>44442</v>
      </c>
      <c r="G428" s="154" t="str">
        <f>IFERROR(__xludf.DUMMYFUNCTION("""COMPUTED_VALUE"""),"MVPA")</f>
        <v>MVPA</v>
      </c>
      <c r="H428" s="131">
        <f>IFERROR(__xludf.DUMMYFUNCTION("""COMPUTED_VALUE"""),56755.0)</f>
        <v>56755</v>
      </c>
      <c r="I428" s="144" t="str">
        <f>IFERROR(__xludf.DUMMYFUNCTION("""COMPUTED_VALUE"""),"09/21")</f>
        <v>09/21</v>
      </c>
      <c r="J428" s="129"/>
      <c r="K428" s="133">
        <f>IFERROR(__xludf.DUMMYFUNCTION("""COMPUTED_VALUE"""),52.0)</f>
        <v>52</v>
      </c>
      <c r="L428" s="133"/>
      <c r="M428" s="133"/>
      <c r="N428" s="152" t="str">
        <f>IFERROR(__xludf.DUMMYFUNCTION("""COMPUTED_VALUE"""),"Model 3 LR AWD")</f>
        <v>Model 3 LR AWD</v>
      </c>
      <c r="O428" s="152" t="str">
        <f>IFERROR(__xludf.DUMMYFUNCTION("""COMPUTED_VALUE"""),"Red Multi-Coat")</f>
        <v>Red Multi-Coat</v>
      </c>
      <c r="P428" s="153" t="str">
        <f>IFERROR(__xludf.DUMMYFUNCTION("""COMPUTED_VALUE"""),"18 inch")</f>
        <v>18 inch</v>
      </c>
      <c r="Q428" s="152" t="str">
        <f>IFERROR(__xludf.DUMMYFUNCTION("""COMPUTED_VALUE"""),"Black and White")</f>
        <v>Black and White</v>
      </c>
      <c r="R428" s="149" t="str">
        <f>IFERROR(__xludf.DUMMYFUNCTION("""COMPUTED_VALUE"""),"Autopilot included")</f>
        <v>Autopilot included</v>
      </c>
      <c r="S428" s="149" t="str">
        <f>IFERROR(__xludf.DUMMYFUNCTION("""COMPUTED_VALUE"""),"Cash")</f>
        <v>Cash</v>
      </c>
      <c r="T428" s="145" t="str">
        <f>IFERROR(__xludf.DUMMYFUNCTION("""COMPUTED_VALUE"""),"Tesla Model S")</f>
        <v>Tesla Model S</v>
      </c>
      <c r="U428" s="145" t="str">
        <f>IFERROR(__xludf.DUMMYFUNCTION("""COMPUTED_VALUE"""),"Electric!")</f>
        <v>Electric!</v>
      </c>
      <c r="V428" s="145" t="str">
        <f>IFERROR(__xludf.DUMMYFUNCTION("""COMPUTED_VALUE"""),"Head-up display")</f>
        <v>Head-up display</v>
      </c>
      <c r="W428" s="136"/>
      <c r="X428" s="137"/>
      <c r="Y428" s="138"/>
      <c r="Z428" s="138"/>
      <c r="AA428" s="138"/>
      <c r="AB428" s="138"/>
      <c r="AC428" s="139"/>
      <c r="AD428" s="139"/>
      <c r="AE428" s="139"/>
      <c r="AF428" s="140"/>
      <c r="AG428" s="136"/>
      <c r="AH428" s="157">
        <f>IFERROR(__xludf.DUMMYFUNCTION("""COMPUTED_VALUE"""),44443.33346026621)</f>
        <v>44443.33346</v>
      </c>
      <c r="AI428" s="138"/>
      <c r="AJ428" s="138"/>
      <c r="AK428" s="138"/>
      <c r="AL428" s="142"/>
    </row>
    <row r="429" ht="20.25" customHeight="1">
      <c r="A429" s="155" t="str">
        <f>IFERROR(__xludf.DUMMYFUNCTION("""COMPUTED_VALUE"""),"bhargs")</f>
        <v>bhargs</v>
      </c>
      <c r="B429" s="149" t="str">
        <f>IFERROR(__xludf.DUMMYFUNCTION("""COMPUTED_VALUE"""),"Harrisburg")</f>
        <v>Harrisburg</v>
      </c>
      <c r="C429" s="149" t="str">
        <f>IFERROR(__xludf.DUMMYFUNCTION("""COMPUTED_VALUE"""),"PA")</f>
        <v>PA</v>
      </c>
      <c r="D429" s="149" t="str">
        <f>IFERROR(__xludf.DUMMYFUNCTION("""COMPUTED_VALUE"""),"USA")</f>
        <v>USA</v>
      </c>
      <c r="E429" s="156">
        <f>IFERROR(__xludf.DUMMYFUNCTION("""COMPUTED_VALUE"""),44389.0)</f>
        <v>44389</v>
      </c>
      <c r="F429" s="129">
        <f>IFERROR(__xludf.DUMMYFUNCTION("""COMPUTED_VALUE"""),44436.0)</f>
        <v>44436</v>
      </c>
      <c r="G429" s="154" t="str">
        <f>IFERROR(__xludf.DUMMYFUNCTION("""COMPUTED_VALUE"""),"Manage order page (normal text)")</f>
        <v>Manage order page (normal text)</v>
      </c>
      <c r="H429" s="131">
        <f>IFERROR(__xludf.DUMMYFUNCTION("""COMPUTED_VALUE"""),53492.0)</f>
        <v>53492</v>
      </c>
      <c r="I429" s="132" t="str">
        <f>IFERROR(__xludf.DUMMYFUNCTION("""COMPUTED_VALUE"""),"08/21")</f>
        <v>08/21</v>
      </c>
      <c r="J429" s="129">
        <f>IFERROR(__xludf.DUMMYFUNCTION("""COMPUTED_VALUE"""),44453.0)</f>
        <v>44453</v>
      </c>
      <c r="K429" s="133">
        <f>IFERROR(__xludf.DUMMYFUNCTION("""COMPUTED_VALUE"""),47.0)</f>
        <v>47</v>
      </c>
      <c r="L429" s="133">
        <f>IFERROR(__xludf.DUMMYFUNCTION("""COMPUTED_VALUE"""),17.0)</f>
        <v>17</v>
      </c>
      <c r="M429" s="133">
        <f>IFERROR(__xludf.DUMMYFUNCTION("""COMPUTED_VALUE"""),64.0)</f>
        <v>64</v>
      </c>
      <c r="N429" s="152" t="str">
        <f>IFERROR(__xludf.DUMMYFUNCTION("""COMPUTED_VALUE"""),"Model 3 LR AWD")</f>
        <v>Model 3 LR AWD</v>
      </c>
      <c r="O429" s="152" t="str">
        <f>IFERROR(__xludf.DUMMYFUNCTION("""COMPUTED_VALUE"""),"Deep Blue Metallic")</f>
        <v>Deep Blue Metallic</v>
      </c>
      <c r="P429" s="153" t="str">
        <f>IFERROR(__xludf.DUMMYFUNCTION("""COMPUTED_VALUE"""),"18 inch")</f>
        <v>18 inch</v>
      </c>
      <c r="Q429" s="152" t="str">
        <f>IFERROR(__xludf.DUMMYFUNCTION("""COMPUTED_VALUE"""),"Black and White")</f>
        <v>Black and White</v>
      </c>
      <c r="R429" s="150" t="str">
        <f>IFERROR(__xludf.DUMMYFUNCTION("""COMPUTED_VALUE"""),"Autopilot included")</f>
        <v>Autopilot included</v>
      </c>
      <c r="S429" s="150" t="str">
        <f>IFERROR(__xludf.DUMMYFUNCTION("""COMPUTED_VALUE"""),"Loan")</f>
        <v>Loan</v>
      </c>
      <c r="T429" s="136" t="str">
        <f>IFERROR(__xludf.DUMMYFUNCTION("""COMPUTED_VALUE"""),"Honda Civic")</f>
        <v>Honda Civic</v>
      </c>
      <c r="U429" s="136" t="str">
        <f>IFERROR(__xludf.DUMMYFUNCTION("""COMPUTED_VALUE"""),"Electric!")</f>
        <v>Electric!</v>
      </c>
      <c r="V429" s="136" t="str">
        <f>IFERROR(__xludf.DUMMYFUNCTION("""COMPUTED_VALUE"""),"Head-up display")</f>
        <v>Head-up display</v>
      </c>
      <c r="W429" s="136" t="str">
        <f>IFERROR(__xludf.DUMMYFUNCTION("""COMPUTED_VALUE"""),"It is sooooo worth the wait! I couldn't happier. I hope it treats me well!")</f>
        <v>It is sooooo worth the wait! I couldn't happier. I hope it treats me well!</v>
      </c>
      <c r="X429" s="137" t="str">
        <f>IFERROR(__xludf.DUMMYFUNCTION("""COMPUTED_VALUE"""),"Very Good")</f>
        <v>Very Good</v>
      </c>
      <c r="Y429" s="138" t="str">
        <f>IFERROR(__xludf.DUMMYFUNCTION("""COMPUTED_VALUE"""),"Excellent")</f>
        <v>Excellent</v>
      </c>
      <c r="Z429" s="138" t="str">
        <f>IFERROR(__xludf.DUMMYFUNCTION("""COMPUTED_VALUE"""),"Very Good")</f>
        <v>Very Good</v>
      </c>
      <c r="AA429" s="138" t="str">
        <f>IFERROR(__xludf.DUMMYFUNCTION("""COMPUTED_VALUE"""),"Poor")</f>
        <v>Poor</v>
      </c>
      <c r="AB429" s="138" t="str">
        <f>IFERROR(__xludf.DUMMYFUNCTION("""COMPUTED_VALUE"""),"Very Good")</f>
        <v>Very Good</v>
      </c>
      <c r="AC429" s="139">
        <f>IFERROR(__xludf.DUMMYFUNCTION("""COMPUTED_VALUE"""),0.0)</f>
        <v>0</v>
      </c>
      <c r="AD429" s="139">
        <f>IFERROR(__xludf.DUMMYFUNCTION("""COMPUTED_VALUE"""),0.0)</f>
        <v>0</v>
      </c>
      <c r="AE429" s="139">
        <f>IFERROR(__xludf.DUMMYFUNCTION("""COMPUTED_VALUE"""),0.0)</f>
        <v>0</v>
      </c>
      <c r="AF429" s="140" t="str">
        <f>IFERROR(__xludf.DUMMYFUNCTION("""COMPUTED_VALUE"""),"No. I took delivery of the first car Tesla was able to deliver.")</f>
        <v>No. I took delivery of the first car Tesla was able to deliver.</v>
      </c>
      <c r="AG429" s="136" t="str">
        <f>IFERROR(__xludf.DUMMYFUNCTION("""COMPUTED_VALUE"""),"I wish I would've been able to actually call someone at the pickup store location. That was probably the most frustrating part")</f>
        <v>I wish I would've been able to actually call someone at the pickup store location. That was probably the most frustrating part</v>
      </c>
      <c r="AH429" s="157">
        <f>IFERROR(__xludf.DUMMYFUNCTION("""COMPUTED_VALUE"""),44455.25215733796)</f>
        <v>44455.25216</v>
      </c>
      <c r="AI429" s="138"/>
      <c r="AJ429" s="138"/>
      <c r="AK429" s="138"/>
      <c r="AL429" s="142"/>
    </row>
    <row r="430" ht="20.25" customHeight="1">
      <c r="A430" s="155" t="str">
        <f>IFERROR(__xludf.DUMMYFUNCTION("""COMPUTED_VALUE"""),"Jenova944")</f>
        <v>Jenova944</v>
      </c>
      <c r="B430" s="149" t="str">
        <f>IFERROR(__xludf.DUMMYFUNCTION("""COMPUTED_VALUE"""),"Royal Leamington Spa")</f>
        <v>Royal Leamington Spa</v>
      </c>
      <c r="C430" s="149"/>
      <c r="D430" s="149" t="str">
        <f>IFERROR(__xludf.DUMMYFUNCTION("""COMPUTED_VALUE"""),"United Kingdom")</f>
        <v>United Kingdom</v>
      </c>
      <c r="E430" s="156">
        <f>IFERROR(__xludf.DUMMYFUNCTION("""COMPUTED_VALUE"""),44389.0)</f>
        <v>44389</v>
      </c>
      <c r="F430" s="129">
        <f>IFERROR(__xludf.DUMMYFUNCTION("""COMPUTED_VALUE"""),44438.0)</f>
        <v>44438</v>
      </c>
      <c r="G430" s="154" t="str">
        <f>IFERROR(__xludf.DUMMYFUNCTION("""COMPUTED_VALUE"""),"Source code")</f>
        <v>Source code</v>
      </c>
      <c r="H430" s="131">
        <f>IFERROR(__xludf.DUMMYFUNCTION("""COMPUTED_VALUE"""),316531.0)</f>
        <v>316531</v>
      </c>
      <c r="I430" s="144"/>
      <c r="J430" s="129">
        <f>IFERROR(__xludf.DUMMYFUNCTION("""COMPUTED_VALUE"""),44457.0)</f>
        <v>44457</v>
      </c>
      <c r="K430" s="133">
        <f>IFERROR(__xludf.DUMMYFUNCTION("""COMPUTED_VALUE"""),49.0)</f>
        <v>49</v>
      </c>
      <c r="L430" s="133">
        <f>IFERROR(__xludf.DUMMYFUNCTION("""COMPUTED_VALUE"""),19.0)</f>
        <v>19</v>
      </c>
      <c r="M430" s="133">
        <f>IFERROR(__xludf.DUMMYFUNCTION("""COMPUTED_VALUE"""),68.0)</f>
        <v>68</v>
      </c>
      <c r="N430" s="152" t="str">
        <f>IFERROR(__xludf.DUMMYFUNCTION("""COMPUTED_VALUE"""),"Model 3 SR+")</f>
        <v>Model 3 SR+</v>
      </c>
      <c r="O430" s="152" t="str">
        <f>IFERROR(__xludf.DUMMYFUNCTION("""COMPUTED_VALUE"""),"Deep Blue Metallic")</f>
        <v>Deep Blue Metallic</v>
      </c>
      <c r="P430" s="153" t="str">
        <f>IFERROR(__xludf.DUMMYFUNCTION("""COMPUTED_VALUE"""),"18 inch")</f>
        <v>18 inch</v>
      </c>
      <c r="Q430" s="152" t="str">
        <f>IFERROR(__xludf.DUMMYFUNCTION("""COMPUTED_VALUE"""),"All Black")</f>
        <v>All Black</v>
      </c>
      <c r="R430" s="149" t="str">
        <f>IFERROR(__xludf.DUMMYFUNCTION("""COMPUTED_VALUE"""),"Autopilot included")</f>
        <v>Autopilot included</v>
      </c>
      <c r="S430" s="149" t="str">
        <f>IFERROR(__xludf.DUMMYFUNCTION("""COMPUTED_VALUE"""),"Lease")</f>
        <v>Lease</v>
      </c>
      <c r="T430" s="145" t="str">
        <f>IFERROR(__xludf.DUMMYFUNCTION("""COMPUTED_VALUE"""),"Tesla Model 3")</f>
        <v>Tesla Model 3</v>
      </c>
      <c r="U430" s="145" t="str">
        <f>IFERROR(__xludf.DUMMYFUNCTION("""COMPUTED_VALUE"""),"Electric!")</f>
        <v>Electric!</v>
      </c>
      <c r="V430" s="145" t="str">
        <f>IFERROR(__xludf.DUMMYFUNCTION("""COMPUTED_VALUE"""),"Head-up display")</f>
        <v>Head-up display</v>
      </c>
      <c r="W430" s="145"/>
      <c r="X430" s="137"/>
      <c r="Y430" s="138"/>
      <c r="Z430" s="138"/>
      <c r="AA430" s="138"/>
      <c r="AB430" s="138"/>
      <c r="AC430" s="139"/>
      <c r="AD430" s="139"/>
      <c r="AE430" s="139"/>
      <c r="AF430" s="140"/>
      <c r="AG430" s="145"/>
      <c r="AH430" s="157">
        <f>IFERROR(__xludf.DUMMYFUNCTION("""COMPUTED_VALUE"""),44448.078618576386)</f>
        <v>44448.07862</v>
      </c>
      <c r="AI430" s="138"/>
      <c r="AJ430" s="138"/>
      <c r="AK430" s="138"/>
      <c r="AL430" s="142"/>
    </row>
    <row r="431" ht="20.25" customHeight="1">
      <c r="A431" s="155" t="str">
        <f>IFERROR(__xludf.DUMMYFUNCTION("""COMPUTED_VALUE"""),"M3 Fan")</f>
        <v>M3 Fan</v>
      </c>
      <c r="B431" s="149"/>
      <c r="C431" s="149" t="str">
        <f>IFERROR(__xludf.DUMMYFUNCTION("""COMPUTED_VALUE"""),"MI")</f>
        <v>MI</v>
      </c>
      <c r="D431" s="149" t="str">
        <f>IFERROR(__xludf.DUMMYFUNCTION("""COMPUTED_VALUE"""),"USA")</f>
        <v>USA</v>
      </c>
      <c r="E431" s="156">
        <f>IFERROR(__xludf.DUMMYFUNCTION("""COMPUTED_VALUE"""),44389.0)</f>
        <v>44389</v>
      </c>
      <c r="F431" s="129">
        <f>IFERROR(__xludf.DUMMYFUNCTION("""COMPUTED_VALUE"""),44434.0)</f>
        <v>44434</v>
      </c>
      <c r="G431" s="154" t="str">
        <f>IFERROR(__xludf.DUMMYFUNCTION("""COMPUTED_VALUE"""),"Email")</f>
        <v>Email</v>
      </c>
      <c r="H431" s="131"/>
      <c r="I431" s="144" t="str">
        <f>IFERROR(__xludf.DUMMYFUNCTION("""COMPUTED_VALUE"""),"08/21")</f>
        <v>08/21</v>
      </c>
      <c r="J431" s="129">
        <f>IFERROR(__xludf.DUMMYFUNCTION("""COMPUTED_VALUE"""),44447.0)</f>
        <v>44447</v>
      </c>
      <c r="K431" s="133">
        <f>IFERROR(__xludf.DUMMYFUNCTION("""COMPUTED_VALUE"""),45.0)</f>
        <v>45</v>
      </c>
      <c r="L431" s="133">
        <f>IFERROR(__xludf.DUMMYFUNCTION("""COMPUTED_VALUE"""),13.0)</f>
        <v>13</v>
      </c>
      <c r="M431" s="133">
        <f>IFERROR(__xludf.DUMMYFUNCTION("""COMPUTED_VALUE"""),58.0)</f>
        <v>58</v>
      </c>
      <c r="N431" s="152" t="str">
        <f>IFERROR(__xludf.DUMMYFUNCTION("""COMPUTED_VALUE"""),"Model 3 LR AWD")</f>
        <v>Model 3 LR AWD</v>
      </c>
      <c r="O431" s="152" t="str">
        <f>IFERROR(__xludf.DUMMYFUNCTION("""COMPUTED_VALUE"""),"Pearl White Multi-Coat")</f>
        <v>Pearl White Multi-Coat</v>
      </c>
      <c r="P431" s="153" t="str">
        <f>IFERROR(__xludf.DUMMYFUNCTION("""COMPUTED_VALUE"""),"18 inch")</f>
        <v>18 inch</v>
      </c>
      <c r="Q431" s="152" t="str">
        <f>IFERROR(__xludf.DUMMYFUNCTION("""COMPUTED_VALUE"""),"All Black")</f>
        <v>All Black</v>
      </c>
      <c r="R431" s="149" t="str">
        <f>IFERROR(__xludf.DUMMYFUNCTION("""COMPUTED_VALUE"""),"Autopilot included")</f>
        <v>Autopilot included</v>
      </c>
      <c r="S431" s="149" t="str">
        <f>IFERROR(__xludf.DUMMYFUNCTION("""COMPUTED_VALUE"""),"Loan")</f>
        <v>Loan</v>
      </c>
      <c r="T431" s="145" t="str">
        <f>IFERROR(__xludf.DUMMYFUNCTION("""COMPUTED_VALUE"""),"Ford Hybrid")</f>
        <v>Ford Hybrid</v>
      </c>
      <c r="U431" s="145" t="str">
        <f>IFERROR(__xludf.DUMMYFUNCTION("""COMPUTED_VALUE"""),"Electric!")</f>
        <v>Electric!</v>
      </c>
      <c r="V431" s="145" t="str">
        <f>IFERROR(__xludf.DUMMYFUNCTION("""COMPUTED_VALUE"""),"Head-up display")</f>
        <v>Head-up display</v>
      </c>
      <c r="W431" s="145"/>
      <c r="X431" s="137" t="str">
        <f>IFERROR(__xludf.DUMMYFUNCTION("""COMPUTED_VALUE"""),"Excellent")</f>
        <v>Excellent</v>
      </c>
      <c r="Y431" s="138" t="str">
        <f>IFERROR(__xludf.DUMMYFUNCTION("""COMPUTED_VALUE"""),"Excellent")</f>
        <v>Excellent</v>
      </c>
      <c r="Z431" s="138" t="str">
        <f>IFERROR(__xludf.DUMMYFUNCTION("""COMPUTED_VALUE"""),"Excellent")</f>
        <v>Excellent</v>
      </c>
      <c r="AA431" s="138" t="str">
        <f>IFERROR(__xludf.DUMMYFUNCTION("""COMPUTED_VALUE"""),"Excellent")</f>
        <v>Excellent</v>
      </c>
      <c r="AB431" s="138" t="str">
        <f>IFERROR(__xludf.DUMMYFUNCTION("""COMPUTED_VALUE"""),"Excellent")</f>
        <v>Excellent</v>
      </c>
      <c r="AC431" s="139">
        <f>IFERROR(__xludf.DUMMYFUNCTION("""COMPUTED_VALUE"""),0.0)</f>
        <v>0</v>
      </c>
      <c r="AD431" s="139"/>
      <c r="AE431" s="139"/>
      <c r="AF431" s="140" t="str">
        <f>IFERROR(__xludf.DUMMYFUNCTION("""COMPUTED_VALUE"""),"No. I took delivery of the first car Tesla was able to deliver.")</f>
        <v>No. I took delivery of the first car Tesla was able to deliver.</v>
      </c>
      <c r="AG431" s="145"/>
      <c r="AH431" s="157">
        <f>IFERROR(__xludf.DUMMYFUNCTION("""COMPUTED_VALUE"""),44451.533200625)</f>
        <v>44451.5332</v>
      </c>
      <c r="AI431" s="138"/>
      <c r="AJ431" s="138"/>
      <c r="AK431" s="138"/>
      <c r="AL431" s="142"/>
    </row>
    <row r="432" ht="20.25" customHeight="1">
      <c r="A432" s="155" t="str">
        <f>IFERROR(__xludf.DUMMYFUNCTION("""COMPUTED_VALUE"""),"M3 Performante")</f>
        <v>M3 Performante</v>
      </c>
      <c r="B432" s="149" t="str">
        <f>IFERROR(__xludf.DUMMYFUNCTION("""COMPUTED_VALUE"""),"Houston")</f>
        <v>Houston</v>
      </c>
      <c r="C432" s="149" t="str">
        <f>IFERROR(__xludf.DUMMYFUNCTION("""COMPUTED_VALUE"""),"TX")</f>
        <v>TX</v>
      </c>
      <c r="D432" s="149" t="str">
        <f>IFERROR(__xludf.DUMMYFUNCTION("""COMPUTED_VALUE"""),"USA")</f>
        <v>USA</v>
      </c>
      <c r="E432" s="156">
        <f>IFERROR(__xludf.DUMMYFUNCTION("""COMPUTED_VALUE"""),44389.0)</f>
        <v>44389</v>
      </c>
      <c r="F432" s="129">
        <f>IFERROR(__xludf.DUMMYFUNCTION("""COMPUTED_VALUE"""),44404.0)</f>
        <v>44404</v>
      </c>
      <c r="G432" s="154" t="str">
        <f>IFERROR(__xludf.DUMMYFUNCTION("""COMPUTED_VALUE"""),"Manage order page (normal text)")</f>
        <v>Manage order page (normal text)</v>
      </c>
      <c r="H432" s="131">
        <f>IFERROR(__xludf.DUMMYFUNCTION("""COMPUTED_VALUE"""),25055.0)</f>
        <v>25055</v>
      </c>
      <c r="I432" s="144"/>
      <c r="J432" s="129">
        <f>IFERROR(__xludf.DUMMYFUNCTION("""COMPUTED_VALUE"""),44415.0)</f>
        <v>44415</v>
      </c>
      <c r="K432" s="133">
        <f>IFERROR(__xludf.DUMMYFUNCTION("""COMPUTED_VALUE"""),15.0)</f>
        <v>15</v>
      </c>
      <c r="L432" s="133">
        <f>IFERROR(__xludf.DUMMYFUNCTION("""COMPUTED_VALUE"""),11.0)</f>
        <v>11</v>
      </c>
      <c r="M432" s="133">
        <f>IFERROR(__xludf.DUMMYFUNCTION("""COMPUTED_VALUE"""),26.0)</f>
        <v>26</v>
      </c>
      <c r="N432" s="152" t="str">
        <f>IFERROR(__xludf.DUMMYFUNCTION("""COMPUTED_VALUE"""),"Model 3 Performance")</f>
        <v>Model 3 Performance</v>
      </c>
      <c r="O432" s="152" t="str">
        <f>IFERROR(__xludf.DUMMYFUNCTION("""COMPUTED_VALUE"""),"Pearl White Multi-Coat")</f>
        <v>Pearl White Multi-Coat</v>
      </c>
      <c r="P432" s="153" t="str">
        <f>IFERROR(__xludf.DUMMYFUNCTION("""COMPUTED_VALUE"""),"20 inch")</f>
        <v>20 inch</v>
      </c>
      <c r="Q432" s="152" t="str">
        <f>IFERROR(__xludf.DUMMYFUNCTION("""COMPUTED_VALUE"""),"Black and White")</f>
        <v>Black and White</v>
      </c>
      <c r="R432" s="149" t="str">
        <f>IFERROR(__xludf.DUMMYFUNCTION("""COMPUTED_VALUE"""),"Autopilot included")</f>
        <v>Autopilot included</v>
      </c>
      <c r="S432" s="149" t="str">
        <f>IFERROR(__xludf.DUMMYFUNCTION("""COMPUTED_VALUE"""),"Loan")</f>
        <v>Loan</v>
      </c>
      <c r="T432" s="145" t="str">
        <f>IFERROR(__xludf.DUMMYFUNCTION("""COMPUTED_VALUE"""),"Tesla Model 3")</f>
        <v>Tesla Model 3</v>
      </c>
      <c r="U432" s="145" t="str">
        <f>IFERROR(__xludf.DUMMYFUNCTION("""COMPUTED_VALUE"""),"Fast AF Boiii, and more range than my previous SR+")</f>
        <v>Fast AF Boiii, and more range than my previous SR+</v>
      </c>
      <c r="V432" s="136" t="str">
        <f>IFERROR(__xludf.DUMMYFUNCTION("""COMPUTED_VALUE"""),"Head-up display")</f>
        <v>Head-up display</v>
      </c>
      <c r="W432" s="145"/>
      <c r="X432" s="137" t="str">
        <f>IFERROR(__xludf.DUMMYFUNCTION("""COMPUTED_VALUE"""),"Very Good")</f>
        <v>Very Good</v>
      </c>
      <c r="Y432" s="138" t="str">
        <f>IFERROR(__xludf.DUMMYFUNCTION("""COMPUTED_VALUE"""),"Very Good")</f>
        <v>Very Good</v>
      </c>
      <c r="Z432" s="138" t="str">
        <f>IFERROR(__xludf.DUMMYFUNCTION("""COMPUTED_VALUE"""),"Good")</f>
        <v>Good</v>
      </c>
      <c r="AA432" s="138" t="str">
        <f>IFERROR(__xludf.DUMMYFUNCTION("""COMPUTED_VALUE"""),"Very Good")</f>
        <v>Very Good</v>
      </c>
      <c r="AB432" s="138" t="str">
        <f>IFERROR(__xludf.DUMMYFUNCTION("""COMPUTED_VALUE"""),"Good")</f>
        <v>Good</v>
      </c>
      <c r="AC432" s="139"/>
      <c r="AD432" s="139"/>
      <c r="AE432" s="139"/>
      <c r="AF432" s="140" t="str">
        <f>IFERROR(__xludf.DUMMYFUNCTION("""COMPUTED_VALUE"""),"No. I took delivery of the first car Tesla was able to deliver.")</f>
        <v>No. I took delivery of the first car Tesla was able to deliver.</v>
      </c>
      <c r="AG432" s="145"/>
      <c r="AH432" s="157">
        <f>IFERROR(__xludf.DUMMYFUNCTION("""COMPUTED_VALUE"""),44417.37834549769)</f>
        <v>44417.37835</v>
      </c>
      <c r="AI432" s="138"/>
      <c r="AJ432" s="138"/>
      <c r="AK432" s="138"/>
      <c r="AL432" s="142"/>
    </row>
    <row r="433" ht="20.25" customHeight="1">
      <c r="A433" s="155" t="str">
        <f>IFERROR(__xludf.DUMMYFUNCTION("""COMPUTED_VALUE"""),"manicmumday")</f>
        <v>manicmumday</v>
      </c>
      <c r="B433" s="149" t="str">
        <f>IFERROR(__xludf.DUMMYFUNCTION("""COMPUTED_VALUE"""),"YVR")</f>
        <v>YVR</v>
      </c>
      <c r="C433" s="149" t="str">
        <f>IFERROR(__xludf.DUMMYFUNCTION("""COMPUTED_VALUE"""),"BC")</f>
        <v>BC</v>
      </c>
      <c r="D433" s="149" t="str">
        <f>IFERROR(__xludf.DUMMYFUNCTION("""COMPUTED_VALUE"""),"Canada")</f>
        <v>Canada</v>
      </c>
      <c r="E433" s="156">
        <f>IFERROR(__xludf.DUMMYFUNCTION("""COMPUTED_VALUE"""),44389.0)</f>
        <v>44389</v>
      </c>
      <c r="F433" s="129">
        <f>IFERROR(__xludf.DUMMYFUNCTION("""COMPUTED_VALUE"""),44471.0)</f>
        <v>44471</v>
      </c>
      <c r="G433" s="154" t="str">
        <f>IFERROR(__xludf.DUMMYFUNCTION("""COMPUTED_VALUE"""),"Source code")</f>
        <v>Source code</v>
      </c>
      <c r="H433" s="131">
        <f>IFERROR(__xludf.DUMMYFUNCTION("""COMPUTED_VALUE"""),83955.0)</f>
        <v>83955</v>
      </c>
      <c r="I433" s="144" t="str">
        <f>IFERROR(__xludf.DUMMYFUNCTION("""COMPUTED_VALUE"""),"08/21")</f>
        <v>08/21</v>
      </c>
      <c r="J433" s="129">
        <f>IFERROR(__xludf.DUMMYFUNCTION("""COMPUTED_VALUE"""),44476.0)</f>
        <v>44476</v>
      </c>
      <c r="K433" s="133">
        <f>IFERROR(__xludf.DUMMYFUNCTION("""COMPUTED_VALUE"""),82.0)</f>
        <v>82</v>
      </c>
      <c r="L433" s="133">
        <f>IFERROR(__xludf.DUMMYFUNCTION("""COMPUTED_VALUE"""),5.0)</f>
        <v>5</v>
      </c>
      <c r="M433" s="133">
        <f>IFERROR(__xludf.DUMMYFUNCTION("""COMPUTED_VALUE"""),87.0)</f>
        <v>87</v>
      </c>
      <c r="N433" s="152" t="str">
        <f>IFERROR(__xludf.DUMMYFUNCTION("""COMPUTED_VALUE"""),"Model 3 SR+")</f>
        <v>Model 3 SR+</v>
      </c>
      <c r="O433" s="152" t="str">
        <f>IFERROR(__xludf.DUMMYFUNCTION("""COMPUTED_VALUE"""),"Red Multi-Coat")</f>
        <v>Red Multi-Coat</v>
      </c>
      <c r="P433" s="153" t="str">
        <f>IFERROR(__xludf.DUMMYFUNCTION("""COMPUTED_VALUE"""),"18 inch")</f>
        <v>18 inch</v>
      </c>
      <c r="Q433" s="152" t="str">
        <f>IFERROR(__xludf.DUMMYFUNCTION("""COMPUTED_VALUE"""),"All Black")</f>
        <v>All Black</v>
      </c>
      <c r="R433" s="149" t="str">
        <f>IFERROR(__xludf.DUMMYFUNCTION("""COMPUTED_VALUE"""),"Full Self-Driving")</f>
        <v>Full Self-Driving</v>
      </c>
      <c r="S433" s="149" t="str">
        <f>IFERROR(__xludf.DUMMYFUNCTION("""COMPUTED_VALUE"""),"Loan")</f>
        <v>Loan</v>
      </c>
      <c r="T433" s="145"/>
      <c r="U433" s="145" t="str">
        <f>IFERROR(__xludf.DUMMYFUNCTION("""COMPUTED_VALUE"""),"Electric!")</f>
        <v>Electric!</v>
      </c>
      <c r="V433" s="145" t="str">
        <f>IFERROR(__xludf.DUMMYFUNCTION("""COMPUTED_VALUE"""),"Bioweapon defense mode")</f>
        <v>Bioweapon defense mode</v>
      </c>
      <c r="W433" s="145"/>
      <c r="X433" s="137" t="str">
        <f>IFERROR(__xludf.DUMMYFUNCTION("""COMPUTED_VALUE"""),"Excellent")</f>
        <v>Excellent</v>
      </c>
      <c r="Y433" s="138" t="str">
        <f>IFERROR(__xludf.DUMMYFUNCTION("""COMPUTED_VALUE"""),"Excellent")</f>
        <v>Excellent</v>
      </c>
      <c r="Z433" s="138" t="str">
        <f>IFERROR(__xludf.DUMMYFUNCTION("""COMPUTED_VALUE"""),"Excellent")</f>
        <v>Excellent</v>
      </c>
      <c r="AA433" s="138" t="str">
        <f>IFERROR(__xludf.DUMMYFUNCTION("""COMPUTED_VALUE"""),"Fair")</f>
        <v>Fair</v>
      </c>
      <c r="AB433" s="138" t="str">
        <f>IFERROR(__xludf.DUMMYFUNCTION("""COMPUTED_VALUE"""),"Good")</f>
        <v>Good</v>
      </c>
      <c r="AC433" s="139">
        <f>IFERROR(__xludf.DUMMYFUNCTION("""COMPUTED_VALUE"""),0.0)</f>
        <v>0</v>
      </c>
      <c r="AD433" s="139">
        <f>IFERROR(__xludf.DUMMYFUNCTION("""COMPUTED_VALUE"""),0.0)</f>
        <v>0</v>
      </c>
      <c r="AE433" s="139">
        <f>IFERROR(__xludf.DUMMYFUNCTION("""COMPUTED_VALUE"""),0.0)</f>
        <v>0</v>
      </c>
      <c r="AF433" s="140" t="str">
        <f>IFERROR(__xludf.DUMMYFUNCTION("""COMPUTED_VALUE"""),"No. I took delivery of the first car Tesla was able to deliver.")</f>
        <v>No. I took delivery of the first car Tesla was able to deliver.</v>
      </c>
      <c r="AG433" s="145"/>
      <c r="AH433" s="157">
        <f>IFERROR(__xludf.DUMMYFUNCTION("""COMPUTED_VALUE"""),44477.8516024537)</f>
        <v>44477.8516</v>
      </c>
      <c r="AI433" s="138"/>
      <c r="AJ433" s="138"/>
      <c r="AK433" s="138"/>
      <c r="AL433" s="142"/>
    </row>
    <row r="434" ht="20.25" customHeight="1">
      <c r="A434" s="155" t="str">
        <f>IFERROR(__xludf.DUMMYFUNCTION("""COMPUTED_VALUE"""),"amcsquared")</f>
        <v>amcsquared</v>
      </c>
      <c r="B434" s="149" t="str">
        <f>IFERROR(__xludf.DUMMYFUNCTION("""COMPUTED_VALUE"""),"SoCal")</f>
        <v>SoCal</v>
      </c>
      <c r="C434" s="149" t="str">
        <f>IFERROR(__xludf.DUMMYFUNCTION("""COMPUTED_VALUE"""),"CA")</f>
        <v>CA</v>
      </c>
      <c r="D434" s="149" t="str">
        <f>IFERROR(__xludf.DUMMYFUNCTION("""COMPUTED_VALUE"""),"USA")</f>
        <v>USA</v>
      </c>
      <c r="E434" s="156">
        <f>IFERROR(__xludf.DUMMYFUNCTION("""COMPUTED_VALUE"""),44388.0)</f>
        <v>44388</v>
      </c>
      <c r="F434" s="129">
        <f>IFERROR(__xludf.DUMMYFUNCTION("""COMPUTED_VALUE"""),44451.0)</f>
        <v>44451</v>
      </c>
      <c r="G434" s="154" t="str">
        <f>IFERROR(__xludf.DUMMYFUNCTION("""COMPUTED_VALUE"""),"Manage order page (normal text)")</f>
        <v>Manage order page (normal text)</v>
      </c>
      <c r="H434" s="131">
        <f>IFERROR(__xludf.DUMMYFUNCTION("""COMPUTED_VALUE"""),64755.0)</f>
        <v>64755</v>
      </c>
      <c r="I434" s="144" t="str">
        <f>IFERROR(__xludf.DUMMYFUNCTION("""COMPUTED_VALUE"""),"09/21")</f>
        <v>09/21</v>
      </c>
      <c r="J434" s="129">
        <f>IFERROR(__xludf.DUMMYFUNCTION("""COMPUTED_VALUE"""),44454.0)</f>
        <v>44454</v>
      </c>
      <c r="K434" s="133">
        <f>IFERROR(__xludf.DUMMYFUNCTION("""COMPUTED_VALUE"""),63.0)</f>
        <v>63</v>
      </c>
      <c r="L434" s="133">
        <f>IFERROR(__xludf.DUMMYFUNCTION("""COMPUTED_VALUE"""),3.0)</f>
        <v>3</v>
      </c>
      <c r="M434" s="133">
        <f>IFERROR(__xludf.DUMMYFUNCTION("""COMPUTED_VALUE"""),66.0)</f>
        <v>66</v>
      </c>
      <c r="N434" s="152" t="str">
        <f>IFERROR(__xludf.DUMMYFUNCTION("""COMPUTED_VALUE"""),"Model 3 LR AWD")</f>
        <v>Model 3 LR AWD</v>
      </c>
      <c r="O434" s="152" t="str">
        <f>IFERROR(__xludf.DUMMYFUNCTION("""COMPUTED_VALUE"""),"Red Multi-Coat")</f>
        <v>Red Multi-Coat</v>
      </c>
      <c r="P434" s="153" t="str">
        <f>IFERROR(__xludf.DUMMYFUNCTION("""COMPUTED_VALUE"""),"19 inch")</f>
        <v>19 inch</v>
      </c>
      <c r="Q434" s="152" t="str">
        <f>IFERROR(__xludf.DUMMYFUNCTION("""COMPUTED_VALUE"""),"All Black")</f>
        <v>All Black</v>
      </c>
      <c r="R434" s="149" t="str">
        <f>IFERROR(__xludf.DUMMYFUNCTION("""COMPUTED_VALUE"""),"Autopilot included")</f>
        <v>Autopilot included</v>
      </c>
      <c r="S434" s="149"/>
      <c r="T434" s="145"/>
      <c r="U434" s="145"/>
      <c r="V434" s="145"/>
      <c r="W434" s="145"/>
      <c r="X434" s="137"/>
      <c r="Y434" s="138"/>
      <c r="Z434" s="138"/>
      <c r="AA434" s="138"/>
      <c r="AB434" s="138"/>
      <c r="AC434" s="139"/>
      <c r="AD434" s="139"/>
      <c r="AE434" s="139"/>
      <c r="AF434" s="140"/>
      <c r="AG434" s="145"/>
      <c r="AH434" s="157">
        <f>IFERROR(__xludf.DUMMYFUNCTION("""COMPUTED_VALUE"""),44452.51961056713)</f>
        <v>44452.51961</v>
      </c>
      <c r="AI434" s="138"/>
      <c r="AJ434" s="138"/>
      <c r="AK434" s="138"/>
      <c r="AL434" s="142"/>
    </row>
    <row r="435" ht="20.25" customHeight="1">
      <c r="A435" s="155" t="str">
        <f>IFERROR(__xludf.DUMMYFUNCTION("""COMPUTED_VALUE"""),"Bbykay")</f>
        <v>Bbykay</v>
      </c>
      <c r="B435" s="149" t="str">
        <f>IFERROR(__xludf.DUMMYFUNCTION("""COMPUTED_VALUE"""),"Buena Park")</f>
        <v>Buena Park</v>
      </c>
      <c r="C435" s="149" t="str">
        <f>IFERROR(__xludf.DUMMYFUNCTION("""COMPUTED_VALUE"""),"CA")</f>
        <v>CA</v>
      </c>
      <c r="D435" s="149" t="str">
        <f>IFERROR(__xludf.DUMMYFUNCTION("""COMPUTED_VALUE"""),"USA")</f>
        <v>USA</v>
      </c>
      <c r="E435" s="156">
        <f>IFERROR(__xludf.DUMMYFUNCTION("""COMPUTED_VALUE"""),44388.0)</f>
        <v>44388</v>
      </c>
      <c r="F435" s="129">
        <f>IFERROR(__xludf.DUMMYFUNCTION("""COMPUTED_VALUE"""),44459.0)</f>
        <v>44459</v>
      </c>
      <c r="G435" s="154" t="str">
        <f>IFERROR(__xludf.DUMMYFUNCTION("""COMPUTED_VALUE"""),"Email")</f>
        <v>Email</v>
      </c>
      <c r="H435" s="131">
        <f>IFERROR(__xludf.DUMMYFUNCTION("""COMPUTED_VALUE"""),65855.0)</f>
        <v>65855</v>
      </c>
      <c r="I435" s="144" t="str">
        <f>IFERROR(__xludf.DUMMYFUNCTION("""COMPUTED_VALUE"""),"09/21")</f>
        <v>09/21</v>
      </c>
      <c r="J435" s="129">
        <f>IFERROR(__xludf.DUMMYFUNCTION("""COMPUTED_VALUE"""),44461.0)</f>
        <v>44461</v>
      </c>
      <c r="K435" s="133">
        <f>IFERROR(__xludf.DUMMYFUNCTION("""COMPUTED_VALUE"""),71.0)</f>
        <v>71</v>
      </c>
      <c r="L435" s="133">
        <f>IFERROR(__xludf.DUMMYFUNCTION("""COMPUTED_VALUE"""),2.0)</f>
        <v>2</v>
      </c>
      <c r="M435" s="133">
        <f>IFERROR(__xludf.DUMMYFUNCTION("""COMPUTED_VALUE"""),73.0)</f>
        <v>73</v>
      </c>
      <c r="N435" s="152" t="str">
        <f>IFERROR(__xludf.DUMMYFUNCTION("""COMPUTED_VALUE"""),"Model 3 SR+")</f>
        <v>Model 3 SR+</v>
      </c>
      <c r="O435" s="152" t="str">
        <f>IFERROR(__xludf.DUMMYFUNCTION("""COMPUTED_VALUE"""),"Pearl White Multi-Coat")</f>
        <v>Pearl White Multi-Coat</v>
      </c>
      <c r="P435" s="153" t="str">
        <f>IFERROR(__xludf.DUMMYFUNCTION("""COMPUTED_VALUE"""),"18 inch")</f>
        <v>18 inch</v>
      </c>
      <c r="Q435" s="152" t="str">
        <f>IFERROR(__xludf.DUMMYFUNCTION("""COMPUTED_VALUE"""),"All Black")</f>
        <v>All Black</v>
      </c>
      <c r="R435" s="149" t="str">
        <f>IFERROR(__xludf.DUMMYFUNCTION("""COMPUTED_VALUE"""),"Autopilot included")</f>
        <v>Autopilot included</v>
      </c>
      <c r="S435" s="149" t="str">
        <f>IFERROR(__xludf.DUMMYFUNCTION("""COMPUTED_VALUE"""),"Loan")</f>
        <v>Loan</v>
      </c>
      <c r="T435" s="145" t="str">
        <f>IFERROR(__xludf.DUMMYFUNCTION("""COMPUTED_VALUE"""),"Kia Sorento")</f>
        <v>Kia Sorento</v>
      </c>
      <c r="U435" s="145" t="str">
        <f>IFERROR(__xludf.DUMMYFUNCTION("""COMPUTED_VALUE"""),"Electric!")</f>
        <v>Electric!</v>
      </c>
      <c r="V435" s="145" t="str">
        <f>IFERROR(__xludf.DUMMYFUNCTION("""COMPUTED_VALUE"""),"Ventilated seats")</f>
        <v>Ventilated seats</v>
      </c>
      <c r="W435" s="145"/>
      <c r="X435" s="137" t="str">
        <f>IFERROR(__xludf.DUMMYFUNCTION("""COMPUTED_VALUE"""),"Excellent")</f>
        <v>Excellent</v>
      </c>
      <c r="Y435" s="138" t="str">
        <f>IFERROR(__xludf.DUMMYFUNCTION("""COMPUTED_VALUE"""),"Excellent")</f>
        <v>Excellent</v>
      </c>
      <c r="Z435" s="138" t="str">
        <f>IFERROR(__xludf.DUMMYFUNCTION("""COMPUTED_VALUE"""),"Good")</f>
        <v>Good</v>
      </c>
      <c r="AA435" s="138" t="str">
        <f>IFERROR(__xludf.DUMMYFUNCTION("""COMPUTED_VALUE"""),"Excellent")</f>
        <v>Excellent</v>
      </c>
      <c r="AB435" s="138" t="str">
        <f>IFERROR(__xludf.DUMMYFUNCTION("""COMPUTED_VALUE"""),"Excellent")</f>
        <v>Excellent</v>
      </c>
      <c r="AC435" s="139">
        <f>IFERROR(__xludf.DUMMYFUNCTION("""COMPUTED_VALUE"""),4.0)</f>
        <v>4</v>
      </c>
      <c r="AD435" s="139">
        <f>IFERROR(__xludf.DUMMYFUNCTION("""COMPUTED_VALUE"""),2.0)</f>
        <v>2</v>
      </c>
      <c r="AE435" s="139">
        <f>IFERROR(__xludf.DUMMYFUNCTION("""COMPUTED_VALUE"""),1.0)</f>
        <v>1</v>
      </c>
      <c r="AF435" s="140" t="str">
        <f>IFERROR(__xludf.DUMMYFUNCTION("""COMPUTED_VALUE"""),"No. I took delivery of the first car Tesla was able to deliver.")</f>
        <v>No. I took delivery of the first car Tesla was able to deliver.</v>
      </c>
      <c r="AG435" s="145"/>
      <c r="AH435" s="157">
        <f>IFERROR(__xludf.DUMMYFUNCTION("""COMPUTED_VALUE"""),44488.78388395833)</f>
        <v>44488.78388</v>
      </c>
      <c r="AI435" s="138"/>
      <c r="AJ435" s="138"/>
      <c r="AK435" s="138"/>
      <c r="AL435" s="142"/>
    </row>
    <row r="436" ht="20.25" customHeight="1">
      <c r="A436" s="155" t="str">
        <f>IFERROR(__xludf.DUMMYFUNCTION("""COMPUTED_VALUE"""),"J's")</f>
        <v>J's</v>
      </c>
      <c r="B436" s="149"/>
      <c r="C436" s="149" t="str">
        <f>IFERROR(__xludf.DUMMYFUNCTION("""COMPUTED_VALUE"""),"IN")</f>
        <v>IN</v>
      </c>
      <c r="D436" s="149" t="str">
        <f>IFERROR(__xludf.DUMMYFUNCTION("""COMPUTED_VALUE"""),"USA")</f>
        <v>USA</v>
      </c>
      <c r="E436" s="156">
        <f>IFERROR(__xludf.DUMMYFUNCTION("""COMPUTED_VALUE"""),44388.0)</f>
        <v>44388</v>
      </c>
      <c r="F436" s="129">
        <f>IFERROR(__xludf.DUMMYFUNCTION("""COMPUTED_VALUE"""),44439.0)</f>
        <v>44439</v>
      </c>
      <c r="G436" s="154" t="str">
        <f>IFERROR(__xludf.DUMMYFUNCTION("""COMPUTED_VALUE"""),"Manage order page (normal text)")</f>
        <v>Manage order page (normal text)</v>
      </c>
      <c r="H436" s="131">
        <f>IFERROR(__xludf.DUMMYFUNCTION("""COMPUTED_VALUE"""),55755.0)</f>
        <v>55755</v>
      </c>
      <c r="I436" s="144"/>
      <c r="J436" s="129">
        <f>IFERROR(__xludf.DUMMYFUNCTION("""COMPUTED_VALUE"""),44448.0)</f>
        <v>44448</v>
      </c>
      <c r="K436" s="133">
        <f>IFERROR(__xludf.DUMMYFUNCTION("""COMPUTED_VALUE"""),51.0)</f>
        <v>51</v>
      </c>
      <c r="L436" s="133">
        <f>IFERROR(__xludf.DUMMYFUNCTION("""COMPUTED_VALUE"""),9.0)</f>
        <v>9</v>
      </c>
      <c r="M436" s="133">
        <f>IFERROR(__xludf.DUMMYFUNCTION("""COMPUTED_VALUE"""),60.0)</f>
        <v>60</v>
      </c>
      <c r="N436" s="152" t="str">
        <f>IFERROR(__xludf.DUMMYFUNCTION("""COMPUTED_VALUE"""),"Model 3 LR AWD")</f>
        <v>Model 3 LR AWD</v>
      </c>
      <c r="O436" s="152" t="str">
        <f>IFERROR(__xludf.DUMMYFUNCTION("""COMPUTED_VALUE"""),"Pearl White Multi-Coat")</f>
        <v>Pearl White Multi-Coat</v>
      </c>
      <c r="P436" s="153" t="str">
        <f>IFERROR(__xludf.DUMMYFUNCTION("""COMPUTED_VALUE"""),"19 inch")</f>
        <v>19 inch</v>
      </c>
      <c r="Q436" s="152" t="str">
        <f>IFERROR(__xludf.DUMMYFUNCTION("""COMPUTED_VALUE"""),"All Black")</f>
        <v>All Black</v>
      </c>
      <c r="R436" s="149" t="str">
        <f>IFERROR(__xludf.DUMMYFUNCTION("""COMPUTED_VALUE"""),"Autopilot included")</f>
        <v>Autopilot included</v>
      </c>
      <c r="S436" s="149" t="str">
        <f>IFERROR(__xludf.DUMMYFUNCTION("""COMPUTED_VALUE"""),"Loan")</f>
        <v>Loan</v>
      </c>
      <c r="T436" s="145" t="str">
        <f>IFERROR(__xludf.DUMMYFUNCTION("""COMPUTED_VALUE"""),"Jeep")</f>
        <v>Jeep</v>
      </c>
      <c r="U436" s="145"/>
      <c r="V436" s="145" t="str">
        <f>IFERROR(__xludf.DUMMYFUNCTION("""COMPUTED_VALUE"""),"Head-up display")</f>
        <v>Head-up display</v>
      </c>
      <c r="W436" s="145"/>
      <c r="X436" s="137" t="str">
        <f>IFERROR(__xludf.DUMMYFUNCTION("""COMPUTED_VALUE"""),"Excellent")</f>
        <v>Excellent</v>
      </c>
      <c r="Y436" s="138" t="str">
        <f>IFERROR(__xludf.DUMMYFUNCTION("""COMPUTED_VALUE"""),"Excellent")</f>
        <v>Excellent</v>
      </c>
      <c r="Z436" s="138" t="str">
        <f>IFERROR(__xludf.DUMMYFUNCTION("""COMPUTED_VALUE"""),"Excellent")</f>
        <v>Excellent</v>
      </c>
      <c r="AA436" s="138" t="str">
        <f>IFERROR(__xludf.DUMMYFUNCTION("""COMPUTED_VALUE"""),"Good")</f>
        <v>Good</v>
      </c>
      <c r="AB436" s="138" t="str">
        <f>IFERROR(__xludf.DUMMYFUNCTION("""COMPUTED_VALUE"""),"Very Good")</f>
        <v>Very Good</v>
      </c>
      <c r="AC436" s="139"/>
      <c r="AD436" s="139"/>
      <c r="AE436" s="139"/>
      <c r="AF436" s="140" t="str">
        <f>IFERROR(__xludf.DUMMYFUNCTION("""COMPUTED_VALUE"""),"No. I took delivery of the first car Tesla was able to deliver.")</f>
        <v>No. I took delivery of the first car Tesla was able to deliver.</v>
      </c>
      <c r="AG436" s="145"/>
      <c r="AH436" s="157">
        <f>IFERROR(__xludf.DUMMYFUNCTION("""COMPUTED_VALUE"""),44451.73908521991)</f>
        <v>44451.73909</v>
      </c>
      <c r="AI436" s="138"/>
      <c r="AJ436" s="138"/>
      <c r="AK436" s="138"/>
      <c r="AL436" s="142"/>
    </row>
    <row r="437" ht="20.25" customHeight="1">
      <c r="A437" s="155" t="str">
        <f>IFERROR(__xludf.DUMMYFUNCTION("""COMPUTED_VALUE"""),"jaz4uk1")</f>
        <v>jaz4uk1</v>
      </c>
      <c r="B437" s="149" t="str">
        <f>IFERROR(__xludf.DUMMYFUNCTION("""COMPUTED_VALUE"""),"derby")</f>
        <v>derby</v>
      </c>
      <c r="C437" s="149"/>
      <c r="D437" s="149" t="str">
        <f>IFERROR(__xludf.DUMMYFUNCTION("""COMPUTED_VALUE"""),"United Kingdom")</f>
        <v>United Kingdom</v>
      </c>
      <c r="E437" s="156">
        <f>IFERROR(__xludf.DUMMYFUNCTION("""COMPUTED_VALUE"""),44388.0)</f>
        <v>44388</v>
      </c>
      <c r="F437" s="129">
        <f>IFERROR(__xludf.DUMMYFUNCTION("""COMPUTED_VALUE"""),44447.0)</f>
        <v>44447</v>
      </c>
      <c r="G437" s="154" t="str">
        <f>IFERROR(__xludf.DUMMYFUNCTION("""COMPUTED_VALUE"""),"Text message")</f>
        <v>Text message</v>
      </c>
      <c r="H437" s="131"/>
      <c r="I437" s="144"/>
      <c r="J437" s="129">
        <f>IFERROR(__xludf.DUMMYFUNCTION("""COMPUTED_VALUE"""),44456.0)</f>
        <v>44456</v>
      </c>
      <c r="K437" s="133">
        <f>IFERROR(__xludf.DUMMYFUNCTION("""COMPUTED_VALUE"""),59.0)</f>
        <v>59</v>
      </c>
      <c r="L437" s="133">
        <f>IFERROR(__xludf.DUMMYFUNCTION("""COMPUTED_VALUE"""),9.0)</f>
        <v>9</v>
      </c>
      <c r="M437" s="133">
        <f>IFERROR(__xludf.DUMMYFUNCTION("""COMPUTED_VALUE"""),68.0)</f>
        <v>68</v>
      </c>
      <c r="N437" s="152" t="str">
        <f>IFERROR(__xludf.DUMMYFUNCTION("""COMPUTED_VALUE"""),"Model 3 LR AWD")</f>
        <v>Model 3 LR AWD</v>
      </c>
      <c r="O437" s="152" t="str">
        <f>IFERROR(__xludf.DUMMYFUNCTION("""COMPUTED_VALUE"""),"Red Multi-Coat")</f>
        <v>Red Multi-Coat</v>
      </c>
      <c r="P437" s="153" t="str">
        <f>IFERROR(__xludf.DUMMYFUNCTION("""COMPUTED_VALUE"""),"18 inch")</f>
        <v>18 inch</v>
      </c>
      <c r="Q437" s="152" t="str">
        <f>IFERROR(__xludf.DUMMYFUNCTION("""COMPUTED_VALUE"""),"All Black")</f>
        <v>All Black</v>
      </c>
      <c r="R437" s="149" t="str">
        <f>IFERROR(__xludf.DUMMYFUNCTION("""COMPUTED_VALUE"""),"Autopilot included")</f>
        <v>Autopilot included</v>
      </c>
      <c r="S437" s="149" t="str">
        <f>IFERROR(__xludf.DUMMYFUNCTION("""COMPUTED_VALUE"""),"Cash")</f>
        <v>Cash</v>
      </c>
      <c r="T437" s="145" t="str">
        <f>IFERROR(__xludf.DUMMYFUNCTION("""COMPUTED_VALUE"""),"BMW M240")</f>
        <v>BMW M240</v>
      </c>
      <c r="U437" s="145" t="str">
        <f>IFERROR(__xludf.DUMMYFUNCTION("""COMPUTED_VALUE"""),"Tesla brand image")</f>
        <v>Tesla brand image</v>
      </c>
      <c r="V437" s="145" t="str">
        <f>IFERROR(__xludf.DUMMYFUNCTION("""COMPUTED_VALUE"""),"Dashboard")</f>
        <v>Dashboard</v>
      </c>
      <c r="W437" s="145"/>
      <c r="X437" s="137" t="str">
        <f>IFERROR(__xludf.DUMMYFUNCTION("""COMPUTED_VALUE"""),"Excellent")</f>
        <v>Excellent</v>
      </c>
      <c r="Y437" s="138" t="str">
        <f>IFERROR(__xludf.DUMMYFUNCTION("""COMPUTED_VALUE"""),"Excellent")</f>
        <v>Excellent</v>
      </c>
      <c r="Z437" s="138" t="str">
        <f>IFERROR(__xludf.DUMMYFUNCTION("""COMPUTED_VALUE"""),"Excellent")</f>
        <v>Excellent</v>
      </c>
      <c r="AA437" s="138" t="str">
        <f>IFERROR(__xludf.DUMMYFUNCTION("""COMPUTED_VALUE"""),"Fair")</f>
        <v>Fair</v>
      </c>
      <c r="AB437" s="138" t="str">
        <f>IFERROR(__xludf.DUMMYFUNCTION("""COMPUTED_VALUE"""),"Good")</f>
        <v>Good</v>
      </c>
      <c r="AC437" s="139">
        <f>IFERROR(__xludf.DUMMYFUNCTION("""COMPUTED_VALUE"""),2.0)</f>
        <v>2</v>
      </c>
      <c r="AD437" s="139"/>
      <c r="AE437" s="139"/>
      <c r="AF437" s="140"/>
      <c r="AG437" s="145"/>
      <c r="AH437" s="157">
        <f>IFERROR(__xludf.DUMMYFUNCTION("""COMPUTED_VALUE"""),44479.1851233912)</f>
        <v>44479.18512</v>
      </c>
      <c r="AI437" s="138"/>
      <c r="AJ437" s="138"/>
      <c r="AK437" s="138"/>
      <c r="AL437" s="142"/>
    </row>
    <row r="438" ht="20.25" customHeight="1">
      <c r="A438" s="155" t="str">
        <f>IFERROR(__xludf.DUMMYFUNCTION("""COMPUTED_VALUE"""),"Mysdrial")</f>
        <v>Mysdrial</v>
      </c>
      <c r="B438" s="149" t="str">
        <f>IFERROR(__xludf.DUMMYFUNCTION("""COMPUTED_VALUE"""),"Ottawa")</f>
        <v>Ottawa</v>
      </c>
      <c r="C438" s="149" t="str">
        <f>IFERROR(__xludf.DUMMYFUNCTION("""COMPUTED_VALUE"""),"ON")</f>
        <v>ON</v>
      </c>
      <c r="D438" s="149" t="str">
        <f>IFERROR(__xludf.DUMMYFUNCTION("""COMPUTED_VALUE"""),"Canada")</f>
        <v>Canada</v>
      </c>
      <c r="E438" s="156">
        <f>IFERROR(__xludf.DUMMYFUNCTION("""COMPUTED_VALUE"""),44388.0)</f>
        <v>44388</v>
      </c>
      <c r="F438" s="129">
        <f>IFERROR(__xludf.DUMMYFUNCTION("""COMPUTED_VALUE"""),44427.0)</f>
        <v>44427</v>
      </c>
      <c r="G438" s="154" t="str">
        <f>IFERROR(__xludf.DUMMYFUNCTION("""COMPUTED_VALUE"""),"Email")</f>
        <v>Email</v>
      </c>
      <c r="H438" s="131">
        <f>IFERROR(__xludf.DUMMYFUNCTION("""COMPUTED_VALUE"""),45055.0)</f>
        <v>45055</v>
      </c>
      <c r="I438" s="144"/>
      <c r="J438" s="129"/>
      <c r="K438" s="133">
        <f>IFERROR(__xludf.DUMMYFUNCTION("""COMPUTED_VALUE"""),39.0)</f>
        <v>39</v>
      </c>
      <c r="L438" s="133"/>
      <c r="M438" s="133"/>
      <c r="N438" s="152" t="str">
        <f>IFERROR(__xludf.DUMMYFUNCTION("""COMPUTED_VALUE"""),"Model 3 LR AWD")</f>
        <v>Model 3 LR AWD</v>
      </c>
      <c r="O438" s="152" t="str">
        <f>IFERROR(__xludf.DUMMYFUNCTION("""COMPUTED_VALUE"""),"Deep Blue Metallic")</f>
        <v>Deep Blue Metallic</v>
      </c>
      <c r="P438" s="153" t="str">
        <f>IFERROR(__xludf.DUMMYFUNCTION("""COMPUTED_VALUE"""),"18 inch")</f>
        <v>18 inch</v>
      </c>
      <c r="Q438" s="152" t="str">
        <f>IFERROR(__xludf.DUMMYFUNCTION("""COMPUTED_VALUE"""),"All Black")</f>
        <v>All Black</v>
      </c>
      <c r="R438" s="149" t="str">
        <f>IFERROR(__xludf.DUMMYFUNCTION("""COMPUTED_VALUE"""),"Autopilot included")</f>
        <v>Autopilot included</v>
      </c>
      <c r="S438" s="149" t="str">
        <f>IFERROR(__xludf.DUMMYFUNCTION("""COMPUTED_VALUE"""),"Cash")</f>
        <v>Cash</v>
      </c>
      <c r="T438" s="145" t="str">
        <f>IFERROR(__xludf.DUMMYFUNCTION("""COMPUTED_VALUE"""),"Hyundai Accent")</f>
        <v>Hyundai Accent</v>
      </c>
      <c r="U438" s="145" t="str">
        <f>IFERROR(__xludf.DUMMYFUNCTION("""COMPUTED_VALUE"""),"Electric!")</f>
        <v>Electric!</v>
      </c>
      <c r="V438" s="145" t="str">
        <f>IFERROR(__xludf.DUMMYFUNCTION("""COMPUTED_VALUE"""),"360° Bird's eye view")</f>
        <v>360° Bird's eye view</v>
      </c>
      <c r="W438" s="145"/>
      <c r="X438" s="137"/>
      <c r="Y438" s="138"/>
      <c r="Z438" s="138"/>
      <c r="AA438" s="138"/>
      <c r="AB438" s="138"/>
      <c r="AC438" s="139"/>
      <c r="AD438" s="139"/>
      <c r="AE438" s="139"/>
      <c r="AF438" s="140"/>
      <c r="AG438" s="145"/>
      <c r="AH438" s="157">
        <f>IFERROR(__xludf.DUMMYFUNCTION("""COMPUTED_VALUE"""),44435.54321225695)</f>
        <v>44435.54321</v>
      </c>
      <c r="AI438" s="138"/>
      <c r="AJ438" s="138"/>
      <c r="AK438" s="138"/>
      <c r="AL438" s="142"/>
    </row>
    <row r="439" ht="20.25" customHeight="1">
      <c r="A439" s="155" t="str">
        <f>IFERROR(__xludf.DUMMYFUNCTION("""COMPUTED_VALUE"""),"Euphrates")</f>
        <v>Euphrates</v>
      </c>
      <c r="B439" s="159" t="str">
        <f>IFERROR(__xludf.DUMMYFUNCTION("""COMPUTED_VALUE"""),"Manassas")</f>
        <v>Manassas</v>
      </c>
      <c r="C439" s="159" t="str">
        <f>IFERROR(__xludf.DUMMYFUNCTION("""COMPUTED_VALUE"""),"VA")</f>
        <v>VA</v>
      </c>
      <c r="D439" s="159" t="str">
        <f>IFERROR(__xludf.DUMMYFUNCTION("""COMPUTED_VALUE"""),"USA")</f>
        <v>USA</v>
      </c>
      <c r="E439" s="156">
        <f>IFERROR(__xludf.DUMMYFUNCTION("""COMPUTED_VALUE"""),44387.0)</f>
        <v>44387</v>
      </c>
      <c r="F439" s="129">
        <f>IFERROR(__xludf.DUMMYFUNCTION("""COMPUTED_VALUE"""),44428.0)</f>
        <v>44428</v>
      </c>
      <c r="G439" s="154" t="str">
        <f>IFERROR(__xludf.DUMMYFUNCTION("""COMPUTED_VALUE"""),"Manage order page (normal text)")</f>
        <v>Manage order page (normal text)</v>
      </c>
      <c r="H439" s="131"/>
      <c r="I439" s="160"/>
      <c r="J439" s="129">
        <f>IFERROR(__xludf.DUMMYFUNCTION("""COMPUTED_VALUE"""),44434.0)</f>
        <v>44434</v>
      </c>
      <c r="K439" s="133">
        <f>IFERROR(__xludf.DUMMYFUNCTION("""COMPUTED_VALUE"""),41.0)</f>
        <v>41</v>
      </c>
      <c r="L439" s="133">
        <f>IFERROR(__xludf.DUMMYFUNCTION("""COMPUTED_VALUE"""),6.0)</f>
        <v>6</v>
      </c>
      <c r="M439" s="133">
        <f>IFERROR(__xludf.DUMMYFUNCTION("""COMPUTED_VALUE"""),47.0)</f>
        <v>47</v>
      </c>
      <c r="N439" s="152" t="str">
        <f>IFERROR(__xludf.DUMMYFUNCTION("""COMPUTED_VALUE"""),"Model 3 LR AWD")</f>
        <v>Model 3 LR AWD</v>
      </c>
      <c r="O439" s="152" t="str">
        <f>IFERROR(__xludf.DUMMYFUNCTION("""COMPUTED_VALUE"""),"Solid Black")</f>
        <v>Solid Black</v>
      </c>
      <c r="P439" s="153" t="str">
        <f>IFERROR(__xludf.DUMMYFUNCTION("""COMPUTED_VALUE"""),"18 inch")</f>
        <v>18 inch</v>
      </c>
      <c r="Q439" s="152" t="str">
        <f>IFERROR(__xludf.DUMMYFUNCTION("""COMPUTED_VALUE"""),"Black and White")</f>
        <v>Black and White</v>
      </c>
      <c r="R439" s="159" t="str">
        <f>IFERROR(__xludf.DUMMYFUNCTION("""COMPUTED_VALUE"""),"Autopilot included")</f>
        <v>Autopilot included</v>
      </c>
      <c r="S439" s="159" t="str">
        <f>IFERROR(__xludf.DUMMYFUNCTION("""COMPUTED_VALUE"""),"Loan")</f>
        <v>Loan</v>
      </c>
      <c r="T439" s="161" t="str">
        <f>IFERROR(__xludf.DUMMYFUNCTION("""COMPUTED_VALUE"""),"Kia Forte")</f>
        <v>Kia Forte</v>
      </c>
      <c r="U439" s="161" t="str">
        <f>IFERROR(__xludf.DUMMYFUNCTION("""COMPUTED_VALUE"""),"Electric!")</f>
        <v>Electric!</v>
      </c>
      <c r="V439" s="161" t="str">
        <f>IFERROR(__xludf.DUMMYFUNCTION("""COMPUTED_VALUE"""),"Ventilated seats")</f>
        <v>Ventilated seats</v>
      </c>
      <c r="W439" s="161"/>
      <c r="X439" s="137"/>
      <c r="Y439" s="138"/>
      <c r="Z439" s="138"/>
      <c r="AA439" s="138"/>
      <c r="AB439" s="138"/>
      <c r="AC439" s="139"/>
      <c r="AD439" s="139"/>
      <c r="AE439" s="139"/>
      <c r="AF439" s="140"/>
      <c r="AG439" s="161"/>
      <c r="AH439" s="157">
        <f>IFERROR(__xludf.DUMMYFUNCTION("""COMPUTED_VALUE"""),44439.32931674769)</f>
        <v>44439.32932</v>
      </c>
      <c r="AI439" s="138"/>
      <c r="AJ439" s="138"/>
      <c r="AK439" s="138"/>
      <c r="AL439" s="142"/>
    </row>
    <row r="440" ht="20.25" customHeight="1">
      <c r="A440" s="155" t="str">
        <f>IFERROR(__xludf.DUMMYFUNCTION("""COMPUTED_VALUE"""),"Girth19")</f>
        <v>Girth19</v>
      </c>
      <c r="B440" s="149"/>
      <c r="C440" s="149" t="str">
        <f>IFERROR(__xludf.DUMMYFUNCTION("""COMPUTED_VALUE"""),"GA")</f>
        <v>GA</v>
      </c>
      <c r="D440" s="149" t="str">
        <f>IFERROR(__xludf.DUMMYFUNCTION("""COMPUTED_VALUE"""),"USA")</f>
        <v>USA</v>
      </c>
      <c r="E440" s="156">
        <f>IFERROR(__xludf.DUMMYFUNCTION("""COMPUTED_VALUE"""),44387.0)</f>
        <v>44387</v>
      </c>
      <c r="F440" s="129">
        <f>IFERROR(__xludf.DUMMYFUNCTION("""COMPUTED_VALUE"""),44428.0)</f>
        <v>44428</v>
      </c>
      <c r="G440" s="154" t="str">
        <f>IFERROR(__xludf.DUMMYFUNCTION("""COMPUTED_VALUE"""),"Manage order page (normal text)")</f>
        <v>Manage order page (normal text)</v>
      </c>
      <c r="H440" s="131"/>
      <c r="I440" s="144" t="str">
        <f>IFERROR(__xludf.DUMMYFUNCTION("""COMPUTED_VALUE"""),"08/21")</f>
        <v>08/21</v>
      </c>
      <c r="J440" s="129">
        <f>IFERROR(__xludf.DUMMYFUNCTION("""COMPUTED_VALUE"""),44443.0)</f>
        <v>44443</v>
      </c>
      <c r="K440" s="133">
        <f>IFERROR(__xludf.DUMMYFUNCTION("""COMPUTED_VALUE"""),41.0)</f>
        <v>41</v>
      </c>
      <c r="L440" s="133">
        <f>IFERROR(__xludf.DUMMYFUNCTION("""COMPUTED_VALUE"""),15.0)</f>
        <v>15</v>
      </c>
      <c r="M440" s="133">
        <f>IFERROR(__xludf.DUMMYFUNCTION("""COMPUTED_VALUE"""),56.0)</f>
        <v>56</v>
      </c>
      <c r="N440" s="152" t="str">
        <f>IFERROR(__xludf.DUMMYFUNCTION("""COMPUTED_VALUE"""),"Model 3 LR AWD")</f>
        <v>Model 3 LR AWD</v>
      </c>
      <c r="O440" s="152" t="str">
        <f>IFERROR(__xludf.DUMMYFUNCTION("""COMPUTED_VALUE"""),"Deep Blue Metallic")</f>
        <v>Deep Blue Metallic</v>
      </c>
      <c r="P440" s="153" t="str">
        <f>IFERROR(__xludf.DUMMYFUNCTION("""COMPUTED_VALUE"""),"18 inch")</f>
        <v>18 inch</v>
      </c>
      <c r="Q440" s="152" t="str">
        <f>IFERROR(__xludf.DUMMYFUNCTION("""COMPUTED_VALUE"""),"Black and White")</f>
        <v>Black and White</v>
      </c>
      <c r="R440" s="149" t="str">
        <f>IFERROR(__xludf.DUMMYFUNCTION("""COMPUTED_VALUE"""),"Full Self-Driving")</f>
        <v>Full Self-Driving</v>
      </c>
      <c r="S440" s="149" t="str">
        <f>IFERROR(__xludf.DUMMYFUNCTION("""COMPUTED_VALUE"""),"Loan")</f>
        <v>Loan</v>
      </c>
      <c r="T440" s="145"/>
      <c r="U440" s="145"/>
      <c r="V440" s="136"/>
      <c r="W440" s="145"/>
      <c r="X440" s="137" t="str">
        <f>IFERROR(__xludf.DUMMYFUNCTION("""COMPUTED_VALUE"""),"Very Good")</f>
        <v>Very Good</v>
      </c>
      <c r="Y440" s="138" t="str">
        <f>IFERROR(__xludf.DUMMYFUNCTION("""COMPUTED_VALUE"""),"Excellent")</f>
        <v>Excellent</v>
      </c>
      <c r="Z440" s="138" t="str">
        <f>IFERROR(__xludf.DUMMYFUNCTION("""COMPUTED_VALUE"""),"Excellent")</f>
        <v>Excellent</v>
      </c>
      <c r="AA440" s="138" t="str">
        <f>IFERROR(__xludf.DUMMYFUNCTION("""COMPUTED_VALUE"""),"Very Good")</f>
        <v>Very Good</v>
      </c>
      <c r="AB440" s="138" t="str">
        <f>IFERROR(__xludf.DUMMYFUNCTION("""COMPUTED_VALUE"""),"Very Good")</f>
        <v>Very Good</v>
      </c>
      <c r="AC440" s="139"/>
      <c r="AD440" s="139"/>
      <c r="AE440" s="139"/>
      <c r="AF440" s="140" t="str">
        <f>IFERROR(__xludf.DUMMYFUNCTION("""COMPUTED_VALUE"""),"No. I took delivery of the first car Tesla was able to deliver.")</f>
        <v>No. I took delivery of the first car Tesla was able to deliver.</v>
      </c>
      <c r="AG440" s="145"/>
      <c r="AH440" s="157">
        <f>IFERROR(__xludf.DUMMYFUNCTION("""COMPUTED_VALUE"""),44444.2034615625)</f>
        <v>44444.20346</v>
      </c>
      <c r="AI440" s="138"/>
      <c r="AJ440" s="138"/>
      <c r="AK440" s="138"/>
      <c r="AL440" s="142"/>
    </row>
    <row r="441" ht="20.25" customHeight="1">
      <c r="A441" s="155" t="str">
        <f>IFERROR(__xludf.DUMMYFUNCTION("""COMPUTED_VALUE"""),"mnixon07")</f>
        <v>mnixon07</v>
      </c>
      <c r="B441" s="149" t="str">
        <f>IFERROR(__xludf.DUMMYFUNCTION("""COMPUTED_VALUE"""),"San Jose ")</f>
        <v>San Jose </v>
      </c>
      <c r="C441" s="149" t="str">
        <f>IFERROR(__xludf.DUMMYFUNCTION("""COMPUTED_VALUE"""),"CA")</f>
        <v>CA</v>
      </c>
      <c r="D441" s="149" t="str">
        <f>IFERROR(__xludf.DUMMYFUNCTION("""COMPUTED_VALUE"""),"USA")</f>
        <v>USA</v>
      </c>
      <c r="E441" s="156">
        <f>IFERROR(__xludf.DUMMYFUNCTION("""COMPUTED_VALUE"""),44387.0)</f>
        <v>44387</v>
      </c>
      <c r="F441" s="129">
        <f>IFERROR(__xludf.DUMMYFUNCTION("""COMPUTED_VALUE"""),44441.0)</f>
        <v>44441</v>
      </c>
      <c r="G441" s="154" t="str">
        <f>IFERROR(__xludf.DUMMYFUNCTION("""COMPUTED_VALUE"""),"Manage order page (normal text)")</f>
        <v>Manage order page (normal text)</v>
      </c>
      <c r="H441" s="131"/>
      <c r="I441" s="144"/>
      <c r="J441" s="129">
        <f>IFERROR(__xludf.DUMMYFUNCTION("""COMPUTED_VALUE"""),44443.0)</f>
        <v>44443</v>
      </c>
      <c r="K441" s="133">
        <f>IFERROR(__xludf.DUMMYFUNCTION("""COMPUTED_VALUE"""),54.0)</f>
        <v>54</v>
      </c>
      <c r="L441" s="133">
        <f>IFERROR(__xludf.DUMMYFUNCTION("""COMPUTED_VALUE"""),2.0)</f>
        <v>2</v>
      </c>
      <c r="M441" s="133">
        <f>IFERROR(__xludf.DUMMYFUNCTION("""COMPUTED_VALUE"""),56.0)</f>
        <v>56</v>
      </c>
      <c r="N441" s="152" t="str">
        <f>IFERROR(__xludf.DUMMYFUNCTION("""COMPUTED_VALUE"""),"Model 3 LR AWD")</f>
        <v>Model 3 LR AWD</v>
      </c>
      <c r="O441" s="152" t="str">
        <f>IFERROR(__xludf.DUMMYFUNCTION("""COMPUTED_VALUE"""),"Deep Blue Metallic")</f>
        <v>Deep Blue Metallic</v>
      </c>
      <c r="P441" s="153" t="str">
        <f>IFERROR(__xludf.DUMMYFUNCTION("""COMPUTED_VALUE"""),"18 inch")</f>
        <v>18 inch</v>
      </c>
      <c r="Q441" s="152" t="str">
        <f>IFERROR(__xludf.DUMMYFUNCTION("""COMPUTED_VALUE"""),"All Black")</f>
        <v>All Black</v>
      </c>
      <c r="R441" s="149" t="str">
        <f>IFERROR(__xludf.DUMMYFUNCTION("""COMPUTED_VALUE"""),"Autopilot included")</f>
        <v>Autopilot included</v>
      </c>
      <c r="S441" s="149" t="str">
        <f>IFERROR(__xludf.DUMMYFUNCTION("""COMPUTED_VALUE"""),"Loan")</f>
        <v>Loan</v>
      </c>
      <c r="T441" s="145"/>
      <c r="U441" s="145" t="str">
        <f>IFERROR(__xludf.DUMMYFUNCTION("""COMPUTED_VALUE"""),"Electric!")</f>
        <v>Electric!</v>
      </c>
      <c r="V441" s="145"/>
      <c r="W441" s="145"/>
      <c r="X441" s="137"/>
      <c r="Y441" s="138"/>
      <c r="Z441" s="138"/>
      <c r="AA441" s="138"/>
      <c r="AB441" s="138"/>
      <c r="AC441" s="139"/>
      <c r="AD441" s="139"/>
      <c r="AE441" s="139"/>
      <c r="AF441" s="140"/>
      <c r="AG441" s="145"/>
      <c r="AH441" s="157">
        <f>IFERROR(__xludf.DUMMYFUNCTION("""COMPUTED_VALUE"""),44441.41863069445)</f>
        <v>44441.41863</v>
      </c>
      <c r="AI441" s="138"/>
      <c r="AJ441" s="138"/>
      <c r="AK441" s="138"/>
      <c r="AL441" s="142"/>
    </row>
    <row r="442" ht="20.25" customHeight="1">
      <c r="A442" s="155" t="str">
        <f>IFERROR(__xludf.DUMMYFUNCTION("""COMPUTED_VALUE"""),"nexxco")</f>
        <v>nexxco</v>
      </c>
      <c r="B442" s="159" t="str">
        <f>IFERROR(__xludf.DUMMYFUNCTION("""COMPUTED_VALUE"""),"Vancouver")</f>
        <v>Vancouver</v>
      </c>
      <c r="C442" s="159" t="str">
        <f>IFERROR(__xludf.DUMMYFUNCTION("""COMPUTED_VALUE"""),"BC")</f>
        <v>BC</v>
      </c>
      <c r="D442" s="159" t="str">
        <f>IFERROR(__xludf.DUMMYFUNCTION("""COMPUTED_VALUE"""),"Canada")</f>
        <v>Canada</v>
      </c>
      <c r="E442" s="156">
        <f>IFERROR(__xludf.DUMMYFUNCTION("""COMPUTED_VALUE"""),44387.0)</f>
        <v>44387</v>
      </c>
      <c r="F442" s="129">
        <f>IFERROR(__xludf.DUMMYFUNCTION("""COMPUTED_VALUE"""),44485.0)</f>
        <v>44485</v>
      </c>
      <c r="G442" s="154" t="str">
        <f>IFERROR(__xludf.DUMMYFUNCTION("""COMPUTED_VALUE"""),"Manage order page (normal text)")</f>
        <v>Manage order page (normal text)</v>
      </c>
      <c r="H442" s="131"/>
      <c r="I442" s="160"/>
      <c r="J442" s="129">
        <f>IFERROR(__xludf.DUMMYFUNCTION("""COMPUTED_VALUE"""),44490.0)</f>
        <v>44490</v>
      </c>
      <c r="K442" s="133">
        <f>IFERROR(__xludf.DUMMYFUNCTION("""COMPUTED_VALUE"""),98.0)</f>
        <v>98</v>
      </c>
      <c r="L442" s="133">
        <f>IFERROR(__xludf.DUMMYFUNCTION("""COMPUTED_VALUE"""),5.0)</f>
        <v>5</v>
      </c>
      <c r="M442" s="133">
        <f>IFERROR(__xludf.DUMMYFUNCTION("""COMPUTED_VALUE"""),103.0)</f>
        <v>103</v>
      </c>
      <c r="N442" s="152" t="str">
        <f>IFERROR(__xludf.DUMMYFUNCTION("""COMPUTED_VALUE"""),"Model 3 SR+")</f>
        <v>Model 3 SR+</v>
      </c>
      <c r="O442" s="152" t="str">
        <f>IFERROR(__xludf.DUMMYFUNCTION("""COMPUTED_VALUE"""),"Pearl White Multi-Coat")</f>
        <v>Pearl White Multi-Coat</v>
      </c>
      <c r="P442" s="153" t="str">
        <f>IFERROR(__xludf.DUMMYFUNCTION("""COMPUTED_VALUE"""),"18 inch")</f>
        <v>18 inch</v>
      </c>
      <c r="Q442" s="152" t="str">
        <f>IFERROR(__xludf.DUMMYFUNCTION("""COMPUTED_VALUE"""),"All Black")</f>
        <v>All Black</v>
      </c>
      <c r="R442" s="159" t="str">
        <f>IFERROR(__xludf.DUMMYFUNCTION("""COMPUTED_VALUE"""),"Autopilot included")</f>
        <v>Autopilot included</v>
      </c>
      <c r="S442" s="159" t="str">
        <f>IFERROR(__xludf.DUMMYFUNCTION("""COMPUTED_VALUE"""),"Loan")</f>
        <v>Loan</v>
      </c>
      <c r="T442" s="161" t="str">
        <f>IFERROR(__xludf.DUMMYFUNCTION("""COMPUTED_VALUE"""),"VW Golf")</f>
        <v>VW Golf</v>
      </c>
      <c r="U442" s="161"/>
      <c r="V442" s="161" t="str">
        <f>IFERROR(__xludf.DUMMYFUNCTION("""COMPUTED_VALUE"""),"Apple CarPlay / Android Auto / SiriusXM Radio")</f>
        <v>Apple CarPlay / Android Auto / SiriusXM Radio</v>
      </c>
      <c r="W442" s="161"/>
      <c r="X442" s="137"/>
      <c r="Y442" s="138"/>
      <c r="Z442" s="138"/>
      <c r="AA442" s="138"/>
      <c r="AB442" s="138"/>
      <c r="AC442" s="139"/>
      <c r="AD442" s="139"/>
      <c r="AE442" s="139"/>
      <c r="AF442" s="140"/>
      <c r="AG442" s="161"/>
      <c r="AH442" s="157">
        <f>IFERROR(__xludf.DUMMYFUNCTION("""COMPUTED_VALUE"""),44485.81345854167)</f>
        <v>44485.81346</v>
      </c>
      <c r="AI442" s="138"/>
      <c r="AJ442" s="138"/>
      <c r="AK442" s="138"/>
      <c r="AL442" s="142"/>
    </row>
    <row r="443" ht="20.25" customHeight="1">
      <c r="A443" s="155" t="str">
        <f>IFERROR(__xludf.DUMMYFUNCTION("""COMPUTED_VALUE"""),"Overtok90 ")</f>
        <v>Overtok90 </v>
      </c>
      <c r="B443" s="149" t="str">
        <f>IFERROR(__xludf.DUMMYFUNCTION("""COMPUTED_VALUE"""),"Vancouver")</f>
        <v>Vancouver</v>
      </c>
      <c r="C443" s="149" t="str">
        <f>IFERROR(__xludf.DUMMYFUNCTION("""COMPUTED_VALUE"""),"WA")</f>
        <v>WA</v>
      </c>
      <c r="D443" s="149" t="str">
        <f>IFERROR(__xludf.DUMMYFUNCTION("""COMPUTED_VALUE"""),"USA")</f>
        <v>USA</v>
      </c>
      <c r="E443" s="156">
        <f>IFERROR(__xludf.DUMMYFUNCTION("""COMPUTED_VALUE"""),44387.0)</f>
        <v>44387</v>
      </c>
      <c r="F443" s="129">
        <f>IFERROR(__xludf.DUMMYFUNCTION("""COMPUTED_VALUE"""),44407.0)</f>
        <v>44407</v>
      </c>
      <c r="G443" s="154" t="str">
        <f>IFERROR(__xludf.DUMMYFUNCTION("""COMPUTED_VALUE"""),"Manage order page (normal text)")</f>
        <v>Manage order page (normal text)</v>
      </c>
      <c r="H443" s="131"/>
      <c r="I443" s="144"/>
      <c r="J443" s="129">
        <f>IFERROR(__xludf.DUMMYFUNCTION("""COMPUTED_VALUE"""),44417.0)</f>
        <v>44417</v>
      </c>
      <c r="K443" s="133">
        <f>IFERROR(__xludf.DUMMYFUNCTION("""COMPUTED_VALUE"""),20.0)</f>
        <v>20</v>
      </c>
      <c r="L443" s="133">
        <f>IFERROR(__xludf.DUMMYFUNCTION("""COMPUTED_VALUE"""),10.0)</f>
        <v>10</v>
      </c>
      <c r="M443" s="133">
        <f>IFERROR(__xludf.DUMMYFUNCTION("""COMPUTED_VALUE"""),30.0)</f>
        <v>30</v>
      </c>
      <c r="N443" s="152" t="str">
        <f>IFERROR(__xludf.DUMMYFUNCTION("""COMPUTED_VALUE"""),"Model 3 SR+")</f>
        <v>Model 3 SR+</v>
      </c>
      <c r="O443" s="152" t="str">
        <f>IFERROR(__xludf.DUMMYFUNCTION("""COMPUTED_VALUE"""),"Midnight Silver Metallic")</f>
        <v>Midnight Silver Metallic</v>
      </c>
      <c r="P443" s="153" t="str">
        <f>IFERROR(__xludf.DUMMYFUNCTION("""COMPUTED_VALUE"""),"18 inch")</f>
        <v>18 inch</v>
      </c>
      <c r="Q443" s="152" t="str">
        <f>IFERROR(__xludf.DUMMYFUNCTION("""COMPUTED_VALUE"""),"All Black")</f>
        <v>All Black</v>
      </c>
      <c r="R443" s="149" t="str">
        <f>IFERROR(__xludf.DUMMYFUNCTION("""COMPUTED_VALUE"""),"Autopilot included")</f>
        <v>Autopilot included</v>
      </c>
      <c r="S443" s="149" t="str">
        <f>IFERROR(__xludf.DUMMYFUNCTION("""COMPUTED_VALUE"""),"Loan")</f>
        <v>Loan</v>
      </c>
      <c r="T443" s="145" t="str">
        <f>IFERROR(__xludf.DUMMYFUNCTION("""COMPUTED_VALUE"""),"Vw Tiguan ")</f>
        <v>Vw Tiguan </v>
      </c>
      <c r="U443" s="145" t="str">
        <f>IFERROR(__xludf.DUMMYFUNCTION("""COMPUTED_VALUE"""),"Electric!")</f>
        <v>Electric!</v>
      </c>
      <c r="V443" s="145" t="str">
        <f>IFERROR(__xludf.DUMMYFUNCTION("""COMPUTED_VALUE"""),"Ventilated seats")</f>
        <v>Ventilated seats</v>
      </c>
      <c r="W443" s="136"/>
      <c r="X443" s="137"/>
      <c r="Y443" s="138"/>
      <c r="Z443" s="138"/>
      <c r="AA443" s="138"/>
      <c r="AB443" s="138"/>
      <c r="AC443" s="139"/>
      <c r="AD443" s="139"/>
      <c r="AE443" s="139"/>
      <c r="AF443" s="140"/>
      <c r="AG443" s="136"/>
      <c r="AH443" s="157">
        <f>IFERROR(__xludf.DUMMYFUNCTION("""COMPUTED_VALUE"""),44410.33793518518)</f>
        <v>44410.33794</v>
      </c>
      <c r="AI443" s="138"/>
      <c r="AJ443" s="138"/>
      <c r="AK443" s="138"/>
      <c r="AL443" s="142"/>
    </row>
    <row r="444" ht="20.25" customHeight="1">
      <c r="A444" s="155" t="str">
        <f>IFERROR(__xludf.DUMMYFUNCTION("""COMPUTED_VALUE"""),"ankpotter")</f>
        <v>ankpotter</v>
      </c>
      <c r="B444" s="149" t="str">
        <f>IFERROR(__xludf.DUMMYFUNCTION("""COMPUTED_VALUE"""),"Sayreville")</f>
        <v>Sayreville</v>
      </c>
      <c r="C444" s="149" t="str">
        <f>IFERROR(__xludf.DUMMYFUNCTION("""COMPUTED_VALUE"""),"NJ")</f>
        <v>NJ</v>
      </c>
      <c r="D444" s="149" t="str">
        <f>IFERROR(__xludf.DUMMYFUNCTION("""COMPUTED_VALUE"""),"USA")</f>
        <v>USA</v>
      </c>
      <c r="E444" s="156">
        <f>IFERROR(__xludf.DUMMYFUNCTION("""COMPUTED_VALUE"""),44386.0)</f>
        <v>44386</v>
      </c>
      <c r="F444" s="129">
        <f>IFERROR(__xludf.DUMMYFUNCTION("""COMPUTED_VALUE"""),44426.0)</f>
        <v>44426</v>
      </c>
      <c r="G444" s="154" t="str">
        <f>IFERROR(__xludf.DUMMYFUNCTION("""COMPUTED_VALUE"""),"Manage order page (normal text)")</f>
        <v>Manage order page (normal text)</v>
      </c>
      <c r="H444" s="131">
        <f>IFERROR(__xludf.DUMMYFUNCTION("""COMPUTED_VALUE"""),111111.0)</f>
        <v>111111</v>
      </c>
      <c r="I444" s="132"/>
      <c r="J444" s="129"/>
      <c r="K444" s="133">
        <f>IFERROR(__xludf.DUMMYFUNCTION("""COMPUTED_VALUE"""),40.0)</f>
        <v>40</v>
      </c>
      <c r="L444" s="133"/>
      <c r="M444" s="133"/>
      <c r="N444" s="152" t="str">
        <f>IFERROR(__xludf.DUMMYFUNCTION("""COMPUTED_VALUE"""),"Model 3 LR AWD")</f>
        <v>Model 3 LR AWD</v>
      </c>
      <c r="O444" s="152" t="str">
        <f>IFERROR(__xludf.DUMMYFUNCTION("""COMPUTED_VALUE"""),"Deep Blue Metallic")</f>
        <v>Deep Blue Metallic</v>
      </c>
      <c r="P444" s="153" t="str">
        <f>IFERROR(__xludf.DUMMYFUNCTION("""COMPUTED_VALUE"""),"18 inch")</f>
        <v>18 inch</v>
      </c>
      <c r="Q444" s="152" t="str">
        <f>IFERROR(__xludf.DUMMYFUNCTION("""COMPUTED_VALUE"""),"All Black")</f>
        <v>All Black</v>
      </c>
      <c r="R444" s="150" t="str">
        <f>IFERROR(__xludf.DUMMYFUNCTION("""COMPUTED_VALUE"""),"Autopilot included")</f>
        <v>Autopilot included</v>
      </c>
      <c r="S444" s="150" t="str">
        <f>IFERROR(__xludf.DUMMYFUNCTION("""COMPUTED_VALUE"""),"Loan")</f>
        <v>Loan</v>
      </c>
      <c r="T444" s="136" t="str">
        <f>IFERROR(__xludf.DUMMYFUNCTION("""COMPUTED_VALUE"""),"Hyundai Accent")</f>
        <v>Hyundai Accent</v>
      </c>
      <c r="U444" s="136" t="str">
        <f>IFERROR(__xludf.DUMMYFUNCTION("""COMPUTED_VALUE"""),"Electric!")</f>
        <v>Electric!</v>
      </c>
      <c r="V444" s="136" t="str">
        <f>IFERROR(__xludf.DUMMYFUNCTION("""COMPUTED_VALUE"""),"Apple CarPlay / Android Auto / SiriusXM Radio")</f>
        <v>Apple CarPlay / Android Auto / SiriusXM Radio</v>
      </c>
      <c r="W444" s="136" t="str">
        <f>IFERROR(__xludf.DUMMYFUNCTION("""COMPUTED_VALUE"""),"Strongly recommend against buying it if you can't charge at home.")</f>
        <v>Strongly recommend against buying it if you can't charge at home.</v>
      </c>
      <c r="X444" s="137"/>
      <c r="Y444" s="138"/>
      <c r="Z444" s="138"/>
      <c r="AA444" s="138"/>
      <c r="AB444" s="138"/>
      <c r="AC444" s="139"/>
      <c r="AD444" s="139"/>
      <c r="AE444" s="139"/>
      <c r="AF444" s="140"/>
      <c r="AG444" s="136"/>
      <c r="AH444" s="157">
        <f>IFERROR(__xludf.DUMMYFUNCTION("""COMPUTED_VALUE"""),44426.942563356475)</f>
        <v>44426.94256</v>
      </c>
      <c r="AI444" s="138"/>
      <c r="AJ444" s="138"/>
      <c r="AK444" s="138"/>
      <c r="AL444" s="142"/>
    </row>
    <row r="445" ht="20.25" customHeight="1">
      <c r="A445" s="155" t="str">
        <f>IFERROR(__xludf.DUMMYFUNCTION("""COMPUTED_VALUE"""),"caSimon")</f>
        <v>caSimon</v>
      </c>
      <c r="B445" s="149" t="str">
        <f>IFERROR(__xludf.DUMMYFUNCTION("""COMPUTED_VALUE"""),"Alameda")</f>
        <v>Alameda</v>
      </c>
      <c r="C445" s="149" t="str">
        <f>IFERROR(__xludf.DUMMYFUNCTION("""COMPUTED_VALUE"""),"CA")</f>
        <v>CA</v>
      </c>
      <c r="D445" s="149" t="str">
        <f>IFERROR(__xludf.DUMMYFUNCTION("""COMPUTED_VALUE"""),"USA")</f>
        <v>USA</v>
      </c>
      <c r="E445" s="156">
        <f>IFERROR(__xludf.DUMMYFUNCTION("""COMPUTED_VALUE"""),44386.0)</f>
        <v>44386</v>
      </c>
      <c r="F445" s="129">
        <f>IFERROR(__xludf.DUMMYFUNCTION("""COMPUTED_VALUE"""),44436.0)</f>
        <v>44436</v>
      </c>
      <c r="G445" s="154" t="str">
        <f>IFERROR(__xludf.DUMMYFUNCTION("""COMPUTED_VALUE"""),"Manage order page (normal text)")</f>
        <v>Manage order page (normal text)</v>
      </c>
      <c r="H445" s="131">
        <f>IFERROR(__xludf.DUMMYFUNCTION("""COMPUTED_VALUE"""),539955.0)</f>
        <v>539955</v>
      </c>
      <c r="I445" s="144" t="str">
        <f>IFERROR(__xludf.DUMMYFUNCTION("""COMPUTED_VALUE"""),"08/21")</f>
        <v>08/21</v>
      </c>
      <c r="J445" s="129">
        <f>IFERROR(__xludf.DUMMYFUNCTION("""COMPUTED_VALUE"""),44438.0)</f>
        <v>44438</v>
      </c>
      <c r="K445" s="133">
        <f>IFERROR(__xludf.DUMMYFUNCTION("""COMPUTED_VALUE"""),50.0)</f>
        <v>50</v>
      </c>
      <c r="L445" s="133">
        <f>IFERROR(__xludf.DUMMYFUNCTION("""COMPUTED_VALUE"""),2.0)</f>
        <v>2</v>
      </c>
      <c r="M445" s="133">
        <f>IFERROR(__xludf.DUMMYFUNCTION("""COMPUTED_VALUE"""),52.0)</f>
        <v>52</v>
      </c>
      <c r="N445" s="152" t="str">
        <f>IFERROR(__xludf.DUMMYFUNCTION("""COMPUTED_VALUE"""),"Model 3 LR AWD")</f>
        <v>Model 3 LR AWD</v>
      </c>
      <c r="O445" s="152" t="str">
        <f>IFERROR(__xludf.DUMMYFUNCTION("""COMPUTED_VALUE"""),"Pearl White Multi-Coat")</f>
        <v>Pearl White Multi-Coat</v>
      </c>
      <c r="P445" s="153" t="str">
        <f>IFERROR(__xludf.DUMMYFUNCTION("""COMPUTED_VALUE"""),"18 inch")</f>
        <v>18 inch</v>
      </c>
      <c r="Q445" s="152" t="str">
        <f>IFERROR(__xludf.DUMMYFUNCTION("""COMPUTED_VALUE"""),"Black and White")</f>
        <v>Black and White</v>
      </c>
      <c r="R445" s="149" t="str">
        <f>IFERROR(__xludf.DUMMYFUNCTION("""COMPUTED_VALUE"""),"Full Self-Driving")</f>
        <v>Full Self-Driving</v>
      </c>
      <c r="S445" s="149" t="str">
        <f>IFERROR(__xludf.DUMMYFUNCTION("""COMPUTED_VALUE"""),"Loan")</f>
        <v>Loan</v>
      </c>
      <c r="T445" s="145" t="str">
        <f>IFERROR(__xludf.DUMMYFUNCTION("""COMPUTED_VALUE"""),"Acura ILX")</f>
        <v>Acura ILX</v>
      </c>
      <c r="U445" s="145" t="str">
        <f>IFERROR(__xludf.DUMMYFUNCTION("""COMPUTED_VALUE"""),"Electric!")</f>
        <v>Electric!</v>
      </c>
      <c r="V445" s="145" t="str">
        <f>IFERROR(__xludf.DUMMYFUNCTION("""COMPUTED_VALUE"""),"Head-up display")</f>
        <v>Head-up display</v>
      </c>
      <c r="W445" s="136"/>
      <c r="X445" s="137" t="str">
        <f>IFERROR(__xludf.DUMMYFUNCTION("""COMPUTED_VALUE"""),"Fair")</f>
        <v>Fair</v>
      </c>
      <c r="Y445" s="138" t="str">
        <f>IFERROR(__xludf.DUMMYFUNCTION("""COMPUTED_VALUE"""),"Very Good")</f>
        <v>Very Good</v>
      </c>
      <c r="Z445" s="138" t="str">
        <f>IFERROR(__xludf.DUMMYFUNCTION("""COMPUTED_VALUE"""),"Very Good")</f>
        <v>Very Good</v>
      </c>
      <c r="AA445" s="138" t="str">
        <f>IFERROR(__xludf.DUMMYFUNCTION("""COMPUTED_VALUE"""),"Excellent")</f>
        <v>Excellent</v>
      </c>
      <c r="AB445" s="138" t="str">
        <f>IFERROR(__xludf.DUMMYFUNCTION("""COMPUTED_VALUE"""),"Excellent")</f>
        <v>Excellent</v>
      </c>
      <c r="AC445" s="139"/>
      <c r="AD445" s="139"/>
      <c r="AE445" s="139"/>
      <c r="AF445" s="140" t="str">
        <f>IFERROR(__xludf.DUMMYFUNCTION("""COMPUTED_VALUE"""),"No. I took delivery of the first car Tesla was able to deliver.")</f>
        <v>No. I took delivery of the first car Tesla was able to deliver.</v>
      </c>
      <c r="AG445" s="136"/>
      <c r="AH445" s="157">
        <f>IFERROR(__xludf.DUMMYFUNCTION("""COMPUTED_VALUE"""),44438.981348831025)</f>
        <v>44438.98135</v>
      </c>
      <c r="AI445" s="138"/>
      <c r="AJ445" s="138"/>
      <c r="AK445" s="138"/>
      <c r="AL445" s="142"/>
    </row>
    <row r="446" ht="20.25" customHeight="1">
      <c r="A446" s="155" t="str">
        <f>IFERROR(__xludf.DUMMYFUNCTION("""COMPUTED_VALUE"""),"DB")</f>
        <v>DB</v>
      </c>
      <c r="B446" s="149" t="str">
        <f>IFERROR(__xludf.DUMMYFUNCTION("""COMPUTED_VALUE"""),"Manchester")</f>
        <v>Manchester</v>
      </c>
      <c r="C446" s="149"/>
      <c r="D446" s="149" t="str">
        <f>IFERROR(__xludf.DUMMYFUNCTION("""COMPUTED_VALUE"""),"United Kingdom")</f>
        <v>United Kingdom</v>
      </c>
      <c r="E446" s="156">
        <f>IFERROR(__xludf.DUMMYFUNCTION("""COMPUTED_VALUE"""),44386.0)</f>
        <v>44386</v>
      </c>
      <c r="F446" s="129">
        <f>IFERROR(__xludf.DUMMYFUNCTION("""COMPUTED_VALUE"""),44431.0)</f>
        <v>44431</v>
      </c>
      <c r="G446" s="154" t="str">
        <f>IFERROR(__xludf.DUMMYFUNCTION("""COMPUTED_VALUE"""),"Text message")</f>
        <v>Text message</v>
      </c>
      <c r="H446" s="131"/>
      <c r="I446" s="132"/>
      <c r="J446" s="129">
        <f>IFERROR(__xludf.DUMMYFUNCTION("""COMPUTED_VALUE"""),44463.0)</f>
        <v>44463</v>
      </c>
      <c r="K446" s="133">
        <f>IFERROR(__xludf.DUMMYFUNCTION("""COMPUTED_VALUE"""),45.0)</f>
        <v>45</v>
      </c>
      <c r="L446" s="133">
        <f>IFERROR(__xludf.DUMMYFUNCTION("""COMPUTED_VALUE"""),32.0)</f>
        <v>32</v>
      </c>
      <c r="M446" s="133">
        <f>IFERROR(__xludf.DUMMYFUNCTION("""COMPUTED_VALUE"""),77.0)</f>
        <v>77</v>
      </c>
      <c r="N446" s="152" t="str">
        <f>IFERROR(__xludf.DUMMYFUNCTION("""COMPUTED_VALUE"""),"Model 3 LR AWD")</f>
        <v>Model 3 LR AWD</v>
      </c>
      <c r="O446" s="152" t="str">
        <f>IFERROR(__xludf.DUMMYFUNCTION("""COMPUTED_VALUE"""),"Midnight Silver Metallic")</f>
        <v>Midnight Silver Metallic</v>
      </c>
      <c r="P446" s="153" t="str">
        <f>IFERROR(__xludf.DUMMYFUNCTION("""COMPUTED_VALUE"""),"18 inch")</f>
        <v>18 inch</v>
      </c>
      <c r="Q446" s="152" t="str">
        <f>IFERROR(__xludf.DUMMYFUNCTION("""COMPUTED_VALUE"""),"All Black")</f>
        <v>All Black</v>
      </c>
      <c r="R446" s="150" t="str">
        <f>IFERROR(__xludf.DUMMYFUNCTION("""COMPUTED_VALUE"""),"Autopilot included")</f>
        <v>Autopilot included</v>
      </c>
      <c r="S446" s="150" t="str">
        <f>IFERROR(__xludf.DUMMYFUNCTION("""COMPUTED_VALUE"""),"Lease")</f>
        <v>Lease</v>
      </c>
      <c r="T446" s="136"/>
      <c r="U446" s="136" t="str">
        <f>IFERROR(__xludf.DUMMYFUNCTION("""COMPUTED_VALUE"""),"Supercharger V3 support")</f>
        <v>Supercharger V3 support</v>
      </c>
      <c r="V446" s="136" t="str">
        <f>IFERROR(__xludf.DUMMYFUNCTION("""COMPUTED_VALUE"""),"Apple CarPlay / Android Auto / SiriusXM Radio")</f>
        <v>Apple CarPlay / Android Auto / SiriusXM Radio</v>
      </c>
      <c r="W446" s="136"/>
      <c r="X446" s="137"/>
      <c r="Y446" s="138"/>
      <c r="Z446" s="138"/>
      <c r="AA446" s="138"/>
      <c r="AB446" s="138"/>
      <c r="AC446" s="139"/>
      <c r="AD446" s="139"/>
      <c r="AE446" s="139"/>
      <c r="AF446" s="140"/>
      <c r="AG446" s="136"/>
      <c r="AH446" s="157">
        <f>IFERROR(__xludf.DUMMYFUNCTION("""COMPUTED_VALUE"""),44432.4006924537)</f>
        <v>44432.40069</v>
      </c>
      <c r="AI446" s="138"/>
      <c r="AJ446" s="138"/>
      <c r="AK446" s="138"/>
      <c r="AL446" s="142"/>
    </row>
    <row r="447" ht="20.25" customHeight="1">
      <c r="A447" s="155" t="str">
        <f>IFERROR(__xludf.DUMMYFUNCTION("""COMPUTED_VALUE"""),"dpalm85")</f>
        <v>dpalm85</v>
      </c>
      <c r="B447" s="159" t="str">
        <f>IFERROR(__xludf.DUMMYFUNCTION("""COMPUTED_VALUE"""),"Grosse Pointe Park")</f>
        <v>Grosse Pointe Park</v>
      </c>
      <c r="C447" s="159" t="str">
        <f>IFERROR(__xludf.DUMMYFUNCTION("""COMPUTED_VALUE"""),"MI")</f>
        <v>MI</v>
      </c>
      <c r="D447" s="159" t="str">
        <f>IFERROR(__xludf.DUMMYFUNCTION("""COMPUTED_VALUE"""),"USA")</f>
        <v>USA</v>
      </c>
      <c r="E447" s="156">
        <f>IFERROR(__xludf.DUMMYFUNCTION("""COMPUTED_VALUE"""),44386.0)</f>
        <v>44386</v>
      </c>
      <c r="F447" s="129">
        <f>IFERROR(__xludf.DUMMYFUNCTION("""COMPUTED_VALUE"""),44428.0)</f>
        <v>44428</v>
      </c>
      <c r="G447" s="154" t="str">
        <f>IFERROR(__xludf.DUMMYFUNCTION("""COMPUTED_VALUE"""),"MVPA")</f>
        <v>MVPA</v>
      </c>
      <c r="H447" s="131">
        <f>IFERROR(__xludf.DUMMYFUNCTION("""COMPUTED_VALUE"""),46863.0)</f>
        <v>46863</v>
      </c>
      <c r="I447" s="160"/>
      <c r="J447" s="129"/>
      <c r="K447" s="133">
        <f>IFERROR(__xludf.DUMMYFUNCTION("""COMPUTED_VALUE"""),42.0)</f>
        <v>42</v>
      </c>
      <c r="L447" s="133"/>
      <c r="M447" s="133"/>
      <c r="N447" s="152" t="str">
        <f>IFERROR(__xludf.DUMMYFUNCTION("""COMPUTED_VALUE"""),"Model 3 LR AWD")</f>
        <v>Model 3 LR AWD</v>
      </c>
      <c r="O447" s="152" t="str">
        <f>IFERROR(__xludf.DUMMYFUNCTION("""COMPUTED_VALUE"""),"Red Multi-Coat")</f>
        <v>Red Multi-Coat</v>
      </c>
      <c r="P447" s="153" t="str">
        <f>IFERROR(__xludf.DUMMYFUNCTION("""COMPUTED_VALUE"""),"18 inch")</f>
        <v>18 inch</v>
      </c>
      <c r="Q447" s="152" t="str">
        <f>IFERROR(__xludf.DUMMYFUNCTION("""COMPUTED_VALUE"""),"Black and White")</f>
        <v>Black and White</v>
      </c>
      <c r="R447" s="159" t="str">
        <f>IFERROR(__xludf.DUMMYFUNCTION("""COMPUTED_VALUE"""),"Autopilot included")</f>
        <v>Autopilot included</v>
      </c>
      <c r="S447" s="159" t="str">
        <f>IFERROR(__xludf.DUMMYFUNCTION("""COMPUTED_VALUE"""),"Cash")</f>
        <v>Cash</v>
      </c>
      <c r="T447" s="161"/>
      <c r="U447" s="161" t="str">
        <f>IFERROR(__xludf.DUMMYFUNCTION("""COMPUTED_VALUE"""),"Electric!")</f>
        <v>Electric!</v>
      </c>
      <c r="V447" s="161" t="str">
        <f>IFERROR(__xludf.DUMMYFUNCTION("""COMPUTED_VALUE"""),"Head-up display")</f>
        <v>Head-up display</v>
      </c>
      <c r="W447" s="161"/>
      <c r="X447" s="137"/>
      <c r="Y447" s="138"/>
      <c r="Z447" s="138"/>
      <c r="AA447" s="138"/>
      <c r="AB447" s="138"/>
      <c r="AC447" s="139"/>
      <c r="AD447" s="139"/>
      <c r="AE447" s="139"/>
      <c r="AF447" s="140"/>
      <c r="AG447" s="161"/>
      <c r="AH447" s="157">
        <f>IFERROR(__xludf.DUMMYFUNCTION("""COMPUTED_VALUE"""),44428.570244675924)</f>
        <v>44428.57024</v>
      </c>
      <c r="AI447" s="138"/>
      <c r="AJ447" s="138"/>
      <c r="AK447" s="138"/>
      <c r="AL447" s="142"/>
    </row>
    <row r="448" ht="20.25" customHeight="1">
      <c r="A448" s="155" t="str">
        <f>IFERROR(__xludf.DUMMYFUNCTION("""COMPUTED_VALUE"""),"Havek")</f>
        <v>Havek</v>
      </c>
      <c r="B448" s="149" t="str">
        <f>IFERROR(__xludf.DUMMYFUNCTION("""COMPUTED_VALUE"""),"Miami")</f>
        <v>Miami</v>
      </c>
      <c r="C448" s="149" t="str">
        <f>IFERROR(__xludf.DUMMYFUNCTION("""COMPUTED_VALUE"""),"FL")</f>
        <v>FL</v>
      </c>
      <c r="D448" s="149" t="str">
        <f>IFERROR(__xludf.DUMMYFUNCTION("""COMPUTED_VALUE"""),"USA")</f>
        <v>USA</v>
      </c>
      <c r="E448" s="156">
        <f>IFERROR(__xludf.DUMMYFUNCTION("""COMPUTED_VALUE"""),44386.0)</f>
        <v>44386</v>
      </c>
      <c r="F448" s="129">
        <f>IFERROR(__xludf.DUMMYFUNCTION("""COMPUTED_VALUE"""),44433.0)</f>
        <v>44433</v>
      </c>
      <c r="G448" s="154" t="str">
        <f>IFERROR(__xludf.DUMMYFUNCTION("""COMPUTED_VALUE"""),"Email")</f>
        <v>Email</v>
      </c>
      <c r="H448" s="131"/>
      <c r="I448" s="144"/>
      <c r="J448" s="129">
        <f>IFERROR(__xludf.DUMMYFUNCTION("""COMPUTED_VALUE"""),44441.0)</f>
        <v>44441</v>
      </c>
      <c r="K448" s="133">
        <f>IFERROR(__xludf.DUMMYFUNCTION("""COMPUTED_VALUE"""),47.0)</f>
        <v>47</v>
      </c>
      <c r="L448" s="133">
        <f>IFERROR(__xludf.DUMMYFUNCTION("""COMPUTED_VALUE"""),8.0)</f>
        <v>8</v>
      </c>
      <c r="M448" s="133">
        <f>IFERROR(__xludf.DUMMYFUNCTION("""COMPUTED_VALUE"""),55.0)</f>
        <v>55</v>
      </c>
      <c r="N448" s="152" t="str">
        <f>IFERROR(__xludf.DUMMYFUNCTION("""COMPUTED_VALUE"""),"Model 3 SR+")</f>
        <v>Model 3 SR+</v>
      </c>
      <c r="O448" s="152" t="str">
        <f>IFERROR(__xludf.DUMMYFUNCTION("""COMPUTED_VALUE"""),"Pearl White Multi-Coat")</f>
        <v>Pearl White Multi-Coat</v>
      </c>
      <c r="P448" s="153" t="str">
        <f>IFERROR(__xludf.DUMMYFUNCTION("""COMPUTED_VALUE"""),"18 inch")</f>
        <v>18 inch</v>
      </c>
      <c r="Q448" s="152" t="str">
        <f>IFERROR(__xludf.DUMMYFUNCTION("""COMPUTED_VALUE"""),"All Black")</f>
        <v>All Black</v>
      </c>
      <c r="R448" s="149" t="str">
        <f>IFERROR(__xludf.DUMMYFUNCTION("""COMPUTED_VALUE"""),"Autopilot included")</f>
        <v>Autopilot included</v>
      </c>
      <c r="S448" s="149" t="str">
        <f>IFERROR(__xludf.DUMMYFUNCTION("""COMPUTED_VALUE"""),"Lease")</f>
        <v>Lease</v>
      </c>
      <c r="T448" s="145" t="str">
        <f>IFERROR(__xludf.DUMMYFUNCTION("""COMPUTED_VALUE"""),"Hyundai")</f>
        <v>Hyundai</v>
      </c>
      <c r="U448" s="145" t="str">
        <f>IFERROR(__xludf.DUMMYFUNCTION("""COMPUTED_VALUE"""),"Electric!")</f>
        <v>Electric!</v>
      </c>
      <c r="V448" s="145" t="str">
        <f>IFERROR(__xludf.DUMMYFUNCTION("""COMPUTED_VALUE"""),"Ventilated seats")</f>
        <v>Ventilated seats</v>
      </c>
      <c r="W448" s="145" t="str">
        <f>IFERROR(__xludf.DUMMYFUNCTION("""COMPUTED_VALUE"""),"Nema-14-50 ")</f>
        <v>Nema-14-50 </v>
      </c>
      <c r="X448" s="137"/>
      <c r="Y448" s="138"/>
      <c r="Z448" s="138"/>
      <c r="AA448" s="138"/>
      <c r="AB448" s="138"/>
      <c r="AC448" s="139"/>
      <c r="AD448" s="139"/>
      <c r="AE448" s="139"/>
      <c r="AF448" s="140"/>
      <c r="AG448" s="145"/>
      <c r="AH448" s="157">
        <f>IFERROR(__xludf.DUMMYFUNCTION("""COMPUTED_VALUE"""),44437.414853275455)</f>
        <v>44437.41485</v>
      </c>
      <c r="AI448" s="138"/>
      <c r="AJ448" s="138"/>
      <c r="AK448" s="138"/>
      <c r="AL448" s="142"/>
    </row>
    <row r="449" ht="20.25" customHeight="1">
      <c r="A449" s="155" t="str">
        <f>IFERROR(__xludf.DUMMYFUNCTION("""COMPUTED_VALUE"""),"jayg")</f>
        <v>jayg</v>
      </c>
      <c r="B449" s="149" t="str">
        <f>IFERROR(__xludf.DUMMYFUNCTION("""COMPUTED_VALUE"""),"San Diego")</f>
        <v>San Diego</v>
      </c>
      <c r="C449" s="149" t="str">
        <f>IFERROR(__xludf.DUMMYFUNCTION("""COMPUTED_VALUE"""),"CA")</f>
        <v>CA</v>
      </c>
      <c r="D449" s="149" t="str">
        <f>IFERROR(__xludf.DUMMYFUNCTION("""COMPUTED_VALUE"""),"USA")</f>
        <v>USA</v>
      </c>
      <c r="E449" s="156">
        <f>IFERROR(__xludf.DUMMYFUNCTION("""COMPUTED_VALUE"""),44386.0)</f>
        <v>44386</v>
      </c>
      <c r="F449" s="129">
        <f>IFERROR(__xludf.DUMMYFUNCTION("""COMPUTED_VALUE"""),44441.0)</f>
        <v>44441</v>
      </c>
      <c r="G449" s="154" t="str">
        <f>IFERROR(__xludf.DUMMYFUNCTION("""COMPUTED_VALUE"""),"Manage order page (normal text)")</f>
        <v>Manage order page (normal text)</v>
      </c>
      <c r="H449" s="131">
        <f>IFERROR(__xludf.DUMMYFUNCTION("""COMPUTED_VALUE"""),56655.0)</f>
        <v>56655</v>
      </c>
      <c r="I449" s="144" t="str">
        <f>IFERROR(__xludf.DUMMYFUNCTION("""COMPUTED_VALUE"""),"09/21")</f>
        <v>09/21</v>
      </c>
      <c r="J449" s="129">
        <f>IFERROR(__xludf.DUMMYFUNCTION("""COMPUTED_VALUE"""),44445.0)</f>
        <v>44445</v>
      </c>
      <c r="K449" s="133">
        <f>IFERROR(__xludf.DUMMYFUNCTION("""COMPUTED_VALUE"""),55.0)</f>
        <v>55</v>
      </c>
      <c r="L449" s="133">
        <f>IFERROR(__xludf.DUMMYFUNCTION("""COMPUTED_VALUE"""),4.0)</f>
        <v>4</v>
      </c>
      <c r="M449" s="133">
        <f>IFERROR(__xludf.DUMMYFUNCTION("""COMPUTED_VALUE"""),59.0)</f>
        <v>59</v>
      </c>
      <c r="N449" s="152" t="str">
        <f>IFERROR(__xludf.DUMMYFUNCTION("""COMPUTED_VALUE"""),"Model 3 LR AWD")</f>
        <v>Model 3 LR AWD</v>
      </c>
      <c r="O449" s="152" t="str">
        <f>IFERROR(__xludf.DUMMYFUNCTION("""COMPUTED_VALUE"""),"Midnight Silver Metallic")</f>
        <v>Midnight Silver Metallic</v>
      </c>
      <c r="P449" s="153" t="str">
        <f>IFERROR(__xludf.DUMMYFUNCTION("""COMPUTED_VALUE"""),"18 inch")</f>
        <v>18 inch</v>
      </c>
      <c r="Q449" s="152" t="str">
        <f>IFERROR(__xludf.DUMMYFUNCTION("""COMPUTED_VALUE"""),"All Black")</f>
        <v>All Black</v>
      </c>
      <c r="R449" s="149" t="str">
        <f>IFERROR(__xludf.DUMMYFUNCTION("""COMPUTED_VALUE"""),"Full Self-Driving")</f>
        <v>Full Self-Driving</v>
      </c>
      <c r="S449" s="149"/>
      <c r="T449" s="145" t="str">
        <f>IFERROR(__xludf.DUMMYFUNCTION("""COMPUTED_VALUE"""),"Toyota Prius")</f>
        <v>Toyota Prius</v>
      </c>
      <c r="U449" s="145" t="str">
        <f>IFERROR(__xludf.DUMMYFUNCTION("""COMPUTED_VALUE"""),"Electric!")</f>
        <v>Electric!</v>
      </c>
      <c r="V449" s="145" t="str">
        <f>IFERROR(__xludf.DUMMYFUNCTION("""COMPUTED_VALUE"""),"360° Bird's eye view")</f>
        <v>360° Bird's eye view</v>
      </c>
      <c r="W449" s="136"/>
      <c r="X449" s="137" t="str">
        <f>IFERROR(__xludf.DUMMYFUNCTION("""COMPUTED_VALUE"""),"Very Good")</f>
        <v>Very Good</v>
      </c>
      <c r="Y449" s="138" t="str">
        <f>IFERROR(__xludf.DUMMYFUNCTION("""COMPUTED_VALUE"""),"Excellent")</f>
        <v>Excellent</v>
      </c>
      <c r="Z449" s="138" t="str">
        <f>IFERROR(__xludf.DUMMYFUNCTION("""COMPUTED_VALUE"""),"Excellent")</f>
        <v>Excellent</v>
      </c>
      <c r="AA449" s="138" t="str">
        <f>IFERROR(__xludf.DUMMYFUNCTION("""COMPUTED_VALUE"""),"Excellent")</f>
        <v>Excellent</v>
      </c>
      <c r="AB449" s="138" t="str">
        <f>IFERROR(__xludf.DUMMYFUNCTION("""COMPUTED_VALUE"""),"Excellent")</f>
        <v>Excellent</v>
      </c>
      <c r="AC449" s="139">
        <f>IFERROR(__xludf.DUMMYFUNCTION("""COMPUTED_VALUE"""),1.0)</f>
        <v>1</v>
      </c>
      <c r="AD449" s="139">
        <f>IFERROR(__xludf.DUMMYFUNCTION("""COMPUTED_VALUE"""),1.0)</f>
        <v>1</v>
      </c>
      <c r="AE449" s="139">
        <f>IFERROR(__xludf.DUMMYFUNCTION("""COMPUTED_VALUE"""),0.0)</f>
        <v>0</v>
      </c>
      <c r="AF449" s="140" t="str">
        <f>IFERROR(__xludf.DUMMYFUNCTION("""COMPUTED_VALUE"""),"No. I took delivery of the first car Tesla was able to deliver.")</f>
        <v>No. I took delivery of the first car Tesla was able to deliver.</v>
      </c>
      <c r="AG449" s="136"/>
      <c r="AH449" s="157">
        <f>IFERROR(__xludf.DUMMYFUNCTION("""COMPUTED_VALUE"""),44446.59606513889)</f>
        <v>44446.59607</v>
      </c>
      <c r="AI449" s="138"/>
      <c r="AJ449" s="138"/>
      <c r="AK449" s="138"/>
      <c r="AL449" s="142"/>
    </row>
    <row r="450" ht="20.25" customHeight="1">
      <c r="A450" s="155" t="str">
        <f>IFERROR(__xludf.DUMMYFUNCTION("""COMPUTED_VALUE"""),"jmasterfunk")</f>
        <v>jmasterfunk</v>
      </c>
      <c r="B450" s="149" t="str">
        <f>IFERROR(__xludf.DUMMYFUNCTION("""COMPUTED_VALUE"""),"Saskatoon")</f>
        <v>Saskatoon</v>
      </c>
      <c r="C450" s="149" t="str">
        <f>IFERROR(__xludf.DUMMYFUNCTION("""COMPUTED_VALUE"""),"SK")</f>
        <v>SK</v>
      </c>
      <c r="D450" s="149" t="str">
        <f>IFERROR(__xludf.DUMMYFUNCTION("""COMPUTED_VALUE"""),"Canada")</f>
        <v>Canada</v>
      </c>
      <c r="E450" s="156">
        <f>IFERROR(__xludf.DUMMYFUNCTION("""COMPUTED_VALUE"""),44386.0)</f>
        <v>44386</v>
      </c>
      <c r="F450" s="129">
        <f>IFERROR(__xludf.DUMMYFUNCTION("""COMPUTED_VALUE"""),44419.0)</f>
        <v>44419</v>
      </c>
      <c r="G450" s="154" t="str">
        <f>IFERROR(__xludf.DUMMYFUNCTION("""COMPUTED_VALUE"""),"Source code")</f>
        <v>Source code</v>
      </c>
      <c r="H450" s="131">
        <f>IFERROR(__xludf.DUMMYFUNCTION("""COMPUTED_VALUE"""),13440.0)</f>
        <v>13440</v>
      </c>
      <c r="I450" s="132" t="str">
        <f>IFERROR(__xludf.DUMMYFUNCTION("""COMPUTED_VALUE"""),"07/21")</f>
        <v>07/21</v>
      </c>
      <c r="J450" s="129">
        <f>IFERROR(__xludf.DUMMYFUNCTION("""COMPUTED_VALUE"""),44466.0)</f>
        <v>44466</v>
      </c>
      <c r="K450" s="133">
        <f>IFERROR(__xludf.DUMMYFUNCTION("""COMPUTED_VALUE"""),33.0)</f>
        <v>33</v>
      </c>
      <c r="L450" s="133">
        <f>IFERROR(__xludf.DUMMYFUNCTION("""COMPUTED_VALUE"""),47.0)</f>
        <v>47</v>
      </c>
      <c r="M450" s="133">
        <f>IFERROR(__xludf.DUMMYFUNCTION("""COMPUTED_VALUE"""),80.0)</f>
        <v>80</v>
      </c>
      <c r="N450" s="152" t="str">
        <f>IFERROR(__xludf.DUMMYFUNCTION("""COMPUTED_VALUE"""),"Model 3 SR+")</f>
        <v>Model 3 SR+</v>
      </c>
      <c r="O450" s="152" t="str">
        <f>IFERROR(__xludf.DUMMYFUNCTION("""COMPUTED_VALUE"""),"Solid Black")</f>
        <v>Solid Black</v>
      </c>
      <c r="P450" s="153" t="str">
        <f>IFERROR(__xludf.DUMMYFUNCTION("""COMPUTED_VALUE"""),"18 inch")</f>
        <v>18 inch</v>
      </c>
      <c r="Q450" s="152" t="str">
        <f>IFERROR(__xludf.DUMMYFUNCTION("""COMPUTED_VALUE"""),"All Black")</f>
        <v>All Black</v>
      </c>
      <c r="R450" s="150" t="str">
        <f>IFERROR(__xludf.DUMMYFUNCTION("""COMPUTED_VALUE"""),"Autopilot included")</f>
        <v>Autopilot included</v>
      </c>
      <c r="S450" s="150" t="str">
        <f>IFERROR(__xludf.DUMMYFUNCTION("""COMPUTED_VALUE"""),"Loan")</f>
        <v>Loan</v>
      </c>
      <c r="T450" s="136" t="str">
        <f>IFERROR(__xludf.DUMMYFUNCTION("""COMPUTED_VALUE"""),"Nissan Leaf")</f>
        <v>Nissan Leaf</v>
      </c>
      <c r="U450" s="136" t="str">
        <f>IFERROR(__xludf.DUMMYFUNCTION("""COMPUTED_VALUE"""),"Supercharger V3 support")</f>
        <v>Supercharger V3 support</v>
      </c>
      <c r="V450" s="136" t="str">
        <f>IFERROR(__xludf.DUMMYFUNCTION("""COMPUTED_VALUE"""),"Apple CarPlay / Android Auto / SiriusXM Radio")</f>
        <v>Apple CarPlay / Android Auto / SiriusXM Radio</v>
      </c>
      <c r="W450" s="136"/>
      <c r="X450" s="137" t="str">
        <f>IFERROR(__xludf.DUMMYFUNCTION("""COMPUTED_VALUE"""),"Excellent")</f>
        <v>Excellent</v>
      </c>
      <c r="Y450" s="138" t="str">
        <f>IFERROR(__xludf.DUMMYFUNCTION("""COMPUTED_VALUE"""),"Excellent")</f>
        <v>Excellent</v>
      </c>
      <c r="Z450" s="138" t="str">
        <f>IFERROR(__xludf.DUMMYFUNCTION("""COMPUTED_VALUE"""),"Excellent")</f>
        <v>Excellent</v>
      </c>
      <c r="AA450" s="138" t="str">
        <f>IFERROR(__xludf.DUMMYFUNCTION("""COMPUTED_VALUE"""),"Excellent")</f>
        <v>Excellent</v>
      </c>
      <c r="AB450" s="138" t="str">
        <f>IFERROR(__xludf.DUMMYFUNCTION("""COMPUTED_VALUE"""),"Excellent")</f>
        <v>Excellent</v>
      </c>
      <c r="AC450" s="139"/>
      <c r="AD450" s="139"/>
      <c r="AE450" s="139"/>
      <c r="AF450" s="140" t="str">
        <f>IFERROR(__xludf.DUMMYFUNCTION("""COMPUTED_VALUE"""),"No. I took delivery of the first car Tesla was able to deliver.")</f>
        <v>No. I took delivery of the first car Tesla was able to deliver.</v>
      </c>
      <c r="AG450" s="136" t="str">
        <f>IFERROR(__xludf.DUMMYFUNCTION("""COMPUTED_VALUE"""),"SA called with vehicle available sooner, changed from MSM to Black.")</f>
        <v>SA called with vehicle available sooner, changed from MSM to Black.</v>
      </c>
      <c r="AH450" s="157">
        <f>IFERROR(__xludf.DUMMYFUNCTION("""COMPUTED_VALUE"""),44435.73859325231)</f>
        <v>44435.73859</v>
      </c>
      <c r="AI450" s="138"/>
      <c r="AJ450" s="138"/>
      <c r="AK450" s="138"/>
      <c r="AL450" s="142"/>
    </row>
    <row r="451" ht="20.25" customHeight="1">
      <c r="A451" s="155" t="str">
        <f>IFERROR(__xludf.DUMMYFUNCTION("""COMPUTED_VALUE"""),"Jz")</f>
        <v>Jz</v>
      </c>
      <c r="B451" s="149" t="str">
        <f>IFERROR(__xludf.DUMMYFUNCTION("""COMPUTED_VALUE"""),"Princeton")</f>
        <v>Princeton</v>
      </c>
      <c r="C451" s="149" t="str">
        <f>IFERROR(__xludf.DUMMYFUNCTION("""COMPUTED_VALUE"""),"NJ")</f>
        <v>NJ</v>
      </c>
      <c r="D451" s="149" t="str">
        <f>IFERROR(__xludf.DUMMYFUNCTION("""COMPUTED_VALUE"""),"USA")</f>
        <v>USA</v>
      </c>
      <c r="E451" s="156">
        <f>IFERROR(__xludf.DUMMYFUNCTION("""COMPUTED_VALUE"""),44386.0)</f>
        <v>44386</v>
      </c>
      <c r="F451" s="129">
        <f>IFERROR(__xludf.DUMMYFUNCTION("""COMPUTED_VALUE"""),44435.0)</f>
        <v>44435</v>
      </c>
      <c r="G451" s="154" t="str">
        <f>IFERROR(__xludf.DUMMYFUNCTION("""COMPUTED_VALUE"""),"Original EDD and VIN delay. Then decided to get a inventory car...")</f>
        <v>Original EDD and VIN delay. Then decided to get a inventory car...</v>
      </c>
      <c r="H451" s="131"/>
      <c r="I451" s="132"/>
      <c r="J451" s="129"/>
      <c r="K451" s="133">
        <f>IFERROR(__xludf.DUMMYFUNCTION("""COMPUTED_VALUE"""),49.0)</f>
        <v>49</v>
      </c>
      <c r="L451" s="133"/>
      <c r="M451" s="133"/>
      <c r="N451" s="152" t="str">
        <f>IFERROR(__xludf.DUMMYFUNCTION("""COMPUTED_VALUE"""),"Model 3 SR+")</f>
        <v>Model 3 SR+</v>
      </c>
      <c r="O451" s="152" t="str">
        <f>IFERROR(__xludf.DUMMYFUNCTION("""COMPUTED_VALUE"""),"Pearl White Multi-Coat")</f>
        <v>Pearl White Multi-Coat</v>
      </c>
      <c r="P451" s="153" t="str">
        <f>IFERROR(__xludf.DUMMYFUNCTION("""COMPUTED_VALUE"""),"18 inch")</f>
        <v>18 inch</v>
      </c>
      <c r="Q451" s="152" t="str">
        <f>IFERROR(__xludf.DUMMYFUNCTION("""COMPUTED_VALUE"""),"All Black")</f>
        <v>All Black</v>
      </c>
      <c r="R451" s="150" t="str">
        <f>IFERROR(__xludf.DUMMYFUNCTION("""COMPUTED_VALUE"""),"Autopilot included")</f>
        <v>Autopilot included</v>
      </c>
      <c r="S451" s="150"/>
      <c r="T451" s="136" t="str">
        <f>IFERROR(__xludf.DUMMYFUNCTION("""COMPUTED_VALUE"""),"Toyota Prius")</f>
        <v>Toyota Prius</v>
      </c>
      <c r="U451" s="136" t="str">
        <f>IFERROR(__xludf.DUMMYFUNCTION("""COMPUTED_VALUE"""),"Supercharger V3 support")</f>
        <v>Supercharger V3 support</v>
      </c>
      <c r="V451" s="136" t="str">
        <f>IFERROR(__xludf.DUMMYFUNCTION("""COMPUTED_VALUE"""),"Bioweapon defense mode")</f>
        <v>Bioweapon defense mode</v>
      </c>
      <c r="W451" s="136"/>
      <c r="X451" s="137"/>
      <c r="Y451" s="138"/>
      <c r="Z451" s="138"/>
      <c r="AA451" s="138"/>
      <c r="AB451" s="138"/>
      <c r="AC451" s="139"/>
      <c r="AD451" s="139"/>
      <c r="AE451" s="139"/>
      <c r="AF451" s="140"/>
      <c r="AG451" s="136"/>
      <c r="AH451" s="157">
        <f>IFERROR(__xludf.DUMMYFUNCTION("""COMPUTED_VALUE"""),44436.93979653935)</f>
        <v>44436.9398</v>
      </c>
      <c r="AI451" s="138"/>
      <c r="AJ451" s="138"/>
      <c r="AK451" s="138"/>
      <c r="AL451" s="142"/>
    </row>
    <row r="452" ht="20.25" customHeight="1">
      <c r="A452" s="155" t="str">
        <f>IFERROR(__xludf.DUMMYFUNCTION("""COMPUTED_VALUE"""),"mattdman")</f>
        <v>mattdman</v>
      </c>
      <c r="B452" s="149"/>
      <c r="C452" s="149" t="str">
        <f>IFERROR(__xludf.DUMMYFUNCTION("""COMPUTED_VALUE"""),"NJ")</f>
        <v>NJ</v>
      </c>
      <c r="D452" s="149" t="str">
        <f>IFERROR(__xludf.DUMMYFUNCTION("""COMPUTED_VALUE"""),"USA")</f>
        <v>USA</v>
      </c>
      <c r="E452" s="156">
        <f>IFERROR(__xludf.DUMMYFUNCTION("""COMPUTED_VALUE"""),44386.0)</f>
        <v>44386</v>
      </c>
      <c r="F452" s="129">
        <f>IFERROR(__xludf.DUMMYFUNCTION("""COMPUTED_VALUE"""),44444.0)</f>
        <v>44444</v>
      </c>
      <c r="G452" s="154" t="str">
        <f>IFERROR(__xludf.DUMMYFUNCTION("""COMPUTED_VALUE"""),"Manage order page (normal text)")</f>
        <v>Manage order page (normal text)</v>
      </c>
      <c r="H452" s="131"/>
      <c r="I452" s="144"/>
      <c r="J452" s="129">
        <f>IFERROR(__xludf.DUMMYFUNCTION("""COMPUTED_VALUE"""),44459.0)</f>
        <v>44459</v>
      </c>
      <c r="K452" s="133">
        <f>IFERROR(__xludf.DUMMYFUNCTION("""COMPUTED_VALUE"""),58.0)</f>
        <v>58</v>
      </c>
      <c r="L452" s="133">
        <f>IFERROR(__xludf.DUMMYFUNCTION("""COMPUTED_VALUE"""),15.0)</f>
        <v>15</v>
      </c>
      <c r="M452" s="133">
        <f>IFERROR(__xludf.DUMMYFUNCTION("""COMPUTED_VALUE"""),73.0)</f>
        <v>73</v>
      </c>
      <c r="N452" s="152" t="str">
        <f>IFERROR(__xludf.DUMMYFUNCTION("""COMPUTED_VALUE"""),"Model 3 SR+")</f>
        <v>Model 3 SR+</v>
      </c>
      <c r="O452" s="152" t="str">
        <f>IFERROR(__xludf.DUMMYFUNCTION("""COMPUTED_VALUE"""),"Midnight Silver Metallic")</f>
        <v>Midnight Silver Metallic</v>
      </c>
      <c r="P452" s="153" t="str">
        <f>IFERROR(__xludf.DUMMYFUNCTION("""COMPUTED_VALUE"""),"18 inch")</f>
        <v>18 inch</v>
      </c>
      <c r="Q452" s="152" t="str">
        <f>IFERROR(__xludf.DUMMYFUNCTION("""COMPUTED_VALUE"""),"All Black")</f>
        <v>All Black</v>
      </c>
      <c r="R452" s="149" t="str">
        <f>IFERROR(__xludf.DUMMYFUNCTION("""COMPUTED_VALUE"""),"Autopilot included")</f>
        <v>Autopilot included</v>
      </c>
      <c r="S452" s="149" t="str">
        <f>IFERROR(__xludf.DUMMYFUNCTION("""COMPUTED_VALUE"""),"Loan")</f>
        <v>Loan</v>
      </c>
      <c r="T452" s="145"/>
      <c r="U452" s="145" t="str">
        <f>IFERROR(__xludf.DUMMYFUNCTION("""COMPUTED_VALUE"""),"Electric!")</f>
        <v>Electric!</v>
      </c>
      <c r="V452" s="145" t="str">
        <f>IFERROR(__xludf.DUMMYFUNCTION("""COMPUTED_VALUE"""),"Apple CarPlay / Android Auto / SiriusXM Radio")</f>
        <v>Apple CarPlay / Android Auto / SiriusXM Radio</v>
      </c>
      <c r="W452" s="136"/>
      <c r="X452" s="137"/>
      <c r="Y452" s="138"/>
      <c r="Z452" s="138"/>
      <c r="AA452" s="138"/>
      <c r="AB452" s="138"/>
      <c r="AC452" s="139"/>
      <c r="AD452" s="139"/>
      <c r="AE452" s="139"/>
      <c r="AF452" s="140"/>
      <c r="AG452" s="136"/>
      <c r="AH452" s="157">
        <f>IFERROR(__xludf.DUMMYFUNCTION("""COMPUTED_VALUE"""),44448.46576425926)</f>
        <v>44448.46576</v>
      </c>
      <c r="AI452" s="138"/>
      <c r="AJ452" s="138"/>
      <c r="AK452" s="138"/>
      <c r="AL452" s="142"/>
    </row>
    <row r="453" ht="20.25" customHeight="1">
      <c r="A453" s="155" t="str">
        <f>IFERROR(__xludf.DUMMYFUNCTION("""COMPUTED_VALUE"""),"vicksskciv")</f>
        <v>vicksskciv</v>
      </c>
      <c r="B453" s="149" t="str">
        <f>IFERROR(__xludf.DUMMYFUNCTION("""COMPUTED_VALUE"""),"Los Angeles")</f>
        <v>Los Angeles</v>
      </c>
      <c r="C453" s="149" t="str">
        <f>IFERROR(__xludf.DUMMYFUNCTION("""COMPUTED_VALUE"""),"CA")</f>
        <v>CA</v>
      </c>
      <c r="D453" s="149" t="str">
        <f>IFERROR(__xludf.DUMMYFUNCTION("""COMPUTED_VALUE"""),"USA")</f>
        <v>USA</v>
      </c>
      <c r="E453" s="156">
        <f>IFERROR(__xludf.DUMMYFUNCTION("""COMPUTED_VALUE"""),44386.0)</f>
        <v>44386</v>
      </c>
      <c r="F453" s="129">
        <f>IFERROR(__xludf.DUMMYFUNCTION("""COMPUTED_VALUE"""),44434.0)</f>
        <v>44434</v>
      </c>
      <c r="G453" s="154" t="str">
        <f>IFERROR(__xludf.DUMMYFUNCTION("""COMPUTED_VALUE"""),"Manage order page (normal text)")</f>
        <v>Manage order page (normal text)</v>
      </c>
      <c r="H453" s="131"/>
      <c r="I453" s="144"/>
      <c r="J453" s="129">
        <f>IFERROR(__xludf.DUMMYFUNCTION("""COMPUTED_VALUE"""),44440.0)</f>
        <v>44440</v>
      </c>
      <c r="K453" s="133">
        <f>IFERROR(__xludf.DUMMYFUNCTION("""COMPUTED_VALUE"""),48.0)</f>
        <v>48</v>
      </c>
      <c r="L453" s="133">
        <f>IFERROR(__xludf.DUMMYFUNCTION("""COMPUTED_VALUE"""),6.0)</f>
        <v>6</v>
      </c>
      <c r="M453" s="133">
        <f>IFERROR(__xludf.DUMMYFUNCTION("""COMPUTED_VALUE"""),54.0)</f>
        <v>54</v>
      </c>
      <c r="N453" s="152" t="str">
        <f>IFERROR(__xludf.DUMMYFUNCTION("""COMPUTED_VALUE"""),"Model 3 SR+")</f>
        <v>Model 3 SR+</v>
      </c>
      <c r="O453" s="152" t="str">
        <f>IFERROR(__xludf.DUMMYFUNCTION("""COMPUTED_VALUE"""),"Red Multi-Coat")</f>
        <v>Red Multi-Coat</v>
      </c>
      <c r="P453" s="153" t="str">
        <f>IFERROR(__xludf.DUMMYFUNCTION("""COMPUTED_VALUE"""),"18 inch")</f>
        <v>18 inch</v>
      </c>
      <c r="Q453" s="152" t="str">
        <f>IFERROR(__xludf.DUMMYFUNCTION("""COMPUTED_VALUE"""),"All Black")</f>
        <v>All Black</v>
      </c>
      <c r="R453" s="149" t="str">
        <f>IFERROR(__xludf.DUMMYFUNCTION("""COMPUTED_VALUE"""),"Autopilot included")</f>
        <v>Autopilot included</v>
      </c>
      <c r="S453" s="149" t="str">
        <f>IFERROR(__xludf.DUMMYFUNCTION("""COMPUTED_VALUE"""),"Cash")</f>
        <v>Cash</v>
      </c>
      <c r="T453" s="145" t="str">
        <f>IFERROR(__xludf.DUMMYFUNCTION("""COMPUTED_VALUE"""),"Model 3 will be my first car!")</f>
        <v>Model 3 will be my first car!</v>
      </c>
      <c r="U453" s="145" t="str">
        <f>IFERROR(__xludf.DUMMYFUNCTION("""COMPUTED_VALUE"""),"Electric!")</f>
        <v>Electric!</v>
      </c>
      <c r="V453" s="145" t="str">
        <f>IFERROR(__xludf.DUMMYFUNCTION("""COMPUTED_VALUE"""),"Blind spot indicators on side mirrors")</f>
        <v>Blind spot indicators on side mirrors</v>
      </c>
      <c r="W453" s="136" t="str">
        <f>IFERROR(__xludf.DUMMYFUNCTION("""COMPUTED_VALUE"""),"be patient and make sure to check for any and all defects.")</f>
        <v>be patient and make sure to check for any and all defects.</v>
      </c>
      <c r="X453" s="137" t="str">
        <f>IFERROR(__xludf.DUMMYFUNCTION("""COMPUTED_VALUE"""),"Good")</f>
        <v>Good</v>
      </c>
      <c r="Y453" s="138" t="str">
        <f>IFERROR(__xludf.DUMMYFUNCTION("""COMPUTED_VALUE"""),"Very Good")</f>
        <v>Very Good</v>
      </c>
      <c r="Z453" s="138" t="str">
        <f>IFERROR(__xludf.DUMMYFUNCTION("""COMPUTED_VALUE"""),"Very Good")</f>
        <v>Very Good</v>
      </c>
      <c r="AA453" s="138" t="str">
        <f>IFERROR(__xludf.DUMMYFUNCTION("""COMPUTED_VALUE"""),"Fair")</f>
        <v>Fair</v>
      </c>
      <c r="AB453" s="138" t="str">
        <f>IFERROR(__xludf.DUMMYFUNCTION("""COMPUTED_VALUE"""),"Very Good")</f>
        <v>Very Good</v>
      </c>
      <c r="AC453" s="139">
        <f>IFERROR(__xludf.DUMMYFUNCTION("""COMPUTED_VALUE"""),2.0)</f>
        <v>2</v>
      </c>
      <c r="AD453" s="139">
        <f>IFERROR(__xludf.DUMMYFUNCTION("""COMPUTED_VALUE"""),1.0)</f>
        <v>1</v>
      </c>
      <c r="AE453" s="139"/>
      <c r="AF453" s="140" t="str">
        <f>IFERROR(__xludf.DUMMYFUNCTION("""COMPUTED_VALUE"""),"No. I took delivery of the first car Tesla was able to deliver.")</f>
        <v>No. I took delivery of the first car Tesla was able to deliver.</v>
      </c>
      <c r="AG453" s="136"/>
      <c r="AH453" s="157">
        <f>IFERROR(__xludf.DUMMYFUNCTION("""COMPUTED_VALUE"""),44440.72398376158)</f>
        <v>44440.72398</v>
      </c>
      <c r="AI453" s="138"/>
      <c r="AJ453" s="138"/>
      <c r="AK453" s="138"/>
      <c r="AL453" s="142"/>
    </row>
    <row r="454" ht="20.25" customHeight="1">
      <c r="A454" s="155" t="str">
        <f>IFERROR(__xludf.DUMMYFUNCTION("""COMPUTED_VALUE"""),"badavoom")</f>
        <v>badavoom</v>
      </c>
      <c r="B454" s="149" t="str">
        <f>IFERROR(__xludf.DUMMYFUNCTION("""COMPUTED_VALUE"""),"Austin")</f>
        <v>Austin</v>
      </c>
      <c r="C454" s="149" t="str">
        <f>IFERROR(__xludf.DUMMYFUNCTION("""COMPUTED_VALUE"""),"TX")</f>
        <v>TX</v>
      </c>
      <c r="D454" s="149" t="str">
        <f>IFERROR(__xludf.DUMMYFUNCTION("""COMPUTED_VALUE"""),"USA")</f>
        <v>USA</v>
      </c>
      <c r="E454" s="156">
        <f>IFERROR(__xludf.DUMMYFUNCTION("""COMPUTED_VALUE"""),44385.0)</f>
        <v>44385</v>
      </c>
      <c r="F454" s="129">
        <f>IFERROR(__xludf.DUMMYFUNCTION("""COMPUTED_VALUE"""),44411.0)</f>
        <v>44411</v>
      </c>
      <c r="G454" s="154" t="str">
        <f>IFERROR(__xludf.DUMMYFUNCTION("""COMPUTED_VALUE"""),"Email")</f>
        <v>Email</v>
      </c>
      <c r="H454" s="131">
        <f>IFERROR(__xludf.DUMMYFUNCTION("""COMPUTED_VALUE"""),28955.0)</f>
        <v>28955</v>
      </c>
      <c r="I454" s="144"/>
      <c r="J454" s="129">
        <f>IFERROR(__xludf.DUMMYFUNCTION("""COMPUTED_VALUE"""),44426.0)</f>
        <v>44426</v>
      </c>
      <c r="K454" s="133">
        <f>IFERROR(__xludf.DUMMYFUNCTION("""COMPUTED_VALUE"""),26.0)</f>
        <v>26</v>
      </c>
      <c r="L454" s="133">
        <f>IFERROR(__xludf.DUMMYFUNCTION("""COMPUTED_VALUE"""),15.0)</f>
        <v>15</v>
      </c>
      <c r="M454" s="133">
        <f>IFERROR(__xludf.DUMMYFUNCTION("""COMPUTED_VALUE"""),41.0)</f>
        <v>41</v>
      </c>
      <c r="N454" s="152" t="str">
        <f>IFERROR(__xludf.DUMMYFUNCTION("""COMPUTED_VALUE"""),"Model 3 Performance")</f>
        <v>Model 3 Performance</v>
      </c>
      <c r="O454" s="152" t="str">
        <f>IFERROR(__xludf.DUMMYFUNCTION("""COMPUTED_VALUE"""),"Midnight Silver Metallic")</f>
        <v>Midnight Silver Metallic</v>
      </c>
      <c r="P454" s="153" t="str">
        <f>IFERROR(__xludf.DUMMYFUNCTION("""COMPUTED_VALUE"""),"20 inch")</f>
        <v>20 inch</v>
      </c>
      <c r="Q454" s="152" t="str">
        <f>IFERROR(__xludf.DUMMYFUNCTION("""COMPUTED_VALUE"""),"All Black")</f>
        <v>All Black</v>
      </c>
      <c r="R454" s="149" t="str">
        <f>IFERROR(__xludf.DUMMYFUNCTION("""COMPUTED_VALUE"""),"Autopilot included")</f>
        <v>Autopilot included</v>
      </c>
      <c r="S454" s="149"/>
      <c r="T454" s="145" t="str">
        <f>IFERROR(__xludf.DUMMYFUNCTION("""COMPUTED_VALUE"""),"Ford Mustang")</f>
        <v>Ford Mustang</v>
      </c>
      <c r="U454" s="145"/>
      <c r="V454" s="145"/>
      <c r="W454" s="136"/>
      <c r="X454" s="137"/>
      <c r="Y454" s="138"/>
      <c r="Z454" s="138"/>
      <c r="AA454" s="138"/>
      <c r="AB454" s="138"/>
      <c r="AC454" s="139"/>
      <c r="AD454" s="139"/>
      <c r="AE454" s="139"/>
      <c r="AF454" s="140"/>
      <c r="AG454" s="136"/>
      <c r="AH454" s="157">
        <f>IFERROR(__xludf.DUMMYFUNCTION("""COMPUTED_VALUE"""),44424.497084664355)</f>
        <v>44424.49708</v>
      </c>
      <c r="AI454" s="138"/>
      <c r="AJ454" s="138"/>
      <c r="AK454" s="138"/>
      <c r="AL454" s="142"/>
    </row>
    <row r="455" ht="20.25" customHeight="1">
      <c r="A455" s="155" t="str">
        <f>IFERROR(__xludf.DUMMYFUNCTION("""COMPUTED_VALUE"""),"Doug03")</f>
        <v>Doug03</v>
      </c>
      <c r="B455" s="149"/>
      <c r="C455" s="149" t="str">
        <f>IFERROR(__xludf.DUMMYFUNCTION("""COMPUTED_VALUE"""),"NJ")</f>
        <v>NJ</v>
      </c>
      <c r="D455" s="149" t="str">
        <f>IFERROR(__xludf.DUMMYFUNCTION("""COMPUTED_VALUE"""),"USA")</f>
        <v>USA</v>
      </c>
      <c r="E455" s="156">
        <f>IFERROR(__xludf.DUMMYFUNCTION("""COMPUTED_VALUE"""),44385.0)</f>
        <v>44385</v>
      </c>
      <c r="F455" s="129">
        <f>IFERROR(__xludf.DUMMYFUNCTION("""COMPUTED_VALUE"""),44426.0)</f>
        <v>44426</v>
      </c>
      <c r="G455" s="154" t="str">
        <f>IFERROR(__xludf.DUMMYFUNCTION("""COMPUTED_VALUE"""),"Manage order page (normal text)")</f>
        <v>Manage order page (normal text)</v>
      </c>
      <c r="H455" s="131">
        <f>IFERROR(__xludf.DUMMYFUNCTION("""COMPUTED_VALUE"""),45755.0)</f>
        <v>45755</v>
      </c>
      <c r="I455" s="144" t="str">
        <f>IFERROR(__xludf.DUMMYFUNCTION("""COMPUTED_VALUE"""),"08/21")</f>
        <v>08/21</v>
      </c>
      <c r="J455" s="129">
        <f>IFERROR(__xludf.DUMMYFUNCTION("""COMPUTED_VALUE"""),44440.0)</f>
        <v>44440</v>
      </c>
      <c r="K455" s="133">
        <f>IFERROR(__xludf.DUMMYFUNCTION("""COMPUTED_VALUE"""),41.0)</f>
        <v>41</v>
      </c>
      <c r="L455" s="133">
        <f>IFERROR(__xludf.DUMMYFUNCTION("""COMPUTED_VALUE"""),14.0)</f>
        <v>14</v>
      </c>
      <c r="M455" s="133">
        <f>IFERROR(__xludf.DUMMYFUNCTION("""COMPUTED_VALUE"""),55.0)</f>
        <v>55</v>
      </c>
      <c r="N455" s="152" t="str">
        <f>IFERROR(__xludf.DUMMYFUNCTION("""COMPUTED_VALUE"""),"Model 3 LR AWD")</f>
        <v>Model 3 LR AWD</v>
      </c>
      <c r="O455" s="152" t="str">
        <f>IFERROR(__xludf.DUMMYFUNCTION("""COMPUTED_VALUE"""),"Pearl White Multi-Coat")</f>
        <v>Pearl White Multi-Coat</v>
      </c>
      <c r="P455" s="153" t="str">
        <f>IFERROR(__xludf.DUMMYFUNCTION("""COMPUTED_VALUE"""),"18 inch")</f>
        <v>18 inch</v>
      </c>
      <c r="Q455" s="152" t="str">
        <f>IFERROR(__xludf.DUMMYFUNCTION("""COMPUTED_VALUE"""),"All Black")</f>
        <v>All Black</v>
      </c>
      <c r="R455" s="149" t="str">
        <f>IFERROR(__xludf.DUMMYFUNCTION("""COMPUTED_VALUE"""),"Autopilot included")</f>
        <v>Autopilot included</v>
      </c>
      <c r="S455" s="149" t="str">
        <f>IFERROR(__xludf.DUMMYFUNCTION("""COMPUTED_VALUE"""),"Loan")</f>
        <v>Loan</v>
      </c>
      <c r="T455" s="145" t="str">
        <f>IFERROR(__xludf.DUMMYFUNCTION("""COMPUTED_VALUE"""),"Chevrolet Camaro")</f>
        <v>Chevrolet Camaro</v>
      </c>
      <c r="U455" s="145" t="str">
        <f>IFERROR(__xludf.DUMMYFUNCTION("""COMPUTED_VALUE"""),"Electric!")</f>
        <v>Electric!</v>
      </c>
      <c r="V455" s="145" t="str">
        <f>IFERROR(__xludf.DUMMYFUNCTION("""COMPUTED_VALUE"""),"Head-up display")</f>
        <v>Head-up display</v>
      </c>
      <c r="W455" s="136"/>
      <c r="X455" s="137" t="str">
        <f>IFERROR(__xludf.DUMMYFUNCTION("""COMPUTED_VALUE"""),"Excellent")</f>
        <v>Excellent</v>
      </c>
      <c r="Y455" s="138" t="str">
        <f>IFERROR(__xludf.DUMMYFUNCTION("""COMPUTED_VALUE"""),"Very Good")</f>
        <v>Very Good</v>
      </c>
      <c r="Z455" s="138" t="str">
        <f>IFERROR(__xludf.DUMMYFUNCTION("""COMPUTED_VALUE"""),"Excellent")</f>
        <v>Excellent</v>
      </c>
      <c r="AA455" s="138" t="str">
        <f>IFERROR(__xludf.DUMMYFUNCTION("""COMPUTED_VALUE"""),"Good")</f>
        <v>Good</v>
      </c>
      <c r="AB455" s="138" t="str">
        <f>IFERROR(__xludf.DUMMYFUNCTION("""COMPUTED_VALUE"""),"Excellent")</f>
        <v>Excellent</v>
      </c>
      <c r="AC455" s="139"/>
      <c r="AD455" s="139"/>
      <c r="AE455" s="139"/>
      <c r="AF455" s="140" t="str">
        <f>IFERROR(__xludf.DUMMYFUNCTION("""COMPUTED_VALUE"""),"No. I took delivery of the first car Tesla was able to deliver.")</f>
        <v>No. I took delivery of the first car Tesla was able to deliver.</v>
      </c>
      <c r="AG455" s="136"/>
      <c r="AH455" s="157">
        <f>IFERROR(__xludf.DUMMYFUNCTION("""COMPUTED_VALUE"""),44440.66782100695)</f>
        <v>44440.66782</v>
      </c>
      <c r="AI455" s="138"/>
      <c r="AJ455" s="138"/>
      <c r="AK455" s="138"/>
      <c r="AL455" s="142"/>
    </row>
    <row r="456" ht="20.25" customHeight="1">
      <c r="A456" s="155" t="str">
        <f>IFERROR(__xludf.DUMMYFUNCTION("""COMPUTED_VALUE"""),"hsinclair")</f>
        <v>hsinclair</v>
      </c>
      <c r="B456" s="149" t="str">
        <f>IFERROR(__xludf.DUMMYFUNCTION("""COMPUTED_VALUE"""),"Memphis")</f>
        <v>Memphis</v>
      </c>
      <c r="C456" s="149" t="str">
        <f>IFERROR(__xludf.DUMMYFUNCTION("""COMPUTED_VALUE"""),"TN")</f>
        <v>TN</v>
      </c>
      <c r="D456" s="149" t="str">
        <f>IFERROR(__xludf.DUMMYFUNCTION("""COMPUTED_VALUE"""),"USA")</f>
        <v>USA</v>
      </c>
      <c r="E456" s="156">
        <f>IFERROR(__xludf.DUMMYFUNCTION("""COMPUTED_VALUE"""),44385.0)</f>
        <v>44385</v>
      </c>
      <c r="F456" s="129">
        <f>IFERROR(__xludf.DUMMYFUNCTION("""COMPUTED_VALUE"""),44426.0)</f>
        <v>44426</v>
      </c>
      <c r="G456" s="154" t="str">
        <f>IFERROR(__xludf.DUMMYFUNCTION("""COMPUTED_VALUE"""),"Email")</f>
        <v>Email</v>
      </c>
      <c r="H456" s="131">
        <f>IFERROR(__xludf.DUMMYFUNCTION("""COMPUTED_VALUE"""),46255.0)</f>
        <v>46255</v>
      </c>
      <c r="I456" s="144" t="str">
        <f>IFERROR(__xludf.DUMMYFUNCTION("""COMPUTED_VALUE"""),"08/21")</f>
        <v>08/21</v>
      </c>
      <c r="J456" s="129">
        <f>IFERROR(__xludf.DUMMYFUNCTION("""COMPUTED_VALUE"""),44444.0)</f>
        <v>44444</v>
      </c>
      <c r="K456" s="133">
        <f>IFERROR(__xludf.DUMMYFUNCTION("""COMPUTED_VALUE"""),41.0)</f>
        <v>41</v>
      </c>
      <c r="L456" s="133">
        <f>IFERROR(__xludf.DUMMYFUNCTION("""COMPUTED_VALUE"""),18.0)</f>
        <v>18</v>
      </c>
      <c r="M456" s="133">
        <f>IFERROR(__xludf.DUMMYFUNCTION("""COMPUTED_VALUE"""),59.0)</f>
        <v>59</v>
      </c>
      <c r="N456" s="152" t="str">
        <f>IFERROR(__xludf.DUMMYFUNCTION("""COMPUTED_VALUE"""),"Model 3 LR AWD")</f>
        <v>Model 3 LR AWD</v>
      </c>
      <c r="O456" s="152" t="str">
        <f>IFERROR(__xludf.DUMMYFUNCTION("""COMPUTED_VALUE"""),"Midnight Silver Metallic")</f>
        <v>Midnight Silver Metallic</v>
      </c>
      <c r="P456" s="153" t="str">
        <f>IFERROR(__xludf.DUMMYFUNCTION("""COMPUTED_VALUE"""),"18 inch")</f>
        <v>18 inch</v>
      </c>
      <c r="Q456" s="152" t="str">
        <f>IFERROR(__xludf.DUMMYFUNCTION("""COMPUTED_VALUE"""),"All Black")</f>
        <v>All Black</v>
      </c>
      <c r="R456" s="149" t="str">
        <f>IFERROR(__xludf.DUMMYFUNCTION("""COMPUTED_VALUE"""),"Full Self-Driving")</f>
        <v>Full Self-Driving</v>
      </c>
      <c r="S456" s="149" t="str">
        <f>IFERROR(__xludf.DUMMYFUNCTION("""COMPUTED_VALUE"""),"Loan")</f>
        <v>Loan</v>
      </c>
      <c r="T456" s="145" t="str">
        <f>IFERROR(__xludf.DUMMYFUNCTION("""COMPUTED_VALUE"""),"Ford C-Max Hybrid")</f>
        <v>Ford C-Max Hybrid</v>
      </c>
      <c r="U456" s="145" t="str">
        <f>IFERROR(__xludf.DUMMYFUNCTION("""COMPUTED_VALUE"""),"Autopilot")</f>
        <v>Autopilot</v>
      </c>
      <c r="V456" s="145" t="str">
        <f>IFERROR(__xludf.DUMMYFUNCTION("""COMPUTED_VALUE"""),"Air suspension")</f>
        <v>Air suspension</v>
      </c>
      <c r="W456" s="145"/>
      <c r="X456" s="137" t="str">
        <f>IFERROR(__xludf.DUMMYFUNCTION("""COMPUTED_VALUE"""),"Excellent")</f>
        <v>Excellent</v>
      </c>
      <c r="Y456" s="138" t="str">
        <f>IFERROR(__xludf.DUMMYFUNCTION("""COMPUTED_VALUE"""),"Excellent")</f>
        <v>Excellent</v>
      </c>
      <c r="Z456" s="138" t="str">
        <f>IFERROR(__xludf.DUMMYFUNCTION("""COMPUTED_VALUE"""),"Excellent")</f>
        <v>Excellent</v>
      </c>
      <c r="AA456" s="138" t="str">
        <f>IFERROR(__xludf.DUMMYFUNCTION("""COMPUTED_VALUE"""),"Excellent")</f>
        <v>Excellent</v>
      </c>
      <c r="AB456" s="138" t="str">
        <f>IFERROR(__xludf.DUMMYFUNCTION("""COMPUTED_VALUE"""),"Very Good")</f>
        <v>Very Good</v>
      </c>
      <c r="AC456" s="139">
        <f>IFERROR(__xludf.DUMMYFUNCTION("""COMPUTED_VALUE"""),0.0)</f>
        <v>0</v>
      </c>
      <c r="AD456" s="139"/>
      <c r="AE456" s="139">
        <f>IFERROR(__xludf.DUMMYFUNCTION("""COMPUTED_VALUE"""),0.0)</f>
        <v>0</v>
      </c>
      <c r="AF456" s="140" t="str">
        <f>IFERROR(__xludf.DUMMYFUNCTION("""COMPUTED_VALUE"""),"No. I took delivery of the first car Tesla was able to deliver.")</f>
        <v>No. I took delivery of the first car Tesla was able to deliver.</v>
      </c>
      <c r="AG456" s="145"/>
      <c r="AH456" s="157">
        <f>IFERROR(__xludf.DUMMYFUNCTION("""COMPUTED_VALUE"""),44450.639449953705)</f>
        <v>44450.63945</v>
      </c>
      <c r="AI456" s="138"/>
      <c r="AJ456" s="138"/>
      <c r="AK456" s="138"/>
      <c r="AL456" s="142"/>
    </row>
    <row r="457" ht="20.25" customHeight="1">
      <c r="A457" s="155" t="str">
        <f>IFERROR(__xludf.DUMMYFUNCTION("""COMPUTED_VALUE"""),"JC85")</f>
        <v>JC85</v>
      </c>
      <c r="B457" s="149" t="str">
        <f>IFERROR(__xludf.DUMMYFUNCTION("""COMPUTED_VALUE"""),"Glen Ridge")</f>
        <v>Glen Ridge</v>
      </c>
      <c r="C457" s="149" t="str">
        <f>IFERROR(__xludf.DUMMYFUNCTION("""COMPUTED_VALUE"""),"NJ")</f>
        <v>NJ</v>
      </c>
      <c r="D457" s="149" t="str">
        <f>IFERROR(__xludf.DUMMYFUNCTION("""COMPUTED_VALUE"""),"USA")</f>
        <v>USA</v>
      </c>
      <c r="E457" s="156">
        <f>IFERROR(__xludf.DUMMYFUNCTION("""COMPUTED_VALUE"""),44385.0)</f>
        <v>44385</v>
      </c>
      <c r="F457" s="129"/>
      <c r="G457" s="154" t="str">
        <f>IFERROR(__xludf.DUMMYFUNCTION("""COMPUTED_VALUE"""),"Manage order page (normal text)")</f>
        <v>Manage order page (normal text)</v>
      </c>
      <c r="H457" s="131"/>
      <c r="I457" s="144"/>
      <c r="J457" s="129">
        <f>IFERROR(__xludf.DUMMYFUNCTION("""COMPUTED_VALUE"""),44446.0)</f>
        <v>44446</v>
      </c>
      <c r="K457" s="133"/>
      <c r="L457" s="133"/>
      <c r="M457" s="133">
        <f>IFERROR(__xludf.DUMMYFUNCTION("""COMPUTED_VALUE"""),61.0)</f>
        <v>61</v>
      </c>
      <c r="N457" s="152" t="str">
        <f>IFERROR(__xludf.DUMMYFUNCTION("""COMPUTED_VALUE"""),"Model 3 SR+")</f>
        <v>Model 3 SR+</v>
      </c>
      <c r="O457" s="152" t="str">
        <f>IFERROR(__xludf.DUMMYFUNCTION("""COMPUTED_VALUE"""),"Solid Black")</f>
        <v>Solid Black</v>
      </c>
      <c r="P457" s="153" t="str">
        <f>IFERROR(__xludf.DUMMYFUNCTION("""COMPUTED_VALUE"""),"18 inch")</f>
        <v>18 inch</v>
      </c>
      <c r="Q457" s="152" t="str">
        <f>IFERROR(__xludf.DUMMYFUNCTION("""COMPUTED_VALUE"""),"Black and White")</f>
        <v>Black and White</v>
      </c>
      <c r="R457" s="149" t="str">
        <f>IFERROR(__xludf.DUMMYFUNCTION("""COMPUTED_VALUE"""),"Autopilot included")</f>
        <v>Autopilot included</v>
      </c>
      <c r="S457" s="149" t="str">
        <f>IFERROR(__xludf.DUMMYFUNCTION("""COMPUTED_VALUE"""),"Loan")</f>
        <v>Loan</v>
      </c>
      <c r="T457" s="145" t="str">
        <f>IFERROR(__xludf.DUMMYFUNCTION("""COMPUTED_VALUE"""),"BMW X1")</f>
        <v>BMW X1</v>
      </c>
      <c r="U457" s="145" t="str">
        <f>IFERROR(__xludf.DUMMYFUNCTION("""COMPUTED_VALUE"""),"Technology")</f>
        <v>Technology</v>
      </c>
      <c r="V457" s="145" t="str">
        <f>IFERROR(__xludf.DUMMYFUNCTION("""COMPUTED_VALUE"""),"Air suspension")</f>
        <v>Air suspension</v>
      </c>
      <c r="W457" s="136"/>
      <c r="X457" s="151"/>
      <c r="Y457" s="138"/>
      <c r="Z457" s="138"/>
      <c r="AA457" s="138"/>
      <c r="AB457" s="138"/>
      <c r="AC457" s="139"/>
      <c r="AD457" s="139"/>
      <c r="AE457" s="139"/>
      <c r="AF457" s="140"/>
      <c r="AG457" s="136"/>
      <c r="AH457" s="157">
        <f>IFERROR(__xludf.DUMMYFUNCTION("""COMPUTED_VALUE"""),44445.82817347222)</f>
        <v>44445.82817</v>
      </c>
      <c r="AI457" s="138"/>
      <c r="AJ457" s="138"/>
      <c r="AK457" s="138"/>
      <c r="AL457" s="142"/>
    </row>
    <row r="458" ht="20.25" customHeight="1">
      <c r="A458" s="155" t="str">
        <f>IFERROR(__xludf.DUMMYFUNCTION("""COMPUTED_VALUE"""),"JohnDough")</f>
        <v>JohnDough</v>
      </c>
      <c r="B458" s="149" t="str">
        <f>IFERROR(__xludf.DUMMYFUNCTION("""COMPUTED_VALUE"""),"Atlanta")</f>
        <v>Atlanta</v>
      </c>
      <c r="C458" s="149" t="str">
        <f>IFERROR(__xludf.DUMMYFUNCTION("""COMPUTED_VALUE"""),"GA")</f>
        <v>GA</v>
      </c>
      <c r="D458" s="149" t="str">
        <f>IFERROR(__xludf.DUMMYFUNCTION("""COMPUTED_VALUE"""),"USA")</f>
        <v>USA</v>
      </c>
      <c r="E458" s="156">
        <f>IFERROR(__xludf.DUMMYFUNCTION("""COMPUTED_VALUE"""),44385.0)</f>
        <v>44385</v>
      </c>
      <c r="F458" s="129">
        <f>IFERROR(__xludf.DUMMYFUNCTION("""COMPUTED_VALUE"""),44410.0)</f>
        <v>44410</v>
      </c>
      <c r="G458" s="154" t="str">
        <f>IFERROR(__xludf.DUMMYFUNCTION("""COMPUTED_VALUE"""),"Manage order page (normal text)")</f>
        <v>Manage order page (normal text)</v>
      </c>
      <c r="H458" s="131"/>
      <c r="I458" s="132"/>
      <c r="J458" s="129">
        <f>IFERROR(__xludf.DUMMYFUNCTION("""COMPUTED_VALUE"""),44412.0)</f>
        <v>44412</v>
      </c>
      <c r="K458" s="133">
        <f>IFERROR(__xludf.DUMMYFUNCTION("""COMPUTED_VALUE"""),25.0)</f>
        <v>25</v>
      </c>
      <c r="L458" s="133">
        <f>IFERROR(__xludf.DUMMYFUNCTION("""COMPUTED_VALUE"""),2.0)</f>
        <v>2</v>
      </c>
      <c r="M458" s="133">
        <f>IFERROR(__xludf.DUMMYFUNCTION("""COMPUTED_VALUE"""),27.0)</f>
        <v>27</v>
      </c>
      <c r="N458" s="152" t="str">
        <f>IFERROR(__xludf.DUMMYFUNCTION("""COMPUTED_VALUE"""),"Model 3 Performance")</f>
        <v>Model 3 Performance</v>
      </c>
      <c r="O458" s="152" t="str">
        <f>IFERROR(__xludf.DUMMYFUNCTION("""COMPUTED_VALUE"""),"Pearl White Multi-Coat")</f>
        <v>Pearl White Multi-Coat</v>
      </c>
      <c r="P458" s="153" t="str">
        <f>IFERROR(__xludf.DUMMYFUNCTION("""COMPUTED_VALUE"""),"20 inch")</f>
        <v>20 inch</v>
      </c>
      <c r="Q458" s="152" t="str">
        <f>IFERROR(__xludf.DUMMYFUNCTION("""COMPUTED_VALUE"""),"All Black")</f>
        <v>All Black</v>
      </c>
      <c r="R458" s="150" t="str">
        <f>IFERROR(__xludf.DUMMYFUNCTION("""COMPUTED_VALUE"""),"Autopilot included")</f>
        <v>Autopilot included</v>
      </c>
      <c r="S458" s="150" t="str">
        <f>IFERROR(__xludf.DUMMYFUNCTION("""COMPUTED_VALUE"""),"Loan")</f>
        <v>Loan</v>
      </c>
      <c r="T458" s="136" t="str">
        <f>IFERROR(__xludf.DUMMYFUNCTION("""COMPUTED_VALUE"""),"KIA Stinger GT2")</f>
        <v>KIA Stinger GT2</v>
      </c>
      <c r="U458" s="136" t="str">
        <f>IFERROR(__xludf.DUMMYFUNCTION("""COMPUTED_VALUE"""),"Electric!")</f>
        <v>Electric!</v>
      </c>
      <c r="V458" s="136" t="str">
        <f>IFERROR(__xludf.DUMMYFUNCTION("""COMPUTED_VALUE"""),"Head-up display")</f>
        <v>Head-up display</v>
      </c>
      <c r="W458" s="136"/>
      <c r="X458" s="137"/>
      <c r="Y458" s="138"/>
      <c r="Z458" s="138"/>
      <c r="AA458" s="138"/>
      <c r="AB458" s="138"/>
      <c r="AC458" s="139"/>
      <c r="AD458" s="139"/>
      <c r="AE458" s="139"/>
      <c r="AF458" s="140"/>
      <c r="AG458" s="136"/>
      <c r="AH458" s="157">
        <f>IFERROR(__xludf.DUMMYFUNCTION("""COMPUTED_VALUE"""),44411.551688981475)</f>
        <v>44411.55169</v>
      </c>
      <c r="AI458" s="138"/>
      <c r="AJ458" s="138"/>
      <c r="AK458" s="138"/>
      <c r="AL458" s="142"/>
    </row>
    <row r="459" ht="20.25" customHeight="1">
      <c r="A459" s="155" t="str">
        <f>IFERROR(__xludf.DUMMYFUNCTION("""COMPUTED_VALUE"""),"Kroll ")</f>
        <v>Kroll </v>
      </c>
      <c r="B459" s="149" t="str">
        <f>IFERROR(__xludf.DUMMYFUNCTION("""COMPUTED_VALUE"""),"Atlantic City ")</f>
        <v>Atlantic City </v>
      </c>
      <c r="C459" s="149" t="str">
        <f>IFERROR(__xludf.DUMMYFUNCTION("""COMPUTED_VALUE"""),"NJ")</f>
        <v>NJ</v>
      </c>
      <c r="D459" s="149" t="str">
        <f>IFERROR(__xludf.DUMMYFUNCTION("""COMPUTED_VALUE"""),"USA")</f>
        <v>USA</v>
      </c>
      <c r="E459" s="156">
        <f>IFERROR(__xludf.DUMMYFUNCTION("""COMPUTED_VALUE"""),44385.0)</f>
        <v>44385</v>
      </c>
      <c r="F459" s="129">
        <f>IFERROR(__xludf.DUMMYFUNCTION("""COMPUTED_VALUE"""),44389.0)</f>
        <v>44389</v>
      </c>
      <c r="G459" s="154" t="str">
        <f>IFERROR(__xludf.DUMMYFUNCTION("""COMPUTED_VALUE"""),"Manage order page (normal text)")</f>
        <v>Manage order page (normal text)</v>
      </c>
      <c r="H459" s="131">
        <f>IFERROR(__xludf.DUMMYFUNCTION("""COMPUTED_VALUE"""),12955.0)</f>
        <v>12955</v>
      </c>
      <c r="I459" s="132"/>
      <c r="J459" s="129">
        <f>IFERROR(__xludf.DUMMYFUNCTION("""COMPUTED_VALUE"""),44401.0)</f>
        <v>44401</v>
      </c>
      <c r="K459" s="133">
        <f>IFERROR(__xludf.DUMMYFUNCTION("""COMPUTED_VALUE"""),4.0)</f>
        <v>4</v>
      </c>
      <c r="L459" s="133">
        <f>IFERROR(__xludf.DUMMYFUNCTION("""COMPUTED_VALUE"""),12.0)</f>
        <v>12</v>
      </c>
      <c r="M459" s="133">
        <f>IFERROR(__xludf.DUMMYFUNCTION("""COMPUTED_VALUE"""),16.0)</f>
        <v>16</v>
      </c>
      <c r="N459" s="152" t="str">
        <f>IFERROR(__xludf.DUMMYFUNCTION("""COMPUTED_VALUE"""),"Model 3 LR AWD")</f>
        <v>Model 3 LR AWD</v>
      </c>
      <c r="O459" s="152" t="str">
        <f>IFERROR(__xludf.DUMMYFUNCTION("""COMPUTED_VALUE"""),"Pearl White Multi-Coat")</f>
        <v>Pearl White Multi-Coat</v>
      </c>
      <c r="P459" s="153" t="str">
        <f>IFERROR(__xludf.DUMMYFUNCTION("""COMPUTED_VALUE"""),"18 inch")</f>
        <v>18 inch</v>
      </c>
      <c r="Q459" s="152" t="str">
        <f>IFERROR(__xludf.DUMMYFUNCTION("""COMPUTED_VALUE"""),"All Black")</f>
        <v>All Black</v>
      </c>
      <c r="R459" s="150" t="str">
        <f>IFERROR(__xludf.DUMMYFUNCTION("""COMPUTED_VALUE"""),"Autopilot included")</f>
        <v>Autopilot included</v>
      </c>
      <c r="S459" s="150" t="str">
        <f>IFERROR(__xludf.DUMMYFUNCTION("""COMPUTED_VALUE"""),"Loan")</f>
        <v>Loan</v>
      </c>
      <c r="T459" s="136" t="str">
        <f>IFERROR(__xludf.DUMMYFUNCTION("""COMPUTED_VALUE"""),"Subaru wrx ")</f>
        <v>Subaru wrx </v>
      </c>
      <c r="U459" s="136"/>
      <c r="V459" s="136"/>
      <c r="W459" s="136"/>
      <c r="X459" s="137"/>
      <c r="Y459" s="138"/>
      <c r="Z459" s="138"/>
      <c r="AA459" s="138"/>
      <c r="AB459" s="138"/>
      <c r="AC459" s="139"/>
      <c r="AD459" s="139"/>
      <c r="AE459" s="139"/>
      <c r="AF459" s="140"/>
      <c r="AG459" s="136"/>
      <c r="AH459" s="157">
        <f>IFERROR(__xludf.DUMMYFUNCTION("""COMPUTED_VALUE"""),44400.41372064815)</f>
        <v>44400.41372</v>
      </c>
      <c r="AI459" s="138"/>
      <c r="AJ459" s="138"/>
      <c r="AK459" s="138"/>
      <c r="AL459" s="142"/>
    </row>
    <row r="460" ht="20.25" customHeight="1">
      <c r="A460" s="155" t="str">
        <f>IFERROR(__xludf.DUMMYFUNCTION("""COMPUTED_VALUE"""),"Oddjobbob51")</f>
        <v>Oddjobbob51</v>
      </c>
      <c r="B460" s="149" t="str">
        <f>IFERROR(__xludf.DUMMYFUNCTION("""COMPUTED_VALUE"""),"Durham UK")</f>
        <v>Durham UK</v>
      </c>
      <c r="C460" s="149"/>
      <c r="D460" s="149" t="str">
        <f>IFERROR(__xludf.DUMMYFUNCTION("""COMPUTED_VALUE"""),"United Kingdom")</f>
        <v>United Kingdom</v>
      </c>
      <c r="E460" s="156">
        <f>IFERROR(__xludf.DUMMYFUNCTION("""COMPUTED_VALUE"""),44385.0)</f>
        <v>44385</v>
      </c>
      <c r="F460" s="129">
        <f>IFERROR(__xludf.DUMMYFUNCTION("""COMPUTED_VALUE"""),44408.0)</f>
        <v>44408</v>
      </c>
      <c r="G460" s="154" t="str">
        <f>IFERROR(__xludf.DUMMYFUNCTION("""COMPUTED_VALUE"""),"Source code")</f>
        <v>Source code</v>
      </c>
      <c r="H460" s="131">
        <f>IFERROR(__xludf.DUMMYFUNCTION("""COMPUTED_VALUE"""),12427.0)</f>
        <v>12427</v>
      </c>
      <c r="I460" s="144"/>
      <c r="J460" s="129">
        <f>IFERROR(__xludf.DUMMYFUNCTION("""COMPUTED_VALUE"""),44445.0)</f>
        <v>44445</v>
      </c>
      <c r="K460" s="133">
        <f>IFERROR(__xludf.DUMMYFUNCTION("""COMPUTED_VALUE"""),23.0)</f>
        <v>23</v>
      </c>
      <c r="L460" s="133">
        <f>IFERROR(__xludf.DUMMYFUNCTION("""COMPUTED_VALUE"""),37.0)</f>
        <v>37</v>
      </c>
      <c r="M460" s="133">
        <f>IFERROR(__xludf.DUMMYFUNCTION("""COMPUTED_VALUE"""),60.0)</f>
        <v>60</v>
      </c>
      <c r="N460" s="152" t="str">
        <f>IFERROR(__xludf.DUMMYFUNCTION("""COMPUTED_VALUE"""),"Model 3 LR AWD")</f>
        <v>Model 3 LR AWD</v>
      </c>
      <c r="O460" s="152" t="str">
        <f>IFERROR(__xludf.DUMMYFUNCTION("""COMPUTED_VALUE"""),"Midnight Silver Metallic")</f>
        <v>Midnight Silver Metallic</v>
      </c>
      <c r="P460" s="153" t="str">
        <f>IFERROR(__xludf.DUMMYFUNCTION("""COMPUTED_VALUE"""),"19 inch")</f>
        <v>19 inch</v>
      </c>
      <c r="Q460" s="152" t="str">
        <f>IFERROR(__xludf.DUMMYFUNCTION("""COMPUTED_VALUE"""),"All Black")</f>
        <v>All Black</v>
      </c>
      <c r="R460" s="149" t="str">
        <f>IFERROR(__xludf.DUMMYFUNCTION("""COMPUTED_VALUE"""),"Autopilot included")</f>
        <v>Autopilot included</v>
      </c>
      <c r="S460" s="149" t="str">
        <f>IFERROR(__xludf.DUMMYFUNCTION("""COMPUTED_VALUE"""),"Cash")</f>
        <v>Cash</v>
      </c>
      <c r="T460" s="145" t="str">
        <f>IFERROR(__xludf.DUMMYFUNCTION("""COMPUTED_VALUE"""),"Audi S5")</f>
        <v>Audi S5</v>
      </c>
      <c r="U460" s="145" t="str">
        <f>IFERROR(__xludf.DUMMYFUNCTION("""COMPUTED_VALUE"""),"Tesla brand image")</f>
        <v>Tesla brand image</v>
      </c>
      <c r="V460" s="145" t="str">
        <f>IFERROR(__xludf.DUMMYFUNCTION("""COMPUTED_VALUE"""),"Ventilated seats")</f>
        <v>Ventilated seats</v>
      </c>
      <c r="W460" s="136"/>
      <c r="X460" s="137"/>
      <c r="Y460" s="138"/>
      <c r="Z460" s="138"/>
      <c r="AA460" s="138"/>
      <c r="AB460" s="138"/>
      <c r="AC460" s="139"/>
      <c r="AD460" s="139"/>
      <c r="AE460" s="139"/>
      <c r="AF460" s="140"/>
      <c r="AG460" s="136"/>
      <c r="AH460" s="157">
        <f>IFERROR(__xludf.DUMMYFUNCTION("""COMPUTED_VALUE"""),44412.345291909725)</f>
        <v>44412.34529</v>
      </c>
      <c r="AI460" s="138"/>
      <c r="AJ460" s="138"/>
      <c r="AK460" s="138"/>
      <c r="AL460" s="142"/>
    </row>
    <row r="461" ht="20.25" customHeight="1">
      <c r="A461" s="155" t="str">
        <f>IFERROR(__xludf.DUMMYFUNCTION("""COMPUTED_VALUE"""),"TeslaSquared")</f>
        <v>TeslaSquared</v>
      </c>
      <c r="B461" s="149"/>
      <c r="C461" s="149" t="str">
        <f>IFERROR(__xludf.DUMMYFUNCTION("""COMPUTED_VALUE"""),"NJ")</f>
        <v>NJ</v>
      </c>
      <c r="D461" s="149" t="str">
        <f>IFERROR(__xludf.DUMMYFUNCTION("""COMPUTED_VALUE"""),"USA")</f>
        <v>USA</v>
      </c>
      <c r="E461" s="156">
        <f>IFERROR(__xludf.DUMMYFUNCTION("""COMPUTED_VALUE"""),44385.0)</f>
        <v>44385</v>
      </c>
      <c r="F461" s="129">
        <f>IFERROR(__xludf.DUMMYFUNCTION("""COMPUTED_VALUE"""),44450.0)</f>
        <v>44450</v>
      </c>
      <c r="G461" s="154" t="str">
        <f>IFERROR(__xludf.DUMMYFUNCTION("""COMPUTED_VALUE"""),"Manage order page (normal text)")</f>
        <v>Manage order page (normal text)</v>
      </c>
      <c r="H461" s="131">
        <f>IFERROR(__xludf.DUMMYFUNCTION("""COMPUTED_VALUE"""),63655.0)</f>
        <v>63655</v>
      </c>
      <c r="I461" s="144"/>
      <c r="J461" s="129">
        <f>IFERROR(__xludf.DUMMYFUNCTION("""COMPUTED_VALUE"""),44463.0)</f>
        <v>44463</v>
      </c>
      <c r="K461" s="133">
        <f>IFERROR(__xludf.DUMMYFUNCTION("""COMPUTED_VALUE"""),65.0)</f>
        <v>65</v>
      </c>
      <c r="L461" s="133">
        <f>IFERROR(__xludf.DUMMYFUNCTION("""COMPUTED_VALUE"""),13.0)</f>
        <v>13</v>
      </c>
      <c r="M461" s="133">
        <f>IFERROR(__xludf.DUMMYFUNCTION("""COMPUTED_VALUE"""),78.0)</f>
        <v>78</v>
      </c>
      <c r="N461" s="152" t="str">
        <f>IFERROR(__xludf.DUMMYFUNCTION("""COMPUTED_VALUE"""),"Model 3 SR+")</f>
        <v>Model 3 SR+</v>
      </c>
      <c r="O461" s="152" t="str">
        <f>IFERROR(__xludf.DUMMYFUNCTION("""COMPUTED_VALUE"""),"Pearl White Multi-Coat")</f>
        <v>Pearl White Multi-Coat</v>
      </c>
      <c r="P461" s="153" t="str">
        <f>IFERROR(__xludf.DUMMYFUNCTION("""COMPUTED_VALUE"""),"18 inch")</f>
        <v>18 inch</v>
      </c>
      <c r="Q461" s="152" t="str">
        <f>IFERROR(__xludf.DUMMYFUNCTION("""COMPUTED_VALUE"""),"All Black")</f>
        <v>All Black</v>
      </c>
      <c r="R461" s="149" t="str">
        <f>IFERROR(__xludf.DUMMYFUNCTION("""COMPUTED_VALUE"""),"Autopilot included")</f>
        <v>Autopilot included</v>
      </c>
      <c r="S461" s="149" t="str">
        <f>IFERROR(__xludf.DUMMYFUNCTION("""COMPUTED_VALUE"""),"Lease")</f>
        <v>Lease</v>
      </c>
      <c r="T461" s="145"/>
      <c r="U461" s="145"/>
      <c r="V461" s="145"/>
      <c r="W461" s="145"/>
      <c r="X461" s="137" t="str">
        <f>IFERROR(__xludf.DUMMYFUNCTION("""COMPUTED_VALUE"""),"Good")</f>
        <v>Good</v>
      </c>
      <c r="Y461" s="138" t="str">
        <f>IFERROR(__xludf.DUMMYFUNCTION("""COMPUTED_VALUE"""),"Very Good")</f>
        <v>Very Good</v>
      </c>
      <c r="Z461" s="138" t="str">
        <f>IFERROR(__xludf.DUMMYFUNCTION("""COMPUTED_VALUE"""),"Very Good")</f>
        <v>Very Good</v>
      </c>
      <c r="AA461" s="138" t="str">
        <f>IFERROR(__xludf.DUMMYFUNCTION("""COMPUTED_VALUE"""),"Good")</f>
        <v>Good</v>
      </c>
      <c r="AB461" s="138" t="str">
        <f>IFERROR(__xludf.DUMMYFUNCTION("""COMPUTED_VALUE"""),"Very Good")</f>
        <v>Very Good</v>
      </c>
      <c r="AC461" s="139"/>
      <c r="AD461" s="139"/>
      <c r="AE461" s="139"/>
      <c r="AF461" s="140"/>
      <c r="AG461" s="145"/>
      <c r="AH461" s="157">
        <f>IFERROR(__xludf.DUMMYFUNCTION("""COMPUTED_VALUE"""),44465.384708935184)</f>
        <v>44465.38471</v>
      </c>
      <c r="AI461" s="138"/>
      <c r="AJ461" s="138"/>
      <c r="AK461" s="138"/>
      <c r="AL461" s="142"/>
    </row>
    <row r="462" ht="20.25" customHeight="1">
      <c r="A462" s="155" t="str">
        <f>IFERROR(__xludf.DUMMYFUNCTION("""COMPUTED_VALUE"""),"0emissions")</f>
        <v>0emissions</v>
      </c>
      <c r="B462" s="149" t="str">
        <f>IFERROR(__xludf.DUMMYFUNCTION("""COMPUTED_VALUE"""),"Stockton")</f>
        <v>Stockton</v>
      </c>
      <c r="C462" s="149" t="str">
        <f>IFERROR(__xludf.DUMMYFUNCTION("""COMPUTED_VALUE"""),"CA")</f>
        <v>CA</v>
      </c>
      <c r="D462" s="149" t="str">
        <f>IFERROR(__xludf.DUMMYFUNCTION("""COMPUTED_VALUE"""),"USA")</f>
        <v>USA</v>
      </c>
      <c r="E462" s="156">
        <f>IFERROR(__xludf.DUMMYFUNCTION("""COMPUTED_VALUE"""),44384.0)</f>
        <v>44384</v>
      </c>
      <c r="F462" s="129">
        <f>IFERROR(__xludf.DUMMYFUNCTION("""COMPUTED_VALUE"""),44408.0)</f>
        <v>44408</v>
      </c>
      <c r="G462" s="154" t="str">
        <f>IFERROR(__xludf.DUMMYFUNCTION("""COMPUTED_VALUE"""),"Existing Inventory")</f>
        <v>Existing Inventory</v>
      </c>
      <c r="H462" s="131"/>
      <c r="I462" s="144"/>
      <c r="J462" s="129">
        <f>IFERROR(__xludf.DUMMYFUNCTION("""COMPUTED_VALUE"""),44408.0)</f>
        <v>44408</v>
      </c>
      <c r="K462" s="133">
        <f>IFERROR(__xludf.DUMMYFUNCTION("""COMPUTED_VALUE"""),24.0)</f>
        <v>24</v>
      </c>
      <c r="L462" s="133">
        <f>IFERROR(__xludf.DUMMYFUNCTION("""COMPUTED_VALUE"""),0.0)</f>
        <v>0</v>
      </c>
      <c r="M462" s="133">
        <f>IFERROR(__xludf.DUMMYFUNCTION("""COMPUTED_VALUE"""),24.0)</f>
        <v>24</v>
      </c>
      <c r="N462" s="152" t="str">
        <f>IFERROR(__xludf.DUMMYFUNCTION("""COMPUTED_VALUE"""),"Model 3 SR+")</f>
        <v>Model 3 SR+</v>
      </c>
      <c r="O462" s="152" t="str">
        <f>IFERROR(__xludf.DUMMYFUNCTION("""COMPUTED_VALUE"""),"Pearl White Multi-Coat")</f>
        <v>Pearl White Multi-Coat</v>
      </c>
      <c r="P462" s="153" t="str">
        <f>IFERROR(__xludf.DUMMYFUNCTION("""COMPUTED_VALUE"""),"19 inch")</f>
        <v>19 inch</v>
      </c>
      <c r="Q462" s="152" t="str">
        <f>IFERROR(__xludf.DUMMYFUNCTION("""COMPUTED_VALUE"""),"All Black")</f>
        <v>All Black</v>
      </c>
      <c r="R462" s="149" t="str">
        <f>IFERROR(__xludf.DUMMYFUNCTION("""COMPUTED_VALUE"""),"Autopilot included")</f>
        <v>Autopilot included</v>
      </c>
      <c r="S462" s="149" t="str">
        <f>IFERROR(__xludf.DUMMYFUNCTION("""COMPUTED_VALUE"""),"Loan")</f>
        <v>Loan</v>
      </c>
      <c r="T462" s="145" t="str">
        <f>IFERROR(__xludf.DUMMYFUNCTION("""COMPUTED_VALUE"""),"Camaro")</f>
        <v>Camaro</v>
      </c>
      <c r="U462" s="145" t="str">
        <f>IFERROR(__xludf.DUMMYFUNCTION("""COMPUTED_VALUE"""),"Autopilot")</f>
        <v>Autopilot</v>
      </c>
      <c r="V462" s="145" t="str">
        <f>IFERROR(__xludf.DUMMYFUNCTION("""COMPUTED_VALUE"""),"Apple CarPlay / Android Auto / SiriusXM Radio")</f>
        <v>Apple CarPlay / Android Auto / SiriusXM Radio</v>
      </c>
      <c r="W462" s="136"/>
      <c r="X462" s="137" t="str">
        <f>IFERROR(__xludf.DUMMYFUNCTION("""COMPUTED_VALUE"""),"Very Good")</f>
        <v>Very Good</v>
      </c>
      <c r="Y462" s="138" t="str">
        <f>IFERROR(__xludf.DUMMYFUNCTION("""COMPUTED_VALUE"""),"Very Good")</f>
        <v>Very Good</v>
      </c>
      <c r="Z462" s="138" t="str">
        <f>IFERROR(__xludf.DUMMYFUNCTION("""COMPUTED_VALUE"""),"Very Good")</f>
        <v>Very Good</v>
      </c>
      <c r="AA462" s="138" t="str">
        <f>IFERROR(__xludf.DUMMYFUNCTION("""COMPUTED_VALUE"""),"Good")</f>
        <v>Good</v>
      </c>
      <c r="AB462" s="138" t="str">
        <f>IFERROR(__xludf.DUMMYFUNCTION("""COMPUTED_VALUE"""),"Very Good")</f>
        <v>Very Good</v>
      </c>
      <c r="AC462" s="139"/>
      <c r="AD462" s="139"/>
      <c r="AE462" s="139"/>
      <c r="AF462" s="140" t="str">
        <f>IFERROR(__xludf.DUMMYFUNCTION("""COMPUTED_VALUE"""),"No. I took delivery of the first car Tesla was able to deliver.")</f>
        <v>No. I took delivery of the first car Tesla was able to deliver.</v>
      </c>
      <c r="AG462" s="136"/>
      <c r="AH462" s="157">
        <f>IFERROR(__xludf.DUMMYFUNCTION("""COMPUTED_VALUE"""),44408.89990423611)</f>
        <v>44408.8999</v>
      </c>
      <c r="AI462" s="138"/>
      <c r="AJ462" s="138"/>
      <c r="AK462" s="138"/>
      <c r="AL462" s="142"/>
    </row>
    <row r="463" ht="20.25" customHeight="1">
      <c r="A463" s="155" t="str">
        <f>IFERROR(__xludf.DUMMYFUNCTION("""COMPUTED_VALUE"""),"AM-Impatient")</f>
        <v>AM-Impatient</v>
      </c>
      <c r="B463" s="159" t="str">
        <f>IFERROR(__xludf.DUMMYFUNCTION("""COMPUTED_VALUE"""),"Bethesda")</f>
        <v>Bethesda</v>
      </c>
      <c r="C463" s="159" t="str">
        <f>IFERROR(__xludf.DUMMYFUNCTION("""COMPUTED_VALUE"""),"MD")</f>
        <v>MD</v>
      </c>
      <c r="D463" s="159" t="str">
        <f>IFERROR(__xludf.DUMMYFUNCTION("""COMPUTED_VALUE"""),"USA")</f>
        <v>USA</v>
      </c>
      <c r="E463" s="156">
        <f>IFERROR(__xludf.DUMMYFUNCTION("""COMPUTED_VALUE"""),44384.0)</f>
        <v>44384</v>
      </c>
      <c r="F463" s="129">
        <f>IFERROR(__xludf.DUMMYFUNCTION("""COMPUTED_VALUE"""),44404.0)</f>
        <v>44404</v>
      </c>
      <c r="G463" s="154" t="str">
        <f>IFERROR(__xludf.DUMMYFUNCTION("""COMPUTED_VALUE"""),"Manage order page (normal text)")</f>
        <v>Manage order page (normal text)</v>
      </c>
      <c r="H463" s="131"/>
      <c r="I463" s="160"/>
      <c r="J463" s="129">
        <f>IFERROR(__xludf.DUMMYFUNCTION("""COMPUTED_VALUE"""),44418.0)</f>
        <v>44418</v>
      </c>
      <c r="K463" s="133">
        <f>IFERROR(__xludf.DUMMYFUNCTION("""COMPUTED_VALUE"""),20.0)</f>
        <v>20</v>
      </c>
      <c r="L463" s="133">
        <f>IFERROR(__xludf.DUMMYFUNCTION("""COMPUTED_VALUE"""),14.0)</f>
        <v>14</v>
      </c>
      <c r="M463" s="133">
        <f>IFERROR(__xludf.DUMMYFUNCTION("""COMPUTED_VALUE"""),34.0)</f>
        <v>34</v>
      </c>
      <c r="N463" s="152" t="str">
        <f>IFERROR(__xludf.DUMMYFUNCTION("""COMPUTED_VALUE"""),"Model 3 Performance")</f>
        <v>Model 3 Performance</v>
      </c>
      <c r="O463" s="152" t="str">
        <f>IFERROR(__xludf.DUMMYFUNCTION("""COMPUTED_VALUE"""),"Deep Blue Metallic")</f>
        <v>Deep Blue Metallic</v>
      </c>
      <c r="P463" s="153" t="str">
        <f>IFERROR(__xludf.DUMMYFUNCTION("""COMPUTED_VALUE"""),"20 inch")</f>
        <v>20 inch</v>
      </c>
      <c r="Q463" s="152" t="str">
        <f>IFERROR(__xludf.DUMMYFUNCTION("""COMPUTED_VALUE"""),"All Black")</f>
        <v>All Black</v>
      </c>
      <c r="R463" s="159"/>
      <c r="S463" s="159" t="str">
        <f>IFERROR(__xludf.DUMMYFUNCTION("""COMPUTED_VALUE"""),"Loan")</f>
        <v>Loan</v>
      </c>
      <c r="T463" s="161" t="str">
        <f>IFERROR(__xludf.DUMMYFUNCTION("""COMPUTED_VALUE"""),"Mercedes CLA45 AMG")</f>
        <v>Mercedes CLA45 AMG</v>
      </c>
      <c r="U463" s="161" t="str">
        <f>IFERROR(__xludf.DUMMYFUNCTION("""COMPUTED_VALUE"""),"Electric!")</f>
        <v>Electric!</v>
      </c>
      <c r="V463" s="161" t="str">
        <f>IFERROR(__xludf.DUMMYFUNCTION("""COMPUTED_VALUE"""),"Head-up display")</f>
        <v>Head-up display</v>
      </c>
      <c r="W463" s="161" t="str">
        <f>IFERROR(__xludf.DUMMYFUNCTION("""COMPUTED_VALUE"""),"Home delivery is great if you’ll be out of town when delivery time comes")</f>
        <v>Home delivery is great if you’ll be out of town when delivery time comes</v>
      </c>
      <c r="X463" s="137" t="str">
        <f>IFERROR(__xludf.DUMMYFUNCTION("""COMPUTED_VALUE"""),"Excellent")</f>
        <v>Excellent</v>
      </c>
      <c r="Y463" s="138" t="str">
        <f>IFERROR(__xludf.DUMMYFUNCTION("""COMPUTED_VALUE"""),"Excellent")</f>
        <v>Excellent</v>
      </c>
      <c r="Z463" s="138" t="str">
        <f>IFERROR(__xludf.DUMMYFUNCTION("""COMPUTED_VALUE"""),"Excellent")</f>
        <v>Excellent</v>
      </c>
      <c r="AA463" s="138" t="str">
        <f>IFERROR(__xludf.DUMMYFUNCTION("""COMPUTED_VALUE"""),"Excellent")</f>
        <v>Excellent</v>
      </c>
      <c r="AB463" s="138" t="str">
        <f>IFERROR(__xludf.DUMMYFUNCTION("""COMPUTED_VALUE"""),"Excellent")</f>
        <v>Excellent</v>
      </c>
      <c r="AC463" s="139"/>
      <c r="AD463" s="139"/>
      <c r="AE463" s="139"/>
      <c r="AF463" s="140" t="str">
        <f>IFERROR(__xludf.DUMMYFUNCTION("""COMPUTED_VALUE"""),"No. I took delivery of the first car Tesla was able to deliver.")</f>
        <v>No. I took delivery of the first car Tesla was able to deliver.</v>
      </c>
      <c r="AG463" s="161"/>
      <c r="AH463" s="157">
        <f>IFERROR(__xludf.DUMMYFUNCTION("""COMPUTED_VALUE"""),44418.632096284724)</f>
        <v>44418.6321</v>
      </c>
      <c r="AI463" s="138"/>
      <c r="AJ463" s="138"/>
      <c r="AK463" s="138"/>
      <c r="AL463" s="142"/>
    </row>
    <row r="464" ht="20.25" customHeight="1">
      <c r="A464" s="155" t="str">
        <f>IFERROR(__xludf.DUMMYFUNCTION("""COMPUTED_VALUE"""),"cheese")</f>
        <v>cheese</v>
      </c>
      <c r="B464" s="149" t="str">
        <f>IFERROR(__xludf.DUMMYFUNCTION("""COMPUTED_VALUE"""),"Salt Lake City")</f>
        <v>Salt Lake City</v>
      </c>
      <c r="C464" s="149" t="str">
        <f>IFERROR(__xludf.DUMMYFUNCTION("""COMPUTED_VALUE"""),"UT")</f>
        <v>UT</v>
      </c>
      <c r="D464" s="149" t="str">
        <f>IFERROR(__xludf.DUMMYFUNCTION("""COMPUTED_VALUE"""),"USA")</f>
        <v>USA</v>
      </c>
      <c r="E464" s="156">
        <f>IFERROR(__xludf.DUMMYFUNCTION("""COMPUTED_VALUE"""),44384.0)</f>
        <v>44384</v>
      </c>
      <c r="F464" s="129">
        <f>IFERROR(__xludf.DUMMYFUNCTION("""COMPUTED_VALUE"""),44427.0)</f>
        <v>44427</v>
      </c>
      <c r="G464" s="154" t="str">
        <f>IFERROR(__xludf.DUMMYFUNCTION("""COMPUTED_VALUE"""),"Manage order page (normal text)")</f>
        <v>Manage order page (normal text)</v>
      </c>
      <c r="H464" s="131"/>
      <c r="I464" s="144"/>
      <c r="J464" s="129"/>
      <c r="K464" s="133">
        <f>IFERROR(__xludf.DUMMYFUNCTION("""COMPUTED_VALUE"""),43.0)</f>
        <v>43</v>
      </c>
      <c r="L464" s="133"/>
      <c r="M464" s="133"/>
      <c r="N464" s="152" t="str">
        <f>IFERROR(__xludf.DUMMYFUNCTION("""COMPUTED_VALUE"""),"Model 3 LR AWD")</f>
        <v>Model 3 LR AWD</v>
      </c>
      <c r="O464" s="152" t="str">
        <f>IFERROR(__xludf.DUMMYFUNCTION("""COMPUTED_VALUE"""),"Pearl White Multi-Coat")</f>
        <v>Pearl White Multi-Coat</v>
      </c>
      <c r="P464" s="153" t="str">
        <f>IFERROR(__xludf.DUMMYFUNCTION("""COMPUTED_VALUE"""),"18 inch")</f>
        <v>18 inch</v>
      </c>
      <c r="Q464" s="152" t="str">
        <f>IFERROR(__xludf.DUMMYFUNCTION("""COMPUTED_VALUE"""),"Black and White")</f>
        <v>Black and White</v>
      </c>
      <c r="R464" s="149" t="str">
        <f>IFERROR(__xludf.DUMMYFUNCTION("""COMPUTED_VALUE"""),"Autopilot included")</f>
        <v>Autopilot included</v>
      </c>
      <c r="S464" s="149" t="str">
        <f>IFERROR(__xludf.DUMMYFUNCTION("""COMPUTED_VALUE"""),"Loan")</f>
        <v>Loan</v>
      </c>
      <c r="T464" s="145" t="str">
        <f>IFERROR(__xludf.DUMMYFUNCTION("""COMPUTED_VALUE"""),"Nissan Leaf")</f>
        <v>Nissan Leaf</v>
      </c>
      <c r="U464" s="145" t="str">
        <f>IFERROR(__xludf.DUMMYFUNCTION("""COMPUTED_VALUE"""),"Electric!")</f>
        <v>Electric!</v>
      </c>
      <c r="V464" s="145" t="str">
        <f>IFERROR(__xludf.DUMMYFUNCTION("""COMPUTED_VALUE"""),"Apple CarPlay / Android Auto / SiriusXM Radio")</f>
        <v>Apple CarPlay / Android Auto / SiriusXM Radio</v>
      </c>
      <c r="W464" s="145"/>
      <c r="X464" s="137"/>
      <c r="Y464" s="138"/>
      <c r="Z464" s="138"/>
      <c r="AA464" s="138"/>
      <c r="AB464" s="138"/>
      <c r="AC464" s="139"/>
      <c r="AD464" s="139"/>
      <c r="AE464" s="139"/>
      <c r="AF464" s="140"/>
      <c r="AG464" s="145"/>
      <c r="AH464" s="157">
        <f>IFERROR(__xludf.DUMMYFUNCTION("""COMPUTED_VALUE"""),44427.77318748843)</f>
        <v>44427.77319</v>
      </c>
      <c r="AI464" s="138"/>
      <c r="AJ464" s="138"/>
      <c r="AK464" s="138"/>
      <c r="AL464" s="142"/>
    </row>
    <row r="465" ht="20.25" customHeight="1">
      <c r="A465" s="155" t="str">
        <f>IFERROR(__xludf.DUMMYFUNCTION("""COMPUTED_VALUE"""),"Deenadi")</f>
        <v>Deenadi</v>
      </c>
      <c r="B465" s="150" t="str">
        <f>IFERROR(__xludf.DUMMYFUNCTION("""COMPUTED_VALUE"""),"Wallington")</f>
        <v>Wallington</v>
      </c>
      <c r="C465" s="149" t="str">
        <f>IFERROR(__xludf.DUMMYFUNCTION("""COMPUTED_VALUE"""),"NJ")</f>
        <v>NJ</v>
      </c>
      <c r="D465" s="149" t="str">
        <f>IFERROR(__xludf.DUMMYFUNCTION("""COMPUTED_VALUE"""),"USA")</f>
        <v>USA</v>
      </c>
      <c r="E465" s="156">
        <f>IFERROR(__xludf.DUMMYFUNCTION("""COMPUTED_VALUE"""),44384.0)</f>
        <v>44384</v>
      </c>
      <c r="F465" s="129">
        <f>IFERROR(__xludf.DUMMYFUNCTION("""COMPUTED_VALUE"""),44426.0)</f>
        <v>44426</v>
      </c>
      <c r="G465" s="154" t="str">
        <f>IFERROR(__xludf.DUMMYFUNCTION("""COMPUTED_VALUE"""),"Manage order page (normal text)")</f>
        <v>Manage order page (normal text)</v>
      </c>
      <c r="H465" s="131">
        <f>IFERROR(__xludf.DUMMYFUNCTION("""COMPUTED_VALUE"""),44855.0)</f>
        <v>44855</v>
      </c>
      <c r="I465" s="144"/>
      <c r="J465" s="129"/>
      <c r="K465" s="133">
        <f>IFERROR(__xludf.DUMMYFUNCTION("""COMPUTED_VALUE"""),42.0)</f>
        <v>42</v>
      </c>
      <c r="L465" s="133"/>
      <c r="M465" s="133"/>
      <c r="N465" s="152" t="str">
        <f>IFERROR(__xludf.DUMMYFUNCTION("""COMPUTED_VALUE"""),"Model 3 LR AWD")</f>
        <v>Model 3 LR AWD</v>
      </c>
      <c r="O465" s="152" t="str">
        <f>IFERROR(__xludf.DUMMYFUNCTION("""COMPUTED_VALUE"""),"Pearl White Multi-Coat")</f>
        <v>Pearl White Multi-Coat</v>
      </c>
      <c r="P465" s="153" t="str">
        <f>IFERROR(__xludf.DUMMYFUNCTION("""COMPUTED_VALUE"""),"18 inch")</f>
        <v>18 inch</v>
      </c>
      <c r="Q465" s="152" t="str">
        <f>IFERROR(__xludf.DUMMYFUNCTION("""COMPUTED_VALUE"""),"All Black")</f>
        <v>All Black</v>
      </c>
      <c r="R465" s="149" t="str">
        <f>IFERROR(__xludf.DUMMYFUNCTION("""COMPUTED_VALUE"""),"Autopilot included")</f>
        <v>Autopilot included</v>
      </c>
      <c r="S465" s="149" t="str">
        <f>IFERROR(__xludf.DUMMYFUNCTION("""COMPUTED_VALUE"""),"Loan")</f>
        <v>Loan</v>
      </c>
      <c r="T465" s="136" t="str">
        <f>IFERROR(__xludf.DUMMYFUNCTION("""COMPUTED_VALUE"""),"Audi Q5")</f>
        <v>Audi Q5</v>
      </c>
      <c r="U465" s="136" t="str">
        <f>IFERROR(__xludf.DUMMYFUNCTION("""COMPUTED_VALUE"""),"Autopilot")</f>
        <v>Autopilot</v>
      </c>
      <c r="V465" s="136" t="str">
        <f>IFERROR(__xludf.DUMMYFUNCTION("""COMPUTED_VALUE"""),"Blind spot indicators on side mirrors")</f>
        <v>Blind spot indicators on side mirrors</v>
      </c>
      <c r="W465" s="136"/>
      <c r="X465" s="137"/>
      <c r="Y465" s="138"/>
      <c r="Z465" s="138"/>
      <c r="AA465" s="138"/>
      <c r="AB465" s="138"/>
      <c r="AC465" s="139"/>
      <c r="AD465" s="139"/>
      <c r="AE465" s="139"/>
      <c r="AF465" s="140"/>
      <c r="AG465" s="136"/>
      <c r="AH465" s="157">
        <f>IFERROR(__xludf.DUMMYFUNCTION("""COMPUTED_VALUE"""),44432.3216375463)</f>
        <v>44432.32164</v>
      </c>
      <c r="AI465" s="138"/>
      <c r="AJ465" s="138"/>
      <c r="AK465" s="138"/>
      <c r="AL465" s="142"/>
    </row>
    <row r="466" ht="20.25" customHeight="1">
      <c r="A466" s="155" t="str">
        <f>IFERROR(__xludf.DUMMYFUNCTION("""COMPUTED_VALUE"""),"MP3_Dan")</f>
        <v>MP3_Dan</v>
      </c>
      <c r="B466" s="149" t="str">
        <f>IFERROR(__xludf.DUMMYFUNCTION("""COMPUTED_VALUE"""),"Westlake Village")</f>
        <v>Westlake Village</v>
      </c>
      <c r="C466" s="149" t="str">
        <f>IFERROR(__xludf.DUMMYFUNCTION("""COMPUTED_VALUE"""),"CA")</f>
        <v>CA</v>
      </c>
      <c r="D466" s="149" t="str">
        <f>IFERROR(__xludf.DUMMYFUNCTION("""COMPUTED_VALUE"""),"USA")</f>
        <v>USA</v>
      </c>
      <c r="E466" s="156">
        <f>IFERROR(__xludf.DUMMYFUNCTION("""COMPUTED_VALUE"""),44384.0)</f>
        <v>44384</v>
      </c>
      <c r="F466" s="129">
        <f>IFERROR(__xludf.DUMMYFUNCTION("""COMPUTED_VALUE"""),44411.0)</f>
        <v>44411</v>
      </c>
      <c r="G466" s="154" t="str">
        <f>IFERROR(__xludf.DUMMYFUNCTION("""COMPUTED_VALUE"""),"Manage order page (normal text)")</f>
        <v>Manage order page (normal text)</v>
      </c>
      <c r="H466" s="131">
        <f>IFERROR(__xludf.DUMMYFUNCTION("""COMPUTED_VALUE"""),28355.0)</f>
        <v>28355</v>
      </c>
      <c r="I466" s="132" t="str">
        <f>IFERROR(__xludf.DUMMYFUNCTION("""COMPUTED_VALUE"""),"08/21")</f>
        <v>08/21</v>
      </c>
      <c r="J466" s="129">
        <f>IFERROR(__xludf.DUMMYFUNCTION("""COMPUTED_VALUE"""),44414.0)</f>
        <v>44414</v>
      </c>
      <c r="K466" s="133">
        <f>IFERROR(__xludf.DUMMYFUNCTION("""COMPUTED_VALUE"""),27.0)</f>
        <v>27</v>
      </c>
      <c r="L466" s="133">
        <f>IFERROR(__xludf.DUMMYFUNCTION("""COMPUTED_VALUE"""),3.0)</f>
        <v>3</v>
      </c>
      <c r="M466" s="133">
        <f>IFERROR(__xludf.DUMMYFUNCTION("""COMPUTED_VALUE"""),30.0)</f>
        <v>30</v>
      </c>
      <c r="N466" s="152" t="str">
        <f>IFERROR(__xludf.DUMMYFUNCTION("""COMPUTED_VALUE"""),"Model 3 Performance")</f>
        <v>Model 3 Performance</v>
      </c>
      <c r="O466" s="152" t="str">
        <f>IFERROR(__xludf.DUMMYFUNCTION("""COMPUTED_VALUE"""),"Midnight Silver Metallic")</f>
        <v>Midnight Silver Metallic</v>
      </c>
      <c r="P466" s="153" t="str">
        <f>IFERROR(__xludf.DUMMYFUNCTION("""COMPUTED_VALUE"""),"20 inch")</f>
        <v>20 inch</v>
      </c>
      <c r="Q466" s="152" t="str">
        <f>IFERROR(__xludf.DUMMYFUNCTION("""COMPUTED_VALUE"""),"All Black")</f>
        <v>All Black</v>
      </c>
      <c r="R466" s="150" t="str">
        <f>IFERROR(__xludf.DUMMYFUNCTION("""COMPUTED_VALUE"""),"Autopilot included")</f>
        <v>Autopilot included</v>
      </c>
      <c r="S466" s="150" t="str">
        <f>IFERROR(__xludf.DUMMYFUNCTION("""COMPUTED_VALUE"""),"Cash")</f>
        <v>Cash</v>
      </c>
      <c r="T466" s="136" t="str">
        <f>IFERROR(__xludf.DUMMYFUNCTION("""COMPUTED_VALUE"""),"Infiniti Q60 Red Sport")</f>
        <v>Infiniti Q60 Red Sport</v>
      </c>
      <c r="U466" s="136" t="str">
        <f>IFERROR(__xludf.DUMMYFUNCTION("""COMPUTED_VALUE"""),"Electric!")</f>
        <v>Electric!</v>
      </c>
      <c r="V466" s="136" t="str">
        <f>IFERROR(__xludf.DUMMYFUNCTION("""COMPUTED_VALUE"""),"Blind spot indicators on side mirrors")</f>
        <v>Blind spot indicators on side mirrors</v>
      </c>
      <c r="W466" s="136"/>
      <c r="X466" s="137" t="str">
        <f>IFERROR(__xludf.DUMMYFUNCTION("""COMPUTED_VALUE"""),"Excellent")</f>
        <v>Excellent</v>
      </c>
      <c r="Y466" s="138" t="str">
        <f>IFERROR(__xludf.DUMMYFUNCTION("""COMPUTED_VALUE"""),"Excellent")</f>
        <v>Excellent</v>
      </c>
      <c r="Z466" s="138" t="str">
        <f>IFERROR(__xludf.DUMMYFUNCTION("""COMPUTED_VALUE"""),"Excellent")</f>
        <v>Excellent</v>
      </c>
      <c r="AA466" s="138" t="str">
        <f>IFERROR(__xludf.DUMMYFUNCTION("""COMPUTED_VALUE"""),"Excellent")</f>
        <v>Excellent</v>
      </c>
      <c r="AB466" s="138" t="str">
        <f>IFERROR(__xludf.DUMMYFUNCTION("""COMPUTED_VALUE"""),"Excellent")</f>
        <v>Excellent</v>
      </c>
      <c r="AC466" s="139"/>
      <c r="AD466" s="139"/>
      <c r="AE466" s="139"/>
      <c r="AF466" s="140" t="str">
        <f>IFERROR(__xludf.DUMMYFUNCTION("""COMPUTED_VALUE"""),"No. I took delivery of the first car Tesla was able to deliver.")</f>
        <v>No. I took delivery of the first car Tesla was able to deliver.</v>
      </c>
      <c r="AG466" s="136"/>
      <c r="AH466" s="157">
        <f>IFERROR(__xludf.DUMMYFUNCTION("""COMPUTED_VALUE"""),44416.36010664352)</f>
        <v>44416.36011</v>
      </c>
      <c r="AI466" s="138"/>
      <c r="AJ466" s="138"/>
      <c r="AK466" s="138"/>
      <c r="AL466" s="142"/>
    </row>
    <row r="467" ht="20.25" customHeight="1">
      <c r="A467" s="155" t="str">
        <f>IFERROR(__xludf.DUMMYFUNCTION("""COMPUTED_VALUE"""),"msnj")</f>
        <v>msnj</v>
      </c>
      <c r="B467" s="149" t="str">
        <f>IFERROR(__xludf.DUMMYFUNCTION("""COMPUTED_VALUE"""),"Paramus")</f>
        <v>Paramus</v>
      </c>
      <c r="C467" s="149" t="str">
        <f>IFERROR(__xludf.DUMMYFUNCTION("""COMPUTED_VALUE"""),"NJ")</f>
        <v>NJ</v>
      </c>
      <c r="D467" s="149" t="str">
        <f>IFERROR(__xludf.DUMMYFUNCTION("""COMPUTED_VALUE"""),"USA")</f>
        <v>USA</v>
      </c>
      <c r="E467" s="156">
        <f>IFERROR(__xludf.DUMMYFUNCTION("""COMPUTED_VALUE"""),44384.0)</f>
        <v>44384</v>
      </c>
      <c r="F467" s="129">
        <f>IFERROR(__xludf.DUMMYFUNCTION("""COMPUTED_VALUE"""),44430.0)</f>
        <v>44430</v>
      </c>
      <c r="G467" s="154" t="str">
        <f>IFERROR(__xludf.DUMMYFUNCTION("""COMPUTED_VALUE"""),"Email")</f>
        <v>Email</v>
      </c>
      <c r="H467" s="131"/>
      <c r="I467" s="144"/>
      <c r="J467" s="129">
        <f>IFERROR(__xludf.DUMMYFUNCTION("""COMPUTED_VALUE"""),44446.0)</f>
        <v>44446</v>
      </c>
      <c r="K467" s="133">
        <f>IFERROR(__xludf.DUMMYFUNCTION("""COMPUTED_VALUE"""),46.0)</f>
        <v>46</v>
      </c>
      <c r="L467" s="133">
        <f>IFERROR(__xludf.DUMMYFUNCTION("""COMPUTED_VALUE"""),16.0)</f>
        <v>16</v>
      </c>
      <c r="M467" s="133">
        <f>IFERROR(__xludf.DUMMYFUNCTION("""COMPUTED_VALUE"""),62.0)</f>
        <v>62</v>
      </c>
      <c r="N467" s="152" t="str">
        <f>IFERROR(__xludf.DUMMYFUNCTION("""COMPUTED_VALUE"""),"Model 3 SR+")</f>
        <v>Model 3 SR+</v>
      </c>
      <c r="O467" s="152" t="str">
        <f>IFERROR(__xludf.DUMMYFUNCTION("""COMPUTED_VALUE"""),"Deep Blue Metallic")</f>
        <v>Deep Blue Metallic</v>
      </c>
      <c r="P467" s="153" t="str">
        <f>IFERROR(__xludf.DUMMYFUNCTION("""COMPUTED_VALUE"""),"18 inch")</f>
        <v>18 inch</v>
      </c>
      <c r="Q467" s="152" t="str">
        <f>IFERROR(__xludf.DUMMYFUNCTION("""COMPUTED_VALUE"""),"All Black")</f>
        <v>All Black</v>
      </c>
      <c r="R467" s="149" t="str">
        <f>IFERROR(__xludf.DUMMYFUNCTION("""COMPUTED_VALUE"""),"Autopilot included")</f>
        <v>Autopilot included</v>
      </c>
      <c r="S467" s="149" t="str">
        <f>IFERROR(__xludf.DUMMYFUNCTION("""COMPUTED_VALUE"""),"Loan")</f>
        <v>Loan</v>
      </c>
      <c r="T467" s="145" t="str">
        <f>IFERROR(__xludf.DUMMYFUNCTION("""COMPUTED_VALUE"""),"Kia Optima")</f>
        <v>Kia Optima</v>
      </c>
      <c r="U467" s="145" t="str">
        <f>IFERROR(__xludf.DUMMYFUNCTION("""COMPUTED_VALUE"""),"Electric!")</f>
        <v>Electric!</v>
      </c>
      <c r="V467" s="145" t="str">
        <f>IFERROR(__xludf.DUMMYFUNCTION("""COMPUTED_VALUE"""),"Apple CarPlay / Android Auto / SiriusXM Radio")</f>
        <v>Apple CarPlay / Android Auto / SiriusXM Radio</v>
      </c>
      <c r="W467" s="136"/>
      <c r="X467" s="162"/>
      <c r="Y467" s="138"/>
      <c r="Z467" s="138"/>
      <c r="AA467" s="138"/>
      <c r="AB467" s="138"/>
      <c r="AC467" s="139"/>
      <c r="AD467" s="139"/>
      <c r="AE467" s="139"/>
      <c r="AF467" s="140"/>
      <c r="AG467" s="136"/>
      <c r="AH467" s="157">
        <f>IFERROR(__xludf.DUMMYFUNCTION("""COMPUTED_VALUE"""),44431.8060087963)</f>
        <v>44431.80601</v>
      </c>
      <c r="AI467" s="138"/>
      <c r="AJ467" s="138"/>
      <c r="AK467" s="138"/>
      <c r="AL467" s="142"/>
    </row>
    <row r="468" ht="20.25" customHeight="1">
      <c r="A468" s="155" t="str">
        <f>IFERROR(__xludf.DUMMYFUNCTION("""COMPUTED_VALUE"""),"normana10")</f>
        <v>normana10</v>
      </c>
      <c r="B468" s="149" t="str">
        <f>IFERROR(__xludf.DUMMYFUNCTION("""COMPUTED_VALUE"""),"College Park")</f>
        <v>College Park</v>
      </c>
      <c r="C468" s="149" t="str">
        <f>IFERROR(__xludf.DUMMYFUNCTION("""COMPUTED_VALUE"""),"MD")</f>
        <v>MD</v>
      </c>
      <c r="D468" s="149" t="str">
        <f>IFERROR(__xludf.DUMMYFUNCTION("""COMPUTED_VALUE"""),"USA")</f>
        <v>USA</v>
      </c>
      <c r="E468" s="156">
        <f>IFERROR(__xludf.DUMMYFUNCTION("""COMPUTED_VALUE"""),44384.0)</f>
        <v>44384</v>
      </c>
      <c r="F468" s="129">
        <f>IFERROR(__xludf.DUMMYFUNCTION("""COMPUTED_VALUE"""),44413.0)</f>
        <v>44413</v>
      </c>
      <c r="G468" s="154" t="str">
        <f>IFERROR(__xludf.DUMMYFUNCTION("""COMPUTED_VALUE"""),"Manage order page (normal text)")</f>
        <v>Manage order page (normal text)</v>
      </c>
      <c r="H468" s="131">
        <f>IFERROR(__xludf.DUMMYFUNCTION("""COMPUTED_VALUE"""),30455.0)</f>
        <v>30455</v>
      </c>
      <c r="I468" s="144"/>
      <c r="J468" s="129">
        <f>IFERROR(__xludf.DUMMYFUNCTION("""COMPUTED_VALUE"""),44426.0)</f>
        <v>44426</v>
      </c>
      <c r="K468" s="133">
        <f>IFERROR(__xludf.DUMMYFUNCTION("""COMPUTED_VALUE"""),29.0)</f>
        <v>29</v>
      </c>
      <c r="L468" s="133">
        <f>IFERROR(__xludf.DUMMYFUNCTION("""COMPUTED_VALUE"""),13.0)</f>
        <v>13</v>
      </c>
      <c r="M468" s="133">
        <f>IFERROR(__xludf.DUMMYFUNCTION("""COMPUTED_VALUE"""),42.0)</f>
        <v>42</v>
      </c>
      <c r="N468" s="152" t="str">
        <f>IFERROR(__xludf.DUMMYFUNCTION("""COMPUTED_VALUE"""),"Model 3 SR+")</f>
        <v>Model 3 SR+</v>
      </c>
      <c r="O468" s="152" t="str">
        <f>IFERROR(__xludf.DUMMYFUNCTION("""COMPUTED_VALUE"""),"Pearl White Multi-Coat")</f>
        <v>Pearl White Multi-Coat</v>
      </c>
      <c r="P468" s="153" t="str">
        <f>IFERROR(__xludf.DUMMYFUNCTION("""COMPUTED_VALUE"""),"18 inch")</f>
        <v>18 inch</v>
      </c>
      <c r="Q468" s="152" t="str">
        <f>IFERROR(__xludf.DUMMYFUNCTION("""COMPUTED_VALUE"""),"All Black")</f>
        <v>All Black</v>
      </c>
      <c r="R468" s="149" t="str">
        <f>IFERROR(__xludf.DUMMYFUNCTION("""COMPUTED_VALUE"""),"Autopilot included")</f>
        <v>Autopilot included</v>
      </c>
      <c r="S468" s="149" t="str">
        <f>IFERROR(__xludf.DUMMYFUNCTION("""COMPUTED_VALUE"""),"Loan")</f>
        <v>Loan</v>
      </c>
      <c r="T468" s="145" t="str">
        <f>IFERROR(__xludf.DUMMYFUNCTION("""COMPUTED_VALUE"""),"Ford Mustang")</f>
        <v>Ford Mustang</v>
      </c>
      <c r="U468" s="145" t="str">
        <f>IFERROR(__xludf.DUMMYFUNCTION("""COMPUTED_VALUE"""),"Electric!")</f>
        <v>Electric!</v>
      </c>
      <c r="V468" s="145" t="str">
        <f>IFERROR(__xludf.DUMMYFUNCTION("""COMPUTED_VALUE"""),"360° Bird's eye view")</f>
        <v>360° Bird's eye view</v>
      </c>
      <c r="W468" s="136"/>
      <c r="X468" s="137"/>
      <c r="Y468" s="138"/>
      <c r="Z468" s="138"/>
      <c r="AA468" s="138"/>
      <c r="AB468" s="138"/>
      <c r="AC468" s="139"/>
      <c r="AD468" s="139"/>
      <c r="AE468" s="139"/>
      <c r="AF468" s="140"/>
      <c r="AG468" s="136"/>
      <c r="AH468" s="157">
        <f>IFERROR(__xludf.DUMMYFUNCTION("""COMPUTED_VALUE"""),44419.721601990736)</f>
        <v>44419.7216</v>
      </c>
      <c r="AI468" s="138"/>
      <c r="AJ468" s="138"/>
      <c r="AK468" s="138"/>
      <c r="AL468" s="142"/>
    </row>
    <row r="469" ht="20.25" customHeight="1">
      <c r="A469" s="155" t="str">
        <f>IFERROR(__xludf.DUMMYFUNCTION("""COMPUTED_VALUE"""),"PartyBoy")</f>
        <v>PartyBoy</v>
      </c>
      <c r="B469" s="149"/>
      <c r="C469" s="149" t="str">
        <f>IFERROR(__xludf.DUMMYFUNCTION("""COMPUTED_VALUE"""),"WA")</f>
        <v>WA</v>
      </c>
      <c r="D469" s="149" t="str">
        <f>IFERROR(__xludf.DUMMYFUNCTION("""COMPUTED_VALUE"""),"USA")</f>
        <v>USA</v>
      </c>
      <c r="E469" s="156">
        <f>IFERROR(__xludf.DUMMYFUNCTION("""COMPUTED_VALUE"""),44384.0)</f>
        <v>44384</v>
      </c>
      <c r="F469" s="129">
        <f>IFERROR(__xludf.DUMMYFUNCTION("""COMPUTED_VALUE"""),44418.0)</f>
        <v>44418</v>
      </c>
      <c r="G469" s="154" t="str">
        <f>IFERROR(__xludf.DUMMYFUNCTION("""COMPUTED_VALUE"""),"Manage order page (normal text)")</f>
        <v>Manage order page (normal text)</v>
      </c>
      <c r="H469" s="131">
        <f>IFERROR(__xludf.DUMMYFUNCTION("""COMPUTED_VALUE"""),36255.0)</f>
        <v>36255</v>
      </c>
      <c r="I469" s="132"/>
      <c r="J469" s="129">
        <f>IFERROR(__xludf.DUMMYFUNCTION("""COMPUTED_VALUE"""),44421.0)</f>
        <v>44421</v>
      </c>
      <c r="K469" s="133">
        <f>IFERROR(__xludf.DUMMYFUNCTION("""COMPUTED_VALUE"""),34.0)</f>
        <v>34</v>
      </c>
      <c r="L469" s="133">
        <f>IFERROR(__xludf.DUMMYFUNCTION("""COMPUTED_VALUE"""),3.0)</f>
        <v>3</v>
      </c>
      <c r="M469" s="133">
        <f>IFERROR(__xludf.DUMMYFUNCTION("""COMPUTED_VALUE"""),37.0)</f>
        <v>37</v>
      </c>
      <c r="N469" s="152" t="str">
        <f>IFERROR(__xludf.DUMMYFUNCTION("""COMPUTED_VALUE"""),"Model 3 Performance")</f>
        <v>Model 3 Performance</v>
      </c>
      <c r="O469" s="152" t="str">
        <f>IFERROR(__xludf.DUMMYFUNCTION("""COMPUTED_VALUE"""),"Red Multi-Coat")</f>
        <v>Red Multi-Coat</v>
      </c>
      <c r="P469" s="153" t="str">
        <f>IFERROR(__xludf.DUMMYFUNCTION("""COMPUTED_VALUE"""),"20 inch")</f>
        <v>20 inch</v>
      </c>
      <c r="Q469" s="152" t="str">
        <f>IFERROR(__xludf.DUMMYFUNCTION("""COMPUTED_VALUE"""),"All Black")</f>
        <v>All Black</v>
      </c>
      <c r="R469" s="150" t="str">
        <f>IFERROR(__xludf.DUMMYFUNCTION("""COMPUTED_VALUE"""),"Autopilot included")</f>
        <v>Autopilot included</v>
      </c>
      <c r="S469" s="150" t="str">
        <f>IFERROR(__xludf.DUMMYFUNCTION("""COMPUTED_VALUE"""),"Cash")</f>
        <v>Cash</v>
      </c>
      <c r="T469" s="136" t="str">
        <f>IFERROR(__xludf.DUMMYFUNCTION("""COMPUTED_VALUE"""),"Honda Accord")</f>
        <v>Honda Accord</v>
      </c>
      <c r="U469" s="136" t="str">
        <f>IFERROR(__xludf.DUMMYFUNCTION("""COMPUTED_VALUE"""),"Electric!")</f>
        <v>Electric!</v>
      </c>
      <c r="V469" s="136" t="str">
        <f>IFERROR(__xludf.DUMMYFUNCTION("""COMPUTED_VALUE"""),"Head-up display")</f>
        <v>Head-up display</v>
      </c>
      <c r="W469" s="136"/>
      <c r="X469" s="137"/>
      <c r="Y469" s="138"/>
      <c r="Z469" s="138"/>
      <c r="AA469" s="138"/>
      <c r="AB469" s="138"/>
      <c r="AC469" s="139"/>
      <c r="AD469" s="139"/>
      <c r="AE469" s="139"/>
      <c r="AF469" s="140"/>
      <c r="AG469" s="136"/>
      <c r="AH469" s="157">
        <f>IFERROR(__xludf.DUMMYFUNCTION("""COMPUTED_VALUE"""),44420.88824422453)</f>
        <v>44420.88824</v>
      </c>
      <c r="AI469" s="138"/>
      <c r="AJ469" s="138"/>
      <c r="AK469" s="138"/>
      <c r="AL469" s="142"/>
    </row>
    <row r="470" ht="20.25" customHeight="1">
      <c r="A470" s="155" t="str">
        <f>IFERROR(__xludf.DUMMYFUNCTION("""COMPUTED_VALUE"""),"PlsHurryUp")</f>
        <v>PlsHurryUp</v>
      </c>
      <c r="B470" s="149" t="str">
        <f>IFERROR(__xludf.DUMMYFUNCTION("""COMPUTED_VALUE"""),"Orlando")</f>
        <v>Orlando</v>
      </c>
      <c r="C470" s="149" t="str">
        <f>IFERROR(__xludf.DUMMYFUNCTION("""COMPUTED_VALUE"""),"FL")</f>
        <v>FL</v>
      </c>
      <c r="D470" s="149" t="str">
        <f>IFERROR(__xludf.DUMMYFUNCTION("""COMPUTED_VALUE"""),"USA")</f>
        <v>USA</v>
      </c>
      <c r="E470" s="156">
        <f>IFERROR(__xludf.DUMMYFUNCTION("""COMPUTED_VALUE"""),44384.0)</f>
        <v>44384</v>
      </c>
      <c r="F470" s="129">
        <f>IFERROR(__xludf.DUMMYFUNCTION("""COMPUTED_VALUE"""),44435.0)</f>
        <v>44435</v>
      </c>
      <c r="G470" s="154" t="str">
        <f>IFERROR(__xludf.DUMMYFUNCTION("""COMPUTED_VALUE"""),"Existing Inventory")</f>
        <v>Existing Inventory</v>
      </c>
      <c r="H470" s="131"/>
      <c r="I470" s="132"/>
      <c r="J470" s="129"/>
      <c r="K470" s="133">
        <f>IFERROR(__xludf.DUMMYFUNCTION("""COMPUTED_VALUE"""),51.0)</f>
        <v>51</v>
      </c>
      <c r="L470" s="133"/>
      <c r="M470" s="133"/>
      <c r="N470" s="152" t="str">
        <f>IFERROR(__xludf.DUMMYFUNCTION("""COMPUTED_VALUE"""),"Model 3 SR+")</f>
        <v>Model 3 SR+</v>
      </c>
      <c r="O470" s="152" t="str">
        <f>IFERROR(__xludf.DUMMYFUNCTION("""COMPUTED_VALUE"""),"Pearl White Multi-Coat")</f>
        <v>Pearl White Multi-Coat</v>
      </c>
      <c r="P470" s="153" t="str">
        <f>IFERROR(__xludf.DUMMYFUNCTION("""COMPUTED_VALUE"""),"18 inch")</f>
        <v>18 inch</v>
      </c>
      <c r="Q470" s="152" t="str">
        <f>IFERROR(__xludf.DUMMYFUNCTION("""COMPUTED_VALUE"""),"All Black")</f>
        <v>All Black</v>
      </c>
      <c r="R470" s="150" t="str">
        <f>IFERROR(__xludf.DUMMYFUNCTION("""COMPUTED_VALUE"""),"Autopilot included")</f>
        <v>Autopilot included</v>
      </c>
      <c r="S470" s="150" t="str">
        <f>IFERROR(__xludf.DUMMYFUNCTION("""COMPUTED_VALUE"""),"Loan")</f>
        <v>Loan</v>
      </c>
      <c r="T470" s="136" t="str">
        <f>IFERROR(__xludf.DUMMYFUNCTION("""COMPUTED_VALUE"""),"Honda Civic")</f>
        <v>Honda Civic</v>
      </c>
      <c r="U470" s="136" t="str">
        <f>IFERROR(__xludf.DUMMYFUNCTION("""COMPUTED_VALUE"""),"Electric!")</f>
        <v>Electric!</v>
      </c>
      <c r="V470" s="145" t="str">
        <f>IFERROR(__xludf.DUMMYFUNCTION("""COMPUTED_VALUE"""),"Ventilated seats")</f>
        <v>Ventilated seats</v>
      </c>
      <c r="W470" s="136"/>
      <c r="X470" s="137"/>
      <c r="Y470" s="138"/>
      <c r="Z470" s="138"/>
      <c r="AA470" s="138"/>
      <c r="AB470" s="138"/>
      <c r="AC470" s="139"/>
      <c r="AD470" s="139"/>
      <c r="AE470" s="139"/>
      <c r="AF470" s="140"/>
      <c r="AG470" s="136"/>
      <c r="AH470" s="157">
        <f>IFERROR(__xludf.DUMMYFUNCTION("""COMPUTED_VALUE"""),44435.94910516204)</f>
        <v>44435.94911</v>
      </c>
      <c r="AI470" s="138"/>
      <c r="AJ470" s="138"/>
      <c r="AK470" s="138"/>
      <c r="AL470" s="142"/>
    </row>
    <row r="471" ht="20.25" customHeight="1">
      <c r="A471" s="155" t="str">
        <f>IFERROR(__xludf.DUMMYFUNCTION("""COMPUTED_VALUE"""),"SUHR ALEX")</f>
        <v>SUHR ALEX</v>
      </c>
      <c r="B471" s="149" t="str">
        <f>IFERROR(__xludf.DUMMYFUNCTION("""COMPUTED_VALUE"""),"LONDON")</f>
        <v>LONDON</v>
      </c>
      <c r="C471" s="149"/>
      <c r="D471" s="149" t="str">
        <f>IFERROR(__xludf.DUMMYFUNCTION("""COMPUTED_VALUE"""),"United Kingdom")</f>
        <v>United Kingdom</v>
      </c>
      <c r="E471" s="156">
        <f>IFERROR(__xludf.DUMMYFUNCTION("""COMPUTED_VALUE"""),44384.0)</f>
        <v>44384</v>
      </c>
      <c r="F471" s="129">
        <f>IFERROR(__xludf.DUMMYFUNCTION("""COMPUTED_VALUE"""),44407.0)</f>
        <v>44407</v>
      </c>
      <c r="G471" s="154" t="str">
        <f>IFERROR(__xludf.DUMMYFUNCTION("""COMPUTED_VALUE"""),"TESLA ONLINE CHAT")</f>
        <v>TESLA ONLINE CHAT</v>
      </c>
      <c r="H471" s="131">
        <f>IFERROR(__xludf.DUMMYFUNCTION("""COMPUTED_VALUE"""),311655.0)</f>
        <v>311655</v>
      </c>
      <c r="I471" s="144"/>
      <c r="J471" s="129">
        <f>IFERROR(__xludf.DUMMYFUNCTION("""COMPUTED_VALUE"""),44447.0)</f>
        <v>44447</v>
      </c>
      <c r="K471" s="133">
        <f>IFERROR(__xludf.DUMMYFUNCTION("""COMPUTED_VALUE"""),23.0)</f>
        <v>23</v>
      </c>
      <c r="L471" s="133">
        <f>IFERROR(__xludf.DUMMYFUNCTION("""COMPUTED_VALUE"""),40.0)</f>
        <v>40</v>
      </c>
      <c r="M471" s="133">
        <f>IFERROR(__xludf.DUMMYFUNCTION("""COMPUTED_VALUE"""),63.0)</f>
        <v>63</v>
      </c>
      <c r="N471" s="152" t="str">
        <f>IFERROR(__xludf.DUMMYFUNCTION("""COMPUTED_VALUE"""),"Model 3 LR AWD")</f>
        <v>Model 3 LR AWD</v>
      </c>
      <c r="O471" s="152" t="str">
        <f>IFERROR(__xludf.DUMMYFUNCTION("""COMPUTED_VALUE"""),"Midnight Silver Metallic")</f>
        <v>Midnight Silver Metallic</v>
      </c>
      <c r="P471" s="153" t="str">
        <f>IFERROR(__xludf.DUMMYFUNCTION("""COMPUTED_VALUE"""),"18 inch")</f>
        <v>18 inch</v>
      </c>
      <c r="Q471" s="152" t="str">
        <f>IFERROR(__xludf.DUMMYFUNCTION("""COMPUTED_VALUE"""),"All Black")</f>
        <v>All Black</v>
      </c>
      <c r="R471" s="149"/>
      <c r="S471" s="149" t="str">
        <f>IFERROR(__xludf.DUMMYFUNCTION("""COMPUTED_VALUE"""),"Lease")</f>
        <v>Lease</v>
      </c>
      <c r="T471" s="145" t="str">
        <f>IFERROR(__xludf.DUMMYFUNCTION("""COMPUTED_VALUE"""),"PEUGEOT 5008")</f>
        <v>PEUGEOT 5008</v>
      </c>
      <c r="U471" s="145" t="str">
        <f>IFERROR(__xludf.DUMMYFUNCTION("""COMPUTED_VALUE"""),"Electric!")</f>
        <v>Electric!</v>
      </c>
      <c r="V471" s="145" t="str">
        <f>IFERROR(__xludf.DUMMYFUNCTION("""COMPUTED_VALUE"""),"Apple CarPlay / Android Auto / SiriusXM Radio")</f>
        <v>Apple CarPlay / Android Auto / SiriusXM Radio</v>
      </c>
      <c r="W471" s="145"/>
      <c r="X471" s="137"/>
      <c r="Y471" s="138"/>
      <c r="Z471" s="138"/>
      <c r="AA471" s="138"/>
      <c r="AB471" s="138"/>
      <c r="AC471" s="139"/>
      <c r="AD471" s="139"/>
      <c r="AE471" s="139"/>
      <c r="AF471" s="140"/>
      <c r="AG471" s="145"/>
      <c r="AH471" s="157">
        <f>IFERROR(__xludf.DUMMYFUNCTION("""COMPUTED_VALUE"""),44411.16256333333)</f>
        <v>44411.16256</v>
      </c>
      <c r="AI471" s="138"/>
      <c r="AJ471" s="138"/>
      <c r="AK471" s="138"/>
      <c r="AL471" s="142"/>
    </row>
    <row r="472" ht="20.25" customHeight="1">
      <c r="A472" s="155" t="str">
        <f>IFERROR(__xludf.DUMMYFUNCTION("""COMPUTED_VALUE"""),"Zuzi")</f>
        <v>Zuzi</v>
      </c>
      <c r="B472" s="149" t="str">
        <f>IFERROR(__xludf.DUMMYFUNCTION("""COMPUTED_VALUE"""),"Tromso")</f>
        <v>Tromso</v>
      </c>
      <c r="C472" s="149"/>
      <c r="D472" s="149" t="str">
        <f>IFERROR(__xludf.DUMMYFUNCTION("""COMPUTED_VALUE"""),"Norway")</f>
        <v>Norway</v>
      </c>
      <c r="E472" s="156">
        <f>IFERROR(__xludf.DUMMYFUNCTION("""COMPUTED_VALUE"""),44384.0)</f>
        <v>44384</v>
      </c>
      <c r="F472" s="129">
        <f>IFERROR(__xludf.DUMMYFUNCTION("""COMPUTED_VALUE"""),44494.0)</f>
        <v>44494</v>
      </c>
      <c r="G472" s="154" t="str">
        <f>IFERROR(__xludf.DUMMYFUNCTION("""COMPUTED_VALUE"""),"Source code")</f>
        <v>Source code</v>
      </c>
      <c r="H472" s="131"/>
      <c r="I472" s="144"/>
      <c r="J472" s="129"/>
      <c r="K472" s="133">
        <f>IFERROR(__xludf.DUMMYFUNCTION("""COMPUTED_VALUE"""),110.0)</f>
        <v>110</v>
      </c>
      <c r="L472" s="133"/>
      <c r="M472" s="133"/>
      <c r="N472" s="152" t="str">
        <f>IFERROR(__xludf.DUMMYFUNCTION("""COMPUTED_VALUE"""),"Model 3 LR AWD")</f>
        <v>Model 3 LR AWD</v>
      </c>
      <c r="O472" s="152" t="str">
        <f>IFERROR(__xludf.DUMMYFUNCTION("""COMPUTED_VALUE"""),"Red Multi-Coat")</f>
        <v>Red Multi-Coat</v>
      </c>
      <c r="P472" s="153" t="str">
        <f>IFERROR(__xludf.DUMMYFUNCTION("""COMPUTED_VALUE"""),"18 inch")</f>
        <v>18 inch</v>
      </c>
      <c r="Q472" s="152" t="str">
        <f>IFERROR(__xludf.DUMMYFUNCTION("""COMPUTED_VALUE"""),"All Black")</f>
        <v>All Black</v>
      </c>
      <c r="R472" s="149" t="str">
        <f>IFERROR(__xludf.DUMMYFUNCTION("""COMPUTED_VALUE"""),"Autopilot included")</f>
        <v>Autopilot included</v>
      </c>
      <c r="S472" s="149" t="str">
        <f>IFERROR(__xludf.DUMMYFUNCTION("""COMPUTED_VALUE"""),"Loan")</f>
        <v>Loan</v>
      </c>
      <c r="T472" s="145"/>
      <c r="U472" s="145"/>
      <c r="V472" s="145" t="str">
        <f>IFERROR(__xludf.DUMMYFUNCTION("""COMPUTED_VALUE"""),"Ventilated seats")</f>
        <v>Ventilated seats</v>
      </c>
      <c r="W472" s="145"/>
      <c r="X472" s="137"/>
      <c r="Y472" s="138"/>
      <c r="Z472" s="138"/>
      <c r="AA472" s="138"/>
      <c r="AB472" s="138"/>
      <c r="AC472" s="139"/>
      <c r="AD472" s="139"/>
      <c r="AE472" s="139"/>
      <c r="AF472" s="140"/>
      <c r="AG472" s="145"/>
      <c r="AH472" s="157">
        <f>IFERROR(__xludf.DUMMYFUNCTION("""COMPUTED_VALUE"""),44499.08981056713)</f>
        <v>44499.08981</v>
      </c>
      <c r="AI472" s="138"/>
      <c r="AJ472" s="138"/>
      <c r="AK472" s="138"/>
      <c r="AL472" s="142"/>
    </row>
    <row r="473" ht="20.25" customHeight="1">
      <c r="A473" s="155" t="str">
        <f>IFERROR(__xludf.DUMMYFUNCTION("""COMPUTED_VALUE"""),"Naturiol")</f>
        <v>Naturiol</v>
      </c>
      <c r="B473" s="149"/>
      <c r="C473" s="149"/>
      <c r="D473" s="149" t="str">
        <f>IFERROR(__xludf.DUMMYFUNCTION("""COMPUTED_VALUE"""),"United Kingdom")</f>
        <v>United Kingdom</v>
      </c>
      <c r="E473" s="156">
        <f>IFERROR(__xludf.DUMMYFUNCTION("""COMPUTED_VALUE"""),44383.0)</f>
        <v>44383</v>
      </c>
      <c r="F473" s="129">
        <f>IFERROR(__xludf.DUMMYFUNCTION("""COMPUTED_VALUE"""),44427.0)</f>
        <v>44427</v>
      </c>
      <c r="G473" s="154" t="str">
        <f>IFERROR(__xludf.DUMMYFUNCTION("""COMPUTED_VALUE"""),"Live chat")</f>
        <v>Live chat</v>
      </c>
      <c r="H473" s="131">
        <f>IFERROR(__xludf.DUMMYFUNCTION("""COMPUTED_VALUE"""),315155.0)</f>
        <v>315155</v>
      </c>
      <c r="I473" s="144"/>
      <c r="J473" s="129">
        <f>IFERROR(__xludf.DUMMYFUNCTION("""COMPUTED_VALUE"""),44441.0)</f>
        <v>44441</v>
      </c>
      <c r="K473" s="133">
        <f>IFERROR(__xludf.DUMMYFUNCTION("""COMPUTED_VALUE"""),44.0)</f>
        <v>44</v>
      </c>
      <c r="L473" s="133">
        <f>IFERROR(__xludf.DUMMYFUNCTION("""COMPUTED_VALUE"""),14.0)</f>
        <v>14</v>
      </c>
      <c r="M473" s="133">
        <f>IFERROR(__xludf.DUMMYFUNCTION("""COMPUTED_VALUE"""),58.0)</f>
        <v>58</v>
      </c>
      <c r="N473" s="152" t="str">
        <f>IFERROR(__xludf.DUMMYFUNCTION("""COMPUTED_VALUE"""),"Model 3 SR+")</f>
        <v>Model 3 SR+</v>
      </c>
      <c r="O473" s="152" t="str">
        <f>IFERROR(__xludf.DUMMYFUNCTION("""COMPUTED_VALUE"""),"Pearl White Multi-Coat")</f>
        <v>Pearl White Multi-Coat</v>
      </c>
      <c r="P473" s="153"/>
      <c r="Q473" s="152"/>
      <c r="R473" s="149"/>
      <c r="S473" s="149" t="str">
        <f>IFERROR(__xludf.DUMMYFUNCTION("""COMPUTED_VALUE"""),"Lease")</f>
        <v>Lease</v>
      </c>
      <c r="T473" s="145"/>
      <c r="U473" s="145"/>
      <c r="V473" s="145"/>
      <c r="W473" s="136"/>
      <c r="X473" s="137"/>
      <c r="Y473" s="138"/>
      <c r="Z473" s="138"/>
      <c r="AA473" s="138"/>
      <c r="AB473" s="138"/>
      <c r="AC473" s="139"/>
      <c r="AD473" s="139"/>
      <c r="AE473" s="139"/>
      <c r="AF473" s="140"/>
      <c r="AG473" s="136"/>
      <c r="AH473" s="157">
        <f>IFERROR(__xludf.DUMMYFUNCTION("""COMPUTED_VALUE"""),44428.16460837963)</f>
        <v>44428.16461</v>
      </c>
      <c r="AI473" s="138"/>
      <c r="AJ473" s="138"/>
      <c r="AK473" s="138"/>
      <c r="AL473" s="142"/>
    </row>
    <row r="474" ht="20.25" customHeight="1">
      <c r="A474" s="155" t="str">
        <f>IFERROR(__xludf.DUMMYFUNCTION("""COMPUTED_VALUE"""),"nerdalert")</f>
        <v>nerdalert</v>
      </c>
      <c r="B474" s="149"/>
      <c r="C474" s="149" t="str">
        <f>IFERROR(__xludf.DUMMYFUNCTION("""COMPUTED_VALUE"""),"VA")</f>
        <v>VA</v>
      </c>
      <c r="D474" s="149" t="str">
        <f>IFERROR(__xludf.DUMMYFUNCTION("""COMPUTED_VALUE"""),"USA")</f>
        <v>USA</v>
      </c>
      <c r="E474" s="156">
        <f>IFERROR(__xludf.DUMMYFUNCTION("""COMPUTED_VALUE"""),44383.0)</f>
        <v>44383</v>
      </c>
      <c r="F474" s="129">
        <f>IFERROR(__xludf.DUMMYFUNCTION("""COMPUTED_VALUE"""),44419.0)</f>
        <v>44419</v>
      </c>
      <c r="G474" s="154" t="str">
        <f>IFERROR(__xludf.DUMMYFUNCTION("""COMPUTED_VALUE"""),"Manage order page (normal text)")</f>
        <v>Manage order page (normal text)</v>
      </c>
      <c r="H474" s="131"/>
      <c r="I474" s="144"/>
      <c r="J474" s="129"/>
      <c r="K474" s="133">
        <f>IFERROR(__xludf.DUMMYFUNCTION("""COMPUTED_VALUE"""),36.0)</f>
        <v>36</v>
      </c>
      <c r="L474" s="133"/>
      <c r="M474" s="133"/>
      <c r="N474" s="152" t="str">
        <f>IFERROR(__xludf.DUMMYFUNCTION("""COMPUTED_VALUE"""),"Model 3 LR AWD")</f>
        <v>Model 3 LR AWD</v>
      </c>
      <c r="O474" s="152" t="str">
        <f>IFERROR(__xludf.DUMMYFUNCTION("""COMPUTED_VALUE"""),"Midnight Silver Metallic")</f>
        <v>Midnight Silver Metallic</v>
      </c>
      <c r="P474" s="153" t="str">
        <f>IFERROR(__xludf.DUMMYFUNCTION("""COMPUTED_VALUE"""),"18 inch")</f>
        <v>18 inch</v>
      </c>
      <c r="Q474" s="152" t="str">
        <f>IFERROR(__xludf.DUMMYFUNCTION("""COMPUTED_VALUE"""),"All Black")</f>
        <v>All Black</v>
      </c>
      <c r="R474" s="149" t="str">
        <f>IFERROR(__xludf.DUMMYFUNCTION("""COMPUTED_VALUE"""),"Autopilot included")</f>
        <v>Autopilot included</v>
      </c>
      <c r="S474" s="149" t="str">
        <f>IFERROR(__xludf.DUMMYFUNCTION("""COMPUTED_VALUE"""),"Loan")</f>
        <v>Loan</v>
      </c>
      <c r="T474" s="145"/>
      <c r="U474" s="145"/>
      <c r="V474" s="145"/>
      <c r="W474" s="145"/>
      <c r="X474" s="137"/>
      <c r="Y474" s="138"/>
      <c r="Z474" s="138"/>
      <c r="AA474" s="138"/>
      <c r="AB474" s="138"/>
      <c r="AC474" s="139"/>
      <c r="AD474" s="139"/>
      <c r="AE474" s="139"/>
      <c r="AF474" s="140"/>
      <c r="AG474" s="145"/>
      <c r="AH474" s="157">
        <f>IFERROR(__xludf.DUMMYFUNCTION("""COMPUTED_VALUE"""),44419.77479096065)</f>
        <v>44419.77479</v>
      </c>
      <c r="AI474" s="138"/>
      <c r="AJ474" s="138"/>
      <c r="AK474" s="138"/>
      <c r="AL474" s="142"/>
    </row>
    <row r="475" ht="20.25" customHeight="1">
      <c r="A475" s="155" t="str">
        <f>IFERROR(__xludf.DUMMYFUNCTION("""COMPUTED_VALUE"""),"Njguy1001")</f>
        <v>Njguy1001</v>
      </c>
      <c r="B475" s="149" t="str">
        <f>IFERROR(__xludf.DUMMYFUNCTION("""COMPUTED_VALUE"""),"North NJ")</f>
        <v>North NJ</v>
      </c>
      <c r="C475" s="149" t="str">
        <f>IFERROR(__xludf.DUMMYFUNCTION("""COMPUTED_VALUE"""),"NJ")</f>
        <v>NJ</v>
      </c>
      <c r="D475" s="149" t="str">
        <f>IFERROR(__xludf.DUMMYFUNCTION("""COMPUTED_VALUE"""),"USA")</f>
        <v>USA</v>
      </c>
      <c r="E475" s="156">
        <f>IFERROR(__xludf.DUMMYFUNCTION("""COMPUTED_VALUE"""),44383.0)</f>
        <v>44383</v>
      </c>
      <c r="F475" s="129">
        <f>IFERROR(__xludf.DUMMYFUNCTION("""COMPUTED_VALUE"""),44416.0)</f>
        <v>44416</v>
      </c>
      <c r="G475" s="154" t="str">
        <f>IFERROR(__xludf.DUMMYFUNCTION("""COMPUTED_VALUE"""),"Text message")</f>
        <v>Text message</v>
      </c>
      <c r="H475" s="131"/>
      <c r="I475" s="132"/>
      <c r="J475" s="129">
        <f>IFERROR(__xludf.DUMMYFUNCTION("""COMPUTED_VALUE"""),44422.0)</f>
        <v>44422</v>
      </c>
      <c r="K475" s="133">
        <f>IFERROR(__xludf.DUMMYFUNCTION("""COMPUTED_VALUE"""),33.0)</f>
        <v>33</v>
      </c>
      <c r="L475" s="133">
        <f>IFERROR(__xludf.DUMMYFUNCTION("""COMPUTED_VALUE"""),6.0)</f>
        <v>6</v>
      </c>
      <c r="M475" s="133">
        <f>IFERROR(__xludf.DUMMYFUNCTION("""COMPUTED_VALUE"""),39.0)</f>
        <v>39</v>
      </c>
      <c r="N475" s="152" t="str">
        <f>IFERROR(__xludf.DUMMYFUNCTION("""COMPUTED_VALUE"""),"Model 3 SR+")</f>
        <v>Model 3 SR+</v>
      </c>
      <c r="O475" s="152" t="str">
        <f>IFERROR(__xludf.DUMMYFUNCTION("""COMPUTED_VALUE"""),"Pearl White Multi-Coat")</f>
        <v>Pearl White Multi-Coat</v>
      </c>
      <c r="P475" s="153"/>
      <c r="Q475" s="152" t="str">
        <f>IFERROR(__xludf.DUMMYFUNCTION("""COMPUTED_VALUE"""),"All Black")</f>
        <v>All Black</v>
      </c>
      <c r="R475" s="150" t="str">
        <f>IFERROR(__xludf.DUMMYFUNCTION("""COMPUTED_VALUE"""),"Autopilot included")</f>
        <v>Autopilot included</v>
      </c>
      <c r="S475" s="150" t="str">
        <f>IFERROR(__xludf.DUMMYFUNCTION("""COMPUTED_VALUE"""),"Loan")</f>
        <v>Loan</v>
      </c>
      <c r="T475" s="136"/>
      <c r="U475" s="136"/>
      <c r="V475" s="136"/>
      <c r="W475" s="136"/>
      <c r="X475" s="137"/>
      <c r="Y475" s="138"/>
      <c r="Z475" s="138"/>
      <c r="AA475" s="138"/>
      <c r="AB475" s="138"/>
      <c r="AC475" s="139"/>
      <c r="AD475" s="139"/>
      <c r="AE475" s="139"/>
      <c r="AF475" s="140"/>
      <c r="AG475" s="136"/>
      <c r="AH475" s="157">
        <f>IFERROR(__xludf.DUMMYFUNCTION("""COMPUTED_VALUE"""),44417.138214224535)</f>
        <v>44417.13821</v>
      </c>
      <c r="AI475" s="138"/>
      <c r="AJ475" s="138"/>
      <c r="AK475" s="138"/>
      <c r="AL475" s="142"/>
    </row>
    <row r="476" ht="20.25" customHeight="1">
      <c r="A476" s="155" t="str">
        <f>IFERROR(__xludf.DUMMYFUNCTION("""COMPUTED_VALUE"""),"Rayho804")</f>
        <v>Rayho804</v>
      </c>
      <c r="B476" s="149" t="str">
        <f>IFERROR(__xludf.DUMMYFUNCTION("""COMPUTED_VALUE"""),"Pleasanton")</f>
        <v>Pleasanton</v>
      </c>
      <c r="C476" s="149" t="str">
        <f>IFERROR(__xludf.DUMMYFUNCTION("""COMPUTED_VALUE"""),"CA")</f>
        <v>CA</v>
      </c>
      <c r="D476" s="149" t="str">
        <f>IFERROR(__xludf.DUMMYFUNCTION("""COMPUTED_VALUE"""),"USA")</f>
        <v>USA</v>
      </c>
      <c r="E476" s="156">
        <f>IFERROR(__xludf.DUMMYFUNCTION("""COMPUTED_VALUE"""),44383.0)</f>
        <v>44383</v>
      </c>
      <c r="F476" s="129">
        <f>IFERROR(__xludf.DUMMYFUNCTION("""COMPUTED_VALUE"""),44439.0)</f>
        <v>44439</v>
      </c>
      <c r="G476" s="154" t="str">
        <f>IFERROR(__xludf.DUMMYFUNCTION("""COMPUTED_VALUE"""),"Manage order page (normal text)")</f>
        <v>Manage order page (normal text)</v>
      </c>
      <c r="H476" s="131">
        <f>IFERROR(__xludf.DUMMYFUNCTION("""COMPUTED_VALUE"""),54355.0)</f>
        <v>54355</v>
      </c>
      <c r="I476" s="132"/>
      <c r="J476" s="129"/>
      <c r="K476" s="133">
        <f>IFERROR(__xludf.DUMMYFUNCTION("""COMPUTED_VALUE"""),56.0)</f>
        <v>56</v>
      </c>
      <c r="L476" s="133"/>
      <c r="M476" s="133"/>
      <c r="N476" s="152" t="str">
        <f>IFERROR(__xludf.DUMMYFUNCTION("""COMPUTED_VALUE"""),"Model 3 LR AWD")</f>
        <v>Model 3 LR AWD</v>
      </c>
      <c r="O476" s="152" t="str">
        <f>IFERROR(__xludf.DUMMYFUNCTION("""COMPUTED_VALUE"""),"Midnight Silver Metallic")</f>
        <v>Midnight Silver Metallic</v>
      </c>
      <c r="P476" s="153" t="str">
        <f>IFERROR(__xludf.DUMMYFUNCTION("""COMPUTED_VALUE"""),"19 inch")</f>
        <v>19 inch</v>
      </c>
      <c r="Q476" s="152" t="str">
        <f>IFERROR(__xludf.DUMMYFUNCTION("""COMPUTED_VALUE"""),"All Black")</f>
        <v>All Black</v>
      </c>
      <c r="R476" s="150" t="str">
        <f>IFERROR(__xludf.DUMMYFUNCTION("""COMPUTED_VALUE"""),"Autopilot included")</f>
        <v>Autopilot included</v>
      </c>
      <c r="S476" s="150" t="str">
        <f>IFERROR(__xludf.DUMMYFUNCTION("""COMPUTED_VALUE"""),"Loan")</f>
        <v>Loan</v>
      </c>
      <c r="T476" s="136" t="str">
        <f>IFERROR(__xludf.DUMMYFUNCTION("""COMPUTED_VALUE"""),"Honda Civic")</f>
        <v>Honda Civic</v>
      </c>
      <c r="U476" s="136" t="str">
        <f>IFERROR(__xludf.DUMMYFUNCTION("""COMPUTED_VALUE"""),"Electric!")</f>
        <v>Electric!</v>
      </c>
      <c r="V476" s="136" t="str">
        <f>IFERROR(__xludf.DUMMYFUNCTION("""COMPUTED_VALUE"""),"Head-up display")</f>
        <v>Head-up display</v>
      </c>
      <c r="W476" s="136" t="str">
        <f>IFERROR(__xludf.DUMMYFUNCTION("""COMPUTED_VALUE"""),"Be patience ")</f>
        <v>Be patience </v>
      </c>
      <c r="X476" s="137"/>
      <c r="Y476" s="138"/>
      <c r="Z476" s="138"/>
      <c r="AA476" s="138"/>
      <c r="AB476" s="138"/>
      <c r="AC476" s="139"/>
      <c r="AD476" s="139"/>
      <c r="AE476" s="139"/>
      <c r="AF476" s="140"/>
      <c r="AG476" s="136"/>
      <c r="AH476" s="157">
        <f>IFERROR(__xludf.DUMMYFUNCTION("""COMPUTED_VALUE"""),44439.85331556713)</f>
        <v>44439.85332</v>
      </c>
      <c r="AI476" s="138"/>
      <c r="AJ476" s="138"/>
      <c r="AK476" s="138"/>
      <c r="AL476" s="142"/>
    </row>
    <row r="477" ht="20.25" customHeight="1">
      <c r="A477" s="155" t="str">
        <f>IFERROR(__xludf.DUMMYFUNCTION("""COMPUTED_VALUE"""),"S3XY")</f>
        <v>S3XY</v>
      </c>
      <c r="B477" s="149" t="str">
        <f>IFERROR(__xludf.DUMMYFUNCTION("""COMPUTED_VALUE"""),"Salt Lake City")</f>
        <v>Salt Lake City</v>
      </c>
      <c r="C477" s="149" t="str">
        <f>IFERROR(__xludf.DUMMYFUNCTION("""COMPUTED_VALUE"""),"UT")</f>
        <v>UT</v>
      </c>
      <c r="D477" s="149" t="str">
        <f>IFERROR(__xludf.DUMMYFUNCTION("""COMPUTED_VALUE"""),"USA")</f>
        <v>USA</v>
      </c>
      <c r="E477" s="156">
        <f>IFERROR(__xludf.DUMMYFUNCTION("""COMPUTED_VALUE"""),44383.0)</f>
        <v>44383</v>
      </c>
      <c r="F477" s="129">
        <f>IFERROR(__xludf.DUMMYFUNCTION("""COMPUTED_VALUE"""),44430.0)</f>
        <v>44430</v>
      </c>
      <c r="G477" s="154" t="str">
        <f>IFERROR(__xludf.DUMMYFUNCTION("""COMPUTED_VALUE"""),"Manage order page (normal text)")</f>
        <v>Manage order page (normal text)</v>
      </c>
      <c r="H477" s="131">
        <f>IFERROR(__xludf.DUMMYFUNCTION("""COMPUTED_VALUE"""),47655.0)</f>
        <v>47655</v>
      </c>
      <c r="I477" s="144"/>
      <c r="J477" s="129">
        <f>IFERROR(__xludf.DUMMYFUNCTION("""COMPUTED_VALUE"""),44436.0)</f>
        <v>44436</v>
      </c>
      <c r="K477" s="133">
        <f>IFERROR(__xludf.DUMMYFUNCTION("""COMPUTED_VALUE"""),47.0)</f>
        <v>47</v>
      </c>
      <c r="L477" s="133">
        <f>IFERROR(__xludf.DUMMYFUNCTION("""COMPUTED_VALUE"""),6.0)</f>
        <v>6</v>
      </c>
      <c r="M477" s="133">
        <f>IFERROR(__xludf.DUMMYFUNCTION("""COMPUTED_VALUE"""),53.0)</f>
        <v>53</v>
      </c>
      <c r="N477" s="152" t="str">
        <f>IFERROR(__xludf.DUMMYFUNCTION("""COMPUTED_VALUE"""),"Model 3 SR+")</f>
        <v>Model 3 SR+</v>
      </c>
      <c r="O477" s="152" t="str">
        <f>IFERROR(__xludf.DUMMYFUNCTION("""COMPUTED_VALUE"""),"Pearl White Multi-Coat")</f>
        <v>Pearl White Multi-Coat</v>
      </c>
      <c r="P477" s="153" t="str">
        <f>IFERROR(__xludf.DUMMYFUNCTION("""COMPUTED_VALUE"""),"18 inch")</f>
        <v>18 inch</v>
      </c>
      <c r="Q477" s="152" t="str">
        <f>IFERROR(__xludf.DUMMYFUNCTION("""COMPUTED_VALUE"""),"All Black")</f>
        <v>All Black</v>
      </c>
      <c r="R477" s="149" t="str">
        <f>IFERROR(__xludf.DUMMYFUNCTION("""COMPUTED_VALUE"""),"Autopilot included")</f>
        <v>Autopilot included</v>
      </c>
      <c r="S477" s="149" t="str">
        <f>IFERROR(__xludf.DUMMYFUNCTION("""COMPUTED_VALUE"""),"Cash")</f>
        <v>Cash</v>
      </c>
      <c r="T477" s="145" t="str">
        <f>IFERROR(__xludf.DUMMYFUNCTION("""COMPUTED_VALUE"""),"BMW X1")</f>
        <v>BMW X1</v>
      </c>
      <c r="U477" s="145" t="str">
        <f>IFERROR(__xludf.DUMMYFUNCTION("""COMPUTED_VALUE"""),"Electric!")</f>
        <v>Electric!</v>
      </c>
      <c r="V477" s="145" t="str">
        <f>IFERROR(__xludf.DUMMYFUNCTION("""COMPUTED_VALUE"""),"Apple CarPlay / Android Auto / SiriusXM Radio")</f>
        <v>Apple CarPlay / Android Auto / SiriusXM Radio</v>
      </c>
      <c r="W477" s="145"/>
      <c r="X477" s="137" t="str">
        <f>IFERROR(__xludf.DUMMYFUNCTION("""COMPUTED_VALUE"""),"Very Good")</f>
        <v>Very Good</v>
      </c>
      <c r="Y477" s="138" t="str">
        <f>IFERROR(__xludf.DUMMYFUNCTION("""COMPUTED_VALUE"""),"Excellent")</f>
        <v>Excellent</v>
      </c>
      <c r="Z477" s="138" t="str">
        <f>IFERROR(__xludf.DUMMYFUNCTION("""COMPUTED_VALUE"""),"Excellent")</f>
        <v>Excellent</v>
      </c>
      <c r="AA477" s="138" t="str">
        <f>IFERROR(__xludf.DUMMYFUNCTION("""COMPUTED_VALUE"""),"Good")</f>
        <v>Good</v>
      </c>
      <c r="AB477" s="138" t="str">
        <f>IFERROR(__xludf.DUMMYFUNCTION("""COMPUTED_VALUE"""),"Very Good")</f>
        <v>Very Good</v>
      </c>
      <c r="AC477" s="139"/>
      <c r="AD477" s="139"/>
      <c r="AE477" s="139"/>
      <c r="AF477" s="140" t="str">
        <f>IFERROR(__xludf.DUMMYFUNCTION("""COMPUTED_VALUE"""),"No. I took delivery of the first car Tesla was able to deliver.")</f>
        <v>No. I took delivery of the first car Tesla was able to deliver.</v>
      </c>
      <c r="AG477" s="145"/>
      <c r="AH477" s="157">
        <f>IFERROR(__xludf.DUMMYFUNCTION("""COMPUTED_VALUE"""),44446.461706678245)</f>
        <v>44446.46171</v>
      </c>
      <c r="AI477" s="138"/>
      <c r="AJ477" s="138"/>
      <c r="AK477" s="138"/>
      <c r="AL477" s="142"/>
    </row>
    <row r="478" ht="20.25" customHeight="1">
      <c r="A478" s="155" t="str">
        <f>IFERROR(__xludf.DUMMYFUNCTION("""COMPUTED_VALUE"""),"Tigz")</f>
        <v>Tigz</v>
      </c>
      <c r="B478" s="149" t="str">
        <f>IFERROR(__xludf.DUMMYFUNCTION("""COMPUTED_VALUE"""),"Brighton")</f>
        <v>Brighton</v>
      </c>
      <c r="C478" s="149"/>
      <c r="D478" s="149" t="str">
        <f>IFERROR(__xludf.DUMMYFUNCTION("""COMPUTED_VALUE"""),"United Kingdom")</f>
        <v>United Kingdom</v>
      </c>
      <c r="E478" s="156">
        <f>IFERROR(__xludf.DUMMYFUNCTION("""COMPUTED_VALUE"""),44383.0)</f>
        <v>44383</v>
      </c>
      <c r="F478" s="129">
        <f>IFERROR(__xludf.DUMMYFUNCTION("""COMPUTED_VALUE"""),44428.0)</f>
        <v>44428</v>
      </c>
      <c r="G478" s="154" t="str">
        <f>IFERROR(__xludf.DUMMYFUNCTION("""COMPUTED_VALUE"""),"Source code")</f>
        <v>Source code</v>
      </c>
      <c r="H478" s="131">
        <f>IFERROR(__xludf.DUMMYFUNCTION("""COMPUTED_VALUE"""),329455.0)</f>
        <v>329455</v>
      </c>
      <c r="I478" s="144"/>
      <c r="J478" s="129">
        <f>IFERROR(__xludf.DUMMYFUNCTION("""COMPUTED_VALUE"""),44461.0)</f>
        <v>44461</v>
      </c>
      <c r="K478" s="133">
        <f>IFERROR(__xludf.DUMMYFUNCTION("""COMPUTED_VALUE"""),45.0)</f>
        <v>45</v>
      </c>
      <c r="L478" s="133">
        <f>IFERROR(__xludf.DUMMYFUNCTION("""COMPUTED_VALUE"""),33.0)</f>
        <v>33</v>
      </c>
      <c r="M478" s="133">
        <f>IFERROR(__xludf.DUMMYFUNCTION("""COMPUTED_VALUE"""),78.0)</f>
        <v>78</v>
      </c>
      <c r="N478" s="152" t="str">
        <f>IFERROR(__xludf.DUMMYFUNCTION("""COMPUTED_VALUE"""),"Model 3 LR AWD")</f>
        <v>Model 3 LR AWD</v>
      </c>
      <c r="O478" s="152" t="str">
        <f>IFERROR(__xludf.DUMMYFUNCTION("""COMPUTED_VALUE"""),"Red Multi-Coat")</f>
        <v>Red Multi-Coat</v>
      </c>
      <c r="P478" s="153" t="str">
        <f>IFERROR(__xludf.DUMMYFUNCTION("""COMPUTED_VALUE"""),"18 inch")</f>
        <v>18 inch</v>
      </c>
      <c r="Q478" s="152" t="str">
        <f>IFERROR(__xludf.DUMMYFUNCTION("""COMPUTED_VALUE"""),"All Black")</f>
        <v>All Black</v>
      </c>
      <c r="R478" s="149" t="str">
        <f>IFERROR(__xludf.DUMMYFUNCTION("""COMPUTED_VALUE"""),"Autopilot included")</f>
        <v>Autopilot included</v>
      </c>
      <c r="S478" s="149" t="str">
        <f>IFERROR(__xludf.DUMMYFUNCTION("""COMPUTED_VALUE"""),"Loan")</f>
        <v>Loan</v>
      </c>
      <c r="T478" s="145" t="str">
        <f>IFERROR(__xludf.DUMMYFUNCTION("""COMPUTED_VALUE"""),"Ford Fiesta")</f>
        <v>Ford Fiesta</v>
      </c>
      <c r="U478" s="145" t="str">
        <f>IFERROR(__xludf.DUMMYFUNCTION("""COMPUTED_VALUE"""),"Electric!")</f>
        <v>Electric!</v>
      </c>
      <c r="V478" s="136" t="str">
        <f>IFERROR(__xludf.DUMMYFUNCTION("""COMPUTED_VALUE"""),"Apple CarPlay / Android Auto / SiriusXM Radio")</f>
        <v>Apple CarPlay / Android Auto / SiriusXM Radio</v>
      </c>
      <c r="W478" s="145"/>
      <c r="X478" s="137"/>
      <c r="Y478" s="138"/>
      <c r="Z478" s="138"/>
      <c r="AA478" s="138"/>
      <c r="AB478" s="138"/>
      <c r="AC478" s="139"/>
      <c r="AD478" s="139"/>
      <c r="AE478" s="139"/>
      <c r="AF478" s="140"/>
      <c r="AG478" s="145"/>
      <c r="AH478" s="157">
        <f>IFERROR(__xludf.DUMMYFUNCTION("""COMPUTED_VALUE"""),44432.214728645835)</f>
        <v>44432.21473</v>
      </c>
      <c r="AI478" s="138"/>
      <c r="AJ478" s="138"/>
      <c r="AK478" s="138"/>
      <c r="AL478" s="142"/>
    </row>
    <row r="479" ht="20.25" customHeight="1">
      <c r="A479" s="155" t="str">
        <f>IFERROR(__xludf.DUMMYFUNCTION("""COMPUTED_VALUE"""),"Travtrnm")</f>
        <v>Travtrnm</v>
      </c>
      <c r="B479" s="149" t="str">
        <f>IFERROR(__xludf.DUMMYFUNCTION("""COMPUTED_VALUE"""),"Woodstock")</f>
        <v>Woodstock</v>
      </c>
      <c r="C479" s="149" t="str">
        <f>IFERROR(__xludf.DUMMYFUNCTION("""COMPUTED_VALUE"""),"GA")</f>
        <v>GA</v>
      </c>
      <c r="D479" s="149" t="str">
        <f>IFERROR(__xludf.DUMMYFUNCTION("""COMPUTED_VALUE"""),"USA")</f>
        <v>USA</v>
      </c>
      <c r="E479" s="156">
        <f>IFERROR(__xludf.DUMMYFUNCTION("""COMPUTED_VALUE"""),44383.0)</f>
        <v>44383</v>
      </c>
      <c r="F479" s="129">
        <f>IFERROR(__xludf.DUMMYFUNCTION("""COMPUTED_VALUE"""),44412.0)</f>
        <v>44412</v>
      </c>
      <c r="G479" s="154" t="str">
        <f>IFERROR(__xludf.DUMMYFUNCTION("""COMPUTED_VALUE"""),"Manage order page (normal text)")</f>
        <v>Manage order page (normal text)</v>
      </c>
      <c r="H479" s="131"/>
      <c r="I479" s="132"/>
      <c r="J479" s="129">
        <f>IFERROR(__xludf.DUMMYFUNCTION("""COMPUTED_VALUE"""),44427.0)</f>
        <v>44427</v>
      </c>
      <c r="K479" s="133">
        <f>IFERROR(__xludf.DUMMYFUNCTION("""COMPUTED_VALUE"""),29.0)</f>
        <v>29</v>
      </c>
      <c r="L479" s="133">
        <f>IFERROR(__xludf.DUMMYFUNCTION("""COMPUTED_VALUE"""),15.0)</f>
        <v>15</v>
      </c>
      <c r="M479" s="133">
        <f>IFERROR(__xludf.DUMMYFUNCTION("""COMPUTED_VALUE"""),44.0)</f>
        <v>44</v>
      </c>
      <c r="N479" s="152" t="str">
        <f>IFERROR(__xludf.DUMMYFUNCTION("""COMPUTED_VALUE"""),"Model 3 SR+")</f>
        <v>Model 3 SR+</v>
      </c>
      <c r="O479" s="152" t="str">
        <f>IFERROR(__xludf.DUMMYFUNCTION("""COMPUTED_VALUE"""),"Midnight Silver Metallic")</f>
        <v>Midnight Silver Metallic</v>
      </c>
      <c r="P479" s="153" t="str">
        <f>IFERROR(__xludf.DUMMYFUNCTION("""COMPUTED_VALUE"""),"18 inch")</f>
        <v>18 inch</v>
      </c>
      <c r="Q479" s="152" t="str">
        <f>IFERROR(__xludf.DUMMYFUNCTION("""COMPUTED_VALUE"""),"All Black")</f>
        <v>All Black</v>
      </c>
      <c r="R479" s="150" t="str">
        <f>IFERROR(__xludf.DUMMYFUNCTION("""COMPUTED_VALUE"""),"Autopilot included")</f>
        <v>Autopilot included</v>
      </c>
      <c r="S479" s="150" t="str">
        <f>IFERROR(__xludf.DUMMYFUNCTION("""COMPUTED_VALUE"""),"Loan")</f>
        <v>Loan</v>
      </c>
      <c r="T479" s="136" t="str">
        <f>IFERROR(__xludf.DUMMYFUNCTION("""COMPUTED_VALUE"""),"Hyundai Tucson")</f>
        <v>Hyundai Tucson</v>
      </c>
      <c r="U479" s="136" t="str">
        <f>IFERROR(__xludf.DUMMYFUNCTION("""COMPUTED_VALUE"""),"Electric!")</f>
        <v>Electric!</v>
      </c>
      <c r="V479" s="136" t="str">
        <f>IFERROR(__xludf.DUMMYFUNCTION("""COMPUTED_VALUE"""),"Apple CarPlay / Android Auto / SiriusXM Radio")</f>
        <v>Apple CarPlay / Android Auto / SiriusXM Radio</v>
      </c>
      <c r="W479" s="136"/>
      <c r="X479" s="137"/>
      <c r="Y479" s="138"/>
      <c r="Z479" s="138"/>
      <c r="AA479" s="138"/>
      <c r="AB479" s="138"/>
      <c r="AC479" s="139"/>
      <c r="AD479" s="139"/>
      <c r="AE479" s="139"/>
      <c r="AF479" s="140"/>
      <c r="AG479" s="136"/>
      <c r="AH479" s="157">
        <f>IFERROR(__xludf.DUMMYFUNCTION("""COMPUTED_VALUE"""),44418.254325625)</f>
        <v>44418.25433</v>
      </c>
      <c r="AI479" s="138"/>
      <c r="AJ479" s="138"/>
      <c r="AK479" s="138"/>
      <c r="AL479" s="142"/>
    </row>
    <row r="480" ht="20.25" customHeight="1">
      <c r="A480" s="155" t="str">
        <f>IFERROR(__xludf.DUMMYFUNCTION("""COMPUTED_VALUE"""),"Jordizzle")</f>
        <v>Jordizzle</v>
      </c>
      <c r="B480" s="149" t="str">
        <f>IFERROR(__xludf.DUMMYFUNCTION("""COMPUTED_VALUE"""),"Chico")</f>
        <v>Chico</v>
      </c>
      <c r="C480" s="149" t="str">
        <f>IFERROR(__xludf.DUMMYFUNCTION("""COMPUTED_VALUE"""),"CA")</f>
        <v>CA</v>
      </c>
      <c r="D480" s="149" t="str">
        <f>IFERROR(__xludf.DUMMYFUNCTION("""COMPUTED_VALUE"""),"USA")</f>
        <v>USA</v>
      </c>
      <c r="E480" s="156">
        <f>IFERROR(__xludf.DUMMYFUNCTION("""COMPUTED_VALUE"""),44382.0)</f>
        <v>44382</v>
      </c>
      <c r="F480" s="129">
        <f>IFERROR(__xludf.DUMMYFUNCTION("""COMPUTED_VALUE"""),44433.0)</f>
        <v>44433</v>
      </c>
      <c r="G480" s="154" t="str">
        <f>IFERROR(__xludf.DUMMYFUNCTION("""COMPUTED_VALUE"""),"Manage order page (normal text)")</f>
        <v>Manage order page (normal text)</v>
      </c>
      <c r="H480" s="131">
        <f>IFERROR(__xludf.DUMMYFUNCTION("""COMPUTED_VALUE"""),54455.0)</f>
        <v>54455</v>
      </c>
      <c r="I480" s="144" t="str">
        <f>IFERROR(__xludf.DUMMYFUNCTION("""COMPUTED_VALUE"""),"08/21")</f>
        <v>08/21</v>
      </c>
      <c r="J480" s="129">
        <f>IFERROR(__xludf.DUMMYFUNCTION("""COMPUTED_VALUE"""),44508.0)</f>
        <v>44508</v>
      </c>
      <c r="K480" s="133">
        <f>IFERROR(__xludf.DUMMYFUNCTION("""COMPUTED_VALUE"""),51.0)</f>
        <v>51</v>
      </c>
      <c r="L480" s="133">
        <f>IFERROR(__xludf.DUMMYFUNCTION("""COMPUTED_VALUE"""),75.0)</f>
        <v>75</v>
      </c>
      <c r="M480" s="133">
        <f>IFERROR(__xludf.DUMMYFUNCTION("""COMPUTED_VALUE"""),126.0)</f>
        <v>126</v>
      </c>
      <c r="N480" s="152" t="str">
        <f>IFERROR(__xludf.DUMMYFUNCTION("""COMPUTED_VALUE"""),"Model 3 Performance")</f>
        <v>Model 3 Performance</v>
      </c>
      <c r="O480" s="152" t="str">
        <f>IFERROR(__xludf.DUMMYFUNCTION("""COMPUTED_VALUE"""),"Pearl White Multi-Coat")</f>
        <v>Pearl White Multi-Coat</v>
      </c>
      <c r="P480" s="153" t="str">
        <f>IFERROR(__xludf.DUMMYFUNCTION("""COMPUTED_VALUE"""),"20 inch")</f>
        <v>20 inch</v>
      </c>
      <c r="Q480" s="152" t="str">
        <f>IFERROR(__xludf.DUMMYFUNCTION("""COMPUTED_VALUE"""),"Black and White")</f>
        <v>Black and White</v>
      </c>
      <c r="R480" s="149" t="str">
        <f>IFERROR(__xludf.DUMMYFUNCTION("""COMPUTED_VALUE"""),"Autopilot included")</f>
        <v>Autopilot included</v>
      </c>
      <c r="S480" s="149" t="str">
        <f>IFERROR(__xludf.DUMMYFUNCTION("""COMPUTED_VALUE"""),"Loan")</f>
        <v>Loan</v>
      </c>
      <c r="T480" s="145" t="str">
        <f>IFERROR(__xludf.DUMMYFUNCTION("""COMPUTED_VALUE"""),"Toyota Camry")</f>
        <v>Toyota Camry</v>
      </c>
      <c r="U480" s="145" t="str">
        <f>IFERROR(__xludf.DUMMYFUNCTION("""COMPUTED_VALUE"""),"Electric!")</f>
        <v>Electric!</v>
      </c>
      <c r="V480" s="145" t="str">
        <f>IFERROR(__xludf.DUMMYFUNCTION("""COMPUTED_VALUE"""),"Air suspension")</f>
        <v>Air suspension</v>
      </c>
      <c r="W480" s="145"/>
      <c r="X480" s="137" t="str">
        <f>IFERROR(__xludf.DUMMYFUNCTION("""COMPUTED_VALUE"""),"Excellent")</f>
        <v>Excellent</v>
      </c>
      <c r="Y480" s="138" t="str">
        <f>IFERROR(__xludf.DUMMYFUNCTION("""COMPUTED_VALUE"""),"Excellent")</f>
        <v>Excellent</v>
      </c>
      <c r="Z480" s="138" t="str">
        <f>IFERROR(__xludf.DUMMYFUNCTION("""COMPUTED_VALUE"""),"Excellent")</f>
        <v>Excellent</v>
      </c>
      <c r="AA480" s="138" t="str">
        <f>IFERROR(__xludf.DUMMYFUNCTION("""COMPUTED_VALUE"""),"Very Good")</f>
        <v>Very Good</v>
      </c>
      <c r="AB480" s="138" t="str">
        <f>IFERROR(__xludf.DUMMYFUNCTION("""COMPUTED_VALUE"""),"Very Good")</f>
        <v>Very Good</v>
      </c>
      <c r="AC480" s="139">
        <f>IFERROR(__xludf.DUMMYFUNCTION("""COMPUTED_VALUE"""),0.0)</f>
        <v>0</v>
      </c>
      <c r="AD480" s="139">
        <f>IFERROR(__xludf.DUMMYFUNCTION("""COMPUTED_VALUE"""),0.0)</f>
        <v>0</v>
      </c>
      <c r="AE480" s="139">
        <f>IFERROR(__xludf.DUMMYFUNCTION("""COMPUTED_VALUE"""),0.0)</f>
        <v>0</v>
      </c>
      <c r="AF480" s="140" t="str">
        <f>IFERROR(__xludf.DUMMYFUNCTION("""COMPUTED_VALUE"""),"No. I took delivery of the first car Tesla was able to deliver.")</f>
        <v>No. I took delivery of the first car Tesla was able to deliver.</v>
      </c>
      <c r="AG480" s="145"/>
      <c r="AH480" s="157">
        <f>IFERROR(__xludf.DUMMYFUNCTION("""COMPUTED_VALUE"""),44468.57530561342)</f>
        <v>44468.57531</v>
      </c>
      <c r="AI480" s="138"/>
      <c r="AJ480" s="138"/>
      <c r="AK480" s="138"/>
      <c r="AL480" s="142"/>
    </row>
    <row r="481" ht="20.25" customHeight="1">
      <c r="A481" s="155" t="str">
        <f>IFERROR(__xludf.DUMMYFUNCTION("""COMPUTED_VALUE"""),"Megansblonde ")</f>
        <v>Megansblonde </v>
      </c>
      <c r="B481" s="149" t="str">
        <f>IFERROR(__xludf.DUMMYFUNCTION("""COMPUTED_VALUE"""),"Central Cali")</f>
        <v>Central Cali</v>
      </c>
      <c r="C481" s="149" t="str">
        <f>IFERROR(__xludf.DUMMYFUNCTION("""COMPUTED_VALUE"""),"CA")</f>
        <v>CA</v>
      </c>
      <c r="D481" s="149" t="str">
        <f>IFERROR(__xludf.DUMMYFUNCTION("""COMPUTED_VALUE"""),"USA")</f>
        <v>USA</v>
      </c>
      <c r="E481" s="156">
        <f>IFERROR(__xludf.DUMMYFUNCTION("""COMPUTED_VALUE"""),44382.0)</f>
        <v>44382</v>
      </c>
      <c r="F481" s="129">
        <f>IFERROR(__xludf.DUMMYFUNCTION("""COMPUTED_VALUE"""),44409.0)</f>
        <v>44409</v>
      </c>
      <c r="G481" s="154" t="str">
        <f>IFERROR(__xludf.DUMMYFUNCTION("""COMPUTED_VALUE"""),"Existing inventory grab")</f>
        <v>Existing inventory grab</v>
      </c>
      <c r="H481" s="131"/>
      <c r="I481" s="132" t="str">
        <f>IFERROR(__xludf.DUMMYFUNCTION("""COMPUTED_VALUE"""),"07/21")</f>
        <v>07/21</v>
      </c>
      <c r="J481" s="129">
        <f>IFERROR(__xludf.DUMMYFUNCTION("""COMPUTED_VALUE"""),44412.0)</f>
        <v>44412</v>
      </c>
      <c r="K481" s="133">
        <f>IFERROR(__xludf.DUMMYFUNCTION("""COMPUTED_VALUE"""),27.0)</f>
        <v>27</v>
      </c>
      <c r="L481" s="133">
        <f>IFERROR(__xludf.DUMMYFUNCTION("""COMPUTED_VALUE"""),3.0)</f>
        <v>3</v>
      </c>
      <c r="M481" s="133">
        <f>IFERROR(__xludf.DUMMYFUNCTION("""COMPUTED_VALUE"""),30.0)</f>
        <v>30</v>
      </c>
      <c r="N481" s="152" t="str">
        <f>IFERROR(__xludf.DUMMYFUNCTION("""COMPUTED_VALUE"""),"Model 3 SR+")</f>
        <v>Model 3 SR+</v>
      </c>
      <c r="O481" s="152" t="str">
        <f>IFERROR(__xludf.DUMMYFUNCTION("""COMPUTED_VALUE"""),"Red Multi-Coat")</f>
        <v>Red Multi-Coat</v>
      </c>
      <c r="P481" s="153" t="str">
        <f>IFERROR(__xludf.DUMMYFUNCTION("""COMPUTED_VALUE"""),"18 inch")</f>
        <v>18 inch</v>
      </c>
      <c r="Q481" s="152" t="str">
        <f>IFERROR(__xludf.DUMMYFUNCTION("""COMPUTED_VALUE"""),"All Black")</f>
        <v>All Black</v>
      </c>
      <c r="R481" s="150" t="str">
        <f>IFERROR(__xludf.DUMMYFUNCTION("""COMPUTED_VALUE"""),"Autopilot included")</f>
        <v>Autopilot included</v>
      </c>
      <c r="S481" s="150" t="str">
        <f>IFERROR(__xludf.DUMMYFUNCTION("""COMPUTED_VALUE"""),"Loan")</f>
        <v>Loan</v>
      </c>
      <c r="T481" s="136" t="str">
        <f>IFERROR(__xludf.DUMMYFUNCTION("""COMPUTED_VALUE"""),"Toyota Corolla")</f>
        <v>Toyota Corolla</v>
      </c>
      <c r="U481" s="136" t="str">
        <f>IFERROR(__xludf.DUMMYFUNCTION("""COMPUTED_VALUE"""),"Electric!")</f>
        <v>Electric!</v>
      </c>
      <c r="V481" s="136" t="str">
        <f>IFERROR(__xludf.DUMMYFUNCTION("""COMPUTED_VALUE"""),"Apple CarPlay / Android Auto / SiriusXM Radio")</f>
        <v>Apple CarPlay / Android Auto / SiriusXM Radio</v>
      </c>
      <c r="W481" s="136" t="str">
        <f>IFERROR(__xludf.DUMMYFUNCTION("""COMPUTED_VALUE"""),"Be patient and look at current inventory. Your make just might come up early. ")</f>
        <v>Be patient and look at current inventory. Your make just might come up early. </v>
      </c>
      <c r="X481" s="137" t="str">
        <f>IFERROR(__xludf.DUMMYFUNCTION("""COMPUTED_VALUE"""),"Excellent")</f>
        <v>Excellent</v>
      </c>
      <c r="Y481" s="138" t="str">
        <f>IFERROR(__xludf.DUMMYFUNCTION("""COMPUTED_VALUE"""),"Very Good")</f>
        <v>Very Good</v>
      </c>
      <c r="Z481" s="138" t="str">
        <f>IFERROR(__xludf.DUMMYFUNCTION("""COMPUTED_VALUE"""),"Very Good")</f>
        <v>Very Good</v>
      </c>
      <c r="AA481" s="138" t="str">
        <f>IFERROR(__xludf.DUMMYFUNCTION("""COMPUTED_VALUE"""),"Excellent")</f>
        <v>Excellent</v>
      </c>
      <c r="AB481" s="138" t="str">
        <f>IFERROR(__xludf.DUMMYFUNCTION("""COMPUTED_VALUE"""),"Fair")</f>
        <v>Fair</v>
      </c>
      <c r="AC481" s="139">
        <f>IFERROR(__xludf.DUMMYFUNCTION("""COMPUTED_VALUE"""),5.0)</f>
        <v>5</v>
      </c>
      <c r="AD481" s="139">
        <f>IFERROR(__xludf.DUMMYFUNCTION("""COMPUTED_VALUE"""),1.0)</f>
        <v>1</v>
      </c>
      <c r="AE481" s="139"/>
      <c r="AF481" s="140" t="str">
        <f>IFERROR(__xludf.DUMMYFUNCTION("""COMPUTED_VALUE"""),"No. I took delivery of the first car Tesla was able to deliver.")</f>
        <v>No. I took delivery of the first car Tesla was able to deliver.</v>
      </c>
      <c r="AG481" s="136"/>
      <c r="AH481" s="157">
        <f>IFERROR(__xludf.DUMMYFUNCTION("""COMPUTED_VALUE"""),44416.85860726852)</f>
        <v>44416.85861</v>
      </c>
      <c r="AI481" s="138"/>
      <c r="AJ481" s="138"/>
      <c r="AK481" s="138"/>
      <c r="AL481" s="142"/>
    </row>
    <row r="482" ht="20.25" customHeight="1">
      <c r="A482" s="155" t="str">
        <f>IFERROR(__xludf.DUMMYFUNCTION("""COMPUTED_VALUE"""),"mycroftxxx ")</f>
        <v>mycroftxxx </v>
      </c>
      <c r="B482" s="149" t="str">
        <f>IFERROR(__xludf.DUMMYFUNCTION("""COMPUTED_VALUE"""),"San Diego")</f>
        <v>San Diego</v>
      </c>
      <c r="C482" s="149" t="str">
        <f>IFERROR(__xludf.DUMMYFUNCTION("""COMPUTED_VALUE"""),"CA")</f>
        <v>CA</v>
      </c>
      <c r="D482" s="149" t="str">
        <f>IFERROR(__xludf.DUMMYFUNCTION("""COMPUTED_VALUE"""),"USA")</f>
        <v>USA</v>
      </c>
      <c r="E482" s="156">
        <f>IFERROR(__xludf.DUMMYFUNCTION("""COMPUTED_VALUE"""),44382.0)</f>
        <v>44382</v>
      </c>
      <c r="F482" s="129">
        <f>IFERROR(__xludf.DUMMYFUNCTION("""COMPUTED_VALUE"""),44449.0)</f>
        <v>44449</v>
      </c>
      <c r="G482" s="154" t="str">
        <f>IFERROR(__xludf.DUMMYFUNCTION("""COMPUTED_VALUE"""),"Manage order page (normal text)")</f>
        <v>Manage order page (normal text)</v>
      </c>
      <c r="H482" s="131">
        <f>IFERROR(__xludf.DUMMYFUNCTION("""COMPUTED_VALUE"""),63455.0)</f>
        <v>63455</v>
      </c>
      <c r="I482" s="144" t="str">
        <f>IFERROR(__xludf.DUMMYFUNCTION("""COMPUTED_VALUE"""),"09/21")</f>
        <v>09/21</v>
      </c>
      <c r="J482" s="129">
        <f>IFERROR(__xludf.DUMMYFUNCTION("""COMPUTED_VALUE"""),44454.0)</f>
        <v>44454</v>
      </c>
      <c r="K482" s="133">
        <f>IFERROR(__xludf.DUMMYFUNCTION("""COMPUTED_VALUE"""),67.0)</f>
        <v>67</v>
      </c>
      <c r="L482" s="133">
        <f>IFERROR(__xludf.DUMMYFUNCTION("""COMPUTED_VALUE"""),5.0)</f>
        <v>5</v>
      </c>
      <c r="M482" s="133">
        <f>IFERROR(__xludf.DUMMYFUNCTION("""COMPUTED_VALUE"""),72.0)</f>
        <v>72</v>
      </c>
      <c r="N482" s="152" t="str">
        <f>IFERROR(__xludf.DUMMYFUNCTION("""COMPUTED_VALUE"""),"Model 3 LR AWD")</f>
        <v>Model 3 LR AWD</v>
      </c>
      <c r="O482" s="152" t="str">
        <f>IFERROR(__xludf.DUMMYFUNCTION("""COMPUTED_VALUE"""),"Red Multi-Coat")</f>
        <v>Red Multi-Coat</v>
      </c>
      <c r="P482" s="153" t="str">
        <f>IFERROR(__xludf.DUMMYFUNCTION("""COMPUTED_VALUE"""),"18 inch")</f>
        <v>18 inch</v>
      </c>
      <c r="Q482" s="152" t="str">
        <f>IFERROR(__xludf.DUMMYFUNCTION("""COMPUTED_VALUE"""),"Black and White")</f>
        <v>Black and White</v>
      </c>
      <c r="R482" s="149" t="str">
        <f>IFERROR(__xludf.DUMMYFUNCTION("""COMPUTED_VALUE"""),"Autopilot included")</f>
        <v>Autopilot included</v>
      </c>
      <c r="S482" s="149" t="str">
        <f>IFERROR(__xludf.DUMMYFUNCTION("""COMPUTED_VALUE"""),"Loan")</f>
        <v>Loan</v>
      </c>
      <c r="T482" s="145" t="str">
        <f>IFERROR(__xludf.DUMMYFUNCTION("""COMPUTED_VALUE"""),"VW GTI")</f>
        <v>VW GTI</v>
      </c>
      <c r="U482" s="145" t="str">
        <f>IFERROR(__xludf.DUMMYFUNCTION("""COMPUTED_VALUE"""),"Electric!")</f>
        <v>Electric!</v>
      </c>
      <c r="V482" s="145" t="str">
        <f>IFERROR(__xludf.DUMMYFUNCTION("""COMPUTED_VALUE"""),"Apple CarPlay / Android Auto / SiriusXM Radio")</f>
        <v>Apple CarPlay / Android Auto / SiriusXM Radio</v>
      </c>
      <c r="W482" s="145" t="str">
        <f>IFERROR(__xludf.DUMMYFUNCTION("""COMPUTED_VALUE"""),"Select “cash” payment until you have a VIN, then have Tesla open up your order to apply for financing. ")</f>
        <v>Select “cash” payment until you have a VIN, then have Tesla open up your order to apply for financing. </v>
      </c>
      <c r="X482" s="137" t="str">
        <f>IFERROR(__xludf.DUMMYFUNCTION("""COMPUTED_VALUE"""),"Excellent")</f>
        <v>Excellent</v>
      </c>
      <c r="Y482" s="138" t="str">
        <f>IFERROR(__xludf.DUMMYFUNCTION("""COMPUTED_VALUE"""),"Excellent")</f>
        <v>Excellent</v>
      </c>
      <c r="Z482" s="138" t="str">
        <f>IFERROR(__xludf.DUMMYFUNCTION("""COMPUTED_VALUE"""),"Excellent")</f>
        <v>Excellent</v>
      </c>
      <c r="AA482" s="138" t="str">
        <f>IFERROR(__xludf.DUMMYFUNCTION("""COMPUTED_VALUE"""),"Fair")</f>
        <v>Fair</v>
      </c>
      <c r="AB482" s="138" t="str">
        <f>IFERROR(__xludf.DUMMYFUNCTION("""COMPUTED_VALUE"""),"Very Good")</f>
        <v>Very Good</v>
      </c>
      <c r="AC482" s="139"/>
      <c r="AD482" s="139"/>
      <c r="AE482" s="139"/>
      <c r="AF482" s="140" t="str">
        <f>IFERROR(__xludf.DUMMYFUNCTION("""COMPUTED_VALUE"""),"No. I took delivery of the first car Tesla was able to deliver.")</f>
        <v>No. I took delivery of the first car Tesla was able to deliver.</v>
      </c>
      <c r="AG482" s="145"/>
      <c r="AH482" s="157">
        <f>IFERROR(__xludf.DUMMYFUNCTION("""COMPUTED_VALUE"""),44458.573497534715)</f>
        <v>44458.5735</v>
      </c>
      <c r="AI482" s="138"/>
      <c r="AJ482" s="138"/>
      <c r="AK482" s="138"/>
      <c r="AL482" s="142"/>
    </row>
    <row r="483" ht="20.25" customHeight="1">
      <c r="A483" s="155" t="str">
        <f>IFERROR(__xludf.DUMMYFUNCTION("""COMPUTED_VALUE"""),"OVJ")</f>
        <v>OVJ</v>
      </c>
      <c r="B483" s="149" t="str">
        <f>IFERROR(__xludf.DUMMYFUNCTION("""COMPUTED_VALUE"""),"Fort Lauderdale")</f>
        <v>Fort Lauderdale</v>
      </c>
      <c r="C483" s="149" t="str">
        <f>IFERROR(__xludf.DUMMYFUNCTION("""COMPUTED_VALUE"""),"FL")</f>
        <v>FL</v>
      </c>
      <c r="D483" s="149" t="str">
        <f>IFERROR(__xludf.DUMMYFUNCTION("""COMPUTED_VALUE"""),"USA")</f>
        <v>USA</v>
      </c>
      <c r="E483" s="156">
        <f>IFERROR(__xludf.DUMMYFUNCTION("""COMPUTED_VALUE"""),44382.0)</f>
        <v>44382</v>
      </c>
      <c r="F483" s="129"/>
      <c r="G483" s="154"/>
      <c r="H483" s="131"/>
      <c r="I483" s="144"/>
      <c r="J483" s="129"/>
      <c r="K483" s="133"/>
      <c r="L483" s="133"/>
      <c r="M483" s="133"/>
      <c r="N483" s="152" t="str">
        <f>IFERROR(__xludf.DUMMYFUNCTION("""COMPUTED_VALUE"""),"Model 3 SR+")</f>
        <v>Model 3 SR+</v>
      </c>
      <c r="O483" s="152" t="str">
        <f>IFERROR(__xludf.DUMMYFUNCTION("""COMPUTED_VALUE"""),"Solid Black")</f>
        <v>Solid Black</v>
      </c>
      <c r="P483" s="153" t="str">
        <f>IFERROR(__xludf.DUMMYFUNCTION("""COMPUTED_VALUE"""),"18 inch")</f>
        <v>18 inch</v>
      </c>
      <c r="Q483" s="152" t="str">
        <f>IFERROR(__xludf.DUMMYFUNCTION("""COMPUTED_VALUE"""),"Black and White")</f>
        <v>Black and White</v>
      </c>
      <c r="R483" s="149" t="str">
        <f>IFERROR(__xludf.DUMMYFUNCTION("""COMPUTED_VALUE"""),"Autopilot included")</f>
        <v>Autopilot included</v>
      </c>
      <c r="S483" s="149" t="str">
        <f>IFERROR(__xludf.DUMMYFUNCTION("""COMPUTED_VALUE"""),"Loan")</f>
        <v>Loan</v>
      </c>
      <c r="T483" s="145"/>
      <c r="U483" s="145" t="str">
        <f>IFERROR(__xludf.DUMMYFUNCTION("""COMPUTED_VALUE"""),"Electric!")</f>
        <v>Electric!</v>
      </c>
      <c r="V483" s="145" t="str">
        <f>IFERROR(__xludf.DUMMYFUNCTION("""COMPUTED_VALUE"""),"Apple CarPlay / Android Auto / SiriusXM Radio")</f>
        <v>Apple CarPlay / Android Auto / SiriusXM Radio</v>
      </c>
      <c r="W483" s="145"/>
      <c r="X483" s="137"/>
      <c r="Y483" s="138"/>
      <c r="Z483" s="138"/>
      <c r="AA483" s="138"/>
      <c r="AB483" s="138"/>
      <c r="AC483" s="139"/>
      <c r="AD483" s="139"/>
      <c r="AE483" s="139"/>
      <c r="AF483" s="140"/>
      <c r="AG483" s="145"/>
      <c r="AH483" s="157">
        <f>IFERROR(__xludf.DUMMYFUNCTION("""COMPUTED_VALUE"""),44451.81878456018)</f>
        <v>44451.81878</v>
      </c>
      <c r="AI483" s="138"/>
      <c r="AJ483" s="138"/>
      <c r="AK483" s="138"/>
      <c r="AL483" s="142"/>
    </row>
    <row r="484" ht="20.25" customHeight="1">
      <c r="A484" s="155" t="str">
        <f>IFERROR(__xludf.DUMMYFUNCTION("""COMPUTED_VALUE"""),"PSMod3")</f>
        <v>PSMod3</v>
      </c>
      <c r="B484" s="150" t="str">
        <f>IFERROR(__xludf.DUMMYFUNCTION("""COMPUTED_VALUE"""),"Palm Springs")</f>
        <v>Palm Springs</v>
      </c>
      <c r="C484" s="150" t="str">
        <f>IFERROR(__xludf.DUMMYFUNCTION("""COMPUTED_VALUE"""),"CA")</f>
        <v>CA</v>
      </c>
      <c r="D484" s="150" t="str">
        <f>IFERROR(__xludf.DUMMYFUNCTION("""COMPUTED_VALUE"""),"USA")</f>
        <v>USA</v>
      </c>
      <c r="E484" s="156">
        <f>IFERROR(__xludf.DUMMYFUNCTION("""COMPUTED_VALUE"""),44382.0)</f>
        <v>44382</v>
      </c>
      <c r="F484" s="129">
        <f>IFERROR(__xludf.DUMMYFUNCTION("""COMPUTED_VALUE"""),44420.0)</f>
        <v>44420</v>
      </c>
      <c r="G484" s="154" t="str">
        <f>IFERROR(__xludf.DUMMYFUNCTION("""COMPUTED_VALUE"""),"Manage order page (normal text)")</f>
        <v>Manage order page (normal text)</v>
      </c>
      <c r="H484" s="131">
        <f>IFERROR(__xludf.DUMMYFUNCTION("""COMPUTED_VALUE"""),35652.0)</f>
        <v>35652</v>
      </c>
      <c r="I484" s="132"/>
      <c r="J484" s="129">
        <f>IFERROR(__xludf.DUMMYFUNCTION("""COMPUTED_VALUE"""),44429.0)</f>
        <v>44429</v>
      </c>
      <c r="K484" s="133">
        <f>IFERROR(__xludf.DUMMYFUNCTION("""COMPUTED_VALUE"""),38.0)</f>
        <v>38</v>
      </c>
      <c r="L484" s="133">
        <f>IFERROR(__xludf.DUMMYFUNCTION("""COMPUTED_VALUE"""),9.0)</f>
        <v>9</v>
      </c>
      <c r="M484" s="133">
        <f>IFERROR(__xludf.DUMMYFUNCTION("""COMPUTED_VALUE"""),47.0)</f>
        <v>47</v>
      </c>
      <c r="N484" s="152" t="str">
        <f>IFERROR(__xludf.DUMMYFUNCTION("""COMPUTED_VALUE"""),"Model 3 LR AWD")</f>
        <v>Model 3 LR AWD</v>
      </c>
      <c r="O484" s="152" t="str">
        <f>IFERROR(__xludf.DUMMYFUNCTION("""COMPUTED_VALUE"""),"Pearl White Multi-Coat")</f>
        <v>Pearl White Multi-Coat</v>
      </c>
      <c r="P484" s="153" t="str">
        <f>IFERROR(__xludf.DUMMYFUNCTION("""COMPUTED_VALUE"""),"18 inch")</f>
        <v>18 inch</v>
      </c>
      <c r="Q484" s="152" t="str">
        <f>IFERROR(__xludf.DUMMYFUNCTION("""COMPUTED_VALUE"""),"All Black")</f>
        <v>All Black</v>
      </c>
      <c r="R484" s="150" t="str">
        <f>IFERROR(__xludf.DUMMYFUNCTION("""COMPUTED_VALUE"""),"Autopilot included")</f>
        <v>Autopilot included</v>
      </c>
      <c r="S484" s="150" t="str">
        <f>IFERROR(__xludf.DUMMYFUNCTION("""COMPUTED_VALUE"""),"Loan")</f>
        <v>Loan</v>
      </c>
      <c r="T484" s="136" t="str">
        <f>IFERROR(__xludf.DUMMYFUNCTION("""COMPUTED_VALUE"""),"Audi SQ5")</f>
        <v>Audi SQ5</v>
      </c>
      <c r="U484" s="136" t="str">
        <f>IFERROR(__xludf.DUMMYFUNCTION("""COMPUTED_VALUE"""),"Feels like nothing else I've ever driven")</f>
        <v>Feels like nothing else I've ever driven</v>
      </c>
      <c r="V484" s="136" t="str">
        <f>IFERROR(__xludf.DUMMYFUNCTION("""COMPUTED_VALUE"""),"Ventilated seats")</f>
        <v>Ventilated seats</v>
      </c>
      <c r="W484" s="136"/>
      <c r="X484" s="137" t="str">
        <f>IFERROR(__xludf.DUMMYFUNCTION("""COMPUTED_VALUE"""),"Excellent")</f>
        <v>Excellent</v>
      </c>
      <c r="Y484" s="138" t="str">
        <f>IFERROR(__xludf.DUMMYFUNCTION("""COMPUTED_VALUE"""),"Excellent")</f>
        <v>Excellent</v>
      </c>
      <c r="Z484" s="138" t="str">
        <f>IFERROR(__xludf.DUMMYFUNCTION("""COMPUTED_VALUE"""),"Very Good")</f>
        <v>Very Good</v>
      </c>
      <c r="AA484" s="138" t="str">
        <f>IFERROR(__xludf.DUMMYFUNCTION("""COMPUTED_VALUE"""),"Excellent")</f>
        <v>Excellent</v>
      </c>
      <c r="AB484" s="138" t="str">
        <f>IFERROR(__xludf.DUMMYFUNCTION("""COMPUTED_VALUE"""),"Very Good")</f>
        <v>Very Good</v>
      </c>
      <c r="AC484" s="139">
        <f>IFERROR(__xludf.DUMMYFUNCTION("""COMPUTED_VALUE"""),0.0)</f>
        <v>0</v>
      </c>
      <c r="AD484" s="139">
        <f>IFERROR(__xludf.DUMMYFUNCTION("""COMPUTED_VALUE"""),0.0)</f>
        <v>0</v>
      </c>
      <c r="AE484" s="139"/>
      <c r="AF484" s="140" t="str">
        <f>IFERROR(__xludf.DUMMYFUNCTION("""COMPUTED_VALUE"""),"No. I took delivery of the first car Tesla was able to deliver.")</f>
        <v>No. I took delivery of the first car Tesla was able to deliver.</v>
      </c>
      <c r="AG484" s="136"/>
      <c r="AH484" s="157">
        <f>IFERROR(__xludf.DUMMYFUNCTION("""COMPUTED_VALUE"""),44431.60717013889)</f>
        <v>44431.60717</v>
      </c>
      <c r="AI484" s="138"/>
      <c r="AJ484" s="138"/>
      <c r="AK484" s="138"/>
      <c r="AL484" s="142"/>
    </row>
    <row r="485" ht="20.25" customHeight="1">
      <c r="A485" s="155" t="str">
        <f>IFERROR(__xludf.DUMMYFUNCTION("""COMPUTED_VALUE"""),"Vincentk ")</f>
        <v>Vincentk </v>
      </c>
      <c r="B485" s="149" t="str">
        <f>IFERROR(__xludf.DUMMYFUNCTION("""COMPUTED_VALUE"""),"Markham")</f>
        <v>Markham</v>
      </c>
      <c r="C485" s="149" t="str">
        <f>IFERROR(__xludf.DUMMYFUNCTION("""COMPUTED_VALUE"""),"ON")</f>
        <v>ON</v>
      </c>
      <c r="D485" s="149" t="str">
        <f>IFERROR(__xludf.DUMMYFUNCTION("""COMPUTED_VALUE"""),"Canada")</f>
        <v>Canada</v>
      </c>
      <c r="E485" s="156">
        <f>IFERROR(__xludf.DUMMYFUNCTION("""COMPUTED_VALUE"""),44382.0)</f>
        <v>44382</v>
      </c>
      <c r="F485" s="129"/>
      <c r="G485" s="154"/>
      <c r="H485" s="131"/>
      <c r="I485" s="132"/>
      <c r="J485" s="129"/>
      <c r="K485" s="133"/>
      <c r="L485" s="133"/>
      <c r="M485" s="133"/>
      <c r="N485" s="152" t="str">
        <f>IFERROR(__xludf.DUMMYFUNCTION("""COMPUTED_VALUE"""),"Model 3 SR+")</f>
        <v>Model 3 SR+</v>
      </c>
      <c r="O485" s="152" t="str">
        <f>IFERROR(__xludf.DUMMYFUNCTION("""COMPUTED_VALUE"""),"Pearl White Multi-Coat")</f>
        <v>Pearl White Multi-Coat</v>
      </c>
      <c r="P485" s="153" t="str">
        <f>IFERROR(__xludf.DUMMYFUNCTION("""COMPUTED_VALUE"""),"18 inch")</f>
        <v>18 inch</v>
      </c>
      <c r="Q485" s="152" t="str">
        <f>IFERROR(__xludf.DUMMYFUNCTION("""COMPUTED_VALUE"""),"All Black")</f>
        <v>All Black</v>
      </c>
      <c r="R485" s="150" t="str">
        <f>IFERROR(__xludf.DUMMYFUNCTION("""COMPUTED_VALUE"""),"Autopilot included")</f>
        <v>Autopilot included</v>
      </c>
      <c r="S485" s="150" t="str">
        <f>IFERROR(__xludf.DUMMYFUNCTION("""COMPUTED_VALUE"""),"Loan")</f>
        <v>Loan</v>
      </c>
      <c r="T485" s="136" t="str">
        <f>IFERROR(__xludf.DUMMYFUNCTION("""COMPUTED_VALUE"""),"VW jetta")</f>
        <v>VW jetta</v>
      </c>
      <c r="U485" s="136" t="str">
        <f>IFERROR(__xludf.DUMMYFUNCTION("""COMPUTED_VALUE"""),"Electric!")</f>
        <v>Electric!</v>
      </c>
      <c r="V485" s="136" t="str">
        <f>IFERROR(__xludf.DUMMYFUNCTION("""COMPUTED_VALUE"""),"Air suspension")</f>
        <v>Air suspension</v>
      </c>
      <c r="W485" s="145"/>
      <c r="X485" s="137"/>
      <c r="Y485" s="138"/>
      <c r="Z485" s="138"/>
      <c r="AA485" s="138"/>
      <c r="AB485" s="138"/>
      <c r="AC485" s="139"/>
      <c r="AD485" s="139"/>
      <c r="AE485" s="139"/>
      <c r="AF485" s="140"/>
      <c r="AG485" s="136"/>
      <c r="AH485" s="157">
        <f>IFERROR(__xludf.DUMMYFUNCTION("""COMPUTED_VALUE"""),44425.570879722225)</f>
        <v>44425.57088</v>
      </c>
      <c r="AI485" s="138"/>
      <c r="AJ485" s="138"/>
      <c r="AK485" s="138"/>
      <c r="AL485" s="142"/>
    </row>
    <row r="486" ht="20.25" customHeight="1">
      <c r="A486" s="155" t="str">
        <f>IFERROR(__xludf.DUMMYFUNCTION("""COMPUTED_VALUE"""),"moyism")</f>
        <v>moyism</v>
      </c>
      <c r="B486" s="149"/>
      <c r="C486" s="149" t="str">
        <f>IFERROR(__xludf.DUMMYFUNCTION("""COMPUTED_VALUE"""),"NJ")</f>
        <v>NJ</v>
      </c>
      <c r="D486" s="149" t="str">
        <f>IFERROR(__xludf.DUMMYFUNCTION("""COMPUTED_VALUE"""),"USA")</f>
        <v>USA</v>
      </c>
      <c r="E486" s="156">
        <f>IFERROR(__xludf.DUMMYFUNCTION("""COMPUTED_VALUE"""),44381.0)</f>
        <v>44381</v>
      </c>
      <c r="F486" s="129">
        <f>IFERROR(__xludf.DUMMYFUNCTION("""COMPUTED_VALUE"""),44421.0)</f>
        <v>44421</v>
      </c>
      <c r="G486" s="154" t="str">
        <f>IFERROR(__xludf.DUMMYFUNCTION("""COMPUTED_VALUE"""),"Manage order page (normal text)")</f>
        <v>Manage order page (normal text)</v>
      </c>
      <c r="H486" s="131"/>
      <c r="I486" s="144"/>
      <c r="J486" s="129">
        <f>IFERROR(__xludf.DUMMYFUNCTION("""COMPUTED_VALUE"""),44435.0)</f>
        <v>44435</v>
      </c>
      <c r="K486" s="133">
        <f>IFERROR(__xludf.DUMMYFUNCTION("""COMPUTED_VALUE"""),40.0)</f>
        <v>40</v>
      </c>
      <c r="L486" s="133">
        <f>IFERROR(__xludf.DUMMYFUNCTION("""COMPUTED_VALUE"""),14.0)</f>
        <v>14</v>
      </c>
      <c r="M486" s="133">
        <f>IFERROR(__xludf.DUMMYFUNCTION("""COMPUTED_VALUE"""),54.0)</f>
        <v>54</v>
      </c>
      <c r="N486" s="152" t="str">
        <f>IFERROR(__xludf.DUMMYFUNCTION("""COMPUTED_VALUE"""),"Model 3 LR AWD")</f>
        <v>Model 3 LR AWD</v>
      </c>
      <c r="O486" s="152" t="str">
        <f>IFERROR(__xludf.DUMMYFUNCTION("""COMPUTED_VALUE"""),"Deep Blue Metallic")</f>
        <v>Deep Blue Metallic</v>
      </c>
      <c r="P486" s="153" t="str">
        <f>IFERROR(__xludf.DUMMYFUNCTION("""COMPUTED_VALUE"""),"18 inch")</f>
        <v>18 inch</v>
      </c>
      <c r="Q486" s="152" t="str">
        <f>IFERROR(__xludf.DUMMYFUNCTION("""COMPUTED_VALUE"""),"All Black")</f>
        <v>All Black</v>
      </c>
      <c r="R486" s="149" t="str">
        <f>IFERROR(__xludf.DUMMYFUNCTION("""COMPUTED_VALUE"""),"Autopilot included")</f>
        <v>Autopilot included</v>
      </c>
      <c r="S486" s="149" t="str">
        <f>IFERROR(__xludf.DUMMYFUNCTION("""COMPUTED_VALUE"""),"Loan")</f>
        <v>Loan</v>
      </c>
      <c r="T486" s="145" t="str">
        <f>IFERROR(__xludf.DUMMYFUNCTION("""COMPUTED_VALUE"""),"Mazda 3")</f>
        <v>Mazda 3</v>
      </c>
      <c r="U486" s="145" t="str">
        <f>IFERROR(__xludf.DUMMYFUNCTION("""COMPUTED_VALUE"""),"Electric!")</f>
        <v>Electric!</v>
      </c>
      <c r="V486" s="145" t="str">
        <f>IFERROR(__xludf.DUMMYFUNCTION("""COMPUTED_VALUE"""),"Apple CarPlay / Android Auto / SiriusXM Radio")</f>
        <v>Apple CarPlay / Android Auto / SiriusXM Radio</v>
      </c>
      <c r="W486" s="145"/>
      <c r="X486" s="137"/>
      <c r="Y486" s="138"/>
      <c r="Z486" s="138"/>
      <c r="AA486" s="138"/>
      <c r="AB486" s="138"/>
      <c r="AC486" s="139"/>
      <c r="AD486" s="139"/>
      <c r="AE486" s="139"/>
      <c r="AF486" s="140"/>
      <c r="AG486" s="136"/>
      <c r="AH486" s="157">
        <f>IFERROR(__xludf.DUMMYFUNCTION("""COMPUTED_VALUE"""),44425.521944548615)</f>
        <v>44425.52194</v>
      </c>
      <c r="AI486" s="138"/>
      <c r="AJ486" s="138"/>
      <c r="AK486" s="138"/>
      <c r="AL486" s="142"/>
    </row>
    <row r="487" ht="20.25" customHeight="1">
      <c r="A487" s="155" t="str">
        <f>IFERROR(__xludf.DUMMYFUNCTION("""COMPUTED_VALUE"""),"D34nn4dunn3")</f>
        <v>D34nn4dunn3</v>
      </c>
      <c r="B487" s="149" t="str">
        <f>IFERROR(__xludf.DUMMYFUNCTION("""COMPUTED_VALUE"""),"Brooklyn")</f>
        <v>Brooklyn</v>
      </c>
      <c r="C487" s="149" t="str">
        <f>IFERROR(__xludf.DUMMYFUNCTION("""COMPUTED_VALUE"""),"NY")</f>
        <v>NY</v>
      </c>
      <c r="D487" s="149" t="str">
        <f>IFERROR(__xludf.DUMMYFUNCTION("""COMPUTED_VALUE"""),"USA")</f>
        <v>USA</v>
      </c>
      <c r="E487" s="156">
        <f>IFERROR(__xludf.DUMMYFUNCTION("""COMPUTED_VALUE"""),44380.0)</f>
        <v>44380</v>
      </c>
      <c r="F487" s="129">
        <f>IFERROR(__xludf.DUMMYFUNCTION("""COMPUTED_VALUE"""),44426.0)</f>
        <v>44426</v>
      </c>
      <c r="G487" s="154" t="str">
        <f>IFERROR(__xludf.DUMMYFUNCTION("""COMPUTED_VALUE"""),"Manage order page (normal text)")</f>
        <v>Manage order page (normal text)</v>
      </c>
      <c r="H487" s="131">
        <f>IFERROR(__xludf.DUMMYFUNCTION("""COMPUTED_VALUE"""),37955.0)</f>
        <v>37955</v>
      </c>
      <c r="I487" s="144"/>
      <c r="J487" s="129">
        <f>IFERROR(__xludf.DUMMYFUNCTION("""COMPUTED_VALUE"""),44439.0)</f>
        <v>44439</v>
      </c>
      <c r="K487" s="133">
        <f>IFERROR(__xludf.DUMMYFUNCTION("""COMPUTED_VALUE"""),46.0)</f>
        <v>46</v>
      </c>
      <c r="L487" s="133">
        <f>IFERROR(__xludf.DUMMYFUNCTION("""COMPUTED_VALUE"""),13.0)</f>
        <v>13</v>
      </c>
      <c r="M487" s="133">
        <f>IFERROR(__xludf.DUMMYFUNCTION("""COMPUTED_VALUE"""),59.0)</f>
        <v>59</v>
      </c>
      <c r="N487" s="152" t="str">
        <f>IFERROR(__xludf.DUMMYFUNCTION("""COMPUTED_VALUE"""),"Model 3 LR AWD")</f>
        <v>Model 3 LR AWD</v>
      </c>
      <c r="O487" s="152" t="str">
        <f>IFERROR(__xludf.DUMMYFUNCTION("""COMPUTED_VALUE"""),"Solid Black")</f>
        <v>Solid Black</v>
      </c>
      <c r="P487" s="153" t="str">
        <f>IFERROR(__xludf.DUMMYFUNCTION("""COMPUTED_VALUE"""),"18 inch")</f>
        <v>18 inch</v>
      </c>
      <c r="Q487" s="152" t="str">
        <f>IFERROR(__xludf.DUMMYFUNCTION("""COMPUTED_VALUE"""),"Black and White")</f>
        <v>Black and White</v>
      </c>
      <c r="R487" s="149" t="str">
        <f>IFERROR(__xludf.DUMMYFUNCTION("""COMPUTED_VALUE"""),"Full Self-Driving")</f>
        <v>Full Self-Driving</v>
      </c>
      <c r="S487" s="149" t="str">
        <f>IFERROR(__xludf.DUMMYFUNCTION("""COMPUTED_VALUE"""),"Loan")</f>
        <v>Loan</v>
      </c>
      <c r="T487" s="145" t="str">
        <f>IFERROR(__xludf.DUMMYFUNCTION("""COMPUTED_VALUE"""),"Honda Civic")</f>
        <v>Honda Civic</v>
      </c>
      <c r="U487" s="145" t="str">
        <f>IFERROR(__xludf.DUMMYFUNCTION("""COMPUTED_VALUE"""),"All of it!")</f>
        <v>All of it!</v>
      </c>
      <c r="V487" s="145" t="str">
        <f>IFERROR(__xludf.DUMMYFUNCTION("""COMPUTED_VALUE"""),"Heated steering wheel")</f>
        <v>Heated steering wheel</v>
      </c>
      <c r="W487" s="136"/>
      <c r="X487" s="137"/>
      <c r="Y487" s="138"/>
      <c r="Z487" s="138"/>
      <c r="AA487" s="138"/>
      <c r="AB487" s="138"/>
      <c r="AC487" s="139"/>
      <c r="AD487" s="139"/>
      <c r="AE487" s="139"/>
      <c r="AF487" s="140"/>
      <c r="AG487" s="136"/>
      <c r="AH487" s="157">
        <f>IFERROR(__xludf.DUMMYFUNCTION("""COMPUTED_VALUE"""),44428.78550579861)</f>
        <v>44428.78551</v>
      </c>
      <c r="AI487" s="138"/>
      <c r="AJ487" s="138"/>
      <c r="AK487" s="138"/>
      <c r="AL487" s="142"/>
    </row>
    <row r="488" ht="20.25" customHeight="1">
      <c r="A488" s="155" t="str">
        <f>IFERROR(__xludf.DUMMYFUNCTION("""COMPUTED_VALUE"""),"justind96")</f>
        <v>justind96</v>
      </c>
      <c r="B488" s="149" t="str">
        <f>IFERROR(__xludf.DUMMYFUNCTION("""COMPUTED_VALUE"""),"Barrie")</f>
        <v>Barrie</v>
      </c>
      <c r="C488" s="149" t="str">
        <f>IFERROR(__xludf.DUMMYFUNCTION("""COMPUTED_VALUE"""),"ON")</f>
        <v>ON</v>
      </c>
      <c r="D488" s="149" t="str">
        <f>IFERROR(__xludf.DUMMYFUNCTION("""COMPUTED_VALUE"""),"Canada")</f>
        <v>Canada</v>
      </c>
      <c r="E488" s="156">
        <f>IFERROR(__xludf.DUMMYFUNCTION("""COMPUTED_VALUE"""),44380.0)</f>
        <v>44380</v>
      </c>
      <c r="F488" s="129">
        <f>IFERROR(__xludf.DUMMYFUNCTION("""COMPUTED_VALUE"""),44416.0)</f>
        <v>44416</v>
      </c>
      <c r="G488" s="154" t="str">
        <f>IFERROR(__xludf.DUMMYFUNCTION("""COMPUTED_VALUE"""),"Email")</f>
        <v>Email</v>
      </c>
      <c r="H488" s="131"/>
      <c r="I488" s="132"/>
      <c r="J488" s="129">
        <f>IFERROR(__xludf.DUMMYFUNCTION("""COMPUTED_VALUE"""),44429.0)</f>
        <v>44429</v>
      </c>
      <c r="K488" s="133">
        <f>IFERROR(__xludf.DUMMYFUNCTION("""COMPUTED_VALUE"""),36.0)</f>
        <v>36</v>
      </c>
      <c r="L488" s="133">
        <f>IFERROR(__xludf.DUMMYFUNCTION("""COMPUTED_VALUE"""),13.0)</f>
        <v>13</v>
      </c>
      <c r="M488" s="133">
        <f>IFERROR(__xludf.DUMMYFUNCTION("""COMPUTED_VALUE"""),49.0)</f>
        <v>49</v>
      </c>
      <c r="N488" s="152" t="str">
        <f>IFERROR(__xludf.DUMMYFUNCTION("""COMPUTED_VALUE"""),"Model 3 SR+")</f>
        <v>Model 3 SR+</v>
      </c>
      <c r="O488" s="152" t="str">
        <f>IFERROR(__xludf.DUMMYFUNCTION("""COMPUTED_VALUE"""),"Pearl White Multi-Coat")</f>
        <v>Pearl White Multi-Coat</v>
      </c>
      <c r="P488" s="153" t="str">
        <f>IFERROR(__xludf.DUMMYFUNCTION("""COMPUTED_VALUE"""),"18 inch")</f>
        <v>18 inch</v>
      </c>
      <c r="Q488" s="152" t="str">
        <f>IFERROR(__xludf.DUMMYFUNCTION("""COMPUTED_VALUE"""),"Black and White")</f>
        <v>Black and White</v>
      </c>
      <c r="R488" s="150" t="str">
        <f>IFERROR(__xludf.DUMMYFUNCTION("""COMPUTED_VALUE"""),"Autopilot included")</f>
        <v>Autopilot included</v>
      </c>
      <c r="S488" s="150" t="str">
        <f>IFERROR(__xludf.DUMMYFUNCTION("""COMPUTED_VALUE"""),"Cash")</f>
        <v>Cash</v>
      </c>
      <c r="T488" s="136"/>
      <c r="U488" s="136" t="str">
        <f>IFERROR(__xludf.DUMMYFUNCTION("""COMPUTED_VALUE"""),"Electric!")</f>
        <v>Electric!</v>
      </c>
      <c r="V488" s="145" t="str">
        <f>IFERROR(__xludf.DUMMYFUNCTION("""COMPUTED_VALUE"""),"360° Bird's eye view")</f>
        <v>360° Bird's eye view</v>
      </c>
      <c r="W488" s="136"/>
      <c r="X488" s="137"/>
      <c r="Y488" s="138"/>
      <c r="Z488" s="138"/>
      <c r="AA488" s="138"/>
      <c r="AB488" s="138"/>
      <c r="AC488" s="139"/>
      <c r="AD488" s="139"/>
      <c r="AE488" s="139"/>
      <c r="AF488" s="140"/>
      <c r="AG488" s="136"/>
      <c r="AH488" s="157">
        <f>IFERROR(__xludf.DUMMYFUNCTION("""COMPUTED_VALUE"""),44421.807660300925)</f>
        <v>44421.80766</v>
      </c>
      <c r="AI488" s="138"/>
      <c r="AJ488" s="138"/>
      <c r="AK488" s="138"/>
      <c r="AL488" s="142"/>
    </row>
    <row r="489" ht="20.25" customHeight="1">
      <c r="A489" s="155" t="str">
        <f>IFERROR(__xludf.DUMMYFUNCTION("""COMPUTED_VALUE"""),"Nico")</f>
        <v>Nico</v>
      </c>
      <c r="B489" s="149" t="str">
        <f>IFERROR(__xludf.DUMMYFUNCTION("""COMPUTED_VALUE"""),"San Diego")</f>
        <v>San Diego</v>
      </c>
      <c r="C489" s="149" t="str">
        <f>IFERROR(__xludf.DUMMYFUNCTION("""COMPUTED_VALUE"""),"CA")</f>
        <v>CA</v>
      </c>
      <c r="D489" s="149" t="str">
        <f>IFERROR(__xludf.DUMMYFUNCTION("""COMPUTED_VALUE"""),"USA")</f>
        <v>USA</v>
      </c>
      <c r="E489" s="156">
        <f>IFERROR(__xludf.DUMMYFUNCTION("""COMPUTED_VALUE"""),44380.0)</f>
        <v>44380</v>
      </c>
      <c r="F489" s="129">
        <f>IFERROR(__xludf.DUMMYFUNCTION("""COMPUTED_VALUE"""),44427.0)</f>
        <v>44427</v>
      </c>
      <c r="G489" s="154" t="str">
        <f>IFERROR(__xludf.DUMMYFUNCTION("""COMPUTED_VALUE"""),"Email")</f>
        <v>Email</v>
      </c>
      <c r="H489" s="131">
        <f>IFERROR(__xludf.DUMMYFUNCTION("""COMPUTED_VALUE"""),48455.0)</f>
        <v>48455</v>
      </c>
      <c r="I489" s="144"/>
      <c r="J489" s="129">
        <f>IFERROR(__xludf.DUMMYFUNCTION("""COMPUTED_VALUE"""),44428.0)</f>
        <v>44428</v>
      </c>
      <c r="K489" s="133">
        <f>IFERROR(__xludf.DUMMYFUNCTION("""COMPUTED_VALUE"""),47.0)</f>
        <v>47</v>
      </c>
      <c r="L489" s="133">
        <f>IFERROR(__xludf.DUMMYFUNCTION("""COMPUTED_VALUE"""),1.0)</f>
        <v>1</v>
      </c>
      <c r="M489" s="133">
        <f>IFERROR(__xludf.DUMMYFUNCTION("""COMPUTED_VALUE"""),48.0)</f>
        <v>48</v>
      </c>
      <c r="N489" s="152" t="str">
        <f>IFERROR(__xludf.DUMMYFUNCTION("""COMPUTED_VALUE"""),"Model 3 LR AWD")</f>
        <v>Model 3 LR AWD</v>
      </c>
      <c r="O489" s="152" t="str">
        <f>IFERROR(__xludf.DUMMYFUNCTION("""COMPUTED_VALUE"""),"Pearl White Multi-Coat")</f>
        <v>Pearl White Multi-Coat</v>
      </c>
      <c r="P489" s="153" t="str">
        <f>IFERROR(__xludf.DUMMYFUNCTION("""COMPUTED_VALUE"""),"18 inch")</f>
        <v>18 inch</v>
      </c>
      <c r="Q489" s="152" t="str">
        <f>IFERROR(__xludf.DUMMYFUNCTION("""COMPUTED_VALUE"""),"All Black")</f>
        <v>All Black</v>
      </c>
      <c r="R489" s="149" t="str">
        <f>IFERROR(__xludf.DUMMYFUNCTION("""COMPUTED_VALUE"""),"Autopilot included")</f>
        <v>Autopilot included</v>
      </c>
      <c r="S489" s="149" t="str">
        <f>IFERROR(__xludf.DUMMYFUNCTION("""COMPUTED_VALUE"""),"Cash")</f>
        <v>Cash</v>
      </c>
      <c r="T489" s="145" t="str">
        <f>IFERROR(__xludf.DUMMYFUNCTION("""COMPUTED_VALUE"""),"BRZ")</f>
        <v>BRZ</v>
      </c>
      <c r="U489" s="145" t="str">
        <f>IFERROR(__xludf.DUMMYFUNCTION("""COMPUTED_VALUE"""),"Electric!")</f>
        <v>Electric!</v>
      </c>
      <c r="V489" s="145" t="str">
        <f>IFERROR(__xludf.DUMMYFUNCTION("""COMPUTED_VALUE"""),"Ventilated seats")</f>
        <v>Ventilated seats</v>
      </c>
      <c r="W489" s="136"/>
      <c r="X489" s="137" t="str">
        <f>IFERROR(__xludf.DUMMYFUNCTION("""COMPUTED_VALUE"""),"Good")</f>
        <v>Good</v>
      </c>
      <c r="Y489" s="138" t="str">
        <f>IFERROR(__xludf.DUMMYFUNCTION("""COMPUTED_VALUE"""),"Very Good")</f>
        <v>Very Good</v>
      </c>
      <c r="Z489" s="138" t="str">
        <f>IFERROR(__xludf.DUMMYFUNCTION("""COMPUTED_VALUE"""),"Excellent")</f>
        <v>Excellent</v>
      </c>
      <c r="AA489" s="138" t="str">
        <f>IFERROR(__xludf.DUMMYFUNCTION("""COMPUTED_VALUE"""),"Excellent")</f>
        <v>Excellent</v>
      </c>
      <c r="AB489" s="138" t="str">
        <f>IFERROR(__xludf.DUMMYFUNCTION("""COMPUTED_VALUE"""),"Excellent")</f>
        <v>Excellent</v>
      </c>
      <c r="AC489" s="139">
        <f>IFERROR(__xludf.DUMMYFUNCTION("""COMPUTED_VALUE"""),2.0)</f>
        <v>2</v>
      </c>
      <c r="AD489" s="139"/>
      <c r="AE489" s="139"/>
      <c r="AF489" s="140" t="str">
        <f>IFERROR(__xludf.DUMMYFUNCTION("""COMPUTED_VALUE"""),"No. I took delivery of the first car Tesla was able to deliver.")</f>
        <v>No. I took delivery of the first car Tesla was able to deliver.</v>
      </c>
      <c r="AG489" s="136"/>
      <c r="AH489" s="157">
        <f>IFERROR(__xludf.DUMMYFUNCTION("""COMPUTED_VALUE"""),44428.883359328705)</f>
        <v>44428.88336</v>
      </c>
      <c r="AI489" s="138"/>
      <c r="AJ489" s="138"/>
      <c r="AK489" s="138"/>
      <c r="AL489" s="142"/>
    </row>
    <row r="490" ht="20.25" customHeight="1">
      <c r="A490" s="155" t="str">
        <f>IFERROR(__xludf.DUMMYFUNCTION("""COMPUTED_VALUE"""),"Rich77")</f>
        <v>Rich77</v>
      </c>
      <c r="B490" s="149" t="str">
        <f>IFERROR(__xludf.DUMMYFUNCTION("""COMPUTED_VALUE"""),"Mount Horeb")</f>
        <v>Mount Horeb</v>
      </c>
      <c r="C490" s="149" t="str">
        <f>IFERROR(__xludf.DUMMYFUNCTION("""COMPUTED_VALUE"""),"WI")</f>
        <v>WI</v>
      </c>
      <c r="D490" s="149" t="str">
        <f>IFERROR(__xludf.DUMMYFUNCTION("""COMPUTED_VALUE"""),"USA")</f>
        <v>USA</v>
      </c>
      <c r="E490" s="156">
        <f>IFERROR(__xludf.DUMMYFUNCTION("""COMPUTED_VALUE"""),44380.0)</f>
        <v>44380</v>
      </c>
      <c r="F490" s="129">
        <f>IFERROR(__xludf.DUMMYFUNCTION("""COMPUTED_VALUE"""),44438.0)</f>
        <v>44438</v>
      </c>
      <c r="G490" s="154" t="str">
        <f>IFERROR(__xludf.DUMMYFUNCTION("""COMPUTED_VALUE"""),"Manage order page (normal text)")</f>
        <v>Manage order page (normal text)</v>
      </c>
      <c r="H490" s="131">
        <f>IFERROR(__xludf.DUMMYFUNCTION("""COMPUTED_VALUE"""),47255.0)</f>
        <v>47255</v>
      </c>
      <c r="I490" s="132"/>
      <c r="J490" s="129">
        <f>IFERROR(__xludf.DUMMYFUNCTION("""COMPUTED_VALUE"""),44442.0)</f>
        <v>44442</v>
      </c>
      <c r="K490" s="133">
        <f>IFERROR(__xludf.DUMMYFUNCTION("""COMPUTED_VALUE"""),58.0)</f>
        <v>58</v>
      </c>
      <c r="L490" s="133">
        <f>IFERROR(__xludf.DUMMYFUNCTION("""COMPUTED_VALUE"""),4.0)</f>
        <v>4</v>
      </c>
      <c r="M490" s="133">
        <f>IFERROR(__xludf.DUMMYFUNCTION("""COMPUTED_VALUE"""),62.0)</f>
        <v>62</v>
      </c>
      <c r="N490" s="152" t="str">
        <f>IFERROR(__xludf.DUMMYFUNCTION("""COMPUTED_VALUE"""),"Model 3 SR+")</f>
        <v>Model 3 SR+</v>
      </c>
      <c r="O490" s="152" t="str">
        <f>IFERROR(__xludf.DUMMYFUNCTION("""COMPUTED_VALUE"""),"Pearl White Multi-Coat")</f>
        <v>Pearl White Multi-Coat</v>
      </c>
      <c r="P490" s="153" t="str">
        <f>IFERROR(__xludf.DUMMYFUNCTION("""COMPUTED_VALUE"""),"18 inch")</f>
        <v>18 inch</v>
      </c>
      <c r="Q490" s="152" t="str">
        <f>IFERROR(__xludf.DUMMYFUNCTION("""COMPUTED_VALUE"""),"Black and White")</f>
        <v>Black and White</v>
      </c>
      <c r="R490" s="150" t="str">
        <f>IFERROR(__xludf.DUMMYFUNCTION("""COMPUTED_VALUE"""),"Autopilot included")</f>
        <v>Autopilot included</v>
      </c>
      <c r="S490" s="150" t="str">
        <f>IFERROR(__xludf.DUMMYFUNCTION("""COMPUTED_VALUE"""),"Loan")</f>
        <v>Loan</v>
      </c>
      <c r="T490" s="136" t="str">
        <f>IFERROR(__xludf.DUMMYFUNCTION("""COMPUTED_VALUE"""),"Ford Fiesta")</f>
        <v>Ford Fiesta</v>
      </c>
      <c r="U490" s="136" t="str">
        <f>IFERROR(__xludf.DUMMYFUNCTION("""COMPUTED_VALUE"""),"Tesla brand image")</f>
        <v>Tesla brand image</v>
      </c>
      <c r="V490" s="136" t="str">
        <f>IFERROR(__xludf.DUMMYFUNCTION("""COMPUTED_VALUE"""),"Head-up display")</f>
        <v>Head-up display</v>
      </c>
      <c r="W490" s="136"/>
      <c r="X490" s="137"/>
      <c r="Y490" s="138"/>
      <c r="Z490" s="138"/>
      <c r="AA490" s="138"/>
      <c r="AB490" s="138"/>
      <c r="AC490" s="139"/>
      <c r="AD490" s="139"/>
      <c r="AE490" s="139"/>
      <c r="AF490" s="140"/>
      <c r="AG490" s="136"/>
      <c r="AH490" s="157">
        <f>IFERROR(__xludf.DUMMYFUNCTION("""COMPUTED_VALUE"""),44439.40391320602)</f>
        <v>44439.40391</v>
      </c>
      <c r="AI490" s="138"/>
      <c r="AJ490" s="138"/>
      <c r="AK490" s="138"/>
      <c r="AL490" s="142"/>
    </row>
    <row r="491" ht="20.25" customHeight="1">
      <c r="A491" s="155" t="str">
        <f>IFERROR(__xludf.DUMMYFUNCTION("""COMPUTED_VALUE"""),"Void269")</f>
        <v>Void269</v>
      </c>
      <c r="B491" s="149" t="str">
        <f>IFERROR(__xludf.DUMMYFUNCTION("""COMPUTED_VALUE"""),"St Paul")</f>
        <v>St Paul</v>
      </c>
      <c r="C491" s="149" t="str">
        <f>IFERROR(__xludf.DUMMYFUNCTION("""COMPUTED_VALUE"""),"MN")</f>
        <v>MN</v>
      </c>
      <c r="D491" s="149" t="str">
        <f>IFERROR(__xludf.DUMMYFUNCTION("""COMPUTED_VALUE"""),"USA")</f>
        <v>USA</v>
      </c>
      <c r="E491" s="156">
        <f>IFERROR(__xludf.DUMMYFUNCTION("""COMPUTED_VALUE"""),44380.0)</f>
        <v>44380</v>
      </c>
      <c r="F491" s="129">
        <f>IFERROR(__xludf.DUMMYFUNCTION("""COMPUTED_VALUE"""),44410.0)</f>
        <v>44410</v>
      </c>
      <c r="G491" s="154" t="str">
        <f>IFERROR(__xludf.DUMMYFUNCTION("""COMPUTED_VALUE"""),"Manage order page (normal text)")</f>
        <v>Manage order page (normal text)</v>
      </c>
      <c r="H491" s="131"/>
      <c r="I491" s="144"/>
      <c r="J491" s="129">
        <f>IFERROR(__xludf.DUMMYFUNCTION("""COMPUTED_VALUE"""),44424.0)</f>
        <v>44424</v>
      </c>
      <c r="K491" s="133">
        <f>IFERROR(__xludf.DUMMYFUNCTION("""COMPUTED_VALUE"""),30.0)</f>
        <v>30</v>
      </c>
      <c r="L491" s="133">
        <f>IFERROR(__xludf.DUMMYFUNCTION("""COMPUTED_VALUE"""),14.0)</f>
        <v>14</v>
      </c>
      <c r="M491" s="133">
        <f>IFERROR(__xludf.DUMMYFUNCTION("""COMPUTED_VALUE"""),44.0)</f>
        <v>44</v>
      </c>
      <c r="N491" s="152" t="str">
        <f>IFERROR(__xludf.DUMMYFUNCTION("""COMPUTED_VALUE"""),"Model 3 Performance")</f>
        <v>Model 3 Performance</v>
      </c>
      <c r="O491" s="152" t="str">
        <f>IFERROR(__xludf.DUMMYFUNCTION("""COMPUTED_VALUE"""),"Red Multi-Coat")</f>
        <v>Red Multi-Coat</v>
      </c>
      <c r="P491" s="153" t="str">
        <f>IFERROR(__xludf.DUMMYFUNCTION("""COMPUTED_VALUE"""),"20 inch")</f>
        <v>20 inch</v>
      </c>
      <c r="Q491" s="152" t="str">
        <f>IFERROR(__xludf.DUMMYFUNCTION("""COMPUTED_VALUE"""),"All Black")</f>
        <v>All Black</v>
      </c>
      <c r="R491" s="149" t="str">
        <f>IFERROR(__xludf.DUMMYFUNCTION("""COMPUTED_VALUE"""),"Autopilot included")</f>
        <v>Autopilot included</v>
      </c>
      <c r="S491" s="149"/>
      <c r="T491" s="145"/>
      <c r="U491" s="145"/>
      <c r="V491" s="145" t="str">
        <f>IFERROR(__xludf.DUMMYFUNCTION("""COMPUTED_VALUE"""),"Ventilated seats")</f>
        <v>Ventilated seats</v>
      </c>
      <c r="W491" s="145"/>
      <c r="X491" s="137"/>
      <c r="Y491" s="138"/>
      <c r="Z491" s="138"/>
      <c r="AA491" s="138"/>
      <c r="AB491" s="138"/>
      <c r="AC491" s="139"/>
      <c r="AD491" s="139"/>
      <c r="AE491" s="139"/>
      <c r="AF491" s="140"/>
      <c r="AG491" s="145"/>
      <c r="AH491" s="157">
        <f>IFERROR(__xludf.DUMMYFUNCTION("""COMPUTED_VALUE"""),44415.407627905086)</f>
        <v>44415.40763</v>
      </c>
      <c r="AI491" s="138"/>
      <c r="AJ491" s="138"/>
      <c r="AK491" s="138"/>
      <c r="AL491" s="142"/>
    </row>
    <row r="492" ht="20.25" customHeight="1">
      <c r="A492" s="155" t="str">
        <f>IFERROR(__xludf.DUMMYFUNCTION("""COMPUTED_VALUE"""),"sjcpilot")</f>
        <v>sjcpilot</v>
      </c>
      <c r="B492" s="149" t="str">
        <f>IFERROR(__xludf.DUMMYFUNCTION("""COMPUTED_VALUE"""),"Wilmington")</f>
        <v>Wilmington</v>
      </c>
      <c r="C492" s="149" t="str">
        <f>IFERROR(__xludf.DUMMYFUNCTION("""COMPUTED_VALUE"""),"NC")</f>
        <v>NC</v>
      </c>
      <c r="D492" s="149" t="str">
        <f>IFERROR(__xludf.DUMMYFUNCTION("""COMPUTED_VALUE"""),"USA")</f>
        <v>USA</v>
      </c>
      <c r="E492" s="156">
        <f>IFERROR(__xludf.DUMMYFUNCTION("""COMPUTED_VALUE"""),44379.0)</f>
        <v>44379</v>
      </c>
      <c r="F492" s="129">
        <f>IFERROR(__xludf.DUMMYFUNCTION("""COMPUTED_VALUE"""),44426.0)</f>
        <v>44426</v>
      </c>
      <c r="G492" s="154" t="str">
        <f>IFERROR(__xludf.DUMMYFUNCTION("""COMPUTED_VALUE"""),"Email")</f>
        <v>Email</v>
      </c>
      <c r="H492" s="131"/>
      <c r="I492" s="144"/>
      <c r="J492" s="129">
        <f>IFERROR(__xludf.DUMMYFUNCTION("""COMPUTED_VALUE"""),44429.0)</f>
        <v>44429</v>
      </c>
      <c r="K492" s="133">
        <f>IFERROR(__xludf.DUMMYFUNCTION("""COMPUTED_VALUE"""),47.0)</f>
        <v>47</v>
      </c>
      <c r="L492" s="133">
        <f>IFERROR(__xludf.DUMMYFUNCTION("""COMPUTED_VALUE"""),3.0)</f>
        <v>3</v>
      </c>
      <c r="M492" s="133">
        <f>IFERROR(__xludf.DUMMYFUNCTION("""COMPUTED_VALUE"""),50.0)</f>
        <v>50</v>
      </c>
      <c r="N492" s="152" t="str">
        <f>IFERROR(__xludf.DUMMYFUNCTION("""COMPUTED_VALUE"""),"Model 3 SR+")</f>
        <v>Model 3 SR+</v>
      </c>
      <c r="O492" s="152" t="str">
        <f>IFERROR(__xludf.DUMMYFUNCTION("""COMPUTED_VALUE"""),"Pearl White Multi-Coat")</f>
        <v>Pearl White Multi-Coat</v>
      </c>
      <c r="P492" s="153" t="str">
        <f>IFERROR(__xludf.DUMMYFUNCTION("""COMPUTED_VALUE"""),"18 inch")</f>
        <v>18 inch</v>
      </c>
      <c r="Q492" s="152" t="str">
        <f>IFERROR(__xludf.DUMMYFUNCTION("""COMPUTED_VALUE"""),"Black and White")</f>
        <v>Black and White</v>
      </c>
      <c r="R492" s="149" t="str">
        <f>IFERROR(__xludf.DUMMYFUNCTION("""COMPUTED_VALUE"""),"Autopilot included")</f>
        <v>Autopilot included</v>
      </c>
      <c r="S492" s="149" t="str">
        <f>IFERROR(__xludf.DUMMYFUNCTION("""COMPUTED_VALUE"""),"Loan")</f>
        <v>Loan</v>
      </c>
      <c r="T492" s="145" t="str">
        <f>IFERROR(__xludf.DUMMYFUNCTION("""COMPUTED_VALUE"""),"BMW 3 Series")</f>
        <v>BMW 3 Series</v>
      </c>
      <c r="U492" s="145" t="str">
        <f>IFERROR(__xludf.DUMMYFUNCTION("""COMPUTED_VALUE"""),"Autopilot")</f>
        <v>Autopilot</v>
      </c>
      <c r="V492" s="145" t="str">
        <f>IFERROR(__xludf.DUMMYFUNCTION("""COMPUTED_VALUE"""),"Head-up display")</f>
        <v>Head-up display</v>
      </c>
      <c r="W492" s="145"/>
      <c r="X492" s="137"/>
      <c r="Y492" s="138"/>
      <c r="Z492" s="138"/>
      <c r="AA492" s="138"/>
      <c r="AB492" s="138"/>
      <c r="AC492" s="139"/>
      <c r="AD492" s="139"/>
      <c r="AE492" s="139"/>
      <c r="AF492" s="140"/>
      <c r="AG492" s="145"/>
      <c r="AH492" s="157">
        <f>IFERROR(__xludf.DUMMYFUNCTION("""COMPUTED_VALUE"""),44427.558551898146)</f>
        <v>44427.55855</v>
      </c>
      <c r="AI492" s="138"/>
      <c r="AJ492" s="138"/>
      <c r="AK492" s="138"/>
      <c r="AL492" s="142"/>
    </row>
    <row r="493" ht="20.25" customHeight="1">
      <c r="A493" s="155" t="str">
        <f>IFERROR(__xludf.DUMMYFUNCTION("""COMPUTED_VALUE"""),"thoren")</f>
        <v>thoren</v>
      </c>
      <c r="B493" s="149" t="str">
        <f>IFERROR(__xludf.DUMMYFUNCTION("""COMPUTED_VALUE"""),"East Palo Alto")</f>
        <v>East Palo Alto</v>
      </c>
      <c r="C493" s="149" t="str">
        <f>IFERROR(__xludf.DUMMYFUNCTION("""COMPUTED_VALUE"""),"CA")</f>
        <v>CA</v>
      </c>
      <c r="D493" s="149" t="str">
        <f>IFERROR(__xludf.DUMMYFUNCTION("""COMPUTED_VALUE"""),"USA")</f>
        <v>USA</v>
      </c>
      <c r="E493" s="156">
        <f>IFERROR(__xludf.DUMMYFUNCTION("""COMPUTED_VALUE"""),44379.0)</f>
        <v>44379</v>
      </c>
      <c r="F493" s="129">
        <f>IFERROR(__xludf.DUMMYFUNCTION("""COMPUTED_VALUE"""),44427.0)</f>
        <v>44427</v>
      </c>
      <c r="G493" s="154" t="str">
        <f>IFERROR(__xludf.DUMMYFUNCTION("""COMPUTED_VALUE"""),"Manage order page (normal text)")</f>
        <v>Manage order page (normal text)</v>
      </c>
      <c r="H493" s="131">
        <f>IFERROR(__xludf.DUMMYFUNCTION("""COMPUTED_VALUE"""),34201.0)</f>
        <v>34201</v>
      </c>
      <c r="I493" s="144"/>
      <c r="J493" s="129">
        <f>IFERROR(__xludf.DUMMYFUNCTION("""COMPUTED_VALUE"""),44430.0)</f>
        <v>44430</v>
      </c>
      <c r="K493" s="133">
        <f>IFERROR(__xludf.DUMMYFUNCTION("""COMPUTED_VALUE"""),48.0)</f>
        <v>48</v>
      </c>
      <c r="L493" s="133">
        <f>IFERROR(__xludf.DUMMYFUNCTION("""COMPUTED_VALUE"""),3.0)</f>
        <v>3</v>
      </c>
      <c r="M493" s="133">
        <f>IFERROR(__xludf.DUMMYFUNCTION("""COMPUTED_VALUE"""),51.0)</f>
        <v>51</v>
      </c>
      <c r="N493" s="152" t="str">
        <f>IFERROR(__xludf.DUMMYFUNCTION("""COMPUTED_VALUE"""),"Model 3 LR AWD")</f>
        <v>Model 3 LR AWD</v>
      </c>
      <c r="O493" s="152" t="str">
        <f>IFERROR(__xludf.DUMMYFUNCTION("""COMPUTED_VALUE"""),"Pearl White Multi-Coat")</f>
        <v>Pearl White Multi-Coat</v>
      </c>
      <c r="P493" s="153" t="str">
        <f>IFERROR(__xludf.DUMMYFUNCTION("""COMPUTED_VALUE"""),"18 inch")</f>
        <v>18 inch</v>
      </c>
      <c r="Q493" s="152" t="str">
        <f>IFERROR(__xludf.DUMMYFUNCTION("""COMPUTED_VALUE"""),"Black and White")</f>
        <v>Black and White</v>
      </c>
      <c r="R493" s="149" t="str">
        <f>IFERROR(__xludf.DUMMYFUNCTION("""COMPUTED_VALUE"""),"Autopilot included")</f>
        <v>Autopilot included</v>
      </c>
      <c r="S493" s="149" t="str">
        <f>IFERROR(__xludf.DUMMYFUNCTION("""COMPUTED_VALUE"""),"Loan")</f>
        <v>Loan</v>
      </c>
      <c r="T493" s="145" t="str">
        <f>IFERROR(__xludf.DUMMYFUNCTION("""COMPUTED_VALUE"""),"Mazda3")</f>
        <v>Mazda3</v>
      </c>
      <c r="U493" s="145" t="str">
        <f>IFERROR(__xludf.DUMMYFUNCTION("""COMPUTED_VALUE"""),"All Of The Above")</f>
        <v>All Of The Above</v>
      </c>
      <c r="V493" s="145" t="str">
        <f>IFERROR(__xludf.DUMMYFUNCTION("""COMPUTED_VALUE"""),"Blind spot indicators on side mirrors")</f>
        <v>Blind spot indicators on side mirrors</v>
      </c>
      <c r="W493" s="145"/>
      <c r="X493" s="137"/>
      <c r="Y493" s="138"/>
      <c r="Z493" s="138"/>
      <c r="AA493" s="138"/>
      <c r="AB493" s="138"/>
      <c r="AC493" s="139"/>
      <c r="AD493" s="139"/>
      <c r="AE493" s="139"/>
      <c r="AF493" s="140"/>
      <c r="AG493" s="145"/>
      <c r="AH493" s="157">
        <f>IFERROR(__xludf.DUMMYFUNCTION("""COMPUTED_VALUE"""),44428.39458199074)</f>
        <v>44428.39458</v>
      </c>
      <c r="AI493" s="138"/>
      <c r="AJ493" s="138"/>
      <c r="AK493" s="138"/>
      <c r="AL493" s="142"/>
    </row>
    <row r="494" ht="20.25" customHeight="1">
      <c r="A494" s="155" t="str">
        <f>IFERROR(__xludf.DUMMYFUNCTION("""COMPUTED_VALUE"""),"aces")</f>
        <v>aces</v>
      </c>
      <c r="B494" s="149"/>
      <c r="C494" s="149" t="str">
        <f>IFERROR(__xludf.DUMMYFUNCTION("""COMPUTED_VALUE"""),"CA")</f>
        <v>CA</v>
      </c>
      <c r="D494" s="149" t="str">
        <f>IFERROR(__xludf.DUMMYFUNCTION("""COMPUTED_VALUE"""),"USA")</f>
        <v>USA</v>
      </c>
      <c r="E494" s="156">
        <f>IFERROR(__xludf.DUMMYFUNCTION("""COMPUTED_VALUE"""),44378.0)</f>
        <v>44378</v>
      </c>
      <c r="F494" s="129">
        <f>IFERROR(__xludf.DUMMYFUNCTION("""COMPUTED_VALUE"""),44390.0)</f>
        <v>44390</v>
      </c>
      <c r="G494" s="154" t="str">
        <f>IFERROR(__xludf.DUMMYFUNCTION("""COMPUTED_VALUE"""),"Manage order page (normal text)")</f>
        <v>Manage order page (normal text)</v>
      </c>
      <c r="H494" s="131"/>
      <c r="I494" s="144"/>
      <c r="J494" s="129">
        <f>IFERROR(__xludf.DUMMYFUNCTION("""COMPUTED_VALUE"""),44393.0)</f>
        <v>44393</v>
      </c>
      <c r="K494" s="133">
        <f>IFERROR(__xludf.DUMMYFUNCTION("""COMPUTED_VALUE"""),12.0)</f>
        <v>12</v>
      </c>
      <c r="L494" s="133">
        <f>IFERROR(__xludf.DUMMYFUNCTION("""COMPUTED_VALUE"""),3.0)</f>
        <v>3</v>
      </c>
      <c r="M494" s="133">
        <f>IFERROR(__xludf.DUMMYFUNCTION("""COMPUTED_VALUE"""),15.0)</f>
        <v>15</v>
      </c>
      <c r="N494" s="152" t="str">
        <f>IFERROR(__xludf.DUMMYFUNCTION("""COMPUTED_VALUE"""),"Model 3 LR AWD")</f>
        <v>Model 3 LR AWD</v>
      </c>
      <c r="O494" s="152" t="str">
        <f>IFERROR(__xludf.DUMMYFUNCTION("""COMPUTED_VALUE"""),"Pearl White Multi-Coat")</f>
        <v>Pearl White Multi-Coat</v>
      </c>
      <c r="P494" s="153" t="str">
        <f>IFERROR(__xludf.DUMMYFUNCTION("""COMPUTED_VALUE"""),"19 inch")</f>
        <v>19 inch</v>
      </c>
      <c r="Q494" s="152" t="str">
        <f>IFERROR(__xludf.DUMMYFUNCTION("""COMPUTED_VALUE"""),"All Black")</f>
        <v>All Black</v>
      </c>
      <c r="R494" s="149" t="str">
        <f>IFERROR(__xludf.DUMMYFUNCTION("""COMPUTED_VALUE"""),"Autopilot included")</f>
        <v>Autopilot included</v>
      </c>
      <c r="S494" s="149" t="str">
        <f>IFERROR(__xludf.DUMMYFUNCTION("""COMPUTED_VALUE"""),"Cash")</f>
        <v>Cash</v>
      </c>
      <c r="T494" s="145"/>
      <c r="U494" s="145"/>
      <c r="V494" s="145"/>
      <c r="W494" s="145"/>
      <c r="X494" s="137" t="str">
        <f>IFERROR(__xludf.DUMMYFUNCTION("""COMPUTED_VALUE"""),"Very Good")</f>
        <v>Very Good</v>
      </c>
      <c r="Y494" s="138" t="str">
        <f>IFERROR(__xludf.DUMMYFUNCTION("""COMPUTED_VALUE"""),"Excellent")</f>
        <v>Excellent</v>
      </c>
      <c r="Z494" s="138" t="str">
        <f>IFERROR(__xludf.DUMMYFUNCTION("""COMPUTED_VALUE"""),"Excellent")</f>
        <v>Excellent</v>
      </c>
      <c r="AA494" s="138" t="str">
        <f>IFERROR(__xludf.DUMMYFUNCTION("""COMPUTED_VALUE"""),"Good")</f>
        <v>Good</v>
      </c>
      <c r="AB494" s="138" t="str">
        <f>IFERROR(__xludf.DUMMYFUNCTION("""COMPUTED_VALUE"""),"Very Good")</f>
        <v>Very Good</v>
      </c>
      <c r="AC494" s="139"/>
      <c r="AD494" s="139"/>
      <c r="AE494" s="139"/>
      <c r="AF494" s="140"/>
      <c r="AG494" s="145"/>
      <c r="AH494" s="157">
        <f>IFERROR(__xludf.DUMMYFUNCTION("""COMPUTED_VALUE"""),44399.9118871875)</f>
        <v>44399.91189</v>
      </c>
      <c r="AI494" s="138"/>
      <c r="AJ494" s="138"/>
      <c r="AK494" s="138"/>
      <c r="AL494" s="142"/>
    </row>
    <row r="495" ht="20.25" customHeight="1">
      <c r="A495" s="155" t="str">
        <f>IFERROR(__xludf.DUMMYFUNCTION("""COMPUTED_VALUE"""),"Caltane")</f>
        <v>Caltane</v>
      </c>
      <c r="B495" s="149" t="str">
        <f>IFERROR(__xludf.DUMMYFUNCTION("""COMPUTED_VALUE"""),"Surrey")</f>
        <v>Surrey</v>
      </c>
      <c r="C495" s="149" t="str">
        <f>IFERROR(__xludf.DUMMYFUNCTION("""COMPUTED_VALUE"""),"BC")</f>
        <v>BC</v>
      </c>
      <c r="D495" s="149" t="str">
        <f>IFERROR(__xludf.DUMMYFUNCTION("""COMPUTED_VALUE"""),"Canada")</f>
        <v>Canada</v>
      </c>
      <c r="E495" s="156">
        <f>IFERROR(__xludf.DUMMYFUNCTION("""COMPUTED_VALUE"""),44378.0)</f>
        <v>44378</v>
      </c>
      <c r="F495" s="129">
        <f>IFERROR(__xludf.DUMMYFUNCTION("""COMPUTED_VALUE"""),44431.0)</f>
        <v>44431</v>
      </c>
      <c r="G495" s="154" t="str">
        <f>IFERROR(__xludf.DUMMYFUNCTION("""COMPUTED_VALUE"""),"Source code")</f>
        <v>Source code</v>
      </c>
      <c r="H495" s="131">
        <f>IFERROR(__xludf.DUMMYFUNCTION("""COMPUTED_VALUE"""),45664.0)</f>
        <v>45664</v>
      </c>
      <c r="I495" s="144"/>
      <c r="J495" s="129"/>
      <c r="K495" s="133">
        <f>IFERROR(__xludf.DUMMYFUNCTION("""COMPUTED_VALUE"""),53.0)</f>
        <v>53</v>
      </c>
      <c r="L495" s="133"/>
      <c r="M495" s="133"/>
      <c r="N495" s="152" t="str">
        <f>IFERROR(__xludf.DUMMYFUNCTION("""COMPUTED_VALUE"""),"Model 3 SR+")</f>
        <v>Model 3 SR+</v>
      </c>
      <c r="O495" s="152" t="str">
        <f>IFERROR(__xludf.DUMMYFUNCTION("""COMPUTED_VALUE"""),"Midnight Silver Metallic")</f>
        <v>Midnight Silver Metallic</v>
      </c>
      <c r="P495" s="153" t="str">
        <f>IFERROR(__xludf.DUMMYFUNCTION("""COMPUTED_VALUE"""),"18 inch")</f>
        <v>18 inch</v>
      </c>
      <c r="Q495" s="152" t="str">
        <f>IFERROR(__xludf.DUMMYFUNCTION("""COMPUTED_VALUE"""),"Black and White")</f>
        <v>Black and White</v>
      </c>
      <c r="R495" s="149"/>
      <c r="S495" s="149" t="str">
        <f>IFERROR(__xludf.DUMMYFUNCTION("""COMPUTED_VALUE"""),"Loan")</f>
        <v>Loan</v>
      </c>
      <c r="T495" s="145"/>
      <c r="U495" s="145"/>
      <c r="V495" s="145"/>
      <c r="W495" s="145"/>
      <c r="X495" s="137"/>
      <c r="Y495" s="138"/>
      <c r="Z495" s="138"/>
      <c r="AA495" s="138"/>
      <c r="AB495" s="138"/>
      <c r="AC495" s="139"/>
      <c r="AD495" s="139"/>
      <c r="AE495" s="139"/>
      <c r="AF495" s="140"/>
      <c r="AG495" s="145"/>
      <c r="AH495" s="157">
        <f>IFERROR(__xludf.DUMMYFUNCTION("""COMPUTED_VALUE"""),44431.8217749537)</f>
        <v>44431.82177</v>
      </c>
      <c r="AI495" s="138"/>
      <c r="AJ495" s="138"/>
      <c r="AK495" s="138"/>
      <c r="AL495" s="142"/>
    </row>
    <row r="496" ht="20.25" customHeight="1">
      <c r="A496" s="155" t="str">
        <f>IFERROR(__xludf.DUMMYFUNCTION("""COMPUTED_VALUE"""),"Goofy419")</f>
        <v>Goofy419</v>
      </c>
      <c r="B496" s="149" t="str">
        <f>IFERROR(__xludf.DUMMYFUNCTION("""COMPUTED_VALUE"""),"Pembroke Pines")</f>
        <v>Pembroke Pines</v>
      </c>
      <c r="C496" s="149" t="str">
        <f>IFERROR(__xludf.DUMMYFUNCTION("""COMPUTED_VALUE"""),"FL")</f>
        <v>FL</v>
      </c>
      <c r="D496" s="149" t="str">
        <f>IFERROR(__xludf.DUMMYFUNCTION("""COMPUTED_VALUE"""),"USA")</f>
        <v>USA</v>
      </c>
      <c r="E496" s="156">
        <f>IFERROR(__xludf.DUMMYFUNCTION("""COMPUTED_VALUE"""),44378.0)</f>
        <v>44378</v>
      </c>
      <c r="F496" s="129">
        <f>IFERROR(__xludf.DUMMYFUNCTION("""COMPUTED_VALUE"""),44420.0)</f>
        <v>44420</v>
      </c>
      <c r="G496" s="154" t="str">
        <f>IFERROR(__xludf.DUMMYFUNCTION("""COMPUTED_VALUE"""),"Manage order page (normal text)")</f>
        <v>Manage order page (normal text)</v>
      </c>
      <c r="H496" s="131">
        <f>IFERROR(__xludf.DUMMYFUNCTION("""COMPUTED_VALUE"""),34855.0)</f>
        <v>34855</v>
      </c>
      <c r="I496" s="144"/>
      <c r="J496" s="129"/>
      <c r="K496" s="133">
        <f>IFERROR(__xludf.DUMMYFUNCTION("""COMPUTED_VALUE"""),42.0)</f>
        <v>42</v>
      </c>
      <c r="L496" s="133"/>
      <c r="M496" s="133"/>
      <c r="N496" s="152" t="str">
        <f>IFERROR(__xludf.DUMMYFUNCTION("""COMPUTED_VALUE"""),"Model 3 LR AWD")</f>
        <v>Model 3 LR AWD</v>
      </c>
      <c r="O496" s="152" t="str">
        <f>IFERROR(__xludf.DUMMYFUNCTION("""COMPUTED_VALUE"""),"Pearl White Multi-Coat")</f>
        <v>Pearl White Multi-Coat</v>
      </c>
      <c r="P496" s="153" t="str">
        <f>IFERROR(__xludf.DUMMYFUNCTION("""COMPUTED_VALUE"""),"18 inch")</f>
        <v>18 inch</v>
      </c>
      <c r="Q496" s="152" t="str">
        <f>IFERROR(__xludf.DUMMYFUNCTION("""COMPUTED_VALUE"""),"All Black")</f>
        <v>All Black</v>
      </c>
      <c r="R496" s="149" t="str">
        <f>IFERROR(__xludf.DUMMYFUNCTION("""COMPUTED_VALUE"""),"Autopilot included")</f>
        <v>Autopilot included</v>
      </c>
      <c r="S496" s="149" t="str">
        <f>IFERROR(__xludf.DUMMYFUNCTION("""COMPUTED_VALUE"""),"Loan")</f>
        <v>Loan</v>
      </c>
      <c r="T496" s="145" t="str">
        <f>IFERROR(__xludf.DUMMYFUNCTION("""COMPUTED_VALUE"""),"Ford Explorer")</f>
        <v>Ford Explorer</v>
      </c>
      <c r="U496" s="145" t="str">
        <f>IFERROR(__xludf.DUMMYFUNCTION("""COMPUTED_VALUE"""),"Electric!")</f>
        <v>Electric!</v>
      </c>
      <c r="V496" s="145" t="str">
        <f>IFERROR(__xludf.DUMMYFUNCTION("""COMPUTED_VALUE"""),"HomeLink")</f>
        <v>HomeLink</v>
      </c>
      <c r="W496" s="136"/>
      <c r="X496" s="137"/>
      <c r="Y496" s="138"/>
      <c r="Z496" s="138"/>
      <c r="AA496" s="138"/>
      <c r="AB496" s="138"/>
      <c r="AC496" s="139"/>
      <c r="AD496" s="139"/>
      <c r="AE496" s="139"/>
      <c r="AF496" s="140"/>
      <c r="AG496" s="136"/>
      <c r="AH496" s="157">
        <f>IFERROR(__xludf.DUMMYFUNCTION("""COMPUTED_VALUE"""),44420.78612065972)</f>
        <v>44420.78612</v>
      </c>
      <c r="AI496" s="138"/>
      <c r="AJ496" s="138"/>
      <c r="AK496" s="138"/>
      <c r="AL496" s="142"/>
    </row>
    <row r="497" ht="20.25" customHeight="1">
      <c r="A497" s="155" t="str">
        <f>IFERROR(__xludf.DUMMYFUNCTION("""COMPUTED_VALUE"""),"granitez")</f>
        <v>granitez</v>
      </c>
      <c r="B497" s="149" t="str">
        <f>IFERROR(__xludf.DUMMYFUNCTION("""COMPUTED_VALUE"""),"Richmond")</f>
        <v>Richmond</v>
      </c>
      <c r="C497" s="149" t="str">
        <f>IFERROR(__xludf.DUMMYFUNCTION("""COMPUTED_VALUE"""),"BC")</f>
        <v>BC</v>
      </c>
      <c r="D497" s="149" t="str">
        <f>IFERROR(__xludf.DUMMYFUNCTION("""COMPUTED_VALUE"""),"Canada")</f>
        <v>Canada</v>
      </c>
      <c r="E497" s="156">
        <f>IFERROR(__xludf.DUMMYFUNCTION("""COMPUTED_VALUE"""),44378.0)</f>
        <v>44378</v>
      </c>
      <c r="F497" s="129">
        <f>IFERROR(__xludf.DUMMYFUNCTION("""COMPUTED_VALUE"""),44400.0)</f>
        <v>44400</v>
      </c>
      <c r="G497" s="154" t="str">
        <f>IFERROR(__xludf.DUMMYFUNCTION("""COMPUTED_VALUE"""),"Source code")</f>
        <v>Source code</v>
      </c>
      <c r="H497" s="131"/>
      <c r="I497" s="144"/>
      <c r="J497" s="129">
        <f>IFERROR(__xludf.DUMMYFUNCTION("""COMPUTED_VALUE"""),44402.0)</f>
        <v>44402</v>
      </c>
      <c r="K497" s="133">
        <f>IFERROR(__xludf.DUMMYFUNCTION("""COMPUTED_VALUE"""),22.0)</f>
        <v>22</v>
      </c>
      <c r="L497" s="133">
        <f>IFERROR(__xludf.DUMMYFUNCTION("""COMPUTED_VALUE"""),2.0)</f>
        <v>2</v>
      </c>
      <c r="M497" s="133">
        <f>IFERROR(__xludf.DUMMYFUNCTION("""COMPUTED_VALUE"""),24.0)</f>
        <v>24</v>
      </c>
      <c r="N497" s="152" t="str">
        <f>IFERROR(__xludf.DUMMYFUNCTION("""COMPUTED_VALUE"""),"Model 3 SR+")</f>
        <v>Model 3 SR+</v>
      </c>
      <c r="O497" s="152" t="str">
        <f>IFERROR(__xludf.DUMMYFUNCTION("""COMPUTED_VALUE"""),"Midnight Silver Metallic")</f>
        <v>Midnight Silver Metallic</v>
      </c>
      <c r="P497" s="153" t="str">
        <f>IFERROR(__xludf.DUMMYFUNCTION("""COMPUTED_VALUE"""),"18 inch")</f>
        <v>18 inch</v>
      </c>
      <c r="Q497" s="152" t="str">
        <f>IFERROR(__xludf.DUMMYFUNCTION("""COMPUTED_VALUE"""),"Black and White")</f>
        <v>Black and White</v>
      </c>
      <c r="R497" s="149" t="str">
        <f>IFERROR(__xludf.DUMMYFUNCTION("""COMPUTED_VALUE"""),"Autopilot included")</f>
        <v>Autopilot included</v>
      </c>
      <c r="S497" s="149" t="str">
        <f>IFERROR(__xludf.DUMMYFUNCTION("""COMPUTED_VALUE"""),"Loan")</f>
        <v>Loan</v>
      </c>
      <c r="T497" s="145" t="str">
        <f>IFERROR(__xludf.DUMMYFUNCTION("""COMPUTED_VALUE"""),"BMW 428i")</f>
        <v>BMW 428i</v>
      </c>
      <c r="U497" s="145" t="str">
        <f>IFERROR(__xludf.DUMMYFUNCTION("""COMPUTED_VALUE"""),"Electric!")</f>
        <v>Electric!</v>
      </c>
      <c r="V497" s="145" t="str">
        <f>IFERROR(__xludf.DUMMYFUNCTION("""COMPUTED_VALUE"""),"Head-up display")</f>
        <v>Head-up display</v>
      </c>
      <c r="W497" s="145" t="str">
        <f>IFERROR(__xludf.DUMMYFUNCTION("""COMPUTED_VALUE"""),"Existing inventory yyds")</f>
        <v>Existing inventory yyds</v>
      </c>
      <c r="X497" s="137" t="str">
        <f>IFERROR(__xludf.DUMMYFUNCTION("""COMPUTED_VALUE"""),"Very Good")</f>
        <v>Very Good</v>
      </c>
      <c r="Y497" s="138" t="str">
        <f>IFERROR(__xludf.DUMMYFUNCTION("""COMPUTED_VALUE"""),"Excellent")</f>
        <v>Excellent</v>
      </c>
      <c r="Z497" s="138" t="str">
        <f>IFERROR(__xludf.DUMMYFUNCTION("""COMPUTED_VALUE"""),"Excellent")</f>
        <v>Excellent</v>
      </c>
      <c r="AA497" s="138" t="str">
        <f>IFERROR(__xludf.DUMMYFUNCTION("""COMPUTED_VALUE"""),"Excellent")</f>
        <v>Excellent</v>
      </c>
      <c r="AB497" s="138" t="str">
        <f>IFERROR(__xludf.DUMMYFUNCTION("""COMPUTED_VALUE"""),"Excellent")</f>
        <v>Excellent</v>
      </c>
      <c r="AC497" s="139">
        <f>IFERROR(__xludf.DUMMYFUNCTION("""COMPUTED_VALUE"""),0.0)</f>
        <v>0</v>
      </c>
      <c r="AD497" s="139">
        <f>IFERROR(__xludf.DUMMYFUNCTION("""COMPUTED_VALUE"""),0.0)</f>
        <v>0</v>
      </c>
      <c r="AE497" s="139">
        <f>IFERROR(__xludf.DUMMYFUNCTION("""COMPUTED_VALUE"""),0.0)</f>
        <v>0</v>
      </c>
      <c r="AF497" s="140" t="str">
        <f>IFERROR(__xludf.DUMMYFUNCTION("""COMPUTED_VALUE"""),"No. I took delivery of the first car Tesla was able to deliver.")</f>
        <v>No. I took delivery of the first car Tesla was able to deliver.</v>
      </c>
      <c r="AG497" s="145"/>
      <c r="AH497" s="157">
        <f>IFERROR(__xludf.DUMMYFUNCTION("""COMPUTED_VALUE"""),44403.64404658565)</f>
        <v>44403.64405</v>
      </c>
      <c r="AI497" s="138"/>
      <c r="AJ497" s="138"/>
      <c r="AK497" s="138"/>
      <c r="AL497" s="142"/>
    </row>
    <row r="498" ht="20.25" customHeight="1">
      <c r="A498" s="155" t="str">
        <f>IFERROR(__xludf.DUMMYFUNCTION("""COMPUTED_VALUE"""),"Jmac")</f>
        <v>Jmac</v>
      </c>
      <c r="B498" s="149" t="str">
        <f>IFERROR(__xludf.DUMMYFUNCTION("""COMPUTED_VALUE"""),"Nashville")</f>
        <v>Nashville</v>
      </c>
      <c r="C498" s="149" t="str">
        <f>IFERROR(__xludf.DUMMYFUNCTION("""COMPUTED_VALUE"""),"TN")</f>
        <v>TN</v>
      </c>
      <c r="D498" s="149" t="str">
        <f>IFERROR(__xludf.DUMMYFUNCTION("""COMPUTED_VALUE"""),"USA")</f>
        <v>USA</v>
      </c>
      <c r="E498" s="156">
        <f>IFERROR(__xludf.DUMMYFUNCTION("""COMPUTED_VALUE"""),44378.0)</f>
        <v>44378</v>
      </c>
      <c r="F498" s="129">
        <f>IFERROR(__xludf.DUMMYFUNCTION("""COMPUTED_VALUE"""),44420.0)</f>
        <v>44420</v>
      </c>
      <c r="G498" s="154" t="str">
        <f>IFERROR(__xludf.DUMMYFUNCTION("""COMPUTED_VALUE"""),"Manage order page (normal text)")</f>
        <v>Manage order page (normal text)</v>
      </c>
      <c r="H498" s="131">
        <f>IFERROR(__xludf.DUMMYFUNCTION("""COMPUTED_VALUE"""),35667.0)</f>
        <v>35667</v>
      </c>
      <c r="I498" s="144" t="str">
        <f>IFERROR(__xludf.DUMMYFUNCTION("""COMPUTED_VALUE"""),"08/21")</f>
        <v>08/21</v>
      </c>
      <c r="J498" s="129"/>
      <c r="K498" s="133">
        <f>IFERROR(__xludf.DUMMYFUNCTION("""COMPUTED_VALUE"""),42.0)</f>
        <v>42</v>
      </c>
      <c r="L498" s="133"/>
      <c r="M498" s="133"/>
      <c r="N498" s="152" t="str">
        <f>IFERROR(__xludf.DUMMYFUNCTION("""COMPUTED_VALUE"""),"Model 3 LR AWD")</f>
        <v>Model 3 LR AWD</v>
      </c>
      <c r="O498" s="152" t="str">
        <f>IFERROR(__xludf.DUMMYFUNCTION("""COMPUTED_VALUE"""),"Deep Blue Metallic")</f>
        <v>Deep Blue Metallic</v>
      </c>
      <c r="P498" s="153" t="str">
        <f>IFERROR(__xludf.DUMMYFUNCTION("""COMPUTED_VALUE"""),"18 inch")</f>
        <v>18 inch</v>
      </c>
      <c r="Q498" s="152" t="str">
        <f>IFERROR(__xludf.DUMMYFUNCTION("""COMPUTED_VALUE"""),"All Black")</f>
        <v>All Black</v>
      </c>
      <c r="R498" s="149" t="str">
        <f>IFERROR(__xludf.DUMMYFUNCTION("""COMPUTED_VALUE"""),"Autopilot included")</f>
        <v>Autopilot included</v>
      </c>
      <c r="S498" s="149" t="str">
        <f>IFERROR(__xludf.DUMMYFUNCTION("""COMPUTED_VALUE"""),"Loan")</f>
        <v>Loan</v>
      </c>
      <c r="T498" s="145" t="str">
        <f>IFERROR(__xludf.DUMMYFUNCTION("""COMPUTED_VALUE"""),"Ford Focus ST")</f>
        <v>Ford Focus ST</v>
      </c>
      <c r="U498" s="145" t="str">
        <f>IFERROR(__xludf.DUMMYFUNCTION("""COMPUTED_VALUE"""),"Electric!")</f>
        <v>Electric!</v>
      </c>
      <c r="V498" s="145" t="str">
        <f>IFERROR(__xludf.DUMMYFUNCTION("""COMPUTED_VALUE"""),"Head-up display")</f>
        <v>Head-up display</v>
      </c>
      <c r="W498" s="145" t="str">
        <f>IFERROR(__xludf.DUMMYFUNCTION("""COMPUTED_VALUE"""),"Ignore EDD. Original EDD shown on order page is accurate unless lucky.")</f>
        <v>Ignore EDD. Original EDD shown on order page is accurate unless lucky.</v>
      </c>
      <c r="X498" s="137"/>
      <c r="Y498" s="138"/>
      <c r="Z498" s="138"/>
      <c r="AA498" s="138"/>
      <c r="AB498" s="138"/>
      <c r="AC498" s="139"/>
      <c r="AD498" s="139"/>
      <c r="AE498" s="139"/>
      <c r="AF498" s="140"/>
      <c r="AG498" s="145"/>
      <c r="AH498" s="157">
        <f>IFERROR(__xludf.DUMMYFUNCTION("""COMPUTED_VALUE"""),44420.82442131944)</f>
        <v>44420.82442</v>
      </c>
      <c r="AI498" s="138"/>
      <c r="AJ498" s="138"/>
      <c r="AK498" s="138"/>
      <c r="AL498" s="142"/>
    </row>
    <row r="499" ht="20.25" customHeight="1">
      <c r="A499" s="155" t="str">
        <f>IFERROR(__xludf.DUMMYFUNCTION("""COMPUTED_VALUE"""),"JohnnyMa")</f>
        <v>JohnnyMa</v>
      </c>
      <c r="B499" s="149" t="str">
        <f>IFERROR(__xludf.DUMMYFUNCTION("""COMPUTED_VALUE"""),"Carrollton")</f>
        <v>Carrollton</v>
      </c>
      <c r="C499" s="149" t="str">
        <f>IFERROR(__xludf.DUMMYFUNCTION("""COMPUTED_VALUE"""),"TX")</f>
        <v>TX</v>
      </c>
      <c r="D499" s="149" t="str">
        <f>IFERROR(__xludf.DUMMYFUNCTION("""COMPUTED_VALUE"""),"USA")</f>
        <v>USA</v>
      </c>
      <c r="E499" s="156">
        <f>IFERROR(__xludf.DUMMYFUNCTION("""COMPUTED_VALUE"""),44378.0)</f>
        <v>44378</v>
      </c>
      <c r="F499" s="129">
        <f>IFERROR(__xludf.DUMMYFUNCTION("""COMPUTED_VALUE"""),44388.0)</f>
        <v>44388</v>
      </c>
      <c r="G499" s="154" t="str">
        <f>IFERROR(__xludf.DUMMYFUNCTION("""COMPUTED_VALUE"""),"Manage order page (normal text)")</f>
        <v>Manage order page (normal text)</v>
      </c>
      <c r="H499" s="131">
        <f>IFERROR(__xludf.DUMMYFUNCTION("""COMPUTED_VALUE"""),15755.0)</f>
        <v>15755</v>
      </c>
      <c r="I499" s="144" t="str">
        <f>IFERROR(__xludf.DUMMYFUNCTION("""COMPUTED_VALUE"""),"07/21")</f>
        <v>07/21</v>
      </c>
      <c r="J499" s="129">
        <f>IFERROR(__xludf.DUMMYFUNCTION("""COMPUTED_VALUE"""),44409.0)</f>
        <v>44409</v>
      </c>
      <c r="K499" s="133">
        <f>IFERROR(__xludf.DUMMYFUNCTION("""COMPUTED_VALUE"""),10.0)</f>
        <v>10</v>
      </c>
      <c r="L499" s="133">
        <f>IFERROR(__xludf.DUMMYFUNCTION("""COMPUTED_VALUE"""),21.0)</f>
        <v>21</v>
      </c>
      <c r="M499" s="133">
        <f>IFERROR(__xludf.DUMMYFUNCTION("""COMPUTED_VALUE"""),31.0)</f>
        <v>31</v>
      </c>
      <c r="N499" s="152" t="str">
        <f>IFERROR(__xludf.DUMMYFUNCTION("""COMPUTED_VALUE"""),"Model 3 Performance")</f>
        <v>Model 3 Performance</v>
      </c>
      <c r="O499" s="152" t="str">
        <f>IFERROR(__xludf.DUMMYFUNCTION("""COMPUTED_VALUE"""),"Midnight Silver Metallic")</f>
        <v>Midnight Silver Metallic</v>
      </c>
      <c r="P499" s="153" t="str">
        <f>IFERROR(__xludf.DUMMYFUNCTION("""COMPUTED_VALUE"""),"20 inch")</f>
        <v>20 inch</v>
      </c>
      <c r="Q499" s="152" t="str">
        <f>IFERROR(__xludf.DUMMYFUNCTION("""COMPUTED_VALUE"""),"All Black")</f>
        <v>All Black</v>
      </c>
      <c r="R499" s="149" t="str">
        <f>IFERROR(__xludf.DUMMYFUNCTION("""COMPUTED_VALUE"""),"Autopilot included")</f>
        <v>Autopilot included</v>
      </c>
      <c r="S499" s="149" t="str">
        <f>IFERROR(__xludf.DUMMYFUNCTION("""COMPUTED_VALUE"""),"Cash")</f>
        <v>Cash</v>
      </c>
      <c r="T499" s="145" t="str">
        <f>IFERROR(__xludf.DUMMYFUNCTION("""COMPUTED_VALUE"""),"Chrysler Pacifica Hybrid")</f>
        <v>Chrysler Pacifica Hybrid</v>
      </c>
      <c r="U499" s="145" t="str">
        <f>IFERROR(__xludf.DUMMYFUNCTION("""COMPUTED_VALUE"""),"Speed and quickness")</f>
        <v>Speed and quickness</v>
      </c>
      <c r="V499" s="145" t="str">
        <f>IFERROR(__xludf.DUMMYFUNCTION("""COMPUTED_VALUE"""),"Head-up display")</f>
        <v>Head-up display</v>
      </c>
      <c r="W499" s="145"/>
      <c r="X499" s="137" t="str">
        <f>IFERROR(__xludf.DUMMYFUNCTION("""COMPUTED_VALUE"""),"Very Good")</f>
        <v>Very Good</v>
      </c>
      <c r="Y499" s="138" t="str">
        <f>IFERROR(__xludf.DUMMYFUNCTION("""COMPUTED_VALUE"""),"Excellent")</f>
        <v>Excellent</v>
      </c>
      <c r="Z499" s="138" t="str">
        <f>IFERROR(__xludf.DUMMYFUNCTION("""COMPUTED_VALUE"""),"Excellent")</f>
        <v>Excellent</v>
      </c>
      <c r="AA499" s="138" t="str">
        <f>IFERROR(__xludf.DUMMYFUNCTION("""COMPUTED_VALUE"""),"Good")</f>
        <v>Good</v>
      </c>
      <c r="AB499" s="138" t="str">
        <f>IFERROR(__xludf.DUMMYFUNCTION("""COMPUTED_VALUE"""),"Good")</f>
        <v>Good</v>
      </c>
      <c r="AC499" s="139">
        <f>IFERROR(__xludf.DUMMYFUNCTION("""COMPUTED_VALUE"""),3.0)</f>
        <v>3</v>
      </c>
      <c r="AD499" s="139">
        <f>IFERROR(__xludf.DUMMYFUNCTION("""COMPUTED_VALUE"""),1.0)</f>
        <v>1</v>
      </c>
      <c r="AE499" s="139"/>
      <c r="AF499" s="140" t="str">
        <f>IFERROR(__xludf.DUMMYFUNCTION("""COMPUTED_VALUE"""),"No. I took delivery of the first car Tesla was able to deliver.")</f>
        <v>No. I took delivery of the first car Tesla was able to deliver.</v>
      </c>
      <c r="AG499" s="145"/>
      <c r="AH499" s="157">
        <f>IFERROR(__xludf.DUMMYFUNCTION("""COMPUTED_VALUE"""),44411.74423366898)</f>
        <v>44411.74423</v>
      </c>
      <c r="AI499" s="138"/>
      <c r="AJ499" s="138"/>
      <c r="AK499" s="138"/>
      <c r="AL499" s="142"/>
    </row>
    <row r="500" ht="20.25" customHeight="1">
      <c r="A500" s="155" t="str">
        <f>IFERROR(__xludf.DUMMYFUNCTION("""COMPUTED_VALUE"""),"Mad4sax")</f>
        <v>Mad4sax</v>
      </c>
      <c r="B500" s="149" t="str">
        <f>IFERROR(__xludf.DUMMYFUNCTION("""COMPUTED_VALUE"""),"Camillus")</f>
        <v>Camillus</v>
      </c>
      <c r="C500" s="149" t="str">
        <f>IFERROR(__xludf.DUMMYFUNCTION("""COMPUTED_VALUE"""),"NY")</f>
        <v>NY</v>
      </c>
      <c r="D500" s="149" t="str">
        <f>IFERROR(__xludf.DUMMYFUNCTION("""COMPUTED_VALUE"""),"USA")</f>
        <v>USA</v>
      </c>
      <c r="E500" s="156">
        <f>IFERROR(__xludf.DUMMYFUNCTION("""COMPUTED_VALUE"""),44378.0)</f>
        <v>44378</v>
      </c>
      <c r="F500" s="129">
        <f>IFERROR(__xludf.DUMMYFUNCTION("""COMPUTED_VALUE"""),44413.0)</f>
        <v>44413</v>
      </c>
      <c r="G500" s="154" t="str">
        <f>IFERROR(__xludf.DUMMYFUNCTION("""COMPUTED_VALUE"""),"Manage order page (normal text)")</f>
        <v>Manage order page (normal text)</v>
      </c>
      <c r="H500" s="131">
        <f>IFERROR(__xludf.DUMMYFUNCTION("""COMPUTED_VALUE"""),31055.0)</f>
        <v>31055</v>
      </c>
      <c r="I500" s="144"/>
      <c r="J500" s="129">
        <f>IFERROR(__xludf.DUMMYFUNCTION("""COMPUTED_VALUE"""),44429.0)</f>
        <v>44429</v>
      </c>
      <c r="K500" s="133">
        <f>IFERROR(__xludf.DUMMYFUNCTION("""COMPUTED_VALUE"""),35.0)</f>
        <v>35</v>
      </c>
      <c r="L500" s="133">
        <f>IFERROR(__xludf.DUMMYFUNCTION("""COMPUTED_VALUE"""),16.0)</f>
        <v>16</v>
      </c>
      <c r="M500" s="133">
        <f>IFERROR(__xludf.DUMMYFUNCTION("""COMPUTED_VALUE"""),51.0)</f>
        <v>51</v>
      </c>
      <c r="N500" s="152" t="str">
        <f>IFERROR(__xludf.DUMMYFUNCTION("""COMPUTED_VALUE"""),"Model 3 SR+")</f>
        <v>Model 3 SR+</v>
      </c>
      <c r="O500" s="152" t="str">
        <f>IFERROR(__xludf.DUMMYFUNCTION("""COMPUTED_VALUE"""),"Deep Blue Metallic")</f>
        <v>Deep Blue Metallic</v>
      </c>
      <c r="P500" s="153" t="str">
        <f>IFERROR(__xludf.DUMMYFUNCTION("""COMPUTED_VALUE"""),"18 inch")</f>
        <v>18 inch</v>
      </c>
      <c r="Q500" s="152" t="str">
        <f>IFERROR(__xludf.DUMMYFUNCTION("""COMPUTED_VALUE"""),"All Black")</f>
        <v>All Black</v>
      </c>
      <c r="R500" s="149" t="str">
        <f>IFERROR(__xludf.DUMMYFUNCTION("""COMPUTED_VALUE"""),"Autopilot included")</f>
        <v>Autopilot included</v>
      </c>
      <c r="S500" s="149" t="str">
        <f>IFERROR(__xludf.DUMMYFUNCTION("""COMPUTED_VALUE"""),"Loan")</f>
        <v>Loan</v>
      </c>
      <c r="T500" s="145" t="str">
        <f>IFERROR(__xludf.DUMMYFUNCTION("""COMPUTED_VALUE"""),"Toyota Prius")</f>
        <v>Toyota Prius</v>
      </c>
      <c r="U500" s="145" t="str">
        <f>IFERROR(__xludf.DUMMYFUNCTION("""COMPUTED_VALUE"""),"Electric!")</f>
        <v>Electric!</v>
      </c>
      <c r="V500" s="145" t="str">
        <f>IFERROR(__xludf.DUMMYFUNCTION("""COMPUTED_VALUE"""),"Heated steering wheel")</f>
        <v>Heated steering wheel</v>
      </c>
      <c r="W500" s="145"/>
      <c r="X500" s="137"/>
      <c r="Y500" s="138"/>
      <c r="Z500" s="138"/>
      <c r="AA500" s="138"/>
      <c r="AB500" s="138"/>
      <c r="AC500" s="139"/>
      <c r="AD500" s="139"/>
      <c r="AE500" s="139"/>
      <c r="AF500" s="140"/>
      <c r="AG500" s="145"/>
      <c r="AH500" s="157">
        <f>IFERROR(__xludf.DUMMYFUNCTION("""COMPUTED_VALUE"""),44420.532248854164)</f>
        <v>44420.53225</v>
      </c>
      <c r="AI500" s="138"/>
      <c r="AJ500" s="138"/>
      <c r="AK500" s="138"/>
      <c r="AL500" s="142"/>
    </row>
    <row r="501" ht="20.25" customHeight="1">
      <c r="A501" s="155" t="str">
        <f>IFERROR(__xludf.DUMMYFUNCTION("""COMPUTED_VALUE"""),"Mmorrison")</f>
        <v>Mmorrison</v>
      </c>
      <c r="B501" s="149" t="str">
        <f>IFERROR(__xludf.DUMMYFUNCTION("""COMPUTED_VALUE"""),"Omaha")</f>
        <v>Omaha</v>
      </c>
      <c r="C501" s="149" t="str">
        <f>IFERROR(__xludf.DUMMYFUNCTION("""COMPUTED_VALUE"""),"NE")</f>
        <v>NE</v>
      </c>
      <c r="D501" s="149" t="str">
        <f>IFERROR(__xludf.DUMMYFUNCTION("""COMPUTED_VALUE"""),"USA")</f>
        <v>USA</v>
      </c>
      <c r="E501" s="156">
        <f>IFERROR(__xludf.DUMMYFUNCTION("""COMPUTED_VALUE"""),44378.0)</f>
        <v>44378</v>
      </c>
      <c r="F501" s="129">
        <f>IFERROR(__xludf.DUMMYFUNCTION("""COMPUTED_VALUE"""),44426.0)</f>
        <v>44426</v>
      </c>
      <c r="G501" s="154" t="str">
        <f>IFERROR(__xludf.DUMMYFUNCTION("""COMPUTED_VALUE"""),"Manage order page (normal text)")</f>
        <v>Manage order page (normal text)</v>
      </c>
      <c r="H501" s="131"/>
      <c r="I501" s="144" t="str">
        <f>IFERROR(__xludf.DUMMYFUNCTION("""COMPUTED_VALUE"""),"08/21")</f>
        <v>08/21</v>
      </c>
      <c r="J501" s="129">
        <f>IFERROR(__xludf.DUMMYFUNCTION("""COMPUTED_VALUE"""),44440.0)</f>
        <v>44440</v>
      </c>
      <c r="K501" s="133">
        <f>IFERROR(__xludf.DUMMYFUNCTION("""COMPUTED_VALUE"""),48.0)</f>
        <v>48</v>
      </c>
      <c r="L501" s="133">
        <f>IFERROR(__xludf.DUMMYFUNCTION("""COMPUTED_VALUE"""),14.0)</f>
        <v>14</v>
      </c>
      <c r="M501" s="133">
        <f>IFERROR(__xludf.DUMMYFUNCTION("""COMPUTED_VALUE"""),62.0)</f>
        <v>62</v>
      </c>
      <c r="N501" s="152" t="str">
        <f>IFERROR(__xludf.DUMMYFUNCTION("""COMPUTED_VALUE"""),"Model 3 LR AWD")</f>
        <v>Model 3 LR AWD</v>
      </c>
      <c r="O501" s="152" t="str">
        <f>IFERROR(__xludf.DUMMYFUNCTION("""COMPUTED_VALUE"""),"Deep Blue Metallic")</f>
        <v>Deep Blue Metallic</v>
      </c>
      <c r="P501" s="153" t="str">
        <f>IFERROR(__xludf.DUMMYFUNCTION("""COMPUTED_VALUE"""),"18 inch")</f>
        <v>18 inch</v>
      </c>
      <c r="Q501" s="152" t="str">
        <f>IFERROR(__xludf.DUMMYFUNCTION("""COMPUTED_VALUE"""),"All Black")</f>
        <v>All Black</v>
      </c>
      <c r="R501" s="149" t="str">
        <f>IFERROR(__xludf.DUMMYFUNCTION("""COMPUTED_VALUE"""),"Autopilot included")</f>
        <v>Autopilot included</v>
      </c>
      <c r="S501" s="149" t="str">
        <f>IFERROR(__xludf.DUMMYFUNCTION("""COMPUTED_VALUE"""),"Loan")</f>
        <v>Loan</v>
      </c>
      <c r="T501" s="145" t="str">
        <f>IFERROR(__xludf.DUMMYFUNCTION("""COMPUTED_VALUE"""),"Toyota Corolla")</f>
        <v>Toyota Corolla</v>
      </c>
      <c r="U501" s="145" t="str">
        <f>IFERROR(__xludf.DUMMYFUNCTION("""COMPUTED_VALUE"""),"Electric!")</f>
        <v>Electric!</v>
      </c>
      <c r="V501" s="145" t="str">
        <f>IFERROR(__xludf.DUMMYFUNCTION("""COMPUTED_VALUE"""),"Apple CarPlay / Android Auto / SiriusXM Radio")</f>
        <v>Apple CarPlay / Android Auto / SiriusXM Radio</v>
      </c>
      <c r="W501" s="145"/>
      <c r="X501" s="137" t="str">
        <f>IFERROR(__xludf.DUMMYFUNCTION("""COMPUTED_VALUE"""),"Excellent")</f>
        <v>Excellent</v>
      </c>
      <c r="Y501" s="138" t="str">
        <f>IFERROR(__xludf.DUMMYFUNCTION("""COMPUTED_VALUE"""),"Excellent")</f>
        <v>Excellent</v>
      </c>
      <c r="Z501" s="138" t="str">
        <f>IFERROR(__xludf.DUMMYFUNCTION("""COMPUTED_VALUE"""),"Excellent")</f>
        <v>Excellent</v>
      </c>
      <c r="AA501" s="138" t="str">
        <f>IFERROR(__xludf.DUMMYFUNCTION("""COMPUTED_VALUE"""),"Excellent")</f>
        <v>Excellent</v>
      </c>
      <c r="AB501" s="138" t="str">
        <f>IFERROR(__xludf.DUMMYFUNCTION("""COMPUTED_VALUE"""),"Excellent")</f>
        <v>Excellent</v>
      </c>
      <c r="AC501" s="139">
        <f>IFERROR(__xludf.DUMMYFUNCTION("""COMPUTED_VALUE"""),0.0)</f>
        <v>0</v>
      </c>
      <c r="AD501" s="139"/>
      <c r="AE501" s="139"/>
      <c r="AF501" s="140" t="str">
        <f>IFERROR(__xludf.DUMMYFUNCTION("""COMPUTED_VALUE"""),"No. I took delivery of the first car Tesla was able to deliver.")</f>
        <v>No. I took delivery of the first car Tesla was able to deliver.</v>
      </c>
      <c r="AG501" s="145"/>
      <c r="AH501" s="157">
        <f>IFERROR(__xludf.DUMMYFUNCTION("""COMPUTED_VALUE"""),44441.19811611111)</f>
        <v>44441.19812</v>
      </c>
      <c r="AI501" s="138"/>
      <c r="AJ501" s="138"/>
      <c r="AK501" s="138"/>
      <c r="AL501" s="142"/>
    </row>
    <row r="502" ht="20.25" customHeight="1">
      <c r="A502" s="155" t="str">
        <f>IFERROR(__xludf.DUMMYFUNCTION("""COMPUTED_VALUE"""),"RealityUnfolds")</f>
        <v>RealityUnfolds</v>
      </c>
      <c r="B502" s="149" t="str">
        <f>IFERROR(__xludf.DUMMYFUNCTION("""COMPUTED_VALUE"""),"Lake Forest")</f>
        <v>Lake Forest</v>
      </c>
      <c r="C502" s="149" t="str">
        <f>IFERROR(__xludf.DUMMYFUNCTION("""COMPUTED_VALUE"""),"CA")</f>
        <v>CA</v>
      </c>
      <c r="D502" s="149" t="str">
        <f>IFERROR(__xludf.DUMMYFUNCTION("""COMPUTED_VALUE"""),"USA")</f>
        <v>USA</v>
      </c>
      <c r="E502" s="156">
        <f>IFERROR(__xludf.DUMMYFUNCTION("""COMPUTED_VALUE"""),44378.0)</f>
        <v>44378</v>
      </c>
      <c r="F502" s="129">
        <f>IFERROR(__xludf.DUMMYFUNCTION("""COMPUTED_VALUE"""),44394.0)</f>
        <v>44394</v>
      </c>
      <c r="G502" s="154" t="str">
        <f>IFERROR(__xludf.DUMMYFUNCTION("""COMPUTED_VALUE"""),"Existing Inventory")</f>
        <v>Existing Inventory</v>
      </c>
      <c r="H502" s="131">
        <f>IFERROR(__xludf.DUMMYFUNCTION("""COMPUTED_VALUE"""),18955.0)</f>
        <v>18955</v>
      </c>
      <c r="I502" s="144" t="str">
        <f>IFERROR(__xludf.DUMMYFUNCTION("""COMPUTED_VALUE"""),"06/21")</f>
        <v>06/21</v>
      </c>
      <c r="J502" s="129">
        <f>IFERROR(__xludf.DUMMYFUNCTION("""COMPUTED_VALUE"""),44396.0)</f>
        <v>44396</v>
      </c>
      <c r="K502" s="133">
        <f>IFERROR(__xludf.DUMMYFUNCTION("""COMPUTED_VALUE"""),16.0)</f>
        <v>16</v>
      </c>
      <c r="L502" s="133">
        <f>IFERROR(__xludf.DUMMYFUNCTION("""COMPUTED_VALUE"""),2.0)</f>
        <v>2</v>
      </c>
      <c r="M502" s="133">
        <f>IFERROR(__xludf.DUMMYFUNCTION("""COMPUTED_VALUE"""),18.0)</f>
        <v>18</v>
      </c>
      <c r="N502" s="152" t="str">
        <f>IFERROR(__xludf.DUMMYFUNCTION("""COMPUTED_VALUE"""),"Model 3 SR+")</f>
        <v>Model 3 SR+</v>
      </c>
      <c r="O502" s="152" t="str">
        <f>IFERROR(__xludf.DUMMYFUNCTION("""COMPUTED_VALUE"""),"Pearl White Multi-Coat")</f>
        <v>Pearl White Multi-Coat</v>
      </c>
      <c r="P502" s="153" t="str">
        <f>IFERROR(__xludf.DUMMYFUNCTION("""COMPUTED_VALUE"""),"18 inch")</f>
        <v>18 inch</v>
      </c>
      <c r="Q502" s="152" t="str">
        <f>IFERROR(__xludf.DUMMYFUNCTION("""COMPUTED_VALUE"""),"Black and White")</f>
        <v>Black and White</v>
      </c>
      <c r="R502" s="149" t="str">
        <f>IFERROR(__xludf.DUMMYFUNCTION("""COMPUTED_VALUE"""),"Autopilot included")</f>
        <v>Autopilot included</v>
      </c>
      <c r="S502" s="149" t="str">
        <f>IFERROR(__xludf.DUMMYFUNCTION("""COMPUTED_VALUE"""),"Lease")</f>
        <v>Lease</v>
      </c>
      <c r="T502" s="145" t="str">
        <f>IFERROR(__xludf.DUMMYFUNCTION("""COMPUTED_VALUE"""),"VW Golf")</f>
        <v>VW Golf</v>
      </c>
      <c r="U502" s="145" t="str">
        <f>IFERROR(__xludf.DUMMYFUNCTION("""COMPUTED_VALUE"""),"Cutting Edge Tech")</f>
        <v>Cutting Edge Tech</v>
      </c>
      <c r="V502" s="145" t="str">
        <f>IFERROR(__xludf.DUMMYFUNCTION("""COMPUTED_VALUE"""),"Apple CarPlay / Android Auto / SiriusXM Radio")</f>
        <v>Apple CarPlay / Android Auto / SiriusXM Radio</v>
      </c>
      <c r="W502" s="145" t="str">
        <f>IFERROR(__xludf.DUMMYFUNCTION("""COMPUTED_VALUE"""),"Constantly check existing inventory")</f>
        <v>Constantly check existing inventory</v>
      </c>
      <c r="X502" s="137" t="str">
        <f>IFERROR(__xludf.DUMMYFUNCTION("""COMPUTED_VALUE"""),"Good")</f>
        <v>Good</v>
      </c>
      <c r="Y502" s="138" t="str">
        <f>IFERROR(__xludf.DUMMYFUNCTION("""COMPUTED_VALUE"""),"Good")</f>
        <v>Good</v>
      </c>
      <c r="Z502" s="138" t="str">
        <f>IFERROR(__xludf.DUMMYFUNCTION("""COMPUTED_VALUE"""),"Very Good")</f>
        <v>Very Good</v>
      </c>
      <c r="AA502" s="138" t="str">
        <f>IFERROR(__xludf.DUMMYFUNCTION("""COMPUTED_VALUE"""),"Excellent")</f>
        <v>Excellent</v>
      </c>
      <c r="AB502" s="138" t="str">
        <f>IFERROR(__xludf.DUMMYFUNCTION("""COMPUTED_VALUE"""),"Excellent")</f>
        <v>Excellent</v>
      </c>
      <c r="AC502" s="139"/>
      <c r="AD502" s="139"/>
      <c r="AE502" s="139"/>
      <c r="AF502" s="140" t="str">
        <f>IFERROR(__xludf.DUMMYFUNCTION("""COMPUTED_VALUE"""),"No. I took delivery of the first car Tesla was able to deliver.")</f>
        <v>No. I took delivery of the first car Tesla was able to deliver.</v>
      </c>
      <c r="AG502" s="145" t="str">
        <f>IFERROR(__xludf.DUMMYFUNCTION("""COMPUTED_VALUE"""),"My production date was 7/21, but that wasn't an option in the drop down")</f>
        <v>My production date was 7/21, but that wasn't an option in the drop down</v>
      </c>
      <c r="AH502" s="157">
        <f>IFERROR(__xludf.DUMMYFUNCTION("""COMPUTED_VALUE"""),44400.97200491898)</f>
        <v>44400.972</v>
      </c>
      <c r="AI502" s="138"/>
      <c r="AJ502" s="138"/>
      <c r="AK502" s="138"/>
      <c r="AL502" s="142"/>
    </row>
    <row r="503" ht="20.25" customHeight="1">
      <c r="A503" s="155" t="str">
        <f>IFERROR(__xludf.DUMMYFUNCTION("""COMPUTED_VALUE"""),"tonlin")</f>
        <v>tonlin</v>
      </c>
      <c r="B503" s="149" t="str">
        <f>IFERROR(__xludf.DUMMYFUNCTION("""COMPUTED_VALUE"""),"Richmond")</f>
        <v>Richmond</v>
      </c>
      <c r="C503" s="149" t="str">
        <f>IFERROR(__xludf.DUMMYFUNCTION("""COMPUTED_VALUE"""),"BC")</f>
        <v>BC</v>
      </c>
      <c r="D503" s="149" t="str">
        <f>IFERROR(__xludf.DUMMYFUNCTION("""COMPUTED_VALUE"""),"Canada")</f>
        <v>Canada</v>
      </c>
      <c r="E503" s="156">
        <f>IFERROR(__xludf.DUMMYFUNCTION("""COMPUTED_VALUE"""),44378.0)</f>
        <v>44378</v>
      </c>
      <c r="F503" s="129">
        <f>IFERROR(__xludf.DUMMYFUNCTION("""COMPUTED_VALUE"""),44443.0)</f>
        <v>44443</v>
      </c>
      <c r="G503" s="154" t="str">
        <f>IFERROR(__xludf.DUMMYFUNCTION("""COMPUTED_VALUE"""),"Source code")</f>
        <v>Source code</v>
      </c>
      <c r="H503" s="131">
        <f>IFERROR(__xludf.DUMMYFUNCTION("""COMPUTED_VALUE"""),57355.0)</f>
        <v>57355</v>
      </c>
      <c r="I503" s="144"/>
      <c r="J503" s="129">
        <f>IFERROR(__xludf.DUMMYFUNCTION("""COMPUTED_VALUE"""),44449.0)</f>
        <v>44449</v>
      </c>
      <c r="K503" s="133">
        <f>IFERROR(__xludf.DUMMYFUNCTION("""COMPUTED_VALUE"""),65.0)</f>
        <v>65</v>
      </c>
      <c r="L503" s="133">
        <f>IFERROR(__xludf.DUMMYFUNCTION("""COMPUTED_VALUE"""),6.0)</f>
        <v>6</v>
      </c>
      <c r="M503" s="133">
        <f>IFERROR(__xludf.DUMMYFUNCTION("""COMPUTED_VALUE"""),71.0)</f>
        <v>71</v>
      </c>
      <c r="N503" s="152" t="str">
        <f>IFERROR(__xludf.DUMMYFUNCTION("""COMPUTED_VALUE"""),"Model 3 SR+")</f>
        <v>Model 3 SR+</v>
      </c>
      <c r="O503" s="152" t="str">
        <f>IFERROR(__xludf.DUMMYFUNCTION("""COMPUTED_VALUE"""),"Pearl White Multi-Coat")</f>
        <v>Pearl White Multi-Coat</v>
      </c>
      <c r="P503" s="153" t="str">
        <f>IFERROR(__xludf.DUMMYFUNCTION("""COMPUTED_VALUE"""),"18 inch")</f>
        <v>18 inch</v>
      </c>
      <c r="Q503" s="152" t="str">
        <f>IFERROR(__xludf.DUMMYFUNCTION("""COMPUTED_VALUE"""),"All Black")</f>
        <v>All Black</v>
      </c>
      <c r="R503" s="149" t="str">
        <f>IFERROR(__xludf.DUMMYFUNCTION("""COMPUTED_VALUE"""),"Autopilot included")</f>
        <v>Autopilot included</v>
      </c>
      <c r="S503" s="149" t="str">
        <f>IFERROR(__xludf.DUMMYFUNCTION("""COMPUTED_VALUE"""),"Lease")</f>
        <v>Lease</v>
      </c>
      <c r="T503" s="145" t="str">
        <f>IFERROR(__xludf.DUMMYFUNCTION("""COMPUTED_VALUE"""),"BMW X5")</f>
        <v>BMW X5</v>
      </c>
      <c r="U503" s="145" t="str">
        <f>IFERROR(__xludf.DUMMYFUNCTION("""COMPUTED_VALUE"""),"Electric!")</f>
        <v>Electric!</v>
      </c>
      <c r="V503" s="145" t="str">
        <f>IFERROR(__xludf.DUMMYFUNCTION("""COMPUTED_VALUE"""),"Head-up display")</f>
        <v>Head-up display</v>
      </c>
      <c r="W503" s="145"/>
      <c r="X503" s="137"/>
      <c r="Y503" s="138"/>
      <c r="Z503" s="138"/>
      <c r="AA503" s="138"/>
      <c r="AB503" s="138"/>
      <c r="AC503" s="139"/>
      <c r="AD503" s="139"/>
      <c r="AE503" s="139"/>
      <c r="AF503" s="140"/>
      <c r="AG503" s="145"/>
      <c r="AH503" s="157">
        <f>IFERROR(__xludf.DUMMYFUNCTION("""COMPUTED_VALUE"""),44444.84753895834)</f>
        <v>44444.84754</v>
      </c>
      <c r="AI503" s="138"/>
      <c r="AJ503" s="138"/>
      <c r="AK503" s="138"/>
      <c r="AL503" s="142"/>
    </row>
    <row r="504" ht="20.25" customHeight="1">
      <c r="A504" s="155" t="str">
        <f>IFERROR(__xludf.DUMMYFUNCTION("""COMPUTED_VALUE"""),"Albertus")</f>
        <v>Albertus</v>
      </c>
      <c r="B504" s="149" t="str">
        <f>IFERROR(__xludf.DUMMYFUNCTION("""COMPUTED_VALUE"""),"Chicago")</f>
        <v>Chicago</v>
      </c>
      <c r="C504" s="149" t="str">
        <f>IFERROR(__xludf.DUMMYFUNCTION("""COMPUTED_VALUE"""),"IL")</f>
        <v>IL</v>
      </c>
      <c r="D504" s="149" t="str">
        <f>IFERROR(__xludf.DUMMYFUNCTION("""COMPUTED_VALUE"""),"USA")</f>
        <v>USA</v>
      </c>
      <c r="E504" s="156">
        <f>IFERROR(__xludf.DUMMYFUNCTION("""COMPUTED_VALUE"""),44377.0)</f>
        <v>44377</v>
      </c>
      <c r="F504" s="129">
        <f>IFERROR(__xludf.DUMMYFUNCTION("""COMPUTED_VALUE"""),44418.0)</f>
        <v>44418</v>
      </c>
      <c r="G504" s="154" t="str">
        <f>IFERROR(__xludf.DUMMYFUNCTION("""COMPUTED_VALUE"""),"Manage order page (normal text)")</f>
        <v>Manage order page (normal text)</v>
      </c>
      <c r="H504" s="131">
        <f>IFERROR(__xludf.DUMMYFUNCTION("""COMPUTED_VALUE"""),35455.0)</f>
        <v>35455</v>
      </c>
      <c r="I504" s="144"/>
      <c r="J504" s="129">
        <f>IFERROR(__xludf.DUMMYFUNCTION("""COMPUTED_VALUE"""),44432.0)</f>
        <v>44432</v>
      </c>
      <c r="K504" s="133">
        <f>IFERROR(__xludf.DUMMYFUNCTION("""COMPUTED_VALUE"""),41.0)</f>
        <v>41</v>
      </c>
      <c r="L504" s="133">
        <f>IFERROR(__xludf.DUMMYFUNCTION("""COMPUTED_VALUE"""),14.0)</f>
        <v>14</v>
      </c>
      <c r="M504" s="133">
        <f>IFERROR(__xludf.DUMMYFUNCTION("""COMPUTED_VALUE"""),55.0)</f>
        <v>55</v>
      </c>
      <c r="N504" s="152" t="str">
        <f>IFERROR(__xludf.DUMMYFUNCTION("""COMPUTED_VALUE"""),"Model 3 Performance")</f>
        <v>Model 3 Performance</v>
      </c>
      <c r="O504" s="152" t="str">
        <f>IFERROR(__xludf.DUMMYFUNCTION("""COMPUTED_VALUE"""),"Midnight Silver Metallic")</f>
        <v>Midnight Silver Metallic</v>
      </c>
      <c r="P504" s="153" t="str">
        <f>IFERROR(__xludf.DUMMYFUNCTION("""COMPUTED_VALUE"""),"20 inch")</f>
        <v>20 inch</v>
      </c>
      <c r="Q504" s="152" t="str">
        <f>IFERROR(__xludf.DUMMYFUNCTION("""COMPUTED_VALUE"""),"All Black")</f>
        <v>All Black</v>
      </c>
      <c r="R504" s="149" t="str">
        <f>IFERROR(__xludf.DUMMYFUNCTION("""COMPUTED_VALUE"""),"Autopilot included")</f>
        <v>Autopilot included</v>
      </c>
      <c r="S504" s="149" t="str">
        <f>IFERROR(__xludf.DUMMYFUNCTION("""COMPUTED_VALUE"""),"Loan")</f>
        <v>Loan</v>
      </c>
      <c r="T504" s="145" t="str">
        <f>IFERROR(__xludf.DUMMYFUNCTION("""COMPUTED_VALUE"""),"Tesla Model 3")</f>
        <v>Tesla Model 3</v>
      </c>
      <c r="U504" s="145" t="str">
        <f>IFERROR(__xludf.DUMMYFUNCTION("""COMPUTED_VALUE"""),"Electric!")</f>
        <v>Electric!</v>
      </c>
      <c r="V504" s="145" t="str">
        <f>IFERROR(__xludf.DUMMYFUNCTION("""COMPUTED_VALUE"""),"Ventilated seats")</f>
        <v>Ventilated seats</v>
      </c>
      <c r="W504" s="145"/>
      <c r="X504" s="137"/>
      <c r="Y504" s="138"/>
      <c r="Z504" s="138"/>
      <c r="AA504" s="138"/>
      <c r="AB504" s="138"/>
      <c r="AC504" s="139"/>
      <c r="AD504" s="139"/>
      <c r="AE504" s="139"/>
      <c r="AF504" s="140"/>
      <c r="AG504" s="145"/>
      <c r="AH504" s="157">
        <f>IFERROR(__xludf.DUMMYFUNCTION("""COMPUTED_VALUE"""),44424.68030039351)</f>
        <v>44424.6803</v>
      </c>
      <c r="AI504" s="138"/>
      <c r="AJ504" s="138"/>
      <c r="AK504" s="138"/>
      <c r="AL504" s="142"/>
    </row>
    <row r="505" ht="20.25" customHeight="1">
      <c r="A505" s="155" t="str">
        <f>IFERROR(__xludf.DUMMYFUNCTION("""COMPUTED_VALUE"""),"bosox7704")</f>
        <v>bosox7704</v>
      </c>
      <c r="B505" s="149" t="str">
        <f>IFERROR(__xludf.DUMMYFUNCTION("""COMPUTED_VALUE"""),"Providence")</f>
        <v>Providence</v>
      </c>
      <c r="C505" s="149" t="str">
        <f>IFERROR(__xludf.DUMMYFUNCTION("""COMPUTED_VALUE"""),"RI")</f>
        <v>RI</v>
      </c>
      <c r="D505" s="149" t="str">
        <f>IFERROR(__xludf.DUMMYFUNCTION("""COMPUTED_VALUE"""),"USA")</f>
        <v>USA</v>
      </c>
      <c r="E505" s="156">
        <f>IFERROR(__xludf.DUMMYFUNCTION("""COMPUTED_VALUE"""),44377.0)</f>
        <v>44377</v>
      </c>
      <c r="F505" s="129">
        <f>IFERROR(__xludf.DUMMYFUNCTION("""COMPUTED_VALUE"""),44413.0)</f>
        <v>44413</v>
      </c>
      <c r="G505" s="154" t="str">
        <f>IFERROR(__xludf.DUMMYFUNCTION("""COMPUTED_VALUE"""),"Manage order page (normal text)")</f>
        <v>Manage order page (normal text)</v>
      </c>
      <c r="H505" s="131"/>
      <c r="I505" s="144"/>
      <c r="J505" s="129">
        <f>IFERROR(__xludf.DUMMYFUNCTION("""COMPUTED_VALUE"""),44426.0)</f>
        <v>44426</v>
      </c>
      <c r="K505" s="133">
        <f>IFERROR(__xludf.DUMMYFUNCTION("""COMPUTED_VALUE"""),36.0)</f>
        <v>36</v>
      </c>
      <c r="L505" s="133">
        <f>IFERROR(__xludf.DUMMYFUNCTION("""COMPUTED_VALUE"""),13.0)</f>
        <v>13</v>
      </c>
      <c r="M505" s="133">
        <f>IFERROR(__xludf.DUMMYFUNCTION("""COMPUTED_VALUE"""),49.0)</f>
        <v>49</v>
      </c>
      <c r="N505" s="152" t="str">
        <f>IFERROR(__xludf.DUMMYFUNCTION("""COMPUTED_VALUE"""),"Model 3 SR+")</f>
        <v>Model 3 SR+</v>
      </c>
      <c r="O505" s="152" t="str">
        <f>IFERROR(__xludf.DUMMYFUNCTION("""COMPUTED_VALUE"""),"Red Multi-Coat")</f>
        <v>Red Multi-Coat</v>
      </c>
      <c r="P505" s="153" t="str">
        <f>IFERROR(__xludf.DUMMYFUNCTION("""COMPUTED_VALUE"""),"18 inch")</f>
        <v>18 inch</v>
      </c>
      <c r="Q505" s="152" t="str">
        <f>IFERROR(__xludf.DUMMYFUNCTION("""COMPUTED_VALUE"""),"All Black")</f>
        <v>All Black</v>
      </c>
      <c r="R505" s="149" t="str">
        <f>IFERROR(__xludf.DUMMYFUNCTION("""COMPUTED_VALUE"""),"Autopilot included")</f>
        <v>Autopilot included</v>
      </c>
      <c r="S505" s="149" t="str">
        <f>IFERROR(__xludf.DUMMYFUNCTION("""COMPUTED_VALUE"""),"Loan")</f>
        <v>Loan</v>
      </c>
      <c r="T505" s="145" t="str">
        <f>IFERROR(__xludf.DUMMYFUNCTION("""COMPUTED_VALUE"""),"Nissan Maxima Platinum")</f>
        <v>Nissan Maxima Platinum</v>
      </c>
      <c r="U505" s="145" t="str">
        <f>IFERROR(__xludf.DUMMYFUNCTION("""COMPUTED_VALUE"""),"Electric!")</f>
        <v>Electric!</v>
      </c>
      <c r="V505" s="145" t="str">
        <f>IFERROR(__xludf.DUMMYFUNCTION("""COMPUTED_VALUE"""),"Blind spot indicators on side mirrors")</f>
        <v>Blind spot indicators on side mirrors</v>
      </c>
      <c r="W505" s="145"/>
      <c r="X505" s="137"/>
      <c r="Y505" s="138"/>
      <c r="Z505" s="138"/>
      <c r="AA505" s="138"/>
      <c r="AB505" s="138"/>
      <c r="AC505" s="139"/>
      <c r="AD505" s="139"/>
      <c r="AE505" s="139"/>
      <c r="AF505" s="140"/>
      <c r="AG505" s="145"/>
      <c r="AH505" s="157">
        <f>IFERROR(__xludf.DUMMYFUNCTION("""COMPUTED_VALUE"""),44418.82317513889)</f>
        <v>44418.82318</v>
      </c>
      <c r="AI505" s="138"/>
      <c r="AJ505" s="138"/>
      <c r="AK505" s="138"/>
      <c r="AL505" s="142"/>
    </row>
    <row r="506" ht="20.25" customHeight="1">
      <c r="A506" s="155" t="str">
        <f>IFERROR(__xludf.DUMMYFUNCTION("""COMPUTED_VALUE"""),"bpeed")</f>
        <v>bpeed</v>
      </c>
      <c r="B506" s="149" t="str">
        <f>IFERROR(__xludf.DUMMYFUNCTION("""COMPUTED_VALUE"""),"Cincinnati")</f>
        <v>Cincinnati</v>
      </c>
      <c r="C506" s="149" t="str">
        <f>IFERROR(__xludf.DUMMYFUNCTION("""COMPUTED_VALUE"""),"OH")</f>
        <v>OH</v>
      </c>
      <c r="D506" s="149" t="str">
        <f>IFERROR(__xludf.DUMMYFUNCTION("""COMPUTED_VALUE"""),"USA")</f>
        <v>USA</v>
      </c>
      <c r="E506" s="156">
        <f>IFERROR(__xludf.DUMMYFUNCTION("""COMPUTED_VALUE"""),44377.0)</f>
        <v>44377</v>
      </c>
      <c r="F506" s="129">
        <f>IFERROR(__xludf.DUMMYFUNCTION("""COMPUTED_VALUE"""),44419.0)</f>
        <v>44419</v>
      </c>
      <c r="G506" s="154" t="str">
        <f>IFERROR(__xludf.DUMMYFUNCTION("""COMPUTED_VALUE"""),"Manage order page (normal text)")</f>
        <v>Manage order page (normal text)</v>
      </c>
      <c r="H506" s="131">
        <f>IFERROR(__xludf.DUMMYFUNCTION("""COMPUTED_VALUE"""),34769.0)</f>
        <v>34769</v>
      </c>
      <c r="I506" s="144"/>
      <c r="J506" s="129">
        <f>IFERROR(__xludf.DUMMYFUNCTION("""COMPUTED_VALUE"""),44430.0)</f>
        <v>44430</v>
      </c>
      <c r="K506" s="133">
        <f>IFERROR(__xludf.DUMMYFUNCTION("""COMPUTED_VALUE"""),42.0)</f>
        <v>42</v>
      </c>
      <c r="L506" s="133">
        <f>IFERROR(__xludf.DUMMYFUNCTION("""COMPUTED_VALUE"""),11.0)</f>
        <v>11</v>
      </c>
      <c r="M506" s="133">
        <f>IFERROR(__xludf.DUMMYFUNCTION("""COMPUTED_VALUE"""),53.0)</f>
        <v>53</v>
      </c>
      <c r="N506" s="152" t="str">
        <f>IFERROR(__xludf.DUMMYFUNCTION("""COMPUTED_VALUE"""),"Model 3 Performance")</f>
        <v>Model 3 Performance</v>
      </c>
      <c r="O506" s="152" t="str">
        <f>IFERROR(__xludf.DUMMYFUNCTION("""COMPUTED_VALUE"""),"Pearl White Multi-Coat")</f>
        <v>Pearl White Multi-Coat</v>
      </c>
      <c r="P506" s="153" t="str">
        <f>IFERROR(__xludf.DUMMYFUNCTION("""COMPUTED_VALUE"""),"20 inch")</f>
        <v>20 inch</v>
      </c>
      <c r="Q506" s="152" t="str">
        <f>IFERROR(__xludf.DUMMYFUNCTION("""COMPUTED_VALUE"""),"Black and White")</f>
        <v>Black and White</v>
      </c>
      <c r="R506" s="149" t="str">
        <f>IFERROR(__xludf.DUMMYFUNCTION("""COMPUTED_VALUE"""),"Autopilot included")</f>
        <v>Autopilot included</v>
      </c>
      <c r="S506" s="149" t="str">
        <f>IFERROR(__xludf.DUMMYFUNCTION("""COMPUTED_VALUE"""),"Cash")</f>
        <v>Cash</v>
      </c>
      <c r="T506" s="145" t="str">
        <f>IFERROR(__xludf.DUMMYFUNCTION("""COMPUTED_VALUE"""),"Toyota Prius")</f>
        <v>Toyota Prius</v>
      </c>
      <c r="U506" s="145" t="str">
        <f>IFERROR(__xludf.DUMMYFUNCTION("""COMPUTED_VALUE"""),"Electric!")</f>
        <v>Electric!</v>
      </c>
      <c r="V506" s="145"/>
      <c r="W506" s="145"/>
      <c r="X506" s="137"/>
      <c r="Y506" s="138"/>
      <c r="Z506" s="138"/>
      <c r="AA506" s="138"/>
      <c r="AB506" s="138"/>
      <c r="AC506" s="139"/>
      <c r="AD506" s="139"/>
      <c r="AE506" s="139"/>
      <c r="AF506" s="140"/>
      <c r="AG506" s="145"/>
      <c r="AH506" s="157">
        <f>IFERROR(__xludf.DUMMYFUNCTION("""COMPUTED_VALUE"""),44426.507171261575)</f>
        <v>44426.50717</v>
      </c>
      <c r="AI506" s="138"/>
      <c r="AJ506" s="138"/>
      <c r="AK506" s="138"/>
      <c r="AL506" s="142"/>
    </row>
    <row r="507" ht="20.25" customHeight="1">
      <c r="A507" s="155" t="str">
        <f>IFERROR(__xludf.DUMMYFUNCTION("""COMPUTED_VALUE"""),"Conrad")</f>
        <v>Conrad</v>
      </c>
      <c r="B507" s="149" t="str">
        <f>IFERROR(__xludf.DUMMYFUNCTION("""COMPUTED_VALUE"""),"Hillsboro")</f>
        <v>Hillsboro</v>
      </c>
      <c r="C507" s="149" t="str">
        <f>IFERROR(__xludf.DUMMYFUNCTION("""COMPUTED_VALUE"""),"OR")</f>
        <v>OR</v>
      </c>
      <c r="D507" s="149" t="str">
        <f>IFERROR(__xludf.DUMMYFUNCTION("""COMPUTED_VALUE"""),"USA")</f>
        <v>USA</v>
      </c>
      <c r="E507" s="156">
        <f>IFERROR(__xludf.DUMMYFUNCTION("""COMPUTED_VALUE"""),44377.0)</f>
        <v>44377</v>
      </c>
      <c r="F507" s="129">
        <f>IFERROR(__xludf.DUMMYFUNCTION("""COMPUTED_VALUE"""),44434.0)</f>
        <v>44434</v>
      </c>
      <c r="G507" s="154" t="str">
        <f>IFERROR(__xludf.DUMMYFUNCTION("""COMPUTED_VALUE"""),"Existing Inventory")</f>
        <v>Existing Inventory</v>
      </c>
      <c r="H507" s="131">
        <f>IFERROR(__xludf.DUMMYFUNCTION("""COMPUTED_VALUE"""),53555.0)</f>
        <v>53555</v>
      </c>
      <c r="I507" s="144"/>
      <c r="J507" s="129">
        <f>IFERROR(__xludf.DUMMYFUNCTION("""COMPUTED_VALUE"""),44442.0)</f>
        <v>44442</v>
      </c>
      <c r="K507" s="133">
        <f>IFERROR(__xludf.DUMMYFUNCTION("""COMPUTED_VALUE"""),57.0)</f>
        <v>57</v>
      </c>
      <c r="L507" s="133">
        <f>IFERROR(__xludf.DUMMYFUNCTION("""COMPUTED_VALUE"""),8.0)</f>
        <v>8</v>
      </c>
      <c r="M507" s="133">
        <f>IFERROR(__xludf.DUMMYFUNCTION("""COMPUTED_VALUE"""),65.0)</f>
        <v>65</v>
      </c>
      <c r="N507" s="152" t="str">
        <f>IFERROR(__xludf.DUMMYFUNCTION("""COMPUTED_VALUE"""),"Model 3 SR+")</f>
        <v>Model 3 SR+</v>
      </c>
      <c r="O507" s="152" t="str">
        <f>IFERROR(__xludf.DUMMYFUNCTION("""COMPUTED_VALUE"""),"Pearl White Multi-Coat")</f>
        <v>Pearl White Multi-Coat</v>
      </c>
      <c r="P507" s="153" t="str">
        <f>IFERROR(__xludf.DUMMYFUNCTION("""COMPUTED_VALUE"""),"18 inch")</f>
        <v>18 inch</v>
      </c>
      <c r="Q507" s="152" t="str">
        <f>IFERROR(__xludf.DUMMYFUNCTION("""COMPUTED_VALUE"""),"All Black")</f>
        <v>All Black</v>
      </c>
      <c r="R507" s="149" t="str">
        <f>IFERROR(__xludf.DUMMYFUNCTION("""COMPUTED_VALUE"""),"Autopilot included")</f>
        <v>Autopilot included</v>
      </c>
      <c r="S507" s="149" t="str">
        <f>IFERROR(__xludf.DUMMYFUNCTION("""COMPUTED_VALUE"""),"Loan")</f>
        <v>Loan</v>
      </c>
      <c r="T507" s="145" t="str">
        <f>IFERROR(__xludf.DUMMYFUNCTION("""COMPUTED_VALUE"""),"Hyundai Tucson")</f>
        <v>Hyundai Tucson</v>
      </c>
      <c r="U507" s="145" t="str">
        <f>IFERROR(__xludf.DUMMYFUNCTION("""COMPUTED_VALUE"""),"Electric!")</f>
        <v>Electric!</v>
      </c>
      <c r="V507" s="145" t="str">
        <f>IFERROR(__xludf.DUMMYFUNCTION("""COMPUTED_VALUE"""),"Apple CarPlay / Android Auto / SiriusXM Radio")</f>
        <v>Apple CarPlay / Android Auto / SiriusXM Radio</v>
      </c>
      <c r="W507" s="145"/>
      <c r="X507" s="137"/>
      <c r="Y507" s="138"/>
      <c r="Z507" s="138"/>
      <c r="AA507" s="138"/>
      <c r="AB507" s="138"/>
      <c r="AC507" s="139"/>
      <c r="AD507" s="139"/>
      <c r="AE507" s="139"/>
      <c r="AF507" s="140"/>
      <c r="AG507" s="145" t="str">
        <f>IFERROR(__xludf.DUMMYFUNCTION("""COMPUTED_VALUE"""),"253mi range version with LFP Battery")</f>
        <v>253mi range version with LFP Battery</v>
      </c>
      <c r="AH507" s="157">
        <f>IFERROR(__xludf.DUMMYFUNCTION("""COMPUTED_VALUE"""),44452.59093537037)</f>
        <v>44452.59094</v>
      </c>
      <c r="AI507" s="138"/>
      <c r="AJ507" s="138"/>
      <c r="AK507" s="138"/>
      <c r="AL507" s="142"/>
    </row>
    <row r="508" ht="20.25" customHeight="1">
      <c r="A508" s="155" t="str">
        <f>IFERROR(__xludf.DUMMYFUNCTION("""COMPUTED_VALUE"""),"detox84")</f>
        <v>detox84</v>
      </c>
      <c r="B508" s="149"/>
      <c r="C508" s="149" t="str">
        <f>IFERROR(__xludf.DUMMYFUNCTION("""COMPUTED_VALUE"""),"NJ")</f>
        <v>NJ</v>
      </c>
      <c r="D508" s="149" t="str">
        <f>IFERROR(__xludf.DUMMYFUNCTION("""COMPUTED_VALUE"""),"USA")</f>
        <v>USA</v>
      </c>
      <c r="E508" s="156">
        <f>IFERROR(__xludf.DUMMYFUNCTION("""COMPUTED_VALUE"""),44377.0)</f>
        <v>44377</v>
      </c>
      <c r="F508" s="129">
        <f>IFERROR(__xludf.DUMMYFUNCTION("""COMPUTED_VALUE"""),44420.0)</f>
        <v>44420</v>
      </c>
      <c r="G508" s="154" t="str">
        <f>IFERROR(__xludf.DUMMYFUNCTION("""COMPUTED_VALUE"""),"Manage order page (normal text)")</f>
        <v>Manage order page (normal text)</v>
      </c>
      <c r="H508" s="131">
        <f>IFERROR(__xludf.DUMMYFUNCTION("""COMPUTED_VALUE"""),35655.0)</f>
        <v>35655</v>
      </c>
      <c r="I508" s="144"/>
      <c r="J508" s="129">
        <f>IFERROR(__xludf.DUMMYFUNCTION("""COMPUTED_VALUE"""),44434.0)</f>
        <v>44434</v>
      </c>
      <c r="K508" s="133">
        <f>IFERROR(__xludf.DUMMYFUNCTION("""COMPUTED_VALUE"""),43.0)</f>
        <v>43</v>
      </c>
      <c r="L508" s="133">
        <f>IFERROR(__xludf.DUMMYFUNCTION("""COMPUTED_VALUE"""),14.0)</f>
        <v>14</v>
      </c>
      <c r="M508" s="133">
        <f>IFERROR(__xludf.DUMMYFUNCTION("""COMPUTED_VALUE"""),57.0)</f>
        <v>57</v>
      </c>
      <c r="N508" s="152" t="str">
        <f>IFERROR(__xludf.DUMMYFUNCTION("""COMPUTED_VALUE"""),"Model 3 LR AWD")</f>
        <v>Model 3 LR AWD</v>
      </c>
      <c r="O508" s="152" t="str">
        <f>IFERROR(__xludf.DUMMYFUNCTION("""COMPUTED_VALUE"""),"Deep Blue Metallic")</f>
        <v>Deep Blue Metallic</v>
      </c>
      <c r="P508" s="153" t="str">
        <f>IFERROR(__xludf.DUMMYFUNCTION("""COMPUTED_VALUE"""),"18 inch")</f>
        <v>18 inch</v>
      </c>
      <c r="Q508" s="152" t="str">
        <f>IFERROR(__xludf.DUMMYFUNCTION("""COMPUTED_VALUE"""),"All Black")</f>
        <v>All Black</v>
      </c>
      <c r="R508" s="149" t="str">
        <f>IFERROR(__xludf.DUMMYFUNCTION("""COMPUTED_VALUE"""),"Autopilot included")</f>
        <v>Autopilot included</v>
      </c>
      <c r="S508" s="149" t="str">
        <f>IFERROR(__xludf.DUMMYFUNCTION("""COMPUTED_VALUE"""),"Loan")</f>
        <v>Loan</v>
      </c>
      <c r="T508" s="145" t="str">
        <f>IFERROR(__xludf.DUMMYFUNCTION("""COMPUTED_VALUE"""),"Hyundai Santa Fe")</f>
        <v>Hyundai Santa Fe</v>
      </c>
      <c r="U508" s="145" t="str">
        <f>IFERROR(__xludf.DUMMYFUNCTION("""COMPUTED_VALUE"""),"Autopilot")</f>
        <v>Autopilot</v>
      </c>
      <c r="V508" s="145" t="str">
        <f>IFERROR(__xludf.DUMMYFUNCTION("""COMPUTED_VALUE"""),"Apple CarPlay / Android Auto / SiriusXM Radio")</f>
        <v>Apple CarPlay / Android Auto / SiriusXM Radio</v>
      </c>
      <c r="W508" s="145" t="str">
        <f>IFERROR(__xludf.DUMMYFUNCTION("""COMPUTED_VALUE"""),"Complete all the paperwork you are able to up front. This gets you ""in line"" more quickly.")</f>
        <v>Complete all the paperwork you are able to up front. This gets you "in line" more quickly.</v>
      </c>
      <c r="X508" s="137" t="str">
        <f>IFERROR(__xludf.DUMMYFUNCTION("""COMPUTED_VALUE"""),"Excellent")</f>
        <v>Excellent</v>
      </c>
      <c r="Y508" s="138" t="str">
        <f>IFERROR(__xludf.DUMMYFUNCTION("""COMPUTED_VALUE"""),"Excellent")</f>
        <v>Excellent</v>
      </c>
      <c r="Z508" s="138" t="str">
        <f>IFERROR(__xludf.DUMMYFUNCTION("""COMPUTED_VALUE"""),"Excellent")</f>
        <v>Excellent</v>
      </c>
      <c r="AA508" s="138" t="str">
        <f>IFERROR(__xludf.DUMMYFUNCTION("""COMPUTED_VALUE"""),"Good")</f>
        <v>Good</v>
      </c>
      <c r="AB508" s="138" t="str">
        <f>IFERROR(__xludf.DUMMYFUNCTION("""COMPUTED_VALUE"""),"Excellent")</f>
        <v>Excellent</v>
      </c>
      <c r="AC508" s="139"/>
      <c r="AD508" s="139"/>
      <c r="AE508" s="139"/>
      <c r="AF508" s="140" t="str">
        <f>IFERROR(__xludf.DUMMYFUNCTION("""COMPUTED_VALUE"""),"No. I took delivery of the first car Tesla was able to deliver.")</f>
        <v>No. I took delivery of the first car Tesla was able to deliver.</v>
      </c>
      <c r="AG508" s="145"/>
      <c r="AH508" s="157">
        <f>IFERROR(__xludf.DUMMYFUNCTION("""COMPUTED_VALUE"""),44437.7347146412)</f>
        <v>44437.73471</v>
      </c>
      <c r="AI508" s="138"/>
      <c r="AJ508" s="138"/>
      <c r="AK508" s="138"/>
      <c r="AL508" s="142"/>
    </row>
    <row r="509" ht="20.25" customHeight="1">
      <c r="A509" s="155" t="str">
        <f>IFERROR(__xludf.DUMMYFUNCTION("""COMPUTED_VALUE"""),"kblICT")</f>
        <v>kblICT</v>
      </c>
      <c r="B509" s="149" t="str">
        <f>IFERROR(__xludf.DUMMYFUNCTION("""COMPUTED_VALUE"""),"Wichita")</f>
        <v>Wichita</v>
      </c>
      <c r="C509" s="149" t="str">
        <f>IFERROR(__xludf.DUMMYFUNCTION("""COMPUTED_VALUE"""),"KS")</f>
        <v>KS</v>
      </c>
      <c r="D509" s="149" t="str">
        <f>IFERROR(__xludf.DUMMYFUNCTION("""COMPUTED_VALUE"""),"USA")</f>
        <v>USA</v>
      </c>
      <c r="E509" s="156">
        <f>IFERROR(__xludf.DUMMYFUNCTION("""COMPUTED_VALUE"""),44377.0)</f>
        <v>44377</v>
      </c>
      <c r="F509" s="129">
        <f>IFERROR(__xludf.DUMMYFUNCTION("""COMPUTED_VALUE"""),44423.0)</f>
        <v>44423</v>
      </c>
      <c r="G509" s="154" t="str">
        <f>IFERROR(__xludf.DUMMYFUNCTION("""COMPUTED_VALUE"""),"Email")</f>
        <v>Email</v>
      </c>
      <c r="H509" s="131">
        <f>IFERROR(__xludf.DUMMYFUNCTION("""COMPUTED_VALUE"""),33355.0)</f>
        <v>33355</v>
      </c>
      <c r="I509" s="144" t="str">
        <f>IFERROR(__xludf.DUMMYFUNCTION("""COMPUTED_VALUE"""),"08/21")</f>
        <v>08/21</v>
      </c>
      <c r="J509" s="129">
        <f>IFERROR(__xludf.DUMMYFUNCTION("""COMPUTED_VALUE"""),44436.0)</f>
        <v>44436</v>
      </c>
      <c r="K509" s="133">
        <f>IFERROR(__xludf.DUMMYFUNCTION("""COMPUTED_VALUE"""),46.0)</f>
        <v>46</v>
      </c>
      <c r="L509" s="133">
        <f>IFERROR(__xludf.DUMMYFUNCTION("""COMPUTED_VALUE"""),13.0)</f>
        <v>13</v>
      </c>
      <c r="M509" s="133">
        <f>IFERROR(__xludf.DUMMYFUNCTION("""COMPUTED_VALUE"""),59.0)</f>
        <v>59</v>
      </c>
      <c r="N509" s="152" t="str">
        <f>IFERROR(__xludf.DUMMYFUNCTION("""COMPUTED_VALUE"""),"Model 3 LR AWD")</f>
        <v>Model 3 LR AWD</v>
      </c>
      <c r="O509" s="152" t="str">
        <f>IFERROR(__xludf.DUMMYFUNCTION("""COMPUTED_VALUE"""),"Pearl White Multi-Coat")</f>
        <v>Pearl White Multi-Coat</v>
      </c>
      <c r="P509" s="153" t="str">
        <f>IFERROR(__xludf.DUMMYFUNCTION("""COMPUTED_VALUE"""),"18 inch")</f>
        <v>18 inch</v>
      </c>
      <c r="Q509" s="152" t="str">
        <f>IFERROR(__xludf.DUMMYFUNCTION("""COMPUTED_VALUE"""),"All Black")</f>
        <v>All Black</v>
      </c>
      <c r="R509" s="149" t="str">
        <f>IFERROR(__xludf.DUMMYFUNCTION("""COMPUTED_VALUE"""),"Autopilot included")</f>
        <v>Autopilot included</v>
      </c>
      <c r="S509" s="149" t="str">
        <f>IFERROR(__xludf.DUMMYFUNCTION("""COMPUTED_VALUE"""),"Cash")</f>
        <v>Cash</v>
      </c>
      <c r="T509" s="145" t="str">
        <f>IFERROR(__xludf.DUMMYFUNCTION("""COMPUTED_VALUE"""),"Acura TL")</f>
        <v>Acura TL</v>
      </c>
      <c r="U509" s="145" t="str">
        <f>IFERROR(__xludf.DUMMYFUNCTION("""COMPUTED_VALUE"""),"Electric!")</f>
        <v>Electric!</v>
      </c>
      <c r="V509" s="145" t="str">
        <f>IFERROR(__xludf.DUMMYFUNCTION("""COMPUTED_VALUE"""),"Head-up display")</f>
        <v>Head-up display</v>
      </c>
      <c r="W509" s="145" t="str">
        <f>IFERROR(__xludf.DUMMYFUNCTION("""COMPUTED_VALUE"""),"Original EDD (before I pushed the order button) was 7-11 weeks. Actual was 8.5 weeks despite post-buy checks showing many swings outside that range. If you don't like drama, don't obsess over EDD.")</f>
        <v>Original EDD (before I pushed the order button) was 7-11 weeks. Actual was 8.5 weeks despite post-buy checks showing many swings outside that range. If you don't like drama, don't obsess over EDD.</v>
      </c>
      <c r="X509" s="137" t="str">
        <f>IFERROR(__xludf.DUMMYFUNCTION("""COMPUTED_VALUE"""),"Excellent")</f>
        <v>Excellent</v>
      </c>
      <c r="Y509" s="138" t="str">
        <f>IFERROR(__xludf.DUMMYFUNCTION("""COMPUTED_VALUE"""),"Excellent")</f>
        <v>Excellent</v>
      </c>
      <c r="Z509" s="138" t="str">
        <f>IFERROR(__xludf.DUMMYFUNCTION("""COMPUTED_VALUE"""),"Very Good")</f>
        <v>Very Good</v>
      </c>
      <c r="AA509" s="138" t="str">
        <f>IFERROR(__xludf.DUMMYFUNCTION("""COMPUTED_VALUE"""),"Very Good")</f>
        <v>Very Good</v>
      </c>
      <c r="AB509" s="138" t="str">
        <f>IFERROR(__xludf.DUMMYFUNCTION("""COMPUTED_VALUE"""),"Very Good")</f>
        <v>Very Good</v>
      </c>
      <c r="AC509" s="139">
        <f>IFERROR(__xludf.DUMMYFUNCTION("""COMPUTED_VALUE"""),1.0)</f>
        <v>1</v>
      </c>
      <c r="AD509" s="139"/>
      <c r="AE509" s="139"/>
      <c r="AF509" s="140" t="str">
        <f>IFERROR(__xludf.DUMMYFUNCTION("""COMPUTED_VALUE"""),"No. I took delivery of the first car Tesla was able to deliver.")</f>
        <v>No. I took delivery of the first car Tesla was able to deliver.</v>
      </c>
      <c r="AG509" s="145"/>
      <c r="AH509" s="157">
        <f>IFERROR(__xludf.DUMMYFUNCTION("""COMPUTED_VALUE"""),44438.443100821765)</f>
        <v>44438.4431</v>
      </c>
      <c r="AI509" s="138"/>
      <c r="AJ509" s="138"/>
      <c r="AK509" s="138"/>
      <c r="AL509" s="142"/>
    </row>
    <row r="510" ht="20.25" customHeight="1">
      <c r="A510" s="155" t="str">
        <f>IFERROR(__xludf.DUMMYFUNCTION("""COMPUTED_VALUE"""),"RC495")</f>
        <v>RC495</v>
      </c>
      <c r="B510" s="149" t="str">
        <f>IFERROR(__xludf.DUMMYFUNCTION("""COMPUTED_VALUE"""),"Manchester")</f>
        <v>Manchester</v>
      </c>
      <c r="C510" s="149"/>
      <c r="D510" s="149" t="str">
        <f>IFERROR(__xludf.DUMMYFUNCTION("""COMPUTED_VALUE"""),"United Kingdom")</f>
        <v>United Kingdom</v>
      </c>
      <c r="E510" s="156">
        <f>IFERROR(__xludf.DUMMYFUNCTION("""COMPUTED_VALUE"""),44377.0)</f>
        <v>44377</v>
      </c>
      <c r="F510" s="129">
        <f>IFERROR(__xludf.DUMMYFUNCTION("""COMPUTED_VALUE"""),44420.0)</f>
        <v>44420</v>
      </c>
      <c r="G510" s="154" t="str">
        <f>IFERROR(__xludf.DUMMYFUNCTION("""COMPUTED_VALUE"""),"Sent via Lease company")</f>
        <v>Sent via Lease company</v>
      </c>
      <c r="H510" s="131">
        <f>IFERROR(__xludf.DUMMYFUNCTION("""COMPUTED_VALUE"""),322209.0)</f>
        <v>322209</v>
      </c>
      <c r="I510" s="144"/>
      <c r="J510" s="129"/>
      <c r="K510" s="133">
        <f>IFERROR(__xludf.DUMMYFUNCTION("""COMPUTED_VALUE"""),43.0)</f>
        <v>43</v>
      </c>
      <c r="L510" s="133"/>
      <c r="M510" s="133"/>
      <c r="N510" s="152" t="str">
        <f>IFERROR(__xludf.DUMMYFUNCTION("""COMPUTED_VALUE"""),"Model 3 LR AWD")</f>
        <v>Model 3 LR AWD</v>
      </c>
      <c r="O510" s="152" t="str">
        <f>IFERROR(__xludf.DUMMYFUNCTION("""COMPUTED_VALUE"""),"Pearl White Multi-Coat")</f>
        <v>Pearl White Multi-Coat</v>
      </c>
      <c r="P510" s="153" t="str">
        <f>IFERROR(__xludf.DUMMYFUNCTION("""COMPUTED_VALUE"""),"18 inch")</f>
        <v>18 inch</v>
      </c>
      <c r="Q510" s="152" t="str">
        <f>IFERROR(__xludf.DUMMYFUNCTION("""COMPUTED_VALUE"""),"All Black")</f>
        <v>All Black</v>
      </c>
      <c r="R510" s="149" t="str">
        <f>IFERROR(__xludf.DUMMYFUNCTION("""COMPUTED_VALUE"""),"Autopilot included")</f>
        <v>Autopilot included</v>
      </c>
      <c r="S510" s="149" t="str">
        <f>IFERROR(__xludf.DUMMYFUNCTION("""COMPUTED_VALUE"""),"Lease")</f>
        <v>Lease</v>
      </c>
      <c r="T510" s="145" t="str">
        <f>IFERROR(__xludf.DUMMYFUNCTION("""COMPUTED_VALUE"""),"Audi A5 ")</f>
        <v>Audi A5 </v>
      </c>
      <c r="U510" s="145" t="str">
        <f>IFERROR(__xludf.DUMMYFUNCTION("""COMPUTED_VALUE"""),"Electric!")</f>
        <v>Electric!</v>
      </c>
      <c r="V510" s="145" t="str">
        <f>IFERROR(__xludf.DUMMYFUNCTION("""COMPUTED_VALUE"""),"Apple CarPlay / Android Auto / SiriusXM Radio")</f>
        <v>Apple CarPlay / Android Auto / SiriusXM Radio</v>
      </c>
      <c r="W510" s="145"/>
      <c r="X510" s="137"/>
      <c r="Y510" s="138"/>
      <c r="Z510" s="138"/>
      <c r="AA510" s="138"/>
      <c r="AB510" s="138"/>
      <c r="AC510" s="139"/>
      <c r="AD510" s="139"/>
      <c r="AE510" s="139"/>
      <c r="AF510" s="140"/>
      <c r="AG510" s="145"/>
      <c r="AH510" s="157">
        <f>IFERROR(__xludf.DUMMYFUNCTION("""COMPUTED_VALUE"""),44432.49159089121)</f>
        <v>44432.49159</v>
      </c>
      <c r="AI510" s="138"/>
      <c r="AJ510" s="138"/>
      <c r="AK510" s="138"/>
      <c r="AL510" s="142"/>
    </row>
    <row r="511" ht="20.25" customHeight="1">
      <c r="A511" s="155" t="str">
        <f>IFERROR(__xludf.DUMMYFUNCTION("""COMPUTED_VALUE"""),"Realcooper")</f>
        <v>Realcooper</v>
      </c>
      <c r="B511" s="149" t="str">
        <f>IFERROR(__xludf.DUMMYFUNCTION("""COMPUTED_VALUE"""),"Ashburn")</f>
        <v>Ashburn</v>
      </c>
      <c r="C511" s="149" t="str">
        <f>IFERROR(__xludf.DUMMYFUNCTION("""COMPUTED_VALUE"""),"VA")</f>
        <v>VA</v>
      </c>
      <c r="D511" s="149" t="str">
        <f>IFERROR(__xludf.DUMMYFUNCTION("""COMPUTED_VALUE"""),"USA")</f>
        <v>USA</v>
      </c>
      <c r="E511" s="156">
        <f>IFERROR(__xludf.DUMMYFUNCTION("""COMPUTED_VALUE"""),44377.0)</f>
        <v>44377</v>
      </c>
      <c r="F511" s="129">
        <f>IFERROR(__xludf.DUMMYFUNCTION("""COMPUTED_VALUE"""),44490.0)</f>
        <v>44490</v>
      </c>
      <c r="G511" s="154"/>
      <c r="H511" s="131">
        <f>IFERROR(__xludf.DUMMYFUNCTION("""COMPUTED_VALUE"""),93195.0)</f>
        <v>93195</v>
      </c>
      <c r="I511" s="144"/>
      <c r="J511" s="129"/>
      <c r="K511" s="133">
        <f>IFERROR(__xludf.DUMMYFUNCTION("""COMPUTED_VALUE"""),113.0)</f>
        <v>113</v>
      </c>
      <c r="L511" s="133"/>
      <c r="M511" s="133"/>
      <c r="N511" s="152" t="str">
        <f>IFERROR(__xludf.DUMMYFUNCTION("""COMPUTED_VALUE"""),"Model 3 SR+")</f>
        <v>Model 3 SR+</v>
      </c>
      <c r="O511" s="152" t="str">
        <f>IFERROR(__xludf.DUMMYFUNCTION("""COMPUTED_VALUE"""),"Pearl White Multi-Coat")</f>
        <v>Pearl White Multi-Coat</v>
      </c>
      <c r="P511" s="153" t="str">
        <f>IFERROR(__xludf.DUMMYFUNCTION("""COMPUTED_VALUE"""),"18 inch")</f>
        <v>18 inch</v>
      </c>
      <c r="Q511" s="152" t="str">
        <f>IFERROR(__xludf.DUMMYFUNCTION("""COMPUTED_VALUE"""),"Black and White")</f>
        <v>Black and White</v>
      </c>
      <c r="R511" s="149" t="str">
        <f>IFERROR(__xludf.DUMMYFUNCTION("""COMPUTED_VALUE"""),"Autopilot included")</f>
        <v>Autopilot included</v>
      </c>
      <c r="S511" s="149" t="str">
        <f>IFERROR(__xludf.DUMMYFUNCTION("""COMPUTED_VALUE"""),"Loan")</f>
        <v>Loan</v>
      </c>
      <c r="T511" s="145" t="str">
        <f>IFERROR(__xludf.DUMMYFUNCTION("""COMPUTED_VALUE"""),"Acura MDX")</f>
        <v>Acura MDX</v>
      </c>
      <c r="U511" s="145" t="str">
        <f>IFERROR(__xludf.DUMMYFUNCTION("""COMPUTED_VALUE"""),"Electric!")</f>
        <v>Electric!</v>
      </c>
      <c r="V511" s="145" t="str">
        <f>IFERROR(__xludf.DUMMYFUNCTION("""COMPUTED_VALUE"""),"Apple CarPlay / Android Auto / SiriusXM Radio")</f>
        <v>Apple CarPlay / Android Auto / SiriusXM Radio</v>
      </c>
      <c r="W511" s="145"/>
      <c r="X511" s="137"/>
      <c r="Y511" s="138"/>
      <c r="Z511" s="138"/>
      <c r="AA511" s="138"/>
      <c r="AB511" s="138"/>
      <c r="AC511" s="139"/>
      <c r="AD511" s="139"/>
      <c r="AE511" s="139"/>
      <c r="AF511" s="140"/>
      <c r="AG511" s="145"/>
      <c r="AH511" s="157">
        <f>IFERROR(__xludf.DUMMYFUNCTION("""COMPUTED_VALUE"""),44490.743527893515)</f>
        <v>44490.74353</v>
      </c>
      <c r="AI511" s="138"/>
      <c r="AJ511" s="138"/>
      <c r="AK511" s="138"/>
      <c r="AL511" s="142"/>
    </row>
    <row r="512" ht="20.25" customHeight="1">
      <c r="A512" s="155" t="str">
        <f>IFERROR(__xludf.DUMMYFUNCTION("""COMPUTED_VALUE"""),"T-In-Marietta")</f>
        <v>T-In-Marietta</v>
      </c>
      <c r="B512" s="149" t="str">
        <f>IFERROR(__xludf.DUMMYFUNCTION("""COMPUTED_VALUE"""),"Marietta")</f>
        <v>Marietta</v>
      </c>
      <c r="C512" s="149" t="str">
        <f>IFERROR(__xludf.DUMMYFUNCTION("""COMPUTED_VALUE"""),"GA")</f>
        <v>GA</v>
      </c>
      <c r="D512" s="149" t="str">
        <f>IFERROR(__xludf.DUMMYFUNCTION("""COMPUTED_VALUE"""),"USA")</f>
        <v>USA</v>
      </c>
      <c r="E512" s="156">
        <f>IFERROR(__xludf.DUMMYFUNCTION("""COMPUTED_VALUE"""),44377.0)</f>
        <v>44377</v>
      </c>
      <c r="F512" s="129">
        <f>IFERROR(__xludf.DUMMYFUNCTION("""COMPUTED_VALUE"""),44412.0)</f>
        <v>44412</v>
      </c>
      <c r="G512" s="154" t="str">
        <f>IFERROR(__xludf.DUMMYFUNCTION("""COMPUTED_VALUE"""),"Manage order page (normal text)")</f>
        <v>Manage order page (normal text)</v>
      </c>
      <c r="H512" s="131"/>
      <c r="I512" s="144"/>
      <c r="J512" s="129">
        <f>IFERROR(__xludf.DUMMYFUNCTION("""COMPUTED_VALUE"""),44428.0)</f>
        <v>44428</v>
      </c>
      <c r="K512" s="133">
        <f>IFERROR(__xludf.DUMMYFUNCTION("""COMPUTED_VALUE"""),35.0)</f>
        <v>35</v>
      </c>
      <c r="L512" s="133">
        <f>IFERROR(__xludf.DUMMYFUNCTION("""COMPUTED_VALUE"""),16.0)</f>
        <v>16</v>
      </c>
      <c r="M512" s="133">
        <f>IFERROR(__xludf.DUMMYFUNCTION("""COMPUTED_VALUE"""),51.0)</f>
        <v>51</v>
      </c>
      <c r="N512" s="152" t="str">
        <f>IFERROR(__xludf.DUMMYFUNCTION("""COMPUTED_VALUE"""),"Model 3 SR+")</f>
        <v>Model 3 SR+</v>
      </c>
      <c r="O512" s="152" t="str">
        <f>IFERROR(__xludf.DUMMYFUNCTION("""COMPUTED_VALUE"""),"Pearl White Multi-Coat")</f>
        <v>Pearl White Multi-Coat</v>
      </c>
      <c r="P512" s="153" t="str">
        <f>IFERROR(__xludf.DUMMYFUNCTION("""COMPUTED_VALUE"""),"18 inch")</f>
        <v>18 inch</v>
      </c>
      <c r="Q512" s="152" t="str">
        <f>IFERROR(__xludf.DUMMYFUNCTION("""COMPUTED_VALUE"""),"All Black")</f>
        <v>All Black</v>
      </c>
      <c r="R512" s="149" t="str">
        <f>IFERROR(__xludf.DUMMYFUNCTION("""COMPUTED_VALUE"""),"Autopilot included")</f>
        <v>Autopilot included</v>
      </c>
      <c r="S512" s="149" t="str">
        <f>IFERROR(__xludf.DUMMYFUNCTION("""COMPUTED_VALUE"""),"Loan")</f>
        <v>Loan</v>
      </c>
      <c r="T512" s="145" t="str">
        <f>IFERROR(__xludf.DUMMYFUNCTION("""COMPUTED_VALUE"""),"Honda CRV")</f>
        <v>Honda CRV</v>
      </c>
      <c r="U512" s="145"/>
      <c r="V512" s="145"/>
      <c r="W512" s="145"/>
      <c r="X512" s="137"/>
      <c r="Y512" s="138"/>
      <c r="Z512" s="138"/>
      <c r="AA512" s="138"/>
      <c r="AB512" s="138"/>
      <c r="AC512" s="139"/>
      <c r="AD512" s="139"/>
      <c r="AE512" s="139"/>
      <c r="AF512" s="140"/>
      <c r="AG512" s="145"/>
      <c r="AH512" s="157">
        <f>IFERROR(__xludf.DUMMYFUNCTION("""COMPUTED_VALUE"""),44417.51124349537)</f>
        <v>44417.51124</v>
      </c>
      <c r="AI512" s="138"/>
      <c r="AJ512" s="138"/>
      <c r="AK512" s="138"/>
      <c r="AL512" s="142"/>
    </row>
    <row r="513" ht="20.25" customHeight="1">
      <c r="A513" s="155" t="str">
        <f>IFERROR(__xludf.DUMMYFUNCTION("""COMPUTED_VALUE"""),"Tanck ")</f>
        <v>Tanck </v>
      </c>
      <c r="B513" s="149" t="str">
        <f>IFERROR(__xludf.DUMMYFUNCTION("""COMPUTED_VALUE"""),"Salt Lake City")</f>
        <v>Salt Lake City</v>
      </c>
      <c r="C513" s="149" t="str">
        <f>IFERROR(__xludf.DUMMYFUNCTION("""COMPUTED_VALUE"""),"UT")</f>
        <v>UT</v>
      </c>
      <c r="D513" s="149" t="str">
        <f>IFERROR(__xludf.DUMMYFUNCTION("""COMPUTED_VALUE"""),"USA")</f>
        <v>USA</v>
      </c>
      <c r="E513" s="156">
        <f>IFERROR(__xludf.DUMMYFUNCTION("""COMPUTED_VALUE"""),44377.0)</f>
        <v>44377</v>
      </c>
      <c r="F513" s="129">
        <f>IFERROR(__xludf.DUMMYFUNCTION("""COMPUTED_VALUE"""),44413.0)</f>
        <v>44413</v>
      </c>
      <c r="G513" s="154" t="str">
        <f>IFERROR(__xludf.DUMMYFUNCTION("""COMPUTED_VALUE"""),"Manage order page (normal text)")</f>
        <v>Manage order page (normal text)</v>
      </c>
      <c r="H513" s="131">
        <f>IFERROR(__xludf.DUMMYFUNCTION("""COMPUTED_VALUE"""),27925.0)</f>
        <v>27925</v>
      </c>
      <c r="I513" s="144"/>
      <c r="J513" s="129">
        <f>IFERROR(__xludf.DUMMYFUNCTION("""COMPUTED_VALUE"""),44417.0)</f>
        <v>44417</v>
      </c>
      <c r="K513" s="133">
        <f>IFERROR(__xludf.DUMMYFUNCTION("""COMPUTED_VALUE"""),36.0)</f>
        <v>36</v>
      </c>
      <c r="L513" s="133">
        <f>IFERROR(__xludf.DUMMYFUNCTION("""COMPUTED_VALUE"""),4.0)</f>
        <v>4</v>
      </c>
      <c r="M513" s="133">
        <f>IFERROR(__xludf.DUMMYFUNCTION("""COMPUTED_VALUE"""),40.0)</f>
        <v>40</v>
      </c>
      <c r="N513" s="152" t="str">
        <f>IFERROR(__xludf.DUMMYFUNCTION("""COMPUTED_VALUE"""),"Model 3 SR+")</f>
        <v>Model 3 SR+</v>
      </c>
      <c r="O513" s="152" t="str">
        <f>IFERROR(__xludf.DUMMYFUNCTION("""COMPUTED_VALUE"""),"Pearl White Multi-Coat")</f>
        <v>Pearl White Multi-Coat</v>
      </c>
      <c r="P513" s="153" t="str">
        <f>IFERROR(__xludf.DUMMYFUNCTION("""COMPUTED_VALUE"""),"18 inch")</f>
        <v>18 inch</v>
      </c>
      <c r="Q513" s="152" t="str">
        <f>IFERROR(__xludf.DUMMYFUNCTION("""COMPUTED_VALUE"""),"All Black")</f>
        <v>All Black</v>
      </c>
      <c r="R513" s="149" t="str">
        <f>IFERROR(__xludf.DUMMYFUNCTION("""COMPUTED_VALUE"""),"Autopilot included")</f>
        <v>Autopilot included</v>
      </c>
      <c r="S513" s="149" t="str">
        <f>IFERROR(__xludf.DUMMYFUNCTION("""COMPUTED_VALUE"""),"Lease")</f>
        <v>Lease</v>
      </c>
      <c r="T513" s="145" t="str">
        <f>IFERROR(__xludf.DUMMYFUNCTION("""COMPUTED_VALUE"""),"Kia Seltos")</f>
        <v>Kia Seltos</v>
      </c>
      <c r="U513" s="145" t="str">
        <f>IFERROR(__xludf.DUMMYFUNCTION("""COMPUTED_VALUE"""),"On board tech ")</f>
        <v>On board tech </v>
      </c>
      <c r="V513" s="145" t="str">
        <f>IFERROR(__xludf.DUMMYFUNCTION("""COMPUTED_VALUE"""),"Heated steering wheel")</f>
        <v>Heated steering wheel</v>
      </c>
      <c r="W513" s="145"/>
      <c r="X513" s="137" t="str">
        <f>IFERROR(__xludf.DUMMYFUNCTION("""COMPUTED_VALUE"""),"Good")</f>
        <v>Good</v>
      </c>
      <c r="Y513" s="138" t="str">
        <f>IFERROR(__xludf.DUMMYFUNCTION("""COMPUTED_VALUE"""),"Very Good")</f>
        <v>Very Good</v>
      </c>
      <c r="Z513" s="138" t="str">
        <f>IFERROR(__xludf.DUMMYFUNCTION("""COMPUTED_VALUE"""),"Very Good")</f>
        <v>Very Good</v>
      </c>
      <c r="AA513" s="138" t="str">
        <f>IFERROR(__xludf.DUMMYFUNCTION("""COMPUTED_VALUE"""),"Excellent")</f>
        <v>Excellent</v>
      </c>
      <c r="AB513" s="138" t="str">
        <f>IFERROR(__xludf.DUMMYFUNCTION("""COMPUTED_VALUE"""),"Excellent")</f>
        <v>Excellent</v>
      </c>
      <c r="AC513" s="139">
        <f>IFERROR(__xludf.DUMMYFUNCTION("""COMPUTED_VALUE"""),1.0)</f>
        <v>1</v>
      </c>
      <c r="AD513" s="139"/>
      <c r="AE513" s="139"/>
      <c r="AF513" s="140" t="str">
        <f>IFERROR(__xludf.DUMMYFUNCTION("""COMPUTED_VALUE"""),"No. I took delivery of the first car Tesla was able to deliver.")</f>
        <v>No. I took delivery of the first car Tesla was able to deliver.</v>
      </c>
      <c r="AG513" s="145"/>
      <c r="AH513" s="157">
        <f>IFERROR(__xludf.DUMMYFUNCTION("""COMPUTED_VALUE"""),44418.503126261574)</f>
        <v>44418.50313</v>
      </c>
      <c r="AI513" s="138"/>
      <c r="AJ513" s="138"/>
      <c r="AK513" s="138"/>
      <c r="AL513" s="142"/>
    </row>
    <row r="514" ht="20.25" customHeight="1">
      <c r="A514" s="155" t="str">
        <f>IFERROR(__xludf.DUMMYFUNCTION("""COMPUTED_VALUE"""),"that1pin0yguy")</f>
        <v>that1pin0yguy</v>
      </c>
      <c r="B514" s="149" t="str">
        <f>IFERROR(__xludf.DUMMYFUNCTION("""COMPUTED_VALUE"""),"Bay Area")</f>
        <v>Bay Area</v>
      </c>
      <c r="C514" s="149" t="str">
        <f>IFERROR(__xludf.DUMMYFUNCTION("""COMPUTED_VALUE"""),"CA")</f>
        <v>CA</v>
      </c>
      <c r="D514" s="149" t="str">
        <f>IFERROR(__xludf.DUMMYFUNCTION("""COMPUTED_VALUE"""),"USA")</f>
        <v>USA</v>
      </c>
      <c r="E514" s="156">
        <f>IFERROR(__xludf.DUMMYFUNCTION("""COMPUTED_VALUE"""),44377.0)</f>
        <v>44377</v>
      </c>
      <c r="F514" s="129">
        <f>IFERROR(__xludf.DUMMYFUNCTION("""COMPUTED_VALUE"""),44405.0)</f>
        <v>44405</v>
      </c>
      <c r="G514" s="154" t="str">
        <f>IFERROR(__xludf.DUMMYFUNCTION("""COMPUTED_VALUE"""),"Manage order page (normal text)")</f>
        <v>Manage order page (normal text)</v>
      </c>
      <c r="H514" s="131"/>
      <c r="I514" s="144"/>
      <c r="J514" s="129">
        <f>IFERROR(__xludf.DUMMYFUNCTION("""COMPUTED_VALUE"""),44408.0)</f>
        <v>44408</v>
      </c>
      <c r="K514" s="133">
        <f>IFERROR(__xludf.DUMMYFUNCTION("""COMPUTED_VALUE"""),28.0)</f>
        <v>28</v>
      </c>
      <c r="L514" s="133">
        <f>IFERROR(__xludf.DUMMYFUNCTION("""COMPUTED_VALUE"""),3.0)</f>
        <v>3</v>
      </c>
      <c r="M514" s="133">
        <f>IFERROR(__xludf.DUMMYFUNCTION("""COMPUTED_VALUE"""),31.0)</f>
        <v>31</v>
      </c>
      <c r="N514" s="152" t="str">
        <f>IFERROR(__xludf.DUMMYFUNCTION("""COMPUTED_VALUE"""),"Model 3 LR AWD")</f>
        <v>Model 3 LR AWD</v>
      </c>
      <c r="O514" s="152" t="str">
        <f>IFERROR(__xludf.DUMMYFUNCTION("""COMPUTED_VALUE"""),"Deep Blue Metallic")</f>
        <v>Deep Blue Metallic</v>
      </c>
      <c r="P514" s="153" t="str">
        <f>IFERROR(__xludf.DUMMYFUNCTION("""COMPUTED_VALUE"""),"18 inch")</f>
        <v>18 inch</v>
      </c>
      <c r="Q514" s="152" t="str">
        <f>IFERROR(__xludf.DUMMYFUNCTION("""COMPUTED_VALUE"""),"All Black")</f>
        <v>All Black</v>
      </c>
      <c r="R514" s="149" t="str">
        <f>IFERROR(__xludf.DUMMYFUNCTION("""COMPUTED_VALUE"""),"Autopilot included")</f>
        <v>Autopilot included</v>
      </c>
      <c r="S514" s="149" t="str">
        <f>IFERROR(__xludf.DUMMYFUNCTION("""COMPUTED_VALUE"""),"Loan")</f>
        <v>Loan</v>
      </c>
      <c r="T514" s="145" t="str">
        <f>IFERROR(__xludf.DUMMYFUNCTION("""COMPUTED_VALUE"""),"Honda Civic")</f>
        <v>Honda Civic</v>
      </c>
      <c r="U514" s="145" t="str">
        <f>IFERROR(__xludf.DUMMYFUNCTION("""COMPUTED_VALUE"""),"Supercharger V3 support")</f>
        <v>Supercharger V3 support</v>
      </c>
      <c r="V514" s="145" t="str">
        <f>IFERROR(__xludf.DUMMYFUNCTION("""COMPUTED_VALUE"""),"Ventilated seats")</f>
        <v>Ventilated seats</v>
      </c>
      <c r="W514" s="145"/>
      <c r="X514" s="137" t="str">
        <f>IFERROR(__xludf.DUMMYFUNCTION("""COMPUTED_VALUE"""),"Excellent")</f>
        <v>Excellent</v>
      </c>
      <c r="Y514" s="138" t="str">
        <f>IFERROR(__xludf.DUMMYFUNCTION("""COMPUTED_VALUE"""),"Excellent")</f>
        <v>Excellent</v>
      </c>
      <c r="Z514" s="138" t="str">
        <f>IFERROR(__xludf.DUMMYFUNCTION("""COMPUTED_VALUE"""),"Excellent")</f>
        <v>Excellent</v>
      </c>
      <c r="AA514" s="138" t="str">
        <f>IFERROR(__xludf.DUMMYFUNCTION("""COMPUTED_VALUE"""),"Excellent")</f>
        <v>Excellent</v>
      </c>
      <c r="AB514" s="138" t="str">
        <f>IFERROR(__xludf.DUMMYFUNCTION("""COMPUTED_VALUE"""),"Excellent")</f>
        <v>Excellent</v>
      </c>
      <c r="AC514" s="139">
        <f>IFERROR(__xludf.DUMMYFUNCTION("""COMPUTED_VALUE"""),0.0)</f>
        <v>0</v>
      </c>
      <c r="AD514" s="139">
        <f>IFERROR(__xludf.DUMMYFUNCTION("""COMPUTED_VALUE"""),0.0)</f>
        <v>0</v>
      </c>
      <c r="AE514" s="139">
        <f>IFERROR(__xludf.DUMMYFUNCTION("""COMPUTED_VALUE"""),0.0)</f>
        <v>0</v>
      </c>
      <c r="AF514" s="140" t="str">
        <f>IFERROR(__xludf.DUMMYFUNCTION("""COMPUTED_VALUE"""),"No. I took delivery of the first car Tesla was able to deliver.")</f>
        <v>No. I took delivery of the first car Tesla was able to deliver.</v>
      </c>
      <c r="AG514" s="145"/>
      <c r="AH514" s="157">
        <f>IFERROR(__xludf.DUMMYFUNCTION("""COMPUTED_VALUE"""),44410.59299535879)</f>
        <v>44410.593</v>
      </c>
      <c r="AI514" s="138"/>
      <c r="AJ514" s="138"/>
      <c r="AK514" s="138"/>
      <c r="AL514" s="142"/>
    </row>
    <row r="515" ht="20.25" customHeight="1">
      <c r="A515" s="155" t="str">
        <f>IFERROR(__xludf.DUMMYFUNCTION("""COMPUTED_VALUE"""),"zeappletree3")</f>
        <v>zeappletree3</v>
      </c>
      <c r="B515" s="149" t="str">
        <f>IFERROR(__xludf.DUMMYFUNCTION("""COMPUTED_VALUE"""),"Atlanta")</f>
        <v>Atlanta</v>
      </c>
      <c r="C515" s="149" t="str">
        <f>IFERROR(__xludf.DUMMYFUNCTION("""COMPUTED_VALUE"""),"GA")</f>
        <v>GA</v>
      </c>
      <c r="D515" s="149" t="str">
        <f>IFERROR(__xludf.DUMMYFUNCTION("""COMPUTED_VALUE"""),"USA")</f>
        <v>USA</v>
      </c>
      <c r="E515" s="156">
        <f>IFERROR(__xludf.DUMMYFUNCTION("""COMPUTED_VALUE"""),44377.0)</f>
        <v>44377</v>
      </c>
      <c r="F515" s="129">
        <f>IFERROR(__xludf.DUMMYFUNCTION("""COMPUTED_VALUE"""),44421.0)</f>
        <v>44421</v>
      </c>
      <c r="G515" s="154" t="str">
        <f>IFERROR(__xludf.DUMMYFUNCTION("""COMPUTED_VALUE"""),"Manage order page (normal text)")</f>
        <v>Manage order page (normal text)</v>
      </c>
      <c r="H515" s="131"/>
      <c r="I515" s="144"/>
      <c r="J515" s="129">
        <f>IFERROR(__xludf.DUMMYFUNCTION("""COMPUTED_VALUE"""),44437.0)</f>
        <v>44437</v>
      </c>
      <c r="K515" s="133">
        <f>IFERROR(__xludf.DUMMYFUNCTION("""COMPUTED_VALUE"""),44.0)</f>
        <v>44</v>
      </c>
      <c r="L515" s="133">
        <f>IFERROR(__xludf.DUMMYFUNCTION("""COMPUTED_VALUE"""),16.0)</f>
        <v>16</v>
      </c>
      <c r="M515" s="133">
        <f>IFERROR(__xludf.DUMMYFUNCTION("""COMPUTED_VALUE"""),60.0)</f>
        <v>60</v>
      </c>
      <c r="N515" s="152" t="str">
        <f>IFERROR(__xludf.DUMMYFUNCTION("""COMPUTED_VALUE"""),"Model 3 LR AWD")</f>
        <v>Model 3 LR AWD</v>
      </c>
      <c r="O515" s="152" t="str">
        <f>IFERROR(__xludf.DUMMYFUNCTION("""COMPUTED_VALUE"""),"Pearl White Multi-Coat")</f>
        <v>Pearl White Multi-Coat</v>
      </c>
      <c r="P515" s="153" t="str">
        <f>IFERROR(__xludf.DUMMYFUNCTION("""COMPUTED_VALUE"""),"18 inch")</f>
        <v>18 inch</v>
      </c>
      <c r="Q515" s="152" t="str">
        <f>IFERROR(__xludf.DUMMYFUNCTION("""COMPUTED_VALUE"""),"Black and White")</f>
        <v>Black and White</v>
      </c>
      <c r="R515" s="149" t="str">
        <f>IFERROR(__xludf.DUMMYFUNCTION("""COMPUTED_VALUE"""),"Autopilot included")</f>
        <v>Autopilot included</v>
      </c>
      <c r="S515" s="149" t="str">
        <f>IFERROR(__xludf.DUMMYFUNCTION("""COMPUTED_VALUE"""),"Loan")</f>
        <v>Loan</v>
      </c>
      <c r="T515" s="145" t="str">
        <f>IFERROR(__xludf.DUMMYFUNCTION("""COMPUTED_VALUE"""),"BMW M3")</f>
        <v>BMW M3</v>
      </c>
      <c r="U515" s="145" t="str">
        <f>IFERROR(__xludf.DUMMYFUNCTION("""COMPUTED_VALUE"""),"Autopilot")</f>
        <v>Autopilot</v>
      </c>
      <c r="V515" s="145" t="str">
        <f>IFERROR(__xludf.DUMMYFUNCTION("""COMPUTED_VALUE"""),"Head-up display")</f>
        <v>Head-up display</v>
      </c>
      <c r="W515" s="145"/>
      <c r="X515" s="137"/>
      <c r="Y515" s="138"/>
      <c r="Z515" s="138"/>
      <c r="AA515" s="138"/>
      <c r="AB515" s="138"/>
      <c r="AC515" s="139"/>
      <c r="AD515" s="139"/>
      <c r="AE515" s="139"/>
      <c r="AF515" s="140"/>
      <c r="AG515" s="145"/>
      <c r="AH515" s="157">
        <f>IFERROR(__xludf.DUMMYFUNCTION("""COMPUTED_VALUE"""),44428.258337210646)</f>
        <v>44428.25834</v>
      </c>
      <c r="AI515" s="138"/>
      <c r="AJ515" s="138"/>
      <c r="AK515" s="138"/>
      <c r="AL515" s="142"/>
    </row>
    <row r="516" ht="20.25" customHeight="1">
      <c r="A516" s="155" t="str">
        <f>IFERROR(__xludf.DUMMYFUNCTION("""COMPUTED_VALUE"""),"Endeavors")</f>
        <v>Endeavors</v>
      </c>
      <c r="B516" s="149" t="str">
        <f>IFERROR(__xludf.DUMMYFUNCTION("""COMPUTED_VALUE"""),"Cleveland")</f>
        <v>Cleveland</v>
      </c>
      <c r="C516" s="149" t="str">
        <f>IFERROR(__xludf.DUMMYFUNCTION("""COMPUTED_VALUE"""),"OH")</f>
        <v>OH</v>
      </c>
      <c r="D516" s="149" t="str">
        <f>IFERROR(__xludf.DUMMYFUNCTION("""COMPUTED_VALUE"""),"USA")</f>
        <v>USA</v>
      </c>
      <c r="E516" s="156">
        <f>IFERROR(__xludf.DUMMYFUNCTION("""COMPUTED_VALUE"""),44376.0)</f>
        <v>44376</v>
      </c>
      <c r="F516" s="129">
        <f>IFERROR(__xludf.DUMMYFUNCTION("""COMPUTED_VALUE"""),44404.0)</f>
        <v>44404</v>
      </c>
      <c r="G516" s="154" t="str">
        <f>IFERROR(__xludf.DUMMYFUNCTION("""COMPUTED_VALUE"""),"Email")</f>
        <v>Email</v>
      </c>
      <c r="H516" s="131">
        <f>IFERROR(__xludf.DUMMYFUNCTION("""COMPUTED_VALUE"""),26525.0)</f>
        <v>26525</v>
      </c>
      <c r="I516" s="144"/>
      <c r="J516" s="129">
        <f>IFERROR(__xludf.DUMMYFUNCTION("""COMPUTED_VALUE"""),44415.0)</f>
        <v>44415</v>
      </c>
      <c r="K516" s="133">
        <f>IFERROR(__xludf.DUMMYFUNCTION("""COMPUTED_VALUE"""),28.0)</f>
        <v>28</v>
      </c>
      <c r="L516" s="133">
        <f>IFERROR(__xludf.DUMMYFUNCTION("""COMPUTED_VALUE"""),11.0)</f>
        <v>11</v>
      </c>
      <c r="M516" s="133">
        <f>IFERROR(__xludf.DUMMYFUNCTION("""COMPUTED_VALUE"""),39.0)</f>
        <v>39</v>
      </c>
      <c r="N516" s="152" t="str">
        <f>IFERROR(__xludf.DUMMYFUNCTION("""COMPUTED_VALUE"""),"Model 3 LR AWD")</f>
        <v>Model 3 LR AWD</v>
      </c>
      <c r="O516" s="152" t="str">
        <f>IFERROR(__xludf.DUMMYFUNCTION("""COMPUTED_VALUE"""),"Pearl White Multi-Coat")</f>
        <v>Pearl White Multi-Coat</v>
      </c>
      <c r="P516" s="153" t="str">
        <f>IFERROR(__xludf.DUMMYFUNCTION("""COMPUTED_VALUE"""),"18 inch")</f>
        <v>18 inch</v>
      </c>
      <c r="Q516" s="152" t="str">
        <f>IFERROR(__xludf.DUMMYFUNCTION("""COMPUTED_VALUE"""),"Black and White")</f>
        <v>Black and White</v>
      </c>
      <c r="R516" s="149" t="str">
        <f>IFERROR(__xludf.DUMMYFUNCTION("""COMPUTED_VALUE"""),"Autopilot included")</f>
        <v>Autopilot included</v>
      </c>
      <c r="S516" s="149" t="str">
        <f>IFERROR(__xludf.DUMMYFUNCTION("""COMPUTED_VALUE"""),"Loan")</f>
        <v>Loan</v>
      </c>
      <c r="T516" s="145" t="str">
        <f>IFERROR(__xludf.DUMMYFUNCTION("""COMPUTED_VALUE"""),"Ford Fusion")</f>
        <v>Ford Fusion</v>
      </c>
      <c r="U516" s="145" t="str">
        <f>IFERROR(__xludf.DUMMYFUNCTION("""COMPUTED_VALUE"""),"Electric!")</f>
        <v>Electric!</v>
      </c>
      <c r="V516" s="145" t="str">
        <f>IFERROR(__xludf.DUMMYFUNCTION("""COMPUTED_VALUE"""),"Ventilated seats")</f>
        <v>Ventilated seats</v>
      </c>
      <c r="W516" s="145"/>
      <c r="X516" s="137"/>
      <c r="Y516" s="138"/>
      <c r="Z516" s="138"/>
      <c r="AA516" s="138"/>
      <c r="AB516" s="138"/>
      <c r="AC516" s="139"/>
      <c r="AD516" s="139"/>
      <c r="AE516" s="139"/>
      <c r="AF516" s="140"/>
      <c r="AG516" s="145"/>
      <c r="AH516" s="157">
        <f>IFERROR(__xludf.DUMMYFUNCTION("""COMPUTED_VALUE"""),44413.58713415509)</f>
        <v>44413.58713</v>
      </c>
      <c r="AI516" s="138"/>
      <c r="AJ516" s="138"/>
      <c r="AK516" s="138"/>
      <c r="AL516" s="142"/>
    </row>
    <row r="517" ht="20.25" customHeight="1">
      <c r="A517" s="155" t="str">
        <f>IFERROR(__xludf.DUMMYFUNCTION("""COMPUTED_VALUE"""),"greenspeedmachine")</f>
        <v>greenspeedmachine</v>
      </c>
      <c r="B517" s="149" t="str">
        <f>IFERROR(__xludf.DUMMYFUNCTION("""COMPUTED_VALUE"""),"NYC")</f>
        <v>NYC</v>
      </c>
      <c r="C517" s="149" t="str">
        <f>IFERROR(__xludf.DUMMYFUNCTION("""COMPUTED_VALUE"""),"NY")</f>
        <v>NY</v>
      </c>
      <c r="D517" s="149" t="str">
        <f>IFERROR(__xludf.DUMMYFUNCTION("""COMPUTED_VALUE"""),"USA")</f>
        <v>USA</v>
      </c>
      <c r="E517" s="156">
        <f>IFERROR(__xludf.DUMMYFUNCTION("""COMPUTED_VALUE"""),44376.0)</f>
        <v>44376</v>
      </c>
      <c r="F517" s="129">
        <f>IFERROR(__xludf.DUMMYFUNCTION("""COMPUTED_VALUE"""),44404.0)</f>
        <v>44404</v>
      </c>
      <c r="G517" s="154" t="str">
        <f>IFERROR(__xludf.DUMMYFUNCTION("""COMPUTED_VALUE"""),"Phone Call - Another customer canceled their order")</f>
        <v>Phone Call - Another customer canceled their order</v>
      </c>
      <c r="H517" s="131">
        <f>IFERROR(__xludf.DUMMYFUNCTION("""COMPUTED_VALUE"""),19455.0)</f>
        <v>19455</v>
      </c>
      <c r="I517" s="144"/>
      <c r="J517" s="129">
        <f>IFERROR(__xludf.DUMMYFUNCTION("""COMPUTED_VALUE"""),44405.0)</f>
        <v>44405</v>
      </c>
      <c r="K517" s="133">
        <f>IFERROR(__xludf.DUMMYFUNCTION("""COMPUTED_VALUE"""),28.0)</f>
        <v>28</v>
      </c>
      <c r="L517" s="133">
        <f>IFERROR(__xludf.DUMMYFUNCTION("""COMPUTED_VALUE"""),1.0)</f>
        <v>1</v>
      </c>
      <c r="M517" s="133">
        <f>IFERROR(__xludf.DUMMYFUNCTION("""COMPUTED_VALUE"""),29.0)</f>
        <v>29</v>
      </c>
      <c r="N517" s="152" t="str">
        <f>IFERROR(__xludf.DUMMYFUNCTION("""COMPUTED_VALUE"""),"Model 3 LR AWD")</f>
        <v>Model 3 LR AWD</v>
      </c>
      <c r="O517" s="152" t="str">
        <f>IFERROR(__xludf.DUMMYFUNCTION("""COMPUTED_VALUE"""),"Solid Black")</f>
        <v>Solid Black</v>
      </c>
      <c r="P517" s="153" t="str">
        <f>IFERROR(__xludf.DUMMYFUNCTION("""COMPUTED_VALUE"""),"18 inch")</f>
        <v>18 inch</v>
      </c>
      <c r="Q517" s="152" t="str">
        <f>IFERROR(__xludf.DUMMYFUNCTION("""COMPUTED_VALUE"""),"All Black")</f>
        <v>All Black</v>
      </c>
      <c r="R517" s="149" t="str">
        <f>IFERROR(__xludf.DUMMYFUNCTION("""COMPUTED_VALUE"""),"Autopilot included")</f>
        <v>Autopilot included</v>
      </c>
      <c r="S517" s="149" t="str">
        <f>IFERROR(__xludf.DUMMYFUNCTION("""COMPUTED_VALUE"""),"Loan")</f>
        <v>Loan</v>
      </c>
      <c r="T517" s="145"/>
      <c r="U517" s="145" t="str">
        <f>IFERROR(__xludf.DUMMYFUNCTION("""COMPUTED_VALUE"""),"Autopilot")</f>
        <v>Autopilot</v>
      </c>
      <c r="V517" s="145" t="str">
        <f>IFERROR(__xludf.DUMMYFUNCTION("""COMPUTED_VALUE"""),"Apple CarPlay / Android Auto / SiriusXM Radio")</f>
        <v>Apple CarPlay / Android Auto / SiriusXM Radio</v>
      </c>
      <c r="W517" s="145"/>
      <c r="X517" s="137"/>
      <c r="Y517" s="138"/>
      <c r="Z517" s="138"/>
      <c r="AA517" s="138"/>
      <c r="AB517" s="138"/>
      <c r="AC517" s="139"/>
      <c r="AD517" s="139"/>
      <c r="AE517" s="139"/>
      <c r="AF517" s="140"/>
      <c r="AG517" s="145"/>
      <c r="AH517" s="157">
        <f>IFERROR(__xludf.DUMMYFUNCTION("""COMPUTED_VALUE"""),44404.461473668984)</f>
        <v>44404.46147</v>
      </c>
      <c r="AI517" s="138"/>
      <c r="AJ517" s="138"/>
      <c r="AK517" s="138"/>
      <c r="AL517" s="142"/>
    </row>
    <row r="518" ht="20.25" customHeight="1">
      <c r="A518" s="155" t="str">
        <f>IFERROR(__xludf.DUMMYFUNCTION("""COMPUTED_VALUE"""),"IntrepidYorkshireTerrier")</f>
        <v>IntrepidYorkshireTerrier</v>
      </c>
      <c r="B518" s="149"/>
      <c r="C518" s="149" t="str">
        <f>IFERROR(__xludf.DUMMYFUNCTION("""COMPUTED_VALUE"""),"WA")</f>
        <v>WA</v>
      </c>
      <c r="D518" s="149" t="str">
        <f>IFERROR(__xludf.DUMMYFUNCTION("""COMPUTED_VALUE"""),"USA")</f>
        <v>USA</v>
      </c>
      <c r="E518" s="156">
        <f>IFERROR(__xludf.DUMMYFUNCTION("""COMPUTED_VALUE"""),44376.0)</f>
        <v>44376</v>
      </c>
      <c r="F518" s="129">
        <f>IFERROR(__xludf.DUMMYFUNCTION("""COMPUTED_VALUE"""),44427.0)</f>
        <v>44427</v>
      </c>
      <c r="G518" s="154" t="str">
        <f>IFERROR(__xludf.DUMMYFUNCTION("""COMPUTED_VALUE"""),"Manage order page (normal text)")</f>
        <v>Manage order page (normal text)</v>
      </c>
      <c r="H518" s="131"/>
      <c r="I518" s="144"/>
      <c r="J518" s="129">
        <f>IFERROR(__xludf.DUMMYFUNCTION("""COMPUTED_VALUE"""),44433.0)</f>
        <v>44433</v>
      </c>
      <c r="K518" s="133">
        <f>IFERROR(__xludf.DUMMYFUNCTION("""COMPUTED_VALUE"""),51.0)</f>
        <v>51</v>
      </c>
      <c r="L518" s="133">
        <f>IFERROR(__xludf.DUMMYFUNCTION("""COMPUTED_VALUE"""),6.0)</f>
        <v>6</v>
      </c>
      <c r="M518" s="133">
        <f>IFERROR(__xludf.DUMMYFUNCTION("""COMPUTED_VALUE"""),57.0)</f>
        <v>57</v>
      </c>
      <c r="N518" s="152" t="str">
        <f>IFERROR(__xludf.DUMMYFUNCTION("""COMPUTED_VALUE"""),"Model 3 LR AWD")</f>
        <v>Model 3 LR AWD</v>
      </c>
      <c r="O518" s="152" t="str">
        <f>IFERROR(__xludf.DUMMYFUNCTION("""COMPUTED_VALUE"""),"Pearl White Multi-Coat")</f>
        <v>Pearl White Multi-Coat</v>
      </c>
      <c r="P518" s="153" t="str">
        <f>IFERROR(__xludf.DUMMYFUNCTION("""COMPUTED_VALUE"""),"18 inch")</f>
        <v>18 inch</v>
      </c>
      <c r="Q518" s="152" t="str">
        <f>IFERROR(__xludf.DUMMYFUNCTION("""COMPUTED_VALUE"""),"All Black")</f>
        <v>All Black</v>
      </c>
      <c r="R518" s="149" t="str">
        <f>IFERROR(__xludf.DUMMYFUNCTION("""COMPUTED_VALUE"""),"Autopilot included")</f>
        <v>Autopilot included</v>
      </c>
      <c r="S518" s="149" t="str">
        <f>IFERROR(__xludf.DUMMYFUNCTION("""COMPUTED_VALUE"""),"Loan")</f>
        <v>Loan</v>
      </c>
      <c r="T518" s="145" t="str">
        <f>IFERROR(__xludf.DUMMYFUNCTION("""COMPUTED_VALUE"""),"Model 3 will be my first car!")</f>
        <v>Model 3 will be my first car!</v>
      </c>
      <c r="U518" s="145"/>
      <c r="V518" s="145"/>
      <c r="W518" s="145"/>
      <c r="X518" s="137" t="str">
        <f>IFERROR(__xludf.DUMMYFUNCTION("""COMPUTED_VALUE"""),"Excellent")</f>
        <v>Excellent</v>
      </c>
      <c r="Y518" s="138" t="str">
        <f>IFERROR(__xludf.DUMMYFUNCTION("""COMPUTED_VALUE"""),"Good")</f>
        <v>Good</v>
      </c>
      <c r="Z518" s="138" t="str">
        <f>IFERROR(__xludf.DUMMYFUNCTION("""COMPUTED_VALUE"""),"Very Good")</f>
        <v>Very Good</v>
      </c>
      <c r="AA518" s="138" t="str">
        <f>IFERROR(__xludf.DUMMYFUNCTION("""COMPUTED_VALUE"""),"Good")</f>
        <v>Good</v>
      </c>
      <c r="AB518" s="138" t="str">
        <f>IFERROR(__xludf.DUMMYFUNCTION("""COMPUTED_VALUE"""),"Good")</f>
        <v>Good</v>
      </c>
      <c r="AC518" s="139">
        <f>IFERROR(__xludf.DUMMYFUNCTION("""COMPUTED_VALUE"""),4.0)</f>
        <v>4</v>
      </c>
      <c r="AD518" s="139">
        <f>IFERROR(__xludf.DUMMYFUNCTION("""COMPUTED_VALUE"""),1.0)</f>
        <v>1</v>
      </c>
      <c r="AE518" s="139"/>
      <c r="AF518" s="140" t="str">
        <f>IFERROR(__xludf.DUMMYFUNCTION("""COMPUTED_VALUE"""),"No. I took delivery of the first car Tesla was able to deliver.")</f>
        <v>No. I took delivery of the first car Tesla was able to deliver.</v>
      </c>
      <c r="AG518" s="145"/>
      <c r="AH518" s="157">
        <f>IFERROR(__xludf.DUMMYFUNCTION("""COMPUTED_VALUE"""),44441.34869636574)</f>
        <v>44441.3487</v>
      </c>
      <c r="AI518" s="138"/>
      <c r="AJ518" s="138"/>
      <c r="AK518" s="138"/>
      <c r="AL518" s="142"/>
    </row>
    <row r="519" ht="20.25" customHeight="1">
      <c r="A519" s="155" t="str">
        <f>IFERROR(__xludf.DUMMYFUNCTION("""COMPUTED_VALUE"""),"jrmt23")</f>
        <v>jrmt23</v>
      </c>
      <c r="B519" s="149" t="str">
        <f>IFERROR(__xludf.DUMMYFUNCTION("""COMPUTED_VALUE"""),"Houston")</f>
        <v>Houston</v>
      </c>
      <c r="C519" s="149" t="str">
        <f>IFERROR(__xludf.DUMMYFUNCTION("""COMPUTED_VALUE"""),"TX")</f>
        <v>TX</v>
      </c>
      <c r="D519" s="149" t="str">
        <f>IFERROR(__xludf.DUMMYFUNCTION("""COMPUTED_VALUE"""),"USA")</f>
        <v>USA</v>
      </c>
      <c r="E519" s="156">
        <f>IFERROR(__xludf.DUMMYFUNCTION("""COMPUTED_VALUE"""),44376.0)</f>
        <v>44376</v>
      </c>
      <c r="F519" s="129">
        <f>IFERROR(__xludf.DUMMYFUNCTION("""COMPUTED_VALUE"""),44426.0)</f>
        <v>44426</v>
      </c>
      <c r="G519" s="154" t="str">
        <f>IFERROR(__xludf.DUMMYFUNCTION("""COMPUTED_VALUE"""),"Manage order page (normal text)")</f>
        <v>Manage order page (normal text)</v>
      </c>
      <c r="H519" s="131"/>
      <c r="I519" s="144" t="str">
        <f>IFERROR(__xludf.DUMMYFUNCTION("""COMPUTED_VALUE"""),"08/21")</f>
        <v>08/21</v>
      </c>
      <c r="J519" s="129">
        <f>IFERROR(__xludf.DUMMYFUNCTION("""COMPUTED_VALUE"""),44440.0)</f>
        <v>44440</v>
      </c>
      <c r="K519" s="133">
        <f>IFERROR(__xludf.DUMMYFUNCTION("""COMPUTED_VALUE"""),50.0)</f>
        <v>50</v>
      </c>
      <c r="L519" s="133">
        <f>IFERROR(__xludf.DUMMYFUNCTION("""COMPUTED_VALUE"""),14.0)</f>
        <v>14</v>
      </c>
      <c r="M519" s="133">
        <f>IFERROR(__xludf.DUMMYFUNCTION("""COMPUTED_VALUE"""),64.0)</f>
        <v>64</v>
      </c>
      <c r="N519" s="152" t="str">
        <f>IFERROR(__xludf.DUMMYFUNCTION("""COMPUTED_VALUE"""),"Model 3 LR AWD")</f>
        <v>Model 3 LR AWD</v>
      </c>
      <c r="O519" s="152" t="str">
        <f>IFERROR(__xludf.DUMMYFUNCTION("""COMPUTED_VALUE"""),"Deep Blue Metallic")</f>
        <v>Deep Blue Metallic</v>
      </c>
      <c r="P519" s="153" t="str">
        <f>IFERROR(__xludf.DUMMYFUNCTION("""COMPUTED_VALUE"""),"18 inch")</f>
        <v>18 inch</v>
      </c>
      <c r="Q519" s="152" t="str">
        <f>IFERROR(__xludf.DUMMYFUNCTION("""COMPUTED_VALUE"""),"All Black")</f>
        <v>All Black</v>
      </c>
      <c r="R519" s="149" t="str">
        <f>IFERROR(__xludf.DUMMYFUNCTION("""COMPUTED_VALUE"""),"Autopilot included")</f>
        <v>Autopilot included</v>
      </c>
      <c r="S519" s="149" t="str">
        <f>IFERROR(__xludf.DUMMYFUNCTION("""COMPUTED_VALUE"""),"Loan")</f>
        <v>Loan</v>
      </c>
      <c r="T519" s="145" t="str">
        <f>IFERROR(__xludf.DUMMYFUNCTION("""COMPUTED_VALUE"""),"Volkswagen Golf GTI")</f>
        <v>Volkswagen Golf GTI</v>
      </c>
      <c r="U519" s="145" t="str">
        <f>IFERROR(__xludf.DUMMYFUNCTION("""COMPUTED_VALUE"""),"Electric!")</f>
        <v>Electric!</v>
      </c>
      <c r="V519" s="145" t="str">
        <f>IFERROR(__xludf.DUMMYFUNCTION("""COMPUTED_VALUE"""),"Apple CarPlay / Android Auto / SiriusXM Radio")</f>
        <v>Apple CarPlay / Android Auto / SiriusXM Radio</v>
      </c>
      <c r="W519" s="145"/>
      <c r="X519" s="137" t="str">
        <f>IFERROR(__xludf.DUMMYFUNCTION("""COMPUTED_VALUE"""),"Excellent")</f>
        <v>Excellent</v>
      </c>
      <c r="Y519" s="138" t="str">
        <f>IFERROR(__xludf.DUMMYFUNCTION("""COMPUTED_VALUE"""),"Very Good")</f>
        <v>Very Good</v>
      </c>
      <c r="Z519" s="138" t="str">
        <f>IFERROR(__xludf.DUMMYFUNCTION("""COMPUTED_VALUE"""),"Very Good")</f>
        <v>Very Good</v>
      </c>
      <c r="AA519" s="138" t="str">
        <f>IFERROR(__xludf.DUMMYFUNCTION("""COMPUTED_VALUE"""),"Good")</f>
        <v>Good</v>
      </c>
      <c r="AB519" s="138" t="str">
        <f>IFERROR(__xludf.DUMMYFUNCTION("""COMPUTED_VALUE"""),"Very Good")</f>
        <v>Very Good</v>
      </c>
      <c r="AC519" s="139">
        <f>IFERROR(__xludf.DUMMYFUNCTION("""COMPUTED_VALUE"""),0.0)</f>
        <v>0</v>
      </c>
      <c r="AD519" s="139">
        <f>IFERROR(__xludf.DUMMYFUNCTION("""COMPUTED_VALUE"""),0.0)</f>
        <v>0</v>
      </c>
      <c r="AE519" s="139">
        <f>IFERROR(__xludf.DUMMYFUNCTION("""COMPUTED_VALUE"""),0.0)</f>
        <v>0</v>
      </c>
      <c r="AF519" s="140" t="str">
        <f>IFERROR(__xludf.DUMMYFUNCTION("""COMPUTED_VALUE"""),"No. I took delivery of the first car Tesla was able to deliver.")</f>
        <v>No. I took delivery of the first car Tesla was able to deliver.</v>
      </c>
      <c r="AG519" s="145"/>
      <c r="AH519" s="157">
        <f>IFERROR(__xludf.DUMMYFUNCTION("""COMPUTED_VALUE"""),44440.77397541667)</f>
        <v>44440.77398</v>
      </c>
      <c r="AI519" s="138"/>
      <c r="AJ519" s="138"/>
      <c r="AK519" s="138"/>
      <c r="AL519" s="142"/>
    </row>
    <row r="520" ht="20.25" customHeight="1">
      <c r="A520" s="155" t="str">
        <f>IFERROR(__xludf.DUMMYFUNCTION("""COMPUTED_VALUE"""),"kon297")</f>
        <v>kon297</v>
      </c>
      <c r="B520" s="149" t="str">
        <f>IFERROR(__xludf.DUMMYFUNCTION("""COMPUTED_VALUE"""),"Philadelphia")</f>
        <v>Philadelphia</v>
      </c>
      <c r="C520" s="149" t="str">
        <f>IFERROR(__xludf.DUMMYFUNCTION("""COMPUTED_VALUE"""),"PA")</f>
        <v>PA</v>
      </c>
      <c r="D520" s="149" t="str">
        <f>IFERROR(__xludf.DUMMYFUNCTION("""COMPUTED_VALUE"""),"USA")</f>
        <v>USA</v>
      </c>
      <c r="E520" s="156">
        <f>IFERROR(__xludf.DUMMYFUNCTION("""COMPUTED_VALUE"""),44376.0)</f>
        <v>44376</v>
      </c>
      <c r="F520" s="129">
        <f>IFERROR(__xludf.DUMMYFUNCTION("""COMPUTED_VALUE"""),44419.0)</f>
        <v>44419</v>
      </c>
      <c r="G520" s="154" t="str">
        <f>IFERROR(__xludf.DUMMYFUNCTION("""COMPUTED_VALUE"""),"Manage order page (normal text)")</f>
        <v>Manage order page (normal text)</v>
      </c>
      <c r="H520" s="131">
        <f>IFERROR(__xludf.DUMMYFUNCTION("""COMPUTED_VALUE"""),33272.0)</f>
        <v>33272</v>
      </c>
      <c r="I520" s="144"/>
      <c r="J520" s="129">
        <f>IFERROR(__xludf.DUMMYFUNCTION("""COMPUTED_VALUE"""),44433.0)</f>
        <v>44433</v>
      </c>
      <c r="K520" s="133">
        <f>IFERROR(__xludf.DUMMYFUNCTION("""COMPUTED_VALUE"""),43.0)</f>
        <v>43</v>
      </c>
      <c r="L520" s="133">
        <f>IFERROR(__xludf.DUMMYFUNCTION("""COMPUTED_VALUE"""),14.0)</f>
        <v>14</v>
      </c>
      <c r="M520" s="133">
        <f>IFERROR(__xludf.DUMMYFUNCTION("""COMPUTED_VALUE"""),57.0)</f>
        <v>57</v>
      </c>
      <c r="N520" s="152" t="str">
        <f>IFERROR(__xludf.DUMMYFUNCTION("""COMPUTED_VALUE"""),"Model 3 LR AWD")</f>
        <v>Model 3 LR AWD</v>
      </c>
      <c r="O520" s="152" t="str">
        <f>IFERROR(__xludf.DUMMYFUNCTION("""COMPUTED_VALUE"""),"Midnight Silver Metallic")</f>
        <v>Midnight Silver Metallic</v>
      </c>
      <c r="P520" s="153" t="str">
        <f>IFERROR(__xludf.DUMMYFUNCTION("""COMPUTED_VALUE"""),"18 inch")</f>
        <v>18 inch</v>
      </c>
      <c r="Q520" s="152" t="str">
        <f>IFERROR(__xludf.DUMMYFUNCTION("""COMPUTED_VALUE"""),"All Black")</f>
        <v>All Black</v>
      </c>
      <c r="R520" s="149" t="str">
        <f>IFERROR(__xludf.DUMMYFUNCTION("""COMPUTED_VALUE"""),"Autopilot included")</f>
        <v>Autopilot included</v>
      </c>
      <c r="S520" s="149" t="str">
        <f>IFERROR(__xludf.DUMMYFUNCTION("""COMPUTED_VALUE"""),"Loan")</f>
        <v>Loan</v>
      </c>
      <c r="T520" s="145" t="str">
        <f>IFERROR(__xludf.DUMMYFUNCTION("""COMPUTED_VALUE"""),"Lexus IS350")</f>
        <v>Lexus IS350</v>
      </c>
      <c r="U520" s="145" t="str">
        <f>IFERROR(__xludf.DUMMYFUNCTION("""COMPUTED_VALUE"""),"Electric!")</f>
        <v>Electric!</v>
      </c>
      <c r="V520" s="145" t="str">
        <f>IFERROR(__xludf.DUMMYFUNCTION("""COMPUTED_VALUE"""),"Head-up display")</f>
        <v>Head-up display</v>
      </c>
      <c r="W520" s="145"/>
      <c r="X520" s="137"/>
      <c r="Y520" s="138"/>
      <c r="Z520" s="138"/>
      <c r="AA520" s="138"/>
      <c r="AB520" s="138"/>
      <c r="AC520" s="139"/>
      <c r="AD520" s="139"/>
      <c r="AE520" s="139"/>
      <c r="AF520" s="140"/>
      <c r="AG520" s="145"/>
      <c r="AH520" s="157">
        <f>IFERROR(__xludf.DUMMYFUNCTION("""COMPUTED_VALUE"""),44424.44739200231)</f>
        <v>44424.44739</v>
      </c>
      <c r="AI520" s="138"/>
      <c r="AJ520" s="138"/>
      <c r="AK520" s="138"/>
      <c r="AL520" s="142"/>
    </row>
    <row r="521" ht="20.25" customHeight="1">
      <c r="A521" s="155" t="str">
        <f>IFERROR(__xludf.DUMMYFUNCTION("""COMPUTED_VALUE"""),"M1Chef")</f>
        <v>M1Chef</v>
      </c>
      <c r="B521" s="149" t="str">
        <f>IFERROR(__xludf.DUMMYFUNCTION("""COMPUTED_VALUE"""),"Richmond")</f>
        <v>Richmond</v>
      </c>
      <c r="C521" s="149" t="str">
        <f>IFERROR(__xludf.DUMMYFUNCTION("""COMPUTED_VALUE"""),"VA")</f>
        <v>VA</v>
      </c>
      <c r="D521" s="149" t="str">
        <f>IFERROR(__xludf.DUMMYFUNCTION("""COMPUTED_VALUE"""),"USA")</f>
        <v>USA</v>
      </c>
      <c r="E521" s="156">
        <f>IFERROR(__xludf.DUMMYFUNCTION("""COMPUTED_VALUE"""),44376.0)</f>
        <v>44376</v>
      </c>
      <c r="F521" s="129">
        <f>IFERROR(__xludf.DUMMYFUNCTION("""COMPUTED_VALUE"""),44420.0)</f>
        <v>44420</v>
      </c>
      <c r="G521" s="154" t="str">
        <f>IFERROR(__xludf.DUMMYFUNCTION("""COMPUTED_VALUE"""),"Manage order page (normal text)")</f>
        <v>Manage order page (normal text)</v>
      </c>
      <c r="H521" s="131"/>
      <c r="I521" s="144" t="str">
        <f>IFERROR(__xludf.DUMMYFUNCTION("""COMPUTED_VALUE"""),"08/21")</f>
        <v>08/21</v>
      </c>
      <c r="J521" s="129">
        <f>IFERROR(__xludf.DUMMYFUNCTION("""COMPUTED_VALUE"""),44434.0)</f>
        <v>44434</v>
      </c>
      <c r="K521" s="133">
        <f>IFERROR(__xludf.DUMMYFUNCTION("""COMPUTED_VALUE"""),44.0)</f>
        <v>44</v>
      </c>
      <c r="L521" s="133">
        <f>IFERROR(__xludf.DUMMYFUNCTION("""COMPUTED_VALUE"""),14.0)</f>
        <v>14</v>
      </c>
      <c r="M521" s="133">
        <f>IFERROR(__xludf.DUMMYFUNCTION("""COMPUTED_VALUE"""),58.0)</f>
        <v>58</v>
      </c>
      <c r="N521" s="152" t="str">
        <f>IFERROR(__xludf.DUMMYFUNCTION("""COMPUTED_VALUE"""),"Model 3 LR AWD")</f>
        <v>Model 3 LR AWD</v>
      </c>
      <c r="O521" s="152" t="str">
        <f>IFERROR(__xludf.DUMMYFUNCTION("""COMPUTED_VALUE"""),"Midnight Silver Metallic")</f>
        <v>Midnight Silver Metallic</v>
      </c>
      <c r="P521" s="153" t="str">
        <f>IFERROR(__xludf.DUMMYFUNCTION("""COMPUTED_VALUE"""),"18 inch")</f>
        <v>18 inch</v>
      </c>
      <c r="Q521" s="152" t="str">
        <f>IFERROR(__xludf.DUMMYFUNCTION("""COMPUTED_VALUE"""),"All Black")</f>
        <v>All Black</v>
      </c>
      <c r="R521" s="149" t="str">
        <f>IFERROR(__xludf.DUMMYFUNCTION("""COMPUTED_VALUE"""),"Full Self-Driving")</f>
        <v>Full Self-Driving</v>
      </c>
      <c r="S521" s="149" t="str">
        <f>IFERROR(__xludf.DUMMYFUNCTION("""COMPUTED_VALUE"""),"Loan")</f>
        <v>Loan</v>
      </c>
      <c r="T521" s="145" t="str">
        <f>IFERROR(__xludf.DUMMYFUNCTION("""COMPUTED_VALUE"""),"Audi a4")</f>
        <v>Audi a4</v>
      </c>
      <c r="U521" s="145"/>
      <c r="V521" s="145" t="str">
        <f>IFERROR(__xludf.DUMMYFUNCTION("""COMPUTED_VALUE"""),"HUD, BSI on mirrors")</f>
        <v>HUD, BSI on mirrors</v>
      </c>
      <c r="W521" s="145"/>
      <c r="X521" s="137" t="str">
        <f>IFERROR(__xludf.DUMMYFUNCTION("""COMPUTED_VALUE"""),"Very Good")</f>
        <v>Very Good</v>
      </c>
      <c r="Y521" s="138" t="str">
        <f>IFERROR(__xludf.DUMMYFUNCTION("""COMPUTED_VALUE"""),"Excellent")</f>
        <v>Excellent</v>
      </c>
      <c r="Z521" s="138" t="str">
        <f>IFERROR(__xludf.DUMMYFUNCTION("""COMPUTED_VALUE"""),"Excellent")</f>
        <v>Excellent</v>
      </c>
      <c r="AA521" s="138" t="str">
        <f>IFERROR(__xludf.DUMMYFUNCTION("""COMPUTED_VALUE"""),"Very Good")</f>
        <v>Very Good</v>
      </c>
      <c r="AB521" s="138" t="str">
        <f>IFERROR(__xludf.DUMMYFUNCTION("""COMPUTED_VALUE"""),"Very Good")</f>
        <v>Very Good</v>
      </c>
      <c r="AC521" s="139">
        <f>IFERROR(__xludf.DUMMYFUNCTION("""COMPUTED_VALUE"""),1.0)</f>
        <v>1</v>
      </c>
      <c r="AD521" s="139">
        <f>IFERROR(__xludf.DUMMYFUNCTION("""COMPUTED_VALUE"""),0.0)</f>
        <v>0</v>
      </c>
      <c r="AE521" s="139"/>
      <c r="AF521" s="140" t="str">
        <f>IFERROR(__xludf.DUMMYFUNCTION("""COMPUTED_VALUE"""),"No. I took delivery of the first car Tesla was able to deliver.")</f>
        <v>No. I took delivery of the first car Tesla was able to deliver.</v>
      </c>
      <c r="AG521" s="145"/>
      <c r="AH521" s="157">
        <f>IFERROR(__xludf.DUMMYFUNCTION("""COMPUTED_VALUE"""),44438.87732619213)</f>
        <v>44438.87733</v>
      </c>
      <c r="AI521" s="138"/>
      <c r="AJ521" s="138"/>
      <c r="AK521" s="138"/>
      <c r="AL521" s="142"/>
    </row>
    <row r="522" ht="20.25" customHeight="1">
      <c r="A522" s="155" t="str">
        <f>IFERROR(__xludf.DUMMYFUNCTION("""COMPUTED_VALUE"""),"martiuk")</f>
        <v>martiuk</v>
      </c>
      <c r="B522" s="149" t="str">
        <f>IFERROR(__xludf.DUMMYFUNCTION("""COMPUTED_VALUE"""),"Stafford")</f>
        <v>Stafford</v>
      </c>
      <c r="C522" s="149"/>
      <c r="D522" s="149" t="str">
        <f>IFERROR(__xludf.DUMMYFUNCTION("""COMPUTED_VALUE"""),"United Kingdom")</f>
        <v>United Kingdom</v>
      </c>
      <c r="E522" s="156">
        <f>IFERROR(__xludf.DUMMYFUNCTION("""COMPUTED_VALUE"""),44376.0)</f>
        <v>44376</v>
      </c>
      <c r="F522" s="129">
        <f>IFERROR(__xludf.DUMMYFUNCTION("""COMPUTED_VALUE"""),44411.0)</f>
        <v>44411</v>
      </c>
      <c r="G522" s="154" t="str">
        <f>IFERROR(__xludf.DUMMYFUNCTION("""COMPUTED_VALUE"""),"Source code")</f>
        <v>Source code</v>
      </c>
      <c r="H522" s="131">
        <f>IFERROR(__xludf.DUMMYFUNCTION("""COMPUTED_VALUE"""),311785.0)</f>
        <v>311785</v>
      </c>
      <c r="I522" s="144"/>
      <c r="J522" s="129">
        <f>IFERROR(__xludf.DUMMYFUNCTION("""COMPUTED_VALUE"""),44442.0)</f>
        <v>44442</v>
      </c>
      <c r="K522" s="133">
        <f>IFERROR(__xludf.DUMMYFUNCTION("""COMPUTED_VALUE"""),35.0)</f>
        <v>35</v>
      </c>
      <c r="L522" s="133">
        <f>IFERROR(__xludf.DUMMYFUNCTION("""COMPUTED_VALUE"""),31.0)</f>
        <v>31</v>
      </c>
      <c r="M522" s="133">
        <f>IFERROR(__xludf.DUMMYFUNCTION("""COMPUTED_VALUE"""),66.0)</f>
        <v>66</v>
      </c>
      <c r="N522" s="152" t="str">
        <f>IFERROR(__xludf.DUMMYFUNCTION("""COMPUTED_VALUE"""),"Model 3 LR AWD")</f>
        <v>Model 3 LR AWD</v>
      </c>
      <c r="O522" s="152" t="str">
        <f>IFERROR(__xludf.DUMMYFUNCTION("""COMPUTED_VALUE"""),"Deep Blue Metallic")</f>
        <v>Deep Blue Metallic</v>
      </c>
      <c r="P522" s="153" t="str">
        <f>IFERROR(__xludf.DUMMYFUNCTION("""COMPUTED_VALUE"""),"18 inch")</f>
        <v>18 inch</v>
      </c>
      <c r="Q522" s="152" t="str">
        <f>IFERROR(__xludf.DUMMYFUNCTION("""COMPUTED_VALUE"""),"All Black")</f>
        <v>All Black</v>
      </c>
      <c r="R522" s="149" t="str">
        <f>IFERROR(__xludf.DUMMYFUNCTION("""COMPUTED_VALUE"""),"Full Self-Driving")</f>
        <v>Full Self-Driving</v>
      </c>
      <c r="S522" s="149" t="str">
        <f>IFERROR(__xludf.DUMMYFUNCTION("""COMPUTED_VALUE"""),"Loan")</f>
        <v>Loan</v>
      </c>
      <c r="T522" s="145" t="str">
        <f>IFERROR(__xludf.DUMMYFUNCTION("""COMPUTED_VALUE"""),"Suzuki Jimny SZ5")</f>
        <v>Suzuki Jimny SZ5</v>
      </c>
      <c r="U522" s="145" t="str">
        <f>IFERROR(__xludf.DUMMYFUNCTION("""COMPUTED_VALUE"""),"Autopilot")</f>
        <v>Autopilot</v>
      </c>
      <c r="V522" s="145" t="str">
        <f>IFERROR(__xludf.DUMMYFUNCTION("""COMPUTED_VALUE"""),"Head-up display")</f>
        <v>Head-up display</v>
      </c>
      <c r="W522" s="145"/>
      <c r="X522" s="137"/>
      <c r="Y522" s="138"/>
      <c r="Z522" s="138"/>
      <c r="AA522" s="138"/>
      <c r="AB522" s="138"/>
      <c r="AC522" s="139"/>
      <c r="AD522" s="139"/>
      <c r="AE522" s="139"/>
      <c r="AF522" s="140"/>
      <c r="AG522" s="145"/>
      <c r="AH522" s="157">
        <f>IFERROR(__xludf.DUMMYFUNCTION("""COMPUTED_VALUE"""),44411.2961444676)</f>
        <v>44411.29614</v>
      </c>
      <c r="AI522" s="138"/>
      <c r="AJ522" s="138"/>
      <c r="AK522" s="138"/>
      <c r="AL522" s="142"/>
    </row>
    <row r="523" ht="20.25" customHeight="1">
      <c r="A523" s="155" t="str">
        <f>IFERROR(__xludf.DUMMYFUNCTION("""COMPUTED_VALUE"""),"rhagebu")</f>
        <v>rhagebu</v>
      </c>
      <c r="B523" s="149" t="str">
        <f>IFERROR(__xludf.DUMMYFUNCTION("""COMPUTED_VALUE"""),"Wichita ")</f>
        <v>Wichita </v>
      </c>
      <c r="C523" s="149" t="str">
        <f>IFERROR(__xludf.DUMMYFUNCTION("""COMPUTED_VALUE"""),"KS")</f>
        <v>KS</v>
      </c>
      <c r="D523" s="149" t="str">
        <f>IFERROR(__xludf.DUMMYFUNCTION("""COMPUTED_VALUE"""),"USA")</f>
        <v>USA</v>
      </c>
      <c r="E523" s="156">
        <f>IFERROR(__xludf.DUMMYFUNCTION("""COMPUTED_VALUE"""),44376.0)</f>
        <v>44376</v>
      </c>
      <c r="F523" s="129">
        <f>IFERROR(__xludf.DUMMYFUNCTION("""COMPUTED_VALUE"""),44431.0)</f>
        <v>44431</v>
      </c>
      <c r="G523" s="154" t="str">
        <f>IFERROR(__xludf.DUMMYFUNCTION("""COMPUTED_VALUE"""),"Email")</f>
        <v>Email</v>
      </c>
      <c r="H523" s="131">
        <f>IFERROR(__xludf.DUMMYFUNCTION("""COMPUTED_VALUE"""),47809.0)</f>
        <v>47809</v>
      </c>
      <c r="I523" s="144"/>
      <c r="J523" s="129">
        <f>IFERROR(__xludf.DUMMYFUNCTION("""COMPUTED_VALUE"""),44443.0)</f>
        <v>44443</v>
      </c>
      <c r="K523" s="133">
        <f>IFERROR(__xludf.DUMMYFUNCTION("""COMPUTED_VALUE"""),55.0)</f>
        <v>55</v>
      </c>
      <c r="L523" s="133">
        <f>IFERROR(__xludf.DUMMYFUNCTION("""COMPUTED_VALUE"""),12.0)</f>
        <v>12</v>
      </c>
      <c r="M523" s="133">
        <f>IFERROR(__xludf.DUMMYFUNCTION("""COMPUTED_VALUE"""),67.0)</f>
        <v>67</v>
      </c>
      <c r="N523" s="152" t="str">
        <f>IFERROR(__xludf.DUMMYFUNCTION("""COMPUTED_VALUE"""),"Model 3 SR+")</f>
        <v>Model 3 SR+</v>
      </c>
      <c r="O523" s="152" t="str">
        <f>IFERROR(__xludf.DUMMYFUNCTION("""COMPUTED_VALUE"""),"Solid Black")</f>
        <v>Solid Black</v>
      </c>
      <c r="P523" s="153" t="str">
        <f>IFERROR(__xludf.DUMMYFUNCTION("""COMPUTED_VALUE"""),"18 inch")</f>
        <v>18 inch</v>
      </c>
      <c r="Q523" s="152" t="str">
        <f>IFERROR(__xludf.DUMMYFUNCTION("""COMPUTED_VALUE"""),"Black and White")</f>
        <v>Black and White</v>
      </c>
      <c r="R523" s="149" t="str">
        <f>IFERROR(__xludf.DUMMYFUNCTION("""COMPUTED_VALUE"""),"Autopilot included")</f>
        <v>Autopilot included</v>
      </c>
      <c r="S523" s="149" t="str">
        <f>IFERROR(__xludf.DUMMYFUNCTION("""COMPUTED_VALUE"""),"Loan")</f>
        <v>Loan</v>
      </c>
      <c r="T523" s="145" t="str">
        <f>IFERROR(__xludf.DUMMYFUNCTION("""COMPUTED_VALUE"""),"Dodge Durango")</f>
        <v>Dodge Durango</v>
      </c>
      <c r="U523" s="145" t="str">
        <f>IFERROR(__xludf.DUMMYFUNCTION("""COMPUTED_VALUE"""),"Tesla brand image")</f>
        <v>Tesla brand image</v>
      </c>
      <c r="V523" s="145" t="str">
        <f>IFERROR(__xludf.DUMMYFUNCTION("""COMPUTED_VALUE"""),"Apple CarPlay / Android Auto / SiriusXM Radio")</f>
        <v>Apple CarPlay / Android Auto / SiriusXM Radio</v>
      </c>
      <c r="W523" s="145"/>
      <c r="X523" s="137" t="str">
        <f>IFERROR(__xludf.DUMMYFUNCTION("""COMPUTED_VALUE"""),"Excellent")</f>
        <v>Excellent</v>
      </c>
      <c r="Y523" s="138" t="str">
        <f>IFERROR(__xludf.DUMMYFUNCTION("""COMPUTED_VALUE"""),"Excellent")</f>
        <v>Excellent</v>
      </c>
      <c r="Z523" s="138" t="str">
        <f>IFERROR(__xludf.DUMMYFUNCTION("""COMPUTED_VALUE"""),"Excellent")</f>
        <v>Excellent</v>
      </c>
      <c r="AA523" s="138" t="str">
        <f>IFERROR(__xludf.DUMMYFUNCTION("""COMPUTED_VALUE"""),"Very Good")</f>
        <v>Very Good</v>
      </c>
      <c r="AB523" s="138" t="str">
        <f>IFERROR(__xludf.DUMMYFUNCTION("""COMPUTED_VALUE"""),"Very Good")</f>
        <v>Very Good</v>
      </c>
      <c r="AC523" s="139">
        <f>IFERROR(__xludf.DUMMYFUNCTION("""COMPUTED_VALUE"""),0.0)</f>
        <v>0</v>
      </c>
      <c r="AD523" s="139"/>
      <c r="AE523" s="139"/>
      <c r="AF523" s="140" t="str">
        <f>IFERROR(__xludf.DUMMYFUNCTION("""COMPUTED_VALUE"""),"No. I took delivery of the first car Tesla was able to deliver.")</f>
        <v>No. I took delivery of the first car Tesla was able to deliver.</v>
      </c>
      <c r="AG523" s="145"/>
      <c r="AH523" s="157">
        <f>IFERROR(__xludf.DUMMYFUNCTION("""COMPUTED_VALUE"""),44443.788555046296)</f>
        <v>44443.78856</v>
      </c>
      <c r="AI523" s="138"/>
      <c r="AJ523" s="138"/>
      <c r="AK523" s="138"/>
      <c r="AL523" s="142"/>
    </row>
    <row r="524" ht="20.25" customHeight="1">
      <c r="A524" s="155" t="str">
        <f>IFERROR(__xludf.DUMMYFUNCTION("""COMPUTED_VALUE"""),"Rodimus")</f>
        <v>Rodimus</v>
      </c>
      <c r="B524" s="149" t="str">
        <f>IFERROR(__xludf.DUMMYFUNCTION("""COMPUTED_VALUE"""),"NYC")</f>
        <v>NYC</v>
      </c>
      <c r="C524" s="149" t="str">
        <f>IFERROR(__xludf.DUMMYFUNCTION("""COMPUTED_VALUE"""),"NY")</f>
        <v>NY</v>
      </c>
      <c r="D524" s="149" t="str">
        <f>IFERROR(__xludf.DUMMYFUNCTION("""COMPUTED_VALUE"""),"USA")</f>
        <v>USA</v>
      </c>
      <c r="E524" s="156">
        <f>IFERROR(__xludf.DUMMYFUNCTION("""COMPUTED_VALUE"""),44376.0)</f>
        <v>44376</v>
      </c>
      <c r="F524" s="129">
        <f>IFERROR(__xludf.DUMMYFUNCTION("""COMPUTED_VALUE"""),44419.0)</f>
        <v>44419</v>
      </c>
      <c r="G524" s="154" t="str">
        <f>IFERROR(__xludf.DUMMYFUNCTION("""COMPUTED_VALUE"""),"Manage order page (normal text)")</f>
        <v>Manage order page (normal text)</v>
      </c>
      <c r="H524" s="131">
        <f>IFERROR(__xludf.DUMMYFUNCTION("""COMPUTED_VALUE"""),36355.0)</f>
        <v>36355</v>
      </c>
      <c r="I524" s="144" t="str">
        <f>IFERROR(__xludf.DUMMYFUNCTION("""COMPUTED_VALUE"""),"08/21")</f>
        <v>08/21</v>
      </c>
      <c r="J524" s="129">
        <f>IFERROR(__xludf.DUMMYFUNCTION("""COMPUTED_VALUE"""),44434.0)</f>
        <v>44434</v>
      </c>
      <c r="K524" s="133">
        <f>IFERROR(__xludf.DUMMYFUNCTION("""COMPUTED_VALUE"""),43.0)</f>
        <v>43</v>
      </c>
      <c r="L524" s="133">
        <f>IFERROR(__xludf.DUMMYFUNCTION("""COMPUTED_VALUE"""),15.0)</f>
        <v>15</v>
      </c>
      <c r="M524" s="133">
        <f>IFERROR(__xludf.DUMMYFUNCTION("""COMPUTED_VALUE"""),58.0)</f>
        <v>58</v>
      </c>
      <c r="N524" s="152" t="str">
        <f>IFERROR(__xludf.DUMMYFUNCTION("""COMPUTED_VALUE"""),"Model 3 LR AWD")</f>
        <v>Model 3 LR AWD</v>
      </c>
      <c r="O524" s="152" t="str">
        <f>IFERROR(__xludf.DUMMYFUNCTION("""COMPUTED_VALUE"""),"Midnight Silver Metallic")</f>
        <v>Midnight Silver Metallic</v>
      </c>
      <c r="P524" s="153" t="str">
        <f>IFERROR(__xludf.DUMMYFUNCTION("""COMPUTED_VALUE"""),"18 inch")</f>
        <v>18 inch</v>
      </c>
      <c r="Q524" s="152" t="str">
        <f>IFERROR(__xludf.DUMMYFUNCTION("""COMPUTED_VALUE"""),"All Black")</f>
        <v>All Black</v>
      </c>
      <c r="R524" s="149" t="str">
        <f>IFERROR(__xludf.DUMMYFUNCTION("""COMPUTED_VALUE"""),"Full Self-Driving")</f>
        <v>Full Self-Driving</v>
      </c>
      <c r="S524" s="149" t="str">
        <f>IFERROR(__xludf.DUMMYFUNCTION("""COMPUTED_VALUE"""),"Cash")</f>
        <v>Cash</v>
      </c>
      <c r="T524" s="145" t="str">
        <f>IFERROR(__xludf.DUMMYFUNCTION("""COMPUTED_VALUE"""),"First car since 2019")</f>
        <v>First car since 2019</v>
      </c>
      <c r="U524" s="145" t="str">
        <f>IFERROR(__xludf.DUMMYFUNCTION("""COMPUTED_VALUE"""),"Electric!")</f>
        <v>Electric!</v>
      </c>
      <c r="V524" s="145" t="str">
        <f>IFERROR(__xludf.DUMMYFUNCTION("""COMPUTED_VALUE"""),"Apple CarPlay / Android Auto / SiriusXM Radio")</f>
        <v>Apple CarPlay / Android Auto / SiriusXM Radio</v>
      </c>
      <c r="W524" s="145"/>
      <c r="X524" s="137" t="str">
        <f>IFERROR(__xludf.DUMMYFUNCTION("""COMPUTED_VALUE"""),"Very Good")</f>
        <v>Very Good</v>
      </c>
      <c r="Y524" s="138" t="str">
        <f>IFERROR(__xludf.DUMMYFUNCTION("""COMPUTED_VALUE"""),"Very Good")</f>
        <v>Very Good</v>
      </c>
      <c r="Z524" s="138" t="str">
        <f>IFERROR(__xludf.DUMMYFUNCTION("""COMPUTED_VALUE"""),"Very Good")</f>
        <v>Very Good</v>
      </c>
      <c r="AA524" s="138" t="str">
        <f>IFERROR(__xludf.DUMMYFUNCTION("""COMPUTED_VALUE"""),"Very Good")</f>
        <v>Very Good</v>
      </c>
      <c r="AB524" s="138" t="str">
        <f>IFERROR(__xludf.DUMMYFUNCTION("""COMPUTED_VALUE"""),"Very Good")</f>
        <v>Very Good</v>
      </c>
      <c r="AC524" s="139">
        <f>IFERROR(__xludf.DUMMYFUNCTION("""COMPUTED_VALUE"""),0.0)</f>
        <v>0</v>
      </c>
      <c r="AD524" s="139">
        <f>IFERROR(__xludf.DUMMYFUNCTION("""COMPUTED_VALUE"""),0.0)</f>
        <v>0</v>
      </c>
      <c r="AE524" s="139">
        <f>IFERROR(__xludf.DUMMYFUNCTION("""COMPUTED_VALUE"""),0.0)</f>
        <v>0</v>
      </c>
      <c r="AF524" s="140" t="str">
        <f>IFERROR(__xludf.DUMMYFUNCTION("""COMPUTED_VALUE"""),"No. I took delivery of the first car Tesla was able to deliver.")</f>
        <v>No. I took delivery of the first car Tesla was able to deliver.</v>
      </c>
      <c r="AG524" s="145"/>
      <c r="AH524" s="157">
        <f>IFERROR(__xludf.DUMMYFUNCTION("""COMPUTED_VALUE"""),44430.75378240741)</f>
        <v>44430.75378</v>
      </c>
      <c r="AI524" s="138"/>
      <c r="AJ524" s="138"/>
      <c r="AK524" s="138"/>
      <c r="AL524" s="142"/>
    </row>
    <row r="525" ht="20.25" customHeight="1">
      <c r="A525" s="155" t="str">
        <f>IFERROR(__xludf.DUMMYFUNCTION("""COMPUTED_VALUE"""),"alanrob")</f>
        <v>alanrob</v>
      </c>
      <c r="B525" s="149" t="str">
        <f>IFERROR(__xludf.DUMMYFUNCTION("""COMPUTED_VALUE"""),"Phoenix")</f>
        <v>Phoenix</v>
      </c>
      <c r="C525" s="149" t="str">
        <f>IFERROR(__xludf.DUMMYFUNCTION("""COMPUTED_VALUE"""),"AZ")</f>
        <v>AZ</v>
      </c>
      <c r="D525" s="149" t="str">
        <f>IFERROR(__xludf.DUMMYFUNCTION("""COMPUTED_VALUE"""),"USA")</f>
        <v>USA</v>
      </c>
      <c r="E525" s="156">
        <f>IFERROR(__xludf.DUMMYFUNCTION("""COMPUTED_VALUE"""),44375.0)</f>
        <v>44375</v>
      </c>
      <c r="F525" s="129">
        <f>IFERROR(__xludf.DUMMYFUNCTION("""COMPUTED_VALUE"""),44400.0)</f>
        <v>44400</v>
      </c>
      <c r="G525" s="154" t="str">
        <f>IFERROR(__xludf.DUMMYFUNCTION("""COMPUTED_VALUE"""),"Email")</f>
        <v>Email</v>
      </c>
      <c r="H525" s="131">
        <f>IFERROR(__xludf.DUMMYFUNCTION("""COMPUTED_VALUE"""),24365.0)</f>
        <v>24365</v>
      </c>
      <c r="I525" s="144" t="str">
        <f>IFERROR(__xludf.DUMMYFUNCTION("""COMPUTED_VALUE"""),"07/21")</f>
        <v>07/21</v>
      </c>
      <c r="J525" s="129">
        <f>IFERROR(__xludf.DUMMYFUNCTION("""COMPUTED_VALUE"""),44402.0)</f>
        <v>44402</v>
      </c>
      <c r="K525" s="133">
        <f>IFERROR(__xludf.DUMMYFUNCTION("""COMPUTED_VALUE"""),25.0)</f>
        <v>25</v>
      </c>
      <c r="L525" s="133">
        <f>IFERROR(__xludf.DUMMYFUNCTION("""COMPUTED_VALUE"""),2.0)</f>
        <v>2</v>
      </c>
      <c r="M525" s="133">
        <f>IFERROR(__xludf.DUMMYFUNCTION("""COMPUTED_VALUE"""),27.0)</f>
        <v>27</v>
      </c>
      <c r="N525" s="152" t="str">
        <f>IFERROR(__xludf.DUMMYFUNCTION("""COMPUTED_VALUE"""),"Model 3 SR+")</f>
        <v>Model 3 SR+</v>
      </c>
      <c r="O525" s="152" t="str">
        <f>IFERROR(__xludf.DUMMYFUNCTION("""COMPUTED_VALUE"""),"Midnight Silver Metallic")</f>
        <v>Midnight Silver Metallic</v>
      </c>
      <c r="P525" s="153" t="str">
        <f>IFERROR(__xludf.DUMMYFUNCTION("""COMPUTED_VALUE"""),"18 inch")</f>
        <v>18 inch</v>
      </c>
      <c r="Q525" s="152" t="str">
        <f>IFERROR(__xludf.DUMMYFUNCTION("""COMPUTED_VALUE"""),"Black and White")</f>
        <v>Black and White</v>
      </c>
      <c r="R525" s="149" t="str">
        <f>IFERROR(__xludf.DUMMYFUNCTION("""COMPUTED_VALUE"""),"Autopilot included")</f>
        <v>Autopilot included</v>
      </c>
      <c r="S525" s="149" t="str">
        <f>IFERROR(__xludf.DUMMYFUNCTION("""COMPUTED_VALUE"""),"Loan")</f>
        <v>Loan</v>
      </c>
      <c r="T525" s="145" t="str">
        <f>IFERROR(__xludf.DUMMYFUNCTION("""COMPUTED_VALUE"""),"Lexus RX350")</f>
        <v>Lexus RX350</v>
      </c>
      <c r="U525" s="145" t="str">
        <f>IFERROR(__xludf.DUMMYFUNCTION("""COMPUTED_VALUE"""),"Electric!")</f>
        <v>Electric!</v>
      </c>
      <c r="V525" s="145" t="str">
        <f>IFERROR(__xludf.DUMMYFUNCTION("""COMPUTED_VALUE"""),"Blind spot indicators on side mirrors")</f>
        <v>Blind spot indicators on side mirrors</v>
      </c>
      <c r="W525" s="145"/>
      <c r="X525" s="137" t="str">
        <f>IFERROR(__xludf.DUMMYFUNCTION("""COMPUTED_VALUE"""),"Excellent")</f>
        <v>Excellent</v>
      </c>
      <c r="Y525" s="138" t="str">
        <f>IFERROR(__xludf.DUMMYFUNCTION("""COMPUTED_VALUE"""),"Excellent")</f>
        <v>Excellent</v>
      </c>
      <c r="Z525" s="138" t="str">
        <f>IFERROR(__xludf.DUMMYFUNCTION("""COMPUTED_VALUE"""),"Excellent")</f>
        <v>Excellent</v>
      </c>
      <c r="AA525" s="138" t="str">
        <f>IFERROR(__xludf.DUMMYFUNCTION("""COMPUTED_VALUE"""),"Excellent")</f>
        <v>Excellent</v>
      </c>
      <c r="AB525" s="138" t="str">
        <f>IFERROR(__xludf.DUMMYFUNCTION("""COMPUTED_VALUE"""),"Excellent")</f>
        <v>Excellent</v>
      </c>
      <c r="AC525" s="139">
        <f>IFERROR(__xludf.DUMMYFUNCTION("""COMPUTED_VALUE"""),0.0)</f>
        <v>0</v>
      </c>
      <c r="AD525" s="139">
        <f>IFERROR(__xludf.DUMMYFUNCTION("""COMPUTED_VALUE"""),0.0)</f>
        <v>0</v>
      </c>
      <c r="AE525" s="139">
        <f>IFERROR(__xludf.DUMMYFUNCTION("""COMPUTED_VALUE"""),0.0)</f>
        <v>0</v>
      </c>
      <c r="AF525" s="140" t="str">
        <f>IFERROR(__xludf.DUMMYFUNCTION("""COMPUTED_VALUE"""),"No. I took delivery of the first car Tesla was able to deliver.")</f>
        <v>No. I took delivery of the first car Tesla was able to deliver.</v>
      </c>
      <c r="AG525" s="145"/>
      <c r="AH525" s="157">
        <f>IFERROR(__xludf.DUMMYFUNCTION("""COMPUTED_VALUE"""),44421.62892847222)</f>
        <v>44421.62893</v>
      </c>
      <c r="AI525" s="138"/>
      <c r="AJ525" s="138"/>
      <c r="AK525" s="138"/>
      <c r="AL525" s="142"/>
    </row>
    <row r="526" ht="20.25" customHeight="1">
      <c r="A526" s="155" t="str">
        <f>IFERROR(__xludf.DUMMYFUNCTION("""COMPUTED_VALUE"""),"Colpo")</f>
        <v>Colpo</v>
      </c>
      <c r="B526" s="149" t="str">
        <f>IFERROR(__xludf.DUMMYFUNCTION("""COMPUTED_VALUE"""),"Houston")</f>
        <v>Houston</v>
      </c>
      <c r="C526" s="149" t="str">
        <f>IFERROR(__xludf.DUMMYFUNCTION("""COMPUTED_VALUE"""),"TX")</f>
        <v>TX</v>
      </c>
      <c r="D526" s="149" t="str">
        <f>IFERROR(__xludf.DUMMYFUNCTION("""COMPUTED_VALUE"""),"USA")</f>
        <v>USA</v>
      </c>
      <c r="E526" s="156">
        <f>IFERROR(__xludf.DUMMYFUNCTION("""COMPUTED_VALUE"""),44375.0)</f>
        <v>44375</v>
      </c>
      <c r="F526" s="129">
        <f>IFERROR(__xludf.DUMMYFUNCTION("""COMPUTED_VALUE"""),44412.0)</f>
        <v>44412</v>
      </c>
      <c r="G526" s="154" t="str">
        <f>IFERROR(__xludf.DUMMYFUNCTION("""COMPUTED_VALUE"""),"Manage order page (normal text)")</f>
        <v>Manage order page (normal text)</v>
      </c>
      <c r="H526" s="131">
        <f>IFERROR(__xludf.DUMMYFUNCTION("""COMPUTED_VALUE"""),30969.0)</f>
        <v>30969</v>
      </c>
      <c r="I526" s="144"/>
      <c r="J526" s="129">
        <f>IFERROR(__xludf.DUMMYFUNCTION("""COMPUTED_VALUE"""),44425.0)</f>
        <v>44425</v>
      </c>
      <c r="K526" s="133">
        <f>IFERROR(__xludf.DUMMYFUNCTION("""COMPUTED_VALUE"""),37.0)</f>
        <v>37</v>
      </c>
      <c r="L526" s="133">
        <f>IFERROR(__xludf.DUMMYFUNCTION("""COMPUTED_VALUE"""),13.0)</f>
        <v>13</v>
      </c>
      <c r="M526" s="133">
        <f>IFERROR(__xludf.DUMMYFUNCTION("""COMPUTED_VALUE"""),50.0)</f>
        <v>50</v>
      </c>
      <c r="N526" s="152" t="str">
        <f>IFERROR(__xludf.DUMMYFUNCTION("""COMPUTED_VALUE"""),"Model 3 SR+")</f>
        <v>Model 3 SR+</v>
      </c>
      <c r="O526" s="152" t="str">
        <f>IFERROR(__xludf.DUMMYFUNCTION("""COMPUTED_VALUE"""),"Deep Blue Metallic")</f>
        <v>Deep Blue Metallic</v>
      </c>
      <c r="P526" s="153" t="str">
        <f>IFERROR(__xludf.DUMMYFUNCTION("""COMPUTED_VALUE"""),"18 inch")</f>
        <v>18 inch</v>
      </c>
      <c r="Q526" s="152" t="str">
        <f>IFERROR(__xludf.DUMMYFUNCTION("""COMPUTED_VALUE"""),"All Black")</f>
        <v>All Black</v>
      </c>
      <c r="R526" s="149"/>
      <c r="S526" s="149"/>
      <c r="T526" s="145"/>
      <c r="U526" s="145"/>
      <c r="V526" s="145" t="str">
        <f>IFERROR(__xludf.DUMMYFUNCTION("""COMPUTED_VALUE"""),"360° Bird's eye view")</f>
        <v>360° Bird's eye view</v>
      </c>
      <c r="W526" s="145"/>
      <c r="X526" s="137" t="str">
        <f>IFERROR(__xludf.DUMMYFUNCTION("""COMPUTED_VALUE"""),"Excellent")</f>
        <v>Excellent</v>
      </c>
      <c r="Y526" s="138" t="str">
        <f>IFERROR(__xludf.DUMMYFUNCTION("""COMPUTED_VALUE"""),"Excellent")</f>
        <v>Excellent</v>
      </c>
      <c r="Z526" s="138" t="str">
        <f>IFERROR(__xludf.DUMMYFUNCTION("""COMPUTED_VALUE"""),"Excellent")</f>
        <v>Excellent</v>
      </c>
      <c r="AA526" s="138" t="str">
        <f>IFERROR(__xludf.DUMMYFUNCTION("""COMPUTED_VALUE"""),"Excellent")</f>
        <v>Excellent</v>
      </c>
      <c r="AB526" s="138" t="str">
        <f>IFERROR(__xludf.DUMMYFUNCTION("""COMPUTED_VALUE"""),"Excellent")</f>
        <v>Excellent</v>
      </c>
      <c r="AC526" s="139"/>
      <c r="AD526" s="139"/>
      <c r="AE526" s="139"/>
      <c r="AF526" s="140" t="str">
        <f>IFERROR(__xludf.DUMMYFUNCTION("""COMPUTED_VALUE"""),"No. I took delivery of the first car Tesla was able to deliver.")</f>
        <v>No. I took delivery of the first car Tesla was able to deliver.</v>
      </c>
      <c r="AG526" s="145"/>
      <c r="AH526" s="157">
        <f>IFERROR(__xludf.DUMMYFUNCTION("""COMPUTED_VALUE"""),44425.85570278935)</f>
        <v>44425.8557</v>
      </c>
      <c r="AI526" s="138"/>
      <c r="AJ526" s="138"/>
      <c r="AK526" s="138"/>
      <c r="AL526" s="142"/>
    </row>
    <row r="527" ht="20.25" customHeight="1">
      <c r="A527" s="155" t="str">
        <f>IFERROR(__xludf.DUMMYFUNCTION("""COMPUTED_VALUE"""),"gavagai")</f>
        <v>gavagai</v>
      </c>
      <c r="B527" s="149" t="str">
        <f>IFERROR(__xludf.DUMMYFUNCTION("""COMPUTED_VALUE"""),"boston")</f>
        <v>boston</v>
      </c>
      <c r="C527" s="149" t="str">
        <f>IFERROR(__xludf.DUMMYFUNCTION("""COMPUTED_VALUE"""),"MA")</f>
        <v>MA</v>
      </c>
      <c r="D527" s="149" t="str">
        <f>IFERROR(__xludf.DUMMYFUNCTION("""COMPUTED_VALUE"""),"USA")</f>
        <v>USA</v>
      </c>
      <c r="E527" s="156">
        <f>IFERROR(__xludf.DUMMYFUNCTION("""COMPUTED_VALUE"""),44375.0)</f>
        <v>44375</v>
      </c>
      <c r="F527" s="129">
        <f>IFERROR(__xludf.DUMMYFUNCTION("""COMPUTED_VALUE"""),44425.0)</f>
        <v>44425</v>
      </c>
      <c r="G527" s="154" t="str">
        <f>IFERROR(__xludf.DUMMYFUNCTION("""COMPUTED_VALUE"""),"Manage order page (normal text)")</f>
        <v>Manage order page (normal text)</v>
      </c>
      <c r="H527" s="131">
        <f>IFERROR(__xludf.DUMMYFUNCTION("""COMPUTED_VALUE"""),44155.0)</f>
        <v>44155</v>
      </c>
      <c r="I527" s="144" t="str">
        <f>IFERROR(__xludf.DUMMYFUNCTION("""COMPUTED_VALUE"""),"08/21")</f>
        <v>08/21</v>
      </c>
      <c r="J527" s="129">
        <f>IFERROR(__xludf.DUMMYFUNCTION("""COMPUTED_VALUE"""),44440.0)</f>
        <v>44440</v>
      </c>
      <c r="K527" s="133">
        <f>IFERROR(__xludf.DUMMYFUNCTION("""COMPUTED_VALUE"""),50.0)</f>
        <v>50</v>
      </c>
      <c r="L527" s="133">
        <f>IFERROR(__xludf.DUMMYFUNCTION("""COMPUTED_VALUE"""),15.0)</f>
        <v>15</v>
      </c>
      <c r="M527" s="133">
        <f>IFERROR(__xludf.DUMMYFUNCTION("""COMPUTED_VALUE"""),65.0)</f>
        <v>65</v>
      </c>
      <c r="N527" s="152" t="str">
        <f>IFERROR(__xludf.DUMMYFUNCTION("""COMPUTED_VALUE"""),"Model 3 LR AWD")</f>
        <v>Model 3 LR AWD</v>
      </c>
      <c r="O527" s="152" t="str">
        <f>IFERROR(__xludf.DUMMYFUNCTION("""COMPUTED_VALUE"""),"Deep Blue Metallic")</f>
        <v>Deep Blue Metallic</v>
      </c>
      <c r="P527" s="153" t="str">
        <f>IFERROR(__xludf.DUMMYFUNCTION("""COMPUTED_VALUE"""),"19 inch")</f>
        <v>19 inch</v>
      </c>
      <c r="Q527" s="152" t="str">
        <f>IFERROR(__xludf.DUMMYFUNCTION("""COMPUTED_VALUE"""),"All Black")</f>
        <v>All Black</v>
      </c>
      <c r="R527" s="149" t="str">
        <f>IFERROR(__xludf.DUMMYFUNCTION("""COMPUTED_VALUE"""),"Autopilot included")</f>
        <v>Autopilot included</v>
      </c>
      <c r="S527" s="149" t="str">
        <f>IFERROR(__xludf.DUMMYFUNCTION("""COMPUTED_VALUE"""),"Loan")</f>
        <v>Loan</v>
      </c>
      <c r="T527" s="145" t="str">
        <f>IFERROR(__xludf.DUMMYFUNCTION("""COMPUTED_VALUE"""),"Tesla Model 3")</f>
        <v>Tesla Model 3</v>
      </c>
      <c r="U527" s="145" t="str">
        <f>IFERROR(__xludf.DUMMYFUNCTION("""COMPUTED_VALUE"""),"Electric!")</f>
        <v>Electric!</v>
      </c>
      <c r="V527" s="145" t="str">
        <f>IFERROR(__xludf.DUMMYFUNCTION("""COMPUTED_VALUE"""),"Apple CarPlay / Android Auto / SiriusXM Radio")</f>
        <v>Apple CarPlay / Android Auto / SiriusXM Radio</v>
      </c>
      <c r="W527" s="145"/>
      <c r="X527" s="137" t="str">
        <f>IFERROR(__xludf.DUMMYFUNCTION("""COMPUTED_VALUE"""),"Excellent")</f>
        <v>Excellent</v>
      </c>
      <c r="Y527" s="138" t="str">
        <f>IFERROR(__xludf.DUMMYFUNCTION("""COMPUTED_VALUE"""),"Very Good")</f>
        <v>Very Good</v>
      </c>
      <c r="Z527" s="138" t="str">
        <f>IFERROR(__xludf.DUMMYFUNCTION("""COMPUTED_VALUE"""),"Fair")</f>
        <v>Fair</v>
      </c>
      <c r="AA527" s="138" t="str">
        <f>IFERROR(__xludf.DUMMYFUNCTION("""COMPUTED_VALUE"""),"Fair")</f>
        <v>Fair</v>
      </c>
      <c r="AB527" s="138" t="str">
        <f>IFERROR(__xludf.DUMMYFUNCTION("""COMPUTED_VALUE"""),"Good")</f>
        <v>Good</v>
      </c>
      <c r="AC527" s="139"/>
      <c r="AD527" s="139"/>
      <c r="AE527" s="139"/>
      <c r="AF527" s="140" t="str">
        <f>IFERROR(__xludf.DUMMYFUNCTION("""COMPUTED_VALUE"""),"No. I took delivery of the first car Tesla was able to deliver.")</f>
        <v>No. I took delivery of the first car Tesla was able to deliver.</v>
      </c>
      <c r="AG527" s="145"/>
      <c r="AH527" s="157">
        <f>IFERROR(__xludf.DUMMYFUNCTION("""COMPUTED_VALUE"""),44441.48949983797)</f>
        <v>44441.4895</v>
      </c>
      <c r="AI527" s="138"/>
      <c r="AJ527" s="138"/>
      <c r="AK527" s="138"/>
      <c r="AL527" s="142"/>
    </row>
    <row r="528" ht="20.25" customHeight="1">
      <c r="A528" s="155" t="str">
        <f>IFERROR(__xludf.DUMMYFUNCTION("""COMPUTED_VALUE"""),"JCash")</f>
        <v>JCash</v>
      </c>
      <c r="B528" s="149" t="str">
        <f>IFERROR(__xludf.DUMMYFUNCTION("""COMPUTED_VALUE"""),"Indianapolis")</f>
        <v>Indianapolis</v>
      </c>
      <c r="C528" s="149" t="str">
        <f>IFERROR(__xludf.DUMMYFUNCTION("""COMPUTED_VALUE"""),"IN")</f>
        <v>IN</v>
      </c>
      <c r="D528" s="149" t="str">
        <f>IFERROR(__xludf.DUMMYFUNCTION("""COMPUTED_VALUE"""),"USA")</f>
        <v>USA</v>
      </c>
      <c r="E528" s="156">
        <f>IFERROR(__xludf.DUMMYFUNCTION("""COMPUTED_VALUE"""),44375.0)</f>
        <v>44375</v>
      </c>
      <c r="F528" s="129">
        <f>IFERROR(__xludf.DUMMYFUNCTION("""COMPUTED_VALUE"""),44421.0)</f>
        <v>44421</v>
      </c>
      <c r="G528" s="154" t="str">
        <f>IFERROR(__xludf.DUMMYFUNCTION("""COMPUTED_VALUE"""),"Manage order page (normal text)")</f>
        <v>Manage order page (normal text)</v>
      </c>
      <c r="H528" s="131">
        <f>IFERROR(__xludf.DUMMYFUNCTION("""COMPUTED_VALUE"""),36455.0)</f>
        <v>36455</v>
      </c>
      <c r="I528" s="144" t="str">
        <f>IFERROR(__xludf.DUMMYFUNCTION("""COMPUTED_VALUE"""),"08/21")</f>
        <v>08/21</v>
      </c>
      <c r="J528" s="129"/>
      <c r="K528" s="133">
        <f>IFERROR(__xludf.DUMMYFUNCTION("""COMPUTED_VALUE"""),46.0)</f>
        <v>46</v>
      </c>
      <c r="L528" s="133"/>
      <c r="M528" s="133"/>
      <c r="N528" s="152" t="str">
        <f>IFERROR(__xludf.DUMMYFUNCTION("""COMPUTED_VALUE"""),"Model 3 LR AWD")</f>
        <v>Model 3 LR AWD</v>
      </c>
      <c r="O528" s="152" t="str">
        <f>IFERROR(__xludf.DUMMYFUNCTION("""COMPUTED_VALUE"""),"Pearl White Multi-Coat")</f>
        <v>Pearl White Multi-Coat</v>
      </c>
      <c r="P528" s="153" t="str">
        <f>IFERROR(__xludf.DUMMYFUNCTION("""COMPUTED_VALUE"""),"18 inch")</f>
        <v>18 inch</v>
      </c>
      <c r="Q528" s="152" t="str">
        <f>IFERROR(__xludf.DUMMYFUNCTION("""COMPUTED_VALUE"""),"Black and White")</f>
        <v>Black and White</v>
      </c>
      <c r="R528" s="149" t="str">
        <f>IFERROR(__xludf.DUMMYFUNCTION("""COMPUTED_VALUE"""),"Autopilot included")</f>
        <v>Autopilot included</v>
      </c>
      <c r="S528" s="149" t="str">
        <f>IFERROR(__xludf.DUMMYFUNCTION("""COMPUTED_VALUE"""),"Loan")</f>
        <v>Loan</v>
      </c>
      <c r="T528" s="145" t="str">
        <f>IFERROR(__xludf.DUMMYFUNCTION("""COMPUTED_VALUE"""),"Honda Accord")</f>
        <v>Honda Accord</v>
      </c>
      <c r="U528" s="145" t="str">
        <f>IFERROR(__xludf.DUMMYFUNCTION("""COMPUTED_VALUE"""),"Electric!")</f>
        <v>Electric!</v>
      </c>
      <c r="V528" s="145" t="str">
        <f>IFERROR(__xludf.DUMMYFUNCTION("""COMPUTED_VALUE"""),"Head-up display")</f>
        <v>Head-up display</v>
      </c>
      <c r="W528" s="145"/>
      <c r="X528" s="137" t="str">
        <f>IFERROR(__xludf.DUMMYFUNCTION("""COMPUTED_VALUE"""),"Excellent")</f>
        <v>Excellent</v>
      </c>
      <c r="Y528" s="138" t="str">
        <f>IFERROR(__xludf.DUMMYFUNCTION("""COMPUTED_VALUE"""),"Excellent")</f>
        <v>Excellent</v>
      </c>
      <c r="Z528" s="138" t="str">
        <f>IFERROR(__xludf.DUMMYFUNCTION("""COMPUTED_VALUE"""),"Very Good")</f>
        <v>Very Good</v>
      </c>
      <c r="AA528" s="138" t="str">
        <f>IFERROR(__xludf.DUMMYFUNCTION("""COMPUTED_VALUE"""),"Good")</f>
        <v>Good</v>
      </c>
      <c r="AB528" s="138" t="str">
        <f>IFERROR(__xludf.DUMMYFUNCTION("""COMPUTED_VALUE"""),"Very Good")</f>
        <v>Very Good</v>
      </c>
      <c r="AC528" s="139"/>
      <c r="AD528" s="139"/>
      <c r="AE528" s="139"/>
      <c r="AF528" s="140" t="str">
        <f>IFERROR(__xludf.DUMMYFUNCTION("""COMPUTED_VALUE"""),"No. I took delivery of the first car Tesla was able to deliver.")</f>
        <v>No. I took delivery of the first car Tesla was able to deliver.</v>
      </c>
      <c r="AG528" s="145"/>
      <c r="AH528" s="157">
        <f>IFERROR(__xludf.DUMMYFUNCTION("""COMPUTED_VALUE"""),44435.28447850694)</f>
        <v>44435.28448</v>
      </c>
      <c r="AI528" s="138"/>
      <c r="AJ528" s="138"/>
      <c r="AK528" s="138"/>
      <c r="AL528" s="142"/>
    </row>
    <row r="529" ht="20.25" customHeight="1">
      <c r="A529" s="155" t="str">
        <f>IFERROR(__xludf.DUMMYFUNCTION("""COMPUTED_VALUE"""),"Jimmyvegas")</f>
        <v>Jimmyvegas</v>
      </c>
      <c r="B529" s="149" t="str">
        <f>IFERROR(__xludf.DUMMYFUNCTION("""COMPUTED_VALUE"""),"Kingwood")</f>
        <v>Kingwood</v>
      </c>
      <c r="C529" s="149" t="str">
        <f>IFERROR(__xludf.DUMMYFUNCTION("""COMPUTED_VALUE"""),"TX")</f>
        <v>TX</v>
      </c>
      <c r="D529" s="149" t="str">
        <f>IFERROR(__xludf.DUMMYFUNCTION("""COMPUTED_VALUE"""),"USA")</f>
        <v>USA</v>
      </c>
      <c r="E529" s="156">
        <f>IFERROR(__xludf.DUMMYFUNCTION("""COMPUTED_VALUE"""),44375.0)</f>
        <v>44375</v>
      </c>
      <c r="F529" s="129">
        <f>IFERROR(__xludf.DUMMYFUNCTION("""COMPUTED_VALUE"""),44397.0)</f>
        <v>44397</v>
      </c>
      <c r="G529" s="154" t="str">
        <f>IFERROR(__xludf.DUMMYFUNCTION("""COMPUTED_VALUE"""),"Manage order page (normal text)")</f>
        <v>Manage order page (normal text)</v>
      </c>
      <c r="H529" s="131">
        <f>IFERROR(__xludf.DUMMYFUNCTION("""COMPUTED_VALUE"""),13355.0)</f>
        <v>13355</v>
      </c>
      <c r="I529" s="144" t="str">
        <f>IFERROR(__xludf.DUMMYFUNCTION("""COMPUTED_VALUE"""),"07/21")</f>
        <v>07/21</v>
      </c>
      <c r="J529" s="129">
        <f>IFERROR(__xludf.DUMMYFUNCTION("""COMPUTED_VALUE"""),44411.0)</f>
        <v>44411</v>
      </c>
      <c r="K529" s="133">
        <f>IFERROR(__xludf.DUMMYFUNCTION("""COMPUTED_VALUE"""),22.0)</f>
        <v>22</v>
      </c>
      <c r="L529" s="133">
        <f>IFERROR(__xludf.DUMMYFUNCTION("""COMPUTED_VALUE"""),14.0)</f>
        <v>14</v>
      </c>
      <c r="M529" s="133">
        <f>IFERROR(__xludf.DUMMYFUNCTION("""COMPUTED_VALUE"""),36.0)</f>
        <v>36</v>
      </c>
      <c r="N529" s="152" t="str">
        <f>IFERROR(__xludf.DUMMYFUNCTION("""COMPUTED_VALUE"""),"Model 3 Performance")</f>
        <v>Model 3 Performance</v>
      </c>
      <c r="O529" s="152" t="str">
        <f>IFERROR(__xludf.DUMMYFUNCTION("""COMPUTED_VALUE"""),"Deep Blue Metallic")</f>
        <v>Deep Blue Metallic</v>
      </c>
      <c r="P529" s="153" t="str">
        <f>IFERROR(__xludf.DUMMYFUNCTION("""COMPUTED_VALUE"""),"20 inch")</f>
        <v>20 inch</v>
      </c>
      <c r="Q529" s="152" t="str">
        <f>IFERROR(__xludf.DUMMYFUNCTION("""COMPUTED_VALUE"""),"Black and White")</f>
        <v>Black and White</v>
      </c>
      <c r="R529" s="149" t="str">
        <f>IFERROR(__xludf.DUMMYFUNCTION("""COMPUTED_VALUE"""),"Autopilot included")</f>
        <v>Autopilot included</v>
      </c>
      <c r="S529" s="149" t="str">
        <f>IFERROR(__xludf.DUMMYFUNCTION("""COMPUTED_VALUE"""),"Loan")</f>
        <v>Loan</v>
      </c>
      <c r="T529" s="145" t="str">
        <f>IFERROR(__xludf.DUMMYFUNCTION("""COMPUTED_VALUE"""),"Cadillac XT4")</f>
        <v>Cadillac XT4</v>
      </c>
      <c r="U529" s="145" t="str">
        <f>IFERROR(__xludf.DUMMYFUNCTION("""COMPUTED_VALUE"""),"0-60 Time")</f>
        <v>0-60 Time</v>
      </c>
      <c r="V529" s="145" t="str">
        <f>IFERROR(__xludf.DUMMYFUNCTION("""COMPUTED_VALUE"""),"360° Bird's eye view")</f>
        <v>360° Bird's eye view</v>
      </c>
      <c r="W529" s="145"/>
      <c r="X529" s="137" t="str">
        <f>IFERROR(__xludf.DUMMYFUNCTION("""COMPUTED_VALUE"""),"Excellent")</f>
        <v>Excellent</v>
      </c>
      <c r="Y529" s="138" t="str">
        <f>IFERROR(__xludf.DUMMYFUNCTION("""COMPUTED_VALUE"""),"Excellent")</f>
        <v>Excellent</v>
      </c>
      <c r="Z529" s="138" t="str">
        <f>IFERROR(__xludf.DUMMYFUNCTION("""COMPUTED_VALUE"""),"Good")</f>
        <v>Good</v>
      </c>
      <c r="AA529" s="138" t="str">
        <f>IFERROR(__xludf.DUMMYFUNCTION("""COMPUTED_VALUE"""),"Excellent")</f>
        <v>Excellent</v>
      </c>
      <c r="AB529" s="138" t="str">
        <f>IFERROR(__xludf.DUMMYFUNCTION("""COMPUTED_VALUE"""),"Excellent")</f>
        <v>Excellent</v>
      </c>
      <c r="AC529" s="139">
        <f>IFERROR(__xludf.DUMMYFUNCTION("""COMPUTED_VALUE"""),0.0)</f>
        <v>0</v>
      </c>
      <c r="AD529" s="139">
        <f>IFERROR(__xludf.DUMMYFUNCTION("""COMPUTED_VALUE"""),0.0)</f>
        <v>0</v>
      </c>
      <c r="AE529" s="139">
        <f>IFERROR(__xludf.DUMMYFUNCTION("""COMPUTED_VALUE"""),0.0)</f>
        <v>0</v>
      </c>
      <c r="AF529" s="140" t="str">
        <f>IFERROR(__xludf.DUMMYFUNCTION("""COMPUTED_VALUE"""),"No. I took delivery of the first car Tesla was able to deliver.")</f>
        <v>No. I took delivery of the first car Tesla was able to deliver.</v>
      </c>
      <c r="AG529" s="145" t="str">
        <f>IFERROR(__xludf.DUMMYFUNCTION("""COMPUTED_VALUE"""),"Couple of small scratched on paint and had to clean some interior stains. ")</f>
        <v>Couple of small scratched on paint and had to clean some interior stains. </v>
      </c>
      <c r="AH529" s="157">
        <f>IFERROR(__xludf.DUMMYFUNCTION("""COMPUTED_VALUE"""),44413.41246971065)</f>
        <v>44413.41247</v>
      </c>
      <c r="AI529" s="138"/>
      <c r="AJ529" s="138"/>
      <c r="AK529" s="138"/>
      <c r="AL529" s="142"/>
    </row>
    <row r="530" ht="20.25" customHeight="1">
      <c r="A530" s="155" t="str">
        <f>IFERROR(__xludf.DUMMYFUNCTION("""COMPUTED_VALUE"""),"MotorbreathX")</f>
        <v>MotorbreathX</v>
      </c>
      <c r="B530" s="149" t="str">
        <f>IFERROR(__xludf.DUMMYFUNCTION("""COMPUTED_VALUE"""),"Las Vegas")</f>
        <v>Las Vegas</v>
      </c>
      <c r="C530" s="149" t="str">
        <f>IFERROR(__xludf.DUMMYFUNCTION("""COMPUTED_VALUE"""),"NV")</f>
        <v>NV</v>
      </c>
      <c r="D530" s="149" t="str">
        <f>IFERROR(__xludf.DUMMYFUNCTION("""COMPUTED_VALUE"""),"USA")</f>
        <v>USA</v>
      </c>
      <c r="E530" s="156">
        <f>IFERROR(__xludf.DUMMYFUNCTION("""COMPUTED_VALUE"""),44375.0)</f>
        <v>44375</v>
      </c>
      <c r="F530" s="129">
        <f>IFERROR(__xludf.DUMMYFUNCTION("""COMPUTED_VALUE"""),44436.0)</f>
        <v>44436</v>
      </c>
      <c r="G530" s="154" t="str">
        <f>IFERROR(__xludf.DUMMYFUNCTION("""COMPUTED_VALUE"""),"Manage order page (normal text)")</f>
        <v>Manage order page (normal text)</v>
      </c>
      <c r="H530" s="131">
        <f>IFERROR(__xludf.DUMMYFUNCTION("""COMPUTED_VALUE"""),52060.0)</f>
        <v>52060</v>
      </c>
      <c r="I530" s="144" t="str">
        <f>IFERROR(__xludf.DUMMYFUNCTION("""COMPUTED_VALUE"""),"08/21")</f>
        <v>08/21</v>
      </c>
      <c r="J530" s="129">
        <f>IFERROR(__xludf.DUMMYFUNCTION("""COMPUTED_VALUE"""),44440.0)</f>
        <v>44440</v>
      </c>
      <c r="K530" s="133">
        <f>IFERROR(__xludf.DUMMYFUNCTION("""COMPUTED_VALUE"""),61.0)</f>
        <v>61</v>
      </c>
      <c r="L530" s="133">
        <f>IFERROR(__xludf.DUMMYFUNCTION("""COMPUTED_VALUE"""),4.0)</f>
        <v>4</v>
      </c>
      <c r="M530" s="133">
        <f>IFERROR(__xludf.DUMMYFUNCTION("""COMPUTED_VALUE"""),65.0)</f>
        <v>65</v>
      </c>
      <c r="N530" s="152" t="str">
        <f>IFERROR(__xludf.DUMMYFUNCTION("""COMPUTED_VALUE"""),"Model 3 LR AWD")</f>
        <v>Model 3 LR AWD</v>
      </c>
      <c r="O530" s="152" t="str">
        <f>IFERROR(__xludf.DUMMYFUNCTION("""COMPUTED_VALUE"""),"Pearl White Multi-Coat")</f>
        <v>Pearl White Multi-Coat</v>
      </c>
      <c r="P530" s="153" t="str">
        <f>IFERROR(__xludf.DUMMYFUNCTION("""COMPUTED_VALUE"""),"18 inch")</f>
        <v>18 inch</v>
      </c>
      <c r="Q530" s="152" t="str">
        <f>IFERROR(__xludf.DUMMYFUNCTION("""COMPUTED_VALUE"""),"Black and White")</f>
        <v>Black and White</v>
      </c>
      <c r="R530" s="149" t="str">
        <f>IFERROR(__xludf.DUMMYFUNCTION("""COMPUTED_VALUE"""),"Autopilot included")</f>
        <v>Autopilot included</v>
      </c>
      <c r="S530" s="149" t="str">
        <f>IFERROR(__xludf.DUMMYFUNCTION("""COMPUTED_VALUE"""),"Loan")</f>
        <v>Loan</v>
      </c>
      <c r="T530" s="145"/>
      <c r="U530" s="145" t="str">
        <f>IFERROR(__xludf.DUMMYFUNCTION("""COMPUTED_VALUE"""),"Electric!")</f>
        <v>Electric!</v>
      </c>
      <c r="V530" s="145" t="str">
        <f>IFERROR(__xludf.DUMMYFUNCTION("""COMPUTED_VALUE"""),"Head-up display")</f>
        <v>Head-up display</v>
      </c>
      <c r="W530" s="145"/>
      <c r="X530" s="137"/>
      <c r="Y530" s="138"/>
      <c r="Z530" s="138"/>
      <c r="AA530" s="138"/>
      <c r="AB530" s="138"/>
      <c r="AC530" s="139"/>
      <c r="AD530" s="139"/>
      <c r="AE530" s="139"/>
      <c r="AF530" s="140"/>
      <c r="AG530" s="145"/>
      <c r="AH530" s="157">
        <f>IFERROR(__xludf.DUMMYFUNCTION("""COMPUTED_VALUE"""),44437.68333680556)</f>
        <v>44437.68334</v>
      </c>
      <c r="AI530" s="138"/>
      <c r="AJ530" s="138"/>
      <c r="AK530" s="138"/>
      <c r="AL530" s="142"/>
    </row>
    <row r="531" ht="20.25" customHeight="1">
      <c r="A531" s="155" t="str">
        <f>IFERROR(__xludf.DUMMYFUNCTION("""COMPUTED_VALUE"""),"ninety0ne")</f>
        <v>ninety0ne</v>
      </c>
      <c r="B531" s="149" t="str">
        <f>IFERROR(__xludf.DUMMYFUNCTION("""COMPUTED_VALUE"""),"Humboldt")</f>
        <v>Humboldt</v>
      </c>
      <c r="C531" s="149" t="str">
        <f>IFERROR(__xludf.DUMMYFUNCTION("""COMPUTED_VALUE"""),"CA")</f>
        <v>CA</v>
      </c>
      <c r="D531" s="149" t="str">
        <f>IFERROR(__xludf.DUMMYFUNCTION("""COMPUTED_VALUE"""),"USA")</f>
        <v>USA</v>
      </c>
      <c r="E531" s="156">
        <f>IFERROR(__xludf.DUMMYFUNCTION("""COMPUTED_VALUE"""),44375.0)</f>
        <v>44375</v>
      </c>
      <c r="F531" s="129">
        <f>IFERROR(__xludf.DUMMYFUNCTION("""COMPUTED_VALUE"""),44411.0)</f>
        <v>44411</v>
      </c>
      <c r="G531" s="154" t="str">
        <f>IFERROR(__xludf.DUMMYFUNCTION("""COMPUTED_VALUE"""),"Manage order page (normal text)")</f>
        <v>Manage order page (normal text)</v>
      </c>
      <c r="H531" s="131">
        <f>IFERROR(__xludf.DUMMYFUNCTION("""COMPUTED_VALUE"""),30855.0)</f>
        <v>30855</v>
      </c>
      <c r="I531" s="144"/>
      <c r="J531" s="129">
        <f>IFERROR(__xludf.DUMMYFUNCTION("""COMPUTED_VALUE"""),44415.0)</f>
        <v>44415</v>
      </c>
      <c r="K531" s="133">
        <f>IFERROR(__xludf.DUMMYFUNCTION("""COMPUTED_VALUE"""),36.0)</f>
        <v>36</v>
      </c>
      <c r="L531" s="133">
        <f>IFERROR(__xludf.DUMMYFUNCTION("""COMPUTED_VALUE"""),4.0)</f>
        <v>4</v>
      </c>
      <c r="M531" s="133">
        <f>IFERROR(__xludf.DUMMYFUNCTION("""COMPUTED_VALUE"""),40.0)</f>
        <v>40</v>
      </c>
      <c r="N531" s="152" t="str">
        <f>IFERROR(__xludf.DUMMYFUNCTION("""COMPUTED_VALUE"""),"Model 3 Performance")</f>
        <v>Model 3 Performance</v>
      </c>
      <c r="O531" s="152" t="str">
        <f>IFERROR(__xludf.DUMMYFUNCTION("""COMPUTED_VALUE"""),"Pearl White Multi-Coat")</f>
        <v>Pearl White Multi-Coat</v>
      </c>
      <c r="P531" s="153" t="str">
        <f>IFERROR(__xludf.DUMMYFUNCTION("""COMPUTED_VALUE"""),"20 inch")</f>
        <v>20 inch</v>
      </c>
      <c r="Q531" s="152" t="str">
        <f>IFERROR(__xludf.DUMMYFUNCTION("""COMPUTED_VALUE"""),"All Black")</f>
        <v>All Black</v>
      </c>
      <c r="R531" s="149" t="str">
        <f>IFERROR(__xludf.DUMMYFUNCTION("""COMPUTED_VALUE"""),"Autopilot included")</f>
        <v>Autopilot included</v>
      </c>
      <c r="S531" s="149" t="str">
        <f>IFERROR(__xludf.DUMMYFUNCTION("""COMPUTED_VALUE"""),"Loan")</f>
        <v>Loan</v>
      </c>
      <c r="T531" s="145" t="str">
        <f>IFERROR(__xludf.DUMMYFUNCTION("""COMPUTED_VALUE"""),"Subaru WRX")</f>
        <v>Subaru WRX</v>
      </c>
      <c r="U531" s="145" t="str">
        <f>IFERROR(__xludf.DUMMYFUNCTION("""COMPUTED_VALUE"""),"Fast AF")</f>
        <v>Fast AF</v>
      </c>
      <c r="V531" s="145" t="str">
        <f>IFERROR(__xludf.DUMMYFUNCTION("""COMPUTED_VALUE"""),"Bioweapon defense mode")</f>
        <v>Bioweapon defense mode</v>
      </c>
      <c r="W531" s="145" t="str">
        <f>IFERROR(__xludf.DUMMYFUNCTION("""COMPUTED_VALUE"""),"worth it")</f>
        <v>worth it</v>
      </c>
      <c r="X531" s="137" t="str">
        <f>IFERROR(__xludf.DUMMYFUNCTION("""COMPUTED_VALUE"""),"Excellent")</f>
        <v>Excellent</v>
      </c>
      <c r="Y531" s="138" t="str">
        <f>IFERROR(__xludf.DUMMYFUNCTION("""COMPUTED_VALUE"""),"Excellent")</f>
        <v>Excellent</v>
      </c>
      <c r="Z531" s="138" t="str">
        <f>IFERROR(__xludf.DUMMYFUNCTION("""COMPUTED_VALUE"""),"Excellent")</f>
        <v>Excellent</v>
      </c>
      <c r="AA531" s="138" t="str">
        <f>IFERROR(__xludf.DUMMYFUNCTION("""COMPUTED_VALUE"""),"Fair")</f>
        <v>Fair</v>
      </c>
      <c r="AB531" s="138" t="str">
        <f>IFERROR(__xludf.DUMMYFUNCTION("""COMPUTED_VALUE"""),"Fair")</f>
        <v>Fair</v>
      </c>
      <c r="AC531" s="139"/>
      <c r="AD531" s="139"/>
      <c r="AE531" s="139"/>
      <c r="AF531" s="140" t="str">
        <f>IFERROR(__xludf.DUMMYFUNCTION("""COMPUTED_VALUE"""),"No. I took delivery of the first car Tesla was able to deliver.")</f>
        <v>No. I took delivery of the first car Tesla was able to deliver.</v>
      </c>
      <c r="AG531" s="145"/>
      <c r="AH531" s="157">
        <f>IFERROR(__xludf.DUMMYFUNCTION("""COMPUTED_VALUE"""),44416.34620190972)</f>
        <v>44416.3462</v>
      </c>
      <c r="AI531" s="138"/>
      <c r="AJ531" s="138"/>
      <c r="AK531" s="138"/>
      <c r="AL531" s="142"/>
    </row>
    <row r="532" ht="20.25" customHeight="1">
      <c r="A532" s="155" t="str">
        <f>IFERROR(__xludf.DUMMYFUNCTION("""COMPUTED_VALUE"""),"NJR46")</f>
        <v>NJR46</v>
      </c>
      <c r="B532" s="149" t="str">
        <f>IFERROR(__xludf.DUMMYFUNCTION("""COMPUTED_VALUE"""),"Colchester")</f>
        <v>Colchester</v>
      </c>
      <c r="C532" s="149"/>
      <c r="D532" s="149" t="str">
        <f>IFERROR(__xludf.DUMMYFUNCTION("""COMPUTED_VALUE"""),"United Kingdom")</f>
        <v>United Kingdom</v>
      </c>
      <c r="E532" s="156">
        <f>IFERROR(__xludf.DUMMYFUNCTION("""COMPUTED_VALUE"""),44375.0)</f>
        <v>44375</v>
      </c>
      <c r="F532" s="129">
        <f>IFERROR(__xludf.DUMMYFUNCTION("""COMPUTED_VALUE"""),44405.0)</f>
        <v>44405</v>
      </c>
      <c r="G532" s="154" t="str">
        <f>IFERROR(__xludf.DUMMYFUNCTION("""COMPUTED_VALUE"""),"Source code")</f>
        <v>Source code</v>
      </c>
      <c r="H532" s="131">
        <f>IFERROR(__xludf.DUMMYFUNCTION("""COMPUTED_VALUE"""),312055.0)</f>
        <v>312055</v>
      </c>
      <c r="I532" s="144"/>
      <c r="J532" s="129">
        <f>IFERROR(__xludf.DUMMYFUNCTION("""COMPUTED_VALUE"""),44450.0)</f>
        <v>44450</v>
      </c>
      <c r="K532" s="133">
        <f>IFERROR(__xludf.DUMMYFUNCTION("""COMPUTED_VALUE"""),30.0)</f>
        <v>30</v>
      </c>
      <c r="L532" s="133">
        <f>IFERROR(__xludf.DUMMYFUNCTION("""COMPUTED_VALUE"""),45.0)</f>
        <v>45</v>
      </c>
      <c r="M532" s="133">
        <f>IFERROR(__xludf.DUMMYFUNCTION("""COMPUTED_VALUE"""),75.0)</f>
        <v>75</v>
      </c>
      <c r="N532" s="152" t="str">
        <f>IFERROR(__xludf.DUMMYFUNCTION("""COMPUTED_VALUE"""),"Model 3 Performance")</f>
        <v>Model 3 Performance</v>
      </c>
      <c r="O532" s="152" t="str">
        <f>IFERROR(__xludf.DUMMYFUNCTION("""COMPUTED_VALUE"""),"Solid Black")</f>
        <v>Solid Black</v>
      </c>
      <c r="P532" s="153" t="str">
        <f>IFERROR(__xludf.DUMMYFUNCTION("""COMPUTED_VALUE"""),"20 inch")</f>
        <v>20 inch</v>
      </c>
      <c r="Q532" s="152" t="str">
        <f>IFERROR(__xludf.DUMMYFUNCTION("""COMPUTED_VALUE"""),"All Black")</f>
        <v>All Black</v>
      </c>
      <c r="R532" s="149" t="str">
        <f>IFERROR(__xludf.DUMMYFUNCTION("""COMPUTED_VALUE"""),"Autopilot included")</f>
        <v>Autopilot included</v>
      </c>
      <c r="S532" s="149" t="str">
        <f>IFERROR(__xludf.DUMMYFUNCTION("""COMPUTED_VALUE"""),"Lease")</f>
        <v>Lease</v>
      </c>
      <c r="T532" s="145" t="str">
        <f>IFERROR(__xludf.DUMMYFUNCTION("""COMPUTED_VALUE"""),"Range Rover Velar")</f>
        <v>Range Rover Velar</v>
      </c>
      <c r="U532" s="145" t="str">
        <f>IFERROR(__xludf.DUMMYFUNCTION("""COMPUTED_VALUE"""),"Electric!")</f>
        <v>Electric!</v>
      </c>
      <c r="V532" s="145" t="str">
        <f>IFERROR(__xludf.DUMMYFUNCTION("""COMPUTED_VALUE"""),"360° Bird's eye view")</f>
        <v>360° Bird's eye view</v>
      </c>
      <c r="W532" s="145"/>
      <c r="X532" s="137"/>
      <c r="Y532" s="138"/>
      <c r="Z532" s="138"/>
      <c r="AA532" s="138"/>
      <c r="AB532" s="138"/>
      <c r="AC532" s="139"/>
      <c r="AD532" s="139"/>
      <c r="AE532" s="139"/>
      <c r="AF532" s="140"/>
      <c r="AG532" s="145"/>
      <c r="AH532" s="157">
        <f>IFERROR(__xludf.DUMMYFUNCTION("""COMPUTED_VALUE"""),44428.172349953704)</f>
        <v>44428.17235</v>
      </c>
      <c r="AI532" s="138"/>
      <c r="AJ532" s="138"/>
      <c r="AK532" s="138"/>
      <c r="AL532" s="142"/>
    </row>
    <row r="533" ht="20.25" customHeight="1">
      <c r="A533" s="155" t="str">
        <f>IFERROR(__xludf.DUMMYFUNCTION("""COMPUTED_VALUE"""),"samwise")</f>
        <v>samwise</v>
      </c>
      <c r="B533" s="149" t="str">
        <f>IFERROR(__xludf.DUMMYFUNCTION("""COMPUTED_VALUE"""),"Redmond")</f>
        <v>Redmond</v>
      </c>
      <c r="C533" s="149" t="str">
        <f>IFERROR(__xludf.DUMMYFUNCTION("""COMPUTED_VALUE"""),"WA")</f>
        <v>WA</v>
      </c>
      <c r="D533" s="149" t="str">
        <f>IFERROR(__xludf.DUMMYFUNCTION("""COMPUTED_VALUE"""),"USA")</f>
        <v>USA</v>
      </c>
      <c r="E533" s="156">
        <f>IFERROR(__xludf.DUMMYFUNCTION("""COMPUTED_VALUE"""),44375.0)</f>
        <v>44375</v>
      </c>
      <c r="F533" s="129"/>
      <c r="G533" s="154"/>
      <c r="H533" s="131"/>
      <c r="I533" s="144"/>
      <c r="J533" s="129"/>
      <c r="K533" s="133"/>
      <c r="L533" s="133"/>
      <c r="M533" s="133"/>
      <c r="N533" s="152" t="str">
        <f>IFERROR(__xludf.DUMMYFUNCTION("""COMPUTED_VALUE"""),"Model 3 LR AWD")</f>
        <v>Model 3 LR AWD</v>
      </c>
      <c r="O533" s="152" t="str">
        <f>IFERROR(__xludf.DUMMYFUNCTION("""COMPUTED_VALUE"""),"Pearl White Multi-Coat")</f>
        <v>Pearl White Multi-Coat</v>
      </c>
      <c r="P533" s="153" t="str">
        <f>IFERROR(__xludf.DUMMYFUNCTION("""COMPUTED_VALUE"""),"18 inch")</f>
        <v>18 inch</v>
      </c>
      <c r="Q533" s="152" t="str">
        <f>IFERROR(__xludf.DUMMYFUNCTION("""COMPUTED_VALUE"""),"All Black")</f>
        <v>All Black</v>
      </c>
      <c r="R533" s="149" t="str">
        <f>IFERROR(__xludf.DUMMYFUNCTION("""COMPUTED_VALUE"""),"Autopilot included")</f>
        <v>Autopilot included</v>
      </c>
      <c r="S533" s="149" t="str">
        <f>IFERROR(__xludf.DUMMYFUNCTION("""COMPUTED_VALUE"""),"Loan")</f>
        <v>Loan</v>
      </c>
      <c r="T533" s="145" t="str">
        <f>IFERROR(__xludf.DUMMYFUNCTION("""COMPUTED_VALUE"""),"Toyota Highlander")</f>
        <v>Toyota Highlander</v>
      </c>
      <c r="U533" s="145" t="str">
        <f>IFERROR(__xludf.DUMMYFUNCTION("""COMPUTED_VALUE"""),"Supercharger V3 support")</f>
        <v>Supercharger V3 support</v>
      </c>
      <c r="V533" s="145" t="str">
        <f>IFERROR(__xludf.DUMMYFUNCTION("""COMPUTED_VALUE"""),"Head-up display")</f>
        <v>Head-up display</v>
      </c>
      <c r="W533" s="145"/>
      <c r="X533" s="137"/>
      <c r="Y533" s="138"/>
      <c r="Z533" s="138"/>
      <c r="AA533" s="138"/>
      <c r="AB533" s="138"/>
      <c r="AC533" s="139"/>
      <c r="AD533" s="139"/>
      <c r="AE533" s="139"/>
      <c r="AF533" s="140"/>
      <c r="AG533" s="145"/>
      <c r="AH533" s="157">
        <f>IFERROR(__xludf.DUMMYFUNCTION("""COMPUTED_VALUE"""),44476.567102245375)</f>
        <v>44476.5671</v>
      </c>
      <c r="AI533" s="138"/>
      <c r="AJ533" s="138"/>
      <c r="AK533" s="138"/>
      <c r="AL533" s="142"/>
    </row>
    <row r="534" ht="20.25" customHeight="1">
      <c r="A534" s="155" t="str">
        <f>IFERROR(__xludf.DUMMYFUNCTION("""COMPUTED_VALUE"""),"smutie")</f>
        <v>smutie</v>
      </c>
      <c r="B534" s="149" t="str">
        <f>IFERROR(__xludf.DUMMYFUNCTION("""COMPUTED_VALUE"""),"Middleton")</f>
        <v>Middleton</v>
      </c>
      <c r="C534" s="149" t="str">
        <f>IFERROR(__xludf.DUMMYFUNCTION("""COMPUTED_VALUE"""),"WI")</f>
        <v>WI</v>
      </c>
      <c r="D534" s="149" t="str">
        <f>IFERROR(__xludf.DUMMYFUNCTION("""COMPUTED_VALUE"""),"USA")</f>
        <v>USA</v>
      </c>
      <c r="E534" s="156">
        <f>IFERROR(__xludf.DUMMYFUNCTION("""COMPUTED_VALUE"""),44375.0)</f>
        <v>44375</v>
      </c>
      <c r="F534" s="129">
        <f>IFERROR(__xludf.DUMMYFUNCTION("""COMPUTED_VALUE"""),44424.0)</f>
        <v>44424</v>
      </c>
      <c r="G534" s="154" t="str">
        <f>IFERROR(__xludf.DUMMYFUNCTION("""COMPUTED_VALUE"""),"Manage order page (normal text)")</f>
        <v>Manage order page (normal text)</v>
      </c>
      <c r="H534" s="131"/>
      <c r="I534" s="144"/>
      <c r="J534" s="129">
        <f>IFERROR(__xludf.DUMMYFUNCTION("""COMPUTED_VALUE"""),44434.0)</f>
        <v>44434</v>
      </c>
      <c r="K534" s="133">
        <f>IFERROR(__xludf.DUMMYFUNCTION("""COMPUTED_VALUE"""),49.0)</f>
        <v>49</v>
      </c>
      <c r="L534" s="133">
        <f>IFERROR(__xludf.DUMMYFUNCTION("""COMPUTED_VALUE"""),10.0)</f>
        <v>10</v>
      </c>
      <c r="M534" s="133">
        <f>IFERROR(__xludf.DUMMYFUNCTION("""COMPUTED_VALUE"""),59.0)</f>
        <v>59</v>
      </c>
      <c r="N534" s="152" t="str">
        <f>IFERROR(__xludf.DUMMYFUNCTION("""COMPUTED_VALUE"""),"Model 3 LR AWD")</f>
        <v>Model 3 LR AWD</v>
      </c>
      <c r="O534" s="152" t="str">
        <f>IFERROR(__xludf.DUMMYFUNCTION("""COMPUTED_VALUE"""),"Red Multi-Coat")</f>
        <v>Red Multi-Coat</v>
      </c>
      <c r="P534" s="153" t="str">
        <f>IFERROR(__xludf.DUMMYFUNCTION("""COMPUTED_VALUE"""),"19 inch")</f>
        <v>19 inch</v>
      </c>
      <c r="Q534" s="152" t="str">
        <f>IFERROR(__xludf.DUMMYFUNCTION("""COMPUTED_VALUE"""),"All Black")</f>
        <v>All Black</v>
      </c>
      <c r="R534" s="149" t="str">
        <f>IFERROR(__xludf.DUMMYFUNCTION("""COMPUTED_VALUE"""),"Full Self-Driving")</f>
        <v>Full Self-Driving</v>
      </c>
      <c r="S534" s="149" t="str">
        <f>IFERROR(__xludf.DUMMYFUNCTION("""COMPUTED_VALUE"""),"Loan")</f>
        <v>Loan</v>
      </c>
      <c r="T534" s="145"/>
      <c r="U534" s="145" t="str">
        <f>IFERROR(__xludf.DUMMYFUNCTION("""COMPUTED_VALUE"""),"Electric!")</f>
        <v>Electric!</v>
      </c>
      <c r="V534" s="145" t="str">
        <f>IFERROR(__xludf.DUMMYFUNCTION("""COMPUTED_VALUE"""),"Apple CarPlay / Android Auto / SiriusXM Radio")</f>
        <v>Apple CarPlay / Android Auto / SiriusXM Radio</v>
      </c>
      <c r="W534" s="145"/>
      <c r="X534" s="137" t="str">
        <f>IFERROR(__xludf.DUMMYFUNCTION("""COMPUTED_VALUE"""),"Excellent")</f>
        <v>Excellent</v>
      </c>
      <c r="Y534" s="138" t="str">
        <f>IFERROR(__xludf.DUMMYFUNCTION("""COMPUTED_VALUE"""),"Excellent")</f>
        <v>Excellent</v>
      </c>
      <c r="Z534" s="138" t="str">
        <f>IFERROR(__xludf.DUMMYFUNCTION("""COMPUTED_VALUE"""),"Excellent")</f>
        <v>Excellent</v>
      </c>
      <c r="AA534" s="138" t="str">
        <f>IFERROR(__xludf.DUMMYFUNCTION("""COMPUTED_VALUE"""),"Excellent")</f>
        <v>Excellent</v>
      </c>
      <c r="AB534" s="138" t="str">
        <f>IFERROR(__xludf.DUMMYFUNCTION("""COMPUTED_VALUE"""),"Excellent")</f>
        <v>Excellent</v>
      </c>
      <c r="AC534" s="139"/>
      <c r="AD534" s="139"/>
      <c r="AE534" s="139"/>
      <c r="AF534" s="140" t="str">
        <f>IFERROR(__xludf.DUMMYFUNCTION("""COMPUTED_VALUE"""),"No. I took delivery of the first car Tesla was able to deliver.")</f>
        <v>No. I took delivery of the first car Tesla was able to deliver.</v>
      </c>
      <c r="AG534" s="145"/>
      <c r="AH534" s="157">
        <f>IFERROR(__xludf.DUMMYFUNCTION("""COMPUTED_VALUE"""),44435.3216124537)</f>
        <v>44435.32161</v>
      </c>
      <c r="AI534" s="138"/>
      <c r="AJ534" s="138"/>
      <c r="AK534" s="138"/>
      <c r="AL534" s="142"/>
    </row>
    <row r="535" ht="20.25" customHeight="1">
      <c r="A535" s="155" t="str">
        <f>IFERROR(__xludf.DUMMYFUNCTION("""COMPUTED_VALUE"""),"TheSheriff")</f>
        <v>TheSheriff</v>
      </c>
      <c r="B535" s="149" t="str">
        <f>IFERROR(__xludf.DUMMYFUNCTION("""COMPUTED_VALUE"""),"Belleville")</f>
        <v>Belleville</v>
      </c>
      <c r="C535" s="149" t="str">
        <f>IFERROR(__xludf.DUMMYFUNCTION("""COMPUTED_VALUE"""),"IL")</f>
        <v>IL</v>
      </c>
      <c r="D535" s="149" t="str">
        <f>IFERROR(__xludf.DUMMYFUNCTION("""COMPUTED_VALUE"""),"USA")</f>
        <v>USA</v>
      </c>
      <c r="E535" s="156">
        <f>IFERROR(__xludf.DUMMYFUNCTION("""COMPUTED_VALUE"""),44375.0)</f>
        <v>44375</v>
      </c>
      <c r="F535" s="129">
        <f>IFERROR(__xludf.DUMMYFUNCTION("""COMPUTED_VALUE"""),44449.0)</f>
        <v>44449</v>
      </c>
      <c r="G535" s="154" t="str">
        <f>IFERROR(__xludf.DUMMYFUNCTION("""COMPUTED_VALUE"""),"Manage order page (normal text)")</f>
        <v>Manage order page (normal text)</v>
      </c>
      <c r="H535" s="131"/>
      <c r="I535" s="144"/>
      <c r="J535" s="129"/>
      <c r="K535" s="133">
        <f>IFERROR(__xludf.DUMMYFUNCTION("""COMPUTED_VALUE"""),74.0)</f>
        <v>74</v>
      </c>
      <c r="L535" s="133"/>
      <c r="M535" s="133"/>
      <c r="N535" s="152" t="str">
        <f>IFERROR(__xludf.DUMMYFUNCTION("""COMPUTED_VALUE"""),"Model 3 SR+")</f>
        <v>Model 3 SR+</v>
      </c>
      <c r="O535" s="152" t="str">
        <f>IFERROR(__xludf.DUMMYFUNCTION("""COMPUTED_VALUE"""),"Solid Black")</f>
        <v>Solid Black</v>
      </c>
      <c r="P535" s="153" t="str">
        <f>IFERROR(__xludf.DUMMYFUNCTION("""COMPUTED_VALUE"""),"18 inch")</f>
        <v>18 inch</v>
      </c>
      <c r="Q535" s="152" t="str">
        <f>IFERROR(__xludf.DUMMYFUNCTION("""COMPUTED_VALUE"""),"All Black")</f>
        <v>All Black</v>
      </c>
      <c r="R535" s="149" t="str">
        <f>IFERROR(__xludf.DUMMYFUNCTION("""COMPUTED_VALUE"""),"Autopilot included")</f>
        <v>Autopilot included</v>
      </c>
      <c r="S535" s="149" t="str">
        <f>IFERROR(__xludf.DUMMYFUNCTION("""COMPUTED_VALUE"""),"Loan")</f>
        <v>Loan</v>
      </c>
      <c r="T535" s="145" t="str">
        <f>IFERROR(__xludf.DUMMYFUNCTION("""COMPUTED_VALUE"""),"Ford Focus")</f>
        <v>Ford Focus</v>
      </c>
      <c r="U535" s="145" t="str">
        <f>IFERROR(__xludf.DUMMYFUNCTION("""COMPUTED_VALUE"""),"Electric!")</f>
        <v>Electric!</v>
      </c>
      <c r="V535" s="145"/>
      <c r="W535" s="145"/>
      <c r="X535" s="137"/>
      <c r="Y535" s="138"/>
      <c r="Z535" s="138"/>
      <c r="AA535" s="138"/>
      <c r="AB535" s="138"/>
      <c r="AC535" s="139"/>
      <c r="AD535" s="139"/>
      <c r="AE535" s="139"/>
      <c r="AF535" s="140"/>
      <c r="AG535" s="145"/>
      <c r="AH535" s="157">
        <f>IFERROR(__xludf.DUMMYFUNCTION("""COMPUTED_VALUE"""),44449.656052245366)</f>
        <v>44449.65605</v>
      </c>
      <c r="AI535" s="138"/>
      <c r="AJ535" s="138"/>
      <c r="AK535" s="138"/>
      <c r="AL535" s="142"/>
    </row>
    <row r="536" ht="20.25" customHeight="1">
      <c r="A536" s="155" t="str">
        <f>IFERROR(__xludf.DUMMYFUNCTION("""COMPUTED_VALUE"""),"zevs")</f>
        <v>zevs</v>
      </c>
      <c r="B536" s="149" t="str">
        <f>IFERROR(__xludf.DUMMYFUNCTION("""COMPUTED_VALUE"""),"Champaign")</f>
        <v>Champaign</v>
      </c>
      <c r="C536" s="149" t="str">
        <f>IFERROR(__xludf.DUMMYFUNCTION("""COMPUTED_VALUE"""),"IL")</f>
        <v>IL</v>
      </c>
      <c r="D536" s="149" t="str">
        <f>IFERROR(__xludf.DUMMYFUNCTION("""COMPUTED_VALUE"""),"USA")</f>
        <v>USA</v>
      </c>
      <c r="E536" s="156">
        <f>IFERROR(__xludf.DUMMYFUNCTION("""COMPUTED_VALUE"""),44375.0)</f>
        <v>44375</v>
      </c>
      <c r="F536" s="129">
        <f>IFERROR(__xludf.DUMMYFUNCTION("""COMPUTED_VALUE"""),44437.0)</f>
        <v>44437</v>
      </c>
      <c r="G536" s="154" t="str">
        <f>IFERROR(__xludf.DUMMYFUNCTION("""COMPUTED_VALUE"""),"Manage order page (normal text)")</f>
        <v>Manage order page (normal text)</v>
      </c>
      <c r="H536" s="131"/>
      <c r="I536" s="144"/>
      <c r="J536" s="129">
        <f>IFERROR(__xludf.DUMMYFUNCTION("""COMPUTED_VALUE"""),44450.0)</f>
        <v>44450</v>
      </c>
      <c r="K536" s="133">
        <f>IFERROR(__xludf.DUMMYFUNCTION("""COMPUTED_VALUE"""),62.0)</f>
        <v>62</v>
      </c>
      <c r="L536" s="133">
        <f>IFERROR(__xludf.DUMMYFUNCTION("""COMPUTED_VALUE"""),13.0)</f>
        <v>13</v>
      </c>
      <c r="M536" s="133">
        <f>IFERROR(__xludf.DUMMYFUNCTION("""COMPUTED_VALUE"""),75.0)</f>
        <v>75</v>
      </c>
      <c r="N536" s="152" t="str">
        <f>IFERROR(__xludf.DUMMYFUNCTION("""COMPUTED_VALUE"""),"Model 3 SR+")</f>
        <v>Model 3 SR+</v>
      </c>
      <c r="O536" s="152" t="str">
        <f>IFERROR(__xludf.DUMMYFUNCTION("""COMPUTED_VALUE"""),"Midnight Silver Metallic")</f>
        <v>Midnight Silver Metallic</v>
      </c>
      <c r="P536" s="153" t="str">
        <f>IFERROR(__xludf.DUMMYFUNCTION("""COMPUTED_VALUE"""),"18 inch")</f>
        <v>18 inch</v>
      </c>
      <c r="Q536" s="152" t="str">
        <f>IFERROR(__xludf.DUMMYFUNCTION("""COMPUTED_VALUE"""),"All Black")</f>
        <v>All Black</v>
      </c>
      <c r="R536" s="149" t="str">
        <f>IFERROR(__xludf.DUMMYFUNCTION("""COMPUTED_VALUE"""),"Autopilot included")</f>
        <v>Autopilot included</v>
      </c>
      <c r="S536" s="149" t="str">
        <f>IFERROR(__xludf.DUMMYFUNCTION("""COMPUTED_VALUE"""),"Loan")</f>
        <v>Loan</v>
      </c>
      <c r="T536" s="145" t="str">
        <f>IFERROR(__xludf.DUMMYFUNCTION("""COMPUTED_VALUE"""),"VW Golf")</f>
        <v>VW Golf</v>
      </c>
      <c r="U536" s="145" t="str">
        <f>IFERROR(__xludf.DUMMYFUNCTION("""COMPUTED_VALUE"""),"Electric!")</f>
        <v>Electric!</v>
      </c>
      <c r="V536" s="145" t="str">
        <f>IFERROR(__xludf.DUMMYFUNCTION("""COMPUTED_VALUE"""),"Apple CarPlay / Android Auto / SiriusXM Radio")</f>
        <v>Apple CarPlay / Android Auto / SiriusXM Radio</v>
      </c>
      <c r="W536" s="145"/>
      <c r="X536" s="137"/>
      <c r="Y536" s="138"/>
      <c r="Z536" s="138"/>
      <c r="AA536" s="138"/>
      <c r="AB536" s="138"/>
      <c r="AC536" s="139"/>
      <c r="AD536" s="139"/>
      <c r="AE536" s="139"/>
      <c r="AF536" s="140"/>
      <c r="AG536" s="145"/>
      <c r="AH536" s="157">
        <f>IFERROR(__xludf.DUMMYFUNCTION("""COMPUTED_VALUE"""),44448.857474965276)</f>
        <v>44448.85747</v>
      </c>
      <c r="AI536" s="138"/>
      <c r="AJ536" s="138"/>
      <c r="AK536" s="138"/>
      <c r="AL536" s="142"/>
    </row>
    <row r="537" ht="20.25" customHeight="1">
      <c r="A537" s="155" t="str">
        <f>IFERROR(__xludf.DUMMYFUNCTION("""COMPUTED_VALUE"""),"dillonu")</f>
        <v>dillonu</v>
      </c>
      <c r="B537" s="149" t="str">
        <f>IFERROR(__xludf.DUMMYFUNCTION("""COMPUTED_VALUE"""),"Tobyhanna")</f>
        <v>Tobyhanna</v>
      </c>
      <c r="C537" s="149" t="str">
        <f>IFERROR(__xludf.DUMMYFUNCTION("""COMPUTED_VALUE"""),"PA")</f>
        <v>PA</v>
      </c>
      <c r="D537" s="149" t="str">
        <f>IFERROR(__xludf.DUMMYFUNCTION("""COMPUTED_VALUE"""),"USA")</f>
        <v>USA</v>
      </c>
      <c r="E537" s="156">
        <f>IFERROR(__xludf.DUMMYFUNCTION("""COMPUTED_VALUE"""),44374.0)</f>
        <v>44374</v>
      </c>
      <c r="F537" s="129">
        <f>IFERROR(__xludf.DUMMYFUNCTION("""COMPUTED_VALUE"""),44421.0)</f>
        <v>44421</v>
      </c>
      <c r="G537" s="154" t="str">
        <f>IFERROR(__xludf.DUMMYFUNCTION("""COMPUTED_VALUE"""),"Manage order page (normal text)")</f>
        <v>Manage order page (normal text)</v>
      </c>
      <c r="H537" s="131">
        <f>IFERROR(__xludf.DUMMYFUNCTION("""COMPUTED_VALUE"""),37255.0)</f>
        <v>37255</v>
      </c>
      <c r="I537" s="144"/>
      <c r="J537" s="129">
        <f>IFERROR(__xludf.DUMMYFUNCTION("""COMPUTED_VALUE"""),44434.0)</f>
        <v>44434</v>
      </c>
      <c r="K537" s="133">
        <f>IFERROR(__xludf.DUMMYFUNCTION("""COMPUTED_VALUE"""),47.0)</f>
        <v>47</v>
      </c>
      <c r="L537" s="133">
        <f>IFERROR(__xludf.DUMMYFUNCTION("""COMPUTED_VALUE"""),13.0)</f>
        <v>13</v>
      </c>
      <c r="M537" s="133">
        <f>IFERROR(__xludf.DUMMYFUNCTION("""COMPUTED_VALUE"""),60.0)</f>
        <v>60</v>
      </c>
      <c r="N537" s="152" t="str">
        <f>IFERROR(__xludf.DUMMYFUNCTION("""COMPUTED_VALUE"""),"Model 3 LR AWD")</f>
        <v>Model 3 LR AWD</v>
      </c>
      <c r="O537" s="152" t="str">
        <f>IFERROR(__xludf.DUMMYFUNCTION("""COMPUTED_VALUE"""),"Midnight Silver Metallic")</f>
        <v>Midnight Silver Metallic</v>
      </c>
      <c r="P537" s="153" t="str">
        <f>IFERROR(__xludf.DUMMYFUNCTION("""COMPUTED_VALUE"""),"18 inch")</f>
        <v>18 inch</v>
      </c>
      <c r="Q537" s="152" t="str">
        <f>IFERROR(__xludf.DUMMYFUNCTION("""COMPUTED_VALUE"""),"Black and White")</f>
        <v>Black and White</v>
      </c>
      <c r="R537" s="149" t="str">
        <f>IFERROR(__xludf.DUMMYFUNCTION("""COMPUTED_VALUE"""),"Full Self-Driving")</f>
        <v>Full Self-Driving</v>
      </c>
      <c r="S537" s="149" t="str">
        <f>IFERROR(__xludf.DUMMYFUNCTION("""COMPUTED_VALUE"""),"Loan")</f>
        <v>Loan</v>
      </c>
      <c r="T537" s="145"/>
      <c r="U537" s="145" t="str">
        <f>IFERROR(__xludf.DUMMYFUNCTION("""COMPUTED_VALUE"""),"Electric!")</f>
        <v>Electric!</v>
      </c>
      <c r="V537" s="145" t="str">
        <f>IFERROR(__xludf.DUMMYFUNCTION("""COMPUTED_VALUE"""),"360° Bird's eye view")</f>
        <v>360° Bird's eye view</v>
      </c>
      <c r="W537" s="145"/>
      <c r="X537" s="137"/>
      <c r="Y537" s="138"/>
      <c r="Z537" s="138"/>
      <c r="AA537" s="138"/>
      <c r="AB537" s="138"/>
      <c r="AC537" s="139"/>
      <c r="AD537" s="139"/>
      <c r="AE537" s="139"/>
      <c r="AF537" s="140"/>
      <c r="AG537" s="145"/>
      <c r="AH537" s="157">
        <f>IFERROR(__xludf.DUMMYFUNCTION("""COMPUTED_VALUE"""),44425.37729659722)</f>
        <v>44425.3773</v>
      </c>
      <c r="AI537" s="138"/>
      <c r="AJ537" s="138"/>
      <c r="AK537" s="138"/>
      <c r="AL537" s="142"/>
    </row>
    <row r="538" ht="20.25" customHeight="1">
      <c r="A538" s="155" t="str">
        <f>IFERROR(__xludf.DUMMYFUNCTION("""COMPUTED_VALUE"""),"DodgersChamps")</f>
        <v>DodgersChamps</v>
      </c>
      <c r="B538" s="149" t="str">
        <f>IFERROR(__xludf.DUMMYFUNCTION("""COMPUTED_VALUE"""),"Los Angeles")</f>
        <v>Los Angeles</v>
      </c>
      <c r="C538" s="149" t="str">
        <f>IFERROR(__xludf.DUMMYFUNCTION("""COMPUTED_VALUE"""),"CA")</f>
        <v>CA</v>
      </c>
      <c r="D538" s="149" t="str">
        <f>IFERROR(__xludf.DUMMYFUNCTION("""COMPUTED_VALUE"""),"USA")</f>
        <v>USA</v>
      </c>
      <c r="E538" s="156">
        <f>IFERROR(__xludf.DUMMYFUNCTION("""COMPUTED_VALUE"""),44374.0)</f>
        <v>44374</v>
      </c>
      <c r="F538" s="129">
        <f>IFERROR(__xludf.DUMMYFUNCTION("""COMPUTED_VALUE"""),44441.0)</f>
        <v>44441</v>
      </c>
      <c r="G538" s="154" t="str">
        <f>IFERROR(__xludf.DUMMYFUNCTION("""COMPUTED_VALUE"""),"Manage order page (normal text)")</f>
        <v>Manage order page (normal text)</v>
      </c>
      <c r="H538" s="131">
        <f>IFERROR(__xludf.DUMMYFUNCTION("""COMPUTED_VALUE"""),56655.0)</f>
        <v>56655</v>
      </c>
      <c r="I538" s="144" t="str">
        <f>IFERROR(__xludf.DUMMYFUNCTION("""COMPUTED_VALUE"""),"09/21")</f>
        <v>09/21</v>
      </c>
      <c r="J538" s="129">
        <f>IFERROR(__xludf.DUMMYFUNCTION("""COMPUTED_VALUE"""),44447.0)</f>
        <v>44447</v>
      </c>
      <c r="K538" s="133">
        <f>IFERROR(__xludf.DUMMYFUNCTION("""COMPUTED_VALUE"""),67.0)</f>
        <v>67</v>
      </c>
      <c r="L538" s="133">
        <f>IFERROR(__xludf.DUMMYFUNCTION("""COMPUTED_VALUE"""),6.0)</f>
        <v>6</v>
      </c>
      <c r="M538" s="133">
        <f>IFERROR(__xludf.DUMMYFUNCTION("""COMPUTED_VALUE"""),73.0)</f>
        <v>73</v>
      </c>
      <c r="N538" s="152" t="str">
        <f>IFERROR(__xludf.DUMMYFUNCTION("""COMPUTED_VALUE"""),"Model 3 LR AWD")</f>
        <v>Model 3 LR AWD</v>
      </c>
      <c r="O538" s="152" t="str">
        <f>IFERROR(__xludf.DUMMYFUNCTION("""COMPUTED_VALUE"""),"Midnight Silver Metallic")</f>
        <v>Midnight Silver Metallic</v>
      </c>
      <c r="P538" s="153" t="str">
        <f>IFERROR(__xludf.DUMMYFUNCTION("""COMPUTED_VALUE"""),"18 inch")</f>
        <v>18 inch</v>
      </c>
      <c r="Q538" s="152" t="str">
        <f>IFERROR(__xludf.DUMMYFUNCTION("""COMPUTED_VALUE"""),"All Black")</f>
        <v>All Black</v>
      </c>
      <c r="R538" s="149" t="str">
        <f>IFERROR(__xludf.DUMMYFUNCTION("""COMPUTED_VALUE"""),"Autopilot included")</f>
        <v>Autopilot included</v>
      </c>
      <c r="S538" s="149" t="str">
        <f>IFERROR(__xludf.DUMMYFUNCTION("""COMPUTED_VALUE"""),"Loan")</f>
        <v>Loan</v>
      </c>
      <c r="T538" s="145" t="str">
        <f>IFERROR(__xludf.DUMMYFUNCTION("""COMPUTED_VALUE"""),"Acura TL")</f>
        <v>Acura TL</v>
      </c>
      <c r="U538" s="145" t="str">
        <f>IFERROR(__xludf.DUMMYFUNCTION("""COMPUTED_VALUE"""),"Electric!")</f>
        <v>Electric!</v>
      </c>
      <c r="V538" s="145" t="str">
        <f>IFERROR(__xludf.DUMMYFUNCTION("""COMPUTED_VALUE"""),"Blind spot indicators on side mirrors")</f>
        <v>Blind spot indicators on side mirrors</v>
      </c>
      <c r="W538" s="145" t="str">
        <f>IFERROR(__xludf.DUMMYFUNCTION("""COMPUTED_VALUE"""),"Don't apply for loan too early")</f>
        <v>Don't apply for loan too early</v>
      </c>
      <c r="X538" s="137" t="str">
        <f>IFERROR(__xludf.DUMMYFUNCTION("""COMPUTED_VALUE"""),"Excellent")</f>
        <v>Excellent</v>
      </c>
      <c r="Y538" s="138" t="str">
        <f>IFERROR(__xludf.DUMMYFUNCTION("""COMPUTED_VALUE"""),"Excellent")</f>
        <v>Excellent</v>
      </c>
      <c r="Z538" s="138" t="str">
        <f>IFERROR(__xludf.DUMMYFUNCTION("""COMPUTED_VALUE"""),"Excellent")</f>
        <v>Excellent</v>
      </c>
      <c r="AA538" s="138" t="str">
        <f>IFERROR(__xludf.DUMMYFUNCTION("""COMPUTED_VALUE"""),"Excellent")</f>
        <v>Excellent</v>
      </c>
      <c r="AB538" s="138" t="str">
        <f>IFERROR(__xludf.DUMMYFUNCTION("""COMPUTED_VALUE"""),"Excellent")</f>
        <v>Excellent</v>
      </c>
      <c r="AC538" s="139">
        <f>IFERROR(__xludf.DUMMYFUNCTION("""COMPUTED_VALUE"""),0.0)</f>
        <v>0</v>
      </c>
      <c r="AD538" s="139">
        <f>IFERROR(__xludf.DUMMYFUNCTION("""COMPUTED_VALUE"""),0.0)</f>
        <v>0</v>
      </c>
      <c r="AE538" s="139">
        <f>IFERROR(__xludf.DUMMYFUNCTION("""COMPUTED_VALUE"""),0.0)</f>
        <v>0</v>
      </c>
      <c r="AF538" s="140" t="str">
        <f>IFERROR(__xludf.DUMMYFUNCTION("""COMPUTED_VALUE"""),"No. I took delivery of the first car Tesla was able to deliver.")</f>
        <v>No. I took delivery of the first car Tesla was able to deliver.</v>
      </c>
      <c r="AG538" s="145"/>
      <c r="AH538" s="157">
        <f>IFERROR(__xludf.DUMMYFUNCTION("""COMPUTED_VALUE"""),44454.98878844908)</f>
        <v>44454.98879</v>
      </c>
      <c r="AI538" s="138"/>
      <c r="AJ538" s="138"/>
      <c r="AK538" s="138"/>
      <c r="AL538" s="142"/>
    </row>
    <row r="539" ht="20.25" customHeight="1">
      <c r="A539" s="155" t="str">
        <f>IFERROR(__xludf.DUMMYFUNCTION("""COMPUTED_VALUE"""),"glaucon")</f>
        <v>glaucon</v>
      </c>
      <c r="B539" s="149" t="str">
        <f>IFERROR(__xludf.DUMMYFUNCTION("""COMPUTED_VALUE"""),"Los Angeles")</f>
        <v>Los Angeles</v>
      </c>
      <c r="C539" s="149" t="str">
        <f>IFERROR(__xludf.DUMMYFUNCTION("""COMPUTED_VALUE"""),"CA")</f>
        <v>CA</v>
      </c>
      <c r="D539" s="149" t="str">
        <f>IFERROR(__xludf.DUMMYFUNCTION("""COMPUTED_VALUE"""),"USA")</f>
        <v>USA</v>
      </c>
      <c r="E539" s="156">
        <f>IFERROR(__xludf.DUMMYFUNCTION("""COMPUTED_VALUE"""),44374.0)</f>
        <v>44374</v>
      </c>
      <c r="F539" s="129">
        <f>IFERROR(__xludf.DUMMYFUNCTION("""COMPUTED_VALUE"""),44429.0)</f>
        <v>44429</v>
      </c>
      <c r="G539" s="154" t="str">
        <f>IFERROR(__xludf.DUMMYFUNCTION("""COMPUTED_VALUE"""),"Manage order page (normal text)")</f>
        <v>Manage order page (normal text)</v>
      </c>
      <c r="H539" s="131"/>
      <c r="I539" s="144"/>
      <c r="J539" s="129"/>
      <c r="K539" s="133">
        <f>IFERROR(__xludf.DUMMYFUNCTION("""COMPUTED_VALUE"""),55.0)</f>
        <v>55</v>
      </c>
      <c r="L539" s="133"/>
      <c r="M539" s="133"/>
      <c r="N539" s="152" t="str">
        <f>IFERROR(__xludf.DUMMYFUNCTION("""COMPUTED_VALUE"""),"Model 3 LR AWD")</f>
        <v>Model 3 LR AWD</v>
      </c>
      <c r="O539" s="152" t="str">
        <f>IFERROR(__xludf.DUMMYFUNCTION("""COMPUTED_VALUE"""),"Midnight Silver Metallic")</f>
        <v>Midnight Silver Metallic</v>
      </c>
      <c r="P539" s="153" t="str">
        <f>IFERROR(__xludf.DUMMYFUNCTION("""COMPUTED_VALUE"""),"19 inch")</f>
        <v>19 inch</v>
      </c>
      <c r="Q539" s="152" t="str">
        <f>IFERROR(__xludf.DUMMYFUNCTION("""COMPUTED_VALUE"""),"All Black")</f>
        <v>All Black</v>
      </c>
      <c r="R539" s="149" t="str">
        <f>IFERROR(__xludf.DUMMYFUNCTION("""COMPUTED_VALUE"""),"Autopilot included")</f>
        <v>Autopilot included</v>
      </c>
      <c r="S539" s="149" t="str">
        <f>IFERROR(__xludf.DUMMYFUNCTION("""COMPUTED_VALUE"""),"Loan")</f>
        <v>Loan</v>
      </c>
      <c r="T539" s="145" t="str">
        <f>IFERROR(__xludf.DUMMYFUNCTION("""COMPUTED_VALUE"""),"Model 3 will be my first car!")</f>
        <v>Model 3 will be my first car!</v>
      </c>
      <c r="U539" s="145" t="str">
        <f>IFERROR(__xludf.DUMMYFUNCTION("""COMPUTED_VALUE"""),"Electric!")</f>
        <v>Electric!</v>
      </c>
      <c r="V539" s="145"/>
      <c r="W539" s="145"/>
      <c r="X539" s="137"/>
      <c r="Y539" s="138"/>
      <c r="Z539" s="138"/>
      <c r="AA539" s="138"/>
      <c r="AB539" s="138"/>
      <c r="AC539" s="139"/>
      <c r="AD539" s="139"/>
      <c r="AE539" s="139"/>
      <c r="AF539" s="140"/>
      <c r="AG539" s="145"/>
      <c r="AH539" s="157">
        <f>IFERROR(__xludf.DUMMYFUNCTION("""COMPUTED_VALUE"""),44429.90701439815)</f>
        <v>44429.90701</v>
      </c>
      <c r="AI539" s="138"/>
      <c r="AJ539" s="138"/>
      <c r="AK539" s="138"/>
      <c r="AL539" s="142"/>
    </row>
    <row r="540" ht="20.25" customHeight="1">
      <c r="A540" s="155" t="str">
        <f>IFERROR(__xludf.DUMMYFUNCTION("""COMPUTED_VALUE"""),"gtp618")</f>
        <v>gtp618</v>
      </c>
      <c r="B540" s="149" t="str">
        <f>IFERROR(__xludf.DUMMYFUNCTION("""COMPUTED_VALUE"""),"Kennett Square")</f>
        <v>Kennett Square</v>
      </c>
      <c r="C540" s="149" t="str">
        <f>IFERROR(__xludf.DUMMYFUNCTION("""COMPUTED_VALUE"""),"PA")</f>
        <v>PA</v>
      </c>
      <c r="D540" s="149" t="str">
        <f>IFERROR(__xludf.DUMMYFUNCTION("""COMPUTED_VALUE"""),"USA")</f>
        <v>USA</v>
      </c>
      <c r="E540" s="156">
        <f>IFERROR(__xludf.DUMMYFUNCTION("""COMPUTED_VALUE"""),44374.0)</f>
        <v>44374</v>
      </c>
      <c r="F540" s="129">
        <f>IFERROR(__xludf.DUMMYFUNCTION("""COMPUTED_VALUE"""),44420.0)</f>
        <v>44420</v>
      </c>
      <c r="G540" s="154" t="str">
        <f>IFERROR(__xludf.DUMMYFUNCTION("""COMPUTED_VALUE"""),"Manage order page (normal text)")</f>
        <v>Manage order page (normal text)</v>
      </c>
      <c r="H540" s="131"/>
      <c r="I540" s="144"/>
      <c r="J540" s="129"/>
      <c r="K540" s="133">
        <f>IFERROR(__xludf.DUMMYFUNCTION("""COMPUTED_VALUE"""),46.0)</f>
        <v>46</v>
      </c>
      <c r="L540" s="133"/>
      <c r="M540" s="133"/>
      <c r="N540" s="152" t="str">
        <f>IFERROR(__xludf.DUMMYFUNCTION("""COMPUTED_VALUE"""),"Model 3 LR AWD")</f>
        <v>Model 3 LR AWD</v>
      </c>
      <c r="O540" s="152" t="str">
        <f>IFERROR(__xludf.DUMMYFUNCTION("""COMPUTED_VALUE"""),"Deep Blue Metallic")</f>
        <v>Deep Blue Metallic</v>
      </c>
      <c r="P540" s="153" t="str">
        <f>IFERROR(__xludf.DUMMYFUNCTION("""COMPUTED_VALUE"""),"18 inch")</f>
        <v>18 inch</v>
      </c>
      <c r="Q540" s="152" t="str">
        <f>IFERROR(__xludf.DUMMYFUNCTION("""COMPUTED_VALUE"""),"All Black")</f>
        <v>All Black</v>
      </c>
      <c r="R540" s="149" t="str">
        <f>IFERROR(__xludf.DUMMYFUNCTION("""COMPUTED_VALUE"""),"Autopilot included")</f>
        <v>Autopilot included</v>
      </c>
      <c r="S540" s="149" t="str">
        <f>IFERROR(__xludf.DUMMYFUNCTION("""COMPUTED_VALUE"""),"Loan")</f>
        <v>Loan</v>
      </c>
      <c r="T540" s="145"/>
      <c r="U540" s="145" t="str">
        <f>IFERROR(__xludf.DUMMYFUNCTION("""COMPUTED_VALUE"""),"Electric!")</f>
        <v>Electric!</v>
      </c>
      <c r="V540" s="145" t="str">
        <f>IFERROR(__xludf.DUMMYFUNCTION("""COMPUTED_VALUE"""),"Ventilated seats")</f>
        <v>Ventilated seats</v>
      </c>
      <c r="W540" s="145"/>
      <c r="X540" s="137"/>
      <c r="Y540" s="138"/>
      <c r="Z540" s="138"/>
      <c r="AA540" s="138"/>
      <c r="AB540" s="138"/>
      <c r="AC540" s="139"/>
      <c r="AD540" s="139"/>
      <c r="AE540" s="139"/>
      <c r="AF540" s="140"/>
      <c r="AG540" s="145"/>
      <c r="AH540" s="157">
        <f>IFERROR(__xludf.DUMMYFUNCTION("""COMPUTED_VALUE"""),44421.77141945602)</f>
        <v>44421.77142</v>
      </c>
      <c r="AI540" s="138"/>
      <c r="AJ540" s="138"/>
      <c r="AK540" s="138"/>
      <c r="AL540" s="142"/>
    </row>
    <row r="541" ht="20.25" customHeight="1">
      <c r="A541" s="155" t="str">
        <f>IFERROR(__xludf.DUMMYFUNCTION("""COMPUTED_VALUE"""),"JJ")</f>
        <v>JJ</v>
      </c>
      <c r="B541" s="149" t="str">
        <f>IFERROR(__xludf.DUMMYFUNCTION("""COMPUTED_VALUE"""),"Los Angeles")</f>
        <v>Los Angeles</v>
      </c>
      <c r="C541" s="149" t="str">
        <f>IFERROR(__xludf.DUMMYFUNCTION("""COMPUTED_VALUE"""),"CA")</f>
        <v>CA</v>
      </c>
      <c r="D541" s="149" t="str">
        <f>IFERROR(__xludf.DUMMYFUNCTION("""COMPUTED_VALUE"""),"USA")</f>
        <v>USA</v>
      </c>
      <c r="E541" s="156">
        <f>IFERROR(__xludf.DUMMYFUNCTION("""COMPUTED_VALUE"""),44374.0)</f>
        <v>44374</v>
      </c>
      <c r="F541" s="129">
        <f>IFERROR(__xludf.DUMMYFUNCTION("""COMPUTED_VALUE"""),44410.0)</f>
        <v>44410</v>
      </c>
      <c r="G541" s="154" t="str">
        <f>IFERROR(__xludf.DUMMYFUNCTION("""COMPUTED_VALUE"""),"Phone call")</f>
        <v>Phone call</v>
      </c>
      <c r="H541" s="131"/>
      <c r="I541" s="144" t="str">
        <f>IFERROR(__xludf.DUMMYFUNCTION("""COMPUTED_VALUE"""),"08/21")</f>
        <v>08/21</v>
      </c>
      <c r="J541" s="129">
        <f>IFERROR(__xludf.DUMMYFUNCTION("""COMPUTED_VALUE"""),44414.0)</f>
        <v>44414</v>
      </c>
      <c r="K541" s="133">
        <f>IFERROR(__xludf.DUMMYFUNCTION("""COMPUTED_VALUE"""),36.0)</f>
        <v>36</v>
      </c>
      <c r="L541" s="133">
        <f>IFERROR(__xludf.DUMMYFUNCTION("""COMPUTED_VALUE"""),4.0)</f>
        <v>4</v>
      </c>
      <c r="M541" s="133">
        <f>IFERROR(__xludf.DUMMYFUNCTION("""COMPUTED_VALUE"""),40.0)</f>
        <v>40</v>
      </c>
      <c r="N541" s="152" t="str">
        <f>IFERROR(__xludf.DUMMYFUNCTION("""COMPUTED_VALUE"""),"Model 3 SR+")</f>
        <v>Model 3 SR+</v>
      </c>
      <c r="O541" s="152" t="str">
        <f>IFERROR(__xludf.DUMMYFUNCTION("""COMPUTED_VALUE"""),"Pearl White Multi-Coat")</f>
        <v>Pearl White Multi-Coat</v>
      </c>
      <c r="P541" s="153" t="str">
        <f>IFERROR(__xludf.DUMMYFUNCTION("""COMPUTED_VALUE"""),"18 inch")</f>
        <v>18 inch</v>
      </c>
      <c r="Q541" s="152" t="str">
        <f>IFERROR(__xludf.DUMMYFUNCTION("""COMPUTED_VALUE"""),"All Black")</f>
        <v>All Black</v>
      </c>
      <c r="R541" s="149" t="str">
        <f>IFERROR(__xludf.DUMMYFUNCTION("""COMPUTED_VALUE"""),"Autopilot included")</f>
        <v>Autopilot included</v>
      </c>
      <c r="S541" s="149" t="str">
        <f>IFERROR(__xludf.DUMMYFUNCTION("""COMPUTED_VALUE"""),"Loan")</f>
        <v>Loan</v>
      </c>
      <c r="T541" s="145"/>
      <c r="U541" s="145"/>
      <c r="V541" s="145"/>
      <c r="W541" s="145"/>
      <c r="X541" s="137" t="str">
        <f>IFERROR(__xludf.DUMMYFUNCTION("""COMPUTED_VALUE"""),"Excellent")</f>
        <v>Excellent</v>
      </c>
      <c r="Y541" s="138" t="str">
        <f>IFERROR(__xludf.DUMMYFUNCTION("""COMPUTED_VALUE"""),"Excellent")</f>
        <v>Excellent</v>
      </c>
      <c r="Z541" s="138" t="str">
        <f>IFERROR(__xludf.DUMMYFUNCTION("""COMPUTED_VALUE"""),"Excellent")</f>
        <v>Excellent</v>
      </c>
      <c r="AA541" s="138" t="str">
        <f>IFERROR(__xludf.DUMMYFUNCTION("""COMPUTED_VALUE"""),"Excellent")</f>
        <v>Excellent</v>
      </c>
      <c r="AB541" s="138" t="str">
        <f>IFERROR(__xludf.DUMMYFUNCTION("""COMPUTED_VALUE"""),"Excellent")</f>
        <v>Excellent</v>
      </c>
      <c r="AC541" s="139"/>
      <c r="AD541" s="139"/>
      <c r="AE541" s="139"/>
      <c r="AF541" s="140"/>
      <c r="AG541" s="145"/>
      <c r="AH541" s="157">
        <f>IFERROR(__xludf.DUMMYFUNCTION("""COMPUTED_VALUE"""),44414.617740231486)</f>
        <v>44414.61774</v>
      </c>
      <c r="AI541" s="138"/>
      <c r="AJ541" s="138"/>
      <c r="AK541" s="138"/>
      <c r="AL541" s="142"/>
    </row>
    <row r="542" ht="20.25" customHeight="1">
      <c r="A542" s="155" t="str">
        <f>IFERROR(__xludf.DUMMYFUNCTION("""COMPUTED_VALUE"""),"rcmx")</f>
        <v>rcmx</v>
      </c>
      <c r="B542" s="149" t="str">
        <f>IFERROR(__xludf.DUMMYFUNCTION("""COMPUTED_VALUE"""),"Atlanta")</f>
        <v>Atlanta</v>
      </c>
      <c r="C542" s="149" t="str">
        <f>IFERROR(__xludf.DUMMYFUNCTION("""COMPUTED_VALUE"""),"GA")</f>
        <v>GA</v>
      </c>
      <c r="D542" s="149" t="str">
        <f>IFERROR(__xludf.DUMMYFUNCTION("""COMPUTED_VALUE"""),"USA")</f>
        <v>USA</v>
      </c>
      <c r="E542" s="156">
        <f>IFERROR(__xludf.DUMMYFUNCTION("""COMPUTED_VALUE"""),44374.0)</f>
        <v>44374</v>
      </c>
      <c r="F542" s="129">
        <f>IFERROR(__xludf.DUMMYFUNCTION("""COMPUTED_VALUE"""),44428.0)</f>
        <v>44428</v>
      </c>
      <c r="G542" s="154" t="str">
        <f>IFERROR(__xludf.DUMMYFUNCTION("""COMPUTED_VALUE"""),"Manage order page (normal text)")</f>
        <v>Manage order page (normal text)</v>
      </c>
      <c r="H542" s="131">
        <f>IFERROR(__xludf.DUMMYFUNCTION("""COMPUTED_VALUE"""),45855.0)</f>
        <v>45855</v>
      </c>
      <c r="I542" s="144" t="str">
        <f>IFERROR(__xludf.DUMMYFUNCTION("""COMPUTED_VALUE"""),"08/21")</f>
        <v>08/21</v>
      </c>
      <c r="J542" s="129">
        <f>IFERROR(__xludf.DUMMYFUNCTION("""COMPUTED_VALUE"""),44445.0)</f>
        <v>44445</v>
      </c>
      <c r="K542" s="133">
        <f>IFERROR(__xludf.DUMMYFUNCTION("""COMPUTED_VALUE"""),54.0)</f>
        <v>54</v>
      </c>
      <c r="L542" s="133">
        <f>IFERROR(__xludf.DUMMYFUNCTION("""COMPUTED_VALUE"""),17.0)</f>
        <v>17</v>
      </c>
      <c r="M542" s="133">
        <f>IFERROR(__xludf.DUMMYFUNCTION("""COMPUTED_VALUE"""),71.0)</f>
        <v>71</v>
      </c>
      <c r="N542" s="152" t="str">
        <f>IFERROR(__xludf.DUMMYFUNCTION("""COMPUTED_VALUE"""),"Model 3 LR AWD")</f>
        <v>Model 3 LR AWD</v>
      </c>
      <c r="O542" s="152" t="str">
        <f>IFERROR(__xludf.DUMMYFUNCTION("""COMPUTED_VALUE"""),"Red Multi-Coat")</f>
        <v>Red Multi-Coat</v>
      </c>
      <c r="P542" s="153" t="str">
        <f>IFERROR(__xludf.DUMMYFUNCTION("""COMPUTED_VALUE"""),"19 inch")</f>
        <v>19 inch</v>
      </c>
      <c r="Q542" s="152" t="str">
        <f>IFERROR(__xludf.DUMMYFUNCTION("""COMPUTED_VALUE"""),"Black and White")</f>
        <v>Black and White</v>
      </c>
      <c r="R542" s="149" t="str">
        <f>IFERROR(__xludf.DUMMYFUNCTION("""COMPUTED_VALUE"""),"Autopilot included")</f>
        <v>Autopilot included</v>
      </c>
      <c r="S542" s="149" t="str">
        <f>IFERROR(__xludf.DUMMYFUNCTION("""COMPUTED_VALUE"""),"Loan")</f>
        <v>Loan</v>
      </c>
      <c r="T542" s="145" t="str">
        <f>IFERROR(__xludf.DUMMYFUNCTION("""COMPUTED_VALUE"""),"Subaru Outback")</f>
        <v>Subaru Outback</v>
      </c>
      <c r="U542" s="145" t="str">
        <f>IFERROR(__xludf.DUMMYFUNCTION("""COMPUTED_VALUE"""),"Electric!")</f>
        <v>Electric!</v>
      </c>
      <c r="V542" s="145" t="str">
        <f>IFERROR(__xludf.DUMMYFUNCTION("""COMPUTED_VALUE"""),"Head-up display")</f>
        <v>Head-up display</v>
      </c>
      <c r="W542" s="145"/>
      <c r="X542" s="137" t="str">
        <f>IFERROR(__xludf.DUMMYFUNCTION("""COMPUTED_VALUE"""),"Excellent")</f>
        <v>Excellent</v>
      </c>
      <c r="Y542" s="138" t="str">
        <f>IFERROR(__xludf.DUMMYFUNCTION("""COMPUTED_VALUE"""),"Excellent")</f>
        <v>Excellent</v>
      </c>
      <c r="Z542" s="138" t="str">
        <f>IFERROR(__xludf.DUMMYFUNCTION("""COMPUTED_VALUE"""),"Excellent")</f>
        <v>Excellent</v>
      </c>
      <c r="AA542" s="138" t="str">
        <f>IFERROR(__xludf.DUMMYFUNCTION("""COMPUTED_VALUE"""),"Fair")</f>
        <v>Fair</v>
      </c>
      <c r="AB542" s="138" t="str">
        <f>IFERROR(__xludf.DUMMYFUNCTION("""COMPUTED_VALUE"""),"Good")</f>
        <v>Good</v>
      </c>
      <c r="AC542" s="139"/>
      <c r="AD542" s="139"/>
      <c r="AE542" s="139"/>
      <c r="AF542" s="140" t="str">
        <f>IFERROR(__xludf.DUMMYFUNCTION("""COMPUTED_VALUE"""),"No. I took delivery of the first car Tesla was able to deliver.")</f>
        <v>No. I took delivery of the first car Tesla was able to deliver.</v>
      </c>
      <c r="AG542" s="145"/>
      <c r="AH542" s="157">
        <f>IFERROR(__xludf.DUMMYFUNCTION("""COMPUTED_VALUE"""),44446.27065341435)</f>
        <v>44446.27065</v>
      </c>
      <c r="AI542" s="138"/>
      <c r="AJ542" s="138"/>
      <c r="AK542" s="138"/>
      <c r="AL542" s="142"/>
    </row>
    <row r="543" ht="20.25" customHeight="1">
      <c r="A543" s="155" t="str">
        <f>IFERROR(__xludf.DUMMYFUNCTION("""COMPUTED_VALUE"""),"ssY")</f>
        <v>ssY</v>
      </c>
      <c r="B543" s="149" t="str">
        <f>IFERROR(__xludf.DUMMYFUNCTION("""COMPUTED_VALUE"""),"Bellevue")</f>
        <v>Bellevue</v>
      </c>
      <c r="C543" s="149" t="str">
        <f>IFERROR(__xludf.DUMMYFUNCTION("""COMPUTED_VALUE"""),"WA")</f>
        <v>WA</v>
      </c>
      <c r="D543" s="149" t="str">
        <f>IFERROR(__xludf.DUMMYFUNCTION("""COMPUTED_VALUE"""),"USA")</f>
        <v>USA</v>
      </c>
      <c r="E543" s="156">
        <f>IFERROR(__xludf.DUMMYFUNCTION("""COMPUTED_VALUE"""),44374.0)</f>
        <v>44374</v>
      </c>
      <c r="F543" s="129">
        <f>IFERROR(__xludf.DUMMYFUNCTION("""COMPUTED_VALUE"""),44481.0)</f>
        <v>44481</v>
      </c>
      <c r="G543" s="154" t="str">
        <f>IFERROR(__xludf.DUMMYFUNCTION("""COMPUTED_VALUE"""),"Manage order page (normal text)")</f>
        <v>Manage order page (normal text)</v>
      </c>
      <c r="H543" s="131"/>
      <c r="I543" s="144"/>
      <c r="J543" s="129">
        <f>IFERROR(__xludf.DUMMYFUNCTION("""COMPUTED_VALUE"""),44488.0)</f>
        <v>44488</v>
      </c>
      <c r="K543" s="133">
        <f>IFERROR(__xludf.DUMMYFUNCTION("""COMPUTED_VALUE"""),107.0)</f>
        <v>107</v>
      </c>
      <c r="L543" s="133">
        <f>IFERROR(__xludf.DUMMYFUNCTION("""COMPUTED_VALUE"""),7.0)</f>
        <v>7</v>
      </c>
      <c r="M543" s="133">
        <f>IFERROR(__xludf.DUMMYFUNCTION("""COMPUTED_VALUE"""),114.0)</f>
        <v>114</v>
      </c>
      <c r="N543" s="152" t="str">
        <f>IFERROR(__xludf.DUMMYFUNCTION("""COMPUTED_VALUE"""),"Model 3 LR AWD")</f>
        <v>Model 3 LR AWD</v>
      </c>
      <c r="O543" s="152" t="str">
        <f>IFERROR(__xludf.DUMMYFUNCTION("""COMPUTED_VALUE"""),"Pearl White Multi-Coat")</f>
        <v>Pearl White Multi-Coat</v>
      </c>
      <c r="P543" s="153" t="str">
        <f>IFERROR(__xludf.DUMMYFUNCTION("""COMPUTED_VALUE"""),"18 inch")</f>
        <v>18 inch</v>
      </c>
      <c r="Q543" s="152" t="str">
        <f>IFERROR(__xludf.DUMMYFUNCTION("""COMPUTED_VALUE"""),"All Black")</f>
        <v>All Black</v>
      </c>
      <c r="R543" s="149" t="str">
        <f>IFERROR(__xludf.DUMMYFUNCTION("""COMPUTED_VALUE"""),"Autopilot included")</f>
        <v>Autopilot included</v>
      </c>
      <c r="S543" s="149" t="str">
        <f>IFERROR(__xludf.DUMMYFUNCTION("""COMPUTED_VALUE"""),"Cash")</f>
        <v>Cash</v>
      </c>
      <c r="T543" s="145" t="str">
        <f>IFERROR(__xludf.DUMMYFUNCTION("""COMPUTED_VALUE"""),"Mustang")</f>
        <v>Mustang</v>
      </c>
      <c r="U543" s="145" t="str">
        <f>IFERROR(__xludf.DUMMYFUNCTION("""COMPUTED_VALUE"""),"Electric!")</f>
        <v>Electric!</v>
      </c>
      <c r="V543" s="145" t="str">
        <f>IFERROR(__xludf.DUMMYFUNCTION("""COMPUTED_VALUE"""),"Customized navigation route")</f>
        <v>Customized navigation route</v>
      </c>
      <c r="W543" s="145"/>
      <c r="X543" s="137" t="str">
        <f>IFERROR(__xludf.DUMMYFUNCTION("""COMPUTED_VALUE"""),"Excellent")</f>
        <v>Excellent</v>
      </c>
      <c r="Y543" s="138" t="str">
        <f>IFERROR(__xludf.DUMMYFUNCTION("""COMPUTED_VALUE"""),"Excellent")</f>
        <v>Excellent</v>
      </c>
      <c r="Z543" s="138" t="str">
        <f>IFERROR(__xludf.DUMMYFUNCTION("""COMPUTED_VALUE"""),"Excellent")</f>
        <v>Excellent</v>
      </c>
      <c r="AA543" s="138" t="str">
        <f>IFERROR(__xludf.DUMMYFUNCTION("""COMPUTED_VALUE"""),"Excellent")</f>
        <v>Excellent</v>
      </c>
      <c r="AB543" s="138" t="str">
        <f>IFERROR(__xludf.DUMMYFUNCTION("""COMPUTED_VALUE"""),"Excellent")</f>
        <v>Excellent</v>
      </c>
      <c r="AC543" s="139"/>
      <c r="AD543" s="139"/>
      <c r="AE543" s="139"/>
      <c r="AF543" s="140"/>
      <c r="AG543" s="145"/>
      <c r="AH543" s="157">
        <f>IFERROR(__xludf.DUMMYFUNCTION("""COMPUTED_VALUE"""),44488.90466547454)</f>
        <v>44488.90467</v>
      </c>
      <c r="AI543" s="138"/>
      <c r="AJ543" s="138"/>
      <c r="AK543" s="138"/>
      <c r="AL543" s="142"/>
    </row>
    <row r="544" ht="20.25" customHeight="1">
      <c r="A544" s="155" t="str">
        <f>IFERROR(__xludf.DUMMYFUNCTION("""COMPUTED_VALUE"""),"clemmy")</f>
        <v>clemmy</v>
      </c>
      <c r="B544" s="149" t="str">
        <f>IFERROR(__xludf.DUMMYFUNCTION("""COMPUTED_VALUE"""),"San Francisco")</f>
        <v>San Francisco</v>
      </c>
      <c r="C544" s="149" t="str">
        <f>IFERROR(__xludf.DUMMYFUNCTION("""COMPUTED_VALUE"""),"CA")</f>
        <v>CA</v>
      </c>
      <c r="D544" s="149" t="str">
        <f>IFERROR(__xludf.DUMMYFUNCTION("""COMPUTED_VALUE"""),"USA")</f>
        <v>USA</v>
      </c>
      <c r="E544" s="156">
        <f>IFERROR(__xludf.DUMMYFUNCTION("""COMPUTED_VALUE"""),44373.0)</f>
        <v>44373</v>
      </c>
      <c r="F544" s="129">
        <f>IFERROR(__xludf.DUMMYFUNCTION("""COMPUTED_VALUE"""),44449.0)</f>
        <v>44449</v>
      </c>
      <c r="G544" s="154" t="str">
        <f>IFERROR(__xludf.DUMMYFUNCTION("""COMPUTED_VALUE"""),"Manage order page (normal text)")</f>
        <v>Manage order page (normal text)</v>
      </c>
      <c r="H544" s="131">
        <f>IFERROR(__xludf.DUMMYFUNCTION("""COMPUTED_VALUE"""),56055.0)</f>
        <v>56055</v>
      </c>
      <c r="I544" s="144"/>
      <c r="J544" s="129"/>
      <c r="K544" s="133">
        <f>IFERROR(__xludf.DUMMYFUNCTION("""COMPUTED_VALUE"""),76.0)</f>
        <v>76</v>
      </c>
      <c r="L544" s="133"/>
      <c r="M544" s="133"/>
      <c r="N544" s="152" t="str">
        <f>IFERROR(__xludf.DUMMYFUNCTION("""COMPUTED_VALUE"""),"Model 3 LR AWD")</f>
        <v>Model 3 LR AWD</v>
      </c>
      <c r="O544" s="152" t="str">
        <f>IFERROR(__xludf.DUMMYFUNCTION("""COMPUTED_VALUE"""),"Pearl White Multi-Coat")</f>
        <v>Pearl White Multi-Coat</v>
      </c>
      <c r="P544" s="153" t="str">
        <f>IFERROR(__xludf.DUMMYFUNCTION("""COMPUTED_VALUE"""),"18 inch")</f>
        <v>18 inch</v>
      </c>
      <c r="Q544" s="152" t="str">
        <f>IFERROR(__xludf.DUMMYFUNCTION("""COMPUTED_VALUE"""),"Black and White")</f>
        <v>Black and White</v>
      </c>
      <c r="R544" s="149" t="str">
        <f>IFERROR(__xludf.DUMMYFUNCTION("""COMPUTED_VALUE"""),"Autopilot included")</f>
        <v>Autopilot included</v>
      </c>
      <c r="S544" s="149" t="str">
        <f>IFERROR(__xludf.DUMMYFUNCTION("""COMPUTED_VALUE"""),"Loan")</f>
        <v>Loan</v>
      </c>
      <c r="T544" s="145" t="str">
        <f>IFERROR(__xludf.DUMMYFUNCTION("""COMPUTED_VALUE"""),"Model 3 will be my first car!")</f>
        <v>Model 3 will be my first car!</v>
      </c>
      <c r="U544" s="145" t="str">
        <f>IFERROR(__xludf.DUMMYFUNCTION("""COMPUTED_VALUE"""),"Tesla brand image")</f>
        <v>Tesla brand image</v>
      </c>
      <c r="V544" s="145" t="str">
        <f>IFERROR(__xludf.DUMMYFUNCTION("""COMPUTED_VALUE"""),"Apple CarPlay / Android Auto / SiriusXM Radio")</f>
        <v>Apple CarPlay / Android Auto / SiriusXM Radio</v>
      </c>
      <c r="W544" s="145"/>
      <c r="X544" s="137"/>
      <c r="Y544" s="138"/>
      <c r="Z544" s="138"/>
      <c r="AA544" s="138"/>
      <c r="AB544" s="138"/>
      <c r="AC544" s="139"/>
      <c r="AD544" s="139"/>
      <c r="AE544" s="139"/>
      <c r="AF544" s="140"/>
      <c r="AG544" s="145"/>
      <c r="AH544" s="157">
        <f>IFERROR(__xludf.DUMMYFUNCTION("""COMPUTED_VALUE"""),44449.46960892361)</f>
        <v>44449.46961</v>
      </c>
      <c r="AI544" s="138"/>
      <c r="AJ544" s="138"/>
      <c r="AK544" s="138"/>
      <c r="AL544" s="142"/>
    </row>
    <row r="545" ht="20.25" customHeight="1">
      <c r="A545" s="155" t="str">
        <f>IFERROR(__xludf.DUMMYFUNCTION("""COMPUTED_VALUE"""),"JaTwoZsPer")</f>
        <v>JaTwoZsPer</v>
      </c>
      <c r="B545" s="149" t="str">
        <f>IFERROR(__xludf.DUMMYFUNCTION("""COMPUTED_VALUE"""),"Aubrey")</f>
        <v>Aubrey</v>
      </c>
      <c r="C545" s="149" t="str">
        <f>IFERROR(__xludf.DUMMYFUNCTION("""COMPUTED_VALUE"""),"TX")</f>
        <v>TX</v>
      </c>
      <c r="D545" s="149" t="str">
        <f>IFERROR(__xludf.DUMMYFUNCTION("""COMPUTED_VALUE"""),"USA")</f>
        <v>USA</v>
      </c>
      <c r="E545" s="156">
        <f>IFERROR(__xludf.DUMMYFUNCTION("""COMPUTED_VALUE"""),44373.0)</f>
        <v>44373</v>
      </c>
      <c r="F545" s="129">
        <f>IFERROR(__xludf.DUMMYFUNCTION("""COMPUTED_VALUE"""),44425.0)</f>
        <v>44425</v>
      </c>
      <c r="G545" s="154" t="str">
        <f>IFERROR(__xludf.DUMMYFUNCTION("""COMPUTED_VALUE"""),"Manage order page (normal text)")</f>
        <v>Manage order page (normal text)</v>
      </c>
      <c r="H545" s="131">
        <f>IFERROR(__xludf.DUMMYFUNCTION("""COMPUTED_VALUE"""),34255.0)</f>
        <v>34255</v>
      </c>
      <c r="I545" s="144" t="str">
        <f>IFERROR(__xludf.DUMMYFUNCTION("""COMPUTED_VALUE"""),"07/21")</f>
        <v>07/21</v>
      </c>
      <c r="J545" s="129">
        <f>IFERROR(__xludf.DUMMYFUNCTION("""COMPUTED_VALUE"""),44433.0)</f>
        <v>44433</v>
      </c>
      <c r="K545" s="133">
        <f>IFERROR(__xludf.DUMMYFUNCTION("""COMPUTED_VALUE"""),52.0)</f>
        <v>52</v>
      </c>
      <c r="L545" s="133">
        <f>IFERROR(__xludf.DUMMYFUNCTION("""COMPUTED_VALUE"""),8.0)</f>
        <v>8</v>
      </c>
      <c r="M545" s="133">
        <f>IFERROR(__xludf.DUMMYFUNCTION("""COMPUTED_VALUE"""),60.0)</f>
        <v>60</v>
      </c>
      <c r="N545" s="152" t="str">
        <f>IFERROR(__xludf.DUMMYFUNCTION("""COMPUTED_VALUE"""),"Model 3 LR AWD")</f>
        <v>Model 3 LR AWD</v>
      </c>
      <c r="O545" s="152" t="str">
        <f>IFERROR(__xludf.DUMMYFUNCTION("""COMPUTED_VALUE"""),"Deep Blue Metallic")</f>
        <v>Deep Blue Metallic</v>
      </c>
      <c r="P545" s="153" t="str">
        <f>IFERROR(__xludf.DUMMYFUNCTION("""COMPUTED_VALUE"""),"18 inch")</f>
        <v>18 inch</v>
      </c>
      <c r="Q545" s="152" t="str">
        <f>IFERROR(__xludf.DUMMYFUNCTION("""COMPUTED_VALUE"""),"Black and White")</f>
        <v>Black and White</v>
      </c>
      <c r="R545" s="149" t="str">
        <f>IFERROR(__xludf.DUMMYFUNCTION("""COMPUTED_VALUE"""),"Autopilot included")</f>
        <v>Autopilot included</v>
      </c>
      <c r="S545" s="149" t="str">
        <f>IFERROR(__xludf.DUMMYFUNCTION("""COMPUTED_VALUE"""),"Loan")</f>
        <v>Loan</v>
      </c>
      <c r="T545" s="145" t="str">
        <f>IFERROR(__xludf.DUMMYFUNCTION("""COMPUTED_VALUE"""),"Chevrolet Silverado 1500 LT")</f>
        <v>Chevrolet Silverado 1500 LT</v>
      </c>
      <c r="U545" s="145" t="str">
        <f>IFERROR(__xludf.DUMMYFUNCTION("""COMPUTED_VALUE"""),"Autopilot")</f>
        <v>Autopilot</v>
      </c>
      <c r="V545" s="145" t="str">
        <f>IFERROR(__xludf.DUMMYFUNCTION("""COMPUTED_VALUE"""),"Ventilated seats")</f>
        <v>Ventilated seats</v>
      </c>
      <c r="W545" s="145" t="str">
        <f>IFERROR(__xludf.DUMMYFUNCTION("""COMPUTED_VALUE"""),"Don't watch the ever-changing date. Use the date range Tesla provided initially and go about your day. Check only to see if a VIN is provided, then get insurance.")</f>
        <v>Don't watch the ever-changing date. Use the date range Tesla provided initially and go about your day. Check only to see if a VIN is provided, then get insurance.</v>
      </c>
      <c r="X545" s="137" t="str">
        <f>IFERROR(__xludf.DUMMYFUNCTION("""COMPUTED_VALUE"""),"Excellent")</f>
        <v>Excellent</v>
      </c>
      <c r="Y545" s="138" t="str">
        <f>IFERROR(__xludf.DUMMYFUNCTION("""COMPUTED_VALUE"""),"Excellent")</f>
        <v>Excellent</v>
      </c>
      <c r="Z545" s="138" t="str">
        <f>IFERROR(__xludf.DUMMYFUNCTION("""COMPUTED_VALUE"""),"Excellent")</f>
        <v>Excellent</v>
      </c>
      <c r="AA545" s="138" t="str">
        <f>IFERROR(__xludf.DUMMYFUNCTION("""COMPUTED_VALUE"""),"Excellent")</f>
        <v>Excellent</v>
      </c>
      <c r="AB545" s="138" t="str">
        <f>IFERROR(__xludf.DUMMYFUNCTION("""COMPUTED_VALUE"""),"Excellent")</f>
        <v>Excellent</v>
      </c>
      <c r="AC545" s="139">
        <f>IFERROR(__xludf.DUMMYFUNCTION("""COMPUTED_VALUE"""),1.0)</f>
        <v>1</v>
      </c>
      <c r="AD545" s="139">
        <f>IFERROR(__xludf.DUMMYFUNCTION("""COMPUTED_VALUE"""),0.0)</f>
        <v>0</v>
      </c>
      <c r="AE545" s="139">
        <f>IFERROR(__xludf.DUMMYFUNCTION("""COMPUTED_VALUE"""),0.0)</f>
        <v>0</v>
      </c>
      <c r="AF545" s="140" t="str">
        <f>IFERROR(__xludf.DUMMYFUNCTION("""COMPUTED_VALUE"""),"No. I took delivery of the first car Tesla was able to deliver.")</f>
        <v>No. I took delivery of the first car Tesla was able to deliver.</v>
      </c>
      <c r="AG545" s="145" t="str">
        <f>IFERROR(__xludf.DUMMYFUNCTION("""COMPUTED_VALUE"""),"Day 1: Gun it to 100")</f>
        <v>Day 1: Gun it to 100</v>
      </c>
      <c r="AH545" s="157">
        <f>IFERROR(__xludf.DUMMYFUNCTION("""COMPUTED_VALUE"""),44438.30207597222)</f>
        <v>44438.30208</v>
      </c>
      <c r="AI545" s="138"/>
      <c r="AJ545" s="138"/>
      <c r="AK545" s="138"/>
      <c r="AL545" s="142"/>
    </row>
    <row r="546" ht="20.25" customHeight="1">
      <c r="A546" s="155" t="str">
        <f>IFERROR(__xludf.DUMMYFUNCTION("""COMPUTED_VALUE"""),"Rayfucious")</f>
        <v>Rayfucious</v>
      </c>
      <c r="B546" s="149" t="str">
        <f>IFERROR(__xludf.DUMMYFUNCTION("""COMPUTED_VALUE"""),"Harvard")</f>
        <v>Harvard</v>
      </c>
      <c r="C546" s="149" t="str">
        <f>IFERROR(__xludf.DUMMYFUNCTION("""COMPUTED_VALUE"""),"IL")</f>
        <v>IL</v>
      </c>
      <c r="D546" s="149" t="str">
        <f>IFERROR(__xludf.DUMMYFUNCTION("""COMPUTED_VALUE"""),"USA")</f>
        <v>USA</v>
      </c>
      <c r="E546" s="156">
        <f>IFERROR(__xludf.DUMMYFUNCTION("""COMPUTED_VALUE"""),44373.0)</f>
        <v>44373</v>
      </c>
      <c r="F546" s="129">
        <f>IFERROR(__xludf.DUMMYFUNCTION("""COMPUTED_VALUE"""),44421.0)</f>
        <v>44421</v>
      </c>
      <c r="G546" s="154" t="str">
        <f>IFERROR(__xludf.DUMMYFUNCTION("""COMPUTED_VALUE"""),"Source code")</f>
        <v>Source code</v>
      </c>
      <c r="H546" s="131"/>
      <c r="I546" s="144"/>
      <c r="J546" s="129"/>
      <c r="K546" s="133">
        <f>IFERROR(__xludf.DUMMYFUNCTION("""COMPUTED_VALUE"""),48.0)</f>
        <v>48</v>
      </c>
      <c r="L546" s="133"/>
      <c r="M546" s="133"/>
      <c r="N546" s="152" t="str">
        <f>IFERROR(__xludf.DUMMYFUNCTION("""COMPUTED_VALUE"""),"Model 3 LR AWD")</f>
        <v>Model 3 LR AWD</v>
      </c>
      <c r="O546" s="152" t="str">
        <f>IFERROR(__xludf.DUMMYFUNCTION("""COMPUTED_VALUE"""),"Red Multi-Coat")</f>
        <v>Red Multi-Coat</v>
      </c>
      <c r="P546" s="153" t="str">
        <f>IFERROR(__xludf.DUMMYFUNCTION("""COMPUTED_VALUE"""),"18 inch")</f>
        <v>18 inch</v>
      </c>
      <c r="Q546" s="152" t="str">
        <f>IFERROR(__xludf.DUMMYFUNCTION("""COMPUTED_VALUE"""),"Black and White")</f>
        <v>Black and White</v>
      </c>
      <c r="R546" s="149" t="str">
        <f>IFERROR(__xludf.DUMMYFUNCTION("""COMPUTED_VALUE"""),"Autopilot included")</f>
        <v>Autopilot included</v>
      </c>
      <c r="S546" s="149" t="str">
        <f>IFERROR(__xludf.DUMMYFUNCTION("""COMPUTED_VALUE"""),"Loan")</f>
        <v>Loan</v>
      </c>
      <c r="T546" s="145"/>
      <c r="U546" s="145" t="str">
        <f>IFERROR(__xludf.DUMMYFUNCTION("""COMPUTED_VALUE"""),"Electric!")</f>
        <v>Electric!</v>
      </c>
      <c r="V546" s="145" t="str">
        <f>IFERROR(__xludf.DUMMYFUNCTION("""COMPUTED_VALUE"""),"Head-up display")</f>
        <v>Head-up display</v>
      </c>
      <c r="W546" s="145"/>
      <c r="X546" s="137"/>
      <c r="Y546" s="138"/>
      <c r="Z546" s="138"/>
      <c r="AA546" s="138"/>
      <c r="AB546" s="138"/>
      <c r="AC546" s="139"/>
      <c r="AD546" s="139"/>
      <c r="AE546" s="139"/>
      <c r="AF546" s="140"/>
      <c r="AG546" s="145"/>
      <c r="AH546" s="157">
        <f>IFERROR(__xludf.DUMMYFUNCTION("""COMPUTED_VALUE"""),44421.7156072338)</f>
        <v>44421.71561</v>
      </c>
      <c r="AI546" s="138"/>
      <c r="AJ546" s="138"/>
      <c r="AK546" s="138"/>
      <c r="AL546" s="142"/>
    </row>
    <row r="547" ht="20.25" customHeight="1">
      <c r="A547" s="155" t="str">
        <f>IFERROR(__xludf.DUMMYFUNCTION("""COMPUTED_VALUE"""),"Auss1e")</f>
        <v>Auss1e</v>
      </c>
      <c r="B547" s="149" t="str">
        <f>IFERROR(__xludf.DUMMYFUNCTION("""COMPUTED_VALUE"""),"Lexington")</f>
        <v>Lexington</v>
      </c>
      <c r="C547" s="149" t="str">
        <f>IFERROR(__xludf.DUMMYFUNCTION("""COMPUTED_VALUE"""),"KY")</f>
        <v>KY</v>
      </c>
      <c r="D547" s="149" t="str">
        <f>IFERROR(__xludf.DUMMYFUNCTION("""COMPUTED_VALUE"""),"USA")</f>
        <v>USA</v>
      </c>
      <c r="E547" s="156">
        <f>IFERROR(__xludf.DUMMYFUNCTION("""COMPUTED_VALUE"""),44372.0)</f>
        <v>44372</v>
      </c>
      <c r="F547" s="129">
        <f>IFERROR(__xludf.DUMMYFUNCTION("""COMPUTED_VALUE"""),44410.0)</f>
        <v>44410</v>
      </c>
      <c r="G547" s="154" t="str">
        <f>IFERROR(__xludf.DUMMYFUNCTION("""COMPUTED_VALUE"""),"Email")</f>
        <v>Email</v>
      </c>
      <c r="H547" s="131">
        <f>IFERROR(__xludf.DUMMYFUNCTION("""COMPUTED_VALUE"""),29555.0)</f>
        <v>29555</v>
      </c>
      <c r="I547" s="144"/>
      <c r="J547" s="129">
        <f>IFERROR(__xludf.DUMMYFUNCTION("""COMPUTED_VALUE"""),44425.0)</f>
        <v>44425</v>
      </c>
      <c r="K547" s="133">
        <f>IFERROR(__xludf.DUMMYFUNCTION("""COMPUTED_VALUE"""),38.0)</f>
        <v>38</v>
      </c>
      <c r="L547" s="133">
        <f>IFERROR(__xludf.DUMMYFUNCTION("""COMPUTED_VALUE"""),15.0)</f>
        <v>15</v>
      </c>
      <c r="M547" s="133">
        <f>IFERROR(__xludf.DUMMYFUNCTION("""COMPUTED_VALUE"""),53.0)</f>
        <v>53</v>
      </c>
      <c r="N547" s="152" t="str">
        <f>IFERROR(__xludf.DUMMYFUNCTION("""COMPUTED_VALUE"""),"Model 3 Performance")</f>
        <v>Model 3 Performance</v>
      </c>
      <c r="O547" s="152" t="str">
        <f>IFERROR(__xludf.DUMMYFUNCTION("""COMPUTED_VALUE"""),"Midnight Silver Metallic")</f>
        <v>Midnight Silver Metallic</v>
      </c>
      <c r="P547" s="153" t="str">
        <f>IFERROR(__xludf.DUMMYFUNCTION("""COMPUTED_VALUE"""),"20 inch")</f>
        <v>20 inch</v>
      </c>
      <c r="Q547" s="152" t="str">
        <f>IFERROR(__xludf.DUMMYFUNCTION("""COMPUTED_VALUE"""),"All Black")</f>
        <v>All Black</v>
      </c>
      <c r="R547" s="149" t="str">
        <f>IFERROR(__xludf.DUMMYFUNCTION("""COMPUTED_VALUE"""),"Autopilot included")</f>
        <v>Autopilot included</v>
      </c>
      <c r="S547" s="149" t="str">
        <f>IFERROR(__xludf.DUMMYFUNCTION("""COMPUTED_VALUE"""),"Cash")</f>
        <v>Cash</v>
      </c>
      <c r="T547" s="145" t="str">
        <f>IFERROR(__xludf.DUMMYFUNCTION("""COMPUTED_VALUE"""),"BMW e92 m3")</f>
        <v>BMW e92 m3</v>
      </c>
      <c r="U547" s="145" t="str">
        <f>IFERROR(__xludf.DUMMYFUNCTION("""COMPUTED_VALUE"""),"Autopilot")</f>
        <v>Autopilot</v>
      </c>
      <c r="V547" s="145"/>
      <c r="W547" s="145"/>
      <c r="X547" s="137"/>
      <c r="Y547" s="138"/>
      <c r="Z547" s="138"/>
      <c r="AA547" s="138"/>
      <c r="AB547" s="138"/>
      <c r="AC547" s="139"/>
      <c r="AD547" s="139"/>
      <c r="AE547" s="139"/>
      <c r="AF547" s="140"/>
      <c r="AG547" s="145"/>
      <c r="AH547" s="157">
        <f>IFERROR(__xludf.DUMMYFUNCTION("""COMPUTED_VALUE"""),44415.43075587963)</f>
        <v>44415.43076</v>
      </c>
      <c r="AI547" s="138"/>
      <c r="AJ547" s="138"/>
      <c r="AK547" s="138"/>
      <c r="AL547" s="142"/>
    </row>
    <row r="548" ht="20.25" customHeight="1">
      <c r="A548" s="155" t="str">
        <f>IFERROR(__xludf.DUMMYFUNCTION("""COMPUTED_VALUE"""),"calitezzie")</f>
        <v>calitezzie</v>
      </c>
      <c r="B548" s="149" t="str">
        <f>IFERROR(__xludf.DUMMYFUNCTION("""COMPUTED_VALUE"""),"Los Angeles")</f>
        <v>Los Angeles</v>
      </c>
      <c r="C548" s="149" t="str">
        <f>IFERROR(__xludf.DUMMYFUNCTION("""COMPUTED_VALUE"""),"CA")</f>
        <v>CA</v>
      </c>
      <c r="D548" s="149" t="str">
        <f>IFERROR(__xludf.DUMMYFUNCTION("""COMPUTED_VALUE"""),"USA")</f>
        <v>USA</v>
      </c>
      <c r="E548" s="156">
        <f>IFERROR(__xludf.DUMMYFUNCTION("""COMPUTED_VALUE"""),44372.0)</f>
        <v>44372</v>
      </c>
      <c r="F548" s="129">
        <f>IFERROR(__xludf.DUMMYFUNCTION("""COMPUTED_VALUE"""),44420.0)</f>
        <v>44420</v>
      </c>
      <c r="G548" s="154" t="str">
        <f>IFERROR(__xludf.DUMMYFUNCTION("""COMPUTED_VALUE"""),"Manage order page (normal text)")</f>
        <v>Manage order page (normal text)</v>
      </c>
      <c r="H548" s="131"/>
      <c r="I548" s="144"/>
      <c r="J548" s="129"/>
      <c r="K548" s="133">
        <f>IFERROR(__xludf.DUMMYFUNCTION("""COMPUTED_VALUE"""),48.0)</f>
        <v>48</v>
      </c>
      <c r="L548" s="133"/>
      <c r="M548" s="133"/>
      <c r="N548" s="152" t="str">
        <f>IFERROR(__xludf.DUMMYFUNCTION("""COMPUTED_VALUE"""),"Model 3 LR AWD")</f>
        <v>Model 3 LR AWD</v>
      </c>
      <c r="O548" s="152" t="str">
        <f>IFERROR(__xludf.DUMMYFUNCTION("""COMPUTED_VALUE"""),"Pearl White Multi-Coat")</f>
        <v>Pearl White Multi-Coat</v>
      </c>
      <c r="P548" s="153" t="str">
        <f>IFERROR(__xludf.DUMMYFUNCTION("""COMPUTED_VALUE"""),"18 inch")</f>
        <v>18 inch</v>
      </c>
      <c r="Q548" s="152" t="str">
        <f>IFERROR(__xludf.DUMMYFUNCTION("""COMPUTED_VALUE"""),"All Black")</f>
        <v>All Black</v>
      </c>
      <c r="R548" s="149" t="str">
        <f>IFERROR(__xludf.DUMMYFUNCTION("""COMPUTED_VALUE"""),"Autopilot included")</f>
        <v>Autopilot included</v>
      </c>
      <c r="S548" s="149" t="str">
        <f>IFERROR(__xludf.DUMMYFUNCTION("""COMPUTED_VALUE"""),"Loan")</f>
        <v>Loan</v>
      </c>
      <c r="T548" s="145" t="str">
        <f>IFERROR(__xludf.DUMMYFUNCTION("""COMPUTED_VALUE"""),"Model 3 will be my first car!")</f>
        <v>Model 3 will be my first car!</v>
      </c>
      <c r="U548" s="145" t="str">
        <f>IFERROR(__xludf.DUMMYFUNCTION("""COMPUTED_VALUE"""),"Electric!")</f>
        <v>Electric!</v>
      </c>
      <c r="V548" s="145" t="str">
        <f>IFERROR(__xludf.DUMMYFUNCTION("""COMPUTED_VALUE"""),"Blind spot indicators on side mirrors")</f>
        <v>Blind spot indicators on side mirrors</v>
      </c>
      <c r="W548" s="145"/>
      <c r="X548" s="137"/>
      <c r="Y548" s="138"/>
      <c r="Z548" s="138"/>
      <c r="AA548" s="138"/>
      <c r="AB548" s="138"/>
      <c r="AC548" s="139"/>
      <c r="AD548" s="139"/>
      <c r="AE548" s="139"/>
      <c r="AF548" s="140"/>
      <c r="AG548" s="145"/>
      <c r="AH548" s="157">
        <f>IFERROR(__xludf.DUMMYFUNCTION("""COMPUTED_VALUE"""),44421.34509826389)</f>
        <v>44421.3451</v>
      </c>
      <c r="AI548" s="138"/>
      <c r="AJ548" s="138"/>
      <c r="AK548" s="138"/>
      <c r="AL548" s="142"/>
    </row>
    <row r="549" ht="20.25" customHeight="1">
      <c r="A549" s="155" t="str">
        <f>IFERROR(__xludf.DUMMYFUNCTION("""COMPUTED_VALUE"""),"G-Soccer_Canada")</f>
        <v>G-Soccer_Canada</v>
      </c>
      <c r="B549" s="149" t="str">
        <f>IFERROR(__xludf.DUMMYFUNCTION("""COMPUTED_VALUE"""),"Toronto")</f>
        <v>Toronto</v>
      </c>
      <c r="C549" s="149" t="str">
        <f>IFERROR(__xludf.DUMMYFUNCTION("""COMPUTED_VALUE"""),"ON")</f>
        <v>ON</v>
      </c>
      <c r="D549" s="149" t="str">
        <f>IFERROR(__xludf.DUMMYFUNCTION("""COMPUTED_VALUE"""),"Canada")</f>
        <v>Canada</v>
      </c>
      <c r="E549" s="156">
        <f>IFERROR(__xludf.DUMMYFUNCTION("""COMPUTED_VALUE"""),44372.0)</f>
        <v>44372</v>
      </c>
      <c r="F549" s="129">
        <f>IFERROR(__xludf.DUMMYFUNCTION("""COMPUTED_VALUE"""),44407.0)</f>
        <v>44407</v>
      </c>
      <c r="G549" s="154" t="str">
        <f>IFERROR(__xludf.DUMMYFUNCTION("""COMPUTED_VALUE"""),"Email")</f>
        <v>Email</v>
      </c>
      <c r="H549" s="131"/>
      <c r="I549" s="144"/>
      <c r="J549" s="129">
        <f>IFERROR(__xludf.DUMMYFUNCTION("""COMPUTED_VALUE"""),44421.0)</f>
        <v>44421</v>
      </c>
      <c r="K549" s="133">
        <f>IFERROR(__xludf.DUMMYFUNCTION("""COMPUTED_VALUE"""),35.0)</f>
        <v>35</v>
      </c>
      <c r="L549" s="133">
        <f>IFERROR(__xludf.DUMMYFUNCTION("""COMPUTED_VALUE"""),14.0)</f>
        <v>14</v>
      </c>
      <c r="M549" s="133">
        <f>IFERROR(__xludf.DUMMYFUNCTION("""COMPUTED_VALUE"""),49.0)</f>
        <v>49</v>
      </c>
      <c r="N549" s="152" t="str">
        <f>IFERROR(__xludf.DUMMYFUNCTION("""COMPUTED_VALUE"""),"Model 3 LR AWD")</f>
        <v>Model 3 LR AWD</v>
      </c>
      <c r="O549" s="152" t="str">
        <f>IFERROR(__xludf.DUMMYFUNCTION("""COMPUTED_VALUE"""),"Pearl White Multi-Coat")</f>
        <v>Pearl White Multi-Coat</v>
      </c>
      <c r="P549" s="153" t="str">
        <f>IFERROR(__xludf.DUMMYFUNCTION("""COMPUTED_VALUE"""),"18 inch")</f>
        <v>18 inch</v>
      </c>
      <c r="Q549" s="152" t="str">
        <f>IFERROR(__xludf.DUMMYFUNCTION("""COMPUTED_VALUE"""),"Black and White")</f>
        <v>Black and White</v>
      </c>
      <c r="R549" s="149" t="str">
        <f>IFERROR(__xludf.DUMMYFUNCTION("""COMPUTED_VALUE"""),"Autopilot included")</f>
        <v>Autopilot included</v>
      </c>
      <c r="S549" s="149" t="str">
        <f>IFERROR(__xludf.DUMMYFUNCTION("""COMPUTED_VALUE"""),"Loan")</f>
        <v>Loan</v>
      </c>
      <c r="T549" s="145" t="str">
        <f>IFERROR(__xludf.DUMMYFUNCTION("""COMPUTED_VALUE"""),"Acura")</f>
        <v>Acura</v>
      </c>
      <c r="U549" s="145" t="str">
        <f>IFERROR(__xludf.DUMMYFUNCTION("""COMPUTED_VALUE"""),"Electric!")</f>
        <v>Electric!</v>
      </c>
      <c r="V549" s="145" t="str">
        <f>IFERROR(__xludf.DUMMYFUNCTION("""COMPUTED_VALUE"""),"360° Bird's eye view")</f>
        <v>360° Bird's eye view</v>
      </c>
      <c r="W549" s="145"/>
      <c r="X549" s="137"/>
      <c r="Y549" s="138"/>
      <c r="Z549" s="138"/>
      <c r="AA549" s="138"/>
      <c r="AB549" s="138"/>
      <c r="AC549" s="139"/>
      <c r="AD549" s="139"/>
      <c r="AE549" s="139"/>
      <c r="AF549" s="140"/>
      <c r="AG549" s="145"/>
      <c r="AH549" s="157">
        <f>IFERROR(__xludf.DUMMYFUNCTION("""COMPUTED_VALUE"""),44407.8610637963)</f>
        <v>44407.86106</v>
      </c>
      <c r="AI549" s="138"/>
      <c r="AJ549" s="138"/>
      <c r="AK549" s="138"/>
      <c r="AL549" s="142"/>
    </row>
    <row r="550" ht="20.25" customHeight="1">
      <c r="A550" s="155" t="str">
        <f>IFERROR(__xludf.DUMMYFUNCTION("""COMPUTED_VALUE"""),"pi-rat")</f>
        <v>pi-rat</v>
      </c>
      <c r="B550" s="149" t="str">
        <f>IFERROR(__xludf.DUMMYFUNCTION("""COMPUTED_VALUE"""),"Nashville")</f>
        <v>Nashville</v>
      </c>
      <c r="C550" s="149" t="str">
        <f>IFERROR(__xludf.DUMMYFUNCTION("""COMPUTED_VALUE"""),"TN")</f>
        <v>TN</v>
      </c>
      <c r="D550" s="149" t="str">
        <f>IFERROR(__xludf.DUMMYFUNCTION("""COMPUTED_VALUE"""),"USA")</f>
        <v>USA</v>
      </c>
      <c r="E550" s="156">
        <f>IFERROR(__xludf.DUMMYFUNCTION("""COMPUTED_VALUE"""),44372.0)</f>
        <v>44372</v>
      </c>
      <c r="F550" s="129">
        <f>IFERROR(__xludf.DUMMYFUNCTION("""COMPUTED_VALUE"""),44407.0)</f>
        <v>44407</v>
      </c>
      <c r="G550" s="154" t="str">
        <f>IFERROR(__xludf.DUMMYFUNCTION("""COMPUTED_VALUE"""),"Manage order page (normal text)")</f>
        <v>Manage order page (normal text)</v>
      </c>
      <c r="H550" s="131"/>
      <c r="I550" s="144"/>
      <c r="J550" s="129">
        <f>IFERROR(__xludf.DUMMYFUNCTION("""COMPUTED_VALUE"""),44418.0)</f>
        <v>44418</v>
      </c>
      <c r="K550" s="133">
        <f>IFERROR(__xludf.DUMMYFUNCTION("""COMPUTED_VALUE"""),35.0)</f>
        <v>35</v>
      </c>
      <c r="L550" s="133">
        <f>IFERROR(__xludf.DUMMYFUNCTION("""COMPUTED_VALUE"""),11.0)</f>
        <v>11</v>
      </c>
      <c r="M550" s="133">
        <f>IFERROR(__xludf.DUMMYFUNCTION("""COMPUTED_VALUE"""),46.0)</f>
        <v>46</v>
      </c>
      <c r="N550" s="152" t="str">
        <f>IFERROR(__xludf.DUMMYFUNCTION("""COMPUTED_VALUE"""),"Model 3 SR+")</f>
        <v>Model 3 SR+</v>
      </c>
      <c r="O550" s="152" t="str">
        <f>IFERROR(__xludf.DUMMYFUNCTION("""COMPUTED_VALUE"""),"Pearl White Multi-Coat")</f>
        <v>Pearl White Multi-Coat</v>
      </c>
      <c r="P550" s="153" t="str">
        <f>IFERROR(__xludf.DUMMYFUNCTION("""COMPUTED_VALUE"""),"18 inch")</f>
        <v>18 inch</v>
      </c>
      <c r="Q550" s="152" t="str">
        <f>IFERROR(__xludf.DUMMYFUNCTION("""COMPUTED_VALUE"""),"All Black")</f>
        <v>All Black</v>
      </c>
      <c r="R550" s="149" t="str">
        <f>IFERROR(__xludf.DUMMYFUNCTION("""COMPUTED_VALUE"""),"Autopilot included")</f>
        <v>Autopilot included</v>
      </c>
      <c r="S550" s="149" t="str">
        <f>IFERROR(__xludf.DUMMYFUNCTION("""COMPUTED_VALUE"""),"Loan")</f>
        <v>Loan</v>
      </c>
      <c r="T550" s="145" t="str">
        <f>IFERROR(__xludf.DUMMYFUNCTION("""COMPUTED_VALUE"""),"Hyundai Elantra")</f>
        <v>Hyundai Elantra</v>
      </c>
      <c r="U550" s="145" t="str">
        <f>IFERROR(__xludf.DUMMYFUNCTION("""COMPUTED_VALUE"""),"Electric!")</f>
        <v>Electric!</v>
      </c>
      <c r="V550" s="145" t="str">
        <f>IFERROR(__xludf.DUMMYFUNCTION("""COMPUTED_VALUE"""),"Air suspension")</f>
        <v>Air suspension</v>
      </c>
      <c r="W550" s="145"/>
      <c r="X550" s="137"/>
      <c r="Y550" s="138"/>
      <c r="Z550" s="138"/>
      <c r="AA550" s="138"/>
      <c r="AB550" s="138"/>
      <c r="AC550" s="139"/>
      <c r="AD550" s="139"/>
      <c r="AE550" s="139"/>
      <c r="AF550" s="140"/>
      <c r="AG550" s="145"/>
      <c r="AH550" s="157">
        <f>IFERROR(__xludf.DUMMYFUNCTION("""COMPUTED_VALUE"""),44407.27495204861)</f>
        <v>44407.27495</v>
      </c>
      <c r="AI550" s="138"/>
      <c r="AJ550" s="138"/>
      <c r="AK550" s="138"/>
      <c r="AL550" s="142"/>
    </row>
    <row r="551" ht="20.25" customHeight="1">
      <c r="A551" s="155" t="str">
        <f>IFERROR(__xludf.DUMMYFUNCTION("""COMPUTED_VALUE"""),"Abraham741")</f>
        <v>Abraham741</v>
      </c>
      <c r="B551" s="149" t="str">
        <f>IFERROR(__xludf.DUMMYFUNCTION("""COMPUTED_VALUE"""),"Burbank")</f>
        <v>Burbank</v>
      </c>
      <c r="C551" s="149" t="str">
        <f>IFERROR(__xludf.DUMMYFUNCTION("""COMPUTED_VALUE"""),"CA")</f>
        <v>CA</v>
      </c>
      <c r="D551" s="149" t="str">
        <f>IFERROR(__xludf.DUMMYFUNCTION("""COMPUTED_VALUE"""),"USA")</f>
        <v>USA</v>
      </c>
      <c r="E551" s="156">
        <f>IFERROR(__xludf.DUMMYFUNCTION("""COMPUTED_VALUE"""),44371.0)</f>
        <v>44371</v>
      </c>
      <c r="F551" s="129">
        <f>IFERROR(__xludf.DUMMYFUNCTION("""COMPUTED_VALUE"""),44420.0)</f>
        <v>44420</v>
      </c>
      <c r="G551" s="154" t="str">
        <f>IFERROR(__xludf.DUMMYFUNCTION("""COMPUTED_VALUE"""),"Email")</f>
        <v>Email</v>
      </c>
      <c r="H551" s="131"/>
      <c r="I551" s="144" t="str">
        <f>IFERROR(__xludf.DUMMYFUNCTION("""COMPUTED_VALUE"""),"08/21")</f>
        <v>08/21</v>
      </c>
      <c r="J551" s="129">
        <f>IFERROR(__xludf.DUMMYFUNCTION("""COMPUTED_VALUE"""),44423.0)</f>
        <v>44423</v>
      </c>
      <c r="K551" s="133">
        <f>IFERROR(__xludf.DUMMYFUNCTION("""COMPUTED_VALUE"""),49.0)</f>
        <v>49</v>
      </c>
      <c r="L551" s="133">
        <f>IFERROR(__xludf.DUMMYFUNCTION("""COMPUTED_VALUE"""),3.0)</f>
        <v>3</v>
      </c>
      <c r="M551" s="133">
        <f>IFERROR(__xludf.DUMMYFUNCTION("""COMPUTED_VALUE"""),52.0)</f>
        <v>52</v>
      </c>
      <c r="N551" s="152" t="str">
        <f>IFERROR(__xludf.DUMMYFUNCTION("""COMPUTED_VALUE"""),"Model 3 LR AWD")</f>
        <v>Model 3 LR AWD</v>
      </c>
      <c r="O551" s="152" t="str">
        <f>IFERROR(__xludf.DUMMYFUNCTION("""COMPUTED_VALUE"""),"Midnight Silver Metallic")</f>
        <v>Midnight Silver Metallic</v>
      </c>
      <c r="P551" s="153" t="str">
        <f>IFERROR(__xludf.DUMMYFUNCTION("""COMPUTED_VALUE"""),"18 inch")</f>
        <v>18 inch</v>
      </c>
      <c r="Q551" s="152" t="str">
        <f>IFERROR(__xludf.DUMMYFUNCTION("""COMPUTED_VALUE"""),"All Black")</f>
        <v>All Black</v>
      </c>
      <c r="R551" s="149" t="str">
        <f>IFERROR(__xludf.DUMMYFUNCTION("""COMPUTED_VALUE"""),"Autopilot included")</f>
        <v>Autopilot included</v>
      </c>
      <c r="S551" s="149" t="str">
        <f>IFERROR(__xludf.DUMMYFUNCTION("""COMPUTED_VALUE"""),"Loan")</f>
        <v>Loan</v>
      </c>
      <c r="T551" s="145" t="str">
        <f>IFERROR(__xludf.DUMMYFUNCTION("""COMPUTED_VALUE"""),"Mazda MX-5 RF")</f>
        <v>Mazda MX-5 RF</v>
      </c>
      <c r="U551" s="145" t="str">
        <f>IFERROR(__xludf.DUMMYFUNCTION("""COMPUTED_VALUE"""),"Electric!")</f>
        <v>Electric!</v>
      </c>
      <c r="V551" s="145" t="str">
        <f>IFERROR(__xludf.DUMMYFUNCTION("""COMPUTED_VALUE"""),"Ventilated seats")</f>
        <v>Ventilated seats</v>
      </c>
      <c r="W551" s="145"/>
      <c r="X551" s="137" t="str">
        <f>IFERROR(__xludf.DUMMYFUNCTION("""COMPUTED_VALUE"""),"Good")</f>
        <v>Good</v>
      </c>
      <c r="Y551" s="138" t="str">
        <f>IFERROR(__xludf.DUMMYFUNCTION("""COMPUTED_VALUE"""),"Very Good")</f>
        <v>Very Good</v>
      </c>
      <c r="Z551" s="138" t="str">
        <f>IFERROR(__xludf.DUMMYFUNCTION("""COMPUTED_VALUE"""),"Good")</f>
        <v>Good</v>
      </c>
      <c r="AA551" s="138" t="str">
        <f>IFERROR(__xludf.DUMMYFUNCTION("""COMPUTED_VALUE"""),"Good")</f>
        <v>Good</v>
      </c>
      <c r="AB551" s="138" t="str">
        <f>IFERROR(__xludf.DUMMYFUNCTION("""COMPUTED_VALUE"""),"Very Good")</f>
        <v>Very Good</v>
      </c>
      <c r="AC551" s="139">
        <f>IFERROR(__xludf.DUMMYFUNCTION("""COMPUTED_VALUE"""),1.0)</f>
        <v>1</v>
      </c>
      <c r="AD551" s="139"/>
      <c r="AE551" s="139"/>
      <c r="AF551" s="140" t="str">
        <f>IFERROR(__xludf.DUMMYFUNCTION("""COMPUTED_VALUE"""),"No. I took delivery of the first car Tesla was able to deliver.")</f>
        <v>No. I took delivery of the first car Tesla was able to deliver.</v>
      </c>
      <c r="AG551" s="145"/>
      <c r="AH551" s="157">
        <f>IFERROR(__xludf.DUMMYFUNCTION("""COMPUTED_VALUE"""),44424.263025277774)</f>
        <v>44424.26303</v>
      </c>
      <c r="AI551" s="138"/>
      <c r="AJ551" s="138"/>
      <c r="AK551" s="138"/>
      <c r="AL551" s="142"/>
    </row>
    <row r="552" ht="20.25" customHeight="1">
      <c r="A552" s="155" t="str">
        <f>IFERROR(__xludf.DUMMYFUNCTION("""COMPUTED_VALUE"""),"Cliffhanger")</f>
        <v>Cliffhanger</v>
      </c>
      <c r="B552" s="149"/>
      <c r="C552" s="149" t="str">
        <f>IFERROR(__xludf.DUMMYFUNCTION("""COMPUTED_VALUE"""),"MD")</f>
        <v>MD</v>
      </c>
      <c r="D552" s="149" t="str">
        <f>IFERROR(__xludf.DUMMYFUNCTION("""COMPUTED_VALUE"""),"USA")</f>
        <v>USA</v>
      </c>
      <c r="E552" s="156">
        <f>IFERROR(__xludf.DUMMYFUNCTION("""COMPUTED_VALUE"""),44371.0)</f>
        <v>44371</v>
      </c>
      <c r="F552" s="129">
        <f>IFERROR(__xludf.DUMMYFUNCTION("""COMPUTED_VALUE"""),44403.0)</f>
        <v>44403</v>
      </c>
      <c r="G552" s="154" t="str">
        <f>IFERROR(__xludf.DUMMYFUNCTION("""COMPUTED_VALUE"""),"Manage order page (normal text)")</f>
        <v>Manage order page (normal text)</v>
      </c>
      <c r="H552" s="131">
        <f>IFERROR(__xludf.DUMMYFUNCTION("""COMPUTED_VALUE"""),26455.0)</f>
        <v>26455</v>
      </c>
      <c r="I552" s="144"/>
      <c r="J552" s="129">
        <f>IFERROR(__xludf.DUMMYFUNCTION("""COMPUTED_VALUE"""),44415.0)</f>
        <v>44415</v>
      </c>
      <c r="K552" s="133">
        <f>IFERROR(__xludf.DUMMYFUNCTION("""COMPUTED_VALUE"""),32.0)</f>
        <v>32</v>
      </c>
      <c r="L552" s="133">
        <f>IFERROR(__xludf.DUMMYFUNCTION("""COMPUTED_VALUE"""),12.0)</f>
        <v>12</v>
      </c>
      <c r="M552" s="133">
        <f>IFERROR(__xludf.DUMMYFUNCTION("""COMPUTED_VALUE"""),44.0)</f>
        <v>44</v>
      </c>
      <c r="N552" s="152" t="str">
        <f>IFERROR(__xludf.DUMMYFUNCTION("""COMPUTED_VALUE"""),"Model 3 LR AWD")</f>
        <v>Model 3 LR AWD</v>
      </c>
      <c r="O552" s="152" t="str">
        <f>IFERROR(__xludf.DUMMYFUNCTION("""COMPUTED_VALUE"""),"Deep Blue Metallic")</f>
        <v>Deep Blue Metallic</v>
      </c>
      <c r="P552" s="153" t="str">
        <f>IFERROR(__xludf.DUMMYFUNCTION("""COMPUTED_VALUE"""),"18 inch")</f>
        <v>18 inch</v>
      </c>
      <c r="Q552" s="152" t="str">
        <f>IFERROR(__xludf.DUMMYFUNCTION("""COMPUTED_VALUE"""),"Black and White")</f>
        <v>Black and White</v>
      </c>
      <c r="R552" s="149" t="str">
        <f>IFERROR(__xludf.DUMMYFUNCTION("""COMPUTED_VALUE"""),"Autopilot included")</f>
        <v>Autopilot included</v>
      </c>
      <c r="S552" s="149" t="str">
        <f>IFERROR(__xludf.DUMMYFUNCTION("""COMPUTED_VALUE"""),"Loan")</f>
        <v>Loan</v>
      </c>
      <c r="T552" s="145" t="str">
        <f>IFERROR(__xludf.DUMMYFUNCTION("""COMPUTED_VALUE"""),"Acura TSX")</f>
        <v>Acura TSX</v>
      </c>
      <c r="U552" s="145" t="str">
        <f>IFERROR(__xludf.DUMMYFUNCTION("""COMPUTED_VALUE"""),"Electric!")</f>
        <v>Electric!</v>
      </c>
      <c r="V552" s="145" t="str">
        <f>IFERROR(__xludf.DUMMYFUNCTION("""COMPUTED_VALUE"""),"Head-up display")</f>
        <v>Head-up display</v>
      </c>
      <c r="W552" s="145"/>
      <c r="X552" s="137" t="str">
        <f>IFERROR(__xludf.DUMMYFUNCTION("""COMPUTED_VALUE"""),"Excellent")</f>
        <v>Excellent</v>
      </c>
      <c r="Y552" s="138" t="str">
        <f>IFERROR(__xludf.DUMMYFUNCTION("""COMPUTED_VALUE"""),"Very Good")</f>
        <v>Very Good</v>
      </c>
      <c r="Z552" s="138" t="str">
        <f>IFERROR(__xludf.DUMMYFUNCTION("""COMPUTED_VALUE"""),"Excellent")</f>
        <v>Excellent</v>
      </c>
      <c r="AA552" s="138" t="str">
        <f>IFERROR(__xludf.DUMMYFUNCTION("""COMPUTED_VALUE"""),"Very Good")</f>
        <v>Very Good</v>
      </c>
      <c r="AB552" s="138" t="str">
        <f>IFERROR(__xludf.DUMMYFUNCTION("""COMPUTED_VALUE"""),"Very Good")</f>
        <v>Very Good</v>
      </c>
      <c r="AC552" s="139"/>
      <c r="AD552" s="139"/>
      <c r="AE552" s="139"/>
      <c r="AF552" s="140"/>
      <c r="AG552" s="145"/>
      <c r="AH552" s="157">
        <f>IFERROR(__xludf.DUMMYFUNCTION("""COMPUTED_VALUE"""),44416.766873078705)</f>
        <v>44416.76687</v>
      </c>
      <c r="AI552" s="138"/>
      <c r="AJ552" s="138"/>
      <c r="AK552" s="138"/>
      <c r="AL552" s="142"/>
    </row>
    <row r="553" ht="20.25" customHeight="1">
      <c r="A553" s="155" t="str">
        <f>IFERROR(__xludf.DUMMYFUNCTION("""COMPUTED_VALUE"""),"Justanotherguy")</f>
        <v>Justanotherguy</v>
      </c>
      <c r="B553" s="149" t="str">
        <f>IFERROR(__xludf.DUMMYFUNCTION("""COMPUTED_VALUE"""),"Chicago")</f>
        <v>Chicago</v>
      </c>
      <c r="C553" s="149" t="str">
        <f>IFERROR(__xludf.DUMMYFUNCTION("""COMPUTED_VALUE"""),"IL")</f>
        <v>IL</v>
      </c>
      <c r="D553" s="149" t="str">
        <f>IFERROR(__xludf.DUMMYFUNCTION("""COMPUTED_VALUE"""),"USA")</f>
        <v>USA</v>
      </c>
      <c r="E553" s="156">
        <f>IFERROR(__xludf.DUMMYFUNCTION("""COMPUTED_VALUE"""),44371.0)</f>
        <v>44371</v>
      </c>
      <c r="F553" s="129">
        <f>IFERROR(__xludf.DUMMYFUNCTION("""COMPUTED_VALUE"""),44416.0)</f>
        <v>44416</v>
      </c>
      <c r="G553" s="154" t="str">
        <f>IFERROR(__xludf.DUMMYFUNCTION("""COMPUTED_VALUE"""),"Manage order page (normal text)")</f>
        <v>Manage order page (normal text)</v>
      </c>
      <c r="H553" s="131"/>
      <c r="I553" s="144"/>
      <c r="J553" s="129">
        <f>IFERROR(__xludf.DUMMYFUNCTION("""COMPUTED_VALUE"""),44428.0)</f>
        <v>44428</v>
      </c>
      <c r="K553" s="133">
        <f>IFERROR(__xludf.DUMMYFUNCTION("""COMPUTED_VALUE"""),45.0)</f>
        <v>45</v>
      </c>
      <c r="L553" s="133">
        <f>IFERROR(__xludf.DUMMYFUNCTION("""COMPUTED_VALUE"""),12.0)</f>
        <v>12</v>
      </c>
      <c r="M553" s="133">
        <f>IFERROR(__xludf.DUMMYFUNCTION("""COMPUTED_VALUE"""),57.0)</f>
        <v>57</v>
      </c>
      <c r="N553" s="152" t="str">
        <f>IFERROR(__xludf.DUMMYFUNCTION("""COMPUTED_VALUE"""),"Model 3 SR+")</f>
        <v>Model 3 SR+</v>
      </c>
      <c r="O553" s="152" t="str">
        <f>IFERROR(__xludf.DUMMYFUNCTION("""COMPUTED_VALUE"""),"Deep Blue Metallic")</f>
        <v>Deep Blue Metallic</v>
      </c>
      <c r="P553" s="153" t="str">
        <f>IFERROR(__xludf.DUMMYFUNCTION("""COMPUTED_VALUE"""),"18 inch")</f>
        <v>18 inch</v>
      </c>
      <c r="Q553" s="152" t="str">
        <f>IFERROR(__xludf.DUMMYFUNCTION("""COMPUTED_VALUE"""),"Black and White")</f>
        <v>Black and White</v>
      </c>
      <c r="R553" s="149" t="str">
        <f>IFERROR(__xludf.DUMMYFUNCTION("""COMPUTED_VALUE"""),"Autopilot included")</f>
        <v>Autopilot included</v>
      </c>
      <c r="S553" s="149" t="str">
        <f>IFERROR(__xludf.DUMMYFUNCTION("""COMPUTED_VALUE"""),"Loan")</f>
        <v>Loan</v>
      </c>
      <c r="T553" s="145"/>
      <c r="U553" s="145"/>
      <c r="V553" s="145"/>
      <c r="W553" s="145"/>
      <c r="X553" s="137"/>
      <c r="Y553" s="138"/>
      <c r="Z553" s="138"/>
      <c r="AA553" s="138"/>
      <c r="AB553" s="138"/>
      <c r="AC553" s="139"/>
      <c r="AD553" s="139"/>
      <c r="AE553" s="139"/>
      <c r="AF553" s="140"/>
      <c r="AG553" s="145"/>
      <c r="AH553" s="157">
        <f>IFERROR(__xludf.DUMMYFUNCTION("""COMPUTED_VALUE"""),44424.48165275463)</f>
        <v>44424.48165</v>
      </c>
      <c r="AI553" s="138"/>
      <c r="AJ553" s="138"/>
      <c r="AK553" s="138"/>
      <c r="AL553" s="142"/>
    </row>
    <row r="554" ht="20.25" customHeight="1">
      <c r="A554" s="155" t="str">
        <f>IFERROR(__xludf.DUMMYFUNCTION("""COMPUTED_VALUE"""),"kk35")</f>
        <v>kk35</v>
      </c>
      <c r="B554" s="149"/>
      <c r="C554" s="149" t="str">
        <f>IFERROR(__xludf.DUMMYFUNCTION("""COMPUTED_VALUE"""),"PA")</f>
        <v>PA</v>
      </c>
      <c r="D554" s="149" t="str">
        <f>IFERROR(__xludf.DUMMYFUNCTION("""COMPUTED_VALUE"""),"USA")</f>
        <v>USA</v>
      </c>
      <c r="E554" s="156">
        <f>IFERROR(__xludf.DUMMYFUNCTION("""COMPUTED_VALUE"""),44371.0)</f>
        <v>44371</v>
      </c>
      <c r="F554" s="129">
        <f>IFERROR(__xludf.DUMMYFUNCTION("""COMPUTED_VALUE"""),44420.0)</f>
        <v>44420</v>
      </c>
      <c r="G554" s="154" t="str">
        <f>IFERROR(__xludf.DUMMYFUNCTION("""COMPUTED_VALUE"""),"Manage order page (normal text)")</f>
        <v>Manage order page (normal text)</v>
      </c>
      <c r="H554" s="131"/>
      <c r="I554" s="144"/>
      <c r="J554" s="129"/>
      <c r="K554" s="133">
        <f>IFERROR(__xludf.DUMMYFUNCTION("""COMPUTED_VALUE"""),49.0)</f>
        <v>49</v>
      </c>
      <c r="L554" s="133"/>
      <c r="M554" s="133"/>
      <c r="N554" s="152" t="str">
        <f>IFERROR(__xludf.DUMMYFUNCTION("""COMPUTED_VALUE"""),"Model 3 LR AWD")</f>
        <v>Model 3 LR AWD</v>
      </c>
      <c r="O554" s="152" t="str">
        <f>IFERROR(__xludf.DUMMYFUNCTION("""COMPUTED_VALUE"""),"Solid Black")</f>
        <v>Solid Black</v>
      </c>
      <c r="P554" s="153" t="str">
        <f>IFERROR(__xludf.DUMMYFUNCTION("""COMPUTED_VALUE"""),"18 inch")</f>
        <v>18 inch</v>
      </c>
      <c r="Q554" s="152" t="str">
        <f>IFERROR(__xludf.DUMMYFUNCTION("""COMPUTED_VALUE"""),"All Black")</f>
        <v>All Black</v>
      </c>
      <c r="R554" s="149" t="str">
        <f>IFERROR(__xludf.DUMMYFUNCTION("""COMPUTED_VALUE"""),"Autopilot included")</f>
        <v>Autopilot included</v>
      </c>
      <c r="S554" s="149"/>
      <c r="T554" s="145" t="str">
        <f>IFERROR(__xludf.DUMMYFUNCTION("""COMPUTED_VALUE"""),"Subaru Legacy")</f>
        <v>Subaru Legacy</v>
      </c>
      <c r="U554" s="145" t="str">
        <f>IFERROR(__xludf.DUMMYFUNCTION("""COMPUTED_VALUE"""),"Electric!")</f>
        <v>Electric!</v>
      </c>
      <c r="V554" s="145" t="str">
        <f>IFERROR(__xludf.DUMMYFUNCTION("""COMPUTED_VALUE"""),"Apple CarPlay / Android Auto / SiriusXM Radio")</f>
        <v>Apple CarPlay / Android Auto / SiriusXM Radio</v>
      </c>
      <c r="W554" s="145"/>
      <c r="X554" s="137"/>
      <c r="Y554" s="138"/>
      <c r="Z554" s="138"/>
      <c r="AA554" s="138"/>
      <c r="AB554" s="138"/>
      <c r="AC554" s="139"/>
      <c r="AD554" s="139"/>
      <c r="AE554" s="139"/>
      <c r="AF554" s="140"/>
      <c r="AG554" s="145"/>
      <c r="AH554" s="157">
        <f>IFERROR(__xludf.DUMMYFUNCTION("""COMPUTED_VALUE"""),44421.17236280092)</f>
        <v>44421.17236</v>
      </c>
      <c r="AI554" s="138"/>
      <c r="AJ554" s="138"/>
      <c r="AK554" s="138"/>
      <c r="AL554" s="142"/>
    </row>
    <row r="555" ht="20.25" customHeight="1">
      <c r="A555" s="155" t="str">
        <f>IFERROR(__xludf.DUMMYFUNCTION("""COMPUTED_VALUE"""),"mrmitch5150")</f>
        <v>mrmitch5150</v>
      </c>
      <c r="B555" s="149" t="str">
        <f>IFERROR(__xludf.DUMMYFUNCTION("""COMPUTED_VALUE"""),"Benicia")</f>
        <v>Benicia</v>
      </c>
      <c r="C555" s="149" t="str">
        <f>IFERROR(__xludf.DUMMYFUNCTION("""COMPUTED_VALUE"""),"CA")</f>
        <v>CA</v>
      </c>
      <c r="D555" s="149" t="str">
        <f>IFERROR(__xludf.DUMMYFUNCTION("""COMPUTED_VALUE"""),"USA")</f>
        <v>USA</v>
      </c>
      <c r="E555" s="156">
        <f>IFERROR(__xludf.DUMMYFUNCTION("""COMPUTED_VALUE"""),44371.0)</f>
        <v>44371</v>
      </c>
      <c r="F555" s="129">
        <f>IFERROR(__xludf.DUMMYFUNCTION("""COMPUTED_VALUE"""),44395.0)</f>
        <v>44395</v>
      </c>
      <c r="G555" s="154" t="str">
        <f>IFERROR(__xludf.DUMMYFUNCTION("""COMPUTED_VALUE"""),"Text message")</f>
        <v>Text message</v>
      </c>
      <c r="H555" s="131">
        <f>IFERROR(__xludf.DUMMYFUNCTION("""COMPUTED_VALUE"""),15755.0)</f>
        <v>15755</v>
      </c>
      <c r="I555" s="144"/>
      <c r="J555" s="129">
        <f>IFERROR(__xludf.DUMMYFUNCTION("""COMPUTED_VALUE"""),44400.0)</f>
        <v>44400</v>
      </c>
      <c r="K555" s="133">
        <f>IFERROR(__xludf.DUMMYFUNCTION("""COMPUTED_VALUE"""),24.0)</f>
        <v>24</v>
      </c>
      <c r="L555" s="133">
        <f>IFERROR(__xludf.DUMMYFUNCTION("""COMPUTED_VALUE"""),5.0)</f>
        <v>5</v>
      </c>
      <c r="M555" s="133">
        <f>IFERROR(__xludf.DUMMYFUNCTION("""COMPUTED_VALUE"""),29.0)</f>
        <v>29</v>
      </c>
      <c r="N555" s="152" t="str">
        <f>IFERROR(__xludf.DUMMYFUNCTION("""COMPUTED_VALUE"""),"Model 3 Performance")</f>
        <v>Model 3 Performance</v>
      </c>
      <c r="O555" s="152" t="str">
        <f>IFERROR(__xludf.DUMMYFUNCTION("""COMPUTED_VALUE"""),"Red Multi-Coat")</f>
        <v>Red Multi-Coat</v>
      </c>
      <c r="P555" s="153" t="str">
        <f>IFERROR(__xludf.DUMMYFUNCTION("""COMPUTED_VALUE"""),"20 inch")</f>
        <v>20 inch</v>
      </c>
      <c r="Q555" s="152" t="str">
        <f>IFERROR(__xludf.DUMMYFUNCTION("""COMPUTED_VALUE"""),"All Black")</f>
        <v>All Black</v>
      </c>
      <c r="R555" s="149" t="str">
        <f>IFERROR(__xludf.DUMMYFUNCTION("""COMPUTED_VALUE"""),"Autopilot included")</f>
        <v>Autopilot included</v>
      </c>
      <c r="S555" s="149" t="str">
        <f>IFERROR(__xludf.DUMMYFUNCTION("""COMPUTED_VALUE"""),"Loan")</f>
        <v>Loan</v>
      </c>
      <c r="T555" s="145" t="str">
        <f>IFERROR(__xludf.DUMMYFUNCTION("""COMPUTED_VALUE"""),"Subaru Forester ")</f>
        <v>Subaru Forester </v>
      </c>
      <c r="U555" s="145" t="str">
        <f>IFERROR(__xludf.DUMMYFUNCTION("""COMPUTED_VALUE"""),"Electric!")</f>
        <v>Electric!</v>
      </c>
      <c r="V555" s="145" t="str">
        <f>IFERROR(__xludf.DUMMYFUNCTION("""COMPUTED_VALUE"""),"Blind spot indicators on side mirrors")</f>
        <v>Blind spot indicators on side mirrors</v>
      </c>
      <c r="W555" s="145" t="str">
        <f>IFERROR(__xludf.DUMMYFUNCTION("""COMPUTED_VALUE"""),"Keep an eye on existing inventory and you may get lucky!")</f>
        <v>Keep an eye on existing inventory and you may get lucky!</v>
      </c>
      <c r="X555" s="137" t="str">
        <f>IFERROR(__xludf.DUMMYFUNCTION("""COMPUTED_VALUE"""),"Very Good")</f>
        <v>Very Good</v>
      </c>
      <c r="Y555" s="138" t="str">
        <f>IFERROR(__xludf.DUMMYFUNCTION("""COMPUTED_VALUE"""),"Very Good")</f>
        <v>Very Good</v>
      </c>
      <c r="Z555" s="138" t="str">
        <f>IFERROR(__xludf.DUMMYFUNCTION("""COMPUTED_VALUE"""),"Good")</f>
        <v>Good</v>
      </c>
      <c r="AA555" s="138" t="str">
        <f>IFERROR(__xludf.DUMMYFUNCTION("""COMPUTED_VALUE"""),"Excellent")</f>
        <v>Excellent</v>
      </c>
      <c r="AB555" s="138" t="str">
        <f>IFERROR(__xludf.DUMMYFUNCTION("""COMPUTED_VALUE"""),"Excellent")</f>
        <v>Excellent</v>
      </c>
      <c r="AC555" s="139"/>
      <c r="AD555" s="139"/>
      <c r="AE555" s="139"/>
      <c r="AF555" s="140" t="str">
        <f>IFERROR(__xludf.DUMMYFUNCTION("""COMPUTED_VALUE"""),"No. I took delivery of the first car Tesla was able to deliver.")</f>
        <v>No. I took delivery of the first car Tesla was able to deliver.</v>
      </c>
      <c r="AG555" s="145" t="str">
        <f>IFERROR(__xludf.DUMMYFUNCTION("""COMPUTED_VALUE"""),"Found it in existing inventory while waiting for my original order.")</f>
        <v>Found it in existing inventory while waiting for my original order.</v>
      </c>
      <c r="AH555" s="157">
        <f>IFERROR(__xludf.DUMMYFUNCTION("""COMPUTED_VALUE"""),44402.44734583333)</f>
        <v>44402.44735</v>
      </c>
      <c r="AI555" s="138"/>
      <c r="AJ555" s="138"/>
      <c r="AK555" s="138"/>
      <c r="AL555" s="142"/>
    </row>
    <row r="556" ht="20.25" customHeight="1">
      <c r="A556" s="155" t="str">
        <f>IFERROR(__xludf.DUMMYFUNCTION("""COMPUTED_VALUE"""),"tbender518")</f>
        <v>tbender518</v>
      </c>
      <c r="B556" s="149" t="str">
        <f>IFERROR(__xludf.DUMMYFUNCTION("""COMPUTED_VALUE"""),"Nashville")</f>
        <v>Nashville</v>
      </c>
      <c r="C556" s="149" t="str">
        <f>IFERROR(__xludf.DUMMYFUNCTION("""COMPUTED_VALUE"""),"TN")</f>
        <v>TN</v>
      </c>
      <c r="D556" s="149" t="str">
        <f>IFERROR(__xludf.DUMMYFUNCTION("""COMPUTED_VALUE"""),"USA")</f>
        <v>USA</v>
      </c>
      <c r="E556" s="156">
        <f>IFERROR(__xludf.DUMMYFUNCTION("""COMPUTED_VALUE"""),44371.0)</f>
        <v>44371</v>
      </c>
      <c r="F556" s="129">
        <f>IFERROR(__xludf.DUMMYFUNCTION("""COMPUTED_VALUE"""),44406.0)</f>
        <v>44406</v>
      </c>
      <c r="G556" s="154" t="str">
        <f>IFERROR(__xludf.DUMMYFUNCTION("""COMPUTED_VALUE"""),"Manage order page (normal text)")</f>
        <v>Manage order page (normal text)</v>
      </c>
      <c r="H556" s="131">
        <f>IFERROR(__xludf.DUMMYFUNCTION("""COMPUTED_VALUE"""),13234.0)</f>
        <v>13234</v>
      </c>
      <c r="I556" s="144"/>
      <c r="J556" s="129">
        <f>IFERROR(__xludf.DUMMYFUNCTION("""COMPUTED_VALUE"""),44407.0)</f>
        <v>44407</v>
      </c>
      <c r="K556" s="133">
        <f>IFERROR(__xludf.DUMMYFUNCTION("""COMPUTED_VALUE"""),35.0)</f>
        <v>35</v>
      </c>
      <c r="L556" s="133">
        <f>IFERROR(__xludf.DUMMYFUNCTION("""COMPUTED_VALUE"""),1.0)</f>
        <v>1</v>
      </c>
      <c r="M556" s="133">
        <f>IFERROR(__xludf.DUMMYFUNCTION("""COMPUTED_VALUE"""),36.0)</f>
        <v>36</v>
      </c>
      <c r="N556" s="152" t="str">
        <f>IFERROR(__xludf.DUMMYFUNCTION("""COMPUTED_VALUE"""),"Model 3 LR AWD")</f>
        <v>Model 3 LR AWD</v>
      </c>
      <c r="O556" s="152" t="str">
        <f>IFERROR(__xludf.DUMMYFUNCTION("""COMPUTED_VALUE"""),"Solid Black")</f>
        <v>Solid Black</v>
      </c>
      <c r="P556" s="153" t="str">
        <f>IFERROR(__xludf.DUMMYFUNCTION("""COMPUTED_VALUE"""),"18 inch")</f>
        <v>18 inch</v>
      </c>
      <c r="Q556" s="152" t="str">
        <f>IFERROR(__xludf.DUMMYFUNCTION("""COMPUTED_VALUE"""),"Black and White")</f>
        <v>Black and White</v>
      </c>
      <c r="R556" s="149" t="str">
        <f>IFERROR(__xludf.DUMMYFUNCTION("""COMPUTED_VALUE"""),"Autopilot included")</f>
        <v>Autopilot included</v>
      </c>
      <c r="S556" s="149" t="str">
        <f>IFERROR(__xludf.DUMMYFUNCTION("""COMPUTED_VALUE"""),"Loan")</f>
        <v>Loan</v>
      </c>
      <c r="T556" s="145" t="str">
        <f>IFERROR(__xludf.DUMMYFUNCTION("""COMPUTED_VALUE"""),"Toyota Tacoma")</f>
        <v>Toyota Tacoma</v>
      </c>
      <c r="U556" s="145" t="str">
        <f>IFERROR(__xludf.DUMMYFUNCTION("""COMPUTED_VALUE"""),"Electric!")</f>
        <v>Electric!</v>
      </c>
      <c r="V556" s="145" t="str">
        <f>IFERROR(__xludf.DUMMYFUNCTION("""COMPUTED_VALUE"""),"HomeLink")</f>
        <v>HomeLink</v>
      </c>
      <c r="W556" s="145"/>
      <c r="X556" s="137"/>
      <c r="Y556" s="138"/>
      <c r="Z556" s="138"/>
      <c r="AA556" s="138"/>
      <c r="AB556" s="138"/>
      <c r="AC556" s="139"/>
      <c r="AD556" s="139"/>
      <c r="AE556" s="139"/>
      <c r="AF556" s="140"/>
      <c r="AG556" s="145"/>
      <c r="AH556" s="157">
        <f>IFERROR(__xludf.DUMMYFUNCTION("""COMPUTED_VALUE"""),44406.722686967594)</f>
        <v>44406.72269</v>
      </c>
      <c r="AI556" s="138"/>
      <c r="AJ556" s="138"/>
      <c r="AK556" s="138"/>
      <c r="AL556" s="142"/>
    </row>
    <row r="557" ht="20.25" customHeight="1">
      <c r="A557" s="155" t="str">
        <f>IFERROR(__xludf.DUMMYFUNCTION("""COMPUTED_VALUE"""),"freeewilly")</f>
        <v>freeewilly</v>
      </c>
      <c r="B557" s="149" t="str">
        <f>IFERROR(__xludf.DUMMYFUNCTION("""COMPUTED_VALUE"""),"Brea, CA")</f>
        <v>Brea, CA</v>
      </c>
      <c r="C557" s="149" t="str">
        <f>IFERROR(__xludf.DUMMYFUNCTION("""COMPUTED_VALUE"""),"CA")</f>
        <v>CA</v>
      </c>
      <c r="D557" s="149" t="str">
        <f>IFERROR(__xludf.DUMMYFUNCTION("""COMPUTED_VALUE"""),"USA")</f>
        <v>USA</v>
      </c>
      <c r="E557" s="156">
        <f>IFERROR(__xludf.DUMMYFUNCTION("""COMPUTED_VALUE"""),44370.0)</f>
        <v>44370</v>
      </c>
      <c r="F557" s="129">
        <f>IFERROR(__xludf.DUMMYFUNCTION("""COMPUTED_VALUE"""),44457.0)</f>
        <v>44457</v>
      </c>
      <c r="G557" s="154" t="str">
        <f>IFERROR(__xludf.DUMMYFUNCTION("""COMPUTED_VALUE"""),"Email")</f>
        <v>Email</v>
      </c>
      <c r="H557" s="131">
        <f>IFERROR(__xludf.DUMMYFUNCTION("""COMPUTED_VALUE"""),66405.0)</f>
        <v>66405</v>
      </c>
      <c r="I557" s="144"/>
      <c r="J557" s="129">
        <f>IFERROR(__xludf.DUMMYFUNCTION("""COMPUTED_VALUE"""),44469.0)</f>
        <v>44469</v>
      </c>
      <c r="K557" s="133">
        <f>IFERROR(__xludf.DUMMYFUNCTION("""COMPUTED_VALUE"""),87.0)</f>
        <v>87</v>
      </c>
      <c r="L557" s="133">
        <f>IFERROR(__xludf.DUMMYFUNCTION("""COMPUTED_VALUE"""),12.0)</f>
        <v>12</v>
      </c>
      <c r="M557" s="133">
        <f>IFERROR(__xludf.DUMMYFUNCTION("""COMPUTED_VALUE"""),99.0)</f>
        <v>99</v>
      </c>
      <c r="N557" s="152" t="str">
        <f>IFERROR(__xludf.DUMMYFUNCTION("""COMPUTED_VALUE"""),"Model 3 SR+")</f>
        <v>Model 3 SR+</v>
      </c>
      <c r="O557" s="152" t="str">
        <f>IFERROR(__xludf.DUMMYFUNCTION("""COMPUTED_VALUE"""),"Pearl White Multi-Coat")</f>
        <v>Pearl White Multi-Coat</v>
      </c>
      <c r="P557" s="153" t="str">
        <f>IFERROR(__xludf.DUMMYFUNCTION("""COMPUTED_VALUE"""),"18 inch")</f>
        <v>18 inch</v>
      </c>
      <c r="Q557" s="152" t="str">
        <f>IFERROR(__xludf.DUMMYFUNCTION("""COMPUTED_VALUE"""),"All Black")</f>
        <v>All Black</v>
      </c>
      <c r="R557" s="149" t="str">
        <f>IFERROR(__xludf.DUMMYFUNCTION("""COMPUTED_VALUE"""),"Autopilot included")</f>
        <v>Autopilot included</v>
      </c>
      <c r="S557" s="149" t="str">
        <f>IFERROR(__xludf.DUMMYFUNCTION("""COMPUTED_VALUE"""),"Cash")</f>
        <v>Cash</v>
      </c>
      <c r="T557" s="145" t="str">
        <f>IFERROR(__xludf.DUMMYFUNCTION("""COMPUTED_VALUE"""),"BMW 3 Series")</f>
        <v>BMW 3 Series</v>
      </c>
      <c r="U557" s="145" t="str">
        <f>IFERROR(__xludf.DUMMYFUNCTION("""COMPUTED_VALUE"""),"Electric!")</f>
        <v>Electric!</v>
      </c>
      <c r="V557" s="145" t="str">
        <f>IFERROR(__xludf.DUMMYFUNCTION("""COMPUTED_VALUE"""),"Dashboard")</f>
        <v>Dashboard</v>
      </c>
      <c r="W557" s="145"/>
      <c r="X557" s="137"/>
      <c r="Y557" s="138"/>
      <c r="Z557" s="138"/>
      <c r="AA557" s="138"/>
      <c r="AB557" s="138"/>
      <c r="AC557" s="139"/>
      <c r="AD557" s="139"/>
      <c r="AE557" s="139"/>
      <c r="AF557" s="140"/>
      <c r="AG557" s="145"/>
      <c r="AH557" s="157">
        <f>IFERROR(__xludf.DUMMYFUNCTION("""COMPUTED_VALUE"""),44471.973807835646)</f>
        <v>44471.97381</v>
      </c>
      <c r="AI557" s="138"/>
      <c r="AJ557" s="138"/>
      <c r="AK557" s="138"/>
      <c r="AL557" s="142"/>
    </row>
    <row r="558" ht="20.25" customHeight="1">
      <c r="A558" s="155" t="str">
        <f>IFERROR(__xludf.DUMMYFUNCTION("""COMPUTED_VALUE"""),"hueymcdangle")</f>
        <v>hueymcdangle</v>
      </c>
      <c r="B558" s="149" t="str">
        <f>IFERROR(__xludf.DUMMYFUNCTION("""COMPUTED_VALUE"""),"Atlanta")</f>
        <v>Atlanta</v>
      </c>
      <c r="C558" s="149" t="str">
        <f>IFERROR(__xludf.DUMMYFUNCTION("""COMPUTED_VALUE"""),"GA")</f>
        <v>GA</v>
      </c>
      <c r="D558" s="149" t="str">
        <f>IFERROR(__xludf.DUMMYFUNCTION("""COMPUTED_VALUE"""),"USA")</f>
        <v>USA</v>
      </c>
      <c r="E558" s="156">
        <f>IFERROR(__xludf.DUMMYFUNCTION("""COMPUTED_VALUE"""),44370.0)</f>
        <v>44370</v>
      </c>
      <c r="F558" s="129">
        <f>IFERROR(__xludf.DUMMYFUNCTION("""COMPUTED_VALUE"""),44399.0)</f>
        <v>44399</v>
      </c>
      <c r="G558" s="154" t="str">
        <f>IFERROR(__xludf.DUMMYFUNCTION("""COMPUTED_VALUE"""),"Existing Inventory")</f>
        <v>Existing Inventory</v>
      </c>
      <c r="H558" s="131">
        <f>IFERROR(__xludf.DUMMYFUNCTION("""COMPUTED_VALUE"""),15651.0)</f>
        <v>15651</v>
      </c>
      <c r="I558" s="144"/>
      <c r="J558" s="129">
        <f>IFERROR(__xludf.DUMMYFUNCTION("""COMPUTED_VALUE"""),44406.0)</f>
        <v>44406</v>
      </c>
      <c r="K558" s="133">
        <f>IFERROR(__xludf.DUMMYFUNCTION("""COMPUTED_VALUE"""),29.0)</f>
        <v>29</v>
      </c>
      <c r="L558" s="133">
        <f>IFERROR(__xludf.DUMMYFUNCTION("""COMPUTED_VALUE"""),7.0)</f>
        <v>7</v>
      </c>
      <c r="M558" s="133">
        <f>IFERROR(__xludf.DUMMYFUNCTION("""COMPUTED_VALUE"""),36.0)</f>
        <v>36</v>
      </c>
      <c r="N558" s="152" t="str">
        <f>IFERROR(__xludf.DUMMYFUNCTION("""COMPUTED_VALUE"""),"Model 3 LR AWD")</f>
        <v>Model 3 LR AWD</v>
      </c>
      <c r="O558" s="152" t="str">
        <f>IFERROR(__xludf.DUMMYFUNCTION("""COMPUTED_VALUE"""),"Pearl White Multi-Coat")</f>
        <v>Pearl White Multi-Coat</v>
      </c>
      <c r="P558" s="153" t="str">
        <f>IFERROR(__xludf.DUMMYFUNCTION("""COMPUTED_VALUE"""),"19 inch")</f>
        <v>19 inch</v>
      </c>
      <c r="Q558" s="152" t="str">
        <f>IFERROR(__xludf.DUMMYFUNCTION("""COMPUTED_VALUE"""),"Black and White")</f>
        <v>Black and White</v>
      </c>
      <c r="R558" s="149" t="str">
        <f>IFERROR(__xludf.DUMMYFUNCTION("""COMPUTED_VALUE"""),"Autopilot included")</f>
        <v>Autopilot included</v>
      </c>
      <c r="S558" s="149" t="str">
        <f>IFERROR(__xludf.DUMMYFUNCTION("""COMPUTED_VALUE"""),"Lease")</f>
        <v>Lease</v>
      </c>
      <c r="T558" s="145" t="str">
        <f>IFERROR(__xludf.DUMMYFUNCTION("""COMPUTED_VALUE"""),"Chevrolet Tahoe")</f>
        <v>Chevrolet Tahoe</v>
      </c>
      <c r="U558" s="145" t="str">
        <f>IFERROR(__xludf.DUMMYFUNCTION("""COMPUTED_VALUE"""),"Autopilot")</f>
        <v>Autopilot</v>
      </c>
      <c r="V558" s="145" t="str">
        <f>IFERROR(__xludf.DUMMYFUNCTION("""COMPUTED_VALUE"""),"360° Bird's eye view")</f>
        <v>360° Bird's eye view</v>
      </c>
      <c r="W558" s="145"/>
      <c r="X558" s="137"/>
      <c r="Y558" s="138"/>
      <c r="Z558" s="138"/>
      <c r="AA558" s="138"/>
      <c r="AB558" s="138"/>
      <c r="AC558" s="139"/>
      <c r="AD558" s="139"/>
      <c r="AE558" s="139"/>
      <c r="AF558" s="140"/>
      <c r="AG558" s="145"/>
      <c r="AH558" s="157">
        <f>IFERROR(__xludf.DUMMYFUNCTION("""COMPUTED_VALUE"""),44400.839028692135)</f>
        <v>44400.83903</v>
      </c>
      <c r="AI558" s="138"/>
      <c r="AJ558" s="138"/>
      <c r="AK558" s="138"/>
      <c r="AL558" s="142"/>
    </row>
    <row r="559" ht="20.25" customHeight="1">
      <c r="A559" s="155" t="str">
        <f>IFERROR(__xludf.DUMMYFUNCTION("""COMPUTED_VALUE"""),"JustJohn")</f>
        <v>JustJohn</v>
      </c>
      <c r="B559" s="149"/>
      <c r="C559" s="149" t="str">
        <f>IFERROR(__xludf.DUMMYFUNCTION("""COMPUTED_VALUE"""),"SC")</f>
        <v>SC</v>
      </c>
      <c r="D559" s="149" t="str">
        <f>IFERROR(__xludf.DUMMYFUNCTION("""COMPUTED_VALUE"""),"USA")</f>
        <v>USA</v>
      </c>
      <c r="E559" s="156">
        <f>IFERROR(__xludf.DUMMYFUNCTION("""COMPUTED_VALUE"""),44370.0)</f>
        <v>44370</v>
      </c>
      <c r="F559" s="129">
        <f>IFERROR(__xludf.DUMMYFUNCTION("""COMPUTED_VALUE"""),44409.0)</f>
        <v>44409</v>
      </c>
      <c r="G559" s="154" t="str">
        <f>IFERROR(__xludf.DUMMYFUNCTION("""COMPUTED_VALUE"""),"Manage order page (normal text)")</f>
        <v>Manage order page (normal text)</v>
      </c>
      <c r="H559" s="131">
        <f>IFERROR(__xludf.DUMMYFUNCTION("""COMPUTED_VALUE"""),25555.0)</f>
        <v>25555</v>
      </c>
      <c r="I559" s="144"/>
      <c r="J559" s="129">
        <f>IFERROR(__xludf.DUMMYFUNCTION("""COMPUTED_VALUE"""),44423.0)</f>
        <v>44423</v>
      </c>
      <c r="K559" s="133">
        <f>IFERROR(__xludf.DUMMYFUNCTION("""COMPUTED_VALUE"""),39.0)</f>
        <v>39</v>
      </c>
      <c r="L559" s="133">
        <f>IFERROR(__xludf.DUMMYFUNCTION("""COMPUTED_VALUE"""),14.0)</f>
        <v>14</v>
      </c>
      <c r="M559" s="133">
        <f>IFERROR(__xludf.DUMMYFUNCTION("""COMPUTED_VALUE"""),53.0)</f>
        <v>53</v>
      </c>
      <c r="N559" s="152" t="str">
        <f>IFERROR(__xludf.DUMMYFUNCTION("""COMPUTED_VALUE"""),"Model 3 Performance")</f>
        <v>Model 3 Performance</v>
      </c>
      <c r="O559" s="152" t="str">
        <f>IFERROR(__xludf.DUMMYFUNCTION("""COMPUTED_VALUE"""),"Deep Blue Metallic")</f>
        <v>Deep Blue Metallic</v>
      </c>
      <c r="P559" s="153" t="str">
        <f>IFERROR(__xludf.DUMMYFUNCTION("""COMPUTED_VALUE"""),"20 inch")</f>
        <v>20 inch</v>
      </c>
      <c r="Q559" s="152" t="str">
        <f>IFERROR(__xludf.DUMMYFUNCTION("""COMPUTED_VALUE"""),"All Black")</f>
        <v>All Black</v>
      </c>
      <c r="R559" s="149" t="str">
        <f>IFERROR(__xludf.DUMMYFUNCTION("""COMPUTED_VALUE"""),"Autopilot included")</f>
        <v>Autopilot included</v>
      </c>
      <c r="S559" s="149" t="str">
        <f>IFERROR(__xludf.DUMMYFUNCTION("""COMPUTED_VALUE"""),"Loan")</f>
        <v>Loan</v>
      </c>
      <c r="T559" s="145" t="str">
        <f>IFERROR(__xludf.DUMMYFUNCTION("""COMPUTED_VALUE"""),"BMW i3")</f>
        <v>BMW i3</v>
      </c>
      <c r="U559" s="145" t="str">
        <f>IFERROR(__xludf.DUMMYFUNCTION("""COMPUTED_VALUE"""),"Electric!")</f>
        <v>Electric!</v>
      </c>
      <c r="V559" s="145" t="str">
        <f>IFERROR(__xludf.DUMMYFUNCTION("""COMPUTED_VALUE"""),"Head-up display")</f>
        <v>Head-up display</v>
      </c>
      <c r="W559" s="145"/>
      <c r="X559" s="137" t="str">
        <f>IFERROR(__xludf.DUMMYFUNCTION("""COMPUTED_VALUE"""),"Very Good")</f>
        <v>Very Good</v>
      </c>
      <c r="Y559" s="138" t="str">
        <f>IFERROR(__xludf.DUMMYFUNCTION("""COMPUTED_VALUE"""),"Very Good")</f>
        <v>Very Good</v>
      </c>
      <c r="Z559" s="138" t="str">
        <f>IFERROR(__xludf.DUMMYFUNCTION("""COMPUTED_VALUE"""),"Excellent")</f>
        <v>Excellent</v>
      </c>
      <c r="AA559" s="138" t="str">
        <f>IFERROR(__xludf.DUMMYFUNCTION("""COMPUTED_VALUE"""),"Poor")</f>
        <v>Poor</v>
      </c>
      <c r="AB559" s="138" t="str">
        <f>IFERROR(__xludf.DUMMYFUNCTION("""COMPUTED_VALUE"""),"Excellent")</f>
        <v>Excellent</v>
      </c>
      <c r="AC559" s="139"/>
      <c r="AD559" s="139"/>
      <c r="AE559" s="139"/>
      <c r="AF559" s="140" t="str">
        <f>IFERROR(__xludf.DUMMYFUNCTION("""COMPUTED_VALUE"""),"No. I took delivery of the first car Tesla was able to deliver.")</f>
        <v>No. I took delivery of the first car Tesla was able to deliver.</v>
      </c>
      <c r="AG559" s="145"/>
      <c r="AH559" s="157">
        <f>IFERROR(__xludf.DUMMYFUNCTION("""COMPUTED_VALUE"""),44424.20996436342)</f>
        <v>44424.20996</v>
      </c>
      <c r="AI559" s="138"/>
      <c r="AJ559" s="138"/>
      <c r="AK559" s="138"/>
      <c r="AL559" s="142"/>
    </row>
    <row r="560" ht="20.25" customHeight="1">
      <c r="A560" s="155" t="str">
        <f>IFERROR(__xludf.DUMMYFUNCTION("""COMPUTED_VALUE"""),"RAMSECON04")</f>
        <v>RAMSECON04</v>
      </c>
      <c r="B560" s="149" t="str">
        <f>IFERROR(__xludf.DUMMYFUNCTION("""COMPUTED_VALUE"""),"Colorado Springs ")</f>
        <v>Colorado Springs </v>
      </c>
      <c r="C560" s="149" t="str">
        <f>IFERROR(__xludf.DUMMYFUNCTION("""COMPUTED_VALUE"""),"CO")</f>
        <v>CO</v>
      </c>
      <c r="D560" s="149" t="str">
        <f>IFERROR(__xludf.DUMMYFUNCTION("""COMPUTED_VALUE"""),"USA")</f>
        <v>USA</v>
      </c>
      <c r="E560" s="156">
        <f>IFERROR(__xludf.DUMMYFUNCTION("""COMPUTED_VALUE"""),44370.0)</f>
        <v>44370</v>
      </c>
      <c r="F560" s="129">
        <f>IFERROR(__xludf.DUMMYFUNCTION("""COMPUTED_VALUE"""),44424.0)</f>
        <v>44424</v>
      </c>
      <c r="G560" s="154" t="str">
        <f>IFERROR(__xludf.DUMMYFUNCTION("""COMPUTED_VALUE"""),"Manage order page (normal text)")</f>
        <v>Manage order page (normal text)</v>
      </c>
      <c r="H560" s="131">
        <f>IFERROR(__xludf.DUMMYFUNCTION("""COMPUTED_VALUE"""),44334.0)</f>
        <v>44334</v>
      </c>
      <c r="I560" s="144"/>
      <c r="J560" s="129">
        <f>IFERROR(__xludf.DUMMYFUNCTION("""COMPUTED_VALUE"""),44436.0)</f>
        <v>44436</v>
      </c>
      <c r="K560" s="133">
        <f>IFERROR(__xludf.DUMMYFUNCTION("""COMPUTED_VALUE"""),54.0)</f>
        <v>54</v>
      </c>
      <c r="L560" s="133">
        <f>IFERROR(__xludf.DUMMYFUNCTION("""COMPUTED_VALUE"""),12.0)</f>
        <v>12</v>
      </c>
      <c r="M560" s="133">
        <f>IFERROR(__xludf.DUMMYFUNCTION("""COMPUTED_VALUE"""),66.0)</f>
        <v>66</v>
      </c>
      <c r="N560" s="152" t="str">
        <f>IFERROR(__xludf.DUMMYFUNCTION("""COMPUTED_VALUE"""),"Model 3 LR AWD")</f>
        <v>Model 3 LR AWD</v>
      </c>
      <c r="O560" s="152" t="str">
        <f>IFERROR(__xludf.DUMMYFUNCTION("""COMPUTED_VALUE"""),"Pearl White Multi-Coat")</f>
        <v>Pearl White Multi-Coat</v>
      </c>
      <c r="P560" s="153" t="str">
        <f>IFERROR(__xludf.DUMMYFUNCTION("""COMPUTED_VALUE"""),"19 inch")</f>
        <v>19 inch</v>
      </c>
      <c r="Q560" s="152" t="str">
        <f>IFERROR(__xludf.DUMMYFUNCTION("""COMPUTED_VALUE"""),"All Black")</f>
        <v>All Black</v>
      </c>
      <c r="R560" s="149" t="str">
        <f>IFERROR(__xludf.DUMMYFUNCTION("""COMPUTED_VALUE"""),"Autopilot included")</f>
        <v>Autopilot included</v>
      </c>
      <c r="S560" s="149" t="str">
        <f>IFERROR(__xludf.DUMMYFUNCTION("""COMPUTED_VALUE"""),"Loan")</f>
        <v>Loan</v>
      </c>
      <c r="T560" s="145" t="str">
        <f>IFERROR(__xludf.DUMMYFUNCTION("""COMPUTED_VALUE"""),"Subaru Outback")</f>
        <v>Subaru Outback</v>
      </c>
      <c r="U560" s="145"/>
      <c r="V560" s="145"/>
      <c r="W560" s="145"/>
      <c r="X560" s="137"/>
      <c r="Y560" s="138"/>
      <c r="Z560" s="138"/>
      <c r="AA560" s="138"/>
      <c r="AB560" s="138"/>
      <c r="AC560" s="139"/>
      <c r="AD560" s="139"/>
      <c r="AE560" s="139"/>
      <c r="AF560" s="140"/>
      <c r="AG560" s="145"/>
      <c r="AH560" s="157">
        <f>IFERROR(__xludf.DUMMYFUNCTION("""COMPUTED_VALUE"""),44432.78857087963)</f>
        <v>44432.78857</v>
      </c>
      <c r="AI560" s="138"/>
      <c r="AJ560" s="138"/>
      <c r="AK560" s="138"/>
      <c r="AL560" s="142"/>
    </row>
    <row r="561" ht="20.25" customHeight="1">
      <c r="A561" s="155" t="str">
        <f>IFERROR(__xludf.DUMMYFUNCTION("""COMPUTED_VALUE"""),"Sauce")</f>
        <v>Sauce</v>
      </c>
      <c r="B561" s="149" t="str">
        <f>IFERROR(__xludf.DUMMYFUNCTION("""COMPUTED_VALUE"""),"Syracuse")</f>
        <v>Syracuse</v>
      </c>
      <c r="C561" s="149" t="str">
        <f>IFERROR(__xludf.DUMMYFUNCTION("""COMPUTED_VALUE"""),"NY")</f>
        <v>NY</v>
      </c>
      <c r="D561" s="149" t="str">
        <f>IFERROR(__xludf.DUMMYFUNCTION("""COMPUTED_VALUE"""),"USA")</f>
        <v>USA</v>
      </c>
      <c r="E561" s="156">
        <f>IFERROR(__xludf.DUMMYFUNCTION("""COMPUTED_VALUE"""),44370.0)</f>
        <v>44370</v>
      </c>
      <c r="F561" s="129">
        <f>IFERROR(__xludf.DUMMYFUNCTION("""COMPUTED_VALUE"""),44429.0)</f>
        <v>44429</v>
      </c>
      <c r="G561" s="154" t="str">
        <f>IFERROR(__xludf.DUMMYFUNCTION("""COMPUTED_VALUE"""),"Manage order page (normal text)")</f>
        <v>Manage order page (normal text)</v>
      </c>
      <c r="H561" s="131"/>
      <c r="I561" s="144" t="str">
        <f>IFERROR(__xludf.DUMMYFUNCTION("""COMPUTED_VALUE"""),"08/21")</f>
        <v>08/21</v>
      </c>
      <c r="J561" s="129">
        <f>IFERROR(__xludf.DUMMYFUNCTION("""COMPUTED_VALUE"""),44444.0)</f>
        <v>44444</v>
      </c>
      <c r="K561" s="133">
        <f>IFERROR(__xludf.DUMMYFUNCTION("""COMPUTED_VALUE"""),59.0)</f>
        <v>59</v>
      </c>
      <c r="L561" s="133">
        <f>IFERROR(__xludf.DUMMYFUNCTION("""COMPUTED_VALUE"""),15.0)</f>
        <v>15</v>
      </c>
      <c r="M561" s="133">
        <f>IFERROR(__xludf.DUMMYFUNCTION("""COMPUTED_VALUE"""),74.0)</f>
        <v>74</v>
      </c>
      <c r="N561" s="152" t="str">
        <f>IFERROR(__xludf.DUMMYFUNCTION("""COMPUTED_VALUE"""),"Model 3 SR+")</f>
        <v>Model 3 SR+</v>
      </c>
      <c r="O561" s="152" t="str">
        <f>IFERROR(__xludf.DUMMYFUNCTION("""COMPUTED_VALUE"""),"Deep Blue Metallic")</f>
        <v>Deep Blue Metallic</v>
      </c>
      <c r="P561" s="153" t="str">
        <f>IFERROR(__xludf.DUMMYFUNCTION("""COMPUTED_VALUE"""),"18 inch")</f>
        <v>18 inch</v>
      </c>
      <c r="Q561" s="152" t="str">
        <f>IFERROR(__xludf.DUMMYFUNCTION("""COMPUTED_VALUE"""),"All Black")</f>
        <v>All Black</v>
      </c>
      <c r="R561" s="149" t="str">
        <f>IFERROR(__xludf.DUMMYFUNCTION("""COMPUTED_VALUE"""),"Autopilot included")</f>
        <v>Autopilot included</v>
      </c>
      <c r="S561" s="149" t="str">
        <f>IFERROR(__xludf.DUMMYFUNCTION("""COMPUTED_VALUE"""),"Loan")</f>
        <v>Loan</v>
      </c>
      <c r="T561" s="145" t="str">
        <f>IFERROR(__xludf.DUMMYFUNCTION("""COMPUTED_VALUE"""),"Mazda CX-5")</f>
        <v>Mazda CX-5</v>
      </c>
      <c r="U561" s="145" t="str">
        <f>IFERROR(__xludf.DUMMYFUNCTION("""COMPUTED_VALUE"""),"Autopilot")</f>
        <v>Autopilot</v>
      </c>
      <c r="V561" s="145" t="str">
        <f>IFERROR(__xludf.DUMMYFUNCTION("""COMPUTED_VALUE"""),"Blind spot indicators on side mirrors")</f>
        <v>Blind spot indicators on side mirrors</v>
      </c>
      <c r="W561" s="145"/>
      <c r="X561" s="137"/>
      <c r="Y561" s="138"/>
      <c r="Z561" s="138"/>
      <c r="AA561" s="138"/>
      <c r="AB561" s="138"/>
      <c r="AC561" s="139"/>
      <c r="AD561" s="139"/>
      <c r="AE561" s="139"/>
      <c r="AF561" s="140"/>
      <c r="AG561" s="145"/>
      <c r="AH561" s="157">
        <f>IFERROR(__xludf.DUMMYFUNCTION("""COMPUTED_VALUE"""),44443.277640810185)</f>
        <v>44443.27764</v>
      </c>
      <c r="AI561" s="138"/>
      <c r="AJ561" s="138"/>
      <c r="AK561" s="138"/>
      <c r="AL561" s="142"/>
    </row>
    <row r="562" ht="20.25" customHeight="1">
      <c r="A562" s="155" t="str">
        <f>IFERROR(__xludf.DUMMYFUNCTION("""COMPUTED_VALUE"""),"sneak20")</f>
        <v>sneak20</v>
      </c>
      <c r="B562" s="149" t="str">
        <f>IFERROR(__xludf.DUMMYFUNCTION("""COMPUTED_VALUE"""),"Columbus")</f>
        <v>Columbus</v>
      </c>
      <c r="C562" s="149" t="str">
        <f>IFERROR(__xludf.DUMMYFUNCTION("""COMPUTED_VALUE"""),"OH")</f>
        <v>OH</v>
      </c>
      <c r="D562" s="149" t="str">
        <f>IFERROR(__xludf.DUMMYFUNCTION("""COMPUTED_VALUE"""),"USA")</f>
        <v>USA</v>
      </c>
      <c r="E562" s="156">
        <f>IFERROR(__xludf.DUMMYFUNCTION("""COMPUTED_VALUE"""),44370.0)</f>
        <v>44370</v>
      </c>
      <c r="F562" s="129">
        <f>IFERROR(__xludf.DUMMYFUNCTION("""COMPUTED_VALUE"""),44421.0)</f>
        <v>44421</v>
      </c>
      <c r="G562" s="154" t="str">
        <f>IFERROR(__xludf.DUMMYFUNCTION("""COMPUTED_VALUE"""),"Manage order page (normal text)")</f>
        <v>Manage order page (normal text)</v>
      </c>
      <c r="H562" s="131"/>
      <c r="I562" s="144"/>
      <c r="J562" s="129">
        <f>IFERROR(__xludf.DUMMYFUNCTION("""COMPUTED_VALUE"""),44435.0)</f>
        <v>44435</v>
      </c>
      <c r="K562" s="133">
        <f>IFERROR(__xludf.DUMMYFUNCTION("""COMPUTED_VALUE"""),51.0)</f>
        <v>51</v>
      </c>
      <c r="L562" s="133">
        <f>IFERROR(__xludf.DUMMYFUNCTION("""COMPUTED_VALUE"""),14.0)</f>
        <v>14</v>
      </c>
      <c r="M562" s="133">
        <f>IFERROR(__xludf.DUMMYFUNCTION("""COMPUTED_VALUE"""),65.0)</f>
        <v>65</v>
      </c>
      <c r="N562" s="152" t="str">
        <f>IFERROR(__xludf.DUMMYFUNCTION("""COMPUTED_VALUE"""),"Model 3 LR AWD")</f>
        <v>Model 3 LR AWD</v>
      </c>
      <c r="O562" s="152" t="str">
        <f>IFERROR(__xludf.DUMMYFUNCTION("""COMPUTED_VALUE"""),"Pearl White Multi-Coat")</f>
        <v>Pearl White Multi-Coat</v>
      </c>
      <c r="P562" s="153" t="str">
        <f>IFERROR(__xludf.DUMMYFUNCTION("""COMPUTED_VALUE"""),"18 inch")</f>
        <v>18 inch</v>
      </c>
      <c r="Q562" s="152" t="str">
        <f>IFERROR(__xludf.DUMMYFUNCTION("""COMPUTED_VALUE"""),"All Black")</f>
        <v>All Black</v>
      </c>
      <c r="R562" s="149" t="str">
        <f>IFERROR(__xludf.DUMMYFUNCTION("""COMPUTED_VALUE"""),"Autopilot included")</f>
        <v>Autopilot included</v>
      </c>
      <c r="S562" s="149" t="str">
        <f>IFERROR(__xludf.DUMMYFUNCTION("""COMPUTED_VALUE"""),"Loan")</f>
        <v>Loan</v>
      </c>
      <c r="T562" s="145" t="str">
        <f>IFERROR(__xludf.DUMMYFUNCTION("""COMPUTED_VALUE"""),"Acura TL")</f>
        <v>Acura TL</v>
      </c>
      <c r="U562" s="145" t="str">
        <f>IFERROR(__xludf.DUMMYFUNCTION("""COMPUTED_VALUE"""),"Electric!")</f>
        <v>Electric!</v>
      </c>
      <c r="V562" s="145" t="str">
        <f>IFERROR(__xludf.DUMMYFUNCTION("""COMPUTED_VALUE"""),"Apple CarPlay / Android Auto / SiriusXM Radio")</f>
        <v>Apple CarPlay / Android Auto / SiriusXM Radio</v>
      </c>
      <c r="W562" s="145"/>
      <c r="X562" s="137"/>
      <c r="Y562" s="138"/>
      <c r="Z562" s="138"/>
      <c r="AA562" s="138"/>
      <c r="AB562" s="138"/>
      <c r="AC562" s="139"/>
      <c r="AD562" s="139"/>
      <c r="AE562" s="139"/>
      <c r="AF562" s="140"/>
      <c r="AG562" s="145"/>
      <c r="AH562" s="157">
        <f>IFERROR(__xludf.DUMMYFUNCTION("""COMPUTED_VALUE"""),44423.0823309375)</f>
        <v>44423.08233</v>
      </c>
      <c r="AI562" s="138"/>
      <c r="AJ562" s="138"/>
      <c r="AK562" s="138"/>
      <c r="AL562" s="142"/>
    </row>
    <row r="563" ht="20.25" customHeight="1">
      <c r="A563" s="155" t="str">
        <f>IFERROR(__xludf.DUMMYFUNCTION("""COMPUTED_VALUE"""),"sparkymark75")</f>
        <v>sparkymark75</v>
      </c>
      <c r="B563" s="149"/>
      <c r="C563" s="149"/>
      <c r="D563" s="149" t="str">
        <f>IFERROR(__xludf.DUMMYFUNCTION("""COMPUTED_VALUE"""),"United Kingdom")</f>
        <v>United Kingdom</v>
      </c>
      <c r="E563" s="156">
        <f>IFERROR(__xludf.DUMMYFUNCTION("""COMPUTED_VALUE"""),44370.0)</f>
        <v>44370</v>
      </c>
      <c r="F563" s="129">
        <f>IFERROR(__xludf.DUMMYFUNCTION("""COMPUTED_VALUE"""),44405.0)</f>
        <v>44405</v>
      </c>
      <c r="G563" s="154" t="str">
        <f>IFERROR(__xludf.DUMMYFUNCTION("""COMPUTED_VALUE"""),"Source code")</f>
        <v>Source code</v>
      </c>
      <c r="H563" s="131">
        <f>IFERROR(__xludf.DUMMYFUNCTION("""COMPUTED_VALUE"""),318255.0)</f>
        <v>318255</v>
      </c>
      <c r="I563" s="144"/>
      <c r="J563" s="129">
        <f>IFERROR(__xludf.DUMMYFUNCTION("""COMPUTED_VALUE"""),44446.0)</f>
        <v>44446</v>
      </c>
      <c r="K563" s="133">
        <f>IFERROR(__xludf.DUMMYFUNCTION("""COMPUTED_VALUE"""),35.0)</f>
        <v>35</v>
      </c>
      <c r="L563" s="133">
        <f>IFERROR(__xludf.DUMMYFUNCTION("""COMPUTED_VALUE"""),41.0)</f>
        <v>41</v>
      </c>
      <c r="M563" s="133">
        <f>IFERROR(__xludf.DUMMYFUNCTION("""COMPUTED_VALUE"""),76.0)</f>
        <v>76</v>
      </c>
      <c r="N563" s="152" t="str">
        <f>IFERROR(__xludf.DUMMYFUNCTION("""COMPUTED_VALUE"""),"Model 3 LR AWD")</f>
        <v>Model 3 LR AWD</v>
      </c>
      <c r="O563" s="152" t="str">
        <f>IFERROR(__xludf.DUMMYFUNCTION("""COMPUTED_VALUE"""),"Pearl White Multi-Coat")</f>
        <v>Pearl White Multi-Coat</v>
      </c>
      <c r="P563" s="153" t="str">
        <f>IFERROR(__xludf.DUMMYFUNCTION("""COMPUTED_VALUE"""),"18 inch")</f>
        <v>18 inch</v>
      </c>
      <c r="Q563" s="152" t="str">
        <f>IFERROR(__xludf.DUMMYFUNCTION("""COMPUTED_VALUE"""),"All Black")</f>
        <v>All Black</v>
      </c>
      <c r="R563" s="149" t="str">
        <f>IFERROR(__xludf.DUMMYFUNCTION("""COMPUTED_VALUE"""),"Autopilot included")</f>
        <v>Autopilot included</v>
      </c>
      <c r="S563" s="149" t="str">
        <f>IFERROR(__xludf.DUMMYFUNCTION("""COMPUTED_VALUE"""),"Cash")</f>
        <v>Cash</v>
      </c>
      <c r="T563" s="145" t="str">
        <f>IFERROR(__xludf.DUMMYFUNCTION("""COMPUTED_VALUE"""),"VW Tiguan R-Line Tech")</f>
        <v>VW Tiguan R-Line Tech</v>
      </c>
      <c r="U563" s="145" t="str">
        <f>IFERROR(__xludf.DUMMYFUNCTION("""COMPUTED_VALUE"""),"Electric!")</f>
        <v>Electric!</v>
      </c>
      <c r="V563" s="145" t="str">
        <f>IFERROR(__xludf.DUMMYFUNCTION("""COMPUTED_VALUE"""),"Head-up display")</f>
        <v>Head-up display</v>
      </c>
      <c r="W563" s="145"/>
      <c r="X563" s="137"/>
      <c r="Y563" s="138"/>
      <c r="Z563" s="138"/>
      <c r="AA563" s="138"/>
      <c r="AB563" s="138"/>
      <c r="AC563" s="139"/>
      <c r="AD563" s="139"/>
      <c r="AE563" s="139"/>
      <c r="AF563" s="140"/>
      <c r="AG563" s="145"/>
      <c r="AH563" s="157">
        <f>IFERROR(__xludf.DUMMYFUNCTION("""COMPUTED_VALUE"""),44419.23891439815)</f>
        <v>44419.23891</v>
      </c>
      <c r="AI563" s="138"/>
      <c r="AJ563" s="138"/>
      <c r="AK563" s="138"/>
      <c r="AL563" s="142"/>
    </row>
    <row r="564" ht="20.25" customHeight="1">
      <c r="A564" s="155" t="str">
        <f>IFERROR(__xludf.DUMMYFUNCTION("""COMPUTED_VALUE"""),"Anthony99994")</f>
        <v>Anthony99994</v>
      </c>
      <c r="B564" s="149" t="str">
        <f>IFERROR(__xludf.DUMMYFUNCTION("""COMPUTED_VALUE"""),"Phoenix")</f>
        <v>Phoenix</v>
      </c>
      <c r="C564" s="149" t="str">
        <f>IFERROR(__xludf.DUMMYFUNCTION("""COMPUTED_VALUE"""),"AZ")</f>
        <v>AZ</v>
      </c>
      <c r="D564" s="149" t="str">
        <f>IFERROR(__xludf.DUMMYFUNCTION("""COMPUTED_VALUE"""),"USA")</f>
        <v>USA</v>
      </c>
      <c r="E564" s="156">
        <f>IFERROR(__xludf.DUMMYFUNCTION("""COMPUTED_VALUE"""),44369.0)</f>
        <v>44369</v>
      </c>
      <c r="F564" s="129">
        <f>IFERROR(__xludf.DUMMYFUNCTION("""COMPUTED_VALUE"""),44393.0)</f>
        <v>44393</v>
      </c>
      <c r="G564" s="154" t="str">
        <f>IFERROR(__xludf.DUMMYFUNCTION("""COMPUTED_VALUE"""),"Text message")</f>
        <v>Text message</v>
      </c>
      <c r="H564" s="131">
        <f>IFERROR(__xludf.DUMMYFUNCTION("""COMPUTED_VALUE"""),15555.0)</f>
        <v>15555</v>
      </c>
      <c r="I564" s="144"/>
      <c r="J564" s="129">
        <f>IFERROR(__xludf.DUMMYFUNCTION("""COMPUTED_VALUE"""),44396.0)</f>
        <v>44396</v>
      </c>
      <c r="K564" s="133">
        <f>IFERROR(__xludf.DUMMYFUNCTION("""COMPUTED_VALUE"""),24.0)</f>
        <v>24</v>
      </c>
      <c r="L564" s="133">
        <f>IFERROR(__xludf.DUMMYFUNCTION("""COMPUTED_VALUE"""),3.0)</f>
        <v>3</v>
      </c>
      <c r="M564" s="133">
        <f>IFERROR(__xludf.DUMMYFUNCTION("""COMPUTED_VALUE"""),27.0)</f>
        <v>27</v>
      </c>
      <c r="N564" s="152" t="str">
        <f>IFERROR(__xludf.DUMMYFUNCTION("""COMPUTED_VALUE"""),"Model 3 LR AWD")</f>
        <v>Model 3 LR AWD</v>
      </c>
      <c r="O564" s="152" t="str">
        <f>IFERROR(__xludf.DUMMYFUNCTION("""COMPUTED_VALUE"""),"Pearl White Multi-Coat")</f>
        <v>Pearl White Multi-Coat</v>
      </c>
      <c r="P564" s="153" t="str">
        <f>IFERROR(__xludf.DUMMYFUNCTION("""COMPUTED_VALUE"""),"19 inch")</f>
        <v>19 inch</v>
      </c>
      <c r="Q564" s="152" t="str">
        <f>IFERROR(__xludf.DUMMYFUNCTION("""COMPUTED_VALUE"""),"Black and White")</f>
        <v>Black and White</v>
      </c>
      <c r="R564" s="149" t="str">
        <f>IFERROR(__xludf.DUMMYFUNCTION("""COMPUTED_VALUE"""),"Autopilot included")</f>
        <v>Autopilot included</v>
      </c>
      <c r="S564" s="149" t="str">
        <f>IFERROR(__xludf.DUMMYFUNCTION("""COMPUTED_VALUE"""),"Loan")</f>
        <v>Loan</v>
      </c>
      <c r="T564" s="145" t="str">
        <f>IFERROR(__xludf.DUMMYFUNCTION("""COMPUTED_VALUE"""),"Tesla Model 3")</f>
        <v>Tesla Model 3</v>
      </c>
      <c r="U564" s="145" t="str">
        <f>IFERROR(__xludf.DUMMYFUNCTION("""COMPUTED_VALUE"""),"Electric!")</f>
        <v>Electric!</v>
      </c>
      <c r="V564" s="145" t="str">
        <f>IFERROR(__xludf.DUMMYFUNCTION("""COMPUTED_VALUE"""),"360° Bird's eye view")</f>
        <v>360° Bird's eye view</v>
      </c>
      <c r="W564" s="145"/>
      <c r="X564" s="137" t="str">
        <f>IFERROR(__xludf.DUMMYFUNCTION("""COMPUTED_VALUE"""),"Excellent")</f>
        <v>Excellent</v>
      </c>
      <c r="Y564" s="138" t="str">
        <f>IFERROR(__xludf.DUMMYFUNCTION("""COMPUTED_VALUE"""),"Excellent")</f>
        <v>Excellent</v>
      </c>
      <c r="Z564" s="138" t="str">
        <f>IFERROR(__xludf.DUMMYFUNCTION("""COMPUTED_VALUE"""),"Excellent")</f>
        <v>Excellent</v>
      </c>
      <c r="AA564" s="138" t="str">
        <f>IFERROR(__xludf.DUMMYFUNCTION("""COMPUTED_VALUE"""),"Good")</f>
        <v>Good</v>
      </c>
      <c r="AB564" s="138" t="str">
        <f>IFERROR(__xludf.DUMMYFUNCTION("""COMPUTED_VALUE"""),"Very Good")</f>
        <v>Very Good</v>
      </c>
      <c r="AC564" s="139">
        <f>IFERROR(__xludf.DUMMYFUNCTION("""COMPUTED_VALUE"""),1.0)</f>
        <v>1</v>
      </c>
      <c r="AD564" s="139">
        <f>IFERROR(__xludf.DUMMYFUNCTION("""COMPUTED_VALUE"""),1.0)</f>
        <v>1</v>
      </c>
      <c r="AE564" s="139"/>
      <c r="AF564" s="140" t="str">
        <f>IFERROR(__xludf.DUMMYFUNCTION("""COMPUTED_VALUE"""),"No. I took delivery of the first car Tesla was able to deliver.")</f>
        <v>No. I took delivery of the first car Tesla was able to deliver.</v>
      </c>
      <c r="AG564" s="145"/>
      <c r="AH564" s="157">
        <f>IFERROR(__xludf.DUMMYFUNCTION("""COMPUTED_VALUE"""),44396.604829606484)</f>
        <v>44396.60483</v>
      </c>
      <c r="AI564" s="138"/>
      <c r="AJ564" s="138"/>
      <c r="AK564" s="138"/>
      <c r="AL564" s="142"/>
    </row>
    <row r="565" ht="20.25" customHeight="1">
      <c r="A565" s="155" t="str">
        <f>IFERROR(__xludf.DUMMYFUNCTION("""COMPUTED_VALUE"""),"AstroDog")</f>
        <v>AstroDog</v>
      </c>
      <c r="B565" s="149" t="str">
        <f>IFERROR(__xludf.DUMMYFUNCTION("""COMPUTED_VALUE"""),"Seattle")</f>
        <v>Seattle</v>
      </c>
      <c r="C565" s="149" t="str">
        <f>IFERROR(__xludf.DUMMYFUNCTION("""COMPUTED_VALUE"""),"WA")</f>
        <v>WA</v>
      </c>
      <c r="D565" s="149" t="str">
        <f>IFERROR(__xludf.DUMMYFUNCTION("""COMPUTED_VALUE"""),"USA")</f>
        <v>USA</v>
      </c>
      <c r="E565" s="156">
        <f>IFERROR(__xludf.DUMMYFUNCTION("""COMPUTED_VALUE"""),44369.0)</f>
        <v>44369</v>
      </c>
      <c r="F565" s="129">
        <f>IFERROR(__xludf.DUMMYFUNCTION("""COMPUTED_VALUE"""),44372.0)</f>
        <v>44372</v>
      </c>
      <c r="G565" s="154" t="str">
        <f>IFERROR(__xludf.DUMMYFUNCTION("""COMPUTED_VALUE"""),"Manage order page (normal text)")</f>
        <v>Manage order page (normal text)</v>
      </c>
      <c r="H565" s="131">
        <f>IFERROR(__xludf.DUMMYFUNCTION("""COMPUTED_VALUE"""),2509.0)</f>
        <v>2509</v>
      </c>
      <c r="I565" s="144" t="str">
        <f>IFERROR(__xludf.DUMMYFUNCTION("""COMPUTED_VALUE"""),"06/21")</f>
        <v>06/21</v>
      </c>
      <c r="J565" s="129">
        <f>IFERROR(__xludf.DUMMYFUNCTION("""COMPUTED_VALUE"""),44377.0)</f>
        <v>44377</v>
      </c>
      <c r="K565" s="133">
        <f>IFERROR(__xludf.DUMMYFUNCTION("""COMPUTED_VALUE"""),3.0)</f>
        <v>3</v>
      </c>
      <c r="L565" s="133">
        <f>IFERROR(__xludf.DUMMYFUNCTION("""COMPUTED_VALUE"""),5.0)</f>
        <v>5</v>
      </c>
      <c r="M565" s="133">
        <f>IFERROR(__xludf.DUMMYFUNCTION("""COMPUTED_VALUE"""),8.0)</f>
        <v>8</v>
      </c>
      <c r="N565" s="152" t="str">
        <f>IFERROR(__xludf.DUMMYFUNCTION("""COMPUTED_VALUE"""),"Model 3 LR AWD")</f>
        <v>Model 3 LR AWD</v>
      </c>
      <c r="O565" s="152" t="str">
        <f>IFERROR(__xludf.DUMMYFUNCTION("""COMPUTED_VALUE"""),"Midnight Silver Metallic")</f>
        <v>Midnight Silver Metallic</v>
      </c>
      <c r="P565" s="153" t="str">
        <f>IFERROR(__xludf.DUMMYFUNCTION("""COMPUTED_VALUE"""),"19 inch")</f>
        <v>19 inch</v>
      </c>
      <c r="Q565" s="152" t="str">
        <f>IFERROR(__xludf.DUMMYFUNCTION("""COMPUTED_VALUE"""),"All Black")</f>
        <v>All Black</v>
      </c>
      <c r="R565" s="149" t="str">
        <f>IFERROR(__xludf.DUMMYFUNCTION("""COMPUTED_VALUE"""),"Autopilot included")</f>
        <v>Autopilot included</v>
      </c>
      <c r="S565" s="149" t="str">
        <f>IFERROR(__xludf.DUMMYFUNCTION("""COMPUTED_VALUE"""),"Loan")</f>
        <v>Loan</v>
      </c>
      <c r="T565" s="145" t="str">
        <f>IFERROR(__xludf.DUMMYFUNCTION("""COMPUTED_VALUE"""),"Audi A3")</f>
        <v>Audi A3</v>
      </c>
      <c r="U565" s="145" t="str">
        <f>IFERROR(__xludf.DUMMYFUNCTION("""COMPUTED_VALUE"""),"Electric!")</f>
        <v>Electric!</v>
      </c>
      <c r="V565" s="145" t="str">
        <f>IFERROR(__xludf.DUMMYFUNCTION("""COMPUTED_VALUE"""),"360° Bird's eye view")</f>
        <v>360° Bird's eye view</v>
      </c>
      <c r="W565" s="145" t="str">
        <f>IFERROR(__xludf.DUMMYFUNCTION("""COMPUTED_VALUE"""),"Keep an eye on the inventory")</f>
        <v>Keep an eye on the inventory</v>
      </c>
      <c r="X565" s="137" t="str">
        <f>IFERROR(__xludf.DUMMYFUNCTION("""COMPUTED_VALUE"""),"Excellent")</f>
        <v>Excellent</v>
      </c>
      <c r="Y565" s="138" t="str">
        <f>IFERROR(__xludf.DUMMYFUNCTION("""COMPUTED_VALUE"""),"Excellent")</f>
        <v>Excellent</v>
      </c>
      <c r="Z565" s="138" t="str">
        <f>IFERROR(__xludf.DUMMYFUNCTION("""COMPUTED_VALUE"""),"Excellent")</f>
        <v>Excellent</v>
      </c>
      <c r="AA565" s="138" t="str">
        <f>IFERROR(__xludf.DUMMYFUNCTION("""COMPUTED_VALUE"""),"Fair")</f>
        <v>Fair</v>
      </c>
      <c r="AB565" s="138" t="str">
        <f>IFERROR(__xludf.DUMMYFUNCTION("""COMPUTED_VALUE"""),"Good")</f>
        <v>Good</v>
      </c>
      <c r="AC565" s="139">
        <f>IFERROR(__xludf.DUMMYFUNCTION("""COMPUTED_VALUE"""),0.0)</f>
        <v>0</v>
      </c>
      <c r="AD565" s="139">
        <f>IFERROR(__xludf.DUMMYFUNCTION("""COMPUTED_VALUE"""),0.0)</f>
        <v>0</v>
      </c>
      <c r="AE565" s="139"/>
      <c r="AF565" s="140" t="str">
        <f>IFERROR(__xludf.DUMMYFUNCTION("""COMPUTED_VALUE"""),"No. I took delivery of the first car Tesla was able to deliver.")</f>
        <v>No. I took delivery of the first car Tesla was able to deliver.</v>
      </c>
      <c r="AG565" s="145"/>
      <c r="AH565" s="157">
        <f>IFERROR(__xludf.DUMMYFUNCTION("""COMPUTED_VALUE"""),44382.52870405093)</f>
        <v>44382.5287</v>
      </c>
      <c r="AI565" s="138"/>
      <c r="AJ565" s="138"/>
      <c r="AK565" s="138"/>
      <c r="AL565" s="142"/>
    </row>
    <row r="566" ht="20.25" customHeight="1">
      <c r="A566" s="155" t="str">
        <f>IFERROR(__xludf.DUMMYFUNCTION("""COMPUTED_VALUE"""),"BerkieMon")</f>
        <v>BerkieMon</v>
      </c>
      <c r="B566" s="149" t="str">
        <f>IFERROR(__xludf.DUMMYFUNCTION("""COMPUTED_VALUE"""),"Jacksonville")</f>
        <v>Jacksonville</v>
      </c>
      <c r="C566" s="149" t="str">
        <f>IFERROR(__xludf.DUMMYFUNCTION("""COMPUTED_VALUE"""),"FL")</f>
        <v>FL</v>
      </c>
      <c r="D566" s="149" t="str">
        <f>IFERROR(__xludf.DUMMYFUNCTION("""COMPUTED_VALUE"""),"USA")</f>
        <v>USA</v>
      </c>
      <c r="E566" s="156">
        <f>IFERROR(__xludf.DUMMYFUNCTION("""COMPUTED_VALUE"""),44369.0)</f>
        <v>44369</v>
      </c>
      <c r="F566" s="129">
        <f>IFERROR(__xludf.DUMMYFUNCTION("""COMPUTED_VALUE"""),44415.0)</f>
        <v>44415</v>
      </c>
      <c r="G566" s="154" t="str">
        <f>IFERROR(__xludf.DUMMYFUNCTION("""COMPUTED_VALUE"""),"Manage order page (normal text)")</f>
        <v>Manage order page (normal text)</v>
      </c>
      <c r="H566" s="131">
        <f>IFERROR(__xludf.DUMMYFUNCTION("""COMPUTED_VALUE"""),26497.0)</f>
        <v>26497</v>
      </c>
      <c r="I566" s="144"/>
      <c r="J566" s="129">
        <f>IFERROR(__xludf.DUMMYFUNCTION("""COMPUTED_VALUE"""),44423.0)</f>
        <v>44423</v>
      </c>
      <c r="K566" s="133">
        <f>IFERROR(__xludf.DUMMYFUNCTION("""COMPUTED_VALUE"""),46.0)</f>
        <v>46</v>
      </c>
      <c r="L566" s="133">
        <f>IFERROR(__xludf.DUMMYFUNCTION("""COMPUTED_VALUE"""),8.0)</f>
        <v>8</v>
      </c>
      <c r="M566" s="133">
        <f>IFERROR(__xludf.DUMMYFUNCTION("""COMPUTED_VALUE"""),54.0)</f>
        <v>54</v>
      </c>
      <c r="N566" s="152" t="str">
        <f>IFERROR(__xludf.DUMMYFUNCTION("""COMPUTED_VALUE"""),"Model 3 Performance")</f>
        <v>Model 3 Performance</v>
      </c>
      <c r="O566" s="152" t="str">
        <f>IFERROR(__xludf.DUMMYFUNCTION("""COMPUTED_VALUE"""),"Red Multi-Coat")</f>
        <v>Red Multi-Coat</v>
      </c>
      <c r="P566" s="153" t="str">
        <f>IFERROR(__xludf.DUMMYFUNCTION("""COMPUTED_VALUE"""),"20 inch")</f>
        <v>20 inch</v>
      </c>
      <c r="Q566" s="152" t="str">
        <f>IFERROR(__xludf.DUMMYFUNCTION("""COMPUTED_VALUE"""),"Black and White")</f>
        <v>Black and White</v>
      </c>
      <c r="R566" s="149" t="str">
        <f>IFERROR(__xludf.DUMMYFUNCTION("""COMPUTED_VALUE"""),"Autopilot included")</f>
        <v>Autopilot included</v>
      </c>
      <c r="S566" s="149" t="str">
        <f>IFERROR(__xludf.DUMMYFUNCTION("""COMPUTED_VALUE"""),"Loan")</f>
        <v>Loan</v>
      </c>
      <c r="T566" s="145" t="str">
        <f>IFERROR(__xludf.DUMMYFUNCTION("""COMPUTED_VALUE"""),"Tesla Model 3")</f>
        <v>Tesla Model 3</v>
      </c>
      <c r="U566" s="145"/>
      <c r="V566" s="145"/>
      <c r="W566" s="145"/>
      <c r="X566" s="137"/>
      <c r="Y566" s="138"/>
      <c r="Z566" s="138"/>
      <c r="AA566" s="138"/>
      <c r="AB566" s="138"/>
      <c r="AC566" s="139"/>
      <c r="AD566" s="139"/>
      <c r="AE566" s="139"/>
      <c r="AF566" s="140"/>
      <c r="AG566" s="145"/>
      <c r="AH566" s="157">
        <f>IFERROR(__xludf.DUMMYFUNCTION("""COMPUTED_VALUE"""),44416.60333693287)</f>
        <v>44416.60334</v>
      </c>
      <c r="AI566" s="138"/>
      <c r="AJ566" s="138"/>
      <c r="AK566" s="138"/>
      <c r="AL566" s="142"/>
    </row>
    <row r="567" ht="20.25" customHeight="1">
      <c r="A567" s="155" t="str">
        <f>IFERROR(__xludf.DUMMYFUNCTION("""COMPUTED_VALUE"""),"StormTroop2k21")</f>
        <v>StormTroop2k21</v>
      </c>
      <c r="B567" s="149" t="str">
        <f>IFERROR(__xludf.DUMMYFUNCTION("""COMPUTED_VALUE"""),"Sunnyvale")</f>
        <v>Sunnyvale</v>
      </c>
      <c r="C567" s="149" t="str">
        <f>IFERROR(__xludf.DUMMYFUNCTION("""COMPUTED_VALUE"""),"CA")</f>
        <v>CA</v>
      </c>
      <c r="D567" s="149" t="str">
        <f>IFERROR(__xludf.DUMMYFUNCTION("""COMPUTED_VALUE"""),"USA")</f>
        <v>USA</v>
      </c>
      <c r="E567" s="156">
        <f>IFERROR(__xludf.DUMMYFUNCTION("""COMPUTED_VALUE"""),44369.0)</f>
        <v>44369</v>
      </c>
      <c r="F567" s="129">
        <f>IFERROR(__xludf.DUMMYFUNCTION("""COMPUTED_VALUE"""),44369.0)</f>
        <v>44369</v>
      </c>
      <c r="G567" s="154" t="str">
        <f>IFERROR(__xludf.DUMMYFUNCTION("""COMPUTED_VALUE"""),"Manage order page (normal text)")</f>
        <v>Manage order page (normal text)</v>
      </c>
      <c r="H567" s="131">
        <f>IFERROR(__xludf.DUMMYFUNCTION("""COMPUTED_VALUE"""),998255.0)</f>
        <v>998255</v>
      </c>
      <c r="I567" s="144" t="str">
        <f>IFERROR(__xludf.DUMMYFUNCTION("""COMPUTED_VALUE"""),"06/21")</f>
        <v>06/21</v>
      </c>
      <c r="J567" s="129">
        <f>IFERROR(__xludf.DUMMYFUNCTION("""COMPUTED_VALUE"""),44371.0)</f>
        <v>44371</v>
      </c>
      <c r="K567" s="133">
        <f>IFERROR(__xludf.DUMMYFUNCTION("""COMPUTED_VALUE"""),0.0)</f>
        <v>0</v>
      </c>
      <c r="L567" s="133">
        <f>IFERROR(__xludf.DUMMYFUNCTION("""COMPUTED_VALUE"""),2.0)</f>
        <v>2</v>
      </c>
      <c r="M567" s="133">
        <f>IFERROR(__xludf.DUMMYFUNCTION("""COMPUTED_VALUE"""),2.0)</f>
        <v>2</v>
      </c>
      <c r="N567" s="152" t="str">
        <f>IFERROR(__xludf.DUMMYFUNCTION("""COMPUTED_VALUE"""),"Model 3 SR+")</f>
        <v>Model 3 SR+</v>
      </c>
      <c r="O567" s="152" t="str">
        <f>IFERROR(__xludf.DUMMYFUNCTION("""COMPUTED_VALUE"""),"Pearl White Multi-Coat")</f>
        <v>Pearl White Multi-Coat</v>
      </c>
      <c r="P567" s="153" t="str">
        <f>IFERROR(__xludf.DUMMYFUNCTION("""COMPUTED_VALUE"""),"18 inch")</f>
        <v>18 inch</v>
      </c>
      <c r="Q567" s="152" t="str">
        <f>IFERROR(__xludf.DUMMYFUNCTION("""COMPUTED_VALUE"""),"All Black")</f>
        <v>All Black</v>
      </c>
      <c r="R567" s="149" t="str">
        <f>IFERROR(__xludf.DUMMYFUNCTION("""COMPUTED_VALUE"""),"Autopilot included")</f>
        <v>Autopilot included</v>
      </c>
      <c r="S567" s="149" t="str">
        <f>IFERROR(__xludf.DUMMYFUNCTION("""COMPUTED_VALUE"""),"Loan")</f>
        <v>Loan</v>
      </c>
      <c r="T567" s="145"/>
      <c r="U567" s="145" t="str">
        <f>IFERROR(__xludf.DUMMYFUNCTION("""COMPUTED_VALUE"""),"Electric!")</f>
        <v>Electric!</v>
      </c>
      <c r="V567" s="145" t="str">
        <f>IFERROR(__xludf.DUMMYFUNCTION("""COMPUTED_VALUE"""),"Head-up display")</f>
        <v>Head-up display</v>
      </c>
      <c r="W567" s="145"/>
      <c r="X567" s="137" t="str">
        <f>IFERROR(__xludf.DUMMYFUNCTION("""COMPUTED_VALUE"""),"Very Good")</f>
        <v>Very Good</v>
      </c>
      <c r="Y567" s="138" t="str">
        <f>IFERROR(__xludf.DUMMYFUNCTION("""COMPUTED_VALUE"""),"Excellent")</f>
        <v>Excellent</v>
      </c>
      <c r="Z567" s="138" t="str">
        <f>IFERROR(__xludf.DUMMYFUNCTION("""COMPUTED_VALUE"""),"Excellent")</f>
        <v>Excellent</v>
      </c>
      <c r="AA567" s="138" t="str">
        <f>IFERROR(__xludf.DUMMYFUNCTION("""COMPUTED_VALUE"""),"Very Good")</f>
        <v>Very Good</v>
      </c>
      <c r="AB567" s="138" t="str">
        <f>IFERROR(__xludf.DUMMYFUNCTION("""COMPUTED_VALUE"""),"Very Good")</f>
        <v>Very Good</v>
      </c>
      <c r="AC567" s="139"/>
      <c r="AD567" s="139"/>
      <c r="AE567" s="139"/>
      <c r="AF567" s="140" t="str">
        <f>IFERROR(__xludf.DUMMYFUNCTION("""COMPUTED_VALUE"""),"No. I took delivery of the first car Tesla was able to deliver.")</f>
        <v>No. I took delivery of the first car Tesla was able to deliver.</v>
      </c>
      <c r="AG567" s="145"/>
      <c r="AH567" s="157">
        <f>IFERROR(__xludf.DUMMYFUNCTION("""COMPUTED_VALUE"""),44372.24150849537)</f>
        <v>44372.24151</v>
      </c>
      <c r="AI567" s="138"/>
      <c r="AJ567" s="138"/>
      <c r="AK567" s="138"/>
      <c r="AL567" s="142"/>
    </row>
    <row r="568" ht="20.25" customHeight="1">
      <c r="A568" s="155" t="str">
        <f>IFERROR(__xludf.DUMMYFUNCTION("""COMPUTED_VALUE"""),"tleubner")</f>
        <v>tleubner</v>
      </c>
      <c r="B568" s="149" t="str">
        <f>IFERROR(__xludf.DUMMYFUNCTION("""COMPUTED_VALUE"""),"Chicago")</f>
        <v>Chicago</v>
      </c>
      <c r="C568" s="149" t="str">
        <f>IFERROR(__xludf.DUMMYFUNCTION("""COMPUTED_VALUE"""),"IL")</f>
        <v>IL</v>
      </c>
      <c r="D568" s="149" t="str">
        <f>IFERROR(__xludf.DUMMYFUNCTION("""COMPUTED_VALUE"""),"USA")</f>
        <v>USA</v>
      </c>
      <c r="E568" s="156">
        <f>IFERROR(__xludf.DUMMYFUNCTION("""COMPUTED_VALUE"""),44369.0)</f>
        <v>44369</v>
      </c>
      <c r="F568" s="129">
        <f>IFERROR(__xludf.DUMMYFUNCTION("""COMPUTED_VALUE"""),44419.0)</f>
        <v>44419</v>
      </c>
      <c r="G568" s="154" t="str">
        <f>IFERROR(__xludf.DUMMYFUNCTION("""COMPUTED_VALUE"""),"Email")</f>
        <v>Email</v>
      </c>
      <c r="H568" s="131"/>
      <c r="I568" s="144"/>
      <c r="J568" s="129">
        <f>IFERROR(__xludf.DUMMYFUNCTION("""COMPUTED_VALUE"""),44436.0)</f>
        <v>44436</v>
      </c>
      <c r="K568" s="133">
        <f>IFERROR(__xludf.DUMMYFUNCTION("""COMPUTED_VALUE"""),50.0)</f>
        <v>50</v>
      </c>
      <c r="L568" s="133">
        <f>IFERROR(__xludf.DUMMYFUNCTION("""COMPUTED_VALUE"""),17.0)</f>
        <v>17</v>
      </c>
      <c r="M568" s="133">
        <f>IFERROR(__xludf.DUMMYFUNCTION("""COMPUTED_VALUE"""),67.0)</f>
        <v>67</v>
      </c>
      <c r="N568" s="152" t="str">
        <f>IFERROR(__xludf.DUMMYFUNCTION("""COMPUTED_VALUE"""),"Model 3 LR AWD")</f>
        <v>Model 3 LR AWD</v>
      </c>
      <c r="O568" s="152" t="str">
        <f>IFERROR(__xludf.DUMMYFUNCTION("""COMPUTED_VALUE"""),"Pearl White Multi-Coat")</f>
        <v>Pearl White Multi-Coat</v>
      </c>
      <c r="P568" s="153" t="str">
        <f>IFERROR(__xludf.DUMMYFUNCTION("""COMPUTED_VALUE"""),"18 inch")</f>
        <v>18 inch</v>
      </c>
      <c r="Q568" s="152" t="str">
        <f>IFERROR(__xludf.DUMMYFUNCTION("""COMPUTED_VALUE"""),"All Black")</f>
        <v>All Black</v>
      </c>
      <c r="R568" s="149" t="str">
        <f>IFERROR(__xludf.DUMMYFUNCTION("""COMPUTED_VALUE"""),"Autopilot included")</f>
        <v>Autopilot included</v>
      </c>
      <c r="S568" s="149" t="str">
        <f>IFERROR(__xludf.DUMMYFUNCTION("""COMPUTED_VALUE"""),"Cash")</f>
        <v>Cash</v>
      </c>
      <c r="T568" s="145"/>
      <c r="U568" s="145"/>
      <c r="V568" s="145"/>
      <c r="W568" s="145"/>
      <c r="X568" s="137"/>
      <c r="Y568" s="138"/>
      <c r="Z568" s="138"/>
      <c r="AA568" s="138"/>
      <c r="AB568" s="138"/>
      <c r="AC568" s="139"/>
      <c r="AD568" s="139"/>
      <c r="AE568" s="139"/>
      <c r="AF568" s="140"/>
      <c r="AG568" s="145"/>
      <c r="AH568" s="157">
        <f>IFERROR(__xludf.DUMMYFUNCTION("""COMPUTED_VALUE"""),44438.288596377315)</f>
        <v>44438.2886</v>
      </c>
      <c r="AI568" s="138"/>
      <c r="AJ568" s="138"/>
      <c r="AK568" s="138"/>
      <c r="AL568" s="142"/>
    </row>
    <row r="569" ht="20.25" customHeight="1">
      <c r="A569" s="155" t="str">
        <f>IFERROR(__xludf.DUMMYFUNCTION("""COMPUTED_VALUE"""),"0-MPG NH")</f>
        <v>0-MPG NH</v>
      </c>
      <c r="B569" s="149"/>
      <c r="C569" s="149" t="str">
        <f>IFERROR(__xludf.DUMMYFUNCTION("""COMPUTED_VALUE"""),"NH")</f>
        <v>NH</v>
      </c>
      <c r="D569" s="149" t="str">
        <f>IFERROR(__xludf.DUMMYFUNCTION("""COMPUTED_VALUE"""),"USA")</f>
        <v>USA</v>
      </c>
      <c r="E569" s="156">
        <f>IFERROR(__xludf.DUMMYFUNCTION("""COMPUTED_VALUE"""),44368.0)</f>
        <v>44368</v>
      </c>
      <c r="F569" s="129">
        <f>IFERROR(__xludf.DUMMYFUNCTION("""COMPUTED_VALUE"""),44409.0)</f>
        <v>44409</v>
      </c>
      <c r="G569" s="154" t="str">
        <f>IFERROR(__xludf.DUMMYFUNCTION("""COMPUTED_VALUE"""),"Manage order page (normal text)")</f>
        <v>Manage order page (normal text)</v>
      </c>
      <c r="H569" s="131">
        <f>IFERROR(__xludf.DUMMYFUNCTION("""COMPUTED_VALUE"""),27255.0)</f>
        <v>27255</v>
      </c>
      <c r="I569" s="144"/>
      <c r="J569" s="129">
        <f>IFERROR(__xludf.DUMMYFUNCTION("""COMPUTED_VALUE"""),44421.0)</f>
        <v>44421</v>
      </c>
      <c r="K569" s="133">
        <f>IFERROR(__xludf.DUMMYFUNCTION("""COMPUTED_VALUE"""),41.0)</f>
        <v>41</v>
      </c>
      <c r="L569" s="133">
        <f>IFERROR(__xludf.DUMMYFUNCTION("""COMPUTED_VALUE"""),12.0)</f>
        <v>12</v>
      </c>
      <c r="M569" s="133">
        <f>IFERROR(__xludf.DUMMYFUNCTION("""COMPUTED_VALUE"""),53.0)</f>
        <v>53</v>
      </c>
      <c r="N569" s="152" t="str">
        <f>IFERROR(__xludf.DUMMYFUNCTION("""COMPUTED_VALUE"""),"Model 3 SR+")</f>
        <v>Model 3 SR+</v>
      </c>
      <c r="O569" s="152" t="str">
        <f>IFERROR(__xludf.DUMMYFUNCTION("""COMPUTED_VALUE"""),"Midnight Silver Metallic")</f>
        <v>Midnight Silver Metallic</v>
      </c>
      <c r="P569" s="153" t="str">
        <f>IFERROR(__xludf.DUMMYFUNCTION("""COMPUTED_VALUE"""),"18 inch")</f>
        <v>18 inch</v>
      </c>
      <c r="Q569" s="152" t="str">
        <f>IFERROR(__xludf.DUMMYFUNCTION("""COMPUTED_VALUE"""),"All Black")</f>
        <v>All Black</v>
      </c>
      <c r="R569" s="149" t="str">
        <f>IFERROR(__xludf.DUMMYFUNCTION("""COMPUTED_VALUE"""),"Autopilot included")</f>
        <v>Autopilot included</v>
      </c>
      <c r="S569" s="149" t="str">
        <f>IFERROR(__xludf.DUMMYFUNCTION("""COMPUTED_VALUE"""),"Loan")</f>
        <v>Loan</v>
      </c>
      <c r="T569" s="145" t="str">
        <f>IFERROR(__xludf.DUMMYFUNCTION("""COMPUTED_VALUE"""),"Tesla Model 3")</f>
        <v>Tesla Model 3</v>
      </c>
      <c r="U569" s="145" t="str">
        <f>IFERROR(__xludf.DUMMYFUNCTION("""COMPUTED_VALUE"""),"Electric!")</f>
        <v>Electric!</v>
      </c>
      <c r="V569" s="145" t="str">
        <f>IFERROR(__xludf.DUMMYFUNCTION("""COMPUTED_VALUE"""),"Apple CarPlay / Android Auto / SiriusXM Radio")</f>
        <v>Apple CarPlay / Android Auto / SiriusXM Radio</v>
      </c>
      <c r="W569" s="145"/>
      <c r="X569" s="137" t="str">
        <f>IFERROR(__xludf.DUMMYFUNCTION("""COMPUTED_VALUE"""),"Excellent")</f>
        <v>Excellent</v>
      </c>
      <c r="Y569" s="138" t="str">
        <f>IFERROR(__xludf.DUMMYFUNCTION("""COMPUTED_VALUE"""),"Excellent")</f>
        <v>Excellent</v>
      </c>
      <c r="Z569" s="138" t="str">
        <f>IFERROR(__xludf.DUMMYFUNCTION("""COMPUTED_VALUE"""),"Excellent")</f>
        <v>Excellent</v>
      </c>
      <c r="AA569" s="138" t="str">
        <f>IFERROR(__xludf.DUMMYFUNCTION("""COMPUTED_VALUE"""),"Fair")</f>
        <v>Fair</v>
      </c>
      <c r="AB569" s="138" t="str">
        <f>IFERROR(__xludf.DUMMYFUNCTION("""COMPUTED_VALUE"""),"Excellent")</f>
        <v>Excellent</v>
      </c>
      <c r="AC569" s="139"/>
      <c r="AD569" s="139"/>
      <c r="AE569" s="139"/>
      <c r="AF569" s="140" t="str">
        <f>IFERROR(__xludf.DUMMYFUNCTION("""COMPUTED_VALUE"""),"No. I took delivery of the first car Tesla was able to deliver.")</f>
        <v>No. I took delivery of the first car Tesla was able to deliver.</v>
      </c>
      <c r="AG569" s="145"/>
      <c r="AH569" s="157">
        <f>IFERROR(__xludf.DUMMYFUNCTION("""COMPUTED_VALUE"""),44422.285240578705)</f>
        <v>44422.28524</v>
      </c>
      <c r="AI569" s="138"/>
      <c r="AJ569" s="138"/>
      <c r="AK569" s="138"/>
      <c r="AL569" s="142"/>
    </row>
    <row r="570" ht="20.25" customHeight="1">
      <c r="A570" s="155" t="str">
        <f>IFERROR(__xludf.DUMMYFUNCTION("""COMPUTED_VALUE"""),"javvidu713")</f>
        <v>javvidu713</v>
      </c>
      <c r="B570" s="149" t="str">
        <f>IFERROR(__xludf.DUMMYFUNCTION("""COMPUTED_VALUE"""),"Tampa")</f>
        <v>Tampa</v>
      </c>
      <c r="C570" s="149" t="str">
        <f>IFERROR(__xludf.DUMMYFUNCTION("""COMPUTED_VALUE"""),"FL")</f>
        <v>FL</v>
      </c>
      <c r="D570" s="149" t="str">
        <f>IFERROR(__xludf.DUMMYFUNCTION("""COMPUTED_VALUE"""),"USA")</f>
        <v>USA</v>
      </c>
      <c r="E570" s="156">
        <f>IFERROR(__xludf.DUMMYFUNCTION("""COMPUTED_VALUE"""),44368.0)</f>
        <v>44368</v>
      </c>
      <c r="F570" s="129">
        <f>IFERROR(__xludf.DUMMYFUNCTION("""COMPUTED_VALUE"""),44421.0)</f>
        <v>44421</v>
      </c>
      <c r="G570" s="154" t="str">
        <f>IFERROR(__xludf.DUMMYFUNCTION("""COMPUTED_VALUE"""),"Text message")</f>
        <v>Text message</v>
      </c>
      <c r="H570" s="131"/>
      <c r="I570" s="144"/>
      <c r="J570" s="129">
        <f>IFERROR(__xludf.DUMMYFUNCTION("""COMPUTED_VALUE"""),44434.0)</f>
        <v>44434</v>
      </c>
      <c r="K570" s="133">
        <f>IFERROR(__xludf.DUMMYFUNCTION("""COMPUTED_VALUE"""),53.0)</f>
        <v>53</v>
      </c>
      <c r="L570" s="133">
        <f>IFERROR(__xludf.DUMMYFUNCTION("""COMPUTED_VALUE"""),13.0)</f>
        <v>13</v>
      </c>
      <c r="M570" s="133">
        <f>IFERROR(__xludf.DUMMYFUNCTION("""COMPUTED_VALUE"""),66.0)</f>
        <v>66</v>
      </c>
      <c r="N570" s="152" t="str">
        <f>IFERROR(__xludf.DUMMYFUNCTION("""COMPUTED_VALUE"""),"Model 3 LR AWD")</f>
        <v>Model 3 LR AWD</v>
      </c>
      <c r="O570" s="152" t="str">
        <f>IFERROR(__xludf.DUMMYFUNCTION("""COMPUTED_VALUE"""),"Midnight Silver Metallic")</f>
        <v>Midnight Silver Metallic</v>
      </c>
      <c r="P570" s="153" t="str">
        <f>IFERROR(__xludf.DUMMYFUNCTION("""COMPUTED_VALUE"""),"18 inch")</f>
        <v>18 inch</v>
      </c>
      <c r="Q570" s="152" t="str">
        <f>IFERROR(__xludf.DUMMYFUNCTION("""COMPUTED_VALUE"""),"Black and White")</f>
        <v>Black and White</v>
      </c>
      <c r="R570" s="149" t="str">
        <f>IFERROR(__xludf.DUMMYFUNCTION("""COMPUTED_VALUE"""),"Autopilot included")</f>
        <v>Autopilot included</v>
      </c>
      <c r="S570" s="149" t="str">
        <f>IFERROR(__xludf.DUMMYFUNCTION("""COMPUTED_VALUE"""),"Lease")</f>
        <v>Lease</v>
      </c>
      <c r="T570" s="145"/>
      <c r="U570" s="145"/>
      <c r="V570" s="145"/>
      <c r="W570" s="145"/>
      <c r="X570" s="137"/>
      <c r="Y570" s="138"/>
      <c r="Z570" s="138"/>
      <c r="AA570" s="138"/>
      <c r="AB570" s="138"/>
      <c r="AC570" s="139"/>
      <c r="AD570" s="139"/>
      <c r="AE570" s="139"/>
      <c r="AF570" s="140"/>
      <c r="AG570" s="145"/>
      <c r="AH570" s="157">
        <f>IFERROR(__xludf.DUMMYFUNCTION("""COMPUTED_VALUE"""),44430.798609097226)</f>
        <v>44430.79861</v>
      </c>
      <c r="AI570" s="138"/>
      <c r="AJ570" s="138"/>
      <c r="AK570" s="138"/>
      <c r="AL570" s="142"/>
    </row>
    <row r="571" ht="20.25" customHeight="1">
      <c r="A571" s="155" t="str">
        <f>IFERROR(__xludf.DUMMYFUNCTION("""COMPUTED_VALUE"""),"kp2021")</f>
        <v>kp2021</v>
      </c>
      <c r="B571" s="149" t="str">
        <f>IFERROR(__xludf.DUMMYFUNCTION("""COMPUTED_VALUE"""),"Seattle")</f>
        <v>Seattle</v>
      </c>
      <c r="C571" s="149" t="str">
        <f>IFERROR(__xludf.DUMMYFUNCTION("""COMPUTED_VALUE"""),"WA")</f>
        <v>WA</v>
      </c>
      <c r="D571" s="149" t="str">
        <f>IFERROR(__xludf.DUMMYFUNCTION("""COMPUTED_VALUE"""),"USA")</f>
        <v>USA</v>
      </c>
      <c r="E571" s="156">
        <f>IFERROR(__xludf.DUMMYFUNCTION("""COMPUTED_VALUE"""),44368.0)</f>
        <v>44368</v>
      </c>
      <c r="F571" s="129">
        <f>IFERROR(__xludf.DUMMYFUNCTION("""COMPUTED_VALUE"""),44421.0)</f>
        <v>44421</v>
      </c>
      <c r="G571" s="154" t="str">
        <f>IFERROR(__xludf.DUMMYFUNCTION("""COMPUTED_VALUE"""),"Email")</f>
        <v>Email</v>
      </c>
      <c r="H571" s="131">
        <f>IFERROR(__xludf.DUMMYFUNCTION("""COMPUTED_VALUE"""),35755.0)</f>
        <v>35755</v>
      </c>
      <c r="I571" s="144"/>
      <c r="J571" s="129">
        <f>IFERROR(__xludf.DUMMYFUNCTION("""COMPUTED_VALUE"""),44426.0)</f>
        <v>44426</v>
      </c>
      <c r="K571" s="133">
        <f>IFERROR(__xludf.DUMMYFUNCTION("""COMPUTED_VALUE"""),53.0)</f>
        <v>53</v>
      </c>
      <c r="L571" s="133">
        <f>IFERROR(__xludf.DUMMYFUNCTION("""COMPUTED_VALUE"""),5.0)</f>
        <v>5</v>
      </c>
      <c r="M571" s="133">
        <f>IFERROR(__xludf.DUMMYFUNCTION("""COMPUTED_VALUE"""),58.0)</f>
        <v>58</v>
      </c>
      <c r="N571" s="152" t="str">
        <f>IFERROR(__xludf.DUMMYFUNCTION("""COMPUTED_VALUE"""),"Model 3 LR AWD")</f>
        <v>Model 3 LR AWD</v>
      </c>
      <c r="O571" s="152" t="str">
        <f>IFERROR(__xludf.DUMMYFUNCTION("""COMPUTED_VALUE"""),"Red Multi-Coat")</f>
        <v>Red Multi-Coat</v>
      </c>
      <c r="P571" s="153" t="str">
        <f>IFERROR(__xludf.DUMMYFUNCTION("""COMPUTED_VALUE"""),"18 inch")</f>
        <v>18 inch</v>
      </c>
      <c r="Q571" s="152" t="str">
        <f>IFERROR(__xludf.DUMMYFUNCTION("""COMPUTED_VALUE"""),"Black and White")</f>
        <v>Black and White</v>
      </c>
      <c r="R571" s="149" t="str">
        <f>IFERROR(__xludf.DUMMYFUNCTION("""COMPUTED_VALUE"""),"Autopilot included")</f>
        <v>Autopilot included</v>
      </c>
      <c r="S571" s="149" t="str">
        <f>IFERROR(__xludf.DUMMYFUNCTION("""COMPUTED_VALUE"""),"Loan")</f>
        <v>Loan</v>
      </c>
      <c r="T571" s="145" t="str">
        <f>IFERROR(__xludf.DUMMYFUNCTION("""COMPUTED_VALUE"""),"Tesla Model 3")</f>
        <v>Tesla Model 3</v>
      </c>
      <c r="U571" s="145" t="str">
        <f>IFERROR(__xludf.DUMMYFUNCTION("""COMPUTED_VALUE"""),"Electric!")</f>
        <v>Electric!</v>
      </c>
      <c r="V571" s="145" t="str">
        <f>IFERROR(__xludf.DUMMYFUNCTION("""COMPUTED_VALUE"""),"Air suspension")</f>
        <v>Air suspension</v>
      </c>
      <c r="W571" s="145"/>
      <c r="X571" s="137"/>
      <c r="Y571" s="138"/>
      <c r="Z571" s="138"/>
      <c r="AA571" s="138"/>
      <c r="AB571" s="138"/>
      <c r="AC571" s="139"/>
      <c r="AD571" s="139"/>
      <c r="AE571" s="139"/>
      <c r="AF571" s="140"/>
      <c r="AG571" s="145"/>
      <c r="AH571" s="157">
        <f>IFERROR(__xludf.DUMMYFUNCTION("""COMPUTED_VALUE"""),44425.64606001157)</f>
        <v>44425.64606</v>
      </c>
      <c r="AI571" s="138"/>
      <c r="AJ571" s="138"/>
      <c r="AK571" s="138"/>
      <c r="AL571" s="142"/>
    </row>
    <row r="572" ht="20.25" customHeight="1">
      <c r="A572" s="155" t="str">
        <f>IFERROR(__xludf.DUMMYFUNCTION("""COMPUTED_VALUE"""),"SonicBoom")</f>
        <v>SonicBoom</v>
      </c>
      <c r="B572" s="149" t="str">
        <f>IFERROR(__xludf.DUMMYFUNCTION("""COMPUTED_VALUE"""),"Melbourne")</f>
        <v>Melbourne</v>
      </c>
      <c r="C572" s="149" t="str">
        <f>IFERROR(__xludf.DUMMYFUNCTION("""COMPUTED_VALUE"""),"FL")</f>
        <v>FL</v>
      </c>
      <c r="D572" s="149" t="str">
        <f>IFERROR(__xludf.DUMMYFUNCTION("""COMPUTED_VALUE"""),"USA")</f>
        <v>USA</v>
      </c>
      <c r="E572" s="156">
        <f>IFERROR(__xludf.DUMMYFUNCTION("""COMPUTED_VALUE"""),44368.0)</f>
        <v>44368</v>
      </c>
      <c r="F572" s="129">
        <f>IFERROR(__xludf.DUMMYFUNCTION("""COMPUTED_VALUE"""),44426.0)</f>
        <v>44426</v>
      </c>
      <c r="G572" s="154" t="str">
        <f>IFERROR(__xludf.DUMMYFUNCTION("""COMPUTED_VALUE"""),"Manage order page (normal text)")</f>
        <v>Manage order page (normal text)</v>
      </c>
      <c r="H572" s="131">
        <f>IFERROR(__xludf.DUMMYFUNCTION("""COMPUTED_VALUE"""),45255.0)</f>
        <v>45255</v>
      </c>
      <c r="I572" s="144"/>
      <c r="J572" s="129">
        <f>IFERROR(__xludf.DUMMYFUNCTION("""COMPUTED_VALUE"""),44442.0)</f>
        <v>44442</v>
      </c>
      <c r="K572" s="133">
        <f>IFERROR(__xludf.DUMMYFUNCTION("""COMPUTED_VALUE"""),58.0)</f>
        <v>58</v>
      </c>
      <c r="L572" s="133">
        <f>IFERROR(__xludf.DUMMYFUNCTION("""COMPUTED_VALUE"""),16.0)</f>
        <v>16</v>
      </c>
      <c r="M572" s="133">
        <f>IFERROR(__xludf.DUMMYFUNCTION("""COMPUTED_VALUE"""),74.0)</f>
        <v>74</v>
      </c>
      <c r="N572" s="152" t="str">
        <f>IFERROR(__xludf.DUMMYFUNCTION("""COMPUTED_VALUE"""),"Model 3 LR AWD")</f>
        <v>Model 3 LR AWD</v>
      </c>
      <c r="O572" s="152" t="str">
        <f>IFERROR(__xludf.DUMMYFUNCTION("""COMPUTED_VALUE"""),"Deep Blue Metallic")</f>
        <v>Deep Blue Metallic</v>
      </c>
      <c r="P572" s="153" t="str">
        <f>IFERROR(__xludf.DUMMYFUNCTION("""COMPUTED_VALUE"""),"18 inch")</f>
        <v>18 inch</v>
      </c>
      <c r="Q572" s="152" t="str">
        <f>IFERROR(__xludf.DUMMYFUNCTION("""COMPUTED_VALUE"""),"All Black")</f>
        <v>All Black</v>
      </c>
      <c r="R572" s="149" t="str">
        <f>IFERROR(__xludf.DUMMYFUNCTION("""COMPUTED_VALUE"""),"Autopilot included")</f>
        <v>Autopilot included</v>
      </c>
      <c r="S572" s="149" t="str">
        <f>IFERROR(__xludf.DUMMYFUNCTION("""COMPUTED_VALUE"""),"Cash")</f>
        <v>Cash</v>
      </c>
      <c r="T572" s="145" t="str">
        <f>IFERROR(__xludf.DUMMYFUNCTION("""COMPUTED_VALUE"""),"F150")</f>
        <v>F150</v>
      </c>
      <c r="U572" s="145" t="str">
        <f>IFERROR(__xludf.DUMMYFUNCTION("""COMPUTED_VALUE"""),"Electric!")</f>
        <v>Electric!</v>
      </c>
      <c r="V572" s="145" t="str">
        <f>IFERROR(__xludf.DUMMYFUNCTION("""COMPUTED_VALUE"""),"Ventilated seats")</f>
        <v>Ventilated seats</v>
      </c>
      <c r="W572" s="145" t="str">
        <f>IFERROR(__xludf.DUMMYFUNCTION("""COMPUTED_VALUE"""),"forget about the waiting")</f>
        <v>forget about the waiting</v>
      </c>
      <c r="X572" s="137" t="str">
        <f>IFERROR(__xludf.DUMMYFUNCTION("""COMPUTED_VALUE"""),"Very Good")</f>
        <v>Very Good</v>
      </c>
      <c r="Y572" s="138" t="str">
        <f>IFERROR(__xludf.DUMMYFUNCTION("""COMPUTED_VALUE"""),"Excellent")</f>
        <v>Excellent</v>
      </c>
      <c r="Z572" s="138" t="str">
        <f>IFERROR(__xludf.DUMMYFUNCTION("""COMPUTED_VALUE"""),"Excellent")</f>
        <v>Excellent</v>
      </c>
      <c r="AA572" s="138" t="str">
        <f>IFERROR(__xludf.DUMMYFUNCTION("""COMPUTED_VALUE"""),"Excellent")</f>
        <v>Excellent</v>
      </c>
      <c r="AB572" s="138" t="str">
        <f>IFERROR(__xludf.DUMMYFUNCTION("""COMPUTED_VALUE"""),"Excellent")</f>
        <v>Excellent</v>
      </c>
      <c r="AC572" s="139">
        <f>IFERROR(__xludf.DUMMYFUNCTION("""COMPUTED_VALUE"""),1.0)</f>
        <v>1</v>
      </c>
      <c r="AD572" s="139">
        <f>IFERROR(__xludf.DUMMYFUNCTION("""COMPUTED_VALUE"""),1.0)</f>
        <v>1</v>
      </c>
      <c r="AE572" s="139"/>
      <c r="AF572" s="140" t="str">
        <f>IFERROR(__xludf.DUMMYFUNCTION("""COMPUTED_VALUE"""),"No. I took delivery of the first car Tesla was able to deliver.")</f>
        <v>No. I took delivery of the first car Tesla was able to deliver.</v>
      </c>
      <c r="AG572" s="145"/>
      <c r="AH572" s="157">
        <f>IFERROR(__xludf.DUMMYFUNCTION("""COMPUTED_VALUE"""),44446.403055)</f>
        <v>44446.40306</v>
      </c>
      <c r="AI572" s="138"/>
      <c r="AJ572" s="138"/>
      <c r="AK572" s="138"/>
      <c r="AL572" s="142"/>
    </row>
    <row r="573" ht="20.25" customHeight="1">
      <c r="A573" s="155" t="str">
        <f>IFERROR(__xludf.DUMMYFUNCTION("""COMPUTED_VALUE"""),"Surgeon-San")</f>
        <v>Surgeon-San</v>
      </c>
      <c r="B573" s="149"/>
      <c r="C573" s="149" t="str">
        <f>IFERROR(__xludf.DUMMYFUNCTION("""COMPUTED_VALUE"""),"PA")</f>
        <v>PA</v>
      </c>
      <c r="D573" s="149" t="str">
        <f>IFERROR(__xludf.DUMMYFUNCTION("""COMPUTED_VALUE"""),"USA")</f>
        <v>USA</v>
      </c>
      <c r="E573" s="156">
        <f>IFERROR(__xludf.DUMMYFUNCTION("""COMPUTED_VALUE"""),44368.0)</f>
        <v>44368</v>
      </c>
      <c r="F573" s="129">
        <f>IFERROR(__xludf.DUMMYFUNCTION("""COMPUTED_VALUE"""),44419.0)</f>
        <v>44419</v>
      </c>
      <c r="G573" s="154" t="str">
        <f>IFERROR(__xludf.DUMMYFUNCTION("""COMPUTED_VALUE"""),"Manage order page (normal text)")</f>
        <v>Manage order page (normal text)</v>
      </c>
      <c r="H573" s="131"/>
      <c r="I573" s="144"/>
      <c r="J573" s="129"/>
      <c r="K573" s="133">
        <f>IFERROR(__xludf.DUMMYFUNCTION("""COMPUTED_VALUE"""),51.0)</f>
        <v>51</v>
      </c>
      <c r="L573" s="133"/>
      <c r="M573" s="133"/>
      <c r="N573" s="152" t="str">
        <f>IFERROR(__xludf.DUMMYFUNCTION("""COMPUTED_VALUE"""),"Model 3 LR AWD")</f>
        <v>Model 3 LR AWD</v>
      </c>
      <c r="O573" s="152" t="str">
        <f>IFERROR(__xludf.DUMMYFUNCTION("""COMPUTED_VALUE"""),"Deep Blue Metallic")</f>
        <v>Deep Blue Metallic</v>
      </c>
      <c r="P573" s="153" t="str">
        <f>IFERROR(__xludf.DUMMYFUNCTION("""COMPUTED_VALUE"""),"18 inch")</f>
        <v>18 inch</v>
      </c>
      <c r="Q573" s="152" t="str">
        <f>IFERROR(__xludf.DUMMYFUNCTION("""COMPUTED_VALUE"""),"All Black")</f>
        <v>All Black</v>
      </c>
      <c r="R573" s="149" t="str">
        <f>IFERROR(__xludf.DUMMYFUNCTION("""COMPUTED_VALUE"""),"Autopilot included")</f>
        <v>Autopilot included</v>
      </c>
      <c r="S573" s="149" t="str">
        <f>IFERROR(__xludf.DUMMYFUNCTION("""COMPUTED_VALUE"""),"Loan")</f>
        <v>Loan</v>
      </c>
      <c r="T573" s="145" t="str">
        <f>IFERROR(__xludf.DUMMYFUNCTION("""COMPUTED_VALUE"""),"Honda Civic")</f>
        <v>Honda Civic</v>
      </c>
      <c r="U573" s="145" t="str">
        <f>IFERROR(__xludf.DUMMYFUNCTION("""COMPUTED_VALUE"""),"Electric!")</f>
        <v>Electric!</v>
      </c>
      <c r="V573" s="145" t="str">
        <f>IFERROR(__xludf.DUMMYFUNCTION("""COMPUTED_VALUE"""),"Apple CarPlay / Android Auto / SiriusXM Radio")</f>
        <v>Apple CarPlay / Android Auto / SiriusXM Radio</v>
      </c>
      <c r="W573" s="145"/>
      <c r="X573" s="137"/>
      <c r="Y573" s="138"/>
      <c r="Z573" s="138"/>
      <c r="AA573" s="138"/>
      <c r="AB573" s="138"/>
      <c r="AC573" s="139"/>
      <c r="AD573" s="139"/>
      <c r="AE573" s="139"/>
      <c r="AF573" s="140"/>
      <c r="AG573" s="145"/>
      <c r="AH573" s="157">
        <f>IFERROR(__xludf.DUMMYFUNCTION("""COMPUTED_VALUE"""),44419.795442939816)</f>
        <v>44419.79544</v>
      </c>
      <c r="AI573" s="138"/>
      <c r="AJ573" s="138"/>
      <c r="AK573" s="138"/>
      <c r="AL573" s="142"/>
    </row>
    <row r="574" ht="20.25" customHeight="1">
      <c r="A574" s="155" t="str">
        <f>IFERROR(__xludf.DUMMYFUNCTION("""COMPUTED_VALUE"""),"Tazzik")</f>
        <v>Tazzik</v>
      </c>
      <c r="B574" s="149"/>
      <c r="C574" s="149" t="str">
        <f>IFERROR(__xludf.DUMMYFUNCTION("""COMPUTED_VALUE"""),"NJ")</f>
        <v>NJ</v>
      </c>
      <c r="D574" s="149" t="str">
        <f>IFERROR(__xludf.DUMMYFUNCTION("""COMPUTED_VALUE"""),"USA")</f>
        <v>USA</v>
      </c>
      <c r="E574" s="156">
        <f>IFERROR(__xludf.DUMMYFUNCTION("""COMPUTED_VALUE"""),44368.0)</f>
        <v>44368</v>
      </c>
      <c r="F574" s="129">
        <f>IFERROR(__xludf.DUMMYFUNCTION("""COMPUTED_VALUE"""),44375.0)</f>
        <v>44375</v>
      </c>
      <c r="G574" s="154" t="str">
        <f>IFERROR(__xludf.DUMMYFUNCTION("""COMPUTED_VALUE"""),"Manage order page (normal text)")</f>
        <v>Manage order page (normal text)</v>
      </c>
      <c r="H574" s="131"/>
      <c r="I574" s="144"/>
      <c r="J574" s="129">
        <f>IFERROR(__xludf.DUMMYFUNCTION("""COMPUTED_VALUE"""),44377.0)</f>
        <v>44377</v>
      </c>
      <c r="K574" s="133">
        <f>IFERROR(__xludf.DUMMYFUNCTION("""COMPUTED_VALUE"""),7.0)</f>
        <v>7</v>
      </c>
      <c r="L574" s="133">
        <f>IFERROR(__xludf.DUMMYFUNCTION("""COMPUTED_VALUE"""),2.0)</f>
        <v>2</v>
      </c>
      <c r="M574" s="133">
        <f>IFERROR(__xludf.DUMMYFUNCTION("""COMPUTED_VALUE"""),9.0)</f>
        <v>9</v>
      </c>
      <c r="N574" s="152" t="str">
        <f>IFERROR(__xludf.DUMMYFUNCTION("""COMPUTED_VALUE"""),"Model 3 LR AWD")</f>
        <v>Model 3 LR AWD</v>
      </c>
      <c r="O574" s="152" t="str">
        <f>IFERROR(__xludf.DUMMYFUNCTION("""COMPUTED_VALUE"""),"Midnight Silver Metallic")</f>
        <v>Midnight Silver Metallic</v>
      </c>
      <c r="P574" s="153" t="str">
        <f>IFERROR(__xludf.DUMMYFUNCTION("""COMPUTED_VALUE"""),"18 inch")</f>
        <v>18 inch</v>
      </c>
      <c r="Q574" s="152" t="str">
        <f>IFERROR(__xludf.DUMMYFUNCTION("""COMPUTED_VALUE"""),"Black and White")</f>
        <v>Black and White</v>
      </c>
      <c r="R574" s="149" t="str">
        <f>IFERROR(__xludf.DUMMYFUNCTION("""COMPUTED_VALUE"""),"Autopilot included")</f>
        <v>Autopilot included</v>
      </c>
      <c r="S574" s="149" t="str">
        <f>IFERROR(__xludf.DUMMYFUNCTION("""COMPUTED_VALUE"""),"Cash")</f>
        <v>Cash</v>
      </c>
      <c r="T574" s="145" t="str">
        <f>IFERROR(__xludf.DUMMYFUNCTION("""COMPUTED_VALUE"""),"2021 Mazda 3")</f>
        <v>2021 Mazda 3</v>
      </c>
      <c r="U574" s="145" t="str">
        <f>IFERROR(__xludf.DUMMYFUNCTION("""COMPUTED_VALUE"""),"Electric!")</f>
        <v>Electric!</v>
      </c>
      <c r="V574" s="145" t="str">
        <f>IFERROR(__xludf.DUMMYFUNCTION("""COMPUTED_VALUE"""),"Head-up display")</f>
        <v>Head-up display</v>
      </c>
      <c r="W574" s="145" t="str">
        <f>IFERROR(__xludf.DUMMYFUNCTION("""COMPUTED_VALUE"""),"I checked the inventory cars in my area and found one at a service center one hour away (instead of the original 30 minutes away one I was going to), called and got that car assigned to my order. ")</f>
        <v>I checked the inventory cars in my area and found one at a service center one hour away (instead of the original 30 minutes away one I was going to), called and got that car assigned to my order. </v>
      </c>
      <c r="X574" s="137" t="str">
        <f>IFERROR(__xludf.DUMMYFUNCTION("""COMPUTED_VALUE"""),"Excellent")</f>
        <v>Excellent</v>
      </c>
      <c r="Y574" s="138" t="str">
        <f>IFERROR(__xludf.DUMMYFUNCTION("""COMPUTED_VALUE"""),"Excellent")</f>
        <v>Excellent</v>
      </c>
      <c r="Z574" s="138" t="str">
        <f>IFERROR(__xludf.DUMMYFUNCTION("""COMPUTED_VALUE"""),"Excellent")</f>
        <v>Excellent</v>
      </c>
      <c r="AA574" s="138" t="str">
        <f>IFERROR(__xludf.DUMMYFUNCTION("""COMPUTED_VALUE"""),"Excellent")</f>
        <v>Excellent</v>
      </c>
      <c r="AB574" s="138" t="str">
        <f>IFERROR(__xludf.DUMMYFUNCTION("""COMPUTED_VALUE"""),"Excellent")</f>
        <v>Excellent</v>
      </c>
      <c r="AC574" s="139"/>
      <c r="AD574" s="139"/>
      <c r="AE574" s="139"/>
      <c r="AF574" s="140" t="str">
        <f>IFERROR(__xludf.DUMMYFUNCTION("""COMPUTED_VALUE"""),"No. I took delivery of the first car Tesla was able to deliver.")</f>
        <v>No. I took delivery of the first car Tesla was able to deliver.</v>
      </c>
      <c r="AG574" s="145"/>
      <c r="AH574" s="157">
        <f>IFERROR(__xludf.DUMMYFUNCTION("""COMPUTED_VALUE"""),44377.63705009259)</f>
        <v>44377.63705</v>
      </c>
      <c r="AI574" s="138"/>
      <c r="AJ574" s="138"/>
      <c r="AK574" s="138"/>
      <c r="AL574" s="142"/>
    </row>
    <row r="575" ht="20.25" customHeight="1">
      <c r="A575" s="155" t="str">
        <f>IFERROR(__xludf.DUMMYFUNCTION("""COMPUTED_VALUE"""),"vacaboca")</f>
        <v>vacaboca</v>
      </c>
      <c r="B575" s="149"/>
      <c r="C575" s="149" t="str">
        <f>IFERROR(__xludf.DUMMYFUNCTION("""COMPUTED_VALUE"""),"MA")</f>
        <v>MA</v>
      </c>
      <c r="D575" s="149" t="str">
        <f>IFERROR(__xludf.DUMMYFUNCTION("""COMPUTED_VALUE"""),"USA")</f>
        <v>USA</v>
      </c>
      <c r="E575" s="156">
        <f>IFERROR(__xludf.DUMMYFUNCTION("""COMPUTED_VALUE"""),44368.0)</f>
        <v>44368</v>
      </c>
      <c r="F575" s="129">
        <f>IFERROR(__xludf.DUMMYFUNCTION("""COMPUTED_VALUE"""),44420.0)</f>
        <v>44420</v>
      </c>
      <c r="G575" s="154" t="str">
        <f>IFERROR(__xludf.DUMMYFUNCTION("""COMPUTED_VALUE"""),"Manage order page (normal text)")</f>
        <v>Manage order page (normal text)</v>
      </c>
      <c r="H575" s="131">
        <f>IFERROR(__xludf.DUMMYFUNCTION("""COMPUTED_VALUE"""),34855.0)</f>
        <v>34855</v>
      </c>
      <c r="I575" s="144" t="str">
        <f>IFERROR(__xludf.DUMMYFUNCTION("""COMPUTED_VALUE"""),"08/21")</f>
        <v>08/21</v>
      </c>
      <c r="J575" s="129">
        <f>IFERROR(__xludf.DUMMYFUNCTION("""COMPUTED_VALUE"""),44433.0)</f>
        <v>44433</v>
      </c>
      <c r="K575" s="133">
        <f>IFERROR(__xludf.DUMMYFUNCTION("""COMPUTED_VALUE"""),52.0)</f>
        <v>52</v>
      </c>
      <c r="L575" s="133">
        <f>IFERROR(__xludf.DUMMYFUNCTION("""COMPUTED_VALUE"""),13.0)</f>
        <v>13</v>
      </c>
      <c r="M575" s="133">
        <f>IFERROR(__xludf.DUMMYFUNCTION("""COMPUTED_VALUE"""),65.0)</f>
        <v>65</v>
      </c>
      <c r="N575" s="152" t="str">
        <f>IFERROR(__xludf.DUMMYFUNCTION("""COMPUTED_VALUE"""),"Model 3 LR AWD")</f>
        <v>Model 3 LR AWD</v>
      </c>
      <c r="O575" s="152" t="str">
        <f>IFERROR(__xludf.DUMMYFUNCTION("""COMPUTED_VALUE"""),"Red Multi-Coat")</f>
        <v>Red Multi-Coat</v>
      </c>
      <c r="P575" s="153" t="str">
        <f>IFERROR(__xludf.DUMMYFUNCTION("""COMPUTED_VALUE"""),"18 inch")</f>
        <v>18 inch</v>
      </c>
      <c r="Q575" s="152" t="str">
        <f>IFERROR(__xludf.DUMMYFUNCTION("""COMPUTED_VALUE"""),"All Black")</f>
        <v>All Black</v>
      </c>
      <c r="R575" s="149" t="str">
        <f>IFERROR(__xludf.DUMMYFUNCTION("""COMPUTED_VALUE"""),"Full Self-Driving")</f>
        <v>Full Self-Driving</v>
      </c>
      <c r="S575" s="149" t="str">
        <f>IFERROR(__xludf.DUMMYFUNCTION("""COMPUTED_VALUE"""),"Loan")</f>
        <v>Loan</v>
      </c>
      <c r="T575" s="145" t="str">
        <f>IFERROR(__xludf.DUMMYFUNCTION("""COMPUTED_VALUE"""),"Toyota Prius Prime")</f>
        <v>Toyota Prius Prime</v>
      </c>
      <c r="U575" s="145" t="str">
        <f>IFERROR(__xludf.DUMMYFUNCTION("""COMPUTED_VALUE"""),"Autopilot")</f>
        <v>Autopilot</v>
      </c>
      <c r="V575" s="145" t="str">
        <f>IFERROR(__xludf.DUMMYFUNCTION("""COMPUTED_VALUE"""),"360° Bird's eye view")</f>
        <v>360° Bird's eye view</v>
      </c>
      <c r="W575" s="145"/>
      <c r="X575" s="137" t="str">
        <f>IFERROR(__xludf.DUMMYFUNCTION("""COMPUTED_VALUE"""),"Excellent")</f>
        <v>Excellent</v>
      </c>
      <c r="Y575" s="138" t="str">
        <f>IFERROR(__xludf.DUMMYFUNCTION("""COMPUTED_VALUE"""),"Excellent")</f>
        <v>Excellent</v>
      </c>
      <c r="Z575" s="138" t="str">
        <f>IFERROR(__xludf.DUMMYFUNCTION("""COMPUTED_VALUE"""),"Excellent")</f>
        <v>Excellent</v>
      </c>
      <c r="AA575" s="138" t="str">
        <f>IFERROR(__xludf.DUMMYFUNCTION("""COMPUTED_VALUE"""),"Good")</f>
        <v>Good</v>
      </c>
      <c r="AB575" s="138" t="str">
        <f>IFERROR(__xludf.DUMMYFUNCTION("""COMPUTED_VALUE"""),"Very Good")</f>
        <v>Very Good</v>
      </c>
      <c r="AC575" s="139">
        <f>IFERROR(__xludf.DUMMYFUNCTION("""COMPUTED_VALUE"""),1.0)</f>
        <v>1</v>
      </c>
      <c r="AD575" s="139">
        <f>IFERROR(__xludf.DUMMYFUNCTION("""COMPUTED_VALUE"""),1.0)</f>
        <v>1</v>
      </c>
      <c r="AE575" s="139">
        <f>IFERROR(__xludf.DUMMYFUNCTION("""COMPUTED_VALUE"""),0.0)</f>
        <v>0</v>
      </c>
      <c r="AF575" s="140" t="str">
        <f>IFERROR(__xludf.DUMMYFUNCTION("""COMPUTED_VALUE"""),"No. I took delivery of the first car Tesla was able to deliver.")</f>
        <v>No. I took delivery of the first car Tesla was able to deliver.</v>
      </c>
      <c r="AG575" s="145"/>
      <c r="AH575" s="157">
        <f>IFERROR(__xludf.DUMMYFUNCTION("""COMPUTED_VALUE"""),44459.49138233796)</f>
        <v>44459.49138</v>
      </c>
      <c r="AI575" s="138"/>
      <c r="AJ575" s="138"/>
      <c r="AK575" s="138"/>
      <c r="AL575" s="142"/>
    </row>
    <row r="576" ht="20.25" customHeight="1">
      <c r="A576" s="155" t="str">
        <f>IFERROR(__xludf.DUMMYFUNCTION("""COMPUTED_VALUE"""),"kryocentric")</f>
        <v>kryocentric</v>
      </c>
      <c r="B576" s="149" t="str">
        <f>IFERROR(__xludf.DUMMYFUNCTION("""COMPUTED_VALUE"""),"Buena Park")</f>
        <v>Buena Park</v>
      </c>
      <c r="C576" s="149" t="str">
        <f>IFERROR(__xludf.DUMMYFUNCTION("""COMPUTED_VALUE"""),"CA")</f>
        <v>CA</v>
      </c>
      <c r="D576" s="149" t="str">
        <f>IFERROR(__xludf.DUMMYFUNCTION("""COMPUTED_VALUE"""),"USA")</f>
        <v>USA</v>
      </c>
      <c r="E576" s="156">
        <f>IFERROR(__xludf.DUMMYFUNCTION("""COMPUTED_VALUE"""),44367.0)</f>
        <v>44367</v>
      </c>
      <c r="F576" s="129">
        <f>IFERROR(__xludf.DUMMYFUNCTION("""COMPUTED_VALUE"""),44417.0)</f>
        <v>44417</v>
      </c>
      <c r="G576" s="154" t="str">
        <f>IFERROR(__xludf.DUMMYFUNCTION("""COMPUTED_VALUE"""),"Manage order page (normal text)")</f>
        <v>Manage order page (normal text)</v>
      </c>
      <c r="H576" s="131"/>
      <c r="I576" s="144"/>
      <c r="J576" s="129">
        <f>IFERROR(__xludf.DUMMYFUNCTION("""COMPUTED_VALUE"""),44421.0)</f>
        <v>44421</v>
      </c>
      <c r="K576" s="133">
        <f>IFERROR(__xludf.DUMMYFUNCTION("""COMPUTED_VALUE"""),50.0)</f>
        <v>50</v>
      </c>
      <c r="L576" s="133">
        <f>IFERROR(__xludf.DUMMYFUNCTION("""COMPUTED_VALUE"""),4.0)</f>
        <v>4</v>
      </c>
      <c r="M576" s="133">
        <f>IFERROR(__xludf.DUMMYFUNCTION("""COMPUTED_VALUE"""),54.0)</f>
        <v>54</v>
      </c>
      <c r="N576" s="152" t="str">
        <f>IFERROR(__xludf.DUMMYFUNCTION("""COMPUTED_VALUE"""),"Model 3 LR AWD")</f>
        <v>Model 3 LR AWD</v>
      </c>
      <c r="O576" s="152" t="str">
        <f>IFERROR(__xludf.DUMMYFUNCTION("""COMPUTED_VALUE"""),"Midnight Silver Metallic")</f>
        <v>Midnight Silver Metallic</v>
      </c>
      <c r="P576" s="153" t="str">
        <f>IFERROR(__xludf.DUMMYFUNCTION("""COMPUTED_VALUE"""),"18 inch")</f>
        <v>18 inch</v>
      </c>
      <c r="Q576" s="152" t="str">
        <f>IFERROR(__xludf.DUMMYFUNCTION("""COMPUTED_VALUE"""),"All Black")</f>
        <v>All Black</v>
      </c>
      <c r="R576" s="149" t="str">
        <f>IFERROR(__xludf.DUMMYFUNCTION("""COMPUTED_VALUE"""),"Autopilot included")</f>
        <v>Autopilot included</v>
      </c>
      <c r="S576" s="149" t="str">
        <f>IFERROR(__xludf.DUMMYFUNCTION("""COMPUTED_VALUE"""),"Loan")</f>
        <v>Loan</v>
      </c>
      <c r="T576" s="145"/>
      <c r="U576" s="145"/>
      <c r="V576" s="145"/>
      <c r="W576" s="145"/>
      <c r="X576" s="137"/>
      <c r="Y576" s="138"/>
      <c r="Z576" s="138"/>
      <c r="AA576" s="138"/>
      <c r="AB576" s="138"/>
      <c r="AC576" s="139"/>
      <c r="AD576" s="139"/>
      <c r="AE576" s="139"/>
      <c r="AF576" s="140"/>
      <c r="AG576" s="145"/>
      <c r="AH576" s="157">
        <f>IFERROR(__xludf.DUMMYFUNCTION("""COMPUTED_VALUE"""),44418.38777003472)</f>
        <v>44418.38777</v>
      </c>
      <c r="AI576" s="138"/>
      <c r="AJ576" s="138"/>
      <c r="AK576" s="138"/>
      <c r="AL576" s="142"/>
    </row>
    <row r="577" ht="20.25" customHeight="1">
      <c r="A577" s="155" t="str">
        <f>IFERROR(__xludf.DUMMYFUNCTION("""COMPUTED_VALUE"""),"Lloid")</f>
        <v>Lloid</v>
      </c>
      <c r="B577" s="149" t="str">
        <f>IFERROR(__xludf.DUMMYFUNCTION("""COMPUTED_VALUE"""),"Vancouver")</f>
        <v>Vancouver</v>
      </c>
      <c r="C577" s="149" t="str">
        <f>IFERROR(__xludf.DUMMYFUNCTION("""COMPUTED_VALUE"""),"BC")</f>
        <v>BC</v>
      </c>
      <c r="D577" s="149" t="str">
        <f>IFERROR(__xludf.DUMMYFUNCTION("""COMPUTED_VALUE"""),"Canada")</f>
        <v>Canada</v>
      </c>
      <c r="E577" s="156">
        <f>IFERROR(__xludf.DUMMYFUNCTION("""COMPUTED_VALUE"""),44367.0)</f>
        <v>44367</v>
      </c>
      <c r="F577" s="129">
        <f>IFERROR(__xludf.DUMMYFUNCTION("""COMPUTED_VALUE"""),44415.0)</f>
        <v>44415</v>
      </c>
      <c r="G577" s="154" t="str">
        <f>IFERROR(__xludf.DUMMYFUNCTION("""COMPUTED_VALUE"""),"Email")</f>
        <v>Email</v>
      </c>
      <c r="H577" s="131">
        <f>IFERROR(__xludf.DUMMYFUNCTION("""COMPUTED_VALUE"""),28555.0)</f>
        <v>28555</v>
      </c>
      <c r="I577" s="144"/>
      <c r="J577" s="129">
        <f>IFERROR(__xludf.DUMMYFUNCTION("""COMPUTED_VALUE"""),44420.0)</f>
        <v>44420</v>
      </c>
      <c r="K577" s="133">
        <f>IFERROR(__xludf.DUMMYFUNCTION("""COMPUTED_VALUE"""),48.0)</f>
        <v>48</v>
      </c>
      <c r="L577" s="133">
        <f>IFERROR(__xludf.DUMMYFUNCTION("""COMPUTED_VALUE"""),5.0)</f>
        <v>5</v>
      </c>
      <c r="M577" s="133">
        <f>IFERROR(__xludf.DUMMYFUNCTION("""COMPUTED_VALUE"""),53.0)</f>
        <v>53</v>
      </c>
      <c r="N577" s="152" t="str">
        <f>IFERROR(__xludf.DUMMYFUNCTION("""COMPUTED_VALUE"""),"Model 3 SR+")</f>
        <v>Model 3 SR+</v>
      </c>
      <c r="O577" s="152" t="str">
        <f>IFERROR(__xludf.DUMMYFUNCTION("""COMPUTED_VALUE"""),"Pearl White Multi-Coat")</f>
        <v>Pearl White Multi-Coat</v>
      </c>
      <c r="P577" s="153" t="str">
        <f>IFERROR(__xludf.DUMMYFUNCTION("""COMPUTED_VALUE"""),"18 inch")</f>
        <v>18 inch</v>
      </c>
      <c r="Q577" s="152" t="str">
        <f>IFERROR(__xludf.DUMMYFUNCTION("""COMPUTED_VALUE"""),"All Black")</f>
        <v>All Black</v>
      </c>
      <c r="R577" s="149" t="str">
        <f>IFERROR(__xludf.DUMMYFUNCTION("""COMPUTED_VALUE"""),"Autopilot included")</f>
        <v>Autopilot included</v>
      </c>
      <c r="S577" s="149" t="str">
        <f>IFERROR(__xludf.DUMMYFUNCTION("""COMPUTED_VALUE"""),"Loan")</f>
        <v>Loan</v>
      </c>
      <c r="T577" s="145" t="str">
        <f>IFERROR(__xludf.DUMMYFUNCTION("""COMPUTED_VALUE"""),"Toyota Prius Prime")</f>
        <v>Toyota Prius Prime</v>
      </c>
      <c r="U577" s="145" t="str">
        <f>IFERROR(__xludf.DUMMYFUNCTION("""COMPUTED_VALUE"""),"Electric!")</f>
        <v>Electric!</v>
      </c>
      <c r="V577" s="145" t="str">
        <f>IFERROR(__xludf.DUMMYFUNCTION("""COMPUTED_VALUE"""),"Heated steering wheel")</f>
        <v>Heated steering wheel</v>
      </c>
      <c r="W577" s="145"/>
      <c r="X577" s="137"/>
      <c r="Y577" s="138"/>
      <c r="Z577" s="138"/>
      <c r="AA577" s="138"/>
      <c r="AB577" s="138"/>
      <c r="AC577" s="139"/>
      <c r="AD577" s="139"/>
      <c r="AE577" s="139"/>
      <c r="AF577" s="140"/>
      <c r="AG577" s="145"/>
      <c r="AH577" s="157">
        <f>IFERROR(__xludf.DUMMYFUNCTION("""COMPUTED_VALUE"""),44415.41529035879)</f>
        <v>44415.41529</v>
      </c>
      <c r="AI577" s="138"/>
      <c r="AJ577" s="138"/>
      <c r="AK577" s="138"/>
      <c r="AL577" s="142"/>
    </row>
    <row r="578" ht="20.25" customHeight="1">
      <c r="A578" s="155" t="str">
        <f>IFERROR(__xludf.DUMMYFUNCTION("""COMPUTED_VALUE"""),"Mikejones11")</f>
        <v>Mikejones11</v>
      </c>
      <c r="B578" s="149" t="str">
        <f>IFERROR(__xludf.DUMMYFUNCTION("""COMPUTED_VALUE"""),"Austin")</f>
        <v>Austin</v>
      </c>
      <c r="C578" s="149" t="str">
        <f>IFERROR(__xludf.DUMMYFUNCTION("""COMPUTED_VALUE"""),"TX")</f>
        <v>TX</v>
      </c>
      <c r="D578" s="149" t="str">
        <f>IFERROR(__xludf.DUMMYFUNCTION("""COMPUTED_VALUE"""),"USA")</f>
        <v>USA</v>
      </c>
      <c r="E578" s="156">
        <f>IFERROR(__xludf.DUMMYFUNCTION("""COMPUTED_VALUE"""),44367.0)</f>
        <v>44367</v>
      </c>
      <c r="F578" s="129">
        <f>IFERROR(__xludf.DUMMYFUNCTION("""COMPUTED_VALUE"""),44401.0)</f>
        <v>44401</v>
      </c>
      <c r="G578" s="154" t="str">
        <f>IFERROR(__xludf.DUMMYFUNCTION("""COMPUTED_VALUE"""),"Manage order page (normal text)")</f>
        <v>Manage order page (normal text)</v>
      </c>
      <c r="H578" s="131">
        <f>IFERROR(__xludf.DUMMYFUNCTION("""COMPUTED_VALUE"""),19409.0)</f>
        <v>19409</v>
      </c>
      <c r="I578" s="144"/>
      <c r="J578" s="129">
        <f>IFERROR(__xludf.DUMMYFUNCTION("""COMPUTED_VALUE"""),44412.0)</f>
        <v>44412</v>
      </c>
      <c r="K578" s="133">
        <f>IFERROR(__xludf.DUMMYFUNCTION("""COMPUTED_VALUE"""),34.0)</f>
        <v>34</v>
      </c>
      <c r="L578" s="133">
        <f>IFERROR(__xludf.DUMMYFUNCTION("""COMPUTED_VALUE"""),11.0)</f>
        <v>11</v>
      </c>
      <c r="M578" s="133">
        <f>IFERROR(__xludf.DUMMYFUNCTION("""COMPUTED_VALUE"""),45.0)</f>
        <v>45</v>
      </c>
      <c r="N578" s="152" t="str">
        <f>IFERROR(__xludf.DUMMYFUNCTION("""COMPUTED_VALUE"""),"Model 3 LR AWD")</f>
        <v>Model 3 LR AWD</v>
      </c>
      <c r="O578" s="152" t="str">
        <f>IFERROR(__xludf.DUMMYFUNCTION("""COMPUTED_VALUE"""),"Deep Blue Metallic")</f>
        <v>Deep Blue Metallic</v>
      </c>
      <c r="P578" s="153" t="str">
        <f>IFERROR(__xludf.DUMMYFUNCTION("""COMPUTED_VALUE"""),"18 inch")</f>
        <v>18 inch</v>
      </c>
      <c r="Q578" s="152" t="str">
        <f>IFERROR(__xludf.DUMMYFUNCTION("""COMPUTED_VALUE"""),"All Black")</f>
        <v>All Black</v>
      </c>
      <c r="R578" s="149" t="str">
        <f>IFERROR(__xludf.DUMMYFUNCTION("""COMPUTED_VALUE"""),"Autopilot included")</f>
        <v>Autopilot included</v>
      </c>
      <c r="S578" s="149" t="str">
        <f>IFERROR(__xludf.DUMMYFUNCTION("""COMPUTED_VALUE"""),"Loan")</f>
        <v>Loan</v>
      </c>
      <c r="T578" s="145"/>
      <c r="U578" s="145"/>
      <c r="V578" s="145"/>
      <c r="W578" s="145"/>
      <c r="X578" s="137"/>
      <c r="Y578" s="138"/>
      <c r="Z578" s="138"/>
      <c r="AA578" s="138"/>
      <c r="AB578" s="138"/>
      <c r="AC578" s="139"/>
      <c r="AD578" s="139"/>
      <c r="AE578" s="139"/>
      <c r="AF578" s="140"/>
      <c r="AG578" s="145"/>
      <c r="AH578" s="157">
        <f>IFERROR(__xludf.DUMMYFUNCTION("""COMPUTED_VALUE"""),44404.396361990744)</f>
        <v>44404.39636</v>
      </c>
      <c r="AI578" s="138"/>
      <c r="AJ578" s="138"/>
      <c r="AK578" s="138"/>
      <c r="AL578" s="142"/>
    </row>
    <row r="579" ht="20.25" customHeight="1">
      <c r="A579" s="155" t="str">
        <f>IFERROR(__xludf.DUMMYFUNCTION("""COMPUTED_VALUE"""),"pulsetn")</f>
        <v>pulsetn</v>
      </c>
      <c r="B579" s="149" t="str">
        <f>IFERROR(__xludf.DUMMYFUNCTION("""COMPUTED_VALUE"""),"Nashville")</f>
        <v>Nashville</v>
      </c>
      <c r="C579" s="149" t="str">
        <f>IFERROR(__xludf.DUMMYFUNCTION("""COMPUTED_VALUE"""),"TN")</f>
        <v>TN</v>
      </c>
      <c r="D579" s="149" t="str">
        <f>IFERROR(__xludf.DUMMYFUNCTION("""COMPUTED_VALUE"""),"USA")</f>
        <v>USA</v>
      </c>
      <c r="E579" s="156">
        <f>IFERROR(__xludf.DUMMYFUNCTION("""COMPUTED_VALUE"""),44367.0)</f>
        <v>44367</v>
      </c>
      <c r="F579" s="129">
        <f>IFERROR(__xludf.DUMMYFUNCTION("""COMPUTED_VALUE"""),44373.0)</f>
        <v>44373</v>
      </c>
      <c r="G579" s="154" t="str">
        <f>IFERROR(__xludf.DUMMYFUNCTION("""COMPUTED_VALUE"""),"Phone call")</f>
        <v>Phone call</v>
      </c>
      <c r="H579" s="131">
        <f>IFERROR(__xludf.DUMMYFUNCTION("""COMPUTED_VALUE"""),992355.0)</f>
        <v>992355</v>
      </c>
      <c r="I579" s="144" t="str">
        <f>IFERROR(__xludf.DUMMYFUNCTION("""COMPUTED_VALUE"""),"06/21")</f>
        <v>06/21</v>
      </c>
      <c r="J579" s="129">
        <f>IFERROR(__xludf.DUMMYFUNCTION("""COMPUTED_VALUE"""),44375.0)</f>
        <v>44375</v>
      </c>
      <c r="K579" s="133">
        <f>IFERROR(__xludf.DUMMYFUNCTION("""COMPUTED_VALUE"""),6.0)</f>
        <v>6</v>
      </c>
      <c r="L579" s="133">
        <f>IFERROR(__xludf.DUMMYFUNCTION("""COMPUTED_VALUE"""),2.0)</f>
        <v>2</v>
      </c>
      <c r="M579" s="133">
        <f>IFERROR(__xludf.DUMMYFUNCTION("""COMPUTED_VALUE"""),8.0)</f>
        <v>8</v>
      </c>
      <c r="N579" s="152" t="str">
        <f>IFERROR(__xludf.DUMMYFUNCTION("""COMPUTED_VALUE"""),"Model 3 Performance")</f>
        <v>Model 3 Performance</v>
      </c>
      <c r="O579" s="152" t="str">
        <f>IFERROR(__xludf.DUMMYFUNCTION("""COMPUTED_VALUE"""),"Solid Black")</f>
        <v>Solid Black</v>
      </c>
      <c r="P579" s="153" t="str">
        <f>IFERROR(__xludf.DUMMYFUNCTION("""COMPUTED_VALUE"""),"20 inch")</f>
        <v>20 inch</v>
      </c>
      <c r="Q579" s="152" t="str">
        <f>IFERROR(__xludf.DUMMYFUNCTION("""COMPUTED_VALUE"""),"All Black")</f>
        <v>All Black</v>
      </c>
      <c r="R579" s="149" t="str">
        <f>IFERROR(__xludf.DUMMYFUNCTION("""COMPUTED_VALUE"""),"Full Self-Driving")</f>
        <v>Full Self-Driving</v>
      </c>
      <c r="S579" s="149" t="str">
        <f>IFERROR(__xludf.DUMMYFUNCTION("""COMPUTED_VALUE"""),"Cash")</f>
        <v>Cash</v>
      </c>
      <c r="T579" s="145" t="str">
        <f>IFERROR(__xludf.DUMMYFUNCTION("""COMPUTED_VALUE"""),"Honda Civic")</f>
        <v>Honda Civic</v>
      </c>
      <c r="U579" s="145" t="str">
        <f>IFERROR(__xludf.DUMMYFUNCTION("""COMPUTED_VALUE"""),"Electric!")</f>
        <v>Electric!</v>
      </c>
      <c r="V579" s="145" t="str">
        <f>IFERROR(__xludf.DUMMYFUNCTION("""COMPUTED_VALUE"""),"Head-up display")</f>
        <v>Head-up display</v>
      </c>
      <c r="W579" s="145"/>
      <c r="X579" s="137" t="str">
        <f>IFERROR(__xludf.DUMMYFUNCTION("""COMPUTED_VALUE"""),"Very Good")</f>
        <v>Very Good</v>
      </c>
      <c r="Y579" s="138" t="str">
        <f>IFERROR(__xludf.DUMMYFUNCTION("""COMPUTED_VALUE"""),"Very Good")</f>
        <v>Very Good</v>
      </c>
      <c r="Z579" s="138" t="str">
        <f>IFERROR(__xludf.DUMMYFUNCTION("""COMPUTED_VALUE"""),"Excellent")</f>
        <v>Excellent</v>
      </c>
      <c r="AA579" s="138" t="str">
        <f>IFERROR(__xludf.DUMMYFUNCTION("""COMPUTED_VALUE"""),"Very Good")</f>
        <v>Very Good</v>
      </c>
      <c r="AB579" s="138" t="str">
        <f>IFERROR(__xludf.DUMMYFUNCTION("""COMPUTED_VALUE"""),"Excellent")</f>
        <v>Excellent</v>
      </c>
      <c r="AC579" s="139"/>
      <c r="AD579" s="139"/>
      <c r="AE579" s="139"/>
      <c r="AF579" s="140" t="str">
        <f>IFERROR(__xludf.DUMMYFUNCTION("""COMPUTED_VALUE"""),"No. I took delivery of the first car Tesla was able to deliver.")</f>
        <v>No. I took delivery of the first car Tesla was able to deliver.</v>
      </c>
      <c r="AG579" s="145"/>
      <c r="AH579" s="157">
        <f>IFERROR(__xludf.DUMMYFUNCTION("""COMPUTED_VALUE"""),44376.304649826394)</f>
        <v>44376.30465</v>
      </c>
      <c r="AI579" s="138"/>
      <c r="AJ579" s="138"/>
      <c r="AK579" s="138"/>
      <c r="AL579" s="142"/>
    </row>
    <row r="580" ht="20.25" customHeight="1">
      <c r="A580" s="155" t="str">
        <f>IFERROR(__xludf.DUMMYFUNCTION("""COMPUTED_VALUE"""),"tcharles44")</f>
        <v>tcharles44</v>
      </c>
      <c r="B580" s="149" t="str">
        <f>IFERROR(__xludf.DUMMYFUNCTION("""COMPUTED_VALUE"""),"Durham")</f>
        <v>Durham</v>
      </c>
      <c r="C580" s="149" t="str">
        <f>IFERROR(__xludf.DUMMYFUNCTION("""COMPUTED_VALUE"""),"NC")</f>
        <v>NC</v>
      </c>
      <c r="D580" s="149" t="str">
        <f>IFERROR(__xludf.DUMMYFUNCTION("""COMPUTED_VALUE"""),"USA")</f>
        <v>USA</v>
      </c>
      <c r="E580" s="156">
        <f>IFERROR(__xludf.DUMMYFUNCTION("""COMPUTED_VALUE"""),44367.0)</f>
        <v>44367</v>
      </c>
      <c r="F580" s="129"/>
      <c r="G580" s="154"/>
      <c r="H580" s="131"/>
      <c r="I580" s="144"/>
      <c r="J580" s="129"/>
      <c r="K580" s="133"/>
      <c r="L580" s="133"/>
      <c r="M580" s="133"/>
      <c r="N580" s="152" t="str">
        <f>IFERROR(__xludf.DUMMYFUNCTION("""COMPUTED_VALUE"""),"Model 3 LR AWD")</f>
        <v>Model 3 LR AWD</v>
      </c>
      <c r="O580" s="152" t="str">
        <f>IFERROR(__xludf.DUMMYFUNCTION("""COMPUTED_VALUE"""),"Solid Black")</f>
        <v>Solid Black</v>
      </c>
      <c r="P580" s="153" t="str">
        <f>IFERROR(__xludf.DUMMYFUNCTION("""COMPUTED_VALUE"""),"18 inch")</f>
        <v>18 inch</v>
      </c>
      <c r="Q580" s="152" t="str">
        <f>IFERROR(__xludf.DUMMYFUNCTION("""COMPUTED_VALUE"""),"All Black")</f>
        <v>All Black</v>
      </c>
      <c r="R580" s="149" t="str">
        <f>IFERROR(__xludf.DUMMYFUNCTION("""COMPUTED_VALUE"""),"Full Self-Driving")</f>
        <v>Full Self-Driving</v>
      </c>
      <c r="S580" s="149" t="str">
        <f>IFERROR(__xludf.DUMMYFUNCTION("""COMPUTED_VALUE"""),"Loan")</f>
        <v>Loan</v>
      </c>
      <c r="T580" s="145" t="str">
        <f>IFERROR(__xludf.DUMMYFUNCTION("""COMPUTED_VALUE"""),"GMC Acadia Denali")</f>
        <v>GMC Acadia Denali</v>
      </c>
      <c r="U580" s="145" t="str">
        <f>IFERROR(__xludf.DUMMYFUNCTION("""COMPUTED_VALUE"""),"Autopilot")</f>
        <v>Autopilot</v>
      </c>
      <c r="V580" s="145" t="str">
        <f>IFERROR(__xludf.DUMMYFUNCTION("""COMPUTED_VALUE"""),"Head-up display")</f>
        <v>Head-up display</v>
      </c>
      <c r="W580" s="145"/>
      <c r="X580" s="137"/>
      <c r="Y580" s="138"/>
      <c r="Z580" s="138"/>
      <c r="AA580" s="138"/>
      <c r="AB580" s="138"/>
      <c r="AC580" s="139"/>
      <c r="AD580" s="139"/>
      <c r="AE580" s="139"/>
      <c r="AF580" s="140"/>
      <c r="AG580" s="145"/>
      <c r="AH580" s="157">
        <f>IFERROR(__xludf.DUMMYFUNCTION("""COMPUTED_VALUE"""),44419.292528460646)</f>
        <v>44419.29253</v>
      </c>
      <c r="AI580" s="138"/>
      <c r="AJ580" s="138"/>
      <c r="AK580" s="138"/>
      <c r="AL580" s="142"/>
    </row>
    <row r="581" ht="20.25" customHeight="1">
      <c r="A581" s="155" t="str">
        <f>IFERROR(__xludf.DUMMYFUNCTION("""COMPUTED_VALUE"""),"tduffy50")</f>
        <v>tduffy50</v>
      </c>
      <c r="B581" s="149" t="str">
        <f>IFERROR(__xludf.DUMMYFUNCTION("""COMPUTED_VALUE"""),"Bethel")</f>
        <v>Bethel</v>
      </c>
      <c r="C581" s="149" t="str">
        <f>IFERROR(__xludf.DUMMYFUNCTION("""COMPUTED_VALUE"""),"CT")</f>
        <v>CT</v>
      </c>
      <c r="D581" s="149" t="str">
        <f>IFERROR(__xludf.DUMMYFUNCTION("""COMPUTED_VALUE"""),"USA")</f>
        <v>USA</v>
      </c>
      <c r="E581" s="156">
        <f>IFERROR(__xludf.DUMMYFUNCTION("""COMPUTED_VALUE"""),44367.0)</f>
        <v>44367</v>
      </c>
      <c r="F581" s="129">
        <f>IFERROR(__xludf.DUMMYFUNCTION("""COMPUTED_VALUE"""),44408.0)</f>
        <v>44408</v>
      </c>
      <c r="G581" s="154" t="str">
        <f>IFERROR(__xludf.DUMMYFUNCTION("""COMPUTED_VALUE"""),"Manage order page (normal text)")</f>
        <v>Manage order page (normal text)</v>
      </c>
      <c r="H581" s="131">
        <f>IFERROR(__xludf.DUMMYFUNCTION("""COMPUTED_VALUE"""),27479.0)</f>
        <v>27479</v>
      </c>
      <c r="I581" s="144"/>
      <c r="J581" s="129">
        <f>IFERROR(__xludf.DUMMYFUNCTION("""COMPUTED_VALUE"""),44424.0)</f>
        <v>44424</v>
      </c>
      <c r="K581" s="133">
        <f>IFERROR(__xludf.DUMMYFUNCTION("""COMPUTED_VALUE"""),41.0)</f>
        <v>41</v>
      </c>
      <c r="L581" s="133">
        <f>IFERROR(__xludf.DUMMYFUNCTION("""COMPUTED_VALUE"""),16.0)</f>
        <v>16</v>
      </c>
      <c r="M581" s="133">
        <f>IFERROR(__xludf.DUMMYFUNCTION("""COMPUTED_VALUE"""),57.0)</f>
        <v>57</v>
      </c>
      <c r="N581" s="152" t="str">
        <f>IFERROR(__xludf.DUMMYFUNCTION("""COMPUTED_VALUE"""),"Model 3 SR+")</f>
        <v>Model 3 SR+</v>
      </c>
      <c r="O581" s="152" t="str">
        <f>IFERROR(__xludf.DUMMYFUNCTION("""COMPUTED_VALUE"""),"Deep Blue Metallic")</f>
        <v>Deep Blue Metallic</v>
      </c>
      <c r="P581" s="153" t="str">
        <f>IFERROR(__xludf.DUMMYFUNCTION("""COMPUTED_VALUE"""),"18 inch")</f>
        <v>18 inch</v>
      </c>
      <c r="Q581" s="152" t="str">
        <f>IFERROR(__xludf.DUMMYFUNCTION("""COMPUTED_VALUE"""),"All Black")</f>
        <v>All Black</v>
      </c>
      <c r="R581" s="149" t="str">
        <f>IFERROR(__xludf.DUMMYFUNCTION("""COMPUTED_VALUE"""),"Autopilot included")</f>
        <v>Autopilot included</v>
      </c>
      <c r="S581" s="149" t="str">
        <f>IFERROR(__xludf.DUMMYFUNCTION("""COMPUTED_VALUE"""),"Loan")</f>
        <v>Loan</v>
      </c>
      <c r="T581" s="145" t="str">
        <f>IFERROR(__xludf.DUMMYFUNCTION("""COMPUTED_VALUE"""),"None. Returned Model S 9/20")</f>
        <v>None. Returned Model S 9/20</v>
      </c>
      <c r="U581" s="145" t="str">
        <f>IFERROR(__xludf.DUMMYFUNCTION("""COMPUTED_VALUE"""),"Supercharger V3 support")</f>
        <v>Supercharger V3 support</v>
      </c>
      <c r="V581" s="145" t="str">
        <f>IFERROR(__xludf.DUMMYFUNCTION("""COMPUTED_VALUE"""),"HomeLink")</f>
        <v>HomeLink</v>
      </c>
      <c r="W581" s="145"/>
      <c r="X581" s="137" t="str">
        <f>IFERROR(__xludf.DUMMYFUNCTION("""COMPUTED_VALUE"""),"Excellent")</f>
        <v>Excellent</v>
      </c>
      <c r="Y581" s="138" t="str">
        <f>IFERROR(__xludf.DUMMYFUNCTION("""COMPUTED_VALUE"""),"Excellent")</f>
        <v>Excellent</v>
      </c>
      <c r="Z581" s="138" t="str">
        <f>IFERROR(__xludf.DUMMYFUNCTION("""COMPUTED_VALUE"""),"Excellent")</f>
        <v>Excellent</v>
      </c>
      <c r="AA581" s="138" t="str">
        <f>IFERROR(__xludf.DUMMYFUNCTION("""COMPUTED_VALUE"""),"Excellent")</f>
        <v>Excellent</v>
      </c>
      <c r="AB581" s="138" t="str">
        <f>IFERROR(__xludf.DUMMYFUNCTION("""COMPUTED_VALUE"""),"Excellent")</f>
        <v>Excellent</v>
      </c>
      <c r="AC581" s="139"/>
      <c r="AD581" s="139"/>
      <c r="AE581" s="139"/>
      <c r="AF581" s="140" t="str">
        <f>IFERROR(__xludf.DUMMYFUNCTION("""COMPUTED_VALUE"""),"No. I took delivery of the first car Tesla was able to deliver.")</f>
        <v>No. I took delivery of the first car Tesla was able to deliver.</v>
      </c>
      <c r="AG581" s="145"/>
      <c r="AH581" s="157">
        <f>IFERROR(__xludf.DUMMYFUNCTION("""COMPUTED_VALUE"""),44424.85935032407)</f>
        <v>44424.85935</v>
      </c>
      <c r="AI581" s="138"/>
      <c r="AJ581" s="138"/>
      <c r="AK581" s="138"/>
      <c r="AL581" s="142"/>
    </row>
    <row r="582" ht="20.25" customHeight="1">
      <c r="A582" s="155" t="str">
        <f>IFERROR(__xludf.DUMMYFUNCTION("""COMPUTED_VALUE"""),"CM3NC")</f>
        <v>CM3NC</v>
      </c>
      <c r="B582" s="149" t="str">
        <f>IFERROR(__xludf.DUMMYFUNCTION("""COMPUTED_VALUE"""),"Sanford")</f>
        <v>Sanford</v>
      </c>
      <c r="C582" s="149" t="str">
        <f>IFERROR(__xludf.DUMMYFUNCTION("""COMPUTED_VALUE"""),"NC")</f>
        <v>NC</v>
      </c>
      <c r="D582" s="149" t="str">
        <f>IFERROR(__xludf.DUMMYFUNCTION("""COMPUTED_VALUE"""),"USA")</f>
        <v>USA</v>
      </c>
      <c r="E582" s="156">
        <f>IFERROR(__xludf.DUMMYFUNCTION("""COMPUTED_VALUE"""),44366.0)</f>
        <v>44366</v>
      </c>
      <c r="F582" s="129">
        <f>IFERROR(__xludf.DUMMYFUNCTION("""COMPUTED_VALUE"""),44417.0)</f>
        <v>44417</v>
      </c>
      <c r="G582" s="154" t="str">
        <f>IFERROR(__xludf.DUMMYFUNCTION("""COMPUTED_VALUE"""),"Email")</f>
        <v>Email</v>
      </c>
      <c r="H582" s="131"/>
      <c r="I582" s="144" t="str">
        <f>IFERROR(__xludf.DUMMYFUNCTION("""COMPUTED_VALUE"""),"08/21")</f>
        <v>08/21</v>
      </c>
      <c r="J582" s="129"/>
      <c r="K582" s="133">
        <f>IFERROR(__xludf.DUMMYFUNCTION("""COMPUTED_VALUE"""),51.0)</f>
        <v>51</v>
      </c>
      <c r="L582" s="133"/>
      <c r="M582" s="133"/>
      <c r="N582" s="152" t="str">
        <f>IFERROR(__xludf.DUMMYFUNCTION("""COMPUTED_VALUE"""),"Model 3 LR AWD")</f>
        <v>Model 3 LR AWD</v>
      </c>
      <c r="O582" s="152" t="str">
        <f>IFERROR(__xludf.DUMMYFUNCTION("""COMPUTED_VALUE"""),"Midnight Silver Metallic")</f>
        <v>Midnight Silver Metallic</v>
      </c>
      <c r="P582" s="153" t="str">
        <f>IFERROR(__xludf.DUMMYFUNCTION("""COMPUTED_VALUE"""),"18 inch")</f>
        <v>18 inch</v>
      </c>
      <c r="Q582" s="152" t="str">
        <f>IFERROR(__xludf.DUMMYFUNCTION("""COMPUTED_VALUE"""),"All Black")</f>
        <v>All Black</v>
      </c>
      <c r="R582" s="149" t="str">
        <f>IFERROR(__xludf.DUMMYFUNCTION("""COMPUTED_VALUE"""),"Autopilot included")</f>
        <v>Autopilot included</v>
      </c>
      <c r="S582" s="149" t="str">
        <f>IFERROR(__xludf.DUMMYFUNCTION("""COMPUTED_VALUE"""),"Cash")</f>
        <v>Cash</v>
      </c>
      <c r="T582" s="145" t="str">
        <f>IFERROR(__xludf.DUMMYFUNCTION("""COMPUTED_VALUE"""),"Toyota Camry")</f>
        <v>Toyota Camry</v>
      </c>
      <c r="U582" s="145" t="str">
        <f>IFERROR(__xludf.DUMMYFUNCTION("""COMPUTED_VALUE"""),"Electric!")</f>
        <v>Electric!</v>
      </c>
      <c r="V582" s="145" t="str">
        <f>IFERROR(__xludf.DUMMYFUNCTION("""COMPUTED_VALUE"""),"Head-up display")</f>
        <v>Head-up display</v>
      </c>
      <c r="W582" s="145"/>
      <c r="X582" s="137"/>
      <c r="Y582" s="138"/>
      <c r="Z582" s="138"/>
      <c r="AA582" s="138"/>
      <c r="AB582" s="138"/>
      <c r="AC582" s="139"/>
      <c r="AD582" s="139"/>
      <c r="AE582" s="139"/>
      <c r="AF582" s="140"/>
      <c r="AG582" s="145"/>
      <c r="AH582" s="157">
        <f>IFERROR(__xludf.DUMMYFUNCTION("""COMPUTED_VALUE"""),44422.31303216435)</f>
        <v>44422.31303</v>
      </c>
      <c r="AI582" s="138"/>
      <c r="AJ582" s="138"/>
      <c r="AK582" s="138"/>
      <c r="AL582" s="142"/>
    </row>
    <row r="583" ht="20.25" customHeight="1">
      <c r="A583" s="155" t="str">
        <f>IFERROR(__xludf.DUMMYFUNCTION("""COMPUTED_VALUE"""),"Coach Joe")</f>
        <v>Coach Joe</v>
      </c>
      <c r="B583" s="149" t="str">
        <f>IFERROR(__xludf.DUMMYFUNCTION("""COMPUTED_VALUE"""),"Devon")</f>
        <v>Devon</v>
      </c>
      <c r="C583" s="149" t="str">
        <f>IFERROR(__xludf.DUMMYFUNCTION("""COMPUTED_VALUE"""),"PA")</f>
        <v>PA</v>
      </c>
      <c r="D583" s="149" t="str">
        <f>IFERROR(__xludf.DUMMYFUNCTION("""COMPUTED_VALUE"""),"USA")</f>
        <v>USA</v>
      </c>
      <c r="E583" s="156">
        <f>IFERROR(__xludf.DUMMYFUNCTION("""COMPUTED_VALUE"""),44366.0)</f>
        <v>44366</v>
      </c>
      <c r="F583" s="129">
        <f>IFERROR(__xludf.DUMMYFUNCTION("""COMPUTED_VALUE"""),44412.0)</f>
        <v>44412</v>
      </c>
      <c r="G583" s="154" t="str">
        <f>IFERROR(__xludf.DUMMYFUNCTION("""COMPUTED_VALUE"""),"Manage order page (normal text)")</f>
        <v>Manage order page (normal text)</v>
      </c>
      <c r="H583" s="131">
        <f>IFERROR(__xludf.DUMMYFUNCTION("""COMPUTED_VALUE"""),30775.0)</f>
        <v>30775</v>
      </c>
      <c r="I583" s="144"/>
      <c r="J583" s="129">
        <f>IFERROR(__xludf.DUMMYFUNCTION("""COMPUTED_VALUE"""),44422.0)</f>
        <v>44422</v>
      </c>
      <c r="K583" s="133">
        <f>IFERROR(__xludf.DUMMYFUNCTION("""COMPUTED_VALUE"""),46.0)</f>
        <v>46</v>
      </c>
      <c r="L583" s="133">
        <f>IFERROR(__xludf.DUMMYFUNCTION("""COMPUTED_VALUE"""),10.0)</f>
        <v>10</v>
      </c>
      <c r="M583" s="133">
        <f>IFERROR(__xludf.DUMMYFUNCTION("""COMPUTED_VALUE"""),56.0)</f>
        <v>56</v>
      </c>
      <c r="N583" s="152" t="str">
        <f>IFERROR(__xludf.DUMMYFUNCTION("""COMPUTED_VALUE"""),"Model 3 LR AWD")</f>
        <v>Model 3 LR AWD</v>
      </c>
      <c r="O583" s="152" t="str">
        <f>IFERROR(__xludf.DUMMYFUNCTION("""COMPUTED_VALUE"""),"Midnight Silver Metallic")</f>
        <v>Midnight Silver Metallic</v>
      </c>
      <c r="P583" s="153" t="str">
        <f>IFERROR(__xludf.DUMMYFUNCTION("""COMPUTED_VALUE"""),"18 inch")</f>
        <v>18 inch</v>
      </c>
      <c r="Q583" s="152" t="str">
        <f>IFERROR(__xludf.DUMMYFUNCTION("""COMPUTED_VALUE"""),"All Black")</f>
        <v>All Black</v>
      </c>
      <c r="R583" s="149" t="str">
        <f>IFERROR(__xludf.DUMMYFUNCTION("""COMPUTED_VALUE"""),"Autopilot included")</f>
        <v>Autopilot included</v>
      </c>
      <c r="S583" s="149" t="str">
        <f>IFERROR(__xludf.DUMMYFUNCTION("""COMPUTED_VALUE"""),"Lease")</f>
        <v>Lease</v>
      </c>
      <c r="T583" s="145" t="str">
        <f>IFERROR(__xludf.DUMMYFUNCTION("""COMPUTED_VALUE"""),"Honda Accord")</f>
        <v>Honda Accord</v>
      </c>
      <c r="U583" s="145" t="str">
        <f>IFERROR(__xludf.DUMMYFUNCTION("""COMPUTED_VALUE"""),"Electric!")</f>
        <v>Electric!</v>
      </c>
      <c r="V583" s="145" t="str">
        <f>IFERROR(__xludf.DUMMYFUNCTION("""COMPUTED_VALUE"""),"Head-up display")</f>
        <v>Head-up display</v>
      </c>
      <c r="W583" s="145"/>
      <c r="X583" s="137" t="str">
        <f>IFERROR(__xludf.DUMMYFUNCTION("""COMPUTED_VALUE"""),"Excellent")</f>
        <v>Excellent</v>
      </c>
      <c r="Y583" s="138" t="str">
        <f>IFERROR(__xludf.DUMMYFUNCTION("""COMPUTED_VALUE"""),"Excellent")</f>
        <v>Excellent</v>
      </c>
      <c r="Z583" s="138" t="str">
        <f>IFERROR(__xludf.DUMMYFUNCTION("""COMPUTED_VALUE"""),"Excellent")</f>
        <v>Excellent</v>
      </c>
      <c r="AA583" s="138" t="str">
        <f>IFERROR(__xludf.DUMMYFUNCTION("""COMPUTED_VALUE"""),"Good")</f>
        <v>Good</v>
      </c>
      <c r="AB583" s="138" t="str">
        <f>IFERROR(__xludf.DUMMYFUNCTION("""COMPUTED_VALUE"""),"Very Good")</f>
        <v>Very Good</v>
      </c>
      <c r="AC583" s="139"/>
      <c r="AD583" s="139"/>
      <c r="AE583" s="139"/>
      <c r="AF583" s="140" t="str">
        <f>IFERROR(__xludf.DUMMYFUNCTION("""COMPUTED_VALUE"""),"No. I took delivery of the first car Tesla was able to deliver.")</f>
        <v>No. I took delivery of the first car Tesla was able to deliver.</v>
      </c>
      <c r="AG583" s="145"/>
      <c r="AH583" s="157">
        <f>IFERROR(__xludf.DUMMYFUNCTION("""COMPUTED_VALUE"""),44428.40016009259)</f>
        <v>44428.40016</v>
      </c>
      <c r="AI583" s="138"/>
      <c r="AJ583" s="138"/>
      <c r="AK583" s="138"/>
      <c r="AL583" s="142"/>
    </row>
    <row r="584" ht="20.25" customHeight="1">
      <c r="A584" s="155" t="str">
        <f>IFERROR(__xludf.DUMMYFUNCTION("""COMPUTED_VALUE"""),"ExcitedYYC")</f>
        <v>ExcitedYYC</v>
      </c>
      <c r="B584" s="149" t="str">
        <f>IFERROR(__xludf.DUMMYFUNCTION("""COMPUTED_VALUE"""),"Calgary")</f>
        <v>Calgary</v>
      </c>
      <c r="C584" s="149" t="str">
        <f>IFERROR(__xludf.DUMMYFUNCTION("""COMPUTED_VALUE"""),"AB")</f>
        <v>AB</v>
      </c>
      <c r="D584" s="149" t="str">
        <f>IFERROR(__xludf.DUMMYFUNCTION("""COMPUTED_VALUE"""),"Canada")</f>
        <v>Canada</v>
      </c>
      <c r="E584" s="156">
        <f>IFERROR(__xludf.DUMMYFUNCTION("""COMPUTED_VALUE"""),44366.0)</f>
        <v>44366</v>
      </c>
      <c r="F584" s="129">
        <f>IFERROR(__xludf.DUMMYFUNCTION("""COMPUTED_VALUE"""),44431.0)</f>
        <v>44431</v>
      </c>
      <c r="G584" s="154" t="str">
        <f>IFERROR(__xludf.DUMMYFUNCTION("""COMPUTED_VALUE"""),"Email")</f>
        <v>Email</v>
      </c>
      <c r="H584" s="131"/>
      <c r="I584" s="144" t="str">
        <f>IFERROR(__xludf.DUMMYFUNCTION("""COMPUTED_VALUE"""),"08/21")</f>
        <v>08/21</v>
      </c>
      <c r="J584" s="129">
        <f>IFERROR(__xludf.DUMMYFUNCTION("""COMPUTED_VALUE"""),44442.0)</f>
        <v>44442</v>
      </c>
      <c r="K584" s="133">
        <f>IFERROR(__xludf.DUMMYFUNCTION("""COMPUTED_VALUE"""),65.0)</f>
        <v>65</v>
      </c>
      <c r="L584" s="133">
        <f>IFERROR(__xludf.DUMMYFUNCTION("""COMPUTED_VALUE"""),11.0)</f>
        <v>11</v>
      </c>
      <c r="M584" s="133">
        <f>IFERROR(__xludf.DUMMYFUNCTION("""COMPUTED_VALUE"""),76.0)</f>
        <v>76</v>
      </c>
      <c r="N584" s="152" t="str">
        <f>IFERROR(__xludf.DUMMYFUNCTION("""COMPUTED_VALUE"""),"Model 3 SR+")</f>
        <v>Model 3 SR+</v>
      </c>
      <c r="O584" s="152" t="str">
        <f>IFERROR(__xludf.DUMMYFUNCTION("""COMPUTED_VALUE"""),"Pearl White Multi-Coat")</f>
        <v>Pearl White Multi-Coat</v>
      </c>
      <c r="P584" s="153" t="str">
        <f>IFERROR(__xludf.DUMMYFUNCTION("""COMPUTED_VALUE"""),"18 inch")</f>
        <v>18 inch</v>
      </c>
      <c r="Q584" s="152" t="str">
        <f>IFERROR(__xludf.DUMMYFUNCTION("""COMPUTED_VALUE"""),"Black and White")</f>
        <v>Black and White</v>
      </c>
      <c r="R584" s="149" t="str">
        <f>IFERROR(__xludf.DUMMYFUNCTION("""COMPUTED_VALUE"""),"Autopilot included")</f>
        <v>Autopilot included</v>
      </c>
      <c r="S584" s="149" t="str">
        <f>IFERROR(__xludf.DUMMYFUNCTION("""COMPUTED_VALUE"""),"Loan")</f>
        <v>Loan</v>
      </c>
      <c r="T584" s="145" t="str">
        <f>IFERROR(__xludf.DUMMYFUNCTION("""COMPUTED_VALUE"""),"Ford Escape")</f>
        <v>Ford Escape</v>
      </c>
      <c r="U584" s="145" t="str">
        <f>IFERROR(__xludf.DUMMYFUNCTION("""COMPUTED_VALUE"""),"Electric!")</f>
        <v>Electric!</v>
      </c>
      <c r="V584" s="145" t="str">
        <f>IFERROR(__xludf.DUMMYFUNCTION("""COMPUTED_VALUE"""),"Heated steering wheel")</f>
        <v>Heated steering wheel</v>
      </c>
      <c r="W584" s="145"/>
      <c r="X584" s="137" t="str">
        <f>IFERROR(__xludf.DUMMYFUNCTION("""COMPUTED_VALUE"""),"Excellent")</f>
        <v>Excellent</v>
      </c>
      <c r="Y584" s="138" t="str">
        <f>IFERROR(__xludf.DUMMYFUNCTION("""COMPUTED_VALUE"""),"Excellent")</f>
        <v>Excellent</v>
      </c>
      <c r="Z584" s="138" t="str">
        <f>IFERROR(__xludf.DUMMYFUNCTION("""COMPUTED_VALUE"""),"Excellent")</f>
        <v>Excellent</v>
      </c>
      <c r="AA584" s="138" t="str">
        <f>IFERROR(__xludf.DUMMYFUNCTION("""COMPUTED_VALUE"""),"Excellent")</f>
        <v>Excellent</v>
      </c>
      <c r="AB584" s="138" t="str">
        <f>IFERROR(__xludf.DUMMYFUNCTION("""COMPUTED_VALUE"""),"Excellent")</f>
        <v>Excellent</v>
      </c>
      <c r="AC584" s="139">
        <f>IFERROR(__xludf.DUMMYFUNCTION("""COMPUTED_VALUE"""),0.0)</f>
        <v>0</v>
      </c>
      <c r="AD584" s="139"/>
      <c r="AE584" s="139"/>
      <c r="AF584" s="140" t="str">
        <f>IFERROR(__xludf.DUMMYFUNCTION("""COMPUTED_VALUE"""),"No. I took delivery of the first car Tesla was able to deliver.")</f>
        <v>No. I took delivery of the first car Tesla was able to deliver.</v>
      </c>
      <c r="AG584" s="145"/>
      <c r="AH584" s="157">
        <f>IFERROR(__xludf.DUMMYFUNCTION("""COMPUTED_VALUE"""),44444.90855630787)</f>
        <v>44444.90856</v>
      </c>
      <c r="AI584" s="138"/>
      <c r="AJ584" s="138"/>
      <c r="AK584" s="138"/>
      <c r="AL584" s="142"/>
    </row>
    <row r="585" ht="20.25" customHeight="1">
      <c r="A585" s="155" t="str">
        <f>IFERROR(__xludf.DUMMYFUNCTION("""COMPUTED_VALUE"""),"Huell")</f>
        <v>Huell</v>
      </c>
      <c r="B585" s="149" t="str">
        <f>IFERROR(__xludf.DUMMYFUNCTION("""COMPUTED_VALUE"""),"Chicago")</f>
        <v>Chicago</v>
      </c>
      <c r="C585" s="149" t="str">
        <f>IFERROR(__xludf.DUMMYFUNCTION("""COMPUTED_VALUE"""),"IL")</f>
        <v>IL</v>
      </c>
      <c r="D585" s="149" t="str">
        <f>IFERROR(__xludf.DUMMYFUNCTION("""COMPUTED_VALUE"""),"USA")</f>
        <v>USA</v>
      </c>
      <c r="E585" s="156">
        <f>IFERROR(__xludf.DUMMYFUNCTION("""COMPUTED_VALUE"""),44366.0)</f>
        <v>44366</v>
      </c>
      <c r="F585" s="129">
        <f>IFERROR(__xludf.DUMMYFUNCTION("""COMPUTED_VALUE"""),44398.0)</f>
        <v>44398</v>
      </c>
      <c r="G585" s="154" t="str">
        <f>IFERROR(__xludf.DUMMYFUNCTION("""COMPUTED_VALUE"""),"Manage order page (normal text)")</f>
        <v>Manage order page (normal text)</v>
      </c>
      <c r="H585" s="131"/>
      <c r="I585" s="144" t="str">
        <f>IFERROR(__xludf.DUMMYFUNCTION("""COMPUTED_VALUE"""),"06/21")</f>
        <v>06/21</v>
      </c>
      <c r="J585" s="129">
        <f>IFERROR(__xludf.DUMMYFUNCTION("""COMPUTED_VALUE"""),44405.0)</f>
        <v>44405</v>
      </c>
      <c r="K585" s="133">
        <f>IFERROR(__xludf.DUMMYFUNCTION("""COMPUTED_VALUE"""),32.0)</f>
        <v>32</v>
      </c>
      <c r="L585" s="133">
        <f>IFERROR(__xludf.DUMMYFUNCTION("""COMPUTED_VALUE"""),7.0)</f>
        <v>7</v>
      </c>
      <c r="M585" s="133">
        <f>IFERROR(__xludf.DUMMYFUNCTION("""COMPUTED_VALUE"""),39.0)</f>
        <v>39</v>
      </c>
      <c r="N585" s="152" t="str">
        <f>IFERROR(__xludf.DUMMYFUNCTION("""COMPUTED_VALUE"""),"Model 3 LR AWD")</f>
        <v>Model 3 LR AWD</v>
      </c>
      <c r="O585" s="152" t="str">
        <f>IFERROR(__xludf.DUMMYFUNCTION("""COMPUTED_VALUE"""),"Midnight Silver Metallic")</f>
        <v>Midnight Silver Metallic</v>
      </c>
      <c r="P585" s="153" t="str">
        <f>IFERROR(__xludf.DUMMYFUNCTION("""COMPUTED_VALUE"""),"18 inch")</f>
        <v>18 inch</v>
      </c>
      <c r="Q585" s="152" t="str">
        <f>IFERROR(__xludf.DUMMYFUNCTION("""COMPUTED_VALUE"""),"All Black")</f>
        <v>All Black</v>
      </c>
      <c r="R585" s="149" t="str">
        <f>IFERROR(__xludf.DUMMYFUNCTION("""COMPUTED_VALUE"""),"Autopilot included")</f>
        <v>Autopilot included</v>
      </c>
      <c r="S585" s="149" t="str">
        <f>IFERROR(__xludf.DUMMYFUNCTION("""COMPUTED_VALUE"""),"Loan")</f>
        <v>Loan</v>
      </c>
      <c r="T585" s="145" t="str">
        <f>IFERROR(__xludf.DUMMYFUNCTION("""COMPUTED_VALUE"""),"Jeep Grand Cherokee")</f>
        <v>Jeep Grand Cherokee</v>
      </c>
      <c r="U585" s="145"/>
      <c r="V585" s="145"/>
      <c r="W585" s="145"/>
      <c r="X585" s="137" t="str">
        <f>IFERROR(__xludf.DUMMYFUNCTION("""COMPUTED_VALUE"""),"Excellent")</f>
        <v>Excellent</v>
      </c>
      <c r="Y585" s="138" t="str">
        <f>IFERROR(__xludf.DUMMYFUNCTION("""COMPUTED_VALUE"""),"Excellent")</f>
        <v>Excellent</v>
      </c>
      <c r="Z585" s="138" t="str">
        <f>IFERROR(__xludf.DUMMYFUNCTION("""COMPUTED_VALUE"""),"Excellent")</f>
        <v>Excellent</v>
      </c>
      <c r="AA585" s="138" t="str">
        <f>IFERROR(__xludf.DUMMYFUNCTION("""COMPUTED_VALUE"""),"Very Good")</f>
        <v>Very Good</v>
      </c>
      <c r="AB585" s="138" t="str">
        <f>IFERROR(__xludf.DUMMYFUNCTION("""COMPUTED_VALUE"""),"Excellent")</f>
        <v>Excellent</v>
      </c>
      <c r="AC585" s="139">
        <f>IFERROR(__xludf.DUMMYFUNCTION("""COMPUTED_VALUE"""),0.0)</f>
        <v>0</v>
      </c>
      <c r="AD585" s="139"/>
      <c r="AE585" s="139"/>
      <c r="AF585" s="140" t="str">
        <f>IFERROR(__xludf.DUMMYFUNCTION("""COMPUTED_VALUE"""),"No. I took delivery of the first car Tesla was able to deliver.")</f>
        <v>No. I took delivery of the first car Tesla was able to deliver.</v>
      </c>
      <c r="AG585" s="145"/>
      <c r="AH585" s="157">
        <f>IFERROR(__xludf.DUMMYFUNCTION("""COMPUTED_VALUE"""),44406.06757009259)</f>
        <v>44406.06757</v>
      </c>
      <c r="AI585" s="138"/>
      <c r="AJ585" s="138"/>
      <c r="AK585" s="138"/>
      <c r="AL585" s="142"/>
    </row>
    <row r="586" ht="20.25" customHeight="1">
      <c r="A586" s="155" t="str">
        <f>IFERROR(__xludf.DUMMYFUNCTION("""COMPUTED_VALUE"""),"jomama")</f>
        <v>jomama</v>
      </c>
      <c r="B586" s="149" t="str">
        <f>IFERROR(__xludf.DUMMYFUNCTION("""COMPUTED_VALUE"""),"Boston")</f>
        <v>Boston</v>
      </c>
      <c r="C586" s="149" t="str">
        <f>IFERROR(__xludf.DUMMYFUNCTION("""COMPUTED_VALUE"""),"MA")</f>
        <v>MA</v>
      </c>
      <c r="D586" s="149" t="str">
        <f>IFERROR(__xludf.DUMMYFUNCTION("""COMPUTED_VALUE"""),"USA")</f>
        <v>USA</v>
      </c>
      <c r="E586" s="156">
        <f>IFERROR(__xludf.DUMMYFUNCTION("""COMPUTED_VALUE"""),44366.0)</f>
        <v>44366</v>
      </c>
      <c r="F586" s="129">
        <f>IFERROR(__xludf.DUMMYFUNCTION("""COMPUTED_VALUE"""),44406.0)</f>
        <v>44406</v>
      </c>
      <c r="G586" s="154" t="str">
        <f>IFERROR(__xludf.DUMMYFUNCTION("""COMPUTED_VALUE"""),"Manage order page (normal text)")</f>
        <v>Manage order page (normal text)</v>
      </c>
      <c r="H586" s="131">
        <f>IFERROR(__xludf.DUMMYFUNCTION("""COMPUTED_VALUE"""),21755.0)</f>
        <v>21755</v>
      </c>
      <c r="I586" s="144"/>
      <c r="J586" s="129">
        <f>IFERROR(__xludf.DUMMYFUNCTION("""COMPUTED_VALUE"""),44421.0)</f>
        <v>44421</v>
      </c>
      <c r="K586" s="133">
        <f>IFERROR(__xludf.DUMMYFUNCTION("""COMPUTED_VALUE"""),40.0)</f>
        <v>40</v>
      </c>
      <c r="L586" s="133">
        <f>IFERROR(__xludf.DUMMYFUNCTION("""COMPUTED_VALUE"""),15.0)</f>
        <v>15</v>
      </c>
      <c r="M586" s="133">
        <f>IFERROR(__xludf.DUMMYFUNCTION("""COMPUTED_VALUE"""),55.0)</f>
        <v>55</v>
      </c>
      <c r="N586" s="152" t="str">
        <f>IFERROR(__xludf.DUMMYFUNCTION("""COMPUTED_VALUE"""),"Model 3 SR+")</f>
        <v>Model 3 SR+</v>
      </c>
      <c r="O586" s="152" t="str">
        <f>IFERROR(__xludf.DUMMYFUNCTION("""COMPUTED_VALUE"""),"Pearl White Multi-Coat")</f>
        <v>Pearl White Multi-Coat</v>
      </c>
      <c r="P586" s="153" t="str">
        <f>IFERROR(__xludf.DUMMYFUNCTION("""COMPUTED_VALUE"""),"18 inch")</f>
        <v>18 inch</v>
      </c>
      <c r="Q586" s="152" t="str">
        <f>IFERROR(__xludf.DUMMYFUNCTION("""COMPUTED_VALUE"""),"All Black")</f>
        <v>All Black</v>
      </c>
      <c r="R586" s="149" t="str">
        <f>IFERROR(__xludf.DUMMYFUNCTION("""COMPUTED_VALUE"""),"Autopilot included")</f>
        <v>Autopilot included</v>
      </c>
      <c r="S586" s="149" t="str">
        <f>IFERROR(__xludf.DUMMYFUNCTION("""COMPUTED_VALUE"""),"Loan")</f>
        <v>Loan</v>
      </c>
      <c r="T586" s="145" t="str">
        <f>IFERROR(__xludf.DUMMYFUNCTION("""COMPUTED_VALUE"""),"Chevy Bolt")</f>
        <v>Chevy Bolt</v>
      </c>
      <c r="U586" s="145" t="str">
        <f>IFERROR(__xludf.DUMMYFUNCTION("""COMPUTED_VALUE"""),"Supercharger V3 support")</f>
        <v>Supercharger V3 support</v>
      </c>
      <c r="V586" s="145" t="str">
        <f>IFERROR(__xludf.DUMMYFUNCTION("""COMPUTED_VALUE"""),"Head-up display")</f>
        <v>Head-up display</v>
      </c>
      <c r="W586" s="145"/>
      <c r="X586" s="137" t="str">
        <f>IFERROR(__xludf.DUMMYFUNCTION("""COMPUTED_VALUE"""),"Excellent")</f>
        <v>Excellent</v>
      </c>
      <c r="Y586" s="138" t="str">
        <f>IFERROR(__xludf.DUMMYFUNCTION("""COMPUTED_VALUE"""),"Excellent")</f>
        <v>Excellent</v>
      </c>
      <c r="Z586" s="138" t="str">
        <f>IFERROR(__xludf.DUMMYFUNCTION("""COMPUTED_VALUE"""),"Excellent")</f>
        <v>Excellent</v>
      </c>
      <c r="AA586" s="138" t="str">
        <f>IFERROR(__xludf.DUMMYFUNCTION("""COMPUTED_VALUE"""),"Excellent")</f>
        <v>Excellent</v>
      </c>
      <c r="AB586" s="138" t="str">
        <f>IFERROR(__xludf.DUMMYFUNCTION("""COMPUTED_VALUE"""),"Excellent")</f>
        <v>Excellent</v>
      </c>
      <c r="AC586" s="139">
        <f>IFERROR(__xludf.DUMMYFUNCTION("""COMPUTED_VALUE"""),0.0)</f>
        <v>0</v>
      </c>
      <c r="AD586" s="139">
        <f>IFERROR(__xludf.DUMMYFUNCTION("""COMPUTED_VALUE"""),0.0)</f>
        <v>0</v>
      </c>
      <c r="AE586" s="139">
        <f>IFERROR(__xludf.DUMMYFUNCTION("""COMPUTED_VALUE"""),0.0)</f>
        <v>0</v>
      </c>
      <c r="AF586" s="140" t="str">
        <f>IFERROR(__xludf.DUMMYFUNCTION("""COMPUTED_VALUE"""),"No. I took delivery of the first car Tesla was able to deliver.")</f>
        <v>No. I took delivery of the first car Tesla was able to deliver.</v>
      </c>
      <c r="AG586" s="145"/>
      <c r="AH586" s="157">
        <f>IFERROR(__xludf.DUMMYFUNCTION("""COMPUTED_VALUE"""),44421.5424396875)</f>
        <v>44421.54244</v>
      </c>
      <c r="AI586" s="138"/>
      <c r="AJ586" s="138"/>
      <c r="AK586" s="138"/>
      <c r="AL586" s="142"/>
    </row>
    <row r="587" ht="20.25" customHeight="1">
      <c r="A587" s="155" t="str">
        <f>IFERROR(__xludf.DUMMYFUNCTION("""COMPUTED_VALUE"""),"MetroCapo")</f>
        <v>MetroCapo</v>
      </c>
      <c r="B587" s="149" t="str">
        <f>IFERROR(__xludf.DUMMYFUNCTION("""COMPUTED_VALUE"""),"Hawthorne")</f>
        <v>Hawthorne</v>
      </c>
      <c r="C587" s="149" t="str">
        <f>IFERROR(__xludf.DUMMYFUNCTION("""COMPUTED_VALUE"""),"NJ")</f>
        <v>NJ</v>
      </c>
      <c r="D587" s="149" t="str">
        <f>IFERROR(__xludf.DUMMYFUNCTION("""COMPUTED_VALUE"""),"USA")</f>
        <v>USA</v>
      </c>
      <c r="E587" s="156">
        <f>IFERROR(__xludf.DUMMYFUNCTION("""COMPUTED_VALUE"""),44366.0)</f>
        <v>44366</v>
      </c>
      <c r="F587" s="129">
        <f>IFERROR(__xludf.DUMMYFUNCTION("""COMPUTED_VALUE"""),44418.0)</f>
        <v>44418</v>
      </c>
      <c r="G587" s="154" t="str">
        <f>IFERROR(__xludf.DUMMYFUNCTION("""COMPUTED_VALUE"""),"Manage order page (normal text)")</f>
        <v>Manage order page (normal text)</v>
      </c>
      <c r="H587" s="131">
        <f>IFERROR(__xludf.DUMMYFUNCTION("""COMPUTED_VALUE"""),33155.0)</f>
        <v>33155</v>
      </c>
      <c r="I587" s="144" t="str">
        <f>IFERROR(__xludf.DUMMYFUNCTION("""COMPUTED_VALUE"""),"08/21")</f>
        <v>08/21</v>
      </c>
      <c r="J587" s="129">
        <f>IFERROR(__xludf.DUMMYFUNCTION("""COMPUTED_VALUE"""),44433.0)</f>
        <v>44433</v>
      </c>
      <c r="K587" s="133">
        <f>IFERROR(__xludf.DUMMYFUNCTION("""COMPUTED_VALUE"""),52.0)</f>
        <v>52</v>
      </c>
      <c r="L587" s="133">
        <f>IFERROR(__xludf.DUMMYFUNCTION("""COMPUTED_VALUE"""),15.0)</f>
        <v>15</v>
      </c>
      <c r="M587" s="133">
        <f>IFERROR(__xludf.DUMMYFUNCTION("""COMPUTED_VALUE"""),67.0)</f>
        <v>67</v>
      </c>
      <c r="N587" s="152" t="str">
        <f>IFERROR(__xludf.DUMMYFUNCTION("""COMPUTED_VALUE"""),"Model 3 LR AWD")</f>
        <v>Model 3 LR AWD</v>
      </c>
      <c r="O587" s="152" t="str">
        <f>IFERROR(__xludf.DUMMYFUNCTION("""COMPUTED_VALUE"""),"Pearl White Multi-Coat")</f>
        <v>Pearl White Multi-Coat</v>
      </c>
      <c r="P587" s="153" t="str">
        <f>IFERROR(__xludf.DUMMYFUNCTION("""COMPUTED_VALUE"""),"18 inch")</f>
        <v>18 inch</v>
      </c>
      <c r="Q587" s="152" t="str">
        <f>IFERROR(__xludf.DUMMYFUNCTION("""COMPUTED_VALUE"""),"All Black")</f>
        <v>All Black</v>
      </c>
      <c r="R587" s="149" t="str">
        <f>IFERROR(__xludf.DUMMYFUNCTION("""COMPUTED_VALUE"""),"Autopilot included")</f>
        <v>Autopilot included</v>
      </c>
      <c r="S587" s="149" t="str">
        <f>IFERROR(__xludf.DUMMYFUNCTION("""COMPUTED_VALUE"""),"Cash")</f>
        <v>Cash</v>
      </c>
      <c r="T587" s="145" t="str">
        <f>IFERROR(__xludf.DUMMYFUNCTION("""COMPUTED_VALUE"""),"Dodge Dart")</f>
        <v>Dodge Dart</v>
      </c>
      <c r="U587" s="145" t="str">
        <f>IFERROR(__xludf.DUMMYFUNCTION("""COMPUTED_VALUE"""),"Electric!")</f>
        <v>Electric!</v>
      </c>
      <c r="V587" s="145" t="str">
        <f>IFERROR(__xludf.DUMMYFUNCTION("""COMPUTED_VALUE"""),"Ventilated seats")</f>
        <v>Ventilated seats</v>
      </c>
      <c r="W587" s="145"/>
      <c r="X587" s="137" t="str">
        <f>IFERROR(__xludf.DUMMYFUNCTION("""COMPUTED_VALUE"""),"Excellent")</f>
        <v>Excellent</v>
      </c>
      <c r="Y587" s="138" t="str">
        <f>IFERROR(__xludf.DUMMYFUNCTION("""COMPUTED_VALUE"""),"Excellent")</f>
        <v>Excellent</v>
      </c>
      <c r="Z587" s="138" t="str">
        <f>IFERROR(__xludf.DUMMYFUNCTION("""COMPUTED_VALUE"""),"Excellent")</f>
        <v>Excellent</v>
      </c>
      <c r="AA587" s="138" t="str">
        <f>IFERROR(__xludf.DUMMYFUNCTION("""COMPUTED_VALUE"""),"Excellent")</f>
        <v>Excellent</v>
      </c>
      <c r="AB587" s="138" t="str">
        <f>IFERROR(__xludf.DUMMYFUNCTION("""COMPUTED_VALUE"""),"Excellent")</f>
        <v>Excellent</v>
      </c>
      <c r="AC587" s="139">
        <f>IFERROR(__xludf.DUMMYFUNCTION("""COMPUTED_VALUE"""),0.0)</f>
        <v>0</v>
      </c>
      <c r="AD587" s="139"/>
      <c r="AE587" s="139"/>
      <c r="AF587" s="140" t="str">
        <f>IFERROR(__xludf.DUMMYFUNCTION("""COMPUTED_VALUE"""),"No. I took delivery of the first car Tesla was able to deliver.")</f>
        <v>No. I took delivery of the first car Tesla was able to deliver.</v>
      </c>
      <c r="AG587" s="145"/>
      <c r="AH587" s="157">
        <f>IFERROR(__xludf.DUMMYFUNCTION("""COMPUTED_VALUE"""),44433.617295856486)</f>
        <v>44433.6173</v>
      </c>
      <c r="AI587" s="138"/>
      <c r="AJ587" s="138"/>
      <c r="AK587" s="138"/>
      <c r="AL587" s="142"/>
    </row>
    <row r="588" ht="20.25" customHeight="1">
      <c r="A588" s="155" t="str">
        <f>IFERROR(__xludf.DUMMYFUNCTION("""COMPUTED_VALUE"""),"shraavanthp")</f>
        <v>shraavanthp</v>
      </c>
      <c r="B588" s="149" t="str">
        <f>IFERROR(__xludf.DUMMYFUNCTION("""COMPUTED_VALUE"""),"San Jose")</f>
        <v>San Jose</v>
      </c>
      <c r="C588" s="149" t="str">
        <f>IFERROR(__xludf.DUMMYFUNCTION("""COMPUTED_VALUE"""),"CA")</f>
        <v>CA</v>
      </c>
      <c r="D588" s="149" t="str">
        <f>IFERROR(__xludf.DUMMYFUNCTION("""COMPUTED_VALUE"""),"USA")</f>
        <v>USA</v>
      </c>
      <c r="E588" s="156">
        <f>IFERROR(__xludf.DUMMYFUNCTION("""COMPUTED_VALUE"""),44366.0)</f>
        <v>44366</v>
      </c>
      <c r="F588" s="129">
        <f>IFERROR(__xludf.DUMMYFUNCTION("""COMPUTED_VALUE"""),44409.0)</f>
        <v>44409</v>
      </c>
      <c r="G588" s="154" t="str">
        <f>IFERROR(__xludf.DUMMYFUNCTION("""COMPUTED_VALUE"""),"Manage order page (normal text)")</f>
        <v>Manage order page (normal text)</v>
      </c>
      <c r="H588" s="131">
        <f>IFERROR(__xludf.DUMMYFUNCTION("""COMPUTED_VALUE"""),31155.0)</f>
        <v>31155</v>
      </c>
      <c r="I588" s="144"/>
      <c r="J588" s="129">
        <f>IFERROR(__xludf.DUMMYFUNCTION("""COMPUTED_VALUE"""),44413.0)</f>
        <v>44413</v>
      </c>
      <c r="K588" s="133">
        <f>IFERROR(__xludf.DUMMYFUNCTION("""COMPUTED_VALUE"""),43.0)</f>
        <v>43</v>
      </c>
      <c r="L588" s="133">
        <f>IFERROR(__xludf.DUMMYFUNCTION("""COMPUTED_VALUE"""),4.0)</f>
        <v>4</v>
      </c>
      <c r="M588" s="133">
        <f>IFERROR(__xludf.DUMMYFUNCTION("""COMPUTED_VALUE"""),47.0)</f>
        <v>47</v>
      </c>
      <c r="N588" s="152" t="str">
        <f>IFERROR(__xludf.DUMMYFUNCTION("""COMPUTED_VALUE"""),"Model 3 SR+")</f>
        <v>Model 3 SR+</v>
      </c>
      <c r="O588" s="152" t="str">
        <f>IFERROR(__xludf.DUMMYFUNCTION("""COMPUTED_VALUE"""),"Red Multi-Coat")</f>
        <v>Red Multi-Coat</v>
      </c>
      <c r="P588" s="153" t="str">
        <f>IFERROR(__xludf.DUMMYFUNCTION("""COMPUTED_VALUE"""),"19 inch")</f>
        <v>19 inch</v>
      </c>
      <c r="Q588" s="152" t="str">
        <f>IFERROR(__xludf.DUMMYFUNCTION("""COMPUTED_VALUE"""),"All Black")</f>
        <v>All Black</v>
      </c>
      <c r="R588" s="149" t="str">
        <f>IFERROR(__xludf.DUMMYFUNCTION("""COMPUTED_VALUE"""),"Autopilot included")</f>
        <v>Autopilot included</v>
      </c>
      <c r="S588" s="149" t="str">
        <f>IFERROR(__xludf.DUMMYFUNCTION("""COMPUTED_VALUE"""),"Loan")</f>
        <v>Loan</v>
      </c>
      <c r="T588" s="145" t="str">
        <f>IFERROR(__xludf.DUMMYFUNCTION("""COMPUTED_VALUE"""),"Audi A3")</f>
        <v>Audi A3</v>
      </c>
      <c r="U588" s="145" t="str">
        <f>IFERROR(__xludf.DUMMYFUNCTION("""COMPUTED_VALUE"""),"Electric!")</f>
        <v>Electric!</v>
      </c>
      <c r="V588" s="145"/>
      <c r="W588" s="145"/>
      <c r="X588" s="137"/>
      <c r="Y588" s="138"/>
      <c r="Z588" s="138"/>
      <c r="AA588" s="138"/>
      <c r="AB588" s="138"/>
      <c r="AC588" s="139"/>
      <c r="AD588" s="139"/>
      <c r="AE588" s="139"/>
      <c r="AF588" s="140"/>
      <c r="AG588" s="145"/>
      <c r="AH588" s="157">
        <f>IFERROR(__xludf.DUMMYFUNCTION("""COMPUTED_VALUE"""),44417.57944142361)</f>
        <v>44417.57944</v>
      </c>
      <c r="AI588" s="138"/>
      <c r="AJ588" s="138"/>
      <c r="AK588" s="138"/>
      <c r="AL588" s="142"/>
    </row>
    <row r="589" ht="20.25" customHeight="1">
      <c r="A589" s="155" t="str">
        <f>IFERROR(__xludf.DUMMYFUNCTION("""COMPUTED_VALUE"""),"bsdcarlsbad")</f>
        <v>bsdcarlsbad</v>
      </c>
      <c r="B589" s="149" t="str">
        <f>IFERROR(__xludf.DUMMYFUNCTION("""COMPUTED_VALUE"""),"San Marcos")</f>
        <v>San Marcos</v>
      </c>
      <c r="C589" s="149" t="str">
        <f>IFERROR(__xludf.DUMMYFUNCTION("""COMPUTED_VALUE"""),"CA")</f>
        <v>CA</v>
      </c>
      <c r="D589" s="149" t="str">
        <f>IFERROR(__xludf.DUMMYFUNCTION("""COMPUTED_VALUE"""),"USA")</f>
        <v>USA</v>
      </c>
      <c r="E589" s="156">
        <f>IFERROR(__xludf.DUMMYFUNCTION("""COMPUTED_VALUE"""),44365.0)</f>
        <v>44365</v>
      </c>
      <c r="F589" s="129">
        <f>IFERROR(__xludf.DUMMYFUNCTION("""COMPUTED_VALUE"""),44457.0)</f>
        <v>44457</v>
      </c>
      <c r="G589" s="154" t="str">
        <f>IFERROR(__xludf.DUMMYFUNCTION("""COMPUTED_VALUE"""),"Text message")</f>
        <v>Text message</v>
      </c>
      <c r="H589" s="131"/>
      <c r="I589" s="144"/>
      <c r="J589" s="129">
        <f>IFERROR(__xludf.DUMMYFUNCTION("""COMPUTED_VALUE"""),44457.0)</f>
        <v>44457</v>
      </c>
      <c r="K589" s="133">
        <f>IFERROR(__xludf.DUMMYFUNCTION("""COMPUTED_VALUE"""),92.0)</f>
        <v>92</v>
      </c>
      <c r="L589" s="133">
        <f>IFERROR(__xludf.DUMMYFUNCTION("""COMPUTED_VALUE"""),0.0)</f>
        <v>0</v>
      </c>
      <c r="M589" s="133">
        <f>IFERROR(__xludf.DUMMYFUNCTION("""COMPUTED_VALUE"""),92.0)</f>
        <v>92</v>
      </c>
      <c r="N589" s="152" t="str">
        <f>IFERROR(__xludf.DUMMYFUNCTION("""COMPUTED_VALUE"""),"Model 3 SR+")</f>
        <v>Model 3 SR+</v>
      </c>
      <c r="O589" s="152" t="str">
        <f>IFERROR(__xludf.DUMMYFUNCTION("""COMPUTED_VALUE"""),"Pearl White Multi-Coat")</f>
        <v>Pearl White Multi-Coat</v>
      </c>
      <c r="P589" s="153" t="str">
        <f>IFERROR(__xludf.DUMMYFUNCTION("""COMPUTED_VALUE"""),"18 inch")</f>
        <v>18 inch</v>
      </c>
      <c r="Q589" s="152" t="str">
        <f>IFERROR(__xludf.DUMMYFUNCTION("""COMPUTED_VALUE"""),"All Black")</f>
        <v>All Black</v>
      </c>
      <c r="R589" s="149"/>
      <c r="S589" s="149" t="str">
        <f>IFERROR(__xludf.DUMMYFUNCTION("""COMPUTED_VALUE"""),"Loan")</f>
        <v>Loan</v>
      </c>
      <c r="T589" s="145" t="str">
        <f>IFERROR(__xludf.DUMMYFUNCTION("""COMPUTED_VALUE"""),"Toyota Prius")</f>
        <v>Toyota Prius</v>
      </c>
      <c r="U589" s="145" t="str">
        <f>IFERROR(__xludf.DUMMYFUNCTION("""COMPUTED_VALUE"""),"Electric!")</f>
        <v>Electric!</v>
      </c>
      <c r="V589" s="145" t="str">
        <f>IFERROR(__xludf.DUMMYFUNCTION("""COMPUTED_VALUE"""),"Heated steering wheel")</f>
        <v>Heated steering wheel</v>
      </c>
      <c r="W589" s="145" t="str">
        <f>IFERROR(__xludf.DUMMYFUNCTION("""COMPUTED_VALUE"""),"To get 1K in free supercharge miles, find a referral link online or from a friend before purchasing.")</f>
        <v>To get 1K in free supercharge miles, find a referral link online or from a friend before purchasing.</v>
      </c>
      <c r="X589" s="137"/>
      <c r="Y589" s="138"/>
      <c r="Z589" s="138"/>
      <c r="AA589" s="138"/>
      <c r="AB589" s="138"/>
      <c r="AC589" s="139">
        <f>IFERROR(__xludf.DUMMYFUNCTION("""COMPUTED_VALUE"""),1.0)</f>
        <v>1</v>
      </c>
      <c r="AD589" s="139">
        <f>IFERROR(__xludf.DUMMYFUNCTION("""COMPUTED_VALUE"""),1.0)</f>
        <v>1</v>
      </c>
      <c r="AE589" s="139">
        <f>IFERROR(__xludf.DUMMYFUNCTION("""COMPUTED_VALUE"""),0.0)</f>
        <v>0</v>
      </c>
      <c r="AF589" s="140" t="str">
        <f>IFERROR(__xludf.DUMMYFUNCTION("""COMPUTED_VALUE"""),"No. I took delivery of the first car Tesla was able to deliver.")</f>
        <v>No. I took delivery of the first car Tesla was able to deliver.</v>
      </c>
      <c r="AG589" s="145"/>
      <c r="AH589" s="157">
        <f>IFERROR(__xludf.DUMMYFUNCTION("""COMPUTED_VALUE"""),44467.499872442124)</f>
        <v>44467.49987</v>
      </c>
      <c r="AI589" s="138"/>
      <c r="AJ589" s="138"/>
      <c r="AK589" s="138"/>
      <c r="AL589" s="142"/>
    </row>
    <row r="590" ht="20.25" customHeight="1">
      <c r="A590" s="155" t="str">
        <f>IFERROR(__xludf.DUMMYFUNCTION("""COMPUTED_VALUE"""),"Luminate")</f>
        <v>Luminate</v>
      </c>
      <c r="B590" s="149" t="str">
        <f>IFERROR(__xludf.DUMMYFUNCTION("""COMPUTED_VALUE"""),"Atlanta")</f>
        <v>Atlanta</v>
      </c>
      <c r="C590" s="149" t="str">
        <f>IFERROR(__xludf.DUMMYFUNCTION("""COMPUTED_VALUE"""),"GA")</f>
        <v>GA</v>
      </c>
      <c r="D590" s="149" t="str">
        <f>IFERROR(__xludf.DUMMYFUNCTION("""COMPUTED_VALUE"""),"USA")</f>
        <v>USA</v>
      </c>
      <c r="E590" s="156">
        <f>IFERROR(__xludf.DUMMYFUNCTION("""COMPUTED_VALUE"""),44365.0)</f>
        <v>44365</v>
      </c>
      <c r="F590" s="129">
        <f>IFERROR(__xludf.DUMMYFUNCTION("""COMPUTED_VALUE"""),44420.0)</f>
        <v>44420</v>
      </c>
      <c r="G590" s="154" t="str">
        <f>IFERROR(__xludf.DUMMYFUNCTION("""COMPUTED_VALUE"""),"Manage order page (normal text)")</f>
        <v>Manage order page (normal text)</v>
      </c>
      <c r="H590" s="131"/>
      <c r="I590" s="144"/>
      <c r="J590" s="129"/>
      <c r="K590" s="133">
        <f>IFERROR(__xludf.DUMMYFUNCTION("""COMPUTED_VALUE"""),55.0)</f>
        <v>55</v>
      </c>
      <c r="L590" s="133"/>
      <c r="M590" s="133"/>
      <c r="N590" s="152" t="str">
        <f>IFERROR(__xludf.DUMMYFUNCTION("""COMPUTED_VALUE"""),"Model 3 LR AWD")</f>
        <v>Model 3 LR AWD</v>
      </c>
      <c r="O590" s="152" t="str">
        <f>IFERROR(__xludf.DUMMYFUNCTION("""COMPUTED_VALUE"""),"Solid Black")</f>
        <v>Solid Black</v>
      </c>
      <c r="P590" s="153" t="str">
        <f>IFERROR(__xludf.DUMMYFUNCTION("""COMPUTED_VALUE"""),"18 inch")</f>
        <v>18 inch</v>
      </c>
      <c r="Q590" s="152" t="str">
        <f>IFERROR(__xludf.DUMMYFUNCTION("""COMPUTED_VALUE"""),"All Black")</f>
        <v>All Black</v>
      </c>
      <c r="R590" s="149" t="str">
        <f>IFERROR(__xludf.DUMMYFUNCTION("""COMPUTED_VALUE"""),"Autopilot included")</f>
        <v>Autopilot included</v>
      </c>
      <c r="S590" s="149" t="str">
        <f>IFERROR(__xludf.DUMMYFUNCTION("""COMPUTED_VALUE"""),"Loan")</f>
        <v>Loan</v>
      </c>
      <c r="T590" s="145" t="str">
        <f>IFERROR(__xludf.DUMMYFUNCTION("""COMPUTED_VALUE"""),"2011 Mazda 3")</f>
        <v>2011 Mazda 3</v>
      </c>
      <c r="U590" s="145" t="str">
        <f>IFERROR(__xludf.DUMMYFUNCTION("""COMPUTED_VALUE"""),"Tesla brand image")</f>
        <v>Tesla brand image</v>
      </c>
      <c r="V590" s="145" t="str">
        <f>IFERROR(__xludf.DUMMYFUNCTION("""COMPUTED_VALUE"""),"Apple CarPlay / Android Auto / SiriusXM Radio")</f>
        <v>Apple CarPlay / Android Auto / SiriusXM Radio</v>
      </c>
      <c r="W590" s="145"/>
      <c r="X590" s="137"/>
      <c r="Y590" s="138"/>
      <c r="Z590" s="138"/>
      <c r="AA590" s="138"/>
      <c r="AB590" s="138"/>
      <c r="AC590" s="139"/>
      <c r="AD590" s="139"/>
      <c r="AE590" s="139"/>
      <c r="AF590" s="140"/>
      <c r="AG590" s="145"/>
      <c r="AH590" s="157">
        <f>IFERROR(__xludf.DUMMYFUNCTION("""COMPUTED_VALUE"""),44420.22068079861)</f>
        <v>44420.22068</v>
      </c>
      <c r="AI590" s="138"/>
      <c r="AJ590" s="138"/>
      <c r="AK590" s="138"/>
      <c r="AL590" s="142"/>
    </row>
    <row r="591" ht="20.25" customHeight="1">
      <c r="A591" s="155" t="str">
        <f>IFERROR(__xludf.DUMMYFUNCTION("""COMPUTED_VALUE"""),"Doc")</f>
        <v>Doc</v>
      </c>
      <c r="B591" s="149" t="str">
        <f>IFERROR(__xludf.DUMMYFUNCTION("""COMPUTED_VALUE"""),"Bloomington")</f>
        <v>Bloomington</v>
      </c>
      <c r="C591" s="149" t="str">
        <f>IFERROR(__xludf.DUMMYFUNCTION("""COMPUTED_VALUE"""),"IL")</f>
        <v>IL</v>
      </c>
      <c r="D591" s="149" t="str">
        <f>IFERROR(__xludf.DUMMYFUNCTION("""COMPUTED_VALUE"""),"USA")</f>
        <v>USA</v>
      </c>
      <c r="E591" s="156">
        <f>IFERROR(__xludf.DUMMYFUNCTION("""COMPUTED_VALUE"""),44364.0)</f>
        <v>44364</v>
      </c>
      <c r="F591" s="129"/>
      <c r="G591" s="154"/>
      <c r="H591" s="131"/>
      <c r="I591" s="144"/>
      <c r="J591" s="129">
        <f>IFERROR(__xludf.DUMMYFUNCTION("""COMPUTED_VALUE"""),44421.0)</f>
        <v>44421</v>
      </c>
      <c r="K591" s="133"/>
      <c r="L591" s="133"/>
      <c r="M591" s="133">
        <f>IFERROR(__xludf.DUMMYFUNCTION("""COMPUTED_VALUE"""),57.0)</f>
        <v>57</v>
      </c>
      <c r="N591" s="152" t="str">
        <f>IFERROR(__xludf.DUMMYFUNCTION("""COMPUTED_VALUE"""),"Model 3 SR+")</f>
        <v>Model 3 SR+</v>
      </c>
      <c r="O591" s="152" t="str">
        <f>IFERROR(__xludf.DUMMYFUNCTION("""COMPUTED_VALUE"""),"Deep Blue Metallic")</f>
        <v>Deep Blue Metallic</v>
      </c>
      <c r="P591" s="153" t="str">
        <f>IFERROR(__xludf.DUMMYFUNCTION("""COMPUTED_VALUE"""),"18 inch")</f>
        <v>18 inch</v>
      </c>
      <c r="Q591" s="152" t="str">
        <f>IFERROR(__xludf.DUMMYFUNCTION("""COMPUTED_VALUE"""),"All Black")</f>
        <v>All Black</v>
      </c>
      <c r="R591" s="149" t="str">
        <f>IFERROR(__xludf.DUMMYFUNCTION("""COMPUTED_VALUE"""),"Autopilot included")</f>
        <v>Autopilot included</v>
      </c>
      <c r="S591" s="149" t="str">
        <f>IFERROR(__xludf.DUMMYFUNCTION("""COMPUTED_VALUE"""),"Loan")</f>
        <v>Loan</v>
      </c>
      <c r="T591" s="145" t="str">
        <f>IFERROR(__xludf.DUMMYFUNCTION("""COMPUTED_VALUE"""),"Nissan Leaf")</f>
        <v>Nissan Leaf</v>
      </c>
      <c r="U591" s="145" t="str">
        <f>IFERROR(__xludf.DUMMYFUNCTION("""COMPUTED_VALUE"""),"Electric!")</f>
        <v>Electric!</v>
      </c>
      <c r="V591" s="145" t="str">
        <f>IFERROR(__xludf.DUMMYFUNCTION("""COMPUTED_VALUE"""),"Ventilated seats")</f>
        <v>Ventilated seats</v>
      </c>
      <c r="W591" s="145"/>
      <c r="X591" s="137"/>
      <c r="Y591" s="138"/>
      <c r="Z591" s="138"/>
      <c r="AA591" s="138"/>
      <c r="AB591" s="138"/>
      <c r="AC591" s="139"/>
      <c r="AD591" s="139"/>
      <c r="AE591" s="139"/>
      <c r="AF591" s="140"/>
      <c r="AG591" s="145"/>
      <c r="AH591" s="157">
        <f>IFERROR(__xludf.DUMMYFUNCTION("""COMPUTED_VALUE"""),44384.316772349535)</f>
        <v>44384.31677</v>
      </c>
      <c r="AI591" s="138"/>
      <c r="AJ591" s="138"/>
      <c r="AK591" s="138"/>
      <c r="AL591" s="142"/>
    </row>
    <row r="592" ht="20.25" customHeight="1">
      <c r="A592" s="155" t="str">
        <f>IFERROR(__xludf.DUMMYFUNCTION("""COMPUTED_VALUE"""),"LipLord")</f>
        <v>LipLord</v>
      </c>
      <c r="B592" s="149" t="str">
        <f>IFERROR(__xludf.DUMMYFUNCTION("""COMPUTED_VALUE"""),"Fort Collins")</f>
        <v>Fort Collins</v>
      </c>
      <c r="C592" s="149" t="str">
        <f>IFERROR(__xludf.DUMMYFUNCTION("""COMPUTED_VALUE"""),"CO")</f>
        <v>CO</v>
      </c>
      <c r="D592" s="149" t="str">
        <f>IFERROR(__xludf.DUMMYFUNCTION("""COMPUTED_VALUE"""),"USA")</f>
        <v>USA</v>
      </c>
      <c r="E592" s="156">
        <f>IFERROR(__xludf.DUMMYFUNCTION("""COMPUTED_VALUE"""),44364.0)</f>
        <v>44364</v>
      </c>
      <c r="F592" s="129">
        <f>IFERROR(__xludf.DUMMYFUNCTION("""COMPUTED_VALUE"""),44420.0)</f>
        <v>44420</v>
      </c>
      <c r="G592" s="154" t="str">
        <f>IFERROR(__xludf.DUMMYFUNCTION("""COMPUTED_VALUE"""),"Manage order page (normal text)")</f>
        <v>Manage order page (normal text)</v>
      </c>
      <c r="H592" s="131">
        <f>IFERROR(__xludf.DUMMYFUNCTION("""COMPUTED_VALUE"""),34878.0)</f>
        <v>34878</v>
      </c>
      <c r="I592" s="144"/>
      <c r="J592" s="129">
        <f>IFERROR(__xludf.DUMMYFUNCTION("""COMPUTED_VALUE"""),44436.0)</f>
        <v>44436</v>
      </c>
      <c r="K592" s="133">
        <f>IFERROR(__xludf.DUMMYFUNCTION("""COMPUTED_VALUE"""),56.0)</f>
        <v>56</v>
      </c>
      <c r="L592" s="133">
        <f>IFERROR(__xludf.DUMMYFUNCTION("""COMPUTED_VALUE"""),16.0)</f>
        <v>16</v>
      </c>
      <c r="M592" s="133">
        <f>IFERROR(__xludf.DUMMYFUNCTION("""COMPUTED_VALUE"""),72.0)</f>
        <v>72</v>
      </c>
      <c r="N592" s="152" t="str">
        <f>IFERROR(__xludf.DUMMYFUNCTION("""COMPUTED_VALUE"""),"Model 3 LR AWD")</f>
        <v>Model 3 LR AWD</v>
      </c>
      <c r="O592" s="152" t="str">
        <f>IFERROR(__xludf.DUMMYFUNCTION("""COMPUTED_VALUE"""),"Solid Black")</f>
        <v>Solid Black</v>
      </c>
      <c r="P592" s="153" t="str">
        <f>IFERROR(__xludf.DUMMYFUNCTION("""COMPUTED_VALUE"""),"18 inch")</f>
        <v>18 inch</v>
      </c>
      <c r="Q592" s="152" t="str">
        <f>IFERROR(__xludf.DUMMYFUNCTION("""COMPUTED_VALUE"""),"All Black")</f>
        <v>All Black</v>
      </c>
      <c r="R592" s="149" t="str">
        <f>IFERROR(__xludf.DUMMYFUNCTION("""COMPUTED_VALUE"""),"Autopilot included")</f>
        <v>Autopilot included</v>
      </c>
      <c r="S592" s="149" t="str">
        <f>IFERROR(__xludf.DUMMYFUNCTION("""COMPUTED_VALUE"""),"Cash")</f>
        <v>Cash</v>
      </c>
      <c r="T592" s="145" t="str">
        <f>IFERROR(__xludf.DUMMYFUNCTION("""COMPUTED_VALUE"""),"Toyota Tacoma")</f>
        <v>Toyota Tacoma</v>
      </c>
      <c r="U592" s="145" t="str">
        <f>IFERROR(__xludf.DUMMYFUNCTION("""COMPUTED_VALUE"""),"Electric!")</f>
        <v>Electric!</v>
      </c>
      <c r="V592" s="145" t="str">
        <f>IFERROR(__xludf.DUMMYFUNCTION("""COMPUTED_VALUE"""),"Head-up display")</f>
        <v>Head-up display</v>
      </c>
      <c r="W592" s="145"/>
      <c r="X592" s="137"/>
      <c r="Y592" s="138"/>
      <c r="Z592" s="138"/>
      <c r="AA592" s="138"/>
      <c r="AB592" s="138"/>
      <c r="AC592" s="139"/>
      <c r="AD592" s="139"/>
      <c r="AE592" s="139"/>
      <c r="AF592" s="140"/>
      <c r="AG592" s="145"/>
      <c r="AH592" s="157">
        <f>IFERROR(__xludf.DUMMYFUNCTION("""COMPUTED_VALUE"""),44426.69631523148)</f>
        <v>44426.69632</v>
      </c>
      <c r="AI592" s="138"/>
      <c r="AJ592" s="138"/>
      <c r="AK592" s="138"/>
      <c r="AL592" s="142"/>
    </row>
    <row r="593" ht="20.25" customHeight="1">
      <c r="A593" s="155" t="str">
        <f>IFERROR(__xludf.DUMMYFUNCTION("""COMPUTED_VALUE"""),"mag")</f>
        <v>mag</v>
      </c>
      <c r="B593" s="149" t="str">
        <f>IFERROR(__xludf.DUMMYFUNCTION("""COMPUTED_VALUE"""),"Salt Lake City")</f>
        <v>Salt Lake City</v>
      </c>
      <c r="C593" s="149" t="str">
        <f>IFERROR(__xludf.DUMMYFUNCTION("""COMPUTED_VALUE"""),"UT")</f>
        <v>UT</v>
      </c>
      <c r="D593" s="149" t="str">
        <f>IFERROR(__xludf.DUMMYFUNCTION("""COMPUTED_VALUE"""),"USA")</f>
        <v>USA</v>
      </c>
      <c r="E593" s="156">
        <f>IFERROR(__xludf.DUMMYFUNCTION("""COMPUTED_VALUE"""),44364.0)</f>
        <v>44364</v>
      </c>
      <c r="F593" s="129">
        <f>IFERROR(__xludf.DUMMYFUNCTION("""COMPUTED_VALUE"""),44408.0)</f>
        <v>44408</v>
      </c>
      <c r="G593" s="154" t="str">
        <f>IFERROR(__xludf.DUMMYFUNCTION("""COMPUTED_VALUE"""),"Email")</f>
        <v>Email</v>
      </c>
      <c r="H593" s="131">
        <f>IFERROR(__xludf.DUMMYFUNCTION("""COMPUTED_VALUE"""),24755.0)</f>
        <v>24755</v>
      </c>
      <c r="I593" s="144"/>
      <c r="J593" s="129">
        <f>IFERROR(__xludf.DUMMYFUNCTION("""COMPUTED_VALUE"""),44413.0)</f>
        <v>44413</v>
      </c>
      <c r="K593" s="133">
        <f>IFERROR(__xludf.DUMMYFUNCTION("""COMPUTED_VALUE"""),44.0)</f>
        <v>44</v>
      </c>
      <c r="L593" s="133">
        <f>IFERROR(__xludf.DUMMYFUNCTION("""COMPUTED_VALUE"""),5.0)</f>
        <v>5</v>
      </c>
      <c r="M593" s="133">
        <f>IFERROR(__xludf.DUMMYFUNCTION("""COMPUTED_VALUE"""),49.0)</f>
        <v>49</v>
      </c>
      <c r="N593" s="152" t="str">
        <f>IFERROR(__xludf.DUMMYFUNCTION("""COMPUTED_VALUE"""),"Model 3 Performance")</f>
        <v>Model 3 Performance</v>
      </c>
      <c r="O593" s="152" t="str">
        <f>IFERROR(__xludf.DUMMYFUNCTION("""COMPUTED_VALUE"""),"Midnight Silver Metallic")</f>
        <v>Midnight Silver Metallic</v>
      </c>
      <c r="P593" s="153" t="str">
        <f>IFERROR(__xludf.DUMMYFUNCTION("""COMPUTED_VALUE"""),"20 inch")</f>
        <v>20 inch</v>
      </c>
      <c r="Q593" s="152" t="str">
        <f>IFERROR(__xludf.DUMMYFUNCTION("""COMPUTED_VALUE"""),"All Black")</f>
        <v>All Black</v>
      </c>
      <c r="R593" s="149" t="str">
        <f>IFERROR(__xludf.DUMMYFUNCTION("""COMPUTED_VALUE"""),"Full Self-Driving")</f>
        <v>Full Self-Driving</v>
      </c>
      <c r="S593" s="149" t="str">
        <f>IFERROR(__xludf.DUMMYFUNCTION("""COMPUTED_VALUE"""),"Loan")</f>
        <v>Loan</v>
      </c>
      <c r="T593" s="145"/>
      <c r="U593" s="145"/>
      <c r="V593" s="145"/>
      <c r="W593" s="145"/>
      <c r="X593" s="137"/>
      <c r="Y593" s="138"/>
      <c r="Z593" s="138"/>
      <c r="AA593" s="138"/>
      <c r="AB593" s="138"/>
      <c r="AC593" s="139"/>
      <c r="AD593" s="139"/>
      <c r="AE593" s="139"/>
      <c r="AF593" s="140"/>
      <c r="AG593" s="145"/>
      <c r="AH593" s="157">
        <f>IFERROR(__xludf.DUMMYFUNCTION("""COMPUTED_VALUE"""),44413.90985518519)</f>
        <v>44413.90986</v>
      </c>
      <c r="AI593" s="138"/>
      <c r="AJ593" s="138"/>
      <c r="AK593" s="138"/>
      <c r="AL593" s="142"/>
    </row>
    <row r="594" ht="20.25" customHeight="1">
      <c r="A594" s="155" t="str">
        <f>IFERROR(__xludf.DUMMYFUNCTION("""COMPUTED_VALUE"""),"rommy")</f>
        <v>rommy</v>
      </c>
      <c r="B594" s="149" t="str">
        <f>IFERROR(__xludf.DUMMYFUNCTION("""COMPUTED_VALUE"""),"Anaheim")</f>
        <v>Anaheim</v>
      </c>
      <c r="C594" s="149" t="str">
        <f>IFERROR(__xludf.DUMMYFUNCTION("""COMPUTED_VALUE"""),"CA")</f>
        <v>CA</v>
      </c>
      <c r="D594" s="149" t="str">
        <f>IFERROR(__xludf.DUMMYFUNCTION("""COMPUTED_VALUE"""),"USA")</f>
        <v>USA</v>
      </c>
      <c r="E594" s="156">
        <f>IFERROR(__xludf.DUMMYFUNCTION("""COMPUTED_VALUE"""),44364.0)</f>
        <v>44364</v>
      </c>
      <c r="F594" s="129">
        <f>IFERROR(__xludf.DUMMYFUNCTION("""COMPUTED_VALUE"""),44436.0)</f>
        <v>44436</v>
      </c>
      <c r="G594" s="154" t="str">
        <f>IFERROR(__xludf.DUMMYFUNCTION("""COMPUTED_VALUE"""),"Manage order page (normal text)")</f>
        <v>Manage order page (normal text)</v>
      </c>
      <c r="H594" s="131"/>
      <c r="I594" s="144"/>
      <c r="J594" s="129">
        <f>IFERROR(__xludf.DUMMYFUNCTION("""COMPUTED_VALUE"""),44439.0)</f>
        <v>44439</v>
      </c>
      <c r="K594" s="133">
        <f>IFERROR(__xludf.DUMMYFUNCTION("""COMPUTED_VALUE"""),72.0)</f>
        <v>72</v>
      </c>
      <c r="L594" s="133">
        <f>IFERROR(__xludf.DUMMYFUNCTION("""COMPUTED_VALUE"""),3.0)</f>
        <v>3</v>
      </c>
      <c r="M594" s="133">
        <f>IFERROR(__xludf.DUMMYFUNCTION("""COMPUTED_VALUE"""),75.0)</f>
        <v>75</v>
      </c>
      <c r="N594" s="152" t="str">
        <f>IFERROR(__xludf.DUMMYFUNCTION("""COMPUTED_VALUE"""),"Model 3 LR AWD")</f>
        <v>Model 3 LR AWD</v>
      </c>
      <c r="O594" s="152" t="str">
        <f>IFERROR(__xludf.DUMMYFUNCTION("""COMPUTED_VALUE"""),"Solid Black")</f>
        <v>Solid Black</v>
      </c>
      <c r="P594" s="153" t="str">
        <f>IFERROR(__xludf.DUMMYFUNCTION("""COMPUTED_VALUE"""),"18 inch")</f>
        <v>18 inch</v>
      </c>
      <c r="Q594" s="152" t="str">
        <f>IFERROR(__xludf.DUMMYFUNCTION("""COMPUTED_VALUE"""),"All Black")</f>
        <v>All Black</v>
      </c>
      <c r="R594" s="149" t="str">
        <f>IFERROR(__xludf.DUMMYFUNCTION("""COMPUTED_VALUE"""),"Full Self-Driving")</f>
        <v>Full Self-Driving</v>
      </c>
      <c r="S594" s="149"/>
      <c r="T594" s="145" t="str">
        <f>IFERROR(__xludf.DUMMYFUNCTION("""COMPUTED_VALUE"""),"Toyota Prius")</f>
        <v>Toyota Prius</v>
      </c>
      <c r="U594" s="145"/>
      <c r="V594" s="145" t="str">
        <f>IFERROR(__xludf.DUMMYFUNCTION("""COMPUTED_VALUE"""),"Bioweapon defense mode")</f>
        <v>Bioweapon defense mode</v>
      </c>
      <c r="W594" s="145"/>
      <c r="X594" s="137" t="str">
        <f>IFERROR(__xludf.DUMMYFUNCTION("""COMPUTED_VALUE"""),"Excellent")</f>
        <v>Excellent</v>
      </c>
      <c r="Y594" s="138" t="str">
        <f>IFERROR(__xludf.DUMMYFUNCTION("""COMPUTED_VALUE"""),"Excellent")</f>
        <v>Excellent</v>
      </c>
      <c r="Z594" s="138" t="str">
        <f>IFERROR(__xludf.DUMMYFUNCTION("""COMPUTED_VALUE"""),"Excellent")</f>
        <v>Excellent</v>
      </c>
      <c r="AA594" s="138" t="str">
        <f>IFERROR(__xludf.DUMMYFUNCTION("""COMPUTED_VALUE"""),"Excellent")</f>
        <v>Excellent</v>
      </c>
      <c r="AB594" s="138" t="str">
        <f>IFERROR(__xludf.DUMMYFUNCTION("""COMPUTED_VALUE"""),"Excellent")</f>
        <v>Excellent</v>
      </c>
      <c r="AC594" s="139">
        <f>IFERROR(__xludf.DUMMYFUNCTION("""COMPUTED_VALUE"""),1.0)</f>
        <v>1</v>
      </c>
      <c r="AD594" s="139">
        <f>IFERROR(__xludf.DUMMYFUNCTION("""COMPUTED_VALUE"""),1.0)</f>
        <v>1</v>
      </c>
      <c r="AE594" s="139"/>
      <c r="AF594" s="140" t="str">
        <f>IFERROR(__xludf.DUMMYFUNCTION("""COMPUTED_VALUE"""),"No. I took delivery of the first car Tesla was able to deliver.")</f>
        <v>No. I took delivery of the first car Tesla was able to deliver.</v>
      </c>
      <c r="AG594" s="145"/>
      <c r="AH594" s="157">
        <f>IFERROR(__xludf.DUMMYFUNCTION("""COMPUTED_VALUE"""),44441.02015640047)</f>
        <v>44441.02016</v>
      </c>
      <c r="AI594" s="138"/>
      <c r="AJ594" s="138"/>
      <c r="AK594" s="138"/>
      <c r="AL594" s="142"/>
    </row>
    <row r="595" ht="20.25" customHeight="1">
      <c r="A595" s="155" t="str">
        <f>IFERROR(__xludf.DUMMYFUNCTION("""COMPUTED_VALUE"""),"snicerz")</f>
        <v>snicerz</v>
      </c>
      <c r="B595" s="149" t="str">
        <f>IFERROR(__xludf.DUMMYFUNCTION("""COMPUTED_VALUE"""),"Oklahoma City")</f>
        <v>Oklahoma City</v>
      </c>
      <c r="C595" s="149" t="str">
        <f>IFERROR(__xludf.DUMMYFUNCTION("""COMPUTED_VALUE"""),"OK")</f>
        <v>OK</v>
      </c>
      <c r="D595" s="149" t="str">
        <f>IFERROR(__xludf.DUMMYFUNCTION("""COMPUTED_VALUE"""),"USA")</f>
        <v>USA</v>
      </c>
      <c r="E595" s="156">
        <f>IFERROR(__xludf.DUMMYFUNCTION("""COMPUTED_VALUE"""),44364.0)</f>
        <v>44364</v>
      </c>
      <c r="F595" s="129">
        <f>IFERROR(__xludf.DUMMYFUNCTION("""COMPUTED_VALUE"""),44419.0)</f>
        <v>44419</v>
      </c>
      <c r="G595" s="154" t="str">
        <f>IFERROR(__xludf.DUMMYFUNCTION("""COMPUTED_VALUE"""),"Email")</f>
        <v>Email</v>
      </c>
      <c r="H595" s="131">
        <f>IFERROR(__xludf.DUMMYFUNCTION("""COMPUTED_VALUE"""),34855.0)</f>
        <v>34855</v>
      </c>
      <c r="I595" s="144"/>
      <c r="J595" s="129"/>
      <c r="K595" s="133">
        <f>IFERROR(__xludf.DUMMYFUNCTION("""COMPUTED_VALUE"""),55.0)</f>
        <v>55</v>
      </c>
      <c r="L595" s="133"/>
      <c r="M595" s="133"/>
      <c r="N595" s="152" t="str">
        <f>IFERROR(__xludf.DUMMYFUNCTION("""COMPUTED_VALUE"""),"Model 3 LR AWD")</f>
        <v>Model 3 LR AWD</v>
      </c>
      <c r="O595" s="152" t="str">
        <f>IFERROR(__xludf.DUMMYFUNCTION("""COMPUTED_VALUE"""),"Red Multi-Coat")</f>
        <v>Red Multi-Coat</v>
      </c>
      <c r="P595" s="153" t="str">
        <f>IFERROR(__xludf.DUMMYFUNCTION("""COMPUTED_VALUE"""),"18 inch")</f>
        <v>18 inch</v>
      </c>
      <c r="Q595" s="152" t="str">
        <f>IFERROR(__xludf.DUMMYFUNCTION("""COMPUTED_VALUE"""),"All Black")</f>
        <v>All Black</v>
      </c>
      <c r="R595" s="149" t="str">
        <f>IFERROR(__xludf.DUMMYFUNCTION("""COMPUTED_VALUE"""),"Autopilot included")</f>
        <v>Autopilot included</v>
      </c>
      <c r="S595" s="149" t="str">
        <f>IFERROR(__xludf.DUMMYFUNCTION("""COMPUTED_VALUE"""),"Loan")</f>
        <v>Loan</v>
      </c>
      <c r="T595" s="145" t="str">
        <f>IFERROR(__xludf.DUMMYFUNCTION("""COMPUTED_VALUE"""),"Chevy Corvette")</f>
        <v>Chevy Corvette</v>
      </c>
      <c r="U595" s="145" t="str">
        <f>IFERROR(__xludf.DUMMYFUNCTION("""COMPUTED_VALUE"""),"Electric!")</f>
        <v>Electric!</v>
      </c>
      <c r="V595" s="145" t="str">
        <f>IFERROR(__xludf.DUMMYFUNCTION("""COMPUTED_VALUE"""),"Air suspension")</f>
        <v>Air suspension</v>
      </c>
      <c r="W595" s="145"/>
      <c r="X595" s="137"/>
      <c r="Y595" s="138"/>
      <c r="Z595" s="138"/>
      <c r="AA595" s="138"/>
      <c r="AB595" s="138"/>
      <c r="AC595" s="139"/>
      <c r="AD595" s="139"/>
      <c r="AE595" s="139"/>
      <c r="AF595" s="140"/>
      <c r="AG595" s="145"/>
      <c r="AH595" s="157">
        <f>IFERROR(__xludf.DUMMYFUNCTION("""COMPUTED_VALUE"""),44420.27250608796)</f>
        <v>44420.27251</v>
      </c>
      <c r="AI595" s="138"/>
      <c r="AJ595" s="138"/>
      <c r="AK595" s="138"/>
      <c r="AL595" s="142"/>
    </row>
    <row r="596" ht="20.25" customHeight="1">
      <c r="A596" s="155" t="str">
        <f>IFERROR(__xludf.DUMMYFUNCTION("""COMPUTED_VALUE"""),"BluAnderson0320")</f>
        <v>BluAnderson0320</v>
      </c>
      <c r="B596" s="149" t="str">
        <f>IFERROR(__xludf.DUMMYFUNCTION("""COMPUTED_VALUE"""),"Brookfield")</f>
        <v>Brookfield</v>
      </c>
      <c r="C596" s="149" t="str">
        <f>IFERROR(__xludf.DUMMYFUNCTION("""COMPUTED_VALUE"""),"CT")</f>
        <v>CT</v>
      </c>
      <c r="D596" s="149" t="str">
        <f>IFERROR(__xludf.DUMMYFUNCTION("""COMPUTED_VALUE"""),"USA")</f>
        <v>USA</v>
      </c>
      <c r="E596" s="156">
        <f>IFERROR(__xludf.DUMMYFUNCTION("""COMPUTED_VALUE"""),44363.0)</f>
        <v>44363</v>
      </c>
      <c r="F596" s="129">
        <f>IFERROR(__xludf.DUMMYFUNCTION("""COMPUTED_VALUE"""),44422.0)</f>
        <v>44422</v>
      </c>
      <c r="G596" s="154" t="str">
        <f>IFERROR(__xludf.DUMMYFUNCTION("""COMPUTED_VALUE"""),"Email")</f>
        <v>Email</v>
      </c>
      <c r="H596" s="131"/>
      <c r="I596" s="144"/>
      <c r="J596" s="129">
        <f>IFERROR(__xludf.DUMMYFUNCTION("""COMPUTED_VALUE"""),44436.0)</f>
        <v>44436</v>
      </c>
      <c r="K596" s="133">
        <f>IFERROR(__xludf.DUMMYFUNCTION("""COMPUTED_VALUE"""),59.0)</f>
        <v>59</v>
      </c>
      <c r="L596" s="133">
        <f>IFERROR(__xludf.DUMMYFUNCTION("""COMPUTED_VALUE"""),14.0)</f>
        <v>14</v>
      </c>
      <c r="M596" s="133">
        <f>IFERROR(__xludf.DUMMYFUNCTION("""COMPUTED_VALUE"""),73.0)</f>
        <v>73</v>
      </c>
      <c r="N596" s="152" t="str">
        <f>IFERROR(__xludf.DUMMYFUNCTION("""COMPUTED_VALUE"""),"Model 3 LR AWD")</f>
        <v>Model 3 LR AWD</v>
      </c>
      <c r="O596" s="152" t="str">
        <f>IFERROR(__xludf.DUMMYFUNCTION("""COMPUTED_VALUE"""),"Red Multi-Coat")</f>
        <v>Red Multi-Coat</v>
      </c>
      <c r="P596" s="153" t="str">
        <f>IFERROR(__xludf.DUMMYFUNCTION("""COMPUTED_VALUE"""),"19 inch")</f>
        <v>19 inch</v>
      </c>
      <c r="Q596" s="152" t="str">
        <f>IFERROR(__xludf.DUMMYFUNCTION("""COMPUTED_VALUE"""),"Black and White")</f>
        <v>Black and White</v>
      </c>
      <c r="R596" s="149" t="str">
        <f>IFERROR(__xludf.DUMMYFUNCTION("""COMPUTED_VALUE"""),"Autopilot included")</f>
        <v>Autopilot included</v>
      </c>
      <c r="S596" s="149" t="str">
        <f>IFERROR(__xludf.DUMMYFUNCTION("""COMPUTED_VALUE"""),"Cash")</f>
        <v>Cash</v>
      </c>
      <c r="T596" s="145" t="str">
        <f>IFERROR(__xludf.DUMMYFUNCTION("""COMPUTED_VALUE"""),"Audi A4")</f>
        <v>Audi A4</v>
      </c>
      <c r="U596" s="145"/>
      <c r="V596" s="145"/>
      <c r="W596" s="145"/>
      <c r="X596" s="137"/>
      <c r="Y596" s="138"/>
      <c r="Z596" s="138"/>
      <c r="AA596" s="138"/>
      <c r="AB596" s="138"/>
      <c r="AC596" s="139"/>
      <c r="AD596" s="139"/>
      <c r="AE596" s="139"/>
      <c r="AF596" s="140"/>
      <c r="AG596" s="145"/>
      <c r="AH596" s="157">
        <f>IFERROR(__xludf.DUMMYFUNCTION("""COMPUTED_VALUE"""),44425.29637952546)</f>
        <v>44425.29638</v>
      </c>
      <c r="AI596" s="138"/>
      <c r="AJ596" s="138"/>
      <c r="AK596" s="138"/>
      <c r="AL596" s="142"/>
    </row>
    <row r="597" ht="20.25" customHeight="1">
      <c r="A597" s="155" t="str">
        <f>IFERROR(__xludf.DUMMYFUNCTION("""COMPUTED_VALUE"""),"DeshMindER")</f>
        <v>DeshMindER</v>
      </c>
      <c r="B597" s="149" t="str">
        <f>IFERROR(__xludf.DUMMYFUNCTION("""COMPUTED_VALUE"""),"Austin")</f>
        <v>Austin</v>
      </c>
      <c r="C597" s="149" t="str">
        <f>IFERROR(__xludf.DUMMYFUNCTION("""COMPUTED_VALUE"""),"TX")</f>
        <v>TX</v>
      </c>
      <c r="D597" s="149" t="str">
        <f>IFERROR(__xludf.DUMMYFUNCTION("""COMPUTED_VALUE"""),"USA")</f>
        <v>USA</v>
      </c>
      <c r="E597" s="156">
        <f>IFERROR(__xludf.DUMMYFUNCTION("""COMPUTED_VALUE"""),44363.0)</f>
        <v>44363</v>
      </c>
      <c r="F597" s="129">
        <f>IFERROR(__xludf.DUMMYFUNCTION("""COMPUTED_VALUE"""),44412.0)</f>
        <v>44412</v>
      </c>
      <c r="G597" s="154" t="str">
        <f>IFERROR(__xludf.DUMMYFUNCTION("""COMPUTED_VALUE"""),"Email")</f>
        <v>Email</v>
      </c>
      <c r="H597" s="131">
        <f>IFERROR(__xludf.DUMMYFUNCTION("""COMPUTED_VALUE"""),22955.0)</f>
        <v>22955</v>
      </c>
      <c r="I597" s="144" t="str">
        <f>IFERROR(__xludf.DUMMYFUNCTION("""COMPUTED_VALUE"""),"07/21")</f>
        <v>07/21</v>
      </c>
      <c r="J597" s="129">
        <f>IFERROR(__xludf.DUMMYFUNCTION("""COMPUTED_VALUE"""),44419.0)</f>
        <v>44419</v>
      </c>
      <c r="K597" s="133">
        <f>IFERROR(__xludf.DUMMYFUNCTION("""COMPUTED_VALUE"""),49.0)</f>
        <v>49</v>
      </c>
      <c r="L597" s="133">
        <f>IFERROR(__xludf.DUMMYFUNCTION("""COMPUTED_VALUE"""),7.0)</f>
        <v>7</v>
      </c>
      <c r="M597" s="133">
        <f>IFERROR(__xludf.DUMMYFUNCTION("""COMPUTED_VALUE"""),56.0)</f>
        <v>56</v>
      </c>
      <c r="N597" s="152" t="str">
        <f>IFERROR(__xludf.DUMMYFUNCTION("""COMPUTED_VALUE"""),"Model 3 SR+")</f>
        <v>Model 3 SR+</v>
      </c>
      <c r="O597" s="152" t="str">
        <f>IFERROR(__xludf.DUMMYFUNCTION("""COMPUTED_VALUE"""),"Deep Blue Metallic")</f>
        <v>Deep Blue Metallic</v>
      </c>
      <c r="P597" s="153" t="str">
        <f>IFERROR(__xludf.DUMMYFUNCTION("""COMPUTED_VALUE"""),"18 inch")</f>
        <v>18 inch</v>
      </c>
      <c r="Q597" s="152" t="str">
        <f>IFERROR(__xludf.DUMMYFUNCTION("""COMPUTED_VALUE"""),"All Black")</f>
        <v>All Black</v>
      </c>
      <c r="R597" s="149" t="str">
        <f>IFERROR(__xludf.DUMMYFUNCTION("""COMPUTED_VALUE"""),"Autopilot included")</f>
        <v>Autopilot included</v>
      </c>
      <c r="S597" s="149" t="str">
        <f>IFERROR(__xludf.DUMMYFUNCTION("""COMPUTED_VALUE"""),"Loan")</f>
        <v>Loan</v>
      </c>
      <c r="T597" s="145"/>
      <c r="U597" s="145" t="str">
        <f>IFERROR(__xludf.DUMMYFUNCTION("""COMPUTED_VALUE"""),"Electric!")</f>
        <v>Electric!</v>
      </c>
      <c r="V597" s="145" t="str">
        <f>IFERROR(__xludf.DUMMYFUNCTION("""COMPUTED_VALUE"""),"Apple CarPlay / Android Auto / SiriusXM Radio")</f>
        <v>Apple CarPlay / Android Auto / SiriusXM Radio</v>
      </c>
      <c r="W597" s="145"/>
      <c r="X597" s="137" t="str">
        <f>IFERROR(__xludf.DUMMYFUNCTION("""COMPUTED_VALUE"""),"Good")</f>
        <v>Good</v>
      </c>
      <c r="Y597" s="138" t="str">
        <f>IFERROR(__xludf.DUMMYFUNCTION("""COMPUTED_VALUE"""),"Excellent")</f>
        <v>Excellent</v>
      </c>
      <c r="Z597" s="138" t="str">
        <f>IFERROR(__xludf.DUMMYFUNCTION("""COMPUTED_VALUE"""),"Very Good")</f>
        <v>Very Good</v>
      </c>
      <c r="AA597" s="138" t="str">
        <f>IFERROR(__xludf.DUMMYFUNCTION("""COMPUTED_VALUE"""),"Poor")</f>
        <v>Poor</v>
      </c>
      <c r="AB597" s="138" t="str">
        <f>IFERROR(__xludf.DUMMYFUNCTION("""COMPUTED_VALUE"""),"Poor")</f>
        <v>Poor</v>
      </c>
      <c r="AC597" s="139">
        <f>IFERROR(__xludf.DUMMYFUNCTION("""COMPUTED_VALUE"""),2.0)</f>
        <v>2</v>
      </c>
      <c r="AD597" s="139"/>
      <c r="AE597" s="139"/>
      <c r="AF597" s="140" t="str">
        <f>IFERROR(__xludf.DUMMYFUNCTION("""COMPUTED_VALUE"""),"No. I took delivery of the first car Tesla was able to deliver.")</f>
        <v>No. I took delivery of the first car Tesla was able to deliver.</v>
      </c>
      <c r="AG597" s="145"/>
      <c r="AH597" s="157">
        <f>IFERROR(__xludf.DUMMYFUNCTION("""COMPUTED_VALUE"""),44419.842581666664)</f>
        <v>44419.84258</v>
      </c>
      <c r="AI597" s="138"/>
      <c r="AJ597" s="138"/>
      <c r="AK597" s="138"/>
      <c r="AL597" s="142"/>
    </row>
    <row r="598" ht="20.25" customHeight="1">
      <c r="A598" s="155" t="str">
        <f>IFERROR(__xludf.DUMMYFUNCTION("""COMPUTED_VALUE"""),"JFguerrero")</f>
        <v>JFguerrero</v>
      </c>
      <c r="B598" s="149"/>
      <c r="C598" s="149" t="str">
        <f>IFERROR(__xludf.DUMMYFUNCTION("""COMPUTED_VALUE"""),"FL")</f>
        <v>FL</v>
      </c>
      <c r="D598" s="149" t="str">
        <f>IFERROR(__xludf.DUMMYFUNCTION("""COMPUTED_VALUE"""),"USA")</f>
        <v>USA</v>
      </c>
      <c r="E598" s="156">
        <f>IFERROR(__xludf.DUMMYFUNCTION("""COMPUTED_VALUE"""),44363.0)</f>
        <v>44363</v>
      </c>
      <c r="F598" s="129"/>
      <c r="G598" s="154"/>
      <c r="H598" s="131"/>
      <c r="I598" s="144"/>
      <c r="J598" s="129">
        <f>IFERROR(__xludf.DUMMYFUNCTION("""COMPUTED_VALUE"""),44401.0)</f>
        <v>44401</v>
      </c>
      <c r="K598" s="133"/>
      <c r="L598" s="133"/>
      <c r="M598" s="133">
        <f>IFERROR(__xludf.DUMMYFUNCTION("""COMPUTED_VALUE"""),38.0)</f>
        <v>38</v>
      </c>
      <c r="N598" s="152" t="str">
        <f>IFERROR(__xludf.DUMMYFUNCTION("""COMPUTED_VALUE"""),"Model 3 SR+")</f>
        <v>Model 3 SR+</v>
      </c>
      <c r="O598" s="152" t="str">
        <f>IFERROR(__xludf.DUMMYFUNCTION("""COMPUTED_VALUE"""),"Midnight Silver Metallic")</f>
        <v>Midnight Silver Metallic</v>
      </c>
      <c r="P598" s="153" t="str">
        <f>IFERROR(__xludf.DUMMYFUNCTION("""COMPUTED_VALUE"""),"18 inch")</f>
        <v>18 inch</v>
      </c>
      <c r="Q598" s="152" t="str">
        <f>IFERROR(__xludf.DUMMYFUNCTION("""COMPUTED_VALUE"""),"All Black")</f>
        <v>All Black</v>
      </c>
      <c r="R598" s="149" t="str">
        <f>IFERROR(__xludf.DUMMYFUNCTION("""COMPUTED_VALUE"""),"Autopilot included")</f>
        <v>Autopilot included</v>
      </c>
      <c r="S598" s="149"/>
      <c r="T598" s="145"/>
      <c r="U598" s="145"/>
      <c r="V598" s="145"/>
      <c r="W598" s="145"/>
      <c r="X598" s="137"/>
      <c r="Y598" s="138"/>
      <c r="Z598" s="138"/>
      <c r="AA598" s="138"/>
      <c r="AB598" s="138"/>
      <c r="AC598" s="139"/>
      <c r="AD598" s="139"/>
      <c r="AE598" s="139"/>
      <c r="AF598" s="140"/>
      <c r="AG598" s="145"/>
      <c r="AH598" s="157">
        <f>IFERROR(__xludf.DUMMYFUNCTION("""COMPUTED_VALUE"""),44386.43681342592)</f>
        <v>44386.43681</v>
      </c>
      <c r="AI598" s="138"/>
      <c r="AJ598" s="138"/>
      <c r="AK598" s="138"/>
      <c r="AL598" s="142"/>
    </row>
    <row r="599" ht="20.25" customHeight="1">
      <c r="A599" s="155" t="str">
        <f>IFERROR(__xludf.DUMMYFUNCTION("""COMPUTED_VALUE"""),"Jfguerrero")</f>
        <v>Jfguerrero</v>
      </c>
      <c r="B599" s="149"/>
      <c r="C599" s="149" t="str">
        <f>IFERROR(__xludf.DUMMYFUNCTION("""COMPUTED_VALUE"""),"FL")</f>
        <v>FL</v>
      </c>
      <c r="D599" s="149" t="str">
        <f>IFERROR(__xludf.DUMMYFUNCTION("""COMPUTED_VALUE"""),"USA")</f>
        <v>USA</v>
      </c>
      <c r="E599" s="156">
        <f>IFERROR(__xludf.DUMMYFUNCTION("""COMPUTED_VALUE"""),44363.0)</f>
        <v>44363</v>
      </c>
      <c r="F599" s="129">
        <f>IFERROR(__xludf.DUMMYFUNCTION("""COMPUTED_VALUE"""),44407.0)</f>
        <v>44407</v>
      </c>
      <c r="G599" s="154" t="str">
        <f>IFERROR(__xludf.DUMMYFUNCTION("""COMPUTED_VALUE"""),"Manage order page (normal text)")</f>
        <v>Manage order page (normal text)</v>
      </c>
      <c r="H599" s="131">
        <f>IFERROR(__xludf.DUMMYFUNCTION("""COMPUTED_VALUE"""),26655.0)</f>
        <v>26655</v>
      </c>
      <c r="I599" s="144"/>
      <c r="J599" s="129">
        <f>IFERROR(__xludf.DUMMYFUNCTION("""COMPUTED_VALUE"""),44420.0)</f>
        <v>44420</v>
      </c>
      <c r="K599" s="133">
        <f>IFERROR(__xludf.DUMMYFUNCTION("""COMPUTED_VALUE"""),44.0)</f>
        <v>44</v>
      </c>
      <c r="L599" s="133">
        <f>IFERROR(__xludf.DUMMYFUNCTION("""COMPUTED_VALUE"""),13.0)</f>
        <v>13</v>
      </c>
      <c r="M599" s="133">
        <f>IFERROR(__xludf.DUMMYFUNCTION("""COMPUTED_VALUE"""),57.0)</f>
        <v>57</v>
      </c>
      <c r="N599" s="152" t="str">
        <f>IFERROR(__xludf.DUMMYFUNCTION("""COMPUTED_VALUE"""),"Model 3 SR+")</f>
        <v>Model 3 SR+</v>
      </c>
      <c r="O599" s="152" t="str">
        <f>IFERROR(__xludf.DUMMYFUNCTION("""COMPUTED_VALUE"""),"Midnight Silver Metallic")</f>
        <v>Midnight Silver Metallic</v>
      </c>
      <c r="P599" s="153" t="str">
        <f>IFERROR(__xludf.DUMMYFUNCTION("""COMPUTED_VALUE"""),"18 inch")</f>
        <v>18 inch</v>
      </c>
      <c r="Q599" s="152" t="str">
        <f>IFERROR(__xludf.DUMMYFUNCTION("""COMPUTED_VALUE"""),"All Black")</f>
        <v>All Black</v>
      </c>
      <c r="R599" s="149" t="str">
        <f>IFERROR(__xludf.DUMMYFUNCTION("""COMPUTED_VALUE"""),"Autopilot included")</f>
        <v>Autopilot included</v>
      </c>
      <c r="S599" s="149" t="str">
        <f>IFERROR(__xludf.DUMMYFUNCTION("""COMPUTED_VALUE"""),"Loan")</f>
        <v>Loan</v>
      </c>
      <c r="T599" s="145"/>
      <c r="U599" s="145"/>
      <c r="V599" s="145" t="str">
        <f>IFERROR(__xludf.DUMMYFUNCTION("""COMPUTED_VALUE"""),"Apple CarPlay / Android Auto / SiriusXM Radio")</f>
        <v>Apple CarPlay / Android Auto / SiriusXM Radio</v>
      </c>
      <c r="W599" s="145"/>
      <c r="X599" s="137"/>
      <c r="Y599" s="138"/>
      <c r="Z599" s="138"/>
      <c r="AA599" s="138"/>
      <c r="AB599" s="138"/>
      <c r="AC599" s="139"/>
      <c r="AD599" s="139"/>
      <c r="AE599" s="139"/>
      <c r="AF599" s="140"/>
      <c r="AG599" s="145"/>
      <c r="AH599" s="157">
        <f>IFERROR(__xludf.DUMMYFUNCTION("""COMPUTED_VALUE"""),44407.84114015046)</f>
        <v>44407.84114</v>
      </c>
      <c r="AI599" s="138"/>
      <c r="AJ599" s="138"/>
      <c r="AK599" s="138"/>
      <c r="AL599" s="142"/>
    </row>
    <row r="600" ht="20.25" customHeight="1">
      <c r="A600" s="155" t="str">
        <f>IFERROR(__xludf.DUMMYFUNCTION("""COMPUTED_VALUE"""),"Matt F")</f>
        <v>Matt F</v>
      </c>
      <c r="B600" s="149" t="str">
        <f>IFERROR(__xludf.DUMMYFUNCTION("""COMPUTED_VALUE"""),"Lenexa")</f>
        <v>Lenexa</v>
      </c>
      <c r="C600" s="149" t="str">
        <f>IFERROR(__xludf.DUMMYFUNCTION("""COMPUTED_VALUE"""),"KS")</f>
        <v>KS</v>
      </c>
      <c r="D600" s="149" t="str">
        <f>IFERROR(__xludf.DUMMYFUNCTION("""COMPUTED_VALUE"""),"USA")</f>
        <v>USA</v>
      </c>
      <c r="E600" s="156">
        <f>IFERROR(__xludf.DUMMYFUNCTION("""COMPUTED_VALUE"""),44363.0)</f>
        <v>44363</v>
      </c>
      <c r="F600" s="129">
        <f>IFERROR(__xludf.DUMMYFUNCTION("""COMPUTED_VALUE"""),44396.0)</f>
        <v>44396</v>
      </c>
      <c r="G600" s="154" t="str">
        <f>IFERROR(__xludf.DUMMYFUNCTION("""COMPUTED_VALUE"""),"Manage order page (normal text)")</f>
        <v>Manage order page (normal text)</v>
      </c>
      <c r="H600" s="131">
        <f>IFERROR(__xludf.DUMMYFUNCTION("""COMPUTED_VALUE"""),20055.0)</f>
        <v>20055</v>
      </c>
      <c r="I600" s="144"/>
      <c r="J600" s="129">
        <f>IFERROR(__xludf.DUMMYFUNCTION("""COMPUTED_VALUE"""),44406.0)</f>
        <v>44406</v>
      </c>
      <c r="K600" s="133">
        <f>IFERROR(__xludf.DUMMYFUNCTION("""COMPUTED_VALUE"""),33.0)</f>
        <v>33</v>
      </c>
      <c r="L600" s="133">
        <f>IFERROR(__xludf.DUMMYFUNCTION("""COMPUTED_VALUE"""),10.0)</f>
        <v>10</v>
      </c>
      <c r="M600" s="133">
        <f>IFERROR(__xludf.DUMMYFUNCTION("""COMPUTED_VALUE"""),43.0)</f>
        <v>43</v>
      </c>
      <c r="N600" s="152" t="str">
        <f>IFERROR(__xludf.DUMMYFUNCTION("""COMPUTED_VALUE"""),"Model 3 LR AWD")</f>
        <v>Model 3 LR AWD</v>
      </c>
      <c r="O600" s="152" t="str">
        <f>IFERROR(__xludf.DUMMYFUNCTION("""COMPUTED_VALUE"""),"Pearl White Multi-Coat")</f>
        <v>Pearl White Multi-Coat</v>
      </c>
      <c r="P600" s="153" t="str">
        <f>IFERROR(__xludf.DUMMYFUNCTION("""COMPUTED_VALUE"""),"18 inch")</f>
        <v>18 inch</v>
      </c>
      <c r="Q600" s="152" t="str">
        <f>IFERROR(__xludf.DUMMYFUNCTION("""COMPUTED_VALUE"""),"Black and White")</f>
        <v>Black and White</v>
      </c>
      <c r="R600" s="149" t="str">
        <f>IFERROR(__xludf.DUMMYFUNCTION("""COMPUTED_VALUE"""),"Autopilot included")</f>
        <v>Autopilot included</v>
      </c>
      <c r="S600" s="149" t="str">
        <f>IFERROR(__xludf.DUMMYFUNCTION("""COMPUTED_VALUE"""),"Loan")</f>
        <v>Loan</v>
      </c>
      <c r="T600" s="145" t="str">
        <f>IFERROR(__xludf.DUMMYFUNCTION("""COMPUTED_VALUE"""),"Tesla Model 3")</f>
        <v>Tesla Model 3</v>
      </c>
      <c r="U600" s="145" t="str">
        <f>IFERROR(__xludf.DUMMYFUNCTION("""COMPUTED_VALUE"""),"Electric!")</f>
        <v>Electric!</v>
      </c>
      <c r="V600" s="145" t="str">
        <f>IFERROR(__xludf.DUMMYFUNCTION("""COMPUTED_VALUE"""),"Blind spot indicators on side mirrors")</f>
        <v>Blind spot indicators on side mirrors</v>
      </c>
      <c r="W600" s="145" t="str">
        <f>IFERROR(__xludf.DUMMYFUNCTION("""COMPUTED_VALUE"""),"Do take the time to look it over.  You'll be excited but point out what you see when you take it so they know right away")</f>
        <v>Do take the time to look it over.  You'll be excited but point out what you see when you take it so they know right away</v>
      </c>
      <c r="X600" s="137" t="str">
        <f>IFERROR(__xludf.DUMMYFUNCTION("""COMPUTED_VALUE"""),"Very Good")</f>
        <v>Very Good</v>
      </c>
      <c r="Y600" s="138" t="str">
        <f>IFERROR(__xludf.DUMMYFUNCTION("""COMPUTED_VALUE"""),"Excellent")</f>
        <v>Excellent</v>
      </c>
      <c r="Z600" s="138" t="str">
        <f>IFERROR(__xludf.DUMMYFUNCTION("""COMPUTED_VALUE"""),"Excellent")</f>
        <v>Excellent</v>
      </c>
      <c r="AA600" s="138" t="str">
        <f>IFERROR(__xludf.DUMMYFUNCTION("""COMPUTED_VALUE"""),"Excellent")</f>
        <v>Excellent</v>
      </c>
      <c r="AB600" s="138" t="str">
        <f>IFERROR(__xludf.DUMMYFUNCTION("""COMPUTED_VALUE"""),"Excellent")</f>
        <v>Excellent</v>
      </c>
      <c r="AC600" s="139">
        <f>IFERROR(__xludf.DUMMYFUNCTION("""COMPUTED_VALUE"""),2.0)</f>
        <v>2</v>
      </c>
      <c r="AD600" s="139"/>
      <c r="AE600" s="139"/>
      <c r="AF600" s="140" t="str">
        <f>IFERROR(__xludf.DUMMYFUNCTION("""COMPUTED_VALUE"""),"No. I took delivery of the first car Tesla was able to deliver.")</f>
        <v>No. I took delivery of the first car Tesla was able to deliver.</v>
      </c>
      <c r="AG600" s="145"/>
      <c r="AH600" s="157">
        <f>IFERROR(__xludf.DUMMYFUNCTION("""COMPUTED_VALUE"""),44406.715641180555)</f>
        <v>44406.71564</v>
      </c>
      <c r="AI600" s="138"/>
      <c r="AJ600" s="138"/>
      <c r="AK600" s="138"/>
      <c r="AL600" s="142"/>
    </row>
    <row r="601" ht="20.25" customHeight="1">
      <c r="A601" s="155" t="str">
        <f>IFERROR(__xludf.DUMMYFUNCTION("""COMPUTED_VALUE"""),"PhantomQ5")</f>
        <v>PhantomQ5</v>
      </c>
      <c r="B601" s="149" t="str">
        <f>IFERROR(__xludf.DUMMYFUNCTION("""COMPUTED_VALUE"""),"Vancouver")</f>
        <v>Vancouver</v>
      </c>
      <c r="C601" s="149" t="str">
        <f>IFERROR(__xludf.DUMMYFUNCTION("""COMPUTED_VALUE"""),"BC")</f>
        <v>BC</v>
      </c>
      <c r="D601" s="149" t="str">
        <f>IFERROR(__xludf.DUMMYFUNCTION("""COMPUTED_VALUE"""),"Canada")</f>
        <v>Canada</v>
      </c>
      <c r="E601" s="156">
        <f>IFERROR(__xludf.DUMMYFUNCTION("""COMPUTED_VALUE"""),44363.0)</f>
        <v>44363</v>
      </c>
      <c r="F601" s="129">
        <f>IFERROR(__xludf.DUMMYFUNCTION("""COMPUTED_VALUE"""),44412.0)</f>
        <v>44412</v>
      </c>
      <c r="G601" s="154" t="str">
        <f>IFERROR(__xludf.DUMMYFUNCTION("""COMPUTED_VALUE"""),"Manage order page (normal text)")</f>
        <v>Manage order page (normal text)</v>
      </c>
      <c r="H601" s="131"/>
      <c r="I601" s="144"/>
      <c r="J601" s="129">
        <f>IFERROR(__xludf.DUMMYFUNCTION("""COMPUTED_VALUE"""),44416.0)</f>
        <v>44416</v>
      </c>
      <c r="K601" s="133">
        <f>IFERROR(__xludf.DUMMYFUNCTION("""COMPUTED_VALUE"""),49.0)</f>
        <v>49</v>
      </c>
      <c r="L601" s="133">
        <f>IFERROR(__xludf.DUMMYFUNCTION("""COMPUTED_VALUE"""),4.0)</f>
        <v>4</v>
      </c>
      <c r="M601" s="133">
        <f>IFERROR(__xludf.DUMMYFUNCTION("""COMPUTED_VALUE"""),53.0)</f>
        <v>53</v>
      </c>
      <c r="N601" s="152" t="str">
        <f>IFERROR(__xludf.DUMMYFUNCTION("""COMPUTED_VALUE"""),"Model 3 SR+")</f>
        <v>Model 3 SR+</v>
      </c>
      <c r="O601" s="152" t="str">
        <f>IFERROR(__xludf.DUMMYFUNCTION("""COMPUTED_VALUE"""),"Pearl White Multi-Coat")</f>
        <v>Pearl White Multi-Coat</v>
      </c>
      <c r="P601" s="153" t="str">
        <f>IFERROR(__xludf.DUMMYFUNCTION("""COMPUTED_VALUE"""),"18 inch")</f>
        <v>18 inch</v>
      </c>
      <c r="Q601" s="152" t="str">
        <f>IFERROR(__xludf.DUMMYFUNCTION("""COMPUTED_VALUE"""),"All Black")</f>
        <v>All Black</v>
      </c>
      <c r="R601" s="149"/>
      <c r="S601" s="149" t="str">
        <f>IFERROR(__xludf.DUMMYFUNCTION("""COMPUTED_VALUE"""),"Loan")</f>
        <v>Loan</v>
      </c>
      <c r="T601" s="145" t="str">
        <f>IFERROR(__xludf.DUMMYFUNCTION("""COMPUTED_VALUE"""),"Audi Q5")</f>
        <v>Audi Q5</v>
      </c>
      <c r="U601" s="145"/>
      <c r="V601" s="145"/>
      <c r="W601" s="145"/>
      <c r="X601" s="137"/>
      <c r="Y601" s="138"/>
      <c r="Z601" s="138"/>
      <c r="AA601" s="138"/>
      <c r="AB601" s="138"/>
      <c r="AC601" s="139"/>
      <c r="AD601" s="139"/>
      <c r="AE601" s="139"/>
      <c r="AF601" s="140"/>
      <c r="AG601" s="145"/>
      <c r="AH601" s="157">
        <f>IFERROR(__xludf.DUMMYFUNCTION("""COMPUTED_VALUE"""),44412.43754792824)</f>
        <v>44412.43755</v>
      </c>
      <c r="AI601" s="138"/>
      <c r="AJ601" s="138"/>
      <c r="AK601" s="138"/>
      <c r="AL601" s="142"/>
    </row>
    <row r="602" ht="20.25" customHeight="1">
      <c r="A602" s="155" t="str">
        <f>IFERROR(__xludf.DUMMYFUNCTION("""COMPUTED_VALUE"""),"Timdoggg85")</f>
        <v>Timdoggg85</v>
      </c>
      <c r="B602" s="149" t="str">
        <f>IFERROR(__xludf.DUMMYFUNCTION("""COMPUTED_VALUE"""),"Miami")</f>
        <v>Miami</v>
      </c>
      <c r="C602" s="149" t="str">
        <f>IFERROR(__xludf.DUMMYFUNCTION("""COMPUTED_VALUE"""),"FL")</f>
        <v>FL</v>
      </c>
      <c r="D602" s="149" t="str">
        <f>IFERROR(__xludf.DUMMYFUNCTION("""COMPUTED_VALUE"""),"USA")</f>
        <v>USA</v>
      </c>
      <c r="E602" s="156">
        <f>IFERROR(__xludf.DUMMYFUNCTION("""COMPUTED_VALUE"""),44363.0)</f>
        <v>44363</v>
      </c>
      <c r="F602" s="129">
        <f>IFERROR(__xludf.DUMMYFUNCTION("""COMPUTED_VALUE"""),44408.0)</f>
        <v>44408</v>
      </c>
      <c r="G602" s="154" t="str">
        <f>IFERROR(__xludf.DUMMYFUNCTION("""COMPUTED_VALUE"""),"Manage order page (normal text)")</f>
        <v>Manage order page (normal text)</v>
      </c>
      <c r="H602" s="131"/>
      <c r="I602" s="144"/>
      <c r="J602" s="129"/>
      <c r="K602" s="133">
        <f>IFERROR(__xludf.DUMMYFUNCTION("""COMPUTED_VALUE"""),45.0)</f>
        <v>45</v>
      </c>
      <c r="L602" s="133"/>
      <c r="M602" s="133"/>
      <c r="N602" s="152" t="str">
        <f>IFERROR(__xludf.DUMMYFUNCTION("""COMPUTED_VALUE"""),"Model 3 SR+")</f>
        <v>Model 3 SR+</v>
      </c>
      <c r="O602" s="152" t="str">
        <f>IFERROR(__xludf.DUMMYFUNCTION("""COMPUTED_VALUE"""),"Solid Black")</f>
        <v>Solid Black</v>
      </c>
      <c r="P602" s="153" t="str">
        <f>IFERROR(__xludf.DUMMYFUNCTION("""COMPUTED_VALUE"""),"18 inch")</f>
        <v>18 inch</v>
      </c>
      <c r="Q602" s="152" t="str">
        <f>IFERROR(__xludf.DUMMYFUNCTION("""COMPUTED_VALUE"""),"All Black")</f>
        <v>All Black</v>
      </c>
      <c r="R602" s="149" t="str">
        <f>IFERROR(__xludf.DUMMYFUNCTION("""COMPUTED_VALUE"""),"Autopilot included")</f>
        <v>Autopilot included</v>
      </c>
      <c r="S602" s="149" t="str">
        <f>IFERROR(__xludf.DUMMYFUNCTION("""COMPUTED_VALUE"""),"Loan")</f>
        <v>Loan</v>
      </c>
      <c r="T602" s="145"/>
      <c r="U602" s="145" t="str">
        <f>IFERROR(__xludf.DUMMYFUNCTION("""COMPUTED_VALUE"""),"Electric!")</f>
        <v>Electric!</v>
      </c>
      <c r="V602" s="145" t="str">
        <f>IFERROR(__xludf.DUMMYFUNCTION("""COMPUTED_VALUE"""),"360° Bird's eye view")</f>
        <v>360° Bird's eye view</v>
      </c>
      <c r="W602" s="145"/>
      <c r="X602" s="137"/>
      <c r="Y602" s="138"/>
      <c r="Z602" s="138"/>
      <c r="AA602" s="138"/>
      <c r="AB602" s="138"/>
      <c r="AC602" s="139"/>
      <c r="AD602" s="139"/>
      <c r="AE602" s="139"/>
      <c r="AF602" s="140"/>
      <c r="AG602" s="145"/>
      <c r="AH602" s="157">
        <f>IFERROR(__xludf.DUMMYFUNCTION("""COMPUTED_VALUE"""),44424.44885784722)</f>
        <v>44424.44886</v>
      </c>
      <c r="AI602" s="138"/>
      <c r="AJ602" s="138"/>
      <c r="AK602" s="138"/>
      <c r="AL602" s="142"/>
    </row>
    <row r="603" ht="20.25" customHeight="1">
      <c r="A603" s="155" t="str">
        <f>IFERROR(__xludf.DUMMYFUNCTION("""COMPUTED_VALUE"""),"ajw1293")</f>
        <v>ajw1293</v>
      </c>
      <c r="B603" s="149" t="str">
        <f>IFERROR(__xludf.DUMMYFUNCTION("""COMPUTED_VALUE"""),"Forney")</f>
        <v>Forney</v>
      </c>
      <c r="C603" s="149" t="str">
        <f>IFERROR(__xludf.DUMMYFUNCTION("""COMPUTED_VALUE"""),"TX")</f>
        <v>TX</v>
      </c>
      <c r="D603" s="149" t="str">
        <f>IFERROR(__xludf.DUMMYFUNCTION("""COMPUTED_VALUE"""),"USA")</f>
        <v>USA</v>
      </c>
      <c r="E603" s="156">
        <f>IFERROR(__xludf.DUMMYFUNCTION("""COMPUTED_VALUE"""),44362.0)</f>
        <v>44362</v>
      </c>
      <c r="F603" s="129"/>
      <c r="G603" s="154" t="str">
        <f>IFERROR(__xludf.DUMMYFUNCTION("""COMPUTED_VALUE"""),"Manage order page (normal text)")</f>
        <v>Manage order page (normal text)</v>
      </c>
      <c r="H603" s="131">
        <f>IFERROR(__xludf.DUMMYFUNCTION("""COMPUTED_VALUE"""),35555.0)</f>
        <v>35555</v>
      </c>
      <c r="I603" s="144"/>
      <c r="J603" s="129"/>
      <c r="K603" s="133"/>
      <c r="L603" s="133"/>
      <c r="M603" s="133"/>
      <c r="N603" s="152" t="str">
        <f>IFERROR(__xludf.DUMMYFUNCTION("""COMPUTED_VALUE"""),"Model 3 Performance")</f>
        <v>Model 3 Performance</v>
      </c>
      <c r="O603" s="152" t="str">
        <f>IFERROR(__xludf.DUMMYFUNCTION("""COMPUTED_VALUE"""),"Pearl White Multi-Coat")</f>
        <v>Pearl White Multi-Coat</v>
      </c>
      <c r="P603" s="153" t="str">
        <f>IFERROR(__xludf.DUMMYFUNCTION("""COMPUTED_VALUE"""),"20 inch")</f>
        <v>20 inch</v>
      </c>
      <c r="Q603" s="152" t="str">
        <f>IFERROR(__xludf.DUMMYFUNCTION("""COMPUTED_VALUE"""),"Black and White")</f>
        <v>Black and White</v>
      </c>
      <c r="R603" s="149" t="str">
        <f>IFERROR(__xludf.DUMMYFUNCTION("""COMPUTED_VALUE"""),"Autopilot included")</f>
        <v>Autopilot included</v>
      </c>
      <c r="S603" s="149" t="str">
        <f>IFERROR(__xludf.DUMMYFUNCTION("""COMPUTED_VALUE"""),"Loan")</f>
        <v>Loan</v>
      </c>
      <c r="T603" s="145" t="str">
        <f>IFERROR(__xludf.DUMMYFUNCTION("""COMPUTED_VALUE"""),"Hyundai Genesis Coupe")</f>
        <v>Hyundai Genesis Coupe</v>
      </c>
      <c r="U603" s="145" t="str">
        <f>IFERROR(__xludf.DUMMYFUNCTION("""COMPUTED_VALUE"""),"Electric!")</f>
        <v>Electric!</v>
      </c>
      <c r="V603" s="145" t="str">
        <f>IFERROR(__xludf.DUMMYFUNCTION("""COMPUTED_VALUE"""),"Head-up display")</f>
        <v>Head-up display</v>
      </c>
      <c r="W603" s="145"/>
      <c r="X603" s="137"/>
      <c r="Y603" s="138"/>
      <c r="Z603" s="138"/>
      <c r="AA603" s="138"/>
      <c r="AB603" s="138"/>
      <c r="AC603" s="139"/>
      <c r="AD603" s="139"/>
      <c r="AE603" s="139"/>
      <c r="AF603" s="140"/>
      <c r="AG603" s="145"/>
      <c r="AH603" s="157">
        <f>IFERROR(__xludf.DUMMYFUNCTION("""COMPUTED_VALUE"""),44425.278280983795)</f>
        <v>44425.27828</v>
      </c>
      <c r="AI603" s="138"/>
      <c r="AJ603" s="138"/>
      <c r="AK603" s="138"/>
      <c r="AL603" s="142"/>
    </row>
    <row r="604" ht="20.25" customHeight="1">
      <c r="A604" s="155" t="str">
        <f>IFERROR(__xludf.DUMMYFUNCTION("""COMPUTED_VALUE"""),"Beany")</f>
        <v>Beany</v>
      </c>
      <c r="B604" s="149" t="str">
        <f>IFERROR(__xludf.DUMMYFUNCTION("""COMPUTED_VALUE"""),"Los Angeles")</f>
        <v>Los Angeles</v>
      </c>
      <c r="C604" s="149" t="str">
        <f>IFERROR(__xludf.DUMMYFUNCTION("""COMPUTED_VALUE"""),"CA")</f>
        <v>CA</v>
      </c>
      <c r="D604" s="149" t="str">
        <f>IFERROR(__xludf.DUMMYFUNCTION("""COMPUTED_VALUE"""),"USA")</f>
        <v>USA</v>
      </c>
      <c r="E604" s="156">
        <f>IFERROR(__xludf.DUMMYFUNCTION("""COMPUTED_VALUE"""),44362.0)</f>
        <v>44362</v>
      </c>
      <c r="F604" s="129">
        <f>IFERROR(__xludf.DUMMYFUNCTION("""COMPUTED_VALUE"""),44412.0)</f>
        <v>44412</v>
      </c>
      <c r="G604" s="154" t="str">
        <f>IFERROR(__xludf.DUMMYFUNCTION("""COMPUTED_VALUE"""),"Manage order page (normal text)")</f>
        <v>Manage order page (normal text)</v>
      </c>
      <c r="H604" s="131">
        <f>IFERROR(__xludf.DUMMYFUNCTION("""COMPUTED_VALUE"""),30814.0)</f>
        <v>30814</v>
      </c>
      <c r="I604" s="144"/>
      <c r="J604" s="129">
        <f>IFERROR(__xludf.DUMMYFUNCTION("""COMPUTED_VALUE"""),44416.0)</f>
        <v>44416</v>
      </c>
      <c r="K604" s="133">
        <f>IFERROR(__xludf.DUMMYFUNCTION("""COMPUTED_VALUE"""),50.0)</f>
        <v>50</v>
      </c>
      <c r="L604" s="133">
        <f>IFERROR(__xludf.DUMMYFUNCTION("""COMPUTED_VALUE"""),4.0)</f>
        <v>4</v>
      </c>
      <c r="M604" s="133">
        <f>IFERROR(__xludf.DUMMYFUNCTION("""COMPUTED_VALUE"""),54.0)</f>
        <v>54</v>
      </c>
      <c r="N604" s="152" t="str">
        <f>IFERROR(__xludf.DUMMYFUNCTION("""COMPUTED_VALUE"""),"Model 3 Performance")</f>
        <v>Model 3 Performance</v>
      </c>
      <c r="O604" s="152" t="str">
        <f>IFERROR(__xludf.DUMMYFUNCTION("""COMPUTED_VALUE"""),"Red Multi-Coat")</f>
        <v>Red Multi-Coat</v>
      </c>
      <c r="P604" s="153" t="str">
        <f>IFERROR(__xludf.DUMMYFUNCTION("""COMPUTED_VALUE"""),"20 inch")</f>
        <v>20 inch</v>
      </c>
      <c r="Q604" s="152" t="str">
        <f>IFERROR(__xludf.DUMMYFUNCTION("""COMPUTED_VALUE"""),"Black and White")</f>
        <v>Black and White</v>
      </c>
      <c r="R604" s="149" t="str">
        <f>IFERROR(__xludf.DUMMYFUNCTION("""COMPUTED_VALUE"""),"Autopilot included")</f>
        <v>Autopilot included</v>
      </c>
      <c r="S604" s="149" t="str">
        <f>IFERROR(__xludf.DUMMYFUNCTION("""COMPUTED_VALUE"""),"Loan")</f>
        <v>Loan</v>
      </c>
      <c r="T604" s="145" t="str">
        <f>IFERROR(__xludf.DUMMYFUNCTION("""COMPUTED_VALUE"""),"Model 3 will be my first car!")</f>
        <v>Model 3 will be my first car!</v>
      </c>
      <c r="U604" s="145" t="str">
        <f>IFERROR(__xludf.DUMMYFUNCTION("""COMPUTED_VALUE"""),"Electric!")</f>
        <v>Electric!</v>
      </c>
      <c r="V604" s="145" t="str">
        <f>IFERROR(__xludf.DUMMYFUNCTION("""COMPUTED_VALUE"""),"360° Bird's eye view")</f>
        <v>360° Bird's eye view</v>
      </c>
      <c r="W604" s="145"/>
      <c r="X604" s="137"/>
      <c r="Y604" s="138"/>
      <c r="Z604" s="138"/>
      <c r="AA604" s="138"/>
      <c r="AB604" s="138"/>
      <c r="AC604" s="139"/>
      <c r="AD604" s="139"/>
      <c r="AE604" s="139"/>
      <c r="AF604" s="140"/>
      <c r="AG604" s="145"/>
      <c r="AH604" s="157">
        <f>IFERROR(__xludf.DUMMYFUNCTION("""COMPUTED_VALUE"""),44412.38336738426)</f>
        <v>44412.38337</v>
      </c>
      <c r="AI604" s="138"/>
      <c r="AJ604" s="138"/>
      <c r="AK604" s="138"/>
      <c r="AL604" s="142"/>
    </row>
    <row r="605" ht="20.25" customHeight="1">
      <c r="A605" s="155" t="str">
        <f>IFERROR(__xludf.DUMMYFUNCTION("""COMPUTED_VALUE"""),"CorruptedJosh")</f>
        <v>CorruptedJosh</v>
      </c>
      <c r="B605" s="149" t="str">
        <f>IFERROR(__xludf.DUMMYFUNCTION("""COMPUTED_VALUE"""),"Austin")</f>
        <v>Austin</v>
      </c>
      <c r="C605" s="149" t="str">
        <f>IFERROR(__xludf.DUMMYFUNCTION("""COMPUTED_VALUE"""),"TX")</f>
        <v>TX</v>
      </c>
      <c r="D605" s="149" t="str">
        <f>IFERROR(__xludf.DUMMYFUNCTION("""COMPUTED_VALUE"""),"USA")</f>
        <v>USA</v>
      </c>
      <c r="E605" s="156">
        <f>IFERROR(__xludf.DUMMYFUNCTION("""COMPUTED_VALUE"""),44362.0)</f>
        <v>44362</v>
      </c>
      <c r="F605" s="129">
        <f>IFERROR(__xludf.DUMMYFUNCTION("""COMPUTED_VALUE"""),44438.0)</f>
        <v>44438</v>
      </c>
      <c r="G605" s="154" t="str">
        <f>IFERROR(__xludf.DUMMYFUNCTION("""COMPUTED_VALUE"""),"Manage order page (normal text)")</f>
        <v>Manage order page (normal text)</v>
      </c>
      <c r="H605" s="131">
        <f>IFERROR(__xludf.DUMMYFUNCTION("""COMPUTED_VALUE"""),48155.0)</f>
        <v>48155</v>
      </c>
      <c r="I605" s="144"/>
      <c r="J605" s="129"/>
      <c r="K605" s="133">
        <f>IFERROR(__xludf.DUMMYFUNCTION("""COMPUTED_VALUE"""),76.0)</f>
        <v>76</v>
      </c>
      <c r="L605" s="133"/>
      <c r="M605" s="133"/>
      <c r="N605" s="152" t="str">
        <f>IFERROR(__xludf.DUMMYFUNCTION("""COMPUTED_VALUE"""),"Model 3 SR+")</f>
        <v>Model 3 SR+</v>
      </c>
      <c r="O605" s="152" t="str">
        <f>IFERROR(__xludf.DUMMYFUNCTION("""COMPUTED_VALUE"""),"Midnight Silver Metallic")</f>
        <v>Midnight Silver Metallic</v>
      </c>
      <c r="P605" s="153" t="str">
        <f>IFERROR(__xludf.DUMMYFUNCTION("""COMPUTED_VALUE"""),"18 inch")</f>
        <v>18 inch</v>
      </c>
      <c r="Q605" s="152" t="str">
        <f>IFERROR(__xludf.DUMMYFUNCTION("""COMPUTED_VALUE"""),"All Black")</f>
        <v>All Black</v>
      </c>
      <c r="R605" s="149" t="str">
        <f>IFERROR(__xludf.DUMMYFUNCTION("""COMPUTED_VALUE"""),"Autopilot included")</f>
        <v>Autopilot included</v>
      </c>
      <c r="S605" s="149" t="str">
        <f>IFERROR(__xludf.DUMMYFUNCTION("""COMPUTED_VALUE"""),"Loan")</f>
        <v>Loan</v>
      </c>
      <c r="T605" s="145" t="str">
        <f>IFERROR(__xludf.DUMMYFUNCTION("""COMPUTED_VALUE"""),"2017 Hyundai Elantra")</f>
        <v>2017 Hyundai Elantra</v>
      </c>
      <c r="U605" s="145"/>
      <c r="V605" s="145"/>
      <c r="W605" s="145"/>
      <c r="X605" s="137"/>
      <c r="Y605" s="138"/>
      <c r="Z605" s="138"/>
      <c r="AA605" s="138"/>
      <c r="AB605" s="138"/>
      <c r="AC605" s="139"/>
      <c r="AD605" s="139"/>
      <c r="AE605" s="139"/>
      <c r="AF605" s="140"/>
      <c r="AG605" s="145"/>
      <c r="AH605" s="157">
        <f>IFERROR(__xludf.DUMMYFUNCTION("""COMPUTED_VALUE"""),44438.345080081024)</f>
        <v>44438.34508</v>
      </c>
      <c r="AI605" s="138"/>
      <c r="AJ605" s="138"/>
      <c r="AK605" s="138"/>
      <c r="AL605" s="142"/>
    </row>
    <row r="606" ht="20.25" customHeight="1">
      <c r="A606" s="155" t="str">
        <f>IFERROR(__xludf.DUMMYFUNCTION("""COMPUTED_VALUE"""),"gdsoccer")</f>
        <v>gdsoccer</v>
      </c>
      <c r="B606" s="149" t="str">
        <f>IFERROR(__xludf.DUMMYFUNCTION("""COMPUTED_VALUE"""),"Columbus")</f>
        <v>Columbus</v>
      </c>
      <c r="C606" s="149" t="str">
        <f>IFERROR(__xludf.DUMMYFUNCTION("""COMPUTED_VALUE"""),"OH")</f>
        <v>OH</v>
      </c>
      <c r="D606" s="149" t="str">
        <f>IFERROR(__xludf.DUMMYFUNCTION("""COMPUTED_VALUE"""),"USA")</f>
        <v>USA</v>
      </c>
      <c r="E606" s="156">
        <f>IFERROR(__xludf.DUMMYFUNCTION("""COMPUTED_VALUE"""),44362.0)</f>
        <v>44362</v>
      </c>
      <c r="F606" s="129">
        <f>IFERROR(__xludf.DUMMYFUNCTION("""COMPUTED_VALUE"""),44426.0)</f>
        <v>44426</v>
      </c>
      <c r="G606" s="154" t="str">
        <f>IFERROR(__xludf.DUMMYFUNCTION("""COMPUTED_VALUE"""),"Manage order page (normal text)")</f>
        <v>Manage order page (normal text)</v>
      </c>
      <c r="H606" s="131"/>
      <c r="I606" s="144"/>
      <c r="J606" s="129">
        <f>IFERROR(__xludf.DUMMYFUNCTION("""COMPUTED_VALUE"""),44440.0)</f>
        <v>44440</v>
      </c>
      <c r="K606" s="133">
        <f>IFERROR(__xludf.DUMMYFUNCTION("""COMPUTED_VALUE"""),64.0)</f>
        <v>64</v>
      </c>
      <c r="L606" s="133">
        <f>IFERROR(__xludf.DUMMYFUNCTION("""COMPUTED_VALUE"""),14.0)</f>
        <v>14</v>
      </c>
      <c r="M606" s="133">
        <f>IFERROR(__xludf.DUMMYFUNCTION("""COMPUTED_VALUE"""),78.0)</f>
        <v>78</v>
      </c>
      <c r="N606" s="152" t="str">
        <f>IFERROR(__xludf.DUMMYFUNCTION("""COMPUTED_VALUE"""),"Model 3 LR AWD")</f>
        <v>Model 3 LR AWD</v>
      </c>
      <c r="O606" s="152" t="str">
        <f>IFERROR(__xludf.DUMMYFUNCTION("""COMPUTED_VALUE"""),"Deep Blue Metallic")</f>
        <v>Deep Blue Metallic</v>
      </c>
      <c r="P606" s="153" t="str">
        <f>IFERROR(__xludf.DUMMYFUNCTION("""COMPUTED_VALUE"""),"18 inch")</f>
        <v>18 inch</v>
      </c>
      <c r="Q606" s="152" t="str">
        <f>IFERROR(__xludf.DUMMYFUNCTION("""COMPUTED_VALUE"""),"All Black")</f>
        <v>All Black</v>
      </c>
      <c r="R606" s="149" t="str">
        <f>IFERROR(__xludf.DUMMYFUNCTION("""COMPUTED_VALUE"""),"Autopilot included")</f>
        <v>Autopilot included</v>
      </c>
      <c r="S606" s="149" t="str">
        <f>IFERROR(__xludf.DUMMYFUNCTION("""COMPUTED_VALUE"""),"Loan")</f>
        <v>Loan</v>
      </c>
      <c r="T606" s="145" t="str">
        <f>IFERROR(__xludf.DUMMYFUNCTION("""COMPUTED_VALUE"""),"Honda Civic")</f>
        <v>Honda Civic</v>
      </c>
      <c r="U606" s="145" t="str">
        <f>IFERROR(__xludf.DUMMYFUNCTION("""COMPUTED_VALUE"""),"Electric!")</f>
        <v>Electric!</v>
      </c>
      <c r="V606" s="145" t="str">
        <f>IFERROR(__xludf.DUMMYFUNCTION("""COMPUTED_VALUE"""),"Apple CarPlay / Android Auto / SiriusXM Radio")</f>
        <v>Apple CarPlay / Android Auto / SiriusXM Radio</v>
      </c>
      <c r="W606" s="145"/>
      <c r="X606" s="137"/>
      <c r="Y606" s="138"/>
      <c r="Z606" s="138"/>
      <c r="AA606" s="138"/>
      <c r="AB606" s="138"/>
      <c r="AC606" s="139"/>
      <c r="AD606" s="139"/>
      <c r="AE606" s="139"/>
      <c r="AF606" s="140"/>
      <c r="AG606" s="145"/>
      <c r="AH606" s="157">
        <f>IFERROR(__xludf.DUMMYFUNCTION("""COMPUTED_VALUE"""),44431.44453811343)</f>
        <v>44431.44454</v>
      </c>
      <c r="AI606" s="138"/>
      <c r="AJ606" s="138"/>
      <c r="AK606" s="138"/>
      <c r="AL606" s="142"/>
    </row>
    <row r="607" ht="20.25" customHeight="1">
      <c r="A607" s="155" t="str">
        <f>IFERROR(__xludf.DUMMYFUNCTION("""COMPUTED_VALUE"""),"SilverMccormi")</f>
        <v>SilverMccormi</v>
      </c>
      <c r="B607" s="149" t="str">
        <f>IFERROR(__xludf.DUMMYFUNCTION("""COMPUTED_VALUE"""),"Knoxville")</f>
        <v>Knoxville</v>
      </c>
      <c r="C607" s="149" t="str">
        <f>IFERROR(__xludf.DUMMYFUNCTION("""COMPUTED_VALUE"""),"TN")</f>
        <v>TN</v>
      </c>
      <c r="D607" s="149" t="str">
        <f>IFERROR(__xludf.DUMMYFUNCTION("""COMPUTED_VALUE"""),"USA")</f>
        <v>USA</v>
      </c>
      <c r="E607" s="156">
        <f>IFERROR(__xludf.DUMMYFUNCTION("""COMPUTED_VALUE"""),44362.0)</f>
        <v>44362</v>
      </c>
      <c r="F607" s="129">
        <f>IFERROR(__xludf.DUMMYFUNCTION("""COMPUTED_VALUE"""),44421.0)</f>
        <v>44421</v>
      </c>
      <c r="G607" s="154" t="str">
        <f>IFERROR(__xludf.DUMMYFUNCTION("""COMPUTED_VALUE"""),"Manage order page (normal text)")</f>
        <v>Manage order page (normal text)</v>
      </c>
      <c r="H607" s="131">
        <f>IFERROR(__xludf.DUMMYFUNCTION("""COMPUTED_VALUE"""),34212.0)</f>
        <v>34212</v>
      </c>
      <c r="I607" s="144"/>
      <c r="J607" s="129">
        <f>IFERROR(__xludf.DUMMYFUNCTION("""COMPUTED_VALUE"""),44436.0)</f>
        <v>44436</v>
      </c>
      <c r="K607" s="133">
        <f>IFERROR(__xludf.DUMMYFUNCTION("""COMPUTED_VALUE"""),59.0)</f>
        <v>59</v>
      </c>
      <c r="L607" s="133">
        <f>IFERROR(__xludf.DUMMYFUNCTION("""COMPUTED_VALUE"""),15.0)</f>
        <v>15</v>
      </c>
      <c r="M607" s="133">
        <f>IFERROR(__xludf.DUMMYFUNCTION("""COMPUTED_VALUE"""),74.0)</f>
        <v>74</v>
      </c>
      <c r="N607" s="152" t="str">
        <f>IFERROR(__xludf.DUMMYFUNCTION("""COMPUTED_VALUE"""),"Model 3 LR AWD")</f>
        <v>Model 3 LR AWD</v>
      </c>
      <c r="O607" s="152" t="str">
        <f>IFERROR(__xludf.DUMMYFUNCTION("""COMPUTED_VALUE"""),"Midnight Silver Metallic")</f>
        <v>Midnight Silver Metallic</v>
      </c>
      <c r="P607" s="153" t="str">
        <f>IFERROR(__xludf.DUMMYFUNCTION("""COMPUTED_VALUE"""),"18 inch")</f>
        <v>18 inch</v>
      </c>
      <c r="Q607" s="152" t="str">
        <f>IFERROR(__xludf.DUMMYFUNCTION("""COMPUTED_VALUE"""),"Black and White")</f>
        <v>Black and White</v>
      </c>
      <c r="R607" s="149" t="str">
        <f>IFERROR(__xludf.DUMMYFUNCTION("""COMPUTED_VALUE"""),"Autopilot included")</f>
        <v>Autopilot included</v>
      </c>
      <c r="S607" s="149" t="str">
        <f>IFERROR(__xludf.DUMMYFUNCTION("""COMPUTED_VALUE"""),"Loan")</f>
        <v>Loan</v>
      </c>
      <c r="T607" s="145" t="str">
        <f>IFERROR(__xludf.DUMMYFUNCTION("""COMPUTED_VALUE"""),"Mercedes R350")</f>
        <v>Mercedes R350</v>
      </c>
      <c r="U607" s="145" t="str">
        <f>IFERROR(__xludf.DUMMYFUNCTION("""COMPUTED_VALUE"""),"Electric!")</f>
        <v>Electric!</v>
      </c>
      <c r="V607" s="145" t="str">
        <f>IFERROR(__xludf.DUMMYFUNCTION("""COMPUTED_VALUE"""),"Head-up display")</f>
        <v>Head-up display</v>
      </c>
      <c r="W607" s="145" t="str">
        <f>IFERROR(__xludf.DUMMYFUNCTION("""COMPUTED_VALUE"""),"Original delivery estimate is ver close, ignore EDD unless it is &gt;10 days, than still wrong, but you are close")</f>
        <v>Original delivery estimate is ver close, ignore EDD unless it is &gt;10 days, than still wrong, but you are close</v>
      </c>
      <c r="X607" s="137" t="str">
        <f>IFERROR(__xludf.DUMMYFUNCTION("""COMPUTED_VALUE"""),"Excellent")</f>
        <v>Excellent</v>
      </c>
      <c r="Y607" s="138" t="str">
        <f>IFERROR(__xludf.DUMMYFUNCTION("""COMPUTED_VALUE"""),"Excellent")</f>
        <v>Excellent</v>
      </c>
      <c r="Z607" s="138" t="str">
        <f>IFERROR(__xludf.DUMMYFUNCTION("""COMPUTED_VALUE"""),"Very Good")</f>
        <v>Very Good</v>
      </c>
      <c r="AA607" s="138" t="str">
        <f>IFERROR(__xludf.DUMMYFUNCTION("""COMPUTED_VALUE"""),"Excellent")</f>
        <v>Excellent</v>
      </c>
      <c r="AB607" s="138" t="str">
        <f>IFERROR(__xludf.DUMMYFUNCTION("""COMPUTED_VALUE"""),"Excellent")</f>
        <v>Excellent</v>
      </c>
      <c r="AC607" s="139">
        <f>IFERROR(__xludf.DUMMYFUNCTION("""COMPUTED_VALUE"""),2.0)</f>
        <v>2</v>
      </c>
      <c r="AD607" s="139">
        <f>IFERROR(__xludf.DUMMYFUNCTION("""COMPUTED_VALUE"""),1.0)</f>
        <v>1</v>
      </c>
      <c r="AE607" s="139">
        <f>IFERROR(__xludf.DUMMYFUNCTION("""COMPUTED_VALUE"""),0.0)</f>
        <v>0</v>
      </c>
      <c r="AF607" s="140" t="str">
        <f>IFERROR(__xludf.DUMMYFUNCTION("""COMPUTED_VALUE"""),"No. I took delivery of the first car Tesla was able to deliver.")</f>
        <v>No. I took delivery of the first car Tesla was able to deliver.</v>
      </c>
      <c r="AG607" s="145"/>
      <c r="AH607" s="157">
        <f>IFERROR(__xludf.DUMMYFUNCTION("""COMPUTED_VALUE"""),44441.14037616898)</f>
        <v>44441.14038</v>
      </c>
      <c r="AI607" s="138"/>
      <c r="AJ607" s="138"/>
      <c r="AK607" s="138"/>
      <c r="AL607" s="142"/>
    </row>
    <row r="608" ht="20.25" customHeight="1">
      <c r="A608" s="155" t="str">
        <f>IFERROR(__xludf.DUMMYFUNCTION("""COMPUTED_VALUE"""),"Skal")</f>
        <v>Skal</v>
      </c>
      <c r="B608" s="149" t="str">
        <f>IFERROR(__xludf.DUMMYFUNCTION("""COMPUTED_VALUE"""),"Jacksonville")</f>
        <v>Jacksonville</v>
      </c>
      <c r="C608" s="149" t="str">
        <f>IFERROR(__xludf.DUMMYFUNCTION("""COMPUTED_VALUE"""),"FL")</f>
        <v>FL</v>
      </c>
      <c r="D608" s="149" t="str">
        <f>IFERROR(__xludf.DUMMYFUNCTION("""COMPUTED_VALUE"""),"USA")</f>
        <v>USA</v>
      </c>
      <c r="E608" s="156">
        <f>IFERROR(__xludf.DUMMYFUNCTION("""COMPUTED_VALUE"""),44362.0)</f>
        <v>44362</v>
      </c>
      <c r="F608" s="129">
        <f>IFERROR(__xludf.DUMMYFUNCTION("""COMPUTED_VALUE"""),44411.0)</f>
        <v>44411</v>
      </c>
      <c r="G608" s="154" t="str">
        <f>IFERROR(__xludf.DUMMYFUNCTION("""COMPUTED_VALUE"""),"Email")</f>
        <v>Email</v>
      </c>
      <c r="H608" s="131">
        <f>IFERROR(__xludf.DUMMYFUNCTION("""COMPUTED_VALUE"""),29570.0)</f>
        <v>29570</v>
      </c>
      <c r="I608" s="144"/>
      <c r="J608" s="129">
        <f>IFERROR(__xludf.DUMMYFUNCTION("""COMPUTED_VALUE"""),44426.0)</f>
        <v>44426</v>
      </c>
      <c r="K608" s="133">
        <f>IFERROR(__xludf.DUMMYFUNCTION("""COMPUTED_VALUE"""),49.0)</f>
        <v>49</v>
      </c>
      <c r="L608" s="133">
        <f>IFERROR(__xludf.DUMMYFUNCTION("""COMPUTED_VALUE"""),15.0)</f>
        <v>15</v>
      </c>
      <c r="M608" s="133">
        <f>IFERROR(__xludf.DUMMYFUNCTION("""COMPUTED_VALUE"""),64.0)</f>
        <v>64</v>
      </c>
      <c r="N608" s="152" t="str">
        <f>IFERROR(__xludf.DUMMYFUNCTION("""COMPUTED_VALUE"""),"Model 3 Performance")</f>
        <v>Model 3 Performance</v>
      </c>
      <c r="O608" s="152" t="str">
        <f>IFERROR(__xludf.DUMMYFUNCTION("""COMPUTED_VALUE"""),"Deep Blue Metallic")</f>
        <v>Deep Blue Metallic</v>
      </c>
      <c r="P608" s="153" t="str">
        <f>IFERROR(__xludf.DUMMYFUNCTION("""COMPUTED_VALUE"""),"20 inch")</f>
        <v>20 inch</v>
      </c>
      <c r="Q608" s="152" t="str">
        <f>IFERROR(__xludf.DUMMYFUNCTION("""COMPUTED_VALUE"""),"All Black")</f>
        <v>All Black</v>
      </c>
      <c r="R608" s="149" t="str">
        <f>IFERROR(__xludf.DUMMYFUNCTION("""COMPUTED_VALUE"""),"Autopilot included")</f>
        <v>Autopilot included</v>
      </c>
      <c r="S608" s="149" t="str">
        <f>IFERROR(__xludf.DUMMYFUNCTION("""COMPUTED_VALUE"""),"Cash")</f>
        <v>Cash</v>
      </c>
      <c r="T608" s="145" t="str">
        <f>IFERROR(__xludf.DUMMYFUNCTION("""COMPUTED_VALUE"""),"Chevrolet Corvette Stingray")</f>
        <v>Chevrolet Corvette Stingray</v>
      </c>
      <c r="U608" s="145" t="str">
        <f>IFERROR(__xludf.DUMMYFUNCTION("""COMPUTED_VALUE"""),"Supercharger V3 support")</f>
        <v>Supercharger V3 support</v>
      </c>
      <c r="V608" s="145" t="str">
        <f>IFERROR(__xludf.DUMMYFUNCTION("""COMPUTED_VALUE"""),"Head-up display")</f>
        <v>Head-up display</v>
      </c>
      <c r="W608" s="145"/>
      <c r="X608" s="137" t="str">
        <f>IFERROR(__xludf.DUMMYFUNCTION("""COMPUTED_VALUE"""),"Very Good")</f>
        <v>Very Good</v>
      </c>
      <c r="Y608" s="138" t="str">
        <f>IFERROR(__xludf.DUMMYFUNCTION("""COMPUTED_VALUE"""),"Very Good")</f>
        <v>Very Good</v>
      </c>
      <c r="Z608" s="138" t="str">
        <f>IFERROR(__xludf.DUMMYFUNCTION("""COMPUTED_VALUE"""),"Excellent")</f>
        <v>Excellent</v>
      </c>
      <c r="AA608" s="138" t="str">
        <f>IFERROR(__xludf.DUMMYFUNCTION("""COMPUTED_VALUE"""),"Good")</f>
        <v>Good</v>
      </c>
      <c r="AB608" s="138" t="str">
        <f>IFERROR(__xludf.DUMMYFUNCTION("""COMPUTED_VALUE"""),"Excellent")</f>
        <v>Excellent</v>
      </c>
      <c r="AC608" s="139">
        <f>IFERROR(__xludf.DUMMYFUNCTION("""COMPUTED_VALUE"""),4.0)</f>
        <v>4</v>
      </c>
      <c r="AD608" s="139">
        <f>IFERROR(__xludf.DUMMYFUNCTION("""COMPUTED_VALUE"""),1.0)</f>
        <v>1</v>
      </c>
      <c r="AE608" s="139"/>
      <c r="AF608" s="140" t="str">
        <f>IFERROR(__xludf.DUMMYFUNCTION("""COMPUTED_VALUE"""),"No. I took delivery of the first car Tesla was able to deliver.")</f>
        <v>No. I took delivery of the first car Tesla was able to deliver.</v>
      </c>
      <c r="AG608" s="145"/>
      <c r="AH608" s="157">
        <f>IFERROR(__xludf.DUMMYFUNCTION("""COMPUTED_VALUE"""),44433.774527291665)</f>
        <v>44433.77453</v>
      </c>
      <c r="AI608" s="138"/>
      <c r="AJ608" s="138"/>
      <c r="AK608" s="138"/>
      <c r="AL608" s="142"/>
    </row>
    <row r="609" ht="20.25" customHeight="1">
      <c r="A609" s="155" t="str">
        <f>IFERROR(__xludf.DUMMYFUNCTION("""COMPUTED_VALUE"""),"wdholm7783")</f>
        <v>wdholm7783</v>
      </c>
      <c r="B609" s="149" t="str">
        <f>IFERROR(__xludf.DUMMYFUNCTION("""COMPUTED_VALUE"""),"Ellijay")</f>
        <v>Ellijay</v>
      </c>
      <c r="C609" s="149" t="str">
        <f>IFERROR(__xludf.DUMMYFUNCTION("""COMPUTED_VALUE"""),"GA")</f>
        <v>GA</v>
      </c>
      <c r="D609" s="149" t="str">
        <f>IFERROR(__xludf.DUMMYFUNCTION("""COMPUTED_VALUE"""),"USA")</f>
        <v>USA</v>
      </c>
      <c r="E609" s="156">
        <f>IFERROR(__xludf.DUMMYFUNCTION("""COMPUTED_VALUE"""),44362.0)</f>
        <v>44362</v>
      </c>
      <c r="F609" s="129">
        <f>IFERROR(__xludf.DUMMYFUNCTION("""COMPUTED_VALUE"""),44393.0)</f>
        <v>44393</v>
      </c>
      <c r="G609" s="154" t="str">
        <f>IFERROR(__xludf.DUMMYFUNCTION("""COMPUTED_VALUE"""),"Grabbed existing vehicle")</f>
        <v>Grabbed existing vehicle</v>
      </c>
      <c r="H609" s="131"/>
      <c r="I609" s="144"/>
      <c r="J609" s="129">
        <f>IFERROR(__xludf.DUMMYFUNCTION("""COMPUTED_VALUE"""),44404.0)</f>
        <v>44404</v>
      </c>
      <c r="K609" s="133">
        <f>IFERROR(__xludf.DUMMYFUNCTION("""COMPUTED_VALUE"""),31.0)</f>
        <v>31</v>
      </c>
      <c r="L609" s="133">
        <f>IFERROR(__xludf.DUMMYFUNCTION("""COMPUTED_VALUE"""),11.0)</f>
        <v>11</v>
      </c>
      <c r="M609" s="133">
        <f>IFERROR(__xludf.DUMMYFUNCTION("""COMPUTED_VALUE"""),42.0)</f>
        <v>42</v>
      </c>
      <c r="N609" s="152" t="str">
        <f>IFERROR(__xludf.DUMMYFUNCTION("""COMPUTED_VALUE"""),"Model 3 LR AWD")</f>
        <v>Model 3 LR AWD</v>
      </c>
      <c r="O609" s="152" t="str">
        <f>IFERROR(__xludf.DUMMYFUNCTION("""COMPUTED_VALUE"""),"Solid Black")</f>
        <v>Solid Black</v>
      </c>
      <c r="P609" s="153" t="str">
        <f>IFERROR(__xludf.DUMMYFUNCTION("""COMPUTED_VALUE"""),"19 inch")</f>
        <v>19 inch</v>
      </c>
      <c r="Q609" s="152" t="str">
        <f>IFERROR(__xludf.DUMMYFUNCTION("""COMPUTED_VALUE"""),"Black and White")</f>
        <v>Black and White</v>
      </c>
      <c r="R609" s="149" t="str">
        <f>IFERROR(__xludf.DUMMYFUNCTION("""COMPUTED_VALUE"""),"Autopilot included")</f>
        <v>Autopilot included</v>
      </c>
      <c r="S609" s="149" t="str">
        <f>IFERROR(__xludf.DUMMYFUNCTION("""COMPUTED_VALUE"""),"Loan")</f>
        <v>Loan</v>
      </c>
      <c r="T609" s="145" t="str">
        <f>IFERROR(__xludf.DUMMYFUNCTION("""COMPUTED_VALUE"""),"BMW X3")</f>
        <v>BMW X3</v>
      </c>
      <c r="U609" s="145"/>
      <c r="V609" s="145"/>
      <c r="W609" s="145"/>
      <c r="X609" s="137"/>
      <c r="Y609" s="138"/>
      <c r="Z609" s="138"/>
      <c r="AA609" s="138"/>
      <c r="AB609" s="138"/>
      <c r="AC609" s="139"/>
      <c r="AD609" s="139"/>
      <c r="AE609" s="139"/>
      <c r="AF609" s="140"/>
      <c r="AG609" s="145"/>
      <c r="AH609" s="157">
        <f>IFERROR(__xludf.DUMMYFUNCTION("""COMPUTED_VALUE"""),44394.682948194444)</f>
        <v>44394.68295</v>
      </c>
      <c r="AI609" s="138"/>
      <c r="AJ609" s="138"/>
      <c r="AK609" s="138"/>
      <c r="AL609" s="142"/>
    </row>
    <row r="610" ht="20.25" customHeight="1">
      <c r="A610" s="155" t="str">
        <f>IFERROR(__xludf.DUMMYFUNCTION("""COMPUTED_VALUE"""),"ChrisGoessel")</f>
        <v>ChrisGoessel</v>
      </c>
      <c r="B610" s="149" t="str">
        <f>IFERROR(__xludf.DUMMYFUNCTION("""COMPUTED_VALUE"""),"Mannheim")</f>
        <v>Mannheim</v>
      </c>
      <c r="C610" s="149"/>
      <c r="D610" s="149" t="str">
        <f>IFERROR(__xludf.DUMMYFUNCTION("""COMPUTED_VALUE"""),"Germany")</f>
        <v>Germany</v>
      </c>
      <c r="E610" s="156">
        <f>IFERROR(__xludf.DUMMYFUNCTION("""COMPUTED_VALUE"""),44361.0)</f>
        <v>44361</v>
      </c>
      <c r="F610" s="129"/>
      <c r="G610" s="154"/>
      <c r="H610" s="131">
        <f>IFERROR(__xludf.DUMMYFUNCTION("""COMPUTED_VALUE"""),287158.0)</f>
        <v>287158</v>
      </c>
      <c r="I610" s="144" t="str">
        <f>IFERROR(__xludf.DUMMYFUNCTION("""COMPUTED_VALUE"""),"06/21")</f>
        <v>06/21</v>
      </c>
      <c r="J610" s="129">
        <f>IFERROR(__xludf.DUMMYFUNCTION("""COMPUTED_VALUE"""),44422.0)</f>
        <v>44422</v>
      </c>
      <c r="K610" s="133"/>
      <c r="L610" s="133"/>
      <c r="M610" s="133">
        <f>IFERROR(__xludf.DUMMYFUNCTION("""COMPUTED_VALUE"""),61.0)</f>
        <v>61</v>
      </c>
      <c r="N610" s="152" t="str">
        <f>IFERROR(__xludf.DUMMYFUNCTION("""COMPUTED_VALUE"""),"Model 3 SR+")</f>
        <v>Model 3 SR+</v>
      </c>
      <c r="O610" s="152" t="str">
        <f>IFERROR(__xludf.DUMMYFUNCTION("""COMPUTED_VALUE"""),"Pearl White Multi-Coat")</f>
        <v>Pearl White Multi-Coat</v>
      </c>
      <c r="P610" s="153" t="str">
        <f>IFERROR(__xludf.DUMMYFUNCTION("""COMPUTED_VALUE"""),"18 inch")</f>
        <v>18 inch</v>
      </c>
      <c r="Q610" s="152" t="str">
        <f>IFERROR(__xludf.DUMMYFUNCTION("""COMPUTED_VALUE"""),"Black and White")</f>
        <v>Black and White</v>
      </c>
      <c r="R610" s="149" t="str">
        <f>IFERROR(__xludf.DUMMYFUNCTION("""COMPUTED_VALUE"""),"Full Self-Driving")</f>
        <v>Full Self-Driving</v>
      </c>
      <c r="S610" s="149" t="str">
        <f>IFERROR(__xludf.DUMMYFUNCTION("""COMPUTED_VALUE"""),"Loan")</f>
        <v>Loan</v>
      </c>
      <c r="T610" s="145" t="str">
        <f>IFERROR(__xludf.DUMMYFUNCTION("""COMPUTED_VALUE"""),"Opel Corsa")</f>
        <v>Opel Corsa</v>
      </c>
      <c r="U610" s="145" t="str">
        <f>IFERROR(__xludf.DUMMYFUNCTION("""COMPUTED_VALUE"""),"Electric!")</f>
        <v>Electric!</v>
      </c>
      <c r="V610" s="145" t="str">
        <f>IFERROR(__xludf.DUMMYFUNCTION("""COMPUTED_VALUE"""),"Sunroof")</f>
        <v>Sunroof</v>
      </c>
      <c r="W610" s="145"/>
      <c r="X610" s="137" t="str">
        <f>IFERROR(__xludf.DUMMYFUNCTION("""COMPUTED_VALUE"""),"Good")</f>
        <v>Good</v>
      </c>
      <c r="Y610" s="138" t="str">
        <f>IFERROR(__xludf.DUMMYFUNCTION("""COMPUTED_VALUE"""),"Excellent")</f>
        <v>Excellent</v>
      </c>
      <c r="Z610" s="138" t="str">
        <f>IFERROR(__xludf.DUMMYFUNCTION("""COMPUTED_VALUE"""),"Excellent")</f>
        <v>Excellent</v>
      </c>
      <c r="AA610" s="138" t="str">
        <f>IFERROR(__xludf.DUMMYFUNCTION("""COMPUTED_VALUE"""),"Good")</f>
        <v>Good</v>
      </c>
      <c r="AB610" s="138" t="str">
        <f>IFERROR(__xludf.DUMMYFUNCTION("""COMPUTED_VALUE"""),"Good")</f>
        <v>Good</v>
      </c>
      <c r="AC610" s="139"/>
      <c r="AD610" s="139"/>
      <c r="AE610" s="139"/>
      <c r="AF610" s="140" t="str">
        <f>IFERROR(__xludf.DUMMYFUNCTION("""COMPUTED_VALUE"""),"No. I took delivery of the first car Tesla was able to deliver.")</f>
        <v>No. I took delivery of the first car Tesla was able to deliver.</v>
      </c>
      <c r="AG610" s="145"/>
      <c r="AH610" s="157">
        <f>IFERROR(__xludf.DUMMYFUNCTION("""COMPUTED_VALUE"""),44422.20629682871)</f>
        <v>44422.2063</v>
      </c>
      <c r="AI610" s="138"/>
      <c r="AJ610" s="138"/>
      <c r="AK610" s="138"/>
      <c r="AL610" s="142"/>
    </row>
    <row r="611" ht="20.25" customHeight="1">
      <c r="A611" s="155" t="str">
        <f>IFERROR(__xludf.DUMMYFUNCTION("""COMPUTED_VALUE"""),"Funtastic")</f>
        <v>Funtastic</v>
      </c>
      <c r="B611" s="149" t="str">
        <f>IFERROR(__xludf.DUMMYFUNCTION("""COMPUTED_VALUE"""),"Hanover")</f>
        <v>Hanover</v>
      </c>
      <c r="C611" s="149" t="str">
        <f>IFERROR(__xludf.DUMMYFUNCTION("""COMPUTED_VALUE"""),"MD")</f>
        <v>MD</v>
      </c>
      <c r="D611" s="149" t="str">
        <f>IFERROR(__xludf.DUMMYFUNCTION("""COMPUTED_VALUE"""),"USA")</f>
        <v>USA</v>
      </c>
      <c r="E611" s="156">
        <f>IFERROR(__xludf.DUMMYFUNCTION("""COMPUTED_VALUE"""),44361.0)</f>
        <v>44361</v>
      </c>
      <c r="F611" s="129">
        <f>IFERROR(__xludf.DUMMYFUNCTION("""COMPUTED_VALUE"""),44417.0)</f>
        <v>44417</v>
      </c>
      <c r="G611" s="154" t="str">
        <f>IFERROR(__xludf.DUMMYFUNCTION("""COMPUTED_VALUE"""),"Manage order page (normal text)")</f>
        <v>Manage order page (normal text)</v>
      </c>
      <c r="H611" s="131">
        <f>IFERROR(__xludf.DUMMYFUNCTION("""COMPUTED_VALUE"""),34952.0)</f>
        <v>34952</v>
      </c>
      <c r="I611" s="144"/>
      <c r="J611" s="129">
        <f>IFERROR(__xludf.DUMMYFUNCTION("""COMPUTED_VALUE"""),44429.0)</f>
        <v>44429</v>
      </c>
      <c r="K611" s="133">
        <f>IFERROR(__xludf.DUMMYFUNCTION("""COMPUTED_VALUE"""),56.0)</f>
        <v>56</v>
      </c>
      <c r="L611" s="133">
        <f>IFERROR(__xludf.DUMMYFUNCTION("""COMPUTED_VALUE"""),12.0)</f>
        <v>12</v>
      </c>
      <c r="M611" s="133">
        <f>IFERROR(__xludf.DUMMYFUNCTION("""COMPUTED_VALUE"""),68.0)</f>
        <v>68</v>
      </c>
      <c r="N611" s="152" t="str">
        <f>IFERROR(__xludf.DUMMYFUNCTION("""COMPUTED_VALUE"""),"Model 3 LR AWD")</f>
        <v>Model 3 LR AWD</v>
      </c>
      <c r="O611" s="152" t="str">
        <f>IFERROR(__xludf.DUMMYFUNCTION("""COMPUTED_VALUE"""),"Red Multi-Coat")</f>
        <v>Red Multi-Coat</v>
      </c>
      <c r="P611" s="153" t="str">
        <f>IFERROR(__xludf.DUMMYFUNCTION("""COMPUTED_VALUE"""),"18 inch")</f>
        <v>18 inch</v>
      </c>
      <c r="Q611" s="152" t="str">
        <f>IFERROR(__xludf.DUMMYFUNCTION("""COMPUTED_VALUE"""),"Black and White")</f>
        <v>Black and White</v>
      </c>
      <c r="R611" s="149" t="str">
        <f>IFERROR(__xludf.DUMMYFUNCTION("""COMPUTED_VALUE"""),"Autopilot included")</f>
        <v>Autopilot included</v>
      </c>
      <c r="S611" s="149" t="str">
        <f>IFERROR(__xludf.DUMMYFUNCTION("""COMPUTED_VALUE"""),"Loan")</f>
        <v>Loan</v>
      </c>
      <c r="T611" s="145" t="str">
        <f>IFERROR(__xludf.DUMMYFUNCTION("""COMPUTED_VALUE"""),"lexus IS300 F")</f>
        <v>lexus IS300 F</v>
      </c>
      <c r="U611" s="145" t="str">
        <f>IFERROR(__xludf.DUMMYFUNCTION("""COMPUTED_VALUE"""),"Tesla brand image")</f>
        <v>Tesla brand image</v>
      </c>
      <c r="V611" s="145" t="str">
        <f>IFERROR(__xludf.DUMMYFUNCTION("""COMPUTED_VALUE"""),"HomeLink")</f>
        <v>HomeLink</v>
      </c>
      <c r="W611" s="145"/>
      <c r="X611" s="137"/>
      <c r="Y611" s="138"/>
      <c r="Z611" s="138"/>
      <c r="AA611" s="138"/>
      <c r="AB611" s="138"/>
      <c r="AC611" s="139"/>
      <c r="AD611" s="139"/>
      <c r="AE611" s="139"/>
      <c r="AF611" s="140"/>
      <c r="AG611" s="145"/>
      <c r="AH611" s="157">
        <f>IFERROR(__xludf.DUMMYFUNCTION("""COMPUTED_VALUE"""),44421.351027916666)</f>
        <v>44421.35103</v>
      </c>
      <c r="AI611" s="138"/>
      <c r="AJ611" s="138"/>
      <c r="AK611" s="138"/>
      <c r="AL611" s="142"/>
    </row>
    <row r="612" ht="20.25" customHeight="1">
      <c r="A612" s="155" t="str">
        <f>IFERROR(__xludf.DUMMYFUNCTION("""COMPUTED_VALUE"""),"Jiminpismo")</f>
        <v>Jiminpismo</v>
      </c>
      <c r="B612" s="149" t="str">
        <f>IFERROR(__xludf.DUMMYFUNCTION("""COMPUTED_VALUE"""),"Pismo Beach")</f>
        <v>Pismo Beach</v>
      </c>
      <c r="C612" s="149" t="str">
        <f>IFERROR(__xludf.DUMMYFUNCTION("""COMPUTED_VALUE"""),"CA")</f>
        <v>CA</v>
      </c>
      <c r="D612" s="149" t="str">
        <f>IFERROR(__xludf.DUMMYFUNCTION("""COMPUTED_VALUE"""),"USA")</f>
        <v>USA</v>
      </c>
      <c r="E612" s="156">
        <f>IFERROR(__xludf.DUMMYFUNCTION("""COMPUTED_VALUE"""),44361.0)</f>
        <v>44361</v>
      </c>
      <c r="F612" s="129">
        <f>IFERROR(__xludf.DUMMYFUNCTION("""COMPUTED_VALUE"""),44457.0)</f>
        <v>44457</v>
      </c>
      <c r="G612" s="154" t="str">
        <f>IFERROR(__xludf.DUMMYFUNCTION("""COMPUTED_VALUE"""),"Email")</f>
        <v>Email</v>
      </c>
      <c r="H612" s="131"/>
      <c r="I612" s="144"/>
      <c r="J612" s="129"/>
      <c r="K612" s="133">
        <f>IFERROR(__xludf.DUMMYFUNCTION("""COMPUTED_VALUE"""),96.0)</f>
        <v>96</v>
      </c>
      <c r="L612" s="133"/>
      <c r="M612" s="133"/>
      <c r="N612" s="152" t="str">
        <f>IFERROR(__xludf.DUMMYFUNCTION("""COMPUTED_VALUE"""),"Model 3 SR+")</f>
        <v>Model 3 SR+</v>
      </c>
      <c r="O612" s="152" t="str">
        <f>IFERROR(__xludf.DUMMYFUNCTION("""COMPUTED_VALUE"""),"Midnight Silver Metallic")</f>
        <v>Midnight Silver Metallic</v>
      </c>
      <c r="P612" s="153" t="str">
        <f>IFERROR(__xludf.DUMMYFUNCTION("""COMPUTED_VALUE"""),"18 inch")</f>
        <v>18 inch</v>
      </c>
      <c r="Q612" s="152" t="str">
        <f>IFERROR(__xludf.DUMMYFUNCTION("""COMPUTED_VALUE"""),"All Black")</f>
        <v>All Black</v>
      </c>
      <c r="R612" s="149" t="str">
        <f>IFERROR(__xludf.DUMMYFUNCTION("""COMPUTED_VALUE"""),"Autopilot included")</f>
        <v>Autopilot included</v>
      </c>
      <c r="S612" s="149" t="str">
        <f>IFERROR(__xludf.DUMMYFUNCTION("""COMPUTED_VALUE"""),"Loan")</f>
        <v>Loan</v>
      </c>
      <c r="T612" s="145"/>
      <c r="U612" s="145" t="str">
        <f>IFERROR(__xludf.DUMMYFUNCTION("""COMPUTED_VALUE"""),"Electric!")</f>
        <v>Electric!</v>
      </c>
      <c r="V612" s="145" t="str">
        <f>IFERROR(__xludf.DUMMYFUNCTION("""COMPUTED_VALUE"""),"HomeLink")</f>
        <v>HomeLink</v>
      </c>
      <c r="W612" s="145"/>
      <c r="X612" s="137"/>
      <c r="Y612" s="138"/>
      <c r="Z612" s="138"/>
      <c r="AA612" s="138"/>
      <c r="AB612" s="138"/>
      <c r="AC612" s="139"/>
      <c r="AD612" s="139"/>
      <c r="AE612" s="139"/>
      <c r="AF612" s="140"/>
      <c r="AG612" s="145"/>
      <c r="AH612" s="157">
        <f>IFERROR(__xludf.DUMMYFUNCTION("""COMPUTED_VALUE"""),44457.276915358794)</f>
        <v>44457.27692</v>
      </c>
      <c r="AI612" s="138"/>
      <c r="AJ612" s="138"/>
      <c r="AK612" s="138"/>
      <c r="AL612" s="142"/>
    </row>
    <row r="613" ht="20.25" customHeight="1">
      <c r="A613" s="155" t="str">
        <f>IFERROR(__xludf.DUMMYFUNCTION("""COMPUTED_VALUE"""),"nativeamirican")</f>
        <v>nativeamirican</v>
      </c>
      <c r="B613" s="149" t="str">
        <f>IFERROR(__xludf.DUMMYFUNCTION("""COMPUTED_VALUE"""),"Dallas")</f>
        <v>Dallas</v>
      </c>
      <c r="C613" s="149" t="str">
        <f>IFERROR(__xludf.DUMMYFUNCTION("""COMPUTED_VALUE"""),"TX")</f>
        <v>TX</v>
      </c>
      <c r="D613" s="149" t="str">
        <f>IFERROR(__xludf.DUMMYFUNCTION("""COMPUTED_VALUE"""),"USA")</f>
        <v>USA</v>
      </c>
      <c r="E613" s="156">
        <f>IFERROR(__xludf.DUMMYFUNCTION("""COMPUTED_VALUE"""),44361.0)</f>
        <v>44361</v>
      </c>
      <c r="F613" s="129">
        <f>IFERROR(__xludf.DUMMYFUNCTION("""COMPUTED_VALUE"""),44417.0)</f>
        <v>44417</v>
      </c>
      <c r="G613" s="154" t="str">
        <f>IFERROR(__xludf.DUMMYFUNCTION("""COMPUTED_VALUE"""),"Manage order page (normal text)")</f>
        <v>Manage order page (normal text)</v>
      </c>
      <c r="H613" s="131"/>
      <c r="I613" s="144" t="str">
        <f>IFERROR(__xludf.DUMMYFUNCTION("""COMPUTED_VALUE"""),"08/21")</f>
        <v>08/21</v>
      </c>
      <c r="J613" s="129">
        <f>IFERROR(__xludf.DUMMYFUNCTION("""COMPUTED_VALUE"""),44432.0)</f>
        <v>44432</v>
      </c>
      <c r="K613" s="133">
        <f>IFERROR(__xludf.DUMMYFUNCTION("""COMPUTED_VALUE"""),56.0)</f>
        <v>56</v>
      </c>
      <c r="L613" s="133">
        <f>IFERROR(__xludf.DUMMYFUNCTION("""COMPUTED_VALUE"""),15.0)</f>
        <v>15</v>
      </c>
      <c r="M613" s="133">
        <f>IFERROR(__xludf.DUMMYFUNCTION("""COMPUTED_VALUE"""),71.0)</f>
        <v>71</v>
      </c>
      <c r="N613" s="152" t="str">
        <f>IFERROR(__xludf.DUMMYFUNCTION("""COMPUTED_VALUE"""),"Model 3 LR AWD")</f>
        <v>Model 3 LR AWD</v>
      </c>
      <c r="O613" s="152" t="str">
        <f>IFERROR(__xludf.DUMMYFUNCTION("""COMPUTED_VALUE"""),"Midnight Silver Metallic")</f>
        <v>Midnight Silver Metallic</v>
      </c>
      <c r="P613" s="153" t="str">
        <f>IFERROR(__xludf.DUMMYFUNCTION("""COMPUTED_VALUE"""),"19 inch")</f>
        <v>19 inch</v>
      </c>
      <c r="Q613" s="152" t="str">
        <f>IFERROR(__xludf.DUMMYFUNCTION("""COMPUTED_VALUE"""),"Black and White")</f>
        <v>Black and White</v>
      </c>
      <c r="R613" s="149" t="str">
        <f>IFERROR(__xludf.DUMMYFUNCTION("""COMPUTED_VALUE"""),"Full Self-Driving")</f>
        <v>Full Self-Driving</v>
      </c>
      <c r="S613" s="149" t="str">
        <f>IFERROR(__xludf.DUMMYFUNCTION("""COMPUTED_VALUE"""),"Loan")</f>
        <v>Loan</v>
      </c>
      <c r="T613" s="145" t="str">
        <f>IFERROR(__xludf.DUMMYFUNCTION("""COMPUTED_VALUE"""),"Honda Civic")</f>
        <v>Honda Civic</v>
      </c>
      <c r="U613" s="145" t="str">
        <f>IFERROR(__xludf.DUMMYFUNCTION("""COMPUTED_VALUE"""),"Electric!")</f>
        <v>Electric!</v>
      </c>
      <c r="V613" s="145" t="str">
        <f>IFERROR(__xludf.DUMMYFUNCTION("""COMPUTED_VALUE"""),"Ventilated seats")</f>
        <v>Ventilated seats</v>
      </c>
      <c r="W613" s="145"/>
      <c r="X613" s="137" t="str">
        <f>IFERROR(__xludf.DUMMYFUNCTION("""COMPUTED_VALUE"""),"Excellent")</f>
        <v>Excellent</v>
      </c>
      <c r="Y613" s="138" t="str">
        <f>IFERROR(__xludf.DUMMYFUNCTION("""COMPUTED_VALUE"""),"Excellent")</f>
        <v>Excellent</v>
      </c>
      <c r="Z613" s="138" t="str">
        <f>IFERROR(__xludf.DUMMYFUNCTION("""COMPUTED_VALUE"""),"Excellent")</f>
        <v>Excellent</v>
      </c>
      <c r="AA613" s="138" t="str">
        <f>IFERROR(__xludf.DUMMYFUNCTION("""COMPUTED_VALUE"""),"Good")</f>
        <v>Good</v>
      </c>
      <c r="AB613" s="138" t="str">
        <f>IFERROR(__xludf.DUMMYFUNCTION("""COMPUTED_VALUE"""),"Very Good")</f>
        <v>Very Good</v>
      </c>
      <c r="AC613" s="139"/>
      <c r="AD613" s="139"/>
      <c r="AE613" s="139"/>
      <c r="AF613" s="140" t="str">
        <f>IFERROR(__xludf.DUMMYFUNCTION("""COMPUTED_VALUE"""),"No. I took delivery of the first car Tesla was able to deliver.")</f>
        <v>No. I took delivery of the first car Tesla was able to deliver.</v>
      </c>
      <c r="AG613" s="145"/>
      <c r="AH613" s="157">
        <f>IFERROR(__xludf.DUMMYFUNCTION("""COMPUTED_VALUE"""),44432.47967552083)</f>
        <v>44432.47968</v>
      </c>
      <c r="AI613" s="138"/>
      <c r="AJ613" s="138"/>
      <c r="AK613" s="138"/>
      <c r="AL613" s="142"/>
    </row>
    <row r="614" ht="20.25" customHeight="1">
      <c r="A614" s="155" t="str">
        <f>IFERROR(__xludf.DUMMYFUNCTION("""COMPUTED_VALUE"""),"sonsondei")</f>
        <v>sonsondei</v>
      </c>
      <c r="B614" s="149" t="str">
        <f>IFERROR(__xludf.DUMMYFUNCTION("""COMPUTED_VALUE"""),"Toronto")</f>
        <v>Toronto</v>
      </c>
      <c r="C614" s="149" t="str">
        <f>IFERROR(__xludf.DUMMYFUNCTION("""COMPUTED_VALUE"""),"ON")</f>
        <v>ON</v>
      </c>
      <c r="D614" s="149" t="str">
        <f>IFERROR(__xludf.DUMMYFUNCTION("""COMPUTED_VALUE"""),"Canada")</f>
        <v>Canada</v>
      </c>
      <c r="E614" s="156">
        <f>IFERROR(__xludf.DUMMYFUNCTION("""COMPUTED_VALUE"""),44361.0)</f>
        <v>44361</v>
      </c>
      <c r="F614" s="129">
        <f>IFERROR(__xludf.DUMMYFUNCTION("""COMPUTED_VALUE"""),44407.0)</f>
        <v>44407</v>
      </c>
      <c r="G614" s="154" t="str">
        <f>IFERROR(__xludf.DUMMYFUNCTION("""COMPUTED_VALUE"""),"Email")</f>
        <v>Email</v>
      </c>
      <c r="H614" s="131">
        <f>IFERROR(__xludf.DUMMYFUNCTION("""COMPUTED_VALUE"""),23155.0)</f>
        <v>23155</v>
      </c>
      <c r="I614" s="144"/>
      <c r="J614" s="129">
        <f>IFERROR(__xludf.DUMMYFUNCTION("""COMPUTED_VALUE"""),44421.0)</f>
        <v>44421</v>
      </c>
      <c r="K614" s="133">
        <f>IFERROR(__xludf.DUMMYFUNCTION("""COMPUTED_VALUE"""),46.0)</f>
        <v>46</v>
      </c>
      <c r="L614" s="133">
        <f>IFERROR(__xludf.DUMMYFUNCTION("""COMPUTED_VALUE"""),14.0)</f>
        <v>14</v>
      </c>
      <c r="M614" s="133">
        <f>IFERROR(__xludf.DUMMYFUNCTION("""COMPUTED_VALUE"""),60.0)</f>
        <v>60</v>
      </c>
      <c r="N614" s="152" t="str">
        <f>IFERROR(__xludf.DUMMYFUNCTION("""COMPUTED_VALUE"""),"Model 3 SR+")</f>
        <v>Model 3 SR+</v>
      </c>
      <c r="O614" s="152" t="str">
        <f>IFERROR(__xludf.DUMMYFUNCTION("""COMPUTED_VALUE"""),"Midnight Silver Metallic")</f>
        <v>Midnight Silver Metallic</v>
      </c>
      <c r="P614" s="153" t="str">
        <f>IFERROR(__xludf.DUMMYFUNCTION("""COMPUTED_VALUE"""),"18 inch")</f>
        <v>18 inch</v>
      </c>
      <c r="Q614" s="152" t="str">
        <f>IFERROR(__xludf.DUMMYFUNCTION("""COMPUTED_VALUE"""),"All Black")</f>
        <v>All Black</v>
      </c>
      <c r="R614" s="149" t="str">
        <f>IFERROR(__xludf.DUMMYFUNCTION("""COMPUTED_VALUE"""),"Autopilot included")</f>
        <v>Autopilot included</v>
      </c>
      <c r="S614" s="149"/>
      <c r="T614" s="145"/>
      <c r="U614" s="145"/>
      <c r="V614" s="145"/>
      <c r="W614" s="145"/>
      <c r="X614" s="137"/>
      <c r="Y614" s="138"/>
      <c r="Z614" s="138"/>
      <c r="AA614" s="138"/>
      <c r="AB614" s="138"/>
      <c r="AC614" s="139"/>
      <c r="AD614" s="139"/>
      <c r="AE614" s="139"/>
      <c r="AF614" s="140"/>
      <c r="AG614" s="145"/>
      <c r="AH614" s="157">
        <f>IFERROR(__xludf.DUMMYFUNCTION("""COMPUTED_VALUE"""),44418.606966099534)</f>
        <v>44418.60697</v>
      </c>
      <c r="AI614" s="138"/>
      <c r="AJ614" s="138"/>
      <c r="AK614" s="138"/>
      <c r="AL614" s="142"/>
    </row>
    <row r="615" ht="20.25" customHeight="1">
      <c r="A615" s="155" t="str">
        <f>IFERROR(__xludf.DUMMYFUNCTION("""COMPUTED_VALUE"""),"Dirty")</f>
        <v>Dirty</v>
      </c>
      <c r="B615" s="149" t="str">
        <f>IFERROR(__xludf.DUMMYFUNCTION("""COMPUTED_VALUE"""),"Georgetown")</f>
        <v>Georgetown</v>
      </c>
      <c r="C615" s="149" t="str">
        <f>IFERROR(__xludf.DUMMYFUNCTION("""COMPUTED_VALUE"""),"KY")</f>
        <v>KY</v>
      </c>
      <c r="D615" s="149" t="str">
        <f>IFERROR(__xludf.DUMMYFUNCTION("""COMPUTED_VALUE"""),"USA")</f>
        <v>USA</v>
      </c>
      <c r="E615" s="156">
        <f>IFERROR(__xludf.DUMMYFUNCTION("""COMPUTED_VALUE"""),44360.0)</f>
        <v>44360</v>
      </c>
      <c r="F615" s="129">
        <f>IFERROR(__xludf.DUMMYFUNCTION("""COMPUTED_VALUE"""),44417.0)</f>
        <v>44417</v>
      </c>
      <c r="G615" s="154" t="str">
        <f>IFERROR(__xludf.DUMMYFUNCTION("""COMPUTED_VALUE"""),"Manage order page (normal text)")</f>
        <v>Manage order page (normal text)</v>
      </c>
      <c r="H615" s="131"/>
      <c r="I615" s="144"/>
      <c r="J615" s="129">
        <f>IFERROR(__xludf.DUMMYFUNCTION("""COMPUTED_VALUE"""),44432.0)</f>
        <v>44432</v>
      </c>
      <c r="K615" s="133">
        <f>IFERROR(__xludf.DUMMYFUNCTION("""COMPUTED_VALUE"""),57.0)</f>
        <v>57</v>
      </c>
      <c r="L615" s="133">
        <f>IFERROR(__xludf.DUMMYFUNCTION("""COMPUTED_VALUE"""),15.0)</f>
        <v>15</v>
      </c>
      <c r="M615" s="133">
        <f>IFERROR(__xludf.DUMMYFUNCTION("""COMPUTED_VALUE"""),72.0)</f>
        <v>72</v>
      </c>
      <c r="N615" s="152" t="str">
        <f>IFERROR(__xludf.DUMMYFUNCTION("""COMPUTED_VALUE"""),"Model 3 LR AWD")</f>
        <v>Model 3 LR AWD</v>
      </c>
      <c r="O615" s="152" t="str">
        <f>IFERROR(__xludf.DUMMYFUNCTION("""COMPUTED_VALUE"""),"Midnight Silver Metallic")</f>
        <v>Midnight Silver Metallic</v>
      </c>
      <c r="P615" s="153" t="str">
        <f>IFERROR(__xludf.DUMMYFUNCTION("""COMPUTED_VALUE"""),"18 inch")</f>
        <v>18 inch</v>
      </c>
      <c r="Q615" s="152" t="str">
        <f>IFERROR(__xludf.DUMMYFUNCTION("""COMPUTED_VALUE"""),"All Black")</f>
        <v>All Black</v>
      </c>
      <c r="R615" s="149" t="str">
        <f>IFERROR(__xludf.DUMMYFUNCTION("""COMPUTED_VALUE"""),"Autopilot included")</f>
        <v>Autopilot included</v>
      </c>
      <c r="S615" s="149" t="str">
        <f>IFERROR(__xludf.DUMMYFUNCTION("""COMPUTED_VALUE"""),"Loan")</f>
        <v>Loan</v>
      </c>
      <c r="T615" s="145" t="str">
        <f>IFERROR(__xludf.DUMMYFUNCTION("""COMPUTED_VALUE"""),"Ford Mustang")</f>
        <v>Ford Mustang</v>
      </c>
      <c r="U615" s="145" t="str">
        <f>IFERROR(__xludf.DUMMYFUNCTION("""COMPUTED_VALUE"""),"Electric!")</f>
        <v>Electric!</v>
      </c>
      <c r="V615" s="145"/>
      <c r="W615" s="145"/>
      <c r="X615" s="137"/>
      <c r="Y615" s="138"/>
      <c r="Z615" s="138"/>
      <c r="AA615" s="138"/>
      <c r="AB615" s="138"/>
      <c r="AC615" s="139"/>
      <c r="AD615" s="139"/>
      <c r="AE615" s="139"/>
      <c r="AF615" s="140"/>
      <c r="AG615" s="145"/>
      <c r="AH615" s="157">
        <f>IFERROR(__xludf.DUMMYFUNCTION("""COMPUTED_VALUE"""),44430.14330098379)</f>
        <v>44430.1433</v>
      </c>
      <c r="AI615" s="138"/>
      <c r="AJ615" s="138"/>
      <c r="AK615" s="138"/>
      <c r="AL615" s="142"/>
    </row>
    <row r="616" ht="20.25" customHeight="1">
      <c r="A616" s="155" t="str">
        <f>IFERROR(__xludf.DUMMYFUNCTION("""COMPUTED_VALUE"""),"gepilano")</f>
        <v>gepilano</v>
      </c>
      <c r="B616" s="149" t="str">
        <f>IFERROR(__xludf.DUMMYFUNCTION("""COMPUTED_VALUE"""),"elk grove")</f>
        <v>elk grove</v>
      </c>
      <c r="C616" s="149" t="str">
        <f>IFERROR(__xludf.DUMMYFUNCTION("""COMPUTED_VALUE"""),"CA")</f>
        <v>CA</v>
      </c>
      <c r="D616" s="149" t="str">
        <f>IFERROR(__xludf.DUMMYFUNCTION("""COMPUTED_VALUE"""),"USA")</f>
        <v>USA</v>
      </c>
      <c r="E616" s="156">
        <f>IFERROR(__xludf.DUMMYFUNCTION("""COMPUTED_VALUE"""),44360.0)</f>
        <v>44360</v>
      </c>
      <c r="F616" s="129">
        <f>IFERROR(__xludf.DUMMYFUNCTION("""COMPUTED_VALUE"""),44419.0)</f>
        <v>44419</v>
      </c>
      <c r="G616" s="154" t="str">
        <f>IFERROR(__xludf.DUMMYFUNCTION("""COMPUTED_VALUE"""),"Manage order page (normal text)")</f>
        <v>Manage order page (normal text)</v>
      </c>
      <c r="H616" s="131"/>
      <c r="I616" s="144" t="str">
        <f>IFERROR(__xludf.DUMMYFUNCTION("""COMPUTED_VALUE"""),"08/21")</f>
        <v>08/21</v>
      </c>
      <c r="J616" s="129">
        <f>IFERROR(__xludf.DUMMYFUNCTION("""COMPUTED_VALUE"""),44424.0)</f>
        <v>44424</v>
      </c>
      <c r="K616" s="133">
        <f>IFERROR(__xludf.DUMMYFUNCTION("""COMPUTED_VALUE"""),59.0)</f>
        <v>59</v>
      </c>
      <c r="L616" s="133">
        <f>IFERROR(__xludf.DUMMYFUNCTION("""COMPUTED_VALUE"""),5.0)</f>
        <v>5</v>
      </c>
      <c r="M616" s="133">
        <f>IFERROR(__xludf.DUMMYFUNCTION("""COMPUTED_VALUE"""),64.0)</f>
        <v>64</v>
      </c>
      <c r="N616" s="152" t="str">
        <f>IFERROR(__xludf.DUMMYFUNCTION("""COMPUTED_VALUE"""),"Model 3 LR AWD")</f>
        <v>Model 3 LR AWD</v>
      </c>
      <c r="O616" s="152" t="str">
        <f>IFERROR(__xludf.DUMMYFUNCTION("""COMPUTED_VALUE"""),"Midnight Silver Metallic")</f>
        <v>Midnight Silver Metallic</v>
      </c>
      <c r="P616" s="153" t="str">
        <f>IFERROR(__xludf.DUMMYFUNCTION("""COMPUTED_VALUE"""),"18 inch")</f>
        <v>18 inch</v>
      </c>
      <c r="Q616" s="152" t="str">
        <f>IFERROR(__xludf.DUMMYFUNCTION("""COMPUTED_VALUE"""),"All Black")</f>
        <v>All Black</v>
      </c>
      <c r="R616" s="149" t="str">
        <f>IFERROR(__xludf.DUMMYFUNCTION("""COMPUTED_VALUE"""),"Autopilot included")</f>
        <v>Autopilot included</v>
      </c>
      <c r="S616" s="149" t="str">
        <f>IFERROR(__xludf.DUMMYFUNCTION("""COMPUTED_VALUE"""),"Loan")</f>
        <v>Loan</v>
      </c>
      <c r="T616" s="145" t="str">
        <f>IFERROR(__xludf.DUMMYFUNCTION("""COMPUTED_VALUE"""),"Mini Cooper")</f>
        <v>Mini Cooper</v>
      </c>
      <c r="U616" s="145" t="str">
        <f>IFERROR(__xludf.DUMMYFUNCTION("""COMPUTED_VALUE"""),"Electric!")</f>
        <v>Electric!</v>
      </c>
      <c r="V616" s="145" t="str">
        <f>IFERROR(__xludf.DUMMYFUNCTION("""COMPUTED_VALUE"""),"Apple CarPlay / Android Auto / SiriusXM Radio")</f>
        <v>Apple CarPlay / Android Auto / SiriusXM Radio</v>
      </c>
      <c r="W616" s="145"/>
      <c r="X616" s="137" t="str">
        <f>IFERROR(__xludf.DUMMYFUNCTION("""COMPUTED_VALUE"""),"Excellent")</f>
        <v>Excellent</v>
      </c>
      <c r="Y616" s="138" t="str">
        <f>IFERROR(__xludf.DUMMYFUNCTION("""COMPUTED_VALUE"""),"Excellent")</f>
        <v>Excellent</v>
      </c>
      <c r="Z616" s="138" t="str">
        <f>IFERROR(__xludf.DUMMYFUNCTION("""COMPUTED_VALUE"""),"Excellent")</f>
        <v>Excellent</v>
      </c>
      <c r="AA616" s="138" t="str">
        <f>IFERROR(__xludf.DUMMYFUNCTION("""COMPUTED_VALUE"""),"Excellent")</f>
        <v>Excellent</v>
      </c>
      <c r="AB616" s="138" t="str">
        <f>IFERROR(__xludf.DUMMYFUNCTION("""COMPUTED_VALUE"""),"Excellent")</f>
        <v>Excellent</v>
      </c>
      <c r="AC616" s="139"/>
      <c r="AD616" s="139"/>
      <c r="AE616" s="139"/>
      <c r="AF616" s="140"/>
      <c r="AG616" s="145"/>
      <c r="AH616" s="157">
        <f>IFERROR(__xludf.DUMMYFUNCTION("""COMPUTED_VALUE"""),44425.49832493056)</f>
        <v>44425.49832</v>
      </c>
      <c r="AI616" s="138"/>
      <c r="AJ616" s="138"/>
      <c r="AK616" s="138"/>
      <c r="AL616" s="142"/>
    </row>
    <row r="617" ht="20.25" customHeight="1">
      <c r="A617" s="155" t="str">
        <f>IFERROR(__xludf.DUMMYFUNCTION("""COMPUTED_VALUE"""),"Arouni1")</f>
        <v>Arouni1</v>
      </c>
      <c r="B617" s="149" t="str">
        <f>IFERROR(__xludf.DUMMYFUNCTION("""COMPUTED_VALUE"""),"Frederick")</f>
        <v>Frederick</v>
      </c>
      <c r="C617" s="149" t="str">
        <f>IFERROR(__xludf.DUMMYFUNCTION("""COMPUTED_VALUE"""),"MD")</f>
        <v>MD</v>
      </c>
      <c r="D617" s="149" t="str">
        <f>IFERROR(__xludf.DUMMYFUNCTION("""COMPUTED_VALUE"""),"USA")</f>
        <v>USA</v>
      </c>
      <c r="E617" s="156">
        <f>IFERROR(__xludf.DUMMYFUNCTION("""COMPUTED_VALUE"""),44359.0)</f>
        <v>44359</v>
      </c>
      <c r="F617" s="129">
        <f>IFERROR(__xludf.DUMMYFUNCTION("""COMPUTED_VALUE"""),44403.0)</f>
        <v>44403</v>
      </c>
      <c r="G617" s="154" t="str">
        <f>IFERROR(__xludf.DUMMYFUNCTION("""COMPUTED_VALUE"""),"Manage order page (normal text)")</f>
        <v>Manage order page (normal text)</v>
      </c>
      <c r="H617" s="131">
        <f>IFERROR(__xludf.DUMMYFUNCTION("""COMPUTED_VALUE"""),20655.0)</f>
        <v>20655</v>
      </c>
      <c r="I617" s="144"/>
      <c r="J617" s="129">
        <f>IFERROR(__xludf.DUMMYFUNCTION("""COMPUTED_VALUE"""),44415.0)</f>
        <v>44415</v>
      </c>
      <c r="K617" s="133">
        <f>IFERROR(__xludf.DUMMYFUNCTION("""COMPUTED_VALUE"""),44.0)</f>
        <v>44</v>
      </c>
      <c r="L617" s="133">
        <f>IFERROR(__xludf.DUMMYFUNCTION("""COMPUTED_VALUE"""),12.0)</f>
        <v>12</v>
      </c>
      <c r="M617" s="133">
        <f>IFERROR(__xludf.DUMMYFUNCTION("""COMPUTED_VALUE"""),56.0)</f>
        <v>56</v>
      </c>
      <c r="N617" s="152" t="str">
        <f>IFERROR(__xludf.DUMMYFUNCTION("""COMPUTED_VALUE"""),"Model 3 SR+")</f>
        <v>Model 3 SR+</v>
      </c>
      <c r="O617" s="152" t="str">
        <f>IFERROR(__xludf.DUMMYFUNCTION("""COMPUTED_VALUE"""),"Solid Black")</f>
        <v>Solid Black</v>
      </c>
      <c r="P617" s="153" t="str">
        <f>IFERROR(__xludf.DUMMYFUNCTION("""COMPUTED_VALUE"""),"19 inch")</f>
        <v>19 inch</v>
      </c>
      <c r="Q617" s="152" t="str">
        <f>IFERROR(__xludf.DUMMYFUNCTION("""COMPUTED_VALUE"""),"All Black")</f>
        <v>All Black</v>
      </c>
      <c r="R617" s="149" t="str">
        <f>IFERROR(__xludf.DUMMYFUNCTION("""COMPUTED_VALUE"""),"Autopilot included")</f>
        <v>Autopilot included</v>
      </c>
      <c r="S617" s="149" t="str">
        <f>IFERROR(__xludf.DUMMYFUNCTION("""COMPUTED_VALUE"""),"Loan")</f>
        <v>Loan</v>
      </c>
      <c r="T617" s="145" t="str">
        <f>IFERROR(__xludf.DUMMYFUNCTION("""COMPUTED_VALUE"""),"Honda Accord")</f>
        <v>Honda Accord</v>
      </c>
      <c r="U617" s="145" t="str">
        <f>IFERROR(__xludf.DUMMYFUNCTION("""COMPUTED_VALUE"""),"Electric!")</f>
        <v>Electric!</v>
      </c>
      <c r="V617" s="145" t="str">
        <f>IFERROR(__xludf.DUMMYFUNCTION("""COMPUTED_VALUE"""),"Apple CarPlay / Android Auto / SiriusXM Radio")</f>
        <v>Apple CarPlay / Android Auto / SiriusXM Radio</v>
      </c>
      <c r="W617" s="145"/>
      <c r="X617" s="137" t="str">
        <f>IFERROR(__xludf.DUMMYFUNCTION("""COMPUTED_VALUE"""),"Excellent")</f>
        <v>Excellent</v>
      </c>
      <c r="Y617" s="138" t="str">
        <f>IFERROR(__xludf.DUMMYFUNCTION("""COMPUTED_VALUE"""),"Excellent")</f>
        <v>Excellent</v>
      </c>
      <c r="Z617" s="138" t="str">
        <f>IFERROR(__xludf.DUMMYFUNCTION("""COMPUTED_VALUE"""),"Excellent")</f>
        <v>Excellent</v>
      </c>
      <c r="AA617" s="138" t="str">
        <f>IFERROR(__xludf.DUMMYFUNCTION("""COMPUTED_VALUE"""),"Excellent")</f>
        <v>Excellent</v>
      </c>
      <c r="AB617" s="138" t="str">
        <f>IFERROR(__xludf.DUMMYFUNCTION("""COMPUTED_VALUE"""),"Excellent")</f>
        <v>Excellent</v>
      </c>
      <c r="AC617" s="139"/>
      <c r="AD617" s="139"/>
      <c r="AE617" s="139"/>
      <c r="AF617" s="140"/>
      <c r="AG617" s="145"/>
      <c r="AH617" s="157">
        <f>IFERROR(__xludf.DUMMYFUNCTION("""COMPUTED_VALUE"""),44417.33041565972)</f>
        <v>44417.33042</v>
      </c>
      <c r="AI617" s="138"/>
      <c r="AJ617" s="138"/>
      <c r="AK617" s="138"/>
      <c r="AL617" s="142"/>
    </row>
    <row r="618" ht="20.25" customHeight="1">
      <c r="A618" s="155" t="str">
        <f>IFERROR(__xludf.DUMMYFUNCTION("""COMPUTED_VALUE"""),"chaoticvortex")</f>
        <v>chaoticvortex</v>
      </c>
      <c r="B618" s="149" t="str">
        <f>IFERROR(__xludf.DUMMYFUNCTION("""COMPUTED_VALUE"""),"Allentown")</f>
        <v>Allentown</v>
      </c>
      <c r="C618" s="149" t="str">
        <f>IFERROR(__xludf.DUMMYFUNCTION("""COMPUTED_VALUE"""),"PA")</f>
        <v>PA</v>
      </c>
      <c r="D618" s="149" t="str">
        <f>IFERROR(__xludf.DUMMYFUNCTION("""COMPUTED_VALUE"""),"USA")</f>
        <v>USA</v>
      </c>
      <c r="E618" s="156">
        <f>IFERROR(__xludf.DUMMYFUNCTION("""COMPUTED_VALUE"""),44359.0)</f>
        <v>44359</v>
      </c>
      <c r="F618" s="129">
        <f>IFERROR(__xludf.DUMMYFUNCTION("""COMPUTED_VALUE"""),44410.0)</f>
        <v>44410</v>
      </c>
      <c r="G618" s="154" t="str">
        <f>IFERROR(__xludf.DUMMYFUNCTION("""COMPUTED_VALUE"""),"Email")</f>
        <v>Email</v>
      </c>
      <c r="H618" s="131"/>
      <c r="I618" s="144"/>
      <c r="J618" s="129">
        <f>IFERROR(__xludf.DUMMYFUNCTION("""COMPUTED_VALUE"""),44426.0)</f>
        <v>44426</v>
      </c>
      <c r="K618" s="133">
        <f>IFERROR(__xludf.DUMMYFUNCTION("""COMPUTED_VALUE"""),51.0)</f>
        <v>51</v>
      </c>
      <c r="L618" s="133">
        <f>IFERROR(__xludf.DUMMYFUNCTION("""COMPUTED_VALUE"""),16.0)</f>
        <v>16</v>
      </c>
      <c r="M618" s="133">
        <f>IFERROR(__xludf.DUMMYFUNCTION("""COMPUTED_VALUE"""),67.0)</f>
        <v>67</v>
      </c>
      <c r="N618" s="152" t="str">
        <f>IFERROR(__xludf.DUMMYFUNCTION("""COMPUTED_VALUE"""),"Model 3 SR+")</f>
        <v>Model 3 SR+</v>
      </c>
      <c r="O618" s="152" t="str">
        <f>IFERROR(__xludf.DUMMYFUNCTION("""COMPUTED_VALUE"""),"Red Multi-Coat")</f>
        <v>Red Multi-Coat</v>
      </c>
      <c r="P618" s="153" t="str">
        <f>IFERROR(__xludf.DUMMYFUNCTION("""COMPUTED_VALUE"""),"19 inch")</f>
        <v>19 inch</v>
      </c>
      <c r="Q618" s="152" t="str">
        <f>IFERROR(__xludf.DUMMYFUNCTION("""COMPUTED_VALUE"""),"Black and White")</f>
        <v>Black and White</v>
      </c>
      <c r="R618" s="149" t="str">
        <f>IFERROR(__xludf.DUMMYFUNCTION("""COMPUTED_VALUE"""),"Autopilot included")</f>
        <v>Autopilot included</v>
      </c>
      <c r="S618" s="149" t="str">
        <f>IFERROR(__xludf.DUMMYFUNCTION("""COMPUTED_VALUE"""),"Loan")</f>
        <v>Loan</v>
      </c>
      <c r="T618" s="145" t="str">
        <f>IFERROR(__xludf.DUMMYFUNCTION("""COMPUTED_VALUE"""),"Acura ILX (don't judge me)")</f>
        <v>Acura ILX (don't judge me)</v>
      </c>
      <c r="U618" s="145" t="str">
        <f>IFERROR(__xludf.DUMMYFUNCTION("""COMPUTED_VALUE"""),"Electric!")</f>
        <v>Electric!</v>
      </c>
      <c r="V618" s="145" t="str">
        <f>IFERROR(__xludf.DUMMYFUNCTION("""COMPUTED_VALUE"""),"Head-up display")</f>
        <v>Head-up display</v>
      </c>
      <c r="W618" s="145"/>
      <c r="X618" s="137"/>
      <c r="Y618" s="138"/>
      <c r="Z618" s="138"/>
      <c r="AA618" s="138"/>
      <c r="AB618" s="138"/>
      <c r="AC618" s="139"/>
      <c r="AD618" s="139"/>
      <c r="AE618" s="139"/>
      <c r="AF618" s="140"/>
      <c r="AG618" s="145"/>
      <c r="AH618" s="157">
        <f>IFERROR(__xludf.DUMMYFUNCTION("""COMPUTED_VALUE"""),44419.33711929398)</f>
        <v>44419.33712</v>
      </c>
      <c r="AI618" s="138"/>
      <c r="AJ618" s="138"/>
      <c r="AK618" s="138"/>
      <c r="AL618" s="142"/>
    </row>
    <row r="619" ht="20.25" customHeight="1">
      <c r="A619" s="155" t="str">
        <f>IFERROR(__xludf.DUMMYFUNCTION("""COMPUTED_VALUE"""),"choppa")</f>
        <v>choppa</v>
      </c>
      <c r="B619" s="149" t="str">
        <f>IFERROR(__xludf.DUMMYFUNCTION("""COMPUTED_VALUE"""),"San Antonio")</f>
        <v>San Antonio</v>
      </c>
      <c r="C619" s="149" t="str">
        <f>IFERROR(__xludf.DUMMYFUNCTION("""COMPUTED_VALUE"""),"TX")</f>
        <v>TX</v>
      </c>
      <c r="D619" s="149" t="str">
        <f>IFERROR(__xludf.DUMMYFUNCTION("""COMPUTED_VALUE"""),"USA")</f>
        <v>USA</v>
      </c>
      <c r="E619" s="156">
        <f>IFERROR(__xludf.DUMMYFUNCTION("""COMPUTED_VALUE"""),44359.0)</f>
        <v>44359</v>
      </c>
      <c r="F619" s="129">
        <f>IFERROR(__xludf.DUMMYFUNCTION("""COMPUTED_VALUE"""),44396.0)</f>
        <v>44396</v>
      </c>
      <c r="G619" s="154" t="str">
        <f>IFERROR(__xludf.DUMMYFUNCTION("""COMPUTED_VALUE"""),"Manage order page (normal text)")</f>
        <v>Manage order page (normal text)</v>
      </c>
      <c r="H619" s="131"/>
      <c r="I619" s="144"/>
      <c r="J619" s="129">
        <f>IFERROR(__xludf.DUMMYFUNCTION("""COMPUTED_VALUE"""),44410.0)</f>
        <v>44410</v>
      </c>
      <c r="K619" s="133">
        <f>IFERROR(__xludf.DUMMYFUNCTION("""COMPUTED_VALUE"""),37.0)</f>
        <v>37</v>
      </c>
      <c r="L619" s="133">
        <f>IFERROR(__xludf.DUMMYFUNCTION("""COMPUTED_VALUE"""),14.0)</f>
        <v>14</v>
      </c>
      <c r="M619" s="133">
        <f>IFERROR(__xludf.DUMMYFUNCTION("""COMPUTED_VALUE"""),51.0)</f>
        <v>51</v>
      </c>
      <c r="N619" s="152" t="str">
        <f>IFERROR(__xludf.DUMMYFUNCTION("""COMPUTED_VALUE"""),"Model 3 LR AWD")</f>
        <v>Model 3 LR AWD</v>
      </c>
      <c r="O619" s="152" t="str">
        <f>IFERROR(__xludf.DUMMYFUNCTION("""COMPUTED_VALUE"""),"Pearl White Multi-Coat")</f>
        <v>Pearl White Multi-Coat</v>
      </c>
      <c r="P619" s="153" t="str">
        <f>IFERROR(__xludf.DUMMYFUNCTION("""COMPUTED_VALUE"""),"18 inch")</f>
        <v>18 inch</v>
      </c>
      <c r="Q619" s="152" t="str">
        <f>IFERROR(__xludf.DUMMYFUNCTION("""COMPUTED_VALUE"""),"Black and White")</f>
        <v>Black and White</v>
      </c>
      <c r="R619" s="149" t="str">
        <f>IFERROR(__xludf.DUMMYFUNCTION("""COMPUTED_VALUE"""),"Autopilot included")</f>
        <v>Autopilot included</v>
      </c>
      <c r="S619" s="149" t="str">
        <f>IFERROR(__xludf.DUMMYFUNCTION("""COMPUTED_VALUE"""),"Loan")</f>
        <v>Loan</v>
      </c>
      <c r="T619" s="145" t="str">
        <f>IFERROR(__xludf.DUMMYFUNCTION("""COMPUTED_VALUE"""),"Mazda 6")</f>
        <v>Mazda 6</v>
      </c>
      <c r="U619" s="145" t="str">
        <f>IFERROR(__xludf.DUMMYFUNCTION("""COMPUTED_VALUE"""),"Electric!")</f>
        <v>Electric!</v>
      </c>
      <c r="V619" s="145"/>
      <c r="W619" s="145"/>
      <c r="X619" s="137"/>
      <c r="Y619" s="138"/>
      <c r="Z619" s="138"/>
      <c r="AA619" s="138"/>
      <c r="AB619" s="138"/>
      <c r="AC619" s="139"/>
      <c r="AD619" s="139"/>
      <c r="AE619" s="139"/>
      <c r="AF619" s="140"/>
      <c r="AG619" s="145"/>
      <c r="AH619" s="157">
        <f>IFERROR(__xludf.DUMMYFUNCTION("""COMPUTED_VALUE"""),44408.79108695602)</f>
        <v>44408.79109</v>
      </c>
      <c r="AI619" s="138"/>
      <c r="AJ619" s="138"/>
      <c r="AK619" s="138"/>
      <c r="AL619" s="142"/>
    </row>
    <row r="620" ht="20.25" customHeight="1">
      <c r="A620" s="155" t="str">
        <f>IFERROR(__xludf.DUMMYFUNCTION("""COMPUTED_VALUE"""),"cjondarza")</f>
        <v>cjondarza</v>
      </c>
      <c r="B620" s="149" t="str">
        <f>IFERROR(__xludf.DUMMYFUNCTION("""COMPUTED_VALUE"""),"Fort Worth")</f>
        <v>Fort Worth</v>
      </c>
      <c r="C620" s="149" t="str">
        <f>IFERROR(__xludf.DUMMYFUNCTION("""COMPUTED_VALUE"""),"TX")</f>
        <v>TX</v>
      </c>
      <c r="D620" s="149" t="str">
        <f>IFERROR(__xludf.DUMMYFUNCTION("""COMPUTED_VALUE"""),"USA")</f>
        <v>USA</v>
      </c>
      <c r="E620" s="156">
        <f>IFERROR(__xludf.DUMMYFUNCTION("""COMPUTED_VALUE"""),44359.0)</f>
        <v>44359</v>
      </c>
      <c r="F620" s="129">
        <f>IFERROR(__xludf.DUMMYFUNCTION("""COMPUTED_VALUE"""),44421.0)</f>
        <v>44421</v>
      </c>
      <c r="G620" s="154" t="str">
        <f>IFERROR(__xludf.DUMMYFUNCTION("""COMPUTED_VALUE"""),"Manage order page (normal text)")</f>
        <v>Manage order page (normal text)</v>
      </c>
      <c r="H620" s="131">
        <f>IFERROR(__xludf.DUMMYFUNCTION("""COMPUTED_VALUE"""),34960.0)</f>
        <v>34960</v>
      </c>
      <c r="I620" s="144"/>
      <c r="J620" s="129"/>
      <c r="K620" s="133">
        <f>IFERROR(__xludf.DUMMYFUNCTION("""COMPUTED_VALUE"""),62.0)</f>
        <v>62</v>
      </c>
      <c r="L620" s="133"/>
      <c r="M620" s="133"/>
      <c r="N620" s="152" t="str">
        <f>IFERROR(__xludf.DUMMYFUNCTION("""COMPUTED_VALUE"""),"Model 3 LR AWD")</f>
        <v>Model 3 LR AWD</v>
      </c>
      <c r="O620" s="152" t="str">
        <f>IFERROR(__xludf.DUMMYFUNCTION("""COMPUTED_VALUE"""),"Midnight Silver Metallic")</f>
        <v>Midnight Silver Metallic</v>
      </c>
      <c r="P620" s="153" t="str">
        <f>IFERROR(__xludf.DUMMYFUNCTION("""COMPUTED_VALUE"""),"18 inch")</f>
        <v>18 inch</v>
      </c>
      <c r="Q620" s="152" t="str">
        <f>IFERROR(__xludf.DUMMYFUNCTION("""COMPUTED_VALUE"""),"Black and White")</f>
        <v>Black and White</v>
      </c>
      <c r="R620" s="149" t="str">
        <f>IFERROR(__xludf.DUMMYFUNCTION("""COMPUTED_VALUE"""),"Autopilot included")</f>
        <v>Autopilot included</v>
      </c>
      <c r="S620" s="149" t="str">
        <f>IFERROR(__xludf.DUMMYFUNCTION("""COMPUTED_VALUE"""),"Loan")</f>
        <v>Loan</v>
      </c>
      <c r="T620" s="145" t="str">
        <f>IFERROR(__xludf.DUMMYFUNCTION("""COMPUTED_VALUE"""),"Honda Insight")</f>
        <v>Honda Insight</v>
      </c>
      <c r="U620" s="145" t="str">
        <f>IFERROR(__xludf.DUMMYFUNCTION("""COMPUTED_VALUE"""),"Electric!")</f>
        <v>Electric!</v>
      </c>
      <c r="V620" s="145" t="str">
        <f>IFERROR(__xludf.DUMMYFUNCTION("""COMPUTED_VALUE"""),"Ventilated seats")</f>
        <v>Ventilated seats</v>
      </c>
      <c r="W620" s="145"/>
      <c r="X620" s="137"/>
      <c r="Y620" s="138"/>
      <c r="Z620" s="138"/>
      <c r="AA620" s="138"/>
      <c r="AB620" s="138"/>
      <c r="AC620" s="139"/>
      <c r="AD620" s="139"/>
      <c r="AE620" s="139"/>
      <c r="AF620" s="140"/>
      <c r="AG620" s="145"/>
      <c r="AH620" s="157">
        <f>IFERROR(__xludf.DUMMYFUNCTION("""COMPUTED_VALUE"""),44421.87760145833)</f>
        <v>44421.8776</v>
      </c>
      <c r="AI620" s="138"/>
      <c r="AJ620" s="138"/>
      <c r="AK620" s="138"/>
      <c r="AL620" s="142"/>
    </row>
    <row r="621" ht="20.25" customHeight="1">
      <c r="A621" s="155" t="str">
        <f>IFERROR(__xludf.DUMMYFUNCTION("""COMPUTED_VALUE"""),"Formina Sage")</f>
        <v>Formina Sage</v>
      </c>
      <c r="B621" s="149" t="str">
        <f>IFERROR(__xludf.DUMMYFUNCTION("""COMPUTED_VALUE"""),"Minneapolis")</f>
        <v>Minneapolis</v>
      </c>
      <c r="C621" s="149" t="str">
        <f>IFERROR(__xludf.DUMMYFUNCTION("""COMPUTED_VALUE"""),"MN")</f>
        <v>MN</v>
      </c>
      <c r="D621" s="149" t="str">
        <f>IFERROR(__xludf.DUMMYFUNCTION("""COMPUTED_VALUE"""),"USA")</f>
        <v>USA</v>
      </c>
      <c r="E621" s="156">
        <f>IFERROR(__xludf.DUMMYFUNCTION("""COMPUTED_VALUE"""),44359.0)</f>
        <v>44359</v>
      </c>
      <c r="F621" s="129">
        <f>IFERROR(__xludf.DUMMYFUNCTION("""COMPUTED_VALUE"""),44396.0)</f>
        <v>44396</v>
      </c>
      <c r="G621" s="154" t="str">
        <f>IFERROR(__xludf.DUMMYFUNCTION("""COMPUTED_VALUE"""),"Manage order page (normal text)")</f>
        <v>Manage order page (normal text)</v>
      </c>
      <c r="H621" s="131">
        <f>IFERROR(__xludf.DUMMYFUNCTION("""COMPUTED_VALUE"""),20155.0)</f>
        <v>20155</v>
      </c>
      <c r="I621" s="144"/>
      <c r="J621" s="129">
        <f>IFERROR(__xludf.DUMMYFUNCTION("""COMPUTED_VALUE"""),44406.0)</f>
        <v>44406</v>
      </c>
      <c r="K621" s="133">
        <f>IFERROR(__xludf.DUMMYFUNCTION("""COMPUTED_VALUE"""),37.0)</f>
        <v>37</v>
      </c>
      <c r="L621" s="133">
        <f>IFERROR(__xludf.DUMMYFUNCTION("""COMPUTED_VALUE"""),10.0)</f>
        <v>10</v>
      </c>
      <c r="M621" s="133">
        <f>IFERROR(__xludf.DUMMYFUNCTION("""COMPUTED_VALUE"""),47.0)</f>
        <v>47</v>
      </c>
      <c r="N621" s="152" t="str">
        <f>IFERROR(__xludf.DUMMYFUNCTION("""COMPUTED_VALUE"""),"Model 3 LR AWD")</f>
        <v>Model 3 LR AWD</v>
      </c>
      <c r="O621" s="152" t="str">
        <f>IFERROR(__xludf.DUMMYFUNCTION("""COMPUTED_VALUE"""),"Pearl White Multi-Coat")</f>
        <v>Pearl White Multi-Coat</v>
      </c>
      <c r="P621" s="153" t="str">
        <f>IFERROR(__xludf.DUMMYFUNCTION("""COMPUTED_VALUE"""),"18 inch")</f>
        <v>18 inch</v>
      </c>
      <c r="Q621" s="152" t="str">
        <f>IFERROR(__xludf.DUMMYFUNCTION("""COMPUTED_VALUE"""),"Black and White")</f>
        <v>Black and White</v>
      </c>
      <c r="R621" s="149" t="str">
        <f>IFERROR(__xludf.DUMMYFUNCTION("""COMPUTED_VALUE"""),"Autopilot included")</f>
        <v>Autopilot included</v>
      </c>
      <c r="S621" s="149" t="str">
        <f>IFERROR(__xludf.DUMMYFUNCTION("""COMPUTED_VALUE"""),"Loan")</f>
        <v>Loan</v>
      </c>
      <c r="T621" s="145" t="str">
        <f>IFERROR(__xludf.DUMMYFUNCTION("""COMPUTED_VALUE"""),"Nissan Maxima Platinum")</f>
        <v>Nissan Maxima Platinum</v>
      </c>
      <c r="U621" s="145" t="str">
        <f>IFERROR(__xludf.DUMMYFUNCTION("""COMPUTED_VALUE"""),"Autopilot")</f>
        <v>Autopilot</v>
      </c>
      <c r="V621" s="145" t="str">
        <f>IFERROR(__xludf.DUMMYFUNCTION("""COMPUTED_VALUE"""),"Head-up display")</f>
        <v>Head-up display</v>
      </c>
      <c r="W621" s="145"/>
      <c r="X621" s="137"/>
      <c r="Y621" s="138"/>
      <c r="Z621" s="138"/>
      <c r="AA621" s="138"/>
      <c r="AB621" s="138"/>
      <c r="AC621" s="139"/>
      <c r="AD621" s="139"/>
      <c r="AE621" s="139"/>
      <c r="AF621" s="140"/>
      <c r="AG621" s="145"/>
      <c r="AH621" s="157">
        <f>IFERROR(__xludf.DUMMYFUNCTION("""COMPUTED_VALUE"""),44403.693524675924)</f>
        <v>44403.69352</v>
      </c>
      <c r="AI621" s="138"/>
      <c r="AJ621" s="138"/>
      <c r="AK621" s="138"/>
      <c r="AL621" s="142"/>
    </row>
    <row r="622" ht="20.25" customHeight="1">
      <c r="A622" s="155" t="str">
        <f>IFERROR(__xludf.DUMMYFUNCTION("""COMPUTED_VALUE"""),"IsaacK")</f>
        <v>IsaacK</v>
      </c>
      <c r="B622" s="149" t="str">
        <f>IFERROR(__xludf.DUMMYFUNCTION("""COMPUTED_VALUE"""),"Rochester")</f>
        <v>Rochester</v>
      </c>
      <c r="C622" s="149" t="str">
        <f>IFERROR(__xludf.DUMMYFUNCTION("""COMPUTED_VALUE"""),"MN")</f>
        <v>MN</v>
      </c>
      <c r="D622" s="149" t="str">
        <f>IFERROR(__xludf.DUMMYFUNCTION("""COMPUTED_VALUE"""),"USA")</f>
        <v>USA</v>
      </c>
      <c r="E622" s="156">
        <f>IFERROR(__xludf.DUMMYFUNCTION("""COMPUTED_VALUE"""),44359.0)</f>
        <v>44359</v>
      </c>
      <c r="F622" s="129">
        <f>IFERROR(__xludf.DUMMYFUNCTION("""COMPUTED_VALUE"""),44404.0)</f>
        <v>44404</v>
      </c>
      <c r="G622" s="154" t="str">
        <f>IFERROR(__xludf.DUMMYFUNCTION("""COMPUTED_VALUE"""),"Manage order page (normal text)")</f>
        <v>Manage order page (normal text)</v>
      </c>
      <c r="H622" s="131">
        <f>IFERROR(__xludf.DUMMYFUNCTION("""COMPUTED_VALUE"""),26555.0)</f>
        <v>26555</v>
      </c>
      <c r="I622" s="144" t="str">
        <f>IFERROR(__xludf.DUMMYFUNCTION("""COMPUTED_VALUE"""),"07/21")</f>
        <v>07/21</v>
      </c>
      <c r="J622" s="129">
        <f>IFERROR(__xludf.DUMMYFUNCTION("""COMPUTED_VALUE"""),44415.0)</f>
        <v>44415</v>
      </c>
      <c r="K622" s="133">
        <f>IFERROR(__xludf.DUMMYFUNCTION("""COMPUTED_VALUE"""),45.0)</f>
        <v>45</v>
      </c>
      <c r="L622" s="133">
        <f>IFERROR(__xludf.DUMMYFUNCTION("""COMPUTED_VALUE"""),11.0)</f>
        <v>11</v>
      </c>
      <c r="M622" s="133">
        <f>IFERROR(__xludf.DUMMYFUNCTION("""COMPUTED_VALUE"""),56.0)</f>
        <v>56</v>
      </c>
      <c r="N622" s="152" t="str">
        <f>IFERROR(__xludf.DUMMYFUNCTION("""COMPUTED_VALUE"""),"Model 3 LR AWD")</f>
        <v>Model 3 LR AWD</v>
      </c>
      <c r="O622" s="152" t="str">
        <f>IFERROR(__xludf.DUMMYFUNCTION("""COMPUTED_VALUE"""),"Red Multi-Coat")</f>
        <v>Red Multi-Coat</v>
      </c>
      <c r="P622" s="153" t="str">
        <f>IFERROR(__xludf.DUMMYFUNCTION("""COMPUTED_VALUE"""),"18 inch")</f>
        <v>18 inch</v>
      </c>
      <c r="Q622" s="152" t="str">
        <f>IFERROR(__xludf.DUMMYFUNCTION("""COMPUTED_VALUE"""),"Black and White")</f>
        <v>Black and White</v>
      </c>
      <c r="R622" s="149" t="str">
        <f>IFERROR(__xludf.DUMMYFUNCTION("""COMPUTED_VALUE"""),"Autopilot included")</f>
        <v>Autopilot included</v>
      </c>
      <c r="S622" s="149" t="str">
        <f>IFERROR(__xludf.DUMMYFUNCTION("""COMPUTED_VALUE"""),"Cash")</f>
        <v>Cash</v>
      </c>
      <c r="T622" s="145"/>
      <c r="U622" s="145" t="str">
        <f>IFERROR(__xludf.DUMMYFUNCTION("""COMPUTED_VALUE"""),"Electric!")</f>
        <v>Electric!</v>
      </c>
      <c r="V622" s="145" t="str">
        <f>IFERROR(__xludf.DUMMYFUNCTION("""COMPUTED_VALUE"""),"Air suspension")</f>
        <v>Air suspension</v>
      </c>
      <c r="W622" s="145"/>
      <c r="X622" s="137" t="str">
        <f>IFERROR(__xludf.DUMMYFUNCTION("""COMPUTED_VALUE"""),"Excellent")</f>
        <v>Excellent</v>
      </c>
      <c r="Y622" s="138" t="str">
        <f>IFERROR(__xludf.DUMMYFUNCTION("""COMPUTED_VALUE"""),"Very Good")</f>
        <v>Very Good</v>
      </c>
      <c r="Z622" s="138" t="str">
        <f>IFERROR(__xludf.DUMMYFUNCTION("""COMPUTED_VALUE"""),"Excellent")</f>
        <v>Excellent</v>
      </c>
      <c r="AA622" s="138" t="str">
        <f>IFERROR(__xludf.DUMMYFUNCTION("""COMPUTED_VALUE"""),"Excellent")</f>
        <v>Excellent</v>
      </c>
      <c r="AB622" s="138" t="str">
        <f>IFERROR(__xludf.DUMMYFUNCTION("""COMPUTED_VALUE"""),"Excellent")</f>
        <v>Excellent</v>
      </c>
      <c r="AC622" s="139">
        <f>IFERROR(__xludf.DUMMYFUNCTION("""COMPUTED_VALUE"""),2.0)</f>
        <v>2</v>
      </c>
      <c r="AD622" s="139"/>
      <c r="AE622" s="139"/>
      <c r="AF622" s="140" t="str">
        <f>IFERROR(__xludf.DUMMYFUNCTION("""COMPUTED_VALUE"""),"No. I took delivery of the first car Tesla was able to deliver.")</f>
        <v>No. I took delivery of the first car Tesla was able to deliver.</v>
      </c>
      <c r="AG622" s="145" t="str">
        <f>IFERROR(__xludf.DUMMYFUNCTION("""COMPUTED_VALUE"""),"You'll really fall in love with your Tesla! Worth every penny!")</f>
        <v>You'll really fall in love with your Tesla! Worth every penny!</v>
      </c>
      <c r="AH622" s="157">
        <f>IFERROR(__xludf.DUMMYFUNCTION("""COMPUTED_VALUE"""),44415.89139277778)</f>
        <v>44415.89139</v>
      </c>
      <c r="AI622" s="138"/>
      <c r="AJ622" s="138"/>
      <c r="AK622" s="138"/>
      <c r="AL622" s="142"/>
    </row>
    <row r="623" ht="20.25" customHeight="1">
      <c r="A623" s="155" t="str">
        <f>IFERROR(__xludf.DUMMYFUNCTION("""COMPUTED_VALUE"""),"key007")</f>
        <v>key007</v>
      </c>
      <c r="B623" s="149" t="str">
        <f>IFERROR(__xludf.DUMMYFUNCTION("""COMPUTED_VALUE"""),"Colma")</f>
        <v>Colma</v>
      </c>
      <c r="C623" s="149" t="str">
        <f>IFERROR(__xludf.DUMMYFUNCTION("""COMPUTED_VALUE"""),"CA")</f>
        <v>CA</v>
      </c>
      <c r="D623" s="149" t="str">
        <f>IFERROR(__xludf.DUMMYFUNCTION("""COMPUTED_VALUE"""),"USA")</f>
        <v>USA</v>
      </c>
      <c r="E623" s="156">
        <f>IFERROR(__xludf.DUMMYFUNCTION("""COMPUTED_VALUE"""),44359.0)</f>
        <v>44359</v>
      </c>
      <c r="F623" s="129">
        <f>IFERROR(__xludf.DUMMYFUNCTION("""COMPUTED_VALUE"""),44379.0)</f>
        <v>44379</v>
      </c>
      <c r="G623" s="154" t="str">
        <f>IFERROR(__xludf.DUMMYFUNCTION("""COMPUTED_VALUE"""),"Manage order page (normal text)")</f>
        <v>Manage order page (normal text)</v>
      </c>
      <c r="H623" s="131">
        <f>IFERROR(__xludf.DUMMYFUNCTION("""COMPUTED_VALUE"""),13655.0)</f>
        <v>13655</v>
      </c>
      <c r="I623" s="144"/>
      <c r="J623" s="129">
        <f>IFERROR(__xludf.DUMMYFUNCTION("""COMPUTED_VALUE"""),44391.0)</f>
        <v>44391</v>
      </c>
      <c r="K623" s="133">
        <f>IFERROR(__xludf.DUMMYFUNCTION("""COMPUTED_VALUE"""),20.0)</f>
        <v>20</v>
      </c>
      <c r="L623" s="133">
        <f>IFERROR(__xludf.DUMMYFUNCTION("""COMPUTED_VALUE"""),12.0)</f>
        <v>12</v>
      </c>
      <c r="M623" s="133">
        <f>IFERROR(__xludf.DUMMYFUNCTION("""COMPUTED_VALUE"""),32.0)</f>
        <v>32</v>
      </c>
      <c r="N623" s="152" t="str">
        <f>IFERROR(__xludf.DUMMYFUNCTION("""COMPUTED_VALUE"""),"Model 3 SR+")</f>
        <v>Model 3 SR+</v>
      </c>
      <c r="O623" s="152" t="str">
        <f>IFERROR(__xludf.DUMMYFUNCTION("""COMPUTED_VALUE"""),"Pearl White Multi-Coat")</f>
        <v>Pearl White Multi-Coat</v>
      </c>
      <c r="P623" s="153" t="str">
        <f>IFERROR(__xludf.DUMMYFUNCTION("""COMPUTED_VALUE"""),"18 inch")</f>
        <v>18 inch</v>
      </c>
      <c r="Q623" s="152" t="str">
        <f>IFERROR(__xludf.DUMMYFUNCTION("""COMPUTED_VALUE"""),"All Black")</f>
        <v>All Black</v>
      </c>
      <c r="R623" s="149" t="str">
        <f>IFERROR(__xludf.DUMMYFUNCTION("""COMPUTED_VALUE"""),"Autopilot included")</f>
        <v>Autopilot included</v>
      </c>
      <c r="S623" s="149" t="str">
        <f>IFERROR(__xludf.DUMMYFUNCTION("""COMPUTED_VALUE"""),"Loan")</f>
        <v>Loan</v>
      </c>
      <c r="T623" s="145"/>
      <c r="U623" s="145"/>
      <c r="V623" s="145"/>
      <c r="W623" s="145"/>
      <c r="X623" s="137"/>
      <c r="Y623" s="138"/>
      <c r="Z623" s="138"/>
      <c r="AA623" s="138"/>
      <c r="AB623" s="138"/>
      <c r="AC623" s="139"/>
      <c r="AD623" s="139"/>
      <c r="AE623" s="139"/>
      <c r="AF623" s="140"/>
      <c r="AG623" s="145"/>
      <c r="AH623" s="157">
        <f>IFERROR(__xludf.DUMMYFUNCTION("""COMPUTED_VALUE"""),44390.361598240735)</f>
        <v>44390.3616</v>
      </c>
      <c r="AI623" s="138"/>
      <c r="AJ623" s="138"/>
      <c r="AK623" s="138"/>
      <c r="AL623" s="142"/>
    </row>
    <row r="624" ht="20.25" customHeight="1">
      <c r="A624" s="155" t="str">
        <f>IFERROR(__xludf.DUMMYFUNCTION("""COMPUTED_VALUE"""),"Midlifecrisis5")</f>
        <v>Midlifecrisis5</v>
      </c>
      <c r="B624" s="149" t="str">
        <f>IFERROR(__xludf.DUMMYFUNCTION("""COMPUTED_VALUE"""),"Chapel Hill ")</f>
        <v>Chapel Hill </v>
      </c>
      <c r="C624" s="149" t="str">
        <f>IFERROR(__xludf.DUMMYFUNCTION("""COMPUTED_VALUE"""),"NC")</f>
        <v>NC</v>
      </c>
      <c r="D624" s="149" t="str">
        <f>IFERROR(__xludf.DUMMYFUNCTION("""COMPUTED_VALUE"""),"USA")</f>
        <v>USA</v>
      </c>
      <c r="E624" s="156">
        <f>IFERROR(__xludf.DUMMYFUNCTION("""COMPUTED_VALUE"""),44359.0)</f>
        <v>44359</v>
      </c>
      <c r="F624" s="129">
        <f>IFERROR(__xludf.DUMMYFUNCTION("""COMPUTED_VALUE"""),44391.0)</f>
        <v>44391</v>
      </c>
      <c r="G624" s="154" t="str">
        <f>IFERROR(__xludf.DUMMYFUNCTION("""COMPUTED_VALUE"""),"Manage order page (normal text)")</f>
        <v>Manage order page (normal text)</v>
      </c>
      <c r="H624" s="131">
        <f>IFERROR(__xludf.DUMMYFUNCTION("""COMPUTED_VALUE"""),15355.0)</f>
        <v>15355</v>
      </c>
      <c r="I624" s="144"/>
      <c r="J624" s="129">
        <f>IFERROR(__xludf.DUMMYFUNCTION("""COMPUTED_VALUE"""),44405.0)</f>
        <v>44405</v>
      </c>
      <c r="K624" s="133">
        <f>IFERROR(__xludf.DUMMYFUNCTION("""COMPUTED_VALUE"""),32.0)</f>
        <v>32</v>
      </c>
      <c r="L624" s="133">
        <f>IFERROR(__xludf.DUMMYFUNCTION("""COMPUTED_VALUE"""),14.0)</f>
        <v>14</v>
      </c>
      <c r="M624" s="133">
        <f>IFERROR(__xludf.DUMMYFUNCTION("""COMPUTED_VALUE"""),46.0)</f>
        <v>46</v>
      </c>
      <c r="N624" s="152" t="str">
        <f>IFERROR(__xludf.DUMMYFUNCTION("""COMPUTED_VALUE"""),"Model 3 LR AWD")</f>
        <v>Model 3 LR AWD</v>
      </c>
      <c r="O624" s="152" t="str">
        <f>IFERROR(__xludf.DUMMYFUNCTION("""COMPUTED_VALUE"""),"Deep Blue Metallic")</f>
        <v>Deep Blue Metallic</v>
      </c>
      <c r="P624" s="153" t="str">
        <f>IFERROR(__xludf.DUMMYFUNCTION("""COMPUTED_VALUE"""),"19 inch")</f>
        <v>19 inch</v>
      </c>
      <c r="Q624" s="152" t="str">
        <f>IFERROR(__xludf.DUMMYFUNCTION("""COMPUTED_VALUE"""),"All Black")</f>
        <v>All Black</v>
      </c>
      <c r="R624" s="149" t="str">
        <f>IFERROR(__xludf.DUMMYFUNCTION("""COMPUTED_VALUE"""),"Autopilot included")</f>
        <v>Autopilot included</v>
      </c>
      <c r="S624" s="149" t="str">
        <f>IFERROR(__xludf.DUMMYFUNCTION("""COMPUTED_VALUE"""),"Cash")</f>
        <v>Cash</v>
      </c>
      <c r="T624" s="145" t="str">
        <f>IFERROR(__xludf.DUMMYFUNCTION("""COMPUTED_VALUE"""),"Infiniti M35")</f>
        <v>Infiniti M35</v>
      </c>
      <c r="U624" s="145" t="str">
        <f>IFERROR(__xludf.DUMMYFUNCTION("""COMPUTED_VALUE"""),"Electric!")</f>
        <v>Electric!</v>
      </c>
      <c r="V624" s="145" t="str">
        <f>IFERROR(__xludf.DUMMYFUNCTION("""COMPUTED_VALUE"""),"Apple CarPlay / Android Auto / SiriusXM Radio")</f>
        <v>Apple CarPlay / Android Auto / SiriusXM Radio</v>
      </c>
      <c r="W624" s="145"/>
      <c r="X624" s="137" t="str">
        <f>IFERROR(__xludf.DUMMYFUNCTION("""COMPUTED_VALUE"""),"Excellent")</f>
        <v>Excellent</v>
      </c>
      <c r="Y624" s="138" t="str">
        <f>IFERROR(__xludf.DUMMYFUNCTION("""COMPUTED_VALUE"""),"Excellent")</f>
        <v>Excellent</v>
      </c>
      <c r="Z624" s="138" t="str">
        <f>IFERROR(__xludf.DUMMYFUNCTION("""COMPUTED_VALUE"""),"Excellent")</f>
        <v>Excellent</v>
      </c>
      <c r="AA624" s="138" t="str">
        <f>IFERROR(__xludf.DUMMYFUNCTION("""COMPUTED_VALUE"""),"Very Good")</f>
        <v>Very Good</v>
      </c>
      <c r="AB624" s="138" t="str">
        <f>IFERROR(__xludf.DUMMYFUNCTION("""COMPUTED_VALUE"""),"Excellent")</f>
        <v>Excellent</v>
      </c>
      <c r="AC624" s="139">
        <f>IFERROR(__xludf.DUMMYFUNCTION("""COMPUTED_VALUE"""),0.0)</f>
        <v>0</v>
      </c>
      <c r="AD624" s="139"/>
      <c r="AE624" s="139"/>
      <c r="AF624" s="140" t="str">
        <f>IFERROR(__xludf.DUMMYFUNCTION("""COMPUTED_VALUE"""),"No. I took delivery of the first car Tesla was able to deliver.")</f>
        <v>No. I took delivery of the first car Tesla was able to deliver.</v>
      </c>
      <c r="AG624" s="145"/>
      <c r="AH624" s="157">
        <f>IFERROR(__xludf.DUMMYFUNCTION("""COMPUTED_VALUE"""),44406.46155709491)</f>
        <v>44406.46156</v>
      </c>
      <c r="AI624" s="138"/>
      <c r="AJ624" s="138"/>
      <c r="AK624" s="138"/>
      <c r="AL624" s="142"/>
    </row>
    <row r="625" ht="20.25" customHeight="1">
      <c r="A625" s="155" t="str">
        <f>IFERROR(__xludf.DUMMYFUNCTION("""COMPUTED_VALUE"""),"Obliojim")</f>
        <v>Obliojim</v>
      </c>
      <c r="B625" s="149" t="str">
        <f>IFERROR(__xludf.DUMMYFUNCTION("""COMPUTED_VALUE"""),"Mississauga")</f>
        <v>Mississauga</v>
      </c>
      <c r="C625" s="149" t="str">
        <f>IFERROR(__xludf.DUMMYFUNCTION("""COMPUTED_VALUE"""),"ON")</f>
        <v>ON</v>
      </c>
      <c r="D625" s="149" t="str">
        <f>IFERROR(__xludf.DUMMYFUNCTION("""COMPUTED_VALUE"""),"Canada")</f>
        <v>Canada</v>
      </c>
      <c r="E625" s="156">
        <f>IFERROR(__xludf.DUMMYFUNCTION("""COMPUTED_VALUE"""),44359.0)</f>
        <v>44359</v>
      </c>
      <c r="F625" s="129">
        <f>IFERROR(__xludf.DUMMYFUNCTION("""COMPUTED_VALUE"""),44398.0)</f>
        <v>44398</v>
      </c>
      <c r="G625" s="154" t="str">
        <f>IFERROR(__xludf.DUMMYFUNCTION("""COMPUTED_VALUE"""),"Replacement car, spotted on Tesla-info, upgraded wheels, interior")</f>
        <v>Replacement car, spotted on Tesla-info, upgraded wheels, interior</v>
      </c>
      <c r="H625" s="131"/>
      <c r="I625" s="144"/>
      <c r="J625" s="129">
        <f>IFERROR(__xludf.DUMMYFUNCTION("""COMPUTED_VALUE"""),44412.0)</f>
        <v>44412</v>
      </c>
      <c r="K625" s="133">
        <f>IFERROR(__xludf.DUMMYFUNCTION("""COMPUTED_VALUE"""),39.0)</f>
        <v>39</v>
      </c>
      <c r="L625" s="133">
        <f>IFERROR(__xludf.DUMMYFUNCTION("""COMPUTED_VALUE"""),14.0)</f>
        <v>14</v>
      </c>
      <c r="M625" s="133">
        <f>IFERROR(__xludf.DUMMYFUNCTION("""COMPUTED_VALUE"""),53.0)</f>
        <v>53</v>
      </c>
      <c r="N625" s="152" t="str">
        <f>IFERROR(__xludf.DUMMYFUNCTION("""COMPUTED_VALUE"""),"Model 3 SR+")</f>
        <v>Model 3 SR+</v>
      </c>
      <c r="O625" s="152" t="str">
        <f>IFERROR(__xludf.DUMMYFUNCTION("""COMPUTED_VALUE"""),"Midnight Silver Metallic")</f>
        <v>Midnight Silver Metallic</v>
      </c>
      <c r="P625" s="153" t="str">
        <f>IFERROR(__xludf.DUMMYFUNCTION("""COMPUTED_VALUE"""),"19 inch")</f>
        <v>19 inch</v>
      </c>
      <c r="Q625" s="152" t="str">
        <f>IFERROR(__xludf.DUMMYFUNCTION("""COMPUTED_VALUE"""),"Black and White")</f>
        <v>Black and White</v>
      </c>
      <c r="R625" s="149" t="str">
        <f>IFERROR(__xludf.DUMMYFUNCTION("""COMPUTED_VALUE"""),"Autopilot included")</f>
        <v>Autopilot included</v>
      </c>
      <c r="S625" s="149" t="str">
        <f>IFERROR(__xludf.DUMMYFUNCTION("""COMPUTED_VALUE"""),"Cash")</f>
        <v>Cash</v>
      </c>
      <c r="T625" s="145"/>
      <c r="U625" s="145"/>
      <c r="V625" s="145"/>
      <c r="W625" s="145"/>
      <c r="X625" s="137"/>
      <c r="Y625" s="138"/>
      <c r="Z625" s="138"/>
      <c r="AA625" s="138"/>
      <c r="AB625" s="138"/>
      <c r="AC625" s="139"/>
      <c r="AD625" s="139"/>
      <c r="AE625" s="139"/>
      <c r="AF625" s="140"/>
      <c r="AG625" s="145"/>
      <c r="AH625" s="157">
        <f>IFERROR(__xludf.DUMMYFUNCTION("""COMPUTED_VALUE"""),44398.42513024305)</f>
        <v>44398.42513</v>
      </c>
      <c r="AI625" s="138"/>
      <c r="AJ625" s="138"/>
      <c r="AK625" s="138"/>
      <c r="AL625" s="142"/>
    </row>
    <row r="626" ht="20.25" customHeight="1">
      <c r="A626" s="155" t="str">
        <f>IFERROR(__xludf.DUMMYFUNCTION("""COMPUTED_VALUE"""),"TheN3RRD")</f>
        <v>TheN3RRD</v>
      </c>
      <c r="B626" s="149" t="str">
        <f>IFERROR(__xludf.DUMMYFUNCTION("""COMPUTED_VALUE"""),"Toronto")</f>
        <v>Toronto</v>
      </c>
      <c r="C626" s="149" t="str">
        <f>IFERROR(__xludf.DUMMYFUNCTION("""COMPUTED_VALUE"""),"ON")</f>
        <v>ON</v>
      </c>
      <c r="D626" s="149" t="str">
        <f>IFERROR(__xludf.DUMMYFUNCTION("""COMPUTED_VALUE"""),"Canada")</f>
        <v>Canada</v>
      </c>
      <c r="E626" s="156">
        <f>IFERROR(__xludf.DUMMYFUNCTION("""COMPUTED_VALUE"""),44359.0)</f>
        <v>44359</v>
      </c>
      <c r="F626" s="129">
        <f>IFERROR(__xludf.DUMMYFUNCTION("""COMPUTED_VALUE"""),44408.0)</f>
        <v>44408</v>
      </c>
      <c r="G626" s="154" t="str">
        <f>IFERROR(__xludf.DUMMYFUNCTION("""COMPUTED_VALUE"""),"Source code")</f>
        <v>Source code</v>
      </c>
      <c r="H626" s="131">
        <f>IFERROR(__xludf.DUMMYFUNCTION("""COMPUTED_VALUE"""),27143.0)</f>
        <v>27143</v>
      </c>
      <c r="I626" s="144"/>
      <c r="J626" s="129">
        <f>IFERROR(__xludf.DUMMYFUNCTION("""COMPUTED_VALUE"""),44421.0)</f>
        <v>44421</v>
      </c>
      <c r="K626" s="133">
        <f>IFERROR(__xludf.DUMMYFUNCTION("""COMPUTED_VALUE"""),49.0)</f>
        <v>49</v>
      </c>
      <c r="L626" s="133">
        <f>IFERROR(__xludf.DUMMYFUNCTION("""COMPUTED_VALUE"""),13.0)</f>
        <v>13</v>
      </c>
      <c r="M626" s="133">
        <f>IFERROR(__xludf.DUMMYFUNCTION("""COMPUTED_VALUE"""),62.0)</f>
        <v>62</v>
      </c>
      <c r="N626" s="152" t="str">
        <f>IFERROR(__xludf.DUMMYFUNCTION("""COMPUTED_VALUE"""),"Model 3 SR+")</f>
        <v>Model 3 SR+</v>
      </c>
      <c r="O626" s="152" t="str">
        <f>IFERROR(__xludf.DUMMYFUNCTION("""COMPUTED_VALUE"""),"Pearl White Multi-Coat")</f>
        <v>Pearl White Multi-Coat</v>
      </c>
      <c r="P626" s="153" t="str">
        <f>IFERROR(__xludf.DUMMYFUNCTION("""COMPUTED_VALUE"""),"18 inch")</f>
        <v>18 inch</v>
      </c>
      <c r="Q626" s="152" t="str">
        <f>IFERROR(__xludf.DUMMYFUNCTION("""COMPUTED_VALUE"""),"All Black")</f>
        <v>All Black</v>
      </c>
      <c r="R626" s="149" t="str">
        <f>IFERROR(__xludf.DUMMYFUNCTION("""COMPUTED_VALUE"""),"Autopilot included")</f>
        <v>Autopilot included</v>
      </c>
      <c r="S626" s="149" t="str">
        <f>IFERROR(__xludf.DUMMYFUNCTION("""COMPUTED_VALUE"""),"Loan")</f>
        <v>Loan</v>
      </c>
      <c r="T626" s="145" t="str">
        <f>IFERROR(__xludf.DUMMYFUNCTION("""COMPUTED_VALUE"""),"Pontiac G5")</f>
        <v>Pontiac G5</v>
      </c>
      <c r="U626" s="145" t="str">
        <f>IFERROR(__xludf.DUMMYFUNCTION("""COMPUTED_VALUE"""),"Electric!")</f>
        <v>Electric!</v>
      </c>
      <c r="V626" s="145" t="str">
        <f>IFERROR(__xludf.DUMMYFUNCTION("""COMPUTED_VALUE"""),"Apple CarPlay / Android Auto / SiriusXM Radio")</f>
        <v>Apple CarPlay / Android Auto / SiriusXM Radio</v>
      </c>
      <c r="W626" s="145"/>
      <c r="X626" s="137" t="str">
        <f>IFERROR(__xludf.DUMMYFUNCTION("""COMPUTED_VALUE"""),"Excellent")</f>
        <v>Excellent</v>
      </c>
      <c r="Y626" s="138" t="str">
        <f>IFERROR(__xludf.DUMMYFUNCTION("""COMPUTED_VALUE"""),"Excellent")</f>
        <v>Excellent</v>
      </c>
      <c r="Z626" s="138" t="str">
        <f>IFERROR(__xludf.DUMMYFUNCTION("""COMPUTED_VALUE"""),"Good")</f>
        <v>Good</v>
      </c>
      <c r="AA626" s="138" t="str">
        <f>IFERROR(__xludf.DUMMYFUNCTION("""COMPUTED_VALUE"""),"Fair")</f>
        <v>Fair</v>
      </c>
      <c r="AB626" s="138" t="str">
        <f>IFERROR(__xludf.DUMMYFUNCTION("""COMPUTED_VALUE"""),"Very Good")</f>
        <v>Very Good</v>
      </c>
      <c r="AC626" s="139"/>
      <c r="AD626" s="139"/>
      <c r="AE626" s="139"/>
      <c r="AF626" s="140"/>
      <c r="AG626" s="145"/>
      <c r="AH626" s="157">
        <f>IFERROR(__xludf.DUMMYFUNCTION("""COMPUTED_VALUE"""),44422.050829768516)</f>
        <v>44422.05083</v>
      </c>
      <c r="AI626" s="138"/>
      <c r="AJ626" s="138"/>
      <c r="AK626" s="138"/>
      <c r="AL626" s="142"/>
    </row>
    <row r="627" ht="20.25" customHeight="1">
      <c r="A627" s="155" t="str">
        <f>IFERROR(__xludf.DUMMYFUNCTION("""COMPUTED_VALUE"""),"Tryforce")</f>
        <v>Tryforce</v>
      </c>
      <c r="B627" s="149" t="str">
        <f>IFERROR(__xludf.DUMMYFUNCTION("""COMPUTED_VALUE"""),"Columbus")</f>
        <v>Columbus</v>
      </c>
      <c r="C627" s="149" t="str">
        <f>IFERROR(__xludf.DUMMYFUNCTION("""COMPUTED_VALUE"""),"OH")</f>
        <v>OH</v>
      </c>
      <c r="D627" s="149" t="str">
        <f>IFERROR(__xludf.DUMMYFUNCTION("""COMPUTED_VALUE"""),"USA")</f>
        <v>USA</v>
      </c>
      <c r="E627" s="156">
        <f>IFERROR(__xludf.DUMMYFUNCTION("""COMPUTED_VALUE"""),44359.0)</f>
        <v>44359</v>
      </c>
      <c r="F627" s="129">
        <f>IFERROR(__xludf.DUMMYFUNCTION("""COMPUTED_VALUE"""),44396.0)</f>
        <v>44396</v>
      </c>
      <c r="G627" s="154" t="str">
        <f>IFERROR(__xludf.DUMMYFUNCTION("""COMPUTED_VALUE"""),"Manage order page (normal text)")</f>
        <v>Manage order page (normal text)</v>
      </c>
      <c r="H627" s="131">
        <f>IFERROR(__xludf.DUMMYFUNCTION("""COMPUTED_VALUE"""),18855.0)</f>
        <v>18855</v>
      </c>
      <c r="I627" s="144"/>
      <c r="J627" s="129">
        <f>IFERROR(__xludf.DUMMYFUNCTION("""COMPUTED_VALUE"""),44410.0)</f>
        <v>44410</v>
      </c>
      <c r="K627" s="133">
        <f>IFERROR(__xludf.DUMMYFUNCTION("""COMPUTED_VALUE"""),37.0)</f>
        <v>37</v>
      </c>
      <c r="L627" s="133">
        <f>IFERROR(__xludf.DUMMYFUNCTION("""COMPUTED_VALUE"""),14.0)</f>
        <v>14</v>
      </c>
      <c r="M627" s="133">
        <f>IFERROR(__xludf.DUMMYFUNCTION("""COMPUTED_VALUE"""),51.0)</f>
        <v>51</v>
      </c>
      <c r="N627" s="152" t="str">
        <f>IFERROR(__xludf.DUMMYFUNCTION("""COMPUTED_VALUE"""),"Model 3 SR+")</f>
        <v>Model 3 SR+</v>
      </c>
      <c r="O627" s="152" t="str">
        <f>IFERROR(__xludf.DUMMYFUNCTION("""COMPUTED_VALUE"""),"Solid Black")</f>
        <v>Solid Black</v>
      </c>
      <c r="P627" s="153" t="str">
        <f>IFERROR(__xludf.DUMMYFUNCTION("""COMPUTED_VALUE"""),"18 inch")</f>
        <v>18 inch</v>
      </c>
      <c r="Q627" s="152" t="str">
        <f>IFERROR(__xludf.DUMMYFUNCTION("""COMPUTED_VALUE"""),"Black and White")</f>
        <v>Black and White</v>
      </c>
      <c r="R627" s="149" t="str">
        <f>IFERROR(__xludf.DUMMYFUNCTION("""COMPUTED_VALUE"""),"Autopilot included")</f>
        <v>Autopilot included</v>
      </c>
      <c r="S627" s="149" t="str">
        <f>IFERROR(__xludf.DUMMYFUNCTION("""COMPUTED_VALUE"""),"Lease")</f>
        <v>Lease</v>
      </c>
      <c r="T627" s="145"/>
      <c r="U627" s="145" t="str">
        <f>IFERROR(__xludf.DUMMYFUNCTION("""COMPUTED_VALUE"""),"Autopilot")</f>
        <v>Autopilot</v>
      </c>
      <c r="V627" s="145" t="str">
        <f>IFERROR(__xludf.DUMMYFUNCTION("""COMPUTED_VALUE"""),"Apple CarPlay / Android Auto / SiriusXM Radio")</f>
        <v>Apple CarPlay / Android Auto / SiriusXM Radio</v>
      </c>
      <c r="W627" s="145" t="str">
        <f>IFERROR(__xludf.DUMMYFUNCTION("""COMPUTED_VALUE"""),"Stay patient")</f>
        <v>Stay patient</v>
      </c>
      <c r="X627" s="137"/>
      <c r="Y627" s="138"/>
      <c r="Z627" s="138"/>
      <c r="AA627" s="138"/>
      <c r="AB627" s="138"/>
      <c r="AC627" s="139"/>
      <c r="AD627" s="139"/>
      <c r="AE627" s="139"/>
      <c r="AF627" s="140"/>
      <c r="AG627" s="145"/>
      <c r="AH627" s="157">
        <f>IFERROR(__xludf.DUMMYFUNCTION("""COMPUTED_VALUE"""),44397.23725320602)</f>
        <v>44397.23725</v>
      </c>
      <c r="AI627" s="138"/>
      <c r="AJ627" s="138"/>
      <c r="AK627" s="138"/>
      <c r="AL627" s="142"/>
    </row>
    <row r="628" ht="20.25" customHeight="1">
      <c r="A628" s="155" t="str">
        <f>IFERROR(__xludf.DUMMYFUNCTION("""COMPUTED_VALUE"""),"Vorsprung")</f>
        <v>Vorsprung</v>
      </c>
      <c r="B628" s="149" t="str">
        <f>IFERROR(__xludf.DUMMYFUNCTION("""COMPUTED_VALUE"""),"Indian Land")</f>
        <v>Indian Land</v>
      </c>
      <c r="C628" s="149" t="str">
        <f>IFERROR(__xludf.DUMMYFUNCTION("""COMPUTED_VALUE"""),"SC")</f>
        <v>SC</v>
      </c>
      <c r="D628" s="149" t="str">
        <f>IFERROR(__xludf.DUMMYFUNCTION("""COMPUTED_VALUE"""),"USA")</f>
        <v>USA</v>
      </c>
      <c r="E628" s="156">
        <f>IFERROR(__xludf.DUMMYFUNCTION("""COMPUTED_VALUE"""),44359.0)</f>
        <v>44359</v>
      </c>
      <c r="F628" s="129">
        <f>IFERROR(__xludf.DUMMYFUNCTION("""COMPUTED_VALUE"""),44396.0)</f>
        <v>44396</v>
      </c>
      <c r="G628" s="154" t="str">
        <f>IFERROR(__xludf.DUMMYFUNCTION("""COMPUTED_VALUE"""),"Manage order page (normal text)")</f>
        <v>Manage order page (normal text)</v>
      </c>
      <c r="H628" s="131"/>
      <c r="I628" s="144"/>
      <c r="J628" s="129">
        <f>IFERROR(__xludf.DUMMYFUNCTION("""COMPUTED_VALUE"""),44403.0)</f>
        <v>44403</v>
      </c>
      <c r="K628" s="133">
        <f>IFERROR(__xludf.DUMMYFUNCTION("""COMPUTED_VALUE"""),37.0)</f>
        <v>37</v>
      </c>
      <c r="L628" s="133">
        <f>IFERROR(__xludf.DUMMYFUNCTION("""COMPUTED_VALUE"""),7.0)</f>
        <v>7</v>
      </c>
      <c r="M628" s="133">
        <f>IFERROR(__xludf.DUMMYFUNCTION("""COMPUTED_VALUE"""),44.0)</f>
        <v>44</v>
      </c>
      <c r="N628" s="152" t="str">
        <f>IFERROR(__xludf.DUMMYFUNCTION("""COMPUTED_VALUE"""),"Model 3 SR+")</f>
        <v>Model 3 SR+</v>
      </c>
      <c r="O628" s="152" t="str">
        <f>IFERROR(__xludf.DUMMYFUNCTION("""COMPUTED_VALUE"""),"Pearl White Multi-Coat")</f>
        <v>Pearl White Multi-Coat</v>
      </c>
      <c r="P628" s="153" t="str">
        <f>IFERROR(__xludf.DUMMYFUNCTION("""COMPUTED_VALUE"""),"18 inch")</f>
        <v>18 inch</v>
      </c>
      <c r="Q628" s="152" t="str">
        <f>IFERROR(__xludf.DUMMYFUNCTION("""COMPUTED_VALUE"""),"All Black")</f>
        <v>All Black</v>
      </c>
      <c r="R628" s="149" t="str">
        <f>IFERROR(__xludf.DUMMYFUNCTION("""COMPUTED_VALUE"""),"Autopilot included")</f>
        <v>Autopilot included</v>
      </c>
      <c r="S628" s="149" t="str">
        <f>IFERROR(__xludf.DUMMYFUNCTION("""COMPUTED_VALUE"""),"Cash")</f>
        <v>Cash</v>
      </c>
      <c r="T628" s="145" t="str">
        <f>IFERROR(__xludf.DUMMYFUNCTION("""COMPUTED_VALUE"""),"VW Atlas")</f>
        <v>VW Atlas</v>
      </c>
      <c r="U628" s="145" t="str">
        <f>IFERROR(__xludf.DUMMYFUNCTION("""COMPUTED_VALUE"""),"Electric!")</f>
        <v>Electric!</v>
      </c>
      <c r="V628" s="145" t="str">
        <f>IFERROR(__xludf.DUMMYFUNCTION("""COMPUTED_VALUE"""),"360° Bird's eye view")</f>
        <v>360° Bird's eye view</v>
      </c>
      <c r="W628" s="145"/>
      <c r="X628" s="137"/>
      <c r="Y628" s="138"/>
      <c r="Z628" s="138"/>
      <c r="AA628" s="138"/>
      <c r="AB628" s="138"/>
      <c r="AC628" s="139"/>
      <c r="AD628" s="139"/>
      <c r="AE628" s="139"/>
      <c r="AF628" s="140"/>
      <c r="AG628" s="145"/>
      <c r="AH628" s="157">
        <f>IFERROR(__xludf.DUMMYFUNCTION("""COMPUTED_VALUE"""),44397.56525730324)</f>
        <v>44397.56526</v>
      </c>
      <c r="AI628" s="138"/>
      <c r="AJ628" s="138"/>
      <c r="AK628" s="138"/>
      <c r="AL628" s="142"/>
    </row>
    <row r="629" ht="20.25" customHeight="1">
      <c r="A629" s="155" t="str">
        <f>IFERROR(__xludf.DUMMYFUNCTION("""COMPUTED_VALUE"""),"whereismymodel3")</f>
        <v>whereismymodel3</v>
      </c>
      <c r="B629" s="149" t="str">
        <f>IFERROR(__xludf.DUMMYFUNCTION("""COMPUTED_VALUE"""),"Fullerton")</f>
        <v>Fullerton</v>
      </c>
      <c r="C629" s="149" t="str">
        <f>IFERROR(__xludf.DUMMYFUNCTION("""COMPUTED_VALUE"""),"CA")</f>
        <v>CA</v>
      </c>
      <c r="D629" s="149" t="str">
        <f>IFERROR(__xludf.DUMMYFUNCTION("""COMPUTED_VALUE"""),"USA")</f>
        <v>USA</v>
      </c>
      <c r="E629" s="156">
        <f>IFERROR(__xludf.DUMMYFUNCTION("""COMPUTED_VALUE"""),44359.0)</f>
        <v>44359</v>
      </c>
      <c r="F629" s="129">
        <f>IFERROR(__xludf.DUMMYFUNCTION("""COMPUTED_VALUE"""),44412.0)</f>
        <v>44412</v>
      </c>
      <c r="G629" s="154" t="str">
        <f>IFERROR(__xludf.DUMMYFUNCTION("""COMPUTED_VALUE"""),"Manage order page (normal text)")</f>
        <v>Manage order page (normal text)</v>
      </c>
      <c r="H629" s="131"/>
      <c r="I629" s="144"/>
      <c r="J629" s="129">
        <f>IFERROR(__xludf.DUMMYFUNCTION("""COMPUTED_VALUE"""),44414.0)</f>
        <v>44414</v>
      </c>
      <c r="K629" s="133">
        <f>IFERROR(__xludf.DUMMYFUNCTION("""COMPUTED_VALUE"""),53.0)</f>
        <v>53</v>
      </c>
      <c r="L629" s="133">
        <f>IFERROR(__xludf.DUMMYFUNCTION("""COMPUTED_VALUE"""),2.0)</f>
        <v>2</v>
      </c>
      <c r="M629" s="133">
        <f>IFERROR(__xludf.DUMMYFUNCTION("""COMPUTED_VALUE"""),55.0)</f>
        <v>55</v>
      </c>
      <c r="N629" s="152" t="str">
        <f>IFERROR(__xludf.DUMMYFUNCTION("""COMPUTED_VALUE"""),"Model 3 SR+")</f>
        <v>Model 3 SR+</v>
      </c>
      <c r="O629" s="152" t="str">
        <f>IFERROR(__xludf.DUMMYFUNCTION("""COMPUTED_VALUE"""),"Pearl White Multi-Coat")</f>
        <v>Pearl White Multi-Coat</v>
      </c>
      <c r="P629" s="153" t="str">
        <f>IFERROR(__xludf.DUMMYFUNCTION("""COMPUTED_VALUE"""),"18 inch")</f>
        <v>18 inch</v>
      </c>
      <c r="Q629" s="152" t="str">
        <f>IFERROR(__xludf.DUMMYFUNCTION("""COMPUTED_VALUE"""),"All Black")</f>
        <v>All Black</v>
      </c>
      <c r="R629" s="149" t="str">
        <f>IFERROR(__xludf.DUMMYFUNCTION("""COMPUTED_VALUE"""),"Autopilot included")</f>
        <v>Autopilot included</v>
      </c>
      <c r="S629" s="149" t="str">
        <f>IFERROR(__xludf.DUMMYFUNCTION("""COMPUTED_VALUE"""),"Loan")</f>
        <v>Loan</v>
      </c>
      <c r="T629" s="145" t="str">
        <f>IFERROR(__xludf.DUMMYFUNCTION("""COMPUTED_VALUE"""),"BMW 4 Series")</f>
        <v>BMW 4 Series</v>
      </c>
      <c r="U629" s="145" t="str">
        <f>IFERROR(__xludf.DUMMYFUNCTION("""COMPUTED_VALUE"""),"Electric!")</f>
        <v>Electric!</v>
      </c>
      <c r="V629" s="145" t="str">
        <f>IFERROR(__xludf.DUMMYFUNCTION("""COMPUTED_VALUE"""),"Ventilated seats")</f>
        <v>Ventilated seats</v>
      </c>
      <c r="W629" s="145"/>
      <c r="X629" s="137"/>
      <c r="Y629" s="138"/>
      <c r="Z629" s="138"/>
      <c r="AA629" s="138"/>
      <c r="AB629" s="138"/>
      <c r="AC629" s="139"/>
      <c r="AD629" s="139"/>
      <c r="AE629" s="139"/>
      <c r="AF629" s="140"/>
      <c r="AG629" s="145"/>
      <c r="AH629" s="157">
        <f>IFERROR(__xludf.DUMMYFUNCTION("""COMPUTED_VALUE"""),44412.38823361111)</f>
        <v>44412.38823</v>
      </c>
      <c r="AI629" s="138"/>
      <c r="AJ629" s="138"/>
      <c r="AK629" s="138"/>
      <c r="AL629" s="142"/>
    </row>
    <row r="630" ht="20.25" customHeight="1">
      <c r="A630" s="155" t="str">
        <f>IFERROR(__xludf.DUMMYFUNCTION("""COMPUTED_VALUE"""),"DManInAZ")</f>
        <v>DManInAZ</v>
      </c>
      <c r="B630" s="149" t="str">
        <f>IFERROR(__xludf.DUMMYFUNCTION("""COMPUTED_VALUE"""),"Peoria")</f>
        <v>Peoria</v>
      </c>
      <c r="C630" s="149" t="str">
        <f>IFERROR(__xludf.DUMMYFUNCTION("""COMPUTED_VALUE"""),"AZ")</f>
        <v>AZ</v>
      </c>
      <c r="D630" s="149" t="str">
        <f>IFERROR(__xludf.DUMMYFUNCTION("""COMPUTED_VALUE"""),"USA")</f>
        <v>USA</v>
      </c>
      <c r="E630" s="156">
        <f>IFERROR(__xludf.DUMMYFUNCTION("""COMPUTED_VALUE"""),44358.0)</f>
        <v>44358</v>
      </c>
      <c r="F630" s="129">
        <f>IFERROR(__xludf.DUMMYFUNCTION("""COMPUTED_VALUE"""),44405.0)</f>
        <v>44405</v>
      </c>
      <c r="G630" s="154" t="str">
        <f>IFERROR(__xludf.DUMMYFUNCTION("""COMPUTED_VALUE"""),"Manage order page (normal text)")</f>
        <v>Manage order page (normal text)</v>
      </c>
      <c r="H630" s="131">
        <f>IFERROR(__xludf.DUMMYFUNCTION("""COMPUTED_VALUE"""),21655.0)</f>
        <v>21655</v>
      </c>
      <c r="I630" s="144" t="str">
        <f>IFERROR(__xludf.DUMMYFUNCTION("""COMPUTED_VALUE"""),"07/21")</f>
        <v>07/21</v>
      </c>
      <c r="J630" s="129">
        <f>IFERROR(__xludf.DUMMYFUNCTION("""COMPUTED_VALUE"""),44408.0)</f>
        <v>44408</v>
      </c>
      <c r="K630" s="133">
        <f>IFERROR(__xludf.DUMMYFUNCTION("""COMPUTED_VALUE"""),47.0)</f>
        <v>47</v>
      </c>
      <c r="L630" s="133">
        <f>IFERROR(__xludf.DUMMYFUNCTION("""COMPUTED_VALUE"""),3.0)</f>
        <v>3</v>
      </c>
      <c r="M630" s="133">
        <f>IFERROR(__xludf.DUMMYFUNCTION("""COMPUTED_VALUE"""),50.0)</f>
        <v>50</v>
      </c>
      <c r="N630" s="152" t="str">
        <f>IFERROR(__xludf.DUMMYFUNCTION("""COMPUTED_VALUE"""),"Model 3 SR+")</f>
        <v>Model 3 SR+</v>
      </c>
      <c r="O630" s="152" t="str">
        <f>IFERROR(__xludf.DUMMYFUNCTION("""COMPUTED_VALUE"""),"Midnight Silver Metallic")</f>
        <v>Midnight Silver Metallic</v>
      </c>
      <c r="P630" s="153" t="str">
        <f>IFERROR(__xludf.DUMMYFUNCTION("""COMPUTED_VALUE"""),"18 inch")</f>
        <v>18 inch</v>
      </c>
      <c r="Q630" s="152" t="str">
        <f>IFERROR(__xludf.DUMMYFUNCTION("""COMPUTED_VALUE"""),"All Black")</f>
        <v>All Black</v>
      </c>
      <c r="R630" s="149" t="str">
        <f>IFERROR(__xludf.DUMMYFUNCTION("""COMPUTED_VALUE"""),"Autopilot included")</f>
        <v>Autopilot included</v>
      </c>
      <c r="S630" s="149" t="str">
        <f>IFERROR(__xludf.DUMMYFUNCTION("""COMPUTED_VALUE"""),"Loan")</f>
        <v>Loan</v>
      </c>
      <c r="T630" s="145" t="str">
        <f>IFERROR(__xludf.DUMMYFUNCTION("""COMPUTED_VALUE"""),"Range Rover Evoque")</f>
        <v>Range Rover Evoque</v>
      </c>
      <c r="U630" s="145" t="str">
        <f>IFERROR(__xludf.DUMMYFUNCTION("""COMPUTED_VALUE"""),"Autopilot")</f>
        <v>Autopilot</v>
      </c>
      <c r="V630" s="145" t="str">
        <f>IFERROR(__xludf.DUMMYFUNCTION("""COMPUTED_VALUE"""),"HomeLink")</f>
        <v>HomeLink</v>
      </c>
      <c r="W630" s="145" t="str">
        <f>IFERROR(__xludf.DUMMYFUNCTION("""COMPUTED_VALUE"""),"Forget about the EDD, it will drive you nuts!")</f>
        <v>Forget about the EDD, it will drive you nuts!</v>
      </c>
      <c r="X630" s="137" t="str">
        <f>IFERROR(__xludf.DUMMYFUNCTION("""COMPUTED_VALUE"""),"Excellent")</f>
        <v>Excellent</v>
      </c>
      <c r="Y630" s="138" t="str">
        <f>IFERROR(__xludf.DUMMYFUNCTION("""COMPUTED_VALUE"""),"Excellent")</f>
        <v>Excellent</v>
      </c>
      <c r="Z630" s="138" t="str">
        <f>IFERROR(__xludf.DUMMYFUNCTION("""COMPUTED_VALUE"""),"Excellent")</f>
        <v>Excellent</v>
      </c>
      <c r="AA630" s="138" t="str">
        <f>IFERROR(__xludf.DUMMYFUNCTION("""COMPUTED_VALUE"""),"Fair")</f>
        <v>Fair</v>
      </c>
      <c r="AB630" s="138" t="str">
        <f>IFERROR(__xludf.DUMMYFUNCTION("""COMPUTED_VALUE"""),"Excellent")</f>
        <v>Excellent</v>
      </c>
      <c r="AC630" s="139"/>
      <c r="AD630" s="139"/>
      <c r="AE630" s="139"/>
      <c r="AF630" s="140"/>
      <c r="AG630" s="145"/>
      <c r="AH630" s="157">
        <f>IFERROR(__xludf.DUMMYFUNCTION("""COMPUTED_VALUE"""),44410.637787245374)</f>
        <v>44410.63779</v>
      </c>
      <c r="AI630" s="138"/>
      <c r="AJ630" s="138"/>
      <c r="AK630" s="138"/>
      <c r="AL630" s="142"/>
    </row>
    <row r="631" ht="20.25" customHeight="1">
      <c r="A631" s="155" t="str">
        <f>IFERROR(__xludf.DUMMYFUNCTION("""COMPUTED_VALUE"""),"Eddie509")</f>
        <v>Eddie509</v>
      </c>
      <c r="B631" s="149" t="str">
        <f>IFERROR(__xludf.DUMMYFUNCTION("""COMPUTED_VALUE"""),"Chicago ")</f>
        <v>Chicago </v>
      </c>
      <c r="C631" s="149" t="str">
        <f>IFERROR(__xludf.DUMMYFUNCTION("""COMPUTED_VALUE"""),"IL")</f>
        <v>IL</v>
      </c>
      <c r="D631" s="149" t="str">
        <f>IFERROR(__xludf.DUMMYFUNCTION("""COMPUTED_VALUE"""),"USA")</f>
        <v>USA</v>
      </c>
      <c r="E631" s="156">
        <f>IFERROR(__xludf.DUMMYFUNCTION("""COMPUTED_VALUE"""),44358.0)</f>
        <v>44358</v>
      </c>
      <c r="F631" s="129">
        <f>IFERROR(__xludf.DUMMYFUNCTION("""COMPUTED_VALUE"""),44416.0)</f>
        <v>44416</v>
      </c>
      <c r="G631" s="154" t="str">
        <f>IFERROR(__xludf.DUMMYFUNCTION("""COMPUTED_VALUE"""),"Manage order page (normal text)")</f>
        <v>Manage order page (normal text)</v>
      </c>
      <c r="H631" s="131">
        <f>IFERROR(__xludf.DUMMYFUNCTION("""COMPUTED_VALUE"""),32053.0)</f>
        <v>32053</v>
      </c>
      <c r="I631" s="144" t="str">
        <f>IFERROR(__xludf.DUMMYFUNCTION("""COMPUTED_VALUE"""),"08/21")</f>
        <v>08/21</v>
      </c>
      <c r="J631" s="129">
        <f>IFERROR(__xludf.DUMMYFUNCTION("""COMPUTED_VALUE"""),44426.0)</f>
        <v>44426</v>
      </c>
      <c r="K631" s="133">
        <f>IFERROR(__xludf.DUMMYFUNCTION("""COMPUTED_VALUE"""),58.0)</f>
        <v>58</v>
      </c>
      <c r="L631" s="133">
        <f>IFERROR(__xludf.DUMMYFUNCTION("""COMPUTED_VALUE"""),10.0)</f>
        <v>10</v>
      </c>
      <c r="M631" s="133">
        <f>IFERROR(__xludf.DUMMYFUNCTION("""COMPUTED_VALUE"""),68.0)</f>
        <v>68</v>
      </c>
      <c r="N631" s="152" t="str">
        <f>IFERROR(__xludf.DUMMYFUNCTION("""COMPUTED_VALUE"""),"Model 3 SR+")</f>
        <v>Model 3 SR+</v>
      </c>
      <c r="O631" s="152" t="str">
        <f>IFERROR(__xludf.DUMMYFUNCTION("""COMPUTED_VALUE"""),"Pearl White Multi-Coat")</f>
        <v>Pearl White Multi-Coat</v>
      </c>
      <c r="P631" s="153" t="str">
        <f>IFERROR(__xludf.DUMMYFUNCTION("""COMPUTED_VALUE"""),"19 inch")</f>
        <v>19 inch</v>
      </c>
      <c r="Q631" s="152" t="str">
        <f>IFERROR(__xludf.DUMMYFUNCTION("""COMPUTED_VALUE"""),"Black and White")</f>
        <v>Black and White</v>
      </c>
      <c r="R631" s="149" t="str">
        <f>IFERROR(__xludf.DUMMYFUNCTION("""COMPUTED_VALUE"""),"Autopilot included")</f>
        <v>Autopilot included</v>
      </c>
      <c r="S631" s="149" t="str">
        <f>IFERROR(__xludf.DUMMYFUNCTION("""COMPUTED_VALUE"""),"Loan")</f>
        <v>Loan</v>
      </c>
      <c r="T631" s="145" t="str">
        <f>IFERROR(__xludf.DUMMYFUNCTION("""COMPUTED_VALUE"""),"Toyota Camry")</f>
        <v>Toyota Camry</v>
      </c>
      <c r="U631" s="145" t="str">
        <f>IFERROR(__xludf.DUMMYFUNCTION("""COMPUTED_VALUE"""),"Electric!")</f>
        <v>Electric!</v>
      </c>
      <c r="V631" s="145" t="str">
        <f>IFERROR(__xludf.DUMMYFUNCTION("""COMPUTED_VALUE"""),"360° Bird's eye view")</f>
        <v>360° Bird's eye view</v>
      </c>
      <c r="W631" s="145"/>
      <c r="X631" s="137" t="str">
        <f>IFERROR(__xludf.DUMMYFUNCTION("""COMPUTED_VALUE"""),"Excellent")</f>
        <v>Excellent</v>
      </c>
      <c r="Y631" s="138" t="str">
        <f>IFERROR(__xludf.DUMMYFUNCTION("""COMPUTED_VALUE"""),"Excellent")</f>
        <v>Excellent</v>
      </c>
      <c r="Z631" s="138" t="str">
        <f>IFERROR(__xludf.DUMMYFUNCTION("""COMPUTED_VALUE"""),"Excellent")</f>
        <v>Excellent</v>
      </c>
      <c r="AA631" s="138" t="str">
        <f>IFERROR(__xludf.DUMMYFUNCTION("""COMPUTED_VALUE"""),"Very Good")</f>
        <v>Very Good</v>
      </c>
      <c r="AB631" s="138" t="str">
        <f>IFERROR(__xludf.DUMMYFUNCTION("""COMPUTED_VALUE"""),"Excellent")</f>
        <v>Excellent</v>
      </c>
      <c r="AC631" s="139">
        <f>IFERROR(__xludf.DUMMYFUNCTION("""COMPUTED_VALUE"""),2.0)</f>
        <v>2</v>
      </c>
      <c r="AD631" s="139"/>
      <c r="AE631" s="139"/>
      <c r="AF631" s="140" t="str">
        <f>IFERROR(__xludf.DUMMYFUNCTION("""COMPUTED_VALUE"""),"No. I took delivery of the first car Tesla was able to deliver.")</f>
        <v>No. I took delivery of the first car Tesla was able to deliver.</v>
      </c>
      <c r="AG631" s="145"/>
      <c r="AH631" s="157">
        <f>IFERROR(__xludf.DUMMYFUNCTION("""COMPUTED_VALUE"""),44428.29986085649)</f>
        <v>44428.29986</v>
      </c>
      <c r="AI631" s="138"/>
      <c r="AJ631" s="138"/>
      <c r="AK631" s="138"/>
      <c r="AL631" s="142"/>
    </row>
    <row r="632" ht="20.25" customHeight="1">
      <c r="A632" s="155" t="str">
        <f>IFERROR(__xludf.DUMMYFUNCTION("""COMPUTED_VALUE"""),"No_Inspection_2096")</f>
        <v>No_Inspection_2096</v>
      </c>
      <c r="B632" s="149" t="str">
        <f>IFERROR(__xludf.DUMMYFUNCTION("""COMPUTED_VALUE"""),"San Jose")</f>
        <v>San Jose</v>
      </c>
      <c r="C632" s="149" t="str">
        <f>IFERROR(__xludf.DUMMYFUNCTION("""COMPUTED_VALUE"""),"CA")</f>
        <v>CA</v>
      </c>
      <c r="D632" s="149" t="str">
        <f>IFERROR(__xludf.DUMMYFUNCTION("""COMPUTED_VALUE"""),"USA")</f>
        <v>USA</v>
      </c>
      <c r="E632" s="156">
        <f>IFERROR(__xludf.DUMMYFUNCTION("""COMPUTED_VALUE"""),44358.0)</f>
        <v>44358</v>
      </c>
      <c r="F632" s="129">
        <f>IFERROR(__xludf.DUMMYFUNCTION("""COMPUTED_VALUE"""),44411.0)</f>
        <v>44411</v>
      </c>
      <c r="G632" s="154" t="str">
        <f>IFERROR(__xludf.DUMMYFUNCTION("""COMPUTED_VALUE"""),"Manage order page (normal text)")</f>
        <v>Manage order page (normal text)</v>
      </c>
      <c r="H632" s="131"/>
      <c r="I632" s="144"/>
      <c r="J632" s="129">
        <f>IFERROR(__xludf.DUMMYFUNCTION("""COMPUTED_VALUE"""),44413.0)</f>
        <v>44413</v>
      </c>
      <c r="K632" s="133">
        <f>IFERROR(__xludf.DUMMYFUNCTION("""COMPUTED_VALUE"""),53.0)</f>
        <v>53</v>
      </c>
      <c r="L632" s="133">
        <f>IFERROR(__xludf.DUMMYFUNCTION("""COMPUTED_VALUE"""),2.0)</f>
        <v>2</v>
      </c>
      <c r="M632" s="133">
        <f>IFERROR(__xludf.DUMMYFUNCTION("""COMPUTED_VALUE"""),55.0)</f>
        <v>55</v>
      </c>
      <c r="N632" s="152" t="str">
        <f>IFERROR(__xludf.DUMMYFUNCTION("""COMPUTED_VALUE"""),"Model 3 SR+")</f>
        <v>Model 3 SR+</v>
      </c>
      <c r="O632" s="152" t="str">
        <f>IFERROR(__xludf.DUMMYFUNCTION("""COMPUTED_VALUE"""),"Midnight Silver Metallic")</f>
        <v>Midnight Silver Metallic</v>
      </c>
      <c r="P632" s="153" t="str">
        <f>IFERROR(__xludf.DUMMYFUNCTION("""COMPUTED_VALUE"""),"18 inch")</f>
        <v>18 inch</v>
      </c>
      <c r="Q632" s="152" t="str">
        <f>IFERROR(__xludf.DUMMYFUNCTION("""COMPUTED_VALUE"""),"All Black")</f>
        <v>All Black</v>
      </c>
      <c r="R632" s="149" t="str">
        <f>IFERROR(__xludf.DUMMYFUNCTION("""COMPUTED_VALUE"""),"Autopilot included")</f>
        <v>Autopilot included</v>
      </c>
      <c r="S632" s="149" t="str">
        <f>IFERROR(__xludf.DUMMYFUNCTION("""COMPUTED_VALUE"""),"Loan")</f>
        <v>Loan</v>
      </c>
      <c r="T632" s="145"/>
      <c r="U632" s="145" t="str">
        <f>IFERROR(__xludf.DUMMYFUNCTION("""COMPUTED_VALUE"""),"Electric!")</f>
        <v>Electric!</v>
      </c>
      <c r="V632" s="145" t="str">
        <f>IFERROR(__xludf.DUMMYFUNCTION("""COMPUTED_VALUE"""),"Apple CarPlay / Android Auto / SiriusXM Radio")</f>
        <v>Apple CarPlay / Android Auto / SiriusXM Radio</v>
      </c>
      <c r="W632" s="145"/>
      <c r="X632" s="137"/>
      <c r="Y632" s="138"/>
      <c r="Z632" s="138"/>
      <c r="AA632" s="138"/>
      <c r="AB632" s="138"/>
      <c r="AC632" s="139"/>
      <c r="AD632" s="139"/>
      <c r="AE632" s="139"/>
      <c r="AF632" s="140"/>
      <c r="AG632" s="145"/>
      <c r="AH632" s="157">
        <f>IFERROR(__xludf.DUMMYFUNCTION("""COMPUTED_VALUE"""),44412.55792171297)</f>
        <v>44412.55792</v>
      </c>
      <c r="AI632" s="138"/>
      <c r="AJ632" s="138"/>
      <c r="AK632" s="138"/>
      <c r="AL632" s="142"/>
    </row>
    <row r="633" ht="20.25" customHeight="1">
      <c r="A633" s="155" t="str">
        <f>IFERROR(__xludf.DUMMYFUNCTION("""COMPUTED_VALUE"""),"TesMod3")</f>
        <v>TesMod3</v>
      </c>
      <c r="B633" s="149" t="str">
        <f>IFERROR(__xludf.DUMMYFUNCTION("""COMPUTED_VALUE"""),"Marietta")</f>
        <v>Marietta</v>
      </c>
      <c r="C633" s="149" t="str">
        <f>IFERROR(__xludf.DUMMYFUNCTION("""COMPUTED_VALUE"""),"GA")</f>
        <v>GA</v>
      </c>
      <c r="D633" s="149" t="str">
        <f>IFERROR(__xludf.DUMMYFUNCTION("""COMPUTED_VALUE"""),"USA")</f>
        <v>USA</v>
      </c>
      <c r="E633" s="156">
        <f>IFERROR(__xludf.DUMMYFUNCTION("""COMPUTED_VALUE"""),44358.0)</f>
        <v>44358</v>
      </c>
      <c r="F633" s="129"/>
      <c r="G633" s="154"/>
      <c r="H633" s="131"/>
      <c r="I633" s="144" t="str">
        <f>IFERROR(__xludf.DUMMYFUNCTION("""COMPUTED_VALUE"""),"08/21")</f>
        <v>08/21</v>
      </c>
      <c r="J633" s="129"/>
      <c r="K633" s="133"/>
      <c r="L633" s="133"/>
      <c r="M633" s="133"/>
      <c r="N633" s="152" t="str">
        <f>IFERROR(__xludf.DUMMYFUNCTION("""COMPUTED_VALUE"""),"Model 3 LR AWD")</f>
        <v>Model 3 LR AWD</v>
      </c>
      <c r="O633" s="152" t="str">
        <f>IFERROR(__xludf.DUMMYFUNCTION("""COMPUTED_VALUE"""),"Pearl White Multi-Coat")</f>
        <v>Pearl White Multi-Coat</v>
      </c>
      <c r="P633" s="153" t="str">
        <f>IFERROR(__xludf.DUMMYFUNCTION("""COMPUTED_VALUE"""),"18 inch")</f>
        <v>18 inch</v>
      </c>
      <c r="Q633" s="152" t="str">
        <f>IFERROR(__xludf.DUMMYFUNCTION("""COMPUTED_VALUE"""),"All Black")</f>
        <v>All Black</v>
      </c>
      <c r="R633" s="149" t="str">
        <f>IFERROR(__xludf.DUMMYFUNCTION("""COMPUTED_VALUE"""),"Autopilot included")</f>
        <v>Autopilot included</v>
      </c>
      <c r="S633" s="149" t="str">
        <f>IFERROR(__xludf.DUMMYFUNCTION("""COMPUTED_VALUE"""),"Loan")</f>
        <v>Loan</v>
      </c>
      <c r="T633" s="145"/>
      <c r="U633" s="145" t="str">
        <f>IFERROR(__xludf.DUMMYFUNCTION("""COMPUTED_VALUE"""),"Electric!")</f>
        <v>Electric!</v>
      </c>
      <c r="V633" s="145" t="str">
        <f>IFERROR(__xludf.DUMMYFUNCTION("""COMPUTED_VALUE"""),"HomeLink")</f>
        <v>HomeLink</v>
      </c>
      <c r="W633" s="145"/>
      <c r="X633" s="137" t="str">
        <f>IFERROR(__xludf.DUMMYFUNCTION("""COMPUTED_VALUE"""),"Excellent")</f>
        <v>Excellent</v>
      </c>
      <c r="Y633" s="138" t="str">
        <f>IFERROR(__xludf.DUMMYFUNCTION("""COMPUTED_VALUE"""),"Excellent")</f>
        <v>Excellent</v>
      </c>
      <c r="Z633" s="138" t="str">
        <f>IFERROR(__xludf.DUMMYFUNCTION("""COMPUTED_VALUE"""),"Excellent")</f>
        <v>Excellent</v>
      </c>
      <c r="AA633" s="138" t="str">
        <f>IFERROR(__xludf.DUMMYFUNCTION("""COMPUTED_VALUE"""),"Good")</f>
        <v>Good</v>
      </c>
      <c r="AB633" s="138" t="str">
        <f>IFERROR(__xludf.DUMMYFUNCTION("""COMPUTED_VALUE"""),"Excellent")</f>
        <v>Excellent</v>
      </c>
      <c r="AC633" s="139">
        <f>IFERROR(__xludf.DUMMYFUNCTION("""COMPUTED_VALUE"""),0.0)</f>
        <v>0</v>
      </c>
      <c r="AD633" s="139">
        <f>IFERROR(__xludf.DUMMYFUNCTION("""COMPUTED_VALUE"""),0.0)</f>
        <v>0</v>
      </c>
      <c r="AE633" s="139">
        <f>IFERROR(__xludf.DUMMYFUNCTION("""COMPUTED_VALUE"""),0.0)</f>
        <v>0</v>
      </c>
      <c r="AF633" s="140" t="str">
        <f>IFERROR(__xludf.DUMMYFUNCTION("""COMPUTED_VALUE"""),"No. I took delivery of the first car Tesla was able to deliver.")</f>
        <v>No. I took delivery of the first car Tesla was able to deliver.</v>
      </c>
      <c r="AG633" s="145"/>
      <c r="AH633" s="157">
        <f>IFERROR(__xludf.DUMMYFUNCTION("""COMPUTED_VALUE"""),44433.65643753472)</f>
        <v>44433.65644</v>
      </c>
      <c r="AI633" s="138"/>
      <c r="AJ633" s="138"/>
      <c r="AK633" s="138"/>
      <c r="AL633" s="142"/>
    </row>
    <row r="634" ht="20.25" customHeight="1">
      <c r="A634" s="155" t="str">
        <f>IFERROR(__xludf.DUMMYFUNCTION("""COMPUTED_VALUE"""),"Bert")</f>
        <v>Bert</v>
      </c>
      <c r="B634" s="149" t="str">
        <f>IFERROR(__xludf.DUMMYFUNCTION("""COMPUTED_VALUE"""),"Chicago")</f>
        <v>Chicago</v>
      </c>
      <c r="C634" s="149" t="str">
        <f>IFERROR(__xludf.DUMMYFUNCTION("""COMPUTED_VALUE"""),"IL")</f>
        <v>IL</v>
      </c>
      <c r="D634" s="149" t="str">
        <f>IFERROR(__xludf.DUMMYFUNCTION("""COMPUTED_VALUE"""),"USA")</f>
        <v>USA</v>
      </c>
      <c r="E634" s="156">
        <f>IFERROR(__xludf.DUMMYFUNCTION("""COMPUTED_VALUE"""),44357.0)</f>
        <v>44357</v>
      </c>
      <c r="F634" s="129">
        <f>IFERROR(__xludf.DUMMYFUNCTION("""COMPUTED_VALUE"""),44391.0)</f>
        <v>44391</v>
      </c>
      <c r="G634" s="154" t="str">
        <f>IFERROR(__xludf.DUMMYFUNCTION("""COMPUTED_VALUE"""),"Email")</f>
        <v>Email</v>
      </c>
      <c r="H634" s="131"/>
      <c r="I634" s="144"/>
      <c r="J634" s="129">
        <f>IFERROR(__xludf.DUMMYFUNCTION("""COMPUTED_VALUE"""),44420.0)</f>
        <v>44420</v>
      </c>
      <c r="K634" s="133">
        <f>IFERROR(__xludf.DUMMYFUNCTION("""COMPUTED_VALUE"""),34.0)</f>
        <v>34</v>
      </c>
      <c r="L634" s="133">
        <f>IFERROR(__xludf.DUMMYFUNCTION("""COMPUTED_VALUE"""),29.0)</f>
        <v>29</v>
      </c>
      <c r="M634" s="133">
        <f>IFERROR(__xludf.DUMMYFUNCTION("""COMPUTED_VALUE"""),63.0)</f>
        <v>63</v>
      </c>
      <c r="N634" s="152" t="str">
        <f>IFERROR(__xludf.DUMMYFUNCTION("""COMPUTED_VALUE"""),"Model 3 SR+")</f>
        <v>Model 3 SR+</v>
      </c>
      <c r="O634" s="152" t="str">
        <f>IFERROR(__xludf.DUMMYFUNCTION("""COMPUTED_VALUE"""),"Red Multi-Coat")</f>
        <v>Red Multi-Coat</v>
      </c>
      <c r="P634" s="153" t="str">
        <f>IFERROR(__xludf.DUMMYFUNCTION("""COMPUTED_VALUE"""),"18 inch")</f>
        <v>18 inch</v>
      </c>
      <c r="Q634" s="152" t="str">
        <f>IFERROR(__xludf.DUMMYFUNCTION("""COMPUTED_VALUE"""),"All Black")</f>
        <v>All Black</v>
      </c>
      <c r="R634" s="149" t="str">
        <f>IFERROR(__xludf.DUMMYFUNCTION("""COMPUTED_VALUE"""),"Autopilot included")</f>
        <v>Autopilot included</v>
      </c>
      <c r="S634" s="149" t="str">
        <f>IFERROR(__xludf.DUMMYFUNCTION("""COMPUTED_VALUE"""),"Cash")</f>
        <v>Cash</v>
      </c>
      <c r="T634" s="145"/>
      <c r="U634" s="145" t="str">
        <f>IFERROR(__xludf.DUMMYFUNCTION("""COMPUTED_VALUE"""),"Electric!")</f>
        <v>Electric!</v>
      </c>
      <c r="V634" s="145" t="str">
        <f>IFERROR(__xludf.DUMMYFUNCTION("""COMPUTED_VALUE"""),"Blind spot indicators on side mirrors")</f>
        <v>Blind spot indicators on side mirrors</v>
      </c>
      <c r="W634" s="145"/>
      <c r="X634" s="137" t="str">
        <f>IFERROR(__xludf.DUMMYFUNCTION("""COMPUTED_VALUE"""),"Excellent")</f>
        <v>Excellent</v>
      </c>
      <c r="Y634" s="138" t="str">
        <f>IFERROR(__xludf.DUMMYFUNCTION("""COMPUTED_VALUE"""),"Excellent")</f>
        <v>Excellent</v>
      </c>
      <c r="Z634" s="138" t="str">
        <f>IFERROR(__xludf.DUMMYFUNCTION("""COMPUTED_VALUE"""),"Excellent")</f>
        <v>Excellent</v>
      </c>
      <c r="AA634" s="138" t="str">
        <f>IFERROR(__xludf.DUMMYFUNCTION("""COMPUTED_VALUE"""),"Very Good")</f>
        <v>Very Good</v>
      </c>
      <c r="AB634" s="138" t="str">
        <f>IFERROR(__xludf.DUMMYFUNCTION("""COMPUTED_VALUE"""),"Very Good")</f>
        <v>Very Good</v>
      </c>
      <c r="AC634" s="139">
        <f>IFERROR(__xludf.DUMMYFUNCTION("""COMPUTED_VALUE"""),0.0)</f>
        <v>0</v>
      </c>
      <c r="AD634" s="139"/>
      <c r="AE634" s="139"/>
      <c r="AF634" s="140" t="str">
        <f>IFERROR(__xludf.DUMMYFUNCTION("""COMPUTED_VALUE"""),"No. I took delivery of the first car Tesla was able to deliver.")</f>
        <v>No. I took delivery of the first car Tesla was able to deliver.</v>
      </c>
      <c r="AG634" s="145"/>
      <c r="AH634" s="157">
        <f>IFERROR(__xludf.DUMMYFUNCTION("""COMPUTED_VALUE"""),44421.57844413195)</f>
        <v>44421.57844</v>
      </c>
      <c r="AI634" s="138"/>
      <c r="AJ634" s="138"/>
      <c r="AK634" s="138"/>
      <c r="AL634" s="142"/>
    </row>
    <row r="635" ht="20.25" customHeight="1">
      <c r="A635" s="155" t="str">
        <f>IFERROR(__xludf.DUMMYFUNCTION("""COMPUTED_VALUE"""),"infiCathi")</f>
        <v>infiCathi</v>
      </c>
      <c r="B635" s="149" t="str">
        <f>IFERROR(__xludf.DUMMYFUNCTION("""COMPUTED_VALUE"""),"Irvine")</f>
        <v>Irvine</v>
      </c>
      <c r="C635" s="149" t="str">
        <f>IFERROR(__xludf.DUMMYFUNCTION("""COMPUTED_VALUE"""),"CA")</f>
        <v>CA</v>
      </c>
      <c r="D635" s="149" t="str">
        <f>IFERROR(__xludf.DUMMYFUNCTION("""COMPUTED_VALUE"""),"USA")</f>
        <v>USA</v>
      </c>
      <c r="E635" s="156">
        <f>IFERROR(__xludf.DUMMYFUNCTION("""COMPUTED_VALUE"""),44357.0)</f>
        <v>44357</v>
      </c>
      <c r="F635" s="129">
        <f>IFERROR(__xludf.DUMMYFUNCTION("""COMPUTED_VALUE"""),44416.0)</f>
        <v>44416</v>
      </c>
      <c r="G635" s="154" t="str">
        <f>IFERROR(__xludf.DUMMYFUNCTION("""COMPUTED_VALUE"""),"Manage order page (normal text)")</f>
        <v>Manage order page (normal text)</v>
      </c>
      <c r="H635" s="131">
        <f>IFERROR(__xludf.DUMMYFUNCTION("""COMPUTED_VALUE"""),29463.0)</f>
        <v>29463</v>
      </c>
      <c r="I635" s="144"/>
      <c r="J635" s="129">
        <f>IFERROR(__xludf.DUMMYFUNCTION("""COMPUTED_VALUE"""),44419.0)</f>
        <v>44419</v>
      </c>
      <c r="K635" s="133">
        <f>IFERROR(__xludf.DUMMYFUNCTION("""COMPUTED_VALUE"""),59.0)</f>
        <v>59</v>
      </c>
      <c r="L635" s="133">
        <f>IFERROR(__xludf.DUMMYFUNCTION("""COMPUTED_VALUE"""),3.0)</f>
        <v>3</v>
      </c>
      <c r="M635" s="133">
        <f>IFERROR(__xludf.DUMMYFUNCTION("""COMPUTED_VALUE"""),62.0)</f>
        <v>62</v>
      </c>
      <c r="N635" s="152" t="str">
        <f>IFERROR(__xludf.DUMMYFUNCTION("""COMPUTED_VALUE"""),"Model 3 SR+")</f>
        <v>Model 3 SR+</v>
      </c>
      <c r="O635" s="152" t="str">
        <f>IFERROR(__xludf.DUMMYFUNCTION("""COMPUTED_VALUE"""),"Pearl White Multi-Coat")</f>
        <v>Pearl White Multi-Coat</v>
      </c>
      <c r="P635" s="153" t="str">
        <f>IFERROR(__xludf.DUMMYFUNCTION("""COMPUTED_VALUE"""),"18 inch")</f>
        <v>18 inch</v>
      </c>
      <c r="Q635" s="152" t="str">
        <f>IFERROR(__xludf.DUMMYFUNCTION("""COMPUTED_VALUE"""),"Black and White")</f>
        <v>Black and White</v>
      </c>
      <c r="R635" s="149" t="str">
        <f>IFERROR(__xludf.DUMMYFUNCTION("""COMPUTED_VALUE"""),"Autopilot included")</f>
        <v>Autopilot included</v>
      </c>
      <c r="S635" s="149" t="str">
        <f>IFERROR(__xludf.DUMMYFUNCTION("""COMPUTED_VALUE"""),"Loan")</f>
        <v>Loan</v>
      </c>
      <c r="T635" s="145" t="str">
        <f>IFERROR(__xludf.DUMMYFUNCTION("""COMPUTED_VALUE"""),"Toyota Camry")</f>
        <v>Toyota Camry</v>
      </c>
      <c r="U635" s="145" t="str">
        <f>IFERROR(__xludf.DUMMYFUNCTION("""COMPUTED_VALUE"""),"Techy, clean design")</f>
        <v>Techy, clean design</v>
      </c>
      <c r="V635" s="145" t="str">
        <f>IFERROR(__xludf.DUMMYFUNCTION("""COMPUTED_VALUE"""),"Ventilated, heated steering wheel, heads up display, blind spot indicators, birds eye viewww")</f>
        <v>Ventilated, heated steering wheel, heads up display, blind spot indicators, birds eye viewww</v>
      </c>
      <c r="W635" s="145" t="str">
        <f>IFERROR(__xludf.DUMMYFUNCTION("""COMPUTED_VALUE"""),"EDD is a lie, talk to someone at Tesla and stay on the forums to keep your sanity")</f>
        <v>EDD is a lie, talk to someone at Tesla and stay on the forums to keep your sanity</v>
      </c>
      <c r="X635" s="137" t="str">
        <f>IFERROR(__xludf.DUMMYFUNCTION("""COMPUTED_VALUE"""),"Fair")</f>
        <v>Fair</v>
      </c>
      <c r="Y635" s="138" t="str">
        <f>IFERROR(__xludf.DUMMYFUNCTION("""COMPUTED_VALUE"""),"Good")</f>
        <v>Good</v>
      </c>
      <c r="Z635" s="138" t="str">
        <f>IFERROR(__xludf.DUMMYFUNCTION("""COMPUTED_VALUE"""),"Good")</f>
        <v>Good</v>
      </c>
      <c r="AA635" s="138" t="str">
        <f>IFERROR(__xludf.DUMMYFUNCTION("""COMPUTED_VALUE"""),"Very Good")</f>
        <v>Very Good</v>
      </c>
      <c r="AB635" s="138" t="str">
        <f>IFERROR(__xludf.DUMMYFUNCTION("""COMPUTED_VALUE"""),"Very Good")</f>
        <v>Very Good</v>
      </c>
      <c r="AC635" s="139">
        <f>IFERROR(__xludf.DUMMYFUNCTION("""COMPUTED_VALUE"""),12.0)</f>
        <v>12</v>
      </c>
      <c r="AD635" s="139">
        <f>IFERROR(__xludf.DUMMYFUNCTION("""COMPUTED_VALUE"""),1.0)</f>
        <v>1</v>
      </c>
      <c r="AE635" s="139"/>
      <c r="AF635" s="140" t="str">
        <f>IFERROR(__xludf.DUMMYFUNCTION("""COMPUTED_VALUE"""),"No. I took delivery of the first car Tesla was able to deliver.")</f>
        <v>No. I took delivery of the first car Tesla was able to deliver.</v>
      </c>
      <c r="AG635" s="145" t="str">
        <f>IFERROR(__xludf.DUMMYFUNCTION("""COMPUTED_VALUE"""),"Take your time to look over the car. If you have an issue, report it right away, and you can add more issues on top of that. It's first 100 miles or until your first service center visit, whatever happens second. ")</f>
        <v>Take your time to look over the car. If you have an issue, report it right away, and you can add more issues on top of that. It's first 100 miles or until your first service center visit, whatever happens second. </v>
      </c>
      <c r="AH635" s="157">
        <f>IFERROR(__xludf.DUMMYFUNCTION("""COMPUTED_VALUE"""),44421.432441655095)</f>
        <v>44421.43244</v>
      </c>
      <c r="AI635" s="138"/>
      <c r="AJ635" s="138"/>
      <c r="AK635" s="138"/>
      <c r="AL635" s="142"/>
    </row>
    <row r="636" ht="20.25" customHeight="1">
      <c r="A636" s="155" t="str">
        <f>IFERROR(__xludf.DUMMYFUNCTION("""COMPUTED_VALUE"""),"lief4321")</f>
        <v>lief4321</v>
      </c>
      <c r="B636" s="149" t="str">
        <f>IFERROR(__xludf.DUMMYFUNCTION("""COMPUTED_VALUE"""),"Oak Hill")</f>
        <v>Oak Hill</v>
      </c>
      <c r="C636" s="149" t="str">
        <f>IFERROR(__xludf.DUMMYFUNCTION("""COMPUTED_VALUE"""),"FL")</f>
        <v>FL</v>
      </c>
      <c r="D636" s="149" t="str">
        <f>IFERROR(__xludf.DUMMYFUNCTION("""COMPUTED_VALUE"""),"USA")</f>
        <v>USA</v>
      </c>
      <c r="E636" s="156">
        <f>IFERROR(__xludf.DUMMYFUNCTION("""COMPUTED_VALUE"""),44357.0)</f>
        <v>44357</v>
      </c>
      <c r="F636" s="129">
        <f>IFERROR(__xludf.DUMMYFUNCTION("""COMPUTED_VALUE"""),44391.0)</f>
        <v>44391</v>
      </c>
      <c r="G636" s="154" t="str">
        <f>IFERROR(__xludf.DUMMYFUNCTION("""COMPUTED_VALUE"""),"Manage order page (normal text)")</f>
        <v>Manage order page (normal text)</v>
      </c>
      <c r="H636" s="131">
        <f>IFERROR(__xludf.DUMMYFUNCTION("""COMPUTED_VALUE"""),13155.0)</f>
        <v>13155</v>
      </c>
      <c r="I636" s="144"/>
      <c r="J636" s="129">
        <f>IFERROR(__xludf.DUMMYFUNCTION("""COMPUTED_VALUE"""),44406.0)</f>
        <v>44406</v>
      </c>
      <c r="K636" s="133">
        <f>IFERROR(__xludf.DUMMYFUNCTION("""COMPUTED_VALUE"""),34.0)</f>
        <v>34</v>
      </c>
      <c r="L636" s="133">
        <f>IFERROR(__xludf.DUMMYFUNCTION("""COMPUTED_VALUE"""),15.0)</f>
        <v>15</v>
      </c>
      <c r="M636" s="133">
        <f>IFERROR(__xludf.DUMMYFUNCTION("""COMPUTED_VALUE"""),49.0)</f>
        <v>49</v>
      </c>
      <c r="N636" s="152" t="str">
        <f>IFERROR(__xludf.DUMMYFUNCTION("""COMPUTED_VALUE"""),"Model 3 LR AWD")</f>
        <v>Model 3 LR AWD</v>
      </c>
      <c r="O636" s="152" t="str">
        <f>IFERROR(__xludf.DUMMYFUNCTION("""COMPUTED_VALUE"""),"Solid Black")</f>
        <v>Solid Black</v>
      </c>
      <c r="P636" s="153" t="str">
        <f>IFERROR(__xludf.DUMMYFUNCTION("""COMPUTED_VALUE"""),"19 inch")</f>
        <v>19 inch</v>
      </c>
      <c r="Q636" s="152" t="str">
        <f>IFERROR(__xludf.DUMMYFUNCTION("""COMPUTED_VALUE"""),"All Black")</f>
        <v>All Black</v>
      </c>
      <c r="R636" s="149" t="str">
        <f>IFERROR(__xludf.DUMMYFUNCTION("""COMPUTED_VALUE"""),"Autopilot included")</f>
        <v>Autopilot included</v>
      </c>
      <c r="S636" s="149" t="str">
        <f>IFERROR(__xludf.DUMMYFUNCTION("""COMPUTED_VALUE"""),"Loan")</f>
        <v>Loan</v>
      </c>
      <c r="T636" s="145" t="str">
        <f>IFERROR(__xludf.DUMMYFUNCTION("""COMPUTED_VALUE"""),"Chevy Impala")</f>
        <v>Chevy Impala</v>
      </c>
      <c r="U636" s="145" t="str">
        <f>IFERROR(__xludf.DUMMYFUNCTION("""COMPUTED_VALUE"""),"Electric!")</f>
        <v>Electric!</v>
      </c>
      <c r="V636" s="145" t="str">
        <f>IFERROR(__xludf.DUMMYFUNCTION("""COMPUTED_VALUE"""),"Apple CarPlay / Android Auto / SiriusXM Radio")</f>
        <v>Apple CarPlay / Android Auto / SiriusXM Radio</v>
      </c>
      <c r="W636" s="145" t="str">
        <f>IFERROR(__xludf.DUMMYFUNCTION("""COMPUTED_VALUE"""),"Sign paperwork online before delivery")</f>
        <v>Sign paperwork online before delivery</v>
      </c>
      <c r="X636" s="137" t="str">
        <f>IFERROR(__xludf.DUMMYFUNCTION("""COMPUTED_VALUE"""),"Excellent")</f>
        <v>Excellent</v>
      </c>
      <c r="Y636" s="138" t="str">
        <f>IFERROR(__xludf.DUMMYFUNCTION("""COMPUTED_VALUE"""),"Excellent")</f>
        <v>Excellent</v>
      </c>
      <c r="Z636" s="138" t="str">
        <f>IFERROR(__xludf.DUMMYFUNCTION("""COMPUTED_VALUE"""),"Excellent")</f>
        <v>Excellent</v>
      </c>
      <c r="AA636" s="138" t="str">
        <f>IFERROR(__xludf.DUMMYFUNCTION("""COMPUTED_VALUE"""),"Excellent")</f>
        <v>Excellent</v>
      </c>
      <c r="AB636" s="138" t="str">
        <f>IFERROR(__xludf.DUMMYFUNCTION("""COMPUTED_VALUE"""),"Excellent")</f>
        <v>Excellent</v>
      </c>
      <c r="AC636" s="139"/>
      <c r="AD636" s="139"/>
      <c r="AE636" s="139"/>
      <c r="AF636" s="140" t="str">
        <f>IFERROR(__xludf.DUMMYFUNCTION("""COMPUTED_VALUE"""),"No. I took delivery of the first car Tesla was able to deliver.")</f>
        <v>No. I took delivery of the first car Tesla was able to deliver.</v>
      </c>
      <c r="AG636" s="145"/>
      <c r="AH636" s="157">
        <f>IFERROR(__xludf.DUMMYFUNCTION("""COMPUTED_VALUE"""),44406.57807107639)</f>
        <v>44406.57807</v>
      </c>
      <c r="AI636" s="138"/>
      <c r="AJ636" s="138"/>
      <c r="AK636" s="138"/>
      <c r="AL636" s="142"/>
    </row>
    <row r="637" ht="20.25" customHeight="1">
      <c r="A637" s="155" t="str">
        <f>IFERROR(__xludf.DUMMYFUNCTION("""COMPUTED_VALUE"""),"miandrews")</f>
        <v>miandrews</v>
      </c>
      <c r="B637" s="149" t="str">
        <f>IFERROR(__xludf.DUMMYFUNCTION("""COMPUTED_VALUE"""),"London")</f>
        <v>London</v>
      </c>
      <c r="C637" s="149"/>
      <c r="D637" s="149" t="str">
        <f>IFERROR(__xludf.DUMMYFUNCTION("""COMPUTED_VALUE"""),"United Kingdom")</f>
        <v>United Kingdom</v>
      </c>
      <c r="E637" s="156">
        <f>IFERROR(__xludf.DUMMYFUNCTION("""COMPUTED_VALUE"""),44357.0)</f>
        <v>44357</v>
      </c>
      <c r="F637" s="129">
        <f>IFERROR(__xludf.DUMMYFUNCTION("""COMPUTED_VALUE"""),44418.0)</f>
        <v>44418</v>
      </c>
      <c r="G637" s="154" t="str">
        <f>IFERROR(__xludf.DUMMYFUNCTION("""COMPUTED_VALUE"""),"Phone call")</f>
        <v>Phone call</v>
      </c>
      <c r="H637" s="131">
        <f>IFERROR(__xludf.DUMMYFUNCTION("""COMPUTED_VALUE"""),312355.0)</f>
        <v>312355</v>
      </c>
      <c r="I637" s="144"/>
      <c r="J637" s="129">
        <f>IFERROR(__xludf.DUMMYFUNCTION("""COMPUTED_VALUE"""),44443.0)</f>
        <v>44443</v>
      </c>
      <c r="K637" s="133">
        <f>IFERROR(__xludf.DUMMYFUNCTION("""COMPUTED_VALUE"""),61.0)</f>
        <v>61</v>
      </c>
      <c r="L637" s="133">
        <f>IFERROR(__xludf.DUMMYFUNCTION("""COMPUTED_VALUE"""),25.0)</f>
        <v>25</v>
      </c>
      <c r="M637" s="133">
        <f>IFERROR(__xludf.DUMMYFUNCTION("""COMPUTED_VALUE"""),86.0)</f>
        <v>86</v>
      </c>
      <c r="N637" s="152" t="str">
        <f>IFERROR(__xludf.DUMMYFUNCTION("""COMPUTED_VALUE"""),"Model 3 LR AWD")</f>
        <v>Model 3 LR AWD</v>
      </c>
      <c r="O637" s="152" t="str">
        <f>IFERROR(__xludf.DUMMYFUNCTION("""COMPUTED_VALUE"""),"Midnight Silver Metallic")</f>
        <v>Midnight Silver Metallic</v>
      </c>
      <c r="P637" s="153" t="str">
        <f>IFERROR(__xludf.DUMMYFUNCTION("""COMPUTED_VALUE"""),"18 inch")</f>
        <v>18 inch</v>
      </c>
      <c r="Q637" s="152" t="str">
        <f>IFERROR(__xludf.DUMMYFUNCTION("""COMPUTED_VALUE"""),"All Black")</f>
        <v>All Black</v>
      </c>
      <c r="R637" s="149" t="str">
        <f>IFERROR(__xludf.DUMMYFUNCTION("""COMPUTED_VALUE"""),"Autopilot included")</f>
        <v>Autopilot included</v>
      </c>
      <c r="S637" s="149" t="str">
        <f>IFERROR(__xludf.DUMMYFUNCTION("""COMPUTED_VALUE"""),"Cash")</f>
        <v>Cash</v>
      </c>
      <c r="T637" s="145" t="str">
        <f>IFERROR(__xludf.DUMMYFUNCTION("""COMPUTED_VALUE"""),"VW Golf")</f>
        <v>VW Golf</v>
      </c>
      <c r="U637" s="145" t="str">
        <f>IFERROR(__xludf.DUMMYFUNCTION("""COMPUTED_VALUE"""),"Electric!")</f>
        <v>Electric!</v>
      </c>
      <c r="V637" s="145" t="str">
        <f>IFERROR(__xludf.DUMMYFUNCTION("""COMPUTED_VALUE"""),"Head-up display")</f>
        <v>Head-up display</v>
      </c>
      <c r="W637" s="145"/>
      <c r="X637" s="137"/>
      <c r="Y637" s="138"/>
      <c r="Z637" s="138"/>
      <c r="AA637" s="138"/>
      <c r="AB637" s="138"/>
      <c r="AC637" s="139"/>
      <c r="AD637" s="139"/>
      <c r="AE637" s="139"/>
      <c r="AF637" s="140"/>
      <c r="AG637" s="145"/>
      <c r="AH637" s="157">
        <f>IFERROR(__xludf.DUMMYFUNCTION("""COMPUTED_VALUE"""),44418.24971210648)</f>
        <v>44418.24971</v>
      </c>
      <c r="AI637" s="138"/>
      <c r="AJ637" s="138"/>
      <c r="AK637" s="138"/>
      <c r="AL637" s="142"/>
    </row>
    <row r="638" ht="20.25" customHeight="1">
      <c r="A638" s="155" t="str">
        <f>IFERROR(__xludf.DUMMYFUNCTION("""COMPUTED_VALUE"""),"2Fast2Furious")</f>
        <v>2Fast2Furious</v>
      </c>
      <c r="B638" s="149" t="str">
        <f>IFERROR(__xludf.DUMMYFUNCTION("""COMPUTED_VALUE"""),"Elk Grove")</f>
        <v>Elk Grove</v>
      </c>
      <c r="C638" s="149" t="str">
        <f>IFERROR(__xludf.DUMMYFUNCTION("""COMPUTED_VALUE"""),"CA")</f>
        <v>CA</v>
      </c>
      <c r="D638" s="149" t="str">
        <f>IFERROR(__xludf.DUMMYFUNCTION("""COMPUTED_VALUE"""),"USA")</f>
        <v>USA</v>
      </c>
      <c r="E638" s="156">
        <f>IFERROR(__xludf.DUMMYFUNCTION("""COMPUTED_VALUE"""),44356.0)</f>
        <v>44356</v>
      </c>
      <c r="F638" s="129">
        <f>IFERROR(__xludf.DUMMYFUNCTION("""COMPUTED_VALUE"""),44375.0)</f>
        <v>44375</v>
      </c>
      <c r="G638" s="154" t="str">
        <f>IFERROR(__xludf.DUMMYFUNCTION("""COMPUTED_VALUE"""),"Manage order page (normal text)")</f>
        <v>Manage order page (normal text)</v>
      </c>
      <c r="H638" s="131"/>
      <c r="I638" s="144"/>
      <c r="J638" s="129">
        <f>IFERROR(__xludf.DUMMYFUNCTION("""COMPUTED_VALUE"""),44388.0)</f>
        <v>44388</v>
      </c>
      <c r="K638" s="133">
        <f>IFERROR(__xludf.DUMMYFUNCTION("""COMPUTED_VALUE"""),19.0)</f>
        <v>19</v>
      </c>
      <c r="L638" s="133">
        <f>IFERROR(__xludf.DUMMYFUNCTION("""COMPUTED_VALUE"""),13.0)</f>
        <v>13</v>
      </c>
      <c r="M638" s="133">
        <f>IFERROR(__xludf.DUMMYFUNCTION("""COMPUTED_VALUE"""),32.0)</f>
        <v>32</v>
      </c>
      <c r="N638" s="152" t="str">
        <f>IFERROR(__xludf.DUMMYFUNCTION("""COMPUTED_VALUE"""),"Model 3 LR AWD")</f>
        <v>Model 3 LR AWD</v>
      </c>
      <c r="O638" s="152" t="str">
        <f>IFERROR(__xludf.DUMMYFUNCTION("""COMPUTED_VALUE"""),"Pearl White Multi-Coat")</f>
        <v>Pearl White Multi-Coat</v>
      </c>
      <c r="P638" s="153" t="str">
        <f>IFERROR(__xludf.DUMMYFUNCTION("""COMPUTED_VALUE"""),"19 inch")</f>
        <v>19 inch</v>
      </c>
      <c r="Q638" s="152" t="str">
        <f>IFERROR(__xludf.DUMMYFUNCTION("""COMPUTED_VALUE"""),"All Black")</f>
        <v>All Black</v>
      </c>
      <c r="R638" s="149" t="str">
        <f>IFERROR(__xludf.DUMMYFUNCTION("""COMPUTED_VALUE"""),"Autopilot included")</f>
        <v>Autopilot included</v>
      </c>
      <c r="S638" s="149" t="str">
        <f>IFERROR(__xludf.DUMMYFUNCTION("""COMPUTED_VALUE"""),"Loan")</f>
        <v>Loan</v>
      </c>
      <c r="T638" s="145" t="str">
        <f>IFERROR(__xludf.DUMMYFUNCTION("""COMPUTED_VALUE"""),"Honda Civic")</f>
        <v>Honda Civic</v>
      </c>
      <c r="U638" s="145" t="str">
        <f>IFERROR(__xludf.DUMMYFUNCTION("""COMPUTED_VALUE"""),"Electric!")</f>
        <v>Electric!</v>
      </c>
      <c r="V638" s="145" t="str">
        <f>IFERROR(__xludf.DUMMYFUNCTION("""COMPUTED_VALUE"""),"Apple CarPlay / Android Auto / SiriusXM Radio")</f>
        <v>Apple CarPlay / Android Auto / SiriusXM Radio</v>
      </c>
      <c r="W638" s="145"/>
      <c r="X638" s="137"/>
      <c r="Y638" s="138"/>
      <c r="Z638" s="138"/>
      <c r="AA638" s="138"/>
      <c r="AB638" s="138"/>
      <c r="AC638" s="139"/>
      <c r="AD638" s="139"/>
      <c r="AE638" s="139"/>
      <c r="AF638" s="140"/>
      <c r="AG638" s="145"/>
      <c r="AH638" s="157">
        <f>IFERROR(__xludf.DUMMYFUNCTION("""COMPUTED_VALUE"""),44384.513740567134)</f>
        <v>44384.51374</v>
      </c>
      <c r="AI638" s="138"/>
      <c r="AJ638" s="138"/>
      <c r="AK638" s="138"/>
      <c r="AL638" s="142"/>
    </row>
    <row r="639" ht="20.25" customHeight="1">
      <c r="A639" s="155" t="str">
        <f>IFERROR(__xludf.DUMMYFUNCTION("""COMPUTED_VALUE"""),"AMARMILO")</f>
        <v>AMARMILO</v>
      </c>
      <c r="B639" s="149" t="str">
        <f>IFERROR(__xludf.DUMMYFUNCTION("""COMPUTED_VALUE"""),"Toronto")</f>
        <v>Toronto</v>
      </c>
      <c r="C639" s="149" t="str">
        <f>IFERROR(__xludf.DUMMYFUNCTION("""COMPUTED_VALUE"""),"ON")</f>
        <v>ON</v>
      </c>
      <c r="D639" s="149" t="str">
        <f>IFERROR(__xludf.DUMMYFUNCTION("""COMPUTED_VALUE"""),"Canada")</f>
        <v>Canada</v>
      </c>
      <c r="E639" s="156">
        <f>IFERROR(__xludf.DUMMYFUNCTION("""COMPUTED_VALUE"""),44356.0)</f>
        <v>44356</v>
      </c>
      <c r="F639" s="129">
        <f>IFERROR(__xludf.DUMMYFUNCTION("""COMPUTED_VALUE"""),44407.0)</f>
        <v>44407</v>
      </c>
      <c r="G639" s="154" t="str">
        <f>IFERROR(__xludf.DUMMYFUNCTION("""COMPUTED_VALUE"""),"Source code")</f>
        <v>Source code</v>
      </c>
      <c r="H639" s="131"/>
      <c r="I639" s="144"/>
      <c r="J639" s="129">
        <f>IFERROR(__xludf.DUMMYFUNCTION("""COMPUTED_VALUE"""),44421.0)</f>
        <v>44421</v>
      </c>
      <c r="K639" s="133">
        <f>IFERROR(__xludf.DUMMYFUNCTION("""COMPUTED_VALUE"""),51.0)</f>
        <v>51</v>
      </c>
      <c r="L639" s="133">
        <f>IFERROR(__xludf.DUMMYFUNCTION("""COMPUTED_VALUE"""),14.0)</f>
        <v>14</v>
      </c>
      <c r="M639" s="133">
        <f>IFERROR(__xludf.DUMMYFUNCTION("""COMPUTED_VALUE"""),65.0)</f>
        <v>65</v>
      </c>
      <c r="N639" s="152" t="str">
        <f>IFERROR(__xludf.DUMMYFUNCTION("""COMPUTED_VALUE"""),"Model 3 SR+")</f>
        <v>Model 3 SR+</v>
      </c>
      <c r="O639" s="152" t="str">
        <f>IFERROR(__xludf.DUMMYFUNCTION("""COMPUTED_VALUE"""),"Pearl White Multi-Coat")</f>
        <v>Pearl White Multi-Coat</v>
      </c>
      <c r="P639" s="153" t="str">
        <f>IFERROR(__xludf.DUMMYFUNCTION("""COMPUTED_VALUE"""),"18 inch")</f>
        <v>18 inch</v>
      </c>
      <c r="Q639" s="152" t="str">
        <f>IFERROR(__xludf.DUMMYFUNCTION("""COMPUTED_VALUE"""),"All Black")</f>
        <v>All Black</v>
      </c>
      <c r="R639" s="149" t="str">
        <f>IFERROR(__xludf.DUMMYFUNCTION("""COMPUTED_VALUE"""),"Autopilot included")</f>
        <v>Autopilot included</v>
      </c>
      <c r="S639" s="149" t="str">
        <f>IFERROR(__xludf.DUMMYFUNCTION("""COMPUTED_VALUE"""),"Loan")</f>
        <v>Loan</v>
      </c>
      <c r="T639" s="145"/>
      <c r="U639" s="145" t="str">
        <f>IFERROR(__xludf.DUMMYFUNCTION("""COMPUTED_VALUE"""),"Electric!")</f>
        <v>Electric!</v>
      </c>
      <c r="V639" s="145" t="str">
        <f>IFERROR(__xludf.DUMMYFUNCTION("""COMPUTED_VALUE"""),"Head-up display")</f>
        <v>Head-up display</v>
      </c>
      <c r="W639" s="145"/>
      <c r="X639" s="137"/>
      <c r="Y639" s="138"/>
      <c r="Z639" s="138"/>
      <c r="AA639" s="138"/>
      <c r="AB639" s="138"/>
      <c r="AC639" s="139"/>
      <c r="AD639" s="139"/>
      <c r="AE639" s="139"/>
      <c r="AF639" s="140"/>
      <c r="AG639" s="145"/>
      <c r="AH639" s="157">
        <f>IFERROR(__xludf.DUMMYFUNCTION("""COMPUTED_VALUE"""),44408.72157612269)</f>
        <v>44408.72158</v>
      </c>
      <c r="AI639" s="138"/>
      <c r="AJ639" s="138"/>
      <c r="AK639" s="138"/>
      <c r="AL639" s="142"/>
    </row>
    <row r="640" ht="20.25" customHeight="1">
      <c r="A640" s="155" t="str">
        <f>IFERROR(__xludf.DUMMYFUNCTION("""COMPUTED_VALUE"""),"mpls")</f>
        <v>mpls</v>
      </c>
      <c r="B640" s="149" t="str">
        <f>IFERROR(__xludf.DUMMYFUNCTION("""COMPUTED_VALUE"""),"Minneapolis")</f>
        <v>Minneapolis</v>
      </c>
      <c r="C640" s="149" t="str">
        <f>IFERROR(__xludf.DUMMYFUNCTION("""COMPUTED_VALUE"""),"MN")</f>
        <v>MN</v>
      </c>
      <c r="D640" s="149" t="str">
        <f>IFERROR(__xludf.DUMMYFUNCTION("""COMPUTED_VALUE"""),"USA")</f>
        <v>USA</v>
      </c>
      <c r="E640" s="156">
        <f>IFERROR(__xludf.DUMMYFUNCTION("""COMPUTED_VALUE"""),44356.0)</f>
        <v>44356</v>
      </c>
      <c r="F640" s="129">
        <f>IFERROR(__xludf.DUMMYFUNCTION("""COMPUTED_VALUE"""),44435.0)</f>
        <v>44435</v>
      </c>
      <c r="G640" s="154" t="str">
        <f>IFERROR(__xludf.DUMMYFUNCTION("""COMPUTED_VALUE"""),"Manage order page (normal text)")</f>
        <v>Manage order page (normal text)</v>
      </c>
      <c r="H640" s="131"/>
      <c r="I640" s="144"/>
      <c r="J640" s="129">
        <f>IFERROR(__xludf.DUMMYFUNCTION("""COMPUTED_VALUE"""),44447.0)</f>
        <v>44447</v>
      </c>
      <c r="K640" s="133">
        <f>IFERROR(__xludf.DUMMYFUNCTION("""COMPUTED_VALUE"""),79.0)</f>
        <v>79</v>
      </c>
      <c r="L640" s="133">
        <f>IFERROR(__xludf.DUMMYFUNCTION("""COMPUTED_VALUE"""),12.0)</f>
        <v>12</v>
      </c>
      <c r="M640" s="133">
        <f>IFERROR(__xludf.DUMMYFUNCTION("""COMPUTED_VALUE"""),91.0)</f>
        <v>91</v>
      </c>
      <c r="N640" s="152" t="str">
        <f>IFERROR(__xludf.DUMMYFUNCTION("""COMPUTED_VALUE"""),"Model 3 LR AWD")</f>
        <v>Model 3 LR AWD</v>
      </c>
      <c r="O640" s="152" t="str">
        <f>IFERROR(__xludf.DUMMYFUNCTION("""COMPUTED_VALUE"""),"Deep Blue Metallic")</f>
        <v>Deep Blue Metallic</v>
      </c>
      <c r="P640" s="153" t="str">
        <f>IFERROR(__xludf.DUMMYFUNCTION("""COMPUTED_VALUE"""),"18 inch")</f>
        <v>18 inch</v>
      </c>
      <c r="Q640" s="152" t="str">
        <f>IFERROR(__xludf.DUMMYFUNCTION("""COMPUTED_VALUE"""),"All Black")</f>
        <v>All Black</v>
      </c>
      <c r="R640" s="149" t="str">
        <f>IFERROR(__xludf.DUMMYFUNCTION("""COMPUTED_VALUE"""),"Autopilot included")</f>
        <v>Autopilot included</v>
      </c>
      <c r="S640" s="149" t="str">
        <f>IFERROR(__xludf.DUMMYFUNCTION("""COMPUTED_VALUE"""),"Loan")</f>
        <v>Loan</v>
      </c>
      <c r="T640" s="145"/>
      <c r="U640" s="145"/>
      <c r="V640" s="145"/>
      <c r="W640" s="145"/>
      <c r="X640" s="137"/>
      <c r="Y640" s="138"/>
      <c r="Z640" s="138"/>
      <c r="AA640" s="138"/>
      <c r="AB640" s="138"/>
      <c r="AC640" s="139"/>
      <c r="AD640" s="139"/>
      <c r="AE640" s="139"/>
      <c r="AF640" s="140" t="str">
        <f>IFERROR(__xludf.DUMMYFUNCTION("""COMPUTED_VALUE"""),"No. I took delivery of the first car Tesla was able to deliver.")</f>
        <v>No. I took delivery of the first car Tesla was able to deliver.</v>
      </c>
      <c r="AG640" s="145"/>
      <c r="AH640" s="157">
        <f>IFERROR(__xludf.DUMMYFUNCTION("""COMPUTED_VALUE"""),44453.3241016551)</f>
        <v>44453.3241</v>
      </c>
      <c r="AI640" s="138"/>
      <c r="AJ640" s="138"/>
      <c r="AK640" s="138"/>
      <c r="AL640" s="142"/>
    </row>
    <row r="641" ht="20.25" customHeight="1">
      <c r="A641" s="155" t="str">
        <f>IFERROR(__xludf.DUMMYFUNCTION("""COMPUTED_VALUE"""),"thespud ")</f>
        <v>thespud </v>
      </c>
      <c r="B641" s="149" t="str">
        <f>IFERROR(__xludf.DUMMYFUNCTION("""COMPUTED_VALUE"""),"Draper")</f>
        <v>Draper</v>
      </c>
      <c r="C641" s="149" t="str">
        <f>IFERROR(__xludf.DUMMYFUNCTION("""COMPUTED_VALUE"""),"UT")</f>
        <v>UT</v>
      </c>
      <c r="D641" s="149" t="str">
        <f>IFERROR(__xludf.DUMMYFUNCTION("""COMPUTED_VALUE"""),"USA")</f>
        <v>USA</v>
      </c>
      <c r="E641" s="156">
        <f>IFERROR(__xludf.DUMMYFUNCTION("""COMPUTED_VALUE"""),44356.0)</f>
        <v>44356</v>
      </c>
      <c r="F641" s="129">
        <f>IFERROR(__xludf.DUMMYFUNCTION("""COMPUTED_VALUE"""),44419.0)</f>
        <v>44419</v>
      </c>
      <c r="G641" s="154" t="str">
        <f>IFERROR(__xludf.DUMMYFUNCTION("""COMPUTED_VALUE"""),"Email")</f>
        <v>Email</v>
      </c>
      <c r="H641" s="131"/>
      <c r="I641" s="144"/>
      <c r="J641" s="129"/>
      <c r="K641" s="133">
        <f>IFERROR(__xludf.DUMMYFUNCTION("""COMPUTED_VALUE"""),63.0)</f>
        <v>63</v>
      </c>
      <c r="L641" s="133"/>
      <c r="M641" s="133"/>
      <c r="N641" s="152" t="str">
        <f>IFERROR(__xludf.DUMMYFUNCTION("""COMPUTED_VALUE"""),"Model 3 LR AWD")</f>
        <v>Model 3 LR AWD</v>
      </c>
      <c r="O641" s="152"/>
      <c r="P641" s="153" t="str">
        <f>IFERROR(__xludf.DUMMYFUNCTION("""COMPUTED_VALUE"""),"18 inch")</f>
        <v>18 inch</v>
      </c>
      <c r="Q641" s="152" t="str">
        <f>IFERROR(__xludf.DUMMYFUNCTION("""COMPUTED_VALUE"""),"All Black")</f>
        <v>All Black</v>
      </c>
      <c r="R641" s="149" t="str">
        <f>IFERROR(__xludf.DUMMYFUNCTION("""COMPUTED_VALUE"""),"Autopilot included")</f>
        <v>Autopilot included</v>
      </c>
      <c r="S641" s="149" t="str">
        <f>IFERROR(__xludf.DUMMYFUNCTION("""COMPUTED_VALUE"""),"Cash")</f>
        <v>Cash</v>
      </c>
      <c r="T641" s="145" t="str">
        <f>IFERROR(__xludf.DUMMYFUNCTION("""COMPUTED_VALUE"""),"Lexus RX 450h")</f>
        <v>Lexus RX 450h</v>
      </c>
      <c r="U641" s="145" t="str">
        <f>IFERROR(__xludf.DUMMYFUNCTION("""COMPUTED_VALUE"""),"Electric!")</f>
        <v>Electric!</v>
      </c>
      <c r="V641" s="145" t="str">
        <f>IFERROR(__xludf.DUMMYFUNCTION("""COMPUTED_VALUE"""),"Ventilated seats")</f>
        <v>Ventilated seats</v>
      </c>
      <c r="W641" s="145"/>
      <c r="X641" s="137"/>
      <c r="Y641" s="138"/>
      <c r="Z641" s="138"/>
      <c r="AA641" s="138"/>
      <c r="AB641" s="138"/>
      <c r="AC641" s="139"/>
      <c r="AD641" s="139"/>
      <c r="AE641" s="139"/>
      <c r="AF641" s="140"/>
      <c r="AG641" s="145"/>
      <c r="AH641" s="157">
        <f>IFERROR(__xludf.DUMMYFUNCTION("""COMPUTED_VALUE"""),44419.804580173615)</f>
        <v>44419.80458</v>
      </c>
      <c r="AI641" s="138"/>
      <c r="AJ641" s="138"/>
      <c r="AK641" s="138"/>
      <c r="AL641" s="142"/>
    </row>
    <row r="642" ht="20.25" customHeight="1">
      <c r="A642" s="155" t="str">
        <f>IFERROR(__xludf.DUMMYFUNCTION("""COMPUTED_VALUE"""),"canadaben")</f>
        <v>canadaben</v>
      </c>
      <c r="B642" s="149" t="str">
        <f>IFERROR(__xludf.DUMMYFUNCTION("""COMPUTED_VALUE"""),"Kitchener")</f>
        <v>Kitchener</v>
      </c>
      <c r="C642" s="149" t="str">
        <f>IFERROR(__xludf.DUMMYFUNCTION("""COMPUTED_VALUE"""),"ON")</f>
        <v>ON</v>
      </c>
      <c r="D642" s="149" t="str">
        <f>IFERROR(__xludf.DUMMYFUNCTION("""COMPUTED_VALUE"""),"Canada")</f>
        <v>Canada</v>
      </c>
      <c r="E642" s="156">
        <f>IFERROR(__xludf.DUMMYFUNCTION("""COMPUTED_VALUE"""),44355.0)</f>
        <v>44355</v>
      </c>
      <c r="F642" s="129">
        <f>IFERROR(__xludf.DUMMYFUNCTION("""COMPUTED_VALUE"""),44392.0)</f>
        <v>44392</v>
      </c>
      <c r="G642" s="154" t="str">
        <f>IFERROR(__xludf.DUMMYFUNCTION("""COMPUTED_VALUE"""),"Source code")</f>
        <v>Source code</v>
      </c>
      <c r="H642" s="131">
        <f>IFERROR(__xludf.DUMMYFUNCTION("""COMPUTED_VALUE"""),19555.0)</f>
        <v>19555</v>
      </c>
      <c r="I642" s="144"/>
      <c r="J642" s="129">
        <f>IFERROR(__xludf.DUMMYFUNCTION("""COMPUTED_VALUE"""),44406.0)</f>
        <v>44406</v>
      </c>
      <c r="K642" s="133">
        <f>IFERROR(__xludf.DUMMYFUNCTION("""COMPUTED_VALUE"""),37.0)</f>
        <v>37</v>
      </c>
      <c r="L642" s="133">
        <f>IFERROR(__xludf.DUMMYFUNCTION("""COMPUTED_VALUE"""),14.0)</f>
        <v>14</v>
      </c>
      <c r="M642" s="133">
        <f>IFERROR(__xludf.DUMMYFUNCTION("""COMPUTED_VALUE"""),51.0)</f>
        <v>51</v>
      </c>
      <c r="N642" s="152" t="str">
        <f>IFERROR(__xludf.DUMMYFUNCTION("""COMPUTED_VALUE"""),"Model 3 LR AWD")</f>
        <v>Model 3 LR AWD</v>
      </c>
      <c r="O642" s="152" t="str">
        <f>IFERROR(__xludf.DUMMYFUNCTION("""COMPUTED_VALUE"""),"Deep Blue Metallic")</f>
        <v>Deep Blue Metallic</v>
      </c>
      <c r="P642" s="153" t="str">
        <f>IFERROR(__xludf.DUMMYFUNCTION("""COMPUTED_VALUE"""),"18 inch")</f>
        <v>18 inch</v>
      </c>
      <c r="Q642" s="152" t="str">
        <f>IFERROR(__xludf.DUMMYFUNCTION("""COMPUTED_VALUE"""),"All Black")</f>
        <v>All Black</v>
      </c>
      <c r="R642" s="149" t="str">
        <f>IFERROR(__xludf.DUMMYFUNCTION("""COMPUTED_VALUE"""),"Autopilot included")</f>
        <v>Autopilot included</v>
      </c>
      <c r="S642" s="149" t="str">
        <f>IFERROR(__xludf.DUMMYFUNCTION("""COMPUTED_VALUE"""),"Loan")</f>
        <v>Loan</v>
      </c>
      <c r="T642" s="145" t="str">
        <f>IFERROR(__xludf.DUMMYFUNCTION("""COMPUTED_VALUE"""),"volvo")</f>
        <v>volvo</v>
      </c>
      <c r="U642" s="145" t="str">
        <f>IFERROR(__xludf.DUMMYFUNCTION("""COMPUTED_VALUE"""),"Electric!")</f>
        <v>Electric!</v>
      </c>
      <c r="V642" s="145"/>
      <c r="W642" s="145"/>
      <c r="X642" s="137"/>
      <c r="Y642" s="138"/>
      <c r="Z642" s="138"/>
      <c r="AA642" s="138"/>
      <c r="AB642" s="138"/>
      <c r="AC642" s="139"/>
      <c r="AD642" s="139"/>
      <c r="AE642" s="139"/>
      <c r="AF642" s="140"/>
      <c r="AG642" s="145"/>
      <c r="AH642" s="157">
        <f>IFERROR(__xludf.DUMMYFUNCTION("""COMPUTED_VALUE"""),44398.4744794213)</f>
        <v>44398.47448</v>
      </c>
      <c r="AI642" s="138"/>
      <c r="AJ642" s="138"/>
      <c r="AK642" s="138"/>
      <c r="AL642" s="142"/>
    </row>
    <row r="643" ht="20.25" customHeight="1">
      <c r="A643" s="155" t="str">
        <f>IFERROR(__xludf.DUMMYFUNCTION("""COMPUTED_VALUE"""),"Geo")</f>
        <v>Geo</v>
      </c>
      <c r="B643" s="149" t="str">
        <f>IFERROR(__xludf.DUMMYFUNCTION("""COMPUTED_VALUE"""),"Salt Lake City")</f>
        <v>Salt Lake City</v>
      </c>
      <c r="C643" s="149" t="str">
        <f>IFERROR(__xludf.DUMMYFUNCTION("""COMPUTED_VALUE"""),"UT")</f>
        <v>UT</v>
      </c>
      <c r="D643" s="149" t="str">
        <f>IFERROR(__xludf.DUMMYFUNCTION("""COMPUTED_VALUE"""),"USA")</f>
        <v>USA</v>
      </c>
      <c r="E643" s="156">
        <f>IFERROR(__xludf.DUMMYFUNCTION("""COMPUTED_VALUE"""),44355.0)</f>
        <v>44355</v>
      </c>
      <c r="F643" s="129">
        <f>IFERROR(__xludf.DUMMYFUNCTION("""COMPUTED_VALUE"""),44364.0)</f>
        <v>44364</v>
      </c>
      <c r="G643" s="154" t="str">
        <f>IFERROR(__xludf.DUMMYFUNCTION("""COMPUTED_VALUE"""),"Email")</f>
        <v>Email</v>
      </c>
      <c r="H643" s="131">
        <f>IFERROR(__xludf.DUMMYFUNCTION("""COMPUTED_VALUE"""),997955.0)</f>
        <v>997955</v>
      </c>
      <c r="I643" s="144"/>
      <c r="J643" s="129">
        <f>IFERROR(__xludf.DUMMYFUNCTION("""COMPUTED_VALUE"""),44387.0)</f>
        <v>44387</v>
      </c>
      <c r="K643" s="133">
        <f>IFERROR(__xludf.DUMMYFUNCTION("""COMPUTED_VALUE"""),9.0)</f>
        <v>9</v>
      </c>
      <c r="L643" s="133">
        <f>IFERROR(__xludf.DUMMYFUNCTION("""COMPUTED_VALUE"""),23.0)</f>
        <v>23</v>
      </c>
      <c r="M643" s="133">
        <f>IFERROR(__xludf.DUMMYFUNCTION("""COMPUTED_VALUE"""),32.0)</f>
        <v>32</v>
      </c>
      <c r="N643" s="152" t="str">
        <f>IFERROR(__xludf.DUMMYFUNCTION("""COMPUTED_VALUE"""),"Model 3 LR AWD")</f>
        <v>Model 3 LR AWD</v>
      </c>
      <c r="O643" s="152" t="str">
        <f>IFERROR(__xludf.DUMMYFUNCTION("""COMPUTED_VALUE"""),"Midnight Silver Metallic")</f>
        <v>Midnight Silver Metallic</v>
      </c>
      <c r="P643" s="153" t="str">
        <f>IFERROR(__xludf.DUMMYFUNCTION("""COMPUTED_VALUE"""),"18 inch")</f>
        <v>18 inch</v>
      </c>
      <c r="Q643" s="152" t="str">
        <f>IFERROR(__xludf.DUMMYFUNCTION("""COMPUTED_VALUE"""),"All Black")</f>
        <v>All Black</v>
      </c>
      <c r="R643" s="149" t="str">
        <f>IFERROR(__xludf.DUMMYFUNCTION("""COMPUTED_VALUE"""),"Autopilot included")</f>
        <v>Autopilot included</v>
      </c>
      <c r="S643" s="149" t="str">
        <f>IFERROR(__xludf.DUMMYFUNCTION("""COMPUTED_VALUE"""),"Loan")</f>
        <v>Loan</v>
      </c>
      <c r="T643" s="145" t="str">
        <f>IFERROR(__xludf.DUMMYFUNCTION("""COMPUTED_VALUE"""),"Mazda CX-5")</f>
        <v>Mazda CX-5</v>
      </c>
      <c r="U643" s="145" t="str">
        <f>IFERROR(__xludf.DUMMYFUNCTION("""COMPUTED_VALUE"""),"Electric!")</f>
        <v>Electric!</v>
      </c>
      <c r="V643" s="145" t="str">
        <f>IFERROR(__xludf.DUMMYFUNCTION("""COMPUTED_VALUE"""),"Apple CarPlay / Android Auto / SiriusXM Radio")</f>
        <v>Apple CarPlay / Android Auto / SiriusXM Radio</v>
      </c>
      <c r="W643" s="145"/>
      <c r="X643" s="137" t="str">
        <f>IFERROR(__xludf.DUMMYFUNCTION("""COMPUTED_VALUE"""),"Very Good")</f>
        <v>Very Good</v>
      </c>
      <c r="Y643" s="138" t="str">
        <f>IFERROR(__xludf.DUMMYFUNCTION("""COMPUTED_VALUE"""),"Very Good")</f>
        <v>Very Good</v>
      </c>
      <c r="Z643" s="138" t="str">
        <f>IFERROR(__xludf.DUMMYFUNCTION("""COMPUTED_VALUE"""),"Excellent")</f>
        <v>Excellent</v>
      </c>
      <c r="AA643" s="138" t="str">
        <f>IFERROR(__xludf.DUMMYFUNCTION("""COMPUTED_VALUE"""),"Fair")</f>
        <v>Fair</v>
      </c>
      <c r="AB643" s="138" t="str">
        <f>IFERROR(__xludf.DUMMYFUNCTION("""COMPUTED_VALUE"""),"Fair")</f>
        <v>Fair</v>
      </c>
      <c r="AC643" s="139"/>
      <c r="AD643" s="139"/>
      <c r="AE643" s="139"/>
      <c r="AF643" s="140" t="str">
        <f>IFERROR(__xludf.DUMMYFUNCTION("""COMPUTED_VALUE"""),"No. I took delivery of the first car Tesla was able to deliver.")</f>
        <v>No. I took delivery of the first car Tesla was able to deliver.</v>
      </c>
      <c r="AG643" s="145"/>
      <c r="AH643" s="157">
        <f>IFERROR(__xludf.DUMMYFUNCTION("""COMPUTED_VALUE"""),44389.48965675926)</f>
        <v>44389.48966</v>
      </c>
      <c r="AI643" s="138"/>
      <c r="AJ643" s="138"/>
      <c r="AK643" s="138"/>
      <c r="AL643" s="142"/>
    </row>
    <row r="644" ht="20.25" customHeight="1">
      <c r="A644" s="155" t="str">
        <f>IFERROR(__xludf.DUMMYFUNCTION("""COMPUTED_VALUE"""),"gwc6")</f>
        <v>gwc6</v>
      </c>
      <c r="B644" s="149" t="str">
        <f>IFERROR(__xludf.DUMMYFUNCTION("""COMPUTED_VALUE"""),"Pasadena")</f>
        <v>Pasadena</v>
      </c>
      <c r="C644" s="149" t="str">
        <f>IFERROR(__xludf.DUMMYFUNCTION("""COMPUTED_VALUE"""),"CA")</f>
        <v>CA</v>
      </c>
      <c r="D644" s="149" t="str">
        <f>IFERROR(__xludf.DUMMYFUNCTION("""COMPUTED_VALUE"""),"USA")</f>
        <v>USA</v>
      </c>
      <c r="E644" s="156">
        <f>IFERROR(__xludf.DUMMYFUNCTION("""COMPUTED_VALUE"""),44355.0)</f>
        <v>44355</v>
      </c>
      <c r="F644" s="129">
        <f>IFERROR(__xludf.DUMMYFUNCTION("""COMPUTED_VALUE"""),44365.0)</f>
        <v>44365</v>
      </c>
      <c r="G644" s="154" t="str">
        <f>IFERROR(__xludf.DUMMYFUNCTION("""COMPUTED_VALUE"""),"Email")</f>
        <v>Email</v>
      </c>
      <c r="H644" s="131">
        <f>IFERROR(__xludf.DUMMYFUNCTION("""COMPUTED_VALUE"""),995545.0)</f>
        <v>995545</v>
      </c>
      <c r="I644" s="144" t="str">
        <f>IFERROR(__xludf.DUMMYFUNCTION("""COMPUTED_VALUE"""),"06/21")</f>
        <v>06/21</v>
      </c>
      <c r="J644" s="129">
        <f>IFERROR(__xludf.DUMMYFUNCTION("""COMPUTED_VALUE"""),44369.0)</f>
        <v>44369</v>
      </c>
      <c r="K644" s="133">
        <f>IFERROR(__xludf.DUMMYFUNCTION("""COMPUTED_VALUE"""),10.0)</f>
        <v>10</v>
      </c>
      <c r="L644" s="133">
        <f>IFERROR(__xludf.DUMMYFUNCTION("""COMPUTED_VALUE"""),4.0)</f>
        <v>4</v>
      </c>
      <c r="M644" s="133">
        <f>IFERROR(__xludf.DUMMYFUNCTION("""COMPUTED_VALUE"""),14.0)</f>
        <v>14</v>
      </c>
      <c r="N644" s="152" t="str">
        <f>IFERROR(__xludf.DUMMYFUNCTION("""COMPUTED_VALUE"""),"Model 3 LR AWD")</f>
        <v>Model 3 LR AWD</v>
      </c>
      <c r="O644" s="152" t="str">
        <f>IFERROR(__xludf.DUMMYFUNCTION("""COMPUTED_VALUE"""),"Pearl White Multi-Coat")</f>
        <v>Pearl White Multi-Coat</v>
      </c>
      <c r="P644" s="153" t="str">
        <f>IFERROR(__xludf.DUMMYFUNCTION("""COMPUTED_VALUE"""),"18 inch")</f>
        <v>18 inch</v>
      </c>
      <c r="Q644" s="152" t="str">
        <f>IFERROR(__xludf.DUMMYFUNCTION("""COMPUTED_VALUE"""),"All Black")</f>
        <v>All Black</v>
      </c>
      <c r="R644" s="149" t="str">
        <f>IFERROR(__xludf.DUMMYFUNCTION("""COMPUTED_VALUE"""),"Full Self-Driving")</f>
        <v>Full Self-Driving</v>
      </c>
      <c r="S644" s="149" t="str">
        <f>IFERROR(__xludf.DUMMYFUNCTION("""COMPUTED_VALUE"""),"Cash")</f>
        <v>Cash</v>
      </c>
      <c r="T644" s="145" t="str">
        <f>IFERROR(__xludf.DUMMYFUNCTION("""COMPUTED_VALUE"""),"Honda Civic")</f>
        <v>Honda Civic</v>
      </c>
      <c r="U644" s="145" t="str">
        <f>IFERROR(__xludf.DUMMYFUNCTION("""COMPUTED_VALUE"""),"Electric!")</f>
        <v>Electric!</v>
      </c>
      <c r="V644" s="145" t="str">
        <f>IFERROR(__xludf.DUMMYFUNCTION("""COMPUTED_VALUE"""),"Apple CarPlay / Android Auto / SiriusXM Radio")</f>
        <v>Apple CarPlay / Android Auto / SiriusXM Radio</v>
      </c>
      <c r="W644" s="145" t="str">
        <f>IFERROR(__xludf.DUMMYFUNCTION("""COMPUTED_VALUE"""),"Also check your key card. Both of mine work fine, but are slightly wavy and warped. It's not worth the drive back, but I would have exchanged them if I were still there.")</f>
        <v>Also check your key card. Both of mine work fine, but are slightly wavy and warped. It's not worth the drive back, but I would have exchanged them if I were still there.</v>
      </c>
      <c r="X644" s="137" t="str">
        <f>IFERROR(__xludf.DUMMYFUNCTION("""COMPUTED_VALUE"""),"Excellent")</f>
        <v>Excellent</v>
      </c>
      <c r="Y644" s="138" t="str">
        <f>IFERROR(__xludf.DUMMYFUNCTION("""COMPUTED_VALUE"""),"Excellent")</f>
        <v>Excellent</v>
      </c>
      <c r="Z644" s="138" t="str">
        <f>IFERROR(__xludf.DUMMYFUNCTION("""COMPUTED_VALUE"""),"Excellent")</f>
        <v>Excellent</v>
      </c>
      <c r="AA644" s="138" t="str">
        <f>IFERROR(__xludf.DUMMYFUNCTION("""COMPUTED_VALUE"""),"Good")</f>
        <v>Good</v>
      </c>
      <c r="AB644" s="138" t="str">
        <f>IFERROR(__xludf.DUMMYFUNCTION("""COMPUTED_VALUE"""),"Good")</f>
        <v>Good</v>
      </c>
      <c r="AC644" s="139"/>
      <c r="AD644" s="139"/>
      <c r="AE644" s="139"/>
      <c r="AF644" s="140" t="str">
        <f>IFERROR(__xludf.DUMMYFUNCTION("""COMPUTED_VALUE"""),"No. I took delivery of the first car Tesla was able to deliver.")</f>
        <v>No. I took delivery of the first car Tesla was able to deliver.</v>
      </c>
      <c r="AG644" s="145" t="str">
        <f>IFERROR(__xludf.DUMMYFUNCTION("""COMPUTED_VALUE"""),"My original estimate was 9-13 weeks, but it came a lot sooner. ")</f>
        <v>My original estimate was 9-13 weeks, but it came a lot sooner. </v>
      </c>
      <c r="AH644" s="157">
        <f>IFERROR(__xludf.DUMMYFUNCTION("""COMPUTED_VALUE"""),44370.82131395833)</f>
        <v>44370.82131</v>
      </c>
      <c r="AI644" s="138"/>
      <c r="AJ644" s="138"/>
      <c r="AK644" s="138"/>
      <c r="AL644" s="142"/>
    </row>
    <row r="645" ht="20.25" customHeight="1">
      <c r="A645" s="155" t="str">
        <f>IFERROR(__xludf.DUMMYFUNCTION("""COMPUTED_VALUE"""),"mdgo")</f>
        <v>mdgo</v>
      </c>
      <c r="B645" s="149" t="str">
        <f>IFERROR(__xludf.DUMMYFUNCTION("""COMPUTED_VALUE"""),"Princeton")</f>
        <v>Princeton</v>
      </c>
      <c r="C645" s="149" t="str">
        <f>IFERROR(__xludf.DUMMYFUNCTION("""COMPUTED_VALUE"""),"NJ")</f>
        <v>NJ</v>
      </c>
      <c r="D645" s="149" t="str">
        <f>IFERROR(__xludf.DUMMYFUNCTION("""COMPUTED_VALUE"""),"USA")</f>
        <v>USA</v>
      </c>
      <c r="E645" s="156">
        <f>IFERROR(__xludf.DUMMYFUNCTION("""COMPUTED_VALUE"""),44355.0)</f>
        <v>44355</v>
      </c>
      <c r="F645" s="129">
        <f>IFERROR(__xludf.DUMMYFUNCTION("""COMPUTED_VALUE"""),44424.0)</f>
        <v>44424</v>
      </c>
      <c r="G645" s="154" t="str">
        <f>IFERROR(__xludf.DUMMYFUNCTION("""COMPUTED_VALUE"""),"Text message")</f>
        <v>Text message</v>
      </c>
      <c r="H645" s="131">
        <f>IFERROR(__xludf.DUMMYFUNCTION("""COMPUTED_VALUE"""),3255.0)</f>
        <v>3255</v>
      </c>
      <c r="I645" s="144"/>
      <c r="J645" s="129">
        <f>IFERROR(__xludf.DUMMYFUNCTION("""COMPUTED_VALUE"""),44429.0)</f>
        <v>44429</v>
      </c>
      <c r="K645" s="133">
        <f>IFERROR(__xludf.DUMMYFUNCTION("""COMPUTED_VALUE"""),69.0)</f>
        <v>69</v>
      </c>
      <c r="L645" s="133">
        <f>IFERROR(__xludf.DUMMYFUNCTION("""COMPUTED_VALUE"""),5.0)</f>
        <v>5</v>
      </c>
      <c r="M645" s="133">
        <f>IFERROR(__xludf.DUMMYFUNCTION("""COMPUTED_VALUE"""),74.0)</f>
        <v>74</v>
      </c>
      <c r="N645" s="152" t="str">
        <f>IFERROR(__xludf.DUMMYFUNCTION("""COMPUTED_VALUE"""),"Model 3 LR AWD")</f>
        <v>Model 3 LR AWD</v>
      </c>
      <c r="O645" s="152"/>
      <c r="P645" s="153" t="str">
        <f>IFERROR(__xludf.DUMMYFUNCTION("""COMPUTED_VALUE"""),"18 inch")</f>
        <v>18 inch</v>
      </c>
      <c r="Q645" s="152" t="str">
        <f>IFERROR(__xludf.DUMMYFUNCTION("""COMPUTED_VALUE"""),"Black and White")</f>
        <v>Black and White</v>
      </c>
      <c r="R645" s="149" t="str">
        <f>IFERROR(__xludf.DUMMYFUNCTION("""COMPUTED_VALUE"""),"Autopilot included")</f>
        <v>Autopilot included</v>
      </c>
      <c r="S645" s="149" t="str">
        <f>IFERROR(__xludf.DUMMYFUNCTION("""COMPUTED_VALUE"""),"Loan")</f>
        <v>Loan</v>
      </c>
      <c r="T645" s="145" t="str">
        <f>IFERROR(__xludf.DUMMYFUNCTION("""COMPUTED_VALUE"""),"Acura TLX")</f>
        <v>Acura TLX</v>
      </c>
      <c r="U645" s="145" t="str">
        <f>IFERROR(__xludf.DUMMYFUNCTION("""COMPUTED_VALUE"""),"Electric!")</f>
        <v>Electric!</v>
      </c>
      <c r="V645" s="145" t="str">
        <f>IFERROR(__xludf.DUMMYFUNCTION("""COMPUTED_VALUE"""),"Head-up display")</f>
        <v>Head-up display</v>
      </c>
      <c r="W645" s="145"/>
      <c r="X645" s="137" t="str">
        <f>IFERROR(__xludf.DUMMYFUNCTION("""COMPUTED_VALUE"""),"Excellent")</f>
        <v>Excellent</v>
      </c>
      <c r="Y645" s="138" t="str">
        <f>IFERROR(__xludf.DUMMYFUNCTION("""COMPUTED_VALUE"""),"Excellent")</f>
        <v>Excellent</v>
      </c>
      <c r="Z645" s="138" t="str">
        <f>IFERROR(__xludf.DUMMYFUNCTION("""COMPUTED_VALUE"""),"Excellent")</f>
        <v>Excellent</v>
      </c>
      <c r="AA645" s="138" t="str">
        <f>IFERROR(__xludf.DUMMYFUNCTION("""COMPUTED_VALUE"""),"Excellent")</f>
        <v>Excellent</v>
      </c>
      <c r="AB645" s="138" t="str">
        <f>IFERROR(__xludf.DUMMYFUNCTION("""COMPUTED_VALUE"""),"Excellent")</f>
        <v>Excellent</v>
      </c>
      <c r="AC645" s="139">
        <f>IFERROR(__xludf.DUMMYFUNCTION("""COMPUTED_VALUE"""),0.0)</f>
        <v>0</v>
      </c>
      <c r="AD645" s="139"/>
      <c r="AE645" s="139"/>
      <c r="AF645" s="140" t="str">
        <f>IFERROR(__xludf.DUMMYFUNCTION("""COMPUTED_VALUE"""),"No. I took delivery of the first car Tesla was able to deliver.")</f>
        <v>No. I took delivery of the first car Tesla was able to deliver.</v>
      </c>
      <c r="AG645" s="145"/>
      <c r="AH645" s="157">
        <f>IFERROR(__xludf.DUMMYFUNCTION("""COMPUTED_VALUE"""),44433.24287819445)</f>
        <v>44433.24288</v>
      </c>
      <c r="AI645" s="138"/>
      <c r="AJ645" s="138"/>
      <c r="AK645" s="138"/>
      <c r="AL645" s="142"/>
    </row>
    <row r="646" ht="20.25" customHeight="1">
      <c r="A646" s="155" t="str">
        <f>IFERROR(__xludf.DUMMYFUNCTION("""COMPUTED_VALUE"""),"mnuslush")</f>
        <v>mnuslush</v>
      </c>
      <c r="B646" s="149" t="str">
        <f>IFERROR(__xludf.DUMMYFUNCTION("""COMPUTED_VALUE"""),"Hyattsville")</f>
        <v>Hyattsville</v>
      </c>
      <c r="C646" s="149" t="str">
        <f>IFERROR(__xludf.DUMMYFUNCTION("""COMPUTED_VALUE"""),"MD")</f>
        <v>MD</v>
      </c>
      <c r="D646" s="149" t="str">
        <f>IFERROR(__xludf.DUMMYFUNCTION("""COMPUTED_VALUE"""),"USA")</f>
        <v>USA</v>
      </c>
      <c r="E646" s="156">
        <f>IFERROR(__xludf.DUMMYFUNCTION("""COMPUTED_VALUE"""),44355.0)</f>
        <v>44355</v>
      </c>
      <c r="F646" s="129">
        <f>IFERROR(__xludf.DUMMYFUNCTION("""COMPUTED_VALUE"""),44391.0)</f>
        <v>44391</v>
      </c>
      <c r="G646" s="154" t="str">
        <f>IFERROR(__xludf.DUMMYFUNCTION("""COMPUTED_VALUE"""),"Text message")</f>
        <v>Text message</v>
      </c>
      <c r="H646" s="131"/>
      <c r="I646" s="144"/>
      <c r="J646" s="129">
        <f>IFERROR(__xludf.DUMMYFUNCTION("""COMPUTED_VALUE"""),44399.0)</f>
        <v>44399</v>
      </c>
      <c r="K646" s="133">
        <f>IFERROR(__xludf.DUMMYFUNCTION("""COMPUTED_VALUE"""),36.0)</f>
        <v>36</v>
      </c>
      <c r="L646" s="133">
        <f>IFERROR(__xludf.DUMMYFUNCTION("""COMPUTED_VALUE"""),8.0)</f>
        <v>8</v>
      </c>
      <c r="M646" s="133">
        <f>IFERROR(__xludf.DUMMYFUNCTION("""COMPUTED_VALUE"""),44.0)</f>
        <v>44</v>
      </c>
      <c r="N646" s="152" t="str">
        <f>IFERROR(__xludf.DUMMYFUNCTION("""COMPUTED_VALUE"""),"Model 3 LR AWD")</f>
        <v>Model 3 LR AWD</v>
      </c>
      <c r="O646" s="152" t="str">
        <f>IFERROR(__xludf.DUMMYFUNCTION("""COMPUTED_VALUE"""),"Deep Blue Metallic")</f>
        <v>Deep Blue Metallic</v>
      </c>
      <c r="P646" s="153" t="str">
        <f>IFERROR(__xludf.DUMMYFUNCTION("""COMPUTED_VALUE"""),"18 inch")</f>
        <v>18 inch</v>
      </c>
      <c r="Q646" s="152" t="str">
        <f>IFERROR(__xludf.DUMMYFUNCTION("""COMPUTED_VALUE"""),"All Black")</f>
        <v>All Black</v>
      </c>
      <c r="R646" s="149" t="str">
        <f>IFERROR(__xludf.DUMMYFUNCTION("""COMPUTED_VALUE"""),"Autopilot included")</f>
        <v>Autopilot included</v>
      </c>
      <c r="S646" s="149" t="str">
        <f>IFERROR(__xludf.DUMMYFUNCTION("""COMPUTED_VALUE"""),"Loan")</f>
        <v>Loan</v>
      </c>
      <c r="T646" s="145" t="str">
        <f>IFERROR(__xludf.DUMMYFUNCTION("""COMPUTED_VALUE"""),"2015 Audi A3")</f>
        <v>2015 Audi A3</v>
      </c>
      <c r="U646" s="145" t="str">
        <f>IFERROR(__xludf.DUMMYFUNCTION("""COMPUTED_VALUE"""),"Electric!")</f>
        <v>Electric!</v>
      </c>
      <c r="V646" s="145" t="str">
        <f>IFERROR(__xludf.DUMMYFUNCTION("""COMPUTED_VALUE"""),"Head-up display")</f>
        <v>Head-up display</v>
      </c>
      <c r="W646" s="145"/>
      <c r="X646" s="137"/>
      <c r="Y646" s="138"/>
      <c r="Z646" s="138"/>
      <c r="AA646" s="138"/>
      <c r="AB646" s="138"/>
      <c r="AC646" s="139"/>
      <c r="AD646" s="139"/>
      <c r="AE646" s="139"/>
      <c r="AF646" s="140"/>
      <c r="AG646" s="145"/>
      <c r="AH646" s="157">
        <f>IFERROR(__xludf.DUMMYFUNCTION("""COMPUTED_VALUE"""),44391.642176180554)</f>
        <v>44391.64218</v>
      </c>
      <c r="AI646" s="138"/>
      <c r="AJ646" s="138"/>
      <c r="AK646" s="138"/>
      <c r="AL646" s="142"/>
    </row>
    <row r="647" ht="20.25" customHeight="1">
      <c r="A647" s="155" t="str">
        <f>IFERROR(__xludf.DUMMYFUNCTION("""COMPUTED_VALUE"""),"speedy")</f>
        <v>speedy</v>
      </c>
      <c r="B647" s="149" t="str">
        <f>IFERROR(__xludf.DUMMYFUNCTION("""COMPUTED_VALUE"""),"dublin")</f>
        <v>dublin</v>
      </c>
      <c r="C647" s="149" t="str">
        <f>IFERROR(__xludf.DUMMYFUNCTION("""COMPUTED_VALUE"""),"CA")</f>
        <v>CA</v>
      </c>
      <c r="D647" s="149" t="str">
        <f>IFERROR(__xludf.DUMMYFUNCTION("""COMPUTED_VALUE"""),"USA")</f>
        <v>USA</v>
      </c>
      <c r="E647" s="156">
        <f>IFERROR(__xludf.DUMMYFUNCTION("""COMPUTED_VALUE"""),44355.0)</f>
        <v>44355</v>
      </c>
      <c r="F647" s="129">
        <f>IFERROR(__xludf.DUMMYFUNCTION("""COMPUTED_VALUE"""),44411.0)</f>
        <v>44411</v>
      </c>
      <c r="G647" s="154" t="str">
        <f>IFERROR(__xludf.DUMMYFUNCTION("""COMPUTED_VALUE"""),"Manage order page (normal text)")</f>
        <v>Manage order page (normal text)</v>
      </c>
      <c r="H647" s="131"/>
      <c r="I647" s="144"/>
      <c r="J647" s="129">
        <f>IFERROR(__xludf.DUMMYFUNCTION("""COMPUTED_VALUE"""),44416.0)</f>
        <v>44416</v>
      </c>
      <c r="K647" s="133">
        <f>IFERROR(__xludf.DUMMYFUNCTION("""COMPUTED_VALUE"""),56.0)</f>
        <v>56</v>
      </c>
      <c r="L647" s="133">
        <f>IFERROR(__xludf.DUMMYFUNCTION("""COMPUTED_VALUE"""),5.0)</f>
        <v>5</v>
      </c>
      <c r="M647" s="133">
        <f>IFERROR(__xludf.DUMMYFUNCTION("""COMPUTED_VALUE"""),61.0)</f>
        <v>61</v>
      </c>
      <c r="N647" s="152" t="str">
        <f>IFERROR(__xludf.DUMMYFUNCTION("""COMPUTED_VALUE"""),"Model 3 SR+")</f>
        <v>Model 3 SR+</v>
      </c>
      <c r="O647" s="152" t="str">
        <f>IFERROR(__xludf.DUMMYFUNCTION("""COMPUTED_VALUE"""),"Midnight Silver Metallic")</f>
        <v>Midnight Silver Metallic</v>
      </c>
      <c r="P647" s="153" t="str">
        <f>IFERROR(__xludf.DUMMYFUNCTION("""COMPUTED_VALUE"""),"18 inch")</f>
        <v>18 inch</v>
      </c>
      <c r="Q647" s="152" t="str">
        <f>IFERROR(__xludf.DUMMYFUNCTION("""COMPUTED_VALUE"""),"All Black")</f>
        <v>All Black</v>
      </c>
      <c r="R647" s="149" t="str">
        <f>IFERROR(__xludf.DUMMYFUNCTION("""COMPUTED_VALUE"""),"Autopilot included")</f>
        <v>Autopilot included</v>
      </c>
      <c r="S647" s="149" t="str">
        <f>IFERROR(__xludf.DUMMYFUNCTION("""COMPUTED_VALUE"""),"Loan")</f>
        <v>Loan</v>
      </c>
      <c r="T647" s="145" t="str">
        <f>IFERROR(__xludf.DUMMYFUNCTION("""COMPUTED_VALUE"""),"Model 3 will be my first car!")</f>
        <v>Model 3 will be my first car!</v>
      </c>
      <c r="U647" s="145" t="str">
        <f>IFERROR(__xludf.DUMMYFUNCTION("""COMPUTED_VALUE"""),"Electric!")</f>
        <v>Electric!</v>
      </c>
      <c r="V647" s="145" t="str">
        <f>IFERROR(__xludf.DUMMYFUNCTION("""COMPUTED_VALUE"""),"Apple CarPlay / Android Auto / SiriusXM Radio")</f>
        <v>Apple CarPlay / Android Auto / SiriusXM Radio</v>
      </c>
      <c r="W647" s="145"/>
      <c r="X647" s="137"/>
      <c r="Y647" s="138"/>
      <c r="Z647" s="138"/>
      <c r="AA647" s="138"/>
      <c r="AB647" s="138"/>
      <c r="AC647" s="139"/>
      <c r="AD647" s="139"/>
      <c r="AE647" s="139"/>
      <c r="AF647" s="140"/>
      <c r="AG647" s="145"/>
      <c r="AH647" s="157">
        <f>IFERROR(__xludf.DUMMYFUNCTION("""COMPUTED_VALUE"""),44413.56467929398)</f>
        <v>44413.56468</v>
      </c>
      <c r="AI647" s="138"/>
      <c r="AJ647" s="138"/>
      <c r="AK647" s="138"/>
      <c r="AL647" s="142"/>
    </row>
    <row r="648" ht="20.25" customHeight="1">
      <c r="A648" s="155" t="str">
        <f>IFERROR(__xludf.DUMMYFUNCTION("""COMPUTED_VALUE"""),"Joffer")</f>
        <v>Joffer</v>
      </c>
      <c r="B648" s="149" t="str">
        <f>IFERROR(__xludf.DUMMYFUNCTION("""COMPUTED_VALUE"""),"Fort Lauderdale")</f>
        <v>Fort Lauderdale</v>
      </c>
      <c r="C648" s="149" t="str">
        <f>IFERROR(__xludf.DUMMYFUNCTION("""COMPUTED_VALUE"""),"FL")</f>
        <v>FL</v>
      </c>
      <c r="D648" s="149" t="str">
        <f>IFERROR(__xludf.DUMMYFUNCTION("""COMPUTED_VALUE"""),"USA")</f>
        <v>USA</v>
      </c>
      <c r="E648" s="156">
        <f>IFERROR(__xludf.DUMMYFUNCTION("""COMPUTED_VALUE"""),44354.0)</f>
        <v>44354</v>
      </c>
      <c r="F648" s="129">
        <f>IFERROR(__xludf.DUMMYFUNCTION("""COMPUTED_VALUE"""),44393.0)</f>
        <v>44393</v>
      </c>
      <c r="G648" s="154" t="str">
        <f>IFERROR(__xludf.DUMMYFUNCTION("""COMPUTED_VALUE"""),"Existing Inventory")</f>
        <v>Existing Inventory</v>
      </c>
      <c r="H648" s="131">
        <f>IFERROR(__xludf.DUMMYFUNCTION("""COMPUTED_VALUE"""),18655.0)</f>
        <v>18655</v>
      </c>
      <c r="I648" s="144"/>
      <c r="J648" s="129">
        <f>IFERROR(__xludf.DUMMYFUNCTION("""COMPUTED_VALUE"""),44412.0)</f>
        <v>44412</v>
      </c>
      <c r="K648" s="133">
        <f>IFERROR(__xludf.DUMMYFUNCTION("""COMPUTED_VALUE"""),39.0)</f>
        <v>39</v>
      </c>
      <c r="L648" s="133">
        <f>IFERROR(__xludf.DUMMYFUNCTION("""COMPUTED_VALUE"""),19.0)</f>
        <v>19</v>
      </c>
      <c r="M648" s="133">
        <f>IFERROR(__xludf.DUMMYFUNCTION("""COMPUTED_VALUE"""),58.0)</f>
        <v>58</v>
      </c>
      <c r="N648" s="152" t="str">
        <f>IFERROR(__xludf.DUMMYFUNCTION("""COMPUTED_VALUE"""),"Model 3 SR+")</f>
        <v>Model 3 SR+</v>
      </c>
      <c r="O648" s="152" t="str">
        <f>IFERROR(__xludf.DUMMYFUNCTION("""COMPUTED_VALUE"""),"Deep Blue Metallic")</f>
        <v>Deep Blue Metallic</v>
      </c>
      <c r="P648" s="153" t="str">
        <f>IFERROR(__xludf.DUMMYFUNCTION("""COMPUTED_VALUE"""),"18 inch")</f>
        <v>18 inch</v>
      </c>
      <c r="Q648" s="152" t="str">
        <f>IFERROR(__xludf.DUMMYFUNCTION("""COMPUTED_VALUE"""),"Black and White")</f>
        <v>Black and White</v>
      </c>
      <c r="R648" s="149" t="str">
        <f>IFERROR(__xludf.DUMMYFUNCTION("""COMPUTED_VALUE"""),"Autopilot included")</f>
        <v>Autopilot included</v>
      </c>
      <c r="S648" s="149" t="str">
        <f>IFERROR(__xludf.DUMMYFUNCTION("""COMPUTED_VALUE"""),"Lease")</f>
        <v>Lease</v>
      </c>
      <c r="T648" s="145" t="str">
        <f>IFERROR(__xludf.DUMMYFUNCTION("""COMPUTED_VALUE"""),"BMW 3 Series")</f>
        <v>BMW 3 Series</v>
      </c>
      <c r="U648" s="145" t="str">
        <f>IFERROR(__xludf.DUMMYFUNCTION("""COMPUTED_VALUE"""),"Electric!")</f>
        <v>Electric!</v>
      </c>
      <c r="V648" s="145" t="str">
        <f>IFERROR(__xludf.DUMMYFUNCTION("""COMPUTED_VALUE"""),"Head-up display")</f>
        <v>Head-up display</v>
      </c>
      <c r="W648" s="145"/>
      <c r="X648" s="137"/>
      <c r="Y648" s="138"/>
      <c r="Z648" s="138"/>
      <c r="AA648" s="138"/>
      <c r="AB648" s="138"/>
      <c r="AC648" s="139"/>
      <c r="AD648" s="139"/>
      <c r="AE648" s="139"/>
      <c r="AF648" s="140"/>
      <c r="AG648" s="145"/>
      <c r="AH648" s="157">
        <f>IFERROR(__xludf.DUMMYFUNCTION("""COMPUTED_VALUE"""),44400.734497245365)</f>
        <v>44400.7345</v>
      </c>
      <c r="AI648" s="138"/>
      <c r="AJ648" s="138"/>
      <c r="AK648" s="138"/>
      <c r="AL648" s="142"/>
    </row>
    <row r="649" ht="20.25" customHeight="1">
      <c r="A649" s="155" t="str">
        <f>IFERROR(__xludf.DUMMYFUNCTION("""COMPUTED_VALUE"""),"KelseyLe")</f>
        <v>KelseyLe</v>
      </c>
      <c r="B649" s="149" t="str">
        <f>IFERROR(__xludf.DUMMYFUNCTION("""COMPUTED_VALUE"""),"Salt Lake City")</f>
        <v>Salt Lake City</v>
      </c>
      <c r="C649" s="149" t="str">
        <f>IFERROR(__xludf.DUMMYFUNCTION("""COMPUTED_VALUE"""),"UT")</f>
        <v>UT</v>
      </c>
      <c r="D649" s="149" t="str">
        <f>IFERROR(__xludf.DUMMYFUNCTION("""COMPUTED_VALUE"""),"USA")</f>
        <v>USA</v>
      </c>
      <c r="E649" s="156">
        <f>IFERROR(__xludf.DUMMYFUNCTION("""COMPUTED_VALUE"""),44354.0)</f>
        <v>44354</v>
      </c>
      <c r="F649" s="129">
        <f>IFERROR(__xludf.DUMMYFUNCTION("""COMPUTED_VALUE"""),44393.0)</f>
        <v>44393</v>
      </c>
      <c r="G649" s="154" t="str">
        <f>IFERROR(__xludf.DUMMYFUNCTION("""COMPUTED_VALUE"""),"Email")</f>
        <v>Email</v>
      </c>
      <c r="H649" s="131">
        <f>IFERROR(__xludf.DUMMYFUNCTION("""COMPUTED_VALUE"""),19580.0)</f>
        <v>19580</v>
      </c>
      <c r="I649" s="144"/>
      <c r="J649" s="129">
        <f>IFERROR(__xludf.DUMMYFUNCTION("""COMPUTED_VALUE"""),44398.0)</f>
        <v>44398</v>
      </c>
      <c r="K649" s="133">
        <f>IFERROR(__xludf.DUMMYFUNCTION("""COMPUTED_VALUE"""),39.0)</f>
        <v>39</v>
      </c>
      <c r="L649" s="133">
        <f>IFERROR(__xludf.DUMMYFUNCTION("""COMPUTED_VALUE"""),5.0)</f>
        <v>5</v>
      </c>
      <c r="M649" s="133">
        <f>IFERROR(__xludf.DUMMYFUNCTION("""COMPUTED_VALUE"""),44.0)</f>
        <v>44</v>
      </c>
      <c r="N649" s="152" t="str">
        <f>IFERROR(__xludf.DUMMYFUNCTION("""COMPUTED_VALUE"""),"Model 3 LR AWD")</f>
        <v>Model 3 LR AWD</v>
      </c>
      <c r="O649" s="152" t="str">
        <f>IFERROR(__xludf.DUMMYFUNCTION("""COMPUTED_VALUE"""),"Pearl White Multi-Coat")</f>
        <v>Pearl White Multi-Coat</v>
      </c>
      <c r="P649" s="153" t="str">
        <f>IFERROR(__xludf.DUMMYFUNCTION("""COMPUTED_VALUE"""),"18 inch")</f>
        <v>18 inch</v>
      </c>
      <c r="Q649" s="152" t="str">
        <f>IFERROR(__xludf.DUMMYFUNCTION("""COMPUTED_VALUE"""),"All Black")</f>
        <v>All Black</v>
      </c>
      <c r="R649" s="149" t="str">
        <f>IFERROR(__xludf.DUMMYFUNCTION("""COMPUTED_VALUE"""),"Autopilot included")</f>
        <v>Autopilot included</v>
      </c>
      <c r="S649" s="149" t="str">
        <f>IFERROR(__xludf.DUMMYFUNCTION("""COMPUTED_VALUE"""),"Loan")</f>
        <v>Loan</v>
      </c>
      <c r="T649" s="145"/>
      <c r="U649" s="145" t="str">
        <f>IFERROR(__xludf.DUMMYFUNCTION("""COMPUTED_VALUE"""),"Tesla brand image")</f>
        <v>Tesla brand image</v>
      </c>
      <c r="V649" s="145"/>
      <c r="W649" s="145"/>
      <c r="X649" s="137"/>
      <c r="Y649" s="138"/>
      <c r="Z649" s="138"/>
      <c r="AA649" s="138"/>
      <c r="AB649" s="138"/>
      <c r="AC649" s="139"/>
      <c r="AD649" s="139"/>
      <c r="AE649" s="139"/>
      <c r="AF649" s="140"/>
      <c r="AG649" s="145"/>
      <c r="AH649" s="157">
        <f>IFERROR(__xludf.DUMMYFUNCTION("""COMPUTED_VALUE"""),44394.27630053241)</f>
        <v>44394.2763</v>
      </c>
      <c r="AI649" s="138"/>
      <c r="AJ649" s="138"/>
      <c r="AK649" s="138"/>
      <c r="AL649" s="142"/>
    </row>
    <row r="650" ht="20.25" customHeight="1">
      <c r="A650" s="155" t="str">
        <f>IFERROR(__xludf.DUMMYFUNCTION("""COMPUTED_VALUE"""),"nick19412")</f>
        <v>nick19412</v>
      </c>
      <c r="B650" s="149" t="str">
        <f>IFERROR(__xludf.DUMMYFUNCTION("""COMPUTED_VALUE"""),"Philadelphia")</f>
        <v>Philadelphia</v>
      </c>
      <c r="C650" s="149" t="str">
        <f>IFERROR(__xludf.DUMMYFUNCTION("""COMPUTED_VALUE"""),"PA")</f>
        <v>PA</v>
      </c>
      <c r="D650" s="149" t="str">
        <f>IFERROR(__xludf.DUMMYFUNCTION("""COMPUTED_VALUE"""),"USA")</f>
        <v>USA</v>
      </c>
      <c r="E650" s="156">
        <f>IFERROR(__xludf.DUMMYFUNCTION("""COMPUTED_VALUE"""),44354.0)</f>
        <v>44354</v>
      </c>
      <c r="F650" s="129">
        <f>IFERROR(__xludf.DUMMYFUNCTION("""COMPUTED_VALUE"""),44420.0)</f>
        <v>44420</v>
      </c>
      <c r="G650" s="154" t="str">
        <f>IFERROR(__xludf.DUMMYFUNCTION("""COMPUTED_VALUE"""),"Manage order page (normal text)")</f>
        <v>Manage order page (normal text)</v>
      </c>
      <c r="H650" s="131"/>
      <c r="I650" s="144"/>
      <c r="J650" s="129"/>
      <c r="K650" s="133">
        <f>IFERROR(__xludf.DUMMYFUNCTION("""COMPUTED_VALUE"""),66.0)</f>
        <v>66</v>
      </c>
      <c r="L650" s="133"/>
      <c r="M650" s="133"/>
      <c r="N650" s="152" t="str">
        <f>IFERROR(__xludf.DUMMYFUNCTION("""COMPUTED_VALUE"""),"Model 3 LR AWD")</f>
        <v>Model 3 LR AWD</v>
      </c>
      <c r="O650" s="152" t="str">
        <f>IFERROR(__xludf.DUMMYFUNCTION("""COMPUTED_VALUE"""),"Solid Black")</f>
        <v>Solid Black</v>
      </c>
      <c r="P650" s="153"/>
      <c r="Q650" s="152" t="str">
        <f>IFERROR(__xludf.DUMMYFUNCTION("""COMPUTED_VALUE"""),"All Black")</f>
        <v>All Black</v>
      </c>
      <c r="R650" s="149" t="str">
        <f>IFERROR(__xludf.DUMMYFUNCTION("""COMPUTED_VALUE"""),"Autopilot included")</f>
        <v>Autopilot included</v>
      </c>
      <c r="S650" s="149" t="str">
        <f>IFERROR(__xludf.DUMMYFUNCTION("""COMPUTED_VALUE"""),"Cash")</f>
        <v>Cash</v>
      </c>
      <c r="T650" s="145" t="str">
        <f>IFERROR(__xludf.DUMMYFUNCTION("""COMPUTED_VALUE"""),"Ford Mustang")</f>
        <v>Ford Mustang</v>
      </c>
      <c r="U650" s="145" t="str">
        <f>IFERROR(__xludf.DUMMYFUNCTION("""COMPUTED_VALUE"""),"Electric!")</f>
        <v>Electric!</v>
      </c>
      <c r="V650" s="145" t="str">
        <f>IFERROR(__xludf.DUMMYFUNCTION("""COMPUTED_VALUE"""),"Dashboard")</f>
        <v>Dashboard</v>
      </c>
      <c r="W650" s="145"/>
      <c r="X650" s="137"/>
      <c r="Y650" s="138"/>
      <c r="Z650" s="138"/>
      <c r="AA650" s="138"/>
      <c r="AB650" s="138"/>
      <c r="AC650" s="139"/>
      <c r="AD650" s="139"/>
      <c r="AE650" s="139"/>
      <c r="AF650" s="140"/>
      <c r="AG650" s="145"/>
      <c r="AH650" s="157">
        <f>IFERROR(__xludf.DUMMYFUNCTION("""COMPUTED_VALUE"""),44420.43567496528)</f>
        <v>44420.43567</v>
      </c>
      <c r="AI650" s="138"/>
      <c r="AJ650" s="138"/>
      <c r="AK650" s="138"/>
      <c r="AL650" s="142"/>
    </row>
    <row r="651" ht="20.25" customHeight="1">
      <c r="A651" s="155" t="str">
        <f>IFERROR(__xludf.DUMMYFUNCTION("""COMPUTED_VALUE"""),"Perturb")</f>
        <v>Perturb</v>
      </c>
      <c r="B651" s="149" t="str">
        <f>IFERROR(__xludf.DUMMYFUNCTION("""COMPUTED_VALUE"""),"Sonoma County")</f>
        <v>Sonoma County</v>
      </c>
      <c r="C651" s="149" t="str">
        <f>IFERROR(__xludf.DUMMYFUNCTION("""COMPUTED_VALUE"""),"CA")</f>
        <v>CA</v>
      </c>
      <c r="D651" s="149" t="str">
        <f>IFERROR(__xludf.DUMMYFUNCTION("""COMPUTED_VALUE"""),"USA")</f>
        <v>USA</v>
      </c>
      <c r="E651" s="156">
        <f>IFERROR(__xludf.DUMMYFUNCTION("""COMPUTED_VALUE"""),44354.0)</f>
        <v>44354</v>
      </c>
      <c r="F651" s="129">
        <f>IFERROR(__xludf.DUMMYFUNCTION("""COMPUTED_VALUE"""),44405.0)</f>
        <v>44405</v>
      </c>
      <c r="G651" s="154" t="str">
        <f>IFERROR(__xludf.DUMMYFUNCTION("""COMPUTED_VALUE"""),"Manage order page (normal text)")</f>
        <v>Manage order page (normal text)</v>
      </c>
      <c r="H651" s="131"/>
      <c r="I651" s="144"/>
      <c r="J651" s="129">
        <f>IFERROR(__xludf.DUMMYFUNCTION("""COMPUTED_VALUE"""),44408.0)</f>
        <v>44408</v>
      </c>
      <c r="K651" s="133">
        <f>IFERROR(__xludf.DUMMYFUNCTION("""COMPUTED_VALUE"""),51.0)</f>
        <v>51</v>
      </c>
      <c r="L651" s="133">
        <f>IFERROR(__xludf.DUMMYFUNCTION("""COMPUTED_VALUE"""),3.0)</f>
        <v>3</v>
      </c>
      <c r="M651" s="133">
        <f>IFERROR(__xludf.DUMMYFUNCTION("""COMPUTED_VALUE"""),54.0)</f>
        <v>54</v>
      </c>
      <c r="N651" s="152" t="str">
        <f>IFERROR(__xludf.DUMMYFUNCTION("""COMPUTED_VALUE"""),"Model 3 SR+")</f>
        <v>Model 3 SR+</v>
      </c>
      <c r="O651" s="152" t="str">
        <f>IFERROR(__xludf.DUMMYFUNCTION("""COMPUTED_VALUE"""),"Pearl White Multi-Coat")</f>
        <v>Pearl White Multi-Coat</v>
      </c>
      <c r="P651" s="153" t="str">
        <f>IFERROR(__xludf.DUMMYFUNCTION("""COMPUTED_VALUE"""),"18 inch")</f>
        <v>18 inch</v>
      </c>
      <c r="Q651" s="152" t="str">
        <f>IFERROR(__xludf.DUMMYFUNCTION("""COMPUTED_VALUE"""),"All Black")</f>
        <v>All Black</v>
      </c>
      <c r="R651" s="149" t="str">
        <f>IFERROR(__xludf.DUMMYFUNCTION("""COMPUTED_VALUE"""),"Autopilot included")</f>
        <v>Autopilot included</v>
      </c>
      <c r="S651" s="149" t="str">
        <f>IFERROR(__xludf.DUMMYFUNCTION("""COMPUTED_VALUE"""),"Lease")</f>
        <v>Lease</v>
      </c>
      <c r="T651" s="145"/>
      <c r="U651" s="145" t="str">
        <f>IFERROR(__xludf.DUMMYFUNCTION("""COMPUTED_VALUE"""),"Electric!")</f>
        <v>Electric!</v>
      </c>
      <c r="V651" s="145" t="str">
        <f>IFERROR(__xludf.DUMMYFUNCTION("""COMPUTED_VALUE"""),"Bioweapon defense mode")</f>
        <v>Bioweapon defense mode</v>
      </c>
      <c r="W651" s="145"/>
      <c r="X651" s="137"/>
      <c r="Y651" s="138"/>
      <c r="Z651" s="138"/>
      <c r="AA651" s="138"/>
      <c r="AB651" s="138"/>
      <c r="AC651" s="139"/>
      <c r="AD651" s="139"/>
      <c r="AE651" s="139"/>
      <c r="AF651" s="140"/>
      <c r="AG651" s="145"/>
      <c r="AH651" s="157">
        <f>IFERROR(__xludf.DUMMYFUNCTION("""COMPUTED_VALUE"""),44406.432575995364)</f>
        <v>44406.43258</v>
      </c>
      <c r="AI651" s="138"/>
      <c r="AJ651" s="138"/>
      <c r="AK651" s="138"/>
      <c r="AL651" s="142"/>
    </row>
    <row r="652" ht="20.25" customHeight="1">
      <c r="A652" s="155" t="str">
        <f>IFERROR(__xludf.DUMMYFUNCTION("""COMPUTED_VALUE"""),"Travelguy73")</f>
        <v>Travelguy73</v>
      </c>
      <c r="B652" s="149" t="str">
        <f>IFERROR(__xludf.DUMMYFUNCTION("""COMPUTED_VALUE"""),"Houston")</f>
        <v>Houston</v>
      </c>
      <c r="C652" s="149" t="str">
        <f>IFERROR(__xludf.DUMMYFUNCTION("""COMPUTED_VALUE"""),"TX")</f>
        <v>TX</v>
      </c>
      <c r="D652" s="149" t="str">
        <f>IFERROR(__xludf.DUMMYFUNCTION("""COMPUTED_VALUE"""),"USA")</f>
        <v>USA</v>
      </c>
      <c r="E652" s="156">
        <f>IFERROR(__xludf.DUMMYFUNCTION("""COMPUTED_VALUE"""),44354.0)</f>
        <v>44354</v>
      </c>
      <c r="F652" s="129">
        <f>IFERROR(__xludf.DUMMYFUNCTION("""COMPUTED_VALUE"""),44393.0)</f>
        <v>44393</v>
      </c>
      <c r="G652" s="154" t="str">
        <f>IFERROR(__xludf.DUMMYFUNCTION("""COMPUTED_VALUE"""),"Manage order page (normal text)")</f>
        <v>Manage order page (normal text)</v>
      </c>
      <c r="H652" s="131">
        <f>IFERROR(__xludf.DUMMYFUNCTION("""COMPUTED_VALUE"""),19475.0)</f>
        <v>19475</v>
      </c>
      <c r="I652" s="144" t="str">
        <f>IFERROR(__xludf.DUMMYFUNCTION("""COMPUTED_VALUE"""),"07/21")</f>
        <v>07/21</v>
      </c>
      <c r="J652" s="129">
        <f>IFERROR(__xludf.DUMMYFUNCTION("""COMPUTED_VALUE"""),44407.0)</f>
        <v>44407</v>
      </c>
      <c r="K652" s="133">
        <f>IFERROR(__xludf.DUMMYFUNCTION("""COMPUTED_VALUE"""),39.0)</f>
        <v>39</v>
      </c>
      <c r="L652" s="133">
        <f>IFERROR(__xludf.DUMMYFUNCTION("""COMPUTED_VALUE"""),14.0)</f>
        <v>14</v>
      </c>
      <c r="M652" s="133">
        <f>IFERROR(__xludf.DUMMYFUNCTION("""COMPUTED_VALUE"""),53.0)</f>
        <v>53</v>
      </c>
      <c r="N652" s="152" t="str">
        <f>IFERROR(__xludf.DUMMYFUNCTION("""COMPUTED_VALUE"""),"Model 3 LR AWD")</f>
        <v>Model 3 LR AWD</v>
      </c>
      <c r="O652" s="152" t="str">
        <f>IFERROR(__xludf.DUMMYFUNCTION("""COMPUTED_VALUE"""),"Midnight Silver Metallic")</f>
        <v>Midnight Silver Metallic</v>
      </c>
      <c r="P652" s="153" t="str">
        <f>IFERROR(__xludf.DUMMYFUNCTION("""COMPUTED_VALUE"""),"18 inch")</f>
        <v>18 inch</v>
      </c>
      <c r="Q652" s="152" t="str">
        <f>IFERROR(__xludf.DUMMYFUNCTION("""COMPUTED_VALUE"""),"All Black")</f>
        <v>All Black</v>
      </c>
      <c r="R652" s="149" t="str">
        <f>IFERROR(__xludf.DUMMYFUNCTION("""COMPUTED_VALUE"""),"Autopilot included")</f>
        <v>Autopilot included</v>
      </c>
      <c r="S652" s="149" t="str">
        <f>IFERROR(__xludf.DUMMYFUNCTION("""COMPUTED_VALUE"""),"Loan")</f>
        <v>Loan</v>
      </c>
      <c r="T652" s="145" t="str">
        <f>IFERROR(__xludf.DUMMYFUNCTION("""COMPUTED_VALUE"""),"BMW 5 Series")</f>
        <v>BMW 5 Series</v>
      </c>
      <c r="U652" s="145" t="str">
        <f>IFERROR(__xludf.DUMMYFUNCTION("""COMPUTED_VALUE"""),"Electric!")</f>
        <v>Electric!</v>
      </c>
      <c r="V652" s="145" t="str">
        <f>IFERROR(__xludf.DUMMYFUNCTION("""COMPUTED_VALUE"""),"Head-up display")</f>
        <v>Head-up display</v>
      </c>
      <c r="W652" s="145"/>
      <c r="X652" s="137" t="str">
        <f>IFERROR(__xludf.DUMMYFUNCTION("""COMPUTED_VALUE"""),"Very Good")</f>
        <v>Very Good</v>
      </c>
      <c r="Y652" s="138" t="str">
        <f>IFERROR(__xludf.DUMMYFUNCTION("""COMPUTED_VALUE"""),"Excellent")</f>
        <v>Excellent</v>
      </c>
      <c r="Z652" s="138" t="str">
        <f>IFERROR(__xludf.DUMMYFUNCTION("""COMPUTED_VALUE"""),"Excellent")</f>
        <v>Excellent</v>
      </c>
      <c r="AA652" s="138" t="str">
        <f>IFERROR(__xludf.DUMMYFUNCTION("""COMPUTED_VALUE"""),"Good")</f>
        <v>Good</v>
      </c>
      <c r="AB652" s="138" t="str">
        <f>IFERROR(__xludf.DUMMYFUNCTION("""COMPUTED_VALUE"""),"Good")</f>
        <v>Good</v>
      </c>
      <c r="AC652" s="139">
        <f>IFERROR(__xludf.DUMMYFUNCTION("""COMPUTED_VALUE"""),3.0)</f>
        <v>3</v>
      </c>
      <c r="AD652" s="139">
        <f>IFERROR(__xludf.DUMMYFUNCTION("""COMPUTED_VALUE"""),1.0)</f>
        <v>1</v>
      </c>
      <c r="AE652" s="139"/>
      <c r="AF652" s="140" t="str">
        <f>IFERROR(__xludf.DUMMYFUNCTION("""COMPUTED_VALUE"""),"No. I took delivery of the first car Tesla was able to deliver.")</f>
        <v>No. I took delivery of the first car Tesla was able to deliver.</v>
      </c>
      <c r="AG652" s="145"/>
      <c r="AH652" s="157">
        <f>IFERROR(__xludf.DUMMYFUNCTION("""COMPUTED_VALUE"""),44410.4569182176)</f>
        <v>44410.45692</v>
      </c>
      <c r="AI652" s="138"/>
      <c r="AJ652" s="138"/>
      <c r="AK652" s="138"/>
      <c r="AL652" s="142"/>
    </row>
    <row r="653" ht="20.25" customHeight="1">
      <c r="A653" s="155" t="str">
        <f>IFERROR(__xludf.DUMMYFUNCTION("""COMPUTED_VALUE"""),"JotiTesla")</f>
        <v>JotiTesla</v>
      </c>
      <c r="B653" s="149" t="str">
        <f>IFERROR(__xludf.DUMMYFUNCTION("""COMPUTED_VALUE"""),"Marin County")</f>
        <v>Marin County</v>
      </c>
      <c r="C653" s="149" t="str">
        <f>IFERROR(__xludf.DUMMYFUNCTION("""COMPUTED_VALUE"""),"CA")</f>
        <v>CA</v>
      </c>
      <c r="D653" s="149" t="str">
        <f>IFERROR(__xludf.DUMMYFUNCTION("""COMPUTED_VALUE"""),"USA")</f>
        <v>USA</v>
      </c>
      <c r="E653" s="156">
        <f>IFERROR(__xludf.DUMMYFUNCTION("""COMPUTED_VALUE"""),44353.0)</f>
        <v>44353</v>
      </c>
      <c r="F653" s="129">
        <f>IFERROR(__xludf.DUMMYFUNCTION("""COMPUTED_VALUE"""),44374.0)</f>
        <v>44374</v>
      </c>
      <c r="G653" s="154" t="str">
        <f>IFERROR(__xludf.DUMMYFUNCTION("""COMPUTED_VALUE"""),"Manage order page (normal text)")</f>
        <v>Manage order page (normal text)</v>
      </c>
      <c r="H653" s="131">
        <f>IFERROR(__xludf.DUMMYFUNCTION("""COMPUTED_VALUE"""),9242.0)</f>
        <v>9242</v>
      </c>
      <c r="I653" s="144"/>
      <c r="J653" s="129">
        <f>IFERROR(__xludf.DUMMYFUNCTION("""COMPUTED_VALUE"""),44386.0)</f>
        <v>44386</v>
      </c>
      <c r="K653" s="133">
        <f>IFERROR(__xludf.DUMMYFUNCTION("""COMPUTED_VALUE"""),21.0)</f>
        <v>21</v>
      </c>
      <c r="L653" s="133">
        <f>IFERROR(__xludf.DUMMYFUNCTION("""COMPUTED_VALUE"""),12.0)</f>
        <v>12</v>
      </c>
      <c r="M653" s="133">
        <f>IFERROR(__xludf.DUMMYFUNCTION("""COMPUTED_VALUE"""),33.0)</f>
        <v>33</v>
      </c>
      <c r="N653" s="152" t="str">
        <f>IFERROR(__xludf.DUMMYFUNCTION("""COMPUTED_VALUE"""),"Model 3 LR AWD")</f>
        <v>Model 3 LR AWD</v>
      </c>
      <c r="O653" s="152" t="str">
        <f>IFERROR(__xludf.DUMMYFUNCTION("""COMPUTED_VALUE"""),"Red Multi-Coat")</f>
        <v>Red Multi-Coat</v>
      </c>
      <c r="P653" s="153" t="str">
        <f>IFERROR(__xludf.DUMMYFUNCTION("""COMPUTED_VALUE"""),"18 inch")</f>
        <v>18 inch</v>
      </c>
      <c r="Q653" s="152" t="str">
        <f>IFERROR(__xludf.DUMMYFUNCTION("""COMPUTED_VALUE"""),"All Black")</f>
        <v>All Black</v>
      </c>
      <c r="R653" s="149" t="str">
        <f>IFERROR(__xludf.DUMMYFUNCTION("""COMPUTED_VALUE"""),"Autopilot included")</f>
        <v>Autopilot included</v>
      </c>
      <c r="S653" s="149" t="str">
        <f>IFERROR(__xludf.DUMMYFUNCTION("""COMPUTED_VALUE"""),"Loan")</f>
        <v>Loan</v>
      </c>
      <c r="T653" s="145" t="str">
        <f>IFERROR(__xludf.DUMMYFUNCTION("""COMPUTED_VALUE"""),"Toyota Prius")</f>
        <v>Toyota Prius</v>
      </c>
      <c r="U653" s="145" t="str">
        <f>IFERROR(__xludf.DUMMYFUNCTION("""COMPUTED_VALUE"""),"Electric!")</f>
        <v>Electric!</v>
      </c>
      <c r="V653" s="145" t="str">
        <f>IFERROR(__xludf.DUMMYFUNCTION("""COMPUTED_VALUE"""),"Apple CarPlay / Android Auto / SiriusXM Radio")</f>
        <v>Apple CarPlay / Android Auto / SiriusXM Radio</v>
      </c>
      <c r="W653" s="145"/>
      <c r="X653" s="137"/>
      <c r="Y653" s="138"/>
      <c r="Z653" s="138"/>
      <c r="AA653" s="138"/>
      <c r="AB653" s="138"/>
      <c r="AC653" s="139"/>
      <c r="AD653" s="139"/>
      <c r="AE653" s="139"/>
      <c r="AF653" s="140"/>
      <c r="AG653" s="145"/>
      <c r="AH653" s="157">
        <f>IFERROR(__xludf.DUMMYFUNCTION("""COMPUTED_VALUE"""),44386.62445797453)</f>
        <v>44386.62446</v>
      </c>
      <c r="AI653" s="138"/>
      <c r="AJ653" s="138"/>
      <c r="AK653" s="138"/>
      <c r="AL653" s="142"/>
    </row>
    <row r="654" ht="20.25" customHeight="1">
      <c r="A654" s="155" t="str">
        <f>IFERROR(__xludf.DUMMYFUNCTION("""COMPUTED_VALUE"""),"SeanM")</f>
        <v>SeanM</v>
      </c>
      <c r="B654" s="149" t="str">
        <f>IFERROR(__xludf.DUMMYFUNCTION("""COMPUTED_VALUE"""),"Hillsboro")</f>
        <v>Hillsboro</v>
      </c>
      <c r="C654" s="149" t="str">
        <f>IFERROR(__xludf.DUMMYFUNCTION("""COMPUTED_VALUE"""),"OR")</f>
        <v>OR</v>
      </c>
      <c r="D654" s="149" t="str">
        <f>IFERROR(__xludf.DUMMYFUNCTION("""COMPUTED_VALUE"""),"USA")</f>
        <v>USA</v>
      </c>
      <c r="E654" s="156">
        <f>IFERROR(__xludf.DUMMYFUNCTION("""COMPUTED_VALUE"""),44353.0)</f>
        <v>44353</v>
      </c>
      <c r="F654" s="129">
        <f>IFERROR(__xludf.DUMMYFUNCTION("""COMPUTED_VALUE"""),44364.0)</f>
        <v>44364</v>
      </c>
      <c r="G654" s="154" t="str">
        <f>IFERROR(__xludf.DUMMYFUNCTION("""COMPUTED_VALUE"""),"Changed order to purchase demo unit with 450 miles.  Nearly identical to original order (18"" wheels on original order vs 19"" with the one I am purchasing)")</f>
        <v>Changed order to purchase demo unit with 450 miles.  Nearly identical to original order (18" wheels on original order vs 19" with the one I am purchasing)</v>
      </c>
      <c r="H654" s="131">
        <f>IFERROR(__xludf.DUMMYFUNCTION("""COMPUTED_VALUE"""),975955.0)</f>
        <v>975955</v>
      </c>
      <c r="I654" s="144" t="str">
        <f>IFERROR(__xludf.DUMMYFUNCTION("""COMPUTED_VALUE"""),"05/21")</f>
        <v>05/21</v>
      </c>
      <c r="J654" s="129">
        <f>IFERROR(__xludf.DUMMYFUNCTION("""COMPUTED_VALUE"""),44373.0)</f>
        <v>44373</v>
      </c>
      <c r="K654" s="133">
        <f>IFERROR(__xludf.DUMMYFUNCTION("""COMPUTED_VALUE"""),11.0)</f>
        <v>11</v>
      </c>
      <c r="L654" s="133">
        <f>IFERROR(__xludf.DUMMYFUNCTION("""COMPUTED_VALUE"""),9.0)</f>
        <v>9</v>
      </c>
      <c r="M654" s="133">
        <f>IFERROR(__xludf.DUMMYFUNCTION("""COMPUTED_VALUE"""),20.0)</f>
        <v>20</v>
      </c>
      <c r="N654" s="152" t="str">
        <f>IFERROR(__xludf.DUMMYFUNCTION("""COMPUTED_VALUE"""),"Model 3 LR AWD")</f>
        <v>Model 3 LR AWD</v>
      </c>
      <c r="O654" s="152" t="str">
        <f>IFERROR(__xludf.DUMMYFUNCTION("""COMPUTED_VALUE"""),"Deep Blue Metallic")</f>
        <v>Deep Blue Metallic</v>
      </c>
      <c r="P654" s="153" t="str">
        <f>IFERROR(__xludf.DUMMYFUNCTION("""COMPUTED_VALUE"""),"19 inch")</f>
        <v>19 inch</v>
      </c>
      <c r="Q654" s="152" t="str">
        <f>IFERROR(__xludf.DUMMYFUNCTION("""COMPUTED_VALUE"""),"Black and White")</f>
        <v>Black and White</v>
      </c>
      <c r="R654" s="149" t="str">
        <f>IFERROR(__xludf.DUMMYFUNCTION("""COMPUTED_VALUE"""),"Full Self-Driving")</f>
        <v>Full Self-Driving</v>
      </c>
      <c r="S654" s="149" t="str">
        <f>IFERROR(__xludf.DUMMYFUNCTION("""COMPUTED_VALUE"""),"Loan")</f>
        <v>Loan</v>
      </c>
      <c r="T654" s="145" t="str">
        <f>IFERROR(__xludf.DUMMYFUNCTION("""COMPUTED_VALUE"""),"Honda Accord")</f>
        <v>Honda Accord</v>
      </c>
      <c r="U654" s="145" t="str">
        <f>IFERROR(__xludf.DUMMYFUNCTION("""COMPUTED_VALUE"""),"Electric!")</f>
        <v>Electric!</v>
      </c>
      <c r="V654" s="145" t="str">
        <f>IFERROR(__xludf.DUMMYFUNCTION("""COMPUTED_VALUE"""),"Apple CarPlay / Android Auto / SiriusXM Radio")</f>
        <v>Apple CarPlay / Android Auto / SiriusXM Radio</v>
      </c>
      <c r="W654" s="145" t="str">
        <f>IFERROR(__xludf.DUMMYFUNCTION("""COMPUTED_VALUE"""),"Check the existing inventory every now and then.  You may get pleasantly surprised being able to skip the line while waiting for your model.")</f>
        <v>Check the existing inventory every now and then.  You may get pleasantly surprised being able to skip the line while waiting for your model.</v>
      </c>
      <c r="X654" s="137" t="str">
        <f>IFERROR(__xludf.DUMMYFUNCTION("""COMPUTED_VALUE"""),"Excellent")</f>
        <v>Excellent</v>
      </c>
      <c r="Y654" s="138" t="str">
        <f>IFERROR(__xludf.DUMMYFUNCTION("""COMPUTED_VALUE"""),"Excellent")</f>
        <v>Excellent</v>
      </c>
      <c r="Z654" s="138" t="str">
        <f>IFERROR(__xludf.DUMMYFUNCTION("""COMPUTED_VALUE"""),"Very Good")</f>
        <v>Very Good</v>
      </c>
      <c r="AA654" s="138" t="str">
        <f>IFERROR(__xludf.DUMMYFUNCTION("""COMPUTED_VALUE"""),"Poor")</f>
        <v>Poor</v>
      </c>
      <c r="AB654" s="138" t="str">
        <f>IFERROR(__xludf.DUMMYFUNCTION("""COMPUTED_VALUE"""),"Good")</f>
        <v>Good</v>
      </c>
      <c r="AC654" s="139">
        <f>IFERROR(__xludf.DUMMYFUNCTION("""COMPUTED_VALUE"""),2.0)</f>
        <v>2</v>
      </c>
      <c r="AD654" s="139">
        <f>IFERROR(__xludf.DUMMYFUNCTION("""COMPUTED_VALUE"""),2.0)</f>
        <v>2</v>
      </c>
      <c r="AE654" s="139"/>
      <c r="AF654" s="140" t="str">
        <f>IFERROR(__xludf.DUMMYFUNCTION("""COMPUTED_VALUE"""),"No. I took delivery of the first car Tesla was able to deliver.")</f>
        <v>No. I took delivery of the first car Tesla was able to deliver.</v>
      </c>
      <c r="AG654" s="145" t="str">
        <f>IFERROR(__xludf.DUMMYFUNCTION("""COMPUTED_VALUE"""),"Issues with this process were minor as of the first day. Car was delivered but didn’t get any notification that it was. One small chip in the paint on the front hood. Communication with my main sales specialist sucked over e-mail, but everyone I spoke wit"&amp;"h at my local Tesla office answered all my questions perfectly. Update 7/1 - Well, one day after I accepted the vehicle, my rear reflex right hand side developed a stress crack, most likely due to the heat wave we experienced.  Fixed 4 days after reportin"&amp;"g.  Also have to bring the car in for a sound system repair (front passenger speaker has a short or loose wiring causing it to have static when going over bumps at times).  Will let people know how that repair went.")</f>
        <v>Issues with this process were minor as of the first day. Car was delivered but didn’t get any notification that it was. One small chip in the paint on the front hood. Communication with my main sales specialist sucked over e-mail, but everyone I spoke with at my local Tesla office answered all my questions perfectly. Update 7/1 - Well, one day after I accepted the vehicle, my rear reflex right hand side developed a stress crack, most likely due to the heat wave we experienced.  Fixed 4 days after reporting.  Also have to bring the car in for a sound system repair (front passenger speaker has a short or loose wiring causing it to have static when going over bumps at times).  Will let people know how that repair went.</v>
      </c>
      <c r="AH654" s="157">
        <f>IFERROR(__xludf.DUMMYFUNCTION("""COMPUTED_VALUE"""),44378.590355625005)</f>
        <v>44378.59036</v>
      </c>
      <c r="AI654" s="138"/>
      <c r="AJ654" s="138"/>
      <c r="AK654" s="138"/>
      <c r="AL654" s="142"/>
    </row>
    <row r="655" ht="20.25" customHeight="1">
      <c r="A655" s="155" t="str">
        <f>IFERROR(__xludf.DUMMYFUNCTION("""COMPUTED_VALUE"""),"ThisOneGuy")</f>
        <v>ThisOneGuy</v>
      </c>
      <c r="B655" s="149" t="str">
        <f>IFERROR(__xludf.DUMMYFUNCTION("""COMPUTED_VALUE"""),"Chicago")</f>
        <v>Chicago</v>
      </c>
      <c r="C655" s="149" t="str">
        <f>IFERROR(__xludf.DUMMYFUNCTION("""COMPUTED_VALUE"""),"IL")</f>
        <v>IL</v>
      </c>
      <c r="D655" s="149" t="str">
        <f>IFERROR(__xludf.DUMMYFUNCTION("""COMPUTED_VALUE"""),"USA")</f>
        <v>USA</v>
      </c>
      <c r="E655" s="156">
        <f>IFERROR(__xludf.DUMMYFUNCTION("""COMPUTED_VALUE"""),44353.0)</f>
        <v>44353</v>
      </c>
      <c r="F655" s="129">
        <f>IFERROR(__xludf.DUMMYFUNCTION("""COMPUTED_VALUE"""),44420.0)</f>
        <v>44420</v>
      </c>
      <c r="G655" s="154" t="str">
        <f>IFERROR(__xludf.DUMMYFUNCTION("""COMPUTED_VALUE"""),"Email")</f>
        <v>Email</v>
      </c>
      <c r="H655" s="131"/>
      <c r="I655" s="144" t="str">
        <f>IFERROR(__xludf.DUMMYFUNCTION("""COMPUTED_VALUE"""),"08/21")</f>
        <v>08/21</v>
      </c>
      <c r="J655" s="129">
        <f>IFERROR(__xludf.DUMMYFUNCTION("""COMPUTED_VALUE"""),44433.0)</f>
        <v>44433</v>
      </c>
      <c r="K655" s="133">
        <f>IFERROR(__xludf.DUMMYFUNCTION("""COMPUTED_VALUE"""),67.0)</f>
        <v>67</v>
      </c>
      <c r="L655" s="133">
        <f>IFERROR(__xludf.DUMMYFUNCTION("""COMPUTED_VALUE"""),13.0)</f>
        <v>13</v>
      </c>
      <c r="M655" s="133">
        <f>IFERROR(__xludf.DUMMYFUNCTION("""COMPUTED_VALUE"""),80.0)</f>
        <v>80</v>
      </c>
      <c r="N655" s="152" t="str">
        <f>IFERROR(__xludf.DUMMYFUNCTION("""COMPUTED_VALUE"""),"Model 3 LR AWD")</f>
        <v>Model 3 LR AWD</v>
      </c>
      <c r="O655" s="152" t="str">
        <f>IFERROR(__xludf.DUMMYFUNCTION("""COMPUTED_VALUE"""),"Deep Blue Metallic")</f>
        <v>Deep Blue Metallic</v>
      </c>
      <c r="P655" s="153" t="str">
        <f>IFERROR(__xludf.DUMMYFUNCTION("""COMPUTED_VALUE"""),"18 inch")</f>
        <v>18 inch</v>
      </c>
      <c r="Q655" s="152" t="str">
        <f>IFERROR(__xludf.DUMMYFUNCTION("""COMPUTED_VALUE"""),"All Black")</f>
        <v>All Black</v>
      </c>
      <c r="R655" s="149" t="str">
        <f>IFERROR(__xludf.DUMMYFUNCTION("""COMPUTED_VALUE"""),"Autopilot included")</f>
        <v>Autopilot included</v>
      </c>
      <c r="S655" s="149" t="str">
        <f>IFERROR(__xludf.DUMMYFUNCTION("""COMPUTED_VALUE"""),"Loan")</f>
        <v>Loan</v>
      </c>
      <c r="T655" s="145" t="str">
        <f>IFERROR(__xludf.DUMMYFUNCTION("""COMPUTED_VALUE"""),"Ford Focus")</f>
        <v>Ford Focus</v>
      </c>
      <c r="U655" s="145"/>
      <c r="V655" s="145" t="str">
        <f>IFERROR(__xludf.DUMMYFUNCTION("""COMPUTED_VALUE"""),"Blind spot indicators on side mirrors")</f>
        <v>Blind spot indicators on side mirrors</v>
      </c>
      <c r="W655" s="145"/>
      <c r="X655" s="137"/>
      <c r="Y655" s="138"/>
      <c r="Z655" s="138"/>
      <c r="AA655" s="138"/>
      <c r="AB655" s="138"/>
      <c r="AC655" s="139"/>
      <c r="AD655" s="139"/>
      <c r="AE655" s="139"/>
      <c r="AF655" s="140"/>
      <c r="AG655" s="145"/>
      <c r="AH655" s="157">
        <f>IFERROR(__xludf.DUMMYFUNCTION("""COMPUTED_VALUE"""),44439.45868721065)</f>
        <v>44439.45869</v>
      </c>
      <c r="AI655" s="138"/>
      <c r="AJ655" s="138"/>
      <c r="AK655" s="138"/>
      <c r="AL655" s="142"/>
    </row>
    <row r="656" ht="20.25" customHeight="1">
      <c r="A656" s="155" t="str">
        <f>IFERROR(__xludf.DUMMYFUNCTION("""COMPUTED_VALUE"""),"anthonymdfw")</f>
        <v>anthonymdfw</v>
      </c>
      <c r="B656" s="149"/>
      <c r="C656" s="149" t="str">
        <f>IFERROR(__xludf.DUMMYFUNCTION("""COMPUTED_VALUE"""),"TX")</f>
        <v>TX</v>
      </c>
      <c r="D656" s="149" t="str">
        <f>IFERROR(__xludf.DUMMYFUNCTION("""COMPUTED_VALUE"""),"USA")</f>
        <v>USA</v>
      </c>
      <c r="E656" s="156">
        <f>IFERROR(__xludf.DUMMYFUNCTION("""COMPUTED_VALUE"""),44352.0)</f>
        <v>44352</v>
      </c>
      <c r="F656" s="129">
        <f>IFERROR(__xludf.DUMMYFUNCTION("""COMPUTED_VALUE"""),44407.0)</f>
        <v>44407</v>
      </c>
      <c r="G656" s="154" t="str">
        <f>IFERROR(__xludf.DUMMYFUNCTION("""COMPUTED_VALUE"""),"Email")</f>
        <v>Email</v>
      </c>
      <c r="H656" s="131"/>
      <c r="I656" s="144"/>
      <c r="J656" s="129">
        <f>IFERROR(__xludf.DUMMYFUNCTION("""COMPUTED_VALUE"""),44420.0)</f>
        <v>44420</v>
      </c>
      <c r="K656" s="133">
        <f>IFERROR(__xludf.DUMMYFUNCTION("""COMPUTED_VALUE"""),55.0)</f>
        <v>55</v>
      </c>
      <c r="L656" s="133">
        <f>IFERROR(__xludf.DUMMYFUNCTION("""COMPUTED_VALUE"""),13.0)</f>
        <v>13</v>
      </c>
      <c r="M656" s="133">
        <f>IFERROR(__xludf.DUMMYFUNCTION("""COMPUTED_VALUE"""),68.0)</f>
        <v>68</v>
      </c>
      <c r="N656" s="152" t="str">
        <f>IFERROR(__xludf.DUMMYFUNCTION("""COMPUTED_VALUE"""),"Model 3 SR+")</f>
        <v>Model 3 SR+</v>
      </c>
      <c r="O656" s="152" t="str">
        <f>IFERROR(__xludf.DUMMYFUNCTION("""COMPUTED_VALUE"""),"Red Multi-Coat")</f>
        <v>Red Multi-Coat</v>
      </c>
      <c r="P656" s="153" t="str">
        <f>IFERROR(__xludf.DUMMYFUNCTION("""COMPUTED_VALUE"""),"18 inch")</f>
        <v>18 inch</v>
      </c>
      <c r="Q656" s="152" t="str">
        <f>IFERROR(__xludf.DUMMYFUNCTION("""COMPUTED_VALUE"""),"All Black")</f>
        <v>All Black</v>
      </c>
      <c r="R656" s="149" t="str">
        <f>IFERROR(__xludf.DUMMYFUNCTION("""COMPUTED_VALUE"""),"Autopilot included")</f>
        <v>Autopilot included</v>
      </c>
      <c r="S656" s="149" t="str">
        <f>IFERROR(__xludf.DUMMYFUNCTION("""COMPUTED_VALUE"""),"Loan")</f>
        <v>Loan</v>
      </c>
      <c r="T656" s="145" t="str">
        <f>IFERROR(__xludf.DUMMYFUNCTION("""COMPUTED_VALUE"""),"Tahoe")</f>
        <v>Tahoe</v>
      </c>
      <c r="U656" s="145" t="str">
        <f>IFERROR(__xludf.DUMMYFUNCTION("""COMPUTED_VALUE"""),"Electric!")</f>
        <v>Electric!</v>
      </c>
      <c r="V656" s="145" t="str">
        <f>IFERROR(__xludf.DUMMYFUNCTION("""COMPUTED_VALUE"""),"Apple CarPlay / Android Auto / SiriusXM Radio")</f>
        <v>Apple CarPlay / Android Auto / SiriusXM Radio</v>
      </c>
      <c r="W656" s="145"/>
      <c r="X656" s="137" t="str">
        <f>IFERROR(__xludf.DUMMYFUNCTION("""COMPUTED_VALUE"""),"Excellent")</f>
        <v>Excellent</v>
      </c>
      <c r="Y656" s="138" t="str">
        <f>IFERROR(__xludf.DUMMYFUNCTION("""COMPUTED_VALUE"""),"Excellent")</f>
        <v>Excellent</v>
      </c>
      <c r="Z656" s="138" t="str">
        <f>IFERROR(__xludf.DUMMYFUNCTION("""COMPUTED_VALUE"""),"Excellent")</f>
        <v>Excellent</v>
      </c>
      <c r="AA656" s="138" t="str">
        <f>IFERROR(__xludf.DUMMYFUNCTION("""COMPUTED_VALUE"""),"Excellent")</f>
        <v>Excellent</v>
      </c>
      <c r="AB656" s="138" t="str">
        <f>IFERROR(__xludf.DUMMYFUNCTION("""COMPUTED_VALUE"""),"Excellent")</f>
        <v>Excellent</v>
      </c>
      <c r="AC656" s="139"/>
      <c r="AD656" s="139"/>
      <c r="AE656" s="139"/>
      <c r="AF656" s="140" t="str">
        <f>IFERROR(__xludf.DUMMYFUNCTION("""COMPUTED_VALUE"""),"No. I took delivery of the first car Tesla was able to deliver.")</f>
        <v>No. I took delivery of the first car Tesla was able to deliver.</v>
      </c>
      <c r="AG656" s="145"/>
      <c r="AH656" s="157">
        <f>IFERROR(__xludf.DUMMYFUNCTION("""COMPUTED_VALUE"""),44421.7431324537)</f>
        <v>44421.74313</v>
      </c>
      <c r="AI656" s="138"/>
      <c r="AJ656" s="138"/>
      <c r="AK656" s="138"/>
      <c r="AL656" s="142"/>
    </row>
    <row r="657" ht="20.25" customHeight="1">
      <c r="A657" s="155" t="str">
        <f>IFERROR(__xludf.DUMMYFUNCTION("""COMPUTED_VALUE"""),"Apollo")</f>
        <v>Apollo</v>
      </c>
      <c r="B657" s="149" t="str">
        <f>IFERROR(__xludf.DUMMYFUNCTION("""COMPUTED_VALUE"""),"San Antonio")</f>
        <v>San Antonio</v>
      </c>
      <c r="C657" s="149" t="str">
        <f>IFERROR(__xludf.DUMMYFUNCTION("""COMPUTED_VALUE"""),"TX")</f>
        <v>TX</v>
      </c>
      <c r="D657" s="149" t="str">
        <f>IFERROR(__xludf.DUMMYFUNCTION("""COMPUTED_VALUE"""),"USA")</f>
        <v>USA</v>
      </c>
      <c r="E657" s="156">
        <f>IFERROR(__xludf.DUMMYFUNCTION("""COMPUTED_VALUE"""),44352.0)</f>
        <v>44352</v>
      </c>
      <c r="F657" s="129">
        <f>IFERROR(__xludf.DUMMYFUNCTION("""COMPUTED_VALUE"""),44410.0)</f>
        <v>44410</v>
      </c>
      <c r="G657" s="154" t="str">
        <f>IFERROR(__xludf.DUMMYFUNCTION("""COMPUTED_VALUE"""),"Manage order page (normal text)")</f>
        <v>Manage order page (normal text)</v>
      </c>
      <c r="H657" s="131"/>
      <c r="I657" s="144" t="str">
        <f>IFERROR(__xludf.DUMMYFUNCTION("""COMPUTED_VALUE"""),"08/21")</f>
        <v>08/21</v>
      </c>
      <c r="J657" s="129">
        <f>IFERROR(__xludf.DUMMYFUNCTION("""COMPUTED_VALUE"""),44423.0)</f>
        <v>44423</v>
      </c>
      <c r="K657" s="133">
        <f>IFERROR(__xludf.DUMMYFUNCTION("""COMPUTED_VALUE"""),58.0)</f>
        <v>58</v>
      </c>
      <c r="L657" s="133">
        <f>IFERROR(__xludf.DUMMYFUNCTION("""COMPUTED_VALUE"""),13.0)</f>
        <v>13</v>
      </c>
      <c r="M657" s="133">
        <f>IFERROR(__xludf.DUMMYFUNCTION("""COMPUTED_VALUE"""),71.0)</f>
        <v>71</v>
      </c>
      <c r="N657" s="152" t="str">
        <f>IFERROR(__xludf.DUMMYFUNCTION("""COMPUTED_VALUE"""),"Model 3 LR AWD")</f>
        <v>Model 3 LR AWD</v>
      </c>
      <c r="O657" s="152" t="str">
        <f>IFERROR(__xludf.DUMMYFUNCTION("""COMPUTED_VALUE"""),"Midnight Silver Metallic")</f>
        <v>Midnight Silver Metallic</v>
      </c>
      <c r="P657" s="153" t="str">
        <f>IFERROR(__xludf.DUMMYFUNCTION("""COMPUTED_VALUE"""),"18 inch")</f>
        <v>18 inch</v>
      </c>
      <c r="Q657" s="152" t="str">
        <f>IFERROR(__xludf.DUMMYFUNCTION("""COMPUTED_VALUE"""),"All Black")</f>
        <v>All Black</v>
      </c>
      <c r="R657" s="149" t="str">
        <f>IFERROR(__xludf.DUMMYFUNCTION("""COMPUTED_VALUE"""),"Autopilot included")</f>
        <v>Autopilot included</v>
      </c>
      <c r="S657" s="149"/>
      <c r="T657" s="145" t="str">
        <f>IFERROR(__xludf.DUMMYFUNCTION("""COMPUTED_VALUE"""),"Honda Civic")</f>
        <v>Honda Civic</v>
      </c>
      <c r="U657" s="145" t="str">
        <f>IFERROR(__xludf.DUMMYFUNCTION("""COMPUTED_VALUE"""),"Electric!")</f>
        <v>Electric!</v>
      </c>
      <c r="V657" s="145" t="str">
        <f>IFERROR(__xludf.DUMMYFUNCTION("""COMPUTED_VALUE"""),"Apple CarPlay / Android Auto / SiriusXM Radio")</f>
        <v>Apple CarPlay / Android Auto / SiriusXM Radio</v>
      </c>
      <c r="W657" s="145"/>
      <c r="X657" s="137"/>
      <c r="Y657" s="138"/>
      <c r="Z657" s="138"/>
      <c r="AA657" s="138"/>
      <c r="AB657" s="138"/>
      <c r="AC657" s="139"/>
      <c r="AD657" s="139"/>
      <c r="AE657" s="139"/>
      <c r="AF657" s="140"/>
      <c r="AG657" s="145"/>
      <c r="AH657" s="157">
        <f>IFERROR(__xludf.DUMMYFUNCTION("""COMPUTED_VALUE"""),44415.84151423611)</f>
        <v>44415.84151</v>
      </c>
      <c r="AI657" s="138"/>
      <c r="AJ657" s="138"/>
      <c r="AK657" s="138"/>
      <c r="AL657" s="142"/>
    </row>
    <row r="658" ht="20.25" customHeight="1">
      <c r="A658" s="155" t="str">
        <f>IFERROR(__xludf.DUMMYFUNCTION("""COMPUTED_VALUE"""),"golfncpa")</f>
        <v>golfncpa</v>
      </c>
      <c r="B658" s="149" t="str">
        <f>IFERROR(__xludf.DUMMYFUNCTION("""COMPUTED_VALUE"""),"Northridge")</f>
        <v>Northridge</v>
      </c>
      <c r="C658" s="149" t="str">
        <f>IFERROR(__xludf.DUMMYFUNCTION("""COMPUTED_VALUE"""),"CA")</f>
        <v>CA</v>
      </c>
      <c r="D658" s="149" t="str">
        <f>IFERROR(__xludf.DUMMYFUNCTION("""COMPUTED_VALUE"""),"USA")</f>
        <v>USA</v>
      </c>
      <c r="E658" s="156">
        <f>IFERROR(__xludf.DUMMYFUNCTION("""COMPUTED_VALUE"""),44352.0)</f>
        <v>44352</v>
      </c>
      <c r="F658" s="129">
        <f>IFERROR(__xludf.DUMMYFUNCTION("""COMPUTED_VALUE"""),44395.0)</f>
        <v>44395</v>
      </c>
      <c r="G658" s="154" t="str">
        <f>IFERROR(__xludf.DUMMYFUNCTION("""COMPUTED_VALUE"""),"Manage order page (normal text)")</f>
        <v>Manage order page (normal text)</v>
      </c>
      <c r="H658" s="131">
        <f>IFERROR(__xludf.DUMMYFUNCTION("""COMPUTED_VALUE"""),16355.0)</f>
        <v>16355</v>
      </c>
      <c r="I658" s="144"/>
      <c r="J658" s="129">
        <f>IFERROR(__xludf.DUMMYFUNCTION("""COMPUTED_VALUE"""),44400.0)</f>
        <v>44400</v>
      </c>
      <c r="K658" s="133">
        <f>IFERROR(__xludf.DUMMYFUNCTION("""COMPUTED_VALUE"""),43.0)</f>
        <v>43</v>
      </c>
      <c r="L658" s="133">
        <f>IFERROR(__xludf.DUMMYFUNCTION("""COMPUTED_VALUE"""),5.0)</f>
        <v>5</v>
      </c>
      <c r="M658" s="133">
        <f>IFERROR(__xludf.DUMMYFUNCTION("""COMPUTED_VALUE"""),48.0)</f>
        <v>48</v>
      </c>
      <c r="N658" s="152" t="str">
        <f>IFERROR(__xludf.DUMMYFUNCTION("""COMPUTED_VALUE"""),"Model 3 SR+")</f>
        <v>Model 3 SR+</v>
      </c>
      <c r="O658" s="152" t="str">
        <f>IFERROR(__xludf.DUMMYFUNCTION("""COMPUTED_VALUE"""),"Pearl White Multi-Coat")</f>
        <v>Pearl White Multi-Coat</v>
      </c>
      <c r="P658" s="153" t="str">
        <f>IFERROR(__xludf.DUMMYFUNCTION("""COMPUTED_VALUE"""),"18 inch")</f>
        <v>18 inch</v>
      </c>
      <c r="Q658" s="152" t="str">
        <f>IFERROR(__xludf.DUMMYFUNCTION("""COMPUTED_VALUE"""),"All Black")</f>
        <v>All Black</v>
      </c>
      <c r="R658" s="149" t="str">
        <f>IFERROR(__xludf.DUMMYFUNCTION("""COMPUTED_VALUE"""),"Autopilot included")</f>
        <v>Autopilot included</v>
      </c>
      <c r="S658" s="149" t="str">
        <f>IFERROR(__xludf.DUMMYFUNCTION("""COMPUTED_VALUE"""),"Lease")</f>
        <v>Lease</v>
      </c>
      <c r="T658" s="145" t="str">
        <f>IFERROR(__xludf.DUMMYFUNCTION("""COMPUTED_VALUE"""),"Audi A6")</f>
        <v>Audi A6</v>
      </c>
      <c r="U658" s="145" t="str">
        <f>IFERROR(__xludf.DUMMYFUNCTION("""COMPUTED_VALUE"""),"Electric!")</f>
        <v>Electric!</v>
      </c>
      <c r="V658" s="145" t="str">
        <f>IFERROR(__xludf.DUMMYFUNCTION("""COMPUTED_VALUE"""),"HomeLink")</f>
        <v>HomeLink</v>
      </c>
      <c r="W658" s="145"/>
      <c r="X658" s="137"/>
      <c r="Y658" s="138"/>
      <c r="Z658" s="138"/>
      <c r="AA658" s="138"/>
      <c r="AB658" s="138"/>
      <c r="AC658" s="139"/>
      <c r="AD658" s="139"/>
      <c r="AE658" s="139"/>
      <c r="AF658" s="140"/>
      <c r="AG658" s="145"/>
      <c r="AH658" s="157">
        <f>IFERROR(__xludf.DUMMYFUNCTION("""COMPUTED_VALUE"""),44396.713036851856)</f>
        <v>44396.71304</v>
      </c>
      <c r="AI658" s="138"/>
      <c r="AJ658" s="138"/>
      <c r="AK658" s="138"/>
      <c r="AL658" s="142"/>
    </row>
    <row r="659" ht="20.25" customHeight="1">
      <c r="A659" s="155" t="str">
        <f>IFERROR(__xludf.DUMMYFUNCTION("""COMPUTED_VALUE"""),"greymatter73")</f>
        <v>greymatter73</v>
      </c>
      <c r="B659" s="149" t="str">
        <f>IFERROR(__xludf.DUMMYFUNCTION("""COMPUTED_VALUE"""),"Sacramento")</f>
        <v>Sacramento</v>
      </c>
      <c r="C659" s="149" t="str">
        <f>IFERROR(__xludf.DUMMYFUNCTION("""COMPUTED_VALUE"""),"CA")</f>
        <v>CA</v>
      </c>
      <c r="D659" s="149" t="str">
        <f>IFERROR(__xludf.DUMMYFUNCTION("""COMPUTED_VALUE"""),"USA")</f>
        <v>USA</v>
      </c>
      <c r="E659" s="156">
        <f>IFERROR(__xludf.DUMMYFUNCTION("""COMPUTED_VALUE"""),44352.0)</f>
        <v>44352</v>
      </c>
      <c r="F659" s="129">
        <f>IFERROR(__xludf.DUMMYFUNCTION("""COMPUTED_VALUE"""),44373.0)</f>
        <v>44373</v>
      </c>
      <c r="G659" s="154" t="str">
        <f>IFERROR(__xludf.DUMMYFUNCTION("""COMPUTED_VALUE"""),"Manage order page (normal text)")</f>
        <v>Manage order page (normal text)</v>
      </c>
      <c r="H659" s="131">
        <f>IFERROR(__xludf.DUMMYFUNCTION("""COMPUTED_VALUE"""),992761.0)</f>
        <v>992761</v>
      </c>
      <c r="I659" s="144" t="str">
        <f>IFERROR(__xludf.DUMMYFUNCTION("""COMPUTED_VALUE"""),"06/21")</f>
        <v>06/21</v>
      </c>
      <c r="J659" s="129">
        <f>IFERROR(__xludf.DUMMYFUNCTION("""COMPUTED_VALUE"""),44380.0)</f>
        <v>44380</v>
      </c>
      <c r="K659" s="133">
        <f>IFERROR(__xludf.DUMMYFUNCTION("""COMPUTED_VALUE"""),21.0)</f>
        <v>21</v>
      </c>
      <c r="L659" s="133">
        <f>IFERROR(__xludf.DUMMYFUNCTION("""COMPUTED_VALUE"""),7.0)</f>
        <v>7</v>
      </c>
      <c r="M659" s="133">
        <f>IFERROR(__xludf.DUMMYFUNCTION("""COMPUTED_VALUE"""),28.0)</f>
        <v>28</v>
      </c>
      <c r="N659" s="152" t="str">
        <f>IFERROR(__xludf.DUMMYFUNCTION("""COMPUTED_VALUE"""),"Model 3 LR AWD")</f>
        <v>Model 3 LR AWD</v>
      </c>
      <c r="O659" s="152" t="str">
        <f>IFERROR(__xludf.DUMMYFUNCTION("""COMPUTED_VALUE"""),"Pearl White Multi-Coat")</f>
        <v>Pearl White Multi-Coat</v>
      </c>
      <c r="P659" s="153" t="str">
        <f>IFERROR(__xludf.DUMMYFUNCTION("""COMPUTED_VALUE"""),"18 inch")</f>
        <v>18 inch</v>
      </c>
      <c r="Q659" s="152" t="str">
        <f>IFERROR(__xludf.DUMMYFUNCTION("""COMPUTED_VALUE"""),"All Black")</f>
        <v>All Black</v>
      </c>
      <c r="R659" s="149" t="str">
        <f>IFERROR(__xludf.DUMMYFUNCTION("""COMPUTED_VALUE"""),"Autopilot included")</f>
        <v>Autopilot included</v>
      </c>
      <c r="S659" s="149" t="str">
        <f>IFERROR(__xludf.DUMMYFUNCTION("""COMPUTED_VALUE"""),"Cash")</f>
        <v>Cash</v>
      </c>
      <c r="T659" s="145" t="str">
        <f>IFERROR(__xludf.DUMMYFUNCTION("""COMPUTED_VALUE"""),"Lexus ES300H Hybrid")</f>
        <v>Lexus ES300H Hybrid</v>
      </c>
      <c r="U659" s="145" t="str">
        <f>IFERROR(__xludf.DUMMYFUNCTION("""COMPUTED_VALUE"""),"Tesla brand image")</f>
        <v>Tesla brand image</v>
      </c>
      <c r="V659" s="145" t="str">
        <f>IFERROR(__xludf.DUMMYFUNCTION("""COMPUTED_VALUE"""),"Apple CarPlay / Android Auto / SiriusXM Radio")</f>
        <v>Apple CarPlay / Android Auto / SiriusXM Radio</v>
      </c>
      <c r="W659" s="145" t="str">
        <f>IFERROR(__xludf.DUMMYFUNCTION("""COMPUTED_VALUE"""),"If you have a long wait for your car, refresh the existing inventory page regularly!  Chances are, the exact same configuration will appear!")</f>
        <v>If you have a long wait for your car, refresh the existing inventory page regularly!  Chances are, the exact same configuration will appear!</v>
      </c>
      <c r="X659" s="137" t="str">
        <f>IFERROR(__xludf.DUMMYFUNCTION("""COMPUTED_VALUE"""),"Fair")</f>
        <v>Fair</v>
      </c>
      <c r="Y659" s="138" t="str">
        <f>IFERROR(__xludf.DUMMYFUNCTION("""COMPUTED_VALUE"""),"Very Good")</f>
        <v>Very Good</v>
      </c>
      <c r="Z659" s="138" t="str">
        <f>IFERROR(__xludf.DUMMYFUNCTION("""COMPUTED_VALUE"""),"Excellent")</f>
        <v>Excellent</v>
      </c>
      <c r="AA659" s="138" t="str">
        <f>IFERROR(__xludf.DUMMYFUNCTION("""COMPUTED_VALUE"""),"Very Good")</f>
        <v>Very Good</v>
      </c>
      <c r="AB659" s="138" t="str">
        <f>IFERROR(__xludf.DUMMYFUNCTION("""COMPUTED_VALUE"""),"Excellent")</f>
        <v>Excellent</v>
      </c>
      <c r="AC659" s="139">
        <f>IFERROR(__xludf.DUMMYFUNCTION("""COMPUTED_VALUE"""),6.0)</f>
        <v>6</v>
      </c>
      <c r="AD659" s="139">
        <f>IFERROR(__xludf.DUMMYFUNCTION("""COMPUTED_VALUE"""),1.0)</f>
        <v>1</v>
      </c>
      <c r="AE659" s="139"/>
      <c r="AF659" s="140" t="str">
        <f>IFERROR(__xludf.DUMMYFUNCTION("""COMPUTED_VALUE"""),"No. I took delivery of the first car Tesla was able to deliver.")</f>
        <v>No. I took delivery of the first car Tesla was able to deliver.</v>
      </c>
      <c r="AG659" s="145"/>
      <c r="AH659" s="157">
        <f>IFERROR(__xludf.DUMMYFUNCTION("""COMPUTED_VALUE"""),44383.26957815972)</f>
        <v>44383.26958</v>
      </c>
      <c r="AI659" s="138"/>
      <c r="AJ659" s="138"/>
      <c r="AK659" s="138"/>
      <c r="AL659" s="142"/>
    </row>
    <row r="660" ht="20.25" customHeight="1">
      <c r="A660" s="155" t="str">
        <f>IFERROR(__xludf.DUMMYFUNCTION("""COMPUTED_VALUE"""),"Joetnr1")</f>
        <v>Joetnr1</v>
      </c>
      <c r="B660" s="149" t="str">
        <f>IFERROR(__xludf.DUMMYFUNCTION("""COMPUTED_VALUE"""),"Palm Springs")</f>
        <v>Palm Springs</v>
      </c>
      <c r="C660" s="149" t="str">
        <f>IFERROR(__xludf.DUMMYFUNCTION("""COMPUTED_VALUE"""),"CA")</f>
        <v>CA</v>
      </c>
      <c r="D660" s="149" t="str">
        <f>IFERROR(__xludf.DUMMYFUNCTION("""COMPUTED_VALUE"""),"USA")</f>
        <v>USA</v>
      </c>
      <c r="E660" s="156">
        <f>IFERROR(__xludf.DUMMYFUNCTION("""COMPUTED_VALUE"""),44352.0)</f>
        <v>44352</v>
      </c>
      <c r="F660" s="129">
        <f>IFERROR(__xludf.DUMMYFUNCTION("""COMPUTED_VALUE"""),44393.0)</f>
        <v>44393</v>
      </c>
      <c r="G660" s="154" t="str">
        <f>IFERROR(__xludf.DUMMYFUNCTION("""COMPUTED_VALUE"""),"Email")</f>
        <v>Email</v>
      </c>
      <c r="H660" s="131"/>
      <c r="I660" s="144"/>
      <c r="J660" s="129">
        <f>IFERROR(__xludf.DUMMYFUNCTION("""COMPUTED_VALUE"""),44398.0)</f>
        <v>44398</v>
      </c>
      <c r="K660" s="133">
        <f>IFERROR(__xludf.DUMMYFUNCTION("""COMPUTED_VALUE"""),41.0)</f>
        <v>41</v>
      </c>
      <c r="L660" s="133">
        <f>IFERROR(__xludf.DUMMYFUNCTION("""COMPUTED_VALUE"""),5.0)</f>
        <v>5</v>
      </c>
      <c r="M660" s="133">
        <f>IFERROR(__xludf.DUMMYFUNCTION("""COMPUTED_VALUE"""),46.0)</f>
        <v>46</v>
      </c>
      <c r="N660" s="152" t="str">
        <f>IFERROR(__xludf.DUMMYFUNCTION("""COMPUTED_VALUE"""),"Model 3 SR+")</f>
        <v>Model 3 SR+</v>
      </c>
      <c r="O660" s="152" t="str">
        <f>IFERROR(__xludf.DUMMYFUNCTION("""COMPUTED_VALUE"""),"Pearl White Multi-Coat")</f>
        <v>Pearl White Multi-Coat</v>
      </c>
      <c r="P660" s="153" t="str">
        <f>IFERROR(__xludf.DUMMYFUNCTION("""COMPUTED_VALUE"""),"18 inch")</f>
        <v>18 inch</v>
      </c>
      <c r="Q660" s="152" t="str">
        <f>IFERROR(__xludf.DUMMYFUNCTION("""COMPUTED_VALUE"""),"Black and White")</f>
        <v>Black and White</v>
      </c>
      <c r="R660" s="149" t="str">
        <f>IFERROR(__xludf.DUMMYFUNCTION("""COMPUTED_VALUE"""),"Autopilot included")</f>
        <v>Autopilot included</v>
      </c>
      <c r="S660" s="149" t="str">
        <f>IFERROR(__xludf.DUMMYFUNCTION("""COMPUTED_VALUE"""),"Cash")</f>
        <v>Cash</v>
      </c>
      <c r="T660" s="145"/>
      <c r="U660" s="145" t="str">
        <f>IFERROR(__xludf.DUMMYFUNCTION("""COMPUTED_VALUE"""),"Electric!")</f>
        <v>Electric!</v>
      </c>
      <c r="V660" s="145"/>
      <c r="W660" s="145"/>
      <c r="X660" s="137"/>
      <c r="Y660" s="138"/>
      <c r="Z660" s="138"/>
      <c r="AA660" s="138"/>
      <c r="AB660" s="138"/>
      <c r="AC660" s="139"/>
      <c r="AD660" s="139"/>
      <c r="AE660" s="139"/>
      <c r="AF660" s="140"/>
      <c r="AG660" s="145"/>
      <c r="AH660" s="157">
        <f>IFERROR(__xludf.DUMMYFUNCTION("""COMPUTED_VALUE"""),44397.59243665509)</f>
        <v>44397.59244</v>
      </c>
      <c r="AI660" s="138"/>
      <c r="AJ660" s="138"/>
      <c r="AK660" s="138"/>
      <c r="AL660" s="142"/>
    </row>
    <row r="661" ht="20.25" customHeight="1">
      <c r="A661" s="155" t="str">
        <f>IFERROR(__xludf.DUMMYFUNCTION("""COMPUTED_VALUE"""),"Krow")</f>
        <v>Krow</v>
      </c>
      <c r="B661" s="149" t="str">
        <f>IFERROR(__xludf.DUMMYFUNCTION("""COMPUTED_VALUE"""),"Miami")</f>
        <v>Miami</v>
      </c>
      <c r="C661" s="149" t="str">
        <f>IFERROR(__xludf.DUMMYFUNCTION("""COMPUTED_VALUE"""),"FL")</f>
        <v>FL</v>
      </c>
      <c r="D661" s="149" t="str">
        <f>IFERROR(__xludf.DUMMYFUNCTION("""COMPUTED_VALUE"""),"USA")</f>
        <v>USA</v>
      </c>
      <c r="E661" s="156">
        <f>IFERROR(__xludf.DUMMYFUNCTION("""COMPUTED_VALUE"""),44352.0)</f>
        <v>44352</v>
      </c>
      <c r="F661" s="129">
        <f>IFERROR(__xludf.DUMMYFUNCTION("""COMPUTED_VALUE"""),44421.0)</f>
        <v>44421</v>
      </c>
      <c r="G661" s="154" t="str">
        <f>IFERROR(__xludf.DUMMYFUNCTION("""COMPUTED_VALUE"""),"Email")</f>
        <v>Email</v>
      </c>
      <c r="H661" s="131"/>
      <c r="I661" s="144" t="str">
        <f>IFERROR(__xludf.DUMMYFUNCTION("""COMPUTED_VALUE"""),"08/21")</f>
        <v>08/21</v>
      </c>
      <c r="J661" s="129">
        <f>IFERROR(__xludf.DUMMYFUNCTION("""COMPUTED_VALUE"""),44440.0)</f>
        <v>44440</v>
      </c>
      <c r="K661" s="133">
        <f>IFERROR(__xludf.DUMMYFUNCTION("""COMPUTED_VALUE"""),69.0)</f>
        <v>69</v>
      </c>
      <c r="L661" s="133">
        <f>IFERROR(__xludf.DUMMYFUNCTION("""COMPUTED_VALUE"""),19.0)</f>
        <v>19</v>
      </c>
      <c r="M661" s="133">
        <f>IFERROR(__xludf.DUMMYFUNCTION("""COMPUTED_VALUE"""),88.0)</f>
        <v>88</v>
      </c>
      <c r="N661" s="152" t="str">
        <f>IFERROR(__xludf.DUMMYFUNCTION("""COMPUTED_VALUE"""),"Model 3 LR AWD")</f>
        <v>Model 3 LR AWD</v>
      </c>
      <c r="O661" s="152" t="str">
        <f>IFERROR(__xludf.DUMMYFUNCTION("""COMPUTED_VALUE"""),"Pearl White Multi-Coat")</f>
        <v>Pearl White Multi-Coat</v>
      </c>
      <c r="P661" s="153" t="str">
        <f>IFERROR(__xludf.DUMMYFUNCTION("""COMPUTED_VALUE"""),"18 inch")</f>
        <v>18 inch</v>
      </c>
      <c r="Q661" s="152" t="str">
        <f>IFERROR(__xludf.DUMMYFUNCTION("""COMPUTED_VALUE"""),"Black and White")</f>
        <v>Black and White</v>
      </c>
      <c r="R661" s="149" t="str">
        <f>IFERROR(__xludf.DUMMYFUNCTION("""COMPUTED_VALUE"""),"Autopilot included")</f>
        <v>Autopilot included</v>
      </c>
      <c r="S661" s="149" t="str">
        <f>IFERROR(__xludf.DUMMYFUNCTION("""COMPUTED_VALUE"""),"Cash")</f>
        <v>Cash</v>
      </c>
      <c r="T661" s="145" t="str">
        <f>IFERROR(__xludf.DUMMYFUNCTION("""COMPUTED_VALUE"""),"BMW 3 Series")</f>
        <v>BMW 3 Series</v>
      </c>
      <c r="U661" s="145" t="str">
        <f>IFERROR(__xludf.DUMMYFUNCTION("""COMPUTED_VALUE"""),"Minimalistic")</f>
        <v>Minimalistic</v>
      </c>
      <c r="V661" s="145" t="str">
        <f>IFERROR(__xludf.DUMMYFUNCTION("""COMPUTED_VALUE"""),"360° Bird's eye view")</f>
        <v>360° Bird's eye view</v>
      </c>
      <c r="W661" s="145"/>
      <c r="X661" s="137" t="str">
        <f>IFERROR(__xludf.DUMMYFUNCTION("""COMPUTED_VALUE"""),"Excellent")</f>
        <v>Excellent</v>
      </c>
      <c r="Y661" s="138" t="str">
        <f>IFERROR(__xludf.DUMMYFUNCTION("""COMPUTED_VALUE"""),"Very Good")</f>
        <v>Very Good</v>
      </c>
      <c r="Z661" s="138" t="str">
        <f>IFERROR(__xludf.DUMMYFUNCTION("""COMPUTED_VALUE"""),"Excellent")</f>
        <v>Excellent</v>
      </c>
      <c r="AA661" s="138" t="str">
        <f>IFERROR(__xludf.DUMMYFUNCTION("""COMPUTED_VALUE"""),"Good")</f>
        <v>Good</v>
      </c>
      <c r="AB661" s="138" t="str">
        <f>IFERROR(__xludf.DUMMYFUNCTION("""COMPUTED_VALUE"""),"Excellent")</f>
        <v>Excellent</v>
      </c>
      <c r="AC661" s="139"/>
      <c r="AD661" s="139"/>
      <c r="AE661" s="139"/>
      <c r="AF661" s="140" t="str">
        <f>IFERROR(__xludf.DUMMYFUNCTION("""COMPUTED_VALUE"""),"No. I took delivery of the first car Tesla was able to deliver.")</f>
        <v>No. I took delivery of the first car Tesla was able to deliver.</v>
      </c>
      <c r="AG661" s="145"/>
      <c r="AH661" s="157">
        <f>IFERROR(__xludf.DUMMYFUNCTION("""COMPUTED_VALUE"""),44443.27342829861)</f>
        <v>44443.27343</v>
      </c>
      <c r="AI661" s="138"/>
      <c r="AJ661" s="138"/>
      <c r="AK661" s="138"/>
      <c r="AL661" s="142"/>
    </row>
    <row r="662" ht="20.25" customHeight="1">
      <c r="A662" s="155" t="str">
        <f>IFERROR(__xludf.DUMMYFUNCTION("""COMPUTED_VALUE"""),"Volts_PC")</f>
        <v>Volts_PC</v>
      </c>
      <c r="B662" s="149" t="str">
        <f>IFERROR(__xludf.DUMMYFUNCTION("""COMPUTED_VALUE"""),"Pittsburgh")</f>
        <v>Pittsburgh</v>
      </c>
      <c r="C662" s="149" t="str">
        <f>IFERROR(__xludf.DUMMYFUNCTION("""COMPUTED_VALUE"""),"PA")</f>
        <v>PA</v>
      </c>
      <c r="D662" s="149" t="str">
        <f>IFERROR(__xludf.DUMMYFUNCTION("""COMPUTED_VALUE"""),"USA")</f>
        <v>USA</v>
      </c>
      <c r="E662" s="156">
        <f>IFERROR(__xludf.DUMMYFUNCTION("""COMPUTED_VALUE"""),44352.0)</f>
        <v>44352</v>
      </c>
      <c r="F662" s="129">
        <f>IFERROR(__xludf.DUMMYFUNCTION("""COMPUTED_VALUE"""),44393.0)</f>
        <v>44393</v>
      </c>
      <c r="G662" s="154" t="str">
        <f>IFERROR(__xludf.DUMMYFUNCTION("""COMPUTED_VALUE"""),"Manage order page (normal text)")</f>
        <v>Manage order page (normal text)</v>
      </c>
      <c r="H662" s="131">
        <f>IFERROR(__xludf.DUMMYFUNCTION("""COMPUTED_VALUE"""),19755.0)</f>
        <v>19755</v>
      </c>
      <c r="I662" s="144"/>
      <c r="J662" s="129">
        <f>IFERROR(__xludf.DUMMYFUNCTION("""COMPUTED_VALUE"""),44406.0)</f>
        <v>44406</v>
      </c>
      <c r="K662" s="133">
        <f>IFERROR(__xludf.DUMMYFUNCTION("""COMPUTED_VALUE"""),41.0)</f>
        <v>41</v>
      </c>
      <c r="L662" s="133">
        <f>IFERROR(__xludf.DUMMYFUNCTION("""COMPUTED_VALUE"""),13.0)</f>
        <v>13</v>
      </c>
      <c r="M662" s="133">
        <f>IFERROR(__xludf.DUMMYFUNCTION("""COMPUTED_VALUE"""),54.0)</f>
        <v>54</v>
      </c>
      <c r="N662" s="152" t="str">
        <f>IFERROR(__xludf.DUMMYFUNCTION("""COMPUTED_VALUE"""),"Model 3 LR AWD")</f>
        <v>Model 3 LR AWD</v>
      </c>
      <c r="O662" s="152" t="str">
        <f>IFERROR(__xludf.DUMMYFUNCTION("""COMPUTED_VALUE"""),"Deep Blue Metallic")</f>
        <v>Deep Blue Metallic</v>
      </c>
      <c r="P662" s="153" t="str">
        <f>IFERROR(__xludf.DUMMYFUNCTION("""COMPUTED_VALUE"""),"18 inch")</f>
        <v>18 inch</v>
      </c>
      <c r="Q662" s="152" t="str">
        <f>IFERROR(__xludf.DUMMYFUNCTION("""COMPUTED_VALUE"""),"All Black")</f>
        <v>All Black</v>
      </c>
      <c r="R662" s="149" t="str">
        <f>IFERROR(__xludf.DUMMYFUNCTION("""COMPUTED_VALUE"""),"Autopilot included")</f>
        <v>Autopilot included</v>
      </c>
      <c r="S662" s="149" t="str">
        <f>IFERROR(__xludf.DUMMYFUNCTION("""COMPUTED_VALUE"""),"Loan")</f>
        <v>Loan</v>
      </c>
      <c r="T662" s="145" t="str">
        <f>IFERROR(__xludf.DUMMYFUNCTION("""COMPUTED_VALUE"""),"Model 3 will be my first car!")</f>
        <v>Model 3 will be my first car!</v>
      </c>
      <c r="U662" s="145" t="str">
        <f>IFERROR(__xludf.DUMMYFUNCTION("""COMPUTED_VALUE"""),"Electric!")</f>
        <v>Electric!</v>
      </c>
      <c r="V662" s="145" t="str">
        <f>IFERROR(__xludf.DUMMYFUNCTION("""COMPUTED_VALUE"""),"Ventilated seats")</f>
        <v>Ventilated seats</v>
      </c>
      <c r="W662" s="145"/>
      <c r="X662" s="137" t="str">
        <f>IFERROR(__xludf.DUMMYFUNCTION("""COMPUTED_VALUE"""),"Very Good")</f>
        <v>Very Good</v>
      </c>
      <c r="Y662" s="138" t="str">
        <f>IFERROR(__xludf.DUMMYFUNCTION("""COMPUTED_VALUE"""),"Very Good")</f>
        <v>Very Good</v>
      </c>
      <c r="Z662" s="138" t="str">
        <f>IFERROR(__xludf.DUMMYFUNCTION("""COMPUTED_VALUE"""),"Excellent")</f>
        <v>Excellent</v>
      </c>
      <c r="AA662" s="138" t="str">
        <f>IFERROR(__xludf.DUMMYFUNCTION("""COMPUTED_VALUE"""),"Very Good")</f>
        <v>Very Good</v>
      </c>
      <c r="AB662" s="138" t="str">
        <f>IFERROR(__xludf.DUMMYFUNCTION("""COMPUTED_VALUE"""),"Excellent")</f>
        <v>Excellent</v>
      </c>
      <c r="AC662" s="139">
        <f>IFERROR(__xludf.DUMMYFUNCTION("""COMPUTED_VALUE"""),0.0)</f>
        <v>0</v>
      </c>
      <c r="AD662" s="139">
        <f>IFERROR(__xludf.DUMMYFUNCTION("""COMPUTED_VALUE"""),0.0)</f>
        <v>0</v>
      </c>
      <c r="AE662" s="139">
        <f>IFERROR(__xludf.DUMMYFUNCTION("""COMPUTED_VALUE"""),0.0)</f>
        <v>0</v>
      </c>
      <c r="AF662" s="140" t="str">
        <f>IFERROR(__xludf.DUMMYFUNCTION("""COMPUTED_VALUE"""),"No. I took delivery of the first car Tesla was able to deliver.")</f>
        <v>No. I took delivery of the first car Tesla was able to deliver.</v>
      </c>
      <c r="AG662" s="145"/>
      <c r="AH662" s="157">
        <f>IFERROR(__xludf.DUMMYFUNCTION("""COMPUTED_VALUE"""),44420.399507106486)</f>
        <v>44420.39951</v>
      </c>
      <c r="AI662" s="138"/>
      <c r="AJ662" s="138"/>
      <c r="AK662" s="138"/>
      <c r="AL662" s="142"/>
    </row>
    <row r="663" ht="20.25" customHeight="1">
      <c r="A663" s="155" t="str">
        <f>IFERROR(__xludf.DUMMYFUNCTION("""COMPUTED_VALUE"""),"Bujs")</f>
        <v>Bujs</v>
      </c>
      <c r="B663" s="149" t="str">
        <f>IFERROR(__xludf.DUMMYFUNCTION("""COMPUTED_VALUE"""),"Eden Prairie")</f>
        <v>Eden Prairie</v>
      </c>
      <c r="C663" s="149" t="str">
        <f>IFERROR(__xludf.DUMMYFUNCTION("""COMPUTED_VALUE"""),"MN")</f>
        <v>MN</v>
      </c>
      <c r="D663" s="149" t="str">
        <f>IFERROR(__xludf.DUMMYFUNCTION("""COMPUTED_VALUE"""),"USA")</f>
        <v>USA</v>
      </c>
      <c r="E663" s="156">
        <f>IFERROR(__xludf.DUMMYFUNCTION("""COMPUTED_VALUE"""),44351.0)</f>
        <v>44351</v>
      </c>
      <c r="F663" s="129">
        <f>IFERROR(__xludf.DUMMYFUNCTION("""COMPUTED_VALUE"""),44391.0)</f>
        <v>44391</v>
      </c>
      <c r="G663" s="154" t="str">
        <f>IFERROR(__xludf.DUMMYFUNCTION("""COMPUTED_VALUE"""),"Email")</f>
        <v>Email</v>
      </c>
      <c r="H663" s="131"/>
      <c r="I663" s="144"/>
      <c r="J663" s="129">
        <f>IFERROR(__xludf.DUMMYFUNCTION("""COMPUTED_VALUE"""),44406.0)</f>
        <v>44406</v>
      </c>
      <c r="K663" s="133">
        <f>IFERROR(__xludf.DUMMYFUNCTION("""COMPUTED_VALUE"""),40.0)</f>
        <v>40</v>
      </c>
      <c r="L663" s="133">
        <f>IFERROR(__xludf.DUMMYFUNCTION("""COMPUTED_VALUE"""),15.0)</f>
        <v>15</v>
      </c>
      <c r="M663" s="133">
        <f>IFERROR(__xludf.DUMMYFUNCTION("""COMPUTED_VALUE"""),55.0)</f>
        <v>55</v>
      </c>
      <c r="N663" s="152" t="str">
        <f>IFERROR(__xludf.DUMMYFUNCTION("""COMPUTED_VALUE"""),"Model 3 LR AWD")</f>
        <v>Model 3 LR AWD</v>
      </c>
      <c r="O663" s="152" t="str">
        <f>IFERROR(__xludf.DUMMYFUNCTION("""COMPUTED_VALUE"""),"Pearl White Multi-Coat")</f>
        <v>Pearl White Multi-Coat</v>
      </c>
      <c r="P663" s="153" t="str">
        <f>IFERROR(__xludf.DUMMYFUNCTION("""COMPUTED_VALUE"""),"18 inch")</f>
        <v>18 inch</v>
      </c>
      <c r="Q663" s="152" t="str">
        <f>IFERROR(__xludf.DUMMYFUNCTION("""COMPUTED_VALUE"""),"All Black")</f>
        <v>All Black</v>
      </c>
      <c r="R663" s="149" t="str">
        <f>IFERROR(__xludf.DUMMYFUNCTION("""COMPUTED_VALUE"""),"Autopilot included")</f>
        <v>Autopilot included</v>
      </c>
      <c r="S663" s="149" t="str">
        <f>IFERROR(__xludf.DUMMYFUNCTION("""COMPUTED_VALUE"""),"Loan")</f>
        <v>Loan</v>
      </c>
      <c r="T663" s="145"/>
      <c r="U663" s="145"/>
      <c r="V663" s="145"/>
      <c r="W663" s="145"/>
      <c r="X663" s="137"/>
      <c r="Y663" s="138"/>
      <c r="Z663" s="138"/>
      <c r="AA663" s="138"/>
      <c r="AB663" s="138"/>
      <c r="AC663" s="139"/>
      <c r="AD663" s="139"/>
      <c r="AE663" s="139"/>
      <c r="AF663" s="140"/>
      <c r="AG663" s="145"/>
      <c r="AH663" s="157">
        <f>IFERROR(__xludf.DUMMYFUNCTION("""COMPUTED_VALUE"""),44412.51234724537)</f>
        <v>44412.51235</v>
      </c>
      <c r="AI663" s="138"/>
      <c r="AJ663" s="138"/>
      <c r="AK663" s="138"/>
      <c r="AL663" s="142"/>
    </row>
    <row r="664" ht="20.25" customHeight="1">
      <c r="A664" s="155" t="str">
        <f>IFERROR(__xludf.DUMMYFUNCTION("""COMPUTED_VALUE"""),"HokieLad")</f>
        <v>HokieLad</v>
      </c>
      <c r="B664" s="149" t="str">
        <f>IFERROR(__xludf.DUMMYFUNCTION("""COMPUTED_VALUE"""),"Cary")</f>
        <v>Cary</v>
      </c>
      <c r="C664" s="149" t="str">
        <f>IFERROR(__xludf.DUMMYFUNCTION("""COMPUTED_VALUE"""),"NC")</f>
        <v>NC</v>
      </c>
      <c r="D664" s="149" t="str">
        <f>IFERROR(__xludf.DUMMYFUNCTION("""COMPUTED_VALUE"""),"USA")</f>
        <v>USA</v>
      </c>
      <c r="E664" s="156">
        <f>IFERROR(__xludf.DUMMYFUNCTION("""COMPUTED_VALUE"""),44351.0)</f>
        <v>44351</v>
      </c>
      <c r="F664" s="129">
        <f>IFERROR(__xludf.DUMMYFUNCTION("""COMPUTED_VALUE"""),44391.0)</f>
        <v>44391</v>
      </c>
      <c r="G664" s="154" t="str">
        <f>IFERROR(__xludf.DUMMYFUNCTION("""COMPUTED_VALUE"""),"Manage order page (normal text)")</f>
        <v>Manage order page (normal text)</v>
      </c>
      <c r="H664" s="131"/>
      <c r="I664" s="144"/>
      <c r="J664" s="129">
        <f>IFERROR(__xludf.DUMMYFUNCTION("""COMPUTED_VALUE"""),44407.0)</f>
        <v>44407</v>
      </c>
      <c r="K664" s="133">
        <f>IFERROR(__xludf.DUMMYFUNCTION("""COMPUTED_VALUE"""),40.0)</f>
        <v>40</v>
      </c>
      <c r="L664" s="133">
        <f>IFERROR(__xludf.DUMMYFUNCTION("""COMPUTED_VALUE"""),16.0)</f>
        <v>16</v>
      </c>
      <c r="M664" s="133">
        <f>IFERROR(__xludf.DUMMYFUNCTION("""COMPUTED_VALUE"""),56.0)</f>
        <v>56</v>
      </c>
      <c r="N664" s="152" t="str">
        <f>IFERROR(__xludf.DUMMYFUNCTION("""COMPUTED_VALUE"""),"Model 3 SR+")</f>
        <v>Model 3 SR+</v>
      </c>
      <c r="O664" s="152" t="str">
        <f>IFERROR(__xludf.DUMMYFUNCTION("""COMPUTED_VALUE"""),"Midnight Silver Metallic")</f>
        <v>Midnight Silver Metallic</v>
      </c>
      <c r="P664" s="153" t="str">
        <f>IFERROR(__xludf.DUMMYFUNCTION("""COMPUTED_VALUE"""),"18 inch")</f>
        <v>18 inch</v>
      </c>
      <c r="Q664" s="152" t="str">
        <f>IFERROR(__xludf.DUMMYFUNCTION("""COMPUTED_VALUE"""),"All Black")</f>
        <v>All Black</v>
      </c>
      <c r="R664" s="149" t="str">
        <f>IFERROR(__xludf.DUMMYFUNCTION("""COMPUTED_VALUE"""),"Autopilot included")</f>
        <v>Autopilot included</v>
      </c>
      <c r="S664" s="149" t="str">
        <f>IFERROR(__xludf.DUMMYFUNCTION("""COMPUTED_VALUE"""),"Loan")</f>
        <v>Loan</v>
      </c>
      <c r="T664" s="145"/>
      <c r="U664" s="145"/>
      <c r="V664" s="145"/>
      <c r="W664" s="145"/>
      <c r="X664" s="137"/>
      <c r="Y664" s="138"/>
      <c r="Z664" s="138"/>
      <c r="AA664" s="138"/>
      <c r="AB664" s="138"/>
      <c r="AC664" s="139"/>
      <c r="AD664" s="139"/>
      <c r="AE664" s="139"/>
      <c r="AF664" s="140"/>
      <c r="AG664" s="145"/>
      <c r="AH664" s="157">
        <f>IFERROR(__xludf.DUMMYFUNCTION("""COMPUTED_VALUE"""),44399.32143269676)</f>
        <v>44399.32143</v>
      </c>
      <c r="AI664" s="138"/>
      <c r="AJ664" s="138"/>
      <c r="AK664" s="138"/>
      <c r="AL664" s="142"/>
    </row>
    <row r="665" ht="20.25" customHeight="1">
      <c r="A665" s="155" t="str">
        <f>IFERROR(__xludf.DUMMYFUNCTION("""COMPUTED_VALUE"""),"miketk")</f>
        <v>miketk</v>
      </c>
      <c r="B665" s="149" t="str">
        <f>IFERROR(__xludf.DUMMYFUNCTION("""COMPUTED_VALUE"""),"Tampa")</f>
        <v>Tampa</v>
      </c>
      <c r="C665" s="149" t="str">
        <f>IFERROR(__xludf.DUMMYFUNCTION("""COMPUTED_VALUE"""),"FL")</f>
        <v>FL</v>
      </c>
      <c r="D665" s="149" t="str">
        <f>IFERROR(__xludf.DUMMYFUNCTION("""COMPUTED_VALUE"""),"USA")</f>
        <v>USA</v>
      </c>
      <c r="E665" s="156">
        <f>IFERROR(__xludf.DUMMYFUNCTION("""COMPUTED_VALUE"""),44351.0)</f>
        <v>44351</v>
      </c>
      <c r="F665" s="129">
        <f>IFERROR(__xludf.DUMMYFUNCTION("""COMPUTED_VALUE"""),44437.0)</f>
        <v>44437</v>
      </c>
      <c r="G665" s="154" t="str">
        <f>IFERROR(__xludf.DUMMYFUNCTION("""COMPUTED_VALUE"""),"Manage order page (normal text)")</f>
        <v>Manage order page (normal text)</v>
      </c>
      <c r="H665" s="131">
        <f>IFERROR(__xludf.DUMMYFUNCTION("""COMPUTED_VALUE"""),52255.0)</f>
        <v>52255</v>
      </c>
      <c r="I665" s="144"/>
      <c r="J665" s="129">
        <f>IFERROR(__xludf.DUMMYFUNCTION("""COMPUTED_VALUE"""),44455.0)</f>
        <v>44455</v>
      </c>
      <c r="K665" s="133">
        <f>IFERROR(__xludf.DUMMYFUNCTION("""COMPUTED_VALUE"""),86.0)</f>
        <v>86</v>
      </c>
      <c r="L665" s="133">
        <f>IFERROR(__xludf.DUMMYFUNCTION("""COMPUTED_VALUE"""),18.0)</f>
        <v>18</v>
      </c>
      <c r="M665" s="133">
        <f>IFERROR(__xludf.DUMMYFUNCTION("""COMPUTED_VALUE"""),104.0)</f>
        <v>104</v>
      </c>
      <c r="N665" s="152" t="str">
        <f>IFERROR(__xludf.DUMMYFUNCTION("""COMPUTED_VALUE"""),"Model 3 SR+")</f>
        <v>Model 3 SR+</v>
      </c>
      <c r="O665" s="152" t="str">
        <f>IFERROR(__xludf.DUMMYFUNCTION("""COMPUTED_VALUE"""),"Pearl White Multi-Coat")</f>
        <v>Pearl White Multi-Coat</v>
      </c>
      <c r="P665" s="153" t="str">
        <f>IFERROR(__xludf.DUMMYFUNCTION("""COMPUTED_VALUE"""),"18 inch")</f>
        <v>18 inch</v>
      </c>
      <c r="Q665" s="152" t="str">
        <f>IFERROR(__xludf.DUMMYFUNCTION("""COMPUTED_VALUE"""),"All Black")</f>
        <v>All Black</v>
      </c>
      <c r="R665" s="149" t="str">
        <f>IFERROR(__xludf.DUMMYFUNCTION("""COMPUTED_VALUE"""),"Autopilot included")</f>
        <v>Autopilot included</v>
      </c>
      <c r="S665" s="149" t="str">
        <f>IFERROR(__xludf.DUMMYFUNCTION("""COMPUTED_VALUE"""),"Loan")</f>
        <v>Loan</v>
      </c>
      <c r="T665" s="145" t="str">
        <f>IFERROR(__xludf.DUMMYFUNCTION("""COMPUTED_VALUE"""),"Cadillac XT5")</f>
        <v>Cadillac XT5</v>
      </c>
      <c r="U665" s="145" t="str">
        <f>IFERROR(__xludf.DUMMYFUNCTION("""COMPUTED_VALUE"""),"Electric!")</f>
        <v>Electric!</v>
      </c>
      <c r="V665" s="145" t="str">
        <f>IFERROR(__xludf.DUMMYFUNCTION("""COMPUTED_VALUE"""),"HomeLink")</f>
        <v>HomeLink</v>
      </c>
      <c r="W665" s="145"/>
      <c r="X665" s="137"/>
      <c r="Y665" s="138"/>
      <c r="Z665" s="138"/>
      <c r="AA665" s="138"/>
      <c r="AB665" s="138"/>
      <c r="AC665" s="139"/>
      <c r="AD665" s="139"/>
      <c r="AE665" s="139"/>
      <c r="AF665" s="140"/>
      <c r="AG665" s="145"/>
      <c r="AH665" s="157">
        <f>IFERROR(__xludf.DUMMYFUNCTION("""COMPUTED_VALUE"""),44455.24319246528)</f>
        <v>44455.24319</v>
      </c>
      <c r="AI665" s="138"/>
      <c r="AJ665" s="138"/>
      <c r="AK665" s="138"/>
      <c r="AL665" s="142"/>
    </row>
    <row r="666" ht="20.25" customHeight="1">
      <c r="A666" s="155" t="str">
        <f>IFERROR(__xludf.DUMMYFUNCTION("""COMPUTED_VALUE"""),"mort")</f>
        <v>mort</v>
      </c>
      <c r="B666" s="149" t="str">
        <f>IFERROR(__xludf.DUMMYFUNCTION("""COMPUTED_VALUE"""),"Toronto")</f>
        <v>Toronto</v>
      </c>
      <c r="C666" s="149" t="str">
        <f>IFERROR(__xludf.DUMMYFUNCTION("""COMPUTED_VALUE"""),"ON")</f>
        <v>ON</v>
      </c>
      <c r="D666" s="149" t="str">
        <f>IFERROR(__xludf.DUMMYFUNCTION("""COMPUTED_VALUE"""),"Canada")</f>
        <v>Canada</v>
      </c>
      <c r="E666" s="156">
        <f>IFERROR(__xludf.DUMMYFUNCTION("""COMPUTED_VALUE"""),44351.0)</f>
        <v>44351</v>
      </c>
      <c r="F666" s="129">
        <f>IFERROR(__xludf.DUMMYFUNCTION("""COMPUTED_VALUE"""),44414.0)</f>
        <v>44414</v>
      </c>
      <c r="G666" s="154" t="str">
        <f>IFERROR(__xludf.DUMMYFUNCTION("""COMPUTED_VALUE"""),"Source code")</f>
        <v>Source code</v>
      </c>
      <c r="H666" s="131">
        <f>IFERROR(__xludf.DUMMYFUNCTION("""COMPUTED_VALUE"""),21555.0)</f>
        <v>21555</v>
      </c>
      <c r="I666" s="144"/>
      <c r="J666" s="129">
        <f>IFERROR(__xludf.DUMMYFUNCTION("""COMPUTED_VALUE"""),44421.0)</f>
        <v>44421</v>
      </c>
      <c r="K666" s="133">
        <f>IFERROR(__xludf.DUMMYFUNCTION("""COMPUTED_VALUE"""),63.0)</f>
        <v>63</v>
      </c>
      <c r="L666" s="133">
        <f>IFERROR(__xludf.DUMMYFUNCTION("""COMPUTED_VALUE"""),7.0)</f>
        <v>7</v>
      </c>
      <c r="M666" s="133">
        <f>IFERROR(__xludf.DUMMYFUNCTION("""COMPUTED_VALUE"""),70.0)</f>
        <v>70</v>
      </c>
      <c r="N666" s="152" t="str">
        <f>IFERROR(__xludf.DUMMYFUNCTION("""COMPUTED_VALUE"""),"Model 3 SR+")</f>
        <v>Model 3 SR+</v>
      </c>
      <c r="O666" s="152" t="str">
        <f>IFERROR(__xludf.DUMMYFUNCTION("""COMPUTED_VALUE"""),"Red Multi-Coat")</f>
        <v>Red Multi-Coat</v>
      </c>
      <c r="P666" s="153" t="str">
        <f>IFERROR(__xludf.DUMMYFUNCTION("""COMPUTED_VALUE"""),"18 inch")</f>
        <v>18 inch</v>
      </c>
      <c r="Q666" s="152" t="str">
        <f>IFERROR(__xludf.DUMMYFUNCTION("""COMPUTED_VALUE"""),"All Black")</f>
        <v>All Black</v>
      </c>
      <c r="R666" s="149" t="str">
        <f>IFERROR(__xludf.DUMMYFUNCTION("""COMPUTED_VALUE"""),"Autopilot included")</f>
        <v>Autopilot included</v>
      </c>
      <c r="S666" s="149" t="str">
        <f>IFERROR(__xludf.DUMMYFUNCTION("""COMPUTED_VALUE"""),"Cash")</f>
        <v>Cash</v>
      </c>
      <c r="T666" s="145" t="str">
        <f>IFERROR(__xludf.DUMMYFUNCTION("""COMPUTED_VALUE"""),"Lexus ES350")</f>
        <v>Lexus ES350</v>
      </c>
      <c r="U666" s="145" t="str">
        <f>IFERROR(__xludf.DUMMYFUNCTION("""COMPUTED_VALUE"""),"Electric!")</f>
        <v>Electric!</v>
      </c>
      <c r="V666" s="145" t="str">
        <f>IFERROR(__xludf.DUMMYFUNCTION("""COMPUTED_VALUE"""),"360° Bird's eye view")</f>
        <v>360° Bird's eye view</v>
      </c>
      <c r="W666" s="145"/>
      <c r="X666" s="137" t="str">
        <f>IFERROR(__xludf.DUMMYFUNCTION("""COMPUTED_VALUE"""),"Good")</f>
        <v>Good</v>
      </c>
      <c r="Y666" s="138" t="str">
        <f>IFERROR(__xludf.DUMMYFUNCTION("""COMPUTED_VALUE"""),"Excellent")</f>
        <v>Excellent</v>
      </c>
      <c r="Z666" s="138" t="str">
        <f>IFERROR(__xludf.DUMMYFUNCTION("""COMPUTED_VALUE"""),"Very Good")</f>
        <v>Very Good</v>
      </c>
      <c r="AA666" s="138" t="str">
        <f>IFERROR(__xludf.DUMMYFUNCTION("""COMPUTED_VALUE"""),"Good")</f>
        <v>Good</v>
      </c>
      <c r="AB666" s="138" t="str">
        <f>IFERROR(__xludf.DUMMYFUNCTION("""COMPUTED_VALUE"""),"Very Good")</f>
        <v>Very Good</v>
      </c>
      <c r="AC666" s="139">
        <f>IFERROR(__xludf.DUMMYFUNCTION("""COMPUTED_VALUE"""),3.0)</f>
        <v>3</v>
      </c>
      <c r="AD666" s="139"/>
      <c r="AE666" s="139"/>
      <c r="AF666" s="140" t="str">
        <f>IFERROR(__xludf.DUMMYFUNCTION("""COMPUTED_VALUE"""),"No. I took delivery of the first car Tesla was able to deliver.")</f>
        <v>No. I took delivery of the first car Tesla was able to deliver.</v>
      </c>
      <c r="AG666" s="145"/>
      <c r="AH666" s="157">
        <f>IFERROR(__xludf.DUMMYFUNCTION("""COMPUTED_VALUE"""),44421.74280547454)</f>
        <v>44421.74281</v>
      </c>
      <c r="AI666" s="138"/>
      <c r="AJ666" s="138"/>
      <c r="AK666" s="138"/>
      <c r="AL666" s="142"/>
    </row>
    <row r="667" ht="20.25" customHeight="1">
      <c r="A667" s="155" t="str">
        <f>IFERROR(__xludf.DUMMYFUNCTION("""COMPUTED_VALUE"""),"stillwaiting")</f>
        <v>stillwaiting</v>
      </c>
      <c r="B667" s="149" t="str">
        <f>IFERROR(__xludf.DUMMYFUNCTION("""COMPUTED_VALUE"""),"Toronto")</f>
        <v>Toronto</v>
      </c>
      <c r="C667" s="149" t="str">
        <f>IFERROR(__xludf.DUMMYFUNCTION("""COMPUTED_VALUE"""),"ON")</f>
        <v>ON</v>
      </c>
      <c r="D667" s="149" t="str">
        <f>IFERROR(__xludf.DUMMYFUNCTION("""COMPUTED_VALUE"""),"Canada")</f>
        <v>Canada</v>
      </c>
      <c r="E667" s="156">
        <f>IFERROR(__xludf.DUMMYFUNCTION("""COMPUTED_VALUE"""),44351.0)</f>
        <v>44351</v>
      </c>
      <c r="F667" s="129">
        <f>IFERROR(__xludf.DUMMYFUNCTION("""COMPUTED_VALUE"""),44407.0)</f>
        <v>44407</v>
      </c>
      <c r="G667" s="154" t="str">
        <f>IFERROR(__xludf.DUMMYFUNCTION("""COMPUTED_VALUE"""),"Manage order page (normal text)")</f>
        <v>Manage order page (normal text)</v>
      </c>
      <c r="H667" s="131"/>
      <c r="I667" s="144"/>
      <c r="J667" s="129">
        <f>IFERROR(__xludf.DUMMYFUNCTION("""COMPUTED_VALUE"""),44419.0)</f>
        <v>44419</v>
      </c>
      <c r="K667" s="133">
        <f>IFERROR(__xludf.DUMMYFUNCTION("""COMPUTED_VALUE"""),56.0)</f>
        <v>56</v>
      </c>
      <c r="L667" s="133">
        <f>IFERROR(__xludf.DUMMYFUNCTION("""COMPUTED_VALUE"""),12.0)</f>
        <v>12</v>
      </c>
      <c r="M667" s="133">
        <f>IFERROR(__xludf.DUMMYFUNCTION("""COMPUTED_VALUE"""),68.0)</f>
        <v>68</v>
      </c>
      <c r="N667" s="152" t="str">
        <f>IFERROR(__xludf.DUMMYFUNCTION("""COMPUTED_VALUE"""),"Model 3 SR+")</f>
        <v>Model 3 SR+</v>
      </c>
      <c r="O667" s="152" t="str">
        <f>IFERROR(__xludf.DUMMYFUNCTION("""COMPUTED_VALUE"""),"Pearl White Multi-Coat")</f>
        <v>Pearl White Multi-Coat</v>
      </c>
      <c r="P667" s="153" t="str">
        <f>IFERROR(__xludf.DUMMYFUNCTION("""COMPUTED_VALUE"""),"18 inch")</f>
        <v>18 inch</v>
      </c>
      <c r="Q667" s="152" t="str">
        <f>IFERROR(__xludf.DUMMYFUNCTION("""COMPUTED_VALUE"""),"All Black")</f>
        <v>All Black</v>
      </c>
      <c r="R667" s="149" t="str">
        <f>IFERROR(__xludf.DUMMYFUNCTION("""COMPUTED_VALUE"""),"Autopilot included")</f>
        <v>Autopilot included</v>
      </c>
      <c r="S667" s="149" t="str">
        <f>IFERROR(__xludf.DUMMYFUNCTION("""COMPUTED_VALUE"""),"Loan")</f>
        <v>Loan</v>
      </c>
      <c r="T667" s="145" t="str">
        <f>IFERROR(__xludf.DUMMYFUNCTION("""COMPUTED_VALUE"""),"Model 3 will be my first car!")</f>
        <v>Model 3 will be my first car!</v>
      </c>
      <c r="U667" s="145" t="str">
        <f>IFERROR(__xludf.DUMMYFUNCTION("""COMPUTED_VALUE"""),"Electric!")</f>
        <v>Electric!</v>
      </c>
      <c r="V667" s="145"/>
      <c r="W667" s="145"/>
      <c r="X667" s="137"/>
      <c r="Y667" s="138"/>
      <c r="Z667" s="138"/>
      <c r="AA667" s="138"/>
      <c r="AB667" s="138"/>
      <c r="AC667" s="139"/>
      <c r="AD667" s="139"/>
      <c r="AE667" s="139"/>
      <c r="AF667" s="140"/>
      <c r="AG667" s="145"/>
      <c r="AH667" s="157">
        <f>IFERROR(__xludf.DUMMYFUNCTION("""COMPUTED_VALUE"""),44408.48103350694)</f>
        <v>44408.48103</v>
      </c>
      <c r="AI667" s="138"/>
      <c r="AJ667" s="138"/>
      <c r="AK667" s="138"/>
      <c r="AL667" s="142"/>
    </row>
    <row r="668" ht="20.25" customHeight="1">
      <c r="A668" s="155" t="str">
        <f>IFERROR(__xludf.DUMMYFUNCTION("""COMPUTED_VALUE"""),"averagegatsby")</f>
        <v>averagegatsby</v>
      </c>
      <c r="B668" s="149" t="str">
        <f>IFERROR(__xludf.DUMMYFUNCTION("""COMPUTED_VALUE"""),"Vaughan")</f>
        <v>Vaughan</v>
      </c>
      <c r="C668" s="149" t="str">
        <f>IFERROR(__xludf.DUMMYFUNCTION("""COMPUTED_VALUE"""),"ON")</f>
        <v>ON</v>
      </c>
      <c r="D668" s="149" t="str">
        <f>IFERROR(__xludf.DUMMYFUNCTION("""COMPUTED_VALUE"""),"Canada")</f>
        <v>Canada</v>
      </c>
      <c r="E668" s="156">
        <f>IFERROR(__xludf.DUMMYFUNCTION("""COMPUTED_VALUE"""),44350.0)</f>
        <v>44350</v>
      </c>
      <c r="F668" s="129">
        <f>IFERROR(__xludf.DUMMYFUNCTION("""COMPUTED_VALUE"""),44411.0)</f>
        <v>44411</v>
      </c>
      <c r="G668" s="154" t="str">
        <f>IFERROR(__xludf.DUMMYFUNCTION("""COMPUTED_VALUE"""),"Source code")</f>
        <v>Source code</v>
      </c>
      <c r="H668" s="131">
        <f>IFERROR(__xludf.DUMMYFUNCTION("""COMPUTED_VALUE"""),30855.0)</f>
        <v>30855</v>
      </c>
      <c r="I668" s="144" t="str">
        <f>IFERROR(__xludf.DUMMYFUNCTION("""COMPUTED_VALUE"""),"08/21")</f>
        <v>08/21</v>
      </c>
      <c r="J668" s="129">
        <f>IFERROR(__xludf.DUMMYFUNCTION("""COMPUTED_VALUE"""),44426.0)</f>
        <v>44426</v>
      </c>
      <c r="K668" s="133">
        <f>IFERROR(__xludf.DUMMYFUNCTION("""COMPUTED_VALUE"""),61.0)</f>
        <v>61</v>
      </c>
      <c r="L668" s="133">
        <f>IFERROR(__xludf.DUMMYFUNCTION("""COMPUTED_VALUE"""),15.0)</f>
        <v>15</v>
      </c>
      <c r="M668" s="133">
        <f>IFERROR(__xludf.DUMMYFUNCTION("""COMPUTED_VALUE"""),76.0)</f>
        <v>76</v>
      </c>
      <c r="N668" s="152" t="str">
        <f>IFERROR(__xludf.DUMMYFUNCTION("""COMPUTED_VALUE"""),"Model 3 SR+")</f>
        <v>Model 3 SR+</v>
      </c>
      <c r="O668" s="152" t="str">
        <f>IFERROR(__xludf.DUMMYFUNCTION("""COMPUTED_VALUE"""),"Solid Black")</f>
        <v>Solid Black</v>
      </c>
      <c r="P668" s="153" t="str">
        <f>IFERROR(__xludf.DUMMYFUNCTION("""COMPUTED_VALUE"""),"18 inch")</f>
        <v>18 inch</v>
      </c>
      <c r="Q668" s="152" t="str">
        <f>IFERROR(__xludf.DUMMYFUNCTION("""COMPUTED_VALUE"""),"All Black")</f>
        <v>All Black</v>
      </c>
      <c r="R668" s="149" t="str">
        <f>IFERROR(__xludf.DUMMYFUNCTION("""COMPUTED_VALUE"""),"Autopilot included")</f>
        <v>Autopilot included</v>
      </c>
      <c r="S668" s="149" t="str">
        <f>IFERROR(__xludf.DUMMYFUNCTION("""COMPUTED_VALUE"""),"Loan")</f>
        <v>Loan</v>
      </c>
      <c r="T668" s="145" t="str">
        <f>IFERROR(__xludf.DUMMYFUNCTION("""COMPUTED_VALUE"""),"Mercedes C 300 4Matic Sedan")</f>
        <v>Mercedes C 300 4Matic Sedan</v>
      </c>
      <c r="U668" s="145" t="str">
        <f>IFERROR(__xludf.DUMMYFUNCTION("""COMPUTED_VALUE"""),"Electric!")</f>
        <v>Electric!</v>
      </c>
      <c r="V668" s="145" t="str">
        <f>IFERROR(__xludf.DUMMYFUNCTION("""COMPUTED_VALUE"""),"Apple CarPlay / Android Auto / SiriusXM Radio")</f>
        <v>Apple CarPlay / Android Auto / SiriusXM Radio</v>
      </c>
      <c r="W668" s="145" t="str">
        <f>IFERROR(__xludf.DUMMYFUNCTION("""COMPUTED_VALUE"""),"Establish contact with a local sales advisor, use them as your main point of contact. YOUR ORIGINAL EDD IS THE MOST ACCURATE. DO NOT LOOK AT IT AGAIN.")</f>
        <v>Establish contact with a local sales advisor, use them as your main point of contact. YOUR ORIGINAL EDD IS THE MOST ACCURATE. DO NOT LOOK AT IT AGAIN.</v>
      </c>
      <c r="X668" s="137" t="str">
        <f>IFERROR(__xludf.DUMMYFUNCTION("""COMPUTED_VALUE"""),"Excellent")</f>
        <v>Excellent</v>
      </c>
      <c r="Y668" s="138" t="str">
        <f>IFERROR(__xludf.DUMMYFUNCTION("""COMPUTED_VALUE"""),"Fair")</f>
        <v>Fair</v>
      </c>
      <c r="Z668" s="138" t="str">
        <f>IFERROR(__xludf.DUMMYFUNCTION("""COMPUTED_VALUE"""),"Very Good")</f>
        <v>Very Good</v>
      </c>
      <c r="AA668" s="138" t="str">
        <f>IFERROR(__xludf.DUMMYFUNCTION("""COMPUTED_VALUE"""),"Excellent")</f>
        <v>Excellent</v>
      </c>
      <c r="AB668" s="138" t="str">
        <f>IFERROR(__xludf.DUMMYFUNCTION("""COMPUTED_VALUE"""),"Very Good")</f>
        <v>Very Good</v>
      </c>
      <c r="AC668" s="139">
        <f>IFERROR(__xludf.DUMMYFUNCTION("""COMPUTED_VALUE"""),2.0)</f>
        <v>2</v>
      </c>
      <c r="AD668" s="139">
        <f>IFERROR(__xludf.DUMMYFUNCTION("""COMPUTED_VALUE"""),1.0)</f>
        <v>1</v>
      </c>
      <c r="AE668" s="139">
        <f>IFERROR(__xludf.DUMMYFUNCTION("""COMPUTED_VALUE"""),0.0)</f>
        <v>0</v>
      </c>
      <c r="AF668" s="140" t="str">
        <f>IFERROR(__xludf.DUMMYFUNCTION("""COMPUTED_VALUE"""),"No. I took delivery of the first car Tesla was able to deliver.")</f>
        <v>No. I took delivery of the first car Tesla was able to deliver.</v>
      </c>
      <c r="AG668" s="145" t="str">
        <f>IFERROR(__xludf.DUMMYFUNCTION("""COMPUTED_VALUE"""),"I'M SERIOUS. STOP CHECKING EDD. ")</f>
        <v>I'M SERIOUS. STOP CHECKING EDD. </v>
      </c>
      <c r="AH668" s="157">
        <f>IFERROR(__xludf.DUMMYFUNCTION("""COMPUTED_VALUE"""),44426.88435648148)</f>
        <v>44426.88436</v>
      </c>
      <c r="AI668" s="138"/>
      <c r="AJ668" s="138"/>
      <c r="AK668" s="138"/>
      <c r="AL668" s="142"/>
    </row>
    <row r="669" ht="20.25" customHeight="1">
      <c r="A669" s="155" t="str">
        <f>IFERROR(__xludf.DUMMYFUNCTION("""COMPUTED_VALUE"""),"CoolSaison")</f>
        <v>CoolSaison</v>
      </c>
      <c r="B669" s="149" t="str">
        <f>IFERROR(__xludf.DUMMYFUNCTION("""COMPUTED_VALUE"""),"Richmond")</f>
        <v>Richmond</v>
      </c>
      <c r="C669" s="149" t="str">
        <f>IFERROR(__xludf.DUMMYFUNCTION("""COMPUTED_VALUE"""),"VA")</f>
        <v>VA</v>
      </c>
      <c r="D669" s="149" t="str">
        <f>IFERROR(__xludf.DUMMYFUNCTION("""COMPUTED_VALUE"""),"USA")</f>
        <v>USA</v>
      </c>
      <c r="E669" s="156">
        <f>IFERROR(__xludf.DUMMYFUNCTION("""COMPUTED_VALUE"""),44350.0)</f>
        <v>44350</v>
      </c>
      <c r="F669" s="129">
        <f>IFERROR(__xludf.DUMMYFUNCTION("""COMPUTED_VALUE"""),44391.0)</f>
        <v>44391</v>
      </c>
      <c r="G669" s="154" t="str">
        <f>IFERROR(__xludf.DUMMYFUNCTION("""COMPUTED_VALUE"""),"Email")</f>
        <v>Email</v>
      </c>
      <c r="H669" s="131"/>
      <c r="I669" s="144"/>
      <c r="J669" s="129">
        <f>IFERROR(__xludf.DUMMYFUNCTION("""COMPUTED_VALUE"""),44402.0)</f>
        <v>44402</v>
      </c>
      <c r="K669" s="133">
        <f>IFERROR(__xludf.DUMMYFUNCTION("""COMPUTED_VALUE"""),41.0)</f>
        <v>41</v>
      </c>
      <c r="L669" s="133">
        <f>IFERROR(__xludf.DUMMYFUNCTION("""COMPUTED_VALUE"""),11.0)</f>
        <v>11</v>
      </c>
      <c r="M669" s="133">
        <f>IFERROR(__xludf.DUMMYFUNCTION("""COMPUTED_VALUE"""),52.0)</f>
        <v>52</v>
      </c>
      <c r="N669" s="152" t="str">
        <f>IFERROR(__xludf.DUMMYFUNCTION("""COMPUTED_VALUE"""),"Model 3 LR AWD")</f>
        <v>Model 3 LR AWD</v>
      </c>
      <c r="O669" s="152" t="str">
        <f>IFERROR(__xludf.DUMMYFUNCTION("""COMPUTED_VALUE"""),"Midnight Silver Metallic")</f>
        <v>Midnight Silver Metallic</v>
      </c>
      <c r="P669" s="153" t="str">
        <f>IFERROR(__xludf.DUMMYFUNCTION("""COMPUTED_VALUE"""),"18 inch")</f>
        <v>18 inch</v>
      </c>
      <c r="Q669" s="152" t="str">
        <f>IFERROR(__xludf.DUMMYFUNCTION("""COMPUTED_VALUE"""),"All Black")</f>
        <v>All Black</v>
      </c>
      <c r="R669" s="149" t="str">
        <f>IFERROR(__xludf.DUMMYFUNCTION("""COMPUTED_VALUE"""),"Autopilot included")</f>
        <v>Autopilot included</v>
      </c>
      <c r="S669" s="149"/>
      <c r="T669" s="145" t="str">
        <f>IFERROR(__xludf.DUMMYFUNCTION("""COMPUTED_VALUE"""),"Lexus IS")</f>
        <v>Lexus IS</v>
      </c>
      <c r="U669" s="145" t="str">
        <f>IFERROR(__xludf.DUMMYFUNCTION("""COMPUTED_VALUE"""),"Electric!")</f>
        <v>Electric!</v>
      </c>
      <c r="V669" s="145" t="str">
        <f>IFERROR(__xludf.DUMMYFUNCTION("""COMPUTED_VALUE"""),"Ventilated seats")</f>
        <v>Ventilated seats</v>
      </c>
      <c r="W669" s="145"/>
      <c r="X669" s="137"/>
      <c r="Y669" s="138"/>
      <c r="Z669" s="138"/>
      <c r="AA669" s="138"/>
      <c r="AB669" s="138"/>
      <c r="AC669" s="139"/>
      <c r="AD669" s="139"/>
      <c r="AE669" s="139"/>
      <c r="AF669" s="140"/>
      <c r="AG669" s="145"/>
      <c r="AH669" s="157">
        <f>IFERROR(__xludf.DUMMYFUNCTION("""COMPUTED_VALUE"""),44396.74390108796)</f>
        <v>44396.7439</v>
      </c>
      <c r="AI669" s="138"/>
      <c r="AJ669" s="138"/>
      <c r="AK669" s="138"/>
      <c r="AL669" s="142"/>
    </row>
    <row r="670" ht="20.25" customHeight="1">
      <c r="A670" s="155" t="str">
        <f>IFERROR(__xludf.DUMMYFUNCTION("""COMPUTED_VALUE"""),"Frostman007")</f>
        <v>Frostman007</v>
      </c>
      <c r="B670" s="149" t="str">
        <f>IFERROR(__xludf.DUMMYFUNCTION("""COMPUTED_VALUE"""),"Bay Area")</f>
        <v>Bay Area</v>
      </c>
      <c r="C670" s="149" t="str">
        <f>IFERROR(__xludf.DUMMYFUNCTION("""COMPUTED_VALUE"""),"CA")</f>
        <v>CA</v>
      </c>
      <c r="D670" s="149" t="str">
        <f>IFERROR(__xludf.DUMMYFUNCTION("""COMPUTED_VALUE"""),"USA")</f>
        <v>USA</v>
      </c>
      <c r="E670" s="156">
        <f>IFERROR(__xludf.DUMMYFUNCTION("""COMPUTED_VALUE"""),44350.0)</f>
        <v>44350</v>
      </c>
      <c r="F670" s="129">
        <f>IFERROR(__xludf.DUMMYFUNCTION("""COMPUTED_VALUE"""),44430.0)</f>
        <v>44430</v>
      </c>
      <c r="G670" s="154" t="str">
        <f>IFERROR(__xludf.DUMMYFUNCTION("""COMPUTED_VALUE"""),"Email")</f>
        <v>Email</v>
      </c>
      <c r="H670" s="131"/>
      <c r="I670" s="144"/>
      <c r="J670" s="129">
        <f>IFERROR(__xludf.DUMMYFUNCTION("""COMPUTED_VALUE"""),44434.0)</f>
        <v>44434</v>
      </c>
      <c r="K670" s="133">
        <f>IFERROR(__xludf.DUMMYFUNCTION("""COMPUTED_VALUE"""),80.0)</f>
        <v>80</v>
      </c>
      <c r="L670" s="133">
        <f>IFERROR(__xludf.DUMMYFUNCTION("""COMPUTED_VALUE"""),4.0)</f>
        <v>4</v>
      </c>
      <c r="M670" s="133">
        <f>IFERROR(__xludf.DUMMYFUNCTION("""COMPUTED_VALUE"""),84.0)</f>
        <v>84</v>
      </c>
      <c r="N670" s="152" t="str">
        <f>IFERROR(__xludf.DUMMYFUNCTION("""COMPUTED_VALUE"""),"Model 3 SR+")</f>
        <v>Model 3 SR+</v>
      </c>
      <c r="O670" s="152" t="str">
        <f>IFERROR(__xludf.DUMMYFUNCTION("""COMPUTED_VALUE"""),"Deep Blue Metallic")</f>
        <v>Deep Blue Metallic</v>
      </c>
      <c r="P670" s="153" t="str">
        <f>IFERROR(__xludf.DUMMYFUNCTION("""COMPUTED_VALUE"""),"18 inch")</f>
        <v>18 inch</v>
      </c>
      <c r="Q670" s="152" t="str">
        <f>IFERROR(__xludf.DUMMYFUNCTION("""COMPUTED_VALUE"""),"All Black")</f>
        <v>All Black</v>
      </c>
      <c r="R670" s="149" t="str">
        <f>IFERROR(__xludf.DUMMYFUNCTION("""COMPUTED_VALUE"""),"Autopilot included")</f>
        <v>Autopilot included</v>
      </c>
      <c r="S670" s="149" t="str">
        <f>IFERROR(__xludf.DUMMYFUNCTION("""COMPUTED_VALUE"""),"Loan")</f>
        <v>Loan</v>
      </c>
      <c r="T670" s="145" t="str">
        <f>IFERROR(__xludf.DUMMYFUNCTION("""COMPUTED_VALUE"""),"Nissan Maxima")</f>
        <v>Nissan Maxima</v>
      </c>
      <c r="U670" s="145" t="str">
        <f>IFERROR(__xludf.DUMMYFUNCTION("""COMPUTED_VALUE"""),"Electric!")</f>
        <v>Electric!</v>
      </c>
      <c r="V670" s="145" t="str">
        <f>IFERROR(__xludf.DUMMYFUNCTION("""COMPUTED_VALUE"""),"Blind spot indicators on side mirrors")</f>
        <v>Blind spot indicators on side mirrors</v>
      </c>
      <c r="W670" s="145"/>
      <c r="X670" s="137"/>
      <c r="Y670" s="138"/>
      <c r="Z670" s="138"/>
      <c r="AA670" s="138"/>
      <c r="AB670" s="138"/>
      <c r="AC670" s="139"/>
      <c r="AD670" s="139"/>
      <c r="AE670" s="139"/>
      <c r="AF670" s="140"/>
      <c r="AG670" s="145"/>
      <c r="AH670" s="157">
        <f>IFERROR(__xludf.DUMMYFUNCTION("""COMPUTED_VALUE"""),44430.882155162035)</f>
        <v>44430.88216</v>
      </c>
      <c r="AI670" s="138"/>
      <c r="AJ670" s="138"/>
      <c r="AK670" s="138"/>
      <c r="AL670" s="142"/>
    </row>
    <row r="671" ht="20.25" customHeight="1">
      <c r="A671" s="155" t="str">
        <f>IFERROR(__xludf.DUMMYFUNCTION("""COMPUTED_VALUE"""),"JH")</f>
        <v>JH</v>
      </c>
      <c r="B671" s="149" t="str">
        <f>IFERROR(__xludf.DUMMYFUNCTION("""COMPUTED_VALUE"""),"Houston")</f>
        <v>Houston</v>
      </c>
      <c r="C671" s="149" t="str">
        <f>IFERROR(__xludf.DUMMYFUNCTION("""COMPUTED_VALUE"""),"TX")</f>
        <v>TX</v>
      </c>
      <c r="D671" s="149" t="str">
        <f>IFERROR(__xludf.DUMMYFUNCTION("""COMPUTED_VALUE"""),"USA")</f>
        <v>USA</v>
      </c>
      <c r="E671" s="156">
        <f>IFERROR(__xludf.DUMMYFUNCTION("""COMPUTED_VALUE"""),44350.0)</f>
        <v>44350</v>
      </c>
      <c r="F671" s="129">
        <f>IFERROR(__xludf.DUMMYFUNCTION("""COMPUTED_VALUE"""),44391.0)</f>
        <v>44391</v>
      </c>
      <c r="G671" s="154" t="str">
        <f>IFERROR(__xludf.DUMMYFUNCTION("""COMPUTED_VALUE"""),"Manage order page (normal text)")</f>
        <v>Manage order page (normal text)</v>
      </c>
      <c r="H671" s="131"/>
      <c r="I671" s="144"/>
      <c r="J671" s="129">
        <f>IFERROR(__xludf.DUMMYFUNCTION("""COMPUTED_VALUE"""),44402.0)</f>
        <v>44402</v>
      </c>
      <c r="K671" s="133">
        <f>IFERROR(__xludf.DUMMYFUNCTION("""COMPUTED_VALUE"""),41.0)</f>
        <v>41</v>
      </c>
      <c r="L671" s="133">
        <f>IFERROR(__xludf.DUMMYFUNCTION("""COMPUTED_VALUE"""),11.0)</f>
        <v>11</v>
      </c>
      <c r="M671" s="133">
        <f>IFERROR(__xludf.DUMMYFUNCTION("""COMPUTED_VALUE"""),52.0)</f>
        <v>52</v>
      </c>
      <c r="N671" s="152" t="str">
        <f>IFERROR(__xludf.DUMMYFUNCTION("""COMPUTED_VALUE"""),"Model 3 LR AWD")</f>
        <v>Model 3 LR AWD</v>
      </c>
      <c r="O671" s="152" t="str">
        <f>IFERROR(__xludf.DUMMYFUNCTION("""COMPUTED_VALUE"""),"Deep Blue Metallic")</f>
        <v>Deep Blue Metallic</v>
      </c>
      <c r="P671" s="153" t="str">
        <f>IFERROR(__xludf.DUMMYFUNCTION("""COMPUTED_VALUE"""),"18 inch")</f>
        <v>18 inch</v>
      </c>
      <c r="Q671" s="152" t="str">
        <f>IFERROR(__xludf.DUMMYFUNCTION("""COMPUTED_VALUE"""),"Black and White")</f>
        <v>Black and White</v>
      </c>
      <c r="R671" s="149" t="str">
        <f>IFERROR(__xludf.DUMMYFUNCTION("""COMPUTED_VALUE"""),"Autopilot included")</f>
        <v>Autopilot included</v>
      </c>
      <c r="S671" s="149" t="str">
        <f>IFERROR(__xludf.DUMMYFUNCTION("""COMPUTED_VALUE"""),"Loan")</f>
        <v>Loan</v>
      </c>
      <c r="T671" s="145" t="str">
        <f>IFERROR(__xludf.DUMMYFUNCTION("""COMPUTED_VALUE"""),"Ford Focus")</f>
        <v>Ford Focus</v>
      </c>
      <c r="U671" s="145" t="str">
        <f>IFERROR(__xludf.DUMMYFUNCTION("""COMPUTED_VALUE"""),"Electric!")</f>
        <v>Electric!</v>
      </c>
      <c r="V671" s="145"/>
      <c r="W671" s="145"/>
      <c r="X671" s="137"/>
      <c r="Y671" s="138"/>
      <c r="Z671" s="138"/>
      <c r="AA671" s="138"/>
      <c r="AB671" s="138"/>
      <c r="AC671" s="139"/>
      <c r="AD671" s="139"/>
      <c r="AE671" s="139"/>
      <c r="AF671" s="140"/>
      <c r="AG671" s="145"/>
      <c r="AH671" s="157">
        <f>IFERROR(__xludf.DUMMYFUNCTION("""COMPUTED_VALUE"""),44394.01974628473)</f>
        <v>44394.01975</v>
      </c>
      <c r="AI671" s="138"/>
      <c r="AJ671" s="138"/>
      <c r="AK671" s="138"/>
      <c r="AL671" s="142"/>
    </row>
    <row r="672" ht="20.25" customHeight="1">
      <c r="A672" s="155" t="str">
        <f>IFERROR(__xludf.DUMMYFUNCTION("""COMPUTED_VALUE"""),"JMonde")</f>
        <v>JMonde</v>
      </c>
      <c r="B672" s="149" t="str">
        <f>IFERROR(__xludf.DUMMYFUNCTION("""COMPUTED_VALUE"""),"Palm Coast")</f>
        <v>Palm Coast</v>
      </c>
      <c r="C672" s="149" t="str">
        <f>IFERROR(__xludf.DUMMYFUNCTION("""COMPUTED_VALUE"""),"FL")</f>
        <v>FL</v>
      </c>
      <c r="D672" s="149" t="str">
        <f>IFERROR(__xludf.DUMMYFUNCTION("""COMPUTED_VALUE"""),"USA")</f>
        <v>USA</v>
      </c>
      <c r="E672" s="156">
        <f>IFERROR(__xludf.DUMMYFUNCTION("""COMPUTED_VALUE"""),44350.0)</f>
        <v>44350</v>
      </c>
      <c r="F672" s="129">
        <f>IFERROR(__xludf.DUMMYFUNCTION("""COMPUTED_VALUE"""),44393.0)</f>
        <v>44393</v>
      </c>
      <c r="G672" s="154" t="str">
        <f>IFERROR(__xludf.DUMMYFUNCTION("""COMPUTED_VALUE"""),"Manage order page (normal text)")</f>
        <v>Manage order page (normal text)</v>
      </c>
      <c r="H672" s="131">
        <f>IFERROR(__xludf.DUMMYFUNCTION("""COMPUTED_VALUE"""),19655.0)</f>
        <v>19655</v>
      </c>
      <c r="I672" s="144"/>
      <c r="J672" s="129">
        <f>IFERROR(__xludf.DUMMYFUNCTION("""COMPUTED_VALUE"""),44412.0)</f>
        <v>44412</v>
      </c>
      <c r="K672" s="133">
        <f>IFERROR(__xludf.DUMMYFUNCTION("""COMPUTED_VALUE"""),43.0)</f>
        <v>43</v>
      </c>
      <c r="L672" s="133">
        <f>IFERROR(__xludf.DUMMYFUNCTION("""COMPUTED_VALUE"""),19.0)</f>
        <v>19</v>
      </c>
      <c r="M672" s="133">
        <f>IFERROR(__xludf.DUMMYFUNCTION("""COMPUTED_VALUE"""),62.0)</f>
        <v>62</v>
      </c>
      <c r="N672" s="152" t="str">
        <f>IFERROR(__xludf.DUMMYFUNCTION("""COMPUTED_VALUE"""),"Model 3 LR AWD")</f>
        <v>Model 3 LR AWD</v>
      </c>
      <c r="O672" s="152" t="str">
        <f>IFERROR(__xludf.DUMMYFUNCTION("""COMPUTED_VALUE"""),"Pearl White Multi-Coat")</f>
        <v>Pearl White Multi-Coat</v>
      </c>
      <c r="P672" s="153" t="str">
        <f>IFERROR(__xludf.DUMMYFUNCTION("""COMPUTED_VALUE"""),"18 inch")</f>
        <v>18 inch</v>
      </c>
      <c r="Q672" s="152" t="str">
        <f>IFERROR(__xludf.DUMMYFUNCTION("""COMPUTED_VALUE"""),"All Black")</f>
        <v>All Black</v>
      </c>
      <c r="R672" s="149" t="str">
        <f>IFERROR(__xludf.DUMMYFUNCTION("""COMPUTED_VALUE"""),"Full Self-Driving")</f>
        <v>Full Self-Driving</v>
      </c>
      <c r="S672" s="149" t="str">
        <f>IFERROR(__xludf.DUMMYFUNCTION("""COMPUTED_VALUE"""),"Cash")</f>
        <v>Cash</v>
      </c>
      <c r="T672" s="145" t="str">
        <f>IFERROR(__xludf.DUMMYFUNCTION("""COMPUTED_VALUE"""),"Lexus IS250")</f>
        <v>Lexus IS250</v>
      </c>
      <c r="U672" s="145" t="str">
        <f>IFERROR(__xludf.DUMMYFUNCTION("""COMPUTED_VALUE"""),"Tesla brand image")</f>
        <v>Tesla brand image</v>
      </c>
      <c r="V672" s="145" t="str">
        <f>IFERROR(__xludf.DUMMYFUNCTION("""COMPUTED_VALUE"""),"Ventilated seats")</f>
        <v>Ventilated seats</v>
      </c>
      <c r="W672" s="145"/>
      <c r="X672" s="137"/>
      <c r="Y672" s="138"/>
      <c r="Z672" s="138"/>
      <c r="AA672" s="138"/>
      <c r="AB672" s="138"/>
      <c r="AC672" s="139"/>
      <c r="AD672" s="139"/>
      <c r="AE672" s="139"/>
      <c r="AF672" s="140"/>
      <c r="AG672" s="145"/>
      <c r="AH672" s="157">
        <f>IFERROR(__xludf.DUMMYFUNCTION("""COMPUTED_VALUE"""),44399.35122553241)</f>
        <v>44399.35123</v>
      </c>
      <c r="AI672" s="138"/>
      <c r="AJ672" s="138"/>
      <c r="AK672" s="138"/>
      <c r="AL672" s="142"/>
    </row>
    <row r="673" ht="20.25" customHeight="1">
      <c r="A673" s="155" t="str">
        <f>IFERROR(__xludf.DUMMYFUNCTION("""COMPUTED_VALUE"""),"MarK")</f>
        <v>MarK</v>
      </c>
      <c r="B673" s="149" t="str">
        <f>IFERROR(__xludf.DUMMYFUNCTION("""COMPUTED_VALUE"""),"Everett")</f>
        <v>Everett</v>
      </c>
      <c r="C673" s="149" t="str">
        <f>IFERROR(__xludf.DUMMYFUNCTION("""COMPUTED_VALUE"""),"WA")</f>
        <v>WA</v>
      </c>
      <c r="D673" s="149" t="str">
        <f>IFERROR(__xludf.DUMMYFUNCTION("""COMPUTED_VALUE"""),"USA")</f>
        <v>USA</v>
      </c>
      <c r="E673" s="156">
        <f>IFERROR(__xludf.DUMMYFUNCTION("""COMPUTED_VALUE"""),44350.0)</f>
        <v>44350</v>
      </c>
      <c r="F673" s="129">
        <f>IFERROR(__xludf.DUMMYFUNCTION("""COMPUTED_VALUE"""),44408.0)</f>
        <v>44408</v>
      </c>
      <c r="G673" s="154" t="str">
        <f>IFERROR(__xludf.DUMMYFUNCTION("""COMPUTED_VALUE"""),"Manage order page (normal text)")</f>
        <v>Manage order page (normal text)</v>
      </c>
      <c r="H673" s="131">
        <f>IFERROR(__xludf.DUMMYFUNCTION("""COMPUTED_VALUE"""),25155.0)</f>
        <v>25155</v>
      </c>
      <c r="I673" s="144"/>
      <c r="J673" s="129">
        <f>IFERROR(__xludf.DUMMYFUNCTION("""COMPUTED_VALUE"""),44413.0)</f>
        <v>44413</v>
      </c>
      <c r="K673" s="133">
        <f>IFERROR(__xludf.DUMMYFUNCTION("""COMPUTED_VALUE"""),58.0)</f>
        <v>58</v>
      </c>
      <c r="L673" s="133">
        <f>IFERROR(__xludf.DUMMYFUNCTION("""COMPUTED_VALUE"""),5.0)</f>
        <v>5</v>
      </c>
      <c r="M673" s="133">
        <f>IFERROR(__xludf.DUMMYFUNCTION("""COMPUTED_VALUE"""),63.0)</f>
        <v>63</v>
      </c>
      <c r="N673" s="152" t="str">
        <f>IFERROR(__xludf.DUMMYFUNCTION("""COMPUTED_VALUE"""),"Model 3 SR+")</f>
        <v>Model 3 SR+</v>
      </c>
      <c r="O673" s="152" t="str">
        <f>IFERROR(__xludf.DUMMYFUNCTION("""COMPUTED_VALUE"""),"Pearl White Multi-Coat")</f>
        <v>Pearl White Multi-Coat</v>
      </c>
      <c r="P673" s="153" t="str">
        <f>IFERROR(__xludf.DUMMYFUNCTION("""COMPUTED_VALUE"""),"18 inch")</f>
        <v>18 inch</v>
      </c>
      <c r="Q673" s="152" t="str">
        <f>IFERROR(__xludf.DUMMYFUNCTION("""COMPUTED_VALUE"""),"Black and White")</f>
        <v>Black and White</v>
      </c>
      <c r="R673" s="149" t="str">
        <f>IFERROR(__xludf.DUMMYFUNCTION("""COMPUTED_VALUE"""),"Autopilot included")</f>
        <v>Autopilot included</v>
      </c>
      <c r="S673" s="149" t="str">
        <f>IFERROR(__xludf.DUMMYFUNCTION("""COMPUTED_VALUE"""),"Loan")</f>
        <v>Loan</v>
      </c>
      <c r="T673" s="145" t="str">
        <f>IFERROR(__xludf.DUMMYFUNCTION("""COMPUTED_VALUE"""),"Toyota Sienna")</f>
        <v>Toyota Sienna</v>
      </c>
      <c r="U673" s="145"/>
      <c r="V673" s="145"/>
      <c r="W673" s="145"/>
      <c r="X673" s="137"/>
      <c r="Y673" s="138"/>
      <c r="Z673" s="138"/>
      <c r="AA673" s="138"/>
      <c r="AB673" s="138"/>
      <c r="AC673" s="139"/>
      <c r="AD673" s="139"/>
      <c r="AE673" s="139"/>
      <c r="AF673" s="140"/>
      <c r="AG673" s="145"/>
      <c r="AH673" s="157">
        <f>IFERROR(__xludf.DUMMYFUNCTION("""COMPUTED_VALUE"""),44410.587611759256)</f>
        <v>44410.58761</v>
      </c>
      <c r="AI673" s="138"/>
      <c r="AJ673" s="138"/>
      <c r="AK673" s="138"/>
      <c r="AL673" s="142"/>
    </row>
    <row r="674" ht="20.25" customHeight="1">
      <c r="A674" s="155" t="str">
        <f>IFERROR(__xludf.DUMMYFUNCTION("""COMPUTED_VALUE"""),"PaulMD")</f>
        <v>PaulMD</v>
      </c>
      <c r="B674" s="149" t="str">
        <f>IFERROR(__xludf.DUMMYFUNCTION("""COMPUTED_VALUE"""),"Manchester UK")</f>
        <v>Manchester UK</v>
      </c>
      <c r="C674" s="149"/>
      <c r="D674" s="149" t="str">
        <f>IFERROR(__xludf.DUMMYFUNCTION("""COMPUTED_VALUE"""),"United Kingdom")</f>
        <v>United Kingdom</v>
      </c>
      <c r="E674" s="156">
        <f>IFERROR(__xludf.DUMMYFUNCTION("""COMPUTED_VALUE"""),44350.0)</f>
        <v>44350</v>
      </c>
      <c r="F674" s="129"/>
      <c r="G674" s="154"/>
      <c r="H674" s="131"/>
      <c r="I674" s="144"/>
      <c r="J674" s="129">
        <f>IFERROR(__xludf.DUMMYFUNCTION("""COMPUTED_VALUE"""),44464.0)</f>
        <v>44464</v>
      </c>
      <c r="K674" s="133"/>
      <c r="L674" s="133"/>
      <c r="M674" s="133">
        <f>IFERROR(__xludf.DUMMYFUNCTION("""COMPUTED_VALUE"""),114.0)</f>
        <v>114</v>
      </c>
      <c r="N674" s="152" t="str">
        <f>IFERROR(__xludf.DUMMYFUNCTION("""COMPUTED_VALUE"""),"Model 3 LR AWD")</f>
        <v>Model 3 LR AWD</v>
      </c>
      <c r="O674" s="152" t="str">
        <f>IFERROR(__xludf.DUMMYFUNCTION("""COMPUTED_VALUE"""),"Deep Blue Metallic")</f>
        <v>Deep Blue Metallic</v>
      </c>
      <c r="P674" s="153" t="str">
        <f>IFERROR(__xludf.DUMMYFUNCTION("""COMPUTED_VALUE"""),"18 inch")</f>
        <v>18 inch</v>
      </c>
      <c r="Q674" s="152" t="str">
        <f>IFERROR(__xludf.DUMMYFUNCTION("""COMPUTED_VALUE"""),"All Black")</f>
        <v>All Black</v>
      </c>
      <c r="R674" s="149"/>
      <c r="S674" s="149" t="str">
        <f>IFERROR(__xludf.DUMMYFUNCTION("""COMPUTED_VALUE"""),"Lease")</f>
        <v>Lease</v>
      </c>
      <c r="T674" s="145" t="str">
        <f>IFERROR(__xludf.DUMMYFUNCTION("""COMPUTED_VALUE"""),"Model 3 will be my first car!")</f>
        <v>Model 3 will be my first car!</v>
      </c>
      <c r="U674" s="145" t="str">
        <f>IFERROR(__xludf.DUMMYFUNCTION("""COMPUTED_VALUE"""),"Electric!")</f>
        <v>Electric!</v>
      </c>
      <c r="V674" s="145" t="str">
        <f>IFERROR(__xludf.DUMMYFUNCTION("""COMPUTED_VALUE"""),"360° Bird's eye view")</f>
        <v>360° Bird's eye view</v>
      </c>
      <c r="W674" s="145"/>
      <c r="X674" s="137"/>
      <c r="Y674" s="138"/>
      <c r="Z674" s="138"/>
      <c r="AA674" s="138"/>
      <c r="AB674" s="138"/>
      <c r="AC674" s="139"/>
      <c r="AD674" s="139"/>
      <c r="AE674" s="139"/>
      <c r="AF674" s="140"/>
      <c r="AG674" s="145"/>
      <c r="AH674" s="157">
        <f>IFERROR(__xludf.DUMMYFUNCTION("""COMPUTED_VALUE"""),44432.352055613424)</f>
        <v>44432.35206</v>
      </c>
      <c r="AI674" s="138"/>
      <c r="AJ674" s="138"/>
      <c r="AK674" s="138"/>
      <c r="AL674" s="142"/>
    </row>
    <row r="675" ht="20.25" customHeight="1">
      <c r="A675" s="155" t="str">
        <f>IFERROR(__xludf.DUMMYFUNCTION("""COMPUTED_VALUE"""),"QtotheA0405")</f>
        <v>QtotheA0405</v>
      </c>
      <c r="B675" s="149" t="str">
        <f>IFERROR(__xludf.DUMMYFUNCTION("""COMPUTED_VALUE"""),"Los Angeles")</f>
        <v>Los Angeles</v>
      </c>
      <c r="C675" s="149" t="str">
        <f>IFERROR(__xludf.DUMMYFUNCTION("""COMPUTED_VALUE"""),"CA")</f>
        <v>CA</v>
      </c>
      <c r="D675" s="149" t="str">
        <f>IFERROR(__xludf.DUMMYFUNCTION("""COMPUTED_VALUE"""),"USA")</f>
        <v>USA</v>
      </c>
      <c r="E675" s="156">
        <f>IFERROR(__xludf.DUMMYFUNCTION("""COMPUTED_VALUE"""),44350.0)</f>
        <v>44350</v>
      </c>
      <c r="F675" s="129">
        <f>IFERROR(__xludf.DUMMYFUNCTION("""COMPUTED_VALUE"""),44407.0)</f>
        <v>44407</v>
      </c>
      <c r="G675" s="154" t="str">
        <f>IFERROR(__xludf.DUMMYFUNCTION("""COMPUTED_VALUE"""),"Text message")</f>
        <v>Text message</v>
      </c>
      <c r="H675" s="131">
        <f>IFERROR(__xludf.DUMMYFUNCTION("""COMPUTED_VALUE"""),22655.0)</f>
        <v>22655</v>
      </c>
      <c r="I675" s="144"/>
      <c r="J675" s="129">
        <f>IFERROR(__xludf.DUMMYFUNCTION("""COMPUTED_VALUE"""),44409.0)</f>
        <v>44409</v>
      </c>
      <c r="K675" s="133">
        <f>IFERROR(__xludf.DUMMYFUNCTION("""COMPUTED_VALUE"""),57.0)</f>
        <v>57</v>
      </c>
      <c r="L675" s="133">
        <f>IFERROR(__xludf.DUMMYFUNCTION("""COMPUTED_VALUE"""),2.0)</f>
        <v>2</v>
      </c>
      <c r="M675" s="133">
        <f>IFERROR(__xludf.DUMMYFUNCTION("""COMPUTED_VALUE"""),59.0)</f>
        <v>59</v>
      </c>
      <c r="N675" s="152" t="str">
        <f>IFERROR(__xludf.DUMMYFUNCTION("""COMPUTED_VALUE"""),"Model 3 SR+")</f>
        <v>Model 3 SR+</v>
      </c>
      <c r="O675" s="152" t="str">
        <f>IFERROR(__xludf.DUMMYFUNCTION("""COMPUTED_VALUE"""),"Pearl White Multi-Coat")</f>
        <v>Pearl White Multi-Coat</v>
      </c>
      <c r="P675" s="153" t="str">
        <f>IFERROR(__xludf.DUMMYFUNCTION("""COMPUTED_VALUE"""),"18 inch")</f>
        <v>18 inch</v>
      </c>
      <c r="Q675" s="152" t="str">
        <f>IFERROR(__xludf.DUMMYFUNCTION("""COMPUTED_VALUE"""),"All Black")</f>
        <v>All Black</v>
      </c>
      <c r="R675" s="149" t="str">
        <f>IFERROR(__xludf.DUMMYFUNCTION("""COMPUTED_VALUE"""),"Autopilot included")</f>
        <v>Autopilot included</v>
      </c>
      <c r="S675" s="149" t="str">
        <f>IFERROR(__xludf.DUMMYFUNCTION("""COMPUTED_VALUE"""),"Lease")</f>
        <v>Lease</v>
      </c>
      <c r="T675" s="145" t="str">
        <f>IFERROR(__xludf.DUMMYFUNCTION("""COMPUTED_VALUE"""),"BMW X3")</f>
        <v>BMW X3</v>
      </c>
      <c r="U675" s="145"/>
      <c r="V675" s="145"/>
      <c r="W675" s="145"/>
      <c r="X675" s="137"/>
      <c r="Y675" s="138"/>
      <c r="Z675" s="138"/>
      <c r="AA675" s="138"/>
      <c r="AB675" s="138"/>
      <c r="AC675" s="139"/>
      <c r="AD675" s="139"/>
      <c r="AE675" s="139"/>
      <c r="AF675" s="140"/>
      <c r="AG675" s="145"/>
      <c r="AH675" s="157">
        <f>IFERROR(__xludf.DUMMYFUNCTION("""COMPUTED_VALUE"""),44407.66638328704)</f>
        <v>44407.66638</v>
      </c>
      <c r="AI675" s="138"/>
      <c r="AJ675" s="138"/>
      <c r="AK675" s="138"/>
      <c r="AL675" s="142"/>
    </row>
    <row r="676" ht="20.25" customHeight="1">
      <c r="A676" s="155" t="str">
        <f>IFERROR(__xludf.DUMMYFUNCTION("""COMPUTED_VALUE"""),"sled14")</f>
        <v>sled14</v>
      </c>
      <c r="B676" s="149" t="str">
        <f>IFERROR(__xludf.DUMMYFUNCTION("""COMPUTED_VALUE"""),"West Palm Beach")</f>
        <v>West Palm Beach</v>
      </c>
      <c r="C676" s="149" t="str">
        <f>IFERROR(__xludf.DUMMYFUNCTION("""COMPUTED_VALUE"""),"FL")</f>
        <v>FL</v>
      </c>
      <c r="D676" s="149" t="str">
        <f>IFERROR(__xludf.DUMMYFUNCTION("""COMPUTED_VALUE"""),"USA")</f>
        <v>USA</v>
      </c>
      <c r="E676" s="156">
        <f>IFERROR(__xludf.DUMMYFUNCTION("""COMPUTED_VALUE"""),44350.0)</f>
        <v>44350</v>
      </c>
      <c r="F676" s="129">
        <f>IFERROR(__xludf.DUMMYFUNCTION("""COMPUTED_VALUE"""),44359.0)</f>
        <v>44359</v>
      </c>
      <c r="G676" s="154" t="str">
        <f>IFERROR(__xludf.DUMMYFUNCTION("""COMPUTED_VALUE"""),"Manage order page (normal text)")</f>
        <v>Manage order page (normal text)</v>
      </c>
      <c r="H676" s="131">
        <f>IFERROR(__xludf.DUMMYFUNCTION("""COMPUTED_VALUE"""),991255.0)</f>
        <v>991255</v>
      </c>
      <c r="I676" s="144"/>
      <c r="J676" s="129">
        <f>IFERROR(__xludf.DUMMYFUNCTION("""COMPUTED_VALUE"""),44374.0)</f>
        <v>44374</v>
      </c>
      <c r="K676" s="133">
        <f>IFERROR(__xludf.DUMMYFUNCTION("""COMPUTED_VALUE"""),9.0)</f>
        <v>9</v>
      </c>
      <c r="L676" s="133">
        <f>IFERROR(__xludf.DUMMYFUNCTION("""COMPUTED_VALUE"""),15.0)</f>
        <v>15</v>
      </c>
      <c r="M676" s="133">
        <f>IFERROR(__xludf.DUMMYFUNCTION("""COMPUTED_VALUE"""),24.0)</f>
        <v>24</v>
      </c>
      <c r="N676" s="152" t="str">
        <f>IFERROR(__xludf.DUMMYFUNCTION("""COMPUTED_VALUE"""),"Model 3 Performance")</f>
        <v>Model 3 Performance</v>
      </c>
      <c r="O676" s="152" t="str">
        <f>IFERROR(__xludf.DUMMYFUNCTION("""COMPUTED_VALUE"""),"Pearl White Multi-Coat")</f>
        <v>Pearl White Multi-Coat</v>
      </c>
      <c r="P676" s="153" t="str">
        <f>IFERROR(__xludf.DUMMYFUNCTION("""COMPUTED_VALUE"""),"20 inch")</f>
        <v>20 inch</v>
      </c>
      <c r="Q676" s="152" t="str">
        <f>IFERROR(__xludf.DUMMYFUNCTION("""COMPUTED_VALUE"""),"All Black")</f>
        <v>All Black</v>
      </c>
      <c r="R676" s="149" t="str">
        <f>IFERROR(__xludf.DUMMYFUNCTION("""COMPUTED_VALUE"""),"Autopilot included")</f>
        <v>Autopilot included</v>
      </c>
      <c r="S676" s="149" t="str">
        <f>IFERROR(__xludf.DUMMYFUNCTION("""COMPUTED_VALUE"""),"Loan")</f>
        <v>Loan</v>
      </c>
      <c r="T676" s="145" t="str">
        <f>IFERROR(__xludf.DUMMYFUNCTION("""COMPUTED_VALUE"""),"Honda Accord")</f>
        <v>Honda Accord</v>
      </c>
      <c r="U676" s="145" t="str">
        <f>IFERROR(__xludf.DUMMYFUNCTION("""COMPUTED_VALUE"""),"Electric!")</f>
        <v>Electric!</v>
      </c>
      <c r="V676" s="145" t="str">
        <f>IFERROR(__xludf.DUMMYFUNCTION("""COMPUTED_VALUE"""),"Dashboard")</f>
        <v>Dashboard</v>
      </c>
      <c r="W676" s="145"/>
      <c r="X676" s="137" t="str">
        <f>IFERROR(__xludf.DUMMYFUNCTION("""COMPUTED_VALUE"""),"Excellent")</f>
        <v>Excellent</v>
      </c>
      <c r="Y676" s="138" t="str">
        <f>IFERROR(__xludf.DUMMYFUNCTION("""COMPUTED_VALUE"""),"Excellent")</f>
        <v>Excellent</v>
      </c>
      <c r="Z676" s="138" t="str">
        <f>IFERROR(__xludf.DUMMYFUNCTION("""COMPUTED_VALUE"""),"Excellent")</f>
        <v>Excellent</v>
      </c>
      <c r="AA676" s="138" t="str">
        <f>IFERROR(__xludf.DUMMYFUNCTION("""COMPUTED_VALUE"""),"Poor")</f>
        <v>Poor</v>
      </c>
      <c r="AB676" s="138" t="str">
        <f>IFERROR(__xludf.DUMMYFUNCTION("""COMPUTED_VALUE"""),"Excellent")</f>
        <v>Excellent</v>
      </c>
      <c r="AC676" s="139">
        <f>IFERROR(__xludf.DUMMYFUNCTION("""COMPUTED_VALUE"""),0.0)</f>
        <v>0</v>
      </c>
      <c r="AD676" s="139">
        <f>IFERROR(__xludf.DUMMYFUNCTION("""COMPUTED_VALUE"""),0.0)</f>
        <v>0</v>
      </c>
      <c r="AE676" s="139">
        <f>IFERROR(__xludf.DUMMYFUNCTION("""COMPUTED_VALUE"""),0.0)</f>
        <v>0</v>
      </c>
      <c r="AF676" s="140" t="str">
        <f>IFERROR(__xludf.DUMMYFUNCTION("""COMPUTED_VALUE"""),"No. I took delivery of the first car Tesla was able to deliver.")</f>
        <v>No. I took delivery of the first car Tesla was able to deliver.</v>
      </c>
      <c r="AG676" s="145"/>
      <c r="AH676" s="157">
        <f>IFERROR(__xludf.DUMMYFUNCTION("""COMPUTED_VALUE"""),44384.31198333333)</f>
        <v>44384.31198</v>
      </c>
      <c r="AI676" s="138"/>
      <c r="AJ676" s="138"/>
      <c r="AK676" s="138"/>
      <c r="AL676" s="142"/>
    </row>
    <row r="677" ht="20.25" customHeight="1">
      <c r="A677" s="155" t="str">
        <f>IFERROR(__xludf.DUMMYFUNCTION("""COMPUTED_VALUE"""),"TommyT")</f>
        <v>TommyT</v>
      </c>
      <c r="B677" s="149" t="str">
        <f>IFERROR(__xludf.DUMMYFUNCTION("""COMPUTED_VALUE"""),"Riverside")</f>
        <v>Riverside</v>
      </c>
      <c r="C677" s="149" t="str">
        <f>IFERROR(__xludf.DUMMYFUNCTION("""COMPUTED_VALUE"""),"CA")</f>
        <v>CA</v>
      </c>
      <c r="D677" s="149" t="str">
        <f>IFERROR(__xludf.DUMMYFUNCTION("""COMPUTED_VALUE"""),"USA")</f>
        <v>USA</v>
      </c>
      <c r="E677" s="156">
        <f>IFERROR(__xludf.DUMMYFUNCTION("""COMPUTED_VALUE"""),44350.0)</f>
        <v>44350</v>
      </c>
      <c r="F677" s="129">
        <f>IFERROR(__xludf.DUMMYFUNCTION("""COMPUTED_VALUE"""),44406.0)</f>
        <v>44406</v>
      </c>
      <c r="G677" s="154" t="str">
        <f>IFERROR(__xludf.DUMMYFUNCTION("""COMPUTED_VALUE"""),"Manage order page (normal text)")</f>
        <v>Manage order page (normal text)</v>
      </c>
      <c r="H677" s="131"/>
      <c r="I677" s="144"/>
      <c r="J677" s="129">
        <f>IFERROR(__xludf.DUMMYFUNCTION("""COMPUTED_VALUE"""),44410.0)</f>
        <v>44410</v>
      </c>
      <c r="K677" s="133">
        <f>IFERROR(__xludf.DUMMYFUNCTION("""COMPUTED_VALUE"""),56.0)</f>
        <v>56</v>
      </c>
      <c r="L677" s="133">
        <f>IFERROR(__xludf.DUMMYFUNCTION("""COMPUTED_VALUE"""),4.0)</f>
        <v>4</v>
      </c>
      <c r="M677" s="133">
        <f>IFERROR(__xludf.DUMMYFUNCTION("""COMPUTED_VALUE"""),60.0)</f>
        <v>60</v>
      </c>
      <c r="N677" s="152" t="str">
        <f>IFERROR(__xludf.DUMMYFUNCTION("""COMPUTED_VALUE"""),"Model 3 SR+")</f>
        <v>Model 3 SR+</v>
      </c>
      <c r="O677" s="152" t="str">
        <f>IFERROR(__xludf.DUMMYFUNCTION("""COMPUTED_VALUE"""),"Midnight Silver Metallic")</f>
        <v>Midnight Silver Metallic</v>
      </c>
      <c r="P677" s="153" t="str">
        <f>IFERROR(__xludf.DUMMYFUNCTION("""COMPUTED_VALUE"""),"18 inch")</f>
        <v>18 inch</v>
      </c>
      <c r="Q677" s="152" t="str">
        <f>IFERROR(__xludf.DUMMYFUNCTION("""COMPUTED_VALUE"""),"All Black")</f>
        <v>All Black</v>
      </c>
      <c r="R677" s="149" t="str">
        <f>IFERROR(__xludf.DUMMYFUNCTION("""COMPUTED_VALUE"""),"Autopilot included")</f>
        <v>Autopilot included</v>
      </c>
      <c r="S677" s="149" t="str">
        <f>IFERROR(__xludf.DUMMYFUNCTION("""COMPUTED_VALUE"""),"Cash")</f>
        <v>Cash</v>
      </c>
      <c r="T677" s="145" t="str">
        <f>IFERROR(__xludf.DUMMYFUNCTION("""COMPUTED_VALUE"""),"Honda Insight")</f>
        <v>Honda Insight</v>
      </c>
      <c r="U677" s="145" t="str">
        <f>IFERROR(__xludf.DUMMYFUNCTION("""COMPUTED_VALUE"""),"Electric!")</f>
        <v>Electric!</v>
      </c>
      <c r="V677" s="145" t="str">
        <f>IFERROR(__xludf.DUMMYFUNCTION("""COMPUTED_VALUE"""),"360° Bird's eye view")</f>
        <v>360° Bird's eye view</v>
      </c>
      <c r="W677" s="145"/>
      <c r="X677" s="137" t="str">
        <f>IFERROR(__xludf.DUMMYFUNCTION("""COMPUTED_VALUE"""),"Excellent")</f>
        <v>Excellent</v>
      </c>
      <c r="Y677" s="138" t="str">
        <f>IFERROR(__xludf.DUMMYFUNCTION("""COMPUTED_VALUE"""),"Excellent")</f>
        <v>Excellent</v>
      </c>
      <c r="Z677" s="138" t="str">
        <f>IFERROR(__xludf.DUMMYFUNCTION("""COMPUTED_VALUE"""),"Excellent")</f>
        <v>Excellent</v>
      </c>
      <c r="AA677" s="138" t="str">
        <f>IFERROR(__xludf.DUMMYFUNCTION("""COMPUTED_VALUE"""),"Excellent")</f>
        <v>Excellent</v>
      </c>
      <c r="AB677" s="138" t="str">
        <f>IFERROR(__xludf.DUMMYFUNCTION("""COMPUTED_VALUE"""),"Good")</f>
        <v>Good</v>
      </c>
      <c r="AC677" s="139"/>
      <c r="AD677" s="139"/>
      <c r="AE677" s="139"/>
      <c r="AF677" s="140"/>
      <c r="AG677" s="145"/>
      <c r="AH677" s="157">
        <f>IFERROR(__xludf.DUMMYFUNCTION("""COMPUTED_VALUE"""),44410.95450306712)</f>
        <v>44410.9545</v>
      </c>
      <c r="AI677" s="138"/>
      <c r="AJ677" s="138"/>
      <c r="AK677" s="138"/>
      <c r="AL677" s="142"/>
    </row>
    <row r="678" ht="20.25" customHeight="1">
      <c r="A678" s="155" t="str">
        <f>IFERROR(__xludf.DUMMYFUNCTION("""COMPUTED_VALUE"""),"bcombs128")</f>
        <v>bcombs128</v>
      </c>
      <c r="B678" s="149" t="str">
        <f>IFERROR(__xludf.DUMMYFUNCTION("""COMPUTED_VALUE"""),"Milwaukee")</f>
        <v>Milwaukee</v>
      </c>
      <c r="C678" s="149" t="str">
        <f>IFERROR(__xludf.DUMMYFUNCTION("""COMPUTED_VALUE"""),"WI")</f>
        <v>WI</v>
      </c>
      <c r="D678" s="149" t="str">
        <f>IFERROR(__xludf.DUMMYFUNCTION("""COMPUTED_VALUE"""),"USA")</f>
        <v>USA</v>
      </c>
      <c r="E678" s="156">
        <f>IFERROR(__xludf.DUMMYFUNCTION("""COMPUTED_VALUE"""),44349.0)</f>
        <v>44349</v>
      </c>
      <c r="F678" s="129">
        <f>IFERROR(__xludf.DUMMYFUNCTION("""COMPUTED_VALUE"""),44368.0)</f>
        <v>44368</v>
      </c>
      <c r="G678" s="154" t="str">
        <f>IFERROR(__xludf.DUMMYFUNCTION("""COMPUTED_VALUE"""),"Manage order page (normal text)")</f>
        <v>Manage order page (normal text)</v>
      </c>
      <c r="H678" s="131"/>
      <c r="I678" s="144"/>
      <c r="J678" s="129">
        <f>IFERROR(__xludf.DUMMYFUNCTION("""COMPUTED_VALUE"""),44370.0)</f>
        <v>44370</v>
      </c>
      <c r="K678" s="133">
        <f>IFERROR(__xludf.DUMMYFUNCTION("""COMPUTED_VALUE"""),19.0)</f>
        <v>19</v>
      </c>
      <c r="L678" s="133">
        <f>IFERROR(__xludf.DUMMYFUNCTION("""COMPUTED_VALUE"""),2.0)</f>
        <v>2</v>
      </c>
      <c r="M678" s="133">
        <f>IFERROR(__xludf.DUMMYFUNCTION("""COMPUTED_VALUE"""),21.0)</f>
        <v>21</v>
      </c>
      <c r="N678" s="152" t="str">
        <f>IFERROR(__xludf.DUMMYFUNCTION("""COMPUTED_VALUE"""),"Model 3 LR AWD")</f>
        <v>Model 3 LR AWD</v>
      </c>
      <c r="O678" s="152" t="str">
        <f>IFERROR(__xludf.DUMMYFUNCTION("""COMPUTED_VALUE"""),"Midnight Silver Metallic")</f>
        <v>Midnight Silver Metallic</v>
      </c>
      <c r="P678" s="153" t="str">
        <f>IFERROR(__xludf.DUMMYFUNCTION("""COMPUTED_VALUE"""),"18 inch")</f>
        <v>18 inch</v>
      </c>
      <c r="Q678" s="152" t="str">
        <f>IFERROR(__xludf.DUMMYFUNCTION("""COMPUTED_VALUE"""),"All Black")</f>
        <v>All Black</v>
      </c>
      <c r="R678" s="149" t="str">
        <f>IFERROR(__xludf.DUMMYFUNCTION("""COMPUTED_VALUE"""),"Autopilot included")</f>
        <v>Autopilot included</v>
      </c>
      <c r="S678" s="149" t="str">
        <f>IFERROR(__xludf.DUMMYFUNCTION("""COMPUTED_VALUE"""),"Loan")</f>
        <v>Loan</v>
      </c>
      <c r="T678" s="145" t="str">
        <f>IFERROR(__xludf.DUMMYFUNCTION("""COMPUTED_VALUE"""),"Ford Focus")</f>
        <v>Ford Focus</v>
      </c>
      <c r="U678" s="145" t="str">
        <f>IFERROR(__xludf.DUMMYFUNCTION("""COMPUTED_VALUE"""),"Electric!")</f>
        <v>Electric!</v>
      </c>
      <c r="V678" s="145" t="str">
        <f>IFERROR(__xludf.DUMMYFUNCTION("""COMPUTED_VALUE"""),"Apple CarPlay / Android Auto / SiriusXM Radio")</f>
        <v>Apple CarPlay / Android Auto / SiriusXM Radio</v>
      </c>
      <c r="W678" s="145"/>
      <c r="X678" s="137" t="str">
        <f>IFERROR(__xludf.DUMMYFUNCTION("""COMPUTED_VALUE"""),"Excellent")</f>
        <v>Excellent</v>
      </c>
      <c r="Y678" s="138" t="str">
        <f>IFERROR(__xludf.DUMMYFUNCTION("""COMPUTED_VALUE"""),"Very Good")</f>
        <v>Very Good</v>
      </c>
      <c r="Z678" s="138" t="str">
        <f>IFERROR(__xludf.DUMMYFUNCTION("""COMPUTED_VALUE"""),"Very Good")</f>
        <v>Very Good</v>
      </c>
      <c r="AA678" s="138" t="str">
        <f>IFERROR(__xludf.DUMMYFUNCTION("""COMPUTED_VALUE"""),"Fair")</f>
        <v>Fair</v>
      </c>
      <c r="AB678" s="138" t="str">
        <f>IFERROR(__xludf.DUMMYFUNCTION("""COMPUTED_VALUE"""),"Good")</f>
        <v>Good</v>
      </c>
      <c r="AC678" s="139"/>
      <c r="AD678" s="139"/>
      <c r="AE678" s="139"/>
      <c r="AF678" s="140"/>
      <c r="AG678" s="145"/>
      <c r="AH678" s="157">
        <f>IFERROR(__xludf.DUMMYFUNCTION("""COMPUTED_VALUE"""),44370.56116233796)</f>
        <v>44370.56116</v>
      </c>
      <c r="AI678" s="138"/>
      <c r="AJ678" s="138"/>
      <c r="AK678" s="138"/>
      <c r="AL678" s="142"/>
    </row>
    <row r="679" ht="20.25" customHeight="1">
      <c r="A679" s="155" t="str">
        <f>IFERROR(__xludf.DUMMYFUNCTION("""COMPUTED_VALUE"""),"jwetherb")</f>
        <v>jwetherb</v>
      </c>
      <c r="B679" s="149" t="str">
        <f>IFERROR(__xludf.DUMMYFUNCTION("""COMPUTED_VALUE"""),"San Carlos")</f>
        <v>San Carlos</v>
      </c>
      <c r="C679" s="149" t="str">
        <f>IFERROR(__xludf.DUMMYFUNCTION("""COMPUTED_VALUE"""),"CA")</f>
        <v>CA</v>
      </c>
      <c r="D679" s="149" t="str">
        <f>IFERROR(__xludf.DUMMYFUNCTION("""COMPUTED_VALUE"""),"USA")</f>
        <v>USA</v>
      </c>
      <c r="E679" s="156">
        <f>IFERROR(__xludf.DUMMYFUNCTION("""COMPUTED_VALUE"""),44349.0)</f>
        <v>44349</v>
      </c>
      <c r="F679" s="129"/>
      <c r="G679" s="154"/>
      <c r="H679" s="131"/>
      <c r="I679" s="144"/>
      <c r="J679" s="129">
        <f>IFERROR(__xludf.DUMMYFUNCTION("""COMPUTED_VALUE"""),44397.0)</f>
        <v>44397</v>
      </c>
      <c r="K679" s="133"/>
      <c r="L679" s="133"/>
      <c r="M679" s="133">
        <f>IFERROR(__xludf.DUMMYFUNCTION("""COMPUTED_VALUE"""),48.0)</f>
        <v>48</v>
      </c>
      <c r="N679" s="152" t="str">
        <f>IFERROR(__xludf.DUMMYFUNCTION("""COMPUTED_VALUE"""),"Model 3 SR+")</f>
        <v>Model 3 SR+</v>
      </c>
      <c r="O679" s="152" t="str">
        <f>IFERROR(__xludf.DUMMYFUNCTION("""COMPUTED_VALUE"""),"Pearl White Multi-Coat")</f>
        <v>Pearl White Multi-Coat</v>
      </c>
      <c r="P679" s="153" t="str">
        <f>IFERROR(__xludf.DUMMYFUNCTION("""COMPUTED_VALUE"""),"18 inch")</f>
        <v>18 inch</v>
      </c>
      <c r="Q679" s="152" t="str">
        <f>IFERROR(__xludf.DUMMYFUNCTION("""COMPUTED_VALUE"""),"All Black")</f>
        <v>All Black</v>
      </c>
      <c r="R679" s="149" t="str">
        <f>IFERROR(__xludf.DUMMYFUNCTION("""COMPUTED_VALUE"""),"Autopilot included")</f>
        <v>Autopilot included</v>
      </c>
      <c r="S679" s="149" t="str">
        <f>IFERROR(__xludf.DUMMYFUNCTION("""COMPUTED_VALUE"""),"Cash")</f>
        <v>Cash</v>
      </c>
      <c r="T679" s="145" t="str">
        <f>IFERROR(__xludf.DUMMYFUNCTION("""COMPUTED_VALUE"""),"Chevy Volt")</f>
        <v>Chevy Volt</v>
      </c>
      <c r="U679" s="145" t="str">
        <f>IFERROR(__xludf.DUMMYFUNCTION("""COMPUTED_VALUE"""),"Autopilot")</f>
        <v>Autopilot</v>
      </c>
      <c r="V679" s="145" t="str">
        <f>IFERROR(__xludf.DUMMYFUNCTION("""COMPUTED_VALUE"""),"360° Bird's eye view")</f>
        <v>360° Bird's eye view</v>
      </c>
      <c r="W679" s="145"/>
      <c r="X679" s="137"/>
      <c r="Y679" s="138"/>
      <c r="Z679" s="138"/>
      <c r="AA679" s="138"/>
      <c r="AB679" s="138"/>
      <c r="AC679" s="139"/>
      <c r="AD679" s="139"/>
      <c r="AE679" s="139"/>
      <c r="AF679" s="140"/>
      <c r="AG679" s="145"/>
      <c r="AH679" s="157">
        <f>IFERROR(__xludf.DUMMYFUNCTION("""COMPUTED_VALUE"""),44361.78322857639)</f>
        <v>44361.78323</v>
      </c>
      <c r="AI679" s="138"/>
      <c r="AJ679" s="138"/>
      <c r="AK679" s="138"/>
      <c r="AL679" s="142"/>
    </row>
    <row r="680" ht="20.25" customHeight="1">
      <c r="A680" s="155" t="str">
        <f>IFERROR(__xludf.DUMMYFUNCTION("""COMPUTED_VALUE"""),"Zippo")</f>
        <v>Zippo</v>
      </c>
      <c r="B680" s="149" t="str">
        <f>IFERROR(__xludf.DUMMYFUNCTION("""COMPUTED_VALUE"""),"Toronto")</f>
        <v>Toronto</v>
      </c>
      <c r="C680" s="149" t="str">
        <f>IFERROR(__xludf.DUMMYFUNCTION("""COMPUTED_VALUE"""),"ON")</f>
        <v>ON</v>
      </c>
      <c r="D680" s="149" t="str">
        <f>IFERROR(__xludf.DUMMYFUNCTION("""COMPUTED_VALUE"""),"Canada")</f>
        <v>Canada</v>
      </c>
      <c r="E680" s="156">
        <f>IFERROR(__xludf.DUMMYFUNCTION("""COMPUTED_VALUE"""),44349.0)</f>
        <v>44349</v>
      </c>
      <c r="F680" s="129">
        <f>IFERROR(__xludf.DUMMYFUNCTION("""COMPUTED_VALUE"""),44411.0)</f>
        <v>44411</v>
      </c>
      <c r="G680" s="154" t="str">
        <f>IFERROR(__xludf.DUMMYFUNCTION("""COMPUTED_VALUE"""),"Source code")</f>
        <v>Source code</v>
      </c>
      <c r="H680" s="131">
        <f>IFERROR(__xludf.DUMMYFUNCTION("""COMPUTED_VALUE"""),28955.0)</f>
        <v>28955</v>
      </c>
      <c r="I680" s="144" t="str">
        <f>IFERROR(__xludf.DUMMYFUNCTION("""COMPUTED_VALUE"""),"08/21")</f>
        <v>08/21</v>
      </c>
      <c r="J680" s="129">
        <f>IFERROR(__xludf.DUMMYFUNCTION("""COMPUTED_VALUE"""),44425.0)</f>
        <v>44425</v>
      </c>
      <c r="K680" s="133">
        <f>IFERROR(__xludf.DUMMYFUNCTION("""COMPUTED_VALUE"""),62.0)</f>
        <v>62</v>
      </c>
      <c r="L680" s="133">
        <f>IFERROR(__xludf.DUMMYFUNCTION("""COMPUTED_VALUE"""),14.0)</f>
        <v>14</v>
      </c>
      <c r="M680" s="133">
        <f>IFERROR(__xludf.DUMMYFUNCTION("""COMPUTED_VALUE"""),76.0)</f>
        <v>76</v>
      </c>
      <c r="N680" s="152" t="str">
        <f>IFERROR(__xludf.DUMMYFUNCTION("""COMPUTED_VALUE"""),"Model 3 SR+")</f>
        <v>Model 3 SR+</v>
      </c>
      <c r="O680" s="152" t="str">
        <f>IFERROR(__xludf.DUMMYFUNCTION("""COMPUTED_VALUE"""),"Midnight Silver Metallic")</f>
        <v>Midnight Silver Metallic</v>
      </c>
      <c r="P680" s="153" t="str">
        <f>IFERROR(__xludf.DUMMYFUNCTION("""COMPUTED_VALUE"""),"18 inch")</f>
        <v>18 inch</v>
      </c>
      <c r="Q680" s="152" t="str">
        <f>IFERROR(__xludf.DUMMYFUNCTION("""COMPUTED_VALUE"""),"All Black")</f>
        <v>All Black</v>
      </c>
      <c r="R680" s="149" t="str">
        <f>IFERROR(__xludf.DUMMYFUNCTION("""COMPUTED_VALUE"""),"Autopilot included")</f>
        <v>Autopilot included</v>
      </c>
      <c r="S680" s="149" t="str">
        <f>IFERROR(__xludf.DUMMYFUNCTION("""COMPUTED_VALUE"""),"Cash")</f>
        <v>Cash</v>
      </c>
      <c r="T680" s="145" t="str">
        <f>IFERROR(__xludf.DUMMYFUNCTION("""COMPUTED_VALUE"""),"Honda Civic")</f>
        <v>Honda Civic</v>
      </c>
      <c r="U680" s="145"/>
      <c r="V680" s="145" t="str">
        <f>IFERROR(__xludf.DUMMYFUNCTION("""COMPUTED_VALUE"""),"Bioweapon defense mode")</f>
        <v>Bioweapon defense mode</v>
      </c>
      <c r="W680" s="145"/>
      <c r="X680" s="137"/>
      <c r="Y680" s="138"/>
      <c r="Z680" s="138"/>
      <c r="AA680" s="138"/>
      <c r="AB680" s="138"/>
      <c r="AC680" s="139"/>
      <c r="AD680" s="139"/>
      <c r="AE680" s="139"/>
      <c r="AF680" s="140"/>
      <c r="AG680" s="145"/>
      <c r="AH680" s="157">
        <f>IFERROR(__xludf.DUMMYFUNCTION("""COMPUTED_VALUE"""),44423.853548784726)</f>
        <v>44423.85355</v>
      </c>
      <c r="AI680" s="138"/>
      <c r="AJ680" s="138"/>
      <c r="AK680" s="138"/>
      <c r="AL680" s="142"/>
    </row>
    <row r="681" ht="20.25" customHeight="1">
      <c r="A681" s="155" t="str">
        <f>IFERROR(__xludf.DUMMYFUNCTION("""COMPUTED_VALUE"""),"Bulfinch")</f>
        <v>Bulfinch</v>
      </c>
      <c r="B681" s="149" t="str">
        <f>IFERROR(__xludf.DUMMYFUNCTION("""COMPUTED_VALUE"""),"Hillsboro")</f>
        <v>Hillsboro</v>
      </c>
      <c r="C681" s="149" t="str">
        <f>IFERROR(__xludf.DUMMYFUNCTION("""COMPUTED_VALUE"""),"OR")</f>
        <v>OR</v>
      </c>
      <c r="D681" s="149" t="str">
        <f>IFERROR(__xludf.DUMMYFUNCTION("""COMPUTED_VALUE"""),"USA")</f>
        <v>USA</v>
      </c>
      <c r="E681" s="156">
        <f>IFERROR(__xludf.DUMMYFUNCTION("""COMPUTED_VALUE"""),44348.0)</f>
        <v>44348</v>
      </c>
      <c r="F681" s="129">
        <f>IFERROR(__xludf.DUMMYFUNCTION("""COMPUTED_VALUE"""),44373.0)</f>
        <v>44373</v>
      </c>
      <c r="G681" s="154" t="str">
        <f>IFERROR(__xludf.DUMMYFUNCTION("""COMPUTED_VALUE"""),"Email")</f>
        <v>Email</v>
      </c>
      <c r="H681" s="131">
        <f>IFERROR(__xludf.DUMMYFUNCTION("""COMPUTED_VALUE"""),2555.0)</f>
        <v>2555</v>
      </c>
      <c r="I681" s="144" t="str">
        <f>IFERROR(__xludf.DUMMYFUNCTION("""COMPUTED_VALUE"""),"06/21")</f>
        <v>06/21</v>
      </c>
      <c r="J681" s="129">
        <f>IFERROR(__xludf.DUMMYFUNCTION("""COMPUTED_VALUE"""),44375.0)</f>
        <v>44375</v>
      </c>
      <c r="K681" s="133">
        <f>IFERROR(__xludf.DUMMYFUNCTION("""COMPUTED_VALUE"""),25.0)</f>
        <v>25</v>
      </c>
      <c r="L681" s="133">
        <f>IFERROR(__xludf.DUMMYFUNCTION("""COMPUTED_VALUE"""),2.0)</f>
        <v>2</v>
      </c>
      <c r="M681" s="133">
        <f>IFERROR(__xludf.DUMMYFUNCTION("""COMPUTED_VALUE"""),27.0)</f>
        <v>27</v>
      </c>
      <c r="N681" s="152" t="str">
        <f>IFERROR(__xludf.DUMMYFUNCTION("""COMPUTED_VALUE"""),"Model 3 LR AWD")</f>
        <v>Model 3 LR AWD</v>
      </c>
      <c r="O681" s="152" t="str">
        <f>IFERROR(__xludf.DUMMYFUNCTION("""COMPUTED_VALUE"""),"Solid Black")</f>
        <v>Solid Black</v>
      </c>
      <c r="P681" s="153" t="str">
        <f>IFERROR(__xludf.DUMMYFUNCTION("""COMPUTED_VALUE"""),"19 inch")</f>
        <v>19 inch</v>
      </c>
      <c r="Q681" s="152" t="str">
        <f>IFERROR(__xludf.DUMMYFUNCTION("""COMPUTED_VALUE"""),"All Black")</f>
        <v>All Black</v>
      </c>
      <c r="R681" s="149" t="str">
        <f>IFERROR(__xludf.DUMMYFUNCTION("""COMPUTED_VALUE"""),"Autopilot included")</f>
        <v>Autopilot included</v>
      </c>
      <c r="S681" s="149" t="str">
        <f>IFERROR(__xludf.DUMMYFUNCTION("""COMPUTED_VALUE"""),"Loan")</f>
        <v>Loan</v>
      </c>
      <c r="T681" s="145" t="str">
        <f>IFERROR(__xludf.DUMMYFUNCTION("""COMPUTED_VALUE"""),"Honda Civic")</f>
        <v>Honda Civic</v>
      </c>
      <c r="U681" s="145" t="str">
        <f>IFERROR(__xludf.DUMMYFUNCTION("""COMPUTED_VALUE"""),"Electric!")</f>
        <v>Electric!</v>
      </c>
      <c r="V681" s="145" t="str">
        <f>IFERROR(__xludf.DUMMYFUNCTION("""COMPUTED_VALUE"""),"Apple CarPlay / Android Auto / SiriusXM Radio")</f>
        <v>Apple CarPlay / Android Auto / SiriusXM Radio</v>
      </c>
      <c r="W681" s="145"/>
      <c r="X681" s="137" t="str">
        <f>IFERROR(__xludf.DUMMYFUNCTION("""COMPUTED_VALUE"""),"Very Good")</f>
        <v>Very Good</v>
      </c>
      <c r="Y681" s="138" t="str">
        <f>IFERROR(__xludf.DUMMYFUNCTION("""COMPUTED_VALUE"""),"Very Good")</f>
        <v>Very Good</v>
      </c>
      <c r="Z681" s="138" t="str">
        <f>IFERROR(__xludf.DUMMYFUNCTION("""COMPUTED_VALUE"""),"Fair")</f>
        <v>Fair</v>
      </c>
      <c r="AA681" s="138" t="str">
        <f>IFERROR(__xludf.DUMMYFUNCTION("""COMPUTED_VALUE"""),"Excellent")</f>
        <v>Excellent</v>
      </c>
      <c r="AB681" s="138" t="str">
        <f>IFERROR(__xludf.DUMMYFUNCTION("""COMPUTED_VALUE"""),"Excellent")</f>
        <v>Excellent</v>
      </c>
      <c r="AC681" s="139">
        <f>IFERROR(__xludf.DUMMYFUNCTION("""COMPUTED_VALUE"""),3.0)</f>
        <v>3</v>
      </c>
      <c r="AD681" s="139"/>
      <c r="AE681" s="139"/>
      <c r="AF681" s="140" t="str">
        <f>IFERROR(__xludf.DUMMYFUNCTION("""COMPUTED_VALUE"""),"No. I took delivery of the first car Tesla was able to deliver.")</f>
        <v>No. I took delivery of the first car Tesla was able to deliver.</v>
      </c>
      <c r="AG681" s="145"/>
      <c r="AH681" s="157">
        <f>IFERROR(__xludf.DUMMYFUNCTION("""COMPUTED_VALUE"""),44384.90611518518)</f>
        <v>44384.90612</v>
      </c>
      <c r="AI681" s="138"/>
      <c r="AJ681" s="138"/>
      <c r="AK681" s="138"/>
      <c r="AL681" s="142"/>
    </row>
    <row r="682" ht="20.25" customHeight="1">
      <c r="A682" s="155" t="str">
        <f>IFERROR(__xludf.DUMMYFUNCTION("""COMPUTED_VALUE"""),"geoldr")</f>
        <v>geoldr</v>
      </c>
      <c r="B682" s="149" t="str">
        <f>IFERROR(__xludf.DUMMYFUNCTION("""COMPUTED_VALUE"""),"Bay Area")</f>
        <v>Bay Area</v>
      </c>
      <c r="C682" s="149" t="str">
        <f>IFERROR(__xludf.DUMMYFUNCTION("""COMPUTED_VALUE"""),"CA")</f>
        <v>CA</v>
      </c>
      <c r="D682" s="149" t="str">
        <f>IFERROR(__xludf.DUMMYFUNCTION("""COMPUTED_VALUE"""),"USA")</f>
        <v>USA</v>
      </c>
      <c r="E682" s="156">
        <f>IFERROR(__xludf.DUMMYFUNCTION("""COMPUTED_VALUE"""),44348.0)</f>
        <v>44348</v>
      </c>
      <c r="F682" s="129">
        <f>IFERROR(__xludf.DUMMYFUNCTION("""COMPUTED_VALUE"""),44411.0)</f>
        <v>44411</v>
      </c>
      <c r="G682" s="154" t="str">
        <f>IFERROR(__xludf.DUMMYFUNCTION("""COMPUTED_VALUE"""),"Manage order page (normal text)")</f>
        <v>Manage order page (normal text)</v>
      </c>
      <c r="H682" s="131">
        <f>IFERROR(__xludf.DUMMYFUNCTION("""COMPUTED_VALUE"""),24355.0)</f>
        <v>24355</v>
      </c>
      <c r="I682" s="144"/>
      <c r="J682" s="129">
        <f>IFERROR(__xludf.DUMMYFUNCTION("""COMPUTED_VALUE"""),44414.0)</f>
        <v>44414</v>
      </c>
      <c r="K682" s="133">
        <f>IFERROR(__xludf.DUMMYFUNCTION("""COMPUTED_VALUE"""),63.0)</f>
        <v>63</v>
      </c>
      <c r="L682" s="133">
        <f>IFERROR(__xludf.DUMMYFUNCTION("""COMPUTED_VALUE"""),3.0)</f>
        <v>3</v>
      </c>
      <c r="M682" s="133">
        <f>IFERROR(__xludf.DUMMYFUNCTION("""COMPUTED_VALUE"""),66.0)</f>
        <v>66</v>
      </c>
      <c r="N682" s="152" t="str">
        <f>IFERROR(__xludf.DUMMYFUNCTION("""COMPUTED_VALUE"""),"Model 3 SR+")</f>
        <v>Model 3 SR+</v>
      </c>
      <c r="O682" s="152" t="str">
        <f>IFERROR(__xludf.DUMMYFUNCTION("""COMPUTED_VALUE"""),"Pearl White Multi-Coat")</f>
        <v>Pearl White Multi-Coat</v>
      </c>
      <c r="P682" s="153" t="str">
        <f>IFERROR(__xludf.DUMMYFUNCTION("""COMPUTED_VALUE"""),"18 inch")</f>
        <v>18 inch</v>
      </c>
      <c r="Q682" s="152" t="str">
        <f>IFERROR(__xludf.DUMMYFUNCTION("""COMPUTED_VALUE"""),"Black and White")</f>
        <v>Black and White</v>
      </c>
      <c r="R682" s="149" t="str">
        <f>IFERROR(__xludf.DUMMYFUNCTION("""COMPUTED_VALUE"""),"Autopilot included")</f>
        <v>Autopilot included</v>
      </c>
      <c r="S682" s="149" t="str">
        <f>IFERROR(__xludf.DUMMYFUNCTION("""COMPUTED_VALUE"""),"Loan")</f>
        <v>Loan</v>
      </c>
      <c r="T682" s="145" t="str">
        <f>IFERROR(__xludf.DUMMYFUNCTION("""COMPUTED_VALUE"""),"Honda Insight")</f>
        <v>Honda Insight</v>
      </c>
      <c r="U682" s="145" t="str">
        <f>IFERROR(__xludf.DUMMYFUNCTION("""COMPUTED_VALUE"""),"Electric!")</f>
        <v>Electric!</v>
      </c>
      <c r="V682" s="145" t="str">
        <f>IFERROR(__xludf.DUMMYFUNCTION("""COMPUTED_VALUE"""),"360° Bird's eye view")</f>
        <v>360° Bird's eye view</v>
      </c>
      <c r="W682" s="145" t="str">
        <f>IFERROR(__xludf.DUMMYFUNCTION("""COMPUTED_VALUE"""),"Ignore the EDD")</f>
        <v>Ignore the EDD</v>
      </c>
      <c r="X682" s="137" t="str">
        <f>IFERROR(__xludf.DUMMYFUNCTION("""COMPUTED_VALUE"""),"Excellent")</f>
        <v>Excellent</v>
      </c>
      <c r="Y682" s="138" t="str">
        <f>IFERROR(__xludf.DUMMYFUNCTION("""COMPUTED_VALUE"""),"Excellent")</f>
        <v>Excellent</v>
      </c>
      <c r="Z682" s="138" t="str">
        <f>IFERROR(__xludf.DUMMYFUNCTION("""COMPUTED_VALUE"""),"Excellent")</f>
        <v>Excellent</v>
      </c>
      <c r="AA682" s="138" t="str">
        <f>IFERROR(__xludf.DUMMYFUNCTION("""COMPUTED_VALUE"""),"Poor")</f>
        <v>Poor</v>
      </c>
      <c r="AB682" s="138" t="str">
        <f>IFERROR(__xludf.DUMMYFUNCTION("""COMPUTED_VALUE"""),"Poor")</f>
        <v>Poor</v>
      </c>
      <c r="AC682" s="139">
        <f>IFERROR(__xludf.DUMMYFUNCTION("""COMPUTED_VALUE"""),1.0)</f>
        <v>1</v>
      </c>
      <c r="AD682" s="139">
        <f>IFERROR(__xludf.DUMMYFUNCTION("""COMPUTED_VALUE"""),1.0)</f>
        <v>1</v>
      </c>
      <c r="AE682" s="139"/>
      <c r="AF682" s="140" t="str">
        <f>IFERROR(__xludf.DUMMYFUNCTION("""COMPUTED_VALUE"""),"No. I took delivery of the first car Tesla was able to deliver.")</f>
        <v>No. I took delivery of the first car Tesla was able to deliver.</v>
      </c>
      <c r="AG682" s="145" t="str">
        <f>IFERROR(__xludf.DUMMYFUNCTION("""COMPUTED_VALUE"""),"Seriously, don't stress over the EDD. ")</f>
        <v>Seriously, don't stress over the EDD. </v>
      </c>
      <c r="AH682" s="157">
        <f>IFERROR(__xludf.DUMMYFUNCTION("""COMPUTED_VALUE"""),44414.92687681713)</f>
        <v>44414.92688</v>
      </c>
      <c r="AI682" s="138"/>
      <c r="AJ682" s="138"/>
      <c r="AK682" s="138"/>
      <c r="AL682" s="142"/>
    </row>
    <row r="683" ht="20.25" customHeight="1">
      <c r="A683" s="155" t="str">
        <f>IFERROR(__xludf.DUMMYFUNCTION("""COMPUTED_VALUE"""),"madarv2219")</f>
        <v>madarv2219</v>
      </c>
      <c r="B683" s="149" t="str">
        <f>IFERROR(__xludf.DUMMYFUNCTION("""COMPUTED_VALUE"""),"Atlanta")</f>
        <v>Atlanta</v>
      </c>
      <c r="C683" s="149" t="str">
        <f>IFERROR(__xludf.DUMMYFUNCTION("""COMPUTED_VALUE"""),"GA")</f>
        <v>GA</v>
      </c>
      <c r="D683" s="149" t="str">
        <f>IFERROR(__xludf.DUMMYFUNCTION("""COMPUTED_VALUE"""),"USA")</f>
        <v>USA</v>
      </c>
      <c r="E683" s="156">
        <f>IFERROR(__xludf.DUMMYFUNCTION("""COMPUTED_VALUE"""),44348.0)</f>
        <v>44348</v>
      </c>
      <c r="F683" s="129">
        <f>IFERROR(__xludf.DUMMYFUNCTION("""COMPUTED_VALUE"""),44391.0)</f>
        <v>44391</v>
      </c>
      <c r="G683" s="154" t="str">
        <f>IFERROR(__xludf.DUMMYFUNCTION("""COMPUTED_VALUE"""),"Manage order page (normal text)")</f>
        <v>Manage order page (normal text)</v>
      </c>
      <c r="H683" s="131">
        <f>IFERROR(__xludf.DUMMYFUNCTION("""COMPUTED_VALUE"""),16655.0)</f>
        <v>16655</v>
      </c>
      <c r="I683" s="144"/>
      <c r="J683" s="129">
        <f>IFERROR(__xludf.DUMMYFUNCTION("""COMPUTED_VALUE"""),44404.0)</f>
        <v>44404</v>
      </c>
      <c r="K683" s="133">
        <f>IFERROR(__xludf.DUMMYFUNCTION("""COMPUTED_VALUE"""),43.0)</f>
        <v>43</v>
      </c>
      <c r="L683" s="133">
        <f>IFERROR(__xludf.DUMMYFUNCTION("""COMPUTED_VALUE"""),13.0)</f>
        <v>13</v>
      </c>
      <c r="M683" s="133">
        <f>IFERROR(__xludf.DUMMYFUNCTION("""COMPUTED_VALUE"""),56.0)</f>
        <v>56</v>
      </c>
      <c r="N683" s="152" t="str">
        <f>IFERROR(__xludf.DUMMYFUNCTION("""COMPUTED_VALUE"""),"Model 3 SR+")</f>
        <v>Model 3 SR+</v>
      </c>
      <c r="O683" s="152" t="str">
        <f>IFERROR(__xludf.DUMMYFUNCTION("""COMPUTED_VALUE"""),"Solid Black")</f>
        <v>Solid Black</v>
      </c>
      <c r="P683" s="153" t="str">
        <f>IFERROR(__xludf.DUMMYFUNCTION("""COMPUTED_VALUE"""),"18 inch")</f>
        <v>18 inch</v>
      </c>
      <c r="Q683" s="152" t="str">
        <f>IFERROR(__xludf.DUMMYFUNCTION("""COMPUTED_VALUE"""),"All Black")</f>
        <v>All Black</v>
      </c>
      <c r="R683" s="149" t="str">
        <f>IFERROR(__xludf.DUMMYFUNCTION("""COMPUTED_VALUE"""),"Autopilot included")</f>
        <v>Autopilot included</v>
      </c>
      <c r="S683" s="149" t="str">
        <f>IFERROR(__xludf.DUMMYFUNCTION("""COMPUTED_VALUE"""),"Cash")</f>
        <v>Cash</v>
      </c>
      <c r="T683" s="145"/>
      <c r="U683" s="145"/>
      <c r="V683" s="145"/>
      <c r="W683" s="145"/>
      <c r="X683" s="137"/>
      <c r="Y683" s="138"/>
      <c r="Z683" s="138"/>
      <c r="AA683" s="138"/>
      <c r="AB683" s="138"/>
      <c r="AC683" s="139"/>
      <c r="AD683" s="139"/>
      <c r="AE683" s="139"/>
      <c r="AF683" s="140"/>
      <c r="AG683" s="145"/>
      <c r="AH683" s="157">
        <f>IFERROR(__xludf.DUMMYFUNCTION("""COMPUTED_VALUE"""),44391.29954980324)</f>
        <v>44391.29955</v>
      </c>
      <c r="AI683" s="138"/>
      <c r="AJ683" s="138"/>
      <c r="AK683" s="138"/>
      <c r="AL683" s="142"/>
    </row>
    <row r="684" ht="20.25" customHeight="1">
      <c r="A684" s="155" t="str">
        <f>IFERROR(__xludf.DUMMYFUNCTION("""COMPUTED_VALUE"""),"ACDRJP")</f>
        <v>ACDRJP</v>
      </c>
      <c r="B684" s="149" t="str">
        <f>IFERROR(__xludf.DUMMYFUNCTION("""COMPUTED_VALUE"""),"tampa")</f>
        <v>tampa</v>
      </c>
      <c r="C684" s="149" t="str">
        <f>IFERROR(__xludf.DUMMYFUNCTION("""COMPUTED_VALUE"""),"FL")</f>
        <v>FL</v>
      </c>
      <c r="D684" s="149" t="str">
        <f>IFERROR(__xludf.DUMMYFUNCTION("""COMPUTED_VALUE"""),"USA")</f>
        <v>USA</v>
      </c>
      <c r="E684" s="156">
        <f>IFERROR(__xludf.DUMMYFUNCTION("""COMPUTED_VALUE"""),44347.0)</f>
        <v>44347</v>
      </c>
      <c r="F684" s="129">
        <f>IFERROR(__xludf.DUMMYFUNCTION("""COMPUTED_VALUE"""),44371.0)</f>
        <v>44371</v>
      </c>
      <c r="G684" s="154" t="str">
        <f>IFERROR(__xludf.DUMMYFUNCTION("""COMPUTED_VALUE"""),"accepted delivery of different make/options for sooner delivery")</f>
        <v>accepted delivery of different make/options for sooner delivery</v>
      </c>
      <c r="H684" s="131">
        <f>IFERROR(__xludf.DUMMYFUNCTION("""COMPUTED_VALUE"""),989775.0)</f>
        <v>989775</v>
      </c>
      <c r="I684" s="144"/>
      <c r="J684" s="129">
        <f>IFERROR(__xludf.DUMMYFUNCTION("""COMPUTED_VALUE"""),44371.0)</f>
        <v>44371</v>
      </c>
      <c r="K684" s="133">
        <f>IFERROR(__xludf.DUMMYFUNCTION("""COMPUTED_VALUE"""),24.0)</f>
        <v>24</v>
      </c>
      <c r="L684" s="133">
        <f>IFERROR(__xludf.DUMMYFUNCTION("""COMPUTED_VALUE"""),0.0)</f>
        <v>0</v>
      </c>
      <c r="M684" s="133">
        <f>IFERROR(__xludf.DUMMYFUNCTION("""COMPUTED_VALUE"""),24.0)</f>
        <v>24</v>
      </c>
      <c r="N684" s="152" t="str">
        <f>IFERROR(__xludf.DUMMYFUNCTION("""COMPUTED_VALUE"""),"Model 3 SR+")</f>
        <v>Model 3 SR+</v>
      </c>
      <c r="O684" s="152" t="str">
        <f>IFERROR(__xludf.DUMMYFUNCTION("""COMPUTED_VALUE"""),"Pearl White Multi-Coat")</f>
        <v>Pearl White Multi-Coat</v>
      </c>
      <c r="P684" s="153" t="str">
        <f>IFERROR(__xludf.DUMMYFUNCTION("""COMPUTED_VALUE"""),"19 inch")</f>
        <v>19 inch</v>
      </c>
      <c r="Q684" s="152" t="str">
        <f>IFERROR(__xludf.DUMMYFUNCTION("""COMPUTED_VALUE"""),"Black and White")</f>
        <v>Black and White</v>
      </c>
      <c r="R684" s="149" t="str">
        <f>IFERROR(__xludf.DUMMYFUNCTION("""COMPUTED_VALUE"""),"Autopilot included")</f>
        <v>Autopilot included</v>
      </c>
      <c r="S684" s="149" t="str">
        <f>IFERROR(__xludf.DUMMYFUNCTION("""COMPUTED_VALUE"""),"Lease")</f>
        <v>Lease</v>
      </c>
      <c r="T684" s="145"/>
      <c r="U684" s="145" t="str">
        <f>IFERROR(__xludf.DUMMYFUNCTION("""COMPUTED_VALUE"""),"Electric!")</f>
        <v>Electric!</v>
      </c>
      <c r="V684" s="145"/>
      <c r="W684" s="145" t="str">
        <f>IFERROR(__xludf.DUMMYFUNCTION("""COMPUTED_VALUE"""),"have patience ! you'll love it ")</f>
        <v>have patience ! you'll love it </v>
      </c>
      <c r="X684" s="137" t="str">
        <f>IFERROR(__xludf.DUMMYFUNCTION("""COMPUTED_VALUE"""),"Good")</f>
        <v>Good</v>
      </c>
      <c r="Y684" s="138" t="str">
        <f>IFERROR(__xludf.DUMMYFUNCTION("""COMPUTED_VALUE"""),"Good")</f>
        <v>Good</v>
      </c>
      <c r="Z684" s="138" t="str">
        <f>IFERROR(__xludf.DUMMYFUNCTION("""COMPUTED_VALUE"""),"Poor")</f>
        <v>Poor</v>
      </c>
      <c r="AA684" s="138" t="str">
        <f>IFERROR(__xludf.DUMMYFUNCTION("""COMPUTED_VALUE"""),"Very Good")</f>
        <v>Very Good</v>
      </c>
      <c r="AB684" s="138" t="str">
        <f>IFERROR(__xludf.DUMMYFUNCTION("""COMPUTED_VALUE"""),"Very Good")</f>
        <v>Very Good</v>
      </c>
      <c r="AC684" s="139">
        <f>IFERROR(__xludf.DUMMYFUNCTION("""COMPUTED_VALUE"""),5.0)</f>
        <v>5</v>
      </c>
      <c r="AD684" s="139">
        <f>IFERROR(__xludf.DUMMYFUNCTION("""COMPUTED_VALUE"""),2.0)</f>
        <v>2</v>
      </c>
      <c r="AE684" s="139"/>
      <c r="AF684" s="140" t="str">
        <f>IFERROR(__xludf.DUMMYFUNCTION("""COMPUTED_VALUE"""),"No. I took delivery of the first car Tesla was able to deliver.")</f>
        <v>No. I took delivery of the first car Tesla was able to deliver.</v>
      </c>
      <c r="AG684" s="145" t="str">
        <f>IFERROR(__xludf.DUMMYFUNCTION("""COMPUTED_VALUE"""),"accepted delivery of different make(tires and interior) for sooner delivery. Someone declined delivery and I took theirs :) ")</f>
        <v>accepted delivery of different make(tires and interior) for sooner delivery. Someone declined delivery and I took theirs :) </v>
      </c>
      <c r="AH684" s="157">
        <f>IFERROR(__xludf.DUMMYFUNCTION("""COMPUTED_VALUE"""),44387.86191197917)</f>
        <v>44387.86191</v>
      </c>
      <c r="AI684" s="138"/>
      <c r="AJ684" s="138"/>
      <c r="AK684" s="138"/>
      <c r="AL684" s="142"/>
    </row>
    <row r="685" ht="20.25" customHeight="1">
      <c r="A685" s="155" t="str">
        <f>IFERROR(__xludf.DUMMYFUNCTION("""COMPUTED_VALUE"""),"ED")</f>
        <v>ED</v>
      </c>
      <c r="B685" s="149" t="str">
        <f>IFERROR(__xludf.DUMMYFUNCTION("""COMPUTED_VALUE"""),"Los Angeles")</f>
        <v>Los Angeles</v>
      </c>
      <c r="C685" s="149" t="str">
        <f>IFERROR(__xludf.DUMMYFUNCTION("""COMPUTED_VALUE"""),"CA")</f>
        <v>CA</v>
      </c>
      <c r="D685" s="149" t="str">
        <f>IFERROR(__xludf.DUMMYFUNCTION("""COMPUTED_VALUE"""),"USA")</f>
        <v>USA</v>
      </c>
      <c r="E685" s="156">
        <f>IFERROR(__xludf.DUMMYFUNCTION("""COMPUTED_VALUE"""),44347.0)</f>
        <v>44347</v>
      </c>
      <c r="F685" s="129">
        <f>IFERROR(__xludf.DUMMYFUNCTION("""COMPUTED_VALUE"""),44417.0)</f>
        <v>44417</v>
      </c>
      <c r="G685" s="154" t="str">
        <f>IFERROR(__xludf.DUMMYFUNCTION("""COMPUTED_VALUE"""),"Manage order page (normal text)")</f>
        <v>Manage order page (normal text)</v>
      </c>
      <c r="H685" s="131"/>
      <c r="I685" s="144"/>
      <c r="J685" s="129">
        <f>IFERROR(__xludf.DUMMYFUNCTION("""COMPUTED_VALUE"""),44420.0)</f>
        <v>44420</v>
      </c>
      <c r="K685" s="133">
        <f>IFERROR(__xludf.DUMMYFUNCTION("""COMPUTED_VALUE"""),70.0)</f>
        <v>70</v>
      </c>
      <c r="L685" s="133">
        <f>IFERROR(__xludf.DUMMYFUNCTION("""COMPUTED_VALUE"""),3.0)</f>
        <v>3</v>
      </c>
      <c r="M685" s="133">
        <f>IFERROR(__xludf.DUMMYFUNCTION("""COMPUTED_VALUE"""),73.0)</f>
        <v>73</v>
      </c>
      <c r="N685" s="152" t="str">
        <f>IFERROR(__xludf.DUMMYFUNCTION("""COMPUTED_VALUE"""),"Model 3 SR+")</f>
        <v>Model 3 SR+</v>
      </c>
      <c r="O685" s="152" t="str">
        <f>IFERROR(__xludf.DUMMYFUNCTION("""COMPUTED_VALUE"""),"Pearl White Multi-Coat")</f>
        <v>Pearl White Multi-Coat</v>
      </c>
      <c r="P685" s="153" t="str">
        <f>IFERROR(__xludf.DUMMYFUNCTION("""COMPUTED_VALUE"""),"19 inch")</f>
        <v>19 inch</v>
      </c>
      <c r="Q685" s="152" t="str">
        <f>IFERROR(__xludf.DUMMYFUNCTION("""COMPUTED_VALUE"""),"All Black")</f>
        <v>All Black</v>
      </c>
      <c r="R685" s="149" t="str">
        <f>IFERROR(__xludf.DUMMYFUNCTION("""COMPUTED_VALUE"""),"Autopilot included")</f>
        <v>Autopilot included</v>
      </c>
      <c r="S685" s="149" t="str">
        <f>IFERROR(__xludf.DUMMYFUNCTION("""COMPUTED_VALUE"""),"Loan")</f>
        <v>Loan</v>
      </c>
      <c r="T685" s="145"/>
      <c r="U685" s="145" t="str">
        <f>IFERROR(__xludf.DUMMYFUNCTION("""COMPUTED_VALUE"""),"Electric!")</f>
        <v>Electric!</v>
      </c>
      <c r="V685" s="145" t="str">
        <f>IFERROR(__xludf.DUMMYFUNCTION("""COMPUTED_VALUE"""),"Apple CarPlay / Android Auto / SiriusXM Radio")</f>
        <v>Apple CarPlay / Android Auto / SiriusXM Radio</v>
      </c>
      <c r="W685" s="145"/>
      <c r="X685" s="137"/>
      <c r="Y685" s="138"/>
      <c r="Z685" s="138"/>
      <c r="AA685" s="138"/>
      <c r="AB685" s="138"/>
      <c r="AC685" s="139"/>
      <c r="AD685" s="139"/>
      <c r="AE685" s="139"/>
      <c r="AF685" s="140"/>
      <c r="AG685" s="145"/>
      <c r="AH685" s="157">
        <f>IFERROR(__xludf.DUMMYFUNCTION("""COMPUTED_VALUE"""),44419.4367493287)</f>
        <v>44419.43675</v>
      </c>
      <c r="AI685" s="138"/>
      <c r="AJ685" s="138"/>
      <c r="AK685" s="138"/>
      <c r="AL685" s="142"/>
    </row>
    <row r="686" ht="20.25" customHeight="1">
      <c r="A686" s="155" t="str">
        <f>IFERROR(__xludf.DUMMYFUNCTION("""COMPUTED_VALUE"""),"UniTuLa")</f>
        <v>UniTuLa</v>
      </c>
      <c r="B686" s="149" t="str">
        <f>IFERROR(__xludf.DUMMYFUNCTION("""COMPUTED_VALUE"""),"Los Angeles")</f>
        <v>Los Angeles</v>
      </c>
      <c r="C686" s="149" t="str">
        <f>IFERROR(__xludf.DUMMYFUNCTION("""COMPUTED_VALUE"""),"CA")</f>
        <v>CA</v>
      </c>
      <c r="D686" s="149" t="str">
        <f>IFERROR(__xludf.DUMMYFUNCTION("""COMPUTED_VALUE"""),"USA")</f>
        <v>USA</v>
      </c>
      <c r="E686" s="156">
        <f>IFERROR(__xludf.DUMMYFUNCTION("""COMPUTED_VALUE"""),44347.0)</f>
        <v>44347</v>
      </c>
      <c r="F686" s="129">
        <f>IFERROR(__xludf.DUMMYFUNCTION("""COMPUTED_VALUE"""),44406.0)</f>
        <v>44406</v>
      </c>
      <c r="G686" s="154" t="str">
        <f>IFERROR(__xludf.DUMMYFUNCTION("""COMPUTED_VALUE"""),"Manage order page (normal text)")</f>
        <v>Manage order page (normal text)</v>
      </c>
      <c r="H686" s="131"/>
      <c r="I686" s="144"/>
      <c r="J686" s="129">
        <f>IFERROR(__xludf.DUMMYFUNCTION("""COMPUTED_VALUE"""),44409.0)</f>
        <v>44409</v>
      </c>
      <c r="K686" s="133">
        <f>IFERROR(__xludf.DUMMYFUNCTION("""COMPUTED_VALUE"""),59.0)</f>
        <v>59</v>
      </c>
      <c r="L686" s="133">
        <f>IFERROR(__xludf.DUMMYFUNCTION("""COMPUTED_VALUE"""),3.0)</f>
        <v>3</v>
      </c>
      <c r="M686" s="133">
        <f>IFERROR(__xludf.DUMMYFUNCTION("""COMPUTED_VALUE"""),62.0)</f>
        <v>62</v>
      </c>
      <c r="N686" s="152" t="str">
        <f>IFERROR(__xludf.DUMMYFUNCTION("""COMPUTED_VALUE"""),"Model 3 SR+")</f>
        <v>Model 3 SR+</v>
      </c>
      <c r="O686" s="152" t="str">
        <f>IFERROR(__xludf.DUMMYFUNCTION("""COMPUTED_VALUE"""),"Pearl White Multi-Coat")</f>
        <v>Pearl White Multi-Coat</v>
      </c>
      <c r="P686" s="153" t="str">
        <f>IFERROR(__xludf.DUMMYFUNCTION("""COMPUTED_VALUE"""),"18 inch")</f>
        <v>18 inch</v>
      </c>
      <c r="Q686" s="152" t="str">
        <f>IFERROR(__xludf.DUMMYFUNCTION("""COMPUTED_VALUE"""),"All Black")</f>
        <v>All Black</v>
      </c>
      <c r="R686" s="149" t="str">
        <f>IFERROR(__xludf.DUMMYFUNCTION("""COMPUTED_VALUE"""),"Autopilot included")</f>
        <v>Autopilot included</v>
      </c>
      <c r="S686" s="149" t="str">
        <f>IFERROR(__xludf.DUMMYFUNCTION("""COMPUTED_VALUE"""),"Loan")</f>
        <v>Loan</v>
      </c>
      <c r="T686" s="145" t="str">
        <f>IFERROR(__xludf.DUMMYFUNCTION("""COMPUTED_VALUE"""),"VW Golf")</f>
        <v>VW Golf</v>
      </c>
      <c r="U686" s="145" t="str">
        <f>IFERROR(__xludf.DUMMYFUNCTION("""COMPUTED_VALUE"""),"Electric!")</f>
        <v>Electric!</v>
      </c>
      <c r="V686" s="145" t="str">
        <f>IFERROR(__xludf.DUMMYFUNCTION("""COMPUTED_VALUE"""),"Head-up display")</f>
        <v>Head-up display</v>
      </c>
      <c r="W686" s="145"/>
      <c r="X686" s="137"/>
      <c r="Y686" s="138"/>
      <c r="Z686" s="138"/>
      <c r="AA686" s="138"/>
      <c r="AB686" s="138"/>
      <c r="AC686" s="139"/>
      <c r="AD686" s="139"/>
      <c r="AE686" s="139"/>
      <c r="AF686" s="140"/>
      <c r="AG686" s="145"/>
      <c r="AH686" s="157">
        <f>IFERROR(__xludf.DUMMYFUNCTION("""COMPUTED_VALUE"""),44411.914830347225)</f>
        <v>44411.91483</v>
      </c>
      <c r="AI686" s="138"/>
      <c r="AJ686" s="138"/>
      <c r="AK686" s="138"/>
      <c r="AL686" s="142"/>
    </row>
    <row r="687" ht="20.25" customHeight="1">
      <c r="A687" s="155" t="str">
        <f>IFERROR(__xludf.DUMMYFUNCTION("""COMPUTED_VALUE"""),"ATCMAN")</f>
        <v>ATCMAN</v>
      </c>
      <c r="B687" s="149" t="str">
        <f>IFERROR(__xludf.DUMMYFUNCTION("""COMPUTED_VALUE"""),"Charlotte")</f>
        <v>Charlotte</v>
      </c>
      <c r="C687" s="149" t="str">
        <f>IFERROR(__xludf.DUMMYFUNCTION("""COMPUTED_VALUE"""),"NC")</f>
        <v>NC</v>
      </c>
      <c r="D687" s="149" t="str">
        <f>IFERROR(__xludf.DUMMYFUNCTION("""COMPUTED_VALUE"""),"USA")</f>
        <v>USA</v>
      </c>
      <c r="E687" s="156">
        <f>IFERROR(__xludf.DUMMYFUNCTION("""COMPUTED_VALUE"""),44346.0)</f>
        <v>44346</v>
      </c>
      <c r="F687" s="129">
        <f>IFERROR(__xludf.DUMMYFUNCTION("""COMPUTED_VALUE"""),44407.0)</f>
        <v>44407</v>
      </c>
      <c r="G687" s="154" t="str">
        <f>IFERROR(__xludf.DUMMYFUNCTION("""COMPUTED_VALUE"""),"Email")</f>
        <v>Email</v>
      </c>
      <c r="H687" s="131">
        <f>IFERROR(__xludf.DUMMYFUNCTION("""COMPUTED_VALUE"""),23055.0)</f>
        <v>23055</v>
      </c>
      <c r="I687" s="144"/>
      <c r="J687" s="129">
        <f>IFERROR(__xludf.DUMMYFUNCTION("""COMPUTED_VALUE"""),44423.0)</f>
        <v>44423</v>
      </c>
      <c r="K687" s="133">
        <f>IFERROR(__xludf.DUMMYFUNCTION("""COMPUTED_VALUE"""),61.0)</f>
        <v>61</v>
      </c>
      <c r="L687" s="133">
        <f>IFERROR(__xludf.DUMMYFUNCTION("""COMPUTED_VALUE"""),16.0)</f>
        <v>16</v>
      </c>
      <c r="M687" s="133">
        <f>IFERROR(__xludf.DUMMYFUNCTION("""COMPUTED_VALUE"""),77.0)</f>
        <v>77</v>
      </c>
      <c r="N687" s="152" t="str">
        <f>IFERROR(__xludf.DUMMYFUNCTION("""COMPUTED_VALUE"""),"Model 3 SR+")</f>
        <v>Model 3 SR+</v>
      </c>
      <c r="O687" s="152" t="str">
        <f>IFERROR(__xludf.DUMMYFUNCTION("""COMPUTED_VALUE"""),"Deep Blue Metallic")</f>
        <v>Deep Blue Metallic</v>
      </c>
      <c r="P687" s="153" t="str">
        <f>IFERROR(__xludf.DUMMYFUNCTION("""COMPUTED_VALUE"""),"18 inch")</f>
        <v>18 inch</v>
      </c>
      <c r="Q687" s="152" t="str">
        <f>IFERROR(__xludf.DUMMYFUNCTION("""COMPUTED_VALUE"""),"All Black")</f>
        <v>All Black</v>
      </c>
      <c r="R687" s="149" t="str">
        <f>IFERROR(__xludf.DUMMYFUNCTION("""COMPUTED_VALUE"""),"Autopilot included")</f>
        <v>Autopilot included</v>
      </c>
      <c r="S687" s="149" t="str">
        <f>IFERROR(__xludf.DUMMYFUNCTION("""COMPUTED_VALUE"""),"Cash")</f>
        <v>Cash</v>
      </c>
      <c r="T687" s="145"/>
      <c r="U687" s="145"/>
      <c r="V687" s="145" t="str">
        <f>IFERROR(__xludf.DUMMYFUNCTION("""COMPUTED_VALUE"""),"Head-up display")</f>
        <v>Head-up display</v>
      </c>
      <c r="W687" s="145"/>
      <c r="X687" s="137"/>
      <c r="Y687" s="138"/>
      <c r="Z687" s="138"/>
      <c r="AA687" s="138"/>
      <c r="AB687" s="138"/>
      <c r="AC687" s="139"/>
      <c r="AD687" s="139"/>
      <c r="AE687" s="139"/>
      <c r="AF687" s="140"/>
      <c r="AG687" s="145"/>
      <c r="AH687" s="157">
        <f>IFERROR(__xludf.DUMMYFUNCTION("""COMPUTED_VALUE"""),44423.48341423611)</f>
        <v>44423.48341</v>
      </c>
      <c r="AI687" s="138"/>
      <c r="AJ687" s="138"/>
      <c r="AK687" s="138"/>
      <c r="AL687" s="142"/>
    </row>
    <row r="688" ht="20.25" customHeight="1">
      <c r="A688" s="155" t="str">
        <f>IFERROR(__xludf.DUMMYFUNCTION("""COMPUTED_VALUE"""),"dorydiver")</f>
        <v>dorydiver</v>
      </c>
      <c r="B688" s="149" t="str">
        <f>IFERROR(__xludf.DUMMYFUNCTION("""COMPUTED_VALUE"""),"Monterey, CA")</f>
        <v>Monterey, CA</v>
      </c>
      <c r="C688" s="149" t="str">
        <f>IFERROR(__xludf.DUMMYFUNCTION("""COMPUTED_VALUE"""),"CA")</f>
        <v>CA</v>
      </c>
      <c r="D688" s="149" t="str">
        <f>IFERROR(__xludf.DUMMYFUNCTION("""COMPUTED_VALUE"""),"USA")</f>
        <v>USA</v>
      </c>
      <c r="E688" s="156">
        <f>IFERROR(__xludf.DUMMYFUNCTION("""COMPUTED_VALUE"""),44346.0)</f>
        <v>44346</v>
      </c>
      <c r="F688" s="129">
        <f>IFERROR(__xludf.DUMMYFUNCTION("""COMPUTED_VALUE"""),44375.0)</f>
        <v>44375</v>
      </c>
      <c r="G688" s="154" t="str">
        <f>IFERROR(__xludf.DUMMYFUNCTION("""COMPUTED_VALUE"""),"Text message")</f>
        <v>Text message</v>
      </c>
      <c r="H688" s="131">
        <f>IFERROR(__xludf.DUMMYFUNCTION("""COMPUTED_VALUE"""),7255.0)</f>
        <v>7255</v>
      </c>
      <c r="I688" s="144" t="str">
        <f>IFERROR(__xludf.DUMMYFUNCTION("""COMPUTED_VALUE"""),"06/21")</f>
        <v>06/21</v>
      </c>
      <c r="J688" s="129">
        <f>IFERROR(__xludf.DUMMYFUNCTION("""COMPUTED_VALUE"""),44377.0)</f>
        <v>44377</v>
      </c>
      <c r="K688" s="133">
        <f>IFERROR(__xludf.DUMMYFUNCTION("""COMPUTED_VALUE"""),29.0)</f>
        <v>29</v>
      </c>
      <c r="L688" s="133">
        <f>IFERROR(__xludf.DUMMYFUNCTION("""COMPUTED_VALUE"""),2.0)</f>
        <v>2</v>
      </c>
      <c r="M688" s="133">
        <f>IFERROR(__xludf.DUMMYFUNCTION("""COMPUTED_VALUE"""),31.0)</f>
        <v>31</v>
      </c>
      <c r="N688" s="152" t="str">
        <f>IFERROR(__xludf.DUMMYFUNCTION("""COMPUTED_VALUE"""),"Model 3 SR+")</f>
        <v>Model 3 SR+</v>
      </c>
      <c r="O688" s="152" t="str">
        <f>IFERROR(__xludf.DUMMYFUNCTION("""COMPUTED_VALUE"""),"Midnight Silver Metallic")</f>
        <v>Midnight Silver Metallic</v>
      </c>
      <c r="P688" s="153" t="str">
        <f>IFERROR(__xludf.DUMMYFUNCTION("""COMPUTED_VALUE"""),"18 inch")</f>
        <v>18 inch</v>
      </c>
      <c r="Q688" s="152" t="str">
        <f>IFERROR(__xludf.DUMMYFUNCTION("""COMPUTED_VALUE"""),"All Black")</f>
        <v>All Black</v>
      </c>
      <c r="R688" s="149" t="str">
        <f>IFERROR(__xludf.DUMMYFUNCTION("""COMPUTED_VALUE"""),"Autopilot included")</f>
        <v>Autopilot included</v>
      </c>
      <c r="S688" s="149" t="str">
        <f>IFERROR(__xludf.DUMMYFUNCTION("""COMPUTED_VALUE"""),"Cash")</f>
        <v>Cash</v>
      </c>
      <c r="T688" s="145" t="str">
        <f>IFERROR(__xludf.DUMMYFUNCTION("""COMPUTED_VALUE"""),"Hyundai Elantra")</f>
        <v>Hyundai Elantra</v>
      </c>
      <c r="U688" s="145" t="str">
        <f>IFERROR(__xludf.DUMMYFUNCTION("""COMPUTED_VALUE"""),"technology")</f>
        <v>technology</v>
      </c>
      <c r="V688" s="145" t="str">
        <f>IFERROR(__xludf.DUMMYFUNCTION("""COMPUTED_VALUE"""),"Apple CarPlay / Android Auto / SiriusXM Radio")</f>
        <v>Apple CarPlay / Android Auto / SiriusXM Radio</v>
      </c>
      <c r="W688" s="145"/>
      <c r="X688" s="137"/>
      <c r="Y688" s="138"/>
      <c r="Z688" s="138"/>
      <c r="AA688" s="138" t="str">
        <f>IFERROR(__xludf.DUMMYFUNCTION("""COMPUTED_VALUE"""),"Very Good")</f>
        <v>Very Good</v>
      </c>
      <c r="AB688" s="138"/>
      <c r="AC688" s="139"/>
      <c r="AD688" s="139"/>
      <c r="AE688" s="139"/>
      <c r="AF688" s="140" t="str">
        <f>IFERROR(__xludf.DUMMYFUNCTION("""COMPUTED_VALUE"""),"No. I took delivery of the first car Tesla was able to deliver.")</f>
        <v>No. I took delivery of the first car Tesla was able to deliver.</v>
      </c>
      <c r="AG688" s="145"/>
      <c r="AH688" s="157">
        <f>IFERROR(__xludf.DUMMYFUNCTION("""COMPUTED_VALUE"""),44375.321678900465)</f>
        <v>44375.32168</v>
      </c>
      <c r="AI688" s="138"/>
      <c r="AJ688" s="138"/>
      <c r="AK688" s="138"/>
      <c r="AL688" s="142"/>
    </row>
    <row r="689" ht="20.25" customHeight="1">
      <c r="A689" s="155" t="str">
        <f>IFERROR(__xludf.DUMMYFUNCTION("""COMPUTED_VALUE"""),"filmpoet")</f>
        <v>filmpoet</v>
      </c>
      <c r="B689" s="149" t="str">
        <f>IFERROR(__xludf.DUMMYFUNCTION("""COMPUTED_VALUE"""),"Atlanta")</f>
        <v>Atlanta</v>
      </c>
      <c r="C689" s="149" t="str">
        <f>IFERROR(__xludf.DUMMYFUNCTION("""COMPUTED_VALUE"""),"GA")</f>
        <v>GA</v>
      </c>
      <c r="D689" s="149" t="str">
        <f>IFERROR(__xludf.DUMMYFUNCTION("""COMPUTED_VALUE"""),"USA")</f>
        <v>USA</v>
      </c>
      <c r="E689" s="156">
        <f>IFERROR(__xludf.DUMMYFUNCTION("""COMPUTED_VALUE"""),44346.0)</f>
        <v>44346</v>
      </c>
      <c r="F689" s="129">
        <f>IFERROR(__xludf.DUMMYFUNCTION("""COMPUTED_VALUE"""),44364.0)</f>
        <v>44364</v>
      </c>
      <c r="G689" s="154" t="str">
        <f>IFERROR(__xludf.DUMMYFUNCTION("""COMPUTED_VALUE"""),"Email")</f>
        <v>Email</v>
      </c>
      <c r="H689" s="131"/>
      <c r="I689" s="144" t="str">
        <f>IFERROR(__xludf.DUMMYFUNCTION("""COMPUTED_VALUE"""),"06/21")</f>
        <v>06/21</v>
      </c>
      <c r="J689" s="129">
        <f>IFERROR(__xludf.DUMMYFUNCTION("""COMPUTED_VALUE"""),44374.0)</f>
        <v>44374</v>
      </c>
      <c r="K689" s="133">
        <f>IFERROR(__xludf.DUMMYFUNCTION("""COMPUTED_VALUE"""),18.0)</f>
        <v>18</v>
      </c>
      <c r="L689" s="133">
        <f>IFERROR(__xludf.DUMMYFUNCTION("""COMPUTED_VALUE"""),10.0)</f>
        <v>10</v>
      </c>
      <c r="M689" s="133">
        <f>IFERROR(__xludf.DUMMYFUNCTION("""COMPUTED_VALUE"""),28.0)</f>
        <v>28</v>
      </c>
      <c r="N689" s="152" t="str">
        <f>IFERROR(__xludf.DUMMYFUNCTION("""COMPUTED_VALUE"""),"Model 3 Performance")</f>
        <v>Model 3 Performance</v>
      </c>
      <c r="O689" s="152" t="str">
        <f>IFERROR(__xludf.DUMMYFUNCTION("""COMPUTED_VALUE"""),"Solid Black")</f>
        <v>Solid Black</v>
      </c>
      <c r="P689" s="153" t="str">
        <f>IFERROR(__xludf.DUMMYFUNCTION("""COMPUTED_VALUE"""),"20 inch")</f>
        <v>20 inch</v>
      </c>
      <c r="Q689" s="152" t="str">
        <f>IFERROR(__xludf.DUMMYFUNCTION("""COMPUTED_VALUE"""),"All Black")</f>
        <v>All Black</v>
      </c>
      <c r="R689" s="149" t="str">
        <f>IFERROR(__xludf.DUMMYFUNCTION("""COMPUTED_VALUE"""),"Autopilot included")</f>
        <v>Autopilot included</v>
      </c>
      <c r="S689" s="149" t="str">
        <f>IFERROR(__xludf.DUMMYFUNCTION("""COMPUTED_VALUE"""),"Lease")</f>
        <v>Lease</v>
      </c>
      <c r="T689" s="145" t="str">
        <f>IFERROR(__xludf.DUMMYFUNCTION("""COMPUTED_VALUE"""),"Ford Shelby GT350")</f>
        <v>Ford Shelby GT350</v>
      </c>
      <c r="U689" s="145" t="str">
        <f>IFERROR(__xludf.DUMMYFUNCTION("""COMPUTED_VALUE"""),"Electric!")</f>
        <v>Electric!</v>
      </c>
      <c r="V689" s="145" t="str">
        <f>IFERROR(__xludf.DUMMYFUNCTION("""COMPUTED_VALUE"""),"Apple CarPlay / Android Auto / SiriusXM Radio")</f>
        <v>Apple CarPlay / Android Auto / SiriusXM Radio</v>
      </c>
      <c r="W689" s="145" t="str">
        <f>IFERROR(__xludf.DUMMYFUNCTION("""COMPUTED_VALUE"""),"Just be patient and finish all your account steps asap")</f>
        <v>Just be patient and finish all your account steps asap</v>
      </c>
      <c r="X689" s="137" t="str">
        <f>IFERROR(__xludf.DUMMYFUNCTION("""COMPUTED_VALUE"""),"Excellent")</f>
        <v>Excellent</v>
      </c>
      <c r="Y689" s="138" t="str">
        <f>IFERROR(__xludf.DUMMYFUNCTION("""COMPUTED_VALUE"""),"Excellent")</f>
        <v>Excellent</v>
      </c>
      <c r="Z689" s="138" t="str">
        <f>IFERROR(__xludf.DUMMYFUNCTION("""COMPUTED_VALUE"""),"Excellent")</f>
        <v>Excellent</v>
      </c>
      <c r="AA689" s="138" t="str">
        <f>IFERROR(__xludf.DUMMYFUNCTION("""COMPUTED_VALUE"""),"Good")</f>
        <v>Good</v>
      </c>
      <c r="AB689" s="138" t="str">
        <f>IFERROR(__xludf.DUMMYFUNCTION("""COMPUTED_VALUE"""),"Good")</f>
        <v>Good</v>
      </c>
      <c r="AC689" s="139">
        <f>IFERROR(__xludf.DUMMYFUNCTION("""COMPUTED_VALUE"""),0.0)</f>
        <v>0</v>
      </c>
      <c r="AD689" s="139">
        <f>IFERROR(__xludf.DUMMYFUNCTION("""COMPUTED_VALUE"""),0.0)</f>
        <v>0</v>
      </c>
      <c r="AE689" s="139">
        <f>IFERROR(__xludf.DUMMYFUNCTION("""COMPUTED_VALUE"""),0.0)</f>
        <v>0</v>
      </c>
      <c r="AF689" s="140" t="str">
        <f>IFERROR(__xludf.DUMMYFUNCTION("""COMPUTED_VALUE"""),"No. I took delivery of the first car Tesla was able to deliver.")</f>
        <v>No. I took delivery of the first car Tesla was able to deliver.</v>
      </c>
      <c r="AG689" s="145" t="str">
        <f>IFERROR(__xludf.DUMMYFUNCTION("""COMPUTED_VALUE"""),"Don't be afraid to contact Tesla via online chat box")</f>
        <v>Don't be afraid to contact Tesla via online chat box</v>
      </c>
      <c r="AH689" s="157">
        <f>IFERROR(__xludf.DUMMYFUNCTION("""COMPUTED_VALUE"""),44383.71618321759)</f>
        <v>44383.71618</v>
      </c>
      <c r="AI689" s="138"/>
      <c r="AJ689" s="138"/>
      <c r="AK689" s="138"/>
      <c r="AL689" s="142"/>
    </row>
    <row r="690" ht="20.25" customHeight="1">
      <c r="A690" s="155" t="str">
        <f>IFERROR(__xludf.DUMMYFUNCTION("""COMPUTED_VALUE"""),"kapeman_")</f>
        <v>kapeman_</v>
      </c>
      <c r="B690" s="149"/>
      <c r="C690" s="149" t="str">
        <f>IFERROR(__xludf.DUMMYFUNCTION("""COMPUTED_VALUE"""),"AL")</f>
        <v>AL</v>
      </c>
      <c r="D690" s="149" t="str">
        <f>IFERROR(__xludf.DUMMYFUNCTION("""COMPUTED_VALUE"""),"USA")</f>
        <v>USA</v>
      </c>
      <c r="E690" s="156">
        <f>IFERROR(__xludf.DUMMYFUNCTION("""COMPUTED_VALUE"""),44346.0)</f>
        <v>44346</v>
      </c>
      <c r="F690" s="129">
        <f>IFERROR(__xludf.DUMMYFUNCTION("""COMPUTED_VALUE"""),44395.0)</f>
        <v>44395</v>
      </c>
      <c r="G690" s="154" t="str">
        <f>IFERROR(__xludf.DUMMYFUNCTION("""COMPUTED_VALUE"""),"Manage order page (normal text)")</f>
        <v>Manage order page (normal text)</v>
      </c>
      <c r="H690" s="131"/>
      <c r="I690" s="144"/>
      <c r="J690" s="129">
        <f>IFERROR(__xludf.DUMMYFUNCTION("""COMPUTED_VALUE"""),44413.0)</f>
        <v>44413</v>
      </c>
      <c r="K690" s="133">
        <f>IFERROR(__xludf.DUMMYFUNCTION("""COMPUTED_VALUE"""),49.0)</f>
        <v>49</v>
      </c>
      <c r="L690" s="133">
        <f>IFERROR(__xludf.DUMMYFUNCTION("""COMPUTED_VALUE"""),18.0)</f>
        <v>18</v>
      </c>
      <c r="M690" s="133">
        <f>IFERROR(__xludf.DUMMYFUNCTION("""COMPUTED_VALUE"""),67.0)</f>
        <v>67</v>
      </c>
      <c r="N690" s="152" t="str">
        <f>IFERROR(__xludf.DUMMYFUNCTION("""COMPUTED_VALUE"""),"Model 3 SR+")</f>
        <v>Model 3 SR+</v>
      </c>
      <c r="O690" s="152" t="str">
        <f>IFERROR(__xludf.DUMMYFUNCTION("""COMPUTED_VALUE"""),"Deep Blue Metallic")</f>
        <v>Deep Blue Metallic</v>
      </c>
      <c r="P690" s="153" t="str">
        <f>IFERROR(__xludf.DUMMYFUNCTION("""COMPUTED_VALUE"""),"18 inch")</f>
        <v>18 inch</v>
      </c>
      <c r="Q690" s="152" t="str">
        <f>IFERROR(__xludf.DUMMYFUNCTION("""COMPUTED_VALUE"""),"Black and White")</f>
        <v>Black and White</v>
      </c>
      <c r="R690" s="149" t="str">
        <f>IFERROR(__xludf.DUMMYFUNCTION("""COMPUTED_VALUE"""),"Autopilot included")</f>
        <v>Autopilot included</v>
      </c>
      <c r="S690" s="149" t="str">
        <f>IFERROR(__xludf.DUMMYFUNCTION("""COMPUTED_VALUE"""),"Loan")</f>
        <v>Loan</v>
      </c>
      <c r="T690" s="145" t="str">
        <f>IFERROR(__xludf.DUMMYFUNCTION("""COMPUTED_VALUE"""),"Honda Accord")</f>
        <v>Honda Accord</v>
      </c>
      <c r="U690" s="145" t="str">
        <f>IFERROR(__xludf.DUMMYFUNCTION("""COMPUTED_VALUE"""),"Constant updates to features/functions")</f>
        <v>Constant updates to features/functions</v>
      </c>
      <c r="V690" s="145" t="str">
        <f>IFERROR(__xludf.DUMMYFUNCTION("""COMPUTED_VALUE"""),"Head-up display")</f>
        <v>Head-up display</v>
      </c>
      <c r="W690" s="145"/>
      <c r="X690" s="137"/>
      <c r="Y690" s="138"/>
      <c r="Z690" s="138"/>
      <c r="AA690" s="138"/>
      <c r="AB690" s="138"/>
      <c r="AC690" s="139"/>
      <c r="AD690" s="139"/>
      <c r="AE690" s="139"/>
      <c r="AF690" s="140"/>
      <c r="AG690" s="145"/>
      <c r="AH690" s="157">
        <f>IFERROR(__xludf.DUMMYFUNCTION("""COMPUTED_VALUE"""),44405.310589768524)</f>
        <v>44405.31059</v>
      </c>
      <c r="AI690" s="138"/>
      <c r="AJ690" s="138"/>
      <c r="AK690" s="138"/>
      <c r="AL690" s="142"/>
    </row>
    <row r="691" ht="20.25" customHeight="1">
      <c r="A691" s="155" t="str">
        <f>IFERROR(__xludf.DUMMYFUNCTION("""COMPUTED_VALUE"""),"marcham")</f>
        <v>marcham</v>
      </c>
      <c r="B691" s="149" t="str">
        <f>IFERROR(__xludf.DUMMYFUNCTION("""COMPUTED_VALUE"""),"Vancouver")</f>
        <v>Vancouver</v>
      </c>
      <c r="C691" s="149" t="str">
        <f>IFERROR(__xludf.DUMMYFUNCTION("""COMPUTED_VALUE"""),"BC")</f>
        <v>BC</v>
      </c>
      <c r="D691" s="149" t="str">
        <f>IFERROR(__xludf.DUMMYFUNCTION("""COMPUTED_VALUE"""),"Canada")</f>
        <v>Canada</v>
      </c>
      <c r="E691" s="156">
        <f>IFERROR(__xludf.DUMMYFUNCTION("""COMPUTED_VALUE"""),44346.0)</f>
        <v>44346</v>
      </c>
      <c r="F691" s="129">
        <f>IFERROR(__xludf.DUMMYFUNCTION("""COMPUTED_VALUE"""),44362.0)</f>
        <v>44362</v>
      </c>
      <c r="G691" s="154" t="str">
        <f>IFERROR(__xludf.DUMMYFUNCTION("""COMPUTED_VALUE"""),"Manage order page (normal text)")</f>
        <v>Manage order page (normal text)</v>
      </c>
      <c r="H691" s="131">
        <f>IFERROR(__xludf.DUMMYFUNCTION("""COMPUTED_VALUE"""),984455.0)</f>
        <v>984455</v>
      </c>
      <c r="I691" s="144"/>
      <c r="J691" s="129">
        <f>IFERROR(__xludf.DUMMYFUNCTION("""COMPUTED_VALUE"""),44366.0)</f>
        <v>44366</v>
      </c>
      <c r="K691" s="133">
        <f>IFERROR(__xludf.DUMMYFUNCTION("""COMPUTED_VALUE"""),16.0)</f>
        <v>16</v>
      </c>
      <c r="L691" s="133">
        <f>IFERROR(__xludf.DUMMYFUNCTION("""COMPUTED_VALUE"""),4.0)</f>
        <v>4</v>
      </c>
      <c r="M691" s="133">
        <f>IFERROR(__xludf.DUMMYFUNCTION("""COMPUTED_VALUE"""),20.0)</f>
        <v>20</v>
      </c>
      <c r="N691" s="152" t="str">
        <f>IFERROR(__xludf.DUMMYFUNCTION("""COMPUTED_VALUE"""),"Model 3 SR+")</f>
        <v>Model 3 SR+</v>
      </c>
      <c r="O691" s="152" t="str">
        <f>IFERROR(__xludf.DUMMYFUNCTION("""COMPUTED_VALUE"""),"Deep Blue Metallic")</f>
        <v>Deep Blue Metallic</v>
      </c>
      <c r="P691" s="153" t="str">
        <f>IFERROR(__xludf.DUMMYFUNCTION("""COMPUTED_VALUE"""),"18 inch")</f>
        <v>18 inch</v>
      </c>
      <c r="Q691" s="152" t="str">
        <f>IFERROR(__xludf.DUMMYFUNCTION("""COMPUTED_VALUE"""),"All Black")</f>
        <v>All Black</v>
      </c>
      <c r="R691" s="149" t="str">
        <f>IFERROR(__xludf.DUMMYFUNCTION("""COMPUTED_VALUE"""),"Autopilot included")</f>
        <v>Autopilot included</v>
      </c>
      <c r="S691" s="149" t="str">
        <f>IFERROR(__xludf.DUMMYFUNCTION("""COMPUTED_VALUE"""),"Loan")</f>
        <v>Loan</v>
      </c>
      <c r="T691" s="145" t="str">
        <f>IFERROR(__xludf.DUMMYFUNCTION("""COMPUTED_VALUE"""),"Ford Edge")</f>
        <v>Ford Edge</v>
      </c>
      <c r="U691" s="145" t="str">
        <f>IFERROR(__xludf.DUMMYFUNCTION("""COMPUTED_VALUE"""),"Supercharger V3 support")</f>
        <v>Supercharger V3 support</v>
      </c>
      <c r="V691" s="145" t="str">
        <f>IFERROR(__xludf.DUMMYFUNCTION("""COMPUTED_VALUE"""),"CCS1 adapter")</f>
        <v>CCS1 adapter</v>
      </c>
      <c r="W691" s="145"/>
      <c r="X691" s="137" t="str">
        <f>IFERROR(__xludf.DUMMYFUNCTION("""COMPUTED_VALUE"""),"Excellent")</f>
        <v>Excellent</v>
      </c>
      <c r="Y691" s="138" t="str">
        <f>IFERROR(__xludf.DUMMYFUNCTION("""COMPUTED_VALUE"""),"Excellent")</f>
        <v>Excellent</v>
      </c>
      <c r="Z691" s="138" t="str">
        <f>IFERROR(__xludf.DUMMYFUNCTION("""COMPUTED_VALUE"""),"Excellent")</f>
        <v>Excellent</v>
      </c>
      <c r="AA691" s="138" t="str">
        <f>IFERROR(__xludf.DUMMYFUNCTION("""COMPUTED_VALUE"""),"Very Good")</f>
        <v>Very Good</v>
      </c>
      <c r="AB691" s="138" t="str">
        <f>IFERROR(__xludf.DUMMYFUNCTION("""COMPUTED_VALUE"""),"Poor")</f>
        <v>Poor</v>
      </c>
      <c r="AC691" s="139"/>
      <c r="AD691" s="139"/>
      <c r="AE691" s="139"/>
      <c r="AF691" s="140" t="str">
        <f>IFERROR(__xludf.DUMMYFUNCTION("""COMPUTED_VALUE"""),"No. I took delivery of the first car Tesla was able to deliver.")</f>
        <v>No. I took delivery of the first car Tesla was able to deliver.</v>
      </c>
      <c r="AG691" s="145"/>
      <c r="AH691" s="157">
        <f>IFERROR(__xludf.DUMMYFUNCTION("""COMPUTED_VALUE"""),44366.75382755788)</f>
        <v>44366.75383</v>
      </c>
      <c r="AI691" s="138"/>
      <c r="AJ691" s="138"/>
      <c r="AK691" s="138"/>
      <c r="AL691" s="142"/>
    </row>
    <row r="692" ht="20.25" customHeight="1">
      <c r="A692" s="155" t="str">
        <f>IFERROR(__xludf.DUMMYFUNCTION("""COMPUTED_VALUE"""),"pizzaslampa")</f>
        <v>pizzaslampa</v>
      </c>
      <c r="B692" s="149" t="str">
        <f>IFERROR(__xludf.DUMMYFUNCTION("""COMPUTED_VALUE"""),"Silver Spring")</f>
        <v>Silver Spring</v>
      </c>
      <c r="C692" s="149" t="str">
        <f>IFERROR(__xludf.DUMMYFUNCTION("""COMPUTED_VALUE"""),"MD")</f>
        <v>MD</v>
      </c>
      <c r="D692" s="149" t="str">
        <f>IFERROR(__xludf.DUMMYFUNCTION("""COMPUTED_VALUE"""),"USA")</f>
        <v>USA</v>
      </c>
      <c r="E692" s="156">
        <f>IFERROR(__xludf.DUMMYFUNCTION("""COMPUTED_VALUE"""),44346.0)</f>
        <v>44346</v>
      </c>
      <c r="F692" s="129">
        <f>IFERROR(__xludf.DUMMYFUNCTION("""COMPUTED_VALUE"""),44396.0)</f>
        <v>44396</v>
      </c>
      <c r="G692" s="154" t="str">
        <f>IFERROR(__xludf.DUMMYFUNCTION("""COMPUTED_VALUE"""),"Manage order page (normal text)")</f>
        <v>Manage order page (normal text)</v>
      </c>
      <c r="H692" s="131">
        <f>IFERROR(__xludf.DUMMYFUNCTION("""COMPUTED_VALUE"""),20155.0)</f>
        <v>20155</v>
      </c>
      <c r="I692" s="144"/>
      <c r="J692" s="129">
        <f>IFERROR(__xludf.DUMMYFUNCTION("""COMPUTED_VALUE"""),44410.0)</f>
        <v>44410</v>
      </c>
      <c r="K692" s="133">
        <f>IFERROR(__xludf.DUMMYFUNCTION("""COMPUTED_VALUE"""),50.0)</f>
        <v>50</v>
      </c>
      <c r="L692" s="133">
        <f>IFERROR(__xludf.DUMMYFUNCTION("""COMPUTED_VALUE"""),14.0)</f>
        <v>14</v>
      </c>
      <c r="M692" s="133">
        <f>IFERROR(__xludf.DUMMYFUNCTION("""COMPUTED_VALUE"""),64.0)</f>
        <v>64</v>
      </c>
      <c r="N692" s="152" t="str">
        <f>IFERROR(__xludf.DUMMYFUNCTION("""COMPUTED_VALUE"""),"Model 3 LR AWD")</f>
        <v>Model 3 LR AWD</v>
      </c>
      <c r="O692" s="152" t="str">
        <f>IFERROR(__xludf.DUMMYFUNCTION("""COMPUTED_VALUE"""),"Midnight Silver Metallic")</f>
        <v>Midnight Silver Metallic</v>
      </c>
      <c r="P692" s="153" t="str">
        <f>IFERROR(__xludf.DUMMYFUNCTION("""COMPUTED_VALUE"""),"18 inch")</f>
        <v>18 inch</v>
      </c>
      <c r="Q692" s="152" t="str">
        <f>IFERROR(__xludf.DUMMYFUNCTION("""COMPUTED_VALUE"""),"Black and White")</f>
        <v>Black and White</v>
      </c>
      <c r="R692" s="149" t="str">
        <f>IFERROR(__xludf.DUMMYFUNCTION("""COMPUTED_VALUE"""),"Autopilot included")</f>
        <v>Autopilot included</v>
      </c>
      <c r="S692" s="149" t="str">
        <f>IFERROR(__xludf.DUMMYFUNCTION("""COMPUTED_VALUE"""),"Cash")</f>
        <v>Cash</v>
      </c>
      <c r="T692" s="145" t="str">
        <f>IFERROR(__xludf.DUMMYFUNCTION("""COMPUTED_VALUE"""),"Ford Focus")</f>
        <v>Ford Focus</v>
      </c>
      <c r="U692" s="145" t="str">
        <f>IFERROR(__xludf.DUMMYFUNCTION("""COMPUTED_VALUE"""),"Electric!")</f>
        <v>Electric!</v>
      </c>
      <c r="V692" s="145" t="str">
        <f>IFERROR(__xludf.DUMMYFUNCTION("""COMPUTED_VALUE"""),"Dashboard")</f>
        <v>Dashboard</v>
      </c>
      <c r="W692" s="145"/>
      <c r="X692" s="137"/>
      <c r="Y692" s="138"/>
      <c r="Z692" s="138"/>
      <c r="AA692" s="138"/>
      <c r="AB692" s="138"/>
      <c r="AC692" s="139"/>
      <c r="AD692" s="139"/>
      <c r="AE692" s="139"/>
      <c r="AF692" s="140"/>
      <c r="AG692" s="145"/>
      <c r="AH692" s="157">
        <f>IFERROR(__xludf.DUMMYFUNCTION("""COMPUTED_VALUE"""),44401.573815173615)</f>
        <v>44401.57382</v>
      </c>
      <c r="AI692" s="138"/>
      <c r="AJ692" s="138"/>
      <c r="AK692" s="138"/>
      <c r="AL692" s="142"/>
    </row>
    <row r="693" ht="20.25" customHeight="1">
      <c r="A693" s="155" t="str">
        <f>IFERROR(__xludf.DUMMYFUNCTION("""COMPUTED_VALUE"""),"tyliec")</f>
        <v>tyliec</v>
      </c>
      <c r="B693" s="149" t="str">
        <f>IFERROR(__xludf.DUMMYFUNCTION("""COMPUTED_VALUE"""),"Irvine")</f>
        <v>Irvine</v>
      </c>
      <c r="C693" s="149" t="str">
        <f>IFERROR(__xludf.DUMMYFUNCTION("""COMPUTED_VALUE"""),"CA")</f>
        <v>CA</v>
      </c>
      <c r="D693" s="149" t="str">
        <f>IFERROR(__xludf.DUMMYFUNCTION("""COMPUTED_VALUE"""),"USA")</f>
        <v>USA</v>
      </c>
      <c r="E693" s="156">
        <f>IFERROR(__xludf.DUMMYFUNCTION("""COMPUTED_VALUE"""),44346.0)</f>
        <v>44346</v>
      </c>
      <c r="F693" s="129">
        <f>IFERROR(__xludf.DUMMYFUNCTION("""COMPUTED_VALUE"""),44394.0)</f>
        <v>44394</v>
      </c>
      <c r="G693" s="154" t="str">
        <f>IFERROR(__xludf.DUMMYFUNCTION("""COMPUTED_VALUE"""),"Email")</f>
        <v>Email</v>
      </c>
      <c r="H693" s="131"/>
      <c r="I693" s="144"/>
      <c r="J693" s="129">
        <f>IFERROR(__xludf.DUMMYFUNCTION("""COMPUTED_VALUE"""),44398.0)</f>
        <v>44398</v>
      </c>
      <c r="K693" s="133">
        <f>IFERROR(__xludf.DUMMYFUNCTION("""COMPUTED_VALUE"""),48.0)</f>
        <v>48</v>
      </c>
      <c r="L693" s="133">
        <f>IFERROR(__xludf.DUMMYFUNCTION("""COMPUTED_VALUE"""),4.0)</f>
        <v>4</v>
      </c>
      <c r="M693" s="133">
        <f>IFERROR(__xludf.DUMMYFUNCTION("""COMPUTED_VALUE"""),52.0)</f>
        <v>52</v>
      </c>
      <c r="N693" s="152" t="str">
        <f>IFERROR(__xludf.DUMMYFUNCTION("""COMPUTED_VALUE"""),"Model 3 SR+")</f>
        <v>Model 3 SR+</v>
      </c>
      <c r="O693" s="152" t="str">
        <f>IFERROR(__xludf.DUMMYFUNCTION("""COMPUTED_VALUE"""),"Deep Blue Metallic")</f>
        <v>Deep Blue Metallic</v>
      </c>
      <c r="P693" s="153" t="str">
        <f>IFERROR(__xludf.DUMMYFUNCTION("""COMPUTED_VALUE"""),"18 inch")</f>
        <v>18 inch</v>
      </c>
      <c r="Q693" s="152" t="str">
        <f>IFERROR(__xludf.DUMMYFUNCTION("""COMPUTED_VALUE"""),"Black and White")</f>
        <v>Black and White</v>
      </c>
      <c r="R693" s="149" t="str">
        <f>IFERROR(__xludf.DUMMYFUNCTION("""COMPUTED_VALUE"""),"Autopilot included")</f>
        <v>Autopilot included</v>
      </c>
      <c r="S693" s="149" t="str">
        <f>IFERROR(__xludf.DUMMYFUNCTION("""COMPUTED_VALUE"""),"Cash")</f>
        <v>Cash</v>
      </c>
      <c r="T693" s="145" t="str">
        <f>IFERROR(__xludf.DUMMYFUNCTION("""COMPUTED_VALUE"""),"Model 3 will be my first car!")</f>
        <v>Model 3 will be my first car!</v>
      </c>
      <c r="U693" s="145" t="str">
        <f>IFERROR(__xludf.DUMMYFUNCTION("""COMPUTED_VALUE"""),"Electric!")</f>
        <v>Electric!</v>
      </c>
      <c r="V693" s="145" t="str">
        <f>IFERROR(__xludf.DUMMYFUNCTION("""COMPUTED_VALUE"""),"360° Bird's eye view")</f>
        <v>360° Bird's eye view</v>
      </c>
      <c r="W693" s="145"/>
      <c r="X693" s="137"/>
      <c r="Y693" s="138"/>
      <c r="Z693" s="138"/>
      <c r="AA693" s="138"/>
      <c r="AB693" s="138"/>
      <c r="AC693" s="139"/>
      <c r="AD693" s="139"/>
      <c r="AE693" s="139"/>
      <c r="AF693" s="140"/>
      <c r="AG693" s="145"/>
      <c r="AH693" s="157">
        <f>IFERROR(__xludf.DUMMYFUNCTION("""COMPUTED_VALUE"""),44398.55350678241)</f>
        <v>44398.55351</v>
      </c>
      <c r="AI693" s="138"/>
      <c r="AJ693" s="138"/>
      <c r="AK693" s="138"/>
      <c r="AL693" s="142"/>
    </row>
    <row r="694" ht="20.25" customHeight="1">
      <c r="A694" s="155" t="str">
        <f>IFERROR(__xludf.DUMMYFUNCTION("""COMPUTED_VALUE"""),"erikadenisse")</f>
        <v>erikadenisse</v>
      </c>
      <c r="B694" s="149" t="str">
        <f>IFERROR(__xludf.DUMMYFUNCTION("""COMPUTED_VALUE"""),"San Diego")</f>
        <v>San Diego</v>
      </c>
      <c r="C694" s="149" t="str">
        <f>IFERROR(__xludf.DUMMYFUNCTION("""COMPUTED_VALUE"""),"CA")</f>
        <v>CA</v>
      </c>
      <c r="D694" s="149" t="str">
        <f>IFERROR(__xludf.DUMMYFUNCTION("""COMPUTED_VALUE"""),"USA")</f>
        <v>USA</v>
      </c>
      <c r="E694" s="156">
        <f>IFERROR(__xludf.DUMMYFUNCTION("""COMPUTED_VALUE"""),44345.0)</f>
        <v>44345</v>
      </c>
      <c r="F694" s="129">
        <f>IFERROR(__xludf.DUMMYFUNCTION("""COMPUTED_VALUE"""),44357.0)</f>
        <v>44357</v>
      </c>
      <c r="G694" s="154" t="str">
        <f>IFERROR(__xludf.DUMMYFUNCTION("""COMPUTED_VALUE"""),"Manage order page (normal text)")</f>
        <v>Manage order page (normal text)</v>
      </c>
      <c r="H694" s="131"/>
      <c r="I694" s="144" t="str">
        <f>IFERROR(__xludf.DUMMYFUNCTION("""COMPUTED_VALUE"""),"06/21")</f>
        <v>06/21</v>
      </c>
      <c r="J694" s="129">
        <f>IFERROR(__xludf.DUMMYFUNCTION("""COMPUTED_VALUE"""),44365.0)</f>
        <v>44365</v>
      </c>
      <c r="K694" s="133">
        <f>IFERROR(__xludf.DUMMYFUNCTION("""COMPUTED_VALUE"""),12.0)</f>
        <v>12</v>
      </c>
      <c r="L694" s="133">
        <f>IFERROR(__xludf.DUMMYFUNCTION("""COMPUTED_VALUE"""),8.0)</f>
        <v>8</v>
      </c>
      <c r="M694" s="133">
        <f>IFERROR(__xludf.DUMMYFUNCTION("""COMPUTED_VALUE"""),20.0)</f>
        <v>20</v>
      </c>
      <c r="N694" s="152" t="str">
        <f>IFERROR(__xludf.DUMMYFUNCTION("""COMPUTED_VALUE"""),"Model 3 Performance")</f>
        <v>Model 3 Performance</v>
      </c>
      <c r="O694" s="152" t="str">
        <f>IFERROR(__xludf.DUMMYFUNCTION("""COMPUTED_VALUE"""),"Midnight Silver Metallic")</f>
        <v>Midnight Silver Metallic</v>
      </c>
      <c r="P694" s="153" t="str">
        <f>IFERROR(__xludf.DUMMYFUNCTION("""COMPUTED_VALUE"""),"20 inch")</f>
        <v>20 inch</v>
      </c>
      <c r="Q694" s="152" t="str">
        <f>IFERROR(__xludf.DUMMYFUNCTION("""COMPUTED_VALUE"""),"All Black")</f>
        <v>All Black</v>
      </c>
      <c r="R694" s="149" t="str">
        <f>IFERROR(__xludf.DUMMYFUNCTION("""COMPUTED_VALUE"""),"Autopilot included")</f>
        <v>Autopilot included</v>
      </c>
      <c r="S694" s="149" t="str">
        <f>IFERROR(__xludf.DUMMYFUNCTION("""COMPUTED_VALUE"""),"Loan")</f>
        <v>Loan</v>
      </c>
      <c r="T694" s="145" t="str">
        <f>IFERROR(__xludf.DUMMYFUNCTION("""COMPUTED_VALUE"""),"Lexus IS 350")</f>
        <v>Lexus IS 350</v>
      </c>
      <c r="U694" s="145" t="str">
        <f>IFERROR(__xludf.DUMMYFUNCTION("""COMPUTED_VALUE"""),"Electric!")</f>
        <v>Electric!</v>
      </c>
      <c r="V694" s="145" t="str">
        <f>IFERROR(__xludf.DUMMYFUNCTION("""COMPUTED_VALUE"""),"Apple CarPlay / Android Auto / SiriusXM Radio")</f>
        <v>Apple CarPlay / Android Auto / SiriusXM Radio</v>
      </c>
      <c r="W694" s="145"/>
      <c r="X694" s="137" t="str">
        <f>IFERROR(__xludf.DUMMYFUNCTION("""COMPUTED_VALUE"""),"Excellent")</f>
        <v>Excellent</v>
      </c>
      <c r="Y694" s="138" t="str">
        <f>IFERROR(__xludf.DUMMYFUNCTION("""COMPUTED_VALUE"""),"Excellent")</f>
        <v>Excellent</v>
      </c>
      <c r="Z694" s="138" t="str">
        <f>IFERROR(__xludf.DUMMYFUNCTION("""COMPUTED_VALUE"""),"Excellent")</f>
        <v>Excellent</v>
      </c>
      <c r="AA694" s="138" t="str">
        <f>IFERROR(__xludf.DUMMYFUNCTION("""COMPUTED_VALUE"""),"Excellent")</f>
        <v>Excellent</v>
      </c>
      <c r="AB694" s="138" t="str">
        <f>IFERROR(__xludf.DUMMYFUNCTION("""COMPUTED_VALUE"""),"Excellent")</f>
        <v>Excellent</v>
      </c>
      <c r="AC694" s="139">
        <f>IFERROR(__xludf.DUMMYFUNCTION("""COMPUTED_VALUE"""),0.0)</f>
        <v>0</v>
      </c>
      <c r="AD694" s="139">
        <f>IFERROR(__xludf.DUMMYFUNCTION("""COMPUTED_VALUE"""),1.0)</f>
        <v>1</v>
      </c>
      <c r="AE694" s="139">
        <f>IFERROR(__xludf.DUMMYFUNCTION("""COMPUTED_VALUE"""),0.0)</f>
        <v>0</v>
      </c>
      <c r="AF694" s="140" t="str">
        <f>IFERROR(__xludf.DUMMYFUNCTION("""COMPUTED_VALUE"""),"No. I took delivery of the first car Tesla was able to deliver.")</f>
        <v>No. I took delivery of the first car Tesla was able to deliver.</v>
      </c>
      <c r="AG694" s="145"/>
      <c r="AH694" s="157">
        <f>IFERROR(__xludf.DUMMYFUNCTION("""COMPUTED_VALUE"""),44423.851903414354)</f>
        <v>44423.8519</v>
      </c>
      <c r="AI694" s="138"/>
      <c r="AJ694" s="138"/>
      <c r="AK694" s="138"/>
      <c r="AL694" s="142"/>
    </row>
    <row r="695" ht="20.25" customHeight="1">
      <c r="A695" s="155" t="str">
        <f>IFERROR(__xludf.DUMMYFUNCTION("""COMPUTED_VALUE"""),"Octonaut")</f>
        <v>Octonaut</v>
      </c>
      <c r="B695" s="149" t="str">
        <f>IFERROR(__xludf.DUMMYFUNCTION("""COMPUTED_VALUE"""),"San Diego")</f>
        <v>San Diego</v>
      </c>
      <c r="C695" s="149" t="str">
        <f>IFERROR(__xludf.DUMMYFUNCTION("""COMPUTED_VALUE"""),"CA")</f>
        <v>CA</v>
      </c>
      <c r="D695" s="149" t="str">
        <f>IFERROR(__xludf.DUMMYFUNCTION("""COMPUTED_VALUE"""),"USA")</f>
        <v>USA</v>
      </c>
      <c r="E695" s="156">
        <f>IFERROR(__xludf.DUMMYFUNCTION("""COMPUTED_VALUE"""),44345.0)</f>
        <v>44345</v>
      </c>
      <c r="F695" s="129">
        <f>IFERROR(__xludf.DUMMYFUNCTION("""COMPUTED_VALUE"""),44406.0)</f>
        <v>44406</v>
      </c>
      <c r="G695" s="154" t="str">
        <f>IFERROR(__xludf.DUMMYFUNCTION("""COMPUTED_VALUE"""),"Manage order page (normal text)")</f>
        <v>Manage order page (normal text)</v>
      </c>
      <c r="H695" s="131">
        <f>IFERROR(__xludf.DUMMYFUNCTION("""COMPUTED_VALUE"""),23555.0)</f>
        <v>23555</v>
      </c>
      <c r="I695" s="144"/>
      <c r="J695" s="129">
        <f>IFERROR(__xludf.DUMMYFUNCTION("""COMPUTED_VALUE"""),44411.0)</f>
        <v>44411</v>
      </c>
      <c r="K695" s="133">
        <f>IFERROR(__xludf.DUMMYFUNCTION("""COMPUTED_VALUE"""),61.0)</f>
        <v>61</v>
      </c>
      <c r="L695" s="133">
        <f>IFERROR(__xludf.DUMMYFUNCTION("""COMPUTED_VALUE"""),5.0)</f>
        <v>5</v>
      </c>
      <c r="M695" s="133">
        <f>IFERROR(__xludf.DUMMYFUNCTION("""COMPUTED_VALUE"""),66.0)</f>
        <v>66</v>
      </c>
      <c r="N695" s="152" t="str">
        <f>IFERROR(__xludf.DUMMYFUNCTION("""COMPUTED_VALUE"""),"Model 3 SR+")</f>
        <v>Model 3 SR+</v>
      </c>
      <c r="O695" s="152" t="str">
        <f>IFERROR(__xludf.DUMMYFUNCTION("""COMPUTED_VALUE"""),"Pearl White Multi-Coat")</f>
        <v>Pearl White Multi-Coat</v>
      </c>
      <c r="P695" s="153" t="str">
        <f>IFERROR(__xludf.DUMMYFUNCTION("""COMPUTED_VALUE"""),"18 inch")</f>
        <v>18 inch</v>
      </c>
      <c r="Q695" s="152" t="str">
        <f>IFERROR(__xludf.DUMMYFUNCTION("""COMPUTED_VALUE"""),"All Black")</f>
        <v>All Black</v>
      </c>
      <c r="R695" s="149" t="str">
        <f>IFERROR(__xludf.DUMMYFUNCTION("""COMPUTED_VALUE"""),"Autopilot included")</f>
        <v>Autopilot included</v>
      </c>
      <c r="S695" s="149" t="str">
        <f>IFERROR(__xludf.DUMMYFUNCTION("""COMPUTED_VALUE"""),"Loan")</f>
        <v>Loan</v>
      </c>
      <c r="T695" s="145" t="str">
        <f>IFERROR(__xludf.DUMMYFUNCTION("""COMPUTED_VALUE"""),"Honda Civic")</f>
        <v>Honda Civic</v>
      </c>
      <c r="U695" s="145" t="str">
        <f>IFERROR(__xludf.DUMMYFUNCTION("""COMPUTED_VALUE"""),"Electric!")</f>
        <v>Electric!</v>
      </c>
      <c r="V695" s="145" t="str">
        <f>IFERROR(__xludf.DUMMYFUNCTION("""COMPUTED_VALUE"""),"Apple CarPlay / Android Auto / SiriusXM Radio")</f>
        <v>Apple CarPlay / Android Auto / SiriusXM Radio</v>
      </c>
      <c r="W695" s="145"/>
      <c r="X695" s="137" t="str">
        <f>IFERROR(__xludf.DUMMYFUNCTION("""COMPUTED_VALUE"""),"Good")</f>
        <v>Good</v>
      </c>
      <c r="Y695" s="138" t="str">
        <f>IFERROR(__xludf.DUMMYFUNCTION("""COMPUTED_VALUE"""),"Excellent")</f>
        <v>Excellent</v>
      </c>
      <c r="Z695" s="138" t="str">
        <f>IFERROR(__xludf.DUMMYFUNCTION("""COMPUTED_VALUE"""),"Good")</f>
        <v>Good</v>
      </c>
      <c r="AA695" s="138" t="str">
        <f>IFERROR(__xludf.DUMMYFUNCTION("""COMPUTED_VALUE"""),"Good")</f>
        <v>Good</v>
      </c>
      <c r="AB695" s="138" t="str">
        <f>IFERROR(__xludf.DUMMYFUNCTION("""COMPUTED_VALUE"""),"Excellent")</f>
        <v>Excellent</v>
      </c>
      <c r="AC695" s="139">
        <f>IFERROR(__xludf.DUMMYFUNCTION("""COMPUTED_VALUE"""),2.0)</f>
        <v>2</v>
      </c>
      <c r="AD695" s="139"/>
      <c r="AE695" s="139"/>
      <c r="AF695" s="140" t="str">
        <f>IFERROR(__xludf.DUMMYFUNCTION("""COMPUTED_VALUE"""),"No. I took delivery of the first car Tesla was able to deliver.")</f>
        <v>No. I took delivery of the first car Tesla was able to deliver.</v>
      </c>
      <c r="AG695" s="145"/>
      <c r="AH695" s="157">
        <f>IFERROR(__xludf.DUMMYFUNCTION("""COMPUTED_VALUE"""),44414.55028936343)</f>
        <v>44414.55029</v>
      </c>
      <c r="AI695" s="138"/>
      <c r="AJ695" s="138"/>
      <c r="AK695" s="138"/>
      <c r="AL695" s="142"/>
    </row>
    <row r="696" ht="20.25" customHeight="1">
      <c r="A696" s="155" t="str">
        <f>IFERROR(__xludf.DUMMYFUNCTION("""COMPUTED_VALUE"""),"DreadPirateRobert")</f>
        <v>DreadPirateRobert</v>
      </c>
      <c r="B696" s="149" t="str">
        <f>IFERROR(__xludf.DUMMYFUNCTION("""COMPUTED_VALUE"""),"Kansas City")</f>
        <v>Kansas City</v>
      </c>
      <c r="C696" s="149" t="str">
        <f>IFERROR(__xludf.DUMMYFUNCTION("""COMPUTED_VALUE"""),"MO")</f>
        <v>MO</v>
      </c>
      <c r="D696" s="149" t="str">
        <f>IFERROR(__xludf.DUMMYFUNCTION("""COMPUTED_VALUE"""),"USA")</f>
        <v>USA</v>
      </c>
      <c r="E696" s="156">
        <f>IFERROR(__xludf.DUMMYFUNCTION("""COMPUTED_VALUE"""),44343.0)</f>
        <v>44343</v>
      </c>
      <c r="F696" s="129">
        <f>IFERROR(__xludf.DUMMYFUNCTION("""COMPUTED_VALUE"""),44388.0)</f>
        <v>44388</v>
      </c>
      <c r="G696" s="154" t="str">
        <f>IFERROR(__xludf.DUMMYFUNCTION("""COMPUTED_VALUE"""),"Email")</f>
        <v>Email</v>
      </c>
      <c r="H696" s="131">
        <f>IFERROR(__xludf.DUMMYFUNCTION("""COMPUTED_VALUE"""),12985.0)</f>
        <v>12985</v>
      </c>
      <c r="I696" s="144" t="str">
        <f>IFERROR(__xludf.DUMMYFUNCTION("""COMPUTED_VALUE"""),"07/21")</f>
        <v>07/21</v>
      </c>
      <c r="J696" s="129">
        <f>IFERROR(__xludf.DUMMYFUNCTION("""COMPUTED_VALUE"""),44399.0)</f>
        <v>44399</v>
      </c>
      <c r="K696" s="133">
        <f>IFERROR(__xludf.DUMMYFUNCTION("""COMPUTED_VALUE"""),45.0)</f>
        <v>45</v>
      </c>
      <c r="L696" s="133">
        <f>IFERROR(__xludf.DUMMYFUNCTION("""COMPUTED_VALUE"""),11.0)</f>
        <v>11</v>
      </c>
      <c r="M696" s="133">
        <f>IFERROR(__xludf.DUMMYFUNCTION("""COMPUTED_VALUE"""),56.0)</f>
        <v>56</v>
      </c>
      <c r="N696" s="152" t="str">
        <f>IFERROR(__xludf.DUMMYFUNCTION("""COMPUTED_VALUE"""),"Model 3 LR AWD")</f>
        <v>Model 3 LR AWD</v>
      </c>
      <c r="O696" s="152" t="str">
        <f>IFERROR(__xludf.DUMMYFUNCTION("""COMPUTED_VALUE"""),"Pearl White Multi-Coat")</f>
        <v>Pearl White Multi-Coat</v>
      </c>
      <c r="P696" s="153" t="str">
        <f>IFERROR(__xludf.DUMMYFUNCTION("""COMPUTED_VALUE"""),"18 inch")</f>
        <v>18 inch</v>
      </c>
      <c r="Q696" s="152" t="str">
        <f>IFERROR(__xludf.DUMMYFUNCTION("""COMPUTED_VALUE"""),"All Black")</f>
        <v>All Black</v>
      </c>
      <c r="R696" s="149" t="str">
        <f>IFERROR(__xludf.DUMMYFUNCTION("""COMPUTED_VALUE"""),"Autopilot included")</f>
        <v>Autopilot included</v>
      </c>
      <c r="S696" s="149" t="str">
        <f>IFERROR(__xludf.DUMMYFUNCTION("""COMPUTED_VALUE"""),"Cash")</f>
        <v>Cash</v>
      </c>
      <c r="T696" s="145" t="str">
        <f>IFERROR(__xludf.DUMMYFUNCTION("""COMPUTED_VALUE"""),"Honda CRV")</f>
        <v>Honda CRV</v>
      </c>
      <c r="U696" s="145" t="str">
        <f>IFERROR(__xludf.DUMMYFUNCTION("""COMPUTED_VALUE"""),"Electric!")</f>
        <v>Electric!</v>
      </c>
      <c r="V696" s="145" t="str">
        <f>IFERROR(__xludf.DUMMYFUNCTION("""COMPUTED_VALUE"""),"Apple CarPlay / Android Auto / SiriusXM Radio")</f>
        <v>Apple CarPlay / Android Auto / SiriusXM Radio</v>
      </c>
      <c r="W696" s="145"/>
      <c r="X696" s="137" t="str">
        <f>IFERROR(__xludf.DUMMYFUNCTION("""COMPUTED_VALUE"""),"Very Good")</f>
        <v>Very Good</v>
      </c>
      <c r="Y696" s="138" t="str">
        <f>IFERROR(__xludf.DUMMYFUNCTION("""COMPUTED_VALUE"""),"Very Good")</f>
        <v>Very Good</v>
      </c>
      <c r="Z696" s="138" t="str">
        <f>IFERROR(__xludf.DUMMYFUNCTION("""COMPUTED_VALUE"""),"Very Good")</f>
        <v>Very Good</v>
      </c>
      <c r="AA696" s="138" t="str">
        <f>IFERROR(__xludf.DUMMYFUNCTION("""COMPUTED_VALUE"""),"Very Good")</f>
        <v>Very Good</v>
      </c>
      <c r="AB696" s="138" t="str">
        <f>IFERROR(__xludf.DUMMYFUNCTION("""COMPUTED_VALUE"""),"Good")</f>
        <v>Good</v>
      </c>
      <c r="AC696" s="139">
        <f>IFERROR(__xludf.DUMMYFUNCTION("""COMPUTED_VALUE"""),2.0)</f>
        <v>2</v>
      </c>
      <c r="AD696" s="139">
        <f>IFERROR(__xludf.DUMMYFUNCTION("""COMPUTED_VALUE"""),1.0)</f>
        <v>1</v>
      </c>
      <c r="AE696" s="139">
        <f>IFERROR(__xludf.DUMMYFUNCTION("""COMPUTED_VALUE"""),1.0)</f>
        <v>1</v>
      </c>
      <c r="AF696" s="140" t="str">
        <f>IFERROR(__xludf.DUMMYFUNCTION("""COMPUTED_VALUE"""),"No. I took delivery of the first car Tesla was able to deliver.")</f>
        <v>No. I took delivery of the first car Tesla was able to deliver.</v>
      </c>
      <c r="AG696" s="145"/>
      <c r="AH696" s="157">
        <f>IFERROR(__xludf.DUMMYFUNCTION("""COMPUTED_VALUE"""),44441.47258688657)</f>
        <v>44441.47259</v>
      </c>
      <c r="AI696" s="138"/>
      <c r="AJ696" s="138"/>
      <c r="AK696" s="138"/>
      <c r="AL696" s="142"/>
    </row>
    <row r="697" ht="20.25" customHeight="1">
      <c r="A697" s="155" t="str">
        <f>IFERROR(__xludf.DUMMYFUNCTION("""COMPUTED_VALUE"""),"frostm3")</f>
        <v>frostm3</v>
      </c>
      <c r="B697" s="149" t="str">
        <f>IFERROR(__xludf.DUMMYFUNCTION("""COMPUTED_VALUE"""),"Austin")</f>
        <v>Austin</v>
      </c>
      <c r="C697" s="149" t="str">
        <f>IFERROR(__xludf.DUMMYFUNCTION("""COMPUTED_VALUE"""),"TX")</f>
        <v>TX</v>
      </c>
      <c r="D697" s="149" t="str">
        <f>IFERROR(__xludf.DUMMYFUNCTION("""COMPUTED_VALUE"""),"USA")</f>
        <v>USA</v>
      </c>
      <c r="E697" s="156">
        <f>IFERROR(__xludf.DUMMYFUNCTION("""COMPUTED_VALUE"""),44343.0)</f>
        <v>44343</v>
      </c>
      <c r="F697" s="129">
        <f>IFERROR(__xludf.DUMMYFUNCTION("""COMPUTED_VALUE"""),44421.0)</f>
        <v>44421</v>
      </c>
      <c r="G697" s="154" t="str">
        <f>IFERROR(__xludf.DUMMYFUNCTION("""COMPUTED_VALUE"""),"Manage order page (normal text)")</f>
        <v>Manage order page (normal text)</v>
      </c>
      <c r="H697" s="131"/>
      <c r="I697" s="144"/>
      <c r="J697" s="129">
        <f>IFERROR(__xludf.DUMMYFUNCTION("""COMPUTED_VALUE"""),44436.0)</f>
        <v>44436</v>
      </c>
      <c r="K697" s="133">
        <f>IFERROR(__xludf.DUMMYFUNCTION("""COMPUTED_VALUE"""),78.0)</f>
        <v>78</v>
      </c>
      <c r="L697" s="133">
        <f>IFERROR(__xludf.DUMMYFUNCTION("""COMPUTED_VALUE"""),15.0)</f>
        <v>15</v>
      </c>
      <c r="M697" s="133">
        <f>IFERROR(__xludf.DUMMYFUNCTION("""COMPUTED_VALUE"""),93.0)</f>
        <v>93</v>
      </c>
      <c r="N697" s="152" t="str">
        <f>IFERROR(__xludf.DUMMYFUNCTION("""COMPUTED_VALUE"""),"Model 3 LR AWD")</f>
        <v>Model 3 LR AWD</v>
      </c>
      <c r="O697" s="152" t="str">
        <f>IFERROR(__xludf.DUMMYFUNCTION("""COMPUTED_VALUE"""),"Pearl White Multi-Coat")</f>
        <v>Pearl White Multi-Coat</v>
      </c>
      <c r="P697" s="153" t="str">
        <f>IFERROR(__xludf.DUMMYFUNCTION("""COMPUTED_VALUE"""),"18 inch")</f>
        <v>18 inch</v>
      </c>
      <c r="Q697" s="152" t="str">
        <f>IFERROR(__xludf.DUMMYFUNCTION("""COMPUTED_VALUE"""),"Black and White")</f>
        <v>Black and White</v>
      </c>
      <c r="R697" s="149" t="str">
        <f>IFERROR(__xludf.DUMMYFUNCTION("""COMPUTED_VALUE"""),"Autopilot included")</f>
        <v>Autopilot included</v>
      </c>
      <c r="S697" s="149" t="str">
        <f>IFERROR(__xludf.DUMMYFUNCTION("""COMPUTED_VALUE"""),"Loan")</f>
        <v>Loan</v>
      </c>
      <c r="T697" s="145" t="str">
        <f>IFERROR(__xludf.DUMMYFUNCTION("""COMPUTED_VALUE"""),"Audi S4")</f>
        <v>Audi S4</v>
      </c>
      <c r="U697" s="145" t="str">
        <f>IFERROR(__xludf.DUMMYFUNCTION("""COMPUTED_VALUE"""),"Electric!")</f>
        <v>Electric!</v>
      </c>
      <c r="V697" s="145" t="str">
        <f>IFERROR(__xludf.DUMMYFUNCTION("""COMPUTED_VALUE"""),"Head-up display")</f>
        <v>Head-up display</v>
      </c>
      <c r="W697" s="145"/>
      <c r="X697" s="137"/>
      <c r="Y697" s="138"/>
      <c r="Z697" s="138"/>
      <c r="AA697" s="138"/>
      <c r="AB697" s="138"/>
      <c r="AC697" s="139"/>
      <c r="AD697" s="139"/>
      <c r="AE697" s="139"/>
      <c r="AF697" s="140"/>
      <c r="AG697" s="145"/>
      <c r="AH697" s="157">
        <f>IFERROR(__xludf.DUMMYFUNCTION("""COMPUTED_VALUE"""),44421.40215891204)</f>
        <v>44421.40216</v>
      </c>
      <c r="AI697" s="138"/>
      <c r="AJ697" s="138"/>
      <c r="AK697" s="138"/>
      <c r="AL697" s="142"/>
    </row>
    <row r="698" ht="20.25" customHeight="1">
      <c r="A698" s="155" t="str">
        <f>IFERROR(__xludf.DUMMYFUNCTION("""COMPUTED_VALUE"""),"Tesconnect")</f>
        <v>Tesconnect</v>
      </c>
      <c r="B698" s="149" t="str">
        <f>IFERROR(__xludf.DUMMYFUNCTION("""COMPUTED_VALUE"""),"Fairfield")</f>
        <v>Fairfield</v>
      </c>
      <c r="C698" s="149" t="str">
        <f>IFERROR(__xludf.DUMMYFUNCTION("""COMPUTED_VALUE"""),"CT")</f>
        <v>CT</v>
      </c>
      <c r="D698" s="149" t="str">
        <f>IFERROR(__xludf.DUMMYFUNCTION("""COMPUTED_VALUE"""),"USA")</f>
        <v>USA</v>
      </c>
      <c r="E698" s="156">
        <f>IFERROR(__xludf.DUMMYFUNCTION("""COMPUTED_VALUE"""),44343.0)</f>
        <v>44343</v>
      </c>
      <c r="F698" s="129">
        <f>IFERROR(__xludf.DUMMYFUNCTION("""COMPUTED_VALUE"""),44391.0)</f>
        <v>44391</v>
      </c>
      <c r="G698" s="154" t="str">
        <f>IFERROR(__xludf.DUMMYFUNCTION("""COMPUTED_VALUE"""),"Text message")</f>
        <v>Text message</v>
      </c>
      <c r="H698" s="131">
        <f>IFERROR(__xludf.DUMMYFUNCTION("""COMPUTED_VALUE"""),16455.0)</f>
        <v>16455</v>
      </c>
      <c r="I698" s="144" t="str">
        <f>IFERROR(__xludf.DUMMYFUNCTION("""COMPUTED_VALUE"""),"06/21")</f>
        <v>06/21</v>
      </c>
      <c r="J698" s="129">
        <f>IFERROR(__xludf.DUMMYFUNCTION("""COMPUTED_VALUE"""),44402.0)</f>
        <v>44402</v>
      </c>
      <c r="K698" s="133">
        <f>IFERROR(__xludf.DUMMYFUNCTION("""COMPUTED_VALUE"""),48.0)</f>
        <v>48</v>
      </c>
      <c r="L698" s="133">
        <f>IFERROR(__xludf.DUMMYFUNCTION("""COMPUTED_VALUE"""),11.0)</f>
        <v>11</v>
      </c>
      <c r="M698" s="133">
        <f>IFERROR(__xludf.DUMMYFUNCTION("""COMPUTED_VALUE"""),59.0)</f>
        <v>59</v>
      </c>
      <c r="N698" s="152" t="str">
        <f>IFERROR(__xludf.DUMMYFUNCTION("""COMPUTED_VALUE"""),"Model 3 SR+")</f>
        <v>Model 3 SR+</v>
      </c>
      <c r="O698" s="152" t="str">
        <f>IFERROR(__xludf.DUMMYFUNCTION("""COMPUTED_VALUE"""),"Midnight Silver Metallic")</f>
        <v>Midnight Silver Metallic</v>
      </c>
      <c r="P698" s="153" t="str">
        <f>IFERROR(__xludf.DUMMYFUNCTION("""COMPUTED_VALUE"""),"18 inch")</f>
        <v>18 inch</v>
      </c>
      <c r="Q698" s="152" t="str">
        <f>IFERROR(__xludf.DUMMYFUNCTION("""COMPUTED_VALUE"""),"All Black")</f>
        <v>All Black</v>
      </c>
      <c r="R698" s="149" t="str">
        <f>IFERROR(__xludf.DUMMYFUNCTION("""COMPUTED_VALUE"""),"Autopilot included")</f>
        <v>Autopilot included</v>
      </c>
      <c r="S698" s="149" t="str">
        <f>IFERROR(__xludf.DUMMYFUNCTION("""COMPUTED_VALUE"""),"Loan")</f>
        <v>Loan</v>
      </c>
      <c r="T698" s="145" t="str">
        <f>IFERROR(__xludf.DUMMYFUNCTION("""COMPUTED_VALUE"""),"Porsche Boxster")</f>
        <v>Porsche Boxster</v>
      </c>
      <c r="U698" s="145" t="str">
        <f>IFERROR(__xludf.DUMMYFUNCTION("""COMPUTED_VALUE"""),"Autopilot")</f>
        <v>Autopilot</v>
      </c>
      <c r="V698" s="145" t="str">
        <f>IFERROR(__xludf.DUMMYFUNCTION("""COMPUTED_VALUE"""),"Manufacture date is 7/21. No option below so selected 6/21")</f>
        <v>Manufacture date is 7/21. No option below so selected 6/21</v>
      </c>
      <c r="W698" s="145" t="str">
        <f>IFERROR(__xludf.DUMMYFUNCTION("""COMPUTED_VALUE"""),"Dont check EDD on Tesla account. If your car is delivered within original timeline estimated at time of order, you should be happy.")</f>
        <v>Dont check EDD on Tesla account. If your car is delivered within original timeline estimated at time of order, you should be happy.</v>
      </c>
      <c r="X698" s="137" t="str">
        <f>IFERROR(__xludf.DUMMYFUNCTION("""COMPUTED_VALUE"""),"Excellent")</f>
        <v>Excellent</v>
      </c>
      <c r="Y698" s="138" t="str">
        <f>IFERROR(__xludf.DUMMYFUNCTION("""COMPUTED_VALUE"""),"Good")</f>
        <v>Good</v>
      </c>
      <c r="Z698" s="138" t="str">
        <f>IFERROR(__xludf.DUMMYFUNCTION("""COMPUTED_VALUE"""),"Very Good")</f>
        <v>Very Good</v>
      </c>
      <c r="AA698" s="138" t="str">
        <f>IFERROR(__xludf.DUMMYFUNCTION("""COMPUTED_VALUE"""),"Excellent")</f>
        <v>Excellent</v>
      </c>
      <c r="AB698" s="138" t="str">
        <f>IFERROR(__xludf.DUMMYFUNCTION("""COMPUTED_VALUE"""),"Very Good")</f>
        <v>Very Good</v>
      </c>
      <c r="AC698" s="139">
        <f>IFERROR(__xludf.DUMMYFUNCTION("""COMPUTED_VALUE"""),1.0)</f>
        <v>1</v>
      </c>
      <c r="AD698" s="139"/>
      <c r="AE698" s="139"/>
      <c r="AF698" s="140" t="str">
        <f>IFERROR(__xludf.DUMMYFUNCTION("""COMPUTED_VALUE"""),"No. I took delivery of the first car Tesla was able to deliver.")</f>
        <v>No. I took delivery of the first car Tesla was able to deliver.</v>
      </c>
      <c r="AG698" s="145"/>
      <c r="AH698" s="157">
        <f>IFERROR(__xludf.DUMMYFUNCTION("""COMPUTED_VALUE"""),44403.35845655093)</f>
        <v>44403.35846</v>
      </c>
      <c r="AI698" s="138"/>
      <c r="AJ698" s="138"/>
      <c r="AK698" s="138"/>
      <c r="AL698" s="142"/>
    </row>
    <row r="699" ht="20.25" customHeight="1">
      <c r="A699" s="155" t="str">
        <f>IFERROR(__xludf.DUMMYFUNCTION("""COMPUTED_VALUE"""),"lwlx")</f>
        <v>lwlx</v>
      </c>
      <c r="B699" s="149" t="str">
        <f>IFERROR(__xludf.DUMMYFUNCTION("""COMPUTED_VALUE"""),"Zürich")</f>
        <v>Zürich</v>
      </c>
      <c r="C699" s="149"/>
      <c r="D699" s="149" t="str">
        <f>IFERROR(__xludf.DUMMYFUNCTION("""COMPUTED_VALUE"""),"Switzerland")</f>
        <v>Switzerland</v>
      </c>
      <c r="E699" s="156">
        <f>IFERROR(__xludf.DUMMYFUNCTION("""COMPUTED_VALUE"""),44342.0)</f>
        <v>44342</v>
      </c>
      <c r="F699" s="129">
        <f>IFERROR(__xludf.DUMMYFUNCTION("""COMPUTED_VALUE"""),44358.0)</f>
        <v>44358</v>
      </c>
      <c r="G699" s="154" t="str">
        <f>IFERROR(__xludf.DUMMYFUNCTION("""COMPUTED_VALUE"""),"Phone call")</f>
        <v>Phone call</v>
      </c>
      <c r="H699" s="131">
        <f>IFERROR(__xludf.DUMMYFUNCTION("""COMPUTED_VALUE"""),972000.0)</f>
        <v>972000</v>
      </c>
      <c r="I699" s="144"/>
      <c r="J699" s="129">
        <f>IFERROR(__xludf.DUMMYFUNCTION("""COMPUTED_VALUE"""),44370.0)</f>
        <v>44370</v>
      </c>
      <c r="K699" s="133">
        <f>IFERROR(__xludf.DUMMYFUNCTION("""COMPUTED_VALUE"""),16.0)</f>
        <v>16</v>
      </c>
      <c r="L699" s="133">
        <f>IFERROR(__xludf.DUMMYFUNCTION("""COMPUTED_VALUE"""),12.0)</f>
        <v>12</v>
      </c>
      <c r="M699" s="133">
        <f>IFERROR(__xludf.DUMMYFUNCTION("""COMPUTED_VALUE"""),28.0)</f>
        <v>28</v>
      </c>
      <c r="N699" s="152" t="str">
        <f>IFERROR(__xludf.DUMMYFUNCTION("""COMPUTED_VALUE"""),"Model 3 LR AWD")</f>
        <v>Model 3 LR AWD</v>
      </c>
      <c r="O699" s="152" t="str">
        <f>IFERROR(__xludf.DUMMYFUNCTION("""COMPUTED_VALUE"""),"Pearl White Multi-Coat")</f>
        <v>Pearl White Multi-Coat</v>
      </c>
      <c r="P699" s="153" t="str">
        <f>IFERROR(__xludf.DUMMYFUNCTION("""COMPUTED_VALUE"""),"19 inch")</f>
        <v>19 inch</v>
      </c>
      <c r="Q699" s="152" t="str">
        <f>IFERROR(__xludf.DUMMYFUNCTION("""COMPUTED_VALUE"""),"All Black")</f>
        <v>All Black</v>
      </c>
      <c r="R699" s="149" t="str">
        <f>IFERROR(__xludf.DUMMYFUNCTION("""COMPUTED_VALUE"""),"Autopilot included")</f>
        <v>Autopilot included</v>
      </c>
      <c r="S699" s="149"/>
      <c r="T699" s="145" t="str">
        <f>IFERROR(__xludf.DUMMYFUNCTION("""COMPUTED_VALUE"""),"Mercedes A Class")</f>
        <v>Mercedes A Class</v>
      </c>
      <c r="U699" s="145" t="str">
        <f>IFERROR(__xludf.DUMMYFUNCTION("""COMPUTED_VALUE"""),"Electric!")</f>
        <v>Electric!</v>
      </c>
      <c r="V699" s="145" t="str">
        <f>IFERROR(__xludf.DUMMYFUNCTION("""COMPUTED_VALUE"""),"Head-up display")</f>
        <v>Head-up display</v>
      </c>
      <c r="W699" s="145"/>
      <c r="X699" s="137" t="str">
        <f>IFERROR(__xludf.DUMMYFUNCTION("""COMPUTED_VALUE"""),"Excellent")</f>
        <v>Excellent</v>
      </c>
      <c r="Y699" s="138" t="str">
        <f>IFERROR(__xludf.DUMMYFUNCTION("""COMPUTED_VALUE"""),"Very Good")</f>
        <v>Very Good</v>
      </c>
      <c r="Z699" s="138" t="str">
        <f>IFERROR(__xludf.DUMMYFUNCTION("""COMPUTED_VALUE"""),"Excellent")</f>
        <v>Excellent</v>
      </c>
      <c r="AA699" s="138" t="str">
        <f>IFERROR(__xludf.DUMMYFUNCTION("""COMPUTED_VALUE"""),"Good")</f>
        <v>Good</v>
      </c>
      <c r="AB699" s="138" t="str">
        <f>IFERROR(__xludf.DUMMYFUNCTION("""COMPUTED_VALUE"""),"Excellent")</f>
        <v>Excellent</v>
      </c>
      <c r="AC699" s="139">
        <f>IFERROR(__xludf.DUMMYFUNCTION("""COMPUTED_VALUE"""),1.0)</f>
        <v>1</v>
      </c>
      <c r="AD699" s="139">
        <f>IFERROR(__xludf.DUMMYFUNCTION("""COMPUTED_VALUE"""),1.0)</f>
        <v>1</v>
      </c>
      <c r="AE699" s="139">
        <f>IFERROR(__xludf.DUMMYFUNCTION("""COMPUTED_VALUE"""),0.0)</f>
        <v>0</v>
      </c>
      <c r="AF699" s="140" t="str">
        <f>IFERROR(__xludf.DUMMYFUNCTION("""COMPUTED_VALUE"""),"No. I took delivery of the first car Tesla was able to deliver.")</f>
        <v>No. I took delivery of the first car Tesla was able to deliver.</v>
      </c>
      <c r="AG699" s="145"/>
      <c r="AH699" s="157">
        <f>IFERROR(__xludf.DUMMYFUNCTION("""COMPUTED_VALUE"""),44410.32789121528)</f>
        <v>44410.32789</v>
      </c>
      <c r="AI699" s="138"/>
      <c r="AJ699" s="138"/>
      <c r="AK699" s="138"/>
      <c r="AL699" s="142"/>
    </row>
    <row r="700" ht="20.25" customHeight="1">
      <c r="A700" s="155" t="str">
        <f>IFERROR(__xludf.DUMMYFUNCTION("""COMPUTED_VALUE"""),"AT88MPH")</f>
        <v>AT88MPH</v>
      </c>
      <c r="B700" s="149" t="str">
        <f>IFERROR(__xludf.DUMMYFUNCTION("""COMPUTED_VALUE"""),"Derby")</f>
        <v>Derby</v>
      </c>
      <c r="C700" s="149" t="str">
        <f>IFERROR(__xludf.DUMMYFUNCTION("""COMPUTED_VALUE"""),"KS")</f>
        <v>KS</v>
      </c>
      <c r="D700" s="149" t="str">
        <f>IFERROR(__xludf.DUMMYFUNCTION("""COMPUTED_VALUE"""),"USA")</f>
        <v>USA</v>
      </c>
      <c r="E700" s="156">
        <f>IFERROR(__xludf.DUMMYFUNCTION("""COMPUTED_VALUE"""),44341.0)</f>
        <v>44341</v>
      </c>
      <c r="F700" s="129">
        <f>IFERROR(__xludf.DUMMYFUNCTION("""COMPUTED_VALUE"""),44388.0)</f>
        <v>44388</v>
      </c>
      <c r="G700" s="154" t="str">
        <f>IFERROR(__xludf.DUMMYFUNCTION("""COMPUTED_VALUE"""),"Email")</f>
        <v>Email</v>
      </c>
      <c r="H700" s="131">
        <f>IFERROR(__xludf.DUMMYFUNCTION("""COMPUTED_VALUE"""),13049.0)</f>
        <v>13049</v>
      </c>
      <c r="I700" s="144"/>
      <c r="J700" s="129">
        <f>IFERROR(__xludf.DUMMYFUNCTION("""COMPUTED_VALUE"""),44401.0)</f>
        <v>44401</v>
      </c>
      <c r="K700" s="133">
        <f>IFERROR(__xludf.DUMMYFUNCTION("""COMPUTED_VALUE"""),47.0)</f>
        <v>47</v>
      </c>
      <c r="L700" s="133">
        <f>IFERROR(__xludf.DUMMYFUNCTION("""COMPUTED_VALUE"""),13.0)</f>
        <v>13</v>
      </c>
      <c r="M700" s="133">
        <f>IFERROR(__xludf.DUMMYFUNCTION("""COMPUTED_VALUE"""),60.0)</f>
        <v>60</v>
      </c>
      <c r="N700" s="152" t="str">
        <f>IFERROR(__xludf.DUMMYFUNCTION("""COMPUTED_VALUE"""),"Model 3 LR AWD")</f>
        <v>Model 3 LR AWD</v>
      </c>
      <c r="O700" s="152" t="str">
        <f>IFERROR(__xludf.DUMMYFUNCTION("""COMPUTED_VALUE"""),"Pearl White Multi-Coat")</f>
        <v>Pearl White Multi-Coat</v>
      </c>
      <c r="P700" s="153" t="str">
        <f>IFERROR(__xludf.DUMMYFUNCTION("""COMPUTED_VALUE"""),"18 inch")</f>
        <v>18 inch</v>
      </c>
      <c r="Q700" s="152" t="str">
        <f>IFERROR(__xludf.DUMMYFUNCTION("""COMPUTED_VALUE"""),"All Black")</f>
        <v>All Black</v>
      </c>
      <c r="R700" s="149" t="str">
        <f>IFERROR(__xludf.DUMMYFUNCTION("""COMPUTED_VALUE"""),"Autopilot included")</f>
        <v>Autopilot included</v>
      </c>
      <c r="S700" s="149" t="str">
        <f>IFERROR(__xludf.DUMMYFUNCTION("""COMPUTED_VALUE"""),"Cash")</f>
        <v>Cash</v>
      </c>
      <c r="T700" s="145" t="str">
        <f>IFERROR(__xludf.DUMMYFUNCTION("""COMPUTED_VALUE"""),"Mini Cooper S")</f>
        <v>Mini Cooper S</v>
      </c>
      <c r="U700" s="145" t="str">
        <f>IFERROR(__xludf.DUMMYFUNCTION("""COMPUTED_VALUE"""),"Electric!")</f>
        <v>Electric!</v>
      </c>
      <c r="V700" s="145" t="str">
        <f>IFERROR(__xludf.DUMMYFUNCTION("""COMPUTED_VALUE"""),"Head-up display")</f>
        <v>Head-up display</v>
      </c>
      <c r="W700" s="145" t="str">
        <f>IFERROR(__xludf.DUMMYFUNCTION("""COMPUTED_VALUE"""),"Add that squirrel!")</f>
        <v>Add that squirrel!</v>
      </c>
      <c r="X700" s="137"/>
      <c r="Y700" s="138"/>
      <c r="Z700" s="138"/>
      <c r="AA700" s="138"/>
      <c r="AB700" s="138"/>
      <c r="AC700" s="139"/>
      <c r="AD700" s="139"/>
      <c r="AE700" s="139"/>
      <c r="AF700" s="140"/>
      <c r="AG700" s="145"/>
      <c r="AH700" s="157">
        <f>IFERROR(__xludf.DUMMYFUNCTION("""COMPUTED_VALUE"""),44399.36657106481)</f>
        <v>44399.36657</v>
      </c>
      <c r="AI700" s="138"/>
      <c r="AJ700" s="138"/>
      <c r="AK700" s="138"/>
      <c r="AL700" s="142"/>
    </row>
    <row r="701" ht="20.25" customHeight="1">
      <c r="A701" s="155" t="str">
        <f>IFERROR(__xludf.DUMMYFUNCTION("""COMPUTED_VALUE"""),"BiggusDickus")</f>
        <v>BiggusDickus</v>
      </c>
      <c r="B701" s="149"/>
      <c r="C701" s="149" t="str">
        <f>IFERROR(__xludf.DUMMYFUNCTION("""COMPUTED_VALUE"""),"NJ")</f>
        <v>NJ</v>
      </c>
      <c r="D701" s="149" t="str">
        <f>IFERROR(__xludf.DUMMYFUNCTION("""COMPUTED_VALUE"""),"USA")</f>
        <v>USA</v>
      </c>
      <c r="E701" s="156">
        <f>IFERROR(__xludf.DUMMYFUNCTION("""COMPUTED_VALUE"""),44341.0)</f>
        <v>44341</v>
      </c>
      <c r="F701" s="129">
        <f>IFERROR(__xludf.DUMMYFUNCTION("""COMPUTED_VALUE"""),44352.0)</f>
        <v>44352</v>
      </c>
      <c r="G701" s="154" t="str">
        <f>IFERROR(__xludf.DUMMYFUNCTION("""COMPUTED_VALUE"""),"Email")</f>
        <v>Email</v>
      </c>
      <c r="H701" s="131">
        <f>IFERROR(__xludf.DUMMYFUNCTION("""COMPUTED_VALUE"""),988101.0)</f>
        <v>988101</v>
      </c>
      <c r="I701" s="144" t="str">
        <f>IFERROR(__xludf.DUMMYFUNCTION("""COMPUTED_VALUE"""),"05/21")</f>
        <v>05/21</v>
      </c>
      <c r="J701" s="129">
        <f>IFERROR(__xludf.DUMMYFUNCTION("""COMPUTED_VALUE"""),44365.0)</f>
        <v>44365</v>
      </c>
      <c r="K701" s="133">
        <f>IFERROR(__xludf.DUMMYFUNCTION("""COMPUTED_VALUE"""),11.0)</f>
        <v>11</v>
      </c>
      <c r="L701" s="133">
        <f>IFERROR(__xludf.DUMMYFUNCTION("""COMPUTED_VALUE"""),13.0)</f>
        <v>13</v>
      </c>
      <c r="M701" s="133">
        <f>IFERROR(__xludf.DUMMYFUNCTION("""COMPUTED_VALUE"""),24.0)</f>
        <v>24</v>
      </c>
      <c r="N701" s="152" t="str">
        <f>IFERROR(__xludf.DUMMYFUNCTION("""COMPUTED_VALUE"""),"Model 3 LR AWD")</f>
        <v>Model 3 LR AWD</v>
      </c>
      <c r="O701" s="152" t="str">
        <f>IFERROR(__xludf.DUMMYFUNCTION("""COMPUTED_VALUE"""),"Red Multi-Coat")</f>
        <v>Red Multi-Coat</v>
      </c>
      <c r="P701" s="153" t="str">
        <f>IFERROR(__xludf.DUMMYFUNCTION("""COMPUTED_VALUE"""),"18 inch")</f>
        <v>18 inch</v>
      </c>
      <c r="Q701" s="152" t="str">
        <f>IFERROR(__xludf.DUMMYFUNCTION("""COMPUTED_VALUE"""),"All Black")</f>
        <v>All Black</v>
      </c>
      <c r="R701" s="149" t="str">
        <f>IFERROR(__xludf.DUMMYFUNCTION("""COMPUTED_VALUE"""),"Autopilot included")</f>
        <v>Autopilot included</v>
      </c>
      <c r="S701" s="149" t="str">
        <f>IFERROR(__xludf.DUMMYFUNCTION("""COMPUTED_VALUE"""),"Loan")</f>
        <v>Loan</v>
      </c>
      <c r="T701" s="145" t="str">
        <f>IFERROR(__xludf.DUMMYFUNCTION("""COMPUTED_VALUE"""),"VW GTI")</f>
        <v>VW GTI</v>
      </c>
      <c r="U701" s="145" t="str">
        <f>IFERROR(__xludf.DUMMYFUNCTION("""COMPUTED_VALUE"""),"Autopilot")</f>
        <v>Autopilot</v>
      </c>
      <c r="V701" s="145" t="str">
        <f>IFERROR(__xludf.DUMMYFUNCTION("""COMPUTED_VALUE"""),"Air suspension")</f>
        <v>Air suspension</v>
      </c>
      <c r="W701" s="145"/>
      <c r="X701" s="137" t="str">
        <f>IFERROR(__xludf.DUMMYFUNCTION("""COMPUTED_VALUE"""),"Excellent")</f>
        <v>Excellent</v>
      </c>
      <c r="Y701" s="138" t="str">
        <f>IFERROR(__xludf.DUMMYFUNCTION("""COMPUTED_VALUE"""),"Very Good")</f>
        <v>Very Good</v>
      </c>
      <c r="Z701" s="138" t="str">
        <f>IFERROR(__xludf.DUMMYFUNCTION("""COMPUTED_VALUE"""),"Excellent")</f>
        <v>Excellent</v>
      </c>
      <c r="AA701" s="138" t="str">
        <f>IFERROR(__xludf.DUMMYFUNCTION("""COMPUTED_VALUE"""),"Good")</f>
        <v>Good</v>
      </c>
      <c r="AB701" s="138" t="str">
        <f>IFERROR(__xludf.DUMMYFUNCTION("""COMPUTED_VALUE"""),"Excellent")</f>
        <v>Excellent</v>
      </c>
      <c r="AC701" s="139">
        <f>IFERROR(__xludf.DUMMYFUNCTION("""COMPUTED_VALUE"""),0.0)</f>
        <v>0</v>
      </c>
      <c r="AD701" s="139">
        <f>IFERROR(__xludf.DUMMYFUNCTION("""COMPUTED_VALUE"""),0.0)</f>
        <v>0</v>
      </c>
      <c r="AE701" s="139">
        <f>IFERROR(__xludf.DUMMYFUNCTION("""COMPUTED_VALUE"""),0.0)</f>
        <v>0</v>
      </c>
      <c r="AF701" s="140" t="str">
        <f>IFERROR(__xludf.DUMMYFUNCTION("""COMPUTED_VALUE"""),"No. I took delivery of the first car Tesla was able to deliver.")</f>
        <v>No. I took delivery of the first car Tesla was able to deliver.</v>
      </c>
      <c r="AG701" s="145"/>
      <c r="AH701" s="157">
        <f>IFERROR(__xludf.DUMMYFUNCTION("""COMPUTED_VALUE"""),44390.305571481484)</f>
        <v>44390.30557</v>
      </c>
      <c r="AI701" s="138"/>
      <c r="AJ701" s="138"/>
      <c r="AK701" s="138"/>
      <c r="AL701" s="142"/>
    </row>
    <row r="702" ht="20.25" customHeight="1">
      <c r="A702" s="155" t="str">
        <f>IFERROR(__xludf.DUMMYFUNCTION("""COMPUTED_VALUE"""),"ClintR")</f>
        <v>ClintR</v>
      </c>
      <c r="B702" s="149" t="str">
        <f>IFERROR(__xludf.DUMMYFUNCTION("""COMPUTED_VALUE"""),"Tampa, FL")</f>
        <v>Tampa, FL</v>
      </c>
      <c r="C702" s="149" t="str">
        <f>IFERROR(__xludf.DUMMYFUNCTION("""COMPUTED_VALUE"""),"FL")</f>
        <v>FL</v>
      </c>
      <c r="D702" s="149" t="str">
        <f>IFERROR(__xludf.DUMMYFUNCTION("""COMPUTED_VALUE"""),"USA")</f>
        <v>USA</v>
      </c>
      <c r="E702" s="156">
        <f>IFERROR(__xludf.DUMMYFUNCTION("""COMPUTED_VALUE"""),44341.0)</f>
        <v>44341</v>
      </c>
      <c r="F702" s="129">
        <f>IFERROR(__xludf.DUMMYFUNCTION("""COMPUTED_VALUE"""),44431.0)</f>
        <v>44431</v>
      </c>
      <c r="G702" s="154" t="str">
        <f>IFERROR(__xludf.DUMMYFUNCTION("""COMPUTED_VALUE"""),"Existing Inventory")</f>
        <v>Existing Inventory</v>
      </c>
      <c r="H702" s="131">
        <f>IFERROR(__xludf.DUMMYFUNCTION("""COMPUTED_VALUE"""),199088.0)</f>
        <v>199088</v>
      </c>
      <c r="I702" s="144"/>
      <c r="J702" s="129"/>
      <c r="K702" s="133">
        <f>IFERROR(__xludf.DUMMYFUNCTION("""COMPUTED_VALUE"""),90.0)</f>
        <v>90</v>
      </c>
      <c r="L702" s="133"/>
      <c r="M702" s="133"/>
      <c r="N702" s="152" t="str">
        <f>IFERROR(__xludf.DUMMYFUNCTION("""COMPUTED_VALUE"""),"Model 3 SR+")</f>
        <v>Model 3 SR+</v>
      </c>
      <c r="O702" s="152" t="str">
        <f>IFERROR(__xludf.DUMMYFUNCTION("""COMPUTED_VALUE"""),"Red Multi-Coat")</f>
        <v>Red Multi-Coat</v>
      </c>
      <c r="P702" s="153" t="str">
        <f>IFERROR(__xludf.DUMMYFUNCTION("""COMPUTED_VALUE"""),"19 inch")</f>
        <v>19 inch</v>
      </c>
      <c r="Q702" s="152" t="str">
        <f>IFERROR(__xludf.DUMMYFUNCTION("""COMPUTED_VALUE"""),"Black and White")</f>
        <v>Black and White</v>
      </c>
      <c r="R702" s="149" t="str">
        <f>IFERROR(__xludf.DUMMYFUNCTION("""COMPUTED_VALUE"""),"Autopilot included")</f>
        <v>Autopilot included</v>
      </c>
      <c r="S702" s="149" t="str">
        <f>IFERROR(__xludf.DUMMYFUNCTION("""COMPUTED_VALUE"""),"Loan")</f>
        <v>Loan</v>
      </c>
      <c r="T702" s="145" t="str">
        <f>IFERROR(__xludf.DUMMYFUNCTION("""COMPUTED_VALUE"""),"Hyundai Sonata")</f>
        <v>Hyundai Sonata</v>
      </c>
      <c r="U702" s="145" t="str">
        <f>IFERROR(__xludf.DUMMYFUNCTION("""COMPUTED_VALUE"""),"Autopilot")</f>
        <v>Autopilot</v>
      </c>
      <c r="V702" s="145" t="str">
        <f>IFERROR(__xludf.DUMMYFUNCTION("""COMPUTED_VALUE"""),"Ventilated seats")</f>
        <v>Ventilated seats</v>
      </c>
      <c r="W702" s="145"/>
      <c r="X702" s="137"/>
      <c r="Y702" s="138"/>
      <c r="Z702" s="138"/>
      <c r="AA702" s="138"/>
      <c r="AB702" s="138"/>
      <c r="AC702" s="139"/>
      <c r="AD702" s="139"/>
      <c r="AE702" s="139"/>
      <c r="AF702" s="140"/>
      <c r="AG702" s="145"/>
      <c r="AH702" s="157">
        <f>IFERROR(__xludf.DUMMYFUNCTION("""COMPUTED_VALUE"""),44432.41882511574)</f>
        <v>44432.41883</v>
      </c>
      <c r="AI702" s="138"/>
      <c r="AJ702" s="138"/>
      <c r="AK702" s="138"/>
      <c r="AL702" s="142"/>
    </row>
    <row r="703" ht="20.25" customHeight="1">
      <c r="A703" s="155" t="str">
        <f>IFERROR(__xludf.DUMMYFUNCTION("""COMPUTED_VALUE"""),"Prplrain")</f>
        <v>Prplrain</v>
      </c>
      <c r="B703" s="149" t="str">
        <f>IFERROR(__xludf.DUMMYFUNCTION("""COMPUTED_VALUE"""),"Upper Marlboro")</f>
        <v>Upper Marlboro</v>
      </c>
      <c r="C703" s="149" t="str">
        <f>IFERROR(__xludf.DUMMYFUNCTION("""COMPUTED_VALUE"""),"MD")</f>
        <v>MD</v>
      </c>
      <c r="D703" s="149" t="str">
        <f>IFERROR(__xludf.DUMMYFUNCTION("""COMPUTED_VALUE"""),"USA")</f>
        <v>USA</v>
      </c>
      <c r="E703" s="156">
        <f>IFERROR(__xludf.DUMMYFUNCTION("""COMPUTED_VALUE"""),44341.0)</f>
        <v>44341</v>
      </c>
      <c r="F703" s="129">
        <f>IFERROR(__xludf.DUMMYFUNCTION("""COMPUTED_VALUE"""),44413.0)</f>
        <v>44413</v>
      </c>
      <c r="G703" s="154" t="str">
        <f>IFERROR(__xludf.DUMMYFUNCTION("""COMPUTED_VALUE"""),"Email")</f>
        <v>Email</v>
      </c>
      <c r="H703" s="131"/>
      <c r="I703" s="144" t="str">
        <f>IFERROR(__xludf.DUMMYFUNCTION("""COMPUTED_VALUE"""),"08/21")</f>
        <v>08/21</v>
      </c>
      <c r="J703" s="129">
        <f>IFERROR(__xludf.DUMMYFUNCTION("""COMPUTED_VALUE"""),44427.0)</f>
        <v>44427</v>
      </c>
      <c r="K703" s="133">
        <f>IFERROR(__xludf.DUMMYFUNCTION("""COMPUTED_VALUE"""),72.0)</f>
        <v>72</v>
      </c>
      <c r="L703" s="133">
        <f>IFERROR(__xludf.DUMMYFUNCTION("""COMPUTED_VALUE"""),14.0)</f>
        <v>14</v>
      </c>
      <c r="M703" s="133">
        <f>IFERROR(__xludf.DUMMYFUNCTION("""COMPUTED_VALUE"""),86.0)</f>
        <v>86</v>
      </c>
      <c r="N703" s="152" t="str">
        <f>IFERROR(__xludf.DUMMYFUNCTION("""COMPUTED_VALUE"""),"Model 3 SR+")</f>
        <v>Model 3 SR+</v>
      </c>
      <c r="O703" s="152" t="str">
        <f>IFERROR(__xludf.DUMMYFUNCTION("""COMPUTED_VALUE"""),"Pearl White Multi-Coat")</f>
        <v>Pearl White Multi-Coat</v>
      </c>
      <c r="P703" s="153" t="str">
        <f>IFERROR(__xludf.DUMMYFUNCTION("""COMPUTED_VALUE"""),"18 inch")</f>
        <v>18 inch</v>
      </c>
      <c r="Q703" s="152" t="str">
        <f>IFERROR(__xludf.DUMMYFUNCTION("""COMPUTED_VALUE"""),"All Black")</f>
        <v>All Black</v>
      </c>
      <c r="R703" s="149" t="str">
        <f>IFERROR(__xludf.DUMMYFUNCTION("""COMPUTED_VALUE"""),"Autopilot included")</f>
        <v>Autopilot included</v>
      </c>
      <c r="S703" s="149" t="str">
        <f>IFERROR(__xludf.DUMMYFUNCTION("""COMPUTED_VALUE"""),"Loan")</f>
        <v>Loan</v>
      </c>
      <c r="T703" s="145"/>
      <c r="U703" s="145" t="str">
        <f>IFERROR(__xludf.DUMMYFUNCTION("""COMPUTED_VALUE"""),"Electric!")</f>
        <v>Electric!</v>
      </c>
      <c r="V703" s="145" t="str">
        <f>IFERROR(__xludf.DUMMYFUNCTION("""COMPUTED_VALUE"""),"Apple CarPlay / Android Auto / SiriusXM Radio")</f>
        <v>Apple CarPlay / Android Auto / SiriusXM Radio</v>
      </c>
      <c r="W703" s="145"/>
      <c r="X703" s="137" t="str">
        <f>IFERROR(__xludf.DUMMYFUNCTION("""COMPUTED_VALUE"""),"Excellent")</f>
        <v>Excellent</v>
      </c>
      <c r="Y703" s="138" t="str">
        <f>IFERROR(__xludf.DUMMYFUNCTION("""COMPUTED_VALUE"""),"Excellent")</f>
        <v>Excellent</v>
      </c>
      <c r="Z703" s="138" t="str">
        <f>IFERROR(__xludf.DUMMYFUNCTION("""COMPUTED_VALUE"""),"Excellent")</f>
        <v>Excellent</v>
      </c>
      <c r="AA703" s="138" t="str">
        <f>IFERROR(__xludf.DUMMYFUNCTION("""COMPUTED_VALUE"""),"Poor")</f>
        <v>Poor</v>
      </c>
      <c r="AB703" s="138" t="str">
        <f>IFERROR(__xludf.DUMMYFUNCTION("""COMPUTED_VALUE"""),"Good")</f>
        <v>Good</v>
      </c>
      <c r="AC703" s="139"/>
      <c r="AD703" s="139"/>
      <c r="AE703" s="139"/>
      <c r="AF703" s="140" t="str">
        <f>IFERROR(__xludf.DUMMYFUNCTION("""COMPUTED_VALUE"""),"No. I took delivery of the first car Tesla was able to deliver.")</f>
        <v>No. I took delivery of the first car Tesla was able to deliver.</v>
      </c>
      <c r="AG703" s="145"/>
      <c r="AH703" s="157">
        <f>IFERROR(__xludf.DUMMYFUNCTION("""COMPUTED_VALUE"""),44436.68082461806)</f>
        <v>44436.68082</v>
      </c>
      <c r="AI703" s="138"/>
      <c r="AJ703" s="138"/>
      <c r="AK703" s="138"/>
      <c r="AL703" s="142"/>
    </row>
    <row r="704" ht="20.25" customHeight="1">
      <c r="A704" s="155" t="str">
        <f>IFERROR(__xludf.DUMMYFUNCTION("""COMPUTED_VALUE"""),"Bagelnator6")</f>
        <v>Bagelnator6</v>
      </c>
      <c r="B704" s="149" t="str">
        <f>IFERROR(__xludf.DUMMYFUNCTION("""COMPUTED_VALUE"""),"Spokane")</f>
        <v>Spokane</v>
      </c>
      <c r="C704" s="149" t="str">
        <f>IFERROR(__xludf.DUMMYFUNCTION("""COMPUTED_VALUE"""),"WA")</f>
        <v>WA</v>
      </c>
      <c r="D704" s="149" t="str">
        <f>IFERROR(__xludf.DUMMYFUNCTION("""COMPUTED_VALUE"""),"USA")</f>
        <v>USA</v>
      </c>
      <c r="E704" s="156">
        <f>IFERROR(__xludf.DUMMYFUNCTION("""COMPUTED_VALUE"""),44339.0)</f>
        <v>44339</v>
      </c>
      <c r="F704" s="129">
        <f>IFERROR(__xludf.DUMMYFUNCTION("""COMPUTED_VALUE"""),44409.0)</f>
        <v>44409</v>
      </c>
      <c r="G704" s="154" t="str">
        <f>IFERROR(__xludf.DUMMYFUNCTION("""COMPUTED_VALUE"""),"Email")</f>
        <v>Email</v>
      </c>
      <c r="H704" s="131"/>
      <c r="I704" s="144"/>
      <c r="J704" s="129">
        <f>IFERROR(__xludf.DUMMYFUNCTION("""COMPUTED_VALUE"""),44415.0)</f>
        <v>44415</v>
      </c>
      <c r="K704" s="133">
        <f>IFERROR(__xludf.DUMMYFUNCTION("""COMPUTED_VALUE"""),70.0)</f>
        <v>70</v>
      </c>
      <c r="L704" s="133">
        <f>IFERROR(__xludf.DUMMYFUNCTION("""COMPUTED_VALUE"""),6.0)</f>
        <v>6</v>
      </c>
      <c r="M704" s="133">
        <f>IFERROR(__xludf.DUMMYFUNCTION("""COMPUTED_VALUE"""),76.0)</f>
        <v>76</v>
      </c>
      <c r="N704" s="152" t="str">
        <f>IFERROR(__xludf.DUMMYFUNCTION("""COMPUTED_VALUE"""),"Model 3 LR AWD")</f>
        <v>Model 3 LR AWD</v>
      </c>
      <c r="O704" s="152" t="str">
        <f>IFERROR(__xludf.DUMMYFUNCTION("""COMPUTED_VALUE"""),"Midnight Silver Metallic")</f>
        <v>Midnight Silver Metallic</v>
      </c>
      <c r="P704" s="153" t="str">
        <f>IFERROR(__xludf.DUMMYFUNCTION("""COMPUTED_VALUE"""),"18 inch")</f>
        <v>18 inch</v>
      </c>
      <c r="Q704" s="152" t="str">
        <f>IFERROR(__xludf.DUMMYFUNCTION("""COMPUTED_VALUE"""),"All Black")</f>
        <v>All Black</v>
      </c>
      <c r="R704" s="149" t="str">
        <f>IFERROR(__xludf.DUMMYFUNCTION("""COMPUTED_VALUE"""),"Autopilot included")</f>
        <v>Autopilot included</v>
      </c>
      <c r="S704" s="149" t="str">
        <f>IFERROR(__xludf.DUMMYFUNCTION("""COMPUTED_VALUE"""),"Loan")</f>
        <v>Loan</v>
      </c>
      <c r="T704" s="145" t="str">
        <f>IFERROR(__xludf.DUMMYFUNCTION("""COMPUTED_VALUE"""),"BMW 3 Series")</f>
        <v>BMW 3 Series</v>
      </c>
      <c r="U704" s="145" t="str">
        <f>IFERROR(__xludf.DUMMYFUNCTION("""COMPUTED_VALUE"""),"Electric!")</f>
        <v>Electric!</v>
      </c>
      <c r="V704" s="145" t="str">
        <f>IFERROR(__xludf.DUMMYFUNCTION("""COMPUTED_VALUE"""),"Head-up display")</f>
        <v>Head-up display</v>
      </c>
      <c r="W704" s="145"/>
      <c r="X704" s="137"/>
      <c r="Y704" s="138"/>
      <c r="Z704" s="138"/>
      <c r="AA704" s="138"/>
      <c r="AB704" s="138"/>
      <c r="AC704" s="139"/>
      <c r="AD704" s="139"/>
      <c r="AE704" s="139"/>
      <c r="AF704" s="140"/>
      <c r="AG704" s="145"/>
      <c r="AH704" s="157">
        <f>IFERROR(__xludf.DUMMYFUNCTION("""COMPUTED_VALUE"""),44410.70226365741)</f>
        <v>44410.70226</v>
      </c>
      <c r="AI704" s="138"/>
      <c r="AJ704" s="138"/>
      <c r="AK704" s="138"/>
      <c r="AL704" s="142"/>
    </row>
    <row r="705" ht="20.25" customHeight="1">
      <c r="A705" s="155" t="str">
        <f>IFERROR(__xludf.DUMMYFUNCTION("""COMPUTED_VALUE"""),"evrejerry")</f>
        <v>evrejerry</v>
      </c>
      <c r="B705" s="149" t="str">
        <f>IFERROR(__xludf.DUMMYFUNCTION("""COMPUTED_VALUE"""),"Riverside, CA")</f>
        <v>Riverside, CA</v>
      </c>
      <c r="C705" s="149" t="str">
        <f>IFERROR(__xludf.DUMMYFUNCTION("""COMPUTED_VALUE"""),"CA")</f>
        <v>CA</v>
      </c>
      <c r="D705" s="149" t="str">
        <f>IFERROR(__xludf.DUMMYFUNCTION("""COMPUTED_VALUE"""),"USA")</f>
        <v>USA</v>
      </c>
      <c r="E705" s="156">
        <f>IFERROR(__xludf.DUMMYFUNCTION("""COMPUTED_VALUE"""),44339.0)</f>
        <v>44339</v>
      </c>
      <c r="F705" s="129">
        <f>IFERROR(__xludf.DUMMYFUNCTION("""COMPUTED_VALUE"""),44376.0)</f>
        <v>44376</v>
      </c>
      <c r="G705" s="154" t="str">
        <f>IFERROR(__xludf.DUMMYFUNCTION("""COMPUTED_VALUE"""),"Manage order page (normal text)")</f>
        <v>Manage order page (normal text)</v>
      </c>
      <c r="H705" s="131"/>
      <c r="I705" s="144"/>
      <c r="J705" s="129">
        <f>IFERROR(__xludf.DUMMYFUNCTION("""COMPUTED_VALUE"""),44377.0)</f>
        <v>44377</v>
      </c>
      <c r="K705" s="133">
        <f>IFERROR(__xludf.DUMMYFUNCTION("""COMPUTED_VALUE"""),37.0)</f>
        <v>37</v>
      </c>
      <c r="L705" s="133">
        <f>IFERROR(__xludf.DUMMYFUNCTION("""COMPUTED_VALUE"""),1.0)</f>
        <v>1</v>
      </c>
      <c r="M705" s="133">
        <f>IFERROR(__xludf.DUMMYFUNCTION("""COMPUTED_VALUE"""),38.0)</f>
        <v>38</v>
      </c>
      <c r="N705" s="152" t="str">
        <f>IFERROR(__xludf.DUMMYFUNCTION("""COMPUTED_VALUE"""),"Model 3 LR AWD")</f>
        <v>Model 3 LR AWD</v>
      </c>
      <c r="O705" s="152" t="str">
        <f>IFERROR(__xludf.DUMMYFUNCTION("""COMPUTED_VALUE"""),"Midnight Silver Metallic")</f>
        <v>Midnight Silver Metallic</v>
      </c>
      <c r="P705" s="153" t="str">
        <f>IFERROR(__xludf.DUMMYFUNCTION("""COMPUTED_VALUE"""),"18 inch")</f>
        <v>18 inch</v>
      </c>
      <c r="Q705" s="152" t="str">
        <f>IFERROR(__xludf.DUMMYFUNCTION("""COMPUTED_VALUE"""),"All Black")</f>
        <v>All Black</v>
      </c>
      <c r="R705" s="149" t="str">
        <f>IFERROR(__xludf.DUMMYFUNCTION("""COMPUTED_VALUE"""),"Autopilot included")</f>
        <v>Autopilot included</v>
      </c>
      <c r="S705" s="149" t="str">
        <f>IFERROR(__xludf.DUMMYFUNCTION("""COMPUTED_VALUE"""),"Loan")</f>
        <v>Loan</v>
      </c>
      <c r="T705" s="145" t="str">
        <f>IFERROR(__xludf.DUMMYFUNCTION("""COMPUTED_VALUE"""),"Genesis Coupe")</f>
        <v>Genesis Coupe</v>
      </c>
      <c r="U705" s="145" t="str">
        <f>IFERROR(__xludf.DUMMYFUNCTION("""COMPUTED_VALUE"""),"Autopilot")</f>
        <v>Autopilot</v>
      </c>
      <c r="V705" s="145" t="str">
        <f>IFERROR(__xludf.DUMMYFUNCTION("""COMPUTED_VALUE"""),"Head-up display")</f>
        <v>Head-up display</v>
      </c>
      <c r="W705" s="145"/>
      <c r="X705" s="137" t="str">
        <f>IFERROR(__xludf.DUMMYFUNCTION("""COMPUTED_VALUE"""),"Very Good")</f>
        <v>Very Good</v>
      </c>
      <c r="Y705" s="138" t="str">
        <f>IFERROR(__xludf.DUMMYFUNCTION("""COMPUTED_VALUE"""),"Excellent")</f>
        <v>Excellent</v>
      </c>
      <c r="Z705" s="138" t="str">
        <f>IFERROR(__xludf.DUMMYFUNCTION("""COMPUTED_VALUE"""),"Very Good")</f>
        <v>Very Good</v>
      </c>
      <c r="AA705" s="138" t="str">
        <f>IFERROR(__xludf.DUMMYFUNCTION("""COMPUTED_VALUE"""),"Excellent")</f>
        <v>Excellent</v>
      </c>
      <c r="AB705" s="138" t="str">
        <f>IFERROR(__xludf.DUMMYFUNCTION("""COMPUTED_VALUE"""),"Excellent")</f>
        <v>Excellent</v>
      </c>
      <c r="AC705" s="139">
        <f>IFERROR(__xludf.DUMMYFUNCTION("""COMPUTED_VALUE"""),3.0)</f>
        <v>3</v>
      </c>
      <c r="AD705" s="139"/>
      <c r="AE705" s="139"/>
      <c r="AF705" s="140" t="str">
        <f>IFERROR(__xludf.DUMMYFUNCTION("""COMPUTED_VALUE"""),"No. I took delivery of the first car Tesla was able to deliver.")</f>
        <v>No. I took delivery of the first car Tesla was able to deliver.</v>
      </c>
      <c r="AG705" s="145"/>
      <c r="AH705" s="157">
        <f>IFERROR(__xludf.DUMMYFUNCTION("""COMPUTED_VALUE"""),44380.63120407407)</f>
        <v>44380.6312</v>
      </c>
      <c r="AI705" s="138"/>
      <c r="AJ705" s="138"/>
      <c r="AK705" s="138"/>
      <c r="AL705" s="142"/>
    </row>
    <row r="706" ht="20.25" customHeight="1">
      <c r="A706" s="155" t="str">
        <f>IFERROR(__xludf.DUMMYFUNCTION("""COMPUTED_VALUE"""),"IvanIsCool")</f>
        <v>IvanIsCool</v>
      </c>
      <c r="B706" s="149" t="str">
        <f>IFERROR(__xludf.DUMMYFUNCTION("""COMPUTED_VALUE"""),"Austin")</f>
        <v>Austin</v>
      </c>
      <c r="C706" s="149" t="str">
        <f>IFERROR(__xludf.DUMMYFUNCTION("""COMPUTED_VALUE"""),"TX")</f>
        <v>TX</v>
      </c>
      <c r="D706" s="149" t="str">
        <f>IFERROR(__xludf.DUMMYFUNCTION("""COMPUTED_VALUE"""),"USA")</f>
        <v>USA</v>
      </c>
      <c r="E706" s="156">
        <f>IFERROR(__xludf.DUMMYFUNCTION("""COMPUTED_VALUE"""),44339.0)</f>
        <v>44339</v>
      </c>
      <c r="F706" s="129">
        <f>IFERROR(__xludf.DUMMYFUNCTION("""COMPUTED_VALUE"""),44391.0)</f>
        <v>44391</v>
      </c>
      <c r="G706" s="154" t="str">
        <f>IFERROR(__xludf.DUMMYFUNCTION("""COMPUTED_VALUE"""),"Manage order page (normal text)")</f>
        <v>Manage order page (normal text)</v>
      </c>
      <c r="H706" s="131"/>
      <c r="I706" s="144"/>
      <c r="J706" s="129">
        <f>IFERROR(__xludf.DUMMYFUNCTION("""COMPUTED_VALUE"""),44401.0)</f>
        <v>44401</v>
      </c>
      <c r="K706" s="133">
        <f>IFERROR(__xludf.DUMMYFUNCTION("""COMPUTED_VALUE"""),52.0)</f>
        <v>52</v>
      </c>
      <c r="L706" s="133">
        <f>IFERROR(__xludf.DUMMYFUNCTION("""COMPUTED_VALUE"""),10.0)</f>
        <v>10</v>
      </c>
      <c r="M706" s="133">
        <f>IFERROR(__xludf.DUMMYFUNCTION("""COMPUTED_VALUE"""),62.0)</f>
        <v>62</v>
      </c>
      <c r="N706" s="152" t="str">
        <f>IFERROR(__xludf.DUMMYFUNCTION("""COMPUTED_VALUE"""),"Model 3 SR+")</f>
        <v>Model 3 SR+</v>
      </c>
      <c r="O706" s="152" t="str">
        <f>IFERROR(__xludf.DUMMYFUNCTION("""COMPUTED_VALUE"""),"Pearl White Multi-Coat")</f>
        <v>Pearl White Multi-Coat</v>
      </c>
      <c r="P706" s="153" t="str">
        <f>IFERROR(__xludf.DUMMYFUNCTION("""COMPUTED_VALUE"""),"18 inch")</f>
        <v>18 inch</v>
      </c>
      <c r="Q706" s="152" t="str">
        <f>IFERROR(__xludf.DUMMYFUNCTION("""COMPUTED_VALUE"""),"All Black")</f>
        <v>All Black</v>
      </c>
      <c r="R706" s="149" t="str">
        <f>IFERROR(__xludf.DUMMYFUNCTION("""COMPUTED_VALUE"""),"Autopilot included")</f>
        <v>Autopilot included</v>
      </c>
      <c r="S706" s="149" t="str">
        <f>IFERROR(__xludf.DUMMYFUNCTION("""COMPUTED_VALUE"""),"Loan")</f>
        <v>Loan</v>
      </c>
      <c r="T706" s="145"/>
      <c r="U706" s="145"/>
      <c r="V706" s="145" t="str">
        <f>IFERROR(__xludf.DUMMYFUNCTION("""COMPUTED_VALUE"""),"Apple CarPlay / Android Auto / SiriusXM Radio")</f>
        <v>Apple CarPlay / Android Auto / SiriusXM Radio</v>
      </c>
      <c r="W706" s="145"/>
      <c r="X706" s="137"/>
      <c r="Y706" s="138"/>
      <c r="Z706" s="138"/>
      <c r="AA706" s="138"/>
      <c r="AB706" s="138"/>
      <c r="AC706" s="139"/>
      <c r="AD706" s="139"/>
      <c r="AE706" s="139"/>
      <c r="AF706" s="140"/>
      <c r="AG706" s="145"/>
      <c r="AH706" s="157">
        <f>IFERROR(__xludf.DUMMYFUNCTION("""COMPUTED_VALUE"""),44403.21498900463)</f>
        <v>44403.21499</v>
      </c>
      <c r="AI706" s="138"/>
      <c r="AJ706" s="138"/>
      <c r="AK706" s="138"/>
      <c r="AL706" s="142"/>
    </row>
    <row r="707" ht="20.25" customHeight="1">
      <c r="A707" s="155" t="str">
        <f>IFERROR(__xludf.DUMMYFUNCTION("""COMPUTED_VALUE"""),"ppc750")</f>
        <v>ppc750</v>
      </c>
      <c r="B707" s="149" t="str">
        <f>IFERROR(__xludf.DUMMYFUNCTION("""COMPUTED_VALUE"""),"Irvine")</f>
        <v>Irvine</v>
      </c>
      <c r="C707" s="149" t="str">
        <f>IFERROR(__xludf.DUMMYFUNCTION("""COMPUTED_VALUE"""),"CA")</f>
        <v>CA</v>
      </c>
      <c r="D707" s="149" t="str">
        <f>IFERROR(__xludf.DUMMYFUNCTION("""COMPUTED_VALUE"""),"USA")</f>
        <v>USA</v>
      </c>
      <c r="E707" s="156">
        <f>IFERROR(__xludf.DUMMYFUNCTION("""COMPUTED_VALUE"""),44339.0)</f>
        <v>44339</v>
      </c>
      <c r="F707" s="129">
        <f>IFERROR(__xludf.DUMMYFUNCTION("""COMPUTED_VALUE"""),44389.0)</f>
        <v>44389</v>
      </c>
      <c r="G707" s="154" t="str">
        <f>IFERROR(__xludf.DUMMYFUNCTION("""COMPUTED_VALUE"""),"Email")</f>
        <v>Email</v>
      </c>
      <c r="H707" s="131">
        <f>IFERROR(__xludf.DUMMYFUNCTION("""COMPUTED_VALUE"""),16155.0)</f>
        <v>16155</v>
      </c>
      <c r="I707" s="144"/>
      <c r="J707" s="129">
        <f>IFERROR(__xludf.DUMMYFUNCTION("""COMPUTED_VALUE"""),44392.0)</f>
        <v>44392</v>
      </c>
      <c r="K707" s="133">
        <f>IFERROR(__xludf.DUMMYFUNCTION("""COMPUTED_VALUE"""),50.0)</f>
        <v>50</v>
      </c>
      <c r="L707" s="133">
        <f>IFERROR(__xludf.DUMMYFUNCTION("""COMPUTED_VALUE"""),3.0)</f>
        <v>3</v>
      </c>
      <c r="M707" s="133">
        <f>IFERROR(__xludf.DUMMYFUNCTION("""COMPUTED_VALUE"""),53.0)</f>
        <v>53</v>
      </c>
      <c r="N707" s="152" t="str">
        <f>IFERROR(__xludf.DUMMYFUNCTION("""COMPUTED_VALUE"""),"Model 3 SR+")</f>
        <v>Model 3 SR+</v>
      </c>
      <c r="O707" s="152" t="str">
        <f>IFERROR(__xludf.DUMMYFUNCTION("""COMPUTED_VALUE"""),"Pearl White Multi-Coat")</f>
        <v>Pearl White Multi-Coat</v>
      </c>
      <c r="P707" s="153" t="str">
        <f>IFERROR(__xludf.DUMMYFUNCTION("""COMPUTED_VALUE"""),"18 inch")</f>
        <v>18 inch</v>
      </c>
      <c r="Q707" s="152" t="str">
        <f>IFERROR(__xludf.DUMMYFUNCTION("""COMPUTED_VALUE"""),"All Black")</f>
        <v>All Black</v>
      </c>
      <c r="R707" s="149" t="str">
        <f>IFERROR(__xludf.DUMMYFUNCTION("""COMPUTED_VALUE"""),"Autopilot included")</f>
        <v>Autopilot included</v>
      </c>
      <c r="S707" s="149" t="str">
        <f>IFERROR(__xludf.DUMMYFUNCTION("""COMPUTED_VALUE"""),"Loan")</f>
        <v>Loan</v>
      </c>
      <c r="T707" s="145" t="str">
        <f>IFERROR(__xludf.DUMMYFUNCTION("""COMPUTED_VALUE"""),"Tesla Model Y Performance-")</f>
        <v>Tesla Model Y Performance-</v>
      </c>
      <c r="U707" s="145" t="str">
        <f>IFERROR(__xludf.DUMMYFUNCTION("""COMPUTED_VALUE"""),"Electric!")</f>
        <v>Electric!</v>
      </c>
      <c r="V707" s="145" t="str">
        <f>IFERROR(__xludf.DUMMYFUNCTION("""COMPUTED_VALUE"""),"360° Bird's eye view")</f>
        <v>360° Bird's eye view</v>
      </c>
      <c r="W707" s="145"/>
      <c r="X707" s="137"/>
      <c r="Y707" s="138"/>
      <c r="Z707" s="138"/>
      <c r="AA707" s="138"/>
      <c r="AB707" s="138"/>
      <c r="AC707" s="139"/>
      <c r="AD707" s="139"/>
      <c r="AE707" s="139"/>
      <c r="AF707" s="140"/>
      <c r="AG707" s="145"/>
      <c r="AH707" s="157">
        <f>IFERROR(__xludf.DUMMYFUNCTION("""COMPUTED_VALUE"""),44391.481461539355)</f>
        <v>44391.48146</v>
      </c>
      <c r="AI707" s="138"/>
      <c r="AJ707" s="138"/>
      <c r="AK707" s="138"/>
      <c r="AL707" s="142"/>
    </row>
    <row r="708" ht="20.25" customHeight="1">
      <c r="A708" s="155" t="str">
        <f>IFERROR(__xludf.DUMMYFUNCTION("""COMPUTED_VALUE"""),"VancityGhost")</f>
        <v>VancityGhost</v>
      </c>
      <c r="B708" s="149" t="str">
        <f>IFERROR(__xludf.DUMMYFUNCTION("""COMPUTED_VALUE"""),"Vancouver")</f>
        <v>Vancouver</v>
      </c>
      <c r="C708" s="149" t="str">
        <f>IFERROR(__xludf.DUMMYFUNCTION("""COMPUTED_VALUE"""),"BC")</f>
        <v>BC</v>
      </c>
      <c r="D708" s="149" t="str">
        <f>IFERROR(__xludf.DUMMYFUNCTION("""COMPUTED_VALUE"""),"Canada")</f>
        <v>Canada</v>
      </c>
      <c r="E708" s="156">
        <f>IFERROR(__xludf.DUMMYFUNCTION("""COMPUTED_VALUE"""),44339.0)</f>
        <v>44339</v>
      </c>
      <c r="F708" s="129">
        <f>IFERROR(__xludf.DUMMYFUNCTION("""COMPUTED_VALUE"""),44370.0)</f>
        <v>44370</v>
      </c>
      <c r="G708" s="154" t="str">
        <f>IFERROR(__xludf.DUMMYFUNCTION("""COMPUTED_VALUE"""),"Source code")</f>
        <v>Source code</v>
      </c>
      <c r="H708" s="131"/>
      <c r="I708" s="144" t="str">
        <f>IFERROR(__xludf.DUMMYFUNCTION("""COMPUTED_VALUE"""),"06/21")</f>
        <v>06/21</v>
      </c>
      <c r="J708" s="129">
        <f>IFERROR(__xludf.DUMMYFUNCTION("""COMPUTED_VALUE"""),44374.0)</f>
        <v>44374</v>
      </c>
      <c r="K708" s="133">
        <f>IFERROR(__xludf.DUMMYFUNCTION("""COMPUTED_VALUE"""),31.0)</f>
        <v>31</v>
      </c>
      <c r="L708" s="133">
        <f>IFERROR(__xludf.DUMMYFUNCTION("""COMPUTED_VALUE"""),4.0)</f>
        <v>4</v>
      </c>
      <c r="M708" s="133">
        <f>IFERROR(__xludf.DUMMYFUNCTION("""COMPUTED_VALUE"""),35.0)</f>
        <v>35</v>
      </c>
      <c r="N708" s="152" t="str">
        <f>IFERROR(__xludf.DUMMYFUNCTION("""COMPUTED_VALUE"""),"Model 3 SR+")</f>
        <v>Model 3 SR+</v>
      </c>
      <c r="O708" s="152" t="str">
        <f>IFERROR(__xludf.DUMMYFUNCTION("""COMPUTED_VALUE"""),"Pearl White Multi-Coat")</f>
        <v>Pearl White Multi-Coat</v>
      </c>
      <c r="P708" s="153" t="str">
        <f>IFERROR(__xludf.DUMMYFUNCTION("""COMPUTED_VALUE"""),"18 inch")</f>
        <v>18 inch</v>
      </c>
      <c r="Q708" s="152" t="str">
        <f>IFERROR(__xludf.DUMMYFUNCTION("""COMPUTED_VALUE"""),"Black and White")</f>
        <v>Black and White</v>
      </c>
      <c r="R708" s="149" t="str">
        <f>IFERROR(__xludf.DUMMYFUNCTION("""COMPUTED_VALUE"""),"Autopilot included")</f>
        <v>Autopilot included</v>
      </c>
      <c r="S708" s="149" t="str">
        <f>IFERROR(__xludf.DUMMYFUNCTION("""COMPUTED_VALUE"""),"Loan")</f>
        <v>Loan</v>
      </c>
      <c r="T708" s="145" t="str">
        <f>IFERROR(__xludf.DUMMYFUNCTION("""COMPUTED_VALUE"""),"Model 3 will be my first car!")</f>
        <v>Model 3 will be my first car!</v>
      </c>
      <c r="U708" s="145" t="str">
        <f>IFERROR(__xludf.DUMMYFUNCTION("""COMPUTED_VALUE"""),"Electric!")</f>
        <v>Electric!</v>
      </c>
      <c r="V708" s="145" t="str">
        <f>IFERROR(__xludf.DUMMYFUNCTION("""COMPUTED_VALUE"""),"Head-up display")</f>
        <v>Head-up display</v>
      </c>
      <c r="W708" s="145"/>
      <c r="X708" s="137" t="str">
        <f>IFERROR(__xludf.DUMMYFUNCTION("""COMPUTED_VALUE"""),"Excellent")</f>
        <v>Excellent</v>
      </c>
      <c r="Y708" s="138" t="str">
        <f>IFERROR(__xludf.DUMMYFUNCTION("""COMPUTED_VALUE"""),"Excellent")</f>
        <v>Excellent</v>
      </c>
      <c r="Z708" s="138" t="str">
        <f>IFERROR(__xludf.DUMMYFUNCTION("""COMPUTED_VALUE"""),"Excellent")</f>
        <v>Excellent</v>
      </c>
      <c r="AA708" s="138" t="str">
        <f>IFERROR(__xludf.DUMMYFUNCTION("""COMPUTED_VALUE"""),"Excellent")</f>
        <v>Excellent</v>
      </c>
      <c r="AB708" s="138" t="str">
        <f>IFERROR(__xludf.DUMMYFUNCTION("""COMPUTED_VALUE"""),"Excellent")</f>
        <v>Excellent</v>
      </c>
      <c r="AC708" s="139">
        <f>IFERROR(__xludf.DUMMYFUNCTION("""COMPUTED_VALUE"""),3.0)</f>
        <v>3</v>
      </c>
      <c r="AD708" s="139">
        <f>IFERROR(__xludf.DUMMYFUNCTION("""COMPUTED_VALUE"""),1.0)</f>
        <v>1</v>
      </c>
      <c r="AE708" s="139">
        <f>IFERROR(__xludf.DUMMYFUNCTION("""COMPUTED_VALUE"""),0.0)</f>
        <v>0</v>
      </c>
      <c r="AF708" s="140" t="str">
        <f>IFERROR(__xludf.DUMMYFUNCTION("""COMPUTED_VALUE"""),"No. I took delivery of the first car Tesla was able to deliver.")</f>
        <v>No. I took delivery of the first car Tesla was able to deliver.</v>
      </c>
      <c r="AG708" s="145"/>
      <c r="AH708" s="157">
        <f>IFERROR(__xludf.DUMMYFUNCTION("""COMPUTED_VALUE"""),44410.878337650465)</f>
        <v>44410.87834</v>
      </c>
      <c r="AI708" s="138"/>
      <c r="AJ708" s="138"/>
      <c r="AK708" s="138"/>
      <c r="AL708" s="142"/>
    </row>
    <row r="709" ht="20.25" customHeight="1">
      <c r="A709" s="155" t="str">
        <f>IFERROR(__xludf.DUMMYFUNCTION("""COMPUTED_VALUE"""),"Baytomax")</f>
        <v>Baytomax</v>
      </c>
      <c r="B709" s="149" t="str">
        <f>IFERROR(__xludf.DUMMYFUNCTION("""COMPUTED_VALUE"""),"Los Angeles")</f>
        <v>Los Angeles</v>
      </c>
      <c r="C709" s="149" t="str">
        <f>IFERROR(__xludf.DUMMYFUNCTION("""COMPUTED_VALUE"""),"CA")</f>
        <v>CA</v>
      </c>
      <c r="D709" s="149" t="str">
        <f>IFERROR(__xludf.DUMMYFUNCTION("""COMPUTED_VALUE"""),"USA")</f>
        <v>USA</v>
      </c>
      <c r="E709" s="156">
        <f>IFERROR(__xludf.DUMMYFUNCTION("""COMPUTED_VALUE"""),44338.0)</f>
        <v>44338</v>
      </c>
      <c r="F709" s="129">
        <f>IFERROR(__xludf.DUMMYFUNCTION("""COMPUTED_VALUE"""),44415.0)</f>
        <v>44415</v>
      </c>
      <c r="G709" s="154" t="str">
        <f>IFERROR(__xludf.DUMMYFUNCTION("""COMPUTED_VALUE"""),"Manage order page (normal text)")</f>
        <v>Manage order page (normal text)</v>
      </c>
      <c r="H709" s="131"/>
      <c r="I709" s="144"/>
      <c r="J709" s="129">
        <f>IFERROR(__xludf.DUMMYFUNCTION("""COMPUTED_VALUE"""),44420.0)</f>
        <v>44420</v>
      </c>
      <c r="K709" s="133">
        <f>IFERROR(__xludf.DUMMYFUNCTION("""COMPUTED_VALUE"""),77.0)</f>
        <v>77</v>
      </c>
      <c r="L709" s="133">
        <f>IFERROR(__xludf.DUMMYFUNCTION("""COMPUTED_VALUE"""),5.0)</f>
        <v>5</v>
      </c>
      <c r="M709" s="133">
        <f>IFERROR(__xludf.DUMMYFUNCTION("""COMPUTED_VALUE"""),82.0)</f>
        <v>82</v>
      </c>
      <c r="N709" s="152" t="str">
        <f>IFERROR(__xludf.DUMMYFUNCTION("""COMPUTED_VALUE"""),"Model 3 SR+")</f>
        <v>Model 3 SR+</v>
      </c>
      <c r="O709" s="152" t="str">
        <f>IFERROR(__xludf.DUMMYFUNCTION("""COMPUTED_VALUE"""),"Pearl White Multi-Coat")</f>
        <v>Pearl White Multi-Coat</v>
      </c>
      <c r="P709" s="153" t="str">
        <f>IFERROR(__xludf.DUMMYFUNCTION("""COMPUTED_VALUE"""),"18 inch")</f>
        <v>18 inch</v>
      </c>
      <c r="Q709" s="152" t="str">
        <f>IFERROR(__xludf.DUMMYFUNCTION("""COMPUTED_VALUE"""),"Black and White")</f>
        <v>Black and White</v>
      </c>
      <c r="R709" s="149" t="str">
        <f>IFERROR(__xludf.DUMMYFUNCTION("""COMPUTED_VALUE"""),"Autopilot included")</f>
        <v>Autopilot included</v>
      </c>
      <c r="S709" s="149" t="str">
        <f>IFERROR(__xludf.DUMMYFUNCTION("""COMPUTED_VALUE"""),"Loan")</f>
        <v>Loan</v>
      </c>
      <c r="T709" s="145" t="str">
        <f>IFERROR(__xludf.DUMMYFUNCTION("""COMPUTED_VALUE"""),"Ford Fusion")</f>
        <v>Ford Fusion</v>
      </c>
      <c r="U709" s="145" t="str">
        <f>IFERROR(__xludf.DUMMYFUNCTION("""COMPUTED_VALUE"""),"Autopilot")</f>
        <v>Autopilot</v>
      </c>
      <c r="V709" s="145" t="str">
        <f>IFERROR(__xludf.DUMMYFUNCTION("""COMPUTED_VALUE"""),"Ventilated seats")</f>
        <v>Ventilated seats</v>
      </c>
      <c r="W709" s="145" t="str">
        <f>IFERROR(__xludf.DUMMYFUNCTION("""COMPUTED_VALUE"""),"Don't check EDD until a few weeks in at least")</f>
        <v>Don't check EDD until a few weeks in at least</v>
      </c>
      <c r="X709" s="137" t="str">
        <f>IFERROR(__xludf.DUMMYFUNCTION("""COMPUTED_VALUE"""),"Excellent")</f>
        <v>Excellent</v>
      </c>
      <c r="Y709" s="138" t="str">
        <f>IFERROR(__xludf.DUMMYFUNCTION("""COMPUTED_VALUE"""),"Excellent")</f>
        <v>Excellent</v>
      </c>
      <c r="Z709" s="138" t="str">
        <f>IFERROR(__xludf.DUMMYFUNCTION("""COMPUTED_VALUE"""),"Excellent")</f>
        <v>Excellent</v>
      </c>
      <c r="AA709" s="138" t="str">
        <f>IFERROR(__xludf.DUMMYFUNCTION("""COMPUTED_VALUE"""),"Poor")</f>
        <v>Poor</v>
      </c>
      <c r="AB709" s="138" t="str">
        <f>IFERROR(__xludf.DUMMYFUNCTION("""COMPUTED_VALUE"""),"Fair")</f>
        <v>Fair</v>
      </c>
      <c r="AC709" s="139">
        <f>IFERROR(__xludf.DUMMYFUNCTION("""COMPUTED_VALUE"""),0.0)</f>
        <v>0</v>
      </c>
      <c r="AD709" s="139">
        <f>IFERROR(__xludf.DUMMYFUNCTION("""COMPUTED_VALUE"""),0.0)</f>
        <v>0</v>
      </c>
      <c r="AE709" s="139">
        <f>IFERROR(__xludf.DUMMYFUNCTION("""COMPUTED_VALUE"""),0.0)</f>
        <v>0</v>
      </c>
      <c r="AF709" s="140" t="str">
        <f>IFERROR(__xludf.DUMMYFUNCTION("""COMPUTED_VALUE"""),"No. I took delivery of the first car Tesla was able to deliver.")</f>
        <v>No. I took delivery of the first car Tesla was able to deliver.</v>
      </c>
      <c r="AG709" s="145"/>
      <c r="AH709" s="157">
        <f>IFERROR(__xludf.DUMMYFUNCTION("""COMPUTED_VALUE"""),44421.490951493055)</f>
        <v>44421.49095</v>
      </c>
      <c r="AI709" s="138"/>
      <c r="AJ709" s="138"/>
      <c r="AK709" s="138"/>
      <c r="AL709" s="142"/>
    </row>
    <row r="710" ht="20.25" customHeight="1">
      <c r="A710" s="155" t="str">
        <f>IFERROR(__xludf.DUMMYFUNCTION("""COMPUTED_VALUE"""),"bfearday")</f>
        <v>bfearday</v>
      </c>
      <c r="B710" s="149" t="str">
        <f>IFERROR(__xludf.DUMMYFUNCTION("""COMPUTED_VALUE"""),"St. Louis")</f>
        <v>St. Louis</v>
      </c>
      <c r="C710" s="149" t="str">
        <f>IFERROR(__xludf.DUMMYFUNCTION("""COMPUTED_VALUE"""),"MO")</f>
        <v>MO</v>
      </c>
      <c r="D710" s="149" t="str">
        <f>IFERROR(__xludf.DUMMYFUNCTION("""COMPUTED_VALUE"""),"USA")</f>
        <v>USA</v>
      </c>
      <c r="E710" s="156">
        <f>IFERROR(__xludf.DUMMYFUNCTION("""COMPUTED_VALUE"""),44338.0)</f>
        <v>44338</v>
      </c>
      <c r="F710" s="129">
        <f>IFERROR(__xludf.DUMMYFUNCTION("""COMPUTED_VALUE"""),44394.0)</f>
        <v>44394</v>
      </c>
      <c r="G710" s="154" t="str">
        <f>IFERROR(__xludf.DUMMYFUNCTION("""COMPUTED_VALUE"""),"Manage order page (normal text)")</f>
        <v>Manage order page (normal text)</v>
      </c>
      <c r="H710" s="131">
        <f>IFERROR(__xludf.DUMMYFUNCTION("""COMPUTED_VALUE"""),18839.0)</f>
        <v>18839</v>
      </c>
      <c r="I710" s="144"/>
      <c r="J710" s="129">
        <f>IFERROR(__xludf.DUMMYFUNCTION("""COMPUTED_VALUE"""),44407.0)</f>
        <v>44407</v>
      </c>
      <c r="K710" s="133">
        <f>IFERROR(__xludf.DUMMYFUNCTION("""COMPUTED_VALUE"""),56.0)</f>
        <v>56</v>
      </c>
      <c r="L710" s="133">
        <f>IFERROR(__xludf.DUMMYFUNCTION("""COMPUTED_VALUE"""),13.0)</f>
        <v>13</v>
      </c>
      <c r="M710" s="133">
        <f>IFERROR(__xludf.DUMMYFUNCTION("""COMPUTED_VALUE"""),69.0)</f>
        <v>69</v>
      </c>
      <c r="N710" s="152" t="str">
        <f>IFERROR(__xludf.DUMMYFUNCTION("""COMPUTED_VALUE"""),"Model 3 SR+")</f>
        <v>Model 3 SR+</v>
      </c>
      <c r="O710" s="152" t="str">
        <f>IFERROR(__xludf.DUMMYFUNCTION("""COMPUTED_VALUE"""),"Deep Blue Metallic")</f>
        <v>Deep Blue Metallic</v>
      </c>
      <c r="P710" s="153" t="str">
        <f>IFERROR(__xludf.DUMMYFUNCTION("""COMPUTED_VALUE"""),"18 inch")</f>
        <v>18 inch</v>
      </c>
      <c r="Q710" s="152" t="str">
        <f>IFERROR(__xludf.DUMMYFUNCTION("""COMPUTED_VALUE"""),"Black and White")</f>
        <v>Black and White</v>
      </c>
      <c r="R710" s="149" t="str">
        <f>IFERROR(__xludf.DUMMYFUNCTION("""COMPUTED_VALUE"""),"Autopilot included")</f>
        <v>Autopilot included</v>
      </c>
      <c r="S710" s="149" t="str">
        <f>IFERROR(__xludf.DUMMYFUNCTION("""COMPUTED_VALUE"""),"Loan")</f>
        <v>Loan</v>
      </c>
      <c r="T710" s="145" t="str">
        <f>IFERROR(__xludf.DUMMYFUNCTION("""COMPUTED_VALUE"""),"Mitsubishi Lancer")</f>
        <v>Mitsubishi Lancer</v>
      </c>
      <c r="U710" s="145" t="str">
        <f>IFERROR(__xludf.DUMMYFUNCTION("""COMPUTED_VALUE"""),"Tesla brand image")</f>
        <v>Tesla brand image</v>
      </c>
      <c r="V710" s="145" t="str">
        <f>IFERROR(__xludf.DUMMYFUNCTION("""COMPUTED_VALUE"""),"More control via app")</f>
        <v>More control via app</v>
      </c>
      <c r="W710" s="145"/>
      <c r="X710" s="137" t="str">
        <f>IFERROR(__xludf.DUMMYFUNCTION("""COMPUTED_VALUE"""),"Excellent")</f>
        <v>Excellent</v>
      </c>
      <c r="Y710" s="138" t="str">
        <f>IFERROR(__xludf.DUMMYFUNCTION("""COMPUTED_VALUE"""),"Excellent")</f>
        <v>Excellent</v>
      </c>
      <c r="Z710" s="138" t="str">
        <f>IFERROR(__xludf.DUMMYFUNCTION("""COMPUTED_VALUE"""),"Excellent")</f>
        <v>Excellent</v>
      </c>
      <c r="AA710" s="138" t="str">
        <f>IFERROR(__xludf.DUMMYFUNCTION("""COMPUTED_VALUE"""),"Very Good")</f>
        <v>Very Good</v>
      </c>
      <c r="AB710" s="138" t="str">
        <f>IFERROR(__xludf.DUMMYFUNCTION("""COMPUTED_VALUE"""),"Very Good")</f>
        <v>Very Good</v>
      </c>
      <c r="AC710" s="139"/>
      <c r="AD710" s="139"/>
      <c r="AE710" s="139"/>
      <c r="AF710" s="140" t="str">
        <f>IFERROR(__xludf.DUMMYFUNCTION("""COMPUTED_VALUE"""),"No. I took delivery of the first car Tesla was able to deliver.")</f>
        <v>No. I took delivery of the first car Tesla was able to deliver.</v>
      </c>
      <c r="AG710" s="145"/>
      <c r="AH710" s="157">
        <f>IFERROR(__xludf.DUMMYFUNCTION("""COMPUTED_VALUE"""),44409.533031018516)</f>
        <v>44409.53303</v>
      </c>
      <c r="AI710" s="138"/>
      <c r="AJ710" s="138"/>
      <c r="AK710" s="138"/>
      <c r="AL710" s="142"/>
    </row>
    <row r="711" ht="20.25" customHeight="1">
      <c r="A711" s="155" t="str">
        <f>IFERROR(__xludf.DUMMYFUNCTION("""COMPUTED_VALUE"""),"Gabeincal")</f>
        <v>Gabeincal</v>
      </c>
      <c r="B711" s="149" t="str">
        <f>IFERROR(__xludf.DUMMYFUNCTION("""COMPUTED_VALUE"""),"Sunnyvale")</f>
        <v>Sunnyvale</v>
      </c>
      <c r="C711" s="149" t="str">
        <f>IFERROR(__xludf.DUMMYFUNCTION("""COMPUTED_VALUE"""),"CA")</f>
        <v>CA</v>
      </c>
      <c r="D711" s="149" t="str">
        <f>IFERROR(__xludf.DUMMYFUNCTION("""COMPUTED_VALUE"""),"USA")</f>
        <v>USA</v>
      </c>
      <c r="E711" s="156">
        <f>IFERROR(__xludf.DUMMYFUNCTION("""COMPUTED_VALUE"""),44338.0)</f>
        <v>44338</v>
      </c>
      <c r="F711" s="129">
        <f>IFERROR(__xludf.DUMMYFUNCTION("""COMPUTED_VALUE"""),44460.0)</f>
        <v>44460</v>
      </c>
      <c r="G711" s="154" t="str">
        <f>IFERROR(__xludf.DUMMYFUNCTION("""COMPUTED_VALUE"""),"Manage order page (normal text)")</f>
        <v>Manage order page (normal text)</v>
      </c>
      <c r="H711" s="131"/>
      <c r="I711" s="144"/>
      <c r="J711" s="129">
        <f>IFERROR(__xludf.DUMMYFUNCTION("""COMPUTED_VALUE"""),44463.0)</f>
        <v>44463</v>
      </c>
      <c r="K711" s="133">
        <f>IFERROR(__xludf.DUMMYFUNCTION("""COMPUTED_VALUE"""),122.0)</f>
        <v>122</v>
      </c>
      <c r="L711" s="133">
        <f>IFERROR(__xludf.DUMMYFUNCTION("""COMPUTED_VALUE"""),3.0)</f>
        <v>3</v>
      </c>
      <c r="M711" s="133">
        <f>IFERROR(__xludf.DUMMYFUNCTION("""COMPUTED_VALUE"""),125.0)</f>
        <v>125</v>
      </c>
      <c r="N711" s="152" t="str">
        <f>IFERROR(__xludf.DUMMYFUNCTION("""COMPUTED_VALUE"""),"Model 3 SR+")</f>
        <v>Model 3 SR+</v>
      </c>
      <c r="O711" s="152" t="str">
        <f>IFERROR(__xludf.DUMMYFUNCTION("""COMPUTED_VALUE"""),"Red Multi-Coat")</f>
        <v>Red Multi-Coat</v>
      </c>
      <c r="P711" s="153" t="str">
        <f>IFERROR(__xludf.DUMMYFUNCTION("""COMPUTED_VALUE"""),"18 inch")</f>
        <v>18 inch</v>
      </c>
      <c r="Q711" s="152" t="str">
        <f>IFERROR(__xludf.DUMMYFUNCTION("""COMPUTED_VALUE"""),"Black and White")</f>
        <v>Black and White</v>
      </c>
      <c r="R711" s="149" t="str">
        <f>IFERROR(__xludf.DUMMYFUNCTION("""COMPUTED_VALUE"""),"Autopilot included")</f>
        <v>Autopilot included</v>
      </c>
      <c r="S711" s="149" t="str">
        <f>IFERROR(__xludf.DUMMYFUNCTION("""COMPUTED_VALUE"""),"Loan")</f>
        <v>Loan</v>
      </c>
      <c r="T711" s="145" t="str">
        <f>IFERROR(__xludf.DUMMYFUNCTION("""COMPUTED_VALUE"""),"BMW Z3")</f>
        <v>BMW Z3</v>
      </c>
      <c r="U711" s="145" t="str">
        <f>IFERROR(__xludf.DUMMYFUNCTION("""COMPUTED_VALUE"""),"Electric!")</f>
        <v>Electric!</v>
      </c>
      <c r="V711" s="145" t="str">
        <f>IFERROR(__xludf.DUMMYFUNCTION("""COMPUTED_VALUE"""),"Ventilated seats")</f>
        <v>Ventilated seats</v>
      </c>
      <c r="W711" s="145"/>
      <c r="X711" s="137" t="str">
        <f>IFERROR(__xludf.DUMMYFUNCTION("""COMPUTED_VALUE"""),"Very Good")</f>
        <v>Very Good</v>
      </c>
      <c r="Y711" s="138" t="str">
        <f>IFERROR(__xludf.DUMMYFUNCTION("""COMPUTED_VALUE"""),"Very Good")</f>
        <v>Very Good</v>
      </c>
      <c r="Z711" s="138" t="str">
        <f>IFERROR(__xludf.DUMMYFUNCTION("""COMPUTED_VALUE"""),"Good")</f>
        <v>Good</v>
      </c>
      <c r="AA711" s="138" t="str">
        <f>IFERROR(__xludf.DUMMYFUNCTION("""COMPUTED_VALUE"""),"Excellent")</f>
        <v>Excellent</v>
      </c>
      <c r="AB711" s="138" t="str">
        <f>IFERROR(__xludf.DUMMYFUNCTION("""COMPUTED_VALUE"""),"Excellent")</f>
        <v>Excellent</v>
      </c>
      <c r="AC711" s="139"/>
      <c r="AD711" s="139"/>
      <c r="AE711" s="139"/>
      <c r="AF711" s="140" t="str">
        <f>IFERROR(__xludf.DUMMYFUNCTION("""COMPUTED_VALUE"""),"No. I took delivery of the first car Tesla was able to deliver.")</f>
        <v>No. I took delivery of the first car Tesla was able to deliver.</v>
      </c>
      <c r="AG711" s="145"/>
      <c r="AH711" s="157">
        <f>IFERROR(__xludf.DUMMYFUNCTION("""COMPUTED_VALUE"""),44466.33335818287)</f>
        <v>44466.33336</v>
      </c>
      <c r="AI711" s="138"/>
      <c r="AJ711" s="138"/>
      <c r="AK711" s="138"/>
      <c r="AL711" s="142"/>
    </row>
    <row r="712" ht="20.25" customHeight="1">
      <c r="A712" s="155" t="str">
        <f>IFERROR(__xludf.DUMMYFUNCTION("""COMPUTED_VALUE"""),"HalfNHalfT")</f>
        <v>HalfNHalfT</v>
      </c>
      <c r="B712" s="149" t="str">
        <f>IFERROR(__xludf.DUMMYFUNCTION("""COMPUTED_VALUE"""),"Raleigh")</f>
        <v>Raleigh</v>
      </c>
      <c r="C712" s="149" t="str">
        <f>IFERROR(__xludf.DUMMYFUNCTION("""COMPUTED_VALUE"""),"NC")</f>
        <v>NC</v>
      </c>
      <c r="D712" s="149" t="str">
        <f>IFERROR(__xludf.DUMMYFUNCTION("""COMPUTED_VALUE"""),"USA")</f>
        <v>USA</v>
      </c>
      <c r="E712" s="156">
        <f>IFERROR(__xludf.DUMMYFUNCTION("""COMPUTED_VALUE"""),44338.0)</f>
        <v>44338</v>
      </c>
      <c r="F712" s="129">
        <f>IFERROR(__xludf.DUMMYFUNCTION("""COMPUTED_VALUE"""),44356.0)</f>
        <v>44356</v>
      </c>
      <c r="G712" s="154" t="str">
        <f>IFERROR(__xludf.DUMMYFUNCTION("""COMPUTED_VALUE"""),"Manage order page (normal text)")</f>
        <v>Manage order page (normal text)</v>
      </c>
      <c r="H712" s="131">
        <f>IFERROR(__xludf.DUMMYFUNCTION("""COMPUTED_VALUE"""),988155.0)</f>
        <v>988155</v>
      </c>
      <c r="I712" s="144"/>
      <c r="J712" s="129">
        <f>IFERROR(__xludf.DUMMYFUNCTION("""COMPUTED_VALUE"""),44372.0)</f>
        <v>44372</v>
      </c>
      <c r="K712" s="133">
        <f>IFERROR(__xludf.DUMMYFUNCTION("""COMPUTED_VALUE"""),18.0)</f>
        <v>18</v>
      </c>
      <c r="L712" s="133">
        <f>IFERROR(__xludf.DUMMYFUNCTION("""COMPUTED_VALUE"""),16.0)</f>
        <v>16</v>
      </c>
      <c r="M712" s="133">
        <f>IFERROR(__xludf.DUMMYFUNCTION("""COMPUTED_VALUE"""),34.0)</f>
        <v>34</v>
      </c>
      <c r="N712" s="152" t="str">
        <f>IFERROR(__xludf.DUMMYFUNCTION("""COMPUTED_VALUE"""),"Model 3 LR AWD")</f>
        <v>Model 3 LR AWD</v>
      </c>
      <c r="O712" s="152" t="str">
        <f>IFERROR(__xludf.DUMMYFUNCTION("""COMPUTED_VALUE"""),"Deep Blue Metallic")</f>
        <v>Deep Blue Metallic</v>
      </c>
      <c r="P712" s="153" t="str">
        <f>IFERROR(__xludf.DUMMYFUNCTION("""COMPUTED_VALUE"""),"18 inch")</f>
        <v>18 inch</v>
      </c>
      <c r="Q712" s="152" t="str">
        <f>IFERROR(__xludf.DUMMYFUNCTION("""COMPUTED_VALUE"""),"All Black")</f>
        <v>All Black</v>
      </c>
      <c r="R712" s="149" t="str">
        <f>IFERROR(__xludf.DUMMYFUNCTION("""COMPUTED_VALUE"""),"Autopilot included")</f>
        <v>Autopilot included</v>
      </c>
      <c r="S712" s="149" t="str">
        <f>IFERROR(__xludf.DUMMYFUNCTION("""COMPUTED_VALUE"""),"Loan")</f>
        <v>Loan</v>
      </c>
      <c r="T712" s="145" t="str">
        <f>IFERROR(__xludf.DUMMYFUNCTION("""COMPUTED_VALUE"""),"Honda Accord")</f>
        <v>Honda Accord</v>
      </c>
      <c r="U712" s="145" t="str">
        <f>IFERROR(__xludf.DUMMYFUNCTION("""COMPUTED_VALUE"""),"Electric!")</f>
        <v>Electric!</v>
      </c>
      <c r="V712" s="145" t="str">
        <f>IFERROR(__xludf.DUMMYFUNCTION("""COMPUTED_VALUE"""),"Head-up display")</f>
        <v>Head-up display</v>
      </c>
      <c r="W712" s="145"/>
      <c r="X712" s="137" t="str">
        <f>IFERROR(__xludf.DUMMYFUNCTION("""COMPUTED_VALUE"""),"Excellent")</f>
        <v>Excellent</v>
      </c>
      <c r="Y712" s="138" t="str">
        <f>IFERROR(__xludf.DUMMYFUNCTION("""COMPUTED_VALUE"""),"Excellent")</f>
        <v>Excellent</v>
      </c>
      <c r="Z712" s="138" t="str">
        <f>IFERROR(__xludf.DUMMYFUNCTION("""COMPUTED_VALUE"""),"Excellent")</f>
        <v>Excellent</v>
      </c>
      <c r="AA712" s="138" t="str">
        <f>IFERROR(__xludf.DUMMYFUNCTION("""COMPUTED_VALUE"""),"Good")</f>
        <v>Good</v>
      </c>
      <c r="AB712" s="138" t="str">
        <f>IFERROR(__xludf.DUMMYFUNCTION("""COMPUTED_VALUE"""),"Very Good")</f>
        <v>Very Good</v>
      </c>
      <c r="AC712" s="139"/>
      <c r="AD712" s="139"/>
      <c r="AE712" s="139"/>
      <c r="AF712" s="140" t="str">
        <f>IFERROR(__xludf.DUMMYFUNCTION("""COMPUTED_VALUE"""),"No. I took delivery of the first car Tesla was able to deliver.")</f>
        <v>No. I took delivery of the first car Tesla was able to deliver.</v>
      </c>
      <c r="AG712" s="145"/>
      <c r="AH712" s="157">
        <f>IFERROR(__xludf.DUMMYFUNCTION("""COMPUTED_VALUE"""),44372.85223564815)</f>
        <v>44372.85224</v>
      </c>
      <c r="AI712" s="138"/>
      <c r="AJ712" s="138"/>
      <c r="AK712" s="138"/>
      <c r="AL712" s="142"/>
    </row>
    <row r="713" ht="20.25" customHeight="1">
      <c r="A713" s="155" t="str">
        <f>IFERROR(__xludf.DUMMYFUNCTION("""COMPUTED_VALUE"""),"Nnlamb25")</f>
        <v>Nnlamb25</v>
      </c>
      <c r="B713" s="149" t="str">
        <f>IFERROR(__xludf.DUMMYFUNCTION("""COMPUTED_VALUE"""),"Brea")</f>
        <v>Brea</v>
      </c>
      <c r="C713" s="149" t="str">
        <f>IFERROR(__xludf.DUMMYFUNCTION("""COMPUTED_VALUE"""),"CA")</f>
        <v>CA</v>
      </c>
      <c r="D713" s="149" t="str">
        <f>IFERROR(__xludf.DUMMYFUNCTION("""COMPUTED_VALUE"""),"USA")</f>
        <v>USA</v>
      </c>
      <c r="E713" s="156">
        <f>IFERROR(__xludf.DUMMYFUNCTION("""COMPUTED_VALUE"""),44338.0)</f>
        <v>44338</v>
      </c>
      <c r="F713" s="129"/>
      <c r="G713" s="154"/>
      <c r="H713" s="131"/>
      <c r="I713" s="144"/>
      <c r="J713" s="129"/>
      <c r="K713" s="133"/>
      <c r="L713" s="133"/>
      <c r="M713" s="133"/>
      <c r="N713" s="152" t="str">
        <f>IFERROR(__xludf.DUMMYFUNCTION("""COMPUTED_VALUE"""),"Model 3 SR+")</f>
        <v>Model 3 SR+</v>
      </c>
      <c r="O713" s="152" t="str">
        <f>IFERROR(__xludf.DUMMYFUNCTION("""COMPUTED_VALUE"""),"Midnight Silver Metallic")</f>
        <v>Midnight Silver Metallic</v>
      </c>
      <c r="P713" s="153" t="str">
        <f>IFERROR(__xludf.DUMMYFUNCTION("""COMPUTED_VALUE"""),"18 inch")</f>
        <v>18 inch</v>
      </c>
      <c r="Q713" s="152" t="str">
        <f>IFERROR(__xludf.DUMMYFUNCTION("""COMPUTED_VALUE"""),"All Black")</f>
        <v>All Black</v>
      </c>
      <c r="R713" s="149" t="str">
        <f>IFERROR(__xludf.DUMMYFUNCTION("""COMPUTED_VALUE"""),"Autopilot included")</f>
        <v>Autopilot included</v>
      </c>
      <c r="S713" s="149" t="str">
        <f>IFERROR(__xludf.DUMMYFUNCTION("""COMPUTED_VALUE"""),"Loan")</f>
        <v>Loan</v>
      </c>
      <c r="T713" s="145"/>
      <c r="U713" s="145"/>
      <c r="V713" s="145"/>
      <c r="W713" s="145"/>
      <c r="X713" s="137"/>
      <c r="Y713" s="138"/>
      <c r="Z713" s="138"/>
      <c r="AA713" s="138"/>
      <c r="AB713" s="138"/>
      <c r="AC713" s="139"/>
      <c r="AD713" s="139"/>
      <c r="AE713" s="139"/>
      <c r="AF713" s="140"/>
      <c r="AG713" s="145"/>
      <c r="AH713" s="157">
        <f>IFERROR(__xludf.DUMMYFUNCTION("""COMPUTED_VALUE"""),44441.04449826389)</f>
        <v>44441.0445</v>
      </c>
      <c r="AI713" s="138"/>
      <c r="AJ713" s="138"/>
      <c r="AK713" s="138"/>
      <c r="AL713" s="142"/>
    </row>
    <row r="714" ht="20.25" customHeight="1">
      <c r="A714" s="155" t="str">
        <f>IFERROR(__xludf.DUMMYFUNCTION("""COMPUTED_VALUE"""),"queenamydala")</f>
        <v>queenamydala</v>
      </c>
      <c r="B714" s="149" t="str">
        <f>IFERROR(__xludf.DUMMYFUNCTION("""COMPUTED_VALUE"""),"Napa")</f>
        <v>Napa</v>
      </c>
      <c r="C714" s="149" t="str">
        <f>IFERROR(__xludf.DUMMYFUNCTION("""COMPUTED_VALUE"""),"CA")</f>
        <v>CA</v>
      </c>
      <c r="D714" s="149" t="str">
        <f>IFERROR(__xludf.DUMMYFUNCTION("""COMPUTED_VALUE"""),"USA")</f>
        <v>USA</v>
      </c>
      <c r="E714" s="156">
        <f>IFERROR(__xludf.DUMMYFUNCTION("""COMPUTED_VALUE"""),44338.0)</f>
        <v>44338</v>
      </c>
      <c r="F714" s="129">
        <f>IFERROR(__xludf.DUMMYFUNCTION("""COMPUTED_VALUE"""),44369.0)</f>
        <v>44369</v>
      </c>
      <c r="G714" s="154" t="str">
        <f>IFERROR(__xludf.DUMMYFUNCTION("""COMPUTED_VALUE"""),"Manage order page (normal text)")</f>
        <v>Manage order page (normal text)</v>
      </c>
      <c r="H714" s="131">
        <f>IFERROR(__xludf.DUMMYFUNCTION("""COMPUTED_VALUE"""),998255.0)</f>
        <v>998255</v>
      </c>
      <c r="I714" s="144"/>
      <c r="J714" s="129">
        <f>IFERROR(__xludf.DUMMYFUNCTION("""COMPUTED_VALUE"""),44370.0)</f>
        <v>44370</v>
      </c>
      <c r="K714" s="133">
        <f>IFERROR(__xludf.DUMMYFUNCTION("""COMPUTED_VALUE"""),31.0)</f>
        <v>31</v>
      </c>
      <c r="L714" s="133">
        <f>IFERROR(__xludf.DUMMYFUNCTION("""COMPUTED_VALUE"""),1.0)</f>
        <v>1</v>
      </c>
      <c r="M714" s="133">
        <f>IFERROR(__xludf.DUMMYFUNCTION("""COMPUTED_VALUE"""),32.0)</f>
        <v>32</v>
      </c>
      <c r="N714" s="152" t="str">
        <f>IFERROR(__xludf.DUMMYFUNCTION("""COMPUTED_VALUE"""),"Model 3 SR+")</f>
        <v>Model 3 SR+</v>
      </c>
      <c r="O714" s="152" t="str">
        <f>IFERROR(__xludf.DUMMYFUNCTION("""COMPUTED_VALUE"""),"Pearl White Multi-Coat")</f>
        <v>Pearl White Multi-Coat</v>
      </c>
      <c r="P714" s="153" t="str">
        <f>IFERROR(__xludf.DUMMYFUNCTION("""COMPUTED_VALUE"""),"18 inch")</f>
        <v>18 inch</v>
      </c>
      <c r="Q714" s="152" t="str">
        <f>IFERROR(__xludf.DUMMYFUNCTION("""COMPUTED_VALUE"""),"All Black")</f>
        <v>All Black</v>
      </c>
      <c r="R714" s="149" t="str">
        <f>IFERROR(__xludf.DUMMYFUNCTION("""COMPUTED_VALUE"""),"Full Self-Driving")</f>
        <v>Full Self-Driving</v>
      </c>
      <c r="S714" s="149" t="str">
        <f>IFERROR(__xludf.DUMMYFUNCTION("""COMPUTED_VALUE"""),"Lease")</f>
        <v>Lease</v>
      </c>
      <c r="T714" s="145" t="str">
        <f>IFERROR(__xludf.DUMMYFUNCTION("""COMPUTED_VALUE"""),"Acura RDX")</f>
        <v>Acura RDX</v>
      </c>
      <c r="U714" s="145" t="str">
        <f>IFERROR(__xludf.DUMMYFUNCTION("""COMPUTED_VALUE"""),"Autopilot")</f>
        <v>Autopilot</v>
      </c>
      <c r="V714" s="145" t="str">
        <f>IFERROR(__xludf.DUMMYFUNCTION("""COMPUTED_VALUE"""),"HomeLink")</f>
        <v>HomeLink</v>
      </c>
      <c r="W714" s="145"/>
      <c r="X714" s="137" t="str">
        <f>IFERROR(__xludf.DUMMYFUNCTION("""COMPUTED_VALUE"""),"Excellent")</f>
        <v>Excellent</v>
      </c>
      <c r="Y714" s="138" t="str">
        <f>IFERROR(__xludf.DUMMYFUNCTION("""COMPUTED_VALUE"""),"Excellent")</f>
        <v>Excellent</v>
      </c>
      <c r="Z714" s="138" t="str">
        <f>IFERROR(__xludf.DUMMYFUNCTION("""COMPUTED_VALUE"""),"Excellent")</f>
        <v>Excellent</v>
      </c>
      <c r="AA714" s="138" t="str">
        <f>IFERROR(__xludf.DUMMYFUNCTION("""COMPUTED_VALUE"""),"Fair")</f>
        <v>Fair</v>
      </c>
      <c r="AB714" s="138" t="str">
        <f>IFERROR(__xludf.DUMMYFUNCTION("""COMPUTED_VALUE"""),"Excellent")</f>
        <v>Excellent</v>
      </c>
      <c r="AC714" s="139"/>
      <c r="AD714" s="139"/>
      <c r="AE714" s="139"/>
      <c r="AF714" s="140" t="str">
        <f>IFERROR(__xludf.DUMMYFUNCTION("""COMPUTED_VALUE"""),"No. I took delivery of the first car Tesla was able to deliver.")</f>
        <v>No. I took delivery of the first car Tesla was able to deliver.</v>
      </c>
      <c r="AG714" s="145"/>
      <c r="AH714" s="157">
        <f>IFERROR(__xludf.DUMMYFUNCTION("""COMPUTED_VALUE"""),44371.6012946412)</f>
        <v>44371.60129</v>
      </c>
      <c r="AI714" s="138"/>
      <c r="AJ714" s="138"/>
      <c r="AK714" s="138"/>
      <c r="AL714" s="142"/>
    </row>
    <row r="715" ht="20.25" customHeight="1">
      <c r="A715" s="155" t="str">
        <f>IFERROR(__xludf.DUMMYFUNCTION("""COMPUTED_VALUE"""),"ShadowRN")</f>
        <v>ShadowRN</v>
      </c>
      <c r="B715" s="149" t="str">
        <f>IFERROR(__xludf.DUMMYFUNCTION("""COMPUTED_VALUE"""),"OC")</f>
        <v>OC</v>
      </c>
      <c r="C715" s="149" t="str">
        <f>IFERROR(__xludf.DUMMYFUNCTION("""COMPUTED_VALUE"""),"CA")</f>
        <v>CA</v>
      </c>
      <c r="D715" s="149" t="str">
        <f>IFERROR(__xludf.DUMMYFUNCTION("""COMPUTED_VALUE"""),"USA")</f>
        <v>USA</v>
      </c>
      <c r="E715" s="156">
        <f>IFERROR(__xludf.DUMMYFUNCTION("""COMPUTED_VALUE"""),44337.0)</f>
        <v>44337</v>
      </c>
      <c r="F715" s="129">
        <f>IFERROR(__xludf.DUMMYFUNCTION("""COMPUTED_VALUE"""),44374.0)</f>
        <v>44374</v>
      </c>
      <c r="G715" s="154" t="str">
        <f>IFERROR(__xludf.DUMMYFUNCTION("""COMPUTED_VALUE"""),"Text message")</f>
        <v>Text message</v>
      </c>
      <c r="H715" s="131">
        <f>IFERROR(__xludf.DUMMYFUNCTION("""COMPUTED_VALUE"""),6540.0)</f>
        <v>6540</v>
      </c>
      <c r="I715" s="144" t="str">
        <f>IFERROR(__xludf.DUMMYFUNCTION("""COMPUTED_VALUE"""),"06/21")</f>
        <v>06/21</v>
      </c>
      <c r="J715" s="129">
        <f>IFERROR(__xludf.DUMMYFUNCTION("""COMPUTED_VALUE"""),44376.0)</f>
        <v>44376</v>
      </c>
      <c r="K715" s="133">
        <f>IFERROR(__xludf.DUMMYFUNCTION("""COMPUTED_VALUE"""),37.0)</f>
        <v>37</v>
      </c>
      <c r="L715" s="133">
        <f>IFERROR(__xludf.DUMMYFUNCTION("""COMPUTED_VALUE"""),2.0)</f>
        <v>2</v>
      </c>
      <c r="M715" s="133">
        <f>IFERROR(__xludf.DUMMYFUNCTION("""COMPUTED_VALUE"""),39.0)</f>
        <v>39</v>
      </c>
      <c r="N715" s="152" t="str">
        <f>IFERROR(__xludf.DUMMYFUNCTION("""COMPUTED_VALUE"""),"Model 3 SR+")</f>
        <v>Model 3 SR+</v>
      </c>
      <c r="O715" s="152" t="str">
        <f>IFERROR(__xludf.DUMMYFUNCTION("""COMPUTED_VALUE"""),"Midnight Silver Metallic")</f>
        <v>Midnight Silver Metallic</v>
      </c>
      <c r="P715" s="153" t="str">
        <f>IFERROR(__xludf.DUMMYFUNCTION("""COMPUTED_VALUE"""),"18 inch")</f>
        <v>18 inch</v>
      </c>
      <c r="Q715" s="152" t="str">
        <f>IFERROR(__xludf.DUMMYFUNCTION("""COMPUTED_VALUE"""),"All Black")</f>
        <v>All Black</v>
      </c>
      <c r="R715" s="149" t="str">
        <f>IFERROR(__xludf.DUMMYFUNCTION("""COMPUTED_VALUE"""),"Autopilot included")</f>
        <v>Autopilot included</v>
      </c>
      <c r="S715" s="149" t="str">
        <f>IFERROR(__xludf.DUMMYFUNCTION("""COMPUTED_VALUE"""),"Loan")</f>
        <v>Loan</v>
      </c>
      <c r="T715" s="145" t="str">
        <f>IFERROR(__xludf.DUMMYFUNCTION("""COMPUTED_VALUE"""),"Toyota Prius")</f>
        <v>Toyota Prius</v>
      </c>
      <c r="U715" s="145" t="str">
        <f>IFERROR(__xludf.DUMMYFUNCTION("""COMPUTED_VALUE"""),"Electric!")</f>
        <v>Electric!</v>
      </c>
      <c r="V715" s="145" t="str">
        <f>IFERROR(__xludf.DUMMYFUNCTION("""COMPUTED_VALUE"""),"Apple CarPlay / Android Auto / SiriusXM Radio")</f>
        <v>Apple CarPlay / Android Auto / SiriusXM Radio</v>
      </c>
      <c r="W715" s="145"/>
      <c r="X715" s="137" t="str">
        <f>IFERROR(__xludf.DUMMYFUNCTION("""COMPUTED_VALUE"""),"Excellent")</f>
        <v>Excellent</v>
      </c>
      <c r="Y715" s="138" t="str">
        <f>IFERROR(__xludf.DUMMYFUNCTION("""COMPUTED_VALUE"""),"Excellent")</f>
        <v>Excellent</v>
      </c>
      <c r="Z715" s="138" t="str">
        <f>IFERROR(__xludf.DUMMYFUNCTION("""COMPUTED_VALUE"""),"Very Good")</f>
        <v>Very Good</v>
      </c>
      <c r="AA715" s="138" t="str">
        <f>IFERROR(__xludf.DUMMYFUNCTION("""COMPUTED_VALUE"""),"Very Good")</f>
        <v>Very Good</v>
      </c>
      <c r="AB715" s="138" t="str">
        <f>IFERROR(__xludf.DUMMYFUNCTION("""COMPUTED_VALUE"""),"Very Good")</f>
        <v>Very Good</v>
      </c>
      <c r="AC715" s="139"/>
      <c r="AD715" s="139"/>
      <c r="AE715" s="139"/>
      <c r="AF715" s="140" t="str">
        <f>IFERROR(__xludf.DUMMYFUNCTION("""COMPUTED_VALUE"""),"No. I took delivery of the first car Tesla was able to deliver.")</f>
        <v>No. I took delivery of the first car Tesla was able to deliver.</v>
      </c>
      <c r="AG715" s="145"/>
      <c r="AH715" s="157">
        <f>IFERROR(__xludf.DUMMYFUNCTION("""COMPUTED_VALUE"""),44377.330722222214)</f>
        <v>44377.33072</v>
      </c>
      <c r="AI715" s="138"/>
      <c r="AJ715" s="138"/>
      <c r="AK715" s="138"/>
      <c r="AL715" s="142"/>
    </row>
    <row r="716" ht="20.25" customHeight="1">
      <c r="A716" s="155" t="str">
        <f>IFERROR(__xludf.DUMMYFUNCTION("""COMPUTED_VALUE"""),"Wood1030")</f>
        <v>Wood1030</v>
      </c>
      <c r="B716" s="149" t="str">
        <f>IFERROR(__xludf.DUMMYFUNCTION("""COMPUTED_VALUE"""),"South Bay, LA, Ca")</f>
        <v>South Bay, LA, Ca</v>
      </c>
      <c r="C716" s="149" t="str">
        <f>IFERROR(__xludf.DUMMYFUNCTION("""COMPUTED_VALUE"""),"CA")</f>
        <v>CA</v>
      </c>
      <c r="D716" s="149" t="str">
        <f>IFERROR(__xludf.DUMMYFUNCTION("""COMPUTED_VALUE"""),"USA")</f>
        <v>USA</v>
      </c>
      <c r="E716" s="156">
        <f>IFERROR(__xludf.DUMMYFUNCTION("""COMPUTED_VALUE"""),44337.0)</f>
        <v>44337</v>
      </c>
      <c r="F716" s="129">
        <f>IFERROR(__xludf.DUMMYFUNCTION("""COMPUTED_VALUE"""),44371.0)</f>
        <v>44371</v>
      </c>
      <c r="G716" s="154" t="str">
        <f>IFERROR(__xludf.DUMMYFUNCTION("""COMPUTED_VALUE"""),"Manage order page (normal text)")</f>
        <v>Manage order page (normal text)</v>
      </c>
      <c r="H716" s="131">
        <f>IFERROR(__xludf.DUMMYFUNCTION("""COMPUTED_VALUE"""),5155.0)</f>
        <v>5155</v>
      </c>
      <c r="I716" s="144" t="str">
        <f>IFERROR(__xludf.DUMMYFUNCTION("""COMPUTED_VALUE"""),"06/21")</f>
        <v>06/21</v>
      </c>
      <c r="J716" s="129">
        <f>IFERROR(__xludf.DUMMYFUNCTION("""COMPUTED_VALUE"""),44373.0)</f>
        <v>44373</v>
      </c>
      <c r="K716" s="133">
        <f>IFERROR(__xludf.DUMMYFUNCTION("""COMPUTED_VALUE"""),34.0)</f>
        <v>34</v>
      </c>
      <c r="L716" s="133">
        <f>IFERROR(__xludf.DUMMYFUNCTION("""COMPUTED_VALUE"""),2.0)</f>
        <v>2</v>
      </c>
      <c r="M716" s="133">
        <f>IFERROR(__xludf.DUMMYFUNCTION("""COMPUTED_VALUE"""),36.0)</f>
        <v>36</v>
      </c>
      <c r="N716" s="152" t="str">
        <f>IFERROR(__xludf.DUMMYFUNCTION("""COMPUTED_VALUE"""),"Model 3 Performance")</f>
        <v>Model 3 Performance</v>
      </c>
      <c r="O716" s="152" t="str">
        <f>IFERROR(__xludf.DUMMYFUNCTION("""COMPUTED_VALUE"""),"Midnight Silver Metallic")</f>
        <v>Midnight Silver Metallic</v>
      </c>
      <c r="P716" s="153" t="str">
        <f>IFERROR(__xludf.DUMMYFUNCTION("""COMPUTED_VALUE"""),"20 inch")</f>
        <v>20 inch</v>
      </c>
      <c r="Q716" s="152" t="str">
        <f>IFERROR(__xludf.DUMMYFUNCTION("""COMPUTED_VALUE"""),"All Black")</f>
        <v>All Black</v>
      </c>
      <c r="R716" s="149" t="str">
        <f>IFERROR(__xludf.DUMMYFUNCTION("""COMPUTED_VALUE"""),"Autopilot included")</f>
        <v>Autopilot included</v>
      </c>
      <c r="S716" s="149" t="str">
        <f>IFERROR(__xludf.DUMMYFUNCTION("""COMPUTED_VALUE"""),"Cash")</f>
        <v>Cash</v>
      </c>
      <c r="T716" s="145" t="str">
        <f>IFERROR(__xludf.DUMMYFUNCTION("""COMPUTED_VALUE"""),"Mercedes Benz")</f>
        <v>Mercedes Benz</v>
      </c>
      <c r="U716" s="145" t="str">
        <f>IFERROR(__xludf.DUMMYFUNCTION("""COMPUTED_VALUE"""),"Electric!")</f>
        <v>Electric!</v>
      </c>
      <c r="V716" s="145" t="str">
        <f>IFERROR(__xludf.DUMMYFUNCTION("""COMPUTED_VALUE"""),"Head-up display")</f>
        <v>Head-up display</v>
      </c>
      <c r="W716" s="145" t="str">
        <f>IFERROR(__xludf.DUMMYFUNCTION("""COMPUTED_VALUE"""),"Patience")</f>
        <v>Patience</v>
      </c>
      <c r="X716" s="137" t="str">
        <f>IFERROR(__xludf.DUMMYFUNCTION("""COMPUTED_VALUE"""),"Excellent")</f>
        <v>Excellent</v>
      </c>
      <c r="Y716" s="138" t="str">
        <f>IFERROR(__xludf.DUMMYFUNCTION("""COMPUTED_VALUE"""),"Excellent")</f>
        <v>Excellent</v>
      </c>
      <c r="Z716" s="138" t="str">
        <f>IFERROR(__xludf.DUMMYFUNCTION("""COMPUTED_VALUE"""),"Excellent")</f>
        <v>Excellent</v>
      </c>
      <c r="AA716" s="138" t="str">
        <f>IFERROR(__xludf.DUMMYFUNCTION("""COMPUTED_VALUE"""),"Poor")</f>
        <v>Poor</v>
      </c>
      <c r="AB716" s="138" t="str">
        <f>IFERROR(__xludf.DUMMYFUNCTION("""COMPUTED_VALUE"""),"Very Good")</f>
        <v>Very Good</v>
      </c>
      <c r="AC716" s="139">
        <f>IFERROR(__xludf.DUMMYFUNCTION("""COMPUTED_VALUE"""),0.0)</f>
        <v>0</v>
      </c>
      <c r="AD716" s="139">
        <f>IFERROR(__xludf.DUMMYFUNCTION("""COMPUTED_VALUE"""),0.0)</f>
        <v>0</v>
      </c>
      <c r="AE716" s="139">
        <f>IFERROR(__xludf.DUMMYFUNCTION("""COMPUTED_VALUE"""),0.0)</f>
        <v>0</v>
      </c>
      <c r="AF716" s="140" t="str">
        <f>IFERROR(__xludf.DUMMYFUNCTION("""COMPUTED_VALUE"""),"No. I took delivery of the first car Tesla was able to deliver.")</f>
        <v>No. I took delivery of the first car Tesla was able to deliver.</v>
      </c>
      <c r="AG716" s="145" t="str">
        <f>IFERROR(__xludf.DUMMYFUNCTION("""COMPUTED_VALUE"""),"Took long enough")</f>
        <v>Took long enough</v>
      </c>
      <c r="AH716" s="157">
        <f>IFERROR(__xludf.DUMMYFUNCTION("""COMPUTED_VALUE"""),44373.66784480324)</f>
        <v>44373.66784</v>
      </c>
      <c r="AI716" s="138"/>
      <c r="AJ716" s="138"/>
      <c r="AK716" s="138"/>
      <c r="AL716" s="142"/>
    </row>
    <row r="717" ht="20.25" customHeight="1">
      <c r="A717" s="155" t="str">
        <f>IFERROR(__xludf.DUMMYFUNCTION("""COMPUTED_VALUE"""),"CMARIA")</f>
        <v>CMARIA</v>
      </c>
      <c r="B717" s="149" t="str">
        <f>IFERROR(__xludf.DUMMYFUNCTION("""COMPUTED_VALUE"""),"Portland")</f>
        <v>Portland</v>
      </c>
      <c r="C717" s="149" t="str">
        <f>IFERROR(__xludf.DUMMYFUNCTION("""COMPUTED_VALUE"""),"OR")</f>
        <v>OR</v>
      </c>
      <c r="D717" s="149" t="str">
        <f>IFERROR(__xludf.DUMMYFUNCTION("""COMPUTED_VALUE"""),"USA")</f>
        <v>USA</v>
      </c>
      <c r="E717" s="156">
        <f>IFERROR(__xludf.DUMMYFUNCTION("""COMPUTED_VALUE"""),44336.0)</f>
        <v>44336</v>
      </c>
      <c r="F717" s="129">
        <f>IFERROR(__xludf.DUMMYFUNCTION("""COMPUTED_VALUE"""),44395.0)</f>
        <v>44395</v>
      </c>
      <c r="G717" s="154" t="str">
        <f>IFERROR(__xludf.DUMMYFUNCTION("""COMPUTED_VALUE"""),"Manage order page (normal text)")</f>
        <v>Manage order page (normal text)</v>
      </c>
      <c r="H717" s="131"/>
      <c r="I717" s="144"/>
      <c r="J717" s="129">
        <f>IFERROR(__xludf.DUMMYFUNCTION("""COMPUTED_VALUE"""),44396.0)</f>
        <v>44396</v>
      </c>
      <c r="K717" s="133">
        <f>IFERROR(__xludf.DUMMYFUNCTION("""COMPUTED_VALUE"""),59.0)</f>
        <v>59</v>
      </c>
      <c r="L717" s="133">
        <f>IFERROR(__xludf.DUMMYFUNCTION("""COMPUTED_VALUE"""),1.0)</f>
        <v>1</v>
      </c>
      <c r="M717" s="133">
        <f>IFERROR(__xludf.DUMMYFUNCTION("""COMPUTED_VALUE"""),60.0)</f>
        <v>60</v>
      </c>
      <c r="N717" s="152" t="str">
        <f>IFERROR(__xludf.DUMMYFUNCTION("""COMPUTED_VALUE"""),"Model 3 SR+")</f>
        <v>Model 3 SR+</v>
      </c>
      <c r="O717" s="152" t="str">
        <f>IFERROR(__xludf.DUMMYFUNCTION("""COMPUTED_VALUE"""),"Pearl White Multi-Coat")</f>
        <v>Pearl White Multi-Coat</v>
      </c>
      <c r="P717" s="153" t="str">
        <f>IFERROR(__xludf.DUMMYFUNCTION("""COMPUTED_VALUE"""),"18 inch")</f>
        <v>18 inch</v>
      </c>
      <c r="Q717" s="152" t="str">
        <f>IFERROR(__xludf.DUMMYFUNCTION("""COMPUTED_VALUE"""),"Black and White")</f>
        <v>Black and White</v>
      </c>
      <c r="R717" s="149" t="str">
        <f>IFERROR(__xludf.DUMMYFUNCTION("""COMPUTED_VALUE"""),"Autopilot included")</f>
        <v>Autopilot included</v>
      </c>
      <c r="S717" s="149" t="str">
        <f>IFERROR(__xludf.DUMMYFUNCTION("""COMPUTED_VALUE"""),"Loan")</f>
        <v>Loan</v>
      </c>
      <c r="T717" s="145" t="str">
        <f>IFERROR(__xludf.DUMMYFUNCTION("""COMPUTED_VALUE"""),"Toyota Highlander XLE 2019")</f>
        <v>Toyota Highlander XLE 2019</v>
      </c>
      <c r="U717" s="145" t="str">
        <f>IFERROR(__xludf.DUMMYFUNCTION("""COMPUTED_VALUE"""),"Autopilot")</f>
        <v>Autopilot</v>
      </c>
      <c r="V717" s="145" t="str">
        <f>IFERROR(__xludf.DUMMYFUNCTION("""COMPUTED_VALUE"""),"360° Bird's eye view")</f>
        <v>360° Bird's eye view</v>
      </c>
      <c r="W717" s="145" t="str">
        <f>IFERROR(__xludf.DUMMYFUNCTION("""COMPUTED_VALUE"""),"Be patient; it'll come. If you've been waiting over 90 days, there's a problem; get in contact with someone who can help, preferably higher up than your SA.")</f>
        <v>Be patient; it'll come. If you've been waiting over 90 days, there's a problem; get in contact with someone who can help, preferably higher up than your SA.</v>
      </c>
      <c r="X717" s="137" t="str">
        <f>IFERROR(__xludf.DUMMYFUNCTION("""COMPUTED_VALUE"""),"Excellent")</f>
        <v>Excellent</v>
      </c>
      <c r="Y717" s="138" t="str">
        <f>IFERROR(__xludf.DUMMYFUNCTION("""COMPUTED_VALUE"""),"Excellent")</f>
        <v>Excellent</v>
      </c>
      <c r="Z717" s="138" t="str">
        <f>IFERROR(__xludf.DUMMYFUNCTION("""COMPUTED_VALUE"""),"Excellent")</f>
        <v>Excellent</v>
      </c>
      <c r="AA717" s="138" t="str">
        <f>IFERROR(__xludf.DUMMYFUNCTION("""COMPUTED_VALUE"""),"Excellent")</f>
        <v>Excellent</v>
      </c>
      <c r="AB717" s="138" t="str">
        <f>IFERROR(__xludf.DUMMYFUNCTION("""COMPUTED_VALUE"""),"Very Good")</f>
        <v>Very Good</v>
      </c>
      <c r="AC717" s="139"/>
      <c r="AD717" s="139"/>
      <c r="AE717" s="139"/>
      <c r="AF717" s="140" t="str">
        <f>IFERROR(__xludf.DUMMYFUNCTION("""COMPUTED_VALUE"""),"No. I took delivery of the first car Tesla was able to deliver.")</f>
        <v>No. I took delivery of the first car Tesla was able to deliver.</v>
      </c>
      <c r="AG717" s="145"/>
      <c r="AH717" s="157">
        <f>IFERROR(__xludf.DUMMYFUNCTION("""COMPUTED_VALUE"""),44397.60009540509)</f>
        <v>44397.6001</v>
      </c>
      <c r="AI717" s="138"/>
      <c r="AJ717" s="138"/>
      <c r="AK717" s="138"/>
      <c r="AL717" s="142"/>
    </row>
    <row r="718" ht="20.25" customHeight="1">
      <c r="A718" s="155" t="str">
        <f>IFERROR(__xludf.DUMMYFUNCTION("""COMPUTED_VALUE"""),"DP")</f>
        <v>DP</v>
      </c>
      <c r="B718" s="149" t="str">
        <f>IFERROR(__xludf.DUMMYFUNCTION("""COMPUTED_VALUE"""),"Miami")</f>
        <v>Miami</v>
      </c>
      <c r="C718" s="149" t="str">
        <f>IFERROR(__xludf.DUMMYFUNCTION("""COMPUTED_VALUE"""),"FL")</f>
        <v>FL</v>
      </c>
      <c r="D718" s="149" t="str">
        <f>IFERROR(__xludf.DUMMYFUNCTION("""COMPUTED_VALUE"""),"USA")</f>
        <v>USA</v>
      </c>
      <c r="E718" s="156">
        <f>IFERROR(__xludf.DUMMYFUNCTION("""COMPUTED_VALUE"""),44336.0)</f>
        <v>44336</v>
      </c>
      <c r="F718" s="129">
        <f>IFERROR(__xludf.DUMMYFUNCTION("""COMPUTED_VALUE"""),44413.0)</f>
        <v>44413</v>
      </c>
      <c r="G718" s="154" t="str">
        <f>IFERROR(__xludf.DUMMYFUNCTION("""COMPUTED_VALUE"""),"Email from SA -&gt; Manage order Page")</f>
        <v>Email from SA -&gt; Manage order Page</v>
      </c>
      <c r="H718" s="131"/>
      <c r="I718" s="144" t="str">
        <f>IFERROR(__xludf.DUMMYFUNCTION("""COMPUTED_VALUE"""),"08/21")</f>
        <v>08/21</v>
      </c>
      <c r="J718" s="129">
        <f>IFERROR(__xludf.DUMMYFUNCTION("""COMPUTED_VALUE"""),44435.0)</f>
        <v>44435</v>
      </c>
      <c r="K718" s="133">
        <f>IFERROR(__xludf.DUMMYFUNCTION("""COMPUTED_VALUE"""),77.0)</f>
        <v>77</v>
      </c>
      <c r="L718" s="133">
        <f>IFERROR(__xludf.DUMMYFUNCTION("""COMPUTED_VALUE"""),22.0)</f>
        <v>22</v>
      </c>
      <c r="M718" s="133">
        <f>IFERROR(__xludf.DUMMYFUNCTION("""COMPUTED_VALUE"""),99.0)</f>
        <v>99</v>
      </c>
      <c r="N718" s="152" t="str">
        <f>IFERROR(__xludf.DUMMYFUNCTION("""COMPUTED_VALUE"""),"Model 3 SR+")</f>
        <v>Model 3 SR+</v>
      </c>
      <c r="O718" s="152" t="str">
        <f>IFERROR(__xludf.DUMMYFUNCTION("""COMPUTED_VALUE"""),"Pearl White Multi-Coat")</f>
        <v>Pearl White Multi-Coat</v>
      </c>
      <c r="P718" s="153" t="str">
        <f>IFERROR(__xludf.DUMMYFUNCTION("""COMPUTED_VALUE"""),"18 inch")</f>
        <v>18 inch</v>
      </c>
      <c r="Q718" s="152" t="str">
        <f>IFERROR(__xludf.DUMMYFUNCTION("""COMPUTED_VALUE"""),"All Black")</f>
        <v>All Black</v>
      </c>
      <c r="R718" s="149" t="str">
        <f>IFERROR(__xludf.DUMMYFUNCTION("""COMPUTED_VALUE"""),"Autopilot included")</f>
        <v>Autopilot included</v>
      </c>
      <c r="S718" s="149" t="str">
        <f>IFERROR(__xludf.DUMMYFUNCTION("""COMPUTED_VALUE"""),"Loan")</f>
        <v>Loan</v>
      </c>
      <c r="T718" s="145" t="str">
        <f>IFERROR(__xludf.DUMMYFUNCTION("""COMPUTED_VALUE"""),"Jeep Grand Cherokee")</f>
        <v>Jeep Grand Cherokee</v>
      </c>
      <c r="U718" s="145" t="str">
        <f>IFERROR(__xludf.DUMMYFUNCTION("""COMPUTED_VALUE"""),"Electric!")</f>
        <v>Electric!</v>
      </c>
      <c r="V718" s="145" t="str">
        <f>IFERROR(__xludf.DUMMYFUNCTION("""COMPUTED_VALUE"""),"Apple CarPlay / Android Auto / SiriusXM Radio")</f>
        <v>Apple CarPlay / Android Auto / SiriusXM Radio</v>
      </c>
      <c r="W718" s="145" t="str">
        <f>IFERROR(__xludf.DUMMYFUNCTION("""COMPUTED_VALUE"""),"Don't look and/or believe EDD")</f>
        <v>Don't look and/or believe EDD</v>
      </c>
      <c r="X718" s="137" t="str">
        <f>IFERROR(__xludf.DUMMYFUNCTION("""COMPUTED_VALUE"""),"Very Good")</f>
        <v>Very Good</v>
      </c>
      <c r="Y718" s="138" t="str">
        <f>IFERROR(__xludf.DUMMYFUNCTION("""COMPUTED_VALUE"""),"Good")</f>
        <v>Good</v>
      </c>
      <c r="Z718" s="138" t="str">
        <f>IFERROR(__xludf.DUMMYFUNCTION("""COMPUTED_VALUE"""),"Fair")</f>
        <v>Fair</v>
      </c>
      <c r="AA718" s="138" t="str">
        <f>IFERROR(__xludf.DUMMYFUNCTION("""COMPUTED_VALUE"""),"Very Good")</f>
        <v>Very Good</v>
      </c>
      <c r="AB718" s="138" t="str">
        <f>IFERROR(__xludf.DUMMYFUNCTION("""COMPUTED_VALUE"""),"Good")</f>
        <v>Good</v>
      </c>
      <c r="AC718" s="139">
        <f>IFERROR(__xludf.DUMMYFUNCTION("""COMPUTED_VALUE"""),2.0)</f>
        <v>2</v>
      </c>
      <c r="AD718" s="139">
        <f>IFERROR(__xludf.DUMMYFUNCTION("""COMPUTED_VALUE"""),1.0)</f>
        <v>1</v>
      </c>
      <c r="AE718" s="139"/>
      <c r="AF718" s="140" t="str">
        <f>IFERROR(__xludf.DUMMYFUNCTION("""COMPUTED_VALUE"""),"No. I took delivery of the first car Tesla was able to deliver.")</f>
        <v>No. I took delivery of the first car Tesla was able to deliver.</v>
      </c>
      <c r="AG718" s="145" t="str">
        <f>IFERROR(__xludf.DUMMYFUNCTION("""COMPUTED_VALUE"""),"Go to a Tesla Store and establish a relationship with a SA, mine has been extremely helpful")</f>
        <v>Go to a Tesla Store and establish a relationship with a SA, mine has been extremely helpful</v>
      </c>
      <c r="AH718" s="157">
        <f>IFERROR(__xludf.DUMMYFUNCTION("""COMPUTED_VALUE"""),44438.59919425926)</f>
        <v>44438.59919</v>
      </c>
      <c r="AI718" s="138"/>
      <c r="AJ718" s="138"/>
      <c r="AK718" s="138"/>
      <c r="AL718" s="142"/>
    </row>
    <row r="719" ht="20.25" customHeight="1">
      <c r="A719" s="155" t="str">
        <f>IFERROR(__xludf.DUMMYFUNCTION("""COMPUTED_VALUE"""),"ATXTesla")</f>
        <v>ATXTesla</v>
      </c>
      <c r="B719" s="149" t="str">
        <f>IFERROR(__xludf.DUMMYFUNCTION("""COMPUTED_VALUE"""),"Austin, TX ")</f>
        <v>Austin, TX </v>
      </c>
      <c r="C719" s="149" t="str">
        <f>IFERROR(__xludf.DUMMYFUNCTION("""COMPUTED_VALUE"""),"TX")</f>
        <v>TX</v>
      </c>
      <c r="D719" s="149" t="str">
        <f>IFERROR(__xludf.DUMMYFUNCTION("""COMPUTED_VALUE"""),"USA")</f>
        <v>USA</v>
      </c>
      <c r="E719" s="156">
        <f>IFERROR(__xludf.DUMMYFUNCTION("""COMPUTED_VALUE"""),44335.0)</f>
        <v>44335</v>
      </c>
      <c r="F719" s="129">
        <f>IFERROR(__xludf.DUMMYFUNCTION("""COMPUTED_VALUE"""),44345.0)</f>
        <v>44345</v>
      </c>
      <c r="G719" s="154" t="str">
        <f>IFERROR(__xludf.DUMMYFUNCTION("""COMPUTED_VALUE"""),"Manage order page (normal text)")</f>
        <v>Manage order page (normal text)</v>
      </c>
      <c r="H719" s="131"/>
      <c r="I719" s="144"/>
      <c r="J719" s="129">
        <f>IFERROR(__xludf.DUMMYFUNCTION("""COMPUTED_VALUE"""),44357.0)</f>
        <v>44357</v>
      </c>
      <c r="K719" s="133">
        <f>IFERROR(__xludf.DUMMYFUNCTION("""COMPUTED_VALUE"""),10.0)</f>
        <v>10</v>
      </c>
      <c r="L719" s="133">
        <f>IFERROR(__xludf.DUMMYFUNCTION("""COMPUTED_VALUE"""),12.0)</f>
        <v>12</v>
      </c>
      <c r="M719" s="133">
        <f>IFERROR(__xludf.DUMMYFUNCTION("""COMPUTED_VALUE"""),22.0)</f>
        <v>22</v>
      </c>
      <c r="N719" s="152" t="str">
        <f>IFERROR(__xludf.DUMMYFUNCTION("""COMPUTED_VALUE"""),"Model 3 LR AWD")</f>
        <v>Model 3 LR AWD</v>
      </c>
      <c r="O719" s="152" t="str">
        <f>IFERROR(__xludf.DUMMYFUNCTION("""COMPUTED_VALUE"""),"Pearl White Multi-Coat")</f>
        <v>Pearl White Multi-Coat</v>
      </c>
      <c r="P719" s="153" t="str">
        <f>IFERROR(__xludf.DUMMYFUNCTION("""COMPUTED_VALUE"""),"18 inch")</f>
        <v>18 inch</v>
      </c>
      <c r="Q719" s="152" t="str">
        <f>IFERROR(__xludf.DUMMYFUNCTION("""COMPUTED_VALUE"""),"Black and White")</f>
        <v>Black and White</v>
      </c>
      <c r="R719" s="149" t="str">
        <f>IFERROR(__xludf.DUMMYFUNCTION("""COMPUTED_VALUE"""),"Full Self-Driving")</f>
        <v>Full Self-Driving</v>
      </c>
      <c r="S719" s="149" t="str">
        <f>IFERROR(__xludf.DUMMYFUNCTION("""COMPUTED_VALUE"""),"Loan")</f>
        <v>Loan</v>
      </c>
      <c r="T719" s="145" t="str">
        <f>IFERROR(__xludf.DUMMYFUNCTION("""COMPUTED_VALUE"""),"Hyundai Kona")</f>
        <v>Hyundai Kona</v>
      </c>
      <c r="U719" s="145" t="str">
        <f>IFERROR(__xludf.DUMMYFUNCTION("""COMPUTED_VALUE"""),"Electric!")</f>
        <v>Electric!</v>
      </c>
      <c r="V719" s="145" t="str">
        <f>IFERROR(__xludf.DUMMYFUNCTION("""COMPUTED_VALUE"""),"Blind spot indicators on side mirrors")</f>
        <v>Blind spot indicators on side mirrors</v>
      </c>
      <c r="W719" s="145"/>
      <c r="X719" s="137" t="str">
        <f>IFERROR(__xludf.DUMMYFUNCTION("""COMPUTED_VALUE"""),"Excellent")</f>
        <v>Excellent</v>
      </c>
      <c r="Y719" s="138" t="str">
        <f>IFERROR(__xludf.DUMMYFUNCTION("""COMPUTED_VALUE"""),"Excellent")</f>
        <v>Excellent</v>
      </c>
      <c r="Z719" s="138" t="str">
        <f>IFERROR(__xludf.DUMMYFUNCTION("""COMPUTED_VALUE"""),"Very Good")</f>
        <v>Very Good</v>
      </c>
      <c r="AA719" s="138" t="str">
        <f>IFERROR(__xludf.DUMMYFUNCTION("""COMPUTED_VALUE"""),"Excellent")</f>
        <v>Excellent</v>
      </c>
      <c r="AB719" s="138" t="str">
        <f>IFERROR(__xludf.DUMMYFUNCTION("""COMPUTED_VALUE"""),"Excellent")</f>
        <v>Excellent</v>
      </c>
      <c r="AC719" s="139">
        <f>IFERROR(__xludf.DUMMYFUNCTION("""COMPUTED_VALUE"""),1.0)</f>
        <v>1</v>
      </c>
      <c r="AD719" s="139">
        <f>IFERROR(__xludf.DUMMYFUNCTION("""COMPUTED_VALUE"""),1.0)</f>
        <v>1</v>
      </c>
      <c r="AE719" s="139"/>
      <c r="AF719" s="140" t="str">
        <f>IFERROR(__xludf.DUMMYFUNCTION("""COMPUTED_VALUE"""),"No. I took delivery of the first car Tesla was able to deliver.")</f>
        <v>No. I took delivery of the first car Tesla was able to deliver.</v>
      </c>
      <c r="AG719" s="145"/>
      <c r="AH719" s="157">
        <f>IFERROR(__xludf.DUMMYFUNCTION("""COMPUTED_VALUE"""),44361.35136719908)</f>
        <v>44361.35137</v>
      </c>
      <c r="AI719" s="138"/>
      <c r="AJ719" s="138"/>
      <c r="AK719" s="138"/>
      <c r="AL719" s="142"/>
    </row>
    <row r="720" ht="20.25" customHeight="1">
      <c r="A720" s="155" t="str">
        <f>IFERROR(__xludf.DUMMYFUNCTION("""COMPUTED_VALUE"""),"pip86")</f>
        <v>pip86</v>
      </c>
      <c r="B720" s="149" t="str">
        <f>IFERROR(__xludf.DUMMYFUNCTION("""COMPUTED_VALUE"""),"SoCal")</f>
        <v>SoCal</v>
      </c>
      <c r="C720" s="149" t="str">
        <f>IFERROR(__xludf.DUMMYFUNCTION("""COMPUTED_VALUE"""),"CA")</f>
        <v>CA</v>
      </c>
      <c r="D720" s="149" t="str">
        <f>IFERROR(__xludf.DUMMYFUNCTION("""COMPUTED_VALUE"""),"USA")</f>
        <v>USA</v>
      </c>
      <c r="E720" s="156">
        <f>IFERROR(__xludf.DUMMYFUNCTION("""COMPUTED_VALUE"""),44335.0)</f>
        <v>44335</v>
      </c>
      <c r="F720" s="129">
        <f>IFERROR(__xludf.DUMMYFUNCTION("""COMPUTED_VALUE"""),44352.0)</f>
        <v>44352</v>
      </c>
      <c r="G720" s="154" t="str">
        <f>IFERROR(__xludf.DUMMYFUNCTION("""COMPUTED_VALUE"""),"Email")</f>
        <v>Email</v>
      </c>
      <c r="H720" s="131">
        <f>IFERROR(__xludf.DUMMYFUNCTION("""COMPUTED_VALUE"""),990555.0)</f>
        <v>990555</v>
      </c>
      <c r="I720" s="144" t="str">
        <f>IFERROR(__xludf.DUMMYFUNCTION("""COMPUTED_VALUE"""),"06/21")</f>
        <v>06/21</v>
      </c>
      <c r="J720" s="129">
        <f>IFERROR(__xludf.DUMMYFUNCTION("""COMPUTED_VALUE"""),44358.0)</f>
        <v>44358</v>
      </c>
      <c r="K720" s="133">
        <f>IFERROR(__xludf.DUMMYFUNCTION("""COMPUTED_VALUE"""),17.0)</f>
        <v>17</v>
      </c>
      <c r="L720" s="133">
        <f>IFERROR(__xludf.DUMMYFUNCTION("""COMPUTED_VALUE"""),6.0)</f>
        <v>6</v>
      </c>
      <c r="M720" s="133">
        <f>IFERROR(__xludf.DUMMYFUNCTION("""COMPUTED_VALUE"""),23.0)</f>
        <v>23</v>
      </c>
      <c r="N720" s="152" t="str">
        <f>IFERROR(__xludf.DUMMYFUNCTION("""COMPUTED_VALUE"""),"Model 3 Performance")</f>
        <v>Model 3 Performance</v>
      </c>
      <c r="O720" s="152" t="str">
        <f>IFERROR(__xludf.DUMMYFUNCTION("""COMPUTED_VALUE"""),"Midnight Silver Metallic")</f>
        <v>Midnight Silver Metallic</v>
      </c>
      <c r="P720" s="153" t="str">
        <f>IFERROR(__xludf.DUMMYFUNCTION("""COMPUTED_VALUE"""),"20 inch")</f>
        <v>20 inch</v>
      </c>
      <c r="Q720" s="152" t="str">
        <f>IFERROR(__xludf.DUMMYFUNCTION("""COMPUTED_VALUE"""),"All Black")</f>
        <v>All Black</v>
      </c>
      <c r="R720" s="149" t="str">
        <f>IFERROR(__xludf.DUMMYFUNCTION("""COMPUTED_VALUE"""),"Full Self-Driving")</f>
        <v>Full Self-Driving</v>
      </c>
      <c r="S720" s="149" t="str">
        <f>IFERROR(__xludf.DUMMYFUNCTION("""COMPUTED_VALUE"""),"Loan")</f>
        <v>Loan</v>
      </c>
      <c r="T720" s="145" t="str">
        <f>IFERROR(__xludf.DUMMYFUNCTION("""COMPUTED_VALUE"""),"Volkswagen GTI")</f>
        <v>Volkswagen GTI</v>
      </c>
      <c r="U720" s="145" t="str">
        <f>IFERROR(__xludf.DUMMYFUNCTION("""COMPUTED_VALUE"""),"Electric!")</f>
        <v>Electric!</v>
      </c>
      <c r="V720" s="145" t="str">
        <f>IFERROR(__xludf.DUMMYFUNCTION("""COMPUTED_VALUE"""),"Ventilated seats")</f>
        <v>Ventilated seats</v>
      </c>
      <c r="W720" s="145"/>
      <c r="X720" s="137" t="str">
        <f>IFERROR(__xludf.DUMMYFUNCTION("""COMPUTED_VALUE"""),"Excellent")</f>
        <v>Excellent</v>
      </c>
      <c r="Y720" s="138" t="str">
        <f>IFERROR(__xludf.DUMMYFUNCTION("""COMPUTED_VALUE"""),"Excellent")</f>
        <v>Excellent</v>
      </c>
      <c r="Z720" s="138" t="str">
        <f>IFERROR(__xludf.DUMMYFUNCTION("""COMPUTED_VALUE"""),"Very Good")</f>
        <v>Very Good</v>
      </c>
      <c r="AA720" s="138" t="str">
        <f>IFERROR(__xludf.DUMMYFUNCTION("""COMPUTED_VALUE"""),"Excellent")</f>
        <v>Excellent</v>
      </c>
      <c r="AB720" s="138" t="str">
        <f>IFERROR(__xludf.DUMMYFUNCTION("""COMPUTED_VALUE"""),"Excellent")</f>
        <v>Excellent</v>
      </c>
      <c r="AC720" s="139">
        <f>IFERROR(__xludf.DUMMYFUNCTION("""COMPUTED_VALUE"""),2.0)</f>
        <v>2</v>
      </c>
      <c r="AD720" s="139"/>
      <c r="AE720" s="139"/>
      <c r="AF720" s="140" t="str">
        <f>IFERROR(__xludf.DUMMYFUNCTION("""COMPUTED_VALUE"""),"No. I took delivery of the first car Tesla was able to deliver.")</f>
        <v>No. I took delivery of the first car Tesla was able to deliver.</v>
      </c>
      <c r="AG720" s="145"/>
      <c r="AH720" s="157">
        <f>IFERROR(__xludf.DUMMYFUNCTION("""COMPUTED_VALUE"""),44365.721775659724)</f>
        <v>44365.72178</v>
      </c>
      <c r="AI720" s="138"/>
      <c r="AJ720" s="138"/>
      <c r="AK720" s="138"/>
      <c r="AL720" s="142"/>
    </row>
    <row r="721" ht="20.25" customHeight="1">
      <c r="A721" s="155" t="str">
        <f>IFERROR(__xludf.DUMMYFUNCTION("""COMPUTED_VALUE"""),"Eufonioum")</f>
        <v>Eufonioum</v>
      </c>
      <c r="B721" s="149" t="str">
        <f>IFERROR(__xludf.DUMMYFUNCTION("""COMPUTED_VALUE"""),"Vancouver")</f>
        <v>Vancouver</v>
      </c>
      <c r="C721" s="149" t="str">
        <f>IFERROR(__xludf.DUMMYFUNCTION("""COMPUTED_VALUE"""),"BC")</f>
        <v>BC</v>
      </c>
      <c r="D721" s="149" t="str">
        <f>IFERROR(__xludf.DUMMYFUNCTION("""COMPUTED_VALUE"""),"Canada")</f>
        <v>Canada</v>
      </c>
      <c r="E721" s="156">
        <f>IFERROR(__xludf.DUMMYFUNCTION("""COMPUTED_VALUE"""),44334.0)</f>
        <v>44334</v>
      </c>
      <c r="F721" s="129">
        <f>IFERROR(__xludf.DUMMYFUNCTION("""COMPUTED_VALUE"""),44394.0)</f>
        <v>44394</v>
      </c>
      <c r="G721" s="154" t="str">
        <f>IFERROR(__xludf.DUMMYFUNCTION("""COMPUTED_VALUE"""),"Source code")</f>
        <v>Source code</v>
      </c>
      <c r="H721" s="131">
        <f>IFERROR(__xludf.DUMMYFUNCTION("""COMPUTED_VALUE"""),18855.0)</f>
        <v>18855</v>
      </c>
      <c r="I721" s="144"/>
      <c r="J721" s="129">
        <f>IFERROR(__xludf.DUMMYFUNCTION("""COMPUTED_VALUE"""),44398.0)</f>
        <v>44398</v>
      </c>
      <c r="K721" s="133">
        <f>IFERROR(__xludf.DUMMYFUNCTION("""COMPUTED_VALUE"""),60.0)</f>
        <v>60</v>
      </c>
      <c r="L721" s="133">
        <f>IFERROR(__xludf.DUMMYFUNCTION("""COMPUTED_VALUE"""),4.0)</f>
        <v>4</v>
      </c>
      <c r="M721" s="133">
        <f>IFERROR(__xludf.DUMMYFUNCTION("""COMPUTED_VALUE"""),64.0)</f>
        <v>64</v>
      </c>
      <c r="N721" s="152" t="str">
        <f>IFERROR(__xludf.DUMMYFUNCTION("""COMPUTED_VALUE"""),"Model 3 SR+")</f>
        <v>Model 3 SR+</v>
      </c>
      <c r="O721" s="152" t="str">
        <f>IFERROR(__xludf.DUMMYFUNCTION("""COMPUTED_VALUE"""),"Deep Blue Metallic")</f>
        <v>Deep Blue Metallic</v>
      </c>
      <c r="P721" s="153" t="str">
        <f>IFERROR(__xludf.DUMMYFUNCTION("""COMPUTED_VALUE"""),"18 inch")</f>
        <v>18 inch</v>
      </c>
      <c r="Q721" s="152" t="str">
        <f>IFERROR(__xludf.DUMMYFUNCTION("""COMPUTED_VALUE"""),"Black and White")</f>
        <v>Black and White</v>
      </c>
      <c r="R721" s="149" t="str">
        <f>IFERROR(__xludf.DUMMYFUNCTION("""COMPUTED_VALUE"""),"Autopilot included")</f>
        <v>Autopilot included</v>
      </c>
      <c r="S721" s="149" t="str">
        <f>IFERROR(__xludf.DUMMYFUNCTION("""COMPUTED_VALUE"""),"Loan")</f>
        <v>Loan</v>
      </c>
      <c r="T721" s="145" t="str">
        <f>IFERROR(__xludf.DUMMYFUNCTION("""COMPUTED_VALUE"""),"Hyundai Sonata")</f>
        <v>Hyundai Sonata</v>
      </c>
      <c r="U721" s="145" t="str">
        <f>IFERROR(__xludf.DUMMYFUNCTION("""COMPUTED_VALUE"""),"Electric!")</f>
        <v>Electric!</v>
      </c>
      <c r="V721" s="145" t="str">
        <f>IFERROR(__xludf.DUMMYFUNCTION("""COMPUTED_VALUE"""),"Apple CarPlay / Android Auto / SiriusXM Radio")</f>
        <v>Apple CarPlay / Android Auto / SiriusXM Radio</v>
      </c>
      <c r="W721" s="145"/>
      <c r="X721" s="137"/>
      <c r="Y721" s="138"/>
      <c r="Z721" s="138"/>
      <c r="AA721" s="138"/>
      <c r="AB721" s="138"/>
      <c r="AC721" s="139"/>
      <c r="AD721" s="139"/>
      <c r="AE721" s="139"/>
      <c r="AF721" s="140"/>
      <c r="AG721" s="145"/>
      <c r="AH721" s="157">
        <f>IFERROR(__xludf.DUMMYFUNCTION("""COMPUTED_VALUE"""),44395.03233657407)</f>
        <v>44395.03234</v>
      </c>
      <c r="AI721" s="138"/>
      <c r="AJ721" s="138"/>
      <c r="AK721" s="138"/>
      <c r="AL721" s="142"/>
    </row>
    <row r="722" ht="20.25" customHeight="1">
      <c r="A722" s="155" t="str">
        <f>IFERROR(__xludf.DUMMYFUNCTION("""COMPUTED_VALUE"""),"SteveB")</f>
        <v>SteveB</v>
      </c>
      <c r="B722" s="149" t="str">
        <f>IFERROR(__xludf.DUMMYFUNCTION("""COMPUTED_VALUE"""),"Manchester ")</f>
        <v>Manchester </v>
      </c>
      <c r="C722" s="149"/>
      <c r="D722" s="149" t="str">
        <f>IFERROR(__xludf.DUMMYFUNCTION("""COMPUTED_VALUE"""),"United Kingdom")</f>
        <v>United Kingdom</v>
      </c>
      <c r="E722" s="156">
        <f>IFERROR(__xludf.DUMMYFUNCTION("""COMPUTED_VALUE"""),44334.0)</f>
        <v>44334</v>
      </c>
      <c r="F722" s="129">
        <f>IFERROR(__xludf.DUMMYFUNCTION("""COMPUTED_VALUE"""),44348.0)</f>
        <v>44348</v>
      </c>
      <c r="G722" s="154" t="str">
        <f>IFERROR(__xludf.DUMMYFUNCTION("""COMPUTED_VALUE"""),"Final Invoice")</f>
        <v>Final Invoice</v>
      </c>
      <c r="H722" s="131">
        <f>IFERROR(__xludf.DUMMYFUNCTION("""COMPUTED_VALUE"""),242955.0)</f>
        <v>242955</v>
      </c>
      <c r="I722" s="144"/>
      <c r="J722" s="129">
        <f>IFERROR(__xludf.DUMMYFUNCTION("""COMPUTED_VALUE"""),44372.0)</f>
        <v>44372</v>
      </c>
      <c r="K722" s="133">
        <f>IFERROR(__xludf.DUMMYFUNCTION("""COMPUTED_VALUE"""),14.0)</f>
        <v>14</v>
      </c>
      <c r="L722" s="133">
        <f>IFERROR(__xludf.DUMMYFUNCTION("""COMPUTED_VALUE"""),24.0)</f>
        <v>24</v>
      </c>
      <c r="M722" s="133">
        <f>IFERROR(__xludf.DUMMYFUNCTION("""COMPUTED_VALUE"""),38.0)</f>
        <v>38</v>
      </c>
      <c r="N722" s="152" t="str">
        <f>IFERROR(__xludf.DUMMYFUNCTION("""COMPUTED_VALUE"""),"Model 3 SR+")</f>
        <v>Model 3 SR+</v>
      </c>
      <c r="O722" s="152" t="str">
        <f>IFERROR(__xludf.DUMMYFUNCTION("""COMPUTED_VALUE"""),"Pearl White Multi-Coat")</f>
        <v>Pearl White Multi-Coat</v>
      </c>
      <c r="P722" s="153" t="str">
        <f>IFERROR(__xludf.DUMMYFUNCTION("""COMPUTED_VALUE"""),"19 inch")</f>
        <v>19 inch</v>
      </c>
      <c r="Q722" s="152" t="str">
        <f>IFERROR(__xludf.DUMMYFUNCTION("""COMPUTED_VALUE"""),"Black and White")</f>
        <v>Black and White</v>
      </c>
      <c r="R722" s="149" t="str">
        <f>IFERROR(__xludf.DUMMYFUNCTION("""COMPUTED_VALUE"""),"Autopilot included")</f>
        <v>Autopilot included</v>
      </c>
      <c r="S722" s="149" t="str">
        <f>IFERROR(__xludf.DUMMYFUNCTION("""COMPUTED_VALUE"""),"Cash")</f>
        <v>Cash</v>
      </c>
      <c r="T722" s="145" t="str">
        <f>IFERROR(__xludf.DUMMYFUNCTION("""COMPUTED_VALUE"""),"Nissan Leaf")</f>
        <v>Nissan Leaf</v>
      </c>
      <c r="U722" s="145" t="str">
        <f>IFERROR(__xludf.DUMMYFUNCTION("""COMPUTED_VALUE"""),"Electric!")</f>
        <v>Electric!</v>
      </c>
      <c r="V722" s="145" t="str">
        <f>IFERROR(__xludf.DUMMYFUNCTION("""COMPUTED_VALUE"""),"Apple CarPlay / Android Auto / SiriusXM Radio")</f>
        <v>Apple CarPlay / Android Auto / SiriusXM Radio</v>
      </c>
      <c r="W722" s="145"/>
      <c r="X722" s="137" t="str">
        <f>IFERROR(__xludf.DUMMYFUNCTION("""COMPUTED_VALUE"""),"Excellent")</f>
        <v>Excellent</v>
      </c>
      <c r="Y722" s="138" t="str">
        <f>IFERROR(__xludf.DUMMYFUNCTION("""COMPUTED_VALUE"""),"Excellent")</f>
        <v>Excellent</v>
      </c>
      <c r="Z722" s="138" t="str">
        <f>IFERROR(__xludf.DUMMYFUNCTION("""COMPUTED_VALUE"""),"Excellent")</f>
        <v>Excellent</v>
      </c>
      <c r="AA722" s="138" t="str">
        <f>IFERROR(__xludf.DUMMYFUNCTION("""COMPUTED_VALUE"""),"Good")</f>
        <v>Good</v>
      </c>
      <c r="AB722" s="138" t="str">
        <f>IFERROR(__xludf.DUMMYFUNCTION("""COMPUTED_VALUE"""),"Very Good")</f>
        <v>Very Good</v>
      </c>
      <c r="AC722" s="139">
        <f>IFERROR(__xludf.DUMMYFUNCTION("""COMPUTED_VALUE"""),0.0)</f>
        <v>0</v>
      </c>
      <c r="AD722" s="139">
        <f>IFERROR(__xludf.DUMMYFUNCTION("""COMPUTED_VALUE"""),0.0)</f>
        <v>0</v>
      </c>
      <c r="AE722" s="139">
        <f>IFERROR(__xludf.DUMMYFUNCTION("""COMPUTED_VALUE"""),0.0)</f>
        <v>0</v>
      </c>
      <c r="AF722" s="140" t="str">
        <f>IFERROR(__xludf.DUMMYFUNCTION("""COMPUTED_VALUE"""),"No. I took delivery of the first car Tesla was able to deliver.")</f>
        <v>No. I took delivery of the first car Tesla was able to deliver.</v>
      </c>
      <c r="AG722" s="145"/>
      <c r="AH722" s="157">
        <f>IFERROR(__xludf.DUMMYFUNCTION("""COMPUTED_VALUE"""),44406.369540798616)</f>
        <v>44406.36954</v>
      </c>
      <c r="AI722" s="138"/>
      <c r="AJ722" s="138"/>
      <c r="AK722" s="138"/>
      <c r="AL722" s="142"/>
    </row>
    <row r="723" ht="20.25" customHeight="1">
      <c r="A723" s="155" t="str">
        <f>IFERROR(__xludf.DUMMYFUNCTION("""COMPUTED_VALUE"""),"luv2laaf")</f>
        <v>luv2laaf</v>
      </c>
      <c r="B723" s="149" t="str">
        <f>IFERROR(__xludf.DUMMYFUNCTION("""COMPUTED_VALUE"""),"Montreal")</f>
        <v>Montreal</v>
      </c>
      <c r="C723" s="149" t="str">
        <f>IFERROR(__xludf.DUMMYFUNCTION("""COMPUTED_VALUE"""),"QC")</f>
        <v>QC</v>
      </c>
      <c r="D723" s="149" t="str">
        <f>IFERROR(__xludf.DUMMYFUNCTION("""COMPUTED_VALUE"""),"Canada")</f>
        <v>Canada</v>
      </c>
      <c r="E723" s="156">
        <f>IFERROR(__xludf.DUMMYFUNCTION("""COMPUTED_VALUE"""),44333.0)</f>
        <v>44333</v>
      </c>
      <c r="F723" s="129">
        <f>IFERROR(__xludf.DUMMYFUNCTION("""COMPUTED_VALUE"""),44358.0)</f>
        <v>44358</v>
      </c>
      <c r="G723" s="154" t="str">
        <f>IFERROR(__xludf.DUMMYFUNCTION("""COMPUTED_VALUE"""),"Email")</f>
        <v>Email</v>
      </c>
      <c r="H723" s="131">
        <f>IFERROR(__xludf.DUMMYFUNCTION("""COMPUTED_VALUE"""),986012.0)</f>
        <v>986012</v>
      </c>
      <c r="I723" s="144"/>
      <c r="J723" s="129">
        <f>IFERROR(__xludf.DUMMYFUNCTION("""COMPUTED_VALUE"""),44365.0)</f>
        <v>44365</v>
      </c>
      <c r="K723" s="133">
        <f>IFERROR(__xludf.DUMMYFUNCTION("""COMPUTED_VALUE"""),25.0)</f>
        <v>25</v>
      </c>
      <c r="L723" s="133">
        <f>IFERROR(__xludf.DUMMYFUNCTION("""COMPUTED_VALUE"""),7.0)</f>
        <v>7</v>
      </c>
      <c r="M723" s="133">
        <f>IFERROR(__xludf.DUMMYFUNCTION("""COMPUTED_VALUE"""),32.0)</f>
        <v>32</v>
      </c>
      <c r="N723" s="152" t="str">
        <f>IFERROR(__xludf.DUMMYFUNCTION("""COMPUTED_VALUE"""),"Model 3 SR+")</f>
        <v>Model 3 SR+</v>
      </c>
      <c r="O723" s="152" t="str">
        <f>IFERROR(__xludf.DUMMYFUNCTION("""COMPUTED_VALUE"""),"Pearl White Multi-Coat")</f>
        <v>Pearl White Multi-Coat</v>
      </c>
      <c r="P723" s="153" t="str">
        <f>IFERROR(__xludf.DUMMYFUNCTION("""COMPUTED_VALUE"""),"18 inch")</f>
        <v>18 inch</v>
      </c>
      <c r="Q723" s="152" t="str">
        <f>IFERROR(__xludf.DUMMYFUNCTION("""COMPUTED_VALUE"""),"All Black")</f>
        <v>All Black</v>
      </c>
      <c r="R723" s="149" t="str">
        <f>IFERROR(__xludf.DUMMYFUNCTION("""COMPUTED_VALUE"""),"Autopilot included")</f>
        <v>Autopilot included</v>
      </c>
      <c r="S723" s="149" t="str">
        <f>IFERROR(__xludf.DUMMYFUNCTION("""COMPUTED_VALUE"""),"Loan")</f>
        <v>Loan</v>
      </c>
      <c r="T723" s="145"/>
      <c r="U723" s="145" t="str">
        <f>IFERROR(__xludf.DUMMYFUNCTION("""COMPUTED_VALUE"""),"Electric!")</f>
        <v>Electric!</v>
      </c>
      <c r="V723" s="145" t="str">
        <f>IFERROR(__xludf.DUMMYFUNCTION("""COMPUTED_VALUE"""),"Air suspension")</f>
        <v>Air suspension</v>
      </c>
      <c r="W723" s="145"/>
      <c r="X723" s="137" t="str">
        <f>IFERROR(__xludf.DUMMYFUNCTION("""COMPUTED_VALUE"""),"Excellent")</f>
        <v>Excellent</v>
      </c>
      <c r="Y723" s="138" t="str">
        <f>IFERROR(__xludf.DUMMYFUNCTION("""COMPUTED_VALUE"""),"Very Good")</f>
        <v>Very Good</v>
      </c>
      <c r="Z723" s="138" t="str">
        <f>IFERROR(__xludf.DUMMYFUNCTION("""COMPUTED_VALUE"""),"Good")</f>
        <v>Good</v>
      </c>
      <c r="AA723" s="138" t="str">
        <f>IFERROR(__xludf.DUMMYFUNCTION("""COMPUTED_VALUE"""),"Very Good")</f>
        <v>Very Good</v>
      </c>
      <c r="AB723" s="138" t="str">
        <f>IFERROR(__xludf.DUMMYFUNCTION("""COMPUTED_VALUE"""),"Excellent")</f>
        <v>Excellent</v>
      </c>
      <c r="AC723" s="139">
        <f>IFERROR(__xludf.DUMMYFUNCTION("""COMPUTED_VALUE"""),1.0)</f>
        <v>1</v>
      </c>
      <c r="AD723" s="139">
        <f>IFERROR(__xludf.DUMMYFUNCTION("""COMPUTED_VALUE"""),1.0)</f>
        <v>1</v>
      </c>
      <c r="AE723" s="139">
        <f>IFERROR(__xludf.DUMMYFUNCTION("""COMPUTED_VALUE"""),14.0)</f>
        <v>14</v>
      </c>
      <c r="AF723" s="140" t="str">
        <f>IFERROR(__xludf.DUMMYFUNCTION("""COMPUTED_VALUE"""),"No. I took delivery of the first car Tesla was able to deliver.")</f>
        <v>No. I took delivery of the first car Tesla was able to deliver.</v>
      </c>
      <c r="AG723" s="145"/>
      <c r="AH723" s="157">
        <f>IFERROR(__xludf.DUMMYFUNCTION("""COMPUTED_VALUE"""),44406.49802091435)</f>
        <v>44406.49802</v>
      </c>
      <c r="AI723" s="138"/>
      <c r="AJ723" s="138"/>
      <c r="AK723" s="138"/>
      <c r="AL723" s="142"/>
    </row>
    <row r="724" ht="20.25" customHeight="1">
      <c r="A724" s="155" t="str">
        <f>IFERROR(__xludf.DUMMYFUNCTION("""COMPUTED_VALUE"""),"meh012687")</f>
        <v>meh012687</v>
      </c>
      <c r="B724" s="149" t="str">
        <f>IFERROR(__xludf.DUMMYFUNCTION("""COMPUTED_VALUE"""),"San Diego")</f>
        <v>San Diego</v>
      </c>
      <c r="C724" s="149" t="str">
        <f>IFERROR(__xludf.DUMMYFUNCTION("""COMPUTED_VALUE"""),"CA")</f>
        <v>CA</v>
      </c>
      <c r="D724" s="149" t="str">
        <f>IFERROR(__xludf.DUMMYFUNCTION("""COMPUTED_VALUE"""),"USA")</f>
        <v>USA</v>
      </c>
      <c r="E724" s="156">
        <f>IFERROR(__xludf.DUMMYFUNCTION("""COMPUTED_VALUE"""),44333.0)</f>
        <v>44333</v>
      </c>
      <c r="F724" s="129">
        <f>IFERROR(__xludf.DUMMYFUNCTION("""COMPUTED_VALUE"""),44374.0)</f>
        <v>44374</v>
      </c>
      <c r="G724" s="154" t="str">
        <f>IFERROR(__xludf.DUMMYFUNCTION("""COMPUTED_VALUE"""),"Manage order page (normal text)")</f>
        <v>Manage order page (normal text)</v>
      </c>
      <c r="H724" s="131"/>
      <c r="I724" s="144" t="str">
        <f>IFERROR(__xludf.DUMMYFUNCTION("""COMPUTED_VALUE"""),"06/21")</f>
        <v>06/21</v>
      </c>
      <c r="J724" s="129">
        <f>IFERROR(__xludf.DUMMYFUNCTION("""COMPUTED_VALUE"""),44376.0)</f>
        <v>44376</v>
      </c>
      <c r="K724" s="133">
        <f>IFERROR(__xludf.DUMMYFUNCTION("""COMPUTED_VALUE"""),41.0)</f>
        <v>41</v>
      </c>
      <c r="L724" s="133">
        <f>IFERROR(__xludf.DUMMYFUNCTION("""COMPUTED_VALUE"""),2.0)</f>
        <v>2</v>
      </c>
      <c r="M724" s="133">
        <f>IFERROR(__xludf.DUMMYFUNCTION("""COMPUTED_VALUE"""),43.0)</f>
        <v>43</v>
      </c>
      <c r="N724" s="152" t="str">
        <f>IFERROR(__xludf.DUMMYFUNCTION("""COMPUTED_VALUE"""),"Model 3 SR+")</f>
        <v>Model 3 SR+</v>
      </c>
      <c r="O724" s="152" t="str">
        <f>IFERROR(__xludf.DUMMYFUNCTION("""COMPUTED_VALUE"""),"Midnight Silver Metallic")</f>
        <v>Midnight Silver Metallic</v>
      </c>
      <c r="P724" s="153" t="str">
        <f>IFERROR(__xludf.DUMMYFUNCTION("""COMPUTED_VALUE"""),"18 inch")</f>
        <v>18 inch</v>
      </c>
      <c r="Q724" s="152" t="str">
        <f>IFERROR(__xludf.DUMMYFUNCTION("""COMPUTED_VALUE"""),"All Black")</f>
        <v>All Black</v>
      </c>
      <c r="R724" s="149" t="str">
        <f>IFERROR(__xludf.DUMMYFUNCTION("""COMPUTED_VALUE"""),"Autopilot included")</f>
        <v>Autopilot included</v>
      </c>
      <c r="S724" s="149" t="str">
        <f>IFERROR(__xludf.DUMMYFUNCTION("""COMPUTED_VALUE"""),"Lease")</f>
        <v>Lease</v>
      </c>
      <c r="T724" s="145" t="str">
        <f>IFERROR(__xludf.DUMMYFUNCTION("""COMPUTED_VALUE"""),"Nissan Altima")</f>
        <v>Nissan Altima</v>
      </c>
      <c r="U724" s="145" t="str">
        <f>IFERROR(__xludf.DUMMYFUNCTION("""COMPUTED_VALUE"""),"Electric!")</f>
        <v>Electric!</v>
      </c>
      <c r="V724" s="145" t="str">
        <f>IFERROR(__xludf.DUMMYFUNCTION("""COMPUTED_VALUE"""),"Apple CarPlay / Android Auto / SiriusXM Radio")</f>
        <v>Apple CarPlay / Android Auto / SiriusXM Radio</v>
      </c>
      <c r="W724" s="145"/>
      <c r="X724" s="137" t="str">
        <f>IFERROR(__xludf.DUMMYFUNCTION("""COMPUTED_VALUE"""),"Excellent")</f>
        <v>Excellent</v>
      </c>
      <c r="Y724" s="138" t="str">
        <f>IFERROR(__xludf.DUMMYFUNCTION("""COMPUTED_VALUE"""),"Excellent")</f>
        <v>Excellent</v>
      </c>
      <c r="Z724" s="138" t="str">
        <f>IFERROR(__xludf.DUMMYFUNCTION("""COMPUTED_VALUE"""),"Excellent")</f>
        <v>Excellent</v>
      </c>
      <c r="AA724" s="138" t="str">
        <f>IFERROR(__xludf.DUMMYFUNCTION("""COMPUTED_VALUE"""),"Very Good")</f>
        <v>Very Good</v>
      </c>
      <c r="AB724" s="138" t="str">
        <f>IFERROR(__xludf.DUMMYFUNCTION("""COMPUTED_VALUE"""),"Very Good")</f>
        <v>Very Good</v>
      </c>
      <c r="AC724" s="139">
        <f>IFERROR(__xludf.DUMMYFUNCTION("""COMPUTED_VALUE"""),0.0)</f>
        <v>0</v>
      </c>
      <c r="AD724" s="139">
        <f>IFERROR(__xludf.DUMMYFUNCTION("""COMPUTED_VALUE"""),0.0)</f>
        <v>0</v>
      </c>
      <c r="AE724" s="139"/>
      <c r="AF724" s="140" t="str">
        <f>IFERROR(__xludf.DUMMYFUNCTION("""COMPUTED_VALUE"""),"No. I took delivery of the first car Tesla was able to deliver.")</f>
        <v>No. I took delivery of the first car Tesla was able to deliver.</v>
      </c>
      <c r="AG724" s="145"/>
      <c r="AH724" s="157">
        <f>IFERROR(__xludf.DUMMYFUNCTION("""COMPUTED_VALUE"""),44383.65091701389)</f>
        <v>44383.65092</v>
      </c>
      <c r="AI724" s="138"/>
      <c r="AJ724" s="138"/>
      <c r="AK724" s="138"/>
      <c r="AL724" s="142"/>
    </row>
    <row r="725" ht="20.25" customHeight="1">
      <c r="A725" s="155" t="str">
        <f>IFERROR(__xludf.DUMMYFUNCTION("""COMPUTED_VALUE"""),"GotMonks")</f>
        <v>GotMonks</v>
      </c>
      <c r="B725" s="149" t="str">
        <f>IFERROR(__xludf.DUMMYFUNCTION("""COMPUTED_VALUE"""),"Fort Mill ")</f>
        <v>Fort Mill </v>
      </c>
      <c r="C725" s="149" t="str">
        <f>IFERROR(__xludf.DUMMYFUNCTION("""COMPUTED_VALUE"""),"SC")</f>
        <v>SC</v>
      </c>
      <c r="D725" s="149" t="str">
        <f>IFERROR(__xludf.DUMMYFUNCTION("""COMPUTED_VALUE"""),"USA")</f>
        <v>USA</v>
      </c>
      <c r="E725" s="156">
        <f>IFERROR(__xludf.DUMMYFUNCTION("""COMPUTED_VALUE"""),44332.0)</f>
        <v>44332</v>
      </c>
      <c r="F725" s="129">
        <f>IFERROR(__xludf.DUMMYFUNCTION("""COMPUTED_VALUE"""),44357.0)</f>
        <v>44357</v>
      </c>
      <c r="G725" s="154" t="str">
        <f>IFERROR(__xludf.DUMMYFUNCTION("""COMPUTED_VALUE"""),"Manage order page (normal text)")</f>
        <v>Manage order page (normal text)</v>
      </c>
      <c r="H725" s="131">
        <f>IFERROR(__xludf.DUMMYFUNCTION("""COMPUTED_VALUE"""),990955.0)</f>
        <v>990955</v>
      </c>
      <c r="I725" s="144" t="str">
        <f>IFERROR(__xludf.DUMMYFUNCTION("""COMPUTED_VALUE"""),"06/21")</f>
        <v>06/21</v>
      </c>
      <c r="J725" s="129">
        <f>IFERROR(__xludf.DUMMYFUNCTION("""COMPUTED_VALUE"""),44372.0)</f>
        <v>44372</v>
      </c>
      <c r="K725" s="133">
        <f>IFERROR(__xludf.DUMMYFUNCTION("""COMPUTED_VALUE"""),25.0)</f>
        <v>25</v>
      </c>
      <c r="L725" s="133">
        <f>IFERROR(__xludf.DUMMYFUNCTION("""COMPUTED_VALUE"""),15.0)</f>
        <v>15</v>
      </c>
      <c r="M725" s="133">
        <f>IFERROR(__xludf.DUMMYFUNCTION("""COMPUTED_VALUE"""),40.0)</f>
        <v>40</v>
      </c>
      <c r="N725" s="152" t="str">
        <f>IFERROR(__xludf.DUMMYFUNCTION("""COMPUTED_VALUE"""),"Model 3 Performance")</f>
        <v>Model 3 Performance</v>
      </c>
      <c r="O725" s="152" t="str">
        <f>IFERROR(__xludf.DUMMYFUNCTION("""COMPUTED_VALUE"""),"Red Multi-Coat")</f>
        <v>Red Multi-Coat</v>
      </c>
      <c r="P725" s="153" t="str">
        <f>IFERROR(__xludf.DUMMYFUNCTION("""COMPUTED_VALUE"""),"20 inch")</f>
        <v>20 inch</v>
      </c>
      <c r="Q725" s="152" t="str">
        <f>IFERROR(__xludf.DUMMYFUNCTION("""COMPUTED_VALUE"""),"All Black")</f>
        <v>All Black</v>
      </c>
      <c r="R725" s="149" t="str">
        <f>IFERROR(__xludf.DUMMYFUNCTION("""COMPUTED_VALUE"""),"Autopilot included")</f>
        <v>Autopilot included</v>
      </c>
      <c r="S725" s="149" t="str">
        <f>IFERROR(__xludf.DUMMYFUNCTION("""COMPUTED_VALUE"""),"Cash")</f>
        <v>Cash</v>
      </c>
      <c r="T725" s="145" t="str">
        <f>IFERROR(__xludf.DUMMYFUNCTION("""COMPUTED_VALUE"""),"Outlander")</f>
        <v>Outlander</v>
      </c>
      <c r="U725" s="145" t="str">
        <f>IFERROR(__xludf.DUMMYFUNCTION("""COMPUTED_VALUE"""),"Tesla brand image")</f>
        <v>Tesla brand image</v>
      </c>
      <c r="V725" s="145" t="str">
        <f>IFERROR(__xludf.DUMMYFUNCTION("""COMPUTED_VALUE"""),"Ventilated seats")</f>
        <v>Ventilated seats</v>
      </c>
      <c r="W725" s="145" t="str">
        <f>IFERROR(__xludf.DUMMYFUNCTION("""COMPUTED_VALUE"""),"dont watch delivery dates")</f>
        <v>dont watch delivery dates</v>
      </c>
      <c r="X725" s="137" t="str">
        <f>IFERROR(__xludf.DUMMYFUNCTION("""COMPUTED_VALUE"""),"Very Good")</f>
        <v>Very Good</v>
      </c>
      <c r="Y725" s="138" t="str">
        <f>IFERROR(__xludf.DUMMYFUNCTION("""COMPUTED_VALUE"""),"Excellent")</f>
        <v>Excellent</v>
      </c>
      <c r="Z725" s="138" t="str">
        <f>IFERROR(__xludf.DUMMYFUNCTION("""COMPUTED_VALUE"""),"Excellent")</f>
        <v>Excellent</v>
      </c>
      <c r="AA725" s="138" t="str">
        <f>IFERROR(__xludf.DUMMYFUNCTION("""COMPUTED_VALUE"""),"Excellent")</f>
        <v>Excellent</v>
      </c>
      <c r="AB725" s="138" t="str">
        <f>IFERROR(__xludf.DUMMYFUNCTION("""COMPUTED_VALUE"""),"Excellent")</f>
        <v>Excellent</v>
      </c>
      <c r="AC725" s="139"/>
      <c r="AD725" s="139"/>
      <c r="AE725" s="139"/>
      <c r="AF725" s="140" t="str">
        <f>IFERROR(__xludf.DUMMYFUNCTION("""COMPUTED_VALUE"""),"No. I took delivery of the first car Tesla was able to deliver.")</f>
        <v>No. I took delivery of the first car Tesla was able to deliver.</v>
      </c>
      <c r="AG725" s="145"/>
      <c r="AH725" s="157">
        <f>IFERROR(__xludf.DUMMYFUNCTION("""COMPUTED_VALUE"""),44379.2481425)</f>
        <v>44379.24814</v>
      </c>
      <c r="AI725" s="138"/>
      <c r="AJ725" s="138"/>
      <c r="AK725" s="138"/>
      <c r="AL725" s="142"/>
    </row>
    <row r="726" ht="20.25" customHeight="1">
      <c r="A726" s="155" t="str">
        <f>IFERROR(__xludf.DUMMYFUNCTION("""COMPUTED_VALUE"""),"IndigoMaverick")</f>
        <v>IndigoMaverick</v>
      </c>
      <c r="B726" s="149" t="str">
        <f>IFERROR(__xludf.DUMMYFUNCTION("""COMPUTED_VALUE"""),"Charleston")</f>
        <v>Charleston</v>
      </c>
      <c r="C726" s="149" t="str">
        <f>IFERROR(__xludf.DUMMYFUNCTION("""COMPUTED_VALUE"""),"SC")</f>
        <v>SC</v>
      </c>
      <c r="D726" s="149" t="str">
        <f>IFERROR(__xludf.DUMMYFUNCTION("""COMPUTED_VALUE"""),"USA")</f>
        <v>USA</v>
      </c>
      <c r="E726" s="156">
        <f>IFERROR(__xludf.DUMMYFUNCTION("""COMPUTED_VALUE"""),44332.0)</f>
        <v>44332</v>
      </c>
      <c r="F726" s="129">
        <f>IFERROR(__xludf.DUMMYFUNCTION("""COMPUTED_VALUE"""),44392.0)</f>
        <v>44392</v>
      </c>
      <c r="G726" s="154" t="str">
        <f>IFERROR(__xludf.DUMMYFUNCTION("""COMPUTED_VALUE"""),"Manage order page (normal text)")</f>
        <v>Manage order page (normal text)</v>
      </c>
      <c r="H726" s="131"/>
      <c r="I726" s="144"/>
      <c r="J726" s="129">
        <f>IFERROR(__xludf.DUMMYFUNCTION("""COMPUTED_VALUE"""),44407.0)</f>
        <v>44407</v>
      </c>
      <c r="K726" s="133">
        <f>IFERROR(__xludf.DUMMYFUNCTION("""COMPUTED_VALUE"""),60.0)</f>
        <v>60</v>
      </c>
      <c r="L726" s="133">
        <f>IFERROR(__xludf.DUMMYFUNCTION("""COMPUTED_VALUE"""),15.0)</f>
        <v>15</v>
      </c>
      <c r="M726" s="133">
        <f>IFERROR(__xludf.DUMMYFUNCTION("""COMPUTED_VALUE"""),75.0)</f>
        <v>75</v>
      </c>
      <c r="N726" s="152" t="str">
        <f>IFERROR(__xludf.DUMMYFUNCTION("""COMPUTED_VALUE"""),"Model 3 SR+")</f>
        <v>Model 3 SR+</v>
      </c>
      <c r="O726" s="152" t="str">
        <f>IFERROR(__xludf.DUMMYFUNCTION("""COMPUTED_VALUE"""),"Deep Blue Metallic")</f>
        <v>Deep Blue Metallic</v>
      </c>
      <c r="P726" s="153" t="str">
        <f>IFERROR(__xludf.DUMMYFUNCTION("""COMPUTED_VALUE"""),"19 inch")</f>
        <v>19 inch</v>
      </c>
      <c r="Q726" s="152" t="str">
        <f>IFERROR(__xludf.DUMMYFUNCTION("""COMPUTED_VALUE"""),"All Black")</f>
        <v>All Black</v>
      </c>
      <c r="R726" s="149" t="str">
        <f>IFERROR(__xludf.DUMMYFUNCTION("""COMPUTED_VALUE"""),"Autopilot included")</f>
        <v>Autopilot included</v>
      </c>
      <c r="S726" s="149" t="str">
        <f>IFERROR(__xludf.DUMMYFUNCTION("""COMPUTED_VALUE"""),"Loan")</f>
        <v>Loan</v>
      </c>
      <c r="T726" s="145" t="str">
        <f>IFERROR(__xludf.DUMMYFUNCTION("""COMPUTED_VALUE"""),"Ford Fusion Energi")</f>
        <v>Ford Fusion Energi</v>
      </c>
      <c r="U726" s="145" t="str">
        <f>IFERROR(__xludf.DUMMYFUNCTION("""COMPUTED_VALUE"""),"Electric!")</f>
        <v>Electric!</v>
      </c>
      <c r="V726" s="145" t="str">
        <f>IFERROR(__xludf.DUMMYFUNCTION("""COMPUTED_VALUE"""),"Ventilated seats")</f>
        <v>Ventilated seats</v>
      </c>
      <c r="W726" s="145"/>
      <c r="X726" s="137"/>
      <c r="Y726" s="138"/>
      <c r="Z726" s="138"/>
      <c r="AA726" s="138"/>
      <c r="AB726" s="138"/>
      <c r="AC726" s="139"/>
      <c r="AD726" s="139"/>
      <c r="AE726" s="139"/>
      <c r="AF726" s="140"/>
      <c r="AG726" s="145" t="str">
        <f>IFERROR(__xludf.DUMMYFUNCTION("""COMPUTED_VALUE"""),"After the initial order, we had a delivery window of Late June-Early July, then around 6/16/21 we were switched to ""9-13 weeks"".")</f>
        <v>After the initial order, we had a delivery window of Late June-Early July, then around 6/16/21 we were switched to "9-13 weeks".</v>
      </c>
      <c r="AH726" s="157">
        <f>IFERROR(__xludf.DUMMYFUNCTION("""COMPUTED_VALUE"""),44396.48242033565)</f>
        <v>44396.48242</v>
      </c>
      <c r="AI726" s="138"/>
      <c r="AJ726" s="138"/>
      <c r="AK726" s="138"/>
      <c r="AL726" s="142"/>
    </row>
    <row r="727" ht="20.25" customHeight="1">
      <c r="A727" s="155" t="str">
        <f>IFERROR(__xludf.DUMMYFUNCTION("""COMPUTED_VALUE"""),"JCM")</f>
        <v>JCM</v>
      </c>
      <c r="B727" s="149" t="str">
        <f>IFERROR(__xludf.DUMMYFUNCTION("""COMPUTED_VALUE"""),"Chicago")</f>
        <v>Chicago</v>
      </c>
      <c r="C727" s="149" t="str">
        <f>IFERROR(__xludf.DUMMYFUNCTION("""COMPUTED_VALUE"""),"IL")</f>
        <v>IL</v>
      </c>
      <c r="D727" s="149" t="str">
        <f>IFERROR(__xludf.DUMMYFUNCTION("""COMPUTED_VALUE"""),"USA")</f>
        <v>USA</v>
      </c>
      <c r="E727" s="156">
        <f>IFERROR(__xludf.DUMMYFUNCTION("""COMPUTED_VALUE"""),44332.0)</f>
        <v>44332</v>
      </c>
      <c r="F727" s="129">
        <f>IFERROR(__xludf.DUMMYFUNCTION("""COMPUTED_VALUE"""),44359.0)</f>
        <v>44359</v>
      </c>
      <c r="G727" s="154" t="str">
        <f>IFERROR(__xludf.DUMMYFUNCTION("""COMPUTED_VALUE"""),"Manage order page (normal text)")</f>
        <v>Manage order page (normal text)</v>
      </c>
      <c r="H727" s="131">
        <f>IFERROR(__xludf.DUMMYFUNCTION("""COMPUTED_VALUE"""),981855.0)</f>
        <v>981855</v>
      </c>
      <c r="I727" s="144" t="str">
        <f>IFERROR(__xludf.DUMMYFUNCTION("""COMPUTED_VALUE"""),"05/21")</f>
        <v>05/21</v>
      </c>
      <c r="J727" s="129">
        <f>IFERROR(__xludf.DUMMYFUNCTION("""COMPUTED_VALUE"""),44362.0)</f>
        <v>44362</v>
      </c>
      <c r="K727" s="133">
        <f>IFERROR(__xludf.DUMMYFUNCTION("""COMPUTED_VALUE"""),27.0)</f>
        <v>27</v>
      </c>
      <c r="L727" s="133">
        <f>IFERROR(__xludf.DUMMYFUNCTION("""COMPUTED_VALUE"""),3.0)</f>
        <v>3</v>
      </c>
      <c r="M727" s="133">
        <f>IFERROR(__xludf.DUMMYFUNCTION("""COMPUTED_VALUE"""),30.0)</f>
        <v>30</v>
      </c>
      <c r="N727" s="152" t="str">
        <f>IFERROR(__xludf.DUMMYFUNCTION("""COMPUTED_VALUE"""),"Model 3 SR+")</f>
        <v>Model 3 SR+</v>
      </c>
      <c r="O727" s="152" t="str">
        <f>IFERROR(__xludf.DUMMYFUNCTION("""COMPUTED_VALUE"""),"Deep Blue Metallic")</f>
        <v>Deep Blue Metallic</v>
      </c>
      <c r="P727" s="153" t="str">
        <f>IFERROR(__xludf.DUMMYFUNCTION("""COMPUTED_VALUE"""),"18 inch")</f>
        <v>18 inch</v>
      </c>
      <c r="Q727" s="152" t="str">
        <f>IFERROR(__xludf.DUMMYFUNCTION("""COMPUTED_VALUE"""),"All Black")</f>
        <v>All Black</v>
      </c>
      <c r="R727" s="149" t="str">
        <f>IFERROR(__xludf.DUMMYFUNCTION("""COMPUTED_VALUE"""),"Autopilot included")</f>
        <v>Autopilot included</v>
      </c>
      <c r="S727" s="149" t="str">
        <f>IFERROR(__xludf.DUMMYFUNCTION("""COMPUTED_VALUE"""),"Loan")</f>
        <v>Loan</v>
      </c>
      <c r="T727" s="145" t="str">
        <f>IFERROR(__xludf.DUMMYFUNCTION("""COMPUTED_VALUE"""),"Sonata Hybrid")</f>
        <v>Sonata Hybrid</v>
      </c>
      <c r="U727" s="145" t="str">
        <f>IFERROR(__xludf.DUMMYFUNCTION("""COMPUTED_VALUE"""),"Electric!")</f>
        <v>Electric!</v>
      </c>
      <c r="V727" s="145" t="str">
        <f>IFERROR(__xludf.DUMMYFUNCTION("""COMPUTED_VALUE"""),"Heads-up display, Android Auto")</f>
        <v>Heads-up display, Android Auto</v>
      </c>
      <c r="W727" s="145" t="str">
        <f>IFERROR(__xludf.DUMMYFUNCTION("""COMPUTED_VALUE"""),"Watch the orientation videos on advanced and get floor mats in advanced")</f>
        <v>Watch the orientation videos on advanced and get floor mats in advanced</v>
      </c>
      <c r="X727" s="137" t="str">
        <f>IFERROR(__xludf.DUMMYFUNCTION("""COMPUTED_VALUE"""),"Excellent")</f>
        <v>Excellent</v>
      </c>
      <c r="Y727" s="138" t="str">
        <f>IFERROR(__xludf.DUMMYFUNCTION("""COMPUTED_VALUE"""),"Excellent")</f>
        <v>Excellent</v>
      </c>
      <c r="Z727" s="138" t="str">
        <f>IFERROR(__xludf.DUMMYFUNCTION("""COMPUTED_VALUE"""),"Excellent")</f>
        <v>Excellent</v>
      </c>
      <c r="AA727" s="138" t="str">
        <f>IFERROR(__xludf.DUMMYFUNCTION("""COMPUTED_VALUE"""),"Excellent")</f>
        <v>Excellent</v>
      </c>
      <c r="AB727" s="138" t="str">
        <f>IFERROR(__xludf.DUMMYFUNCTION("""COMPUTED_VALUE"""),"Excellent")</f>
        <v>Excellent</v>
      </c>
      <c r="AC727" s="139">
        <f>IFERROR(__xludf.DUMMYFUNCTION("""COMPUTED_VALUE"""),0.0)</f>
        <v>0</v>
      </c>
      <c r="AD727" s="139">
        <f>IFERROR(__xludf.DUMMYFUNCTION("""COMPUTED_VALUE"""),0.0)</f>
        <v>0</v>
      </c>
      <c r="AE727" s="139">
        <f>IFERROR(__xludf.DUMMYFUNCTION("""COMPUTED_VALUE"""),0.0)</f>
        <v>0</v>
      </c>
      <c r="AF727" s="140" t="str">
        <f>IFERROR(__xludf.DUMMYFUNCTION("""COMPUTED_VALUE"""),"No. I took delivery of the first car Tesla was able to deliver.")</f>
        <v>No. I took delivery of the first car Tesla was able to deliver.</v>
      </c>
      <c r="AG727" s="145"/>
      <c r="AH727" s="157">
        <f>IFERROR(__xludf.DUMMYFUNCTION("""COMPUTED_VALUE"""),44381.51837763889)</f>
        <v>44381.51838</v>
      </c>
      <c r="AI727" s="138"/>
      <c r="AJ727" s="138"/>
      <c r="AK727" s="138"/>
      <c r="AL727" s="142"/>
    </row>
    <row r="728" ht="20.25" customHeight="1">
      <c r="A728" s="155" t="str">
        <f>IFERROR(__xludf.DUMMYFUNCTION("""COMPUTED_VALUE"""),"jdbx")</f>
        <v>jdbx</v>
      </c>
      <c r="B728" s="149" t="str">
        <f>IFERROR(__xludf.DUMMYFUNCTION("""COMPUTED_VALUE"""),"Pleasant Hill")</f>
        <v>Pleasant Hill</v>
      </c>
      <c r="C728" s="149" t="str">
        <f>IFERROR(__xludf.DUMMYFUNCTION("""COMPUTED_VALUE"""),"CA")</f>
        <v>CA</v>
      </c>
      <c r="D728" s="149" t="str">
        <f>IFERROR(__xludf.DUMMYFUNCTION("""COMPUTED_VALUE"""),"USA")</f>
        <v>USA</v>
      </c>
      <c r="E728" s="156">
        <f>IFERROR(__xludf.DUMMYFUNCTION("""COMPUTED_VALUE"""),44332.0)</f>
        <v>44332</v>
      </c>
      <c r="F728" s="129">
        <f>IFERROR(__xludf.DUMMYFUNCTION("""COMPUTED_VALUE"""),44345.0)</f>
        <v>44345</v>
      </c>
      <c r="G728" s="154" t="str">
        <f>IFERROR(__xludf.DUMMYFUNCTION("""COMPUTED_VALUE"""),"Manage order page (normal text)")</f>
        <v>Manage order page (normal text)</v>
      </c>
      <c r="H728" s="131">
        <f>IFERROR(__xludf.DUMMYFUNCTION("""COMPUTED_VALUE"""),981155.0)</f>
        <v>981155</v>
      </c>
      <c r="I728" s="144" t="str">
        <f>IFERROR(__xludf.DUMMYFUNCTION("""COMPUTED_VALUE"""),"05/21")</f>
        <v>05/21</v>
      </c>
      <c r="J728" s="129">
        <f>IFERROR(__xludf.DUMMYFUNCTION("""COMPUTED_VALUE"""),44348.0)</f>
        <v>44348</v>
      </c>
      <c r="K728" s="133">
        <f>IFERROR(__xludf.DUMMYFUNCTION("""COMPUTED_VALUE"""),13.0)</f>
        <v>13</v>
      </c>
      <c r="L728" s="133">
        <f>IFERROR(__xludf.DUMMYFUNCTION("""COMPUTED_VALUE"""),3.0)</f>
        <v>3</v>
      </c>
      <c r="M728" s="133">
        <f>IFERROR(__xludf.DUMMYFUNCTION("""COMPUTED_VALUE"""),16.0)</f>
        <v>16</v>
      </c>
      <c r="N728" s="152" t="str">
        <f>IFERROR(__xludf.DUMMYFUNCTION("""COMPUTED_VALUE"""),"Model 3 Performance")</f>
        <v>Model 3 Performance</v>
      </c>
      <c r="O728" s="152" t="str">
        <f>IFERROR(__xludf.DUMMYFUNCTION("""COMPUTED_VALUE"""),"Deep Blue Metallic")</f>
        <v>Deep Blue Metallic</v>
      </c>
      <c r="P728" s="153" t="str">
        <f>IFERROR(__xludf.DUMMYFUNCTION("""COMPUTED_VALUE"""),"20 inch")</f>
        <v>20 inch</v>
      </c>
      <c r="Q728" s="152" t="str">
        <f>IFERROR(__xludf.DUMMYFUNCTION("""COMPUTED_VALUE"""),"All Black")</f>
        <v>All Black</v>
      </c>
      <c r="R728" s="149" t="str">
        <f>IFERROR(__xludf.DUMMYFUNCTION("""COMPUTED_VALUE"""),"Autopilot included")</f>
        <v>Autopilot included</v>
      </c>
      <c r="S728" s="149" t="str">
        <f>IFERROR(__xludf.DUMMYFUNCTION("""COMPUTED_VALUE"""),"Loan")</f>
        <v>Loan</v>
      </c>
      <c r="T728" s="145" t="str">
        <f>IFERROR(__xludf.DUMMYFUNCTION("""COMPUTED_VALUE"""),"Tesla Model S")</f>
        <v>Tesla Model S</v>
      </c>
      <c r="U728" s="145" t="str">
        <f>IFERROR(__xludf.DUMMYFUNCTION("""COMPUTED_VALUE"""),"Electric!")</f>
        <v>Electric!</v>
      </c>
      <c r="V728" s="145" t="str">
        <f>IFERROR(__xludf.DUMMYFUNCTION("""COMPUTED_VALUE"""),"Apple CarPlay / Android Auto / SiriusXM Radio")</f>
        <v>Apple CarPlay / Android Auto / SiriusXM Radio</v>
      </c>
      <c r="W728" s="145"/>
      <c r="X728" s="137" t="str">
        <f>IFERROR(__xludf.DUMMYFUNCTION("""COMPUTED_VALUE"""),"Excellent")</f>
        <v>Excellent</v>
      </c>
      <c r="Y728" s="138" t="str">
        <f>IFERROR(__xludf.DUMMYFUNCTION("""COMPUTED_VALUE"""),"Excellent")</f>
        <v>Excellent</v>
      </c>
      <c r="Z728" s="138" t="str">
        <f>IFERROR(__xludf.DUMMYFUNCTION("""COMPUTED_VALUE"""),"Excellent")</f>
        <v>Excellent</v>
      </c>
      <c r="AA728" s="138" t="str">
        <f>IFERROR(__xludf.DUMMYFUNCTION("""COMPUTED_VALUE"""),"Excellent")</f>
        <v>Excellent</v>
      </c>
      <c r="AB728" s="138" t="str">
        <f>IFERROR(__xludf.DUMMYFUNCTION("""COMPUTED_VALUE"""),"Excellent")</f>
        <v>Excellent</v>
      </c>
      <c r="AC728" s="139"/>
      <c r="AD728" s="139"/>
      <c r="AE728" s="139"/>
      <c r="AF728" s="140" t="str">
        <f>IFERROR(__xludf.DUMMYFUNCTION("""COMPUTED_VALUE"""),"No. I took delivery of the first car Tesla was able to deliver.")</f>
        <v>No. I took delivery of the first car Tesla was able to deliver.</v>
      </c>
      <c r="AG728" s="145"/>
      <c r="AH728" s="157">
        <f>IFERROR(__xludf.DUMMYFUNCTION("""COMPUTED_VALUE"""),44349.51702112269)</f>
        <v>44349.51702</v>
      </c>
      <c r="AI728" s="138"/>
      <c r="AJ728" s="138"/>
      <c r="AK728" s="138"/>
      <c r="AL728" s="142"/>
    </row>
    <row r="729" ht="20.25" customHeight="1">
      <c r="A729" s="155" t="str">
        <f>IFERROR(__xludf.DUMMYFUNCTION("""COMPUTED_VALUE"""),"Jon")</f>
        <v>Jon</v>
      </c>
      <c r="B729" s="149" t="str">
        <f>IFERROR(__xludf.DUMMYFUNCTION("""COMPUTED_VALUE"""),"Santa Clarita")</f>
        <v>Santa Clarita</v>
      </c>
      <c r="C729" s="149" t="str">
        <f>IFERROR(__xludf.DUMMYFUNCTION("""COMPUTED_VALUE"""),"CA")</f>
        <v>CA</v>
      </c>
      <c r="D729" s="149" t="str">
        <f>IFERROR(__xludf.DUMMYFUNCTION("""COMPUTED_VALUE"""),"USA")</f>
        <v>USA</v>
      </c>
      <c r="E729" s="156">
        <f>IFERROR(__xludf.DUMMYFUNCTION("""COMPUTED_VALUE"""),44332.0)</f>
        <v>44332</v>
      </c>
      <c r="F729" s="129">
        <f>IFERROR(__xludf.DUMMYFUNCTION("""COMPUTED_VALUE"""),44372.0)</f>
        <v>44372</v>
      </c>
      <c r="G729" s="154" t="str">
        <f>IFERROR(__xludf.DUMMYFUNCTION("""COMPUTED_VALUE"""),"Manage order page (normal text)")</f>
        <v>Manage order page (normal text)</v>
      </c>
      <c r="H729" s="131">
        <f>IFERROR(__xludf.DUMMYFUNCTION("""COMPUTED_VALUE"""),2555.0)</f>
        <v>2555</v>
      </c>
      <c r="I729" s="144"/>
      <c r="J729" s="129">
        <f>IFERROR(__xludf.DUMMYFUNCTION("""COMPUTED_VALUE"""),44374.0)</f>
        <v>44374</v>
      </c>
      <c r="K729" s="133">
        <f>IFERROR(__xludf.DUMMYFUNCTION("""COMPUTED_VALUE"""),40.0)</f>
        <v>40</v>
      </c>
      <c r="L729" s="133">
        <f>IFERROR(__xludf.DUMMYFUNCTION("""COMPUTED_VALUE"""),2.0)</f>
        <v>2</v>
      </c>
      <c r="M729" s="133">
        <f>IFERROR(__xludf.DUMMYFUNCTION("""COMPUTED_VALUE"""),42.0)</f>
        <v>42</v>
      </c>
      <c r="N729" s="152" t="str">
        <f>IFERROR(__xludf.DUMMYFUNCTION("""COMPUTED_VALUE"""),"Model 3 LR AWD")</f>
        <v>Model 3 LR AWD</v>
      </c>
      <c r="O729" s="152" t="str">
        <f>IFERROR(__xludf.DUMMYFUNCTION("""COMPUTED_VALUE"""),"Pearl White Multi-Coat")</f>
        <v>Pearl White Multi-Coat</v>
      </c>
      <c r="P729" s="153" t="str">
        <f>IFERROR(__xludf.DUMMYFUNCTION("""COMPUTED_VALUE"""),"19 inch")</f>
        <v>19 inch</v>
      </c>
      <c r="Q729" s="152" t="str">
        <f>IFERROR(__xludf.DUMMYFUNCTION("""COMPUTED_VALUE"""),"All Black")</f>
        <v>All Black</v>
      </c>
      <c r="R729" s="149" t="str">
        <f>IFERROR(__xludf.DUMMYFUNCTION("""COMPUTED_VALUE"""),"Autopilot included")</f>
        <v>Autopilot included</v>
      </c>
      <c r="S729" s="149" t="str">
        <f>IFERROR(__xludf.DUMMYFUNCTION("""COMPUTED_VALUE"""),"Loan")</f>
        <v>Loan</v>
      </c>
      <c r="T729" s="145" t="str">
        <f>IFERROR(__xludf.DUMMYFUNCTION("""COMPUTED_VALUE"""),"Audi A4")</f>
        <v>Audi A4</v>
      </c>
      <c r="U729" s="145" t="str">
        <f>IFERROR(__xludf.DUMMYFUNCTION("""COMPUTED_VALUE"""),"Electric!")</f>
        <v>Electric!</v>
      </c>
      <c r="V729" s="145" t="str">
        <f>IFERROR(__xludf.DUMMYFUNCTION("""COMPUTED_VALUE"""),"HomeLink")</f>
        <v>HomeLink</v>
      </c>
      <c r="W729" s="145"/>
      <c r="X729" s="137" t="str">
        <f>IFERROR(__xludf.DUMMYFUNCTION("""COMPUTED_VALUE"""),"Excellent")</f>
        <v>Excellent</v>
      </c>
      <c r="Y729" s="138" t="str">
        <f>IFERROR(__xludf.DUMMYFUNCTION("""COMPUTED_VALUE"""),"Excellent")</f>
        <v>Excellent</v>
      </c>
      <c r="Z729" s="138" t="str">
        <f>IFERROR(__xludf.DUMMYFUNCTION("""COMPUTED_VALUE"""),"Excellent")</f>
        <v>Excellent</v>
      </c>
      <c r="AA729" s="138" t="str">
        <f>IFERROR(__xludf.DUMMYFUNCTION("""COMPUTED_VALUE"""),"Excellent")</f>
        <v>Excellent</v>
      </c>
      <c r="AB729" s="138" t="str">
        <f>IFERROR(__xludf.DUMMYFUNCTION("""COMPUTED_VALUE"""),"Fair")</f>
        <v>Fair</v>
      </c>
      <c r="AC729" s="139">
        <f>IFERROR(__xludf.DUMMYFUNCTION("""COMPUTED_VALUE"""),2.0)</f>
        <v>2</v>
      </c>
      <c r="AD729" s="139"/>
      <c r="AE729" s="139"/>
      <c r="AF729" s="140" t="str">
        <f>IFERROR(__xludf.DUMMYFUNCTION("""COMPUTED_VALUE"""),"No. I took delivery of the first car Tesla was able to deliver.")</f>
        <v>No. I took delivery of the first car Tesla was able to deliver.</v>
      </c>
      <c r="AG729" s="145"/>
      <c r="AH729" s="157">
        <f>IFERROR(__xludf.DUMMYFUNCTION("""COMPUTED_VALUE"""),44377.10507288194)</f>
        <v>44377.10507</v>
      </c>
      <c r="AI729" s="138"/>
      <c r="AJ729" s="138"/>
      <c r="AK729" s="138"/>
      <c r="AL729" s="142"/>
    </row>
    <row r="730" ht="20.25" customHeight="1">
      <c r="A730" s="155" t="str">
        <f>IFERROR(__xludf.DUMMYFUNCTION("""COMPUTED_VALUE"""),"t0b1x")</f>
        <v>t0b1x</v>
      </c>
      <c r="B730" s="149" t="str">
        <f>IFERROR(__xludf.DUMMYFUNCTION("""COMPUTED_VALUE"""),"Arlington")</f>
        <v>Arlington</v>
      </c>
      <c r="C730" s="149" t="str">
        <f>IFERROR(__xludf.DUMMYFUNCTION("""COMPUTED_VALUE"""),"VA")</f>
        <v>VA</v>
      </c>
      <c r="D730" s="149" t="str">
        <f>IFERROR(__xludf.DUMMYFUNCTION("""COMPUTED_VALUE"""),"USA")</f>
        <v>USA</v>
      </c>
      <c r="E730" s="156">
        <f>IFERROR(__xludf.DUMMYFUNCTION("""COMPUTED_VALUE"""),44332.0)</f>
        <v>44332</v>
      </c>
      <c r="F730" s="129">
        <f>IFERROR(__xludf.DUMMYFUNCTION("""COMPUTED_VALUE"""),44344.0)</f>
        <v>44344</v>
      </c>
      <c r="G730" s="154" t="str">
        <f>IFERROR(__xludf.DUMMYFUNCTION("""COMPUTED_VALUE"""),"Manage order page (normal text)")</f>
        <v>Manage order page (normal text)</v>
      </c>
      <c r="H730" s="131"/>
      <c r="I730" s="144"/>
      <c r="J730" s="129">
        <f>IFERROR(__xludf.DUMMYFUNCTION("""COMPUTED_VALUE"""),44357.0)</f>
        <v>44357</v>
      </c>
      <c r="K730" s="133">
        <f>IFERROR(__xludf.DUMMYFUNCTION("""COMPUTED_VALUE"""),12.0)</f>
        <v>12</v>
      </c>
      <c r="L730" s="133">
        <f>IFERROR(__xludf.DUMMYFUNCTION("""COMPUTED_VALUE"""),13.0)</f>
        <v>13</v>
      </c>
      <c r="M730" s="133">
        <f>IFERROR(__xludf.DUMMYFUNCTION("""COMPUTED_VALUE"""),25.0)</f>
        <v>25</v>
      </c>
      <c r="N730" s="152" t="str">
        <f>IFERROR(__xludf.DUMMYFUNCTION("""COMPUTED_VALUE"""),"Model 3 LR AWD")</f>
        <v>Model 3 LR AWD</v>
      </c>
      <c r="O730" s="152" t="str">
        <f>IFERROR(__xludf.DUMMYFUNCTION("""COMPUTED_VALUE"""),"Deep Blue Metallic")</f>
        <v>Deep Blue Metallic</v>
      </c>
      <c r="P730" s="153" t="str">
        <f>IFERROR(__xludf.DUMMYFUNCTION("""COMPUTED_VALUE"""),"18 inch")</f>
        <v>18 inch</v>
      </c>
      <c r="Q730" s="152" t="str">
        <f>IFERROR(__xludf.DUMMYFUNCTION("""COMPUTED_VALUE"""),"Black and White")</f>
        <v>Black and White</v>
      </c>
      <c r="R730" s="149" t="str">
        <f>IFERROR(__xludf.DUMMYFUNCTION("""COMPUTED_VALUE"""),"Autopilot included")</f>
        <v>Autopilot included</v>
      </c>
      <c r="S730" s="149" t="str">
        <f>IFERROR(__xludf.DUMMYFUNCTION("""COMPUTED_VALUE"""),"Loan")</f>
        <v>Loan</v>
      </c>
      <c r="T730" s="145" t="str">
        <f>IFERROR(__xludf.DUMMYFUNCTION("""COMPUTED_VALUE"""),"VW GTI")</f>
        <v>VW GTI</v>
      </c>
      <c r="U730" s="145" t="str">
        <f>IFERROR(__xludf.DUMMYFUNCTION("""COMPUTED_VALUE"""),"TORQUE")</f>
        <v>TORQUE</v>
      </c>
      <c r="V730" s="145" t="str">
        <f>IFERROR(__xludf.DUMMYFUNCTION("""COMPUTED_VALUE"""),"Head-up display")</f>
        <v>Head-up display</v>
      </c>
      <c r="W730" s="145" t="str">
        <f>IFERROR(__xludf.DUMMYFUNCTION("""COMPUTED_VALUE"""),"Be patient")</f>
        <v>Be patient</v>
      </c>
      <c r="X730" s="137"/>
      <c r="Y730" s="138"/>
      <c r="Z730" s="138"/>
      <c r="AA730" s="138"/>
      <c r="AB730" s="138"/>
      <c r="AC730" s="139"/>
      <c r="AD730" s="139"/>
      <c r="AE730" s="139"/>
      <c r="AF730" s="140"/>
      <c r="AG730" s="145"/>
      <c r="AH730" s="157">
        <f>IFERROR(__xludf.DUMMYFUNCTION("""COMPUTED_VALUE"""),44350.80665545139)</f>
        <v>44350.80666</v>
      </c>
      <c r="AI730" s="138"/>
      <c r="AJ730" s="138"/>
      <c r="AK730" s="138"/>
      <c r="AL730" s="142"/>
    </row>
    <row r="731" ht="20.25" customHeight="1">
      <c r="A731" s="155" t="str">
        <f>IFERROR(__xludf.DUMMYFUNCTION("""COMPUTED_VALUE"""),"afuz")</f>
        <v>afuz</v>
      </c>
      <c r="B731" s="149" t="str">
        <f>IFERROR(__xludf.DUMMYFUNCTION("""COMPUTED_VALUE"""),"Tampa")</f>
        <v>Tampa</v>
      </c>
      <c r="C731" s="149" t="str">
        <f>IFERROR(__xludf.DUMMYFUNCTION("""COMPUTED_VALUE"""),"FL")</f>
        <v>FL</v>
      </c>
      <c r="D731" s="149" t="str">
        <f>IFERROR(__xludf.DUMMYFUNCTION("""COMPUTED_VALUE"""),"USA")</f>
        <v>USA</v>
      </c>
      <c r="E731" s="156">
        <f>IFERROR(__xludf.DUMMYFUNCTION("""COMPUTED_VALUE"""),44331.0)</f>
        <v>44331</v>
      </c>
      <c r="F731" s="129">
        <f>IFERROR(__xludf.DUMMYFUNCTION("""COMPUTED_VALUE"""),44355.0)</f>
        <v>44355</v>
      </c>
      <c r="G731" s="154" t="str">
        <f>IFERROR(__xludf.DUMMYFUNCTION("""COMPUTED_VALUE"""),"Manage order page (normal text)")</f>
        <v>Manage order page (normal text)</v>
      </c>
      <c r="H731" s="131">
        <f>IFERROR(__xludf.DUMMYFUNCTION("""COMPUTED_VALUE"""),992155.0)</f>
        <v>992155</v>
      </c>
      <c r="I731" s="144"/>
      <c r="J731" s="129">
        <f>IFERROR(__xludf.DUMMYFUNCTION("""COMPUTED_VALUE"""),44375.0)</f>
        <v>44375</v>
      </c>
      <c r="K731" s="133">
        <f>IFERROR(__xludf.DUMMYFUNCTION("""COMPUTED_VALUE"""),24.0)</f>
        <v>24</v>
      </c>
      <c r="L731" s="133">
        <f>IFERROR(__xludf.DUMMYFUNCTION("""COMPUTED_VALUE"""),20.0)</f>
        <v>20</v>
      </c>
      <c r="M731" s="133">
        <f>IFERROR(__xludf.DUMMYFUNCTION("""COMPUTED_VALUE"""),44.0)</f>
        <v>44</v>
      </c>
      <c r="N731" s="152" t="str">
        <f>IFERROR(__xludf.DUMMYFUNCTION("""COMPUTED_VALUE"""),"Model 3 LR AWD")</f>
        <v>Model 3 LR AWD</v>
      </c>
      <c r="O731" s="152" t="str">
        <f>IFERROR(__xludf.DUMMYFUNCTION("""COMPUTED_VALUE"""),"Solid Black")</f>
        <v>Solid Black</v>
      </c>
      <c r="P731" s="153" t="str">
        <f>IFERROR(__xludf.DUMMYFUNCTION("""COMPUTED_VALUE"""),"18 inch")</f>
        <v>18 inch</v>
      </c>
      <c r="Q731" s="152" t="str">
        <f>IFERROR(__xludf.DUMMYFUNCTION("""COMPUTED_VALUE"""),"All Black")</f>
        <v>All Black</v>
      </c>
      <c r="R731" s="149" t="str">
        <f>IFERROR(__xludf.DUMMYFUNCTION("""COMPUTED_VALUE"""),"Autopilot included")</f>
        <v>Autopilot included</v>
      </c>
      <c r="S731" s="149" t="str">
        <f>IFERROR(__xludf.DUMMYFUNCTION("""COMPUTED_VALUE"""),"Loan")</f>
        <v>Loan</v>
      </c>
      <c r="T731" s="145"/>
      <c r="U731" s="145" t="str">
        <f>IFERROR(__xludf.DUMMYFUNCTION("""COMPUTED_VALUE"""),"Electric!")</f>
        <v>Electric!</v>
      </c>
      <c r="V731" s="145" t="str">
        <f>IFERROR(__xludf.DUMMYFUNCTION("""COMPUTED_VALUE"""),"Apple CarPlay / Android Auto / SiriusXM Radio")</f>
        <v>Apple CarPlay / Android Auto / SiriusXM Radio</v>
      </c>
      <c r="W731" s="145"/>
      <c r="X731" s="137" t="str">
        <f>IFERROR(__xludf.DUMMYFUNCTION("""COMPUTED_VALUE"""),"Excellent")</f>
        <v>Excellent</v>
      </c>
      <c r="Y731" s="138" t="str">
        <f>IFERROR(__xludf.DUMMYFUNCTION("""COMPUTED_VALUE"""),"Excellent")</f>
        <v>Excellent</v>
      </c>
      <c r="Z731" s="138" t="str">
        <f>IFERROR(__xludf.DUMMYFUNCTION("""COMPUTED_VALUE"""),"Good")</f>
        <v>Good</v>
      </c>
      <c r="AA731" s="138" t="str">
        <f>IFERROR(__xludf.DUMMYFUNCTION("""COMPUTED_VALUE"""),"Poor")</f>
        <v>Poor</v>
      </c>
      <c r="AB731" s="138" t="str">
        <f>IFERROR(__xludf.DUMMYFUNCTION("""COMPUTED_VALUE"""),"Very Good")</f>
        <v>Very Good</v>
      </c>
      <c r="AC731" s="139">
        <f>IFERROR(__xludf.DUMMYFUNCTION("""COMPUTED_VALUE"""),2.0)</f>
        <v>2</v>
      </c>
      <c r="AD731" s="139"/>
      <c r="AE731" s="139"/>
      <c r="AF731" s="140" t="str">
        <f>IFERROR(__xludf.DUMMYFUNCTION("""COMPUTED_VALUE"""),"No. I took delivery of the first car Tesla was able to deliver.")</f>
        <v>No. I took delivery of the first car Tesla was able to deliver.</v>
      </c>
      <c r="AG731" s="145"/>
      <c r="AH731" s="157">
        <f>IFERROR(__xludf.DUMMYFUNCTION("""COMPUTED_VALUE"""),44376.59156276621)</f>
        <v>44376.59156</v>
      </c>
      <c r="AI731" s="138"/>
      <c r="AJ731" s="138"/>
      <c r="AK731" s="138"/>
      <c r="AL731" s="142"/>
    </row>
    <row r="732" ht="20.25" customHeight="1">
      <c r="A732" s="155" t="str">
        <f>IFERROR(__xludf.DUMMYFUNCTION("""COMPUTED_VALUE"""),"Bdrussell4")</f>
        <v>Bdrussell4</v>
      </c>
      <c r="B732" s="149" t="str">
        <f>IFERROR(__xludf.DUMMYFUNCTION("""COMPUTED_VALUE"""),"Jacksonville")</f>
        <v>Jacksonville</v>
      </c>
      <c r="C732" s="149" t="str">
        <f>IFERROR(__xludf.DUMMYFUNCTION("""COMPUTED_VALUE"""),"FL")</f>
        <v>FL</v>
      </c>
      <c r="D732" s="149" t="str">
        <f>IFERROR(__xludf.DUMMYFUNCTION("""COMPUTED_VALUE"""),"USA")</f>
        <v>USA</v>
      </c>
      <c r="E732" s="156">
        <f>IFERROR(__xludf.DUMMYFUNCTION("""COMPUTED_VALUE"""),44331.0)</f>
        <v>44331</v>
      </c>
      <c r="F732" s="129">
        <f>IFERROR(__xludf.DUMMYFUNCTION("""COMPUTED_VALUE"""),44352.0)</f>
        <v>44352</v>
      </c>
      <c r="G732" s="154" t="str">
        <f>IFERROR(__xludf.DUMMYFUNCTION("""COMPUTED_VALUE"""),"Manage order page (normal text)")</f>
        <v>Manage order page (normal text)</v>
      </c>
      <c r="H732" s="131">
        <f>IFERROR(__xludf.DUMMYFUNCTION("""COMPUTED_VALUE"""),990616.0)</f>
        <v>990616</v>
      </c>
      <c r="I732" s="144" t="str">
        <f>IFERROR(__xludf.DUMMYFUNCTION("""COMPUTED_VALUE"""),"06/21")</f>
        <v>06/21</v>
      </c>
      <c r="J732" s="129">
        <f>IFERROR(__xludf.DUMMYFUNCTION("""COMPUTED_VALUE"""),44372.0)</f>
        <v>44372</v>
      </c>
      <c r="K732" s="133">
        <f>IFERROR(__xludf.DUMMYFUNCTION("""COMPUTED_VALUE"""),21.0)</f>
        <v>21</v>
      </c>
      <c r="L732" s="133">
        <f>IFERROR(__xludf.DUMMYFUNCTION("""COMPUTED_VALUE"""),20.0)</f>
        <v>20</v>
      </c>
      <c r="M732" s="133">
        <f>IFERROR(__xludf.DUMMYFUNCTION("""COMPUTED_VALUE"""),41.0)</f>
        <v>41</v>
      </c>
      <c r="N732" s="152" t="str">
        <f>IFERROR(__xludf.DUMMYFUNCTION("""COMPUTED_VALUE"""),"Model 3 Performance")</f>
        <v>Model 3 Performance</v>
      </c>
      <c r="O732" s="152" t="str">
        <f>IFERROR(__xludf.DUMMYFUNCTION("""COMPUTED_VALUE"""),"Deep Blue Metallic")</f>
        <v>Deep Blue Metallic</v>
      </c>
      <c r="P732" s="153" t="str">
        <f>IFERROR(__xludf.DUMMYFUNCTION("""COMPUTED_VALUE"""),"20 inch")</f>
        <v>20 inch</v>
      </c>
      <c r="Q732" s="152" t="str">
        <f>IFERROR(__xludf.DUMMYFUNCTION("""COMPUTED_VALUE"""),"All Black")</f>
        <v>All Black</v>
      </c>
      <c r="R732" s="149" t="str">
        <f>IFERROR(__xludf.DUMMYFUNCTION("""COMPUTED_VALUE"""),"Full Self-Driving")</f>
        <v>Full Self-Driving</v>
      </c>
      <c r="S732" s="149" t="str">
        <f>IFERROR(__xludf.DUMMYFUNCTION("""COMPUTED_VALUE"""),"Loan")</f>
        <v>Loan</v>
      </c>
      <c r="T732" s="145" t="str">
        <f>IFERROR(__xludf.DUMMYFUNCTION("""COMPUTED_VALUE"""),"Nissan Altima")</f>
        <v>Nissan Altima</v>
      </c>
      <c r="U732" s="145" t="str">
        <f>IFERROR(__xludf.DUMMYFUNCTION("""COMPUTED_VALUE"""),"Electric!")</f>
        <v>Electric!</v>
      </c>
      <c r="V732" s="145" t="str">
        <f>IFERROR(__xludf.DUMMYFUNCTION("""COMPUTED_VALUE"""),"360° Bird's eye view")</f>
        <v>360° Bird's eye view</v>
      </c>
      <c r="W732" s="145" t="str">
        <f>IFERROR(__xludf.DUMMYFUNCTION("""COMPUTED_VALUE"""),"Look at EVERYTHING at the delivery center. The detail job was horrible and hazy throughout the entire front of the car.")</f>
        <v>Look at EVERYTHING at the delivery center. The detail job was horrible and hazy throughout the entire front of the car.</v>
      </c>
      <c r="X732" s="137" t="str">
        <f>IFERROR(__xludf.DUMMYFUNCTION("""COMPUTED_VALUE"""),"Excellent")</f>
        <v>Excellent</v>
      </c>
      <c r="Y732" s="138" t="str">
        <f>IFERROR(__xludf.DUMMYFUNCTION("""COMPUTED_VALUE"""),"Excellent")</f>
        <v>Excellent</v>
      </c>
      <c r="Z732" s="138" t="str">
        <f>IFERROR(__xludf.DUMMYFUNCTION("""COMPUTED_VALUE"""),"Poor")</f>
        <v>Poor</v>
      </c>
      <c r="AA732" s="138" t="str">
        <f>IFERROR(__xludf.DUMMYFUNCTION("""COMPUTED_VALUE"""),"Excellent")</f>
        <v>Excellent</v>
      </c>
      <c r="AB732" s="138" t="str">
        <f>IFERROR(__xludf.DUMMYFUNCTION("""COMPUTED_VALUE"""),"Excellent")</f>
        <v>Excellent</v>
      </c>
      <c r="AC732" s="139">
        <f>IFERROR(__xludf.DUMMYFUNCTION("""COMPUTED_VALUE"""),2.0)</f>
        <v>2</v>
      </c>
      <c r="AD732" s="139">
        <f>IFERROR(__xludf.DUMMYFUNCTION("""COMPUTED_VALUE"""),1.0)</f>
        <v>1</v>
      </c>
      <c r="AE732" s="139">
        <f>IFERROR(__xludf.DUMMYFUNCTION("""COMPUTED_VALUE"""),2.0)</f>
        <v>2</v>
      </c>
      <c r="AF732" s="140" t="str">
        <f>IFERROR(__xludf.DUMMYFUNCTION("""COMPUTED_VALUE"""),"No. I took delivery of the first car Tesla was able to deliver.")</f>
        <v>No. I took delivery of the first car Tesla was able to deliver.</v>
      </c>
      <c r="AG732" s="145"/>
      <c r="AH732" s="157">
        <f>IFERROR(__xludf.DUMMYFUNCTION("""COMPUTED_VALUE"""),44398.83697211806)</f>
        <v>44398.83697</v>
      </c>
      <c r="AI732" s="138"/>
      <c r="AJ732" s="138"/>
      <c r="AK732" s="138"/>
      <c r="AL732" s="142"/>
    </row>
    <row r="733" ht="20.25" customHeight="1">
      <c r="A733" s="155" t="str">
        <f>IFERROR(__xludf.DUMMYFUNCTION("""COMPUTED_VALUE"""),"Chucky")</f>
        <v>Chucky</v>
      </c>
      <c r="B733" s="149" t="str">
        <f>IFERROR(__xludf.DUMMYFUNCTION("""COMPUTED_VALUE"""),"Los Angeles ")</f>
        <v>Los Angeles </v>
      </c>
      <c r="C733" s="149" t="str">
        <f>IFERROR(__xludf.DUMMYFUNCTION("""COMPUTED_VALUE"""),"CA")</f>
        <v>CA</v>
      </c>
      <c r="D733" s="149" t="str">
        <f>IFERROR(__xludf.DUMMYFUNCTION("""COMPUTED_VALUE"""),"USA")</f>
        <v>USA</v>
      </c>
      <c r="E733" s="156">
        <f>IFERROR(__xludf.DUMMYFUNCTION("""COMPUTED_VALUE"""),44331.0)</f>
        <v>44331</v>
      </c>
      <c r="F733" s="129">
        <f>IFERROR(__xludf.DUMMYFUNCTION("""COMPUTED_VALUE"""),44361.0)</f>
        <v>44361</v>
      </c>
      <c r="G733" s="154" t="str">
        <f>IFERROR(__xludf.DUMMYFUNCTION("""COMPUTED_VALUE"""),"Manage order page (normal text)")</f>
        <v>Manage order page (normal text)</v>
      </c>
      <c r="H733" s="131">
        <f>IFERROR(__xludf.DUMMYFUNCTION("""COMPUTED_VALUE"""),992455.0)</f>
        <v>992455</v>
      </c>
      <c r="I733" s="144" t="str">
        <f>IFERROR(__xludf.DUMMYFUNCTION("""COMPUTED_VALUE"""),"06/21")</f>
        <v>06/21</v>
      </c>
      <c r="J733" s="129">
        <f>IFERROR(__xludf.DUMMYFUNCTION("""COMPUTED_VALUE"""),44364.0)</f>
        <v>44364</v>
      </c>
      <c r="K733" s="133">
        <f>IFERROR(__xludf.DUMMYFUNCTION("""COMPUTED_VALUE"""),30.0)</f>
        <v>30</v>
      </c>
      <c r="L733" s="133">
        <f>IFERROR(__xludf.DUMMYFUNCTION("""COMPUTED_VALUE"""),3.0)</f>
        <v>3</v>
      </c>
      <c r="M733" s="133">
        <f>IFERROR(__xludf.DUMMYFUNCTION("""COMPUTED_VALUE"""),33.0)</f>
        <v>33</v>
      </c>
      <c r="N733" s="152" t="str">
        <f>IFERROR(__xludf.DUMMYFUNCTION("""COMPUTED_VALUE"""),"Model 3 SR+")</f>
        <v>Model 3 SR+</v>
      </c>
      <c r="O733" s="152" t="str">
        <f>IFERROR(__xludf.DUMMYFUNCTION("""COMPUTED_VALUE"""),"Midnight Silver Metallic")</f>
        <v>Midnight Silver Metallic</v>
      </c>
      <c r="P733" s="153" t="str">
        <f>IFERROR(__xludf.DUMMYFUNCTION("""COMPUTED_VALUE"""),"18 inch")</f>
        <v>18 inch</v>
      </c>
      <c r="Q733" s="152" t="str">
        <f>IFERROR(__xludf.DUMMYFUNCTION("""COMPUTED_VALUE"""),"All Black")</f>
        <v>All Black</v>
      </c>
      <c r="R733" s="149" t="str">
        <f>IFERROR(__xludf.DUMMYFUNCTION("""COMPUTED_VALUE"""),"Full Self-Driving")</f>
        <v>Full Self-Driving</v>
      </c>
      <c r="S733" s="149" t="str">
        <f>IFERROR(__xludf.DUMMYFUNCTION("""COMPUTED_VALUE"""),"Loan")</f>
        <v>Loan</v>
      </c>
      <c r="T733" s="145" t="str">
        <f>IFERROR(__xludf.DUMMYFUNCTION("""COMPUTED_VALUE"""),"RAM 1500")</f>
        <v>RAM 1500</v>
      </c>
      <c r="U733" s="145" t="str">
        <f>IFERROR(__xludf.DUMMYFUNCTION("""COMPUTED_VALUE"""),"Autopilot")</f>
        <v>Autopilot</v>
      </c>
      <c r="V733" s="145" t="str">
        <f>IFERROR(__xludf.DUMMYFUNCTION("""COMPUTED_VALUE"""),"Apple CarPlay / Android Auto / SiriusXM Radio")</f>
        <v>Apple CarPlay / Android Auto / SiriusXM Radio</v>
      </c>
      <c r="W733" s="145" t="str">
        <f>IFERROR(__xludf.DUMMYFUNCTION("""COMPUTED_VALUE"""),"Be patient, Don't believe the FUD")</f>
        <v>Be patient, Don't believe the FUD</v>
      </c>
      <c r="X733" s="137" t="str">
        <f>IFERROR(__xludf.DUMMYFUNCTION("""COMPUTED_VALUE"""),"Very Good")</f>
        <v>Very Good</v>
      </c>
      <c r="Y733" s="138" t="str">
        <f>IFERROR(__xludf.DUMMYFUNCTION("""COMPUTED_VALUE"""),"Good")</f>
        <v>Good</v>
      </c>
      <c r="Z733" s="138" t="str">
        <f>IFERROR(__xludf.DUMMYFUNCTION("""COMPUTED_VALUE"""),"Very Good")</f>
        <v>Very Good</v>
      </c>
      <c r="AA733" s="138" t="str">
        <f>IFERROR(__xludf.DUMMYFUNCTION("""COMPUTED_VALUE"""),"Poor")</f>
        <v>Poor</v>
      </c>
      <c r="AB733" s="138" t="str">
        <f>IFERROR(__xludf.DUMMYFUNCTION("""COMPUTED_VALUE"""),"Excellent")</f>
        <v>Excellent</v>
      </c>
      <c r="AC733" s="139"/>
      <c r="AD733" s="139"/>
      <c r="AE733" s="139"/>
      <c r="AF733" s="140" t="str">
        <f>IFERROR(__xludf.DUMMYFUNCTION("""COMPUTED_VALUE"""),"No. I took delivery of the first car Tesla was able to deliver.")</f>
        <v>No. I took delivery of the first car Tesla was able to deliver.</v>
      </c>
      <c r="AG733" s="145"/>
      <c r="AH733" s="157">
        <f>IFERROR(__xludf.DUMMYFUNCTION("""COMPUTED_VALUE"""),44364.769899907405)</f>
        <v>44364.7699</v>
      </c>
      <c r="AI733" s="138"/>
      <c r="AJ733" s="138"/>
      <c r="AK733" s="138"/>
      <c r="AL733" s="142"/>
    </row>
    <row r="734" ht="20.25" customHeight="1">
      <c r="A734" s="155" t="str">
        <f>IFERROR(__xludf.DUMMYFUNCTION("""COMPUTED_VALUE"""),"Giselle")</f>
        <v>Giselle</v>
      </c>
      <c r="B734" s="149" t="str">
        <f>IFERROR(__xludf.DUMMYFUNCTION("""COMPUTED_VALUE"""),"Miami Lakes")</f>
        <v>Miami Lakes</v>
      </c>
      <c r="C734" s="149" t="str">
        <f>IFERROR(__xludf.DUMMYFUNCTION("""COMPUTED_VALUE"""),"FL")</f>
        <v>FL</v>
      </c>
      <c r="D734" s="149" t="str">
        <f>IFERROR(__xludf.DUMMYFUNCTION("""COMPUTED_VALUE"""),"USA")</f>
        <v>USA</v>
      </c>
      <c r="E734" s="156">
        <f>IFERROR(__xludf.DUMMYFUNCTION("""COMPUTED_VALUE"""),44331.0)</f>
        <v>44331</v>
      </c>
      <c r="F734" s="129">
        <f>IFERROR(__xludf.DUMMYFUNCTION("""COMPUTED_VALUE"""),44355.0)</f>
        <v>44355</v>
      </c>
      <c r="G734" s="154" t="str">
        <f>IFERROR(__xludf.DUMMYFUNCTION("""COMPUTED_VALUE"""),"Manage order page (normal text)")</f>
        <v>Manage order page (normal text)</v>
      </c>
      <c r="H734" s="131"/>
      <c r="I734" s="144" t="str">
        <f>IFERROR(__xludf.DUMMYFUNCTION("""COMPUTED_VALUE"""),"06/21")</f>
        <v>06/21</v>
      </c>
      <c r="J734" s="129">
        <f>IFERROR(__xludf.DUMMYFUNCTION("""COMPUTED_VALUE"""),44374.0)</f>
        <v>44374</v>
      </c>
      <c r="K734" s="133">
        <f>IFERROR(__xludf.DUMMYFUNCTION("""COMPUTED_VALUE"""),24.0)</f>
        <v>24</v>
      </c>
      <c r="L734" s="133">
        <f>IFERROR(__xludf.DUMMYFUNCTION("""COMPUTED_VALUE"""),19.0)</f>
        <v>19</v>
      </c>
      <c r="M734" s="133">
        <f>IFERROR(__xludf.DUMMYFUNCTION("""COMPUTED_VALUE"""),43.0)</f>
        <v>43</v>
      </c>
      <c r="N734" s="152" t="str">
        <f>IFERROR(__xludf.DUMMYFUNCTION("""COMPUTED_VALUE"""),"Model 3 SR+")</f>
        <v>Model 3 SR+</v>
      </c>
      <c r="O734" s="152" t="str">
        <f>IFERROR(__xludf.DUMMYFUNCTION("""COMPUTED_VALUE"""),"Pearl White Multi-Coat")</f>
        <v>Pearl White Multi-Coat</v>
      </c>
      <c r="P734" s="153" t="str">
        <f>IFERROR(__xludf.DUMMYFUNCTION("""COMPUTED_VALUE"""),"18 inch")</f>
        <v>18 inch</v>
      </c>
      <c r="Q734" s="152" t="str">
        <f>IFERROR(__xludf.DUMMYFUNCTION("""COMPUTED_VALUE"""),"All Black")</f>
        <v>All Black</v>
      </c>
      <c r="R734" s="149" t="str">
        <f>IFERROR(__xludf.DUMMYFUNCTION("""COMPUTED_VALUE"""),"Full Self-Driving")</f>
        <v>Full Self-Driving</v>
      </c>
      <c r="S734" s="149" t="str">
        <f>IFERROR(__xludf.DUMMYFUNCTION("""COMPUTED_VALUE"""),"Lease")</f>
        <v>Lease</v>
      </c>
      <c r="T734" s="145" t="str">
        <f>IFERROR(__xludf.DUMMYFUNCTION("""COMPUTED_VALUE"""),"Chevy Equinox")</f>
        <v>Chevy Equinox</v>
      </c>
      <c r="U734" s="145" t="str">
        <f>IFERROR(__xludf.DUMMYFUNCTION("""COMPUTED_VALUE"""),"Autopilot")</f>
        <v>Autopilot</v>
      </c>
      <c r="V734" s="145" t="str">
        <f>IFERROR(__xludf.DUMMYFUNCTION("""COMPUTED_VALUE"""),"Apple CarPlay / Android Auto / SiriusXM Radio")</f>
        <v>Apple CarPlay / Android Auto / SiriusXM Radio</v>
      </c>
      <c r="W734" s="145" t="str">
        <f>IFERROR(__xludf.DUMMYFUNCTION("""COMPUTED_VALUE"""),"Be patient!")</f>
        <v>Be patient!</v>
      </c>
      <c r="X734" s="137" t="str">
        <f>IFERROR(__xludf.DUMMYFUNCTION("""COMPUTED_VALUE"""),"Excellent")</f>
        <v>Excellent</v>
      </c>
      <c r="Y734" s="138" t="str">
        <f>IFERROR(__xludf.DUMMYFUNCTION("""COMPUTED_VALUE"""),"Very Good")</f>
        <v>Very Good</v>
      </c>
      <c r="Z734" s="138" t="str">
        <f>IFERROR(__xludf.DUMMYFUNCTION("""COMPUTED_VALUE"""),"Excellent")</f>
        <v>Excellent</v>
      </c>
      <c r="AA734" s="138" t="str">
        <f>IFERROR(__xludf.DUMMYFUNCTION("""COMPUTED_VALUE"""),"Poor")</f>
        <v>Poor</v>
      </c>
      <c r="AB734" s="138" t="str">
        <f>IFERROR(__xludf.DUMMYFUNCTION("""COMPUTED_VALUE"""),"Excellent")</f>
        <v>Excellent</v>
      </c>
      <c r="AC734" s="139">
        <f>IFERROR(__xludf.DUMMYFUNCTION("""COMPUTED_VALUE"""),3.0)</f>
        <v>3</v>
      </c>
      <c r="AD734" s="139">
        <f>IFERROR(__xludf.DUMMYFUNCTION("""COMPUTED_VALUE"""),1.0)</f>
        <v>1</v>
      </c>
      <c r="AE734" s="139"/>
      <c r="AF734" s="140" t="str">
        <f>IFERROR(__xludf.DUMMYFUNCTION("""COMPUTED_VALUE"""),"No. I took delivery of the first car Tesla was able to deliver.")</f>
        <v>No. I took delivery of the first car Tesla was able to deliver.</v>
      </c>
      <c r="AG734" s="145"/>
      <c r="AH734" s="157">
        <f>IFERROR(__xludf.DUMMYFUNCTION("""COMPUTED_VALUE"""),44375.56575447916)</f>
        <v>44375.56575</v>
      </c>
      <c r="AI734" s="138"/>
      <c r="AJ734" s="138"/>
      <c r="AK734" s="138"/>
      <c r="AL734" s="142"/>
    </row>
    <row r="735" ht="20.25" customHeight="1">
      <c r="A735" s="155" t="str">
        <f>IFERROR(__xludf.DUMMYFUNCTION("""COMPUTED_VALUE"""),"JamesAS")</f>
        <v>JamesAS</v>
      </c>
      <c r="B735" s="149" t="str">
        <f>IFERROR(__xludf.DUMMYFUNCTION("""COMPUTED_VALUE"""),"Vancouver")</f>
        <v>Vancouver</v>
      </c>
      <c r="C735" s="149" t="str">
        <f>IFERROR(__xludf.DUMMYFUNCTION("""COMPUTED_VALUE"""),"BC")</f>
        <v>BC</v>
      </c>
      <c r="D735" s="149" t="str">
        <f>IFERROR(__xludf.DUMMYFUNCTION("""COMPUTED_VALUE"""),"Canada")</f>
        <v>Canada</v>
      </c>
      <c r="E735" s="156">
        <f>IFERROR(__xludf.DUMMYFUNCTION("""COMPUTED_VALUE"""),44331.0)</f>
        <v>44331</v>
      </c>
      <c r="F735" s="129">
        <f>IFERROR(__xludf.DUMMYFUNCTION("""COMPUTED_VALUE"""),44364.0)</f>
        <v>44364</v>
      </c>
      <c r="G735" s="154" t="str">
        <f>IFERROR(__xludf.DUMMYFUNCTION("""COMPUTED_VALUE"""),"MVPA")</f>
        <v>MVPA</v>
      </c>
      <c r="H735" s="131">
        <f>IFERROR(__xludf.DUMMYFUNCTION("""COMPUTED_VALUE"""),988775.0)</f>
        <v>988775</v>
      </c>
      <c r="I735" s="144" t="str">
        <f>IFERROR(__xludf.DUMMYFUNCTION("""COMPUTED_VALUE"""),"06/21")</f>
        <v>06/21</v>
      </c>
      <c r="J735" s="129">
        <f>IFERROR(__xludf.DUMMYFUNCTION("""COMPUTED_VALUE"""),44374.0)</f>
        <v>44374</v>
      </c>
      <c r="K735" s="133">
        <f>IFERROR(__xludf.DUMMYFUNCTION("""COMPUTED_VALUE"""),33.0)</f>
        <v>33</v>
      </c>
      <c r="L735" s="133">
        <f>IFERROR(__xludf.DUMMYFUNCTION("""COMPUTED_VALUE"""),10.0)</f>
        <v>10</v>
      </c>
      <c r="M735" s="133">
        <f>IFERROR(__xludf.DUMMYFUNCTION("""COMPUTED_VALUE"""),43.0)</f>
        <v>43</v>
      </c>
      <c r="N735" s="152" t="str">
        <f>IFERROR(__xludf.DUMMYFUNCTION("""COMPUTED_VALUE"""),"Model 3 SR+")</f>
        <v>Model 3 SR+</v>
      </c>
      <c r="O735" s="152" t="str">
        <f>IFERROR(__xludf.DUMMYFUNCTION("""COMPUTED_VALUE"""),"Deep Blue Metallic")</f>
        <v>Deep Blue Metallic</v>
      </c>
      <c r="P735" s="153" t="str">
        <f>IFERROR(__xludf.DUMMYFUNCTION("""COMPUTED_VALUE"""),"18 inch")</f>
        <v>18 inch</v>
      </c>
      <c r="Q735" s="152" t="str">
        <f>IFERROR(__xludf.DUMMYFUNCTION("""COMPUTED_VALUE"""),"All Black")</f>
        <v>All Black</v>
      </c>
      <c r="R735" s="149" t="str">
        <f>IFERROR(__xludf.DUMMYFUNCTION("""COMPUTED_VALUE"""),"Autopilot included")</f>
        <v>Autopilot included</v>
      </c>
      <c r="S735" s="149" t="str">
        <f>IFERROR(__xludf.DUMMYFUNCTION("""COMPUTED_VALUE"""),"Cash")</f>
        <v>Cash</v>
      </c>
      <c r="T735" s="145" t="str">
        <f>IFERROR(__xludf.DUMMYFUNCTION("""COMPUTED_VALUE"""),"BMW 3 Series")</f>
        <v>BMW 3 Series</v>
      </c>
      <c r="U735" s="145" t="str">
        <f>IFERROR(__xludf.DUMMYFUNCTION("""COMPUTED_VALUE"""),"Electric!")</f>
        <v>Electric!</v>
      </c>
      <c r="V735" s="145" t="str">
        <f>IFERROR(__xludf.DUMMYFUNCTION("""COMPUTED_VALUE"""),"CCS Adapter")</f>
        <v>CCS Adapter</v>
      </c>
      <c r="W735" s="145"/>
      <c r="X735" s="137" t="str">
        <f>IFERROR(__xludf.DUMMYFUNCTION("""COMPUTED_VALUE"""),"Very Good")</f>
        <v>Very Good</v>
      </c>
      <c r="Y735" s="138" t="str">
        <f>IFERROR(__xludf.DUMMYFUNCTION("""COMPUTED_VALUE"""),"Excellent")</f>
        <v>Excellent</v>
      </c>
      <c r="Z735" s="138" t="str">
        <f>IFERROR(__xludf.DUMMYFUNCTION("""COMPUTED_VALUE"""),"Excellent")</f>
        <v>Excellent</v>
      </c>
      <c r="AA735" s="138" t="str">
        <f>IFERROR(__xludf.DUMMYFUNCTION("""COMPUTED_VALUE"""),"Very Good")</f>
        <v>Very Good</v>
      </c>
      <c r="AB735" s="138" t="str">
        <f>IFERROR(__xludf.DUMMYFUNCTION("""COMPUTED_VALUE"""),"Very Good")</f>
        <v>Very Good</v>
      </c>
      <c r="AC735" s="139">
        <f>IFERROR(__xludf.DUMMYFUNCTION("""COMPUTED_VALUE"""),1.0)</f>
        <v>1</v>
      </c>
      <c r="AD735" s="139">
        <f>IFERROR(__xludf.DUMMYFUNCTION("""COMPUTED_VALUE"""),1.0)</f>
        <v>1</v>
      </c>
      <c r="AE735" s="139">
        <f>IFERROR(__xludf.DUMMYFUNCTION("""COMPUTED_VALUE"""),0.0)</f>
        <v>0</v>
      </c>
      <c r="AF735" s="140" t="str">
        <f>IFERROR(__xludf.DUMMYFUNCTION("""COMPUTED_VALUE"""),"No. I took delivery of the first car Tesla was able to deliver.")</f>
        <v>No. I took delivery of the first car Tesla was able to deliver.</v>
      </c>
      <c r="AG735" s="145"/>
      <c r="AH735" s="157">
        <f>IFERROR(__xludf.DUMMYFUNCTION("""COMPUTED_VALUE"""),44376.917475972215)</f>
        <v>44376.91748</v>
      </c>
      <c r="AI735" s="138"/>
      <c r="AJ735" s="138"/>
      <c r="AK735" s="138"/>
      <c r="AL735" s="142"/>
    </row>
    <row r="736" ht="20.25" customHeight="1">
      <c r="A736" s="155" t="str">
        <f>IFERROR(__xludf.DUMMYFUNCTION("""COMPUTED_VALUE"""),"moakes")</f>
        <v>moakes</v>
      </c>
      <c r="B736" s="149" t="str">
        <f>IFERROR(__xludf.DUMMYFUNCTION("""COMPUTED_VALUE"""),"Jackson")</f>
        <v>Jackson</v>
      </c>
      <c r="C736" s="149" t="str">
        <f>IFERROR(__xludf.DUMMYFUNCTION("""COMPUTED_VALUE"""),"TN")</f>
        <v>TN</v>
      </c>
      <c r="D736" s="149" t="str">
        <f>IFERROR(__xludf.DUMMYFUNCTION("""COMPUTED_VALUE"""),"USA")</f>
        <v>USA</v>
      </c>
      <c r="E736" s="156">
        <f>IFERROR(__xludf.DUMMYFUNCTION("""COMPUTED_VALUE"""),44331.0)</f>
        <v>44331</v>
      </c>
      <c r="F736" s="129">
        <f>IFERROR(__xludf.DUMMYFUNCTION("""COMPUTED_VALUE"""),44414.0)</f>
        <v>44414</v>
      </c>
      <c r="G736" s="154" t="str">
        <f>IFERROR(__xludf.DUMMYFUNCTION("""COMPUTED_VALUE"""),"Manage order page (normal text)")</f>
        <v>Manage order page (normal text)</v>
      </c>
      <c r="H736" s="131">
        <f>IFERROR(__xludf.DUMMYFUNCTION("""COMPUTED_VALUE"""),28655.0)</f>
        <v>28655</v>
      </c>
      <c r="I736" s="144"/>
      <c r="J736" s="129">
        <f>IFERROR(__xludf.DUMMYFUNCTION("""COMPUTED_VALUE"""),44436.0)</f>
        <v>44436</v>
      </c>
      <c r="K736" s="133">
        <f>IFERROR(__xludf.DUMMYFUNCTION("""COMPUTED_VALUE"""),83.0)</f>
        <v>83</v>
      </c>
      <c r="L736" s="133">
        <f>IFERROR(__xludf.DUMMYFUNCTION("""COMPUTED_VALUE"""),22.0)</f>
        <v>22</v>
      </c>
      <c r="M736" s="133">
        <f>IFERROR(__xludf.DUMMYFUNCTION("""COMPUTED_VALUE"""),105.0)</f>
        <v>105</v>
      </c>
      <c r="N736" s="152" t="str">
        <f>IFERROR(__xludf.DUMMYFUNCTION("""COMPUTED_VALUE"""),"Model 3 SR+")</f>
        <v>Model 3 SR+</v>
      </c>
      <c r="O736" s="152" t="str">
        <f>IFERROR(__xludf.DUMMYFUNCTION("""COMPUTED_VALUE"""),"Midnight Silver Metallic")</f>
        <v>Midnight Silver Metallic</v>
      </c>
      <c r="P736" s="153" t="str">
        <f>IFERROR(__xludf.DUMMYFUNCTION("""COMPUTED_VALUE"""),"18 inch")</f>
        <v>18 inch</v>
      </c>
      <c r="Q736" s="152" t="str">
        <f>IFERROR(__xludf.DUMMYFUNCTION("""COMPUTED_VALUE"""),"All Black")</f>
        <v>All Black</v>
      </c>
      <c r="R736" s="149" t="str">
        <f>IFERROR(__xludf.DUMMYFUNCTION("""COMPUTED_VALUE"""),"Autopilot included")</f>
        <v>Autopilot included</v>
      </c>
      <c r="S736" s="149" t="str">
        <f>IFERROR(__xludf.DUMMYFUNCTION("""COMPUTED_VALUE"""),"Loan")</f>
        <v>Loan</v>
      </c>
      <c r="T736" s="145" t="str">
        <f>IFERROR(__xludf.DUMMYFUNCTION("""COMPUTED_VALUE"""),"Honda Civic SI")</f>
        <v>Honda Civic SI</v>
      </c>
      <c r="U736" s="145" t="str">
        <f>IFERROR(__xludf.DUMMYFUNCTION("""COMPUTED_VALUE"""),"Electric!")</f>
        <v>Electric!</v>
      </c>
      <c r="V736" s="145" t="str">
        <f>IFERROR(__xludf.DUMMYFUNCTION("""COMPUTED_VALUE"""),"Apple CarPlay / Android Auto / SiriusXM Radio")</f>
        <v>Apple CarPlay / Android Auto / SiriusXM Radio</v>
      </c>
      <c r="W736" s="145"/>
      <c r="X736" s="137" t="str">
        <f>IFERROR(__xludf.DUMMYFUNCTION("""COMPUTED_VALUE"""),"Excellent")</f>
        <v>Excellent</v>
      </c>
      <c r="Y736" s="138" t="str">
        <f>IFERROR(__xludf.DUMMYFUNCTION("""COMPUTED_VALUE"""),"Excellent")</f>
        <v>Excellent</v>
      </c>
      <c r="Z736" s="138" t="str">
        <f>IFERROR(__xludf.DUMMYFUNCTION("""COMPUTED_VALUE"""),"Excellent")</f>
        <v>Excellent</v>
      </c>
      <c r="AA736" s="138" t="str">
        <f>IFERROR(__xludf.DUMMYFUNCTION("""COMPUTED_VALUE"""),"Excellent")</f>
        <v>Excellent</v>
      </c>
      <c r="AB736" s="138" t="str">
        <f>IFERROR(__xludf.DUMMYFUNCTION("""COMPUTED_VALUE"""),"Excellent")</f>
        <v>Excellent</v>
      </c>
      <c r="AC736" s="139"/>
      <c r="AD736" s="139"/>
      <c r="AE736" s="139"/>
      <c r="AF736" s="140" t="str">
        <f>IFERROR(__xludf.DUMMYFUNCTION("""COMPUTED_VALUE"""),"No. I took delivery of the first car Tesla was able to deliver.")</f>
        <v>No. I took delivery of the first car Tesla was able to deliver.</v>
      </c>
      <c r="AG736" s="145"/>
      <c r="AH736" s="157">
        <f>IFERROR(__xludf.DUMMYFUNCTION("""COMPUTED_VALUE"""),44438.473459189816)</f>
        <v>44438.47346</v>
      </c>
      <c r="AI736" s="138"/>
      <c r="AJ736" s="138"/>
      <c r="AK736" s="138"/>
      <c r="AL736" s="142"/>
    </row>
    <row r="737" ht="20.25" customHeight="1">
      <c r="A737" s="155" t="str">
        <f>IFERROR(__xludf.DUMMYFUNCTION("""COMPUTED_VALUE"""),"mrflark")</f>
        <v>mrflark</v>
      </c>
      <c r="B737" s="149" t="str">
        <f>IFERROR(__xludf.DUMMYFUNCTION("""COMPUTED_VALUE"""),"Orange County")</f>
        <v>Orange County</v>
      </c>
      <c r="C737" s="149" t="str">
        <f>IFERROR(__xludf.DUMMYFUNCTION("""COMPUTED_VALUE"""),"CA")</f>
        <v>CA</v>
      </c>
      <c r="D737" s="149" t="str">
        <f>IFERROR(__xludf.DUMMYFUNCTION("""COMPUTED_VALUE"""),"USA")</f>
        <v>USA</v>
      </c>
      <c r="E737" s="156">
        <f>IFERROR(__xludf.DUMMYFUNCTION("""COMPUTED_VALUE"""),44331.0)</f>
        <v>44331</v>
      </c>
      <c r="F737" s="129">
        <f>IFERROR(__xludf.DUMMYFUNCTION("""COMPUTED_VALUE"""),44365.0)</f>
        <v>44365</v>
      </c>
      <c r="G737" s="154" t="str">
        <f>IFERROR(__xludf.DUMMYFUNCTION("""COMPUTED_VALUE"""),"Manage order page (normal text)")</f>
        <v>Manage order page (normal text)</v>
      </c>
      <c r="H737" s="131">
        <f>IFERROR(__xludf.DUMMYFUNCTION("""COMPUTED_VALUE"""),997555.0)</f>
        <v>997555</v>
      </c>
      <c r="I737" s="144"/>
      <c r="J737" s="129">
        <f>IFERROR(__xludf.DUMMYFUNCTION("""COMPUTED_VALUE"""),44367.0)</f>
        <v>44367</v>
      </c>
      <c r="K737" s="133">
        <f>IFERROR(__xludf.DUMMYFUNCTION("""COMPUTED_VALUE"""),34.0)</f>
        <v>34</v>
      </c>
      <c r="L737" s="133">
        <f>IFERROR(__xludf.DUMMYFUNCTION("""COMPUTED_VALUE"""),2.0)</f>
        <v>2</v>
      </c>
      <c r="M737" s="133">
        <f>IFERROR(__xludf.DUMMYFUNCTION("""COMPUTED_VALUE"""),36.0)</f>
        <v>36</v>
      </c>
      <c r="N737" s="152" t="str">
        <f>IFERROR(__xludf.DUMMYFUNCTION("""COMPUTED_VALUE"""),"Model 3 LR AWD")</f>
        <v>Model 3 LR AWD</v>
      </c>
      <c r="O737" s="152" t="str">
        <f>IFERROR(__xludf.DUMMYFUNCTION("""COMPUTED_VALUE"""),"Solid Black")</f>
        <v>Solid Black</v>
      </c>
      <c r="P737" s="153" t="str">
        <f>IFERROR(__xludf.DUMMYFUNCTION("""COMPUTED_VALUE"""),"19 inch")</f>
        <v>19 inch</v>
      </c>
      <c r="Q737" s="152" t="str">
        <f>IFERROR(__xludf.DUMMYFUNCTION("""COMPUTED_VALUE"""),"All Black")</f>
        <v>All Black</v>
      </c>
      <c r="R737" s="149" t="str">
        <f>IFERROR(__xludf.DUMMYFUNCTION("""COMPUTED_VALUE"""),"Full Self-Driving")</f>
        <v>Full Self-Driving</v>
      </c>
      <c r="S737" s="149" t="str">
        <f>IFERROR(__xludf.DUMMYFUNCTION("""COMPUTED_VALUE"""),"Loan")</f>
        <v>Loan</v>
      </c>
      <c r="T737" s="145" t="str">
        <f>IFERROR(__xludf.DUMMYFUNCTION("""COMPUTED_VALUE"""),"2019 CLA250")</f>
        <v>2019 CLA250</v>
      </c>
      <c r="U737" s="145" t="str">
        <f>IFERROR(__xludf.DUMMYFUNCTION("""COMPUTED_VALUE"""),"Autopilot")</f>
        <v>Autopilot</v>
      </c>
      <c r="V737" s="145" t="str">
        <f>IFERROR(__xludf.DUMMYFUNCTION("""COMPUTED_VALUE"""),"Ventilated seats")</f>
        <v>Ventilated seats</v>
      </c>
      <c r="W737" s="145" t="str">
        <f>IFERROR(__xludf.DUMMYFUNCTION("""COMPUTED_VALUE"""),"patience is a virtue")</f>
        <v>patience is a virtue</v>
      </c>
      <c r="X737" s="137"/>
      <c r="Y737" s="138"/>
      <c r="Z737" s="138"/>
      <c r="AA737" s="138"/>
      <c r="AB737" s="138"/>
      <c r="AC737" s="139"/>
      <c r="AD737" s="139"/>
      <c r="AE737" s="139"/>
      <c r="AF737" s="140"/>
      <c r="AG737" s="145"/>
      <c r="AH737" s="157">
        <f>IFERROR(__xludf.DUMMYFUNCTION("""COMPUTED_VALUE"""),44366.792889097225)</f>
        <v>44366.79289</v>
      </c>
      <c r="AI737" s="138"/>
      <c r="AJ737" s="138"/>
      <c r="AK737" s="138"/>
      <c r="AL737" s="142"/>
    </row>
    <row r="738" ht="20.25" customHeight="1">
      <c r="A738" s="155" t="str">
        <f>IFERROR(__xludf.DUMMYFUNCTION("""COMPUTED_VALUE"""),"neuralnet")</f>
        <v>neuralnet</v>
      </c>
      <c r="B738" s="149" t="str">
        <f>IFERROR(__xludf.DUMMYFUNCTION("""COMPUTED_VALUE"""),"Upstate")</f>
        <v>Upstate</v>
      </c>
      <c r="C738" s="149" t="str">
        <f>IFERROR(__xludf.DUMMYFUNCTION("""COMPUTED_VALUE"""),"NY")</f>
        <v>NY</v>
      </c>
      <c r="D738" s="149" t="str">
        <f>IFERROR(__xludf.DUMMYFUNCTION("""COMPUTED_VALUE"""),"USA")</f>
        <v>USA</v>
      </c>
      <c r="E738" s="156">
        <f>IFERROR(__xludf.DUMMYFUNCTION("""COMPUTED_VALUE"""),44331.0)</f>
        <v>44331</v>
      </c>
      <c r="F738" s="129">
        <f>IFERROR(__xludf.DUMMYFUNCTION("""COMPUTED_VALUE"""),44349.0)</f>
        <v>44349</v>
      </c>
      <c r="G738" s="154" t="str">
        <f>IFERROR(__xludf.DUMMYFUNCTION("""COMPUTED_VALUE"""),"Manage order page (normal text)")</f>
        <v>Manage order page (normal text)</v>
      </c>
      <c r="H738" s="131">
        <f>IFERROR(__xludf.DUMMYFUNCTION("""COMPUTED_VALUE"""),983255.0)</f>
        <v>983255</v>
      </c>
      <c r="I738" s="144" t="str">
        <f>IFERROR(__xludf.DUMMYFUNCTION("""COMPUTED_VALUE"""),"06/21")</f>
        <v>06/21</v>
      </c>
      <c r="J738" s="129">
        <f>IFERROR(__xludf.DUMMYFUNCTION("""COMPUTED_VALUE"""),44363.0)</f>
        <v>44363</v>
      </c>
      <c r="K738" s="133">
        <f>IFERROR(__xludf.DUMMYFUNCTION("""COMPUTED_VALUE"""),18.0)</f>
        <v>18</v>
      </c>
      <c r="L738" s="133">
        <f>IFERROR(__xludf.DUMMYFUNCTION("""COMPUTED_VALUE"""),14.0)</f>
        <v>14</v>
      </c>
      <c r="M738" s="133">
        <f>IFERROR(__xludf.DUMMYFUNCTION("""COMPUTED_VALUE"""),32.0)</f>
        <v>32</v>
      </c>
      <c r="N738" s="152" t="str">
        <f>IFERROR(__xludf.DUMMYFUNCTION("""COMPUTED_VALUE"""),"Model 3 LR AWD")</f>
        <v>Model 3 LR AWD</v>
      </c>
      <c r="O738" s="152" t="str">
        <f>IFERROR(__xludf.DUMMYFUNCTION("""COMPUTED_VALUE"""),"Midnight Silver Metallic")</f>
        <v>Midnight Silver Metallic</v>
      </c>
      <c r="P738" s="153" t="str">
        <f>IFERROR(__xludf.DUMMYFUNCTION("""COMPUTED_VALUE"""),"18 inch")</f>
        <v>18 inch</v>
      </c>
      <c r="Q738" s="152" t="str">
        <f>IFERROR(__xludf.DUMMYFUNCTION("""COMPUTED_VALUE"""),"All Black")</f>
        <v>All Black</v>
      </c>
      <c r="R738" s="149" t="str">
        <f>IFERROR(__xludf.DUMMYFUNCTION("""COMPUTED_VALUE"""),"Autopilot included")</f>
        <v>Autopilot included</v>
      </c>
      <c r="S738" s="149" t="str">
        <f>IFERROR(__xludf.DUMMYFUNCTION("""COMPUTED_VALUE"""),"Cash")</f>
        <v>Cash</v>
      </c>
      <c r="T738" s="145"/>
      <c r="U738" s="145" t="str">
        <f>IFERROR(__xludf.DUMMYFUNCTION("""COMPUTED_VALUE"""),"Autopilot")</f>
        <v>Autopilot</v>
      </c>
      <c r="V738" s="145" t="str">
        <f>IFERROR(__xludf.DUMMYFUNCTION("""COMPUTED_VALUE"""),"Blind spot indicators on side mirrors")</f>
        <v>Blind spot indicators on side mirrors</v>
      </c>
      <c r="W738" s="145" t="str">
        <f>IFERROR(__xludf.DUMMYFUNCTION("""COMPUTED_VALUE"""),"Just don't expect your car to come quickly. Mine happened to take a month but that's only because I ordered as close as possible to the end of the quarter, before orders started spilling into next Q")</f>
        <v>Just don't expect your car to come quickly. Mine happened to take a month but that's only because I ordered as close as possible to the end of the quarter, before orders started spilling into next Q</v>
      </c>
      <c r="X738" s="137" t="str">
        <f>IFERROR(__xludf.DUMMYFUNCTION("""COMPUTED_VALUE"""),"Good")</f>
        <v>Good</v>
      </c>
      <c r="Y738" s="138" t="str">
        <f>IFERROR(__xludf.DUMMYFUNCTION("""COMPUTED_VALUE"""),"Very Good")</f>
        <v>Very Good</v>
      </c>
      <c r="Z738" s="138" t="str">
        <f>IFERROR(__xludf.DUMMYFUNCTION("""COMPUTED_VALUE"""),"Excellent")</f>
        <v>Excellent</v>
      </c>
      <c r="AA738" s="138" t="str">
        <f>IFERROR(__xludf.DUMMYFUNCTION("""COMPUTED_VALUE"""),"Fair")</f>
        <v>Fair</v>
      </c>
      <c r="AB738" s="138" t="str">
        <f>IFERROR(__xludf.DUMMYFUNCTION("""COMPUTED_VALUE"""),"Very Good")</f>
        <v>Very Good</v>
      </c>
      <c r="AC738" s="139">
        <f>IFERROR(__xludf.DUMMYFUNCTION("""COMPUTED_VALUE"""),1.0)</f>
        <v>1</v>
      </c>
      <c r="AD738" s="139">
        <f>IFERROR(__xludf.DUMMYFUNCTION("""COMPUTED_VALUE"""),0.0)</f>
        <v>0</v>
      </c>
      <c r="AE738" s="139">
        <f>IFERROR(__xludf.DUMMYFUNCTION("""COMPUTED_VALUE"""),0.0)</f>
        <v>0</v>
      </c>
      <c r="AF738" s="140" t="str">
        <f>IFERROR(__xludf.DUMMYFUNCTION("""COMPUTED_VALUE"""),"No. I took delivery of the first car Tesla was able to deliver.")</f>
        <v>No. I took delivery of the first car Tesla was able to deliver.</v>
      </c>
      <c r="AG738" s="145" t="str">
        <f>IFERROR(__xludf.DUMMYFUNCTION("""COMPUTED_VALUE"""),"Small issue on the rear door alignment (window glass was touching the pane next to it), was fixed at the SC during the delivery process, took &lt;15 minutes")</f>
        <v>Small issue on the rear door alignment (window glass was touching the pane next to it), was fixed at the SC during the delivery process, took &lt;15 minutes</v>
      </c>
      <c r="AH738" s="157">
        <f>IFERROR(__xludf.DUMMYFUNCTION("""COMPUTED_VALUE"""),44365.36586541667)</f>
        <v>44365.36587</v>
      </c>
      <c r="AI738" s="138"/>
      <c r="AJ738" s="138"/>
      <c r="AK738" s="138"/>
      <c r="AL738" s="142"/>
    </row>
    <row r="739" ht="20.25" customHeight="1">
      <c r="A739" s="155" t="str">
        <f>IFERROR(__xludf.DUMMYFUNCTION("""COMPUTED_VALUE"""),"TheF3Z")</f>
        <v>TheF3Z</v>
      </c>
      <c r="B739" s="149" t="str">
        <f>IFERROR(__xludf.DUMMYFUNCTION("""COMPUTED_VALUE"""),"Buckeye")</f>
        <v>Buckeye</v>
      </c>
      <c r="C739" s="149" t="str">
        <f>IFERROR(__xludf.DUMMYFUNCTION("""COMPUTED_VALUE"""),"AZ")</f>
        <v>AZ</v>
      </c>
      <c r="D739" s="149" t="str">
        <f>IFERROR(__xludf.DUMMYFUNCTION("""COMPUTED_VALUE"""),"USA")</f>
        <v>USA</v>
      </c>
      <c r="E739" s="156">
        <f>IFERROR(__xludf.DUMMYFUNCTION("""COMPUTED_VALUE"""),44331.0)</f>
        <v>44331</v>
      </c>
      <c r="F739" s="129">
        <f>IFERROR(__xludf.DUMMYFUNCTION("""COMPUTED_VALUE"""),44365.0)</f>
        <v>44365</v>
      </c>
      <c r="G739" s="154" t="str">
        <f>IFERROR(__xludf.DUMMYFUNCTION("""COMPUTED_VALUE"""),"Manage order page (normal text)")</f>
        <v>Manage order page (normal text)</v>
      </c>
      <c r="H739" s="131">
        <f>IFERROR(__xludf.DUMMYFUNCTION("""COMPUTED_VALUE"""),997055.0)</f>
        <v>997055</v>
      </c>
      <c r="I739" s="144"/>
      <c r="J739" s="129">
        <f>IFERROR(__xludf.DUMMYFUNCTION("""COMPUTED_VALUE"""),44368.0)</f>
        <v>44368</v>
      </c>
      <c r="K739" s="133">
        <f>IFERROR(__xludf.DUMMYFUNCTION("""COMPUTED_VALUE"""),34.0)</f>
        <v>34</v>
      </c>
      <c r="L739" s="133">
        <f>IFERROR(__xludf.DUMMYFUNCTION("""COMPUTED_VALUE"""),3.0)</f>
        <v>3</v>
      </c>
      <c r="M739" s="133">
        <f>IFERROR(__xludf.DUMMYFUNCTION("""COMPUTED_VALUE"""),37.0)</f>
        <v>37</v>
      </c>
      <c r="N739" s="152" t="str">
        <f>IFERROR(__xludf.DUMMYFUNCTION("""COMPUTED_VALUE"""),"Model 3 Performance")</f>
        <v>Model 3 Performance</v>
      </c>
      <c r="O739" s="152" t="str">
        <f>IFERROR(__xludf.DUMMYFUNCTION("""COMPUTED_VALUE"""),"Pearl White Multi-Coat")</f>
        <v>Pearl White Multi-Coat</v>
      </c>
      <c r="P739" s="153" t="str">
        <f>IFERROR(__xludf.DUMMYFUNCTION("""COMPUTED_VALUE"""),"20 inch")</f>
        <v>20 inch</v>
      </c>
      <c r="Q739" s="152" t="str">
        <f>IFERROR(__xludf.DUMMYFUNCTION("""COMPUTED_VALUE"""),"All Black")</f>
        <v>All Black</v>
      </c>
      <c r="R739" s="149" t="str">
        <f>IFERROR(__xludf.DUMMYFUNCTION("""COMPUTED_VALUE"""),"Autopilot included")</f>
        <v>Autopilot included</v>
      </c>
      <c r="S739" s="149" t="str">
        <f>IFERROR(__xludf.DUMMYFUNCTION("""COMPUTED_VALUE"""),"Loan")</f>
        <v>Loan</v>
      </c>
      <c r="T739" s="145" t="str">
        <f>IFERROR(__xludf.DUMMYFUNCTION("""COMPUTED_VALUE"""),"Toyota Tacoma")</f>
        <v>Toyota Tacoma</v>
      </c>
      <c r="U739" s="145" t="str">
        <f>IFERROR(__xludf.DUMMYFUNCTION("""COMPUTED_VALUE"""),"Electric!")</f>
        <v>Electric!</v>
      </c>
      <c r="V739" s="145" t="str">
        <f>IFERROR(__xludf.DUMMYFUNCTION("""COMPUTED_VALUE"""),"Ventilated seats")</f>
        <v>Ventilated seats</v>
      </c>
      <c r="W739" s="145"/>
      <c r="X739" s="137" t="str">
        <f>IFERROR(__xludf.DUMMYFUNCTION("""COMPUTED_VALUE"""),"Very Good")</f>
        <v>Very Good</v>
      </c>
      <c r="Y739" s="138" t="str">
        <f>IFERROR(__xludf.DUMMYFUNCTION("""COMPUTED_VALUE"""),"Very Good")</f>
        <v>Very Good</v>
      </c>
      <c r="Z739" s="138" t="str">
        <f>IFERROR(__xludf.DUMMYFUNCTION("""COMPUTED_VALUE"""),"Fair")</f>
        <v>Fair</v>
      </c>
      <c r="AA739" s="138" t="str">
        <f>IFERROR(__xludf.DUMMYFUNCTION("""COMPUTED_VALUE"""),"Good")</f>
        <v>Good</v>
      </c>
      <c r="AB739" s="138" t="str">
        <f>IFERROR(__xludf.DUMMYFUNCTION("""COMPUTED_VALUE"""),"Fair")</f>
        <v>Fair</v>
      </c>
      <c r="AC739" s="139">
        <f>IFERROR(__xludf.DUMMYFUNCTION("""COMPUTED_VALUE"""),3.0)</f>
        <v>3</v>
      </c>
      <c r="AD739" s="139">
        <f>IFERROR(__xludf.DUMMYFUNCTION("""COMPUTED_VALUE"""),2.0)</f>
        <v>2</v>
      </c>
      <c r="AE739" s="139"/>
      <c r="AF739" s="140" t="str">
        <f>IFERROR(__xludf.DUMMYFUNCTION("""COMPUTED_VALUE"""),"No. I took delivery of the first car Tesla was able to deliver.")</f>
        <v>No. I took delivery of the first car Tesla was able to deliver.</v>
      </c>
      <c r="AG739" s="145"/>
      <c r="AH739" s="157">
        <f>IFERROR(__xludf.DUMMYFUNCTION("""COMPUTED_VALUE"""),44384.740766076386)</f>
        <v>44384.74077</v>
      </c>
      <c r="AI739" s="138"/>
      <c r="AJ739" s="138"/>
      <c r="AK739" s="138"/>
      <c r="AL739" s="142"/>
    </row>
    <row r="740" ht="20.25" customHeight="1">
      <c r="A740" s="155" t="str">
        <f>IFERROR(__xludf.DUMMYFUNCTION("""COMPUTED_VALUE"""),"akminnesota")</f>
        <v>akminnesota</v>
      </c>
      <c r="B740" s="149" t="str">
        <f>IFERROR(__xludf.DUMMYFUNCTION("""COMPUTED_VALUE"""),"Minneapolis")</f>
        <v>Minneapolis</v>
      </c>
      <c r="C740" s="149" t="str">
        <f>IFERROR(__xludf.DUMMYFUNCTION("""COMPUTED_VALUE"""),"MN")</f>
        <v>MN</v>
      </c>
      <c r="D740" s="149" t="str">
        <f>IFERROR(__xludf.DUMMYFUNCTION("""COMPUTED_VALUE"""),"USA")</f>
        <v>USA</v>
      </c>
      <c r="E740" s="156">
        <f>IFERROR(__xludf.DUMMYFUNCTION("""COMPUTED_VALUE"""),44330.0)</f>
        <v>44330</v>
      </c>
      <c r="F740" s="129">
        <f>IFERROR(__xludf.DUMMYFUNCTION("""COMPUTED_VALUE"""),44354.0)</f>
        <v>44354</v>
      </c>
      <c r="G740" s="154" t="str">
        <f>IFERROR(__xludf.DUMMYFUNCTION("""COMPUTED_VALUE"""),"Manage order page (normal text)")</f>
        <v>Manage order page (normal text)</v>
      </c>
      <c r="H740" s="131">
        <f>IFERROR(__xludf.DUMMYFUNCTION("""COMPUTED_VALUE"""),990855.0)</f>
        <v>990855</v>
      </c>
      <c r="I740" s="144" t="str">
        <f>IFERROR(__xludf.DUMMYFUNCTION("""COMPUTED_VALUE"""),"06/21")</f>
        <v>06/21</v>
      </c>
      <c r="J740" s="129">
        <f>IFERROR(__xludf.DUMMYFUNCTION("""COMPUTED_VALUE"""),44369.0)</f>
        <v>44369</v>
      </c>
      <c r="K740" s="133">
        <f>IFERROR(__xludf.DUMMYFUNCTION("""COMPUTED_VALUE"""),24.0)</f>
        <v>24</v>
      </c>
      <c r="L740" s="133">
        <f>IFERROR(__xludf.DUMMYFUNCTION("""COMPUTED_VALUE"""),15.0)</f>
        <v>15</v>
      </c>
      <c r="M740" s="133">
        <f>IFERROR(__xludf.DUMMYFUNCTION("""COMPUTED_VALUE"""),39.0)</f>
        <v>39</v>
      </c>
      <c r="N740" s="152" t="str">
        <f>IFERROR(__xludf.DUMMYFUNCTION("""COMPUTED_VALUE"""),"Model 3 Performance")</f>
        <v>Model 3 Performance</v>
      </c>
      <c r="O740" s="152" t="str">
        <f>IFERROR(__xludf.DUMMYFUNCTION("""COMPUTED_VALUE"""),"Solid Black")</f>
        <v>Solid Black</v>
      </c>
      <c r="P740" s="153" t="str">
        <f>IFERROR(__xludf.DUMMYFUNCTION("""COMPUTED_VALUE"""),"20 inch")</f>
        <v>20 inch</v>
      </c>
      <c r="Q740" s="152" t="str">
        <f>IFERROR(__xludf.DUMMYFUNCTION("""COMPUTED_VALUE"""),"All Black")</f>
        <v>All Black</v>
      </c>
      <c r="R740" s="149" t="str">
        <f>IFERROR(__xludf.DUMMYFUNCTION("""COMPUTED_VALUE"""),"Full Self-Driving")</f>
        <v>Full Self-Driving</v>
      </c>
      <c r="S740" s="149" t="str">
        <f>IFERROR(__xludf.DUMMYFUNCTION("""COMPUTED_VALUE"""),"Loan")</f>
        <v>Loan</v>
      </c>
      <c r="T740" s="145" t="str">
        <f>IFERROR(__xludf.DUMMYFUNCTION("""COMPUTED_VALUE"""),"Mazda3")</f>
        <v>Mazda3</v>
      </c>
      <c r="U740" s="145" t="str">
        <f>IFERROR(__xludf.DUMMYFUNCTION("""COMPUTED_VALUE"""),"Electric!")</f>
        <v>Electric!</v>
      </c>
      <c r="V740" s="145" t="str">
        <f>IFERROR(__xludf.DUMMYFUNCTION("""COMPUTED_VALUE"""),"Head-up display")</f>
        <v>Head-up display</v>
      </c>
      <c r="W740" s="145"/>
      <c r="X740" s="137" t="str">
        <f>IFERROR(__xludf.DUMMYFUNCTION("""COMPUTED_VALUE"""),"Very Good")</f>
        <v>Very Good</v>
      </c>
      <c r="Y740" s="138" t="str">
        <f>IFERROR(__xludf.DUMMYFUNCTION("""COMPUTED_VALUE"""),"Excellent")</f>
        <v>Excellent</v>
      </c>
      <c r="Z740" s="138" t="str">
        <f>IFERROR(__xludf.DUMMYFUNCTION("""COMPUTED_VALUE"""),"Very Good")</f>
        <v>Very Good</v>
      </c>
      <c r="AA740" s="138" t="str">
        <f>IFERROR(__xludf.DUMMYFUNCTION("""COMPUTED_VALUE"""),"Very Good")</f>
        <v>Very Good</v>
      </c>
      <c r="AB740" s="138" t="str">
        <f>IFERROR(__xludf.DUMMYFUNCTION("""COMPUTED_VALUE"""),"Very Good")</f>
        <v>Very Good</v>
      </c>
      <c r="AC740" s="139"/>
      <c r="AD740" s="139"/>
      <c r="AE740" s="139"/>
      <c r="AF740" s="140" t="str">
        <f>IFERROR(__xludf.DUMMYFUNCTION("""COMPUTED_VALUE"""),"No. I took delivery of the first car Tesla was able to deliver.")</f>
        <v>No. I took delivery of the first car Tesla was able to deliver.</v>
      </c>
      <c r="AG740" s="145"/>
      <c r="AH740" s="157">
        <f>IFERROR(__xludf.DUMMYFUNCTION("""COMPUTED_VALUE"""),44370.34757113426)</f>
        <v>44370.34757</v>
      </c>
      <c r="AI740" s="138"/>
      <c r="AJ740" s="138"/>
      <c r="AK740" s="138"/>
      <c r="AL740" s="142"/>
    </row>
    <row r="741" ht="20.25" customHeight="1">
      <c r="A741" s="155" t="str">
        <f>IFERROR(__xludf.DUMMYFUNCTION("""COMPUTED_VALUE"""),"anon")</f>
        <v>anon</v>
      </c>
      <c r="B741" s="149" t="str">
        <f>IFERROR(__xludf.DUMMYFUNCTION("""COMPUTED_VALUE"""),"socal")</f>
        <v>socal</v>
      </c>
      <c r="C741" s="149" t="str">
        <f>IFERROR(__xludf.DUMMYFUNCTION("""COMPUTED_VALUE"""),"CA")</f>
        <v>CA</v>
      </c>
      <c r="D741" s="149" t="str">
        <f>IFERROR(__xludf.DUMMYFUNCTION("""COMPUTED_VALUE"""),"USA")</f>
        <v>USA</v>
      </c>
      <c r="E741" s="156">
        <f>IFERROR(__xludf.DUMMYFUNCTION("""COMPUTED_VALUE"""),44330.0)</f>
        <v>44330</v>
      </c>
      <c r="F741" s="129">
        <f>IFERROR(__xludf.DUMMYFUNCTION("""COMPUTED_VALUE"""),44348.0)</f>
        <v>44348</v>
      </c>
      <c r="G741" s="154" t="str">
        <f>IFERROR(__xludf.DUMMYFUNCTION("""COMPUTED_VALUE"""),"Manage order page (normal text)")</f>
        <v>Manage order page (normal text)</v>
      </c>
      <c r="H741" s="131">
        <f>IFERROR(__xludf.DUMMYFUNCTION("""COMPUTED_VALUE"""),985555.0)</f>
        <v>985555</v>
      </c>
      <c r="I741" s="144" t="str">
        <f>IFERROR(__xludf.DUMMYFUNCTION("""COMPUTED_VALUE"""),"05/21")</f>
        <v>05/21</v>
      </c>
      <c r="J741" s="129">
        <f>IFERROR(__xludf.DUMMYFUNCTION("""COMPUTED_VALUE"""),44353.0)</f>
        <v>44353</v>
      </c>
      <c r="K741" s="133">
        <f>IFERROR(__xludf.DUMMYFUNCTION("""COMPUTED_VALUE"""),18.0)</f>
        <v>18</v>
      </c>
      <c r="L741" s="133">
        <f>IFERROR(__xludf.DUMMYFUNCTION("""COMPUTED_VALUE"""),5.0)</f>
        <v>5</v>
      </c>
      <c r="M741" s="133">
        <f>IFERROR(__xludf.DUMMYFUNCTION("""COMPUTED_VALUE"""),23.0)</f>
        <v>23</v>
      </c>
      <c r="N741" s="152" t="str">
        <f>IFERROR(__xludf.DUMMYFUNCTION("""COMPUTED_VALUE"""),"Model 3 SR+")</f>
        <v>Model 3 SR+</v>
      </c>
      <c r="O741" s="152" t="str">
        <f>IFERROR(__xludf.DUMMYFUNCTION("""COMPUTED_VALUE"""),"Pearl White Multi-Coat")</f>
        <v>Pearl White Multi-Coat</v>
      </c>
      <c r="P741" s="153" t="str">
        <f>IFERROR(__xludf.DUMMYFUNCTION("""COMPUTED_VALUE"""),"18 inch")</f>
        <v>18 inch</v>
      </c>
      <c r="Q741" s="152" t="str">
        <f>IFERROR(__xludf.DUMMYFUNCTION("""COMPUTED_VALUE"""),"All Black")</f>
        <v>All Black</v>
      </c>
      <c r="R741" s="149" t="str">
        <f>IFERROR(__xludf.DUMMYFUNCTION("""COMPUTED_VALUE"""),"Autopilot included")</f>
        <v>Autopilot included</v>
      </c>
      <c r="S741" s="149" t="str">
        <f>IFERROR(__xludf.DUMMYFUNCTION("""COMPUTED_VALUE"""),"Loan")</f>
        <v>Loan</v>
      </c>
      <c r="T741" s="145"/>
      <c r="U741" s="145" t="str">
        <f>IFERROR(__xludf.DUMMYFUNCTION("""COMPUTED_VALUE"""),"Autopilot")</f>
        <v>Autopilot</v>
      </c>
      <c r="V741" s="145" t="str">
        <f>IFERROR(__xludf.DUMMYFUNCTION("""COMPUTED_VALUE"""),"Head-up display")</f>
        <v>Head-up display</v>
      </c>
      <c r="W741" s="145"/>
      <c r="X741" s="137" t="str">
        <f>IFERROR(__xludf.DUMMYFUNCTION("""COMPUTED_VALUE"""),"Excellent")</f>
        <v>Excellent</v>
      </c>
      <c r="Y741" s="138" t="str">
        <f>IFERROR(__xludf.DUMMYFUNCTION("""COMPUTED_VALUE"""),"Excellent")</f>
        <v>Excellent</v>
      </c>
      <c r="Z741" s="138" t="str">
        <f>IFERROR(__xludf.DUMMYFUNCTION("""COMPUTED_VALUE"""),"Excellent")</f>
        <v>Excellent</v>
      </c>
      <c r="AA741" s="138" t="str">
        <f>IFERROR(__xludf.DUMMYFUNCTION("""COMPUTED_VALUE"""),"Good")</f>
        <v>Good</v>
      </c>
      <c r="AB741" s="138" t="str">
        <f>IFERROR(__xludf.DUMMYFUNCTION("""COMPUTED_VALUE"""),"Excellent")</f>
        <v>Excellent</v>
      </c>
      <c r="AC741" s="139"/>
      <c r="AD741" s="139"/>
      <c r="AE741" s="139"/>
      <c r="AF741" s="140" t="str">
        <f>IFERROR(__xludf.DUMMYFUNCTION("""COMPUTED_VALUE"""),"No. I took delivery of the first car Tesla was able to deliver.")</f>
        <v>No. I took delivery of the first car Tesla was able to deliver.</v>
      </c>
      <c r="AG741" s="145"/>
      <c r="AH741" s="157">
        <f>IFERROR(__xludf.DUMMYFUNCTION("""COMPUTED_VALUE"""),44353.02096630787)</f>
        <v>44353.02097</v>
      </c>
      <c r="AI741" s="138"/>
      <c r="AJ741" s="138"/>
      <c r="AK741" s="138"/>
      <c r="AL741" s="142"/>
    </row>
    <row r="742" ht="20.25" customHeight="1">
      <c r="A742" s="155" t="str">
        <f>IFERROR(__xludf.DUMMYFUNCTION("""COMPUTED_VALUE"""),"BaggedDev")</f>
        <v>BaggedDev</v>
      </c>
      <c r="B742" s="149" t="str">
        <f>IFERROR(__xludf.DUMMYFUNCTION("""COMPUTED_VALUE"""),"Dixfield")</f>
        <v>Dixfield</v>
      </c>
      <c r="C742" s="149" t="str">
        <f>IFERROR(__xludf.DUMMYFUNCTION("""COMPUTED_VALUE"""),"ME")</f>
        <v>ME</v>
      </c>
      <c r="D742" s="149" t="str">
        <f>IFERROR(__xludf.DUMMYFUNCTION("""COMPUTED_VALUE"""),"USA")</f>
        <v>USA</v>
      </c>
      <c r="E742" s="156">
        <f>IFERROR(__xludf.DUMMYFUNCTION("""COMPUTED_VALUE"""),44330.0)</f>
        <v>44330</v>
      </c>
      <c r="F742" s="129">
        <f>IFERROR(__xludf.DUMMYFUNCTION("""COMPUTED_VALUE"""),44365.0)</f>
        <v>44365</v>
      </c>
      <c r="G742" s="154" t="str">
        <f>IFERROR(__xludf.DUMMYFUNCTION("""COMPUTED_VALUE"""),"Email")</f>
        <v>Email</v>
      </c>
      <c r="H742" s="131">
        <f>IFERROR(__xludf.DUMMYFUNCTION("""COMPUTED_VALUE"""),989866.0)</f>
        <v>989866</v>
      </c>
      <c r="I742" s="144"/>
      <c r="J742" s="129">
        <f>IFERROR(__xludf.DUMMYFUNCTION("""COMPUTED_VALUE"""),44371.0)</f>
        <v>44371</v>
      </c>
      <c r="K742" s="133">
        <f>IFERROR(__xludf.DUMMYFUNCTION("""COMPUTED_VALUE"""),35.0)</f>
        <v>35</v>
      </c>
      <c r="L742" s="133">
        <f>IFERROR(__xludf.DUMMYFUNCTION("""COMPUTED_VALUE"""),6.0)</f>
        <v>6</v>
      </c>
      <c r="M742" s="133">
        <f>IFERROR(__xludf.DUMMYFUNCTION("""COMPUTED_VALUE"""),41.0)</f>
        <v>41</v>
      </c>
      <c r="N742" s="152" t="str">
        <f>IFERROR(__xludf.DUMMYFUNCTION("""COMPUTED_VALUE"""),"Model 3 SR+")</f>
        <v>Model 3 SR+</v>
      </c>
      <c r="O742" s="152" t="str">
        <f>IFERROR(__xludf.DUMMYFUNCTION("""COMPUTED_VALUE"""),"Pearl White Multi-Coat")</f>
        <v>Pearl White Multi-Coat</v>
      </c>
      <c r="P742" s="153" t="str">
        <f>IFERROR(__xludf.DUMMYFUNCTION("""COMPUTED_VALUE"""),"18 inch")</f>
        <v>18 inch</v>
      </c>
      <c r="Q742" s="152" t="str">
        <f>IFERROR(__xludf.DUMMYFUNCTION("""COMPUTED_VALUE"""),"Black and White")</f>
        <v>Black and White</v>
      </c>
      <c r="R742" s="149" t="str">
        <f>IFERROR(__xludf.DUMMYFUNCTION("""COMPUTED_VALUE"""),"Autopilot included")</f>
        <v>Autopilot included</v>
      </c>
      <c r="S742" s="149" t="str">
        <f>IFERROR(__xludf.DUMMYFUNCTION("""COMPUTED_VALUE"""),"Cash")</f>
        <v>Cash</v>
      </c>
      <c r="T742" s="145" t="str">
        <f>IFERROR(__xludf.DUMMYFUNCTION("""COMPUTED_VALUE"""),"Honda Civic")</f>
        <v>Honda Civic</v>
      </c>
      <c r="U742" s="145" t="str">
        <f>IFERROR(__xludf.DUMMYFUNCTION("""COMPUTED_VALUE"""),"Tesla brand image")</f>
        <v>Tesla brand image</v>
      </c>
      <c r="V742" s="145" t="str">
        <f>IFERROR(__xludf.DUMMYFUNCTION("""COMPUTED_VALUE"""),"Heated steering wheel")</f>
        <v>Heated steering wheel</v>
      </c>
      <c r="W742" s="145"/>
      <c r="X742" s="137" t="str">
        <f>IFERROR(__xludf.DUMMYFUNCTION("""COMPUTED_VALUE"""),"Excellent")</f>
        <v>Excellent</v>
      </c>
      <c r="Y742" s="138" t="str">
        <f>IFERROR(__xludf.DUMMYFUNCTION("""COMPUTED_VALUE"""),"Excellent")</f>
        <v>Excellent</v>
      </c>
      <c r="Z742" s="138" t="str">
        <f>IFERROR(__xludf.DUMMYFUNCTION("""COMPUTED_VALUE"""),"Excellent")</f>
        <v>Excellent</v>
      </c>
      <c r="AA742" s="138" t="str">
        <f>IFERROR(__xludf.DUMMYFUNCTION("""COMPUTED_VALUE"""),"Very Good")</f>
        <v>Very Good</v>
      </c>
      <c r="AB742" s="138" t="str">
        <f>IFERROR(__xludf.DUMMYFUNCTION("""COMPUTED_VALUE"""),"Excellent")</f>
        <v>Excellent</v>
      </c>
      <c r="AC742" s="139">
        <f>IFERROR(__xludf.DUMMYFUNCTION("""COMPUTED_VALUE"""),0.0)</f>
        <v>0</v>
      </c>
      <c r="AD742" s="139">
        <f>IFERROR(__xludf.DUMMYFUNCTION("""COMPUTED_VALUE"""),0.0)</f>
        <v>0</v>
      </c>
      <c r="AE742" s="139">
        <f>IFERROR(__xludf.DUMMYFUNCTION("""COMPUTED_VALUE"""),0.0)</f>
        <v>0</v>
      </c>
      <c r="AF742" s="140" t="str">
        <f>IFERROR(__xludf.DUMMYFUNCTION("""COMPUTED_VALUE"""),"No. I took delivery of the first car Tesla was able to deliver.")</f>
        <v>No. I took delivery of the first car Tesla was able to deliver.</v>
      </c>
      <c r="AG742" s="145"/>
      <c r="AH742" s="157">
        <f>IFERROR(__xludf.DUMMYFUNCTION("""COMPUTED_VALUE"""),44378.652307731485)</f>
        <v>44378.65231</v>
      </c>
      <c r="AI742" s="138"/>
      <c r="AJ742" s="138"/>
      <c r="AK742" s="138"/>
      <c r="AL742" s="142"/>
    </row>
    <row r="743" ht="20.25" customHeight="1">
      <c r="A743" s="155" t="str">
        <f>IFERROR(__xludf.DUMMYFUNCTION("""COMPUTED_VALUE"""),"Halifax")</f>
        <v>Halifax</v>
      </c>
      <c r="B743" s="149" t="str">
        <f>IFERROR(__xludf.DUMMYFUNCTION("""COMPUTED_VALUE"""),"St. Louis")</f>
        <v>St. Louis</v>
      </c>
      <c r="C743" s="149" t="str">
        <f>IFERROR(__xludf.DUMMYFUNCTION("""COMPUTED_VALUE"""),"MO")</f>
        <v>MO</v>
      </c>
      <c r="D743" s="149" t="str">
        <f>IFERROR(__xludf.DUMMYFUNCTION("""COMPUTED_VALUE"""),"USA")</f>
        <v>USA</v>
      </c>
      <c r="E743" s="156">
        <f>IFERROR(__xludf.DUMMYFUNCTION("""COMPUTED_VALUE"""),44330.0)</f>
        <v>44330</v>
      </c>
      <c r="F743" s="129">
        <f>IFERROR(__xludf.DUMMYFUNCTION("""COMPUTED_VALUE"""),44366.0)</f>
        <v>44366</v>
      </c>
      <c r="G743" s="154" t="str">
        <f>IFERROR(__xludf.DUMMYFUNCTION("""COMPUTED_VALUE"""),"Email")</f>
        <v>Email</v>
      </c>
      <c r="H743" s="131">
        <f>IFERROR(__xludf.DUMMYFUNCTION("""COMPUTED_VALUE"""),992155.0)</f>
        <v>992155</v>
      </c>
      <c r="I743" s="144"/>
      <c r="J743" s="129">
        <f>IFERROR(__xludf.DUMMYFUNCTION("""COMPUTED_VALUE"""),44379.0)</f>
        <v>44379</v>
      </c>
      <c r="K743" s="133">
        <f>IFERROR(__xludf.DUMMYFUNCTION("""COMPUTED_VALUE"""),36.0)</f>
        <v>36</v>
      </c>
      <c r="L743" s="133">
        <f>IFERROR(__xludf.DUMMYFUNCTION("""COMPUTED_VALUE"""),13.0)</f>
        <v>13</v>
      </c>
      <c r="M743" s="133">
        <f>IFERROR(__xludf.DUMMYFUNCTION("""COMPUTED_VALUE"""),49.0)</f>
        <v>49</v>
      </c>
      <c r="N743" s="152" t="str">
        <f>IFERROR(__xludf.DUMMYFUNCTION("""COMPUTED_VALUE"""),"Model 3 LR AWD")</f>
        <v>Model 3 LR AWD</v>
      </c>
      <c r="O743" s="152" t="str">
        <f>IFERROR(__xludf.DUMMYFUNCTION("""COMPUTED_VALUE"""),"Solid Black")</f>
        <v>Solid Black</v>
      </c>
      <c r="P743" s="153" t="str">
        <f>IFERROR(__xludf.DUMMYFUNCTION("""COMPUTED_VALUE"""),"18 inch")</f>
        <v>18 inch</v>
      </c>
      <c r="Q743" s="152" t="str">
        <f>IFERROR(__xludf.DUMMYFUNCTION("""COMPUTED_VALUE"""),"All Black")</f>
        <v>All Black</v>
      </c>
      <c r="R743" s="149" t="str">
        <f>IFERROR(__xludf.DUMMYFUNCTION("""COMPUTED_VALUE"""),"Autopilot included")</f>
        <v>Autopilot included</v>
      </c>
      <c r="S743" s="149" t="str">
        <f>IFERROR(__xludf.DUMMYFUNCTION("""COMPUTED_VALUE"""),"Cash")</f>
        <v>Cash</v>
      </c>
      <c r="T743" s="145" t="str">
        <f>IFERROR(__xludf.DUMMYFUNCTION("""COMPUTED_VALUE"""),"Ford Fusion")</f>
        <v>Ford Fusion</v>
      </c>
      <c r="U743" s="145" t="str">
        <f>IFERROR(__xludf.DUMMYFUNCTION("""COMPUTED_VALUE"""),"Electric!")</f>
        <v>Electric!</v>
      </c>
      <c r="V743" s="145" t="str">
        <f>IFERROR(__xludf.DUMMYFUNCTION("""COMPUTED_VALUE"""),"Ventilated seats")</f>
        <v>Ventilated seats</v>
      </c>
      <c r="W743" s="145"/>
      <c r="X743" s="137" t="str">
        <f>IFERROR(__xludf.DUMMYFUNCTION("""COMPUTED_VALUE"""),"Excellent")</f>
        <v>Excellent</v>
      </c>
      <c r="Y743" s="138" t="str">
        <f>IFERROR(__xludf.DUMMYFUNCTION("""COMPUTED_VALUE"""),"Very Good")</f>
        <v>Very Good</v>
      </c>
      <c r="Z743" s="138" t="str">
        <f>IFERROR(__xludf.DUMMYFUNCTION("""COMPUTED_VALUE"""),"Good")</f>
        <v>Good</v>
      </c>
      <c r="AA743" s="138" t="str">
        <f>IFERROR(__xludf.DUMMYFUNCTION("""COMPUTED_VALUE"""),"Fair")</f>
        <v>Fair</v>
      </c>
      <c r="AB743" s="138" t="str">
        <f>IFERROR(__xludf.DUMMYFUNCTION("""COMPUTED_VALUE"""),"Excellent")</f>
        <v>Excellent</v>
      </c>
      <c r="AC743" s="139">
        <f>IFERROR(__xludf.DUMMYFUNCTION("""COMPUTED_VALUE"""),3.0)</f>
        <v>3</v>
      </c>
      <c r="AD743" s="139">
        <f>IFERROR(__xludf.DUMMYFUNCTION("""COMPUTED_VALUE"""),1.0)</f>
        <v>1</v>
      </c>
      <c r="AE743" s="139"/>
      <c r="AF743" s="140" t="str">
        <f>IFERROR(__xludf.DUMMYFUNCTION("""COMPUTED_VALUE"""),"No. I took delivery of the first car Tesla was able to deliver.")</f>
        <v>No. I took delivery of the first car Tesla was able to deliver.</v>
      </c>
      <c r="AG743" s="145" t="str">
        <f>IFERROR(__xludf.DUMMYFUNCTION("""COMPUTED_VALUE"""),"Delivery date changed almost daily. Moved from end of June to late July, then 8-13 weeks, then got VIN and delivery estimate back to end of June.")</f>
        <v>Delivery date changed almost daily. Moved from end of June to late July, then 8-13 weeks, then got VIN and delivery estimate back to end of June.</v>
      </c>
      <c r="AH743" s="157">
        <f>IFERROR(__xludf.DUMMYFUNCTION("""COMPUTED_VALUE"""),44374.342817094905)</f>
        <v>44374.34282</v>
      </c>
      <c r="AI743" s="138"/>
      <c r="AJ743" s="138"/>
      <c r="AK743" s="138"/>
      <c r="AL743" s="142"/>
    </row>
    <row r="744" ht="20.25" customHeight="1">
      <c r="A744" s="155" t="str">
        <f>IFERROR(__xludf.DUMMYFUNCTION("""COMPUTED_VALUE"""),"SDBob")</f>
        <v>SDBob</v>
      </c>
      <c r="B744" s="149" t="str">
        <f>IFERROR(__xludf.DUMMYFUNCTION("""COMPUTED_VALUE"""),"Santee CA")</f>
        <v>Santee CA</v>
      </c>
      <c r="C744" s="149" t="str">
        <f>IFERROR(__xludf.DUMMYFUNCTION("""COMPUTED_VALUE"""),"CA")</f>
        <v>CA</v>
      </c>
      <c r="D744" s="149" t="str">
        <f>IFERROR(__xludf.DUMMYFUNCTION("""COMPUTED_VALUE"""),"USA")</f>
        <v>USA</v>
      </c>
      <c r="E744" s="156">
        <f>IFERROR(__xludf.DUMMYFUNCTION("""COMPUTED_VALUE"""),44330.0)</f>
        <v>44330</v>
      </c>
      <c r="F744" s="129">
        <f>IFERROR(__xludf.DUMMYFUNCTION("""COMPUTED_VALUE"""),44376.0)</f>
        <v>44376</v>
      </c>
      <c r="G744" s="154" t="str">
        <f>IFERROR(__xludf.DUMMYFUNCTION("""COMPUTED_VALUE"""),"Manage order page (normal text)")</f>
        <v>Manage order page (normal text)</v>
      </c>
      <c r="H744" s="131"/>
      <c r="I744" s="144"/>
      <c r="J744" s="129">
        <f>IFERROR(__xludf.DUMMYFUNCTION("""COMPUTED_VALUE"""),44377.0)</f>
        <v>44377</v>
      </c>
      <c r="K744" s="133">
        <f>IFERROR(__xludf.DUMMYFUNCTION("""COMPUTED_VALUE"""),46.0)</f>
        <v>46</v>
      </c>
      <c r="L744" s="133">
        <f>IFERROR(__xludf.DUMMYFUNCTION("""COMPUTED_VALUE"""),1.0)</f>
        <v>1</v>
      </c>
      <c r="M744" s="133">
        <f>IFERROR(__xludf.DUMMYFUNCTION("""COMPUTED_VALUE"""),47.0)</f>
        <v>47</v>
      </c>
      <c r="N744" s="152" t="str">
        <f>IFERROR(__xludf.DUMMYFUNCTION("""COMPUTED_VALUE"""),"Model 3 SR+")</f>
        <v>Model 3 SR+</v>
      </c>
      <c r="O744" s="152" t="str">
        <f>IFERROR(__xludf.DUMMYFUNCTION("""COMPUTED_VALUE"""),"Pearl White Multi-Coat")</f>
        <v>Pearl White Multi-Coat</v>
      </c>
      <c r="P744" s="153" t="str">
        <f>IFERROR(__xludf.DUMMYFUNCTION("""COMPUTED_VALUE"""),"18 inch")</f>
        <v>18 inch</v>
      </c>
      <c r="Q744" s="152" t="str">
        <f>IFERROR(__xludf.DUMMYFUNCTION("""COMPUTED_VALUE"""),"All Black")</f>
        <v>All Black</v>
      </c>
      <c r="R744" s="149" t="str">
        <f>IFERROR(__xludf.DUMMYFUNCTION("""COMPUTED_VALUE"""),"Autopilot included")</f>
        <v>Autopilot included</v>
      </c>
      <c r="S744" s="149" t="str">
        <f>IFERROR(__xludf.DUMMYFUNCTION("""COMPUTED_VALUE"""),"Loan")</f>
        <v>Loan</v>
      </c>
      <c r="T744" s="145" t="str">
        <f>IFERROR(__xludf.DUMMYFUNCTION("""COMPUTED_VALUE"""),"Honda Accord")</f>
        <v>Honda Accord</v>
      </c>
      <c r="U744" s="145" t="str">
        <f>IFERROR(__xludf.DUMMYFUNCTION("""COMPUTED_VALUE"""),"Tesla brand image")</f>
        <v>Tesla brand image</v>
      </c>
      <c r="V744" s="145" t="str">
        <f>IFERROR(__xludf.DUMMYFUNCTION("""COMPUTED_VALUE"""),"Apple CarPlay / Android Auto / SiriusXM Radio")</f>
        <v>Apple CarPlay / Android Auto / SiriusXM Radio</v>
      </c>
      <c r="W744" s="145" t="str">
        <f>IFERROR(__xludf.DUMMYFUNCTION("""COMPUTED_VALUE"""),"Patience")</f>
        <v>Patience</v>
      </c>
      <c r="X744" s="137" t="str">
        <f>IFERROR(__xludf.DUMMYFUNCTION("""COMPUTED_VALUE"""),"Excellent")</f>
        <v>Excellent</v>
      </c>
      <c r="Y744" s="138" t="str">
        <f>IFERROR(__xludf.DUMMYFUNCTION("""COMPUTED_VALUE"""),"Excellent")</f>
        <v>Excellent</v>
      </c>
      <c r="Z744" s="138" t="str">
        <f>IFERROR(__xludf.DUMMYFUNCTION("""COMPUTED_VALUE"""),"Excellent")</f>
        <v>Excellent</v>
      </c>
      <c r="AA744" s="138" t="str">
        <f>IFERROR(__xludf.DUMMYFUNCTION("""COMPUTED_VALUE"""),"Fair")</f>
        <v>Fair</v>
      </c>
      <c r="AB744" s="138" t="str">
        <f>IFERROR(__xludf.DUMMYFUNCTION("""COMPUTED_VALUE"""),"Excellent")</f>
        <v>Excellent</v>
      </c>
      <c r="AC744" s="139">
        <f>IFERROR(__xludf.DUMMYFUNCTION("""COMPUTED_VALUE"""),0.0)</f>
        <v>0</v>
      </c>
      <c r="AD744" s="139"/>
      <c r="AE744" s="139"/>
      <c r="AF744" s="140" t="str">
        <f>IFERROR(__xludf.DUMMYFUNCTION("""COMPUTED_VALUE"""),"No. I took delivery of the first car Tesla was able to deliver.")</f>
        <v>No. I took delivery of the first car Tesla was able to deliver.</v>
      </c>
      <c r="AG744" s="145"/>
      <c r="AH744" s="157">
        <f>IFERROR(__xludf.DUMMYFUNCTION("""COMPUTED_VALUE"""),44380.9232729051)</f>
        <v>44380.92327</v>
      </c>
      <c r="AI744" s="138"/>
      <c r="AJ744" s="138"/>
      <c r="AK744" s="138"/>
      <c r="AL744" s="142"/>
    </row>
    <row r="745" ht="20.25" customHeight="1">
      <c r="A745" s="155" t="str">
        <f>IFERROR(__xludf.DUMMYFUNCTION("""COMPUTED_VALUE"""),"btenison")</f>
        <v>btenison</v>
      </c>
      <c r="B745" s="149" t="str">
        <f>IFERROR(__xludf.DUMMYFUNCTION("""COMPUTED_VALUE"""),"Birmingham")</f>
        <v>Birmingham</v>
      </c>
      <c r="C745" s="149" t="str">
        <f>IFERROR(__xludf.DUMMYFUNCTION("""COMPUTED_VALUE"""),"AL")</f>
        <v>AL</v>
      </c>
      <c r="D745" s="149" t="str">
        <f>IFERROR(__xludf.DUMMYFUNCTION("""COMPUTED_VALUE"""),"USA")</f>
        <v>USA</v>
      </c>
      <c r="E745" s="156">
        <f>IFERROR(__xludf.DUMMYFUNCTION("""COMPUTED_VALUE"""),44329.0)</f>
        <v>44329</v>
      </c>
      <c r="F745" s="129">
        <f>IFERROR(__xludf.DUMMYFUNCTION("""COMPUTED_VALUE"""),44356.0)</f>
        <v>44356</v>
      </c>
      <c r="G745" s="154" t="str">
        <f>IFERROR(__xludf.DUMMYFUNCTION("""COMPUTED_VALUE"""),"Manage order page (normal text)")</f>
        <v>Manage order page (normal text)</v>
      </c>
      <c r="H745" s="131">
        <f>IFERROR(__xludf.DUMMYFUNCTION("""COMPUTED_VALUE"""),990255.0)</f>
        <v>990255</v>
      </c>
      <c r="I745" s="144" t="str">
        <f>IFERROR(__xludf.DUMMYFUNCTION("""COMPUTED_VALUE"""),"06/21")</f>
        <v>06/21</v>
      </c>
      <c r="J745" s="129">
        <f>IFERROR(__xludf.DUMMYFUNCTION("""COMPUTED_VALUE"""),44373.0)</f>
        <v>44373</v>
      </c>
      <c r="K745" s="133">
        <f>IFERROR(__xludf.DUMMYFUNCTION("""COMPUTED_VALUE"""),27.0)</f>
        <v>27</v>
      </c>
      <c r="L745" s="133">
        <f>IFERROR(__xludf.DUMMYFUNCTION("""COMPUTED_VALUE"""),17.0)</f>
        <v>17</v>
      </c>
      <c r="M745" s="133">
        <f>IFERROR(__xludf.DUMMYFUNCTION("""COMPUTED_VALUE"""),44.0)</f>
        <v>44</v>
      </c>
      <c r="N745" s="152" t="str">
        <f>IFERROR(__xludf.DUMMYFUNCTION("""COMPUTED_VALUE"""),"Model 3 LR AWD")</f>
        <v>Model 3 LR AWD</v>
      </c>
      <c r="O745" s="152" t="str">
        <f>IFERROR(__xludf.DUMMYFUNCTION("""COMPUTED_VALUE"""),"Deep Blue Metallic")</f>
        <v>Deep Blue Metallic</v>
      </c>
      <c r="P745" s="153" t="str">
        <f>IFERROR(__xludf.DUMMYFUNCTION("""COMPUTED_VALUE"""),"19 inch")</f>
        <v>19 inch</v>
      </c>
      <c r="Q745" s="152" t="str">
        <f>IFERROR(__xludf.DUMMYFUNCTION("""COMPUTED_VALUE"""),"Black and White")</f>
        <v>Black and White</v>
      </c>
      <c r="R745" s="149" t="str">
        <f>IFERROR(__xludf.DUMMYFUNCTION("""COMPUTED_VALUE"""),"Autopilot included")</f>
        <v>Autopilot included</v>
      </c>
      <c r="S745" s="149" t="str">
        <f>IFERROR(__xludf.DUMMYFUNCTION("""COMPUTED_VALUE"""),"Loan")</f>
        <v>Loan</v>
      </c>
      <c r="T745" s="145" t="str">
        <f>IFERROR(__xludf.DUMMYFUNCTION("""COMPUTED_VALUE"""),"Acura ILX")</f>
        <v>Acura ILX</v>
      </c>
      <c r="U745" s="145" t="str">
        <f>IFERROR(__xludf.DUMMYFUNCTION("""COMPUTED_VALUE"""),"Autopilot")</f>
        <v>Autopilot</v>
      </c>
      <c r="V745" s="145" t="str">
        <f>IFERROR(__xludf.DUMMYFUNCTION("""COMPUTED_VALUE"""),"360° Bird's eye view")</f>
        <v>360° Bird's eye view</v>
      </c>
      <c r="W745" s="145"/>
      <c r="X745" s="137" t="str">
        <f>IFERROR(__xludf.DUMMYFUNCTION("""COMPUTED_VALUE"""),"Excellent")</f>
        <v>Excellent</v>
      </c>
      <c r="Y745" s="138" t="str">
        <f>IFERROR(__xludf.DUMMYFUNCTION("""COMPUTED_VALUE"""),"Excellent")</f>
        <v>Excellent</v>
      </c>
      <c r="Z745" s="138" t="str">
        <f>IFERROR(__xludf.DUMMYFUNCTION("""COMPUTED_VALUE"""),"Very Good")</f>
        <v>Very Good</v>
      </c>
      <c r="AA745" s="138" t="str">
        <f>IFERROR(__xludf.DUMMYFUNCTION("""COMPUTED_VALUE"""),"Fair")</f>
        <v>Fair</v>
      </c>
      <c r="AB745" s="138" t="str">
        <f>IFERROR(__xludf.DUMMYFUNCTION("""COMPUTED_VALUE"""),"Excellent")</f>
        <v>Excellent</v>
      </c>
      <c r="AC745" s="139">
        <f>IFERROR(__xludf.DUMMYFUNCTION("""COMPUTED_VALUE"""),0.0)</f>
        <v>0</v>
      </c>
      <c r="AD745" s="139">
        <f>IFERROR(__xludf.DUMMYFUNCTION("""COMPUTED_VALUE"""),0.0)</f>
        <v>0</v>
      </c>
      <c r="AE745" s="139">
        <f>IFERROR(__xludf.DUMMYFUNCTION("""COMPUTED_VALUE"""),0.0)</f>
        <v>0</v>
      </c>
      <c r="AF745" s="140" t="str">
        <f>IFERROR(__xludf.DUMMYFUNCTION("""COMPUTED_VALUE"""),"No. I took delivery of the first car Tesla was able to deliver.")</f>
        <v>No. I took delivery of the first car Tesla was able to deliver.</v>
      </c>
      <c r="AG745" s="145"/>
      <c r="AH745" s="157">
        <f>IFERROR(__xludf.DUMMYFUNCTION("""COMPUTED_VALUE"""),44373.86747230324)</f>
        <v>44373.86747</v>
      </c>
      <c r="AI745" s="138"/>
      <c r="AJ745" s="138"/>
      <c r="AK745" s="138"/>
      <c r="AL745" s="142"/>
    </row>
    <row r="746" ht="20.25" customHeight="1">
      <c r="A746" s="155" t="str">
        <f>IFERROR(__xludf.DUMMYFUNCTION("""COMPUTED_VALUE"""),"Snikt")</f>
        <v>Snikt</v>
      </c>
      <c r="B746" s="149" t="str">
        <f>IFERROR(__xludf.DUMMYFUNCTION("""COMPUTED_VALUE"""),"Denver")</f>
        <v>Denver</v>
      </c>
      <c r="C746" s="149" t="str">
        <f>IFERROR(__xludf.DUMMYFUNCTION("""COMPUTED_VALUE"""),"CO")</f>
        <v>CO</v>
      </c>
      <c r="D746" s="149" t="str">
        <f>IFERROR(__xludf.DUMMYFUNCTION("""COMPUTED_VALUE"""),"USA")</f>
        <v>USA</v>
      </c>
      <c r="E746" s="156">
        <f>IFERROR(__xludf.DUMMYFUNCTION("""COMPUTED_VALUE"""),44329.0)</f>
        <v>44329</v>
      </c>
      <c r="F746" s="129">
        <f>IFERROR(__xludf.DUMMYFUNCTION("""COMPUTED_VALUE"""),44368.0)</f>
        <v>44368</v>
      </c>
      <c r="G746" s="154" t="str">
        <f>IFERROR(__xludf.DUMMYFUNCTION("""COMPUTED_VALUE"""),"Manage order page (normal text)")</f>
        <v>Manage order page (normal text)</v>
      </c>
      <c r="H746" s="131">
        <f>IFERROR(__xludf.DUMMYFUNCTION("""COMPUTED_VALUE"""),998555.0)</f>
        <v>998555</v>
      </c>
      <c r="I746" s="144" t="str">
        <f>IFERROR(__xludf.DUMMYFUNCTION("""COMPUTED_VALUE"""),"06/21")</f>
        <v>06/21</v>
      </c>
      <c r="J746" s="129">
        <f>IFERROR(__xludf.DUMMYFUNCTION("""COMPUTED_VALUE"""),44373.0)</f>
        <v>44373</v>
      </c>
      <c r="K746" s="133">
        <f>IFERROR(__xludf.DUMMYFUNCTION("""COMPUTED_VALUE"""),39.0)</f>
        <v>39</v>
      </c>
      <c r="L746" s="133">
        <f>IFERROR(__xludf.DUMMYFUNCTION("""COMPUTED_VALUE"""),5.0)</f>
        <v>5</v>
      </c>
      <c r="M746" s="133">
        <f>IFERROR(__xludf.DUMMYFUNCTION("""COMPUTED_VALUE"""),44.0)</f>
        <v>44</v>
      </c>
      <c r="N746" s="152" t="str">
        <f>IFERROR(__xludf.DUMMYFUNCTION("""COMPUTED_VALUE"""),"Model 3 LR AWD")</f>
        <v>Model 3 LR AWD</v>
      </c>
      <c r="O746" s="152" t="str">
        <f>IFERROR(__xludf.DUMMYFUNCTION("""COMPUTED_VALUE"""),"Deep Blue Metallic")</f>
        <v>Deep Blue Metallic</v>
      </c>
      <c r="P746" s="153" t="str">
        <f>IFERROR(__xludf.DUMMYFUNCTION("""COMPUTED_VALUE"""),"18 inch")</f>
        <v>18 inch</v>
      </c>
      <c r="Q746" s="152" t="str">
        <f>IFERROR(__xludf.DUMMYFUNCTION("""COMPUTED_VALUE"""),"All Black")</f>
        <v>All Black</v>
      </c>
      <c r="R746" s="149" t="str">
        <f>IFERROR(__xludf.DUMMYFUNCTION("""COMPUTED_VALUE"""),"Autopilot included")</f>
        <v>Autopilot included</v>
      </c>
      <c r="S746" s="149"/>
      <c r="T746" s="145"/>
      <c r="U746" s="145"/>
      <c r="V746" s="145"/>
      <c r="W746" s="145"/>
      <c r="X746" s="137" t="str">
        <f>IFERROR(__xludf.DUMMYFUNCTION("""COMPUTED_VALUE"""),"Excellent")</f>
        <v>Excellent</v>
      </c>
      <c r="Y746" s="138" t="str">
        <f>IFERROR(__xludf.DUMMYFUNCTION("""COMPUTED_VALUE"""),"Excellent")</f>
        <v>Excellent</v>
      </c>
      <c r="Z746" s="138" t="str">
        <f>IFERROR(__xludf.DUMMYFUNCTION("""COMPUTED_VALUE"""),"Excellent")</f>
        <v>Excellent</v>
      </c>
      <c r="AA746" s="138" t="str">
        <f>IFERROR(__xludf.DUMMYFUNCTION("""COMPUTED_VALUE"""),"Excellent")</f>
        <v>Excellent</v>
      </c>
      <c r="AB746" s="138" t="str">
        <f>IFERROR(__xludf.DUMMYFUNCTION("""COMPUTED_VALUE"""),"Excellent")</f>
        <v>Excellent</v>
      </c>
      <c r="AC746" s="139"/>
      <c r="AD746" s="139"/>
      <c r="AE746" s="139"/>
      <c r="AF746" s="140"/>
      <c r="AG746" s="145"/>
      <c r="AH746" s="157">
        <f>IFERROR(__xludf.DUMMYFUNCTION("""COMPUTED_VALUE"""),44375.414171226854)</f>
        <v>44375.41417</v>
      </c>
      <c r="AI746" s="138"/>
      <c r="AJ746" s="138"/>
      <c r="AK746" s="138"/>
      <c r="AL746" s="142"/>
    </row>
    <row r="747" ht="20.25" customHeight="1">
      <c r="A747" s="155" t="str">
        <f>IFERROR(__xludf.DUMMYFUNCTION("""COMPUTED_VALUE"""),"Timaa66")</f>
        <v>Timaa66</v>
      </c>
      <c r="B747" s="149" t="str">
        <f>IFERROR(__xludf.DUMMYFUNCTION("""COMPUTED_VALUE"""),"Fort Worth")</f>
        <v>Fort Worth</v>
      </c>
      <c r="C747" s="149" t="str">
        <f>IFERROR(__xludf.DUMMYFUNCTION("""COMPUTED_VALUE"""),"TX")</f>
        <v>TX</v>
      </c>
      <c r="D747" s="149" t="str">
        <f>IFERROR(__xludf.DUMMYFUNCTION("""COMPUTED_VALUE"""),"USA")</f>
        <v>USA</v>
      </c>
      <c r="E747" s="156">
        <f>IFERROR(__xludf.DUMMYFUNCTION("""COMPUTED_VALUE"""),44329.0)</f>
        <v>44329</v>
      </c>
      <c r="F747" s="129">
        <f>IFERROR(__xludf.DUMMYFUNCTION("""COMPUTED_VALUE"""),44363.0)</f>
        <v>44363</v>
      </c>
      <c r="G747" s="154" t="str">
        <f>IFERROR(__xludf.DUMMYFUNCTION("""COMPUTED_VALUE"""),"Manage order page (normal text)")</f>
        <v>Manage order page (normal text)</v>
      </c>
      <c r="H747" s="131">
        <f>IFERROR(__xludf.DUMMYFUNCTION("""COMPUTED_VALUE"""),994805.0)</f>
        <v>994805</v>
      </c>
      <c r="I747" s="144"/>
      <c r="J747" s="129">
        <f>IFERROR(__xludf.DUMMYFUNCTION("""COMPUTED_VALUE"""),44375.0)</f>
        <v>44375</v>
      </c>
      <c r="K747" s="133">
        <f>IFERROR(__xludf.DUMMYFUNCTION("""COMPUTED_VALUE"""),34.0)</f>
        <v>34</v>
      </c>
      <c r="L747" s="133">
        <f>IFERROR(__xludf.DUMMYFUNCTION("""COMPUTED_VALUE"""),12.0)</f>
        <v>12</v>
      </c>
      <c r="M747" s="133">
        <f>IFERROR(__xludf.DUMMYFUNCTION("""COMPUTED_VALUE"""),46.0)</f>
        <v>46</v>
      </c>
      <c r="N747" s="152" t="str">
        <f>IFERROR(__xludf.DUMMYFUNCTION("""COMPUTED_VALUE"""),"Model 3 SR+")</f>
        <v>Model 3 SR+</v>
      </c>
      <c r="O747" s="152" t="str">
        <f>IFERROR(__xludf.DUMMYFUNCTION("""COMPUTED_VALUE"""),"Pearl White Multi-Coat")</f>
        <v>Pearl White Multi-Coat</v>
      </c>
      <c r="P747" s="153" t="str">
        <f>IFERROR(__xludf.DUMMYFUNCTION("""COMPUTED_VALUE"""),"18 inch")</f>
        <v>18 inch</v>
      </c>
      <c r="Q747" s="152" t="str">
        <f>IFERROR(__xludf.DUMMYFUNCTION("""COMPUTED_VALUE"""),"All Black")</f>
        <v>All Black</v>
      </c>
      <c r="R747" s="149" t="str">
        <f>IFERROR(__xludf.DUMMYFUNCTION("""COMPUTED_VALUE"""),"Autopilot included")</f>
        <v>Autopilot included</v>
      </c>
      <c r="S747" s="149"/>
      <c r="T747" s="145"/>
      <c r="U747" s="145"/>
      <c r="V747" s="145"/>
      <c r="W747" s="145"/>
      <c r="X747" s="137" t="str">
        <f>IFERROR(__xludf.DUMMYFUNCTION("""COMPUTED_VALUE"""),"Excellent")</f>
        <v>Excellent</v>
      </c>
      <c r="Y747" s="138" t="str">
        <f>IFERROR(__xludf.DUMMYFUNCTION("""COMPUTED_VALUE"""),"Very Good")</f>
        <v>Very Good</v>
      </c>
      <c r="Z747" s="138" t="str">
        <f>IFERROR(__xludf.DUMMYFUNCTION("""COMPUTED_VALUE"""),"Excellent")</f>
        <v>Excellent</v>
      </c>
      <c r="AA747" s="138" t="str">
        <f>IFERROR(__xludf.DUMMYFUNCTION("""COMPUTED_VALUE"""),"Fair")</f>
        <v>Fair</v>
      </c>
      <c r="AB747" s="138" t="str">
        <f>IFERROR(__xludf.DUMMYFUNCTION("""COMPUTED_VALUE"""),"Excellent")</f>
        <v>Excellent</v>
      </c>
      <c r="AC747" s="139"/>
      <c r="AD747" s="139"/>
      <c r="AE747" s="139"/>
      <c r="AF747" s="140" t="str">
        <f>IFERROR(__xludf.DUMMYFUNCTION("""COMPUTED_VALUE"""),"No. I took delivery of the first car Tesla was able to deliver.")</f>
        <v>No. I took delivery of the first car Tesla was able to deliver.</v>
      </c>
      <c r="AG747" s="145"/>
      <c r="AH747" s="157">
        <f>IFERROR(__xludf.DUMMYFUNCTION("""COMPUTED_VALUE"""),44375.601391296295)</f>
        <v>44375.60139</v>
      </c>
      <c r="AI747" s="138"/>
      <c r="AJ747" s="138"/>
      <c r="AK747" s="138"/>
      <c r="AL747" s="142"/>
    </row>
    <row r="748" ht="20.25" customHeight="1">
      <c r="A748" s="155" t="str">
        <f>IFERROR(__xludf.DUMMYFUNCTION("""COMPUTED_VALUE"""),"iamisaiahwalker")</f>
        <v>iamisaiahwalker</v>
      </c>
      <c r="B748" s="149"/>
      <c r="C748" s="149" t="str">
        <f>IFERROR(__xludf.DUMMYFUNCTION("""COMPUTED_VALUE"""),"TX")</f>
        <v>TX</v>
      </c>
      <c r="D748" s="149" t="str">
        <f>IFERROR(__xludf.DUMMYFUNCTION("""COMPUTED_VALUE"""),"USA")</f>
        <v>USA</v>
      </c>
      <c r="E748" s="156">
        <f>IFERROR(__xludf.DUMMYFUNCTION("""COMPUTED_VALUE"""),44328.0)</f>
        <v>44328</v>
      </c>
      <c r="F748" s="129">
        <f>IFERROR(__xludf.DUMMYFUNCTION("""COMPUTED_VALUE"""),44357.0)</f>
        <v>44357</v>
      </c>
      <c r="G748" s="154" t="str">
        <f>IFERROR(__xludf.DUMMYFUNCTION("""COMPUTED_VALUE"""),"Manage order page (normal text)")</f>
        <v>Manage order page (normal text)</v>
      </c>
      <c r="H748" s="131">
        <f>IFERROR(__xludf.DUMMYFUNCTION("""COMPUTED_VALUE"""),992853.0)</f>
        <v>992853</v>
      </c>
      <c r="I748" s="144" t="str">
        <f>IFERROR(__xludf.DUMMYFUNCTION("""COMPUTED_VALUE"""),"06/21")</f>
        <v>06/21</v>
      </c>
      <c r="J748" s="129">
        <f>IFERROR(__xludf.DUMMYFUNCTION("""COMPUTED_VALUE"""),44373.0)</f>
        <v>44373</v>
      </c>
      <c r="K748" s="133">
        <f>IFERROR(__xludf.DUMMYFUNCTION("""COMPUTED_VALUE"""),29.0)</f>
        <v>29</v>
      </c>
      <c r="L748" s="133">
        <f>IFERROR(__xludf.DUMMYFUNCTION("""COMPUTED_VALUE"""),16.0)</f>
        <v>16</v>
      </c>
      <c r="M748" s="133">
        <f>IFERROR(__xludf.DUMMYFUNCTION("""COMPUTED_VALUE"""),45.0)</f>
        <v>45</v>
      </c>
      <c r="N748" s="152" t="str">
        <f>IFERROR(__xludf.DUMMYFUNCTION("""COMPUTED_VALUE"""),"Model 3 LR AWD")</f>
        <v>Model 3 LR AWD</v>
      </c>
      <c r="O748" s="152" t="str">
        <f>IFERROR(__xludf.DUMMYFUNCTION("""COMPUTED_VALUE"""),"Midnight Silver Metallic")</f>
        <v>Midnight Silver Metallic</v>
      </c>
      <c r="P748" s="153" t="str">
        <f>IFERROR(__xludf.DUMMYFUNCTION("""COMPUTED_VALUE"""),"18 inch")</f>
        <v>18 inch</v>
      </c>
      <c r="Q748" s="152" t="str">
        <f>IFERROR(__xludf.DUMMYFUNCTION("""COMPUTED_VALUE"""),"Black and White")</f>
        <v>Black and White</v>
      </c>
      <c r="R748" s="149" t="str">
        <f>IFERROR(__xludf.DUMMYFUNCTION("""COMPUTED_VALUE"""),"Full Self-Driving")</f>
        <v>Full Self-Driving</v>
      </c>
      <c r="S748" s="149" t="str">
        <f>IFERROR(__xludf.DUMMYFUNCTION("""COMPUTED_VALUE"""),"Lease")</f>
        <v>Lease</v>
      </c>
      <c r="T748" s="145"/>
      <c r="U748" s="145" t="str">
        <f>IFERROR(__xludf.DUMMYFUNCTION("""COMPUTED_VALUE"""),"Electric!")</f>
        <v>Electric!</v>
      </c>
      <c r="V748" s="145" t="str">
        <f>IFERROR(__xludf.DUMMYFUNCTION("""COMPUTED_VALUE"""),"More music streaming services")</f>
        <v>More music streaming services</v>
      </c>
      <c r="W748" s="145"/>
      <c r="X748" s="137" t="str">
        <f>IFERROR(__xludf.DUMMYFUNCTION("""COMPUTED_VALUE"""),"Excellent")</f>
        <v>Excellent</v>
      </c>
      <c r="Y748" s="138" t="str">
        <f>IFERROR(__xludf.DUMMYFUNCTION("""COMPUTED_VALUE"""),"Excellent")</f>
        <v>Excellent</v>
      </c>
      <c r="Z748" s="138" t="str">
        <f>IFERROR(__xludf.DUMMYFUNCTION("""COMPUTED_VALUE"""),"Excellent")</f>
        <v>Excellent</v>
      </c>
      <c r="AA748" s="138" t="str">
        <f>IFERROR(__xludf.DUMMYFUNCTION("""COMPUTED_VALUE"""),"Fair")</f>
        <v>Fair</v>
      </c>
      <c r="AB748" s="138" t="str">
        <f>IFERROR(__xludf.DUMMYFUNCTION("""COMPUTED_VALUE"""),"Excellent")</f>
        <v>Excellent</v>
      </c>
      <c r="AC748" s="139"/>
      <c r="AD748" s="139"/>
      <c r="AE748" s="139"/>
      <c r="AF748" s="140" t="str">
        <f>IFERROR(__xludf.DUMMYFUNCTION("""COMPUTED_VALUE"""),"No. I took delivery of the first car Tesla was able to deliver.")</f>
        <v>No. I took delivery of the first car Tesla was able to deliver.</v>
      </c>
      <c r="AG748" s="145"/>
      <c r="AH748" s="157">
        <f>IFERROR(__xludf.DUMMYFUNCTION("""COMPUTED_VALUE"""),44376.54903763889)</f>
        <v>44376.54904</v>
      </c>
      <c r="AI748" s="138"/>
      <c r="AJ748" s="138"/>
      <c r="AK748" s="138"/>
      <c r="AL748" s="142"/>
    </row>
    <row r="749" ht="20.25" customHeight="1">
      <c r="A749" s="155" t="str">
        <f>IFERROR(__xludf.DUMMYFUNCTION("""COMPUTED_VALUE"""),"LaneDS")</f>
        <v>LaneDS</v>
      </c>
      <c r="B749" s="149"/>
      <c r="C749" s="149" t="str">
        <f>IFERROR(__xludf.DUMMYFUNCTION("""COMPUTED_VALUE"""),"VA")</f>
        <v>VA</v>
      </c>
      <c r="D749" s="149" t="str">
        <f>IFERROR(__xludf.DUMMYFUNCTION("""COMPUTED_VALUE"""),"USA")</f>
        <v>USA</v>
      </c>
      <c r="E749" s="156">
        <f>IFERROR(__xludf.DUMMYFUNCTION("""COMPUTED_VALUE"""),44328.0)</f>
        <v>44328</v>
      </c>
      <c r="F749" s="129">
        <f>IFERROR(__xludf.DUMMYFUNCTION("""COMPUTED_VALUE"""),44395.0)</f>
        <v>44395</v>
      </c>
      <c r="G749" s="154" t="str">
        <f>IFERROR(__xludf.DUMMYFUNCTION("""COMPUTED_VALUE"""),"Email")</f>
        <v>Email</v>
      </c>
      <c r="H749" s="131"/>
      <c r="I749" s="144"/>
      <c r="J749" s="129">
        <f>IFERROR(__xludf.DUMMYFUNCTION("""COMPUTED_VALUE"""),44408.0)</f>
        <v>44408</v>
      </c>
      <c r="K749" s="133">
        <f>IFERROR(__xludf.DUMMYFUNCTION("""COMPUTED_VALUE"""),67.0)</f>
        <v>67</v>
      </c>
      <c r="L749" s="133">
        <f>IFERROR(__xludf.DUMMYFUNCTION("""COMPUTED_VALUE"""),13.0)</f>
        <v>13</v>
      </c>
      <c r="M749" s="133">
        <f>IFERROR(__xludf.DUMMYFUNCTION("""COMPUTED_VALUE"""),80.0)</f>
        <v>80</v>
      </c>
      <c r="N749" s="152" t="str">
        <f>IFERROR(__xludf.DUMMYFUNCTION("""COMPUTED_VALUE"""),"Model 3 LR AWD")</f>
        <v>Model 3 LR AWD</v>
      </c>
      <c r="O749" s="152" t="str">
        <f>IFERROR(__xludf.DUMMYFUNCTION("""COMPUTED_VALUE"""),"Midnight Silver Metallic")</f>
        <v>Midnight Silver Metallic</v>
      </c>
      <c r="P749" s="153" t="str">
        <f>IFERROR(__xludf.DUMMYFUNCTION("""COMPUTED_VALUE"""),"18 inch")</f>
        <v>18 inch</v>
      </c>
      <c r="Q749" s="152" t="str">
        <f>IFERROR(__xludf.DUMMYFUNCTION("""COMPUTED_VALUE"""),"All Black")</f>
        <v>All Black</v>
      </c>
      <c r="R749" s="149" t="str">
        <f>IFERROR(__xludf.DUMMYFUNCTION("""COMPUTED_VALUE"""),"Autopilot included")</f>
        <v>Autopilot included</v>
      </c>
      <c r="S749" s="149"/>
      <c r="T749" s="145"/>
      <c r="U749" s="145"/>
      <c r="V749" s="145"/>
      <c r="W749" s="145"/>
      <c r="X749" s="137" t="str">
        <f>IFERROR(__xludf.DUMMYFUNCTION("""COMPUTED_VALUE"""),"Very Good")</f>
        <v>Very Good</v>
      </c>
      <c r="Y749" s="138" t="str">
        <f>IFERROR(__xludf.DUMMYFUNCTION("""COMPUTED_VALUE"""),"Very Good")</f>
        <v>Very Good</v>
      </c>
      <c r="Z749" s="138" t="str">
        <f>IFERROR(__xludf.DUMMYFUNCTION("""COMPUTED_VALUE"""),"Excellent")</f>
        <v>Excellent</v>
      </c>
      <c r="AA749" s="138" t="str">
        <f>IFERROR(__xludf.DUMMYFUNCTION("""COMPUTED_VALUE"""),"Poor")</f>
        <v>Poor</v>
      </c>
      <c r="AB749" s="138" t="str">
        <f>IFERROR(__xludf.DUMMYFUNCTION("""COMPUTED_VALUE"""),"Poor")</f>
        <v>Poor</v>
      </c>
      <c r="AC749" s="139"/>
      <c r="AD749" s="139"/>
      <c r="AE749" s="139"/>
      <c r="AF749" s="140" t="str">
        <f>IFERROR(__xludf.DUMMYFUNCTION("""COMPUTED_VALUE"""),"No. I took delivery of the first car Tesla was able to deliver.")</f>
        <v>No. I took delivery of the first car Tesla was able to deliver.</v>
      </c>
      <c r="AG749" s="145"/>
      <c r="AH749" s="157">
        <f>IFERROR(__xludf.DUMMYFUNCTION("""COMPUTED_VALUE"""),44414.53332296296)</f>
        <v>44414.53332</v>
      </c>
      <c r="AI749" s="138"/>
      <c r="AJ749" s="138"/>
      <c r="AK749" s="138"/>
      <c r="AL749" s="142"/>
    </row>
    <row r="750" ht="20.25" customHeight="1">
      <c r="A750" s="155" t="str">
        <f>IFERROR(__xludf.DUMMYFUNCTION("""COMPUTED_VALUE"""),"masaokun")</f>
        <v>masaokun</v>
      </c>
      <c r="B750" s="149" t="str">
        <f>IFERROR(__xludf.DUMMYFUNCTION("""COMPUTED_VALUE"""),"Austin")</f>
        <v>Austin</v>
      </c>
      <c r="C750" s="149" t="str">
        <f>IFERROR(__xludf.DUMMYFUNCTION("""COMPUTED_VALUE"""),"TX")</f>
        <v>TX</v>
      </c>
      <c r="D750" s="149" t="str">
        <f>IFERROR(__xludf.DUMMYFUNCTION("""COMPUTED_VALUE"""),"USA")</f>
        <v>USA</v>
      </c>
      <c r="E750" s="156">
        <f>IFERROR(__xludf.DUMMYFUNCTION("""COMPUTED_VALUE"""),44328.0)</f>
        <v>44328</v>
      </c>
      <c r="F750" s="129">
        <f>IFERROR(__xludf.DUMMYFUNCTION("""COMPUTED_VALUE"""),44348.0)</f>
        <v>44348</v>
      </c>
      <c r="G750" s="154" t="str">
        <f>IFERROR(__xludf.DUMMYFUNCTION("""COMPUTED_VALUE"""),"Manage order page (normal text)")</f>
        <v>Manage order page (normal text)</v>
      </c>
      <c r="H750" s="131"/>
      <c r="I750" s="144" t="str">
        <f>IFERROR(__xludf.DUMMYFUNCTION("""COMPUTED_VALUE"""),"06/21")</f>
        <v>06/21</v>
      </c>
      <c r="J750" s="129">
        <f>IFERROR(__xludf.DUMMYFUNCTION("""COMPUTED_VALUE"""),44361.0)</f>
        <v>44361</v>
      </c>
      <c r="K750" s="133">
        <f>IFERROR(__xludf.DUMMYFUNCTION("""COMPUTED_VALUE"""),20.0)</f>
        <v>20</v>
      </c>
      <c r="L750" s="133">
        <f>IFERROR(__xludf.DUMMYFUNCTION("""COMPUTED_VALUE"""),13.0)</f>
        <v>13</v>
      </c>
      <c r="M750" s="133">
        <f>IFERROR(__xludf.DUMMYFUNCTION("""COMPUTED_VALUE"""),33.0)</f>
        <v>33</v>
      </c>
      <c r="N750" s="152" t="str">
        <f>IFERROR(__xludf.DUMMYFUNCTION("""COMPUTED_VALUE"""),"Model 3 LR AWD")</f>
        <v>Model 3 LR AWD</v>
      </c>
      <c r="O750" s="152" t="str">
        <f>IFERROR(__xludf.DUMMYFUNCTION("""COMPUTED_VALUE"""),"Deep Blue Metallic")</f>
        <v>Deep Blue Metallic</v>
      </c>
      <c r="P750" s="153" t="str">
        <f>IFERROR(__xludf.DUMMYFUNCTION("""COMPUTED_VALUE"""),"18 inch")</f>
        <v>18 inch</v>
      </c>
      <c r="Q750" s="152" t="str">
        <f>IFERROR(__xludf.DUMMYFUNCTION("""COMPUTED_VALUE"""),"All Black")</f>
        <v>All Black</v>
      </c>
      <c r="R750" s="149" t="str">
        <f>IFERROR(__xludf.DUMMYFUNCTION("""COMPUTED_VALUE"""),"Autopilot included")</f>
        <v>Autopilot included</v>
      </c>
      <c r="S750" s="149" t="str">
        <f>IFERROR(__xludf.DUMMYFUNCTION("""COMPUTED_VALUE"""),"Loan")</f>
        <v>Loan</v>
      </c>
      <c r="T750" s="145" t="str">
        <f>IFERROR(__xludf.DUMMYFUNCTION("""COMPUTED_VALUE"""),"Toyota Prius")</f>
        <v>Toyota Prius</v>
      </c>
      <c r="U750" s="145" t="str">
        <f>IFERROR(__xludf.DUMMYFUNCTION("""COMPUTED_VALUE"""),"Electric!")</f>
        <v>Electric!</v>
      </c>
      <c r="V750" s="145" t="str">
        <f>IFERROR(__xludf.DUMMYFUNCTION("""COMPUTED_VALUE"""),"Apple CarPlay / Android Auto / SiriusXM Radio")</f>
        <v>Apple CarPlay / Android Auto / SiriusXM Radio</v>
      </c>
      <c r="W750" s="145" t="str">
        <f>IFERROR(__xludf.DUMMYFUNCTION("""COMPUTED_VALUE"""),"Lack of communication makes the wait harder.  Some SA's, like mine, take 30+ minutes to get through to.")</f>
        <v>Lack of communication makes the wait harder.  Some SA's, like mine, take 30+ minutes to get through to.</v>
      </c>
      <c r="X750" s="137" t="str">
        <f>IFERROR(__xludf.DUMMYFUNCTION("""COMPUTED_VALUE"""),"Fair")</f>
        <v>Fair</v>
      </c>
      <c r="Y750" s="138" t="str">
        <f>IFERROR(__xludf.DUMMYFUNCTION("""COMPUTED_VALUE"""),"Excellent")</f>
        <v>Excellent</v>
      </c>
      <c r="Z750" s="138" t="str">
        <f>IFERROR(__xludf.DUMMYFUNCTION("""COMPUTED_VALUE"""),"Excellent")</f>
        <v>Excellent</v>
      </c>
      <c r="AA750" s="138" t="str">
        <f>IFERROR(__xludf.DUMMYFUNCTION("""COMPUTED_VALUE"""),"Poor")</f>
        <v>Poor</v>
      </c>
      <c r="AB750" s="138" t="str">
        <f>IFERROR(__xludf.DUMMYFUNCTION("""COMPUTED_VALUE"""),"Very Good")</f>
        <v>Very Good</v>
      </c>
      <c r="AC750" s="139"/>
      <c r="AD750" s="139"/>
      <c r="AE750" s="139"/>
      <c r="AF750" s="140" t="str">
        <f>IFERROR(__xludf.DUMMYFUNCTION("""COMPUTED_VALUE"""),"No. I took delivery of the first car Tesla was able to deliver.")</f>
        <v>No. I took delivery of the first car Tesla was able to deliver.</v>
      </c>
      <c r="AG750" s="145"/>
      <c r="AH750" s="157">
        <f>IFERROR(__xludf.DUMMYFUNCTION("""COMPUTED_VALUE"""),44363.55326212963)</f>
        <v>44363.55326</v>
      </c>
      <c r="AI750" s="138"/>
      <c r="AJ750" s="138"/>
      <c r="AK750" s="138"/>
      <c r="AL750" s="142"/>
    </row>
    <row r="751" ht="20.25" customHeight="1">
      <c r="A751" s="155" t="str">
        <f>IFERROR(__xludf.DUMMYFUNCTION("""COMPUTED_VALUE"""),"TexAlly5")</f>
        <v>TexAlly5</v>
      </c>
      <c r="B751" s="149" t="str">
        <f>IFERROR(__xludf.DUMMYFUNCTION("""COMPUTED_VALUE"""),"Corpus Christi")</f>
        <v>Corpus Christi</v>
      </c>
      <c r="C751" s="149" t="str">
        <f>IFERROR(__xludf.DUMMYFUNCTION("""COMPUTED_VALUE"""),"TX")</f>
        <v>TX</v>
      </c>
      <c r="D751" s="149" t="str">
        <f>IFERROR(__xludf.DUMMYFUNCTION("""COMPUTED_VALUE"""),"USA")</f>
        <v>USA</v>
      </c>
      <c r="E751" s="156">
        <f>IFERROR(__xludf.DUMMYFUNCTION("""COMPUTED_VALUE"""),44328.0)</f>
        <v>44328</v>
      </c>
      <c r="F751" s="129">
        <f>IFERROR(__xludf.DUMMYFUNCTION("""COMPUTED_VALUE"""),44353.0)</f>
        <v>44353</v>
      </c>
      <c r="G751" s="154" t="str">
        <f>IFERROR(__xludf.DUMMYFUNCTION("""COMPUTED_VALUE"""),"Manage order page (normal text)")</f>
        <v>Manage order page (normal text)</v>
      </c>
      <c r="H751" s="131">
        <f>IFERROR(__xludf.DUMMYFUNCTION("""COMPUTED_VALUE"""),988355.0)</f>
        <v>988355</v>
      </c>
      <c r="I751" s="144" t="str">
        <f>IFERROR(__xludf.DUMMYFUNCTION("""COMPUTED_VALUE"""),"06/21")</f>
        <v>06/21</v>
      </c>
      <c r="J751" s="129">
        <f>IFERROR(__xludf.DUMMYFUNCTION("""COMPUTED_VALUE"""),44370.0)</f>
        <v>44370</v>
      </c>
      <c r="K751" s="133">
        <f>IFERROR(__xludf.DUMMYFUNCTION("""COMPUTED_VALUE"""),25.0)</f>
        <v>25</v>
      </c>
      <c r="L751" s="133">
        <f>IFERROR(__xludf.DUMMYFUNCTION("""COMPUTED_VALUE"""),17.0)</f>
        <v>17</v>
      </c>
      <c r="M751" s="133">
        <f>IFERROR(__xludf.DUMMYFUNCTION("""COMPUTED_VALUE"""),42.0)</f>
        <v>42</v>
      </c>
      <c r="N751" s="152" t="str">
        <f>IFERROR(__xludf.DUMMYFUNCTION("""COMPUTED_VALUE"""),"Model 3 LR AWD")</f>
        <v>Model 3 LR AWD</v>
      </c>
      <c r="O751" s="152" t="str">
        <f>IFERROR(__xludf.DUMMYFUNCTION("""COMPUTED_VALUE"""),"Midnight Silver Metallic")</f>
        <v>Midnight Silver Metallic</v>
      </c>
      <c r="P751" s="153" t="str">
        <f>IFERROR(__xludf.DUMMYFUNCTION("""COMPUTED_VALUE"""),"18 inch")</f>
        <v>18 inch</v>
      </c>
      <c r="Q751" s="152" t="str">
        <f>IFERROR(__xludf.DUMMYFUNCTION("""COMPUTED_VALUE"""),"All Black")</f>
        <v>All Black</v>
      </c>
      <c r="R751" s="149" t="str">
        <f>IFERROR(__xludf.DUMMYFUNCTION("""COMPUTED_VALUE"""),"Full Self-Driving")</f>
        <v>Full Self-Driving</v>
      </c>
      <c r="S751" s="149" t="str">
        <f>IFERROR(__xludf.DUMMYFUNCTION("""COMPUTED_VALUE"""),"Loan")</f>
        <v>Loan</v>
      </c>
      <c r="T751" s="145" t="str">
        <f>IFERROR(__xludf.DUMMYFUNCTION("""COMPUTED_VALUE"""),"4Runner")</f>
        <v>4Runner</v>
      </c>
      <c r="U751" s="145" t="str">
        <f>IFERROR(__xludf.DUMMYFUNCTION("""COMPUTED_VALUE"""),"Electric!")</f>
        <v>Electric!</v>
      </c>
      <c r="V751" s="145" t="str">
        <f>IFERROR(__xludf.DUMMYFUNCTION("""COMPUTED_VALUE"""),"Head-up display")</f>
        <v>Head-up display</v>
      </c>
      <c r="W751" s="145"/>
      <c r="X751" s="137" t="str">
        <f>IFERROR(__xludf.DUMMYFUNCTION("""COMPUTED_VALUE"""),"Very Good")</f>
        <v>Very Good</v>
      </c>
      <c r="Y751" s="138" t="str">
        <f>IFERROR(__xludf.DUMMYFUNCTION("""COMPUTED_VALUE"""),"Very Good")</f>
        <v>Very Good</v>
      </c>
      <c r="Z751" s="138" t="str">
        <f>IFERROR(__xludf.DUMMYFUNCTION("""COMPUTED_VALUE"""),"Very Good")</f>
        <v>Very Good</v>
      </c>
      <c r="AA751" s="138" t="str">
        <f>IFERROR(__xludf.DUMMYFUNCTION("""COMPUTED_VALUE"""),"Good")</f>
        <v>Good</v>
      </c>
      <c r="AB751" s="138" t="str">
        <f>IFERROR(__xludf.DUMMYFUNCTION("""COMPUTED_VALUE"""),"Very Good")</f>
        <v>Very Good</v>
      </c>
      <c r="AC751" s="139">
        <f>IFERROR(__xludf.DUMMYFUNCTION("""COMPUTED_VALUE"""),0.0)</f>
        <v>0</v>
      </c>
      <c r="AD751" s="139"/>
      <c r="AE751" s="139"/>
      <c r="AF751" s="140" t="str">
        <f>IFERROR(__xludf.DUMMYFUNCTION("""COMPUTED_VALUE"""),"No. I took delivery of the first car Tesla was able to deliver.")</f>
        <v>No. I took delivery of the first car Tesla was able to deliver.</v>
      </c>
      <c r="AG751" s="145"/>
      <c r="AH751" s="157">
        <f>IFERROR(__xludf.DUMMYFUNCTION("""COMPUTED_VALUE"""),44372.349112627315)</f>
        <v>44372.34911</v>
      </c>
      <c r="AI751" s="138"/>
      <c r="AJ751" s="138"/>
      <c r="AK751" s="138"/>
      <c r="AL751" s="142"/>
    </row>
    <row r="752" ht="20.25" customHeight="1">
      <c r="A752" s="155" t="str">
        <f>IFERROR(__xludf.DUMMYFUNCTION("""COMPUTED_VALUE"""),"Waltamobile")</f>
        <v>Waltamobile</v>
      </c>
      <c r="B752" s="149" t="str">
        <f>IFERROR(__xludf.DUMMYFUNCTION("""COMPUTED_VALUE"""),"Grand Rapids")</f>
        <v>Grand Rapids</v>
      </c>
      <c r="C752" s="149" t="str">
        <f>IFERROR(__xludf.DUMMYFUNCTION("""COMPUTED_VALUE"""),"MI")</f>
        <v>MI</v>
      </c>
      <c r="D752" s="149" t="str">
        <f>IFERROR(__xludf.DUMMYFUNCTION("""COMPUTED_VALUE"""),"USA")</f>
        <v>USA</v>
      </c>
      <c r="E752" s="156">
        <f>IFERROR(__xludf.DUMMYFUNCTION("""COMPUTED_VALUE"""),44328.0)</f>
        <v>44328</v>
      </c>
      <c r="F752" s="129">
        <f>IFERROR(__xludf.DUMMYFUNCTION("""COMPUTED_VALUE"""),44357.0)</f>
        <v>44357</v>
      </c>
      <c r="G752" s="154" t="str">
        <f>IFERROR(__xludf.DUMMYFUNCTION("""COMPUTED_VALUE"""),"Manage order page (normal text)")</f>
        <v>Manage order page (normal text)</v>
      </c>
      <c r="H752" s="131"/>
      <c r="I752" s="144" t="str">
        <f>IFERROR(__xludf.DUMMYFUNCTION("""COMPUTED_VALUE"""),"06/21")</f>
        <v>06/21</v>
      </c>
      <c r="J752" s="129">
        <f>IFERROR(__xludf.DUMMYFUNCTION("""COMPUTED_VALUE"""),44366.0)</f>
        <v>44366</v>
      </c>
      <c r="K752" s="133">
        <f>IFERROR(__xludf.DUMMYFUNCTION("""COMPUTED_VALUE"""),29.0)</f>
        <v>29</v>
      </c>
      <c r="L752" s="133">
        <f>IFERROR(__xludf.DUMMYFUNCTION("""COMPUTED_VALUE"""),9.0)</f>
        <v>9</v>
      </c>
      <c r="M752" s="133">
        <f>IFERROR(__xludf.DUMMYFUNCTION("""COMPUTED_VALUE"""),38.0)</f>
        <v>38</v>
      </c>
      <c r="N752" s="152" t="str">
        <f>IFERROR(__xludf.DUMMYFUNCTION("""COMPUTED_VALUE"""),"Model 3 Performance")</f>
        <v>Model 3 Performance</v>
      </c>
      <c r="O752" s="152" t="str">
        <f>IFERROR(__xludf.DUMMYFUNCTION("""COMPUTED_VALUE"""),"Red Multi-Coat")</f>
        <v>Red Multi-Coat</v>
      </c>
      <c r="P752" s="153" t="str">
        <f>IFERROR(__xludf.DUMMYFUNCTION("""COMPUTED_VALUE"""),"20 inch")</f>
        <v>20 inch</v>
      </c>
      <c r="Q752" s="152" t="str">
        <f>IFERROR(__xludf.DUMMYFUNCTION("""COMPUTED_VALUE"""),"All Black")</f>
        <v>All Black</v>
      </c>
      <c r="R752" s="149" t="str">
        <f>IFERROR(__xludf.DUMMYFUNCTION("""COMPUTED_VALUE"""),"Autopilot included")</f>
        <v>Autopilot included</v>
      </c>
      <c r="S752" s="149" t="str">
        <f>IFERROR(__xludf.DUMMYFUNCTION("""COMPUTED_VALUE"""),"Loan")</f>
        <v>Loan</v>
      </c>
      <c r="T752" s="145" t="str">
        <f>IFERROR(__xludf.DUMMYFUNCTION("""COMPUTED_VALUE"""),"Acura TLX")</f>
        <v>Acura TLX</v>
      </c>
      <c r="U752" s="145" t="str">
        <f>IFERROR(__xludf.DUMMYFUNCTION("""COMPUTED_VALUE"""),"Electric!")</f>
        <v>Electric!</v>
      </c>
      <c r="V752" s="145" t="str">
        <f>IFERROR(__xludf.DUMMYFUNCTION("""COMPUTED_VALUE"""),"Apple CarPlay / Android Auto / SiriusXM Radio")</f>
        <v>Apple CarPlay / Android Auto / SiriusXM Radio</v>
      </c>
      <c r="W752" s="145"/>
      <c r="X752" s="137" t="str">
        <f>IFERROR(__xludf.DUMMYFUNCTION("""COMPUTED_VALUE"""),"Very Good")</f>
        <v>Very Good</v>
      </c>
      <c r="Y752" s="138" t="str">
        <f>IFERROR(__xludf.DUMMYFUNCTION("""COMPUTED_VALUE"""),"Very Good")</f>
        <v>Very Good</v>
      </c>
      <c r="Z752" s="138" t="str">
        <f>IFERROR(__xludf.DUMMYFUNCTION("""COMPUTED_VALUE"""),"Very Good")</f>
        <v>Very Good</v>
      </c>
      <c r="AA752" s="138" t="str">
        <f>IFERROR(__xludf.DUMMYFUNCTION("""COMPUTED_VALUE"""),"Very Good")</f>
        <v>Very Good</v>
      </c>
      <c r="AB752" s="138" t="str">
        <f>IFERROR(__xludf.DUMMYFUNCTION("""COMPUTED_VALUE"""),"Very Good")</f>
        <v>Very Good</v>
      </c>
      <c r="AC752" s="139">
        <f>IFERROR(__xludf.DUMMYFUNCTION("""COMPUTED_VALUE"""),0.0)</f>
        <v>0</v>
      </c>
      <c r="AD752" s="139">
        <f>IFERROR(__xludf.DUMMYFUNCTION("""COMPUTED_VALUE"""),0.0)</f>
        <v>0</v>
      </c>
      <c r="AE752" s="139"/>
      <c r="AF752" s="140" t="str">
        <f>IFERROR(__xludf.DUMMYFUNCTION("""COMPUTED_VALUE"""),"No. I took delivery of the first car Tesla was able to deliver.")</f>
        <v>No. I took delivery of the first car Tesla was able to deliver.</v>
      </c>
      <c r="AG752" s="145"/>
      <c r="AH752" s="157">
        <f>IFERROR(__xludf.DUMMYFUNCTION("""COMPUTED_VALUE"""),44382.25645421296)</f>
        <v>44382.25645</v>
      </c>
      <c r="AI752" s="138"/>
      <c r="AJ752" s="138"/>
      <c r="AK752" s="138"/>
      <c r="AL752" s="142"/>
    </row>
    <row r="753" ht="20.25" customHeight="1">
      <c r="A753" s="155" t="str">
        <f>IFERROR(__xludf.DUMMYFUNCTION("""COMPUTED_VALUE"""),"CocoMaxxi")</f>
        <v>CocoMaxxi</v>
      </c>
      <c r="B753" s="149"/>
      <c r="C753" s="149"/>
      <c r="D753" s="149" t="str">
        <f>IFERROR(__xludf.DUMMYFUNCTION("""COMPUTED_VALUE"""),"United Kingdom")</f>
        <v>United Kingdom</v>
      </c>
      <c r="E753" s="156">
        <f>IFERROR(__xludf.DUMMYFUNCTION("""COMPUTED_VALUE"""),44326.0)</f>
        <v>44326</v>
      </c>
      <c r="F753" s="129"/>
      <c r="G753" s="154"/>
      <c r="H753" s="131"/>
      <c r="I753" s="144"/>
      <c r="J753" s="129"/>
      <c r="K753" s="133"/>
      <c r="L753" s="133"/>
      <c r="M753" s="133"/>
      <c r="N753" s="152" t="str">
        <f>IFERROR(__xludf.DUMMYFUNCTION("""COMPUTED_VALUE"""),"Model 3 SR+")</f>
        <v>Model 3 SR+</v>
      </c>
      <c r="O753" s="152" t="str">
        <f>IFERROR(__xludf.DUMMYFUNCTION("""COMPUTED_VALUE"""),"Solid Black")</f>
        <v>Solid Black</v>
      </c>
      <c r="P753" s="153" t="str">
        <f>IFERROR(__xludf.DUMMYFUNCTION("""COMPUTED_VALUE"""),"18 inch")</f>
        <v>18 inch</v>
      </c>
      <c r="Q753" s="152" t="str">
        <f>IFERROR(__xludf.DUMMYFUNCTION("""COMPUTED_VALUE"""),"All Black")</f>
        <v>All Black</v>
      </c>
      <c r="R753" s="149"/>
      <c r="S753" s="149" t="str">
        <f>IFERROR(__xludf.DUMMYFUNCTION("""COMPUTED_VALUE"""),"Lease")</f>
        <v>Lease</v>
      </c>
      <c r="T753" s="145" t="str">
        <f>IFERROR(__xludf.DUMMYFUNCTION("""COMPUTED_VALUE"""),"Mercedes’ cla sb 2020")</f>
        <v>Mercedes’ cla sb 2020</v>
      </c>
      <c r="U753" s="145" t="str">
        <f>IFERROR(__xludf.DUMMYFUNCTION("""COMPUTED_VALUE"""),"Supercharger V3 support")</f>
        <v>Supercharger V3 support</v>
      </c>
      <c r="V753" s="145" t="str">
        <f>IFERROR(__xludf.DUMMYFUNCTION("""COMPUTED_VALUE"""),"Apple CarPlay / Android Auto / SiriusXM Radio")</f>
        <v>Apple CarPlay / Android Auto / SiriusXM Radio</v>
      </c>
      <c r="W753" s="145"/>
      <c r="X753" s="137"/>
      <c r="Y753" s="138"/>
      <c r="Z753" s="138"/>
      <c r="AA753" s="138"/>
      <c r="AB753" s="138"/>
      <c r="AC753" s="139"/>
      <c r="AD753" s="139"/>
      <c r="AE753" s="139"/>
      <c r="AF753" s="140"/>
      <c r="AG753" s="145"/>
      <c r="AH753" s="157">
        <f>IFERROR(__xludf.DUMMYFUNCTION("""COMPUTED_VALUE"""),44501.133635624996)</f>
        <v>44501.13364</v>
      </c>
      <c r="AI753" s="138"/>
      <c r="AJ753" s="138"/>
      <c r="AK753" s="138"/>
      <c r="AL753" s="142"/>
    </row>
    <row r="754" ht="20.25" customHeight="1">
      <c r="A754" s="155" t="str">
        <f>IFERROR(__xludf.DUMMYFUNCTION("""COMPUTED_VALUE"""),"CupidCatPDX")</f>
        <v>CupidCatPDX</v>
      </c>
      <c r="B754" s="149" t="str">
        <f>IFERROR(__xludf.DUMMYFUNCTION("""COMPUTED_VALUE"""),"Portland")</f>
        <v>Portland</v>
      </c>
      <c r="C754" s="149" t="str">
        <f>IFERROR(__xludf.DUMMYFUNCTION("""COMPUTED_VALUE"""),"OR")</f>
        <v>OR</v>
      </c>
      <c r="D754" s="149" t="str">
        <f>IFERROR(__xludf.DUMMYFUNCTION("""COMPUTED_VALUE"""),"USA")</f>
        <v>USA</v>
      </c>
      <c r="E754" s="156">
        <f>IFERROR(__xludf.DUMMYFUNCTION("""COMPUTED_VALUE"""),44326.0)</f>
        <v>44326</v>
      </c>
      <c r="F754" s="129">
        <f>IFERROR(__xludf.DUMMYFUNCTION("""COMPUTED_VALUE"""),44389.0)</f>
        <v>44389</v>
      </c>
      <c r="G754" s="154" t="str">
        <f>IFERROR(__xludf.DUMMYFUNCTION("""COMPUTED_VALUE"""),"Manage order page (normal text)")</f>
        <v>Manage order page (normal text)</v>
      </c>
      <c r="H754" s="131">
        <f>IFERROR(__xludf.DUMMYFUNCTION("""COMPUTED_VALUE"""),16092.0)</f>
        <v>16092</v>
      </c>
      <c r="I754" s="144" t="str">
        <f>IFERROR(__xludf.DUMMYFUNCTION("""COMPUTED_VALUE"""),"06/21")</f>
        <v>06/21</v>
      </c>
      <c r="J754" s="129">
        <f>IFERROR(__xludf.DUMMYFUNCTION("""COMPUTED_VALUE"""),44392.0)</f>
        <v>44392</v>
      </c>
      <c r="K754" s="133">
        <f>IFERROR(__xludf.DUMMYFUNCTION("""COMPUTED_VALUE"""),63.0)</f>
        <v>63</v>
      </c>
      <c r="L754" s="133">
        <f>IFERROR(__xludf.DUMMYFUNCTION("""COMPUTED_VALUE"""),3.0)</f>
        <v>3</v>
      </c>
      <c r="M754" s="133">
        <f>IFERROR(__xludf.DUMMYFUNCTION("""COMPUTED_VALUE"""),66.0)</f>
        <v>66</v>
      </c>
      <c r="N754" s="152" t="str">
        <f>IFERROR(__xludf.DUMMYFUNCTION("""COMPUTED_VALUE"""),"Model 3 SR+")</f>
        <v>Model 3 SR+</v>
      </c>
      <c r="O754" s="152" t="str">
        <f>IFERROR(__xludf.DUMMYFUNCTION("""COMPUTED_VALUE"""),"Pearl White Multi-Coat")</f>
        <v>Pearl White Multi-Coat</v>
      </c>
      <c r="P754" s="153" t="str">
        <f>IFERROR(__xludf.DUMMYFUNCTION("""COMPUTED_VALUE"""),"18 inch")</f>
        <v>18 inch</v>
      </c>
      <c r="Q754" s="152" t="str">
        <f>IFERROR(__xludf.DUMMYFUNCTION("""COMPUTED_VALUE"""),"All Black")</f>
        <v>All Black</v>
      </c>
      <c r="R754" s="149" t="str">
        <f>IFERROR(__xludf.DUMMYFUNCTION("""COMPUTED_VALUE"""),"Autopilot included")</f>
        <v>Autopilot included</v>
      </c>
      <c r="S754" s="149" t="str">
        <f>IFERROR(__xludf.DUMMYFUNCTION("""COMPUTED_VALUE"""),"Loan")</f>
        <v>Loan</v>
      </c>
      <c r="T754" s="145"/>
      <c r="U754" s="145" t="str">
        <f>IFERROR(__xludf.DUMMYFUNCTION("""COMPUTED_VALUE"""),"Electric!")</f>
        <v>Electric!</v>
      </c>
      <c r="V754" s="145" t="str">
        <f>IFERROR(__xludf.DUMMYFUNCTION("""COMPUTED_VALUE"""),"Apple CarPlay / Android Auto / SiriusXM Radio")</f>
        <v>Apple CarPlay / Android Auto / SiriusXM Radio</v>
      </c>
      <c r="W754" s="145"/>
      <c r="X754" s="137" t="str">
        <f>IFERROR(__xludf.DUMMYFUNCTION("""COMPUTED_VALUE"""),"Very Good")</f>
        <v>Very Good</v>
      </c>
      <c r="Y754" s="138" t="str">
        <f>IFERROR(__xludf.DUMMYFUNCTION("""COMPUTED_VALUE"""),"Excellent")</f>
        <v>Excellent</v>
      </c>
      <c r="Z754" s="138" t="str">
        <f>IFERROR(__xludf.DUMMYFUNCTION("""COMPUTED_VALUE"""),"Excellent")</f>
        <v>Excellent</v>
      </c>
      <c r="AA754" s="138" t="str">
        <f>IFERROR(__xludf.DUMMYFUNCTION("""COMPUTED_VALUE"""),"Excellent")</f>
        <v>Excellent</v>
      </c>
      <c r="AB754" s="138" t="str">
        <f>IFERROR(__xludf.DUMMYFUNCTION("""COMPUTED_VALUE"""),"Excellent")</f>
        <v>Excellent</v>
      </c>
      <c r="AC754" s="139">
        <f>IFERROR(__xludf.DUMMYFUNCTION("""COMPUTED_VALUE"""),1.0)</f>
        <v>1</v>
      </c>
      <c r="AD754" s="139">
        <f>IFERROR(__xludf.DUMMYFUNCTION("""COMPUTED_VALUE"""),1.0)</f>
        <v>1</v>
      </c>
      <c r="AE754" s="139"/>
      <c r="AF754" s="140" t="str">
        <f>IFERROR(__xludf.DUMMYFUNCTION("""COMPUTED_VALUE"""),"No. I took delivery of the first car Tesla was able to deliver.")</f>
        <v>No. I took delivery of the first car Tesla was able to deliver.</v>
      </c>
      <c r="AG754" s="145"/>
      <c r="AH754" s="157">
        <f>IFERROR(__xludf.DUMMYFUNCTION("""COMPUTED_VALUE"""),44393.45836791667)</f>
        <v>44393.45837</v>
      </c>
      <c r="AI754" s="138"/>
      <c r="AJ754" s="138"/>
      <c r="AK754" s="138"/>
      <c r="AL754" s="142"/>
    </row>
    <row r="755" ht="20.25" customHeight="1">
      <c r="A755" s="155" t="str">
        <f>IFERROR(__xludf.DUMMYFUNCTION("""COMPUTED_VALUE"""),"Erik")</f>
        <v>Erik</v>
      </c>
      <c r="B755" s="149" t="str">
        <f>IFERROR(__xludf.DUMMYFUNCTION("""COMPUTED_VALUE"""),"Melbourne")</f>
        <v>Melbourne</v>
      </c>
      <c r="C755" s="149"/>
      <c r="D755" s="149" t="str">
        <f>IFERROR(__xludf.DUMMYFUNCTION("""COMPUTED_VALUE"""),"Other (include country together with city)")</f>
        <v>Other (include country together with city)</v>
      </c>
      <c r="E755" s="156">
        <f>IFERROR(__xludf.DUMMYFUNCTION("""COMPUTED_VALUE"""),44326.0)</f>
        <v>44326</v>
      </c>
      <c r="F755" s="129">
        <f>IFERROR(__xludf.DUMMYFUNCTION("""COMPUTED_VALUE"""),44327.0)</f>
        <v>44327</v>
      </c>
      <c r="G755" s="154" t="str">
        <f>IFERROR(__xludf.DUMMYFUNCTION("""COMPUTED_VALUE"""),"Text message")</f>
        <v>Text message</v>
      </c>
      <c r="H755" s="131"/>
      <c r="I755" s="144" t="str">
        <f>IFERROR(__xludf.DUMMYFUNCTION("""COMPUTED_VALUE"""),"04/21")</f>
        <v>04/21</v>
      </c>
      <c r="J755" s="129">
        <f>IFERROR(__xludf.DUMMYFUNCTION("""COMPUTED_VALUE"""),44343.0)</f>
        <v>44343</v>
      </c>
      <c r="K755" s="133">
        <f>IFERROR(__xludf.DUMMYFUNCTION("""COMPUTED_VALUE"""),1.0)</f>
        <v>1</v>
      </c>
      <c r="L755" s="133">
        <f>IFERROR(__xludf.DUMMYFUNCTION("""COMPUTED_VALUE"""),16.0)</f>
        <v>16</v>
      </c>
      <c r="M755" s="133">
        <f>IFERROR(__xludf.DUMMYFUNCTION("""COMPUTED_VALUE"""),17.0)</f>
        <v>17</v>
      </c>
      <c r="N755" s="152" t="str">
        <f>IFERROR(__xludf.DUMMYFUNCTION("""COMPUTED_VALUE"""),"Model 3 SR+")</f>
        <v>Model 3 SR+</v>
      </c>
      <c r="O755" s="152" t="str">
        <f>IFERROR(__xludf.DUMMYFUNCTION("""COMPUTED_VALUE"""),"Red Multi-Coat")</f>
        <v>Red Multi-Coat</v>
      </c>
      <c r="P755" s="153" t="str">
        <f>IFERROR(__xludf.DUMMYFUNCTION("""COMPUTED_VALUE"""),"18 inch")</f>
        <v>18 inch</v>
      </c>
      <c r="Q755" s="152" t="str">
        <f>IFERROR(__xludf.DUMMYFUNCTION("""COMPUTED_VALUE"""),"All Black")</f>
        <v>All Black</v>
      </c>
      <c r="R755" s="149" t="str">
        <f>IFERROR(__xludf.DUMMYFUNCTION("""COMPUTED_VALUE"""),"Autopilot included")</f>
        <v>Autopilot included</v>
      </c>
      <c r="S755" s="149" t="str">
        <f>IFERROR(__xludf.DUMMYFUNCTION("""COMPUTED_VALUE"""),"Cash")</f>
        <v>Cash</v>
      </c>
      <c r="T755" s="145" t="str">
        <f>IFERROR(__xludf.DUMMYFUNCTION("""COMPUTED_VALUE"""),"Audi Q5")</f>
        <v>Audi Q5</v>
      </c>
      <c r="U755" s="145" t="str">
        <f>IFERROR(__xludf.DUMMYFUNCTION("""COMPUTED_VALUE"""),"Electric!")</f>
        <v>Electric!</v>
      </c>
      <c r="V755" s="145" t="str">
        <f>IFERROR(__xludf.DUMMYFUNCTION("""COMPUTED_VALUE"""),"Head-up display")</f>
        <v>Head-up display</v>
      </c>
      <c r="W755" s="145"/>
      <c r="X755" s="137" t="str">
        <f>IFERROR(__xludf.DUMMYFUNCTION("""COMPUTED_VALUE"""),"Excellent")</f>
        <v>Excellent</v>
      </c>
      <c r="Y755" s="138" t="str">
        <f>IFERROR(__xludf.DUMMYFUNCTION("""COMPUTED_VALUE"""),"Excellent")</f>
        <v>Excellent</v>
      </c>
      <c r="Z755" s="138" t="str">
        <f>IFERROR(__xludf.DUMMYFUNCTION("""COMPUTED_VALUE"""),"Excellent")</f>
        <v>Excellent</v>
      </c>
      <c r="AA755" s="138" t="str">
        <f>IFERROR(__xludf.DUMMYFUNCTION("""COMPUTED_VALUE"""),"Excellent")</f>
        <v>Excellent</v>
      </c>
      <c r="AB755" s="138" t="str">
        <f>IFERROR(__xludf.DUMMYFUNCTION("""COMPUTED_VALUE"""),"Excellent")</f>
        <v>Excellent</v>
      </c>
      <c r="AC755" s="139">
        <f>IFERROR(__xludf.DUMMYFUNCTION("""COMPUTED_VALUE"""),0.0)</f>
        <v>0</v>
      </c>
      <c r="AD755" s="139">
        <f>IFERROR(__xludf.DUMMYFUNCTION("""COMPUTED_VALUE"""),0.0)</f>
        <v>0</v>
      </c>
      <c r="AE755" s="139">
        <f>IFERROR(__xludf.DUMMYFUNCTION("""COMPUTED_VALUE"""),0.0)</f>
        <v>0</v>
      </c>
      <c r="AF755" s="140" t="str">
        <f>IFERROR(__xludf.DUMMYFUNCTION("""COMPUTED_VALUE"""),"No. I took delivery of the first car Tesla was able to deliver.")</f>
        <v>No. I took delivery of the first car Tesla was able to deliver.</v>
      </c>
      <c r="AG755" s="145"/>
      <c r="AH755" s="157">
        <f>IFERROR(__xludf.DUMMYFUNCTION("""COMPUTED_VALUE"""),44355.27056733796)</f>
        <v>44355.27057</v>
      </c>
      <c r="AI755" s="138"/>
      <c r="AJ755" s="138"/>
      <c r="AK755" s="138"/>
      <c r="AL755" s="142"/>
    </row>
    <row r="756" ht="20.25" customHeight="1">
      <c r="A756" s="155" t="str">
        <f>IFERROR(__xludf.DUMMYFUNCTION("""COMPUTED_VALUE"""),"indigo6")</f>
        <v>indigo6</v>
      </c>
      <c r="B756" s="149" t="str">
        <f>IFERROR(__xludf.DUMMYFUNCTION("""COMPUTED_VALUE"""),"Sacramento")</f>
        <v>Sacramento</v>
      </c>
      <c r="C756" s="149" t="str">
        <f>IFERROR(__xludf.DUMMYFUNCTION("""COMPUTED_VALUE"""),"CA")</f>
        <v>CA</v>
      </c>
      <c r="D756" s="149" t="str">
        <f>IFERROR(__xludf.DUMMYFUNCTION("""COMPUTED_VALUE"""),"USA")</f>
        <v>USA</v>
      </c>
      <c r="E756" s="156">
        <f>IFERROR(__xludf.DUMMYFUNCTION("""COMPUTED_VALUE"""),44326.0)</f>
        <v>44326</v>
      </c>
      <c r="F756" s="129">
        <f>IFERROR(__xludf.DUMMYFUNCTION("""COMPUTED_VALUE"""),44355.0)</f>
        <v>44355</v>
      </c>
      <c r="G756" s="154" t="str">
        <f>IFERROR(__xludf.DUMMYFUNCTION("""COMPUTED_VALUE"""),"Email")</f>
        <v>Email</v>
      </c>
      <c r="H756" s="131">
        <f>IFERROR(__xludf.DUMMYFUNCTION("""COMPUTED_VALUE"""),988520.0)</f>
        <v>988520</v>
      </c>
      <c r="I756" s="144" t="str">
        <f>IFERROR(__xludf.DUMMYFUNCTION("""COMPUTED_VALUE"""),"06/21")</f>
        <v>06/21</v>
      </c>
      <c r="J756" s="129">
        <f>IFERROR(__xludf.DUMMYFUNCTION("""COMPUTED_VALUE"""),44358.0)</f>
        <v>44358</v>
      </c>
      <c r="K756" s="133">
        <f>IFERROR(__xludf.DUMMYFUNCTION("""COMPUTED_VALUE"""),29.0)</f>
        <v>29</v>
      </c>
      <c r="L756" s="133">
        <f>IFERROR(__xludf.DUMMYFUNCTION("""COMPUTED_VALUE"""),3.0)</f>
        <v>3</v>
      </c>
      <c r="M756" s="133">
        <f>IFERROR(__xludf.DUMMYFUNCTION("""COMPUTED_VALUE"""),32.0)</f>
        <v>32</v>
      </c>
      <c r="N756" s="152" t="str">
        <f>IFERROR(__xludf.DUMMYFUNCTION("""COMPUTED_VALUE"""),"Model 3 Performance")</f>
        <v>Model 3 Performance</v>
      </c>
      <c r="O756" s="152" t="str">
        <f>IFERROR(__xludf.DUMMYFUNCTION("""COMPUTED_VALUE"""),"Pearl White Multi-Coat")</f>
        <v>Pearl White Multi-Coat</v>
      </c>
      <c r="P756" s="153" t="str">
        <f>IFERROR(__xludf.DUMMYFUNCTION("""COMPUTED_VALUE"""),"20 inch")</f>
        <v>20 inch</v>
      </c>
      <c r="Q756" s="152" t="str">
        <f>IFERROR(__xludf.DUMMYFUNCTION("""COMPUTED_VALUE"""),"Black and White")</f>
        <v>Black and White</v>
      </c>
      <c r="R756" s="149" t="str">
        <f>IFERROR(__xludf.DUMMYFUNCTION("""COMPUTED_VALUE"""),"Autopilot included")</f>
        <v>Autopilot included</v>
      </c>
      <c r="S756" s="149" t="str">
        <f>IFERROR(__xludf.DUMMYFUNCTION("""COMPUTED_VALUE"""),"Loan")</f>
        <v>Loan</v>
      </c>
      <c r="T756" s="145" t="str">
        <f>IFERROR(__xludf.DUMMYFUNCTION("""COMPUTED_VALUE"""),"BMW 5 Series")</f>
        <v>BMW 5 Series</v>
      </c>
      <c r="U756" s="145" t="str">
        <f>IFERROR(__xludf.DUMMYFUNCTION("""COMPUTED_VALUE"""),"Electric!")</f>
        <v>Electric!</v>
      </c>
      <c r="V756" s="145" t="str">
        <f>IFERROR(__xludf.DUMMYFUNCTION("""COMPUTED_VALUE"""),"Adaptive Suspension")</f>
        <v>Adaptive Suspension</v>
      </c>
      <c r="W756" s="145"/>
      <c r="X756" s="137" t="str">
        <f>IFERROR(__xludf.DUMMYFUNCTION("""COMPUTED_VALUE"""),"Very Good")</f>
        <v>Very Good</v>
      </c>
      <c r="Y756" s="138" t="str">
        <f>IFERROR(__xludf.DUMMYFUNCTION("""COMPUTED_VALUE"""),"Very Good")</f>
        <v>Very Good</v>
      </c>
      <c r="Z756" s="138" t="str">
        <f>IFERROR(__xludf.DUMMYFUNCTION("""COMPUTED_VALUE"""),"Excellent")</f>
        <v>Excellent</v>
      </c>
      <c r="AA756" s="138" t="str">
        <f>IFERROR(__xludf.DUMMYFUNCTION("""COMPUTED_VALUE"""),"Very Good")</f>
        <v>Very Good</v>
      </c>
      <c r="AB756" s="138" t="str">
        <f>IFERROR(__xludf.DUMMYFUNCTION("""COMPUTED_VALUE"""),"Excellent")</f>
        <v>Excellent</v>
      </c>
      <c r="AC756" s="139">
        <f>IFERROR(__xludf.DUMMYFUNCTION("""COMPUTED_VALUE"""),1.0)</f>
        <v>1</v>
      </c>
      <c r="AD756" s="139"/>
      <c r="AE756" s="139"/>
      <c r="AF756" s="140" t="str">
        <f>IFERROR(__xludf.DUMMYFUNCTION("""COMPUTED_VALUE"""),"No. I took delivery of the first car Tesla was able to deliver.")</f>
        <v>No. I took delivery of the first car Tesla was able to deliver.</v>
      </c>
      <c r="AG756" s="145"/>
      <c r="AH756" s="157">
        <f>IFERROR(__xludf.DUMMYFUNCTION("""COMPUTED_VALUE"""),44376.79558476852)</f>
        <v>44376.79558</v>
      </c>
      <c r="AI756" s="138"/>
      <c r="AJ756" s="138"/>
      <c r="AK756" s="138"/>
      <c r="AL756" s="142"/>
    </row>
    <row r="757" ht="20.25" customHeight="1">
      <c r="A757" s="155" t="str">
        <f>IFERROR(__xludf.DUMMYFUNCTION("""COMPUTED_VALUE"""),"June")</f>
        <v>June</v>
      </c>
      <c r="B757" s="149" t="str">
        <f>IFERROR(__xludf.DUMMYFUNCTION("""COMPUTED_VALUE"""),"Madison")</f>
        <v>Madison</v>
      </c>
      <c r="C757" s="149" t="str">
        <f>IFERROR(__xludf.DUMMYFUNCTION("""COMPUTED_VALUE"""),"WI")</f>
        <v>WI</v>
      </c>
      <c r="D757" s="149" t="str">
        <f>IFERROR(__xludf.DUMMYFUNCTION("""COMPUTED_VALUE"""),"USA")</f>
        <v>USA</v>
      </c>
      <c r="E757" s="156">
        <f>IFERROR(__xludf.DUMMYFUNCTION("""COMPUTED_VALUE"""),44326.0)</f>
        <v>44326</v>
      </c>
      <c r="F757" s="129">
        <f>IFERROR(__xludf.DUMMYFUNCTION("""COMPUTED_VALUE"""),44355.0)</f>
        <v>44355</v>
      </c>
      <c r="G757" s="154" t="str">
        <f>IFERROR(__xludf.DUMMYFUNCTION("""COMPUTED_VALUE"""),"Manage order page (normal text)")</f>
        <v>Manage order page (normal text)</v>
      </c>
      <c r="H757" s="131">
        <f>IFERROR(__xludf.DUMMYFUNCTION("""COMPUTED_VALUE"""),988184.0)</f>
        <v>988184</v>
      </c>
      <c r="I757" s="144" t="str">
        <f>IFERROR(__xludf.DUMMYFUNCTION("""COMPUTED_VALUE"""),"06/21")</f>
        <v>06/21</v>
      </c>
      <c r="J757" s="129">
        <f>IFERROR(__xludf.DUMMYFUNCTION("""COMPUTED_VALUE"""),44365.0)</f>
        <v>44365</v>
      </c>
      <c r="K757" s="133">
        <f>IFERROR(__xludf.DUMMYFUNCTION("""COMPUTED_VALUE"""),29.0)</f>
        <v>29</v>
      </c>
      <c r="L757" s="133">
        <f>IFERROR(__xludf.DUMMYFUNCTION("""COMPUTED_VALUE"""),10.0)</f>
        <v>10</v>
      </c>
      <c r="M757" s="133">
        <f>IFERROR(__xludf.DUMMYFUNCTION("""COMPUTED_VALUE"""),39.0)</f>
        <v>39</v>
      </c>
      <c r="N757" s="152" t="str">
        <f>IFERROR(__xludf.DUMMYFUNCTION("""COMPUTED_VALUE"""),"Model 3 LR AWD")</f>
        <v>Model 3 LR AWD</v>
      </c>
      <c r="O757" s="152" t="str">
        <f>IFERROR(__xludf.DUMMYFUNCTION("""COMPUTED_VALUE"""),"Deep Blue Metallic")</f>
        <v>Deep Blue Metallic</v>
      </c>
      <c r="P757" s="153" t="str">
        <f>IFERROR(__xludf.DUMMYFUNCTION("""COMPUTED_VALUE"""),"18 inch")</f>
        <v>18 inch</v>
      </c>
      <c r="Q757" s="152" t="str">
        <f>IFERROR(__xludf.DUMMYFUNCTION("""COMPUTED_VALUE"""),"All Black")</f>
        <v>All Black</v>
      </c>
      <c r="R757" s="149" t="str">
        <f>IFERROR(__xludf.DUMMYFUNCTION("""COMPUTED_VALUE"""),"Autopilot included")</f>
        <v>Autopilot included</v>
      </c>
      <c r="S757" s="149" t="str">
        <f>IFERROR(__xludf.DUMMYFUNCTION("""COMPUTED_VALUE"""),"Loan")</f>
        <v>Loan</v>
      </c>
      <c r="T757" s="145"/>
      <c r="U757" s="145" t="str">
        <f>IFERROR(__xludf.DUMMYFUNCTION("""COMPUTED_VALUE"""),"Electric!")</f>
        <v>Electric!</v>
      </c>
      <c r="V757" s="145" t="str">
        <f>IFERROR(__xludf.DUMMYFUNCTION("""COMPUTED_VALUE"""),"Head-up display")</f>
        <v>Head-up display</v>
      </c>
      <c r="W757" s="145"/>
      <c r="X757" s="137" t="str">
        <f>IFERROR(__xludf.DUMMYFUNCTION("""COMPUTED_VALUE"""),"Very Good")</f>
        <v>Very Good</v>
      </c>
      <c r="Y757" s="138" t="str">
        <f>IFERROR(__xludf.DUMMYFUNCTION("""COMPUTED_VALUE"""),"Excellent")</f>
        <v>Excellent</v>
      </c>
      <c r="Z757" s="138" t="str">
        <f>IFERROR(__xludf.DUMMYFUNCTION("""COMPUTED_VALUE"""),"Excellent")</f>
        <v>Excellent</v>
      </c>
      <c r="AA757" s="138" t="str">
        <f>IFERROR(__xludf.DUMMYFUNCTION("""COMPUTED_VALUE"""),"Very Good")</f>
        <v>Very Good</v>
      </c>
      <c r="AB757" s="138" t="str">
        <f>IFERROR(__xludf.DUMMYFUNCTION("""COMPUTED_VALUE"""),"Excellent")</f>
        <v>Excellent</v>
      </c>
      <c r="AC757" s="139"/>
      <c r="AD757" s="139"/>
      <c r="AE757" s="139"/>
      <c r="AF757" s="140"/>
      <c r="AG757" s="145" t="str">
        <f>IFERROR(__xludf.DUMMYFUNCTION("""COMPUTED_VALUE"""),"Estimated Delivery: June 18 - June 30 -&gt; June -&gt;June 17 - June 3012 - June 30-&gt;June 08 - June 24")</f>
        <v>Estimated Delivery: June 18 - June 30 -&gt; June -&gt;June 17 - June 3012 - June 30-&gt;June 08 - June 24</v>
      </c>
      <c r="AH757" s="157">
        <f>IFERROR(__xludf.DUMMYFUNCTION("""COMPUTED_VALUE"""),44366.322834120365)</f>
        <v>44366.32283</v>
      </c>
      <c r="AI757" s="138"/>
      <c r="AJ757" s="138"/>
      <c r="AK757" s="138"/>
      <c r="AL757" s="142"/>
    </row>
    <row r="758" ht="20.25" customHeight="1">
      <c r="A758" s="155" t="str">
        <f>IFERROR(__xludf.DUMMYFUNCTION("""COMPUTED_VALUE"""),"kimtastic12")</f>
        <v>kimtastic12</v>
      </c>
      <c r="B758" s="149" t="str">
        <f>IFERROR(__xludf.DUMMYFUNCTION("""COMPUTED_VALUE"""),"Temecula")</f>
        <v>Temecula</v>
      </c>
      <c r="C758" s="149" t="str">
        <f>IFERROR(__xludf.DUMMYFUNCTION("""COMPUTED_VALUE"""),"CA")</f>
        <v>CA</v>
      </c>
      <c r="D758" s="149" t="str">
        <f>IFERROR(__xludf.DUMMYFUNCTION("""COMPUTED_VALUE"""),"USA")</f>
        <v>USA</v>
      </c>
      <c r="E758" s="156">
        <f>IFERROR(__xludf.DUMMYFUNCTION("""COMPUTED_VALUE"""),44326.0)</f>
        <v>44326</v>
      </c>
      <c r="F758" s="129">
        <f>IFERROR(__xludf.DUMMYFUNCTION("""COMPUTED_VALUE"""),44372.0)</f>
        <v>44372</v>
      </c>
      <c r="G758" s="154" t="str">
        <f>IFERROR(__xludf.DUMMYFUNCTION("""COMPUTED_VALUE"""),"Email")</f>
        <v>Email</v>
      </c>
      <c r="H758" s="131"/>
      <c r="I758" s="144"/>
      <c r="J758" s="129">
        <f>IFERROR(__xludf.DUMMYFUNCTION("""COMPUTED_VALUE"""),44376.0)</f>
        <v>44376</v>
      </c>
      <c r="K758" s="133">
        <f>IFERROR(__xludf.DUMMYFUNCTION("""COMPUTED_VALUE"""),46.0)</f>
        <v>46</v>
      </c>
      <c r="L758" s="133">
        <f>IFERROR(__xludf.DUMMYFUNCTION("""COMPUTED_VALUE"""),4.0)</f>
        <v>4</v>
      </c>
      <c r="M758" s="133">
        <f>IFERROR(__xludf.DUMMYFUNCTION("""COMPUTED_VALUE"""),50.0)</f>
        <v>50</v>
      </c>
      <c r="N758" s="152" t="str">
        <f>IFERROR(__xludf.DUMMYFUNCTION("""COMPUTED_VALUE"""),"Model 3 LR AWD")</f>
        <v>Model 3 LR AWD</v>
      </c>
      <c r="O758" s="152" t="str">
        <f>IFERROR(__xludf.DUMMYFUNCTION("""COMPUTED_VALUE"""),"Midnight Silver Metallic")</f>
        <v>Midnight Silver Metallic</v>
      </c>
      <c r="P758" s="153" t="str">
        <f>IFERROR(__xludf.DUMMYFUNCTION("""COMPUTED_VALUE"""),"18 inch")</f>
        <v>18 inch</v>
      </c>
      <c r="Q758" s="152" t="str">
        <f>IFERROR(__xludf.DUMMYFUNCTION("""COMPUTED_VALUE"""),"All Black")</f>
        <v>All Black</v>
      </c>
      <c r="R758" s="149" t="str">
        <f>IFERROR(__xludf.DUMMYFUNCTION("""COMPUTED_VALUE"""),"Autopilot included")</f>
        <v>Autopilot included</v>
      </c>
      <c r="S758" s="149" t="str">
        <f>IFERROR(__xludf.DUMMYFUNCTION("""COMPUTED_VALUE"""),"Loan")</f>
        <v>Loan</v>
      </c>
      <c r="T758" s="145" t="str">
        <f>IFERROR(__xludf.DUMMYFUNCTION("""COMPUTED_VALUE"""),"Mazda CX-5")</f>
        <v>Mazda CX-5</v>
      </c>
      <c r="U758" s="145" t="str">
        <f>IFERROR(__xludf.DUMMYFUNCTION("""COMPUTED_VALUE"""),"Electric!")</f>
        <v>Electric!</v>
      </c>
      <c r="V758" s="145" t="str">
        <f>IFERROR(__xludf.DUMMYFUNCTION("""COMPUTED_VALUE"""),"Apple CarPlay / Android Auto / SiriusXM Radio")</f>
        <v>Apple CarPlay / Android Auto / SiriusXM Radio</v>
      </c>
      <c r="W758" s="145"/>
      <c r="X758" s="137" t="str">
        <f>IFERROR(__xludf.DUMMYFUNCTION("""COMPUTED_VALUE"""),"Very Good")</f>
        <v>Very Good</v>
      </c>
      <c r="Y758" s="138" t="str">
        <f>IFERROR(__xludf.DUMMYFUNCTION("""COMPUTED_VALUE"""),"Excellent")</f>
        <v>Excellent</v>
      </c>
      <c r="Z758" s="138" t="str">
        <f>IFERROR(__xludf.DUMMYFUNCTION("""COMPUTED_VALUE"""),"Excellent")</f>
        <v>Excellent</v>
      </c>
      <c r="AA758" s="138" t="str">
        <f>IFERROR(__xludf.DUMMYFUNCTION("""COMPUTED_VALUE"""),"Excellent")</f>
        <v>Excellent</v>
      </c>
      <c r="AB758" s="138" t="str">
        <f>IFERROR(__xludf.DUMMYFUNCTION("""COMPUTED_VALUE"""),"Excellent")</f>
        <v>Excellent</v>
      </c>
      <c r="AC758" s="139"/>
      <c r="AD758" s="139"/>
      <c r="AE758" s="139"/>
      <c r="AF758" s="140"/>
      <c r="AG758" s="145"/>
      <c r="AH758" s="157">
        <f>IFERROR(__xludf.DUMMYFUNCTION("""COMPUTED_VALUE"""),44383.61948368055)</f>
        <v>44383.61948</v>
      </c>
      <c r="AI758" s="138"/>
      <c r="AJ758" s="138"/>
      <c r="AK758" s="138"/>
      <c r="AL758" s="142"/>
    </row>
    <row r="759" ht="20.25" customHeight="1">
      <c r="A759" s="155" t="str">
        <f>IFERROR(__xludf.DUMMYFUNCTION("""COMPUTED_VALUE"""),"OkieDokieTM3")</f>
        <v>OkieDokieTM3</v>
      </c>
      <c r="B759" s="149" t="str">
        <f>IFERROR(__xludf.DUMMYFUNCTION("""COMPUTED_VALUE"""),"Oklahoma City")</f>
        <v>Oklahoma City</v>
      </c>
      <c r="C759" s="149" t="str">
        <f>IFERROR(__xludf.DUMMYFUNCTION("""COMPUTED_VALUE"""),"OK")</f>
        <v>OK</v>
      </c>
      <c r="D759" s="149" t="str">
        <f>IFERROR(__xludf.DUMMYFUNCTION("""COMPUTED_VALUE"""),"USA")</f>
        <v>USA</v>
      </c>
      <c r="E759" s="156">
        <f>IFERROR(__xludf.DUMMYFUNCTION("""COMPUTED_VALUE"""),44326.0)</f>
        <v>44326</v>
      </c>
      <c r="F759" s="129">
        <f>IFERROR(__xludf.DUMMYFUNCTION("""COMPUTED_VALUE"""),44349.0)</f>
        <v>44349</v>
      </c>
      <c r="G759" s="154" t="str">
        <f>IFERROR(__xludf.DUMMYFUNCTION("""COMPUTED_VALUE"""),"Email")</f>
        <v>Email</v>
      </c>
      <c r="H759" s="131">
        <f>IFERROR(__xludf.DUMMYFUNCTION("""COMPUTED_VALUE"""),983355.0)</f>
        <v>983355</v>
      </c>
      <c r="I759" s="144" t="str">
        <f>IFERROR(__xludf.DUMMYFUNCTION("""COMPUTED_VALUE"""),"06/21")</f>
        <v>06/21</v>
      </c>
      <c r="J759" s="129">
        <f>IFERROR(__xludf.DUMMYFUNCTION("""COMPUTED_VALUE"""),44363.0)</f>
        <v>44363</v>
      </c>
      <c r="K759" s="133">
        <f>IFERROR(__xludf.DUMMYFUNCTION("""COMPUTED_VALUE"""),23.0)</f>
        <v>23</v>
      </c>
      <c r="L759" s="133">
        <f>IFERROR(__xludf.DUMMYFUNCTION("""COMPUTED_VALUE"""),14.0)</f>
        <v>14</v>
      </c>
      <c r="M759" s="133">
        <f>IFERROR(__xludf.DUMMYFUNCTION("""COMPUTED_VALUE"""),37.0)</f>
        <v>37</v>
      </c>
      <c r="N759" s="152" t="str">
        <f>IFERROR(__xludf.DUMMYFUNCTION("""COMPUTED_VALUE"""),"Model 3 LR AWD")</f>
        <v>Model 3 LR AWD</v>
      </c>
      <c r="O759" s="152" t="str">
        <f>IFERROR(__xludf.DUMMYFUNCTION("""COMPUTED_VALUE"""),"Pearl White Multi-Coat")</f>
        <v>Pearl White Multi-Coat</v>
      </c>
      <c r="P759" s="153" t="str">
        <f>IFERROR(__xludf.DUMMYFUNCTION("""COMPUTED_VALUE"""),"18 inch")</f>
        <v>18 inch</v>
      </c>
      <c r="Q759" s="152" t="str">
        <f>IFERROR(__xludf.DUMMYFUNCTION("""COMPUTED_VALUE"""),"All Black")</f>
        <v>All Black</v>
      </c>
      <c r="R759" s="149" t="str">
        <f>IFERROR(__xludf.DUMMYFUNCTION("""COMPUTED_VALUE"""),"Autopilot included")</f>
        <v>Autopilot included</v>
      </c>
      <c r="S759" s="149" t="str">
        <f>IFERROR(__xludf.DUMMYFUNCTION("""COMPUTED_VALUE"""),"Cash")</f>
        <v>Cash</v>
      </c>
      <c r="T759" s="145" t="str">
        <f>IFERROR(__xludf.DUMMYFUNCTION("""COMPUTED_VALUE"""),"Toyota Avalon")</f>
        <v>Toyota Avalon</v>
      </c>
      <c r="U759" s="145" t="str">
        <f>IFERROR(__xludf.DUMMYFUNCTION("""COMPUTED_VALUE"""),"Electric!")</f>
        <v>Electric!</v>
      </c>
      <c r="V759" s="145" t="str">
        <f>IFERROR(__xludf.DUMMYFUNCTION("""COMPUTED_VALUE"""),"Head-up display")</f>
        <v>Head-up display</v>
      </c>
      <c r="W759" s="145"/>
      <c r="X759" s="137" t="str">
        <f>IFERROR(__xludf.DUMMYFUNCTION("""COMPUTED_VALUE"""),"Very Good")</f>
        <v>Very Good</v>
      </c>
      <c r="Y759" s="138" t="str">
        <f>IFERROR(__xludf.DUMMYFUNCTION("""COMPUTED_VALUE"""),"Excellent")</f>
        <v>Excellent</v>
      </c>
      <c r="Z759" s="138" t="str">
        <f>IFERROR(__xludf.DUMMYFUNCTION("""COMPUTED_VALUE"""),"Very Good")</f>
        <v>Very Good</v>
      </c>
      <c r="AA759" s="138" t="str">
        <f>IFERROR(__xludf.DUMMYFUNCTION("""COMPUTED_VALUE"""),"Good")</f>
        <v>Good</v>
      </c>
      <c r="AB759" s="138" t="str">
        <f>IFERROR(__xludf.DUMMYFUNCTION("""COMPUTED_VALUE"""),"Very Good")</f>
        <v>Very Good</v>
      </c>
      <c r="AC759" s="139"/>
      <c r="AD759" s="139"/>
      <c r="AE759" s="139"/>
      <c r="AF759" s="140" t="str">
        <f>IFERROR(__xludf.DUMMYFUNCTION("""COMPUTED_VALUE"""),"No. I took delivery of the first car Tesla was able to deliver.")</f>
        <v>No. I took delivery of the first car Tesla was able to deliver.</v>
      </c>
      <c r="AG759" s="145"/>
      <c r="AH759" s="157">
        <f>IFERROR(__xludf.DUMMYFUNCTION("""COMPUTED_VALUE"""),44364.877462812496)</f>
        <v>44364.87746</v>
      </c>
      <c r="AI759" s="138"/>
      <c r="AJ759" s="138"/>
      <c r="AK759" s="138"/>
      <c r="AL759" s="142"/>
    </row>
    <row r="760" ht="20.25" customHeight="1">
      <c r="A760" s="155" t="str">
        <f>IFERROR(__xludf.DUMMYFUNCTION("""COMPUTED_VALUE"""),"Piffle")</f>
        <v>Piffle</v>
      </c>
      <c r="B760" s="149" t="str">
        <f>IFERROR(__xludf.DUMMYFUNCTION("""COMPUTED_VALUE"""),"Charlotte")</f>
        <v>Charlotte</v>
      </c>
      <c r="C760" s="149" t="str">
        <f>IFERROR(__xludf.DUMMYFUNCTION("""COMPUTED_VALUE"""),"NC")</f>
        <v>NC</v>
      </c>
      <c r="D760" s="149" t="str">
        <f>IFERROR(__xludf.DUMMYFUNCTION("""COMPUTED_VALUE"""),"USA")</f>
        <v>USA</v>
      </c>
      <c r="E760" s="156">
        <f>IFERROR(__xludf.DUMMYFUNCTION("""COMPUTED_VALUE"""),44326.0)</f>
        <v>44326</v>
      </c>
      <c r="F760" s="129">
        <f>IFERROR(__xludf.DUMMYFUNCTION("""COMPUTED_VALUE"""),44426.0)</f>
        <v>44426</v>
      </c>
      <c r="G760" s="154" t="str">
        <f>IFERROR(__xludf.DUMMYFUNCTION("""COMPUTED_VALUE"""),"Manage order page (normal text)")</f>
        <v>Manage order page (normal text)</v>
      </c>
      <c r="H760" s="131">
        <f>IFERROR(__xludf.DUMMYFUNCTION("""COMPUTED_VALUE"""),44655.0)</f>
        <v>44655</v>
      </c>
      <c r="I760" s="144" t="str">
        <f>IFERROR(__xludf.DUMMYFUNCTION("""COMPUTED_VALUE"""),"08/21")</f>
        <v>08/21</v>
      </c>
      <c r="J760" s="129">
        <f>IFERROR(__xludf.DUMMYFUNCTION("""COMPUTED_VALUE"""),44441.0)</f>
        <v>44441</v>
      </c>
      <c r="K760" s="133">
        <f>IFERROR(__xludf.DUMMYFUNCTION("""COMPUTED_VALUE"""),100.0)</f>
        <v>100</v>
      </c>
      <c r="L760" s="133">
        <f>IFERROR(__xludf.DUMMYFUNCTION("""COMPUTED_VALUE"""),15.0)</f>
        <v>15</v>
      </c>
      <c r="M760" s="133">
        <f>IFERROR(__xludf.DUMMYFUNCTION("""COMPUTED_VALUE"""),115.0)</f>
        <v>115</v>
      </c>
      <c r="N760" s="152" t="str">
        <f>IFERROR(__xludf.DUMMYFUNCTION("""COMPUTED_VALUE"""),"Model 3 LR AWD")</f>
        <v>Model 3 LR AWD</v>
      </c>
      <c r="O760" s="152" t="str">
        <f>IFERROR(__xludf.DUMMYFUNCTION("""COMPUTED_VALUE"""),"Pearl White Multi-Coat")</f>
        <v>Pearl White Multi-Coat</v>
      </c>
      <c r="P760" s="153" t="str">
        <f>IFERROR(__xludf.DUMMYFUNCTION("""COMPUTED_VALUE"""),"18 inch")</f>
        <v>18 inch</v>
      </c>
      <c r="Q760" s="152" t="str">
        <f>IFERROR(__xludf.DUMMYFUNCTION("""COMPUTED_VALUE"""),"All Black")</f>
        <v>All Black</v>
      </c>
      <c r="R760" s="149" t="str">
        <f>IFERROR(__xludf.DUMMYFUNCTION("""COMPUTED_VALUE"""),"Autopilot included")</f>
        <v>Autopilot included</v>
      </c>
      <c r="S760" s="149" t="str">
        <f>IFERROR(__xludf.DUMMYFUNCTION("""COMPUTED_VALUE"""),"Loan")</f>
        <v>Loan</v>
      </c>
      <c r="T760" s="145" t="str">
        <f>IFERROR(__xludf.DUMMYFUNCTION("""COMPUTED_VALUE"""),"1500 Silverado")</f>
        <v>1500 Silverado</v>
      </c>
      <c r="U760" s="145" t="str">
        <f>IFERROR(__xludf.DUMMYFUNCTION("""COMPUTED_VALUE"""),"Electric!")</f>
        <v>Electric!</v>
      </c>
      <c r="V760" s="145" t="str">
        <f>IFERROR(__xludf.DUMMYFUNCTION("""COMPUTED_VALUE"""),"Apple CarPlay / Android Auto / SiriusXM Radio")</f>
        <v>Apple CarPlay / Android Auto / SiriusXM Radio</v>
      </c>
      <c r="W760" s="145"/>
      <c r="X760" s="137" t="str">
        <f>IFERROR(__xludf.DUMMYFUNCTION("""COMPUTED_VALUE"""),"Excellent")</f>
        <v>Excellent</v>
      </c>
      <c r="Y760" s="138" t="str">
        <f>IFERROR(__xludf.DUMMYFUNCTION("""COMPUTED_VALUE"""),"Excellent")</f>
        <v>Excellent</v>
      </c>
      <c r="Z760" s="138" t="str">
        <f>IFERROR(__xludf.DUMMYFUNCTION("""COMPUTED_VALUE"""),"Very Good")</f>
        <v>Very Good</v>
      </c>
      <c r="AA760" s="138" t="str">
        <f>IFERROR(__xludf.DUMMYFUNCTION("""COMPUTED_VALUE"""),"Poor")</f>
        <v>Poor</v>
      </c>
      <c r="AB760" s="138" t="str">
        <f>IFERROR(__xludf.DUMMYFUNCTION("""COMPUTED_VALUE"""),"Very Good")</f>
        <v>Very Good</v>
      </c>
      <c r="AC760" s="139">
        <f>IFERROR(__xludf.DUMMYFUNCTION("""COMPUTED_VALUE"""),2.0)</f>
        <v>2</v>
      </c>
      <c r="AD760" s="139"/>
      <c r="AE760" s="139"/>
      <c r="AF760" s="140" t="str">
        <f>IFERROR(__xludf.DUMMYFUNCTION("""COMPUTED_VALUE"""),"No. I took delivery of the first car Tesla was able to deliver.")</f>
        <v>No. I took delivery of the first car Tesla was able to deliver.</v>
      </c>
      <c r="AG760" s="145"/>
      <c r="AH760" s="157">
        <f>IFERROR(__xludf.DUMMYFUNCTION("""COMPUTED_VALUE"""),44444.80824369213)</f>
        <v>44444.80824</v>
      </c>
      <c r="AI760" s="138"/>
      <c r="AJ760" s="138"/>
      <c r="AK760" s="138"/>
      <c r="AL760" s="142"/>
    </row>
    <row r="761" ht="20.25" customHeight="1">
      <c r="A761" s="155" t="str">
        <f>IFERROR(__xludf.DUMMYFUNCTION("""COMPUTED_VALUE"""),"suzyqube")</f>
        <v>suzyqube</v>
      </c>
      <c r="B761" s="149" t="str">
        <f>IFERROR(__xludf.DUMMYFUNCTION("""COMPUTED_VALUE"""),"Glendale")</f>
        <v>Glendale</v>
      </c>
      <c r="C761" s="149" t="str">
        <f>IFERROR(__xludf.DUMMYFUNCTION("""COMPUTED_VALUE"""),"AZ")</f>
        <v>AZ</v>
      </c>
      <c r="D761" s="149" t="str">
        <f>IFERROR(__xludf.DUMMYFUNCTION("""COMPUTED_VALUE"""),"USA")</f>
        <v>USA</v>
      </c>
      <c r="E761" s="156">
        <f>IFERROR(__xludf.DUMMYFUNCTION("""COMPUTED_VALUE"""),44325.0)</f>
        <v>44325</v>
      </c>
      <c r="F761" s="129">
        <f>IFERROR(__xludf.DUMMYFUNCTION("""COMPUTED_VALUE"""),44367.0)</f>
        <v>44367</v>
      </c>
      <c r="G761" s="154" t="str">
        <f>IFERROR(__xludf.DUMMYFUNCTION("""COMPUTED_VALUE"""),"Text message")</f>
        <v>Text message</v>
      </c>
      <c r="H761" s="131">
        <f>IFERROR(__xludf.DUMMYFUNCTION("""COMPUTED_VALUE"""),996355.0)</f>
        <v>996355</v>
      </c>
      <c r="I761" s="144"/>
      <c r="J761" s="129">
        <f>IFERROR(__xludf.DUMMYFUNCTION("""COMPUTED_VALUE"""),44369.0)</f>
        <v>44369</v>
      </c>
      <c r="K761" s="133">
        <f>IFERROR(__xludf.DUMMYFUNCTION("""COMPUTED_VALUE"""),42.0)</f>
        <v>42</v>
      </c>
      <c r="L761" s="133">
        <f>IFERROR(__xludf.DUMMYFUNCTION("""COMPUTED_VALUE"""),2.0)</f>
        <v>2</v>
      </c>
      <c r="M761" s="133">
        <f>IFERROR(__xludf.DUMMYFUNCTION("""COMPUTED_VALUE"""),44.0)</f>
        <v>44</v>
      </c>
      <c r="N761" s="152" t="str">
        <f>IFERROR(__xludf.DUMMYFUNCTION("""COMPUTED_VALUE"""),"Model 3 SR+")</f>
        <v>Model 3 SR+</v>
      </c>
      <c r="O761" s="152" t="str">
        <f>IFERROR(__xludf.DUMMYFUNCTION("""COMPUTED_VALUE"""),"Midnight Silver Metallic")</f>
        <v>Midnight Silver Metallic</v>
      </c>
      <c r="P761" s="153" t="str">
        <f>IFERROR(__xludf.DUMMYFUNCTION("""COMPUTED_VALUE"""),"18 inch")</f>
        <v>18 inch</v>
      </c>
      <c r="Q761" s="152" t="str">
        <f>IFERROR(__xludf.DUMMYFUNCTION("""COMPUTED_VALUE"""),"All Black")</f>
        <v>All Black</v>
      </c>
      <c r="R761" s="149" t="str">
        <f>IFERROR(__xludf.DUMMYFUNCTION("""COMPUTED_VALUE"""),"Autopilot included")</f>
        <v>Autopilot included</v>
      </c>
      <c r="S761" s="149" t="str">
        <f>IFERROR(__xludf.DUMMYFUNCTION("""COMPUTED_VALUE"""),"Loan")</f>
        <v>Loan</v>
      </c>
      <c r="T761" s="145" t="str">
        <f>IFERROR(__xludf.DUMMYFUNCTION("""COMPUTED_VALUE"""),"GMC Envoy")</f>
        <v>GMC Envoy</v>
      </c>
      <c r="U761" s="145" t="str">
        <f>IFERROR(__xludf.DUMMYFUNCTION("""COMPUTED_VALUE"""),"Electric!")</f>
        <v>Electric!</v>
      </c>
      <c r="V761" s="145" t="str">
        <f>IFERROR(__xludf.DUMMYFUNCTION("""COMPUTED_VALUE"""),"Apple CarPlay / Android Auto / SiriusXM Radio")</f>
        <v>Apple CarPlay / Android Auto / SiriusXM Radio</v>
      </c>
      <c r="W761" s="145"/>
      <c r="X761" s="137" t="str">
        <f>IFERROR(__xludf.DUMMYFUNCTION("""COMPUTED_VALUE"""),"Excellent")</f>
        <v>Excellent</v>
      </c>
      <c r="Y761" s="138" t="str">
        <f>IFERROR(__xludf.DUMMYFUNCTION("""COMPUTED_VALUE"""),"Excellent")</f>
        <v>Excellent</v>
      </c>
      <c r="Z761" s="138" t="str">
        <f>IFERROR(__xludf.DUMMYFUNCTION("""COMPUTED_VALUE"""),"Excellent")</f>
        <v>Excellent</v>
      </c>
      <c r="AA761" s="138" t="str">
        <f>IFERROR(__xludf.DUMMYFUNCTION("""COMPUTED_VALUE"""),"Excellent")</f>
        <v>Excellent</v>
      </c>
      <c r="AB761" s="138" t="str">
        <f>IFERROR(__xludf.DUMMYFUNCTION("""COMPUTED_VALUE"""),"Excellent")</f>
        <v>Excellent</v>
      </c>
      <c r="AC761" s="139">
        <f>IFERROR(__xludf.DUMMYFUNCTION("""COMPUTED_VALUE"""),1.0)</f>
        <v>1</v>
      </c>
      <c r="AD761" s="139">
        <f>IFERROR(__xludf.DUMMYFUNCTION("""COMPUTED_VALUE"""),1.0)</f>
        <v>1</v>
      </c>
      <c r="AE761" s="139">
        <f>IFERROR(__xludf.DUMMYFUNCTION("""COMPUTED_VALUE"""),0.0)</f>
        <v>0</v>
      </c>
      <c r="AF761" s="140" t="str">
        <f>IFERROR(__xludf.DUMMYFUNCTION("""COMPUTED_VALUE"""),"No. I took delivery of the first car Tesla was able to deliver.")</f>
        <v>No. I took delivery of the first car Tesla was able to deliver.</v>
      </c>
      <c r="AG761" s="145"/>
      <c r="AH761" s="157">
        <f>IFERROR(__xludf.DUMMYFUNCTION("""COMPUTED_VALUE"""),44370.59117554398)</f>
        <v>44370.59118</v>
      </c>
      <c r="AI761" s="138"/>
      <c r="AJ761" s="138"/>
      <c r="AK761" s="138"/>
      <c r="AL761" s="142"/>
    </row>
    <row r="762" ht="20.25" customHeight="1">
      <c r="A762" s="155" t="str">
        <f>IFERROR(__xludf.DUMMYFUNCTION("""COMPUTED_VALUE"""),"wjwide")</f>
        <v>wjwide</v>
      </c>
      <c r="B762" s="149"/>
      <c r="C762" s="149" t="str">
        <f>IFERROR(__xludf.DUMMYFUNCTION("""COMPUTED_VALUE"""),"KY")</f>
        <v>KY</v>
      </c>
      <c r="D762" s="149" t="str">
        <f>IFERROR(__xludf.DUMMYFUNCTION("""COMPUTED_VALUE"""),"USA")</f>
        <v>USA</v>
      </c>
      <c r="E762" s="156">
        <f>IFERROR(__xludf.DUMMYFUNCTION("""COMPUTED_VALUE"""),44325.0)</f>
        <v>44325</v>
      </c>
      <c r="F762" s="129">
        <f>IFERROR(__xludf.DUMMYFUNCTION("""COMPUTED_VALUE"""),44352.0)</f>
        <v>44352</v>
      </c>
      <c r="G762" s="154" t="str">
        <f>IFERROR(__xludf.DUMMYFUNCTION("""COMPUTED_VALUE"""),"Manage order page (normal text)")</f>
        <v>Manage order page (normal text)</v>
      </c>
      <c r="H762" s="131"/>
      <c r="I762" s="144"/>
      <c r="J762" s="129">
        <f>IFERROR(__xludf.DUMMYFUNCTION("""COMPUTED_VALUE"""),44361.0)</f>
        <v>44361</v>
      </c>
      <c r="K762" s="133">
        <f>IFERROR(__xludf.DUMMYFUNCTION("""COMPUTED_VALUE"""),27.0)</f>
        <v>27</v>
      </c>
      <c r="L762" s="133">
        <f>IFERROR(__xludf.DUMMYFUNCTION("""COMPUTED_VALUE"""),9.0)</f>
        <v>9</v>
      </c>
      <c r="M762" s="133">
        <f>IFERROR(__xludf.DUMMYFUNCTION("""COMPUTED_VALUE"""),36.0)</f>
        <v>36</v>
      </c>
      <c r="N762" s="152" t="str">
        <f>IFERROR(__xludf.DUMMYFUNCTION("""COMPUTED_VALUE"""),"Model 3 LR AWD")</f>
        <v>Model 3 LR AWD</v>
      </c>
      <c r="O762" s="152" t="str">
        <f>IFERROR(__xludf.DUMMYFUNCTION("""COMPUTED_VALUE"""),"Red Multi-Coat")</f>
        <v>Red Multi-Coat</v>
      </c>
      <c r="P762" s="153" t="str">
        <f>IFERROR(__xludf.DUMMYFUNCTION("""COMPUTED_VALUE"""),"19 inch")</f>
        <v>19 inch</v>
      </c>
      <c r="Q762" s="152" t="str">
        <f>IFERROR(__xludf.DUMMYFUNCTION("""COMPUTED_VALUE"""),"All Black")</f>
        <v>All Black</v>
      </c>
      <c r="R762" s="149" t="str">
        <f>IFERROR(__xludf.DUMMYFUNCTION("""COMPUTED_VALUE"""),"Autopilot included")</f>
        <v>Autopilot included</v>
      </c>
      <c r="S762" s="149" t="str">
        <f>IFERROR(__xludf.DUMMYFUNCTION("""COMPUTED_VALUE"""),"Cash")</f>
        <v>Cash</v>
      </c>
      <c r="T762" s="145"/>
      <c r="U762" s="145"/>
      <c r="V762" s="145"/>
      <c r="W762" s="145" t="str">
        <f>IFERROR(__xludf.DUMMYFUNCTION("""COMPUTED_VALUE"""),"Check the gaps and take your time going over everything.")</f>
        <v>Check the gaps and take your time going over everything.</v>
      </c>
      <c r="X762" s="137" t="str">
        <f>IFERROR(__xludf.DUMMYFUNCTION("""COMPUTED_VALUE"""),"Good")</f>
        <v>Good</v>
      </c>
      <c r="Y762" s="138" t="str">
        <f>IFERROR(__xludf.DUMMYFUNCTION("""COMPUTED_VALUE"""),"Very Good")</f>
        <v>Very Good</v>
      </c>
      <c r="Z762" s="138" t="str">
        <f>IFERROR(__xludf.DUMMYFUNCTION("""COMPUTED_VALUE"""),"Very Good")</f>
        <v>Very Good</v>
      </c>
      <c r="AA762" s="138" t="str">
        <f>IFERROR(__xludf.DUMMYFUNCTION("""COMPUTED_VALUE"""),"Fair")</f>
        <v>Fair</v>
      </c>
      <c r="AB762" s="138" t="str">
        <f>IFERROR(__xludf.DUMMYFUNCTION("""COMPUTED_VALUE"""),"Excellent")</f>
        <v>Excellent</v>
      </c>
      <c r="AC762" s="139">
        <f>IFERROR(__xludf.DUMMYFUNCTION("""COMPUTED_VALUE"""),2.0)</f>
        <v>2</v>
      </c>
      <c r="AD762" s="139">
        <f>IFERROR(__xludf.DUMMYFUNCTION("""COMPUTED_VALUE"""),1.0)</f>
        <v>1</v>
      </c>
      <c r="AE762" s="139">
        <f>IFERROR(__xludf.DUMMYFUNCTION("""COMPUTED_VALUE"""),7.0)</f>
        <v>7</v>
      </c>
      <c r="AF762" s="140"/>
      <c r="AG762" s="145"/>
      <c r="AH762" s="157">
        <f>IFERROR(__xludf.DUMMYFUNCTION("""COMPUTED_VALUE"""),44363.64685502315)</f>
        <v>44363.64686</v>
      </c>
      <c r="AI762" s="138"/>
      <c r="AJ762" s="138"/>
      <c r="AK762" s="138"/>
      <c r="AL762" s="142"/>
    </row>
    <row r="763" ht="20.25" customHeight="1">
      <c r="A763" s="155" t="str">
        <f>IFERROR(__xludf.DUMMYFUNCTION("""COMPUTED_VALUE"""),"Stephezy")</f>
        <v>Stephezy</v>
      </c>
      <c r="B763" s="149" t="str">
        <f>IFERROR(__xludf.DUMMYFUNCTION("""COMPUTED_VALUE"""),"Brooklyn")</f>
        <v>Brooklyn</v>
      </c>
      <c r="C763" s="149" t="str">
        <f>IFERROR(__xludf.DUMMYFUNCTION("""COMPUTED_VALUE"""),"NY")</f>
        <v>NY</v>
      </c>
      <c r="D763" s="149" t="str">
        <f>IFERROR(__xludf.DUMMYFUNCTION("""COMPUTED_VALUE"""),"USA")</f>
        <v>USA</v>
      </c>
      <c r="E763" s="156">
        <f>IFERROR(__xludf.DUMMYFUNCTION("""COMPUTED_VALUE"""),44324.0)</f>
        <v>44324</v>
      </c>
      <c r="F763" s="129">
        <f>IFERROR(__xludf.DUMMYFUNCTION("""COMPUTED_VALUE"""),44354.0)</f>
        <v>44354</v>
      </c>
      <c r="G763" s="154" t="str">
        <f>IFERROR(__xludf.DUMMYFUNCTION("""COMPUTED_VALUE"""),"Manage order page (normal text)")</f>
        <v>Manage order page (normal text)</v>
      </c>
      <c r="H763" s="131"/>
      <c r="I763" s="144"/>
      <c r="J763" s="129">
        <f>IFERROR(__xludf.DUMMYFUNCTION("""COMPUTED_VALUE"""),44361.0)</f>
        <v>44361</v>
      </c>
      <c r="K763" s="133">
        <f>IFERROR(__xludf.DUMMYFUNCTION("""COMPUTED_VALUE"""),30.0)</f>
        <v>30</v>
      </c>
      <c r="L763" s="133">
        <f>IFERROR(__xludf.DUMMYFUNCTION("""COMPUTED_VALUE"""),7.0)</f>
        <v>7</v>
      </c>
      <c r="M763" s="133">
        <f>IFERROR(__xludf.DUMMYFUNCTION("""COMPUTED_VALUE"""),37.0)</f>
        <v>37</v>
      </c>
      <c r="N763" s="152" t="str">
        <f>IFERROR(__xludf.DUMMYFUNCTION("""COMPUTED_VALUE"""),"Model 3 SR+")</f>
        <v>Model 3 SR+</v>
      </c>
      <c r="O763" s="152" t="str">
        <f>IFERROR(__xludf.DUMMYFUNCTION("""COMPUTED_VALUE"""),"Pearl White Multi-Coat")</f>
        <v>Pearl White Multi-Coat</v>
      </c>
      <c r="P763" s="153" t="str">
        <f>IFERROR(__xludf.DUMMYFUNCTION("""COMPUTED_VALUE"""),"18 inch")</f>
        <v>18 inch</v>
      </c>
      <c r="Q763" s="152" t="str">
        <f>IFERROR(__xludf.DUMMYFUNCTION("""COMPUTED_VALUE"""),"All Black")</f>
        <v>All Black</v>
      </c>
      <c r="R763" s="149" t="str">
        <f>IFERROR(__xludf.DUMMYFUNCTION("""COMPUTED_VALUE"""),"Autopilot included")</f>
        <v>Autopilot included</v>
      </c>
      <c r="S763" s="149" t="str">
        <f>IFERROR(__xludf.DUMMYFUNCTION("""COMPUTED_VALUE"""),"Loan")</f>
        <v>Loan</v>
      </c>
      <c r="T763" s="145" t="str">
        <f>IFERROR(__xludf.DUMMYFUNCTION("""COMPUTED_VALUE"""),"Audi A7")</f>
        <v>Audi A7</v>
      </c>
      <c r="U763" s="145" t="str">
        <f>IFERROR(__xludf.DUMMYFUNCTION("""COMPUTED_VALUE"""),"Electric!")</f>
        <v>Electric!</v>
      </c>
      <c r="V763" s="145" t="str">
        <f>IFERROR(__xludf.DUMMYFUNCTION("""COMPUTED_VALUE"""),"360° Bird's eye view")</f>
        <v>360° Bird's eye view</v>
      </c>
      <c r="W763" s="145" t="str">
        <f>IFERROR(__xludf.DUMMYFUNCTION("""COMPUTED_VALUE"""),"Exercise patience, we really are on Tesla timing after we submit...and don't buy used from Tesla, find a dealer")</f>
        <v>Exercise patience, we really are on Tesla timing after we submit...and don't buy used from Tesla, find a dealer</v>
      </c>
      <c r="X763" s="137" t="str">
        <f>IFERROR(__xludf.DUMMYFUNCTION("""COMPUTED_VALUE"""),"Good")</f>
        <v>Good</v>
      </c>
      <c r="Y763" s="138" t="str">
        <f>IFERROR(__xludf.DUMMYFUNCTION("""COMPUTED_VALUE"""),"Very Good")</f>
        <v>Very Good</v>
      </c>
      <c r="Z763" s="138" t="str">
        <f>IFERROR(__xludf.DUMMYFUNCTION("""COMPUTED_VALUE"""),"Excellent")</f>
        <v>Excellent</v>
      </c>
      <c r="AA763" s="138" t="str">
        <f>IFERROR(__xludf.DUMMYFUNCTION("""COMPUTED_VALUE"""),"Excellent")</f>
        <v>Excellent</v>
      </c>
      <c r="AB763" s="138" t="str">
        <f>IFERROR(__xludf.DUMMYFUNCTION("""COMPUTED_VALUE"""),"Excellent")</f>
        <v>Excellent</v>
      </c>
      <c r="AC763" s="139"/>
      <c r="AD763" s="139"/>
      <c r="AE763" s="139"/>
      <c r="AF763" s="140" t="str">
        <f>IFERROR(__xludf.DUMMYFUNCTION("""COMPUTED_VALUE"""),"No. I took delivery of the first car Tesla was able to deliver.")</f>
        <v>No. I took delivery of the first car Tesla was able to deliver.</v>
      </c>
      <c r="AG763" s="145" t="str">
        <f>IFERROR(__xludf.DUMMYFUNCTION("""COMPUTED_VALUE"""),"Spend the extra money if you decide to tint, a skilled shop can make the rear tint look seamless with the roof")</f>
        <v>Spend the extra money if you decide to tint, a skilled shop can make the rear tint look seamless with the roof</v>
      </c>
      <c r="AH763" s="157">
        <f>IFERROR(__xludf.DUMMYFUNCTION("""COMPUTED_VALUE"""),44363.07690512732)</f>
        <v>44363.07691</v>
      </c>
      <c r="AI763" s="138"/>
      <c r="AJ763" s="138"/>
      <c r="AK763" s="138"/>
      <c r="AL763" s="142"/>
    </row>
    <row r="764" ht="20.25" customHeight="1">
      <c r="A764" s="155" t="str">
        <f>IFERROR(__xludf.DUMMYFUNCTION("""COMPUTED_VALUE"""),"Anonsvp")</f>
        <v>Anonsvp</v>
      </c>
      <c r="B764" s="149"/>
      <c r="C764" s="149"/>
      <c r="D764" s="149" t="str">
        <f>IFERROR(__xludf.DUMMYFUNCTION("""COMPUTED_VALUE"""),"Switzerland")</f>
        <v>Switzerland</v>
      </c>
      <c r="E764" s="156">
        <f>IFERROR(__xludf.DUMMYFUNCTION("""COMPUTED_VALUE"""),44323.0)</f>
        <v>44323</v>
      </c>
      <c r="F764" s="129">
        <f>IFERROR(__xludf.DUMMYFUNCTION("""COMPUTED_VALUE"""),44338.0)</f>
        <v>44338</v>
      </c>
      <c r="G764" s="154" t="str">
        <f>IFERROR(__xludf.DUMMYFUNCTION("""COMPUTED_VALUE"""),"Invoice")</f>
        <v>Invoice</v>
      </c>
      <c r="H764" s="131">
        <f>IFERROR(__xludf.DUMMYFUNCTION("""COMPUTED_VALUE"""),971755.0)</f>
        <v>971755</v>
      </c>
      <c r="I764" s="144"/>
      <c r="J764" s="129">
        <f>IFERROR(__xludf.DUMMYFUNCTION("""COMPUTED_VALUE"""),44372.0)</f>
        <v>44372</v>
      </c>
      <c r="K764" s="133">
        <f>IFERROR(__xludf.DUMMYFUNCTION("""COMPUTED_VALUE"""),15.0)</f>
        <v>15</v>
      </c>
      <c r="L764" s="133">
        <f>IFERROR(__xludf.DUMMYFUNCTION("""COMPUTED_VALUE"""),34.0)</f>
        <v>34</v>
      </c>
      <c r="M764" s="133">
        <f>IFERROR(__xludf.DUMMYFUNCTION("""COMPUTED_VALUE"""),49.0)</f>
        <v>49</v>
      </c>
      <c r="N764" s="152" t="str">
        <f>IFERROR(__xludf.DUMMYFUNCTION("""COMPUTED_VALUE"""),"Model 3 LR AWD")</f>
        <v>Model 3 LR AWD</v>
      </c>
      <c r="O764" s="152" t="str">
        <f>IFERROR(__xludf.DUMMYFUNCTION("""COMPUTED_VALUE"""),"Red Multi-Coat")</f>
        <v>Red Multi-Coat</v>
      </c>
      <c r="P764" s="153" t="str">
        <f>IFERROR(__xludf.DUMMYFUNCTION("""COMPUTED_VALUE"""),"18 inch")</f>
        <v>18 inch</v>
      </c>
      <c r="Q764" s="152" t="str">
        <f>IFERROR(__xludf.DUMMYFUNCTION("""COMPUTED_VALUE"""),"Black and White")</f>
        <v>Black and White</v>
      </c>
      <c r="R764" s="149" t="str">
        <f>IFERROR(__xludf.DUMMYFUNCTION("""COMPUTED_VALUE"""),"Full Self-Driving")</f>
        <v>Full Self-Driving</v>
      </c>
      <c r="S764" s="149" t="str">
        <f>IFERROR(__xludf.DUMMYFUNCTION("""COMPUTED_VALUE"""),"Cash")</f>
        <v>Cash</v>
      </c>
      <c r="T764" s="145" t="str">
        <f>IFERROR(__xludf.DUMMYFUNCTION("""COMPUTED_VALUE"""),"VW Polo")</f>
        <v>VW Polo</v>
      </c>
      <c r="U764" s="145" t="str">
        <f>IFERROR(__xludf.DUMMYFUNCTION("""COMPUTED_VALUE"""),"Autopilot")</f>
        <v>Autopilot</v>
      </c>
      <c r="V764" s="145" t="str">
        <f>IFERROR(__xludf.DUMMYFUNCTION("""COMPUTED_VALUE"""),"360° Bird's eye view")</f>
        <v>360° Bird's eye view</v>
      </c>
      <c r="W764" s="145"/>
      <c r="X764" s="137" t="str">
        <f>IFERROR(__xludf.DUMMYFUNCTION("""COMPUTED_VALUE"""),"Very Good")</f>
        <v>Very Good</v>
      </c>
      <c r="Y764" s="138" t="str">
        <f>IFERROR(__xludf.DUMMYFUNCTION("""COMPUTED_VALUE"""),"Very Good")</f>
        <v>Very Good</v>
      </c>
      <c r="Z764" s="138" t="str">
        <f>IFERROR(__xludf.DUMMYFUNCTION("""COMPUTED_VALUE"""),"Excellent")</f>
        <v>Excellent</v>
      </c>
      <c r="AA764" s="138" t="str">
        <f>IFERROR(__xludf.DUMMYFUNCTION("""COMPUTED_VALUE"""),"Excellent")</f>
        <v>Excellent</v>
      </c>
      <c r="AB764" s="138" t="str">
        <f>IFERROR(__xludf.DUMMYFUNCTION("""COMPUTED_VALUE"""),"Excellent")</f>
        <v>Excellent</v>
      </c>
      <c r="AC764" s="139"/>
      <c r="AD764" s="139"/>
      <c r="AE764" s="139"/>
      <c r="AF764" s="140" t="str">
        <f>IFERROR(__xludf.DUMMYFUNCTION("""COMPUTED_VALUE"""),"No. I took delivery of the first car Tesla was able to deliver.")</f>
        <v>No. I took delivery of the first car Tesla was able to deliver.</v>
      </c>
      <c r="AG764" s="145"/>
      <c r="AH764" s="157">
        <f>IFERROR(__xludf.DUMMYFUNCTION("""COMPUTED_VALUE"""),44372.643737754624)</f>
        <v>44372.64374</v>
      </c>
      <c r="AI764" s="138"/>
      <c r="AJ764" s="138"/>
      <c r="AK764" s="138"/>
      <c r="AL764" s="142"/>
    </row>
    <row r="765" ht="20.25" customHeight="1">
      <c r="A765" s="155" t="str">
        <f>IFERROR(__xludf.DUMMYFUNCTION("""COMPUTED_VALUE"""),"RnLWilson")</f>
        <v>RnLWilson</v>
      </c>
      <c r="B765" s="149" t="str">
        <f>IFERROR(__xludf.DUMMYFUNCTION("""COMPUTED_VALUE"""),"Pleasanton")</f>
        <v>Pleasanton</v>
      </c>
      <c r="C765" s="149" t="str">
        <f>IFERROR(__xludf.DUMMYFUNCTION("""COMPUTED_VALUE"""),"CA")</f>
        <v>CA</v>
      </c>
      <c r="D765" s="149" t="str">
        <f>IFERROR(__xludf.DUMMYFUNCTION("""COMPUTED_VALUE"""),"USA")</f>
        <v>USA</v>
      </c>
      <c r="E765" s="156">
        <f>IFERROR(__xludf.DUMMYFUNCTION("""COMPUTED_VALUE"""),44323.0)</f>
        <v>44323</v>
      </c>
      <c r="F765" s="129">
        <f>IFERROR(__xludf.DUMMYFUNCTION("""COMPUTED_VALUE"""),44372.0)</f>
        <v>44372</v>
      </c>
      <c r="G765" s="154" t="str">
        <f>IFERROR(__xludf.DUMMYFUNCTION("""COMPUTED_VALUE"""),"Manage order page (normal text)")</f>
        <v>Manage order page (normal text)</v>
      </c>
      <c r="H765" s="131">
        <f>IFERROR(__xludf.DUMMYFUNCTION("""COMPUTED_VALUE"""),2955.0)</f>
        <v>2955</v>
      </c>
      <c r="I765" s="144" t="str">
        <f>IFERROR(__xludf.DUMMYFUNCTION("""COMPUTED_VALUE"""),"06/21")</f>
        <v>06/21</v>
      </c>
      <c r="J765" s="129">
        <f>IFERROR(__xludf.DUMMYFUNCTION("""COMPUTED_VALUE"""),44374.0)</f>
        <v>44374</v>
      </c>
      <c r="K765" s="133">
        <f>IFERROR(__xludf.DUMMYFUNCTION("""COMPUTED_VALUE"""),49.0)</f>
        <v>49</v>
      </c>
      <c r="L765" s="133">
        <f>IFERROR(__xludf.DUMMYFUNCTION("""COMPUTED_VALUE"""),2.0)</f>
        <v>2</v>
      </c>
      <c r="M765" s="133">
        <f>IFERROR(__xludf.DUMMYFUNCTION("""COMPUTED_VALUE"""),51.0)</f>
        <v>51</v>
      </c>
      <c r="N765" s="152" t="str">
        <f>IFERROR(__xludf.DUMMYFUNCTION("""COMPUTED_VALUE"""),"Model 3 LR AWD")</f>
        <v>Model 3 LR AWD</v>
      </c>
      <c r="O765" s="152" t="str">
        <f>IFERROR(__xludf.DUMMYFUNCTION("""COMPUTED_VALUE"""),"Deep Blue Metallic")</f>
        <v>Deep Blue Metallic</v>
      </c>
      <c r="P765" s="153" t="str">
        <f>IFERROR(__xludf.DUMMYFUNCTION("""COMPUTED_VALUE"""),"18 inch")</f>
        <v>18 inch</v>
      </c>
      <c r="Q765" s="152" t="str">
        <f>IFERROR(__xludf.DUMMYFUNCTION("""COMPUTED_VALUE"""),"All Black")</f>
        <v>All Black</v>
      </c>
      <c r="R765" s="149" t="str">
        <f>IFERROR(__xludf.DUMMYFUNCTION("""COMPUTED_VALUE"""),"Autopilot included")</f>
        <v>Autopilot included</v>
      </c>
      <c r="S765" s="149" t="str">
        <f>IFERROR(__xludf.DUMMYFUNCTION("""COMPUTED_VALUE"""),"Loan")</f>
        <v>Loan</v>
      </c>
      <c r="T765" s="145" t="str">
        <f>IFERROR(__xludf.DUMMYFUNCTION("""COMPUTED_VALUE"""),"Chevy Sonic")</f>
        <v>Chevy Sonic</v>
      </c>
      <c r="U765" s="145" t="str">
        <f>IFERROR(__xludf.DUMMYFUNCTION("""COMPUTED_VALUE"""),"Safety and Quiet")</f>
        <v>Safety and Quiet</v>
      </c>
      <c r="V765" s="145" t="str">
        <f>IFERROR(__xludf.DUMMYFUNCTION("""COMPUTED_VALUE"""),"Apple CarPlay / Android Auto / SiriusXM Radio")</f>
        <v>Apple CarPlay / Android Auto / SiriusXM Radio</v>
      </c>
      <c r="W765" s="145"/>
      <c r="X765" s="137" t="str">
        <f>IFERROR(__xludf.DUMMYFUNCTION("""COMPUTED_VALUE"""),"Excellent")</f>
        <v>Excellent</v>
      </c>
      <c r="Y765" s="138" t="str">
        <f>IFERROR(__xludf.DUMMYFUNCTION("""COMPUTED_VALUE"""),"Excellent")</f>
        <v>Excellent</v>
      </c>
      <c r="Z765" s="138" t="str">
        <f>IFERROR(__xludf.DUMMYFUNCTION("""COMPUTED_VALUE"""),"Excellent")</f>
        <v>Excellent</v>
      </c>
      <c r="AA765" s="138" t="str">
        <f>IFERROR(__xludf.DUMMYFUNCTION("""COMPUTED_VALUE"""),"Excellent")</f>
        <v>Excellent</v>
      </c>
      <c r="AB765" s="138" t="str">
        <f>IFERROR(__xludf.DUMMYFUNCTION("""COMPUTED_VALUE"""),"Excellent")</f>
        <v>Excellent</v>
      </c>
      <c r="AC765" s="139"/>
      <c r="AD765" s="139"/>
      <c r="AE765" s="139"/>
      <c r="AF765" s="140" t="str">
        <f>IFERROR(__xludf.DUMMYFUNCTION("""COMPUTED_VALUE"""),"No. I took delivery of the first car Tesla was able to deliver.")</f>
        <v>No. I took delivery of the first car Tesla was able to deliver.</v>
      </c>
      <c r="AG765" s="145"/>
      <c r="AH765" s="157">
        <f>IFERROR(__xludf.DUMMYFUNCTION("""COMPUTED_VALUE"""),44376.31074920139)</f>
        <v>44376.31075</v>
      </c>
      <c r="AI765" s="138"/>
      <c r="AJ765" s="138"/>
      <c r="AK765" s="138"/>
      <c r="AL765" s="142"/>
    </row>
    <row r="766" ht="20.25" customHeight="1">
      <c r="A766" s="155" t="str">
        <f>IFERROR(__xludf.DUMMYFUNCTION("""COMPUTED_VALUE"""),"ZeroEpoch")</f>
        <v>ZeroEpoch</v>
      </c>
      <c r="B766" s="149" t="str">
        <f>IFERROR(__xludf.DUMMYFUNCTION("""COMPUTED_VALUE"""),"Menlo Park")</f>
        <v>Menlo Park</v>
      </c>
      <c r="C766" s="149" t="str">
        <f>IFERROR(__xludf.DUMMYFUNCTION("""COMPUTED_VALUE"""),"CA")</f>
        <v>CA</v>
      </c>
      <c r="D766" s="149" t="str">
        <f>IFERROR(__xludf.DUMMYFUNCTION("""COMPUTED_VALUE"""),"USA")</f>
        <v>USA</v>
      </c>
      <c r="E766" s="156">
        <f>IFERROR(__xludf.DUMMYFUNCTION("""COMPUTED_VALUE"""),44323.0)</f>
        <v>44323</v>
      </c>
      <c r="F766" s="129">
        <f>IFERROR(__xludf.DUMMYFUNCTION("""COMPUTED_VALUE"""),44367.0)</f>
        <v>44367</v>
      </c>
      <c r="G766" s="154" t="str">
        <f>IFERROR(__xludf.DUMMYFUNCTION("""COMPUTED_VALUE"""),"Manage order page (normal text)")</f>
        <v>Manage order page (normal text)</v>
      </c>
      <c r="H766" s="131">
        <f>IFERROR(__xludf.DUMMYFUNCTION("""COMPUTED_VALUE"""),995308.0)</f>
        <v>995308</v>
      </c>
      <c r="I766" s="144" t="str">
        <f>IFERROR(__xludf.DUMMYFUNCTION("""COMPUTED_VALUE"""),"06/21")</f>
        <v>06/21</v>
      </c>
      <c r="J766" s="129">
        <f>IFERROR(__xludf.DUMMYFUNCTION("""COMPUTED_VALUE"""),44368.0)</f>
        <v>44368</v>
      </c>
      <c r="K766" s="133">
        <f>IFERROR(__xludf.DUMMYFUNCTION("""COMPUTED_VALUE"""),44.0)</f>
        <v>44</v>
      </c>
      <c r="L766" s="133">
        <f>IFERROR(__xludf.DUMMYFUNCTION("""COMPUTED_VALUE"""),1.0)</f>
        <v>1</v>
      </c>
      <c r="M766" s="133">
        <f>IFERROR(__xludf.DUMMYFUNCTION("""COMPUTED_VALUE"""),45.0)</f>
        <v>45</v>
      </c>
      <c r="N766" s="152" t="str">
        <f>IFERROR(__xludf.DUMMYFUNCTION("""COMPUTED_VALUE"""),"Model 3 LR AWD")</f>
        <v>Model 3 LR AWD</v>
      </c>
      <c r="O766" s="152" t="str">
        <f>IFERROR(__xludf.DUMMYFUNCTION("""COMPUTED_VALUE"""),"Midnight Silver Metallic")</f>
        <v>Midnight Silver Metallic</v>
      </c>
      <c r="P766" s="153" t="str">
        <f>IFERROR(__xludf.DUMMYFUNCTION("""COMPUTED_VALUE"""),"18 inch")</f>
        <v>18 inch</v>
      </c>
      <c r="Q766" s="152" t="str">
        <f>IFERROR(__xludf.DUMMYFUNCTION("""COMPUTED_VALUE"""),"All Black")</f>
        <v>All Black</v>
      </c>
      <c r="R766" s="149" t="str">
        <f>IFERROR(__xludf.DUMMYFUNCTION("""COMPUTED_VALUE"""),"Autopilot included")</f>
        <v>Autopilot included</v>
      </c>
      <c r="S766" s="149" t="str">
        <f>IFERROR(__xludf.DUMMYFUNCTION("""COMPUTED_VALUE"""),"Cash")</f>
        <v>Cash</v>
      </c>
      <c r="T766" s="145"/>
      <c r="U766" s="145" t="str">
        <f>IFERROR(__xludf.DUMMYFUNCTION("""COMPUTED_VALUE"""),"Electric!")</f>
        <v>Electric!</v>
      </c>
      <c r="V766" s="145" t="str">
        <f>IFERROR(__xludf.DUMMYFUNCTION("""COMPUTED_VALUE"""),"Apple CarPlay / Android Auto / SiriusXM Radio")</f>
        <v>Apple CarPlay / Android Auto / SiriusXM Radio</v>
      </c>
      <c r="W766" s="145"/>
      <c r="X766" s="137" t="str">
        <f>IFERROR(__xludf.DUMMYFUNCTION("""COMPUTED_VALUE"""),"Excellent")</f>
        <v>Excellent</v>
      </c>
      <c r="Y766" s="138" t="str">
        <f>IFERROR(__xludf.DUMMYFUNCTION("""COMPUTED_VALUE"""),"Excellent")</f>
        <v>Excellent</v>
      </c>
      <c r="Z766" s="138" t="str">
        <f>IFERROR(__xludf.DUMMYFUNCTION("""COMPUTED_VALUE"""),"Excellent")</f>
        <v>Excellent</v>
      </c>
      <c r="AA766" s="138" t="str">
        <f>IFERROR(__xludf.DUMMYFUNCTION("""COMPUTED_VALUE"""),"Poor")</f>
        <v>Poor</v>
      </c>
      <c r="AB766" s="138" t="str">
        <f>IFERROR(__xludf.DUMMYFUNCTION("""COMPUTED_VALUE"""),"Very Good")</f>
        <v>Very Good</v>
      </c>
      <c r="AC766" s="139">
        <f>IFERROR(__xludf.DUMMYFUNCTION("""COMPUTED_VALUE"""),1.0)</f>
        <v>1</v>
      </c>
      <c r="AD766" s="139">
        <f>IFERROR(__xludf.DUMMYFUNCTION("""COMPUTED_VALUE"""),1.0)</f>
        <v>1</v>
      </c>
      <c r="AE766" s="139">
        <f>IFERROR(__xludf.DUMMYFUNCTION("""COMPUTED_VALUE"""),0.0)</f>
        <v>0</v>
      </c>
      <c r="AF766" s="140" t="str">
        <f>IFERROR(__xludf.DUMMYFUNCTION("""COMPUTED_VALUE"""),"No. I took delivery of the first car Tesla was able to deliver.")</f>
        <v>No. I took delivery of the first car Tesla was able to deliver.</v>
      </c>
      <c r="AG766" s="145"/>
      <c r="AH766" s="157">
        <f>IFERROR(__xludf.DUMMYFUNCTION("""COMPUTED_VALUE"""),44370.76215199074)</f>
        <v>44370.76215</v>
      </c>
      <c r="AI766" s="138"/>
      <c r="AJ766" s="138"/>
      <c r="AK766" s="138"/>
      <c r="AL766" s="142"/>
    </row>
    <row r="767" ht="20.25" customHeight="1">
      <c r="A767" s="155" t="str">
        <f>IFERROR(__xludf.DUMMYFUNCTION("""COMPUTED_VALUE"""),"bro1999")</f>
        <v>bro1999</v>
      </c>
      <c r="B767" s="149"/>
      <c r="C767" s="149" t="str">
        <f>IFERROR(__xludf.DUMMYFUNCTION("""COMPUTED_VALUE"""),"MD")</f>
        <v>MD</v>
      </c>
      <c r="D767" s="149" t="str">
        <f>IFERROR(__xludf.DUMMYFUNCTION("""COMPUTED_VALUE"""),"USA")</f>
        <v>USA</v>
      </c>
      <c r="E767" s="156">
        <f>IFERROR(__xludf.DUMMYFUNCTION("""COMPUTED_VALUE"""),44322.0)</f>
        <v>44322</v>
      </c>
      <c r="F767" s="129">
        <f>IFERROR(__xludf.DUMMYFUNCTION("""COMPUTED_VALUE"""),44359.0)</f>
        <v>44359</v>
      </c>
      <c r="G767" s="154" t="str">
        <f>IFERROR(__xludf.DUMMYFUNCTION("""COMPUTED_VALUE"""),"Manage order page (normal text)")</f>
        <v>Manage order page (normal text)</v>
      </c>
      <c r="H767" s="131">
        <f>IFERROR(__xludf.DUMMYFUNCTION("""COMPUTED_VALUE"""),18322.0)</f>
        <v>18322</v>
      </c>
      <c r="I767" s="144"/>
      <c r="J767" s="129">
        <f>IFERROR(__xludf.DUMMYFUNCTION("""COMPUTED_VALUE"""),44406.0)</f>
        <v>44406</v>
      </c>
      <c r="K767" s="133">
        <f>IFERROR(__xludf.DUMMYFUNCTION("""COMPUTED_VALUE"""),37.0)</f>
        <v>37</v>
      </c>
      <c r="L767" s="133">
        <f>IFERROR(__xludf.DUMMYFUNCTION("""COMPUTED_VALUE"""),47.0)</f>
        <v>47</v>
      </c>
      <c r="M767" s="133">
        <f>IFERROR(__xludf.DUMMYFUNCTION("""COMPUTED_VALUE"""),84.0)</f>
        <v>84</v>
      </c>
      <c r="N767" s="152" t="str">
        <f>IFERROR(__xludf.DUMMYFUNCTION("""COMPUTED_VALUE"""),"Model 3 SR+")</f>
        <v>Model 3 SR+</v>
      </c>
      <c r="O767" s="152" t="str">
        <f>IFERROR(__xludf.DUMMYFUNCTION("""COMPUTED_VALUE"""),"Pearl White Multi-Coat")</f>
        <v>Pearl White Multi-Coat</v>
      </c>
      <c r="P767" s="153" t="str">
        <f>IFERROR(__xludf.DUMMYFUNCTION("""COMPUTED_VALUE"""),"18 inch")</f>
        <v>18 inch</v>
      </c>
      <c r="Q767" s="152" t="str">
        <f>IFERROR(__xludf.DUMMYFUNCTION("""COMPUTED_VALUE"""),"Black and White")</f>
        <v>Black and White</v>
      </c>
      <c r="R767" s="149" t="str">
        <f>IFERROR(__xludf.DUMMYFUNCTION("""COMPUTED_VALUE"""),"Autopilot included")</f>
        <v>Autopilot included</v>
      </c>
      <c r="S767" s="149" t="str">
        <f>IFERROR(__xludf.DUMMYFUNCTION("""COMPUTED_VALUE"""),"Loan")</f>
        <v>Loan</v>
      </c>
      <c r="T767" s="145" t="str">
        <f>IFERROR(__xludf.DUMMYFUNCTION("""COMPUTED_VALUE"""),"Chevy Bolt")</f>
        <v>Chevy Bolt</v>
      </c>
      <c r="U767" s="145" t="str">
        <f>IFERROR(__xludf.DUMMYFUNCTION("""COMPUTED_VALUE"""),"tech features")</f>
        <v>tech features</v>
      </c>
      <c r="V767" s="145" t="str">
        <f>IFERROR(__xludf.DUMMYFUNCTION("""COMPUTED_VALUE"""),"Apple CarPlay / Android Auto / SiriusXM Radio")</f>
        <v>Apple CarPlay / Android Auto / SiriusXM Radio</v>
      </c>
      <c r="W767" s="145" t="str">
        <f>IFERROR(__xludf.DUMMYFUNCTION("""COMPUTED_VALUE"""),"patience")</f>
        <v>patience</v>
      </c>
      <c r="X767" s="137" t="str">
        <f>IFERROR(__xludf.DUMMYFUNCTION("""COMPUTED_VALUE"""),"Excellent")</f>
        <v>Excellent</v>
      </c>
      <c r="Y767" s="138" t="str">
        <f>IFERROR(__xludf.DUMMYFUNCTION("""COMPUTED_VALUE"""),"Excellent")</f>
        <v>Excellent</v>
      </c>
      <c r="Z767" s="138" t="str">
        <f>IFERROR(__xludf.DUMMYFUNCTION("""COMPUTED_VALUE"""),"Excellent")</f>
        <v>Excellent</v>
      </c>
      <c r="AA767" s="138" t="str">
        <f>IFERROR(__xludf.DUMMYFUNCTION("""COMPUTED_VALUE"""),"Fair")</f>
        <v>Fair</v>
      </c>
      <c r="AB767" s="138" t="str">
        <f>IFERROR(__xludf.DUMMYFUNCTION("""COMPUTED_VALUE"""),"Excellent")</f>
        <v>Excellent</v>
      </c>
      <c r="AC767" s="139"/>
      <c r="AD767" s="139"/>
      <c r="AE767" s="139"/>
      <c r="AF767" s="140" t="str">
        <f>IFERROR(__xludf.DUMMYFUNCTION("""COMPUTED_VALUE"""),"Yes. I refused delivery once and took delivery of the second car.")</f>
        <v>Yes. I refused delivery once and took delivery of the second car.</v>
      </c>
      <c r="AG767" s="145"/>
      <c r="AH767" s="157">
        <f>IFERROR(__xludf.DUMMYFUNCTION("""COMPUTED_VALUE"""),44407.170671898144)</f>
        <v>44407.17067</v>
      </c>
      <c r="AI767" s="138"/>
      <c r="AJ767" s="138"/>
      <c r="AK767" s="138"/>
      <c r="AL767" s="142"/>
    </row>
    <row r="768" ht="20.25" customHeight="1">
      <c r="A768" s="155" t="str">
        <f>IFERROR(__xludf.DUMMYFUNCTION("""COMPUTED_VALUE"""),"TedDy")</f>
        <v>TedDy</v>
      </c>
      <c r="B768" s="149" t="str">
        <f>IFERROR(__xludf.DUMMYFUNCTION("""COMPUTED_VALUE"""),"Grand Rapids")</f>
        <v>Grand Rapids</v>
      </c>
      <c r="C768" s="149" t="str">
        <f>IFERROR(__xludf.DUMMYFUNCTION("""COMPUTED_VALUE"""),"MI")</f>
        <v>MI</v>
      </c>
      <c r="D768" s="149" t="str">
        <f>IFERROR(__xludf.DUMMYFUNCTION("""COMPUTED_VALUE"""),"USA")</f>
        <v>USA</v>
      </c>
      <c r="E768" s="156">
        <f>IFERROR(__xludf.DUMMYFUNCTION("""COMPUTED_VALUE"""),44322.0)</f>
        <v>44322</v>
      </c>
      <c r="F768" s="129">
        <f>IFERROR(__xludf.DUMMYFUNCTION("""COMPUTED_VALUE"""),44396.0)</f>
        <v>44396</v>
      </c>
      <c r="G768" s="154" t="str">
        <f>IFERROR(__xludf.DUMMYFUNCTION("""COMPUTED_VALUE"""),"Text message")</f>
        <v>Text message</v>
      </c>
      <c r="H768" s="131">
        <f>IFERROR(__xludf.DUMMYFUNCTION("""COMPUTED_VALUE"""),14855.0)</f>
        <v>14855</v>
      </c>
      <c r="I768" s="144"/>
      <c r="J768" s="129">
        <f>IFERROR(__xludf.DUMMYFUNCTION("""COMPUTED_VALUE"""),44406.0)</f>
        <v>44406</v>
      </c>
      <c r="K768" s="133">
        <f>IFERROR(__xludf.DUMMYFUNCTION("""COMPUTED_VALUE"""),74.0)</f>
        <v>74</v>
      </c>
      <c r="L768" s="133">
        <f>IFERROR(__xludf.DUMMYFUNCTION("""COMPUTED_VALUE"""),10.0)</f>
        <v>10</v>
      </c>
      <c r="M768" s="133">
        <f>IFERROR(__xludf.DUMMYFUNCTION("""COMPUTED_VALUE"""),84.0)</f>
        <v>84</v>
      </c>
      <c r="N768" s="152" t="str">
        <f>IFERROR(__xludf.DUMMYFUNCTION("""COMPUTED_VALUE"""),"Model 3 LR AWD")</f>
        <v>Model 3 LR AWD</v>
      </c>
      <c r="O768" s="152" t="str">
        <f>IFERROR(__xludf.DUMMYFUNCTION("""COMPUTED_VALUE"""),"Midnight Silver Metallic")</f>
        <v>Midnight Silver Metallic</v>
      </c>
      <c r="P768" s="153" t="str">
        <f>IFERROR(__xludf.DUMMYFUNCTION("""COMPUTED_VALUE"""),"18 inch")</f>
        <v>18 inch</v>
      </c>
      <c r="Q768" s="152" t="str">
        <f>IFERROR(__xludf.DUMMYFUNCTION("""COMPUTED_VALUE"""),"All Black")</f>
        <v>All Black</v>
      </c>
      <c r="R768" s="149" t="str">
        <f>IFERROR(__xludf.DUMMYFUNCTION("""COMPUTED_VALUE"""),"Autopilot included")</f>
        <v>Autopilot included</v>
      </c>
      <c r="S768" s="149" t="str">
        <f>IFERROR(__xludf.DUMMYFUNCTION("""COMPUTED_VALUE"""),"Loan")</f>
        <v>Loan</v>
      </c>
      <c r="T768" s="145" t="str">
        <f>IFERROR(__xludf.DUMMYFUNCTION("""COMPUTED_VALUE"""),"Chevy Silverado")</f>
        <v>Chevy Silverado</v>
      </c>
      <c r="U768" s="145" t="str">
        <f>IFERROR(__xludf.DUMMYFUNCTION("""COMPUTED_VALUE"""),"Electric!")</f>
        <v>Electric!</v>
      </c>
      <c r="V768" s="145" t="str">
        <f>IFERROR(__xludf.DUMMYFUNCTION("""COMPUTED_VALUE"""),"Apple CarPlay / Android Auto / SiriusXM Radio")</f>
        <v>Apple CarPlay / Android Auto / SiriusXM Radio</v>
      </c>
      <c r="W768" s="145"/>
      <c r="X768" s="137"/>
      <c r="Y768" s="138"/>
      <c r="Z768" s="138"/>
      <c r="AA768" s="138"/>
      <c r="AB768" s="138"/>
      <c r="AC768" s="139"/>
      <c r="AD768" s="139"/>
      <c r="AE768" s="139"/>
      <c r="AF768" s="140"/>
      <c r="AG768" s="145"/>
      <c r="AH768" s="157">
        <f>IFERROR(__xludf.DUMMYFUNCTION("""COMPUTED_VALUE"""),44399.554248726854)</f>
        <v>44399.55425</v>
      </c>
      <c r="AI768" s="138"/>
      <c r="AJ768" s="138"/>
      <c r="AK768" s="138"/>
      <c r="AL768" s="142"/>
    </row>
    <row r="769" ht="20.25" customHeight="1">
      <c r="A769" s="155" t="str">
        <f>IFERROR(__xludf.DUMMYFUNCTION("""COMPUTED_VALUE"""),"BloodHenry")</f>
        <v>BloodHenry</v>
      </c>
      <c r="B769" s="149" t="str">
        <f>IFERROR(__xludf.DUMMYFUNCTION("""COMPUTED_VALUE"""),"Riverside")</f>
        <v>Riverside</v>
      </c>
      <c r="C769" s="149" t="str">
        <f>IFERROR(__xludf.DUMMYFUNCTION("""COMPUTED_VALUE"""),"CA")</f>
        <v>CA</v>
      </c>
      <c r="D769" s="149" t="str">
        <f>IFERROR(__xludf.DUMMYFUNCTION("""COMPUTED_VALUE"""),"USA")</f>
        <v>USA</v>
      </c>
      <c r="E769" s="156">
        <f>IFERROR(__xludf.DUMMYFUNCTION("""COMPUTED_VALUE"""),44321.0)</f>
        <v>44321</v>
      </c>
      <c r="F769" s="129">
        <f>IFERROR(__xludf.DUMMYFUNCTION("""COMPUTED_VALUE"""),44372.0)</f>
        <v>44372</v>
      </c>
      <c r="G769" s="154" t="str">
        <f>IFERROR(__xludf.DUMMYFUNCTION("""COMPUTED_VALUE"""),"Manage order page (normal text)")</f>
        <v>Manage order page (normal text)</v>
      </c>
      <c r="H769" s="131">
        <f>IFERROR(__xludf.DUMMYFUNCTION("""COMPUTED_VALUE"""),1855.0)</f>
        <v>1855</v>
      </c>
      <c r="I769" s="144"/>
      <c r="J769" s="129">
        <f>IFERROR(__xludf.DUMMYFUNCTION("""COMPUTED_VALUE"""),44375.0)</f>
        <v>44375</v>
      </c>
      <c r="K769" s="133">
        <f>IFERROR(__xludf.DUMMYFUNCTION("""COMPUTED_VALUE"""),51.0)</f>
        <v>51</v>
      </c>
      <c r="L769" s="133">
        <f>IFERROR(__xludf.DUMMYFUNCTION("""COMPUTED_VALUE"""),3.0)</f>
        <v>3</v>
      </c>
      <c r="M769" s="133">
        <f>IFERROR(__xludf.DUMMYFUNCTION("""COMPUTED_VALUE"""),54.0)</f>
        <v>54</v>
      </c>
      <c r="N769" s="152" t="str">
        <f>IFERROR(__xludf.DUMMYFUNCTION("""COMPUTED_VALUE"""),"Model 3 SR+")</f>
        <v>Model 3 SR+</v>
      </c>
      <c r="O769" s="152" t="str">
        <f>IFERROR(__xludf.DUMMYFUNCTION("""COMPUTED_VALUE"""),"Midnight Silver Metallic")</f>
        <v>Midnight Silver Metallic</v>
      </c>
      <c r="P769" s="153" t="str">
        <f>IFERROR(__xludf.DUMMYFUNCTION("""COMPUTED_VALUE"""),"18 inch")</f>
        <v>18 inch</v>
      </c>
      <c r="Q769" s="152" t="str">
        <f>IFERROR(__xludf.DUMMYFUNCTION("""COMPUTED_VALUE"""),"All Black")</f>
        <v>All Black</v>
      </c>
      <c r="R769" s="149" t="str">
        <f>IFERROR(__xludf.DUMMYFUNCTION("""COMPUTED_VALUE"""),"Autopilot included")</f>
        <v>Autopilot included</v>
      </c>
      <c r="S769" s="149" t="str">
        <f>IFERROR(__xludf.DUMMYFUNCTION("""COMPUTED_VALUE"""),"Loan")</f>
        <v>Loan</v>
      </c>
      <c r="T769" s="145" t="str">
        <f>IFERROR(__xludf.DUMMYFUNCTION("""COMPUTED_VALUE"""),"Toyota Prius")</f>
        <v>Toyota Prius</v>
      </c>
      <c r="U769" s="145" t="str">
        <f>IFERROR(__xludf.DUMMYFUNCTION("""COMPUTED_VALUE"""),"Electric!")</f>
        <v>Electric!</v>
      </c>
      <c r="V769" s="145"/>
      <c r="W769" s="145"/>
      <c r="X769" s="137"/>
      <c r="Y769" s="138"/>
      <c r="Z769" s="138"/>
      <c r="AA769" s="138" t="str">
        <f>IFERROR(__xludf.DUMMYFUNCTION("""COMPUTED_VALUE"""),"Poor")</f>
        <v>Poor</v>
      </c>
      <c r="AB769" s="138"/>
      <c r="AC769" s="139"/>
      <c r="AD769" s="139"/>
      <c r="AE769" s="139"/>
      <c r="AF769" s="140" t="str">
        <f>IFERROR(__xludf.DUMMYFUNCTION("""COMPUTED_VALUE"""),"No. I took delivery of the first car Tesla was able to deliver.")</f>
        <v>No. I took delivery of the first car Tesla was able to deliver.</v>
      </c>
      <c r="AG769" s="145"/>
      <c r="AH769" s="157">
        <f>IFERROR(__xludf.DUMMYFUNCTION("""COMPUTED_VALUE"""),44374.3959866088)</f>
        <v>44374.39599</v>
      </c>
      <c r="AI769" s="138"/>
      <c r="AJ769" s="138"/>
      <c r="AK769" s="138"/>
      <c r="AL769" s="142"/>
    </row>
    <row r="770" ht="20.25" customHeight="1">
      <c r="A770" s="155" t="str">
        <f>IFERROR(__xludf.DUMMYFUNCTION("""COMPUTED_VALUE"""),"Celestine")</f>
        <v>Celestine</v>
      </c>
      <c r="B770" s="149" t="str">
        <f>IFERROR(__xludf.DUMMYFUNCTION("""COMPUTED_VALUE"""),"Venice, CA")</f>
        <v>Venice, CA</v>
      </c>
      <c r="C770" s="149" t="str">
        <f>IFERROR(__xludf.DUMMYFUNCTION("""COMPUTED_VALUE"""),"CA")</f>
        <v>CA</v>
      </c>
      <c r="D770" s="149" t="str">
        <f>IFERROR(__xludf.DUMMYFUNCTION("""COMPUTED_VALUE"""),"USA")</f>
        <v>USA</v>
      </c>
      <c r="E770" s="156">
        <f>IFERROR(__xludf.DUMMYFUNCTION("""COMPUTED_VALUE"""),44321.0)</f>
        <v>44321</v>
      </c>
      <c r="F770" s="129">
        <f>IFERROR(__xludf.DUMMYFUNCTION("""COMPUTED_VALUE"""),44370.0)</f>
        <v>44370</v>
      </c>
      <c r="G770" s="154" t="str">
        <f>IFERROR(__xludf.DUMMYFUNCTION("""COMPUTED_VALUE"""),"Email")</f>
        <v>Email</v>
      </c>
      <c r="H770" s="131"/>
      <c r="I770" s="144" t="str">
        <f>IFERROR(__xludf.DUMMYFUNCTION("""COMPUTED_VALUE"""),"06/21")</f>
        <v>06/21</v>
      </c>
      <c r="J770" s="129">
        <f>IFERROR(__xludf.DUMMYFUNCTION("""COMPUTED_VALUE"""),44372.0)</f>
        <v>44372</v>
      </c>
      <c r="K770" s="133">
        <f>IFERROR(__xludf.DUMMYFUNCTION("""COMPUTED_VALUE"""),49.0)</f>
        <v>49</v>
      </c>
      <c r="L770" s="133">
        <f>IFERROR(__xludf.DUMMYFUNCTION("""COMPUTED_VALUE"""),2.0)</f>
        <v>2</v>
      </c>
      <c r="M770" s="133">
        <f>IFERROR(__xludf.DUMMYFUNCTION("""COMPUTED_VALUE"""),51.0)</f>
        <v>51</v>
      </c>
      <c r="N770" s="152" t="str">
        <f>IFERROR(__xludf.DUMMYFUNCTION("""COMPUTED_VALUE"""),"Model 3 SR+")</f>
        <v>Model 3 SR+</v>
      </c>
      <c r="O770" s="152" t="str">
        <f>IFERROR(__xludf.DUMMYFUNCTION("""COMPUTED_VALUE"""),"Deep Blue Metallic")</f>
        <v>Deep Blue Metallic</v>
      </c>
      <c r="P770" s="153" t="str">
        <f>IFERROR(__xludf.DUMMYFUNCTION("""COMPUTED_VALUE"""),"18 inch")</f>
        <v>18 inch</v>
      </c>
      <c r="Q770" s="152" t="str">
        <f>IFERROR(__xludf.DUMMYFUNCTION("""COMPUTED_VALUE"""),"All Black")</f>
        <v>All Black</v>
      </c>
      <c r="R770" s="149" t="str">
        <f>IFERROR(__xludf.DUMMYFUNCTION("""COMPUTED_VALUE"""),"Autopilot included")</f>
        <v>Autopilot included</v>
      </c>
      <c r="S770" s="149" t="str">
        <f>IFERROR(__xludf.DUMMYFUNCTION("""COMPUTED_VALUE"""),"Lease")</f>
        <v>Lease</v>
      </c>
      <c r="T770" s="145" t="str">
        <f>IFERROR(__xludf.DUMMYFUNCTION("""COMPUTED_VALUE"""),"Toyota Prius")</f>
        <v>Toyota Prius</v>
      </c>
      <c r="U770" s="145" t="str">
        <f>IFERROR(__xludf.DUMMYFUNCTION("""COMPUTED_VALUE"""),"Electric!")</f>
        <v>Electric!</v>
      </c>
      <c r="V770" s="145" t="str">
        <f>IFERROR(__xludf.DUMMYFUNCTION("""COMPUTED_VALUE"""),"Apple CarPlay, live Sentry Mode playback, speedometer/other gauges in head-up display (directly in front).")</f>
        <v>Apple CarPlay, live Sentry Mode playback, speedometer/other gauges in head-up display (directly in front).</v>
      </c>
      <c r="W770" s="145" t="str">
        <f>IFERROR(__xludf.DUMMYFUNCTION("""COMPUTED_VALUE"""),"Came to my spot to ""fix"" the issues (sunken-in passenger handles and misaligned taillights).They said it was all ""within spec"" = issues are allowable, although there was clearly as sorts of fuckery.")</f>
        <v>Came to my spot to "fix" the issues (sunken-in passenger handles and misaligned taillights).They said it was all "within spec" = issues are allowable, although there was clearly as sorts of fuckery.</v>
      </c>
      <c r="X770" s="137" t="str">
        <f>IFERROR(__xludf.DUMMYFUNCTION("""COMPUTED_VALUE"""),"Good")</f>
        <v>Good</v>
      </c>
      <c r="Y770" s="138" t="str">
        <f>IFERROR(__xludf.DUMMYFUNCTION("""COMPUTED_VALUE"""),"Excellent")</f>
        <v>Excellent</v>
      </c>
      <c r="Z770" s="138" t="str">
        <f>IFERROR(__xludf.DUMMYFUNCTION("""COMPUTED_VALUE"""),"Excellent")</f>
        <v>Excellent</v>
      </c>
      <c r="AA770" s="138" t="str">
        <f>IFERROR(__xludf.DUMMYFUNCTION("""COMPUTED_VALUE"""),"Poor")</f>
        <v>Poor</v>
      </c>
      <c r="AB770" s="138" t="str">
        <f>IFERROR(__xludf.DUMMYFUNCTION("""COMPUTED_VALUE"""),"Very Good")</f>
        <v>Very Good</v>
      </c>
      <c r="AC770" s="139">
        <f>IFERROR(__xludf.DUMMYFUNCTION("""COMPUTED_VALUE"""),4.0)</f>
        <v>4</v>
      </c>
      <c r="AD770" s="139">
        <f>IFERROR(__xludf.DUMMYFUNCTION("""COMPUTED_VALUE"""),0.0)</f>
        <v>0</v>
      </c>
      <c r="AE770" s="139">
        <f>IFERROR(__xludf.DUMMYFUNCTION("""COMPUTED_VALUE"""),0.0)</f>
        <v>0</v>
      </c>
      <c r="AF770" s="140" t="str">
        <f>IFERROR(__xludf.DUMMYFUNCTION("""COMPUTED_VALUE"""),"No. I took delivery of the first car Tesla was able to deliver.")</f>
        <v>No. I took delivery of the first car Tesla was able to deliver.</v>
      </c>
      <c r="AG770" s="145" t="str">
        <f>IFERROR(__xludf.DUMMYFUNCTION("""COMPUTED_VALUE"""),"If this is the main/only car in your household and you don't have a home charger, get the long range. Also, my SA sucks a bag of donkey dicks (maybe based in MDR). He never messaged me about my VIN/delivery and ghosted me after I asked a single delivery q"&amp;"uestion. ")</f>
        <v>If this is the main/only car in your household and you don't have a home charger, get the long range. Also, my SA sucks a bag of donkey dicks (maybe based in MDR). He never messaged me about my VIN/delivery and ghosted me after I asked a single delivery question. </v>
      </c>
      <c r="AH770" s="157">
        <f>IFERROR(__xludf.DUMMYFUNCTION("""COMPUTED_VALUE"""),44377.79128648148)</f>
        <v>44377.79129</v>
      </c>
      <c r="AI770" s="138"/>
      <c r="AJ770" s="138"/>
      <c r="AK770" s="138"/>
      <c r="AL770" s="142"/>
    </row>
    <row r="771" ht="20.25" customHeight="1">
      <c r="A771" s="155" t="str">
        <f>IFERROR(__xludf.DUMMYFUNCTION("""COMPUTED_VALUE"""),"Shuang")</f>
        <v>Shuang</v>
      </c>
      <c r="B771" s="149" t="str">
        <f>IFERROR(__xludf.DUMMYFUNCTION("""COMPUTED_VALUE"""),"Watertown")</f>
        <v>Watertown</v>
      </c>
      <c r="C771" s="149" t="str">
        <f>IFERROR(__xludf.DUMMYFUNCTION("""COMPUTED_VALUE"""),"MA")</f>
        <v>MA</v>
      </c>
      <c r="D771" s="149" t="str">
        <f>IFERROR(__xludf.DUMMYFUNCTION("""COMPUTED_VALUE"""),"USA")</f>
        <v>USA</v>
      </c>
      <c r="E771" s="156">
        <f>IFERROR(__xludf.DUMMYFUNCTION("""COMPUTED_VALUE"""),44321.0)</f>
        <v>44321</v>
      </c>
      <c r="F771" s="129">
        <f>IFERROR(__xludf.DUMMYFUNCTION("""COMPUTED_VALUE"""),44349.0)</f>
        <v>44349</v>
      </c>
      <c r="G771" s="154" t="str">
        <f>IFERROR(__xludf.DUMMYFUNCTION("""COMPUTED_VALUE"""),"Manage order page (normal text)")</f>
        <v>Manage order page (normal text)</v>
      </c>
      <c r="H771" s="131">
        <f>IFERROR(__xludf.DUMMYFUNCTION("""COMPUTED_VALUE"""),983155.0)</f>
        <v>983155</v>
      </c>
      <c r="I771" s="144" t="str">
        <f>IFERROR(__xludf.DUMMYFUNCTION("""COMPUTED_VALUE"""),"06/21")</f>
        <v>06/21</v>
      </c>
      <c r="J771" s="129">
        <f>IFERROR(__xludf.DUMMYFUNCTION("""COMPUTED_VALUE"""),44363.0)</f>
        <v>44363</v>
      </c>
      <c r="K771" s="133">
        <f>IFERROR(__xludf.DUMMYFUNCTION("""COMPUTED_VALUE"""),28.0)</f>
        <v>28</v>
      </c>
      <c r="L771" s="133">
        <f>IFERROR(__xludf.DUMMYFUNCTION("""COMPUTED_VALUE"""),14.0)</f>
        <v>14</v>
      </c>
      <c r="M771" s="133">
        <f>IFERROR(__xludf.DUMMYFUNCTION("""COMPUTED_VALUE"""),42.0)</f>
        <v>42</v>
      </c>
      <c r="N771" s="152" t="str">
        <f>IFERROR(__xludf.DUMMYFUNCTION("""COMPUTED_VALUE"""),"Model 3 LR AWD")</f>
        <v>Model 3 LR AWD</v>
      </c>
      <c r="O771" s="152" t="str">
        <f>IFERROR(__xludf.DUMMYFUNCTION("""COMPUTED_VALUE"""),"Deep Blue Metallic")</f>
        <v>Deep Blue Metallic</v>
      </c>
      <c r="P771" s="153" t="str">
        <f>IFERROR(__xludf.DUMMYFUNCTION("""COMPUTED_VALUE"""),"18 inch")</f>
        <v>18 inch</v>
      </c>
      <c r="Q771" s="152" t="str">
        <f>IFERROR(__xludf.DUMMYFUNCTION("""COMPUTED_VALUE"""),"All Black")</f>
        <v>All Black</v>
      </c>
      <c r="R771" s="149" t="str">
        <f>IFERROR(__xludf.DUMMYFUNCTION("""COMPUTED_VALUE"""),"Autopilot included")</f>
        <v>Autopilot included</v>
      </c>
      <c r="S771" s="149" t="str">
        <f>IFERROR(__xludf.DUMMYFUNCTION("""COMPUTED_VALUE"""),"Loan")</f>
        <v>Loan</v>
      </c>
      <c r="T771" s="145" t="str">
        <f>IFERROR(__xludf.DUMMYFUNCTION("""COMPUTED_VALUE"""),"Honda CRV")</f>
        <v>Honda CRV</v>
      </c>
      <c r="U771" s="145" t="str">
        <f>IFERROR(__xludf.DUMMYFUNCTION("""COMPUTED_VALUE"""),"Electric!")</f>
        <v>Electric!</v>
      </c>
      <c r="V771" s="145" t="str">
        <f>IFERROR(__xludf.DUMMYFUNCTION("""COMPUTED_VALUE"""),"Head-up display")</f>
        <v>Head-up display</v>
      </c>
      <c r="W771" s="145"/>
      <c r="X771" s="137" t="str">
        <f>IFERROR(__xludf.DUMMYFUNCTION("""COMPUTED_VALUE"""),"Very Good")</f>
        <v>Very Good</v>
      </c>
      <c r="Y771" s="138" t="str">
        <f>IFERROR(__xludf.DUMMYFUNCTION("""COMPUTED_VALUE"""),"Very Good")</f>
        <v>Very Good</v>
      </c>
      <c r="Z771" s="138" t="str">
        <f>IFERROR(__xludf.DUMMYFUNCTION("""COMPUTED_VALUE"""),"Good")</f>
        <v>Good</v>
      </c>
      <c r="AA771" s="138" t="str">
        <f>IFERROR(__xludf.DUMMYFUNCTION("""COMPUTED_VALUE"""),"Very Good")</f>
        <v>Very Good</v>
      </c>
      <c r="AB771" s="138" t="str">
        <f>IFERROR(__xludf.DUMMYFUNCTION("""COMPUTED_VALUE"""),"Very Good")</f>
        <v>Very Good</v>
      </c>
      <c r="AC771" s="139">
        <f>IFERROR(__xludf.DUMMYFUNCTION("""COMPUTED_VALUE"""),1.0)</f>
        <v>1</v>
      </c>
      <c r="AD771" s="139"/>
      <c r="AE771" s="139"/>
      <c r="AF771" s="140" t="str">
        <f>IFERROR(__xludf.DUMMYFUNCTION("""COMPUTED_VALUE"""),"No. I took delivery of the first car Tesla was able to deliver.")</f>
        <v>No. I took delivery of the first car Tesla was able to deliver.</v>
      </c>
      <c r="AG771" s="145"/>
      <c r="AH771" s="157">
        <f>IFERROR(__xludf.DUMMYFUNCTION("""COMPUTED_VALUE"""),44364.50767594907)</f>
        <v>44364.50768</v>
      </c>
      <c r="AI771" s="138"/>
      <c r="AJ771" s="138"/>
      <c r="AK771" s="138"/>
      <c r="AL771" s="142"/>
    </row>
    <row r="772" ht="20.25" customHeight="1">
      <c r="A772" s="155" t="str">
        <f>IFERROR(__xludf.DUMMYFUNCTION("""COMPUTED_VALUE"""),"SixZoSeven")</f>
        <v>SixZoSeven</v>
      </c>
      <c r="B772" s="149" t="str">
        <f>IFERROR(__xludf.DUMMYFUNCTION("""COMPUTED_VALUE"""),"Carlsbad")</f>
        <v>Carlsbad</v>
      </c>
      <c r="C772" s="149" t="str">
        <f>IFERROR(__xludf.DUMMYFUNCTION("""COMPUTED_VALUE"""),"CA")</f>
        <v>CA</v>
      </c>
      <c r="D772" s="149" t="str">
        <f>IFERROR(__xludf.DUMMYFUNCTION("""COMPUTED_VALUE"""),"USA")</f>
        <v>USA</v>
      </c>
      <c r="E772" s="156">
        <f>IFERROR(__xludf.DUMMYFUNCTION("""COMPUTED_VALUE"""),44321.0)</f>
        <v>44321</v>
      </c>
      <c r="F772" s="129">
        <f>IFERROR(__xludf.DUMMYFUNCTION("""COMPUTED_VALUE"""),44369.0)</f>
        <v>44369</v>
      </c>
      <c r="G772" s="154" t="str">
        <f>IFERROR(__xludf.DUMMYFUNCTION("""COMPUTED_VALUE"""),"Manage order page (normal text)")</f>
        <v>Manage order page (normal text)</v>
      </c>
      <c r="H772" s="131">
        <f>IFERROR(__xludf.DUMMYFUNCTION("""COMPUTED_VALUE"""),999955.0)</f>
        <v>999955</v>
      </c>
      <c r="I772" s="144"/>
      <c r="J772" s="129">
        <f>IFERROR(__xludf.DUMMYFUNCTION("""COMPUTED_VALUE"""),44370.0)</f>
        <v>44370</v>
      </c>
      <c r="K772" s="133">
        <f>IFERROR(__xludf.DUMMYFUNCTION("""COMPUTED_VALUE"""),48.0)</f>
        <v>48</v>
      </c>
      <c r="L772" s="133">
        <f>IFERROR(__xludf.DUMMYFUNCTION("""COMPUTED_VALUE"""),1.0)</f>
        <v>1</v>
      </c>
      <c r="M772" s="133">
        <f>IFERROR(__xludf.DUMMYFUNCTION("""COMPUTED_VALUE"""),49.0)</f>
        <v>49</v>
      </c>
      <c r="N772" s="152" t="str">
        <f>IFERROR(__xludf.DUMMYFUNCTION("""COMPUTED_VALUE"""),"Model 3 LR AWD")</f>
        <v>Model 3 LR AWD</v>
      </c>
      <c r="O772" s="152" t="str">
        <f>IFERROR(__xludf.DUMMYFUNCTION("""COMPUTED_VALUE"""),"Red Multi-Coat")</f>
        <v>Red Multi-Coat</v>
      </c>
      <c r="P772" s="153" t="str">
        <f>IFERROR(__xludf.DUMMYFUNCTION("""COMPUTED_VALUE"""),"18 inch")</f>
        <v>18 inch</v>
      </c>
      <c r="Q772" s="152" t="str">
        <f>IFERROR(__xludf.DUMMYFUNCTION("""COMPUTED_VALUE"""),"Black and White")</f>
        <v>Black and White</v>
      </c>
      <c r="R772" s="149" t="str">
        <f>IFERROR(__xludf.DUMMYFUNCTION("""COMPUTED_VALUE"""),"Autopilot included")</f>
        <v>Autopilot included</v>
      </c>
      <c r="S772" s="149" t="str">
        <f>IFERROR(__xludf.DUMMYFUNCTION("""COMPUTED_VALUE"""),"Loan")</f>
        <v>Loan</v>
      </c>
      <c r="T772" s="145" t="str">
        <f>IFERROR(__xludf.DUMMYFUNCTION("""COMPUTED_VALUE"""),"Ford Focus")</f>
        <v>Ford Focus</v>
      </c>
      <c r="U772" s="145" t="str">
        <f>IFERROR(__xludf.DUMMYFUNCTION("""COMPUTED_VALUE"""),"Autopilot")</f>
        <v>Autopilot</v>
      </c>
      <c r="V772" s="145" t="str">
        <f>IFERROR(__xludf.DUMMYFUNCTION("""COMPUTED_VALUE"""),"Noise Cancellation")</f>
        <v>Noise Cancellation</v>
      </c>
      <c r="W772" s="145"/>
      <c r="X772" s="137" t="str">
        <f>IFERROR(__xludf.DUMMYFUNCTION("""COMPUTED_VALUE"""),"Excellent")</f>
        <v>Excellent</v>
      </c>
      <c r="Y772" s="138" t="str">
        <f>IFERROR(__xludf.DUMMYFUNCTION("""COMPUTED_VALUE"""),"Excellent")</f>
        <v>Excellent</v>
      </c>
      <c r="Z772" s="138" t="str">
        <f>IFERROR(__xludf.DUMMYFUNCTION("""COMPUTED_VALUE"""),"Excellent")</f>
        <v>Excellent</v>
      </c>
      <c r="AA772" s="138" t="str">
        <f>IFERROR(__xludf.DUMMYFUNCTION("""COMPUTED_VALUE"""),"Excellent")</f>
        <v>Excellent</v>
      </c>
      <c r="AB772" s="138" t="str">
        <f>IFERROR(__xludf.DUMMYFUNCTION("""COMPUTED_VALUE"""),"Excellent")</f>
        <v>Excellent</v>
      </c>
      <c r="AC772" s="139"/>
      <c r="AD772" s="139"/>
      <c r="AE772" s="139"/>
      <c r="AF772" s="140" t="str">
        <f>IFERROR(__xludf.DUMMYFUNCTION("""COMPUTED_VALUE"""),"No. I took delivery of the first car Tesla was able to deliver.")</f>
        <v>No. I took delivery of the first car Tesla was able to deliver.</v>
      </c>
      <c r="AG772" s="145"/>
      <c r="AH772" s="157">
        <f>IFERROR(__xludf.DUMMYFUNCTION("""COMPUTED_VALUE"""),44371.423732557865)</f>
        <v>44371.42373</v>
      </c>
      <c r="AI772" s="138"/>
      <c r="AJ772" s="138"/>
      <c r="AK772" s="138"/>
      <c r="AL772" s="142"/>
    </row>
    <row r="773" ht="20.25" customHeight="1">
      <c r="A773" s="155" t="str">
        <f>IFERROR(__xludf.DUMMYFUNCTION("""COMPUTED_VALUE"""),"RJG1493")</f>
        <v>RJG1493</v>
      </c>
      <c r="B773" s="149" t="str">
        <f>IFERROR(__xludf.DUMMYFUNCTION("""COMPUTED_VALUE"""),"Denver")</f>
        <v>Denver</v>
      </c>
      <c r="C773" s="149" t="str">
        <f>IFERROR(__xludf.DUMMYFUNCTION("""COMPUTED_VALUE"""),"CO")</f>
        <v>CO</v>
      </c>
      <c r="D773" s="149" t="str">
        <f>IFERROR(__xludf.DUMMYFUNCTION("""COMPUTED_VALUE"""),"USA")</f>
        <v>USA</v>
      </c>
      <c r="E773" s="156">
        <f>IFERROR(__xludf.DUMMYFUNCTION("""COMPUTED_VALUE"""),44320.0)</f>
        <v>44320</v>
      </c>
      <c r="F773" s="129">
        <f>IFERROR(__xludf.DUMMYFUNCTION("""COMPUTED_VALUE"""),44365.0)</f>
        <v>44365</v>
      </c>
      <c r="G773" s="154" t="str">
        <f>IFERROR(__xludf.DUMMYFUNCTION("""COMPUTED_VALUE"""),"Manage order page (normal text)")</f>
        <v>Manage order page (normal text)</v>
      </c>
      <c r="H773" s="131">
        <f>IFERROR(__xludf.DUMMYFUNCTION("""COMPUTED_VALUE"""),997655.0)</f>
        <v>997655</v>
      </c>
      <c r="I773" s="144"/>
      <c r="J773" s="129">
        <f>IFERROR(__xludf.DUMMYFUNCTION("""COMPUTED_VALUE"""),44369.0)</f>
        <v>44369</v>
      </c>
      <c r="K773" s="133">
        <f>IFERROR(__xludf.DUMMYFUNCTION("""COMPUTED_VALUE"""),45.0)</f>
        <v>45</v>
      </c>
      <c r="L773" s="133">
        <f>IFERROR(__xludf.DUMMYFUNCTION("""COMPUTED_VALUE"""),4.0)</f>
        <v>4</v>
      </c>
      <c r="M773" s="133">
        <f>IFERROR(__xludf.DUMMYFUNCTION("""COMPUTED_VALUE"""),49.0)</f>
        <v>49</v>
      </c>
      <c r="N773" s="152" t="str">
        <f>IFERROR(__xludf.DUMMYFUNCTION("""COMPUTED_VALUE"""),"Model 3 LR AWD")</f>
        <v>Model 3 LR AWD</v>
      </c>
      <c r="O773" s="152" t="str">
        <f>IFERROR(__xludf.DUMMYFUNCTION("""COMPUTED_VALUE"""),"Pearl White Multi-Coat")</f>
        <v>Pearl White Multi-Coat</v>
      </c>
      <c r="P773" s="153" t="str">
        <f>IFERROR(__xludf.DUMMYFUNCTION("""COMPUTED_VALUE"""),"19 inch")</f>
        <v>19 inch</v>
      </c>
      <c r="Q773" s="152" t="str">
        <f>IFERROR(__xludf.DUMMYFUNCTION("""COMPUTED_VALUE"""),"All Black")</f>
        <v>All Black</v>
      </c>
      <c r="R773" s="149" t="str">
        <f>IFERROR(__xludf.DUMMYFUNCTION("""COMPUTED_VALUE"""),"Autopilot included")</f>
        <v>Autopilot included</v>
      </c>
      <c r="S773" s="149" t="str">
        <f>IFERROR(__xludf.DUMMYFUNCTION("""COMPUTED_VALUE"""),"Loan")</f>
        <v>Loan</v>
      </c>
      <c r="T773" s="145" t="str">
        <f>IFERROR(__xludf.DUMMYFUNCTION("""COMPUTED_VALUE"""),"Chevy Volt")</f>
        <v>Chevy Volt</v>
      </c>
      <c r="U773" s="145" t="str">
        <f>IFERROR(__xludf.DUMMYFUNCTION("""COMPUTED_VALUE"""),"Electric!")</f>
        <v>Electric!</v>
      </c>
      <c r="V773" s="145" t="str">
        <f>IFERROR(__xludf.DUMMYFUNCTION("""COMPUTED_VALUE"""),"Blind spot indicators on side mirrors")</f>
        <v>Blind spot indicators on side mirrors</v>
      </c>
      <c r="W773" s="145" t="str">
        <f>IFERROR(__xludf.DUMMYFUNCTION("""COMPUTED_VALUE"""),"Patience! ")</f>
        <v>Patience! </v>
      </c>
      <c r="X773" s="137" t="str">
        <f>IFERROR(__xludf.DUMMYFUNCTION("""COMPUTED_VALUE"""),"Excellent")</f>
        <v>Excellent</v>
      </c>
      <c r="Y773" s="138" t="str">
        <f>IFERROR(__xludf.DUMMYFUNCTION("""COMPUTED_VALUE"""),"Excellent")</f>
        <v>Excellent</v>
      </c>
      <c r="Z773" s="138" t="str">
        <f>IFERROR(__xludf.DUMMYFUNCTION("""COMPUTED_VALUE"""),"Excellent")</f>
        <v>Excellent</v>
      </c>
      <c r="AA773" s="138" t="str">
        <f>IFERROR(__xludf.DUMMYFUNCTION("""COMPUTED_VALUE"""),"Fair")</f>
        <v>Fair</v>
      </c>
      <c r="AB773" s="138" t="str">
        <f>IFERROR(__xludf.DUMMYFUNCTION("""COMPUTED_VALUE"""),"Excellent")</f>
        <v>Excellent</v>
      </c>
      <c r="AC773" s="139">
        <f>IFERROR(__xludf.DUMMYFUNCTION("""COMPUTED_VALUE"""),1.0)</f>
        <v>1</v>
      </c>
      <c r="AD773" s="139">
        <f>IFERROR(__xludf.DUMMYFUNCTION("""COMPUTED_VALUE"""),1.0)</f>
        <v>1</v>
      </c>
      <c r="AE773" s="139">
        <f>IFERROR(__xludf.DUMMYFUNCTION("""COMPUTED_VALUE"""),30.0)</f>
        <v>30</v>
      </c>
      <c r="AF773" s="140" t="str">
        <f>IFERROR(__xludf.DUMMYFUNCTION("""COMPUTED_VALUE"""),"No. I took delivery of the first car Tesla was able to deliver.")</f>
        <v>No. I took delivery of the first car Tesla was able to deliver.</v>
      </c>
      <c r="AG773" s="145" t="str">
        <f>IFERROR(__xludf.DUMMYFUNCTION("""COMPUTED_VALUE"""),"Needed entire battery replaced...less than 2k mileage.")</f>
        <v>Needed entire battery replaced...less than 2k mileage.</v>
      </c>
      <c r="AH773" s="157">
        <f>IFERROR(__xludf.DUMMYFUNCTION("""COMPUTED_VALUE"""),44462.34572603009)</f>
        <v>44462.34573</v>
      </c>
      <c r="AI773" s="138"/>
      <c r="AJ773" s="138"/>
      <c r="AK773" s="138"/>
      <c r="AL773" s="142"/>
    </row>
    <row r="774" ht="20.25" customHeight="1">
      <c r="A774" s="155" t="str">
        <f>IFERROR(__xludf.DUMMYFUNCTION("""COMPUTED_VALUE"""),"Mr. K")</f>
        <v>Mr. K</v>
      </c>
      <c r="B774" s="149" t="str">
        <f>IFERROR(__xludf.DUMMYFUNCTION("""COMPUTED_VALUE"""),"Carmichael")</f>
        <v>Carmichael</v>
      </c>
      <c r="C774" s="149" t="str">
        <f>IFERROR(__xludf.DUMMYFUNCTION("""COMPUTED_VALUE"""),"CA")</f>
        <v>CA</v>
      </c>
      <c r="D774" s="149" t="str">
        <f>IFERROR(__xludf.DUMMYFUNCTION("""COMPUTED_VALUE"""),"USA")</f>
        <v>USA</v>
      </c>
      <c r="E774" s="156">
        <f>IFERROR(__xludf.DUMMYFUNCTION("""COMPUTED_VALUE"""),44319.0)</f>
        <v>44319</v>
      </c>
      <c r="F774" s="129">
        <f>IFERROR(__xludf.DUMMYFUNCTION("""COMPUTED_VALUE"""),44373.0)</f>
        <v>44373</v>
      </c>
      <c r="G774" s="154" t="str">
        <f>IFERROR(__xludf.DUMMYFUNCTION("""COMPUTED_VALUE"""),"Text message")</f>
        <v>Text message</v>
      </c>
      <c r="H774" s="131">
        <f>IFERROR(__xludf.DUMMYFUNCTION("""COMPUTED_VALUE"""),286155.0)</f>
        <v>286155</v>
      </c>
      <c r="I774" s="144" t="str">
        <f>IFERROR(__xludf.DUMMYFUNCTION("""COMPUTED_VALUE"""),"06/21")</f>
        <v>06/21</v>
      </c>
      <c r="J774" s="129">
        <f>IFERROR(__xludf.DUMMYFUNCTION("""COMPUTED_VALUE"""),44375.0)</f>
        <v>44375</v>
      </c>
      <c r="K774" s="133">
        <f>IFERROR(__xludf.DUMMYFUNCTION("""COMPUTED_VALUE"""),54.0)</f>
        <v>54</v>
      </c>
      <c r="L774" s="133">
        <f>IFERROR(__xludf.DUMMYFUNCTION("""COMPUTED_VALUE"""),2.0)</f>
        <v>2</v>
      </c>
      <c r="M774" s="133">
        <f>IFERROR(__xludf.DUMMYFUNCTION("""COMPUTED_VALUE"""),56.0)</f>
        <v>56</v>
      </c>
      <c r="N774" s="152" t="str">
        <f>IFERROR(__xludf.DUMMYFUNCTION("""COMPUTED_VALUE"""),"Model 3 LR AWD")</f>
        <v>Model 3 LR AWD</v>
      </c>
      <c r="O774" s="152" t="str">
        <f>IFERROR(__xludf.DUMMYFUNCTION("""COMPUTED_VALUE"""),"Red Multi-Coat")</f>
        <v>Red Multi-Coat</v>
      </c>
      <c r="P774" s="153" t="str">
        <f>IFERROR(__xludf.DUMMYFUNCTION("""COMPUTED_VALUE"""),"18 inch")</f>
        <v>18 inch</v>
      </c>
      <c r="Q774" s="152" t="str">
        <f>IFERROR(__xludf.DUMMYFUNCTION("""COMPUTED_VALUE"""),"All Black")</f>
        <v>All Black</v>
      </c>
      <c r="R774" s="149" t="str">
        <f>IFERROR(__xludf.DUMMYFUNCTION("""COMPUTED_VALUE"""),"Autopilot included")</f>
        <v>Autopilot included</v>
      </c>
      <c r="S774" s="149" t="str">
        <f>IFERROR(__xludf.DUMMYFUNCTION("""COMPUTED_VALUE"""),"Cash")</f>
        <v>Cash</v>
      </c>
      <c r="T774" s="145" t="str">
        <f>IFERROR(__xludf.DUMMYFUNCTION("""COMPUTED_VALUE"""),"Tesla Model 3")</f>
        <v>Tesla Model 3</v>
      </c>
      <c r="U774" s="145" t="str">
        <f>IFERROR(__xludf.DUMMYFUNCTION("""COMPUTED_VALUE"""),"Electric!")</f>
        <v>Electric!</v>
      </c>
      <c r="V774" s="145" t="str">
        <f>IFERROR(__xludf.DUMMYFUNCTION("""COMPUTED_VALUE"""),"Head-up display")</f>
        <v>Head-up display</v>
      </c>
      <c r="W774" s="145"/>
      <c r="X774" s="137" t="str">
        <f>IFERROR(__xludf.DUMMYFUNCTION("""COMPUTED_VALUE"""),"Very Good")</f>
        <v>Very Good</v>
      </c>
      <c r="Y774" s="138" t="str">
        <f>IFERROR(__xludf.DUMMYFUNCTION("""COMPUTED_VALUE"""),"Excellent")</f>
        <v>Excellent</v>
      </c>
      <c r="Z774" s="138" t="str">
        <f>IFERROR(__xludf.DUMMYFUNCTION("""COMPUTED_VALUE"""),"Excellent")</f>
        <v>Excellent</v>
      </c>
      <c r="AA774" s="138" t="str">
        <f>IFERROR(__xludf.DUMMYFUNCTION("""COMPUTED_VALUE"""),"Fair")</f>
        <v>Fair</v>
      </c>
      <c r="AB774" s="138" t="str">
        <f>IFERROR(__xludf.DUMMYFUNCTION("""COMPUTED_VALUE"""),"Excellent")</f>
        <v>Excellent</v>
      </c>
      <c r="AC774" s="139">
        <f>IFERROR(__xludf.DUMMYFUNCTION("""COMPUTED_VALUE"""),0.0)</f>
        <v>0</v>
      </c>
      <c r="AD774" s="139">
        <f>IFERROR(__xludf.DUMMYFUNCTION("""COMPUTED_VALUE"""),0.0)</f>
        <v>0</v>
      </c>
      <c r="AE774" s="139">
        <f>IFERROR(__xludf.DUMMYFUNCTION("""COMPUTED_VALUE"""),0.0)</f>
        <v>0</v>
      </c>
      <c r="AF774" s="140" t="str">
        <f>IFERROR(__xludf.DUMMYFUNCTION("""COMPUTED_VALUE"""),"No. I took delivery of the first car Tesla was able to deliver.")</f>
        <v>No. I took delivery of the first car Tesla was able to deliver.</v>
      </c>
      <c r="AG774" s="145"/>
      <c r="AH774" s="157">
        <f>IFERROR(__xludf.DUMMYFUNCTION("""COMPUTED_VALUE"""),44387.39903449074)</f>
        <v>44387.39903</v>
      </c>
      <c r="AI774" s="138"/>
      <c r="AJ774" s="138"/>
      <c r="AK774" s="138"/>
      <c r="AL774" s="142"/>
    </row>
    <row r="775" ht="20.25" customHeight="1">
      <c r="A775" s="155" t="str">
        <f>IFERROR(__xludf.DUMMYFUNCTION("""COMPUTED_VALUE"""),"promoguy666")</f>
        <v>promoguy666</v>
      </c>
      <c r="B775" s="149"/>
      <c r="C775" s="149" t="str">
        <f>IFERROR(__xludf.DUMMYFUNCTION("""COMPUTED_VALUE"""),"NY")</f>
        <v>NY</v>
      </c>
      <c r="D775" s="149" t="str">
        <f>IFERROR(__xludf.DUMMYFUNCTION("""COMPUTED_VALUE"""),"USA")</f>
        <v>USA</v>
      </c>
      <c r="E775" s="156">
        <f>IFERROR(__xludf.DUMMYFUNCTION("""COMPUTED_VALUE"""),44318.0)</f>
        <v>44318</v>
      </c>
      <c r="F775" s="129">
        <f>IFERROR(__xludf.DUMMYFUNCTION("""COMPUTED_VALUE"""),44360.0)</f>
        <v>44360</v>
      </c>
      <c r="G775" s="154" t="str">
        <f>IFERROR(__xludf.DUMMYFUNCTION("""COMPUTED_VALUE"""),"Text message")</f>
        <v>Text message</v>
      </c>
      <c r="H775" s="131">
        <f>IFERROR(__xludf.DUMMYFUNCTION("""COMPUTED_VALUE"""),992955.0)</f>
        <v>992955</v>
      </c>
      <c r="I775" s="144"/>
      <c r="J775" s="129">
        <f>IFERROR(__xludf.DUMMYFUNCTION("""COMPUTED_VALUE"""),44374.0)</f>
        <v>44374</v>
      </c>
      <c r="K775" s="133">
        <f>IFERROR(__xludf.DUMMYFUNCTION("""COMPUTED_VALUE"""),42.0)</f>
        <v>42</v>
      </c>
      <c r="L775" s="133">
        <f>IFERROR(__xludf.DUMMYFUNCTION("""COMPUTED_VALUE"""),14.0)</f>
        <v>14</v>
      </c>
      <c r="M775" s="133">
        <f>IFERROR(__xludf.DUMMYFUNCTION("""COMPUTED_VALUE"""),56.0)</f>
        <v>56</v>
      </c>
      <c r="N775" s="152" t="str">
        <f>IFERROR(__xludf.DUMMYFUNCTION("""COMPUTED_VALUE"""),"Model 3 LR AWD")</f>
        <v>Model 3 LR AWD</v>
      </c>
      <c r="O775" s="152" t="str">
        <f>IFERROR(__xludf.DUMMYFUNCTION("""COMPUTED_VALUE"""),"Deep Blue Metallic")</f>
        <v>Deep Blue Metallic</v>
      </c>
      <c r="P775" s="153" t="str">
        <f>IFERROR(__xludf.DUMMYFUNCTION("""COMPUTED_VALUE"""),"18 inch")</f>
        <v>18 inch</v>
      </c>
      <c r="Q775" s="152" t="str">
        <f>IFERROR(__xludf.DUMMYFUNCTION("""COMPUTED_VALUE"""),"Black and White")</f>
        <v>Black and White</v>
      </c>
      <c r="R775" s="149" t="str">
        <f>IFERROR(__xludf.DUMMYFUNCTION("""COMPUTED_VALUE"""),"Autopilot included")</f>
        <v>Autopilot included</v>
      </c>
      <c r="S775" s="149" t="str">
        <f>IFERROR(__xludf.DUMMYFUNCTION("""COMPUTED_VALUE"""),"Loan")</f>
        <v>Loan</v>
      </c>
      <c r="T775" s="145"/>
      <c r="U775" s="145" t="str">
        <f>IFERROR(__xludf.DUMMYFUNCTION("""COMPUTED_VALUE"""),"Autopilot")</f>
        <v>Autopilot</v>
      </c>
      <c r="V775" s="145" t="str">
        <f>IFERROR(__xludf.DUMMYFUNCTION("""COMPUTED_VALUE"""),"Dashboard")</f>
        <v>Dashboard</v>
      </c>
      <c r="W775" s="145"/>
      <c r="X775" s="137" t="str">
        <f>IFERROR(__xludf.DUMMYFUNCTION("""COMPUTED_VALUE"""),"Good")</f>
        <v>Good</v>
      </c>
      <c r="Y775" s="138" t="str">
        <f>IFERROR(__xludf.DUMMYFUNCTION("""COMPUTED_VALUE"""),"Excellent")</f>
        <v>Excellent</v>
      </c>
      <c r="Z775" s="138" t="str">
        <f>IFERROR(__xludf.DUMMYFUNCTION("""COMPUTED_VALUE"""),"Very Good")</f>
        <v>Very Good</v>
      </c>
      <c r="AA775" s="138" t="str">
        <f>IFERROR(__xludf.DUMMYFUNCTION("""COMPUTED_VALUE"""),"Good")</f>
        <v>Good</v>
      </c>
      <c r="AB775" s="138" t="str">
        <f>IFERROR(__xludf.DUMMYFUNCTION("""COMPUTED_VALUE"""),"Good")</f>
        <v>Good</v>
      </c>
      <c r="AC775" s="139"/>
      <c r="AD775" s="139"/>
      <c r="AE775" s="139"/>
      <c r="AF775" s="140" t="str">
        <f>IFERROR(__xludf.DUMMYFUNCTION("""COMPUTED_VALUE"""),"No. I took delivery of the first car Tesla was able to deliver.")</f>
        <v>No. I took delivery of the first car Tesla was able to deliver.</v>
      </c>
      <c r="AG775" s="145"/>
      <c r="AH775" s="157">
        <f>IFERROR(__xludf.DUMMYFUNCTION("""COMPUTED_VALUE"""),44384.40555403935)</f>
        <v>44384.40555</v>
      </c>
      <c r="AI775" s="138"/>
      <c r="AJ775" s="138"/>
      <c r="AK775" s="138"/>
      <c r="AL775" s="142"/>
    </row>
    <row r="776" ht="20.25" customHeight="1">
      <c r="A776" s="155" t="str">
        <f>IFERROR(__xludf.DUMMYFUNCTION("""COMPUTED_VALUE"""),"anotheronetouse")</f>
        <v>anotheronetouse</v>
      </c>
      <c r="B776" s="149" t="str">
        <f>IFERROR(__xludf.DUMMYFUNCTION("""COMPUTED_VALUE"""),"San Francisco")</f>
        <v>San Francisco</v>
      </c>
      <c r="C776" s="149" t="str">
        <f>IFERROR(__xludf.DUMMYFUNCTION("""COMPUTED_VALUE"""),"CA")</f>
        <v>CA</v>
      </c>
      <c r="D776" s="149" t="str">
        <f>IFERROR(__xludf.DUMMYFUNCTION("""COMPUTED_VALUE"""),"USA")</f>
        <v>USA</v>
      </c>
      <c r="E776" s="156">
        <f>IFERROR(__xludf.DUMMYFUNCTION("""COMPUTED_VALUE"""),44317.0)</f>
        <v>44317</v>
      </c>
      <c r="F776" s="129">
        <f>IFERROR(__xludf.DUMMYFUNCTION("""COMPUTED_VALUE"""),44360.0)</f>
        <v>44360</v>
      </c>
      <c r="G776" s="154" t="str">
        <f>IFERROR(__xludf.DUMMYFUNCTION("""COMPUTED_VALUE"""),"Manage order page (normal text)")</f>
        <v>Manage order page (normal text)</v>
      </c>
      <c r="H776" s="131"/>
      <c r="I776" s="144"/>
      <c r="J776" s="129">
        <f>IFERROR(__xludf.DUMMYFUNCTION("""COMPUTED_VALUE"""),44362.0)</f>
        <v>44362</v>
      </c>
      <c r="K776" s="133">
        <f>IFERROR(__xludf.DUMMYFUNCTION("""COMPUTED_VALUE"""),43.0)</f>
        <v>43</v>
      </c>
      <c r="L776" s="133">
        <f>IFERROR(__xludf.DUMMYFUNCTION("""COMPUTED_VALUE"""),2.0)</f>
        <v>2</v>
      </c>
      <c r="M776" s="133">
        <f>IFERROR(__xludf.DUMMYFUNCTION("""COMPUTED_VALUE"""),45.0)</f>
        <v>45</v>
      </c>
      <c r="N776" s="152" t="str">
        <f>IFERROR(__xludf.DUMMYFUNCTION("""COMPUTED_VALUE"""),"Model 3 Performance")</f>
        <v>Model 3 Performance</v>
      </c>
      <c r="O776" s="152" t="str">
        <f>IFERROR(__xludf.DUMMYFUNCTION("""COMPUTED_VALUE"""),"Red Multi-Coat")</f>
        <v>Red Multi-Coat</v>
      </c>
      <c r="P776" s="153"/>
      <c r="Q776" s="152" t="str">
        <f>IFERROR(__xludf.DUMMYFUNCTION("""COMPUTED_VALUE"""),"All Black")</f>
        <v>All Black</v>
      </c>
      <c r="R776" s="149" t="str">
        <f>IFERROR(__xludf.DUMMYFUNCTION("""COMPUTED_VALUE"""),"Full Self-Driving")</f>
        <v>Full Self-Driving</v>
      </c>
      <c r="S776" s="149" t="str">
        <f>IFERROR(__xludf.DUMMYFUNCTION("""COMPUTED_VALUE"""),"Loan")</f>
        <v>Loan</v>
      </c>
      <c r="T776" s="145"/>
      <c r="U776" s="145" t="str">
        <f>IFERROR(__xludf.DUMMYFUNCTION("""COMPUTED_VALUE"""),"Electric!")</f>
        <v>Electric!</v>
      </c>
      <c r="V776" s="145" t="str">
        <f>IFERROR(__xludf.DUMMYFUNCTION("""COMPUTED_VALUE"""),"Ventilated seats")</f>
        <v>Ventilated seats</v>
      </c>
      <c r="W776" s="145"/>
      <c r="X776" s="137" t="str">
        <f>IFERROR(__xludf.DUMMYFUNCTION("""COMPUTED_VALUE"""),"Fair")</f>
        <v>Fair</v>
      </c>
      <c r="Y776" s="138" t="str">
        <f>IFERROR(__xludf.DUMMYFUNCTION("""COMPUTED_VALUE"""),"Excellent")</f>
        <v>Excellent</v>
      </c>
      <c r="Z776" s="138" t="str">
        <f>IFERROR(__xludf.DUMMYFUNCTION("""COMPUTED_VALUE"""),"Good")</f>
        <v>Good</v>
      </c>
      <c r="AA776" s="138" t="str">
        <f>IFERROR(__xludf.DUMMYFUNCTION("""COMPUTED_VALUE"""),"Excellent")</f>
        <v>Excellent</v>
      </c>
      <c r="AB776" s="138" t="str">
        <f>IFERROR(__xludf.DUMMYFUNCTION("""COMPUTED_VALUE"""),"Excellent")</f>
        <v>Excellent</v>
      </c>
      <c r="AC776" s="139">
        <f>IFERROR(__xludf.DUMMYFUNCTION("""COMPUTED_VALUE"""),2.0)</f>
        <v>2</v>
      </c>
      <c r="AD776" s="139"/>
      <c r="AE776" s="139"/>
      <c r="AF776" s="140" t="str">
        <f>IFERROR(__xludf.DUMMYFUNCTION("""COMPUTED_VALUE"""),"No. I took delivery of the first car Tesla was able to deliver.")</f>
        <v>No. I took delivery of the first car Tesla was able to deliver.</v>
      </c>
      <c r="AG776" s="145"/>
      <c r="AH776" s="157">
        <f>IFERROR(__xludf.DUMMYFUNCTION("""COMPUTED_VALUE"""),44362.91667780093)</f>
        <v>44362.91668</v>
      </c>
      <c r="AI776" s="138"/>
      <c r="AJ776" s="138"/>
      <c r="AK776" s="138"/>
      <c r="AL776" s="142"/>
    </row>
    <row r="777" ht="20.25" customHeight="1">
      <c r="A777" s="155" t="str">
        <f>IFERROR(__xludf.DUMMYFUNCTION("""COMPUTED_VALUE"""),"BBrownUT")</f>
        <v>BBrownUT</v>
      </c>
      <c r="B777" s="149" t="str">
        <f>IFERROR(__xludf.DUMMYFUNCTION("""COMPUTED_VALUE"""),"Salt Lake City")</f>
        <v>Salt Lake City</v>
      </c>
      <c r="C777" s="149" t="str">
        <f>IFERROR(__xludf.DUMMYFUNCTION("""COMPUTED_VALUE"""),"UT")</f>
        <v>UT</v>
      </c>
      <c r="D777" s="149" t="str">
        <f>IFERROR(__xludf.DUMMYFUNCTION("""COMPUTED_VALUE"""),"USA")</f>
        <v>USA</v>
      </c>
      <c r="E777" s="156">
        <f>IFERROR(__xludf.DUMMYFUNCTION("""COMPUTED_VALUE"""),44317.0)</f>
        <v>44317</v>
      </c>
      <c r="F777" s="129">
        <f>IFERROR(__xludf.DUMMYFUNCTION("""COMPUTED_VALUE"""),44348.0)</f>
        <v>44348</v>
      </c>
      <c r="G777" s="154" t="str">
        <f>IFERROR(__xludf.DUMMYFUNCTION("""COMPUTED_VALUE"""),"Manage order page (normal text)")</f>
        <v>Manage order page (normal text)</v>
      </c>
      <c r="H777" s="131"/>
      <c r="I777" s="144"/>
      <c r="J777" s="129">
        <f>IFERROR(__xludf.DUMMYFUNCTION("""COMPUTED_VALUE"""),44355.0)</f>
        <v>44355</v>
      </c>
      <c r="K777" s="133">
        <f>IFERROR(__xludf.DUMMYFUNCTION("""COMPUTED_VALUE"""),31.0)</f>
        <v>31</v>
      </c>
      <c r="L777" s="133">
        <f>IFERROR(__xludf.DUMMYFUNCTION("""COMPUTED_VALUE"""),7.0)</f>
        <v>7</v>
      </c>
      <c r="M777" s="133">
        <f>IFERROR(__xludf.DUMMYFUNCTION("""COMPUTED_VALUE"""),38.0)</f>
        <v>38</v>
      </c>
      <c r="N777" s="152" t="str">
        <f>IFERROR(__xludf.DUMMYFUNCTION("""COMPUTED_VALUE"""),"Model 3 SR+")</f>
        <v>Model 3 SR+</v>
      </c>
      <c r="O777" s="152" t="str">
        <f>IFERROR(__xludf.DUMMYFUNCTION("""COMPUTED_VALUE"""),"Midnight Silver Metallic")</f>
        <v>Midnight Silver Metallic</v>
      </c>
      <c r="P777" s="153" t="str">
        <f>IFERROR(__xludf.DUMMYFUNCTION("""COMPUTED_VALUE"""),"18 inch")</f>
        <v>18 inch</v>
      </c>
      <c r="Q777" s="152" t="str">
        <f>IFERROR(__xludf.DUMMYFUNCTION("""COMPUTED_VALUE"""),"All Black")</f>
        <v>All Black</v>
      </c>
      <c r="R777" s="149" t="str">
        <f>IFERROR(__xludf.DUMMYFUNCTION("""COMPUTED_VALUE"""),"Autopilot included")</f>
        <v>Autopilot included</v>
      </c>
      <c r="S777" s="149"/>
      <c r="T777" s="145" t="str">
        <f>IFERROR(__xludf.DUMMYFUNCTION("""COMPUTED_VALUE"""),"Chevy Captiva")</f>
        <v>Chevy Captiva</v>
      </c>
      <c r="U777" s="145" t="str">
        <f>IFERROR(__xludf.DUMMYFUNCTION("""COMPUTED_VALUE"""),"Electric!")</f>
        <v>Electric!</v>
      </c>
      <c r="V777" s="145" t="str">
        <f>IFERROR(__xludf.DUMMYFUNCTION("""COMPUTED_VALUE"""),"Blind spot indicators on side mirrors")</f>
        <v>Blind spot indicators on side mirrors</v>
      </c>
      <c r="W777" s="145"/>
      <c r="X777" s="137"/>
      <c r="Y777" s="138" t="str">
        <f>IFERROR(__xludf.DUMMYFUNCTION("""COMPUTED_VALUE"""),"Excellent")</f>
        <v>Excellent</v>
      </c>
      <c r="Z777" s="138" t="str">
        <f>IFERROR(__xludf.DUMMYFUNCTION("""COMPUTED_VALUE"""),"Very Good")</f>
        <v>Very Good</v>
      </c>
      <c r="AA777" s="138" t="str">
        <f>IFERROR(__xludf.DUMMYFUNCTION("""COMPUTED_VALUE"""),"Fair")</f>
        <v>Fair</v>
      </c>
      <c r="AB777" s="138" t="str">
        <f>IFERROR(__xludf.DUMMYFUNCTION("""COMPUTED_VALUE"""),"Fair")</f>
        <v>Fair</v>
      </c>
      <c r="AC777" s="139"/>
      <c r="AD777" s="139"/>
      <c r="AE777" s="139"/>
      <c r="AF777" s="140" t="str">
        <f>IFERROR(__xludf.DUMMYFUNCTION("""COMPUTED_VALUE"""),"No. I took delivery of the first car Tesla was able to deliver.")</f>
        <v>No. I took delivery of the first car Tesla was able to deliver.</v>
      </c>
      <c r="AG777" s="145"/>
      <c r="AH777" s="157">
        <f>IFERROR(__xludf.DUMMYFUNCTION("""COMPUTED_VALUE"""),44362.33607768519)</f>
        <v>44362.33608</v>
      </c>
      <c r="AI777" s="138"/>
      <c r="AJ777" s="138"/>
      <c r="AK777" s="138"/>
      <c r="AL777" s="142"/>
    </row>
    <row r="778" ht="20.25" customHeight="1">
      <c r="A778" s="155" t="str">
        <f>IFERROR(__xludf.DUMMYFUNCTION("""COMPUTED_VALUE"""),"Spinytail859")</f>
        <v>Spinytail859</v>
      </c>
      <c r="B778" s="149" t="str">
        <f>IFERROR(__xludf.DUMMYFUNCTION("""COMPUTED_VALUE"""),"Pittsburgh")</f>
        <v>Pittsburgh</v>
      </c>
      <c r="C778" s="149" t="str">
        <f>IFERROR(__xludf.DUMMYFUNCTION("""COMPUTED_VALUE"""),"PA")</f>
        <v>PA</v>
      </c>
      <c r="D778" s="149" t="str">
        <f>IFERROR(__xludf.DUMMYFUNCTION("""COMPUTED_VALUE"""),"USA")</f>
        <v>USA</v>
      </c>
      <c r="E778" s="156">
        <f>IFERROR(__xludf.DUMMYFUNCTION("""COMPUTED_VALUE"""),44317.0)</f>
        <v>44317</v>
      </c>
      <c r="F778" s="129">
        <f>IFERROR(__xludf.DUMMYFUNCTION("""COMPUTED_VALUE"""),44357.0)</f>
        <v>44357</v>
      </c>
      <c r="G778" s="154" t="str">
        <f>IFERROR(__xludf.DUMMYFUNCTION("""COMPUTED_VALUE"""),"Manage order page (normal text)")</f>
        <v>Manage order page (normal text)</v>
      </c>
      <c r="H778" s="131">
        <f>IFERROR(__xludf.DUMMYFUNCTION("""COMPUTED_VALUE"""),990981.0)</f>
        <v>990981</v>
      </c>
      <c r="I778" s="144" t="str">
        <f>IFERROR(__xludf.DUMMYFUNCTION("""COMPUTED_VALUE"""),"06/21")</f>
        <v>06/21</v>
      </c>
      <c r="J778" s="129">
        <f>IFERROR(__xludf.DUMMYFUNCTION("""COMPUTED_VALUE"""),44370.0)</f>
        <v>44370</v>
      </c>
      <c r="K778" s="133">
        <f>IFERROR(__xludf.DUMMYFUNCTION("""COMPUTED_VALUE"""),40.0)</f>
        <v>40</v>
      </c>
      <c r="L778" s="133">
        <f>IFERROR(__xludf.DUMMYFUNCTION("""COMPUTED_VALUE"""),13.0)</f>
        <v>13</v>
      </c>
      <c r="M778" s="133">
        <f>IFERROR(__xludf.DUMMYFUNCTION("""COMPUTED_VALUE"""),53.0)</f>
        <v>53</v>
      </c>
      <c r="N778" s="152" t="str">
        <f>IFERROR(__xludf.DUMMYFUNCTION("""COMPUTED_VALUE"""),"Model 3 Performance")</f>
        <v>Model 3 Performance</v>
      </c>
      <c r="O778" s="152" t="str">
        <f>IFERROR(__xludf.DUMMYFUNCTION("""COMPUTED_VALUE"""),"Red Multi-Coat")</f>
        <v>Red Multi-Coat</v>
      </c>
      <c r="P778" s="153" t="str">
        <f>IFERROR(__xludf.DUMMYFUNCTION("""COMPUTED_VALUE"""),"20 inch")</f>
        <v>20 inch</v>
      </c>
      <c r="Q778" s="152" t="str">
        <f>IFERROR(__xludf.DUMMYFUNCTION("""COMPUTED_VALUE"""),"All Black")</f>
        <v>All Black</v>
      </c>
      <c r="R778" s="149" t="str">
        <f>IFERROR(__xludf.DUMMYFUNCTION("""COMPUTED_VALUE"""),"Autopilot included")</f>
        <v>Autopilot included</v>
      </c>
      <c r="S778" s="149" t="str">
        <f>IFERROR(__xludf.DUMMYFUNCTION("""COMPUTED_VALUE"""),"Loan")</f>
        <v>Loan</v>
      </c>
      <c r="T778" s="145" t="str">
        <f>IFERROR(__xludf.DUMMYFUNCTION("""COMPUTED_VALUE"""),"2006 Mazdaspeed6")</f>
        <v>2006 Mazdaspeed6</v>
      </c>
      <c r="U778" s="145" t="str">
        <f>IFERROR(__xludf.DUMMYFUNCTION("""COMPUTED_VALUE"""),"Electric!")</f>
        <v>Electric!</v>
      </c>
      <c r="V778" s="145" t="str">
        <f>IFERROR(__xludf.DUMMYFUNCTION("""COMPUTED_VALUE"""),"Head-up display")</f>
        <v>Head-up display</v>
      </c>
      <c r="W778" s="145"/>
      <c r="X778" s="137" t="str">
        <f>IFERROR(__xludf.DUMMYFUNCTION("""COMPUTED_VALUE"""),"Very Good")</f>
        <v>Very Good</v>
      </c>
      <c r="Y778" s="138" t="str">
        <f>IFERROR(__xludf.DUMMYFUNCTION("""COMPUTED_VALUE"""),"Very Good")</f>
        <v>Very Good</v>
      </c>
      <c r="Z778" s="138" t="str">
        <f>IFERROR(__xludf.DUMMYFUNCTION("""COMPUTED_VALUE"""),"Very Good")</f>
        <v>Very Good</v>
      </c>
      <c r="AA778" s="138" t="str">
        <f>IFERROR(__xludf.DUMMYFUNCTION("""COMPUTED_VALUE"""),"Very Good")</f>
        <v>Very Good</v>
      </c>
      <c r="AB778" s="138" t="str">
        <f>IFERROR(__xludf.DUMMYFUNCTION("""COMPUTED_VALUE"""),"Excellent")</f>
        <v>Excellent</v>
      </c>
      <c r="AC778" s="139">
        <f>IFERROR(__xludf.DUMMYFUNCTION("""COMPUTED_VALUE"""),3.0)</f>
        <v>3</v>
      </c>
      <c r="AD778" s="139">
        <f>IFERROR(__xludf.DUMMYFUNCTION("""COMPUTED_VALUE"""),1.0)</f>
        <v>1</v>
      </c>
      <c r="AE778" s="139">
        <f>IFERROR(__xludf.DUMMYFUNCTION("""COMPUTED_VALUE"""),1.0)</f>
        <v>1</v>
      </c>
      <c r="AF778" s="140" t="str">
        <f>IFERROR(__xludf.DUMMYFUNCTION("""COMPUTED_VALUE"""),"No. I took delivery of the first car Tesla was able to deliver.")</f>
        <v>No. I took delivery of the first car Tesla was able to deliver.</v>
      </c>
      <c r="AG778" s="145"/>
      <c r="AH778" s="157">
        <f>IFERROR(__xludf.DUMMYFUNCTION("""COMPUTED_VALUE"""),44413.1889508449)</f>
        <v>44413.18895</v>
      </c>
      <c r="AI778" s="138"/>
      <c r="AJ778" s="138"/>
      <c r="AK778" s="138"/>
      <c r="AL778" s="142"/>
    </row>
    <row r="779" ht="20.25" customHeight="1">
      <c r="A779" s="155" t="str">
        <f>IFERROR(__xludf.DUMMYFUNCTION("""COMPUTED_VALUE"""),"CarmenBLA")</f>
        <v>CarmenBLA</v>
      </c>
      <c r="B779" s="149" t="str">
        <f>IFERROR(__xludf.DUMMYFUNCTION("""COMPUTED_VALUE"""),"Nashville")</f>
        <v>Nashville</v>
      </c>
      <c r="C779" s="149" t="str">
        <f>IFERROR(__xludf.DUMMYFUNCTION("""COMPUTED_VALUE"""),"TN")</f>
        <v>TN</v>
      </c>
      <c r="D779" s="149" t="str">
        <f>IFERROR(__xludf.DUMMYFUNCTION("""COMPUTED_VALUE"""),"USA")</f>
        <v>USA</v>
      </c>
      <c r="E779" s="156">
        <f>IFERROR(__xludf.DUMMYFUNCTION("""COMPUTED_VALUE"""),44316.0)</f>
        <v>44316</v>
      </c>
      <c r="F779" s="129">
        <f>IFERROR(__xludf.DUMMYFUNCTION("""COMPUTED_VALUE"""),44345.0)</f>
        <v>44345</v>
      </c>
      <c r="G779" s="154" t="str">
        <f>IFERROR(__xludf.DUMMYFUNCTION("""COMPUTED_VALUE"""),"Manage order page (normal text)")</f>
        <v>Manage order page (normal text)</v>
      </c>
      <c r="H779" s="131">
        <f>IFERROR(__xludf.DUMMYFUNCTION("""COMPUTED_VALUE"""),980655.0)</f>
        <v>980655</v>
      </c>
      <c r="I779" s="144" t="str">
        <f>IFERROR(__xludf.DUMMYFUNCTION("""COMPUTED_VALUE"""),"05/21")</f>
        <v>05/21</v>
      </c>
      <c r="J779" s="129">
        <f>IFERROR(__xludf.DUMMYFUNCTION("""COMPUTED_VALUE"""),44359.0)</f>
        <v>44359</v>
      </c>
      <c r="K779" s="133">
        <f>IFERROR(__xludf.DUMMYFUNCTION("""COMPUTED_VALUE"""),29.0)</f>
        <v>29</v>
      </c>
      <c r="L779" s="133">
        <f>IFERROR(__xludf.DUMMYFUNCTION("""COMPUTED_VALUE"""),14.0)</f>
        <v>14</v>
      </c>
      <c r="M779" s="133">
        <f>IFERROR(__xludf.DUMMYFUNCTION("""COMPUTED_VALUE"""),43.0)</f>
        <v>43</v>
      </c>
      <c r="N779" s="152" t="str">
        <f>IFERROR(__xludf.DUMMYFUNCTION("""COMPUTED_VALUE"""),"Model 3 LR AWD")</f>
        <v>Model 3 LR AWD</v>
      </c>
      <c r="O779" s="152" t="str">
        <f>IFERROR(__xludf.DUMMYFUNCTION("""COMPUTED_VALUE"""),"Midnight Silver Metallic")</f>
        <v>Midnight Silver Metallic</v>
      </c>
      <c r="P779" s="153" t="str">
        <f>IFERROR(__xludf.DUMMYFUNCTION("""COMPUTED_VALUE"""),"19 inch")</f>
        <v>19 inch</v>
      </c>
      <c r="Q779" s="152" t="str">
        <f>IFERROR(__xludf.DUMMYFUNCTION("""COMPUTED_VALUE"""),"Black and White")</f>
        <v>Black and White</v>
      </c>
      <c r="R779" s="149" t="str">
        <f>IFERROR(__xludf.DUMMYFUNCTION("""COMPUTED_VALUE"""),"Autopilot included")</f>
        <v>Autopilot included</v>
      </c>
      <c r="S779" s="149" t="str">
        <f>IFERROR(__xludf.DUMMYFUNCTION("""COMPUTED_VALUE"""),"Cash")</f>
        <v>Cash</v>
      </c>
      <c r="T779" s="145" t="str">
        <f>IFERROR(__xludf.DUMMYFUNCTION("""COMPUTED_VALUE"""),"Toyota Prius")</f>
        <v>Toyota Prius</v>
      </c>
      <c r="U779" s="145" t="str">
        <f>IFERROR(__xludf.DUMMYFUNCTION("""COMPUTED_VALUE"""),"Electric!")</f>
        <v>Electric!</v>
      </c>
      <c r="V779" s="145" t="str">
        <f>IFERROR(__xludf.DUMMYFUNCTION("""COMPUTED_VALUE"""),"Air suspension")</f>
        <v>Air suspension</v>
      </c>
      <c r="W779" s="145"/>
      <c r="X779" s="137" t="str">
        <f>IFERROR(__xludf.DUMMYFUNCTION("""COMPUTED_VALUE"""),"Very Good")</f>
        <v>Very Good</v>
      </c>
      <c r="Y779" s="138" t="str">
        <f>IFERROR(__xludf.DUMMYFUNCTION("""COMPUTED_VALUE"""),"Very Good")</f>
        <v>Very Good</v>
      </c>
      <c r="Z779" s="138" t="str">
        <f>IFERROR(__xludf.DUMMYFUNCTION("""COMPUTED_VALUE"""),"Excellent")</f>
        <v>Excellent</v>
      </c>
      <c r="AA779" s="138" t="str">
        <f>IFERROR(__xludf.DUMMYFUNCTION("""COMPUTED_VALUE"""),"Very Good")</f>
        <v>Very Good</v>
      </c>
      <c r="AB779" s="138" t="str">
        <f>IFERROR(__xludf.DUMMYFUNCTION("""COMPUTED_VALUE"""),"Very Good")</f>
        <v>Very Good</v>
      </c>
      <c r="AC779" s="139">
        <f>IFERROR(__xludf.DUMMYFUNCTION("""COMPUTED_VALUE"""),1.0)</f>
        <v>1</v>
      </c>
      <c r="AD779" s="139">
        <f>IFERROR(__xludf.DUMMYFUNCTION("""COMPUTED_VALUE"""),0.0)</f>
        <v>0</v>
      </c>
      <c r="AE779" s="139">
        <f>IFERROR(__xludf.DUMMYFUNCTION("""COMPUTED_VALUE"""),0.0)</f>
        <v>0</v>
      </c>
      <c r="AF779" s="140" t="str">
        <f>IFERROR(__xludf.DUMMYFUNCTION("""COMPUTED_VALUE"""),"No. I took delivery of the first car Tesla was able to deliver.")</f>
        <v>No. I took delivery of the first car Tesla was able to deliver.</v>
      </c>
      <c r="AG779" s="145"/>
      <c r="AH779" s="157">
        <f>IFERROR(__xludf.DUMMYFUNCTION("""COMPUTED_VALUE"""),44362.671625682866)</f>
        <v>44362.67163</v>
      </c>
      <c r="AI779" s="138"/>
      <c r="AJ779" s="138"/>
      <c r="AK779" s="138"/>
      <c r="AL779" s="142"/>
    </row>
    <row r="780" ht="20.25" customHeight="1">
      <c r="A780" s="155" t="str">
        <f>IFERROR(__xludf.DUMMYFUNCTION("""COMPUTED_VALUE"""),"NZVCNA")</f>
        <v>NZVCNA</v>
      </c>
      <c r="B780" s="149" t="str">
        <f>IFERROR(__xludf.DUMMYFUNCTION("""COMPUTED_VALUE"""),"Boston")</f>
        <v>Boston</v>
      </c>
      <c r="C780" s="149" t="str">
        <f>IFERROR(__xludf.DUMMYFUNCTION("""COMPUTED_VALUE"""),"MA")</f>
        <v>MA</v>
      </c>
      <c r="D780" s="149" t="str">
        <f>IFERROR(__xludf.DUMMYFUNCTION("""COMPUTED_VALUE"""),"USA")</f>
        <v>USA</v>
      </c>
      <c r="E780" s="156">
        <f>IFERROR(__xludf.DUMMYFUNCTION("""COMPUTED_VALUE"""),44316.0)</f>
        <v>44316</v>
      </c>
      <c r="F780" s="129">
        <f>IFERROR(__xludf.DUMMYFUNCTION("""COMPUTED_VALUE"""),44348.0)</f>
        <v>44348</v>
      </c>
      <c r="G780" s="154" t="str">
        <f>IFERROR(__xludf.DUMMYFUNCTION("""COMPUTED_VALUE"""),"Manage order page (normal text)")</f>
        <v>Manage order page (normal text)</v>
      </c>
      <c r="H780" s="131">
        <f>IFERROR(__xludf.DUMMYFUNCTION("""COMPUTED_VALUE"""),984055.0)</f>
        <v>984055</v>
      </c>
      <c r="I780" s="144" t="str">
        <f>IFERROR(__xludf.DUMMYFUNCTION("""COMPUTED_VALUE"""),"06/21")</f>
        <v>06/21</v>
      </c>
      <c r="J780" s="129">
        <f>IFERROR(__xludf.DUMMYFUNCTION("""COMPUTED_VALUE"""),44362.0)</f>
        <v>44362</v>
      </c>
      <c r="K780" s="133">
        <f>IFERROR(__xludf.DUMMYFUNCTION("""COMPUTED_VALUE"""),32.0)</f>
        <v>32</v>
      </c>
      <c r="L780" s="133">
        <f>IFERROR(__xludf.DUMMYFUNCTION("""COMPUTED_VALUE"""),14.0)</f>
        <v>14</v>
      </c>
      <c r="M780" s="133">
        <f>IFERROR(__xludf.DUMMYFUNCTION("""COMPUTED_VALUE"""),46.0)</f>
        <v>46</v>
      </c>
      <c r="N780" s="152" t="str">
        <f>IFERROR(__xludf.DUMMYFUNCTION("""COMPUTED_VALUE"""),"Model 3 LR AWD")</f>
        <v>Model 3 LR AWD</v>
      </c>
      <c r="O780" s="152" t="str">
        <f>IFERROR(__xludf.DUMMYFUNCTION("""COMPUTED_VALUE"""),"Deep Blue Metallic")</f>
        <v>Deep Blue Metallic</v>
      </c>
      <c r="P780" s="153" t="str">
        <f>IFERROR(__xludf.DUMMYFUNCTION("""COMPUTED_VALUE"""),"18 inch")</f>
        <v>18 inch</v>
      </c>
      <c r="Q780" s="152" t="str">
        <f>IFERROR(__xludf.DUMMYFUNCTION("""COMPUTED_VALUE"""),"All Black")</f>
        <v>All Black</v>
      </c>
      <c r="R780" s="149" t="str">
        <f>IFERROR(__xludf.DUMMYFUNCTION("""COMPUTED_VALUE"""),"Autopilot included")</f>
        <v>Autopilot included</v>
      </c>
      <c r="S780" s="149" t="str">
        <f>IFERROR(__xludf.DUMMYFUNCTION("""COMPUTED_VALUE"""),"Loan")</f>
        <v>Loan</v>
      </c>
      <c r="T780" s="145" t="str">
        <f>IFERROR(__xludf.DUMMYFUNCTION("""COMPUTED_VALUE"""),"Subaru Impreza")</f>
        <v>Subaru Impreza</v>
      </c>
      <c r="U780" s="145" t="str">
        <f>IFERROR(__xludf.DUMMYFUNCTION("""COMPUTED_VALUE"""),"Electric!")</f>
        <v>Electric!</v>
      </c>
      <c r="V780" s="145" t="str">
        <f>IFERROR(__xludf.DUMMYFUNCTION("""COMPUTED_VALUE"""),"Apple CarPlay / Android Auto / SiriusXM Radio")</f>
        <v>Apple CarPlay / Android Auto / SiriusXM Radio</v>
      </c>
      <c r="W780" s="145"/>
      <c r="X780" s="137" t="str">
        <f>IFERROR(__xludf.DUMMYFUNCTION("""COMPUTED_VALUE"""),"Excellent")</f>
        <v>Excellent</v>
      </c>
      <c r="Y780" s="138" t="str">
        <f>IFERROR(__xludf.DUMMYFUNCTION("""COMPUTED_VALUE"""),"Very Good")</f>
        <v>Very Good</v>
      </c>
      <c r="Z780" s="138" t="str">
        <f>IFERROR(__xludf.DUMMYFUNCTION("""COMPUTED_VALUE"""),"Very Good")</f>
        <v>Very Good</v>
      </c>
      <c r="AA780" s="138" t="str">
        <f>IFERROR(__xludf.DUMMYFUNCTION("""COMPUTED_VALUE"""),"Fair")</f>
        <v>Fair</v>
      </c>
      <c r="AB780" s="138" t="str">
        <f>IFERROR(__xludf.DUMMYFUNCTION("""COMPUTED_VALUE"""),"Fair")</f>
        <v>Fair</v>
      </c>
      <c r="AC780" s="139">
        <f>IFERROR(__xludf.DUMMYFUNCTION("""COMPUTED_VALUE"""),3.0)</f>
        <v>3</v>
      </c>
      <c r="AD780" s="139"/>
      <c r="AE780" s="139"/>
      <c r="AF780" s="140" t="str">
        <f>IFERROR(__xludf.DUMMYFUNCTION("""COMPUTED_VALUE"""),"No. I took delivery of the first car Tesla was able to deliver.")</f>
        <v>No. I took delivery of the first car Tesla was able to deliver.</v>
      </c>
      <c r="AG780" s="145"/>
      <c r="AH780" s="157">
        <f>IFERROR(__xludf.DUMMYFUNCTION("""COMPUTED_VALUE"""),44363.55531775463)</f>
        <v>44363.55532</v>
      </c>
      <c r="AI780" s="138"/>
      <c r="AJ780" s="138"/>
      <c r="AK780" s="138"/>
      <c r="AL780" s="142"/>
    </row>
    <row r="781" ht="20.25" customHeight="1">
      <c r="A781" s="155" t="str">
        <f>IFERROR(__xludf.DUMMYFUNCTION("""COMPUTED_VALUE"""),"BigMurr")</f>
        <v>BigMurr</v>
      </c>
      <c r="B781" s="149" t="str">
        <f>IFERROR(__xludf.DUMMYFUNCTION("""COMPUTED_VALUE"""),"Chico")</f>
        <v>Chico</v>
      </c>
      <c r="C781" s="149" t="str">
        <f>IFERROR(__xludf.DUMMYFUNCTION("""COMPUTED_VALUE"""),"CA")</f>
        <v>CA</v>
      </c>
      <c r="D781" s="149" t="str">
        <f>IFERROR(__xludf.DUMMYFUNCTION("""COMPUTED_VALUE"""),"USA")</f>
        <v>USA</v>
      </c>
      <c r="E781" s="156">
        <f>IFERROR(__xludf.DUMMYFUNCTION("""COMPUTED_VALUE"""),44315.0)</f>
        <v>44315</v>
      </c>
      <c r="F781" s="129">
        <f>IFERROR(__xludf.DUMMYFUNCTION("""COMPUTED_VALUE"""),44353.0)</f>
        <v>44353</v>
      </c>
      <c r="G781" s="154" t="str">
        <f>IFERROR(__xludf.DUMMYFUNCTION("""COMPUTED_VALUE"""),"Manage order page (normal text)")</f>
        <v>Manage order page (normal text)</v>
      </c>
      <c r="H781" s="131">
        <f>IFERROR(__xludf.DUMMYFUNCTION("""COMPUTED_VALUE"""),987055.0)</f>
        <v>987055</v>
      </c>
      <c r="I781" s="144" t="str">
        <f>IFERROR(__xludf.DUMMYFUNCTION("""COMPUTED_VALUE"""),"06/21")</f>
        <v>06/21</v>
      </c>
      <c r="J781" s="129">
        <f>IFERROR(__xludf.DUMMYFUNCTION("""COMPUTED_VALUE"""),44362.0)</f>
        <v>44362</v>
      </c>
      <c r="K781" s="133">
        <f>IFERROR(__xludf.DUMMYFUNCTION("""COMPUTED_VALUE"""),38.0)</f>
        <v>38</v>
      </c>
      <c r="L781" s="133">
        <f>IFERROR(__xludf.DUMMYFUNCTION("""COMPUTED_VALUE"""),9.0)</f>
        <v>9</v>
      </c>
      <c r="M781" s="133">
        <f>IFERROR(__xludf.DUMMYFUNCTION("""COMPUTED_VALUE"""),47.0)</f>
        <v>47</v>
      </c>
      <c r="N781" s="152" t="str">
        <f>IFERROR(__xludf.DUMMYFUNCTION("""COMPUTED_VALUE"""),"Model 3 SR+")</f>
        <v>Model 3 SR+</v>
      </c>
      <c r="O781" s="152" t="str">
        <f>IFERROR(__xludf.DUMMYFUNCTION("""COMPUTED_VALUE"""),"Pearl White Multi-Coat")</f>
        <v>Pearl White Multi-Coat</v>
      </c>
      <c r="P781" s="153" t="str">
        <f>IFERROR(__xludf.DUMMYFUNCTION("""COMPUTED_VALUE"""),"18 inch")</f>
        <v>18 inch</v>
      </c>
      <c r="Q781" s="152" t="str">
        <f>IFERROR(__xludf.DUMMYFUNCTION("""COMPUTED_VALUE"""),"All Black")</f>
        <v>All Black</v>
      </c>
      <c r="R781" s="149" t="str">
        <f>IFERROR(__xludf.DUMMYFUNCTION("""COMPUTED_VALUE"""),"Autopilot included")</f>
        <v>Autopilot included</v>
      </c>
      <c r="S781" s="149" t="str">
        <f>IFERROR(__xludf.DUMMYFUNCTION("""COMPUTED_VALUE"""),"Cash")</f>
        <v>Cash</v>
      </c>
      <c r="T781" s="145" t="str">
        <f>IFERROR(__xludf.DUMMYFUNCTION("""COMPUTED_VALUE"""),"Ford F350")</f>
        <v>Ford F350</v>
      </c>
      <c r="U781" s="145" t="str">
        <f>IFERROR(__xludf.DUMMYFUNCTION("""COMPUTED_VALUE"""),"Electric!")</f>
        <v>Electric!</v>
      </c>
      <c r="V781" s="145" t="str">
        <f>IFERROR(__xludf.DUMMYFUNCTION("""COMPUTED_VALUE"""),"360° Bird's eye view")</f>
        <v>360° Bird's eye view</v>
      </c>
      <c r="W781" s="145"/>
      <c r="X781" s="137" t="str">
        <f>IFERROR(__xludf.DUMMYFUNCTION("""COMPUTED_VALUE"""),"Very Good")</f>
        <v>Very Good</v>
      </c>
      <c r="Y781" s="138" t="str">
        <f>IFERROR(__xludf.DUMMYFUNCTION("""COMPUTED_VALUE"""),"Excellent")</f>
        <v>Excellent</v>
      </c>
      <c r="Z781" s="138" t="str">
        <f>IFERROR(__xludf.DUMMYFUNCTION("""COMPUTED_VALUE"""),"Excellent")</f>
        <v>Excellent</v>
      </c>
      <c r="AA781" s="138" t="str">
        <f>IFERROR(__xludf.DUMMYFUNCTION("""COMPUTED_VALUE"""),"Poor")</f>
        <v>Poor</v>
      </c>
      <c r="AB781" s="138" t="str">
        <f>IFERROR(__xludf.DUMMYFUNCTION("""COMPUTED_VALUE"""),"Very Good")</f>
        <v>Very Good</v>
      </c>
      <c r="AC781" s="139"/>
      <c r="AD781" s="139"/>
      <c r="AE781" s="139"/>
      <c r="AF781" s="140" t="str">
        <f>IFERROR(__xludf.DUMMYFUNCTION("""COMPUTED_VALUE"""),"No. I took delivery of the first car Tesla was able to deliver.")</f>
        <v>No. I took delivery of the first car Tesla was able to deliver.</v>
      </c>
      <c r="AG781" s="145"/>
      <c r="AH781" s="157">
        <f>IFERROR(__xludf.DUMMYFUNCTION("""COMPUTED_VALUE"""),44364.3251791088)</f>
        <v>44364.32518</v>
      </c>
      <c r="AI781" s="138"/>
      <c r="AJ781" s="138"/>
      <c r="AK781" s="138"/>
      <c r="AL781" s="142"/>
    </row>
    <row r="782" ht="20.25" customHeight="1">
      <c r="A782" s="155" t="str">
        <f>IFERROR(__xludf.DUMMYFUNCTION("""COMPUTED_VALUE"""),"mattjw")</f>
        <v>mattjw</v>
      </c>
      <c r="B782" s="149" t="str">
        <f>IFERROR(__xludf.DUMMYFUNCTION("""COMPUTED_VALUE"""),"Brentwood")</f>
        <v>Brentwood</v>
      </c>
      <c r="C782" s="149" t="str">
        <f>IFERROR(__xludf.DUMMYFUNCTION("""COMPUTED_VALUE"""),"CA")</f>
        <v>CA</v>
      </c>
      <c r="D782" s="149" t="str">
        <f>IFERROR(__xludf.DUMMYFUNCTION("""COMPUTED_VALUE"""),"USA")</f>
        <v>USA</v>
      </c>
      <c r="E782" s="156">
        <f>IFERROR(__xludf.DUMMYFUNCTION("""COMPUTED_VALUE"""),44315.0)</f>
        <v>44315</v>
      </c>
      <c r="F782" s="129">
        <f>IFERROR(__xludf.DUMMYFUNCTION("""COMPUTED_VALUE"""),44372.0)</f>
        <v>44372</v>
      </c>
      <c r="G782" s="154" t="str">
        <f>IFERROR(__xludf.DUMMYFUNCTION("""COMPUTED_VALUE"""),"Manage order page (normal text)")</f>
        <v>Manage order page (normal text)</v>
      </c>
      <c r="H782" s="131">
        <f>IFERROR(__xludf.DUMMYFUNCTION("""COMPUTED_VALUE"""),2661.0)</f>
        <v>2661</v>
      </c>
      <c r="I782" s="144"/>
      <c r="J782" s="129">
        <f>IFERROR(__xludf.DUMMYFUNCTION("""COMPUTED_VALUE"""),44373.0)</f>
        <v>44373</v>
      </c>
      <c r="K782" s="133">
        <f>IFERROR(__xludf.DUMMYFUNCTION("""COMPUTED_VALUE"""),57.0)</f>
        <v>57</v>
      </c>
      <c r="L782" s="133">
        <f>IFERROR(__xludf.DUMMYFUNCTION("""COMPUTED_VALUE"""),1.0)</f>
        <v>1</v>
      </c>
      <c r="M782" s="133">
        <f>IFERROR(__xludf.DUMMYFUNCTION("""COMPUTED_VALUE"""),58.0)</f>
        <v>58</v>
      </c>
      <c r="N782" s="152" t="str">
        <f>IFERROR(__xludf.DUMMYFUNCTION("""COMPUTED_VALUE"""),"Model 3 SR+")</f>
        <v>Model 3 SR+</v>
      </c>
      <c r="O782" s="152" t="str">
        <f>IFERROR(__xludf.DUMMYFUNCTION("""COMPUTED_VALUE"""),"Pearl White Multi-Coat")</f>
        <v>Pearl White Multi-Coat</v>
      </c>
      <c r="P782" s="153" t="str">
        <f>IFERROR(__xludf.DUMMYFUNCTION("""COMPUTED_VALUE"""),"18 inch")</f>
        <v>18 inch</v>
      </c>
      <c r="Q782" s="152" t="str">
        <f>IFERROR(__xludf.DUMMYFUNCTION("""COMPUTED_VALUE"""),"All Black")</f>
        <v>All Black</v>
      </c>
      <c r="R782" s="149" t="str">
        <f>IFERROR(__xludf.DUMMYFUNCTION("""COMPUTED_VALUE"""),"Autopilot included")</f>
        <v>Autopilot included</v>
      </c>
      <c r="S782" s="149" t="str">
        <f>IFERROR(__xludf.DUMMYFUNCTION("""COMPUTED_VALUE"""),"Loan")</f>
        <v>Loan</v>
      </c>
      <c r="T782" s="145" t="str">
        <f>IFERROR(__xludf.DUMMYFUNCTION("""COMPUTED_VALUE"""),"Ford F-150")</f>
        <v>Ford F-150</v>
      </c>
      <c r="U782" s="145" t="str">
        <f>IFERROR(__xludf.DUMMYFUNCTION("""COMPUTED_VALUE"""),"Electric!")</f>
        <v>Electric!</v>
      </c>
      <c r="V782" s="145" t="str">
        <f>IFERROR(__xludf.DUMMYFUNCTION("""COMPUTED_VALUE"""),"Apple CarPlay / Android Auto / SiriusXM Radio")</f>
        <v>Apple CarPlay / Android Auto / SiriusXM Radio</v>
      </c>
      <c r="W782" s="145"/>
      <c r="X782" s="137" t="str">
        <f>IFERROR(__xludf.DUMMYFUNCTION("""COMPUTED_VALUE"""),"Very Good")</f>
        <v>Very Good</v>
      </c>
      <c r="Y782" s="138" t="str">
        <f>IFERROR(__xludf.DUMMYFUNCTION("""COMPUTED_VALUE"""),"Fair")</f>
        <v>Fair</v>
      </c>
      <c r="Z782" s="138" t="str">
        <f>IFERROR(__xludf.DUMMYFUNCTION("""COMPUTED_VALUE"""),"Fair")</f>
        <v>Fair</v>
      </c>
      <c r="AA782" s="138" t="str">
        <f>IFERROR(__xludf.DUMMYFUNCTION("""COMPUTED_VALUE"""),"Fair")</f>
        <v>Fair</v>
      </c>
      <c r="AB782" s="138" t="str">
        <f>IFERROR(__xludf.DUMMYFUNCTION("""COMPUTED_VALUE"""),"Fair")</f>
        <v>Fair</v>
      </c>
      <c r="AC782" s="139"/>
      <c r="AD782" s="139"/>
      <c r="AE782" s="139"/>
      <c r="AF782" s="140"/>
      <c r="AG782" s="145"/>
      <c r="AH782" s="157">
        <f>IFERROR(__xludf.DUMMYFUNCTION("""COMPUTED_VALUE"""),44374.95630777778)</f>
        <v>44374.95631</v>
      </c>
      <c r="AI782" s="138"/>
      <c r="AJ782" s="138"/>
      <c r="AK782" s="138"/>
      <c r="AL782" s="142"/>
    </row>
    <row r="783" ht="20.25" customHeight="1">
      <c r="A783" s="155" t="str">
        <f>IFERROR(__xludf.DUMMYFUNCTION("""COMPUTED_VALUE"""),"Torogi")</f>
        <v>Torogi</v>
      </c>
      <c r="B783" s="149" t="str">
        <f>IFERROR(__xludf.DUMMYFUNCTION("""COMPUTED_VALUE"""),"Campbell")</f>
        <v>Campbell</v>
      </c>
      <c r="C783" s="149" t="str">
        <f>IFERROR(__xludf.DUMMYFUNCTION("""COMPUTED_VALUE"""),"CA")</f>
        <v>CA</v>
      </c>
      <c r="D783" s="149" t="str">
        <f>IFERROR(__xludf.DUMMYFUNCTION("""COMPUTED_VALUE"""),"USA")</f>
        <v>USA</v>
      </c>
      <c r="E783" s="156">
        <f>IFERROR(__xludf.DUMMYFUNCTION("""COMPUTED_VALUE"""),44315.0)</f>
        <v>44315</v>
      </c>
      <c r="F783" s="129">
        <f>IFERROR(__xludf.DUMMYFUNCTION("""COMPUTED_VALUE"""),44372.0)</f>
        <v>44372</v>
      </c>
      <c r="G783" s="154" t="str">
        <f>IFERROR(__xludf.DUMMYFUNCTION("""COMPUTED_VALUE"""),"Manage order page (normal text)")</f>
        <v>Manage order page (normal text)</v>
      </c>
      <c r="H783" s="131">
        <f>IFERROR(__xludf.DUMMYFUNCTION("""COMPUTED_VALUE"""),2149.0)</f>
        <v>2149</v>
      </c>
      <c r="I783" s="144" t="str">
        <f>IFERROR(__xludf.DUMMYFUNCTION("""COMPUTED_VALUE"""),"06/21")</f>
        <v>06/21</v>
      </c>
      <c r="J783" s="129">
        <f>IFERROR(__xludf.DUMMYFUNCTION("""COMPUTED_VALUE"""),44373.0)</f>
        <v>44373</v>
      </c>
      <c r="K783" s="133">
        <f>IFERROR(__xludf.DUMMYFUNCTION("""COMPUTED_VALUE"""),57.0)</f>
        <v>57</v>
      </c>
      <c r="L783" s="133">
        <f>IFERROR(__xludf.DUMMYFUNCTION("""COMPUTED_VALUE"""),1.0)</f>
        <v>1</v>
      </c>
      <c r="M783" s="133">
        <f>IFERROR(__xludf.DUMMYFUNCTION("""COMPUTED_VALUE"""),58.0)</f>
        <v>58</v>
      </c>
      <c r="N783" s="152" t="str">
        <f>IFERROR(__xludf.DUMMYFUNCTION("""COMPUTED_VALUE"""),"Model 3 SR+")</f>
        <v>Model 3 SR+</v>
      </c>
      <c r="O783" s="152" t="str">
        <f>IFERROR(__xludf.DUMMYFUNCTION("""COMPUTED_VALUE"""),"Pearl White Multi-Coat")</f>
        <v>Pearl White Multi-Coat</v>
      </c>
      <c r="P783" s="153" t="str">
        <f>IFERROR(__xludf.DUMMYFUNCTION("""COMPUTED_VALUE"""),"18 inch")</f>
        <v>18 inch</v>
      </c>
      <c r="Q783" s="152" t="str">
        <f>IFERROR(__xludf.DUMMYFUNCTION("""COMPUTED_VALUE"""),"All Black")</f>
        <v>All Black</v>
      </c>
      <c r="R783" s="149" t="str">
        <f>IFERROR(__xludf.DUMMYFUNCTION("""COMPUTED_VALUE"""),"Autopilot included")</f>
        <v>Autopilot included</v>
      </c>
      <c r="S783" s="149" t="str">
        <f>IFERROR(__xludf.DUMMYFUNCTION("""COMPUTED_VALUE"""),"Loan")</f>
        <v>Loan</v>
      </c>
      <c r="T783" s="145" t="str">
        <f>IFERROR(__xludf.DUMMYFUNCTION("""COMPUTED_VALUE"""),"BMW X3")</f>
        <v>BMW X3</v>
      </c>
      <c r="U783" s="145" t="str">
        <f>IFERROR(__xludf.DUMMYFUNCTION("""COMPUTED_VALUE"""),"Autopilot")</f>
        <v>Autopilot</v>
      </c>
      <c r="V783" s="145" t="str">
        <f>IFERROR(__xludf.DUMMYFUNCTION("""COMPUTED_VALUE"""),"Dashboard")</f>
        <v>Dashboard</v>
      </c>
      <c r="W783" s="145" t="str">
        <f>IFERROR(__xludf.DUMMYFUNCTION("""COMPUTED_VALUE"""),"Tesla is a tech company. 3/Y are not luxury. S/X, maybe. ")</f>
        <v>Tesla is a tech company. 3/Y are not luxury. S/X, maybe. </v>
      </c>
      <c r="X783" s="137" t="str">
        <f>IFERROR(__xludf.DUMMYFUNCTION("""COMPUTED_VALUE"""),"Good")</f>
        <v>Good</v>
      </c>
      <c r="Y783" s="138" t="str">
        <f>IFERROR(__xludf.DUMMYFUNCTION("""COMPUTED_VALUE"""),"Fair")</f>
        <v>Fair</v>
      </c>
      <c r="Z783" s="138" t="str">
        <f>IFERROR(__xludf.DUMMYFUNCTION("""COMPUTED_VALUE"""),"Fair")</f>
        <v>Fair</v>
      </c>
      <c r="AA783" s="138" t="str">
        <f>IFERROR(__xludf.DUMMYFUNCTION("""COMPUTED_VALUE"""),"Fair")</f>
        <v>Fair</v>
      </c>
      <c r="AB783" s="138" t="str">
        <f>IFERROR(__xludf.DUMMYFUNCTION("""COMPUTED_VALUE"""),"Good")</f>
        <v>Good</v>
      </c>
      <c r="AC783" s="139">
        <f>IFERROR(__xludf.DUMMYFUNCTION("""COMPUTED_VALUE"""),0.0)</f>
        <v>0</v>
      </c>
      <c r="AD783" s="139">
        <f>IFERROR(__xludf.DUMMYFUNCTION("""COMPUTED_VALUE"""),0.0)</f>
        <v>0</v>
      </c>
      <c r="AE783" s="139">
        <f>IFERROR(__xludf.DUMMYFUNCTION("""COMPUTED_VALUE"""),0.0)</f>
        <v>0</v>
      </c>
      <c r="AF783" s="140" t="str">
        <f>IFERROR(__xludf.DUMMYFUNCTION("""COMPUTED_VALUE"""),"No. I took delivery of the first car Tesla was able to deliver.")</f>
        <v>No. I took delivery of the first car Tesla was able to deliver.</v>
      </c>
      <c r="AG783" s="145"/>
      <c r="AH783" s="157">
        <f>IFERROR(__xludf.DUMMYFUNCTION("""COMPUTED_VALUE"""),44382.371042025465)</f>
        <v>44382.37104</v>
      </c>
      <c r="AI783" s="138"/>
      <c r="AJ783" s="138"/>
      <c r="AK783" s="138"/>
      <c r="AL783" s="142"/>
    </row>
    <row r="784" ht="20.25" customHeight="1">
      <c r="A784" s="155" t="str">
        <f>IFERROR(__xludf.DUMMYFUNCTION("""COMPUTED_VALUE"""),"Tbon88")</f>
        <v>Tbon88</v>
      </c>
      <c r="B784" s="149" t="str">
        <f>IFERROR(__xludf.DUMMYFUNCTION("""COMPUTED_VALUE"""),"Concord")</f>
        <v>Concord</v>
      </c>
      <c r="C784" s="149" t="str">
        <f>IFERROR(__xludf.DUMMYFUNCTION("""COMPUTED_VALUE"""),"NH")</f>
        <v>NH</v>
      </c>
      <c r="D784" s="149" t="str">
        <f>IFERROR(__xludf.DUMMYFUNCTION("""COMPUTED_VALUE"""),"USA")</f>
        <v>USA</v>
      </c>
      <c r="E784" s="156">
        <f>IFERROR(__xludf.DUMMYFUNCTION("""COMPUTED_VALUE"""),44313.0)</f>
        <v>44313</v>
      </c>
      <c r="F784" s="129">
        <f>IFERROR(__xludf.DUMMYFUNCTION("""COMPUTED_VALUE"""),44345.0)</f>
        <v>44345</v>
      </c>
      <c r="G784" s="154" t="str">
        <f>IFERROR(__xludf.DUMMYFUNCTION("""COMPUTED_VALUE"""),"Email")</f>
        <v>Email</v>
      </c>
      <c r="H784" s="131">
        <f>IFERROR(__xludf.DUMMYFUNCTION("""COMPUTED_VALUE"""),979855.0)</f>
        <v>979855</v>
      </c>
      <c r="I784" s="144" t="str">
        <f>IFERROR(__xludf.DUMMYFUNCTION("""COMPUTED_VALUE"""),"05/21")</f>
        <v>05/21</v>
      </c>
      <c r="J784" s="129">
        <f>IFERROR(__xludf.DUMMYFUNCTION("""COMPUTED_VALUE"""),44359.0)</f>
        <v>44359</v>
      </c>
      <c r="K784" s="133">
        <f>IFERROR(__xludf.DUMMYFUNCTION("""COMPUTED_VALUE"""),32.0)</f>
        <v>32</v>
      </c>
      <c r="L784" s="133">
        <f>IFERROR(__xludf.DUMMYFUNCTION("""COMPUTED_VALUE"""),14.0)</f>
        <v>14</v>
      </c>
      <c r="M784" s="133">
        <f>IFERROR(__xludf.DUMMYFUNCTION("""COMPUTED_VALUE"""),46.0)</f>
        <v>46</v>
      </c>
      <c r="N784" s="152" t="str">
        <f>IFERROR(__xludf.DUMMYFUNCTION("""COMPUTED_VALUE"""),"Model 3 LR AWD")</f>
        <v>Model 3 LR AWD</v>
      </c>
      <c r="O784" s="152" t="str">
        <f>IFERROR(__xludf.DUMMYFUNCTION("""COMPUTED_VALUE"""),"Deep Blue Metallic")</f>
        <v>Deep Blue Metallic</v>
      </c>
      <c r="P784" s="153" t="str">
        <f>IFERROR(__xludf.DUMMYFUNCTION("""COMPUTED_VALUE"""),"18 inch")</f>
        <v>18 inch</v>
      </c>
      <c r="Q784" s="152" t="str">
        <f>IFERROR(__xludf.DUMMYFUNCTION("""COMPUTED_VALUE"""),"All Black")</f>
        <v>All Black</v>
      </c>
      <c r="R784" s="149" t="str">
        <f>IFERROR(__xludf.DUMMYFUNCTION("""COMPUTED_VALUE"""),"Autopilot included")</f>
        <v>Autopilot included</v>
      </c>
      <c r="S784" s="149" t="str">
        <f>IFERROR(__xludf.DUMMYFUNCTION("""COMPUTED_VALUE"""),"Loan")</f>
        <v>Loan</v>
      </c>
      <c r="T784" s="145" t="str">
        <f>IFERROR(__xludf.DUMMYFUNCTION("""COMPUTED_VALUE"""),"Honda Accord")</f>
        <v>Honda Accord</v>
      </c>
      <c r="U784" s="145" t="str">
        <f>IFERROR(__xludf.DUMMYFUNCTION("""COMPUTED_VALUE"""),"Electric!")</f>
        <v>Electric!</v>
      </c>
      <c r="V784" s="145" t="str">
        <f>IFERROR(__xludf.DUMMYFUNCTION("""COMPUTED_VALUE"""),"Head-up display")</f>
        <v>Head-up display</v>
      </c>
      <c r="W784" s="145"/>
      <c r="X784" s="137" t="str">
        <f>IFERROR(__xludf.DUMMYFUNCTION("""COMPUTED_VALUE"""),"Excellent")</f>
        <v>Excellent</v>
      </c>
      <c r="Y784" s="138" t="str">
        <f>IFERROR(__xludf.DUMMYFUNCTION("""COMPUTED_VALUE"""),"Excellent")</f>
        <v>Excellent</v>
      </c>
      <c r="Z784" s="138" t="str">
        <f>IFERROR(__xludf.DUMMYFUNCTION("""COMPUTED_VALUE"""),"Very Good")</f>
        <v>Very Good</v>
      </c>
      <c r="AA784" s="138" t="str">
        <f>IFERROR(__xludf.DUMMYFUNCTION("""COMPUTED_VALUE"""),"Very Good")</f>
        <v>Very Good</v>
      </c>
      <c r="AB784" s="138" t="str">
        <f>IFERROR(__xludf.DUMMYFUNCTION("""COMPUTED_VALUE"""),"Excellent")</f>
        <v>Excellent</v>
      </c>
      <c r="AC784" s="139"/>
      <c r="AD784" s="139"/>
      <c r="AE784" s="139"/>
      <c r="AF784" s="140" t="str">
        <f>IFERROR(__xludf.DUMMYFUNCTION("""COMPUTED_VALUE"""),"No. I took delivery of the first car Tesla was able to deliver.")</f>
        <v>No. I took delivery of the first car Tesla was able to deliver.</v>
      </c>
      <c r="AG784" s="145"/>
      <c r="AH784" s="157">
        <f>IFERROR(__xludf.DUMMYFUNCTION("""COMPUTED_VALUE"""),44361.28193582176)</f>
        <v>44361.28194</v>
      </c>
      <c r="AI784" s="138"/>
      <c r="AJ784" s="138"/>
      <c r="AK784" s="138"/>
      <c r="AL784" s="142"/>
    </row>
    <row r="785" ht="20.25" customHeight="1">
      <c r="A785" s="155" t="str">
        <f>IFERROR(__xludf.DUMMYFUNCTION("""COMPUTED_VALUE"""),"animotaf")</f>
        <v>animotaf</v>
      </c>
      <c r="B785" s="149"/>
      <c r="C785" s="149" t="str">
        <f>IFERROR(__xludf.DUMMYFUNCTION("""COMPUTED_VALUE"""),"NJ")</f>
        <v>NJ</v>
      </c>
      <c r="D785" s="149" t="str">
        <f>IFERROR(__xludf.DUMMYFUNCTION("""COMPUTED_VALUE"""),"USA")</f>
        <v>USA</v>
      </c>
      <c r="E785" s="156">
        <f>IFERROR(__xludf.DUMMYFUNCTION("""COMPUTED_VALUE"""),44312.0)</f>
        <v>44312</v>
      </c>
      <c r="F785" s="129">
        <f>IFERROR(__xludf.DUMMYFUNCTION("""COMPUTED_VALUE"""),44354.0)</f>
        <v>44354</v>
      </c>
      <c r="G785" s="154" t="str">
        <f>IFERROR(__xludf.DUMMYFUNCTION("""COMPUTED_VALUE"""),"Manage order page (normal text)")</f>
        <v>Manage order page (normal text)</v>
      </c>
      <c r="H785" s="131">
        <f>IFERROR(__xludf.DUMMYFUNCTION("""COMPUTED_VALUE"""),990055.0)</f>
        <v>990055</v>
      </c>
      <c r="I785" s="144" t="str">
        <f>IFERROR(__xludf.DUMMYFUNCTION("""COMPUTED_VALUE"""),"06/21")</f>
        <v>06/21</v>
      </c>
      <c r="J785" s="129">
        <f>IFERROR(__xludf.DUMMYFUNCTION("""COMPUTED_VALUE"""),44365.0)</f>
        <v>44365</v>
      </c>
      <c r="K785" s="133">
        <f>IFERROR(__xludf.DUMMYFUNCTION("""COMPUTED_VALUE"""),42.0)</f>
        <v>42</v>
      </c>
      <c r="L785" s="133">
        <f>IFERROR(__xludf.DUMMYFUNCTION("""COMPUTED_VALUE"""),11.0)</f>
        <v>11</v>
      </c>
      <c r="M785" s="133">
        <f>IFERROR(__xludf.DUMMYFUNCTION("""COMPUTED_VALUE"""),53.0)</f>
        <v>53</v>
      </c>
      <c r="N785" s="152" t="str">
        <f>IFERROR(__xludf.DUMMYFUNCTION("""COMPUTED_VALUE"""),"Model 3 LR AWD")</f>
        <v>Model 3 LR AWD</v>
      </c>
      <c r="O785" s="152" t="str">
        <f>IFERROR(__xludf.DUMMYFUNCTION("""COMPUTED_VALUE"""),"Deep Blue Metallic")</f>
        <v>Deep Blue Metallic</v>
      </c>
      <c r="P785" s="153" t="str">
        <f>IFERROR(__xludf.DUMMYFUNCTION("""COMPUTED_VALUE"""),"18 inch")</f>
        <v>18 inch</v>
      </c>
      <c r="Q785" s="152" t="str">
        <f>IFERROR(__xludf.DUMMYFUNCTION("""COMPUTED_VALUE"""),"Black and White")</f>
        <v>Black and White</v>
      </c>
      <c r="R785" s="149" t="str">
        <f>IFERROR(__xludf.DUMMYFUNCTION("""COMPUTED_VALUE"""),"Autopilot included")</f>
        <v>Autopilot included</v>
      </c>
      <c r="S785" s="149" t="str">
        <f>IFERROR(__xludf.DUMMYFUNCTION("""COMPUTED_VALUE"""),"Cash")</f>
        <v>Cash</v>
      </c>
      <c r="T785" s="145" t="str">
        <f>IFERROR(__xludf.DUMMYFUNCTION("""COMPUTED_VALUE"""),"Toyota Camry")</f>
        <v>Toyota Camry</v>
      </c>
      <c r="U785" s="145" t="str">
        <f>IFERROR(__xludf.DUMMYFUNCTION("""COMPUTED_VALUE"""),"Electric!")</f>
        <v>Electric!</v>
      </c>
      <c r="V785" s="145" t="str">
        <f>IFERROR(__xludf.DUMMYFUNCTION("""COMPUTED_VALUE"""),"Dashboard")</f>
        <v>Dashboard</v>
      </c>
      <c r="W785" s="145"/>
      <c r="X785" s="137" t="str">
        <f>IFERROR(__xludf.DUMMYFUNCTION("""COMPUTED_VALUE"""),"Excellent")</f>
        <v>Excellent</v>
      </c>
      <c r="Y785" s="138" t="str">
        <f>IFERROR(__xludf.DUMMYFUNCTION("""COMPUTED_VALUE"""),"Excellent")</f>
        <v>Excellent</v>
      </c>
      <c r="Z785" s="138" t="str">
        <f>IFERROR(__xludf.DUMMYFUNCTION("""COMPUTED_VALUE"""),"Excellent")</f>
        <v>Excellent</v>
      </c>
      <c r="AA785" s="138" t="str">
        <f>IFERROR(__xludf.DUMMYFUNCTION("""COMPUTED_VALUE"""),"Excellent")</f>
        <v>Excellent</v>
      </c>
      <c r="AB785" s="138" t="str">
        <f>IFERROR(__xludf.DUMMYFUNCTION("""COMPUTED_VALUE"""),"Excellent")</f>
        <v>Excellent</v>
      </c>
      <c r="AC785" s="139">
        <f>IFERROR(__xludf.DUMMYFUNCTION("""COMPUTED_VALUE"""),0.0)</f>
        <v>0</v>
      </c>
      <c r="AD785" s="139">
        <f>IFERROR(__xludf.DUMMYFUNCTION("""COMPUTED_VALUE"""),0.0)</f>
        <v>0</v>
      </c>
      <c r="AE785" s="139">
        <f>IFERROR(__xludf.DUMMYFUNCTION("""COMPUTED_VALUE"""),0.0)</f>
        <v>0</v>
      </c>
      <c r="AF785" s="140"/>
      <c r="AG785" s="145"/>
      <c r="AH785" s="157">
        <f>IFERROR(__xludf.DUMMYFUNCTION("""COMPUTED_VALUE"""),44426.46109258102)</f>
        <v>44426.46109</v>
      </c>
      <c r="AI785" s="138"/>
      <c r="AJ785" s="138"/>
      <c r="AK785" s="138"/>
      <c r="AL785" s="142"/>
    </row>
    <row r="786" ht="20.25" customHeight="1">
      <c r="A786" s="155" t="str">
        <f>IFERROR(__xludf.DUMMYFUNCTION("""COMPUTED_VALUE"""),"Gr3")</f>
        <v>Gr3</v>
      </c>
      <c r="B786" s="149"/>
      <c r="C786" s="149" t="str">
        <f>IFERROR(__xludf.DUMMYFUNCTION("""COMPUTED_VALUE"""),"MA")</f>
        <v>MA</v>
      </c>
      <c r="D786" s="149" t="str">
        <f>IFERROR(__xludf.DUMMYFUNCTION("""COMPUTED_VALUE"""),"USA")</f>
        <v>USA</v>
      </c>
      <c r="E786" s="156">
        <f>IFERROR(__xludf.DUMMYFUNCTION("""COMPUTED_VALUE"""),44312.0)</f>
        <v>44312</v>
      </c>
      <c r="F786" s="129">
        <f>IFERROR(__xludf.DUMMYFUNCTION("""COMPUTED_VALUE"""),44345.0)</f>
        <v>44345</v>
      </c>
      <c r="G786" s="154" t="str">
        <f>IFERROR(__xludf.DUMMYFUNCTION("""COMPUTED_VALUE"""),"Manage order page (normal text)")</f>
        <v>Manage order page (normal text)</v>
      </c>
      <c r="H786" s="131"/>
      <c r="I786" s="144"/>
      <c r="J786" s="129">
        <f>IFERROR(__xludf.DUMMYFUNCTION("""COMPUTED_VALUE"""),44357.0)</f>
        <v>44357</v>
      </c>
      <c r="K786" s="133">
        <f>IFERROR(__xludf.DUMMYFUNCTION("""COMPUTED_VALUE"""),33.0)</f>
        <v>33</v>
      </c>
      <c r="L786" s="133">
        <f>IFERROR(__xludf.DUMMYFUNCTION("""COMPUTED_VALUE"""),12.0)</f>
        <v>12</v>
      </c>
      <c r="M786" s="133">
        <f>IFERROR(__xludf.DUMMYFUNCTION("""COMPUTED_VALUE"""),45.0)</f>
        <v>45</v>
      </c>
      <c r="N786" s="152" t="str">
        <f>IFERROR(__xludf.DUMMYFUNCTION("""COMPUTED_VALUE"""),"Model 3 LR AWD")</f>
        <v>Model 3 LR AWD</v>
      </c>
      <c r="O786" s="152" t="str">
        <f>IFERROR(__xludf.DUMMYFUNCTION("""COMPUTED_VALUE"""),"Red Multi-Coat")</f>
        <v>Red Multi-Coat</v>
      </c>
      <c r="P786" s="153" t="str">
        <f>IFERROR(__xludf.DUMMYFUNCTION("""COMPUTED_VALUE"""),"18 inch")</f>
        <v>18 inch</v>
      </c>
      <c r="Q786" s="152" t="str">
        <f>IFERROR(__xludf.DUMMYFUNCTION("""COMPUTED_VALUE"""),"All Black")</f>
        <v>All Black</v>
      </c>
      <c r="R786" s="149"/>
      <c r="S786" s="149" t="str">
        <f>IFERROR(__xludf.DUMMYFUNCTION("""COMPUTED_VALUE"""),"Loan")</f>
        <v>Loan</v>
      </c>
      <c r="T786" s="145"/>
      <c r="U786" s="145" t="str">
        <f>IFERROR(__xludf.DUMMYFUNCTION("""COMPUTED_VALUE"""),"Electric!")</f>
        <v>Electric!</v>
      </c>
      <c r="V786" s="145" t="str">
        <f>IFERROR(__xludf.DUMMYFUNCTION("""COMPUTED_VALUE"""),"Head-up display")</f>
        <v>Head-up display</v>
      </c>
      <c r="W786" s="145"/>
      <c r="X786" s="137"/>
      <c r="Y786" s="138"/>
      <c r="Z786" s="138"/>
      <c r="AA786" s="138" t="str">
        <f>IFERROR(__xludf.DUMMYFUNCTION("""COMPUTED_VALUE"""),"Poor")</f>
        <v>Poor</v>
      </c>
      <c r="AB786" s="138"/>
      <c r="AC786" s="139"/>
      <c r="AD786" s="139"/>
      <c r="AE786" s="139"/>
      <c r="AF786" s="140"/>
      <c r="AG786" s="145"/>
      <c r="AH786" s="157">
        <f>IFERROR(__xludf.DUMMYFUNCTION("""COMPUTED_VALUE"""),44349.84515349537)</f>
        <v>44349.84515</v>
      </c>
      <c r="AI786" s="138"/>
      <c r="AJ786" s="138"/>
      <c r="AK786" s="138"/>
      <c r="AL786" s="142"/>
    </row>
    <row r="787" ht="20.25" customHeight="1">
      <c r="A787" s="155" t="str">
        <f>IFERROR(__xludf.DUMMYFUNCTION("""COMPUTED_VALUE"""),"jarvis2323")</f>
        <v>jarvis2323</v>
      </c>
      <c r="B787" s="149" t="str">
        <f>IFERROR(__xludf.DUMMYFUNCTION("""COMPUTED_VALUE"""),"SoCal")</f>
        <v>SoCal</v>
      </c>
      <c r="C787" s="149" t="str">
        <f>IFERROR(__xludf.DUMMYFUNCTION("""COMPUTED_VALUE"""),"CA")</f>
        <v>CA</v>
      </c>
      <c r="D787" s="149" t="str">
        <f>IFERROR(__xludf.DUMMYFUNCTION("""COMPUTED_VALUE"""),"USA")</f>
        <v>USA</v>
      </c>
      <c r="E787" s="156">
        <f>IFERROR(__xludf.DUMMYFUNCTION("""COMPUTED_VALUE"""),44312.0)</f>
        <v>44312</v>
      </c>
      <c r="F787" s="129">
        <f>IFERROR(__xludf.DUMMYFUNCTION("""COMPUTED_VALUE"""),44373.0)</f>
        <v>44373</v>
      </c>
      <c r="G787" s="154" t="str">
        <f>IFERROR(__xludf.DUMMYFUNCTION("""COMPUTED_VALUE"""),"Text message")</f>
        <v>Text message</v>
      </c>
      <c r="H787" s="131">
        <f>IFERROR(__xludf.DUMMYFUNCTION("""COMPUTED_VALUE"""),3139.0)</f>
        <v>3139</v>
      </c>
      <c r="I787" s="144"/>
      <c r="J787" s="129">
        <f>IFERROR(__xludf.DUMMYFUNCTION("""COMPUTED_VALUE"""),44376.0)</f>
        <v>44376</v>
      </c>
      <c r="K787" s="133">
        <f>IFERROR(__xludf.DUMMYFUNCTION("""COMPUTED_VALUE"""),61.0)</f>
        <v>61</v>
      </c>
      <c r="L787" s="133">
        <f>IFERROR(__xludf.DUMMYFUNCTION("""COMPUTED_VALUE"""),3.0)</f>
        <v>3</v>
      </c>
      <c r="M787" s="133">
        <f>IFERROR(__xludf.DUMMYFUNCTION("""COMPUTED_VALUE"""),64.0)</f>
        <v>64</v>
      </c>
      <c r="N787" s="152" t="str">
        <f>IFERROR(__xludf.DUMMYFUNCTION("""COMPUTED_VALUE"""),"Model 3 LR AWD")</f>
        <v>Model 3 LR AWD</v>
      </c>
      <c r="O787" s="152" t="str">
        <f>IFERROR(__xludf.DUMMYFUNCTION("""COMPUTED_VALUE"""),"Pearl White Multi-Coat")</f>
        <v>Pearl White Multi-Coat</v>
      </c>
      <c r="P787" s="153" t="str">
        <f>IFERROR(__xludf.DUMMYFUNCTION("""COMPUTED_VALUE"""),"18 inch")</f>
        <v>18 inch</v>
      </c>
      <c r="Q787" s="152" t="str">
        <f>IFERROR(__xludf.DUMMYFUNCTION("""COMPUTED_VALUE"""),"All Black")</f>
        <v>All Black</v>
      </c>
      <c r="R787" s="149" t="str">
        <f>IFERROR(__xludf.DUMMYFUNCTION("""COMPUTED_VALUE"""),"Autopilot included")</f>
        <v>Autopilot included</v>
      </c>
      <c r="S787" s="149" t="str">
        <f>IFERROR(__xludf.DUMMYFUNCTION("""COMPUTED_VALUE"""),"Loan")</f>
        <v>Loan</v>
      </c>
      <c r="T787" s="145"/>
      <c r="U787" s="145" t="str">
        <f>IFERROR(__xludf.DUMMYFUNCTION("""COMPUTED_VALUE"""),"Tesla brand image")</f>
        <v>Tesla brand image</v>
      </c>
      <c r="V787" s="145" t="str">
        <f>IFERROR(__xludf.DUMMYFUNCTION("""COMPUTED_VALUE"""),"Head-up display")</f>
        <v>Head-up display</v>
      </c>
      <c r="W787" s="145"/>
      <c r="X787" s="137" t="str">
        <f>IFERROR(__xludf.DUMMYFUNCTION("""COMPUTED_VALUE"""),"Good")</f>
        <v>Good</v>
      </c>
      <c r="Y787" s="138" t="str">
        <f>IFERROR(__xludf.DUMMYFUNCTION("""COMPUTED_VALUE"""),"Very Good")</f>
        <v>Very Good</v>
      </c>
      <c r="Z787" s="138" t="str">
        <f>IFERROR(__xludf.DUMMYFUNCTION("""COMPUTED_VALUE"""),"Very Good")</f>
        <v>Very Good</v>
      </c>
      <c r="AA787" s="138" t="str">
        <f>IFERROR(__xludf.DUMMYFUNCTION("""COMPUTED_VALUE"""),"Poor")</f>
        <v>Poor</v>
      </c>
      <c r="AB787" s="138" t="str">
        <f>IFERROR(__xludf.DUMMYFUNCTION("""COMPUTED_VALUE"""),"Good")</f>
        <v>Good</v>
      </c>
      <c r="AC787" s="139">
        <f>IFERROR(__xludf.DUMMYFUNCTION("""COMPUTED_VALUE"""),3.0)</f>
        <v>3</v>
      </c>
      <c r="AD787" s="139">
        <f>IFERROR(__xludf.DUMMYFUNCTION("""COMPUTED_VALUE"""),1.0)</f>
        <v>1</v>
      </c>
      <c r="AE787" s="139"/>
      <c r="AF787" s="140" t="str">
        <f>IFERROR(__xludf.DUMMYFUNCTION("""COMPUTED_VALUE"""),"No. I took delivery of the first car Tesla was able to deliver.")</f>
        <v>No. I took delivery of the first car Tesla was able to deliver.</v>
      </c>
      <c r="AG787" s="145"/>
      <c r="AH787" s="157">
        <f>IFERROR(__xludf.DUMMYFUNCTION("""COMPUTED_VALUE"""),44377.405756631946)</f>
        <v>44377.40576</v>
      </c>
      <c r="AI787" s="138"/>
      <c r="AJ787" s="138"/>
      <c r="AK787" s="138"/>
      <c r="AL787" s="142"/>
    </row>
    <row r="788" ht="20.25" customHeight="1">
      <c r="A788" s="155" t="str">
        <f>IFERROR(__xludf.DUMMYFUNCTION("""COMPUTED_VALUE"""),"Towhom")</f>
        <v>Towhom</v>
      </c>
      <c r="B788" s="149" t="str">
        <f>IFERROR(__xludf.DUMMYFUNCTION("""COMPUTED_VALUE"""),"Bay Area")</f>
        <v>Bay Area</v>
      </c>
      <c r="C788" s="149" t="str">
        <f>IFERROR(__xludf.DUMMYFUNCTION("""COMPUTED_VALUE"""),"CA")</f>
        <v>CA</v>
      </c>
      <c r="D788" s="149" t="str">
        <f>IFERROR(__xludf.DUMMYFUNCTION("""COMPUTED_VALUE"""),"USA")</f>
        <v>USA</v>
      </c>
      <c r="E788" s="156">
        <f>IFERROR(__xludf.DUMMYFUNCTION("""COMPUTED_VALUE"""),44312.0)</f>
        <v>44312</v>
      </c>
      <c r="F788" s="129">
        <f>IFERROR(__xludf.DUMMYFUNCTION("""COMPUTED_VALUE"""),44372.0)</f>
        <v>44372</v>
      </c>
      <c r="G788" s="154" t="str">
        <f>IFERROR(__xludf.DUMMYFUNCTION("""COMPUTED_VALUE"""),"Manage order page (normal text)")</f>
        <v>Manage order page (normal text)</v>
      </c>
      <c r="H788" s="131">
        <f>IFERROR(__xludf.DUMMYFUNCTION("""COMPUTED_VALUE"""),3155.0)</f>
        <v>3155</v>
      </c>
      <c r="I788" s="144" t="str">
        <f>IFERROR(__xludf.DUMMYFUNCTION("""COMPUTED_VALUE"""),"06/21")</f>
        <v>06/21</v>
      </c>
      <c r="J788" s="129">
        <f>IFERROR(__xludf.DUMMYFUNCTION("""COMPUTED_VALUE"""),44375.0)</f>
        <v>44375</v>
      </c>
      <c r="K788" s="133">
        <f>IFERROR(__xludf.DUMMYFUNCTION("""COMPUTED_VALUE"""),60.0)</f>
        <v>60</v>
      </c>
      <c r="L788" s="133">
        <f>IFERROR(__xludf.DUMMYFUNCTION("""COMPUTED_VALUE"""),3.0)</f>
        <v>3</v>
      </c>
      <c r="M788" s="133">
        <f>IFERROR(__xludf.DUMMYFUNCTION("""COMPUTED_VALUE"""),63.0)</f>
        <v>63</v>
      </c>
      <c r="N788" s="152" t="str">
        <f>IFERROR(__xludf.DUMMYFUNCTION("""COMPUTED_VALUE"""),"Model 3 LR AWD")</f>
        <v>Model 3 LR AWD</v>
      </c>
      <c r="O788" s="152" t="str">
        <f>IFERROR(__xludf.DUMMYFUNCTION("""COMPUTED_VALUE"""),"Pearl White Multi-Coat")</f>
        <v>Pearl White Multi-Coat</v>
      </c>
      <c r="P788" s="153" t="str">
        <f>IFERROR(__xludf.DUMMYFUNCTION("""COMPUTED_VALUE"""),"18 inch")</f>
        <v>18 inch</v>
      </c>
      <c r="Q788" s="152" t="str">
        <f>IFERROR(__xludf.DUMMYFUNCTION("""COMPUTED_VALUE"""),"All Black")</f>
        <v>All Black</v>
      </c>
      <c r="R788" s="149" t="str">
        <f>IFERROR(__xludf.DUMMYFUNCTION("""COMPUTED_VALUE"""),"Autopilot included")</f>
        <v>Autopilot included</v>
      </c>
      <c r="S788" s="149" t="str">
        <f>IFERROR(__xludf.DUMMYFUNCTION("""COMPUTED_VALUE"""),"Loan")</f>
        <v>Loan</v>
      </c>
      <c r="T788" s="145"/>
      <c r="U788" s="145" t="str">
        <f>IFERROR(__xludf.DUMMYFUNCTION("""COMPUTED_VALUE"""),"Electric!")</f>
        <v>Electric!</v>
      </c>
      <c r="V788" s="145" t="str">
        <f>IFERROR(__xludf.DUMMYFUNCTION("""COMPUTED_VALUE"""),"Air suspension")</f>
        <v>Air suspension</v>
      </c>
      <c r="W788" s="145" t="str">
        <f>IFERROR(__xludf.DUMMYFUNCTION("""COMPUTED_VALUE"""),"California will get car last week of quarter. EDD don't matter. California will be last")</f>
        <v>California will get car last week of quarter. EDD don't matter. California will be last</v>
      </c>
      <c r="X788" s="137" t="str">
        <f>IFERROR(__xludf.DUMMYFUNCTION("""COMPUTED_VALUE"""),"Good")</f>
        <v>Good</v>
      </c>
      <c r="Y788" s="138" t="str">
        <f>IFERROR(__xludf.DUMMYFUNCTION("""COMPUTED_VALUE"""),"Good")</f>
        <v>Good</v>
      </c>
      <c r="Z788" s="138" t="str">
        <f>IFERROR(__xludf.DUMMYFUNCTION("""COMPUTED_VALUE"""),"Good")</f>
        <v>Good</v>
      </c>
      <c r="AA788" s="138" t="str">
        <f>IFERROR(__xludf.DUMMYFUNCTION("""COMPUTED_VALUE"""),"Poor")</f>
        <v>Poor</v>
      </c>
      <c r="AB788" s="138" t="str">
        <f>IFERROR(__xludf.DUMMYFUNCTION("""COMPUTED_VALUE"""),"Fair")</f>
        <v>Fair</v>
      </c>
      <c r="AC788" s="139">
        <f>IFERROR(__xludf.DUMMYFUNCTION("""COMPUTED_VALUE"""),3.0)</f>
        <v>3</v>
      </c>
      <c r="AD788" s="139"/>
      <c r="AE788" s="139"/>
      <c r="AF788" s="140" t="str">
        <f>IFERROR(__xludf.DUMMYFUNCTION("""COMPUTED_VALUE"""),"No. I took delivery of the first car Tesla was able to deliver.")</f>
        <v>No. I took delivery of the first car Tesla was able to deliver.</v>
      </c>
      <c r="AG788" s="145" t="str">
        <f>IFERROR(__xludf.DUMMYFUNCTION("""COMPUTED_VALUE"""),"Estimated Delivery: June 7th - June 27")</f>
        <v>Estimated Delivery: June 7th - June 27</v>
      </c>
      <c r="AH788" s="157">
        <f>IFERROR(__xludf.DUMMYFUNCTION("""COMPUTED_VALUE"""),44375.940014340275)</f>
        <v>44375.94001</v>
      </c>
      <c r="AI788" s="138"/>
      <c r="AJ788" s="138"/>
      <c r="AK788" s="138"/>
      <c r="AL788" s="142"/>
    </row>
    <row r="789" ht="20.25" customHeight="1">
      <c r="A789" s="155" t="str">
        <f>IFERROR(__xludf.DUMMYFUNCTION("""COMPUTED_VALUE"""),"Dponz")</f>
        <v>Dponz</v>
      </c>
      <c r="B789" s="149" t="str">
        <f>IFERROR(__xludf.DUMMYFUNCTION("""COMPUTED_VALUE"""),"Tokyo")</f>
        <v>Tokyo</v>
      </c>
      <c r="C789" s="149"/>
      <c r="D789" s="149" t="str">
        <f>IFERROR(__xludf.DUMMYFUNCTION("""COMPUTED_VALUE"""),"Japan")</f>
        <v>Japan</v>
      </c>
      <c r="E789" s="156">
        <f>IFERROR(__xludf.DUMMYFUNCTION("""COMPUTED_VALUE"""),44311.0)</f>
        <v>44311</v>
      </c>
      <c r="F789" s="129">
        <f>IFERROR(__xludf.DUMMYFUNCTION("""COMPUTED_VALUE"""),44420.0)</f>
        <v>44420</v>
      </c>
      <c r="G789" s="154" t="str">
        <f>IFERROR(__xludf.DUMMYFUNCTION("""COMPUTED_VALUE"""),"Manage order page (normal text)")</f>
        <v>Manage order page (normal text)</v>
      </c>
      <c r="H789" s="131">
        <f>IFERROR(__xludf.DUMMYFUNCTION("""COMPUTED_VALUE"""),328455.0)</f>
        <v>328455</v>
      </c>
      <c r="I789" s="144"/>
      <c r="J789" s="129">
        <f>IFERROR(__xludf.DUMMYFUNCTION("""COMPUTED_VALUE"""),44446.0)</f>
        <v>44446</v>
      </c>
      <c r="K789" s="133">
        <f>IFERROR(__xludf.DUMMYFUNCTION("""COMPUTED_VALUE"""),109.0)</f>
        <v>109</v>
      </c>
      <c r="L789" s="133">
        <f>IFERROR(__xludf.DUMMYFUNCTION("""COMPUTED_VALUE"""),26.0)</f>
        <v>26</v>
      </c>
      <c r="M789" s="133">
        <f>IFERROR(__xludf.DUMMYFUNCTION("""COMPUTED_VALUE"""),135.0)</f>
        <v>135</v>
      </c>
      <c r="N789" s="152" t="str">
        <f>IFERROR(__xludf.DUMMYFUNCTION("""COMPUTED_VALUE"""),"Model 3 LR AWD")</f>
        <v>Model 3 LR AWD</v>
      </c>
      <c r="O789" s="152" t="str">
        <f>IFERROR(__xludf.DUMMYFUNCTION("""COMPUTED_VALUE"""),"Deep Blue Metallic")</f>
        <v>Deep Blue Metallic</v>
      </c>
      <c r="P789" s="153" t="str">
        <f>IFERROR(__xludf.DUMMYFUNCTION("""COMPUTED_VALUE"""),"18 inch")</f>
        <v>18 inch</v>
      </c>
      <c r="Q789" s="152" t="str">
        <f>IFERROR(__xludf.DUMMYFUNCTION("""COMPUTED_VALUE"""),"All Black")</f>
        <v>All Black</v>
      </c>
      <c r="R789" s="149" t="str">
        <f>IFERROR(__xludf.DUMMYFUNCTION("""COMPUTED_VALUE"""),"Autopilot included")</f>
        <v>Autopilot included</v>
      </c>
      <c r="S789" s="149" t="str">
        <f>IFERROR(__xludf.DUMMYFUNCTION("""COMPUTED_VALUE"""),"Loan")</f>
        <v>Loan</v>
      </c>
      <c r="T789" s="145"/>
      <c r="U789" s="145" t="str">
        <f>IFERROR(__xludf.DUMMYFUNCTION("""COMPUTED_VALUE"""),"Electric!")</f>
        <v>Electric!</v>
      </c>
      <c r="V789" s="145" t="str">
        <f>IFERROR(__xludf.DUMMYFUNCTION("""COMPUTED_VALUE"""),"Head-up display")</f>
        <v>Head-up display</v>
      </c>
      <c r="W789" s="145"/>
      <c r="X789" s="137"/>
      <c r="Y789" s="138"/>
      <c r="Z789" s="138"/>
      <c r="AA789" s="138"/>
      <c r="AB789" s="138"/>
      <c r="AC789" s="139"/>
      <c r="AD789" s="139"/>
      <c r="AE789" s="139"/>
      <c r="AF789" s="140"/>
      <c r="AG789" s="145"/>
      <c r="AH789" s="157">
        <f>IFERROR(__xludf.DUMMYFUNCTION("""COMPUTED_VALUE"""),44436.775483356476)</f>
        <v>44436.77548</v>
      </c>
      <c r="AI789" s="138"/>
      <c r="AJ789" s="138"/>
      <c r="AK789" s="138"/>
      <c r="AL789" s="142"/>
    </row>
    <row r="790" ht="20.25" customHeight="1">
      <c r="A790" s="155" t="str">
        <f>IFERROR(__xludf.DUMMYFUNCTION("""COMPUTED_VALUE"""),"Shade")</f>
        <v>Shade</v>
      </c>
      <c r="B790" s="149" t="str">
        <f>IFERROR(__xludf.DUMMYFUNCTION("""COMPUTED_VALUE"""),"Cincinnati")</f>
        <v>Cincinnati</v>
      </c>
      <c r="C790" s="149" t="str">
        <f>IFERROR(__xludf.DUMMYFUNCTION("""COMPUTED_VALUE"""),"OH")</f>
        <v>OH</v>
      </c>
      <c r="D790" s="149" t="str">
        <f>IFERROR(__xludf.DUMMYFUNCTION("""COMPUTED_VALUE"""),"USA")</f>
        <v>USA</v>
      </c>
      <c r="E790" s="156">
        <f>IFERROR(__xludf.DUMMYFUNCTION("""COMPUTED_VALUE"""),44311.0)</f>
        <v>44311</v>
      </c>
      <c r="F790" s="129">
        <f>IFERROR(__xludf.DUMMYFUNCTION("""COMPUTED_VALUE"""),44345.0)</f>
        <v>44345</v>
      </c>
      <c r="G790" s="154" t="str">
        <f>IFERROR(__xludf.DUMMYFUNCTION("""COMPUTED_VALUE"""),"Manage order page (normal text)")</f>
        <v>Manage order page (normal text)</v>
      </c>
      <c r="H790" s="131"/>
      <c r="I790" s="144"/>
      <c r="J790" s="129">
        <f>IFERROR(__xludf.DUMMYFUNCTION("""COMPUTED_VALUE"""),44355.0)</f>
        <v>44355</v>
      </c>
      <c r="K790" s="133">
        <f>IFERROR(__xludf.DUMMYFUNCTION("""COMPUTED_VALUE"""),34.0)</f>
        <v>34</v>
      </c>
      <c r="L790" s="133">
        <f>IFERROR(__xludf.DUMMYFUNCTION("""COMPUTED_VALUE"""),10.0)</f>
        <v>10</v>
      </c>
      <c r="M790" s="133">
        <f>IFERROR(__xludf.DUMMYFUNCTION("""COMPUTED_VALUE"""),44.0)</f>
        <v>44</v>
      </c>
      <c r="N790" s="152" t="str">
        <f>IFERROR(__xludf.DUMMYFUNCTION("""COMPUTED_VALUE"""),"Model 3 LR AWD")</f>
        <v>Model 3 LR AWD</v>
      </c>
      <c r="O790" s="152" t="str">
        <f>IFERROR(__xludf.DUMMYFUNCTION("""COMPUTED_VALUE"""),"Deep Blue Metallic")</f>
        <v>Deep Blue Metallic</v>
      </c>
      <c r="P790" s="153" t="str">
        <f>IFERROR(__xludf.DUMMYFUNCTION("""COMPUTED_VALUE"""),"18 inch")</f>
        <v>18 inch</v>
      </c>
      <c r="Q790" s="152" t="str">
        <f>IFERROR(__xludf.DUMMYFUNCTION("""COMPUTED_VALUE"""),"All Black")</f>
        <v>All Black</v>
      </c>
      <c r="R790" s="149" t="str">
        <f>IFERROR(__xludf.DUMMYFUNCTION("""COMPUTED_VALUE"""),"Autopilot included")</f>
        <v>Autopilot included</v>
      </c>
      <c r="S790" s="149" t="str">
        <f>IFERROR(__xludf.DUMMYFUNCTION("""COMPUTED_VALUE"""),"Loan")</f>
        <v>Loan</v>
      </c>
      <c r="T790" s="145" t="str">
        <f>IFERROR(__xludf.DUMMYFUNCTION("""COMPUTED_VALUE"""),"Toyota Camry")</f>
        <v>Toyota Camry</v>
      </c>
      <c r="U790" s="145" t="str">
        <f>IFERROR(__xludf.DUMMYFUNCTION("""COMPUTED_VALUE"""),"Electric!")</f>
        <v>Electric!</v>
      </c>
      <c r="V790" s="145" t="str">
        <f>IFERROR(__xludf.DUMMYFUNCTION("""COMPUTED_VALUE"""),"Head-up display")</f>
        <v>Head-up display</v>
      </c>
      <c r="W790" s="145"/>
      <c r="X790" s="137" t="str">
        <f>IFERROR(__xludf.DUMMYFUNCTION("""COMPUTED_VALUE"""),"Excellent")</f>
        <v>Excellent</v>
      </c>
      <c r="Y790" s="138" t="str">
        <f>IFERROR(__xludf.DUMMYFUNCTION("""COMPUTED_VALUE"""),"Excellent")</f>
        <v>Excellent</v>
      </c>
      <c r="Z790" s="138" t="str">
        <f>IFERROR(__xludf.DUMMYFUNCTION("""COMPUTED_VALUE"""),"Very Good")</f>
        <v>Very Good</v>
      </c>
      <c r="AA790" s="138" t="str">
        <f>IFERROR(__xludf.DUMMYFUNCTION("""COMPUTED_VALUE"""),"Good")</f>
        <v>Good</v>
      </c>
      <c r="AB790" s="138" t="str">
        <f>IFERROR(__xludf.DUMMYFUNCTION("""COMPUTED_VALUE"""),"Very Good")</f>
        <v>Very Good</v>
      </c>
      <c r="AC790" s="139"/>
      <c r="AD790" s="139"/>
      <c r="AE790" s="139"/>
      <c r="AF790" s="140" t="str">
        <f>IFERROR(__xludf.DUMMYFUNCTION("""COMPUTED_VALUE"""),"No. I took delivery of the first car Tesla was able to deliver.")</f>
        <v>No. I took delivery of the first car Tesla was able to deliver.</v>
      </c>
      <c r="AG790" s="145"/>
      <c r="AH790" s="157">
        <f>IFERROR(__xludf.DUMMYFUNCTION("""COMPUTED_VALUE"""),44355.470996828706)</f>
        <v>44355.471</v>
      </c>
      <c r="AI790" s="138"/>
      <c r="AJ790" s="138"/>
      <c r="AK790" s="138"/>
      <c r="AL790" s="142"/>
    </row>
    <row r="791" ht="20.25" customHeight="1">
      <c r="A791" s="155" t="str">
        <f>IFERROR(__xludf.DUMMYFUNCTION("""COMPUTED_VALUE"""),"stevewouldsay")</f>
        <v>stevewouldsay</v>
      </c>
      <c r="B791" s="149" t="str">
        <f>IFERROR(__xludf.DUMMYFUNCTION("""COMPUTED_VALUE"""),"St. Petersburg")</f>
        <v>St. Petersburg</v>
      </c>
      <c r="C791" s="149" t="str">
        <f>IFERROR(__xludf.DUMMYFUNCTION("""COMPUTED_VALUE"""),"FL")</f>
        <v>FL</v>
      </c>
      <c r="D791" s="149" t="str">
        <f>IFERROR(__xludf.DUMMYFUNCTION("""COMPUTED_VALUE"""),"USA")</f>
        <v>USA</v>
      </c>
      <c r="E791" s="156">
        <f>IFERROR(__xludf.DUMMYFUNCTION("""COMPUTED_VALUE"""),44311.0)</f>
        <v>44311</v>
      </c>
      <c r="F791" s="129">
        <f>IFERROR(__xludf.DUMMYFUNCTION("""COMPUTED_VALUE"""),44349.0)</f>
        <v>44349</v>
      </c>
      <c r="G791" s="154" t="str">
        <f>IFERROR(__xludf.DUMMYFUNCTION("""COMPUTED_VALUE"""),"Manage order page (normal text)")</f>
        <v>Manage order page (normal text)</v>
      </c>
      <c r="H791" s="131">
        <f>IFERROR(__xludf.DUMMYFUNCTION("""COMPUTED_VALUE"""),983478.0)</f>
        <v>983478</v>
      </c>
      <c r="I791" s="144"/>
      <c r="J791" s="129">
        <f>IFERROR(__xludf.DUMMYFUNCTION("""COMPUTED_VALUE"""),44365.0)</f>
        <v>44365</v>
      </c>
      <c r="K791" s="133">
        <f>IFERROR(__xludf.DUMMYFUNCTION("""COMPUTED_VALUE"""),38.0)</f>
        <v>38</v>
      </c>
      <c r="L791" s="133">
        <f>IFERROR(__xludf.DUMMYFUNCTION("""COMPUTED_VALUE"""),16.0)</f>
        <v>16</v>
      </c>
      <c r="M791" s="133">
        <f>IFERROR(__xludf.DUMMYFUNCTION("""COMPUTED_VALUE"""),54.0)</f>
        <v>54</v>
      </c>
      <c r="N791" s="152" t="str">
        <f>IFERROR(__xludf.DUMMYFUNCTION("""COMPUTED_VALUE"""),"Model 3 LR AWD")</f>
        <v>Model 3 LR AWD</v>
      </c>
      <c r="O791" s="152" t="str">
        <f>IFERROR(__xludf.DUMMYFUNCTION("""COMPUTED_VALUE"""),"Pearl White Multi-Coat")</f>
        <v>Pearl White Multi-Coat</v>
      </c>
      <c r="P791" s="153" t="str">
        <f>IFERROR(__xludf.DUMMYFUNCTION("""COMPUTED_VALUE"""),"18 inch")</f>
        <v>18 inch</v>
      </c>
      <c r="Q791" s="152" t="str">
        <f>IFERROR(__xludf.DUMMYFUNCTION("""COMPUTED_VALUE"""),"All Black")</f>
        <v>All Black</v>
      </c>
      <c r="R791" s="149" t="str">
        <f>IFERROR(__xludf.DUMMYFUNCTION("""COMPUTED_VALUE"""),"Autopilot included")</f>
        <v>Autopilot included</v>
      </c>
      <c r="S791" s="149" t="str">
        <f>IFERROR(__xludf.DUMMYFUNCTION("""COMPUTED_VALUE"""),"Loan")</f>
        <v>Loan</v>
      </c>
      <c r="T791" s="145" t="str">
        <f>IFERROR(__xludf.DUMMYFUNCTION("""COMPUTED_VALUE"""),"Chevy Bolt")</f>
        <v>Chevy Bolt</v>
      </c>
      <c r="U791" s="145" t="str">
        <f>IFERROR(__xludf.DUMMYFUNCTION("""COMPUTED_VALUE"""),"Electric!")</f>
        <v>Electric!</v>
      </c>
      <c r="V791" s="145" t="str">
        <f>IFERROR(__xludf.DUMMYFUNCTION("""COMPUTED_VALUE"""),"Apple CarPlay / Android Auto / SiriusXM Radio")</f>
        <v>Apple CarPlay / Android Auto / SiriusXM Radio</v>
      </c>
      <c r="W791" s="145"/>
      <c r="X791" s="137" t="str">
        <f>IFERROR(__xludf.DUMMYFUNCTION("""COMPUTED_VALUE"""),"Excellent")</f>
        <v>Excellent</v>
      </c>
      <c r="Y791" s="138" t="str">
        <f>IFERROR(__xludf.DUMMYFUNCTION("""COMPUTED_VALUE"""),"Excellent")</f>
        <v>Excellent</v>
      </c>
      <c r="Z791" s="138" t="str">
        <f>IFERROR(__xludf.DUMMYFUNCTION("""COMPUTED_VALUE"""),"Excellent")</f>
        <v>Excellent</v>
      </c>
      <c r="AA791" s="138" t="str">
        <f>IFERROR(__xludf.DUMMYFUNCTION("""COMPUTED_VALUE"""),"Fair")</f>
        <v>Fair</v>
      </c>
      <c r="AB791" s="138" t="str">
        <f>IFERROR(__xludf.DUMMYFUNCTION("""COMPUTED_VALUE"""),"Good")</f>
        <v>Good</v>
      </c>
      <c r="AC791" s="139">
        <f>IFERROR(__xludf.DUMMYFUNCTION("""COMPUTED_VALUE"""),0.0)</f>
        <v>0</v>
      </c>
      <c r="AD791" s="139">
        <f>IFERROR(__xludf.DUMMYFUNCTION("""COMPUTED_VALUE"""),0.0)</f>
        <v>0</v>
      </c>
      <c r="AE791" s="139">
        <f>IFERROR(__xludf.DUMMYFUNCTION("""COMPUTED_VALUE"""),0.0)</f>
        <v>0</v>
      </c>
      <c r="AF791" s="140" t="str">
        <f>IFERROR(__xludf.DUMMYFUNCTION("""COMPUTED_VALUE"""),"No. I took delivery of the first car Tesla was able to deliver.")</f>
        <v>No. I took delivery of the first car Tesla was able to deliver.</v>
      </c>
      <c r="AG791" s="145"/>
      <c r="AH791" s="157">
        <f>IFERROR(__xludf.DUMMYFUNCTION("""COMPUTED_VALUE"""),44367.343991909715)</f>
        <v>44367.34399</v>
      </c>
      <c r="AI791" s="138"/>
      <c r="AJ791" s="138"/>
      <c r="AK791" s="138"/>
      <c r="AL791" s="142"/>
    </row>
    <row r="792" ht="20.25" customHeight="1">
      <c r="A792" s="155" t="str">
        <f>IFERROR(__xludf.DUMMYFUNCTION("""COMPUTED_VALUE"""),"croz")</f>
        <v>croz</v>
      </c>
      <c r="B792" s="149" t="str">
        <f>IFERROR(__xludf.DUMMYFUNCTION("""COMPUTED_VALUE"""),"SF")</f>
        <v>SF</v>
      </c>
      <c r="C792" s="149" t="str">
        <f>IFERROR(__xludf.DUMMYFUNCTION("""COMPUTED_VALUE"""),"CA")</f>
        <v>CA</v>
      </c>
      <c r="D792" s="149" t="str">
        <f>IFERROR(__xludf.DUMMYFUNCTION("""COMPUTED_VALUE"""),"USA")</f>
        <v>USA</v>
      </c>
      <c r="E792" s="156">
        <f>IFERROR(__xludf.DUMMYFUNCTION("""COMPUTED_VALUE"""),44310.0)</f>
        <v>44310</v>
      </c>
      <c r="F792" s="129">
        <f>IFERROR(__xludf.DUMMYFUNCTION("""COMPUTED_VALUE"""),44372.0)</f>
        <v>44372</v>
      </c>
      <c r="G792" s="154" t="str">
        <f>IFERROR(__xludf.DUMMYFUNCTION("""COMPUTED_VALUE"""),"Manage order page (normal text)")</f>
        <v>Manage order page (normal text)</v>
      </c>
      <c r="H792" s="131">
        <f>IFERROR(__xludf.DUMMYFUNCTION("""COMPUTED_VALUE"""),2855.0)</f>
        <v>2855</v>
      </c>
      <c r="I792" s="144" t="str">
        <f>IFERROR(__xludf.DUMMYFUNCTION("""COMPUTED_VALUE"""),"06/21")</f>
        <v>06/21</v>
      </c>
      <c r="J792" s="129">
        <f>IFERROR(__xludf.DUMMYFUNCTION("""COMPUTED_VALUE"""),44374.0)</f>
        <v>44374</v>
      </c>
      <c r="K792" s="133">
        <f>IFERROR(__xludf.DUMMYFUNCTION("""COMPUTED_VALUE"""),62.0)</f>
        <v>62</v>
      </c>
      <c r="L792" s="133">
        <f>IFERROR(__xludf.DUMMYFUNCTION("""COMPUTED_VALUE"""),2.0)</f>
        <v>2</v>
      </c>
      <c r="M792" s="133">
        <f>IFERROR(__xludf.DUMMYFUNCTION("""COMPUTED_VALUE"""),64.0)</f>
        <v>64</v>
      </c>
      <c r="N792" s="152" t="str">
        <f>IFERROR(__xludf.DUMMYFUNCTION("""COMPUTED_VALUE"""),"Model 3 LR AWD")</f>
        <v>Model 3 LR AWD</v>
      </c>
      <c r="O792" s="152" t="str">
        <f>IFERROR(__xludf.DUMMYFUNCTION("""COMPUTED_VALUE"""),"Red Multi-Coat")</f>
        <v>Red Multi-Coat</v>
      </c>
      <c r="P792" s="153" t="str">
        <f>IFERROR(__xludf.DUMMYFUNCTION("""COMPUTED_VALUE"""),"18 inch")</f>
        <v>18 inch</v>
      </c>
      <c r="Q792" s="152" t="str">
        <f>IFERROR(__xludf.DUMMYFUNCTION("""COMPUTED_VALUE"""),"All Black")</f>
        <v>All Black</v>
      </c>
      <c r="R792" s="149" t="str">
        <f>IFERROR(__xludf.DUMMYFUNCTION("""COMPUTED_VALUE"""),"Autopilot included")</f>
        <v>Autopilot included</v>
      </c>
      <c r="S792" s="149" t="str">
        <f>IFERROR(__xludf.DUMMYFUNCTION("""COMPUTED_VALUE"""),"Cash")</f>
        <v>Cash</v>
      </c>
      <c r="T792" s="145" t="str">
        <f>IFERROR(__xludf.DUMMYFUNCTION("""COMPUTED_VALUE"""),"Sold my car in March")</f>
        <v>Sold my car in March</v>
      </c>
      <c r="U792" s="145" t="str">
        <f>IFERROR(__xludf.DUMMYFUNCTION("""COMPUTED_VALUE"""),"Electric!")</f>
        <v>Electric!</v>
      </c>
      <c r="V792" s="145" t="str">
        <f>IFERROR(__xludf.DUMMYFUNCTION("""COMPUTED_VALUE"""),"Blind spot indicators on side mirrors")</f>
        <v>Blind spot indicators on side mirrors</v>
      </c>
      <c r="W792" s="145" t="str">
        <f>IFERROR(__xludf.DUMMYFUNCTION("""COMPUTED_VALUE"""),"Don't hesitate - the car is a banger")</f>
        <v>Don't hesitate - the car is a banger</v>
      </c>
      <c r="X792" s="137" t="str">
        <f>IFERROR(__xludf.DUMMYFUNCTION("""COMPUTED_VALUE"""),"Very Good")</f>
        <v>Very Good</v>
      </c>
      <c r="Y792" s="138" t="str">
        <f>IFERROR(__xludf.DUMMYFUNCTION("""COMPUTED_VALUE"""),"Very Good")</f>
        <v>Very Good</v>
      </c>
      <c r="Z792" s="138" t="str">
        <f>IFERROR(__xludf.DUMMYFUNCTION("""COMPUTED_VALUE"""),"Very Good")</f>
        <v>Very Good</v>
      </c>
      <c r="AA792" s="138" t="str">
        <f>IFERROR(__xludf.DUMMYFUNCTION("""COMPUTED_VALUE"""),"Poor")</f>
        <v>Poor</v>
      </c>
      <c r="AB792" s="138" t="str">
        <f>IFERROR(__xludf.DUMMYFUNCTION("""COMPUTED_VALUE"""),"Good")</f>
        <v>Good</v>
      </c>
      <c r="AC792" s="139">
        <f>IFERROR(__xludf.DUMMYFUNCTION("""COMPUTED_VALUE"""),1.0)</f>
        <v>1</v>
      </c>
      <c r="AD792" s="139">
        <f>IFERROR(__xludf.DUMMYFUNCTION("""COMPUTED_VALUE"""),0.0)</f>
        <v>0</v>
      </c>
      <c r="AE792" s="139">
        <f>IFERROR(__xludf.DUMMYFUNCTION("""COMPUTED_VALUE"""),0.0)</f>
        <v>0</v>
      </c>
      <c r="AF792" s="140" t="str">
        <f>IFERROR(__xludf.DUMMYFUNCTION("""COMPUTED_VALUE"""),"No. I took delivery of the first car Tesla was able to deliver.")</f>
        <v>No. I took delivery of the first car Tesla was able to deliver.</v>
      </c>
      <c r="AG792" s="145"/>
      <c r="AH792" s="157">
        <f>IFERROR(__xludf.DUMMYFUNCTION("""COMPUTED_VALUE"""),44374.8338246412)</f>
        <v>44374.83382</v>
      </c>
      <c r="AI792" s="138"/>
      <c r="AJ792" s="138"/>
      <c r="AK792" s="138"/>
      <c r="AL792" s="142"/>
    </row>
    <row r="793" ht="20.25" customHeight="1">
      <c r="A793" s="155" t="str">
        <f>IFERROR(__xludf.DUMMYFUNCTION("""COMPUTED_VALUE"""),"Syluncer")</f>
        <v>Syluncer</v>
      </c>
      <c r="B793" s="149" t="str">
        <f>IFERROR(__xludf.DUMMYFUNCTION("""COMPUTED_VALUE"""),"Richmond")</f>
        <v>Richmond</v>
      </c>
      <c r="C793" s="149" t="str">
        <f>IFERROR(__xludf.DUMMYFUNCTION("""COMPUTED_VALUE"""),"VA")</f>
        <v>VA</v>
      </c>
      <c r="D793" s="149" t="str">
        <f>IFERROR(__xludf.DUMMYFUNCTION("""COMPUTED_VALUE"""),"USA")</f>
        <v>USA</v>
      </c>
      <c r="E793" s="156">
        <f>IFERROR(__xludf.DUMMYFUNCTION("""COMPUTED_VALUE"""),44310.0)</f>
        <v>44310</v>
      </c>
      <c r="F793" s="129">
        <f>IFERROR(__xludf.DUMMYFUNCTION("""COMPUTED_VALUE"""),44333.0)</f>
        <v>44333</v>
      </c>
      <c r="G793" s="154" t="str">
        <f>IFERROR(__xludf.DUMMYFUNCTION("""COMPUTED_VALUE"""),"Manage order page (normal text)")</f>
        <v>Manage order page (normal text)</v>
      </c>
      <c r="H793" s="131">
        <f>IFERROR(__xludf.DUMMYFUNCTION("""COMPUTED_VALUE"""),960655.0)</f>
        <v>960655</v>
      </c>
      <c r="I793" s="144" t="str">
        <f>IFERROR(__xludf.DUMMYFUNCTION("""COMPUTED_VALUE"""),"04/21")</f>
        <v>04/21</v>
      </c>
      <c r="J793" s="129">
        <f>IFERROR(__xludf.DUMMYFUNCTION("""COMPUTED_VALUE"""),44334.0)</f>
        <v>44334</v>
      </c>
      <c r="K793" s="133">
        <f>IFERROR(__xludf.DUMMYFUNCTION("""COMPUTED_VALUE"""),23.0)</f>
        <v>23</v>
      </c>
      <c r="L793" s="133">
        <f>IFERROR(__xludf.DUMMYFUNCTION("""COMPUTED_VALUE"""),1.0)</f>
        <v>1</v>
      </c>
      <c r="M793" s="133">
        <f>IFERROR(__xludf.DUMMYFUNCTION("""COMPUTED_VALUE"""),24.0)</f>
        <v>24</v>
      </c>
      <c r="N793" s="152" t="str">
        <f>IFERROR(__xludf.DUMMYFUNCTION("""COMPUTED_VALUE"""),"Model 3 LR AWD")</f>
        <v>Model 3 LR AWD</v>
      </c>
      <c r="O793" s="152" t="str">
        <f>IFERROR(__xludf.DUMMYFUNCTION("""COMPUTED_VALUE"""),"Solid Black")</f>
        <v>Solid Black</v>
      </c>
      <c r="P793" s="153" t="str">
        <f>IFERROR(__xludf.DUMMYFUNCTION("""COMPUTED_VALUE"""),"18 inch")</f>
        <v>18 inch</v>
      </c>
      <c r="Q793" s="152" t="str">
        <f>IFERROR(__xludf.DUMMYFUNCTION("""COMPUTED_VALUE"""),"All Black")</f>
        <v>All Black</v>
      </c>
      <c r="R793" s="149" t="str">
        <f>IFERROR(__xludf.DUMMYFUNCTION("""COMPUTED_VALUE"""),"Full Self-Driving")</f>
        <v>Full Self-Driving</v>
      </c>
      <c r="S793" s="149" t="str">
        <f>IFERROR(__xludf.DUMMYFUNCTION("""COMPUTED_VALUE"""),"Loan")</f>
        <v>Loan</v>
      </c>
      <c r="T793" s="145"/>
      <c r="U793" s="145" t="str">
        <f>IFERROR(__xludf.DUMMYFUNCTION("""COMPUTED_VALUE"""),"Electric!")</f>
        <v>Electric!</v>
      </c>
      <c r="V793" s="145" t="str">
        <f>IFERROR(__xludf.DUMMYFUNCTION("""COMPUTED_VALUE"""),"Apple CarPlay / Android Auto / SiriusXM Radio")</f>
        <v>Apple CarPlay / Android Auto / SiriusXM Radio</v>
      </c>
      <c r="W793" s="145"/>
      <c r="X793" s="137" t="str">
        <f>IFERROR(__xludf.DUMMYFUNCTION("""COMPUTED_VALUE"""),"Very Good")</f>
        <v>Very Good</v>
      </c>
      <c r="Y793" s="138" t="str">
        <f>IFERROR(__xludf.DUMMYFUNCTION("""COMPUTED_VALUE"""),"Excellent")</f>
        <v>Excellent</v>
      </c>
      <c r="Z793" s="138" t="str">
        <f>IFERROR(__xludf.DUMMYFUNCTION("""COMPUTED_VALUE"""),"Excellent")</f>
        <v>Excellent</v>
      </c>
      <c r="AA793" s="138" t="str">
        <f>IFERROR(__xludf.DUMMYFUNCTION("""COMPUTED_VALUE"""),"Excellent")</f>
        <v>Excellent</v>
      </c>
      <c r="AB793" s="138" t="str">
        <f>IFERROR(__xludf.DUMMYFUNCTION("""COMPUTED_VALUE"""),"Excellent")</f>
        <v>Excellent</v>
      </c>
      <c r="AC793" s="139"/>
      <c r="AD793" s="139"/>
      <c r="AE793" s="139"/>
      <c r="AF793" s="140"/>
      <c r="AG793" s="145"/>
      <c r="AH793" s="157">
        <f>IFERROR(__xludf.DUMMYFUNCTION("""COMPUTED_VALUE"""),44334.50797922454)</f>
        <v>44334.50798</v>
      </c>
      <c r="AI793" s="138"/>
      <c r="AJ793" s="138"/>
      <c r="AK793" s="138"/>
      <c r="AL793" s="142"/>
    </row>
    <row r="794" ht="20.25" customHeight="1">
      <c r="A794" s="155" t="str">
        <f>IFERROR(__xludf.DUMMYFUNCTION("""COMPUTED_VALUE"""),"wheres_my_vin")</f>
        <v>wheres_my_vin</v>
      </c>
      <c r="B794" s="149" t="str">
        <f>IFERROR(__xludf.DUMMYFUNCTION("""COMPUTED_VALUE"""),"Kirkland")</f>
        <v>Kirkland</v>
      </c>
      <c r="C794" s="149" t="str">
        <f>IFERROR(__xludf.DUMMYFUNCTION("""COMPUTED_VALUE"""),"WA")</f>
        <v>WA</v>
      </c>
      <c r="D794" s="149" t="str">
        <f>IFERROR(__xludf.DUMMYFUNCTION("""COMPUTED_VALUE"""),"USA")</f>
        <v>USA</v>
      </c>
      <c r="E794" s="156">
        <f>IFERROR(__xludf.DUMMYFUNCTION("""COMPUTED_VALUE"""),44310.0)</f>
        <v>44310</v>
      </c>
      <c r="F794" s="129">
        <f>IFERROR(__xludf.DUMMYFUNCTION("""COMPUTED_VALUE"""),44372.0)</f>
        <v>44372</v>
      </c>
      <c r="G794" s="154" t="str">
        <f>IFERROR(__xludf.DUMMYFUNCTION("""COMPUTED_VALUE"""),"Manage order page (normal text)")</f>
        <v>Manage order page (normal text)</v>
      </c>
      <c r="H794" s="131">
        <f>IFERROR(__xludf.DUMMYFUNCTION("""COMPUTED_VALUE"""),2255.0)</f>
        <v>2255</v>
      </c>
      <c r="I794" s="144" t="str">
        <f>IFERROR(__xludf.DUMMYFUNCTION("""COMPUTED_VALUE"""),"06/21")</f>
        <v>06/21</v>
      </c>
      <c r="J794" s="129">
        <f>IFERROR(__xludf.DUMMYFUNCTION("""COMPUTED_VALUE"""),44377.0)</f>
        <v>44377</v>
      </c>
      <c r="K794" s="133">
        <f>IFERROR(__xludf.DUMMYFUNCTION("""COMPUTED_VALUE"""),62.0)</f>
        <v>62</v>
      </c>
      <c r="L794" s="133">
        <f>IFERROR(__xludf.DUMMYFUNCTION("""COMPUTED_VALUE"""),5.0)</f>
        <v>5</v>
      </c>
      <c r="M794" s="133">
        <f>IFERROR(__xludf.DUMMYFUNCTION("""COMPUTED_VALUE"""),67.0)</f>
        <v>67</v>
      </c>
      <c r="N794" s="152" t="str">
        <f>IFERROR(__xludf.DUMMYFUNCTION("""COMPUTED_VALUE"""),"Model 3 LR AWD")</f>
        <v>Model 3 LR AWD</v>
      </c>
      <c r="O794" s="152" t="str">
        <f>IFERROR(__xludf.DUMMYFUNCTION("""COMPUTED_VALUE"""),"Midnight Silver Metallic")</f>
        <v>Midnight Silver Metallic</v>
      </c>
      <c r="P794" s="153" t="str">
        <f>IFERROR(__xludf.DUMMYFUNCTION("""COMPUTED_VALUE"""),"18 inch")</f>
        <v>18 inch</v>
      </c>
      <c r="Q794" s="152" t="str">
        <f>IFERROR(__xludf.DUMMYFUNCTION("""COMPUTED_VALUE"""),"All Black")</f>
        <v>All Black</v>
      </c>
      <c r="R794" s="149" t="str">
        <f>IFERROR(__xludf.DUMMYFUNCTION("""COMPUTED_VALUE"""),"Autopilot included")</f>
        <v>Autopilot included</v>
      </c>
      <c r="S794" s="149" t="str">
        <f>IFERROR(__xludf.DUMMYFUNCTION("""COMPUTED_VALUE"""),"Loan")</f>
        <v>Loan</v>
      </c>
      <c r="T794" s="145" t="str">
        <f>IFERROR(__xludf.DUMMYFUNCTION("""COMPUTED_VALUE"""),"BMW 3 Series")</f>
        <v>BMW 3 Series</v>
      </c>
      <c r="U794" s="145" t="str">
        <f>IFERROR(__xludf.DUMMYFUNCTION("""COMPUTED_VALUE"""),"Electric!")</f>
        <v>Electric!</v>
      </c>
      <c r="V794" s="145" t="str">
        <f>IFERROR(__xludf.DUMMYFUNCTION("""COMPUTED_VALUE"""),"Head-up display")</f>
        <v>Head-up display</v>
      </c>
      <c r="W794" s="145"/>
      <c r="X794" s="137" t="str">
        <f>IFERROR(__xludf.DUMMYFUNCTION("""COMPUTED_VALUE"""),"Very Good")</f>
        <v>Very Good</v>
      </c>
      <c r="Y794" s="138" t="str">
        <f>IFERROR(__xludf.DUMMYFUNCTION("""COMPUTED_VALUE"""),"Excellent")</f>
        <v>Excellent</v>
      </c>
      <c r="Z794" s="138" t="str">
        <f>IFERROR(__xludf.DUMMYFUNCTION("""COMPUTED_VALUE"""),"Excellent")</f>
        <v>Excellent</v>
      </c>
      <c r="AA794" s="138" t="str">
        <f>IFERROR(__xludf.DUMMYFUNCTION("""COMPUTED_VALUE"""),"Good")</f>
        <v>Good</v>
      </c>
      <c r="AB794" s="138" t="str">
        <f>IFERROR(__xludf.DUMMYFUNCTION("""COMPUTED_VALUE"""),"Good")</f>
        <v>Good</v>
      </c>
      <c r="AC794" s="139"/>
      <c r="AD794" s="139"/>
      <c r="AE794" s="139"/>
      <c r="AF794" s="140"/>
      <c r="AG794" s="145"/>
      <c r="AH794" s="157">
        <f>IFERROR(__xludf.DUMMYFUNCTION("""COMPUTED_VALUE"""),44377.95629555556)</f>
        <v>44377.9563</v>
      </c>
      <c r="AI794" s="138"/>
      <c r="AJ794" s="138"/>
      <c r="AK794" s="138"/>
      <c r="AL794" s="142"/>
    </row>
    <row r="795" ht="20.25" customHeight="1">
      <c r="A795" s="155" t="str">
        <f>IFERROR(__xludf.DUMMYFUNCTION("""COMPUTED_VALUE"""),"createdbyct")</f>
        <v>createdbyct</v>
      </c>
      <c r="B795" s="149" t="str">
        <f>IFERROR(__xludf.DUMMYFUNCTION("""COMPUTED_VALUE"""),"Bloomington")</f>
        <v>Bloomington</v>
      </c>
      <c r="C795" s="149" t="str">
        <f>IFERROR(__xludf.DUMMYFUNCTION("""COMPUTED_VALUE"""),"IL")</f>
        <v>IL</v>
      </c>
      <c r="D795" s="149" t="str">
        <f>IFERROR(__xludf.DUMMYFUNCTION("""COMPUTED_VALUE"""),"USA")</f>
        <v>USA</v>
      </c>
      <c r="E795" s="156">
        <f>IFERROR(__xludf.DUMMYFUNCTION("""COMPUTED_VALUE"""),44309.0)</f>
        <v>44309</v>
      </c>
      <c r="F795" s="129">
        <f>IFERROR(__xludf.DUMMYFUNCTION("""COMPUTED_VALUE"""),44348.0)</f>
        <v>44348</v>
      </c>
      <c r="G795" s="154" t="str">
        <f>IFERROR(__xludf.DUMMYFUNCTION("""COMPUTED_VALUE"""),"Manage order page (normal text)")</f>
        <v>Manage order page (normal text)</v>
      </c>
      <c r="H795" s="131">
        <f>IFERROR(__xludf.DUMMYFUNCTION("""COMPUTED_VALUE"""),984055.0)</f>
        <v>984055</v>
      </c>
      <c r="I795" s="144" t="str">
        <f>IFERROR(__xludf.DUMMYFUNCTION("""COMPUTED_VALUE"""),"06/21")</f>
        <v>06/21</v>
      </c>
      <c r="J795" s="129">
        <f>IFERROR(__xludf.DUMMYFUNCTION("""COMPUTED_VALUE"""),44358.0)</f>
        <v>44358</v>
      </c>
      <c r="K795" s="133">
        <f>IFERROR(__xludf.DUMMYFUNCTION("""COMPUTED_VALUE"""),39.0)</f>
        <v>39</v>
      </c>
      <c r="L795" s="133">
        <f>IFERROR(__xludf.DUMMYFUNCTION("""COMPUTED_VALUE"""),10.0)</f>
        <v>10</v>
      </c>
      <c r="M795" s="133">
        <f>IFERROR(__xludf.DUMMYFUNCTION("""COMPUTED_VALUE"""),49.0)</f>
        <v>49</v>
      </c>
      <c r="N795" s="152" t="str">
        <f>IFERROR(__xludf.DUMMYFUNCTION("""COMPUTED_VALUE"""),"Model 3 LR AWD")</f>
        <v>Model 3 LR AWD</v>
      </c>
      <c r="O795" s="152" t="str">
        <f>IFERROR(__xludf.DUMMYFUNCTION("""COMPUTED_VALUE"""),"Deep Blue Metallic")</f>
        <v>Deep Blue Metallic</v>
      </c>
      <c r="P795" s="153" t="str">
        <f>IFERROR(__xludf.DUMMYFUNCTION("""COMPUTED_VALUE"""),"18 inch")</f>
        <v>18 inch</v>
      </c>
      <c r="Q795" s="152" t="str">
        <f>IFERROR(__xludf.DUMMYFUNCTION("""COMPUTED_VALUE"""),"All Black")</f>
        <v>All Black</v>
      </c>
      <c r="R795" s="149" t="str">
        <f>IFERROR(__xludf.DUMMYFUNCTION("""COMPUTED_VALUE"""),"Autopilot included")</f>
        <v>Autopilot included</v>
      </c>
      <c r="S795" s="149" t="str">
        <f>IFERROR(__xludf.DUMMYFUNCTION("""COMPUTED_VALUE"""),"Lease")</f>
        <v>Lease</v>
      </c>
      <c r="T795" s="145" t="str">
        <f>IFERROR(__xludf.DUMMYFUNCTION("""COMPUTED_VALUE"""),"Kia Forte")</f>
        <v>Kia Forte</v>
      </c>
      <c r="U795" s="145" t="str">
        <f>IFERROR(__xludf.DUMMYFUNCTION("""COMPUTED_VALUE"""),"Electric!")</f>
        <v>Electric!</v>
      </c>
      <c r="V795" s="145" t="str">
        <f>IFERROR(__xludf.DUMMYFUNCTION("""COMPUTED_VALUE"""),"Ventilated seats")</f>
        <v>Ventilated seats</v>
      </c>
      <c r="W795" s="145"/>
      <c r="X795" s="137" t="str">
        <f>IFERROR(__xludf.DUMMYFUNCTION("""COMPUTED_VALUE"""),"Excellent")</f>
        <v>Excellent</v>
      </c>
      <c r="Y795" s="138" t="str">
        <f>IFERROR(__xludf.DUMMYFUNCTION("""COMPUTED_VALUE"""),"Excellent")</f>
        <v>Excellent</v>
      </c>
      <c r="Z795" s="138" t="str">
        <f>IFERROR(__xludf.DUMMYFUNCTION("""COMPUTED_VALUE"""),"Excellent")</f>
        <v>Excellent</v>
      </c>
      <c r="AA795" s="138" t="str">
        <f>IFERROR(__xludf.DUMMYFUNCTION("""COMPUTED_VALUE"""),"Excellent")</f>
        <v>Excellent</v>
      </c>
      <c r="AB795" s="138" t="str">
        <f>IFERROR(__xludf.DUMMYFUNCTION("""COMPUTED_VALUE"""),"Excellent")</f>
        <v>Excellent</v>
      </c>
      <c r="AC795" s="139">
        <f>IFERROR(__xludf.DUMMYFUNCTION("""COMPUTED_VALUE"""),0.0)</f>
        <v>0</v>
      </c>
      <c r="AD795" s="139">
        <f>IFERROR(__xludf.DUMMYFUNCTION("""COMPUTED_VALUE"""),0.0)</f>
        <v>0</v>
      </c>
      <c r="AE795" s="139">
        <f>IFERROR(__xludf.DUMMYFUNCTION("""COMPUTED_VALUE"""),0.0)</f>
        <v>0</v>
      </c>
      <c r="AF795" s="140" t="str">
        <f>IFERROR(__xludf.DUMMYFUNCTION("""COMPUTED_VALUE"""),"No. I took delivery of the first car Tesla was able to deliver.")</f>
        <v>No. I took delivery of the first car Tesla was able to deliver.</v>
      </c>
      <c r="AG795" s="145"/>
      <c r="AH795" s="157">
        <f>IFERROR(__xludf.DUMMYFUNCTION("""COMPUTED_VALUE"""),44360.821384236115)</f>
        <v>44360.82138</v>
      </c>
      <c r="AI795" s="138"/>
      <c r="AJ795" s="138"/>
      <c r="AK795" s="138"/>
      <c r="AL795" s="142"/>
    </row>
    <row r="796" ht="20.25" customHeight="1">
      <c r="A796" s="155" t="str">
        <f>IFERROR(__xludf.DUMMYFUNCTION("""COMPUTED_VALUE"""),"dere210890")</f>
        <v>dere210890</v>
      </c>
      <c r="B796" s="149" t="str">
        <f>IFERROR(__xludf.DUMMYFUNCTION("""COMPUTED_VALUE"""),"Lombard")</f>
        <v>Lombard</v>
      </c>
      <c r="C796" s="149" t="str">
        <f>IFERROR(__xludf.DUMMYFUNCTION("""COMPUTED_VALUE"""),"IL")</f>
        <v>IL</v>
      </c>
      <c r="D796" s="149" t="str">
        <f>IFERROR(__xludf.DUMMYFUNCTION("""COMPUTED_VALUE"""),"USA")</f>
        <v>USA</v>
      </c>
      <c r="E796" s="156">
        <f>IFERROR(__xludf.DUMMYFUNCTION("""COMPUTED_VALUE"""),44309.0)</f>
        <v>44309</v>
      </c>
      <c r="F796" s="129">
        <f>IFERROR(__xludf.DUMMYFUNCTION("""COMPUTED_VALUE"""),44353.0)</f>
        <v>44353</v>
      </c>
      <c r="G796" s="154" t="str">
        <f>IFERROR(__xludf.DUMMYFUNCTION("""COMPUTED_VALUE"""),"Manage order page (normal text)")</f>
        <v>Manage order page (normal text)</v>
      </c>
      <c r="H796" s="131">
        <f>IFERROR(__xludf.DUMMYFUNCTION("""COMPUTED_VALUE"""),987855.0)</f>
        <v>987855</v>
      </c>
      <c r="I796" s="144" t="str">
        <f>IFERROR(__xludf.DUMMYFUNCTION("""COMPUTED_VALUE"""),"06/21")</f>
        <v>06/21</v>
      </c>
      <c r="J796" s="129">
        <f>IFERROR(__xludf.DUMMYFUNCTION("""COMPUTED_VALUE"""),44364.0)</f>
        <v>44364</v>
      </c>
      <c r="K796" s="133">
        <f>IFERROR(__xludf.DUMMYFUNCTION("""COMPUTED_VALUE"""),44.0)</f>
        <v>44</v>
      </c>
      <c r="L796" s="133">
        <f>IFERROR(__xludf.DUMMYFUNCTION("""COMPUTED_VALUE"""),11.0)</f>
        <v>11</v>
      </c>
      <c r="M796" s="133">
        <f>IFERROR(__xludf.DUMMYFUNCTION("""COMPUTED_VALUE"""),55.0)</f>
        <v>55</v>
      </c>
      <c r="N796" s="152" t="str">
        <f>IFERROR(__xludf.DUMMYFUNCTION("""COMPUTED_VALUE"""),"Model 3 SR+")</f>
        <v>Model 3 SR+</v>
      </c>
      <c r="O796" s="152" t="str">
        <f>IFERROR(__xludf.DUMMYFUNCTION("""COMPUTED_VALUE"""),"Pearl White Multi-Coat")</f>
        <v>Pearl White Multi-Coat</v>
      </c>
      <c r="P796" s="153" t="str">
        <f>IFERROR(__xludf.DUMMYFUNCTION("""COMPUTED_VALUE"""),"19 inch")</f>
        <v>19 inch</v>
      </c>
      <c r="Q796" s="152" t="str">
        <f>IFERROR(__xludf.DUMMYFUNCTION("""COMPUTED_VALUE"""),"All Black")</f>
        <v>All Black</v>
      </c>
      <c r="R796" s="149" t="str">
        <f>IFERROR(__xludf.DUMMYFUNCTION("""COMPUTED_VALUE"""),"Autopilot included")</f>
        <v>Autopilot included</v>
      </c>
      <c r="S796" s="149" t="str">
        <f>IFERROR(__xludf.DUMMYFUNCTION("""COMPUTED_VALUE"""),"Loan")</f>
        <v>Loan</v>
      </c>
      <c r="T796" s="145" t="str">
        <f>IFERROR(__xludf.DUMMYFUNCTION("""COMPUTED_VALUE"""),"VW Tiguan")</f>
        <v>VW Tiguan</v>
      </c>
      <c r="U796" s="145" t="str">
        <f>IFERROR(__xludf.DUMMYFUNCTION("""COMPUTED_VALUE"""),"Electric!")</f>
        <v>Electric!</v>
      </c>
      <c r="V796" s="145" t="str">
        <f>IFERROR(__xludf.DUMMYFUNCTION("""COMPUTED_VALUE"""),"Heated steering wheel")</f>
        <v>Heated steering wheel</v>
      </c>
      <c r="W796" s="145" t="str">
        <f>IFERROR(__xludf.DUMMYFUNCTION("""COMPUTED_VALUE"""),"Be patience with delivery and the lack of communication from Tesla ")</f>
        <v>Be patience with delivery and the lack of communication from Tesla </v>
      </c>
      <c r="X796" s="137" t="str">
        <f>IFERROR(__xludf.DUMMYFUNCTION("""COMPUTED_VALUE"""),"Good")</f>
        <v>Good</v>
      </c>
      <c r="Y796" s="138" t="str">
        <f>IFERROR(__xludf.DUMMYFUNCTION("""COMPUTED_VALUE"""),"Good")</f>
        <v>Good</v>
      </c>
      <c r="Z796" s="138" t="str">
        <f>IFERROR(__xludf.DUMMYFUNCTION("""COMPUTED_VALUE"""),"Very Good")</f>
        <v>Very Good</v>
      </c>
      <c r="AA796" s="138" t="str">
        <f>IFERROR(__xludf.DUMMYFUNCTION("""COMPUTED_VALUE"""),"Good")</f>
        <v>Good</v>
      </c>
      <c r="AB796" s="138" t="str">
        <f>IFERROR(__xludf.DUMMYFUNCTION("""COMPUTED_VALUE"""),"Very Good")</f>
        <v>Very Good</v>
      </c>
      <c r="AC796" s="139">
        <f>IFERROR(__xludf.DUMMYFUNCTION("""COMPUTED_VALUE"""),7.0)</f>
        <v>7</v>
      </c>
      <c r="AD796" s="139">
        <f>IFERROR(__xludf.DUMMYFUNCTION("""COMPUTED_VALUE"""),1.0)</f>
        <v>1</v>
      </c>
      <c r="AE796" s="139">
        <f>IFERROR(__xludf.DUMMYFUNCTION("""COMPUTED_VALUE"""),2.0)</f>
        <v>2</v>
      </c>
      <c r="AF796" s="140" t="str">
        <f>IFERROR(__xludf.DUMMYFUNCTION("""COMPUTED_VALUE"""),"No. I took delivery of the first car Tesla was able to deliver.")</f>
        <v>No. I took delivery of the first car Tesla was able to deliver.</v>
      </c>
      <c r="AG796" s="145"/>
      <c r="AH796" s="157">
        <f>IFERROR(__xludf.DUMMYFUNCTION("""COMPUTED_VALUE"""),44397.114840821756)</f>
        <v>44397.11484</v>
      </c>
      <c r="AI796" s="138"/>
      <c r="AJ796" s="138"/>
      <c r="AK796" s="138"/>
      <c r="AL796" s="142"/>
    </row>
    <row r="797" ht="20.25" customHeight="1">
      <c r="A797" s="155" t="str">
        <f>IFERROR(__xludf.DUMMYFUNCTION("""COMPUTED_VALUE"""),"EDMfam")</f>
        <v>EDMfam</v>
      </c>
      <c r="B797" s="149" t="str">
        <f>IFERROR(__xludf.DUMMYFUNCTION("""COMPUTED_VALUE"""),"Edmonton")</f>
        <v>Edmonton</v>
      </c>
      <c r="C797" s="149" t="str">
        <f>IFERROR(__xludf.DUMMYFUNCTION("""COMPUTED_VALUE"""),"AB")</f>
        <v>AB</v>
      </c>
      <c r="D797" s="149" t="str">
        <f>IFERROR(__xludf.DUMMYFUNCTION("""COMPUTED_VALUE"""),"Canada")</f>
        <v>Canada</v>
      </c>
      <c r="E797" s="156">
        <f>IFERROR(__xludf.DUMMYFUNCTION("""COMPUTED_VALUE"""),44309.0)</f>
        <v>44309</v>
      </c>
      <c r="F797" s="129">
        <f>IFERROR(__xludf.DUMMYFUNCTION("""COMPUTED_VALUE"""),44347.0)</f>
        <v>44347</v>
      </c>
      <c r="G797" s="154" t="str">
        <f>IFERROR(__xludf.DUMMYFUNCTION("""COMPUTED_VALUE"""),"Source code")</f>
        <v>Source code</v>
      </c>
      <c r="H797" s="131">
        <f>IFERROR(__xludf.DUMMYFUNCTION("""COMPUTED_VALUE"""),981655.0)</f>
        <v>981655</v>
      </c>
      <c r="I797" s="144"/>
      <c r="J797" s="129">
        <f>IFERROR(__xludf.DUMMYFUNCTION("""COMPUTED_VALUE"""),44357.0)</f>
        <v>44357</v>
      </c>
      <c r="K797" s="133">
        <f>IFERROR(__xludf.DUMMYFUNCTION("""COMPUTED_VALUE"""),38.0)</f>
        <v>38</v>
      </c>
      <c r="L797" s="133">
        <f>IFERROR(__xludf.DUMMYFUNCTION("""COMPUTED_VALUE"""),10.0)</f>
        <v>10</v>
      </c>
      <c r="M797" s="133">
        <f>IFERROR(__xludf.DUMMYFUNCTION("""COMPUTED_VALUE"""),48.0)</f>
        <v>48</v>
      </c>
      <c r="N797" s="152" t="str">
        <f>IFERROR(__xludf.DUMMYFUNCTION("""COMPUTED_VALUE"""),"Model 3 SR+")</f>
        <v>Model 3 SR+</v>
      </c>
      <c r="O797" s="152" t="str">
        <f>IFERROR(__xludf.DUMMYFUNCTION("""COMPUTED_VALUE"""),"Midnight Silver Metallic")</f>
        <v>Midnight Silver Metallic</v>
      </c>
      <c r="P797" s="153" t="str">
        <f>IFERROR(__xludf.DUMMYFUNCTION("""COMPUTED_VALUE"""),"18 inch")</f>
        <v>18 inch</v>
      </c>
      <c r="Q797" s="152" t="str">
        <f>IFERROR(__xludf.DUMMYFUNCTION("""COMPUTED_VALUE"""),"All Black")</f>
        <v>All Black</v>
      </c>
      <c r="R797" s="149" t="str">
        <f>IFERROR(__xludf.DUMMYFUNCTION("""COMPUTED_VALUE"""),"Autopilot included")</f>
        <v>Autopilot included</v>
      </c>
      <c r="S797" s="149" t="str">
        <f>IFERROR(__xludf.DUMMYFUNCTION("""COMPUTED_VALUE"""),"Loan")</f>
        <v>Loan</v>
      </c>
      <c r="T797" s="145" t="str">
        <f>IFERROR(__xludf.DUMMYFUNCTION("""COMPUTED_VALUE"""),"Jeep Wrangler Unltd Sahara")</f>
        <v>Jeep Wrangler Unltd Sahara</v>
      </c>
      <c r="U797" s="145" t="str">
        <f>IFERROR(__xludf.DUMMYFUNCTION("""COMPUTED_VALUE"""),"Electric!")</f>
        <v>Electric!</v>
      </c>
      <c r="V797" s="145" t="str">
        <f>IFERROR(__xludf.DUMMYFUNCTION("""COMPUTED_VALUE"""),"Blind spot indicators on side mirrors")</f>
        <v>Blind spot indicators on side mirrors</v>
      </c>
      <c r="W797" s="145"/>
      <c r="X797" s="137" t="str">
        <f>IFERROR(__xludf.DUMMYFUNCTION("""COMPUTED_VALUE"""),"Excellent")</f>
        <v>Excellent</v>
      </c>
      <c r="Y797" s="138" t="str">
        <f>IFERROR(__xludf.DUMMYFUNCTION("""COMPUTED_VALUE"""),"Excellent")</f>
        <v>Excellent</v>
      </c>
      <c r="Z797" s="138" t="str">
        <f>IFERROR(__xludf.DUMMYFUNCTION("""COMPUTED_VALUE"""),"Excellent")</f>
        <v>Excellent</v>
      </c>
      <c r="AA797" s="138" t="str">
        <f>IFERROR(__xludf.DUMMYFUNCTION("""COMPUTED_VALUE"""),"Excellent")</f>
        <v>Excellent</v>
      </c>
      <c r="AB797" s="138" t="str">
        <f>IFERROR(__xludf.DUMMYFUNCTION("""COMPUTED_VALUE"""),"Excellent")</f>
        <v>Excellent</v>
      </c>
      <c r="AC797" s="139"/>
      <c r="AD797" s="139"/>
      <c r="AE797" s="139"/>
      <c r="AF797" s="140" t="str">
        <f>IFERROR(__xludf.DUMMYFUNCTION("""COMPUTED_VALUE"""),"No. I took delivery of the first car Tesla was able to deliver.")</f>
        <v>No. I took delivery of the first car Tesla was able to deliver.</v>
      </c>
      <c r="AG797" s="145" t="str">
        <f>IFERROR(__xludf.DUMMYFUNCTION("""COMPUTED_VALUE"""),"On May 13th received new delivery timeframe: May 25 - June 14. Now updated to June 1 - 5 Delivery timeframe.")</f>
        <v>On May 13th received new delivery timeframe: May 25 - June 14. Now updated to June 1 - 5 Delivery timeframe.</v>
      </c>
      <c r="AH797" s="157">
        <f>IFERROR(__xludf.DUMMYFUNCTION("""COMPUTED_VALUE"""),44358.36577380786)</f>
        <v>44358.36577</v>
      </c>
      <c r="AI797" s="138"/>
      <c r="AJ797" s="138"/>
      <c r="AK797" s="138"/>
      <c r="AL797" s="142"/>
    </row>
    <row r="798" ht="20.25" customHeight="1">
      <c r="A798" s="155" t="str">
        <f>IFERROR(__xludf.DUMMYFUNCTION("""COMPUTED_VALUE"""),"Kold")</f>
        <v>Kold</v>
      </c>
      <c r="B798" s="149" t="str">
        <f>IFERROR(__xludf.DUMMYFUNCTION("""COMPUTED_VALUE"""),"Hampton")</f>
        <v>Hampton</v>
      </c>
      <c r="C798" s="149" t="str">
        <f>IFERROR(__xludf.DUMMYFUNCTION("""COMPUTED_VALUE"""),"VA")</f>
        <v>VA</v>
      </c>
      <c r="D798" s="149" t="str">
        <f>IFERROR(__xludf.DUMMYFUNCTION("""COMPUTED_VALUE"""),"USA")</f>
        <v>USA</v>
      </c>
      <c r="E798" s="156">
        <f>IFERROR(__xludf.DUMMYFUNCTION("""COMPUTED_VALUE"""),44309.0)</f>
        <v>44309</v>
      </c>
      <c r="F798" s="129">
        <f>IFERROR(__xludf.DUMMYFUNCTION("""COMPUTED_VALUE"""),44344.0)</f>
        <v>44344</v>
      </c>
      <c r="G798" s="154" t="str">
        <f>IFERROR(__xludf.DUMMYFUNCTION("""COMPUTED_VALUE"""),"Email")</f>
        <v>Email</v>
      </c>
      <c r="H798" s="131">
        <f>IFERROR(__xludf.DUMMYFUNCTION("""COMPUTED_VALUE"""),980355.0)</f>
        <v>980355</v>
      </c>
      <c r="I798" s="144" t="str">
        <f>IFERROR(__xludf.DUMMYFUNCTION("""COMPUTED_VALUE"""),"04/21")</f>
        <v>04/21</v>
      </c>
      <c r="J798" s="129">
        <f>IFERROR(__xludf.DUMMYFUNCTION("""COMPUTED_VALUE"""),44359.0)</f>
        <v>44359</v>
      </c>
      <c r="K798" s="133">
        <f>IFERROR(__xludf.DUMMYFUNCTION("""COMPUTED_VALUE"""),35.0)</f>
        <v>35</v>
      </c>
      <c r="L798" s="133">
        <f>IFERROR(__xludf.DUMMYFUNCTION("""COMPUTED_VALUE"""),15.0)</f>
        <v>15</v>
      </c>
      <c r="M798" s="133">
        <f>IFERROR(__xludf.DUMMYFUNCTION("""COMPUTED_VALUE"""),50.0)</f>
        <v>50</v>
      </c>
      <c r="N798" s="152" t="str">
        <f>IFERROR(__xludf.DUMMYFUNCTION("""COMPUTED_VALUE"""),"Model 3 LR AWD")</f>
        <v>Model 3 LR AWD</v>
      </c>
      <c r="O798" s="152" t="str">
        <f>IFERROR(__xludf.DUMMYFUNCTION("""COMPUTED_VALUE"""),"Deep Blue Metallic")</f>
        <v>Deep Blue Metallic</v>
      </c>
      <c r="P798" s="153" t="str">
        <f>IFERROR(__xludf.DUMMYFUNCTION("""COMPUTED_VALUE"""),"19 inch")</f>
        <v>19 inch</v>
      </c>
      <c r="Q798" s="152" t="str">
        <f>IFERROR(__xludf.DUMMYFUNCTION("""COMPUTED_VALUE"""),"All Black")</f>
        <v>All Black</v>
      </c>
      <c r="R798" s="149" t="str">
        <f>IFERROR(__xludf.DUMMYFUNCTION("""COMPUTED_VALUE"""),"Autopilot included")</f>
        <v>Autopilot included</v>
      </c>
      <c r="S798" s="149" t="str">
        <f>IFERROR(__xludf.DUMMYFUNCTION("""COMPUTED_VALUE"""),"Loan")</f>
        <v>Loan</v>
      </c>
      <c r="T798" s="145" t="str">
        <f>IFERROR(__xludf.DUMMYFUNCTION("""COMPUTED_VALUE"""),"Toyota Camry")</f>
        <v>Toyota Camry</v>
      </c>
      <c r="U798" s="145" t="str">
        <f>IFERROR(__xludf.DUMMYFUNCTION("""COMPUTED_VALUE"""),"Electric!")</f>
        <v>Electric!</v>
      </c>
      <c r="V798" s="145" t="str">
        <f>IFERROR(__xludf.DUMMYFUNCTION("""COMPUTED_VALUE"""),"Apple CarPlay / Android Auto / SiriusXM Radio")</f>
        <v>Apple CarPlay / Android Auto / SiriusXM Radio</v>
      </c>
      <c r="W798" s="145"/>
      <c r="X798" s="137" t="str">
        <f>IFERROR(__xludf.DUMMYFUNCTION("""COMPUTED_VALUE"""),"Good")</f>
        <v>Good</v>
      </c>
      <c r="Y798" s="138" t="str">
        <f>IFERROR(__xludf.DUMMYFUNCTION("""COMPUTED_VALUE"""),"Good")</f>
        <v>Good</v>
      </c>
      <c r="Z798" s="138" t="str">
        <f>IFERROR(__xludf.DUMMYFUNCTION("""COMPUTED_VALUE"""),"Good")</f>
        <v>Good</v>
      </c>
      <c r="AA798" s="138" t="str">
        <f>IFERROR(__xludf.DUMMYFUNCTION("""COMPUTED_VALUE"""),"Poor")</f>
        <v>Poor</v>
      </c>
      <c r="AB798" s="138" t="str">
        <f>IFERROR(__xludf.DUMMYFUNCTION("""COMPUTED_VALUE"""),"Fair")</f>
        <v>Fair</v>
      </c>
      <c r="AC798" s="139">
        <f>IFERROR(__xludf.DUMMYFUNCTION("""COMPUTED_VALUE"""),3.0)</f>
        <v>3</v>
      </c>
      <c r="AD798" s="139"/>
      <c r="AE798" s="139"/>
      <c r="AF798" s="140" t="str">
        <f>IFERROR(__xludf.DUMMYFUNCTION("""COMPUTED_VALUE"""),"No. I took delivery of the first car Tesla was able to deliver.")</f>
        <v>No. I took delivery of the first car Tesla was able to deliver.</v>
      </c>
      <c r="AG798" s="145"/>
      <c r="AH798" s="157">
        <f>IFERROR(__xludf.DUMMYFUNCTION("""COMPUTED_VALUE"""),44365.86660381944)</f>
        <v>44365.8666</v>
      </c>
      <c r="AI798" s="138"/>
      <c r="AJ798" s="138"/>
      <c r="AK798" s="138"/>
      <c r="AL798" s="142"/>
    </row>
    <row r="799" ht="20.25" customHeight="1">
      <c r="A799" s="155" t="str">
        <f>IFERROR(__xludf.DUMMYFUNCTION("""COMPUTED_VALUE"""),"whozhighpitch")</f>
        <v>whozhighpitch</v>
      </c>
      <c r="B799" s="149" t="str">
        <f>IFERROR(__xludf.DUMMYFUNCTION("""COMPUTED_VALUE"""),"Ashburn")</f>
        <v>Ashburn</v>
      </c>
      <c r="C799" s="149" t="str">
        <f>IFERROR(__xludf.DUMMYFUNCTION("""COMPUTED_VALUE"""),"VA")</f>
        <v>VA</v>
      </c>
      <c r="D799" s="149" t="str">
        <f>IFERROR(__xludf.DUMMYFUNCTION("""COMPUTED_VALUE"""),"USA")</f>
        <v>USA</v>
      </c>
      <c r="E799" s="156">
        <f>IFERROR(__xludf.DUMMYFUNCTION("""COMPUTED_VALUE"""),44309.0)</f>
        <v>44309</v>
      </c>
      <c r="F799" s="129">
        <f>IFERROR(__xludf.DUMMYFUNCTION("""COMPUTED_VALUE"""),44345.0)</f>
        <v>44345</v>
      </c>
      <c r="G799" s="154" t="str">
        <f>IFERROR(__xludf.DUMMYFUNCTION("""COMPUTED_VALUE"""),"Email")</f>
        <v>Email</v>
      </c>
      <c r="H799" s="131">
        <f>IFERROR(__xludf.DUMMYFUNCTION("""COMPUTED_VALUE"""),979955.0)</f>
        <v>979955</v>
      </c>
      <c r="I799" s="144" t="str">
        <f>IFERROR(__xludf.DUMMYFUNCTION("""COMPUTED_VALUE"""),"05/21")</f>
        <v>05/21</v>
      </c>
      <c r="J799" s="129">
        <f>IFERROR(__xludf.DUMMYFUNCTION("""COMPUTED_VALUE"""),44354.0)</f>
        <v>44354</v>
      </c>
      <c r="K799" s="133">
        <f>IFERROR(__xludf.DUMMYFUNCTION("""COMPUTED_VALUE"""),36.0)</f>
        <v>36</v>
      </c>
      <c r="L799" s="133">
        <f>IFERROR(__xludf.DUMMYFUNCTION("""COMPUTED_VALUE"""),9.0)</f>
        <v>9</v>
      </c>
      <c r="M799" s="133">
        <f>IFERROR(__xludf.DUMMYFUNCTION("""COMPUTED_VALUE"""),45.0)</f>
        <v>45</v>
      </c>
      <c r="N799" s="152" t="str">
        <f>IFERROR(__xludf.DUMMYFUNCTION("""COMPUTED_VALUE"""),"Model 3 LR AWD")</f>
        <v>Model 3 LR AWD</v>
      </c>
      <c r="O799" s="152" t="str">
        <f>IFERROR(__xludf.DUMMYFUNCTION("""COMPUTED_VALUE"""),"Red Multi-Coat")</f>
        <v>Red Multi-Coat</v>
      </c>
      <c r="P799" s="153" t="str">
        <f>IFERROR(__xludf.DUMMYFUNCTION("""COMPUTED_VALUE"""),"18 inch")</f>
        <v>18 inch</v>
      </c>
      <c r="Q799" s="152" t="str">
        <f>IFERROR(__xludf.DUMMYFUNCTION("""COMPUTED_VALUE"""),"All Black")</f>
        <v>All Black</v>
      </c>
      <c r="R799" s="149" t="str">
        <f>IFERROR(__xludf.DUMMYFUNCTION("""COMPUTED_VALUE"""),"Autopilot included")</f>
        <v>Autopilot included</v>
      </c>
      <c r="S799" s="149" t="str">
        <f>IFERROR(__xludf.DUMMYFUNCTION("""COMPUTED_VALUE"""),"Loan")</f>
        <v>Loan</v>
      </c>
      <c r="T799" s="145" t="str">
        <f>IFERROR(__xludf.DUMMYFUNCTION("""COMPUTED_VALUE"""),"Jeep Grand Cherokee")</f>
        <v>Jeep Grand Cherokee</v>
      </c>
      <c r="U799" s="145" t="str">
        <f>IFERROR(__xludf.DUMMYFUNCTION("""COMPUTED_VALUE"""),"Electric!")</f>
        <v>Electric!</v>
      </c>
      <c r="V799" s="145" t="str">
        <f>IFERROR(__xludf.DUMMYFUNCTION("""COMPUTED_VALUE"""),"Apple CarPlay / Android Auto / SiriusXM Radio")</f>
        <v>Apple CarPlay / Android Auto / SiriusXM Radio</v>
      </c>
      <c r="W799" s="145" t="str">
        <f>IFERROR(__xludf.DUMMYFUNCTION("""COMPUTED_VALUE"""),"Be patient. ")</f>
        <v>Be patient. </v>
      </c>
      <c r="X799" s="137" t="str">
        <f>IFERROR(__xludf.DUMMYFUNCTION("""COMPUTED_VALUE"""),"Excellent")</f>
        <v>Excellent</v>
      </c>
      <c r="Y799" s="138" t="str">
        <f>IFERROR(__xludf.DUMMYFUNCTION("""COMPUTED_VALUE"""),"Excellent")</f>
        <v>Excellent</v>
      </c>
      <c r="Z799" s="138" t="str">
        <f>IFERROR(__xludf.DUMMYFUNCTION("""COMPUTED_VALUE"""),"Excellent")</f>
        <v>Excellent</v>
      </c>
      <c r="AA799" s="138" t="str">
        <f>IFERROR(__xludf.DUMMYFUNCTION("""COMPUTED_VALUE"""),"Good")</f>
        <v>Good</v>
      </c>
      <c r="AB799" s="138" t="str">
        <f>IFERROR(__xludf.DUMMYFUNCTION("""COMPUTED_VALUE"""),"Very Good")</f>
        <v>Very Good</v>
      </c>
      <c r="AC799" s="139">
        <f>IFERROR(__xludf.DUMMYFUNCTION("""COMPUTED_VALUE"""),0.0)</f>
        <v>0</v>
      </c>
      <c r="AD799" s="139"/>
      <c r="AE799" s="139"/>
      <c r="AF799" s="140" t="str">
        <f>IFERROR(__xludf.DUMMYFUNCTION("""COMPUTED_VALUE"""),"No. I took delivery of the first car Tesla was able to deliver.")</f>
        <v>No. I took delivery of the first car Tesla was able to deliver.</v>
      </c>
      <c r="AG799" s="145"/>
      <c r="AH799" s="157">
        <f>IFERROR(__xludf.DUMMYFUNCTION("""COMPUTED_VALUE"""),44384.29985545139)</f>
        <v>44384.29986</v>
      </c>
      <c r="AI799" s="138"/>
      <c r="AJ799" s="138"/>
      <c r="AK799" s="138"/>
      <c r="AL799" s="142"/>
    </row>
    <row r="800" ht="20.25" customHeight="1">
      <c r="A800" s="155" t="str">
        <f>IFERROR(__xludf.DUMMYFUNCTION("""COMPUTED_VALUE"""),"BLGranucci ")</f>
        <v>BLGranucci </v>
      </c>
      <c r="B800" s="149" t="str">
        <f>IFERROR(__xludf.DUMMYFUNCTION("""COMPUTED_VALUE"""),"Wappingers Falls")</f>
        <v>Wappingers Falls</v>
      </c>
      <c r="C800" s="149" t="str">
        <f>IFERROR(__xludf.DUMMYFUNCTION("""COMPUTED_VALUE"""),"NY")</f>
        <v>NY</v>
      </c>
      <c r="D800" s="149" t="str">
        <f>IFERROR(__xludf.DUMMYFUNCTION("""COMPUTED_VALUE"""),"USA")</f>
        <v>USA</v>
      </c>
      <c r="E800" s="156">
        <f>IFERROR(__xludf.DUMMYFUNCTION("""COMPUTED_VALUE"""),44308.0)</f>
        <v>44308</v>
      </c>
      <c r="F800" s="129">
        <f>IFERROR(__xludf.DUMMYFUNCTION("""COMPUTED_VALUE"""),44345.0)</f>
        <v>44345</v>
      </c>
      <c r="G800" s="154" t="str">
        <f>IFERROR(__xludf.DUMMYFUNCTION("""COMPUTED_VALUE"""),"Manage order page (normal text)")</f>
        <v>Manage order page (normal text)</v>
      </c>
      <c r="H800" s="131">
        <f>IFERROR(__xludf.DUMMYFUNCTION("""COMPUTED_VALUE"""),979855.0)</f>
        <v>979855</v>
      </c>
      <c r="I800" s="144" t="str">
        <f>IFERROR(__xludf.DUMMYFUNCTION("""COMPUTED_VALUE"""),"05/21")</f>
        <v>05/21</v>
      </c>
      <c r="J800" s="129">
        <f>IFERROR(__xludf.DUMMYFUNCTION("""COMPUTED_VALUE"""),44353.0)</f>
        <v>44353</v>
      </c>
      <c r="K800" s="133">
        <f>IFERROR(__xludf.DUMMYFUNCTION("""COMPUTED_VALUE"""),37.0)</f>
        <v>37</v>
      </c>
      <c r="L800" s="133">
        <f>IFERROR(__xludf.DUMMYFUNCTION("""COMPUTED_VALUE"""),8.0)</f>
        <v>8</v>
      </c>
      <c r="M800" s="133">
        <f>IFERROR(__xludf.DUMMYFUNCTION("""COMPUTED_VALUE"""),45.0)</f>
        <v>45</v>
      </c>
      <c r="N800" s="152" t="str">
        <f>IFERROR(__xludf.DUMMYFUNCTION("""COMPUTED_VALUE"""),"Model 3 LR AWD")</f>
        <v>Model 3 LR AWD</v>
      </c>
      <c r="O800" s="152" t="str">
        <f>IFERROR(__xludf.DUMMYFUNCTION("""COMPUTED_VALUE"""),"Deep Blue Metallic")</f>
        <v>Deep Blue Metallic</v>
      </c>
      <c r="P800" s="153" t="str">
        <f>IFERROR(__xludf.DUMMYFUNCTION("""COMPUTED_VALUE"""),"18 inch")</f>
        <v>18 inch</v>
      </c>
      <c r="Q800" s="152" t="str">
        <f>IFERROR(__xludf.DUMMYFUNCTION("""COMPUTED_VALUE"""),"All Black")</f>
        <v>All Black</v>
      </c>
      <c r="R800" s="149" t="str">
        <f>IFERROR(__xludf.DUMMYFUNCTION("""COMPUTED_VALUE"""),"Full Self-Driving")</f>
        <v>Full Self-Driving</v>
      </c>
      <c r="S800" s="149" t="str">
        <f>IFERROR(__xludf.DUMMYFUNCTION("""COMPUTED_VALUE"""),"Loan")</f>
        <v>Loan</v>
      </c>
      <c r="T800" s="145" t="str">
        <f>IFERROR(__xludf.DUMMYFUNCTION("""COMPUTED_VALUE"""),"Chevy Bolt")</f>
        <v>Chevy Bolt</v>
      </c>
      <c r="U800" s="145" t="str">
        <f>IFERROR(__xludf.DUMMYFUNCTION("""COMPUTED_VALUE"""),"Autopilot")</f>
        <v>Autopilot</v>
      </c>
      <c r="V800" s="145" t="str">
        <f>IFERROR(__xludf.DUMMYFUNCTION("""COMPUTED_VALUE"""),"360° Bird's eye view")</f>
        <v>360° Bird's eye view</v>
      </c>
      <c r="W800" s="145"/>
      <c r="X800" s="137" t="str">
        <f>IFERROR(__xludf.DUMMYFUNCTION("""COMPUTED_VALUE"""),"Very Good")</f>
        <v>Very Good</v>
      </c>
      <c r="Y800" s="138" t="str">
        <f>IFERROR(__xludf.DUMMYFUNCTION("""COMPUTED_VALUE"""),"Very Good")</f>
        <v>Very Good</v>
      </c>
      <c r="Z800" s="138" t="str">
        <f>IFERROR(__xludf.DUMMYFUNCTION("""COMPUTED_VALUE"""),"Very Good")</f>
        <v>Very Good</v>
      </c>
      <c r="AA800" s="138" t="str">
        <f>IFERROR(__xludf.DUMMYFUNCTION("""COMPUTED_VALUE"""),"Good")</f>
        <v>Good</v>
      </c>
      <c r="AB800" s="138" t="str">
        <f>IFERROR(__xludf.DUMMYFUNCTION("""COMPUTED_VALUE"""),"Very Good")</f>
        <v>Very Good</v>
      </c>
      <c r="AC800" s="139"/>
      <c r="AD800" s="139"/>
      <c r="AE800" s="139"/>
      <c r="AF800" s="140" t="str">
        <f>IFERROR(__xludf.DUMMYFUNCTION("""COMPUTED_VALUE"""),"No. I took delivery of the first car Tesla was able to deliver.")</f>
        <v>No. I took delivery of the first car Tesla was able to deliver.</v>
      </c>
      <c r="AG800" s="145"/>
      <c r="AH800" s="157">
        <f>IFERROR(__xludf.DUMMYFUNCTION("""COMPUTED_VALUE"""),44357.70321040509)</f>
        <v>44357.70321</v>
      </c>
      <c r="AI800" s="138"/>
      <c r="AJ800" s="138"/>
      <c r="AK800" s="138"/>
      <c r="AL800" s="142"/>
    </row>
    <row r="801" ht="20.25" customHeight="1">
      <c r="A801" s="155" t="str">
        <f>IFERROR(__xludf.DUMMYFUNCTION("""COMPUTED_VALUE"""),"compoti")</f>
        <v>compoti</v>
      </c>
      <c r="B801" s="149" t="str">
        <f>IFERROR(__xludf.DUMMYFUNCTION("""COMPUTED_VALUE"""),"Eching")</f>
        <v>Eching</v>
      </c>
      <c r="C801" s="149"/>
      <c r="D801" s="149" t="str">
        <f>IFERROR(__xludf.DUMMYFUNCTION("""COMPUTED_VALUE"""),"Germany")</f>
        <v>Germany</v>
      </c>
      <c r="E801" s="156">
        <f>IFERROR(__xludf.DUMMYFUNCTION("""COMPUTED_VALUE"""),44308.0)</f>
        <v>44308</v>
      </c>
      <c r="F801" s="129">
        <f>IFERROR(__xludf.DUMMYFUNCTION("""COMPUTED_VALUE"""),44322.0)</f>
        <v>44322</v>
      </c>
      <c r="G801" s="154" t="str">
        <f>IFERROR(__xludf.DUMMYFUNCTION("""COMPUTED_VALUE"""),"Email")</f>
        <v>Email</v>
      </c>
      <c r="H801" s="131">
        <f>IFERROR(__xludf.DUMMYFUNCTION("""COMPUTED_VALUE"""),232155.0)</f>
        <v>232155</v>
      </c>
      <c r="I801" s="144" t="str">
        <f>IFERROR(__xludf.DUMMYFUNCTION("""COMPUTED_VALUE"""),"04/21")</f>
        <v>04/21</v>
      </c>
      <c r="J801" s="129">
        <f>IFERROR(__xludf.DUMMYFUNCTION("""COMPUTED_VALUE"""),44355.0)</f>
        <v>44355</v>
      </c>
      <c r="K801" s="133">
        <f>IFERROR(__xludf.DUMMYFUNCTION("""COMPUTED_VALUE"""),14.0)</f>
        <v>14</v>
      </c>
      <c r="L801" s="133">
        <f>IFERROR(__xludf.DUMMYFUNCTION("""COMPUTED_VALUE"""),33.0)</f>
        <v>33</v>
      </c>
      <c r="M801" s="133">
        <f>IFERROR(__xludf.DUMMYFUNCTION("""COMPUTED_VALUE"""),47.0)</f>
        <v>47</v>
      </c>
      <c r="N801" s="152" t="str">
        <f>IFERROR(__xludf.DUMMYFUNCTION("""COMPUTED_VALUE"""),"Model 3 SR+")</f>
        <v>Model 3 SR+</v>
      </c>
      <c r="O801" s="152" t="str">
        <f>IFERROR(__xludf.DUMMYFUNCTION("""COMPUTED_VALUE"""),"Deep Blue Metallic")</f>
        <v>Deep Blue Metallic</v>
      </c>
      <c r="P801" s="153" t="str">
        <f>IFERROR(__xludf.DUMMYFUNCTION("""COMPUTED_VALUE"""),"18 inch")</f>
        <v>18 inch</v>
      </c>
      <c r="Q801" s="152" t="str">
        <f>IFERROR(__xludf.DUMMYFUNCTION("""COMPUTED_VALUE"""),"All Black")</f>
        <v>All Black</v>
      </c>
      <c r="R801" s="149" t="str">
        <f>IFERROR(__xludf.DUMMYFUNCTION("""COMPUTED_VALUE"""),"Full Self-Driving")</f>
        <v>Full Self-Driving</v>
      </c>
      <c r="S801" s="149" t="str">
        <f>IFERROR(__xludf.DUMMYFUNCTION("""COMPUTED_VALUE"""),"Cash")</f>
        <v>Cash</v>
      </c>
      <c r="T801" s="145" t="str">
        <f>IFERROR(__xludf.DUMMYFUNCTION("""COMPUTED_VALUE"""),"BMW 1 Series")</f>
        <v>BMW 1 Series</v>
      </c>
      <c r="U801" s="145" t="str">
        <f>IFERROR(__xludf.DUMMYFUNCTION("""COMPUTED_VALUE"""),"Supercharger V3 support")</f>
        <v>Supercharger V3 support</v>
      </c>
      <c r="V801" s="145" t="str">
        <f>IFERROR(__xludf.DUMMYFUNCTION("""COMPUTED_VALUE"""),"Apple CarPlay / Android Auto / SiriusXM Radio")</f>
        <v>Apple CarPlay / Android Auto / SiriusXM Radio</v>
      </c>
      <c r="W801" s="145" t="str">
        <f>IFERROR(__xludf.DUMMYFUNCTION("""COMPUTED_VALUE"""),"EAP is a piece of shit, save your money ;-)")</f>
        <v>EAP is a piece of shit, save your money ;-)</v>
      </c>
      <c r="X801" s="137" t="str">
        <f>IFERROR(__xludf.DUMMYFUNCTION("""COMPUTED_VALUE"""),"Very Good")</f>
        <v>Very Good</v>
      </c>
      <c r="Y801" s="138" t="str">
        <f>IFERROR(__xludf.DUMMYFUNCTION("""COMPUTED_VALUE"""),"Excellent")</f>
        <v>Excellent</v>
      </c>
      <c r="Z801" s="138" t="str">
        <f>IFERROR(__xludf.DUMMYFUNCTION("""COMPUTED_VALUE"""),"Very Good")</f>
        <v>Very Good</v>
      </c>
      <c r="AA801" s="138" t="str">
        <f>IFERROR(__xludf.DUMMYFUNCTION("""COMPUTED_VALUE"""),"Excellent")</f>
        <v>Excellent</v>
      </c>
      <c r="AB801" s="138" t="str">
        <f>IFERROR(__xludf.DUMMYFUNCTION("""COMPUTED_VALUE"""),"Good")</f>
        <v>Good</v>
      </c>
      <c r="AC801" s="139">
        <f>IFERROR(__xludf.DUMMYFUNCTION("""COMPUTED_VALUE"""),0.0)</f>
        <v>0</v>
      </c>
      <c r="AD801" s="139">
        <f>IFERROR(__xludf.DUMMYFUNCTION("""COMPUTED_VALUE"""),0.0)</f>
        <v>0</v>
      </c>
      <c r="AE801" s="139">
        <f>IFERROR(__xludf.DUMMYFUNCTION("""COMPUTED_VALUE"""),0.0)</f>
        <v>0</v>
      </c>
      <c r="AF801" s="140" t="str">
        <f>IFERROR(__xludf.DUMMYFUNCTION("""COMPUTED_VALUE"""),"No. I took delivery of the first car Tesla was able to deliver.")</f>
        <v>No. I took delivery of the first car Tesla was able to deliver.</v>
      </c>
      <c r="AG801" s="145"/>
      <c r="AH801" s="157">
        <f>IFERROR(__xludf.DUMMYFUNCTION("""COMPUTED_VALUE"""),44390.418230613424)</f>
        <v>44390.41823</v>
      </c>
      <c r="AI801" s="138"/>
      <c r="AJ801" s="138"/>
      <c r="AK801" s="138"/>
      <c r="AL801" s="142"/>
    </row>
    <row r="802" ht="20.25" customHeight="1">
      <c r="A802" s="155" t="str">
        <f>IFERROR(__xludf.DUMMYFUNCTION("""COMPUTED_VALUE"""),"Frank9425")</f>
        <v>Frank9425</v>
      </c>
      <c r="B802" s="149" t="str">
        <f>IFERROR(__xludf.DUMMYFUNCTION("""COMPUTED_VALUE"""),"Venice")</f>
        <v>Venice</v>
      </c>
      <c r="C802" s="149" t="str">
        <f>IFERROR(__xludf.DUMMYFUNCTION("""COMPUTED_VALUE"""),"FL")</f>
        <v>FL</v>
      </c>
      <c r="D802" s="149" t="str">
        <f>IFERROR(__xludf.DUMMYFUNCTION("""COMPUTED_VALUE"""),"USA")</f>
        <v>USA</v>
      </c>
      <c r="E802" s="156">
        <f>IFERROR(__xludf.DUMMYFUNCTION("""COMPUTED_VALUE"""),44308.0)</f>
        <v>44308</v>
      </c>
      <c r="F802" s="129">
        <f>IFERROR(__xludf.DUMMYFUNCTION("""COMPUTED_VALUE"""),44345.0)</f>
        <v>44345</v>
      </c>
      <c r="G802" s="154" t="str">
        <f>IFERROR(__xludf.DUMMYFUNCTION("""COMPUTED_VALUE"""),"Source code")</f>
        <v>Source code</v>
      </c>
      <c r="H802" s="131">
        <f>IFERROR(__xludf.DUMMYFUNCTION("""COMPUTED_VALUE"""),978055.0)</f>
        <v>978055</v>
      </c>
      <c r="I802" s="144" t="str">
        <f>IFERROR(__xludf.DUMMYFUNCTION("""COMPUTED_VALUE"""),"05/21")</f>
        <v>05/21</v>
      </c>
      <c r="J802" s="129">
        <f>IFERROR(__xludf.DUMMYFUNCTION("""COMPUTED_VALUE"""),44362.0)</f>
        <v>44362</v>
      </c>
      <c r="K802" s="133">
        <f>IFERROR(__xludf.DUMMYFUNCTION("""COMPUTED_VALUE"""),37.0)</f>
        <v>37</v>
      </c>
      <c r="L802" s="133">
        <f>IFERROR(__xludf.DUMMYFUNCTION("""COMPUTED_VALUE"""),17.0)</f>
        <v>17</v>
      </c>
      <c r="M802" s="133">
        <f>IFERROR(__xludf.DUMMYFUNCTION("""COMPUTED_VALUE"""),54.0)</f>
        <v>54</v>
      </c>
      <c r="N802" s="152" t="str">
        <f>IFERROR(__xludf.DUMMYFUNCTION("""COMPUTED_VALUE"""),"Model 3 SR+")</f>
        <v>Model 3 SR+</v>
      </c>
      <c r="O802" s="152" t="str">
        <f>IFERROR(__xludf.DUMMYFUNCTION("""COMPUTED_VALUE"""),"Deep Blue Metallic")</f>
        <v>Deep Blue Metallic</v>
      </c>
      <c r="P802" s="153" t="str">
        <f>IFERROR(__xludf.DUMMYFUNCTION("""COMPUTED_VALUE"""),"19 inch")</f>
        <v>19 inch</v>
      </c>
      <c r="Q802" s="152" t="str">
        <f>IFERROR(__xludf.DUMMYFUNCTION("""COMPUTED_VALUE"""),"Black and White")</f>
        <v>Black and White</v>
      </c>
      <c r="R802" s="149" t="str">
        <f>IFERROR(__xludf.DUMMYFUNCTION("""COMPUTED_VALUE"""),"Autopilot included")</f>
        <v>Autopilot included</v>
      </c>
      <c r="S802" s="149" t="str">
        <f>IFERROR(__xludf.DUMMYFUNCTION("""COMPUTED_VALUE"""),"Loan")</f>
        <v>Loan</v>
      </c>
      <c r="T802" s="145" t="str">
        <f>IFERROR(__xludf.DUMMYFUNCTION("""COMPUTED_VALUE"""),"Hyundai Ioniq")</f>
        <v>Hyundai Ioniq</v>
      </c>
      <c r="U802" s="145" t="str">
        <f>IFERROR(__xludf.DUMMYFUNCTION("""COMPUTED_VALUE"""),"Electric!")</f>
        <v>Electric!</v>
      </c>
      <c r="V802" s="145" t="str">
        <f>IFERROR(__xludf.DUMMYFUNCTION("""COMPUTED_VALUE"""),"Blind spot indicators on side mirrors")</f>
        <v>Blind spot indicators on side mirrors</v>
      </c>
      <c r="W802" s="145" t="str">
        <f>IFERROR(__xludf.DUMMYFUNCTION("""COMPUTED_VALUE"""),"White door panels and white dashboard came with my white seats.  I would have preferred the wood-style panels and dashboard.")</f>
        <v>White door panels and white dashboard came with my white seats.  I would have preferred the wood-style panels and dashboard.</v>
      </c>
      <c r="X802" s="137" t="str">
        <f>IFERROR(__xludf.DUMMYFUNCTION("""COMPUTED_VALUE"""),"Excellent")</f>
        <v>Excellent</v>
      </c>
      <c r="Y802" s="138" t="str">
        <f>IFERROR(__xludf.DUMMYFUNCTION("""COMPUTED_VALUE"""),"Excellent")</f>
        <v>Excellent</v>
      </c>
      <c r="Z802" s="138" t="str">
        <f>IFERROR(__xludf.DUMMYFUNCTION("""COMPUTED_VALUE"""),"Excellent")</f>
        <v>Excellent</v>
      </c>
      <c r="AA802" s="138" t="str">
        <f>IFERROR(__xludf.DUMMYFUNCTION("""COMPUTED_VALUE"""),"Excellent")</f>
        <v>Excellent</v>
      </c>
      <c r="AB802" s="138" t="str">
        <f>IFERROR(__xludf.DUMMYFUNCTION("""COMPUTED_VALUE"""),"Excellent")</f>
        <v>Excellent</v>
      </c>
      <c r="AC802" s="139">
        <f>IFERROR(__xludf.DUMMYFUNCTION("""COMPUTED_VALUE"""),0.0)</f>
        <v>0</v>
      </c>
      <c r="AD802" s="139">
        <f>IFERROR(__xludf.DUMMYFUNCTION("""COMPUTED_VALUE"""),0.0)</f>
        <v>0</v>
      </c>
      <c r="AE802" s="139">
        <f>IFERROR(__xludf.DUMMYFUNCTION("""COMPUTED_VALUE"""),0.0)</f>
        <v>0</v>
      </c>
      <c r="AF802" s="140" t="str">
        <f>IFERROR(__xludf.DUMMYFUNCTION("""COMPUTED_VALUE"""),"No. I took delivery of the first car Tesla was able to deliver.")</f>
        <v>No. I took delivery of the first car Tesla was able to deliver.</v>
      </c>
      <c r="AG802" s="145"/>
      <c r="AH802" s="157">
        <f>IFERROR(__xludf.DUMMYFUNCTION("""COMPUTED_VALUE"""),44364.88109851852)</f>
        <v>44364.8811</v>
      </c>
      <c r="AI802" s="138"/>
      <c r="AJ802" s="138"/>
      <c r="AK802" s="138"/>
      <c r="AL802" s="142"/>
    </row>
    <row r="803" ht="20.25" customHeight="1">
      <c r="A803" s="155" t="str">
        <f>IFERROR(__xludf.DUMMYFUNCTION("""COMPUTED_VALUE"""),"nails")</f>
        <v>nails</v>
      </c>
      <c r="B803" s="149" t="str">
        <f>IFERROR(__xludf.DUMMYFUNCTION("""COMPUTED_VALUE"""),"Littleton")</f>
        <v>Littleton</v>
      </c>
      <c r="C803" s="149" t="str">
        <f>IFERROR(__xludf.DUMMYFUNCTION("""COMPUTED_VALUE"""),"CO")</f>
        <v>CO</v>
      </c>
      <c r="D803" s="149" t="str">
        <f>IFERROR(__xludf.DUMMYFUNCTION("""COMPUTED_VALUE"""),"USA")</f>
        <v>USA</v>
      </c>
      <c r="E803" s="156">
        <f>IFERROR(__xludf.DUMMYFUNCTION("""COMPUTED_VALUE"""),44308.0)</f>
        <v>44308</v>
      </c>
      <c r="F803" s="129">
        <f>IFERROR(__xludf.DUMMYFUNCTION("""COMPUTED_VALUE"""),44367.0)</f>
        <v>44367</v>
      </c>
      <c r="G803" s="154" t="str">
        <f>IFERROR(__xludf.DUMMYFUNCTION("""COMPUTED_VALUE"""),"Manage order page (normal text)")</f>
        <v>Manage order page (normal text)</v>
      </c>
      <c r="H803" s="131">
        <f>IFERROR(__xludf.DUMMYFUNCTION("""COMPUTED_VALUE"""),997955.0)</f>
        <v>997955</v>
      </c>
      <c r="I803" s="144"/>
      <c r="J803" s="129">
        <f>IFERROR(__xludf.DUMMYFUNCTION("""COMPUTED_VALUE"""),44371.0)</f>
        <v>44371</v>
      </c>
      <c r="K803" s="133">
        <f>IFERROR(__xludf.DUMMYFUNCTION("""COMPUTED_VALUE"""),59.0)</f>
        <v>59</v>
      </c>
      <c r="L803" s="133">
        <f>IFERROR(__xludf.DUMMYFUNCTION("""COMPUTED_VALUE"""),4.0)</f>
        <v>4</v>
      </c>
      <c r="M803" s="133">
        <f>IFERROR(__xludf.DUMMYFUNCTION("""COMPUTED_VALUE"""),63.0)</f>
        <v>63</v>
      </c>
      <c r="N803" s="152" t="str">
        <f>IFERROR(__xludf.DUMMYFUNCTION("""COMPUTED_VALUE"""),"Model 3 LR AWD")</f>
        <v>Model 3 LR AWD</v>
      </c>
      <c r="O803" s="152" t="str">
        <f>IFERROR(__xludf.DUMMYFUNCTION("""COMPUTED_VALUE"""),"Pearl White Multi-Coat")</f>
        <v>Pearl White Multi-Coat</v>
      </c>
      <c r="P803" s="153" t="str">
        <f>IFERROR(__xludf.DUMMYFUNCTION("""COMPUTED_VALUE"""),"18 inch")</f>
        <v>18 inch</v>
      </c>
      <c r="Q803" s="152" t="str">
        <f>IFERROR(__xludf.DUMMYFUNCTION("""COMPUTED_VALUE"""),"All Black")</f>
        <v>All Black</v>
      </c>
      <c r="R803" s="149" t="str">
        <f>IFERROR(__xludf.DUMMYFUNCTION("""COMPUTED_VALUE"""),"Autopilot included")</f>
        <v>Autopilot included</v>
      </c>
      <c r="S803" s="149" t="str">
        <f>IFERROR(__xludf.DUMMYFUNCTION("""COMPUTED_VALUE"""),"Loan")</f>
        <v>Loan</v>
      </c>
      <c r="T803" s="145" t="str">
        <f>IFERROR(__xludf.DUMMYFUNCTION("""COMPUTED_VALUE"""),"Honda CRV")</f>
        <v>Honda CRV</v>
      </c>
      <c r="U803" s="145" t="str">
        <f>IFERROR(__xludf.DUMMYFUNCTION("""COMPUTED_VALUE"""),"Tesla brand image")</f>
        <v>Tesla brand image</v>
      </c>
      <c r="V803" s="145" t="str">
        <f>IFERROR(__xludf.DUMMYFUNCTION("""COMPUTED_VALUE"""),"Higher Density Battery")</f>
        <v>Higher Density Battery</v>
      </c>
      <c r="W803" s="145"/>
      <c r="X803" s="137" t="str">
        <f>IFERROR(__xludf.DUMMYFUNCTION("""COMPUTED_VALUE"""),"Excellent")</f>
        <v>Excellent</v>
      </c>
      <c r="Y803" s="138" t="str">
        <f>IFERROR(__xludf.DUMMYFUNCTION("""COMPUTED_VALUE"""),"Excellent")</f>
        <v>Excellent</v>
      </c>
      <c r="Z803" s="138" t="str">
        <f>IFERROR(__xludf.DUMMYFUNCTION("""COMPUTED_VALUE"""),"Excellent")</f>
        <v>Excellent</v>
      </c>
      <c r="AA803" s="138" t="str">
        <f>IFERROR(__xludf.DUMMYFUNCTION("""COMPUTED_VALUE"""),"Poor")</f>
        <v>Poor</v>
      </c>
      <c r="AB803" s="138" t="str">
        <f>IFERROR(__xludf.DUMMYFUNCTION("""COMPUTED_VALUE"""),"Excellent")</f>
        <v>Excellent</v>
      </c>
      <c r="AC803" s="139">
        <f>IFERROR(__xludf.DUMMYFUNCTION("""COMPUTED_VALUE"""),2.0)</f>
        <v>2</v>
      </c>
      <c r="AD803" s="139"/>
      <c r="AE803" s="139"/>
      <c r="AF803" s="140" t="str">
        <f>IFERROR(__xludf.DUMMYFUNCTION("""COMPUTED_VALUE"""),"No. I took delivery of the first car Tesla was able to deliver.")</f>
        <v>No. I took delivery of the first car Tesla was able to deliver.</v>
      </c>
      <c r="AG803" s="145"/>
      <c r="AH803" s="157">
        <f>IFERROR(__xludf.DUMMYFUNCTION("""COMPUTED_VALUE"""),44374.35168197916)</f>
        <v>44374.35168</v>
      </c>
      <c r="AI803" s="138"/>
      <c r="AJ803" s="138"/>
      <c r="AK803" s="138"/>
      <c r="AL803" s="142"/>
    </row>
    <row r="804" ht="20.25" customHeight="1">
      <c r="A804" s="155" t="str">
        <f>IFERROR(__xludf.DUMMYFUNCTION("""COMPUTED_VALUE"""),"SJTESLA408")</f>
        <v>SJTESLA408</v>
      </c>
      <c r="B804" s="149" t="str">
        <f>IFERROR(__xludf.DUMMYFUNCTION("""COMPUTED_VALUE"""),"San Jose ")</f>
        <v>San Jose </v>
      </c>
      <c r="C804" s="149" t="str">
        <f>IFERROR(__xludf.DUMMYFUNCTION("""COMPUTED_VALUE"""),"CA")</f>
        <v>CA</v>
      </c>
      <c r="D804" s="149" t="str">
        <f>IFERROR(__xludf.DUMMYFUNCTION("""COMPUTED_VALUE"""),"USA")</f>
        <v>USA</v>
      </c>
      <c r="E804" s="156">
        <f>IFERROR(__xludf.DUMMYFUNCTION("""COMPUTED_VALUE"""),44308.0)</f>
        <v>44308</v>
      </c>
      <c r="F804" s="129">
        <f>IFERROR(__xludf.DUMMYFUNCTION("""COMPUTED_VALUE"""),44372.0)</f>
        <v>44372</v>
      </c>
      <c r="G804" s="154" t="str">
        <f>IFERROR(__xludf.DUMMYFUNCTION("""COMPUTED_VALUE"""),"Email")</f>
        <v>Email</v>
      </c>
      <c r="H804" s="131"/>
      <c r="I804" s="144"/>
      <c r="J804" s="129">
        <f>IFERROR(__xludf.DUMMYFUNCTION("""COMPUTED_VALUE"""),44372.0)</f>
        <v>44372</v>
      </c>
      <c r="K804" s="133">
        <f>IFERROR(__xludf.DUMMYFUNCTION("""COMPUTED_VALUE"""),64.0)</f>
        <v>64</v>
      </c>
      <c r="L804" s="133">
        <f>IFERROR(__xludf.DUMMYFUNCTION("""COMPUTED_VALUE"""),0.0)</f>
        <v>0</v>
      </c>
      <c r="M804" s="133">
        <f>IFERROR(__xludf.DUMMYFUNCTION("""COMPUTED_VALUE"""),64.0)</f>
        <v>64</v>
      </c>
      <c r="N804" s="152" t="str">
        <f>IFERROR(__xludf.DUMMYFUNCTION("""COMPUTED_VALUE"""),"Model 3 SR+")</f>
        <v>Model 3 SR+</v>
      </c>
      <c r="O804" s="152" t="str">
        <f>IFERROR(__xludf.DUMMYFUNCTION("""COMPUTED_VALUE"""),"Pearl White Multi-Coat")</f>
        <v>Pearl White Multi-Coat</v>
      </c>
      <c r="P804" s="153" t="str">
        <f>IFERROR(__xludf.DUMMYFUNCTION("""COMPUTED_VALUE"""),"18 inch")</f>
        <v>18 inch</v>
      </c>
      <c r="Q804" s="152" t="str">
        <f>IFERROR(__xludf.DUMMYFUNCTION("""COMPUTED_VALUE"""),"All Black")</f>
        <v>All Black</v>
      </c>
      <c r="R804" s="149" t="str">
        <f>IFERROR(__xludf.DUMMYFUNCTION("""COMPUTED_VALUE"""),"Autopilot included")</f>
        <v>Autopilot included</v>
      </c>
      <c r="S804" s="149" t="str">
        <f>IFERROR(__xludf.DUMMYFUNCTION("""COMPUTED_VALUE"""),"Cash")</f>
        <v>Cash</v>
      </c>
      <c r="T804" s="145" t="str">
        <f>IFERROR(__xludf.DUMMYFUNCTION("""COMPUTED_VALUE"""),"Honda Accord")</f>
        <v>Honda Accord</v>
      </c>
      <c r="U804" s="145" t="str">
        <f>IFERROR(__xludf.DUMMYFUNCTION("""COMPUTED_VALUE"""),"Electric!")</f>
        <v>Electric!</v>
      </c>
      <c r="V804" s="145" t="str">
        <f>IFERROR(__xludf.DUMMYFUNCTION("""COMPUTED_VALUE"""),"Apple CarPlay / Android Auto / SiriusXM Radio")</f>
        <v>Apple CarPlay / Android Auto / SiriusXM Radio</v>
      </c>
      <c r="W804" s="145"/>
      <c r="X804" s="137" t="str">
        <f>IFERROR(__xludf.DUMMYFUNCTION("""COMPUTED_VALUE"""),"Excellent")</f>
        <v>Excellent</v>
      </c>
      <c r="Y804" s="138" t="str">
        <f>IFERROR(__xludf.DUMMYFUNCTION("""COMPUTED_VALUE"""),"Excellent")</f>
        <v>Excellent</v>
      </c>
      <c r="Z804" s="138" t="str">
        <f>IFERROR(__xludf.DUMMYFUNCTION("""COMPUTED_VALUE"""),"Excellent")</f>
        <v>Excellent</v>
      </c>
      <c r="AA804" s="138" t="str">
        <f>IFERROR(__xludf.DUMMYFUNCTION("""COMPUTED_VALUE"""),"Excellent")</f>
        <v>Excellent</v>
      </c>
      <c r="AB804" s="138" t="str">
        <f>IFERROR(__xludf.DUMMYFUNCTION("""COMPUTED_VALUE"""),"Excellent")</f>
        <v>Excellent</v>
      </c>
      <c r="AC804" s="139"/>
      <c r="AD804" s="139"/>
      <c r="AE804" s="139"/>
      <c r="AF804" s="140"/>
      <c r="AG804" s="145"/>
      <c r="AH804" s="157">
        <f>IFERROR(__xludf.DUMMYFUNCTION("""COMPUTED_VALUE"""),44373.27189203704)</f>
        <v>44373.27189</v>
      </c>
      <c r="AI804" s="138"/>
      <c r="AJ804" s="138"/>
      <c r="AK804" s="138"/>
      <c r="AL804" s="142"/>
    </row>
    <row r="805" ht="20.25" customHeight="1">
      <c r="A805" s="155" t="str">
        <f>IFERROR(__xludf.DUMMYFUNCTION("""COMPUTED_VALUE"""),"Rpayton")</f>
        <v>Rpayton</v>
      </c>
      <c r="B805" s="149" t="str">
        <f>IFERROR(__xludf.DUMMYFUNCTION("""COMPUTED_VALUE"""),"Almo")</f>
        <v>Almo</v>
      </c>
      <c r="C805" s="149" t="str">
        <f>IFERROR(__xludf.DUMMYFUNCTION("""COMPUTED_VALUE"""),"KY")</f>
        <v>KY</v>
      </c>
      <c r="D805" s="149" t="str">
        <f>IFERROR(__xludf.DUMMYFUNCTION("""COMPUTED_VALUE"""),"USA")</f>
        <v>USA</v>
      </c>
      <c r="E805" s="156">
        <f>IFERROR(__xludf.DUMMYFUNCTION("""COMPUTED_VALUE"""),44307.0)</f>
        <v>44307</v>
      </c>
      <c r="F805" s="129">
        <f>IFERROR(__xludf.DUMMYFUNCTION("""COMPUTED_VALUE"""),44345.0)</f>
        <v>44345</v>
      </c>
      <c r="G805" s="154" t="str">
        <f>IFERROR(__xludf.DUMMYFUNCTION("""COMPUTED_VALUE"""),"Manage order page (normal text)")</f>
        <v>Manage order page (normal text)</v>
      </c>
      <c r="H805" s="131">
        <f>IFERROR(__xludf.DUMMYFUNCTION("""COMPUTED_VALUE"""),977455.0)</f>
        <v>977455</v>
      </c>
      <c r="I805" s="144" t="str">
        <f>IFERROR(__xludf.DUMMYFUNCTION("""COMPUTED_VALUE"""),"05/21")</f>
        <v>05/21</v>
      </c>
      <c r="J805" s="129">
        <f>IFERROR(__xludf.DUMMYFUNCTION("""COMPUTED_VALUE"""),44357.0)</f>
        <v>44357</v>
      </c>
      <c r="K805" s="133">
        <f>IFERROR(__xludf.DUMMYFUNCTION("""COMPUTED_VALUE"""),38.0)</f>
        <v>38</v>
      </c>
      <c r="L805" s="133">
        <f>IFERROR(__xludf.DUMMYFUNCTION("""COMPUTED_VALUE"""),12.0)</f>
        <v>12</v>
      </c>
      <c r="M805" s="133">
        <f>IFERROR(__xludf.DUMMYFUNCTION("""COMPUTED_VALUE"""),50.0)</f>
        <v>50</v>
      </c>
      <c r="N805" s="152" t="str">
        <f>IFERROR(__xludf.DUMMYFUNCTION("""COMPUTED_VALUE"""),"Model 3 SR+")</f>
        <v>Model 3 SR+</v>
      </c>
      <c r="O805" s="152" t="str">
        <f>IFERROR(__xludf.DUMMYFUNCTION("""COMPUTED_VALUE"""),"Pearl White Multi-Coat")</f>
        <v>Pearl White Multi-Coat</v>
      </c>
      <c r="P805" s="153" t="str">
        <f>IFERROR(__xludf.DUMMYFUNCTION("""COMPUTED_VALUE"""),"18 inch")</f>
        <v>18 inch</v>
      </c>
      <c r="Q805" s="152" t="str">
        <f>IFERROR(__xludf.DUMMYFUNCTION("""COMPUTED_VALUE"""),"All Black")</f>
        <v>All Black</v>
      </c>
      <c r="R805" s="149" t="str">
        <f>IFERROR(__xludf.DUMMYFUNCTION("""COMPUTED_VALUE"""),"Autopilot included")</f>
        <v>Autopilot included</v>
      </c>
      <c r="S805" s="149" t="str">
        <f>IFERROR(__xludf.DUMMYFUNCTION("""COMPUTED_VALUE"""),"Loan")</f>
        <v>Loan</v>
      </c>
      <c r="T805" s="145" t="str">
        <f>IFERROR(__xludf.DUMMYFUNCTION("""COMPUTED_VALUE"""),"Toyota Camry")</f>
        <v>Toyota Camry</v>
      </c>
      <c r="U805" s="145" t="str">
        <f>IFERROR(__xludf.DUMMYFUNCTION("""COMPUTED_VALUE"""),"Electric!")</f>
        <v>Electric!</v>
      </c>
      <c r="V805" s="145" t="str">
        <f>IFERROR(__xludf.DUMMYFUNCTION("""COMPUTED_VALUE"""),"Apple CarPlay / Android Auto / SiriusXM Radio")</f>
        <v>Apple CarPlay / Android Auto / SiriusXM Radio</v>
      </c>
      <c r="W805" s="145" t="str">
        <f>IFERROR(__xludf.DUMMYFUNCTION("""COMPUTED_VALUE"""),"Be patient ")</f>
        <v>Be patient </v>
      </c>
      <c r="X805" s="137" t="str">
        <f>IFERROR(__xludf.DUMMYFUNCTION("""COMPUTED_VALUE"""),"Excellent")</f>
        <v>Excellent</v>
      </c>
      <c r="Y805" s="138" t="str">
        <f>IFERROR(__xludf.DUMMYFUNCTION("""COMPUTED_VALUE"""),"Excellent")</f>
        <v>Excellent</v>
      </c>
      <c r="Z805" s="138" t="str">
        <f>IFERROR(__xludf.DUMMYFUNCTION("""COMPUTED_VALUE"""),"Excellent")</f>
        <v>Excellent</v>
      </c>
      <c r="AA805" s="138" t="str">
        <f>IFERROR(__xludf.DUMMYFUNCTION("""COMPUTED_VALUE"""),"Very Good")</f>
        <v>Very Good</v>
      </c>
      <c r="AB805" s="138" t="str">
        <f>IFERROR(__xludf.DUMMYFUNCTION("""COMPUTED_VALUE"""),"Very Good")</f>
        <v>Very Good</v>
      </c>
      <c r="AC805" s="139"/>
      <c r="AD805" s="139"/>
      <c r="AE805" s="139"/>
      <c r="AF805" s="140" t="str">
        <f>IFERROR(__xludf.DUMMYFUNCTION("""COMPUTED_VALUE"""),"No. I took delivery of the first car Tesla was able to deliver.")</f>
        <v>No. I took delivery of the first car Tesla was able to deliver.</v>
      </c>
      <c r="AG805" s="145"/>
      <c r="AH805" s="157">
        <f>IFERROR(__xludf.DUMMYFUNCTION("""COMPUTED_VALUE"""),44357.64998027778)</f>
        <v>44357.64998</v>
      </c>
      <c r="AI805" s="138"/>
      <c r="AJ805" s="138"/>
      <c r="AK805" s="138"/>
      <c r="AL805" s="142"/>
    </row>
    <row r="806" ht="20.25" customHeight="1">
      <c r="A806" s="155" t="str">
        <f>IFERROR(__xludf.DUMMYFUNCTION("""COMPUTED_VALUE"""),"AlexO")</f>
        <v>AlexO</v>
      </c>
      <c r="B806" s="149" t="str">
        <f>IFERROR(__xludf.DUMMYFUNCTION("""COMPUTED_VALUE"""),"Montreal")</f>
        <v>Montreal</v>
      </c>
      <c r="C806" s="149" t="str">
        <f>IFERROR(__xludf.DUMMYFUNCTION("""COMPUTED_VALUE"""),"QC")</f>
        <v>QC</v>
      </c>
      <c r="D806" s="149" t="str">
        <f>IFERROR(__xludf.DUMMYFUNCTION("""COMPUTED_VALUE"""),"Canada")</f>
        <v>Canada</v>
      </c>
      <c r="E806" s="156">
        <f>IFERROR(__xludf.DUMMYFUNCTION("""COMPUTED_VALUE"""),44306.0)</f>
        <v>44306</v>
      </c>
      <c r="F806" s="129">
        <f>IFERROR(__xludf.DUMMYFUNCTION("""COMPUTED_VALUE"""),44347.0)</f>
        <v>44347</v>
      </c>
      <c r="G806" s="154" t="str">
        <f>IFERROR(__xludf.DUMMYFUNCTION("""COMPUTED_VALUE"""),"Source code")</f>
        <v>Source code</v>
      </c>
      <c r="H806" s="131">
        <f>IFERROR(__xludf.DUMMYFUNCTION("""COMPUTED_VALUE"""),982255.0)</f>
        <v>982255</v>
      </c>
      <c r="I806" s="144" t="str">
        <f>IFERROR(__xludf.DUMMYFUNCTION("""COMPUTED_VALUE"""),"05/21")</f>
        <v>05/21</v>
      </c>
      <c r="J806" s="129">
        <f>IFERROR(__xludf.DUMMYFUNCTION("""COMPUTED_VALUE"""),44358.0)</f>
        <v>44358</v>
      </c>
      <c r="K806" s="133">
        <f>IFERROR(__xludf.DUMMYFUNCTION("""COMPUTED_VALUE"""),41.0)</f>
        <v>41</v>
      </c>
      <c r="L806" s="133">
        <f>IFERROR(__xludf.DUMMYFUNCTION("""COMPUTED_VALUE"""),11.0)</f>
        <v>11</v>
      </c>
      <c r="M806" s="133">
        <f>IFERROR(__xludf.DUMMYFUNCTION("""COMPUTED_VALUE"""),52.0)</f>
        <v>52</v>
      </c>
      <c r="N806" s="152" t="str">
        <f>IFERROR(__xludf.DUMMYFUNCTION("""COMPUTED_VALUE"""),"Model 3 SR+")</f>
        <v>Model 3 SR+</v>
      </c>
      <c r="O806" s="152" t="str">
        <f>IFERROR(__xludf.DUMMYFUNCTION("""COMPUTED_VALUE"""),"Pearl White Multi-Coat")</f>
        <v>Pearl White Multi-Coat</v>
      </c>
      <c r="P806" s="153" t="str">
        <f>IFERROR(__xludf.DUMMYFUNCTION("""COMPUTED_VALUE"""),"18 inch")</f>
        <v>18 inch</v>
      </c>
      <c r="Q806" s="152" t="str">
        <f>IFERROR(__xludf.DUMMYFUNCTION("""COMPUTED_VALUE"""),"All Black")</f>
        <v>All Black</v>
      </c>
      <c r="R806" s="149" t="str">
        <f>IFERROR(__xludf.DUMMYFUNCTION("""COMPUTED_VALUE"""),"Autopilot included")</f>
        <v>Autopilot included</v>
      </c>
      <c r="S806" s="149" t="str">
        <f>IFERROR(__xludf.DUMMYFUNCTION("""COMPUTED_VALUE"""),"Loan")</f>
        <v>Loan</v>
      </c>
      <c r="T806" s="145" t="str">
        <f>IFERROR(__xludf.DUMMYFUNCTION("""COMPUTED_VALUE"""),"Honda Fit")</f>
        <v>Honda Fit</v>
      </c>
      <c r="U806" s="145" t="str">
        <f>IFERROR(__xludf.DUMMYFUNCTION("""COMPUTED_VALUE"""),"Electric!")</f>
        <v>Electric!</v>
      </c>
      <c r="V806" s="145" t="str">
        <f>IFERROR(__xludf.DUMMYFUNCTION("""COMPUTED_VALUE"""),"Apple CarPlay / Android Auto / SiriusXM Radio")</f>
        <v>Apple CarPlay / Android Auto / SiriusXM Radio</v>
      </c>
      <c r="W806" s="145"/>
      <c r="X806" s="137" t="str">
        <f>IFERROR(__xludf.DUMMYFUNCTION("""COMPUTED_VALUE"""),"Excellent")</f>
        <v>Excellent</v>
      </c>
      <c r="Y806" s="138" t="str">
        <f>IFERROR(__xludf.DUMMYFUNCTION("""COMPUTED_VALUE"""),"Fair")</f>
        <v>Fair</v>
      </c>
      <c r="Z806" s="138" t="str">
        <f>IFERROR(__xludf.DUMMYFUNCTION("""COMPUTED_VALUE"""),"Excellent")</f>
        <v>Excellent</v>
      </c>
      <c r="AA806" s="138" t="str">
        <f>IFERROR(__xludf.DUMMYFUNCTION("""COMPUTED_VALUE"""),"Good")</f>
        <v>Good</v>
      </c>
      <c r="AB806" s="138" t="str">
        <f>IFERROR(__xludf.DUMMYFUNCTION("""COMPUTED_VALUE"""),"Very Good")</f>
        <v>Very Good</v>
      </c>
      <c r="AC806" s="139">
        <f>IFERROR(__xludf.DUMMYFUNCTION("""COMPUTED_VALUE"""),1.0)</f>
        <v>1</v>
      </c>
      <c r="AD806" s="139"/>
      <c r="AE806" s="139"/>
      <c r="AF806" s="140" t="str">
        <f>IFERROR(__xludf.DUMMYFUNCTION("""COMPUTED_VALUE"""),"No. I took delivery of the first car Tesla was able to deliver.")</f>
        <v>No. I took delivery of the first car Tesla was able to deliver.</v>
      </c>
      <c r="AG806" s="145"/>
      <c r="AH806" s="157">
        <f>IFERROR(__xludf.DUMMYFUNCTION("""COMPUTED_VALUE"""),44363.22446471065)</f>
        <v>44363.22446</v>
      </c>
      <c r="AI806" s="138"/>
      <c r="AJ806" s="138"/>
      <c r="AK806" s="138"/>
      <c r="AL806" s="142"/>
    </row>
    <row r="807" ht="20.25" customHeight="1">
      <c r="A807" s="155" t="str">
        <f>IFERROR(__xludf.DUMMYFUNCTION("""COMPUTED_VALUE"""),"CyberDrunk2069")</f>
        <v>CyberDrunk2069</v>
      </c>
      <c r="B807" s="149" t="str">
        <f>IFERROR(__xludf.DUMMYFUNCTION("""COMPUTED_VALUE"""),"Seattle")</f>
        <v>Seattle</v>
      </c>
      <c r="C807" s="149" t="str">
        <f>IFERROR(__xludf.DUMMYFUNCTION("""COMPUTED_VALUE"""),"WA")</f>
        <v>WA</v>
      </c>
      <c r="D807" s="149" t="str">
        <f>IFERROR(__xludf.DUMMYFUNCTION("""COMPUTED_VALUE"""),"USA")</f>
        <v>USA</v>
      </c>
      <c r="E807" s="156">
        <f>IFERROR(__xludf.DUMMYFUNCTION("""COMPUTED_VALUE"""),44306.0)</f>
        <v>44306</v>
      </c>
      <c r="F807" s="129">
        <f>IFERROR(__xludf.DUMMYFUNCTION("""COMPUTED_VALUE"""),44366.0)</f>
        <v>44366</v>
      </c>
      <c r="G807" s="154" t="str">
        <f>IFERROR(__xludf.DUMMYFUNCTION("""COMPUTED_VALUE"""),"Manage order page (normal text)")</f>
        <v>Manage order page (normal text)</v>
      </c>
      <c r="H807" s="131">
        <f>IFERROR(__xludf.DUMMYFUNCTION("""COMPUTED_VALUE"""),999096.0)</f>
        <v>999096</v>
      </c>
      <c r="I807" s="144" t="str">
        <f>IFERROR(__xludf.DUMMYFUNCTION("""COMPUTED_VALUE"""),"06/21")</f>
        <v>06/21</v>
      </c>
      <c r="J807" s="129">
        <f>IFERROR(__xludf.DUMMYFUNCTION("""COMPUTED_VALUE"""),44367.0)</f>
        <v>44367</v>
      </c>
      <c r="K807" s="133">
        <f>IFERROR(__xludf.DUMMYFUNCTION("""COMPUTED_VALUE"""),60.0)</f>
        <v>60</v>
      </c>
      <c r="L807" s="133">
        <f>IFERROR(__xludf.DUMMYFUNCTION("""COMPUTED_VALUE"""),1.0)</f>
        <v>1</v>
      </c>
      <c r="M807" s="133">
        <f>IFERROR(__xludf.DUMMYFUNCTION("""COMPUTED_VALUE"""),61.0)</f>
        <v>61</v>
      </c>
      <c r="N807" s="152" t="str">
        <f>IFERROR(__xludf.DUMMYFUNCTION("""COMPUTED_VALUE"""),"Model 3 LR AWD")</f>
        <v>Model 3 LR AWD</v>
      </c>
      <c r="O807" s="152" t="str">
        <f>IFERROR(__xludf.DUMMYFUNCTION("""COMPUTED_VALUE"""),"Solid Black")</f>
        <v>Solid Black</v>
      </c>
      <c r="P807" s="153" t="str">
        <f>IFERROR(__xludf.DUMMYFUNCTION("""COMPUTED_VALUE"""),"18 inch")</f>
        <v>18 inch</v>
      </c>
      <c r="Q807" s="152" t="str">
        <f>IFERROR(__xludf.DUMMYFUNCTION("""COMPUTED_VALUE"""),"All Black")</f>
        <v>All Black</v>
      </c>
      <c r="R807" s="149" t="str">
        <f>IFERROR(__xludf.DUMMYFUNCTION("""COMPUTED_VALUE"""),"Autopilot included")</f>
        <v>Autopilot included</v>
      </c>
      <c r="S807" s="149" t="str">
        <f>IFERROR(__xludf.DUMMYFUNCTION("""COMPUTED_VALUE"""),"Loan")</f>
        <v>Loan</v>
      </c>
      <c r="T807" s="145" t="str">
        <f>IFERROR(__xludf.DUMMYFUNCTION("""COMPUTED_VALUE"""),"Toyota 4Runner")</f>
        <v>Toyota 4Runner</v>
      </c>
      <c r="U807" s="145" t="str">
        <f>IFERROR(__xludf.DUMMYFUNCTION("""COMPUTED_VALUE"""),"Electric!")</f>
        <v>Electric!</v>
      </c>
      <c r="V807" s="145" t="str">
        <f>IFERROR(__xludf.DUMMYFUNCTION("""COMPUTED_VALUE"""),"Ventilated seats")</f>
        <v>Ventilated seats</v>
      </c>
      <c r="W807" s="145"/>
      <c r="X807" s="137" t="str">
        <f>IFERROR(__xludf.DUMMYFUNCTION("""COMPUTED_VALUE"""),"Very Good")</f>
        <v>Very Good</v>
      </c>
      <c r="Y807" s="138" t="str">
        <f>IFERROR(__xludf.DUMMYFUNCTION("""COMPUTED_VALUE"""),"Very Good")</f>
        <v>Very Good</v>
      </c>
      <c r="Z807" s="138" t="str">
        <f>IFERROR(__xludf.DUMMYFUNCTION("""COMPUTED_VALUE"""),"Good")</f>
        <v>Good</v>
      </c>
      <c r="AA807" s="138" t="str">
        <f>IFERROR(__xludf.DUMMYFUNCTION("""COMPUTED_VALUE"""),"Very Good")</f>
        <v>Very Good</v>
      </c>
      <c r="AB807" s="138" t="str">
        <f>IFERROR(__xludf.DUMMYFUNCTION("""COMPUTED_VALUE"""),"Good")</f>
        <v>Good</v>
      </c>
      <c r="AC807" s="139">
        <f>IFERROR(__xludf.DUMMYFUNCTION("""COMPUTED_VALUE"""),2.0)</f>
        <v>2</v>
      </c>
      <c r="AD807" s="139">
        <f>IFERROR(__xludf.DUMMYFUNCTION("""COMPUTED_VALUE"""),1.0)</f>
        <v>1</v>
      </c>
      <c r="AE807" s="139"/>
      <c r="AF807" s="140" t="str">
        <f>IFERROR(__xludf.DUMMYFUNCTION("""COMPUTED_VALUE"""),"No. I took delivery of the first car Tesla was able to deliver.")</f>
        <v>No. I took delivery of the first car Tesla was able to deliver.</v>
      </c>
      <c r="AG807" s="145"/>
      <c r="AH807" s="157">
        <f>IFERROR(__xludf.DUMMYFUNCTION("""COMPUTED_VALUE"""),44371.77672715278)</f>
        <v>44371.77673</v>
      </c>
      <c r="AI807" s="138"/>
      <c r="AJ807" s="138"/>
      <c r="AK807" s="138"/>
      <c r="AL807" s="142"/>
    </row>
    <row r="808" ht="20.25" customHeight="1">
      <c r="A808" s="155" t="str">
        <f>IFERROR(__xludf.DUMMYFUNCTION("""COMPUTED_VALUE"""),"sonrantos")</f>
        <v>sonrantos</v>
      </c>
      <c r="B808" s="149" t="str">
        <f>IFERROR(__xludf.DUMMYFUNCTION("""COMPUTED_VALUE"""),"Surrey")</f>
        <v>Surrey</v>
      </c>
      <c r="C808" s="149" t="str">
        <f>IFERROR(__xludf.DUMMYFUNCTION("""COMPUTED_VALUE"""),"BC")</f>
        <v>BC</v>
      </c>
      <c r="D808" s="149" t="str">
        <f>IFERROR(__xludf.DUMMYFUNCTION("""COMPUTED_VALUE"""),"Canada")</f>
        <v>Canada</v>
      </c>
      <c r="E808" s="156">
        <f>IFERROR(__xludf.DUMMYFUNCTION("""COMPUTED_VALUE"""),44306.0)</f>
        <v>44306</v>
      </c>
      <c r="F808" s="129">
        <f>IFERROR(__xludf.DUMMYFUNCTION("""COMPUTED_VALUE"""),44355.0)</f>
        <v>44355</v>
      </c>
      <c r="G808" s="154" t="str">
        <f>IFERROR(__xludf.DUMMYFUNCTION("""COMPUTED_VALUE"""),"Source code")</f>
        <v>Source code</v>
      </c>
      <c r="H808" s="131">
        <f>IFERROR(__xludf.DUMMYFUNCTION("""COMPUTED_VALUE"""),987955.0)</f>
        <v>987955</v>
      </c>
      <c r="I808" s="144" t="str">
        <f>IFERROR(__xludf.DUMMYFUNCTION("""COMPUTED_VALUE"""),"06/21")</f>
        <v>06/21</v>
      </c>
      <c r="J808" s="129">
        <f>IFERROR(__xludf.DUMMYFUNCTION("""COMPUTED_VALUE"""),44359.0)</f>
        <v>44359</v>
      </c>
      <c r="K808" s="133">
        <f>IFERROR(__xludf.DUMMYFUNCTION("""COMPUTED_VALUE"""),49.0)</f>
        <v>49</v>
      </c>
      <c r="L808" s="133">
        <f>IFERROR(__xludf.DUMMYFUNCTION("""COMPUTED_VALUE"""),4.0)</f>
        <v>4</v>
      </c>
      <c r="M808" s="133">
        <f>IFERROR(__xludf.DUMMYFUNCTION("""COMPUTED_VALUE"""),53.0)</f>
        <v>53</v>
      </c>
      <c r="N808" s="152" t="str">
        <f>IFERROR(__xludf.DUMMYFUNCTION("""COMPUTED_VALUE"""),"Model 3 LR AWD")</f>
        <v>Model 3 LR AWD</v>
      </c>
      <c r="O808" s="152" t="str">
        <f>IFERROR(__xludf.DUMMYFUNCTION("""COMPUTED_VALUE"""),"Midnight Silver Metallic")</f>
        <v>Midnight Silver Metallic</v>
      </c>
      <c r="P808" s="153" t="str">
        <f>IFERROR(__xludf.DUMMYFUNCTION("""COMPUTED_VALUE"""),"18 inch")</f>
        <v>18 inch</v>
      </c>
      <c r="Q808" s="152" t="str">
        <f>IFERROR(__xludf.DUMMYFUNCTION("""COMPUTED_VALUE"""),"All Black")</f>
        <v>All Black</v>
      </c>
      <c r="R808" s="149" t="str">
        <f>IFERROR(__xludf.DUMMYFUNCTION("""COMPUTED_VALUE"""),"Autopilot included")</f>
        <v>Autopilot included</v>
      </c>
      <c r="S808" s="149" t="str">
        <f>IFERROR(__xludf.DUMMYFUNCTION("""COMPUTED_VALUE"""),"Loan")</f>
        <v>Loan</v>
      </c>
      <c r="T808" s="145"/>
      <c r="U808" s="145" t="str">
        <f>IFERROR(__xludf.DUMMYFUNCTION("""COMPUTED_VALUE"""),"Electric!")</f>
        <v>Electric!</v>
      </c>
      <c r="V808" s="145" t="str">
        <f>IFERROR(__xludf.DUMMYFUNCTION("""COMPUTED_VALUE"""),"Apple CarPlay / Android Auto / SiriusXM Radio")</f>
        <v>Apple CarPlay / Android Auto / SiriusXM Radio</v>
      </c>
      <c r="W808" s="145"/>
      <c r="X808" s="137" t="str">
        <f>IFERROR(__xludf.DUMMYFUNCTION("""COMPUTED_VALUE"""),"Excellent")</f>
        <v>Excellent</v>
      </c>
      <c r="Y808" s="138" t="str">
        <f>IFERROR(__xludf.DUMMYFUNCTION("""COMPUTED_VALUE"""),"Excellent")</f>
        <v>Excellent</v>
      </c>
      <c r="Z808" s="138" t="str">
        <f>IFERROR(__xludf.DUMMYFUNCTION("""COMPUTED_VALUE"""),"Good")</f>
        <v>Good</v>
      </c>
      <c r="AA808" s="138" t="str">
        <f>IFERROR(__xludf.DUMMYFUNCTION("""COMPUTED_VALUE"""),"Excellent")</f>
        <v>Excellent</v>
      </c>
      <c r="AB808" s="138" t="str">
        <f>IFERROR(__xludf.DUMMYFUNCTION("""COMPUTED_VALUE"""),"Excellent")</f>
        <v>Excellent</v>
      </c>
      <c r="AC808" s="139">
        <f>IFERROR(__xludf.DUMMYFUNCTION("""COMPUTED_VALUE"""),2.0)</f>
        <v>2</v>
      </c>
      <c r="AD808" s="139"/>
      <c r="AE808" s="139"/>
      <c r="AF808" s="140" t="str">
        <f>IFERROR(__xludf.DUMMYFUNCTION("""COMPUTED_VALUE"""),"No. I took delivery of the first car Tesla was able to deliver.")</f>
        <v>No. I took delivery of the first car Tesla was able to deliver.</v>
      </c>
      <c r="AG808" s="145"/>
      <c r="AH808" s="157">
        <f>IFERROR(__xludf.DUMMYFUNCTION("""COMPUTED_VALUE"""),44359.80422866898)</f>
        <v>44359.80423</v>
      </c>
      <c r="AI808" s="138"/>
      <c r="AJ808" s="138"/>
      <c r="AK808" s="138"/>
      <c r="AL808" s="142"/>
    </row>
    <row r="809" ht="20.25" customHeight="1">
      <c r="A809" s="155" t="str">
        <f>IFERROR(__xludf.DUMMYFUNCTION("""COMPUTED_VALUE"""),"stillwaiting")</f>
        <v>stillwaiting</v>
      </c>
      <c r="B809" s="149" t="str">
        <f>IFERROR(__xludf.DUMMYFUNCTION("""COMPUTED_VALUE"""),"Salt Lake City")</f>
        <v>Salt Lake City</v>
      </c>
      <c r="C809" s="149" t="str">
        <f>IFERROR(__xludf.DUMMYFUNCTION("""COMPUTED_VALUE"""),"UT")</f>
        <v>UT</v>
      </c>
      <c r="D809" s="149" t="str">
        <f>IFERROR(__xludf.DUMMYFUNCTION("""COMPUTED_VALUE"""),"USA")</f>
        <v>USA</v>
      </c>
      <c r="E809" s="156">
        <f>IFERROR(__xludf.DUMMYFUNCTION("""COMPUTED_VALUE"""),44306.0)</f>
        <v>44306</v>
      </c>
      <c r="F809" s="129">
        <f>IFERROR(__xludf.DUMMYFUNCTION("""COMPUTED_VALUE"""),44354.0)</f>
        <v>44354</v>
      </c>
      <c r="G809" s="154" t="str">
        <f>IFERROR(__xludf.DUMMYFUNCTION("""COMPUTED_VALUE"""),"Phone call")</f>
        <v>Phone call</v>
      </c>
      <c r="H809" s="131"/>
      <c r="I809" s="144"/>
      <c r="J809" s="129">
        <f>IFERROR(__xludf.DUMMYFUNCTION("""COMPUTED_VALUE"""),44356.0)</f>
        <v>44356</v>
      </c>
      <c r="K809" s="133">
        <f>IFERROR(__xludf.DUMMYFUNCTION("""COMPUTED_VALUE"""),48.0)</f>
        <v>48</v>
      </c>
      <c r="L809" s="133">
        <f>IFERROR(__xludf.DUMMYFUNCTION("""COMPUTED_VALUE"""),2.0)</f>
        <v>2</v>
      </c>
      <c r="M809" s="133">
        <f>IFERROR(__xludf.DUMMYFUNCTION("""COMPUTED_VALUE"""),50.0)</f>
        <v>50</v>
      </c>
      <c r="N809" s="152" t="str">
        <f>IFERROR(__xludf.DUMMYFUNCTION("""COMPUTED_VALUE"""),"Model 3 LR AWD")</f>
        <v>Model 3 LR AWD</v>
      </c>
      <c r="O809" s="152" t="str">
        <f>IFERROR(__xludf.DUMMYFUNCTION("""COMPUTED_VALUE"""),"Pearl White Multi-Coat")</f>
        <v>Pearl White Multi-Coat</v>
      </c>
      <c r="P809" s="153" t="str">
        <f>IFERROR(__xludf.DUMMYFUNCTION("""COMPUTED_VALUE"""),"18 inch")</f>
        <v>18 inch</v>
      </c>
      <c r="Q809" s="152" t="str">
        <f>IFERROR(__xludf.DUMMYFUNCTION("""COMPUTED_VALUE"""),"All Black")</f>
        <v>All Black</v>
      </c>
      <c r="R809" s="149" t="str">
        <f>IFERROR(__xludf.DUMMYFUNCTION("""COMPUTED_VALUE"""),"Autopilot included")</f>
        <v>Autopilot included</v>
      </c>
      <c r="S809" s="149" t="str">
        <f>IFERROR(__xludf.DUMMYFUNCTION("""COMPUTED_VALUE"""),"Loan")</f>
        <v>Loan</v>
      </c>
      <c r="T809" s="145" t="str">
        <f>IFERROR(__xludf.DUMMYFUNCTION("""COMPUTED_VALUE"""),"Tesla Model 3")</f>
        <v>Tesla Model 3</v>
      </c>
      <c r="U809" s="145"/>
      <c r="V809" s="145"/>
      <c r="W809" s="145"/>
      <c r="X809" s="137"/>
      <c r="Y809" s="138"/>
      <c r="Z809" s="138"/>
      <c r="AA809" s="138" t="str">
        <f>IFERROR(__xludf.DUMMYFUNCTION("""COMPUTED_VALUE"""),"Poor")</f>
        <v>Poor</v>
      </c>
      <c r="AB809" s="138"/>
      <c r="AC809" s="139"/>
      <c r="AD809" s="139"/>
      <c r="AE809" s="139"/>
      <c r="AF809" s="140"/>
      <c r="AG809" s="145"/>
      <c r="AH809" s="157">
        <f>IFERROR(__xludf.DUMMYFUNCTION("""COMPUTED_VALUE"""),44354.616238912036)</f>
        <v>44354.61624</v>
      </c>
      <c r="AI809" s="138"/>
      <c r="AJ809" s="138"/>
      <c r="AK809" s="138"/>
      <c r="AL809" s="142"/>
    </row>
    <row r="810" ht="20.25" customHeight="1">
      <c r="A810" s="155" t="str">
        <f>IFERROR(__xludf.DUMMYFUNCTION("""COMPUTED_VALUE"""),"ChrisSFoot")</f>
        <v>ChrisSFoot</v>
      </c>
      <c r="B810" s="149" t="str">
        <f>IFERROR(__xludf.DUMMYFUNCTION("""COMPUTED_VALUE"""),"Aylesbury")</f>
        <v>Aylesbury</v>
      </c>
      <c r="C810" s="149"/>
      <c r="D810" s="149" t="str">
        <f>IFERROR(__xludf.DUMMYFUNCTION("""COMPUTED_VALUE"""),"United Kingdom")</f>
        <v>United Kingdom</v>
      </c>
      <c r="E810" s="156">
        <f>IFERROR(__xludf.DUMMYFUNCTION("""COMPUTED_VALUE"""),44305.0)</f>
        <v>44305</v>
      </c>
      <c r="F810" s="129">
        <f>IFERROR(__xludf.DUMMYFUNCTION("""COMPUTED_VALUE"""),44319.0)</f>
        <v>44319</v>
      </c>
      <c r="G810" s="154" t="str">
        <f>IFERROR(__xludf.DUMMYFUNCTION("""COMPUTED_VALUE"""),"Invoice on order page")</f>
        <v>Invoice on order page</v>
      </c>
      <c r="H810" s="131">
        <f>IFERROR(__xludf.DUMMYFUNCTION("""COMPUTED_VALUE"""),218905.0)</f>
        <v>218905</v>
      </c>
      <c r="I810" s="144"/>
      <c r="J810" s="129">
        <f>IFERROR(__xludf.DUMMYFUNCTION("""COMPUTED_VALUE"""),44337.0)</f>
        <v>44337</v>
      </c>
      <c r="K810" s="133">
        <f>IFERROR(__xludf.DUMMYFUNCTION("""COMPUTED_VALUE"""),14.0)</f>
        <v>14</v>
      </c>
      <c r="L810" s="133">
        <f>IFERROR(__xludf.DUMMYFUNCTION("""COMPUTED_VALUE"""),18.0)</f>
        <v>18</v>
      </c>
      <c r="M810" s="133">
        <f>IFERROR(__xludf.DUMMYFUNCTION("""COMPUTED_VALUE"""),32.0)</f>
        <v>32</v>
      </c>
      <c r="N810" s="152" t="str">
        <f>IFERROR(__xludf.DUMMYFUNCTION("""COMPUTED_VALUE"""),"Model 3 LR AWD")</f>
        <v>Model 3 LR AWD</v>
      </c>
      <c r="O810" s="152" t="str">
        <f>IFERROR(__xludf.DUMMYFUNCTION("""COMPUTED_VALUE"""),"Midnight Silver Metallic")</f>
        <v>Midnight Silver Metallic</v>
      </c>
      <c r="P810" s="153" t="str">
        <f>IFERROR(__xludf.DUMMYFUNCTION("""COMPUTED_VALUE"""),"18 inch")</f>
        <v>18 inch</v>
      </c>
      <c r="Q810" s="152" t="str">
        <f>IFERROR(__xludf.DUMMYFUNCTION("""COMPUTED_VALUE"""),"All Black")</f>
        <v>All Black</v>
      </c>
      <c r="R810" s="149" t="str">
        <f>IFERROR(__xludf.DUMMYFUNCTION("""COMPUTED_VALUE"""),"Autopilot included")</f>
        <v>Autopilot included</v>
      </c>
      <c r="S810" s="149" t="str">
        <f>IFERROR(__xludf.DUMMYFUNCTION("""COMPUTED_VALUE"""),"Lease")</f>
        <v>Lease</v>
      </c>
      <c r="T810" s="145" t="str">
        <f>IFERROR(__xludf.DUMMYFUNCTION("""COMPUTED_VALUE"""),"Renault Zoe")</f>
        <v>Renault Zoe</v>
      </c>
      <c r="U810" s="145" t="str">
        <f>IFERROR(__xludf.DUMMYFUNCTION("""COMPUTED_VALUE"""),"Gadgets")</f>
        <v>Gadgets</v>
      </c>
      <c r="V810" s="145" t="str">
        <f>IFERROR(__xludf.DUMMYFUNCTION("""COMPUTED_VALUE"""),"Apple CarPlay / Android Auto / SiriusXM Radio")</f>
        <v>Apple CarPlay / Android Auto / SiriusXM Radio</v>
      </c>
      <c r="W810" s="145"/>
      <c r="X810" s="137" t="str">
        <f>IFERROR(__xludf.DUMMYFUNCTION("""COMPUTED_VALUE"""),"Excellent")</f>
        <v>Excellent</v>
      </c>
      <c r="Y810" s="138" t="str">
        <f>IFERROR(__xludf.DUMMYFUNCTION("""COMPUTED_VALUE"""),"Excellent")</f>
        <v>Excellent</v>
      </c>
      <c r="Z810" s="138" t="str">
        <f>IFERROR(__xludf.DUMMYFUNCTION("""COMPUTED_VALUE"""),"Excellent")</f>
        <v>Excellent</v>
      </c>
      <c r="AA810" s="138" t="str">
        <f>IFERROR(__xludf.DUMMYFUNCTION("""COMPUTED_VALUE"""),"Excellent")</f>
        <v>Excellent</v>
      </c>
      <c r="AB810" s="138" t="str">
        <f>IFERROR(__xludf.DUMMYFUNCTION("""COMPUTED_VALUE"""),"Excellent")</f>
        <v>Excellent</v>
      </c>
      <c r="AC810" s="139">
        <f>IFERROR(__xludf.DUMMYFUNCTION("""COMPUTED_VALUE"""),0.0)</f>
        <v>0</v>
      </c>
      <c r="AD810" s="139">
        <f>IFERROR(__xludf.DUMMYFUNCTION("""COMPUTED_VALUE"""),0.0)</f>
        <v>0</v>
      </c>
      <c r="AE810" s="139">
        <f>IFERROR(__xludf.DUMMYFUNCTION("""COMPUTED_VALUE"""),0.0)</f>
        <v>0</v>
      </c>
      <c r="AF810" s="140" t="str">
        <f>IFERROR(__xludf.DUMMYFUNCTION("""COMPUTED_VALUE"""),"No. I took delivery of the first car Tesla was able to deliver.")</f>
        <v>No. I took delivery of the first car Tesla was able to deliver.</v>
      </c>
      <c r="AG810" s="145"/>
      <c r="AH810" s="157">
        <f>IFERROR(__xludf.DUMMYFUNCTION("""COMPUTED_VALUE"""),44376.20912699075)</f>
        <v>44376.20913</v>
      </c>
      <c r="AI810" s="138"/>
      <c r="AJ810" s="138"/>
      <c r="AK810" s="138"/>
      <c r="AL810" s="142"/>
    </row>
    <row r="811" ht="20.25" customHeight="1">
      <c r="A811" s="155" t="str">
        <f>IFERROR(__xludf.DUMMYFUNCTION("""COMPUTED_VALUE"""),"DirtyBirdie7")</f>
        <v>DirtyBirdie7</v>
      </c>
      <c r="B811" s="149" t="str">
        <f>IFERROR(__xludf.DUMMYFUNCTION("""COMPUTED_VALUE"""),"Princeton")</f>
        <v>Princeton</v>
      </c>
      <c r="C811" s="149" t="str">
        <f>IFERROR(__xludf.DUMMYFUNCTION("""COMPUTED_VALUE"""),"NJ")</f>
        <v>NJ</v>
      </c>
      <c r="D811" s="149" t="str">
        <f>IFERROR(__xludf.DUMMYFUNCTION("""COMPUTED_VALUE"""),"USA")</f>
        <v>USA</v>
      </c>
      <c r="E811" s="156">
        <f>IFERROR(__xludf.DUMMYFUNCTION("""COMPUTED_VALUE"""),44305.0)</f>
        <v>44305</v>
      </c>
      <c r="F811" s="129">
        <f>IFERROR(__xludf.DUMMYFUNCTION("""COMPUTED_VALUE"""),44345.0)</f>
        <v>44345</v>
      </c>
      <c r="G811" s="154" t="str">
        <f>IFERROR(__xludf.DUMMYFUNCTION("""COMPUTED_VALUE"""),"Manage order page (normal text)")</f>
        <v>Manage order page (normal text)</v>
      </c>
      <c r="H811" s="131">
        <f>IFERROR(__xludf.DUMMYFUNCTION("""COMPUTED_VALUE"""),981255.0)</f>
        <v>981255</v>
      </c>
      <c r="I811" s="144" t="str">
        <f>IFERROR(__xludf.DUMMYFUNCTION("""COMPUTED_VALUE"""),"05/21")</f>
        <v>05/21</v>
      </c>
      <c r="J811" s="129">
        <f>IFERROR(__xludf.DUMMYFUNCTION("""COMPUTED_VALUE"""),44356.0)</f>
        <v>44356</v>
      </c>
      <c r="K811" s="133">
        <f>IFERROR(__xludf.DUMMYFUNCTION("""COMPUTED_VALUE"""),40.0)</f>
        <v>40</v>
      </c>
      <c r="L811" s="133">
        <f>IFERROR(__xludf.DUMMYFUNCTION("""COMPUTED_VALUE"""),11.0)</f>
        <v>11</v>
      </c>
      <c r="M811" s="133">
        <f>IFERROR(__xludf.DUMMYFUNCTION("""COMPUTED_VALUE"""),51.0)</f>
        <v>51</v>
      </c>
      <c r="N811" s="152" t="str">
        <f>IFERROR(__xludf.DUMMYFUNCTION("""COMPUTED_VALUE"""),"Model 3 LR AWD")</f>
        <v>Model 3 LR AWD</v>
      </c>
      <c r="O811" s="152" t="str">
        <f>IFERROR(__xludf.DUMMYFUNCTION("""COMPUTED_VALUE"""),"Midnight Silver Metallic")</f>
        <v>Midnight Silver Metallic</v>
      </c>
      <c r="P811" s="153" t="str">
        <f>IFERROR(__xludf.DUMMYFUNCTION("""COMPUTED_VALUE"""),"18 inch")</f>
        <v>18 inch</v>
      </c>
      <c r="Q811" s="152" t="str">
        <f>IFERROR(__xludf.DUMMYFUNCTION("""COMPUTED_VALUE"""),"Black and White")</f>
        <v>Black and White</v>
      </c>
      <c r="R811" s="149" t="str">
        <f>IFERROR(__xludf.DUMMYFUNCTION("""COMPUTED_VALUE"""),"Autopilot included")</f>
        <v>Autopilot included</v>
      </c>
      <c r="S811" s="149" t="str">
        <f>IFERROR(__xludf.DUMMYFUNCTION("""COMPUTED_VALUE"""),"Loan")</f>
        <v>Loan</v>
      </c>
      <c r="T811" s="145" t="str">
        <f>IFERROR(__xludf.DUMMYFUNCTION("""COMPUTED_VALUE"""),"Honda Civic")</f>
        <v>Honda Civic</v>
      </c>
      <c r="U811" s="145" t="str">
        <f>IFERROR(__xludf.DUMMYFUNCTION("""COMPUTED_VALUE"""),"Electric!")</f>
        <v>Electric!</v>
      </c>
      <c r="V811" s="145" t="str">
        <f>IFERROR(__xludf.DUMMYFUNCTION("""COMPUTED_VALUE"""),"360° Bird's eye view")</f>
        <v>360° Bird's eye view</v>
      </c>
      <c r="W811" s="145" t="str">
        <f>IFERROR(__xludf.DUMMYFUNCTION("""COMPUTED_VALUE"""),"Be logged into your tesla account on your phones browser and have the app installed too. GO over all the switches and other things that move on the car. Lastly, mash the accelerator all the time lol")</f>
        <v>Be logged into your tesla account on your phones browser and have the app installed too. GO over all the switches and other things that move on the car. Lastly, mash the accelerator all the time lol</v>
      </c>
      <c r="X811" s="137" t="str">
        <f>IFERROR(__xludf.DUMMYFUNCTION("""COMPUTED_VALUE"""),"Good")</f>
        <v>Good</v>
      </c>
      <c r="Y811" s="138" t="str">
        <f>IFERROR(__xludf.DUMMYFUNCTION("""COMPUTED_VALUE"""),"Excellent")</f>
        <v>Excellent</v>
      </c>
      <c r="Z811" s="138" t="str">
        <f>IFERROR(__xludf.DUMMYFUNCTION("""COMPUTED_VALUE"""),"Excellent")</f>
        <v>Excellent</v>
      </c>
      <c r="AA811" s="138" t="str">
        <f>IFERROR(__xludf.DUMMYFUNCTION("""COMPUTED_VALUE"""),"Excellent")</f>
        <v>Excellent</v>
      </c>
      <c r="AB811" s="138" t="str">
        <f>IFERROR(__xludf.DUMMYFUNCTION("""COMPUTED_VALUE"""),"Excellent")</f>
        <v>Excellent</v>
      </c>
      <c r="AC811" s="139"/>
      <c r="AD811" s="139"/>
      <c r="AE811" s="139"/>
      <c r="AF811" s="140" t="str">
        <f>IFERROR(__xludf.DUMMYFUNCTION("""COMPUTED_VALUE"""),"No. I took delivery of the first car Tesla was able to deliver.")</f>
        <v>No. I took delivery of the first car Tesla was able to deliver.</v>
      </c>
      <c r="AG811" s="145" t="str">
        <f>IFERROR(__xludf.DUMMYFUNCTION("""COMPUTED_VALUE"""),"Estimated delivery date between June 7 - 13, Got it June 9th. Door gaps were maybe alittle off. Rear tailight was not aligned well to the trunk lid, about 1/8"" off. It was the most noticeable defect")</f>
        <v>Estimated delivery date between June 7 - 13, Got it June 9th. Door gaps were maybe alittle off. Rear tailight was not aligned well to the trunk lid, about 1/8" off. It was the most noticeable defect</v>
      </c>
      <c r="AH811" s="157">
        <f>IFERROR(__xludf.DUMMYFUNCTION("""COMPUTED_VALUE"""),44356.85989685185)</f>
        <v>44356.8599</v>
      </c>
      <c r="AI811" s="138"/>
      <c r="AJ811" s="138"/>
      <c r="AK811" s="138"/>
      <c r="AL811" s="142"/>
    </row>
    <row r="812" ht="20.25" customHeight="1">
      <c r="A812" s="155" t="str">
        <f>IFERROR(__xludf.DUMMYFUNCTION("""COMPUTED_VALUE"""),"Dr_RWM")</f>
        <v>Dr_RWM</v>
      </c>
      <c r="B812" s="149" t="str">
        <f>IFERROR(__xludf.DUMMYFUNCTION("""COMPUTED_VALUE"""),"Mount Dora")</f>
        <v>Mount Dora</v>
      </c>
      <c r="C812" s="149" t="str">
        <f>IFERROR(__xludf.DUMMYFUNCTION("""COMPUTED_VALUE"""),"FL")</f>
        <v>FL</v>
      </c>
      <c r="D812" s="149" t="str">
        <f>IFERROR(__xludf.DUMMYFUNCTION("""COMPUTED_VALUE"""),"USA")</f>
        <v>USA</v>
      </c>
      <c r="E812" s="156">
        <f>IFERROR(__xludf.DUMMYFUNCTION("""COMPUTED_VALUE"""),44305.0)</f>
        <v>44305</v>
      </c>
      <c r="F812" s="129">
        <f>IFERROR(__xludf.DUMMYFUNCTION("""COMPUTED_VALUE"""),44345.0)</f>
        <v>44345</v>
      </c>
      <c r="G812" s="154" t="str">
        <f>IFERROR(__xludf.DUMMYFUNCTION("""COMPUTED_VALUE"""),"Manage order page (normal text)")</f>
        <v>Manage order page (normal text)</v>
      </c>
      <c r="H812" s="131">
        <f>IFERROR(__xludf.DUMMYFUNCTION("""COMPUTED_VALUE"""),978855.0)</f>
        <v>978855</v>
      </c>
      <c r="I812" s="144" t="str">
        <f>IFERROR(__xludf.DUMMYFUNCTION("""COMPUTED_VALUE"""),"05/21")</f>
        <v>05/21</v>
      </c>
      <c r="J812" s="129">
        <f>IFERROR(__xludf.DUMMYFUNCTION("""COMPUTED_VALUE"""),44357.0)</f>
        <v>44357</v>
      </c>
      <c r="K812" s="133">
        <f>IFERROR(__xludf.DUMMYFUNCTION("""COMPUTED_VALUE"""),40.0)</f>
        <v>40</v>
      </c>
      <c r="L812" s="133">
        <f>IFERROR(__xludf.DUMMYFUNCTION("""COMPUTED_VALUE"""),12.0)</f>
        <v>12</v>
      </c>
      <c r="M812" s="133">
        <f>IFERROR(__xludf.DUMMYFUNCTION("""COMPUTED_VALUE"""),52.0)</f>
        <v>52</v>
      </c>
      <c r="N812" s="152" t="str">
        <f>IFERROR(__xludf.DUMMYFUNCTION("""COMPUTED_VALUE"""),"Model 3 LR AWD")</f>
        <v>Model 3 LR AWD</v>
      </c>
      <c r="O812" s="152" t="str">
        <f>IFERROR(__xludf.DUMMYFUNCTION("""COMPUTED_VALUE"""),"Red Multi-Coat")</f>
        <v>Red Multi-Coat</v>
      </c>
      <c r="P812" s="153" t="str">
        <f>IFERROR(__xludf.DUMMYFUNCTION("""COMPUTED_VALUE"""),"18 inch")</f>
        <v>18 inch</v>
      </c>
      <c r="Q812" s="152" t="str">
        <f>IFERROR(__xludf.DUMMYFUNCTION("""COMPUTED_VALUE"""),"All Black")</f>
        <v>All Black</v>
      </c>
      <c r="R812" s="149" t="str">
        <f>IFERROR(__xludf.DUMMYFUNCTION("""COMPUTED_VALUE"""),"Full Self-Driving")</f>
        <v>Full Self-Driving</v>
      </c>
      <c r="S812" s="149" t="str">
        <f>IFERROR(__xludf.DUMMYFUNCTION("""COMPUTED_VALUE"""),"Cash")</f>
        <v>Cash</v>
      </c>
      <c r="T812" s="145" t="str">
        <f>IFERROR(__xludf.DUMMYFUNCTION("""COMPUTED_VALUE"""),"Buick Encore")</f>
        <v>Buick Encore</v>
      </c>
      <c r="U812" s="145" t="str">
        <f>IFERROR(__xludf.DUMMYFUNCTION("""COMPUTED_VALUE"""),"Electric!")</f>
        <v>Electric!</v>
      </c>
      <c r="V812" s="145" t="str">
        <f>IFERROR(__xludf.DUMMYFUNCTION("""COMPUTED_VALUE"""),"Head-up display")</f>
        <v>Head-up display</v>
      </c>
      <c r="W812" s="145" t="str">
        <f>IFERROR(__xludf.DUMMYFUNCTION("""COMPUTED_VALUE"""),"Use my referral code to get 1000 free supercharger miles: http://ts.la/richard48847")</f>
        <v>Use my referral code to get 1000 free supercharger miles: http://ts.la/richard48847</v>
      </c>
      <c r="X812" s="137" t="str">
        <f>IFERROR(__xludf.DUMMYFUNCTION("""COMPUTED_VALUE"""),"Excellent")</f>
        <v>Excellent</v>
      </c>
      <c r="Y812" s="138" t="str">
        <f>IFERROR(__xludf.DUMMYFUNCTION("""COMPUTED_VALUE"""),"Excellent")</f>
        <v>Excellent</v>
      </c>
      <c r="Z812" s="138" t="str">
        <f>IFERROR(__xludf.DUMMYFUNCTION("""COMPUTED_VALUE"""),"Excellent")</f>
        <v>Excellent</v>
      </c>
      <c r="AA812" s="138" t="str">
        <f>IFERROR(__xludf.DUMMYFUNCTION("""COMPUTED_VALUE"""),"Good")</f>
        <v>Good</v>
      </c>
      <c r="AB812" s="138" t="str">
        <f>IFERROR(__xludf.DUMMYFUNCTION("""COMPUTED_VALUE"""),"Very Good")</f>
        <v>Very Good</v>
      </c>
      <c r="AC812" s="139">
        <f>IFERROR(__xludf.DUMMYFUNCTION("""COMPUTED_VALUE"""),0.0)</f>
        <v>0</v>
      </c>
      <c r="AD812" s="139">
        <f>IFERROR(__xludf.DUMMYFUNCTION("""COMPUTED_VALUE"""),0.0)</f>
        <v>0</v>
      </c>
      <c r="AE812" s="139">
        <f>IFERROR(__xludf.DUMMYFUNCTION("""COMPUTED_VALUE"""),0.0)</f>
        <v>0</v>
      </c>
      <c r="AF812" s="140" t="str">
        <f>IFERROR(__xludf.DUMMYFUNCTION("""COMPUTED_VALUE"""),"No. I took delivery of the first car Tesla was able to deliver.")</f>
        <v>No. I took delivery of the first car Tesla was able to deliver.</v>
      </c>
      <c r="AG812" s="145" t="str">
        <f>IFERROR(__xludf.DUMMYFUNCTION("""COMPUTED_VALUE"""),"Car was perfect on delivery")</f>
        <v>Car was perfect on delivery</v>
      </c>
      <c r="AH812" s="157">
        <f>IFERROR(__xludf.DUMMYFUNCTION("""COMPUTED_VALUE"""),44382.58180684028)</f>
        <v>44382.58181</v>
      </c>
      <c r="AI812" s="138"/>
      <c r="AJ812" s="138"/>
      <c r="AK812" s="138"/>
      <c r="AL812" s="142"/>
    </row>
    <row r="813" ht="20.25" customHeight="1">
      <c r="A813" s="155" t="str">
        <f>IFERROR(__xludf.DUMMYFUNCTION("""COMPUTED_VALUE"""),"dualvipers")</f>
        <v>dualvipers</v>
      </c>
      <c r="B813" s="149" t="str">
        <f>IFERROR(__xludf.DUMMYFUNCTION("""COMPUTED_VALUE"""),"Owings Mills")</f>
        <v>Owings Mills</v>
      </c>
      <c r="C813" s="149" t="str">
        <f>IFERROR(__xludf.DUMMYFUNCTION("""COMPUTED_VALUE"""),"MD")</f>
        <v>MD</v>
      </c>
      <c r="D813" s="149" t="str">
        <f>IFERROR(__xludf.DUMMYFUNCTION("""COMPUTED_VALUE"""),"USA")</f>
        <v>USA</v>
      </c>
      <c r="E813" s="156">
        <f>IFERROR(__xludf.DUMMYFUNCTION("""COMPUTED_VALUE"""),44305.0)</f>
        <v>44305</v>
      </c>
      <c r="F813" s="129">
        <f>IFERROR(__xludf.DUMMYFUNCTION("""COMPUTED_VALUE"""),44351.0)</f>
        <v>44351</v>
      </c>
      <c r="G813" s="154" t="str">
        <f>IFERROR(__xludf.DUMMYFUNCTION("""COMPUTED_VALUE"""),"Email")</f>
        <v>Email</v>
      </c>
      <c r="H813" s="131">
        <f>IFERROR(__xludf.DUMMYFUNCTION("""COMPUTED_VALUE"""),985655.0)</f>
        <v>985655</v>
      </c>
      <c r="I813" s="144"/>
      <c r="J813" s="129">
        <f>IFERROR(__xludf.DUMMYFUNCTION("""COMPUTED_VALUE"""),44361.0)</f>
        <v>44361</v>
      </c>
      <c r="K813" s="133">
        <f>IFERROR(__xludf.DUMMYFUNCTION("""COMPUTED_VALUE"""),46.0)</f>
        <v>46</v>
      </c>
      <c r="L813" s="133">
        <f>IFERROR(__xludf.DUMMYFUNCTION("""COMPUTED_VALUE"""),10.0)</f>
        <v>10</v>
      </c>
      <c r="M813" s="133">
        <f>IFERROR(__xludf.DUMMYFUNCTION("""COMPUTED_VALUE"""),56.0)</f>
        <v>56</v>
      </c>
      <c r="N813" s="152" t="str">
        <f>IFERROR(__xludf.DUMMYFUNCTION("""COMPUTED_VALUE"""),"Model 3 SR+")</f>
        <v>Model 3 SR+</v>
      </c>
      <c r="O813" s="152" t="str">
        <f>IFERROR(__xludf.DUMMYFUNCTION("""COMPUTED_VALUE"""),"Midnight Silver Metallic")</f>
        <v>Midnight Silver Metallic</v>
      </c>
      <c r="P813" s="153" t="str">
        <f>IFERROR(__xludf.DUMMYFUNCTION("""COMPUTED_VALUE"""),"18 inch")</f>
        <v>18 inch</v>
      </c>
      <c r="Q813" s="152" t="str">
        <f>IFERROR(__xludf.DUMMYFUNCTION("""COMPUTED_VALUE"""),"All Black")</f>
        <v>All Black</v>
      </c>
      <c r="R813" s="149" t="str">
        <f>IFERROR(__xludf.DUMMYFUNCTION("""COMPUTED_VALUE"""),"Autopilot included")</f>
        <v>Autopilot included</v>
      </c>
      <c r="S813" s="149" t="str">
        <f>IFERROR(__xludf.DUMMYFUNCTION("""COMPUTED_VALUE"""),"Cash")</f>
        <v>Cash</v>
      </c>
      <c r="T813" s="145" t="str">
        <f>IFERROR(__xludf.DUMMYFUNCTION("""COMPUTED_VALUE"""),"Honda Accord")</f>
        <v>Honda Accord</v>
      </c>
      <c r="U813" s="145" t="str">
        <f>IFERROR(__xludf.DUMMYFUNCTION("""COMPUTED_VALUE"""),"Autopilot")</f>
        <v>Autopilot</v>
      </c>
      <c r="V813" s="145" t="str">
        <f>IFERROR(__xludf.DUMMYFUNCTION("""COMPUTED_VALUE"""),"Head-up display")</f>
        <v>Head-up display</v>
      </c>
      <c r="W813" s="145" t="str">
        <f>IFERROR(__xludf.DUMMYFUNCTION("""COMPUTED_VALUE"""),"Hold out and be patient. Process takes a while, but it's well worth it for the amount spent")</f>
        <v>Hold out and be patient. Process takes a while, but it's well worth it for the amount spent</v>
      </c>
      <c r="X813" s="137" t="str">
        <f>IFERROR(__xludf.DUMMYFUNCTION("""COMPUTED_VALUE"""),"Fair")</f>
        <v>Fair</v>
      </c>
      <c r="Y813" s="138" t="str">
        <f>IFERROR(__xludf.DUMMYFUNCTION("""COMPUTED_VALUE"""),"Fair")</f>
        <v>Fair</v>
      </c>
      <c r="Z813" s="138" t="str">
        <f>IFERROR(__xludf.DUMMYFUNCTION("""COMPUTED_VALUE"""),"Good")</f>
        <v>Good</v>
      </c>
      <c r="AA813" s="138" t="str">
        <f>IFERROR(__xludf.DUMMYFUNCTION("""COMPUTED_VALUE"""),"Poor")</f>
        <v>Poor</v>
      </c>
      <c r="AB813" s="138" t="str">
        <f>IFERROR(__xludf.DUMMYFUNCTION("""COMPUTED_VALUE"""),"Poor")</f>
        <v>Poor</v>
      </c>
      <c r="AC813" s="139">
        <f>IFERROR(__xludf.DUMMYFUNCTION("""COMPUTED_VALUE"""),1.0)</f>
        <v>1</v>
      </c>
      <c r="AD813" s="139">
        <f>IFERROR(__xludf.DUMMYFUNCTION("""COMPUTED_VALUE"""),1.0)</f>
        <v>1</v>
      </c>
      <c r="AE813" s="139">
        <f>IFERROR(__xludf.DUMMYFUNCTION("""COMPUTED_VALUE"""),0.0)</f>
        <v>0</v>
      </c>
      <c r="AF813" s="140" t="str">
        <f>IFERROR(__xludf.DUMMYFUNCTION("""COMPUTED_VALUE"""),"No. I took delivery of the first car Tesla was able to deliver.")</f>
        <v>No. I took delivery of the first car Tesla was able to deliver.</v>
      </c>
      <c r="AG813" s="145"/>
      <c r="AH813" s="157">
        <f>IFERROR(__xludf.DUMMYFUNCTION("""COMPUTED_VALUE"""),44363.8419397338)</f>
        <v>44363.84194</v>
      </c>
      <c r="AI813" s="138"/>
      <c r="AJ813" s="138"/>
      <c r="AK813" s="138"/>
      <c r="AL813" s="142"/>
    </row>
    <row r="814" ht="20.25" customHeight="1">
      <c r="A814" s="155" t="str">
        <f>IFERROR(__xludf.DUMMYFUNCTION("""COMPUTED_VALUE"""),"gdestiny")</f>
        <v>gdestiny</v>
      </c>
      <c r="B814" s="149" t="str">
        <f>IFERROR(__xludf.DUMMYFUNCTION("""COMPUTED_VALUE"""),"Irvine")</f>
        <v>Irvine</v>
      </c>
      <c r="C814" s="149" t="str">
        <f>IFERROR(__xludf.DUMMYFUNCTION("""COMPUTED_VALUE"""),"CA")</f>
        <v>CA</v>
      </c>
      <c r="D814" s="149" t="str">
        <f>IFERROR(__xludf.DUMMYFUNCTION("""COMPUTED_VALUE"""),"USA")</f>
        <v>USA</v>
      </c>
      <c r="E814" s="156">
        <f>IFERROR(__xludf.DUMMYFUNCTION("""COMPUTED_VALUE"""),44305.0)</f>
        <v>44305</v>
      </c>
      <c r="F814" s="129">
        <f>IFERROR(__xludf.DUMMYFUNCTION("""COMPUTED_VALUE"""),44373.0)</f>
        <v>44373</v>
      </c>
      <c r="G814" s="154" t="str">
        <f>IFERROR(__xludf.DUMMYFUNCTION("""COMPUTED_VALUE"""),"Phone call")</f>
        <v>Phone call</v>
      </c>
      <c r="H814" s="131">
        <f>IFERROR(__xludf.DUMMYFUNCTION("""COMPUTED_VALUE"""),2255.0)</f>
        <v>2255</v>
      </c>
      <c r="I814" s="144" t="str">
        <f>IFERROR(__xludf.DUMMYFUNCTION("""COMPUTED_VALUE"""),"06/21")</f>
        <v>06/21</v>
      </c>
      <c r="J814" s="129">
        <f>IFERROR(__xludf.DUMMYFUNCTION("""COMPUTED_VALUE"""),44374.0)</f>
        <v>44374</v>
      </c>
      <c r="K814" s="133">
        <f>IFERROR(__xludf.DUMMYFUNCTION("""COMPUTED_VALUE"""),68.0)</f>
        <v>68</v>
      </c>
      <c r="L814" s="133">
        <f>IFERROR(__xludf.DUMMYFUNCTION("""COMPUTED_VALUE"""),1.0)</f>
        <v>1</v>
      </c>
      <c r="M814" s="133">
        <f>IFERROR(__xludf.DUMMYFUNCTION("""COMPUTED_VALUE"""),69.0)</f>
        <v>69</v>
      </c>
      <c r="N814" s="152" t="str">
        <f>IFERROR(__xludf.DUMMYFUNCTION("""COMPUTED_VALUE"""),"Model 3 LR AWD")</f>
        <v>Model 3 LR AWD</v>
      </c>
      <c r="O814" s="152" t="str">
        <f>IFERROR(__xludf.DUMMYFUNCTION("""COMPUTED_VALUE"""),"Pearl White Multi-Coat")</f>
        <v>Pearl White Multi-Coat</v>
      </c>
      <c r="P814" s="153" t="str">
        <f>IFERROR(__xludf.DUMMYFUNCTION("""COMPUTED_VALUE"""),"18 inch")</f>
        <v>18 inch</v>
      </c>
      <c r="Q814" s="152" t="str">
        <f>IFERROR(__xludf.DUMMYFUNCTION("""COMPUTED_VALUE"""),"All Black")</f>
        <v>All Black</v>
      </c>
      <c r="R814" s="149" t="str">
        <f>IFERROR(__xludf.DUMMYFUNCTION("""COMPUTED_VALUE"""),"Autopilot included")</f>
        <v>Autopilot included</v>
      </c>
      <c r="S814" s="149" t="str">
        <f>IFERROR(__xludf.DUMMYFUNCTION("""COMPUTED_VALUE"""),"Cash")</f>
        <v>Cash</v>
      </c>
      <c r="T814" s="145" t="str">
        <f>IFERROR(__xludf.DUMMYFUNCTION("""COMPUTED_VALUE"""),"BMW X5")</f>
        <v>BMW X5</v>
      </c>
      <c r="U814" s="145" t="str">
        <f>IFERROR(__xludf.DUMMYFUNCTION("""COMPUTED_VALUE"""),"Electric!")</f>
        <v>Electric!</v>
      </c>
      <c r="V814" s="145" t="str">
        <f>IFERROR(__xludf.DUMMYFUNCTION("""COMPUTED_VALUE"""),"Apple CarPlay / Android Auto / SiriusXM Radio")</f>
        <v>Apple CarPlay / Android Auto / SiriusXM Radio</v>
      </c>
      <c r="W814" s="145"/>
      <c r="X814" s="137" t="str">
        <f>IFERROR(__xludf.DUMMYFUNCTION("""COMPUTED_VALUE"""),"Very Good")</f>
        <v>Very Good</v>
      </c>
      <c r="Y814" s="138" t="str">
        <f>IFERROR(__xludf.DUMMYFUNCTION("""COMPUTED_VALUE"""),"Excellent")</f>
        <v>Excellent</v>
      </c>
      <c r="Z814" s="138" t="str">
        <f>IFERROR(__xludf.DUMMYFUNCTION("""COMPUTED_VALUE"""),"Very Good")</f>
        <v>Very Good</v>
      </c>
      <c r="AA814" s="138" t="str">
        <f>IFERROR(__xludf.DUMMYFUNCTION("""COMPUTED_VALUE"""),"Poor")</f>
        <v>Poor</v>
      </c>
      <c r="AB814" s="138" t="str">
        <f>IFERROR(__xludf.DUMMYFUNCTION("""COMPUTED_VALUE"""),"Fair")</f>
        <v>Fair</v>
      </c>
      <c r="AC814" s="139">
        <f>IFERROR(__xludf.DUMMYFUNCTION("""COMPUTED_VALUE"""),3.0)</f>
        <v>3</v>
      </c>
      <c r="AD814" s="139">
        <f>IFERROR(__xludf.DUMMYFUNCTION("""COMPUTED_VALUE"""),1.0)</f>
        <v>1</v>
      </c>
      <c r="AE814" s="139"/>
      <c r="AF814" s="140" t="str">
        <f>IFERROR(__xludf.DUMMYFUNCTION("""COMPUTED_VALUE"""),"No. I took delivery of the first car Tesla was able to deliver.")</f>
        <v>No. I took delivery of the first car Tesla was able to deliver.</v>
      </c>
      <c r="AG814" s="145"/>
      <c r="AH814" s="157">
        <f>IFERROR(__xludf.DUMMYFUNCTION("""COMPUTED_VALUE"""),44375.490235937505)</f>
        <v>44375.49024</v>
      </c>
      <c r="AI814" s="138"/>
      <c r="AJ814" s="138"/>
      <c r="AK814" s="138"/>
      <c r="AL814" s="142"/>
    </row>
    <row r="815" ht="20.25" customHeight="1">
      <c r="A815" s="155" t="str">
        <f>IFERROR(__xludf.DUMMYFUNCTION("""COMPUTED_VALUE"""),"jaybopp82")</f>
        <v>jaybopp82</v>
      </c>
      <c r="B815" s="149" t="str">
        <f>IFERROR(__xludf.DUMMYFUNCTION("""COMPUTED_VALUE"""),"Colorado Springs")</f>
        <v>Colorado Springs</v>
      </c>
      <c r="C815" s="149" t="str">
        <f>IFERROR(__xludf.DUMMYFUNCTION("""COMPUTED_VALUE"""),"CO")</f>
        <v>CO</v>
      </c>
      <c r="D815" s="149" t="str">
        <f>IFERROR(__xludf.DUMMYFUNCTION("""COMPUTED_VALUE"""),"USA")</f>
        <v>USA</v>
      </c>
      <c r="E815" s="156">
        <f>IFERROR(__xludf.DUMMYFUNCTION("""COMPUTED_VALUE"""),44305.0)</f>
        <v>44305</v>
      </c>
      <c r="F815" s="129">
        <f>IFERROR(__xludf.DUMMYFUNCTION("""COMPUTED_VALUE"""),44343.0)</f>
        <v>44343</v>
      </c>
      <c r="G815" s="154" t="str">
        <f>IFERROR(__xludf.DUMMYFUNCTION("""COMPUTED_VALUE"""),"Manage order page (normal text)")</f>
        <v>Manage order page (normal text)</v>
      </c>
      <c r="H815" s="131">
        <f>IFERROR(__xludf.DUMMYFUNCTION("""COMPUTED_VALUE"""),964755.0)</f>
        <v>964755</v>
      </c>
      <c r="I815" s="144" t="str">
        <f>IFERROR(__xludf.DUMMYFUNCTION("""COMPUTED_VALUE"""),"04/21")</f>
        <v>04/21</v>
      </c>
      <c r="J815" s="129">
        <f>IFERROR(__xludf.DUMMYFUNCTION("""COMPUTED_VALUE"""),44344.0)</f>
        <v>44344</v>
      </c>
      <c r="K815" s="133">
        <f>IFERROR(__xludf.DUMMYFUNCTION("""COMPUTED_VALUE"""),38.0)</f>
        <v>38</v>
      </c>
      <c r="L815" s="133">
        <f>IFERROR(__xludf.DUMMYFUNCTION("""COMPUTED_VALUE"""),1.0)</f>
        <v>1</v>
      </c>
      <c r="M815" s="133">
        <f>IFERROR(__xludf.DUMMYFUNCTION("""COMPUTED_VALUE"""),39.0)</f>
        <v>39</v>
      </c>
      <c r="N815" s="152" t="str">
        <f>IFERROR(__xludf.DUMMYFUNCTION("""COMPUTED_VALUE"""),"Model 3 SR+")</f>
        <v>Model 3 SR+</v>
      </c>
      <c r="O815" s="152" t="str">
        <f>IFERROR(__xludf.DUMMYFUNCTION("""COMPUTED_VALUE"""),"Pearl White Multi-Coat")</f>
        <v>Pearl White Multi-Coat</v>
      </c>
      <c r="P815" s="153" t="str">
        <f>IFERROR(__xludf.DUMMYFUNCTION("""COMPUTED_VALUE"""),"19 inch")</f>
        <v>19 inch</v>
      </c>
      <c r="Q815" s="152" t="str">
        <f>IFERROR(__xludf.DUMMYFUNCTION("""COMPUTED_VALUE"""),"Black and White")</f>
        <v>Black and White</v>
      </c>
      <c r="R815" s="149" t="str">
        <f>IFERROR(__xludf.DUMMYFUNCTION("""COMPUTED_VALUE"""),"Autopilot included")</f>
        <v>Autopilot included</v>
      </c>
      <c r="S815" s="149" t="str">
        <f>IFERROR(__xludf.DUMMYFUNCTION("""COMPUTED_VALUE"""),"Loan")</f>
        <v>Loan</v>
      </c>
      <c r="T815" s="145" t="str">
        <f>IFERROR(__xludf.DUMMYFUNCTION("""COMPUTED_VALUE"""),"Kia Soul")</f>
        <v>Kia Soul</v>
      </c>
      <c r="U815" s="145" t="str">
        <f>IFERROR(__xludf.DUMMYFUNCTION("""COMPUTED_VALUE"""),"Autopilot")</f>
        <v>Autopilot</v>
      </c>
      <c r="V815" s="145" t="str">
        <f>IFERROR(__xludf.DUMMYFUNCTION("""COMPUTED_VALUE"""),"Head-up display")</f>
        <v>Head-up display</v>
      </c>
      <c r="W815" s="145"/>
      <c r="X815" s="137" t="str">
        <f>IFERROR(__xludf.DUMMYFUNCTION("""COMPUTED_VALUE"""),"Excellent")</f>
        <v>Excellent</v>
      </c>
      <c r="Y815" s="138" t="str">
        <f>IFERROR(__xludf.DUMMYFUNCTION("""COMPUTED_VALUE"""),"Excellent")</f>
        <v>Excellent</v>
      </c>
      <c r="Z815" s="138" t="str">
        <f>IFERROR(__xludf.DUMMYFUNCTION("""COMPUTED_VALUE"""),"Excellent")</f>
        <v>Excellent</v>
      </c>
      <c r="AA815" s="138" t="str">
        <f>IFERROR(__xludf.DUMMYFUNCTION("""COMPUTED_VALUE"""),"Excellent")</f>
        <v>Excellent</v>
      </c>
      <c r="AB815" s="138" t="str">
        <f>IFERROR(__xludf.DUMMYFUNCTION("""COMPUTED_VALUE"""),"Excellent")</f>
        <v>Excellent</v>
      </c>
      <c r="AC815" s="139"/>
      <c r="AD815" s="139"/>
      <c r="AE815" s="139"/>
      <c r="AF815" s="140" t="str">
        <f>IFERROR(__xludf.DUMMYFUNCTION("""COMPUTED_VALUE"""),"No. I took delivery of the first car Tesla was able to deliver.")</f>
        <v>No. I took delivery of the first car Tesla was able to deliver.</v>
      </c>
      <c r="AG815" s="145"/>
      <c r="AH815" s="157">
        <f>IFERROR(__xludf.DUMMYFUNCTION("""COMPUTED_VALUE"""),44344.67419261574)</f>
        <v>44344.67419</v>
      </c>
      <c r="AI815" s="138"/>
      <c r="AJ815" s="138"/>
      <c r="AK815" s="138"/>
      <c r="AL815" s="142"/>
    </row>
    <row r="816" ht="20.25" customHeight="1">
      <c r="A816" s="155" t="str">
        <f>IFERROR(__xludf.DUMMYFUNCTION("""COMPUTED_VALUE"""),"MacawLife")</f>
        <v>MacawLife</v>
      </c>
      <c r="B816" s="149" t="str">
        <f>IFERROR(__xludf.DUMMYFUNCTION("""COMPUTED_VALUE"""),"Broken Arrow")</f>
        <v>Broken Arrow</v>
      </c>
      <c r="C816" s="149" t="str">
        <f>IFERROR(__xludf.DUMMYFUNCTION("""COMPUTED_VALUE"""),"OK")</f>
        <v>OK</v>
      </c>
      <c r="D816" s="149" t="str">
        <f>IFERROR(__xludf.DUMMYFUNCTION("""COMPUTED_VALUE"""),"USA")</f>
        <v>USA</v>
      </c>
      <c r="E816" s="156">
        <f>IFERROR(__xludf.DUMMYFUNCTION("""COMPUTED_VALUE"""),44305.0)</f>
        <v>44305</v>
      </c>
      <c r="F816" s="129">
        <f>IFERROR(__xludf.DUMMYFUNCTION("""COMPUTED_VALUE"""),44365.0)</f>
        <v>44365</v>
      </c>
      <c r="G816" s="154" t="str">
        <f>IFERROR(__xludf.DUMMYFUNCTION("""COMPUTED_VALUE"""),"Manage order page (normal text)")</f>
        <v>Manage order page (normal text)</v>
      </c>
      <c r="H816" s="131">
        <f>IFERROR(__xludf.DUMMYFUNCTION("""COMPUTED_VALUE"""),655.0)</f>
        <v>655</v>
      </c>
      <c r="I816" s="144" t="str">
        <f>IFERROR(__xludf.DUMMYFUNCTION("""COMPUTED_VALUE"""),"06/21")</f>
        <v>06/21</v>
      </c>
      <c r="J816" s="129">
        <f>IFERROR(__xludf.DUMMYFUNCTION("""COMPUTED_VALUE"""),44376.0)</f>
        <v>44376</v>
      </c>
      <c r="K816" s="133">
        <f>IFERROR(__xludf.DUMMYFUNCTION("""COMPUTED_VALUE"""),60.0)</f>
        <v>60</v>
      </c>
      <c r="L816" s="133">
        <f>IFERROR(__xludf.DUMMYFUNCTION("""COMPUTED_VALUE"""),11.0)</f>
        <v>11</v>
      </c>
      <c r="M816" s="133">
        <f>IFERROR(__xludf.DUMMYFUNCTION("""COMPUTED_VALUE"""),71.0)</f>
        <v>71</v>
      </c>
      <c r="N816" s="152" t="str">
        <f>IFERROR(__xludf.DUMMYFUNCTION("""COMPUTED_VALUE"""),"Model 3 SR+")</f>
        <v>Model 3 SR+</v>
      </c>
      <c r="O816" s="152" t="str">
        <f>IFERROR(__xludf.DUMMYFUNCTION("""COMPUTED_VALUE"""),"Deep Blue Metallic")</f>
        <v>Deep Blue Metallic</v>
      </c>
      <c r="P816" s="153" t="str">
        <f>IFERROR(__xludf.DUMMYFUNCTION("""COMPUTED_VALUE"""),"18 inch")</f>
        <v>18 inch</v>
      </c>
      <c r="Q816" s="152" t="str">
        <f>IFERROR(__xludf.DUMMYFUNCTION("""COMPUTED_VALUE"""),"Black and White")</f>
        <v>Black and White</v>
      </c>
      <c r="R816" s="149" t="str">
        <f>IFERROR(__xludf.DUMMYFUNCTION("""COMPUTED_VALUE"""),"Autopilot included")</f>
        <v>Autopilot included</v>
      </c>
      <c r="S816" s="149" t="str">
        <f>IFERROR(__xludf.DUMMYFUNCTION("""COMPUTED_VALUE"""),"Loan")</f>
        <v>Loan</v>
      </c>
      <c r="T816" s="145" t="str">
        <f>IFERROR(__xludf.DUMMYFUNCTION("""COMPUTED_VALUE"""),"Ford Mustang")</f>
        <v>Ford Mustang</v>
      </c>
      <c r="U816" s="145" t="str">
        <f>IFERROR(__xludf.DUMMYFUNCTION("""COMPUTED_VALUE"""),"Electric!")</f>
        <v>Electric!</v>
      </c>
      <c r="V816" s="145" t="str">
        <f>IFERROR(__xludf.DUMMYFUNCTION("""COMPUTED_VALUE"""),"Head-up display")</f>
        <v>Head-up display</v>
      </c>
      <c r="W816" s="145" t="str">
        <f>IFERROR(__xludf.DUMMYFUNCTION("""COMPUTED_VALUE"""),"Don’t sell your current car too soon. Tesla’s offer might not be the best- shop around. But don’t target the lower end of the estimated delivery window.")</f>
        <v>Don’t sell your current car too soon. Tesla’s offer might not be the best- shop around. But don’t target the lower end of the estimated delivery window.</v>
      </c>
      <c r="X816" s="137" t="str">
        <f>IFERROR(__xludf.DUMMYFUNCTION("""COMPUTED_VALUE"""),"Very Good")</f>
        <v>Very Good</v>
      </c>
      <c r="Y816" s="138" t="str">
        <f>IFERROR(__xludf.DUMMYFUNCTION("""COMPUTED_VALUE"""),"Excellent")</f>
        <v>Excellent</v>
      </c>
      <c r="Z816" s="138" t="str">
        <f>IFERROR(__xludf.DUMMYFUNCTION("""COMPUTED_VALUE"""),"Poor")</f>
        <v>Poor</v>
      </c>
      <c r="AA816" s="138" t="str">
        <f>IFERROR(__xludf.DUMMYFUNCTION("""COMPUTED_VALUE"""),"Fair")</f>
        <v>Fair</v>
      </c>
      <c r="AB816" s="138" t="str">
        <f>IFERROR(__xludf.DUMMYFUNCTION("""COMPUTED_VALUE"""),"Good")</f>
        <v>Good</v>
      </c>
      <c r="AC816" s="139">
        <f>IFERROR(__xludf.DUMMYFUNCTION("""COMPUTED_VALUE"""),3.0)</f>
        <v>3</v>
      </c>
      <c r="AD816" s="139"/>
      <c r="AE816" s="139"/>
      <c r="AF816" s="140" t="str">
        <f>IFERROR(__xludf.DUMMYFUNCTION("""COMPUTED_VALUE"""),"No. I took delivery of the first car Tesla was able to deliver.")</f>
        <v>No. I took delivery of the first car Tesla was able to deliver.</v>
      </c>
      <c r="AG816" s="145"/>
      <c r="AH816" s="157">
        <f>IFERROR(__xludf.DUMMYFUNCTION("""COMPUTED_VALUE"""),44376.931848182874)</f>
        <v>44376.93185</v>
      </c>
      <c r="AI816" s="138"/>
      <c r="AJ816" s="138"/>
      <c r="AK816" s="138"/>
      <c r="AL816" s="142"/>
    </row>
    <row r="817" ht="20.25" customHeight="1">
      <c r="A817" s="155" t="str">
        <f>IFERROR(__xludf.DUMMYFUNCTION("""COMPUTED_VALUE"""),"MADxMAN")</f>
        <v>MADxMAN</v>
      </c>
      <c r="B817" s="149" t="str">
        <f>IFERROR(__xludf.DUMMYFUNCTION("""COMPUTED_VALUE"""),"Boise")</f>
        <v>Boise</v>
      </c>
      <c r="C817" s="149" t="str">
        <f>IFERROR(__xludf.DUMMYFUNCTION("""COMPUTED_VALUE"""),"ID")</f>
        <v>ID</v>
      </c>
      <c r="D817" s="149" t="str">
        <f>IFERROR(__xludf.DUMMYFUNCTION("""COMPUTED_VALUE"""),"USA")</f>
        <v>USA</v>
      </c>
      <c r="E817" s="156">
        <f>IFERROR(__xludf.DUMMYFUNCTION("""COMPUTED_VALUE"""),44305.0)</f>
        <v>44305</v>
      </c>
      <c r="F817" s="129">
        <f>IFERROR(__xludf.DUMMYFUNCTION("""COMPUTED_VALUE"""),44367.0)</f>
        <v>44367</v>
      </c>
      <c r="G817" s="154" t="str">
        <f>IFERROR(__xludf.DUMMYFUNCTION("""COMPUTED_VALUE"""),"Manage order page (normal text)")</f>
        <v>Manage order page (normal text)</v>
      </c>
      <c r="H817" s="131">
        <f>IFERROR(__xludf.DUMMYFUNCTION("""COMPUTED_VALUE"""),997926.0)</f>
        <v>997926</v>
      </c>
      <c r="I817" s="144" t="str">
        <f>IFERROR(__xludf.DUMMYFUNCTION("""COMPUTED_VALUE"""),"06/21")</f>
        <v>06/21</v>
      </c>
      <c r="J817" s="129">
        <f>IFERROR(__xludf.DUMMYFUNCTION("""COMPUTED_VALUE"""),44372.0)</f>
        <v>44372</v>
      </c>
      <c r="K817" s="133">
        <f>IFERROR(__xludf.DUMMYFUNCTION("""COMPUTED_VALUE"""),62.0)</f>
        <v>62</v>
      </c>
      <c r="L817" s="133">
        <f>IFERROR(__xludf.DUMMYFUNCTION("""COMPUTED_VALUE"""),5.0)</f>
        <v>5</v>
      </c>
      <c r="M817" s="133">
        <f>IFERROR(__xludf.DUMMYFUNCTION("""COMPUTED_VALUE"""),67.0)</f>
        <v>67</v>
      </c>
      <c r="N817" s="152" t="str">
        <f>IFERROR(__xludf.DUMMYFUNCTION("""COMPUTED_VALUE"""),"Model 3 LR AWD")</f>
        <v>Model 3 LR AWD</v>
      </c>
      <c r="O817" s="152" t="str">
        <f>IFERROR(__xludf.DUMMYFUNCTION("""COMPUTED_VALUE"""),"Pearl White Multi-Coat")</f>
        <v>Pearl White Multi-Coat</v>
      </c>
      <c r="P817" s="153" t="str">
        <f>IFERROR(__xludf.DUMMYFUNCTION("""COMPUTED_VALUE"""),"18 inch")</f>
        <v>18 inch</v>
      </c>
      <c r="Q817" s="152" t="str">
        <f>IFERROR(__xludf.DUMMYFUNCTION("""COMPUTED_VALUE"""),"All Black")</f>
        <v>All Black</v>
      </c>
      <c r="R817" s="149" t="str">
        <f>IFERROR(__xludf.DUMMYFUNCTION("""COMPUTED_VALUE"""),"Autopilot included")</f>
        <v>Autopilot included</v>
      </c>
      <c r="S817" s="149" t="str">
        <f>IFERROR(__xludf.DUMMYFUNCTION("""COMPUTED_VALUE"""),"Loan")</f>
        <v>Loan</v>
      </c>
      <c r="T817" s="145" t="str">
        <f>IFERROR(__xludf.DUMMYFUNCTION("""COMPUTED_VALUE"""),"Honda Civic")</f>
        <v>Honda Civic</v>
      </c>
      <c r="U817" s="145" t="str">
        <f>IFERROR(__xludf.DUMMYFUNCTION("""COMPUTED_VALUE"""),"Advanced Features")</f>
        <v>Advanced Features</v>
      </c>
      <c r="V817" s="145" t="str">
        <f>IFERROR(__xludf.DUMMYFUNCTION("""COMPUTED_VALUE"""),"Ventilated seats")</f>
        <v>Ventilated seats</v>
      </c>
      <c r="W817" s="145" t="str">
        <f>IFERROR(__xludf.DUMMYFUNCTION("""COMPUTED_VALUE"""),"Don't mind the Estimated Delivery Date on your account, it's useless until you get a VIN.")</f>
        <v>Don't mind the Estimated Delivery Date on your account, it's useless until you get a VIN.</v>
      </c>
      <c r="X817" s="137" t="str">
        <f>IFERROR(__xludf.DUMMYFUNCTION("""COMPUTED_VALUE"""),"Excellent")</f>
        <v>Excellent</v>
      </c>
      <c r="Y817" s="138" t="str">
        <f>IFERROR(__xludf.DUMMYFUNCTION("""COMPUTED_VALUE"""),"Excellent")</f>
        <v>Excellent</v>
      </c>
      <c r="Z817" s="138" t="str">
        <f>IFERROR(__xludf.DUMMYFUNCTION("""COMPUTED_VALUE"""),"Excellent")</f>
        <v>Excellent</v>
      </c>
      <c r="AA817" s="138" t="str">
        <f>IFERROR(__xludf.DUMMYFUNCTION("""COMPUTED_VALUE"""),"Excellent")</f>
        <v>Excellent</v>
      </c>
      <c r="AB817" s="138" t="str">
        <f>IFERROR(__xludf.DUMMYFUNCTION("""COMPUTED_VALUE"""),"Excellent")</f>
        <v>Excellent</v>
      </c>
      <c r="AC817" s="139"/>
      <c r="AD817" s="139"/>
      <c r="AE817" s="139"/>
      <c r="AF817" s="140" t="str">
        <f>IFERROR(__xludf.DUMMYFUNCTION("""COMPUTED_VALUE"""),"No. I took delivery of the first car Tesla was able to deliver.")</f>
        <v>No. I took delivery of the first car Tesla was able to deliver.</v>
      </c>
      <c r="AG817" s="145"/>
      <c r="AH817" s="157">
        <f>IFERROR(__xludf.DUMMYFUNCTION("""COMPUTED_VALUE"""),44376.49556355324)</f>
        <v>44376.49556</v>
      </c>
      <c r="AI817" s="138"/>
      <c r="AJ817" s="138"/>
      <c r="AK817" s="138"/>
      <c r="AL817" s="142"/>
    </row>
    <row r="818" ht="20.25" customHeight="1">
      <c r="A818" s="155" t="str">
        <f>IFERROR(__xludf.DUMMYFUNCTION("""COMPUTED_VALUE"""),"preetham")</f>
        <v>preetham</v>
      </c>
      <c r="B818" s="149" t="str">
        <f>IFERROR(__xludf.DUMMYFUNCTION("""COMPUTED_VALUE"""),"Dayton")</f>
        <v>Dayton</v>
      </c>
      <c r="C818" s="149" t="str">
        <f>IFERROR(__xludf.DUMMYFUNCTION("""COMPUTED_VALUE"""),"OH")</f>
        <v>OH</v>
      </c>
      <c r="D818" s="149" t="str">
        <f>IFERROR(__xludf.DUMMYFUNCTION("""COMPUTED_VALUE"""),"USA")</f>
        <v>USA</v>
      </c>
      <c r="E818" s="156">
        <f>IFERROR(__xludf.DUMMYFUNCTION("""COMPUTED_VALUE"""),44305.0)</f>
        <v>44305</v>
      </c>
      <c r="F818" s="129">
        <f>IFERROR(__xludf.DUMMYFUNCTION("""COMPUTED_VALUE"""),44347.0)</f>
        <v>44347</v>
      </c>
      <c r="G818" s="154" t="str">
        <f>IFERROR(__xludf.DUMMYFUNCTION("""COMPUTED_VALUE"""),"Email")</f>
        <v>Email</v>
      </c>
      <c r="H818" s="131">
        <f>IFERROR(__xludf.DUMMYFUNCTION("""COMPUTED_VALUE"""),976855.0)</f>
        <v>976855</v>
      </c>
      <c r="I818" s="144"/>
      <c r="J818" s="129">
        <f>IFERROR(__xludf.DUMMYFUNCTION("""COMPUTED_VALUE"""),44356.0)</f>
        <v>44356</v>
      </c>
      <c r="K818" s="133">
        <f>IFERROR(__xludf.DUMMYFUNCTION("""COMPUTED_VALUE"""),42.0)</f>
        <v>42</v>
      </c>
      <c r="L818" s="133">
        <f>IFERROR(__xludf.DUMMYFUNCTION("""COMPUTED_VALUE"""),9.0)</f>
        <v>9</v>
      </c>
      <c r="M818" s="133">
        <f>IFERROR(__xludf.DUMMYFUNCTION("""COMPUTED_VALUE"""),51.0)</f>
        <v>51</v>
      </c>
      <c r="N818" s="152" t="str">
        <f>IFERROR(__xludf.DUMMYFUNCTION("""COMPUTED_VALUE"""),"Model 3 SR+")</f>
        <v>Model 3 SR+</v>
      </c>
      <c r="O818" s="152" t="str">
        <f>IFERROR(__xludf.DUMMYFUNCTION("""COMPUTED_VALUE"""),"Pearl White Multi-Coat")</f>
        <v>Pearl White Multi-Coat</v>
      </c>
      <c r="P818" s="153" t="str">
        <f>IFERROR(__xludf.DUMMYFUNCTION("""COMPUTED_VALUE"""),"18 inch")</f>
        <v>18 inch</v>
      </c>
      <c r="Q818" s="152" t="str">
        <f>IFERROR(__xludf.DUMMYFUNCTION("""COMPUTED_VALUE"""),"All Black")</f>
        <v>All Black</v>
      </c>
      <c r="R818" s="149" t="str">
        <f>IFERROR(__xludf.DUMMYFUNCTION("""COMPUTED_VALUE"""),"Autopilot included")</f>
        <v>Autopilot included</v>
      </c>
      <c r="S818" s="149" t="str">
        <f>IFERROR(__xludf.DUMMYFUNCTION("""COMPUTED_VALUE"""),"Loan")</f>
        <v>Loan</v>
      </c>
      <c r="T818" s="145" t="str">
        <f>IFERROR(__xludf.DUMMYFUNCTION("""COMPUTED_VALUE"""),"Honda Civic")</f>
        <v>Honda Civic</v>
      </c>
      <c r="U818" s="145" t="str">
        <f>IFERROR(__xludf.DUMMYFUNCTION("""COMPUTED_VALUE"""),"Autopilot")</f>
        <v>Autopilot</v>
      </c>
      <c r="V818" s="145" t="str">
        <f>IFERROR(__xludf.DUMMYFUNCTION("""COMPUTED_VALUE"""),"Head-up display")</f>
        <v>Head-up display</v>
      </c>
      <c r="W818" s="145" t="str">
        <f>IFERROR(__xludf.DUMMYFUNCTION("""COMPUTED_VALUE"""),"dont start your loan process until you receive a VIN")</f>
        <v>dont start your loan process until you receive a VIN</v>
      </c>
      <c r="X818" s="137"/>
      <c r="Y818" s="138"/>
      <c r="Z818" s="138"/>
      <c r="AA818" s="138"/>
      <c r="AB818" s="138"/>
      <c r="AC818" s="139"/>
      <c r="AD818" s="139"/>
      <c r="AE818" s="139"/>
      <c r="AF818" s="140"/>
      <c r="AG818" s="145"/>
      <c r="AH818" s="157">
        <f>IFERROR(__xludf.DUMMYFUNCTION("""COMPUTED_VALUE"""),44349.33227396991)</f>
        <v>44349.33227</v>
      </c>
      <c r="AI818" s="138"/>
      <c r="AJ818" s="138"/>
      <c r="AK818" s="138"/>
      <c r="AL818" s="142"/>
    </row>
    <row r="819" ht="20.25" customHeight="1">
      <c r="A819" s="155" t="str">
        <f>IFERROR(__xludf.DUMMYFUNCTION("""COMPUTED_VALUE"""),"mry")</f>
        <v>mry</v>
      </c>
      <c r="B819" s="149" t="str">
        <f>IFERROR(__xludf.DUMMYFUNCTION("""COMPUTED_VALUE"""),"Gainesville")</f>
        <v>Gainesville</v>
      </c>
      <c r="C819" s="149" t="str">
        <f>IFERROR(__xludf.DUMMYFUNCTION("""COMPUTED_VALUE"""),"FL")</f>
        <v>FL</v>
      </c>
      <c r="D819" s="149" t="str">
        <f>IFERROR(__xludf.DUMMYFUNCTION("""COMPUTED_VALUE"""),"USA")</f>
        <v>USA</v>
      </c>
      <c r="E819" s="156">
        <f>IFERROR(__xludf.DUMMYFUNCTION("""COMPUTED_VALUE"""),44304.0)</f>
        <v>44304</v>
      </c>
      <c r="F819" s="129">
        <f>IFERROR(__xludf.DUMMYFUNCTION("""COMPUTED_VALUE"""),44345.0)</f>
        <v>44345</v>
      </c>
      <c r="G819" s="154" t="str">
        <f>IFERROR(__xludf.DUMMYFUNCTION("""COMPUTED_VALUE"""),"Manage order page (normal text)")</f>
        <v>Manage order page (normal text)</v>
      </c>
      <c r="H819" s="131">
        <f>IFERROR(__xludf.DUMMYFUNCTION("""COMPUTED_VALUE"""),979255.0)</f>
        <v>979255</v>
      </c>
      <c r="I819" s="144" t="str">
        <f>IFERROR(__xludf.DUMMYFUNCTION("""COMPUTED_VALUE"""),"05/21")</f>
        <v>05/21</v>
      </c>
      <c r="J819" s="129">
        <f>IFERROR(__xludf.DUMMYFUNCTION("""COMPUTED_VALUE"""),44359.0)</f>
        <v>44359</v>
      </c>
      <c r="K819" s="133">
        <f>IFERROR(__xludf.DUMMYFUNCTION("""COMPUTED_VALUE"""),41.0)</f>
        <v>41</v>
      </c>
      <c r="L819" s="133">
        <f>IFERROR(__xludf.DUMMYFUNCTION("""COMPUTED_VALUE"""),14.0)</f>
        <v>14</v>
      </c>
      <c r="M819" s="133">
        <f>IFERROR(__xludf.DUMMYFUNCTION("""COMPUTED_VALUE"""),55.0)</f>
        <v>55</v>
      </c>
      <c r="N819" s="152" t="str">
        <f>IFERROR(__xludf.DUMMYFUNCTION("""COMPUTED_VALUE"""),"Model 3 LR AWD")</f>
        <v>Model 3 LR AWD</v>
      </c>
      <c r="O819" s="152" t="str">
        <f>IFERROR(__xludf.DUMMYFUNCTION("""COMPUTED_VALUE"""),"Midnight Silver Metallic")</f>
        <v>Midnight Silver Metallic</v>
      </c>
      <c r="P819" s="153" t="str">
        <f>IFERROR(__xludf.DUMMYFUNCTION("""COMPUTED_VALUE"""),"18 inch")</f>
        <v>18 inch</v>
      </c>
      <c r="Q819" s="152" t="str">
        <f>IFERROR(__xludf.DUMMYFUNCTION("""COMPUTED_VALUE"""),"All Black")</f>
        <v>All Black</v>
      </c>
      <c r="R819" s="149" t="str">
        <f>IFERROR(__xludf.DUMMYFUNCTION("""COMPUTED_VALUE"""),"Autopilot included")</f>
        <v>Autopilot included</v>
      </c>
      <c r="S819" s="149" t="str">
        <f>IFERROR(__xludf.DUMMYFUNCTION("""COMPUTED_VALUE"""),"Loan")</f>
        <v>Loan</v>
      </c>
      <c r="T819" s="145" t="str">
        <f>IFERROR(__xludf.DUMMYFUNCTION("""COMPUTED_VALUE"""),"Audi A5")</f>
        <v>Audi A5</v>
      </c>
      <c r="U819" s="145"/>
      <c r="V819" s="145"/>
      <c r="W819" s="145" t="str">
        <f>IFERROR(__xludf.DUMMYFUNCTION("""COMPUTED_VALUE"""),"Email autofinance@tesla.com - dropped my APR 2.1%")</f>
        <v>Email autofinance@tesla.com - dropped my APR 2.1%</v>
      </c>
      <c r="X819" s="137" t="str">
        <f>IFERROR(__xludf.DUMMYFUNCTION("""COMPUTED_VALUE"""),"Excellent")</f>
        <v>Excellent</v>
      </c>
      <c r="Y819" s="138" t="str">
        <f>IFERROR(__xludf.DUMMYFUNCTION("""COMPUTED_VALUE"""),"Excellent")</f>
        <v>Excellent</v>
      </c>
      <c r="Z819" s="138" t="str">
        <f>IFERROR(__xludf.DUMMYFUNCTION("""COMPUTED_VALUE"""),"Excellent")</f>
        <v>Excellent</v>
      </c>
      <c r="AA819" s="138" t="str">
        <f>IFERROR(__xludf.DUMMYFUNCTION("""COMPUTED_VALUE"""),"Fair")</f>
        <v>Fair</v>
      </c>
      <c r="AB819" s="138" t="str">
        <f>IFERROR(__xludf.DUMMYFUNCTION("""COMPUTED_VALUE"""),"Excellent")</f>
        <v>Excellent</v>
      </c>
      <c r="AC819" s="139">
        <f>IFERROR(__xludf.DUMMYFUNCTION("""COMPUTED_VALUE"""),0.0)</f>
        <v>0</v>
      </c>
      <c r="AD819" s="139"/>
      <c r="AE819" s="139"/>
      <c r="AF819" s="140" t="str">
        <f>IFERROR(__xludf.DUMMYFUNCTION("""COMPUTED_VALUE"""),"No. I took delivery of the first car Tesla was able to deliver.")</f>
        <v>No. I took delivery of the first car Tesla was able to deliver.</v>
      </c>
      <c r="AG819" s="145"/>
      <c r="AH819" s="157">
        <f>IFERROR(__xludf.DUMMYFUNCTION("""COMPUTED_VALUE"""),44359.845593750004)</f>
        <v>44359.84559</v>
      </c>
      <c r="AI819" s="138"/>
      <c r="AJ819" s="138"/>
      <c r="AK819" s="138"/>
      <c r="AL819" s="142"/>
    </row>
    <row r="820" ht="20.25" customHeight="1">
      <c r="A820" s="155" t="str">
        <f>IFERROR(__xludf.DUMMYFUNCTION("""COMPUTED_VALUE"""),"Simply Potamus")</f>
        <v>Simply Potamus</v>
      </c>
      <c r="B820" s="149" t="str">
        <f>IFERROR(__xludf.DUMMYFUNCTION("""COMPUTED_VALUE"""),"Salt Lake City")</f>
        <v>Salt Lake City</v>
      </c>
      <c r="C820" s="149" t="str">
        <f>IFERROR(__xludf.DUMMYFUNCTION("""COMPUTED_VALUE"""),"UT")</f>
        <v>UT</v>
      </c>
      <c r="D820" s="149" t="str">
        <f>IFERROR(__xludf.DUMMYFUNCTION("""COMPUTED_VALUE"""),"USA")</f>
        <v>USA</v>
      </c>
      <c r="E820" s="156">
        <f>IFERROR(__xludf.DUMMYFUNCTION("""COMPUTED_VALUE"""),44304.0)</f>
        <v>44304</v>
      </c>
      <c r="F820" s="129">
        <f>IFERROR(__xludf.DUMMYFUNCTION("""COMPUTED_VALUE"""),44365.0)</f>
        <v>44365</v>
      </c>
      <c r="G820" s="154" t="str">
        <f>IFERROR(__xludf.DUMMYFUNCTION("""COMPUTED_VALUE"""),"Manage order page (normal text)")</f>
        <v>Manage order page (normal text)</v>
      </c>
      <c r="H820" s="131">
        <f>IFERROR(__xludf.DUMMYFUNCTION("""COMPUTED_VALUE"""),995941.0)</f>
        <v>995941</v>
      </c>
      <c r="I820" s="144" t="str">
        <f>IFERROR(__xludf.DUMMYFUNCTION("""COMPUTED_VALUE"""),"06/21")</f>
        <v>06/21</v>
      </c>
      <c r="J820" s="129">
        <f>IFERROR(__xludf.DUMMYFUNCTION("""COMPUTED_VALUE"""),44368.0)</f>
        <v>44368</v>
      </c>
      <c r="K820" s="133">
        <f>IFERROR(__xludf.DUMMYFUNCTION("""COMPUTED_VALUE"""),61.0)</f>
        <v>61</v>
      </c>
      <c r="L820" s="133">
        <f>IFERROR(__xludf.DUMMYFUNCTION("""COMPUTED_VALUE"""),3.0)</f>
        <v>3</v>
      </c>
      <c r="M820" s="133">
        <f>IFERROR(__xludf.DUMMYFUNCTION("""COMPUTED_VALUE"""),64.0)</f>
        <v>64</v>
      </c>
      <c r="N820" s="152" t="str">
        <f>IFERROR(__xludf.DUMMYFUNCTION("""COMPUTED_VALUE"""),"Model 3 LR AWD")</f>
        <v>Model 3 LR AWD</v>
      </c>
      <c r="O820" s="152" t="str">
        <f>IFERROR(__xludf.DUMMYFUNCTION("""COMPUTED_VALUE"""),"Pearl White Multi-Coat")</f>
        <v>Pearl White Multi-Coat</v>
      </c>
      <c r="P820" s="153" t="str">
        <f>IFERROR(__xludf.DUMMYFUNCTION("""COMPUTED_VALUE"""),"18 inch")</f>
        <v>18 inch</v>
      </c>
      <c r="Q820" s="152" t="str">
        <f>IFERROR(__xludf.DUMMYFUNCTION("""COMPUTED_VALUE"""),"Black and White")</f>
        <v>Black and White</v>
      </c>
      <c r="R820" s="149" t="str">
        <f>IFERROR(__xludf.DUMMYFUNCTION("""COMPUTED_VALUE"""),"Autopilot included")</f>
        <v>Autopilot included</v>
      </c>
      <c r="S820" s="149" t="str">
        <f>IFERROR(__xludf.DUMMYFUNCTION("""COMPUTED_VALUE"""),"Cash")</f>
        <v>Cash</v>
      </c>
      <c r="T820" s="145"/>
      <c r="U820" s="145" t="str">
        <f>IFERROR(__xludf.DUMMYFUNCTION("""COMPUTED_VALUE"""),"Electric!")</f>
        <v>Electric!</v>
      </c>
      <c r="V820" s="145" t="str">
        <f>IFERROR(__xludf.DUMMYFUNCTION("""COMPUTED_VALUE"""),"Apple CarPlay / Android Auto / SiriusXM Radio")</f>
        <v>Apple CarPlay / Android Auto / SiriusXM Radio</v>
      </c>
      <c r="W820" s="145"/>
      <c r="X820" s="137" t="str">
        <f>IFERROR(__xludf.DUMMYFUNCTION("""COMPUTED_VALUE"""),"Excellent")</f>
        <v>Excellent</v>
      </c>
      <c r="Y820" s="138" t="str">
        <f>IFERROR(__xludf.DUMMYFUNCTION("""COMPUTED_VALUE"""),"Excellent")</f>
        <v>Excellent</v>
      </c>
      <c r="Z820" s="138" t="str">
        <f>IFERROR(__xludf.DUMMYFUNCTION("""COMPUTED_VALUE"""),"Excellent")</f>
        <v>Excellent</v>
      </c>
      <c r="AA820" s="138" t="str">
        <f>IFERROR(__xludf.DUMMYFUNCTION("""COMPUTED_VALUE"""),"Very Good")</f>
        <v>Very Good</v>
      </c>
      <c r="AB820" s="138" t="str">
        <f>IFERROR(__xludf.DUMMYFUNCTION("""COMPUTED_VALUE"""),"Excellent")</f>
        <v>Excellent</v>
      </c>
      <c r="AC820" s="139"/>
      <c r="AD820" s="139"/>
      <c r="AE820" s="139"/>
      <c r="AF820" s="140" t="str">
        <f>IFERROR(__xludf.DUMMYFUNCTION("""COMPUTED_VALUE"""),"No. I took delivery of the first car Tesla was able to deliver.")</f>
        <v>No. I took delivery of the first car Tesla was able to deliver.</v>
      </c>
      <c r="AG820" s="145"/>
      <c r="AH820" s="157">
        <f>IFERROR(__xludf.DUMMYFUNCTION("""COMPUTED_VALUE"""),44376.896685)</f>
        <v>44376.89669</v>
      </c>
      <c r="AI820" s="138"/>
      <c r="AJ820" s="138"/>
      <c r="AK820" s="138"/>
      <c r="AL820" s="142"/>
    </row>
    <row r="821" ht="20.25" customHeight="1">
      <c r="A821" s="155" t="str">
        <f>IFERROR(__xludf.DUMMYFUNCTION("""COMPUTED_VALUE"""),"WdLuhn")</f>
        <v>WdLuhn</v>
      </c>
      <c r="B821" s="149" t="str">
        <f>IFERROR(__xludf.DUMMYFUNCTION("""COMPUTED_VALUE"""),"Bristol (Kenosha Cty)")</f>
        <v>Bristol (Kenosha Cty)</v>
      </c>
      <c r="C821" s="149" t="str">
        <f>IFERROR(__xludf.DUMMYFUNCTION("""COMPUTED_VALUE"""),"WI")</f>
        <v>WI</v>
      </c>
      <c r="D821" s="149" t="str">
        <f>IFERROR(__xludf.DUMMYFUNCTION("""COMPUTED_VALUE"""),"USA")</f>
        <v>USA</v>
      </c>
      <c r="E821" s="156">
        <f>IFERROR(__xludf.DUMMYFUNCTION("""COMPUTED_VALUE"""),44304.0)</f>
        <v>44304</v>
      </c>
      <c r="F821" s="129">
        <f>IFERROR(__xludf.DUMMYFUNCTION("""COMPUTED_VALUE"""),44392.0)</f>
        <v>44392</v>
      </c>
      <c r="G821" s="154" t="str">
        <f>IFERROR(__xludf.DUMMYFUNCTION("""COMPUTED_VALUE"""),"Manage order page (normal text)")</f>
        <v>Manage order page (normal text)</v>
      </c>
      <c r="H821" s="131">
        <f>IFERROR(__xludf.DUMMYFUNCTION("""COMPUTED_VALUE"""),19455.0)</f>
        <v>19455</v>
      </c>
      <c r="I821" s="144"/>
      <c r="J821" s="129">
        <f>IFERROR(__xludf.DUMMYFUNCTION("""COMPUTED_VALUE"""),44418.0)</f>
        <v>44418</v>
      </c>
      <c r="K821" s="133">
        <f>IFERROR(__xludf.DUMMYFUNCTION("""COMPUTED_VALUE"""),88.0)</f>
        <v>88</v>
      </c>
      <c r="L821" s="133">
        <f>IFERROR(__xludf.DUMMYFUNCTION("""COMPUTED_VALUE"""),26.0)</f>
        <v>26</v>
      </c>
      <c r="M821" s="133">
        <f>IFERROR(__xludf.DUMMYFUNCTION("""COMPUTED_VALUE"""),114.0)</f>
        <v>114</v>
      </c>
      <c r="N821" s="152" t="str">
        <f>IFERROR(__xludf.DUMMYFUNCTION("""COMPUTED_VALUE"""),"Model 3 LR AWD")</f>
        <v>Model 3 LR AWD</v>
      </c>
      <c r="O821" s="152" t="str">
        <f>IFERROR(__xludf.DUMMYFUNCTION("""COMPUTED_VALUE"""),"Deep Blue Metallic")</f>
        <v>Deep Blue Metallic</v>
      </c>
      <c r="P821" s="153" t="str">
        <f>IFERROR(__xludf.DUMMYFUNCTION("""COMPUTED_VALUE"""),"18 inch")</f>
        <v>18 inch</v>
      </c>
      <c r="Q821" s="152" t="str">
        <f>IFERROR(__xludf.DUMMYFUNCTION("""COMPUTED_VALUE"""),"All Black")</f>
        <v>All Black</v>
      </c>
      <c r="R821" s="149" t="str">
        <f>IFERROR(__xludf.DUMMYFUNCTION("""COMPUTED_VALUE"""),"Autopilot included")</f>
        <v>Autopilot included</v>
      </c>
      <c r="S821" s="149" t="str">
        <f>IFERROR(__xludf.DUMMYFUNCTION("""COMPUTED_VALUE"""),"Loan")</f>
        <v>Loan</v>
      </c>
      <c r="T821" s="145" t="str">
        <f>IFERROR(__xludf.DUMMYFUNCTION("""COMPUTED_VALUE"""),"Subaru Outback")</f>
        <v>Subaru Outback</v>
      </c>
      <c r="U821" s="145" t="str">
        <f>IFERROR(__xludf.DUMMYFUNCTION("""COMPUTED_VALUE"""),"Electric!")</f>
        <v>Electric!</v>
      </c>
      <c r="V821" s="145" t="str">
        <f>IFERROR(__xludf.DUMMYFUNCTION("""COMPUTED_VALUE"""),"Apple CarPlay / Android Auto / SiriusXM Radio")</f>
        <v>Apple CarPlay / Android Auto / SiriusXM Radio</v>
      </c>
      <c r="W821" s="145"/>
      <c r="X821" s="137" t="str">
        <f>IFERROR(__xludf.DUMMYFUNCTION("""COMPUTED_VALUE"""),"Very Good")</f>
        <v>Very Good</v>
      </c>
      <c r="Y821" s="138" t="str">
        <f>IFERROR(__xludf.DUMMYFUNCTION("""COMPUTED_VALUE"""),"Very Good")</f>
        <v>Very Good</v>
      </c>
      <c r="Z821" s="138" t="str">
        <f>IFERROR(__xludf.DUMMYFUNCTION("""COMPUTED_VALUE"""),"Very Good")</f>
        <v>Very Good</v>
      </c>
      <c r="AA821" s="138" t="str">
        <f>IFERROR(__xludf.DUMMYFUNCTION("""COMPUTED_VALUE"""),"Fair")</f>
        <v>Fair</v>
      </c>
      <c r="AB821" s="138" t="str">
        <f>IFERROR(__xludf.DUMMYFUNCTION("""COMPUTED_VALUE"""),"Good")</f>
        <v>Good</v>
      </c>
      <c r="AC821" s="139">
        <f>IFERROR(__xludf.DUMMYFUNCTION("""COMPUTED_VALUE"""),1.0)</f>
        <v>1</v>
      </c>
      <c r="AD821" s="139">
        <f>IFERROR(__xludf.DUMMYFUNCTION("""COMPUTED_VALUE"""),1.0)</f>
        <v>1</v>
      </c>
      <c r="AE821" s="139">
        <f>IFERROR(__xludf.DUMMYFUNCTION("""COMPUTED_VALUE"""),18.0)</f>
        <v>18</v>
      </c>
      <c r="AF821" s="140"/>
      <c r="AG821" s="145"/>
      <c r="AH821" s="157">
        <f>IFERROR(__xludf.DUMMYFUNCTION("""COMPUTED_VALUE"""),44434.472162754624)</f>
        <v>44434.47216</v>
      </c>
      <c r="AI821" s="138"/>
      <c r="AJ821" s="138"/>
      <c r="AK821" s="138"/>
      <c r="AL821" s="142"/>
    </row>
    <row r="822" ht="20.25" customHeight="1">
      <c r="A822" s="155" t="str">
        <f>IFERROR(__xludf.DUMMYFUNCTION("""COMPUTED_VALUE"""),"Will")</f>
        <v>Will</v>
      </c>
      <c r="B822" s="149" t="str">
        <f>IFERROR(__xludf.DUMMYFUNCTION("""COMPUTED_VALUE"""),"Seattle")</f>
        <v>Seattle</v>
      </c>
      <c r="C822" s="149" t="str">
        <f>IFERROR(__xludf.DUMMYFUNCTION("""COMPUTED_VALUE"""),"WA")</f>
        <v>WA</v>
      </c>
      <c r="D822" s="149" t="str">
        <f>IFERROR(__xludf.DUMMYFUNCTION("""COMPUTED_VALUE"""),"USA")</f>
        <v>USA</v>
      </c>
      <c r="E822" s="156">
        <f>IFERROR(__xludf.DUMMYFUNCTION("""COMPUTED_VALUE"""),44304.0)</f>
        <v>44304</v>
      </c>
      <c r="F822" s="129">
        <f>IFERROR(__xludf.DUMMYFUNCTION("""COMPUTED_VALUE"""),44367.0)</f>
        <v>44367</v>
      </c>
      <c r="G822" s="154" t="str">
        <f>IFERROR(__xludf.DUMMYFUNCTION("""COMPUTED_VALUE"""),"MVPA")</f>
        <v>MVPA</v>
      </c>
      <c r="H822" s="131"/>
      <c r="I822" s="144" t="str">
        <f>IFERROR(__xludf.DUMMYFUNCTION("""COMPUTED_VALUE"""),"05/21")</f>
        <v>05/21</v>
      </c>
      <c r="J822" s="129">
        <f>IFERROR(__xludf.DUMMYFUNCTION("""COMPUTED_VALUE"""),44370.0)</f>
        <v>44370</v>
      </c>
      <c r="K822" s="133">
        <f>IFERROR(__xludf.DUMMYFUNCTION("""COMPUTED_VALUE"""),63.0)</f>
        <v>63</v>
      </c>
      <c r="L822" s="133">
        <f>IFERROR(__xludf.DUMMYFUNCTION("""COMPUTED_VALUE"""),3.0)</f>
        <v>3</v>
      </c>
      <c r="M822" s="133">
        <f>IFERROR(__xludf.DUMMYFUNCTION("""COMPUTED_VALUE"""),66.0)</f>
        <v>66</v>
      </c>
      <c r="N822" s="152" t="str">
        <f>IFERROR(__xludf.DUMMYFUNCTION("""COMPUTED_VALUE"""),"Model 3 LR AWD")</f>
        <v>Model 3 LR AWD</v>
      </c>
      <c r="O822" s="152" t="str">
        <f>IFERROR(__xludf.DUMMYFUNCTION("""COMPUTED_VALUE"""),"Deep Blue Metallic")</f>
        <v>Deep Blue Metallic</v>
      </c>
      <c r="P822" s="153" t="str">
        <f>IFERROR(__xludf.DUMMYFUNCTION("""COMPUTED_VALUE"""),"18 inch")</f>
        <v>18 inch</v>
      </c>
      <c r="Q822" s="152" t="str">
        <f>IFERROR(__xludf.DUMMYFUNCTION("""COMPUTED_VALUE"""),"All Black")</f>
        <v>All Black</v>
      </c>
      <c r="R822" s="149" t="str">
        <f>IFERROR(__xludf.DUMMYFUNCTION("""COMPUTED_VALUE"""),"Autopilot included")</f>
        <v>Autopilot included</v>
      </c>
      <c r="S822" s="149"/>
      <c r="T822" s="145" t="str">
        <f>IFERROR(__xludf.DUMMYFUNCTION("""COMPUTED_VALUE"""),"Toyota Camry")</f>
        <v>Toyota Camry</v>
      </c>
      <c r="U822" s="145" t="str">
        <f>IFERROR(__xludf.DUMMYFUNCTION("""COMPUTED_VALUE"""),"Electric!")</f>
        <v>Electric!</v>
      </c>
      <c r="V822" s="145" t="str">
        <f>IFERROR(__xludf.DUMMYFUNCTION("""COMPUTED_VALUE"""),"Air suspension")</f>
        <v>Air suspension</v>
      </c>
      <c r="W822" s="145"/>
      <c r="X822" s="137"/>
      <c r="Y822" s="138"/>
      <c r="Z822" s="138"/>
      <c r="AA822" s="138"/>
      <c r="AB822" s="138"/>
      <c r="AC822" s="139">
        <f>IFERROR(__xludf.DUMMYFUNCTION("""COMPUTED_VALUE"""),2.0)</f>
        <v>2</v>
      </c>
      <c r="AD822" s="139"/>
      <c r="AE822" s="139"/>
      <c r="AF822" s="140"/>
      <c r="AG822" s="145"/>
      <c r="AH822" s="157">
        <f>IFERROR(__xludf.DUMMYFUNCTION("""COMPUTED_VALUE"""),44374.84619076389)</f>
        <v>44374.84619</v>
      </c>
      <c r="AI822" s="138"/>
      <c r="AJ822" s="138"/>
      <c r="AK822" s="138"/>
      <c r="AL822" s="142"/>
    </row>
    <row r="823" ht="20.25" customHeight="1">
      <c r="A823" s="155" t="str">
        <f>IFERROR(__xludf.DUMMYFUNCTION("""COMPUTED_VALUE"""),"bitranch")</f>
        <v>bitranch</v>
      </c>
      <c r="B823" s="149" t="str">
        <f>IFERROR(__xludf.DUMMYFUNCTION("""COMPUTED_VALUE"""),"Scottsdale")</f>
        <v>Scottsdale</v>
      </c>
      <c r="C823" s="149" t="str">
        <f>IFERROR(__xludf.DUMMYFUNCTION("""COMPUTED_VALUE"""),"AZ")</f>
        <v>AZ</v>
      </c>
      <c r="D823" s="149" t="str">
        <f>IFERROR(__xludf.DUMMYFUNCTION("""COMPUTED_VALUE"""),"USA")</f>
        <v>USA</v>
      </c>
      <c r="E823" s="156">
        <f>IFERROR(__xludf.DUMMYFUNCTION("""COMPUTED_VALUE"""),44303.0)</f>
        <v>44303</v>
      </c>
      <c r="F823" s="129">
        <f>IFERROR(__xludf.DUMMYFUNCTION("""COMPUTED_VALUE"""),44365.0)</f>
        <v>44365</v>
      </c>
      <c r="G823" s="154" t="str">
        <f>IFERROR(__xludf.DUMMYFUNCTION("""COMPUTED_VALUE"""),"Manage order page (normal text)")</f>
        <v>Manage order page (normal text)</v>
      </c>
      <c r="H823" s="131">
        <f>IFERROR(__xludf.DUMMYFUNCTION("""COMPUTED_VALUE"""),999455.0)</f>
        <v>999455</v>
      </c>
      <c r="I823" s="144" t="str">
        <f>IFERROR(__xludf.DUMMYFUNCTION("""COMPUTED_VALUE"""),"06/21")</f>
        <v>06/21</v>
      </c>
      <c r="J823" s="129">
        <f>IFERROR(__xludf.DUMMYFUNCTION("""COMPUTED_VALUE"""),44372.0)</f>
        <v>44372</v>
      </c>
      <c r="K823" s="133">
        <f>IFERROR(__xludf.DUMMYFUNCTION("""COMPUTED_VALUE"""),62.0)</f>
        <v>62</v>
      </c>
      <c r="L823" s="133">
        <f>IFERROR(__xludf.DUMMYFUNCTION("""COMPUTED_VALUE"""),7.0)</f>
        <v>7</v>
      </c>
      <c r="M823" s="133">
        <f>IFERROR(__xludf.DUMMYFUNCTION("""COMPUTED_VALUE"""),69.0)</f>
        <v>69</v>
      </c>
      <c r="N823" s="152" t="str">
        <f>IFERROR(__xludf.DUMMYFUNCTION("""COMPUTED_VALUE"""),"Model 3 LR AWD")</f>
        <v>Model 3 LR AWD</v>
      </c>
      <c r="O823" s="152" t="str">
        <f>IFERROR(__xludf.DUMMYFUNCTION("""COMPUTED_VALUE"""),"Red Multi-Coat")</f>
        <v>Red Multi-Coat</v>
      </c>
      <c r="P823" s="153" t="str">
        <f>IFERROR(__xludf.DUMMYFUNCTION("""COMPUTED_VALUE"""),"18 inch")</f>
        <v>18 inch</v>
      </c>
      <c r="Q823" s="152" t="str">
        <f>IFERROR(__xludf.DUMMYFUNCTION("""COMPUTED_VALUE"""),"Black and White")</f>
        <v>Black and White</v>
      </c>
      <c r="R823" s="149" t="str">
        <f>IFERROR(__xludf.DUMMYFUNCTION("""COMPUTED_VALUE"""),"Full Self-Driving")</f>
        <v>Full Self-Driving</v>
      </c>
      <c r="S823" s="149" t="str">
        <f>IFERROR(__xludf.DUMMYFUNCTION("""COMPUTED_VALUE"""),"Loan")</f>
        <v>Loan</v>
      </c>
      <c r="T823" s="145" t="str">
        <f>IFERROR(__xludf.DUMMYFUNCTION("""COMPUTED_VALUE"""),"BMW 3 Series")</f>
        <v>BMW 3 Series</v>
      </c>
      <c r="U823" s="145" t="str">
        <f>IFERROR(__xludf.DUMMYFUNCTION("""COMPUTED_VALUE"""),"Tesla brand image")</f>
        <v>Tesla brand image</v>
      </c>
      <c r="V823" s="145" t="str">
        <f>IFERROR(__xludf.DUMMYFUNCTION("""COMPUTED_VALUE"""),"Apple CarPlay / Android Auto / SiriusXM Radio")</f>
        <v>Apple CarPlay / Android Auto / SiriusXM Radio</v>
      </c>
      <c r="W823" s="145"/>
      <c r="X823" s="137" t="str">
        <f>IFERROR(__xludf.DUMMYFUNCTION("""COMPUTED_VALUE"""),"Excellent")</f>
        <v>Excellent</v>
      </c>
      <c r="Y823" s="138" t="str">
        <f>IFERROR(__xludf.DUMMYFUNCTION("""COMPUTED_VALUE"""),"Excellent")</f>
        <v>Excellent</v>
      </c>
      <c r="Z823" s="138" t="str">
        <f>IFERROR(__xludf.DUMMYFUNCTION("""COMPUTED_VALUE"""),"Excellent")</f>
        <v>Excellent</v>
      </c>
      <c r="AA823" s="138" t="str">
        <f>IFERROR(__xludf.DUMMYFUNCTION("""COMPUTED_VALUE"""),"Very Good")</f>
        <v>Very Good</v>
      </c>
      <c r="AB823" s="138" t="str">
        <f>IFERROR(__xludf.DUMMYFUNCTION("""COMPUTED_VALUE"""),"Excellent")</f>
        <v>Excellent</v>
      </c>
      <c r="AC823" s="139">
        <f>IFERROR(__xludf.DUMMYFUNCTION("""COMPUTED_VALUE"""),1.0)</f>
        <v>1</v>
      </c>
      <c r="AD823" s="139">
        <f>IFERROR(__xludf.DUMMYFUNCTION("""COMPUTED_VALUE"""),1.0)</f>
        <v>1</v>
      </c>
      <c r="AE823" s="139">
        <f>IFERROR(__xludf.DUMMYFUNCTION("""COMPUTED_VALUE"""),0.0)</f>
        <v>0</v>
      </c>
      <c r="AF823" s="140" t="str">
        <f>IFERROR(__xludf.DUMMYFUNCTION("""COMPUTED_VALUE"""),"No. I took delivery of the first car Tesla was able to deliver.")</f>
        <v>No. I took delivery of the first car Tesla was able to deliver.</v>
      </c>
      <c r="AG823" s="145"/>
      <c r="AH823" s="157">
        <f>IFERROR(__xludf.DUMMYFUNCTION("""COMPUTED_VALUE"""),44395.42294357639)</f>
        <v>44395.42294</v>
      </c>
      <c r="AI823" s="138"/>
      <c r="AJ823" s="138"/>
      <c r="AK823" s="138"/>
      <c r="AL823" s="142"/>
    </row>
    <row r="824" ht="20.25" customHeight="1">
      <c r="A824" s="155" t="str">
        <f>IFERROR(__xludf.DUMMYFUNCTION("""COMPUTED_VALUE"""),"Carolinian")</f>
        <v>Carolinian</v>
      </c>
      <c r="B824" s="149" t="str">
        <f>IFERROR(__xludf.DUMMYFUNCTION("""COMPUTED_VALUE"""),"Cary")</f>
        <v>Cary</v>
      </c>
      <c r="C824" s="149" t="str">
        <f>IFERROR(__xludf.DUMMYFUNCTION("""COMPUTED_VALUE"""),"NC")</f>
        <v>NC</v>
      </c>
      <c r="D824" s="149" t="str">
        <f>IFERROR(__xludf.DUMMYFUNCTION("""COMPUTED_VALUE"""),"USA")</f>
        <v>USA</v>
      </c>
      <c r="E824" s="156">
        <f>IFERROR(__xludf.DUMMYFUNCTION("""COMPUTED_VALUE"""),44303.0)</f>
        <v>44303</v>
      </c>
      <c r="F824" s="129">
        <f>IFERROR(__xludf.DUMMYFUNCTION("""COMPUTED_VALUE"""),44360.0)</f>
        <v>44360</v>
      </c>
      <c r="G824" s="154" t="str">
        <f>IFERROR(__xludf.DUMMYFUNCTION("""COMPUTED_VALUE"""),"Manage order page (normal text)")</f>
        <v>Manage order page (normal text)</v>
      </c>
      <c r="H824" s="131"/>
      <c r="I824" s="144"/>
      <c r="J824" s="129">
        <f>IFERROR(__xludf.DUMMYFUNCTION("""COMPUTED_VALUE"""),44376.0)</f>
        <v>44376</v>
      </c>
      <c r="K824" s="133">
        <f>IFERROR(__xludf.DUMMYFUNCTION("""COMPUTED_VALUE"""),57.0)</f>
        <v>57</v>
      </c>
      <c r="L824" s="133">
        <f>IFERROR(__xludf.DUMMYFUNCTION("""COMPUTED_VALUE"""),16.0)</f>
        <v>16</v>
      </c>
      <c r="M824" s="133">
        <f>IFERROR(__xludf.DUMMYFUNCTION("""COMPUTED_VALUE"""),73.0)</f>
        <v>73</v>
      </c>
      <c r="N824" s="152" t="str">
        <f>IFERROR(__xludf.DUMMYFUNCTION("""COMPUTED_VALUE"""),"Model 3 LR AWD")</f>
        <v>Model 3 LR AWD</v>
      </c>
      <c r="O824" s="152" t="str">
        <f>IFERROR(__xludf.DUMMYFUNCTION("""COMPUTED_VALUE"""),"Midnight Silver Metallic")</f>
        <v>Midnight Silver Metallic</v>
      </c>
      <c r="P824" s="153" t="str">
        <f>IFERROR(__xludf.DUMMYFUNCTION("""COMPUTED_VALUE"""),"18 inch")</f>
        <v>18 inch</v>
      </c>
      <c r="Q824" s="152" t="str">
        <f>IFERROR(__xludf.DUMMYFUNCTION("""COMPUTED_VALUE"""),"Black and White")</f>
        <v>Black and White</v>
      </c>
      <c r="R824" s="149" t="str">
        <f>IFERROR(__xludf.DUMMYFUNCTION("""COMPUTED_VALUE"""),"Autopilot included")</f>
        <v>Autopilot included</v>
      </c>
      <c r="S824" s="149" t="str">
        <f>IFERROR(__xludf.DUMMYFUNCTION("""COMPUTED_VALUE"""),"Loan")</f>
        <v>Loan</v>
      </c>
      <c r="T824" s="145" t="str">
        <f>IFERROR(__xludf.DUMMYFUNCTION("""COMPUTED_VALUE"""),"GMC Canyon")</f>
        <v>GMC Canyon</v>
      </c>
      <c r="U824" s="145" t="str">
        <f>IFERROR(__xludf.DUMMYFUNCTION("""COMPUTED_VALUE"""),"Electric!")</f>
        <v>Electric!</v>
      </c>
      <c r="V824" s="145" t="str">
        <f>IFERROR(__xludf.DUMMYFUNCTION("""COMPUTED_VALUE"""),"Ventilated seats")</f>
        <v>Ventilated seats</v>
      </c>
      <c r="W824" s="145"/>
      <c r="X824" s="137" t="str">
        <f>IFERROR(__xludf.DUMMYFUNCTION("""COMPUTED_VALUE"""),"Excellent")</f>
        <v>Excellent</v>
      </c>
      <c r="Y824" s="138" t="str">
        <f>IFERROR(__xludf.DUMMYFUNCTION("""COMPUTED_VALUE"""),"Very Good")</f>
        <v>Very Good</v>
      </c>
      <c r="Z824" s="138" t="str">
        <f>IFERROR(__xludf.DUMMYFUNCTION("""COMPUTED_VALUE"""),"Good")</f>
        <v>Good</v>
      </c>
      <c r="AA824" s="138" t="str">
        <f>IFERROR(__xludf.DUMMYFUNCTION("""COMPUTED_VALUE"""),"Fair")</f>
        <v>Fair</v>
      </c>
      <c r="AB824" s="138" t="str">
        <f>IFERROR(__xludf.DUMMYFUNCTION("""COMPUTED_VALUE"""),"Very Good")</f>
        <v>Very Good</v>
      </c>
      <c r="AC824" s="139"/>
      <c r="AD824" s="139"/>
      <c r="AE824" s="139"/>
      <c r="AF824" s="140" t="str">
        <f>IFERROR(__xludf.DUMMYFUNCTION("""COMPUTED_VALUE"""),"No. I took delivery of the first car Tesla was able to deliver.")</f>
        <v>No. I took delivery of the first car Tesla was able to deliver.</v>
      </c>
      <c r="AG824" s="145"/>
      <c r="AH824" s="157">
        <f>IFERROR(__xludf.DUMMYFUNCTION("""COMPUTED_VALUE"""),44376.773637361104)</f>
        <v>44376.77364</v>
      </c>
      <c r="AI824" s="138"/>
      <c r="AJ824" s="138"/>
      <c r="AK824" s="138"/>
      <c r="AL824" s="142"/>
    </row>
    <row r="825" ht="20.25" customHeight="1">
      <c r="A825" s="155" t="str">
        <f>IFERROR(__xludf.DUMMYFUNCTION("""COMPUTED_VALUE"""),"Cessna157")</f>
        <v>Cessna157</v>
      </c>
      <c r="B825" s="149" t="str">
        <f>IFERROR(__xludf.DUMMYFUNCTION("""COMPUTED_VALUE"""),"Orlando")</f>
        <v>Orlando</v>
      </c>
      <c r="C825" s="149" t="str">
        <f>IFERROR(__xludf.DUMMYFUNCTION("""COMPUTED_VALUE"""),"FL")</f>
        <v>FL</v>
      </c>
      <c r="D825" s="149" t="str">
        <f>IFERROR(__xludf.DUMMYFUNCTION("""COMPUTED_VALUE"""),"USA")</f>
        <v>USA</v>
      </c>
      <c r="E825" s="156">
        <f>IFERROR(__xludf.DUMMYFUNCTION("""COMPUTED_VALUE"""),44303.0)</f>
        <v>44303</v>
      </c>
      <c r="F825" s="129">
        <f>IFERROR(__xludf.DUMMYFUNCTION("""COMPUTED_VALUE"""),44345.0)</f>
        <v>44345</v>
      </c>
      <c r="G825" s="154" t="str">
        <f>IFERROR(__xludf.DUMMYFUNCTION("""COMPUTED_VALUE"""),"Manage order page (normal text)")</f>
        <v>Manage order page (normal text)</v>
      </c>
      <c r="H825" s="131">
        <f>IFERROR(__xludf.DUMMYFUNCTION("""COMPUTED_VALUE"""),979155.0)</f>
        <v>979155</v>
      </c>
      <c r="I825" s="144" t="str">
        <f>IFERROR(__xludf.DUMMYFUNCTION("""COMPUTED_VALUE"""),"05/21")</f>
        <v>05/21</v>
      </c>
      <c r="J825" s="129">
        <f>IFERROR(__xludf.DUMMYFUNCTION("""COMPUTED_VALUE"""),44357.0)</f>
        <v>44357</v>
      </c>
      <c r="K825" s="133">
        <f>IFERROR(__xludf.DUMMYFUNCTION("""COMPUTED_VALUE"""),42.0)</f>
        <v>42</v>
      </c>
      <c r="L825" s="133">
        <f>IFERROR(__xludf.DUMMYFUNCTION("""COMPUTED_VALUE"""),12.0)</f>
        <v>12</v>
      </c>
      <c r="M825" s="133">
        <f>IFERROR(__xludf.DUMMYFUNCTION("""COMPUTED_VALUE"""),54.0)</f>
        <v>54</v>
      </c>
      <c r="N825" s="152" t="str">
        <f>IFERROR(__xludf.DUMMYFUNCTION("""COMPUTED_VALUE"""),"Model 3 LR AWD")</f>
        <v>Model 3 LR AWD</v>
      </c>
      <c r="O825" s="152" t="str">
        <f>IFERROR(__xludf.DUMMYFUNCTION("""COMPUTED_VALUE"""),"Pearl White Multi-Coat")</f>
        <v>Pearl White Multi-Coat</v>
      </c>
      <c r="P825" s="153" t="str">
        <f>IFERROR(__xludf.DUMMYFUNCTION("""COMPUTED_VALUE"""),"18 inch")</f>
        <v>18 inch</v>
      </c>
      <c r="Q825" s="152" t="str">
        <f>IFERROR(__xludf.DUMMYFUNCTION("""COMPUTED_VALUE"""),"All Black")</f>
        <v>All Black</v>
      </c>
      <c r="R825" s="149" t="str">
        <f>IFERROR(__xludf.DUMMYFUNCTION("""COMPUTED_VALUE"""),"Autopilot included")</f>
        <v>Autopilot included</v>
      </c>
      <c r="S825" s="149" t="str">
        <f>IFERROR(__xludf.DUMMYFUNCTION("""COMPUTED_VALUE"""),"Loan")</f>
        <v>Loan</v>
      </c>
      <c r="T825" s="145" t="str">
        <f>IFERROR(__xludf.DUMMYFUNCTION("""COMPUTED_VALUE"""),"Toyota Camry")</f>
        <v>Toyota Camry</v>
      </c>
      <c r="U825" s="145" t="str">
        <f>IFERROR(__xludf.DUMMYFUNCTION("""COMPUTED_VALUE"""),"Electric!")</f>
        <v>Electric!</v>
      </c>
      <c r="V825" s="145" t="str">
        <f>IFERROR(__xludf.DUMMYFUNCTION("""COMPUTED_VALUE"""),"Head-up display")</f>
        <v>Head-up display</v>
      </c>
      <c r="W825" s="145"/>
      <c r="X825" s="137" t="str">
        <f>IFERROR(__xludf.DUMMYFUNCTION("""COMPUTED_VALUE"""),"Excellent")</f>
        <v>Excellent</v>
      </c>
      <c r="Y825" s="138" t="str">
        <f>IFERROR(__xludf.DUMMYFUNCTION("""COMPUTED_VALUE"""),"Excellent")</f>
        <v>Excellent</v>
      </c>
      <c r="Z825" s="138" t="str">
        <f>IFERROR(__xludf.DUMMYFUNCTION("""COMPUTED_VALUE"""),"Excellent")</f>
        <v>Excellent</v>
      </c>
      <c r="AA825" s="138" t="str">
        <f>IFERROR(__xludf.DUMMYFUNCTION("""COMPUTED_VALUE"""),"Good")</f>
        <v>Good</v>
      </c>
      <c r="AB825" s="138" t="str">
        <f>IFERROR(__xludf.DUMMYFUNCTION("""COMPUTED_VALUE"""),"Very Good")</f>
        <v>Very Good</v>
      </c>
      <c r="AC825" s="139">
        <f>IFERROR(__xludf.DUMMYFUNCTION("""COMPUTED_VALUE"""),2.0)</f>
        <v>2</v>
      </c>
      <c r="AD825" s="139">
        <f>IFERROR(__xludf.DUMMYFUNCTION("""COMPUTED_VALUE"""),1.0)</f>
        <v>1</v>
      </c>
      <c r="AE825" s="139"/>
      <c r="AF825" s="140" t="str">
        <f>IFERROR(__xludf.DUMMYFUNCTION("""COMPUTED_VALUE"""),"No. I took delivery of the first car Tesla was able to deliver.")</f>
        <v>No. I took delivery of the first car Tesla was able to deliver.</v>
      </c>
      <c r="AG825" s="145"/>
      <c r="AH825" s="157">
        <f>IFERROR(__xludf.DUMMYFUNCTION("""COMPUTED_VALUE"""),44357.74489672454)</f>
        <v>44357.7449</v>
      </c>
      <c r="AI825" s="138"/>
      <c r="AJ825" s="138"/>
      <c r="AK825" s="138"/>
      <c r="AL825" s="142"/>
    </row>
    <row r="826" ht="20.25" customHeight="1">
      <c r="A826" s="155" t="str">
        <f>IFERROR(__xludf.DUMMYFUNCTION("""COMPUTED_VALUE"""),"Khronos89")</f>
        <v>Khronos89</v>
      </c>
      <c r="B826" s="149" t="str">
        <f>IFERROR(__xludf.DUMMYFUNCTION("""COMPUTED_VALUE"""),"Detroit")</f>
        <v>Detroit</v>
      </c>
      <c r="C826" s="149" t="str">
        <f>IFERROR(__xludf.DUMMYFUNCTION("""COMPUTED_VALUE"""),"MI")</f>
        <v>MI</v>
      </c>
      <c r="D826" s="149" t="str">
        <f>IFERROR(__xludf.DUMMYFUNCTION("""COMPUTED_VALUE"""),"USA")</f>
        <v>USA</v>
      </c>
      <c r="E826" s="156">
        <f>IFERROR(__xludf.DUMMYFUNCTION("""COMPUTED_VALUE"""),44303.0)</f>
        <v>44303</v>
      </c>
      <c r="F826" s="129">
        <f>IFERROR(__xludf.DUMMYFUNCTION("""COMPUTED_VALUE"""),44345.0)</f>
        <v>44345</v>
      </c>
      <c r="G826" s="154" t="str">
        <f>IFERROR(__xludf.DUMMYFUNCTION("""COMPUTED_VALUE"""),"Manage order page (normal text)")</f>
        <v>Manage order page (normal text)</v>
      </c>
      <c r="H826" s="131">
        <f>IFERROR(__xludf.DUMMYFUNCTION("""COMPUTED_VALUE"""),981333.0)</f>
        <v>981333</v>
      </c>
      <c r="I826" s="144" t="str">
        <f>IFERROR(__xludf.DUMMYFUNCTION("""COMPUTED_VALUE"""),"05/21")</f>
        <v>05/21</v>
      </c>
      <c r="J826" s="129">
        <f>IFERROR(__xludf.DUMMYFUNCTION("""COMPUTED_VALUE"""),44352.0)</f>
        <v>44352</v>
      </c>
      <c r="K826" s="133">
        <f>IFERROR(__xludf.DUMMYFUNCTION("""COMPUTED_VALUE"""),42.0)</f>
        <v>42</v>
      </c>
      <c r="L826" s="133">
        <f>IFERROR(__xludf.DUMMYFUNCTION("""COMPUTED_VALUE"""),7.0)</f>
        <v>7</v>
      </c>
      <c r="M826" s="133">
        <f>IFERROR(__xludf.DUMMYFUNCTION("""COMPUTED_VALUE"""),49.0)</f>
        <v>49</v>
      </c>
      <c r="N826" s="152" t="str">
        <f>IFERROR(__xludf.DUMMYFUNCTION("""COMPUTED_VALUE"""),"Model 3 LR AWD")</f>
        <v>Model 3 LR AWD</v>
      </c>
      <c r="O826" s="152" t="str">
        <f>IFERROR(__xludf.DUMMYFUNCTION("""COMPUTED_VALUE"""),"Deep Blue Metallic")</f>
        <v>Deep Blue Metallic</v>
      </c>
      <c r="P826" s="153" t="str">
        <f>IFERROR(__xludf.DUMMYFUNCTION("""COMPUTED_VALUE"""),"18 inch")</f>
        <v>18 inch</v>
      </c>
      <c r="Q826" s="152" t="str">
        <f>IFERROR(__xludf.DUMMYFUNCTION("""COMPUTED_VALUE"""),"Black and White")</f>
        <v>Black and White</v>
      </c>
      <c r="R826" s="149" t="str">
        <f>IFERROR(__xludf.DUMMYFUNCTION("""COMPUTED_VALUE"""),"Autopilot included")</f>
        <v>Autopilot included</v>
      </c>
      <c r="S826" s="149" t="str">
        <f>IFERROR(__xludf.DUMMYFUNCTION("""COMPUTED_VALUE"""),"Loan")</f>
        <v>Loan</v>
      </c>
      <c r="T826" s="145" t="str">
        <f>IFERROR(__xludf.DUMMYFUNCTION("""COMPUTED_VALUE"""),"Buick Encore")</f>
        <v>Buick Encore</v>
      </c>
      <c r="U826" s="145"/>
      <c r="V826" s="145" t="str">
        <f>IFERROR(__xludf.DUMMYFUNCTION("""COMPUTED_VALUE"""),"Apple CarPlay / Android Auto / SiriusXM Radio")</f>
        <v>Apple CarPlay / Android Auto / SiriusXM Radio</v>
      </c>
      <c r="W826" s="145" t="str">
        <f>IFERROR(__xludf.DUMMYFUNCTION("""COMPUTED_VALUE"""),"Get financing ready ahead of time if financing. Check with your your lender for how long a pre-qualification is good and try to have it ready for your VIN. ")</f>
        <v>Get financing ready ahead of time if financing. Check with your your lender for how long a pre-qualification is good and try to have it ready for your VIN. </v>
      </c>
      <c r="X826" s="137" t="str">
        <f>IFERROR(__xludf.DUMMYFUNCTION("""COMPUTED_VALUE"""),"Very Good")</f>
        <v>Very Good</v>
      </c>
      <c r="Y826" s="138" t="str">
        <f>IFERROR(__xludf.DUMMYFUNCTION("""COMPUTED_VALUE"""),"Excellent")</f>
        <v>Excellent</v>
      </c>
      <c r="Z826" s="138" t="str">
        <f>IFERROR(__xludf.DUMMYFUNCTION("""COMPUTED_VALUE"""),"Very Good")</f>
        <v>Very Good</v>
      </c>
      <c r="AA826" s="138" t="str">
        <f>IFERROR(__xludf.DUMMYFUNCTION("""COMPUTED_VALUE"""),"Good")</f>
        <v>Good</v>
      </c>
      <c r="AB826" s="138" t="str">
        <f>IFERROR(__xludf.DUMMYFUNCTION("""COMPUTED_VALUE"""),"Fair")</f>
        <v>Fair</v>
      </c>
      <c r="AC826" s="139"/>
      <c r="AD826" s="139"/>
      <c r="AE826" s="139"/>
      <c r="AF826" s="140" t="str">
        <f>IFERROR(__xludf.DUMMYFUNCTION("""COMPUTED_VALUE"""),"No. I took delivery of the first car Tesla was able to deliver.")</f>
        <v>No. I took delivery of the first car Tesla was able to deliver.</v>
      </c>
      <c r="AG826" s="145"/>
      <c r="AH826" s="157">
        <f>IFERROR(__xludf.DUMMYFUNCTION("""COMPUTED_VALUE"""),44355.58368166667)</f>
        <v>44355.58368</v>
      </c>
      <c r="AI826" s="138"/>
      <c r="AJ826" s="138"/>
      <c r="AK826" s="138"/>
      <c r="AL826" s="142"/>
    </row>
    <row r="827" ht="20.25" customHeight="1">
      <c r="A827" s="155" t="str">
        <f>IFERROR(__xludf.DUMMYFUNCTION("""COMPUTED_VALUE"""),"Marv")</f>
        <v>Marv</v>
      </c>
      <c r="B827" s="149" t="str">
        <f>IFERROR(__xludf.DUMMYFUNCTION("""COMPUTED_VALUE"""),"Seattle")</f>
        <v>Seattle</v>
      </c>
      <c r="C827" s="149" t="str">
        <f>IFERROR(__xludf.DUMMYFUNCTION("""COMPUTED_VALUE"""),"WA")</f>
        <v>WA</v>
      </c>
      <c r="D827" s="149" t="str">
        <f>IFERROR(__xludf.DUMMYFUNCTION("""COMPUTED_VALUE"""),"USA")</f>
        <v>USA</v>
      </c>
      <c r="E827" s="156">
        <f>IFERROR(__xludf.DUMMYFUNCTION("""COMPUTED_VALUE"""),44303.0)</f>
        <v>44303</v>
      </c>
      <c r="F827" s="129">
        <f>IFERROR(__xludf.DUMMYFUNCTION("""COMPUTED_VALUE"""),44360.0)</f>
        <v>44360</v>
      </c>
      <c r="G827" s="154" t="str">
        <f>IFERROR(__xludf.DUMMYFUNCTION("""COMPUTED_VALUE"""),"Manage order page (normal text)")</f>
        <v>Manage order page (normal text)</v>
      </c>
      <c r="H827" s="131"/>
      <c r="I827" s="144"/>
      <c r="J827" s="129">
        <f>IFERROR(__xludf.DUMMYFUNCTION("""COMPUTED_VALUE"""),44363.0)</f>
        <v>44363</v>
      </c>
      <c r="K827" s="133">
        <f>IFERROR(__xludf.DUMMYFUNCTION("""COMPUTED_VALUE"""),57.0)</f>
        <v>57</v>
      </c>
      <c r="L827" s="133">
        <f>IFERROR(__xludf.DUMMYFUNCTION("""COMPUTED_VALUE"""),3.0)</f>
        <v>3</v>
      </c>
      <c r="M827" s="133">
        <f>IFERROR(__xludf.DUMMYFUNCTION("""COMPUTED_VALUE"""),60.0)</f>
        <v>60</v>
      </c>
      <c r="N827" s="152" t="str">
        <f>IFERROR(__xludf.DUMMYFUNCTION("""COMPUTED_VALUE"""),"Model 3 Performance")</f>
        <v>Model 3 Performance</v>
      </c>
      <c r="O827" s="152" t="str">
        <f>IFERROR(__xludf.DUMMYFUNCTION("""COMPUTED_VALUE"""),"Red Multi-Coat")</f>
        <v>Red Multi-Coat</v>
      </c>
      <c r="P827" s="153" t="str">
        <f>IFERROR(__xludf.DUMMYFUNCTION("""COMPUTED_VALUE"""),"20 inch")</f>
        <v>20 inch</v>
      </c>
      <c r="Q827" s="152" t="str">
        <f>IFERROR(__xludf.DUMMYFUNCTION("""COMPUTED_VALUE"""),"Black and White")</f>
        <v>Black and White</v>
      </c>
      <c r="R827" s="149" t="str">
        <f>IFERROR(__xludf.DUMMYFUNCTION("""COMPUTED_VALUE"""),"Autopilot included")</f>
        <v>Autopilot included</v>
      </c>
      <c r="S827" s="149"/>
      <c r="T827" s="145"/>
      <c r="U827" s="145" t="str">
        <f>IFERROR(__xludf.DUMMYFUNCTION("""COMPUTED_VALUE"""),"Tech/Speed/Supercharge network")</f>
        <v>Tech/Speed/Supercharge network</v>
      </c>
      <c r="V827" s="145" t="str">
        <f>IFERROR(__xludf.DUMMYFUNCTION("""COMPUTED_VALUE"""),"HUD and Apple car play")</f>
        <v>HUD and Apple car play</v>
      </c>
      <c r="W827" s="145"/>
      <c r="X827" s="137"/>
      <c r="Y827" s="138"/>
      <c r="Z827" s="138"/>
      <c r="AA827" s="138" t="str">
        <f>IFERROR(__xludf.DUMMYFUNCTION("""COMPUTED_VALUE"""),"Excellent")</f>
        <v>Excellent</v>
      </c>
      <c r="AB827" s="138" t="str">
        <f>IFERROR(__xludf.DUMMYFUNCTION("""COMPUTED_VALUE"""),"Excellent")</f>
        <v>Excellent</v>
      </c>
      <c r="AC827" s="139"/>
      <c r="AD827" s="139"/>
      <c r="AE827" s="139"/>
      <c r="AF827" s="140" t="str">
        <f>IFERROR(__xludf.DUMMYFUNCTION("""COMPUTED_VALUE"""),"No. I took delivery of the first car Tesla was able to deliver.")</f>
        <v>No. I took delivery of the first car Tesla was able to deliver.</v>
      </c>
      <c r="AG827" s="145" t="str">
        <f>IFERROR(__xludf.DUMMYFUNCTION("""COMPUTED_VALUE"""),"I had to wait about 2 months from the time I ordered to delivery.  The wait was brutal but the car was worth the wait.  The delivery experience was excellent.")</f>
        <v>I had to wait about 2 months from the time I ordered to delivery.  The wait was brutal but the car was worth the wait.  The delivery experience was excellent.</v>
      </c>
      <c r="AH827" s="157">
        <f>IFERROR(__xludf.DUMMYFUNCTION("""COMPUTED_VALUE"""),44364.09798834491)</f>
        <v>44364.09799</v>
      </c>
      <c r="AI827" s="138"/>
      <c r="AJ827" s="138"/>
      <c r="AK827" s="138"/>
      <c r="AL827" s="142"/>
    </row>
    <row r="828" ht="20.25" customHeight="1">
      <c r="A828" s="155" t="str">
        <f>IFERROR(__xludf.DUMMYFUNCTION("""COMPUTED_VALUE"""),"Matt B")</f>
        <v>Matt B</v>
      </c>
      <c r="B828" s="149" t="str">
        <f>IFERROR(__xludf.DUMMYFUNCTION("""COMPUTED_VALUE"""),"Becker")</f>
        <v>Becker</v>
      </c>
      <c r="C828" s="149" t="str">
        <f>IFERROR(__xludf.DUMMYFUNCTION("""COMPUTED_VALUE"""),"MN")</f>
        <v>MN</v>
      </c>
      <c r="D828" s="149" t="str">
        <f>IFERROR(__xludf.DUMMYFUNCTION("""COMPUTED_VALUE"""),"USA")</f>
        <v>USA</v>
      </c>
      <c r="E828" s="156">
        <f>IFERROR(__xludf.DUMMYFUNCTION("""COMPUTED_VALUE"""),44303.0)</f>
        <v>44303</v>
      </c>
      <c r="F828" s="129">
        <f>IFERROR(__xludf.DUMMYFUNCTION("""COMPUTED_VALUE"""),44343.0)</f>
        <v>44343</v>
      </c>
      <c r="G828" s="154" t="str">
        <f>IFERROR(__xludf.DUMMYFUNCTION("""COMPUTED_VALUE"""),"Manage order page (normal text)")</f>
        <v>Manage order page (normal text)</v>
      </c>
      <c r="H828" s="131">
        <f>IFERROR(__xludf.DUMMYFUNCTION("""COMPUTED_VALUE"""),975802.0)</f>
        <v>975802</v>
      </c>
      <c r="I828" s="144" t="str">
        <f>IFERROR(__xludf.DUMMYFUNCTION("""COMPUTED_VALUE"""),"05/21")</f>
        <v>05/21</v>
      </c>
      <c r="J828" s="129">
        <f>IFERROR(__xludf.DUMMYFUNCTION("""COMPUTED_VALUE"""),44350.0)</f>
        <v>44350</v>
      </c>
      <c r="K828" s="133">
        <f>IFERROR(__xludf.DUMMYFUNCTION("""COMPUTED_VALUE"""),40.0)</f>
        <v>40</v>
      </c>
      <c r="L828" s="133">
        <f>IFERROR(__xludf.DUMMYFUNCTION("""COMPUTED_VALUE"""),7.0)</f>
        <v>7</v>
      </c>
      <c r="M828" s="133">
        <f>IFERROR(__xludf.DUMMYFUNCTION("""COMPUTED_VALUE"""),47.0)</f>
        <v>47</v>
      </c>
      <c r="N828" s="152" t="str">
        <f>IFERROR(__xludf.DUMMYFUNCTION("""COMPUTED_VALUE"""),"Model 3 LR AWD")</f>
        <v>Model 3 LR AWD</v>
      </c>
      <c r="O828" s="152" t="str">
        <f>IFERROR(__xludf.DUMMYFUNCTION("""COMPUTED_VALUE"""),"Pearl White Multi-Coat")</f>
        <v>Pearl White Multi-Coat</v>
      </c>
      <c r="P828" s="153" t="str">
        <f>IFERROR(__xludf.DUMMYFUNCTION("""COMPUTED_VALUE"""),"18 inch")</f>
        <v>18 inch</v>
      </c>
      <c r="Q828" s="152" t="str">
        <f>IFERROR(__xludf.DUMMYFUNCTION("""COMPUTED_VALUE"""),"Black and White")</f>
        <v>Black and White</v>
      </c>
      <c r="R828" s="149" t="str">
        <f>IFERROR(__xludf.DUMMYFUNCTION("""COMPUTED_VALUE"""),"Autopilot included")</f>
        <v>Autopilot included</v>
      </c>
      <c r="S828" s="149" t="str">
        <f>IFERROR(__xludf.DUMMYFUNCTION("""COMPUTED_VALUE"""),"Loan")</f>
        <v>Loan</v>
      </c>
      <c r="T828" s="145" t="str">
        <f>IFERROR(__xludf.DUMMYFUNCTION("""COMPUTED_VALUE"""),"Chevy Bolt")</f>
        <v>Chevy Bolt</v>
      </c>
      <c r="U828" s="145" t="str">
        <f>IFERROR(__xludf.DUMMYFUNCTION("""COMPUTED_VALUE"""),"Supercharger V3 support")</f>
        <v>Supercharger V3 support</v>
      </c>
      <c r="V828" s="145" t="str">
        <f>IFERROR(__xludf.DUMMYFUNCTION("""COMPUTED_VALUE"""),"Apple CarPlay / Android Auto / SiriusXM Radio")</f>
        <v>Apple CarPlay / Android Auto / SiriusXM Radio</v>
      </c>
      <c r="W828" s="145"/>
      <c r="X828" s="137" t="str">
        <f>IFERROR(__xludf.DUMMYFUNCTION("""COMPUTED_VALUE"""),"Excellent")</f>
        <v>Excellent</v>
      </c>
      <c r="Y828" s="138" t="str">
        <f>IFERROR(__xludf.DUMMYFUNCTION("""COMPUTED_VALUE"""),"Excellent")</f>
        <v>Excellent</v>
      </c>
      <c r="Z828" s="138" t="str">
        <f>IFERROR(__xludf.DUMMYFUNCTION("""COMPUTED_VALUE"""),"Very Good")</f>
        <v>Very Good</v>
      </c>
      <c r="AA828" s="138" t="str">
        <f>IFERROR(__xludf.DUMMYFUNCTION("""COMPUTED_VALUE"""),"Excellent")</f>
        <v>Excellent</v>
      </c>
      <c r="AB828" s="138" t="str">
        <f>IFERROR(__xludf.DUMMYFUNCTION("""COMPUTED_VALUE"""),"Good")</f>
        <v>Good</v>
      </c>
      <c r="AC828" s="139"/>
      <c r="AD828" s="139"/>
      <c r="AE828" s="139"/>
      <c r="AF828" s="140" t="str">
        <f>IFERROR(__xludf.DUMMYFUNCTION("""COMPUTED_VALUE"""),"No. I took delivery of the first car Tesla was able to deliver.")</f>
        <v>No. I took delivery of the first car Tesla was able to deliver.</v>
      </c>
      <c r="AG828" s="145"/>
      <c r="AH828" s="157">
        <f>IFERROR(__xludf.DUMMYFUNCTION("""COMPUTED_VALUE"""),44350.69231873843)</f>
        <v>44350.69232</v>
      </c>
      <c r="AI828" s="138"/>
      <c r="AJ828" s="138"/>
      <c r="AK828" s="138"/>
      <c r="AL828" s="142"/>
    </row>
    <row r="829" ht="20.25" customHeight="1">
      <c r="A829" s="155" t="str">
        <f>IFERROR(__xludf.DUMMYFUNCTION("""COMPUTED_VALUE"""),"Raph")</f>
        <v>Raph</v>
      </c>
      <c r="B829" s="149"/>
      <c r="C829" s="149"/>
      <c r="D829" s="149" t="str">
        <f>IFERROR(__xludf.DUMMYFUNCTION("""COMPUTED_VALUE"""),"France")</f>
        <v>France</v>
      </c>
      <c r="E829" s="156">
        <f>IFERROR(__xludf.DUMMYFUNCTION("""COMPUTED_VALUE"""),44302.0)</f>
        <v>44302</v>
      </c>
      <c r="F829" s="129">
        <f>IFERROR(__xludf.DUMMYFUNCTION("""COMPUTED_VALUE"""),44321.0)</f>
        <v>44321</v>
      </c>
      <c r="G829" s="154" t="str">
        <f>IFERROR(__xludf.DUMMYFUNCTION("""COMPUTED_VALUE"""),"Invoice")</f>
        <v>Invoice</v>
      </c>
      <c r="H829" s="131">
        <f>IFERROR(__xludf.DUMMYFUNCTION("""COMPUTED_VALUE"""),953902.0)</f>
        <v>953902</v>
      </c>
      <c r="I829" s="144" t="str">
        <f>IFERROR(__xludf.DUMMYFUNCTION("""COMPUTED_VALUE"""),"04/21")</f>
        <v>04/21</v>
      </c>
      <c r="J829" s="129">
        <f>IFERROR(__xludf.DUMMYFUNCTION("""COMPUTED_VALUE"""),44350.0)</f>
        <v>44350</v>
      </c>
      <c r="K829" s="133">
        <f>IFERROR(__xludf.DUMMYFUNCTION("""COMPUTED_VALUE"""),19.0)</f>
        <v>19</v>
      </c>
      <c r="L829" s="133">
        <f>IFERROR(__xludf.DUMMYFUNCTION("""COMPUTED_VALUE"""),29.0)</f>
        <v>29</v>
      </c>
      <c r="M829" s="133">
        <f>IFERROR(__xludf.DUMMYFUNCTION("""COMPUTED_VALUE"""),48.0)</f>
        <v>48</v>
      </c>
      <c r="N829" s="152" t="str">
        <f>IFERROR(__xludf.DUMMYFUNCTION("""COMPUTED_VALUE"""),"Model 3 LR AWD")</f>
        <v>Model 3 LR AWD</v>
      </c>
      <c r="O829" s="152" t="str">
        <f>IFERROR(__xludf.DUMMYFUNCTION("""COMPUTED_VALUE"""),"Pearl White Multi-Coat")</f>
        <v>Pearl White Multi-Coat</v>
      </c>
      <c r="P829" s="153" t="str">
        <f>IFERROR(__xludf.DUMMYFUNCTION("""COMPUTED_VALUE"""),"19 inch")</f>
        <v>19 inch</v>
      </c>
      <c r="Q829" s="152" t="str">
        <f>IFERROR(__xludf.DUMMYFUNCTION("""COMPUTED_VALUE"""),"All Black")</f>
        <v>All Black</v>
      </c>
      <c r="R829" s="149" t="str">
        <f>IFERROR(__xludf.DUMMYFUNCTION("""COMPUTED_VALUE"""),"Autopilot included")</f>
        <v>Autopilot included</v>
      </c>
      <c r="S829" s="149" t="str">
        <f>IFERROR(__xludf.DUMMYFUNCTION("""COMPUTED_VALUE"""),"Loan")</f>
        <v>Loan</v>
      </c>
      <c r="T829" s="145" t="str">
        <f>IFERROR(__xludf.DUMMYFUNCTION("""COMPUTED_VALUE"""),"VW T-Roc")</f>
        <v>VW T-Roc</v>
      </c>
      <c r="U829" s="145" t="str">
        <f>IFERROR(__xludf.DUMMYFUNCTION("""COMPUTED_VALUE"""),"Electric!")</f>
        <v>Electric!</v>
      </c>
      <c r="V829" s="145" t="str">
        <f>IFERROR(__xludf.DUMMYFUNCTION("""COMPUTED_VALUE"""),"Head-up display")</f>
        <v>Head-up display</v>
      </c>
      <c r="W829" s="145"/>
      <c r="X829" s="137" t="str">
        <f>IFERROR(__xludf.DUMMYFUNCTION("""COMPUTED_VALUE"""),"Very Good")</f>
        <v>Very Good</v>
      </c>
      <c r="Y829" s="138" t="str">
        <f>IFERROR(__xludf.DUMMYFUNCTION("""COMPUTED_VALUE"""),"Very Good")</f>
        <v>Very Good</v>
      </c>
      <c r="Z829" s="138" t="str">
        <f>IFERROR(__xludf.DUMMYFUNCTION("""COMPUTED_VALUE"""),"Excellent")</f>
        <v>Excellent</v>
      </c>
      <c r="AA829" s="138" t="str">
        <f>IFERROR(__xludf.DUMMYFUNCTION("""COMPUTED_VALUE"""),"Excellent")</f>
        <v>Excellent</v>
      </c>
      <c r="AB829" s="138" t="str">
        <f>IFERROR(__xludf.DUMMYFUNCTION("""COMPUTED_VALUE"""),"Good")</f>
        <v>Good</v>
      </c>
      <c r="AC829" s="139">
        <f>IFERROR(__xludf.DUMMYFUNCTION("""COMPUTED_VALUE"""),1.0)</f>
        <v>1</v>
      </c>
      <c r="AD829" s="139">
        <f>IFERROR(__xludf.DUMMYFUNCTION("""COMPUTED_VALUE"""),1.0)</f>
        <v>1</v>
      </c>
      <c r="AE829" s="139">
        <f>IFERROR(__xludf.DUMMYFUNCTION("""COMPUTED_VALUE"""),0.0)</f>
        <v>0</v>
      </c>
      <c r="AF829" s="140" t="str">
        <f>IFERROR(__xludf.DUMMYFUNCTION("""COMPUTED_VALUE"""),"No. I took delivery of the first car Tesla was able to deliver.")</f>
        <v>No. I took delivery of the first car Tesla was able to deliver.</v>
      </c>
      <c r="AG829" s="145"/>
      <c r="AH829" s="157">
        <f>IFERROR(__xludf.DUMMYFUNCTION("""COMPUTED_VALUE"""),44406.072174490735)</f>
        <v>44406.07217</v>
      </c>
      <c r="AI829" s="138"/>
      <c r="AJ829" s="138"/>
      <c r="AK829" s="138"/>
      <c r="AL829" s="142"/>
    </row>
    <row r="830" ht="20.25" customHeight="1">
      <c r="A830" s="155" t="str">
        <f>IFERROR(__xludf.DUMMYFUNCTION("""COMPUTED_VALUE"""),"Tangomiami")</f>
        <v>Tangomiami</v>
      </c>
      <c r="B830" s="149" t="str">
        <f>IFERROR(__xludf.DUMMYFUNCTION("""COMPUTED_VALUE"""),"Miami")</f>
        <v>Miami</v>
      </c>
      <c r="C830" s="149" t="str">
        <f>IFERROR(__xludf.DUMMYFUNCTION("""COMPUTED_VALUE"""),"FL")</f>
        <v>FL</v>
      </c>
      <c r="D830" s="149" t="str">
        <f>IFERROR(__xludf.DUMMYFUNCTION("""COMPUTED_VALUE"""),"USA")</f>
        <v>USA</v>
      </c>
      <c r="E830" s="156">
        <f>IFERROR(__xludf.DUMMYFUNCTION("""COMPUTED_VALUE"""),44302.0)</f>
        <v>44302</v>
      </c>
      <c r="F830" s="129">
        <f>IFERROR(__xludf.DUMMYFUNCTION("""COMPUTED_VALUE"""),44345.0)</f>
        <v>44345</v>
      </c>
      <c r="G830" s="154" t="str">
        <f>IFERROR(__xludf.DUMMYFUNCTION("""COMPUTED_VALUE"""),"Manage order page (normal text)")</f>
        <v>Manage order page (normal text)</v>
      </c>
      <c r="H830" s="131">
        <f>IFERROR(__xludf.DUMMYFUNCTION("""COMPUTED_VALUE"""),977555.0)</f>
        <v>977555</v>
      </c>
      <c r="I830" s="144"/>
      <c r="J830" s="129">
        <f>IFERROR(__xludf.DUMMYFUNCTION("""COMPUTED_VALUE"""),44359.0)</f>
        <v>44359</v>
      </c>
      <c r="K830" s="133">
        <f>IFERROR(__xludf.DUMMYFUNCTION("""COMPUTED_VALUE"""),43.0)</f>
        <v>43</v>
      </c>
      <c r="L830" s="133">
        <f>IFERROR(__xludf.DUMMYFUNCTION("""COMPUTED_VALUE"""),14.0)</f>
        <v>14</v>
      </c>
      <c r="M830" s="133">
        <f>IFERROR(__xludf.DUMMYFUNCTION("""COMPUTED_VALUE"""),57.0)</f>
        <v>57</v>
      </c>
      <c r="N830" s="152" t="str">
        <f>IFERROR(__xludf.DUMMYFUNCTION("""COMPUTED_VALUE"""),"Model 3 SR+")</f>
        <v>Model 3 SR+</v>
      </c>
      <c r="O830" s="152" t="str">
        <f>IFERROR(__xludf.DUMMYFUNCTION("""COMPUTED_VALUE"""),"Pearl White Multi-Coat")</f>
        <v>Pearl White Multi-Coat</v>
      </c>
      <c r="P830" s="153" t="str">
        <f>IFERROR(__xludf.DUMMYFUNCTION("""COMPUTED_VALUE"""),"18 inch")</f>
        <v>18 inch</v>
      </c>
      <c r="Q830" s="152" t="str">
        <f>IFERROR(__xludf.DUMMYFUNCTION("""COMPUTED_VALUE"""),"All Black")</f>
        <v>All Black</v>
      </c>
      <c r="R830" s="149" t="str">
        <f>IFERROR(__xludf.DUMMYFUNCTION("""COMPUTED_VALUE"""),"Autopilot included")</f>
        <v>Autopilot included</v>
      </c>
      <c r="S830" s="149" t="str">
        <f>IFERROR(__xludf.DUMMYFUNCTION("""COMPUTED_VALUE"""),"Lease")</f>
        <v>Lease</v>
      </c>
      <c r="T830" s="145" t="str">
        <f>IFERROR(__xludf.DUMMYFUNCTION("""COMPUTED_VALUE"""),"BMW 230i Convertible")</f>
        <v>BMW 230i Convertible</v>
      </c>
      <c r="U830" s="145" t="str">
        <f>IFERROR(__xludf.DUMMYFUNCTION("""COMPUTED_VALUE"""),"Electric!")</f>
        <v>Electric!</v>
      </c>
      <c r="V830" s="145" t="str">
        <f>IFERROR(__xludf.DUMMYFUNCTION("""COMPUTED_VALUE"""),"Ventilated seats")</f>
        <v>Ventilated seats</v>
      </c>
      <c r="W830" s="145"/>
      <c r="X830" s="137" t="str">
        <f>IFERROR(__xludf.DUMMYFUNCTION("""COMPUTED_VALUE"""),"Excellent")</f>
        <v>Excellent</v>
      </c>
      <c r="Y830" s="138" t="str">
        <f>IFERROR(__xludf.DUMMYFUNCTION("""COMPUTED_VALUE"""),"Excellent")</f>
        <v>Excellent</v>
      </c>
      <c r="Z830" s="138" t="str">
        <f>IFERROR(__xludf.DUMMYFUNCTION("""COMPUTED_VALUE"""),"Excellent")</f>
        <v>Excellent</v>
      </c>
      <c r="AA830" s="138" t="str">
        <f>IFERROR(__xludf.DUMMYFUNCTION("""COMPUTED_VALUE"""),"Excellent")</f>
        <v>Excellent</v>
      </c>
      <c r="AB830" s="138" t="str">
        <f>IFERROR(__xludf.DUMMYFUNCTION("""COMPUTED_VALUE"""),"Excellent")</f>
        <v>Excellent</v>
      </c>
      <c r="AC830" s="139">
        <f>IFERROR(__xludf.DUMMYFUNCTION("""COMPUTED_VALUE"""),0.0)</f>
        <v>0</v>
      </c>
      <c r="AD830" s="139"/>
      <c r="AE830" s="139"/>
      <c r="AF830" s="140" t="str">
        <f>IFERROR(__xludf.DUMMYFUNCTION("""COMPUTED_VALUE"""),"No. I took delivery of the first car Tesla was able to deliver.")</f>
        <v>No. I took delivery of the first car Tesla was able to deliver.</v>
      </c>
      <c r="AG830" s="145"/>
      <c r="AH830" s="157">
        <f>IFERROR(__xludf.DUMMYFUNCTION("""COMPUTED_VALUE"""),44359.537024212965)</f>
        <v>44359.53702</v>
      </c>
      <c r="AI830" s="138"/>
      <c r="AJ830" s="138"/>
      <c r="AK830" s="138"/>
      <c r="AL830" s="142"/>
    </row>
    <row r="831" ht="20.25" customHeight="1">
      <c r="A831" s="155" t="str">
        <f>IFERROR(__xludf.DUMMYFUNCTION("""COMPUTED_VALUE"""),"guest")</f>
        <v>guest</v>
      </c>
      <c r="B831" s="149" t="str">
        <f>IFERROR(__xludf.DUMMYFUNCTION("""COMPUTED_VALUE"""),"Springfield")</f>
        <v>Springfield</v>
      </c>
      <c r="C831" s="149" t="str">
        <f>IFERROR(__xludf.DUMMYFUNCTION("""COMPUTED_VALUE"""),"NJ")</f>
        <v>NJ</v>
      </c>
      <c r="D831" s="149" t="str">
        <f>IFERROR(__xludf.DUMMYFUNCTION("""COMPUTED_VALUE"""),"USA")</f>
        <v>USA</v>
      </c>
      <c r="E831" s="156">
        <f>IFERROR(__xludf.DUMMYFUNCTION("""COMPUTED_VALUE"""),44301.0)</f>
        <v>44301</v>
      </c>
      <c r="F831" s="129">
        <f>IFERROR(__xludf.DUMMYFUNCTION("""COMPUTED_VALUE"""),44345.0)</f>
        <v>44345</v>
      </c>
      <c r="G831" s="154" t="str">
        <f>IFERROR(__xludf.DUMMYFUNCTION("""COMPUTED_VALUE"""),"Manage order page (normal text)")</f>
        <v>Manage order page (normal text)</v>
      </c>
      <c r="H831" s="131">
        <f>IFERROR(__xludf.DUMMYFUNCTION("""COMPUTED_VALUE"""),979155.0)</f>
        <v>979155</v>
      </c>
      <c r="I831" s="144" t="str">
        <f>IFERROR(__xludf.DUMMYFUNCTION("""COMPUTED_VALUE"""),"05/21")</f>
        <v>05/21</v>
      </c>
      <c r="J831" s="129">
        <f>IFERROR(__xludf.DUMMYFUNCTION("""COMPUTED_VALUE"""),44356.0)</f>
        <v>44356</v>
      </c>
      <c r="K831" s="133">
        <f>IFERROR(__xludf.DUMMYFUNCTION("""COMPUTED_VALUE"""),44.0)</f>
        <v>44</v>
      </c>
      <c r="L831" s="133">
        <f>IFERROR(__xludf.DUMMYFUNCTION("""COMPUTED_VALUE"""),11.0)</f>
        <v>11</v>
      </c>
      <c r="M831" s="133">
        <f>IFERROR(__xludf.DUMMYFUNCTION("""COMPUTED_VALUE"""),55.0)</f>
        <v>55</v>
      </c>
      <c r="N831" s="152" t="str">
        <f>IFERROR(__xludf.DUMMYFUNCTION("""COMPUTED_VALUE"""),"Model 3 LR AWD")</f>
        <v>Model 3 LR AWD</v>
      </c>
      <c r="O831" s="152" t="str">
        <f>IFERROR(__xludf.DUMMYFUNCTION("""COMPUTED_VALUE"""),"Solid Black")</f>
        <v>Solid Black</v>
      </c>
      <c r="P831" s="153" t="str">
        <f>IFERROR(__xludf.DUMMYFUNCTION("""COMPUTED_VALUE"""),"18 inch")</f>
        <v>18 inch</v>
      </c>
      <c r="Q831" s="152" t="str">
        <f>IFERROR(__xludf.DUMMYFUNCTION("""COMPUTED_VALUE"""),"All Black")</f>
        <v>All Black</v>
      </c>
      <c r="R831" s="149" t="str">
        <f>IFERROR(__xludf.DUMMYFUNCTION("""COMPUTED_VALUE"""),"Autopilot included")</f>
        <v>Autopilot included</v>
      </c>
      <c r="S831" s="149" t="str">
        <f>IFERROR(__xludf.DUMMYFUNCTION("""COMPUTED_VALUE"""),"Loan")</f>
        <v>Loan</v>
      </c>
      <c r="T831" s="145" t="str">
        <f>IFERROR(__xludf.DUMMYFUNCTION("""COMPUTED_VALUE"""),"Chevrolet Orlando")</f>
        <v>Chevrolet Orlando</v>
      </c>
      <c r="U831" s="145" t="str">
        <f>IFERROR(__xludf.DUMMYFUNCTION("""COMPUTED_VALUE"""),"Supercharger V3 support")</f>
        <v>Supercharger V3 support</v>
      </c>
      <c r="V831" s="145" t="str">
        <f>IFERROR(__xludf.DUMMYFUNCTION("""COMPUTED_VALUE"""),"SC support for aftermarket wheels")</f>
        <v>SC support for aftermarket wheels</v>
      </c>
      <c r="W831" s="145" t="str">
        <f>IFERROR(__xludf.DUMMYFUNCTION("""COMPUTED_VALUE"""),"Order within the first 2 weeks of the quarter")</f>
        <v>Order within the first 2 weeks of the quarter</v>
      </c>
      <c r="X831" s="137" t="str">
        <f>IFERROR(__xludf.DUMMYFUNCTION("""COMPUTED_VALUE"""),"Excellent")</f>
        <v>Excellent</v>
      </c>
      <c r="Y831" s="138" t="str">
        <f>IFERROR(__xludf.DUMMYFUNCTION("""COMPUTED_VALUE"""),"Excellent")</f>
        <v>Excellent</v>
      </c>
      <c r="Z831" s="138" t="str">
        <f>IFERROR(__xludf.DUMMYFUNCTION("""COMPUTED_VALUE"""),"Excellent")</f>
        <v>Excellent</v>
      </c>
      <c r="AA831" s="138" t="str">
        <f>IFERROR(__xludf.DUMMYFUNCTION("""COMPUTED_VALUE"""),"Excellent")</f>
        <v>Excellent</v>
      </c>
      <c r="AB831" s="138" t="str">
        <f>IFERROR(__xludf.DUMMYFUNCTION("""COMPUTED_VALUE"""),"Excellent")</f>
        <v>Excellent</v>
      </c>
      <c r="AC831" s="139">
        <f>IFERROR(__xludf.DUMMYFUNCTION("""COMPUTED_VALUE"""),1.0)</f>
        <v>1</v>
      </c>
      <c r="AD831" s="139">
        <f>IFERROR(__xludf.DUMMYFUNCTION("""COMPUTED_VALUE"""),1.0)</f>
        <v>1</v>
      </c>
      <c r="AE831" s="139">
        <f>IFERROR(__xludf.DUMMYFUNCTION("""COMPUTED_VALUE"""),0.0)</f>
        <v>0</v>
      </c>
      <c r="AF831" s="140" t="str">
        <f>IFERROR(__xludf.DUMMYFUNCTION("""COMPUTED_VALUE"""),"No. I took delivery of the first car Tesla was able to deliver.")</f>
        <v>No. I took delivery of the first car Tesla was able to deliver.</v>
      </c>
      <c r="AG831" s="145"/>
      <c r="AH831" s="157">
        <f>IFERROR(__xludf.DUMMYFUNCTION("""COMPUTED_VALUE"""),44361.43980137731)</f>
        <v>44361.4398</v>
      </c>
      <c r="AI831" s="138"/>
      <c r="AJ831" s="138"/>
      <c r="AK831" s="138"/>
      <c r="AL831" s="142"/>
    </row>
    <row r="832" ht="20.25" customHeight="1">
      <c r="A832" s="155" t="str">
        <f>IFERROR(__xludf.DUMMYFUNCTION("""COMPUTED_VALUE"""),"Judacious")</f>
        <v>Judacious</v>
      </c>
      <c r="B832" s="149" t="str">
        <f>IFERROR(__xludf.DUMMYFUNCTION("""COMPUTED_VALUE"""),"Edmonton")</f>
        <v>Edmonton</v>
      </c>
      <c r="C832" s="149" t="str">
        <f>IFERROR(__xludf.DUMMYFUNCTION("""COMPUTED_VALUE"""),"AB")</f>
        <v>AB</v>
      </c>
      <c r="D832" s="149" t="str">
        <f>IFERROR(__xludf.DUMMYFUNCTION("""COMPUTED_VALUE"""),"Canada")</f>
        <v>Canada</v>
      </c>
      <c r="E832" s="156">
        <f>IFERROR(__xludf.DUMMYFUNCTION("""COMPUTED_VALUE"""),44301.0)</f>
        <v>44301</v>
      </c>
      <c r="F832" s="129">
        <f>IFERROR(__xludf.DUMMYFUNCTION("""COMPUTED_VALUE"""),44352.0)</f>
        <v>44352</v>
      </c>
      <c r="G832" s="154" t="str">
        <f>IFERROR(__xludf.DUMMYFUNCTION("""COMPUTED_VALUE"""),"Source code")</f>
        <v>Source code</v>
      </c>
      <c r="H832" s="131">
        <f>IFERROR(__xludf.DUMMYFUNCTION("""COMPUTED_VALUE"""),990355.0)</f>
        <v>990355</v>
      </c>
      <c r="I832" s="144"/>
      <c r="J832" s="129">
        <f>IFERROR(__xludf.DUMMYFUNCTION("""COMPUTED_VALUE"""),44365.0)</f>
        <v>44365</v>
      </c>
      <c r="K832" s="133">
        <f>IFERROR(__xludf.DUMMYFUNCTION("""COMPUTED_VALUE"""),51.0)</f>
        <v>51</v>
      </c>
      <c r="L832" s="133">
        <f>IFERROR(__xludf.DUMMYFUNCTION("""COMPUTED_VALUE"""),13.0)</f>
        <v>13</v>
      </c>
      <c r="M832" s="133">
        <f>IFERROR(__xludf.DUMMYFUNCTION("""COMPUTED_VALUE"""),64.0)</f>
        <v>64</v>
      </c>
      <c r="N832" s="152" t="str">
        <f>IFERROR(__xludf.DUMMYFUNCTION("""COMPUTED_VALUE"""),"Model 3 Performance")</f>
        <v>Model 3 Performance</v>
      </c>
      <c r="O832" s="152" t="str">
        <f>IFERROR(__xludf.DUMMYFUNCTION("""COMPUTED_VALUE"""),"Pearl White Multi-Coat")</f>
        <v>Pearl White Multi-Coat</v>
      </c>
      <c r="P832" s="153" t="str">
        <f>IFERROR(__xludf.DUMMYFUNCTION("""COMPUTED_VALUE"""),"20 inch")</f>
        <v>20 inch</v>
      </c>
      <c r="Q832" s="152" t="str">
        <f>IFERROR(__xludf.DUMMYFUNCTION("""COMPUTED_VALUE"""),"All Black")</f>
        <v>All Black</v>
      </c>
      <c r="R832" s="149" t="str">
        <f>IFERROR(__xludf.DUMMYFUNCTION("""COMPUTED_VALUE"""),"Autopilot included")</f>
        <v>Autopilot included</v>
      </c>
      <c r="S832" s="149" t="str">
        <f>IFERROR(__xludf.DUMMYFUNCTION("""COMPUTED_VALUE"""),"Cash")</f>
        <v>Cash</v>
      </c>
      <c r="T832" s="145" t="str">
        <f>IFERROR(__xludf.DUMMYFUNCTION("""COMPUTED_VALUE"""),"BMW M240i xDrive Coupe")</f>
        <v>BMW M240i xDrive Coupe</v>
      </c>
      <c r="U832" s="145" t="str">
        <f>IFERROR(__xludf.DUMMYFUNCTION("""COMPUTED_VALUE"""),"Autopilot")</f>
        <v>Autopilot</v>
      </c>
      <c r="V832" s="145" t="str">
        <f>IFERROR(__xludf.DUMMYFUNCTION("""COMPUTED_VALUE"""),"Apple CarPlay / Android Auto / SiriusXM Radio")</f>
        <v>Apple CarPlay / Android Auto / SiriusXM Radio</v>
      </c>
      <c r="W832" s="145"/>
      <c r="X832" s="137" t="str">
        <f>IFERROR(__xludf.DUMMYFUNCTION("""COMPUTED_VALUE"""),"Excellent")</f>
        <v>Excellent</v>
      </c>
      <c r="Y832" s="138" t="str">
        <f>IFERROR(__xludf.DUMMYFUNCTION("""COMPUTED_VALUE"""),"Excellent")</f>
        <v>Excellent</v>
      </c>
      <c r="Z832" s="138" t="str">
        <f>IFERROR(__xludf.DUMMYFUNCTION("""COMPUTED_VALUE"""),"Excellent")</f>
        <v>Excellent</v>
      </c>
      <c r="AA832" s="138" t="str">
        <f>IFERROR(__xludf.DUMMYFUNCTION("""COMPUTED_VALUE"""),"Excellent")</f>
        <v>Excellent</v>
      </c>
      <c r="AB832" s="138" t="str">
        <f>IFERROR(__xludf.DUMMYFUNCTION("""COMPUTED_VALUE"""),"Excellent")</f>
        <v>Excellent</v>
      </c>
      <c r="AC832" s="139"/>
      <c r="AD832" s="139"/>
      <c r="AE832" s="139"/>
      <c r="AF832" s="140"/>
      <c r="AG832" s="145"/>
      <c r="AH832" s="157">
        <f>IFERROR(__xludf.DUMMYFUNCTION("""COMPUTED_VALUE"""),44366.42807899305)</f>
        <v>44366.42808</v>
      </c>
      <c r="AI832" s="138"/>
      <c r="AJ832" s="138"/>
      <c r="AK832" s="138"/>
      <c r="AL832" s="142"/>
    </row>
    <row r="833" ht="20.25" customHeight="1">
      <c r="A833" s="155" t="str">
        <f>IFERROR(__xludf.DUMMYFUNCTION("""COMPUTED_VALUE"""),"echibe")</f>
        <v>echibe</v>
      </c>
      <c r="B833" s="149" t="str">
        <f>IFERROR(__xludf.DUMMYFUNCTION("""COMPUTED_VALUE"""),"Dallas")</f>
        <v>Dallas</v>
      </c>
      <c r="C833" s="149" t="str">
        <f>IFERROR(__xludf.DUMMYFUNCTION("""COMPUTED_VALUE"""),"TX")</f>
        <v>TX</v>
      </c>
      <c r="D833" s="149" t="str">
        <f>IFERROR(__xludf.DUMMYFUNCTION("""COMPUTED_VALUE"""),"USA")</f>
        <v>USA</v>
      </c>
      <c r="E833" s="156">
        <f>IFERROR(__xludf.DUMMYFUNCTION("""COMPUTED_VALUE"""),44299.0)</f>
        <v>44299</v>
      </c>
      <c r="F833" s="129">
        <f>IFERROR(__xludf.DUMMYFUNCTION("""COMPUTED_VALUE"""),44345.0)</f>
        <v>44345</v>
      </c>
      <c r="G833" s="154" t="str">
        <f>IFERROR(__xludf.DUMMYFUNCTION("""COMPUTED_VALUE"""),"Manage order page (normal text)")</f>
        <v>Manage order page (normal text)</v>
      </c>
      <c r="H833" s="131">
        <f>IFERROR(__xludf.DUMMYFUNCTION("""COMPUTED_VALUE"""),977395.0)</f>
        <v>977395</v>
      </c>
      <c r="I833" s="144"/>
      <c r="J833" s="129">
        <f>IFERROR(__xludf.DUMMYFUNCTION("""COMPUTED_VALUE"""),44354.0)</f>
        <v>44354</v>
      </c>
      <c r="K833" s="133">
        <f>IFERROR(__xludf.DUMMYFUNCTION("""COMPUTED_VALUE"""),46.0)</f>
        <v>46</v>
      </c>
      <c r="L833" s="133">
        <f>IFERROR(__xludf.DUMMYFUNCTION("""COMPUTED_VALUE"""),9.0)</f>
        <v>9</v>
      </c>
      <c r="M833" s="133">
        <f>IFERROR(__xludf.DUMMYFUNCTION("""COMPUTED_VALUE"""),55.0)</f>
        <v>55</v>
      </c>
      <c r="N833" s="152" t="str">
        <f>IFERROR(__xludf.DUMMYFUNCTION("""COMPUTED_VALUE"""),"Model 3 SR+")</f>
        <v>Model 3 SR+</v>
      </c>
      <c r="O833" s="152" t="str">
        <f>IFERROR(__xludf.DUMMYFUNCTION("""COMPUTED_VALUE"""),"Pearl White Multi-Coat")</f>
        <v>Pearl White Multi-Coat</v>
      </c>
      <c r="P833" s="153" t="str">
        <f>IFERROR(__xludf.DUMMYFUNCTION("""COMPUTED_VALUE"""),"18 inch")</f>
        <v>18 inch</v>
      </c>
      <c r="Q833" s="152" t="str">
        <f>IFERROR(__xludf.DUMMYFUNCTION("""COMPUTED_VALUE"""),"All Black")</f>
        <v>All Black</v>
      </c>
      <c r="R833" s="149" t="str">
        <f>IFERROR(__xludf.DUMMYFUNCTION("""COMPUTED_VALUE"""),"Autopilot included")</f>
        <v>Autopilot included</v>
      </c>
      <c r="S833" s="149" t="str">
        <f>IFERROR(__xludf.DUMMYFUNCTION("""COMPUTED_VALUE"""),"Loan")</f>
        <v>Loan</v>
      </c>
      <c r="T833" s="145" t="str">
        <f>IFERROR(__xludf.DUMMYFUNCTION("""COMPUTED_VALUE"""),"Toyota Camry")</f>
        <v>Toyota Camry</v>
      </c>
      <c r="U833" s="145" t="str">
        <f>IFERROR(__xludf.DUMMYFUNCTION("""COMPUTED_VALUE"""),"Electric!")</f>
        <v>Electric!</v>
      </c>
      <c r="V833" s="145" t="str">
        <f>IFERROR(__xludf.DUMMYFUNCTION("""COMPUTED_VALUE"""),"Heated steering wheel")</f>
        <v>Heated steering wheel</v>
      </c>
      <c r="W833" s="145"/>
      <c r="X833" s="137" t="str">
        <f>IFERROR(__xludf.DUMMYFUNCTION("""COMPUTED_VALUE"""),"Very Good")</f>
        <v>Very Good</v>
      </c>
      <c r="Y833" s="138" t="str">
        <f>IFERROR(__xludf.DUMMYFUNCTION("""COMPUTED_VALUE"""),"Excellent")</f>
        <v>Excellent</v>
      </c>
      <c r="Z833" s="138" t="str">
        <f>IFERROR(__xludf.DUMMYFUNCTION("""COMPUTED_VALUE"""),"Very Good")</f>
        <v>Very Good</v>
      </c>
      <c r="AA833" s="138" t="str">
        <f>IFERROR(__xludf.DUMMYFUNCTION("""COMPUTED_VALUE"""),"Very Good")</f>
        <v>Very Good</v>
      </c>
      <c r="AB833" s="138" t="str">
        <f>IFERROR(__xludf.DUMMYFUNCTION("""COMPUTED_VALUE"""),"Very Good")</f>
        <v>Very Good</v>
      </c>
      <c r="AC833" s="139">
        <f>IFERROR(__xludf.DUMMYFUNCTION("""COMPUTED_VALUE"""),0.0)</f>
        <v>0</v>
      </c>
      <c r="AD833" s="139">
        <f>IFERROR(__xludf.DUMMYFUNCTION("""COMPUTED_VALUE"""),0.0)</f>
        <v>0</v>
      </c>
      <c r="AE833" s="139">
        <f>IFERROR(__xludf.DUMMYFUNCTION("""COMPUTED_VALUE"""),0.0)</f>
        <v>0</v>
      </c>
      <c r="AF833" s="140" t="str">
        <f>IFERROR(__xludf.DUMMYFUNCTION("""COMPUTED_VALUE"""),"No. I took delivery of the first car Tesla was able to deliver.")</f>
        <v>No. I took delivery of the first car Tesla was able to deliver.</v>
      </c>
      <c r="AG833" s="145" t="str">
        <f>IFERROR(__xludf.DUMMYFUNCTION("""COMPUTED_VALUE"""),"Estimated Delivery Date: June 9th - June 30th")</f>
        <v>Estimated Delivery Date: June 9th - June 30th</v>
      </c>
      <c r="AH833" s="157">
        <f>IFERROR(__xludf.DUMMYFUNCTION("""COMPUTED_VALUE"""),44355.56350009259)</f>
        <v>44355.5635</v>
      </c>
      <c r="AI833" s="138"/>
      <c r="AJ833" s="138"/>
      <c r="AK833" s="138"/>
      <c r="AL833" s="142"/>
    </row>
    <row r="834" ht="20.25" customHeight="1">
      <c r="A834" s="155" t="str">
        <f>IFERROR(__xludf.DUMMYFUNCTION("""COMPUTED_VALUE"""),"Edskeetit")</f>
        <v>Edskeetit</v>
      </c>
      <c r="B834" s="149" t="str">
        <f>IFERROR(__xludf.DUMMYFUNCTION("""COMPUTED_VALUE"""),"Saint Paul")</f>
        <v>Saint Paul</v>
      </c>
      <c r="C834" s="149" t="str">
        <f>IFERROR(__xludf.DUMMYFUNCTION("""COMPUTED_VALUE"""),"MN")</f>
        <v>MN</v>
      </c>
      <c r="D834" s="149" t="str">
        <f>IFERROR(__xludf.DUMMYFUNCTION("""COMPUTED_VALUE"""),"USA")</f>
        <v>USA</v>
      </c>
      <c r="E834" s="156">
        <f>IFERROR(__xludf.DUMMYFUNCTION("""COMPUTED_VALUE"""),44299.0)</f>
        <v>44299</v>
      </c>
      <c r="F834" s="129">
        <f>IFERROR(__xludf.DUMMYFUNCTION("""COMPUTED_VALUE"""),44353.0)</f>
        <v>44353</v>
      </c>
      <c r="G834" s="154" t="str">
        <f>IFERROR(__xludf.DUMMYFUNCTION("""COMPUTED_VALUE"""),"Manage order page (normal text)")</f>
        <v>Manage order page (normal text)</v>
      </c>
      <c r="H834" s="131">
        <f>IFERROR(__xludf.DUMMYFUNCTION("""COMPUTED_VALUE"""),986455.0)</f>
        <v>986455</v>
      </c>
      <c r="I834" s="144"/>
      <c r="J834" s="129">
        <f>IFERROR(__xludf.DUMMYFUNCTION("""COMPUTED_VALUE"""),44364.0)</f>
        <v>44364</v>
      </c>
      <c r="K834" s="133">
        <f>IFERROR(__xludf.DUMMYFUNCTION("""COMPUTED_VALUE"""),54.0)</f>
        <v>54</v>
      </c>
      <c r="L834" s="133">
        <f>IFERROR(__xludf.DUMMYFUNCTION("""COMPUTED_VALUE"""),11.0)</f>
        <v>11</v>
      </c>
      <c r="M834" s="133">
        <f>IFERROR(__xludf.DUMMYFUNCTION("""COMPUTED_VALUE"""),65.0)</f>
        <v>65</v>
      </c>
      <c r="N834" s="152" t="str">
        <f>IFERROR(__xludf.DUMMYFUNCTION("""COMPUTED_VALUE"""),"Model 3 SR+")</f>
        <v>Model 3 SR+</v>
      </c>
      <c r="O834" s="152" t="str">
        <f>IFERROR(__xludf.DUMMYFUNCTION("""COMPUTED_VALUE"""),"Pearl White Multi-Coat")</f>
        <v>Pearl White Multi-Coat</v>
      </c>
      <c r="P834" s="153" t="str">
        <f>IFERROR(__xludf.DUMMYFUNCTION("""COMPUTED_VALUE"""),"18 inch")</f>
        <v>18 inch</v>
      </c>
      <c r="Q834" s="152" t="str">
        <f>IFERROR(__xludf.DUMMYFUNCTION("""COMPUTED_VALUE"""),"All Black")</f>
        <v>All Black</v>
      </c>
      <c r="R834" s="149" t="str">
        <f>IFERROR(__xludf.DUMMYFUNCTION("""COMPUTED_VALUE"""),"Autopilot included")</f>
        <v>Autopilot included</v>
      </c>
      <c r="S834" s="149" t="str">
        <f>IFERROR(__xludf.DUMMYFUNCTION("""COMPUTED_VALUE"""),"Loan")</f>
        <v>Loan</v>
      </c>
      <c r="T834" s="145" t="str">
        <f>IFERROR(__xludf.DUMMYFUNCTION("""COMPUTED_VALUE"""),"Ford Fiesta")</f>
        <v>Ford Fiesta</v>
      </c>
      <c r="U834" s="145" t="str">
        <f>IFERROR(__xludf.DUMMYFUNCTION("""COMPUTED_VALUE"""),"Electric!")</f>
        <v>Electric!</v>
      </c>
      <c r="V834" s="145" t="str">
        <f>IFERROR(__xludf.DUMMYFUNCTION("""COMPUTED_VALUE"""),"Blind spot indicators on side mirrors")</f>
        <v>Blind spot indicators on side mirrors</v>
      </c>
      <c r="W834" s="145"/>
      <c r="X834" s="137" t="str">
        <f>IFERROR(__xludf.DUMMYFUNCTION("""COMPUTED_VALUE"""),"Excellent")</f>
        <v>Excellent</v>
      </c>
      <c r="Y834" s="138" t="str">
        <f>IFERROR(__xludf.DUMMYFUNCTION("""COMPUTED_VALUE"""),"Excellent")</f>
        <v>Excellent</v>
      </c>
      <c r="Z834" s="138" t="str">
        <f>IFERROR(__xludf.DUMMYFUNCTION("""COMPUTED_VALUE"""),"Excellent")</f>
        <v>Excellent</v>
      </c>
      <c r="AA834" s="138" t="str">
        <f>IFERROR(__xludf.DUMMYFUNCTION("""COMPUTED_VALUE"""),"Good")</f>
        <v>Good</v>
      </c>
      <c r="AB834" s="138" t="str">
        <f>IFERROR(__xludf.DUMMYFUNCTION("""COMPUTED_VALUE"""),"Good")</f>
        <v>Good</v>
      </c>
      <c r="AC834" s="139">
        <f>IFERROR(__xludf.DUMMYFUNCTION("""COMPUTED_VALUE"""),2.0)</f>
        <v>2</v>
      </c>
      <c r="AD834" s="139">
        <f>IFERROR(__xludf.DUMMYFUNCTION("""COMPUTED_VALUE"""),1.0)</f>
        <v>1</v>
      </c>
      <c r="AE834" s="139">
        <f>IFERROR(__xludf.DUMMYFUNCTION("""COMPUTED_VALUE"""),0.0)</f>
        <v>0</v>
      </c>
      <c r="AF834" s="140" t="str">
        <f>IFERROR(__xludf.DUMMYFUNCTION("""COMPUTED_VALUE"""),"No. I took delivery of the first car Tesla was able to deliver.")</f>
        <v>No. I took delivery of the first car Tesla was able to deliver.</v>
      </c>
      <c r="AG834" s="145"/>
      <c r="AH834" s="157">
        <f>IFERROR(__xludf.DUMMYFUNCTION("""COMPUTED_VALUE"""),44369.78259574074)</f>
        <v>44369.7826</v>
      </c>
      <c r="AI834" s="138"/>
      <c r="AJ834" s="138"/>
      <c r="AK834" s="138"/>
      <c r="AL834" s="142"/>
    </row>
    <row r="835" ht="20.25" customHeight="1">
      <c r="A835" s="155" t="str">
        <f>IFERROR(__xludf.DUMMYFUNCTION("""COMPUTED_VALUE"""),"SimeriaIonut")</f>
        <v>SimeriaIonut</v>
      </c>
      <c r="B835" s="149" t="str">
        <f>IFERROR(__xludf.DUMMYFUNCTION("""COMPUTED_VALUE"""),"Copenhagen, Denmark")</f>
        <v>Copenhagen, Denmark</v>
      </c>
      <c r="C835" s="149"/>
      <c r="D835" s="149" t="str">
        <f>IFERROR(__xludf.DUMMYFUNCTION("""COMPUTED_VALUE"""),"Other (include country together with city)")</f>
        <v>Other (include country together with city)</v>
      </c>
      <c r="E835" s="156">
        <f>IFERROR(__xludf.DUMMYFUNCTION("""COMPUTED_VALUE"""),44299.0)</f>
        <v>44299</v>
      </c>
      <c r="F835" s="129">
        <f>IFERROR(__xludf.DUMMYFUNCTION("""COMPUTED_VALUE"""),44328.0)</f>
        <v>44328</v>
      </c>
      <c r="G835" s="154" t="str">
        <f>IFERROR(__xludf.DUMMYFUNCTION("""COMPUTED_VALUE"""),"Phone call")</f>
        <v>Phone call</v>
      </c>
      <c r="H835" s="131">
        <f>IFERROR(__xludf.DUMMYFUNCTION("""COMPUTED_VALUE"""),961955.0)</f>
        <v>961955</v>
      </c>
      <c r="I835" s="144"/>
      <c r="J835" s="129">
        <f>IFERROR(__xludf.DUMMYFUNCTION("""COMPUTED_VALUE"""),44383.0)</f>
        <v>44383</v>
      </c>
      <c r="K835" s="133">
        <f>IFERROR(__xludf.DUMMYFUNCTION("""COMPUTED_VALUE"""),29.0)</f>
        <v>29</v>
      </c>
      <c r="L835" s="133">
        <f>IFERROR(__xludf.DUMMYFUNCTION("""COMPUTED_VALUE"""),55.0)</f>
        <v>55</v>
      </c>
      <c r="M835" s="133">
        <f>IFERROR(__xludf.DUMMYFUNCTION("""COMPUTED_VALUE"""),84.0)</f>
        <v>84</v>
      </c>
      <c r="N835" s="152" t="str">
        <f>IFERROR(__xludf.DUMMYFUNCTION("""COMPUTED_VALUE"""),"Model 3 LR AWD")</f>
        <v>Model 3 LR AWD</v>
      </c>
      <c r="O835" s="152" t="str">
        <f>IFERROR(__xludf.DUMMYFUNCTION("""COMPUTED_VALUE"""),"Solid Black")</f>
        <v>Solid Black</v>
      </c>
      <c r="P835" s="153" t="str">
        <f>IFERROR(__xludf.DUMMYFUNCTION("""COMPUTED_VALUE"""),"18 inch")</f>
        <v>18 inch</v>
      </c>
      <c r="Q835" s="152" t="str">
        <f>IFERROR(__xludf.DUMMYFUNCTION("""COMPUTED_VALUE"""),"All Black")</f>
        <v>All Black</v>
      </c>
      <c r="R835" s="149" t="str">
        <f>IFERROR(__xludf.DUMMYFUNCTION("""COMPUTED_VALUE"""),"Autopilot included")</f>
        <v>Autopilot included</v>
      </c>
      <c r="S835" s="149" t="str">
        <f>IFERROR(__xludf.DUMMYFUNCTION("""COMPUTED_VALUE"""),"Loan")</f>
        <v>Loan</v>
      </c>
      <c r="T835" s="145" t="str">
        <f>IFERROR(__xludf.DUMMYFUNCTION("""COMPUTED_VALUE"""),"BMW 1 Series")</f>
        <v>BMW 1 Series</v>
      </c>
      <c r="U835" s="145" t="str">
        <f>IFERROR(__xludf.DUMMYFUNCTION("""COMPUTED_VALUE"""),"Electric!")</f>
        <v>Electric!</v>
      </c>
      <c r="V835" s="145" t="str">
        <f>IFERROR(__xludf.DUMMYFUNCTION("""COMPUTED_VALUE"""),"Blind spot indicators on side mirrors")</f>
        <v>Blind spot indicators on side mirrors</v>
      </c>
      <c r="W835" s="145"/>
      <c r="X835" s="137"/>
      <c r="Y835" s="138"/>
      <c r="Z835" s="138"/>
      <c r="AA835" s="138"/>
      <c r="AB835" s="138"/>
      <c r="AC835" s="139"/>
      <c r="AD835" s="139"/>
      <c r="AE835" s="139"/>
      <c r="AF835" s="140"/>
      <c r="AG835" s="145"/>
      <c r="AH835" s="157">
        <f>IFERROR(__xludf.DUMMYFUNCTION("""COMPUTED_VALUE"""),44334.26775578704)</f>
        <v>44334.26776</v>
      </c>
      <c r="AI835" s="138"/>
      <c r="AJ835" s="138"/>
      <c r="AK835" s="138"/>
      <c r="AL835" s="142"/>
    </row>
    <row r="836" ht="20.25" customHeight="1">
      <c r="A836" s="155" t="str">
        <f>IFERROR(__xludf.DUMMYFUNCTION("""COMPUTED_VALUE"""),"sptfire07")</f>
        <v>sptfire07</v>
      </c>
      <c r="B836" s="149" t="str">
        <f>IFERROR(__xludf.DUMMYFUNCTION("""COMPUTED_VALUE"""),"Charlotte")</f>
        <v>Charlotte</v>
      </c>
      <c r="C836" s="149" t="str">
        <f>IFERROR(__xludf.DUMMYFUNCTION("""COMPUTED_VALUE"""),"NC")</f>
        <v>NC</v>
      </c>
      <c r="D836" s="149" t="str">
        <f>IFERROR(__xludf.DUMMYFUNCTION("""COMPUTED_VALUE"""),"USA")</f>
        <v>USA</v>
      </c>
      <c r="E836" s="156">
        <f>IFERROR(__xludf.DUMMYFUNCTION("""COMPUTED_VALUE"""),44299.0)</f>
        <v>44299</v>
      </c>
      <c r="F836" s="129">
        <f>IFERROR(__xludf.DUMMYFUNCTION("""COMPUTED_VALUE"""),44392.0)</f>
        <v>44392</v>
      </c>
      <c r="G836" s="154" t="str">
        <f>IFERROR(__xludf.DUMMYFUNCTION("""COMPUTED_VALUE"""),"Manage order page (normal text)")</f>
        <v>Manage order page (normal text)</v>
      </c>
      <c r="H836" s="131">
        <f>IFERROR(__xludf.DUMMYFUNCTION("""COMPUTED_VALUE"""),19555.0)</f>
        <v>19555</v>
      </c>
      <c r="I836" s="144" t="str">
        <f>IFERROR(__xludf.DUMMYFUNCTION("""COMPUTED_VALUE"""),"07/21")</f>
        <v>07/21</v>
      </c>
      <c r="J836" s="129">
        <f>IFERROR(__xludf.DUMMYFUNCTION("""COMPUTED_VALUE"""),44407.0)</f>
        <v>44407</v>
      </c>
      <c r="K836" s="133">
        <f>IFERROR(__xludf.DUMMYFUNCTION("""COMPUTED_VALUE"""),93.0)</f>
        <v>93</v>
      </c>
      <c r="L836" s="133">
        <f>IFERROR(__xludf.DUMMYFUNCTION("""COMPUTED_VALUE"""),15.0)</f>
        <v>15</v>
      </c>
      <c r="M836" s="133">
        <f>IFERROR(__xludf.DUMMYFUNCTION("""COMPUTED_VALUE"""),108.0)</f>
        <v>108</v>
      </c>
      <c r="N836" s="152" t="str">
        <f>IFERROR(__xludf.DUMMYFUNCTION("""COMPUTED_VALUE"""),"Model 3 LR AWD")</f>
        <v>Model 3 LR AWD</v>
      </c>
      <c r="O836" s="152" t="str">
        <f>IFERROR(__xludf.DUMMYFUNCTION("""COMPUTED_VALUE"""),"Pearl White Multi-Coat")</f>
        <v>Pearl White Multi-Coat</v>
      </c>
      <c r="P836" s="153" t="str">
        <f>IFERROR(__xludf.DUMMYFUNCTION("""COMPUTED_VALUE"""),"18 inch")</f>
        <v>18 inch</v>
      </c>
      <c r="Q836" s="152" t="str">
        <f>IFERROR(__xludf.DUMMYFUNCTION("""COMPUTED_VALUE"""),"All Black")</f>
        <v>All Black</v>
      </c>
      <c r="R836" s="149" t="str">
        <f>IFERROR(__xludf.DUMMYFUNCTION("""COMPUTED_VALUE"""),"Autopilot included")</f>
        <v>Autopilot included</v>
      </c>
      <c r="S836" s="149" t="str">
        <f>IFERROR(__xludf.DUMMYFUNCTION("""COMPUTED_VALUE"""),"Loan")</f>
        <v>Loan</v>
      </c>
      <c r="T836" s="145" t="str">
        <f>IFERROR(__xludf.DUMMYFUNCTION("""COMPUTED_VALUE"""),"BMW 3 Series")</f>
        <v>BMW 3 Series</v>
      </c>
      <c r="U836" s="145" t="str">
        <f>IFERROR(__xludf.DUMMYFUNCTION("""COMPUTED_VALUE"""),"Electric!")</f>
        <v>Electric!</v>
      </c>
      <c r="V836" s="145"/>
      <c r="W836" s="145"/>
      <c r="X836" s="137" t="str">
        <f>IFERROR(__xludf.DUMMYFUNCTION("""COMPUTED_VALUE"""),"Very Good")</f>
        <v>Very Good</v>
      </c>
      <c r="Y836" s="138" t="str">
        <f>IFERROR(__xludf.DUMMYFUNCTION("""COMPUTED_VALUE"""),"Good")</f>
        <v>Good</v>
      </c>
      <c r="Z836" s="138" t="str">
        <f>IFERROR(__xludf.DUMMYFUNCTION("""COMPUTED_VALUE"""),"Good")</f>
        <v>Good</v>
      </c>
      <c r="AA836" s="138" t="str">
        <f>IFERROR(__xludf.DUMMYFUNCTION("""COMPUTED_VALUE"""),"Poor")</f>
        <v>Poor</v>
      </c>
      <c r="AB836" s="138" t="str">
        <f>IFERROR(__xludf.DUMMYFUNCTION("""COMPUTED_VALUE"""),"Fair")</f>
        <v>Fair</v>
      </c>
      <c r="AC836" s="139"/>
      <c r="AD836" s="139"/>
      <c r="AE836" s="139"/>
      <c r="AF836" s="140"/>
      <c r="AG836" s="145"/>
      <c r="AH836" s="157">
        <f>IFERROR(__xludf.DUMMYFUNCTION("""COMPUTED_VALUE"""),44410.2597049537)</f>
        <v>44410.2597</v>
      </c>
      <c r="AI836" s="138"/>
      <c r="AJ836" s="138"/>
      <c r="AK836" s="138"/>
      <c r="AL836" s="142"/>
    </row>
    <row r="837" ht="20.25" customHeight="1">
      <c r="A837" s="155" t="str">
        <f>IFERROR(__xludf.DUMMYFUNCTION("""COMPUTED_VALUE"""),"Techitect")</f>
        <v>Techitect</v>
      </c>
      <c r="B837" s="149" t="str">
        <f>IFERROR(__xludf.DUMMYFUNCTION("""COMPUTED_VALUE"""),"Denver")</f>
        <v>Denver</v>
      </c>
      <c r="C837" s="149" t="str">
        <f>IFERROR(__xludf.DUMMYFUNCTION("""COMPUTED_VALUE"""),"CO")</f>
        <v>CO</v>
      </c>
      <c r="D837" s="149" t="str">
        <f>IFERROR(__xludf.DUMMYFUNCTION("""COMPUTED_VALUE"""),"USA")</f>
        <v>USA</v>
      </c>
      <c r="E837" s="156">
        <f>IFERROR(__xludf.DUMMYFUNCTION("""COMPUTED_VALUE"""),44299.0)</f>
        <v>44299</v>
      </c>
      <c r="F837" s="129">
        <f>IFERROR(__xludf.DUMMYFUNCTION("""COMPUTED_VALUE"""),44349.0)</f>
        <v>44349</v>
      </c>
      <c r="G837" s="154" t="str">
        <f>IFERROR(__xludf.DUMMYFUNCTION("""COMPUTED_VALUE"""),"Email")</f>
        <v>Email</v>
      </c>
      <c r="H837" s="131">
        <f>IFERROR(__xludf.DUMMYFUNCTION("""COMPUTED_VALUE"""),984455.0)</f>
        <v>984455</v>
      </c>
      <c r="I837" s="144"/>
      <c r="J837" s="129">
        <f>IFERROR(__xludf.DUMMYFUNCTION("""COMPUTED_VALUE"""),44361.0)</f>
        <v>44361</v>
      </c>
      <c r="K837" s="133">
        <f>IFERROR(__xludf.DUMMYFUNCTION("""COMPUTED_VALUE"""),50.0)</f>
        <v>50</v>
      </c>
      <c r="L837" s="133">
        <f>IFERROR(__xludf.DUMMYFUNCTION("""COMPUTED_VALUE"""),12.0)</f>
        <v>12</v>
      </c>
      <c r="M837" s="133">
        <f>IFERROR(__xludf.DUMMYFUNCTION("""COMPUTED_VALUE"""),62.0)</f>
        <v>62</v>
      </c>
      <c r="N837" s="152" t="str">
        <f>IFERROR(__xludf.DUMMYFUNCTION("""COMPUTED_VALUE"""),"Model 3 Performance")</f>
        <v>Model 3 Performance</v>
      </c>
      <c r="O837" s="152" t="str">
        <f>IFERROR(__xludf.DUMMYFUNCTION("""COMPUTED_VALUE"""),"Pearl White Multi-Coat")</f>
        <v>Pearl White Multi-Coat</v>
      </c>
      <c r="P837" s="153" t="str">
        <f>IFERROR(__xludf.DUMMYFUNCTION("""COMPUTED_VALUE"""),"20 inch")</f>
        <v>20 inch</v>
      </c>
      <c r="Q837" s="152" t="str">
        <f>IFERROR(__xludf.DUMMYFUNCTION("""COMPUTED_VALUE"""),"Black and White")</f>
        <v>Black and White</v>
      </c>
      <c r="R837" s="149" t="str">
        <f>IFERROR(__xludf.DUMMYFUNCTION("""COMPUTED_VALUE"""),"Autopilot included")</f>
        <v>Autopilot included</v>
      </c>
      <c r="S837" s="149" t="str">
        <f>IFERROR(__xludf.DUMMYFUNCTION("""COMPUTED_VALUE"""),"Cash")</f>
        <v>Cash</v>
      </c>
      <c r="T837" s="145" t="str">
        <f>IFERROR(__xludf.DUMMYFUNCTION("""COMPUTED_VALUE"""),"Tesla Model 3")</f>
        <v>Tesla Model 3</v>
      </c>
      <c r="U837" s="145" t="str">
        <f>IFERROR(__xludf.DUMMYFUNCTION("""COMPUTED_VALUE"""),"Performance")</f>
        <v>Performance</v>
      </c>
      <c r="V837" s="145" t="str">
        <f>IFERROR(__xludf.DUMMYFUNCTION("""COMPUTED_VALUE"""),"HomeLink")</f>
        <v>HomeLink</v>
      </c>
      <c r="W837" s="145"/>
      <c r="X837" s="137" t="str">
        <f>IFERROR(__xludf.DUMMYFUNCTION("""COMPUTED_VALUE"""),"Very Good")</f>
        <v>Very Good</v>
      </c>
      <c r="Y837" s="138" t="str">
        <f>IFERROR(__xludf.DUMMYFUNCTION("""COMPUTED_VALUE"""),"Excellent")</f>
        <v>Excellent</v>
      </c>
      <c r="Z837" s="138" t="str">
        <f>IFERROR(__xludf.DUMMYFUNCTION("""COMPUTED_VALUE"""),"Excellent")</f>
        <v>Excellent</v>
      </c>
      <c r="AA837" s="138" t="str">
        <f>IFERROR(__xludf.DUMMYFUNCTION("""COMPUTED_VALUE"""),"Excellent")</f>
        <v>Excellent</v>
      </c>
      <c r="AB837" s="138" t="str">
        <f>IFERROR(__xludf.DUMMYFUNCTION("""COMPUTED_VALUE"""),"Excellent")</f>
        <v>Excellent</v>
      </c>
      <c r="AC837" s="139"/>
      <c r="AD837" s="139"/>
      <c r="AE837" s="139"/>
      <c r="AF837" s="140" t="str">
        <f>IFERROR(__xludf.DUMMYFUNCTION("""COMPUTED_VALUE"""),"No. I took delivery of the first car Tesla was able to deliver.")</f>
        <v>No. I took delivery of the first car Tesla was able to deliver.</v>
      </c>
      <c r="AG837" s="145"/>
      <c r="AH837" s="157">
        <f>IFERROR(__xludf.DUMMYFUNCTION("""COMPUTED_VALUE"""),44361.58490140046)</f>
        <v>44361.5849</v>
      </c>
      <c r="AI837" s="138"/>
      <c r="AJ837" s="138"/>
      <c r="AK837" s="138"/>
      <c r="AL837" s="142"/>
    </row>
    <row r="838" ht="20.25" customHeight="1">
      <c r="A838" s="155" t="str">
        <f>IFERROR(__xludf.DUMMYFUNCTION("""COMPUTED_VALUE"""),"derp")</f>
        <v>derp</v>
      </c>
      <c r="B838" s="149" t="str">
        <f>IFERROR(__xludf.DUMMYFUNCTION("""COMPUTED_VALUE"""),"millbrae")</f>
        <v>millbrae</v>
      </c>
      <c r="C838" s="149" t="str">
        <f>IFERROR(__xludf.DUMMYFUNCTION("""COMPUTED_VALUE"""),"CA")</f>
        <v>CA</v>
      </c>
      <c r="D838" s="149" t="str">
        <f>IFERROR(__xludf.DUMMYFUNCTION("""COMPUTED_VALUE"""),"USA")</f>
        <v>USA</v>
      </c>
      <c r="E838" s="156">
        <f>IFERROR(__xludf.DUMMYFUNCTION("""COMPUTED_VALUE"""),44298.0)</f>
        <v>44298</v>
      </c>
      <c r="F838" s="129">
        <f>IFERROR(__xludf.DUMMYFUNCTION("""COMPUTED_VALUE"""),44363.0)</f>
        <v>44363</v>
      </c>
      <c r="G838" s="154" t="str">
        <f>IFERROR(__xludf.DUMMYFUNCTION("""COMPUTED_VALUE"""),"Email")</f>
        <v>Email</v>
      </c>
      <c r="H838" s="131">
        <f>IFERROR(__xludf.DUMMYFUNCTION("""COMPUTED_VALUE"""),995419.0)</f>
        <v>995419</v>
      </c>
      <c r="I838" s="144" t="str">
        <f>IFERROR(__xludf.DUMMYFUNCTION("""COMPUTED_VALUE"""),"06/21")</f>
        <v>06/21</v>
      </c>
      <c r="J838" s="129">
        <f>IFERROR(__xludf.DUMMYFUNCTION("""COMPUTED_VALUE"""),44366.0)</f>
        <v>44366</v>
      </c>
      <c r="K838" s="133">
        <f>IFERROR(__xludf.DUMMYFUNCTION("""COMPUTED_VALUE"""),65.0)</f>
        <v>65</v>
      </c>
      <c r="L838" s="133">
        <f>IFERROR(__xludf.DUMMYFUNCTION("""COMPUTED_VALUE"""),3.0)</f>
        <v>3</v>
      </c>
      <c r="M838" s="133">
        <f>IFERROR(__xludf.DUMMYFUNCTION("""COMPUTED_VALUE"""),68.0)</f>
        <v>68</v>
      </c>
      <c r="N838" s="152" t="str">
        <f>IFERROR(__xludf.DUMMYFUNCTION("""COMPUTED_VALUE"""),"Model 3 LR AWD")</f>
        <v>Model 3 LR AWD</v>
      </c>
      <c r="O838" s="152" t="str">
        <f>IFERROR(__xludf.DUMMYFUNCTION("""COMPUTED_VALUE"""),"Deep Blue Metallic")</f>
        <v>Deep Blue Metallic</v>
      </c>
      <c r="P838" s="153" t="str">
        <f>IFERROR(__xludf.DUMMYFUNCTION("""COMPUTED_VALUE"""),"18 inch")</f>
        <v>18 inch</v>
      </c>
      <c r="Q838" s="152" t="str">
        <f>IFERROR(__xludf.DUMMYFUNCTION("""COMPUTED_VALUE"""),"All Black")</f>
        <v>All Black</v>
      </c>
      <c r="R838" s="149" t="str">
        <f>IFERROR(__xludf.DUMMYFUNCTION("""COMPUTED_VALUE"""),"Full Self-Driving")</f>
        <v>Full Self-Driving</v>
      </c>
      <c r="S838" s="149" t="str">
        <f>IFERROR(__xludf.DUMMYFUNCTION("""COMPUTED_VALUE"""),"Loan")</f>
        <v>Loan</v>
      </c>
      <c r="T838" s="145" t="str">
        <f>IFERROR(__xludf.DUMMYFUNCTION("""COMPUTED_VALUE"""),"Toyota Prius")</f>
        <v>Toyota Prius</v>
      </c>
      <c r="U838" s="145" t="str">
        <f>IFERROR(__xludf.DUMMYFUNCTION("""COMPUTED_VALUE"""),"Autopilot")</f>
        <v>Autopilot</v>
      </c>
      <c r="V838" s="145" t="str">
        <f>IFERROR(__xludf.DUMMYFUNCTION("""COMPUTED_VALUE"""),"Head-up display")</f>
        <v>Head-up display</v>
      </c>
      <c r="W838" s="145" t="str">
        <f>IFERROR(__xludf.DUMMYFUNCTION("""COMPUTED_VALUE"""),"I was able to pick up the car the day it arrived at the service center simply by asking in person, saved probably 4 days from the pickup time there were trying to schedule me for.")</f>
        <v>I was able to pick up the car the day it arrived at the service center simply by asking in person, saved probably 4 days from the pickup time there were trying to schedule me for.</v>
      </c>
      <c r="X838" s="137" t="str">
        <f>IFERROR(__xludf.DUMMYFUNCTION("""COMPUTED_VALUE"""),"Very Good")</f>
        <v>Very Good</v>
      </c>
      <c r="Y838" s="138" t="str">
        <f>IFERROR(__xludf.DUMMYFUNCTION("""COMPUTED_VALUE"""),"Very Good")</f>
        <v>Very Good</v>
      </c>
      <c r="Z838" s="138" t="str">
        <f>IFERROR(__xludf.DUMMYFUNCTION("""COMPUTED_VALUE"""),"Very Good")</f>
        <v>Very Good</v>
      </c>
      <c r="AA838" s="138" t="str">
        <f>IFERROR(__xludf.DUMMYFUNCTION("""COMPUTED_VALUE"""),"Poor")</f>
        <v>Poor</v>
      </c>
      <c r="AB838" s="138" t="str">
        <f>IFERROR(__xludf.DUMMYFUNCTION("""COMPUTED_VALUE"""),"Poor")</f>
        <v>Poor</v>
      </c>
      <c r="AC838" s="139"/>
      <c r="AD838" s="139"/>
      <c r="AE838" s="139"/>
      <c r="AF838" s="140" t="str">
        <f>IFERROR(__xludf.DUMMYFUNCTION("""COMPUTED_VALUE"""),"No. I took delivery of the first car Tesla was able to deliver.")</f>
        <v>No. I took delivery of the first car Tesla was able to deliver.</v>
      </c>
      <c r="AG838" s="145"/>
      <c r="AH838" s="157">
        <f>IFERROR(__xludf.DUMMYFUNCTION("""COMPUTED_VALUE"""),44366.77206105325)</f>
        <v>44366.77206</v>
      </c>
      <c r="AI838" s="138"/>
      <c r="AJ838" s="138"/>
      <c r="AK838" s="138"/>
      <c r="AL838" s="142"/>
    </row>
    <row r="839" ht="20.25" customHeight="1">
      <c r="A839" s="155" t="str">
        <f>IFERROR(__xludf.DUMMYFUNCTION("""COMPUTED_VALUE"""),"watsup")</f>
        <v>watsup</v>
      </c>
      <c r="B839" s="149" t="str">
        <f>IFERROR(__xludf.DUMMYFUNCTION("""COMPUTED_VALUE"""),"Fullerton")</f>
        <v>Fullerton</v>
      </c>
      <c r="C839" s="149" t="str">
        <f>IFERROR(__xludf.DUMMYFUNCTION("""COMPUTED_VALUE"""),"CA")</f>
        <v>CA</v>
      </c>
      <c r="D839" s="149" t="str">
        <f>IFERROR(__xludf.DUMMYFUNCTION("""COMPUTED_VALUE"""),"USA")</f>
        <v>USA</v>
      </c>
      <c r="E839" s="156">
        <f>IFERROR(__xludf.DUMMYFUNCTION("""COMPUTED_VALUE"""),44298.0)</f>
        <v>44298</v>
      </c>
      <c r="F839" s="129">
        <f>IFERROR(__xludf.DUMMYFUNCTION("""COMPUTED_VALUE"""),44374.0)</f>
        <v>44374</v>
      </c>
      <c r="G839" s="154" t="str">
        <f>IFERROR(__xludf.DUMMYFUNCTION("""COMPUTED_VALUE"""),"Manage order page (normal text)")</f>
        <v>Manage order page (normal text)</v>
      </c>
      <c r="H839" s="131"/>
      <c r="I839" s="144" t="str">
        <f>IFERROR(__xludf.DUMMYFUNCTION("""COMPUTED_VALUE"""),"06/21")</f>
        <v>06/21</v>
      </c>
      <c r="J839" s="129">
        <f>IFERROR(__xludf.DUMMYFUNCTION("""COMPUTED_VALUE"""),44376.0)</f>
        <v>44376</v>
      </c>
      <c r="K839" s="133">
        <f>IFERROR(__xludf.DUMMYFUNCTION("""COMPUTED_VALUE"""),76.0)</f>
        <v>76</v>
      </c>
      <c r="L839" s="133">
        <f>IFERROR(__xludf.DUMMYFUNCTION("""COMPUTED_VALUE"""),2.0)</f>
        <v>2</v>
      </c>
      <c r="M839" s="133">
        <f>IFERROR(__xludf.DUMMYFUNCTION("""COMPUTED_VALUE"""),78.0)</f>
        <v>78</v>
      </c>
      <c r="N839" s="152" t="str">
        <f>IFERROR(__xludf.DUMMYFUNCTION("""COMPUTED_VALUE"""),"Model 3 SR+")</f>
        <v>Model 3 SR+</v>
      </c>
      <c r="O839" s="152" t="str">
        <f>IFERROR(__xludf.DUMMYFUNCTION("""COMPUTED_VALUE"""),"Pearl White Multi-Coat")</f>
        <v>Pearl White Multi-Coat</v>
      </c>
      <c r="P839" s="153" t="str">
        <f>IFERROR(__xludf.DUMMYFUNCTION("""COMPUTED_VALUE"""),"18 inch")</f>
        <v>18 inch</v>
      </c>
      <c r="Q839" s="152" t="str">
        <f>IFERROR(__xludf.DUMMYFUNCTION("""COMPUTED_VALUE"""),"All Black")</f>
        <v>All Black</v>
      </c>
      <c r="R839" s="149"/>
      <c r="S839" s="149" t="str">
        <f>IFERROR(__xludf.DUMMYFUNCTION("""COMPUTED_VALUE"""),"Loan")</f>
        <v>Loan</v>
      </c>
      <c r="T839" s="145" t="str">
        <f>IFERROR(__xludf.DUMMYFUNCTION("""COMPUTED_VALUE"""),"Toyota Prius")</f>
        <v>Toyota Prius</v>
      </c>
      <c r="U839" s="145" t="str">
        <f>IFERROR(__xludf.DUMMYFUNCTION("""COMPUTED_VALUE"""),"Electric!")</f>
        <v>Electric!</v>
      </c>
      <c r="V839" s="145" t="str">
        <f>IFERROR(__xludf.DUMMYFUNCTION("""COMPUTED_VALUE"""),"Blind spot indicators on side mirrors")</f>
        <v>Blind spot indicators on side mirrors</v>
      </c>
      <c r="W839" s="145"/>
      <c r="X839" s="137" t="str">
        <f>IFERROR(__xludf.DUMMYFUNCTION("""COMPUTED_VALUE"""),"Very Good")</f>
        <v>Very Good</v>
      </c>
      <c r="Y839" s="138" t="str">
        <f>IFERROR(__xludf.DUMMYFUNCTION("""COMPUTED_VALUE"""),"Excellent")</f>
        <v>Excellent</v>
      </c>
      <c r="Z839" s="138" t="str">
        <f>IFERROR(__xludf.DUMMYFUNCTION("""COMPUTED_VALUE"""),"Excellent")</f>
        <v>Excellent</v>
      </c>
      <c r="AA839" s="138" t="str">
        <f>IFERROR(__xludf.DUMMYFUNCTION("""COMPUTED_VALUE"""),"Poor")</f>
        <v>Poor</v>
      </c>
      <c r="AB839" s="138" t="str">
        <f>IFERROR(__xludf.DUMMYFUNCTION("""COMPUTED_VALUE"""),"Excellent")</f>
        <v>Excellent</v>
      </c>
      <c r="AC839" s="139"/>
      <c r="AD839" s="139"/>
      <c r="AE839" s="139"/>
      <c r="AF839" s="140" t="str">
        <f>IFERROR(__xludf.DUMMYFUNCTION("""COMPUTED_VALUE"""),"No. I took delivery of the first car Tesla was able to deliver.")</f>
        <v>No. I took delivery of the first car Tesla was able to deliver.</v>
      </c>
      <c r="AG839" s="145"/>
      <c r="AH839" s="157">
        <f>IFERROR(__xludf.DUMMYFUNCTION("""COMPUTED_VALUE"""),44378.413839016204)</f>
        <v>44378.41384</v>
      </c>
      <c r="AI839" s="138"/>
      <c r="AJ839" s="138"/>
      <c r="AK839" s="138"/>
      <c r="AL839" s="142"/>
    </row>
    <row r="840" ht="20.25" customHeight="1">
      <c r="A840" s="155" t="str">
        <f>IFERROR(__xludf.DUMMYFUNCTION("""COMPUTED_VALUE"""),"YYZ2LAX")</f>
        <v>YYZ2LAX</v>
      </c>
      <c r="B840" s="149" t="str">
        <f>IFERROR(__xludf.DUMMYFUNCTION("""COMPUTED_VALUE"""),"SoCal")</f>
        <v>SoCal</v>
      </c>
      <c r="C840" s="149" t="str">
        <f>IFERROR(__xludf.DUMMYFUNCTION("""COMPUTED_VALUE"""),"CA")</f>
        <v>CA</v>
      </c>
      <c r="D840" s="149" t="str">
        <f>IFERROR(__xludf.DUMMYFUNCTION("""COMPUTED_VALUE"""),"USA")</f>
        <v>USA</v>
      </c>
      <c r="E840" s="156">
        <f>IFERROR(__xludf.DUMMYFUNCTION("""COMPUTED_VALUE"""),44298.0)</f>
        <v>44298</v>
      </c>
      <c r="F840" s="129">
        <f>IFERROR(__xludf.DUMMYFUNCTION("""COMPUTED_VALUE"""),44372.0)</f>
        <v>44372</v>
      </c>
      <c r="G840" s="154" t="str">
        <f>IFERROR(__xludf.DUMMYFUNCTION("""COMPUTED_VALUE"""),"Email")</f>
        <v>Email</v>
      </c>
      <c r="H840" s="131">
        <f>IFERROR(__xludf.DUMMYFUNCTION("""COMPUTED_VALUE"""),2455.0)</f>
        <v>2455</v>
      </c>
      <c r="I840" s="144"/>
      <c r="J840" s="129">
        <f>IFERROR(__xludf.DUMMYFUNCTION("""COMPUTED_VALUE"""),44375.0)</f>
        <v>44375</v>
      </c>
      <c r="K840" s="133">
        <f>IFERROR(__xludf.DUMMYFUNCTION("""COMPUTED_VALUE"""),74.0)</f>
        <v>74</v>
      </c>
      <c r="L840" s="133">
        <f>IFERROR(__xludf.DUMMYFUNCTION("""COMPUTED_VALUE"""),3.0)</f>
        <v>3</v>
      </c>
      <c r="M840" s="133">
        <f>IFERROR(__xludf.DUMMYFUNCTION("""COMPUTED_VALUE"""),77.0)</f>
        <v>77</v>
      </c>
      <c r="N840" s="152" t="str">
        <f>IFERROR(__xludf.DUMMYFUNCTION("""COMPUTED_VALUE"""),"Model 3 LR AWD")</f>
        <v>Model 3 LR AWD</v>
      </c>
      <c r="O840" s="152" t="str">
        <f>IFERROR(__xludf.DUMMYFUNCTION("""COMPUTED_VALUE"""),"Solid Black")</f>
        <v>Solid Black</v>
      </c>
      <c r="P840" s="153" t="str">
        <f>IFERROR(__xludf.DUMMYFUNCTION("""COMPUTED_VALUE"""),"18 inch")</f>
        <v>18 inch</v>
      </c>
      <c r="Q840" s="152" t="str">
        <f>IFERROR(__xludf.DUMMYFUNCTION("""COMPUTED_VALUE"""),"All Black")</f>
        <v>All Black</v>
      </c>
      <c r="R840" s="149" t="str">
        <f>IFERROR(__xludf.DUMMYFUNCTION("""COMPUTED_VALUE"""),"Autopilot included")</f>
        <v>Autopilot included</v>
      </c>
      <c r="S840" s="149" t="str">
        <f>IFERROR(__xludf.DUMMYFUNCTION("""COMPUTED_VALUE"""),"Loan")</f>
        <v>Loan</v>
      </c>
      <c r="T840" s="145" t="str">
        <f>IFERROR(__xludf.DUMMYFUNCTION("""COMPUTED_VALUE"""),"BMW X3")</f>
        <v>BMW X3</v>
      </c>
      <c r="U840" s="145"/>
      <c r="V840" s="145" t="str">
        <f>IFERROR(__xludf.DUMMYFUNCTION("""COMPUTED_VALUE"""),"Apple CarPlay / Android Auto / SiriusXM Radio")</f>
        <v>Apple CarPlay / Android Auto / SiriusXM Radio</v>
      </c>
      <c r="W840" s="145"/>
      <c r="X840" s="137" t="str">
        <f>IFERROR(__xludf.DUMMYFUNCTION("""COMPUTED_VALUE"""),"Very Good")</f>
        <v>Very Good</v>
      </c>
      <c r="Y840" s="138" t="str">
        <f>IFERROR(__xludf.DUMMYFUNCTION("""COMPUTED_VALUE"""),"Excellent")</f>
        <v>Excellent</v>
      </c>
      <c r="Z840" s="138" t="str">
        <f>IFERROR(__xludf.DUMMYFUNCTION("""COMPUTED_VALUE"""),"Good")</f>
        <v>Good</v>
      </c>
      <c r="AA840" s="138" t="str">
        <f>IFERROR(__xludf.DUMMYFUNCTION("""COMPUTED_VALUE"""),"Fair")</f>
        <v>Fair</v>
      </c>
      <c r="AB840" s="138" t="str">
        <f>IFERROR(__xludf.DUMMYFUNCTION("""COMPUTED_VALUE"""),"Fair")</f>
        <v>Fair</v>
      </c>
      <c r="AC840" s="139">
        <f>IFERROR(__xludf.DUMMYFUNCTION("""COMPUTED_VALUE"""),2.0)</f>
        <v>2</v>
      </c>
      <c r="AD840" s="139"/>
      <c r="AE840" s="139"/>
      <c r="AF840" s="140" t="str">
        <f>IFERROR(__xludf.DUMMYFUNCTION("""COMPUTED_VALUE"""),"No. I took delivery of the first car Tesla was able to deliver.")</f>
        <v>No. I took delivery of the first car Tesla was able to deliver.</v>
      </c>
      <c r="AG840" s="145"/>
      <c r="AH840" s="157">
        <f>IFERROR(__xludf.DUMMYFUNCTION("""COMPUTED_VALUE"""),44375.82755804398)</f>
        <v>44375.82756</v>
      </c>
      <c r="AI840" s="138"/>
      <c r="AJ840" s="138"/>
      <c r="AK840" s="138"/>
      <c r="AL840" s="142"/>
    </row>
    <row r="841" ht="20.25" customHeight="1">
      <c r="A841" s="155" t="str">
        <f>IFERROR(__xludf.DUMMYFUNCTION("""COMPUTED_VALUE"""),"AdaminSD")</f>
        <v>AdaminSD</v>
      </c>
      <c r="B841" s="149" t="str">
        <f>IFERROR(__xludf.DUMMYFUNCTION("""COMPUTED_VALUE"""),"San Diego")</f>
        <v>San Diego</v>
      </c>
      <c r="C841" s="149" t="str">
        <f>IFERROR(__xludf.DUMMYFUNCTION("""COMPUTED_VALUE"""),"CA")</f>
        <v>CA</v>
      </c>
      <c r="D841" s="149" t="str">
        <f>IFERROR(__xludf.DUMMYFUNCTION("""COMPUTED_VALUE"""),"USA")</f>
        <v>USA</v>
      </c>
      <c r="E841" s="156">
        <f>IFERROR(__xludf.DUMMYFUNCTION("""COMPUTED_VALUE"""),44297.0)</f>
        <v>44297</v>
      </c>
      <c r="F841" s="129">
        <f>IFERROR(__xludf.DUMMYFUNCTION("""COMPUTED_VALUE"""),44345.0)</f>
        <v>44345</v>
      </c>
      <c r="G841" s="154" t="str">
        <f>IFERROR(__xludf.DUMMYFUNCTION("""COMPUTED_VALUE"""),"Email")</f>
        <v>Email</v>
      </c>
      <c r="H841" s="131">
        <f>IFERROR(__xludf.DUMMYFUNCTION("""COMPUTED_VALUE"""),979555.0)</f>
        <v>979555</v>
      </c>
      <c r="I841" s="144"/>
      <c r="J841" s="129">
        <f>IFERROR(__xludf.DUMMYFUNCTION("""COMPUTED_VALUE"""),44352.0)</f>
        <v>44352</v>
      </c>
      <c r="K841" s="133">
        <f>IFERROR(__xludf.DUMMYFUNCTION("""COMPUTED_VALUE"""),48.0)</f>
        <v>48</v>
      </c>
      <c r="L841" s="133">
        <f>IFERROR(__xludf.DUMMYFUNCTION("""COMPUTED_VALUE"""),7.0)</f>
        <v>7</v>
      </c>
      <c r="M841" s="133">
        <f>IFERROR(__xludf.DUMMYFUNCTION("""COMPUTED_VALUE"""),55.0)</f>
        <v>55</v>
      </c>
      <c r="N841" s="152" t="str">
        <f>IFERROR(__xludf.DUMMYFUNCTION("""COMPUTED_VALUE"""),"Model 3 LR AWD")</f>
        <v>Model 3 LR AWD</v>
      </c>
      <c r="O841" s="152" t="str">
        <f>IFERROR(__xludf.DUMMYFUNCTION("""COMPUTED_VALUE"""),"Solid Black")</f>
        <v>Solid Black</v>
      </c>
      <c r="P841" s="153" t="str">
        <f>IFERROR(__xludf.DUMMYFUNCTION("""COMPUTED_VALUE"""),"18 inch")</f>
        <v>18 inch</v>
      </c>
      <c r="Q841" s="152" t="str">
        <f>IFERROR(__xludf.DUMMYFUNCTION("""COMPUTED_VALUE"""),"All Black")</f>
        <v>All Black</v>
      </c>
      <c r="R841" s="149" t="str">
        <f>IFERROR(__xludf.DUMMYFUNCTION("""COMPUTED_VALUE"""),"Autopilot included")</f>
        <v>Autopilot included</v>
      </c>
      <c r="S841" s="149"/>
      <c r="T841" s="145" t="str">
        <f>IFERROR(__xludf.DUMMYFUNCTION("""COMPUTED_VALUE"""),"Subaru WRX")</f>
        <v>Subaru WRX</v>
      </c>
      <c r="U841" s="145" t="str">
        <f>IFERROR(__xludf.DUMMYFUNCTION("""COMPUTED_VALUE"""),"Electric!")</f>
        <v>Electric!</v>
      </c>
      <c r="V841" s="145" t="str">
        <f>IFERROR(__xludf.DUMMYFUNCTION("""COMPUTED_VALUE"""),"Apple CarPlay / Android Auto / SiriusXM Radio")</f>
        <v>Apple CarPlay / Android Auto / SiriusXM Radio</v>
      </c>
      <c r="W841" s="145"/>
      <c r="X841" s="137" t="str">
        <f>IFERROR(__xludf.DUMMYFUNCTION("""COMPUTED_VALUE"""),"Good")</f>
        <v>Good</v>
      </c>
      <c r="Y841" s="138" t="str">
        <f>IFERROR(__xludf.DUMMYFUNCTION("""COMPUTED_VALUE"""),"Very Good")</f>
        <v>Very Good</v>
      </c>
      <c r="Z841" s="138" t="str">
        <f>IFERROR(__xludf.DUMMYFUNCTION("""COMPUTED_VALUE"""),"Good")</f>
        <v>Good</v>
      </c>
      <c r="AA841" s="138" t="str">
        <f>IFERROR(__xludf.DUMMYFUNCTION("""COMPUTED_VALUE"""),"Fair")</f>
        <v>Fair</v>
      </c>
      <c r="AB841" s="138" t="str">
        <f>IFERROR(__xludf.DUMMYFUNCTION("""COMPUTED_VALUE"""),"Good")</f>
        <v>Good</v>
      </c>
      <c r="AC841" s="139">
        <f>IFERROR(__xludf.DUMMYFUNCTION("""COMPUTED_VALUE"""),5.0)</f>
        <v>5</v>
      </c>
      <c r="AD841" s="139"/>
      <c r="AE841" s="139"/>
      <c r="AF841" s="140" t="str">
        <f>IFERROR(__xludf.DUMMYFUNCTION("""COMPUTED_VALUE"""),"No. I took delivery of the first car Tesla was able to deliver.")</f>
        <v>No. I took delivery of the first car Tesla was able to deliver.</v>
      </c>
      <c r="AG841" s="145"/>
      <c r="AH841" s="157">
        <f>IFERROR(__xludf.DUMMYFUNCTION("""COMPUTED_VALUE"""),44355.347113599535)</f>
        <v>44355.34711</v>
      </c>
      <c r="AI841" s="138"/>
      <c r="AJ841" s="138"/>
      <c r="AK841" s="138"/>
      <c r="AL841" s="142"/>
    </row>
    <row r="842" ht="20.25" customHeight="1">
      <c r="A842" s="155" t="str">
        <f>IFERROR(__xludf.DUMMYFUNCTION("""COMPUTED_VALUE"""),"JeremyS_98346")</f>
        <v>JeremyS_98346</v>
      </c>
      <c r="B842" s="149" t="str">
        <f>IFERROR(__xludf.DUMMYFUNCTION("""COMPUTED_VALUE"""),"Kingston")</f>
        <v>Kingston</v>
      </c>
      <c r="C842" s="149" t="str">
        <f>IFERROR(__xludf.DUMMYFUNCTION("""COMPUTED_VALUE"""),"WA")</f>
        <v>WA</v>
      </c>
      <c r="D842" s="149" t="str">
        <f>IFERROR(__xludf.DUMMYFUNCTION("""COMPUTED_VALUE"""),"USA")</f>
        <v>USA</v>
      </c>
      <c r="E842" s="156">
        <f>IFERROR(__xludf.DUMMYFUNCTION("""COMPUTED_VALUE"""),44297.0)</f>
        <v>44297</v>
      </c>
      <c r="F842" s="129">
        <f>IFERROR(__xludf.DUMMYFUNCTION("""COMPUTED_VALUE"""),44369.0)</f>
        <v>44369</v>
      </c>
      <c r="G842" s="154" t="str">
        <f>IFERROR(__xludf.DUMMYFUNCTION("""COMPUTED_VALUE"""),"Email")</f>
        <v>Email</v>
      </c>
      <c r="H842" s="131">
        <f>IFERROR(__xludf.DUMMYFUNCTION("""COMPUTED_VALUE"""),999855.0)</f>
        <v>999855</v>
      </c>
      <c r="I842" s="144" t="str">
        <f>IFERROR(__xludf.DUMMYFUNCTION("""COMPUTED_VALUE"""),"06/21")</f>
        <v>06/21</v>
      </c>
      <c r="J842" s="129">
        <f>IFERROR(__xludf.DUMMYFUNCTION("""COMPUTED_VALUE"""),44373.0)</f>
        <v>44373</v>
      </c>
      <c r="K842" s="133">
        <f>IFERROR(__xludf.DUMMYFUNCTION("""COMPUTED_VALUE"""),72.0)</f>
        <v>72</v>
      </c>
      <c r="L842" s="133">
        <f>IFERROR(__xludf.DUMMYFUNCTION("""COMPUTED_VALUE"""),4.0)</f>
        <v>4</v>
      </c>
      <c r="M842" s="133">
        <f>IFERROR(__xludf.DUMMYFUNCTION("""COMPUTED_VALUE"""),76.0)</f>
        <v>76</v>
      </c>
      <c r="N842" s="152" t="str">
        <f>IFERROR(__xludf.DUMMYFUNCTION("""COMPUTED_VALUE"""),"Model 3 LR AWD")</f>
        <v>Model 3 LR AWD</v>
      </c>
      <c r="O842" s="152" t="str">
        <f>IFERROR(__xludf.DUMMYFUNCTION("""COMPUTED_VALUE"""),"Deep Blue Metallic")</f>
        <v>Deep Blue Metallic</v>
      </c>
      <c r="P842" s="153" t="str">
        <f>IFERROR(__xludf.DUMMYFUNCTION("""COMPUTED_VALUE"""),"18 inch")</f>
        <v>18 inch</v>
      </c>
      <c r="Q842" s="152" t="str">
        <f>IFERROR(__xludf.DUMMYFUNCTION("""COMPUTED_VALUE"""),"Black and White")</f>
        <v>Black and White</v>
      </c>
      <c r="R842" s="149" t="str">
        <f>IFERROR(__xludf.DUMMYFUNCTION("""COMPUTED_VALUE"""),"Autopilot included")</f>
        <v>Autopilot included</v>
      </c>
      <c r="S842" s="149" t="str">
        <f>IFERROR(__xludf.DUMMYFUNCTION("""COMPUTED_VALUE"""),"Cash")</f>
        <v>Cash</v>
      </c>
      <c r="T842" s="145" t="str">
        <f>IFERROR(__xludf.DUMMYFUNCTION("""COMPUTED_VALUE"""),"Hyundai Tucson")</f>
        <v>Hyundai Tucson</v>
      </c>
      <c r="U842" s="145" t="str">
        <f>IFERROR(__xludf.DUMMYFUNCTION("""COMPUTED_VALUE"""),"Electric!")</f>
        <v>Electric!</v>
      </c>
      <c r="V842" s="145" t="str">
        <f>IFERROR(__xludf.DUMMYFUNCTION("""COMPUTED_VALUE"""),"Head-up display")</f>
        <v>Head-up display</v>
      </c>
      <c r="W842" s="145" t="str">
        <f>IFERROR(__xludf.DUMMYFUNCTION("""COMPUTED_VALUE"""),"The EDD is a lie. Just expect to get the car on the last day of the quarter. Your SA's don' t know anything the website doesn't say. Don't check the website more than once a day, it makes it worse.")</f>
        <v>The EDD is a lie. Just expect to get the car on the last day of the quarter. Your SA's don' t know anything the website doesn't say. Don't check the website more than once a day, it makes it worse.</v>
      </c>
      <c r="X842" s="137" t="str">
        <f>IFERROR(__xludf.DUMMYFUNCTION("""COMPUTED_VALUE"""),"Very Good")</f>
        <v>Very Good</v>
      </c>
      <c r="Y842" s="138" t="str">
        <f>IFERROR(__xludf.DUMMYFUNCTION("""COMPUTED_VALUE"""),"Excellent")</f>
        <v>Excellent</v>
      </c>
      <c r="Z842" s="138" t="str">
        <f>IFERROR(__xludf.DUMMYFUNCTION("""COMPUTED_VALUE"""),"Very Good")</f>
        <v>Very Good</v>
      </c>
      <c r="AA842" s="138" t="str">
        <f>IFERROR(__xludf.DUMMYFUNCTION("""COMPUTED_VALUE"""),"Good")</f>
        <v>Good</v>
      </c>
      <c r="AB842" s="138" t="str">
        <f>IFERROR(__xludf.DUMMYFUNCTION("""COMPUTED_VALUE"""),"Excellent")</f>
        <v>Excellent</v>
      </c>
      <c r="AC842" s="139">
        <f>IFERROR(__xludf.DUMMYFUNCTION("""COMPUTED_VALUE"""),1.0)</f>
        <v>1</v>
      </c>
      <c r="AD842" s="139">
        <f>IFERROR(__xludf.DUMMYFUNCTION("""COMPUTED_VALUE"""),0.0)</f>
        <v>0</v>
      </c>
      <c r="AE842" s="139">
        <f>IFERROR(__xludf.DUMMYFUNCTION("""COMPUTED_VALUE"""),0.0)</f>
        <v>0</v>
      </c>
      <c r="AF842" s="140" t="str">
        <f>IFERROR(__xludf.DUMMYFUNCTION("""COMPUTED_VALUE"""),"No. I took delivery of the first car Tesla was able to deliver.")</f>
        <v>No. I took delivery of the first car Tesla was able to deliver.</v>
      </c>
      <c r="AG842" s="145" t="str">
        <f>IFERROR(__xludf.DUMMYFUNCTION("""COMPUTED_VALUE"""),"Driver's side wiper fluid tube wasn't plugged in. Fixed it myself.")</f>
        <v>Driver's side wiper fluid tube wasn't plugged in. Fixed it myself.</v>
      </c>
      <c r="AH842" s="157">
        <f>IFERROR(__xludf.DUMMYFUNCTION("""COMPUTED_VALUE"""),44400.30605866898)</f>
        <v>44400.30606</v>
      </c>
      <c r="AI842" s="138"/>
      <c r="AJ842" s="138"/>
      <c r="AK842" s="138"/>
      <c r="AL842" s="142"/>
    </row>
    <row r="843" ht="20.25" customHeight="1">
      <c r="A843" s="155" t="str">
        <f>IFERROR(__xludf.DUMMYFUNCTION("""COMPUTED_VALUE"""),"Rlchilds")</f>
        <v>Rlchilds</v>
      </c>
      <c r="B843" s="149"/>
      <c r="C843" s="149" t="str">
        <f>IFERROR(__xludf.DUMMYFUNCTION("""COMPUTED_VALUE"""),"NC")</f>
        <v>NC</v>
      </c>
      <c r="D843" s="149" t="str">
        <f>IFERROR(__xludf.DUMMYFUNCTION("""COMPUTED_VALUE"""),"USA")</f>
        <v>USA</v>
      </c>
      <c r="E843" s="156">
        <f>IFERROR(__xludf.DUMMYFUNCTION("""COMPUTED_VALUE"""),44297.0)</f>
        <v>44297</v>
      </c>
      <c r="F843" s="129">
        <f>IFERROR(__xludf.DUMMYFUNCTION("""COMPUTED_VALUE"""),44344.0)</f>
        <v>44344</v>
      </c>
      <c r="G843" s="154" t="str">
        <f>IFERROR(__xludf.DUMMYFUNCTION("""COMPUTED_VALUE"""),"Manage order page (normal text)")</f>
        <v>Manage order page (normal text)</v>
      </c>
      <c r="H843" s="131"/>
      <c r="I843" s="144"/>
      <c r="J843" s="129">
        <f>IFERROR(__xludf.DUMMYFUNCTION("""COMPUTED_VALUE"""),80884.0)</f>
        <v>80884</v>
      </c>
      <c r="K843" s="133">
        <f>IFERROR(__xludf.DUMMYFUNCTION("""COMPUTED_VALUE"""),47.0)</f>
        <v>47</v>
      </c>
      <c r="L843" s="133"/>
      <c r="M843" s="133"/>
      <c r="N843" s="152" t="str">
        <f>IFERROR(__xludf.DUMMYFUNCTION("""COMPUTED_VALUE"""),"Model 3 LR AWD")</f>
        <v>Model 3 LR AWD</v>
      </c>
      <c r="O843" s="152" t="str">
        <f>IFERROR(__xludf.DUMMYFUNCTION("""COMPUTED_VALUE"""),"Pearl White Multi-Coat")</f>
        <v>Pearl White Multi-Coat</v>
      </c>
      <c r="P843" s="153" t="str">
        <f>IFERROR(__xludf.DUMMYFUNCTION("""COMPUTED_VALUE"""),"18 inch")</f>
        <v>18 inch</v>
      </c>
      <c r="Q843" s="152" t="str">
        <f>IFERROR(__xludf.DUMMYFUNCTION("""COMPUTED_VALUE"""),"All Black")</f>
        <v>All Black</v>
      </c>
      <c r="R843" s="149" t="str">
        <f>IFERROR(__xludf.DUMMYFUNCTION("""COMPUTED_VALUE"""),"Autopilot included")</f>
        <v>Autopilot included</v>
      </c>
      <c r="S843" s="149" t="str">
        <f>IFERROR(__xludf.DUMMYFUNCTION("""COMPUTED_VALUE"""),"Loan")</f>
        <v>Loan</v>
      </c>
      <c r="T843" s="145" t="str">
        <f>IFERROR(__xludf.DUMMYFUNCTION("""COMPUTED_VALUE"""),"VW Atlas")</f>
        <v>VW Atlas</v>
      </c>
      <c r="U843" s="145" t="str">
        <f>IFERROR(__xludf.DUMMYFUNCTION("""COMPUTED_VALUE"""),"Electric!")</f>
        <v>Electric!</v>
      </c>
      <c r="V843" s="145"/>
      <c r="W843" s="145"/>
      <c r="X843" s="137"/>
      <c r="Y843" s="138"/>
      <c r="Z843" s="138"/>
      <c r="AA843" s="138"/>
      <c r="AB843" s="138"/>
      <c r="AC843" s="139"/>
      <c r="AD843" s="139"/>
      <c r="AE843" s="139"/>
      <c r="AF843" s="140"/>
      <c r="AG843" s="145"/>
      <c r="AH843" s="157">
        <f>IFERROR(__xludf.DUMMYFUNCTION("""COMPUTED_VALUE"""),44348.362458854164)</f>
        <v>44348.36246</v>
      </c>
      <c r="AI843" s="138"/>
      <c r="AJ843" s="138"/>
      <c r="AK843" s="138"/>
      <c r="AL843" s="142"/>
    </row>
    <row r="844" ht="20.25" customHeight="1">
      <c r="A844" s="155" t="str">
        <f>IFERROR(__xludf.DUMMYFUNCTION("""COMPUTED_VALUE"""),"trogbd")</f>
        <v>trogbd</v>
      </c>
      <c r="B844" s="149" t="str">
        <f>IFERROR(__xludf.DUMMYFUNCTION("""COMPUTED_VALUE"""),"Denver")</f>
        <v>Denver</v>
      </c>
      <c r="C844" s="149" t="str">
        <f>IFERROR(__xludf.DUMMYFUNCTION("""COMPUTED_VALUE"""),"CO")</f>
        <v>CO</v>
      </c>
      <c r="D844" s="149" t="str">
        <f>IFERROR(__xludf.DUMMYFUNCTION("""COMPUTED_VALUE"""),"USA")</f>
        <v>USA</v>
      </c>
      <c r="E844" s="156">
        <f>IFERROR(__xludf.DUMMYFUNCTION("""COMPUTED_VALUE"""),44297.0)</f>
        <v>44297</v>
      </c>
      <c r="F844" s="129">
        <f>IFERROR(__xludf.DUMMYFUNCTION("""COMPUTED_VALUE"""),44352.0)</f>
        <v>44352</v>
      </c>
      <c r="G844" s="154" t="str">
        <f>IFERROR(__xludf.DUMMYFUNCTION("""COMPUTED_VALUE"""),"Manage order page (normal text)")</f>
        <v>Manage order page (normal text)</v>
      </c>
      <c r="H844" s="131">
        <f>IFERROR(__xludf.DUMMYFUNCTION("""COMPUTED_VALUE"""),986813.0)</f>
        <v>986813</v>
      </c>
      <c r="I844" s="144" t="str">
        <f>IFERROR(__xludf.DUMMYFUNCTION("""COMPUTED_VALUE"""),"05/21")</f>
        <v>05/21</v>
      </c>
      <c r="J844" s="129">
        <f>IFERROR(__xludf.DUMMYFUNCTION("""COMPUTED_VALUE"""),44362.0)</f>
        <v>44362</v>
      </c>
      <c r="K844" s="133">
        <f>IFERROR(__xludf.DUMMYFUNCTION("""COMPUTED_VALUE"""),55.0)</f>
        <v>55</v>
      </c>
      <c r="L844" s="133">
        <f>IFERROR(__xludf.DUMMYFUNCTION("""COMPUTED_VALUE"""),10.0)</f>
        <v>10</v>
      </c>
      <c r="M844" s="133">
        <f>IFERROR(__xludf.DUMMYFUNCTION("""COMPUTED_VALUE"""),65.0)</f>
        <v>65</v>
      </c>
      <c r="N844" s="152" t="str">
        <f>IFERROR(__xludf.DUMMYFUNCTION("""COMPUTED_VALUE"""),"Model 3 SR+")</f>
        <v>Model 3 SR+</v>
      </c>
      <c r="O844" s="152" t="str">
        <f>IFERROR(__xludf.DUMMYFUNCTION("""COMPUTED_VALUE"""),"Solid Black")</f>
        <v>Solid Black</v>
      </c>
      <c r="P844" s="153" t="str">
        <f>IFERROR(__xludf.DUMMYFUNCTION("""COMPUTED_VALUE"""),"18 inch")</f>
        <v>18 inch</v>
      </c>
      <c r="Q844" s="152" t="str">
        <f>IFERROR(__xludf.DUMMYFUNCTION("""COMPUTED_VALUE"""),"All Black")</f>
        <v>All Black</v>
      </c>
      <c r="R844" s="149" t="str">
        <f>IFERROR(__xludf.DUMMYFUNCTION("""COMPUTED_VALUE"""),"Autopilot included")</f>
        <v>Autopilot included</v>
      </c>
      <c r="S844" s="149" t="str">
        <f>IFERROR(__xludf.DUMMYFUNCTION("""COMPUTED_VALUE"""),"Lease")</f>
        <v>Lease</v>
      </c>
      <c r="T844" s="145" t="str">
        <f>IFERROR(__xludf.DUMMYFUNCTION("""COMPUTED_VALUE"""),"Honda Civic")</f>
        <v>Honda Civic</v>
      </c>
      <c r="U844" s="145" t="str">
        <f>IFERROR(__xludf.DUMMYFUNCTION("""COMPUTED_VALUE"""),"Autopilot")</f>
        <v>Autopilot</v>
      </c>
      <c r="V844" s="145" t="str">
        <f>IFERROR(__xludf.DUMMYFUNCTION("""COMPUTED_VALUE"""),"Apple CarPlay / Android Auto / SiriusXM Radio")</f>
        <v>Apple CarPlay / Android Auto / SiriusXM Radio</v>
      </c>
      <c r="W844" s="145" t="str">
        <f>IFERROR(__xludf.DUMMYFUNCTION("""COMPUTED_VALUE"""),"Be patient. No need to harass Tesla employees about VIN assignment, updates, or anything like that.")</f>
        <v>Be patient. No need to harass Tesla employees about VIN assignment, updates, or anything like that.</v>
      </c>
      <c r="X844" s="137" t="str">
        <f>IFERROR(__xludf.DUMMYFUNCTION("""COMPUTED_VALUE"""),"Excellent")</f>
        <v>Excellent</v>
      </c>
      <c r="Y844" s="138" t="str">
        <f>IFERROR(__xludf.DUMMYFUNCTION("""COMPUTED_VALUE"""),"Excellent")</f>
        <v>Excellent</v>
      </c>
      <c r="Z844" s="138" t="str">
        <f>IFERROR(__xludf.DUMMYFUNCTION("""COMPUTED_VALUE"""),"Very Good")</f>
        <v>Very Good</v>
      </c>
      <c r="AA844" s="138" t="str">
        <f>IFERROR(__xludf.DUMMYFUNCTION("""COMPUTED_VALUE"""),"Good")</f>
        <v>Good</v>
      </c>
      <c r="AB844" s="138" t="str">
        <f>IFERROR(__xludf.DUMMYFUNCTION("""COMPUTED_VALUE"""),"Excellent")</f>
        <v>Excellent</v>
      </c>
      <c r="AC844" s="139">
        <f>IFERROR(__xludf.DUMMYFUNCTION("""COMPUTED_VALUE"""),1.0)</f>
        <v>1</v>
      </c>
      <c r="AD844" s="139">
        <f>IFERROR(__xludf.DUMMYFUNCTION("""COMPUTED_VALUE"""),1.0)</f>
        <v>1</v>
      </c>
      <c r="AE844" s="139">
        <f>IFERROR(__xludf.DUMMYFUNCTION("""COMPUTED_VALUE"""),0.0)</f>
        <v>0</v>
      </c>
      <c r="AF844" s="140" t="str">
        <f>IFERROR(__xludf.DUMMYFUNCTION("""COMPUTED_VALUE"""),"No. I took delivery of the first car Tesla was able to deliver.")</f>
        <v>No. I took delivery of the first car Tesla was able to deliver.</v>
      </c>
      <c r="AG844" s="145"/>
      <c r="AH844" s="157">
        <f>IFERROR(__xludf.DUMMYFUNCTION("""COMPUTED_VALUE"""),44366.3271281713)</f>
        <v>44366.32713</v>
      </c>
      <c r="AI844" s="138"/>
      <c r="AJ844" s="138"/>
      <c r="AK844" s="138"/>
      <c r="AL844" s="142"/>
    </row>
    <row r="845" ht="20.25" customHeight="1">
      <c r="A845" s="155" t="str">
        <f>IFERROR(__xludf.DUMMYFUNCTION("""COMPUTED_VALUE"""),"woopwoop")</f>
        <v>woopwoop</v>
      </c>
      <c r="B845" s="149" t="str">
        <f>IFERROR(__xludf.DUMMYFUNCTION("""COMPUTED_VALUE"""),"Thornton")</f>
        <v>Thornton</v>
      </c>
      <c r="C845" s="149" t="str">
        <f>IFERROR(__xludf.DUMMYFUNCTION("""COMPUTED_VALUE"""),"CO")</f>
        <v>CO</v>
      </c>
      <c r="D845" s="149" t="str">
        <f>IFERROR(__xludf.DUMMYFUNCTION("""COMPUTED_VALUE"""),"USA")</f>
        <v>USA</v>
      </c>
      <c r="E845" s="156">
        <f>IFERROR(__xludf.DUMMYFUNCTION("""COMPUTED_VALUE"""),44297.0)</f>
        <v>44297</v>
      </c>
      <c r="F845" s="129">
        <f>IFERROR(__xludf.DUMMYFUNCTION("""COMPUTED_VALUE"""),44345.0)</f>
        <v>44345</v>
      </c>
      <c r="G845" s="154" t="str">
        <f>IFERROR(__xludf.DUMMYFUNCTION("""COMPUTED_VALUE"""),"Manage order page (normal text)")</f>
        <v>Manage order page (normal text)</v>
      </c>
      <c r="H845" s="131">
        <f>IFERROR(__xludf.DUMMYFUNCTION("""COMPUTED_VALUE"""),979955.0)</f>
        <v>979955</v>
      </c>
      <c r="I845" s="144" t="str">
        <f>IFERROR(__xludf.DUMMYFUNCTION("""COMPUTED_VALUE"""),"05/21")</f>
        <v>05/21</v>
      </c>
      <c r="J845" s="129">
        <f>IFERROR(__xludf.DUMMYFUNCTION("""COMPUTED_VALUE"""),44354.0)</f>
        <v>44354</v>
      </c>
      <c r="K845" s="133">
        <f>IFERROR(__xludf.DUMMYFUNCTION("""COMPUTED_VALUE"""),48.0)</f>
        <v>48</v>
      </c>
      <c r="L845" s="133">
        <f>IFERROR(__xludf.DUMMYFUNCTION("""COMPUTED_VALUE"""),9.0)</f>
        <v>9</v>
      </c>
      <c r="M845" s="133">
        <f>IFERROR(__xludf.DUMMYFUNCTION("""COMPUTED_VALUE"""),57.0)</f>
        <v>57</v>
      </c>
      <c r="N845" s="152" t="str">
        <f>IFERROR(__xludf.DUMMYFUNCTION("""COMPUTED_VALUE"""),"Model 3 LR AWD")</f>
        <v>Model 3 LR AWD</v>
      </c>
      <c r="O845" s="152" t="str">
        <f>IFERROR(__xludf.DUMMYFUNCTION("""COMPUTED_VALUE"""),"Pearl White Multi-Coat")</f>
        <v>Pearl White Multi-Coat</v>
      </c>
      <c r="P845" s="153" t="str">
        <f>IFERROR(__xludf.DUMMYFUNCTION("""COMPUTED_VALUE"""),"18 inch")</f>
        <v>18 inch</v>
      </c>
      <c r="Q845" s="152" t="str">
        <f>IFERROR(__xludf.DUMMYFUNCTION("""COMPUTED_VALUE"""),"All Black")</f>
        <v>All Black</v>
      </c>
      <c r="R845" s="149" t="str">
        <f>IFERROR(__xludf.DUMMYFUNCTION("""COMPUTED_VALUE"""),"Autopilot included")</f>
        <v>Autopilot included</v>
      </c>
      <c r="S845" s="149" t="str">
        <f>IFERROR(__xludf.DUMMYFUNCTION("""COMPUTED_VALUE"""),"Loan")</f>
        <v>Loan</v>
      </c>
      <c r="T845" s="145" t="str">
        <f>IFERROR(__xludf.DUMMYFUNCTION("""COMPUTED_VALUE"""),"Model 3 will be my first car!")</f>
        <v>Model 3 will be my first car!</v>
      </c>
      <c r="U845" s="145" t="str">
        <f>IFERROR(__xludf.DUMMYFUNCTION("""COMPUTED_VALUE"""),"Electric!")</f>
        <v>Electric!</v>
      </c>
      <c r="V845" s="145" t="str">
        <f>IFERROR(__xludf.DUMMYFUNCTION("""COMPUTED_VALUE"""),"Blind spot indicators on side mirrors")</f>
        <v>Blind spot indicators on side mirrors</v>
      </c>
      <c r="W845" s="145"/>
      <c r="X845" s="137" t="str">
        <f>IFERROR(__xludf.DUMMYFUNCTION("""COMPUTED_VALUE"""),"Very Good")</f>
        <v>Very Good</v>
      </c>
      <c r="Y845" s="138" t="str">
        <f>IFERROR(__xludf.DUMMYFUNCTION("""COMPUTED_VALUE"""),"Good")</f>
        <v>Good</v>
      </c>
      <c r="Z845" s="138" t="str">
        <f>IFERROR(__xludf.DUMMYFUNCTION("""COMPUTED_VALUE"""),"Excellent")</f>
        <v>Excellent</v>
      </c>
      <c r="AA845" s="138" t="str">
        <f>IFERROR(__xludf.DUMMYFUNCTION("""COMPUTED_VALUE"""),"Excellent")</f>
        <v>Excellent</v>
      </c>
      <c r="AB845" s="138" t="str">
        <f>IFERROR(__xludf.DUMMYFUNCTION("""COMPUTED_VALUE"""),"Very Good")</f>
        <v>Very Good</v>
      </c>
      <c r="AC845" s="139"/>
      <c r="AD845" s="139"/>
      <c r="AE845" s="139"/>
      <c r="AF845" s="140" t="str">
        <f>IFERROR(__xludf.DUMMYFUNCTION("""COMPUTED_VALUE"""),"No. I took delivery of the first car Tesla was able to deliver.")</f>
        <v>No. I took delivery of the first car Tesla was able to deliver.</v>
      </c>
      <c r="AG845" s="145"/>
      <c r="AH845" s="157">
        <f>IFERROR(__xludf.DUMMYFUNCTION("""COMPUTED_VALUE"""),44354.758052233796)</f>
        <v>44354.75805</v>
      </c>
      <c r="AI845" s="138"/>
      <c r="AJ845" s="138"/>
      <c r="AK845" s="138"/>
      <c r="AL845" s="142"/>
    </row>
    <row r="846" ht="20.25" customHeight="1">
      <c r="A846" s="155" t="str">
        <f>IFERROR(__xludf.DUMMYFUNCTION("""COMPUTED_VALUE"""),"ceih")</f>
        <v>ceih</v>
      </c>
      <c r="B846" s="149" t="str">
        <f>IFERROR(__xludf.DUMMYFUNCTION("""COMPUTED_VALUE"""),"Cardiff")</f>
        <v>Cardiff</v>
      </c>
      <c r="C846" s="149"/>
      <c r="D846" s="149" t="str">
        <f>IFERROR(__xludf.DUMMYFUNCTION("""COMPUTED_VALUE"""),"United Kingdom")</f>
        <v>United Kingdom</v>
      </c>
      <c r="E846" s="156">
        <f>IFERROR(__xludf.DUMMYFUNCTION("""COMPUTED_VALUE"""),44296.0)</f>
        <v>44296</v>
      </c>
      <c r="F846" s="129">
        <f>IFERROR(__xludf.DUMMYFUNCTION("""COMPUTED_VALUE"""),44335.0)</f>
        <v>44335</v>
      </c>
      <c r="G846" s="154" t="str">
        <f>IFERROR(__xludf.DUMMYFUNCTION("""COMPUTED_VALUE"""),"Phone call")</f>
        <v>Phone call</v>
      </c>
      <c r="H846" s="131">
        <f>IFERROR(__xludf.DUMMYFUNCTION("""COMPUTED_VALUE"""),235555.0)</f>
        <v>235555</v>
      </c>
      <c r="I846" s="144"/>
      <c r="J846" s="129">
        <f>IFERROR(__xludf.DUMMYFUNCTION("""COMPUTED_VALUE"""),44358.0)</f>
        <v>44358</v>
      </c>
      <c r="K846" s="133">
        <f>IFERROR(__xludf.DUMMYFUNCTION("""COMPUTED_VALUE"""),39.0)</f>
        <v>39</v>
      </c>
      <c r="L846" s="133">
        <f>IFERROR(__xludf.DUMMYFUNCTION("""COMPUTED_VALUE"""),23.0)</f>
        <v>23</v>
      </c>
      <c r="M846" s="133">
        <f>IFERROR(__xludf.DUMMYFUNCTION("""COMPUTED_VALUE"""),62.0)</f>
        <v>62</v>
      </c>
      <c r="N846" s="152" t="str">
        <f>IFERROR(__xludf.DUMMYFUNCTION("""COMPUTED_VALUE"""),"Model 3 LR AWD")</f>
        <v>Model 3 LR AWD</v>
      </c>
      <c r="O846" s="152" t="str">
        <f>IFERROR(__xludf.DUMMYFUNCTION("""COMPUTED_VALUE"""),"Red Multi-Coat")</f>
        <v>Red Multi-Coat</v>
      </c>
      <c r="P846" s="153" t="str">
        <f>IFERROR(__xludf.DUMMYFUNCTION("""COMPUTED_VALUE"""),"18 inch")</f>
        <v>18 inch</v>
      </c>
      <c r="Q846" s="152" t="str">
        <f>IFERROR(__xludf.DUMMYFUNCTION("""COMPUTED_VALUE"""),"All Black")</f>
        <v>All Black</v>
      </c>
      <c r="R846" s="149" t="str">
        <f>IFERROR(__xludf.DUMMYFUNCTION("""COMPUTED_VALUE"""),"Autopilot included")</f>
        <v>Autopilot included</v>
      </c>
      <c r="S846" s="149" t="str">
        <f>IFERROR(__xludf.DUMMYFUNCTION("""COMPUTED_VALUE"""),"Cash")</f>
        <v>Cash</v>
      </c>
      <c r="T846" s="145" t="str">
        <f>IFERROR(__xludf.DUMMYFUNCTION("""COMPUTED_VALUE"""),"Mini Cooper")</f>
        <v>Mini Cooper</v>
      </c>
      <c r="U846" s="145" t="str">
        <f>IFERROR(__xludf.DUMMYFUNCTION("""COMPUTED_VALUE"""),"Electric!")</f>
        <v>Electric!</v>
      </c>
      <c r="V846" s="145" t="str">
        <f>IFERROR(__xludf.DUMMYFUNCTION("""COMPUTED_VALUE"""),"Head-up display")</f>
        <v>Head-up display</v>
      </c>
      <c r="W846" s="145"/>
      <c r="X846" s="137" t="str">
        <f>IFERROR(__xludf.DUMMYFUNCTION("""COMPUTED_VALUE"""),"Excellent")</f>
        <v>Excellent</v>
      </c>
      <c r="Y846" s="138" t="str">
        <f>IFERROR(__xludf.DUMMYFUNCTION("""COMPUTED_VALUE"""),"Excellent")</f>
        <v>Excellent</v>
      </c>
      <c r="Z846" s="138" t="str">
        <f>IFERROR(__xludf.DUMMYFUNCTION("""COMPUTED_VALUE"""),"Excellent")</f>
        <v>Excellent</v>
      </c>
      <c r="AA846" s="138" t="str">
        <f>IFERROR(__xludf.DUMMYFUNCTION("""COMPUTED_VALUE"""),"Very Good")</f>
        <v>Very Good</v>
      </c>
      <c r="AB846" s="138" t="str">
        <f>IFERROR(__xludf.DUMMYFUNCTION("""COMPUTED_VALUE"""),"Good")</f>
        <v>Good</v>
      </c>
      <c r="AC846" s="139"/>
      <c r="AD846" s="139"/>
      <c r="AE846" s="139"/>
      <c r="AF846" s="140" t="str">
        <f>IFERROR(__xludf.DUMMYFUNCTION("""COMPUTED_VALUE"""),"No. I took delivery of the first car Tesla was able to deliver.")</f>
        <v>No. I took delivery of the first car Tesla was able to deliver.</v>
      </c>
      <c r="AG846" s="145"/>
      <c r="AH846" s="157">
        <f>IFERROR(__xludf.DUMMYFUNCTION("""COMPUTED_VALUE"""),44358.36395774305)</f>
        <v>44358.36396</v>
      </c>
      <c r="AI846" s="138"/>
      <c r="AJ846" s="138"/>
      <c r="AK846" s="138"/>
      <c r="AL846" s="142"/>
    </row>
    <row r="847" ht="20.25" customHeight="1">
      <c r="A847" s="155" t="str">
        <f>IFERROR(__xludf.DUMMYFUNCTION("""COMPUTED_VALUE"""),"Crue")</f>
        <v>Crue</v>
      </c>
      <c r="B847" s="149" t="str">
        <f>IFERROR(__xludf.DUMMYFUNCTION("""COMPUTED_VALUE"""),"Dallas")</f>
        <v>Dallas</v>
      </c>
      <c r="C847" s="149" t="str">
        <f>IFERROR(__xludf.DUMMYFUNCTION("""COMPUTED_VALUE"""),"TX")</f>
        <v>TX</v>
      </c>
      <c r="D847" s="149" t="str">
        <f>IFERROR(__xludf.DUMMYFUNCTION("""COMPUTED_VALUE"""),"USA")</f>
        <v>USA</v>
      </c>
      <c r="E847" s="156">
        <f>IFERROR(__xludf.DUMMYFUNCTION("""COMPUTED_VALUE"""),44296.0)</f>
        <v>44296</v>
      </c>
      <c r="F847" s="129">
        <f>IFERROR(__xludf.DUMMYFUNCTION("""COMPUTED_VALUE"""),44347.0)</f>
        <v>44347</v>
      </c>
      <c r="G847" s="154" t="str">
        <f>IFERROR(__xludf.DUMMYFUNCTION("""COMPUTED_VALUE"""),"Manage order page (normal text)")</f>
        <v>Manage order page (normal text)</v>
      </c>
      <c r="H847" s="131">
        <f>IFERROR(__xludf.DUMMYFUNCTION("""COMPUTED_VALUE"""),983055.0)</f>
        <v>983055</v>
      </c>
      <c r="I847" s="144" t="str">
        <f>IFERROR(__xludf.DUMMYFUNCTION("""COMPUTED_VALUE"""),"05/21")</f>
        <v>05/21</v>
      </c>
      <c r="J847" s="129">
        <f>IFERROR(__xludf.DUMMYFUNCTION("""COMPUTED_VALUE"""),44364.0)</f>
        <v>44364</v>
      </c>
      <c r="K847" s="133">
        <f>IFERROR(__xludf.DUMMYFUNCTION("""COMPUTED_VALUE"""),51.0)</f>
        <v>51</v>
      </c>
      <c r="L847" s="133">
        <f>IFERROR(__xludf.DUMMYFUNCTION("""COMPUTED_VALUE"""),17.0)</f>
        <v>17</v>
      </c>
      <c r="M847" s="133">
        <f>IFERROR(__xludf.DUMMYFUNCTION("""COMPUTED_VALUE"""),68.0)</f>
        <v>68</v>
      </c>
      <c r="N847" s="152" t="str">
        <f>IFERROR(__xludf.DUMMYFUNCTION("""COMPUTED_VALUE"""),"Model 3 SR+")</f>
        <v>Model 3 SR+</v>
      </c>
      <c r="O847" s="152" t="str">
        <f>IFERROR(__xludf.DUMMYFUNCTION("""COMPUTED_VALUE"""),"Pearl White Multi-Coat")</f>
        <v>Pearl White Multi-Coat</v>
      </c>
      <c r="P847" s="153" t="str">
        <f>IFERROR(__xludf.DUMMYFUNCTION("""COMPUTED_VALUE"""),"19 inch")</f>
        <v>19 inch</v>
      </c>
      <c r="Q847" s="152" t="str">
        <f>IFERROR(__xludf.DUMMYFUNCTION("""COMPUTED_VALUE"""),"Black and White")</f>
        <v>Black and White</v>
      </c>
      <c r="R847" s="149" t="str">
        <f>IFERROR(__xludf.DUMMYFUNCTION("""COMPUTED_VALUE"""),"Autopilot included")</f>
        <v>Autopilot included</v>
      </c>
      <c r="S847" s="149" t="str">
        <f>IFERROR(__xludf.DUMMYFUNCTION("""COMPUTED_VALUE"""),"Loan")</f>
        <v>Loan</v>
      </c>
      <c r="T847" s="145" t="str">
        <f>IFERROR(__xludf.DUMMYFUNCTION("""COMPUTED_VALUE"""),"Tesla Model 3")</f>
        <v>Tesla Model 3</v>
      </c>
      <c r="U847" s="145" t="str">
        <f>IFERROR(__xludf.DUMMYFUNCTION("""COMPUTED_VALUE"""),"Electric!")</f>
        <v>Electric!</v>
      </c>
      <c r="V847" s="145" t="str">
        <f>IFERROR(__xludf.DUMMYFUNCTION("""COMPUTED_VALUE"""),"360° Bird's eye view")</f>
        <v>360° Bird's eye view</v>
      </c>
      <c r="W847" s="145" t="str">
        <f>IFERROR(__xludf.DUMMYFUNCTION("""COMPUTED_VALUE"""),"Use the checklist on Github")</f>
        <v>Use the checklist on Github</v>
      </c>
      <c r="X847" s="137" t="str">
        <f>IFERROR(__xludf.DUMMYFUNCTION("""COMPUTED_VALUE"""),"Excellent")</f>
        <v>Excellent</v>
      </c>
      <c r="Y847" s="138" t="str">
        <f>IFERROR(__xludf.DUMMYFUNCTION("""COMPUTED_VALUE"""),"Excellent")</f>
        <v>Excellent</v>
      </c>
      <c r="Z847" s="138" t="str">
        <f>IFERROR(__xludf.DUMMYFUNCTION("""COMPUTED_VALUE"""),"Excellent")</f>
        <v>Excellent</v>
      </c>
      <c r="AA847" s="138" t="str">
        <f>IFERROR(__xludf.DUMMYFUNCTION("""COMPUTED_VALUE"""),"Excellent")</f>
        <v>Excellent</v>
      </c>
      <c r="AB847" s="138" t="str">
        <f>IFERROR(__xludf.DUMMYFUNCTION("""COMPUTED_VALUE"""),"Excellent")</f>
        <v>Excellent</v>
      </c>
      <c r="AC847" s="139">
        <f>IFERROR(__xludf.DUMMYFUNCTION("""COMPUTED_VALUE"""),0.0)</f>
        <v>0</v>
      </c>
      <c r="AD847" s="139">
        <f>IFERROR(__xludf.DUMMYFUNCTION("""COMPUTED_VALUE"""),0.0)</f>
        <v>0</v>
      </c>
      <c r="AE847" s="139">
        <f>IFERROR(__xludf.DUMMYFUNCTION("""COMPUTED_VALUE"""),0.0)</f>
        <v>0</v>
      </c>
      <c r="AF847" s="140" t="str">
        <f>IFERROR(__xludf.DUMMYFUNCTION("""COMPUTED_VALUE"""),"No. I took delivery of the first car Tesla was able to deliver.")</f>
        <v>No. I took delivery of the first car Tesla was able to deliver.</v>
      </c>
      <c r="AG847" s="145"/>
      <c r="AH847" s="157">
        <f>IFERROR(__xludf.DUMMYFUNCTION("""COMPUTED_VALUE"""),44407.814151377315)</f>
        <v>44407.81415</v>
      </c>
      <c r="AI847" s="138"/>
      <c r="AJ847" s="138"/>
      <c r="AK847" s="138"/>
      <c r="AL847" s="142"/>
    </row>
    <row r="848" ht="20.25" customHeight="1">
      <c r="A848" s="155" t="str">
        <f>IFERROR(__xludf.DUMMYFUNCTION("""COMPUTED_VALUE"""),"Raghublr")</f>
        <v>Raghublr</v>
      </c>
      <c r="B848" s="149" t="str">
        <f>IFERROR(__xludf.DUMMYFUNCTION("""COMPUTED_VALUE"""),"Naperville")</f>
        <v>Naperville</v>
      </c>
      <c r="C848" s="149" t="str">
        <f>IFERROR(__xludf.DUMMYFUNCTION("""COMPUTED_VALUE"""),"IL")</f>
        <v>IL</v>
      </c>
      <c r="D848" s="149" t="str">
        <f>IFERROR(__xludf.DUMMYFUNCTION("""COMPUTED_VALUE"""),"USA")</f>
        <v>USA</v>
      </c>
      <c r="E848" s="156">
        <f>IFERROR(__xludf.DUMMYFUNCTION("""COMPUTED_VALUE"""),44296.0)</f>
        <v>44296</v>
      </c>
      <c r="F848" s="129">
        <f>IFERROR(__xludf.DUMMYFUNCTION("""COMPUTED_VALUE"""),44345.0)</f>
        <v>44345</v>
      </c>
      <c r="G848" s="154" t="str">
        <f>IFERROR(__xludf.DUMMYFUNCTION("""COMPUTED_VALUE"""),"Manage order page (normal text)")</f>
        <v>Manage order page (normal text)</v>
      </c>
      <c r="H848" s="131">
        <f>IFERROR(__xludf.DUMMYFUNCTION("""COMPUTED_VALUE"""),977055.0)</f>
        <v>977055</v>
      </c>
      <c r="I848" s="144"/>
      <c r="J848" s="129">
        <f>IFERROR(__xludf.DUMMYFUNCTION("""COMPUTED_VALUE"""),44350.0)</f>
        <v>44350</v>
      </c>
      <c r="K848" s="133">
        <f>IFERROR(__xludf.DUMMYFUNCTION("""COMPUTED_VALUE"""),49.0)</f>
        <v>49</v>
      </c>
      <c r="L848" s="133">
        <f>IFERROR(__xludf.DUMMYFUNCTION("""COMPUTED_VALUE"""),5.0)</f>
        <v>5</v>
      </c>
      <c r="M848" s="133">
        <f>IFERROR(__xludf.DUMMYFUNCTION("""COMPUTED_VALUE"""),54.0)</f>
        <v>54</v>
      </c>
      <c r="N848" s="152" t="str">
        <f>IFERROR(__xludf.DUMMYFUNCTION("""COMPUTED_VALUE"""),"Model 3 SR+")</f>
        <v>Model 3 SR+</v>
      </c>
      <c r="O848" s="152" t="str">
        <f>IFERROR(__xludf.DUMMYFUNCTION("""COMPUTED_VALUE"""),"Midnight Silver Metallic")</f>
        <v>Midnight Silver Metallic</v>
      </c>
      <c r="P848" s="153" t="str">
        <f>IFERROR(__xludf.DUMMYFUNCTION("""COMPUTED_VALUE"""),"18 inch")</f>
        <v>18 inch</v>
      </c>
      <c r="Q848" s="152" t="str">
        <f>IFERROR(__xludf.DUMMYFUNCTION("""COMPUTED_VALUE"""),"All Black")</f>
        <v>All Black</v>
      </c>
      <c r="R848" s="149" t="str">
        <f>IFERROR(__xludf.DUMMYFUNCTION("""COMPUTED_VALUE"""),"Autopilot included")</f>
        <v>Autopilot included</v>
      </c>
      <c r="S848" s="149" t="str">
        <f>IFERROR(__xludf.DUMMYFUNCTION("""COMPUTED_VALUE"""),"Loan")</f>
        <v>Loan</v>
      </c>
      <c r="T848" s="145" t="str">
        <f>IFERROR(__xludf.DUMMYFUNCTION("""COMPUTED_VALUE"""),"Nissan Altima ")</f>
        <v>Nissan Altima </v>
      </c>
      <c r="U848" s="145" t="str">
        <f>IFERROR(__xludf.DUMMYFUNCTION("""COMPUTED_VALUE"""),"Electric!")</f>
        <v>Electric!</v>
      </c>
      <c r="V848" s="145" t="str">
        <f>IFERROR(__xludf.DUMMYFUNCTION("""COMPUTED_VALUE"""),"HomeLink")</f>
        <v>HomeLink</v>
      </c>
      <c r="W848" s="145"/>
      <c r="X848" s="137" t="str">
        <f>IFERROR(__xludf.DUMMYFUNCTION("""COMPUTED_VALUE"""),"Fair")</f>
        <v>Fair</v>
      </c>
      <c r="Y848" s="138" t="str">
        <f>IFERROR(__xludf.DUMMYFUNCTION("""COMPUTED_VALUE"""),"Poor")</f>
        <v>Poor</v>
      </c>
      <c r="Z848" s="138" t="str">
        <f>IFERROR(__xludf.DUMMYFUNCTION("""COMPUTED_VALUE"""),"Poor")</f>
        <v>Poor</v>
      </c>
      <c r="AA848" s="138" t="str">
        <f>IFERROR(__xludf.DUMMYFUNCTION("""COMPUTED_VALUE"""),"Fair")</f>
        <v>Fair</v>
      </c>
      <c r="AB848" s="138" t="str">
        <f>IFERROR(__xludf.DUMMYFUNCTION("""COMPUTED_VALUE"""),"Excellent")</f>
        <v>Excellent</v>
      </c>
      <c r="AC848" s="139">
        <f>IFERROR(__xludf.DUMMYFUNCTION("""COMPUTED_VALUE"""),3.0)</f>
        <v>3</v>
      </c>
      <c r="AD848" s="139">
        <f>IFERROR(__xludf.DUMMYFUNCTION("""COMPUTED_VALUE"""),2.0)</f>
        <v>2</v>
      </c>
      <c r="AE848" s="139"/>
      <c r="AF848" s="140" t="str">
        <f>IFERROR(__xludf.DUMMYFUNCTION("""COMPUTED_VALUE"""),"No. I took delivery of the first car Tesla was able to deliver.")</f>
        <v>No. I took delivery of the first car Tesla was able to deliver.</v>
      </c>
      <c r="AG848" s="145"/>
      <c r="AH848" s="157">
        <f>IFERROR(__xludf.DUMMYFUNCTION("""COMPUTED_VALUE"""),44355.90652024305)</f>
        <v>44355.90652</v>
      </c>
      <c r="AI848" s="138"/>
      <c r="AJ848" s="138"/>
      <c r="AK848" s="138"/>
      <c r="AL848" s="142"/>
    </row>
    <row r="849" ht="20.25" customHeight="1">
      <c r="A849" s="155" t="str">
        <f>IFERROR(__xludf.DUMMYFUNCTION("""COMPUTED_VALUE"""),"SC")</f>
        <v>SC</v>
      </c>
      <c r="B849" s="149" t="str">
        <f>IFERROR(__xludf.DUMMYFUNCTION("""COMPUTED_VALUE"""),"Atlanta")</f>
        <v>Atlanta</v>
      </c>
      <c r="C849" s="149" t="str">
        <f>IFERROR(__xludf.DUMMYFUNCTION("""COMPUTED_VALUE"""),"GA")</f>
        <v>GA</v>
      </c>
      <c r="D849" s="149" t="str">
        <f>IFERROR(__xludf.DUMMYFUNCTION("""COMPUTED_VALUE"""),"USA")</f>
        <v>USA</v>
      </c>
      <c r="E849" s="156">
        <f>IFERROR(__xludf.DUMMYFUNCTION("""COMPUTED_VALUE"""),44296.0)</f>
        <v>44296</v>
      </c>
      <c r="F849" s="129">
        <f>IFERROR(__xludf.DUMMYFUNCTION("""COMPUTED_VALUE"""),44351.0)</f>
        <v>44351</v>
      </c>
      <c r="G849" s="154" t="str">
        <f>IFERROR(__xludf.DUMMYFUNCTION("""COMPUTED_VALUE"""),"Manage order page (normal text)")</f>
        <v>Manage order page (normal text)</v>
      </c>
      <c r="H849" s="131">
        <f>IFERROR(__xludf.DUMMYFUNCTION("""COMPUTED_VALUE"""),986155.0)</f>
        <v>986155</v>
      </c>
      <c r="I849" s="144"/>
      <c r="J849" s="129">
        <f>IFERROR(__xludf.DUMMYFUNCTION("""COMPUTED_VALUE"""),44367.0)</f>
        <v>44367</v>
      </c>
      <c r="K849" s="133">
        <f>IFERROR(__xludf.DUMMYFUNCTION("""COMPUTED_VALUE"""),55.0)</f>
        <v>55</v>
      </c>
      <c r="L849" s="133">
        <f>IFERROR(__xludf.DUMMYFUNCTION("""COMPUTED_VALUE"""),16.0)</f>
        <v>16</v>
      </c>
      <c r="M849" s="133">
        <f>IFERROR(__xludf.DUMMYFUNCTION("""COMPUTED_VALUE"""),71.0)</f>
        <v>71</v>
      </c>
      <c r="N849" s="152" t="str">
        <f>IFERROR(__xludf.DUMMYFUNCTION("""COMPUTED_VALUE"""),"Model 3 SR+")</f>
        <v>Model 3 SR+</v>
      </c>
      <c r="O849" s="152" t="str">
        <f>IFERROR(__xludf.DUMMYFUNCTION("""COMPUTED_VALUE"""),"Midnight Silver Metallic")</f>
        <v>Midnight Silver Metallic</v>
      </c>
      <c r="P849" s="153" t="str">
        <f>IFERROR(__xludf.DUMMYFUNCTION("""COMPUTED_VALUE"""),"18 inch")</f>
        <v>18 inch</v>
      </c>
      <c r="Q849" s="152" t="str">
        <f>IFERROR(__xludf.DUMMYFUNCTION("""COMPUTED_VALUE"""),"All Black")</f>
        <v>All Black</v>
      </c>
      <c r="R849" s="149" t="str">
        <f>IFERROR(__xludf.DUMMYFUNCTION("""COMPUTED_VALUE"""),"Autopilot included")</f>
        <v>Autopilot included</v>
      </c>
      <c r="S849" s="149" t="str">
        <f>IFERROR(__xludf.DUMMYFUNCTION("""COMPUTED_VALUE"""),"Loan")</f>
        <v>Loan</v>
      </c>
      <c r="T849" s="145" t="str">
        <f>IFERROR(__xludf.DUMMYFUNCTION("""COMPUTED_VALUE"""),"Honda Civic")</f>
        <v>Honda Civic</v>
      </c>
      <c r="U849" s="145" t="str">
        <f>IFERROR(__xludf.DUMMYFUNCTION("""COMPUTED_VALUE"""),"Electric!")</f>
        <v>Electric!</v>
      </c>
      <c r="V849" s="145" t="str">
        <f>IFERROR(__xludf.DUMMYFUNCTION("""COMPUTED_VALUE"""),"Apple CarPlay / Android Auto / SiriusXM Radio")</f>
        <v>Apple CarPlay / Android Auto / SiriusXM Radio</v>
      </c>
      <c r="W849" s="145"/>
      <c r="X849" s="137" t="str">
        <f>IFERROR(__xludf.DUMMYFUNCTION("""COMPUTED_VALUE"""),"Excellent")</f>
        <v>Excellent</v>
      </c>
      <c r="Y849" s="138" t="str">
        <f>IFERROR(__xludf.DUMMYFUNCTION("""COMPUTED_VALUE"""),"Excellent")</f>
        <v>Excellent</v>
      </c>
      <c r="Z849" s="138" t="str">
        <f>IFERROR(__xludf.DUMMYFUNCTION("""COMPUTED_VALUE"""),"Excellent")</f>
        <v>Excellent</v>
      </c>
      <c r="AA849" s="138" t="str">
        <f>IFERROR(__xludf.DUMMYFUNCTION("""COMPUTED_VALUE"""),"Fair")</f>
        <v>Fair</v>
      </c>
      <c r="AB849" s="138" t="str">
        <f>IFERROR(__xludf.DUMMYFUNCTION("""COMPUTED_VALUE"""),"Very Good")</f>
        <v>Very Good</v>
      </c>
      <c r="AC849" s="139">
        <f>IFERROR(__xludf.DUMMYFUNCTION("""COMPUTED_VALUE"""),1.0)</f>
        <v>1</v>
      </c>
      <c r="AD849" s="139">
        <f>IFERROR(__xludf.DUMMYFUNCTION("""COMPUTED_VALUE"""),0.0)</f>
        <v>0</v>
      </c>
      <c r="AE849" s="139">
        <f>IFERROR(__xludf.DUMMYFUNCTION("""COMPUTED_VALUE"""),0.0)</f>
        <v>0</v>
      </c>
      <c r="AF849" s="140" t="str">
        <f>IFERROR(__xludf.DUMMYFUNCTION("""COMPUTED_VALUE"""),"No. I took delivery of the first car Tesla was able to deliver.")</f>
        <v>No. I took delivery of the first car Tesla was able to deliver.</v>
      </c>
      <c r="AG849" s="145"/>
      <c r="AH849" s="157">
        <f>IFERROR(__xludf.DUMMYFUNCTION("""COMPUTED_VALUE"""),44380.618025763884)</f>
        <v>44380.61803</v>
      </c>
      <c r="AI849" s="138"/>
      <c r="AJ849" s="138"/>
      <c r="AK849" s="138"/>
      <c r="AL849" s="142"/>
    </row>
    <row r="850" ht="20.25" customHeight="1">
      <c r="A850" s="155" t="str">
        <f>IFERROR(__xludf.DUMMYFUNCTION("""COMPUTED_VALUE"""),"daveb")</f>
        <v>daveb</v>
      </c>
      <c r="B850" s="149" t="str">
        <f>IFERROR(__xludf.DUMMYFUNCTION("""COMPUTED_VALUE"""),"Leeds")</f>
        <v>Leeds</v>
      </c>
      <c r="C850" s="149"/>
      <c r="D850" s="149" t="str">
        <f>IFERROR(__xludf.DUMMYFUNCTION("""COMPUTED_VALUE"""),"United Kingdom")</f>
        <v>United Kingdom</v>
      </c>
      <c r="E850" s="156">
        <f>IFERROR(__xludf.DUMMYFUNCTION("""COMPUTED_VALUE"""),44295.0)</f>
        <v>44295</v>
      </c>
      <c r="F850" s="129">
        <f>IFERROR(__xludf.DUMMYFUNCTION("""COMPUTED_VALUE"""),44334.0)</f>
        <v>44334</v>
      </c>
      <c r="G850" s="154" t="str">
        <f>IFERROR(__xludf.DUMMYFUNCTION("""COMPUTED_VALUE"""),"Source code")</f>
        <v>Source code</v>
      </c>
      <c r="H850" s="131">
        <f>IFERROR(__xludf.DUMMYFUNCTION("""COMPUTED_VALUE"""),234255.0)</f>
        <v>234255</v>
      </c>
      <c r="I850" s="144"/>
      <c r="J850" s="129">
        <f>IFERROR(__xludf.DUMMYFUNCTION("""COMPUTED_VALUE"""),44356.0)</f>
        <v>44356</v>
      </c>
      <c r="K850" s="133">
        <f>IFERROR(__xludf.DUMMYFUNCTION("""COMPUTED_VALUE"""),39.0)</f>
        <v>39</v>
      </c>
      <c r="L850" s="133">
        <f>IFERROR(__xludf.DUMMYFUNCTION("""COMPUTED_VALUE"""),22.0)</f>
        <v>22</v>
      </c>
      <c r="M850" s="133">
        <f>IFERROR(__xludf.DUMMYFUNCTION("""COMPUTED_VALUE"""),61.0)</f>
        <v>61</v>
      </c>
      <c r="N850" s="152" t="str">
        <f>IFERROR(__xludf.DUMMYFUNCTION("""COMPUTED_VALUE"""),"Model 3 SR+")</f>
        <v>Model 3 SR+</v>
      </c>
      <c r="O850" s="152" t="str">
        <f>IFERROR(__xludf.DUMMYFUNCTION("""COMPUTED_VALUE"""),"Solid Black")</f>
        <v>Solid Black</v>
      </c>
      <c r="P850" s="153" t="str">
        <f>IFERROR(__xludf.DUMMYFUNCTION("""COMPUTED_VALUE"""),"18 inch")</f>
        <v>18 inch</v>
      </c>
      <c r="Q850" s="152" t="str">
        <f>IFERROR(__xludf.DUMMYFUNCTION("""COMPUTED_VALUE"""),"All Black")</f>
        <v>All Black</v>
      </c>
      <c r="R850" s="149" t="str">
        <f>IFERROR(__xludf.DUMMYFUNCTION("""COMPUTED_VALUE"""),"Autopilot included")</f>
        <v>Autopilot included</v>
      </c>
      <c r="S850" s="149" t="str">
        <f>IFERROR(__xludf.DUMMYFUNCTION("""COMPUTED_VALUE"""),"Cash")</f>
        <v>Cash</v>
      </c>
      <c r="T850" s="145" t="str">
        <f>IFERROR(__xludf.DUMMYFUNCTION("""COMPUTED_VALUE"""),"Ford Focus")</f>
        <v>Ford Focus</v>
      </c>
      <c r="U850" s="145" t="str">
        <f>IFERROR(__xludf.DUMMYFUNCTION("""COMPUTED_VALUE"""),"Electric!")</f>
        <v>Electric!</v>
      </c>
      <c r="V850" s="145" t="str">
        <f>IFERROR(__xludf.DUMMYFUNCTION("""COMPUTED_VALUE"""),"Apple CarPlay / Android Auto / SiriusXM Radio")</f>
        <v>Apple CarPlay / Android Auto / SiriusXM Radio</v>
      </c>
      <c r="W850" s="145"/>
      <c r="X850" s="137" t="str">
        <f>IFERROR(__xludf.DUMMYFUNCTION("""COMPUTED_VALUE"""),"Excellent")</f>
        <v>Excellent</v>
      </c>
      <c r="Y850" s="138" t="str">
        <f>IFERROR(__xludf.DUMMYFUNCTION("""COMPUTED_VALUE"""),"Excellent")</f>
        <v>Excellent</v>
      </c>
      <c r="Z850" s="138" t="str">
        <f>IFERROR(__xludf.DUMMYFUNCTION("""COMPUTED_VALUE"""),"Excellent")</f>
        <v>Excellent</v>
      </c>
      <c r="AA850" s="138" t="str">
        <f>IFERROR(__xludf.DUMMYFUNCTION("""COMPUTED_VALUE"""),"Good")</f>
        <v>Good</v>
      </c>
      <c r="AB850" s="138" t="str">
        <f>IFERROR(__xludf.DUMMYFUNCTION("""COMPUTED_VALUE"""),"Excellent")</f>
        <v>Excellent</v>
      </c>
      <c r="AC850" s="139"/>
      <c r="AD850" s="139"/>
      <c r="AE850" s="139"/>
      <c r="AF850" s="140" t="str">
        <f>IFERROR(__xludf.DUMMYFUNCTION("""COMPUTED_VALUE"""),"No. I took delivery of the first car Tesla was able to deliver.")</f>
        <v>No. I took delivery of the first car Tesla was able to deliver.</v>
      </c>
      <c r="AG850" s="145"/>
      <c r="AH850" s="157">
        <f>IFERROR(__xludf.DUMMYFUNCTION("""COMPUTED_VALUE"""),44356.322518761575)</f>
        <v>44356.32252</v>
      </c>
      <c r="AI850" s="138"/>
      <c r="AJ850" s="138"/>
      <c r="AK850" s="138"/>
      <c r="AL850" s="142"/>
    </row>
    <row r="851" ht="20.25" customHeight="1">
      <c r="A851" s="155" t="str">
        <f>IFERROR(__xludf.DUMMYFUNCTION("""COMPUTED_VALUE"""),"DrakeWest")</f>
        <v>DrakeWest</v>
      </c>
      <c r="B851" s="149" t="str">
        <f>IFERROR(__xludf.DUMMYFUNCTION("""COMPUTED_VALUE"""),"NYC")</f>
        <v>NYC</v>
      </c>
      <c r="C851" s="149" t="str">
        <f>IFERROR(__xludf.DUMMYFUNCTION("""COMPUTED_VALUE"""),"NY")</f>
        <v>NY</v>
      </c>
      <c r="D851" s="149" t="str">
        <f>IFERROR(__xludf.DUMMYFUNCTION("""COMPUTED_VALUE"""),"USA")</f>
        <v>USA</v>
      </c>
      <c r="E851" s="156">
        <f>IFERROR(__xludf.DUMMYFUNCTION("""COMPUTED_VALUE"""),44295.0)</f>
        <v>44295</v>
      </c>
      <c r="F851" s="129">
        <f>IFERROR(__xludf.DUMMYFUNCTION("""COMPUTED_VALUE"""),44344.0)</f>
        <v>44344</v>
      </c>
      <c r="G851" s="154" t="str">
        <f>IFERROR(__xludf.DUMMYFUNCTION("""COMPUTED_VALUE"""),"Manage order page (normal text)")</f>
        <v>Manage order page (normal text)</v>
      </c>
      <c r="H851" s="131"/>
      <c r="I851" s="144"/>
      <c r="J851" s="129">
        <f>IFERROR(__xludf.DUMMYFUNCTION("""COMPUTED_VALUE"""),44348.0)</f>
        <v>44348</v>
      </c>
      <c r="K851" s="133">
        <f>IFERROR(__xludf.DUMMYFUNCTION("""COMPUTED_VALUE"""),49.0)</f>
        <v>49</v>
      </c>
      <c r="L851" s="133">
        <f>IFERROR(__xludf.DUMMYFUNCTION("""COMPUTED_VALUE"""),4.0)</f>
        <v>4</v>
      </c>
      <c r="M851" s="133">
        <f>IFERROR(__xludf.DUMMYFUNCTION("""COMPUTED_VALUE"""),53.0)</f>
        <v>53</v>
      </c>
      <c r="N851" s="152" t="str">
        <f>IFERROR(__xludf.DUMMYFUNCTION("""COMPUTED_VALUE"""),"Model 3 LR AWD")</f>
        <v>Model 3 LR AWD</v>
      </c>
      <c r="O851" s="152" t="str">
        <f>IFERROR(__xludf.DUMMYFUNCTION("""COMPUTED_VALUE"""),"Deep Blue Metallic")</f>
        <v>Deep Blue Metallic</v>
      </c>
      <c r="P851" s="153" t="str">
        <f>IFERROR(__xludf.DUMMYFUNCTION("""COMPUTED_VALUE"""),"19 inch")</f>
        <v>19 inch</v>
      </c>
      <c r="Q851" s="152" t="str">
        <f>IFERROR(__xludf.DUMMYFUNCTION("""COMPUTED_VALUE"""),"All Black")</f>
        <v>All Black</v>
      </c>
      <c r="R851" s="149" t="str">
        <f>IFERROR(__xludf.DUMMYFUNCTION("""COMPUTED_VALUE"""),"Autopilot included")</f>
        <v>Autopilot included</v>
      </c>
      <c r="S851" s="149" t="str">
        <f>IFERROR(__xludf.DUMMYFUNCTION("""COMPUTED_VALUE"""),"Loan")</f>
        <v>Loan</v>
      </c>
      <c r="T851" s="145" t="str">
        <f>IFERROR(__xludf.DUMMYFUNCTION("""COMPUTED_VALUE"""),"BMW X3")</f>
        <v>BMW X3</v>
      </c>
      <c r="U851" s="145" t="str">
        <f>IFERROR(__xludf.DUMMYFUNCTION("""COMPUTED_VALUE"""),"Autopilot")</f>
        <v>Autopilot</v>
      </c>
      <c r="V851" s="145" t="str">
        <f>IFERROR(__xludf.DUMMYFUNCTION("""COMPUTED_VALUE"""),"Apple CarPlay / Android Auto / SiriusXM Radio")</f>
        <v>Apple CarPlay / Android Auto / SiriusXM Radio</v>
      </c>
      <c r="W851" s="145" t="str">
        <f>IFERROR(__xludf.DUMMYFUNCTION("""COMPUTED_VALUE"""),"patients")</f>
        <v>patients</v>
      </c>
      <c r="X851" s="137" t="str">
        <f>IFERROR(__xludf.DUMMYFUNCTION("""COMPUTED_VALUE"""),"Excellent")</f>
        <v>Excellent</v>
      </c>
      <c r="Y851" s="138" t="str">
        <f>IFERROR(__xludf.DUMMYFUNCTION("""COMPUTED_VALUE"""),"Excellent")</f>
        <v>Excellent</v>
      </c>
      <c r="Z851" s="138" t="str">
        <f>IFERROR(__xludf.DUMMYFUNCTION("""COMPUTED_VALUE"""),"Excellent")</f>
        <v>Excellent</v>
      </c>
      <c r="AA851" s="138" t="str">
        <f>IFERROR(__xludf.DUMMYFUNCTION("""COMPUTED_VALUE"""),"Fair")</f>
        <v>Fair</v>
      </c>
      <c r="AB851" s="138" t="str">
        <f>IFERROR(__xludf.DUMMYFUNCTION("""COMPUTED_VALUE"""),"Very Good")</f>
        <v>Very Good</v>
      </c>
      <c r="AC851" s="139">
        <f>IFERROR(__xludf.DUMMYFUNCTION("""COMPUTED_VALUE"""),0.0)</f>
        <v>0</v>
      </c>
      <c r="AD851" s="139">
        <f>IFERROR(__xludf.DUMMYFUNCTION("""COMPUTED_VALUE"""),0.0)</f>
        <v>0</v>
      </c>
      <c r="AE851" s="139">
        <f>IFERROR(__xludf.DUMMYFUNCTION("""COMPUTED_VALUE"""),0.0)</f>
        <v>0</v>
      </c>
      <c r="AF851" s="140" t="str">
        <f>IFERROR(__xludf.DUMMYFUNCTION("""COMPUTED_VALUE"""),"No. I took delivery of the first car Tesla was able to deliver.")</f>
        <v>No. I took delivery of the first car Tesla was able to deliver.</v>
      </c>
      <c r="AG851" s="145"/>
      <c r="AH851" s="157">
        <f>IFERROR(__xludf.DUMMYFUNCTION("""COMPUTED_VALUE"""),44350.77414571759)</f>
        <v>44350.77415</v>
      </c>
      <c r="AI851" s="138"/>
      <c r="AJ851" s="138"/>
      <c r="AK851" s="138"/>
      <c r="AL851" s="142"/>
    </row>
    <row r="852" ht="20.25" customHeight="1">
      <c r="A852" s="155" t="str">
        <f>IFERROR(__xludf.DUMMYFUNCTION("""COMPUTED_VALUE"""),"Corundum9")</f>
        <v>Corundum9</v>
      </c>
      <c r="B852" s="149" t="str">
        <f>IFERROR(__xludf.DUMMYFUNCTION("""COMPUTED_VALUE"""),"Santa Rosa")</f>
        <v>Santa Rosa</v>
      </c>
      <c r="C852" s="149" t="str">
        <f>IFERROR(__xludf.DUMMYFUNCTION("""COMPUTED_VALUE"""),"CA")</f>
        <v>CA</v>
      </c>
      <c r="D852" s="149" t="str">
        <f>IFERROR(__xludf.DUMMYFUNCTION("""COMPUTED_VALUE"""),"USA")</f>
        <v>USA</v>
      </c>
      <c r="E852" s="156">
        <f>IFERROR(__xludf.DUMMYFUNCTION("""COMPUTED_VALUE"""),44294.0)</f>
        <v>44294</v>
      </c>
      <c r="F852" s="129">
        <f>IFERROR(__xludf.DUMMYFUNCTION("""COMPUTED_VALUE"""),44372.0)</f>
        <v>44372</v>
      </c>
      <c r="G852" s="154" t="str">
        <f>IFERROR(__xludf.DUMMYFUNCTION("""COMPUTED_VALUE"""),"Manage order page (normal text)")</f>
        <v>Manage order page (normal text)</v>
      </c>
      <c r="H852" s="131">
        <f>IFERROR(__xludf.DUMMYFUNCTION("""COMPUTED_VALUE"""),2308.0)</f>
        <v>2308</v>
      </c>
      <c r="I852" s="144" t="str">
        <f>IFERROR(__xludf.DUMMYFUNCTION("""COMPUTED_VALUE"""),"06/21")</f>
        <v>06/21</v>
      </c>
      <c r="J852" s="129">
        <f>IFERROR(__xludf.DUMMYFUNCTION("""COMPUTED_VALUE"""),44373.0)</f>
        <v>44373</v>
      </c>
      <c r="K852" s="133">
        <f>IFERROR(__xludf.DUMMYFUNCTION("""COMPUTED_VALUE"""),78.0)</f>
        <v>78</v>
      </c>
      <c r="L852" s="133">
        <f>IFERROR(__xludf.DUMMYFUNCTION("""COMPUTED_VALUE"""),1.0)</f>
        <v>1</v>
      </c>
      <c r="M852" s="133">
        <f>IFERROR(__xludf.DUMMYFUNCTION("""COMPUTED_VALUE"""),79.0)</f>
        <v>79</v>
      </c>
      <c r="N852" s="152" t="str">
        <f>IFERROR(__xludf.DUMMYFUNCTION("""COMPUTED_VALUE"""),"Model 3 LR AWD")</f>
        <v>Model 3 LR AWD</v>
      </c>
      <c r="O852" s="152" t="str">
        <f>IFERROR(__xludf.DUMMYFUNCTION("""COMPUTED_VALUE"""),"Red Multi-Coat")</f>
        <v>Red Multi-Coat</v>
      </c>
      <c r="P852" s="153" t="str">
        <f>IFERROR(__xludf.DUMMYFUNCTION("""COMPUTED_VALUE"""),"18 inch")</f>
        <v>18 inch</v>
      </c>
      <c r="Q852" s="152" t="str">
        <f>IFERROR(__xludf.DUMMYFUNCTION("""COMPUTED_VALUE"""),"All Black")</f>
        <v>All Black</v>
      </c>
      <c r="R852" s="149" t="str">
        <f>IFERROR(__xludf.DUMMYFUNCTION("""COMPUTED_VALUE"""),"Autopilot included")</f>
        <v>Autopilot included</v>
      </c>
      <c r="S852" s="149" t="str">
        <f>IFERROR(__xludf.DUMMYFUNCTION("""COMPUTED_VALUE"""),"Loan")</f>
        <v>Loan</v>
      </c>
      <c r="T852" s="145" t="str">
        <f>IFERROR(__xludf.DUMMYFUNCTION("""COMPUTED_VALUE"""),"Toyota Camry")</f>
        <v>Toyota Camry</v>
      </c>
      <c r="U852" s="145" t="str">
        <f>IFERROR(__xludf.DUMMYFUNCTION("""COMPUTED_VALUE"""),"Electric!")</f>
        <v>Electric!</v>
      </c>
      <c r="V852" s="145" t="str">
        <f>IFERROR(__xludf.DUMMYFUNCTION("""COMPUTED_VALUE"""),"Air suspension")</f>
        <v>Air suspension</v>
      </c>
      <c r="W852" s="145"/>
      <c r="X852" s="137" t="str">
        <f>IFERROR(__xludf.DUMMYFUNCTION("""COMPUTED_VALUE"""),"Excellent")</f>
        <v>Excellent</v>
      </c>
      <c r="Y852" s="138" t="str">
        <f>IFERROR(__xludf.DUMMYFUNCTION("""COMPUTED_VALUE"""),"Excellent")</f>
        <v>Excellent</v>
      </c>
      <c r="Z852" s="138" t="str">
        <f>IFERROR(__xludf.DUMMYFUNCTION("""COMPUTED_VALUE"""),"Very Good")</f>
        <v>Very Good</v>
      </c>
      <c r="AA852" s="138" t="str">
        <f>IFERROR(__xludf.DUMMYFUNCTION("""COMPUTED_VALUE"""),"Excellent")</f>
        <v>Excellent</v>
      </c>
      <c r="AB852" s="138" t="str">
        <f>IFERROR(__xludf.DUMMYFUNCTION("""COMPUTED_VALUE"""),"Excellent")</f>
        <v>Excellent</v>
      </c>
      <c r="AC852" s="139"/>
      <c r="AD852" s="139"/>
      <c r="AE852" s="139"/>
      <c r="AF852" s="140" t="str">
        <f>IFERROR(__xludf.DUMMYFUNCTION("""COMPUTED_VALUE"""),"No. I took delivery of the first car Tesla was able to deliver.")</f>
        <v>No. I took delivery of the first car Tesla was able to deliver.</v>
      </c>
      <c r="AG852" s="145"/>
      <c r="AH852" s="157">
        <f>IFERROR(__xludf.DUMMYFUNCTION("""COMPUTED_VALUE"""),44376.27178966435)</f>
        <v>44376.27179</v>
      </c>
      <c r="AI852" s="138"/>
      <c r="AJ852" s="138"/>
      <c r="AK852" s="138"/>
      <c r="AL852" s="142"/>
    </row>
    <row r="853" ht="20.25" customHeight="1">
      <c r="A853" s="155" t="str">
        <f>IFERROR(__xludf.DUMMYFUNCTION("""COMPUTED_VALUE"""),"dcarozza6")</f>
        <v>dcarozza6</v>
      </c>
      <c r="B853" s="149"/>
      <c r="C853" s="149" t="str">
        <f>IFERROR(__xludf.DUMMYFUNCTION("""COMPUTED_VALUE"""),"NH")</f>
        <v>NH</v>
      </c>
      <c r="D853" s="149" t="str">
        <f>IFERROR(__xludf.DUMMYFUNCTION("""COMPUTED_VALUE"""),"USA")</f>
        <v>USA</v>
      </c>
      <c r="E853" s="156">
        <f>IFERROR(__xludf.DUMMYFUNCTION("""COMPUTED_VALUE"""),44294.0)</f>
        <v>44294</v>
      </c>
      <c r="F853" s="129">
        <f>IFERROR(__xludf.DUMMYFUNCTION("""COMPUTED_VALUE"""),44344.0)</f>
        <v>44344</v>
      </c>
      <c r="G853" s="154" t="str">
        <f>IFERROR(__xludf.DUMMYFUNCTION("""COMPUTED_VALUE"""),"Manage order page (normal text)")</f>
        <v>Manage order page (normal text)</v>
      </c>
      <c r="H853" s="131"/>
      <c r="I853" s="144"/>
      <c r="J853" s="129">
        <f>IFERROR(__xludf.DUMMYFUNCTION("""COMPUTED_VALUE"""),44345.0)</f>
        <v>44345</v>
      </c>
      <c r="K853" s="133">
        <f>IFERROR(__xludf.DUMMYFUNCTION("""COMPUTED_VALUE"""),50.0)</f>
        <v>50</v>
      </c>
      <c r="L853" s="133">
        <f>IFERROR(__xludf.DUMMYFUNCTION("""COMPUTED_VALUE"""),1.0)</f>
        <v>1</v>
      </c>
      <c r="M853" s="133">
        <f>IFERROR(__xludf.DUMMYFUNCTION("""COMPUTED_VALUE"""),51.0)</f>
        <v>51</v>
      </c>
      <c r="N853" s="152" t="str">
        <f>IFERROR(__xludf.DUMMYFUNCTION("""COMPUTED_VALUE"""),"Model 3 LR AWD")</f>
        <v>Model 3 LR AWD</v>
      </c>
      <c r="O853" s="152" t="str">
        <f>IFERROR(__xludf.DUMMYFUNCTION("""COMPUTED_VALUE"""),"Deep Blue Metallic")</f>
        <v>Deep Blue Metallic</v>
      </c>
      <c r="P853" s="153" t="str">
        <f>IFERROR(__xludf.DUMMYFUNCTION("""COMPUTED_VALUE"""),"18 inch")</f>
        <v>18 inch</v>
      </c>
      <c r="Q853" s="152" t="str">
        <f>IFERROR(__xludf.DUMMYFUNCTION("""COMPUTED_VALUE"""),"All Black")</f>
        <v>All Black</v>
      </c>
      <c r="R853" s="149" t="str">
        <f>IFERROR(__xludf.DUMMYFUNCTION("""COMPUTED_VALUE"""),"Autopilot included")</f>
        <v>Autopilot included</v>
      </c>
      <c r="S853" s="149" t="str">
        <f>IFERROR(__xludf.DUMMYFUNCTION("""COMPUTED_VALUE"""),"Loan")</f>
        <v>Loan</v>
      </c>
      <c r="T853" s="145" t="str">
        <f>IFERROR(__xludf.DUMMYFUNCTION("""COMPUTED_VALUE"""),"BMW 3 Series")</f>
        <v>BMW 3 Series</v>
      </c>
      <c r="U853" s="145" t="str">
        <f>IFERROR(__xludf.DUMMYFUNCTION("""COMPUTED_VALUE"""),"Autopilot")</f>
        <v>Autopilot</v>
      </c>
      <c r="V853" s="145"/>
      <c r="W853" s="145"/>
      <c r="X853" s="137" t="str">
        <f>IFERROR(__xludf.DUMMYFUNCTION("""COMPUTED_VALUE"""),"Excellent")</f>
        <v>Excellent</v>
      </c>
      <c r="Y853" s="138" t="str">
        <f>IFERROR(__xludf.DUMMYFUNCTION("""COMPUTED_VALUE"""),"Excellent")</f>
        <v>Excellent</v>
      </c>
      <c r="Z853" s="138" t="str">
        <f>IFERROR(__xludf.DUMMYFUNCTION("""COMPUTED_VALUE"""),"Excellent")</f>
        <v>Excellent</v>
      </c>
      <c r="AA853" s="138" t="str">
        <f>IFERROR(__xludf.DUMMYFUNCTION("""COMPUTED_VALUE"""),"Very Good")</f>
        <v>Very Good</v>
      </c>
      <c r="AB853" s="138" t="str">
        <f>IFERROR(__xludf.DUMMYFUNCTION("""COMPUTED_VALUE"""),"Excellent")</f>
        <v>Excellent</v>
      </c>
      <c r="AC853" s="139"/>
      <c r="AD853" s="139"/>
      <c r="AE853" s="139"/>
      <c r="AF853" s="140"/>
      <c r="AG853" s="145"/>
      <c r="AH853" s="157">
        <f>IFERROR(__xludf.DUMMYFUNCTION("""COMPUTED_VALUE"""),44347.4459883449)</f>
        <v>44347.44599</v>
      </c>
      <c r="AI853" s="138"/>
      <c r="AJ853" s="138"/>
      <c r="AK853" s="138"/>
      <c r="AL853" s="142"/>
    </row>
    <row r="854" ht="20.25" customHeight="1">
      <c r="A854" s="155" t="str">
        <f>IFERROR(__xludf.DUMMYFUNCTION("""COMPUTED_VALUE"""),"SBSD")</f>
        <v>SBSD</v>
      </c>
      <c r="B854" s="149" t="str">
        <f>IFERROR(__xludf.DUMMYFUNCTION("""COMPUTED_VALUE"""),"Orlando")</f>
        <v>Orlando</v>
      </c>
      <c r="C854" s="149" t="str">
        <f>IFERROR(__xludf.DUMMYFUNCTION("""COMPUTED_VALUE"""),"FL")</f>
        <v>FL</v>
      </c>
      <c r="D854" s="149" t="str">
        <f>IFERROR(__xludf.DUMMYFUNCTION("""COMPUTED_VALUE"""),"USA")</f>
        <v>USA</v>
      </c>
      <c r="E854" s="156">
        <f>IFERROR(__xludf.DUMMYFUNCTION("""COMPUTED_VALUE"""),44294.0)</f>
        <v>44294</v>
      </c>
      <c r="F854" s="129">
        <f>IFERROR(__xludf.DUMMYFUNCTION("""COMPUTED_VALUE"""),44344.0)</f>
        <v>44344</v>
      </c>
      <c r="G854" s="154" t="str">
        <f>IFERROR(__xludf.DUMMYFUNCTION("""COMPUTED_VALUE"""),"Manage order page (normal text)")</f>
        <v>Manage order page (normal text)</v>
      </c>
      <c r="H854" s="131">
        <f>IFERROR(__xludf.DUMMYFUNCTION("""COMPUTED_VALUE"""),969055.0)</f>
        <v>969055</v>
      </c>
      <c r="I854" s="144"/>
      <c r="J854" s="129">
        <f>IFERROR(__xludf.DUMMYFUNCTION("""COMPUTED_VALUE"""),44349.0)</f>
        <v>44349</v>
      </c>
      <c r="K854" s="133">
        <f>IFERROR(__xludf.DUMMYFUNCTION("""COMPUTED_VALUE"""),50.0)</f>
        <v>50</v>
      </c>
      <c r="L854" s="133">
        <f>IFERROR(__xludf.DUMMYFUNCTION("""COMPUTED_VALUE"""),5.0)</f>
        <v>5</v>
      </c>
      <c r="M854" s="133">
        <f>IFERROR(__xludf.DUMMYFUNCTION("""COMPUTED_VALUE"""),55.0)</f>
        <v>55</v>
      </c>
      <c r="N854" s="152" t="str">
        <f>IFERROR(__xludf.DUMMYFUNCTION("""COMPUTED_VALUE"""),"Model 3 SR+")</f>
        <v>Model 3 SR+</v>
      </c>
      <c r="O854" s="152" t="str">
        <f>IFERROR(__xludf.DUMMYFUNCTION("""COMPUTED_VALUE"""),"Pearl White Multi-Coat")</f>
        <v>Pearl White Multi-Coat</v>
      </c>
      <c r="P854" s="153" t="str">
        <f>IFERROR(__xludf.DUMMYFUNCTION("""COMPUTED_VALUE"""),"18 inch")</f>
        <v>18 inch</v>
      </c>
      <c r="Q854" s="152" t="str">
        <f>IFERROR(__xludf.DUMMYFUNCTION("""COMPUTED_VALUE"""),"All Black")</f>
        <v>All Black</v>
      </c>
      <c r="R854" s="149" t="str">
        <f>IFERROR(__xludf.DUMMYFUNCTION("""COMPUTED_VALUE"""),"Full Self-Driving")</f>
        <v>Full Self-Driving</v>
      </c>
      <c r="S854" s="149" t="str">
        <f>IFERROR(__xludf.DUMMYFUNCTION("""COMPUTED_VALUE"""),"Loan")</f>
        <v>Loan</v>
      </c>
      <c r="T854" s="145" t="str">
        <f>IFERROR(__xludf.DUMMYFUNCTION("""COMPUTED_VALUE"""),"Mazda CX-5")</f>
        <v>Mazda CX-5</v>
      </c>
      <c r="U854" s="145" t="str">
        <f>IFERROR(__xludf.DUMMYFUNCTION("""COMPUTED_VALUE"""),"Autopilot")</f>
        <v>Autopilot</v>
      </c>
      <c r="V854" s="145" t="str">
        <f>IFERROR(__xludf.DUMMYFUNCTION("""COMPUTED_VALUE"""),"Blind spot indicators on side mirrors")</f>
        <v>Blind spot indicators on side mirrors</v>
      </c>
      <c r="W854" s="145"/>
      <c r="X854" s="137" t="str">
        <f>IFERROR(__xludf.DUMMYFUNCTION("""COMPUTED_VALUE"""),"Excellent")</f>
        <v>Excellent</v>
      </c>
      <c r="Y854" s="138" t="str">
        <f>IFERROR(__xludf.DUMMYFUNCTION("""COMPUTED_VALUE"""),"Excellent")</f>
        <v>Excellent</v>
      </c>
      <c r="Z854" s="138" t="str">
        <f>IFERROR(__xludf.DUMMYFUNCTION("""COMPUTED_VALUE"""),"Excellent")</f>
        <v>Excellent</v>
      </c>
      <c r="AA854" s="138" t="str">
        <f>IFERROR(__xludf.DUMMYFUNCTION("""COMPUTED_VALUE"""),"Very Good")</f>
        <v>Very Good</v>
      </c>
      <c r="AB854" s="138" t="str">
        <f>IFERROR(__xludf.DUMMYFUNCTION("""COMPUTED_VALUE"""),"Very Good")</f>
        <v>Very Good</v>
      </c>
      <c r="AC854" s="139"/>
      <c r="AD854" s="139"/>
      <c r="AE854" s="139"/>
      <c r="AF854" s="140" t="str">
        <f>IFERROR(__xludf.DUMMYFUNCTION("""COMPUTED_VALUE"""),"No. I took delivery of the first car Tesla was able to deliver.")</f>
        <v>No. I took delivery of the first car Tesla was able to deliver.</v>
      </c>
      <c r="AG854" s="145"/>
      <c r="AH854" s="157">
        <f>IFERROR(__xludf.DUMMYFUNCTION("""COMPUTED_VALUE"""),44357.492570798604)</f>
        <v>44357.49257</v>
      </c>
      <c r="AI854" s="138"/>
      <c r="AJ854" s="138"/>
      <c r="AK854" s="138"/>
      <c r="AL854" s="142"/>
    </row>
    <row r="855" ht="20.25" customHeight="1">
      <c r="A855" s="155" t="str">
        <f>IFERROR(__xludf.DUMMYFUNCTION("""COMPUTED_VALUE"""),"Spectra207 ")</f>
        <v>Spectra207 </v>
      </c>
      <c r="B855" s="149" t="str">
        <f>IFERROR(__xludf.DUMMYFUNCTION("""COMPUTED_VALUE"""),"Ottawa")</f>
        <v>Ottawa</v>
      </c>
      <c r="C855" s="149" t="str">
        <f>IFERROR(__xludf.DUMMYFUNCTION("""COMPUTED_VALUE"""),"ON")</f>
        <v>ON</v>
      </c>
      <c r="D855" s="149" t="str">
        <f>IFERROR(__xludf.DUMMYFUNCTION("""COMPUTED_VALUE"""),"Canada")</f>
        <v>Canada</v>
      </c>
      <c r="E855" s="156">
        <f>IFERROR(__xludf.DUMMYFUNCTION("""COMPUTED_VALUE"""),44294.0)</f>
        <v>44294</v>
      </c>
      <c r="F855" s="129">
        <f>IFERROR(__xludf.DUMMYFUNCTION("""COMPUTED_VALUE"""),44345.0)</f>
        <v>44345</v>
      </c>
      <c r="G855" s="154" t="str">
        <f>IFERROR(__xludf.DUMMYFUNCTION("""COMPUTED_VALUE"""),"Source code")</f>
        <v>Source code</v>
      </c>
      <c r="H855" s="131">
        <f>IFERROR(__xludf.DUMMYFUNCTION("""COMPUTED_VALUE"""),974155.0)</f>
        <v>974155</v>
      </c>
      <c r="I855" s="144" t="str">
        <f>IFERROR(__xludf.DUMMYFUNCTION("""COMPUTED_VALUE"""),"05/21")</f>
        <v>05/21</v>
      </c>
      <c r="J855" s="129">
        <f>IFERROR(__xludf.DUMMYFUNCTION("""COMPUTED_VALUE"""),44349.0)</f>
        <v>44349</v>
      </c>
      <c r="K855" s="133">
        <f>IFERROR(__xludf.DUMMYFUNCTION("""COMPUTED_VALUE"""),51.0)</f>
        <v>51</v>
      </c>
      <c r="L855" s="133">
        <f>IFERROR(__xludf.DUMMYFUNCTION("""COMPUTED_VALUE"""),4.0)</f>
        <v>4</v>
      </c>
      <c r="M855" s="133">
        <f>IFERROR(__xludf.DUMMYFUNCTION("""COMPUTED_VALUE"""),55.0)</f>
        <v>55</v>
      </c>
      <c r="N855" s="152" t="str">
        <f>IFERROR(__xludf.DUMMYFUNCTION("""COMPUTED_VALUE"""),"Model 3 LR AWD")</f>
        <v>Model 3 LR AWD</v>
      </c>
      <c r="O855" s="152" t="str">
        <f>IFERROR(__xludf.DUMMYFUNCTION("""COMPUTED_VALUE"""),"Midnight Silver Metallic")</f>
        <v>Midnight Silver Metallic</v>
      </c>
      <c r="P855" s="153" t="str">
        <f>IFERROR(__xludf.DUMMYFUNCTION("""COMPUTED_VALUE"""),"18 inch")</f>
        <v>18 inch</v>
      </c>
      <c r="Q855" s="152" t="str">
        <f>IFERROR(__xludf.DUMMYFUNCTION("""COMPUTED_VALUE"""),"All Black")</f>
        <v>All Black</v>
      </c>
      <c r="R855" s="149" t="str">
        <f>IFERROR(__xludf.DUMMYFUNCTION("""COMPUTED_VALUE"""),"Autopilot included")</f>
        <v>Autopilot included</v>
      </c>
      <c r="S855" s="149" t="str">
        <f>IFERROR(__xludf.DUMMYFUNCTION("""COMPUTED_VALUE"""),"Lease")</f>
        <v>Lease</v>
      </c>
      <c r="T855" s="145" t="str">
        <f>IFERROR(__xludf.DUMMYFUNCTION("""COMPUTED_VALUE"""),"Audi")</f>
        <v>Audi</v>
      </c>
      <c r="U855" s="145" t="str">
        <f>IFERROR(__xludf.DUMMYFUNCTION("""COMPUTED_VALUE"""),"Electric!")</f>
        <v>Electric!</v>
      </c>
      <c r="V855" s="145" t="str">
        <f>IFERROR(__xludf.DUMMYFUNCTION("""COMPUTED_VALUE"""),"Blind spot indicators on side mirrors")</f>
        <v>Blind spot indicators on side mirrors</v>
      </c>
      <c r="W855" s="145" t="str">
        <f>IFERROR(__xludf.DUMMYFUNCTION("""COMPUTED_VALUE"""),"Ignore the expected delivery date. It’s not accurate and will cause anxiety")</f>
        <v>Ignore the expected delivery date. It’s not accurate and will cause anxiety</v>
      </c>
      <c r="X855" s="137" t="str">
        <f>IFERROR(__xludf.DUMMYFUNCTION("""COMPUTED_VALUE"""),"Excellent")</f>
        <v>Excellent</v>
      </c>
      <c r="Y855" s="138" t="str">
        <f>IFERROR(__xludf.DUMMYFUNCTION("""COMPUTED_VALUE"""),"Excellent")</f>
        <v>Excellent</v>
      </c>
      <c r="Z855" s="138" t="str">
        <f>IFERROR(__xludf.DUMMYFUNCTION("""COMPUTED_VALUE"""),"Excellent")</f>
        <v>Excellent</v>
      </c>
      <c r="AA855" s="138" t="str">
        <f>IFERROR(__xludf.DUMMYFUNCTION("""COMPUTED_VALUE"""),"Fair")</f>
        <v>Fair</v>
      </c>
      <c r="AB855" s="138" t="str">
        <f>IFERROR(__xludf.DUMMYFUNCTION("""COMPUTED_VALUE"""),"Very Good")</f>
        <v>Very Good</v>
      </c>
      <c r="AC855" s="139">
        <f>IFERROR(__xludf.DUMMYFUNCTION("""COMPUTED_VALUE"""),0.0)</f>
        <v>0</v>
      </c>
      <c r="AD855" s="139">
        <f>IFERROR(__xludf.DUMMYFUNCTION("""COMPUTED_VALUE"""),0.0)</f>
        <v>0</v>
      </c>
      <c r="AE855" s="139">
        <f>IFERROR(__xludf.DUMMYFUNCTION("""COMPUTED_VALUE"""),0.0)</f>
        <v>0</v>
      </c>
      <c r="AF855" s="140" t="str">
        <f>IFERROR(__xludf.DUMMYFUNCTION("""COMPUTED_VALUE"""),"No. I took delivery of the first car Tesla was able to deliver.")</f>
        <v>No. I took delivery of the first car Tesla was able to deliver.</v>
      </c>
      <c r="AG855" s="145"/>
      <c r="AH855" s="157">
        <f>IFERROR(__xludf.DUMMYFUNCTION("""COMPUTED_VALUE"""),44399.69645826389)</f>
        <v>44399.69646</v>
      </c>
      <c r="AI855" s="138"/>
      <c r="AJ855" s="138"/>
      <c r="AK855" s="138"/>
      <c r="AL855" s="142"/>
    </row>
    <row r="856" ht="20.25" customHeight="1">
      <c r="A856" s="155" t="str">
        <f>IFERROR(__xludf.DUMMYFUNCTION("""COMPUTED_VALUE"""),"decarteret")</f>
        <v>decarteret</v>
      </c>
      <c r="B856" s="149" t="str">
        <f>IFERROR(__xludf.DUMMYFUNCTION("""COMPUTED_VALUE"""),"Seattle")</f>
        <v>Seattle</v>
      </c>
      <c r="C856" s="149" t="str">
        <f>IFERROR(__xludf.DUMMYFUNCTION("""COMPUTED_VALUE"""),"WA")</f>
        <v>WA</v>
      </c>
      <c r="D856" s="149" t="str">
        <f>IFERROR(__xludf.DUMMYFUNCTION("""COMPUTED_VALUE"""),"USA")</f>
        <v>USA</v>
      </c>
      <c r="E856" s="156">
        <f>IFERROR(__xludf.DUMMYFUNCTION("""COMPUTED_VALUE"""),44293.0)</f>
        <v>44293</v>
      </c>
      <c r="F856" s="129">
        <f>IFERROR(__xludf.DUMMYFUNCTION("""COMPUTED_VALUE"""),44375.0)</f>
        <v>44375</v>
      </c>
      <c r="G856" s="154" t="str">
        <f>IFERROR(__xludf.DUMMYFUNCTION("""COMPUTED_VALUE"""),"Manage order page (normal text)")</f>
        <v>Manage order page (normal text)</v>
      </c>
      <c r="H856" s="131">
        <f>IFERROR(__xludf.DUMMYFUNCTION("""COMPUTED_VALUE"""),2235.0)</f>
        <v>2235</v>
      </c>
      <c r="I856" s="144"/>
      <c r="J856" s="129">
        <f>IFERROR(__xludf.DUMMYFUNCTION("""COMPUTED_VALUE"""),44376.0)</f>
        <v>44376</v>
      </c>
      <c r="K856" s="133">
        <f>IFERROR(__xludf.DUMMYFUNCTION("""COMPUTED_VALUE"""),82.0)</f>
        <v>82</v>
      </c>
      <c r="L856" s="133">
        <f>IFERROR(__xludf.DUMMYFUNCTION("""COMPUTED_VALUE"""),1.0)</f>
        <v>1</v>
      </c>
      <c r="M856" s="133">
        <f>IFERROR(__xludf.DUMMYFUNCTION("""COMPUTED_VALUE"""),83.0)</f>
        <v>83</v>
      </c>
      <c r="N856" s="152" t="str">
        <f>IFERROR(__xludf.DUMMYFUNCTION("""COMPUTED_VALUE"""),"Model 3 LR AWD")</f>
        <v>Model 3 LR AWD</v>
      </c>
      <c r="O856" s="152" t="str">
        <f>IFERROR(__xludf.DUMMYFUNCTION("""COMPUTED_VALUE"""),"Pearl White Multi-Coat")</f>
        <v>Pearl White Multi-Coat</v>
      </c>
      <c r="P856" s="153" t="str">
        <f>IFERROR(__xludf.DUMMYFUNCTION("""COMPUTED_VALUE"""),"18 inch")</f>
        <v>18 inch</v>
      </c>
      <c r="Q856" s="152" t="str">
        <f>IFERROR(__xludf.DUMMYFUNCTION("""COMPUTED_VALUE"""),"All Black")</f>
        <v>All Black</v>
      </c>
      <c r="R856" s="149" t="str">
        <f>IFERROR(__xludf.DUMMYFUNCTION("""COMPUTED_VALUE"""),"Autopilot included")</f>
        <v>Autopilot included</v>
      </c>
      <c r="S856" s="149" t="str">
        <f>IFERROR(__xludf.DUMMYFUNCTION("""COMPUTED_VALUE"""),"Loan")</f>
        <v>Loan</v>
      </c>
      <c r="T856" s="145" t="str">
        <f>IFERROR(__xludf.DUMMYFUNCTION("""COMPUTED_VALUE"""),"BMW i3")</f>
        <v>BMW i3</v>
      </c>
      <c r="U856" s="145" t="str">
        <f>IFERROR(__xludf.DUMMYFUNCTION("""COMPUTED_VALUE"""),"Electric!")</f>
        <v>Electric!</v>
      </c>
      <c r="V856" s="145" t="str">
        <f>IFERROR(__xludf.DUMMYFUNCTION("""COMPUTED_VALUE"""),"360° Bird's eye view")</f>
        <v>360° Bird's eye view</v>
      </c>
      <c r="W856" s="145"/>
      <c r="X856" s="137" t="str">
        <f>IFERROR(__xludf.DUMMYFUNCTION("""COMPUTED_VALUE"""),"Excellent")</f>
        <v>Excellent</v>
      </c>
      <c r="Y856" s="138" t="str">
        <f>IFERROR(__xludf.DUMMYFUNCTION("""COMPUTED_VALUE"""),"Excellent")</f>
        <v>Excellent</v>
      </c>
      <c r="Z856" s="138" t="str">
        <f>IFERROR(__xludf.DUMMYFUNCTION("""COMPUTED_VALUE"""),"Excellent")</f>
        <v>Excellent</v>
      </c>
      <c r="AA856" s="138" t="str">
        <f>IFERROR(__xludf.DUMMYFUNCTION("""COMPUTED_VALUE"""),"Excellent")</f>
        <v>Excellent</v>
      </c>
      <c r="AB856" s="138" t="str">
        <f>IFERROR(__xludf.DUMMYFUNCTION("""COMPUTED_VALUE"""),"Excellent")</f>
        <v>Excellent</v>
      </c>
      <c r="AC856" s="139"/>
      <c r="AD856" s="139"/>
      <c r="AE856" s="139"/>
      <c r="AF856" s="140"/>
      <c r="AG856" s="145"/>
      <c r="AH856" s="157">
        <f>IFERROR(__xludf.DUMMYFUNCTION("""COMPUTED_VALUE"""),44378.882099236114)</f>
        <v>44378.8821</v>
      </c>
      <c r="AI856" s="138"/>
      <c r="AJ856" s="138"/>
      <c r="AK856" s="138"/>
      <c r="AL856" s="142"/>
    </row>
    <row r="857" ht="20.25" customHeight="1">
      <c r="A857" s="155" t="str">
        <f>IFERROR(__xludf.DUMMYFUNCTION("""COMPUTED_VALUE"""),"ooval")</f>
        <v>ooval</v>
      </c>
      <c r="B857" s="149" t="str">
        <f>IFERROR(__xludf.DUMMYFUNCTION("""COMPUTED_VALUE"""),"Agoura Hills")</f>
        <v>Agoura Hills</v>
      </c>
      <c r="C857" s="149" t="str">
        <f>IFERROR(__xludf.DUMMYFUNCTION("""COMPUTED_VALUE"""),"CA")</f>
        <v>CA</v>
      </c>
      <c r="D857" s="149" t="str">
        <f>IFERROR(__xludf.DUMMYFUNCTION("""COMPUTED_VALUE"""),"USA")</f>
        <v>USA</v>
      </c>
      <c r="E857" s="156">
        <f>IFERROR(__xludf.DUMMYFUNCTION("""COMPUTED_VALUE"""),44293.0)</f>
        <v>44293</v>
      </c>
      <c r="F857" s="129">
        <f>IFERROR(__xludf.DUMMYFUNCTION("""COMPUTED_VALUE"""),44362.0)</f>
        <v>44362</v>
      </c>
      <c r="G857" s="154" t="str">
        <f>IFERROR(__xludf.DUMMYFUNCTION("""COMPUTED_VALUE"""),"Manage order page (normal text)")</f>
        <v>Manage order page (normal text)</v>
      </c>
      <c r="H857" s="131">
        <f>IFERROR(__xludf.DUMMYFUNCTION("""COMPUTED_VALUE"""),991755.0)</f>
        <v>991755</v>
      </c>
      <c r="I857" s="144" t="str">
        <f>IFERROR(__xludf.DUMMYFUNCTION("""COMPUTED_VALUE"""),"06/21")</f>
        <v>06/21</v>
      </c>
      <c r="J857" s="129">
        <f>IFERROR(__xludf.DUMMYFUNCTION("""COMPUTED_VALUE"""),44366.0)</f>
        <v>44366</v>
      </c>
      <c r="K857" s="133">
        <f>IFERROR(__xludf.DUMMYFUNCTION("""COMPUTED_VALUE"""),69.0)</f>
        <v>69</v>
      </c>
      <c r="L857" s="133">
        <f>IFERROR(__xludf.DUMMYFUNCTION("""COMPUTED_VALUE"""),4.0)</f>
        <v>4</v>
      </c>
      <c r="M857" s="133">
        <f>IFERROR(__xludf.DUMMYFUNCTION("""COMPUTED_VALUE"""),73.0)</f>
        <v>73</v>
      </c>
      <c r="N857" s="152" t="str">
        <f>IFERROR(__xludf.DUMMYFUNCTION("""COMPUTED_VALUE"""),"Model 3 SR+")</f>
        <v>Model 3 SR+</v>
      </c>
      <c r="O857" s="152" t="str">
        <f>IFERROR(__xludf.DUMMYFUNCTION("""COMPUTED_VALUE"""),"Pearl White Multi-Coat")</f>
        <v>Pearl White Multi-Coat</v>
      </c>
      <c r="P857" s="153" t="str">
        <f>IFERROR(__xludf.DUMMYFUNCTION("""COMPUTED_VALUE"""),"18 inch")</f>
        <v>18 inch</v>
      </c>
      <c r="Q857" s="152" t="str">
        <f>IFERROR(__xludf.DUMMYFUNCTION("""COMPUTED_VALUE"""),"All Black")</f>
        <v>All Black</v>
      </c>
      <c r="R857" s="149" t="str">
        <f>IFERROR(__xludf.DUMMYFUNCTION("""COMPUTED_VALUE"""),"Autopilot included")</f>
        <v>Autopilot included</v>
      </c>
      <c r="S857" s="149" t="str">
        <f>IFERROR(__xludf.DUMMYFUNCTION("""COMPUTED_VALUE"""),"Loan")</f>
        <v>Loan</v>
      </c>
      <c r="T857" s="145" t="str">
        <f>IFERROR(__xludf.DUMMYFUNCTION("""COMPUTED_VALUE"""),"Nissan Versa")</f>
        <v>Nissan Versa</v>
      </c>
      <c r="U857" s="145" t="str">
        <f>IFERROR(__xludf.DUMMYFUNCTION("""COMPUTED_VALUE"""),"Electric!")</f>
        <v>Electric!</v>
      </c>
      <c r="V857" s="145" t="str">
        <f>IFERROR(__xludf.DUMMYFUNCTION("""COMPUTED_VALUE"""),"Dashboard")</f>
        <v>Dashboard</v>
      </c>
      <c r="W857" s="145" t="str">
        <f>IFERROR(__xludf.DUMMYFUNCTION("""COMPUTED_VALUE"""),"Check inventory regularly if things are super delayed!")</f>
        <v>Check inventory regularly if things are super delayed!</v>
      </c>
      <c r="X857" s="137" t="str">
        <f>IFERROR(__xludf.DUMMYFUNCTION("""COMPUTED_VALUE"""),"Very Good")</f>
        <v>Very Good</v>
      </c>
      <c r="Y857" s="138" t="str">
        <f>IFERROR(__xludf.DUMMYFUNCTION("""COMPUTED_VALUE"""),"Excellent")</f>
        <v>Excellent</v>
      </c>
      <c r="Z857" s="138" t="str">
        <f>IFERROR(__xludf.DUMMYFUNCTION("""COMPUTED_VALUE"""),"Excellent")</f>
        <v>Excellent</v>
      </c>
      <c r="AA857" s="138" t="str">
        <f>IFERROR(__xludf.DUMMYFUNCTION("""COMPUTED_VALUE"""),"Fair")</f>
        <v>Fair</v>
      </c>
      <c r="AB857" s="138" t="str">
        <f>IFERROR(__xludf.DUMMYFUNCTION("""COMPUTED_VALUE"""),"Excellent")</f>
        <v>Excellent</v>
      </c>
      <c r="AC857" s="139">
        <f>IFERROR(__xludf.DUMMYFUNCTION("""COMPUTED_VALUE"""),0.0)</f>
        <v>0</v>
      </c>
      <c r="AD857" s="139">
        <f>IFERROR(__xludf.DUMMYFUNCTION("""COMPUTED_VALUE"""),0.0)</f>
        <v>0</v>
      </c>
      <c r="AE857" s="139">
        <f>IFERROR(__xludf.DUMMYFUNCTION("""COMPUTED_VALUE"""),0.0)</f>
        <v>0</v>
      </c>
      <c r="AF857" s="140" t="str">
        <f>IFERROR(__xludf.DUMMYFUNCTION("""COMPUTED_VALUE"""),"No. I took delivery of the first car Tesla was able to deliver.")</f>
        <v>No. I took delivery of the first car Tesla was able to deliver.</v>
      </c>
      <c r="AG857" s="145"/>
      <c r="AH857" s="157">
        <f>IFERROR(__xludf.DUMMYFUNCTION("""COMPUTED_VALUE"""),44374.66264853009)</f>
        <v>44374.66265</v>
      </c>
      <c r="AI857" s="138"/>
      <c r="AJ857" s="138"/>
      <c r="AK857" s="138"/>
      <c r="AL857" s="142"/>
    </row>
    <row r="858" ht="20.25" customHeight="1">
      <c r="A858" s="155" t="str">
        <f>IFERROR(__xludf.DUMMYFUNCTION("""COMPUTED_VALUE"""),"savicbo")</f>
        <v>savicbo</v>
      </c>
      <c r="B858" s="149" t="str">
        <f>IFERROR(__xludf.DUMMYFUNCTION("""COMPUTED_VALUE"""),"Cambridge")</f>
        <v>Cambridge</v>
      </c>
      <c r="C858" s="149" t="str">
        <f>IFERROR(__xludf.DUMMYFUNCTION("""COMPUTED_VALUE"""),"ON")</f>
        <v>ON</v>
      </c>
      <c r="D858" s="149" t="str">
        <f>IFERROR(__xludf.DUMMYFUNCTION("""COMPUTED_VALUE"""),"Canada")</f>
        <v>Canada</v>
      </c>
      <c r="E858" s="156">
        <f>IFERROR(__xludf.DUMMYFUNCTION("""COMPUTED_VALUE"""),44293.0)</f>
        <v>44293</v>
      </c>
      <c r="F858" s="129">
        <f>IFERROR(__xludf.DUMMYFUNCTION("""COMPUTED_VALUE"""),44344.0)</f>
        <v>44344</v>
      </c>
      <c r="G858" s="154" t="str">
        <f>IFERROR(__xludf.DUMMYFUNCTION("""COMPUTED_VALUE"""),"Source code")</f>
        <v>Source code</v>
      </c>
      <c r="H858" s="131">
        <f>IFERROR(__xludf.DUMMYFUNCTION("""COMPUTED_VALUE"""),978765.0)</f>
        <v>978765</v>
      </c>
      <c r="I858" s="144"/>
      <c r="J858" s="129">
        <f>IFERROR(__xludf.DUMMYFUNCTION("""COMPUTED_VALUE"""),44352.0)</f>
        <v>44352</v>
      </c>
      <c r="K858" s="133">
        <f>IFERROR(__xludf.DUMMYFUNCTION("""COMPUTED_VALUE"""),51.0)</f>
        <v>51</v>
      </c>
      <c r="L858" s="133">
        <f>IFERROR(__xludf.DUMMYFUNCTION("""COMPUTED_VALUE"""),8.0)</f>
        <v>8</v>
      </c>
      <c r="M858" s="133">
        <f>IFERROR(__xludf.DUMMYFUNCTION("""COMPUTED_VALUE"""),59.0)</f>
        <v>59</v>
      </c>
      <c r="N858" s="152" t="str">
        <f>IFERROR(__xludf.DUMMYFUNCTION("""COMPUTED_VALUE"""),"Model 3 LR AWD")</f>
        <v>Model 3 LR AWD</v>
      </c>
      <c r="O858" s="152" t="str">
        <f>IFERROR(__xludf.DUMMYFUNCTION("""COMPUTED_VALUE"""),"Pearl White Multi-Coat")</f>
        <v>Pearl White Multi-Coat</v>
      </c>
      <c r="P858" s="153" t="str">
        <f>IFERROR(__xludf.DUMMYFUNCTION("""COMPUTED_VALUE"""),"18 inch")</f>
        <v>18 inch</v>
      </c>
      <c r="Q858" s="152" t="str">
        <f>IFERROR(__xludf.DUMMYFUNCTION("""COMPUTED_VALUE"""),"All Black")</f>
        <v>All Black</v>
      </c>
      <c r="R858" s="149" t="str">
        <f>IFERROR(__xludf.DUMMYFUNCTION("""COMPUTED_VALUE"""),"Autopilot included")</f>
        <v>Autopilot included</v>
      </c>
      <c r="S858" s="149" t="str">
        <f>IFERROR(__xludf.DUMMYFUNCTION("""COMPUTED_VALUE"""),"Loan")</f>
        <v>Loan</v>
      </c>
      <c r="T858" s="145" t="str">
        <f>IFERROR(__xludf.DUMMYFUNCTION("""COMPUTED_VALUE"""),"Subaru Legacy")</f>
        <v>Subaru Legacy</v>
      </c>
      <c r="U858" s="145" t="str">
        <f>IFERROR(__xludf.DUMMYFUNCTION("""COMPUTED_VALUE"""),"Electric!")</f>
        <v>Electric!</v>
      </c>
      <c r="V858" s="145" t="str">
        <f>IFERROR(__xludf.DUMMYFUNCTION("""COMPUTED_VALUE"""),"360° Bird's eye view")</f>
        <v>360° Bird's eye view</v>
      </c>
      <c r="W858" s="145"/>
      <c r="X858" s="137" t="str">
        <f>IFERROR(__xludf.DUMMYFUNCTION("""COMPUTED_VALUE"""),"Very Good")</f>
        <v>Very Good</v>
      </c>
      <c r="Y858" s="138" t="str">
        <f>IFERROR(__xludf.DUMMYFUNCTION("""COMPUTED_VALUE"""),"Excellent")</f>
        <v>Excellent</v>
      </c>
      <c r="Z858" s="138" t="str">
        <f>IFERROR(__xludf.DUMMYFUNCTION("""COMPUTED_VALUE"""),"Excellent")</f>
        <v>Excellent</v>
      </c>
      <c r="AA858" s="138" t="str">
        <f>IFERROR(__xludf.DUMMYFUNCTION("""COMPUTED_VALUE"""),"Very Good")</f>
        <v>Very Good</v>
      </c>
      <c r="AB858" s="138" t="str">
        <f>IFERROR(__xludf.DUMMYFUNCTION("""COMPUTED_VALUE"""),"Very Good")</f>
        <v>Very Good</v>
      </c>
      <c r="AC858" s="139">
        <f>IFERROR(__xludf.DUMMYFUNCTION("""COMPUTED_VALUE"""),1.0)</f>
        <v>1</v>
      </c>
      <c r="AD858" s="139">
        <f>IFERROR(__xludf.DUMMYFUNCTION("""COMPUTED_VALUE"""),1.0)</f>
        <v>1</v>
      </c>
      <c r="AE858" s="139">
        <f>IFERROR(__xludf.DUMMYFUNCTION("""COMPUTED_VALUE"""),0.0)</f>
        <v>0</v>
      </c>
      <c r="AF858" s="140" t="str">
        <f>IFERROR(__xludf.DUMMYFUNCTION("""COMPUTED_VALUE"""),"No. I took delivery of the first car Tesla was able to deliver.")</f>
        <v>No. I took delivery of the first car Tesla was able to deliver.</v>
      </c>
      <c r="AG858" s="145"/>
      <c r="AH858" s="157">
        <f>IFERROR(__xludf.DUMMYFUNCTION("""COMPUTED_VALUE"""),44357.600051828704)</f>
        <v>44357.60005</v>
      </c>
      <c r="AI858" s="138"/>
      <c r="AJ858" s="138"/>
      <c r="AK858" s="138"/>
      <c r="AL858" s="142"/>
    </row>
    <row r="859" ht="20.25" customHeight="1">
      <c r="A859" s="155" t="str">
        <f>IFERROR(__xludf.DUMMYFUNCTION("""COMPUTED_VALUE"""),"thephoking")</f>
        <v>thephoking</v>
      </c>
      <c r="B859" s="149" t="str">
        <f>IFERROR(__xludf.DUMMYFUNCTION("""COMPUTED_VALUE"""),"Vacaville")</f>
        <v>Vacaville</v>
      </c>
      <c r="C859" s="149" t="str">
        <f>IFERROR(__xludf.DUMMYFUNCTION("""COMPUTED_VALUE"""),"CA")</f>
        <v>CA</v>
      </c>
      <c r="D859" s="149" t="str">
        <f>IFERROR(__xludf.DUMMYFUNCTION("""COMPUTED_VALUE"""),"USA")</f>
        <v>USA</v>
      </c>
      <c r="E859" s="156">
        <f>IFERROR(__xludf.DUMMYFUNCTION("""COMPUTED_VALUE"""),44293.0)</f>
        <v>44293</v>
      </c>
      <c r="F859" s="129">
        <f>IFERROR(__xludf.DUMMYFUNCTION("""COMPUTED_VALUE"""),44301.0)</f>
        <v>44301</v>
      </c>
      <c r="G859" s="154" t="str">
        <f>IFERROR(__xludf.DUMMYFUNCTION("""COMPUTED_VALUE"""),"Email")</f>
        <v>Email</v>
      </c>
      <c r="H859" s="131">
        <f>IFERROR(__xludf.DUMMYFUNCTION("""COMPUTED_VALUE"""),863647.0)</f>
        <v>863647</v>
      </c>
      <c r="I859" s="144"/>
      <c r="J859" s="129">
        <f>IFERROR(__xludf.DUMMYFUNCTION("""COMPUTED_VALUE"""),44308.0)</f>
        <v>44308</v>
      </c>
      <c r="K859" s="133">
        <f>IFERROR(__xludf.DUMMYFUNCTION("""COMPUTED_VALUE"""),8.0)</f>
        <v>8</v>
      </c>
      <c r="L859" s="133">
        <f>IFERROR(__xludf.DUMMYFUNCTION("""COMPUTED_VALUE"""),7.0)</f>
        <v>7</v>
      </c>
      <c r="M859" s="133">
        <f>IFERROR(__xludf.DUMMYFUNCTION("""COMPUTED_VALUE"""),15.0)</f>
        <v>15</v>
      </c>
      <c r="N859" s="152" t="str">
        <f>IFERROR(__xludf.DUMMYFUNCTION("""COMPUTED_VALUE"""),"Model 3 LR AWD")</f>
        <v>Model 3 LR AWD</v>
      </c>
      <c r="O859" s="152" t="str">
        <f>IFERROR(__xludf.DUMMYFUNCTION("""COMPUTED_VALUE"""),"Red Multi-Coat")</f>
        <v>Red Multi-Coat</v>
      </c>
      <c r="P859" s="153" t="str">
        <f>IFERROR(__xludf.DUMMYFUNCTION("""COMPUTED_VALUE"""),"18 inch")</f>
        <v>18 inch</v>
      </c>
      <c r="Q859" s="152" t="str">
        <f>IFERROR(__xludf.DUMMYFUNCTION("""COMPUTED_VALUE"""),"Black and White")</f>
        <v>Black and White</v>
      </c>
      <c r="R859" s="149" t="str">
        <f>IFERROR(__xludf.DUMMYFUNCTION("""COMPUTED_VALUE"""),"Autopilot included")</f>
        <v>Autopilot included</v>
      </c>
      <c r="S859" s="149" t="str">
        <f>IFERROR(__xludf.DUMMYFUNCTION("""COMPUTED_VALUE"""),"Loan")</f>
        <v>Loan</v>
      </c>
      <c r="T859" s="145" t="str">
        <f>IFERROR(__xludf.DUMMYFUNCTION("""COMPUTED_VALUE"""),"Acura TLX")</f>
        <v>Acura TLX</v>
      </c>
      <c r="U859" s="145" t="str">
        <f>IFERROR(__xludf.DUMMYFUNCTION("""COMPUTED_VALUE"""),"Electric!")</f>
        <v>Electric!</v>
      </c>
      <c r="V859" s="145" t="str">
        <f>IFERROR(__xludf.DUMMYFUNCTION("""COMPUTED_VALUE"""),"Air suspension")</f>
        <v>Air suspension</v>
      </c>
      <c r="W859" s="145"/>
      <c r="X859" s="137" t="str">
        <f>IFERROR(__xludf.DUMMYFUNCTION("""COMPUTED_VALUE"""),"Very Good")</f>
        <v>Very Good</v>
      </c>
      <c r="Y859" s="138" t="str">
        <f>IFERROR(__xludf.DUMMYFUNCTION("""COMPUTED_VALUE"""),"Very Good")</f>
        <v>Very Good</v>
      </c>
      <c r="Z859" s="138" t="str">
        <f>IFERROR(__xludf.DUMMYFUNCTION("""COMPUTED_VALUE"""),"Excellent")</f>
        <v>Excellent</v>
      </c>
      <c r="AA859" s="138" t="str">
        <f>IFERROR(__xludf.DUMMYFUNCTION("""COMPUTED_VALUE"""),"Good")</f>
        <v>Good</v>
      </c>
      <c r="AB859" s="138" t="str">
        <f>IFERROR(__xludf.DUMMYFUNCTION("""COMPUTED_VALUE"""),"Excellent")</f>
        <v>Excellent</v>
      </c>
      <c r="AC859" s="139"/>
      <c r="AD859" s="139"/>
      <c r="AE859" s="139"/>
      <c r="AF859" s="140" t="str">
        <f>IFERROR(__xludf.DUMMYFUNCTION("""COMPUTED_VALUE"""),"No. I took delivery of the first car Tesla was able to deliver.")</f>
        <v>No. I took delivery of the first car Tesla was able to deliver.</v>
      </c>
      <c r="AG859" s="145"/>
      <c r="AH859" s="157">
        <f>IFERROR(__xludf.DUMMYFUNCTION("""COMPUTED_VALUE"""),44308.924558541665)</f>
        <v>44308.92456</v>
      </c>
      <c r="AI859" s="138"/>
      <c r="AJ859" s="138"/>
      <c r="AK859" s="138"/>
      <c r="AL859" s="142"/>
    </row>
    <row r="860" ht="20.25" customHeight="1">
      <c r="A860" s="155" t="str">
        <f>IFERROR(__xludf.DUMMYFUNCTION("""COMPUTED_VALUE"""),"Byty")</f>
        <v>Byty</v>
      </c>
      <c r="B860" s="149" t="str">
        <f>IFERROR(__xludf.DUMMYFUNCTION("""COMPUTED_VALUE"""),"Minneapolis")</f>
        <v>Minneapolis</v>
      </c>
      <c r="C860" s="149" t="str">
        <f>IFERROR(__xludf.DUMMYFUNCTION("""COMPUTED_VALUE"""),"MN")</f>
        <v>MN</v>
      </c>
      <c r="D860" s="149" t="str">
        <f>IFERROR(__xludf.DUMMYFUNCTION("""COMPUTED_VALUE"""),"USA")</f>
        <v>USA</v>
      </c>
      <c r="E860" s="156">
        <f>IFERROR(__xludf.DUMMYFUNCTION("""COMPUTED_VALUE"""),44291.0)</f>
        <v>44291</v>
      </c>
      <c r="F860" s="129">
        <f>IFERROR(__xludf.DUMMYFUNCTION("""COMPUTED_VALUE"""),44344.0)</f>
        <v>44344</v>
      </c>
      <c r="G860" s="154" t="str">
        <f>IFERROR(__xludf.DUMMYFUNCTION("""COMPUTED_VALUE"""),"Manage order page (normal text)")</f>
        <v>Manage order page (normal text)</v>
      </c>
      <c r="H860" s="131">
        <f>IFERROR(__xludf.DUMMYFUNCTION("""COMPUTED_VALUE"""),975755.0)</f>
        <v>975755</v>
      </c>
      <c r="I860" s="144"/>
      <c r="J860" s="129">
        <f>IFERROR(__xludf.DUMMYFUNCTION("""COMPUTED_VALUE"""),44349.0)</f>
        <v>44349</v>
      </c>
      <c r="K860" s="133">
        <f>IFERROR(__xludf.DUMMYFUNCTION("""COMPUTED_VALUE"""),53.0)</f>
        <v>53</v>
      </c>
      <c r="L860" s="133">
        <f>IFERROR(__xludf.DUMMYFUNCTION("""COMPUTED_VALUE"""),5.0)</f>
        <v>5</v>
      </c>
      <c r="M860" s="133">
        <f>IFERROR(__xludf.DUMMYFUNCTION("""COMPUTED_VALUE"""),58.0)</f>
        <v>58</v>
      </c>
      <c r="N860" s="152" t="str">
        <f>IFERROR(__xludf.DUMMYFUNCTION("""COMPUTED_VALUE"""),"Model 3 LR AWD")</f>
        <v>Model 3 LR AWD</v>
      </c>
      <c r="O860" s="152" t="str">
        <f>IFERROR(__xludf.DUMMYFUNCTION("""COMPUTED_VALUE"""),"Deep Blue Metallic")</f>
        <v>Deep Blue Metallic</v>
      </c>
      <c r="P860" s="153" t="str">
        <f>IFERROR(__xludf.DUMMYFUNCTION("""COMPUTED_VALUE"""),"18 inch")</f>
        <v>18 inch</v>
      </c>
      <c r="Q860" s="152" t="str">
        <f>IFERROR(__xludf.DUMMYFUNCTION("""COMPUTED_VALUE"""),"Black and White")</f>
        <v>Black and White</v>
      </c>
      <c r="R860" s="149" t="str">
        <f>IFERROR(__xludf.DUMMYFUNCTION("""COMPUTED_VALUE"""),"Autopilot included")</f>
        <v>Autopilot included</v>
      </c>
      <c r="S860" s="149" t="str">
        <f>IFERROR(__xludf.DUMMYFUNCTION("""COMPUTED_VALUE"""),"Loan")</f>
        <v>Loan</v>
      </c>
      <c r="T860" s="145"/>
      <c r="U860" s="145" t="str">
        <f>IFERROR(__xludf.DUMMYFUNCTION("""COMPUTED_VALUE"""),"Autopilot")</f>
        <v>Autopilot</v>
      </c>
      <c r="V860" s="145" t="str">
        <f>IFERROR(__xludf.DUMMYFUNCTION("""COMPUTED_VALUE"""),"360° Bird's eye view")</f>
        <v>360° Bird's eye view</v>
      </c>
      <c r="W860" s="145"/>
      <c r="X860" s="137" t="str">
        <f>IFERROR(__xludf.DUMMYFUNCTION("""COMPUTED_VALUE"""),"Very Good")</f>
        <v>Very Good</v>
      </c>
      <c r="Y860" s="138" t="str">
        <f>IFERROR(__xludf.DUMMYFUNCTION("""COMPUTED_VALUE"""),"Very Good")</f>
        <v>Very Good</v>
      </c>
      <c r="Z860" s="138" t="str">
        <f>IFERROR(__xludf.DUMMYFUNCTION("""COMPUTED_VALUE"""),"Excellent")</f>
        <v>Excellent</v>
      </c>
      <c r="AA860" s="138" t="str">
        <f>IFERROR(__xludf.DUMMYFUNCTION("""COMPUTED_VALUE"""),"Very Good")</f>
        <v>Very Good</v>
      </c>
      <c r="AB860" s="138" t="str">
        <f>IFERROR(__xludf.DUMMYFUNCTION("""COMPUTED_VALUE"""),"Very Good")</f>
        <v>Very Good</v>
      </c>
      <c r="AC860" s="139">
        <f>IFERROR(__xludf.DUMMYFUNCTION("""COMPUTED_VALUE"""),2.0)</f>
        <v>2</v>
      </c>
      <c r="AD860" s="139">
        <f>IFERROR(__xludf.DUMMYFUNCTION("""COMPUTED_VALUE"""),1.0)</f>
        <v>1</v>
      </c>
      <c r="AE860" s="139">
        <f>IFERROR(__xludf.DUMMYFUNCTION("""COMPUTED_VALUE"""),0.0)</f>
        <v>0</v>
      </c>
      <c r="AF860" s="140" t="str">
        <f>IFERROR(__xludf.DUMMYFUNCTION("""COMPUTED_VALUE"""),"No. I took delivery of the first car Tesla was able to deliver.")</f>
        <v>No. I took delivery of the first car Tesla was able to deliver.</v>
      </c>
      <c r="AG860" s="145"/>
      <c r="AH860" s="157">
        <f>IFERROR(__xludf.DUMMYFUNCTION("""COMPUTED_VALUE"""),44354.2956475)</f>
        <v>44354.29565</v>
      </c>
      <c r="AI860" s="138"/>
      <c r="AJ860" s="138"/>
      <c r="AK860" s="138"/>
      <c r="AL860" s="142"/>
    </row>
    <row r="861" ht="20.25" customHeight="1">
      <c r="A861" s="155" t="str">
        <f>IFERROR(__xludf.DUMMYFUNCTION("""COMPUTED_VALUE"""),"Frackle")</f>
        <v>Frackle</v>
      </c>
      <c r="B861" s="149" t="str">
        <f>IFERROR(__xludf.DUMMYFUNCTION("""COMPUTED_VALUE"""),"Juneau")</f>
        <v>Juneau</v>
      </c>
      <c r="C861" s="149" t="str">
        <f>IFERROR(__xludf.DUMMYFUNCTION("""COMPUTED_VALUE"""),"AK")</f>
        <v>AK</v>
      </c>
      <c r="D861" s="149" t="str">
        <f>IFERROR(__xludf.DUMMYFUNCTION("""COMPUTED_VALUE"""),"USA")</f>
        <v>USA</v>
      </c>
      <c r="E861" s="156">
        <f>IFERROR(__xludf.DUMMYFUNCTION("""COMPUTED_VALUE"""),44291.0)</f>
        <v>44291</v>
      </c>
      <c r="F861" s="129">
        <f>IFERROR(__xludf.DUMMYFUNCTION("""COMPUTED_VALUE"""),44342.0)</f>
        <v>44342</v>
      </c>
      <c r="G861" s="154" t="str">
        <f>IFERROR(__xludf.DUMMYFUNCTION("""COMPUTED_VALUE"""),"Manage order page (normal text)")</f>
        <v>Manage order page (normal text)</v>
      </c>
      <c r="H861" s="131">
        <f>IFERROR(__xludf.DUMMYFUNCTION("""COMPUTED_VALUE"""),976855.0)</f>
        <v>976855</v>
      </c>
      <c r="I861" s="144"/>
      <c r="J861" s="129">
        <f>IFERROR(__xludf.DUMMYFUNCTION("""COMPUTED_VALUE"""),44345.0)</f>
        <v>44345</v>
      </c>
      <c r="K861" s="133">
        <f>IFERROR(__xludf.DUMMYFUNCTION("""COMPUTED_VALUE"""),51.0)</f>
        <v>51</v>
      </c>
      <c r="L861" s="133">
        <f>IFERROR(__xludf.DUMMYFUNCTION("""COMPUTED_VALUE"""),3.0)</f>
        <v>3</v>
      </c>
      <c r="M861" s="133">
        <f>IFERROR(__xludf.DUMMYFUNCTION("""COMPUTED_VALUE"""),54.0)</f>
        <v>54</v>
      </c>
      <c r="N861" s="152" t="str">
        <f>IFERROR(__xludf.DUMMYFUNCTION("""COMPUTED_VALUE"""),"Model 3 SR+")</f>
        <v>Model 3 SR+</v>
      </c>
      <c r="O861" s="152" t="str">
        <f>IFERROR(__xludf.DUMMYFUNCTION("""COMPUTED_VALUE"""),"Pearl White Multi-Coat")</f>
        <v>Pearl White Multi-Coat</v>
      </c>
      <c r="P861" s="153" t="str">
        <f>IFERROR(__xludf.DUMMYFUNCTION("""COMPUTED_VALUE"""),"18 inch")</f>
        <v>18 inch</v>
      </c>
      <c r="Q861" s="152" t="str">
        <f>IFERROR(__xludf.DUMMYFUNCTION("""COMPUTED_VALUE"""),"All Black")</f>
        <v>All Black</v>
      </c>
      <c r="R861" s="149" t="str">
        <f>IFERROR(__xludf.DUMMYFUNCTION("""COMPUTED_VALUE"""),"Autopilot included")</f>
        <v>Autopilot included</v>
      </c>
      <c r="S861" s="149" t="str">
        <f>IFERROR(__xludf.DUMMYFUNCTION("""COMPUTED_VALUE"""),"Cash")</f>
        <v>Cash</v>
      </c>
      <c r="T861" s="145" t="str">
        <f>IFERROR(__xludf.DUMMYFUNCTION("""COMPUTED_VALUE"""),"Model 3 will be my first car!")</f>
        <v>Model 3 will be my first car!</v>
      </c>
      <c r="U861" s="145" t="str">
        <f>IFERROR(__xludf.DUMMYFUNCTION("""COMPUTED_VALUE"""),"Autopilot")</f>
        <v>Autopilot</v>
      </c>
      <c r="V861" s="145" t="str">
        <f>IFERROR(__xludf.DUMMYFUNCTION("""COMPUTED_VALUE"""),"Apple CarPlay / Android Auto / SiriusXM Radio")</f>
        <v>Apple CarPlay / Android Auto / SiriusXM Radio</v>
      </c>
      <c r="W861" s="145"/>
      <c r="X861" s="137" t="str">
        <f>IFERROR(__xludf.DUMMYFUNCTION("""COMPUTED_VALUE"""),"Good")</f>
        <v>Good</v>
      </c>
      <c r="Y861" s="138" t="str">
        <f>IFERROR(__xludf.DUMMYFUNCTION("""COMPUTED_VALUE"""),"Good")</f>
        <v>Good</v>
      </c>
      <c r="Z861" s="138" t="str">
        <f>IFERROR(__xludf.DUMMYFUNCTION("""COMPUTED_VALUE"""),"Very Good")</f>
        <v>Very Good</v>
      </c>
      <c r="AA861" s="138" t="str">
        <f>IFERROR(__xludf.DUMMYFUNCTION("""COMPUTED_VALUE"""),"Poor")</f>
        <v>Poor</v>
      </c>
      <c r="AB861" s="138" t="str">
        <f>IFERROR(__xludf.DUMMYFUNCTION("""COMPUTED_VALUE"""),"Excellent")</f>
        <v>Excellent</v>
      </c>
      <c r="AC861" s="139"/>
      <c r="AD861" s="139"/>
      <c r="AE861" s="139"/>
      <c r="AF861" s="140"/>
      <c r="AG861" s="145"/>
      <c r="AH861" s="157">
        <f>IFERROR(__xludf.DUMMYFUNCTION("""COMPUTED_VALUE"""),44354.907147465274)</f>
        <v>44354.90715</v>
      </c>
      <c r="AI861" s="138"/>
      <c r="AJ861" s="138"/>
      <c r="AK861" s="138"/>
      <c r="AL861" s="142"/>
    </row>
    <row r="862" ht="20.25" customHeight="1">
      <c r="A862" s="155" t="str">
        <f>IFERROR(__xludf.DUMMYFUNCTION("""COMPUTED_VALUE"""),"Lydia")</f>
        <v>Lydia</v>
      </c>
      <c r="B862" s="149" t="str">
        <f>IFERROR(__xludf.DUMMYFUNCTION("""COMPUTED_VALUE"""),"Mountain View")</f>
        <v>Mountain View</v>
      </c>
      <c r="C862" s="149" t="str">
        <f>IFERROR(__xludf.DUMMYFUNCTION("""COMPUTED_VALUE"""),"CA")</f>
        <v>CA</v>
      </c>
      <c r="D862" s="149" t="str">
        <f>IFERROR(__xludf.DUMMYFUNCTION("""COMPUTED_VALUE"""),"USA")</f>
        <v>USA</v>
      </c>
      <c r="E862" s="156">
        <f>IFERROR(__xludf.DUMMYFUNCTION("""COMPUTED_VALUE"""),44291.0)</f>
        <v>44291</v>
      </c>
      <c r="F862" s="129">
        <f>IFERROR(__xludf.DUMMYFUNCTION("""COMPUTED_VALUE"""),44344.0)</f>
        <v>44344</v>
      </c>
      <c r="G862" s="154" t="str">
        <f>IFERROR(__xludf.DUMMYFUNCTION("""COMPUTED_VALUE"""),"Email")</f>
        <v>Email</v>
      </c>
      <c r="H862" s="131"/>
      <c r="I862" s="144" t="str">
        <f>IFERROR(__xludf.DUMMYFUNCTION("""COMPUTED_VALUE"""),"05/21")</f>
        <v>05/21</v>
      </c>
      <c r="J862" s="129">
        <f>IFERROR(__xludf.DUMMYFUNCTION("""COMPUTED_VALUE"""),44346.0)</f>
        <v>44346</v>
      </c>
      <c r="K862" s="133">
        <f>IFERROR(__xludf.DUMMYFUNCTION("""COMPUTED_VALUE"""),53.0)</f>
        <v>53</v>
      </c>
      <c r="L862" s="133">
        <f>IFERROR(__xludf.DUMMYFUNCTION("""COMPUTED_VALUE"""),2.0)</f>
        <v>2</v>
      </c>
      <c r="M862" s="133">
        <f>IFERROR(__xludf.DUMMYFUNCTION("""COMPUTED_VALUE"""),55.0)</f>
        <v>55</v>
      </c>
      <c r="N862" s="152" t="str">
        <f>IFERROR(__xludf.DUMMYFUNCTION("""COMPUTED_VALUE"""),"Model 3 LR AWD")</f>
        <v>Model 3 LR AWD</v>
      </c>
      <c r="O862" s="152" t="str">
        <f>IFERROR(__xludf.DUMMYFUNCTION("""COMPUTED_VALUE"""),"Midnight Silver Metallic")</f>
        <v>Midnight Silver Metallic</v>
      </c>
      <c r="P862" s="153" t="str">
        <f>IFERROR(__xludf.DUMMYFUNCTION("""COMPUTED_VALUE"""),"18 inch")</f>
        <v>18 inch</v>
      </c>
      <c r="Q862" s="152" t="str">
        <f>IFERROR(__xludf.DUMMYFUNCTION("""COMPUTED_VALUE"""),"All Black")</f>
        <v>All Black</v>
      </c>
      <c r="R862" s="149" t="str">
        <f>IFERROR(__xludf.DUMMYFUNCTION("""COMPUTED_VALUE"""),"Autopilot included")</f>
        <v>Autopilot included</v>
      </c>
      <c r="S862" s="149" t="str">
        <f>IFERROR(__xludf.DUMMYFUNCTION("""COMPUTED_VALUE"""),"Cash")</f>
        <v>Cash</v>
      </c>
      <c r="T862" s="145" t="str">
        <f>IFERROR(__xludf.DUMMYFUNCTION("""COMPUTED_VALUE"""),"Model 3 will be my first car!")</f>
        <v>Model 3 will be my first car!</v>
      </c>
      <c r="U862" s="145" t="str">
        <f>IFERROR(__xludf.DUMMYFUNCTION("""COMPUTED_VALUE"""),"Electric!")</f>
        <v>Electric!</v>
      </c>
      <c r="V862" s="145" t="str">
        <f>IFERROR(__xludf.DUMMYFUNCTION("""COMPUTED_VALUE"""),"Air suspension")</f>
        <v>Air suspension</v>
      </c>
      <c r="W862" s="145"/>
      <c r="X862" s="137" t="str">
        <f>IFERROR(__xludf.DUMMYFUNCTION("""COMPUTED_VALUE"""),"Very Good")</f>
        <v>Very Good</v>
      </c>
      <c r="Y862" s="138" t="str">
        <f>IFERROR(__xludf.DUMMYFUNCTION("""COMPUTED_VALUE"""),"Excellent")</f>
        <v>Excellent</v>
      </c>
      <c r="Z862" s="138" t="str">
        <f>IFERROR(__xludf.DUMMYFUNCTION("""COMPUTED_VALUE"""),"Excellent")</f>
        <v>Excellent</v>
      </c>
      <c r="AA862" s="138" t="str">
        <f>IFERROR(__xludf.DUMMYFUNCTION("""COMPUTED_VALUE"""),"Very Good")</f>
        <v>Very Good</v>
      </c>
      <c r="AB862" s="138" t="str">
        <f>IFERROR(__xludf.DUMMYFUNCTION("""COMPUTED_VALUE"""),"Very Good")</f>
        <v>Very Good</v>
      </c>
      <c r="AC862" s="139">
        <f>IFERROR(__xludf.DUMMYFUNCTION("""COMPUTED_VALUE"""),1.0)</f>
        <v>1</v>
      </c>
      <c r="AD862" s="139"/>
      <c r="AE862" s="139"/>
      <c r="AF862" s="140" t="str">
        <f>IFERROR(__xludf.DUMMYFUNCTION("""COMPUTED_VALUE"""),"No. I took delivery of the first car Tesla was able to deliver.")</f>
        <v>No. I took delivery of the first car Tesla was able to deliver.</v>
      </c>
      <c r="AG862" s="145"/>
      <c r="AH862" s="157">
        <f>IFERROR(__xludf.DUMMYFUNCTION("""COMPUTED_VALUE"""),44347.84687724537)</f>
        <v>44347.84688</v>
      </c>
      <c r="AI862" s="138"/>
      <c r="AJ862" s="138"/>
      <c r="AK862" s="138"/>
      <c r="AL862" s="142"/>
    </row>
    <row r="863" ht="20.25" customHeight="1">
      <c r="A863" s="155" t="str">
        <f>IFERROR(__xludf.DUMMYFUNCTION("""COMPUTED_VALUE"""),"Mike1080i")</f>
        <v>Mike1080i</v>
      </c>
      <c r="B863" s="149" t="str">
        <f>IFERROR(__xludf.DUMMYFUNCTION("""COMPUTED_VALUE"""),"Atlanta")</f>
        <v>Atlanta</v>
      </c>
      <c r="C863" s="149" t="str">
        <f>IFERROR(__xludf.DUMMYFUNCTION("""COMPUTED_VALUE"""),"GA")</f>
        <v>GA</v>
      </c>
      <c r="D863" s="149" t="str">
        <f>IFERROR(__xludf.DUMMYFUNCTION("""COMPUTED_VALUE"""),"USA")</f>
        <v>USA</v>
      </c>
      <c r="E863" s="156">
        <f>IFERROR(__xludf.DUMMYFUNCTION("""COMPUTED_VALUE"""),44291.0)</f>
        <v>44291</v>
      </c>
      <c r="F863" s="129">
        <f>IFERROR(__xludf.DUMMYFUNCTION("""COMPUTED_VALUE"""),44345.0)</f>
        <v>44345</v>
      </c>
      <c r="G863" s="154" t="str">
        <f>IFERROR(__xludf.DUMMYFUNCTION("""COMPUTED_VALUE"""),"Manage order page (normal text)")</f>
        <v>Manage order page (normal text)</v>
      </c>
      <c r="H863" s="131">
        <f>IFERROR(__xludf.DUMMYFUNCTION("""COMPUTED_VALUE"""),973955.0)</f>
        <v>973955</v>
      </c>
      <c r="I863" s="144" t="str">
        <f>IFERROR(__xludf.DUMMYFUNCTION("""COMPUTED_VALUE"""),"05/21")</f>
        <v>05/21</v>
      </c>
      <c r="J863" s="129">
        <f>IFERROR(__xludf.DUMMYFUNCTION("""COMPUTED_VALUE"""),44357.0)</f>
        <v>44357</v>
      </c>
      <c r="K863" s="133">
        <f>IFERROR(__xludf.DUMMYFUNCTION("""COMPUTED_VALUE"""),54.0)</f>
        <v>54</v>
      </c>
      <c r="L863" s="133">
        <f>IFERROR(__xludf.DUMMYFUNCTION("""COMPUTED_VALUE"""),12.0)</f>
        <v>12</v>
      </c>
      <c r="M863" s="133">
        <f>IFERROR(__xludf.DUMMYFUNCTION("""COMPUTED_VALUE"""),66.0)</f>
        <v>66</v>
      </c>
      <c r="N863" s="152" t="str">
        <f>IFERROR(__xludf.DUMMYFUNCTION("""COMPUTED_VALUE"""),"Model 3 LR AWD")</f>
        <v>Model 3 LR AWD</v>
      </c>
      <c r="O863" s="152" t="str">
        <f>IFERROR(__xludf.DUMMYFUNCTION("""COMPUTED_VALUE"""),"Deep Blue Metallic")</f>
        <v>Deep Blue Metallic</v>
      </c>
      <c r="P863" s="153" t="str">
        <f>IFERROR(__xludf.DUMMYFUNCTION("""COMPUTED_VALUE"""),"18 inch")</f>
        <v>18 inch</v>
      </c>
      <c r="Q863" s="152" t="str">
        <f>IFERROR(__xludf.DUMMYFUNCTION("""COMPUTED_VALUE"""),"All Black")</f>
        <v>All Black</v>
      </c>
      <c r="R863" s="149" t="str">
        <f>IFERROR(__xludf.DUMMYFUNCTION("""COMPUTED_VALUE"""),"Full Self-Driving")</f>
        <v>Full Self-Driving</v>
      </c>
      <c r="S863" s="149"/>
      <c r="T863" s="145"/>
      <c r="U863" s="145" t="str">
        <f>IFERROR(__xludf.DUMMYFUNCTION("""COMPUTED_VALUE"""),"Electric!")</f>
        <v>Electric!</v>
      </c>
      <c r="V863" s="145"/>
      <c r="W863" s="145"/>
      <c r="X863" s="137" t="str">
        <f>IFERROR(__xludf.DUMMYFUNCTION("""COMPUTED_VALUE"""),"Excellent")</f>
        <v>Excellent</v>
      </c>
      <c r="Y863" s="138" t="str">
        <f>IFERROR(__xludf.DUMMYFUNCTION("""COMPUTED_VALUE"""),"Excellent")</f>
        <v>Excellent</v>
      </c>
      <c r="Z863" s="138" t="str">
        <f>IFERROR(__xludf.DUMMYFUNCTION("""COMPUTED_VALUE"""),"Excellent")</f>
        <v>Excellent</v>
      </c>
      <c r="AA863" s="138" t="str">
        <f>IFERROR(__xludf.DUMMYFUNCTION("""COMPUTED_VALUE"""),"Very Good")</f>
        <v>Very Good</v>
      </c>
      <c r="AB863" s="138" t="str">
        <f>IFERROR(__xludf.DUMMYFUNCTION("""COMPUTED_VALUE"""),"Excellent")</f>
        <v>Excellent</v>
      </c>
      <c r="AC863" s="139"/>
      <c r="AD863" s="139"/>
      <c r="AE863" s="139"/>
      <c r="AF863" s="140" t="str">
        <f>IFERROR(__xludf.DUMMYFUNCTION("""COMPUTED_VALUE"""),"No. I took delivery of the first car Tesla was able to deliver.")</f>
        <v>No. I took delivery of the first car Tesla was able to deliver.</v>
      </c>
      <c r="AG863" s="145"/>
      <c r="AH863" s="157">
        <f>IFERROR(__xludf.DUMMYFUNCTION("""COMPUTED_VALUE"""),44357.7348912963)</f>
        <v>44357.73489</v>
      </c>
      <c r="AI863" s="138"/>
      <c r="AJ863" s="138"/>
      <c r="AK863" s="138"/>
      <c r="AL863" s="142"/>
    </row>
    <row r="864" ht="20.25" customHeight="1">
      <c r="A864" s="155" t="str">
        <f>IFERROR(__xludf.DUMMYFUNCTION("""COMPUTED_VALUE"""),"ChampaBayJM")</f>
        <v>ChampaBayJM</v>
      </c>
      <c r="B864" s="149" t="str">
        <f>IFERROR(__xludf.DUMMYFUNCTION("""COMPUTED_VALUE"""),"Tampa")</f>
        <v>Tampa</v>
      </c>
      <c r="C864" s="149" t="str">
        <f>IFERROR(__xludf.DUMMYFUNCTION("""COMPUTED_VALUE"""),"FL")</f>
        <v>FL</v>
      </c>
      <c r="D864" s="149" t="str">
        <f>IFERROR(__xludf.DUMMYFUNCTION("""COMPUTED_VALUE"""),"USA")</f>
        <v>USA</v>
      </c>
      <c r="E864" s="156">
        <f>IFERROR(__xludf.DUMMYFUNCTION("""COMPUTED_VALUE"""),44290.0)</f>
        <v>44290</v>
      </c>
      <c r="F864" s="129">
        <f>IFERROR(__xludf.DUMMYFUNCTION("""COMPUTED_VALUE"""),44391.0)</f>
        <v>44391</v>
      </c>
      <c r="G864" s="154" t="str">
        <f>IFERROR(__xludf.DUMMYFUNCTION("""COMPUTED_VALUE"""),"Manage order page (normal text)")</f>
        <v>Manage order page (normal text)</v>
      </c>
      <c r="H864" s="131">
        <f>IFERROR(__xludf.DUMMYFUNCTION("""COMPUTED_VALUE"""),16455.0)</f>
        <v>16455</v>
      </c>
      <c r="I864" s="144"/>
      <c r="J864" s="129">
        <f>IFERROR(__xludf.DUMMYFUNCTION("""COMPUTED_VALUE"""),44405.0)</f>
        <v>44405</v>
      </c>
      <c r="K864" s="133">
        <f>IFERROR(__xludf.DUMMYFUNCTION("""COMPUTED_VALUE"""),101.0)</f>
        <v>101</v>
      </c>
      <c r="L864" s="133">
        <f>IFERROR(__xludf.DUMMYFUNCTION("""COMPUTED_VALUE"""),14.0)</f>
        <v>14</v>
      </c>
      <c r="M864" s="133">
        <f>IFERROR(__xludf.DUMMYFUNCTION("""COMPUTED_VALUE"""),115.0)</f>
        <v>115</v>
      </c>
      <c r="N864" s="152" t="str">
        <f>IFERROR(__xludf.DUMMYFUNCTION("""COMPUTED_VALUE"""),"Model 3 SR+")</f>
        <v>Model 3 SR+</v>
      </c>
      <c r="O864" s="152" t="str">
        <f>IFERROR(__xludf.DUMMYFUNCTION("""COMPUTED_VALUE"""),"Pearl White Multi-Coat")</f>
        <v>Pearl White Multi-Coat</v>
      </c>
      <c r="P864" s="153" t="str">
        <f>IFERROR(__xludf.DUMMYFUNCTION("""COMPUTED_VALUE"""),"18 inch")</f>
        <v>18 inch</v>
      </c>
      <c r="Q864" s="152" t="str">
        <f>IFERROR(__xludf.DUMMYFUNCTION("""COMPUTED_VALUE"""),"All Black")</f>
        <v>All Black</v>
      </c>
      <c r="R864" s="149" t="str">
        <f>IFERROR(__xludf.DUMMYFUNCTION("""COMPUTED_VALUE"""),"Autopilot included")</f>
        <v>Autopilot included</v>
      </c>
      <c r="S864" s="149" t="str">
        <f>IFERROR(__xludf.DUMMYFUNCTION("""COMPUTED_VALUE"""),"Loan")</f>
        <v>Loan</v>
      </c>
      <c r="T864" s="145" t="str">
        <f>IFERROR(__xludf.DUMMYFUNCTION("""COMPUTED_VALUE"""),"Infiniti M37")</f>
        <v>Infiniti M37</v>
      </c>
      <c r="U864" s="145" t="str">
        <f>IFERROR(__xludf.DUMMYFUNCTION("""COMPUTED_VALUE"""),"Electric!")</f>
        <v>Electric!</v>
      </c>
      <c r="V864" s="145" t="str">
        <f>IFERROR(__xludf.DUMMYFUNCTION("""COMPUTED_VALUE"""),"Apple CarPlay / Android Auto / SiriusXM Radio")</f>
        <v>Apple CarPlay / Android Auto / SiriusXM Radio</v>
      </c>
      <c r="W864" s="145" t="str">
        <f>IFERROR(__xludf.DUMMYFUNCTION("""COMPUTED_VALUE"""),"Complete the steps early, talk to your SA weekly")</f>
        <v>Complete the steps early, talk to your SA weekly</v>
      </c>
      <c r="X864" s="137"/>
      <c r="Y864" s="138"/>
      <c r="Z864" s="138"/>
      <c r="AA864" s="138"/>
      <c r="AB864" s="138"/>
      <c r="AC864" s="139"/>
      <c r="AD864" s="139"/>
      <c r="AE864" s="139"/>
      <c r="AF864" s="140"/>
      <c r="AG864" s="145"/>
      <c r="AH864" s="157">
        <f>IFERROR(__xludf.DUMMYFUNCTION("""COMPUTED_VALUE"""),44404.67326086805)</f>
        <v>44404.67326</v>
      </c>
      <c r="AI864" s="138"/>
      <c r="AJ864" s="138"/>
      <c r="AK864" s="138"/>
      <c r="AL864" s="142"/>
    </row>
    <row r="865" ht="20.25" customHeight="1">
      <c r="A865" s="155" t="str">
        <f>IFERROR(__xludf.DUMMYFUNCTION("""COMPUTED_VALUE"""),"dave2303")</f>
        <v>dave2303</v>
      </c>
      <c r="B865" s="149" t="str">
        <f>IFERROR(__xludf.DUMMYFUNCTION("""COMPUTED_VALUE"""),"San Ramon")</f>
        <v>San Ramon</v>
      </c>
      <c r="C865" s="149" t="str">
        <f>IFERROR(__xludf.DUMMYFUNCTION("""COMPUTED_VALUE"""),"CA")</f>
        <v>CA</v>
      </c>
      <c r="D865" s="149" t="str">
        <f>IFERROR(__xludf.DUMMYFUNCTION("""COMPUTED_VALUE"""),"USA")</f>
        <v>USA</v>
      </c>
      <c r="E865" s="156">
        <f>IFERROR(__xludf.DUMMYFUNCTION("""COMPUTED_VALUE"""),44290.0)</f>
        <v>44290</v>
      </c>
      <c r="F865" s="129">
        <f>IFERROR(__xludf.DUMMYFUNCTION("""COMPUTED_VALUE"""),44342.0)</f>
        <v>44342</v>
      </c>
      <c r="G865" s="154" t="str">
        <f>IFERROR(__xludf.DUMMYFUNCTION("""COMPUTED_VALUE"""),"Manage order page (normal text)")</f>
        <v>Manage order page (normal text)</v>
      </c>
      <c r="H865" s="131"/>
      <c r="I865" s="144" t="str">
        <f>IFERROR(__xludf.DUMMYFUNCTION("""COMPUTED_VALUE"""),"05/21")</f>
        <v>05/21</v>
      </c>
      <c r="J865" s="129">
        <f>IFERROR(__xludf.DUMMYFUNCTION("""COMPUTED_VALUE"""),44346.0)</f>
        <v>44346</v>
      </c>
      <c r="K865" s="133">
        <f>IFERROR(__xludf.DUMMYFUNCTION("""COMPUTED_VALUE"""),52.0)</f>
        <v>52</v>
      </c>
      <c r="L865" s="133">
        <f>IFERROR(__xludf.DUMMYFUNCTION("""COMPUTED_VALUE"""),4.0)</f>
        <v>4</v>
      </c>
      <c r="M865" s="133">
        <f>IFERROR(__xludf.DUMMYFUNCTION("""COMPUTED_VALUE"""),56.0)</f>
        <v>56</v>
      </c>
      <c r="N865" s="152" t="str">
        <f>IFERROR(__xludf.DUMMYFUNCTION("""COMPUTED_VALUE"""),"Model 3 LR AWD")</f>
        <v>Model 3 LR AWD</v>
      </c>
      <c r="O865" s="152" t="str">
        <f>IFERROR(__xludf.DUMMYFUNCTION("""COMPUTED_VALUE"""),"Pearl White Multi-Coat")</f>
        <v>Pearl White Multi-Coat</v>
      </c>
      <c r="P865" s="153" t="str">
        <f>IFERROR(__xludf.DUMMYFUNCTION("""COMPUTED_VALUE"""),"18 inch")</f>
        <v>18 inch</v>
      </c>
      <c r="Q865" s="152" t="str">
        <f>IFERROR(__xludf.DUMMYFUNCTION("""COMPUTED_VALUE"""),"All Black")</f>
        <v>All Black</v>
      </c>
      <c r="R865" s="149" t="str">
        <f>IFERROR(__xludf.DUMMYFUNCTION("""COMPUTED_VALUE"""),"Autopilot included")</f>
        <v>Autopilot included</v>
      </c>
      <c r="S865" s="149" t="str">
        <f>IFERROR(__xludf.DUMMYFUNCTION("""COMPUTED_VALUE"""),"Loan")</f>
        <v>Loan</v>
      </c>
      <c r="T865" s="145" t="str">
        <f>IFERROR(__xludf.DUMMYFUNCTION("""COMPUTED_VALUE"""),"Nissan Altima hybrid, Acura MDX")</f>
        <v>Nissan Altima hybrid, Acura MDX</v>
      </c>
      <c r="U865" s="145" t="str">
        <f>IFERROR(__xludf.DUMMYFUNCTION("""COMPUTED_VALUE"""),"Electric!")</f>
        <v>Electric!</v>
      </c>
      <c r="V865" s="145" t="str">
        <f>IFERROR(__xludf.DUMMYFUNCTION("""COMPUTED_VALUE"""),"Apple CarPlay / Android Auto / SiriusXM Radio")</f>
        <v>Apple CarPlay / Android Auto / SiriusXM Radio</v>
      </c>
      <c r="W865" s="145"/>
      <c r="X865" s="137" t="str">
        <f>IFERROR(__xludf.DUMMYFUNCTION("""COMPUTED_VALUE"""),"Very Good")</f>
        <v>Very Good</v>
      </c>
      <c r="Y865" s="138" t="str">
        <f>IFERROR(__xludf.DUMMYFUNCTION("""COMPUTED_VALUE"""),"Excellent")</f>
        <v>Excellent</v>
      </c>
      <c r="Z865" s="138" t="str">
        <f>IFERROR(__xludf.DUMMYFUNCTION("""COMPUTED_VALUE"""),"Excellent")</f>
        <v>Excellent</v>
      </c>
      <c r="AA865" s="138" t="str">
        <f>IFERROR(__xludf.DUMMYFUNCTION("""COMPUTED_VALUE"""),"Good")</f>
        <v>Good</v>
      </c>
      <c r="AB865" s="138" t="str">
        <f>IFERROR(__xludf.DUMMYFUNCTION("""COMPUTED_VALUE"""),"Excellent")</f>
        <v>Excellent</v>
      </c>
      <c r="AC865" s="139"/>
      <c r="AD865" s="139"/>
      <c r="AE865" s="139"/>
      <c r="AF865" s="140" t="str">
        <f>IFERROR(__xludf.DUMMYFUNCTION("""COMPUTED_VALUE"""),"No. I took delivery of the first car Tesla was able to deliver.")</f>
        <v>No. I took delivery of the first car Tesla was able to deliver.</v>
      </c>
      <c r="AG865" s="145"/>
      <c r="AH865" s="157">
        <f>IFERROR(__xludf.DUMMYFUNCTION("""COMPUTED_VALUE"""),44347.74119974537)</f>
        <v>44347.7412</v>
      </c>
      <c r="AI865" s="138"/>
      <c r="AJ865" s="138"/>
      <c r="AK865" s="138"/>
      <c r="AL865" s="142"/>
    </row>
    <row r="866" ht="20.25" customHeight="1">
      <c r="A866" s="155" t="str">
        <f>IFERROR(__xludf.DUMMYFUNCTION("""COMPUTED_VALUE"""),"ElMadre")</f>
        <v>ElMadre</v>
      </c>
      <c r="B866" s="149"/>
      <c r="C866" s="149" t="str">
        <f>IFERROR(__xludf.DUMMYFUNCTION("""COMPUTED_VALUE"""),"MA")</f>
        <v>MA</v>
      </c>
      <c r="D866" s="149" t="str">
        <f>IFERROR(__xludf.DUMMYFUNCTION("""COMPUTED_VALUE"""),"USA")</f>
        <v>USA</v>
      </c>
      <c r="E866" s="156">
        <f>IFERROR(__xludf.DUMMYFUNCTION("""COMPUTED_VALUE"""),44290.0)</f>
        <v>44290</v>
      </c>
      <c r="F866" s="129">
        <f>IFERROR(__xludf.DUMMYFUNCTION("""COMPUTED_VALUE"""),44306.0)</f>
        <v>44306</v>
      </c>
      <c r="G866" s="154" t="str">
        <f>IFERROR(__xludf.DUMMYFUNCTION("""COMPUTED_VALUE"""),"Manage order page (normal text)")</f>
        <v>Manage order page (normal text)</v>
      </c>
      <c r="H866" s="131"/>
      <c r="I866" s="144" t="str">
        <f>IFERROR(__xludf.DUMMYFUNCTION("""COMPUTED_VALUE"""),"04/21")</f>
        <v>04/21</v>
      </c>
      <c r="J866" s="129">
        <f>IFERROR(__xludf.DUMMYFUNCTION("""COMPUTED_VALUE"""),44324.0)</f>
        <v>44324</v>
      </c>
      <c r="K866" s="133">
        <f>IFERROR(__xludf.DUMMYFUNCTION("""COMPUTED_VALUE"""),16.0)</f>
        <v>16</v>
      </c>
      <c r="L866" s="133">
        <f>IFERROR(__xludf.DUMMYFUNCTION("""COMPUTED_VALUE"""),18.0)</f>
        <v>18</v>
      </c>
      <c r="M866" s="133">
        <f>IFERROR(__xludf.DUMMYFUNCTION("""COMPUTED_VALUE"""),34.0)</f>
        <v>34</v>
      </c>
      <c r="N866" s="152" t="str">
        <f>IFERROR(__xludf.DUMMYFUNCTION("""COMPUTED_VALUE"""),"Model 3 LR AWD")</f>
        <v>Model 3 LR AWD</v>
      </c>
      <c r="O866" s="152" t="str">
        <f>IFERROR(__xludf.DUMMYFUNCTION("""COMPUTED_VALUE"""),"Pearl White Multi-Coat")</f>
        <v>Pearl White Multi-Coat</v>
      </c>
      <c r="P866" s="153" t="str">
        <f>IFERROR(__xludf.DUMMYFUNCTION("""COMPUTED_VALUE"""),"18 inch")</f>
        <v>18 inch</v>
      </c>
      <c r="Q866" s="152" t="str">
        <f>IFERROR(__xludf.DUMMYFUNCTION("""COMPUTED_VALUE"""),"All Black")</f>
        <v>All Black</v>
      </c>
      <c r="R866" s="149" t="str">
        <f>IFERROR(__xludf.DUMMYFUNCTION("""COMPUTED_VALUE"""),"Autopilot included")</f>
        <v>Autopilot included</v>
      </c>
      <c r="S866" s="149" t="str">
        <f>IFERROR(__xludf.DUMMYFUNCTION("""COMPUTED_VALUE"""),"Cash")</f>
        <v>Cash</v>
      </c>
      <c r="T866" s="145" t="str">
        <f>IFERROR(__xludf.DUMMYFUNCTION("""COMPUTED_VALUE"""),"Ford Fusion Hybrid")</f>
        <v>Ford Fusion Hybrid</v>
      </c>
      <c r="U866" s="145" t="str">
        <f>IFERROR(__xludf.DUMMYFUNCTION("""COMPUTED_VALUE"""),"Electric!")</f>
        <v>Electric!</v>
      </c>
      <c r="V866" s="145" t="str">
        <f>IFERROR(__xludf.DUMMYFUNCTION("""COMPUTED_VALUE"""),"HomeLink")</f>
        <v>HomeLink</v>
      </c>
      <c r="W866" s="145"/>
      <c r="X866" s="137" t="str">
        <f>IFERROR(__xludf.DUMMYFUNCTION("""COMPUTED_VALUE"""),"Excellent")</f>
        <v>Excellent</v>
      </c>
      <c r="Y866" s="138" t="str">
        <f>IFERROR(__xludf.DUMMYFUNCTION("""COMPUTED_VALUE"""),"Good")</f>
        <v>Good</v>
      </c>
      <c r="Z866" s="138" t="str">
        <f>IFERROR(__xludf.DUMMYFUNCTION("""COMPUTED_VALUE"""),"Very Good")</f>
        <v>Very Good</v>
      </c>
      <c r="AA866" s="138" t="str">
        <f>IFERROR(__xludf.DUMMYFUNCTION("""COMPUTED_VALUE"""),"Very Good")</f>
        <v>Very Good</v>
      </c>
      <c r="AB866" s="138" t="str">
        <f>IFERROR(__xludf.DUMMYFUNCTION("""COMPUTED_VALUE"""),"Excellent")</f>
        <v>Excellent</v>
      </c>
      <c r="AC866" s="139">
        <f>IFERROR(__xludf.DUMMYFUNCTION("""COMPUTED_VALUE"""),1.0)</f>
        <v>1</v>
      </c>
      <c r="AD866" s="139"/>
      <c r="AE866" s="139"/>
      <c r="AF866" s="140" t="str">
        <f>IFERROR(__xludf.DUMMYFUNCTION("""COMPUTED_VALUE"""),"No. I took delivery of the first car Tesla was able to deliver.")</f>
        <v>No. I took delivery of the first car Tesla was able to deliver.</v>
      </c>
      <c r="AG866" s="145"/>
      <c r="AH866" s="157">
        <f>IFERROR(__xludf.DUMMYFUNCTION("""COMPUTED_VALUE"""),44324.44927304398)</f>
        <v>44324.44927</v>
      </c>
      <c r="AI866" s="138"/>
      <c r="AJ866" s="138"/>
      <c r="AK866" s="138"/>
      <c r="AL866" s="142"/>
    </row>
    <row r="867" ht="20.25" customHeight="1">
      <c r="A867" s="155" t="str">
        <f>IFERROR(__xludf.DUMMYFUNCTION("""COMPUTED_VALUE"""),"mosburger")</f>
        <v>mosburger</v>
      </c>
      <c r="B867" s="149" t="str">
        <f>IFERROR(__xludf.DUMMYFUNCTION("""COMPUTED_VALUE"""),"Richmond")</f>
        <v>Richmond</v>
      </c>
      <c r="C867" s="149" t="str">
        <f>IFERROR(__xludf.DUMMYFUNCTION("""COMPUTED_VALUE"""),"BC")</f>
        <v>BC</v>
      </c>
      <c r="D867" s="149" t="str">
        <f>IFERROR(__xludf.DUMMYFUNCTION("""COMPUTED_VALUE"""),"Canada")</f>
        <v>Canada</v>
      </c>
      <c r="E867" s="156">
        <f>IFERROR(__xludf.DUMMYFUNCTION("""COMPUTED_VALUE"""),44290.0)</f>
        <v>44290</v>
      </c>
      <c r="F867" s="129">
        <f>IFERROR(__xludf.DUMMYFUNCTION("""COMPUTED_VALUE"""),44303.0)</f>
        <v>44303</v>
      </c>
      <c r="G867" s="154" t="str">
        <f>IFERROR(__xludf.DUMMYFUNCTION("""COMPUTED_VALUE"""),"Text message")</f>
        <v>Text message</v>
      </c>
      <c r="H867" s="131"/>
      <c r="I867" s="144" t="str">
        <f>IFERROR(__xludf.DUMMYFUNCTION("""COMPUTED_VALUE"""),"04/21")</f>
        <v>04/21</v>
      </c>
      <c r="J867" s="129">
        <f>IFERROR(__xludf.DUMMYFUNCTION("""COMPUTED_VALUE"""),44304.0)</f>
        <v>44304</v>
      </c>
      <c r="K867" s="133">
        <f>IFERROR(__xludf.DUMMYFUNCTION("""COMPUTED_VALUE"""),13.0)</f>
        <v>13</v>
      </c>
      <c r="L867" s="133">
        <f>IFERROR(__xludf.DUMMYFUNCTION("""COMPUTED_VALUE"""),1.0)</f>
        <v>1</v>
      </c>
      <c r="M867" s="133">
        <f>IFERROR(__xludf.DUMMYFUNCTION("""COMPUTED_VALUE"""),14.0)</f>
        <v>14</v>
      </c>
      <c r="N867" s="152" t="str">
        <f>IFERROR(__xludf.DUMMYFUNCTION("""COMPUTED_VALUE"""),"Model 3 SR+")</f>
        <v>Model 3 SR+</v>
      </c>
      <c r="O867" s="152" t="str">
        <f>IFERROR(__xludf.DUMMYFUNCTION("""COMPUTED_VALUE"""),"Pearl White Multi-Coat")</f>
        <v>Pearl White Multi-Coat</v>
      </c>
      <c r="P867" s="153" t="str">
        <f>IFERROR(__xludf.DUMMYFUNCTION("""COMPUTED_VALUE"""),"18 inch")</f>
        <v>18 inch</v>
      </c>
      <c r="Q867" s="152" t="str">
        <f>IFERROR(__xludf.DUMMYFUNCTION("""COMPUTED_VALUE"""),"All Black")</f>
        <v>All Black</v>
      </c>
      <c r="R867" s="149" t="str">
        <f>IFERROR(__xludf.DUMMYFUNCTION("""COMPUTED_VALUE"""),"Autopilot included")</f>
        <v>Autopilot included</v>
      </c>
      <c r="S867" s="149" t="str">
        <f>IFERROR(__xludf.DUMMYFUNCTION("""COMPUTED_VALUE"""),"Loan")</f>
        <v>Loan</v>
      </c>
      <c r="T867" s="145"/>
      <c r="U867" s="145" t="str">
        <f>IFERROR(__xludf.DUMMYFUNCTION("""COMPUTED_VALUE"""),"Autopilot")</f>
        <v>Autopilot</v>
      </c>
      <c r="V867" s="145" t="str">
        <f>IFERROR(__xludf.DUMMYFUNCTION("""COMPUTED_VALUE"""),"360° Bird's eye view")</f>
        <v>360° Bird's eye view</v>
      </c>
      <c r="W867" s="145" t="str">
        <f>IFERROR(__xludf.DUMMYFUNCTION("""COMPUTED_VALUE"""),"Keep in touch with your sales advisor and be courteous")</f>
        <v>Keep in touch with your sales advisor and be courteous</v>
      </c>
      <c r="X867" s="137" t="str">
        <f>IFERROR(__xludf.DUMMYFUNCTION("""COMPUTED_VALUE"""),"Very Good")</f>
        <v>Very Good</v>
      </c>
      <c r="Y867" s="138" t="str">
        <f>IFERROR(__xludf.DUMMYFUNCTION("""COMPUTED_VALUE"""),"Very Good")</f>
        <v>Very Good</v>
      </c>
      <c r="Z867" s="138" t="str">
        <f>IFERROR(__xludf.DUMMYFUNCTION("""COMPUTED_VALUE"""),"Very Good")</f>
        <v>Very Good</v>
      </c>
      <c r="AA867" s="138" t="str">
        <f>IFERROR(__xludf.DUMMYFUNCTION("""COMPUTED_VALUE"""),"Excellent")</f>
        <v>Excellent</v>
      </c>
      <c r="AB867" s="138" t="str">
        <f>IFERROR(__xludf.DUMMYFUNCTION("""COMPUTED_VALUE"""),"Excellent")</f>
        <v>Excellent</v>
      </c>
      <c r="AC867" s="139">
        <f>IFERROR(__xludf.DUMMYFUNCTION("""COMPUTED_VALUE"""),2.0)</f>
        <v>2</v>
      </c>
      <c r="AD867" s="139">
        <f>IFERROR(__xludf.DUMMYFUNCTION("""COMPUTED_VALUE"""),2.0)</f>
        <v>2</v>
      </c>
      <c r="AE867" s="139">
        <f>IFERROR(__xludf.DUMMYFUNCTION("""COMPUTED_VALUE"""),0.0)</f>
        <v>0</v>
      </c>
      <c r="AF867" s="140" t="str">
        <f>IFERROR(__xludf.DUMMYFUNCTION("""COMPUTED_VALUE"""),"No. I took delivery of the first car Tesla was able to deliver.")</f>
        <v>No. I took delivery of the first car Tesla was able to deliver.</v>
      </c>
      <c r="AG867" s="145"/>
      <c r="AH867" s="157">
        <f>IFERROR(__xludf.DUMMYFUNCTION("""COMPUTED_VALUE"""),44331.05635988426)</f>
        <v>44331.05636</v>
      </c>
      <c r="AI867" s="138"/>
      <c r="AJ867" s="138"/>
      <c r="AK867" s="138"/>
      <c r="AL867" s="142"/>
    </row>
    <row r="868" ht="20.25" customHeight="1">
      <c r="A868" s="155" t="str">
        <f>IFERROR(__xludf.DUMMYFUNCTION("""COMPUTED_VALUE"""),"travis3000")</f>
        <v>travis3000</v>
      </c>
      <c r="B868" s="149" t="str">
        <f>IFERROR(__xludf.DUMMYFUNCTION("""COMPUTED_VALUE"""),"Toronto, Ontario")</f>
        <v>Toronto, Ontario</v>
      </c>
      <c r="C868" s="149" t="str">
        <f>IFERROR(__xludf.DUMMYFUNCTION("""COMPUTED_VALUE"""),"ON")</f>
        <v>ON</v>
      </c>
      <c r="D868" s="149" t="str">
        <f>IFERROR(__xludf.DUMMYFUNCTION("""COMPUTED_VALUE"""),"Canada")</f>
        <v>Canada</v>
      </c>
      <c r="E868" s="156">
        <f>IFERROR(__xludf.DUMMYFUNCTION("""COMPUTED_VALUE"""),44290.0)</f>
        <v>44290</v>
      </c>
      <c r="F868" s="129">
        <f>IFERROR(__xludf.DUMMYFUNCTION("""COMPUTED_VALUE"""),44344.0)</f>
        <v>44344</v>
      </c>
      <c r="G868" s="154" t="str">
        <f>IFERROR(__xludf.DUMMYFUNCTION("""COMPUTED_VALUE"""),"Source code")</f>
        <v>Source code</v>
      </c>
      <c r="H868" s="131"/>
      <c r="I868" s="144" t="str">
        <f>IFERROR(__xludf.DUMMYFUNCTION("""COMPUTED_VALUE"""),"05/21")</f>
        <v>05/21</v>
      </c>
      <c r="J868" s="129">
        <f>IFERROR(__xludf.DUMMYFUNCTION("""COMPUTED_VALUE"""),44354.0)</f>
        <v>44354</v>
      </c>
      <c r="K868" s="133">
        <f>IFERROR(__xludf.DUMMYFUNCTION("""COMPUTED_VALUE"""),54.0)</f>
        <v>54</v>
      </c>
      <c r="L868" s="133">
        <f>IFERROR(__xludf.DUMMYFUNCTION("""COMPUTED_VALUE"""),10.0)</f>
        <v>10</v>
      </c>
      <c r="M868" s="133">
        <f>IFERROR(__xludf.DUMMYFUNCTION("""COMPUTED_VALUE"""),64.0)</f>
        <v>64</v>
      </c>
      <c r="N868" s="152" t="str">
        <f>IFERROR(__xludf.DUMMYFUNCTION("""COMPUTED_VALUE"""),"Model 3 LR AWD")</f>
        <v>Model 3 LR AWD</v>
      </c>
      <c r="O868" s="152" t="str">
        <f>IFERROR(__xludf.DUMMYFUNCTION("""COMPUTED_VALUE"""),"Pearl White Multi-Coat")</f>
        <v>Pearl White Multi-Coat</v>
      </c>
      <c r="P868" s="153" t="str">
        <f>IFERROR(__xludf.DUMMYFUNCTION("""COMPUTED_VALUE"""),"18 inch")</f>
        <v>18 inch</v>
      </c>
      <c r="Q868" s="152" t="str">
        <f>IFERROR(__xludf.DUMMYFUNCTION("""COMPUTED_VALUE"""),"All Black")</f>
        <v>All Black</v>
      </c>
      <c r="R868" s="149" t="str">
        <f>IFERROR(__xludf.DUMMYFUNCTION("""COMPUTED_VALUE"""),"Autopilot included")</f>
        <v>Autopilot included</v>
      </c>
      <c r="S868" s="149" t="str">
        <f>IFERROR(__xludf.DUMMYFUNCTION("""COMPUTED_VALUE"""),"Loan")</f>
        <v>Loan</v>
      </c>
      <c r="T868" s="145" t="str">
        <f>IFERROR(__xludf.DUMMYFUNCTION("""COMPUTED_VALUE"""),"Honda Civic")</f>
        <v>Honda Civic</v>
      </c>
      <c r="U868" s="145" t="str">
        <f>IFERROR(__xludf.DUMMYFUNCTION("""COMPUTED_VALUE"""),"Electric!")</f>
        <v>Electric!</v>
      </c>
      <c r="V868" s="145" t="str">
        <f>IFERROR(__xludf.DUMMYFUNCTION("""COMPUTED_VALUE"""),"Ventilated seats")</f>
        <v>Ventilated seats</v>
      </c>
      <c r="W868" s="145" t="str">
        <f>IFERROR(__xludf.DUMMYFUNCTION("""COMPUTED_VALUE"""),"Be patient. It's worth it. The car is amazing")</f>
        <v>Be patient. It's worth it. The car is amazing</v>
      </c>
      <c r="X868" s="137" t="str">
        <f>IFERROR(__xludf.DUMMYFUNCTION("""COMPUTED_VALUE"""),"Excellent")</f>
        <v>Excellent</v>
      </c>
      <c r="Y868" s="138" t="str">
        <f>IFERROR(__xludf.DUMMYFUNCTION("""COMPUTED_VALUE"""),"Very Good")</f>
        <v>Very Good</v>
      </c>
      <c r="Z868" s="138" t="str">
        <f>IFERROR(__xludf.DUMMYFUNCTION("""COMPUTED_VALUE"""),"Excellent")</f>
        <v>Excellent</v>
      </c>
      <c r="AA868" s="138" t="str">
        <f>IFERROR(__xludf.DUMMYFUNCTION("""COMPUTED_VALUE"""),"Excellent")</f>
        <v>Excellent</v>
      </c>
      <c r="AB868" s="138" t="str">
        <f>IFERROR(__xludf.DUMMYFUNCTION("""COMPUTED_VALUE"""),"Very Good")</f>
        <v>Very Good</v>
      </c>
      <c r="AC868" s="139">
        <f>IFERROR(__xludf.DUMMYFUNCTION("""COMPUTED_VALUE"""),0.0)</f>
        <v>0</v>
      </c>
      <c r="AD868" s="139"/>
      <c r="AE868" s="139">
        <f>IFERROR(__xludf.DUMMYFUNCTION("""COMPUTED_VALUE"""),0.0)</f>
        <v>0</v>
      </c>
      <c r="AF868" s="140" t="str">
        <f>IFERROR(__xludf.DUMMYFUNCTION("""COMPUTED_VALUE"""),"No. I took delivery of the first car Tesla was able to deliver.")</f>
        <v>No. I took delivery of the first car Tesla was able to deliver.</v>
      </c>
      <c r="AG868" s="145"/>
      <c r="AH868" s="157">
        <f>IFERROR(__xludf.DUMMYFUNCTION("""COMPUTED_VALUE"""),44355.65443396991)</f>
        <v>44355.65443</v>
      </c>
      <c r="AI868" s="138"/>
      <c r="AJ868" s="138"/>
      <c r="AK868" s="138"/>
      <c r="AL868" s="142"/>
    </row>
    <row r="869" ht="20.25" customHeight="1">
      <c r="A869" s="155" t="str">
        <f>IFERROR(__xludf.DUMMYFUNCTION("""COMPUTED_VALUE"""),"ChampionRL")</f>
        <v>ChampionRL</v>
      </c>
      <c r="B869" s="149" t="str">
        <f>IFERROR(__xludf.DUMMYFUNCTION("""COMPUTED_VALUE"""),"Tysons")</f>
        <v>Tysons</v>
      </c>
      <c r="C869" s="149" t="str">
        <f>IFERROR(__xludf.DUMMYFUNCTION("""COMPUTED_VALUE"""),"VA")</f>
        <v>VA</v>
      </c>
      <c r="D869" s="149" t="str">
        <f>IFERROR(__xludf.DUMMYFUNCTION("""COMPUTED_VALUE"""),"USA")</f>
        <v>USA</v>
      </c>
      <c r="E869" s="156">
        <f>IFERROR(__xludf.DUMMYFUNCTION("""COMPUTED_VALUE"""),44289.0)</f>
        <v>44289</v>
      </c>
      <c r="F869" s="129">
        <f>IFERROR(__xludf.DUMMYFUNCTION("""COMPUTED_VALUE"""),44344.0)</f>
        <v>44344</v>
      </c>
      <c r="G869" s="154" t="str">
        <f>IFERROR(__xludf.DUMMYFUNCTION("""COMPUTED_VALUE"""),"Email")</f>
        <v>Email</v>
      </c>
      <c r="H869" s="131">
        <f>IFERROR(__xludf.DUMMYFUNCTION("""COMPUTED_VALUE"""),974355.0)</f>
        <v>974355</v>
      </c>
      <c r="I869" s="144"/>
      <c r="J869" s="129">
        <f>IFERROR(__xludf.DUMMYFUNCTION("""COMPUTED_VALUE"""),44345.0)</f>
        <v>44345</v>
      </c>
      <c r="K869" s="133">
        <f>IFERROR(__xludf.DUMMYFUNCTION("""COMPUTED_VALUE"""),55.0)</f>
        <v>55</v>
      </c>
      <c r="L869" s="133">
        <f>IFERROR(__xludf.DUMMYFUNCTION("""COMPUTED_VALUE"""),1.0)</f>
        <v>1</v>
      </c>
      <c r="M869" s="133">
        <f>IFERROR(__xludf.DUMMYFUNCTION("""COMPUTED_VALUE"""),56.0)</f>
        <v>56</v>
      </c>
      <c r="N869" s="152" t="str">
        <f>IFERROR(__xludf.DUMMYFUNCTION("""COMPUTED_VALUE"""),"Model 3 LR AWD")</f>
        <v>Model 3 LR AWD</v>
      </c>
      <c r="O869" s="152" t="str">
        <f>IFERROR(__xludf.DUMMYFUNCTION("""COMPUTED_VALUE"""),"Pearl White Multi-Coat")</f>
        <v>Pearl White Multi-Coat</v>
      </c>
      <c r="P869" s="153" t="str">
        <f>IFERROR(__xludf.DUMMYFUNCTION("""COMPUTED_VALUE"""),"18 inch")</f>
        <v>18 inch</v>
      </c>
      <c r="Q869" s="152" t="str">
        <f>IFERROR(__xludf.DUMMYFUNCTION("""COMPUTED_VALUE"""),"All Black")</f>
        <v>All Black</v>
      </c>
      <c r="R869" s="149" t="str">
        <f>IFERROR(__xludf.DUMMYFUNCTION("""COMPUTED_VALUE"""),"Autopilot included")</f>
        <v>Autopilot included</v>
      </c>
      <c r="S869" s="149" t="str">
        <f>IFERROR(__xludf.DUMMYFUNCTION("""COMPUTED_VALUE"""),"Loan")</f>
        <v>Loan</v>
      </c>
      <c r="T869" s="145" t="str">
        <f>IFERROR(__xludf.DUMMYFUNCTION("""COMPUTED_VALUE"""),"BMW 3 Series")</f>
        <v>BMW 3 Series</v>
      </c>
      <c r="U869" s="145" t="str">
        <f>IFERROR(__xludf.DUMMYFUNCTION("""COMPUTED_VALUE"""),"Electric!")</f>
        <v>Electric!</v>
      </c>
      <c r="V869" s="145" t="str">
        <f>IFERROR(__xludf.DUMMYFUNCTION("""COMPUTED_VALUE"""),"Air suspension")</f>
        <v>Air suspension</v>
      </c>
      <c r="W869" s="145" t="str">
        <f>IFERROR(__xludf.DUMMYFUNCTION("""COMPUTED_VALUE"""),"Quality issues are there with Tesla, but thankfully they're very very accommodating when it comes to correcting them. So don't be deterred as this is still the best car you will ever own.")</f>
        <v>Quality issues are there with Tesla, but thankfully they're very very accommodating when it comes to correcting them. So don't be deterred as this is still the best car you will ever own.</v>
      </c>
      <c r="X869" s="137" t="str">
        <f>IFERROR(__xludf.DUMMYFUNCTION("""COMPUTED_VALUE"""),"Excellent")</f>
        <v>Excellent</v>
      </c>
      <c r="Y869" s="138" t="str">
        <f>IFERROR(__xludf.DUMMYFUNCTION("""COMPUTED_VALUE"""),"Very Good")</f>
        <v>Very Good</v>
      </c>
      <c r="Z869" s="138" t="str">
        <f>IFERROR(__xludf.DUMMYFUNCTION("""COMPUTED_VALUE"""),"Good")</f>
        <v>Good</v>
      </c>
      <c r="AA869" s="138" t="str">
        <f>IFERROR(__xludf.DUMMYFUNCTION("""COMPUTED_VALUE"""),"Very Good")</f>
        <v>Very Good</v>
      </c>
      <c r="AB869" s="138" t="str">
        <f>IFERROR(__xludf.DUMMYFUNCTION("""COMPUTED_VALUE"""),"Good")</f>
        <v>Good</v>
      </c>
      <c r="AC869" s="139">
        <f>IFERROR(__xludf.DUMMYFUNCTION("""COMPUTED_VALUE"""),4.0)</f>
        <v>4</v>
      </c>
      <c r="AD869" s="139">
        <f>IFERROR(__xludf.DUMMYFUNCTION("""COMPUTED_VALUE"""),1.0)</f>
        <v>1</v>
      </c>
      <c r="AE869" s="139">
        <f>IFERROR(__xludf.DUMMYFUNCTION("""COMPUTED_VALUE"""),3.0)</f>
        <v>3</v>
      </c>
      <c r="AF869" s="140" t="str">
        <f>IFERROR(__xludf.DUMMYFUNCTION("""COMPUTED_VALUE"""),"No. I took delivery of the first car Tesla was able to deliver.")</f>
        <v>No. I took delivery of the first car Tesla was able to deliver.</v>
      </c>
      <c r="AG869" s="145"/>
      <c r="AH869" s="157">
        <f>IFERROR(__xludf.DUMMYFUNCTION("""COMPUTED_VALUE"""),44443.34725450232)</f>
        <v>44443.34725</v>
      </c>
      <c r="AI869" s="138"/>
      <c r="AJ869" s="138"/>
      <c r="AK869" s="138"/>
      <c r="AL869" s="142"/>
    </row>
    <row r="870" ht="20.25" customHeight="1">
      <c r="A870" s="155" t="str">
        <f>IFERROR(__xludf.DUMMYFUNCTION("""COMPUTED_VALUE"""),"Ty3berion")</f>
        <v>Ty3berion</v>
      </c>
      <c r="B870" s="149" t="str">
        <f>IFERROR(__xludf.DUMMYFUNCTION("""COMPUTED_VALUE"""),"Reston")</f>
        <v>Reston</v>
      </c>
      <c r="C870" s="149" t="str">
        <f>IFERROR(__xludf.DUMMYFUNCTION("""COMPUTED_VALUE"""),"VA")</f>
        <v>VA</v>
      </c>
      <c r="D870" s="149" t="str">
        <f>IFERROR(__xludf.DUMMYFUNCTION("""COMPUTED_VALUE"""),"USA")</f>
        <v>USA</v>
      </c>
      <c r="E870" s="156">
        <f>IFERROR(__xludf.DUMMYFUNCTION("""COMPUTED_VALUE"""),44289.0)</f>
        <v>44289</v>
      </c>
      <c r="F870" s="129">
        <f>IFERROR(__xludf.DUMMYFUNCTION("""COMPUTED_VALUE"""),44306.0)</f>
        <v>44306</v>
      </c>
      <c r="G870" s="154" t="str">
        <f>IFERROR(__xludf.DUMMYFUNCTION("""COMPUTED_VALUE"""),"Manage order page (normal text)")</f>
        <v>Manage order page (normal text)</v>
      </c>
      <c r="H870" s="131">
        <f>IFERROR(__xludf.DUMMYFUNCTION("""COMPUTED_VALUE"""),960855.0)</f>
        <v>960855</v>
      </c>
      <c r="I870" s="144" t="str">
        <f>IFERROR(__xludf.DUMMYFUNCTION("""COMPUTED_VALUE"""),"04/21")</f>
        <v>04/21</v>
      </c>
      <c r="J870" s="129">
        <f>IFERROR(__xludf.DUMMYFUNCTION("""COMPUTED_VALUE"""),44317.0)</f>
        <v>44317</v>
      </c>
      <c r="K870" s="133">
        <f>IFERROR(__xludf.DUMMYFUNCTION("""COMPUTED_VALUE"""),17.0)</f>
        <v>17</v>
      </c>
      <c r="L870" s="133">
        <f>IFERROR(__xludf.DUMMYFUNCTION("""COMPUTED_VALUE"""),11.0)</f>
        <v>11</v>
      </c>
      <c r="M870" s="133">
        <f>IFERROR(__xludf.DUMMYFUNCTION("""COMPUTED_VALUE"""),28.0)</f>
        <v>28</v>
      </c>
      <c r="N870" s="152" t="str">
        <f>IFERROR(__xludf.DUMMYFUNCTION("""COMPUTED_VALUE"""),"Model 3 LR AWD")</f>
        <v>Model 3 LR AWD</v>
      </c>
      <c r="O870" s="152" t="str">
        <f>IFERROR(__xludf.DUMMYFUNCTION("""COMPUTED_VALUE"""),"Pearl White Multi-Coat")</f>
        <v>Pearl White Multi-Coat</v>
      </c>
      <c r="P870" s="153" t="str">
        <f>IFERROR(__xludf.DUMMYFUNCTION("""COMPUTED_VALUE"""),"18 inch")</f>
        <v>18 inch</v>
      </c>
      <c r="Q870" s="152" t="str">
        <f>IFERROR(__xludf.DUMMYFUNCTION("""COMPUTED_VALUE"""),"All Black")</f>
        <v>All Black</v>
      </c>
      <c r="R870" s="149" t="str">
        <f>IFERROR(__xludf.DUMMYFUNCTION("""COMPUTED_VALUE"""),"Autopilot included")</f>
        <v>Autopilot included</v>
      </c>
      <c r="S870" s="149" t="str">
        <f>IFERROR(__xludf.DUMMYFUNCTION("""COMPUTED_VALUE"""),"Loan")</f>
        <v>Loan</v>
      </c>
      <c r="T870" s="145" t="str">
        <f>IFERROR(__xludf.DUMMYFUNCTION("""COMPUTED_VALUE"""),"Hyundai Sonata")</f>
        <v>Hyundai Sonata</v>
      </c>
      <c r="U870" s="145" t="str">
        <f>IFERROR(__xludf.DUMMYFUNCTION("""COMPUTED_VALUE"""),"Electric!")</f>
        <v>Electric!</v>
      </c>
      <c r="V870" s="145" t="str">
        <f>IFERROR(__xludf.DUMMYFUNCTION("""COMPUTED_VALUE"""),"Apple CarPlay / Android Auto / SiriusXM Radio")</f>
        <v>Apple CarPlay / Android Auto / SiriusXM Radio</v>
      </c>
      <c r="W870" s="145"/>
      <c r="X870" s="137" t="str">
        <f>IFERROR(__xludf.DUMMYFUNCTION("""COMPUTED_VALUE"""),"Excellent")</f>
        <v>Excellent</v>
      </c>
      <c r="Y870" s="138" t="str">
        <f>IFERROR(__xludf.DUMMYFUNCTION("""COMPUTED_VALUE"""),"Excellent")</f>
        <v>Excellent</v>
      </c>
      <c r="Z870" s="138" t="str">
        <f>IFERROR(__xludf.DUMMYFUNCTION("""COMPUTED_VALUE"""),"Excellent")</f>
        <v>Excellent</v>
      </c>
      <c r="AA870" s="138" t="str">
        <f>IFERROR(__xludf.DUMMYFUNCTION("""COMPUTED_VALUE"""),"Poor")</f>
        <v>Poor</v>
      </c>
      <c r="AB870" s="138" t="str">
        <f>IFERROR(__xludf.DUMMYFUNCTION("""COMPUTED_VALUE"""),"Fair")</f>
        <v>Fair</v>
      </c>
      <c r="AC870" s="139"/>
      <c r="AD870" s="139"/>
      <c r="AE870" s="139"/>
      <c r="AF870" s="140" t="str">
        <f>IFERROR(__xludf.DUMMYFUNCTION("""COMPUTED_VALUE"""),"No. I took delivery of the first car Tesla was able to deliver.")</f>
        <v>No. I took delivery of the first car Tesla was able to deliver.</v>
      </c>
      <c r="AG870" s="145"/>
      <c r="AH870" s="157">
        <f>IFERROR(__xludf.DUMMYFUNCTION("""COMPUTED_VALUE"""),44318.18224446759)</f>
        <v>44318.18224</v>
      </c>
      <c r="AI870" s="138"/>
      <c r="AJ870" s="138"/>
      <c r="AK870" s="138"/>
      <c r="AL870" s="142"/>
    </row>
    <row r="871" ht="20.25" customHeight="1">
      <c r="A871" s="155" t="str">
        <f>IFERROR(__xludf.DUMMYFUNCTION("""COMPUTED_VALUE"""),"zeroto325")</f>
        <v>zeroto325</v>
      </c>
      <c r="B871" s="149" t="str">
        <f>IFERROR(__xludf.DUMMYFUNCTION("""COMPUTED_VALUE"""),"Northern Virginia")</f>
        <v>Northern Virginia</v>
      </c>
      <c r="C871" s="149" t="str">
        <f>IFERROR(__xludf.DUMMYFUNCTION("""COMPUTED_VALUE"""),"VA")</f>
        <v>VA</v>
      </c>
      <c r="D871" s="149" t="str">
        <f>IFERROR(__xludf.DUMMYFUNCTION("""COMPUTED_VALUE"""),"USA")</f>
        <v>USA</v>
      </c>
      <c r="E871" s="156">
        <f>IFERROR(__xludf.DUMMYFUNCTION("""COMPUTED_VALUE"""),44289.0)</f>
        <v>44289</v>
      </c>
      <c r="F871" s="129">
        <f>IFERROR(__xludf.DUMMYFUNCTION("""COMPUTED_VALUE"""),44352.0)</f>
        <v>44352</v>
      </c>
      <c r="G871" s="154" t="str">
        <f>IFERROR(__xludf.DUMMYFUNCTION("""COMPUTED_VALUE"""),"Manage order page (normal text)")</f>
        <v>Manage order page (normal text)</v>
      </c>
      <c r="H871" s="131">
        <f>IFERROR(__xludf.DUMMYFUNCTION("""COMPUTED_VALUE"""),986955.0)</f>
        <v>986955</v>
      </c>
      <c r="I871" s="144"/>
      <c r="J871" s="129">
        <f>IFERROR(__xludf.DUMMYFUNCTION("""COMPUTED_VALUE"""),44365.0)</f>
        <v>44365</v>
      </c>
      <c r="K871" s="133">
        <f>IFERROR(__xludf.DUMMYFUNCTION("""COMPUTED_VALUE"""),63.0)</f>
        <v>63</v>
      </c>
      <c r="L871" s="133">
        <f>IFERROR(__xludf.DUMMYFUNCTION("""COMPUTED_VALUE"""),13.0)</f>
        <v>13</v>
      </c>
      <c r="M871" s="133">
        <f>IFERROR(__xludf.DUMMYFUNCTION("""COMPUTED_VALUE"""),76.0)</f>
        <v>76</v>
      </c>
      <c r="N871" s="152" t="str">
        <f>IFERROR(__xludf.DUMMYFUNCTION("""COMPUTED_VALUE"""),"Model 3 SR+")</f>
        <v>Model 3 SR+</v>
      </c>
      <c r="O871" s="152" t="str">
        <f>IFERROR(__xludf.DUMMYFUNCTION("""COMPUTED_VALUE"""),"Deep Blue Metallic")</f>
        <v>Deep Blue Metallic</v>
      </c>
      <c r="P871" s="153" t="str">
        <f>IFERROR(__xludf.DUMMYFUNCTION("""COMPUTED_VALUE"""),"18 inch")</f>
        <v>18 inch</v>
      </c>
      <c r="Q871" s="152" t="str">
        <f>IFERROR(__xludf.DUMMYFUNCTION("""COMPUTED_VALUE"""),"All Black")</f>
        <v>All Black</v>
      </c>
      <c r="R871" s="149" t="str">
        <f>IFERROR(__xludf.DUMMYFUNCTION("""COMPUTED_VALUE"""),"Autopilot included")</f>
        <v>Autopilot included</v>
      </c>
      <c r="S871" s="149" t="str">
        <f>IFERROR(__xludf.DUMMYFUNCTION("""COMPUTED_VALUE"""),"Loan")</f>
        <v>Loan</v>
      </c>
      <c r="T871" s="145"/>
      <c r="U871" s="145"/>
      <c r="V871" s="145" t="str">
        <f>IFERROR(__xludf.DUMMYFUNCTION("""COMPUTED_VALUE"""),"Ventilated seats")</f>
        <v>Ventilated seats</v>
      </c>
      <c r="W871" s="145"/>
      <c r="X871" s="137" t="str">
        <f>IFERROR(__xludf.DUMMYFUNCTION("""COMPUTED_VALUE"""),"Excellent")</f>
        <v>Excellent</v>
      </c>
      <c r="Y871" s="138" t="str">
        <f>IFERROR(__xludf.DUMMYFUNCTION("""COMPUTED_VALUE"""),"Very Good")</f>
        <v>Very Good</v>
      </c>
      <c r="Z871" s="138" t="str">
        <f>IFERROR(__xludf.DUMMYFUNCTION("""COMPUTED_VALUE"""),"Good")</f>
        <v>Good</v>
      </c>
      <c r="AA871" s="138" t="str">
        <f>IFERROR(__xludf.DUMMYFUNCTION("""COMPUTED_VALUE"""),"Very Good")</f>
        <v>Very Good</v>
      </c>
      <c r="AB871" s="138" t="str">
        <f>IFERROR(__xludf.DUMMYFUNCTION("""COMPUTED_VALUE"""),"Excellent")</f>
        <v>Excellent</v>
      </c>
      <c r="AC871" s="139">
        <f>IFERROR(__xludf.DUMMYFUNCTION("""COMPUTED_VALUE"""),3.0)</f>
        <v>3</v>
      </c>
      <c r="AD871" s="139">
        <f>IFERROR(__xludf.DUMMYFUNCTION("""COMPUTED_VALUE"""),1.0)</f>
        <v>1</v>
      </c>
      <c r="AE871" s="139">
        <f>IFERROR(__xludf.DUMMYFUNCTION("""COMPUTED_VALUE"""),1.0)</f>
        <v>1</v>
      </c>
      <c r="AF871" s="140" t="str">
        <f>IFERROR(__xludf.DUMMYFUNCTION("""COMPUTED_VALUE"""),"No. I took delivery of the first car Tesla was able to deliver.")</f>
        <v>No. I took delivery of the first car Tesla was able to deliver.</v>
      </c>
      <c r="AG871" s="145"/>
      <c r="AH871" s="157">
        <f>IFERROR(__xludf.DUMMYFUNCTION("""COMPUTED_VALUE"""),44366.45214293981)</f>
        <v>44366.45214</v>
      </c>
      <c r="AI871" s="138"/>
      <c r="AJ871" s="138"/>
      <c r="AK871" s="138"/>
      <c r="AL871" s="142"/>
    </row>
    <row r="872" ht="20.25" customHeight="1">
      <c r="A872" s="155" t="str">
        <f>IFERROR(__xludf.DUMMYFUNCTION("""COMPUTED_VALUE"""),"Cowtastic")</f>
        <v>Cowtastic</v>
      </c>
      <c r="B872" s="149" t="str">
        <f>IFERROR(__xludf.DUMMYFUNCTION("""COMPUTED_VALUE"""),"Portland")</f>
        <v>Portland</v>
      </c>
      <c r="C872" s="149" t="str">
        <f>IFERROR(__xludf.DUMMYFUNCTION("""COMPUTED_VALUE"""),"OR")</f>
        <v>OR</v>
      </c>
      <c r="D872" s="149" t="str">
        <f>IFERROR(__xludf.DUMMYFUNCTION("""COMPUTED_VALUE"""),"USA")</f>
        <v>USA</v>
      </c>
      <c r="E872" s="156">
        <f>IFERROR(__xludf.DUMMYFUNCTION("""COMPUTED_VALUE"""),44288.0)</f>
        <v>44288</v>
      </c>
      <c r="F872" s="129">
        <f>IFERROR(__xludf.DUMMYFUNCTION("""COMPUTED_VALUE"""),44345.0)</f>
        <v>44345</v>
      </c>
      <c r="G872" s="154" t="str">
        <f>IFERROR(__xludf.DUMMYFUNCTION("""COMPUTED_VALUE"""),"Manage order page (normal text)")</f>
        <v>Manage order page (normal text)</v>
      </c>
      <c r="H872" s="131">
        <f>IFERROR(__xludf.DUMMYFUNCTION("""COMPUTED_VALUE"""),979855.0)</f>
        <v>979855</v>
      </c>
      <c r="I872" s="144" t="str">
        <f>IFERROR(__xludf.DUMMYFUNCTION("""COMPUTED_VALUE"""),"05/21")</f>
        <v>05/21</v>
      </c>
      <c r="J872" s="129">
        <f>IFERROR(__xludf.DUMMYFUNCTION("""COMPUTED_VALUE"""),44352.0)</f>
        <v>44352</v>
      </c>
      <c r="K872" s="133">
        <f>IFERROR(__xludf.DUMMYFUNCTION("""COMPUTED_VALUE"""),57.0)</f>
        <v>57</v>
      </c>
      <c r="L872" s="133">
        <f>IFERROR(__xludf.DUMMYFUNCTION("""COMPUTED_VALUE"""),7.0)</f>
        <v>7</v>
      </c>
      <c r="M872" s="133">
        <f>IFERROR(__xludf.DUMMYFUNCTION("""COMPUTED_VALUE"""),64.0)</f>
        <v>64</v>
      </c>
      <c r="N872" s="152" t="str">
        <f>IFERROR(__xludf.DUMMYFUNCTION("""COMPUTED_VALUE"""),"Model 3 LR AWD")</f>
        <v>Model 3 LR AWD</v>
      </c>
      <c r="O872" s="152" t="str">
        <f>IFERROR(__xludf.DUMMYFUNCTION("""COMPUTED_VALUE"""),"Deep Blue Metallic")</f>
        <v>Deep Blue Metallic</v>
      </c>
      <c r="P872" s="153" t="str">
        <f>IFERROR(__xludf.DUMMYFUNCTION("""COMPUTED_VALUE"""),"18 inch")</f>
        <v>18 inch</v>
      </c>
      <c r="Q872" s="152" t="str">
        <f>IFERROR(__xludf.DUMMYFUNCTION("""COMPUTED_VALUE"""),"All Black")</f>
        <v>All Black</v>
      </c>
      <c r="R872" s="149" t="str">
        <f>IFERROR(__xludf.DUMMYFUNCTION("""COMPUTED_VALUE"""),"Autopilot included")</f>
        <v>Autopilot included</v>
      </c>
      <c r="S872" s="149" t="str">
        <f>IFERROR(__xludf.DUMMYFUNCTION("""COMPUTED_VALUE"""),"Loan")</f>
        <v>Loan</v>
      </c>
      <c r="T872" s="145" t="str">
        <f>IFERROR(__xludf.DUMMYFUNCTION("""COMPUTED_VALUE"""),"Mazda 6")</f>
        <v>Mazda 6</v>
      </c>
      <c r="U872" s="145" t="str">
        <f>IFERROR(__xludf.DUMMYFUNCTION("""COMPUTED_VALUE"""),"Electric!")</f>
        <v>Electric!</v>
      </c>
      <c r="V872" s="145" t="str">
        <f>IFERROR(__xludf.DUMMYFUNCTION("""COMPUTED_VALUE"""),"Apple CarPlay / Android Auto / SiriusXM Radio")</f>
        <v>Apple CarPlay / Android Auto / SiriusXM Radio</v>
      </c>
      <c r="W872" s="145"/>
      <c r="X872" s="137" t="str">
        <f>IFERROR(__xludf.DUMMYFUNCTION("""COMPUTED_VALUE"""),"Very Good")</f>
        <v>Very Good</v>
      </c>
      <c r="Y872" s="138" t="str">
        <f>IFERROR(__xludf.DUMMYFUNCTION("""COMPUTED_VALUE"""),"Very Good")</f>
        <v>Very Good</v>
      </c>
      <c r="Z872" s="138" t="str">
        <f>IFERROR(__xludf.DUMMYFUNCTION("""COMPUTED_VALUE"""),"Very Good")</f>
        <v>Very Good</v>
      </c>
      <c r="AA872" s="138" t="str">
        <f>IFERROR(__xludf.DUMMYFUNCTION("""COMPUTED_VALUE"""),"Excellent")</f>
        <v>Excellent</v>
      </c>
      <c r="AB872" s="138" t="str">
        <f>IFERROR(__xludf.DUMMYFUNCTION("""COMPUTED_VALUE"""),"Excellent")</f>
        <v>Excellent</v>
      </c>
      <c r="AC872" s="139">
        <f>IFERROR(__xludf.DUMMYFUNCTION("""COMPUTED_VALUE"""),2.0)</f>
        <v>2</v>
      </c>
      <c r="AD872" s="139"/>
      <c r="AE872" s="139"/>
      <c r="AF872" s="140" t="str">
        <f>IFERROR(__xludf.DUMMYFUNCTION("""COMPUTED_VALUE"""),"No. I took delivery of the first car Tesla was able to deliver.")</f>
        <v>No. I took delivery of the first car Tesla was able to deliver.</v>
      </c>
      <c r="AG872" s="145"/>
      <c r="AH872" s="157">
        <f>IFERROR(__xludf.DUMMYFUNCTION("""COMPUTED_VALUE"""),44368.96584547454)</f>
        <v>44368.96585</v>
      </c>
      <c r="AI872" s="138"/>
      <c r="AJ872" s="138"/>
      <c r="AK872" s="138"/>
      <c r="AL872" s="142"/>
    </row>
    <row r="873" ht="20.25" customHeight="1">
      <c r="A873" s="155" t="str">
        <f>IFERROR(__xludf.DUMMYFUNCTION("""COMPUTED_VALUE"""),"Gregoryj")</f>
        <v>Gregoryj</v>
      </c>
      <c r="B873" s="149" t="str">
        <f>IFERROR(__xludf.DUMMYFUNCTION("""COMPUTED_VALUE"""),"Lac Du Bonnet")</f>
        <v>Lac Du Bonnet</v>
      </c>
      <c r="C873" s="149" t="str">
        <f>IFERROR(__xludf.DUMMYFUNCTION("""COMPUTED_VALUE"""),"MB")</f>
        <v>MB</v>
      </c>
      <c r="D873" s="149" t="str">
        <f>IFERROR(__xludf.DUMMYFUNCTION("""COMPUTED_VALUE"""),"Canada")</f>
        <v>Canada</v>
      </c>
      <c r="E873" s="156">
        <f>IFERROR(__xludf.DUMMYFUNCTION("""COMPUTED_VALUE"""),44288.0)</f>
        <v>44288</v>
      </c>
      <c r="F873" s="129">
        <f>IFERROR(__xludf.DUMMYFUNCTION("""COMPUTED_VALUE"""),44420.0)</f>
        <v>44420</v>
      </c>
      <c r="G873" s="154" t="str">
        <f>IFERROR(__xludf.DUMMYFUNCTION("""COMPUTED_VALUE"""),"Source code")</f>
        <v>Source code</v>
      </c>
      <c r="H873" s="131">
        <f>IFERROR(__xludf.DUMMYFUNCTION("""COMPUTED_VALUE"""),34155.0)</f>
        <v>34155</v>
      </c>
      <c r="I873" s="144" t="str">
        <f>IFERROR(__xludf.DUMMYFUNCTION("""COMPUTED_VALUE"""),"08/21")</f>
        <v>08/21</v>
      </c>
      <c r="J873" s="129">
        <f>IFERROR(__xludf.DUMMYFUNCTION("""COMPUTED_VALUE"""),44433.0)</f>
        <v>44433</v>
      </c>
      <c r="K873" s="133">
        <f>IFERROR(__xludf.DUMMYFUNCTION("""COMPUTED_VALUE"""),132.0)</f>
        <v>132</v>
      </c>
      <c r="L873" s="133">
        <f>IFERROR(__xludf.DUMMYFUNCTION("""COMPUTED_VALUE"""),13.0)</f>
        <v>13</v>
      </c>
      <c r="M873" s="133">
        <f>IFERROR(__xludf.DUMMYFUNCTION("""COMPUTED_VALUE"""),145.0)</f>
        <v>145</v>
      </c>
      <c r="N873" s="152" t="str">
        <f>IFERROR(__xludf.DUMMYFUNCTION("""COMPUTED_VALUE"""),"Model 3 LR AWD")</f>
        <v>Model 3 LR AWD</v>
      </c>
      <c r="O873" s="152" t="str">
        <f>IFERROR(__xludf.DUMMYFUNCTION("""COMPUTED_VALUE"""),"Solid Black")</f>
        <v>Solid Black</v>
      </c>
      <c r="P873" s="153" t="str">
        <f>IFERROR(__xludf.DUMMYFUNCTION("""COMPUTED_VALUE"""),"18 inch")</f>
        <v>18 inch</v>
      </c>
      <c r="Q873" s="152" t="str">
        <f>IFERROR(__xludf.DUMMYFUNCTION("""COMPUTED_VALUE"""),"All Black")</f>
        <v>All Black</v>
      </c>
      <c r="R873" s="149" t="str">
        <f>IFERROR(__xludf.DUMMYFUNCTION("""COMPUTED_VALUE"""),"Autopilot included")</f>
        <v>Autopilot included</v>
      </c>
      <c r="S873" s="149" t="str">
        <f>IFERROR(__xludf.DUMMYFUNCTION("""COMPUTED_VALUE"""),"Cash")</f>
        <v>Cash</v>
      </c>
      <c r="T873" s="145" t="str">
        <f>IFERROR(__xludf.DUMMYFUNCTION("""COMPUTED_VALUE"""),"Chevy Impala")</f>
        <v>Chevy Impala</v>
      </c>
      <c r="U873" s="145" t="str">
        <f>IFERROR(__xludf.DUMMYFUNCTION("""COMPUTED_VALUE"""),"Electric!")</f>
        <v>Electric!</v>
      </c>
      <c r="V873" s="145" t="str">
        <f>IFERROR(__xludf.DUMMYFUNCTION("""COMPUTED_VALUE"""),"Dashboard")</f>
        <v>Dashboard</v>
      </c>
      <c r="W873" s="145" t="str">
        <f>IFERROR(__xludf.DUMMYFUNCTION("""COMPUTED_VALUE"""),"If EDD waiting gets extremely long like mine did, starting watching inventory")</f>
        <v>If EDD waiting gets extremely long like mine did, starting watching inventory</v>
      </c>
      <c r="X873" s="137" t="str">
        <f>IFERROR(__xludf.DUMMYFUNCTION("""COMPUTED_VALUE"""),"Excellent")</f>
        <v>Excellent</v>
      </c>
      <c r="Y873" s="138" t="str">
        <f>IFERROR(__xludf.DUMMYFUNCTION("""COMPUTED_VALUE"""),"Excellent")</f>
        <v>Excellent</v>
      </c>
      <c r="Z873" s="138" t="str">
        <f>IFERROR(__xludf.DUMMYFUNCTION("""COMPUTED_VALUE"""),"Excellent")</f>
        <v>Excellent</v>
      </c>
      <c r="AA873" s="138" t="str">
        <f>IFERROR(__xludf.DUMMYFUNCTION("""COMPUTED_VALUE"""),"Excellent")</f>
        <v>Excellent</v>
      </c>
      <c r="AB873" s="138" t="str">
        <f>IFERROR(__xludf.DUMMYFUNCTION("""COMPUTED_VALUE"""),"Excellent")</f>
        <v>Excellent</v>
      </c>
      <c r="AC873" s="139"/>
      <c r="AD873" s="139"/>
      <c r="AE873" s="139"/>
      <c r="AF873" s="140"/>
      <c r="AG873" s="145" t="str">
        <f>IFERROR(__xludf.DUMMYFUNCTION("""COMPUTED_VALUE"""),"Found a M3 in inventory")</f>
        <v>Found a M3 in inventory</v>
      </c>
      <c r="AH873" s="157">
        <f>IFERROR(__xludf.DUMMYFUNCTION("""COMPUTED_VALUE"""),44434.81581475695)</f>
        <v>44434.81581</v>
      </c>
      <c r="AI873" s="138"/>
      <c r="AJ873" s="138"/>
      <c r="AK873" s="138"/>
      <c r="AL873" s="142"/>
    </row>
    <row r="874" ht="20.25" customHeight="1">
      <c r="A874" s="155" t="str">
        <f>IFERROR(__xludf.DUMMYFUNCTION("""COMPUTED_VALUE"""),"Caarod")</f>
        <v>Caarod</v>
      </c>
      <c r="B874" s="149" t="str">
        <f>IFERROR(__xludf.DUMMYFUNCTION("""COMPUTED_VALUE"""),"Orlando")</f>
        <v>Orlando</v>
      </c>
      <c r="C874" s="149" t="str">
        <f>IFERROR(__xludf.DUMMYFUNCTION("""COMPUTED_VALUE"""),"FL")</f>
        <v>FL</v>
      </c>
      <c r="D874" s="149" t="str">
        <f>IFERROR(__xludf.DUMMYFUNCTION("""COMPUTED_VALUE"""),"USA")</f>
        <v>USA</v>
      </c>
      <c r="E874" s="156">
        <f>IFERROR(__xludf.DUMMYFUNCTION("""COMPUTED_VALUE"""),44287.0)</f>
        <v>44287</v>
      </c>
      <c r="F874" s="129">
        <f>IFERROR(__xludf.DUMMYFUNCTION("""COMPUTED_VALUE"""),44345.0)</f>
        <v>44345</v>
      </c>
      <c r="G874" s="154" t="str">
        <f>IFERROR(__xludf.DUMMYFUNCTION("""COMPUTED_VALUE"""),"Manage order page (normal text)")</f>
        <v>Manage order page (normal text)</v>
      </c>
      <c r="H874" s="131"/>
      <c r="I874" s="144"/>
      <c r="J874" s="129">
        <f>IFERROR(__xludf.DUMMYFUNCTION("""COMPUTED_VALUE"""),44351.0)</f>
        <v>44351</v>
      </c>
      <c r="K874" s="133">
        <f>IFERROR(__xludf.DUMMYFUNCTION("""COMPUTED_VALUE"""),58.0)</f>
        <v>58</v>
      </c>
      <c r="L874" s="133">
        <f>IFERROR(__xludf.DUMMYFUNCTION("""COMPUTED_VALUE"""),6.0)</f>
        <v>6</v>
      </c>
      <c r="M874" s="133">
        <f>IFERROR(__xludf.DUMMYFUNCTION("""COMPUTED_VALUE"""),64.0)</f>
        <v>64</v>
      </c>
      <c r="N874" s="152" t="str">
        <f>IFERROR(__xludf.DUMMYFUNCTION("""COMPUTED_VALUE"""),"Model 3 LR AWD")</f>
        <v>Model 3 LR AWD</v>
      </c>
      <c r="O874" s="152" t="str">
        <f>IFERROR(__xludf.DUMMYFUNCTION("""COMPUTED_VALUE"""),"Pearl White Multi-Coat")</f>
        <v>Pearl White Multi-Coat</v>
      </c>
      <c r="P874" s="153" t="str">
        <f>IFERROR(__xludf.DUMMYFUNCTION("""COMPUTED_VALUE"""),"19 inch")</f>
        <v>19 inch</v>
      </c>
      <c r="Q874" s="152" t="str">
        <f>IFERROR(__xludf.DUMMYFUNCTION("""COMPUTED_VALUE"""),"All Black")</f>
        <v>All Black</v>
      </c>
      <c r="R874" s="149" t="str">
        <f>IFERROR(__xludf.DUMMYFUNCTION("""COMPUTED_VALUE"""),"Autopilot included")</f>
        <v>Autopilot included</v>
      </c>
      <c r="S874" s="149" t="str">
        <f>IFERROR(__xludf.DUMMYFUNCTION("""COMPUTED_VALUE"""),"Loan")</f>
        <v>Loan</v>
      </c>
      <c r="T874" s="145" t="str">
        <f>IFERROR(__xludf.DUMMYFUNCTION("""COMPUTED_VALUE"""),"Lexus IS250")</f>
        <v>Lexus IS250</v>
      </c>
      <c r="U874" s="145" t="str">
        <f>IFERROR(__xludf.DUMMYFUNCTION("""COMPUTED_VALUE"""),"Electric!")</f>
        <v>Electric!</v>
      </c>
      <c r="V874" s="145" t="str">
        <f>IFERROR(__xludf.DUMMYFUNCTION("""COMPUTED_VALUE"""),"Apple CarPlay / Android Auto / SiriusXM Radio")</f>
        <v>Apple CarPlay / Android Auto / SiriusXM Radio</v>
      </c>
      <c r="W874" s="145" t="str">
        <f>IFERROR(__xludf.DUMMYFUNCTION("""COMPUTED_VALUE"""),"be patient")</f>
        <v>be patient</v>
      </c>
      <c r="X874" s="137"/>
      <c r="Y874" s="138"/>
      <c r="Z874" s="138"/>
      <c r="AA874" s="138"/>
      <c r="AB874" s="138"/>
      <c r="AC874" s="139"/>
      <c r="AD874" s="139"/>
      <c r="AE874" s="139"/>
      <c r="AF874" s="140"/>
      <c r="AG874" s="145"/>
      <c r="AH874" s="157">
        <f>IFERROR(__xludf.DUMMYFUNCTION("""COMPUTED_VALUE"""),44345.79431670139)</f>
        <v>44345.79432</v>
      </c>
      <c r="AI874" s="138"/>
      <c r="AJ874" s="138"/>
      <c r="AK874" s="138"/>
      <c r="AL874" s="142"/>
    </row>
    <row r="875" ht="20.25" customHeight="1">
      <c r="A875" s="155" t="str">
        <f>IFERROR(__xludf.DUMMYFUNCTION("""COMPUTED_VALUE"""),"J_Nixon")</f>
        <v>J_Nixon</v>
      </c>
      <c r="B875" s="149" t="str">
        <f>IFERROR(__xludf.DUMMYFUNCTION("""COMPUTED_VALUE"""),"Milan")</f>
        <v>Milan</v>
      </c>
      <c r="C875" s="149" t="str">
        <f>IFERROR(__xludf.DUMMYFUNCTION("""COMPUTED_VALUE"""),"NH")</f>
        <v>NH</v>
      </c>
      <c r="D875" s="149" t="str">
        <f>IFERROR(__xludf.DUMMYFUNCTION("""COMPUTED_VALUE"""),"USA")</f>
        <v>USA</v>
      </c>
      <c r="E875" s="156">
        <f>IFERROR(__xludf.DUMMYFUNCTION("""COMPUTED_VALUE"""),44287.0)</f>
        <v>44287</v>
      </c>
      <c r="F875" s="129">
        <f>IFERROR(__xludf.DUMMYFUNCTION("""COMPUTED_VALUE"""),44344.0)</f>
        <v>44344</v>
      </c>
      <c r="G875" s="154" t="str">
        <f>IFERROR(__xludf.DUMMYFUNCTION("""COMPUTED_VALUE"""),"Manage order page (normal text)")</f>
        <v>Manage order page (normal text)</v>
      </c>
      <c r="H875" s="131">
        <f>IFERROR(__xludf.DUMMYFUNCTION("""COMPUTED_VALUE"""),975660.0)</f>
        <v>975660</v>
      </c>
      <c r="I875" s="144" t="str">
        <f>IFERROR(__xludf.DUMMYFUNCTION("""COMPUTED_VALUE"""),"05/21")</f>
        <v>05/21</v>
      </c>
      <c r="J875" s="129">
        <f>IFERROR(__xludf.DUMMYFUNCTION("""COMPUTED_VALUE"""),44348.0)</f>
        <v>44348</v>
      </c>
      <c r="K875" s="133">
        <f>IFERROR(__xludf.DUMMYFUNCTION("""COMPUTED_VALUE"""),57.0)</f>
        <v>57</v>
      </c>
      <c r="L875" s="133">
        <f>IFERROR(__xludf.DUMMYFUNCTION("""COMPUTED_VALUE"""),4.0)</f>
        <v>4</v>
      </c>
      <c r="M875" s="133">
        <f>IFERROR(__xludf.DUMMYFUNCTION("""COMPUTED_VALUE"""),61.0)</f>
        <v>61</v>
      </c>
      <c r="N875" s="152" t="str">
        <f>IFERROR(__xludf.DUMMYFUNCTION("""COMPUTED_VALUE"""),"Model 3 LR AWD")</f>
        <v>Model 3 LR AWD</v>
      </c>
      <c r="O875" s="152" t="str">
        <f>IFERROR(__xludf.DUMMYFUNCTION("""COMPUTED_VALUE"""),"Midnight Silver Metallic")</f>
        <v>Midnight Silver Metallic</v>
      </c>
      <c r="P875" s="153" t="str">
        <f>IFERROR(__xludf.DUMMYFUNCTION("""COMPUTED_VALUE"""),"18 inch")</f>
        <v>18 inch</v>
      </c>
      <c r="Q875" s="152" t="str">
        <f>IFERROR(__xludf.DUMMYFUNCTION("""COMPUTED_VALUE"""),"Black and White")</f>
        <v>Black and White</v>
      </c>
      <c r="R875" s="149" t="str">
        <f>IFERROR(__xludf.DUMMYFUNCTION("""COMPUTED_VALUE"""),"Autopilot included")</f>
        <v>Autopilot included</v>
      </c>
      <c r="S875" s="149" t="str">
        <f>IFERROR(__xludf.DUMMYFUNCTION("""COMPUTED_VALUE"""),"Loan")</f>
        <v>Loan</v>
      </c>
      <c r="T875" s="145" t="str">
        <f>IFERROR(__xludf.DUMMYFUNCTION("""COMPUTED_VALUE"""),"Lexus LC500")</f>
        <v>Lexus LC500</v>
      </c>
      <c r="U875" s="145" t="str">
        <f>IFERROR(__xludf.DUMMYFUNCTION("""COMPUTED_VALUE"""),"Electric!")</f>
        <v>Electric!</v>
      </c>
      <c r="V875" s="145" t="str">
        <f>IFERROR(__xludf.DUMMYFUNCTION("""COMPUTED_VALUE"""),"Ventilated seats")</f>
        <v>Ventilated seats</v>
      </c>
      <c r="W875" s="145" t="str">
        <f>IFERROR(__xludf.DUMMYFUNCTION("""COMPUTED_VALUE"""),"From order to delivery, it is an arduous experience, but the car makes up for it")</f>
        <v>From order to delivery, it is an arduous experience, but the car makes up for it</v>
      </c>
      <c r="X875" s="137" t="str">
        <f>IFERROR(__xludf.DUMMYFUNCTION("""COMPUTED_VALUE"""),"Fair")</f>
        <v>Fair</v>
      </c>
      <c r="Y875" s="138" t="str">
        <f>IFERROR(__xludf.DUMMYFUNCTION("""COMPUTED_VALUE"""),"Good")</f>
        <v>Good</v>
      </c>
      <c r="Z875" s="138" t="str">
        <f>IFERROR(__xludf.DUMMYFUNCTION("""COMPUTED_VALUE"""),"Excellent")</f>
        <v>Excellent</v>
      </c>
      <c r="AA875" s="138" t="str">
        <f>IFERROR(__xludf.DUMMYFUNCTION("""COMPUTED_VALUE"""),"Poor")</f>
        <v>Poor</v>
      </c>
      <c r="AB875" s="138" t="str">
        <f>IFERROR(__xludf.DUMMYFUNCTION("""COMPUTED_VALUE"""),"Poor")</f>
        <v>Poor</v>
      </c>
      <c r="AC875" s="139">
        <f>IFERROR(__xludf.DUMMYFUNCTION("""COMPUTED_VALUE"""),1.0)</f>
        <v>1</v>
      </c>
      <c r="AD875" s="139">
        <f>IFERROR(__xludf.DUMMYFUNCTION("""COMPUTED_VALUE"""),0.0)</f>
        <v>0</v>
      </c>
      <c r="AE875" s="139">
        <f>IFERROR(__xludf.DUMMYFUNCTION("""COMPUTED_VALUE"""),0.0)</f>
        <v>0</v>
      </c>
      <c r="AF875" s="140" t="str">
        <f>IFERROR(__xludf.DUMMYFUNCTION("""COMPUTED_VALUE"""),"No. I took delivery of the first car Tesla was able to deliver.")</f>
        <v>No. I took delivery of the first car Tesla was able to deliver.</v>
      </c>
      <c r="AG875" s="145"/>
      <c r="AH875" s="157">
        <f>IFERROR(__xludf.DUMMYFUNCTION("""COMPUTED_VALUE"""),44349.62411582176)</f>
        <v>44349.62412</v>
      </c>
      <c r="AI875" s="138"/>
      <c r="AJ875" s="138"/>
      <c r="AK875" s="138"/>
      <c r="AL875" s="142"/>
    </row>
    <row r="876" ht="20.25" customHeight="1">
      <c r="A876" s="155" t="str">
        <f>IFERROR(__xludf.DUMMYFUNCTION("""COMPUTED_VALUE"""),"roywo")</f>
        <v>roywo</v>
      </c>
      <c r="B876" s="149" t="str">
        <f>IFERROR(__xludf.DUMMYFUNCTION("""COMPUTED_VALUE"""),"Redmond")</f>
        <v>Redmond</v>
      </c>
      <c r="C876" s="149" t="str">
        <f>IFERROR(__xludf.DUMMYFUNCTION("""COMPUTED_VALUE"""),"WA")</f>
        <v>WA</v>
      </c>
      <c r="D876" s="149" t="str">
        <f>IFERROR(__xludf.DUMMYFUNCTION("""COMPUTED_VALUE"""),"USA")</f>
        <v>USA</v>
      </c>
      <c r="E876" s="156">
        <f>IFERROR(__xludf.DUMMYFUNCTION("""COMPUTED_VALUE"""),44287.0)</f>
        <v>44287</v>
      </c>
      <c r="F876" s="129">
        <f>IFERROR(__xludf.DUMMYFUNCTION("""COMPUTED_VALUE"""),44342.0)</f>
        <v>44342</v>
      </c>
      <c r="G876" s="154" t="str">
        <f>IFERROR(__xludf.DUMMYFUNCTION("""COMPUTED_VALUE"""),"Manage order page (normal text)")</f>
        <v>Manage order page (normal text)</v>
      </c>
      <c r="H876" s="131"/>
      <c r="I876" s="144" t="str">
        <f>IFERROR(__xludf.DUMMYFUNCTION("""COMPUTED_VALUE"""),"05/21")</f>
        <v>05/21</v>
      </c>
      <c r="J876" s="129">
        <f>IFERROR(__xludf.DUMMYFUNCTION("""COMPUTED_VALUE"""),44349.0)</f>
        <v>44349</v>
      </c>
      <c r="K876" s="133">
        <f>IFERROR(__xludf.DUMMYFUNCTION("""COMPUTED_VALUE"""),55.0)</f>
        <v>55</v>
      </c>
      <c r="L876" s="133">
        <f>IFERROR(__xludf.DUMMYFUNCTION("""COMPUTED_VALUE"""),7.0)</f>
        <v>7</v>
      </c>
      <c r="M876" s="133">
        <f>IFERROR(__xludf.DUMMYFUNCTION("""COMPUTED_VALUE"""),62.0)</f>
        <v>62</v>
      </c>
      <c r="N876" s="152" t="str">
        <f>IFERROR(__xludf.DUMMYFUNCTION("""COMPUTED_VALUE"""),"Model 3 LR AWD")</f>
        <v>Model 3 LR AWD</v>
      </c>
      <c r="O876" s="152" t="str">
        <f>IFERROR(__xludf.DUMMYFUNCTION("""COMPUTED_VALUE"""),"Deep Blue Metallic")</f>
        <v>Deep Blue Metallic</v>
      </c>
      <c r="P876" s="153" t="str">
        <f>IFERROR(__xludf.DUMMYFUNCTION("""COMPUTED_VALUE"""),"18 inch")</f>
        <v>18 inch</v>
      </c>
      <c r="Q876" s="152" t="str">
        <f>IFERROR(__xludf.DUMMYFUNCTION("""COMPUTED_VALUE"""),"All Black")</f>
        <v>All Black</v>
      </c>
      <c r="R876" s="149" t="str">
        <f>IFERROR(__xludf.DUMMYFUNCTION("""COMPUTED_VALUE"""),"Autopilot included")</f>
        <v>Autopilot included</v>
      </c>
      <c r="S876" s="149" t="str">
        <f>IFERROR(__xludf.DUMMYFUNCTION("""COMPUTED_VALUE"""),"Loan")</f>
        <v>Loan</v>
      </c>
      <c r="T876" s="145"/>
      <c r="U876" s="145" t="str">
        <f>IFERROR(__xludf.DUMMYFUNCTION("""COMPUTED_VALUE"""),"Electric!")</f>
        <v>Electric!</v>
      </c>
      <c r="V876" s="145" t="str">
        <f>IFERROR(__xludf.DUMMYFUNCTION("""COMPUTED_VALUE"""),"Head-up display")</f>
        <v>Head-up display</v>
      </c>
      <c r="W876" s="145"/>
      <c r="X876" s="137" t="str">
        <f>IFERROR(__xludf.DUMMYFUNCTION("""COMPUTED_VALUE"""),"Excellent")</f>
        <v>Excellent</v>
      </c>
      <c r="Y876" s="138" t="str">
        <f>IFERROR(__xludf.DUMMYFUNCTION("""COMPUTED_VALUE"""),"Excellent")</f>
        <v>Excellent</v>
      </c>
      <c r="Z876" s="138" t="str">
        <f>IFERROR(__xludf.DUMMYFUNCTION("""COMPUTED_VALUE"""),"Excellent")</f>
        <v>Excellent</v>
      </c>
      <c r="AA876" s="138" t="str">
        <f>IFERROR(__xludf.DUMMYFUNCTION("""COMPUTED_VALUE"""),"Poor")</f>
        <v>Poor</v>
      </c>
      <c r="AB876" s="138" t="str">
        <f>IFERROR(__xludf.DUMMYFUNCTION("""COMPUTED_VALUE"""),"Excellent")</f>
        <v>Excellent</v>
      </c>
      <c r="AC876" s="139">
        <f>IFERROR(__xludf.DUMMYFUNCTION("""COMPUTED_VALUE"""),0.0)</f>
        <v>0</v>
      </c>
      <c r="AD876" s="139">
        <f>IFERROR(__xludf.DUMMYFUNCTION("""COMPUTED_VALUE"""),0.0)</f>
        <v>0</v>
      </c>
      <c r="AE876" s="139">
        <f>IFERROR(__xludf.DUMMYFUNCTION("""COMPUTED_VALUE"""),0.0)</f>
        <v>0</v>
      </c>
      <c r="AF876" s="140" t="str">
        <f>IFERROR(__xludf.DUMMYFUNCTION("""COMPUTED_VALUE"""),"No. I took delivery of the first car Tesla was able to deliver.")</f>
        <v>No. I took delivery of the first car Tesla was able to deliver.</v>
      </c>
      <c r="AG876" s="145"/>
      <c r="AH876" s="157">
        <f>IFERROR(__xludf.DUMMYFUNCTION("""COMPUTED_VALUE"""),44349.72407159722)</f>
        <v>44349.72407</v>
      </c>
      <c r="AI876" s="138"/>
      <c r="AJ876" s="138"/>
      <c r="AK876" s="138"/>
      <c r="AL876" s="142"/>
    </row>
    <row r="877" ht="20.25" customHeight="1">
      <c r="A877" s="155" t="str">
        <f>IFERROR(__xludf.DUMMYFUNCTION("""COMPUTED_VALUE"""),"teemaw")</f>
        <v>teemaw</v>
      </c>
      <c r="B877" s="149" t="str">
        <f>IFERROR(__xludf.DUMMYFUNCTION("""COMPUTED_VALUE"""),"Kansas City")</f>
        <v>Kansas City</v>
      </c>
      <c r="C877" s="149" t="str">
        <f>IFERROR(__xludf.DUMMYFUNCTION("""COMPUTED_VALUE"""),"MO")</f>
        <v>MO</v>
      </c>
      <c r="D877" s="149" t="str">
        <f>IFERROR(__xludf.DUMMYFUNCTION("""COMPUTED_VALUE"""),"USA")</f>
        <v>USA</v>
      </c>
      <c r="E877" s="156">
        <f>IFERROR(__xludf.DUMMYFUNCTION("""COMPUTED_VALUE"""),44287.0)</f>
        <v>44287</v>
      </c>
      <c r="F877" s="129">
        <f>IFERROR(__xludf.DUMMYFUNCTION("""COMPUTED_VALUE"""),44343.0)</f>
        <v>44343</v>
      </c>
      <c r="G877" s="154" t="str">
        <f>IFERROR(__xludf.DUMMYFUNCTION("""COMPUTED_VALUE"""),"Manage order page (normal text)")</f>
        <v>Manage order page (normal text)</v>
      </c>
      <c r="H877" s="131">
        <f>IFERROR(__xludf.DUMMYFUNCTION("""COMPUTED_VALUE"""),975755.0)</f>
        <v>975755</v>
      </c>
      <c r="I877" s="144"/>
      <c r="J877" s="129">
        <f>IFERROR(__xludf.DUMMYFUNCTION("""COMPUTED_VALUE"""),44345.0)</f>
        <v>44345</v>
      </c>
      <c r="K877" s="133">
        <f>IFERROR(__xludf.DUMMYFUNCTION("""COMPUTED_VALUE"""),56.0)</f>
        <v>56</v>
      </c>
      <c r="L877" s="133">
        <f>IFERROR(__xludf.DUMMYFUNCTION("""COMPUTED_VALUE"""),2.0)</f>
        <v>2</v>
      </c>
      <c r="M877" s="133">
        <f>IFERROR(__xludf.DUMMYFUNCTION("""COMPUTED_VALUE"""),58.0)</f>
        <v>58</v>
      </c>
      <c r="N877" s="152" t="str">
        <f>IFERROR(__xludf.DUMMYFUNCTION("""COMPUTED_VALUE"""),"Model 3 LR AWD")</f>
        <v>Model 3 LR AWD</v>
      </c>
      <c r="O877" s="152" t="str">
        <f>IFERROR(__xludf.DUMMYFUNCTION("""COMPUTED_VALUE"""),"Pearl White Multi-Coat")</f>
        <v>Pearl White Multi-Coat</v>
      </c>
      <c r="P877" s="153" t="str">
        <f>IFERROR(__xludf.DUMMYFUNCTION("""COMPUTED_VALUE"""),"18 inch")</f>
        <v>18 inch</v>
      </c>
      <c r="Q877" s="152" t="str">
        <f>IFERROR(__xludf.DUMMYFUNCTION("""COMPUTED_VALUE"""),"Black and White")</f>
        <v>Black and White</v>
      </c>
      <c r="R877" s="149" t="str">
        <f>IFERROR(__xludf.DUMMYFUNCTION("""COMPUTED_VALUE"""),"Autopilot included")</f>
        <v>Autopilot included</v>
      </c>
      <c r="S877" s="149" t="str">
        <f>IFERROR(__xludf.DUMMYFUNCTION("""COMPUTED_VALUE"""),"Loan")</f>
        <v>Loan</v>
      </c>
      <c r="T877" s="145" t="str">
        <f>IFERROR(__xludf.DUMMYFUNCTION("""COMPUTED_VALUE"""),"Honda Civic")</f>
        <v>Honda Civic</v>
      </c>
      <c r="U877" s="145" t="str">
        <f>IFERROR(__xludf.DUMMYFUNCTION("""COMPUTED_VALUE"""),"Electric!")</f>
        <v>Electric!</v>
      </c>
      <c r="V877" s="145" t="str">
        <f>IFERROR(__xludf.DUMMYFUNCTION("""COMPUTED_VALUE"""),"Head-up display")</f>
        <v>Head-up display</v>
      </c>
      <c r="W877" s="145"/>
      <c r="X877" s="137" t="str">
        <f>IFERROR(__xludf.DUMMYFUNCTION("""COMPUTED_VALUE"""),"Very Good")</f>
        <v>Very Good</v>
      </c>
      <c r="Y877" s="138" t="str">
        <f>IFERROR(__xludf.DUMMYFUNCTION("""COMPUTED_VALUE"""),"Excellent")</f>
        <v>Excellent</v>
      </c>
      <c r="Z877" s="138" t="str">
        <f>IFERROR(__xludf.DUMMYFUNCTION("""COMPUTED_VALUE"""),"Excellent")</f>
        <v>Excellent</v>
      </c>
      <c r="AA877" s="138" t="str">
        <f>IFERROR(__xludf.DUMMYFUNCTION("""COMPUTED_VALUE"""),"Good")</f>
        <v>Good</v>
      </c>
      <c r="AB877" s="138" t="str">
        <f>IFERROR(__xludf.DUMMYFUNCTION("""COMPUTED_VALUE"""),"Fair")</f>
        <v>Fair</v>
      </c>
      <c r="AC877" s="139">
        <f>IFERROR(__xludf.DUMMYFUNCTION("""COMPUTED_VALUE"""),0.0)</f>
        <v>0</v>
      </c>
      <c r="AD877" s="139">
        <f>IFERROR(__xludf.DUMMYFUNCTION("""COMPUTED_VALUE"""),0.0)</f>
        <v>0</v>
      </c>
      <c r="AE877" s="139">
        <f>IFERROR(__xludf.DUMMYFUNCTION("""COMPUTED_VALUE"""),0.0)</f>
        <v>0</v>
      </c>
      <c r="AF877" s="140" t="str">
        <f>IFERROR(__xludf.DUMMYFUNCTION("""COMPUTED_VALUE"""),"No. I took delivery of the first car Tesla was able to deliver.")</f>
        <v>No. I took delivery of the first car Tesla was able to deliver.</v>
      </c>
      <c r="AG877" s="145"/>
      <c r="AH877" s="157">
        <f>IFERROR(__xludf.DUMMYFUNCTION("""COMPUTED_VALUE"""),44345.981599803235)</f>
        <v>44345.9816</v>
      </c>
      <c r="AI877" s="138"/>
      <c r="AJ877" s="138"/>
      <c r="AK877" s="138"/>
      <c r="AL877" s="142"/>
    </row>
    <row r="878" ht="20.25" customHeight="1">
      <c r="A878" s="155" t="str">
        <f>IFERROR(__xludf.DUMMYFUNCTION("""COMPUTED_VALUE"""),"GSEagleGradDad")</f>
        <v>GSEagleGradDad</v>
      </c>
      <c r="B878" s="149" t="str">
        <f>IFERROR(__xludf.DUMMYFUNCTION("""COMPUTED_VALUE"""),"Thomasville")</f>
        <v>Thomasville</v>
      </c>
      <c r="C878" s="149" t="str">
        <f>IFERROR(__xludf.DUMMYFUNCTION("""COMPUTED_VALUE"""),"GA")</f>
        <v>GA</v>
      </c>
      <c r="D878" s="149" t="str">
        <f>IFERROR(__xludf.DUMMYFUNCTION("""COMPUTED_VALUE"""),"USA")</f>
        <v>USA</v>
      </c>
      <c r="E878" s="156">
        <f>IFERROR(__xludf.DUMMYFUNCTION("""COMPUTED_VALUE"""),44286.0)</f>
        <v>44286</v>
      </c>
      <c r="F878" s="129">
        <f>IFERROR(__xludf.DUMMYFUNCTION("""COMPUTED_VALUE"""),44344.0)</f>
        <v>44344</v>
      </c>
      <c r="G878" s="154" t="str">
        <f>IFERROR(__xludf.DUMMYFUNCTION("""COMPUTED_VALUE"""),"Manage order page (normal text)")</f>
        <v>Manage order page (normal text)</v>
      </c>
      <c r="H878" s="131">
        <f>IFERROR(__xludf.DUMMYFUNCTION("""COMPUTED_VALUE"""),975355.0)</f>
        <v>975355</v>
      </c>
      <c r="I878" s="144" t="str">
        <f>IFERROR(__xludf.DUMMYFUNCTION("""COMPUTED_VALUE"""),"05/21")</f>
        <v>05/21</v>
      </c>
      <c r="J878" s="129">
        <f>IFERROR(__xludf.DUMMYFUNCTION("""COMPUTED_VALUE"""),44352.0)</f>
        <v>44352</v>
      </c>
      <c r="K878" s="133">
        <f>IFERROR(__xludf.DUMMYFUNCTION("""COMPUTED_VALUE"""),58.0)</f>
        <v>58</v>
      </c>
      <c r="L878" s="133">
        <f>IFERROR(__xludf.DUMMYFUNCTION("""COMPUTED_VALUE"""),8.0)</f>
        <v>8</v>
      </c>
      <c r="M878" s="133">
        <f>IFERROR(__xludf.DUMMYFUNCTION("""COMPUTED_VALUE"""),66.0)</f>
        <v>66</v>
      </c>
      <c r="N878" s="152" t="str">
        <f>IFERROR(__xludf.DUMMYFUNCTION("""COMPUTED_VALUE"""),"Model 3 LR AWD")</f>
        <v>Model 3 LR AWD</v>
      </c>
      <c r="O878" s="152" t="str">
        <f>IFERROR(__xludf.DUMMYFUNCTION("""COMPUTED_VALUE"""),"Solid Black")</f>
        <v>Solid Black</v>
      </c>
      <c r="P878" s="153" t="str">
        <f>IFERROR(__xludf.DUMMYFUNCTION("""COMPUTED_VALUE"""),"19 inch")</f>
        <v>19 inch</v>
      </c>
      <c r="Q878" s="152" t="str">
        <f>IFERROR(__xludf.DUMMYFUNCTION("""COMPUTED_VALUE"""),"Black and White")</f>
        <v>Black and White</v>
      </c>
      <c r="R878" s="149" t="str">
        <f>IFERROR(__xludf.DUMMYFUNCTION("""COMPUTED_VALUE"""),"Autopilot included")</f>
        <v>Autopilot included</v>
      </c>
      <c r="S878" s="149" t="str">
        <f>IFERROR(__xludf.DUMMYFUNCTION("""COMPUTED_VALUE"""),"Cash")</f>
        <v>Cash</v>
      </c>
      <c r="T878" s="145" t="str">
        <f>IFERROR(__xludf.DUMMYFUNCTION("""COMPUTED_VALUE"""),"Ford Mustang")</f>
        <v>Ford Mustang</v>
      </c>
      <c r="U878" s="145" t="str">
        <f>IFERROR(__xludf.DUMMYFUNCTION("""COMPUTED_VALUE"""),"Electric!")</f>
        <v>Electric!</v>
      </c>
      <c r="V878" s="145"/>
      <c r="W878" s="145"/>
      <c r="X878" s="137" t="str">
        <f>IFERROR(__xludf.DUMMYFUNCTION("""COMPUTED_VALUE"""),"Very Good")</f>
        <v>Very Good</v>
      </c>
      <c r="Y878" s="138" t="str">
        <f>IFERROR(__xludf.DUMMYFUNCTION("""COMPUTED_VALUE"""),"Excellent")</f>
        <v>Excellent</v>
      </c>
      <c r="Z878" s="138" t="str">
        <f>IFERROR(__xludf.DUMMYFUNCTION("""COMPUTED_VALUE"""),"Very Good")</f>
        <v>Very Good</v>
      </c>
      <c r="AA878" s="138" t="str">
        <f>IFERROR(__xludf.DUMMYFUNCTION("""COMPUTED_VALUE"""),"Poor")</f>
        <v>Poor</v>
      </c>
      <c r="AB878" s="138" t="str">
        <f>IFERROR(__xludf.DUMMYFUNCTION("""COMPUTED_VALUE"""),"Excellent")</f>
        <v>Excellent</v>
      </c>
      <c r="AC878" s="139"/>
      <c r="AD878" s="139"/>
      <c r="AE878" s="139"/>
      <c r="AF878" s="140" t="str">
        <f>IFERROR(__xludf.DUMMYFUNCTION("""COMPUTED_VALUE"""),"No. I took delivery of the first car Tesla was able to deliver.")</f>
        <v>No. I took delivery of the first car Tesla was able to deliver.</v>
      </c>
      <c r="AG878" s="145"/>
      <c r="AH878" s="157">
        <f>IFERROR(__xludf.DUMMYFUNCTION("""COMPUTED_VALUE"""),44354.18808325232)</f>
        <v>44354.18808</v>
      </c>
      <c r="AI878" s="138"/>
      <c r="AJ878" s="138"/>
      <c r="AK878" s="138"/>
      <c r="AL878" s="142"/>
    </row>
    <row r="879" ht="20.25" customHeight="1">
      <c r="A879" s="155" t="str">
        <f>IFERROR(__xludf.DUMMYFUNCTION("""COMPUTED_VALUE"""),"mjwh")</f>
        <v>mjwh</v>
      </c>
      <c r="B879" s="149" t="str">
        <f>IFERROR(__xludf.DUMMYFUNCTION("""COMPUTED_VALUE"""),"Seattle (Spokane Delivery)")</f>
        <v>Seattle (Spokane Delivery)</v>
      </c>
      <c r="C879" s="149" t="str">
        <f>IFERROR(__xludf.DUMMYFUNCTION("""COMPUTED_VALUE"""),"WA")</f>
        <v>WA</v>
      </c>
      <c r="D879" s="149" t="str">
        <f>IFERROR(__xludf.DUMMYFUNCTION("""COMPUTED_VALUE"""),"USA")</f>
        <v>USA</v>
      </c>
      <c r="E879" s="156">
        <f>IFERROR(__xludf.DUMMYFUNCTION("""COMPUTED_VALUE"""),44285.0)</f>
        <v>44285</v>
      </c>
      <c r="F879" s="129">
        <f>IFERROR(__xludf.DUMMYFUNCTION("""COMPUTED_VALUE"""),44352.0)</f>
        <v>44352</v>
      </c>
      <c r="G879" s="154" t="str">
        <f>IFERROR(__xludf.DUMMYFUNCTION("""COMPUTED_VALUE"""),"Manage order page (normal text)")</f>
        <v>Manage order page (normal text)</v>
      </c>
      <c r="H879" s="131">
        <f>IFERROR(__xludf.DUMMYFUNCTION("""COMPUTED_VALUE"""),988475.0)</f>
        <v>988475</v>
      </c>
      <c r="I879" s="144" t="str">
        <f>IFERROR(__xludf.DUMMYFUNCTION("""COMPUTED_VALUE"""),"06/21")</f>
        <v>06/21</v>
      </c>
      <c r="J879" s="129">
        <f>IFERROR(__xludf.DUMMYFUNCTION("""COMPUTED_VALUE"""),44364.0)</f>
        <v>44364</v>
      </c>
      <c r="K879" s="133">
        <f>IFERROR(__xludf.DUMMYFUNCTION("""COMPUTED_VALUE"""),67.0)</f>
        <v>67</v>
      </c>
      <c r="L879" s="133">
        <f>IFERROR(__xludf.DUMMYFUNCTION("""COMPUTED_VALUE"""),12.0)</f>
        <v>12</v>
      </c>
      <c r="M879" s="133">
        <f>IFERROR(__xludf.DUMMYFUNCTION("""COMPUTED_VALUE"""),79.0)</f>
        <v>79</v>
      </c>
      <c r="N879" s="152" t="str">
        <f>IFERROR(__xludf.DUMMYFUNCTION("""COMPUTED_VALUE"""),"Model 3 Performance")</f>
        <v>Model 3 Performance</v>
      </c>
      <c r="O879" s="152" t="str">
        <f>IFERROR(__xludf.DUMMYFUNCTION("""COMPUTED_VALUE"""),"Midnight Silver Metallic")</f>
        <v>Midnight Silver Metallic</v>
      </c>
      <c r="P879" s="153" t="str">
        <f>IFERROR(__xludf.DUMMYFUNCTION("""COMPUTED_VALUE"""),"20 inch")</f>
        <v>20 inch</v>
      </c>
      <c r="Q879" s="152" t="str">
        <f>IFERROR(__xludf.DUMMYFUNCTION("""COMPUTED_VALUE"""),"Black and White")</f>
        <v>Black and White</v>
      </c>
      <c r="R879" s="149" t="str">
        <f>IFERROR(__xludf.DUMMYFUNCTION("""COMPUTED_VALUE"""),"Full Self-Driving")</f>
        <v>Full Self-Driving</v>
      </c>
      <c r="S879" s="149" t="str">
        <f>IFERROR(__xludf.DUMMYFUNCTION("""COMPUTED_VALUE"""),"Loan")</f>
        <v>Loan</v>
      </c>
      <c r="T879" s="145" t="str">
        <f>IFERROR(__xludf.DUMMYFUNCTION("""COMPUTED_VALUE"""),"Chevy Bolt")</f>
        <v>Chevy Bolt</v>
      </c>
      <c r="U879" s="145" t="str">
        <f>IFERROR(__xludf.DUMMYFUNCTION("""COMPUTED_VALUE"""),"Performance")</f>
        <v>Performance</v>
      </c>
      <c r="V879" s="145" t="str">
        <f>IFERROR(__xludf.DUMMYFUNCTION("""COMPUTED_VALUE"""),"Air suspension")</f>
        <v>Air suspension</v>
      </c>
      <c r="W879" s="145"/>
      <c r="X879" s="137" t="str">
        <f>IFERROR(__xludf.DUMMYFUNCTION("""COMPUTED_VALUE"""),"Excellent")</f>
        <v>Excellent</v>
      </c>
      <c r="Y879" s="138" t="str">
        <f>IFERROR(__xludf.DUMMYFUNCTION("""COMPUTED_VALUE"""),"Excellent")</f>
        <v>Excellent</v>
      </c>
      <c r="Z879" s="138" t="str">
        <f>IFERROR(__xludf.DUMMYFUNCTION("""COMPUTED_VALUE"""),"Excellent")</f>
        <v>Excellent</v>
      </c>
      <c r="AA879" s="138" t="str">
        <f>IFERROR(__xludf.DUMMYFUNCTION("""COMPUTED_VALUE"""),"Poor")</f>
        <v>Poor</v>
      </c>
      <c r="AB879" s="138" t="str">
        <f>IFERROR(__xludf.DUMMYFUNCTION("""COMPUTED_VALUE"""),"Excellent")</f>
        <v>Excellent</v>
      </c>
      <c r="AC879" s="139"/>
      <c r="AD879" s="139"/>
      <c r="AE879" s="139"/>
      <c r="AF879" s="140" t="str">
        <f>IFERROR(__xludf.DUMMYFUNCTION("""COMPUTED_VALUE"""),"No. I took delivery of the first car Tesla was able to deliver.")</f>
        <v>No. I took delivery of the first car Tesla was able to deliver.</v>
      </c>
      <c r="AG879" s="145"/>
      <c r="AH879" s="157">
        <f>IFERROR(__xludf.DUMMYFUNCTION("""COMPUTED_VALUE"""),44364.98502667824)</f>
        <v>44364.98503</v>
      </c>
      <c r="AI879" s="138"/>
      <c r="AJ879" s="138"/>
      <c r="AK879" s="138"/>
      <c r="AL879" s="142"/>
    </row>
    <row r="880" ht="20.25" customHeight="1">
      <c r="A880" s="155" t="str">
        <f>IFERROR(__xludf.DUMMYFUNCTION("""COMPUTED_VALUE"""),"TalonMcShay")</f>
        <v>TalonMcShay</v>
      </c>
      <c r="B880" s="149"/>
      <c r="C880" s="149" t="str">
        <f>IFERROR(__xludf.DUMMYFUNCTION("""COMPUTED_VALUE"""),"VA")</f>
        <v>VA</v>
      </c>
      <c r="D880" s="149" t="str">
        <f>IFERROR(__xludf.DUMMYFUNCTION("""COMPUTED_VALUE"""),"USA")</f>
        <v>USA</v>
      </c>
      <c r="E880" s="156">
        <f>IFERROR(__xludf.DUMMYFUNCTION("""COMPUTED_VALUE"""),44285.0)</f>
        <v>44285</v>
      </c>
      <c r="F880" s="129"/>
      <c r="G880" s="154" t="str">
        <f>IFERROR(__xludf.DUMMYFUNCTION("""COMPUTED_VALUE"""),"Manage order page (normal text)")</f>
        <v>Manage order page (normal text)</v>
      </c>
      <c r="H880" s="131">
        <f>IFERROR(__xludf.DUMMYFUNCTION("""COMPUTED_VALUE"""),975755.0)</f>
        <v>975755</v>
      </c>
      <c r="I880" s="144" t="str">
        <f>IFERROR(__xludf.DUMMYFUNCTION("""COMPUTED_VALUE"""),"05/21")</f>
        <v>05/21</v>
      </c>
      <c r="J880" s="129">
        <f>IFERROR(__xludf.DUMMYFUNCTION("""COMPUTED_VALUE"""),44349.0)</f>
        <v>44349</v>
      </c>
      <c r="K880" s="133"/>
      <c r="L880" s="133"/>
      <c r="M880" s="133">
        <f>IFERROR(__xludf.DUMMYFUNCTION("""COMPUTED_VALUE"""),64.0)</f>
        <v>64</v>
      </c>
      <c r="N880" s="152" t="str">
        <f>IFERROR(__xludf.DUMMYFUNCTION("""COMPUTED_VALUE"""),"Model 3 LR AWD")</f>
        <v>Model 3 LR AWD</v>
      </c>
      <c r="O880" s="152" t="str">
        <f>IFERROR(__xludf.DUMMYFUNCTION("""COMPUTED_VALUE"""),"Red Multi-Coat")</f>
        <v>Red Multi-Coat</v>
      </c>
      <c r="P880" s="153" t="str">
        <f>IFERROR(__xludf.DUMMYFUNCTION("""COMPUTED_VALUE"""),"18 inch")</f>
        <v>18 inch</v>
      </c>
      <c r="Q880" s="152" t="str">
        <f>IFERROR(__xludf.DUMMYFUNCTION("""COMPUTED_VALUE"""),"Black and White")</f>
        <v>Black and White</v>
      </c>
      <c r="R880" s="149" t="str">
        <f>IFERROR(__xludf.DUMMYFUNCTION("""COMPUTED_VALUE"""),"Autopilot included")</f>
        <v>Autopilot included</v>
      </c>
      <c r="S880" s="149" t="str">
        <f>IFERROR(__xludf.DUMMYFUNCTION("""COMPUTED_VALUE"""),"Loan")</f>
        <v>Loan</v>
      </c>
      <c r="T880" s="145" t="str">
        <f>IFERROR(__xludf.DUMMYFUNCTION("""COMPUTED_VALUE"""),"Mazda 3")</f>
        <v>Mazda 3</v>
      </c>
      <c r="U880" s="145" t="str">
        <f>IFERROR(__xludf.DUMMYFUNCTION("""COMPUTED_VALUE"""),"Electric!")</f>
        <v>Electric!</v>
      </c>
      <c r="V880" s="145" t="str">
        <f>IFERROR(__xludf.DUMMYFUNCTION("""COMPUTED_VALUE"""),"Apple CarPlay / Android Auto / SiriusXM Radio")</f>
        <v>Apple CarPlay / Android Auto / SiriusXM Radio</v>
      </c>
      <c r="W880" s="145" t="str">
        <f>IFERROR(__xludf.DUMMYFUNCTION("""COMPUTED_VALUE"""),"Patience ")</f>
        <v>Patience </v>
      </c>
      <c r="X880" s="137" t="str">
        <f>IFERROR(__xludf.DUMMYFUNCTION("""COMPUTED_VALUE"""),"Excellent")</f>
        <v>Excellent</v>
      </c>
      <c r="Y880" s="138" t="str">
        <f>IFERROR(__xludf.DUMMYFUNCTION("""COMPUTED_VALUE"""),"Excellent")</f>
        <v>Excellent</v>
      </c>
      <c r="Z880" s="138" t="str">
        <f>IFERROR(__xludf.DUMMYFUNCTION("""COMPUTED_VALUE"""),"Very Good")</f>
        <v>Very Good</v>
      </c>
      <c r="AA880" s="138" t="str">
        <f>IFERROR(__xludf.DUMMYFUNCTION("""COMPUTED_VALUE"""),"Fair")</f>
        <v>Fair</v>
      </c>
      <c r="AB880" s="138" t="str">
        <f>IFERROR(__xludf.DUMMYFUNCTION("""COMPUTED_VALUE"""),"Excellent")</f>
        <v>Excellent</v>
      </c>
      <c r="AC880" s="139"/>
      <c r="AD880" s="139"/>
      <c r="AE880" s="139"/>
      <c r="AF880" s="140" t="str">
        <f>IFERROR(__xludf.DUMMYFUNCTION("""COMPUTED_VALUE"""),"No. I took delivery of the first car Tesla was able to deliver.")</f>
        <v>No. I took delivery of the first car Tesla was able to deliver.</v>
      </c>
      <c r="AG880" s="145"/>
      <c r="AH880" s="157">
        <f>IFERROR(__xludf.DUMMYFUNCTION("""COMPUTED_VALUE"""),44349.707672592594)</f>
        <v>44349.70767</v>
      </c>
      <c r="AI880" s="138"/>
      <c r="AJ880" s="138"/>
      <c r="AK880" s="138"/>
      <c r="AL880" s="142"/>
    </row>
    <row r="881" ht="20.25" customHeight="1">
      <c r="A881" s="155" t="str">
        <f>IFERROR(__xludf.DUMMYFUNCTION("""COMPUTED_VALUE"""),"AGV")</f>
        <v>AGV</v>
      </c>
      <c r="B881" s="149" t="str">
        <f>IFERROR(__xludf.DUMMYFUNCTION("""COMPUTED_VALUE"""),"Tampa")</f>
        <v>Tampa</v>
      </c>
      <c r="C881" s="149" t="str">
        <f>IFERROR(__xludf.DUMMYFUNCTION("""COMPUTED_VALUE"""),"FL")</f>
        <v>FL</v>
      </c>
      <c r="D881" s="149" t="str">
        <f>IFERROR(__xludf.DUMMYFUNCTION("""COMPUTED_VALUE"""),"USA")</f>
        <v>USA</v>
      </c>
      <c r="E881" s="156">
        <f>IFERROR(__xludf.DUMMYFUNCTION("""COMPUTED_VALUE"""),44284.0)</f>
        <v>44284</v>
      </c>
      <c r="F881" s="129">
        <f>IFERROR(__xludf.DUMMYFUNCTION("""COMPUTED_VALUE"""),44302.0)</f>
        <v>44302</v>
      </c>
      <c r="G881" s="154" t="str">
        <f>IFERROR(__xludf.DUMMYFUNCTION("""COMPUTED_VALUE"""),"Manage order page (normal text)")</f>
        <v>Manage order page (normal text)</v>
      </c>
      <c r="H881" s="131">
        <f>IFERROR(__xludf.DUMMYFUNCTION("""COMPUTED_VALUE"""),955570.0)</f>
        <v>955570</v>
      </c>
      <c r="I881" s="144" t="str">
        <f>IFERROR(__xludf.DUMMYFUNCTION("""COMPUTED_VALUE"""),"04/21")</f>
        <v>04/21</v>
      </c>
      <c r="J881" s="129">
        <f>IFERROR(__xludf.DUMMYFUNCTION("""COMPUTED_VALUE"""),44320.0)</f>
        <v>44320</v>
      </c>
      <c r="K881" s="133">
        <f>IFERROR(__xludf.DUMMYFUNCTION("""COMPUTED_VALUE"""),18.0)</f>
        <v>18</v>
      </c>
      <c r="L881" s="133">
        <f>IFERROR(__xludf.DUMMYFUNCTION("""COMPUTED_VALUE"""),18.0)</f>
        <v>18</v>
      </c>
      <c r="M881" s="133">
        <f>IFERROR(__xludf.DUMMYFUNCTION("""COMPUTED_VALUE"""),36.0)</f>
        <v>36</v>
      </c>
      <c r="N881" s="152" t="str">
        <f>IFERROR(__xludf.DUMMYFUNCTION("""COMPUTED_VALUE"""),"Model 3 SR+")</f>
        <v>Model 3 SR+</v>
      </c>
      <c r="O881" s="152" t="str">
        <f>IFERROR(__xludf.DUMMYFUNCTION("""COMPUTED_VALUE"""),"Midnight Silver Metallic")</f>
        <v>Midnight Silver Metallic</v>
      </c>
      <c r="P881" s="153" t="str">
        <f>IFERROR(__xludf.DUMMYFUNCTION("""COMPUTED_VALUE"""),"18 inch")</f>
        <v>18 inch</v>
      </c>
      <c r="Q881" s="152" t="str">
        <f>IFERROR(__xludf.DUMMYFUNCTION("""COMPUTED_VALUE"""),"All Black")</f>
        <v>All Black</v>
      </c>
      <c r="R881" s="149" t="str">
        <f>IFERROR(__xludf.DUMMYFUNCTION("""COMPUTED_VALUE"""),"Autopilot included")</f>
        <v>Autopilot included</v>
      </c>
      <c r="S881" s="149" t="str">
        <f>IFERROR(__xludf.DUMMYFUNCTION("""COMPUTED_VALUE"""),"Loan")</f>
        <v>Loan</v>
      </c>
      <c r="T881" s="145"/>
      <c r="U881" s="145" t="str">
        <f>IFERROR(__xludf.DUMMYFUNCTION("""COMPUTED_VALUE"""),"Electric!")</f>
        <v>Electric!</v>
      </c>
      <c r="V881" s="145" t="str">
        <f>IFERROR(__xludf.DUMMYFUNCTION("""COMPUTED_VALUE"""),"Head-up display")</f>
        <v>Head-up display</v>
      </c>
      <c r="W881" s="145"/>
      <c r="X881" s="137" t="str">
        <f>IFERROR(__xludf.DUMMYFUNCTION("""COMPUTED_VALUE"""),"Excellent")</f>
        <v>Excellent</v>
      </c>
      <c r="Y881" s="138" t="str">
        <f>IFERROR(__xludf.DUMMYFUNCTION("""COMPUTED_VALUE"""),"Excellent")</f>
        <v>Excellent</v>
      </c>
      <c r="Z881" s="138" t="str">
        <f>IFERROR(__xludf.DUMMYFUNCTION("""COMPUTED_VALUE"""),"Excellent")</f>
        <v>Excellent</v>
      </c>
      <c r="AA881" s="138" t="str">
        <f>IFERROR(__xludf.DUMMYFUNCTION("""COMPUTED_VALUE"""),"Excellent")</f>
        <v>Excellent</v>
      </c>
      <c r="AB881" s="138" t="str">
        <f>IFERROR(__xludf.DUMMYFUNCTION("""COMPUTED_VALUE"""),"Very Good")</f>
        <v>Very Good</v>
      </c>
      <c r="AC881" s="139">
        <f>IFERROR(__xludf.DUMMYFUNCTION("""COMPUTED_VALUE"""),2.0)</f>
        <v>2</v>
      </c>
      <c r="AD881" s="139">
        <f>IFERROR(__xludf.DUMMYFUNCTION("""COMPUTED_VALUE"""),1.0)</f>
        <v>1</v>
      </c>
      <c r="AE881" s="139">
        <f>IFERROR(__xludf.DUMMYFUNCTION("""COMPUTED_VALUE"""),0.0)</f>
        <v>0</v>
      </c>
      <c r="AF881" s="140" t="str">
        <f>IFERROR(__xludf.DUMMYFUNCTION("""COMPUTED_VALUE"""),"No. I took delivery of the first car Tesla was able to deliver.")</f>
        <v>No. I took delivery of the first car Tesla was able to deliver.</v>
      </c>
      <c r="AG881" s="145"/>
      <c r="AH881" s="157">
        <f>IFERROR(__xludf.DUMMYFUNCTION("""COMPUTED_VALUE"""),44331.29982298611)</f>
        <v>44331.29982</v>
      </c>
      <c r="AI881" s="138"/>
      <c r="AJ881" s="138"/>
      <c r="AK881" s="138"/>
      <c r="AL881" s="142"/>
    </row>
    <row r="882" ht="20.25" customHeight="1">
      <c r="A882" s="155" t="str">
        <f>IFERROR(__xludf.DUMMYFUNCTION("""COMPUTED_VALUE"""),"Beefy Cylon")</f>
        <v>Beefy Cylon</v>
      </c>
      <c r="B882" s="149" t="str">
        <f>IFERROR(__xludf.DUMMYFUNCTION("""COMPUTED_VALUE"""),"Austin")</f>
        <v>Austin</v>
      </c>
      <c r="C882" s="149" t="str">
        <f>IFERROR(__xludf.DUMMYFUNCTION("""COMPUTED_VALUE"""),"TX")</f>
        <v>TX</v>
      </c>
      <c r="D882" s="149" t="str">
        <f>IFERROR(__xludf.DUMMYFUNCTION("""COMPUTED_VALUE"""),"USA")</f>
        <v>USA</v>
      </c>
      <c r="E882" s="156">
        <f>IFERROR(__xludf.DUMMYFUNCTION("""COMPUTED_VALUE"""),44283.0)</f>
        <v>44283</v>
      </c>
      <c r="F882" s="129">
        <f>IFERROR(__xludf.DUMMYFUNCTION("""COMPUTED_VALUE"""),44307.0)</f>
        <v>44307</v>
      </c>
      <c r="G882" s="154" t="str">
        <f>IFERROR(__xludf.DUMMYFUNCTION("""COMPUTED_VALUE"""),"Manage order page (normal text)")</f>
        <v>Manage order page (normal text)</v>
      </c>
      <c r="H882" s="131"/>
      <c r="I882" s="144"/>
      <c r="J882" s="129">
        <f>IFERROR(__xludf.DUMMYFUNCTION("""COMPUTED_VALUE"""),44321.0)</f>
        <v>44321</v>
      </c>
      <c r="K882" s="133">
        <f>IFERROR(__xludf.DUMMYFUNCTION("""COMPUTED_VALUE"""),24.0)</f>
        <v>24</v>
      </c>
      <c r="L882" s="133">
        <f>IFERROR(__xludf.DUMMYFUNCTION("""COMPUTED_VALUE"""),14.0)</f>
        <v>14</v>
      </c>
      <c r="M882" s="133">
        <f>IFERROR(__xludf.DUMMYFUNCTION("""COMPUTED_VALUE"""),38.0)</f>
        <v>38</v>
      </c>
      <c r="N882" s="152" t="str">
        <f>IFERROR(__xludf.DUMMYFUNCTION("""COMPUTED_VALUE"""),"Model 3 LR AWD")</f>
        <v>Model 3 LR AWD</v>
      </c>
      <c r="O882" s="152" t="str">
        <f>IFERROR(__xludf.DUMMYFUNCTION("""COMPUTED_VALUE"""),"Deep Blue Metallic")</f>
        <v>Deep Blue Metallic</v>
      </c>
      <c r="P882" s="153" t="str">
        <f>IFERROR(__xludf.DUMMYFUNCTION("""COMPUTED_VALUE"""),"19 inch")</f>
        <v>19 inch</v>
      </c>
      <c r="Q882" s="152" t="str">
        <f>IFERROR(__xludf.DUMMYFUNCTION("""COMPUTED_VALUE"""),"All Black")</f>
        <v>All Black</v>
      </c>
      <c r="R882" s="149" t="str">
        <f>IFERROR(__xludf.DUMMYFUNCTION("""COMPUTED_VALUE"""),"Autopilot included")</f>
        <v>Autopilot included</v>
      </c>
      <c r="S882" s="149" t="str">
        <f>IFERROR(__xludf.DUMMYFUNCTION("""COMPUTED_VALUE"""),"Loan")</f>
        <v>Loan</v>
      </c>
      <c r="T882" s="145" t="str">
        <f>IFERROR(__xludf.DUMMYFUNCTION("""COMPUTED_VALUE"""),"Honda Civic")</f>
        <v>Honda Civic</v>
      </c>
      <c r="U882" s="145"/>
      <c r="V882" s="145" t="str">
        <f>IFERROR(__xludf.DUMMYFUNCTION("""COMPUTED_VALUE"""),"Apple CarPlay / Android Auto / SiriusXM Radio")</f>
        <v>Apple CarPlay / Android Auto / SiriusXM Radio</v>
      </c>
      <c r="W882" s="145"/>
      <c r="X882" s="137" t="str">
        <f>IFERROR(__xludf.DUMMYFUNCTION("""COMPUTED_VALUE"""),"Excellent")</f>
        <v>Excellent</v>
      </c>
      <c r="Y882" s="138" t="str">
        <f>IFERROR(__xludf.DUMMYFUNCTION("""COMPUTED_VALUE"""),"Excellent")</f>
        <v>Excellent</v>
      </c>
      <c r="Z882" s="138" t="str">
        <f>IFERROR(__xludf.DUMMYFUNCTION("""COMPUTED_VALUE"""),"Excellent")</f>
        <v>Excellent</v>
      </c>
      <c r="AA882" s="138" t="str">
        <f>IFERROR(__xludf.DUMMYFUNCTION("""COMPUTED_VALUE"""),"Excellent")</f>
        <v>Excellent</v>
      </c>
      <c r="AB882" s="138" t="str">
        <f>IFERROR(__xludf.DUMMYFUNCTION("""COMPUTED_VALUE"""),"Excellent")</f>
        <v>Excellent</v>
      </c>
      <c r="AC882" s="139"/>
      <c r="AD882" s="139"/>
      <c r="AE882" s="139"/>
      <c r="AF882" s="140"/>
      <c r="AG882" s="145"/>
      <c r="AH882" s="157">
        <f>IFERROR(__xludf.DUMMYFUNCTION("""COMPUTED_VALUE"""),44322.28299547453)</f>
        <v>44322.283</v>
      </c>
      <c r="AI882" s="138"/>
      <c r="AJ882" s="138"/>
      <c r="AK882" s="138"/>
      <c r="AL882" s="142"/>
    </row>
    <row r="883" ht="20.25" customHeight="1">
      <c r="A883" s="155" t="str">
        <f>IFERROR(__xludf.DUMMYFUNCTION("""COMPUTED_VALUE"""),"Geeb")</f>
        <v>Geeb</v>
      </c>
      <c r="B883" s="149" t="str">
        <f>IFERROR(__xludf.DUMMYFUNCTION("""COMPUTED_VALUE"""),"Temecula")</f>
        <v>Temecula</v>
      </c>
      <c r="C883" s="149" t="str">
        <f>IFERROR(__xludf.DUMMYFUNCTION("""COMPUTED_VALUE"""),"CA")</f>
        <v>CA</v>
      </c>
      <c r="D883" s="149" t="str">
        <f>IFERROR(__xludf.DUMMYFUNCTION("""COMPUTED_VALUE"""),"USA")</f>
        <v>USA</v>
      </c>
      <c r="E883" s="156">
        <f>IFERROR(__xludf.DUMMYFUNCTION("""COMPUTED_VALUE"""),44283.0)</f>
        <v>44283</v>
      </c>
      <c r="F883" s="129">
        <f>IFERROR(__xludf.DUMMYFUNCTION("""COMPUTED_VALUE"""),44345.0)</f>
        <v>44345</v>
      </c>
      <c r="G883" s="154" t="str">
        <f>IFERROR(__xludf.DUMMYFUNCTION("""COMPUTED_VALUE"""),"Email")</f>
        <v>Email</v>
      </c>
      <c r="H883" s="131"/>
      <c r="I883" s="144" t="str">
        <f>IFERROR(__xludf.DUMMYFUNCTION("""COMPUTED_VALUE"""),"05/21")</f>
        <v>05/21</v>
      </c>
      <c r="J883" s="129">
        <f>IFERROR(__xludf.DUMMYFUNCTION("""COMPUTED_VALUE"""),44348.0)</f>
        <v>44348</v>
      </c>
      <c r="K883" s="133">
        <f>IFERROR(__xludf.DUMMYFUNCTION("""COMPUTED_VALUE"""),62.0)</f>
        <v>62</v>
      </c>
      <c r="L883" s="133">
        <f>IFERROR(__xludf.DUMMYFUNCTION("""COMPUTED_VALUE"""),3.0)</f>
        <v>3</v>
      </c>
      <c r="M883" s="133">
        <f>IFERROR(__xludf.DUMMYFUNCTION("""COMPUTED_VALUE"""),65.0)</f>
        <v>65</v>
      </c>
      <c r="N883" s="152" t="str">
        <f>IFERROR(__xludf.DUMMYFUNCTION("""COMPUTED_VALUE"""),"Model 3 LR AWD")</f>
        <v>Model 3 LR AWD</v>
      </c>
      <c r="O883" s="152" t="str">
        <f>IFERROR(__xludf.DUMMYFUNCTION("""COMPUTED_VALUE"""),"Red Multi-Coat")</f>
        <v>Red Multi-Coat</v>
      </c>
      <c r="P883" s="153" t="str">
        <f>IFERROR(__xludf.DUMMYFUNCTION("""COMPUTED_VALUE"""),"18 inch")</f>
        <v>18 inch</v>
      </c>
      <c r="Q883" s="152" t="str">
        <f>IFERROR(__xludf.DUMMYFUNCTION("""COMPUTED_VALUE"""),"All Black")</f>
        <v>All Black</v>
      </c>
      <c r="R883" s="149" t="str">
        <f>IFERROR(__xludf.DUMMYFUNCTION("""COMPUTED_VALUE"""),"Autopilot included")</f>
        <v>Autopilot included</v>
      </c>
      <c r="S883" s="149" t="str">
        <f>IFERROR(__xludf.DUMMYFUNCTION("""COMPUTED_VALUE"""),"Loan")</f>
        <v>Loan</v>
      </c>
      <c r="T883" s="145"/>
      <c r="U883" s="145" t="str">
        <f>IFERROR(__xludf.DUMMYFUNCTION("""COMPUTED_VALUE"""),"Electric!")</f>
        <v>Electric!</v>
      </c>
      <c r="V883" s="145" t="str">
        <f>IFERROR(__xludf.DUMMYFUNCTION("""COMPUTED_VALUE"""),"Blind spot indicators on side mirrors")</f>
        <v>Blind spot indicators on side mirrors</v>
      </c>
      <c r="W883" s="145"/>
      <c r="X883" s="137" t="str">
        <f>IFERROR(__xludf.DUMMYFUNCTION("""COMPUTED_VALUE"""),"Very Good")</f>
        <v>Very Good</v>
      </c>
      <c r="Y883" s="138" t="str">
        <f>IFERROR(__xludf.DUMMYFUNCTION("""COMPUTED_VALUE"""),"Excellent")</f>
        <v>Excellent</v>
      </c>
      <c r="Z883" s="138" t="str">
        <f>IFERROR(__xludf.DUMMYFUNCTION("""COMPUTED_VALUE"""),"Excellent")</f>
        <v>Excellent</v>
      </c>
      <c r="AA883" s="138" t="str">
        <f>IFERROR(__xludf.DUMMYFUNCTION("""COMPUTED_VALUE"""),"Excellent")</f>
        <v>Excellent</v>
      </c>
      <c r="AB883" s="138" t="str">
        <f>IFERROR(__xludf.DUMMYFUNCTION("""COMPUTED_VALUE"""),"Very Good")</f>
        <v>Very Good</v>
      </c>
      <c r="AC883" s="139">
        <f>IFERROR(__xludf.DUMMYFUNCTION("""COMPUTED_VALUE"""),0.0)</f>
        <v>0</v>
      </c>
      <c r="AD883" s="139"/>
      <c r="AE883" s="139"/>
      <c r="AF883" s="140" t="str">
        <f>IFERROR(__xludf.DUMMYFUNCTION("""COMPUTED_VALUE"""),"No. I took delivery of the first car Tesla was able to deliver.")</f>
        <v>No. I took delivery of the first car Tesla was able to deliver.</v>
      </c>
      <c r="AG883" s="145"/>
      <c r="AH883" s="157">
        <f>IFERROR(__xludf.DUMMYFUNCTION("""COMPUTED_VALUE"""),44353.48695545139)</f>
        <v>44353.48696</v>
      </c>
      <c r="AI883" s="138"/>
      <c r="AJ883" s="138"/>
      <c r="AK883" s="138"/>
      <c r="AL883" s="142"/>
    </row>
    <row r="884" ht="20.25" customHeight="1">
      <c r="A884" s="155" t="str">
        <f>IFERROR(__xludf.DUMMYFUNCTION("""COMPUTED_VALUE"""),"jvoisin")</f>
        <v>jvoisin</v>
      </c>
      <c r="B884" s="149" t="str">
        <f>IFERROR(__xludf.DUMMYFUNCTION("""COMPUTED_VALUE"""),"Cambridge")</f>
        <v>Cambridge</v>
      </c>
      <c r="C884" s="149" t="str">
        <f>IFERROR(__xludf.DUMMYFUNCTION("""COMPUTED_VALUE"""),"ON")</f>
        <v>ON</v>
      </c>
      <c r="D884" s="149" t="str">
        <f>IFERROR(__xludf.DUMMYFUNCTION("""COMPUTED_VALUE"""),"Canada")</f>
        <v>Canada</v>
      </c>
      <c r="E884" s="156">
        <f>IFERROR(__xludf.DUMMYFUNCTION("""COMPUTED_VALUE"""),44283.0)</f>
        <v>44283</v>
      </c>
      <c r="F884" s="129">
        <f>IFERROR(__xludf.DUMMYFUNCTION("""COMPUTED_VALUE"""),44345.0)</f>
        <v>44345</v>
      </c>
      <c r="G884" s="154" t="str">
        <f>IFERROR(__xludf.DUMMYFUNCTION("""COMPUTED_VALUE"""),"Source code")</f>
        <v>Source code</v>
      </c>
      <c r="H884" s="131">
        <f>IFERROR(__xludf.DUMMYFUNCTION("""COMPUTED_VALUE"""),979455.0)</f>
        <v>979455</v>
      </c>
      <c r="I884" s="144" t="str">
        <f>IFERROR(__xludf.DUMMYFUNCTION("""COMPUTED_VALUE"""),"05/21")</f>
        <v>05/21</v>
      </c>
      <c r="J884" s="129">
        <f>IFERROR(__xludf.DUMMYFUNCTION("""COMPUTED_VALUE"""),44353.0)</f>
        <v>44353</v>
      </c>
      <c r="K884" s="133">
        <f>IFERROR(__xludf.DUMMYFUNCTION("""COMPUTED_VALUE"""),62.0)</f>
        <v>62</v>
      </c>
      <c r="L884" s="133">
        <f>IFERROR(__xludf.DUMMYFUNCTION("""COMPUTED_VALUE"""),8.0)</f>
        <v>8</v>
      </c>
      <c r="M884" s="133">
        <f>IFERROR(__xludf.DUMMYFUNCTION("""COMPUTED_VALUE"""),70.0)</f>
        <v>70</v>
      </c>
      <c r="N884" s="152" t="str">
        <f>IFERROR(__xludf.DUMMYFUNCTION("""COMPUTED_VALUE"""),"Model 3 LR AWD")</f>
        <v>Model 3 LR AWD</v>
      </c>
      <c r="O884" s="152" t="str">
        <f>IFERROR(__xludf.DUMMYFUNCTION("""COMPUTED_VALUE"""),"Deep Blue Metallic")</f>
        <v>Deep Blue Metallic</v>
      </c>
      <c r="P884" s="153" t="str">
        <f>IFERROR(__xludf.DUMMYFUNCTION("""COMPUTED_VALUE"""),"18 inch")</f>
        <v>18 inch</v>
      </c>
      <c r="Q884" s="152" t="str">
        <f>IFERROR(__xludf.DUMMYFUNCTION("""COMPUTED_VALUE"""),"All Black")</f>
        <v>All Black</v>
      </c>
      <c r="R884" s="149" t="str">
        <f>IFERROR(__xludf.DUMMYFUNCTION("""COMPUTED_VALUE"""),"Full Self-Driving")</f>
        <v>Full Self-Driving</v>
      </c>
      <c r="S884" s="149" t="str">
        <f>IFERROR(__xludf.DUMMYFUNCTION("""COMPUTED_VALUE"""),"Loan")</f>
        <v>Loan</v>
      </c>
      <c r="T884" s="145" t="str">
        <f>IFERROR(__xludf.DUMMYFUNCTION("""COMPUTED_VALUE"""),"Dodge RAM Rebel/Chevy Cruze Premier RS Hatch")</f>
        <v>Dodge RAM Rebel/Chevy Cruze Premier RS Hatch</v>
      </c>
      <c r="U884" s="145" t="str">
        <f>IFERROR(__xludf.DUMMYFUNCTION("""COMPUTED_VALUE"""),"Electric!")</f>
        <v>Electric!</v>
      </c>
      <c r="V884" s="145" t="str">
        <f>IFERROR(__xludf.DUMMYFUNCTION("""COMPUTED_VALUE"""),"Apple CarPlay / Android Auto / SiriusXM Radio")</f>
        <v>Apple CarPlay / Android Auto / SiriusXM Radio</v>
      </c>
      <c r="W884" s="145"/>
      <c r="X884" s="137" t="str">
        <f>IFERROR(__xludf.DUMMYFUNCTION("""COMPUTED_VALUE"""),"Excellent")</f>
        <v>Excellent</v>
      </c>
      <c r="Y884" s="138" t="str">
        <f>IFERROR(__xludf.DUMMYFUNCTION("""COMPUTED_VALUE"""),"Excellent")</f>
        <v>Excellent</v>
      </c>
      <c r="Z884" s="138" t="str">
        <f>IFERROR(__xludf.DUMMYFUNCTION("""COMPUTED_VALUE"""),"Very Good")</f>
        <v>Very Good</v>
      </c>
      <c r="AA884" s="138" t="str">
        <f>IFERROR(__xludf.DUMMYFUNCTION("""COMPUTED_VALUE"""),"Very Good")</f>
        <v>Very Good</v>
      </c>
      <c r="AB884" s="138" t="str">
        <f>IFERROR(__xludf.DUMMYFUNCTION("""COMPUTED_VALUE"""),"Excellent")</f>
        <v>Excellent</v>
      </c>
      <c r="AC884" s="139">
        <f>IFERROR(__xludf.DUMMYFUNCTION("""COMPUTED_VALUE"""),0.0)</f>
        <v>0</v>
      </c>
      <c r="AD884" s="139">
        <f>IFERROR(__xludf.DUMMYFUNCTION("""COMPUTED_VALUE"""),0.0)</f>
        <v>0</v>
      </c>
      <c r="AE884" s="139">
        <f>IFERROR(__xludf.DUMMYFUNCTION("""COMPUTED_VALUE"""),0.0)</f>
        <v>0</v>
      </c>
      <c r="AF884" s="140" t="str">
        <f>IFERROR(__xludf.DUMMYFUNCTION("""COMPUTED_VALUE"""),"No. I took delivery of the first car Tesla was able to deliver.")</f>
        <v>No. I took delivery of the first car Tesla was able to deliver.</v>
      </c>
      <c r="AG884" s="145"/>
      <c r="AH884" s="157">
        <f>IFERROR(__xludf.DUMMYFUNCTION("""COMPUTED_VALUE"""),44353.82942805556)</f>
        <v>44353.82943</v>
      </c>
      <c r="AI884" s="138"/>
      <c r="AJ884" s="138"/>
      <c r="AK884" s="138"/>
      <c r="AL884" s="142"/>
    </row>
    <row r="885" ht="20.25" customHeight="1">
      <c r="A885" s="155" t="str">
        <f>IFERROR(__xludf.DUMMYFUNCTION("""COMPUTED_VALUE"""),"Jackstraw75 ")</f>
        <v>Jackstraw75 </v>
      </c>
      <c r="B885" s="149" t="str">
        <f>IFERROR(__xludf.DUMMYFUNCTION("""COMPUTED_VALUE"""),"Princeton ")</f>
        <v>Princeton </v>
      </c>
      <c r="C885" s="149" t="str">
        <f>IFERROR(__xludf.DUMMYFUNCTION("""COMPUTED_VALUE"""),"NJ")</f>
        <v>NJ</v>
      </c>
      <c r="D885" s="149" t="str">
        <f>IFERROR(__xludf.DUMMYFUNCTION("""COMPUTED_VALUE"""),"USA")</f>
        <v>USA</v>
      </c>
      <c r="E885" s="156">
        <f>IFERROR(__xludf.DUMMYFUNCTION("""COMPUTED_VALUE"""),44282.0)</f>
        <v>44282</v>
      </c>
      <c r="F885" s="129">
        <f>IFERROR(__xludf.DUMMYFUNCTION("""COMPUTED_VALUE"""),44344.0)</f>
        <v>44344</v>
      </c>
      <c r="G885" s="154" t="str">
        <f>IFERROR(__xludf.DUMMYFUNCTION("""COMPUTED_VALUE"""),"Email")</f>
        <v>Email</v>
      </c>
      <c r="H885" s="131"/>
      <c r="I885" s="144"/>
      <c r="J885" s="129">
        <f>IFERROR(__xludf.DUMMYFUNCTION("""COMPUTED_VALUE"""),44348.0)</f>
        <v>44348</v>
      </c>
      <c r="K885" s="133">
        <f>IFERROR(__xludf.DUMMYFUNCTION("""COMPUTED_VALUE"""),62.0)</f>
        <v>62</v>
      </c>
      <c r="L885" s="133">
        <f>IFERROR(__xludf.DUMMYFUNCTION("""COMPUTED_VALUE"""),4.0)</f>
        <v>4</v>
      </c>
      <c r="M885" s="133">
        <f>IFERROR(__xludf.DUMMYFUNCTION("""COMPUTED_VALUE"""),66.0)</f>
        <v>66</v>
      </c>
      <c r="N885" s="152" t="str">
        <f>IFERROR(__xludf.DUMMYFUNCTION("""COMPUTED_VALUE"""),"Model 3 LR AWD")</f>
        <v>Model 3 LR AWD</v>
      </c>
      <c r="O885" s="152" t="str">
        <f>IFERROR(__xludf.DUMMYFUNCTION("""COMPUTED_VALUE"""),"Solid Black")</f>
        <v>Solid Black</v>
      </c>
      <c r="P885" s="153" t="str">
        <f>IFERROR(__xludf.DUMMYFUNCTION("""COMPUTED_VALUE"""),"18 inch")</f>
        <v>18 inch</v>
      </c>
      <c r="Q885" s="152" t="str">
        <f>IFERROR(__xludf.DUMMYFUNCTION("""COMPUTED_VALUE"""),"Black and White")</f>
        <v>Black and White</v>
      </c>
      <c r="R885" s="149" t="str">
        <f>IFERROR(__xludf.DUMMYFUNCTION("""COMPUTED_VALUE"""),"Full Self-Driving")</f>
        <v>Full Self-Driving</v>
      </c>
      <c r="S885" s="149" t="str">
        <f>IFERROR(__xludf.DUMMYFUNCTION("""COMPUTED_VALUE"""),"Cash")</f>
        <v>Cash</v>
      </c>
      <c r="T885" s="145" t="str">
        <f>IFERROR(__xludf.DUMMYFUNCTION("""COMPUTED_VALUE"""),"Mercedes ")</f>
        <v>Mercedes </v>
      </c>
      <c r="U885" s="145" t="str">
        <f>IFERROR(__xludf.DUMMYFUNCTION("""COMPUTED_VALUE"""),"Electric!")</f>
        <v>Electric!</v>
      </c>
      <c r="V885" s="145"/>
      <c r="W885" s="145"/>
      <c r="X885" s="137" t="str">
        <f>IFERROR(__xludf.DUMMYFUNCTION("""COMPUTED_VALUE"""),"Excellent")</f>
        <v>Excellent</v>
      </c>
      <c r="Y885" s="138" t="str">
        <f>IFERROR(__xludf.DUMMYFUNCTION("""COMPUTED_VALUE"""),"Very Good")</f>
        <v>Very Good</v>
      </c>
      <c r="Z885" s="138" t="str">
        <f>IFERROR(__xludf.DUMMYFUNCTION("""COMPUTED_VALUE"""),"Good")</f>
        <v>Good</v>
      </c>
      <c r="AA885" s="138" t="str">
        <f>IFERROR(__xludf.DUMMYFUNCTION("""COMPUTED_VALUE"""),"Very Good")</f>
        <v>Very Good</v>
      </c>
      <c r="AB885" s="138" t="str">
        <f>IFERROR(__xludf.DUMMYFUNCTION("""COMPUTED_VALUE"""),"Good")</f>
        <v>Good</v>
      </c>
      <c r="AC885" s="139">
        <f>IFERROR(__xludf.DUMMYFUNCTION("""COMPUTED_VALUE"""),2.0)</f>
        <v>2</v>
      </c>
      <c r="AD885" s="139"/>
      <c r="AE885" s="139"/>
      <c r="AF885" s="140"/>
      <c r="AG885" s="145"/>
      <c r="AH885" s="157">
        <f>IFERROR(__xludf.DUMMYFUNCTION("""COMPUTED_VALUE"""),44348.792852013896)</f>
        <v>44348.79285</v>
      </c>
      <c r="AI885" s="138"/>
      <c r="AJ885" s="138"/>
      <c r="AK885" s="138"/>
      <c r="AL885" s="142"/>
    </row>
    <row r="886" ht="20.25" customHeight="1">
      <c r="A886" s="155" t="str">
        <f>IFERROR(__xludf.DUMMYFUNCTION("""COMPUTED_VALUE"""),"Stan930")</f>
        <v>Stan930</v>
      </c>
      <c r="B886" s="149" t="str">
        <f>IFERROR(__xludf.DUMMYFUNCTION("""COMPUTED_VALUE"""),"Tallahassee")</f>
        <v>Tallahassee</v>
      </c>
      <c r="C886" s="149" t="str">
        <f>IFERROR(__xludf.DUMMYFUNCTION("""COMPUTED_VALUE"""),"FL")</f>
        <v>FL</v>
      </c>
      <c r="D886" s="149" t="str">
        <f>IFERROR(__xludf.DUMMYFUNCTION("""COMPUTED_VALUE"""),"USA")</f>
        <v>USA</v>
      </c>
      <c r="E886" s="156">
        <f>IFERROR(__xludf.DUMMYFUNCTION("""COMPUTED_VALUE"""),44282.0)</f>
        <v>44282</v>
      </c>
      <c r="F886" s="129">
        <f>IFERROR(__xludf.DUMMYFUNCTION("""COMPUTED_VALUE"""),44342.0)</f>
        <v>44342</v>
      </c>
      <c r="G886" s="154" t="str">
        <f>IFERROR(__xludf.DUMMYFUNCTION("""COMPUTED_VALUE"""),"Phone call")</f>
        <v>Phone call</v>
      </c>
      <c r="H886" s="131">
        <f>IFERROR(__xludf.DUMMYFUNCTION("""COMPUTED_VALUE"""),965445.0)</f>
        <v>965445</v>
      </c>
      <c r="I886" s="144" t="str">
        <f>IFERROR(__xludf.DUMMYFUNCTION("""COMPUTED_VALUE"""),"05/21")</f>
        <v>05/21</v>
      </c>
      <c r="J886" s="129">
        <f>IFERROR(__xludf.DUMMYFUNCTION("""COMPUTED_VALUE"""),44344.0)</f>
        <v>44344</v>
      </c>
      <c r="K886" s="133">
        <f>IFERROR(__xludf.DUMMYFUNCTION("""COMPUTED_VALUE"""),60.0)</f>
        <v>60</v>
      </c>
      <c r="L886" s="133">
        <f>IFERROR(__xludf.DUMMYFUNCTION("""COMPUTED_VALUE"""),2.0)</f>
        <v>2</v>
      </c>
      <c r="M886" s="133">
        <f>IFERROR(__xludf.DUMMYFUNCTION("""COMPUTED_VALUE"""),62.0)</f>
        <v>62</v>
      </c>
      <c r="N886" s="152" t="str">
        <f>IFERROR(__xludf.DUMMYFUNCTION("""COMPUTED_VALUE"""),"Model 3 LR AWD")</f>
        <v>Model 3 LR AWD</v>
      </c>
      <c r="O886" s="152" t="str">
        <f>IFERROR(__xludf.DUMMYFUNCTION("""COMPUTED_VALUE"""),"Midnight Silver Metallic")</f>
        <v>Midnight Silver Metallic</v>
      </c>
      <c r="P886" s="153" t="str">
        <f>IFERROR(__xludf.DUMMYFUNCTION("""COMPUTED_VALUE"""),"18 inch")</f>
        <v>18 inch</v>
      </c>
      <c r="Q886" s="152" t="str">
        <f>IFERROR(__xludf.DUMMYFUNCTION("""COMPUTED_VALUE"""),"All Black")</f>
        <v>All Black</v>
      </c>
      <c r="R886" s="149" t="str">
        <f>IFERROR(__xludf.DUMMYFUNCTION("""COMPUTED_VALUE"""),"Autopilot included")</f>
        <v>Autopilot included</v>
      </c>
      <c r="S886" s="149" t="str">
        <f>IFERROR(__xludf.DUMMYFUNCTION("""COMPUTED_VALUE"""),"Loan")</f>
        <v>Loan</v>
      </c>
      <c r="T886" s="145" t="str">
        <f>IFERROR(__xludf.DUMMYFUNCTION("""COMPUTED_VALUE"""),"Nissan Leaf")</f>
        <v>Nissan Leaf</v>
      </c>
      <c r="U886" s="145" t="str">
        <f>IFERROR(__xludf.DUMMYFUNCTION("""COMPUTED_VALUE"""),"Charging Network")</f>
        <v>Charging Network</v>
      </c>
      <c r="V886" s="145" t="str">
        <f>IFERROR(__xludf.DUMMYFUNCTION("""COMPUTED_VALUE"""),"Dimming mirrors off option.")</f>
        <v>Dimming mirrors off option.</v>
      </c>
      <c r="W886" s="145" t="str">
        <f>IFERROR(__xludf.DUMMYFUNCTION("""COMPUTED_VALUE"""),"New 82KWH Battery Pack Verified.")</f>
        <v>New 82KWH Battery Pack Verified.</v>
      </c>
      <c r="X886" s="137" t="str">
        <f>IFERROR(__xludf.DUMMYFUNCTION("""COMPUTED_VALUE"""),"Very Good")</f>
        <v>Very Good</v>
      </c>
      <c r="Y886" s="138" t="str">
        <f>IFERROR(__xludf.DUMMYFUNCTION("""COMPUTED_VALUE"""),"Excellent")</f>
        <v>Excellent</v>
      </c>
      <c r="Z886" s="138" t="str">
        <f>IFERROR(__xludf.DUMMYFUNCTION("""COMPUTED_VALUE"""),"Excellent")</f>
        <v>Excellent</v>
      </c>
      <c r="AA886" s="138" t="str">
        <f>IFERROR(__xludf.DUMMYFUNCTION("""COMPUTED_VALUE"""),"Excellent")</f>
        <v>Excellent</v>
      </c>
      <c r="AB886" s="138" t="str">
        <f>IFERROR(__xludf.DUMMYFUNCTION("""COMPUTED_VALUE"""),"Excellent")</f>
        <v>Excellent</v>
      </c>
      <c r="AC886" s="139">
        <f>IFERROR(__xludf.DUMMYFUNCTION("""COMPUTED_VALUE"""),3.0)</f>
        <v>3</v>
      </c>
      <c r="AD886" s="139"/>
      <c r="AE886" s="139"/>
      <c r="AF886" s="140" t="str">
        <f>IFERROR(__xludf.DUMMYFUNCTION("""COMPUTED_VALUE"""),"No. I took delivery of the first car Tesla was able to deliver.")</f>
        <v>No. I took delivery of the first car Tesla was able to deliver.</v>
      </c>
      <c r="AG886" s="145" t="str">
        <f>IFERROR(__xludf.DUMMYFUNCTION("""COMPUTED_VALUE"""),"Trunk and frunk small alignment adjustment needed.")</f>
        <v>Trunk and frunk small alignment adjustment needed.</v>
      </c>
      <c r="AH886" s="157">
        <f>IFERROR(__xludf.DUMMYFUNCTION("""COMPUTED_VALUE"""),44352.19673604166)</f>
        <v>44352.19674</v>
      </c>
      <c r="AI886" s="138"/>
      <c r="AJ886" s="138"/>
      <c r="AK886" s="138"/>
      <c r="AL886" s="142"/>
    </row>
    <row r="887" ht="20.25" customHeight="1">
      <c r="A887" s="155" t="str">
        <f>IFERROR(__xludf.DUMMYFUNCTION("""COMPUTED_VALUE"""),"Dan F")</f>
        <v>Dan F</v>
      </c>
      <c r="B887" s="149" t="str">
        <f>IFERROR(__xludf.DUMMYFUNCTION("""COMPUTED_VALUE"""),"Winnipeg")</f>
        <v>Winnipeg</v>
      </c>
      <c r="C887" s="149" t="str">
        <f>IFERROR(__xludf.DUMMYFUNCTION("""COMPUTED_VALUE"""),"MB")</f>
        <v>MB</v>
      </c>
      <c r="D887" s="149" t="str">
        <f>IFERROR(__xludf.DUMMYFUNCTION("""COMPUTED_VALUE"""),"Canada")</f>
        <v>Canada</v>
      </c>
      <c r="E887" s="156">
        <f>IFERROR(__xludf.DUMMYFUNCTION("""COMPUTED_VALUE"""),44281.0)</f>
        <v>44281</v>
      </c>
      <c r="F887" s="129">
        <f>IFERROR(__xludf.DUMMYFUNCTION("""COMPUTED_VALUE"""),44445.0)</f>
        <v>44445</v>
      </c>
      <c r="G887" s="154" t="str">
        <f>IFERROR(__xludf.DUMMYFUNCTION("""COMPUTED_VALUE"""),"Source code")</f>
        <v>Source code</v>
      </c>
      <c r="H887" s="131"/>
      <c r="I887" s="144"/>
      <c r="J887" s="129"/>
      <c r="K887" s="133">
        <f>IFERROR(__xludf.DUMMYFUNCTION("""COMPUTED_VALUE"""),164.0)</f>
        <v>164</v>
      </c>
      <c r="L887" s="133"/>
      <c r="M887" s="133"/>
      <c r="N887" s="152" t="str">
        <f>IFERROR(__xludf.DUMMYFUNCTION("""COMPUTED_VALUE"""),"Model 3 SR+")</f>
        <v>Model 3 SR+</v>
      </c>
      <c r="O887" s="152" t="str">
        <f>IFERROR(__xludf.DUMMYFUNCTION("""COMPUTED_VALUE"""),"Solid Black")</f>
        <v>Solid Black</v>
      </c>
      <c r="P887" s="153" t="str">
        <f>IFERROR(__xludf.DUMMYFUNCTION("""COMPUTED_VALUE"""),"18 inch")</f>
        <v>18 inch</v>
      </c>
      <c r="Q887" s="152" t="str">
        <f>IFERROR(__xludf.DUMMYFUNCTION("""COMPUTED_VALUE"""),"All Black")</f>
        <v>All Black</v>
      </c>
      <c r="R887" s="149" t="str">
        <f>IFERROR(__xludf.DUMMYFUNCTION("""COMPUTED_VALUE"""),"Autopilot included")</f>
        <v>Autopilot included</v>
      </c>
      <c r="S887" s="149" t="str">
        <f>IFERROR(__xludf.DUMMYFUNCTION("""COMPUTED_VALUE"""),"Loan")</f>
        <v>Loan</v>
      </c>
      <c r="T887" s="145" t="str">
        <f>IFERROR(__xludf.DUMMYFUNCTION("""COMPUTED_VALUE"""),"Ford Focus")</f>
        <v>Ford Focus</v>
      </c>
      <c r="U887" s="145" t="str">
        <f>IFERROR(__xludf.DUMMYFUNCTION("""COMPUTED_VALUE"""),"Electric!")</f>
        <v>Electric!</v>
      </c>
      <c r="V887" s="145" t="str">
        <f>IFERROR(__xludf.DUMMYFUNCTION("""COMPUTED_VALUE"""),"Heated steering wheel")</f>
        <v>Heated steering wheel</v>
      </c>
      <c r="W887" s="145"/>
      <c r="X887" s="137"/>
      <c r="Y887" s="138"/>
      <c r="Z887" s="138"/>
      <c r="AA887" s="138"/>
      <c r="AB887" s="138"/>
      <c r="AC887" s="139"/>
      <c r="AD887" s="139"/>
      <c r="AE887" s="139"/>
      <c r="AF887" s="140"/>
      <c r="AG887" s="145"/>
      <c r="AH887" s="157">
        <f>IFERROR(__xludf.DUMMYFUNCTION("""COMPUTED_VALUE"""),44445.75976884259)</f>
        <v>44445.75977</v>
      </c>
      <c r="AI887" s="138"/>
      <c r="AJ887" s="138"/>
      <c r="AK887" s="138"/>
      <c r="AL887" s="142"/>
    </row>
    <row r="888" ht="20.25" customHeight="1">
      <c r="A888" s="155" t="str">
        <f>IFERROR(__xludf.DUMMYFUNCTION("""COMPUTED_VALUE"""),"EdgeOfInsanity")</f>
        <v>EdgeOfInsanity</v>
      </c>
      <c r="B888" s="149" t="str">
        <f>IFERROR(__xludf.DUMMYFUNCTION("""COMPUTED_VALUE"""),"Charlotte")</f>
        <v>Charlotte</v>
      </c>
      <c r="C888" s="149" t="str">
        <f>IFERROR(__xludf.DUMMYFUNCTION("""COMPUTED_VALUE"""),"NC")</f>
        <v>NC</v>
      </c>
      <c r="D888" s="149" t="str">
        <f>IFERROR(__xludf.DUMMYFUNCTION("""COMPUTED_VALUE"""),"USA")</f>
        <v>USA</v>
      </c>
      <c r="E888" s="156">
        <f>IFERROR(__xludf.DUMMYFUNCTION("""COMPUTED_VALUE"""),44281.0)</f>
        <v>44281</v>
      </c>
      <c r="F888" s="129">
        <f>IFERROR(__xludf.DUMMYFUNCTION("""COMPUTED_VALUE"""),44350.0)</f>
        <v>44350</v>
      </c>
      <c r="G888" s="154" t="str">
        <f>IFERROR(__xludf.DUMMYFUNCTION("""COMPUTED_VALUE"""),"Manage order page (normal text)")</f>
        <v>Manage order page (normal text)</v>
      </c>
      <c r="H888" s="131"/>
      <c r="I888" s="144"/>
      <c r="J888" s="129">
        <f>IFERROR(__xludf.DUMMYFUNCTION("""COMPUTED_VALUE"""),44351.0)</f>
        <v>44351</v>
      </c>
      <c r="K888" s="133">
        <f>IFERROR(__xludf.DUMMYFUNCTION("""COMPUTED_VALUE"""),69.0)</f>
        <v>69</v>
      </c>
      <c r="L888" s="133">
        <f>IFERROR(__xludf.DUMMYFUNCTION("""COMPUTED_VALUE"""),1.0)</f>
        <v>1</v>
      </c>
      <c r="M888" s="133">
        <f>IFERROR(__xludf.DUMMYFUNCTION("""COMPUTED_VALUE"""),70.0)</f>
        <v>70</v>
      </c>
      <c r="N888" s="152" t="str">
        <f>IFERROR(__xludf.DUMMYFUNCTION("""COMPUTED_VALUE"""),"Model 3 LR AWD")</f>
        <v>Model 3 LR AWD</v>
      </c>
      <c r="O888" s="152" t="str">
        <f>IFERROR(__xludf.DUMMYFUNCTION("""COMPUTED_VALUE"""),"Pearl White Multi-Coat")</f>
        <v>Pearl White Multi-Coat</v>
      </c>
      <c r="P888" s="153" t="str">
        <f>IFERROR(__xludf.DUMMYFUNCTION("""COMPUTED_VALUE"""),"18 inch")</f>
        <v>18 inch</v>
      </c>
      <c r="Q888" s="152" t="str">
        <f>IFERROR(__xludf.DUMMYFUNCTION("""COMPUTED_VALUE"""),"All Black")</f>
        <v>All Black</v>
      </c>
      <c r="R888" s="149" t="str">
        <f>IFERROR(__xludf.DUMMYFUNCTION("""COMPUTED_VALUE"""),"Autopilot included")</f>
        <v>Autopilot included</v>
      </c>
      <c r="S888" s="149" t="str">
        <f>IFERROR(__xludf.DUMMYFUNCTION("""COMPUTED_VALUE"""),"Loan")</f>
        <v>Loan</v>
      </c>
      <c r="T888" s="145" t="str">
        <f>IFERROR(__xludf.DUMMYFUNCTION("""COMPUTED_VALUE"""),"Buick Lacrosse")</f>
        <v>Buick Lacrosse</v>
      </c>
      <c r="U888" s="145" t="str">
        <f>IFERROR(__xludf.DUMMYFUNCTION("""COMPUTED_VALUE"""),"Autopilot")</f>
        <v>Autopilot</v>
      </c>
      <c r="V888" s="145" t="str">
        <f>IFERROR(__xludf.DUMMYFUNCTION("""COMPUTED_VALUE"""),"Head-up display")</f>
        <v>Head-up display</v>
      </c>
      <c r="W888" s="145"/>
      <c r="X888" s="137" t="str">
        <f>IFERROR(__xludf.DUMMYFUNCTION("""COMPUTED_VALUE"""),"Very Good")</f>
        <v>Very Good</v>
      </c>
      <c r="Y888" s="138" t="str">
        <f>IFERROR(__xludf.DUMMYFUNCTION("""COMPUTED_VALUE"""),"Very Good")</f>
        <v>Very Good</v>
      </c>
      <c r="Z888" s="138" t="str">
        <f>IFERROR(__xludf.DUMMYFUNCTION("""COMPUTED_VALUE"""),"Very Good")</f>
        <v>Very Good</v>
      </c>
      <c r="AA888" s="138" t="str">
        <f>IFERROR(__xludf.DUMMYFUNCTION("""COMPUTED_VALUE"""),"Poor")</f>
        <v>Poor</v>
      </c>
      <c r="AB888" s="138" t="str">
        <f>IFERROR(__xludf.DUMMYFUNCTION("""COMPUTED_VALUE"""),"Good")</f>
        <v>Good</v>
      </c>
      <c r="AC888" s="139">
        <f>IFERROR(__xludf.DUMMYFUNCTION("""COMPUTED_VALUE"""),1.0)</f>
        <v>1</v>
      </c>
      <c r="AD888" s="139"/>
      <c r="AE888" s="139"/>
      <c r="AF888" s="140" t="str">
        <f>IFERROR(__xludf.DUMMYFUNCTION("""COMPUTED_VALUE"""),"No. I took delivery of the first car Tesla was able to deliver.")</f>
        <v>No. I took delivery of the first car Tesla was able to deliver.</v>
      </c>
      <c r="AG888" s="145" t="str">
        <f>IFERROR(__xludf.DUMMYFUNCTION("""COMPUTED_VALUE"""),"The worst car buying experience I've ever had, will not be buying a Tesla again")</f>
        <v>The worst car buying experience I've ever had, will not be buying a Tesla again</v>
      </c>
      <c r="AH888" s="157">
        <f>IFERROR(__xludf.DUMMYFUNCTION("""COMPUTED_VALUE"""),44354.282556412036)</f>
        <v>44354.28256</v>
      </c>
      <c r="AI888" s="138"/>
      <c r="AJ888" s="138"/>
      <c r="AK888" s="138"/>
      <c r="AL888" s="142"/>
    </row>
    <row r="889" ht="20.25" customHeight="1">
      <c r="A889" s="155" t="str">
        <f>IFERROR(__xludf.DUMMYFUNCTION("""COMPUTED_VALUE"""),"NorthStar7")</f>
        <v>NorthStar7</v>
      </c>
      <c r="B889" s="149" t="str">
        <f>IFERROR(__xludf.DUMMYFUNCTION("""COMPUTED_VALUE"""),"Minneapolis")</f>
        <v>Minneapolis</v>
      </c>
      <c r="C889" s="149" t="str">
        <f>IFERROR(__xludf.DUMMYFUNCTION("""COMPUTED_VALUE"""),"MN")</f>
        <v>MN</v>
      </c>
      <c r="D889" s="149" t="str">
        <f>IFERROR(__xludf.DUMMYFUNCTION("""COMPUTED_VALUE"""),"USA")</f>
        <v>USA</v>
      </c>
      <c r="E889" s="156">
        <f>IFERROR(__xludf.DUMMYFUNCTION("""COMPUTED_VALUE"""),44281.0)</f>
        <v>44281</v>
      </c>
      <c r="F889" s="129">
        <f>IFERROR(__xludf.DUMMYFUNCTION("""COMPUTED_VALUE"""),44288.0)</f>
        <v>44288</v>
      </c>
      <c r="G889" s="154" t="str">
        <f>IFERROR(__xludf.DUMMYFUNCTION("""COMPUTED_VALUE"""),"Manage order page (normal text)")</f>
        <v>Manage order page (normal text)</v>
      </c>
      <c r="H889" s="131">
        <f>IFERROR(__xludf.DUMMYFUNCTION("""COMPUTED_VALUE"""),943655.0)</f>
        <v>943655</v>
      </c>
      <c r="I889" s="144" t="str">
        <f>IFERROR(__xludf.DUMMYFUNCTION("""COMPUTED_VALUE"""),"03/21")</f>
        <v>03/21</v>
      </c>
      <c r="J889" s="129">
        <f>IFERROR(__xludf.DUMMYFUNCTION("""COMPUTED_VALUE"""),44303.0)</f>
        <v>44303</v>
      </c>
      <c r="K889" s="133">
        <f>IFERROR(__xludf.DUMMYFUNCTION("""COMPUTED_VALUE"""),7.0)</f>
        <v>7</v>
      </c>
      <c r="L889" s="133">
        <f>IFERROR(__xludf.DUMMYFUNCTION("""COMPUTED_VALUE"""),15.0)</f>
        <v>15</v>
      </c>
      <c r="M889" s="133">
        <f>IFERROR(__xludf.DUMMYFUNCTION("""COMPUTED_VALUE"""),22.0)</f>
        <v>22</v>
      </c>
      <c r="N889" s="152" t="str">
        <f>IFERROR(__xludf.DUMMYFUNCTION("""COMPUTED_VALUE"""),"Model 3 LR AWD")</f>
        <v>Model 3 LR AWD</v>
      </c>
      <c r="O889" s="152" t="str">
        <f>IFERROR(__xludf.DUMMYFUNCTION("""COMPUTED_VALUE"""),"Pearl White Multi-Coat")</f>
        <v>Pearl White Multi-Coat</v>
      </c>
      <c r="P889" s="153" t="str">
        <f>IFERROR(__xludf.DUMMYFUNCTION("""COMPUTED_VALUE"""),"18 inch")</f>
        <v>18 inch</v>
      </c>
      <c r="Q889" s="152" t="str">
        <f>IFERROR(__xludf.DUMMYFUNCTION("""COMPUTED_VALUE"""),"All Black")</f>
        <v>All Black</v>
      </c>
      <c r="R889" s="149" t="str">
        <f>IFERROR(__xludf.DUMMYFUNCTION("""COMPUTED_VALUE"""),"Autopilot included")</f>
        <v>Autopilot included</v>
      </c>
      <c r="S889" s="149" t="str">
        <f>IFERROR(__xludf.DUMMYFUNCTION("""COMPUTED_VALUE"""),"Cash")</f>
        <v>Cash</v>
      </c>
      <c r="T889" s="145" t="str">
        <f>IFERROR(__xludf.DUMMYFUNCTION("""COMPUTED_VALUE"""),"BMW 3 Series")</f>
        <v>BMW 3 Series</v>
      </c>
      <c r="U889" s="145" t="str">
        <f>IFERROR(__xludf.DUMMYFUNCTION("""COMPUTED_VALUE"""),"Electric!")</f>
        <v>Electric!</v>
      </c>
      <c r="V889" s="145" t="str">
        <f>IFERROR(__xludf.DUMMYFUNCTION("""COMPUTED_VALUE"""),"Head-up display")</f>
        <v>Head-up display</v>
      </c>
      <c r="W889" s="145"/>
      <c r="X889" s="137" t="str">
        <f>IFERROR(__xludf.DUMMYFUNCTION("""COMPUTED_VALUE"""),"Very Good")</f>
        <v>Very Good</v>
      </c>
      <c r="Y889" s="138" t="str">
        <f>IFERROR(__xludf.DUMMYFUNCTION("""COMPUTED_VALUE"""),"Excellent")</f>
        <v>Excellent</v>
      </c>
      <c r="Z889" s="138" t="str">
        <f>IFERROR(__xludf.DUMMYFUNCTION("""COMPUTED_VALUE"""),"Good")</f>
        <v>Good</v>
      </c>
      <c r="AA889" s="138" t="str">
        <f>IFERROR(__xludf.DUMMYFUNCTION("""COMPUTED_VALUE"""),"Excellent")</f>
        <v>Excellent</v>
      </c>
      <c r="AB889" s="138" t="str">
        <f>IFERROR(__xludf.DUMMYFUNCTION("""COMPUTED_VALUE"""),"Excellent")</f>
        <v>Excellent</v>
      </c>
      <c r="AC889" s="139">
        <f>IFERROR(__xludf.DUMMYFUNCTION("""COMPUTED_VALUE"""),1.0)</f>
        <v>1</v>
      </c>
      <c r="AD889" s="139"/>
      <c r="AE889" s="139"/>
      <c r="AF889" s="140" t="str">
        <f>IFERROR(__xludf.DUMMYFUNCTION("""COMPUTED_VALUE"""),"No. I took delivery of the first car Tesla was able to deliver.")</f>
        <v>No. I took delivery of the first car Tesla was able to deliver.</v>
      </c>
      <c r="AG889" s="145" t="str">
        <f>IFERROR(__xludf.DUMMYFUNCTION("""COMPUTED_VALUE"""),"Other than some rail dust on the paint it was in great condition.")</f>
        <v>Other than some rail dust on the paint it was in great condition.</v>
      </c>
      <c r="AH889" s="157">
        <f>IFERROR(__xludf.DUMMYFUNCTION("""COMPUTED_VALUE"""),44303.6920890162)</f>
        <v>44303.69209</v>
      </c>
      <c r="AI889" s="138"/>
      <c r="AJ889" s="138"/>
      <c r="AK889" s="138"/>
      <c r="AL889" s="142"/>
    </row>
    <row r="890" ht="20.25" customHeight="1">
      <c r="A890" s="155" t="str">
        <f>IFERROR(__xludf.DUMMYFUNCTION("""COMPUTED_VALUE"""),"iwantmytesla")</f>
        <v>iwantmytesla</v>
      </c>
      <c r="B890" s="149" t="str">
        <f>IFERROR(__xludf.DUMMYFUNCTION("""COMPUTED_VALUE"""),"Orange County, CA")</f>
        <v>Orange County, CA</v>
      </c>
      <c r="C890" s="149" t="str">
        <f>IFERROR(__xludf.DUMMYFUNCTION("""COMPUTED_VALUE"""),"CA")</f>
        <v>CA</v>
      </c>
      <c r="D890" s="149" t="str">
        <f>IFERROR(__xludf.DUMMYFUNCTION("""COMPUTED_VALUE"""),"USA")</f>
        <v>USA</v>
      </c>
      <c r="E890" s="156">
        <f>IFERROR(__xludf.DUMMYFUNCTION("""COMPUTED_VALUE"""),44280.0)</f>
        <v>44280</v>
      </c>
      <c r="F890" s="129">
        <f>IFERROR(__xludf.DUMMYFUNCTION("""COMPUTED_VALUE"""),44281.0)</f>
        <v>44281</v>
      </c>
      <c r="G890" s="154" t="str">
        <f>IFERROR(__xludf.DUMMYFUNCTION("""COMPUTED_VALUE"""),"Manage order page (normal text)")</f>
        <v>Manage order page (normal text)</v>
      </c>
      <c r="H890" s="131">
        <f>IFERROR(__xludf.DUMMYFUNCTION("""COMPUTED_VALUE"""),938455.0)</f>
        <v>938455</v>
      </c>
      <c r="I890" s="144" t="str">
        <f>IFERROR(__xludf.DUMMYFUNCTION("""COMPUTED_VALUE"""),"03/21")</f>
        <v>03/21</v>
      </c>
      <c r="J890" s="129">
        <f>IFERROR(__xludf.DUMMYFUNCTION("""COMPUTED_VALUE"""),44285.0)</f>
        <v>44285</v>
      </c>
      <c r="K890" s="133">
        <f>IFERROR(__xludf.DUMMYFUNCTION("""COMPUTED_VALUE"""),1.0)</f>
        <v>1</v>
      </c>
      <c r="L890" s="133">
        <f>IFERROR(__xludf.DUMMYFUNCTION("""COMPUTED_VALUE"""),4.0)</f>
        <v>4</v>
      </c>
      <c r="M890" s="133">
        <f>IFERROR(__xludf.DUMMYFUNCTION("""COMPUTED_VALUE"""),5.0)</f>
        <v>5</v>
      </c>
      <c r="N890" s="152" t="str">
        <f>IFERROR(__xludf.DUMMYFUNCTION("""COMPUTED_VALUE"""),"Model 3 LR AWD")</f>
        <v>Model 3 LR AWD</v>
      </c>
      <c r="O890" s="152" t="str">
        <f>IFERROR(__xludf.DUMMYFUNCTION("""COMPUTED_VALUE"""),"Red Multi-Coat")</f>
        <v>Red Multi-Coat</v>
      </c>
      <c r="P890" s="153" t="str">
        <f>IFERROR(__xludf.DUMMYFUNCTION("""COMPUTED_VALUE"""),"18 inch")</f>
        <v>18 inch</v>
      </c>
      <c r="Q890" s="152" t="str">
        <f>IFERROR(__xludf.DUMMYFUNCTION("""COMPUTED_VALUE"""),"All Black")</f>
        <v>All Black</v>
      </c>
      <c r="R890" s="149" t="str">
        <f>IFERROR(__xludf.DUMMYFUNCTION("""COMPUTED_VALUE"""),"Full Self-Driving")</f>
        <v>Full Self-Driving</v>
      </c>
      <c r="S890" s="149" t="str">
        <f>IFERROR(__xludf.DUMMYFUNCTION("""COMPUTED_VALUE"""),"Loan")</f>
        <v>Loan</v>
      </c>
      <c r="T890" s="145" t="str">
        <f>IFERROR(__xludf.DUMMYFUNCTION("""COMPUTED_VALUE"""),"Honda Civic")</f>
        <v>Honda Civic</v>
      </c>
      <c r="U890" s="145" t="str">
        <f>IFERROR(__xludf.DUMMYFUNCTION("""COMPUTED_VALUE"""),"Electric!")</f>
        <v>Electric!</v>
      </c>
      <c r="V890" s="145" t="str">
        <f>IFERROR(__xludf.DUMMYFUNCTION("""COMPUTED_VALUE"""),"Apple CarPlay / Android Auto / SiriusXM Radio")</f>
        <v>Apple CarPlay / Android Auto / SiriusXM Radio</v>
      </c>
      <c r="W890" s="145" t="str">
        <f>IFERROR(__xludf.DUMMYFUNCTION("""COMPUTED_VALUE"""),"There is a clear lack of communication by Tesla throughout the order process if you do everything online. The car is worth it though")</f>
        <v>There is a clear lack of communication by Tesla throughout the order process if you do everything online. The car is worth it though</v>
      </c>
      <c r="X890" s="137" t="str">
        <f>IFERROR(__xludf.DUMMYFUNCTION("""COMPUTED_VALUE"""),"Excellent")</f>
        <v>Excellent</v>
      </c>
      <c r="Y890" s="138" t="str">
        <f>IFERROR(__xludf.DUMMYFUNCTION("""COMPUTED_VALUE"""),"Excellent")</f>
        <v>Excellent</v>
      </c>
      <c r="Z890" s="138" t="str">
        <f>IFERROR(__xludf.DUMMYFUNCTION("""COMPUTED_VALUE"""),"Good")</f>
        <v>Good</v>
      </c>
      <c r="AA890" s="138" t="str">
        <f>IFERROR(__xludf.DUMMYFUNCTION("""COMPUTED_VALUE"""),"Poor")</f>
        <v>Poor</v>
      </c>
      <c r="AB890" s="138" t="str">
        <f>IFERROR(__xludf.DUMMYFUNCTION("""COMPUTED_VALUE"""),"Very Good")</f>
        <v>Very Good</v>
      </c>
      <c r="AC890" s="139">
        <f>IFERROR(__xludf.DUMMYFUNCTION("""COMPUTED_VALUE"""),4.0)</f>
        <v>4</v>
      </c>
      <c r="AD890" s="139"/>
      <c r="AE890" s="139"/>
      <c r="AF890" s="140" t="str">
        <f>IFERROR(__xludf.DUMMYFUNCTION("""COMPUTED_VALUE"""),"No. I took delivery of the first car Tesla was able to deliver.")</f>
        <v>No. I took delivery of the first car Tesla was able to deliver.</v>
      </c>
      <c r="AG890" s="145"/>
      <c r="AH890" s="157">
        <f>IFERROR(__xludf.DUMMYFUNCTION("""COMPUTED_VALUE"""),44286.26081390046)</f>
        <v>44286.26081</v>
      </c>
      <c r="AI890" s="138"/>
      <c r="AJ890" s="138"/>
      <c r="AK890" s="138"/>
      <c r="AL890" s="142"/>
    </row>
    <row r="891" ht="20.25" customHeight="1">
      <c r="A891" s="155" t="str">
        <f>IFERROR(__xludf.DUMMYFUNCTION("""COMPUTED_VALUE"""),"john678")</f>
        <v>john678</v>
      </c>
      <c r="B891" s="149"/>
      <c r="C891" s="149" t="str">
        <f>IFERROR(__xludf.DUMMYFUNCTION("""COMPUTED_VALUE"""),"PA")</f>
        <v>PA</v>
      </c>
      <c r="D891" s="149" t="str">
        <f>IFERROR(__xludf.DUMMYFUNCTION("""COMPUTED_VALUE"""),"USA")</f>
        <v>USA</v>
      </c>
      <c r="E891" s="156">
        <f>IFERROR(__xludf.DUMMYFUNCTION("""COMPUTED_VALUE"""),44280.0)</f>
        <v>44280</v>
      </c>
      <c r="F891" s="129">
        <f>IFERROR(__xludf.DUMMYFUNCTION("""COMPUTED_VALUE"""),44284.0)</f>
        <v>44284</v>
      </c>
      <c r="G891" s="154" t="str">
        <f>IFERROR(__xludf.DUMMYFUNCTION("""COMPUTED_VALUE"""),"Manage order page (normal text)")</f>
        <v>Manage order page (normal text)</v>
      </c>
      <c r="H891" s="131">
        <f>IFERROR(__xludf.DUMMYFUNCTION("""COMPUTED_VALUE"""),925642.0)</f>
        <v>925642</v>
      </c>
      <c r="I891" s="144" t="str">
        <f>IFERROR(__xludf.DUMMYFUNCTION("""COMPUTED_VALUE"""),"03/21")</f>
        <v>03/21</v>
      </c>
      <c r="J891" s="129">
        <f>IFERROR(__xludf.DUMMYFUNCTION("""COMPUTED_VALUE"""),44285.0)</f>
        <v>44285</v>
      </c>
      <c r="K891" s="133">
        <f>IFERROR(__xludf.DUMMYFUNCTION("""COMPUTED_VALUE"""),4.0)</f>
        <v>4</v>
      </c>
      <c r="L891" s="133">
        <f>IFERROR(__xludf.DUMMYFUNCTION("""COMPUTED_VALUE"""),1.0)</f>
        <v>1</v>
      </c>
      <c r="M891" s="133">
        <f>IFERROR(__xludf.DUMMYFUNCTION("""COMPUTED_VALUE"""),5.0)</f>
        <v>5</v>
      </c>
      <c r="N891" s="152" t="str">
        <f>IFERROR(__xludf.DUMMYFUNCTION("""COMPUTED_VALUE"""),"Model 3 Performance")</f>
        <v>Model 3 Performance</v>
      </c>
      <c r="O891" s="152" t="str">
        <f>IFERROR(__xludf.DUMMYFUNCTION("""COMPUTED_VALUE"""),"Pearl White Multi-Coat")</f>
        <v>Pearl White Multi-Coat</v>
      </c>
      <c r="P891" s="153" t="str">
        <f>IFERROR(__xludf.DUMMYFUNCTION("""COMPUTED_VALUE"""),"20 inch")</f>
        <v>20 inch</v>
      </c>
      <c r="Q891" s="152" t="str">
        <f>IFERROR(__xludf.DUMMYFUNCTION("""COMPUTED_VALUE"""),"All Black")</f>
        <v>All Black</v>
      </c>
      <c r="R891" s="149" t="str">
        <f>IFERROR(__xludf.DUMMYFUNCTION("""COMPUTED_VALUE"""),"Autopilot included")</f>
        <v>Autopilot included</v>
      </c>
      <c r="S891" s="149" t="str">
        <f>IFERROR(__xludf.DUMMYFUNCTION("""COMPUTED_VALUE"""),"Loan")</f>
        <v>Loan</v>
      </c>
      <c r="T891" s="145" t="str">
        <f>IFERROR(__xludf.DUMMYFUNCTION("""COMPUTED_VALUE"""),"Honda Accord")</f>
        <v>Honda Accord</v>
      </c>
      <c r="U891" s="145" t="str">
        <f>IFERROR(__xludf.DUMMYFUNCTION("""COMPUTED_VALUE"""),"Electric!")</f>
        <v>Electric!</v>
      </c>
      <c r="V891" s="145" t="str">
        <f>IFERROR(__xludf.DUMMYFUNCTION("""COMPUTED_VALUE"""),"Air suspension")</f>
        <v>Air suspension</v>
      </c>
      <c r="W891" s="145"/>
      <c r="X891" s="137" t="str">
        <f>IFERROR(__xludf.DUMMYFUNCTION("""COMPUTED_VALUE"""),"Fair")</f>
        <v>Fair</v>
      </c>
      <c r="Y891" s="138" t="str">
        <f>IFERROR(__xludf.DUMMYFUNCTION("""COMPUTED_VALUE"""),"Very Good")</f>
        <v>Very Good</v>
      </c>
      <c r="Z891" s="138" t="str">
        <f>IFERROR(__xludf.DUMMYFUNCTION("""COMPUTED_VALUE"""),"Very Good")</f>
        <v>Very Good</v>
      </c>
      <c r="AA891" s="138" t="str">
        <f>IFERROR(__xludf.DUMMYFUNCTION("""COMPUTED_VALUE"""),"Good")</f>
        <v>Good</v>
      </c>
      <c r="AB891" s="138" t="str">
        <f>IFERROR(__xludf.DUMMYFUNCTION("""COMPUTED_VALUE"""),"Fair")</f>
        <v>Fair</v>
      </c>
      <c r="AC891" s="139">
        <f>IFERROR(__xludf.DUMMYFUNCTION("""COMPUTED_VALUE"""),4.0)</f>
        <v>4</v>
      </c>
      <c r="AD891" s="139">
        <f>IFERROR(__xludf.DUMMYFUNCTION("""COMPUTED_VALUE"""),1.0)</f>
        <v>1</v>
      </c>
      <c r="AE891" s="139">
        <f>IFERROR(__xludf.DUMMYFUNCTION("""COMPUTED_VALUE"""),1.0)</f>
        <v>1</v>
      </c>
      <c r="AF891" s="140" t="str">
        <f>IFERROR(__xludf.DUMMYFUNCTION("""COMPUTED_VALUE"""),"No. I took delivery of the first car Tesla was able to deliver.")</f>
        <v>No. I took delivery of the first car Tesla was able to deliver.</v>
      </c>
      <c r="AG891" s="145"/>
      <c r="AH891" s="157">
        <f>IFERROR(__xludf.DUMMYFUNCTION("""COMPUTED_VALUE"""),44298.80835047453)</f>
        <v>44298.80835</v>
      </c>
      <c r="AI891" s="138"/>
      <c r="AJ891" s="138"/>
      <c r="AK891" s="138"/>
      <c r="AL891" s="142"/>
    </row>
    <row r="892" ht="20.25" customHeight="1">
      <c r="A892" s="155" t="str">
        <f>IFERROR(__xludf.DUMMYFUNCTION("""COMPUTED_VALUE"""),"vikingrob")</f>
        <v>vikingrob</v>
      </c>
      <c r="B892" s="149"/>
      <c r="C892" s="149" t="str">
        <f>IFERROR(__xludf.DUMMYFUNCTION("""COMPUTED_VALUE"""),"MN")</f>
        <v>MN</v>
      </c>
      <c r="D892" s="149" t="str">
        <f>IFERROR(__xludf.DUMMYFUNCTION("""COMPUTED_VALUE"""),"USA")</f>
        <v>USA</v>
      </c>
      <c r="E892" s="156">
        <f>IFERROR(__xludf.DUMMYFUNCTION("""COMPUTED_VALUE"""),44280.0)</f>
        <v>44280</v>
      </c>
      <c r="F892" s="129">
        <f>IFERROR(__xludf.DUMMYFUNCTION("""COMPUTED_VALUE"""),44342.0)</f>
        <v>44342</v>
      </c>
      <c r="G892" s="154" t="str">
        <f>IFERROR(__xludf.DUMMYFUNCTION("""COMPUTED_VALUE"""),"Manage order page (normal text)")</f>
        <v>Manage order page (normal text)</v>
      </c>
      <c r="H892" s="131"/>
      <c r="I892" s="144"/>
      <c r="J892" s="129">
        <f>IFERROR(__xludf.DUMMYFUNCTION("""COMPUTED_VALUE"""),44344.0)</f>
        <v>44344</v>
      </c>
      <c r="K892" s="133">
        <f>IFERROR(__xludf.DUMMYFUNCTION("""COMPUTED_VALUE"""),62.0)</f>
        <v>62</v>
      </c>
      <c r="L892" s="133">
        <f>IFERROR(__xludf.DUMMYFUNCTION("""COMPUTED_VALUE"""),2.0)</f>
        <v>2</v>
      </c>
      <c r="M892" s="133">
        <f>IFERROR(__xludf.DUMMYFUNCTION("""COMPUTED_VALUE"""),64.0)</f>
        <v>64</v>
      </c>
      <c r="N892" s="152" t="str">
        <f>IFERROR(__xludf.DUMMYFUNCTION("""COMPUTED_VALUE"""),"Model 3 SR+")</f>
        <v>Model 3 SR+</v>
      </c>
      <c r="O892" s="152" t="str">
        <f>IFERROR(__xludf.DUMMYFUNCTION("""COMPUTED_VALUE"""),"Pearl White Multi-Coat")</f>
        <v>Pearl White Multi-Coat</v>
      </c>
      <c r="P892" s="153" t="str">
        <f>IFERROR(__xludf.DUMMYFUNCTION("""COMPUTED_VALUE"""),"18 inch")</f>
        <v>18 inch</v>
      </c>
      <c r="Q892" s="152" t="str">
        <f>IFERROR(__xludf.DUMMYFUNCTION("""COMPUTED_VALUE"""),"Black and White")</f>
        <v>Black and White</v>
      </c>
      <c r="R892" s="149" t="str">
        <f>IFERROR(__xludf.DUMMYFUNCTION("""COMPUTED_VALUE"""),"Autopilot included")</f>
        <v>Autopilot included</v>
      </c>
      <c r="S892" s="149" t="str">
        <f>IFERROR(__xludf.DUMMYFUNCTION("""COMPUTED_VALUE"""),"Loan")</f>
        <v>Loan</v>
      </c>
      <c r="T892" s="145"/>
      <c r="U892" s="145"/>
      <c r="V892" s="145"/>
      <c r="W892" s="145" t="str">
        <f>IFERROR(__xludf.DUMMYFUNCTION("""COMPUTED_VALUE"""),"Be patient")</f>
        <v>Be patient</v>
      </c>
      <c r="X892" s="137" t="str">
        <f>IFERROR(__xludf.DUMMYFUNCTION("""COMPUTED_VALUE"""),"Excellent")</f>
        <v>Excellent</v>
      </c>
      <c r="Y892" s="138" t="str">
        <f>IFERROR(__xludf.DUMMYFUNCTION("""COMPUTED_VALUE"""),"Excellent")</f>
        <v>Excellent</v>
      </c>
      <c r="Z892" s="138" t="str">
        <f>IFERROR(__xludf.DUMMYFUNCTION("""COMPUTED_VALUE"""),"Excellent")</f>
        <v>Excellent</v>
      </c>
      <c r="AA892" s="138"/>
      <c r="AB892" s="138" t="str">
        <f>IFERROR(__xludf.DUMMYFUNCTION("""COMPUTED_VALUE"""),"Very Good")</f>
        <v>Very Good</v>
      </c>
      <c r="AC892" s="139">
        <f>IFERROR(__xludf.DUMMYFUNCTION("""COMPUTED_VALUE"""),0.0)</f>
        <v>0</v>
      </c>
      <c r="AD892" s="139">
        <f>IFERROR(__xludf.DUMMYFUNCTION("""COMPUTED_VALUE"""),0.0)</f>
        <v>0</v>
      </c>
      <c r="AE892" s="139">
        <f>IFERROR(__xludf.DUMMYFUNCTION("""COMPUTED_VALUE"""),0.0)</f>
        <v>0</v>
      </c>
      <c r="AF892" s="140" t="str">
        <f>IFERROR(__xludf.DUMMYFUNCTION("""COMPUTED_VALUE"""),"No. I took delivery of the first car Tesla was able to deliver.")</f>
        <v>No. I took delivery of the first car Tesla was able to deliver.</v>
      </c>
      <c r="AG892" s="145"/>
      <c r="AH892" s="157">
        <f>IFERROR(__xludf.DUMMYFUNCTION("""COMPUTED_VALUE"""),44376.22414212963)</f>
        <v>44376.22414</v>
      </c>
      <c r="AI892" s="138"/>
      <c r="AJ892" s="138"/>
      <c r="AK892" s="138"/>
      <c r="AL892" s="142"/>
    </row>
    <row r="893" ht="20.25" customHeight="1">
      <c r="A893" s="155" t="str">
        <f>IFERROR(__xludf.DUMMYFUNCTION("""COMPUTED_VALUE"""),"CigarMoose")</f>
        <v>CigarMoose</v>
      </c>
      <c r="B893" s="149" t="str">
        <f>IFERROR(__xludf.DUMMYFUNCTION("""COMPUTED_VALUE"""),"Montreal")</f>
        <v>Montreal</v>
      </c>
      <c r="C893" s="149" t="str">
        <f>IFERROR(__xludf.DUMMYFUNCTION("""COMPUTED_VALUE"""),"QC")</f>
        <v>QC</v>
      </c>
      <c r="D893" s="149" t="str">
        <f>IFERROR(__xludf.DUMMYFUNCTION("""COMPUTED_VALUE"""),"Canada")</f>
        <v>Canada</v>
      </c>
      <c r="E893" s="156">
        <f>IFERROR(__xludf.DUMMYFUNCTION("""COMPUTED_VALUE"""),44279.0)</f>
        <v>44279</v>
      </c>
      <c r="F893" s="129">
        <f>IFERROR(__xludf.DUMMYFUNCTION("""COMPUTED_VALUE"""),44316.0)</f>
        <v>44316</v>
      </c>
      <c r="G893" s="154" t="str">
        <f>IFERROR(__xludf.DUMMYFUNCTION("""COMPUTED_VALUE"""),"Phone call")</f>
        <v>Phone call</v>
      </c>
      <c r="H893" s="131">
        <f>IFERROR(__xludf.DUMMYFUNCTION("""COMPUTED_VALUE"""),962455.0)</f>
        <v>962455</v>
      </c>
      <c r="I893" s="144"/>
      <c r="J893" s="129">
        <f>IFERROR(__xludf.DUMMYFUNCTION("""COMPUTED_VALUE"""),44323.0)</f>
        <v>44323</v>
      </c>
      <c r="K893" s="133">
        <f>IFERROR(__xludf.DUMMYFUNCTION("""COMPUTED_VALUE"""),37.0)</f>
        <v>37</v>
      </c>
      <c r="L893" s="133">
        <f>IFERROR(__xludf.DUMMYFUNCTION("""COMPUTED_VALUE"""),7.0)</f>
        <v>7</v>
      </c>
      <c r="M893" s="133">
        <f>IFERROR(__xludf.DUMMYFUNCTION("""COMPUTED_VALUE"""),44.0)</f>
        <v>44</v>
      </c>
      <c r="N893" s="152" t="str">
        <f>IFERROR(__xludf.DUMMYFUNCTION("""COMPUTED_VALUE"""),"Model 3 SR+")</f>
        <v>Model 3 SR+</v>
      </c>
      <c r="O893" s="152" t="str">
        <f>IFERROR(__xludf.DUMMYFUNCTION("""COMPUTED_VALUE"""),"Midnight Silver Metallic")</f>
        <v>Midnight Silver Metallic</v>
      </c>
      <c r="P893" s="153" t="str">
        <f>IFERROR(__xludf.DUMMYFUNCTION("""COMPUTED_VALUE"""),"18 inch")</f>
        <v>18 inch</v>
      </c>
      <c r="Q893" s="152" t="str">
        <f>IFERROR(__xludf.DUMMYFUNCTION("""COMPUTED_VALUE"""),"All Black")</f>
        <v>All Black</v>
      </c>
      <c r="R893" s="149" t="str">
        <f>IFERROR(__xludf.DUMMYFUNCTION("""COMPUTED_VALUE"""),"Autopilot included")</f>
        <v>Autopilot included</v>
      </c>
      <c r="S893" s="149" t="str">
        <f>IFERROR(__xludf.DUMMYFUNCTION("""COMPUTED_VALUE"""),"Loan")</f>
        <v>Loan</v>
      </c>
      <c r="T893" s="145"/>
      <c r="U893" s="145" t="str">
        <f>IFERROR(__xludf.DUMMYFUNCTION("""COMPUTED_VALUE"""),"All-glass roof")</f>
        <v>All-glass roof</v>
      </c>
      <c r="V893" s="145" t="str">
        <f>IFERROR(__xludf.DUMMYFUNCTION("""COMPUTED_VALUE"""),"360° Bird's eye view")</f>
        <v>360° Bird's eye view</v>
      </c>
      <c r="W893" s="145" t="str">
        <f>IFERROR(__xludf.DUMMYFUNCTION("""COMPUTED_VALUE"""),"Don’t rely on the delivery estimates in your account")</f>
        <v>Don’t rely on the delivery estimates in your account</v>
      </c>
      <c r="X893" s="137" t="str">
        <f>IFERROR(__xludf.DUMMYFUNCTION("""COMPUTED_VALUE"""),"Excellent")</f>
        <v>Excellent</v>
      </c>
      <c r="Y893" s="138" t="str">
        <f>IFERROR(__xludf.DUMMYFUNCTION("""COMPUTED_VALUE"""),"Excellent")</f>
        <v>Excellent</v>
      </c>
      <c r="Z893" s="138" t="str">
        <f>IFERROR(__xludf.DUMMYFUNCTION("""COMPUTED_VALUE"""),"Excellent")</f>
        <v>Excellent</v>
      </c>
      <c r="AA893" s="138" t="str">
        <f>IFERROR(__xludf.DUMMYFUNCTION("""COMPUTED_VALUE"""),"Excellent")</f>
        <v>Excellent</v>
      </c>
      <c r="AB893" s="138" t="str">
        <f>IFERROR(__xludf.DUMMYFUNCTION("""COMPUTED_VALUE"""),"Excellent")</f>
        <v>Excellent</v>
      </c>
      <c r="AC893" s="139"/>
      <c r="AD893" s="139"/>
      <c r="AE893" s="139"/>
      <c r="AF893" s="140" t="str">
        <f>IFERROR(__xludf.DUMMYFUNCTION("""COMPUTED_VALUE"""),"No. I took delivery of the first car Tesla was able to deliver.")</f>
        <v>No. I took delivery of the first car Tesla was able to deliver.</v>
      </c>
      <c r="AG893" s="145" t="str">
        <f>IFERROR(__xludf.DUMMYFUNCTION("""COMPUTED_VALUE"""),"Estimated Delivery: May 2-8")</f>
        <v>Estimated Delivery: May 2-8</v>
      </c>
      <c r="AH893" s="157">
        <f>IFERROR(__xludf.DUMMYFUNCTION("""COMPUTED_VALUE"""),44324.60317913195)</f>
        <v>44324.60318</v>
      </c>
      <c r="AI893" s="138"/>
      <c r="AJ893" s="138"/>
      <c r="AK893" s="138"/>
      <c r="AL893" s="142"/>
    </row>
    <row r="894" ht="20.25" customHeight="1">
      <c r="A894" s="155" t="str">
        <f>IFERROR(__xludf.DUMMYFUNCTION("""COMPUTED_VALUE"""),"nope12")</f>
        <v>nope12</v>
      </c>
      <c r="B894" s="149" t="str">
        <f>IFERROR(__xludf.DUMMYFUNCTION("""COMPUTED_VALUE"""),"Little Rock")</f>
        <v>Little Rock</v>
      </c>
      <c r="C894" s="149" t="str">
        <f>IFERROR(__xludf.DUMMYFUNCTION("""COMPUTED_VALUE"""),"AR")</f>
        <v>AR</v>
      </c>
      <c r="D894" s="149" t="str">
        <f>IFERROR(__xludf.DUMMYFUNCTION("""COMPUTED_VALUE"""),"USA")</f>
        <v>USA</v>
      </c>
      <c r="E894" s="156">
        <f>IFERROR(__xludf.DUMMYFUNCTION("""COMPUTED_VALUE"""),44278.0)</f>
        <v>44278</v>
      </c>
      <c r="F894" s="129">
        <f>IFERROR(__xludf.DUMMYFUNCTION("""COMPUTED_VALUE"""),44352.0)</f>
        <v>44352</v>
      </c>
      <c r="G894" s="154" t="str">
        <f>IFERROR(__xludf.DUMMYFUNCTION("""COMPUTED_VALUE"""),"Manage order page (normal text)")</f>
        <v>Manage order page (normal text)</v>
      </c>
      <c r="H894" s="131">
        <f>IFERROR(__xludf.DUMMYFUNCTION("""COMPUTED_VALUE"""),975718.0)</f>
        <v>975718</v>
      </c>
      <c r="I894" s="144"/>
      <c r="J894" s="129">
        <f>IFERROR(__xludf.DUMMYFUNCTION("""COMPUTED_VALUE"""),44322.0)</f>
        <v>44322</v>
      </c>
      <c r="K894" s="133">
        <f>IFERROR(__xludf.DUMMYFUNCTION("""COMPUTED_VALUE"""),74.0)</f>
        <v>74</v>
      </c>
      <c r="L894" s="133"/>
      <c r="M894" s="133">
        <f>IFERROR(__xludf.DUMMYFUNCTION("""COMPUTED_VALUE"""),44.0)</f>
        <v>44</v>
      </c>
      <c r="N894" s="152" t="str">
        <f>IFERROR(__xludf.DUMMYFUNCTION("""COMPUTED_VALUE"""),"Model 3 LR AWD")</f>
        <v>Model 3 LR AWD</v>
      </c>
      <c r="O894" s="152" t="str">
        <f>IFERROR(__xludf.DUMMYFUNCTION("""COMPUTED_VALUE"""),"Deep Blue Metallic")</f>
        <v>Deep Blue Metallic</v>
      </c>
      <c r="P894" s="153" t="str">
        <f>IFERROR(__xludf.DUMMYFUNCTION("""COMPUTED_VALUE"""),"18 inch")</f>
        <v>18 inch</v>
      </c>
      <c r="Q894" s="152" t="str">
        <f>IFERROR(__xludf.DUMMYFUNCTION("""COMPUTED_VALUE"""),"Black and White")</f>
        <v>Black and White</v>
      </c>
      <c r="R894" s="149" t="str">
        <f>IFERROR(__xludf.DUMMYFUNCTION("""COMPUTED_VALUE"""),"Autopilot included")</f>
        <v>Autopilot included</v>
      </c>
      <c r="S894" s="149" t="str">
        <f>IFERROR(__xludf.DUMMYFUNCTION("""COMPUTED_VALUE"""),"Lease")</f>
        <v>Lease</v>
      </c>
      <c r="T894" s="145" t="str">
        <f>IFERROR(__xludf.DUMMYFUNCTION("""COMPUTED_VALUE"""),"Audi A4")</f>
        <v>Audi A4</v>
      </c>
      <c r="U894" s="145" t="str">
        <f>IFERROR(__xludf.DUMMYFUNCTION("""COMPUTED_VALUE"""),"Electric!")</f>
        <v>Electric!</v>
      </c>
      <c r="V894" s="145" t="str">
        <f>IFERROR(__xludf.DUMMYFUNCTION("""COMPUTED_VALUE"""),"Head-up display")</f>
        <v>Head-up display</v>
      </c>
      <c r="W894" s="145"/>
      <c r="X894" s="137" t="str">
        <f>IFERROR(__xludf.DUMMYFUNCTION("""COMPUTED_VALUE"""),"Excellent")</f>
        <v>Excellent</v>
      </c>
      <c r="Y894" s="138" t="str">
        <f>IFERROR(__xludf.DUMMYFUNCTION("""COMPUTED_VALUE"""),"Excellent")</f>
        <v>Excellent</v>
      </c>
      <c r="Z894" s="138" t="str">
        <f>IFERROR(__xludf.DUMMYFUNCTION("""COMPUTED_VALUE"""),"Very Good")</f>
        <v>Very Good</v>
      </c>
      <c r="AA894" s="138" t="str">
        <f>IFERROR(__xludf.DUMMYFUNCTION("""COMPUTED_VALUE"""),"Good")</f>
        <v>Good</v>
      </c>
      <c r="AB894" s="138" t="str">
        <f>IFERROR(__xludf.DUMMYFUNCTION("""COMPUTED_VALUE"""),"Very Good")</f>
        <v>Very Good</v>
      </c>
      <c r="AC894" s="139"/>
      <c r="AD894" s="139">
        <f>IFERROR(__xludf.DUMMYFUNCTION("""COMPUTED_VALUE"""),2.0)</f>
        <v>2</v>
      </c>
      <c r="AE894" s="139"/>
      <c r="AF894" s="140" t="str">
        <f>IFERROR(__xludf.DUMMYFUNCTION("""COMPUTED_VALUE"""),"No. I took delivery of the first car Tesla was able to deliver.")</f>
        <v>No. I took delivery of the first car Tesla was able to deliver.</v>
      </c>
      <c r="AG894" s="145"/>
      <c r="AH894" s="157">
        <f>IFERROR(__xludf.DUMMYFUNCTION("""COMPUTED_VALUE"""),44353.90552400463)</f>
        <v>44353.90552</v>
      </c>
      <c r="AI894" s="138"/>
      <c r="AJ894" s="138"/>
      <c r="AK894" s="138"/>
      <c r="AL894" s="142"/>
    </row>
    <row r="895" ht="20.25" customHeight="1">
      <c r="A895" s="155" t="str">
        <f>IFERROR(__xludf.DUMMYFUNCTION("""COMPUTED_VALUE"""),"bjm_11")</f>
        <v>bjm_11</v>
      </c>
      <c r="B895" s="149" t="str">
        <f>IFERROR(__xludf.DUMMYFUNCTION("""COMPUTED_VALUE"""),"Milwaukee")</f>
        <v>Milwaukee</v>
      </c>
      <c r="C895" s="149" t="str">
        <f>IFERROR(__xludf.DUMMYFUNCTION("""COMPUTED_VALUE"""),"WI")</f>
        <v>WI</v>
      </c>
      <c r="D895" s="149" t="str">
        <f>IFERROR(__xludf.DUMMYFUNCTION("""COMPUTED_VALUE"""),"USA")</f>
        <v>USA</v>
      </c>
      <c r="E895" s="156">
        <f>IFERROR(__xludf.DUMMYFUNCTION("""COMPUTED_VALUE"""),44277.0)</f>
        <v>44277</v>
      </c>
      <c r="F895" s="129">
        <f>IFERROR(__xludf.DUMMYFUNCTION("""COMPUTED_VALUE"""),44306.0)</f>
        <v>44306</v>
      </c>
      <c r="G895" s="154" t="str">
        <f>IFERROR(__xludf.DUMMYFUNCTION("""COMPUTED_VALUE"""),"Manage order page (normal text)")</f>
        <v>Manage order page (normal text)</v>
      </c>
      <c r="H895" s="131">
        <f>IFERROR(__xludf.DUMMYFUNCTION("""COMPUTED_VALUE"""),960890.0)</f>
        <v>960890</v>
      </c>
      <c r="I895" s="144"/>
      <c r="J895" s="129">
        <f>IFERROR(__xludf.DUMMYFUNCTION("""COMPUTED_VALUE"""),44317.0)</f>
        <v>44317</v>
      </c>
      <c r="K895" s="133">
        <f>IFERROR(__xludf.DUMMYFUNCTION("""COMPUTED_VALUE"""),29.0)</f>
        <v>29</v>
      </c>
      <c r="L895" s="133">
        <f>IFERROR(__xludf.DUMMYFUNCTION("""COMPUTED_VALUE"""),11.0)</f>
        <v>11</v>
      </c>
      <c r="M895" s="133">
        <f>IFERROR(__xludf.DUMMYFUNCTION("""COMPUTED_VALUE"""),40.0)</f>
        <v>40</v>
      </c>
      <c r="N895" s="152" t="str">
        <f>IFERROR(__xludf.DUMMYFUNCTION("""COMPUTED_VALUE"""),"Model 3 LR AWD")</f>
        <v>Model 3 LR AWD</v>
      </c>
      <c r="O895" s="152" t="str">
        <f>IFERROR(__xludf.DUMMYFUNCTION("""COMPUTED_VALUE"""),"Solid Black")</f>
        <v>Solid Black</v>
      </c>
      <c r="P895" s="153" t="str">
        <f>IFERROR(__xludf.DUMMYFUNCTION("""COMPUTED_VALUE"""),"18 inch")</f>
        <v>18 inch</v>
      </c>
      <c r="Q895" s="152" t="str">
        <f>IFERROR(__xludf.DUMMYFUNCTION("""COMPUTED_VALUE"""),"All Black")</f>
        <v>All Black</v>
      </c>
      <c r="R895" s="149" t="str">
        <f>IFERROR(__xludf.DUMMYFUNCTION("""COMPUTED_VALUE"""),"Autopilot included")</f>
        <v>Autopilot included</v>
      </c>
      <c r="S895" s="149" t="str">
        <f>IFERROR(__xludf.DUMMYFUNCTION("""COMPUTED_VALUE"""),"Loan")</f>
        <v>Loan</v>
      </c>
      <c r="T895" s="145" t="str">
        <f>IFERROR(__xludf.DUMMYFUNCTION("""COMPUTED_VALUE"""),"Model 3 will be my first car!")</f>
        <v>Model 3 will be my first car!</v>
      </c>
      <c r="U895" s="145" t="str">
        <f>IFERROR(__xludf.DUMMYFUNCTION("""COMPUTED_VALUE"""),"Electric!")</f>
        <v>Electric!</v>
      </c>
      <c r="V895" s="145" t="str">
        <f>IFERROR(__xludf.DUMMYFUNCTION("""COMPUTED_VALUE"""),"Blind spot indicators on side mirrors")</f>
        <v>Blind spot indicators on side mirrors</v>
      </c>
      <c r="W895" s="145"/>
      <c r="X895" s="137" t="str">
        <f>IFERROR(__xludf.DUMMYFUNCTION("""COMPUTED_VALUE"""),"Very Good")</f>
        <v>Very Good</v>
      </c>
      <c r="Y895" s="138" t="str">
        <f>IFERROR(__xludf.DUMMYFUNCTION("""COMPUTED_VALUE"""),"Good")</f>
        <v>Good</v>
      </c>
      <c r="Z895" s="138" t="str">
        <f>IFERROR(__xludf.DUMMYFUNCTION("""COMPUTED_VALUE"""),"Very Good")</f>
        <v>Very Good</v>
      </c>
      <c r="AA895" s="138" t="str">
        <f>IFERROR(__xludf.DUMMYFUNCTION("""COMPUTED_VALUE"""),"Fair")</f>
        <v>Fair</v>
      </c>
      <c r="AB895" s="138" t="str">
        <f>IFERROR(__xludf.DUMMYFUNCTION("""COMPUTED_VALUE"""),"Excellent")</f>
        <v>Excellent</v>
      </c>
      <c r="AC895" s="139">
        <f>IFERROR(__xludf.DUMMYFUNCTION("""COMPUTED_VALUE"""),0.0)</f>
        <v>0</v>
      </c>
      <c r="AD895" s="139">
        <f>IFERROR(__xludf.DUMMYFUNCTION("""COMPUTED_VALUE"""),0.0)</f>
        <v>0</v>
      </c>
      <c r="AE895" s="139">
        <f>IFERROR(__xludf.DUMMYFUNCTION("""COMPUTED_VALUE"""),0.0)</f>
        <v>0</v>
      </c>
      <c r="AF895" s="140" t="str">
        <f>IFERROR(__xludf.DUMMYFUNCTION("""COMPUTED_VALUE"""),"Yes. I refused delivery once and took delivery of the second car.")</f>
        <v>Yes. I refused delivery once and took delivery of the second car.</v>
      </c>
      <c r="AG895" s="145"/>
      <c r="AH895" s="157">
        <f>IFERROR(__xludf.DUMMYFUNCTION("""COMPUTED_VALUE"""),44333.712175532404)</f>
        <v>44333.71218</v>
      </c>
      <c r="AI895" s="138"/>
      <c r="AJ895" s="138"/>
      <c r="AK895" s="138"/>
      <c r="AL895" s="142"/>
    </row>
    <row r="896" ht="20.25" customHeight="1">
      <c r="A896" s="155" t="str">
        <f>IFERROR(__xludf.DUMMYFUNCTION("""COMPUTED_VALUE"""),"Goon2800")</f>
        <v>Goon2800</v>
      </c>
      <c r="B896" s="149" t="str">
        <f>IFERROR(__xludf.DUMMYFUNCTION("""COMPUTED_VALUE"""),"Chicago")</f>
        <v>Chicago</v>
      </c>
      <c r="C896" s="149" t="str">
        <f>IFERROR(__xludf.DUMMYFUNCTION("""COMPUTED_VALUE"""),"IL")</f>
        <v>IL</v>
      </c>
      <c r="D896" s="149" t="str">
        <f>IFERROR(__xludf.DUMMYFUNCTION("""COMPUTED_VALUE"""),"USA")</f>
        <v>USA</v>
      </c>
      <c r="E896" s="156">
        <f>IFERROR(__xludf.DUMMYFUNCTION("""COMPUTED_VALUE"""),44277.0)</f>
        <v>44277</v>
      </c>
      <c r="F896" s="129">
        <f>IFERROR(__xludf.DUMMYFUNCTION("""COMPUTED_VALUE"""),43916.0)</f>
        <v>43916</v>
      </c>
      <c r="G896" s="154" t="str">
        <f>IFERROR(__xludf.DUMMYFUNCTION("""COMPUTED_VALUE"""),"Manage order page (normal text)")</f>
        <v>Manage order page (normal text)</v>
      </c>
      <c r="H896" s="131"/>
      <c r="I896" s="144"/>
      <c r="J896" s="129">
        <f>IFERROR(__xludf.DUMMYFUNCTION("""COMPUTED_VALUE"""),43919.0)</f>
        <v>43919</v>
      </c>
      <c r="K896" s="133"/>
      <c r="L896" s="133">
        <f>IFERROR(__xludf.DUMMYFUNCTION("""COMPUTED_VALUE"""),3.0)</f>
        <v>3</v>
      </c>
      <c r="M896" s="133"/>
      <c r="N896" s="152" t="str">
        <f>IFERROR(__xludf.DUMMYFUNCTION("""COMPUTED_VALUE"""),"Model 3 LR AWD")</f>
        <v>Model 3 LR AWD</v>
      </c>
      <c r="O896" s="152" t="str">
        <f>IFERROR(__xludf.DUMMYFUNCTION("""COMPUTED_VALUE"""),"Midnight Silver Metallic")</f>
        <v>Midnight Silver Metallic</v>
      </c>
      <c r="P896" s="153" t="str">
        <f>IFERROR(__xludf.DUMMYFUNCTION("""COMPUTED_VALUE"""),"18 inch")</f>
        <v>18 inch</v>
      </c>
      <c r="Q896" s="152" t="str">
        <f>IFERROR(__xludf.DUMMYFUNCTION("""COMPUTED_VALUE"""),"All Black")</f>
        <v>All Black</v>
      </c>
      <c r="R896" s="149" t="str">
        <f>IFERROR(__xludf.DUMMYFUNCTION("""COMPUTED_VALUE"""),"Autopilot included")</f>
        <v>Autopilot included</v>
      </c>
      <c r="S896" s="149" t="str">
        <f>IFERROR(__xludf.DUMMYFUNCTION("""COMPUTED_VALUE"""),"Loan")</f>
        <v>Loan</v>
      </c>
      <c r="T896" s="145"/>
      <c r="U896" s="145" t="str">
        <f>IFERROR(__xludf.DUMMYFUNCTION("""COMPUTED_VALUE"""),"Electric!")</f>
        <v>Electric!</v>
      </c>
      <c r="V896" s="145"/>
      <c r="W896" s="145"/>
      <c r="X896" s="137" t="str">
        <f>IFERROR(__xludf.DUMMYFUNCTION("""COMPUTED_VALUE"""),"Very Good")</f>
        <v>Very Good</v>
      </c>
      <c r="Y896" s="138" t="str">
        <f>IFERROR(__xludf.DUMMYFUNCTION("""COMPUTED_VALUE"""),"Very Good")</f>
        <v>Very Good</v>
      </c>
      <c r="Z896" s="138" t="str">
        <f>IFERROR(__xludf.DUMMYFUNCTION("""COMPUTED_VALUE"""),"Very Good")</f>
        <v>Very Good</v>
      </c>
      <c r="AA896" s="138" t="str">
        <f>IFERROR(__xludf.DUMMYFUNCTION("""COMPUTED_VALUE"""),"Very Good")</f>
        <v>Very Good</v>
      </c>
      <c r="AB896" s="138" t="str">
        <f>IFERROR(__xludf.DUMMYFUNCTION("""COMPUTED_VALUE"""),"Good")</f>
        <v>Good</v>
      </c>
      <c r="AC896" s="139">
        <f>IFERROR(__xludf.DUMMYFUNCTION("""COMPUTED_VALUE"""),0.0)</f>
        <v>0</v>
      </c>
      <c r="AD896" s="139"/>
      <c r="AE896" s="139"/>
      <c r="AF896" s="140"/>
      <c r="AG896" s="145" t="str">
        <f>IFERROR(__xludf.DUMMYFUNCTION("""COMPUTED_VALUE"""),"Found an existing inventory car matching the ordered spec so I grabbed it! ")</f>
        <v>Found an existing inventory car matching the ordered spec so I grabbed it! </v>
      </c>
      <c r="AH896" s="157">
        <f>IFERROR(__xludf.DUMMYFUNCTION("""COMPUTED_VALUE"""),44284.7326275463)</f>
        <v>44284.73263</v>
      </c>
      <c r="AI896" s="138"/>
      <c r="AJ896" s="138"/>
      <c r="AK896" s="138"/>
      <c r="AL896" s="142"/>
    </row>
    <row r="897" ht="20.25" customHeight="1">
      <c r="A897" s="155" t="str">
        <f>IFERROR(__xludf.DUMMYFUNCTION("""COMPUTED_VALUE"""),"jcornu")</f>
        <v>jcornu</v>
      </c>
      <c r="B897" s="149" t="str">
        <f>IFERROR(__xludf.DUMMYFUNCTION("""COMPUTED_VALUE"""),"Dedham")</f>
        <v>Dedham</v>
      </c>
      <c r="C897" s="149" t="str">
        <f>IFERROR(__xludf.DUMMYFUNCTION("""COMPUTED_VALUE"""),"MA")</f>
        <v>MA</v>
      </c>
      <c r="D897" s="149" t="str">
        <f>IFERROR(__xludf.DUMMYFUNCTION("""COMPUTED_VALUE"""),"USA")</f>
        <v>USA</v>
      </c>
      <c r="E897" s="156">
        <f>IFERROR(__xludf.DUMMYFUNCTION("""COMPUTED_VALUE"""),44277.0)</f>
        <v>44277</v>
      </c>
      <c r="F897" s="129">
        <f>IFERROR(__xludf.DUMMYFUNCTION("""COMPUTED_VALUE"""),44312.0)</f>
        <v>44312</v>
      </c>
      <c r="G897" s="154" t="str">
        <f>IFERROR(__xludf.DUMMYFUNCTION("""COMPUTED_VALUE"""),"Manage order page (normal text)")</f>
        <v>Manage order page (normal text)</v>
      </c>
      <c r="H897" s="131"/>
      <c r="I897" s="144" t="str">
        <f>IFERROR(__xludf.DUMMYFUNCTION("""COMPUTED_VALUE"""),"04/21")</f>
        <v>04/21</v>
      </c>
      <c r="J897" s="129">
        <f>IFERROR(__xludf.DUMMYFUNCTION("""COMPUTED_VALUE"""),44324.0)</f>
        <v>44324</v>
      </c>
      <c r="K897" s="133">
        <f>IFERROR(__xludf.DUMMYFUNCTION("""COMPUTED_VALUE"""),35.0)</f>
        <v>35</v>
      </c>
      <c r="L897" s="133">
        <f>IFERROR(__xludf.DUMMYFUNCTION("""COMPUTED_VALUE"""),12.0)</f>
        <v>12</v>
      </c>
      <c r="M897" s="133">
        <f>IFERROR(__xludf.DUMMYFUNCTION("""COMPUTED_VALUE"""),47.0)</f>
        <v>47</v>
      </c>
      <c r="N897" s="152" t="str">
        <f>IFERROR(__xludf.DUMMYFUNCTION("""COMPUTED_VALUE"""),"Model 3 LR AWD")</f>
        <v>Model 3 LR AWD</v>
      </c>
      <c r="O897" s="152" t="str">
        <f>IFERROR(__xludf.DUMMYFUNCTION("""COMPUTED_VALUE"""),"Midnight Silver Metallic")</f>
        <v>Midnight Silver Metallic</v>
      </c>
      <c r="P897" s="153" t="str">
        <f>IFERROR(__xludf.DUMMYFUNCTION("""COMPUTED_VALUE"""),"18 inch")</f>
        <v>18 inch</v>
      </c>
      <c r="Q897" s="152" t="str">
        <f>IFERROR(__xludf.DUMMYFUNCTION("""COMPUTED_VALUE"""),"Black and White")</f>
        <v>Black and White</v>
      </c>
      <c r="R897" s="149" t="str">
        <f>IFERROR(__xludf.DUMMYFUNCTION("""COMPUTED_VALUE"""),"Autopilot included")</f>
        <v>Autopilot included</v>
      </c>
      <c r="S897" s="149" t="str">
        <f>IFERROR(__xludf.DUMMYFUNCTION("""COMPUTED_VALUE"""),"Cash")</f>
        <v>Cash</v>
      </c>
      <c r="T897" s="145" t="str">
        <f>IFERROR(__xludf.DUMMYFUNCTION("""COMPUTED_VALUE"""),"Lexus RX350")</f>
        <v>Lexus RX350</v>
      </c>
      <c r="U897" s="145" t="str">
        <f>IFERROR(__xludf.DUMMYFUNCTION("""COMPUTED_VALUE"""),"Autopilot")</f>
        <v>Autopilot</v>
      </c>
      <c r="V897" s="145" t="str">
        <f>IFERROR(__xludf.DUMMYFUNCTION("""COMPUTED_VALUE"""),"Air suspension")</f>
        <v>Air suspension</v>
      </c>
      <c r="W897" s="145"/>
      <c r="X897" s="137" t="str">
        <f>IFERROR(__xludf.DUMMYFUNCTION("""COMPUTED_VALUE"""),"Fair")</f>
        <v>Fair</v>
      </c>
      <c r="Y897" s="138" t="str">
        <f>IFERROR(__xludf.DUMMYFUNCTION("""COMPUTED_VALUE"""),"Excellent")</f>
        <v>Excellent</v>
      </c>
      <c r="Z897" s="138" t="str">
        <f>IFERROR(__xludf.DUMMYFUNCTION("""COMPUTED_VALUE"""),"Excellent")</f>
        <v>Excellent</v>
      </c>
      <c r="AA897" s="138" t="str">
        <f>IFERROR(__xludf.DUMMYFUNCTION("""COMPUTED_VALUE"""),"Excellent")</f>
        <v>Excellent</v>
      </c>
      <c r="AB897" s="138" t="str">
        <f>IFERROR(__xludf.DUMMYFUNCTION("""COMPUTED_VALUE"""),"Good")</f>
        <v>Good</v>
      </c>
      <c r="AC897" s="139">
        <f>IFERROR(__xludf.DUMMYFUNCTION("""COMPUTED_VALUE"""),1.0)</f>
        <v>1</v>
      </c>
      <c r="AD897" s="139">
        <f>IFERROR(__xludf.DUMMYFUNCTION("""COMPUTED_VALUE"""),1.0)</f>
        <v>1</v>
      </c>
      <c r="AE897" s="139"/>
      <c r="AF897" s="140" t="str">
        <f>IFERROR(__xludf.DUMMYFUNCTION("""COMPUTED_VALUE"""),"No. I took delivery of the first car Tesla was able to deliver.")</f>
        <v>No. I took delivery of the first car Tesla was able to deliver.</v>
      </c>
      <c r="AG897" s="145"/>
      <c r="AH897" s="157">
        <f>IFERROR(__xludf.DUMMYFUNCTION("""COMPUTED_VALUE"""),44325.57431737269)</f>
        <v>44325.57432</v>
      </c>
      <c r="AI897" s="138"/>
      <c r="AJ897" s="138"/>
      <c r="AK897" s="138"/>
      <c r="AL897" s="142"/>
    </row>
    <row r="898" ht="20.25" customHeight="1">
      <c r="A898" s="155" t="str">
        <f>IFERROR(__xludf.DUMMYFUNCTION("""COMPUTED_VALUE"""),"makirules")</f>
        <v>makirules</v>
      </c>
      <c r="B898" s="149" t="str">
        <f>IFERROR(__xludf.DUMMYFUNCTION("""COMPUTED_VALUE"""),"Rogers")</f>
        <v>Rogers</v>
      </c>
      <c r="C898" s="149" t="str">
        <f>IFERROR(__xludf.DUMMYFUNCTION("""COMPUTED_VALUE"""),"AR")</f>
        <v>AR</v>
      </c>
      <c r="D898" s="149" t="str">
        <f>IFERROR(__xludf.DUMMYFUNCTION("""COMPUTED_VALUE"""),"USA")</f>
        <v>USA</v>
      </c>
      <c r="E898" s="156">
        <f>IFERROR(__xludf.DUMMYFUNCTION("""COMPUTED_VALUE"""),44277.0)</f>
        <v>44277</v>
      </c>
      <c r="F898" s="129">
        <f>IFERROR(__xludf.DUMMYFUNCTION("""COMPUTED_VALUE"""),44354.0)</f>
        <v>44354</v>
      </c>
      <c r="G898" s="154" t="str">
        <f>IFERROR(__xludf.DUMMYFUNCTION("""COMPUTED_VALUE"""),"Manage order page (normal text)")</f>
        <v>Manage order page (normal text)</v>
      </c>
      <c r="H898" s="131">
        <f>IFERROR(__xludf.DUMMYFUNCTION("""COMPUTED_VALUE"""),987147.0)</f>
        <v>987147</v>
      </c>
      <c r="I898" s="144"/>
      <c r="J898" s="129">
        <f>IFERROR(__xludf.DUMMYFUNCTION("""COMPUTED_VALUE"""),44366.0)</f>
        <v>44366</v>
      </c>
      <c r="K898" s="133">
        <f>IFERROR(__xludf.DUMMYFUNCTION("""COMPUTED_VALUE"""),77.0)</f>
        <v>77</v>
      </c>
      <c r="L898" s="133">
        <f>IFERROR(__xludf.DUMMYFUNCTION("""COMPUTED_VALUE"""),12.0)</f>
        <v>12</v>
      </c>
      <c r="M898" s="133">
        <f>IFERROR(__xludf.DUMMYFUNCTION("""COMPUTED_VALUE"""),89.0)</f>
        <v>89</v>
      </c>
      <c r="N898" s="152" t="str">
        <f>IFERROR(__xludf.DUMMYFUNCTION("""COMPUTED_VALUE"""),"Model 3 SR+")</f>
        <v>Model 3 SR+</v>
      </c>
      <c r="O898" s="152" t="str">
        <f>IFERROR(__xludf.DUMMYFUNCTION("""COMPUTED_VALUE"""),"Pearl White Multi-Coat")</f>
        <v>Pearl White Multi-Coat</v>
      </c>
      <c r="P898" s="153" t="str">
        <f>IFERROR(__xludf.DUMMYFUNCTION("""COMPUTED_VALUE"""),"18 inch")</f>
        <v>18 inch</v>
      </c>
      <c r="Q898" s="152" t="str">
        <f>IFERROR(__xludf.DUMMYFUNCTION("""COMPUTED_VALUE"""),"All Black")</f>
        <v>All Black</v>
      </c>
      <c r="R898" s="149" t="str">
        <f>IFERROR(__xludf.DUMMYFUNCTION("""COMPUTED_VALUE"""),"Autopilot included")</f>
        <v>Autopilot included</v>
      </c>
      <c r="S898" s="149" t="str">
        <f>IFERROR(__xludf.DUMMYFUNCTION("""COMPUTED_VALUE"""),"Loan")</f>
        <v>Loan</v>
      </c>
      <c r="T898" s="145" t="str">
        <f>IFERROR(__xludf.DUMMYFUNCTION("""COMPUTED_VALUE"""),"Chevy Bolt")</f>
        <v>Chevy Bolt</v>
      </c>
      <c r="U898" s="145" t="str">
        <f>IFERROR(__xludf.DUMMYFUNCTION("""COMPUTED_VALUE"""),"The tech!")</f>
        <v>The tech!</v>
      </c>
      <c r="V898" s="145" t="str">
        <f>IFERROR(__xludf.DUMMYFUNCTION("""COMPUTED_VALUE"""),"Apple CarPlay / Android Auto / SiriusXM Radio")</f>
        <v>Apple CarPlay / Android Auto / SiriusXM Radio</v>
      </c>
      <c r="W898" s="145"/>
      <c r="X898" s="137" t="str">
        <f>IFERROR(__xludf.DUMMYFUNCTION("""COMPUTED_VALUE"""),"Excellent")</f>
        <v>Excellent</v>
      </c>
      <c r="Y898" s="138" t="str">
        <f>IFERROR(__xludf.DUMMYFUNCTION("""COMPUTED_VALUE"""),"Excellent")</f>
        <v>Excellent</v>
      </c>
      <c r="Z898" s="138" t="str">
        <f>IFERROR(__xludf.DUMMYFUNCTION("""COMPUTED_VALUE"""),"Excellent")</f>
        <v>Excellent</v>
      </c>
      <c r="AA898" s="138" t="str">
        <f>IFERROR(__xludf.DUMMYFUNCTION("""COMPUTED_VALUE"""),"Poor")</f>
        <v>Poor</v>
      </c>
      <c r="AB898" s="138" t="str">
        <f>IFERROR(__xludf.DUMMYFUNCTION("""COMPUTED_VALUE"""),"Excellent")</f>
        <v>Excellent</v>
      </c>
      <c r="AC898" s="139"/>
      <c r="AD898" s="139"/>
      <c r="AE898" s="139"/>
      <c r="AF898" s="140" t="str">
        <f>IFERROR(__xludf.DUMMYFUNCTION("""COMPUTED_VALUE"""),"No. I took delivery of the first car Tesla was able to deliver.")</f>
        <v>No. I took delivery of the first car Tesla was able to deliver.</v>
      </c>
      <c r="AG898" s="145"/>
      <c r="AH898" s="157">
        <f>IFERROR(__xludf.DUMMYFUNCTION("""COMPUTED_VALUE"""),44369.45008209491)</f>
        <v>44369.45008</v>
      </c>
      <c r="AI898" s="138"/>
      <c r="AJ898" s="138"/>
      <c r="AK898" s="138"/>
      <c r="AL898" s="142"/>
    </row>
    <row r="899" ht="20.25" customHeight="1">
      <c r="A899" s="155" t="str">
        <f>IFERROR(__xludf.DUMMYFUNCTION("""COMPUTED_VALUE"""),"Al")</f>
        <v>Al</v>
      </c>
      <c r="B899" s="149" t="str">
        <f>IFERROR(__xludf.DUMMYFUNCTION("""COMPUTED_VALUE"""),"Anchorage")</f>
        <v>Anchorage</v>
      </c>
      <c r="C899" s="149" t="str">
        <f>IFERROR(__xludf.DUMMYFUNCTION("""COMPUTED_VALUE"""),"AK")</f>
        <v>AK</v>
      </c>
      <c r="D899" s="149" t="str">
        <f>IFERROR(__xludf.DUMMYFUNCTION("""COMPUTED_VALUE"""),"USA")</f>
        <v>USA</v>
      </c>
      <c r="E899" s="156">
        <f>IFERROR(__xludf.DUMMYFUNCTION("""COMPUTED_VALUE"""),44276.0)</f>
        <v>44276</v>
      </c>
      <c r="F899" s="129">
        <f>IFERROR(__xludf.DUMMYFUNCTION("""COMPUTED_VALUE"""),44341.0)</f>
        <v>44341</v>
      </c>
      <c r="G899" s="154" t="str">
        <f>IFERROR(__xludf.DUMMYFUNCTION("""COMPUTED_VALUE"""),"Email")</f>
        <v>Email</v>
      </c>
      <c r="H899" s="131">
        <f>IFERROR(__xludf.DUMMYFUNCTION("""COMPUTED_VALUE"""),978955.0)</f>
        <v>978955</v>
      </c>
      <c r="I899" s="144"/>
      <c r="J899" s="129">
        <f>IFERROR(__xludf.DUMMYFUNCTION("""COMPUTED_VALUE"""),44363.0)</f>
        <v>44363</v>
      </c>
      <c r="K899" s="133">
        <f>IFERROR(__xludf.DUMMYFUNCTION("""COMPUTED_VALUE"""),65.0)</f>
        <v>65</v>
      </c>
      <c r="L899" s="133">
        <f>IFERROR(__xludf.DUMMYFUNCTION("""COMPUTED_VALUE"""),22.0)</f>
        <v>22</v>
      </c>
      <c r="M899" s="133">
        <f>IFERROR(__xludf.DUMMYFUNCTION("""COMPUTED_VALUE"""),87.0)</f>
        <v>87</v>
      </c>
      <c r="N899" s="152" t="str">
        <f>IFERROR(__xludf.DUMMYFUNCTION("""COMPUTED_VALUE"""),"Model 3 LR AWD")</f>
        <v>Model 3 LR AWD</v>
      </c>
      <c r="O899" s="152" t="str">
        <f>IFERROR(__xludf.DUMMYFUNCTION("""COMPUTED_VALUE"""),"Deep Blue Metallic")</f>
        <v>Deep Blue Metallic</v>
      </c>
      <c r="P899" s="153" t="str">
        <f>IFERROR(__xludf.DUMMYFUNCTION("""COMPUTED_VALUE"""),"18 inch")</f>
        <v>18 inch</v>
      </c>
      <c r="Q899" s="152" t="str">
        <f>IFERROR(__xludf.DUMMYFUNCTION("""COMPUTED_VALUE"""),"All Black")</f>
        <v>All Black</v>
      </c>
      <c r="R899" s="149" t="str">
        <f>IFERROR(__xludf.DUMMYFUNCTION("""COMPUTED_VALUE"""),"Autopilot included")</f>
        <v>Autopilot included</v>
      </c>
      <c r="S899" s="149" t="str">
        <f>IFERROR(__xludf.DUMMYFUNCTION("""COMPUTED_VALUE"""),"Loan")</f>
        <v>Loan</v>
      </c>
      <c r="T899" s="145" t="str">
        <f>IFERROR(__xludf.DUMMYFUNCTION("""COMPUTED_VALUE"""),"Chevy Bolt")</f>
        <v>Chevy Bolt</v>
      </c>
      <c r="U899" s="145" t="str">
        <f>IFERROR(__xludf.DUMMYFUNCTION("""COMPUTED_VALUE"""),"Electric!")</f>
        <v>Electric!</v>
      </c>
      <c r="V899" s="145" t="str">
        <f>IFERROR(__xludf.DUMMYFUNCTION("""COMPUTED_VALUE"""),"Apple CarPlay / Android Auto / SiriusXM Radio")</f>
        <v>Apple CarPlay / Android Auto / SiriusXM Radio</v>
      </c>
      <c r="W899" s="145" t="str">
        <f>IFERROR(__xludf.DUMMYFUNCTION("""COMPUTED_VALUE"""),"Patience. And prepare for a lack of communication. Be prepared to be your own advocate once VIN is assigned")</f>
        <v>Patience. And prepare for a lack of communication. Be prepared to be your own advocate once VIN is assigned</v>
      </c>
      <c r="X899" s="137" t="str">
        <f>IFERROR(__xludf.DUMMYFUNCTION("""COMPUTED_VALUE"""),"Very Good")</f>
        <v>Very Good</v>
      </c>
      <c r="Y899" s="138" t="str">
        <f>IFERROR(__xludf.DUMMYFUNCTION("""COMPUTED_VALUE"""),"Very Good")</f>
        <v>Very Good</v>
      </c>
      <c r="Z899" s="138" t="str">
        <f>IFERROR(__xludf.DUMMYFUNCTION("""COMPUTED_VALUE"""),"Excellent")</f>
        <v>Excellent</v>
      </c>
      <c r="AA899" s="138" t="str">
        <f>IFERROR(__xludf.DUMMYFUNCTION("""COMPUTED_VALUE"""),"Poor")</f>
        <v>Poor</v>
      </c>
      <c r="AB899" s="138" t="str">
        <f>IFERROR(__xludf.DUMMYFUNCTION("""COMPUTED_VALUE"""),"Excellent")</f>
        <v>Excellent</v>
      </c>
      <c r="AC899" s="139">
        <f>IFERROR(__xludf.DUMMYFUNCTION("""COMPUTED_VALUE"""),1.0)</f>
        <v>1</v>
      </c>
      <c r="AD899" s="139"/>
      <c r="AE899" s="139"/>
      <c r="AF899" s="140" t="str">
        <f>IFERROR(__xludf.DUMMYFUNCTION("""COMPUTED_VALUE"""),"No. I took delivery of the first car Tesla was able to deliver.")</f>
        <v>No. I took delivery of the first car Tesla was able to deliver.</v>
      </c>
      <c r="AG899" s="145"/>
      <c r="AH899" s="157">
        <f>IFERROR(__xludf.DUMMYFUNCTION("""COMPUTED_VALUE"""),44363.97545964121)</f>
        <v>44363.97546</v>
      </c>
      <c r="AI899" s="138"/>
      <c r="AJ899" s="138"/>
      <c r="AK899" s="138"/>
      <c r="AL899" s="142"/>
    </row>
    <row r="900" ht="20.25" customHeight="1">
      <c r="A900" s="155" t="str">
        <f>IFERROR(__xludf.DUMMYFUNCTION("""COMPUTED_VALUE"""),"Catman")</f>
        <v>Catman</v>
      </c>
      <c r="B900" s="149" t="str">
        <f>IFERROR(__xludf.DUMMYFUNCTION("""COMPUTED_VALUE"""),"Washington")</f>
        <v>Washington</v>
      </c>
      <c r="C900" s="149" t="str">
        <f>IFERROR(__xludf.DUMMYFUNCTION("""COMPUTED_VALUE"""),"DC")</f>
        <v>DC</v>
      </c>
      <c r="D900" s="149" t="str">
        <f>IFERROR(__xludf.DUMMYFUNCTION("""COMPUTED_VALUE"""),"USA")</f>
        <v>USA</v>
      </c>
      <c r="E900" s="156">
        <f>IFERROR(__xludf.DUMMYFUNCTION("""COMPUTED_VALUE"""),44276.0)</f>
        <v>44276</v>
      </c>
      <c r="F900" s="129">
        <f>IFERROR(__xludf.DUMMYFUNCTION("""COMPUTED_VALUE"""),44306.0)</f>
        <v>44306</v>
      </c>
      <c r="G900" s="154" t="str">
        <f>IFERROR(__xludf.DUMMYFUNCTION("""COMPUTED_VALUE"""),"Manage order page (normal text)")</f>
        <v>Manage order page (normal text)</v>
      </c>
      <c r="H900" s="131">
        <f>IFERROR(__xludf.DUMMYFUNCTION("""COMPUTED_VALUE"""),961755.0)</f>
        <v>961755</v>
      </c>
      <c r="I900" s="144" t="str">
        <f>IFERROR(__xludf.DUMMYFUNCTION("""COMPUTED_VALUE"""),"04/21")</f>
        <v>04/21</v>
      </c>
      <c r="J900" s="129">
        <f>IFERROR(__xludf.DUMMYFUNCTION("""COMPUTED_VALUE"""),44314.0)</f>
        <v>44314</v>
      </c>
      <c r="K900" s="133">
        <f>IFERROR(__xludf.DUMMYFUNCTION("""COMPUTED_VALUE"""),30.0)</f>
        <v>30</v>
      </c>
      <c r="L900" s="133">
        <f>IFERROR(__xludf.DUMMYFUNCTION("""COMPUTED_VALUE"""),8.0)</f>
        <v>8</v>
      </c>
      <c r="M900" s="133">
        <f>IFERROR(__xludf.DUMMYFUNCTION("""COMPUTED_VALUE"""),38.0)</f>
        <v>38</v>
      </c>
      <c r="N900" s="152" t="str">
        <f>IFERROR(__xludf.DUMMYFUNCTION("""COMPUTED_VALUE"""),"Model 3 LR AWD")</f>
        <v>Model 3 LR AWD</v>
      </c>
      <c r="O900" s="152" t="str">
        <f>IFERROR(__xludf.DUMMYFUNCTION("""COMPUTED_VALUE"""),"Pearl White Multi-Coat")</f>
        <v>Pearl White Multi-Coat</v>
      </c>
      <c r="P900" s="153" t="str">
        <f>IFERROR(__xludf.DUMMYFUNCTION("""COMPUTED_VALUE"""),"18 inch")</f>
        <v>18 inch</v>
      </c>
      <c r="Q900" s="152" t="str">
        <f>IFERROR(__xludf.DUMMYFUNCTION("""COMPUTED_VALUE"""),"All Black")</f>
        <v>All Black</v>
      </c>
      <c r="R900" s="149" t="str">
        <f>IFERROR(__xludf.DUMMYFUNCTION("""COMPUTED_VALUE"""),"Full Self-Driving")</f>
        <v>Full Self-Driving</v>
      </c>
      <c r="S900" s="149" t="str">
        <f>IFERROR(__xludf.DUMMYFUNCTION("""COMPUTED_VALUE"""),"Cash")</f>
        <v>Cash</v>
      </c>
      <c r="T900" s="145" t="str">
        <f>IFERROR(__xludf.DUMMYFUNCTION("""COMPUTED_VALUE"""),"Chevy Bolt")</f>
        <v>Chevy Bolt</v>
      </c>
      <c r="U900" s="145" t="str">
        <f>IFERROR(__xludf.DUMMYFUNCTION("""COMPUTED_VALUE"""),"Autopilot")</f>
        <v>Autopilot</v>
      </c>
      <c r="V900" s="145" t="str">
        <f>IFERROR(__xludf.DUMMYFUNCTION("""COMPUTED_VALUE"""),"Apple CarPlay / Android Auto / SiriusXM Radio")</f>
        <v>Apple CarPlay / Android Auto / SiriusXM Radio</v>
      </c>
      <c r="W900" s="145"/>
      <c r="X900" s="137" t="str">
        <f>IFERROR(__xludf.DUMMYFUNCTION("""COMPUTED_VALUE"""),"Excellent")</f>
        <v>Excellent</v>
      </c>
      <c r="Y900" s="138" t="str">
        <f>IFERROR(__xludf.DUMMYFUNCTION("""COMPUTED_VALUE"""),"Excellent")</f>
        <v>Excellent</v>
      </c>
      <c r="Z900" s="138" t="str">
        <f>IFERROR(__xludf.DUMMYFUNCTION("""COMPUTED_VALUE"""),"Excellent")</f>
        <v>Excellent</v>
      </c>
      <c r="AA900" s="138" t="str">
        <f>IFERROR(__xludf.DUMMYFUNCTION("""COMPUTED_VALUE"""),"Good")</f>
        <v>Good</v>
      </c>
      <c r="AB900" s="138" t="str">
        <f>IFERROR(__xludf.DUMMYFUNCTION("""COMPUTED_VALUE"""),"Very Good")</f>
        <v>Very Good</v>
      </c>
      <c r="AC900" s="139">
        <f>IFERROR(__xludf.DUMMYFUNCTION("""COMPUTED_VALUE"""),0.0)</f>
        <v>0</v>
      </c>
      <c r="AD900" s="139"/>
      <c r="AE900" s="139"/>
      <c r="AF900" s="140" t="str">
        <f>IFERROR(__xludf.DUMMYFUNCTION("""COMPUTED_VALUE"""),"No. I took delivery of the first car Tesla was able to deliver.")</f>
        <v>No. I took delivery of the first car Tesla was able to deliver.</v>
      </c>
      <c r="AG900" s="145"/>
      <c r="AH900" s="157">
        <f>IFERROR(__xludf.DUMMYFUNCTION("""COMPUTED_VALUE"""),44320.62517103009)</f>
        <v>44320.62517</v>
      </c>
      <c r="AI900" s="138"/>
      <c r="AJ900" s="138"/>
      <c r="AK900" s="138"/>
      <c r="AL900" s="142"/>
    </row>
    <row r="901" ht="20.25" customHeight="1">
      <c r="A901" s="155" t="str">
        <f>IFERROR(__xludf.DUMMYFUNCTION("""COMPUTED_VALUE"""),"klangeMod3")</f>
        <v>klangeMod3</v>
      </c>
      <c r="B901" s="149" t="str">
        <f>IFERROR(__xludf.DUMMYFUNCTION("""COMPUTED_VALUE"""),"Everett")</f>
        <v>Everett</v>
      </c>
      <c r="C901" s="149" t="str">
        <f>IFERROR(__xludf.DUMMYFUNCTION("""COMPUTED_VALUE"""),"WA")</f>
        <v>WA</v>
      </c>
      <c r="D901" s="149" t="str">
        <f>IFERROR(__xludf.DUMMYFUNCTION("""COMPUTED_VALUE"""),"USA")</f>
        <v>USA</v>
      </c>
      <c r="E901" s="156">
        <f>IFERROR(__xludf.DUMMYFUNCTION("""COMPUTED_VALUE"""),44276.0)</f>
        <v>44276</v>
      </c>
      <c r="F901" s="129">
        <f>IFERROR(__xludf.DUMMYFUNCTION("""COMPUTED_VALUE"""),44279.0)</f>
        <v>44279</v>
      </c>
      <c r="G901" s="154" t="str">
        <f>IFERROR(__xludf.DUMMYFUNCTION("""COMPUTED_VALUE"""),"Manage order page (normal text)")</f>
        <v>Manage order page (normal text)</v>
      </c>
      <c r="H901" s="131">
        <f>IFERROR(__xludf.DUMMYFUNCTION("""COMPUTED_VALUE"""),939955.0)</f>
        <v>939955</v>
      </c>
      <c r="I901" s="144" t="str">
        <f>IFERROR(__xludf.DUMMYFUNCTION("""COMPUTED_VALUE"""),"03/21")</f>
        <v>03/21</v>
      </c>
      <c r="J901" s="129">
        <f>IFERROR(__xludf.DUMMYFUNCTION("""COMPUTED_VALUE"""),44283.0)</f>
        <v>44283</v>
      </c>
      <c r="K901" s="133">
        <f>IFERROR(__xludf.DUMMYFUNCTION("""COMPUTED_VALUE"""),3.0)</f>
        <v>3</v>
      </c>
      <c r="L901" s="133">
        <f>IFERROR(__xludf.DUMMYFUNCTION("""COMPUTED_VALUE"""),4.0)</f>
        <v>4</v>
      </c>
      <c r="M901" s="133">
        <f>IFERROR(__xludf.DUMMYFUNCTION("""COMPUTED_VALUE"""),7.0)</f>
        <v>7</v>
      </c>
      <c r="N901" s="152" t="str">
        <f>IFERROR(__xludf.DUMMYFUNCTION("""COMPUTED_VALUE"""),"Model 3 LR AWD")</f>
        <v>Model 3 LR AWD</v>
      </c>
      <c r="O901" s="152" t="str">
        <f>IFERROR(__xludf.DUMMYFUNCTION("""COMPUTED_VALUE"""),"Deep Blue Metallic")</f>
        <v>Deep Blue Metallic</v>
      </c>
      <c r="P901" s="153" t="str">
        <f>IFERROR(__xludf.DUMMYFUNCTION("""COMPUTED_VALUE"""),"18 inch")</f>
        <v>18 inch</v>
      </c>
      <c r="Q901" s="152" t="str">
        <f>IFERROR(__xludf.DUMMYFUNCTION("""COMPUTED_VALUE"""),"All Black")</f>
        <v>All Black</v>
      </c>
      <c r="R901" s="149" t="str">
        <f>IFERROR(__xludf.DUMMYFUNCTION("""COMPUTED_VALUE"""),"Autopilot included")</f>
        <v>Autopilot included</v>
      </c>
      <c r="S901" s="149" t="str">
        <f>IFERROR(__xludf.DUMMYFUNCTION("""COMPUTED_VALUE"""),"Cash")</f>
        <v>Cash</v>
      </c>
      <c r="T901" s="145" t="str">
        <f>IFERROR(__xludf.DUMMYFUNCTION("""COMPUTED_VALUE"""),"Honda Accord")</f>
        <v>Honda Accord</v>
      </c>
      <c r="U901" s="145" t="str">
        <f>IFERROR(__xludf.DUMMYFUNCTION("""COMPUTED_VALUE"""),"Electric!")</f>
        <v>Electric!</v>
      </c>
      <c r="V901" s="145" t="str">
        <f>IFERROR(__xludf.DUMMYFUNCTION("""COMPUTED_VALUE"""),"Head-up display")</f>
        <v>Head-up display</v>
      </c>
      <c r="W901" s="145"/>
      <c r="X901" s="137" t="str">
        <f>IFERROR(__xludf.DUMMYFUNCTION("""COMPUTED_VALUE"""),"Excellent")</f>
        <v>Excellent</v>
      </c>
      <c r="Y901" s="138" t="str">
        <f>IFERROR(__xludf.DUMMYFUNCTION("""COMPUTED_VALUE"""),"Excellent")</f>
        <v>Excellent</v>
      </c>
      <c r="Z901" s="138" t="str">
        <f>IFERROR(__xludf.DUMMYFUNCTION("""COMPUTED_VALUE"""),"Excellent")</f>
        <v>Excellent</v>
      </c>
      <c r="AA901" s="138" t="str">
        <f>IFERROR(__xludf.DUMMYFUNCTION("""COMPUTED_VALUE"""),"Excellent")</f>
        <v>Excellent</v>
      </c>
      <c r="AB901" s="138" t="str">
        <f>IFERROR(__xludf.DUMMYFUNCTION("""COMPUTED_VALUE"""),"Excellent")</f>
        <v>Excellent</v>
      </c>
      <c r="AC901" s="139"/>
      <c r="AD901" s="139"/>
      <c r="AE901" s="139"/>
      <c r="AF901" s="140" t="str">
        <f>IFERROR(__xludf.DUMMYFUNCTION("""COMPUTED_VALUE"""),"No. I took delivery of the first car Tesla was able to deliver.")</f>
        <v>No. I took delivery of the first car Tesla was able to deliver.</v>
      </c>
      <c r="AG901" s="145"/>
      <c r="AH901" s="157">
        <f>IFERROR(__xludf.DUMMYFUNCTION("""COMPUTED_VALUE"""),44284.32729459491)</f>
        <v>44284.32729</v>
      </c>
      <c r="AI901" s="138"/>
      <c r="AJ901" s="138"/>
      <c r="AK901" s="138"/>
      <c r="AL901" s="142"/>
    </row>
    <row r="902" ht="20.25" customHeight="1">
      <c r="A902" s="155" t="str">
        <f>IFERROR(__xludf.DUMMYFUNCTION("""COMPUTED_VALUE"""),"musicfreak21")</f>
        <v>musicfreak21</v>
      </c>
      <c r="B902" s="149" t="str">
        <f>IFERROR(__xludf.DUMMYFUNCTION("""COMPUTED_VALUE"""),"Huntington Beach")</f>
        <v>Huntington Beach</v>
      </c>
      <c r="C902" s="149" t="str">
        <f>IFERROR(__xludf.DUMMYFUNCTION("""COMPUTED_VALUE"""),"CA")</f>
        <v>CA</v>
      </c>
      <c r="D902" s="149" t="str">
        <f>IFERROR(__xludf.DUMMYFUNCTION("""COMPUTED_VALUE"""),"USA")</f>
        <v>USA</v>
      </c>
      <c r="E902" s="156">
        <f>IFERROR(__xludf.DUMMYFUNCTION("""COMPUTED_VALUE"""),44276.0)</f>
        <v>44276</v>
      </c>
      <c r="F902" s="129">
        <f>IFERROR(__xludf.DUMMYFUNCTION("""COMPUTED_VALUE"""),44344.0)</f>
        <v>44344</v>
      </c>
      <c r="G902" s="154" t="str">
        <f>IFERROR(__xludf.DUMMYFUNCTION("""COMPUTED_VALUE"""),"Manage order page (normal text)")</f>
        <v>Manage order page (normal text)</v>
      </c>
      <c r="H902" s="131">
        <f>IFERROR(__xludf.DUMMYFUNCTION("""COMPUTED_VALUE"""),978255.0)</f>
        <v>978255</v>
      </c>
      <c r="I902" s="144"/>
      <c r="J902" s="129">
        <f>IFERROR(__xludf.DUMMYFUNCTION("""COMPUTED_VALUE"""),44351.0)</f>
        <v>44351</v>
      </c>
      <c r="K902" s="133">
        <f>IFERROR(__xludf.DUMMYFUNCTION("""COMPUTED_VALUE"""),68.0)</f>
        <v>68</v>
      </c>
      <c r="L902" s="133">
        <f>IFERROR(__xludf.DUMMYFUNCTION("""COMPUTED_VALUE"""),7.0)</f>
        <v>7</v>
      </c>
      <c r="M902" s="133">
        <f>IFERROR(__xludf.DUMMYFUNCTION("""COMPUTED_VALUE"""),75.0)</f>
        <v>75</v>
      </c>
      <c r="N902" s="152" t="str">
        <f>IFERROR(__xludf.DUMMYFUNCTION("""COMPUTED_VALUE"""),"Model 3 SR+")</f>
        <v>Model 3 SR+</v>
      </c>
      <c r="O902" s="152" t="str">
        <f>IFERROR(__xludf.DUMMYFUNCTION("""COMPUTED_VALUE"""),"Pearl White Multi-Coat")</f>
        <v>Pearl White Multi-Coat</v>
      </c>
      <c r="P902" s="153" t="str">
        <f>IFERROR(__xludf.DUMMYFUNCTION("""COMPUTED_VALUE"""),"18 inch")</f>
        <v>18 inch</v>
      </c>
      <c r="Q902" s="152" t="str">
        <f>IFERROR(__xludf.DUMMYFUNCTION("""COMPUTED_VALUE"""),"Black and White")</f>
        <v>Black and White</v>
      </c>
      <c r="R902" s="149" t="str">
        <f>IFERROR(__xludf.DUMMYFUNCTION("""COMPUTED_VALUE"""),"Autopilot included")</f>
        <v>Autopilot included</v>
      </c>
      <c r="S902" s="149" t="str">
        <f>IFERROR(__xludf.DUMMYFUNCTION("""COMPUTED_VALUE"""),"Loan")</f>
        <v>Loan</v>
      </c>
      <c r="T902" s="145" t="str">
        <f>IFERROR(__xludf.DUMMYFUNCTION("""COMPUTED_VALUE"""),"Toyota Camry")</f>
        <v>Toyota Camry</v>
      </c>
      <c r="U902" s="145" t="str">
        <f>IFERROR(__xludf.DUMMYFUNCTION("""COMPUTED_VALUE"""),"Autopilot")</f>
        <v>Autopilot</v>
      </c>
      <c r="V902" s="145" t="str">
        <f>IFERROR(__xludf.DUMMYFUNCTION("""COMPUTED_VALUE"""),"Blind spot indicators on side mirrors")</f>
        <v>Blind spot indicators on side mirrors</v>
      </c>
      <c r="W902" s="145"/>
      <c r="X902" s="137" t="str">
        <f>IFERROR(__xludf.DUMMYFUNCTION("""COMPUTED_VALUE"""),"Excellent")</f>
        <v>Excellent</v>
      </c>
      <c r="Y902" s="138" t="str">
        <f>IFERROR(__xludf.DUMMYFUNCTION("""COMPUTED_VALUE"""),"Excellent")</f>
        <v>Excellent</v>
      </c>
      <c r="Z902" s="138" t="str">
        <f>IFERROR(__xludf.DUMMYFUNCTION("""COMPUTED_VALUE"""),"Excellent")</f>
        <v>Excellent</v>
      </c>
      <c r="AA902" s="138" t="str">
        <f>IFERROR(__xludf.DUMMYFUNCTION("""COMPUTED_VALUE"""),"Very Good")</f>
        <v>Very Good</v>
      </c>
      <c r="AB902" s="138" t="str">
        <f>IFERROR(__xludf.DUMMYFUNCTION("""COMPUTED_VALUE"""),"Excellent")</f>
        <v>Excellent</v>
      </c>
      <c r="AC902" s="139"/>
      <c r="AD902" s="139"/>
      <c r="AE902" s="139"/>
      <c r="AF902" s="140" t="str">
        <f>IFERROR(__xludf.DUMMYFUNCTION("""COMPUTED_VALUE"""),"No. I took delivery of the first car Tesla was able to deliver.")</f>
        <v>No. I took delivery of the first car Tesla was able to deliver.</v>
      </c>
      <c r="AG902" s="145" t="str">
        <f>IFERROR(__xludf.DUMMYFUNCTION("""COMPUTED_VALUE"""),"I ordered 3/21 but wasn’t looking to get car that quarter. I then received a car and vin the following week which I rejected delivery. I am now waiting to get my car this quarter. ")</f>
        <v>I ordered 3/21 but wasn’t looking to get car that quarter. I then received a car and vin the following week which I rejected delivery. I am now waiting to get my car this quarter. </v>
      </c>
      <c r="AH902" s="157">
        <f>IFERROR(__xludf.DUMMYFUNCTION("""COMPUTED_VALUE"""),44351.69011087964)</f>
        <v>44351.69011</v>
      </c>
      <c r="AI902" s="138"/>
      <c r="AJ902" s="138"/>
      <c r="AK902" s="138"/>
      <c r="AL902" s="142"/>
    </row>
    <row r="903" ht="20.25" customHeight="1">
      <c r="A903" s="155" t="str">
        <f>IFERROR(__xludf.DUMMYFUNCTION("""COMPUTED_VALUE"""),"Amped412")</f>
        <v>Amped412</v>
      </c>
      <c r="B903" s="149" t="str">
        <f>IFERROR(__xludf.DUMMYFUNCTION("""COMPUTED_VALUE"""),"St. Louis")</f>
        <v>St. Louis</v>
      </c>
      <c r="C903" s="149" t="str">
        <f>IFERROR(__xludf.DUMMYFUNCTION("""COMPUTED_VALUE"""),"MO")</f>
        <v>MO</v>
      </c>
      <c r="D903" s="149" t="str">
        <f>IFERROR(__xludf.DUMMYFUNCTION("""COMPUTED_VALUE"""),"USA")</f>
        <v>USA</v>
      </c>
      <c r="E903" s="156">
        <f>IFERROR(__xludf.DUMMYFUNCTION("""COMPUTED_VALUE"""),44275.0)</f>
        <v>44275</v>
      </c>
      <c r="F903" s="129">
        <f>IFERROR(__xludf.DUMMYFUNCTION("""COMPUTED_VALUE"""),44304.0)</f>
        <v>44304</v>
      </c>
      <c r="G903" s="154" t="str">
        <f>IFERROR(__xludf.DUMMYFUNCTION("""COMPUTED_VALUE"""),"Manage order page (normal text)")</f>
        <v>Manage order page (normal text)</v>
      </c>
      <c r="H903" s="131">
        <f>IFERROR(__xludf.DUMMYFUNCTION("""COMPUTED_VALUE"""),961455.0)</f>
        <v>961455</v>
      </c>
      <c r="I903" s="144"/>
      <c r="J903" s="129">
        <f>IFERROR(__xludf.DUMMYFUNCTION("""COMPUTED_VALUE"""),44317.0)</f>
        <v>44317</v>
      </c>
      <c r="K903" s="133">
        <f>IFERROR(__xludf.DUMMYFUNCTION("""COMPUTED_VALUE"""),29.0)</f>
        <v>29</v>
      </c>
      <c r="L903" s="133">
        <f>IFERROR(__xludf.DUMMYFUNCTION("""COMPUTED_VALUE"""),13.0)</f>
        <v>13</v>
      </c>
      <c r="M903" s="133">
        <f>IFERROR(__xludf.DUMMYFUNCTION("""COMPUTED_VALUE"""),42.0)</f>
        <v>42</v>
      </c>
      <c r="N903" s="152" t="str">
        <f>IFERROR(__xludf.DUMMYFUNCTION("""COMPUTED_VALUE"""),"Model 3 SR+")</f>
        <v>Model 3 SR+</v>
      </c>
      <c r="O903" s="152" t="str">
        <f>IFERROR(__xludf.DUMMYFUNCTION("""COMPUTED_VALUE"""),"Midnight Silver Metallic")</f>
        <v>Midnight Silver Metallic</v>
      </c>
      <c r="P903" s="153" t="str">
        <f>IFERROR(__xludf.DUMMYFUNCTION("""COMPUTED_VALUE"""),"18 inch")</f>
        <v>18 inch</v>
      </c>
      <c r="Q903" s="152" t="str">
        <f>IFERROR(__xludf.DUMMYFUNCTION("""COMPUTED_VALUE"""),"All Black")</f>
        <v>All Black</v>
      </c>
      <c r="R903" s="149" t="str">
        <f>IFERROR(__xludf.DUMMYFUNCTION("""COMPUTED_VALUE"""),"Autopilot included")</f>
        <v>Autopilot included</v>
      </c>
      <c r="S903" s="149" t="str">
        <f>IFERROR(__xludf.DUMMYFUNCTION("""COMPUTED_VALUE"""),"Loan")</f>
        <v>Loan</v>
      </c>
      <c r="T903" s="145" t="str">
        <f>IFERROR(__xludf.DUMMYFUNCTION("""COMPUTED_VALUE"""),"Honda Accord")</f>
        <v>Honda Accord</v>
      </c>
      <c r="U903" s="145" t="str">
        <f>IFERROR(__xludf.DUMMYFUNCTION("""COMPUTED_VALUE"""),"Autopilot")</f>
        <v>Autopilot</v>
      </c>
      <c r="V903" s="145"/>
      <c r="W903" s="145"/>
      <c r="X903" s="137" t="str">
        <f>IFERROR(__xludf.DUMMYFUNCTION("""COMPUTED_VALUE"""),"Excellent")</f>
        <v>Excellent</v>
      </c>
      <c r="Y903" s="138" t="str">
        <f>IFERROR(__xludf.DUMMYFUNCTION("""COMPUTED_VALUE"""),"Excellent")</f>
        <v>Excellent</v>
      </c>
      <c r="Z903" s="138" t="str">
        <f>IFERROR(__xludf.DUMMYFUNCTION("""COMPUTED_VALUE"""),"Excellent")</f>
        <v>Excellent</v>
      </c>
      <c r="AA903" s="138" t="str">
        <f>IFERROR(__xludf.DUMMYFUNCTION("""COMPUTED_VALUE"""),"Fair")</f>
        <v>Fair</v>
      </c>
      <c r="AB903" s="138" t="str">
        <f>IFERROR(__xludf.DUMMYFUNCTION("""COMPUTED_VALUE"""),"Excellent")</f>
        <v>Excellent</v>
      </c>
      <c r="AC903" s="139"/>
      <c r="AD903" s="139"/>
      <c r="AE903" s="139"/>
      <c r="AF903" s="140" t="str">
        <f>IFERROR(__xludf.DUMMYFUNCTION("""COMPUTED_VALUE"""),"No. I took delivery of the first car Tesla was able to deliver.")</f>
        <v>No. I took delivery of the first car Tesla was able to deliver.</v>
      </c>
      <c r="AG903" s="145"/>
      <c r="AH903" s="157">
        <f>IFERROR(__xludf.DUMMYFUNCTION("""COMPUTED_VALUE"""),44317.71992743056)</f>
        <v>44317.71993</v>
      </c>
      <c r="AI903" s="138"/>
      <c r="AJ903" s="138"/>
      <c r="AK903" s="138"/>
      <c r="AL903" s="142"/>
    </row>
    <row r="904" ht="20.25" customHeight="1">
      <c r="A904" s="155" t="str">
        <f>IFERROR(__xludf.DUMMYFUNCTION("""COMPUTED_VALUE"""),"Kyriel")</f>
        <v>Kyriel</v>
      </c>
      <c r="B904" s="149" t="str">
        <f>IFERROR(__xludf.DUMMYFUNCTION("""COMPUTED_VALUE"""),"Chambéry")</f>
        <v>Chambéry</v>
      </c>
      <c r="C904" s="149"/>
      <c r="D904" s="149" t="str">
        <f>IFERROR(__xludf.DUMMYFUNCTION("""COMPUTED_VALUE"""),"France")</f>
        <v>France</v>
      </c>
      <c r="E904" s="156">
        <f>IFERROR(__xludf.DUMMYFUNCTION("""COMPUTED_VALUE"""),44275.0)</f>
        <v>44275</v>
      </c>
      <c r="F904" s="129">
        <f>IFERROR(__xludf.DUMMYFUNCTION("""COMPUTED_VALUE"""),44279.0)</f>
        <v>44279</v>
      </c>
      <c r="G904" s="154" t="str">
        <f>IFERROR(__xludf.DUMMYFUNCTION("""COMPUTED_VALUE"""),"Manage order page (normal text)")</f>
        <v>Manage order page (normal text)</v>
      </c>
      <c r="H904" s="131">
        <f>IFERROR(__xludf.DUMMYFUNCTION("""COMPUTED_VALUE"""),901757.0)</f>
        <v>901757</v>
      </c>
      <c r="I904" s="144" t="str">
        <f>IFERROR(__xludf.DUMMYFUNCTION("""COMPUTED_VALUE"""),"02/21")</f>
        <v>02/21</v>
      </c>
      <c r="J904" s="129">
        <f>IFERROR(__xludf.DUMMYFUNCTION("""COMPUTED_VALUE"""),44282.0)</f>
        <v>44282</v>
      </c>
      <c r="K904" s="133">
        <f>IFERROR(__xludf.DUMMYFUNCTION("""COMPUTED_VALUE"""),4.0)</f>
        <v>4</v>
      </c>
      <c r="L904" s="133">
        <f>IFERROR(__xludf.DUMMYFUNCTION("""COMPUTED_VALUE"""),3.0)</f>
        <v>3</v>
      </c>
      <c r="M904" s="133">
        <f>IFERROR(__xludf.DUMMYFUNCTION("""COMPUTED_VALUE"""),7.0)</f>
        <v>7</v>
      </c>
      <c r="N904" s="152" t="str">
        <f>IFERROR(__xludf.DUMMYFUNCTION("""COMPUTED_VALUE"""),"Model 3 SR+")</f>
        <v>Model 3 SR+</v>
      </c>
      <c r="O904" s="152" t="str">
        <f>IFERROR(__xludf.DUMMYFUNCTION("""COMPUTED_VALUE"""),"Pearl White Multi-Coat")</f>
        <v>Pearl White Multi-Coat</v>
      </c>
      <c r="P904" s="153" t="str">
        <f>IFERROR(__xludf.DUMMYFUNCTION("""COMPUTED_VALUE"""),"18 inch")</f>
        <v>18 inch</v>
      </c>
      <c r="Q904" s="152" t="str">
        <f>IFERROR(__xludf.DUMMYFUNCTION("""COMPUTED_VALUE"""),"All Black")</f>
        <v>All Black</v>
      </c>
      <c r="R904" s="149" t="str">
        <f>IFERROR(__xludf.DUMMYFUNCTION("""COMPUTED_VALUE"""),"Autopilot included")</f>
        <v>Autopilot included</v>
      </c>
      <c r="S904" s="149" t="str">
        <f>IFERROR(__xludf.DUMMYFUNCTION("""COMPUTED_VALUE"""),"Cash")</f>
        <v>Cash</v>
      </c>
      <c r="T904" s="145" t="str">
        <f>IFERROR(__xludf.DUMMYFUNCTION("""COMPUTED_VALUE"""),"Peugeot 206+")</f>
        <v>Peugeot 206+</v>
      </c>
      <c r="U904" s="145" t="str">
        <f>IFERROR(__xludf.DUMMYFUNCTION("""COMPUTED_VALUE"""),"Electric!")</f>
        <v>Electric!</v>
      </c>
      <c r="V904" s="145" t="str">
        <f>IFERROR(__xludf.DUMMYFUNCTION("""COMPUTED_VALUE"""),"360° Bird's eye view")</f>
        <v>360° Bird's eye view</v>
      </c>
      <c r="W904" s="145"/>
      <c r="X904" s="137" t="str">
        <f>IFERROR(__xludf.DUMMYFUNCTION("""COMPUTED_VALUE"""),"Excellent")</f>
        <v>Excellent</v>
      </c>
      <c r="Y904" s="138" t="str">
        <f>IFERROR(__xludf.DUMMYFUNCTION("""COMPUTED_VALUE"""),"Very Good")</f>
        <v>Very Good</v>
      </c>
      <c r="Z904" s="138" t="str">
        <f>IFERROR(__xludf.DUMMYFUNCTION("""COMPUTED_VALUE"""),"Excellent")</f>
        <v>Excellent</v>
      </c>
      <c r="AA904" s="138" t="str">
        <f>IFERROR(__xludf.DUMMYFUNCTION("""COMPUTED_VALUE"""),"Excellent")</f>
        <v>Excellent</v>
      </c>
      <c r="AB904" s="138" t="str">
        <f>IFERROR(__xludf.DUMMYFUNCTION("""COMPUTED_VALUE"""),"Very Good")</f>
        <v>Very Good</v>
      </c>
      <c r="AC904" s="139">
        <f>IFERROR(__xludf.DUMMYFUNCTION("""COMPUTED_VALUE"""),0.0)</f>
        <v>0</v>
      </c>
      <c r="AD904" s="139">
        <f>IFERROR(__xludf.DUMMYFUNCTION("""COMPUTED_VALUE"""),0.0)</f>
        <v>0</v>
      </c>
      <c r="AE904" s="139">
        <f>IFERROR(__xludf.DUMMYFUNCTION("""COMPUTED_VALUE"""),0.0)</f>
        <v>0</v>
      </c>
      <c r="AF904" s="140" t="str">
        <f>IFERROR(__xludf.DUMMYFUNCTION("""COMPUTED_VALUE"""),"No. I took delivery of the first car Tesla was able to deliver.")</f>
        <v>No. I took delivery of the first car Tesla was able to deliver.</v>
      </c>
      <c r="AG904" s="145"/>
      <c r="AH904" s="157">
        <f>IFERROR(__xludf.DUMMYFUNCTION("""COMPUTED_VALUE"""),44426.32141287037)</f>
        <v>44426.32141</v>
      </c>
      <c r="AI904" s="138"/>
      <c r="AJ904" s="138"/>
      <c r="AK904" s="138"/>
      <c r="AL904" s="142"/>
    </row>
    <row r="905" ht="20.25" customHeight="1">
      <c r="A905" s="155" t="str">
        <f>IFERROR(__xludf.DUMMYFUNCTION("""COMPUTED_VALUE"""),"Danielh")</f>
        <v>Danielh</v>
      </c>
      <c r="B905" s="149" t="str">
        <f>IFERROR(__xludf.DUMMYFUNCTION("""COMPUTED_VALUE"""),"Burbank")</f>
        <v>Burbank</v>
      </c>
      <c r="C905" s="149" t="str">
        <f>IFERROR(__xludf.DUMMYFUNCTION("""COMPUTED_VALUE"""),"CA")</f>
        <v>CA</v>
      </c>
      <c r="D905" s="149" t="str">
        <f>IFERROR(__xludf.DUMMYFUNCTION("""COMPUTED_VALUE"""),"USA")</f>
        <v>USA</v>
      </c>
      <c r="E905" s="156">
        <f>IFERROR(__xludf.DUMMYFUNCTION("""COMPUTED_VALUE"""),44273.0)</f>
        <v>44273</v>
      </c>
      <c r="F905" s="129">
        <f>IFERROR(__xludf.DUMMYFUNCTION("""COMPUTED_VALUE"""),44273.0)</f>
        <v>44273</v>
      </c>
      <c r="G905" s="154" t="str">
        <f>IFERROR(__xludf.DUMMYFUNCTION("""COMPUTED_VALUE"""),"Manage order page (normal text)")</f>
        <v>Manage order page (normal text)</v>
      </c>
      <c r="H905" s="131">
        <f>IFERROR(__xludf.DUMMYFUNCTION("""COMPUTED_VALUE"""),930755.0)</f>
        <v>930755</v>
      </c>
      <c r="I905" s="144"/>
      <c r="J905" s="129">
        <f>IFERROR(__xludf.DUMMYFUNCTION("""COMPUTED_VALUE"""),44275.0)</f>
        <v>44275</v>
      </c>
      <c r="K905" s="133">
        <f>IFERROR(__xludf.DUMMYFUNCTION("""COMPUTED_VALUE"""),0.0)</f>
        <v>0</v>
      </c>
      <c r="L905" s="133">
        <f>IFERROR(__xludf.DUMMYFUNCTION("""COMPUTED_VALUE"""),2.0)</f>
        <v>2</v>
      </c>
      <c r="M905" s="133">
        <f>IFERROR(__xludf.DUMMYFUNCTION("""COMPUTED_VALUE"""),2.0)</f>
        <v>2</v>
      </c>
      <c r="N905" s="152" t="str">
        <f>IFERROR(__xludf.DUMMYFUNCTION("""COMPUTED_VALUE"""),"Model 3 SR+")</f>
        <v>Model 3 SR+</v>
      </c>
      <c r="O905" s="152" t="str">
        <f>IFERROR(__xludf.DUMMYFUNCTION("""COMPUTED_VALUE"""),"Pearl White Multi-Coat")</f>
        <v>Pearl White Multi-Coat</v>
      </c>
      <c r="P905" s="153" t="str">
        <f>IFERROR(__xludf.DUMMYFUNCTION("""COMPUTED_VALUE"""),"18 inch")</f>
        <v>18 inch</v>
      </c>
      <c r="Q905" s="152" t="str">
        <f>IFERROR(__xludf.DUMMYFUNCTION("""COMPUTED_VALUE"""),"All Black")</f>
        <v>All Black</v>
      </c>
      <c r="R905" s="149" t="str">
        <f>IFERROR(__xludf.DUMMYFUNCTION("""COMPUTED_VALUE"""),"Full Self-Driving")</f>
        <v>Full Self-Driving</v>
      </c>
      <c r="S905" s="149" t="str">
        <f>IFERROR(__xludf.DUMMYFUNCTION("""COMPUTED_VALUE"""),"Lease")</f>
        <v>Lease</v>
      </c>
      <c r="T905" s="145" t="str">
        <f>IFERROR(__xludf.DUMMYFUNCTION("""COMPUTED_VALUE"""),"Model 3 will be my first car!")</f>
        <v>Model 3 will be my first car!</v>
      </c>
      <c r="U905" s="145" t="str">
        <f>IFERROR(__xludf.DUMMYFUNCTION("""COMPUTED_VALUE"""),"Autopilot")</f>
        <v>Autopilot</v>
      </c>
      <c r="V905" s="145" t="str">
        <f>IFERROR(__xludf.DUMMYFUNCTION("""COMPUTED_VALUE"""),"Head-up display")</f>
        <v>Head-up display</v>
      </c>
      <c r="W905" s="145"/>
      <c r="X905" s="137" t="str">
        <f>IFERROR(__xludf.DUMMYFUNCTION("""COMPUTED_VALUE"""),"Excellent")</f>
        <v>Excellent</v>
      </c>
      <c r="Y905" s="138" t="str">
        <f>IFERROR(__xludf.DUMMYFUNCTION("""COMPUTED_VALUE"""),"Very Good")</f>
        <v>Very Good</v>
      </c>
      <c r="Z905" s="138" t="str">
        <f>IFERROR(__xludf.DUMMYFUNCTION("""COMPUTED_VALUE"""),"Excellent")</f>
        <v>Excellent</v>
      </c>
      <c r="AA905" s="138" t="str">
        <f>IFERROR(__xludf.DUMMYFUNCTION("""COMPUTED_VALUE"""),"Excellent")</f>
        <v>Excellent</v>
      </c>
      <c r="AB905" s="138" t="str">
        <f>IFERROR(__xludf.DUMMYFUNCTION("""COMPUTED_VALUE"""),"Excellent")</f>
        <v>Excellent</v>
      </c>
      <c r="AC905" s="139"/>
      <c r="AD905" s="139"/>
      <c r="AE905" s="139"/>
      <c r="AF905" s="140"/>
      <c r="AG905" s="145" t="str">
        <f>IFERROR(__xludf.DUMMYFUNCTION("""COMPUTED_VALUE"""),"I've had nothing but an excellent experience so far.")</f>
        <v>I've had nothing but an excellent experience so far.</v>
      </c>
      <c r="AH905" s="157">
        <f>IFERROR(__xludf.DUMMYFUNCTION("""COMPUTED_VALUE"""),44275.55591711805)</f>
        <v>44275.55592</v>
      </c>
      <c r="AI905" s="138"/>
      <c r="AJ905" s="138"/>
      <c r="AK905" s="138"/>
      <c r="AL905" s="142"/>
    </row>
    <row r="906" ht="20.25" customHeight="1">
      <c r="A906" s="155" t="str">
        <f>IFERROR(__xludf.DUMMYFUNCTION("""COMPUTED_VALUE"""),"darthsipid")</f>
        <v>darthsipid</v>
      </c>
      <c r="B906" s="149" t="str">
        <f>IFERROR(__xludf.DUMMYFUNCTION("""COMPUTED_VALUE"""),"Kitchener")</f>
        <v>Kitchener</v>
      </c>
      <c r="C906" s="149" t="str">
        <f>IFERROR(__xludf.DUMMYFUNCTION("""COMPUTED_VALUE"""),"ON")</f>
        <v>ON</v>
      </c>
      <c r="D906" s="149" t="str">
        <f>IFERROR(__xludf.DUMMYFUNCTION("""COMPUTED_VALUE"""),"Canada")</f>
        <v>Canada</v>
      </c>
      <c r="E906" s="156">
        <f>IFERROR(__xludf.DUMMYFUNCTION("""COMPUTED_VALUE"""),44273.0)</f>
        <v>44273</v>
      </c>
      <c r="F906" s="129">
        <f>IFERROR(__xludf.DUMMYFUNCTION("""COMPUTED_VALUE"""),44344.0)</f>
        <v>44344</v>
      </c>
      <c r="G906" s="154" t="str">
        <f>IFERROR(__xludf.DUMMYFUNCTION("""COMPUTED_VALUE"""),"Source code")</f>
        <v>Source code</v>
      </c>
      <c r="H906" s="131">
        <f>IFERROR(__xludf.DUMMYFUNCTION("""COMPUTED_VALUE"""),974155.0)</f>
        <v>974155</v>
      </c>
      <c r="I906" s="144"/>
      <c r="J906" s="129">
        <f>IFERROR(__xludf.DUMMYFUNCTION("""COMPUTED_VALUE"""),44349.0)</f>
        <v>44349</v>
      </c>
      <c r="K906" s="133">
        <f>IFERROR(__xludf.DUMMYFUNCTION("""COMPUTED_VALUE"""),71.0)</f>
        <v>71</v>
      </c>
      <c r="L906" s="133">
        <f>IFERROR(__xludf.DUMMYFUNCTION("""COMPUTED_VALUE"""),5.0)</f>
        <v>5</v>
      </c>
      <c r="M906" s="133">
        <f>IFERROR(__xludf.DUMMYFUNCTION("""COMPUTED_VALUE"""),76.0)</f>
        <v>76</v>
      </c>
      <c r="N906" s="152" t="str">
        <f>IFERROR(__xludf.DUMMYFUNCTION("""COMPUTED_VALUE"""),"Model 3 LR AWD")</f>
        <v>Model 3 LR AWD</v>
      </c>
      <c r="O906" s="152" t="str">
        <f>IFERROR(__xludf.DUMMYFUNCTION("""COMPUTED_VALUE"""),"Deep Blue Metallic")</f>
        <v>Deep Blue Metallic</v>
      </c>
      <c r="P906" s="153" t="str">
        <f>IFERROR(__xludf.DUMMYFUNCTION("""COMPUTED_VALUE"""),"18 inch")</f>
        <v>18 inch</v>
      </c>
      <c r="Q906" s="152" t="str">
        <f>IFERROR(__xludf.DUMMYFUNCTION("""COMPUTED_VALUE"""),"Black and White")</f>
        <v>Black and White</v>
      </c>
      <c r="R906" s="149" t="str">
        <f>IFERROR(__xludf.DUMMYFUNCTION("""COMPUTED_VALUE"""),"Full Self-Driving")</f>
        <v>Full Self-Driving</v>
      </c>
      <c r="S906" s="149" t="str">
        <f>IFERROR(__xludf.DUMMYFUNCTION("""COMPUTED_VALUE"""),"Loan")</f>
        <v>Loan</v>
      </c>
      <c r="T906" s="145" t="str">
        <f>IFERROR(__xludf.DUMMYFUNCTION("""COMPUTED_VALUE"""),"Kia Forte")</f>
        <v>Kia Forte</v>
      </c>
      <c r="U906" s="145" t="str">
        <f>IFERROR(__xludf.DUMMYFUNCTION("""COMPUTED_VALUE"""),"Electric!")</f>
        <v>Electric!</v>
      </c>
      <c r="V906" s="145" t="str">
        <f>IFERROR(__xludf.DUMMYFUNCTION("""COMPUTED_VALUE"""),"Head-up display")</f>
        <v>Head-up display</v>
      </c>
      <c r="W906" s="145"/>
      <c r="X906" s="137" t="str">
        <f>IFERROR(__xludf.DUMMYFUNCTION("""COMPUTED_VALUE"""),"Very Good")</f>
        <v>Very Good</v>
      </c>
      <c r="Y906" s="138" t="str">
        <f>IFERROR(__xludf.DUMMYFUNCTION("""COMPUTED_VALUE"""),"Excellent")</f>
        <v>Excellent</v>
      </c>
      <c r="Z906" s="138" t="str">
        <f>IFERROR(__xludf.DUMMYFUNCTION("""COMPUTED_VALUE"""),"Excellent")</f>
        <v>Excellent</v>
      </c>
      <c r="AA906" s="138" t="str">
        <f>IFERROR(__xludf.DUMMYFUNCTION("""COMPUTED_VALUE"""),"Good")</f>
        <v>Good</v>
      </c>
      <c r="AB906" s="138" t="str">
        <f>IFERROR(__xludf.DUMMYFUNCTION("""COMPUTED_VALUE"""),"Very Good")</f>
        <v>Very Good</v>
      </c>
      <c r="AC906" s="139"/>
      <c r="AD906" s="139"/>
      <c r="AE906" s="139"/>
      <c r="AF906" s="140" t="str">
        <f>IFERROR(__xludf.DUMMYFUNCTION("""COMPUTED_VALUE"""),"No. I took delivery of the first car Tesla was able to deliver.")</f>
        <v>No. I took delivery of the first car Tesla was able to deliver.</v>
      </c>
      <c r="AG906" s="145"/>
      <c r="AH906" s="157">
        <f>IFERROR(__xludf.DUMMYFUNCTION("""COMPUTED_VALUE"""),44352.36480703703)</f>
        <v>44352.36481</v>
      </c>
      <c r="AI906" s="138"/>
      <c r="AJ906" s="138"/>
      <c r="AK906" s="138"/>
      <c r="AL906" s="142"/>
    </row>
    <row r="907" ht="20.25" customHeight="1">
      <c r="A907" s="155" t="str">
        <f>IFERROR(__xludf.DUMMYFUNCTION("""COMPUTED_VALUE"""),"JadeP")</f>
        <v>JadeP</v>
      </c>
      <c r="B907" s="149" t="str">
        <f>IFERROR(__xludf.DUMMYFUNCTION("""COMPUTED_VALUE"""),"Phoenix ")</f>
        <v>Phoenix </v>
      </c>
      <c r="C907" s="149" t="str">
        <f>IFERROR(__xludf.DUMMYFUNCTION("""COMPUTED_VALUE"""),"AZ")</f>
        <v>AZ</v>
      </c>
      <c r="D907" s="149" t="str">
        <f>IFERROR(__xludf.DUMMYFUNCTION("""COMPUTED_VALUE"""),"USA")</f>
        <v>USA</v>
      </c>
      <c r="E907" s="156">
        <f>IFERROR(__xludf.DUMMYFUNCTION("""COMPUTED_VALUE"""),44272.0)</f>
        <v>44272</v>
      </c>
      <c r="F907" s="129">
        <f>IFERROR(__xludf.DUMMYFUNCTION("""COMPUTED_VALUE"""),44369.0)</f>
        <v>44369</v>
      </c>
      <c r="G907" s="154" t="str">
        <f>IFERROR(__xludf.DUMMYFUNCTION("""COMPUTED_VALUE"""),"Manage order page (normal text)")</f>
        <v>Manage order page (normal text)</v>
      </c>
      <c r="H907" s="131"/>
      <c r="I907" s="144"/>
      <c r="J907" s="129">
        <f>IFERROR(__xludf.DUMMYFUNCTION("""COMPUTED_VALUE"""),44373.0)</f>
        <v>44373</v>
      </c>
      <c r="K907" s="133">
        <f>IFERROR(__xludf.DUMMYFUNCTION("""COMPUTED_VALUE"""),97.0)</f>
        <v>97</v>
      </c>
      <c r="L907" s="133">
        <f>IFERROR(__xludf.DUMMYFUNCTION("""COMPUTED_VALUE"""),4.0)</f>
        <v>4</v>
      </c>
      <c r="M907" s="133">
        <f>IFERROR(__xludf.DUMMYFUNCTION("""COMPUTED_VALUE"""),101.0)</f>
        <v>101</v>
      </c>
      <c r="N907" s="152" t="str">
        <f>IFERROR(__xludf.DUMMYFUNCTION("""COMPUTED_VALUE"""),"Model 3 SR+")</f>
        <v>Model 3 SR+</v>
      </c>
      <c r="O907" s="152" t="str">
        <f>IFERROR(__xludf.DUMMYFUNCTION("""COMPUTED_VALUE"""),"Red Multi-Coat")</f>
        <v>Red Multi-Coat</v>
      </c>
      <c r="P907" s="153" t="str">
        <f>IFERROR(__xludf.DUMMYFUNCTION("""COMPUTED_VALUE"""),"18 inch")</f>
        <v>18 inch</v>
      </c>
      <c r="Q907" s="152" t="str">
        <f>IFERROR(__xludf.DUMMYFUNCTION("""COMPUTED_VALUE"""),"All Black")</f>
        <v>All Black</v>
      </c>
      <c r="R907" s="149" t="str">
        <f>IFERROR(__xludf.DUMMYFUNCTION("""COMPUTED_VALUE"""),"Autopilot included")</f>
        <v>Autopilot included</v>
      </c>
      <c r="S907" s="149" t="str">
        <f>IFERROR(__xludf.DUMMYFUNCTION("""COMPUTED_VALUE"""),"Loan")</f>
        <v>Loan</v>
      </c>
      <c r="T907" s="145" t="str">
        <f>IFERROR(__xludf.DUMMYFUNCTION("""COMPUTED_VALUE"""),"Honda Civic")</f>
        <v>Honda Civic</v>
      </c>
      <c r="U907" s="145" t="str">
        <f>IFERROR(__xludf.DUMMYFUNCTION("""COMPUTED_VALUE"""),"Electric!")</f>
        <v>Electric!</v>
      </c>
      <c r="V907" s="145" t="str">
        <f>IFERROR(__xludf.DUMMYFUNCTION("""COMPUTED_VALUE"""),"Bioweapon defense mode")</f>
        <v>Bioweapon defense mode</v>
      </c>
      <c r="W907" s="145" t="str">
        <f>IFERROR(__xludf.DUMMYFUNCTION("""COMPUTED_VALUE"""),"Be extremely patient!")</f>
        <v>Be extremely patient!</v>
      </c>
      <c r="X907" s="137"/>
      <c r="Y907" s="138"/>
      <c r="Z907" s="138"/>
      <c r="AA907" s="138"/>
      <c r="AB907" s="138"/>
      <c r="AC907" s="139"/>
      <c r="AD907" s="139"/>
      <c r="AE907" s="139"/>
      <c r="AF907" s="140"/>
      <c r="AG907" s="145"/>
      <c r="AH907" s="157">
        <f>IFERROR(__xludf.DUMMYFUNCTION("""COMPUTED_VALUE"""),44369.75014570602)</f>
        <v>44369.75015</v>
      </c>
      <c r="AI907" s="138"/>
      <c r="AJ907" s="138"/>
      <c r="AK907" s="138"/>
      <c r="AL907" s="142"/>
    </row>
    <row r="908" ht="20.25" customHeight="1">
      <c r="A908" s="155" t="str">
        <f>IFERROR(__xludf.DUMMYFUNCTION("""COMPUTED_VALUE"""),"elowe")</f>
        <v>elowe</v>
      </c>
      <c r="B908" s="149" t="str">
        <f>IFERROR(__xludf.DUMMYFUNCTION("""COMPUTED_VALUE"""),"Los Angeles")</f>
        <v>Los Angeles</v>
      </c>
      <c r="C908" s="149" t="str">
        <f>IFERROR(__xludf.DUMMYFUNCTION("""COMPUTED_VALUE"""),"CA")</f>
        <v>CA</v>
      </c>
      <c r="D908" s="149" t="str">
        <f>IFERROR(__xludf.DUMMYFUNCTION("""COMPUTED_VALUE"""),"USA")</f>
        <v>USA</v>
      </c>
      <c r="E908" s="156">
        <f>IFERROR(__xludf.DUMMYFUNCTION("""COMPUTED_VALUE"""),44270.0)</f>
        <v>44270</v>
      </c>
      <c r="F908" s="129">
        <f>IFERROR(__xludf.DUMMYFUNCTION("""COMPUTED_VALUE"""),44372.0)</f>
        <v>44372</v>
      </c>
      <c r="G908" s="154" t="str">
        <f>IFERROR(__xludf.DUMMYFUNCTION("""COMPUTED_VALUE"""),"Manage order page (normal text)")</f>
        <v>Manage order page (normal text)</v>
      </c>
      <c r="H908" s="131">
        <f>IFERROR(__xludf.DUMMYFUNCTION("""COMPUTED_VALUE"""),2455.0)</f>
        <v>2455</v>
      </c>
      <c r="I908" s="144" t="str">
        <f>IFERROR(__xludf.DUMMYFUNCTION("""COMPUTED_VALUE"""),"06/21")</f>
        <v>06/21</v>
      </c>
      <c r="J908" s="129">
        <f>IFERROR(__xludf.DUMMYFUNCTION("""COMPUTED_VALUE"""),44374.0)</f>
        <v>44374</v>
      </c>
      <c r="K908" s="133">
        <f>IFERROR(__xludf.DUMMYFUNCTION("""COMPUTED_VALUE"""),102.0)</f>
        <v>102</v>
      </c>
      <c r="L908" s="133">
        <f>IFERROR(__xludf.DUMMYFUNCTION("""COMPUTED_VALUE"""),2.0)</f>
        <v>2</v>
      </c>
      <c r="M908" s="133">
        <f>IFERROR(__xludf.DUMMYFUNCTION("""COMPUTED_VALUE"""),104.0)</f>
        <v>104</v>
      </c>
      <c r="N908" s="152" t="str">
        <f>IFERROR(__xludf.DUMMYFUNCTION("""COMPUTED_VALUE"""),"Model 3 LR AWD")</f>
        <v>Model 3 LR AWD</v>
      </c>
      <c r="O908" s="152" t="str">
        <f>IFERROR(__xludf.DUMMYFUNCTION("""COMPUTED_VALUE"""),"Solid Black")</f>
        <v>Solid Black</v>
      </c>
      <c r="P908" s="153" t="str">
        <f>IFERROR(__xludf.DUMMYFUNCTION("""COMPUTED_VALUE"""),"18 inch")</f>
        <v>18 inch</v>
      </c>
      <c r="Q908" s="152" t="str">
        <f>IFERROR(__xludf.DUMMYFUNCTION("""COMPUTED_VALUE"""),"All Black")</f>
        <v>All Black</v>
      </c>
      <c r="R908" s="149" t="str">
        <f>IFERROR(__xludf.DUMMYFUNCTION("""COMPUTED_VALUE"""),"Autopilot included")</f>
        <v>Autopilot included</v>
      </c>
      <c r="S908" s="149" t="str">
        <f>IFERROR(__xludf.DUMMYFUNCTION("""COMPUTED_VALUE"""),"Loan")</f>
        <v>Loan</v>
      </c>
      <c r="T908" s="145" t="str">
        <f>IFERROR(__xludf.DUMMYFUNCTION("""COMPUTED_VALUE"""),"BMW i3")</f>
        <v>BMW i3</v>
      </c>
      <c r="U908" s="145" t="str">
        <f>IFERROR(__xludf.DUMMYFUNCTION("""COMPUTED_VALUE"""),"Electric!")</f>
        <v>Electric!</v>
      </c>
      <c r="V908" s="145" t="str">
        <f>IFERROR(__xludf.DUMMYFUNCTION("""COMPUTED_VALUE"""),"Apple CarPlay / Android Auto / SiriusXM Radio")</f>
        <v>Apple CarPlay / Android Auto / SiriusXM Radio</v>
      </c>
      <c r="W908" s="145" t="str">
        <f>IFERROR(__xludf.DUMMYFUNCTION("""COMPUTED_VALUE"""),"came with a USB drive for the cams")</f>
        <v>came with a USB drive for the cams</v>
      </c>
      <c r="X908" s="137" t="str">
        <f>IFERROR(__xludf.DUMMYFUNCTION("""COMPUTED_VALUE"""),"Excellent")</f>
        <v>Excellent</v>
      </c>
      <c r="Y908" s="138" t="str">
        <f>IFERROR(__xludf.DUMMYFUNCTION("""COMPUTED_VALUE"""),"Excellent")</f>
        <v>Excellent</v>
      </c>
      <c r="Z908" s="138" t="str">
        <f>IFERROR(__xludf.DUMMYFUNCTION("""COMPUTED_VALUE"""),"Excellent")</f>
        <v>Excellent</v>
      </c>
      <c r="AA908" s="138" t="str">
        <f>IFERROR(__xludf.DUMMYFUNCTION("""COMPUTED_VALUE"""),"Good")</f>
        <v>Good</v>
      </c>
      <c r="AB908" s="138" t="str">
        <f>IFERROR(__xludf.DUMMYFUNCTION("""COMPUTED_VALUE"""),"Excellent")</f>
        <v>Excellent</v>
      </c>
      <c r="AC908" s="139">
        <f>IFERROR(__xludf.DUMMYFUNCTION("""COMPUTED_VALUE"""),0.0)</f>
        <v>0</v>
      </c>
      <c r="AD908" s="139"/>
      <c r="AE908" s="139"/>
      <c r="AF908" s="140" t="str">
        <f>IFERROR(__xludf.DUMMYFUNCTION("""COMPUTED_VALUE"""),"No. I took delivery of the first car Tesla was able to deliver.")</f>
        <v>No. I took delivery of the first car Tesla was able to deliver.</v>
      </c>
      <c r="AG908" s="145"/>
      <c r="AH908" s="157">
        <f>IFERROR(__xludf.DUMMYFUNCTION("""COMPUTED_VALUE"""),44374.7030444213)</f>
        <v>44374.70304</v>
      </c>
      <c r="AI908" s="138"/>
      <c r="AJ908" s="138"/>
      <c r="AK908" s="138"/>
      <c r="AL908" s="142"/>
    </row>
    <row r="909" ht="20.25" customHeight="1">
      <c r="A909" s="155" t="str">
        <f>IFERROR(__xludf.DUMMYFUNCTION("""COMPUTED_VALUE"""),"JeffM3P")</f>
        <v>JeffM3P</v>
      </c>
      <c r="B909" s="149" t="str">
        <f>IFERROR(__xludf.DUMMYFUNCTION("""COMPUTED_VALUE"""),"Milton")</f>
        <v>Milton</v>
      </c>
      <c r="C909" s="149" t="str">
        <f>IFERROR(__xludf.DUMMYFUNCTION("""COMPUTED_VALUE"""),"ON")</f>
        <v>ON</v>
      </c>
      <c r="D909" s="149" t="str">
        <f>IFERROR(__xludf.DUMMYFUNCTION("""COMPUTED_VALUE"""),"Canada")</f>
        <v>Canada</v>
      </c>
      <c r="E909" s="156">
        <f>IFERROR(__xludf.DUMMYFUNCTION("""COMPUTED_VALUE"""),44270.0)</f>
        <v>44270</v>
      </c>
      <c r="F909" s="129">
        <f>IFERROR(__xludf.DUMMYFUNCTION("""COMPUTED_VALUE"""),44347.0)</f>
        <v>44347</v>
      </c>
      <c r="G909" s="154" t="str">
        <f>IFERROR(__xludf.DUMMYFUNCTION("""COMPUTED_VALUE"""),"Manage order page (normal text)")</f>
        <v>Manage order page (normal text)</v>
      </c>
      <c r="H909" s="131">
        <f>IFERROR(__xludf.DUMMYFUNCTION("""COMPUTED_VALUE"""),975976.0)</f>
        <v>975976</v>
      </c>
      <c r="I909" s="144" t="str">
        <f>IFERROR(__xludf.DUMMYFUNCTION("""COMPUTED_VALUE"""),"05/21")</f>
        <v>05/21</v>
      </c>
      <c r="J909" s="129">
        <f>IFERROR(__xludf.DUMMYFUNCTION("""COMPUTED_VALUE"""),44354.0)</f>
        <v>44354</v>
      </c>
      <c r="K909" s="133">
        <f>IFERROR(__xludf.DUMMYFUNCTION("""COMPUTED_VALUE"""),77.0)</f>
        <v>77</v>
      </c>
      <c r="L909" s="133">
        <f>IFERROR(__xludf.DUMMYFUNCTION("""COMPUTED_VALUE"""),7.0)</f>
        <v>7</v>
      </c>
      <c r="M909" s="133">
        <f>IFERROR(__xludf.DUMMYFUNCTION("""COMPUTED_VALUE"""),84.0)</f>
        <v>84</v>
      </c>
      <c r="N909" s="152" t="str">
        <f>IFERROR(__xludf.DUMMYFUNCTION("""COMPUTED_VALUE"""),"Model 3 Performance")</f>
        <v>Model 3 Performance</v>
      </c>
      <c r="O909" s="152" t="str">
        <f>IFERROR(__xludf.DUMMYFUNCTION("""COMPUTED_VALUE"""),"Pearl White Multi-Coat")</f>
        <v>Pearl White Multi-Coat</v>
      </c>
      <c r="P909" s="153" t="str">
        <f>IFERROR(__xludf.DUMMYFUNCTION("""COMPUTED_VALUE"""),"20 inch")</f>
        <v>20 inch</v>
      </c>
      <c r="Q909" s="152" t="str">
        <f>IFERROR(__xludf.DUMMYFUNCTION("""COMPUTED_VALUE"""),"All Black")</f>
        <v>All Black</v>
      </c>
      <c r="R909" s="149" t="str">
        <f>IFERROR(__xludf.DUMMYFUNCTION("""COMPUTED_VALUE"""),"Autopilot included")</f>
        <v>Autopilot included</v>
      </c>
      <c r="S909" s="149"/>
      <c r="T909" s="145"/>
      <c r="U909" s="145"/>
      <c r="V909" s="145"/>
      <c r="W909" s="145"/>
      <c r="X909" s="137" t="str">
        <f>IFERROR(__xludf.DUMMYFUNCTION("""COMPUTED_VALUE"""),"Very Good")</f>
        <v>Very Good</v>
      </c>
      <c r="Y909" s="138" t="str">
        <f>IFERROR(__xludf.DUMMYFUNCTION("""COMPUTED_VALUE"""),"Excellent")</f>
        <v>Excellent</v>
      </c>
      <c r="Z909" s="138" t="str">
        <f>IFERROR(__xludf.DUMMYFUNCTION("""COMPUTED_VALUE"""),"Excellent")</f>
        <v>Excellent</v>
      </c>
      <c r="AA909" s="138" t="str">
        <f>IFERROR(__xludf.DUMMYFUNCTION("""COMPUTED_VALUE"""),"Poor")</f>
        <v>Poor</v>
      </c>
      <c r="AB909" s="138" t="str">
        <f>IFERROR(__xludf.DUMMYFUNCTION("""COMPUTED_VALUE"""),"Good")</f>
        <v>Good</v>
      </c>
      <c r="AC909" s="139">
        <f>IFERROR(__xludf.DUMMYFUNCTION("""COMPUTED_VALUE"""),2.0)</f>
        <v>2</v>
      </c>
      <c r="AD909" s="139">
        <f>IFERROR(__xludf.DUMMYFUNCTION("""COMPUTED_VALUE"""),1.0)</f>
        <v>1</v>
      </c>
      <c r="AE909" s="139"/>
      <c r="AF909" s="140" t="str">
        <f>IFERROR(__xludf.DUMMYFUNCTION("""COMPUTED_VALUE"""),"No. I took delivery of the first car Tesla was able to deliver.")</f>
        <v>No. I took delivery of the first car Tesla was able to deliver.</v>
      </c>
      <c r="AG909" s="145"/>
      <c r="AH909" s="157">
        <f>IFERROR(__xludf.DUMMYFUNCTION("""COMPUTED_VALUE"""),44362.79459203704)</f>
        <v>44362.79459</v>
      </c>
      <c r="AI909" s="138"/>
      <c r="AJ909" s="138"/>
      <c r="AK909" s="138"/>
      <c r="AL909" s="142"/>
    </row>
    <row r="910" ht="20.25" customHeight="1">
      <c r="A910" s="155" t="str">
        <f>IFERROR(__xludf.DUMMYFUNCTION("""COMPUTED_VALUE"""),"alpha")</f>
        <v>alpha</v>
      </c>
      <c r="B910" s="149" t="str">
        <f>IFERROR(__xludf.DUMMYFUNCTION("""COMPUTED_VALUE"""),"Baltimore")</f>
        <v>Baltimore</v>
      </c>
      <c r="C910" s="149" t="str">
        <f>IFERROR(__xludf.DUMMYFUNCTION("""COMPUTED_VALUE"""),"MD")</f>
        <v>MD</v>
      </c>
      <c r="D910" s="149" t="str">
        <f>IFERROR(__xludf.DUMMYFUNCTION("""COMPUTED_VALUE"""),"USA")</f>
        <v>USA</v>
      </c>
      <c r="E910" s="156">
        <f>IFERROR(__xludf.DUMMYFUNCTION("""COMPUTED_VALUE"""),44267.0)</f>
        <v>44267</v>
      </c>
      <c r="F910" s="129">
        <f>IFERROR(__xludf.DUMMYFUNCTION("""COMPUTED_VALUE"""),44272.0)</f>
        <v>44272</v>
      </c>
      <c r="G910" s="154" t="str">
        <f>IFERROR(__xludf.DUMMYFUNCTION("""COMPUTED_VALUE"""),"Manage order page (normal text)")</f>
        <v>Manage order page (normal text)</v>
      </c>
      <c r="H910" s="131">
        <f>IFERROR(__xludf.DUMMYFUNCTION("""COMPUTED_VALUE"""),927055.0)</f>
        <v>927055</v>
      </c>
      <c r="I910" s="144" t="str">
        <f>IFERROR(__xludf.DUMMYFUNCTION("""COMPUTED_VALUE"""),"03/21")</f>
        <v>03/21</v>
      </c>
      <c r="J910" s="129">
        <f>IFERROR(__xludf.DUMMYFUNCTION("""COMPUTED_VALUE"""),44280.0)</f>
        <v>44280</v>
      </c>
      <c r="K910" s="133">
        <f>IFERROR(__xludf.DUMMYFUNCTION("""COMPUTED_VALUE"""),5.0)</f>
        <v>5</v>
      </c>
      <c r="L910" s="133">
        <f>IFERROR(__xludf.DUMMYFUNCTION("""COMPUTED_VALUE"""),8.0)</f>
        <v>8</v>
      </c>
      <c r="M910" s="133">
        <f>IFERROR(__xludf.DUMMYFUNCTION("""COMPUTED_VALUE"""),13.0)</f>
        <v>13</v>
      </c>
      <c r="N910" s="152" t="str">
        <f>IFERROR(__xludf.DUMMYFUNCTION("""COMPUTED_VALUE"""),"Model 3 LR AWD")</f>
        <v>Model 3 LR AWD</v>
      </c>
      <c r="O910" s="152" t="str">
        <f>IFERROR(__xludf.DUMMYFUNCTION("""COMPUTED_VALUE"""),"Deep Blue Metallic")</f>
        <v>Deep Blue Metallic</v>
      </c>
      <c r="P910" s="153" t="str">
        <f>IFERROR(__xludf.DUMMYFUNCTION("""COMPUTED_VALUE"""),"18 inch")</f>
        <v>18 inch</v>
      </c>
      <c r="Q910" s="152" t="str">
        <f>IFERROR(__xludf.DUMMYFUNCTION("""COMPUTED_VALUE"""),"Black and White")</f>
        <v>Black and White</v>
      </c>
      <c r="R910" s="149" t="str">
        <f>IFERROR(__xludf.DUMMYFUNCTION("""COMPUTED_VALUE"""),"Autopilot included")</f>
        <v>Autopilot included</v>
      </c>
      <c r="S910" s="149" t="str">
        <f>IFERROR(__xludf.DUMMYFUNCTION("""COMPUTED_VALUE"""),"Loan")</f>
        <v>Loan</v>
      </c>
      <c r="T910" s="145"/>
      <c r="U910" s="145" t="str">
        <f>IFERROR(__xludf.DUMMYFUNCTION("""COMPUTED_VALUE"""),"Zoooom")</f>
        <v>Zoooom</v>
      </c>
      <c r="V910" s="145" t="str">
        <f>IFERROR(__xludf.DUMMYFUNCTION("""COMPUTED_VALUE"""),"Apple CarPlay / Android Auto / SiriusXM Radio")</f>
        <v>Apple CarPlay / Android Auto / SiriusXM Radio</v>
      </c>
      <c r="W910" s="145"/>
      <c r="X910" s="137" t="str">
        <f>IFERROR(__xludf.DUMMYFUNCTION("""COMPUTED_VALUE"""),"Good")</f>
        <v>Good</v>
      </c>
      <c r="Y910" s="138" t="str">
        <f>IFERROR(__xludf.DUMMYFUNCTION("""COMPUTED_VALUE"""),"Fair")</f>
        <v>Fair</v>
      </c>
      <c r="Z910" s="138" t="str">
        <f>IFERROR(__xludf.DUMMYFUNCTION("""COMPUTED_VALUE"""),"Good")</f>
        <v>Good</v>
      </c>
      <c r="AA910" s="138" t="str">
        <f>IFERROR(__xludf.DUMMYFUNCTION("""COMPUTED_VALUE"""),"Poor")</f>
        <v>Poor</v>
      </c>
      <c r="AB910" s="138" t="str">
        <f>IFERROR(__xludf.DUMMYFUNCTION("""COMPUTED_VALUE"""),"Fair")</f>
        <v>Fair</v>
      </c>
      <c r="AC910" s="139"/>
      <c r="AD910" s="139"/>
      <c r="AE910" s="139"/>
      <c r="AF910" s="140" t="str">
        <f>IFERROR(__xludf.DUMMYFUNCTION("""COMPUTED_VALUE"""),"No. I took delivery of the first car Tesla was able to deliver.")</f>
        <v>No. I took delivery of the first car Tesla was able to deliver.</v>
      </c>
      <c r="AG910" s="145"/>
      <c r="AH910" s="157">
        <f>IFERROR(__xludf.DUMMYFUNCTION("""COMPUTED_VALUE"""),44280.633698564816)</f>
        <v>44280.6337</v>
      </c>
      <c r="AI910" s="138"/>
      <c r="AJ910" s="138"/>
      <c r="AK910" s="138"/>
      <c r="AL910" s="142"/>
    </row>
    <row r="911" ht="20.25" customHeight="1">
      <c r="A911" s="155" t="str">
        <f>IFERROR(__xludf.DUMMYFUNCTION("""COMPUTED_VALUE"""),"cykfoli")</f>
        <v>cykfoli</v>
      </c>
      <c r="B911" s="149" t="str">
        <f>IFERROR(__xludf.DUMMYFUNCTION("""COMPUTED_VALUE"""),"Kitchener")</f>
        <v>Kitchener</v>
      </c>
      <c r="C911" s="149" t="str">
        <f>IFERROR(__xludf.DUMMYFUNCTION("""COMPUTED_VALUE"""),"ON")</f>
        <v>ON</v>
      </c>
      <c r="D911" s="149" t="str">
        <f>IFERROR(__xludf.DUMMYFUNCTION("""COMPUTED_VALUE"""),"Canada")</f>
        <v>Canada</v>
      </c>
      <c r="E911" s="156">
        <f>IFERROR(__xludf.DUMMYFUNCTION("""COMPUTED_VALUE"""),44267.0)</f>
        <v>44267</v>
      </c>
      <c r="F911" s="129">
        <f>IFERROR(__xludf.DUMMYFUNCTION("""COMPUTED_VALUE"""),44275.0)</f>
        <v>44275</v>
      </c>
      <c r="G911" s="154" t="str">
        <f>IFERROR(__xludf.DUMMYFUNCTION("""COMPUTED_VALUE"""),"Email")</f>
        <v>Email</v>
      </c>
      <c r="H911" s="131">
        <f>IFERROR(__xludf.DUMMYFUNCTION("""COMPUTED_VALUE"""),914955.0)</f>
        <v>914955</v>
      </c>
      <c r="I911" s="144" t="str">
        <f>IFERROR(__xludf.DUMMYFUNCTION("""COMPUTED_VALUE"""),"03/21")</f>
        <v>03/21</v>
      </c>
      <c r="J911" s="129">
        <f>IFERROR(__xludf.DUMMYFUNCTION("""COMPUTED_VALUE"""),44282.0)</f>
        <v>44282</v>
      </c>
      <c r="K911" s="133">
        <f>IFERROR(__xludf.DUMMYFUNCTION("""COMPUTED_VALUE"""),8.0)</f>
        <v>8</v>
      </c>
      <c r="L911" s="133">
        <f>IFERROR(__xludf.DUMMYFUNCTION("""COMPUTED_VALUE"""),7.0)</f>
        <v>7</v>
      </c>
      <c r="M911" s="133">
        <f>IFERROR(__xludf.DUMMYFUNCTION("""COMPUTED_VALUE"""),15.0)</f>
        <v>15</v>
      </c>
      <c r="N911" s="152" t="str">
        <f>IFERROR(__xludf.DUMMYFUNCTION("""COMPUTED_VALUE"""),"Model 3 LR AWD")</f>
        <v>Model 3 LR AWD</v>
      </c>
      <c r="O911" s="152" t="str">
        <f>IFERROR(__xludf.DUMMYFUNCTION("""COMPUTED_VALUE"""),"Pearl White Multi-Coat")</f>
        <v>Pearl White Multi-Coat</v>
      </c>
      <c r="P911" s="153" t="str">
        <f>IFERROR(__xludf.DUMMYFUNCTION("""COMPUTED_VALUE"""),"18 inch")</f>
        <v>18 inch</v>
      </c>
      <c r="Q911" s="152" t="str">
        <f>IFERROR(__xludf.DUMMYFUNCTION("""COMPUTED_VALUE"""),"All Black")</f>
        <v>All Black</v>
      </c>
      <c r="R911" s="149" t="str">
        <f>IFERROR(__xludf.DUMMYFUNCTION("""COMPUTED_VALUE"""),"Full Self-Driving")</f>
        <v>Full Self-Driving</v>
      </c>
      <c r="S911" s="149" t="str">
        <f>IFERROR(__xludf.DUMMYFUNCTION("""COMPUTED_VALUE"""),"Loan")</f>
        <v>Loan</v>
      </c>
      <c r="T911" s="145" t="str">
        <f>IFERROR(__xludf.DUMMYFUNCTION("""COMPUTED_VALUE"""),"MB C")</f>
        <v>MB C</v>
      </c>
      <c r="U911" s="145" t="str">
        <f>IFERROR(__xludf.DUMMYFUNCTION("""COMPUTED_VALUE"""),"Electric!")</f>
        <v>Electric!</v>
      </c>
      <c r="V911" s="145" t="str">
        <f>IFERROR(__xludf.DUMMYFUNCTION("""COMPUTED_VALUE"""),"Air suspension")</f>
        <v>Air suspension</v>
      </c>
      <c r="W911" s="145"/>
      <c r="X911" s="137" t="str">
        <f>IFERROR(__xludf.DUMMYFUNCTION("""COMPUTED_VALUE"""),"Very Good")</f>
        <v>Very Good</v>
      </c>
      <c r="Y911" s="138" t="str">
        <f>IFERROR(__xludf.DUMMYFUNCTION("""COMPUTED_VALUE"""),"Excellent")</f>
        <v>Excellent</v>
      </c>
      <c r="Z911" s="138" t="str">
        <f>IFERROR(__xludf.DUMMYFUNCTION("""COMPUTED_VALUE"""),"Excellent")</f>
        <v>Excellent</v>
      </c>
      <c r="AA911" s="138" t="str">
        <f>IFERROR(__xludf.DUMMYFUNCTION("""COMPUTED_VALUE"""),"Very Good")</f>
        <v>Very Good</v>
      </c>
      <c r="AB911" s="138" t="str">
        <f>IFERROR(__xludf.DUMMYFUNCTION("""COMPUTED_VALUE"""),"Excellent")</f>
        <v>Excellent</v>
      </c>
      <c r="AC911" s="139">
        <f>IFERROR(__xludf.DUMMYFUNCTION("""COMPUTED_VALUE"""),0.0)</f>
        <v>0</v>
      </c>
      <c r="AD911" s="139"/>
      <c r="AE911" s="139"/>
      <c r="AF911" s="140" t="str">
        <f>IFERROR(__xludf.DUMMYFUNCTION("""COMPUTED_VALUE"""),"No. I took delivery of the first car Tesla was able to deliver.")</f>
        <v>No. I took delivery of the first car Tesla was able to deliver.</v>
      </c>
      <c r="AG911" s="145"/>
      <c r="AH911" s="157">
        <f>IFERROR(__xludf.DUMMYFUNCTION("""COMPUTED_VALUE"""),44283.89556996528)</f>
        <v>44283.89557</v>
      </c>
      <c r="AI911" s="138"/>
      <c r="AJ911" s="138"/>
      <c r="AK911" s="138"/>
      <c r="AL911" s="142"/>
    </row>
    <row r="912" ht="20.25" customHeight="1">
      <c r="A912" s="155" t="str">
        <f>IFERROR(__xludf.DUMMYFUNCTION("""COMPUTED_VALUE"""),"electricblizar")</f>
        <v>electricblizar</v>
      </c>
      <c r="B912" s="149" t="str">
        <f>IFERROR(__xludf.DUMMYFUNCTION("""COMPUTED_VALUE"""),"Munich")</f>
        <v>Munich</v>
      </c>
      <c r="C912" s="149"/>
      <c r="D912" s="149" t="str">
        <f>IFERROR(__xludf.DUMMYFUNCTION("""COMPUTED_VALUE"""),"Germany")</f>
        <v>Germany</v>
      </c>
      <c r="E912" s="156">
        <f>IFERROR(__xludf.DUMMYFUNCTION("""COMPUTED_VALUE"""),44267.0)</f>
        <v>44267</v>
      </c>
      <c r="F912" s="129">
        <f>IFERROR(__xludf.DUMMYFUNCTION("""COMPUTED_VALUE"""),44321.0)</f>
        <v>44321</v>
      </c>
      <c r="G912" s="154" t="str">
        <f>IFERROR(__xludf.DUMMYFUNCTION("""COMPUTED_VALUE"""),"Invoice")</f>
        <v>Invoice</v>
      </c>
      <c r="H912" s="131">
        <f>IFERROR(__xludf.DUMMYFUNCTION("""COMPUTED_VALUE"""),953055.0)</f>
        <v>953055</v>
      </c>
      <c r="I912" s="144" t="str">
        <f>IFERROR(__xludf.DUMMYFUNCTION("""COMPUTED_VALUE"""),"04/21")</f>
        <v>04/21</v>
      </c>
      <c r="J912" s="129">
        <f>IFERROR(__xludf.DUMMYFUNCTION("""COMPUTED_VALUE"""),44352.0)</f>
        <v>44352</v>
      </c>
      <c r="K912" s="133">
        <f>IFERROR(__xludf.DUMMYFUNCTION("""COMPUTED_VALUE"""),54.0)</f>
        <v>54</v>
      </c>
      <c r="L912" s="133">
        <f>IFERROR(__xludf.DUMMYFUNCTION("""COMPUTED_VALUE"""),31.0)</f>
        <v>31</v>
      </c>
      <c r="M912" s="133">
        <f>IFERROR(__xludf.DUMMYFUNCTION("""COMPUTED_VALUE"""),85.0)</f>
        <v>85</v>
      </c>
      <c r="N912" s="152" t="str">
        <f>IFERROR(__xludf.DUMMYFUNCTION("""COMPUTED_VALUE"""),"Model 3 LR AWD")</f>
        <v>Model 3 LR AWD</v>
      </c>
      <c r="O912" s="152" t="str">
        <f>IFERROR(__xludf.DUMMYFUNCTION("""COMPUTED_VALUE"""),"Pearl White Multi-Coat")</f>
        <v>Pearl White Multi-Coat</v>
      </c>
      <c r="P912" s="153" t="str">
        <f>IFERROR(__xludf.DUMMYFUNCTION("""COMPUTED_VALUE"""),"18 inch")</f>
        <v>18 inch</v>
      </c>
      <c r="Q912" s="152" t="str">
        <f>IFERROR(__xludf.DUMMYFUNCTION("""COMPUTED_VALUE"""),"All Black")</f>
        <v>All Black</v>
      </c>
      <c r="R912" s="149" t="str">
        <f>IFERROR(__xludf.DUMMYFUNCTION("""COMPUTED_VALUE"""),"Full Self-Driving")</f>
        <v>Full Self-Driving</v>
      </c>
      <c r="S912" s="149" t="str">
        <f>IFERROR(__xludf.DUMMYFUNCTION("""COMPUTED_VALUE"""),"Lease")</f>
        <v>Lease</v>
      </c>
      <c r="T912" s="145"/>
      <c r="U912" s="145" t="str">
        <f>IFERROR(__xludf.DUMMYFUNCTION("""COMPUTED_VALUE"""),"Tesla brand image")</f>
        <v>Tesla brand image</v>
      </c>
      <c r="V912" s="145" t="str">
        <f>IFERROR(__xludf.DUMMYFUNCTION("""COMPUTED_VALUE"""),"Blind spot indicators on side mirrors")</f>
        <v>Blind spot indicators on side mirrors</v>
      </c>
      <c r="W912" s="145"/>
      <c r="X912" s="137" t="str">
        <f>IFERROR(__xludf.DUMMYFUNCTION("""COMPUTED_VALUE"""),"Good")</f>
        <v>Good</v>
      </c>
      <c r="Y912" s="138" t="str">
        <f>IFERROR(__xludf.DUMMYFUNCTION("""COMPUTED_VALUE"""),"Excellent")</f>
        <v>Excellent</v>
      </c>
      <c r="Z912" s="138" t="str">
        <f>IFERROR(__xludf.DUMMYFUNCTION("""COMPUTED_VALUE"""),"Excellent")</f>
        <v>Excellent</v>
      </c>
      <c r="AA912" s="138" t="str">
        <f>IFERROR(__xludf.DUMMYFUNCTION("""COMPUTED_VALUE"""),"Fair")</f>
        <v>Fair</v>
      </c>
      <c r="AB912" s="138" t="str">
        <f>IFERROR(__xludf.DUMMYFUNCTION("""COMPUTED_VALUE"""),"Very Good")</f>
        <v>Very Good</v>
      </c>
      <c r="AC912" s="139">
        <f>IFERROR(__xludf.DUMMYFUNCTION("""COMPUTED_VALUE"""),3.0)</f>
        <v>3</v>
      </c>
      <c r="AD912" s="139"/>
      <c r="AE912" s="139"/>
      <c r="AF912" s="140" t="str">
        <f>IFERROR(__xludf.DUMMYFUNCTION("""COMPUTED_VALUE"""),"No. I took delivery of the first car Tesla was able to deliver.")</f>
        <v>No. I took delivery of the first car Tesla was able to deliver.</v>
      </c>
      <c r="AG912" s="145"/>
      <c r="AH912" s="157">
        <f>IFERROR(__xludf.DUMMYFUNCTION("""COMPUTED_VALUE"""),44355.66602524305)</f>
        <v>44355.66603</v>
      </c>
      <c r="AI912" s="138"/>
      <c r="AJ912" s="138"/>
      <c r="AK912" s="138"/>
      <c r="AL912" s="142"/>
    </row>
    <row r="913" ht="20.25" customHeight="1">
      <c r="A913" s="155" t="str">
        <f>IFERROR(__xludf.DUMMYFUNCTION("""COMPUTED_VALUE"""),"SWB")</f>
        <v>SWB</v>
      </c>
      <c r="B913" s="149" t="str">
        <f>IFERROR(__xludf.DUMMYFUNCTION("""COMPUTED_VALUE"""),"New Albany")</f>
        <v>New Albany</v>
      </c>
      <c r="C913" s="149" t="str">
        <f>IFERROR(__xludf.DUMMYFUNCTION("""COMPUTED_VALUE"""),"IN")</f>
        <v>IN</v>
      </c>
      <c r="D913" s="149" t="str">
        <f>IFERROR(__xludf.DUMMYFUNCTION("""COMPUTED_VALUE"""),"USA")</f>
        <v>USA</v>
      </c>
      <c r="E913" s="156">
        <f>IFERROR(__xludf.DUMMYFUNCTION("""COMPUTED_VALUE"""),44267.0)</f>
        <v>44267</v>
      </c>
      <c r="F913" s="129">
        <f>IFERROR(__xludf.DUMMYFUNCTION("""COMPUTED_VALUE"""),44274.0)</f>
        <v>44274</v>
      </c>
      <c r="G913" s="154" t="str">
        <f>IFERROR(__xludf.DUMMYFUNCTION("""COMPUTED_VALUE"""),"Manage order page (normal text)")</f>
        <v>Manage order page (normal text)</v>
      </c>
      <c r="H913" s="131">
        <f>IFERROR(__xludf.DUMMYFUNCTION("""COMPUTED_VALUE"""),928055.0)</f>
        <v>928055</v>
      </c>
      <c r="I913" s="144" t="str">
        <f>IFERROR(__xludf.DUMMYFUNCTION("""COMPUTED_VALUE"""),"03/21")</f>
        <v>03/21</v>
      </c>
      <c r="J913" s="129">
        <f>IFERROR(__xludf.DUMMYFUNCTION("""COMPUTED_VALUE"""),44281.0)</f>
        <v>44281</v>
      </c>
      <c r="K913" s="133">
        <f>IFERROR(__xludf.DUMMYFUNCTION("""COMPUTED_VALUE"""),7.0)</f>
        <v>7</v>
      </c>
      <c r="L913" s="133">
        <f>IFERROR(__xludf.DUMMYFUNCTION("""COMPUTED_VALUE"""),7.0)</f>
        <v>7</v>
      </c>
      <c r="M913" s="133">
        <f>IFERROR(__xludf.DUMMYFUNCTION("""COMPUTED_VALUE"""),14.0)</f>
        <v>14</v>
      </c>
      <c r="N913" s="152" t="str">
        <f>IFERROR(__xludf.DUMMYFUNCTION("""COMPUTED_VALUE"""),"Model 3 LR AWD")</f>
        <v>Model 3 LR AWD</v>
      </c>
      <c r="O913" s="152" t="str">
        <f>IFERROR(__xludf.DUMMYFUNCTION("""COMPUTED_VALUE"""),"Deep Blue Metallic")</f>
        <v>Deep Blue Metallic</v>
      </c>
      <c r="P913" s="153" t="str">
        <f>IFERROR(__xludf.DUMMYFUNCTION("""COMPUTED_VALUE"""),"18 inch")</f>
        <v>18 inch</v>
      </c>
      <c r="Q913" s="152" t="str">
        <f>IFERROR(__xludf.DUMMYFUNCTION("""COMPUTED_VALUE"""),"All Black")</f>
        <v>All Black</v>
      </c>
      <c r="R913" s="149" t="str">
        <f>IFERROR(__xludf.DUMMYFUNCTION("""COMPUTED_VALUE"""),"Autopilot included")</f>
        <v>Autopilot included</v>
      </c>
      <c r="S913" s="149" t="str">
        <f>IFERROR(__xludf.DUMMYFUNCTION("""COMPUTED_VALUE"""),"Cash")</f>
        <v>Cash</v>
      </c>
      <c r="T913" s="145" t="str">
        <f>IFERROR(__xludf.DUMMYFUNCTION("""COMPUTED_VALUE"""),"BMW 3 Series")</f>
        <v>BMW 3 Series</v>
      </c>
      <c r="U913" s="145" t="str">
        <f>IFERROR(__xludf.DUMMYFUNCTION("""COMPUTED_VALUE"""),"Electric!")</f>
        <v>Electric!</v>
      </c>
      <c r="V913" s="145" t="str">
        <f>IFERROR(__xludf.DUMMYFUNCTION("""COMPUTED_VALUE"""),"Blind spot indicators on side mirrors")</f>
        <v>Blind spot indicators on side mirrors</v>
      </c>
      <c r="W913" s="145"/>
      <c r="X913" s="137" t="str">
        <f>IFERROR(__xludf.DUMMYFUNCTION("""COMPUTED_VALUE"""),"Good")</f>
        <v>Good</v>
      </c>
      <c r="Y913" s="138" t="str">
        <f>IFERROR(__xludf.DUMMYFUNCTION("""COMPUTED_VALUE"""),"Excellent")</f>
        <v>Excellent</v>
      </c>
      <c r="Z913" s="138" t="str">
        <f>IFERROR(__xludf.DUMMYFUNCTION("""COMPUTED_VALUE"""),"Excellent")</f>
        <v>Excellent</v>
      </c>
      <c r="AA913" s="138" t="str">
        <f>IFERROR(__xludf.DUMMYFUNCTION("""COMPUTED_VALUE"""),"Good")</f>
        <v>Good</v>
      </c>
      <c r="AB913" s="138" t="str">
        <f>IFERROR(__xludf.DUMMYFUNCTION("""COMPUTED_VALUE"""),"Excellent")</f>
        <v>Excellent</v>
      </c>
      <c r="AC913" s="139">
        <f>IFERROR(__xludf.DUMMYFUNCTION("""COMPUTED_VALUE"""),0.0)</f>
        <v>0</v>
      </c>
      <c r="AD913" s="139">
        <f>IFERROR(__xludf.DUMMYFUNCTION("""COMPUTED_VALUE"""),1.0)</f>
        <v>1</v>
      </c>
      <c r="AE913" s="139">
        <f>IFERROR(__xludf.DUMMYFUNCTION("""COMPUTED_VALUE"""),0.0)</f>
        <v>0</v>
      </c>
      <c r="AF913" s="140" t="str">
        <f>IFERROR(__xludf.DUMMYFUNCTION("""COMPUTED_VALUE"""),"No. I took delivery of the first car Tesla was able to deliver.")</f>
        <v>No. I took delivery of the first car Tesla was able to deliver.</v>
      </c>
      <c r="AG913" s="145"/>
      <c r="AH913" s="157">
        <f>IFERROR(__xludf.DUMMYFUNCTION("""COMPUTED_VALUE"""),44323.405582569445)</f>
        <v>44323.40558</v>
      </c>
      <c r="AI913" s="138"/>
      <c r="AJ913" s="138"/>
      <c r="AK913" s="138"/>
      <c r="AL913" s="142"/>
    </row>
    <row r="914" ht="20.25" customHeight="1">
      <c r="A914" s="155" t="str">
        <f>IFERROR(__xludf.DUMMYFUNCTION("""COMPUTED_VALUE"""),"chudiddy")</f>
        <v>chudiddy</v>
      </c>
      <c r="B914" s="149"/>
      <c r="C914" s="149" t="str">
        <f>IFERROR(__xludf.DUMMYFUNCTION("""COMPUTED_VALUE"""),"PA")</f>
        <v>PA</v>
      </c>
      <c r="D914" s="149" t="str">
        <f>IFERROR(__xludf.DUMMYFUNCTION("""COMPUTED_VALUE"""),"USA")</f>
        <v>USA</v>
      </c>
      <c r="E914" s="156">
        <f>IFERROR(__xludf.DUMMYFUNCTION("""COMPUTED_VALUE"""),44266.0)</f>
        <v>44266</v>
      </c>
      <c r="F914" s="129">
        <f>IFERROR(__xludf.DUMMYFUNCTION("""COMPUTED_VALUE"""),44268.0)</f>
        <v>44268</v>
      </c>
      <c r="G914" s="154" t="str">
        <f>IFERROR(__xludf.DUMMYFUNCTION("""COMPUTED_VALUE"""),"Text message")</f>
        <v>Text message</v>
      </c>
      <c r="H914" s="131">
        <f>IFERROR(__xludf.DUMMYFUNCTION("""COMPUTED_VALUE"""),924962.0)</f>
        <v>924962</v>
      </c>
      <c r="I914" s="144" t="str">
        <f>IFERROR(__xludf.DUMMYFUNCTION("""COMPUTED_VALUE"""),"03/21")</f>
        <v>03/21</v>
      </c>
      <c r="J914" s="129">
        <f>IFERROR(__xludf.DUMMYFUNCTION("""COMPUTED_VALUE"""),44284.0)</f>
        <v>44284</v>
      </c>
      <c r="K914" s="133">
        <f>IFERROR(__xludf.DUMMYFUNCTION("""COMPUTED_VALUE"""),2.0)</f>
        <v>2</v>
      </c>
      <c r="L914" s="133">
        <f>IFERROR(__xludf.DUMMYFUNCTION("""COMPUTED_VALUE"""),16.0)</f>
        <v>16</v>
      </c>
      <c r="M914" s="133">
        <f>IFERROR(__xludf.DUMMYFUNCTION("""COMPUTED_VALUE"""),18.0)</f>
        <v>18</v>
      </c>
      <c r="N914" s="152" t="str">
        <f>IFERROR(__xludf.DUMMYFUNCTION("""COMPUTED_VALUE"""),"Model 3 LR AWD")</f>
        <v>Model 3 LR AWD</v>
      </c>
      <c r="O914" s="152" t="str">
        <f>IFERROR(__xludf.DUMMYFUNCTION("""COMPUTED_VALUE"""),"Solid Black")</f>
        <v>Solid Black</v>
      </c>
      <c r="P914" s="153" t="str">
        <f>IFERROR(__xludf.DUMMYFUNCTION("""COMPUTED_VALUE"""),"18 inch")</f>
        <v>18 inch</v>
      </c>
      <c r="Q914" s="152" t="str">
        <f>IFERROR(__xludf.DUMMYFUNCTION("""COMPUTED_VALUE"""),"Black and White")</f>
        <v>Black and White</v>
      </c>
      <c r="R914" s="149" t="str">
        <f>IFERROR(__xludf.DUMMYFUNCTION("""COMPUTED_VALUE"""),"Autopilot included")</f>
        <v>Autopilot included</v>
      </c>
      <c r="S914" s="149" t="str">
        <f>IFERROR(__xludf.DUMMYFUNCTION("""COMPUTED_VALUE"""),"Cash")</f>
        <v>Cash</v>
      </c>
      <c r="T914" s="145" t="str">
        <f>IFERROR(__xludf.DUMMYFUNCTION("""COMPUTED_VALUE"""),"Tesla Model X")</f>
        <v>Tesla Model X</v>
      </c>
      <c r="U914" s="145" t="str">
        <f>IFERROR(__xludf.DUMMYFUNCTION("""COMPUTED_VALUE"""),"Tesla brand image")</f>
        <v>Tesla brand image</v>
      </c>
      <c r="V914" s="145" t="str">
        <f>IFERROR(__xludf.DUMMYFUNCTION("""COMPUTED_VALUE"""),"360° Bird's eye view")</f>
        <v>360° Bird's eye view</v>
      </c>
      <c r="W914" s="145"/>
      <c r="X914" s="137" t="str">
        <f>IFERROR(__xludf.DUMMYFUNCTION("""COMPUTED_VALUE"""),"Excellent")</f>
        <v>Excellent</v>
      </c>
      <c r="Y914" s="138" t="str">
        <f>IFERROR(__xludf.DUMMYFUNCTION("""COMPUTED_VALUE"""),"Excellent")</f>
        <v>Excellent</v>
      </c>
      <c r="Z914" s="138" t="str">
        <f>IFERROR(__xludf.DUMMYFUNCTION("""COMPUTED_VALUE"""),"Very Good")</f>
        <v>Very Good</v>
      </c>
      <c r="AA914" s="138" t="str">
        <f>IFERROR(__xludf.DUMMYFUNCTION("""COMPUTED_VALUE"""),"Excellent")</f>
        <v>Excellent</v>
      </c>
      <c r="AB914" s="138" t="str">
        <f>IFERROR(__xludf.DUMMYFUNCTION("""COMPUTED_VALUE"""),"Excellent")</f>
        <v>Excellent</v>
      </c>
      <c r="AC914" s="139">
        <f>IFERROR(__xludf.DUMMYFUNCTION("""COMPUTED_VALUE"""),1.0)</f>
        <v>1</v>
      </c>
      <c r="AD914" s="139"/>
      <c r="AE914" s="139"/>
      <c r="AF914" s="140" t="str">
        <f>IFERROR(__xludf.DUMMYFUNCTION("""COMPUTED_VALUE"""),"No. I took delivery of the first car Tesla was able to deliver.")</f>
        <v>No. I took delivery of the first car Tesla was able to deliver.</v>
      </c>
      <c r="AG914" s="145"/>
      <c r="AH914" s="157">
        <f>IFERROR(__xludf.DUMMYFUNCTION("""COMPUTED_VALUE"""),44284.40447017361)</f>
        <v>44284.40447</v>
      </c>
      <c r="AI914" s="138"/>
      <c r="AJ914" s="138"/>
      <c r="AK914" s="138"/>
      <c r="AL914" s="142"/>
    </row>
    <row r="915" ht="20.25" customHeight="1">
      <c r="A915" s="155" t="str">
        <f>IFERROR(__xludf.DUMMYFUNCTION("""COMPUTED_VALUE"""),"eakaplan")</f>
        <v>eakaplan</v>
      </c>
      <c r="B915" s="149" t="str">
        <f>IFERROR(__xludf.DUMMYFUNCTION("""COMPUTED_VALUE"""),"Mechanicsburg")</f>
        <v>Mechanicsburg</v>
      </c>
      <c r="C915" s="149" t="str">
        <f>IFERROR(__xludf.DUMMYFUNCTION("""COMPUTED_VALUE"""),"PA")</f>
        <v>PA</v>
      </c>
      <c r="D915" s="149" t="str">
        <f>IFERROR(__xludf.DUMMYFUNCTION("""COMPUTED_VALUE"""),"USA")</f>
        <v>USA</v>
      </c>
      <c r="E915" s="156">
        <f>IFERROR(__xludf.DUMMYFUNCTION("""COMPUTED_VALUE"""),44266.0)</f>
        <v>44266</v>
      </c>
      <c r="F915" s="129">
        <f>IFERROR(__xludf.DUMMYFUNCTION("""COMPUTED_VALUE"""),44267.0)</f>
        <v>44267</v>
      </c>
      <c r="G915" s="154" t="str">
        <f>IFERROR(__xludf.DUMMYFUNCTION("""COMPUTED_VALUE"""),"Manage order page (normal text)")</f>
        <v>Manage order page (normal text)</v>
      </c>
      <c r="H915" s="131">
        <f>IFERROR(__xludf.DUMMYFUNCTION("""COMPUTED_VALUE"""),924455.0)</f>
        <v>924455</v>
      </c>
      <c r="I915" s="144" t="str">
        <f>IFERROR(__xludf.DUMMYFUNCTION("""COMPUTED_VALUE"""),"03/21")</f>
        <v>03/21</v>
      </c>
      <c r="J915" s="129">
        <f>IFERROR(__xludf.DUMMYFUNCTION("""COMPUTED_VALUE"""),44282.0)</f>
        <v>44282</v>
      </c>
      <c r="K915" s="133">
        <f>IFERROR(__xludf.DUMMYFUNCTION("""COMPUTED_VALUE"""),1.0)</f>
        <v>1</v>
      </c>
      <c r="L915" s="133">
        <f>IFERROR(__xludf.DUMMYFUNCTION("""COMPUTED_VALUE"""),15.0)</f>
        <v>15</v>
      </c>
      <c r="M915" s="133">
        <f>IFERROR(__xludf.DUMMYFUNCTION("""COMPUTED_VALUE"""),16.0)</f>
        <v>16</v>
      </c>
      <c r="N915" s="152" t="str">
        <f>IFERROR(__xludf.DUMMYFUNCTION("""COMPUTED_VALUE"""),"Model 3 LR AWD")</f>
        <v>Model 3 LR AWD</v>
      </c>
      <c r="O915" s="152" t="str">
        <f>IFERROR(__xludf.DUMMYFUNCTION("""COMPUTED_VALUE"""),"Deep Blue Metallic")</f>
        <v>Deep Blue Metallic</v>
      </c>
      <c r="P915" s="153" t="str">
        <f>IFERROR(__xludf.DUMMYFUNCTION("""COMPUTED_VALUE"""),"18 inch")</f>
        <v>18 inch</v>
      </c>
      <c r="Q915" s="152" t="str">
        <f>IFERROR(__xludf.DUMMYFUNCTION("""COMPUTED_VALUE"""),"All Black")</f>
        <v>All Black</v>
      </c>
      <c r="R915" s="149" t="str">
        <f>IFERROR(__xludf.DUMMYFUNCTION("""COMPUTED_VALUE"""),"Full Self-Driving")</f>
        <v>Full Self-Driving</v>
      </c>
      <c r="S915" s="149" t="str">
        <f>IFERROR(__xludf.DUMMYFUNCTION("""COMPUTED_VALUE"""),"Cash")</f>
        <v>Cash</v>
      </c>
      <c r="T915" s="145" t="str">
        <f>IFERROR(__xludf.DUMMYFUNCTION("""COMPUTED_VALUE"""),"Toyota Prius")</f>
        <v>Toyota Prius</v>
      </c>
      <c r="U915" s="145" t="str">
        <f>IFERROR(__xludf.DUMMYFUNCTION("""COMPUTED_VALUE"""),"Electric!")</f>
        <v>Electric!</v>
      </c>
      <c r="V915" s="145" t="str">
        <f>IFERROR(__xludf.DUMMYFUNCTION("""COMPUTED_VALUE"""),"Apple CarPlay / Android Auto / SiriusXM Radio")</f>
        <v>Apple CarPlay / Android Auto / SiriusXM Radio</v>
      </c>
      <c r="W915" s="145"/>
      <c r="X915" s="137" t="str">
        <f>IFERROR(__xludf.DUMMYFUNCTION("""COMPUTED_VALUE"""),"Very Good")</f>
        <v>Very Good</v>
      </c>
      <c r="Y915" s="138" t="str">
        <f>IFERROR(__xludf.DUMMYFUNCTION("""COMPUTED_VALUE"""),"Excellent")</f>
        <v>Excellent</v>
      </c>
      <c r="Z915" s="138" t="str">
        <f>IFERROR(__xludf.DUMMYFUNCTION("""COMPUTED_VALUE"""),"Excellent")</f>
        <v>Excellent</v>
      </c>
      <c r="AA915" s="138" t="str">
        <f>IFERROR(__xludf.DUMMYFUNCTION("""COMPUTED_VALUE"""),"Good")</f>
        <v>Good</v>
      </c>
      <c r="AB915" s="138" t="str">
        <f>IFERROR(__xludf.DUMMYFUNCTION("""COMPUTED_VALUE"""),"Very Good")</f>
        <v>Very Good</v>
      </c>
      <c r="AC915" s="139">
        <f>IFERROR(__xludf.DUMMYFUNCTION("""COMPUTED_VALUE"""),0.0)</f>
        <v>0</v>
      </c>
      <c r="AD915" s="139">
        <f>IFERROR(__xludf.DUMMYFUNCTION("""COMPUTED_VALUE"""),1.0)</f>
        <v>1</v>
      </c>
      <c r="AE915" s="139">
        <f>IFERROR(__xludf.DUMMYFUNCTION("""COMPUTED_VALUE"""),0.0)</f>
        <v>0</v>
      </c>
      <c r="AF915" s="140" t="str">
        <f>IFERROR(__xludf.DUMMYFUNCTION("""COMPUTED_VALUE"""),"No. I took delivery of the first car Tesla was able to deliver.")</f>
        <v>No. I took delivery of the first car Tesla was able to deliver.</v>
      </c>
      <c r="AG915" s="145"/>
      <c r="AH915" s="157">
        <f>IFERROR(__xludf.DUMMYFUNCTION("""COMPUTED_VALUE"""),44304.53948751157)</f>
        <v>44304.53949</v>
      </c>
      <c r="AI915" s="138"/>
      <c r="AJ915" s="138"/>
      <c r="AK915" s="138"/>
      <c r="AL915" s="142"/>
    </row>
    <row r="916" ht="20.25" customHeight="1">
      <c r="A916" s="155" t="str">
        <f>IFERROR(__xludf.DUMMYFUNCTION("""COMPUTED_VALUE"""),"EHExplorer")</f>
        <v>EHExplorer</v>
      </c>
      <c r="B916" s="149" t="str">
        <f>IFERROR(__xludf.DUMMYFUNCTION("""COMPUTED_VALUE"""),"Scotland")</f>
        <v>Scotland</v>
      </c>
      <c r="C916" s="149"/>
      <c r="D916" s="149" t="str">
        <f>IFERROR(__xludf.DUMMYFUNCTION("""COMPUTED_VALUE"""),"United Kingdom")</f>
        <v>United Kingdom</v>
      </c>
      <c r="E916" s="156">
        <f>IFERROR(__xludf.DUMMYFUNCTION("""COMPUTED_VALUE"""),44265.0)</f>
        <v>44265</v>
      </c>
      <c r="F916" s="129">
        <f>IFERROR(__xludf.DUMMYFUNCTION("""COMPUTED_VALUE"""),44279.0)</f>
        <v>44279</v>
      </c>
      <c r="G916" s="154" t="str">
        <f>IFERROR(__xludf.DUMMYFUNCTION("""COMPUTED_VALUE"""),"Text message")</f>
        <v>Text message</v>
      </c>
      <c r="H916" s="131">
        <f>IFERROR(__xludf.DUMMYFUNCTION("""COMPUTED_VALUE"""),175155.0)</f>
        <v>175155</v>
      </c>
      <c r="I916" s="144"/>
      <c r="J916" s="129">
        <f>IFERROR(__xludf.DUMMYFUNCTION("""COMPUTED_VALUE"""),44285.0)</f>
        <v>44285</v>
      </c>
      <c r="K916" s="133">
        <f>IFERROR(__xludf.DUMMYFUNCTION("""COMPUTED_VALUE"""),14.0)</f>
        <v>14</v>
      </c>
      <c r="L916" s="133">
        <f>IFERROR(__xludf.DUMMYFUNCTION("""COMPUTED_VALUE"""),6.0)</f>
        <v>6</v>
      </c>
      <c r="M916" s="133">
        <f>IFERROR(__xludf.DUMMYFUNCTION("""COMPUTED_VALUE"""),20.0)</f>
        <v>20</v>
      </c>
      <c r="N916" s="152" t="str">
        <f>IFERROR(__xludf.DUMMYFUNCTION("""COMPUTED_VALUE"""),"Model 3 LR AWD")</f>
        <v>Model 3 LR AWD</v>
      </c>
      <c r="O916" s="152" t="str">
        <f>IFERROR(__xludf.DUMMYFUNCTION("""COMPUTED_VALUE"""),"Solid Black")</f>
        <v>Solid Black</v>
      </c>
      <c r="P916" s="153" t="str">
        <f>IFERROR(__xludf.DUMMYFUNCTION("""COMPUTED_VALUE"""),"18 inch")</f>
        <v>18 inch</v>
      </c>
      <c r="Q916" s="152" t="str">
        <f>IFERROR(__xludf.DUMMYFUNCTION("""COMPUTED_VALUE"""),"All Black")</f>
        <v>All Black</v>
      </c>
      <c r="R916" s="149" t="str">
        <f>IFERROR(__xludf.DUMMYFUNCTION("""COMPUTED_VALUE"""),"Autopilot included")</f>
        <v>Autopilot included</v>
      </c>
      <c r="S916" s="149" t="str">
        <f>IFERROR(__xludf.DUMMYFUNCTION("""COMPUTED_VALUE"""),"Lease")</f>
        <v>Lease</v>
      </c>
      <c r="T916" s="145" t="str">
        <f>IFERROR(__xludf.DUMMYFUNCTION("""COMPUTED_VALUE"""),"Land Rover Discovery Sport")</f>
        <v>Land Rover Discovery Sport</v>
      </c>
      <c r="U916" s="145" t="str">
        <f>IFERROR(__xludf.DUMMYFUNCTION("""COMPUTED_VALUE"""),"Electric!")</f>
        <v>Electric!</v>
      </c>
      <c r="V916" s="145" t="str">
        <f>IFERROR(__xludf.DUMMYFUNCTION("""COMPUTED_VALUE"""),"Apple CarPlay / Android Auto / SiriusXM Radio")</f>
        <v>Apple CarPlay / Android Auto / SiriusXM Radio</v>
      </c>
      <c r="W916" s="145" t="str">
        <f>IFERROR(__xludf.DUMMYFUNCTION("""COMPUTED_VALUE"""),"Learn the ins and outs before your first drive.")</f>
        <v>Learn the ins and outs before your first drive.</v>
      </c>
      <c r="X916" s="137" t="str">
        <f>IFERROR(__xludf.DUMMYFUNCTION("""COMPUTED_VALUE"""),"Excellent")</f>
        <v>Excellent</v>
      </c>
      <c r="Y916" s="138" t="str">
        <f>IFERROR(__xludf.DUMMYFUNCTION("""COMPUTED_VALUE"""),"Excellent")</f>
        <v>Excellent</v>
      </c>
      <c r="Z916" s="138" t="str">
        <f>IFERROR(__xludf.DUMMYFUNCTION("""COMPUTED_VALUE"""),"Fair")</f>
        <v>Fair</v>
      </c>
      <c r="AA916" s="138" t="str">
        <f>IFERROR(__xludf.DUMMYFUNCTION("""COMPUTED_VALUE"""),"Excellent")</f>
        <v>Excellent</v>
      </c>
      <c r="AB916" s="138" t="str">
        <f>IFERROR(__xludf.DUMMYFUNCTION("""COMPUTED_VALUE"""),"Good")</f>
        <v>Good</v>
      </c>
      <c r="AC916" s="139">
        <f>IFERROR(__xludf.DUMMYFUNCTION("""COMPUTED_VALUE"""),2.0)</f>
        <v>2</v>
      </c>
      <c r="AD916" s="139">
        <f>IFERROR(__xludf.DUMMYFUNCTION("""COMPUTED_VALUE"""),1.0)</f>
        <v>1</v>
      </c>
      <c r="AE916" s="139">
        <f>IFERROR(__xludf.DUMMYFUNCTION("""COMPUTED_VALUE"""),0.0)</f>
        <v>0</v>
      </c>
      <c r="AF916" s="140" t="str">
        <f>IFERROR(__xludf.DUMMYFUNCTION("""COMPUTED_VALUE"""),"No. I took delivery of the first car Tesla was able to deliver.")</f>
        <v>No. I took delivery of the first car Tesla was able to deliver.</v>
      </c>
      <c r="AG916" s="145"/>
      <c r="AH916" s="157">
        <f>IFERROR(__xludf.DUMMYFUNCTION("""COMPUTED_VALUE"""),44285.53297961806)</f>
        <v>44285.53298</v>
      </c>
      <c r="AI916" s="138"/>
      <c r="AJ916" s="138"/>
      <c r="AK916" s="138"/>
      <c r="AL916" s="142"/>
    </row>
    <row r="917" ht="20.25" customHeight="1">
      <c r="A917" s="155" t="str">
        <f>IFERROR(__xludf.DUMMYFUNCTION("""COMPUTED_VALUE"""),"rinzler")</f>
        <v>rinzler</v>
      </c>
      <c r="B917" s="149" t="str">
        <f>IFERROR(__xludf.DUMMYFUNCTION("""COMPUTED_VALUE"""),"Vancouver")</f>
        <v>Vancouver</v>
      </c>
      <c r="C917" s="149" t="str">
        <f>IFERROR(__xludf.DUMMYFUNCTION("""COMPUTED_VALUE"""),"BC")</f>
        <v>BC</v>
      </c>
      <c r="D917" s="149" t="str">
        <f>IFERROR(__xludf.DUMMYFUNCTION("""COMPUTED_VALUE"""),"Canada")</f>
        <v>Canada</v>
      </c>
      <c r="E917" s="156">
        <f>IFERROR(__xludf.DUMMYFUNCTION("""COMPUTED_VALUE"""),44265.0)</f>
        <v>44265</v>
      </c>
      <c r="F917" s="129">
        <f>IFERROR(__xludf.DUMMYFUNCTION("""COMPUTED_VALUE"""),44275.0)</f>
        <v>44275</v>
      </c>
      <c r="G917" s="154" t="str">
        <f>IFERROR(__xludf.DUMMYFUNCTION("""COMPUTED_VALUE"""),"Manage order page (normal text)")</f>
        <v>Manage order page (normal text)</v>
      </c>
      <c r="H917" s="131"/>
      <c r="I917" s="144" t="str">
        <f>IFERROR(__xludf.DUMMYFUNCTION("""COMPUTED_VALUE"""),"03/21")</f>
        <v>03/21</v>
      </c>
      <c r="J917" s="129">
        <f>IFERROR(__xludf.DUMMYFUNCTION("""COMPUTED_VALUE"""),44279.0)</f>
        <v>44279</v>
      </c>
      <c r="K917" s="133">
        <f>IFERROR(__xludf.DUMMYFUNCTION("""COMPUTED_VALUE"""),10.0)</f>
        <v>10</v>
      </c>
      <c r="L917" s="133">
        <f>IFERROR(__xludf.DUMMYFUNCTION("""COMPUTED_VALUE"""),4.0)</f>
        <v>4</v>
      </c>
      <c r="M917" s="133">
        <f>IFERROR(__xludf.DUMMYFUNCTION("""COMPUTED_VALUE"""),14.0)</f>
        <v>14</v>
      </c>
      <c r="N917" s="152" t="str">
        <f>IFERROR(__xludf.DUMMYFUNCTION("""COMPUTED_VALUE"""),"Model 3 SR+")</f>
        <v>Model 3 SR+</v>
      </c>
      <c r="O917" s="152" t="str">
        <f>IFERROR(__xludf.DUMMYFUNCTION("""COMPUTED_VALUE"""),"Pearl White Multi-Coat")</f>
        <v>Pearl White Multi-Coat</v>
      </c>
      <c r="P917" s="153" t="str">
        <f>IFERROR(__xludf.DUMMYFUNCTION("""COMPUTED_VALUE"""),"18 inch")</f>
        <v>18 inch</v>
      </c>
      <c r="Q917" s="152" t="str">
        <f>IFERROR(__xludf.DUMMYFUNCTION("""COMPUTED_VALUE"""),"All Black")</f>
        <v>All Black</v>
      </c>
      <c r="R917" s="149" t="str">
        <f>IFERROR(__xludf.DUMMYFUNCTION("""COMPUTED_VALUE"""),"Autopilot included")</f>
        <v>Autopilot included</v>
      </c>
      <c r="S917" s="149" t="str">
        <f>IFERROR(__xludf.DUMMYFUNCTION("""COMPUTED_VALUE"""),"Loan")</f>
        <v>Loan</v>
      </c>
      <c r="T917" s="145" t="str">
        <f>IFERROR(__xludf.DUMMYFUNCTION("""COMPUTED_VALUE"""),"Model 3 will be my first car!")</f>
        <v>Model 3 will be my first car!</v>
      </c>
      <c r="U917" s="145" t="str">
        <f>IFERROR(__xludf.DUMMYFUNCTION("""COMPUTED_VALUE"""),"Electric!")</f>
        <v>Electric!</v>
      </c>
      <c r="V917" s="145" t="str">
        <f>IFERROR(__xludf.DUMMYFUNCTION("""COMPUTED_VALUE"""),"Air suspension")</f>
        <v>Air suspension</v>
      </c>
      <c r="W917" s="145"/>
      <c r="X917" s="137" t="str">
        <f>IFERROR(__xludf.DUMMYFUNCTION("""COMPUTED_VALUE"""),"Very Good")</f>
        <v>Very Good</v>
      </c>
      <c r="Y917" s="138" t="str">
        <f>IFERROR(__xludf.DUMMYFUNCTION("""COMPUTED_VALUE"""),"Excellent")</f>
        <v>Excellent</v>
      </c>
      <c r="Z917" s="138" t="str">
        <f>IFERROR(__xludf.DUMMYFUNCTION("""COMPUTED_VALUE"""),"Excellent")</f>
        <v>Excellent</v>
      </c>
      <c r="AA917" s="138" t="str">
        <f>IFERROR(__xludf.DUMMYFUNCTION("""COMPUTED_VALUE"""),"Fair")</f>
        <v>Fair</v>
      </c>
      <c r="AB917" s="138" t="str">
        <f>IFERROR(__xludf.DUMMYFUNCTION("""COMPUTED_VALUE"""),"Very Good")</f>
        <v>Very Good</v>
      </c>
      <c r="AC917" s="139"/>
      <c r="AD917" s="139"/>
      <c r="AE917" s="139"/>
      <c r="AF917" s="140" t="str">
        <f>IFERROR(__xludf.DUMMYFUNCTION("""COMPUTED_VALUE"""),"No. I took delivery of the first car Tesla was able to deliver.")</f>
        <v>No. I took delivery of the first car Tesla was able to deliver.</v>
      </c>
      <c r="AG917" s="145"/>
      <c r="AH917" s="157">
        <f>IFERROR(__xludf.DUMMYFUNCTION("""COMPUTED_VALUE"""),44279.91931106481)</f>
        <v>44279.91931</v>
      </c>
      <c r="AI917" s="138"/>
      <c r="AJ917" s="138"/>
      <c r="AK917" s="138"/>
      <c r="AL917" s="142"/>
    </row>
    <row r="918" ht="20.25" customHeight="1">
      <c r="A918" s="155" t="str">
        <f>IFERROR(__xludf.DUMMYFUNCTION("""COMPUTED_VALUE"""),"Sahhtain")</f>
        <v>Sahhtain</v>
      </c>
      <c r="B918" s="149" t="str">
        <f>IFERROR(__xludf.DUMMYFUNCTION("""COMPUTED_VALUE"""),"Manchester")</f>
        <v>Manchester</v>
      </c>
      <c r="C918" s="149" t="str">
        <f>IFERROR(__xludf.DUMMYFUNCTION("""COMPUTED_VALUE"""),"NH")</f>
        <v>NH</v>
      </c>
      <c r="D918" s="149" t="str">
        <f>IFERROR(__xludf.DUMMYFUNCTION("""COMPUTED_VALUE"""),"USA")</f>
        <v>USA</v>
      </c>
      <c r="E918" s="156">
        <f>IFERROR(__xludf.DUMMYFUNCTION("""COMPUTED_VALUE"""),44265.0)</f>
        <v>44265</v>
      </c>
      <c r="F918" s="129">
        <f>IFERROR(__xludf.DUMMYFUNCTION("""COMPUTED_VALUE"""),44267.0)</f>
        <v>44267</v>
      </c>
      <c r="G918" s="154" t="str">
        <f>IFERROR(__xludf.DUMMYFUNCTION("""COMPUTED_VALUE"""),"Manage order page (normal text)")</f>
        <v>Manage order page (normal text)</v>
      </c>
      <c r="H918" s="131">
        <f>IFERROR(__xludf.DUMMYFUNCTION("""COMPUTED_VALUE"""),923955.0)</f>
        <v>923955</v>
      </c>
      <c r="I918" s="144" t="str">
        <f>IFERROR(__xludf.DUMMYFUNCTION("""COMPUTED_VALUE"""),"03/21")</f>
        <v>03/21</v>
      </c>
      <c r="J918" s="129">
        <f>IFERROR(__xludf.DUMMYFUNCTION("""COMPUTED_VALUE"""),44282.0)</f>
        <v>44282</v>
      </c>
      <c r="K918" s="133">
        <f>IFERROR(__xludf.DUMMYFUNCTION("""COMPUTED_VALUE"""),2.0)</f>
        <v>2</v>
      </c>
      <c r="L918" s="133">
        <f>IFERROR(__xludf.DUMMYFUNCTION("""COMPUTED_VALUE"""),15.0)</f>
        <v>15</v>
      </c>
      <c r="M918" s="133">
        <f>IFERROR(__xludf.DUMMYFUNCTION("""COMPUTED_VALUE"""),17.0)</f>
        <v>17</v>
      </c>
      <c r="N918" s="152" t="str">
        <f>IFERROR(__xludf.DUMMYFUNCTION("""COMPUTED_VALUE"""),"Model 3 LR AWD")</f>
        <v>Model 3 LR AWD</v>
      </c>
      <c r="O918" s="152" t="str">
        <f>IFERROR(__xludf.DUMMYFUNCTION("""COMPUTED_VALUE"""),"Pearl White Multi-Coat")</f>
        <v>Pearl White Multi-Coat</v>
      </c>
      <c r="P918" s="153" t="str">
        <f>IFERROR(__xludf.DUMMYFUNCTION("""COMPUTED_VALUE"""),"18 inch")</f>
        <v>18 inch</v>
      </c>
      <c r="Q918" s="152" t="str">
        <f>IFERROR(__xludf.DUMMYFUNCTION("""COMPUTED_VALUE"""),"All Black")</f>
        <v>All Black</v>
      </c>
      <c r="R918" s="149" t="str">
        <f>IFERROR(__xludf.DUMMYFUNCTION("""COMPUTED_VALUE"""),"Autopilot included")</f>
        <v>Autopilot included</v>
      </c>
      <c r="S918" s="149" t="str">
        <f>IFERROR(__xludf.DUMMYFUNCTION("""COMPUTED_VALUE"""),"Cash")</f>
        <v>Cash</v>
      </c>
      <c r="T918" s="145" t="str">
        <f>IFERROR(__xludf.DUMMYFUNCTION("""COMPUTED_VALUE"""),"Volvo")</f>
        <v>Volvo</v>
      </c>
      <c r="U918" s="145" t="str">
        <f>IFERROR(__xludf.DUMMYFUNCTION("""COMPUTED_VALUE"""),"Electric!")</f>
        <v>Electric!</v>
      </c>
      <c r="V918" s="145" t="str">
        <f>IFERROR(__xludf.DUMMYFUNCTION("""COMPUTED_VALUE"""),"Blind spot indicators on side mirrors")</f>
        <v>Blind spot indicators on side mirrors</v>
      </c>
      <c r="W918" s="145"/>
      <c r="X918" s="137" t="str">
        <f>IFERROR(__xludf.DUMMYFUNCTION("""COMPUTED_VALUE"""),"Excellent")</f>
        <v>Excellent</v>
      </c>
      <c r="Y918" s="138" t="str">
        <f>IFERROR(__xludf.DUMMYFUNCTION("""COMPUTED_VALUE"""),"Excellent")</f>
        <v>Excellent</v>
      </c>
      <c r="Z918" s="138" t="str">
        <f>IFERROR(__xludf.DUMMYFUNCTION("""COMPUTED_VALUE"""),"Excellent")</f>
        <v>Excellent</v>
      </c>
      <c r="AA918" s="138" t="str">
        <f>IFERROR(__xludf.DUMMYFUNCTION("""COMPUTED_VALUE"""),"Very Good")</f>
        <v>Very Good</v>
      </c>
      <c r="AB918" s="138" t="str">
        <f>IFERROR(__xludf.DUMMYFUNCTION("""COMPUTED_VALUE"""),"Very Good")</f>
        <v>Very Good</v>
      </c>
      <c r="AC918" s="139"/>
      <c r="AD918" s="139"/>
      <c r="AE918" s="139"/>
      <c r="AF918" s="140" t="str">
        <f>IFERROR(__xludf.DUMMYFUNCTION("""COMPUTED_VALUE"""),"No. I took delivery of the first car Tesla was able to deliver.")</f>
        <v>No. I took delivery of the first car Tesla was able to deliver.</v>
      </c>
      <c r="AG918" s="145"/>
      <c r="AH918" s="157">
        <f>IFERROR(__xludf.DUMMYFUNCTION("""COMPUTED_VALUE"""),44284.8594602662)</f>
        <v>44284.85946</v>
      </c>
      <c r="AI918" s="138"/>
      <c r="AJ918" s="138"/>
      <c r="AK918" s="138"/>
      <c r="AL918" s="142"/>
    </row>
    <row r="919" ht="20.25" customHeight="1">
      <c r="A919" s="155" t="str">
        <f>IFERROR(__xludf.DUMMYFUNCTION("""COMPUTED_VALUE"""),"SponkBonk")</f>
        <v>SponkBonk</v>
      </c>
      <c r="B919" s="149" t="str">
        <f>IFERROR(__xludf.DUMMYFUNCTION("""COMPUTED_VALUE"""),"Saskatoon")</f>
        <v>Saskatoon</v>
      </c>
      <c r="C919" s="149" t="str">
        <f>IFERROR(__xludf.DUMMYFUNCTION("""COMPUTED_VALUE"""),"SK")</f>
        <v>SK</v>
      </c>
      <c r="D919" s="149" t="str">
        <f>IFERROR(__xludf.DUMMYFUNCTION("""COMPUTED_VALUE"""),"Canada")</f>
        <v>Canada</v>
      </c>
      <c r="E919" s="156">
        <f>IFERROR(__xludf.DUMMYFUNCTION("""COMPUTED_VALUE"""),44264.0)</f>
        <v>44264</v>
      </c>
      <c r="F919" s="129">
        <f>IFERROR(__xludf.DUMMYFUNCTION("""COMPUTED_VALUE"""),44278.0)</f>
        <v>44278</v>
      </c>
      <c r="G919" s="154" t="str">
        <f>IFERROR(__xludf.DUMMYFUNCTION("""COMPUTED_VALUE"""),"Manage order page (normal text)")</f>
        <v>Manage order page (normal text)</v>
      </c>
      <c r="H919" s="131">
        <f>IFERROR(__xludf.DUMMYFUNCTION("""COMPUTED_VALUE"""),940555.0)</f>
        <v>940555</v>
      </c>
      <c r="I919" s="144"/>
      <c r="J919" s="129">
        <f>IFERROR(__xludf.DUMMYFUNCTION("""COMPUTED_VALUE"""),44286.0)</f>
        <v>44286</v>
      </c>
      <c r="K919" s="133">
        <f>IFERROR(__xludf.DUMMYFUNCTION("""COMPUTED_VALUE"""),14.0)</f>
        <v>14</v>
      </c>
      <c r="L919" s="133">
        <f>IFERROR(__xludf.DUMMYFUNCTION("""COMPUTED_VALUE"""),8.0)</f>
        <v>8</v>
      </c>
      <c r="M919" s="133">
        <f>IFERROR(__xludf.DUMMYFUNCTION("""COMPUTED_VALUE"""),22.0)</f>
        <v>22</v>
      </c>
      <c r="N919" s="152" t="str">
        <f>IFERROR(__xludf.DUMMYFUNCTION("""COMPUTED_VALUE"""),"Model 3 SR+")</f>
        <v>Model 3 SR+</v>
      </c>
      <c r="O919" s="152" t="str">
        <f>IFERROR(__xludf.DUMMYFUNCTION("""COMPUTED_VALUE"""),"Pearl White Multi-Coat")</f>
        <v>Pearl White Multi-Coat</v>
      </c>
      <c r="P919" s="153" t="str">
        <f>IFERROR(__xludf.DUMMYFUNCTION("""COMPUTED_VALUE"""),"18 inch")</f>
        <v>18 inch</v>
      </c>
      <c r="Q919" s="152" t="str">
        <f>IFERROR(__xludf.DUMMYFUNCTION("""COMPUTED_VALUE"""),"All Black")</f>
        <v>All Black</v>
      </c>
      <c r="R919" s="149" t="str">
        <f>IFERROR(__xludf.DUMMYFUNCTION("""COMPUTED_VALUE"""),"Autopilot included")</f>
        <v>Autopilot included</v>
      </c>
      <c r="S919" s="149" t="str">
        <f>IFERROR(__xludf.DUMMYFUNCTION("""COMPUTED_VALUE"""),"Loan")</f>
        <v>Loan</v>
      </c>
      <c r="T919" s="145" t="str">
        <f>IFERROR(__xludf.DUMMYFUNCTION("""COMPUTED_VALUE"""),"Jeep Wrangler")</f>
        <v>Jeep Wrangler</v>
      </c>
      <c r="U919" s="145" t="str">
        <f>IFERROR(__xludf.DUMMYFUNCTION("""COMPUTED_VALUE"""),"Electric!")</f>
        <v>Electric!</v>
      </c>
      <c r="V919" s="145" t="str">
        <f>IFERROR(__xludf.DUMMYFUNCTION("""COMPUTED_VALUE"""),"Blind spot indicators on side mirrors")</f>
        <v>Blind spot indicators on side mirrors</v>
      </c>
      <c r="W919" s="145"/>
      <c r="X919" s="137" t="str">
        <f>IFERROR(__xludf.DUMMYFUNCTION("""COMPUTED_VALUE"""),"Very Good")</f>
        <v>Very Good</v>
      </c>
      <c r="Y919" s="138" t="str">
        <f>IFERROR(__xludf.DUMMYFUNCTION("""COMPUTED_VALUE"""),"Excellent")</f>
        <v>Excellent</v>
      </c>
      <c r="Z919" s="138" t="str">
        <f>IFERROR(__xludf.DUMMYFUNCTION("""COMPUTED_VALUE"""),"Very Good")</f>
        <v>Very Good</v>
      </c>
      <c r="AA919" s="138" t="str">
        <f>IFERROR(__xludf.DUMMYFUNCTION("""COMPUTED_VALUE"""),"Excellent")</f>
        <v>Excellent</v>
      </c>
      <c r="AB919" s="138" t="str">
        <f>IFERROR(__xludf.DUMMYFUNCTION("""COMPUTED_VALUE"""),"Excellent")</f>
        <v>Excellent</v>
      </c>
      <c r="AC919" s="139">
        <f>IFERROR(__xludf.DUMMYFUNCTION("""COMPUTED_VALUE"""),0.0)</f>
        <v>0</v>
      </c>
      <c r="AD919" s="139">
        <f>IFERROR(__xludf.DUMMYFUNCTION("""COMPUTED_VALUE"""),0.0)</f>
        <v>0</v>
      </c>
      <c r="AE919" s="139">
        <f>IFERROR(__xludf.DUMMYFUNCTION("""COMPUTED_VALUE"""),0.0)</f>
        <v>0</v>
      </c>
      <c r="AF919" s="140" t="str">
        <f>IFERROR(__xludf.DUMMYFUNCTION("""COMPUTED_VALUE"""),"No. I took delivery of the first car Tesla was able to deliver.")</f>
        <v>No. I took delivery of the first car Tesla was able to deliver.</v>
      </c>
      <c r="AG919" s="145" t="str">
        <f>IFERROR(__xludf.DUMMYFUNCTION("""COMPUTED_VALUE"""),"Delivery date keeps getting moved forward and then pushed back with no reasoning.")</f>
        <v>Delivery date keeps getting moved forward and then pushed back with no reasoning.</v>
      </c>
      <c r="AH919" s="157">
        <f>IFERROR(__xludf.DUMMYFUNCTION("""COMPUTED_VALUE"""),44287.10376188658)</f>
        <v>44287.10376</v>
      </c>
      <c r="AI919" s="138"/>
      <c r="AJ919" s="138"/>
      <c r="AK919" s="138"/>
      <c r="AL919" s="142"/>
    </row>
    <row r="920" ht="20.25" customHeight="1">
      <c r="A920" s="155" t="str">
        <f>IFERROR(__xludf.DUMMYFUNCTION("""COMPUTED_VALUE"""),"boomboom")</f>
        <v>boomboom</v>
      </c>
      <c r="B920" s="149"/>
      <c r="C920" s="149" t="str">
        <f>IFERROR(__xludf.DUMMYFUNCTION("""COMPUTED_VALUE"""),"NJ")</f>
        <v>NJ</v>
      </c>
      <c r="D920" s="149" t="str">
        <f>IFERROR(__xludf.DUMMYFUNCTION("""COMPUTED_VALUE"""),"USA")</f>
        <v>USA</v>
      </c>
      <c r="E920" s="156">
        <f>IFERROR(__xludf.DUMMYFUNCTION("""COMPUTED_VALUE"""),44263.0)</f>
        <v>44263</v>
      </c>
      <c r="F920" s="129">
        <f>IFERROR(__xludf.DUMMYFUNCTION("""COMPUTED_VALUE"""),44272.0)</f>
        <v>44272</v>
      </c>
      <c r="G920" s="154" t="str">
        <f>IFERROR(__xludf.DUMMYFUNCTION("""COMPUTED_VALUE"""),"Manage order page (normal text)")</f>
        <v>Manage order page (normal text)</v>
      </c>
      <c r="H920" s="131"/>
      <c r="I920" s="144" t="str">
        <f>IFERROR(__xludf.DUMMYFUNCTION("""COMPUTED_VALUE"""),"03/21")</f>
        <v>03/21</v>
      </c>
      <c r="J920" s="129">
        <f>IFERROR(__xludf.DUMMYFUNCTION("""COMPUTED_VALUE"""),44275.0)</f>
        <v>44275</v>
      </c>
      <c r="K920" s="133">
        <f>IFERROR(__xludf.DUMMYFUNCTION("""COMPUTED_VALUE"""),9.0)</f>
        <v>9</v>
      </c>
      <c r="L920" s="133">
        <f>IFERROR(__xludf.DUMMYFUNCTION("""COMPUTED_VALUE"""),3.0)</f>
        <v>3</v>
      </c>
      <c r="M920" s="133">
        <f>IFERROR(__xludf.DUMMYFUNCTION("""COMPUTED_VALUE"""),12.0)</f>
        <v>12</v>
      </c>
      <c r="N920" s="152" t="str">
        <f>IFERROR(__xludf.DUMMYFUNCTION("""COMPUTED_VALUE"""),"Model 3 LR AWD")</f>
        <v>Model 3 LR AWD</v>
      </c>
      <c r="O920" s="152" t="str">
        <f>IFERROR(__xludf.DUMMYFUNCTION("""COMPUTED_VALUE"""),"Pearl White Multi-Coat")</f>
        <v>Pearl White Multi-Coat</v>
      </c>
      <c r="P920" s="153" t="str">
        <f>IFERROR(__xludf.DUMMYFUNCTION("""COMPUTED_VALUE"""),"18 inch")</f>
        <v>18 inch</v>
      </c>
      <c r="Q920" s="152" t="str">
        <f>IFERROR(__xludf.DUMMYFUNCTION("""COMPUTED_VALUE"""),"All Black")</f>
        <v>All Black</v>
      </c>
      <c r="R920" s="149" t="str">
        <f>IFERROR(__xludf.DUMMYFUNCTION("""COMPUTED_VALUE"""),"Full Self-Driving")</f>
        <v>Full Self-Driving</v>
      </c>
      <c r="S920" s="149" t="str">
        <f>IFERROR(__xludf.DUMMYFUNCTION("""COMPUTED_VALUE"""),"Lease")</f>
        <v>Lease</v>
      </c>
      <c r="T920" s="145" t="str">
        <f>IFERROR(__xludf.DUMMYFUNCTION("""COMPUTED_VALUE"""),"Toyota Prius")</f>
        <v>Toyota Prius</v>
      </c>
      <c r="U920" s="145" t="str">
        <f>IFERROR(__xludf.DUMMYFUNCTION("""COMPUTED_VALUE"""),"Electric!")</f>
        <v>Electric!</v>
      </c>
      <c r="V920" s="145" t="str">
        <f>IFERROR(__xludf.DUMMYFUNCTION("""COMPUTED_VALUE"""),"Blind spot indicators on side mirrors")</f>
        <v>Blind spot indicators on side mirrors</v>
      </c>
      <c r="W920" s="145"/>
      <c r="X920" s="137" t="str">
        <f>IFERROR(__xludf.DUMMYFUNCTION("""COMPUTED_VALUE"""),"Good")</f>
        <v>Good</v>
      </c>
      <c r="Y920" s="138" t="str">
        <f>IFERROR(__xludf.DUMMYFUNCTION("""COMPUTED_VALUE"""),"Excellent")</f>
        <v>Excellent</v>
      </c>
      <c r="Z920" s="138" t="str">
        <f>IFERROR(__xludf.DUMMYFUNCTION("""COMPUTED_VALUE"""),"Excellent")</f>
        <v>Excellent</v>
      </c>
      <c r="AA920" s="138" t="str">
        <f>IFERROR(__xludf.DUMMYFUNCTION("""COMPUTED_VALUE"""),"Excellent")</f>
        <v>Excellent</v>
      </c>
      <c r="AB920" s="138" t="str">
        <f>IFERROR(__xludf.DUMMYFUNCTION("""COMPUTED_VALUE"""),"Very Good")</f>
        <v>Very Good</v>
      </c>
      <c r="AC920" s="139"/>
      <c r="AD920" s="139"/>
      <c r="AE920" s="139"/>
      <c r="AF920" s="140" t="str">
        <f>IFERROR(__xludf.DUMMYFUNCTION("""COMPUTED_VALUE"""),"No. I took delivery of the first car Tesla was able to deliver.")</f>
        <v>No. I took delivery of the first car Tesla was able to deliver.</v>
      </c>
      <c r="AG920" s="145"/>
      <c r="AH920" s="157">
        <f>IFERROR(__xludf.DUMMYFUNCTION("""COMPUTED_VALUE"""),44287.39291429398)</f>
        <v>44287.39291</v>
      </c>
      <c r="AI920" s="138"/>
      <c r="AJ920" s="138"/>
      <c r="AK920" s="138"/>
      <c r="AL920" s="142"/>
    </row>
    <row r="921" ht="20.25" customHeight="1">
      <c r="A921" s="155" t="str">
        <f>IFERROR(__xludf.DUMMYFUNCTION("""COMPUTED_VALUE"""),"Brian")</f>
        <v>Brian</v>
      </c>
      <c r="B921" s="149" t="str">
        <f>IFERROR(__xludf.DUMMYFUNCTION("""COMPUTED_VALUE"""),"Seattle area")</f>
        <v>Seattle area</v>
      </c>
      <c r="C921" s="149" t="str">
        <f>IFERROR(__xludf.DUMMYFUNCTION("""COMPUTED_VALUE"""),"WA")</f>
        <v>WA</v>
      </c>
      <c r="D921" s="149" t="str">
        <f>IFERROR(__xludf.DUMMYFUNCTION("""COMPUTED_VALUE"""),"USA")</f>
        <v>USA</v>
      </c>
      <c r="E921" s="156">
        <f>IFERROR(__xludf.DUMMYFUNCTION("""COMPUTED_VALUE"""),44263.0)</f>
        <v>44263</v>
      </c>
      <c r="F921" s="129">
        <f>IFERROR(__xludf.DUMMYFUNCTION("""COMPUTED_VALUE"""),44273.0)</f>
        <v>44273</v>
      </c>
      <c r="G921" s="154" t="str">
        <f>IFERROR(__xludf.DUMMYFUNCTION("""COMPUTED_VALUE"""),"Manage order page (normal text)")</f>
        <v>Manage order page (normal text)</v>
      </c>
      <c r="H921" s="131">
        <f>IFERROR(__xludf.DUMMYFUNCTION("""COMPUTED_VALUE"""),927355.0)</f>
        <v>927355</v>
      </c>
      <c r="I921" s="144" t="str">
        <f>IFERROR(__xludf.DUMMYFUNCTION("""COMPUTED_VALUE"""),"03/21")</f>
        <v>03/21</v>
      </c>
      <c r="J921" s="129">
        <f>IFERROR(__xludf.DUMMYFUNCTION("""COMPUTED_VALUE"""),44276.0)</f>
        <v>44276</v>
      </c>
      <c r="K921" s="133">
        <f>IFERROR(__xludf.DUMMYFUNCTION("""COMPUTED_VALUE"""),10.0)</f>
        <v>10</v>
      </c>
      <c r="L921" s="133">
        <f>IFERROR(__xludf.DUMMYFUNCTION("""COMPUTED_VALUE"""),3.0)</f>
        <v>3</v>
      </c>
      <c r="M921" s="133">
        <f>IFERROR(__xludf.DUMMYFUNCTION("""COMPUTED_VALUE"""),13.0)</f>
        <v>13</v>
      </c>
      <c r="N921" s="152" t="str">
        <f>IFERROR(__xludf.DUMMYFUNCTION("""COMPUTED_VALUE"""),"Model 3 LR AWD")</f>
        <v>Model 3 LR AWD</v>
      </c>
      <c r="O921" s="152" t="str">
        <f>IFERROR(__xludf.DUMMYFUNCTION("""COMPUTED_VALUE"""),"Midnight Silver Metallic")</f>
        <v>Midnight Silver Metallic</v>
      </c>
      <c r="P921" s="153" t="str">
        <f>IFERROR(__xludf.DUMMYFUNCTION("""COMPUTED_VALUE"""),"19 inch")</f>
        <v>19 inch</v>
      </c>
      <c r="Q921" s="152" t="str">
        <f>IFERROR(__xludf.DUMMYFUNCTION("""COMPUTED_VALUE"""),"All Black")</f>
        <v>All Black</v>
      </c>
      <c r="R921" s="149" t="str">
        <f>IFERROR(__xludf.DUMMYFUNCTION("""COMPUTED_VALUE"""),"Autopilot included")</f>
        <v>Autopilot included</v>
      </c>
      <c r="S921" s="149" t="str">
        <f>IFERROR(__xludf.DUMMYFUNCTION("""COMPUTED_VALUE"""),"Cash")</f>
        <v>Cash</v>
      </c>
      <c r="T921" s="145" t="str">
        <f>IFERROR(__xludf.DUMMYFUNCTION("""COMPUTED_VALUE"""),"Volvo")</f>
        <v>Volvo</v>
      </c>
      <c r="U921" s="145" t="str">
        <f>IFERROR(__xludf.DUMMYFUNCTION("""COMPUTED_VALUE"""),"Autopilot")</f>
        <v>Autopilot</v>
      </c>
      <c r="V921" s="145" t="str">
        <f>IFERROR(__xludf.DUMMYFUNCTION("""COMPUTED_VALUE"""),"360° Bird's eye view")</f>
        <v>360° Bird's eye view</v>
      </c>
      <c r="W921" s="145"/>
      <c r="X921" s="137" t="str">
        <f>IFERROR(__xludf.DUMMYFUNCTION("""COMPUTED_VALUE"""),"Very Good")</f>
        <v>Very Good</v>
      </c>
      <c r="Y921" s="138" t="str">
        <f>IFERROR(__xludf.DUMMYFUNCTION("""COMPUTED_VALUE"""),"Excellent")</f>
        <v>Excellent</v>
      </c>
      <c r="Z921" s="138" t="str">
        <f>IFERROR(__xludf.DUMMYFUNCTION("""COMPUTED_VALUE"""),"Excellent")</f>
        <v>Excellent</v>
      </c>
      <c r="AA921" s="138" t="str">
        <f>IFERROR(__xludf.DUMMYFUNCTION("""COMPUTED_VALUE"""),"Very Good")</f>
        <v>Very Good</v>
      </c>
      <c r="AB921" s="138" t="str">
        <f>IFERROR(__xludf.DUMMYFUNCTION("""COMPUTED_VALUE"""),"Very Good")</f>
        <v>Very Good</v>
      </c>
      <c r="AC921" s="139">
        <f>IFERROR(__xludf.DUMMYFUNCTION("""COMPUTED_VALUE"""),3.0)</f>
        <v>3</v>
      </c>
      <c r="AD921" s="139"/>
      <c r="AE921" s="139">
        <f>IFERROR(__xludf.DUMMYFUNCTION("""COMPUTED_VALUE"""),1.0)</f>
        <v>1</v>
      </c>
      <c r="AF921" s="140" t="str">
        <f>IFERROR(__xludf.DUMMYFUNCTION("""COMPUTED_VALUE"""),"No. I took delivery of the first car Tesla was able to deliver.")</f>
        <v>No. I took delivery of the first car Tesla was able to deliver.</v>
      </c>
      <c r="AG921" s="145" t="str">
        <f>IFERROR(__xludf.DUMMYFUNCTION("""COMPUTED_VALUE"""),"Heated steering wheel enabled")</f>
        <v>Heated steering wheel enabled</v>
      </c>
      <c r="AH921" s="157">
        <f>IFERROR(__xludf.DUMMYFUNCTION("""COMPUTED_VALUE"""),44279.37388226852)</f>
        <v>44279.37388</v>
      </c>
      <c r="AI921" s="138"/>
      <c r="AJ921" s="138"/>
      <c r="AK921" s="138"/>
      <c r="AL921" s="142"/>
    </row>
    <row r="922" ht="20.25" customHeight="1">
      <c r="A922" s="155" t="str">
        <f>IFERROR(__xludf.DUMMYFUNCTION("""COMPUTED_VALUE"""),"crsharff")</f>
        <v>crsharff</v>
      </c>
      <c r="B922" s="149" t="str">
        <f>IFERROR(__xludf.DUMMYFUNCTION("""COMPUTED_VALUE"""),"Bothell")</f>
        <v>Bothell</v>
      </c>
      <c r="C922" s="149" t="str">
        <f>IFERROR(__xludf.DUMMYFUNCTION("""COMPUTED_VALUE"""),"WA")</f>
        <v>WA</v>
      </c>
      <c r="D922" s="149" t="str">
        <f>IFERROR(__xludf.DUMMYFUNCTION("""COMPUTED_VALUE"""),"USA")</f>
        <v>USA</v>
      </c>
      <c r="E922" s="156">
        <f>IFERROR(__xludf.DUMMYFUNCTION("""COMPUTED_VALUE"""),44263.0)</f>
        <v>44263</v>
      </c>
      <c r="F922" s="129">
        <f>IFERROR(__xludf.DUMMYFUNCTION("""COMPUTED_VALUE"""),44279.0)</f>
        <v>44279</v>
      </c>
      <c r="G922" s="154" t="str">
        <f>IFERROR(__xludf.DUMMYFUNCTION("""COMPUTED_VALUE"""),"Manage order page (normal text)")</f>
        <v>Manage order page (normal text)</v>
      </c>
      <c r="H922" s="131">
        <f>IFERROR(__xludf.DUMMYFUNCTION("""COMPUTED_VALUE"""),938443.0)</f>
        <v>938443</v>
      </c>
      <c r="I922" s="144"/>
      <c r="J922" s="129">
        <f>IFERROR(__xludf.DUMMYFUNCTION("""COMPUTED_VALUE"""),44283.0)</f>
        <v>44283</v>
      </c>
      <c r="K922" s="133">
        <f>IFERROR(__xludf.DUMMYFUNCTION("""COMPUTED_VALUE"""),16.0)</f>
        <v>16</v>
      </c>
      <c r="L922" s="133">
        <f>IFERROR(__xludf.DUMMYFUNCTION("""COMPUTED_VALUE"""),4.0)</f>
        <v>4</v>
      </c>
      <c r="M922" s="133">
        <f>IFERROR(__xludf.DUMMYFUNCTION("""COMPUTED_VALUE"""),20.0)</f>
        <v>20</v>
      </c>
      <c r="N922" s="152" t="str">
        <f>IFERROR(__xludf.DUMMYFUNCTION("""COMPUTED_VALUE"""),"Model 3 LR AWD")</f>
        <v>Model 3 LR AWD</v>
      </c>
      <c r="O922" s="152" t="str">
        <f>IFERROR(__xludf.DUMMYFUNCTION("""COMPUTED_VALUE"""),"Midnight Silver Metallic")</f>
        <v>Midnight Silver Metallic</v>
      </c>
      <c r="P922" s="153" t="str">
        <f>IFERROR(__xludf.DUMMYFUNCTION("""COMPUTED_VALUE"""),"18 inch")</f>
        <v>18 inch</v>
      </c>
      <c r="Q922" s="152" t="str">
        <f>IFERROR(__xludf.DUMMYFUNCTION("""COMPUTED_VALUE"""),"All Black")</f>
        <v>All Black</v>
      </c>
      <c r="R922" s="149" t="str">
        <f>IFERROR(__xludf.DUMMYFUNCTION("""COMPUTED_VALUE"""),"Autopilot included")</f>
        <v>Autopilot included</v>
      </c>
      <c r="S922" s="149" t="str">
        <f>IFERROR(__xludf.DUMMYFUNCTION("""COMPUTED_VALUE"""),"Loan")</f>
        <v>Loan</v>
      </c>
      <c r="T922" s="145" t="str">
        <f>IFERROR(__xludf.DUMMYFUNCTION("""COMPUTED_VALUE"""),"Chevy Volt")</f>
        <v>Chevy Volt</v>
      </c>
      <c r="U922" s="145" t="str">
        <f>IFERROR(__xludf.DUMMYFUNCTION("""COMPUTED_VALUE"""),"Autopilot")</f>
        <v>Autopilot</v>
      </c>
      <c r="V922" s="145" t="str">
        <f>IFERROR(__xludf.DUMMYFUNCTION("""COMPUTED_VALUE"""),"Blind spot indicators on side mirrors")</f>
        <v>Blind spot indicators on side mirrors</v>
      </c>
      <c r="W922" s="145"/>
      <c r="X922" s="137" t="str">
        <f>IFERROR(__xludf.DUMMYFUNCTION("""COMPUTED_VALUE"""),"Very Good")</f>
        <v>Very Good</v>
      </c>
      <c r="Y922" s="138" t="str">
        <f>IFERROR(__xludf.DUMMYFUNCTION("""COMPUTED_VALUE"""),"Very Good")</f>
        <v>Very Good</v>
      </c>
      <c r="Z922" s="138" t="str">
        <f>IFERROR(__xludf.DUMMYFUNCTION("""COMPUTED_VALUE"""),"Excellent")</f>
        <v>Excellent</v>
      </c>
      <c r="AA922" s="138" t="str">
        <f>IFERROR(__xludf.DUMMYFUNCTION("""COMPUTED_VALUE"""),"Fair")</f>
        <v>Fair</v>
      </c>
      <c r="AB922" s="138" t="str">
        <f>IFERROR(__xludf.DUMMYFUNCTION("""COMPUTED_VALUE"""),"Very Good")</f>
        <v>Very Good</v>
      </c>
      <c r="AC922" s="139"/>
      <c r="AD922" s="139"/>
      <c r="AE922" s="139"/>
      <c r="AF922" s="140" t="str">
        <f>IFERROR(__xludf.DUMMYFUNCTION("""COMPUTED_VALUE"""),"No. I took delivery of the first car Tesla was able to deliver.")</f>
        <v>No. I took delivery of the first car Tesla was able to deliver.</v>
      </c>
      <c r="AG922" s="145"/>
      <c r="AH922" s="157">
        <f>IFERROR(__xludf.DUMMYFUNCTION("""COMPUTED_VALUE"""),44286.548772546295)</f>
        <v>44286.54877</v>
      </c>
      <c r="AI922" s="138"/>
      <c r="AJ922" s="138"/>
      <c r="AK922" s="138"/>
      <c r="AL922" s="142"/>
    </row>
    <row r="923" ht="20.25" customHeight="1">
      <c r="A923" s="155" t="str">
        <f>IFERROR(__xludf.DUMMYFUNCTION("""COMPUTED_VALUE"""),"jda7165")</f>
        <v>jda7165</v>
      </c>
      <c r="B923" s="149"/>
      <c r="C923" s="149" t="str">
        <f>IFERROR(__xludf.DUMMYFUNCTION("""COMPUTED_VALUE"""),"MD")</f>
        <v>MD</v>
      </c>
      <c r="D923" s="149" t="str">
        <f>IFERROR(__xludf.DUMMYFUNCTION("""COMPUTED_VALUE"""),"USA")</f>
        <v>USA</v>
      </c>
      <c r="E923" s="156">
        <f>IFERROR(__xludf.DUMMYFUNCTION("""COMPUTED_VALUE"""),44263.0)</f>
        <v>44263</v>
      </c>
      <c r="F923" s="129">
        <f>IFERROR(__xludf.DUMMYFUNCTION("""COMPUTED_VALUE"""),44264.0)</f>
        <v>44264</v>
      </c>
      <c r="G923" s="154" t="str">
        <f>IFERROR(__xludf.DUMMYFUNCTION("""COMPUTED_VALUE"""),"Manage order page (normal text)")</f>
        <v>Manage order page (normal text)</v>
      </c>
      <c r="H923" s="131">
        <f>IFERROR(__xludf.DUMMYFUNCTION("""COMPUTED_VALUE"""),903455.0)</f>
        <v>903455</v>
      </c>
      <c r="I923" s="144" t="str">
        <f>IFERROR(__xludf.DUMMYFUNCTION("""COMPUTED_VALUE"""),"02/21")</f>
        <v>02/21</v>
      </c>
      <c r="J923" s="129">
        <f>IFERROR(__xludf.DUMMYFUNCTION("""COMPUTED_VALUE"""),44267.0)</f>
        <v>44267</v>
      </c>
      <c r="K923" s="133">
        <f>IFERROR(__xludf.DUMMYFUNCTION("""COMPUTED_VALUE"""),1.0)</f>
        <v>1</v>
      </c>
      <c r="L923" s="133">
        <f>IFERROR(__xludf.DUMMYFUNCTION("""COMPUTED_VALUE"""),3.0)</f>
        <v>3</v>
      </c>
      <c r="M923" s="133">
        <f>IFERROR(__xludf.DUMMYFUNCTION("""COMPUTED_VALUE"""),4.0)</f>
        <v>4</v>
      </c>
      <c r="N923" s="152" t="str">
        <f>IFERROR(__xludf.DUMMYFUNCTION("""COMPUTED_VALUE"""),"Model 3 LR AWD")</f>
        <v>Model 3 LR AWD</v>
      </c>
      <c r="O923" s="152" t="str">
        <f>IFERROR(__xludf.DUMMYFUNCTION("""COMPUTED_VALUE"""),"Pearl White Multi-Coat")</f>
        <v>Pearl White Multi-Coat</v>
      </c>
      <c r="P923" s="153" t="str">
        <f>IFERROR(__xludf.DUMMYFUNCTION("""COMPUTED_VALUE"""),"19 inch")</f>
        <v>19 inch</v>
      </c>
      <c r="Q923" s="152" t="str">
        <f>IFERROR(__xludf.DUMMYFUNCTION("""COMPUTED_VALUE"""),"Black and White")</f>
        <v>Black and White</v>
      </c>
      <c r="R923" s="149" t="str">
        <f>IFERROR(__xludf.DUMMYFUNCTION("""COMPUTED_VALUE"""),"Autopilot included")</f>
        <v>Autopilot included</v>
      </c>
      <c r="S923" s="149" t="str">
        <f>IFERROR(__xludf.DUMMYFUNCTION("""COMPUTED_VALUE"""),"Loan")</f>
        <v>Loan</v>
      </c>
      <c r="T923" s="145"/>
      <c r="U923" s="145" t="str">
        <f>IFERROR(__xludf.DUMMYFUNCTION("""COMPUTED_VALUE"""),"Electric!")</f>
        <v>Electric!</v>
      </c>
      <c r="V923" s="145" t="str">
        <f>IFERROR(__xludf.DUMMYFUNCTION("""COMPUTED_VALUE"""),"Apple CarPlay / Android Auto / SiriusXM Radio")</f>
        <v>Apple CarPlay / Android Auto / SiriusXM Radio</v>
      </c>
      <c r="W923" s="145"/>
      <c r="X923" s="137" t="str">
        <f>IFERROR(__xludf.DUMMYFUNCTION("""COMPUTED_VALUE"""),"Excellent")</f>
        <v>Excellent</v>
      </c>
      <c r="Y923" s="138" t="str">
        <f>IFERROR(__xludf.DUMMYFUNCTION("""COMPUTED_VALUE"""),"Very Good")</f>
        <v>Very Good</v>
      </c>
      <c r="Z923" s="138" t="str">
        <f>IFERROR(__xludf.DUMMYFUNCTION("""COMPUTED_VALUE"""),"Excellent")</f>
        <v>Excellent</v>
      </c>
      <c r="AA923" s="138" t="str">
        <f>IFERROR(__xludf.DUMMYFUNCTION("""COMPUTED_VALUE"""),"Excellent")</f>
        <v>Excellent</v>
      </c>
      <c r="AB923" s="138" t="str">
        <f>IFERROR(__xludf.DUMMYFUNCTION("""COMPUTED_VALUE"""),"Very Good")</f>
        <v>Very Good</v>
      </c>
      <c r="AC923" s="139"/>
      <c r="AD923" s="139"/>
      <c r="AE923" s="139"/>
      <c r="AF923" s="140" t="str">
        <f>IFERROR(__xludf.DUMMYFUNCTION("""COMPUTED_VALUE"""),"No. I took delivery of the first car Tesla was able to deliver.")</f>
        <v>No. I took delivery of the first car Tesla was able to deliver.</v>
      </c>
      <c r="AG923" s="145"/>
      <c r="AH923" s="157">
        <f>IFERROR(__xludf.DUMMYFUNCTION("""COMPUTED_VALUE"""),44267.60662652778)</f>
        <v>44267.60663</v>
      </c>
      <c r="AI923" s="138"/>
      <c r="AJ923" s="138"/>
      <c r="AK923" s="138"/>
      <c r="AL923" s="142"/>
    </row>
    <row r="924" ht="20.25" customHeight="1">
      <c r="A924" s="155" t="str">
        <f>IFERROR(__xludf.DUMMYFUNCTION("""COMPUTED_VALUE"""),"MrF06")</f>
        <v>MrF06</v>
      </c>
      <c r="B924" s="149" t="str">
        <f>IFERROR(__xludf.DUMMYFUNCTION("""COMPUTED_VALUE"""),"Virginia Beach")</f>
        <v>Virginia Beach</v>
      </c>
      <c r="C924" s="149" t="str">
        <f>IFERROR(__xludf.DUMMYFUNCTION("""COMPUTED_VALUE"""),"VA")</f>
        <v>VA</v>
      </c>
      <c r="D924" s="149" t="str">
        <f>IFERROR(__xludf.DUMMYFUNCTION("""COMPUTED_VALUE"""),"USA")</f>
        <v>USA</v>
      </c>
      <c r="E924" s="156">
        <f>IFERROR(__xludf.DUMMYFUNCTION("""COMPUTED_VALUE"""),44263.0)</f>
        <v>44263</v>
      </c>
      <c r="F924" s="129">
        <f>IFERROR(__xludf.DUMMYFUNCTION("""COMPUTED_VALUE"""),44268.0)</f>
        <v>44268</v>
      </c>
      <c r="G924" s="154" t="str">
        <f>IFERROR(__xludf.DUMMYFUNCTION("""COMPUTED_VALUE"""),"Manage order page (normal text)")</f>
        <v>Manage order page (normal text)</v>
      </c>
      <c r="H924" s="131">
        <f>IFERROR(__xludf.DUMMYFUNCTION("""COMPUTED_VALUE"""),924855.0)</f>
        <v>924855</v>
      </c>
      <c r="I924" s="144"/>
      <c r="J924" s="129"/>
      <c r="K924" s="133">
        <f>IFERROR(__xludf.DUMMYFUNCTION("""COMPUTED_VALUE"""),5.0)</f>
        <v>5</v>
      </c>
      <c r="L924" s="133"/>
      <c r="M924" s="133"/>
      <c r="N924" s="152" t="str">
        <f>IFERROR(__xludf.DUMMYFUNCTION("""COMPUTED_VALUE"""),"Model 3 LR AWD")</f>
        <v>Model 3 LR AWD</v>
      </c>
      <c r="O924" s="152" t="str">
        <f>IFERROR(__xludf.DUMMYFUNCTION("""COMPUTED_VALUE"""),"Midnight Silver Metallic")</f>
        <v>Midnight Silver Metallic</v>
      </c>
      <c r="P924" s="153" t="str">
        <f>IFERROR(__xludf.DUMMYFUNCTION("""COMPUTED_VALUE"""),"18 inch")</f>
        <v>18 inch</v>
      </c>
      <c r="Q924" s="152" t="str">
        <f>IFERROR(__xludf.DUMMYFUNCTION("""COMPUTED_VALUE"""),"Black and White")</f>
        <v>Black and White</v>
      </c>
      <c r="R924" s="149" t="str">
        <f>IFERROR(__xludf.DUMMYFUNCTION("""COMPUTED_VALUE"""),"Autopilot included")</f>
        <v>Autopilot included</v>
      </c>
      <c r="S924" s="149" t="str">
        <f>IFERROR(__xludf.DUMMYFUNCTION("""COMPUTED_VALUE"""),"Cash")</f>
        <v>Cash</v>
      </c>
      <c r="T924" s="145" t="str">
        <f>IFERROR(__xludf.DUMMYFUNCTION("""COMPUTED_VALUE"""),"Dodge Charger RT")</f>
        <v>Dodge Charger RT</v>
      </c>
      <c r="U924" s="145" t="str">
        <f>IFERROR(__xludf.DUMMYFUNCTION("""COMPUTED_VALUE"""),"Electric!")</f>
        <v>Electric!</v>
      </c>
      <c r="V924" s="145" t="str">
        <f>IFERROR(__xludf.DUMMYFUNCTION("""COMPUTED_VALUE"""),"Ventilated seats")</f>
        <v>Ventilated seats</v>
      </c>
      <c r="W924" s="145"/>
      <c r="X924" s="137" t="str">
        <f>IFERROR(__xludf.DUMMYFUNCTION("""COMPUTED_VALUE"""),"Excellent")</f>
        <v>Excellent</v>
      </c>
      <c r="Y924" s="138" t="str">
        <f>IFERROR(__xludf.DUMMYFUNCTION("""COMPUTED_VALUE"""),"Excellent")</f>
        <v>Excellent</v>
      </c>
      <c r="Z924" s="138" t="str">
        <f>IFERROR(__xludf.DUMMYFUNCTION("""COMPUTED_VALUE"""),"Excellent")</f>
        <v>Excellent</v>
      </c>
      <c r="AA924" s="138" t="str">
        <f>IFERROR(__xludf.DUMMYFUNCTION("""COMPUTED_VALUE"""),"Fair")</f>
        <v>Fair</v>
      </c>
      <c r="AB924" s="138" t="str">
        <f>IFERROR(__xludf.DUMMYFUNCTION("""COMPUTED_VALUE"""),"Excellent")</f>
        <v>Excellent</v>
      </c>
      <c r="AC924" s="139"/>
      <c r="AD924" s="139"/>
      <c r="AE924" s="139"/>
      <c r="AF924" s="140" t="str">
        <f>IFERROR(__xludf.DUMMYFUNCTION("""COMPUTED_VALUE"""),"No. I took delivery of the first car Tesla was able to deliver.")</f>
        <v>No. I took delivery of the first car Tesla was able to deliver.</v>
      </c>
      <c r="AG924" s="145"/>
      <c r="AH924" s="157">
        <f>IFERROR(__xludf.DUMMYFUNCTION("""COMPUTED_VALUE"""),44284.81302465277)</f>
        <v>44284.81302</v>
      </c>
      <c r="AI924" s="138"/>
      <c r="AJ924" s="138"/>
      <c r="AK924" s="138"/>
      <c r="AL924" s="142"/>
    </row>
    <row r="925" ht="20.25" customHeight="1">
      <c r="A925" s="155" t="str">
        <f>IFERROR(__xludf.DUMMYFUNCTION("""COMPUTED_VALUE"""),"TechJunky")</f>
        <v>TechJunky</v>
      </c>
      <c r="B925" s="149" t="str">
        <f>IFERROR(__xludf.DUMMYFUNCTION("""COMPUTED_VALUE"""),"Columbus")</f>
        <v>Columbus</v>
      </c>
      <c r="C925" s="149" t="str">
        <f>IFERROR(__xludf.DUMMYFUNCTION("""COMPUTED_VALUE"""),"OH")</f>
        <v>OH</v>
      </c>
      <c r="D925" s="149" t="str">
        <f>IFERROR(__xludf.DUMMYFUNCTION("""COMPUTED_VALUE"""),"USA")</f>
        <v>USA</v>
      </c>
      <c r="E925" s="156">
        <f>IFERROR(__xludf.DUMMYFUNCTION("""COMPUTED_VALUE"""),44263.0)</f>
        <v>44263</v>
      </c>
      <c r="F925" s="129">
        <f>IFERROR(__xludf.DUMMYFUNCTION("""COMPUTED_VALUE"""),44273.0)</f>
        <v>44273</v>
      </c>
      <c r="G925" s="154" t="str">
        <f>IFERROR(__xludf.DUMMYFUNCTION("""COMPUTED_VALUE"""),"Manage order page (normal text)")</f>
        <v>Manage order page (normal text)</v>
      </c>
      <c r="H925" s="131">
        <f>IFERROR(__xludf.DUMMYFUNCTION("""COMPUTED_VALUE"""),928201.0)</f>
        <v>928201</v>
      </c>
      <c r="I925" s="144" t="str">
        <f>IFERROR(__xludf.DUMMYFUNCTION("""COMPUTED_VALUE"""),"03/21")</f>
        <v>03/21</v>
      </c>
      <c r="J925" s="129">
        <f>IFERROR(__xludf.DUMMYFUNCTION("""COMPUTED_VALUE"""),44282.0)</f>
        <v>44282</v>
      </c>
      <c r="K925" s="133">
        <f>IFERROR(__xludf.DUMMYFUNCTION("""COMPUTED_VALUE"""),10.0)</f>
        <v>10</v>
      </c>
      <c r="L925" s="133">
        <f>IFERROR(__xludf.DUMMYFUNCTION("""COMPUTED_VALUE"""),9.0)</f>
        <v>9</v>
      </c>
      <c r="M925" s="133">
        <f>IFERROR(__xludf.DUMMYFUNCTION("""COMPUTED_VALUE"""),19.0)</f>
        <v>19</v>
      </c>
      <c r="N925" s="152" t="str">
        <f>IFERROR(__xludf.DUMMYFUNCTION("""COMPUTED_VALUE"""),"Model 3 LR AWD")</f>
        <v>Model 3 LR AWD</v>
      </c>
      <c r="O925" s="152" t="str">
        <f>IFERROR(__xludf.DUMMYFUNCTION("""COMPUTED_VALUE"""),"Pearl White Multi-Coat")</f>
        <v>Pearl White Multi-Coat</v>
      </c>
      <c r="P925" s="153" t="str">
        <f>IFERROR(__xludf.DUMMYFUNCTION("""COMPUTED_VALUE"""),"18 inch")</f>
        <v>18 inch</v>
      </c>
      <c r="Q925" s="152" t="str">
        <f>IFERROR(__xludf.DUMMYFUNCTION("""COMPUTED_VALUE"""),"All Black")</f>
        <v>All Black</v>
      </c>
      <c r="R925" s="149" t="str">
        <f>IFERROR(__xludf.DUMMYFUNCTION("""COMPUTED_VALUE"""),"Autopilot included")</f>
        <v>Autopilot included</v>
      </c>
      <c r="S925" s="149" t="str">
        <f>IFERROR(__xludf.DUMMYFUNCTION("""COMPUTED_VALUE"""),"Loan")</f>
        <v>Loan</v>
      </c>
      <c r="T925" s="145" t="str">
        <f>IFERROR(__xludf.DUMMYFUNCTION("""COMPUTED_VALUE"""),"Honda Civic")</f>
        <v>Honda Civic</v>
      </c>
      <c r="U925" s="145" t="str">
        <f>IFERROR(__xludf.DUMMYFUNCTION("""COMPUTED_VALUE"""),"Electric!")</f>
        <v>Electric!</v>
      </c>
      <c r="V925" s="145" t="str">
        <f>IFERROR(__xludf.DUMMYFUNCTION("""COMPUTED_VALUE"""),"Head-up display")</f>
        <v>Head-up display</v>
      </c>
      <c r="W925" s="145"/>
      <c r="X925" s="137" t="str">
        <f>IFERROR(__xludf.DUMMYFUNCTION("""COMPUTED_VALUE"""),"Excellent")</f>
        <v>Excellent</v>
      </c>
      <c r="Y925" s="138" t="str">
        <f>IFERROR(__xludf.DUMMYFUNCTION("""COMPUTED_VALUE"""),"Excellent")</f>
        <v>Excellent</v>
      </c>
      <c r="Z925" s="138" t="str">
        <f>IFERROR(__xludf.DUMMYFUNCTION("""COMPUTED_VALUE"""),"Excellent")</f>
        <v>Excellent</v>
      </c>
      <c r="AA925" s="138" t="str">
        <f>IFERROR(__xludf.DUMMYFUNCTION("""COMPUTED_VALUE"""),"Good")</f>
        <v>Good</v>
      </c>
      <c r="AB925" s="138" t="str">
        <f>IFERROR(__xludf.DUMMYFUNCTION("""COMPUTED_VALUE"""),"Very Good")</f>
        <v>Very Good</v>
      </c>
      <c r="AC925" s="139">
        <f>IFERROR(__xludf.DUMMYFUNCTION("""COMPUTED_VALUE"""),0.0)</f>
        <v>0</v>
      </c>
      <c r="AD925" s="139">
        <f>IFERROR(__xludf.DUMMYFUNCTION("""COMPUTED_VALUE"""),0.0)</f>
        <v>0</v>
      </c>
      <c r="AE925" s="139">
        <f>IFERROR(__xludf.DUMMYFUNCTION("""COMPUTED_VALUE"""),0.0)</f>
        <v>0</v>
      </c>
      <c r="AF925" s="140" t="str">
        <f>IFERROR(__xludf.DUMMYFUNCTION("""COMPUTED_VALUE"""),"No. I took delivery of the first car Tesla was able to deliver.")</f>
        <v>No. I took delivery of the first car Tesla was able to deliver.</v>
      </c>
      <c r="AG925" s="145"/>
      <c r="AH925" s="157">
        <f>IFERROR(__xludf.DUMMYFUNCTION("""COMPUTED_VALUE"""),44318.30397729167)</f>
        <v>44318.30398</v>
      </c>
      <c r="AI925" s="138"/>
      <c r="AJ925" s="138"/>
      <c r="AK925" s="138"/>
      <c r="AL925" s="142"/>
    </row>
    <row r="926" ht="20.25" customHeight="1">
      <c r="A926" s="155" t="str">
        <f>IFERROR(__xludf.DUMMYFUNCTION("""COMPUTED_VALUE"""),"Aero247")</f>
        <v>Aero247</v>
      </c>
      <c r="B926" s="149" t="str">
        <f>IFERROR(__xludf.DUMMYFUNCTION("""COMPUTED_VALUE"""),"Fresno")</f>
        <v>Fresno</v>
      </c>
      <c r="C926" s="149" t="str">
        <f>IFERROR(__xludf.DUMMYFUNCTION("""COMPUTED_VALUE"""),"CA")</f>
        <v>CA</v>
      </c>
      <c r="D926" s="149" t="str">
        <f>IFERROR(__xludf.DUMMYFUNCTION("""COMPUTED_VALUE"""),"USA")</f>
        <v>USA</v>
      </c>
      <c r="E926" s="156">
        <f>IFERROR(__xludf.DUMMYFUNCTION("""COMPUTED_VALUE"""),44261.0)</f>
        <v>44261</v>
      </c>
      <c r="F926" s="129">
        <f>IFERROR(__xludf.DUMMYFUNCTION("""COMPUTED_VALUE"""),44276.0)</f>
        <v>44276</v>
      </c>
      <c r="G926" s="154" t="str">
        <f>IFERROR(__xludf.DUMMYFUNCTION("""COMPUTED_VALUE"""),"Manage order page (normal text)")</f>
        <v>Manage order page (normal text)</v>
      </c>
      <c r="H926" s="131">
        <f>IFERROR(__xludf.DUMMYFUNCTION("""COMPUTED_VALUE"""),938555.0)</f>
        <v>938555</v>
      </c>
      <c r="I926" s="144"/>
      <c r="J926" s="129">
        <f>IFERROR(__xludf.DUMMYFUNCTION("""COMPUTED_VALUE"""),44281.0)</f>
        <v>44281</v>
      </c>
      <c r="K926" s="133">
        <f>IFERROR(__xludf.DUMMYFUNCTION("""COMPUTED_VALUE"""),15.0)</f>
        <v>15</v>
      </c>
      <c r="L926" s="133">
        <f>IFERROR(__xludf.DUMMYFUNCTION("""COMPUTED_VALUE"""),5.0)</f>
        <v>5</v>
      </c>
      <c r="M926" s="133">
        <f>IFERROR(__xludf.DUMMYFUNCTION("""COMPUTED_VALUE"""),20.0)</f>
        <v>20</v>
      </c>
      <c r="N926" s="152" t="str">
        <f>IFERROR(__xludf.DUMMYFUNCTION("""COMPUTED_VALUE"""),"Model 3 SR+")</f>
        <v>Model 3 SR+</v>
      </c>
      <c r="O926" s="152" t="str">
        <f>IFERROR(__xludf.DUMMYFUNCTION("""COMPUTED_VALUE"""),"Pearl White Multi-Coat")</f>
        <v>Pearl White Multi-Coat</v>
      </c>
      <c r="P926" s="153" t="str">
        <f>IFERROR(__xludf.DUMMYFUNCTION("""COMPUTED_VALUE"""),"18 inch")</f>
        <v>18 inch</v>
      </c>
      <c r="Q926" s="152" t="str">
        <f>IFERROR(__xludf.DUMMYFUNCTION("""COMPUTED_VALUE"""),"All Black")</f>
        <v>All Black</v>
      </c>
      <c r="R926" s="149" t="str">
        <f>IFERROR(__xludf.DUMMYFUNCTION("""COMPUTED_VALUE"""),"Autopilot included")</f>
        <v>Autopilot included</v>
      </c>
      <c r="S926" s="149" t="str">
        <f>IFERROR(__xludf.DUMMYFUNCTION("""COMPUTED_VALUE"""),"Loan")</f>
        <v>Loan</v>
      </c>
      <c r="T926" s="145" t="str">
        <f>IFERROR(__xludf.DUMMYFUNCTION("""COMPUTED_VALUE"""),"Ford Fusion")</f>
        <v>Ford Fusion</v>
      </c>
      <c r="U926" s="145" t="str">
        <f>IFERROR(__xludf.DUMMYFUNCTION("""COMPUTED_VALUE"""),"Electric!")</f>
        <v>Electric!</v>
      </c>
      <c r="V926" s="145" t="str">
        <f>IFERROR(__xludf.DUMMYFUNCTION("""COMPUTED_VALUE"""),"Blind spot indicators on side mirrors")</f>
        <v>Blind spot indicators on side mirrors</v>
      </c>
      <c r="W926" s="145"/>
      <c r="X926" s="137" t="str">
        <f>IFERROR(__xludf.DUMMYFUNCTION("""COMPUTED_VALUE"""),"Excellent")</f>
        <v>Excellent</v>
      </c>
      <c r="Y926" s="138" t="str">
        <f>IFERROR(__xludf.DUMMYFUNCTION("""COMPUTED_VALUE"""),"Excellent")</f>
        <v>Excellent</v>
      </c>
      <c r="Z926" s="138" t="str">
        <f>IFERROR(__xludf.DUMMYFUNCTION("""COMPUTED_VALUE"""),"Excellent")</f>
        <v>Excellent</v>
      </c>
      <c r="AA926" s="138" t="str">
        <f>IFERROR(__xludf.DUMMYFUNCTION("""COMPUTED_VALUE"""),"Good")</f>
        <v>Good</v>
      </c>
      <c r="AB926" s="138" t="str">
        <f>IFERROR(__xludf.DUMMYFUNCTION("""COMPUTED_VALUE"""),"Excellent")</f>
        <v>Excellent</v>
      </c>
      <c r="AC926" s="139">
        <f>IFERROR(__xludf.DUMMYFUNCTION("""COMPUTED_VALUE"""),1.0)</f>
        <v>1</v>
      </c>
      <c r="AD926" s="139">
        <f>IFERROR(__xludf.DUMMYFUNCTION("""COMPUTED_VALUE"""),1.0)</f>
        <v>1</v>
      </c>
      <c r="AE926" s="139"/>
      <c r="AF926" s="140" t="str">
        <f>IFERROR(__xludf.DUMMYFUNCTION("""COMPUTED_VALUE"""),"No. I took delivery of the first car Tesla was able to deliver.")</f>
        <v>No. I took delivery of the first car Tesla was able to deliver.</v>
      </c>
      <c r="AG926" s="145"/>
      <c r="AH926" s="157">
        <f>IFERROR(__xludf.DUMMYFUNCTION("""COMPUTED_VALUE"""),44281.954000324076)</f>
        <v>44281.954</v>
      </c>
      <c r="AI926" s="138"/>
      <c r="AJ926" s="138"/>
      <c r="AK926" s="138"/>
      <c r="AL926" s="142"/>
    </row>
    <row r="927" ht="20.25" customHeight="1">
      <c r="A927" s="155" t="str">
        <f>IFERROR(__xludf.DUMMYFUNCTION("""COMPUTED_VALUE"""),"ElongatedMuskrat")</f>
        <v>ElongatedMuskrat</v>
      </c>
      <c r="B927" s="149" t="str">
        <f>IFERROR(__xludf.DUMMYFUNCTION("""COMPUTED_VALUE"""),"Seattle")</f>
        <v>Seattle</v>
      </c>
      <c r="C927" s="149" t="str">
        <f>IFERROR(__xludf.DUMMYFUNCTION("""COMPUTED_VALUE"""),"WA")</f>
        <v>WA</v>
      </c>
      <c r="D927" s="149" t="str">
        <f>IFERROR(__xludf.DUMMYFUNCTION("""COMPUTED_VALUE"""),"USA")</f>
        <v>USA</v>
      </c>
      <c r="E927" s="156">
        <f>IFERROR(__xludf.DUMMYFUNCTION("""COMPUTED_VALUE"""),44261.0)</f>
        <v>44261</v>
      </c>
      <c r="F927" s="129">
        <f>IFERROR(__xludf.DUMMYFUNCTION("""COMPUTED_VALUE"""),44271.0)</f>
        <v>44271</v>
      </c>
      <c r="G927" s="154" t="str">
        <f>IFERROR(__xludf.DUMMYFUNCTION("""COMPUTED_VALUE"""),"Manage order page (normal text)")</f>
        <v>Manage order page (normal text)</v>
      </c>
      <c r="H927" s="131">
        <f>IFERROR(__xludf.DUMMYFUNCTION("""COMPUTED_VALUE"""),927128.0)</f>
        <v>927128</v>
      </c>
      <c r="I927" s="144" t="str">
        <f>IFERROR(__xludf.DUMMYFUNCTION("""COMPUTED_VALUE"""),"03/21")</f>
        <v>03/21</v>
      </c>
      <c r="J927" s="129">
        <f>IFERROR(__xludf.DUMMYFUNCTION("""COMPUTED_VALUE"""),44277.0)</f>
        <v>44277</v>
      </c>
      <c r="K927" s="133">
        <f>IFERROR(__xludf.DUMMYFUNCTION("""COMPUTED_VALUE"""),10.0)</f>
        <v>10</v>
      </c>
      <c r="L927" s="133">
        <f>IFERROR(__xludf.DUMMYFUNCTION("""COMPUTED_VALUE"""),6.0)</f>
        <v>6</v>
      </c>
      <c r="M927" s="133">
        <f>IFERROR(__xludf.DUMMYFUNCTION("""COMPUTED_VALUE"""),16.0)</f>
        <v>16</v>
      </c>
      <c r="N927" s="152" t="str">
        <f>IFERROR(__xludf.DUMMYFUNCTION("""COMPUTED_VALUE"""),"Model 3 LR AWD")</f>
        <v>Model 3 LR AWD</v>
      </c>
      <c r="O927" s="152" t="str">
        <f>IFERROR(__xludf.DUMMYFUNCTION("""COMPUTED_VALUE"""),"Pearl White Multi-Coat")</f>
        <v>Pearl White Multi-Coat</v>
      </c>
      <c r="P927" s="153" t="str">
        <f>IFERROR(__xludf.DUMMYFUNCTION("""COMPUTED_VALUE"""),"18 inch")</f>
        <v>18 inch</v>
      </c>
      <c r="Q927" s="152" t="str">
        <f>IFERROR(__xludf.DUMMYFUNCTION("""COMPUTED_VALUE"""),"Black and White")</f>
        <v>Black and White</v>
      </c>
      <c r="R927" s="149" t="str">
        <f>IFERROR(__xludf.DUMMYFUNCTION("""COMPUTED_VALUE"""),"Full Self-Driving")</f>
        <v>Full Self-Driving</v>
      </c>
      <c r="S927" s="149" t="str">
        <f>IFERROR(__xludf.DUMMYFUNCTION("""COMPUTED_VALUE"""),"Loan")</f>
        <v>Loan</v>
      </c>
      <c r="T927" s="145" t="str">
        <f>IFERROR(__xludf.DUMMYFUNCTION("""COMPUTED_VALUE"""),"Model 3 will be my first car!")</f>
        <v>Model 3 will be my first car!</v>
      </c>
      <c r="U927" s="145" t="str">
        <f>IFERROR(__xludf.DUMMYFUNCTION("""COMPUTED_VALUE"""),"Autopilot")</f>
        <v>Autopilot</v>
      </c>
      <c r="V927" s="145" t="str">
        <f>IFERROR(__xludf.DUMMYFUNCTION("""COMPUTED_VALUE"""),"Head-up display")</f>
        <v>Head-up display</v>
      </c>
      <c r="W927" s="145"/>
      <c r="X927" s="137" t="str">
        <f>IFERROR(__xludf.DUMMYFUNCTION("""COMPUTED_VALUE"""),"Good")</f>
        <v>Good</v>
      </c>
      <c r="Y927" s="138" t="str">
        <f>IFERROR(__xludf.DUMMYFUNCTION("""COMPUTED_VALUE"""),"Very Good")</f>
        <v>Very Good</v>
      </c>
      <c r="Z927" s="138" t="str">
        <f>IFERROR(__xludf.DUMMYFUNCTION("""COMPUTED_VALUE"""),"Very Good")</f>
        <v>Very Good</v>
      </c>
      <c r="AA927" s="138" t="str">
        <f>IFERROR(__xludf.DUMMYFUNCTION("""COMPUTED_VALUE"""),"Fair")</f>
        <v>Fair</v>
      </c>
      <c r="AB927" s="138" t="str">
        <f>IFERROR(__xludf.DUMMYFUNCTION("""COMPUTED_VALUE"""),"Very Good")</f>
        <v>Very Good</v>
      </c>
      <c r="AC927" s="139">
        <f>IFERROR(__xludf.DUMMYFUNCTION("""COMPUTED_VALUE"""),1.0)</f>
        <v>1</v>
      </c>
      <c r="AD927" s="139">
        <f>IFERROR(__xludf.DUMMYFUNCTION("""COMPUTED_VALUE"""),2.0)</f>
        <v>2</v>
      </c>
      <c r="AE927" s="139">
        <f>IFERROR(__xludf.DUMMYFUNCTION("""COMPUTED_VALUE"""),2.0)</f>
        <v>2</v>
      </c>
      <c r="AF927" s="140" t="str">
        <f>IFERROR(__xludf.DUMMYFUNCTION("""COMPUTED_VALUE"""),"No. I took delivery of the first car Tesla was able to deliver.")</f>
        <v>No. I took delivery of the first car Tesla was able to deliver.</v>
      </c>
      <c r="AG927" s="145"/>
      <c r="AH927" s="157">
        <f>IFERROR(__xludf.DUMMYFUNCTION("""COMPUTED_VALUE"""),44302.37394158565)</f>
        <v>44302.37394</v>
      </c>
      <c r="AI927" s="138"/>
      <c r="AJ927" s="138"/>
      <c r="AK927" s="138"/>
      <c r="AL927" s="142"/>
    </row>
    <row r="928" ht="20.25" customHeight="1">
      <c r="A928" s="155" t="str">
        <f>IFERROR(__xludf.DUMMYFUNCTION("""COMPUTED_VALUE"""),"xodusgenesis")</f>
        <v>xodusgenesis</v>
      </c>
      <c r="B928" s="149" t="str">
        <f>IFERROR(__xludf.DUMMYFUNCTION("""COMPUTED_VALUE"""),"Nashua")</f>
        <v>Nashua</v>
      </c>
      <c r="C928" s="149" t="str">
        <f>IFERROR(__xludf.DUMMYFUNCTION("""COMPUTED_VALUE"""),"NH")</f>
        <v>NH</v>
      </c>
      <c r="D928" s="149" t="str">
        <f>IFERROR(__xludf.DUMMYFUNCTION("""COMPUTED_VALUE"""),"USA")</f>
        <v>USA</v>
      </c>
      <c r="E928" s="156">
        <f>IFERROR(__xludf.DUMMYFUNCTION("""COMPUTED_VALUE"""),44261.0)</f>
        <v>44261</v>
      </c>
      <c r="F928" s="129">
        <f>IFERROR(__xludf.DUMMYFUNCTION("""COMPUTED_VALUE"""),44267.0)</f>
        <v>44267</v>
      </c>
      <c r="G928" s="154" t="str">
        <f>IFERROR(__xludf.DUMMYFUNCTION("""COMPUTED_VALUE"""),"Manage order page (normal text)")</f>
        <v>Manage order page (normal text)</v>
      </c>
      <c r="H928" s="131">
        <f>IFERROR(__xludf.DUMMYFUNCTION("""COMPUTED_VALUE"""),923746.0)</f>
        <v>923746</v>
      </c>
      <c r="I928" s="144" t="str">
        <f>IFERROR(__xludf.DUMMYFUNCTION("""COMPUTED_VALUE"""),"03/21")</f>
        <v>03/21</v>
      </c>
      <c r="J928" s="129">
        <f>IFERROR(__xludf.DUMMYFUNCTION("""COMPUTED_VALUE"""),44282.0)</f>
        <v>44282</v>
      </c>
      <c r="K928" s="133">
        <f>IFERROR(__xludf.DUMMYFUNCTION("""COMPUTED_VALUE"""),6.0)</f>
        <v>6</v>
      </c>
      <c r="L928" s="133">
        <f>IFERROR(__xludf.DUMMYFUNCTION("""COMPUTED_VALUE"""),15.0)</f>
        <v>15</v>
      </c>
      <c r="M928" s="133">
        <f>IFERROR(__xludf.DUMMYFUNCTION("""COMPUTED_VALUE"""),21.0)</f>
        <v>21</v>
      </c>
      <c r="N928" s="152" t="str">
        <f>IFERROR(__xludf.DUMMYFUNCTION("""COMPUTED_VALUE"""),"Model 3 LR AWD")</f>
        <v>Model 3 LR AWD</v>
      </c>
      <c r="O928" s="152" t="str">
        <f>IFERROR(__xludf.DUMMYFUNCTION("""COMPUTED_VALUE"""),"Red Multi-Coat")</f>
        <v>Red Multi-Coat</v>
      </c>
      <c r="P928" s="153" t="str">
        <f>IFERROR(__xludf.DUMMYFUNCTION("""COMPUTED_VALUE"""),"18 inch")</f>
        <v>18 inch</v>
      </c>
      <c r="Q928" s="152" t="str">
        <f>IFERROR(__xludf.DUMMYFUNCTION("""COMPUTED_VALUE"""),"All Black")</f>
        <v>All Black</v>
      </c>
      <c r="R928" s="149" t="str">
        <f>IFERROR(__xludf.DUMMYFUNCTION("""COMPUTED_VALUE"""),"Autopilot included")</f>
        <v>Autopilot included</v>
      </c>
      <c r="S928" s="149" t="str">
        <f>IFERROR(__xludf.DUMMYFUNCTION("""COMPUTED_VALUE"""),"Loan")</f>
        <v>Loan</v>
      </c>
      <c r="T928" s="145" t="str">
        <f>IFERROR(__xludf.DUMMYFUNCTION("""COMPUTED_VALUE"""),"Model 3 will be my first car!")</f>
        <v>Model 3 will be my first car!</v>
      </c>
      <c r="U928" s="145" t="str">
        <f>IFERROR(__xludf.DUMMYFUNCTION("""COMPUTED_VALUE"""),"Electric!")</f>
        <v>Electric!</v>
      </c>
      <c r="V928" s="145" t="str">
        <f>IFERROR(__xludf.DUMMYFUNCTION("""COMPUTED_VALUE"""),"Head-up display")</f>
        <v>Head-up display</v>
      </c>
      <c r="W928" s="145"/>
      <c r="X928" s="137" t="str">
        <f>IFERROR(__xludf.DUMMYFUNCTION("""COMPUTED_VALUE"""),"Excellent")</f>
        <v>Excellent</v>
      </c>
      <c r="Y928" s="138" t="str">
        <f>IFERROR(__xludf.DUMMYFUNCTION("""COMPUTED_VALUE"""),"Excellent")</f>
        <v>Excellent</v>
      </c>
      <c r="Z928" s="138" t="str">
        <f>IFERROR(__xludf.DUMMYFUNCTION("""COMPUTED_VALUE"""),"Good")</f>
        <v>Good</v>
      </c>
      <c r="AA928" s="138" t="str">
        <f>IFERROR(__xludf.DUMMYFUNCTION("""COMPUTED_VALUE"""),"Fair")</f>
        <v>Fair</v>
      </c>
      <c r="AB928" s="138" t="str">
        <f>IFERROR(__xludf.DUMMYFUNCTION("""COMPUTED_VALUE"""),"Fair")</f>
        <v>Fair</v>
      </c>
      <c r="AC928" s="139">
        <f>IFERROR(__xludf.DUMMYFUNCTION("""COMPUTED_VALUE"""),1.0)</f>
        <v>1</v>
      </c>
      <c r="AD928" s="139">
        <f>IFERROR(__xludf.DUMMYFUNCTION("""COMPUTED_VALUE"""),1.0)</f>
        <v>1</v>
      </c>
      <c r="AE928" s="139"/>
      <c r="AF928" s="140" t="str">
        <f>IFERROR(__xludf.DUMMYFUNCTION("""COMPUTED_VALUE"""),"No. I took delivery of the first car Tesla was able to deliver.")</f>
        <v>No. I took delivery of the first car Tesla was able to deliver.</v>
      </c>
      <c r="AG928" s="145"/>
      <c r="AH928" s="157">
        <f>IFERROR(__xludf.DUMMYFUNCTION("""COMPUTED_VALUE"""),44294.40827133103)</f>
        <v>44294.40827</v>
      </c>
      <c r="AI928" s="138"/>
      <c r="AJ928" s="138"/>
      <c r="AK928" s="138"/>
      <c r="AL928" s="142"/>
    </row>
    <row r="929" ht="20.25" customHeight="1">
      <c r="A929" s="155" t="str">
        <f>IFERROR(__xludf.DUMMYFUNCTION("""COMPUTED_VALUE"""),"drtoothy86")</f>
        <v>drtoothy86</v>
      </c>
      <c r="B929" s="149" t="str">
        <f>IFERROR(__xludf.DUMMYFUNCTION("""COMPUTED_VALUE"""),"New York")</f>
        <v>New York</v>
      </c>
      <c r="C929" s="149" t="str">
        <f>IFERROR(__xludf.DUMMYFUNCTION("""COMPUTED_VALUE"""),"NY")</f>
        <v>NY</v>
      </c>
      <c r="D929" s="149" t="str">
        <f>IFERROR(__xludf.DUMMYFUNCTION("""COMPUTED_VALUE"""),"USA")</f>
        <v>USA</v>
      </c>
      <c r="E929" s="156">
        <f>IFERROR(__xludf.DUMMYFUNCTION("""COMPUTED_VALUE"""),44260.0)</f>
        <v>44260</v>
      </c>
      <c r="F929" s="129">
        <f>IFERROR(__xludf.DUMMYFUNCTION("""COMPUTED_VALUE"""),44268.0)</f>
        <v>44268</v>
      </c>
      <c r="G929" s="154" t="str">
        <f>IFERROR(__xludf.DUMMYFUNCTION("""COMPUTED_VALUE"""),"Manage order page (normal text)")</f>
        <v>Manage order page (normal text)</v>
      </c>
      <c r="H929" s="131">
        <f>IFERROR(__xludf.DUMMYFUNCTION("""COMPUTED_VALUE"""),924955.0)</f>
        <v>924955</v>
      </c>
      <c r="I929" s="144" t="str">
        <f>IFERROR(__xludf.DUMMYFUNCTION("""COMPUTED_VALUE"""),"03/21")</f>
        <v>03/21</v>
      </c>
      <c r="J929" s="129">
        <f>IFERROR(__xludf.DUMMYFUNCTION("""COMPUTED_VALUE"""),44279.0)</f>
        <v>44279</v>
      </c>
      <c r="K929" s="133">
        <f>IFERROR(__xludf.DUMMYFUNCTION("""COMPUTED_VALUE"""),8.0)</f>
        <v>8</v>
      </c>
      <c r="L929" s="133">
        <f>IFERROR(__xludf.DUMMYFUNCTION("""COMPUTED_VALUE"""),11.0)</f>
        <v>11</v>
      </c>
      <c r="M929" s="133">
        <f>IFERROR(__xludf.DUMMYFUNCTION("""COMPUTED_VALUE"""),19.0)</f>
        <v>19</v>
      </c>
      <c r="N929" s="152" t="str">
        <f>IFERROR(__xludf.DUMMYFUNCTION("""COMPUTED_VALUE"""),"Model 3 LR AWD")</f>
        <v>Model 3 LR AWD</v>
      </c>
      <c r="O929" s="152" t="str">
        <f>IFERROR(__xludf.DUMMYFUNCTION("""COMPUTED_VALUE"""),"Solid Black")</f>
        <v>Solid Black</v>
      </c>
      <c r="P929" s="153" t="str">
        <f>IFERROR(__xludf.DUMMYFUNCTION("""COMPUTED_VALUE"""),"18 inch")</f>
        <v>18 inch</v>
      </c>
      <c r="Q929" s="152" t="str">
        <f>IFERROR(__xludf.DUMMYFUNCTION("""COMPUTED_VALUE"""),"Black and White")</f>
        <v>Black and White</v>
      </c>
      <c r="R929" s="149" t="str">
        <f>IFERROR(__xludf.DUMMYFUNCTION("""COMPUTED_VALUE"""),"Autopilot included")</f>
        <v>Autopilot included</v>
      </c>
      <c r="S929" s="149" t="str">
        <f>IFERROR(__xludf.DUMMYFUNCTION("""COMPUTED_VALUE"""),"Loan")</f>
        <v>Loan</v>
      </c>
      <c r="T929" s="145" t="str">
        <f>IFERROR(__xludf.DUMMYFUNCTION("""COMPUTED_VALUE"""),"Tesla Model 3")</f>
        <v>Tesla Model 3</v>
      </c>
      <c r="U929" s="145" t="str">
        <f>IFERROR(__xludf.DUMMYFUNCTION("""COMPUTED_VALUE"""),"Electric!")</f>
        <v>Electric!</v>
      </c>
      <c r="V929" s="145" t="str">
        <f>IFERROR(__xludf.DUMMYFUNCTION("""COMPUTED_VALUE"""),"360° Bird's eye view")</f>
        <v>360° Bird's eye view</v>
      </c>
      <c r="W929" s="145"/>
      <c r="X929" s="137" t="str">
        <f>IFERROR(__xludf.DUMMYFUNCTION("""COMPUTED_VALUE"""),"Good")</f>
        <v>Good</v>
      </c>
      <c r="Y929" s="138" t="str">
        <f>IFERROR(__xludf.DUMMYFUNCTION("""COMPUTED_VALUE"""),"Very Good")</f>
        <v>Very Good</v>
      </c>
      <c r="Z929" s="138" t="str">
        <f>IFERROR(__xludf.DUMMYFUNCTION("""COMPUTED_VALUE"""),"Very Good")</f>
        <v>Very Good</v>
      </c>
      <c r="AA929" s="138" t="str">
        <f>IFERROR(__xludf.DUMMYFUNCTION("""COMPUTED_VALUE"""),"Fair")</f>
        <v>Fair</v>
      </c>
      <c r="AB929" s="138" t="str">
        <f>IFERROR(__xludf.DUMMYFUNCTION("""COMPUTED_VALUE"""),"Fair")</f>
        <v>Fair</v>
      </c>
      <c r="AC929" s="139"/>
      <c r="AD929" s="139"/>
      <c r="AE929" s="139"/>
      <c r="AF929" s="140" t="str">
        <f>IFERROR(__xludf.DUMMYFUNCTION("""COMPUTED_VALUE"""),"No. I took delivery of the first car Tesla was able to deliver.")</f>
        <v>No. I took delivery of the first car Tesla was able to deliver.</v>
      </c>
      <c r="AG929" s="145"/>
      <c r="AH929" s="157">
        <f>IFERROR(__xludf.DUMMYFUNCTION("""COMPUTED_VALUE"""),44279.82180259259)</f>
        <v>44279.8218</v>
      </c>
      <c r="AI929" s="138"/>
      <c r="AJ929" s="138"/>
      <c r="AK929" s="138"/>
      <c r="AL929" s="142"/>
    </row>
    <row r="930" ht="20.25" customHeight="1">
      <c r="A930" s="155" t="str">
        <f>IFERROR(__xludf.DUMMYFUNCTION("""COMPUTED_VALUE"""),"garymb74")</f>
        <v>garymb74</v>
      </c>
      <c r="B930" s="149" t="str">
        <f>IFERROR(__xludf.DUMMYFUNCTION("""COMPUTED_VALUE"""),"Marina")</f>
        <v>Marina</v>
      </c>
      <c r="C930" s="149" t="str">
        <f>IFERROR(__xludf.DUMMYFUNCTION("""COMPUTED_VALUE"""),"CA")</f>
        <v>CA</v>
      </c>
      <c r="D930" s="149" t="str">
        <f>IFERROR(__xludf.DUMMYFUNCTION("""COMPUTED_VALUE"""),"USA")</f>
        <v>USA</v>
      </c>
      <c r="E930" s="156">
        <f>IFERROR(__xludf.DUMMYFUNCTION("""COMPUTED_VALUE"""),44260.0)</f>
        <v>44260</v>
      </c>
      <c r="F930" s="129">
        <f>IFERROR(__xludf.DUMMYFUNCTION("""COMPUTED_VALUE"""),44279.0)</f>
        <v>44279</v>
      </c>
      <c r="G930" s="154" t="str">
        <f>IFERROR(__xludf.DUMMYFUNCTION("""COMPUTED_VALUE"""),"Manage order page (normal text)")</f>
        <v>Manage order page (normal text)</v>
      </c>
      <c r="H930" s="131">
        <f>IFERROR(__xludf.DUMMYFUNCTION("""COMPUTED_VALUE"""),936655.0)</f>
        <v>936655</v>
      </c>
      <c r="I930" s="144"/>
      <c r="J930" s="129">
        <f>IFERROR(__xludf.DUMMYFUNCTION("""COMPUTED_VALUE"""),44282.0)</f>
        <v>44282</v>
      </c>
      <c r="K930" s="133">
        <f>IFERROR(__xludf.DUMMYFUNCTION("""COMPUTED_VALUE"""),19.0)</f>
        <v>19</v>
      </c>
      <c r="L930" s="133">
        <f>IFERROR(__xludf.DUMMYFUNCTION("""COMPUTED_VALUE"""),3.0)</f>
        <v>3</v>
      </c>
      <c r="M930" s="133">
        <f>IFERROR(__xludf.DUMMYFUNCTION("""COMPUTED_VALUE"""),22.0)</f>
        <v>22</v>
      </c>
      <c r="N930" s="152" t="str">
        <f>IFERROR(__xludf.DUMMYFUNCTION("""COMPUTED_VALUE"""),"Model 3 LR AWD")</f>
        <v>Model 3 LR AWD</v>
      </c>
      <c r="O930" s="152" t="str">
        <f>IFERROR(__xludf.DUMMYFUNCTION("""COMPUTED_VALUE"""),"Midnight Silver Metallic")</f>
        <v>Midnight Silver Metallic</v>
      </c>
      <c r="P930" s="153" t="str">
        <f>IFERROR(__xludf.DUMMYFUNCTION("""COMPUTED_VALUE"""),"19 inch")</f>
        <v>19 inch</v>
      </c>
      <c r="Q930" s="152" t="str">
        <f>IFERROR(__xludf.DUMMYFUNCTION("""COMPUTED_VALUE"""),"All Black")</f>
        <v>All Black</v>
      </c>
      <c r="R930" s="149" t="str">
        <f>IFERROR(__xludf.DUMMYFUNCTION("""COMPUTED_VALUE"""),"Autopilot included")</f>
        <v>Autopilot included</v>
      </c>
      <c r="S930" s="149" t="str">
        <f>IFERROR(__xludf.DUMMYFUNCTION("""COMPUTED_VALUE"""),"Loan")</f>
        <v>Loan</v>
      </c>
      <c r="T930" s="145" t="str">
        <f>IFERROR(__xludf.DUMMYFUNCTION("""COMPUTED_VALUE"""),"Honda Pilot")</f>
        <v>Honda Pilot</v>
      </c>
      <c r="U930" s="145" t="str">
        <f>IFERROR(__xludf.DUMMYFUNCTION("""COMPUTED_VALUE"""),"Electric!")</f>
        <v>Electric!</v>
      </c>
      <c r="V930" s="145"/>
      <c r="W930" s="145"/>
      <c r="X930" s="137" t="str">
        <f>IFERROR(__xludf.DUMMYFUNCTION("""COMPUTED_VALUE"""),"Excellent")</f>
        <v>Excellent</v>
      </c>
      <c r="Y930" s="138" t="str">
        <f>IFERROR(__xludf.DUMMYFUNCTION("""COMPUTED_VALUE"""),"Very Good")</f>
        <v>Very Good</v>
      </c>
      <c r="Z930" s="138" t="str">
        <f>IFERROR(__xludf.DUMMYFUNCTION("""COMPUTED_VALUE"""),"Excellent")</f>
        <v>Excellent</v>
      </c>
      <c r="AA930" s="138" t="str">
        <f>IFERROR(__xludf.DUMMYFUNCTION("""COMPUTED_VALUE"""),"Excellent")</f>
        <v>Excellent</v>
      </c>
      <c r="AB930" s="138" t="str">
        <f>IFERROR(__xludf.DUMMYFUNCTION("""COMPUTED_VALUE"""),"Excellent")</f>
        <v>Excellent</v>
      </c>
      <c r="AC930" s="139"/>
      <c r="AD930" s="139"/>
      <c r="AE930" s="139"/>
      <c r="AF930" s="140" t="str">
        <f>IFERROR(__xludf.DUMMYFUNCTION("""COMPUTED_VALUE"""),"No. I took delivery of the first car Tesla was able to deliver.")</f>
        <v>No. I took delivery of the first car Tesla was able to deliver.</v>
      </c>
      <c r="AG930" s="145"/>
      <c r="AH930" s="157">
        <f>IFERROR(__xludf.DUMMYFUNCTION("""COMPUTED_VALUE"""),44283.41188518519)</f>
        <v>44283.41189</v>
      </c>
      <c r="AI930" s="138"/>
      <c r="AJ930" s="138"/>
      <c r="AK930" s="138"/>
      <c r="AL930" s="142"/>
    </row>
    <row r="931" ht="20.25" customHeight="1">
      <c r="A931" s="155" t="str">
        <f>IFERROR(__xludf.DUMMYFUNCTION("""COMPUTED_VALUE"""),"Redbull")</f>
        <v>Redbull</v>
      </c>
      <c r="B931" s="149" t="str">
        <f>IFERROR(__xludf.DUMMYFUNCTION("""COMPUTED_VALUE"""),"Toronto")</f>
        <v>Toronto</v>
      </c>
      <c r="C931" s="149" t="str">
        <f>IFERROR(__xludf.DUMMYFUNCTION("""COMPUTED_VALUE"""),"ON")</f>
        <v>ON</v>
      </c>
      <c r="D931" s="149" t="str">
        <f>IFERROR(__xludf.DUMMYFUNCTION("""COMPUTED_VALUE"""),"Canada")</f>
        <v>Canada</v>
      </c>
      <c r="E931" s="156">
        <f>IFERROR(__xludf.DUMMYFUNCTION("""COMPUTED_VALUE"""),44260.0)</f>
        <v>44260</v>
      </c>
      <c r="F931" s="129">
        <f>IFERROR(__xludf.DUMMYFUNCTION("""COMPUTED_VALUE"""),44344.0)</f>
        <v>44344</v>
      </c>
      <c r="G931" s="154" t="str">
        <f>IFERROR(__xludf.DUMMYFUNCTION("""COMPUTED_VALUE"""),"Source code")</f>
        <v>Source code</v>
      </c>
      <c r="H931" s="131">
        <f>IFERROR(__xludf.DUMMYFUNCTION("""COMPUTED_VALUE"""),975535.0)</f>
        <v>975535</v>
      </c>
      <c r="I931" s="144"/>
      <c r="J931" s="129">
        <f>IFERROR(__xludf.DUMMYFUNCTION("""COMPUTED_VALUE"""),44354.0)</f>
        <v>44354</v>
      </c>
      <c r="K931" s="133">
        <f>IFERROR(__xludf.DUMMYFUNCTION("""COMPUTED_VALUE"""),84.0)</f>
        <v>84</v>
      </c>
      <c r="L931" s="133">
        <f>IFERROR(__xludf.DUMMYFUNCTION("""COMPUTED_VALUE"""),10.0)</f>
        <v>10</v>
      </c>
      <c r="M931" s="133">
        <f>IFERROR(__xludf.DUMMYFUNCTION("""COMPUTED_VALUE"""),94.0)</f>
        <v>94</v>
      </c>
      <c r="N931" s="152" t="str">
        <f>IFERROR(__xludf.DUMMYFUNCTION("""COMPUTED_VALUE"""),"Model 3 LR AWD")</f>
        <v>Model 3 LR AWD</v>
      </c>
      <c r="O931" s="152" t="str">
        <f>IFERROR(__xludf.DUMMYFUNCTION("""COMPUTED_VALUE"""),"Pearl White Multi-Coat")</f>
        <v>Pearl White Multi-Coat</v>
      </c>
      <c r="P931" s="153" t="str">
        <f>IFERROR(__xludf.DUMMYFUNCTION("""COMPUTED_VALUE"""),"19 inch")</f>
        <v>19 inch</v>
      </c>
      <c r="Q931" s="152" t="str">
        <f>IFERROR(__xludf.DUMMYFUNCTION("""COMPUTED_VALUE"""),"Black and White")</f>
        <v>Black and White</v>
      </c>
      <c r="R931" s="149" t="str">
        <f>IFERROR(__xludf.DUMMYFUNCTION("""COMPUTED_VALUE"""),"Full Self-Driving")</f>
        <v>Full Self-Driving</v>
      </c>
      <c r="S931" s="149" t="str">
        <f>IFERROR(__xludf.DUMMYFUNCTION("""COMPUTED_VALUE"""),"Cash")</f>
        <v>Cash</v>
      </c>
      <c r="T931" s="145" t="str">
        <f>IFERROR(__xludf.DUMMYFUNCTION("""COMPUTED_VALUE"""),"BMW 3 Series")</f>
        <v>BMW 3 Series</v>
      </c>
      <c r="U931" s="145" t="str">
        <f>IFERROR(__xludf.DUMMYFUNCTION("""COMPUTED_VALUE"""),"Electric!")</f>
        <v>Electric!</v>
      </c>
      <c r="V931" s="145" t="str">
        <f>IFERROR(__xludf.DUMMYFUNCTION("""COMPUTED_VALUE"""),"Apple CarPlay / Android Auto / SiriusXM Radio")</f>
        <v>Apple CarPlay / Android Auto / SiriusXM Radio</v>
      </c>
      <c r="W931" s="145"/>
      <c r="X931" s="137" t="str">
        <f>IFERROR(__xludf.DUMMYFUNCTION("""COMPUTED_VALUE"""),"Excellent")</f>
        <v>Excellent</v>
      </c>
      <c r="Y931" s="138" t="str">
        <f>IFERROR(__xludf.DUMMYFUNCTION("""COMPUTED_VALUE"""),"Excellent")</f>
        <v>Excellent</v>
      </c>
      <c r="Z931" s="138" t="str">
        <f>IFERROR(__xludf.DUMMYFUNCTION("""COMPUTED_VALUE"""),"Excellent")</f>
        <v>Excellent</v>
      </c>
      <c r="AA931" s="138" t="str">
        <f>IFERROR(__xludf.DUMMYFUNCTION("""COMPUTED_VALUE"""),"Excellent")</f>
        <v>Excellent</v>
      </c>
      <c r="AB931" s="138" t="str">
        <f>IFERROR(__xludf.DUMMYFUNCTION("""COMPUTED_VALUE"""),"Excellent")</f>
        <v>Excellent</v>
      </c>
      <c r="AC931" s="139"/>
      <c r="AD931" s="139"/>
      <c r="AE931" s="139"/>
      <c r="AF931" s="140" t="str">
        <f>IFERROR(__xludf.DUMMYFUNCTION("""COMPUTED_VALUE"""),"No. I took delivery of the first car Tesla was able to deliver.")</f>
        <v>No. I took delivery of the first car Tesla was able to deliver.</v>
      </c>
      <c r="AG931" s="145"/>
      <c r="AH931" s="157">
        <f>IFERROR(__xludf.DUMMYFUNCTION("""COMPUTED_VALUE"""),44355.40219090278)</f>
        <v>44355.40219</v>
      </c>
      <c r="AI931" s="138"/>
      <c r="AJ931" s="138"/>
      <c r="AK931" s="138"/>
      <c r="AL931" s="142"/>
    </row>
    <row r="932" ht="20.25" customHeight="1">
      <c r="A932" s="155" t="str">
        <f>IFERROR(__xludf.DUMMYFUNCTION("""COMPUTED_VALUE"""),"Eodguy")</f>
        <v>Eodguy</v>
      </c>
      <c r="B932" s="149" t="str">
        <f>IFERROR(__xludf.DUMMYFUNCTION("""COMPUTED_VALUE"""),"Seattle")</f>
        <v>Seattle</v>
      </c>
      <c r="C932" s="149" t="str">
        <f>IFERROR(__xludf.DUMMYFUNCTION("""COMPUTED_VALUE"""),"WA")</f>
        <v>WA</v>
      </c>
      <c r="D932" s="149" t="str">
        <f>IFERROR(__xludf.DUMMYFUNCTION("""COMPUTED_VALUE"""),"USA")</f>
        <v>USA</v>
      </c>
      <c r="E932" s="156">
        <f>IFERROR(__xludf.DUMMYFUNCTION("""COMPUTED_VALUE"""),44258.0)</f>
        <v>44258</v>
      </c>
      <c r="F932" s="129">
        <f>IFERROR(__xludf.DUMMYFUNCTION("""COMPUTED_VALUE"""),44279.0)</f>
        <v>44279</v>
      </c>
      <c r="G932" s="154" t="str">
        <f>IFERROR(__xludf.DUMMYFUNCTION("""COMPUTED_VALUE"""),"Manage order page (normal text)")</f>
        <v>Manage order page (normal text)</v>
      </c>
      <c r="H932" s="131">
        <f>IFERROR(__xludf.DUMMYFUNCTION("""COMPUTED_VALUE"""),937055.0)</f>
        <v>937055</v>
      </c>
      <c r="I932" s="144" t="str">
        <f>IFERROR(__xludf.DUMMYFUNCTION("""COMPUTED_VALUE"""),"03/21")</f>
        <v>03/21</v>
      </c>
      <c r="J932" s="129">
        <f>IFERROR(__xludf.DUMMYFUNCTION("""COMPUTED_VALUE"""),44283.0)</f>
        <v>44283</v>
      </c>
      <c r="K932" s="133">
        <f>IFERROR(__xludf.DUMMYFUNCTION("""COMPUTED_VALUE"""),21.0)</f>
        <v>21</v>
      </c>
      <c r="L932" s="133">
        <f>IFERROR(__xludf.DUMMYFUNCTION("""COMPUTED_VALUE"""),4.0)</f>
        <v>4</v>
      </c>
      <c r="M932" s="133">
        <f>IFERROR(__xludf.DUMMYFUNCTION("""COMPUTED_VALUE"""),25.0)</f>
        <v>25</v>
      </c>
      <c r="N932" s="152" t="str">
        <f>IFERROR(__xludf.DUMMYFUNCTION("""COMPUTED_VALUE"""),"Model 3 LR AWD")</f>
        <v>Model 3 LR AWD</v>
      </c>
      <c r="O932" s="152" t="str">
        <f>IFERROR(__xludf.DUMMYFUNCTION("""COMPUTED_VALUE"""),"Deep Blue Metallic")</f>
        <v>Deep Blue Metallic</v>
      </c>
      <c r="P932" s="153" t="str">
        <f>IFERROR(__xludf.DUMMYFUNCTION("""COMPUTED_VALUE"""),"18 inch")</f>
        <v>18 inch</v>
      </c>
      <c r="Q932" s="152" t="str">
        <f>IFERROR(__xludf.DUMMYFUNCTION("""COMPUTED_VALUE"""),"All Black")</f>
        <v>All Black</v>
      </c>
      <c r="R932" s="149" t="str">
        <f>IFERROR(__xludf.DUMMYFUNCTION("""COMPUTED_VALUE"""),"Autopilot included")</f>
        <v>Autopilot included</v>
      </c>
      <c r="S932" s="149" t="str">
        <f>IFERROR(__xludf.DUMMYFUNCTION("""COMPUTED_VALUE"""),"Loan")</f>
        <v>Loan</v>
      </c>
      <c r="T932" s="145" t="str">
        <f>IFERROR(__xludf.DUMMYFUNCTION("""COMPUTED_VALUE"""),"Chevy Volt")</f>
        <v>Chevy Volt</v>
      </c>
      <c r="U932" s="145" t="str">
        <f>IFERROR(__xludf.DUMMYFUNCTION("""COMPUTED_VALUE"""),"Electric!")</f>
        <v>Electric!</v>
      </c>
      <c r="V932" s="145" t="str">
        <f>IFERROR(__xludf.DUMMYFUNCTION("""COMPUTED_VALUE"""),"Blind spot indicators on side mirrors")</f>
        <v>Blind spot indicators on side mirrors</v>
      </c>
      <c r="W932" s="145"/>
      <c r="X932" s="137" t="str">
        <f>IFERROR(__xludf.DUMMYFUNCTION("""COMPUTED_VALUE"""),"Excellent")</f>
        <v>Excellent</v>
      </c>
      <c r="Y932" s="138" t="str">
        <f>IFERROR(__xludf.DUMMYFUNCTION("""COMPUTED_VALUE"""),"Excellent")</f>
        <v>Excellent</v>
      </c>
      <c r="Z932" s="138" t="str">
        <f>IFERROR(__xludf.DUMMYFUNCTION("""COMPUTED_VALUE"""),"Excellent")</f>
        <v>Excellent</v>
      </c>
      <c r="AA932" s="138" t="str">
        <f>IFERROR(__xludf.DUMMYFUNCTION("""COMPUTED_VALUE"""),"Fair")</f>
        <v>Fair</v>
      </c>
      <c r="AB932" s="138" t="str">
        <f>IFERROR(__xludf.DUMMYFUNCTION("""COMPUTED_VALUE"""),"Excellent")</f>
        <v>Excellent</v>
      </c>
      <c r="AC932" s="139">
        <f>IFERROR(__xludf.DUMMYFUNCTION("""COMPUTED_VALUE"""),0.0)</f>
        <v>0</v>
      </c>
      <c r="AD932" s="139"/>
      <c r="AE932" s="139"/>
      <c r="AF932" s="140" t="str">
        <f>IFERROR(__xludf.DUMMYFUNCTION("""COMPUTED_VALUE"""),"No. I took delivery of the first car Tesla was able to deliver.")</f>
        <v>No. I took delivery of the first car Tesla was able to deliver.</v>
      </c>
      <c r="AG932" s="145"/>
      <c r="AH932" s="157">
        <f>IFERROR(__xludf.DUMMYFUNCTION("""COMPUTED_VALUE"""),44284.57770497685)</f>
        <v>44284.5777</v>
      </c>
      <c r="AI932" s="138"/>
      <c r="AJ932" s="138"/>
      <c r="AK932" s="138"/>
      <c r="AL932" s="142"/>
    </row>
    <row r="933" ht="20.25" customHeight="1">
      <c r="A933" s="155" t="str">
        <f>IFERROR(__xludf.DUMMYFUNCTION("""COMPUTED_VALUE"""),"SonOfUncleSam")</f>
        <v>SonOfUncleSam</v>
      </c>
      <c r="B933" s="149" t="str">
        <f>IFERROR(__xludf.DUMMYFUNCTION("""COMPUTED_VALUE"""),"Cincinnati")</f>
        <v>Cincinnati</v>
      </c>
      <c r="C933" s="149" t="str">
        <f>IFERROR(__xludf.DUMMYFUNCTION("""COMPUTED_VALUE"""),"OH")</f>
        <v>OH</v>
      </c>
      <c r="D933" s="149" t="str">
        <f>IFERROR(__xludf.DUMMYFUNCTION("""COMPUTED_VALUE"""),"USA")</f>
        <v>USA</v>
      </c>
      <c r="E933" s="156">
        <f>IFERROR(__xludf.DUMMYFUNCTION("""COMPUTED_VALUE"""),44258.0)</f>
        <v>44258</v>
      </c>
      <c r="F933" s="129">
        <f>IFERROR(__xludf.DUMMYFUNCTION("""COMPUTED_VALUE"""),44278.0)</f>
        <v>44278</v>
      </c>
      <c r="G933" s="154" t="str">
        <f>IFERROR(__xludf.DUMMYFUNCTION("""COMPUTED_VALUE"""),"Manage order page (normal text)")</f>
        <v>Manage order page (normal text)</v>
      </c>
      <c r="H933" s="131">
        <f>IFERROR(__xludf.DUMMYFUNCTION("""COMPUTED_VALUE"""),918055.0)</f>
        <v>918055</v>
      </c>
      <c r="I933" s="144"/>
      <c r="J933" s="129">
        <f>IFERROR(__xludf.DUMMYFUNCTION("""COMPUTED_VALUE"""),44284.0)</f>
        <v>44284</v>
      </c>
      <c r="K933" s="133">
        <f>IFERROR(__xludf.DUMMYFUNCTION("""COMPUTED_VALUE"""),20.0)</f>
        <v>20</v>
      </c>
      <c r="L933" s="133">
        <f>IFERROR(__xludf.DUMMYFUNCTION("""COMPUTED_VALUE"""),6.0)</f>
        <v>6</v>
      </c>
      <c r="M933" s="133">
        <f>IFERROR(__xludf.DUMMYFUNCTION("""COMPUTED_VALUE"""),26.0)</f>
        <v>26</v>
      </c>
      <c r="N933" s="152" t="str">
        <f>IFERROR(__xludf.DUMMYFUNCTION("""COMPUTED_VALUE"""),"Model 3 LR AWD")</f>
        <v>Model 3 LR AWD</v>
      </c>
      <c r="O933" s="152" t="str">
        <f>IFERROR(__xludf.DUMMYFUNCTION("""COMPUTED_VALUE"""),"Deep Blue Metallic")</f>
        <v>Deep Blue Metallic</v>
      </c>
      <c r="P933" s="153" t="str">
        <f>IFERROR(__xludf.DUMMYFUNCTION("""COMPUTED_VALUE"""),"18 inch")</f>
        <v>18 inch</v>
      </c>
      <c r="Q933" s="152" t="str">
        <f>IFERROR(__xludf.DUMMYFUNCTION("""COMPUTED_VALUE"""),"Black and White")</f>
        <v>Black and White</v>
      </c>
      <c r="R933" s="149" t="str">
        <f>IFERROR(__xludf.DUMMYFUNCTION("""COMPUTED_VALUE"""),"Autopilot included")</f>
        <v>Autopilot included</v>
      </c>
      <c r="S933" s="149" t="str">
        <f>IFERROR(__xludf.DUMMYFUNCTION("""COMPUTED_VALUE"""),"Loan")</f>
        <v>Loan</v>
      </c>
      <c r="T933" s="145"/>
      <c r="U933" s="145" t="str">
        <f>IFERROR(__xludf.DUMMYFUNCTION("""COMPUTED_VALUE"""),"Electric!")</f>
        <v>Electric!</v>
      </c>
      <c r="V933" s="145" t="str">
        <f>IFERROR(__xludf.DUMMYFUNCTION("""COMPUTED_VALUE"""),"Apple CarPlay / Android Auto / SiriusXM Radio")</f>
        <v>Apple CarPlay / Android Auto / SiriusXM Radio</v>
      </c>
      <c r="W933" s="145"/>
      <c r="X933" s="137" t="str">
        <f>IFERROR(__xludf.DUMMYFUNCTION("""COMPUTED_VALUE"""),"Excellent")</f>
        <v>Excellent</v>
      </c>
      <c r="Y933" s="138" t="str">
        <f>IFERROR(__xludf.DUMMYFUNCTION("""COMPUTED_VALUE"""),"Excellent")</f>
        <v>Excellent</v>
      </c>
      <c r="Z933" s="138" t="str">
        <f>IFERROR(__xludf.DUMMYFUNCTION("""COMPUTED_VALUE"""),"Very Good")</f>
        <v>Very Good</v>
      </c>
      <c r="AA933" s="138" t="str">
        <f>IFERROR(__xludf.DUMMYFUNCTION("""COMPUTED_VALUE"""),"Excellent")</f>
        <v>Excellent</v>
      </c>
      <c r="AB933" s="138" t="str">
        <f>IFERROR(__xludf.DUMMYFUNCTION("""COMPUTED_VALUE"""),"Good")</f>
        <v>Good</v>
      </c>
      <c r="AC933" s="139">
        <f>IFERROR(__xludf.DUMMYFUNCTION("""COMPUTED_VALUE"""),1.0)</f>
        <v>1</v>
      </c>
      <c r="AD933" s="139"/>
      <c r="AE933" s="139"/>
      <c r="AF933" s="140" t="str">
        <f>IFERROR(__xludf.DUMMYFUNCTION("""COMPUTED_VALUE"""),"No. I took delivery of the first car Tesla was able to deliver.")</f>
        <v>No. I took delivery of the first car Tesla was able to deliver.</v>
      </c>
      <c r="AG933" s="145"/>
      <c r="AH933" s="157">
        <f>IFERROR(__xludf.DUMMYFUNCTION("""COMPUTED_VALUE"""),44284.78549746528)</f>
        <v>44284.7855</v>
      </c>
      <c r="AI933" s="138"/>
      <c r="AJ933" s="138"/>
      <c r="AK933" s="138"/>
      <c r="AL933" s="142"/>
    </row>
    <row r="934" ht="20.25" customHeight="1">
      <c r="A934" s="155" t="str">
        <f>IFERROR(__xludf.DUMMYFUNCTION("""COMPUTED_VALUE"""),"lukey13")</f>
        <v>lukey13</v>
      </c>
      <c r="B934" s="149" t="str">
        <f>IFERROR(__xludf.DUMMYFUNCTION("""COMPUTED_VALUE"""),"Los Angeles")</f>
        <v>Los Angeles</v>
      </c>
      <c r="C934" s="149" t="str">
        <f>IFERROR(__xludf.DUMMYFUNCTION("""COMPUTED_VALUE"""),"CA")</f>
        <v>CA</v>
      </c>
      <c r="D934" s="149" t="str">
        <f>IFERROR(__xludf.DUMMYFUNCTION("""COMPUTED_VALUE"""),"USA")</f>
        <v>USA</v>
      </c>
      <c r="E934" s="156">
        <f>IFERROR(__xludf.DUMMYFUNCTION("""COMPUTED_VALUE"""),44257.0)</f>
        <v>44257</v>
      </c>
      <c r="F934" s="129">
        <f>IFERROR(__xludf.DUMMYFUNCTION("""COMPUTED_VALUE"""),44280.0)</f>
        <v>44280</v>
      </c>
      <c r="G934" s="154" t="str">
        <f>IFERROR(__xludf.DUMMYFUNCTION("""COMPUTED_VALUE"""),"Manage order page (normal text)")</f>
        <v>Manage order page (normal text)</v>
      </c>
      <c r="H934" s="131">
        <f>IFERROR(__xludf.DUMMYFUNCTION("""COMPUTED_VALUE"""),937655.0)</f>
        <v>937655</v>
      </c>
      <c r="I934" s="144" t="str">
        <f>IFERROR(__xludf.DUMMYFUNCTION("""COMPUTED_VALUE"""),"03/21")</f>
        <v>03/21</v>
      </c>
      <c r="J934" s="129">
        <f>IFERROR(__xludf.DUMMYFUNCTION("""COMPUTED_VALUE"""),44282.0)</f>
        <v>44282</v>
      </c>
      <c r="K934" s="133">
        <f>IFERROR(__xludf.DUMMYFUNCTION("""COMPUTED_VALUE"""),23.0)</f>
        <v>23</v>
      </c>
      <c r="L934" s="133">
        <f>IFERROR(__xludf.DUMMYFUNCTION("""COMPUTED_VALUE"""),2.0)</f>
        <v>2</v>
      </c>
      <c r="M934" s="133">
        <f>IFERROR(__xludf.DUMMYFUNCTION("""COMPUTED_VALUE"""),25.0)</f>
        <v>25</v>
      </c>
      <c r="N934" s="152" t="str">
        <f>IFERROR(__xludf.DUMMYFUNCTION("""COMPUTED_VALUE"""),"Model 3 LR AWD")</f>
        <v>Model 3 LR AWD</v>
      </c>
      <c r="O934" s="152" t="str">
        <f>IFERROR(__xludf.DUMMYFUNCTION("""COMPUTED_VALUE"""),"Pearl White Multi-Coat")</f>
        <v>Pearl White Multi-Coat</v>
      </c>
      <c r="P934" s="153" t="str">
        <f>IFERROR(__xludf.DUMMYFUNCTION("""COMPUTED_VALUE"""),"18 inch")</f>
        <v>18 inch</v>
      </c>
      <c r="Q934" s="152" t="str">
        <f>IFERROR(__xludf.DUMMYFUNCTION("""COMPUTED_VALUE"""),"Black and White")</f>
        <v>Black and White</v>
      </c>
      <c r="R934" s="149" t="str">
        <f>IFERROR(__xludf.DUMMYFUNCTION("""COMPUTED_VALUE"""),"Autopilot included")</f>
        <v>Autopilot included</v>
      </c>
      <c r="S934" s="149" t="str">
        <f>IFERROR(__xludf.DUMMYFUNCTION("""COMPUTED_VALUE"""),"Loan")</f>
        <v>Loan</v>
      </c>
      <c r="T934" s="145" t="str">
        <f>IFERROR(__xludf.DUMMYFUNCTION("""COMPUTED_VALUE"""),"2004 Lexus ES 330")</f>
        <v>2004 Lexus ES 330</v>
      </c>
      <c r="U934" s="145" t="str">
        <f>IFERROR(__xludf.DUMMYFUNCTION("""COMPUTED_VALUE"""),"Tesla brand image")</f>
        <v>Tesla brand image</v>
      </c>
      <c r="V934" s="145" t="str">
        <f>IFERROR(__xludf.DUMMYFUNCTION("""COMPUTED_VALUE"""),"Dashboard")</f>
        <v>Dashboard</v>
      </c>
      <c r="W934" s="145"/>
      <c r="X934" s="137" t="str">
        <f>IFERROR(__xludf.DUMMYFUNCTION("""COMPUTED_VALUE"""),"Good")</f>
        <v>Good</v>
      </c>
      <c r="Y934" s="138" t="str">
        <f>IFERROR(__xludf.DUMMYFUNCTION("""COMPUTED_VALUE"""),"Fair")</f>
        <v>Fair</v>
      </c>
      <c r="Z934" s="138" t="str">
        <f>IFERROR(__xludf.DUMMYFUNCTION("""COMPUTED_VALUE"""),"Good")</f>
        <v>Good</v>
      </c>
      <c r="AA934" s="138" t="str">
        <f>IFERROR(__xludf.DUMMYFUNCTION("""COMPUTED_VALUE"""),"Good")</f>
        <v>Good</v>
      </c>
      <c r="AB934" s="138" t="str">
        <f>IFERROR(__xludf.DUMMYFUNCTION("""COMPUTED_VALUE"""),"Very Good")</f>
        <v>Very Good</v>
      </c>
      <c r="AC934" s="139">
        <f>IFERROR(__xludf.DUMMYFUNCTION("""COMPUTED_VALUE"""),5.0)</f>
        <v>5</v>
      </c>
      <c r="AD934" s="139"/>
      <c r="AE934" s="139"/>
      <c r="AF934" s="140" t="str">
        <f>IFERROR(__xludf.DUMMYFUNCTION("""COMPUTED_VALUE"""),"No. I took delivery of the first car Tesla was able to deliver.")</f>
        <v>No. I took delivery of the first car Tesla was able to deliver.</v>
      </c>
      <c r="AG934" s="145"/>
      <c r="AH934" s="157">
        <f>IFERROR(__xludf.DUMMYFUNCTION("""COMPUTED_VALUE"""),44284.395415509265)</f>
        <v>44284.39542</v>
      </c>
      <c r="AI934" s="138"/>
      <c r="AJ934" s="138"/>
      <c r="AK934" s="138"/>
      <c r="AL934" s="142"/>
    </row>
    <row r="935" ht="20.25" customHeight="1">
      <c r="A935" s="155" t="str">
        <f>IFERROR(__xludf.DUMMYFUNCTION("""COMPUTED_VALUE"""),"DurkaDurka")</f>
        <v>DurkaDurka</v>
      </c>
      <c r="B935" s="149" t="str">
        <f>IFERROR(__xludf.DUMMYFUNCTION("""COMPUTED_VALUE"""),"Fairfax")</f>
        <v>Fairfax</v>
      </c>
      <c r="C935" s="149" t="str">
        <f>IFERROR(__xludf.DUMMYFUNCTION("""COMPUTED_VALUE"""),"VA")</f>
        <v>VA</v>
      </c>
      <c r="D935" s="149" t="str">
        <f>IFERROR(__xludf.DUMMYFUNCTION("""COMPUTED_VALUE"""),"USA")</f>
        <v>USA</v>
      </c>
      <c r="E935" s="156">
        <f>IFERROR(__xludf.DUMMYFUNCTION("""COMPUTED_VALUE"""),44256.0)</f>
        <v>44256</v>
      </c>
      <c r="F935" s="129">
        <f>IFERROR(__xludf.DUMMYFUNCTION("""COMPUTED_VALUE"""),44266.0)</f>
        <v>44266</v>
      </c>
      <c r="G935" s="154" t="str">
        <f>IFERROR(__xludf.DUMMYFUNCTION("""COMPUTED_VALUE"""),"Text message")</f>
        <v>Text message</v>
      </c>
      <c r="H935" s="131">
        <f>IFERROR(__xludf.DUMMYFUNCTION("""COMPUTED_VALUE"""),923000.0)</f>
        <v>923000</v>
      </c>
      <c r="I935" s="144"/>
      <c r="J935" s="129">
        <f>IFERROR(__xludf.DUMMYFUNCTION("""COMPUTED_VALUE"""),44278.0)</f>
        <v>44278</v>
      </c>
      <c r="K935" s="133">
        <f>IFERROR(__xludf.DUMMYFUNCTION("""COMPUTED_VALUE"""),10.0)</f>
        <v>10</v>
      </c>
      <c r="L935" s="133">
        <f>IFERROR(__xludf.DUMMYFUNCTION("""COMPUTED_VALUE"""),12.0)</f>
        <v>12</v>
      </c>
      <c r="M935" s="133">
        <f>IFERROR(__xludf.DUMMYFUNCTION("""COMPUTED_VALUE"""),22.0)</f>
        <v>22</v>
      </c>
      <c r="N935" s="152" t="str">
        <f>IFERROR(__xludf.DUMMYFUNCTION("""COMPUTED_VALUE"""),"Model 3 LR AWD")</f>
        <v>Model 3 LR AWD</v>
      </c>
      <c r="O935" s="152" t="str">
        <f>IFERROR(__xludf.DUMMYFUNCTION("""COMPUTED_VALUE"""),"Pearl White Multi-Coat")</f>
        <v>Pearl White Multi-Coat</v>
      </c>
      <c r="P935" s="153" t="str">
        <f>IFERROR(__xludf.DUMMYFUNCTION("""COMPUTED_VALUE"""),"18 inch")</f>
        <v>18 inch</v>
      </c>
      <c r="Q935" s="152" t="str">
        <f>IFERROR(__xludf.DUMMYFUNCTION("""COMPUTED_VALUE"""),"All Black")</f>
        <v>All Black</v>
      </c>
      <c r="R935" s="149" t="str">
        <f>IFERROR(__xludf.DUMMYFUNCTION("""COMPUTED_VALUE"""),"Autopilot included")</f>
        <v>Autopilot included</v>
      </c>
      <c r="S935" s="149" t="str">
        <f>IFERROR(__xludf.DUMMYFUNCTION("""COMPUTED_VALUE"""),"Loan")</f>
        <v>Loan</v>
      </c>
      <c r="T935" s="145" t="str">
        <f>IFERROR(__xludf.DUMMYFUNCTION("""COMPUTED_VALUE"""),"Chevy Bolt")</f>
        <v>Chevy Bolt</v>
      </c>
      <c r="U935" s="145" t="str">
        <f>IFERROR(__xludf.DUMMYFUNCTION("""COMPUTED_VALUE"""),"Electric!")</f>
        <v>Electric!</v>
      </c>
      <c r="V935" s="145" t="str">
        <f>IFERROR(__xludf.DUMMYFUNCTION("""COMPUTED_VALUE"""),"Apple CarPlay / Android Auto / SiriusXM Radio")</f>
        <v>Apple CarPlay / Android Auto / SiriusXM Radio</v>
      </c>
      <c r="W935" s="145"/>
      <c r="X935" s="137" t="str">
        <f>IFERROR(__xludf.DUMMYFUNCTION("""COMPUTED_VALUE"""),"Very Good")</f>
        <v>Very Good</v>
      </c>
      <c r="Y935" s="138" t="str">
        <f>IFERROR(__xludf.DUMMYFUNCTION("""COMPUTED_VALUE"""),"Excellent")</f>
        <v>Excellent</v>
      </c>
      <c r="Z935" s="138" t="str">
        <f>IFERROR(__xludf.DUMMYFUNCTION("""COMPUTED_VALUE"""),"Very Good")</f>
        <v>Very Good</v>
      </c>
      <c r="AA935" s="138" t="str">
        <f>IFERROR(__xludf.DUMMYFUNCTION("""COMPUTED_VALUE"""),"Good")</f>
        <v>Good</v>
      </c>
      <c r="AB935" s="138" t="str">
        <f>IFERROR(__xludf.DUMMYFUNCTION("""COMPUTED_VALUE"""),"Very Good")</f>
        <v>Very Good</v>
      </c>
      <c r="AC935" s="139">
        <f>IFERROR(__xludf.DUMMYFUNCTION("""COMPUTED_VALUE"""),1.0)</f>
        <v>1</v>
      </c>
      <c r="AD935" s="139"/>
      <c r="AE935" s="139"/>
      <c r="AF935" s="140" t="str">
        <f>IFERROR(__xludf.DUMMYFUNCTION("""COMPUTED_VALUE"""),"No. I took delivery of the first car Tesla was able to deliver.")</f>
        <v>No. I took delivery of the first car Tesla was able to deliver.</v>
      </c>
      <c r="AG935" s="145"/>
      <c r="AH935" s="157">
        <f>IFERROR(__xludf.DUMMYFUNCTION("""COMPUTED_VALUE"""),44278.89457677083)</f>
        <v>44278.89458</v>
      </c>
      <c r="AI935" s="138"/>
      <c r="AJ935" s="138"/>
      <c r="AK935" s="138"/>
      <c r="AL935" s="142"/>
    </row>
    <row r="936" ht="20.25" customHeight="1">
      <c r="A936" s="155" t="str">
        <f>IFERROR(__xludf.DUMMYFUNCTION("""COMPUTED_VALUE"""),"oakenshield")</f>
        <v>oakenshield</v>
      </c>
      <c r="B936" s="149" t="str">
        <f>IFERROR(__xludf.DUMMYFUNCTION("""COMPUTED_VALUE"""),"Lynnwood")</f>
        <v>Lynnwood</v>
      </c>
      <c r="C936" s="149" t="str">
        <f>IFERROR(__xludf.DUMMYFUNCTION("""COMPUTED_VALUE"""),"WA")</f>
        <v>WA</v>
      </c>
      <c r="D936" s="149" t="str">
        <f>IFERROR(__xludf.DUMMYFUNCTION("""COMPUTED_VALUE"""),"USA")</f>
        <v>USA</v>
      </c>
      <c r="E936" s="156">
        <f>IFERROR(__xludf.DUMMYFUNCTION("""COMPUTED_VALUE"""),44256.0)</f>
        <v>44256</v>
      </c>
      <c r="F936" s="129">
        <f>IFERROR(__xludf.DUMMYFUNCTION("""COMPUTED_VALUE"""),44279.0)</f>
        <v>44279</v>
      </c>
      <c r="G936" s="154" t="str">
        <f>IFERROR(__xludf.DUMMYFUNCTION("""COMPUTED_VALUE"""),"Manage order page (normal text)")</f>
        <v>Manage order page (normal text)</v>
      </c>
      <c r="H936" s="131">
        <f>IFERROR(__xludf.DUMMYFUNCTION("""COMPUTED_VALUE"""),937880.0)</f>
        <v>937880</v>
      </c>
      <c r="I936" s="144"/>
      <c r="J936" s="129">
        <f>IFERROR(__xludf.DUMMYFUNCTION("""COMPUTED_VALUE"""),44282.0)</f>
        <v>44282</v>
      </c>
      <c r="K936" s="133">
        <f>IFERROR(__xludf.DUMMYFUNCTION("""COMPUTED_VALUE"""),23.0)</f>
        <v>23</v>
      </c>
      <c r="L936" s="133">
        <f>IFERROR(__xludf.DUMMYFUNCTION("""COMPUTED_VALUE"""),3.0)</f>
        <v>3</v>
      </c>
      <c r="M936" s="133">
        <f>IFERROR(__xludf.DUMMYFUNCTION("""COMPUTED_VALUE"""),26.0)</f>
        <v>26</v>
      </c>
      <c r="N936" s="152" t="str">
        <f>IFERROR(__xludf.DUMMYFUNCTION("""COMPUTED_VALUE"""),"Model 3 LR AWD")</f>
        <v>Model 3 LR AWD</v>
      </c>
      <c r="O936" s="152" t="str">
        <f>IFERROR(__xludf.DUMMYFUNCTION("""COMPUTED_VALUE"""),"Pearl White Multi-Coat")</f>
        <v>Pearl White Multi-Coat</v>
      </c>
      <c r="P936" s="153" t="str">
        <f>IFERROR(__xludf.DUMMYFUNCTION("""COMPUTED_VALUE"""),"18 inch")</f>
        <v>18 inch</v>
      </c>
      <c r="Q936" s="152" t="str">
        <f>IFERROR(__xludf.DUMMYFUNCTION("""COMPUTED_VALUE"""),"All Black")</f>
        <v>All Black</v>
      </c>
      <c r="R936" s="149" t="str">
        <f>IFERROR(__xludf.DUMMYFUNCTION("""COMPUTED_VALUE"""),"Full Self-Driving")</f>
        <v>Full Self-Driving</v>
      </c>
      <c r="S936" s="149" t="str">
        <f>IFERROR(__xludf.DUMMYFUNCTION("""COMPUTED_VALUE"""),"Loan")</f>
        <v>Loan</v>
      </c>
      <c r="T936" s="145" t="str">
        <f>IFERROR(__xludf.DUMMYFUNCTION("""COMPUTED_VALUE"""),"Nissan Leaf")</f>
        <v>Nissan Leaf</v>
      </c>
      <c r="U936" s="145" t="str">
        <f>IFERROR(__xludf.DUMMYFUNCTION("""COMPUTED_VALUE"""),"Electric!")</f>
        <v>Electric!</v>
      </c>
      <c r="V936" s="145" t="str">
        <f>IFERROR(__xludf.DUMMYFUNCTION("""COMPUTED_VALUE"""),"Blind spot indicators on side mirrors")</f>
        <v>Blind spot indicators on side mirrors</v>
      </c>
      <c r="W936" s="145"/>
      <c r="X936" s="137" t="str">
        <f>IFERROR(__xludf.DUMMYFUNCTION("""COMPUTED_VALUE"""),"Excellent")</f>
        <v>Excellent</v>
      </c>
      <c r="Y936" s="138" t="str">
        <f>IFERROR(__xludf.DUMMYFUNCTION("""COMPUTED_VALUE"""),"Excellent")</f>
        <v>Excellent</v>
      </c>
      <c r="Z936" s="138" t="str">
        <f>IFERROR(__xludf.DUMMYFUNCTION("""COMPUTED_VALUE"""),"Excellent")</f>
        <v>Excellent</v>
      </c>
      <c r="AA936" s="138" t="str">
        <f>IFERROR(__xludf.DUMMYFUNCTION("""COMPUTED_VALUE"""),"Good")</f>
        <v>Good</v>
      </c>
      <c r="AB936" s="138" t="str">
        <f>IFERROR(__xludf.DUMMYFUNCTION("""COMPUTED_VALUE"""),"Very Good")</f>
        <v>Very Good</v>
      </c>
      <c r="AC936" s="139"/>
      <c r="AD936" s="139"/>
      <c r="AE936" s="139"/>
      <c r="AF936" s="140" t="str">
        <f>IFERROR(__xludf.DUMMYFUNCTION("""COMPUTED_VALUE"""),"No. I took delivery of the first car Tesla was able to deliver.")</f>
        <v>No. I took delivery of the first car Tesla was able to deliver.</v>
      </c>
      <c r="AG936" s="145"/>
      <c r="AH936" s="157">
        <f>IFERROR(__xludf.DUMMYFUNCTION("""COMPUTED_VALUE"""),44284.606308333336)</f>
        <v>44284.60631</v>
      </c>
      <c r="AI936" s="138"/>
      <c r="AJ936" s="138"/>
      <c r="AK936" s="138"/>
      <c r="AL936" s="142"/>
    </row>
    <row r="937" ht="20.25" customHeight="1">
      <c r="A937" s="155" t="str">
        <f>IFERROR(__xludf.DUMMYFUNCTION("""COMPUTED_VALUE"""),"shaiyazv")</f>
        <v>shaiyazv</v>
      </c>
      <c r="B937" s="149" t="str">
        <f>IFERROR(__xludf.DUMMYFUNCTION("""COMPUTED_VALUE"""),"Collierville")</f>
        <v>Collierville</v>
      </c>
      <c r="C937" s="149" t="str">
        <f>IFERROR(__xludf.DUMMYFUNCTION("""COMPUTED_VALUE"""),"TN")</f>
        <v>TN</v>
      </c>
      <c r="D937" s="149" t="str">
        <f>IFERROR(__xludf.DUMMYFUNCTION("""COMPUTED_VALUE"""),"USA")</f>
        <v>USA</v>
      </c>
      <c r="E937" s="156">
        <f>IFERROR(__xludf.DUMMYFUNCTION("""COMPUTED_VALUE"""),44256.0)</f>
        <v>44256</v>
      </c>
      <c r="F937" s="129">
        <f>IFERROR(__xludf.DUMMYFUNCTION("""COMPUTED_VALUE"""),44266.0)</f>
        <v>44266</v>
      </c>
      <c r="G937" s="154" t="str">
        <f>IFERROR(__xludf.DUMMYFUNCTION("""COMPUTED_VALUE"""),"Email")</f>
        <v>Email</v>
      </c>
      <c r="H937" s="131">
        <f>IFERROR(__xludf.DUMMYFUNCTION("""COMPUTED_VALUE"""),901999.0)</f>
        <v>901999</v>
      </c>
      <c r="I937" s="144"/>
      <c r="J937" s="129">
        <f>IFERROR(__xludf.DUMMYFUNCTION("""COMPUTED_VALUE"""),44275.0)</f>
        <v>44275</v>
      </c>
      <c r="K937" s="133">
        <f>IFERROR(__xludf.DUMMYFUNCTION("""COMPUTED_VALUE"""),10.0)</f>
        <v>10</v>
      </c>
      <c r="L937" s="133">
        <f>IFERROR(__xludf.DUMMYFUNCTION("""COMPUTED_VALUE"""),9.0)</f>
        <v>9</v>
      </c>
      <c r="M937" s="133">
        <f>IFERROR(__xludf.DUMMYFUNCTION("""COMPUTED_VALUE"""),19.0)</f>
        <v>19</v>
      </c>
      <c r="N937" s="152" t="str">
        <f>IFERROR(__xludf.DUMMYFUNCTION("""COMPUTED_VALUE"""),"Model 3 LR AWD")</f>
        <v>Model 3 LR AWD</v>
      </c>
      <c r="O937" s="152" t="str">
        <f>IFERROR(__xludf.DUMMYFUNCTION("""COMPUTED_VALUE"""),"Pearl White Multi-Coat")</f>
        <v>Pearl White Multi-Coat</v>
      </c>
      <c r="P937" s="153" t="str">
        <f>IFERROR(__xludf.DUMMYFUNCTION("""COMPUTED_VALUE"""),"18 inch")</f>
        <v>18 inch</v>
      </c>
      <c r="Q937" s="152" t="str">
        <f>IFERROR(__xludf.DUMMYFUNCTION("""COMPUTED_VALUE"""),"All Black")</f>
        <v>All Black</v>
      </c>
      <c r="R937" s="149" t="str">
        <f>IFERROR(__xludf.DUMMYFUNCTION("""COMPUTED_VALUE"""),"Full Self-Driving")</f>
        <v>Full Self-Driving</v>
      </c>
      <c r="S937" s="149" t="str">
        <f>IFERROR(__xludf.DUMMYFUNCTION("""COMPUTED_VALUE"""),"Loan")</f>
        <v>Loan</v>
      </c>
      <c r="T937" s="145" t="str">
        <f>IFERROR(__xludf.DUMMYFUNCTION("""COMPUTED_VALUE"""),"Model 3 will be my first car!")</f>
        <v>Model 3 will be my first car!</v>
      </c>
      <c r="U937" s="145" t="str">
        <f>IFERROR(__xludf.DUMMYFUNCTION("""COMPUTED_VALUE"""),"Cool Technology")</f>
        <v>Cool Technology</v>
      </c>
      <c r="V937" s="145" t="str">
        <f>IFERROR(__xludf.DUMMYFUNCTION("""COMPUTED_VALUE"""),"360° Bird's eye view")</f>
        <v>360° Bird's eye view</v>
      </c>
      <c r="W937" s="145" t="str">
        <f>IFERROR(__xludf.DUMMYFUNCTION("""COMPUTED_VALUE"""),"be ready! youll love it")</f>
        <v>be ready! youll love it</v>
      </c>
      <c r="X937" s="137" t="str">
        <f>IFERROR(__xludf.DUMMYFUNCTION("""COMPUTED_VALUE"""),"Excellent")</f>
        <v>Excellent</v>
      </c>
      <c r="Y937" s="138" t="str">
        <f>IFERROR(__xludf.DUMMYFUNCTION("""COMPUTED_VALUE"""),"Very Good")</f>
        <v>Very Good</v>
      </c>
      <c r="Z937" s="138" t="str">
        <f>IFERROR(__xludf.DUMMYFUNCTION("""COMPUTED_VALUE"""),"Excellent")</f>
        <v>Excellent</v>
      </c>
      <c r="AA937" s="138" t="str">
        <f>IFERROR(__xludf.DUMMYFUNCTION("""COMPUTED_VALUE"""),"Fair")</f>
        <v>Fair</v>
      </c>
      <c r="AB937" s="138" t="str">
        <f>IFERROR(__xludf.DUMMYFUNCTION("""COMPUTED_VALUE"""),"Very Good")</f>
        <v>Very Good</v>
      </c>
      <c r="AC937" s="139"/>
      <c r="AD937" s="139"/>
      <c r="AE937" s="139"/>
      <c r="AF937" s="140" t="str">
        <f>IFERROR(__xludf.DUMMYFUNCTION("""COMPUTED_VALUE"""),"No. I took delivery of the first car Tesla was able to deliver.")</f>
        <v>No. I took delivery of the first car Tesla was able to deliver.</v>
      </c>
      <c r="AG937" s="145"/>
      <c r="AH937" s="157">
        <f>IFERROR(__xludf.DUMMYFUNCTION("""COMPUTED_VALUE"""),44278.854342384264)</f>
        <v>44278.85434</v>
      </c>
      <c r="AI937" s="138"/>
      <c r="AJ937" s="138"/>
      <c r="AK937" s="138"/>
      <c r="AL937" s="142"/>
    </row>
    <row r="938" ht="20.25" customHeight="1">
      <c r="A938" s="155" t="str">
        <f>IFERROR(__xludf.DUMMYFUNCTION("""COMPUTED_VALUE"""),"nolakpd504")</f>
        <v>nolakpd504</v>
      </c>
      <c r="B938" s="149" t="str">
        <f>IFERROR(__xludf.DUMMYFUNCTION("""COMPUTED_VALUE"""),"Thibodaux")</f>
        <v>Thibodaux</v>
      </c>
      <c r="C938" s="149" t="str">
        <f>IFERROR(__xludf.DUMMYFUNCTION("""COMPUTED_VALUE"""),"LA")</f>
        <v>LA</v>
      </c>
      <c r="D938" s="149" t="str">
        <f>IFERROR(__xludf.DUMMYFUNCTION("""COMPUTED_VALUE"""),"USA")</f>
        <v>USA</v>
      </c>
      <c r="E938" s="156">
        <f>IFERROR(__xludf.DUMMYFUNCTION("""COMPUTED_VALUE"""),44255.0)</f>
        <v>44255</v>
      </c>
      <c r="F938" s="129">
        <f>IFERROR(__xludf.DUMMYFUNCTION("""COMPUTED_VALUE"""),44271.0)</f>
        <v>44271</v>
      </c>
      <c r="G938" s="154" t="str">
        <f>IFERROR(__xludf.DUMMYFUNCTION("""COMPUTED_VALUE"""),"Manage order page (normal text)")</f>
        <v>Manage order page (normal text)</v>
      </c>
      <c r="H938" s="131">
        <f>IFERROR(__xludf.DUMMYFUNCTION("""COMPUTED_VALUE"""),926570.0)</f>
        <v>926570</v>
      </c>
      <c r="I938" s="144" t="str">
        <f>IFERROR(__xludf.DUMMYFUNCTION("""COMPUTED_VALUE"""),"03/21")</f>
        <v>03/21</v>
      </c>
      <c r="J938" s="129">
        <f>IFERROR(__xludf.DUMMYFUNCTION("""COMPUTED_VALUE"""),44283.0)</f>
        <v>44283</v>
      </c>
      <c r="K938" s="133">
        <f>IFERROR(__xludf.DUMMYFUNCTION("""COMPUTED_VALUE"""),16.0)</f>
        <v>16</v>
      </c>
      <c r="L938" s="133">
        <f>IFERROR(__xludf.DUMMYFUNCTION("""COMPUTED_VALUE"""),12.0)</f>
        <v>12</v>
      </c>
      <c r="M938" s="133">
        <f>IFERROR(__xludf.DUMMYFUNCTION("""COMPUTED_VALUE"""),28.0)</f>
        <v>28</v>
      </c>
      <c r="N938" s="152" t="str">
        <f>IFERROR(__xludf.DUMMYFUNCTION("""COMPUTED_VALUE"""),"Model 3 LR AWD")</f>
        <v>Model 3 LR AWD</v>
      </c>
      <c r="O938" s="152" t="str">
        <f>IFERROR(__xludf.DUMMYFUNCTION("""COMPUTED_VALUE"""),"Deep Blue Metallic")</f>
        <v>Deep Blue Metallic</v>
      </c>
      <c r="P938" s="153" t="str">
        <f>IFERROR(__xludf.DUMMYFUNCTION("""COMPUTED_VALUE"""),"19 inch")</f>
        <v>19 inch</v>
      </c>
      <c r="Q938" s="152" t="str">
        <f>IFERROR(__xludf.DUMMYFUNCTION("""COMPUTED_VALUE"""),"Black and White")</f>
        <v>Black and White</v>
      </c>
      <c r="R938" s="149" t="str">
        <f>IFERROR(__xludf.DUMMYFUNCTION("""COMPUTED_VALUE"""),"Autopilot included")</f>
        <v>Autopilot included</v>
      </c>
      <c r="S938" s="149" t="str">
        <f>IFERROR(__xludf.DUMMYFUNCTION("""COMPUTED_VALUE"""),"Loan")</f>
        <v>Loan</v>
      </c>
      <c r="T938" s="145" t="str">
        <f>IFERROR(__xludf.DUMMYFUNCTION("""COMPUTED_VALUE"""),"2011 Scion tC")</f>
        <v>2011 Scion tC</v>
      </c>
      <c r="U938" s="145" t="str">
        <f>IFERROR(__xludf.DUMMYFUNCTION("""COMPUTED_VALUE"""),"Electric!")</f>
        <v>Electric!</v>
      </c>
      <c r="V938" s="145" t="str">
        <f>IFERROR(__xludf.DUMMYFUNCTION("""COMPUTED_VALUE"""),"Ventilated seats")</f>
        <v>Ventilated seats</v>
      </c>
      <c r="W938" s="145"/>
      <c r="X938" s="137" t="str">
        <f>IFERROR(__xludf.DUMMYFUNCTION("""COMPUTED_VALUE"""),"Excellent")</f>
        <v>Excellent</v>
      </c>
      <c r="Y938" s="138" t="str">
        <f>IFERROR(__xludf.DUMMYFUNCTION("""COMPUTED_VALUE"""),"Excellent")</f>
        <v>Excellent</v>
      </c>
      <c r="Z938" s="138" t="str">
        <f>IFERROR(__xludf.DUMMYFUNCTION("""COMPUTED_VALUE"""),"Excellent")</f>
        <v>Excellent</v>
      </c>
      <c r="AA938" s="138" t="str">
        <f>IFERROR(__xludf.DUMMYFUNCTION("""COMPUTED_VALUE"""),"Poor")</f>
        <v>Poor</v>
      </c>
      <c r="AB938" s="138" t="str">
        <f>IFERROR(__xludf.DUMMYFUNCTION("""COMPUTED_VALUE"""),"Poor")</f>
        <v>Poor</v>
      </c>
      <c r="AC938" s="139"/>
      <c r="AD938" s="139"/>
      <c r="AE938" s="139"/>
      <c r="AF938" s="140" t="str">
        <f>IFERROR(__xludf.DUMMYFUNCTION("""COMPUTED_VALUE"""),"No. I took delivery of the first car Tesla was able to deliver.")</f>
        <v>No. I took delivery of the first car Tesla was able to deliver.</v>
      </c>
      <c r="AG938" s="145"/>
      <c r="AH938" s="157">
        <f>IFERROR(__xludf.DUMMYFUNCTION("""COMPUTED_VALUE"""),44283.843240601855)</f>
        <v>44283.84324</v>
      </c>
      <c r="AI938" s="138"/>
      <c r="AJ938" s="138"/>
      <c r="AK938" s="138"/>
      <c r="AL938" s="142"/>
    </row>
    <row r="939" ht="20.25" customHeight="1">
      <c r="A939" s="155" t="str">
        <f>IFERROR(__xludf.DUMMYFUNCTION("""COMPUTED_VALUE"""),"Grr187")</f>
        <v>Grr187</v>
      </c>
      <c r="B939" s="149" t="str">
        <f>IFERROR(__xludf.DUMMYFUNCTION("""COMPUTED_VALUE"""),"Raleigh")</f>
        <v>Raleigh</v>
      </c>
      <c r="C939" s="149" t="str">
        <f>IFERROR(__xludf.DUMMYFUNCTION("""COMPUTED_VALUE"""),"NC")</f>
        <v>NC</v>
      </c>
      <c r="D939" s="149" t="str">
        <f>IFERROR(__xludf.DUMMYFUNCTION("""COMPUTED_VALUE"""),"USA")</f>
        <v>USA</v>
      </c>
      <c r="E939" s="156">
        <f>IFERROR(__xludf.DUMMYFUNCTION("""COMPUTED_VALUE"""),44254.0)</f>
        <v>44254</v>
      </c>
      <c r="F939" s="129">
        <f>IFERROR(__xludf.DUMMYFUNCTION("""COMPUTED_VALUE"""),44268.0)</f>
        <v>44268</v>
      </c>
      <c r="G939" s="154" t="str">
        <f>IFERROR(__xludf.DUMMYFUNCTION("""COMPUTED_VALUE"""),"Manage order page (normal text)")</f>
        <v>Manage order page (normal text)</v>
      </c>
      <c r="H939" s="131">
        <f>IFERROR(__xludf.DUMMYFUNCTION("""COMPUTED_VALUE"""),924855.0)</f>
        <v>924855</v>
      </c>
      <c r="I939" s="144"/>
      <c r="J939" s="129">
        <f>IFERROR(__xludf.DUMMYFUNCTION("""COMPUTED_VALUE"""),44283.0)</f>
        <v>44283</v>
      </c>
      <c r="K939" s="133">
        <f>IFERROR(__xludf.DUMMYFUNCTION("""COMPUTED_VALUE"""),14.0)</f>
        <v>14</v>
      </c>
      <c r="L939" s="133">
        <f>IFERROR(__xludf.DUMMYFUNCTION("""COMPUTED_VALUE"""),15.0)</f>
        <v>15</v>
      </c>
      <c r="M939" s="133">
        <f>IFERROR(__xludf.DUMMYFUNCTION("""COMPUTED_VALUE"""),29.0)</f>
        <v>29</v>
      </c>
      <c r="N939" s="152" t="str">
        <f>IFERROR(__xludf.DUMMYFUNCTION("""COMPUTED_VALUE"""),"Model 3 LR AWD")</f>
        <v>Model 3 LR AWD</v>
      </c>
      <c r="O939" s="152" t="str">
        <f>IFERROR(__xludf.DUMMYFUNCTION("""COMPUTED_VALUE"""),"Midnight Silver Metallic")</f>
        <v>Midnight Silver Metallic</v>
      </c>
      <c r="P939" s="153" t="str">
        <f>IFERROR(__xludf.DUMMYFUNCTION("""COMPUTED_VALUE"""),"18 inch")</f>
        <v>18 inch</v>
      </c>
      <c r="Q939" s="152" t="str">
        <f>IFERROR(__xludf.DUMMYFUNCTION("""COMPUTED_VALUE"""),"Black and White")</f>
        <v>Black and White</v>
      </c>
      <c r="R939" s="149" t="str">
        <f>IFERROR(__xludf.DUMMYFUNCTION("""COMPUTED_VALUE"""),"Autopilot included")</f>
        <v>Autopilot included</v>
      </c>
      <c r="S939" s="149" t="str">
        <f>IFERROR(__xludf.DUMMYFUNCTION("""COMPUTED_VALUE"""),"Loan")</f>
        <v>Loan</v>
      </c>
      <c r="T939" s="145" t="str">
        <f>IFERROR(__xludf.DUMMYFUNCTION("""COMPUTED_VALUE"""),"Honda Civic")</f>
        <v>Honda Civic</v>
      </c>
      <c r="U939" s="145" t="str">
        <f>IFERROR(__xludf.DUMMYFUNCTION("""COMPUTED_VALUE"""),"Electric!")</f>
        <v>Electric!</v>
      </c>
      <c r="V939" s="145" t="str">
        <f>IFERROR(__xludf.DUMMYFUNCTION("""COMPUTED_VALUE"""),"Head-up display")</f>
        <v>Head-up display</v>
      </c>
      <c r="W939" s="145"/>
      <c r="X939" s="137" t="str">
        <f>IFERROR(__xludf.DUMMYFUNCTION("""COMPUTED_VALUE"""),"Good")</f>
        <v>Good</v>
      </c>
      <c r="Y939" s="138" t="str">
        <f>IFERROR(__xludf.DUMMYFUNCTION("""COMPUTED_VALUE"""),"Good")</f>
        <v>Good</v>
      </c>
      <c r="Z939" s="138" t="str">
        <f>IFERROR(__xludf.DUMMYFUNCTION("""COMPUTED_VALUE"""),"Very Good")</f>
        <v>Very Good</v>
      </c>
      <c r="AA939" s="138" t="str">
        <f>IFERROR(__xludf.DUMMYFUNCTION("""COMPUTED_VALUE"""),"Poor")</f>
        <v>Poor</v>
      </c>
      <c r="AB939" s="138" t="str">
        <f>IFERROR(__xludf.DUMMYFUNCTION("""COMPUTED_VALUE"""),"Fair")</f>
        <v>Fair</v>
      </c>
      <c r="AC939" s="139">
        <f>IFERROR(__xludf.DUMMYFUNCTION("""COMPUTED_VALUE"""),1.0)</f>
        <v>1</v>
      </c>
      <c r="AD939" s="139">
        <f>IFERROR(__xludf.DUMMYFUNCTION("""COMPUTED_VALUE"""),1.0)</f>
        <v>1</v>
      </c>
      <c r="AE939" s="139"/>
      <c r="AF939" s="140" t="str">
        <f>IFERROR(__xludf.DUMMYFUNCTION("""COMPUTED_VALUE"""),"No. I took delivery of the first car Tesla was able to deliver.")</f>
        <v>No. I took delivery of the first car Tesla was able to deliver.</v>
      </c>
      <c r="AG939" s="145"/>
      <c r="AH939" s="157">
        <f>IFERROR(__xludf.DUMMYFUNCTION("""COMPUTED_VALUE"""),44283.65668628472)</f>
        <v>44283.65669</v>
      </c>
      <c r="AI939" s="138"/>
      <c r="AJ939" s="138"/>
      <c r="AK939" s="138"/>
      <c r="AL939" s="142"/>
    </row>
    <row r="940" ht="20.25" customHeight="1">
      <c r="A940" s="155" t="str">
        <f>IFERROR(__xludf.DUMMYFUNCTION("""COMPUTED_VALUE"""),"Grob103")</f>
        <v>Grob103</v>
      </c>
      <c r="B940" s="149" t="str">
        <f>IFERROR(__xludf.DUMMYFUNCTION("""COMPUTED_VALUE"""),"San Francisco")</f>
        <v>San Francisco</v>
      </c>
      <c r="C940" s="149" t="str">
        <f>IFERROR(__xludf.DUMMYFUNCTION("""COMPUTED_VALUE"""),"CA")</f>
        <v>CA</v>
      </c>
      <c r="D940" s="149" t="str">
        <f>IFERROR(__xludf.DUMMYFUNCTION("""COMPUTED_VALUE"""),"USA")</f>
        <v>USA</v>
      </c>
      <c r="E940" s="156">
        <f>IFERROR(__xludf.DUMMYFUNCTION("""COMPUTED_VALUE"""),44253.0)</f>
        <v>44253</v>
      </c>
      <c r="F940" s="129">
        <f>IFERROR(__xludf.DUMMYFUNCTION("""COMPUTED_VALUE"""),44274.0)</f>
        <v>44274</v>
      </c>
      <c r="G940" s="154" t="str">
        <f>IFERROR(__xludf.DUMMYFUNCTION("""COMPUTED_VALUE"""),"Manage order page (normal text)")</f>
        <v>Manage order page (normal text)</v>
      </c>
      <c r="H940" s="131">
        <f>IFERROR(__xludf.DUMMYFUNCTION("""COMPUTED_VALUE"""),929655.0)</f>
        <v>929655</v>
      </c>
      <c r="I940" s="144" t="str">
        <f>IFERROR(__xludf.DUMMYFUNCTION("""COMPUTED_VALUE"""),"03/21")</f>
        <v>03/21</v>
      </c>
      <c r="J940" s="129">
        <f>IFERROR(__xludf.DUMMYFUNCTION("""COMPUTED_VALUE"""),44277.0)</f>
        <v>44277</v>
      </c>
      <c r="K940" s="133">
        <f>IFERROR(__xludf.DUMMYFUNCTION("""COMPUTED_VALUE"""),21.0)</f>
        <v>21</v>
      </c>
      <c r="L940" s="133">
        <f>IFERROR(__xludf.DUMMYFUNCTION("""COMPUTED_VALUE"""),3.0)</f>
        <v>3</v>
      </c>
      <c r="M940" s="133">
        <f>IFERROR(__xludf.DUMMYFUNCTION("""COMPUTED_VALUE"""),24.0)</f>
        <v>24</v>
      </c>
      <c r="N940" s="152" t="str">
        <f>IFERROR(__xludf.DUMMYFUNCTION("""COMPUTED_VALUE"""),"Model 3 SR+")</f>
        <v>Model 3 SR+</v>
      </c>
      <c r="O940" s="152" t="str">
        <f>IFERROR(__xludf.DUMMYFUNCTION("""COMPUTED_VALUE"""),"Pearl White Multi-Coat")</f>
        <v>Pearl White Multi-Coat</v>
      </c>
      <c r="P940" s="153" t="str">
        <f>IFERROR(__xludf.DUMMYFUNCTION("""COMPUTED_VALUE"""),"18 inch")</f>
        <v>18 inch</v>
      </c>
      <c r="Q940" s="152" t="str">
        <f>IFERROR(__xludf.DUMMYFUNCTION("""COMPUTED_VALUE"""),"All Black")</f>
        <v>All Black</v>
      </c>
      <c r="R940" s="149" t="str">
        <f>IFERROR(__xludf.DUMMYFUNCTION("""COMPUTED_VALUE"""),"Autopilot included")</f>
        <v>Autopilot included</v>
      </c>
      <c r="S940" s="149" t="str">
        <f>IFERROR(__xludf.DUMMYFUNCTION("""COMPUTED_VALUE"""),"Lease")</f>
        <v>Lease</v>
      </c>
      <c r="T940" s="145" t="str">
        <f>IFERROR(__xludf.DUMMYFUNCTION("""COMPUTED_VALUE"""),"Nissan Leaf")</f>
        <v>Nissan Leaf</v>
      </c>
      <c r="U940" s="145" t="str">
        <f>IFERROR(__xludf.DUMMYFUNCTION("""COMPUTED_VALUE"""),"Autopilot")</f>
        <v>Autopilot</v>
      </c>
      <c r="V940" s="145" t="str">
        <f>IFERROR(__xludf.DUMMYFUNCTION("""COMPUTED_VALUE"""),"360° Bird's eye view")</f>
        <v>360° Bird's eye view</v>
      </c>
      <c r="W940" s="145" t="str">
        <f>IFERROR(__xludf.DUMMYFUNCTION("""COMPUTED_VALUE"""),"Make sure your Premium Connectivity trial is working. Mine wasn't. My SA got it fixed remotely.")</f>
        <v>Make sure your Premium Connectivity trial is working. Mine wasn't. My SA got it fixed remotely.</v>
      </c>
      <c r="X940" s="137" t="str">
        <f>IFERROR(__xludf.DUMMYFUNCTION("""COMPUTED_VALUE"""),"Very Good")</f>
        <v>Very Good</v>
      </c>
      <c r="Y940" s="138" t="str">
        <f>IFERROR(__xludf.DUMMYFUNCTION("""COMPUTED_VALUE"""),"Excellent")</f>
        <v>Excellent</v>
      </c>
      <c r="Z940" s="138" t="str">
        <f>IFERROR(__xludf.DUMMYFUNCTION("""COMPUTED_VALUE"""),"Excellent")</f>
        <v>Excellent</v>
      </c>
      <c r="AA940" s="138" t="str">
        <f>IFERROR(__xludf.DUMMYFUNCTION("""COMPUTED_VALUE"""),"Excellent")</f>
        <v>Excellent</v>
      </c>
      <c r="AB940" s="138" t="str">
        <f>IFERROR(__xludf.DUMMYFUNCTION("""COMPUTED_VALUE"""),"Excellent")</f>
        <v>Excellent</v>
      </c>
      <c r="AC940" s="139">
        <f>IFERROR(__xludf.DUMMYFUNCTION("""COMPUTED_VALUE"""),2.0)</f>
        <v>2</v>
      </c>
      <c r="AD940" s="139">
        <f>IFERROR(__xludf.DUMMYFUNCTION("""COMPUTED_VALUE"""),1.0)</f>
        <v>1</v>
      </c>
      <c r="AE940" s="139">
        <f>IFERROR(__xludf.DUMMYFUNCTION("""COMPUTED_VALUE"""),0.0)</f>
        <v>0</v>
      </c>
      <c r="AF940" s="140" t="str">
        <f>IFERROR(__xludf.DUMMYFUNCTION("""COMPUTED_VALUE"""),"No. I took delivery of the first car Tesla was able to deliver.")</f>
        <v>No. I took delivery of the first car Tesla was able to deliver.</v>
      </c>
      <c r="AG940" s="145" t="str">
        <f>IFERROR(__xludf.DUMMYFUNCTION("""COMPUTED_VALUE"""),"Very happy. Only two small alignment issues with left tail light and right rear door handle. Service is scheduled.")</f>
        <v>Very happy. Only two small alignment issues with left tail light and right rear door handle. Service is scheduled.</v>
      </c>
      <c r="AH940" s="157">
        <f>IFERROR(__xludf.DUMMYFUNCTION("""COMPUTED_VALUE"""),44281.33925953703)</f>
        <v>44281.33926</v>
      </c>
      <c r="AI940" s="138"/>
      <c r="AJ940" s="138"/>
      <c r="AK940" s="138"/>
      <c r="AL940" s="142"/>
    </row>
    <row r="941" ht="20.25" customHeight="1">
      <c r="A941" s="155" t="str">
        <f>IFERROR(__xludf.DUMMYFUNCTION("""COMPUTED_VALUE"""),"fostertheteammates")</f>
        <v>fostertheteammates</v>
      </c>
      <c r="B941" s="149" t="str">
        <f>IFERROR(__xludf.DUMMYFUNCTION("""COMPUTED_VALUE"""),"Bloomington")</f>
        <v>Bloomington</v>
      </c>
      <c r="C941" s="149" t="str">
        <f>IFERROR(__xludf.DUMMYFUNCTION("""COMPUTED_VALUE"""),"IL")</f>
        <v>IL</v>
      </c>
      <c r="D941" s="149" t="str">
        <f>IFERROR(__xludf.DUMMYFUNCTION("""COMPUTED_VALUE"""),"USA")</f>
        <v>USA</v>
      </c>
      <c r="E941" s="156">
        <f>IFERROR(__xludf.DUMMYFUNCTION("""COMPUTED_VALUE"""),44252.0)</f>
        <v>44252</v>
      </c>
      <c r="F941" s="129">
        <f>IFERROR(__xludf.DUMMYFUNCTION("""COMPUTED_VALUE"""),44267.0)</f>
        <v>44267</v>
      </c>
      <c r="G941" s="154" t="str">
        <f>IFERROR(__xludf.DUMMYFUNCTION("""COMPUTED_VALUE"""),"Manage order page (normal text)")</f>
        <v>Manage order page (normal text)</v>
      </c>
      <c r="H941" s="131">
        <f>IFERROR(__xludf.DUMMYFUNCTION("""COMPUTED_VALUE"""),924440.0)</f>
        <v>924440</v>
      </c>
      <c r="I941" s="144"/>
      <c r="J941" s="129">
        <f>IFERROR(__xludf.DUMMYFUNCTION("""COMPUTED_VALUE"""),44278.0)</f>
        <v>44278</v>
      </c>
      <c r="K941" s="133">
        <f>IFERROR(__xludf.DUMMYFUNCTION("""COMPUTED_VALUE"""),15.0)</f>
        <v>15</v>
      </c>
      <c r="L941" s="133">
        <f>IFERROR(__xludf.DUMMYFUNCTION("""COMPUTED_VALUE"""),11.0)</f>
        <v>11</v>
      </c>
      <c r="M941" s="133">
        <f>IFERROR(__xludf.DUMMYFUNCTION("""COMPUTED_VALUE"""),26.0)</f>
        <v>26</v>
      </c>
      <c r="N941" s="152" t="str">
        <f>IFERROR(__xludf.DUMMYFUNCTION("""COMPUTED_VALUE"""),"Model 3 LR AWD")</f>
        <v>Model 3 LR AWD</v>
      </c>
      <c r="O941" s="152" t="str">
        <f>IFERROR(__xludf.DUMMYFUNCTION("""COMPUTED_VALUE"""),"Midnight Silver Metallic")</f>
        <v>Midnight Silver Metallic</v>
      </c>
      <c r="P941" s="153" t="str">
        <f>IFERROR(__xludf.DUMMYFUNCTION("""COMPUTED_VALUE"""),"18 inch")</f>
        <v>18 inch</v>
      </c>
      <c r="Q941" s="152" t="str">
        <f>IFERROR(__xludf.DUMMYFUNCTION("""COMPUTED_VALUE"""),"All Black")</f>
        <v>All Black</v>
      </c>
      <c r="R941" s="149" t="str">
        <f>IFERROR(__xludf.DUMMYFUNCTION("""COMPUTED_VALUE"""),"Full Self-Driving")</f>
        <v>Full Self-Driving</v>
      </c>
      <c r="S941" s="149" t="str">
        <f>IFERROR(__xludf.DUMMYFUNCTION("""COMPUTED_VALUE"""),"Lease")</f>
        <v>Lease</v>
      </c>
      <c r="T941" s="145" t="str">
        <f>IFERROR(__xludf.DUMMYFUNCTION("""COMPUTED_VALUE"""),"Honda Civic")</f>
        <v>Honda Civic</v>
      </c>
      <c r="U941" s="145" t="str">
        <f>IFERROR(__xludf.DUMMYFUNCTION("""COMPUTED_VALUE"""),"Electric!")</f>
        <v>Electric!</v>
      </c>
      <c r="V941" s="145" t="str">
        <f>IFERROR(__xludf.DUMMYFUNCTION("""COMPUTED_VALUE"""),"Apple CarPlay / Android Auto / SiriusXM Radio")</f>
        <v>Apple CarPlay / Android Auto / SiriusXM Radio</v>
      </c>
      <c r="W941" s="145"/>
      <c r="X941" s="137" t="str">
        <f>IFERROR(__xludf.DUMMYFUNCTION("""COMPUTED_VALUE"""),"Very Good")</f>
        <v>Very Good</v>
      </c>
      <c r="Y941" s="138" t="str">
        <f>IFERROR(__xludf.DUMMYFUNCTION("""COMPUTED_VALUE"""),"Excellent")</f>
        <v>Excellent</v>
      </c>
      <c r="Z941" s="138" t="str">
        <f>IFERROR(__xludf.DUMMYFUNCTION("""COMPUTED_VALUE"""),"Excellent")</f>
        <v>Excellent</v>
      </c>
      <c r="AA941" s="138" t="str">
        <f>IFERROR(__xludf.DUMMYFUNCTION("""COMPUTED_VALUE"""),"Poor")</f>
        <v>Poor</v>
      </c>
      <c r="AB941" s="138" t="str">
        <f>IFERROR(__xludf.DUMMYFUNCTION("""COMPUTED_VALUE"""),"Excellent")</f>
        <v>Excellent</v>
      </c>
      <c r="AC941" s="139">
        <f>IFERROR(__xludf.DUMMYFUNCTION("""COMPUTED_VALUE"""),1.0)</f>
        <v>1</v>
      </c>
      <c r="AD941" s="139">
        <f>IFERROR(__xludf.DUMMYFUNCTION("""COMPUTED_VALUE"""),0.0)</f>
        <v>0</v>
      </c>
      <c r="AE941" s="139">
        <f>IFERROR(__xludf.DUMMYFUNCTION("""COMPUTED_VALUE"""),0.0)</f>
        <v>0</v>
      </c>
      <c r="AF941" s="140" t="str">
        <f>IFERROR(__xludf.DUMMYFUNCTION("""COMPUTED_VALUE"""),"No. I took delivery of the first car Tesla was able to deliver.")</f>
        <v>No. I took delivery of the first car Tesla was able to deliver.</v>
      </c>
      <c r="AG941" s="145" t="str">
        <f>IFERROR(__xludf.DUMMYFUNCTION("""COMPUTED_VALUE"""),"car arrived 6 days early!")</f>
        <v>car arrived 6 days early!</v>
      </c>
      <c r="AH941" s="157">
        <f>IFERROR(__xludf.DUMMYFUNCTION("""COMPUTED_VALUE"""),44278.74524880787)</f>
        <v>44278.74525</v>
      </c>
      <c r="AI941" s="138"/>
      <c r="AJ941" s="138"/>
      <c r="AK941" s="138"/>
      <c r="AL941" s="142"/>
    </row>
    <row r="942" ht="20.25" customHeight="1">
      <c r="A942" s="155" t="str">
        <f>IFERROR(__xludf.DUMMYFUNCTION("""COMPUTED_VALUE"""),"JPJLV")</f>
        <v>JPJLV</v>
      </c>
      <c r="B942" s="149" t="str">
        <f>IFERROR(__xludf.DUMMYFUNCTION("""COMPUTED_VALUE"""),"Las Vegas")</f>
        <v>Las Vegas</v>
      </c>
      <c r="C942" s="149" t="str">
        <f>IFERROR(__xludf.DUMMYFUNCTION("""COMPUTED_VALUE"""),"NV")</f>
        <v>NV</v>
      </c>
      <c r="D942" s="149" t="str">
        <f>IFERROR(__xludf.DUMMYFUNCTION("""COMPUTED_VALUE"""),"USA")</f>
        <v>USA</v>
      </c>
      <c r="E942" s="156">
        <f>IFERROR(__xludf.DUMMYFUNCTION("""COMPUTED_VALUE"""),44251.0)</f>
        <v>44251</v>
      </c>
      <c r="F942" s="129">
        <f>IFERROR(__xludf.DUMMYFUNCTION("""COMPUTED_VALUE"""),44266.0)</f>
        <v>44266</v>
      </c>
      <c r="G942" s="154" t="str">
        <f>IFERROR(__xludf.DUMMYFUNCTION("""COMPUTED_VALUE"""),"Email")</f>
        <v>Email</v>
      </c>
      <c r="H942" s="131">
        <f>IFERROR(__xludf.DUMMYFUNCTION("""COMPUTED_VALUE"""),923555.0)</f>
        <v>923555</v>
      </c>
      <c r="I942" s="144" t="str">
        <f>IFERROR(__xludf.DUMMYFUNCTION("""COMPUTED_VALUE"""),"03/21")</f>
        <v>03/21</v>
      </c>
      <c r="J942" s="129">
        <f>IFERROR(__xludf.DUMMYFUNCTION("""COMPUTED_VALUE"""),44268.0)</f>
        <v>44268</v>
      </c>
      <c r="K942" s="133">
        <f>IFERROR(__xludf.DUMMYFUNCTION("""COMPUTED_VALUE"""),15.0)</f>
        <v>15</v>
      </c>
      <c r="L942" s="133">
        <f>IFERROR(__xludf.DUMMYFUNCTION("""COMPUTED_VALUE"""),2.0)</f>
        <v>2</v>
      </c>
      <c r="M942" s="133">
        <f>IFERROR(__xludf.DUMMYFUNCTION("""COMPUTED_VALUE"""),17.0)</f>
        <v>17</v>
      </c>
      <c r="N942" s="152" t="str">
        <f>IFERROR(__xludf.DUMMYFUNCTION("""COMPUTED_VALUE"""),"Model 3 SR+")</f>
        <v>Model 3 SR+</v>
      </c>
      <c r="O942" s="152" t="str">
        <f>IFERROR(__xludf.DUMMYFUNCTION("""COMPUTED_VALUE"""),"Deep Blue Metallic")</f>
        <v>Deep Blue Metallic</v>
      </c>
      <c r="P942" s="153" t="str">
        <f>IFERROR(__xludf.DUMMYFUNCTION("""COMPUTED_VALUE"""),"18 inch")</f>
        <v>18 inch</v>
      </c>
      <c r="Q942" s="152" t="str">
        <f>IFERROR(__xludf.DUMMYFUNCTION("""COMPUTED_VALUE"""),"All Black")</f>
        <v>All Black</v>
      </c>
      <c r="R942" s="149" t="str">
        <f>IFERROR(__xludf.DUMMYFUNCTION("""COMPUTED_VALUE"""),"Autopilot included")</f>
        <v>Autopilot included</v>
      </c>
      <c r="S942" s="149"/>
      <c r="T942" s="145" t="str">
        <f>IFERROR(__xludf.DUMMYFUNCTION("""COMPUTED_VALUE"""),"Jeep Wrangler")</f>
        <v>Jeep Wrangler</v>
      </c>
      <c r="U942" s="145" t="str">
        <f>IFERROR(__xludf.DUMMYFUNCTION("""COMPUTED_VALUE"""),"Tesla brand image")</f>
        <v>Tesla brand image</v>
      </c>
      <c r="V942" s="145" t="str">
        <f>IFERROR(__xludf.DUMMYFUNCTION("""COMPUTED_VALUE"""),"Blind spot indicators on side mirrors")</f>
        <v>Blind spot indicators on side mirrors</v>
      </c>
      <c r="W942" s="145" t="str">
        <f>IFERROR(__xludf.DUMMYFUNCTION("""COMPUTED_VALUE"""),"Be patient, use the time waiting to install home charger.")</f>
        <v>Be patient, use the time waiting to install home charger.</v>
      </c>
      <c r="X942" s="137" t="str">
        <f>IFERROR(__xludf.DUMMYFUNCTION("""COMPUTED_VALUE"""),"Excellent")</f>
        <v>Excellent</v>
      </c>
      <c r="Y942" s="138" t="str">
        <f>IFERROR(__xludf.DUMMYFUNCTION("""COMPUTED_VALUE"""),"Excellent")</f>
        <v>Excellent</v>
      </c>
      <c r="Z942" s="138" t="str">
        <f>IFERROR(__xludf.DUMMYFUNCTION("""COMPUTED_VALUE"""),"Excellent")</f>
        <v>Excellent</v>
      </c>
      <c r="AA942" s="138" t="str">
        <f>IFERROR(__xludf.DUMMYFUNCTION("""COMPUTED_VALUE"""),"Excellent")</f>
        <v>Excellent</v>
      </c>
      <c r="AB942" s="138" t="str">
        <f>IFERROR(__xludf.DUMMYFUNCTION("""COMPUTED_VALUE"""),"Excellent")</f>
        <v>Excellent</v>
      </c>
      <c r="AC942" s="139">
        <f>IFERROR(__xludf.DUMMYFUNCTION("""COMPUTED_VALUE"""),0.0)</f>
        <v>0</v>
      </c>
      <c r="AD942" s="139">
        <f>IFERROR(__xludf.DUMMYFUNCTION("""COMPUTED_VALUE"""),0.0)</f>
        <v>0</v>
      </c>
      <c r="AE942" s="139"/>
      <c r="AF942" s="140" t="str">
        <f>IFERROR(__xludf.DUMMYFUNCTION("""COMPUTED_VALUE"""),"No. I took delivery of the first car Tesla was able to deliver.")</f>
        <v>No. I took delivery of the first car Tesla was able to deliver.</v>
      </c>
      <c r="AG942" s="145" t="str">
        <f>IFERROR(__xludf.DUMMYFUNCTION("""COMPUTED_VALUE"""),"I couldn't be happier with my vehicle, no issues, no quality control issues and direct delivery was amazing!")</f>
        <v>I couldn't be happier with my vehicle, no issues, no quality control issues and direct delivery was amazing!</v>
      </c>
      <c r="AH942" s="157">
        <f>IFERROR(__xludf.DUMMYFUNCTION("""COMPUTED_VALUE"""),44269.8687052662)</f>
        <v>44269.86871</v>
      </c>
      <c r="AI942" s="138"/>
      <c r="AJ942" s="138"/>
      <c r="AK942" s="138"/>
      <c r="AL942" s="142"/>
    </row>
    <row r="943" ht="20.25" customHeight="1">
      <c r="A943" s="155" t="str">
        <f>IFERROR(__xludf.DUMMYFUNCTION("""COMPUTED_VALUE"""),"milan")</f>
        <v>milan</v>
      </c>
      <c r="B943" s="149" t="str">
        <f>IFERROR(__xludf.DUMMYFUNCTION("""COMPUTED_VALUE"""),"Southold NY")</f>
        <v>Southold NY</v>
      </c>
      <c r="C943" s="149" t="str">
        <f>IFERROR(__xludf.DUMMYFUNCTION("""COMPUTED_VALUE"""),"NY")</f>
        <v>NY</v>
      </c>
      <c r="D943" s="149" t="str">
        <f>IFERROR(__xludf.DUMMYFUNCTION("""COMPUTED_VALUE"""),"USA")</f>
        <v>USA</v>
      </c>
      <c r="E943" s="156">
        <f>IFERROR(__xludf.DUMMYFUNCTION("""COMPUTED_VALUE"""),44251.0)</f>
        <v>44251</v>
      </c>
      <c r="F943" s="129">
        <f>IFERROR(__xludf.DUMMYFUNCTION("""COMPUTED_VALUE"""),44268.0)</f>
        <v>44268</v>
      </c>
      <c r="G943" s="154" t="str">
        <f>IFERROR(__xludf.DUMMYFUNCTION("""COMPUTED_VALUE"""),"Phone call")</f>
        <v>Phone call</v>
      </c>
      <c r="H943" s="131"/>
      <c r="I943" s="144"/>
      <c r="J943" s="129">
        <f>IFERROR(__xludf.DUMMYFUNCTION("""COMPUTED_VALUE"""),44283.0)</f>
        <v>44283</v>
      </c>
      <c r="K943" s="133">
        <f>IFERROR(__xludf.DUMMYFUNCTION("""COMPUTED_VALUE"""),17.0)</f>
        <v>17</v>
      </c>
      <c r="L943" s="133">
        <f>IFERROR(__xludf.DUMMYFUNCTION("""COMPUTED_VALUE"""),15.0)</f>
        <v>15</v>
      </c>
      <c r="M943" s="133">
        <f>IFERROR(__xludf.DUMMYFUNCTION("""COMPUTED_VALUE"""),32.0)</f>
        <v>32</v>
      </c>
      <c r="N943" s="152" t="str">
        <f>IFERROR(__xludf.DUMMYFUNCTION("""COMPUTED_VALUE"""),"Model 3 LR AWD")</f>
        <v>Model 3 LR AWD</v>
      </c>
      <c r="O943" s="152" t="str">
        <f>IFERROR(__xludf.DUMMYFUNCTION("""COMPUTED_VALUE"""),"Pearl White Multi-Coat")</f>
        <v>Pearl White Multi-Coat</v>
      </c>
      <c r="P943" s="153"/>
      <c r="Q943" s="152" t="str">
        <f>IFERROR(__xludf.DUMMYFUNCTION("""COMPUTED_VALUE"""),"Black and White")</f>
        <v>Black and White</v>
      </c>
      <c r="R943" s="149" t="str">
        <f>IFERROR(__xludf.DUMMYFUNCTION("""COMPUTED_VALUE"""),"Autopilot included")</f>
        <v>Autopilot included</v>
      </c>
      <c r="S943" s="149" t="str">
        <f>IFERROR(__xludf.DUMMYFUNCTION("""COMPUTED_VALUE"""),"Loan")</f>
        <v>Loan</v>
      </c>
      <c r="T943" s="145" t="str">
        <f>IFERROR(__xludf.DUMMYFUNCTION("""COMPUTED_VALUE"""),"Jeep Gladiator which I'm also keeping and LOVE")</f>
        <v>Jeep Gladiator which I'm also keeping and LOVE</v>
      </c>
      <c r="U943" s="145" t="str">
        <f>IFERROR(__xludf.DUMMYFUNCTION("""COMPUTED_VALUE"""),"Autopilot")</f>
        <v>Autopilot</v>
      </c>
      <c r="V943" s="145"/>
      <c r="W943" s="145" t="str">
        <f>IFERROR(__xludf.DUMMYFUNCTION("""COMPUTED_VALUE"""),"the charger costs more than $3000 to install/ purchase")</f>
        <v>the charger costs more than $3000 to install/ purchase</v>
      </c>
      <c r="X943" s="137"/>
      <c r="Y943" s="138"/>
      <c r="Z943" s="138"/>
      <c r="AA943" s="138"/>
      <c r="AB943" s="138"/>
      <c r="AC943" s="139"/>
      <c r="AD943" s="139"/>
      <c r="AE943" s="139"/>
      <c r="AF943" s="140" t="str">
        <f>IFERROR(__xludf.DUMMYFUNCTION("""COMPUTED_VALUE"""),"No. I took delivery of the first car Tesla was able to deliver.")</f>
        <v>No. I took delivery of the first car Tesla was able to deliver.</v>
      </c>
      <c r="AG943" s="145"/>
      <c r="AH943" s="157">
        <f>IFERROR(__xludf.DUMMYFUNCTION("""COMPUTED_VALUE"""),44277.436842013885)</f>
        <v>44277.43684</v>
      </c>
      <c r="AI943" s="138"/>
      <c r="AJ943" s="138"/>
      <c r="AK943" s="138"/>
      <c r="AL943" s="142"/>
    </row>
    <row r="944" ht="20.25" customHeight="1">
      <c r="A944" s="155" t="str">
        <f>IFERROR(__xludf.DUMMYFUNCTION("""COMPUTED_VALUE"""),"Ken")</f>
        <v>Ken</v>
      </c>
      <c r="B944" s="149" t="str">
        <f>IFERROR(__xludf.DUMMYFUNCTION("""COMPUTED_VALUE"""),"Reno")</f>
        <v>Reno</v>
      </c>
      <c r="C944" s="149" t="str">
        <f>IFERROR(__xludf.DUMMYFUNCTION("""COMPUTED_VALUE"""),"NV")</f>
        <v>NV</v>
      </c>
      <c r="D944" s="149" t="str">
        <f>IFERROR(__xludf.DUMMYFUNCTION("""COMPUTED_VALUE"""),"USA")</f>
        <v>USA</v>
      </c>
      <c r="E944" s="156">
        <f>IFERROR(__xludf.DUMMYFUNCTION("""COMPUTED_VALUE"""),44250.0)</f>
        <v>44250</v>
      </c>
      <c r="F944" s="129">
        <f>IFERROR(__xludf.DUMMYFUNCTION("""COMPUTED_VALUE"""),44272.0)</f>
        <v>44272</v>
      </c>
      <c r="G944" s="154" t="str">
        <f>IFERROR(__xludf.DUMMYFUNCTION("""COMPUTED_VALUE"""),"Email")</f>
        <v>Email</v>
      </c>
      <c r="H944" s="131">
        <f>IFERROR(__xludf.DUMMYFUNCTION("""COMPUTED_VALUE"""),926755.0)</f>
        <v>926755</v>
      </c>
      <c r="I944" s="144" t="str">
        <f>IFERROR(__xludf.DUMMYFUNCTION("""COMPUTED_VALUE"""),"03/21")</f>
        <v>03/21</v>
      </c>
      <c r="J944" s="129">
        <f>IFERROR(__xludf.DUMMYFUNCTION("""COMPUTED_VALUE"""),44277.0)</f>
        <v>44277</v>
      </c>
      <c r="K944" s="133">
        <f>IFERROR(__xludf.DUMMYFUNCTION("""COMPUTED_VALUE"""),22.0)</f>
        <v>22</v>
      </c>
      <c r="L944" s="133">
        <f>IFERROR(__xludf.DUMMYFUNCTION("""COMPUTED_VALUE"""),5.0)</f>
        <v>5</v>
      </c>
      <c r="M944" s="133">
        <f>IFERROR(__xludf.DUMMYFUNCTION("""COMPUTED_VALUE"""),27.0)</f>
        <v>27</v>
      </c>
      <c r="N944" s="152" t="str">
        <f>IFERROR(__xludf.DUMMYFUNCTION("""COMPUTED_VALUE"""),"Model 3 LR AWD")</f>
        <v>Model 3 LR AWD</v>
      </c>
      <c r="O944" s="152" t="str">
        <f>IFERROR(__xludf.DUMMYFUNCTION("""COMPUTED_VALUE"""),"Pearl White Multi-Coat")</f>
        <v>Pearl White Multi-Coat</v>
      </c>
      <c r="P944" s="153" t="str">
        <f>IFERROR(__xludf.DUMMYFUNCTION("""COMPUTED_VALUE"""),"19 inch")</f>
        <v>19 inch</v>
      </c>
      <c r="Q944" s="152" t="str">
        <f>IFERROR(__xludf.DUMMYFUNCTION("""COMPUTED_VALUE"""),"Black and White")</f>
        <v>Black and White</v>
      </c>
      <c r="R944" s="149" t="str">
        <f>IFERROR(__xludf.DUMMYFUNCTION("""COMPUTED_VALUE"""),"Autopilot included")</f>
        <v>Autopilot included</v>
      </c>
      <c r="S944" s="149" t="str">
        <f>IFERROR(__xludf.DUMMYFUNCTION("""COMPUTED_VALUE"""),"Loan")</f>
        <v>Loan</v>
      </c>
      <c r="T944" s="145" t="str">
        <f>IFERROR(__xludf.DUMMYFUNCTION("""COMPUTED_VALUE"""),"2006 Jetta")</f>
        <v>2006 Jetta</v>
      </c>
      <c r="U944" s="145" t="str">
        <f>IFERROR(__xludf.DUMMYFUNCTION("""COMPUTED_VALUE"""),"Electric!")</f>
        <v>Electric!</v>
      </c>
      <c r="V944" s="145" t="str">
        <f>IFERROR(__xludf.DUMMYFUNCTION("""COMPUTED_VALUE"""),"Apple CarPlay / Android Auto / SiriusXM Radio")</f>
        <v>Apple CarPlay / Android Auto / SiriusXM Radio</v>
      </c>
      <c r="W944" s="145"/>
      <c r="X944" s="137" t="str">
        <f>IFERROR(__xludf.DUMMYFUNCTION("""COMPUTED_VALUE"""),"Excellent")</f>
        <v>Excellent</v>
      </c>
      <c r="Y944" s="138" t="str">
        <f>IFERROR(__xludf.DUMMYFUNCTION("""COMPUTED_VALUE"""),"Excellent")</f>
        <v>Excellent</v>
      </c>
      <c r="Z944" s="138" t="str">
        <f>IFERROR(__xludf.DUMMYFUNCTION("""COMPUTED_VALUE"""),"Excellent")</f>
        <v>Excellent</v>
      </c>
      <c r="AA944" s="138" t="str">
        <f>IFERROR(__xludf.DUMMYFUNCTION("""COMPUTED_VALUE"""),"Excellent")</f>
        <v>Excellent</v>
      </c>
      <c r="AB944" s="138" t="str">
        <f>IFERROR(__xludf.DUMMYFUNCTION("""COMPUTED_VALUE"""),"Excellent")</f>
        <v>Excellent</v>
      </c>
      <c r="AC944" s="139"/>
      <c r="AD944" s="139"/>
      <c r="AE944" s="139"/>
      <c r="AF944" s="140" t="str">
        <f>IFERROR(__xludf.DUMMYFUNCTION("""COMPUTED_VALUE"""),"No. I took delivery of the first car Tesla was able to deliver.")</f>
        <v>No. I took delivery of the first car Tesla was able to deliver.</v>
      </c>
      <c r="AG944" s="145"/>
      <c r="AH944" s="157">
        <f>IFERROR(__xludf.DUMMYFUNCTION("""COMPUTED_VALUE"""),44284.89070401621)</f>
        <v>44284.8907</v>
      </c>
      <c r="AI944" s="138"/>
      <c r="AJ944" s="138"/>
      <c r="AK944" s="138"/>
      <c r="AL944" s="142"/>
    </row>
    <row r="945" ht="20.25" customHeight="1">
      <c r="A945" s="155" t="str">
        <f>IFERROR(__xludf.DUMMYFUNCTION("""COMPUTED_VALUE"""),"nlam514")</f>
        <v>nlam514</v>
      </c>
      <c r="B945" s="149" t="str">
        <f>IFERROR(__xludf.DUMMYFUNCTION("""COMPUTED_VALUE"""),"Los Angeles")</f>
        <v>Los Angeles</v>
      </c>
      <c r="C945" s="149" t="str">
        <f>IFERROR(__xludf.DUMMYFUNCTION("""COMPUTED_VALUE"""),"CA")</f>
        <v>CA</v>
      </c>
      <c r="D945" s="149" t="str">
        <f>IFERROR(__xludf.DUMMYFUNCTION("""COMPUTED_VALUE"""),"USA")</f>
        <v>USA</v>
      </c>
      <c r="E945" s="156">
        <f>IFERROR(__xludf.DUMMYFUNCTION("""COMPUTED_VALUE"""),44250.0)</f>
        <v>44250</v>
      </c>
      <c r="F945" s="129">
        <f>IFERROR(__xludf.DUMMYFUNCTION("""COMPUTED_VALUE"""),44272.0)</f>
        <v>44272</v>
      </c>
      <c r="G945" s="154" t="str">
        <f>IFERROR(__xludf.DUMMYFUNCTION("""COMPUTED_VALUE"""),"Manage order page (normal text)")</f>
        <v>Manage order page (normal text)</v>
      </c>
      <c r="H945" s="131">
        <f>IFERROR(__xludf.DUMMYFUNCTION("""COMPUTED_VALUE"""),927455.0)</f>
        <v>927455</v>
      </c>
      <c r="I945" s="144" t="str">
        <f>IFERROR(__xludf.DUMMYFUNCTION("""COMPUTED_VALUE"""),"03/21")</f>
        <v>03/21</v>
      </c>
      <c r="J945" s="129">
        <f>IFERROR(__xludf.DUMMYFUNCTION("""COMPUTED_VALUE"""),44275.0)</f>
        <v>44275</v>
      </c>
      <c r="K945" s="133">
        <f>IFERROR(__xludf.DUMMYFUNCTION("""COMPUTED_VALUE"""),22.0)</f>
        <v>22</v>
      </c>
      <c r="L945" s="133">
        <f>IFERROR(__xludf.DUMMYFUNCTION("""COMPUTED_VALUE"""),3.0)</f>
        <v>3</v>
      </c>
      <c r="M945" s="133">
        <f>IFERROR(__xludf.DUMMYFUNCTION("""COMPUTED_VALUE"""),25.0)</f>
        <v>25</v>
      </c>
      <c r="N945" s="152" t="str">
        <f>IFERROR(__xludf.DUMMYFUNCTION("""COMPUTED_VALUE"""),"Model 3 LR AWD")</f>
        <v>Model 3 LR AWD</v>
      </c>
      <c r="O945" s="152" t="str">
        <f>IFERROR(__xludf.DUMMYFUNCTION("""COMPUTED_VALUE"""),"Pearl White Multi-Coat")</f>
        <v>Pearl White Multi-Coat</v>
      </c>
      <c r="P945" s="153" t="str">
        <f>IFERROR(__xludf.DUMMYFUNCTION("""COMPUTED_VALUE"""),"19 inch")</f>
        <v>19 inch</v>
      </c>
      <c r="Q945" s="152" t="str">
        <f>IFERROR(__xludf.DUMMYFUNCTION("""COMPUTED_VALUE"""),"All Black")</f>
        <v>All Black</v>
      </c>
      <c r="R945" s="149" t="str">
        <f>IFERROR(__xludf.DUMMYFUNCTION("""COMPUTED_VALUE"""),"Full Self-Driving")</f>
        <v>Full Self-Driving</v>
      </c>
      <c r="S945" s="149" t="str">
        <f>IFERROR(__xludf.DUMMYFUNCTION("""COMPUTED_VALUE"""),"Loan")</f>
        <v>Loan</v>
      </c>
      <c r="T945" s="145" t="str">
        <f>IFERROR(__xludf.DUMMYFUNCTION("""COMPUTED_VALUE"""),"BMW 5 Series")</f>
        <v>BMW 5 Series</v>
      </c>
      <c r="U945" s="145" t="str">
        <f>IFERROR(__xludf.DUMMYFUNCTION("""COMPUTED_VALUE"""),"Autopilot")</f>
        <v>Autopilot</v>
      </c>
      <c r="V945" s="145" t="str">
        <f>IFERROR(__xludf.DUMMYFUNCTION("""COMPUTED_VALUE"""),"360° Bird's eye view")</f>
        <v>360° Bird's eye view</v>
      </c>
      <c r="W945" s="145" t="str">
        <f>IFERROR(__xludf.DUMMYFUNCTION("""COMPUTED_VALUE"""),"Be patient. At delivery time, take your time to inspect your car. ")</f>
        <v>Be patient. At delivery time, take your time to inspect your car. </v>
      </c>
      <c r="X945" s="137" t="str">
        <f>IFERROR(__xludf.DUMMYFUNCTION("""COMPUTED_VALUE"""),"Excellent")</f>
        <v>Excellent</v>
      </c>
      <c r="Y945" s="138" t="str">
        <f>IFERROR(__xludf.DUMMYFUNCTION("""COMPUTED_VALUE"""),"Excellent")</f>
        <v>Excellent</v>
      </c>
      <c r="Z945" s="138" t="str">
        <f>IFERROR(__xludf.DUMMYFUNCTION("""COMPUTED_VALUE"""),"Excellent")</f>
        <v>Excellent</v>
      </c>
      <c r="AA945" s="138" t="str">
        <f>IFERROR(__xludf.DUMMYFUNCTION("""COMPUTED_VALUE"""),"Very Good")</f>
        <v>Very Good</v>
      </c>
      <c r="AB945" s="138" t="str">
        <f>IFERROR(__xludf.DUMMYFUNCTION("""COMPUTED_VALUE"""),"Excellent")</f>
        <v>Excellent</v>
      </c>
      <c r="AC945" s="139"/>
      <c r="AD945" s="139"/>
      <c r="AE945" s="139"/>
      <c r="AF945" s="140"/>
      <c r="AG945" s="145"/>
      <c r="AH945" s="157">
        <f>IFERROR(__xludf.DUMMYFUNCTION("""COMPUTED_VALUE"""),44276.31465678241)</f>
        <v>44276.31466</v>
      </c>
      <c r="AI945" s="138"/>
      <c r="AJ945" s="138"/>
      <c r="AK945" s="138"/>
      <c r="AL945" s="142"/>
    </row>
    <row r="946" ht="20.25" customHeight="1">
      <c r="A946" s="155" t="str">
        <f>IFERROR(__xludf.DUMMYFUNCTION("""COMPUTED_VALUE"""),"CanadianRob")</f>
        <v>CanadianRob</v>
      </c>
      <c r="B946" s="149" t="str">
        <f>IFERROR(__xludf.DUMMYFUNCTION("""COMPUTED_VALUE"""),"Trenton")</f>
        <v>Trenton</v>
      </c>
      <c r="C946" s="149" t="str">
        <f>IFERROR(__xludf.DUMMYFUNCTION("""COMPUTED_VALUE"""),"ON")</f>
        <v>ON</v>
      </c>
      <c r="D946" s="149" t="str">
        <f>IFERROR(__xludf.DUMMYFUNCTION("""COMPUTED_VALUE"""),"Canada")</f>
        <v>Canada</v>
      </c>
      <c r="E946" s="156">
        <f>IFERROR(__xludf.DUMMYFUNCTION("""COMPUTED_VALUE"""),44249.0)</f>
        <v>44249</v>
      </c>
      <c r="F946" s="129">
        <f>IFERROR(__xludf.DUMMYFUNCTION("""COMPUTED_VALUE"""),44272.0)</f>
        <v>44272</v>
      </c>
      <c r="G946" s="154" t="str">
        <f>IFERROR(__xludf.DUMMYFUNCTION("""COMPUTED_VALUE"""),"Email")</f>
        <v>Email</v>
      </c>
      <c r="H946" s="131">
        <f>IFERROR(__xludf.DUMMYFUNCTION("""COMPUTED_VALUE"""),914455.0)</f>
        <v>914455</v>
      </c>
      <c r="I946" s="144" t="str">
        <f>IFERROR(__xludf.DUMMYFUNCTION("""COMPUTED_VALUE"""),"03/21")</f>
        <v>03/21</v>
      </c>
      <c r="J946" s="129">
        <f>IFERROR(__xludf.DUMMYFUNCTION("""COMPUTED_VALUE"""),44285.0)</f>
        <v>44285</v>
      </c>
      <c r="K946" s="133">
        <f>IFERROR(__xludf.DUMMYFUNCTION("""COMPUTED_VALUE"""),23.0)</f>
        <v>23</v>
      </c>
      <c r="L946" s="133">
        <f>IFERROR(__xludf.DUMMYFUNCTION("""COMPUTED_VALUE"""),13.0)</f>
        <v>13</v>
      </c>
      <c r="M946" s="133">
        <f>IFERROR(__xludf.DUMMYFUNCTION("""COMPUTED_VALUE"""),36.0)</f>
        <v>36</v>
      </c>
      <c r="N946" s="152" t="str">
        <f>IFERROR(__xludf.DUMMYFUNCTION("""COMPUTED_VALUE"""),"Model 3 Performance")</f>
        <v>Model 3 Performance</v>
      </c>
      <c r="O946" s="152" t="str">
        <f>IFERROR(__xludf.DUMMYFUNCTION("""COMPUTED_VALUE"""),"Pearl White Multi-Coat")</f>
        <v>Pearl White Multi-Coat</v>
      </c>
      <c r="P946" s="153" t="str">
        <f>IFERROR(__xludf.DUMMYFUNCTION("""COMPUTED_VALUE"""),"20 inch")</f>
        <v>20 inch</v>
      </c>
      <c r="Q946" s="152" t="str">
        <f>IFERROR(__xludf.DUMMYFUNCTION("""COMPUTED_VALUE"""),"Black and White")</f>
        <v>Black and White</v>
      </c>
      <c r="R946" s="149" t="str">
        <f>IFERROR(__xludf.DUMMYFUNCTION("""COMPUTED_VALUE"""),"Full Self-Driving")</f>
        <v>Full Self-Driving</v>
      </c>
      <c r="S946" s="149" t="str">
        <f>IFERROR(__xludf.DUMMYFUNCTION("""COMPUTED_VALUE"""),"Loan")</f>
        <v>Loan</v>
      </c>
      <c r="T946" s="145" t="str">
        <f>IFERROR(__xludf.DUMMYFUNCTION("""COMPUTED_VALUE"""),"Hyundai Santa Fe XL")</f>
        <v>Hyundai Santa Fe XL</v>
      </c>
      <c r="U946" s="145" t="str">
        <f>IFERROR(__xludf.DUMMYFUNCTION("""COMPUTED_VALUE"""),"Autopilot")</f>
        <v>Autopilot</v>
      </c>
      <c r="V946" s="145" t="str">
        <f>IFERROR(__xludf.DUMMYFUNCTION("""COMPUTED_VALUE"""),"Blind spot indicators on side mirrors")</f>
        <v>Blind spot indicators on side mirrors</v>
      </c>
      <c r="W946" s="145"/>
      <c r="X946" s="137" t="str">
        <f>IFERROR(__xludf.DUMMYFUNCTION("""COMPUTED_VALUE"""),"Good")</f>
        <v>Good</v>
      </c>
      <c r="Y946" s="138" t="str">
        <f>IFERROR(__xludf.DUMMYFUNCTION("""COMPUTED_VALUE"""),"Excellent")</f>
        <v>Excellent</v>
      </c>
      <c r="Z946" s="138" t="str">
        <f>IFERROR(__xludf.DUMMYFUNCTION("""COMPUTED_VALUE"""),"Excellent")</f>
        <v>Excellent</v>
      </c>
      <c r="AA946" s="138" t="str">
        <f>IFERROR(__xludf.DUMMYFUNCTION("""COMPUTED_VALUE"""),"Excellent")</f>
        <v>Excellent</v>
      </c>
      <c r="AB946" s="138" t="str">
        <f>IFERROR(__xludf.DUMMYFUNCTION("""COMPUTED_VALUE"""),"Excellent")</f>
        <v>Excellent</v>
      </c>
      <c r="AC946" s="139">
        <f>IFERROR(__xludf.DUMMYFUNCTION("""COMPUTED_VALUE"""),3.0)</f>
        <v>3</v>
      </c>
      <c r="AD946" s="139">
        <f>IFERROR(__xludf.DUMMYFUNCTION("""COMPUTED_VALUE"""),2.0)</f>
        <v>2</v>
      </c>
      <c r="AE946" s="139">
        <f>IFERROR(__xludf.DUMMYFUNCTION("""COMPUTED_VALUE"""),17.0)</f>
        <v>17</v>
      </c>
      <c r="AF946" s="140" t="str">
        <f>IFERROR(__xludf.DUMMYFUNCTION("""COMPUTED_VALUE"""),"No. I took delivery of the first car Tesla was able to deliver.")</f>
        <v>No. I took delivery of the first car Tesla was able to deliver.</v>
      </c>
      <c r="AG946" s="145" t="str">
        <f>IFERROR(__xludf.DUMMYFUNCTION("""COMPUTED_VALUE"""),"Car had a faulty brake caliper and took 2.5 weeks for Tesla to replace.")</f>
        <v>Car had a faulty brake caliper and took 2.5 weeks for Tesla to replace.</v>
      </c>
      <c r="AH946" s="157">
        <f>IFERROR(__xludf.DUMMYFUNCTION("""COMPUTED_VALUE"""),44332.40382714121)</f>
        <v>44332.40383</v>
      </c>
      <c r="AI946" s="138"/>
      <c r="AJ946" s="138"/>
      <c r="AK946" s="138"/>
      <c r="AL946" s="142"/>
    </row>
    <row r="947" ht="20.25" customHeight="1">
      <c r="A947" s="155" t="str">
        <f>IFERROR(__xludf.DUMMYFUNCTION("""COMPUTED_VALUE"""),"grogu")</f>
        <v>grogu</v>
      </c>
      <c r="B947" s="149"/>
      <c r="C947" s="149" t="str">
        <f>IFERROR(__xludf.DUMMYFUNCTION("""COMPUTED_VALUE"""),"UT")</f>
        <v>UT</v>
      </c>
      <c r="D947" s="149" t="str">
        <f>IFERROR(__xludf.DUMMYFUNCTION("""COMPUTED_VALUE"""),"USA")</f>
        <v>USA</v>
      </c>
      <c r="E947" s="156">
        <f>IFERROR(__xludf.DUMMYFUNCTION("""COMPUTED_VALUE"""),44249.0)</f>
        <v>44249</v>
      </c>
      <c r="F947" s="129">
        <f>IFERROR(__xludf.DUMMYFUNCTION("""COMPUTED_VALUE"""),44271.0)</f>
        <v>44271</v>
      </c>
      <c r="G947" s="154" t="str">
        <f>IFERROR(__xludf.DUMMYFUNCTION("""COMPUTED_VALUE"""),"Manage order page (normal text)")</f>
        <v>Manage order page (normal text)</v>
      </c>
      <c r="H947" s="131">
        <f>IFERROR(__xludf.DUMMYFUNCTION("""COMPUTED_VALUE"""),926755.0)</f>
        <v>926755</v>
      </c>
      <c r="I947" s="144"/>
      <c r="J947" s="129">
        <f>IFERROR(__xludf.DUMMYFUNCTION("""COMPUTED_VALUE"""),44275.0)</f>
        <v>44275</v>
      </c>
      <c r="K947" s="133">
        <f>IFERROR(__xludf.DUMMYFUNCTION("""COMPUTED_VALUE"""),22.0)</f>
        <v>22</v>
      </c>
      <c r="L947" s="133">
        <f>IFERROR(__xludf.DUMMYFUNCTION("""COMPUTED_VALUE"""),4.0)</f>
        <v>4</v>
      </c>
      <c r="M947" s="133">
        <f>IFERROR(__xludf.DUMMYFUNCTION("""COMPUTED_VALUE"""),26.0)</f>
        <v>26</v>
      </c>
      <c r="N947" s="152" t="str">
        <f>IFERROR(__xludf.DUMMYFUNCTION("""COMPUTED_VALUE"""),"Model 3 LR AWD")</f>
        <v>Model 3 LR AWD</v>
      </c>
      <c r="O947" s="152" t="str">
        <f>IFERROR(__xludf.DUMMYFUNCTION("""COMPUTED_VALUE"""),"Pearl White Multi-Coat")</f>
        <v>Pearl White Multi-Coat</v>
      </c>
      <c r="P947" s="153" t="str">
        <f>IFERROR(__xludf.DUMMYFUNCTION("""COMPUTED_VALUE"""),"19 inch")</f>
        <v>19 inch</v>
      </c>
      <c r="Q947" s="152" t="str">
        <f>IFERROR(__xludf.DUMMYFUNCTION("""COMPUTED_VALUE"""),"All Black")</f>
        <v>All Black</v>
      </c>
      <c r="R947" s="149" t="str">
        <f>IFERROR(__xludf.DUMMYFUNCTION("""COMPUTED_VALUE"""),"Autopilot included")</f>
        <v>Autopilot included</v>
      </c>
      <c r="S947" s="149" t="str">
        <f>IFERROR(__xludf.DUMMYFUNCTION("""COMPUTED_VALUE"""),"Loan")</f>
        <v>Loan</v>
      </c>
      <c r="T947" s="145" t="str">
        <f>IFERROR(__xludf.DUMMYFUNCTION("""COMPUTED_VALUE"""),"Audi s5 sport")</f>
        <v>Audi s5 sport</v>
      </c>
      <c r="U947" s="145" t="str">
        <f>IFERROR(__xludf.DUMMYFUNCTION("""COMPUTED_VALUE"""),"Electric!")</f>
        <v>Electric!</v>
      </c>
      <c r="V947" s="145" t="str">
        <f>IFERROR(__xludf.DUMMYFUNCTION("""COMPUTED_VALUE"""),"Head-up display")</f>
        <v>Head-up display</v>
      </c>
      <c r="W947" s="145" t="str">
        <f>IFERROR(__xludf.DUMMYFUNCTION("""COMPUTED_VALUE"""),"be patient, don't keep bothering your local SA")</f>
        <v>be patient, don't keep bothering your local SA</v>
      </c>
      <c r="X947" s="137"/>
      <c r="Y947" s="138"/>
      <c r="Z947" s="138"/>
      <c r="AA947" s="138"/>
      <c r="AB947" s="138"/>
      <c r="AC947" s="139"/>
      <c r="AD947" s="139"/>
      <c r="AE947" s="139"/>
      <c r="AF947" s="140"/>
      <c r="AG947" s="145"/>
      <c r="AH947" s="157">
        <f>IFERROR(__xludf.DUMMYFUNCTION("""COMPUTED_VALUE"""),44271.64782953703)</f>
        <v>44271.64783</v>
      </c>
      <c r="AI947" s="138"/>
      <c r="AJ947" s="138"/>
      <c r="AK947" s="138"/>
      <c r="AL947" s="142"/>
    </row>
    <row r="948" ht="20.25" customHeight="1">
      <c r="A948" s="155" t="str">
        <f>IFERROR(__xludf.DUMMYFUNCTION("""COMPUTED_VALUE"""),"Mahamilto")</f>
        <v>Mahamilto</v>
      </c>
      <c r="B948" s="149" t="str">
        <f>IFERROR(__xludf.DUMMYFUNCTION("""COMPUTED_VALUE"""),"NYC")</f>
        <v>NYC</v>
      </c>
      <c r="C948" s="149" t="str">
        <f>IFERROR(__xludf.DUMMYFUNCTION("""COMPUTED_VALUE"""),"NY")</f>
        <v>NY</v>
      </c>
      <c r="D948" s="149" t="str">
        <f>IFERROR(__xludf.DUMMYFUNCTION("""COMPUTED_VALUE"""),"USA")</f>
        <v>USA</v>
      </c>
      <c r="E948" s="156">
        <f>IFERROR(__xludf.DUMMYFUNCTION("""COMPUTED_VALUE"""),44249.0)</f>
        <v>44249</v>
      </c>
      <c r="F948" s="129">
        <f>IFERROR(__xludf.DUMMYFUNCTION("""COMPUTED_VALUE"""),44270.0)</f>
        <v>44270</v>
      </c>
      <c r="G948" s="154" t="str">
        <f>IFERROR(__xludf.DUMMYFUNCTION("""COMPUTED_VALUE"""),"Email")</f>
        <v>Email</v>
      </c>
      <c r="H948" s="131">
        <f>IFERROR(__xludf.DUMMYFUNCTION("""COMPUTED_VALUE"""),925455.0)</f>
        <v>925455</v>
      </c>
      <c r="I948" s="144" t="str">
        <f>IFERROR(__xludf.DUMMYFUNCTION("""COMPUTED_VALUE"""),"03/21")</f>
        <v>03/21</v>
      </c>
      <c r="J948" s="129">
        <f>IFERROR(__xludf.DUMMYFUNCTION("""COMPUTED_VALUE"""),44281.0)</f>
        <v>44281</v>
      </c>
      <c r="K948" s="133">
        <f>IFERROR(__xludf.DUMMYFUNCTION("""COMPUTED_VALUE"""),21.0)</f>
        <v>21</v>
      </c>
      <c r="L948" s="133">
        <f>IFERROR(__xludf.DUMMYFUNCTION("""COMPUTED_VALUE"""),11.0)</f>
        <v>11</v>
      </c>
      <c r="M948" s="133">
        <f>IFERROR(__xludf.DUMMYFUNCTION("""COMPUTED_VALUE"""),32.0)</f>
        <v>32</v>
      </c>
      <c r="N948" s="152" t="str">
        <f>IFERROR(__xludf.DUMMYFUNCTION("""COMPUTED_VALUE"""),"Model 3 Performance")</f>
        <v>Model 3 Performance</v>
      </c>
      <c r="O948" s="152" t="str">
        <f>IFERROR(__xludf.DUMMYFUNCTION("""COMPUTED_VALUE"""),"Midnight Silver Metallic")</f>
        <v>Midnight Silver Metallic</v>
      </c>
      <c r="P948" s="153" t="str">
        <f>IFERROR(__xludf.DUMMYFUNCTION("""COMPUTED_VALUE"""),"20 inch")</f>
        <v>20 inch</v>
      </c>
      <c r="Q948" s="152" t="str">
        <f>IFERROR(__xludf.DUMMYFUNCTION("""COMPUTED_VALUE"""),"All Black")</f>
        <v>All Black</v>
      </c>
      <c r="R948" s="149" t="str">
        <f>IFERROR(__xludf.DUMMYFUNCTION("""COMPUTED_VALUE"""),"Autopilot included")</f>
        <v>Autopilot included</v>
      </c>
      <c r="S948" s="149" t="str">
        <f>IFERROR(__xludf.DUMMYFUNCTION("""COMPUTED_VALUE"""),"Cash")</f>
        <v>Cash</v>
      </c>
      <c r="T948" s="145" t="str">
        <f>IFERROR(__xludf.DUMMYFUNCTION("""COMPUTED_VALUE"""),"Cadillac CTS-V")</f>
        <v>Cadillac CTS-V</v>
      </c>
      <c r="U948" s="145" t="str">
        <f>IFERROR(__xludf.DUMMYFUNCTION("""COMPUTED_VALUE"""),"Electric!")</f>
        <v>Electric!</v>
      </c>
      <c r="V948" s="145" t="str">
        <f>IFERROR(__xludf.DUMMYFUNCTION("""COMPUTED_VALUE"""),"Head-up display")</f>
        <v>Head-up display</v>
      </c>
      <c r="W948" s="145" t="str">
        <f>IFERROR(__xludf.DUMMYFUNCTION("""COMPUTED_VALUE"""),"Ask for simple fixes before signing for delivery. Carefully check alignment, mine had to be realigned after driving off, but they did it in 20 min no questions asked when I turned around and went back")</f>
        <v>Ask for simple fixes before signing for delivery. Carefully check alignment, mine had to be realigned after driving off, but they did it in 20 min no questions asked when I turned around and went back</v>
      </c>
      <c r="X948" s="137" t="str">
        <f>IFERROR(__xludf.DUMMYFUNCTION("""COMPUTED_VALUE"""),"Excellent")</f>
        <v>Excellent</v>
      </c>
      <c r="Y948" s="138" t="str">
        <f>IFERROR(__xludf.DUMMYFUNCTION("""COMPUTED_VALUE"""),"Very Good")</f>
        <v>Very Good</v>
      </c>
      <c r="Z948" s="138" t="str">
        <f>IFERROR(__xludf.DUMMYFUNCTION("""COMPUTED_VALUE"""),"Excellent")</f>
        <v>Excellent</v>
      </c>
      <c r="AA948" s="138" t="str">
        <f>IFERROR(__xludf.DUMMYFUNCTION("""COMPUTED_VALUE"""),"Good")</f>
        <v>Good</v>
      </c>
      <c r="AB948" s="138" t="str">
        <f>IFERROR(__xludf.DUMMYFUNCTION("""COMPUTED_VALUE"""),"Excellent")</f>
        <v>Excellent</v>
      </c>
      <c r="AC948" s="139">
        <f>IFERROR(__xludf.DUMMYFUNCTION("""COMPUTED_VALUE"""),2.0)</f>
        <v>2</v>
      </c>
      <c r="AD948" s="139">
        <f>IFERROR(__xludf.DUMMYFUNCTION("""COMPUTED_VALUE"""),0.0)</f>
        <v>0</v>
      </c>
      <c r="AE948" s="139">
        <f>IFERROR(__xludf.DUMMYFUNCTION("""COMPUTED_VALUE"""),0.0)</f>
        <v>0</v>
      </c>
      <c r="AF948" s="140" t="str">
        <f>IFERROR(__xludf.DUMMYFUNCTION("""COMPUTED_VALUE"""),"No. I took delivery of the first car Tesla was able to deliver.")</f>
        <v>No. I took delivery of the first car Tesla was able to deliver.</v>
      </c>
      <c r="AG948" s="145" t="str">
        <f>IFERROR(__xludf.DUMMYFUNCTION("""COMPUTED_VALUE"""),"Amazing car. Love it. ")</f>
        <v>Amazing car. Love it. </v>
      </c>
      <c r="AH948" s="157">
        <f>IFERROR(__xludf.DUMMYFUNCTION("""COMPUTED_VALUE"""),44296.44623619213)</f>
        <v>44296.44624</v>
      </c>
      <c r="AI948" s="138"/>
      <c r="AJ948" s="138"/>
      <c r="AK948" s="138"/>
      <c r="AL948" s="142"/>
    </row>
    <row r="949" ht="20.25" customHeight="1">
      <c r="A949" s="155" t="str">
        <f>IFERROR(__xludf.DUMMYFUNCTION("""COMPUTED_VALUE"""),"chrismarquardt")</f>
        <v>chrismarquardt</v>
      </c>
      <c r="B949" s="149" t="str">
        <f>IFERROR(__xludf.DUMMYFUNCTION("""COMPUTED_VALUE"""),"Hannover")</f>
        <v>Hannover</v>
      </c>
      <c r="C949" s="149"/>
      <c r="D949" s="149" t="str">
        <f>IFERROR(__xludf.DUMMYFUNCTION("""COMPUTED_VALUE"""),"Germany")</f>
        <v>Germany</v>
      </c>
      <c r="E949" s="156">
        <f>IFERROR(__xludf.DUMMYFUNCTION("""COMPUTED_VALUE"""),44248.0)</f>
        <v>44248</v>
      </c>
      <c r="F949" s="129">
        <f>IFERROR(__xludf.DUMMYFUNCTION("""COMPUTED_VALUE"""),44301.0)</f>
        <v>44301</v>
      </c>
      <c r="G949" s="154" t="str">
        <f>IFERROR(__xludf.DUMMYFUNCTION("""COMPUTED_VALUE"""),"Balance Invoice")</f>
        <v>Balance Invoice</v>
      </c>
      <c r="H949" s="131">
        <f>IFERROR(__xludf.DUMMYFUNCTION("""COMPUTED_VALUE"""),219605.0)</f>
        <v>219605</v>
      </c>
      <c r="I949" s="144" t="str">
        <f>IFERROR(__xludf.DUMMYFUNCTION("""COMPUTED_VALUE"""),"04/21")</f>
        <v>04/21</v>
      </c>
      <c r="J949" s="129">
        <f>IFERROR(__xludf.DUMMYFUNCTION("""COMPUTED_VALUE"""),44338.0)</f>
        <v>44338</v>
      </c>
      <c r="K949" s="133">
        <f>IFERROR(__xludf.DUMMYFUNCTION("""COMPUTED_VALUE"""),53.0)</f>
        <v>53</v>
      </c>
      <c r="L949" s="133">
        <f>IFERROR(__xludf.DUMMYFUNCTION("""COMPUTED_VALUE"""),37.0)</f>
        <v>37</v>
      </c>
      <c r="M949" s="133">
        <f>IFERROR(__xludf.DUMMYFUNCTION("""COMPUTED_VALUE"""),90.0)</f>
        <v>90</v>
      </c>
      <c r="N949" s="152" t="str">
        <f>IFERROR(__xludf.DUMMYFUNCTION("""COMPUTED_VALUE"""),"Model 3 SR+")</f>
        <v>Model 3 SR+</v>
      </c>
      <c r="O949" s="152" t="str">
        <f>IFERROR(__xludf.DUMMYFUNCTION("""COMPUTED_VALUE"""),"Midnight Silver Metallic")</f>
        <v>Midnight Silver Metallic</v>
      </c>
      <c r="P949" s="153" t="str">
        <f>IFERROR(__xludf.DUMMYFUNCTION("""COMPUTED_VALUE"""),"18 inch")</f>
        <v>18 inch</v>
      </c>
      <c r="Q949" s="152" t="str">
        <f>IFERROR(__xludf.DUMMYFUNCTION("""COMPUTED_VALUE"""),"Black and White")</f>
        <v>Black and White</v>
      </c>
      <c r="R949" s="149" t="str">
        <f>IFERROR(__xludf.DUMMYFUNCTION("""COMPUTED_VALUE"""),"Full Self-Driving")</f>
        <v>Full Self-Driving</v>
      </c>
      <c r="S949" s="149" t="str">
        <f>IFERROR(__xludf.DUMMYFUNCTION("""COMPUTED_VALUE"""),"Cash")</f>
        <v>Cash</v>
      </c>
      <c r="T949" s="145" t="str">
        <f>IFERROR(__xludf.DUMMYFUNCTION("""COMPUTED_VALUE"""),"Hyundai IONIQ Hybrid")</f>
        <v>Hyundai IONIQ Hybrid</v>
      </c>
      <c r="U949" s="145" t="str">
        <f>IFERROR(__xludf.DUMMYFUNCTION("""COMPUTED_VALUE"""),"Everything")</f>
        <v>Everything</v>
      </c>
      <c r="V949" s="145" t="str">
        <f>IFERROR(__xludf.DUMMYFUNCTION("""COMPUTED_VALUE"""),"360° Bird's eye view")</f>
        <v>360° Bird's eye view</v>
      </c>
      <c r="W949" s="145" t="str">
        <f>IFERROR(__xludf.DUMMYFUNCTION("""COMPUTED_VALUE"""),"Patience, just patience")</f>
        <v>Patience, just patience</v>
      </c>
      <c r="X949" s="137" t="str">
        <f>IFERROR(__xludf.DUMMYFUNCTION("""COMPUTED_VALUE"""),"Excellent")</f>
        <v>Excellent</v>
      </c>
      <c r="Y949" s="138" t="str">
        <f>IFERROR(__xludf.DUMMYFUNCTION("""COMPUTED_VALUE"""),"Excellent")</f>
        <v>Excellent</v>
      </c>
      <c r="Z949" s="138" t="str">
        <f>IFERROR(__xludf.DUMMYFUNCTION("""COMPUTED_VALUE"""),"Excellent")</f>
        <v>Excellent</v>
      </c>
      <c r="AA949" s="138" t="str">
        <f>IFERROR(__xludf.DUMMYFUNCTION("""COMPUTED_VALUE"""),"Fair")</f>
        <v>Fair</v>
      </c>
      <c r="AB949" s="138" t="str">
        <f>IFERROR(__xludf.DUMMYFUNCTION("""COMPUTED_VALUE"""),"Very Good")</f>
        <v>Very Good</v>
      </c>
      <c r="AC949" s="139">
        <f>IFERROR(__xludf.DUMMYFUNCTION("""COMPUTED_VALUE"""),1.0)</f>
        <v>1</v>
      </c>
      <c r="AD949" s="139">
        <f>IFERROR(__xludf.DUMMYFUNCTION("""COMPUTED_VALUE"""),1.0)</f>
        <v>1</v>
      </c>
      <c r="AE949" s="139">
        <f>IFERROR(__xludf.DUMMYFUNCTION("""COMPUTED_VALUE"""),0.0)</f>
        <v>0</v>
      </c>
      <c r="AF949" s="140" t="str">
        <f>IFERROR(__xludf.DUMMYFUNCTION("""COMPUTED_VALUE"""),"No. I took delivery of the first car Tesla was able to deliver.")</f>
        <v>No. I took delivery of the first car Tesla was able to deliver.</v>
      </c>
      <c r="AG949" s="145"/>
      <c r="AH949" s="157">
        <f>IFERROR(__xludf.DUMMYFUNCTION("""COMPUTED_VALUE"""),44380.15760371528)</f>
        <v>44380.1576</v>
      </c>
      <c r="AI949" s="138"/>
      <c r="AJ949" s="138"/>
      <c r="AK949" s="138"/>
      <c r="AL949" s="142"/>
    </row>
    <row r="950" ht="20.25" customHeight="1">
      <c r="A950" s="155" t="str">
        <f>IFERROR(__xludf.DUMMYFUNCTION("""COMPUTED_VALUE"""),"mackgoo")</f>
        <v>mackgoo</v>
      </c>
      <c r="B950" s="149" t="str">
        <f>IFERROR(__xludf.DUMMYFUNCTION("""COMPUTED_VALUE"""),"San Clemente")</f>
        <v>San Clemente</v>
      </c>
      <c r="C950" s="149" t="str">
        <f>IFERROR(__xludf.DUMMYFUNCTION("""COMPUTED_VALUE"""),"CA")</f>
        <v>CA</v>
      </c>
      <c r="D950" s="149" t="str">
        <f>IFERROR(__xludf.DUMMYFUNCTION("""COMPUTED_VALUE"""),"USA")</f>
        <v>USA</v>
      </c>
      <c r="E950" s="156">
        <f>IFERROR(__xludf.DUMMYFUNCTION("""COMPUTED_VALUE"""),44247.0)</f>
        <v>44247</v>
      </c>
      <c r="F950" s="129">
        <f>IFERROR(__xludf.DUMMYFUNCTION("""COMPUTED_VALUE"""),44279.0)</f>
        <v>44279</v>
      </c>
      <c r="G950" s="154" t="str">
        <f>IFERROR(__xludf.DUMMYFUNCTION("""COMPUTED_VALUE"""),"Manage order page (normal text)")</f>
        <v>Manage order page (normal text)</v>
      </c>
      <c r="H950" s="131">
        <f>IFERROR(__xludf.DUMMYFUNCTION("""COMPUTED_VALUE"""),937861.0)</f>
        <v>937861</v>
      </c>
      <c r="I950" s="144"/>
      <c r="J950" s="129"/>
      <c r="K950" s="133">
        <f>IFERROR(__xludf.DUMMYFUNCTION("""COMPUTED_VALUE"""),32.0)</f>
        <v>32</v>
      </c>
      <c r="L950" s="133"/>
      <c r="M950" s="133"/>
      <c r="N950" s="152" t="str">
        <f>IFERROR(__xludf.DUMMYFUNCTION("""COMPUTED_VALUE"""),"Model 3 LR AWD")</f>
        <v>Model 3 LR AWD</v>
      </c>
      <c r="O950" s="152" t="str">
        <f>IFERROR(__xludf.DUMMYFUNCTION("""COMPUTED_VALUE"""),"Pearl White Multi-Coat")</f>
        <v>Pearl White Multi-Coat</v>
      </c>
      <c r="P950" s="153" t="str">
        <f>IFERROR(__xludf.DUMMYFUNCTION("""COMPUTED_VALUE"""),"18 inch")</f>
        <v>18 inch</v>
      </c>
      <c r="Q950" s="152" t="str">
        <f>IFERROR(__xludf.DUMMYFUNCTION("""COMPUTED_VALUE"""),"All Black")</f>
        <v>All Black</v>
      </c>
      <c r="R950" s="149" t="str">
        <f>IFERROR(__xludf.DUMMYFUNCTION("""COMPUTED_VALUE"""),"Autopilot included")</f>
        <v>Autopilot included</v>
      </c>
      <c r="S950" s="149" t="str">
        <f>IFERROR(__xludf.DUMMYFUNCTION("""COMPUTED_VALUE"""),"Cash")</f>
        <v>Cash</v>
      </c>
      <c r="T950" s="145" t="str">
        <f>IFERROR(__xludf.DUMMYFUNCTION("""COMPUTED_VALUE"""),"Tesla Model S")</f>
        <v>Tesla Model S</v>
      </c>
      <c r="U950" s="145" t="str">
        <f>IFERROR(__xludf.DUMMYFUNCTION("""COMPUTED_VALUE"""),"Cheaper than S")</f>
        <v>Cheaper than S</v>
      </c>
      <c r="V950" s="145" t="str">
        <f>IFERROR(__xludf.DUMMYFUNCTION("""COMPUTED_VALUE"""),"HomeLink")</f>
        <v>HomeLink</v>
      </c>
      <c r="W950" s="145"/>
      <c r="X950" s="137" t="str">
        <f>IFERROR(__xludf.DUMMYFUNCTION("""COMPUTED_VALUE"""),"Good")</f>
        <v>Good</v>
      </c>
      <c r="Y950" s="138" t="str">
        <f>IFERROR(__xludf.DUMMYFUNCTION("""COMPUTED_VALUE"""),"Excellent")</f>
        <v>Excellent</v>
      </c>
      <c r="Z950" s="138" t="str">
        <f>IFERROR(__xludf.DUMMYFUNCTION("""COMPUTED_VALUE"""),"Very Good")</f>
        <v>Very Good</v>
      </c>
      <c r="AA950" s="138" t="str">
        <f>IFERROR(__xludf.DUMMYFUNCTION("""COMPUTED_VALUE"""),"Excellent")</f>
        <v>Excellent</v>
      </c>
      <c r="AB950" s="138" t="str">
        <f>IFERROR(__xludf.DUMMYFUNCTION("""COMPUTED_VALUE"""),"Excellent")</f>
        <v>Excellent</v>
      </c>
      <c r="AC950" s="139"/>
      <c r="AD950" s="139"/>
      <c r="AE950" s="139"/>
      <c r="AF950" s="140" t="str">
        <f>IFERROR(__xludf.DUMMYFUNCTION("""COMPUTED_VALUE"""),"No. I took delivery of the first car Tesla was able to deliver.")</f>
        <v>No. I took delivery of the first car Tesla was able to deliver.</v>
      </c>
      <c r="AG950" s="145"/>
      <c r="AH950" s="157">
        <f>IFERROR(__xludf.DUMMYFUNCTION("""COMPUTED_VALUE"""),44283.33877770833)</f>
        <v>44283.33878</v>
      </c>
      <c r="AI950" s="138"/>
      <c r="AJ950" s="138"/>
      <c r="AK950" s="138"/>
      <c r="AL950" s="142"/>
    </row>
    <row r="951" ht="20.25" customHeight="1">
      <c r="A951" s="155" t="str">
        <f>IFERROR(__xludf.DUMMYFUNCTION("""COMPUTED_VALUE"""),"sbeep")</f>
        <v>sbeep</v>
      </c>
      <c r="B951" s="149" t="str">
        <f>IFERROR(__xludf.DUMMYFUNCTION("""COMPUTED_VALUE"""),"Boulder")</f>
        <v>Boulder</v>
      </c>
      <c r="C951" s="149" t="str">
        <f>IFERROR(__xludf.DUMMYFUNCTION("""COMPUTED_VALUE"""),"CO")</f>
        <v>CO</v>
      </c>
      <c r="D951" s="149" t="str">
        <f>IFERROR(__xludf.DUMMYFUNCTION("""COMPUTED_VALUE"""),"USA")</f>
        <v>USA</v>
      </c>
      <c r="E951" s="156">
        <f>IFERROR(__xludf.DUMMYFUNCTION("""COMPUTED_VALUE"""),44247.0)</f>
        <v>44247</v>
      </c>
      <c r="F951" s="129">
        <f>IFERROR(__xludf.DUMMYFUNCTION("""COMPUTED_VALUE"""),44271.0)</f>
        <v>44271</v>
      </c>
      <c r="G951" s="154" t="str">
        <f>IFERROR(__xludf.DUMMYFUNCTION("""COMPUTED_VALUE"""),"Manage order page (normal text)")</f>
        <v>Manage order page (normal text)</v>
      </c>
      <c r="H951" s="131">
        <f>IFERROR(__xludf.DUMMYFUNCTION("""COMPUTED_VALUE"""),926452.0)</f>
        <v>926452</v>
      </c>
      <c r="I951" s="144"/>
      <c r="J951" s="129">
        <f>IFERROR(__xludf.DUMMYFUNCTION("""COMPUTED_VALUE"""),44284.0)</f>
        <v>44284</v>
      </c>
      <c r="K951" s="133">
        <f>IFERROR(__xludf.DUMMYFUNCTION("""COMPUTED_VALUE"""),24.0)</f>
        <v>24</v>
      </c>
      <c r="L951" s="133">
        <f>IFERROR(__xludf.DUMMYFUNCTION("""COMPUTED_VALUE"""),13.0)</f>
        <v>13</v>
      </c>
      <c r="M951" s="133">
        <f>IFERROR(__xludf.DUMMYFUNCTION("""COMPUTED_VALUE"""),37.0)</f>
        <v>37</v>
      </c>
      <c r="N951" s="152" t="str">
        <f>IFERROR(__xludf.DUMMYFUNCTION("""COMPUTED_VALUE"""),"Model 3 Performance")</f>
        <v>Model 3 Performance</v>
      </c>
      <c r="O951" s="152" t="str">
        <f>IFERROR(__xludf.DUMMYFUNCTION("""COMPUTED_VALUE"""),"Pearl White Multi-Coat")</f>
        <v>Pearl White Multi-Coat</v>
      </c>
      <c r="P951" s="153" t="str">
        <f>IFERROR(__xludf.DUMMYFUNCTION("""COMPUTED_VALUE"""),"20 inch")</f>
        <v>20 inch</v>
      </c>
      <c r="Q951" s="152" t="str">
        <f>IFERROR(__xludf.DUMMYFUNCTION("""COMPUTED_VALUE"""),"Black and White")</f>
        <v>Black and White</v>
      </c>
      <c r="R951" s="149" t="str">
        <f>IFERROR(__xludf.DUMMYFUNCTION("""COMPUTED_VALUE"""),"Autopilot included")</f>
        <v>Autopilot included</v>
      </c>
      <c r="S951" s="149" t="str">
        <f>IFERROR(__xludf.DUMMYFUNCTION("""COMPUTED_VALUE"""),"Cash")</f>
        <v>Cash</v>
      </c>
      <c r="T951" s="145" t="str">
        <f>IFERROR(__xludf.DUMMYFUNCTION("""COMPUTED_VALUE"""),"Audi Q8")</f>
        <v>Audi Q8</v>
      </c>
      <c r="U951" s="145" t="str">
        <f>IFERROR(__xludf.DUMMYFUNCTION("""COMPUTED_VALUE"""),"Electric!")</f>
        <v>Electric!</v>
      </c>
      <c r="V951" s="145" t="str">
        <f>IFERROR(__xludf.DUMMYFUNCTION("""COMPUTED_VALUE"""),"Head-up display")</f>
        <v>Head-up display</v>
      </c>
      <c r="W951" s="145"/>
      <c r="X951" s="137" t="str">
        <f>IFERROR(__xludf.DUMMYFUNCTION("""COMPUTED_VALUE"""),"Excellent")</f>
        <v>Excellent</v>
      </c>
      <c r="Y951" s="138" t="str">
        <f>IFERROR(__xludf.DUMMYFUNCTION("""COMPUTED_VALUE"""),"Excellent")</f>
        <v>Excellent</v>
      </c>
      <c r="Z951" s="138" t="str">
        <f>IFERROR(__xludf.DUMMYFUNCTION("""COMPUTED_VALUE"""),"Excellent")</f>
        <v>Excellent</v>
      </c>
      <c r="AA951" s="138" t="str">
        <f>IFERROR(__xludf.DUMMYFUNCTION("""COMPUTED_VALUE"""),"Excellent")</f>
        <v>Excellent</v>
      </c>
      <c r="AB951" s="138" t="str">
        <f>IFERROR(__xludf.DUMMYFUNCTION("""COMPUTED_VALUE"""),"Excellent")</f>
        <v>Excellent</v>
      </c>
      <c r="AC951" s="139"/>
      <c r="AD951" s="139"/>
      <c r="AE951" s="139"/>
      <c r="AF951" s="140" t="str">
        <f>IFERROR(__xludf.DUMMYFUNCTION("""COMPUTED_VALUE"""),"No. I took delivery of the first car Tesla was able to deliver.")</f>
        <v>No. I took delivery of the first car Tesla was able to deliver.</v>
      </c>
      <c r="AG951" s="145"/>
      <c r="AH951" s="157">
        <f>IFERROR(__xludf.DUMMYFUNCTION("""COMPUTED_VALUE"""),44285.31049129629)</f>
        <v>44285.31049</v>
      </c>
      <c r="AI951" s="138"/>
      <c r="AJ951" s="138"/>
      <c r="AK951" s="138"/>
      <c r="AL951" s="142"/>
    </row>
    <row r="952" ht="20.25" customHeight="1">
      <c r="A952" s="155" t="str">
        <f>IFERROR(__xludf.DUMMYFUNCTION("""COMPUTED_VALUE"""),"Delfonique")</f>
        <v>Delfonique</v>
      </c>
      <c r="B952" s="149" t="str">
        <f>IFERROR(__xludf.DUMMYFUNCTION("""COMPUTED_VALUE"""),"Raleigh")</f>
        <v>Raleigh</v>
      </c>
      <c r="C952" s="149" t="str">
        <f>IFERROR(__xludf.DUMMYFUNCTION("""COMPUTED_VALUE"""),"NC")</f>
        <v>NC</v>
      </c>
      <c r="D952" s="149" t="str">
        <f>IFERROR(__xludf.DUMMYFUNCTION("""COMPUTED_VALUE"""),"USA")</f>
        <v>USA</v>
      </c>
      <c r="E952" s="156">
        <f>IFERROR(__xludf.DUMMYFUNCTION("""COMPUTED_VALUE"""),44246.0)</f>
        <v>44246</v>
      </c>
      <c r="F952" s="129">
        <f>IFERROR(__xludf.DUMMYFUNCTION("""COMPUTED_VALUE"""),44252.0)</f>
        <v>44252</v>
      </c>
      <c r="G952" s="154" t="str">
        <f>IFERROR(__xludf.DUMMYFUNCTION("""COMPUTED_VALUE"""),"Manage order page (normal text)")</f>
        <v>Manage order page (normal text)</v>
      </c>
      <c r="H952" s="131">
        <f>IFERROR(__xludf.DUMMYFUNCTION("""COMPUTED_VALUE"""),906255.0)</f>
        <v>906255</v>
      </c>
      <c r="I952" s="144" t="str">
        <f>IFERROR(__xludf.DUMMYFUNCTION("""COMPUTED_VALUE"""),"02/21")</f>
        <v>02/21</v>
      </c>
      <c r="J952" s="129">
        <f>IFERROR(__xludf.DUMMYFUNCTION("""COMPUTED_VALUE"""),44256.0)</f>
        <v>44256</v>
      </c>
      <c r="K952" s="133">
        <f>IFERROR(__xludf.DUMMYFUNCTION("""COMPUTED_VALUE"""),6.0)</f>
        <v>6</v>
      </c>
      <c r="L952" s="133">
        <f>IFERROR(__xludf.DUMMYFUNCTION("""COMPUTED_VALUE"""),4.0)</f>
        <v>4</v>
      </c>
      <c r="M952" s="133">
        <f>IFERROR(__xludf.DUMMYFUNCTION("""COMPUTED_VALUE"""),10.0)</f>
        <v>10</v>
      </c>
      <c r="N952" s="152" t="str">
        <f>IFERROR(__xludf.DUMMYFUNCTION("""COMPUTED_VALUE"""),"Model 3 SR+")</f>
        <v>Model 3 SR+</v>
      </c>
      <c r="O952" s="152" t="str">
        <f>IFERROR(__xludf.DUMMYFUNCTION("""COMPUTED_VALUE"""),"Pearl White Multi-Coat")</f>
        <v>Pearl White Multi-Coat</v>
      </c>
      <c r="P952" s="153" t="str">
        <f>IFERROR(__xludf.DUMMYFUNCTION("""COMPUTED_VALUE"""),"18 inch")</f>
        <v>18 inch</v>
      </c>
      <c r="Q952" s="152" t="str">
        <f>IFERROR(__xludf.DUMMYFUNCTION("""COMPUTED_VALUE"""),"All Black")</f>
        <v>All Black</v>
      </c>
      <c r="R952" s="149" t="str">
        <f>IFERROR(__xludf.DUMMYFUNCTION("""COMPUTED_VALUE"""),"Autopilot included")</f>
        <v>Autopilot included</v>
      </c>
      <c r="S952" s="149" t="str">
        <f>IFERROR(__xludf.DUMMYFUNCTION("""COMPUTED_VALUE"""),"Loan")</f>
        <v>Loan</v>
      </c>
      <c r="T952" s="145"/>
      <c r="U952" s="145" t="str">
        <f>IFERROR(__xludf.DUMMYFUNCTION("""COMPUTED_VALUE"""),"Speed")</f>
        <v>Speed</v>
      </c>
      <c r="V952" s="145"/>
      <c r="W952" s="145"/>
      <c r="X952" s="137" t="str">
        <f>IFERROR(__xludf.DUMMYFUNCTION("""COMPUTED_VALUE"""),"Excellent")</f>
        <v>Excellent</v>
      </c>
      <c r="Y952" s="138" t="str">
        <f>IFERROR(__xludf.DUMMYFUNCTION("""COMPUTED_VALUE"""),"Excellent")</f>
        <v>Excellent</v>
      </c>
      <c r="Z952" s="138" t="str">
        <f>IFERROR(__xludf.DUMMYFUNCTION("""COMPUTED_VALUE"""),"Excellent")</f>
        <v>Excellent</v>
      </c>
      <c r="AA952" s="138" t="str">
        <f>IFERROR(__xludf.DUMMYFUNCTION("""COMPUTED_VALUE"""),"Poor")</f>
        <v>Poor</v>
      </c>
      <c r="AB952" s="138" t="str">
        <f>IFERROR(__xludf.DUMMYFUNCTION("""COMPUTED_VALUE"""),"Excellent")</f>
        <v>Excellent</v>
      </c>
      <c r="AC952" s="139">
        <f>IFERROR(__xludf.DUMMYFUNCTION("""COMPUTED_VALUE"""),1.0)</f>
        <v>1</v>
      </c>
      <c r="AD952" s="139">
        <f>IFERROR(__xludf.DUMMYFUNCTION("""COMPUTED_VALUE"""),1.0)</f>
        <v>1</v>
      </c>
      <c r="AE952" s="139">
        <f>IFERROR(__xludf.DUMMYFUNCTION("""COMPUTED_VALUE"""),0.0)</f>
        <v>0</v>
      </c>
      <c r="AF952" s="140" t="str">
        <f>IFERROR(__xludf.DUMMYFUNCTION("""COMPUTED_VALUE"""),"No. I took delivery of the first car Tesla was able to deliver.")</f>
        <v>No. I took delivery of the first car Tesla was able to deliver.</v>
      </c>
      <c r="AG952" s="145"/>
      <c r="AH952" s="157">
        <f>IFERROR(__xludf.DUMMYFUNCTION("""COMPUTED_VALUE"""),44294.363944490746)</f>
        <v>44294.36394</v>
      </c>
      <c r="AI952" s="138"/>
      <c r="AJ952" s="138"/>
      <c r="AK952" s="138"/>
      <c r="AL952" s="142"/>
    </row>
    <row r="953" ht="20.25" customHeight="1">
      <c r="A953" s="155" t="str">
        <f>IFERROR(__xludf.DUMMYFUNCTION("""COMPUTED_VALUE"""),"chymerix")</f>
        <v>chymerix</v>
      </c>
      <c r="B953" s="149" t="str">
        <f>IFERROR(__xludf.DUMMYFUNCTION("""COMPUTED_VALUE"""),"Brooklyn")</f>
        <v>Brooklyn</v>
      </c>
      <c r="C953" s="149" t="str">
        <f>IFERROR(__xludf.DUMMYFUNCTION("""COMPUTED_VALUE"""),"NY")</f>
        <v>NY</v>
      </c>
      <c r="D953" s="149" t="str">
        <f>IFERROR(__xludf.DUMMYFUNCTION("""COMPUTED_VALUE"""),"USA")</f>
        <v>USA</v>
      </c>
      <c r="E953" s="156">
        <f>IFERROR(__xludf.DUMMYFUNCTION("""COMPUTED_VALUE"""),44245.0)</f>
        <v>44245</v>
      </c>
      <c r="F953" s="129">
        <f>IFERROR(__xludf.DUMMYFUNCTION("""COMPUTED_VALUE"""),44263.0)</f>
        <v>44263</v>
      </c>
      <c r="G953" s="154" t="str">
        <f>IFERROR(__xludf.DUMMYFUNCTION("""COMPUTED_VALUE"""),"Manage order page (normal text)")</f>
        <v>Manage order page (normal text)</v>
      </c>
      <c r="H953" s="131">
        <f>IFERROR(__xludf.DUMMYFUNCTION("""COMPUTED_VALUE"""),915055.0)</f>
        <v>915055</v>
      </c>
      <c r="I953" s="144" t="str">
        <f>IFERROR(__xludf.DUMMYFUNCTION("""COMPUTED_VALUE"""),"03/21")</f>
        <v>03/21</v>
      </c>
      <c r="J953" s="129">
        <f>IFERROR(__xludf.DUMMYFUNCTION("""COMPUTED_VALUE"""),44276.0)</f>
        <v>44276</v>
      </c>
      <c r="K953" s="133">
        <f>IFERROR(__xludf.DUMMYFUNCTION("""COMPUTED_VALUE"""),18.0)</f>
        <v>18</v>
      </c>
      <c r="L953" s="133">
        <f>IFERROR(__xludf.DUMMYFUNCTION("""COMPUTED_VALUE"""),13.0)</f>
        <v>13</v>
      </c>
      <c r="M953" s="133">
        <f>IFERROR(__xludf.DUMMYFUNCTION("""COMPUTED_VALUE"""),31.0)</f>
        <v>31</v>
      </c>
      <c r="N953" s="152" t="str">
        <f>IFERROR(__xludf.DUMMYFUNCTION("""COMPUTED_VALUE"""),"Model 3 LR AWD")</f>
        <v>Model 3 LR AWD</v>
      </c>
      <c r="O953" s="152" t="str">
        <f>IFERROR(__xludf.DUMMYFUNCTION("""COMPUTED_VALUE"""),"Pearl White Multi-Coat")</f>
        <v>Pearl White Multi-Coat</v>
      </c>
      <c r="P953" s="153" t="str">
        <f>IFERROR(__xludf.DUMMYFUNCTION("""COMPUTED_VALUE"""),"18 inch")</f>
        <v>18 inch</v>
      </c>
      <c r="Q953" s="152" t="str">
        <f>IFERROR(__xludf.DUMMYFUNCTION("""COMPUTED_VALUE"""),"All Black")</f>
        <v>All Black</v>
      </c>
      <c r="R953" s="149" t="str">
        <f>IFERROR(__xludf.DUMMYFUNCTION("""COMPUTED_VALUE"""),"Autopilot included")</f>
        <v>Autopilot included</v>
      </c>
      <c r="S953" s="149" t="str">
        <f>IFERROR(__xludf.DUMMYFUNCTION("""COMPUTED_VALUE"""),"Loan")</f>
        <v>Loan</v>
      </c>
      <c r="T953" s="145" t="str">
        <f>IFERROR(__xludf.DUMMYFUNCTION("""COMPUTED_VALUE"""),"VW GTI")</f>
        <v>VW GTI</v>
      </c>
      <c r="U953" s="145" t="str">
        <f>IFERROR(__xludf.DUMMYFUNCTION("""COMPUTED_VALUE"""),"Electric!")</f>
        <v>Electric!</v>
      </c>
      <c r="V953" s="145" t="str">
        <f>IFERROR(__xludf.DUMMYFUNCTION("""COMPUTED_VALUE"""),"Apple CarPlay / Android Auto / SiriusXM Radio")</f>
        <v>Apple CarPlay / Android Auto / SiriusXM Radio</v>
      </c>
      <c r="W953" s="145"/>
      <c r="X953" s="137" t="str">
        <f>IFERROR(__xludf.DUMMYFUNCTION("""COMPUTED_VALUE"""),"Very Good")</f>
        <v>Very Good</v>
      </c>
      <c r="Y953" s="138" t="str">
        <f>IFERROR(__xludf.DUMMYFUNCTION("""COMPUTED_VALUE"""),"Excellent")</f>
        <v>Excellent</v>
      </c>
      <c r="Z953" s="138" t="str">
        <f>IFERROR(__xludf.DUMMYFUNCTION("""COMPUTED_VALUE"""),"Very Good")</f>
        <v>Very Good</v>
      </c>
      <c r="AA953" s="138" t="str">
        <f>IFERROR(__xludf.DUMMYFUNCTION("""COMPUTED_VALUE"""),"Excellent")</f>
        <v>Excellent</v>
      </c>
      <c r="AB953" s="138" t="str">
        <f>IFERROR(__xludf.DUMMYFUNCTION("""COMPUTED_VALUE"""),"Excellent")</f>
        <v>Excellent</v>
      </c>
      <c r="AC953" s="139">
        <f>IFERROR(__xludf.DUMMYFUNCTION("""COMPUTED_VALUE"""),1.0)</f>
        <v>1</v>
      </c>
      <c r="AD953" s="139"/>
      <c r="AE953" s="139"/>
      <c r="AF953" s="140" t="str">
        <f>IFERROR(__xludf.DUMMYFUNCTION("""COMPUTED_VALUE"""),"No. I took delivery of the first car Tesla was able to deliver.")</f>
        <v>No. I took delivery of the first car Tesla was able to deliver.</v>
      </c>
      <c r="AG953" s="145"/>
      <c r="AH953" s="157">
        <f>IFERROR(__xludf.DUMMYFUNCTION("""COMPUTED_VALUE"""),44276.47052403935)</f>
        <v>44276.47052</v>
      </c>
      <c r="AI953" s="138"/>
      <c r="AJ953" s="138"/>
      <c r="AK953" s="138"/>
      <c r="AL953" s="142"/>
    </row>
    <row r="954" ht="20.25" customHeight="1">
      <c r="A954" s="155" t="str">
        <f>IFERROR(__xludf.DUMMYFUNCTION("""COMPUTED_VALUE"""),"Lashlee")</f>
        <v>Lashlee</v>
      </c>
      <c r="B954" s="149" t="str">
        <f>IFERROR(__xludf.DUMMYFUNCTION("""COMPUTED_VALUE"""),"Knoxville")</f>
        <v>Knoxville</v>
      </c>
      <c r="C954" s="149" t="str">
        <f>IFERROR(__xludf.DUMMYFUNCTION("""COMPUTED_VALUE"""),"TN")</f>
        <v>TN</v>
      </c>
      <c r="D954" s="149" t="str">
        <f>IFERROR(__xludf.DUMMYFUNCTION("""COMPUTED_VALUE"""),"USA")</f>
        <v>USA</v>
      </c>
      <c r="E954" s="156">
        <f>IFERROR(__xludf.DUMMYFUNCTION("""COMPUTED_VALUE"""),44245.0)</f>
        <v>44245</v>
      </c>
      <c r="F954" s="129">
        <f>IFERROR(__xludf.DUMMYFUNCTION("""COMPUTED_VALUE"""),44260.0)</f>
        <v>44260</v>
      </c>
      <c r="G954" s="154" t="str">
        <f>IFERROR(__xludf.DUMMYFUNCTION("""COMPUTED_VALUE"""),"Email")</f>
        <v>Email</v>
      </c>
      <c r="H954" s="131">
        <f>IFERROR(__xludf.DUMMYFUNCTION("""COMPUTED_VALUE"""),914369.0)</f>
        <v>914369</v>
      </c>
      <c r="I954" s="144" t="str">
        <f>IFERROR(__xludf.DUMMYFUNCTION("""COMPUTED_VALUE"""),"03/21")</f>
        <v>03/21</v>
      </c>
      <c r="J954" s="129">
        <f>IFERROR(__xludf.DUMMYFUNCTION("""COMPUTED_VALUE"""),44286.0)</f>
        <v>44286</v>
      </c>
      <c r="K954" s="133">
        <f>IFERROR(__xludf.DUMMYFUNCTION("""COMPUTED_VALUE"""),15.0)</f>
        <v>15</v>
      </c>
      <c r="L954" s="133">
        <f>IFERROR(__xludf.DUMMYFUNCTION("""COMPUTED_VALUE"""),26.0)</f>
        <v>26</v>
      </c>
      <c r="M954" s="133">
        <f>IFERROR(__xludf.DUMMYFUNCTION("""COMPUTED_VALUE"""),41.0)</f>
        <v>41</v>
      </c>
      <c r="N954" s="152" t="str">
        <f>IFERROR(__xludf.DUMMYFUNCTION("""COMPUTED_VALUE"""),"Model 3 Performance")</f>
        <v>Model 3 Performance</v>
      </c>
      <c r="O954" s="152" t="str">
        <f>IFERROR(__xludf.DUMMYFUNCTION("""COMPUTED_VALUE"""),"Midnight Silver Metallic")</f>
        <v>Midnight Silver Metallic</v>
      </c>
      <c r="P954" s="153" t="str">
        <f>IFERROR(__xludf.DUMMYFUNCTION("""COMPUTED_VALUE"""),"20 inch")</f>
        <v>20 inch</v>
      </c>
      <c r="Q954" s="152" t="str">
        <f>IFERROR(__xludf.DUMMYFUNCTION("""COMPUTED_VALUE"""),"All Black")</f>
        <v>All Black</v>
      </c>
      <c r="R954" s="149" t="str">
        <f>IFERROR(__xludf.DUMMYFUNCTION("""COMPUTED_VALUE"""),"Autopilot included")</f>
        <v>Autopilot included</v>
      </c>
      <c r="S954" s="149" t="str">
        <f>IFERROR(__xludf.DUMMYFUNCTION("""COMPUTED_VALUE"""),"Loan")</f>
        <v>Loan</v>
      </c>
      <c r="T954" s="145" t="str">
        <f>IFERROR(__xludf.DUMMYFUNCTION("""COMPUTED_VALUE"""),"Nissan Leaf")</f>
        <v>Nissan Leaf</v>
      </c>
      <c r="U954" s="145"/>
      <c r="V954" s="145" t="str">
        <f>IFERROR(__xludf.DUMMYFUNCTION("""COMPUTED_VALUE"""),"Apple CarPlay / Android Auto / SiriusXM Radio")</f>
        <v>Apple CarPlay / Android Auto / SiriusXM Radio</v>
      </c>
      <c r="W954" s="145"/>
      <c r="X954" s="137" t="str">
        <f>IFERROR(__xludf.DUMMYFUNCTION("""COMPUTED_VALUE"""),"Excellent")</f>
        <v>Excellent</v>
      </c>
      <c r="Y954" s="138" t="str">
        <f>IFERROR(__xludf.DUMMYFUNCTION("""COMPUTED_VALUE"""),"Excellent")</f>
        <v>Excellent</v>
      </c>
      <c r="Z954" s="138" t="str">
        <f>IFERROR(__xludf.DUMMYFUNCTION("""COMPUTED_VALUE"""),"Excellent")</f>
        <v>Excellent</v>
      </c>
      <c r="AA954" s="138" t="str">
        <f>IFERROR(__xludf.DUMMYFUNCTION("""COMPUTED_VALUE"""),"Excellent")</f>
        <v>Excellent</v>
      </c>
      <c r="AB954" s="138" t="str">
        <f>IFERROR(__xludf.DUMMYFUNCTION("""COMPUTED_VALUE"""),"Excellent")</f>
        <v>Excellent</v>
      </c>
      <c r="AC954" s="139"/>
      <c r="AD954" s="139"/>
      <c r="AE954" s="139"/>
      <c r="AF954" s="140"/>
      <c r="AG954" s="145"/>
      <c r="AH954" s="157">
        <f>IFERROR(__xludf.DUMMYFUNCTION("""COMPUTED_VALUE"""),44287.58871671296)</f>
        <v>44287.58872</v>
      </c>
      <c r="AI954" s="138"/>
      <c r="AJ954" s="138"/>
      <c r="AK954" s="138"/>
      <c r="AL954" s="142"/>
    </row>
    <row r="955" ht="20.25" customHeight="1">
      <c r="A955" s="155" t="str">
        <f>IFERROR(__xludf.DUMMYFUNCTION("""COMPUTED_VALUE"""),"phoenixheat")</f>
        <v>phoenixheat</v>
      </c>
      <c r="B955" s="149" t="str">
        <f>IFERROR(__xludf.DUMMYFUNCTION("""COMPUTED_VALUE"""),"Phoenix")</f>
        <v>Phoenix</v>
      </c>
      <c r="C955" s="149" t="str">
        <f>IFERROR(__xludf.DUMMYFUNCTION("""COMPUTED_VALUE"""),"AZ")</f>
        <v>AZ</v>
      </c>
      <c r="D955" s="149" t="str">
        <f>IFERROR(__xludf.DUMMYFUNCTION("""COMPUTED_VALUE"""),"USA")</f>
        <v>USA</v>
      </c>
      <c r="E955" s="156">
        <f>IFERROR(__xludf.DUMMYFUNCTION("""COMPUTED_VALUE"""),44245.0)</f>
        <v>44245</v>
      </c>
      <c r="F955" s="129">
        <f>IFERROR(__xludf.DUMMYFUNCTION("""COMPUTED_VALUE"""),44279.0)</f>
        <v>44279</v>
      </c>
      <c r="G955" s="154" t="str">
        <f>IFERROR(__xludf.DUMMYFUNCTION("""COMPUTED_VALUE"""),"Manage order page (normal text)")</f>
        <v>Manage order page (normal text)</v>
      </c>
      <c r="H955" s="131">
        <f>IFERROR(__xludf.DUMMYFUNCTION("""COMPUTED_VALUE"""),925955.0)</f>
        <v>925955</v>
      </c>
      <c r="I955" s="144" t="str">
        <f>IFERROR(__xludf.DUMMYFUNCTION("""COMPUTED_VALUE"""),"03/21")</f>
        <v>03/21</v>
      </c>
      <c r="J955" s="129">
        <f>IFERROR(__xludf.DUMMYFUNCTION("""COMPUTED_VALUE"""),44284.0)</f>
        <v>44284</v>
      </c>
      <c r="K955" s="133">
        <f>IFERROR(__xludf.DUMMYFUNCTION("""COMPUTED_VALUE"""),34.0)</f>
        <v>34</v>
      </c>
      <c r="L955" s="133">
        <f>IFERROR(__xludf.DUMMYFUNCTION("""COMPUTED_VALUE"""),5.0)</f>
        <v>5</v>
      </c>
      <c r="M955" s="133">
        <f>IFERROR(__xludf.DUMMYFUNCTION("""COMPUTED_VALUE"""),39.0)</f>
        <v>39</v>
      </c>
      <c r="N955" s="152" t="str">
        <f>IFERROR(__xludf.DUMMYFUNCTION("""COMPUTED_VALUE"""),"Model 3 Performance")</f>
        <v>Model 3 Performance</v>
      </c>
      <c r="O955" s="152" t="str">
        <f>IFERROR(__xludf.DUMMYFUNCTION("""COMPUTED_VALUE"""),"Red Multi-Coat")</f>
        <v>Red Multi-Coat</v>
      </c>
      <c r="P955" s="153" t="str">
        <f>IFERROR(__xludf.DUMMYFUNCTION("""COMPUTED_VALUE"""),"20 inch")</f>
        <v>20 inch</v>
      </c>
      <c r="Q955" s="152" t="str">
        <f>IFERROR(__xludf.DUMMYFUNCTION("""COMPUTED_VALUE"""),"All Black")</f>
        <v>All Black</v>
      </c>
      <c r="R955" s="149" t="str">
        <f>IFERROR(__xludf.DUMMYFUNCTION("""COMPUTED_VALUE"""),"Autopilot included")</f>
        <v>Autopilot included</v>
      </c>
      <c r="S955" s="149" t="str">
        <f>IFERROR(__xludf.DUMMYFUNCTION("""COMPUTED_VALUE"""),"Loan")</f>
        <v>Loan</v>
      </c>
      <c r="T955" s="145"/>
      <c r="U955" s="145" t="str">
        <f>IFERROR(__xludf.DUMMYFUNCTION("""COMPUTED_VALUE"""),"Electric!")</f>
        <v>Electric!</v>
      </c>
      <c r="V955" s="145" t="str">
        <f>IFERROR(__xludf.DUMMYFUNCTION("""COMPUTED_VALUE"""),"Dashboard")</f>
        <v>Dashboard</v>
      </c>
      <c r="W955" s="145"/>
      <c r="X955" s="137" t="str">
        <f>IFERROR(__xludf.DUMMYFUNCTION("""COMPUTED_VALUE"""),"Excellent")</f>
        <v>Excellent</v>
      </c>
      <c r="Y955" s="138" t="str">
        <f>IFERROR(__xludf.DUMMYFUNCTION("""COMPUTED_VALUE"""),"Very Good")</f>
        <v>Very Good</v>
      </c>
      <c r="Z955" s="138" t="str">
        <f>IFERROR(__xludf.DUMMYFUNCTION("""COMPUTED_VALUE"""),"Excellent")</f>
        <v>Excellent</v>
      </c>
      <c r="AA955" s="138" t="str">
        <f>IFERROR(__xludf.DUMMYFUNCTION("""COMPUTED_VALUE"""),"Fair")</f>
        <v>Fair</v>
      </c>
      <c r="AB955" s="138" t="str">
        <f>IFERROR(__xludf.DUMMYFUNCTION("""COMPUTED_VALUE"""),"Very Good")</f>
        <v>Very Good</v>
      </c>
      <c r="AC955" s="139">
        <f>IFERROR(__xludf.DUMMYFUNCTION("""COMPUTED_VALUE"""),0.0)</f>
        <v>0</v>
      </c>
      <c r="AD955" s="139">
        <f>IFERROR(__xludf.DUMMYFUNCTION("""COMPUTED_VALUE"""),0.0)</f>
        <v>0</v>
      </c>
      <c r="AE955" s="139">
        <f>IFERROR(__xludf.DUMMYFUNCTION("""COMPUTED_VALUE"""),0.0)</f>
        <v>0</v>
      </c>
      <c r="AF955" s="140" t="str">
        <f>IFERROR(__xludf.DUMMYFUNCTION("""COMPUTED_VALUE"""),"No. I took delivery of the first car Tesla was able to deliver.")</f>
        <v>No. I took delivery of the first car Tesla was able to deliver.</v>
      </c>
      <c r="AG955" s="145" t="str">
        <f>IFERROR(__xludf.DUMMYFUNCTION("""COMPUTED_VALUE"""),"Wouldn't it be neat if the ordering / delivery process was similar to ordering a Domino's Pizza through the app?")</f>
        <v>Wouldn't it be neat if the ordering / delivery process was similar to ordering a Domino's Pizza through the app?</v>
      </c>
      <c r="AH955" s="157">
        <f>IFERROR(__xludf.DUMMYFUNCTION("""COMPUTED_VALUE"""),44285.53887461806)</f>
        <v>44285.53887</v>
      </c>
      <c r="AI955" s="138"/>
      <c r="AJ955" s="138"/>
      <c r="AK955" s="138"/>
      <c r="AL955" s="142"/>
    </row>
    <row r="956" ht="20.25" customHeight="1">
      <c r="A956" s="155" t="str">
        <f>IFERROR(__xludf.DUMMYFUNCTION("""COMPUTED_VALUE"""),"goldenstate01")</f>
        <v>goldenstate01</v>
      </c>
      <c r="B956" s="149" t="str">
        <f>IFERROR(__xludf.DUMMYFUNCTION("""COMPUTED_VALUE"""),"Monterey")</f>
        <v>Monterey</v>
      </c>
      <c r="C956" s="149" t="str">
        <f>IFERROR(__xludf.DUMMYFUNCTION("""COMPUTED_VALUE"""),"CA")</f>
        <v>CA</v>
      </c>
      <c r="D956" s="149" t="str">
        <f>IFERROR(__xludf.DUMMYFUNCTION("""COMPUTED_VALUE"""),"USA")</f>
        <v>USA</v>
      </c>
      <c r="E956" s="156">
        <f>IFERROR(__xludf.DUMMYFUNCTION("""COMPUTED_VALUE"""),44244.0)</f>
        <v>44244</v>
      </c>
      <c r="F956" s="129">
        <f>IFERROR(__xludf.DUMMYFUNCTION("""COMPUTED_VALUE"""),44279.0)</f>
        <v>44279</v>
      </c>
      <c r="G956" s="154" t="str">
        <f>IFERROR(__xludf.DUMMYFUNCTION("""COMPUTED_VALUE"""),"Manage order page (normal text)")</f>
        <v>Manage order page (normal text)</v>
      </c>
      <c r="H956" s="131">
        <f>IFERROR(__xludf.DUMMYFUNCTION("""COMPUTED_VALUE"""),937955.0)</f>
        <v>937955</v>
      </c>
      <c r="I956" s="144" t="str">
        <f>IFERROR(__xludf.DUMMYFUNCTION("""COMPUTED_VALUE"""),"03/21")</f>
        <v>03/21</v>
      </c>
      <c r="J956" s="129">
        <f>IFERROR(__xludf.DUMMYFUNCTION("""COMPUTED_VALUE"""),44283.0)</f>
        <v>44283</v>
      </c>
      <c r="K956" s="133">
        <f>IFERROR(__xludf.DUMMYFUNCTION("""COMPUTED_VALUE"""),35.0)</f>
        <v>35</v>
      </c>
      <c r="L956" s="133">
        <f>IFERROR(__xludf.DUMMYFUNCTION("""COMPUTED_VALUE"""),4.0)</f>
        <v>4</v>
      </c>
      <c r="M956" s="133">
        <f>IFERROR(__xludf.DUMMYFUNCTION("""COMPUTED_VALUE"""),39.0)</f>
        <v>39</v>
      </c>
      <c r="N956" s="152" t="str">
        <f>IFERROR(__xludf.DUMMYFUNCTION("""COMPUTED_VALUE"""),"Model 3 LR AWD")</f>
        <v>Model 3 LR AWD</v>
      </c>
      <c r="O956" s="152" t="str">
        <f>IFERROR(__xludf.DUMMYFUNCTION("""COMPUTED_VALUE"""),"Pearl White Multi-Coat")</f>
        <v>Pearl White Multi-Coat</v>
      </c>
      <c r="P956" s="153" t="str">
        <f>IFERROR(__xludf.DUMMYFUNCTION("""COMPUTED_VALUE"""),"18 inch")</f>
        <v>18 inch</v>
      </c>
      <c r="Q956" s="152" t="str">
        <f>IFERROR(__xludf.DUMMYFUNCTION("""COMPUTED_VALUE"""),"All Black")</f>
        <v>All Black</v>
      </c>
      <c r="R956" s="149" t="str">
        <f>IFERROR(__xludf.DUMMYFUNCTION("""COMPUTED_VALUE"""),"Autopilot included")</f>
        <v>Autopilot included</v>
      </c>
      <c r="S956" s="149" t="str">
        <f>IFERROR(__xludf.DUMMYFUNCTION("""COMPUTED_VALUE"""),"Loan")</f>
        <v>Loan</v>
      </c>
      <c r="T956" s="145" t="str">
        <f>IFERROR(__xludf.DUMMYFUNCTION("""COMPUTED_VALUE"""),"Toyota Tacoma")</f>
        <v>Toyota Tacoma</v>
      </c>
      <c r="U956" s="145" t="str">
        <f>IFERROR(__xludf.DUMMYFUNCTION("""COMPUTED_VALUE"""),"Electric!")</f>
        <v>Electric!</v>
      </c>
      <c r="V956" s="145" t="str">
        <f>IFERROR(__xludf.DUMMYFUNCTION("""COMPUTED_VALUE"""),"Blind spot indicators on side mirrors")</f>
        <v>Blind spot indicators on side mirrors</v>
      </c>
      <c r="W956" s="145"/>
      <c r="X956" s="137" t="str">
        <f>IFERROR(__xludf.DUMMYFUNCTION("""COMPUTED_VALUE"""),"Very Good")</f>
        <v>Very Good</v>
      </c>
      <c r="Y956" s="138" t="str">
        <f>IFERROR(__xludf.DUMMYFUNCTION("""COMPUTED_VALUE"""),"Excellent")</f>
        <v>Excellent</v>
      </c>
      <c r="Z956" s="138" t="str">
        <f>IFERROR(__xludf.DUMMYFUNCTION("""COMPUTED_VALUE"""),"Excellent")</f>
        <v>Excellent</v>
      </c>
      <c r="AA956" s="138" t="str">
        <f>IFERROR(__xludf.DUMMYFUNCTION("""COMPUTED_VALUE"""),"Excellent")</f>
        <v>Excellent</v>
      </c>
      <c r="AB956" s="138" t="str">
        <f>IFERROR(__xludf.DUMMYFUNCTION("""COMPUTED_VALUE"""),"Excellent")</f>
        <v>Excellent</v>
      </c>
      <c r="AC956" s="139">
        <f>IFERROR(__xludf.DUMMYFUNCTION("""COMPUTED_VALUE"""),0.0)</f>
        <v>0</v>
      </c>
      <c r="AD956" s="139">
        <f>IFERROR(__xludf.DUMMYFUNCTION("""COMPUTED_VALUE"""),0.0)</f>
        <v>0</v>
      </c>
      <c r="AE956" s="139">
        <f>IFERROR(__xludf.DUMMYFUNCTION("""COMPUTED_VALUE"""),0.0)</f>
        <v>0</v>
      </c>
      <c r="AF956" s="140" t="str">
        <f>IFERROR(__xludf.DUMMYFUNCTION("""COMPUTED_VALUE"""),"No. I took delivery of the first car Tesla was able to deliver.")</f>
        <v>No. I took delivery of the first car Tesla was able to deliver.</v>
      </c>
      <c r="AG956" s="145"/>
      <c r="AH956" s="157">
        <f>IFERROR(__xludf.DUMMYFUNCTION("""COMPUTED_VALUE"""),44284.385436550925)</f>
        <v>44284.38544</v>
      </c>
      <c r="AI956" s="138"/>
      <c r="AJ956" s="138"/>
      <c r="AK956" s="138"/>
      <c r="AL956" s="142"/>
    </row>
    <row r="957" ht="20.25" customHeight="1">
      <c r="A957" s="155" t="str">
        <f>IFERROR(__xludf.DUMMYFUNCTION("""COMPUTED_VALUE"""),"Ignatius2021")</f>
        <v>Ignatius2021</v>
      </c>
      <c r="B957" s="149" t="str">
        <f>IFERROR(__xludf.DUMMYFUNCTION("""COMPUTED_VALUE"""),"Seattle ")</f>
        <v>Seattle </v>
      </c>
      <c r="C957" s="149" t="str">
        <f>IFERROR(__xludf.DUMMYFUNCTION("""COMPUTED_VALUE"""),"WA")</f>
        <v>WA</v>
      </c>
      <c r="D957" s="149" t="str">
        <f>IFERROR(__xludf.DUMMYFUNCTION("""COMPUTED_VALUE"""),"USA")</f>
        <v>USA</v>
      </c>
      <c r="E957" s="156">
        <f>IFERROR(__xludf.DUMMYFUNCTION("""COMPUTED_VALUE"""),44244.0)</f>
        <v>44244</v>
      </c>
      <c r="F957" s="129">
        <f>IFERROR(__xludf.DUMMYFUNCTION("""COMPUTED_VALUE"""),44278.0)</f>
        <v>44278</v>
      </c>
      <c r="G957" s="154" t="str">
        <f>IFERROR(__xludf.DUMMYFUNCTION("""COMPUTED_VALUE"""),"Email")</f>
        <v>Email</v>
      </c>
      <c r="H957" s="131">
        <f>IFERROR(__xludf.DUMMYFUNCTION("""COMPUTED_VALUE"""),929055.0)</f>
        <v>929055</v>
      </c>
      <c r="I957" s="144" t="str">
        <f>IFERROR(__xludf.DUMMYFUNCTION("""COMPUTED_VALUE"""),"03/21")</f>
        <v>03/21</v>
      </c>
      <c r="J957" s="129">
        <f>IFERROR(__xludf.DUMMYFUNCTION("""COMPUTED_VALUE"""),44282.0)</f>
        <v>44282</v>
      </c>
      <c r="K957" s="133">
        <f>IFERROR(__xludf.DUMMYFUNCTION("""COMPUTED_VALUE"""),34.0)</f>
        <v>34</v>
      </c>
      <c r="L957" s="133">
        <f>IFERROR(__xludf.DUMMYFUNCTION("""COMPUTED_VALUE"""),4.0)</f>
        <v>4</v>
      </c>
      <c r="M957" s="133">
        <f>IFERROR(__xludf.DUMMYFUNCTION("""COMPUTED_VALUE"""),38.0)</f>
        <v>38</v>
      </c>
      <c r="N957" s="152" t="str">
        <f>IFERROR(__xludf.DUMMYFUNCTION("""COMPUTED_VALUE"""),"Model 3 LR AWD")</f>
        <v>Model 3 LR AWD</v>
      </c>
      <c r="O957" s="152" t="str">
        <f>IFERROR(__xludf.DUMMYFUNCTION("""COMPUTED_VALUE"""),"Midnight Silver Metallic")</f>
        <v>Midnight Silver Metallic</v>
      </c>
      <c r="P957" s="153" t="str">
        <f>IFERROR(__xludf.DUMMYFUNCTION("""COMPUTED_VALUE"""),"18 inch")</f>
        <v>18 inch</v>
      </c>
      <c r="Q957" s="152" t="str">
        <f>IFERROR(__xludf.DUMMYFUNCTION("""COMPUTED_VALUE"""),"All Black")</f>
        <v>All Black</v>
      </c>
      <c r="R957" s="149" t="str">
        <f>IFERROR(__xludf.DUMMYFUNCTION("""COMPUTED_VALUE"""),"Autopilot included")</f>
        <v>Autopilot included</v>
      </c>
      <c r="S957" s="149" t="str">
        <f>IFERROR(__xludf.DUMMYFUNCTION("""COMPUTED_VALUE"""),"Loan")</f>
        <v>Loan</v>
      </c>
      <c r="T957" s="145" t="str">
        <f>IFERROR(__xludf.DUMMYFUNCTION("""COMPUTED_VALUE"""),"Mercedes E320")</f>
        <v>Mercedes E320</v>
      </c>
      <c r="U957" s="145" t="str">
        <f>IFERROR(__xludf.DUMMYFUNCTION("""COMPUTED_VALUE"""),"Electric!")</f>
        <v>Electric!</v>
      </c>
      <c r="V957" s="145" t="str">
        <f>IFERROR(__xludf.DUMMYFUNCTION("""COMPUTED_VALUE"""),"Apple CarPlay / Android Auto / SiriusXM Radio")</f>
        <v>Apple CarPlay / Android Auto / SiriusXM Radio</v>
      </c>
      <c r="W957" s="145" t="str">
        <f>IFERROR(__xludf.DUMMYFUNCTION("""COMPUTED_VALUE"""),"Expect to wait until the last week of the quarter before delivery. ")</f>
        <v>Expect to wait until the last week of the quarter before delivery. </v>
      </c>
      <c r="X957" s="137" t="str">
        <f>IFERROR(__xludf.DUMMYFUNCTION("""COMPUTED_VALUE"""),"Very Good")</f>
        <v>Very Good</v>
      </c>
      <c r="Y957" s="138" t="str">
        <f>IFERROR(__xludf.DUMMYFUNCTION("""COMPUTED_VALUE"""),"Excellent")</f>
        <v>Excellent</v>
      </c>
      <c r="Z957" s="138" t="str">
        <f>IFERROR(__xludf.DUMMYFUNCTION("""COMPUTED_VALUE"""),"Excellent")</f>
        <v>Excellent</v>
      </c>
      <c r="AA957" s="138" t="str">
        <f>IFERROR(__xludf.DUMMYFUNCTION("""COMPUTED_VALUE"""),"Very Good")</f>
        <v>Very Good</v>
      </c>
      <c r="AB957" s="138" t="str">
        <f>IFERROR(__xludf.DUMMYFUNCTION("""COMPUTED_VALUE"""),"Very Good")</f>
        <v>Very Good</v>
      </c>
      <c r="AC957" s="139">
        <f>IFERROR(__xludf.DUMMYFUNCTION("""COMPUTED_VALUE"""),0.0)</f>
        <v>0</v>
      </c>
      <c r="AD957" s="139"/>
      <c r="AE957" s="139"/>
      <c r="AF957" s="140" t="str">
        <f>IFERROR(__xludf.DUMMYFUNCTION("""COMPUTED_VALUE"""),"No. I took delivery of the first car Tesla was able to deliver.")</f>
        <v>No. I took delivery of the first car Tesla was able to deliver.</v>
      </c>
      <c r="AG957" s="145"/>
      <c r="AH957" s="157">
        <f>IFERROR(__xludf.DUMMYFUNCTION("""COMPUTED_VALUE"""),44282.909188969905)</f>
        <v>44282.90919</v>
      </c>
      <c r="AI957" s="138"/>
      <c r="AJ957" s="138"/>
      <c r="AK957" s="138"/>
      <c r="AL957" s="142"/>
    </row>
    <row r="958" ht="20.25" customHeight="1">
      <c r="A958" s="155" t="str">
        <f>IFERROR(__xludf.DUMMYFUNCTION("""COMPUTED_VALUE"""),"ToothOfCrime")</f>
        <v>ToothOfCrime</v>
      </c>
      <c r="B958" s="149" t="str">
        <f>IFERROR(__xludf.DUMMYFUNCTION("""COMPUTED_VALUE"""),"Nashville")</f>
        <v>Nashville</v>
      </c>
      <c r="C958" s="149" t="str">
        <f>IFERROR(__xludf.DUMMYFUNCTION("""COMPUTED_VALUE"""),"TN")</f>
        <v>TN</v>
      </c>
      <c r="D958" s="149" t="str">
        <f>IFERROR(__xludf.DUMMYFUNCTION("""COMPUTED_VALUE"""),"USA")</f>
        <v>USA</v>
      </c>
      <c r="E958" s="156">
        <f>IFERROR(__xludf.DUMMYFUNCTION("""COMPUTED_VALUE"""),44244.0)</f>
        <v>44244</v>
      </c>
      <c r="F958" s="129">
        <f>IFERROR(__xludf.DUMMYFUNCTION("""COMPUTED_VALUE"""),44263.0)</f>
        <v>44263</v>
      </c>
      <c r="G958" s="154" t="str">
        <f>IFERROR(__xludf.DUMMYFUNCTION("""COMPUTED_VALUE"""),"Manage order page (normal text)")</f>
        <v>Manage order page (normal text)</v>
      </c>
      <c r="H958" s="131">
        <f>IFERROR(__xludf.DUMMYFUNCTION("""COMPUTED_VALUE"""),915555.0)</f>
        <v>915555</v>
      </c>
      <c r="I958" s="144"/>
      <c r="J958" s="129">
        <f>IFERROR(__xludf.DUMMYFUNCTION("""COMPUTED_VALUE"""),44278.0)</f>
        <v>44278</v>
      </c>
      <c r="K958" s="133">
        <f>IFERROR(__xludf.DUMMYFUNCTION("""COMPUTED_VALUE"""),19.0)</f>
        <v>19</v>
      </c>
      <c r="L958" s="133">
        <f>IFERROR(__xludf.DUMMYFUNCTION("""COMPUTED_VALUE"""),15.0)</f>
        <v>15</v>
      </c>
      <c r="M958" s="133">
        <f>IFERROR(__xludf.DUMMYFUNCTION("""COMPUTED_VALUE"""),34.0)</f>
        <v>34</v>
      </c>
      <c r="N958" s="152" t="str">
        <f>IFERROR(__xludf.DUMMYFUNCTION("""COMPUTED_VALUE"""),"Model 3 LR AWD")</f>
        <v>Model 3 LR AWD</v>
      </c>
      <c r="O958" s="152" t="str">
        <f>IFERROR(__xludf.DUMMYFUNCTION("""COMPUTED_VALUE"""),"Pearl White Multi-Coat")</f>
        <v>Pearl White Multi-Coat</v>
      </c>
      <c r="P958" s="153" t="str">
        <f>IFERROR(__xludf.DUMMYFUNCTION("""COMPUTED_VALUE"""),"18 inch")</f>
        <v>18 inch</v>
      </c>
      <c r="Q958" s="152" t="str">
        <f>IFERROR(__xludf.DUMMYFUNCTION("""COMPUTED_VALUE"""),"All Black")</f>
        <v>All Black</v>
      </c>
      <c r="R958" s="149" t="str">
        <f>IFERROR(__xludf.DUMMYFUNCTION("""COMPUTED_VALUE"""),"Autopilot included")</f>
        <v>Autopilot included</v>
      </c>
      <c r="S958" s="149" t="str">
        <f>IFERROR(__xludf.DUMMYFUNCTION("""COMPUTED_VALUE"""),"Lease")</f>
        <v>Lease</v>
      </c>
      <c r="T958" s="145" t="str">
        <f>IFERROR(__xludf.DUMMYFUNCTION("""COMPUTED_VALUE"""),"Mazda CX-5")</f>
        <v>Mazda CX-5</v>
      </c>
      <c r="U958" s="145" t="str">
        <f>IFERROR(__xludf.DUMMYFUNCTION("""COMPUTED_VALUE"""),"Electric!")</f>
        <v>Electric!</v>
      </c>
      <c r="V958" s="145" t="str">
        <f>IFERROR(__xludf.DUMMYFUNCTION("""COMPUTED_VALUE"""),"Blind spot indicators on side mirrors")</f>
        <v>Blind spot indicators on side mirrors</v>
      </c>
      <c r="W958" s="145"/>
      <c r="X958" s="137" t="str">
        <f>IFERROR(__xludf.DUMMYFUNCTION("""COMPUTED_VALUE"""),"Very Good")</f>
        <v>Very Good</v>
      </c>
      <c r="Y958" s="138" t="str">
        <f>IFERROR(__xludf.DUMMYFUNCTION("""COMPUTED_VALUE"""),"Excellent")</f>
        <v>Excellent</v>
      </c>
      <c r="Z958" s="138" t="str">
        <f>IFERROR(__xludf.DUMMYFUNCTION("""COMPUTED_VALUE"""),"Very Good")</f>
        <v>Very Good</v>
      </c>
      <c r="AA958" s="138" t="str">
        <f>IFERROR(__xludf.DUMMYFUNCTION("""COMPUTED_VALUE"""),"Very Good")</f>
        <v>Very Good</v>
      </c>
      <c r="AB958" s="138" t="str">
        <f>IFERROR(__xludf.DUMMYFUNCTION("""COMPUTED_VALUE"""),"Very Good")</f>
        <v>Very Good</v>
      </c>
      <c r="AC958" s="139">
        <f>IFERROR(__xludf.DUMMYFUNCTION("""COMPUTED_VALUE"""),1.0)</f>
        <v>1</v>
      </c>
      <c r="AD958" s="139">
        <f>IFERROR(__xludf.DUMMYFUNCTION("""COMPUTED_VALUE"""),0.0)</f>
        <v>0</v>
      </c>
      <c r="AE958" s="139">
        <f>IFERROR(__xludf.DUMMYFUNCTION("""COMPUTED_VALUE"""),0.0)</f>
        <v>0</v>
      </c>
      <c r="AF958" s="140" t="str">
        <f>IFERROR(__xludf.DUMMYFUNCTION("""COMPUTED_VALUE"""),"No. I took delivery of the first car Tesla was able to deliver.")</f>
        <v>No. I took delivery of the first car Tesla was able to deliver.</v>
      </c>
      <c r="AG958" s="145"/>
      <c r="AH958" s="157">
        <f>IFERROR(__xludf.DUMMYFUNCTION("""COMPUTED_VALUE"""),44301.44572668982)</f>
        <v>44301.44573</v>
      </c>
      <c r="AI958" s="138"/>
      <c r="AJ958" s="138"/>
      <c r="AK958" s="138"/>
      <c r="AL958" s="142"/>
    </row>
    <row r="959" ht="20.25" customHeight="1">
      <c r="A959" s="155" t="str">
        <f>IFERROR(__xludf.DUMMYFUNCTION("""COMPUTED_VALUE"""),"ginonca")</f>
        <v>ginonca</v>
      </c>
      <c r="B959" s="149" t="str">
        <f>IFERROR(__xludf.DUMMYFUNCTION("""COMPUTED_VALUE"""),"Barrie")</f>
        <v>Barrie</v>
      </c>
      <c r="C959" s="149" t="str">
        <f>IFERROR(__xludf.DUMMYFUNCTION("""COMPUTED_VALUE"""),"ON")</f>
        <v>ON</v>
      </c>
      <c r="D959" s="149" t="str">
        <f>IFERROR(__xludf.DUMMYFUNCTION("""COMPUTED_VALUE"""),"Canada")</f>
        <v>Canada</v>
      </c>
      <c r="E959" s="156">
        <f>IFERROR(__xludf.DUMMYFUNCTION("""COMPUTED_VALUE"""),44242.0)</f>
        <v>44242</v>
      </c>
      <c r="F959" s="129">
        <f>IFERROR(__xludf.DUMMYFUNCTION("""COMPUTED_VALUE"""),44254.0)</f>
        <v>44254</v>
      </c>
      <c r="G959" s="154" t="str">
        <f>IFERROR(__xludf.DUMMYFUNCTION("""COMPUTED_VALUE"""),"Sales Agent when I called to ask ETA")</f>
        <v>Sales Agent when I called to ask ETA</v>
      </c>
      <c r="H959" s="131">
        <f>IFERROR(__xludf.DUMMYFUNCTION("""COMPUTED_VALUE"""),918555.0)</f>
        <v>918555</v>
      </c>
      <c r="I959" s="144" t="str">
        <f>IFERROR(__xludf.DUMMYFUNCTION("""COMPUTED_VALUE"""),"02/21")</f>
        <v>02/21</v>
      </c>
      <c r="J959" s="129">
        <f>IFERROR(__xludf.DUMMYFUNCTION("""COMPUTED_VALUE"""),44268.0)</f>
        <v>44268</v>
      </c>
      <c r="K959" s="133">
        <f>IFERROR(__xludf.DUMMYFUNCTION("""COMPUTED_VALUE"""),12.0)</f>
        <v>12</v>
      </c>
      <c r="L959" s="133">
        <f>IFERROR(__xludf.DUMMYFUNCTION("""COMPUTED_VALUE"""),14.0)</f>
        <v>14</v>
      </c>
      <c r="M959" s="133">
        <f>IFERROR(__xludf.DUMMYFUNCTION("""COMPUTED_VALUE"""),26.0)</f>
        <v>26</v>
      </c>
      <c r="N959" s="152" t="str">
        <f>IFERROR(__xludf.DUMMYFUNCTION("""COMPUTED_VALUE"""),"Model 3 SR+")</f>
        <v>Model 3 SR+</v>
      </c>
      <c r="O959" s="152" t="str">
        <f>IFERROR(__xludf.DUMMYFUNCTION("""COMPUTED_VALUE"""),"Pearl White Multi-Coat")</f>
        <v>Pearl White Multi-Coat</v>
      </c>
      <c r="P959" s="153" t="str">
        <f>IFERROR(__xludf.DUMMYFUNCTION("""COMPUTED_VALUE"""),"18 inch")</f>
        <v>18 inch</v>
      </c>
      <c r="Q959" s="152" t="str">
        <f>IFERROR(__xludf.DUMMYFUNCTION("""COMPUTED_VALUE"""),"All Black")</f>
        <v>All Black</v>
      </c>
      <c r="R959" s="149" t="str">
        <f>IFERROR(__xludf.DUMMYFUNCTION("""COMPUTED_VALUE"""),"Autopilot included")</f>
        <v>Autopilot included</v>
      </c>
      <c r="S959" s="149" t="str">
        <f>IFERROR(__xludf.DUMMYFUNCTION("""COMPUTED_VALUE"""),"Loan")</f>
        <v>Loan</v>
      </c>
      <c r="T959" s="145" t="str">
        <f>IFERROR(__xludf.DUMMYFUNCTION("""COMPUTED_VALUE"""),"Kia Soul EV")</f>
        <v>Kia Soul EV</v>
      </c>
      <c r="U959" s="145" t="str">
        <f>IFERROR(__xludf.DUMMYFUNCTION("""COMPUTED_VALUE"""),"Style / Range")</f>
        <v>Style / Range</v>
      </c>
      <c r="V959" s="145" t="str">
        <f>IFERROR(__xludf.DUMMYFUNCTION("""COMPUTED_VALUE"""),"Head-up display")</f>
        <v>Head-up display</v>
      </c>
      <c r="W959" s="145"/>
      <c r="X959" s="137" t="str">
        <f>IFERROR(__xludf.DUMMYFUNCTION("""COMPUTED_VALUE"""),"Excellent")</f>
        <v>Excellent</v>
      </c>
      <c r="Y959" s="138" t="str">
        <f>IFERROR(__xludf.DUMMYFUNCTION("""COMPUTED_VALUE"""),"Excellent")</f>
        <v>Excellent</v>
      </c>
      <c r="Z959" s="138" t="str">
        <f>IFERROR(__xludf.DUMMYFUNCTION("""COMPUTED_VALUE"""),"Excellent")</f>
        <v>Excellent</v>
      </c>
      <c r="AA959" s="138" t="str">
        <f>IFERROR(__xludf.DUMMYFUNCTION("""COMPUTED_VALUE"""),"Good")</f>
        <v>Good</v>
      </c>
      <c r="AB959" s="138" t="str">
        <f>IFERROR(__xludf.DUMMYFUNCTION("""COMPUTED_VALUE"""),"Excellent")</f>
        <v>Excellent</v>
      </c>
      <c r="AC959" s="139">
        <f>IFERROR(__xludf.DUMMYFUNCTION("""COMPUTED_VALUE"""),0.0)</f>
        <v>0</v>
      </c>
      <c r="AD959" s="139">
        <f>IFERROR(__xludf.DUMMYFUNCTION("""COMPUTED_VALUE"""),0.0)</f>
        <v>0</v>
      </c>
      <c r="AE959" s="139">
        <f>IFERROR(__xludf.DUMMYFUNCTION("""COMPUTED_VALUE"""),0.0)</f>
        <v>0</v>
      </c>
      <c r="AF959" s="140" t="str">
        <f>IFERROR(__xludf.DUMMYFUNCTION("""COMPUTED_VALUE"""),"No. I took delivery of the first car Tesla was able to deliver.")</f>
        <v>No. I took delivery of the first car Tesla was able to deliver.</v>
      </c>
      <c r="AG959" s="145"/>
      <c r="AH959" s="157">
        <f>IFERROR(__xludf.DUMMYFUNCTION("""COMPUTED_VALUE"""),44269.35978077546)</f>
        <v>44269.35978</v>
      </c>
      <c r="AI959" s="138"/>
      <c r="AJ959" s="138"/>
      <c r="AK959" s="138"/>
      <c r="AL959" s="142"/>
    </row>
    <row r="960" ht="20.25" customHeight="1">
      <c r="A960" s="155" t="str">
        <f>IFERROR(__xludf.DUMMYFUNCTION("""COMPUTED_VALUE"""),"Mikulski")</f>
        <v>Mikulski</v>
      </c>
      <c r="B960" s="149" t="str">
        <f>IFERROR(__xludf.DUMMYFUNCTION("""COMPUTED_VALUE"""),"Princeton")</f>
        <v>Princeton</v>
      </c>
      <c r="C960" s="149" t="str">
        <f>IFERROR(__xludf.DUMMYFUNCTION("""COMPUTED_VALUE"""),"NJ")</f>
        <v>NJ</v>
      </c>
      <c r="D960" s="149" t="str">
        <f>IFERROR(__xludf.DUMMYFUNCTION("""COMPUTED_VALUE"""),"USA")</f>
        <v>USA</v>
      </c>
      <c r="E960" s="156">
        <f>IFERROR(__xludf.DUMMYFUNCTION("""COMPUTED_VALUE"""),44242.0)</f>
        <v>44242</v>
      </c>
      <c r="F960" s="129">
        <f>IFERROR(__xludf.DUMMYFUNCTION("""COMPUTED_VALUE"""),44270.0)</f>
        <v>44270</v>
      </c>
      <c r="G960" s="154" t="str">
        <f>IFERROR(__xludf.DUMMYFUNCTION("""COMPUTED_VALUE"""),"Email")</f>
        <v>Email</v>
      </c>
      <c r="H960" s="131"/>
      <c r="I960" s="144"/>
      <c r="J960" s="129">
        <f>IFERROR(__xludf.DUMMYFUNCTION("""COMPUTED_VALUE"""),44284.0)</f>
        <v>44284</v>
      </c>
      <c r="K960" s="133">
        <f>IFERROR(__xludf.DUMMYFUNCTION("""COMPUTED_VALUE"""),28.0)</f>
        <v>28</v>
      </c>
      <c r="L960" s="133">
        <f>IFERROR(__xludf.DUMMYFUNCTION("""COMPUTED_VALUE"""),14.0)</f>
        <v>14</v>
      </c>
      <c r="M960" s="133">
        <f>IFERROR(__xludf.DUMMYFUNCTION("""COMPUTED_VALUE"""),42.0)</f>
        <v>42</v>
      </c>
      <c r="N960" s="152" t="str">
        <f>IFERROR(__xludf.DUMMYFUNCTION("""COMPUTED_VALUE"""),"Model 3 Performance")</f>
        <v>Model 3 Performance</v>
      </c>
      <c r="O960" s="152" t="str">
        <f>IFERROR(__xludf.DUMMYFUNCTION("""COMPUTED_VALUE"""),"Pearl White Multi-Coat")</f>
        <v>Pearl White Multi-Coat</v>
      </c>
      <c r="P960" s="153" t="str">
        <f>IFERROR(__xludf.DUMMYFUNCTION("""COMPUTED_VALUE"""),"20 inch")</f>
        <v>20 inch</v>
      </c>
      <c r="Q960" s="152" t="str">
        <f>IFERROR(__xludf.DUMMYFUNCTION("""COMPUTED_VALUE"""),"All Black")</f>
        <v>All Black</v>
      </c>
      <c r="R960" s="149" t="str">
        <f>IFERROR(__xludf.DUMMYFUNCTION("""COMPUTED_VALUE"""),"Autopilot included")</f>
        <v>Autopilot included</v>
      </c>
      <c r="S960" s="149" t="str">
        <f>IFERROR(__xludf.DUMMYFUNCTION("""COMPUTED_VALUE"""),"Lease")</f>
        <v>Lease</v>
      </c>
      <c r="T960" s="145" t="str">
        <f>IFERROR(__xludf.DUMMYFUNCTION("""COMPUTED_VALUE"""),"Acura MDX")</f>
        <v>Acura MDX</v>
      </c>
      <c r="U960" s="145" t="str">
        <f>IFERROR(__xludf.DUMMYFUNCTION("""COMPUTED_VALUE"""),"Electric!")</f>
        <v>Electric!</v>
      </c>
      <c r="V960" s="145" t="str">
        <f>IFERROR(__xludf.DUMMYFUNCTION("""COMPUTED_VALUE"""),"Heated steering wheel")</f>
        <v>Heated steering wheel</v>
      </c>
      <c r="W960" s="145"/>
      <c r="X960" s="137" t="str">
        <f>IFERROR(__xludf.DUMMYFUNCTION("""COMPUTED_VALUE"""),"Excellent")</f>
        <v>Excellent</v>
      </c>
      <c r="Y960" s="138" t="str">
        <f>IFERROR(__xludf.DUMMYFUNCTION("""COMPUTED_VALUE"""),"Excellent")</f>
        <v>Excellent</v>
      </c>
      <c r="Z960" s="138" t="str">
        <f>IFERROR(__xludf.DUMMYFUNCTION("""COMPUTED_VALUE"""),"Excellent")</f>
        <v>Excellent</v>
      </c>
      <c r="AA960" s="138" t="str">
        <f>IFERROR(__xludf.DUMMYFUNCTION("""COMPUTED_VALUE"""),"Excellent")</f>
        <v>Excellent</v>
      </c>
      <c r="AB960" s="138" t="str">
        <f>IFERROR(__xludf.DUMMYFUNCTION("""COMPUTED_VALUE"""),"Excellent")</f>
        <v>Excellent</v>
      </c>
      <c r="AC960" s="139"/>
      <c r="AD960" s="139"/>
      <c r="AE960" s="139"/>
      <c r="AF960" s="140" t="str">
        <f>IFERROR(__xludf.DUMMYFUNCTION("""COMPUTED_VALUE"""),"No. I took delivery of the first car Tesla was able to deliver.")</f>
        <v>No. I took delivery of the first car Tesla was able to deliver.</v>
      </c>
      <c r="AG960" s="145"/>
      <c r="AH960" s="157">
        <f>IFERROR(__xludf.DUMMYFUNCTION("""COMPUTED_VALUE"""),44284.78329402777)</f>
        <v>44284.78329</v>
      </c>
      <c r="AI960" s="138"/>
      <c r="AJ960" s="138"/>
      <c r="AK960" s="138"/>
      <c r="AL960" s="142"/>
    </row>
    <row r="961" ht="20.25" customHeight="1">
      <c r="A961" s="155" t="str">
        <f>IFERROR(__xludf.DUMMYFUNCTION("""COMPUTED_VALUE"""),"DrThomas430")</f>
        <v>DrThomas430</v>
      </c>
      <c r="B961" s="149" t="str">
        <f>IFERROR(__xludf.DUMMYFUNCTION("""COMPUTED_VALUE"""),"Evans")</f>
        <v>Evans</v>
      </c>
      <c r="C961" s="149" t="str">
        <f>IFERROR(__xludf.DUMMYFUNCTION("""COMPUTED_VALUE"""),"GA")</f>
        <v>GA</v>
      </c>
      <c r="D961" s="149" t="str">
        <f>IFERROR(__xludf.DUMMYFUNCTION("""COMPUTED_VALUE"""),"USA")</f>
        <v>USA</v>
      </c>
      <c r="E961" s="156">
        <f>IFERROR(__xludf.DUMMYFUNCTION("""COMPUTED_VALUE"""),44241.0)</f>
        <v>44241</v>
      </c>
      <c r="F961" s="129">
        <f>IFERROR(__xludf.DUMMYFUNCTION("""COMPUTED_VALUE"""),44267.0)</f>
        <v>44267</v>
      </c>
      <c r="G961" s="154" t="str">
        <f>IFERROR(__xludf.DUMMYFUNCTION("""COMPUTED_VALUE"""),"Email")</f>
        <v>Email</v>
      </c>
      <c r="H961" s="131">
        <f>IFERROR(__xludf.DUMMYFUNCTION("""COMPUTED_VALUE"""),913655.0)</f>
        <v>913655</v>
      </c>
      <c r="I961" s="144"/>
      <c r="J961" s="129">
        <f>IFERROR(__xludf.DUMMYFUNCTION("""COMPUTED_VALUE"""),44270.0)</f>
        <v>44270</v>
      </c>
      <c r="K961" s="133">
        <f>IFERROR(__xludf.DUMMYFUNCTION("""COMPUTED_VALUE"""),26.0)</f>
        <v>26</v>
      </c>
      <c r="L961" s="133">
        <f>IFERROR(__xludf.DUMMYFUNCTION("""COMPUTED_VALUE"""),3.0)</f>
        <v>3</v>
      </c>
      <c r="M961" s="133">
        <f>IFERROR(__xludf.DUMMYFUNCTION("""COMPUTED_VALUE"""),29.0)</f>
        <v>29</v>
      </c>
      <c r="N961" s="152" t="str">
        <f>IFERROR(__xludf.DUMMYFUNCTION("""COMPUTED_VALUE"""),"Model 3 Performance")</f>
        <v>Model 3 Performance</v>
      </c>
      <c r="O961" s="152" t="str">
        <f>IFERROR(__xludf.DUMMYFUNCTION("""COMPUTED_VALUE"""),"Pearl White Multi-Coat")</f>
        <v>Pearl White Multi-Coat</v>
      </c>
      <c r="P961" s="153" t="str">
        <f>IFERROR(__xludf.DUMMYFUNCTION("""COMPUTED_VALUE"""),"20 inch")</f>
        <v>20 inch</v>
      </c>
      <c r="Q961" s="152" t="str">
        <f>IFERROR(__xludf.DUMMYFUNCTION("""COMPUTED_VALUE"""),"All Black")</f>
        <v>All Black</v>
      </c>
      <c r="R961" s="149" t="str">
        <f>IFERROR(__xludf.DUMMYFUNCTION("""COMPUTED_VALUE"""),"Autopilot included")</f>
        <v>Autopilot included</v>
      </c>
      <c r="S961" s="149" t="str">
        <f>IFERROR(__xludf.DUMMYFUNCTION("""COMPUTED_VALUE"""),"Loan")</f>
        <v>Loan</v>
      </c>
      <c r="T961" s="145" t="str">
        <f>IFERROR(__xludf.DUMMYFUNCTION("""COMPUTED_VALUE"""),"BMW 3 Series")</f>
        <v>BMW 3 Series</v>
      </c>
      <c r="U961" s="145" t="str">
        <f>IFERROR(__xludf.DUMMYFUNCTION("""COMPUTED_VALUE"""),"Electric!")</f>
        <v>Electric!</v>
      </c>
      <c r="V961" s="145" t="str">
        <f>IFERROR(__xludf.DUMMYFUNCTION("""COMPUTED_VALUE"""),"Head-up display")</f>
        <v>Head-up display</v>
      </c>
      <c r="W961" s="145"/>
      <c r="X961" s="137" t="str">
        <f>IFERROR(__xludf.DUMMYFUNCTION("""COMPUTED_VALUE"""),"Excellent")</f>
        <v>Excellent</v>
      </c>
      <c r="Y961" s="138" t="str">
        <f>IFERROR(__xludf.DUMMYFUNCTION("""COMPUTED_VALUE"""),"Excellent")</f>
        <v>Excellent</v>
      </c>
      <c r="Z961" s="138" t="str">
        <f>IFERROR(__xludf.DUMMYFUNCTION("""COMPUTED_VALUE"""),"Very Good")</f>
        <v>Very Good</v>
      </c>
      <c r="AA961" s="138" t="str">
        <f>IFERROR(__xludf.DUMMYFUNCTION("""COMPUTED_VALUE"""),"Excellent")</f>
        <v>Excellent</v>
      </c>
      <c r="AB961" s="138" t="str">
        <f>IFERROR(__xludf.DUMMYFUNCTION("""COMPUTED_VALUE"""),"Excellent")</f>
        <v>Excellent</v>
      </c>
      <c r="AC961" s="139">
        <f>IFERROR(__xludf.DUMMYFUNCTION("""COMPUTED_VALUE"""),2.0)</f>
        <v>2</v>
      </c>
      <c r="AD961" s="139">
        <f>IFERROR(__xludf.DUMMYFUNCTION("""COMPUTED_VALUE"""),2.0)</f>
        <v>2</v>
      </c>
      <c r="AE961" s="139">
        <f>IFERROR(__xludf.DUMMYFUNCTION("""COMPUTED_VALUE"""),0.0)</f>
        <v>0</v>
      </c>
      <c r="AF961" s="140" t="str">
        <f>IFERROR(__xludf.DUMMYFUNCTION("""COMPUTED_VALUE"""),"No. I took delivery of the first car Tesla was able to deliver.")</f>
        <v>No. I took delivery of the first car Tesla was able to deliver.</v>
      </c>
      <c r="AG961" s="145" t="str">
        <f>IFERROR(__xludf.DUMMYFUNCTION("""COMPUTED_VALUE"""),"First service center experience sucked. Zero communication before and during. Was told it would be a mobile tech appointment, then the day before received message expecting me to drive 2.5 hours to service center. Same lack of communication at center. Car"&amp;" will be ready in 2 hours at most, 2.5 hours later I asked and was told techs went to lunch and it would be 3 more hours till done. Had to arrange child and dog care because I wouldn't make it back in time. ")</f>
        <v>First service center experience sucked. Zero communication before and during. Was told it would be a mobile tech appointment, then the day before received message expecting me to drive 2.5 hours to service center. Same lack of communication at center. Car will be ready in 2 hours at most, 2.5 hours later I asked and was told techs went to lunch and it would be 3 more hours till done. Had to arrange child and dog care because I wouldn't make it back in time. </v>
      </c>
      <c r="AH961" s="157">
        <f>IFERROR(__xludf.DUMMYFUNCTION("""COMPUTED_VALUE"""),44293.160123912035)</f>
        <v>44293.16012</v>
      </c>
      <c r="AI961" s="138"/>
      <c r="AJ961" s="138"/>
      <c r="AK961" s="138"/>
      <c r="AL961" s="142"/>
    </row>
    <row r="962" ht="20.25" customHeight="1">
      <c r="A962" s="155" t="str">
        <f>IFERROR(__xludf.DUMMYFUNCTION("""COMPUTED_VALUE"""),"Ajsev")</f>
        <v>Ajsev</v>
      </c>
      <c r="B962" s="149" t="str">
        <f>IFERROR(__xludf.DUMMYFUNCTION("""COMPUTED_VALUE"""),"South central CT")</f>
        <v>South central CT</v>
      </c>
      <c r="C962" s="149" t="str">
        <f>IFERROR(__xludf.DUMMYFUNCTION("""COMPUTED_VALUE"""),"CT")</f>
        <v>CT</v>
      </c>
      <c r="D962" s="149" t="str">
        <f>IFERROR(__xludf.DUMMYFUNCTION("""COMPUTED_VALUE"""),"USA")</f>
        <v>USA</v>
      </c>
      <c r="E962" s="156">
        <f>IFERROR(__xludf.DUMMYFUNCTION("""COMPUTED_VALUE"""),44240.0)</f>
        <v>44240</v>
      </c>
      <c r="F962" s="129">
        <f>IFERROR(__xludf.DUMMYFUNCTION("""COMPUTED_VALUE"""),44243.0)</f>
        <v>44243</v>
      </c>
      <c r="G962" s="154" t="str">
        <f>IFERROR(__xludf.DUMMYFUNCTION("""COMPUTED_VALUE"""),"Email")</f>
        <v>Email</v>
      </c>
      <c r="H962" s="131">
        <f>IFERROR(__xludf.DUMMYFUNCTION("""COMPUTED_VALUE"""),911355.0)</f>
        <v>911355</v>
      </c>
      <c r="I962" s="144"/>
      <c r="J962" s="129">
        <f>IFERROR(__xludf.DUMMYFUNCTION("""COMPUTED_VALUE"""),36959.0)</f>
        <v>36959</v>
      </c>
      <c r="K962" s="133">
        <f>IFERROR(__xludf.DUMMYFUNCTION("""COMPUTED_VALUE"""),3.0)</f>
        <v>3</v>
      </c>
      <c r="L962" s="133"/>
      <c r="M962" s="133"/>
      <c r="N962" s="152" t="str">
        <f>IFERROR(__xludf.DUMMYFUNCTION("""COMPUTED_VALUE"""),"Model 3 SR+")</f>
        <v>Model 3 SR+</v>
      </c>
      <c r="O962" s="152" t="str">
        <f>IFERROR(__xludf.DUMMYFUNCTION("""COMPUTED_VALUE"""),"Midnight Silver Metallic")</f>
        <v>Midnight Silver Metallic</v>
      </c>
      <c r="P962" s="153" t="str">
        <f>IFERROR(__xludf.DUMMYFUNCTION("""COMPUTED_VALUE"""),"18 inch")</f>
        <v>18 inch</v>
      </c>
      <c r="Q962" s="152" t="str">
        <f>IFERROR(__xludf.DUMMYFUNCTION("""COMPUTED_VALUE"""),"All Black")</f>
        <v>All Black</v>
      </c>
      <c r="R962" s="149" t="str">
        <f>IFERROR(__xludf.DUMMYFUNCTION("""COMPUTED_VALUE"""),"Autopilot included")</f>
        <v>Autopilot included</v>
      </c>
      <c r="S962" s="149"/>
      <c r="T962" s="145"/>
      <c r="U962" s="145" t="str">
        <f>IFERROR(__xludf.DUMMYFUNCTION("""COMPUTED_VALUE"""),"Autopilot")</f>
        <v>Autopilot</v>
      </c>
      <c r="V962" s="145" t="str">
        <f>IFERROR(__xludf.DUMMYFUNCTION("""COMPUTED_VALUE"""),"Apple CarPlay / Android Auto / SiriusXM Radio")</f>
        <v>Apple CarPlay / Android Auto / SiriusXM Radio</v>
      </c>
      <c r="W962" s="145"/>
      <c r="X962" s="137" t="str">
        <f>IFERROR(__xludf.DUMMYFUNCTION("""COMPUTED_VALUE"""),"Good")</f>
        <v>Good</v>
      </c>
      <c r="Y962" s="138" t="str">
        <f>IFERROR(__xludf.DUMMYFUNCTION("""COMPUTED_VALUE"""),"Excellent")</f>
        <v>Excellent</v>
      </c>
      <c r="Z962" s="138" t="str">
        <f>IFERROR(__xludf.DUMMYFUNCTION("""COMPUTED_VALUE"""),"Very Good")</f>
        <v>Very Good</v>
      </c>
      <c r="AA962" s="138" t="str">
        <f>IFERROR(__xludf.DUMMYFUNCTION("""COMPUTED_VALUE"""),"Very Good")</f>
        <v>Very Good</v>
      </c>
      <c r="AB962" s="138" t="str">
        <f>IFERROR(__xludf.DUMMYFUNCTION("""COMPUTED_VALUE"""),"Excellent")</f>
        <v>Excellent</v>
      </c>
      <c r="AC962" s="139">
        <f>IFERROR(__xludf.DUMMYFUNCTION("""COMPUTED_VALUE"""),3.0)</f>
        <v>3</v>
      </c>
      <c r="AD962" s="139">
        <f>IFERROR(__xludf.DUMMYFUNCTION("""COMPUTED_VALUE"""),1.0)</f>
        <v>1</v>
      </c>
      <c r="AE962" s="139">
        <f>IFERROR(__xludf.DUMMYFUNCTION("""COMPUTED_VALUE"""),0.0)</f>
        <v>0</v>
      </c>
      <c r="AF962" s="140" t="str">
        <f>IFERROR(__xludf.DUMMYFUNCTION("""COMPUTED_VALUE"""),"No. I took delivery of the first car Tesla was able to deliver.")</f>
        <v>No. I took delivery of the first car Tesla was able to deliver.</v>
      </c>
      <c r="AG962" s="145"/>
      <c r="AH962" s="157">
        <f>IFERROR(__xludf.DUMMYFUNCTION("""COMPUTED_VALUE"""),44280.34658503473)</f>
        <v>44280.34659</v>
      </c>
      <c r="AI962" s="138"/>
      <c r="AJ962" s="138"/>
      <c r="AK962" s="138"/>
      <c r="AL962" s="142"/>
    </row>
    <row r="963" ht="20.25" customHeight="1">
      <c r="A963" s="155" t="str">
        <f>IFERROR(__xludf.DUMMYFUNCTION("""COMPUTED_VALUE"""),"josephcsible")</f>
        <v>josephcsible</v>
      </c>
      <c r="B963" s="149"/>
      <c r="C963" s="149"/>
      <c r="D963" s="149" t="str">
        <f>IFERROR(__xludf.DUMMYFUNCTION("""COMPUTED_VALUE"""),"USA")</f>
        <v>USA</v>
      </c>
      <c r="E963" s="156">
        <f>IFERROR(__xludf.DUMMYFUNCTION("""COMPUTED_VALUE"""),44240.0)</f>
        <v>44240</v>
      </c>
      <c r="F963" s="129">
        <f>IFERROR(__xludf.DUMMYFUNCTION("""COMPUTED_VALUE"""),44260.0)</f>
        <v>44260</v>
      </c>
      <c r="G963" s="154" t="str">
        <f>IFERROR(__xludf.DUMMYFUNCTION("""COMPUTED_VALUE"""),"Manage order page (normal text)")</f>
        <v>Manage order page (normal text)</v>
      </c>
      <c r="H963" s="131">
        <f>IFERROR(__xludf.DUMMYFUNCTION("""COMPUTED_VALUE"""),919255.0)</f>
        <v>919255</v>
      </c>
      <c r="I963" s="144" t="str">
        <f>IFERROR(__xludf.DUMMYFUNCTION("""COMPUTED_VALUE"""),"03/21")</f>
        <v>03/21</v>
      </c>
      <c r="J963" s="129">
        <f>IFERROR(__xludf.DUMMYFUNCTION("""COMPUTED_VALUE"""),44274.0)</f>
        <v>44274</v>
      </c>
      <c r="K963" s="133">
        <f>IFERROR(__xludf.DUMMYFUNCTION("""COMPUTED_VALUE"""),20.0)</f>
        <v>20</v>
      </c>
      <c r="L963" s="133">
        <f>IFERROR(__xludf.DUMMYFUNCTION("""COMPUTED_VALUE"""),14.0)</f>
        <v>14</v>
      </c>
      <c r="M963" s="133">
        <f>IFERROR(__xludf.DUMMYFUNCTION("""COMPUTED_VALUE"""),34.0)</f>
        <v>34</v>
      </c>
      <c r="N963" s="152" t="str">
        <f>IFERROR(__xludf.DUMMYFUNCTION("""COMPUTED_VALUE"""),"Model 3 LR AWD")</f>
        <v>Model 3 LR AWD</v>
      </c>
      <c r="O963" s="152" t="str">
        <f>IFERROR(__xludf.DUMMYFUNCTION("""COMPUTED_VALUE"""),"Pearl White Multi-Coat")</f>
        <v>Pearl White Multi-Coat</v>
      </c>
      <c r="P963" s="153" t="str">
        <f>IFERROR(__xludf.DUMMYFUNCTION("""COMPUTED_VALUE"""),"18 inch")</f>
        <v>18 inch</v>
      </c>
      <c r="Q963" s="152" t="str">
        <f>IFERROR(__xludf.DUMMYFUNCTION("""COMPUTED_VALUE"""),"Black and White")</f>
        <v>Black and White</v>
      </c>
      <c r="R963" s="149" t="str">
        <f>IFERROR(__xludf.DUMMYFUNCTION("""COMPUTED_VALUE"""),"Autopilot included")</f>
        <v>Autopilot included</v>
      </c>
      <c r="S963" s="149" t="str">
        <f>IFERROR(__xludf.DUMMYFUNCTION("""COMPUTED_VALUE"""),"Loan")</f>
        <v>Loan</v>
      </c>
      <c r="T963" s="145" t="str">
        <f>IFERROR(__xludf.DUMMYFUNCTION("""COMPUTED_VALUE"""),"Chevy Volt")</f>
        <v>Chevy Volt</v>
      </c>
      <c r="U963" s="145" t="str">
        <f>IFERROR(__xludf.DUMMYFUNCTION("""COMPUTED_VALUE"""),"Supercharger V3 support")</f>
        <v>Supercharger V3 support</v>
      </c>
      <c r="V963" s="145"/>
      <c r="W963" s="145"/>
      <c r="X963" s="137" t="str">
        <f>IFERROR(__xludf.DUMMYFUNCTION("""COMPUTED_VALUE"""),"Fair")</f>
        <v>Fair</v>
      </c>
      <c r="Y963" s="138" t="str">
        <f>IFERROR(__xludf.DUMMYFUNCTION("""COMPUTED_VALUE"""),"Excellent")</f>
        <v>Excellent</v>
      </c>
      <c r="Z963" s="138" t="str">
        <f>IFERROR(__xludf.DUMMYFUNCTION("""COMPUTED_VALUE"""),"Good")</f>
        <v>Good</v>
      </c>
      <c r="AA963" s="138" t="str">
        <f>IFERROR(__xludf.DUMMYFUNCTION("""COMPUTED_VALUE"""),"Excellent")</f>
        <v>Excellent</v>
      </c>
      <c r="AB963" s="138" t="str">
        <f>IFERROR(__xludf.DUMMYFUNCTION("""COMPUTED_VALUE"""),"Excellent")</f>
        <v>Excellent</v>
      </c>
      <c r="AC963" s="139">
        <f>IFERROR(__xludf.DUMMYFUNCTION("""COMPUTED_VALUE"""),1.0)</f>
        <v>1</v>
      </c>
      <c r="AD963" s="139">
        <f>IFERROR(__xludf.DUMMYFUNCTION("""COMPUTED_VALUE"""),0.0)</f>
        <v>0</v>
      </c>
      <c r="AE963" s="139">
        <f>IFERROR(__xludf.DUMMYFUNCTION("""COMPUTED_VALUE"""),0.0)</f>
        <v>0</v>
      </c>
      <c r="AF963" s="140" t="str">
        <f>IFERROR(__xludf.DUMMYFUNCTION("""COMPUTED_VALUE"""),"No. I took delivery of the first car Tesla was able to deliver.")</f>
        <v>No. I took delivery of the first car Tesla was able to deliver.</v>
      </c>
      <c r="AG963" s="145"/>
      <c r="AH963" s="157">
        <f>IFERROR(__xludf.DUMMYFUNCTION("""COMPUTED_VALUE"""),44275.45250515046)</f>
        <v>44275.45251</v>
      </c>
      <c r="AI963" s="138"/>
      <c r="AJ963" s="138"/>
      <c r="AK963" s="138"/>
      <c r="AL963" s="142"/>
    </row>
    <row r="964" ht="20.25" customHeight="1">
      <c r="A964" s="155" t="str">
        <f>IFERROR(__xludf.DUMMYFUNCTION("""COMPUTED_VALUE"""),"rnb")</f>
        <v>rnb</v>
      </c>
      <c r="B964" s="149" t="str">
        <f>IFERROR(__xludf.DUMMYFUNCTION("""COMPUTED_VALUE"""),"Providence")</f>
        <v>Providence</v>
      </c>
      <c r="C964" s="149" t="str">
        <f>IFERROR(__xludf.DUMMYFUNCTION("""COMPUTED_VALUE"""),"RI")</f>
        <v>RI</v>
      </c>
      <c r="D964" s="149" t="str">
        <f>IFERROR(__xludf.DUMMYFUNCTION("""COMPUTED_VALUE"""),"USA")</f>
        <v>USA</v>
      </c>
      <c r="E964" s="156">
        <f>IFERROR(__xludf.DUMMYFUNCTION("""COMPUTED_VALUE"""),44240.0)</f>
        <v>44240</v>
      </c>
      <c r="F964" s="129">
        <f>IFERROR(__xludf.DUMMYFUNCTION("""COMPUTED_VALUE"""),44263.0)</f>
        <v>44263</v>
      </c>
      <c r="G964" s="154" t="str">
        <f>IFERROR(__xludf.DUMMYFUNCTION("""COMPUTED_VALUE"""),"Manage order page (normal text)")</f>
        <v>Manage order page (normal text)</v>
      </c>
      <c r="H964" s="131">
        <f>IFERROR(__xludf.DUMMYFUNCTION("""COMPUTED_VALUE"""),914955.0)</f>
        <v>914955</v>
      </c>
      <c r="I964" s="144"/>
      <c r="J964" s="129">
        <f>IFERROR(__xludf.DUMMYFUNCTION("""COMPUTED_VALUE"""),44274.0)</f>
        <v>44274</v>
      </c>
      <c r="K964" s="133">
        <f>IFERROR(__xludf.DUMMYFUNCTION("""COMPUTED_VALUE"""),23.0)</f>
        <v>23</v>
      </c>
      <c r="L964" s="133">
        <f>IFERROR(__xludf.DUMMYFUNCTION("""COMPUTED_VALUE"""),11.0)</f>
        <v>11</v>
      </c>
      <c r="M964" s="133">
        <f>IFERROR(__xludf.DUMMYFUNCTION("""COMPUTED_VALUE"""),34.0)</f>
        <v>34</v>
      </c>
      <c r="N964" s="152" t="str">
        <f>IFERROR(__xludf.DUMMYFUNCTION("""COMPUTED_VALUE"""),"Model 3 LR AWD")</f>
        <v>Model 3 LR AWD</v>
      </c>
      <c r="O964" s="152" t="str">
        <f>IFERROR(__xludf.DUMMYFUNCTION("""COMPUTED_VALUE"""),"Deep Blue Metallic")</f>
        <v>Deep Blue Metallic</v>
      </c>
      <c r="P964" s="153" t="str">
        <f>IFERROR(__xludf.DUMMYFUNCTION("""COMPUTED_VALUE"""),"18 inch")</f>
        <v>18 inch</v>
      </c>
      <c r="Q964" s="152" t="str">
        <f>IFERROR(__xludf.DUMMYFUNCTION("""COMPUTED_VALUE"""),"All Black")</f>
        <v>All Black</v>
      </c>
      <c r="R964" s="149" t="str">
        <f>IFERROR(__xludf.DUMMYFUNCTION("""COMPUTED_VALUE"""),"Autopilot included")</f>
        <v>Autopilot included</v>
      </c>
      <c r="S964" s="149" t="str">
        <f>IFERROR(__xludf.DUMMYFUNCTION("""COMPUTED_VALUE"""),"Loan")</f>
        <v>Loan</v>
      </c>
      <c r="T964" s="145" t="str">
        <f>IFERROR(__xludf.DUMMYFUNCTION("""COMPUTED_VALUE"""),"Subaru Impreza")</f>
        <v>Subaru Impreza</v>
      </c>
      <c r="U964" s="145" t="str">
        <f>IFERROR(__xludf.DUMMYFUNCTION("""COMPUTED_VALUE"""),"Electric!")</f>
        <v>Electric!</v>
      </c>
      <c r="V964" s="145" t="str">
        <f>IFERROR(__xludf.DUMMYFUNCTION("""COMPUTED_VALUE"""),"Ventilated seats")</f>
        <v>Ventilated seats</v>
      </c>
      <c r="W964" s="145"/>
      <c r="X964" s="137" t="str">
        <f>IFERROR(__xludf.DUMMYFUNCTION("""COMPUTED_VALUE"""),"Excellent")</f>
        <v>Excellent</v>
      </c>
      <c r="Y964" s="138" t="str">
        <f>IFERROR(__xludf.DUMMYFUNCTION("""COMPUTED_VALUE"""),"Excellent")</f>
        <v>Excellent</v>
      </c>
      <c r="Z964" s="138" t="str">
        <f>IFERROR(__xludf.DUMMYFUNCTION("""COMPUTED_VALUE"""),"Excellent")</f>
        <v>Excellent</v>
      </c>
      <c r="AA964" s="138" t="str">
        <f>IFERROR(__xludf.DUMMYFUNCTION("""COMPUTED_VALUE"""),"Excellent")</f>
        <v>Excellent</v>
      </c>
      <c r="AB964" s="138" t="str">
        <f>IFERROR(__xludf.DUMMYFUNCTION("""COMPUTED_VALUE"""),"Excellent")</f>
        <v>Excellent</v>
      </c>
      <c r="AC964" s="139"/>
      <c r="AD964" s="139"/>
      <c r="AE964" s="139"/>
      <c r="AF964" s="140" t="str">
        <f>IFERROR(__xludf.DUMMYFUNCTION("""COMPUTED_VALUE"""),"No. I took delivery of the first car Tesla was able to deliver.")</f>
        <v>No. I took delivery of the first car Tesla was able to deliver.</v>
      </c>
      <c r="AG964" s="145"/>
      <c r="AH964" s="157">
        <f>IFERROR(__xludf.DUMMYFUNCTION("""COMPUTED_VALUE"""),44274.75587379629)</f>
        <v>44274.75587</v>
      </c>
      <c r="AI964" s="138"/>
      <c r="AJ964" s="138"/>
      <c r="AK964" s="138"/>
      <c r="AL964" s="142"/>
    </row>
    <row r="965" ht="20.25" customHeight="1">
      <c r="A965" s="155" t="str">
        <f>IFERROR(__xludf.DUMMYFUNCTION("""COMPUTED_VALUE"""),"HP")</f>
        <v>HP</v>
      </c>
      <c r="B965" s="149" t="str">
        <f>IFERROR(__xludf.DUMMYFUNCTION("""COMPUTED_VALUE"""),"Westport")</f>
        <v>Westport</v>
      </c>
      <c r="C965" s="149" t="str">
        <f>IFERROR(__xludf.DUMMYFUNCTION("""COMPUTED_VALUE"""),"CT")</f>
        <v>CT</v>
      </c>
      <c r="D965" s="149" t="str">
        <f>IFERROR(__xludf.DUMMYFUNCTION("""COMPUTED_VALUE"""),"USA")</f>
        <v>USA</v>
      </c>
      <c r="E965" s="156">
        <f>IFERROR(__xludf.DUMMYFUNCTION("""COMPUTED_VALUE"""),44239.0)</f>
        <v>44239</v>
      </c>
      <c r="F965" s="129">
        <f>IFERROR(__xludf.DUMMYFUNCTION("""COMPUTED_VALUE"""),44263.0)</f>
        <v>44263</v>
      </c>
      <c r="G965" s="154" t="str">
        <f>IFERROR(__xludf.DUMMYFUNCTION("""COMPUTED_VALUE"""),"Manage order page (normal text)")</f>
        <v>Manage order page (normal text)</v>
      </c>
      <c r="H965" s="131">
        <f>IFERROR(__xludf.DUMMYFUNCTION("""COMPUTED_VALUE"""),914955.0)</f>
        <v>914955</v>
      </c>
      <c r="I965" s="144"/>
      <c r="J965" s="129">
        <f>IFERROR(__xludf.DUMMYFUNCTION("""COMPUTED_VALUE"""),44277.0)</f>
        <v>44277</v>
      </c>
      <c r="K965" s="133">
        <f>IFERROR(__xludf.DUMMYFUNCTION("""COMPUTED_VALUE"""),24.0)</f>
        <v>24</v>
      </c>
      <c r="L965" s="133">
        <f>IFERROR(__xludf.DUMMYFUNCTION("""COMPUTED_VALUE"""),14.0)</f>
        <v>14</v>
      </c>
      <c r="M965" s="133">
        <f>IFERROR(__xludf.DUMMYFUNCTION("""COMPUTED_VALUE"""),38.0)</f>
        <v>38</v>
      </c>
      <c r="N965" s="152" t="str">
        <f>IFERROR(__xludf.DUMMYFUNCTION("""COMPUTED_VALUE"""),"Model 3 LR AWD")</f>
        <v>Model 3 LR AWD</v>
      </c>
      <c r="O965" s="152" t="str">
        <f>IFERROR(__xludf.DUMMYFUNCTION("""COMPUTED_VALUE"""),"Midnight Silver Metallic")</f>
        <v>Midnight Silver Metallic</v>
      </c>
      <c r="P965" s="153" t="str">
        <f>IFERROR(__xludf.DUMMYFUNCTION("""COMPUTED_VALUE"""),"18 inch")</f>
        <v>18 inch</v>
      </c>
      <c r="Q965" s="152" t="str">
        <f>IFERROR(__xludf.DUMMYFUNCTION("""COMPUTED_VALUE"""),"All Black")</f>
        <v>All Black</v>
      </c>
      <c r="R965" s="149" t="str">
        <f>IFERROR(__xludf.DUMMYFUNCTION("""COMPUTED_VALUE"""),"Autopilot included")</f>
        <v>Autopilot included</v>
      </c>
      <c r="S965" s="149" t="str">
        <f>IFERROR(__xludf.DUMMYFUNCTION("""COMPUTED_VALUE"""),"Loan")</f>
        <v>Loan</v>
      </c>
      <c r="T965" s="145" t="str">
        <f>IFERROR(__xludf.DUMMYFUNCTION("""COMPUTED_VALUE"""),"Audi A5")</f>
        <v>Audi A5</v>
      </c>
      <c r="U965" s="145" t="str">
        <f>IFERROR(__xludf.DUMMYFUNCTION("""COMPUTED_VALUE"""),"Autopilot")</f>
        <v>Autopilot</v>
      </c>
      <c r="V965" s="145" t="str">
        <f>IFERROR(__xludf.DUMMYFUNCTION("""COMPUTED_VALUE"""),"Blind spot indicators on side mirrors")</f>
        <v>Blind spot indicators on side mirrors</v>
      </c>
      <c r="W965" s="145"/>
      <c r="X965" s="137" t="str">
        <f>IFERROR(__xludf.DUMMYFUNCTION("""COMPUTED_VALUE"""),"Excellent")</f>
        <v>Excellent</v>
      </c>
      <c r="Y965" s="138" t="str">
        <f>IFERROR(__xludf.DUMMYFUNCTION("""COMPUTED_VALUE"""),"Excellent")</f>
        <v>Excellent</v>
      </c>
      <c r="Z965" s="138" t="str">
        <f>IFERROR(__xludf.DUMMYFUNCTION("""COMPUTED_VALUE"""),"Excellent")</f>
        <v>Excellent</v>
      </c>
      <c r="AA965" s="138" t="str">
        <f>IFERROR(__xludf.DUMMYFUNCTION("""COMPUTED_VALUE"""),"Excellent")</f>
        <v>Excellent</v>
      </c>
      <c r="AB965" s="138" t="str">
        <f>IFERROR(__xludf.DUMMYFUNCTION("""COMPUTED_VALUE"""),"Excellent")</f>
        <v>Excellent</v>
      </c>
      <c r="AC965" s="139">
        <f>IFERROR(__xludf.DUMMYFUNCTION("""COMPUTED_VALUE"""),0.0)</f>
        <v>0</v>
      </c>
      <c r="AD965" s="139"/>
      <c r="AE965" s="139"/>
      <c r="AF965" s="140" t="str">
        <f>IFERROR(__xludf.DUMMYFUNCTION("""COMPUTED_VALUE"""),"No. I took delivery of the first car Tesla was able to deliver.")</f>
        <v>No. I took delivery of the first car Tesla was able to deliver.</v>
      </c>
      <c r="AG965" s="145"/>
      <c r="AH965" s="157">
        <f>IFERROR(__xludf.DUMMYFUNCTION("""COMPUTED_VALUE"""),44277.606819456014)</f>
        <v>44277.60682</v>
      </c>
      <c r="AI965" s="138"/>
      <c r="AJ965" s="138"/>
      <c r="AK965" s="138"/>
      <c r="AL965" s="142"/>
    </row>
    <row r="966" ht="20.25" customHeight="1">
      <c r="A966" s="155" t="str">
        <f>IFERROR(__xludf.DUMMYFUNCTION("""COMPUTED_VALUE"""),"Totallynotmike")</f>
        <v>Totallynotmike</v>
      </c>
      <c r="B966" s="149" t="str">
        <f>IFERROR(__xludf.DUMMYFUNCTION("""COMPUTED_VALUE"""),"Youngstown")</f>
        <v>Youngstown</v>
      </c>
      <c r="C966" s="149" t="str">
        <f>IFERROR(__xludf.DUMMYFUNCTION("""COMPUTED_VALUE"""),"OH")</f>
        <v>OH</v>
      </c>
      <c r="D966" s="149" t="str">
        <f>IFERROR(__xludf.DUMMYFUNCTION("""COMPUTED_VALUE"""),"USA")</f>
        <v>USA</v>
      </c>
      <c r="E966" s="156">
        <f>IFERROR(__xludf.DUMMYFUNCTION("""COMPUTED_VALUE"""),44239.0)</f>
        <v>44239</v>
      </c>
      <c r="F966" s="129">
        <f>IFERROR(__xludf.DUMMYFUNCTION("""COMPUTED_VALUE"""),44260.0)</f>
        <v>44260</v>
      </c>
      <c r="G966" s="154" t="str">
        <f>IFERROR(__xludf.DUMMYFUNCTION("""COMPUTED_VALUE"""),"Manage order page (normal text)")</f>
        <v>Manage order page (normal text)</v>
      </c>
      <c r="H966" s="131">
        <f>IFERROR(__xludf.DUMMYFUNCTION("""COMPUTED_VALUE"""),917955.0)</f>
        <v>917955</v>
      </c>
      <c r="I966" s="144" t="str">
        <f>IFERROR(__xludf.DUMMYFUNCTION("""COMPUTED_VALUE"""),"03/21")</f>
        <v>03/21</v>
      </c>
      <c r="J966" s="129">
        <f>IFERROR(__xludf.DUMMYFUNCTION("""COMPUTED_VALUE"""),44274.0)</f>
        <v>44274</v>
      </c>
      <c r="K966" s="133">
        <f>IFERROR(__xludf.DUMMYFUNCTION("""COMPUTED_VALUE"""),21.0)</f>
        <v>21</v>
      </c>
      <c r="L966" s="133">
        <f>IFERROR(__xludf.DUMMYFUNCTION("""COMPUTED_VALUE"""),14.0)</f>
        <v>14</v>
      </c>
      <c r="M966" s="133">
        <f>IFERROR(__xludf.DUMMYFUNCTION("""COMPUTED_VALUE"""),35.0)</f>
        <v>35</v>
      </c>
      <c r="N966" s="152" t="str">
        <f>IFERROR(__xludf.DUMMYFUNCTION("""COMPUTED_VALUE"""),"Model 3 LR AWD")</f>
        <v>Model 3 LR AWD</v>
      </c>
      <c r="O966" s="152" t="str">
        <f>IFERROR(__xludf.DUMMYFUNCTION("""COMPUTED_VALUE"""),"Deep Blue Metallic")</f>
        <v>Deep Blue Metallic</v>
      </c>
      <c r="P966" s="153" t="str">
        <f>IFERROR(__xludf.DUMMYFUNCTION("""COMPUTED_VALUE"""),"18 inch")</f>
        <v>18 inch</v>
      </c>
      <c r="Q966" s="152" t="str">
        <f>IFERROR(__xludf.DUMMYFUNCTION("""COMPUTED_VALUE"""),"Black and White")</f>
        <v>Black and White</v>
      </c>
      <c r="R966" s="149" t="str">
        <f>IFERROR(__xludf.DUMMYFUNCTION("""COMPUTED_VALUE"""),"Autopilot included")</f>
        <v>Autopilot included</v>
      </c>
      <c r="S966" s="149" t="str">
        <f>IFERROR(__xludf.DUMMYFUNCTION("""COMPUTED_VALUE"""),"Loan")</f>
        <v>Loan</v>
      </c>
      <c r="T966" s="145" t="str">
        <f>IFERROR(__xludf.DUMMYFUNCTION("""COMPUTED_VALUE"""),"Hyundai Sonata")</f>
        <v>Hyundai Sonata</v>
      </c>
      <c r="U966" s="145" t="str">
        <f>IFERROR(__xludf.DUMMYFUNCTION("""COMPUTED_VALUE"""),"Electric!")</f>
        <v>Electric!</v>
      </c>
      <c r="V966" s="145" t="str">
        <f>IFERROR(__xludf.DUMMYFUNCTION("""COMPUTED_VALUE"""),"Blind spot indicators on side mirrors")</f>
        <v>Blind spot indicators on side mirrors</v>
      </c>
      <c r="W966" s="145"/>
      <c r="X966" s="137" t="str">
        <f>IFERROR(__xludf.DUMMYFUNCTION("""COMPUTED_VALUE"""),"Excellent")</f>
        <v>Excellent</v>
      </c>
      <c r="Y966" s="138" t="str">
        <f>IFERROR(__xludf.DUMMYFUNCTION("""COMPUTED_VALUE"""),"Excellent")</f>
        <v>Excellent</v>
      </c>
      <c r="Z966" s="138" t="str">
        <f>IFERROR(__xludf.DUMMYFUNCTION("""COMPUTED_VALUE"""),"Excellent")</f>
        <v>Excellent</v>
      </c>
      <c r="AA966" s="138" t="str">
        <f>IFERROR(__xludf.DUMMYFUNCTION("""COMPUTED_VALUE"""),"Good")</f>
        <v>Good</v>
      </c>
      <c r="AB966" s="138" t="str">
        <f>IFERROR(__xludf.DUMMYFUNCTION("""COMPUTED_VALUE"""),"Excellent")</f>
        <v>Excellent</v>
      </c>
      <c r="AC966" s="139">
        <f>IFERROR(__xludf.DUMMYFUNCTION("""COMPUTED_VALUE"""),0.0)</f>
        <v>0</v>
      </c>
      <c r="AD966" s="139">
        <f>IFERROR(__xludf.DUMMYFUNCTION("""COMPUTED_VALUE"""),0.0)</f>
        <v>0</v>
      </c>
      <c r="AE966" s="139">
        <f>IFERROR(__xludf.DUMMYFUNCTION("""COMPUTED_VALUE"""),0.0)</f>
        <v>0</v>
      </c>
      <c r="AF966" s="140" t="str">
        <f>IFERROR(__xludf.DUMMYFUNCTION("""COMPUTED_VALUE"""),"No. I took delivery of the first car Tesla was able to deliver.")</f>
        <v>No. I took delivery of the first car Tesla was able to deliver.</v>
      </c>
      <c r="AG966" s="145"/>
      <c r="AH966" s="157">
        <f>IFERROR(__xludf.DUMMYFUNCTION("""COMPUTED_VALUE"""),44307.387126608795)</f>
        <v>44307.38713</v>
      </c>
      <c r="AI966" s="138"/>
      <c r="AJ966" s="138"/>
      <c r="AK966" s="138"/>
      <c r="AL966" s="142"/>
    </row>
    <row r="967" ht="20.25" customHeight="1">
      <c r="A967" s="155" t="str">
        <f>IFERROR(__xludf.DUMMYFUNCTION("""COMPUTED_VALUE"""),"Knight")</f>
        <v>Knight</v>
      </c>
      <c r="B967" s="149" t="str">
        <f>IFERROR(__xludf.DUMMYFUNCTION("""COMPUTED_VALUE"""),"Vista")</f>
        <v>Vista</v>
      </c>
      <c r="C967" s="149" t="str">
        <f>IFERROR(__xludf.DUMMYFUNCTION("""COMPUTED_VALUE"""),"CA")</f>
        <v>CA</v>
      </c>
      <c r="D967" s="149" t="str">
        <f>IFERROR(__xludf.DUMMYFUNCTION("""COMPUTED_VALUE"""),"USA")</f>
        <v>USA</v>
      </c>
      <c r="E967" s="156">
        <f>IFERROR(__xludf.DUMMYFUNCTION("""COMPUTED_VALUE"""),44238.0)</f>
        <v>44238</v>
      </c>
      <c r="F967" s="129">
        <f>IFERROR(__xludf.DUMMYFUNCTION("""COMPUTED_VALUE"""),44282.0)</f>
        <v>44282</v>
      </c>
      <c r="G967" s="154" t="str">
        <f>IFERROR(__xludf.DUMMYFUNCTION("""COMPUTED_VALUE"""),"Manage order page (normal text)")</f>
        <v>Manage order page (normal text)</v>
      </c>
      <c r="H967" s="131">
        <f>IFERROR(__xludf.DUMMYFUNCTION("""COMPUTED_VALUE"""),937755.0)</f>
        <v>937755</v>
      </c>
      <c r="I967" s="144" t="str">
        <f>IFERROR(__xludf.DUMMYFUNCTION("""COMPUTED_VALUE"""),"03/21")</f>
        <v>03/21</v>
      </c>
      <c r="J967" s="129">
        <f>IFERROR(__xludf.DUMMYFUNCTION("""COMPUTED_VALUE"""),44286.0)</f>
        <v>44286</v>
      </c>
      <c r="K967" s="133">
        <f>IFERROR(__xludf.DUMMYFUNCTION("""COMPUTED_VALUE"""),44.0)</f>
        <v>44</v>
      </c>
      <c r="L967" s="133">
        <f>IFERROR(__xludf.DUMMYFUNCTION("""COMPUTED_VALUE"""),4.0)</f>
        <v>4</v>
      </c>
      <c r="M967" s="133">
        <f>IFERROR(__xludf.DUMMYFUNCTION("""COMPUTED_VALUE"""),48.0)</f>
        <v>48</v>
      </c>
      <c r="N967" s="152" t="str">
        <f>IFERROR(__xludf.DUMMYFUNCTION("""COMPUTED_VALUE"""),"Model 3 LR AWD")</f>
        <v>Model 3 LR AWD</v>
      </c>
      <c r="O967" s="152" t="str">
        <f>IFERROR(__xludf.DUMMYFUNCTION("""COMPUTED_VALUE"""),"Pearl White Multi-Coat")</f>
        <v>Pearl White Multi-Coat</v>
      </c>
      <c r="P967" s="153" t="str">
        <f>IFERROR(__xludf.DUMMYFUNCTION("""COMPUTED_VALUE"""),"18 inch")</f>
        <v>18 inch</v>
      </c>
      <c r="Q967" s="152" t="str">
        <f>IFERROR(__xludf.DUMMYFUNCTION("""COMPUTED_VALUE"""),"Black and White")</f>
        <v>Black and White</v>
      </c>
      <c r="R967" s="149" t="str">
        <f>IFERROR(__xludf.DUMMYFUNCTION("""COMPUTED_VALUE"""),"Autopilot included")</f>
        <v>Autopilot included</v>
      </c>
      <c r="S967" s="149" t="str">
        <f>IFERROR(__xludf.DUMMYFUNCTION("""COMPUTED_VALUE"""),"Loan")</f>
        <v>Loan</v>
      </c>
      <c r="T967" s="145" t="str">
        <f>IFERROR(__xludf.DUMMYFUNCTION("""COMPUTED_VALUE"""),"Chevy Volt")</f>
        <v>Chevy Volt</v>
      </c>
      <c r="U967" s="145" t="str">
        <f>IFERROR(__xludf.DUMMYFUNCTION("""COMPUTED_VALUE"""),"Electric!")</f>
        <v>Electric!</v>
      </c>
      <c r="V967" s="145" t="str">
        <f>IFERROR(__xludf.DUMMYFUNCTION("""COMPUTED_VALUE"""),"Apple CarPlay / Android Auto / SiriusXM Radio")</f>
        <v>Apple CarPlay / Android Auto / SiriusXM Radio</v>
      </c>
      <c r="W967" s="145" t="str">
        <f>IFERROR(__xludf.DUMMYFUNCTION("""COMPUTED_VALUE"""),"Expect piss poor communication from tesla concerning changing delivery estimates.")</f>
        <v>Expect piss poor communication from tesla concerning changing delivery estimates.</v>
      </c>
      <c r="X967" s="137" t="str">
        <f>IFERROR(__xludf.DUMMYFUNCTION("""COMPUTED_VALUE"""),"Very Good")</f>
        <v>Very Good</v>
      </c>
      <c r="Y967" s="138" t="str">
        <f>IFERROR(__xludf.DUMMYFUNCTION("""COMPUTED_VALUE"""),"Excellent")</f>
        <v>Excellent</v>
      </c>
      <c r="Z967" s="138" t="str">
        <f>IFERROR(__xludf.DUMMYFUNCTION("""COMPUTED_VALUE"""),"Very Good")</f>
        <v>Very Good</v>
      </c>
      <c r="AA967" s="138" t="str">
        <f>IFERROR(__xludf.DUMMYFUNCTION("""COMPUTED_VALUE"""),"Fair")</f>
        <v>Fair</v>
      </c>
      <c r="AB967" s="138" t="str">
        <f>IFERROR(__xludf.DUMMYFUNCTION("""COMPUTED_VALUE"""),"Very Good")</f>
        <v>Very Good</v>
      </c>
      <c r="AC967" s="139">
        <f>IFERROR(__xludf.DUMMYFUNCTION("""COMPUTED_VALUE"""),1.0)</f>
        <v>1</v>
      </c>
      <c r="AD967" s="139">
        <f>IFERROR(__xludf.DUMMYFUNCTION("""COMPUTED_VALUE"""),1.0)</f>
        <v>1</v>
      </c>
      <c r="AE967" s="139"/>
      <c r="AF967" s="140" t="str">
        <f>IFERROR(__xludf.DUMMYFUNCTION("""COMPUTED_VALUE"""),"No. I took delivery of the first car Tesla was able to deliver.")</f>
        <v>No. I took delivery of the first car Tesla was able to deliver.</v>
      </c>
      <c r="AG967" s="145" t="str">
        <f>IFERROR(__xludf.DUMMYFUNCTION("""COMPUTED_VALUE"""),"Could have had the car 3 days earlier but was out of town. Found damaged paint on frunk hood bolts, asked for touchup.")</f>
        <v>Could have had the car 3 days earlier but was out of town. Found damaged paint on frunk hood bolts, asked for touchup.</v>
      </c>
      <c r="AH967" s="157">
        <f>IFERROR(__xludf.DUMMYFUNCTION("""COMPUTED_VALUE"""),44288.42192732639)</f>
        <v>44288.42193</v>
      </c>
      <c r="AI967" s="138"/>
      <c r="AJ967" s="138"/>
      <c r="AK967" s="138"/>
      <c r="AL967" s="142"/>
    </row>
    <row r="968" ht="20.25" customHeight="1">
      <c r="A968" s="155" t="str">
        <f>IFERROR(__xludf.DUMMYFUNCTION("""COMPUTED_VALUE"""),"regzgz")</f>
        <v>regzgz</v>
      </c>
      <c r="B968" s="149" t="str">
        <f>IFERROR(__xludf.DUMMYFUNCTION("""COMPUTED_VALUE"""),"State Road")</f>
        <v>State Road</v>
      </c>
      <c r="C968" s="149" t="str">
        <f>IFERROR(__xludf.DUMMYFUNCTION("""COMPUTED_VALUE"""),"NC")</f>
        <v>NC</v>
      </c>
      <c r="D968" s="149" t="str">
        <f>IFERROR(__xludf.DUMMYFUNCTION("""COMPUTED_VALUE"""),"USA")</f>
        <v>USA</v>
      </c>
      <c r="E968" s="156">
        <f>IFERROR(__xludf.DUMMYFUNCTION("""COMPUTED_VALUE"""),44238.0)</f>
        <v>44238</v>
      </c>
      <c r="F968" s="129">
        <f>IFERROR(__xludf.DUMMYFUNCTION("""COMPUTED_VALUE"""),44263.0)</f>
        <v>44263</v>
      </c>
      <c r="G968" s="154" t="str">
        <f>IFERROR(__xludf.DUMMYFUNCTION("""COMPUTED_VALUE"""),"Manage order page (normal text)")</f>
        <v>Manage order page (normal text)</v>
      </c>
      <c r="H968" s="131">
        <f>IFERROR(__xludf.DUMMYFUNCTION("""COMPUTED_VALUE"""),916025.0)</f>
        <v>916025</v>
      </c>
      <c r="I968" s="144" t="str">
        <f>IFERROR(__xludf.DUMMYFUNCTION("""COMPUTED_VALUE"""),"03/21")</f>
        <v>03/21</v>
      </c>
      <c r="J968" s="129">
        <f>IFERROR(__xludf.DUMMYFUNCTION("""COMPUTED_VALUE"""),44279.0)</f>
        <v>44279</v>
      </c>
      <c r="K968" s="133">
        <f>IFERROR(__xludf.DUMMYFUNCTION("""COMPUTED_VALUE"""),25.0)</f>
        <v>25</v>
      </c>
      <c r="L968" s="133">
        <f>IFERROR(__xludf.DUMMYFUNCTION("""COMPUTED_VALUE"""),16.0)</f>
        <v>16</v>
      </c>
      <c r="M968" s="133">
        <f>IFERROR(__xludf.DUMMYFUNCTION("""COMPUTED_VALUE"""),41.0)</f>
        <v>41</v>
      </c>
      <c r="N968" s="152" t="str">
        <f>IFERROR(__xludf.DUMMYFUNCTION("""COMPUTED_VALUE"""),"Model 3 LR AWD")</f>
        <v>Model 3 LR AWD</v>
      </c>
      <c r="O968" s="152" t="str">
        <f>IFERROR(__xludf.DUMMYFUNCTION("""COMPUTED_VALUE"""),"Red Multi-Coat")</f>
        <v>Red Multi-Coat</v>
      </c>
      <c r="P968" s="153" t="str">
        <f>IFERROR(__xludf.DUMMYFUNCTION("""COMPUTED_VALUE"""),"18 inch")</f>
        <v>18 inch</v>
      </c>
      <c r="Q968" s="152" t="str">
        <f>IFERROR(__xludf.DUMMYFUNCTION("""COMPUTED_VALUE"""),"All Black")</f>
        <v>All Black</v>
      </c>
      <c r="R968" s="149" t="str">
        <f>IFERROR(__xludf.DUMMYFUNCTION("""COMPUTED_VALUE"""),"Autopilot included")</f>
        <v>Autopilot included</v>
      </c>
      <c r="S968" s="149" t="str">
        <f>IFERROR(__xludf.DUMMYFUNCTION("""COMPUTED_VALUE"""),"Loan")</f>
        <v>Loan</v>
      </c>
      <c r="T968" s="145" t="str">
        <f>IFERROR(__xludf.DUMMYFUNCTION("""COMPUTED_VALUE"""),"BMW 3 Series")</f>
        <v>BMW 3 Series</v>
      </c>
      <c r="U968" s="145" t="str">
        <f>IFERROR(__xludf.DUMMYFUNCTION("""COMPUTED_VALUE"""),"Electric!")</f>
        <v>Electric!</v>
      </c>
      <c r="V968" s="145" t="str">
        <f>IFERROR(__xludf.DUMMYFUNCTION("""COMPUTED_VALUE"""),"Blind spot indicators on side mirrors")</f>
        <v>Blind spot indicators on side mirrors</v>
      </c>
      <c r="W968" s="145"/>
      <c r="X968" s="137" t="str">
        <f>IFERROR(__xludf.DUMMYFUNCTION("""COMPUTED_VALUE"""),"Very Good")</f>
        <v>Very Good</v>
      </c>
      <c r="Y968" s="138" t="str">
        <f>IFERROR(__xludf.DUMMYFUNCTION("""COMPUTED_VALUE"""),"Very Good")</f>
        <v>Very Good</v>
      </c>
      <c r="Z968" s="138" t="str">
        <f>IFERROR(__xludf.DUMMYFUNCTION("""COMPUTED_VALUE"""),"Very Good")</f>
        <v>Very Good</v>
      </c>
      <c r="AA968" s="138" t="str">
        <f>IFERROR(__xludf.DUMMYFUNCTION("""COMPUTED_VALUE"""),"Fair")</f>
        <v>Fair</v>
      </c>
      <c r="AB968" s="138" t="str">
        <f>IFERROR(__xludf.DUMMYFUNCTION("""COMPUTED_VALUE"""),"Very Good")</f>
        <v>Very Good</v>
      </c>
      <c r="AC968" s="139"/>
      <c r="AD968" s="139"/>
      <c r="AE968" s="139"/>
      <c r="AF968" s="140" t="str">
        <f>IFERROR(__xludf.DUMMYFUNCTION("""COMPUTED_VALUE"""),"No. I took delivery of the first car Tesla was able to deliver.")</f>
        <v>No. I took delivery of the first car Tesla was able to deliver.</v>
      </c>
      <c r="AG968" s="145"/>
      <c r="AH968" s="157">
        <f>IFERROR(__xludf.DUMMYFUNCTION("""COMPUTED_VALUE"""),44281.070075625)</f>
        <v>44281.07008</v>
      </c>
      <c r="AI968" s="138"/>
      <c r="AJ968" s="138"/>
      <c r="AK968" s="138"/>
      <c r="AL968" s="142"/>
    </row>
    <row r="969" ht="20.25" customHeight="1">
      <c r="A969" s="155" t="str">
        <f>IFERROR(__xludf.DUMMYFUNCTION("""COMPUTED_VALUE"""),"MBoutte")</f>
        <v>MBoutte</v>
      </c>
      <c r="B969" s="149"/>
      <c r="C969" s="149" t="str">
        <f>IFERROR(__xludf.DUMMYFUNCTION("""COMPUTED_VALUE"""),"LA")</f>
        <v>LA</v>
      </c>
      <c r="D969" s="149" t="str">
        <f>IFERROR(__xludf.DUMMYFUNCTION("""COMPUTED_VALUE"""),"USA")</f>
        <v>USA</v>
      </c>
      <c r="E969" s="156">
        <f>IFERROR(__xludf.DUMMYFUNCTION("""COMPUTED_VALUE"""),44236.0)</f>
        <v>44236</v>
      </c>
      <c r="F969" s="129">
        <f>IFERROR(__xludf.DUMMYFUNCTION("""COMPUTED_VALUE"""),44268.0)</f>
        <v>44268</v>
      </c>
      <c r="G969" s="154" t="str">
        <f>IFERROR(__xludf.DUMMYFUNCTION("""COMPUTED_VALUE"""),"Manage order page (normal text)")</f>
        <v>Manage order page (normal text)</v>
      </c>
      <c r="H969" s="131">
        <f>IFERROR(__xludf.DUMMYFUNCTION("""COMPUTED_VALUE"""),924955.0)</f>
        <v>924955</v>
      </c>
      <c r="I969" s="144" t="str">
        <f>IFERROR(__xludf.DUMMYFUNCTION("""COMPUTED_VALUE"""),"03/21")</f>
        <v>03/21</v>
      </c>
      <c r="J969" s="129">
        <f>IFERROR(__xludf.DUMMYFUNCTION("""COMPUTED_VALUE"""),44282.0)</f>
        <v>44282</v>
      </c>
      <c r="K969" s="133">
        <f>IFERROR(__xludf.DUMMYFUNCTION("""COMPUTED_VALUE"""),32.0)</f>
        <v>32</v>
      </c>
      <c r="L969" s="133">
        <f>IFERROR(__xludf.DUMMYFUNCTION("""COMPUTED_VALUE"""),14.0)</f>
        <v>14</v>
      </c>
      <c r="M969" s="133">
        <f>IFERROR(__xludf.DUMMYFUNCTION("""COMPUTED_VALUE"""),46.0)</f>
        <v>46</v>
      </c>
      <c r="N969" s="152" t="str">
        <f>IFERROR(__xludf.DUMMYFUNCTION("""COMPUTED_VALUE"""),"Model 3 LR AWD")</f>
        <v>Model 3 LR AWD</v>
      </c>
      <c r="O969" s="152" t="str">
        <f>IFERROR(__xludf.DUMMYFUNCTION("""COMPUTED_VALUE"""),"Solid Black")</f>
        <v>Solid Black</v>
      </c>
      <c r="P969" s="153" t="str">
        <f>IFERROR(__xludf.DUMMYFUNCTION("""COMPUTED_VALUE"""),"19 inch")</f>
        <v>19 inch</v>
      </c>
      <c r="Q969" s="152" t="str">
        <f>IFERROR(__xludf.DUMMYFUNCTION("""COMPUTED_VALUE"""),"Black and White")</f>
        <v>Black and White</v>
      </c>
      <c r="R969" s="149" t="str">
        <f>IFERROR(__xludf.DUMMYFUNCTION("""COMPUTED_VALUE"""),"Autopilot included")</f>
        <v>Autopilot included</v>
      </c>
      <c r="S969" s="149" t="str">
        <f>IFERROR(__xludf.DUMMYFUNCTION("""COMPUTED_VALUE"""),"Loan")</f>
        <v>Loan</v>
      </c>
      <c r="T969" s="145" t="str">
        <f>IFERROR(__xludf.DUMMYFUNCTION("""COMPUTED_VALUE"""),"Toyota 4Runner")</f>
        <v>Toyota 4Runner</v>
      </c>
      <c r="U969" s="145" t="str">
        <f>IFERROR(__xludf.DUMMYFUNCTION("""COMPUTED_VALUE"""),"Electric!")</f>
        <v>Electric!</v>
      </c>
      <c r="V969" s="145" t="str">
        <f>IFERROR(__xludf.DUMMYFUNCTION("""COMPUTED_VALUE"""),"Blind spot indicators on side mirrors")</f>
        <v>Blind spot indicators on side mirrors</v>
      </c>
      <c r="W969" s="145"/>
      <c r="X969" s="137" t="str">
        <f>IFERROR(__xludf.DUMMYFUNCTION("""COMPUTED_VALUE"""),"Excellent")</f>
        <v>Excellent</v>
      </c>
      <c r="Y969" s="138" t="str">
        <f>IFERROR(__xludf.DUMMYFUNCTION("""COMPUTED_VALUE"""),"Excellent")</f>
        <v>Excellent</v>
      </c>
      <c r="Z969" s="138" t="str">
        <f>IFERROR(__xludf.DUMMYFUNCTION("""COMPUTED_VALUE"""),"Excellent")</f>
        <v>Excellent</v>
      </c>
      <c r="AA969" s="138" t="str">
        <f>IFERROR(__xludf.DUMMYFUNCTION("""COMPUTED_VALUE"""),"Excellent")</f>
        <v>Excellent</v>
      </c>
      <c r="AB969" s="138" t="str">
        <f>IFERROR(__xludf.DUMMYFUNCTION("""COMPUTED_VALUE"""),"Excellent")</f>
        <v>Excellent</v>
      </c>
      <c r="AC969" s="139"/>
      <c r="AD969" s="139"/>
      <c r="AE969" s="139"/>
      <c r="AF969" s="140" t="str">
        <f>IFERROR(__xludf.DUMMYFUNCTION("""COMPUTED_VALUE"""),"No. I took delivery of the first car Tesla was able to deliver.")</f>
        <v>No. I took delivery of the first car Tesla was able to deliver.</v>
      </c>
      <c r="AG969" s="145"/>
      <c r="AH969" s="157">
        <f>IFERROR(__xludf.DUMMYFUNCTION("""COMPUTED_VALUE"""),44283.42630821759)</f>
        <v>44283.42631</v>
      </c>
      <c r="AI969" s="138"/>
      <c r="AJ969" s="138"/>
      <c r="AK969" s="138"/>
      <c r="AL969" s="142"/>
    </row>
    <row r="970" ht="20.25" customHeight="1">
      <c r="A970" s="155" t="str">
        <f>IFERROR(__xludf.DUMMYFUNCTION("""COMPUTED_VALUE"""),"AlexG79")</f>
        <v>AlexG79</v>
      </c>
      <c r="B970" s="149" t="str">
        <f>IFERROR(__xludf.DUMMYFUNCTION("""COMPUTED_VALUE"""),"Miami")</f>
        <v>Miami</v>
      </c>
      <c r="C970" s="149" t="str">
        <f>IFERROR(__xludf.DUMMYFUNCTION("""COMPUTED_VALUE"""),"FL")</f>
        <v>FL</v>
      </c>
      <c r="D970" s="149" t="str">
        <f>IFERROR(__xludf.DUMMYFUNCTION("""COMPUTED_VALUE"""),"USA")</f>
        <v>USA</v>
      </c>
      <c r="E970" s="156">
        <f>IFERROR(__xludf.DUMMYFUNCTION("""COMPUTED_VALUE"""),44235.0)</f>
        <v>44235</v>
      </c>
      <c r="F970" s="129">
        <f>IFERROR(__xludf.DUMMYFUNCTION("""COMPUTED_VALUE"""),44270.0)</f>
        <v>44270</v>
      </c>
      <c r="G970" s="154" t="str">
        <f>IFERROR(__xludf.DUMMYFUNCTION("""COMPUTED_VALUE"""),"Email")</f>
        <v>Email</v>
      </c>
      <c r="H970" s="131">
        <f>IFERROR(__xludf.DUMMYFUNCTION("""COMPUTED_VALUE"""),925455.0)</f>
        <v>925455</v>
      </c>
      <c r="I970" s="144" t="str">
        <f>IFERROR(__xludf.DUMMYFUNCTION("""COMPUTED_VALUE"""),"03/21")</f>
        <v>03/21</v>
      </c>
      <c r="J970" s="129">
        <f>IFERROR(__xludf.DUMMYFUNCTION("""COMPUTED_VALUE"""),44275.0)</f>
        <v>44275</v>
      </c>
      <c r="K970" s="133">
        <f>IFERROR(__xludf.DUMMYFUNCTION("""COMPUTED_VALUE"""),35.0)</f>
        <v>35</v>
      </c>
      <c r="L970" s="133">
        <f>IFERROR(__xludf.DUMMYFUNCTION("""COMPUTED_VALUE"""),5.0)</f>
        <v>5</v>
      </c>
      <c r="M970" s="133">
        <f>IFERROR(__xludf.DUMMYFUNCTION("""COMPUTED_VALUE"""),40.0)</f>
        <v>40</v>
      </c>
      <c r="N970" s="152" t="str">
        <f>IFERROR(__xludf.DUMMYFUNCTION("""COMPUTED_VALUE"""),"Model 3 Performance")</f>
        <v>Model 3 Performance</v>
      </c>
      <c r="O970" s="152" t="str">
        <f>IFERROR(__xludf.DUMMYFUNCTION("""COMPUTED_VALUE"""),"Midnight Silver Metallic")</f>
        <v>Midnight Silver Metallic</v>
      </c>
      <c r="P970" s="153" t="str">
        <f>IFERROR(__xludf.DUMMYFUNCTION("""COMPUTED_VALUE"""),"20 inch")</f>
        <v>20 inch</v>
      </c>
      <c r="Q970" s="152" t="str">
        <f>IFERROR(__xludf.DUMMYFUNCTION("""COMPUTED_VALUE"""),"All Black")</f>
        <v>All Black</v>
      </c>
      <c r="R970" s="149" t="str">
        <f>IFERROR(__xludf.DUMMYFUNCTION("""COMPUTED_VALUE"""),"Autopilot included")</f>
        <v>Autopilot included</v>
      </c>
      <c r="S970" s="149" t="str">
        <f>IFERROR(__xludf.DUMMYFUNCTION("""COMPUTED_VALUE"""),"Loan")</f>
        <v>Loan</v>
      </c>
      <c r="T970" s="145" t="str">
        <f>IFERROR(__xludf.DUMMYFUNCTION("""COMPUTED_VALUE"""),"Toyota 4runner sport")</f>
        <v>Toyota 4runner sport</v>
      </c>
      <c r="U970" s="145" t="str">
        <f>IFERROR(__xludf.DUMMYFUNCTION("""COMPUTED_VALUE"""),"Electric!")</f>
        <v>Electric!</v>
      </c>
      <c r="V970" s="145" t="str">
        <f>IFERROR(__xludf.DUMMYFUNCTION("""COMPUTED_VALUE"""),"Ventilated seats")</f>
        <v>Ventilated seats</v>
      </c>
      <c r="W970" s="145"/>
      <c r="X970" s="137" t="str">
        <f>IFERROR(__xludf.DUMMYFUNCTION("""COMPUTED_VALUE"""),"Very Good")</f>
        <v>Very Good</v>
      </c>
      <c r="Y970" s="138" t="str">
        <f>IFERROR(__xludf.DUMMYFUNCTION("""COMPUTED_VALUE"""),"Excellent")</f>
        <v>Excellent</v>
      </c>
      <c r="Z970" s="138" t="str">
        <f>IFERROR(__xludf.DUMMYFUNCTION("""COMPUTED_VALUE"""),"Good")</f>
        <v>Good</v>
      </c>
      <c r="AA970" s="138" t="str">
        <f>IFERROR(__xludf.DUMMYFUNCTION("""COMPUTED_VALUE"""),"Very Good")</f>
        <v>Very Good</v>
      </c>
      <c r="AB970" s="138" t="str">
        <f>IFERROR(__xludf.DUMMYFUNCTION("""COMPUTED_VALUE"""),"Good")</f>
        <v>Good</v>
      </c>
      <c r="AC970" s="139">
        <f>IFERROR(__xludf.DUMMYFUNCTION("""COMPUTED_VALUE"""),3.0)</f>
        <v>3</v>
      </c>
      <c r="AD970" s="139">
        <f>IFERROR(__xludf.DUMMYFUNCTION("""COMPUTED_VALUE"""),2.0)</f>
        <v>2</v>
      </c>
      <c r="AE970" s="139">
        <f>IFERROR(__xludf.DUMMYFUNCTION("""COMPUTED_VALUE"""),4.0)</f>
        <v>4</v>
      </c>
      <c r="AF970" s="140" t="str">
        <f>IFERROR(__xludf.DUMMYFUNCTION("""COMPUTED_VALUE"""),"No. I took delivery of the first car Tesla was able to deliver.")</f>
        <v>No. I took delivery of the first car Tesla was able to deliver.</v>
      </c>
      <c r="AG970" s="145"/>
      <c r="AH970" s="157">
        <f>IFERROR(__xludf.DUMMYFUNCTION("""COMPUTED_VALUE"""),44278.70305516204)</f>
        <v>44278.70306</v>
      </c>
      <c r="AI970" s="138"/>
      <c r="AJ970" s="138"/>
      <c r="AK970" s="138"/>
      <c r="AL970" s="142"/>
    </row>
    <row r="971" ht="20.25" customHeight="1">
      <c r="A971" s="155" t="str">
        <f>IFERROR(__xludf.DUMMYFUNCTION("""COMPUTED_VALUE"""),"DoctorNomNom")</f>
        <v>DoctorNomNom</v>
      </c>
      <c r="B971" s="149" t="str">
        <f>IFERROR(__xludf.DUMMYFUNCTION("""COMPUTED_VALUE"""),"Columbus")</f>
        <v>Columbus</v>
      </c>
      <c r="C971" s="149" t="str">
        <f>IFERROR(__xludf.DUMMYFUNCTION("""COMPUTED_VALUE"""),"OH")</f>
        <v>OH</v>
      </c>
      <c r="D971" s="149" t="str">
        <f>IFERROR(__xludf.DUMMYFUNCTION("""COMPUTED_VALUE"""),"USA")</f>
        <v>USA</v>
      </c>
      <c r="E971" s="156">
        <f>IFERROR(__xludf.DUMMYFUNCTION("""COMPUTED_VALUE"""),44235.0)</f>
        <v>44235</v>
      </c>
      <c r="F971" s="129">
        <f>IFERROR(__xludf.DUMMYFUNCTION("""COMPUTED_VALUE"""),44261.0)</f>
        <v>44261</v>
      </c>
      <c r="G971" s="154" t="str">
        <f>IFERROR(__xludf.DUMMYFUNCTION("""COMPUTED_VALUE"""),"Manage order page (normal text)")</f>
        <v>Manage order page (normal text)</v>
      </c>
      <c r="H971" s="131">
        <f>IFERROR(__xludf.DUMMYFUNCTION("""COMPUTED_VALUE"""),903096.0)</f>
        <v>903096</v>
      </c>
      <c r="I971" s="144"/>
      <c r="J971" s="129">
        <f>IFERROR(__xludf.DUMMYFUNCTION("""COMPUTED_VALUE"""),44273.0)</f>
        <v>44273</v>
      </c>
      <c r="K971" s="133">
        <f>IFERROR(__xludf.DUMMYFUNCTION("""COMPUTED_VALUE"""),26.0)</f>
        <v>26</v>
      </c>
      <c r="L971" s="133">
        <f>IFERROR(__xludf.DUMMYFUNCTION("""COMPUTED_VALUE"""),12.0)</f>
        <v>12</v>
      </c>
      <c r="M971" s="133">
        <f>IFERROR(__xludf.DUMMYFUNCTION("""COMPUTED_VALUE"""),38.0)</f>
        <v>38</v>
      </c>
      <c r="N971" s="152" t="str">
        <f>IFERROR(__xludf.DUMMYFUNCTION("""COMPUTED_VALUE"""),"Model 3 LR AWD")</f>
        <v>Model 3 LR AWD</v>
      </c>
      <c r="O971" s="152" t="str">
        <f>IFERROR(__xludf.DUMMYFUNCTION("""COMPUTED_VALUE"""),"Midnight Silver Metallic")</f>
        <v>Midnight Silver Metallic</v>
      </c>
      <c r="P971" s="153" t="str">
        <f>IFERROR(__xludf.DUMMYFUNCTION("""COMPUTED_VALUE"""),"18 inch")</f>
        <v>18 inch</v>
      </c>
      <c r="Q971" s="152" t="str">
        <f>IFERROR(__xludf.DUMMYFUNCTION("""COMPUTED_VALUE"""),"Black and White")</f>
        <v>Black and White</v>
      </c>
      <c r="R971" s="149" t="str">
        <f>IFERROR(__xludf.DUMMYFUNCTION("""COMPUTED_VALUE"""),"Autopilot included")</f>
        <v>Autopilot included</v>
      </c>
      <c r="S971" s="149" t="str">
        <f>IFERROR(__xludf.DUMMYFUNCTION("""COMPUTED_VALUE"""),"Loan")</f>
        <v>Loan</v>
      </c>
      <c r="T971" s="145" t="str">
        <f>IFERROR(__xludf.DUMMYFUNCTION("""COMPUTED_VALUE"""),"BMW X1")</f>
        <v>BMW X1</v>
      </c>
      <c r="U971" s="145" t="str">
        <f>IFERROR(__xludf.DUMMYFUNCTION("""COMPUTED_VALUE"""),"Electric!")</f>
        <v>Electric!</v>
      </c>
      <c r="V971" s="145" t="str">
        <f>IFERROR(__xludf.DUMMYFUNCTION("""COMPUTED_VALUE"""),"Head-up display")</f>
        <v>Head-up display</v>
      </c>
      <c r="W971" s="145"/>
      <c r="X971" s="137" t="str">
        <f>IFERROR(__xludf.DUMMYFUNCTION("""COMPUTED_VALUE"""),"Excellent")</f>
        <v>Excellent</v>
      </c>
      <c r="Y971" s="138" t="str">
        <f>IFERROR(__xludf.DUMMYFUNCTION("""COMPUTED_VALUE"""),"Excellent")</f>
        <v>Excellent</v>
      </c>
      <c r="Z971" s="138" t="str">
        <f>IFERROR(__xludf.DUMMYFUNCTION("""COMPUTED_VALUE"""),"Excellent")</f>
        <v>Excellent</v>
      </c>
      <c r="AA971" s="138" t="str">
        <f>IFERROR(__xludf.DUMMYFUNCTION("""COMPUTED_VALUE"""),"Excellent")</f>
        <v>Excellent</v>
      </c>
      <c r="AB971" s="138" t="str">
        <f>IFERROR(__xludf.DUMMYFUNCTION("""COMPUTED_VALUE"""),"Excellent")</f>
        <v>Excellent</v>
      </c>
      <c r="AC971" s="139">
        <f>IFERROR(__xludf.DUMMYFUNCTION("""COMPUTED_VALUE"""),0.0)</f>
        <v>0</v>
      </c>
      <c r="AD971" s="139">
        <f>IFERROR(__xludf.DUMMYFUNCTION("""COMPUTED_VALUE"""),1.0)</f>
        <v>1</v>
      </c>
      <c r="AE971" s="139">
        <f>IFERROR(__xludf.DUMMYFUNCTION("""COMPUTED_VALUE"""),0.0)</f>
        <v>0</v>
      </c>
      <c r="AF971" s="140" t="str">
        <f>IFERROR(__xludf.DUMMYFUNCTION("""COMPUTED_VALUE"""),"No. I took delivery of the first car Tesla was able to deliver.")</f>
        <v>No. I took delivery of the first car Tesla was able to deliver.</v>
      </c>
      <c r="AG971" s="145"/>
      <c r="AH971" s="157">
        <f>IFERROR(__xludf.DUMMYFUNCTION("""COMPUTED_VALUE"""),44274.437080185184)</f>
        <v>44274.43708</v>
      </c>
      <c r="AI971" s="138"/>
      <c r="AJ971" s="138"/>
      <c r="AK971" s="138"/>
      <c r="AL971" s="142"/>
    </row>
    <row r="972" ht="20.25" customHeight="1">
      <c r="A972" s="155" t="str">
        <f>IFERROR(__xludf.DUMMYFUNCTION("""COMPUTED_VALUE"""),"Ladykwokq")</f>
        <v>Ladykwokq</v>
      </c>
      <c r="B972" s="149" t="str">
        <f>IFERROR(__xludf.DUMMYFUNCTION("""COMPUTED_VALUE"""),"London")</f>
        <v>London</v>
      </c>
      <c r="C972" s="149"/>
      <c r="D972" s="149" t="str">
        <f>IFERROR(__xludf.DUMMYFUNCTION("""COMPUTED_VALUE"""),"United Kingdom")</f>
        <v>United Kingdom</v>
      </c>
      <c r="E972" s="156">
        <f>IFERROR(__xludf.DUMMYFUNCTION("""COMPUTED_VALUE"""),44235.0)</f>
        <v>44235</v>
      </c>
      <c r="F972" s="129"/>
      <c r="G972" s="154" t="str">
        <f>IFERROR(__xludf.DUMMYFUNCTION("""COMPUTED_VALUE"""),"Text message")</f>
        <v>Text message</v>
      </c>
      <c r="H972" s="131"/>
      <c r="I972" s="144" t="str">
        <f>IFERROR(__xludf.DUMMYFUNCTION("""COMPUTED_VALUE"""),"02/21")</f>
        <v>02/21</v>
      </c>
      <c r="J972" s="129">
        <f>IFERROR(__xludf.DUMMYFUNCTION("""COMPUTED_VALUE"""),44273.0)</f>
        <v>44273</v>
      </c>
      <c r="K972" s="133"/>
      <c r="L972" s="133"/>
      <c r="M972" s="133">
        <f>IFERROR(__xludf.DUMMYFUNCTION("""COMPUTED_VALUE"""),38.0)</f>
        <v>38</v>
      </c>
      <c r="N972" s="152" t="str">
        <f>IFERROR(__xludf.DUMMYFUNCTION("""COMPUTED_VALUE"""),"Model 3 LR AWD")</f>
        <v>Model 3 LR AWD</v>
      </c>
      <c r="O972" s="152" t="str">
        <f>IFERROR(__xludf.DUMMYFUNCTION("""COMPUTED_VALUE"""),"Solid Black")</f>
        <v>Solid Black</v>
      </c>
      <c r="P972" s="153" t="str">
        <f>IFERROR(__xludf.DUMMYFUNCTION("""COMPUTED_VALUE"""),"18 inch")</f>
        <v>18 inch</v>
      </c>
      <c r="Q972" s="152" t="str">
        <f>IFERROR(__xludf.DUMMYFUNCTION("""COMPUTED_VALUE"""),"All Black")</f>
        <v>All Black</v>
      </c>
      <c r="R972" s="149"/>
      <c r="S972" s="149" t="str">
        <f>IFERROR(__xludf.DUMMYFUNCTION("""COMPUTED_VALUE"""),"Cash")</f>
        <v>Cash</v>
      </c>
      <c r="T972" s="145"/>
      <c r="U972" s="145" t="str">
        <f>IFERROR(__xludf.DUMMYFUNCTION("""COMPUTED_VALUE"""),"Rate of acceleration ")</f>
        <v>Rate of acceleration </v>
      </c>
      <c r="V972" s="145" t="str">
        <f>IFERROR(__xludf.DUMMYFUNCTION("""COMPUTED_VALUE"""),"Opening roof")</f>
        <v>Opening roof</v>
      </c>
      <c r="W972" s="145"/>
      <c r="X972" s="137" t="str">
        <f>IFERROR(__xludf.DUMMYFUNCTION("""COMPUTED_VALUE"""),"Excellent")</f>
        <v>Excellent</v>
      </c>
      <c r="Y972" s="138" t="str">
        <f>IFERROR(__xludf.DUMMYFUNCTION("""COMPUTED_VALUE"""),"Excellent")</f>
        <v>Excellent</v>
      </c>
      <c r="Z972" s="138" t="str">
        <f>IFERROR(__xludf.DUMMYFUNCTION("""COMPUTED_VALUE"""),"Excellent")</f>
        <v>Excellent</v>
      </c>
      <c r="AA972" s="138" t="str">
        <f>IFERROR(__xludf.DUMMYFUNCTION("""COMPUTED_VALUE"""),"Very Good")</f>
        <v>Very Good</v>
      </c>
      <c r="AB972" s="138" t="str">
        <f>IFERROR(__xludf.DUMMYFUNCTION("""COMPUTED_VALUE"""),"Very Good")</f>
        <v>Very Good</v>
      </c>
      <c r="AC972" s="139">
        <f>IFERROR(__xludf.DUMMYFUNCTION("""COMPUTED_VALUE"""),0.0)</f>
        <v>0</v>
      </c>
      <c r="AD972" s="139">
        <f>IFERROR(__xludf.DUMMYFUNCTION("""COMPUTED_VALUE"""),0.0)</f>
        <v>0</v>
      </c>
      <c r="AE972" s="139">
        <f>IFERROR(__xludf.DUMMYFUNCTION("""COMPUTED_VALUE"""),0.0)</f>
        <v>0</v>
      </c>
      <c r="AF972" s="140" t="str">
        <f>IFERROR(__xludf.DUMMYFUNCTION("""COMPUTED_VALUE"""),"No. I took delivery of the first car Tesla was able to deliver.")</f>
        <v>No. I took delivery of the first car Tesla was able to deliver.</v>
      </c>
      <c r="AG972" s="145"/>
      <c r="AH972" s="157">
        <f>IFERROR(__xludf.DUMMYFUNCTION("""COMPUTED_VALUE"""),44306.595448645836)</f>
        <v>44306.59545</v>
      </c>
      <c r="AI972" s="138"/>
      <c r="AJ972" s="138"/>
      <c r="AK972" s="138"/>
      <c r="AL972" s="142"/>
    </row>
    <row r="973" ht="20.25" customHeight="1">
      <c r="A973" s="155" t="str">
        <f>IFERROR(__xludf.DUMMYFUNCTION("""COMPUTED_VALUE"""),"SqdLdr")</f>
        <v>SqdLdr</v>
      </c>
      <c r="B973" s="149" t="str">
        <f>IFERROR(__xludf.DUMMYFUNCTION("""COMPUTED_VALUE"""),"Eugene")</f>
        <v>Eugene</v>
      </c>
      <c r="C973" s="149" t="str">
        <f>IFERROR(__xludf.DUMMYFUNCTION("""COMPUTED_VALUE"""),"OR")</f>
        <v>OR</v>
      </c>
      <c r="D973" s="149" t="str">
        <f>IFERROR(__xludf.DUMMYFUNCTION("""COMPUTED_VALUE"""),"USA")</f>
        <v>USA</v>
      </c>
      <c r="E973" s="156">
        <f>IFERROR(__xludf.DUMMYFUNCTION("""COMPUTED_VALUE"""),44235.0)</f>
        <v>44235</v>
      </c>
      <c r="F973" s="129">
        <f>IFERROR(__xludf.DUMMYFUNCTION("""COMPUTED_VALUE"""),44261.0)</f>
        <v>44261</v>
      </c>
      <c r="G973" s="154" t="str">
        <f>IFERROR(__xludf.DUMMYFUNCTION("""COMPUTED_VALUE"""),"Manage order page (normal text)")</f>
        <v>Manage order page (normal text)</v>
      </c>
      <c r="H973" s="131"/>
      <c r="I973" s="144"/>
      <c r="J973" s="129">
        <f>IFERROR(__xludf.DUMMYFUNCTION("""COMPUTED_VALUE"""),44265.0)</f>
        <v>44265</v>
      </c>
      <c r="K973" s="133">
        <f>IFERROR(__xludf.DUMMYFUNCTION("""COMPUTED_VALUE"""),26.0)</f>
        <v>26</v>
      </c>
      <c r="L973" s="133">
        <f>IFERROR(__xludf.DUMMYFUNCTION("""COMPUTED_VALUE"""),4.0)</f>
        <v>4</v>
      </c>
      <c r="M973" s="133">
        <f>IFERROR(__xludf.DUMMYFUNCTION("""COMPUTED_VALUE"""),30.0)</f>
        <v>30</v>
      </c>
      <c r="N973" s="152" t="str">
        <f>IFERROR(__xludf.DUMMYFUNCTION("""COMPUTED_VALUE"""),"Model 3 SR+")</f>
        <v>Model 3 SR+</v>
      </c>
      <c r="O973" s="152" t="str">
        <f>IFERROR(__xludf.DUMMYFUNCTION("""COMPUTED_VALUE"""),"Deep Blue Metallic")</f>
        <v>Deep Blue Metallic</v>
      </c>
      <c r="P973" s="153" t="str">
        <f>IFERROR(__xludf.DUMMYFUNCTION("""COMPUTED_VALUE"""),"18 inch")</f>
        <v>18 inch</v>
      </c>
      <c r="Q973" s="152" t="str">
        <f>IFERROR(__xludf.DUMMYFUNCTION("""COMPUTED_VALUE"""),"All Black")</f>
        <v>All Black</v>
      </c>
      <c r="R973" s="149" t="str">
        <f>IFERROR(__xludf.DUMMYFUNCTION("""COMPUTED_VALUE"""),"Full Self-Driving")</f>
        <v>Full Self-Driving</v>
      </c>
      <c r="S973" s="149" t="str">
        <f>IFERROR(__xludf.DUMMYFUNCTION("""COMPUTED_VALUE"""),"Lease")</f>
        <v>Lease</v>
      </c>
      <c r="T973" s="145" t="str">
        <f>IFERROR(__xludf.DUMMYFUNCTION("""COMPUTED_VALUE"""),"Jeep")</f>
        <v>Jeep</v>
      </c>
      <c r="U973" s="145" t="str">
        <f>IFERROR(__xludf.DUMMYFUNCTION("""COMPUTED_VALUE"""),"Electric!")</f>
        <v>Electric!</v>
      </c>
      <c r="V973" s="145" t="str">
        <f>IFERROR(__xludf.DUMMYFUNCTION("""COMPUTED_VALUE"""),"Apple CarPlay / Android Auto / SiriusXM Radio")</f>
        <v>Apple CarPlay / Android Auto / SiriusXM Radio</v>
      </c>
      <c r="W973" s="145"/>
      <c r="X973" s="137" t="str">
        <f>IFERROR(__xludf.DUMMYFUNCTION("""COMPUTED_VALUE"""),"Excellent")</f>
        <v>Excellent</v>
      </c>
      <c r="Y973" s="138" t="str">
        <f>IFERROR(__xludf.DUMMYFUNCTION("""COMPUTED_VALUE"""),"Excellent")</f>
        <v>Excellent</v>
      </c>
      <c r="Z973" s="138" t="str">
        <f>IFERROR(__xludf.DUMMYFUNCTION("""COMPUTED_VALUE"""),"Excellent")</f>
        <v>Excellent</v>
      </c>
      <c r="AA973" s="138" t="str">
        <f>IFERROR(__xludf.DUMMYFUNCTION("""COMPUTED_VALUE"""),"Excellent")</f>
        <v>Excellent</v>
      </c>
      <c r="AB973" s="138" t="str">
        <f>IFERROR(__xludf.DUMMYFUNCTION("""COMPUTED_VALUE"""),"Excellent")</f>
        <v>Excellent</v>
      </c>
      <c r="AC973" s="139"/>
      <c r="AD973" s="139"/>
      <c r="AE973" s="139"/>
      <c r="AF973" s="140" t="str">
        <f>IFERROR(__xludf.DUMMYFUNCTION("""COMPUTED_VALUE"""),"No. I took delivery of the first car Tesla was able to deliver.")</f>
        <v>No. I took delivery of the first car Tesla was able to deliver.</v>
      </c>
      <c r="AG973" s="145"/>
      <c r="AH973" s="157">
        <f>IFERROR(__xludf.DUMMYFUNCTION("""COMPUTED_VALUE"""),44270.68140300926)</f>
        <v>44270.6814</v>
      </c>
      <c r="AI973" s="138"/>
      <c r="AJ973" s="138"/>
      <c r="AK973" s="138"/>
      <c r="AL973" s="142"/>
    </row>
    <row r="974" ht="20.25" customHeight="1">
      <c r="A974" s="155" t="str">
        <f>IFERROR(__xludf.DUMMYFUNCTION("""COMPUTED_VALUE"""),"theun4gven")</f>
        <v>theun4gven</v>
      </c>
      <c r="B974" s="149" t="str">
        <f>IFERROR(__xludf.DUMMYFUNCTION("""COMPUTED_VALUE"""),"Tampa")</f>
        <v>Tampa</v>
      </c>
      <c r="C974" s="149" t="str">
        <f>IFERROR(__xludf.DUMMYFUNCTION("""COMPUTED_VALUE"""),"FL")</f>
        <v>FL</v>
      </c>
      <c r="D974" s="149" t="str">
        <f>IFERROR(__xludf.DUMMYFUNCTION("""COMPUTED_VALUE"""),"USA")</f>
        <v>USA</v>
      </c>
      <c r="E974" s="156">
        <f>IFERROR(__xludf.DUMMYFUNCTION("""COMPUTED_VALUE"""),44235.0)</f>
        <v>44235</v>
      </c>
      <c r="F974" s="129">
        <f>IFERROR(__xludf.DUMMYFUNCTION("""COMPUTED_VALUE"""),44260.0)</f>
        <v>44260</v>
      </c>
      <c r="G974" s="154" t="str">
        <f>IFERROR(__xludf.DUMMYFUNCTION("""COMPUTED_VALUE"""),"Manage order page (normal text)")</f>
        <v>Manage order page (normal text)</v>
      </c>
      <c r="H974" s="131">
        <f>IFERROR(__xludf.DUMMYFUNCTION("""COMPUTED_VALUE"""),916155.0)</f>
        <v>916155</v>
      </c>
      <c r="I974" s="144" t="str">
        <f>IFERROR(__xludf.DUMMYFUNCTION("""COMPUTED_VALUE"""),"03/21")</f>
        <v>03/21</v>
      </c>
      <c r="J974" s="129">
        <f>IFERROR(__xludf.DUMMYFUNCTION("""COMPUTED_VALUE"""),44278.0)</f>
        <v>44278</v>
      </c>
      <c r="K974" s="133">
        <f>IFERROR(__xludf.DUMMYFUNCTION("""COMPUTED_VALUE"""),25.0)</f>
        <v>25</v>
      </c>
      <c r="L974" s="133">
        <f>IFERROR(__xludf.DUMMYFUNCTION("""COMPUTED_VALUE"""),18.0)</f>
        <v>18</v>
      </c>
      <c r="M974" s="133">
        <f>IFERROR(__xludf.DUMMYFUNCTION("""COMPUTED_VALUE"""),43.0)</f>
        <v>43</v>
      </c>
      <c r="N974" s="152" t="str">
        <f>IFERROR(__xludf.DUMMYFUNCTION("""COMPUTED_VALUE"""),"Model 3 LR AWD")</f>
        <v>Model 3 LR AWD</v>
      </c>
      <c r="O974" s="152" t="str">
        <f>IFERROR(__xludf.DUMMYFUNCTION("""COMPUTED_VALUE"""),"Pearl White Multi-Coat")</f>
        <v>Pearl White Multi-Coat</v>
      </c>
      <c r="P974" s="153" t="str">
        <f>IFERROR(__xludf.DUMMYFUNCTION("""COMPUTED_VALUE"""),"19 inch")</f>
        <v>19 inch</v>
      </c>
      <c r="Q974" s="152" t="str">
        <f>IFERROR(__xludf.DUMMYFUNCTION("""COMPUTED_VALUE"""),"Black and White")</f>
        <v>Black and White</v>
      </c>
      <c r="R974" s="149" t="str">
        <f>IFERROR(__xludf.DUMMYFUNCTION("""COMPUTED_VALUE"""),"Autopilot included")</f>
        <v>Autopilot included</v>
      </c>
      <c r="S974" s="149" t="str">
        <f>IFERROR(__xludf.DUMMYFUNCTION("""COMPUTED_VALUE"""),"Loan")</f>
        <v>Loan</v>
      </c>
      <c r="T974" s="145" t="str">
        <f>IFERROR(__xludf.DUMMYFUNCTION("""COMPUTED_VALUE"""),"Mazda 6")</f>
        <v>Mazda 6</v>
      </c>
      <c r="U974" s="145" t="str">
        <f>IFERROR(__xludf.DUMMYFUNCTION("""COMPUTED_VALUE"""),"Electric!")</f>
        <v>Electric!</v>
      </c>
      <c r="V974" s="145" t="str">
        <f>IFERROR(__xludf.DUMMYFUNCTION("""COMPUTED_VALUE"""),"Head-up display")</f>
        <v>Head-up display</v>
      </c>
      <c r="W974" s="145" t="str">
        <f>IFERROR(__xludf.DUMMYFUNCTION("""COMPUTED_VALUE"""),"Knowledge of employees varies wildly. If you’re unsure of an answer, ask someone else")</f>
        <v>Knowledge of employees varies wildly. If you’re unsure of an answer, ask someone else</v>
      </c>
      <c r="X974" s="137" t="str">
        <f>IFERROR(__xludf.DUMMYFUNCTION("""COMPUTED_VALUE"""),"Very Good")</f>
        <v>Very Good</v>
      </c>
      <c r="Y974" s="138" t="str">
        <f>IFERROR(__xludf.DUMMYFUNCTION("""COMPUTED_VALUE"""),"Excellent")</f>
        <v>Excellent</v>
      </c>
      <c r="Z974" s="138" t="str">
        <f>IFERROR(__xludf.DUMMYFUNCTION("""COMPUTED_VALUE"""),"Excellent")</f>
        <v>Excellent</v>
      </c>
      <c r="AA974" s="138" t="str">
        <f>IFERROR(__xludf.DUMMYFUNCTION("""COMPUTED_VALUE"""),"Excellent")</f>
        <v>Excellent</v>
      </c>
      <c r="AB974" s="138" t="str">
        <f>IFERROR(__xludf.DUMMYFUNCTION("""COMPUTED_VALUE"""),"Excellent")</f>
        <v>Excellent</v>
      </c>
      <c r="AC974" s="139"/>
      <c r="AD974" s="139"/>
      <c r="AE974" s="139"/>
      <c r="AF974" s="140" t="str">
        <f>IFERROR(__xludf.DUMMYFUNCTION("""COMPUTED_VALUE"""),"No. I took delivery of the first car Tesla was able to deliver.")</f>
        <v>No. I took delivery of the first car Tesla was able to deliver.</v>
      </c>
      <c r="AG974" s="145"/>
      <c r="AH974" s="157">
        <f>IFERROR(__xludf.DUMMYFUNCTION("""COMPUTED_VALUE"""),44278.73155831018)</f>
        <v>44278.73156</v>
      </c>
      <c r="AI974" s="138"/>
      <c r="AJ974" s="138"/>
      <c r="AK974" s="138"/>
      <c r="AL974" s="142"/>
    </row>
    <row r="975" ht="20.25" customHeight="1">
      <c r="A975" s="155" t="str">
        <f>IFERROR(__xludf.DUMMYFUNCTION("""COMPUTED_VALUE"""),"JohnnyEV")</f>
        <v>JohnnyEV</v>
      </c>
      <c r="B975" s="149" t="str">
        <f>IFERROR(__xludf.DUMMYFUNCTION("""COMPUTED_VALUE"""),"Bay Area")</f>
        <v>Bay Area</v>
      </c>
      <c r="C975" s="149" t="str">
        <f>IFERROR(__xludf.DUMMYFUNCTION("""COMPUTED_VALUE"""),"CA")</f>
        <v>CA</v>
      </c>
      <c r="D975" s="149" t="str">
        <f>IFERROR(__xludf.DUMMYFUNCTION("""COMPUTED_VALUE"""),"USA")</f>
        <v>USA</v>
      </c>
      <c r="E975" s="156">
        <f>IFERROR(__xludf.DUMMYFUNCTION("""COMPUTED_VALUE"""),44234.0)</f>
        <v>44234</v>
      </c>
      <c r="F975" s="129">
        <f>IFERROR(__xludf.DUMMYFUNCTION("""COMPUTED_VALUE"""),44253.0)</f>
        <v>44253</v>
      </c>
      <c r="G975" s="154" t="str">
        <f>IFERROR(__xludf.DUMMYFUNCTION("""COMPUTED_VALUE"""),"Manage order page (normal text)")</f>
        <v>Manage order page (normal text)</v>
      </c>
      <c r="H975" s="131">
        <f>IFERROR(__xludf.DUMMYFUNCTION("""COMPUTED_VALUE"""),914155.0)</f>
        <v>914155</v>
      </c>
      <c r="I975" s="144" t="str">
        <f>IFERROR(__xludf.DUMMYFUNCTION("""COMPUTED_VALUE"""),"02/21")</f>
        <v>02/21</v>
      </c>
      <c r="J975" s="129">
        <f>IFERROR(__xludf.DUMMYFUNCTION("""COMPUTED_VALUE"""),44254.0)</f>
        <v>44254</v>
      </c>
      <c r="K975" s="133">
        <f>IFERROR(__xludf.DUMMYFUNCTION("""COMPUTED_VALUE"""),19.0)</f>
        <v>19</v>
      </c>
      <c r="L975" s="133">
        <f>IFERROR(__xludf.DUMMYFUNCTION("""COMPUTED_VALUE"""),1.0)</f>
        <v>1</v>
      </c>
      <c r="M975" s="133">
        <f>IFERROR(__xludf.DUMMYFUNCTION("""COMPUTED_VALUE"""),20.0)</f>
        <v>20</v>
      </c>
      <c r="N975" s="152" t="str">
        <f>IFERROR(__xludf.DUMMYFUNCTION("""COMPUTED_VALUE"""),"Model 3 Performance")</f>
        <v>Model 3 Performance</v>
      </c>
      <c r="O975" s="152" t="str">
        <f>IFERROR(__xludf.DUMMYFUNCTION("""COMPUTED_VALUE"""),"Red Multi-Coat")</f>
        <v>Red Multi-Coat</v>
      </c>
      <c r="P975" s="153" t="str">
        <f>IFERROR(__xludf.DUMMYFUNCTION("""COMPUTED_VALUE"""),"20 inch")</f>
        <v>20 inch</v>
      </c>
      <c r="Q975" s="152" t="str">
        <f>IFERROR(__xludf.DUMMYFUNCTION("""COMPUTED_VALUE"""),"All Black")</f>
        <v>All Black</v>
      </c>
      <c r="R975" s="149" t="str">
        <f>IFERROR(__xludf.DUMMYFUNCTION("""COMPUTED_VALUE"""),"Autopilot included")</f>
        <v>Autopilot included</v>
      </c>
      <c r="S975" s="149" t="str">
        <f>IFERROR(__xludf.DUMMYFUNCTION("""COMPUTED_VALUE"""),"Loan")</f>
        <v>Loan</v>
      </c>
      <c r="T975" s="145" t="str">
        <f>IFERROR(__xludf.DUMMYFUNCTION("""COMPUTED_VALUE"""),"Dodge Charger Scat Pack 392")</f>
        <v>Dodge Charger Scat Pack 392</v>
      </c>
      <c r="U975" s="145" t="str">
        <f>IFERROR(__xludf.DUMMYFUNCTION("""COMPUTED_VALUE"""),"Electric!")</f>
        <v>Electric!</v>
      </c>
      <c r="V975" s="145" t="str">
        <f>IFERROR(__xludf.DUMMYFUNCTION("""COMPUTED_VALUE"""),"Head-up display")</f>
        <v>Head-up display</v>
      </c>
      <c r="W975" s="145" t="str">
        <f>IFERROR(__xludf.DUMMYFUNCTION("""COMPUTED_VALUE"""),"Keep in contact with your SA. A good SA makes a world of difference.")</f>
        <v>Keep in contact with your SA. A good SA makes a world of difference.</v>
      </c>
      <c r="X975" s="137" t="str">
        <f>IFERROR(__xludf.DUMMYFUNCTION("""COMPUTED_VALUE"""),"Excellent")</f>
        <v>Excellent</v>
      </c>
      <c r="Y975" s="138" t="str">
        <f>IFERROR(__xludf.DUMMYFUNCTION("""COMPUTED_VALUE"""),"Excellent")</f>
        <v>Excellent</v>
      </c>
      <c r="Z975" s="138" t="str">
        <f>IFERROR(__xludf.DUMMYFUNCTION("""COMPUTED_VALUE"""),"Excellent")</f>
        <v>Excellent</v>
      </c>
      <c r="AA975" s="138" t="str">
        <f>IFERROR(__xludf.DUMMYFUNCTION("""COMPUTED_VALUE"""),"Excellent")</f>
        <v>Excellent</v>
      </c>
      <c r="AB975" s="138" t="str">
        <f>IFERROR(__xludf.DUMMYFUNCTION("""COMPUTED_VALUE"""),"Excellent")</f>
        <v>Excellent</v>
      </c>
      <c r="AC975" s="139"/>
      <c r="AD975" s="139"/>
      <c r="AE975" s="139"/>
      <c r="AF975" s="140" t="str">
        <f>IFERROR(__xludf.DUMMYFUNCTION("""COMPUTED_VALUE"""),"No. I took delivery of the first car Tesla was able to deliver.")</f>
        <v>No. I took delivery of the first car Tesla was able to deliver.</v>
      </c>
      <c r="AG975" s="145"/>
      <c r="AH975" s="157">
        <f>IFERROR(__xludf.DUMMYFUNCTION("""COMPUTED_VALUE"""),44256.62452770833)</f>
        <v>44256.62453</v>
      </c>
      <c r="AI975" s="138"/>
      <c r="AJ975" s="138"/>
      <c r="AK975" s="138"/>
      <c r="AL975" s="142"/>
    </row>
    <row r="976" ht="20.25" customHeight="1">
      <c r="A976" s="155" t="str">
        <f>IFERROR(__xludf.DUMMYFUNCTION("""COMPUTED_VALUE"""),"ktroutt")</f>
        <v>ktroutt</v>
      </c>
      <c r="B976" s="149" t="str">
        <f>IFERROR(__xludf.DUMMYFUNCTION("""COMPUTED_VALUE"""),"McKinney")</f>
        <v>McKinney</v>
      </c>
      <c r="C976" s="149" t="str">
        <f>IFERROR(__xludf.DUMMYFUNCTION("""COMPUTED_VALUE"""),"TX")</f>
        <v>TX</v>
      </c>
      <c r="D976" s="149" t="str">
        <f>IFERROR(__xludf.DUMMYFUNCTION("""COMPUTED_VALUE"""),"USA")</f>
        <v>USA</v>
      </c>
      <c r="E976" s="156">
        <f>IFERROR(__xludf.DUMMYFUNCTION("""COMPUTED_VALUE"""),44234.0)</f>
        <v>44234</v>
      </c>
      <c r="F976" s="129">
        <f>IFERROR(__xludf.DUMMYFUNCTION("""COMPUTED_VALUE"""),44252.0)</f>
        <v>44252</v>
      </c>
      <c r="G976" s="154" t="str">
        <f>IFERROR(__xludf.DUMMYFUNCTION("""COMPUTED_VALUE"""),"Email")</f>
        <v>Email</v>
      </c>
      <c r="H976" s="131">
        <f>IFERROR(__xludf.DUMMYFUNCTION("""COMPUTED_VALUE"""),914555.0)</f>
        <v>914555</v>
      </c>
      <c r="I976" s="144" t="str">
        <f>IFERROR(__xludf.DUMMYFUNCTION("""COMPUTED_VALUE"""),"02/21")</f>
        <v>02/21</v>
      </c>
      <c r="J976" s="129">
        <f>IFERROR(__xludf.DUMMYFUNCTION("""COMPUTED_VALUE"""),44264.0)</f>
        <v>44264</v>
      </c>
      <c r="K976" s="133">
        <f>IFERROR(__xludf.DUMMYFUNCTION("""COMPUTED_VALUE"""),18.0)</f>
        <v>18</v>
      </c>
      <c r="L976" s="133">
        <f>IFERROR(__xludf.DUMMYFUNCTION("""COMPUTED_VALUE"""),12.0)</f>
        <v>12</v>
      </c>
      <c r="M976" s="133">
        <f>IFERROR(__xludf.DUMMYFUNCTION("""COMPUTED_VALUE"""),30.0)</f>
        <v>30</v>
      </c>
      <c r="N976" s="152" t="str">
        <f>IFERROR(__xludf.DUMMYFUNCTION("""COMPUTED_VALUE"""),"Model 3 Performance")</f>
        <v>Model 3 Performance</v>
      </c>
      <c r="O976" s="152" t="str">
        <f>IFERROR(__xludf.DUMMYFUNCTION("""COMPUTED_VALUE"""),"Pearl White Multi-Coat")</f>
        <v>Pearl White Multi-Coat</v>
      </c>
      <c r="P976" s="153" t="str">
        <f>IFERROR(__xludf.DUMMYFUNCTION("""COMPUTED_VALUE"""),"20 inch")</f>
        <v>20 inch</v>
      </c>
      <c r="Q976" s="152" t="str">
        <f>IFERROR(__xludf.DUMMYFUNCTION("""COMPUTED_VALUE"""),"All Black")</f>
        <v>All Black</v>
      </c>
      <c r="R976" s="149" t="str">
        <f>IFERROR(__xludf.DUMMYFUNCTION("""COMPUTED_VALUE"""),"Autopilot included")</f>
        <v>Autopilot included</v>
      </c>
      <c r="S976" s="149" t="str">
        <f>IFERROR(__xludf.DUMMYFUNCTION("""COMPUTED_VALUE"""),"Loan")</f>
        <v>Loan</v>
      </c>
      <c r="T976" s="145"/>
      <c r="U976" s="145" t="str">
        <f>IFERROR(__xludf.DUMMYFUNCTION("""COMPUTED_VALUE"""),"Electric!")</f>
        <v>Electric!</v>
      </c>
      <c r="V976" s="145" t="str">
        <f>IFERROR(__xludf.DUMMYFUNCTION("""COMPUTED_VALUE"""),"360° Bird's eye view")</f>
        <v>360° Bird's eye view</v>
      </c>
      <c r="W976" s="145"/>
      <c r="X976" s="137" t="str">
        <f>IFERROR(__xludf.DUMMYFUNCTION("""COMPUTED_VALUE"""),"Excellent")</f>
        <v>Excellent</v>
      </c>
      <c r="Y976" s="138" t="str">
        <f>IFERROR(__xludf.DUMMYFUNCTION("""COMPUTED_VALUE"""),"Excellent")</f>
        <v>Excellent</v>
      </c>
      <c r="Z976" s="138" t="str">
        <f>IFERROR(__xludf.DUMMYFUNCTION("""COMPUTED_VALUE"""),"Excellent")</f>
        <v>Excellent</v>
      </c>
      <c r="AA976" s="138" t="str">
        <f>IFERROR(__xludf.DUMMYFUNCTION("""COMPUTED_VALUE"""),"Good")</f>
        <v>Good</v>
      </c>
      <c r="AB976" s="138" t="str">
        <f>IFERROR(__xludf.DUMMYFUNCTION("""COMPUTED_VALUE"""),"Excellent")</f>
        <v>Excellent</v>
      </c>
      <c r="AC976" s="139">
        <f>IFERROR(__xludf.DUMMYFUNCTION("""COMPUTED_VALUE"""),0.0)</f>
        <v>0</v>
      </c>
      <c r="AD976" s="139"/>
      <c r="AE976" s="139"/>
      <c r="AF976" s="140" t="str">
        <f>IFERROR(__xludf.DUMMYFUNCTION("""COMPUTED_VALUE"""),"No. I took delivery of the first car Tesla was able to deliver.")</f>
        <v>No. I took delivery of the first car Tesla was able to deliver.</v>
      </c>
      <c r="AG976" s="145"/>
      <c r="AH976" s="157">
        <f>IFERROR(__xludf.DUMMYFUNCTION("""COMPUTED_VALUE"""),44266.72566633102)</f>
        <v>44266.72567</v>
      </c>
      <c r="AI976" s="138"/>
      <c r="AJ976" s="138"/>
      <c r="AK976" s="138"/>
      <c r="AL976" s="142"/>
    </row>
    <row r="977" ht="20.25" customHeight="1">
      <c r="A977" s="155" t="str">
        <f>IFERROR(__xludf.DUMMYFUNCTION("""COMPUTED_VALUE"""),"c0d3x")</f>
        <v>c0d3x</v>
      </c>
      <c r="B977" s="149" t="str">
        <f>IFERROR(__xludf.DUMMYFUNCTION("""COMPUTED_VALUE"""),"Oslo")</f>
        <v>Oslo</v>
      </c>
      <c r="C977" s="149"/>
      <c r="D977" s="149" t="str">
        <f>IFERROR(__xludf.DUMMYFUNCTION("""COMPUTED_VALUE"""),"Norway")</f>
        <v>Norway</v>
      </c>
      <c r="E977" s="156">
        <f>IFERROR(__xludf.DUMMYFUNCTION("""COMPUTED_VALUE"""),44233.0)</f>
        <v>44233</v>
      </c>
      <c r="F977" s="129">
        <f>IFERROR(__xludf.DUMMYFUNCTION("""COMPUTED_VALUE"""),44254.0)</f>
        <v>44254</v>
      </c>
      <c r="G977" s="154" t="str">
        <f>IFERROR(__xludf.DUMMYFUNCTION("""COMPUTED_VALUE"""),"Text message")</f>
        <v>Text message</v>
      </c>
      <c r="H977" s="131">
        <f>IFERROR(__xludf.DUMMYFUNCTION("""COMPUTED_VALUE"""),896755.0)</f>
        <v>896755</v>
      </c>
      <c r="I977" s="144" t="str">
        <f>IFERROR(__xludf.DUMMYFUNCTION("""COMPUTED_VALUE"""),"01/21")</f>
        <v>01/21</v>
      </c>
      <c r="J977" s="129">
        <f>IFERROR(__xludf.DUMMYFUNCTION("""COMPUTED_VALUE"""),44272.0)</f>
        <v>44272</v>
      </c>
      <c r="K977" s="133">
        <f>IFERROR(__xludf.DUMMYFUNCTION("""COMPUTED_VALUE"""),21.0)</f>
        <v>21</v>
      </c>
      <c r="L977" s="133">
        <f>IFERROR(__xludf.DUMMYFUNCTION("""COMPUTED_VALUE"""),18.0)</f>
        <v>18</v>
      </c>
      <c r="M977" s="133">
        <f>IFERROR(__xludf.DUMMYFUNCTION("""COMPUTED_VALUE"""),39.0)</f>
        <v>39</v>
      </c>
      <c r="N977" s="152" t="str">
        <f>IFERROR(__xludf.DUMMYFUNCTION("""COMPUTED_VALUE"""),"Model 3 LR AWD")</f>
        <v>Model 3 LR AWD</v>
      </c>
      <c r="O977" s="152" t="str">
        <f>IFERROR(__xludf.DUMMYFUNCTION("""COMPUTED_VALUE"""),"Midnight Silver Metallic")</f>
        <v>Midnight Silver Metallic</v>
      </c>
      <c r="P977" s="153" t="str">
        <f>IFERROR(__xludf.DUMMYFUNCTION("""COMPUTED_VALUE"""),"18 inch")</f>
        <v>18 inch</v>
      </c>
      <c r="Q977" s="152" t="str">
        <f>IFERROR(__xludf.DUMMYFUNCTION("""COMPUTED_VALUE"""),"All Black")</f>
        <v>All Black</v>
      </c>
      <c r="R977" s="149" t="str">
        <f>IFERROR(__xludf.DUMMYFUNCTION("""COMPUTED_VALUE"""),"Autopilot included")</f>
        <v>Autopilot included</v>
      </c>
      <c r="S977" s="149" t="str">
        <f>IFERROR(__xludf.DUMMYFUNCTION("""COMPUTED_VALUE"""),"Loan")</f>
        <v>Loan</v>
      </c>
      <c r="T977" s="145" t="str">
        <f>IFERROR(__xludf.DUMMYFUNCTION("""COMPUTED_VALUE"""),"Mazda 6")</f>
        <v>Mazda 6</v>
      </c>
      <c r="U977" s="145" t="str">
        <f>IFERROR(__xludf.DUMMYFUNCTION("""COMPUTED_VALUE"""),"Accelleration")</f>
        <v>Accelleration</v>
      </c>
      <c r="V977" s="145" t="str">
        <f>IFERROR(__xludf.DUMMYFUNCTION("""COMPUTED_VALUE"""),"Head-up display")</f>
        <v>Head-up display</v>
      </c>
      <c r="W977" s="145" t="str">
        <f>IFERROR(__xludf.DUMMYFUNCTION("""COMPUTED_VALUE"""),"Inspect the paint &amp; rims!")</f>
        <v>Inspect the paint &amp; rims!</v>
      </c>
      <c r="X977" s="137" t="str">
        <f>IFERROR(__xludf.DUMMYFUNCTION("""COMPUTED_VALUE"""),"Very Good")</f>
        <v>Very Good</v>
      </c>
      <c r="Y977" s="138" t="str">
        <f>IFERROR(__xludf.DUMMYFUNCTION("""COMPUTED_VALUE"""),"Good")</f>
        <v>Good</v>
      </c>
      <c r="Z977" s="138" t="str">
        <f>IFERROR(__xludf.DUMMYFUNCTION("""COMPUTED_VALUE"""),"Poor")</f>
        <v>Poor</v>
      </c>
      <c r="AA977" s="138" t="str">
        <f>IFERROR(__xludf.DUMMYFUNCTION("""COMPUTED_VALUE"""),"Good")</f>
        <v>Good</v>
      </c>
      <c r="AB977" s="138" t="str">
        <f>IFERROR(__xludf.DUMMYFUNCTION("""COMPUTED_VALUE"""),"Fair")</f>
        <v>Fair</v>
      </c>
      <c r="AC977" s="139"/>
      <c r="AD977" s="139">
        <f>IFERROR(__xludf.DUMMYFUNCTION("""COMPUTED_VALUE"""),0.0)</f>
        <v>0</v>
      </c>
      <c r="AE977" s="139">
        <f>IFERROR(__xludf.DUMMYFUNCTION("""COMPUTED_VALUE"""),0.0)</f>
        <v>0</v>
      </c>
      <c r="AF977" s="140" t="str">
        <f>IFERROR(__xludf.DUMMYFUNCTION("""COMPUTED_VALUE"""),"No. I took delivery of the first car Tesla was able to deliver.")</f>
        <v>No. I took delivery of the first car Tesla was able to deliver.</v>
      </c>
      <c r="AG977" s="145" t="str">
        <f>IFERROR(__xludf.DUMMYFUNCTION("""COMPUTED_VALUE"""),"Got v1 aero wheels for winter tires and v2 for summer tires.")</f>
        <v>Got v1 aero wheels for winter tires and v2 for summer tires.</v>
      </c>
      <c r="AH977" s="157">
        <f>IFERROR(__xludf.DUMMYFUNCTION("""COMPUTED_VALUE"""),44295.520083020834)</f>
        <v>44295.52008</v>
      </c>
      <c r="AI977" s="138"/>
      <c r="AJ977" s="138"/>
      <c r="AK977" s="138"/>
      <c r="AL977" s="142"/>
    </row>
    <row r="978" ht="20.25" customHeight="1">
      <c r="A978" s="155" t="str">
        <f>IFERROR(__xludf.DUMMYFUNCTION("""COMPUTED_VALUE"""),"jkcb78")</f>
        <v>jkcb78</v>
      </c>
      <c r="B978" s="149" t="str">
        <f>IFERROR(__xludf.DUMMYFUNCTION("""COMPUTED_VALUE"""),"Cincinnati")</f>
        <v>Cincinnati</v>
      </c>
      <c r="C978" s="149" t="str">
        <f>IFERROR(__xludf.DUMMYFUNCTION("""COMPUTED_VALUE"""),"OH")</f>
        <v>OH</v>
      </c>
      <c r="D978" s="149" t="str">
        <f>IFERROR(__xludf.DUMMYFUNCTION("""COMPUTED_VALUE"""),"USA")</f>
        <v>USA</v>
      </c>
      <c r="E978" s="156">
        <f>IFERROR(__xludf.DUMMYFUNCTION("""COMPUTED_VALUE"""),44233.0)</f>
        <v>44233</v>
      </c>
      <c r="F978" s="129">
        <f>IFERROR(__xludf.DUMMYFUNCTION("""COMPUTED_VALUE"""),44270.0)</f>
        <v>44270</v>
      </c>
      <c r="G978" s="154" t="str">
        <f>IFERROR(__xludf.DUMMYFUNCTION("""COMPUTED_VALUE"""),"Text message")</f>
        <v>Text message</v>
      </c>
      <c r="H978" s="131">
        <f>IFERROR(__xludf.DUMMYFUNCTION("""COMPUTED_VALUE"""),914655.0)</f>
        <v>914655</v>
      </c>
      <c r="I978" s="144" t="str">
        <f>IFERROR(__xludf.DUMMYFUNCTION("""COMPUTED_VALUE"""),"03/21")</f>
        <v>03/21</v>
      </c>
      <c r="J978" s="129">
        <f>IFERROR(__xludf.DUMMYFUNCTION("""COMPUTED_VALUE"""),44282.0)</f>
        <v>44282</v>
      </c>
      <c r="K978" s="133">
        <f>IFERROR(__xludf.DUMMYFUNCTION("""COMPUTED_VALUE"""),37.0)</f>
        <v>37</v>
      </c>
      <c r="L978" s="133">
        <f>IFERROR(__xludf.DUMMYFUNCTION("""COMPUTED_VALUE"""),12.0)</f>
        <v>12</v>
      </c>
      <c r="M978" s="133">
        <f>IFERROR(__xludf.DUMMYFUNCTION("""COMPUTED_VALUE"""),49.0)</f>
        <v>49</v>
      </c>
      <c r="N978" s="152" t="str">
        <f>IFERROR(__xludf.DUMMYFUNCTION("""COMPUTED_VALUE"""),"Model 3 Performance")</f>
        <v>Model 3 Performance</v>
      </c>
      <c r="O978" s="152" t="str">
        <f>IFERROR(__xludf.DUMMYFUNCTION("""COMPUTED_VALUE"""),"Deep Blue Metallic")</f>
        <v>Deep Blue Metallic</v>
      </c>
      <c r="P978" s="153" t="str">
        <f>IFERROR(__xludf.DUMMYFUNCTION("""COMPUTED_VALUE"""),"20 inch")</f>
        <v>20 inch</v>
      </c>
      <c r="Q978" s="152" t="str">
        <f>IFERROR(__xludf.DUMMYFUNCTION("""COMPUTED_VALUE"""),"Black and White")</f>
        <v>Black and White</v>
      </c>
      <c r="R978" s="149" t="str">
        <f>IFERROR(__xludf.DUMMYFUNCTION("""COMPUTED_VALUE"""),"Full Self-Driving")</f>
        <v>Full Self-Driving</v>
      </c>
      <c r="S978" s="149"/>
      <c r="T978" s="145" t="str">
        <f>IFERROR(__xludf.DUMMYFUNCTION("""COMPUTED_VALUE"""),"Chevy Volt")</f>
        <v>Chevy Volt</v>
      </c>
      <c r="U978" s="145" t="str">
        <f>IFERROR(__xludf.DUMMYFUNCTION("""COMPUTED_VALUE"""),"Electric!")</f>
        <v>Electric!</v>
      </c>
      <c r="V978" s="145" t="str">
        <f>IFERROR(__xludf.DUMMYFUNCTION("""COMPUTED_VALUE"""),"Air suspension")</f>
        <v>Air suspension</v>
      </c>
      <c r="W978" s="145"/>
      <c r="X978" s="137" t="str">
        <f>IFERROR(__xludf.DUMMYFUNCTION("""COMPUTED_VALUE"""),"Excellent")</f>
        <v>Excellent</v>
      </c>
      <c r="Y978" s="138" t="str">
        <f>IFERROR(__xludf.DUMMYFUNCTION("""COMPUTED_VALUE"""),"Excellent")</f>
        <v>Excellent</v>
      </c>
      <c r="Z978" s="138" t="str">
        <f>IFERROR(__xludf.DUMMYFUNCTION("""COMPUTED_VALUE"""),"Excellent")</f>
        <v>Excellent</v>
      </c>
      <c r="AA978" s="138" t="str">
        <f>IFERROR(__xludf.DUMMYFUNCTION("""COMPUTED_VALUE"""),"Excellent")</f>
        <v>Excellent</v>
      </c>
      <c r="AB978" s="138" t="str">
        <f>IFERROR(__xludf.DUMMYFUNCTION("""COMPUTED_VALUE"""),"Excellent")</f>
        <v>Excellent</v>
      </c>
      <c r="AC978" s="139"/>
      <c r="AD978" s="139"/>
      <c r="AE978" s="139"/>
      <c r="AF978" s="140" t="str">
        <f>IFERROR(__xludf.DUMMYFUNCTION("""COMPUTED_VALUE"""),"No. I took delivery of the first car Tesla was able to deliver.")</f>
        <v>No. I took delivery of the first car Tesla was able to deliver.</v>
      </c>
      <c r="AG978" s="145"/>
      <c r="AH978" s="157">
        <f>IFERROR(__xludf.DUMMYFUNCTION("""COMPUTED_VALUE"""),44288.85232450232)</f>
        <v>44288.85232</v>
      </c>
      <c r="AI978" s="138"/>
      <c r="AJ978" s="138"/>
      <c r="AK978" s="138"/>
      <c r="AL978" s="142"/>
    </row>
    <row r="979" ht="20.25" customHeight="1">
      <c r="A979" s="155" t="str">
        <f>IFERROR(__xludf.DUMMYFUNCTION("""COMPUTED_VALUE"""),"M3P-atience")</f>
        <v>M3P-atience</v>
      </c>
      <c r="B979" s="149" t="str">
        <f>IFERROR(__xludf.DUMMYFUNCTION("""COMPUTED_VALUE"""),"Marin County")</f>
        <v>Marin County</v>
      </c>
      <c r="C979" s="149" t="str">
        <f>IFERROR(__xludf.DUMMYFUNCTION("""COMPUTED_VALUE"""),"CA")</f>
        <v>CA</v>
      </c>
      <c r="D979" s="149" t="str">
        <f>IFERROR(__xludf.DUMMYFUNCTION("""COMPUTED_VALUE"""),"USA")</f>
        <v>USA</v>
      </c>
      <c r="E979" s="156">
        <f>IFERROR(__xludf.DUMMYFUNCTION("""COMPUTED_VALUE"""),44233.0)</f>
        <v>44233</v>
      </c>
      <c r="F979" s="129">
        <f>IFERROR(__xludf.DUMMYFUNCTION("""COMPUTED_VALUE"""),44279.0)</f>
        <v>44279</v>
      </c>
      <c r="G979" s="154" t="str">
        <f>IFERROR(__xludf.DUMMYFUNCTION("""COMPUTED_VALUE"""),"Manage order page (normal text)")</f>
        <v>Manage order page (normal text)</v>
      </c>
      <c r="H979" s="131">
        <f>IFERROR(__xludf.DUMMYFUNCTION("""COMPUTED_VALUE"""),935855.0)</f>
        <v>935855</v>
      </c>
      <c r="I979" s="144" t="str">
        <f>IFERROR(__xludf.DUMMYFUNCTION("""COMPUTED_VALUE"""),"03/21")</f>
        <v>03/21</v>
      </c>
      <c r="J979" s="129">
        <f>IFERROR(__xludf.DUMMYFUNCTION("""COMPUTED_VALUE"""),44283.0)</f>
        <v>44283</v>
      </c>
      <c r="K979" s="133">
        <f>IFERROR(__xludf.DUMMYFUNCTION("""COMPUTED_VALUE"""),46.0)</f>
        <v>46</v>
      </c>
      <c r="L979" s="133">
        <f>IFERROR(__xludf.DUMMYFUNCTION("""COMPUTED_VALUE"""),4.0)</f>
        <v>4</v>
      </c>
      <c r="M979" s="133">
        <f>IFERROR(__xludf.DUMMYFUNCTION("""COMPUTED_VALUE"""),50.0)</f>
        <v>50</v>
      </c>
      <c r="N979" s="152" t="str">
        <f>IFERROR(__xludf.DUMMYFUNCTION("""COMPUTED_VALUE"""),"Model 3 Performance")</f>
        <v>Model 3 Performance</v>
      </c>
      <c r="O979" s="152" t="str">
        <f>IFERROR(__xludf.DUMMYFUNCTION("""COMPUTED_VALUE"""),"Midnight Silver Metallic")</f>
        <v>Midnight Silver Metallic</v>
      </c>
      <c r="P979" s="153" t="str">
        <f>IFERROR(__xludf.DUMMYFUNCTION("""COMPUTED_VALUE"""),"20 inch")</f>
        <v>20 inch</v>
      </c>
      <c r="Q979" s="152" t="str">
        <f>IFERROR(__xludf.DUMMYFUNCTION("""COMPUTED_VALUE"""),"All Black")</f>
        <v>All Black</v>
      </c>
      <c r="R979" s="149" t="str">
        <f>IFERROR(__xludf.DUMMYFUNCTION("""COMPUTED_VALUE"""),"Autopilot included")</f>
        <v>Autopilot included</v>
      </c>
      <c r="S979" s="149" t="str">
        <f>IFERROR(__xludf.DUMMYFUNCTION("""COMPUTED_VALUE"""),"Lease")</f>
        <v>Lease</v>
      </c>
      <c r="T979" s="145" t="str">
        <f>IFERROR(__xludf.DUMMYFUNCTION("""COMPUTED_VALUE"""),"Tesla Model S")</f>
        <v>Tesla Model S</v>
      </c>
      <c r="U979" s="145" t="str">
        <f>IFERROR(__xludf.DUMMYFUNCTION("""COMPUTED_VALUE"""),"Electric!")</f>
        <v>Electric!</v>
      </c>
      <c r="V979" s="145" t="str">
        <f>IFERROR(__xludf.DUMMYFUNCTION("""COMPUTED_VALUE"""),"Air suspension")</f>
        <v>Air suspension</v>
      </c>
      <c r="W979" s="145"/>
      <c r="X979" s="137" t="str">
        <f>IFERROR(__xludf.DUMMYFUNCTION("""COMPUTED_VALUE"""),"Very Good")</f>
        <v>Very Good</v>
      </c>
      <c r="Y979" s="138" t="str">
        <f>IFERROR(__xludf.DUMMYFUNCTION("""COMPUTED_VALUE"""),"Very Good")</f>
        <v>Very Good</v>
      </c>
      <c r="Z979" s="138" t="str">
        <f>IFERROR(__xludf.DUMMYFUNCTION("""COMPUTED_VALUE"""),"Excellent")</f>
        <v>Excellent</v>
      </c>
      <c r="AA979" s="138" t="str">
        <f>IFERROR(__xludf.DUMMYFUNCTION("""COMPUTED_VALUE"""),"Very Good")</f>
        <v>Very Good</v>
      </c>
      <c r="AB979" s="138" t="str">
        <f>IFERROR(__xludf.DUMMYFUNCTION("""COMPUTED_VALUE"""),"Very Good")</f>
        <v>Very Good</v>
      </c>
      <c r="AC979" s="139">
        <f>IFERROR(__xludf.DUMMYFUNCTION("""COMPUTED_VALUE"""),0.0)</f>
        <v>0</v>
      </c>
      <c r="AD979" s="139"/>
      <c r="AE979" s="139"/>
      <c r="AF979" s="140" t="str">
        <f>IFERROR(__xludf.DUMMYFUNCTION("""COMPUTED_VALUE"""),"No. I took delivery of the first car Tesla was able to deliver.")</f>
        <v>No. I took delivery of the first car Tesla was able to deliver.</v>
      </c>
      <c r="AG979" s="145"/>
      <c r="AH979" s="157">
        <f>IFERROR(__xludf.DUMMYFUNCTION("""COMPUTED_VALUE"""),44286.80991243056)</f>
        <v>44286.80991</v>
      </c>
      <c r="AI979" s="138"/>
      <c r="AJ979" s="138"/>
      <c r="AK979" s="138"/>
      <c r="AL979" s="142"/>
    </row>
    <row r="980" ht="20.25" customHeight="1">
      <c r="A980" s="155" t="str">
        <f>IFERROR(__xludf.DUMMYFUNCTION("""COMPUTED_VALUE"""),"Cras")</f>
        <v>Cras</v>
      </c>
      <c r="B980" s="149" t="str">
        <f>IFERROR(__xludf.DUMMYFUNCTION("""COMPUTED_VALUE"""),"Palm Springs")</f>
        <v>Palm Springs</v>
      </c>
      <c r="C980" s="149" t="str">
        <f>IFERROR(__xludf.DUMMYFUNCTION("""COMPUTED_VALUE"""),"CA")</f>
        <v>CA</v>
      </c>
      <c r="D980" s="149" t="str">
        <f>IFERROR(__xludf.DUMMYFUNCTION("""COMPUTED_VALUE"""),"USA")</f>
        <v>USA</v>
      </c>
      <c r="E980" s="156">
        <f>IFERROR(__xludf.DUMMYFUNCTION("""COMPUTED_VALUE"""),44232.0)</f>
        <v>44232</v>
      </c>
      <c r="F980" s="129">
        <f>IFERROR(__xludf.DUMMYFUNCTION("""COMPUTED_VALUE"""),44272.0)</f>
        <v>44272</v>
      </c>
      <c r="G980" s="154" t="str">
        <f>IFERROR(__xludf.DUMMYFUNCTION("""COMPUTED_VALUE"""),"Manage order page (normal text)")</f>
        <v>Manage order page (normal text)</v>
      </c>
      <c r="H980" s="131">
        <f>IFERROR(__xludf.DUMMYFUNCTION("""COMPUTED_VALUE"""),926555.0)</f>
        <v>926555</v>
      </c>
      <c r="I980" s="144" t="str">
        <f>IFERROR(__xludf.DUMMYFUNCTION("""COMPUTED_VALUE"""),"03/21")</f>
        <v>03/21</v>
      </c>
      <c r="J980" s="129">
        <f>IFERROR(__xludf.DUMMYFUNCTION("""COMPUTED_VALUE"""),44275.0)</f>
        <v>44275</v>
      </c>
      <c r="K980" s="133">
        <f>IFERROR(__xludf.DUMMYFUNCTION("""COMPUTED_VALUE"""),40.0)</f>
        <v>40</v>
      </c>
      <c r="L980" s="133">
        <f>IFERROR(__xludf.DUMMYFUNCTION("""COMPUTED_VALUE"""),3.0)</f>
        <v>3</v>
      </c>
      <c r="M980" s="133">
        <f>IFERROR(__xludf.DUMMYFUNCTION("""COMPUTED_VALUE"""),43.0)</f>
        <v>43</v>
      </c>
      <c r="N980" s="152" t="str">
        <f>IFERROR(__xludf.DUMMYFUNCTION("""COMPUTED_VALUE"""),"Model 3 LR AWD")</f>
        <v>Model 3 LR AWD</v>
      </c>
      <c r="O980" s="152" t="str">
        <f>IFERROR(__xludf.DUMMYFUNCTION("""COMPUTED_VALUE"""),"Midnight Silver Metallic")</f>
        <v>Midnight Silver Metallic</v>
      </c>
      <c r="P980" s="153" t="str">
        <f>IFERROR(__xludf.DUMMYFUNCTION("""COMPUTED_VALUE"""),"19 inch")</f>
        <v>19 inch</v>
      </c>
      <c r="Q980" s="152" t="str">
        <f>IFERROR(__xludf.DUMMYFUNCTION("""COMPUTED_VALUE"""),"Black and White")</f>
        <v>Black and White</v>
      </c>
      <c r="R980" s="149" t="str">
        <f>IFERROR(__xludf.DUMMYFUNCTION("""COMPUTED_VALUE"""),"Full Self-Driving")</f>
        <v>Full Self-Driving</v>
      </c>
      <c r="S980" s="149" t="str">
        <f>IFERROR(__xludf.DUMMYFUNCTION("""COMPUTED_VALUE"""),"Cash")</f>
        <v>Cash</v>
      </c>
      <c r="T980" s="145" t="str">
        <f>IFERROR(__xludf.DUMMYFUNCTION("""COMPUTED_VALUE"""),"Ford Escape Limited")</f>
        <v>Ford Escape Limited</v>
      </c>
      <c r="U980" s="145" t="str">
        <f>IFERROR(__xludf.DUMMYFUNCTION("""COMPUTED_VALUE"""),"Autopilot")</f>
        <v>Autopilot</v>
      </c>
      <c r="V980" s="145" t="str">
        <f>IFERROR(__xludf.DUMMYFUNCTION("""COMPUTED_VALUE"""),"Apple CarPlay / Android Auto / SiriusXM Radio")</f>
        <v>Apple CarPlay / Android Auto / SiriusXM Radio</v>
      </c>
      <c r="W980" s="145" t="str">
        <f>IFERROR(__xludf.DUMMYFUNCTION("""COMPUTED_VALUE"""),"Be patient, and dont expect Tesla to operate like a legacy manufacturer")</f>
        <v>Be patient, and dont expect Tesla to operate like a legacy manufacturer</v>
      </c>
      <c r="X980" s="137" t="str">
        <f>IFERROR(__xludf.DUMMYFUNCTION("""COMPUTED_VALUE"""),"Very Good")</f>
        <v>Very Good</v>
      </c>
      <c r="Y980" s="138" t="str">
        <f>IFERROR(__xludf.DUMMYFUNCTION("""COMPUTED_VALUE"""),"Excellent")</f>
        <v>Excellent</v>
      </c>
      <c r="Z980" s="138" t="str">
        <f>IFERROR(__xludf.DUMMYFUNCTION("""COMPUTED_VALUE"""),"Excellent")</f>
        <v>Excellent</v>
      </c>
      <c r="AA980" s="138" t="str">
        <f>IFERROR(__xludf.DUMMYFUNCTION("""COMPUTED_VALUE"""),"Excellent")</f>
        <v>Excellent</v>
      </c>
      <c r="AB980" s="138" t="str">
        <f>IFERROR(__xludf.DUMMYFUNCTION("""COMPUTED_VALUE"""),"Fair")</f>
        <v>Fair</v>
      </c>
      <c r="AC980" s="139"/>
      <c r="AD980" s="139"/>
      <c r="AE980" s="139"/>
      <c r="AF980" s="140" t="str">
        <f>IFERROR(__xludf.DUMMYFUNCTION("""COMPUTED_VALUE"""),"No. I took delivery of the first car Tesla was able to deliver.")</f>
        <v>No. I took delivery of the first car Tesla was able to deliver.</v>
      </c>
      <c r="AG980" s="145" t="str">
        <f>IFERROR(__xludf.DUMMYFUNCTION("""COMPUTED_VALUE"""),"The contact free pickup at the service center was certainly a bizarre experience")</f>
        <v>The contact free pickup at the service center was certainly a bizarre experience</v>
      </c>
      <c r="AH980" s="157">
        <f>IFERROR(__xludf.DUMMYFUNCTION("""COMPUTED_VALUE"""),44275.68112813657)</f>
        <v>44275.68113</v>
      </c>
      <c r="AI980" s="138"/>
      <c r="AJ980" s="138"/>
      <c r="AK980" s="138"/>
      <c r="AL980" s="142"/>
    </row>
    <row r="981" ht="20.25" customHeight="1">
      <c r="A981" s="155" t="str">
        <f>IFERROR(__xludf.DUMMYFUNCTION("""COMPUTED_VALUE"""),"kentanolan")</f>
        <v>kentanolan</v>
      </c>
      <c r="B981" s="149" t="str">
        <f>IFERROR(__xludf.DUMMYFUNCTION("""COMPUTED_VALUE"""),"Salt Lake City")</f>
        <v>Salt Lake City</v>
      </c>
      <c r="C981" s="149" t="str">
        <f>IFERROR(__xludf.DUMMYFUNCTION("""COMPUTED_VALUE"""),"UT")</f>
        <v>UT</v>
      </c>
      <c r="D981" s="149" t="str">
        <f>IFERROR(__xludf.DUMMYFUNCTION("""COMPUTED_VALUE"""),"USA")</f>
        <v>USA</v>
      </c>
      <c r="E981" s="156">
        <f>IFERROR(__xludf.DUMMYFUNCTION("""COMPUTED_VALUE"""),44232.0)</f>
        <v>44232</v>
      </c>
      <c r="F981" s="129">
        <f>IFERROR(__xludf.DUMMYFUNCTION("""COMPUTED_VALUE"""),44254.0)</f>
        <v>44254</v>
      </c>
      <c r="G981" s="154" t="str">
        <f>IFERROR(__xludf.DUMMYFUNCTION("""COMPUTED_VALUE"""),"Manage order page (normal text)")</f>
        <v>Manage order page (normal text)</v>
      </c>
      <c r="H981" s="131">
        <f>IFERROR(__xludf.DUMMYFUNCTION("""COMPUTED_VALUE"""),915355.0)</f>
        <v>915355</v>
      </c>
      <c r="I981" s="144" t="str">
        <f>IFERROR(__xludf.DUMMYFUNCTION("""COMPUTED_VALUE"""),"02/21")</f>
        <v>02/21</v>
      </c>
      <c r="J981" s="129">
        <f>IFERROR(__xludf.DUMMYFUNCTION("""COMPUTED_VALUE"""),44259.0)</f>
        <v>44259</v>
      </c>
      <c r="K981" s="133">
        <f>IFERROR(__xludf.DUMMYFUNCTION("""COMPUTED_VALUE"""),22.0)</f>
        <v>22</v>
      </c>
      <c r="L981" s="133">
        <f>IFERROR(__xludf.DUMMYFUNCTION("""COMPUTED_VALUE"""),5.0)</f>
        <v>5</v>
      </c>
      <c r="M981" s="133">
        <f>IFERROR(__xludf.DUMMYFUNCTION("""COMPUTED_VALUE"""),27.0)</f>
        <v>27</v>
      </c>
      <c r="N981" s="152" t="str">
        <f>IFERROR(__xludf.DUMMYFUNCTION("""COMPUTED_VALUE"""),"Model 3 SR+")</f>
        <v>Model 3 SR+</v>
      </c>
      <c r="O981" s="152" t="str">
        <f>IFERROR(__xludf.DUMMYFUNCTION("""COMPUTED_VALUE"""),"Midnight Silver Metallic")</f>
        <v>Midnight Silver Metallic</v>
      </c>
      <c r="P981" s="153" t="str">
        <f>IFERROR(__xludf.DUMMYFUNCTION("""COMPUTED_VALUE"""),"18 inch")</f>
        <v>18 inch</v>
      </c>
      <c r="Q981" s="152" t="str">
        <f>IFERROR(__xludf.DUMMYFUNCTION("""COMPUTED_VALUE"""),"All Black")</f>
        <v>All Black</v>
      </c>
      <c r="R981" s="149" t="str">
        <f>IFERROR(__xludf.DUMMYFUNCTION("""COMPUTED_VALUE"""),"Autopilot included")</f>
        <v>Autopilot included</v>
      </c>
      <c r="S981" s="149" t="str">
        <f>IFERROR(__xludf.DUMMYFUNCTION("""COMPUTED_VALUE"""),"Loan")</f>
        <v>Loan</v>
      </c>
      <c r="T981" s="145"/>
      <c r="U981" s="145" t="str">
        <f>IFERROR(__xludf.DUMMYFUNCTION("""COMPUTED_VALUE"""),"Electric!")</f>
        <v>Electric!</v>
      </c>
      <c r="V981" s="145" t="str">
        <f>IFERROR(__xludf.DUMMYFUNCTION("""COMPUTED_VALUE"""),"Head-up display")</f>
        <v>Head-up display</v>
      </c>
      <c r="W981" s="145"/>
      <c r="X981" s="137" t="str">
        <f>IFERROR(__xludf.DUMMYFUNCTION("""COMPUTED_VALUE"""),"Excellent")</f>
        <v>Excellent</v>
      </c>
      <c r="Y981" s="138" t="str">
        <f>IFERROR(__xludf.DUMMYFUNCTION("""COMPUTED_VALUE"""),"Excellent")</f>
        <v>Excellent</v>
      </c>
      <c r="Z981" s="138" t="str">
        <f>IFERROR(__xludf.DUMMYFUNCTION("""COMPUTED_VALUE"""),"Very Good")</f>
        <v>Very Good</v>
      </c>
      <c r="AA981" s="138" t="str">
        <f>IFERROR(__xludf.DUMMYFUNCTION("""COMPUTED_VALUE"""),"Very Good")</f>
        <v>Very Good</v>
      </c>
      <c r="AB981" s="138" t="str">
        <f>IFERROR(__xludf.DUMMYFUNCTION("""COMPUTED_VALUE"""),"Very Good")</f>
        <v>Very Good</v>
      </c>
      <c r="AC981" s="139">
        <f>IFERROR(__xludf.DUMMYFUNCTION("""COMPUTED_VALUE"""),2.0)</f>
        <v>2</v>
      </c>
      <c r="AD981" s="139">
        <f>IFERROR(__xludf.DUMMYFUNCTION("""COMPUTED_VALUE"""),1.0)</f>
        <v>1</v>
      </c>
      <c r="AE981" s="139"/>
      <c r="AF981" s="140" t="str">
        <f>IFERROR(__xludf.DUMMYFUNCTION("""COMPUTED_VALUE"""),"No. I took delivery of the first car Tesla was able to deliver.")</f>
        <v>No. I took delivery of the first car Tesla was able to deliver.</v>
      </c>
      <c r="AG981" s="145"/>
      <c r="AH981" s="157">
        <f>IFERROR(__xludf.DUMMYFUNCTION("""COMPUTED_VALUE"""),44272.794632638885)</f>
        <v>44272.79463</v>
      </c>
      <c r="AI981" s="138"/>
      <c r="AJ981" s="138"/>
      <c r="AK981" s="138"/>
      <c r="AL981" s="142"/>
    </row>
    <row r="982" ht="20.25" customHeight="1">
      <c r="A982" s="155" t="str">
        <f>IFERROR(__xludf.DUMMYFUNCTION("""COMPUTED_VALUE"""),"redeeve")</f>
        <v>redeeve</v>
      </c>
      <c r="B982" s="149" t="str">
        <f>IFERROR(__xludf.DUMMYFUNCTION("""COMPUTED_VALUE"""),"Las Cruces")</f>
        <v>Las Cruces</v>
      </c>
      <c r="C982" s="149" t="str">
        <f>IFERROR(__xludf.DUMMYFUNCTION("""COMPUTED_VALUE"""),"NM")</f>
        <v>NM</v>
      </c>
      <c r="D982" s="149" t="str">
        <f>IFERROR(__xludf.DUMMYFUNCTION("""COMPUTED_VALUE"""),"USA")</f>
        <v>USA</v>
      </c>
      <c r="E982" s="156">
        <f>IFERROR(__xludf.DUMMYFUNCTION("""COMPUTED_VALUE"""),44232.0)</f>
        <v>44232</v>
      </c>
      <c r="F982" s="129">
        <f>IFERROR(__xludf.DUMMYFUNCTION("""COMPUTED_VALUE"""),44238.0)</f>
        <v>44238</v>
      </c>
      <c r="G982" s="154" t="str">
        <f>IFERROR(__xludf.DUMMYFUNCTION("""COMPUTED_VALUE"""),"Manage order page (normal text)")</f>
        <v>Manage order page (normal text)</v>
      </c>
      <c r="H982" s="131">
        <f>IFERROR(__xludf.DUMMYFUNCTION("""COMPUTED_VALUE"""),902102.0)</f>
        <v>902102</v>
      </c>
      <c r="I982" s="144" t="str">
        <f>IFERROR(__xludf.DUMMYFUNCTION("""COMPUTED_VALUE"""),"02/21")</f>
        <v>02/21</v>
      </c>
      <c r="J982" s="129">
        <f>IFERROR(__xludf.DUMMYFUNCTION("""COMPUTED_VALUE"""),44245.0)</f>
        <v>44245</v>
      </c>
      <c r="K982" s="133">
        <f>IFERROR(__xludf.DUMMYFUNCTION("""COMPUTED_VALUE"""),6.0)</f>
        <v>6</v>
      </c>
      <c r="L982" s="133">
        <f>IFERROR(__xludf.DUMMYFUNCTION("""COMPUTED_VALUE"""),7.0)</f>
        <v>7</v>
      </c>
      <c r="M982" s="133">
        <f>IFERROR(__xludf.DUMMYFUNCTION("""COMPUTED_VALUE"""),13.0)</f>
        <v>13</v>
      </c>
      <c r="N982" s="152" t="str">
        <f>IFERROR(__xludf.DUMMYFUNCTION("""COMPUTED_VALUE"""),"Model 3 LR AWD")</f>
        <v>Model 3 LR AWD</v>
      </c>
      <c r="O982" s="152" t="str">
        <f>IFERROR(__xludf.DUMMYFUNCTION("""COMPUTED_VALUE"""),"Pearl White Multi-Coat")</f>
        <v>Pearl White Multi-Coat</v>
      </c>
      <c r="P982" s="153" t="str">
        <f>IFERROR(__xludf.DUMMYFUNCTION("""COMPUTED_VALUE"""),"18 inch")</f>
        <v>18 inch</v>
      </c>
      <c r="Q982" s="152" t="str">
        <f>IFERROR(__xludf.DUMMYFUNCTION("""COMPUTED_VALUE"""),"All Black")</f>
        <v>All Black</v>
      </c>
      <c r="R982" s="149" t="str">
        <f>IFERROR(__xludf.DUMMYFUNCTION("""COMPUTED_VALUE"""),"Autopilot included")</f>
        <v>Autopilot included</v>
      </c>
      <c r="S982" s="149" t="str">
        <f>IFERROR(__xludf.DUMMYFUNCTION("""COMPUTED_VALUE"""),"Loan")</f>
        <v>Loan</v>
      </c>
      <c r="T982" s="145" t="str">
        <f>IFERROR(__xludf.DUMMYFUNCTION("""COMPUTED_VALUE"""),"Mazda 3")</f>
        <v>Mazda 3</v>
      </c>
      <c r="U982" s="145" t="str">
        <f>IFERROR(__xludf.DUMMYFUNCTION("""COMPUTED_VALUE"""),"Electric!")</f>
        <v>Electric!</v>
      </c>
      <c r="V982" s="145" t="str">
        <f>IFERROR(__xludf.DUMMYFUNCTION("""COMPUTED_VALUE"""),"Ventilated seats")</f>
        <v>Ventilated seats</v>
      </c>
      <c r="W982" s="145"/>
      <c r="X982" s="137" t="str">
        <f>IFERROR(__xludf.DUMMYFUNCTION("""COMPUTED_VALUE"""),"Excellent")</f>
        <v>Excellent</v>
      </c>
      <c r="Y982" s="138" t="str">
        <f>IFERROR(__xludf.DUMMYFUNCTION("""COMPUTED_VALUE"""),"Excellent")</f>
        <v>Excellent</v>
      </c>
      <c r="Z982" s="138" t="str">
        <f>IFERROR(__xludf.DUMMYFUNCTION("""COMPUTED_VALUE"""),"Excellent")</f>
        <v>Excellent</v>
      </c>
      <c r="AA982" s="138" t="str">
        <f>IFERROR(__xludf.DUMMYFUNCTION("""COMPUTED_VALUE"""),"Fair")</f>
        <v>Fair</v>
      </c>
      <c r="AB982" s="138" t="str">
        <f>IFERROR(__xludf.DUMMYFUNCTION("""COMPUTED_VALUE"""),"Excellent")</f>
        <v>Excellent</v>
      </c>
      <c r="AC982" s="139"/>
      <c r="AD982" s="139"/>
      <c r="AE982" s="139"/>
      <c r="AF982" s="140" t="str">
        <f>IFERROR(__xludf.DUMMYFUNCTION("""COMPUTED_VALUE"""),"No. I took delivery of the first car Tesla was able to deliver.")</f>
        <v>No. I took delivery of the first car Tesla was able to deliver.</v>
      </c>
      <c r="AG982" s="145"/>
      <c r="AH982" s="157">
        <f>IFERROR(__xludf.DUMMYFUNCTION("""COMPUTED_VALUE"""),44248.933718692126)</f>
        <v>44248.93372</v>
      </c>
      <c r="AI982" s="138"/>
      <c r="AJ982" s="138"/>
      <c r="AK982" s="138"/>
      <c r="AL982" s="142"/>
    </row>
    <row r="983" ht="20.25" customHeight="1">
      <c r="A983" s="155" t="str">
        <f>IFERROR(__xludf.DUMMYFUNCTION("""COMPUTED_VALUE"""),"HappyDude")</f>
        <v>HappyDude</v>
      </c>
      <c r="B983" s="149" t="str">
        <f>IFERROR(__xludf.DUMMYFUNCTION("""COMPUTED_VALUE"""),"Phoenix")</f>
        <v>Phoenix</v>
      </c>
      <c r="C983" s="149" t="str">
        <f>IFERROR(__xludf.DUMMYFUNCTION("""COMPUTED_VALUE"""),"AZ")</f>
        <v>AZ</v>
      </c>
      <c r="D983" s="149" t="str">
        <f>IFERROR(__xludf.DUMMYFUNCTION("""COMPUTED_VALUE"""),"USA")</f>
        <v>USA</v>
      </c>
      <c r="E983" s="156">
        <f>IFERROR(__xludf.DUMMYFUNCTION("""COMPUTED_VALUE"""),44231.0)</f>
        <v>44231</v>
      </c>
      <c r="F983" s="129">
        <f>IFERROR(__xludf.DUMMYFUNCTION("""COMPUTED_VALUE"""),44274.0)</f>
        <v>44274</v>
      </c>
      <c r="G983" s="154" t="str">
        <f>IFERROR(__xludf.DUMMYFUNCTION("""COMPUTED_VALUE"""),"Manage order page (normal text)")</f>
        <v>Manage order page (normal text)</v>
      </c>
      <c r="H983" s="131">
        <f>IFERROR(__xludf.DUMMYFUNCTION("""COMPUTED_VALUE"""),914955.0)</f>
        <v>914955</v>
      </c>
      <c r="I983" s="144" t="str">
        <f>IFERROR(__xludf.DUMMYFUNCTION("""COMPUTED_VALUE"""),"03/21")</f>
        <v>03/21</v>
      </c>
      <c r="J983" s="129">
        <f>IFERROR(__xludf.DUMMYFUNCTION("""COMPUTED_VALUE"""),44275.0)</f>
        <v>44275</v>
      </c>
      <c r="K983" s="133">
        <f>IFERROR(__xludf.DUMMYFUNCTION("""COMPUTED_VALUE"""),43.0)</f>
        <v>43</v>
      </c>
      <c r="L983" s="133">
        <f>IFERROR(__xludf.DUMMYFUNCTION("""COMPUTED_VALUE"""),1.0)</f>
        <v>1</v>
      </c>
      <c r="M983" s="133">
        <f>IFERROR(__xludf.DUMMYFUNCTION("""COMPUTED_VALUE"""),44.0)</f>
        <v>44</v>
      </c>
      <c r="N983" s="152" t="str">
        <f>IFERROR(__xludf.DUMMYFUNCTION("""COMPUTED_VALUE"""),"Model 3 LR AWD")</f>
        <v>Model 3 LR AWD</v>
      </c>
      <c r="O983" s="152" t="str">
        <f>IFERROR(__xludf.DUMMYFUNCTION("""COMPUTED_VALUE"""),"Deep Blue Metallic")</f>
        <v>Deep Blue Metallic</v>
      </c>
      <c r="P983" s="153" t="str">
        <f>IFERROR(__xludf.DUMMYFUNCTION("""COMPUTED_VALUE"""),"18 inch")</f>
        <v>18 inch</v>
      </c>
      <c r="Q983" s="152" t="str">
        <f>IFERROR(__xludf.DUMMYFUNCTION("""COMPUTED_VALUE"""),"All Black")</f>
        <v>All Black</v>
      </c>
      <c r="R983" s="149" t="str">
        <f>IFERROR(__xludf.DUMMYFUNCTION("""COMPUTED_VALUE"""),"Autopilot included")</f>
        <v>Autopilot included</v>
      </c>
      <c r="S983" s="149"/>
      <c r="T983" s="145" t="str">
        <f>IFERROR(__xludf.DUMMYFUNCTION("""COMPUTED_VALUE"""),"Hyundai Ioniq Plug-In")</f>
        <v>Hyundai Ioniq Plug-In</v>
      </c>
      <c r="U983" s="145" t="str">
        <f>IFERROR(__xludf.DUMMYFUNCTION("""COMPUTED_VALUE"""),"It is so fun to drive")</f>
        <v>It is so fun to drive</v>
      </c>
      <c r="V983" s="145" t="str">
        <f>IFERROR(__xludf.DUMMYFUNCTION("""COMPUTED_VALUE"""),"Head-up display")</f>
        <v>Head-up display</v>
      </c>
      <c r="W983" s="145"/>
      <c r="X983" s="137" t="str">
        <f>IFERROR(__xludf.DUMMYFUNCTION("""COMPUTED_VALUE"""),"Excellent")</f>
        <v>Excellent</v>
      </c>
      <c r="Y983" s="138" t="str">
        <f>IFERROR(__xludf.DUMMYFUNCTION("""COMPUTED_VALUE"""),"Excellent")</f>
        <v>Excellent</v>
      </c>
      <c r="Z983" s="138" t="str">
        <f>IFERROR(__xludf.DUMMYFUNCTION("""COMPUTED_VALUE"""),"Excellent")</f>
        <v>Excellent</v>
      </c>
      <c r="AA983" s="138" t="str">
        <f>IFERROR(__xludf.DUMMYFUNCTION("""COMPUTED_VALUE"""),"Fair")</f>
        <v>Fair</v>
      </c>
      <c r="AB983" s="138" t="str">
        <f>IFERROR(__xludf.DUMMYFUNCTION("""COMPUTED_VALUE"""),"Excellent")</f>
        <v>Excellent</v>
      </c>
      <c r="AC983" s="139"/>
      <c r="AD983" s="139"/>
      <c r="AE983" s="139"/>
      <c r="AF983" s="140" t="str">
        <f>IFERROR(__xludf.DUMMYFUNCTION("""COMPUTED_VALUE"""),"No. I took delivery of the first car Tesla was able to deliver.")</f>
        <v>No. I took delivery of the first car Tesla was able to deliver.</v>
      </c>
      <c r="AG983" s="145"/>
      <c r="AH983" s="157">
        <f>IFERROR(__xludf.DUMMYFUNCTION("""COMPUTED_VALUE"""),44276.08417924768)</f>
        <v>44276.08418</v>
      </c>
      <c r="AI983" s="138"/>
      <c r="AJ983" s="138"/>
      <c r="AK983" s="138"/>
      <c r="AL983" s="142"/>
    </row>
    <row r="984" ht="20.25" customHeight="1">
      <c r="A984" s="155" t="str">
        <f>IFERROR(__xludf.DUMMYFUNCTION("""COMPUTED_VALUE"""),"hubertbateman")</f>
        <v>hubertbateman</v>
      </c>
      <c r="B984" s="149" t="str">
        <f>IFERROR(__xludf.DUMMYFUNCTION("""COMPUTED_VALUE"""),"San Juan Capistrano")</f>
        <v>San Juan Capistrano</v>
      </c>
      <c r="C984" s="149" t="str">
        <f>IFERROR(__xludf.DUMMYFUNCTION("""COMPUTED_VALUE"""),"CA")</f>
        <v>CA</v>
      </c>
      <c r="D984" s="149" t="str">
        <f>IFERROR(__xludf.DUMMYFUNCTION("""COMPUTED_VALUE"""),"USA")</f>
        <v>USA</v>
      </c>
      <c r="E984" s="156">
        <f>IFERROR(__xludf.DUMMYFUNCTION("""COMPUTED_VALUE"""),44231.0)</f>
        <v>44231</v>
      </c>
      <c r="F984" s="129">
        <f>IFERROR(__xludf.DUMMYFUNCTION("""COMPUTED_VALUE"""),44274.0)</f>
        <v>44274</v>
      </c>
      <c r="G984" s="154" t="str">
        <f>IFERROR(__xludf.DUMMYFUNCTION("""COMPUTED_VALUE"""),"Manage order page (normal text)")</f>
        <v>Manage order page (normal text)</v>
      </c>
      <c r="H984" s="131">
        <f>IFERROR(__xludf.DUMMYFUNCTION("""COMPUTED_VALUE"""),928825.0)</f>
        <v>928825</v>
      </c>
      <c r="I984" s="144"/>
      <c r="J984" s="129">
        <f>IFERROR(__xludf.DUMMYFUNCTION("""COMPUTED_VALUE"""),44275.0)</f>
        <v>44275</v>
      </c>
      <c r="K984" s="133">
        <f>IFERROR(__xludf.DUMMYFUNCTION("""COMPUTED_VALUE"""),43.0)</f>
        <v>43</v>
      </c>
      <c r="L984" s="133">
        <f>IFERROR(__xludf.DUMMYFUNCTION("""COMPUTED_VALUE"""),1.0)</f>
        <v>1</v>
      </c>
      <c r="M984" s="133">
        <f>IFERROR(__xludf.DUMMYFUNCTION("""COMPUTED_VALUE"""),44.0)</f>
        <v>44</v>
      </c>
      <c r="N984" s="152" t="str">
        <f>IFERROR(__xludf.DUMMYFUNCTION("""COMPUTED_VALUE"""),"Model 3 SR+")</f>
        <v>Model 3 SR+</v>
      </c>
      <c r="O984" s="152" t="str">
        <f>IFERROR(__xludf.DUMMYFUNCTION("""COMPUTED_VALUE"""),"Pearl White Multi-Coat")</f>
        <v>Pearl White Multi-Coat</v>
      </c>
      <c r="P984" s="153" t="str">
        <f>IFERROR(__xludf.DUMMYFUNCTION("""COMPUTED_VALUE"""),"18 inch")</f>
        <v>18 inch</v>
      </c>
      <c r="Q984" s="152" t="str">
        <f>IFERROR(__xludf.DUMMYFUNCTION("""COMPUTED_VALUE"""),"Black and White")</f>
        <v>Black and White</v>
      </c>
      <c r="R984" s="149" t="str">
        <f>IFERROR(__xludf.DUMMYFUNCTION("""COMPUTED_VALUE"""),"Autopilot included")</f>
        <v>Autopilot included</v>
      </c>
      <c r="S984" s="149" t="str">
        <f>IFERROR(__xludf.DUMMYFUNCTION("""COMPUTED_VALUE"""),"Loan")</f>
        <v>Loan</v>
      </c>
      <c r="T984" s="145" t="str">
        <f>IFERROR(__xludf.DUMMYFUNCTION("""COMPUTED_VALUE"""),"Honda Civic Type R")</f>
        <v>Honda Civic Type R</v>
      </c>
      <c r="U984" s="145" t="str">
        <f>IFERROR(__xludf.DUMMYFUNCTION("""COMPUTED_VALUE"""),"Electric!")</f>
        <v>Electric!</v>
      </c>
      <c r="V984" s="145" t="str">
        <f>IFERROR(__xludf.DUMMYFUNCTION("""COMPUTED_VALUE"""),"Apple CarPlay / Android Auto / SiriusXM Radio")</f>
        <v>Apple CarPlay / Android Auto / SiriusXM Radio</v>
      </c>
      <c r="W984" s="145"/>
      <c r="X984" s="137" t="str">
        <f>IFERROR(__xludf.DUMMYFUNCTION("""COMPUTED_VALUE"""),"Very Good")</f>
        <v>Very Good</v>
      </c>
      <c r="Y984" s="138" t="str">
        <f>IFERROR(__xludf.DUMMYFUNCTION("""COMPUTED_VALUE"""),"Excellent")</f>
        <v>Excellent</v>
      </c>
      <c r="Z984" s="138" t="str">
        <f>IFERROR(__xludf.DUMMYFUNCTION("""COMPUTED_VALUE"""),"Very Good")</f>
        <v>Very Good</v>
      </c>
      <c r="AA984" s="138" t="str">
        <f>IFERROR(__xludf.DUMMYFUNCTION("""COMPUTED_VALUE"""),"Excellent")</f>
        <v>Excellent</v>
      </c>
      <c r="AB984" s="138" t="str">
        <f>IFERROR(__xludf.DUMMYFUNCTION("""COMPUTED_VALUE"""),"Excellent")</f>
        <v>Excellent</v>
      </c>
      <c r="AC984" s="139"/>
      <c r="AD984" s="139"/>
      <c r="AE984" s="139"/>
      <c r="AF984" s="140" t="str">
        <f>IFERROR(__xludf.DUMMYFUNCTION("""COMPUTED_VALUE"""),"No. I took delivery of the first car Tesla was able to deliver.")</f>
        <v>No. I took delivery of the first car Tesla was able to deliver.</v>
      </c>
      <c r="AG984" s="145"/>
      <c r="AH984" s="157">
        <f>IFERROR(__xludf.DUMMYFUNCTION("""COMPUTED_VALUE"""),44275.917026111114)</f>
        <v>44275.91703</v>
      </c>
      <c r="AI984" s="138"/>
      <c r="AJ984" s="138"/>
      <c r="AK984" s="138"/>
      <c r="AL984" s="142"/>
    </row>
    <row r="985" ht="20.25" customHeight="1">
      <c r="A985" s="155" t="str">
        <f>IFERROR(__xludf.DUMMYFUNCTION("""COMPUTED_VALUE"""),"jm")</f>
        <v>jm</v>
      </c>
      <c r="B985" s="149" t="str">
        <f>IFERROR(__xludf.DUMMYFUNCTION("""COMPUTED_VALUE"""),"Bay Area")</f>
        <v>Bay Area</v>
      </c>
      <c r="C985" s="149" t="str">
        <f>IFERROR(__xludf.DUMMYFUNCTION("""COMPUTED_VALUE"""),"CA")</f>
        <v>CA</v>
      </c>
      <c r="D985" s="149" t="str">
        <f>IFERROR(__xludf.DUMMYFUNCTION("""COMPUTED_VALUE"""),"USA")</f>
        <v>USA</v>
      </c>
      <c r="E985" s="156">
        <f>IFERROR(__xludf.DUMMYFUNCTION("""COMPUTED_VALUE"""),44231.0)</f>
        <v>44231</v>
      </c>
      <c r="F985" s="129">
        <f>IFERROR(__xludf.DUMMYFUNCTION("""COMPUTED_VALUE"""),44280.0)</f>
        <v>44280</v>
      </c>
      <c r="G985" s="154" t="str">
        <f>IFERROR(__xludf.DUMMYFUNCTION("""COMPUTED_VALUE"""),"Manage order page (normal text)")</f>
        <v>Manage order page (normal text)</v>
      </c>
      <c r="H985" s="131">
        <f>IFERROR(__xludf.DUMMYFUNCTION("""COMPUTED_VALUE"""),935755.0)</f>
        <v>935755</v>
      </c>
      <c r="I985" s="144" t="str">
        <f>IFERROR(__xludf.DUMMYFUNCTION("""COMPUTED_VALUE"""),"03/21")</f>
        <v>03/21</v>
      </c>
      <c r="J985" s="129">
        <f>IFERROR(__xludf.DUMMYFUNCTION("""COMPUTED_VALUE"""),44283.0)</f>
        <v>44283</v>
      </c>
      <c r="K985" s="133">
        <f>IFERROR(__xludf.DUMMYFUNCTION("""COMPUTED_VALUE"""),49.0)</f>
        <v>49</v>
      </c>
      <c r="L985" s="133">
        <f>IFERROR(__xludf.DUMMYFUNCTION("""COMPUTED_VALUE"""),3.0)</f>
        <v>3</v>
      </c>
      <c r="M985" s="133">
        <f>IFERROR(__xludf.DUMMYFUNCTION("""COMPUTED_VALUE"""),52.0)</f>
        <v>52</v>
      </c>
      <c r="N985" s="152" t="str">
        <f>IFERROR(__xludf.DUMMYFUNCTION("""COMPUTED_VALUE"""),"Model 3 Performance")</f>
        <v>Model 3 Performance</v>
      </c>
      <c r="O985" s="152" t="str">
        <f>IFERROR(__xludf.DUMMYFUNCTION("""COMPUTED_VALUE"""),"Solid Black")</f>
        <v>Solid Black</v>
      </c>
      <c r="P985" s="153" t="str">
        <f>IFERROR(__xludf.DUMMYFUNCTION("""COMPUTED_VALUE"""),"20 inch")</f>
        <v>20 inch</v>
      </c>
      <c r="Q985" s="152" t="str">
        <f>IFERROR(__xludf.DUMMYFUNCTION("""COMPUTED_VALUE"""),"All Black")</f>
        <v>All Black</v>
      </c>
      <c r="R985" s="149" t="str">
        <f>IFERROR(__xludf.DUMMYFUNCTION("""COMPUTED_VALUE"""),"Autopilot included")</f>
        <v>Autopilot included</v>
      </c>
      <c r="S985" s="149" t="str">
        <f>IFERROR(__xludf.DUMMYFUNCTION("""COMPUTED_VALUE"""),"Cash")</f>
        <v>Cash</v>
      </c>
      <c r="T985" s="145" t="str">
        <f>IFERROR(__xludf.DUMMYFUNCTION("""COMPUTED_VALUE"""),"Subaru Outback")</f>
        <v>Subaru Outback</v>
      </c>
      <c r="U985" s="145" t="str">
        <f>IFERROR(__xludf.DUMMYFUNCTION("""COMPUTED_VALUE"""),"Driving")</f>
        <v>Driving</v>
      </c>
      <c r="V985" s="145" t="str">
        <f>IFERROR(__xludf.DUMMYFUNCTION("""COMPUTED_VALUE"""),"Head-up display")</f>
        <v>Head-up display</v>
      </c>
      <c r="W985" s="145"/>
      <c r="X985" s="137" t="str">
        <f>IFERROR(__xludf.DUMMYFUNCTION("""COMPUTED_VALUE"""),"Fair")</f>
        <v>Fair</v>
      </c>
      <c r="Y985" s="138" t="str">
        <f>IFERROR(__xludf.DUMMYFUNCTION("""COMPUTED_VALUE"""),"Excellent")</f>
        <v>Excellent</v>
      </c>
      <c r="Z985" s="138" t="str">
        <f>IFERROR(__xludf.DUMMYFUNCTION("""COMPUTED_VALUE"""),"Excellent")</f>
        <v>Excellent</v>
      </c>
      <c r="AA985" s="138" t="str">
        <f>IFERROR(__xludf.DUMMYFUNCTION("""COMPUTED_VALUE"""),"Excellent")</f>
        <v>Excellent</v>
      </c>
      <c r="AB985" s="138" t="str">
        <f>IFERROR(__xludf.DUMMYFUNCTION("""COMPUTED_VALUE"""),"Excellent")</f>
        <v>Excellent</v>
      </c>
      <c r="AC985" s="139"/>
      <c r="AD985" s="139"/>
      <c r="AE985" s="139"/>
      <c r="AF985" s="140" t="str">
        <f>IFERROR(__xludf.DUMMYFUNCTION("""COMPUTED_VALUE"""),"No. I took delivery of the first car Tesla was able to deliver.")</f>
        <v>No. I took delivery of the first car Tesla was able to deliver.</v>
      </c>
      <c r="AG985" s="145"/>
      <c r="AH985" s="157">
        <f>IFERROR(__xludf.DUMMYFUNCTION("""COMPUTED_VALUE"""),44284.958501493056)</f>
        <v>44284.9585</v>
      </c>
      <c r="AI985" s="138"/>
      <c r="AJ985" s="138"/>
      <c r="AK985" s="138"/>
      <c r="AL985" s="142"/>
    </row>
    <row r="986" ht="20.25" customHeight="1">
      <c r="A986" s="155" t="str">
        <f>IFERROR(__xludf.DUMMYFUNCTION("""COMPUTED_VALUE"""),"rancur")</f>
        <v>rancur</v>
      </c>
      <c r="B986" s="149" t="str">
        <f>IFERROR(__xludf.DUMMYFUNCTION("""COMPUTED_VALUE"""),"Phoenix")</f>
        <v>Phoenix</v>
      </c>
      <c r="C986" s="149" t="str">
        <f>IFERROR(__xludf.DUMMYFUNCTION("""COMPUTED_VALUE"""),"AZ")</f>
        <v>AZ</v>
      </c>
      <c r="D986" s="149" t="str">
        <f>IFERROR(__xludf.DUMMYFUNCTION("""COMPUTED_VALUE"""),"USA")</f>
        <v>USA</v>
      </c>
      <c r="E986" s="156">
        <f>IFERROR(__xludf.DUMMYFUNCTION("""COMPUTED_VALUE"""),44231.0)</f>
        <v>44231</v>
      </c>
      <c r="F986" s="129">
        <f>IFERROR(__xludf.DUMMYFUNCTION("""COMPUTED_VALUE"""),44271.0)</f>
        <v>44271</v>
      </c>
      <c r="G986" s="154" t="str">
        <f>IFERROR(__xludf.DUMMYFUNCTION("""COMPUTED_VALUE"""),"Manage order page (normal text)")</f>
        <v>Manage order page (normal text)</v>
      </c>
      <c r="H986" s="131">
        <f>IFERROR(__xludf.DUMMYFUNCTION("""COMPUTED_VALUE"""),926305.0)</f>
        <v>926305</v>
      </c>
      <c r="I986" s="144"/>
      <c r="J986" s="129">
        <f>IFERROR(__xludf.DUMMYFUNCTION("""COMPUTED_VALUE"""),44281.0)</f>
        <v>44281</v>
      </c>
      <c r="K986" s="133">
        <f>IFERROR(__xludf.DUMMYFUNCTION("""COMPUTED_VALUE"""),40.0)</f>
        <v>40</v>
      </c>
      <c r="L986" s="133">
        <f>IFERROR(__xludf.DUMMYFUNCTION("""COMPUTED_VALUE"""),10.0)</f>
        <v>10</v>
      </c>
      <c r="M986" s="133">
        <f>IFERROR(__xludf.DUMMYFUNCTION("""COMPUTED_VALUE"""),50.0)</f>
        <v>50</v>
      </c>
      <c r="N986" s="152" t="str">
        <f>IFERROR(__xludf.DUMMYFUNCTION("""COMPUTED_VALUE"""),"Model 3 Performance")</f>
        <v>Model 3 Performance</v>
      </c>
      <c r="O986" s="152" t="str">
        <f>IFERROR(__xludf.DUMMYFUNCTION("""COMPUTED_VALUE"""),"Red Multi-Coat")</f>
        <v>Red Multi-Coat</v>
      </c>
      <c r="P986" s="153" t="str">
        <f>IFERROR(__xludf.DUMMYFUNCTION("""COMPUTED_VALUE"""),"20 inch")</f>
        <v>20 inch</v>
      </c>
      <c r="Q986" s="152" t="str">
        <f>IFERROR(__xludf.DUMMYFUNCTION("""COMPUTED_VALUE"""),"Black and White")</f>
        <v>Black and White</v>
      </c>
      <c r="R986" s="149" t="str">
        <f>IFERROR(__xludf.DUMMYFUNCTION("""COMPUTED_VALUE"""),"Full Self-Driving")</f>
        <v>Full Self-Driving</v>
      </c>
      <c r="S986" s="149" t="str">
        <f>IFERROR(__xludf.DUMMYFUNCTION("""COMPUTED_VALUE"""),"Loan")</f>
        <v>Loan</v>
      </c>
      <c r="T986" s="145"/>
      <c r="U986" s="145"/>
      <c r="V986" s="145" t="str">
        <f>IFERROR(__xludf.DUMMYFUNCTION("""COMPUTED_VALUE"""),"Ventilated seats")</f>
        <v>Ventilated seats</v>
      </c>
      <c r="W986" s="145" t="str">
        <f>IFERROR(__xludf.DUMMYFUNCTION("""COMPUTED_VALUE"""),"Don't get PPF until after first service appointment.")</f>
        <v>Don't get PPF until after first service appointment.</v>
      </c>
      <c r="X986" s="137" t="str">
        <f>IFERROR(__xludf.DUMMYFUNCTION("""COMPUTED_VALUE"""),"Excellent")</f>
        <v>Excellent</v>
      </c>
      <c r="Y986" s="138" t="str">
        <f>IFERROR(__xludf.DUMMYFUNCTION("""COMPUTED_VALUE"""),"Excellent")</f>
        <v>Excellent</v>
      </c>
      <c r="Z986" s="138" t="str">
        <f>IFERROR(__xludf.DUMMYFUNCTION("""COMPUTED_VALUE"""),"Excellent")</f>
        <v>Excellent</v>
      </c>
      <c r="AA986" s="138" t="str">
        <f>IFERROR(__xludf.DUMMYFUNCTION("""COMPUTED_VALUE"""),"Excellent")</f>
        <v>Excellent</v>
      </c>
      <c r="AB986" s="138" t="str">
        <f>IFERROR(__xludf.DUMMYFUNCTION("""COMPUTED_VALUE"""),"Excellent")</f>
        <v>Excellent</v>
      </c>
      <c r="AC986" s="139">
        <f>IFERROR(__xludf.DUMMYFUNCTION("""COMPUTED_VALUE"""),0.0)</f>
        <v>0</v>
      </c>
      <c r="AD986" s="139">
        <f>IFERROR(__xludf.DUMMYFUNCTION("""COMPUTED_VALUE"""),0.0)</f>
        <v>0</v>
      </c>
      <c r="AE986" s="139">
        <f>IFERROR(__xludf.DUMMYFUNCTION("""COMPUTED_VALUE"""),0.0)</f>
        <v>0</v>
      </c>
      <c r="AF986" s="140" t="str">
        <f>IFERROR(__xludf.DUMMYFUNCTION("""COMPUTED_VALUE"""),"No. I took delivery of the first car Tesla was able to deliver.")</f>
        <v>No. I took delivery of the first car Tesla was able to deliver.</v>
      </c>
      <c r="AG986" s="145" t="str">
        <f>IFERROR(__xludf.DUMMYFUNCTION("""COMPUTED_VALUE"""),"I love this car!")</f>
        <v>I love this car!</v>
      </c>
      <c r="AH986" s="157">
        <f>IFERROR(__xludf.DUMMYFUNCTION("""COMPUTED_VALUE"""),44287.91700641204)</f>
        <v>44287.91701</v>
      </c>
      <c r="AI986" s="138"/>
      <c r="AJ986" s="138"/>
      <c r="AK986" s="138"/>
      <c r="AL986" s="142"/>
    </row>
    <row r="987" ht="20.25" customHeight="1">
      <c r="A987" s="155" t="str">
        <f>IFERROR(__xludf.DUMMYFUNCTION("""COMPUTED_VALUE"""),"tech")</f>
        <v>tech</v>
      </c>
      <c r="B987" s="149" t="str">
        <f>IFERROR(__xludf.DUMMYFUNCTION("""COMPUTED_VALUE"""),"Bay Area")</f>
        <v>Bay Area</v>
      </c>
      <c r="C987" s="149" t="str">
        <f>IFERROR(__xludf.DUMMYFUNCTION("""COMPUTED_VALUE"""),"CA")</f>
        <v>CA</v>
      </c>
      <c r="D987" s="149" t="str">
        <f>IFERROR(__xludf.DUMMYFUNCTION("""COMPUTED_VALUE"""),"USA")</f>
        <v>USA</v>
      </c>
      <c r="E987" s="156">
        <f>IFERROR(__xludf.DUMMYFUNCTION("""COMPUTED_VALUE"""),44231.0)</f>
        <v>44231</v>
      </c>
      <c r="F987" s="129">
        <f>IFERROR(__xludf.DUMMYFUNCTION("""COMPUTED_VALUE"""),44277.0)</f>
        <v>44277</v>
      </c>
      <c r="G987" s="154" t="str">
        <f>IFERROR(__xludf.DUMMYFUNCTION("""COMPUTED_VALUE"""),"Manage order page (normal text)")</f>
        <v>Manage order page (normal text)</v>
      </c>
      <c r="H987" s="131">
        <f>IFERROR(__xludf.DUMMYFUNCTION("""COMPUTED_VALUE"""),938455.0)</f>
        <v>938455</v>
      </c>
      <c r="I987" s="144" t="str">
        <f>IFERROR(__xludf.DUMMYFUNCTION("""COMPUTED_VALUE"""),"03/21")</f>
        <v>03/21</v>
      </c>
      <c r="J987" s="129">
        <f>IFERROR(__xludf.DUMMYFUNCTION("""COMPUTED_VALUE"""),44279.0)</f>
        <v>44279</v>
      </c>
      <c r="K987" s="133">
        <f>IFERROR(__xludf.DUMMYFUNCTION("""COMPUTED_VALUE"""),46.0)</f>
        <v>46</v>
      </c>
      <c r="L987" s="133">
        <f>IFERROR(__xludf.DUMMYFUNCTION("""COMPUTED_VALUE"""),2.0)</f>
        <v>2</v>
      </c>
      <c r="M987" s="133">
        <f>IFERROR(__xludf.DUMMYFUNCTION("""COMPUTED_VALUE"""),48.0)</f>
        <v>48</v>
      </c>
      <c r="N987" s="152" t="str">
        <f>IFERROR(__xludf.DUMMYFUNCTION("""COMPUTED_VALUE"""),"Model 3 LR AWD")</f>
        <v>Model 3 LR AWD</v>
      </c>
      <c r="O987" s="152" t="str">
        <f>IFERROR(__xludf.DUMMYFUNCTION("""COMPUTED_VALUE"""),"Midnight Silver Metallic")</f>
        <v>Midnight Silver Metallic</v>
      </c>
      <c r="P987" s="153" t="str">
        <f>IFERROR(__xludf.DUMMYFUNCTION("""COMPUTED_VALUE"""),"18 inch")</f>
        <v>18 inch</v>
      </c>
      <c r="Q987" s="152" t="str">
        <f>IFERROR(__xludf.DUMMYFUNCTION("""COMPUTED_VALUE"""),"All Black")</f>
        <v>All Black</v>
      </c>
      <c r="R987" s="149" t="str">
        <f>IFERROR(__xludf.DUMMYFUNCTION("""COMPUTED_VALUE"""),"Full Self-Driving")</f>
        <v>Full Self-Driving</v>
      </c>
      <c r="S987" s="149" t="str">
        <f>IFERROR(__xludf.DUMMYFUNCTION("""COMPUTED_VALUE"""),"Loan")</f>
        <v>Loan</v>
      </c>
      <c r="T987" s="145"/>
      <c r="U987" s="145"/>
      <c r="V987" s="145" t="str">
        <f>IFERROR(__xludf.DUMMYFUNCTION("""COMPUTED_VALUE"""),"Ventilated seats")</f>
        <v>Ventilated seats</v>
      </c>
      <c r="W987" s="145"/>
      <c r="X987" s="137" t="str">
        <f>IFERROR(__xludf.DUMMYFUNCTION("""COMPUTED_VALUE"""),"Excellent")</f>
        <v>Excellent</v>
      </c>
      <c r="Y987" s="138" t="str">
        <f>IFERROR(__xludf.DUMMYFUNCTION("""COMPUTED_VALUE"""),"Excellent")</f>
        <v>Excellent</v>
      </c>
      <c r="Z987" s="138" t="str">
        <f>IFERROR(__xludf.DUMMYFUNCTION("""COMPUTED_VALUE"""),"Very Good")</f>
        <v>Very Good</v>
      </c>
      <c r="AA987" s="138" t="str">
        <f>IFERROR(__xludf.DUMMYFUNCTION("""COMPUTED_VALUE"""),"Good")</f>
        <v>Good</v>
      </c>
      <c r="AB987" s="138" t="str">
        <f>IFERROR(__xludf.DUMMYFUNCTION("""COMPUTED_VALUE"""),"Good")</f>
        <v>Good</v>
      </c>
      <c r="AC987" s="139">
        <f>IFERROR(__xludf.DUMMYFUNCTION("""COMPUTED_VALUE"""),2.0)</f>
        <v>2</v>
      </c>
      <c r="AD987" s="139">
        <f>IFERROR(__xludf.DUMMYFUNCTION("""COMPUTED_VALUE"""),1.0)</f>
        <v>1</v>
      </c>
      <c r="AE987" s="139"/>
      <c r="AF987" s="140" t="str">
        <f>IFERROR(__xludf.DUMMYFUNCTION("""COMPUTED_VALUE"""),"No. I took delivery of the first car Tesla was able to deliver.")</f>
        <v>No. I took delivery of the first car Tesla was able to deliver.</v>
      </c>
      <c r="AG987" s="145"/>
      <c r="AH987" s="157">
        <f>IFERROR(__xludf.DUMMYFUNCTION("""COMPUTED_VALUE"""),44280.85071979166)</f>
        <v>44280.85072</v>
      </c>
      <c r="AI987" s="138"/>
      <c r="AJ987" s="138"/>
      <c r="AK987" s="138"/>
      <c r="AL987" s="142"/>
    </row>
    <row r="988" ht="20.25" customHeight="1">
      <c r="A988" s="155" t="str">
        <f>IFERROR(__xludf.DUMMYFUNCTION("""COMPUTED_VALUE"""),"Wclark1698")</f>
        <v>Wclark1698</v>
      </c>
      <c r="B988" s="149" t="str">
        <f>IFERROR(__xludf.DUMMYFUNCTION("""COMPUTED_VALUE"""),"N")</f>
        <v>N</v>
      </c>
      <c r="C988" s="149" t="str">
        <f>IFERROR(__xludf.DUMMYFUNCTION("""COMPUTED_VALUE"""),"NJ")</f>
        <v>NJ</v>
      </c>
      <c r="D988" s="149" t="str">
        <f>IFERROR(__xludf.DUMMYFUNCTION("""COMPUTED_VALUE"""),"USA")</f>
        <v>USA</v>
      </c>
      <c r="E988" s="156">
        <f>IFERROR(__xludf.DUMMYFUNCTION("""COMPUTED_VALUE"""),44231.0)</f>
        <v>44231</v>
      </c>
      <c r="F988" s="129">
        <f>IFERROR(__xludf.DUMMYFUNCTION("""COMPUTED_VALUE"""),44238.0)</f>
        <v>44238</v>
      </c>
      <c r="G988" s="154" t="str">
        <f>IFERROR(__xludf.DUMMYFUNCTION("""COMPUTED_VALUE"""),"Manage order page (normal text)")</f>
        <v>Manage order page (normal text)</v>
      </c>
      <c r="H988" s="131">
        <f>IFERROR(__xludf.DUMMYFUNCTION("""COMPUTED_VALUE"""),907115.0)</f>
        <v>907115</v>
      </c>
      <c r="I988" s="144"/>
      <c r="J988" s="129">
        <f>IFERROR(__xludf.DUMMYFUNCTION("""COMPUTED_VALUE"""),44257.0)</f>
        <v>44257</v>
      </c>
      <c r="K988" s="133">
        <f>IFERROR(__xludf.DUMMYFUNCTION("""COMPUTED_VALUE"""),7.0)</f>
        <v>7</v>
      </c>
      <c r="L988" s="133">
        <f>IFERROR(__xludf.DUMMYFUNCTION("""COMPUTED_VALUE"""),19.0)</f>
        <v>19</v>
      </c>
      <c r="M988" s="133">
        <f>IFERROR(__xludf.DUMMYFUNCTION("""COMPUTED_VALUE"""),26.0)</f>
        <v>26</v>
      </c>
      <c r="N988" s="152" t="str">
        <f>IFERROR(__xludf.DUMMYFUNCTION("""COMPUTED_VALUE"""),"Model 3 SR+")</f>
        <v>Model 3 SR+</v>
      </c>
      <c r="O988" s="152" t="str">
        <f>IFERROR(__xludf.DUMMYFUNCTION("""COMPUTED_VALUE"""),"Solid Black")</f>
        <v>Solid Black</v>
      </c>
      <c r="P988" s="153" t="str">
        <f>IFERROR(__xludf.DUMMYFUNCTION("""COMPUTED_VALUE"""),"19 inch")</f>
        <v>19 inch</v>
      </c>
      <c r="Q988" s="152" t="str">
        <f>IFERROR(__xludf.DUMMYFUNCTION("""COMPUTED_VALUE"""),"All Black")</f>
        <v>All Black</v>
      </c>
      <c r="R988" s="149" t="str">
        <f>IFERROR(__xludf.DUMMYFUNCTION("""COMPUTED_VALUE"""),"Autopilot included")</f>
        <v>Autopilot included</v>
      </c>
      <c r="S988" s="149" t="str">
        <f>IFERROR(__xludf.DUMMYFUNCTION("""COMPUTED_VALUE"""),"Loan")</f>
        <v>Loan</v>
      </c>
      <c r="T988" s="145" t="str">
        <f>IFERROR(__xludf.DUMMYFUNCTION("""COMPUTED_VALUE"""),"Infiniti g35x")</f>
        <v>Infiniti g35x</v>
      </c>
      <c r="U988" s="145" t="str">
        <f>IFERROR(__xludf.DUMMYFUNCTION("""COMPUTED_VALUE"""),"Electric!")</f>
        <v>Electric!</v>
      </c>
      <c r="V988" s="145" t="str">
        <f>IFERROR(__xludf.DUMMYFUNCTION("""COMPUTED_VALUE"""),"Blind spot indicators on side mirrors")</f>
        <v>Blind spot indicators on side mirrors</v>
      </c>
      <c r="W988" s="145"/>
      <c r="X988" s="137" t="str">
        <f>IFERROR(__xludf.DUMMYFUNCTION("""COMPUTED_VALUE"""),"Excellent")</f>
        <v>Excellent</v>
      </c>
      <c r="Y988" s="138" t="str">
        <f>IFERROR(__xludf.DUMMYFUNCTION("""COMPUTED_VALUE"""),"Excellent")</f>
        <v>Excellent</v>
      </c>
      <c r="Z988" s="138" t="str">
        <f>IFERROR(__xludf.DUMMYFUNCTION("""COMPUTED_VALUE"""),"Very Good")</f>
        <v>Very Good</v>
      </c>
      <c r="AA988" s="138" t="str">
        <f>IFERROR(__xludf.DUMMYFUNCTION("""COMPUTED_VALUE"""),"Good")</f>
        <v>Good</v>
      </c>
      <c r="AB988" s="138" t="str">
        <f>IFERROR(__xludf.DUMMYFUNCTION("""COMPUTED_VALUE"""),"Good")</f>
        <v>Good</v>
      </c>
      <c r="AC988" s="139">
        <f>IFERROR(__xludf.DUMMYFUNCTION("""COMPUTED_VALUE"""),0.0)</f>
        <v>0</v>
      </c>
      <c r="AD988" s="139">
        <f>IFERROR(__xludf.DUMMYFUNCTION("""COMPUTED_VALUE"""),0.0)</f>
        <v>0</v>
      </c>
      <c r="AE988" s="139">
        <f>IFERROR(__xludf.DUMMYFUNCTION("""COMPUTED_VALUE"""),0.0)</f>
        <v>0</v>
      </c>
      <c r="AF988" s="140" t="str">
        <f>IFERROR(__xludf.DUMMYFUNCTION("""COMPUTED_VALUE"""),"No. I took delivery of the first car Tesla was able to deliver.")</f>
        <v>No. I took delivery of the first car Tesla was able to deliver.</v>
      </c>
      <c r="AG988" s="145"/>
      <c r="AH988" s="157">
        <f>IFERROR(__xludf.DUMMYFUNCTION("""COMPUTED_VALUE"""),44258.47550190972)</f>
        <v>44258.4755</v>
      </c>
      <c r="AI988" s="138"/>
      <c r="AJ988" s="138"/>
      <c r="AK988" s="138"/>
      <c r="AL988" s="142"/>
    </row>
    <row r="989" ht="20.25" customHeight="1">
      <c r="A989" s="155" t="str">
        <f>IFERROR(__xludf.DUMMYFUNCTION("""COMPUTED_VALUE"""),"socalcommuter")</f>
        <v>socalcommuter</v>
      </c>
      <c r="B989" s="149" t="str">
        <f>IFERROR(__xludf.DUMMYFUNCTION("""COMPUTED_VALUE"""),"Los Angeles")</f>
        <v>Los Angeles</v>
      </c>
      <c r="C989" s="149" t="str">
        <f>IFERROR(__xludf.DUMMYFUNCTION("""COMPUTED_VALUE"""),"CA")</f>
        <v>CA</v>
      </c>
      <c r="D989" s="149" t="str">
        <f>IFERROR(__xludf.DUMMYFUNCTION("""COMPUTED_VALUE"""),"USA")</f>
        <v>USA</v>
      </c>
      <c r="E989" s="156">
        <f>IFERROR(__xludf.DUMMYFUNCTION("""COMPUTED_VALUE"""),44230.0)</f>
        <v>44230</v>
      </c>
      <c r="F989" s="129">
        <f>IFERROR(__xludf.DUMMYFUNCTION("""COMPUTED_VALUE"""),44270.0)</f>
        <v>44270</v>
      </c>
      <c r="G989" s="154" t="str">
        <f>IFERROR(__xludf.DUMMYFUNCTION("""COMPUTED_VALUE"""),"Manage order page (normal text)")</f>
        <v>Manage order page (normal text)</v>
      </c>
      <c r="H989" s="131">
        <f>IFERROR(__xludf.DUMMYFUNCTION("""COMPUTED_VALUE"""),926455.0)</f>
        <v>926455</v>
      </c>
      <c r="I989" s="144"/>
      <c r="J989" s="129">
        <f>IFERROR(__xludf.DUMMYFUNCTION("""COMPUTED_VALUE"""),44274.0)</f>
        <v>44274</v>
      </c>
      <c r="K989" s="133">
        <f>IFERROR(__xludf.DUMMYFUNCTION("""COMPUTED_VALUE"""),40.0)</f>
        <v>40</v>
      </c>
      <c r="L989" s="133">
        <f>IFERROR(__xludf.DUMMYFUNCTION("""COMPUTED_VALUE"""),4.0)</f>
        <v>4</v>
      </c>
      <c r="M989" s="133">
        <f>IFERROR(__xludf.DUMMYFUNCTION("""COMPUTED_VALUE"""),44.0)</f>
        <v>44</v>
      </c>
      <c r="N989" s="152" t="str">
        <f>IFERROR(__xludf.DUMMYFUNCTION("""COMPUTED_VALUE"""),"Model 3 SR+")</f>
        <v>Model 3 SR+</v>
      </c>
      <c r="O989" s="152" t="str">
        <f>IFERROR(__xludf.DUMMYFUNCTION("""COMPUTED_VALUE"""),"Midnight Silver Metallic")</f>
        <v>Midnight Silver Metallic</v>
      </c>
      <c r="P989" s="153" t="str">
        <f>IFERROR(__xludf.DUMMYFUNCTION("""COMPUTED_VALUE"""),"20 inch")</f>
        <v>20 inch</v>
      </c>
      <c r="Q989" s="152" t="str">
        <f>IFERROR(__xludf.DUMMYFUNCTION("""COMPUTED_VALUE"""),"All Black")</f>
        <v>All Black</v>
      </c>
      <c r="R989" s="149" t="str">
        <f>IFERROR(__xludf.DUMMYFUNCTION("""COMPUTED_VALUE"""),"Autopilot included")</f>
        <v>Autopilot included</v>
      </c>
      <c r="S989" s="149" t="str">
        <f>IFERROR(__xludf.DUMMYFUNCTION("""COMPUTED_VALUE"""),"Loan")</f>
        <v>Loan</v>
      </c>
      <c r="T989" s="145" t="str">
        <f>IFERROR(__xludf.DUMMYFUNCTION("""COMPUTED_VALUE"""),"Tesla Model X")</f>
        <v>Tesla Model X</v>
      </c>
      <c r="U989" s="145" t="str">
        <f>IFERROR(__xludf.DUMMYFUNCTION("""COMPUTED_VALUE"""),"Electric!")</f>
        <v>Electric!</v>
      </c>
      <c r="V989" s="145" t="str">
        <f>IFERROR(__xludf.DUMMYFUNCTION("""COMPUTED_VALUE"""),"Air suspension")</f>
        <v>Air suspension</v>
      </c>
      <c r="W989" s="145"/>
      <c r="X989" s="137" t="str">
        <f>IFERROR(__xludf.DUMMYFUNCTION("""COMPUTED_VALUE"""),"Excellent")</f>
        <v>Excellent</v>
      </c>
      <c r="Y989" s="138" t="str">
        <f>IFERROR(__xludf.DUMMYFUNCTION("""COMPUTED_VALUE"""),"Excellent")</f>
        <v>Excellent</v>
      </c>
      <c r="Z989" s="138" t="str">
        <f>IFERROR(__xludf.DUMMYFUNCTION("""COMPUTED_VALUE"""),"Very Good")</f>
        <v>Very Good</v>
      </c>
      <c r="AA989" s="138" t="str">
        <f>IFERROR(__xludf.DUMMYFUNCTION("""COMPUTED_VALUE"""),"Very Good")</f>
        <v>Very Good</v>
      </c>
      <c r="AB989" s="138" t="str">
        <f>IFERROR(__xludf.DUMMYFUNCTION("""COMPUTED_VALUE"""),"Very Good")</f>
        <v>Very Good</v>
      </c>
      <c r="AC989" s="139">
        <f>IFERROR(__xludf.DUMMYFUNCTION("""COMPUTED_VALUE"""),0.0)</f>
        <v>0</v>
      </c>
      <c r="AD989" s="139"/>
      <c r="AE989" s="139"/>
      <c r="AF989" s="140" t="str">
        <f>IFERROR(__xludf.DUMMYFUNCTION("""COMPUTED_VALUE"""),"No. I took delivery of the first car Tesla was able to deliver.")</f>
        <v>No. I took delivery of the first car Tesla was able to deliver.</v>
      </c>
      <c r="AG989" s="145"/>
      <c r="AH989" s="157">
        <f>IFERROR(__xludf.DUMMYFUNCTION("""COMPUTED_VALUE"""),44276.544885104166)</f>
        <v>44276.54489</v>
      </c>
      <c r="AI989" s="138"/>
      <c r="AJ989" s="138"/>
      <c r="AK989" s="138"/>
      <c r="AL989" s="142"/>
    </row>
    <row r="990" ht="20.25" customHeight="1">
      <c r="A990" s="155" t="str">
        <f>IFERROR(__xludf.DUMMYFUNCTION("""COMPUTED_VALUE"""),"Anonymous")</f>
        <v>Anonymous</v>
      </c>
      <c r="B990" s="149" t="str">
        <f>IFERROR(__xludf.DUMMYFUNCTION("""COMPUTED_VALUE"""),"Bay Area")</f>
        <v>Bay Area</v>
      </c>
      <c r="C990" s="149" t="str">
        <f>IFERROR(__xludf.DUMMYFUNCTION("""COMPUTED_VALUE"""),"CA")</f>
        <v>CA</v>
      </c>
      <c r="D990" s="149" t="str">
        <f>IFERROR(__xludf.DUMMYFUNCTION("""COMPUTED_VALUE"""),"USA")</f>
        <v>USA</v>
      </c>
      <c r="E990" s="156">
        <f>IFERROR(__xludf.DUMMYFUNCTION("""COMPUTED_VALUE"""),44228.0)</f>
        <v>44228</v>
      </c>
      <c r="F990" s="129">
        <f>IFERROR(__xludf.DUMMYFUNCTION("""COMPUTED_VALUE"""),44279.0)</f>
        <v>44279</v>
      </c>
      <c r="G990" s="154" t="str">
        <f>IFERROR(__xludf.DUMMYFUNCTION("""COMPUTED_VALUE"""),"Email")</f>
        <v>Email</v>
      </c>
      <c r="H990" s="131">
        <f>IFERROR(__xludf.DUMMYFUNCTION("""COMPUTED_VALUE"""),937755.0)</f>
        <v>937755</v>
      </c>
      <c r="I990" s="144"/>
      <c r="J990" s="129">
        <f>IFERROR(__xludf.DUMMYFUNCTION("""COMPUTED_VALUE"""),44281.0)</f>
        <v>44281</v>
      </c>
      <c r="K990" s="133">
        <f>IFERROR(__xludf.DUMMYFUNCTION("""COMPUTED_VALUE"""),51.0)</f>
        <v>51</v>
      </c>
      <c r="L990" s="133">
        <f>IFERROR(__xludf.DUMMYFUNCTION("""COMPUTED_VALUE"""),2.0)</f>
        <v>2</v>
      </c>
      <c r="M990" s="133">
        <f>IFERROR(__xludf.DUMMYFUNCTION("""COMPUTED_VALUE"""),53.0)</f>
        <v>53</v>
      </c>
      <c r="N990" s="152" t="str">
        <f>IFERROR(__xludf.DUMMYFUNCTION("""COMPUTED_VALUE"""),"Model 3 LR AWD")</f>
        <v>Model 3 LR AWD</v>
      </c>
      <c r="O990" s="152" t="str">
        <f>IFERROR(__xludf.DUMMYFUNCTION("""COMPUTED_VALUE"""),"Pearl White Multi-Coat")</f>
        <v>Pearl White Multi-Coat</v>
      </c>
      <c r="P990" s="153" t="str">
        <f>IFERROR(__xludf.DUMMYFUNCTION("""COMPUTED_VALUE"""),"18 inch")</f>
        <v>18 inch</v>
      </c>
      <c r="Q990" s="152" t="str">
        <f>IFERROR(__xludf.DUMMYFUNCTION("""COMPUTED_VALUE"""),"Black and White")</f>
        <v>Black and White</v>
      </c>
      <c r="R990" s="149" t="str">
        <f>IFERROR(__xludf.DUMMYFUNCTION("""COMPUTED_VALUE"""),"Autopilot included")</f>
        <v>Autopilot included</v>
      </c>
      <c r="S990" s="149" t="str">
        <f>IFERROR(__xludf.DUMMYFUNCTION("""COMPUTED_VALUE"""),"Loan")</f>
        <v>Loan</v>
      </c>
      <c r="T990" s="145"/>
      <c r="U990" s="145" t="str">
        <f>IFERROR(__xludf.DUMMYFUNCTION("""COMPUTED_VALUE"""),"Autopilot")</f>
        <v>Autopilot</v>
      </c>
      <c r="V990" s="145" t="str">
        <f>IFERROR(__xludf.DUMMYFUNCTION("""COMPUTED_VALUE"""),"Ventilated seats")</f>
        <v>Ventilated seats</v>
      </c>
      <c r="W990" s="145" t="str">
        <f>IFERROR(__xludf.DUMMYFUNCTION("""COMPUTED_VALUE"""),"Do a very thorough inspection at delivery because Tesla hasn't. Take your time and make all the service appointments you need to right away. After a week you'll stop caring about it.")</f>
        <v>Do a very thorough inspection at delivery because Tesla hasn't. Take your time and make all the service appointments you need to right away. After a week you'll stop caring about it.</v>
      </c>
      <c r="X990" s="137" t="str">
        <f>IFERROR(__xludf.DUMMYFUNCTION("""COMPUTED_VALUE"""),"Very Good")</f>
        <v>Very Good</v>
      </c>
      <c r="Y990" s="138" t="str">
        <f>IFERROR(__xludf.DUMMYFUNCTION("""COMPUTED_VALUE"""),"Very Good")</f>
        <v>Very Good</v>
      </c>
      <c r="Z990" s="138" t="str">
        <f>IFERROR(__xludf.DUMMYFUNCTION("""COMPUTED_VALUE"""),"Excellent")</f>
        <v>Excellent</v>
      </c>
      <c r="AA990" s="138" t="str">
        <f>IFERROR(__xludf.DUMMYFUNCTION("""COMPUTED_VALUE"""),"Excellent")</f>
        <v>Excellent</v>
      </c>
      <c r="AB990" s="138" t="str">
        <f>IFERROR(__xludf.DUMMYFUNCTION("""COMPUTED_VALUE"""),"Very Good")</f>
        <v>Very Good</v>
      </c>
      <c r="AC990" s="139">
        <f>IFERROR(__xludf.DUMMYFUNCTION("""COMPUTED_VALUE"""),2.0)</f>
        <v>2</v>
      </c>
      <c r="AD990" s="139">
        <f>IFERROR(__xludf.DUMMYFUNCTION("""COMPUTED_VALUE"""),1.0)</f>
        <v>1</v>
      </c>
      <c r="AE990" s="139">
        <f>IFERROR(__xludf.DUMMYFUNCTION("""COMPUTED_VALUE"""),0.0)</f>
        <v>0</v>
      </c>
      <c r="AF990" s="140" t="str">
        <f>IFERROR(__xludf.DUMMYFUNCTION("""COMPUTED_VALUE"""),"No. I took delivery of the first car Tesla was able to deliver.")</f>
        <v>No. I took delivery of the first car Tesla was able to deliver.</v>
      </c>
      <c r="AG990" s="145" t="str">
        <f>IFERROR(__xludf.DUMMYFUNCTION("""COMPUTED_VALUE"""),"I got a heated steering wheel despite my advisor telling me I wouldn't. My advisor told me they were only doing them in the Model Y's.")</f>
        <v>I got a heated steering wheel despite my advisor telling me I wouldn't. My advisor told me they were only doing them in the Model Y's.</v>
      </c>
      <c r="AH990" s="157">
        <f>IFERROR(__xludf.DUMMYFUNCTION("""COMPUTED_VALUE"""),44287.490091597225)</f>
        <v>44287.49009</v>
      </c>
      <c r="AI990" s="138"/>
      <c r="AJ990" s="138"/>
      <c r="AK990" s="138"/>
      <c r="AL990" s="142"/>
    </row>
    <row r="991" ht="20.25" customHeight="1">
      <c r="A991" s="155" t="str">
        <f>IFERROR(__xludf.DUMMYFUNCTION("""COMPUTED_VALUE"""),"Quinn13")</f>
        <v>Quinn13</v>
      </c>
      <c r="B991" s="149" t="str">
        <f>IFERROR(__xludf.DUMMYFUNCTION("""COMPUTED_VALUE"""),"Minneapolis")</f>
        <v>Minneapolis</v>
      </c>
      <c r="C991" s="149" t="str">
        <f>IFERROR(__xludf.DUMMYFUNCTION("""COMPUTED_VALUE"""),"MN")</f>
        <v>MN</v>
      </c>
      <c r="D991" s="149" t="str">
        <f>IFERROR(__xludf.DUMMYFUNCTION("""COMPUTED_VALUE"""),"USA")</f>
        <v>USA</v>
      </c>
      <c r="E991" s="156">
        <f>IFERROR(__xludf.DUMMYFUNCTION("""COMPUTED_VALUE"""),44226.0)</f>
        <v>44226</v>
      </c>
      <c r="F991" s="129">
        <f>IFERROR(__xludf.DUMMYFUNCTION("""COMPUTED_VALUE"""),44238.0)</f>
        <v>44238</v>
      </c>
      <c r="G991" s="154" t="str">
        <f>IFERROR(__xludf.DUMMYFUNCTION("""COMPUTED_VALUE"""),"Manage order page (normal text)")</f>
        <v>Manage order page (normal text)</v>
      </c>
      <c r="H991" s="131">
        <f>IFERROR(__xludf.DUMMYFUNCTION("""COMPUTED_VALUE"""),902155.0)</f>
        <v>902155</v>
      </c>
      <c r="I991" s="144"/>
      <c r="J991" s="129">
        <f>IFERROR(__xludf.DUMMYFUNCTION("""COMPUTED_VALUE"""),44244.0)</f>
        <v>44244</v>
      </c>
      <c r="K991" s="133">
        <f>IFERROR(__xludf.DUMMYFUNCTION("""COMPUTED_VALUE"""),12.0)</f>
        <v>12</v>
      </c>
      <c r="L991" s="133">
        <f>IFERROR(__xludf.DUMMYFUNCTION("""COMPUTED_VALUE"""),6.0)</f>
        <v>6</v>
      </c>
      <c r="M991" s="133">
        <f>IFERROR(__xludf.DUMMYFUNCTION("""COMPUTED_VALUE"""),18.0)</f>
        <v>18</v>
      </c>
      <c r="N991" s="152" t="str">
        <f>IFERROR(__xludf.DUMMYFUNCTION("""COMPUTED_VALUE"""),"Model 3 LR AWD")</f>
        <v>Model 3 LR AWD</v>
      </c>
      <c r="O991" s="152" t="str">
        <f>IFERROR(__xludf.DUMMYFUNCTION("""COMPUTED_VALUE"""),"Pearl White Multi-Coat")</f>
        <v>Pearl White Multi-Coat</v>
      </c>
      <c r="P991" s="153" t="str">
        <f>IFERROR(__xludf.DUMMYFUNCTION("""COMPUTED_VALUE"""),"18 inch")</f>
        <v>18 inch</v>
      </c>
      <c r="Q991" s="152" t="str">
        <f>IFERROR(__xludf.DUMMYFUNCTION("""COMPUTED_VALUE"""),"All Black")</f>
        <v>All Black</v>
      </c>
      <c r="R991" s="149" t="str">
        <f>IFERROR(__xludf.DUMMYFUNCTION("""COMPUTED_VALUE"""),"Autopilot included")</f>
        <v>Autopilot included</v>
      </c>
      <c r="S991" s="149" t="str">
        <f>IFERROR(__xludf.DUMMYFUNCTION("""COMPUTED_VALUE"""),"Loan")</f>
        <v>Loan</v>
      </c>
      <c r="T991" s="145" t="str">
        <f>IFERROR(__xludf.DUMMYFUNCTION("""COMPUTED_VALUE"""),"Hyundai Elantra")</f>
        <v>Hyundai Elantra</v>
      </c>
      <c r="U991" s="145" t="str">
        <f>IFERROR(__xludf.DUMMYFUNCTION("""COMPUTED_VALUE"""),"Electric!")</f>
        <v>Electric!</v>
      </c>
      <c r="V991" s="145" t="str">
        <f>IFERROR(__xludf.DUMMYFUNCTION("""COMPUTED_VALUE"""),"Heated steering wheel")</f>
        <v>Heated steering wheel</v>
      </c>
      <c r="W991" s="145" t="str">
        <f>IFERROR(__xludf.DUMMYFUNCTION("""COMPUTED_VALUE"""),"Be patient, you'll love the car when you get it.")</f>
        <v>Be patient, you'll love the car when you get it.</v>
      </c>
      <c r="X991" s="137" t="str">
        <f>IFERROR(__xludf.DUMMYFUNCTION("""COMPUTED_VALUE"""),"Excellent")</f>
        <v>Excellent</v>
      </c>
      <c r="Y991" s="138" t="str">
        <f>IFERROR(__xludf.DUMMYFUNCTION("""COMPUTED_VALUE"""),"Excellent")</f>
        <v>Excellent</v>
      </c>
      <c r="Z991" s="138" t="str">
        <f>IFERROR(__xludf.DUMMYFUNCTION("""COMPUTED_VALUE"""),"Excellent")</f>
        <v>Excellent</v>
      </c>
      <c r="AA991" s="138" t="str">
        <f>IFERROR(__xludf.DUMMYFUNCTION("""COMPUTED_VALUE"""),"Very Good")</f>
        <v>Very Good</v>
      </c>
      <c r="AB991" s="138" t="str">
        <f>IFERROR(__xludf.DUMMYFUNCTION("""COMPUTED_VALUE"""),"Excellent")</f>
        <v>Excellent</v>
      </c>
      <c r="AC991" s="139">
        <f>IFERROR(__xludf.DUMMYFUNCTION("""COMPUTED_VALUE"""),0.0)</f>
        <v>0</v>
      </c>
      <c r="AD991" s="139"/>
      <c r="AE991" s="139"/>
      <c r="AF991" s="140" t="str">
        <f>IFERROR(__xludf.DUMMYFUNCTION("""COMPUTED_VALUE"""),"No. I took delivery of the first car Tesla was able to deliver.")</f>
        <v>No. I took delivery of the first car Tesla was able to deliver.</v>
      </c>
      <c r="AG991" s="145"/>
      <c r="AH991" s="157">
        <f>IFERROR(__xludf.DUMMYFUNCTION("""COMPUTED_VALUE"""),44246.58072100694)</f>
        <v>44246.58072</v>
      </c>
      <c r="AI991" s="138"/>
      <c r="AJ991" s="138"/>
      <c r="AK991" s="138"/>
      <c r="AL991" s="142"/>
    </row>
    <row r="992" ht="20.25" customHeight="1">
      <c r="A992" s="155" t="str">
        <f>IFERROR(__xludf.DUMMYFUNCTION("""COMPUTED_VALUE"""),"tandtess")</f>
        <v>tandtess</v>
      </c>
      <c r="B992" s="149" t="str">
        <f>IFERROR(__xludf.DUMMYFUNCTION("""COMPUTED_VALUE"""),"Buena Park")</f>
        <v>Buena Park</v>
      </c>
      <c r="C992" s="149" t="str">
        <f>IFERROR(__xludf.DUMMYFUNCTION("""COMPUTED_VALUE"""),"CA")</f>
        <v>CA</v>
      </c>
      <c r="D992" s="149" t="str">
        <f>IFERROR(__xludf.DUMMYFUNCTION("""COMPUTED_VALUE"""),"USA")</f>
        <v>USA</v>
      </c>
      <c r="E992" s="156">
        <f>IFERROR(__xludf.DUMMYFUNCTION("""COMPUTED_VALUE"""),44226.0)</f>
        <v>44226</v>
      </c>
      <c r="F992" s="129">
        <f>IFERROR(__xludf.DUMMYFUNCTION("""COMPUTED_VALUE"""),44278.0)</f>
        <v>44278</v>
      </c>
      <c r="G992" s="154" t="str">
        <f>IFERROR(__xludf.DUMMYFUNCTION("""COMPUTED_VALUE"""),"Manage order page (normal text)")</f>
        <v>Manage order page (normal text)</v>
      </c>
      <c r="H992" s="131"/>
      <c r="I992" s="144"/>
      <c r="J992" s="129">
        <f>IFERROR(__xludf.DUMMYFUNCTION("""COMPUTED_VALUE"""),44281.0)</f>
        <v>44281</v>
      </c>
      <c r="K992" s="133">
        <f>IFERROR(__xludf.DUMMYFUNCTION("""COMPUTED_VALUE"""),52.0)</f>
        <v>52</v>
      </c>
      <c r="L992" s="133">
        <f>IFERROR(__xludf.DUMMYFUNCTION("""COMPUTED_VALUE"""),3.0)</f>
        <v>3</v>
      </c>
      <c r="M992" s="133">
        <f>IFERROR(__xludf.DUMMYFUNCTION("""COMPUTED_VALUE"""),55.0)</f>
        <v>55</v>
      </c>
      <c r="N992" s="152" t="str">
        <f>IFERROR(__xludf.DUMMYFUNCTION("""COMPUTED_VALUE"""),"Model 3 LR AWD")</f>
        <v>Model 3 LR AWD</v>
      </c>
      <c r="O992" s="152" t="str">
        <f>IFERROR(__xludf.DUMMYFUNCTION("""COMPUTED_VALUE"""),"Pearl White Multi-Coat")</f>
        <v>Pearl White Multi-Coat</v>
      </c>
      <c r="P992" s="153" t="str">
        <f>IFERROR(__xludf.DUMMYFUNCTION("""COMPUTED_VALUE"""),"18 inch")</f>
        <v>18 inch</v>
      </c>
      <c r="Q992" s="152" t="str">
        <f>IFERROR(__xludf.DUMMYFUNCTION("""COMPUTED_VALUE"""),"All Black")</f>
        <v>All Black</v>
      </c>
      <c r="R992" s="149" t="str">
        <f>IFERROR(__xludf.DUMMYFUNCTION("""COMPUTED_VALUE"""),"Autopilot included")</f>
        <v>Autopilot included</v>
      </c>
      <c r="S992" s="149" t="str">
        <f>IFERROR(__xludf.DUMMYFUNCTION("""COMPUTED_VALUE"""),"Cash")</f>
        <v>Cash</v>
      </c>
      <c r="T992" s="145" t="str">
        <f>IFERROR(__xludf.DUMMYFUNCTION("""COMPUTED_VALUE"""),"Toyota Camry")</f>
        <v>Toyota Camry</v>
      </c>
      <c r="U992" s="145" t="str">
        <f>IFERROR(__xludf.DUMMYFUNCTION("""COMPUTED_VALUE"""),"Electric!")</f>
        <v>Electric!</v>
      </c>
      <c r="V992" s="145" t="str">
        <f>IFERROR(__xludf.DUMMYFUNCTION("""COMPUTED_VALUE"""),"Apple CarPlay / Android Auto / SiriusXM Radio")</f>
        <v>Apple CarPlay / Android Auto / SiriusXM Radio</v>
      </c>
      <c r="W992" s="145"/>
      <c r="X992" s="137" t="str">
        <f>IFERROR(__xludf.DUMMYFUNCTION("""COMPUTED_VALUE"""),"Good")</f>
        <v>Good</v>
      </c>
      <c r="Y992" s="138" t="str">
        <f>IFERROR(__xludf.DUMMYFUNCTION("""COMPUTED_VALUE"""),"Good")</f>
        <v>Good</v>
      </c>
      <c r="Z992" s="138" t="str">
        <f>IFERROR(__xludf.DUMMYFUNCTION("""COMPUTED_VALUE"""),"Good")</f>
        <v>Good</v>
      </c>
      <c r="AA992" s="138" t="str">
        <f>IFERROR(__xludf.DUMMYFUNCTION("""COMPUTED_VALUE"""),"Fair")</f>
        <v>Fair</v>
      </c>
      <c r="AB992" s="138" t="str">
        <f>IFERROR(__xludf.DUMMYFUNCTION("""COMPUTED_VALUE"""),"Fair")</f>
        <v>Fair</v>
      </c>
      <c r="AC992" s="139"/>
      <c r="AD992" s="139"/>
      <c r="AE992" s="139"/>
      <c r="AF992" s="140"/>
      <c r="AG992" s="145"/>
      <c r="AH992" s="157">
        <f>IFERROR(__xludf.DUMMYFUNCTION("""COMPUTED_VALUE"""),44284.68846793981)</f>
        <v>44284.68847</v>
      </c>
      <c r="AI992" s="138"/>
      <c r="AJ992" s="138"/>
      <c r="AK992" s="138"/>
      <c r="AL992" s="142"/>
    </row>
    <row r="993" ht="20.25" customHeight="1">
      <c r="A993" s="155" t="str">
        <f>IFERROR(__xludf.DUMMYFUNCTION("""COMPUTED_VALUE"""),"unsettled")</f>
        <v>unsettled</v>
      </c>
      <c r="B993" s="149" t="str">
        <f>IFERROR(__xludf.DUMMYFUNCTION("""COMPUTED_VALUE"""),"Buford")</f>
        <v>Buford</v>
      </c>
      <c r="C993" s="149" t="str">
        <f>IFERROR(__xludf.DUMMYFUNCTION("""COMPUTED_VALUE"""),"GA")</f>
        <v>GA</v>
      </c>
      <c r="D993" s="149" t="str">
        <f>IFERROR(__xludf.DUMMYFUNCTION("""COMPUTED_VALUE"""),"USA")</f>
        <v>USA</v>
      </c>
      <c r="E993" s="156">
        <f>IFERROR(__xludf.DUMMYFUNCTION("""COMPUTED_VALUE"""),44226.0)</f>
        <v>44226</v>
      </c>
      <c r="F993" s="129">
        <f>IFERROR(__xludf.DUMMYFUNCTION("""COMPUTED_VALUE"""),44253.0)</f>
        <v>44253</v>
      </c>
      <c r="G993" s="154" t="str">
        <f>IFERROR(__xludf.DUMMYFUNCTION("""COMPUTED_VALUE"""),"Manage order page (normal text)")</f>
        <v>Manage order page (normal text)</v>
      </c>
      <c r="H993" s="131">
        <f>IFERROR(__xludf.DUMMYFUNCTION("""COMPUTED_VALUE"""),903055.0)</f>
        <v>903055</v>
      </c>
      <c r="I993" s="144" t="str">
        <f>IFERROR(__xludf.DUMMYFUNCTION("""COMPUTED_VALUE"""),"02/21")</f>
        <v>02/21</v>
      </c>
      <c r="J993" s="129">
        <f>IFERROR(__xludf.DUMMYFUNCTION("""COMPUTED_VALUE"""),44279.0)</f>
        <v>44279</v>
      </c>
      <c r="K993" s="133">
        <f>IFERROR(__xludf.DUMMYFUNCTION("""COMPUTED_VALUE"""),27.0)</f>
        <v>27</v>
      </c>
      <c r="L993" s="133">
        <f>IFERROR(__xludf.DUMMYFUNCTION("""COMPUTED_VALUE"""),26.0)</f>
        <v>26</v>
      </c>
      <c r="M993" s="133">
        <f>IFERROR(__xludf.DUMMYFUNCTION("""COMPUTED_VALUE"""),53.0)</f>
        <v>53</v>
      </c>
      <c r="N993" s="152" t="str">
        <f>IFERROR(__xludf.DUMMYFUNCTION("""COMPUTED_VALUE"""),"Model 3 LR AWD")</f>
        <v>Model 3 LR AWD</v>
      </c>
      <c r="O993" s="152" t="str">
        <f>IFERROR(__xludf.DUMMYFUNCTION("""COMPUTED_VALUE"""),"Midnight Silver Metallic")</f>
        <v>Midnight Silver Metallic</v>
      </c>
      <c r="P993" s="153" t="str">
        <f>IFERROR(__xludf.DUMMYFUNCTION("""COMPUTED_VALUE"""),"18 inch")</f>
        <v>18 inch</v>
      </c>
      <c r="Q993" s="152" t="str">
        <f>IFERROR(__xludf.DUMMYFUNCTION("""COMPUTED_VALUE"""),"Black and White")</f>
        <v>Black and White</v>
      </c>
      <c r="R993" s="149" t="str">
        <f>IFERROR(__xludf.DUMMYFUNCTION("""COMPUTED_VALUE"""),"Autopilot included")</f>
        <v>Autopilot included</v>
      </c>
      <c r="S993" s="149" t="str">
        <f>IFERROR(__xludf.DUMMYFUNCTION("""COMPUTED_VALUE"""),"Loan")</f>
        <v>Loan</v>
      </c>
      <c r="T993" s="145" t="str">
        <f>IFERROR(__xludf.DUMMYFUNCTION("""COMPUTED_VALUE"""),"Honda Civic")</f>
        <v>Honda Civic</v>
      </c>
      <c r="U993" s="145"/>
      <c r="V993" s="145" t="str">
        <f>IFERROR(__xludf.DUMMYFUNCTION("""COMPUTED_VALUE"""),"Apple CarPlay / Android Auto / SiriusXM Radio")</f>
        <v>Apple CarPlay / Android Auto / SiriusXM Radio</v>
      </c>
      <c r="W993" s="145"/>
      <c r="X993" s="137" t="str">
        <f>IFERROR(__xludf.DUMMYFUNCTION("""COMPUTED_VALUE"""),"Very Good")</f>
        <v>Very Good</v>
      </c>
      <c r="Y993" s="138" t="str">
        <f>IFERROR(__xludf.DUMMYFUNCTION("""COMPUTED_VALUE"""),"Excellent")</f>
        <v>Excellent</v>
      </c>
      <c r="Z993" s="138" t="str">
        <f>IFERROR(__xludf.DUMMYFUNCTION("""COMPUTED_VALUE"""),"Excellent")</f>
        <v>Excellent</v>
      </c>
      <c r="AA993" s="138" t="str">
        <f>IFERROR(__xludf.DUMMYFUNCTION("""COMPUTED_VALUE"""),"Fair")</f>
        <v>Fair</v>
      </c>
      <c r="AB993" s="138" t="str">
        <f>IFERROR(__xludf.DUMMYFUNCTION("""COMPUTED_VALUE"""),"Very Good")</f>
        <v>Very Good</v>
      </c>
      <c r="AC993" s="139"/>
      <c r="AD993" s="139"/>
      <c r="AE993" s="139"/>
      <c r="AF993" s="140" t="str">
        <f>IFERROR(__xludf.DUMMYFUNCTION("""COMPUTED_VALUE"""),"No. I took delivery of the first car Tesla was able to deliver.")</f>
        <v>No. I took delivery of the first car Tesla was able to deliver.</v>
      </c>
      <c r="AG993" s="145"/>
      <c r="AH993" s="157">
        <f>IFERROR(__xludf.DUMMYFUNCTION("""COMPUTED_VALUE"""),44279.84004923611)</f>
        <v>44279.84005</v>
      </c>
      <c r="AI993" s="138"/>
      <c r="AJ993" s="138"/>
      <c r="AK993" s="138"/>
      <c r="AL993" s="142"/>
    </row>
    <row r="994" ht="20.25" customHeight="1">
      <c r="A994" s="155" t="str">
        <f>IFERROR(__xludf.DUMMYFUNCTION("""COMPUTED_VALUE"""),"Alairmore")</f>
        <v>Alairmore</v>
      </c>
      <c r="B994" s="149" t="str">
        <f>IFERROR(__xludf.DUMMYFUNCTION("""COMPUTED_VALUE"""),"Anaheim")</f>
        <v>Anaheim</v>
      </c>
      <c r="C994" s="149" t="str">
        <f>IFERROR(__xludf.DUMMYFUNCTION("""COMPUTED_VALUE"""),"CA")</f>
        <v>CA</v>
      </c>
      <c r="D994" s="149" t="str">
        <f>IFERROR(__xludf.DUMMYFUNCTION("""COMPUTED_VALUE"""),"USA")</f>
        <v>USA</v>
      </c>
      <c r="E994" s="156">
        <f>IFERROR(__xludf.DUMMYFUNCTION("""COMPUTED_VALUE"""),44225.0)</f>
        <v>44225</v>
      </c>
      <c r="F994" s="129">
        <f>IFERROR(__xludf.DUMMYFUNCTION("""COMPUTED_VALUE"""),44258.0)</f>
        <v>44258</v>
      </c>
      <c r="G994" s="154" t="str">
        <f>IFERROR(__xludf.DUMMYFUNCTION("""COMPUTED_VALUE"""),"Manage order page (normal text)")</f>
        <v>Manage order page (normal text)</v>
      </c>
      <c r="H994" s="131">
        <f>IFERROR(__xludf.DUMMYFUNCTION("""COMPUTED_VALUE"""),921155.0)</f>
        <v>921155</v>
      </c>
      <c r="I994" s="144" t="str">
        <f>IFERROR(__xludf.DUMMYFUNCTION("""COMPUTED_VALUE"""),"03/21")</f>
        <v>03/21</v>
      </c>
      <c r="J994" s="129">
        <f>IFERROR(__xludf.DUMMYFUNCTION("""COMPUTED_VALUE"""),44261.0)</f>
        <v>44261</v>
      </c>
      <c r="K994" s="133">
        <f>IFERROR(__xludf.DUMMYFUNCTION("""COMPUTED_VALUE"""),33.0)</f>
        <v>33</v>
      </c>
      <c r="L994" s="133">
        <f>IFERROR(__xludf.DUMMYFUNCTION("""COMPUTED_VALUE"""),3.0)</f>
        <v>3</v>
      </c>
      <c r="M994" s="133">
        <f>IFERROR(__xludf.DUMMYFUNCTION("""COMPUTED_VALUE"""),36.0)</f>
        <v>36</v>
      </c>
      <c r="N994" s="152" t="str">
        <f>IFERROR(__xludf.DUMMYFUNCTION("""COMPUTED_VALUE"""),"Model 3 SR+")</f>
        <v>Model 3 SR+</v>
      </c>
      <c r="O994" s="152" t="str">
        <f>IFERROR(__xludf.DUMMYFUNCTION("""COMPUTED_VALUE"""),"Pearl White Multi-Coat")</f>
        <v>Pearl White Multi-Coat</v>
      </c>
      <c r="P994" s="153" t="str">
        <f>IFERROR(__xludf.DUMMYFUNCTION("""COMPUTED_VALUE"""),"18 inch")</f>
        <v>18 inch</v>
      </c>
      <c r="Q994" s="152" t="str">
        <f>IFERROR(__xludf.DUMMYFUNCTION("""COMPUTED_VALUE"""),"All Black")</f>
        <v>All Black</v>
      </c>
      <c r="R994" s="149" t="str">
        <f>IFERROR(__xludf.DUMMYFUNCTION("""COMPUTED_VALUE"""),"Autopilot included")</f>
        <v>Autopilot included</v>
      </c>
      <c r="S994" s="149" t="str">
        <f>IFERROR(__xludf.DUMMYFUNCTION("""COMPUTED_VALUE"""),"Loan")</f>
        <v>Loan</v>
      </c>
      <c r="T994" s="145" t="str">
        <f>IFERROR(__xludf.DUMMYFUNCTION("""COMPUTED_VALUE"""),"Toyota Tacoma TRD-Off Road")</f>
        <v>Toyota Tacoma TRD-Off Road</v>
      </c>
      <c r="U994" s="145" t="str">
        <f>IFERROR(__xludf.DUMMYFUNCTION("""COMPUTED_VALUE"""),"Electric!")</f>
        <v>Electric!</v>
      </c>
      <c r="V994" s="145" t="str">
        <f>IFERROR(__xludf.DUMMYFUNCTION("""COMPUTED_VALUE"""),"Ventilated seats")</f>
        <v>Ventilated seats</v>
      </c>
      <c r="W994" s="145" t="str">
        <f>IFERROR(__xludf.DUMMYFUNCTION("""COMPUTED_VALUE"""),"Patients, Lots of It")</f>
        <v>Patients, Lots of It</v>
      </c>
      <c r="X994" s="137" t="str">
        <f>IFERROR(__xludf.DUMMYFUNCTION("""COMPUTED_VALUE"""),"Good")</f>
        <v>Good</v>
      </c>
      <c r="Y994" s="138" t="str">
        <f>IFERROR(__xludf.DUMMYFUNCTION("""COMPUTED_VALUE"""),"Very Good")</f>
        <v>Very Good</v>
      </c>
      <c r="Z994" s="138" t="str">
        <f>IFERROR(__xludf.DUMMYFUNCTION("""COMPUTED_VALUE"""),"Poor")</f>
        <v>Poor</v>
      </c>
      <c r="AA994" s="138" t="str">
        <f>IFERROR(__xludf.DUMMYFUNCTION("""COMPUTED_VALUE"""),"Fair")</f>
        <v>Fair</v>
      </c>
      <c r="AB994" s="138" t="str">
        <f>IFERROR(__xludf.DUMMYFUNCTION("""COMPUTED_VALUE"""),"Poor")</f>
        <v>Poor</v>
      </c>
      <c r="AC994" s="139">
        <f>IFERROR(__xludf.DUMMYFUNCTION("""COMPUTED_VALUE"""),4.0)</f>
        <v>4</v>
      </c>
      <c r="AD994" s="139"/>
      <c r="AE994" s="139"/>
      <c r="AF994" s="140" t="str">
        <f>IFERROR(__xludf.DUMMYFUNCTION("""COMPUTED_VALUE"""),"No. I took delivery of the first car Tesla was able to deliver.")</f>
        <v>No. I took delivery of the first car Tesla was able to deliver.</v>
      </c>
      <c r="AG994" s="145"/>
      <c r="AH994" s="157">
        <f>IFERROR(__xludf.DUMMYFUNCTION("""COMPUTED_VALUE"""),44261.94378891204)</f>
        <v>44261.94379</v>
      </c>
      <c r="AI994" s="138"/>
      <c r="AJ994" s="138"/>
      <c r="AK994" s="138"/>
      <c r="AL994" s="142"/>
    </row>
    <row r="995" ht="20.25" customHeight="1">
      <c r="A995" s="155" t="str">
        <f>IFERROR(__xludf.DUMMYFUNCTION("""COMPUTED_VALUE"""),"rowdyraud")</f>
        <v>rowdyraud</v>
      </c>
      <c r="B995" s="149" t="str">
        <f>IFERROR(__xludf.DUMMYFUNCTION("""COMPUTED_VALUE"""),"Austin")</f>
        <v>Austin</v>
      </c>
      <c r="C995" s="149" t="str">
        <f>IFERROR(__xludf.DUMMYFUNCTION("""COMPUTED_VALUE"""),"TX")</f>
        <v>TX</v>
      </c>
      <c r="D995" s="149" t="str">
        <f>IFERROR(__xludf.DUMMYFUNCTION("""COMPUTED_VALUE"""),"USA")</f>
        <v>USA</v>
      </c>
      <c r="E995" s="156">
        <f>IFERROR(__xludf.DUMMYFUNCTION("""COMPUTED_VALUE"""),44225.0)</f>
        <v>44225</v>
      </c>
      <c r="F995" s="129">
        <f>IFERROR(__xludf.DUMMYFUNCTION("""COMPUTED_VALUE"""),44236.0)</f>
        <v>44236</v>
      </c>
      <c r="G995" s="154" t="str">
        <f>IFERROR(__xludf.DUMMYFUNCTION("""COMPUTED_VALUE"""),"Email")</f>
        <v>Email</v>
      </c>
      <c r="H995" s="131">
        <f>IFERROR(__xludf.DUMMYFUNCTION("""COMPUTED_VALUE"""),907855.0)</f>
        <v>907855</v>
      </c>
      <c r="I995" s="144"/>
      <c r="J995" s="129">
        <f>IFERROR(__xludf.DUMMYFUNCTION("""COMPUTED_VALUE"""),44254.0)</f>
        <v>44254</v>
      </c>
      <c r="K995" s="133">
        <f>IFERROR(__xludf.DUMMYFUNCTION("""COMPUTED_VALUE"""),11.0)</f>
        <v>11</v>
      </c>
      <c r="L995" s="133">
        <f>IFERROR(__xludf.DUMMYFUNCTION("""COMPUTED_VALUE"""),18.0)</f>
        <v>18</v>
      </c>
      <c r="M995" s="133">
        <f>IFERROR(__xludf.DUMMYFUNCTION("""COMPUTED_VALUE"""),29.0)</f>
        <v>29</v>
      </c>
      <c r="N995" s="152" t="str">
        <f>IFERROR(__xludf.DUMMYFUNCTION("""COMPUTED_VALUE"""),"Model 3 SR+")</f>
        <v>Model 3 SR+</v>
      </c>
      <c r="O995" s="152" t="str">
        <f>IFERROR(__xludf.DUMMYFUNCTION("""COMPUTED_VALUE"""),"Pearl White Multi-Coat")</f>
        <v>Pearl White Multi-Coat</v>
      </c>
      <c r="P995" s="153" t="str">
        <f>IFERROR(__xludf.DUMMYFUNCTION("""COMPUTED_VALUE"""),"18 inch")</f>
        <v>18 inch</v>
      </c>
      <c r="Q995" s="152" t="str">
        <f>IFERROR(__xludf.DUMMYFUNCTION("""COMPUTED_VALUE"""),"All Black")</f>
        <v>All Black</v>
      </c>
      <c r="R995" s="149" t="str">
        <f>IFERROR(__xludf.DUMMYFUNCTION("""COMPUTED_VALUE"""),"Autopilot included")</f>
        <v>Autopilot included</v>
      </c>
      <c r="S995" s="149" t="str">
        <f>IFERROR(__xludf.DUMMYFUNCTION("""COMPUTED_VALUE"""),"Loan")</f>
        <v>Loan</v>
      </c>
      <c r="T995" s="145" t="str">
        <f>IFERROR(__xludf.DUMMYFUNCTION("""COMPUTED_VALUE"""),"VW GTI")</f>
        <v>VW GTI</v>
      </c>
      <c r="U995" s="145" t="str">
        <f>IFERROR(__xludf.DUMMYFUNCTION("""COMPUTED_VALUE"""),"Electric!")</f>
        <v>Electric!</v>
      </c>
      <c r="V995" s="145" t="str">
        <f>IFERROR(__xludf.DUMMYFUNCTION("""COMPUTED_VALUE"""),"Ventilated seats")</f>
        <v>Ventilated seats</v>
      </c>
      <c r="W995" s="145"/>
      <c r="X995" s="137" t="str">
        <f>IFERROR(__xludf.DUMMYFUNCTION("""COMPUTED_VALUE"""),"Very Good")</f>
        <v>Very Good</v>
      </c>
      <c r="Y995" s="138" t="str">
        <f>IFERROR(__xludf.DUMMYFUNCTION("""COMPUTED_VALUE"""),"Very Good")</f>
        <v>Very Good</v>
      </c>
      <c r="Z995" s="138" t="str">
        <f>IFERROR(__xludf.DUMMYFUNCTION("""COMPUTED_VALUE"""),"Excellent")</f>
        <v>Excellent</v>
      </c>
      <c r="AA995" s="138" t="str">
        <f>IFERROR(__xludf.DUMMYFUNCTION("""COMPUTED_VALUE"""),"Excellent")</f>
        <v>Excellent</v>
      </c>
      <c r="AB995" s="138" t="str">
        <f>IFERROR(__xludf.DUMMYFUNCTION("""COMPUTED_VALUE"""),"Excellent")</f>
        <v>Excellent</v>
      </c>
      <c r="AC995" s="139"/>
      <c r="AD995" s="139"/>
      <c r="AE995" s="139"/>
      <c r="AF995" s="140" t="str">
        <f>IFERROR(__xludf.DUMMYFUNCTION("""COMPUTED_VALUE"""),"No. I took delivery of the first car Tesla was able to deliver.")</f>
        <v>No. I took delivery of the first car Tesla was able to deliver.</v>
      </c>
      <c r="AG995" s="145"/>
      <c r="AH995" s="157">
        <f>IFERROR(__xludf.DUMMYFUNCTION("""COMPUTED_VALUE"""),44254.844258680554)</f>
        <v>44254.84426</v>
      </c>
      <c r="AI995" s="138"/>
      <c r="AJ995" s="138"/>
      <c r="AK995" s="138"/>
      <c r="AL995" s="142"/>
    </row>
    <row r="996" ht="20.25" customHeight="1">
      <c r="A996" s="155" t="str">
        <f>IFERROR(__xludf.DUMMYFUNCTION("""COMPUTED_VALUE"""),"Penguins")</f>
        <v>Penguins</v>
      </c>
      <c r="B996" s="149" t="str">
        <f>IFERROR(__xludf.DUMMYFUNCTION("""COMPUTED_VALUE"""),"Chicago")</f>
        <v>Chicago</v>
      </c>
      <c r="C996" s="149" t="str">
        <f>IFERROR(__xludf.DUMMYFUNCTION("""COMPUTED_VALUE"""),"IL")</f>
        <v>IL</v>
      </c>
      <c r="D996" s="149" t="str">
        <f>IFERROR(__xludf.DUMMYFUNCTION("""COMPUTED_VALUE"""),"USA")</f>
        <v>USA</v>
      </c>
      <c r="E996" s="156">
        <f>IFERROR(__xludf.DUMMYFUNCTION("""COMPUTED_VALUE"""),44223.0)</f>
        <v>44223</v>
      </c>
      <c r="F996" s="129">
        <f>IFERROR(__xludf.DUMMYFUNCTION("""COMPUTED_VALUE"""),44252.0)</f>
        <v>44252</v>
      </c>
      <c r="G996" s="154" t="str">
        <f>IFERROR(__xludf.DUMMYFUNCTION("""COMPUTED_VALUE"""),"Manage order page (normal text)")</f>
        <v>Manage order page (normal text)</v>
      </c>
      <c r="H996" s="131">
        <f>IFERROR(__xludf.DUMMYFUNCTION("""COMPUTED_VALUE"""),902755.0)</f>
        <v>902755</v>
      </c>
      <c r="I996" s="144" t="str">
        <f>IFERROR(__xludf.DUMMYFUNCTION("""COMPUTED_VALUE"""),"02/21")</f>
        <v>02/21</v>
      </c>
      <c r="J996" s="129">
        <f>IFERROR(__xludf.DUMMYFUNCTION("""COMPUTED_VALUE"""),44268.0)</f>
        <v>44268</v>
      </c>
      <c r="K996" s="133">
        <f>IFERROR(__xludf.DUMMYFUNCTION("""COMPUTED_VALUE"""),29.0)</f>
        <v>29</v>
      </c>
      <c r="L996" s="133">
        <f>IFERROR(__xludf.DUMMYFUNCTION("""COMPUTED_VALUE"""),16.0)</f>
        <v>16</v>
      </c>
      <c r="M996" s="133">
        <f>IFERROR(__xludf.DUMMYFUNCTION("""COMPUTED_VALUE"""),45.0)</f>
        <v>45</v>
      </c>
      <c r="N996" s="152" t="str">
        <f>IFERROR(__xludf.DUMMYFUNCTION("""COMPUTED_VALUE"""),"Model 3 LR AWD")</f>
        <v>Model 3 LR AWD</v>
      </c>
      <c r="O996" s="152" t="str">
        <f>IFERROR(__xludf.DUMMYFUNCTION("""COMPUTED_VALUE"""),"Deep Blue Metallic")</f>
        <v>Deep Blue Metallic</v>
      </c>
      <c r="P996" s="153" t="str">
        <f>IFERROR(__xludf.DUMMYFUNCTION("""COMPUTED_VALUE"""),"18 inch")</f>
        <v>18 inch</v>
      </c>
      <c r="Q996" s="152" t="str">
        <f>IFERROR(__xludf.DUMMYFUNCTION("""COMPUTED_VALUE"""),"Black and White")</f>
        <v>Black and White</v>
      </c>
      <c r="R996" s="149" t="str">
        <f>IFERROR(__xludf.DUMMYFUNCTION("""COMPUTED_VALUE"""),"Full Self-Driving")</f>
        <v>Full Self-Driving</v>
      </c>
      <c r="S996" s="149" t="str">
        <f>IFERROR(__xludf.DUMMYFUNCTION("""COMPUTED_VALUE"""),"Loan")</f>
        <v>Loan</v>
      </c>
      <c r="T996" s="145" t="str">
        <f>IFERROR(__xludf.DUMMYFUNCTION("""COMPUTED_VALUE"""),"Model 3 will be my first car!")</f>
        <v>Model 3 will be my first car!</v>
      </c>
      <c r="U996" s="145" t="str">
        <f>IFERROR(__xludf.DUMMYFUNCTION("""COMPUTED_VALUE"""),"Electric!")</f>
        <v>Electric!</v>
      </c>
      <c r="V996" s="145" t="str">
        <f>IFERROR(__xludf.DUMMYFUNCTION("""COMPUTED_VALUE"""),"360° Bird's eye view")</f>
        <v>360° Bird's eye view</v>
      </c>
      <c r="W996" s="145"/>
      <c r="X996" s="137" t="str">
        <f>IFERROR(__xludf.DUMMYFUNCTION("""COMPUTED_VALUE"""),"Excellent")</f>
        <v>Excellent</v>
      </c>
      <c r="Y996" s="138" t="str">
        <f>IFERROR(__xludf.DUMMYFUNCTION("""COMPUTED_VALUE"""),"Very Good")</f>
        <v>Very Good</v>
      </c>
      <c r="Z996" s="138" t="str">
        <f>IFERROR(__xludf.DUMMYFUNCTION("""COMPUTED_VALUE"""),"Very Good")</f>
        <v>Very Good</v>
      </c>
      <c r="AA996" s="138" t="str">
        <f>IFERROR(__xludf.DUMMYFUNCTION("""COMPUTED_VALUE"""),"Fair")</f>
        <v>Fair</v>
      </c>
      <c r="AB996" s="138" t="str">
        <f>IFERROR(__xludf.DUMMYFUNCTION("""COMPUTED_VALUE"""),"Good")</f>
        <v>Good</v>
      </c>
      <c r="AC996" s="139"/>
      <c r="AD996" s="139"/>
      <c r="AE996" s="139"/>
      <c r="AF996" s="140" t="str">
        <f>IFERROR(__xludf.DUMMYFUNCTION("""COMPUTED_VALUE"""),"No. I took delivery of the first car Tesla was able to deliver.")</f>
        <v>No. I took delivery of the first car Tesla was able to deliver.</v>
      </c>
      <c r="AG996" s="145"/>
      <c r="AH996" s="157">
        <f>IFERROR(__xludf.DUMMYFUNCTION("""COMPUTED_VALUE"""),44271.417507280086)</f>
        <v>44271.41751</v>
      </c>
      <c r="AI996" s="138"/>
      <c r="AJ996" s="138"/>
      <c r="AK996" s="138"/>
      <c r="AL996" s="142"/>
    </row>
    <row r="997" ht="20.25" customHeight="1">
      <c r="A997" s="155" t="str">
        <f>IFERROR(__xludf.DUMMYFUNCTION("""COMPUTED_VALUE"""),"RickyFish89")</f>
        <v>RickyFish89</v>
      </c>
      <c r="B997" s="149"/>
      <c r="C997" s="149" t="str">
        <f>IFERROR(__xludf.DUMMYFUNCTION("""COMPUTED_VALUE"""),"IN")</f>
        <v>IN</v>
      </c>
      <c r="D997" s="149" t="str">
        <f>IFERROR(__xludf.DUMMYFUNCTION("""COMPUTED_VALUE"""),"USA")</f>
        <v>USA</v>
      </c>
      <c r="E997" s="156">
        <f>IFERROR(__xludf.DUMMYFUNCTION("""COMPUTED_VALUE"""),44223.0)</f>
        <v>44223</v>
      </c>
      <c r="F997" s="129">
        <f>IFERROR(__xludf.DUMMYFUNCTION("""COMPUTED_VALUE"""),44238.0)</f>
        <v>44238</v>
      </c>
      <c r="G997" s="154" t="str">
        <f>IFERROR(__xludf.DUMMYFUNCTION("""COMPUTED_VALUE"""),"Manage order page (normal text)")</f>
        <v>Manage order page (normal text)</v>
      </c>
      <c r="H997" s="131">
        <f>IFERROR(__xludf.DUMMYFUNCTION("""COMPUTED_VALUE"""),907255.0)</f>
        <v>907255</v>
      </c>
      <c r="I997" s="144" t="str">
        <f>IFERROR(__xludf.DUMMYFUNCTION("""COMPUTED_VALUE"""),"02/21")</f>
        <v>02/21</v>
      </c>
      <c r="J997" s="129">
        <f>IFERROR(__xludf.DUMMYFUNCTION("""COMPUTED_VALUE"""),44254.0)</f>
        <v>44254</v>
      </c>
      <c r="K997" s="133">
        <f>IFERROR(__xludf.DUMMYFUNCTION("""COMPUTED_VALUE"""),15.0)</f>
        <v>15</v>
      </c>
      <c r="L997" s="133">
        <f>IFERROR(__xludf.DUMMYFUNCTION("""COMPUTED_VALUE"""),16.0)</f>
        <v>16</v>
      </c>
      <c r="M997" s="133">
        <f>IFERROR(__xludf.DUMMYFUNCTION("""COMPUTED_VALUE"""),31.0)</f>
        <v>31</v>
      </c>
      <c r="N997" s="152" t="str">
        <f>IFERROR(__xludf.DUMMYFUNCTION("""COMPUTED_VALUE"""),"Model 3 SR+")</f>
        <v>Model 3 SR+</v>
      </c>
      <c r="O997" s="152" t="str">
        <f>IFERROR(__xludf.DUMMYFUNCTION("""COMPUTED_VALUE"""),"Midnight Silver Metallic")</f>
        <v>Midnight Silver Metallic</v>
      </c>
      <c r="P997" s="153" t="str">
        <f>IFERROR(__xludf.DUMMYFUNCTION("""COMPUTED_VALUE"""),"18 inch")</f>
        <v>18 inch</v>
      </c>
      <c r="Q997" s="152" t="str">
        <f>IFERROR(__xludf.DUMMYFUNCTION("""COMPUTED_VALUE"""),"All Black")</f>
        <v>All Black</v>
      </c>
      <c r="R997" s="149" t="str">
        <f>IFERROR(__xludf.DUMMYFUNCTION("""COMPUTED_VALUE"""),"Autopilot included")</f>
        <v>Autopilot included</v>
      </c>
      <c r="S997" s="149" t="str">
        <f>IFERROR(__xludf.DUMMYFUNCTION("""COMPUTED_VALUE"""),"Cash")</f>
        <v>Cash</v>
      </c>
      <c r="T997" s="145" t="str">
        <f>IFERROR(__xludf.DUMMYFUNCTION("""COMPUTED_VALUE"""),"Chevy Bolt")</f>
        <v>Chevy Bolt</v>
      </c>
      <c r="U997" s="145" t="str">
        <f>IFERROR(__xludf.DUMMYFUNCTION("""COMPUTED_VALUE"""),"Tech")</f>
        <v>Tech</v>
      </c>
      <c r="V997" s="145" t="str">
        <f>IFERROR(__xludf.DUMMYFUNCTION("""COMPUTED_VALUE"""),"360° Bird's eye view")</f>
        <v>360° Bird's eye view</v>
      </c>
      <c r="W997" s="136"/>
      <c r="X997" s="137" t="str">
        <f>IFERROR(__xludf.DUMMYFUNCTION("""COMPUTED_VALUE"""),"Very Good")</f>
        <v>Very Good</v>
      </c>
      <c r="Y997" s="138" t="str">
        <f>IFERROR(__xludf.DUMMYFUNCTION("""COMPUTED_VALUE"""),"Very Good")</f>
        <v>Very Good</v>
      </c>
      <c r="Z997" s="138" t="str">
        <f>IFERROR(__xludf.DUMMYFUNCTION("""COMPUTED_VALUE"""),"Good")</f>
        <v>Good</v>
      </c>
      <c r="AA997" s="138" t="str">
        <f>IFERROR(__xludf.DUMMYFUNCTION("""COMPUTED_VALUE"""),"Good")</f>
        <v>Good</v>
      </c>
      <c r="AB997" s="138" t="str">
        <f>IFERROR(__xludf.DUMMYFUNCTION("""COMPUTED_VALUE"""),"Good")</f>
        <v>Good</v>
      </c>
      <c r="AC997" s="139"/>
      <c r="AD997" s="139"/>
      <c r="AE997" s="139"/>
      <c r="AF997" s="140" t="str">
        <f>IFERROR(__xludf.DUMMYFUNCTION("""COMPUTED_VALUE"""),"No. I took delivery of the first car Tesla was able to deliver.")</f>
        <v>No. I took delivery of the first car Tesla was able to deliver.</v>
      </c>
      <c r="AG997" s="136"/>
      <c r="AH997" s="157">
        <f>IFERROR(__xludf.DUMMYFUNCTION("""COMPUTED_VALUE"""),44255.099388449074)</f>
        <v>44255.09939</v>
      </c>
      <c r="AI997" s="138"/>
      <c r="AJ997" s="138"/>
      <c r="AK997" s="138"/>
      <c r="AL997" s="142"/>
    </row>
    <row r="998" ht="20.25" customHeight="1">
      <c r="A998" s="155" t="str">
        <f>IFERROR(__xludf.DUMMYFUNCTION("""COMPUTED_VALUE"""),"alo")</f>
        <v>alo</v>
      </c>
      <c r="B998" s="149" t="str">
        <f>IFERROR(__xludf.DUMMYFUNCTION("""COMPUTED_VALUE"""),"Toronto")</f>
        <v>Toronto</v>
      </c>
      <c r="C998" s="149" t="str">
        <f>IFERROR(__xludf.DUMMYFUNCTION("""COMPUTED_VALUE"""),"ON")</f>
        <v>ON</v>
      </c>
      <c r="D998" s="149" t="str">
        <f>IFERROR(__xludf.DUMMYFUNCTION("""COMPUTED_VALUE"""),"Canada")</f>
        <v>Canada</v>
      </c>
      <c r="E998" s="156">
        <f>IFERROR(__xludf.DUMMYFUNCTION("""COMPUTED_VALUE"""),44220.0)</f>
        <v>44220</v>
      </c>
      <c r="F998" s="129"/>
      <c r="G998" s="154" t="str">
        <f>IFERROR(__xludf.DUMMYFUNCTION("""COMPUTED_VALUE"""),"Manage order page (normal text)")</f>
        <v>Manage order page (normal text)</v>
      </c>
      <c r="H998" s="131">
        <f>IFERROR(__xludf.DUMMYFUNCTION("""COMPUTED_VALUE"""),918455.0)</f>
        <v>918455</v>
      </c>
      <c r="I998" s="144"/>
      <c r="J998" s="129">
        <f>IFERROR(__xludf.DUMMYFUNCTION("""COMPUTED_VALUE"""),44275.0)</f>
        <v>44275</v>
      </c>
      <c r="K998" s="133"/>
      <c r="L998" s="133"/>
      <c r="M998" s="133">
        <f>IFERROR(__xludf.DUMMYFUNCTION("""COMPUTED_VALUE"""),55.0)</f>
        <v>55</v>
      </c>
      <c r="N998" s="152" t="str">
        <f>IFERROR(__xludf.DUMMYFUNCTION("""COMPUTED_VALUE"""),"Model 3 SR+")</f>
        <v>Model 3 SR+</v>
      </c>
      <c r="O998" s="152" t="str">
        <f>IFERROR(__xludf.DUMMYFUNCTION("""COMPUTED_VALUE"""),"Midnight Silver Metallic")</f>
        <v>Midnight Silver Metallic</v>
      </c>
      <c r="P998" s="153" t="str">
        <f>IFERROR(__xludf.DUMMYFUNCTION("""COMPUTED_VALUE"""),"18 inch")</f>
        <v>18 inch</v>
      </c>
      <c r="Q998" s="152" t="str">
        <f>IFERROR(__xludf.DUMMYFUNCTION("""COMPUTED_VALUE"""),"All Black")</f>
        <v>All Black</v>
      </c>
      <c r="R998" s="149" t="str">
        <f>IFERROR(__xludf.DUMMYFUNCTION("""COMPUTED_VALUE"""),"Autopilot included")</f>
        <v>Autopilot included</v>
      </c>
      <c r="S998" s="149" t="str">
        <f>IFERROR(__xludf.DUMMYFUNCTION("""COMPUTED_VALUE"""),"Cash")</f>
        <v>Cash</v>
      </c>
      <c r="T998" s="145" t="str">
        <f>IFERROR(__xludf.DUMMYFUNCTION("""COMPUTED_VALUE"""),"Infiniti G37x")</f>
        <v>Infiniti G37x</v>
      </c>
      <c r="U998" s="145" t="str">
        <f>IFERROR(__xludf.DUMMYFUNCTION("""COMPUTED_VALUE"""),"Autopilot")</f>
        <v>Autopilot</v>
      </c>
      <c r="V998" s="145" t="str">
        <f>IFERROR(__xludf.DUMMYFUNCTION("""COMPUTED_VALUE"""),"Blind spot indicators on side mirrors")</f>
        <v>Blind spot indicators on side mirrors</v>
      </c>
      <c r="W998" s="136"/>
      <c r="X998" s="137" t="str">
        <f>IFERROR(__xludf.DUMMYFUNCTION("""COMPUTED_VALUE"""),"Excellent")</f>
        <v>Excellent</v>
      </c>
      <c r="Y998" s="138" t="str">
        <f>IFERROR(__xludf.DUMMYFUNCTION("""COMPUTED_VALUE"""),"Excellent")</f>
        <v>Excellent</v>
      </c>
      <c r="Z998" s="138" t="str">
        <f>IFERROR(__xludf.DUMMYFUNCTION("""COMPUTED_VALUE"""),"Excellent")</f>
        <v>Excellent</v>
      </c>
      <c r="AA998" s="138" t="str">
        <f>IFERROR(__xludf.DUMMYFUNCTION("""COMPUTED_VALUE"""),"Excellent")</f>
        <v>Excellent</v>
      </c>
      <c r="AB998" s="138" t="str">
        <f>IFERROR(__xludf.DUMMYFUNCTION("""COMPUTED_VALUE"""),"Excellent")</f>
        <v>Excellent</v>
      </c>
      <c r="AC998" s="139">
        <f>IFERROR(__xludf.DUMMYFUNCTION("""COMPUTED_VALUE"""),2.0)</f>
        <v>2</v>
      </c>
      <c r="AD998" s="139">
        <f>IFERROR(__xludf.DUMMYFUNCTION("""COMPUTED_VALUE"""),1.0)</f>
        <v>1</v>
      </c>
      <c r="AE998" s="139">
        <f>IFERROR(__xludf.DUMMYFUNCTION("""COMPUTED_VALUE"""),0.0)</f>
        <v>0</v>
      </c>
      <c r="AF998" s="140" t="str">
        <f>IFERROR(__xludf.DUMMYFUNCTION("""COMPUTED_VALUE"""),"No. I took delivery of the first car Tesla was able to deliver.")</f>
        <v>No. I took delivery of the first car Tesla was able to deliver.</v>
      </c>
      <c r="AG998" s="136"/>
      <c r="AH998" s="157">
        <f>IFERROR(__xludf.DUMMYFUNCTION("""COMPUTED_VALUE"""),44406.54759072916)</f>
        <v>44406.54759</v>
      </c>
      <c r="AI998" s="138"/>
      <c r="AJ998" s="138"/>
      <c r="AK998" s="138"/>
      <c r="AL998" s="142"/>
    </row>
    <row r="999" ht="20.25" customHeight="1">
      <c r="A999" s="155" t="str">
        <f>IFERROR(__xludf.DUMMYFUNCTION("""COMPUTED_VALUE"""),"Teslaalset")</f>
        <v>Teslaalset</v>
      </c>
      <c r="B999" s="149" t="str">
        <f>IFERROR(__xludf.DUMMYFUNCTION("""COMPUTED_VALUE"""),"Houston")</f>
        <v>Houston</v>
      </c>
      <c r="C999" s="149" t="str">
        <f>IFERROR(__xludf.DUMMYFUNCTION("""COMPUTED_VALUE"""),"TX")</f>
        <v>TX</v>
      </c>
      <c r="D999" s="149" t="str">
        <f>IFERROR(__xludf.DUMMYFUNCTION("""COMPUTED_VALUE"""),"USA")</f>
        <v>USA</v>
      </c>
      <c r="E999" s="156">
        <f>IFERROR(__xludf.DUMMYFUNCTION("""COMPUTED_VALUE"""),44220.0)</f>
        <v>44220</v>
      </c>
      <c r="F999" s="129">
        <f>IFERROR(__xludf.DUMMYFUNCTION("""COMPUTED_VALUE"""),44249.0)</f>
        <v>44249</v>
      </c>
      <c r="G999" s="154" t="str">
        <f>IFERROR(__xludf.DUMMYFUNCTION("""COMPUTED_VALUE"""),"Email")</f>
        <v>Email</v>
      </c>
      <c r="H999" s="131">
        <f>IFERROR(__xludf.DUMMYFUNCTION("""COMPUTED_VALUE"""),906895.0)</f>
        <v>906895</v>
      </c>
      <c r="I999" s="144"/>
      <c r="J999" s="129">
        <f>IFERROR(__xludf.DUMMYFUNCTION("""COMPUTED_VALUE"""),44257.0)</f>
        <v>44257</v>
      </c>
      <c r="K999" s="133">
        <f>IFERROR(__xludf.DUMMYFUNCTION("""COMPUTED_VALUE"""),29.0)</f>
        <v>29</v>
      </c>
      <c r="L999" s="133">
        <f>IFERROR(__xludf.DUMMYFUNCTION("""COMPUTED_VALUE"""),8.0)</f>
        <v>8</v>
      </c>
      <c r="M999" s="133">
        <f>IFERROR(__xludf.DUMMYFUNCTION("""COMPUTED_VALUE"""),37.0)</f>
        <v>37</v>
      </c>
      <c r="N999" s="152" t="str">
        <f>IFERROR(__xludf.DUMMYFUNCTION("""COMPUTED_VALUE"""),"Model 3 LR AWD")</f>
        <v>Model 3 LR AWD</v>
      </c>
      <c r="O999" s="152" t="str">
        <f>IFERROR(__xludf.DUMMYFUNCTION("""COMPUTED_VALUE"""),"Pearl White Multi-Coat")</f>
        <v>Pearl White Multi-Coat</v>
      </c>
      <c r="P999" s="153" t="str">
        <f>IFERROR(__xludf.DUMMYFUNCTION("""COMPUTED_VALUE"""),"18 inch")</f>
        <v>18 inch</v>
      </c>
      <c r="Q999" s="152" t="str">
        <f>IFERROR(__xludf.DUMMYFUNCTION("""COMPUTED_VALUE"""),"Black and White")</f>
        <v>Black and White</v>
      </c>
      <c r="R999" s="149" t="str">
        <f>IFERROR(__xludf.DUMMYFUNCTION("""COMPUTED_VALUE"""),"Autopilot included")</f>
        <v>Autopilot included</v>
      </c>
      <c r="S999" s="149" t="str">
        <f>IFERROR(__xludf.DUMMYFUNCTION("""COMPUTED_VALUE"""),"Loan")</f>
        <v>Loan</v>
      </c>
      <c r="T999" s="145" t="str">
        <f>IFERROR(__xludf.DUMMYFUNCTION("""COMPUTED_VALUE"""),"Toyota Prius")</f>
        <v>Toyota Prius</v>
      </c>
      <c r="U999" s="145" t="str">
        <f>IFERROR(__xludf.DUMMYFUNCTION("""COMPUTED_VALUE"""),"Electric!")</f>
        <v>Electric!</v>
      </c>
      <c r="V999" s="145" t="str">
        <f>IFERROR(__xludf.DUMMYFUNCTION("""COMPUTED_VALUE"""),"Bioweapon defense mode")</f>
        <v>Bioweapon defense mode</v>
      </c>
      <c r="W999" s="145"/>
      <c r="X999" s="137" t="str">
        <f>IFERROR(__xludf.DUMMYFUNCTION("""COMPUTED_VALUE"""),"Excellent")</f>
        <v>Excellent</v>
      </c>
      <c r="Y999" s="138" t="str">
        <f>IFERROR(__xludf.DUMMYFUNCTION("""COMPUTED_VALUE"""),"Excellent")</f>
        <v>Excellent</v>
      </c>
      <c r="Z999" s="138" t="str">
        <f>IFERROR(__xludf.DUMMYFUNCTION("""COMPUTED_VALUE"""),"Excellent")</f>
        <v>Excellent</v>
      </c>
      <c r="AA999" s="138" t="str">
        <f>IFERROR(__xludf.DUMMYFUNCTION("""COMPUTED_VALUE"""),"Fair")</f>
        <v>Fair</v>
      </c>
      <c r="AB999" s="138" t="str">
        <f>IFERROR(__xludf.DUMMYFUNCTION("""COMPUTED_VALUE"""),"Good")</f>
        <v>Good</v>
      </c>
      <c r="AC999" s="139"/>
      <c r="AD999" s="139"/>
      <c r="AE999" s="139"/>
      <c r="AF999" s="140" t="str">
        <f>IFERROR(__xludf.DUMMYFUNCTION("""COMPUTED_VALUE"""),"No. I took delivery of the first car Tesla was able to deliver.")</f>
        <v>No. I took delivery of the first car Tesla was able to deliver.</v>
      </c>
      <c r="AG999" s="145"/>
      <c r="AH999" s="157">
        <f>IFERROR(__xludf.DUMMYFUNCTION("""COMPUTED_VALUE"""),44257.81075578704)</f>
        <v>44257.81076</v>
      </c>
      <c r="AI999" s="138"/>
      <c r="AJ999" s="138"/>
      <c r="AK999" s="138"/>
      <c r="AL999" s="142"/>
    </row>
    <row r="1000" ht="20.25" customHeight="1">
      <c r="A1000" s="155" t="str">
        <f>IFERROR(__xludf.DUMMYFUNCTION("""COMPUTED_VALUE"""),"MITesla3")</f>
        <v>MITesla3</v>
      </c>
      <c r="B1000" s="149" t="str">
        <f>IFERROR(__xludf.DUMMYFUNCTION("""COMPUTED_VALUE"""),"Rockford")</f>
        <v>Rockford</v>
      </c>
      <c r="C1000" s="149" t="str">
        <f>IFERROR(__xludf.DUMMYFUNCTION("""COMPUTED_VALUE"""),"MI")</f>
        <v>MI</v>
      </c>
      <c r="D1000" s="149" t="str">
        <f>IFERROR(__xludf.DUMMYFUNCTION("""COMPUTED_VALUE"""),"USA")</f>
        <v>USA</v>
      </c>
      <c r="E1000" s="156">
        <f>IFERROR(__xludf.DUMMYFUNCTION("""COMPUTED_VALUE"""),44219.0)</f>
        <v>44219</v>
      </c>
      <c r="F1000" s="129">
        <f>IFERROR(__xludf.DUMMYFUNCTION("""COMPUTED_VALUE"""),44236.0)</f>
        <v>44236</v>
      </c>
      <c r="G1000" s="154" t="str">
        <f>IFERROR(__xludf.DUMMYFUNCTION("""COMPUTED_VALUE"""),"Manage order page (normal text)")</f>
        <v>Manage order page (normal text)</v>
      </c>
      <c r="H1000" s="131"/>
      <c r="I1000" s="132"/>
      <c r="J1000" s="129">
        <f>IFERROR(__xludf.DUMMYFUNCTION("""COMPUTED_VALUE"""),44249.0)</f>
        <v>44249</v>
      </c>
      <c r="K1000" s="133">
        <f>IFERROR(__xludf.DUMMYFUNCTION("""COMPUTED_VALUE"""),17.0)</f>
        <v>17</v>
      </c>
      <c r="L1000" s="133">
        <f>IFERROR(__xludf.DUMMYFUNCTION("""COMPUTED_VALUE"""),13.0)</f>
        <v>13</v>
      </c>
      <c r="M1000" s="133">
        <f>IFERROR(__xludf.DUMMYFUNCTION("""COMPUTED_VALUE"""),30.0)</f>
        <v>30</v>
      </c>
      <c r="N1000" s="152" t="str">
        <f>IFERROR(__xludf.DUMMYFUNCTION("""COMPUTED_VALUE"""),"Model 3 SR+")</f>
        <v>Model 3 SR+</v>
      </c>
      <c r="O1000" s="152" t="str">
        <f>IFERROR(__xludf.DUMMYFUNCTION("""COMPUTED_VALUE"""),"Solid Black")</f>
        <v>Solid Black</v>
      </c>
      <c r="P1000" s="153" t="str">
        <f>IFERROR(__xludf.DUMMYFUNCTION("""COMPUTED_VALUE"""),"18 inch")</f>
        <v>18 inch</v>
      </c>
      <c r="Q1000" s="152" t="str">
        <f>IFERROR(__xludf.DUMMYFUNCTION("""COMPUTED_VALUE"""),"All Black")</f>
        <v>All Black</v>
      </c>
      <c r="R1000" s="150" t="str">
        <f>IFERROR(__xludf.DUMMYFUNCTION("""COMPUTED_VALUE"""),"Autopilot included")</f>
        <v>Autopilot included</v>
      </c>
      <c r="S1000" s="150" t="str">
        <f>IFERROR(__xludf.DUMMYFUNCTION("""COMPUTED_VALUE"""),"Cash")</f>
        <v>Cash</v>
      </c>
      <c r="T1000" s="136" t="str">
        <f>IFERROR(__xludf.DUMMYFUNCTION("""COMPUTED_VALUE"""),"Ford Escape")</f>
        <v>Ford Escape</v>
      </c>
      <c r="U1000" s="136" t="str">
        <f>IFERROR(__xludf.DUMMYFUNCTION("""COMPUTED_VALUE"""),"Electric!")</f>
        <v>Electric!</v>
      </c>
      <c r="V1000" s="136" t="str">
        <f>IFERROR(__xludf.DUMMYFUNCTION("""COMPUTED_VALUE"""),"Air suspension")</f>
        <v>Air suspension</v>
      </c>
      <c r="W1000" s="136" t="str">
        <f>IFERROR(__xludf.DUMMYFUNCTION("""COMPUTED_VALUE"""),"Look over the car but not too much, it's  just a car.")</f>
        <v>Look over the car but not too much, it's  just a car.</v>
      </c>
      <c r="X1000" s="137" t="str">
        <f>IFERROR(__xludf.DUMMYFUNCTION("""COMPUTED_VALUE"""),"Excellent")</f>
        <v>Excellent</v>
      </c>
      <c r="Y1000" s="138" t="str">
        <f>IFERROR(__xludf.DUMMYFUNCTION("""COMPUTED_VALUE"""),"Excellent")</f>
        <v>Excellent</v>
      </c>
      <c r="Z1000" s="138" t="str">
        <f>IFERROR(__xludf.DUMMYFUNCTION("""COMPUTED_VALUE"""),"Good")</f>
        <v>Good</v>
      </c>
      <c r="AA1000" s="138" t="str">
        <f>IFERROR(__xludf.DUMMYFUNCTION("""COMPUTED_VALUE"""),"Very Good")</f>
        <v>Very Good</v>
      </c>
      <c r="AB1000" s="138" t="str">
        <f>IFERROR(__xludf.DUMMYFUNCTION("""COMPUTED_VALUE"""),"Good")</f>
        <v>Good</v>
      </c>
      <c r="AC1000" s="139">
        <f>IFERROR(__xludf.DUMMYFUNCTION("""COMPUTED_VALUE"""),1.0)</f>
        <v>1</v>
      </c>
      <c r="AD1000" s="139">
        <f>IFERROR(__xludf.DUMMYFUNCTION("""COMPUTED_VALUE"""),0.0)</f>
        <v>0</v>
      </c>
      <c r="AE1000" s="139">
        <f>IFERROR(__xludf.DUMMYFUNCTION("""COMPUTED_VALUE"""),0.0)</f>
        <v>0</v>
      </c>
      <c r="AF1000" s="140" t="str">
        <f>IFERROR(__xludf.DUMMYFUNCTION("""COMPUTED_VALUE"""),"No. I took delivery of the first car Tesla was able to deliver.")</f>
        <v>No. I took delivery of the first car Tesla was able to deliver.</v>
      </c>
      <c r="AG1000" s="136" t="str">
        <f>IFERROR(__xludf.DUMMYFUNCTION("""COMPUTED_VALUE"""),"I had a 4 inch scratch on the back panel under the trunk. Tesla will fix it in the next 6 months at a time of my choosing.  ")</f>
        <v>I had a 4 inch scratch on the back panel under the trunk. Tesla will fix it in the next 6 months at a time of my choosing.  </v>
      </c>
      <c r="AH1000" s="157">
        <f>IFERROR(__xludf.DUMMYFUNCTION("""COMPUTED_VALUE"""),44257.26519949074)</f>
        <v>44257.2652</v>
      </c>
      <c r="AI1000" s="138"/>
      <c r="AJ1000" s="138"/>
      <c r="AK1000" s="138"/>
      <c r="AL1000" s="142"/>
    </row>
    <row r="1001" ht="20.25" customHeight="1">
      <c r="A1001" s="155" t="str">
        <f>IFERROR(__xludf.DUMMYFUNCTION("""COMPUTED_VALUE"""),"nextelmatt")</f>
        <v>nextelmatt</v>
      </c>
      <c r="B1001" s="150" t="str">
        <f>IFERROR(__xludf.DUMMYFUNCTION("""COMPUTED_VALUE"""),"Raleigh")</f>
        <v>Raleigh</v>
      </c>
      <c r="C1001" s="150" t="str">
        <f>IFERROR(__xludf.DUMMYFUNCTION("""COMPUTED_VALUE"""),"NC")</f>
        <v>NC</v>
      </c>
      <c r="D1001" s="150" t="str">
        <f>IFERROR(__xludf.DUMMYFUNCTION("""COMPUTED_VALUE"""),"USA")</f>
        <v>USA</v>
      </c>
      <c r="E1001" s="156">
        <f>IFERROR(__xludf.DUMMYFUNCTION("""COMPUTED_VALUE"""),44219.0)</f>
        <v>44219</v>
      </c>
      <c r="F1001" s="129">
        <f>IFERROR(__xludf.DUMMYFUNCTION("""COMPUTED_VALUE"""),44269.0)</f>
        <v>44269</v>
      </c>
      <c r="G1001" s="154" t="str">
        <f>IFERROR(__xludf.DUMMYFUNCTION("""COMPUTED_VALUE"""),"Manage order page (normal text)")</f>
        <v>Manage order page (normal text)</v>
      </c>
      <c r="H1001" s="131">
        <f>IFERROR(__xludf.DUMMYFUNCTION("""COMPUTED_VALUE"""),918455.0)</f>
        <v>918455</v>
      </c>
      <c r="I1001" s="132" t="str">
        <f>IFERROR(__xludf.DUMMYFUNCTION("""COMPUTED_VALUE"""),"03/21")</f>
        <v>03/21</v>
      </c>
      <c r="J1001" s="129">
        <f>IFERROR(__xludf.DUMMYFUNCTION("""COMPUTED_VALUE"""),44285.0)</f>
        <v>44285</v>
      </c>
      <c r="K1001" s="133">
        <f>IFERROR(__xludf.DUMMYFUNCTION("""COMPUTED_VALUE"""),50.0)</f>
        <v>50</v>
      </c>
      <c r="L1001" s="133">
        <f>IFERROR(__xludf.DUMMYFUNCTION("""COMPUTED_VALUE"""),16.0)</f>
        <v>16</v>
      </c>
      <c r="M1001" s="133">
        <f>IFERROR(__xludf.DUMMYFUNCTION("""COMPUTED_VALUE"""),66.0)</f>
        <v>66</v>
      </c>
      <c r="N1001" s="152" t="str">
        <f>IFERROR(__xludf.DUMMYFUNCTION("""COMPUTED_VALUE"""),"Model 3 Performance")</f>
        <v>Model 3 Performance</v>
      </c>
      <c r="O1001" s="152" t="str">
        <f>IFERROR(__xludf.DUMMYFUNCTION("""COMPUTED_VALUE"""),"Red Multi-Coat")</f>
        <v>Red Multi-Coat</v>
      </c>
      <c r="P1001" s="153" t="str">
        <f>IFERROR(__xludf.DUMMYFUNCTION("""COMPUTED_VALUE"""),"20 inch")</f>
        <v>20 inch</v>
      </c>
      <c r="Q1001" s="152" t="str">
        <f>IFERROR(__xludf.DUMMYFUNCTION("""COMPUTED_VALUE"""),"Black and White")</f>
        <v>Black and White</v>
      </c>
      <c r="R1001" s="150" t="str">
        <f>IFERROR(__xludf.DUMMYFUNCTION("""COMPUTED_VALUE"""),"Autopilot included")</f>
        <v>Autopilot included</v>
      </c>
      <c r="S1001" s="150" t="str">
        <f>IFERROR(__xludf.DUMMYFUNCTION("""COMPUTED_VALUE"""),"Loan")</f>
        <v>Loan</v>
      </c>
      <c r="T1001" s="136" t="str">
        <f>IFERROR(__xludf.DUMMYFUNCTION("""COMPUTED_VALUE"""),"Tesla Model 3")</f>
        <v>Tesla Model 3</v>
      </c>
      <c r="U1001" s="136" t="str">
        <f>IFERROR(__xludf.DUMMYFUNCTION("""COMPUTED_VALUE"""),"Tesla brand image")</f>
        <v>Tesla brand image</v>
      </c>
      <c r="V1001" s="136" t="str">
        <f>IFERROR(__xludf.DUMMYFUNCTION("""COMPUTED_VALUE"""),"Ventilated seats")</f>
        <v>Ventilated seats</v>
      </c>
      <c r="W1001" s="136"/>
      <c r="X1001" s="137" t="str">
        <f>IFERROR(__xludf.DUMMYFUNCTION("""COMPUTED_VALUE"""),"Excellent")</f>
        <v>Excellent</v>
      </c>
      <c r="Y1001" s="138" t="str">
        <f>IFERROR(__xludf.DUMMYFUNCTION("""COMPUTED_VALUE"""),"Excellent")</f>
        <v>Excellent</v>
      </c>
      <c r="Z1001" s="138" t="str">
        <f>IFERROR(__xludf.DUMMYFUNCTION("""COMPUTED_VALUE"""),"Excellent")</f>
        <v>Excellent</v>
      </c>
      <c r="AA1001" s="138" t="str">
        <f>IFERROR(__xludf.DUMMYFUNCTION("""COMPUTED_VALUE"""),"Poor")</f>
        <v>Poor</v>
      </c>
      <c r="AB1001" s="138" t="str">
        <f>IFERROR(__xludf.DUMMYFUNCTION("""COMPUTED_VALUE"""),"Excellent")</f>
        <v>Excellent</v>
      </c>
      <c r="AC1001" s="139"/>
      <c r="AD1001" s="139"/>
      <c r="AE1001" s="139"/>
      <c r="AF1001" s="140" t="str">
        <f>IFERROR(__xludf.DUMMYFUNCTION("""COMPUTED_VALUE"""),"No. I took delivery of the first car Tesla was able to deliver.")</f>
        <v>No. I took delivery of the first car Tesla was able to deliver.</v>
      </c>
      <c r="AG1001" s="136" t="str">
        <f>IFERROR(__xludf.DUMMYFUNCTION("""COMPUTED_VALUE"""),"Estimated Delivery: March 27-31")</f>
        <v>Estimated Delivery: March 27-31</v>
      </c>
      <c r="AH1001" s="157">
        <f>IFERROR(__xludf.DUMMYFUNCTION("""COMPUTED_VALUE"""),44288.27319811343)</f>
        <v>44288.2732</v>
      </c>
      <c r="AI1001" s="138"/>
      <c r="AJ1001" s="138"/>
      <c r="AK1001" s="138"/>
      <c r="AL1001" s="142"/>
    </row>
    <row r="1002" ht="20.25" customHeight="1">
      <c r="A1002" s="155" t="str">
        <f>IFERROR(__xludf.DUMMYFUNCTION("""COMPUTED_VALUE"""),"TBrownTX")</f>
        <v>TBrownTX</v>
      </c>
      <c r="B1002" s="149" t="str">
        <f>IFERROR(__xludf.DUMMYFUNCTION("""COMPUTED_VALUE"""),"Dallas")</f>
        <v>Dallas</v>
      </c>
      <c r="C1002" s="149" t="str">
        <f>IFERROR(__xludf.DUMMYFUNCTION("""COMPUTED_VALUE"""),"TX")</f>
        <v>TX</v>
      </c>
      <c r="D1002" s="149" t="str">
        <f>IFERROR(__xludf.DUMMYFUNCTION("""COMPUTED_VALUE"""),"USA")</f>
        <v>USA</v>
      </c>
      <c r="E1002" s="156">
        <f>IFERROR(__xludf.DUMMYFUNCTION("""COMPUTED_VALUE"""),44219.0)</f>
        <v>44219</v>
      </c>
      <c r="F1002" s="129">
        <f>IFERROR(__xludf.DUMMYFUNCTION("""COMPUTED_VALUE"""),44252.0)</f>
        <v>44252</v>
      </c>
      <c r="G1002" s="154" t="str">
        <f>IFERROR(__xludf.DUMMYFUNCTION("""COMPUTED_VALUE"""),"Manage order page (normal text)")</f>
        <v>Manage order page (normal text)</v>
      </c>
      <c r="H1002" s="131">
        <f>IFERROR(__xludf.DUMMYFUNCTION("""COMPUTED_VALUE"""),914155.0)</f>
        <v>914155</v>
      </c>
      <c r="I1002" s="144" t="str">
        <f>IFERROR(__xludf.DUMMYFUNCTION("""COMPUTED_VALUE"""),"02/21")</f>
        <v>02/21</v>
      </c>
      <c r="J1002" s="129">
        <f>IFERROR(__xludf.DUMMYFUNCTION("""COMPUTED_VALUE"""),44271.0)</f>
        <v>44271</v>
      </c>
      <c r="K1002" s="133">
        <f>IFERROR(__xludf.DUMMYFUNCTION("""COMPUTED_VALUE"""),33.0)</f>
        <v>33</v>
      </c>
      <c r="L1002" s="133">
        <f>IFERROR(__xludf.DUMMYFUNCTION("""COMPUTED_VALUE"""),19.0)</f>
        <v>19</v>
      </c>
      <c r="M1002" s="133">
        <f>IFERROR(__xludf.DUMMYFUNCTION("""COMPUTED_VALUE"""),52.0)</f>
        <v>52</v>
      </c>
      <c r="N1002" s="152" t="str">
        <f>IFERROR(__xludf.DUMMYFUNCTION("""COMPUTED_VALUE"""),"Model 3 Performance")</f>
        <v>Model 3 Performance</v>
      </c>
      <c r="O1002" s="152" t="str">
        <f>IFERROR(__xludf.DUMMYFUNCTION("""COMPUTED_VALUE"""),"Deep Blue Metallic")</f>
        <v>Deep Blue Metallic</v>
      </c>
      <c r="P1002" s="153" t="str">
        <f>IFERROR(__xludf.DUMMYFUNCTION("""COMPUTED_VALUE"""),"20 inch")</f>
        <v>20 inch</v>
      </c>
      <c r="Q1002" s="152" t="str">
        <f>IFERROR(__xludf.DUMMYFUNCTION("""COMPUTED_VALUE"""),"All Black")</f>
        <v>All Black</v>
      </c>
      <c r="R1002" s="149" t="str">
        <f>IFERROR(__xludf.DUMMYFUNCTION("""COMPUTED_VALUE"""),"Autopilot included")</f>
        <v>Autopilot included</v>
      </c>
      <c r="S1002" s="149" t="str">
        <f>IFERROR(__xludf.DUMMYFUNCTION("""COMPUTED_VALUE"""),"Cash")</f>
        <v>Cash</v>
      </c>
      <c r="T1002" s="145" t="str">
        <f>IFERROR(__xludf.DUMMYFUNCTION("""COMPUTED_VALUE"""),"Cadillac ATS Coupe")</f>
        <v>Cadillac ATS Coupe</v>
      </c>
      <c r="U1002" s="145" t="str">
        <f>IFERROR(__xludf.DUMMYFUNCTION("""COMPUTED_VALUE"""),"Electric!")</f>
        <v>Electric!</v>
      </c>
      <c r="V1002" s="145" t="str">
        <f>IFERROR(__xludf.DUMMYFUNCTION("""COMPUTED_VALUE"""),"360° Bird's eye view")</f>
        <v>360° Bird's eye view</v>
      </c>
      <c r="W1002" s="145"/>
      <c r="X1002" s="137" t="str">
        <f>IFERROR(__xludf.DUMMYFUNCTION("""COMPUTED_VALUE"""),"Very Good")</f>
        <v>Very Good</v>
      </c>
      <c r="Y1002" s="138" t="str">
        <f>IFERROR(__xludf.DUMMYFUNCTION("""COMPUTED_VALUE"""),"Excellent")</f>
        <v>Excellent</v>
      </c>
      <c r="Z1002" s="138" t="str">
        <f>IFERROR(__xludf.DUMMYFUNCTION("""COMPUTED_VALUE"""),"Excellent")</f>
        <v>Excellent</v>
      </c>
      <c r="AA1002" s="138" t="str">
        <f>IFERROR(__xludf.DUMMYFUNCTION("""COMPUTED_VALUE"""),"Good")</f>
        <v>Good</v>
      </c>
      <c r="AB1002" s="138" t="str">
        <f>IFERROR(__xludf.DUMMYFUNCTION("""COMPUTED_VALUE"""),"Very Good")</f>
        <v>Very Good</v>
      </c>
      <c r="AC1002" s="139">
        <f>IFERROR(__xludf.DUMMYFUNCTION("""COMPUTED_VALUE"""),0.0)</f>
        <v>0</v>
      </c>
      <c r="AD1002" s="139"/>
      <c r="AE1002" s="139"/>
      <c r="AF1002" s="140" t="str">
        <f>IFERROR(__xludf.DUMMYFUNCTION("""COMPUTED_VALUE"""),"No. I took delivery of the first car Tesla was able to deliver.")</f>
        <v>No. I took delivery of the first car Tesla was able to deliver.</v>
      </c>
      <c r="AG1002" s="145"/>
      <c r="AH1002" s="157">
        <f>IFERROR(__xludf.DUMMYFUNCTION("""COMPUTED_VALUE"""),44272.277069606476)</f>
        <v>44272.27707</v>
      </c>
      <c r="AI1002" s="138"/>
      <c r="AJ1002" s="138"/>
      <c r="AK1002" s="138"/>
      <c r="AL1002" s="142"/>
    </row>
    <row r="1003" ht="20.25" customHeight="1">
      <c r="A1003" s="155" t="str">
        <f>IFERROR(__xludf.DUMMYFUNCTION("""COMPUTED_VALUE"""),"enderokc")</f>
        <v>enderokc</v>
      </c>
      <c r="B1003" s="159" t="str">
        <f>IFERROR(__xludf.DUMMYFUNCTION("""COMPUTED_VALUE"""),"Norman")</f>
        <v>Norman</v>
      </c>
      <c r="C1003" s="159" t="str">
        <f>IFERROR(__xludf.DUMMYFUNCTION("""COMPUTED_VALUE"""),"OK")</f>
        <v>OK</v>
      </c>
      <c r="D1003" s="159" t="str">
        <f>IFERROR(__xludf.DUMMYFUNCTION("""COMPUTED_VALUE"""),"USA")</f>
        <v>USA</v>
      </c>
      <c r="E1003" s="156">
        <f>IFERROR(__xludf.DUMMYFUNCTION("""COMPUTED_VALUE"""),44218.0)</f>
        <v>44218</v>
      </c>
      <c r="F1003" s="129">
        <f>IFERROR(__xludf.DUMMYFUNCTION("""COMPUTED_VALUE"""),44263.0)</f>
        <v>44263</v>
      </c>
      <c r="G1003" s="154" t="str">
        <f>IFERROR(__xludf.DUMMYFUNCTION("""COMPUTED_VALUE"""),"Manage order page (normal text)")</f>
        <v>Manage order page (normal text)</v>
      </c>
      <c r="H1003" s="131">
        <f>IFERROR(__xludf.DUMMYFUNCTION("""COMPUTED_VALUE"""),915455.0)</f>
        <v>915455</v>
      </c>
      <c r="I1003" s="160" t="str">
        <f>IFERROR(__xludf.DUMMYFUNCTION("""COMPUTED_VALUE"""),"03/21")</f>
        <v>03/21</v>
      </c>
      <c r="J1003" s="129">
        <f>IFERROR(__xludf.DUMMYFUNCTION("""COMPUTED_VALUE"""),44275.0)</f>
        <v>44275</v>
      </c>
      <c r="K1003" s="133">
        <f>IFERROR(__xludf.DUMMYFUNCTION("""COMPUTED_VALUE"""),45.0)</f>
        <v>45</v>
      </c>
      <c r="L1003" s="133">
        <f>IFERROR(__xludf.DUMMYFUNCTION("""COMPUTED_VALUE"""),12.0)</f>
        <v>12</v>
      </c>
      <c r="M1003" s="133">
        <f>IFERROR(__xludf.DUMMYFUNCTION("""COMPUTED_VALUE"""),57.0)</f>
        <v>57</v>
      </c>
      <c r="N1003" s="152" t="str">
        <f>IFERROR(__xludf.DUMMYFUNCTION("""COMPUTED_VALUE"""),"Model 3 LR AWD")</f>
        <v>Model 3 LR AWD</v>
      </c>
      <c r="O1003" s="152" t="str">
        <f>IFERROR(__xludf.DUMMYFUNCTION("""COMPUTED_VALUE"""),"Pearl White Multi-Coat")</f>
        <v>Pearl White Multi-Coat</v>
      </c>
      <c r="P1003" s="153" t="str">
        <f>IFERROR(__xludf.DUMMYFUNCTION("""COMPUTED_VALUE"""),"18 inch")</f>
        <v>18 inch</v>
      </c>
      <c r="Q1003" s="152" t="str">
        <f>IFERROR(__xludf.DUMMYFUNCTION("""COMPUTED_VALUE"""),"All Black")</f>
        <v>All Black</v>
      </c>
      <c r="R1003" s="159" t="str">
        <f>IFERROR(__xludf.DUMMYFUNCTION("""COMPUTED_VALUE"""),"Autopilot included")</f>
        <v>Autopilot included</v>
      </c>
      <c r="S1003" s="159" t="str">
        <f>IFERROR(__xludf.DUMMYFUNCTION("""COMPUTED_VALUE"""),"Loan")</f>
        <v>Loan</v>
      </c>
      <c r="T1003" s="161" t="str">
        <f>IFERROR(__xludf.DUMMYFUNCTION("""COMPUTED_VALUE"""),"Jeep Grand Cherokee")</f>
        <v>Jeep Grand Cherokee</v>
      </c>
      <c r="U1003" s="161" t="str">
        <f>IFERROR(__xludf.DUMMYFUNCTION("""COMPUTED_VALUE"""),"Electric!")</f>
        <v>Electric!</v>
      </c>
      <c r="V1003" s="161" t="str">
        <f>IFERROR(__xludf.DUMMYFUNCTION("""COMPUTED_VALUE"""),"Ventilated seats")</f>
        <v>Ventilated seats</v>
      </c>
      <c r="W1003" s="161" t="str">
        <f>IFERROR(__xludf.DUMMYFUNCTION("""COMPUTED_VALUE"""),"Be patient, it will come")</f>
        <v>Be patient, it will come</v>
      </c>
      <c r="X1003" s="151" t="str">
        <f>IFERROR(__xludf.DUMMYFUNCTION("""COMPUTED_VALUE"""),"Very Good")</f>
        <v>Very Good</v>
      </c>
      <c r="Y1003" s="138" t="str">
        <f>IFERROR(__xludf.DUMMYFUNCTION("""COMPUTED_VALUE"""),"Excellent")</f>
        <v>Excellent</v>
      </c>
      <c r="Z1003" s="138" t="str">
        <f>IFERROR(__xludf.DUMMYFUNCTION("""COMPUTED_VALUE"""),"Very Good")</f>
        <v>Very Good</v>
      </c>
      <c r="AA1003" s="138" t="str">
        <f>IFERROR(__xludf.DUMMYFUNCTION("""COMPUTED_VALUE"""),"Good")</f>
        <v>Good</v>
      </c>
      <c r="AB1003" s="138" t="str">
        <f>IFERROR(__xludf.DUMMYFUNCTION("""COMPUTED_VALUE"""),"Excellent")</f>
        <v>Excellent</v>
      </c>
      <c r="AC1003" s="139"/>
      <c r="AD1003" s="139"/>
      <c r="AE1003" s="139"/>
      <c r="AF1003" s="140" t="str">
        <f>IFERROR(__xludf.DUMMYFUNCTION("""COMPUTED_VALUE"""),"No. I took delivery of the first car Tesla was able to deliver.")</f>
        <v>No. I took delivery of the first car Tesla was able to deliver.</v>
      </c>
      <c r="AG1003" s="161"/>
      <c r="AH1003" s="157">
        <f>IFERROR(__xludf.DUMMYFUNCTION("""COMPUTED_VALUE"""),44278.244057337964)</f>
        <v>44278.24406</v>
      </c>
      <c r="AI1003" s="138"/>
      <c r="AJ1003" s="138"/>
      <c r="AK1003" s="138"/>
      <c r="AL1003" s="142"/>
    </row>
    <row r="1004" ht="20.25" customHeight="1">
      <c r="A1004" s="155" t="str">
        <f>IFERROR(__xludf.DUMMYFUNCTION("""COMPUTED_VALUE"""),"HarryWillie")</f>
        <v>HarryWillie</v>
      </c>
      <c r="B1004" s="149" t="str">
        <f>IFERROR(__xludf.DUMMYFUNCTION("""COMPUTED_VALUE"""),"Little Rock")</f>
        <v>Little Rock</v>
      </c>
      <c r="C1004" s="149" t="str">
        <f>IFERROR(__xludf.DUMMYFUNCTION("""COMPUTED_VALUE"""),"AR")</f>
        <v>AR</v>
      </c>
      <c r="D1004" s="149" t="str">
        <f>IFERROR(__xludf.DUMMYFUNCTION("""COMPUTED_VALUE"""),"USA")</f>
        <v>USA</v>
      </c>
      <c r="E1004" s="156">
        <f>IFERROR(__xludf.DUMMYFUNCTION("""COMPUTED_VALUE"""),44218.0)</f>
        <v>44218</v>
      </c>
      <c r="F1004" s="129">
        <f>IFERROR(__xludf.DUMMYFUNCTION("""COMPUTED_VALUE"""),44272.0)</f>
        <v>44272</v>
      </c>
      <c r="G1004" s="154" t="str">
        <f>IFERROR(__xludf.DUMMYFUNCTION("""COMPUTED_VALUE"""),"Manage order page (normal text)")</f>
        <v>Manage order page (normal text)</v>
      </c>
      <c r="H1004" s="131">
        <f>IFERROR(__xludf.DUMMYFUNCTION("""COMPUTED_VALUE"""),927155.0)</f>
        <v>927155</v>
      </c>
      <c r="I1004" s="132" t="str">
        <f>IFERROR(__xludf.DUMMYFUNCTION("""COMPUTED_VALUE"""),"03/21")</f>
        <v>03/21</v>
      </c>
      <c r="J1004" s="129">
        <f>IFERROR(__xludf.DUMMYFUNCTION("""COMPUTED_VALUE"""),44282.0)</f>
        <v>44282</v>
      </c>
      <c r="K1004" s="133">
        <f>IFERROR(__xludf.DUMMYFUNCTION("""COMPUTED_VALUE"""),54.0)</f>
        <v>54</v>
      </c>
      <c r="L1004" s="133">
        <f>IFERROR(__xludf.DUMMYFUNCTION("""COMPUTED_VALUE"""),10.0)</f>
        <v>10</v>
      </c>
      <c r="M1004" s="133">
        <f>IFERROR(__xludf.DUMMYFUNCTION("""COMPUTED_VALUE"""),64.0)</f>
        <v>64</v>
      </c>
      <c r="N1004" s="152" t="str">
        <f>IFERROR(__xludf.DUMMYFUNCTION("""COMPUTED_VALUE"""),"Model 3 LR AWD")</f>
        <v>Model 3 LR AWD</v>
      </c>
      <c r="O1004" s="152" t="str">
        <f>IFERROR(__xludf.DUMMYFUNCTION("""COMPUTED_VALUE"""),"Pearl White Multi-Coat")</f>
        <v>Pearl White Multi-Coat</v>
      </c>
      <c r="P1004" s="153" t="str">
        <f>IFERROR(__xludf.DUMMYFUNCTION("""COMPUTED_VALUE"""),"18 inch")</f>
        <v>18 inch</v>
      </c>
      <c r="Q1004" s="152" t="str">
        <f>IFERROR(__xludf.DUMMYFUNCTION("""COMPUTED_VALUE"""),"Black and White")</f>
        <v>Black and White</v>
      </c>
      <c r="R1004" s="150" t="str">
        <f>IFERROR(__xludf.DUMMYFUNCTION("""COMPUTED_VALUE"""),"Autopilot included")</f>
        <v>Autopilot included</v>
      </c>
      <c r="S1004" s="150" t="str">
        <f>IFERROR(__xludf.DUMMYFUNCTION("""COMPUTED_VALUE"""),"Loan")</f>
        <v>Loan</v>
      </c>
      <c r="T1004" s="136" t="str">
        <f>IFERROR(__xludf.DUMMYFUNCTION("""COMPUTED_VALUE"""),"Ford Mustang")</f>
        <v>Ford Mustang</v>
      </c>
      <c r="U1004" s="136" t="str">
        <f>IFERROR(__xludf.DUMMYFUNCTION("""COMPUTED_VALUE"""),"Electric!")</f>
        <v>Electric!</v>
      </c>
      <c r="V1004" s="136" t="str">
        <f>IFERROR(__xludf.DUMMYFUNCTION("""COMPUTED_VALUE"""),"Head-up display")</f>
        <v>Head-up display</v>
      </c>
      <c r="W1004" s="136" t="str">
        <f>IFERROR(__xludf.DUMMYFUNCTION("""COMPUTED_VALUE"""),"Complete all of the Pre-Delivery tasks ASAP. Including Financing.")</f>
        <v>Complete all of the Pre-Delivery tasks ASAP. Including Financing.</v>
      </c>
      <c r="X1004" s="137" t="str">
        <f>IFERROR(__xludf.DUMMYFUNCTION("""COMPUTED_VALUE"""),"Excellent")</f>
        <v>Excellent</v>
      </c>
      <c r="Y1004" s="138" t="str">
        <f>IFERROR(__xludf.DUMMYFUNCTION("""COMPUTED_VALUE"""),"Excellent")</f>
        <v>Excellent</v>
      </c>
      <c r="Z1004" s="138" t="str">
        <f>IFERROR(__xludf.DUMMYFUNCTION("""COMPUTED_VALUE"""),"Excellent")</f>
        <v>Excellent</v>
      </c>
      <c r="AA1004" s="138" t="str">
        <f>IFERROR(__xludf.DUMMYFUNCTION("""COMPUTED_VALUE"""),"Good")</f>
        <v>Good</v>
      </c>
      <c r="AB1004" s="138" t="str">
        <f>IFERROR(__xludf.DUMMYFUNCTION("""COMPUTED_VALUE"""),"Excellent")</f>
        <v>Excellent</v>
      </c>
      <c r="AC1004" s="139">
        <f>IFERROR(__xludf.DUMMYFUNCTION("""COMPUTED_VALUE"""),0.0)</f>
        <v>0</v>
      </c>
      <c r="AD1004" s="139">
        <f>IFERROR(__xludf.DUMMYFUNCTION("""COMPUTED_VALUE"""),0.0)</f>
        <v>0</v>
      </c>
      <c r="AE1004" s="139">
        <f>IFERROR(__xludf.DUMMYFUNCTION("""COMPUTED_VALUE"""),0.0)</f>
        <v>0</v>
      </c>
      <c r="AF1004" s="140" t="str">
        <f>IFERROR(__xludf.DUMMYFUNCTION("""COMPUTED_VALUE"""),"No. I took delivery of the first car Tesla was able to deliver.")</f>
        <v>No. I took delivery of the first car Tesla was able to deliver.</v>
      </c>
      <c r="AG1004" s="136"/>
      <c r="AH1004" s="157">
        <f>IFERROR(__xludf.DUMMYFUNCTION("""COMPUTED_VALUE"""),44284.47940818287)</f>
        <v>44284.47941</v>
      </c>
      <c r="AI1004" s="138"/>
      <c r="AJ1004" s="138"/>
      <c r="AK1004" s="138"/>
      <c r="AL1004" s="142"/>
    </row>
    <row r="1005" ht="20.25" customHeight="1">
      <c r="A1005" s="155" t="str">
        <f>IFERROR(__xludf.DUMMYFUNCTION("""COMPUTED_VALUE"""),"mikeyspikey")</f>
        <v>mikeyspikey</v>
      </c>
      <c r="B1005" s="149" t="str">
        <f>IFERROR(__xludf.DUMMYFUNCTION("""COMPUTED_VALUE"""),"Los Angeles")</f>
        <v>Los Angeles</v>
      </c>
      <c r="C1005" s="149" t="str">
        <f>IFERROR(__xludf.DUMMYFUNCTION("""COMPUTED_VALUE"""),"CA")</f>
        <v>CA</v>
      </c>
      <c r="D1005" s="149" t="str">
        <f>IFERROR(__xludf.DUMMYFUNCTION("""COMPUTED_VALUE"""),"USA")</f>
        <v>USA</v>
      </c>
      <c r="E1005" s="156">
        <f>IFERROR(__xludf.DUMMYFUNCTION("""COMPUTED_VALUE"""),44218.0)</f>
        <v>44218</v>
      </c>
      <c r="F1005" s="129">
        <f>IFERROR(__xludf.DUMMYFUNCTION("""COMPUTED_VALUE"""),44270.0)</f>
        <v>44270</v>
      </c>
      <c r="G1005" s="154" t="str">
        <f>IFERROR(__xludf.DUMMYFUNCTION("""COMPUTED_VALUE"""),"Manage order page (normal text)")</f>
        <v>Manage order page (normal text)</v>
      </c>
      <c r="H1005" s="131">
        <f>IFERROR(__xludf.DUMMYFUNCTION("""COMPUTED_VALUE"""),926055.0)</f>
        <v>926055</v>
      </c>
      <c r="I1005" s="132"/>
      <c r="J1005" s="129">
        <f>IFERROR(__xludf.DUMMYFUNCTION("""COMPUTED_VALUE"""),44272.0)</f>
        <v>44272</v>
      </c>
      <c r="K1005" s="133">
        <f>IFERROR(__xludf.DUMMYFUNCTION("""COMPUTED_VALUE"""),52.0)</f>
        <v>52</v>
      </c>
      <c r="L1005" s="133">
        <f>IFERROR(__xludf.DUMMYFUNCTION("""COMPUTED_VALUE"""),2.0)</f>
        <v>2</v>
      </c>
      <c r="M1005" s="133">
        <f>IFERROR(__xludf.DUMMYFUNCTION("""COMPUTED_VALUE"""),54.0)</f>
        <v>54</v>
      </c>
      <c r="N1005" s="152" t="str">
        <f>IFERROR(__xludf.DUMMYFUNCTION("""COMPUTED_VALUE"""),"Model 3 Performance")</f>
        <v>Model 3 Performance</v>
      </c>
      <c r="O1005" s="152" t="str">
        <f>IFERROR(__xludf.DUMMYFUNCTION("""COMPUTED_VALUE"""),"Solid Black")</f>
        <v>Solid Black</v>
      </c>
      <c r="P1005" s="153" t="str">
        <f>IFERROR(__xludf.DUMMYFUNCTION("""COMPUTED_VALUE"""),"20 inch")</f>
        <v>20 inch</v>
      </c>
      <c r="Q1005" s="152" t="str">
        <f>IFERROR(__xludf.DUMMYFUNCTION("""COMPUTED_VALUE"""),"All Black")</f>
        <v>All Black</v>
      </c>
      <c r="R1005" s="150" t="str">
        <f>IFERROR(__xludf.DUMMYFUNCTION("""COMPUTED_VALUE"""),"Autopilot included")</f>
        <v>Autopilot included</v>
      </c>
      <c r="S1005" s="150" t="str">
        <f>IFERROR(__xludf.DUMMYFUNCTION("""COMPUTED_VALUE"""),"Lease")</f>
        <v>Lease</v>
      </c>
      <c r="T1005" s="136" t="str">
        <f>IFERROR(__xludf.DUMMYFUNCTION("""COMPUTED_VALUE"""),"BMW X4 M40i")</f>
        <v>BMW X4 M40i</v>
      </c>
      <c r="U1005" s="136" t="str">
        <f>IFERROR(__xludf.DUMMYFUNCTION("""COMPUTED_VALUE"""),"Autopilot")</f>
        <v>Autopilot</v>
      </c>
      <c r="V1005" s="136" t="str">
        <f>IFERROR(__xludf.DUMMYFUNCTION("""COMPUTED_VALUE"""),"Head-up display")</f>
        <v>Head-up display</v>
      </c>
      <c r="W1005" s="136"/>
      <c r="X1005" s="137" t="str">
        <f>IFERROR(__xludf.DUMMYFUNCTION("""COMPUTED_VALUE"""),"Very Good")</f>
        <v>Very Good</v>
      </c>
      <c r="Y1005" s="138" t="str">
        <f>IFERROR(__xludf.DUMMYFUNCTION("""COMPUTED_VALUE"""),"Very Good")</f>
        <v>Very Good</v>
      </c>
      <c r="Z1005" s="138" t="str">
        <f>IFERROR(__xludf.DUMMYFUNCTION("""COMPUTED_VALUE"""),"Fair")</f>
        <v>Fair</v>
      </c>
      <c r="AA1005" s="138" t="str">
        <f>IFERROR(__xludf.DUMMYFUNCTION("""COMPUTED_VALUE"""),"Very Good")</f>
        <v>Very Good</v>
      </c>
      <c r="AB1005" s="138" t="str">
        <f>IFERROR(__xludf.DUMMYFUNCTION("""COMPUTED_VALUE"""),"Excellent")</f>
        <v>Excellent</v>
      </c>
      <c r="AC1005" s="139"/>
      <c r="AD1005" s="139"/>
      <c r="AE1005" s="139"/>
      <c r="AF1005" s="140" t="str">
        <f>IFERROR(__xludf.DUMMYFUNCTION("""COMPUTED_VALUE"""),"No. I took delivery of the first car Tesla was able to deliver.")</f>
        <v>No. I took delivery of the first car Tesla was able to deliver.</v>
      </c>
      <c r="AG1005" s="136"/>
      <c r="AH1005" s="157">
        <f>IFERROR(__xludf.DUMMYFUNCTION("""COMPUTED_VALUE"""),44278.39363600695)</f>
        <v>44278.39364</v>
      </c>
      <c r="AI1005" s="138"/>
      <c r="AJ1005" s="138"/>
      <c r="AK1005" s="138"/>
      <c r="AL1005" s="142"/>
    </row>
    <row r="1006" ht="20.25" customHeight="1">
      <c r="A1006" s="155" t="str">
        <f>IFERROR(__xludf.DUMMYFUNCTION("""COMPUTED_VALUE"""),"Supatony")</f>
        <v>Supatony</v>
      </c>
      <c r="B1006" s="149" t="str">
        <f>IFERROR(__xludf.DUMMYFUNCTION("""COMPUTED_VALUE"""),"Costa Mesa")</f>
        <v>Costa Mesa</v>
      </c>
      <c r="C1006" s="149" t="str">
        <f>IFERROR(__xludf.DUMMYFUNCTION("""COMPUTED_VALUE"""),"CA")</f>
        <v>CA</v>
      </c>
      <c r="D1006" s="149" t="str">
        <f>IFERROR(__xludf.DUMMYFUNCTION("""COMPUTED_VALUE"""),"USA")</f>
        <v>USA</v>
      </c>
      <c r="E1006" s="156">
        <f>IFERROR(__xludf.DUMMYFUNCTION("""COMPUTED_VALUE"""),44218.0)</f>
        <v>44218</v>
      </c>
      <c r="F1006" s="129">
        <f>IFERROR(__xludf.DUMMYFUNCTION("""COMPUTED_VALUE"""),44269.0)</f>
        <v>44269</v>
      </c>
      <c r="G1006" s="154" t="str">
        <f>IFERROR(__xludf.DUMMYFUNCTION("""COMPUTED_VALUE"""),"Manage order page (normal text)")</f>
        <v>Manage order page (normal text)</v>
      </c>
      <c r="H1006" s="131">
        <f>IFERROR(__xludf.DUMMYFUNCTION("""COMPUTED_VALUE"""),924155.0)</f>
        <v>924155</v>
      </c>
      <c r="I1006" s="144" t="str">
        <f>IFERROR(__xludf.DUMMYFUNCTION("""COMPUTED_VALUE"""),"03/21")</f>
        <v>03/21</v>
      </c>
      <c r="J1006" s="129">
        <f>IFERROR(__xludf.DUMMYFUNCTION("""COMPUTED_VALUE"""),44271.0)</f>
        <v>44271</v>
      </c>
      <c r="K1006" s="133">
        <f>IFERROR(__xludf.DUMMYFUNCTION("""COMPUTED_VALUE"""),51.0)</f>
        <v>51</v>
      </c>
      <c r="L1006" s="133">
        <f>IFERROR(__xludf.DUMMYFUNCTION("""COMPUTED_VALUE"""),2.0)</f>
        <v>2</v>
      </c>
      <c r="M1006" s="133">
        <f>IFERROR(__xludf.DUMMYFUNCTION("""COMPUTED_VALUE"""),53.0)</f>
        <v>53</v>
      </c>
      <c r="N1006" s="152" t="str">
        <f>IFERROR(__xludf.DUMMYFUNCTION("""COMPUTED_VALUE"""),"Model 3 LR AWD")</f>
        <v>Model 3 LR AWD</v>
      </c>
      <c r="O1006" s="152" t="str">
        <f>IFERROR(__xludf.DUMMYFUNCTION("""COMPUTED_VALUE"""),"Pearl White Multi-Coat")</f>
        <v>Pearl White Multi-Coat</v>
      </c>
      <c r="P1006" s="153" t="str">
        <f>IFERROR(__xludf.DUMMYFUNCTION("""COMPUTED_VALUE"""),"18 inch")</f>
        <v>18 inch</v>
      </c>
      <c r="Q1006" s="152" t="str">
        <f>IFERROR(__xludf.DUMMYFUNCTION("""COMPUTED_VALUE"""),"All Black")</f>
        <v>All Black</v>
      </c>
      <c r="R1006" s="149" t="str">
        <f>IFERROR(__xludf.DUMMYFUNCTION("""COMPUTED_VALUE"""),"Autopilot included")</f>
        <v>Autopilot included</v>
      </c>
      <c r="S1006" s="149" t="str">
        <f>IFERROR(__xludf.DUMMYFUNCTION("""COMPUTED_VALUE"""),"Loan")</f>
        <v>Loan</v>
      </c>
      <c r="T1006" s="145" t="str">
        <f>IFERROR(__xludf.DUMMYFUNCTION("""COMPUTED_VALUE"""),"Chevy Volt")</f>
        <v>Chevy Volt</v>
      </c>
      <c r="U1006" s="145" t="str">
        <f>IFERROR(__xludf.DUMMYFUNCTION("""COMPUTED_VALUE"""),"Electric!")</f>
        <v>Electric!</v>
      </c>
      <c r="V1006" s="145" t="str">
        <f>IFERROR(__xludf.DUMMYFUNCTION("""COMPUTED_VALUE"""),"HomeLink")</f>
        <v>HomeLink</v>
      </c>
      <c r="W1006" s="145"/>
      <c r="X1006" s="137" t="str">
        <f>IFERROR(__xludf.DUMMYFUNCTION("""COMPUTED_VALUE"""),"Fair")</f>
        <v>Fair</v>
      </c>
      <c r="Y1006" s="138" t="str">
        <f>IFERROR(__xludf.DUMMYFUNCTION("""COMPUTED_VALUE"""),"Fair")</f>
        <v>Fair</v>
      </c>
      <c r="Z1006" s="138" t="str">
        <f>IFERROR(__xludf.DUMMYFUNCTION("""COMPUTED_VALUE"""),"Fair")</f>
        <v>Fair</v>
      </c>
      <c r="AA1006" s="138" t="str">
        <f>IFERROR(__xludf.DUMMYFUNCTION("""COMPUTED_VALUE"""),"Fair")</f>
        <v>Fair</v>
      </c>
      <c r="AB1006" s="138" t="str">
        <f>IFERROR(__xludf.DUMMYFUNCTION("""COMPUTED_VALUE"""),"Very Good")</f>
        <v>Very Good</v>
      </c>
      <c r="AC1006" s="139">
        <f>IFERROR(__xludf.DUMMYFUNCTION("""COMPUTED_VALUE"""),8.0)</f>
        <v>8</v>
      </c>
      <c r="AD1006" s="139">
        <f>IFERROR(__xludf.DUMMYFUNCTION("""COMPUTED_VALUE"""),4.0)</f>
        <v>4</v>
      </c>
      <c r="AE1006" s="139">
        <f>IFERROR(__xludf.DUMMYFUNCTION("""COMPUTED_VALUE"""),3.0)</f>
        <v>3</v>
      </c>
      <c r="AF1006" s="140" t="str">
        <f>IFERROR(__xludf.DUMMYFUNCTION("""COMPUTED_VALUE"""),"No. I took delivery of the first car Tesla was able to deliver.")</f>
        <v>No. I took delivery of the first car Tesla was able to deliver.</v>
      </c>
      <c r="AG1006" s="136"/>
      <c r="AH1006" s="157">
        <f>IFERROR(__xludf.DUMMYFUNCTION("""COMPUTED_VALUE"""),44285.460981041666)</f>
        <v>44285.46098</v>
      </c>
      <c r="AI1006" s="138"/>
      <c r="AJ1006" s="138"/>
      <c r="AK1006" s="138"/>
      <c r="AL1006" s="142"/>
    </row>
    <row r="1007" ht="20.25" customHeight="1">
      <c r="A1007" s="155" t="str">
        <f>IFERROR(__xludf.DUMMYFUNCTION("""COMPUTED_VALUE"""),"Ericb31415")</f>
        <v>Ericb31415</v>
      </c>
      <c r="B1007" s="149" t="str">
        <f>IFERROR(__xludf.DUMMYFUNCTION("""COMPUTED_VALUE"""),"Dayton ")</f>
        <v>Dayton </v>
      </c>
      <c r="C1007" s="149" t="str">
        <f>IFERROR(__xludf.DUMMYFUNCTION("""COMPUTED_VALUE"""),"OH")</f>
        <v>OH</v>
      </c>
      <c r="D1007" s="149" t="str">
        <f>IFERROR(__xludf.DUMMYFUNCTION("""COMPUTED_VALUE"""),"USA")</f>
        <v>USA</v>
      </c>
      <c r="E1007" s="156">
        <f>IFERROR(__xludf.DUMMYFUNCTION("""COMPUTED_VALUE"""),44217.0)</f>
        <v>44217</v>
      </c>
      <c r="F1007" s="129">
        <f>IFERROR(__xludf.DUMMYFUNCTION("""COMPUTED_VALUE"""),44271.0)</f>
        <v>44271</v>
      </c>
      <c r="G1007" s="154" t="str">
        <f>IFERROR(__xludf.DUMMYFUNCTION("""COMPUTED_VALUE"""),"Manage order page (normal text)")</f>
        <v>Manage order page (normal text)</v>
      </c>
      <c r="H1007" s="131">
        <f>IFERROR(__xludf.DUMMYFUNCTION("""COMPUTED_VALUE"""),914155.0)</f>
        <v>914155</v>
      </c>
      <c r="I1007" s="132" t="str">
        <f>IFERROR(__xludf.DUMMYFUNCTION("""COMPUTED_VALUE"""),"03/21")</f>
        <v>03/21</v>
      </c>
      <c r="J1007" s="129">
        <f>IFERROR(__xludf.DUMMYFUNCTION("""COMPUTED_VALUE"""),44276.0)</f>
        <v>44276</v>
      </c>
      <c r="K1007" s="133">
        <f>IFERROR(__xludf.DUMMYFUNCTION("""COMPUTED_VALUE"""),54.0)</f>
        <v>54</v>
      </c>
      <c r="L1007" s="133">
        <f>IFERROR(__xludf.DUMMYFUNCTION("""COMPUTED_VALUE"""),5.0)</f>
        <v>5</v>
      </c>
      <c r="M1007" s="133">
        <f>IFERROR(__xludf.DUMMYFUNCTION("""COMPUTED_VALUE"""),59.0)</f>
        <v>59</v>
      </c>
      <c r="N1007" s="152" t="str">
        <f>IFERROR(__xludf.DUMMYFUNCTION("""COMPUTED_VALUE"""),"Model 3 Performance")</f>
        <v>Model 3 Performance</v>
      </c>
      <c r="O1007" s="152" t="str">
        <f>IFERROR(__xludf.DUMMYFUNCTION("""COMPUTED_VALUE"""),"Deep Blue Metallic")</f>
        <v>Deep Blue Metallic</v>
      </c>
      <c r="P1007" s="153" t="str">
        <f>IFERROR(__xludf.DUMMYFUNCTION("""COMPUTED_VALUE"""),"20 inch")</f>
        <v>20 inch</v>
      </c>
      <c r="Q1007" s="152" t="str">
        <f>IFERROR(__xludf.DUMMYFUNCTION("""COMPUTED_VALUE"""),"All Black")</f>
        <v>All Black</v>
      </c>
      <c r="R1007" s="150" t="str">
        <f>IFERROR(__xludf.DUMMYFUNCTION("""COMPUTED_VALUE"""),"Autopilot included")</f>
        <v>Autopilot included</v>
      </c>
      <c r="S1007" s="150" t="str">
        <f>IFERROR(__xludf.DUMMYFUNCTION("""COMPUTED_VALUE"""),"Loan")</f>
        <v>Loan</v>
      </c>
      <c r="T1007" s="136" t="str">
        <f>IFERROR(__xludf.DUMMYFUNCTION("""COMPUTED_VALUE"""),"Subaru Crosstrek")</f>
        <v>Subaru Crosstrek</v>
      </c>
      <c r="U1007" s="136" t="str">
        <f>IFERROR(__xludf.DUMMYFUNCTION("""COMPUTED_VALUE"""),"Electric!")</f>
        <v>Electric!</v>
      </c>
      <c r="V1007" s="136" t="str">
        <f>IFERROR(__xludf.DUMMYFUNCTION("""COMPUTED_VALUE"""),"360° Bird's eye view")</f>
        <v>360° Bird's eye view</v>
      </c>
      <c r="W1007" s="136"/>
      <c r="X1007" s="137" t="str">
        <f>IFERROR(__xludf.DUMMYFUNCTION("""COMPUTED_VALUE"""),"Very Good")</f>
        <v>Very Good</v>
      </c>
      <c r="Y1007" s="138" t="str">
        <f>IFERROR(__xludf.DUMMYFUNCTION("""COMPUTED_VALUE"""),"Very Good")</f>
        <v>Very Good</v>
      </c>
      <c r="Z1007" s="138" t="str">
        <f>IFERROR(__xludf.DUMMYFUNCTION("""COMPUTED_VALUE"""),"Good")</f>
        <v>Good</v>
      </c>
      <c r="AA1007" s="138" t="str">
        <f>IFERROR(__xludf.DUMMYFUNCTION("""COMPUTED_VALUE"""),"Excellent")</f>
        <v>Excellent</v>
      </c>
      <c r="AB1007" s="138" t="str">
        <f>IFERROR(__xludf.DUMMYFUNCTION("""COMPUTED_VALUE"""),"Excellent")</f>
        <v>Excellent</v>
      </c>
      <c r="AC1007" s="139">
        <f>IFERROR(__xludf.DUMMYFUNCTION("""COMPUTED_VALUE"""),1.0)</f>
        <v>1</v>
      </c>
      <c r="AD1007" s="139"/>
      <c r="AE1007" s="139"/>
      <c r="AF1007" s="140" t="str">
        <f>IFERROR(__xludf.DUMMYFUNCTION("""COMPUTED_VALUE"""),"No. I took delivery of the first car Tesla was able to deliver.")</f>
        <v>No. I took delivery of the first car Tesla was able to deliver.</v>
      </c>
      <c r="AG1007" s="136"/>
      <c r="AH1007" s="157">
        <f>IFERROR(__xludf.DUMMYFUNCTION("""COMPUTED_VALUE"""),44276.70607980324)</f>
        <v>44276.70608</v>
      </c>
      <c r="AI1007" s="138"/>
      <c r="AJ1007" s="138"/>
      <c r="AK1007" s="138"/>
      <c r="AL1007" s="142"/>
    </row>
    <row r="1008" ht="20.25" customHeight="1">
      <c r="A1008" s="155" t="str">
        <f>IFERROR(__xludf.DUMMYFUNCTION("""COMPUTED_VALUE"""),"Mark57")</f>
        <v>Mark57</v>
      </c>
      <c r="B1008" s="149" t="str">
        <f>IFERROR(__xludf.DUMMYFUNCTION("""COMPUTED_VALUE"""),"OKC")</f>
        <v>OKC</v>
      </c>
      <c r="C1008" s="149" t="str">
        <f>IFERROR(__xludf.DUMMYFUNCTION("""COMPUTED_VALUE"""),"OK")</f>
        <v>OK</v>
      </c>
      <c r="D1008" s="149" t="str">
        <f>IFERROR(__xludf.DUMMYFUNCTION("""COMPUTED_VALUE"""),"USA")</f>
        <v>USA</v>
      </c>
      <c r="E1008" s="156">
        <f>IFERROR(__xludf.DUMMYFUNCTION("""COMPUTED_VALUE"""),44217.0)</f>
        <v>44217</v>
      </c>
      <c r="F1008" s="129">
        <f>IFERROR(__xludf.DUMMYFUNCTION("""COMPUTED_VALUE"""),44233.0)</f>
        <v>44233</v>
      </c>
      <c r="G1008" s="154" t="str">
        <f>IFERROR(__xludf.DUMMYFUNCTION("""COMPUTED_VALUE"""),"Email")</f>
        <v>Email</v>
      </c>
      <c r="H1008" s="131">
        <f>IFERROR(__xludf.DUMMYFUNCTION("""COMPUTED_VALUE"""),902355.0)</f>
        <v>902355</v>
      </c>
      <c r="I1008" s="132" t="str">
        <f>IFERROR(__xludf.DUMMYFUNCTION("""COMPUTED_VALUE"""),"02/21")</f>
        <v>02/21</v>
      </c>
      <c r="J1008" s="129">
        <f>IFERROR(__xludf.DUMMYFUNCTION("""COMPUTED_VALUE"""),44247.0)</f>
        <v>44247</v>
      </c>
      <c r="K1008" s="133">
        <f>IFERROR(__xludf.DUMMYFUNCTION("""COMPUTED_VALUE"""),16.0)</f>
        <v>16</v>
      </c>
      <c r="L1008" s="133">
        <f>IFERROR(__xludf.DUMMYFUNCTION("""COMPUTED_VALUE"""),14.0)</f>
        <v>14</v>
      </c>
      <c r="M1008" s="133">
        <f>IFERROR(__xludf.DUMMYFUNCTION("""COMPUTED_VALUE"""),30.0)</f>
        <v>30</v>
      </c>
      <c r="N1008" s="152" t="str">
        <f>IFERROR(__xludf.DUMMYFUNCTION("""COMPUTED_VALUE"""),"Model 3 LR AWD")</f>
        <v>Model 3 LR AWD</v>
      </c>
      <c r="O1008" s="152" t="str">
        <f>IFERROR(__xludf.DUMMYFUNCTION("""COMPUTED_VALUE"""),"Deep Blue Metallic")</f>
        <v>Deep Blue Metallic</v>
      </c>
      <c r="P1008" s="153" t="str">
        <f>IFERROR(__xludf.DUMMYFUNCTION("""COMPUTED_VALUE"""),"18 inch")</f>
        <v>18 inch</v>
      </c>
      <c r="Q1008" s="152" t="str">
        <f>IFERROR(__xludf.DUMMYFUNCTION("""COMPUTED_VALUE"""),"All Black")</f>
        <v>All Black</v>
      </c>
      <c r="R1008" s="150" t="str">
        <f>IFERROR(__xludf.DUMMYFUNCTION("""COMPUTED_VALUE"""),"Autopilot included")</f>
        <v>Autopilot included</v>
      </c>
      <c r="S1008" s="150" t="str">
        <f>IFERROR(__xludf.DUMMYFUNCTION("""COMPUTED_VALUE"""),"Cash")</f>
        <v>Cash</v>
      </c>
      <c r="T1008" s="136"/>
      <c r="U1008" s="136" t="str">
        <f>IFERROR(__xludf.DUMMYFUNCTION("""COMPUTED_VALUE"""),"Electric!")</f>
        <v>Electric!</v>
      </c>
      <c r="V1008" s="136" t="str">
        <f>IFERROR(__xludf.DUMMYFUNCTION("""COMPUTED_VALUE"""),"Air suspension")</f>
        <v>Air suspension</v>
      </c>
      <c r="W1008" s="136" t="str">
        <f>IFERROR(__xludf.DUMMYFUNCTION("""COMPUTED_VALUE"""),"Patience")</f>
        <v>Patience</v>
      </c>
      <c r="X1008" s="137" t="str">
        <f>IFERROR(__xludf.DUMMYFUNCTION("""COMPUTED_VALUE"""),"Excellent")</f>
        <v>Excellent</v>
      </c>
      <c r="Y1008" s="138" t="str">
        <f>IFERROR(__xludf.DUMMYFUNCTION("""COMPUTED_VALUE"""),"Excellent")</f>
        <v>Excellent</v>
      </c>
      <c r="Z1008" s="138" t="str">
        <f>IFERROR(__xludf.DUMMYFUNCTION("""COMPUTED_VALUE"""),"Excellent")</f>
        <v>Excellent</v>
      </c>
      <c r="AA1008" s="138" t="str">
        <f>IFERROR(__xludf.DUMMYFUNCTION("""COMPUTED_VALUE"""),"Excellent")</f>
        <v>Excellent</v>
      </c>
      <c r="AB1008" s="138" t="str">
        <f>IFERROR(__xludf.DUMMYFUNCTION("""COMPUTED_VALUE"""),"Excellent")</f>
        <v>Excellent</v>
      </c>
      <c r="AC1008" s="139">
        <f>IFERROR(__xludf.DUMMYFUNCTION("""COMPUTED_VALUE"""),0.0)</f>
        <v>0</v>
      </c>
      <c r="AD1008" s="139">
        <f>IFERROR(__xludf.DUMMYFUNCTION("""COMPUTED_VALUE"""),0.0)</f>
        <v>0</v>
      </c>
      <c r="AE1008" s="139">
        <f>IFERROR(__xludf.DUMMYFUNCTION("""COMPUTED_VALUE"""),0.0)</f>
        <v>0</v>
      </c>
      <c r="AF1008" s="140" t="str">
        <f>IFERROR(__xludf.DUMMYFUNCTION("""COMPUTED_VALUE"""),"No. I took delivery of the first car Tesla was able to deliver.")</f>
        <v>No. I took delivery of the first car Tesla was able to deliver.</v>
      </c>
      <c r="AG1008" s="136"/>
      <c r="AH1008" s="157">
        <f>IFERROR(__xludf.DUMMYFUNCTION("""COMPUTED_VALUE"""),44236.40671113426)</f>
        <v>44236.40671</v>
      </c>
      <c r="AI1008" s="138"/>
      <c r="AJ1008" s="138"/>
      <c r="AK1008" s="138"/>
      <c r="AL1008" s="142"/>
    </row>
    <row r="1009" ht="20.25" customHeight="1">
      <c r="A1009" s="155" t="str">
        <f>IFERROR(__xludf.DUMMYFUNCTION("""COMPUTED_VALUE"""),"SeaM3White2021")</f>
        <v>SeaM3White2021</v>
      </c>
      <c r="B1009" s="149" t="str">
        <f>IFERROR(__xludf.DUMMYFUNCTION("""COMPUTED_VALUE"""),"Seattle")</f>
        <v>Seattle</v>
      </c>
      <c r="C1009" s="149" t="str">
        <f>IFERROR(__xludf.DUMMYFUNCTION("""COMPUTED_VALUE"""),"WA")</f>
        <v>WA</v>
      </c>
      <c r="D1009" s="149" t="str">
        <f>IFERROR(__xludf.DUMMYFUNCTION("""COMPUTED_VALUE"""),"USA")</f>
        <v>USA</v>
      </c>
      <c r="E1009" s="156">
        <f>IFERROR(__xludf.DUMMYFUNCTION("""COMPUTED_VALUE"""),44217.0)</f>
        <v>44217</v>
      </c>
      <c r="F1009" s="129">
        <f>IFERROR(__xludf.DUMMYFUNCTION("""COMPUTED_VALUE"""),44271.0)</f>
        <v>44271</v>
      </c>
      <c r="G1009" s="154" t="str">
        <f>IFERROR(__xludf.DUMMYFUNCTION("""COMPUTED_VALUE"""),"Manage order page (normal text)")</f>
        <v>Manage order page (normal text)</v>
      </c>
      <c r="H1009" s="131">
        <f>IFERROR(__xludf.DUMMYFUNCTION("""COMPUTED_VALUE"""),927055.0)</f>
        <v>927055</v>
      </c>
      <c r="I1009" s="144" t="str">
        <f>IFERROR(__xludf.DUMMYFUNCTION("""COMPUTED_VALUE"""),"03/21")</f>
        <v>03/21</v>
      </c>
      <c r="J1009" s="129">
        <f>IFERROR(__xludf.DUMMYFUNCTION("""COMPUTED_VALUE"""),44274.0)</f>
        <v>44274</v>
      </c>
      <c r="K1009" s="133">
        <f>IFERROR(__xludf.DUMMYFUNCTION("""COMPUTED_VALUE"""),54.0)</f>
        <v>54</v>
      </c>
      <c r="L1009" s="133">
        <f>IFERROR(__xludf.DUMMYFUNCTION("""COMPUTED_VALUE"""),3.0)</f>
        <v>3</v>
      </c>
      <c r="M1009" s="133">
        <f>IFERROR(__xludf.DUMMYFUNCTION("""COMPUTED_VALUE"""),57.0)</f>
        <v>57</v>
      </c>
      <c r="N1009" s="152" t="str">
        <f>IFERROR(__xludf.DUMMYFUNCTION("""COMPUTED_VALUE"""),"Model 3 LR AWD")</f>
        <v>Model 3 LR AWD</v>
      </c>
      <c r="O1009" s="152" t="str">
        <f>IFERROR(__xludf.DUMMYFUNCTION("""COMPUTED_VALUE"""),"Pearl White Multi-Coat")</f>
        <v>Pearl White Multi-Coat</v>
      </c>
      <c r="P1009" s="153" t="str">
        <f>IFERROR(__xludf.DUMMYFUNCTION("""COMPUTED_VALUE"""),"18 inch")</f>
        <v>18 inch</v>
      </c>
      <c r="Q1009" s="152" t="str">
        <f>IFERROR(__xludf.DUMMYFUNCTION("""COMPUTED_VALUE"""),"Black and White")</f>
        <v>Black and White</v>
      </c>
      <c r="R1009" s="149" t="str">
        <f>IFERROR(__xludf.DUMMYFUNCTION("""COMPUTED_VALUE"""),"Autopilot included")</f>
        <v>Autopilot included</v>
      </c>
      <c r="S1009" s="149" t="str">
        <f>IFERROR(__xludf.DUMMYFUNCTION("""COMPUTED_VALUE"""),"Cash")</f>
        <v>Cash</v>
      </c>
      <c r="T1009" s="145" t="str">
        <f>IFERROR(__xludf.DUMMYFUNCTION("""COMPUTED_VALUE"""),"Chevy Bolt")</f>
        <v>Chevy Bolt</v>
      </c>
      <c r="U1009" s="145" t="str">
        <f>IFERROR(__xludf.DUMMYFUNCTION("""COMPUTED_VALUE"""),"Range")</f>
        <v>Range</v>
      </c>
      <c r="V1009" s="145" t="str">
        <f>IFERROR(__xludf.DUMMYFUNCTION("""COMPUTED_VALUE"""),"Heated steering wheel")</f>
        <v>Heated steering wheel</v>
      </c>
      <c r="W1009" s="145" t="str">
        <f>IFERROR(__xludf.DUMMYFUNCTION("""COMPUTED_VALUE"""),"you can adjust your frunk and trunk yourself if you are inclined.  Be aware of the easy adjustments you can make.  ")</f>
        <v>you can adjust your frunk and trunk yourself if you are inclined.  Be aware of the easy adjustments you can make.  </v>
      </c>
      <c r="X1009" s="137" t="str">
        <f>IFERROR(__xludf.DUMMYFUNCTION("""COMPUTED_VALUE"""),"Very Good")</f>
        <v>Very Good</v>
      </c>
      <c r="Y1009" s="138" t="str">
        <f>IFERROR(__xludf.DUMMYFUNCTION("""COMPUTED_VALUE"""),"Excellent")</f>
        <v>Excellent</v>
      </c>
      <c r="Z1009" s="138" t="str">
        <f>IFERROR(__xludf.DUMMYFUNCTION("""COMPUTED_VALUE"""),"Excellent")</f>
        <v>Excellent</v>
      </c>
      <c r="AA1009" s="138" t="str">
        <f>IFERROR(__xludf.DUMMYFUNCTION("""COMPUTED_VALUE"""),"Excellent")</f>
        <v>Excellent</v>
      </c>
      <c r="AB1009" s="138" t="str">
        <f>IFERROR(__xludf.DUMMYFUNCTION("""COMPUTED_VALUE"""),"Very Good")</f>
        <v>Very Good</v>
      </c>
      <c r="AC1009" s="139">
        <f>IFERROR(__xludf.DUMMYFUNCTION("""COMPUTED_VALUE"""),1.0)</f>
        <v>1</v>
      </c>
      <c r="AD1009" s="139">
        <f>IFERROR(__xludf.DUMMYFUNCTION("""COMPUTED_VALUE"""),0.0)</f>
        <v>0</v>
      </c>
      <c r="AE1009" s="139">
        <f>IFERROR(__xludf.DUMMYFUNCTION("""COMPUTED_VALUE"""),0.0)</f>
        <v>0</v>
      </c>
      <c r="AF1009" s="140" t="str">
        <f>IFERROR(__xludf.DUMMYFUNCTION("""COMPUTED_VALUE"""),"No. I took delivery of the first car Tesla was able to deliver.")</f>
        <v>No. I took delivery of the first car Tesla was able to deliver.</v>
      </c>
      <c r="AG1009" s="145" t="str">
        <f>IFERROR(__xludf.DUMMYFUNCTION("""COMPUTED_VALUE"""),"Be aware of the current workarounds for accessing Google services for YouTube, etc.. ")</f>
        <v>Be aware of the current workarounds for accessing Google services for YouTube, etc.. </v>
      </c>
      <c r="AH1009" s="157">
        <f>IFERROR(__xludf.DUMMYFUNCTION("""COMPUTED_VALUE"""),44277.463324212964)</f>
        <v>44277.46332</v>
      </c>
      <c r="AI1009" s="138"/>
      <c r="AJ1009" s="138"/>
      <c r="AK1009" s="138"/>
      <c r="AL1009" s="142"/>
    </row>
    <row r="1010" ht="20.25" customHeight="1">
      <c r="A1010" s="155" t="str">
        <f>IFERROR(__xludf.DUMMYFUNCTION("""COMPUTED_VALUE"""),"M3PGUY15 ")</f>
        <v>M3PGUY15 </v>
      </c>
      <c r="B1010" s="149" t="str">
        <f>IFERROR(__xludf.DUMMYFUNCTION("""COMPUTED_VALUE"""),"Santa Clarita")</f>
        <v>Santa Clarita</v>
      </c>
      <c r="C1010" s="149" t="str">
        <f>IFERROR(__xludf.DUMMYFUNCTION("""COMPUTED_VALUE"""),"CA")</f>
        <v>CA</v>
      </c>
      <c r="D1010" s="149" t="str">
        <f>IFERROR(__xludf.DUMMYFUNCTION("""COMPUTED_VALUE"""),"USA")</f>
        <v>USA</v>
      </c>
      <c r="E1010" s="156">
        <f>IFERROR(__xludf.DUMMYFUNCTION("""COMPUTED_VALUE"""),44216.0)</f>
        <v>44216</v>
      </c>
      <c r="F1010" s="129">
        <f>IFERROR(__xludf.DUMMYFUNCTION("""COMPUTED_VALUE"""),44281.0)</f>
        <v>44281</v>
      </c>
      <c r="G1010" s="154" t="str">
        <f>IFERROR(__xludf.DUMMYFUNCTION("""COMPUTED_VALUE"""),"Manage order page (normal text)")</f>
        <v>Manage order page (normal text)</v>
      </c>
      <c r="H1010" s="131">
        <f>IFERROR(__xludf.DUMMYFUNCTION("""COMPUTED_VALUE"""),935779.0)</f>
        <v>935779</v>
      </c>
      <c r="I1010" s="144" t="str">
        <f>IFERROR(__xludf.DUMMYFUNCTION("""COMPUTED_VALUE"""),"03/21")</f>
        <v>03/21</v>
      </c>
      <c r="J1010" s="129">
        <f>IFERROR(__xludf.DUMMYFUNCTION("""COMPUTED_VALUE"""),44282.0)</f>
        <v>44282</v>
      </c>
      <c r="K1010" s="133">
        <f>IFERROR(__xludf.DUMMYFUNCTION("""COMPUTED_VALUE"""),65.0)</f>
        <v>65</v>
      </c>
      <c r="L1010" s="133">
        <f>IFERROR(__xludf.DUMMYFUNCTION("""COMPUTED_VALUE"""),1.0)</f>
        <v>1</v>
      </c>
      <c r="M1010" s="133">
        <f>IFERROR(__xludf.DUMMYFUNCTION("""COMPUTED_VALUE"""),66.0)</f>
        <v>66</v>
      </c>
      <c r="N1010" s="152" t="str">
        <f>IFERROR(__xludf.DUMMYFUNCTION("""COMPUTED_VALUE"""),"Model 3 Performance")</f>
        <v>Model 3 Performance</v>
      </c>
      <c r="O1010" s="152" t="str">
        <f>IFERROR(__xludf.DUMMYFUNCTION("""COMPUTED_VALUE"""),"Midnight Silver Metallic")</f>
        <v>Midnight Silver Metallic</v>
      </c>
      <c r="P1010" s="153" t="str">
        <f>IFERROR(__xludf.DUMMYFUNCTION("""COMPUTED_VALUE"""),"20 inch")</f>
        <v>20 inch</v>
      </c>
      <c r="Q1010" s="152" t="str">
        <f>IFERROR(__xludf.DUMMYFUNCTION("""COMPUTED_VALUE"""),"All Black")</f>
        <v>All Black</v>
      </c>
      <c r="R1010" s="149" t="str">
        <f>IFERROR(__xludf.DUMMYFUNCTION("""COMPUTED_VALUE"""),"Autopilot included")</f>
        <v>Autopilot included</v>
      </c>
      <c r="S1010" s="149" t="str">
        <f>IFERROR(__xludf.DUMMYFUNCTION("""COMPUTED_VALUE"""),"Loan")</f>
        <v>Loan</v>
      </c>
      <c r="T1010" s="145" t="str">
        <f>IFERROR(__xludf.DUMMYFUNCTION("""COMPUTED_VALUE"""),"Honda Civic")</f>
        <v>Honda Civic</v>
      </c>
      <c r="U1010" s="145" t="str">
        <f>IFERROR(__xludf.DUMMYFUNCTION("""COMPUTED_VALUE"""),"Electric!")</f>
        <v>Electric!</v>
      </c>
      <c r="V1010" s="145" t="str">
        <f>IFERROR(__xludf.DUMMYFUNCTION("""COMPUTED_VALUE"""),"Dashboard")</f>
        <v>Dashboard</v>
      </c>
      <c r="W1010" s="145"/>
      <c r="X1010" s="158" t="str">
        <f>IFERROR(__xludf.DUMMYFUNCTION("""COMPUTED_VALUE"""),"Excellent")</f>
        <v>Excellent</v>
      </c>
      <c r="Y1010" s="138" t="str">
        <f>IFERROR(__xludf.DUMMYFUNCTION("""COMPUTED_VALUE"""),"Excellent")</f>
        <v>Excellent</v>
      </c>
      <c r="Z1010" s="138" t="str">
        <f>IFERROR(__xludf.DUMMYFUNCTION("""COMPUTED_VALUE"""),"Very Good")</f>
        <v>Very Good</v>
      </c>
      <c r="AA1010" s="138" t="str">
        <f>IFERROR(__xludf.DUMMYFUNCTION("""COMPUTED_VALUE"""),"Good")</f>
        <v>Good</v>
      </c>
      <c r="AB1010" s="138" t="str">
        <f>IFERROR(__xludf.DUMMYFUNCTION("""COMPUTED_VALUE"""),"Excellent")</f>
        <v>Excellent</v>
      </c>
      <c r="AC1010" s="139">
        <f>IFERROR(__xludf.DUMMYFUNCTION("""COMPUTED_VALUE"""),4.0)</f>
        <v>4</v>
      </c>
      <c r="AD1010" s="139"/>
      <c r="AE1010" s="139"/>
      <c r="AF1010" s="140"/>
      <c r="AG1010" s="145"/>
      <c r="AH1010" s="157">
        <f>IFERROR(__xludf.DUMMYFUNCTION("""COMPUTED_VALUE"""),44283.88488875)</f>
        <v>44283.88489</v>
      </c>
      <c r="AI1010" s="138"/>
      <c r="AJ1010" s="138"/>
      <c r="AK1010" s="138"/>
      <c r="AL1010" s="142"/>
    </row>
    <row r="1011" ht="20.25" customHeight="1">
      <c r="A1011" s="155" t="str">
        <f>IFERROR(__xludf.DUMMYFUNCTION("""COMPUTED_VALUE"""),"Conflicted")</f>
        <v>Conflicted</v>
      </c>
      <c r="B1011" s="149" t="str">
        <f>IFERROR(__xludf.DUMMYFUNCTION("""COMPUTED_VALUE"""),"Austin")</f>
        <v>Austin</v>
      </c>
      <c r="C1011" s="149" t="str">
        <f>IFERROR(__xludf.DUMMYFUNCTION("""COMPUTED_VALUE"""),"TX")</f>
        <v>TX</v>
      </c>
      <c r="D1011" s="149" t="str">
        <f>IFERROR(__xludf.DUMMYFUNCTION("""COMPUTED_VALUE"""),"USA")</f>
        <v>USA</v>
      </c>
      <c r="E1011" s="156">
        <f>IFERROR(__xludf.DUMMYFUNCTION("""COMPUTED_VALUE"""),44214.0)</f>
        <v>44214</v>
      </c>
      <c r="F1011" s="129">
        <f>IFERROR(__xludf.DUMMYFUNCTION("""COMPUTED_VALUE"""),44214.0)</f>
        <v>44214</v>
      </c>
      <c r="G1011" s="154" t="str">
        <f>IFERROR(__xludf.DUMMYFUNCTION("""COMPUTED_VALUE"""),"Text message")</f>
        <v>Text message</v>
      </c>
      <c r="H1011" s="131">
        <f>IFERROR(__xludf.DUMMYFUNCTION("""COMPUTED_VALUE"""),871155.0)</f>
        <v>871155</v>
      </c>
      <c r="I1011" s="144"/>
      <c r="J1011" s="129">
        <f>IFERROR(__xludf.DUMMYFUNCTION("""COMPUTED_VALUE"""),44229.0)</f>
        <v>44229</v>
      </c>
      <c r="K1011" s="133">
        <f>IFERROR(__xludf.DUMMYFUNCTION("""COMPUTED_VALUE"""),0.0)</f>
        <v>0</v>
      </c>
      <c r="L1011" s="133">
        <f>IFERROR(__xludf.DUMMYFUNCTION("""COMPUTED_VALUE"""),15.0)</f>
        <v>15</v>
      </c>
      <c r="M1011" s="133">
        <f>IFERROR(__xludf.DUMMYFUNCTION("""COMPUTED_VALUE"""),15.0)</f>
        <v>15</v>
      </c>
      <c r="N1011" s="152" t="str">
        <f>IFERROR(__xludf.DUMMYFUNCTION("""COMPUTED_VALUE"""),"Model 3 SR+")</f>
        <v>Model 3 SR+</v>
      </c>
      <c r="O1011" s="152" t="str">
        <f>IFERROR(__xludf.DUMMYFUNCTION("""COMPUTED_VALUE"""),"Deep Blue Metallic")</f>
        <v>Deep Blue Metallic</v>
      </c>
      <c r="P1011" s="153" t="str">
        <f>IFERROR(__xludf.DUMMYFUNCTION("""COMPUTED_VALUE"""),"18 inch")</f>
        <v>18 inch</v>
      </c>
      <c r="Q1011" s="152" t="str">
        <f>IFERROR(__xludf.DUMMYFUNCTION("""COMPUTED_VALUE"""),"Black and White")</f>
        <v>Black and White</v>
      </c>
      <c r="R1011" s="149" t="str">
        <f>IFERROR(__xludf.DUMMYFUNCTION("""COMPUTED_VALUE"""),"Autopilot included")</f>
        <v>Autopilot included</v>
      </c>
      <c r="S1011" s="149" t="str">
        <f>IFERROR(__xludf.DUMMYFUNCTION("""COMPUTED_VALUE"""),"Loan")</f>
        <v>Loan</v>
      </c>
      <c r="T1011" s="145" t="str">
        <f>IFERROR(__xludf.DUMMYFUNCTION("""COMPUTED_VALUE"""),"Hyundai Accent")</f>
        <v>Hyundai Accent</v>
      </c>
      <c r="U1011" s="145" t="str">
        <f>IFERROR(__xludf.DUMMYFUNCTION("""COMPUTED_VALUE"""),"Technology")</f>
        <v>Technology</v>
      </c>
      <c r="V1011" s="145" t="str">
        <f>IFERROR(__xludf.DUMMYFUNCTION("""COMPUTED_VALUE"""),"Blind spot indicators on side mirrors")</f>
        <v>Blind spot indicators on side mirrors</v>
      </c>
      <c r="W1011" s="145"/>
      <c r="X1011" s="137" t="str">
        <f>IFERROR(__xludf.DUMMYFUNCTION("""COMPUTED_VALUE"""),"Excellent")</f>
        <v>Excellent</v>
      </c>
      <c r="Y1011" s="138" t="str">
        <f>IFERROR(__xludf.DUMMYFUNCTION("""COMPUTED_VALUE"""),"Excellent")</f>
        <v>Excellent</v>
      </c>
      <c r="Z1011" s="138" t="str">
        <f>IFERROR(__xludf.DUMMYFUNCTION("""COMPUTED_VALUE"""),"Excellent")</f>
        <v>Excellent</v>
      </c>
      <c r="AA1011" s="138" t="str">
        <f>IFERROR(__xludf.DUMMYFUNCTION("""COMPUTED_VALUE"""),"Excellent")</f>
        <v>Excellent</v>
      </c>
      <c r="AB1011" s="138" t="str">
        <f>IFERROR(__xludf.DUMMYFUNCTION("""COMPUTED_VALUE"""),"Excellent")</f>
        <v>Excellent</v>
      </c>
      <c r="AC1011" s="139">
        <f>IFERROR(__xludf.DUMMYFUNCTION("""COMPUTED_VALUE"""),0.0)</f>
        <v>0</v>
      </c>
      <c r="AD1011" s="139">
        <f>IFERROR(__xludf.DUMMYFUNCTION("""COMPUTED_VALUE"""),0.0)</f>
        <v>0</v>
      </c>
      <c r="AE1011" s="139"/>
      <c r="AF1011" s="140" t="str">
        <f>IFERROR(__xludf.DUMMYFUNCTION("""COMPUTED_VALUE"""),"No. I took delivery of the first car Tesla was able to deliver.")</f>
        <v>No. I took delivery of the first car Tesla was able to deliver.</v>
      </c>
      <c r="AG1011" s="145"/>
      <c r="AH1011" s="157">
        <f>IFERROR(__xludf.DUMMYFUNCTION("""COMPUTED_VALUE"""),44229.78224591435)</f>
        <v>44229.78225</v>
      </c>
      <c r="AI1011" s="138"/>
      <c r="AJ1011" s="138"/>
      <c r="AK1011" s="138"/>
      <c r="AL1011" s="142"/>
    </row>
    <row r="1012" ht="20.25" customHeight="1">
      <c r="A1012" s="155" t="str">
        <f>IFERROR(__xludf.DUMMYFUNCTION("""COMPUTED_VALUE"""),"xt0000")</f>
        <v>xt0000</v>
      </c>
      <c r="B1012" s="149" t="str">
        <f>IFERROR(__xludf.DUMMYFUNCTION("""COMPUTED_VALUE"""),"Toronto")</f>
        <v>Toronto</v>
      </c>
      <c r="C1012" s="149" t="str">
        <f>IFERROR(__xludf.DUMMYFUNCTION("""COMPUTED_VALUE"""),"ON")</f>
        <v>ON</v>
      </c>
      <c r="D1012" s="149" t="str">
        <f>IFERROR(__xludf.DUMMYFUNCTION("""COMPUTED_VALUE"""),"Canada")</f>
        <v>Canada</v>
      </c>
      <c r="E1012" s="156">
        <f>IFERROR(__xludf.DUMMYFUNCTION("""COMPUTED_VALUE"""),44214.0)</f>
        <v>44214</v>
      </c>
      <c r="F1012" s="129">
        <f>IFERROR(__xludf.DUMMYFUNCTION("""COMPUTED_VALUE"""),44263.0)</f>
        <v>44263</v>
      </c>
      <c r="G1012" s="154" t="str">
        <f>IFERROR(__xludf.DUMMYFUNCTION("""COMPUTED_VALUE"""),"Manage order page (normal text)")</f>
        <v>Manage order page (normal text)</v>
      </c>
      <c r="H1012" s="131">
        <f>IFERROR(__xludf.DUMMYFUNCTION("""COMPUTED_VALUE"""),920679.0)</f>
        <v>920679</v>
      </c>
      <c r="I1012" s="144" t="str">
        <f>IFERROR(__xludf.DUMMYFUNCTION("""COMPUTED_VALUE"""),"03/21")</f>
        <v>03/21</v>
      </c>
      <c r="J1012" s="129">
        <f>IFERROR(__xludf.DUMMYFUNCTION("""COMPUTED_VALUE"""),44282.0)</f>
        <v>44282</v>
      </c>
      <c r="K1012" s="133">
        <f>IFERROR(__xludf.DUMMYFUNCTION("""COMPUTED_VALUE"""),49.0)</f>
        <v>49</v>
      </c>
      <c r="L1012" s="133">
        <f>IFERROR(__xludf.DUMMYFUNCTION("""COMPUTED_VALUE"""),19.0)</f>
        <v>19</v>
      </c>
      <c r="M1012" s="133">
        <f>IFERROR(__xludf.DUMMYFUNCTION("""COMPUTED_VALUE"""),68.0)</f>
        <v>68</v>
      </c>
      <c r="N1012" s="152" t="str">
        <f>IFERROR(__xludf.DUMMYFUNCTION("""COMPUTED_VALUE"""),"Model 3 SR+")</f>
        <v>Model 3 SR+</v>
      </c>
      <c r="O1012" s="152" t="str">
        <f>IFERROR(__xludf.DUMMYFUNCTION("""COMPUTED_VALUE"""),"Pearl White Multi-Coat")</f>
        <v>Pearl White Multi-Coat</v>
      </c>
      <c r="P1012" s="153" t="str">
        <f>IFERROR(__xludf.DUMMYFUNCTION("""COMPUTED_VALUE"""),"18 inch")</f>
        <v>18 inch</v>
      </c>
      <c r="Q1012" s="152" t="str">
        <f>IFERROR(__xludf.DUMMYFUNCTION("""COMPUTED_VALUE"""),"Black and White")</f>
        <v>Black and White</v>
      </c>
      <c r="R1012" s="149" t="str">
        <f>IFERROR(__xludf.DUMMYFUNCTION("""COMPUTED_VALUE"""),"Autopilot included")</f>
        <v>Autopilot included</v>
      </c>
      <c r="S1012" s="149" t="str">
        <f>IFERROR(__xludf.DUMMYFUNCTION("""COMPUTED_VALUE"""),"Loan")</f>
        <v>Loan</v>
      </c>
      <c r="T1012" s="145" t="str">
        <f>IFERROR(__xludf.DUMMYFUNCTION("""COMPUTED_VALUE"""),"Volkswagen Golf GTI")</f>
        <v>Volkswagen Golf GTI</v>
      </c>
      <c r="U1012" s="145" t="str">
        <f>IFERROR(__xludf.DUMMYFUNCTION("""COMPUTED_VALUE"""),"Electric!")</f>
        <v>Electric!</v>
      </c>
      <c r="V1012" s="145" t="str">
        <f>IFERROR(__xludf.DUMMYFUNCTION("""COMPUTED_VALUE"""),"Ventilated seats")</f>
        <v>Ventilated seats</v>
      </c>
      <c r="W1012" s="145"/>
      <c r="X1012" s="137" t="str">
        <f>IFERROR(__xludf.DUMMYFUNCTION("""COMPUTED_VALUE"""),"Very Good")</f>
        <v>Very Good</v>
      </c>
      <c r="Y1012" s="138" t="str">
        <f>IFERROR(__xludf.DUMMYFUNCTION("""COMPUTED_VALUE"""),"Very Good")</f>
        <v>Very Good</v>
      </c>
      <c r="Z1012" s="138" t="str">
        <f>IFERROR(__xludf.DUMMYFUNCTION("""COMPUTED_VALUE"""),"Excellent")</f>
        <v>Excellent</v>
      </c>
      <c r="AA1012" s="138" t="str">
        <f>IFERROR(__xludf.DUMMYFUNCTION("""COMPUTED_VALUE"""),"Excellent")</f>
        <v>Excellent</v>
      </c>
      <c r="AB1012" s="138" t="str">
        <f>IFERROR(__xludf.DUMMYFUNCTION("""COMPUTED_VALUE"""),"Excellent")</f>
        <v>Excellent</v>
      </c>
      <c r="AC1012" s="139"/>
      <c r="AD1012" s="139"/>
      <c r="AE1012" s="139"/>
      <c r="AF1012" s="140" t="str">
        <f>IFERROR(__xludf.DUMMYFUNCTION("""COMPUTED_VALUE"""),"No. I took delivery of the first car Tesla was able to deliver.")</f>
        <v>No. I took delivery of the first car Tesla was able to deliver.</v>
      </c>
      <c r="AG1012" s="145"/>
      <c r="AH1012" s="157">
        <f>IFERROR(__xludf.DUMMYFUNCTION("""COMPUTED_VALUE"""),44284.866583125)</f>
        <v>44284.86658</v>
      </c>
      <c r="AI1012" s="138"/>
      <c r="AJ1012" s="138"/>
      <c r="AK1012" s="138"/>
      <c r="AL1012" s="142"/>
    </row>
    <row r="1013" ht="20.25" customHeight="1">
      <c r="A1013" s="155" t="str">
        <f>IFERROR(__xludf.DUMMYFUNCTION("""COMPUTED_VALUE"""),"BoA")</f>
        <v>BoA</v>
      </c>
      <c r="B1013" s="150" t="str">
        <f>IFERROR(__xludf.DUMMYFUNCTION("""COMPUTED_VALUE"""),"Nashville")</f>
        <v>Nashville</v>
      </c>
      <c r="C1013" s="150" t="str">
        <f>IFERROR(__xludf.DUMMYFUNCTION("""COMPUTED_VALUE"""),"TN")</f>
        <v>TN</v>
      </c>
      <c r="D1013" s="150" t="str">
        <f>IFERROR(__xludf.DUMMYFUNCTION("""COMPUTED_VALUE"""),"USA")</f>
        <v>USA</v>
      </c>
      <c r="E1013" s="156">
        <f>IFERROR(__xludf.DUMMYFUNCTION("""COMPUTED_VALUE"""),44213.0)</f>
        <v>44213</v>
      </c>
      <c r="F1013" s="129">
        <f>IFERROR(__xludf.DUMMYFUNCTION("""COMPUTED_VALUE"""),44233.0)</f>
        <v>44233</v>
      </c>
      <c r="G1013" s="154" t="str">
        <f>IFERROR(__xludf.DUMMYFUNCTION("""COMPUTED_VALUE"""),"Manage order page (normal text)")</f>
        <v>Manage order page (normal text)</v>
      </c>
      <c r="H1013" s="131">
        <f>IFERROR(__xludf.DUMMYFUNCTION("""COMPUTED_VALUE"""),902055.0)</f>
        <v>902055</v>
      </c>
      <c r="I1013" s="132" t="str">
        <f>IFERROR(__xludf.DUMMYFUNCTION("""COMPUTED_VALUE"""),"02/21")</f>
        <v>02/21</v>
      </c>
      <c r="J1013" s="129">
        <f>IFERROR(__xludf.DUMMYFUNCTION("""COMPUTED_VALUE"""),44253.0)</f>
        <v>44253</v>
      </c>
      <c r="K1013" s="133">
        <f>IFERROR(__xludf.DUMMYFUNCTION("""COMPUTED_VALUE"""),20.0)</f>
        <v>20</v>
      </c>
      <c r="L1013" s="133">
        <f>IFERROR(__xludf.DUMMYFUNCTION("""COMPUTED_VALUE"""),20.0)</f>
        <v>20</v>
      </c>
      <c r="M1013" s="133">
        <f>IFERROR(__xludf.DUMMYFUNCTION("""COMPUTED_VALUE"""),40.0)</f>
        <v>40</v>
      </c>
      <c r="N1013" s="152" t="str">
        <f>IFERROR(__xludf.DUMMYFUNCTION("""COMPUTED_VALUE"""),"Model 3 LR AWD")</f>
        <v>Model 3 LR AWD</v>
      </c>
      <c r="O1013" s="152" t="str">
        <f>IFERROR(__xludf.DUMMYFUNCTION("""COMPUTED_VALUE"""),"Pearl White Multi-Coat")</f>
        <v>Pearl White Multi-Coat</v>
      </c>
      <c r="P1013" s="153" t="str">
        <f>IFERROR(__xludf.DUMMYFUNCTION("""COMPUTED_VALUE"""),"18 inch")</f>
        <v>18 inch</v>
      </c>
      <c r="Q1013" s="152" t="str">
        <f>IFERROR(__xludf.DUMMYFUNCTION("""COMPUTED_VALUE"""),"All Black")</f>
        <v>All Black</v>
      </c>
      <c r="R1013" s="150" t="str">
        <f>IFERROR(__xludf.DUMMYFUNCTION("""COMPUTED_VALUE"""),"Autopilot included")</f>
        <v>Autopilot included</v>
      </c>
      <c r="S1013" s="150"/>
      <c r="T1013" s="136"/>
      <c r="U1013" s="136"/>
      <c r="V1013" s="136"/>
      <c r="W1013" s="136"/>
      <c r="X1013" s="137" t="str">
        <f>IFERROR(__xludf.DUMMYFUNCTION("""COMPUTED_VALUE"""),"Excellent")</f>
        <v>Excellent</v>
      </c>
      <c r="Y1013" s="138" t="str">
        <f>IFERROR(__xludf.DUMMYFUNCTION("""COMPUTED_VALUE"""),"Excellent")</f>
        <v>Excellent</v>
      </c>
      <c r="Z1013" s="138" t="str">
        <f>IFERROR(__xludf.DUMMYFUNCTION("""COMPUTED_VALUE"""),"Excellent")</f>
        <v>Excellent</v>
      </c>
      <c r="AA1013" s="138" t="str">
        <f>IFERROR(__xludf.DUMMYFUNCTION("""COMPUTED_VALUE"""),"Fair")</f>
        <v>Fair</v>
      </c>
      <c r="AB1013" s="138" t="str">
        <f>IFERROR(__xludf.DUMMYFUNCTION("""COMPUTED_VALUE"""),"Excellent")</f>
        <v>Excellent</v>
      </c>
      <c r="AC1013" s="139"/>
      <c r="AD1013" s="139"/>
      <c r="AE1013" s="139"/>
      <c r="AF1013" s="140"/>
      <c r="AG1013" s="136"/>
      <c r="AH1013" s="157">
        <f>IFERROR(__xludf.DUMMYFUNCTION("""COMPUTED_VALUE"""),44253.87786451389)</f>
        <v>44253.87786</v>
      </c>
      <c r="AI1013" s="138"/>
      <c r="AJ1013" s="138"/>
      <c r="AK1013" s="138"/>
      <c r="AL1013" s="142"/>
    </row>
    <row r="1014" ht="20.25" customHeight="1">
      <c r="A1014" s="155" t="str">
        <f>IFERROR(__xludf.DUMMYFUNCTION("""COMPUTED_VALUE"""),"gomichsea")</f>
        <v>gomichsea</v>
      </c>
      <c r="B1014" s="149" t="str">
        <f>IFERROR(__xludf.DUMMYFUNCTION("""COMPUTED_VALUE"""),"Seattle")</f>
        <v>Seattle</v>
      </c>
      <c r="C1014" s="149" t="str">
        <f>IFERROR(__xludf.DUMMYFUNCTION("""COMPUTED_VALUE"""),"WA")</f>
        <v>WA</v>
      </c>
      <c r="D1014" s="149" t="str">
        <f>IFERROR(__xludf.DUMMYFUNCTION("""COMPUTED_VALUE"""),"USA")</f>
        <v>USA</v>
      </c>
      <c r="E1014" s="156">
        <f>IFERROR(__xludf.DUMMYFUNCTION("""COMPUTED_VALUE"""),44213.0)</f>
        <v>44213</v>
      </c>
      <c r="F1014" s="129">
        <f>IFERROR(__xludf.DUMMYFUNCTION("""COMPUTED_VALUE"""),44239.0)</f>
        <v>44239</v>
      </c>
      <c r="G1014" s="154" t="str">
        <f>IFERROR(__xludf.DUMMYFUNCTION("""COMPUTED_VALUE"""),"Manage order page (normal text)")</f>
        <v>Manage order page (normal text)</v>
      </c>
      <c r="H1014" s="131">
        <f>IFERROR(__xludf.DUMMYFUNCTION("""COMPUTED_VALUE"""),906555.0)</f>
        <v>906555</v>
      </c>
      <c r="I1014" s="144" t="str">
        <f>IFERROR(__xludf.DUMMYFUNCTION("""COMPUTED_VALUE"""),"02/21")</f>
        <v>02/21</v>
      </c>
      <c r="J1014" s="129"/>
      <c r="K1014" s="133">
        <f>IFERROR(__xludf.DUMMYFUNCTION("""COMPUTED_VALUE"""),26.0)</f>
        <v>26</v>
      </c>
      <c r="L1014" s="133"/>
      <c r="M1014" s="133"/>
      <c r="N1014" s="152" t="str">
        <f>IFERROR(__xludf.DUMMYFUNCTION("""COMPUTED_VALUE"""),"Model 3 LR AWD")</f>
        <v>Model 3 LR AWD</v>
      </c>
      <c r="O1014" s="152" t="str">
        <f>IFERROR(__xludf.DUMMYFUNCTION("""COMPUTED_VALUE"""),"Midnight Silver Metallic")</f>
        <v>Midnight Silver Metallic</v>
      </c>
      <c r="P1014" s="153" t="str">
        <f>IFERROR(__xludf.DUMMYFUNCTION("""COMPUTED_VALUE"""),"18 inch")</f>
        <v>18 inch</v>
      </c>
      <c r="Q1014" s="152" t="str">
        <f>IFERROR(__xludf.DUMMYFUNCTION("""COMPUTED_VALUE"""),"All Black")</f>
        <v>All Black</v>
      </c>
      <c r="R1014" s="149" t="str">
        <f>IFERROR(__xludf.DUMMYFUNCTION("""COMPUTED_VALUE"""),"Autopilot included")</f>
        <v>Autopilot included</v>
      </c>
      <c r="S1014" s="149" t="str">
        <f>IFERROR(__xludf.DUMMYFUNCTION("""COMPUTED_VALUE"""),"Cash")</f>
        <v>Cash</v>
      </c>
      <c r="T1014" s="145" t="str">
        <f>IFERROR(__xludf.DUMMYFUNCTION("""COMPUTED_VALUE"""),"Honda Odyssey")</f>
        <v>Honda Odyssey</v>
      </c>
      <c r="U1014" s="145" t="str">
        <f>IFERROR(__xludf.DUMMYFUNCTION("""COMPUTED_VALUE"""),"Electric!")</f>
        <v>Electric!</v>
      </c>
      <c r="V1014" s="145" t="str">
        <f>IFERROR(__xludf.DUMMYFUNCTION("""COMPUTED_VALUE"""),"HomeLink")</f>
        <v>HomeLink</v>
      </c>
      <c r="W1014" s="136" t="str">
        <f>IFERROR(__xludf.DUMMYFUNCTION("""COMPUTED_VALUE"""),"The sensors on the new heat pump seem problematic.")</f>
        <v>The sensors on the new heat pump seem problematic.</v>
      </c>
      <c r="X1014" s="137" t="str">
        <f>IFERROR(__xludf.DUMMYFUNCTION("""COMPUTED_VALUE"""),"Excellent")</f>
        <v>Excellent</v>
      </c>
      <c r="Y1014" s="138" t="str">
        <f>IFERROR(__xludf.DUMMYFUNCTION("""COMPUTED_VALUE"""),"Excellent")</f>
        <v>Excellent</v>
      </c>
      <c r="Z1014" s="138" t="str">
        <f>IFERROR(__xludf.DUMMYFUNCTION("""COMPUTED_VALUE"""),"Excellent")</f>
        <v>Excellent</v>
      </c>
      <c r="AA1014" s="138" t="str">
        <f>IFERROR(__xludf.DUMMYFUNCTION("""COMPUTED_VALUE"""),"Excellent")</f>
        <v>Excellent</v>
      </c>
      <c r="AB1014" s="138" t="str">
        <f>IFERROR(__xludf.DUMMYFUNCTION("""COMPUTED_VALUE"""),"Very Good")</f>
        <v>Very Good</v>
      </c>
      <c r="AC1014" s="139">
        <f>IFERROR(__xludf.DUMMYFUNCTION("""COMPUTED_VALUE"""),1.0)</f>
        <v>1</v>
      </c>
      <c r="AD1014" s="139">
        <f>IFERROR(__xludf.DUMMYFUNCTION("""COMPUTED_VALUE"""),1.0)</f>
        <v>1</v>
      </c>
      <c r="AE1014" s="139"/>
      <c r="AF1014" s="140" t="str">
        <f>IFERROR(__xludf.DUMMYFUNCTION("""COMPUTED_VALUE"""),"No. I took delivery of the first car Tesla was able to deliver.")</f>
        <v>No. I took delivery of the first car Tesla was able to deliver.</v>
      </c>
      <c r="AG1014" s="145"/>
      <c r="AH1014" s="157">
        <f>IFERROR(__xludf.DUMMYFUNCTION("""COMPUTED_VALUE"""),44256.46631439815)</f>
        <v>44256.46631</v>
      </c>
      <c r="AI1014" s="138"/>
      <c r="AJ1014" s="138"/>
      <c r="AK1014" s="138"/>
      <c r="AL1014" s="142"/>
    </row>
    <row r="1015" ht="20.25" customHeight="1">
      <c r="A1015" s="155" t="str">
        <f>IFERROR(__xludf.DUMMYFUNCTION("""COMPUTED_VALUE"""),"sepheralicus")</f>
        <v>sepheralicus</v>
      </c>
      <c r="B1015" s="149"/>
      <c r="C1015" s="149" t="str">
        <f>IFERROR(__xludf.DUMMYFUNCTION("""COMPUTED_VALUE"""),"OK")</f>
        <v>OK</v>
      </c>
      <c r="D1015" s="149" t="str">
        <f>IFERROR(__xludf.DUMMYFUNCTION("""COMPUTED_VALUE"""),"USA")</f>
        <v>USA</v>
      </c>
      <c r="E1015" s="156">
        <f>IFERROR(__xludf.DUMMYFUNCTION("""COMPUTED_VALUE"""),44213.0)</f>
        <v>44213</v>
      </c>
      <c r="F1015" s="129">
        <f>IFERROR(__xludf.DUMMYFUNCTION("""COMPUTED_VALUE"""),44233.0)</f>
        <v>44233</v>
      </c>
      <c r="G1015" s="154" t="str">
        <f>IFERROR(__xludf.DUMMYFUNCTION("""COMPUTED_VALUE"""),"Manage order page (normal text)")</f>
        <v>Manage order page (normal text)</v>
      </c>
      <c r="H1015" s="131">
        <f>IFERROR(__xludf.DUMMYFUNCTION("""COMPUTED_VALUE"""),902355.0)</f>
        <v>902355</v>
      </c>
      <c r="I1015" s="132"/>
      <c r="J1015" s="129">
        <f>IFERROR(__xludf.DUMMYFUNCTION("""COMPUTED_VALUE"""),44253.0)</f>
        <v>44253</v>
      </c>
      <c r="K1015" s="133">
        <f>IFERROR(__xludf.DUMMYFUNCTION("""COMPUTED_VALUE"""),20.0)</f>
        <v>20</v>
      </c>
      <c r="L1015" s="133">
        <f>IFERROR(__xludf.DUMMYFUNCTION("""COMPUTED_VALUE"""),20.0)</f>
        <v>20</v>
      </c>
      <c r="M1015" s="133">
        <f>IFERROR(__xludf.DUMMYFUNCTION("""COMPUTED_VALUE"""),40.0)</f>
        <v>40</v>
      </c>
      <c r="N1015" s="152" t="str">
        <f>IFERROR(__xludf.DUMMYFUNCTION("""COMPUTED_VALUE"""),"Model 3 LR AWD")</f>
        <v>Model 3 LR AWD</v>
      </c>
      <c r="O1015" s="152" t="str">
        <f>IFERROR(__xludf.DUMMYFUNCTION("""COMPUTED_VALUE"""),"Deep Blue Metallic")</f>
        <v>Deep Blue Metallic</v>
      </c>
      <c r="P1015" s="153" t="str">
        <f>IFERROR(__xludf.DUMMYFUNCTION("""COMPUTED_VALUE"""),"18 inch")</f>
        <v>18 inch</v>
      </c>
      <c r="Q1015" s="152" t="str">
        <f>IFERROR(__xludf.DUMMYFUNCTION("""COMPUTED_VALUE"""),"All Black")</f>
        <v>All Black</v>
      </c>
      <c r="R1015" s="150" t="str">
        <f>IFERROR(__xludf.DUMMYFUNCTION("""COMPUTED_VALUE"""),"Autopilot included")</f>
        <v>Autopilot included</v>
      </c>
      <c r="S1015" s="150" t="str">
        <f>IFERROR(__xludf.DUMMYFUNCTION("""COMPUTED_VALUE"""),"Loan")</f>
        <v>Loan</v>
      </c>
      <c r="T1015" s="136" t="str">
        <f>IFERROR(__xludf.DUMMYFUNCTION("""COMPUTED_VALUE"""),"BMW Z3")</f>
        <v>BMW Z3</v>
      </c>
      <c r="U1015" s="136" t="str">
        <f>IFERROR(__xludf.DUMMYFUNCTION("""COMPUTED_VALUE"""),"Electric!")</f>
        <v>Electric!</v>
      </c>
      <c r="V1015" s="136" t="str">
        <f>IFERROR(__xludf.DUMMYFUNCTION("""COMPUTED_VALUE"""),"Head-up display")</f>
        <v>Head-up display</v>
      </c>
      <c r="W1015" s="136"/>
      <c r="X1015" s="137" t="str">
        <f>IFERROR(__xludf.DUMMYFUNCTION("""COMPUTED_VALUE"""),"Very Good")</f>
        <v>Very Good</v>
      </c>
      <c r="Y1015" s="138" t="str">
        <f>IFERROR(__xludf.DUMMYFUNCTION("""COMPUTED_VALUE"""),"Very Good")</f>
        <v>Very Good</v>
      </c>
      <c r="Z1015" s="138" t="str">
        <f>IFERROR(__xludf.DUMMYFUNCTION("""COMPUTED_VALUE"""),"Very Good")</f>
        <v>Very Good</v>
      </c>
      <c r="AA1015" s="138" t="str">
        <f>IFERROR(__xludf.DUMMYFUNCTION("""COMPUTED_VALUE"""),"Fair")</f>
        <v>Fair</v>
      </c>
      <c r="AB1015" s="138" t="str">
        <f>IFERROR(__xludf.DUMMYFUNCTION("""COMPUTED_VALUE"""),"Very Good")</f>
        <v>Very Good</v>
      </c>
      <c r="AC1015" s="139"/>
      <c r="AD1015" s="139"/>
      <c r="AE1015" s="139"/>
      <c r="AF1015" s="140" t="str">
        <f>IFERROR(__xludf.DUMMYFUNCTION("""COMPUTED_VALUE"""),"No. I took delivery of the first car Tesla was able to deliver.")</f>
        <v>No. I took delivery of the first car Tesla was able to deliver.</v>
      </c>
      <c r="AG1015" s="136"/>
      <c r="AH1015" s="157">
        <f>IFERROR(__xludf.DUMMYFUNCTION("""COMPUTED_VALUE"""),44258.730941388894)</f>
        <v>44258.73094</v>
      </c>
      <c r="AI1015" s="138"/>
      <c r="AJ1015" s="138"/>
      <c r="AK1015" s="138"/>
      <c r="AL1015" s="142"/>
    </row>
    <row r="1016" ht="20.25" customHeight="1">
      <c r="A1016" s="155" t="str">
        <f>IFERROR(__xludf.DUMMYFUNCTION("""COMPUTED_VALUE"""),"marshmellohs")</f>
        <v>marshmellohs</v>
      </c>
      <c r="B1016" s="149"/>
      <c r="C1016" s="149" t="str">
        <f>IFERROR(__xludf.DUMMYFUNCTION("""COMPUTED_VALUE"""),"VA")</f>
        <v>VA</v>
      </c>
      <c r="D1016" s="149" t="str">
        <f>IFERROR(__xludf.DUMMYFUNCTION("""COMPUTED_VALUE"""),"USA")</f>
        <v>USA</v>
      </c>
      <c r="E1016" s="156">
        <f>IFERROR(__xludf.DUMMYFUNCTION("""COMPUTED_VALUE"""),44212.0)</f>
        <v>44212</v>
      </c>
      <c r="F1016" s="129">
        <f>IFERROR(__xludf.DUMMYFUNCTION("""COMPUTED_VALUE"""),44261.0)</f>
        <v>44261</v>
      </c>
      <c r="G1016" s="154" t="str">
        <f>IFERROR(__xludf.DUMMYFUNCTION("""COMPUTED_VALUE"""),"Manage order page (normal text)")</f>
        <v>Manage order page (normal text)</v>
      </c>
      <c r="H1016" s="131">
        <f>IFERROR(__xludf.DUMMYFUNCTION("""COMPUTED_VALUE"""),903235.0)</f>
        <v>903235</v>
      </c>
      <c r="I1016" s="144"/>
      <c r="J1016" s="129">
        <f>IFERROR(__xludf.DUMMYFUNCTION("""COMPUTED_VALUE"""),44274.0)</f>
        <v>44274</v>
      </c>
      <c r="K1016" s="133">
        <f>IFERROR(__xludf.DUMMYFUNCTION("""COMPUTED_VALUE"""),49.0)</f>
        <v>49</v>
      </c>
      <c r="L1016" s="133">
        <f>IFERROR(__xludf.DUMMYFUNCTION("""COMPUTED_VALUE"""),13.0)</f>
        <v>13</v>
      </c>
      <c r="M1016" s="133">
        <f>IFERROR(__xludf.DUMMYFUNCTION("""COMPUTED_VALUE"""),62.0)</f>
        <v>62</v>
      </c>
      <c r="N1016" s="152" t="str">
        <f>IFERROR(__xludf.DUMMYFUNCTION("""COMPUTED_VALUE"""),"Model 3 LR AWD")</f>
        <v>Model 3 LR AWD</v>
      </c>
      <c r="O1016" s="152" t="str">
        <f>IFERROR(__xludf.DUMMYFUNCTION("""COMPUTED_VALUE"""),"Midnight Silver Metallic")</f>
        <v>Midnight Silver Metallic</v>
      </c>
      <c r="P1016" s="153" t="str">
        <f>IFERROR(__xludf.DUMMYFUNCTION("""COMPUTED_VALUE"""),"19 inch")</f>
        <v>19 inch</v>
      </c>
      <c r="Q1016" s="152" t="str">
        <f>IFERROR(__xludf.DUMMYFUNCTION("""COMPUTED_VALUE"""),"All Black")</f>
        <v>All Black</v>
      </c>
      <c r="R1016" s="149" t="str">
        <f>IFERROR(__xludf.DUMMYFUNCTION("""COMPUTED_VALUE"""),"Autopilot included")</f>
        <v>Autopilot included</v>
      </c>
      <c r="S1016" s="149" t="str">
        <f>IFERROR(__xludf.DUMMYFUNCTION("""COMPUTED_VALUE"""),"Loan")</f>
        <v>Loan</v>
      </c>
      <c r="T1016" s="145" t="str">
        <f>IFERROR(__xludf.DUMMYFUNCTION("""COMPUTED_VALUE"""),"Model 3 will be my first car!")</f>
        <v>Model 3 will be my first car!</v>
      </c>
      <c r="U1016" s="145" t="str">
        <f>IFERROR(__xludf.DUMMYFUNCTION("""COMPUTED_VALUE"""),"Electric!")</f>
        <v>Electric!</v>
      </c>
      <c r="V1016" s="145" t="str">
        <f>IFERROR(__xludf.DUMMYFUNCTION("""COMPUTED_VALUE"""),"Bioweapon defense mode")</f>
        <v>Bioweapon defense mode</v>
      </c>
      <c r="W1016" s="136"/>
      <c r="X1016" s="137" t="str">
        <f>IFERROR(__xludf.DUMMYFUNCTION("""COMPUTED_VALUE"""),"Excellent")</f>
        <v>Excellent</v>
      </c>
      <c r="Y1016" s="138" t="str">
        <f>IFERROR(__xludf.DUMMYFUNCTION("""COMPUTED_VALUE"""),"Excellent")</f>
        <v>Excellent</v>
      </c>
      <c r="Z1016" s="138" t="str">
        <f>IFERROR(__xludf.DUMMYFUNCTION("""COMPUTED_VALUE"""),"Very Good")</f>
        <v>Very Good</v>
      </c>
      <c r="AA1016" s="138" t="str">
        <f>IFERROR(__xludf.DUMMYFUNCTION("""COMPUTED_VALUE"""),"Excellent")</f>
        <v>Excellent</v>
      </c>
      <c r="AB1016" s="138" t="str">
        <f>IFERROR(__xludf.DUMMYFUNCTION("""COMPUTED_VALUE"""),"Excellent")</f>
        <v>Excellent</v>
      </c>
      <c r="AC1016" s="139"/>
      <c r="AD1016" s="139"/>
      <c r="AE1016" s="139"/>
      <c r="AF1016" s="140" t="str">
        <f>IFERROR(__xludf.DUMMYFUNCTION("""COMPUTED_VALUE"""),"No. I took delivery of the first car Tesla was able to deliver.")</f>
        <v>No. I took delivery of the first car Tesla was able to deliver.</v>
      </c>
      <c r="AG1016" s="136"/>
      <c r="AH1016" s="157">
        <f>IFERROR(__xludf.DUMMYFUNCTION("""COMPUTED_VALUE"""),44276.51626999999)</f>
        <v>44276.51627</v>
      </c>
      <c r="AI1016" s="138"/>
      <c r="AJ1016" s="138"/>
      <c r="AK1016" s="138"/>
      <c r="AL1016" s="142"/>
    </row>
    <row r="1017" ht="20.25" customHeight="1">
      <c r="A1017" s="155" t="str">
        <f>IFERROR(__xludf.DUMMYFUNCTION("""COMPUTED_VALUE"""),"SpeedLab-3")</f>
        <v>SpeedLab-3</v>
      </c>
      <c r="B1017" s="149" t="str">
        <f>IFERROR(__xludf.DUMMYFUNCTION("""COMPUTED_VALUE"""),"Boynton Beach ")</f>
        <v>Boynton Beach </v>
      </c>
      <c r="C1017" s="149" t="str">
        <f>IFERROR(__xludf.DUMMYFUNCTION("""COMPUTED_VALUE"""),"FL")</f>
        <v>FL</v>
      </c>
      <c r="D1017" s="149" t="str">
        <f>IFERROR(__xludf.DUMMYFUNCTION("""COMPUTED_VALUE"""),"USA")</f>
        <v>USA</v>
      </c>
      <c r="E1017" s="156">
        <f>IFERROR(__xludf.DUMMYFUNCTION("""COMPUTED_VALUE"""),44211.0)</f>
        <v>44211</v>
      </c>
      <c r="F1017" s="129">
        <f>IFERROR(__xludf.DUMMYFUNCTION("""COMPUTED_VALUE"""),44252.0)</f>
        <v>44252</v>
      </c>
      <c r="G1017" s="154" t="str">
        <f>IFERROR(__xludf.DUMMYFUNCTION("""COMPUTED_VALUE"""),"Manage order page (normal text)")</f>
        <v>Manage order page (normal text)</v>
      </c>
      <c r="H1017" s="131">
        <f>IFERROR(__xludf.DUMMYFUNCTION("""COMPUTED_VALUE"""),914155.0)</f>
        <v>914155</v>
      </c>
      <c r="I1017" s="144"/>
      <c r="J1017" s="129">
        <f>IFERROR(__xludf.DUMMYFUNCTION("""COMPUTED_VALUE"""),44270.0)</f>
        <v>44270</v>
      </c>
      <c r="K1017" s="133">
        <f>IFERROR(__xludf.DUMMYFUNCTION("""COMPUTED_VALUE"""),41.0)</f>
        <v>41</v>
      </c>
      <c r="L1017" s="133">
        <f>IFERROR(__xludf.DUMMYFUNCTION("""COMPUTED_VALUE"""),18.0)</f>
        <v>18</v>
      </c>
      <c r="M1017" s="133">
        <f>IFERROR(__xludf.DUMMYFUNCTION("""COMPUTED_VALUE"""),59.0)</f>
        <v>59</v>
      </c>
      <c r="N1017" s="152" t="str">
        <f>IFERROR(__xludf.DUMMYFUNCTION("""COMPUTED_VALUE"""),"Model 3 Performance")</f>
        <v>Model 3 Performance</v>
      </c>
      <c r="O1017" s="152" t="str">
        <f>IFERROR(__xludf.DUMMYFUNCTION("""COMPUTED_VALUE"""),"Deep Blue Metallic")</f>
        <v>Deep Blue Metallic</v>
      </c>
      <c r="P1017" s="153" t="str">
        <f>IFERROR(__xludf.DUMMYFUNCTION("""COMPUTED_VALUE"""),"20 inch")</f>
        <v>20 inch</v>
      </c>
      <c r="Q1017" s="152" t="str">
        <f>IFERROR(__xludf.DUMMYFUNCTION("""COMPUTED_VALUE"""),"All Black")</f>
        <v>All Black</v>
      </c>
      <c r="R1017" s="149" t="str">
        <f>IFERROR(__xludf.DUMMYFUNCTION("""COMPUTED_VALUE"""),"Autopilot included")</f>
        <v>Autopilot included</v>
      </c>
      <c r="S1017" s="149" t="str">
        <f>IFERROR(__xludf.DUMMYFUNCTION("""COMPUTED_VALUE"""),"Loan")</f>
        <v>Loan</v>
      </c>
      <c r="T1017" s="145" t="str">
        <f>IFERROR(__xludf.DUMMYFUNCTION("""COMPUTED_VALUE"""),"Abarth 500")</f>
        <v>Abarth 500</v>
      </c>
      <c r="U1017" s="145" t="str">
        <f>IFERROR(__xludf.DUMMYFUNCTION("""COMPUTED_VALUE"""),"Autopilot")</f>
        <v>Autopilot</v>
      </c>
      <c r="V1017" s="145" t="str">
        <f>IFERROR(__xludf.DUMMYFUNCTION("""COMPUTED_VALUE"""),"Head-up display")</f>
        <v>Head-up display</v>
      </c>
      <c r="W1017" s="145" t="str">
        <f>IFERROR(__xludf.DUMMYFUNCTION("""COMPUTED_VALUE"""),"Patience")</f>
        <v>Patience</v>
      </c>
      <c r="X1017" s="137"/>
      <c r="Y1017" s="138"/>
      <c r="Z1017" s="138"/>
      <c r="AA1017" s="138"/>
      <c r="AB1017" s="138"/>
      <c r="AC1017" s="139"/>
      <c r="AD1017" s="139"/>
      <c r="AE1017" s="139"/>
      <c r="AF1017" s="140"/>
      <c r="AG1017" s="145"/>
      <c r="AH1017" s="157">
        <f>IFERROR(__xludf.DUMMYFUNCTION("""COMPUTED_VALUE"""),44252.540830405094)</f>
        <v>44252.54083</v>
      </c>
      <c r="AI1017" s="138"/>
      <c r="AJ1017" s="138"/>
      <c r="AK1017" s="138"/>
      <c r="AL1017" s="142"/>
    </row>
    <row r="1018" ht="20.25" customHeight="1">
      <c r="A1018" s="155" t="str">
        <f>IFERROR(__xludf.DUMMYFUNCTION("""COMPUTED_VALUE"""),"dquardt")</f>
        <v>dquardt</v>
      </c>
      <c r="B1018" s="149" t="str">
        <f>IFERROR(__xludf.DUMMYFUNCTION("""COMPUTED_VALUE"""),"Fort Wayne")</f>
        <v>Fort Wayne</v>
      </c>
      <c r="C1018" s="149" t="str">
        <f>IFERROR(__xludf.DUMMYFUNCTION("""COMPUTED_VALUE"""),"IN")</f>
        <v>IN</v>
      </c>
      <c r="D1018" s="149" t="str">
        <f>IFERROR(__xludf.DUMMYFUNCTION("""COMPUTED_VALUE"""),"USA")</f>
        <v>USA</v>
      </c>
      <c r="E1018" s="156">
        <f>IFERROR(__xludf.DUMMYFUNCTION("""COMPUTED_VALUE"""),44210.0)</f>
        <v>44210</v>
      </c>
      <c r="F1018" s="129">
        <f>IFERROR(__xludf.DUMMYFUNCTION("""COMPUTED_VALUE"""),44239.0)</f>
        <v>44239</v>
      </c>
      <c r="G1018" s="154" t="str">
        <f>IFERROR(__xludf.DUMMYFUNCTION("""COMPUTED_VALUE"""),"Manage order page (normal text)")</f>
        <v>Manage order page (normal text)</v>
      </c>
      <c r="H1018" s="131">
        <f>IFERROR(__xludf.DUMMYFUNCTION("""COMPUTED_VALUE"""),906655.0)</f>
        <v>906655</v>
      </c>
      <c r="I1018" s="144" t="str">
        <f>IFERROR(__xludf.DUMMYFUNCTION("""COMPUTED_VALUE"""),"02/21")</f>
        <v>02/21</v>
      </c>
      <c r="J1018" s="129">
        <f>IFERROR(__xludf.DUMMYFUNCTION("""COMPUTED_VALUE"""),44258.0)</f>
        <v>44258</v>
      </c>
      <c r="K1018" s="133">
        <f>IFERROR(__xludf.DUMMYFUNCTION("""COMPUTED_VALUE"""),29.0)</f>
        <v>29</v>
      </c>
      <c r="L1018" s="133">
        <f>IFERROR(__xludf.DUMMYFUNCTION("""COMPUTED_VALUE"""),19.0)</f>
        <v>19</v>
      </c>
      <c r="M1018" s="133">
        <f>IFERROR(__xludf.DUMMYFUNCTION("""COMPUTED_VALUE"""),48.0)</f>
        <v>48</v>
      </c>
      <c r="N1018" s="152" t="str">
        <f>IFERROR(__xludf.DUMMYFUNCTION("""COMPUTED_VALUE"""),"Model 3 LR AWD")</f>
        <v>Model 3 LR AWD</v>
      </c>
      <c r="O1018" s="152" t="str">
        <f>IFERROR(__xludf.DUMMYFUNCTION("""COMPUTED_VALUE"""),"Pearl White Multi-Coat")</f>
        <v>Pearl White Multi-Coat</v>
      </c>
      <c r="P1018" s="153" t="str">
        <f>IFERROR(__xludf.DUMMYFUNCTION("""COMPUTED_VALUE"""),"18 inch")</f>
        <v>18 inch</v>
      </c>
      <c r="Q1018" s="152" t="str">
        <f>IFERROR(__xludf.DUMMYFUNCTION("""COMPUTED_VALUE"""),"All Black")</f>
        <v>All Black</v>
      </c>
      <c r="R1018" s="149" t="str">
        <f>IFERROR(__xludf.DUMMYFUNCTION("""COMPUTED_VALUE"""),"Autopilot included")</f>
        <v>Autopilot included</v>
      </c>
      <c r="S1018" s="149" t="str">
        <f>IFERROR(__xludf.DUMMYFUNCTION("""COMPUTED_VALUE"""),"Loan")</f>
        <v>Loan</v>
      </c>
      <c r="T1018" s="145" t="str">
        <f>IFERROR(__xludf.DUMMYFUNCTION("""COMPUTED_VALUE"""),"Toyota Camry")</f>
        <v>Toyota Camry</v>
      </c>
      <c r="U1018" s="145" t="str">
        <f>IFERROR(__xludf.DUMMYFUNCTION("""COMPUTED_VALUE"""),"Electric!")</f>
        <v>Electric!</v>
      </c>
      <c r="V1018" s="145" t="str">
        <f>IFERROR(__xludf.DUMMYFUNCTION("""COMPUTED_VALUE"""),"Apple CarPlay / Android Auto / SiriusXM Radio")</f>
        <v>Apple CarPlay / Android Auto / SiriusXM Radio</v>
      </c>
      <c r="W1018" s="145"/>
      <c r="X1018" s="137" t="str">
        <f>IFERROR(__xludf.DUMMYFUNCTION("""COMPUTED_VALUE"""),"Very Good")</f>
        <v>Very Good</v>
      </c>
      <c r="Y1018" s="138" t="str">
        <f>IFERROR(__xludf.DUMMYFUNCTION("""COMPUTED_VALUE"""),"Very Good")</f>
        <v>Very Good</v>
      </c>
      <c r="Z1018" s="138" t="str">
        <f>IFERROR(__xludf.DUMMYFUNCTION("""COMPUTED_VALUE"""),"Very Good")</f>
        <v>Very Good</v>
      </c>
      <c r="AA1018" s="138" t="str">
        <f>IFERROR(__xludf.DUMMYFUNCTION("""COMPUTED_VALUE"""),"Good")</f>
        <v>Good</v>
      </c>
      <c r="AB1018" s="138" t="str">
        <f>IFERROR(__xludf.DUMMYFUNCTION("""COMPUTED_VALUE"""),"Excellent")</f>
        <v>Excellent</v>
      </c>
      <c r="AC1018" s="139"/>
      <c r="AD1018" s="139"/>
      <c r="AE1018" s="139"/>
      <c r="AF1018" s="140" t="str">
        <f>IFERROR(__xludf.DUMMYFUNCTION("""COMPUTED_VALUE"""),"No. I took delivery of the first car Tesla was able to deliver.")</f>
        <v>No. I took delivery of the first car Tesla was able to deliver.</v>
      </c>
      <c r="AG1018" s="145"/>
      <c r="AH1018" s="157">
        <f>IFERROR(__xludf.DUMMYFUNCTION("""COMPUTED_VALUE"""),44260.34349028936)</f>
        <v>44260.34349</v>
      </c>
      <c r="AI1018" s="138"/>
      <c r="AJ1018" s="138"/>
      <c r="AK1018" s="138"/>
      <c r="AL1018" s="142"/>
    </row>
    <row r="1019" ht="20.25" customHeight="1">
      <c r="A1019" s="155" t="str">
        <f>IFERROR(__xludf.DUMMYFUNCTION("""COMPUTED_VALUE"""),"juliaaaa")</f>
        <v>juliaaaa</v>
      </c>
      <c r="B1019" s="150" t="str">
        <f>IFERROR(__xludf.DUMMYFUNCTION("""COMPUTED_VALUE"""),"Nashville")</f>
        <v>Nashville</v>
      </c>
      <c r="C1019" s="149" t="str">
        <f>IFERROR(__xludf.DUMMYFUNCTION("""COMPUTED_VALUE"""),"TN")</f>
        <v>TN</v>
      </c>
      <c r="D1019" s="149" t="str">
        <f>IFERROR(__xludf.DUMMYFUNCTION("""COMPUTED_VALUE"""),"USA")</f>
        <v>USA</v>
      </c>
      <c r="E1019" s="156">
        <f>IFERROR(__xludf.DUMMYFUNCTION("""COMPUTED_VALUE"""),44209.0)</f>
        <v>44209</v>
      </c>
      <c r="F1019" s="129">
        <f>IFERROR(__xludf.DUMMYFUNCTION("""COMPUTED_VALUE"""),44242.0)</f>
        <v>44242</v>
      </c>
      <c r="G1019" s="154" t="str">
        <f>IFERROR(__xludf.DUMMYFUNCTION("""COMPUTED_VALUE"""),"Manage order page (normal text)")</f>
        <v>Manage order page (normal text)</v>
      </c>
      <c r="H1019" s="131">
        <f>IFERROR(__xludf.DUMMYFUNCTION("""COMPUTED_VALUE"""),913339.0)</f>
        <v>913339</v>
      </c>
      <c r="I1019" s="132" t="str">
        <f>IFERROR(__xludf.DUMMYFUNCTION("""COMPUTED_VALUE"""),"02/21")</f>
        <v>02/21</v>
      </c>
      <c r="J1019" s="129">
        <f>IFERROR(__xludf.DUMMYFUNCTION("""COMPUTED_VALUE"""),44255.0)</f>
        <v>44255</v>
      </c>
      <c r="K1019" s="133">
        <f>IFERROR(__xludf.DUMMYFUNCTION("""COMPUTED_VALUE"""),33.0)</f>
        <v>33</v>
      </c>
      <c r="L1019" s="133">
        <f>IFERROR(__xludf.DUMMYFUNCTION("""COMPUTED_VALUE"""),13.0)</f>
        <v>13</v>
      </c>
      <c r="M1019" s="133">
        <f>IFERROR(__xludf.DUMMYFUNCTION("""COMPUTED_VALUE"""),46.0)</f>
        <v>46</v>
      </c>
      <c r="N1019" s="152" t="str">
        <f>IFERROR(__xludf.DUMMYFUNCTION("""COMPUTED_VALUE"""),"Model 3 SR+")</f>
        <v>Model 3 SR+</v>
      </c>
      <c r="O1019" s="152" t="str">
        <f>IFERROR(__xludf.DUMMYFUNCTION("""COMPUTED_VALUE"""),"Pearl White Multi-Coat")</f>
        <v>Pearl White Multi-Coat</v>
      </c>
      <c r="P1019" s="153" t="str">
        <f>IFERROR(__xludf.DUMMYFUNCTION("""COMPUTED_VALUE"""),"18 inch")</f>
        <v>18 inch</v>
      </c>
      <c r="Q1019" s="152" t="str">
        <f>IFERROR(__xludf.DUMMYFUNCTION("""COMPUTED_VALUE"""),"All Black")</f>
        <v>All Black</v>
      </c>
      <c r="R1019" s="150" t="str">
        <f>IFERROR(__xludf.DUMMYFUNCTION("""COMPUTED_VALUE"""),"Autopilot included")</f>
        <v>Autopilot included</v>
      </c>
      <c r="S1019" s="150" t="str">
        <f>IFERROR(__xludf.DUMMYFUNCTION("""COMPUTED_VALUE"""),"Loan")</f>
        <v>Loan</v>
      </c>
      <c r="T1019" s="136" t="str">
        <f>IFERROR(__xludf.DUMMYFUNCTION("""COMPUTED_VALUE"""),"Nissan Xterra")</f>
        <v>Nissan Xterra</v>
      </c>
      <c r="U1019" s="136" t="str">
        <f>IFERROR(__xludf.DUMMYFUNCTION("""COMPUTED_VALUE"""),"Electric!")</f>
        <v>Electric!</v>
      </c>
      <c r="V1019" s="136" t="str">
        <f>IFERROR(__xludf.DUMMYFUNCTION("""COMPUTED_VALUE"""),"360° Bird's eye view")</f>
        <v>360° Bird's eye view</v>
      </c>
      <c r="W1019" s="136"/>
      <c r="X1019" s="137" t="str">
        <f>IFERROR(__xludf.DUMMYFUNCTION("""COMPUTED_VALUE"""),"Fair")</f>
        <v>Fair</v>
      </c>
      <c r="Y1019" s="138" t="str">
        <f>IFERROR(__xludf.DUMMYFUNCTION("""COMPUTED_VALUE"""),"Excellent")</f>
        <v>Excellent</v>
      </c>
      <c r="Z1019" s="138" t="str">
        <f>IFERROR(__xludf.DUMMYFUNCTION("""COMPUTED_VALUE"""),"Excellent")</f>
        <v>Excellent</v>
      </c>
      <c r="AA1019" s="138" t="str">
        <f>IFERROR(__xludf.DUMMYFUNCTION("""COMPUTED_VALUE"""),"Very Good")</f>
        <v>Very Good</v>
      </c>
      <c r="AB1019" s="138" t="str">
        <f>IFERROR(__xludf.DUMMYFUNCTION("""COMPUTED_VALUE"""),"Excellent")</f>
        <v>Excellent</v>
      </c>
      <c r="AC1019" s="139">
        <f>IFERROR(__xludf.DUMMYFUNCTION("""COMPUTED_VALUE"""),1.0)</f>
        <v>1</v>
      </c>
      <c r="AD1019" s="139">
        <f>IFERROR(__xludf.DUMMYFUNCTION("""COMPUTED_VALUE"""),1.0)</f>
        <v>1</v>
      </c>
      <c r="AE1019" s="139">
        <f>IFERROR(__xludf.DUMMYFUNCTION("""COMPUTED_VALUE"""),0.0)</f>
        <v>0</v>
      </c>
      <c r="AF1019" s="140" t="str">
        <f>IFERROR(__xludf.DUMMYFUNCTION("""COMPUTED_VALUE"""),"No. I took delivery of the first car Tesla was able to deliver.")</f>
        <v>No. I took delivery of the first car Tesla was able to deliver.</v>
      </c>
      <c r="AG1019" s="136"/>
      <c r="AH1019" s="157">
        <f>IFERROR(__xludf.DUMMYFUNCTION("""COMPUTED_VALUE"""),44258.6066677662)</f>
        <v>44258.60667</v>
      </c>
      <c r="AI1019" s="138"/>
      <c r="AJ1019" s="138"/>
      <c r="AK1019" s="138"/>
      <c r="AL1019" s="142"/>
    </row>
    <row r="1020" ht="20.25" customHeight="1">
      <c r="A1020" s="155" t="str">
        <f>IFERROR(__xludf.DUMMYFUNCTION("""COMPUTED_VALUE"""),"Dave0")</f>
        <v>Dave0</v>
      </c>
      <c r="B1020" s="149" t="str">
        <f>IFERROR(__xludf.DUMMYFUNCTION("""COMPUTED_VALUE"""),"Raleigh")</f>
        <v>Raleigh</v>
      </c>
      <c r="C1020" s="149" t="str">
        <f>IFERROR(__xludf.DUMMYFUNCTION("""COMPUTED_VALUE"""),"NC")</f>
        <v>NC</v>
      </c>
      <c r="D1020" s="149" t="str">
        <f>IFERROR(__xludf.DUMMYFUNCTION("""COMPUTED_VALUE"""),"USA")</f>
        <v>USA</v>
      </c>
      <c r="E1020" s="156">
        <f>IFERROR(__xludf.DUMMYFUNCTION("""COMPUTED_VALUE"""),44208.0)</f>
        <v>44208</v>
      </c>
      <c r="F1020" s="129">
        <f>IFERROR(__xludf.DUMMYFUNCTION("""COMPUTED_VALUE"""),44235.0)</f>
        <v>44235</v>
      </c>
      <c r="G1020" s="154" t="str">
        <f>IFERROR(__xludf.DUMMYFUNCTION("""COMPUTED_VALUE"""),"Email")</f>
        <v>Email</v>
      </c>
      <c r="H1020" s="131">
        <f>IFERROR(__xludf.DUMMYFUNCTION("""COMPUTED_VALUE"""),906785.0)</f>
        <v>906785</v>
      </c>
      <c r="I1020" s="132" t="str">
        <f>IFERROR(__xludf.DUMMYFUNCTION("""COMPUTED_VALUE"""),"02/21")</f>
        <v>02/21</v>
      </c>
      <c r="J1020" s="129">
        <f>IFERROR(__xludf.DUMMYFUNCTION("""COMPUTED_VALUE"""),44251.0)</f>
        <v>44251</v>
      </c>
      <c r="K1020" s="133">
        <f>IFERROR(__xludf.DUMMYFUNCTION("""COMPUTED_VALUE"""),27.0)</f>
        <v>27</v>
      </c>
      <c r="L1020" s="133">
        <f>IFERROR(__xludf.DUMMYFUNCTION("""COMPUTED_VALUE"""),16.0)</f>
        <v>16</v>
      </c>
      <c r="M1020" s="133">
        <f>IFERROR(__xludf.DUMMYFUNCTION("""COMPUTED_VALUE"""),43.0)</f>
        <v>43</v>
      </c>
      <c r="N1020" s="152" t="str">
        <f>IFERROR(__xludf.DUMMYFUNCTION("""COMPUTED_VALUE"""),"Model 3 LR AWD")</f>
        <v>Model 3 LR AWD</v>
      </c>
      <c r="O1020" s="152" t="str">
        <f>IFERROR(__xludf.DUMMYFUNCTION("""COMPUTED_VALUE"""),"Red Multi-Coat")</f>
        <v>Red Multi-Coat</v>
      </c>
      <c r="P1020" s="153" t="str">
        <f>IFERROR(__xludf.DUMMYFUNCTION("""COMPUTED_VALUE"""),"19 inch")</f>
        <v>19 inch</v>
      </c>
      <c r="Q1020" s="152" t="str">
        <f>IFERROR(__xludf.DUMMYFUNCTION("""COMPUTED_VALUE"""),"All Black")</f>
        <v>All Black</v>
      </c>
      <c r="R1020" s="150" t="str">
        <f>IFERROR(__xludf.DUMMYFUNCTION("""COMPUTED_VALUE"""),"Autopilot included")</f>
        <v>Autopilot included</v>
      </c>
      <c r="S1020" s="150" t="str">
        <f>IFERROR(__xludf.DUMMYFUNCTION("""COMPUTED_VALUE"""),"Cash")</f>
        <v>Cash</v>
      </c>
      <c r="T1020" s="136"/>
      <c r="U1020" s="136" t="str">
        <f>IFERROR(__xludf.DUMMYFUNCTION("""COMPUTED_VALUE"""),"Autopilot")</f>
        <v>Autopilot</v>
      </c>
      <c r="V1020" s="136" t="str">
        <f>IFERROR(__xludf.DUMMYFUNCTION("""COMPUTED_VALUE"""),"Head-up display")</f>
        <v>Head-up display</v>
      </c>
      <c r="W1020" s="136"/>
      <c r="X1020" s="137" t="str">
        <f>IFERROR(__xludf.DUMMYFUNCTION("""COMPUTED_VALUE"""),"Excellent")</f>
        <v>Excellent</v>
      </c>
      <c r="Y1020" s="138" t="str">
        <f>IFERROR(__xludf.DUMMYFUNCTION("""COMPUTED_VALUE"""),"Excellent")</f>
        <v>Excellent</v>
      </c>
      <c r="Z1020" s="138" t="str">
        <f>IFERROR(__xludf.DUMMYFUNCTION("""COMPUTED_VALUE"""),"Very Good")</f>
        <v>Very Good</v>
      </c>
      <c r="AA1020" s="138" t="str">
        <f>IFERROR(__xludf.DUMMYFUNCTION("""COMPUTED_VALUE"""),"Excellent")</f>
        <v>Excellent</v>
      </c>
      <c r="AB1020" s="138" t="str">
        <f>IFERROR(__xludf.DUMMYFUNCTION("""COMPUTED_VALUE"""),"Excellent")</f>
        <v>Excellent</v>
      </c>
      <c r="AC1020" s="139"/>
      <c r="AD1020" s="139"/>
      <c r="AE1020" s="139"/>
      <c r="AF1020" s="140" t="str">
        <f>IFERROR(__xludf.DUMMYFUNCTION("""COMPUTED_VALUE"""),"No. I took delivery of the first car Tesla was able to deliver.")</f>
        <v>No. I took delivery of the first car Tesla was able to deliver.</v>
      </c>
      <c r="AG1020" s="136"/>
      <c r="AH1020" s="157">
        <f>IFERROR(__xludf.DUMMYFUNCTION("""COMPUTED_VALUE"""),44254.47103059028)</f>
        <v>44254.47103</v>
      </c>
      <c r="AI1020" s="138"/>
      <c r="AJ1020" s="138"/>
      <c r="AK1020" s="138"/>
      <c r="AL1020" s="142"/>
    </row>
    <row r="1021" ht="20.25" customHeight="1">
      <c r="A1021" s="155" t="str">
        <f>IFERROR(__xludf.DUMMYFUNCTION("""COMPUTED_VALUE"""),"PrivateJoker")</f>
        <v>PrivateJoker</v>
      </c>
      <c r="B1021" s="149"/>
      <c r="C1021" s="149" t="str">
        <f>IFERROR(__xludf.DUMMYFUNCTION("""COMPUTED_VALUE"""),"NJ")</f>
        <v>NJ</v>
      </c>
      <c r="D1021" s="149" t="str">
        <f>IFERROR(__xludf.DUMMYFUNCTION("""COMPUTED_VALUE"""),"USA")</f>
        <v>USA</v>
      </c>
      <c r="E1021" s="156">
        <f>IFERROR(__xludf.DUMMYFUNCTION("""COMPUTED_VALUE"""),44208.0)</f>
        <v>44208</v>
      </c>
      <c r="F1021" s="129">
        <f>IFERROR(__xludf.DUMMYFUNCTION("""COMPUTED_VALUE"""),44269.0)</f>
        <v>44269</v>
      </c>
      <c r="G1021" s="154" t="str">
        <f>IFERROR(__xludf.DUMMYFUNCTION("""COMPUTED_VALUE"""),"Manage order page (normal text)")</f>
        <v>Manage order page (normal text)</v>
      </c>
      <c r="H1021" s="131">
        <f>IFERROR(__xludf.DUMMYFUNCTION("""COMPUTED_VALUE"""),914333.0)</f>
        <v>914333</v>
      </c>
      <c r="I1021" s="144"/>
      <c r="J1021" s="129">
        <f>IFERROR(__xludf.DUMMYFUNCTION("""COMPUTED_VALUE"""),44281.0)</f>
        <v>44281</v>
      </c>
      <c r="K1021" s="133">
        <f>IFERROR(__xludf.DUMMYFUNCTION("""COMPUTED_VALUE"""),61.0)</f>
        <v>61</v>
      </c>
      <c r="L1021" s="133">
        <f>IFERROR(__xludf.DUMMYFUNCTION("""COMPUTED_VALUE"""),12.0)</f>
        <v>12</v>
      </c>
      <c r="M1021" s="133">
        <f>IFERROR(__xludf.DUMMYFUNCTION("""COMPUTED_VALUE"""),73.0)</f>
        <v>73</v>
      </c>
      <c r="N1021" s="152" t="str">
        <f>IFERROR(__xludf.DUMMYFUNCTION("""COMPUTED_VALUE"""),"Model 3 Performance")</f>
        <v>Model 3 Performance</v>
      </c>
      <c r="O1021" s="152" t="str">
        <f>IFERROR(__xludf.DUMMYFUNCTION("""COMPUTED_VALUE"""),"Solid Black")</f>
        <v>Solid Black</v>
      </c>
      <c r="P1021" s="153" t="str">
        <f>IFERROR(__xludf.DUMMYFUNCTION("""COMPUTED_VALUE"""),"20 inch")</f>
        <v>20 inch</v>
      </c>
      <c r="Q1021" s="152" t="str">
        <f>IFERROR(__xludf.DUMMYFUNCTION("""COMPUTED_VALUE"""),"All Black")</f>
        <v>All Black</v>
      </c>
      <c r="R1021" s="149" t="str">
        <f>IFERROR(__xludf.DUMMYFUNCTION("""COMPUTED_VALUE"""),"Autopilot included")</f>
        <v>Autopilot included</v>
      </c>
      <c r="S1021" s="149"/>
      <c r="T1021" s="145"/>
      <c r="U1021" s="145" t="str">
        <f>IFERROR(__xludf.DUMMYFUNCTION("""COMPUTED_VALUE"""),"Electric!")</f>
        <v>Electric!</v>
      </c>
      <c r="V1021" s="145"/>
      <c r="W1021" s="145"/>
      <c r="X1021" s="137" t="str">
        <f>IFERROR(__xludf.DUMMYFUNCTION("""COMPUTED_VALUE"""),"Very Good")</f>
        <v>Very Good</v>
      </c>
      <c r="Y1021" s="138" t="str">
        <f>IFERROR(__xludf.DUMMYFUNCTION("""COMPUTED_VALUE"""),"Excellent")</f>
        <v>Excellent</v>
      </c>
      <c r="Z1021" s="138" t="str">
        <f>IFERROR(__xludf.DUMMYFUNCTION("""COMPUTED_VALUE"""),"Very Good")</f>
        <v>Very Good</v>
      </c>
      <c r="AA1021" s="138" t="str">
        <f>IFERROR(__xludf.DUMMYFUNCTION("""COMPUTED_VALUE"""),"Excellent")</f>
        <v>Excellent</v>
      </c>
      <c r="AB1021" s="138" t="str">
        <f>IFERROR(__xludf.DUMMYFUNCTION("""COMPUTED_VALUE"""),"Excellent")</f>
        <v>Excellent</v>
      </c>
      <c r="AC1021" s="139">
        <f>IFERROR(__xludf.DUMMYFUNCTION("""COMPUTED_VALUE"""),2.0)</f>
        <v>2</v>
      </c>
      <c r="AD1021" s="139">
        <f>IFERROR(__xludf.DUMMYFUNCTION("""COMPUTED_VALUE"""),1.0)</f>
        <v>1</v>
      </c>
      <c r="AE1021" s="139">
        <f>IFERROR(__xludf.DUMMYFUNCTION("""COMPUTED_VALUE"""),3.0)</f>
        <v>3</v>
      </c>
      <c r="AF1021" s="140" t="str">
        <f>IFERROR(__xludf.DUMMYFUNCTION("""COMPUTED_VALUE"""),"No. I took delivery of the first car Tesla was able to deliver.")</f>
        <v>No. I took delivery of the first car Tesla was able to deliver.</v>
      </c>
      <c r="AG1021" s="145"/>
      <c r="AH1021" s="157">
        <f>IFERROR(__xludf.DUMMYFUNCTION("""COMPUTED_VALUE"""),44353.8579053125)</f>
        <v>44353.85791</v>
      </c>
      <c r="AI1021" s="138"/>
      <c r="AJ1021" s="138"/>
      <c r="AK1021" s="138"/>
      <c r="AL1021" s="142"/>
    </row>
    <row r="1022" ht="20.25" customHeight="1">
      <c r="A1022" s="155" t="str">
        <f>IFERROR(__xludf.DUMMYFUNCTION("""COMPUTED_VALUE"""),"Dee333")</f>
        <v>Dee333</v>
      </c>
      <c r="B1022" s="149" t="str">
        <f>IFERROR(__xludf.DUMMYFUNCTION("""COMPUTED_VALUE"""),"VA Beach")</f>
        <v>VA Beach</v>
      </c>
      <c r="C1022" s="149" t="str">
        <f>IFERROR(__xludf.DUMMYFUNCTION("""COMPUTED_VALUE"""),"VA")</f>
        <v>VA</v>
      </c>
      <c r="D1022" s="149" t="str">
        <f>IFERROR(__xludf.DUMMYFUNCTION("""COMPUTED_VALUE"""),"USA")</f>
        <v>USA</v>
      </c>
      <c r="E1022" s="156">
        <f>IFERROR(__xludf.DUMMYFUNCTION("""COMPUTED_VALUE"""),44206.0)</f>
        <v>44206</v>
      </c>
      <c r="F1022" s="129">
        <f>IFERROR(__xludf.DUMMYFUNCTION("""COMPUTED_VALUE"""),44269.0)</f>
        <v>44269</v>
      </c>
      <c r="G1022" s="154" t="str">
        <f>IFERROR(__xludf.DUMMYFUNCTION("""COMPUTED_VALUE"""),"Email")</f>
        <v>Email</v>
      </c>
      <c r="H1022" s="131">
        <f>IFERROR(__xludf.DUMMYFUNCTION("""COMPUTED_VALUE"""),914655.0)</f>
        <v>914655</v>
      </c>
      <c r="I1022" s="144" t="str">
        <f>IFERROR(__xludf.DUMMYFUNCTION("""COMPUTED_VALUE"""),"03/21")</f>
        <v>03/21</v>
      </c>
      <c r="J1022" s="129">
        <f>IFERROR(__xludf.DUMMYFUNCTION("""COMPUTED_VALUE"""),44282.0)</f>
        <v>44282</v>
      </c>
      <c r="K1022" s="133">
        <f>IFERROR(__xludf.DUMMYFUNCTION("""COMPUTED_VALUE"""),63.0)</f>
        <v>63</v>
      </c>
      <c r="L1022" s="133">
        <f>IFERROR(__xludf.DUMMYFUNCTION("""COMPUTED_VALUE"""),13.0)</f>
        <v>13</v>
      </c>
      <c r="M1022" s="133">
        <f>IFERROR(__xludf.DUMMYFUNCTION("""COMPUTED_VALUE"""),76.0)</f>
        <v>76</v>
      </c>
      <c r="N1022" s="152" t="str">
        <f>IFERROR(__xludf.DUMMYFUNCTION("""COMPUTED_VALUE"""),"Model 3 Performance")</f>
        <v>Model 3 Performance</v>
      </c>
      <c r="O1022" s="152" t="str">
        <f>IFERROR(__xludf.DUMMYFUNCTION("""COMPUTED_VALUE"""),"Deep Blue Metallic")</f>
        <v>Deep Blue Metallic</v>
      </c>
      <c r="P1022" s="153" t="str">
        <f>IFERROR(__xludf.DUMMYFUNCTION("""COMPUTED_VALUE"""),"20 inch")</f>
        <v>20 inch</v>
      </c>
      <c r="Q1022" s="152" t="str">
        <f>IFERROR(__xludf.DUMMYFUNCTION("""COMPUTED_VALUE"""),"Black and White")</f>
        <v>Black and White</v>
      </c>
      <c r="R1022" s="149" t="str">
        <f>IFERROR(__xludf.DUMMYFUNCTION("""COMPUTED_VALUE"""),"Autopilot included")</f>
        <v>Autopilot included</v>
      </c>
      <c r="S1022" s="149" t="str">
        <f>IFERROR(__xludf.DUMMYFUNCTION("""COMPUTED_VALUE"""),"Loan")</f>
        <v>Loan</v>
      </c>
      <c r="T1022" s="145" t="str">
        <f>IFERROR(__xludf.DUMMYFUNCTION("""COMPUTED_VALUE"""),"Audi A5")</f>
        <v>Audi A5</v>
      </c>
      <c r="U1022" s="145" t="str">
        <f>IFERROR(__xludf.DUMMYFUNCTION("""COMPUTED_VALUE"""),"Electric!")</f>
        <v>Electric!</v>
      </c>
      <c r="V1022" s="145" t="str">
        <f>IFERROR(__xludf.DUMMYFUNCTION("""COMPUTED_VALUE"""),"Apple CarPlay / Android Auto / SiriusXM Radio")</f>
        <v>Apple CarPlay / Android Auto / SiriusXM Radio</v>
      </c>
      <c r="W1022" s="145" t="str">
        <f>IFERROR(__xludf.DUMMYFUNCTION("""COMPUTED_VALUE"""),"Don’t expect perfection in a car that is man-made. ")</f>
        <v>Don’t expect perfection in a car that is man-made. </v>
      </c>
      <c r="X1022" s="137" t="str">
        <f>IFERROR(__xludf.DUMMYFUNCTION("""COMPUTED_VALUE"""),"Excellent")</f>
        <v>Excellent</v>
      </c>
      <c r="Y1022" s="138" t="str">
        <f>IFERROR(__xludf.DUMMYFUNCTION("""COMPUTED_VALUE"""),"Excellent")</f>
        <v>Excellent</v>
      </c>
      <c r="Z1022" s="138" t="str">
        <f>IFERROR(__xludf.DUMMYFUNCTION("""COMPUTED_VALUE"""),"Very Good")</f>
        <v>Very Good</v>
      </c>
      <c r="AA1022" s="138" t="str">
        <f>IFERROR(__xludf.DUMMYFUNCTION("""COMPUTED_VALUE"""),"Excellent")</f>
        <v>Excellent</v>
      </c>
      <c r="AB1022" s="138" t="str">
        <f>IFERROR(__xludf.DUMMYFUNCTION("""COMPUTED_VALUE"""),"Excellent")</f>
        <v>Excellent</v>
      </c>
      <c r="AC1022" s="139"/>
      <c r="AD1022" s="139"/>
      <c r="AE1022" s="139"/>
      <c r="AF1022" s="140" t="str">
        <f>IFERROR(__xludf.DUMMYFUNCTION("""COMPUTED_VALUE"""),"No. I took delivery of the first car Tesla was able to deliver.")</f>
        <v>No. I took delivery of the first car Tesla was able to deliver.</v>
      </c>
      <c r="AG1022" s="145"/>
      <c r="AH1022" s="157">
        <f>IFERROR(__xludf.DUMMYFUNCTION("""COMPUTED_VALUE"""),44283.22208532407)</f>
        <v>44283.22209</v>
      </c>
      <c r="AI1022" s="138"/>
      <c r="AJ1022" s="138"/>
      <c r="AK1022" s="138"/>
      <c r="AL1022" s="142"/>
    </row>
    <row r="1023" ht="20.25" customHeight="1">
      <c r="A1023" s="155" t="str">
        <f>IFERROR(__xludf.DUMMYFUNCTION("""COMPUTED_VALUE"""),"Ucynic")</f>
        <v>Ucynic</v>
      </c>
      <c r="B1023" s="149" t="str">
        <f>IFERROR(__xludf.DUMMYFUNCTION("""COMPUTED_VALUE"""),"Vancouver")</f>
        <v>Vancouver</v>
      </c>
      <c r="C1023" s="149" t="str">
        <f>IFERROR(__xludf.DUMMYFUNCTION("""COMPUTED_VALUE"""),"BC")</f>
        <v>BC</v>
      </c>
      <c r="D1023" s="149" t="str">
        <f>IFERROR(__xludf.DUMMYFUNCTION("""COMPUTED_VALUE"""),"Canada")</f>
        <v>Canada</v>
      </c>
      <c r="E1023" s="156">
        <f>IFERROR(__xludf.DUMMYFUNCTION("""COMPUTED_VALUE"""),44206.0)</f>
        <v>44206</v>
      </c>
      <c r="F1023" s="129">
        <f>IFERROR(__xludf.DUMMYFUNCTION("""COMPUTED_VALUE"""),44206.0)</f>
        <v>44206</v>
      </c>
      <c r="G1023" s="154" t="str">
        <f>IFERROR(__xludf.DUMMYFUNCTION("""COMPUTED_VALUE"""),"Text message")</f>
        <v>Text message</v>
      </c>
      <c r="H1023" s="131">
        <f>IFERROR(__xludf.DUMMYFUNCTION("""COMPUTED_VALUE"""),904755.0)</f>
        <v>904755</v>
      </c>
      <c r="I1023" s="144" t="str">
        <f>IFERROR(__xludf.DUMMYFUNCTION("""COMPUTED_VALUE"""),"02/21")</f>
        <v>02/21</v>
      </c>
      <c r="J1023" s="129">
        <f>IFERROR(__xludf.DUMMYFUNCTION("""COMPUTED_VALUE"""),44244.0)</f>
        <v>44244</v>
      </c>
      <c r="K1023" s="133">
        <f>IFERROR(__xludf.DUMMYFUNCTION("""COMPUTED_VALUE"""),0.0)</f>
        <v>0</v>
      </c>
      <c r="L1023" s="133">
        <f>IFERROR(__xludf.DUMMYFUNCTION("""COMPUTED_VALUE"""),38.0)</f>
        <v>38</v>
      </c>
      <c r="M1023" s="133">
        <f>IFERROR(__xludf.DUMMYFUNCTION("""COMPUTED_VALUE"""),38.0)</f>
        <v>38</v>
      </c>
      <c r="N1023" s="152" t="str">
        <f>IFERROR(__xludf.DUMMYFUNCTION("""COMPUTED_VALUE"""),"Model 3 SR+")</f>
        <v>Model 3 SR+</v>
      </c>
      <c r="O1023" s="152" t="str">
        <f>IFERROR(__xludf.DUMMYFUNCTION("""COMPUTED_VALUE"""),"Deep Blue Metallic")</f>
        <v>Deep Blue Metallic</v>
      </c>
      <c r="P1023" s="153" t="str">
        <f>IFERROR(__xludf.DUMMYFUNCTION("""COMPUTED_VALUE"""),"18 inch")</f>
        <v>18 inch</v>
      </c>
      <c r="Q1023" s="152" t="str">
        <f>IFERROR(__xludf.DUMMYFUNCTION("""COMPUTED_VALUE"""),"All Black")</f>
        <v>All Black</v>
      </c>
      <c r="R1023" s="149" t="str">
        <f>IFERROR(__xludf.DUMMYFUNCTION("""COMPUTED_VALUE"""),"Autopilot included")</f>
        <v>Autopilot included</v>
      </c>
      <c r="S1023" s="149" t="str">
        <f>IFERROR(__xludf.DUMMYFUNCTION("""COMPUTED_VALUE"""),"Loan")</f>
        <v>Loan</v>
      </c>
      <c r="T1023" s="145"/>
      <c r="U1023" s="145" t="str">
        <f>IFERROR(__xludf.DUMMYFUNCTION("""COMPUTED_VALUE"""),"Electric!")</f>
        <v>Electric!</v>
      </c>
      <c r="V1023" s="145" t="str">
        <f>IFERROR(__xludf.DUMMYFUNCTION("""COMPUTED_VALUE"""),"360° Bird's eye view")</f>
        <v>360° Bird's eye view</v>
      </c>
      <c r="W1023" s="136"/>
      <c r="X1023" s="137" t="str">
        <f>IFERROR(__xludf.DUMMYFUNCTION("""COMPUTED_VALUE"""),"Very Good")</f>
        <v>Very Good</v>
      </c>
      <c r="Y1023" s="138" t="str">
        <f>IFERROR(__xludf.DUMMYFUNCTION("""COMPUTED_VALUE"""),"Excellent")</f>
        <v>Excellent</v>
      </c>
      <c r="Z1023" s="138" t="str">
        <f>IFERROR(__xludf.DUMMYFUNCTION("""COMPUTED_VALUE"""),"Excellent")</f>
        <v>Excellent</v>
      </c>
      <c r="AA1023" s="138" t="str">
        <f>IFERROR(__xludf.DUMMYFUNCTION("""COMPUTED_VALUE"""),"Excellent")</f>
        <v>Excellent</v>
      </c>
      <c r="AB1023" s="138" t="str">
        <f>IFERROR(__xludf.DUMMYFUNCTION("""COMPUTED_VALUE"""),"Excellent")</f>
        <v>Excellent</v>
      </c>
      <c r="AC1023" s="139"/>
      <c r="AD1023" s="139"/>
      <c r="AE1023" s="139"/>
      <c r="AF1023" s="140" t="str">
        <f>IFERROR(__xludf.DUMMYFUNCTION("""COMPUTED_VALUE"""),"No. I took delivery of the first car Tesla was able to deliver.")</f>
        <v>No. I took delivery of the first car Tesla was able to deliver.</v>
      </c>
      <c r="AG1023" s="136"/>
      <c r="AH1023" s="157">
        <f>IFERROR(__xludf.DUMMYFUNCTION("""COMPUTED_VALUE"""),44244.63294456019)</f>
        <v>44244.63294</v>
      </c>
      <c r="AI1023" s="138"/>
      <c r="AJ1023" s="138"/>
      <c r="AK1023" s="138"/>
      <c r="AL1023" s="142"/>
    </row>
    <row r="1024" ht="20.25" customHeight="1">
      <c r="A1024" s="155" t="str">
        <f>IFERROR(__xludf.DUMMYFUNCTION("""COMPUTED_VALUE"""),"Badranch")</f>
        <v>Badranch</v>
      </c>
      <c r="B1024" s="149" t="str">
        <f>IFERROR(__xludf.DUMMYFUNCTION("""COMPUTED_VALUE"""),"Baton Rouge")</f>
        <v>Baton Rouge</v>
      </c>
      <c r="C1024" s="149" t="str">
        <f>IFERROR(__xludf.DUMMYFUNCTION("""COMPUTED_VALUE"""),"LA")</f>
        <v>LA</v>
      </c>
      <c r="D1024" s="149" t="str">
        <f>IFERROR(__xludf.DUMMYFUNCTION("""COMPUTED_VALUE"""),"USA")</f>
        <v>USA</v>
      </c>
      <c r="E1024" s="156">
        <f>IFERROR(__xludf.DUMMYFUNCTION("""COMPUTED_VALUE"""),44204.0)</f>
        <v>44204</v>
      </c>
      <c r="F1024" s="129">
        <f>IFERROR(__xludf.DUMMYFUNCTION("""COMPUTED_VALUE"""),44233.0)</f>
        <v>44233</v>
      </c>
      <c r="G1024" s="154" t="str">
        <f>IFERROR(__xludf.DUMMYFUNCTION("""COMPUTED_VALUE"""),"Email")</f>
        <v>Email</v>
      </c>
      <c r="H1024" s="131">
        <f>IFERROR(__xludf.DUMMYFUNCTION("""COMPUTED_VALUE"""),902655.0)</f>
        <v>902655</v>
      </c>
      <c r="I1024" s="144"/>
      <c r="J1024" s="129">
        <f>IFERROR(__xludf.DUMMYFUNCTION("""COMPUTED_VALUE"""),43905.0)</f>
        <v>43905</v>
      </c>
      <c r="K1024" s="133">
        <f>IFERROR(__xludf.DUMMYFUNCTION("""COMPUTED_VALUE"""),29.0)</f>
        <v>29</v>
      </c>
      <c r="L1024" s="133"/>
      <c r="M1024" s="133"/>
      <c r="N1024" s="152" t="str">
        <f>IFERROR(__xludf.DUMMYFUNCTION("""COMPUTED_VALUE"""),"Model 3 LR AWD")</f>
        <v>Model 3 LR AWD</v>
      </c>
      <c r="O1024" s="152" t="str">
        <f>IFERROR(__xludf.DUMMYFUNCTION("""COMPUTED_VALUE"""),"Solid Black")</f>
        <v>Solid Black</v>
      </c>
      <c r="P1024" s="153" t="str">
        <f>IFERROR(__xludf.DUMMYFUNCTION("""COMPUTED_VALUE"""),"18 inch")</f>
        <v>18 inch</v>
      </c>
      <c r="Q1024" s="152" t="str">
        <f>IFERROR(__xludf.DUMMYFUNCTION("""COMPUTED_VALUE"""),"All Black")</f>
        <v>All Black</v>
      </c>
      <c r="R1024" s="149" t="str">
        <f>IFERROR(__xludf.DUMMYFUNCTION("""COMPUTED_VALUE"""),"Full Self-Driving")</f>
        <v>Full Self-Driving</v>
      </c>
      <c r="S1024" s="149" t="str">
        <f>IFERROR(__xludf.DUMMYFUNCTION("""COMPUTED_VALUE"""),"Loan")</f>
        <v>Loan</v>
      </c>
      <c r="T1024" s="145" t="str">
        <f>IFERROR(__xludf.DUMMYFUNCTION("""COMPUTED_VALUE"""),"Toyota Camry")</f>
        <v>Toyota Camry</v>
      </c>
      <c r="U1024" s="145" t="str">
        <f>IFERROR(__xludf.DUMMYFUNCTION("""COMPUTED_VALUE"""),"Electric!")</f>
        <v>Electric!</v>
      </c>
      <c r="V1024" s="145" t="str">
        <f>IFERROR(__xludf.DUMMYFUNCTION("""COMPUTED_VALUE"""),"Blind spot indicators on side mirrors")</f>
        <v>Blind spot indicators on side mirrors</v>
      </c>
      <c r="W1024" s="136"/>
      <c r="X1024" s="137" t="str">
        <f>IFERROR(__xludf.DUMMYFUNCTION("""COMPUTED_VALUE"""),"Excellent")</f>
        <v>Excellent</v>
      </c>
      <c r="Y1024" s="138" t="str">
        <f>IFERROR(__xludf.DUMMYFUNCTION("""COMPUTED_VALUE"""),"Good")</f>
        <v>Good</v>
      </c>
      <c r="Z1024" s="138" t="str">
        <f>IFERROR(__xludf.DUMMYFUNCTION("""COMPUTED_VALUE"""),"Good")</f>
        <v>Good</v>
      </c>
      <c r="AA1024" s="138" t="str">
        <f>IFERROR(__xludf.DUMMYFUNCTION("""COMPUTED_VALUE"""),"Poor")</f>
        <v>Poor</v>
      </c>
      <c r="AB1024" s="138" t="str">
        <f>IFERROR(__xludf.DUMMYFUNCTION("""COMPUTED_VALUE"""),"Poor")</f>
        <v>Poor</v>
      </c>
      <c r="AC1024" s="139">
        <f>IFERROR(__xludf.DUMMYFUNCTION("""COMPUTED_VALUE"""),3.0)</f>
        <v>3</v>
      </c>
      <c r="AD1024" s="139">
        <f>IFERROR(__xludf.DUMMYFUNCTION("""COMPUTED_VALUE"""),2.0)</f>
        <v>2</v>
      </c>
      <c r="AE1024" s="139">
        <f>IFERROR(__xludf.DUMMYFUNCTION("""COMPUTED_VALUE"""),0.0)</f>
        <v>0</v>
      </c>
      <c r="AF1024" s="140" t="str">
        <f>IFERROR(__xludf.DUMMYFUNCTION("""COMPUTED_VALUE"""),"No. I took delivery of the first car Tesla was able to deliver.")</f>
        <v>No. I took delivery of the first car Tesla was able to deliver.</v>
      </c>
      <c r="AG1024" s="136"/>
      <c r="AH1024" s="157">
        <f>IFERROR(__xludf.DUMMYFUNCTION("""COMPUTED_VALUE"""),44278.637849189814)</f>
        <v>44278.63785</v>
      </c>
      <c r="AI1024" s="138"/>
      <c r="AJ1024" s="138"/>
      <c r="AK1024" s="138"/>
      <c r="AL1024" s="142"/>
    </row>
    <row r="1025" ht="20.25" customHeight="1">
      <c r="A1025" s="155" t="str">
        <f>IFERROR(__xludf.DUMMYFUNCTION("""COMPUTED_VALUE"""),"ElectricGoBoi")</f>
        <v>ElectricGoBoi</v>
      </c>
      <c r="B1025" s="149" t="str">
        <f>IFERROR(__xludf.DUMMYFUNCTION("""COMPUTED_VALUE"""),"Tampa")</f>
        <v>Tampa</v>
      </c>
      <c r="C1025" s="149" t="str">
        <f>IFERROR(__xludf.DUMMYFUNCTION("""COMPUTED_VALUE"""),"FL")</f>
        <v>FL</v>
      </c>
      <c r="D1025" s="149" t="str">
        <f>IFERROR(__xludf.DUMMYFUNCTION("""COMPUTED_VALUE"""),"USA")</f>
        <v>USA</v>
      </c>
      <c r="E1025" s="156">
        <f>IFERROR(__xludf.DUMMYFUNCTION("""COMPUTED_VALUE"""),44204.0)</f>
        <v>44204</v>
      </c>
      <c r="F1025" s="129">
        <f>IFERROR(__xludf.DUMMYFUNCTION("""COMPUTED_VALUE"""),44252.0)</f>
        <v>44252</v>
      </c>
      <c r="G1025" s="154" t="str">
        <f>IFERROR(__xludf.DUMMYFUNCTION("""COMPUTED_VALUE"""),"Manage order page (normal text)")</f>
        <v>Manage order page (normal text)</v>
      </c>
      <c r="H1025" s="131">
        <f>IFERROR(__xludf.DUMMYFUNCTION("""COMPUTED_VALUE"""),903070.0)</f>
        <v>903070</v>
      </c>
      <c r="I1025" s="144" t="str">
        <f>IFERROR(__xludf.DUMMYFUNCTION("""COMPUTED_VALUE"""),"02/21")</f>
        <v>02/21</v>
      </c>
      <c r="J1025" s="129">
        <f>IFERROR(__xludf.DUMMYFUNCTION("""COMPUTED_VALUE"""),44273.0)</f>
        <v>44273</v>
      </c>
      <c r="K1025" s="133">
        <f>IFERROR(__xludf.DUMMYFUNCTION("""COMPUTED_VALUE"""),48.0)</f>
        <v>48</v>
      </c>
      <c r="L1025" s="133">
        <f>IFERROR(__xludf.DUMMYFUNCTION("""COMPUTED_VALUE"""),21.0)</f>
        <v>21</v>
      </c>
      <c r="M1025" s="133">
        <f>IFERROR(__xludf.DUMMYFUNCTION("""COMPUTED_VALUE"""),69.0)</f>
        <v>69</v>
      </c>
      <c r="N1025" s="152" t="str">
        <f>IFERROR(__xludf.DUMMYFUNCTION("""COMPUTED_VALUE"""),"Model 3 LR AWD")</f>
        <v>Model 3 LR AWD</v>
      </c>
      <c r="O1025" s="152" t="str">
        <f>IFERROR(__xludf.DUMMYFUNCTION("""COMPUTED_VALUE"""),"Midnight Silver Metallic")</f>
        <v>Midnight Silver Metallic</v>
      </c>
      <c r="P1025" s="153" t="str">
        <f>IFERROR(__xludf.DUMMYFUNCTION("""COMPUTED_VALUE"""),"18 inch")</f>
        <v>18 inch</v>
      </c>
      <c r="Q1025" s="152" t="str">
        <f>IFERROR(__xludf.DUMMYFUNCTION("""COMPUTED_VALUE"""),"Black and White")</f>
        <v>Black and White</v>
      </c>
      <c r="R1025" s="149" t="str">
        <f>IFERROR(__xludf.DUMMYFUNCTION("""COMPUTED_VALUE"""),"Full Self-Driving")</f>
        <v>Full Self-Driving</v>
      </c>
      <c r="S1025" s="149" t="str">
        <f>IFERROR(__xludf.DUMMYFUNCTION("""COMPUTED_VALUE"""),"Loan")</f>
        <v>Loan</v>
      </c>
      <c r="T1025" s="145" t="str">
        <f>IFERROR(__xludf.DUMMYFUNCTION("""COMPUTED_VALUE"""),"Toyota Tacoma Trd off-road")</f>
        <v>Toyota Tacoma Trd off-road</v>
      </c>
      <c r="U1025" s="145" t="str">
        <f>IFERROR(__xludf.DUMMYFUNCTION("""COMPUTED_VALUE"""),"No more gas stations")</f>
        <v>No more gas stations</v>
      </c>
      <c r="V1025" s="145" t="str">
        <f>IFERROR(__xludf.DUMMYFUNCTION("""COMPUTED_VALUE"""),"HomeLink")</f>
        <v>HomeLink</v>
      </c>
      <c r="W1025" s="136" t="str">
        <f>IFERROR(__xludf.DUMMYFUNCTION("""COMPUTED_VALUE"""),"The wait sucks but it’s definitely worth it, completely new driving experience ")</f>
        <v>The wait sucks but it’s definitely worth it, completely new driving experience </v>
      </c>
      <c r="X1025" s="137" t="str">
        <f>IFERROR(__xludf.DUMMYFUNCTION("""COMPUTED_VALUE"""),"Good")</f>
        <v>Good</v>
      </c>
      <c r="Y1025" s="138" t="str">
        <f>IFERROR(__xludf.DUMMYFUNCTION("""COMPUTED_VALUE"""),"Very Good")</f>
        <v>Very Good</v>
      </c>
      <c r="Z1025" s="138" t="str">
        <f>IFERROR(__xludf.DUMMYFUNCTION("""COMPUTED_VALUE"""),"Excellent")</f>
        <v>Excellent</v>
      </c>
      <c r="AA1025" s="138" t="str">
        <f>IFERROR(__xludf.DUMMYFUNCTION("""COMPUTED_VALUE"""),"Fair")</f>
        <v>Fair</v>
      </c>
      <c r="AB1025" s="138" t="str">
        <f>IFERROR(__xludf.DUMMYFUNCTION("""COMPUTED_VALUE"""),"Very Good")</f>
        <v>Very Good</v>
      </c>
      <c r="AC1025" s="139">
        <f>IFERROR(__xludf.DUMMYFUNCTION("""COMPUTED_VALUE"""),4.0)</f>
        <v>4</v>
      </c>
      <c r="AD1025" s="139">
        <f>IFERROR(__xludf.DUMMYFUNCTION("""COMPUTED_VALUE"""),1.0)</f>
        <v>1</v>
      </c>
      <c r="AE1025" s="139">
        <f>IFERROR(__xludf.DUMMYFUNCTION("""COMPUTED_VALUE"""),3.0)</f>
        <v>3</v>
      </c>
      <c r="AF1025" s="140" t="str">
        <f>IFERROR(__xludf.DUMMYFUNCTION("""COMPUTED_VALUE"""),"No. I took delivery of the first car Tesla was able to deliver.")</f>
        <v>No. I took delivery of the first car Tesla was able to deliver.</v>
      </c>
      <c r="AG1025" s="136"/>
      <c r="AH1025" s="157">
        <f>IFERROR(__xludf.DUMMYFUNCTION("""COMPUTED_VALUE"""),44279.90052150463)</f>
        <v>44279.90052</v>
      </c>
      <c r="AI1025" s="138"/>
      <c r="AJ1025" s="138"/>
      <c r="AK1025" s="138"/>
      <c r="AL1025" s="142"/>
    </row>
    <row r="1026" ht="20.25" customHeight="1">
      <c r="A1026" s="155" t="str">
        <f>IFERROR(__xludf.DUMMYFUNCTION("""COMPUTED_VALUE"""),"ArloDog")</f>
        <v>ArloDog</v>
      </c>
      <c r="B1026" s="149" t="str">
        <f>IFERROR(__xludf.DUMMYFUNCTION("""COMPUTED_VALUE"""),"Seabrook Island")</f>
        <v>Seabrook Island</v>
      </c>
      <c r="C1026" s="149" t="str">
        <f>IFERROR(__xludf.DUMMYFUNCTION("""COMPUTED_VALUE"""),"SC")</f>
        <v>SC</v>
      </c>
      <c r="D1026" s="149" t="str">
        <f>IFERROR(__xludf.DUMMYFUNCTION("""COMPUTED_VALUE"""),"USA")</f>
        <v>USA</v>
      </c>
      <c r="E1026" s="156">
        <f>IFERROR(__xludf.DUMMYFUNCTION("""COMPUTED_VALUE"""),44203.0)</f>
        <v>44203</v>
      </c>
      <c r="F1026" s="129">
        <f>IFERROR(__xludf.DUMMYFUNCTION("""COMPUTED_VALUE"""),44315.0)</f>
        <v>44315</v>
      </c>
      <c r="G1026" s="154" t="str">
        <f>IFERROR(__xludf.DUMMYFUNCTION("""COMPUTED_VALUE"""),"Manage order page (normal text)")</f>
        <v>Manage order page (normal text)</v>
      </c>
      <c r="H1026" s="131">
        <f>IFERROR(__xludf.DUMMYFUNCTION("""COMPUTED_VALUE"""),960755.0)</f>
        <v>960755</v>
      </c>
      <c r="I1026" s="144" t="str">
        <f>IFERROR(__xludf.DUMMYFUNCTION("""COMPUTED_VALUE"""),"04/21")</f>
        <v>04/21</v>
      </c>
      <c r="J1026" s="129">
        <f>IFERROR(__xludf.DUMMYFUNCTION("""COMPUTED_VALUE"""),44341.0)</f>
        <v>44341</v>
      </c>
      <c r="K1026" s="133">
        <f>IFERROR(__xludf.DUMMYFUNCTION("""COMPUTED_VALUE"""),112.0)</f>
        <v>112</v>
      </c>
      <c r="L1026" s="133">
        <f>IFERROR(__xludf.DUMMYFUNCTION("""COMPUTED_VALUE"""),26.0)</f>
        <v>26</v>
      </c>
      <c r="M1026" s="133">
        <f>IFERROR(__xludf.DUMMYFUNCTION("""COMPUTED_VALUE"""),138.0)</f>
        <v>138</v>
      </c>
      <c r="N1026" s="152" t="str">
        <f>IFERROR(__xludf.DUMMYFUNCTION("""COMPUTED_VALUE"""),"Model 3 LR AWD")</f>
        <v>Model 3 LR AWD</v>
      </c>
      <c r="O1026" s="152" t="str">
        <f>IFERROR(__xludf.DUMMYFUNCTION("""COMPUTED_VALUE"""),"Deep Blue Metallic")</f>
        <v>Deep Blue Metallic</v>
      </c>
      <c r="P1026" s="153" t="str">
        <f>IFERROR(__xludf.DUMMYFUNCTION("""COMPUTED_VALUE"""),"18 inch")</f>
        <v>18 inch</v>
      </c>
      <c r="Q1026" s="152" t="str">
        <f>IFERROR(__xludf.DUMMYFUNCTION("""COMPUTED_VALUE"""),"Black and White")</f>
        <v>Black and White</v>
      </c>
      <c r="R1026" s="149" t="str">
        <f>IFERROR(__xludf.DUMMYFUNCTION("""COMPUTED_VALUE"""),"Autopilot included")</f>
        <v>Autopilot included</v>
      </c>
      <c r="S1026" s="149" t="str">
        <f>IFERROR(__xludf.DUMMYFUNCTION("""COMPUTED_VALUE"""),"Lease")</f>
        <v>Lease</v>
      </c>
      <c r="T1026" s="145" t="str">
        <f>IFERROR(__xludf.DUMMYFUNCTION("""COMPUTED_VALUE"""),"BMW 3 Series")</f>
        <v>BMW 3 Series</v>
      </c>
      <c r="U1026" s="145" t="str">
        <f>IFERROR(__xludf.DUMMYFUNCTION("""COMPUTED_VALUE"""),"Electric!")</f>
        <v>Electric!</v>
      </c>
      <c r="V1026" s="145" t="str">
        <f>IFERROR(__xludf.DUMMYFUNCTION("""COMPUTED_VALUE"""),"Blind spot indicators on side mirrors")</f>
        <v>Blind spot indicators on side mirrors</v>
      </c>
      <c r="W1026" s="145"/>
      <c r="X1026" s="137" t="str">
        <f>IFERROR(__xludf.DUMMYFUNCTION("""COMPUTED_VALUE"""),"Excellent")</f>
        <v>Excellent</v>
      </c>
      <c r="Y1026" s="138" t="str">
        <f>IFERROR(__xludf.DUMMYFUNCTION("""COMPUTED_VALUE"""),"Excellent")</f>
        <v>Excellent</v>
      </c>
      <c r="Z1026" s="138" t="str">
        <f>IFERROR(__xludf.DUMMYFUNCTION("""COMPUTED_VALUE"""),"Excellent")</f>
        <v>Excellent</v>
      </c>
      <c r="AA1026" s="138" t="str">
        <f>IFERROR(__xludf.DUMMYFUNCTION("""COMPUTED_VALUE"""),"Fair")</f>
        <v>Fair</v>
      </c>
      <c r="AB1026" s="138" t="str">
        <f>IFERROR(__xludf.DUMMYFUNCTION("""COMPUTED_VALUE"""),"Good")</f>
        <v>Good</v>
      </c>
      <c r="AC1026" s="139">
        <f>IFERROR(__xludf.DUMMYFUNCTION("""COMPUTED_VALUE"""),0.0)</f>
        <v>0</v>
      </c>
      <c r="AD1026" s="139"/>
      <c r="AE1026" s="139"/>
      <c r="AF1026" s="140" t="str">
        <f>IFERROR(__xludf.DUMMYFUNCTION("""COMPUTED_VALUE"""),"No. I took delivery of the first car Tesla was able to deliver.")</f>
        <v>No. I took delivery of the first car Tesla was able to deliver.</v>
      </c>
      <c r="AG1026" s="145"/>
      <c r="AH1026" s="157">
        <f>IFERROR(__xludf.DUMMYFUNCTION("""COMPUTED_VALUE"""),44347.36100266204)</f>
        <v>44347.361</v>
      </c>
      <c r="AI1026" s="138"/>
      <c r="AJ1026" s="138"/>
      <c r="AK1026" s="138"/>
      <c r="AL1026" s="142"/>
    </row>
    <row r="1027" ht="20.25" customHeight="1">
      <c r="A1027" s="155" t="str">
        <f>IFERROR(__xludf.DUMMYFUNCTION("""COMPUTED_VALUE"""),"muhteeus")</f>
        <v>muhteeus</v>
      </c>
      <c r="B1027" s="150" t="str">
        <f>IFERROR(__xludf.DUMMYFUNCTION("""COMPUTED_VALUE"""),"Fort Worth")</f>
        <v>Fort Worth</v>
      </c>
      <c r="C1027" s="149" t="str">
        <f>IFERROR(__xludf.DUMMYFUNCTION("""COMPUTED_VALUE"""),"TX")</f>
        <v>TX</v>
      </c>
      <c r="D1027" s="149" t="str">
        <f>IFERROR(__xludf.DUMMYFUNCTION("""COMPUTED_VALUE"""),"USA")</f>
        <v>USA</v>
      </c>
      <c r="E1027" s="156">
        <f>IFERROR(__xludf.DUMMYFUNCTION("""COMPUTED_VALUE"""),44203.0)</f>
        <v>44203</v>
      </c>
      <c r="F1027" s="129">
        <f>IFERROR(__xludf.DUMMYFUNCTION("""COMPUTED_VALUE"""),44243.0)</f>
        <v>44243</v>
      </c>
      <c r="G1027" s="154" t="str">
        <f>IFERROR(__xludf.DUMMYFUNCTION("""COMPUTED_VALUE"""),"Email")</f>
        <v>Email</v>
      </c>
      <c r="H1027" s="131">
        <f>IFERROR(__xludf.DUMMYFUNCTION("""COMPUTED_VALUE"""),907255.0)</f>
        <v>907255</v>
      </c>
      <c r="I1027" s="132" t="str">
        <f>IFERROR(__xludf.DUMMYFUNCTION("""COMPUTED_VALUE"""),"02/21")</f>
        <v>02/21</v>
      </c>
      <c r="J1027" s="129">
        <f>IFERROR(__xludf.DUMMYFUNCTION("""COMPUTED_VALUE"""),44252.0)</f>
        <v>44252</v>
      </c>
      <c r="K1027" s="133">
        <f>IFERROR(__xludf.DUMMYFUNCTION("""COMPUTED_VALUE"""),40.0)</f>
        <v>40</v>
      </c>
      <c r="L1027" s="133">
        <f>IFERROR(__xludf.DUMMYFUNCTION("""COMPUTED_VALUE"""),9.0)</f>
        <v>9</v>
      </c>
      <c r="M1027" s="133">
        <f>IFERROR(__xludf.DUMMYFUNCTION("""COMPUTED_VALUE"""),49.0)</f>
        <v>49</v>
      </c>
      <c r="N1027" s="152" t="str">
        <f>IFERROR(__xludf.DUMMYFUNCTION("""COMPUTED_VALUE"""),"Model 3 SR+")</f>
        <v>Model 3 SR+</v>
      </c>
      <c r="O1027" s="152" t="str">
        <f>IFERROR(__xludf.DUMMYFUNCTION("""COMPUTED_VALUE"""),"Midnight Silver Metallic")</f>
        <v>Midnight Silver Metallic</v>
      </c>
      <c r="P1027" s="153" t="str">
        <f>IFERROR(__xludf.DUMMYFUNCTION("""COMPUTED_VALUE"""),"18 inch")</f>
        <v>18 inch</v>
      </c>
      <c r="Q1027" s="152" t="str">
        <f>IFERROR(__xludf.DUMMYFUNCTION("""COMPUTED_VALUE"""),"All Black")</f>
        <v>All Black</v>
      </c>
      <c r="R1027" s="150" t="str">
        <f>IFERROR(__xludf.DUMMYFUNCTION("""COMPUTED_VALUE"""),"Autopilot included")</f>
        <v>Autopilot included</v>
      </c>
      <c r="S1027" s="150" t="str">
        <f>IFERROR(__xludf.DUMMYFUNCTION("""COMPUTED_VALUE"""),"Loan")</f>
        <v>Loan</v>
      </c>
      <c r="T1027" s="136" t="str">
        <f>IFERROR(__xludf.DUMMYFUNCTION("""COMPUTED_VALUE"""),"Honda Fit")</f>
        <v>Honda Fit</v>
      </c>
      <c r="U1027" s="136" t="str">
        <f>IFERROR(__xludf.DUMMYFUNCTION("""COMPUTED_VALUE"""),"Electric!")</f>
        <v>Electric!</v>
      </c>
      <c r="V1027" s="136" t="str">
        <f>IFERROR(__xludf.DUMMYFUNCTION("""COMPUTED_VALUE"""),"Ventilated seats")</f>
        <v>Ventilated seats</v>
      </c>
      <c r="W1027" s="136" t="str">
        <f>IFERROR(__xludf.DUMMYFUNCTION("""COMPUTED_VALUE"""),"Don't hesitate to communicate with your SA or a chat agent. It seems that intracompany communications are poor at Tesla. Sometimes asking the same question via chat vs the SA would yield results.")</f>
        <v>Don't hesitate to communicate with your SA or a chat agent. It seems that intracompany communications are poor at Tesla. Sometimes asking the same question via chat vs the SA would yield results.</v>
      </c>
      <c r="X1027" s="137" t="str">
        <f>IFERROR(__xludf.DUMMYFUNCTION("""COMPUTED_VALUE"""),"Excellent")</f>
        <v>Excellent</v>
      </c>
      <c r="Y1027" s="138" t="str">
        <f>IFERROR(__xludf.DUMMYFUNCTION("""COMPUTED_VALUE"""),"Excellent")</f>
        <v>Excellent</v>
      </c>
      <c r="Z1027" s="138" t="str">
        <f>IFERROR(__xludf.DUMMYFUNCTION("""COMPUTED_VALUE"""),"Excellent")</f>
        <v>Excellent</v>
      </c>
      <c r="AA1027" s="138" t="str">
        <f>IFERROR(__xludf.DUMMYFUNCTION("""COMPUTED_VALUE"""),"Fair")</f>
        <v>Fair</v>
      </c>
      <c r="AB1027" s="138" t="str">
        <f>IFERROR(__xludf.DUMMYFUNCTION("""COMPUTED_VALUE"""),"Excellent")</f>
        <v>Excellent</v>
      </c>
      <c r="AC1027" s="139">
        <f>IFERROR(__xludf.DUMMYFUNCTION("""COMPUTED_VALUE"""),0.0)</f>
        <v>0</v>
      </c>
      <c r="AD1027" s="139">
        <f>IFERROR(__xludf.DUMMYFUNCTION("""COMPUTED_VALUE"""),0.0)</f>
        <v>0</v>
      </c>
      <c r="AE1027" s="139">
        <f>IFERROR(__xludf.DUMMYFUNCTION("""COMPUTED_VALUE"""),0.0)</f>
        <v>0</v>
      </c>
      <c r="AF1027" s="140" t="str">
        <f>IFERROR(__xludf.DUMMYFUNCTION("""COMPUTED_VALUE"""),"No. I took delivery of the first car Tesla was able to deliver.")</f>
        <v>No. I took delivery of the first car Tesla was able to deliver.</v>
      </c>
      <c r="AG1027" s="136" t="str">
        <f>IFERROR(__xludf.DUMMYFUNCTION("""COMPUTED_VALUE"""),"Delivery date delayed from 2/23 due to weather in TX/")</f>
        <v>Delivery date delayed from 2/23 due to weather in TX/</v>
      </c>
      <c r="AH1027" s="157">
        <f>IFERROR(__xludf.DUMMYFUNCTION("""COMPUTED_VALUE"""),44302.49025386574)</f>
        <v>44302.49025</v>
      </c>
      <c r="AI1027" s="138"/>
      <c r="AJ1027" s="138"/>
      <c r="AK1027" s="138"/>
      <c r="AL1027" s="142"/>
    </row>
    <row r="1028" ht="20.25" customHeight="1">
      <c r="A1028" s="155" t="str">
        <f>IFERROR(__xludf.DUMMYFUNCTION("""COMPUTED_VALUE"""),"Habu")</f>
        <v>Habu</v>
      </c>
      <c r="B1028" s="149" t="str">
        <f>IFERROR(__xludf.DUMMYFUNCTION("""COMPUTED_VALUE"""),"Cincinnati")</f>
        <v>Cincinnati</v>
      </c>
      <c r="C1028" s="149" t="str">
        <f>IFERROR(__xludf.DUMMYFUNCTION("""COMPUTED_VALUE"""),"OH")</f>
        <v>OH</v>
      </c>
      <c r="D1028" s="149" t="str">
        <f>IFERROR(__xludf.DUMMYFUNCTION("""COMPUTED_VALUE"""),"USA")</f>
        <v>USA</v>
      </c>
      <c r="E1028" s="156">
        <f>IFERROR(__xludf.DUMMYFUNCTION("""COMPUTED_VALUE"""),44202.0)</f>
        <v>44202</v>
      </c>
      <c r="F1028" s="129">
        <f>IFERROR(__xludf.DUMMYFUNCTION("""COMPUTED_VALUE"""),44260.0)</f>
        <v>44260</v>
      </c>
      <c r="G1028" s="154" t="str">
        <f>IFERROR(__xludf.DUMMYFUNCTION("""COMPUTED_VALUE"""),"Email")</f>
        <v>Email</v>
      </c>
      <c r="H1028" s="131">
        <f>IFERROR(__xludf.DUMMYFUNCTION("""COMPUTED_VALUE"""),903055.0)</f>
        <v>903055</v>
      </c>
      <c r="I1028" s="132"/>
      <c r="J1028" s="129">
        <f>IFERROR(__xludf.DUMMYFUNCTION("""COMPUTED_VALUE"""),44266.0)</f>
        <v>44266</v>
      </c>
      <c r="K1028" s="133">
        <f>IFERROR(__xludf.DUMMYFUNCTION("""COMPUTED_VALUE"""),58.0)</f>
        <v>58</v>
      </c>
      <c r="L1028" s="133">
        <f>IFERROR(__xludf.DUMMYFUNCTION("""COMPUTED_VALUE"""),6.0)</f>
        <v>6</v>
      </c>
      <c r="M1028" s="133">
        <f>IFERROR(__xludf.DUMMYFUNCTION("""COMPUTED_VALUE"""),64.0)</f>
        <v>64</v>
      </c>
      <c r="N1028" s="152" t="str">
        <f>IFERROR(__xludf.DUMMYFUNCTION("""COMPUTED_VALUE"""),"Model 3 LR AWD")</f>
        <v>Model 3 LR AWD</v>
      </c>
      <c r="O1028" s="152" t="str">
        <f>IFERROR(__xludf.DUMMYFUNCTION("""COMPUTED_VALUE"""),"Midnight Silver Metallic")</f>
        <v>Midnight Silver Metallic</v>
      </c>
      <c r="P1028" s="153" t="str">
        <f>IFERROR(__xludf.DUMMYFUNCTION("""COMPUTED_VALUE"""),"18 inch")</f>
        <v>18 inch</v>
      </c>
      <c r="Q1028" s="152" t="str">
        <f>IFERROR(__xludf.DUMMYFUNCTION("""COMPUTED_VALUE"""),"Black and White")</f>
        <v>Black and White</v>
      </c>
      <c r="R1028" s="150" t="str">
        <f>IFERROR(__xludf.DUMMYFUNCTION("""COMPUTED_VALUE"""),"Autopilot included")</f>
        <v>Autopilot included</v>
      </c>
      <c r="S1028" s="150" t="str">
        <f>IFERROR(__xludf.DUMMYFUNCTION("""COMPUTED_VALUE"""),"Loan")</f>
        <v>Loan</v>
      </c>
      <c r="T1028" s="136" t="str">
        <f>IFERROR(__xludf.DUMMYFUNCTION("""COMPUTED_VALUE"""),"Toyota Camry")</f>
        <v>Toyota Camry</v>
      </c>
      <c r="U1028" s="136"/>
      <c r="V1028" s="136"/>
      <c r="W1028" s="136"/>
      <c r="X1028" s="137" t="str">
        <f>IFERROR(__xludf.DUMMYFUNCTION("""COMPUTED_VALUE"""),"Excellent")</f>
        <v>Excellent</v>
      </c>
      <c r="Y1028" s="138" t="str">
        <f>IFERROR(__xludf.DUMMYFUNCTION("""COMPUTED_VALUE"""),"Excellent")</f>
        <v>Excellent</v>
      </c>
      <c r="Z1028" s="138" t="str">
        <f>IFERROR(__xludf.DUMMYFUNCTION("""COMPUTED_VALUE"""),"Excellent")</f>
        <v>Excellent</v>
      </c>
      <c r="AA1028" s="138" t="str">
        <f>IFERROR(__xludf.DUMMYFUNCTION("""COMPUTED_VALUE"""),"Good")</f>
        <v>Good</v>
      </c>
      <c r="AB1028" s="138" t="str">
        <f>IFERROR(__xludf.DUMMYFUNCTION("""COMPUTED_VALUE"""),"Very Good")</f>
        <v>Very Good</v>
      </c>
      <c r="AC1028" s="139"/>
      <c r="AD1028" s="139"/>
      <c r="AE1028" s="139"/>
      <c r="AF1028" s="140" t="str">
        <f>IFERROR(__xludf.DUMMYFUNCTION("""COMPUTED_VALUE"""),"No. I took delivery of the first car Tesla was able to deliver.")</f>
        <v>No. I took delivery of the first car Tesla was able to deliver.</v>
      </c>
      <c r="AG1028" s="136"/>
      <c r="AH1028" s="157">
        <f>IFERROR(__xludf.DUMMYFUNCTION("""COMPUTED_VALUE"""),44266.42626532407)</f>
        <v>44266.42627</v>
      </c>
      <c r="AI1028" s="138"/>
      <c r="AJ1028" s="138"/>
      <c r="AK1028" s="138"/>
      <c r="AL1028" s="142"/>
    </row>
    <row r="1029" ht="20.25" customHeight="1">
      <c r="A1029" s="155" t="str">
        <f>IFERROR(__xludf.DUMMYFUNCTION("""COMPUTED_VALUE"""),"McDork")</f>
        <v>McDork</v>
      </c>
      <c r="B1029" s="149" t="str">
        <f>IFERROR(__xludf.DUMMYFUNCTION("""COMPUTED_VALUE"""),"Gardnerville")</f>
        <v>Gardnerville</v>
      </c>
      <c r="C1029" s="149" t="str">
        <f>IFERROR(__xludf.DUMMYFUNCTION("""COMPUTED_VALUE"""),"NV")</f>
        <v>NV</v>
      </c>
      <c r="D1029" s="149" t="str">
        <f>IFERROR(__xludf.DUMMYFUNCTION("""COMPUTED_VALUE"""),"USA")</f>
        <v>USA</v>
      </c>
      <c r="E1029" s="156">
        <f>IFERROR(__xludf.DUMMYFUNCTION("""COMPUTED_VALUE"""),44202.0)</f>
        <v>44202</v>
      </c>
      <c r="F1029" s="129">
        <f>IFERROR(__xludf.DUMMYFUNCTION("""COMPUTED_VALUE"""),44270.0)</f>
        <v>44270</v>
      </c>
      <c r="G1029" s="154" t="str">
        <f>IFERROR(__xludf.DUMMYFUNCTION("""COMPUTED_VALUE"""),"Manage order page (normal text)")</f>
        <v>Manage order page (normal text)</v>
      </c>
      <c r="H1029" s="131">
        <f>IFERROR(__xludf.DUMMYFUNCTION("""COMPUTED_VALUE"""),926016.0)</f>
        <v>926016</v>
      </c>
      <c r="I1029" s="144"/>
      <c r="J1029" s="129">
        <f>IFERROR(__xludf.DUMMYFUNCTION("""COMPUTED_VALUE"""),44275.0)</f>
        <v>44275</v>
      </c>
      <c r="K1029" s="133">
        <f>IFERROR(__xludf.DUMMYFUNCTION("""COMPUTED_VALUE"""),68.0)</f>
        <v>68</v>
      </c>
      <c r="L1029" s="133">
        <f>IFERROR(__xludf.DUMMYFUNCTION("""COMPUTED_VALUE"""),5.0)</f>
        <v>5</v>
      </c>
      <c r="M1029" s="133">
        <f>IFERROR(__xludf.DUMMYFUNCTION("""COMPUTED_VALUE"""),73.0)</f>
        <v>73</v>
      </c>
      <c r="N1029" s="152" t="str">
        <f>IFERROR(__xludf.DUMMYFUNCTION("""COMPUTED_VALUE"""),"Model 3 Performance")</f>
        <v>Model 3 Performance</v>
      </c>
      <c r="O1029" s="152" t="str">
        <f>IFERROR(__xludf.DUMMYFUNCTION("""COMPUTED_VALUE"""),"Midnight Silver Metallic")</f>
        <v>Midnight Silver Metallic</v>
      </c>
      <c r="P1029" s="153" t="str">
        <f>IFERROR(__xludf.DUMMYFUNCTION("""COMPUTED_VALUE"""),"20 inch")</f>
        <v>20 inch</v>
      </c>
      <c r="Q1029" s="152" t="str">
        <f>IFERROR(__xludf.DUMMYFUNCTION("""COMPUTED_VALUE"""),"All Black")</f>
        <v>All Black</v>
      </c>
      <c r="R1029" s="149" t="str">
        <f>IFERROR(__xludf.DUMMYFUNCTION("""COMPUTED_VALUE"""),"Full Self-Driving")</f>
        <v>Full Self-Driving</v>
      </c>
      <c r="S1029" s="149" t="str">
        <f>IFERROR(__xludf.DUMMYFUNCTION("""COMPUTED_VALUE"""),"Cash")</f>
        <v>Cash</v>
      </c>
      <c r="T1029" s="145"/>
      <c r="U1029" s="145" t="str">
        <f>IFERROR(__xludf.DUMMYFUNCTION("""COMPUTED_VALUE"""),"Electric!")</f>
        <v>Electric!</v>
      </c>
      <c r="V1029" s="145" t="str">
        <f>IFERROR(__xludf.DUMMYFUNCTION("""COMPUTED_VALUE"""),"Air suspension")</f>
        <v>Air suspension</v>
      </c>
      <c r="W1029" s="136"/>
      <c r="X1029" s="137" t="str">
        <f>IFERROR(__xludf.DUMMYFUNCTION("""COMPUTED_VALUE"""),"Very Good")</f>
        <v>Very Good</v>
      </c>
      <c r="Y1029" s="138" t="str">
        <f>IFERROR(__xludf.DUMMYFUNCTION("""COMPUTED_VALUE"""),"Very Good")</f>
        <v>Very Good</v>
      </c>
      <c r="Z1029" s="138" t="str">
        <f>IFERROR(__xludf.DUMMYFUNCTION("""COMPUTED_VALUE"""),"Excellent")</f>
        <v>Excellent</v>
      </c>
      <c r="AA1029" s="138" t="str">
        <f>IFERROR(__xludf.DUMMYFUNCTION("""COMPUTED_VALUE"""),"Good")</f>
        <v>Good</v>
      </c>
      <c r="AB1029" s="138" t="str">
        <f>IFERROR(__xludf.DUMMYFUNCTION("""COMPUTED_VALUE"""),"Very Good")</f>
        <v>Very Good</v>
      </c>
      <c r="AC1029" s="139"/>
      <c r="AD1029" s="139"/>
      <c r="AE1029" s="139"/>
      <c r="AF1029" s="140" t="str">
        <f>IFERROR(__xludf.DUMMYFUNCTION("""COMPUTED_VALUE"""),"No. I took delivery of the first car Tesla was able to deliver.")</f>
        <v>No. I took delivery of the first car Tesla was able to deliver.</v>
      </c>
      <c r="AG1029" s="136"/>
      <c r="AH1029" s="157">
        <f>IFERROR(__xludf.DUMMYFUNCTION("""COMPUTED_VALUE"""),44277.47617628472)</f>
        <v>44277.47618</v>
      </c>
      <c r="AI1029" s="138"/>
      <c r="AJ1029" s="138"/>
      <c r="AK1029" s="138"/>
      <c r="AL1029" s="142"/>
    </row>
    <row r="1030" ht="20.25" customHeight="1">
      <c r="A1030" s="155" t="str">
        <f>IFERROR(__xludf.DUMMYFUNCTION("""COMPUTED_VALUE"""),"DCM3LR")</f>
        <v>DCM3LR</v>
      </c>
      <c r="B1030" s="149" t="str">
        <f>IFERROR(__xludf.DUMMYFUNCTION("""COMPUTED_VALUE"""),"Jacksonville")</f>
        <v>Jacksonville</v>
      </c>
      <c r="C1030" s="149" t="str">
        <f>IFERROR(__xludf.DUMMYFUNCTION("""COMPUTED_VALUE"""),"FL")</f>
        <v>FL</v>
      </c>
      <c r="D1030" s="149" t="str">
        <f>IFERROR(__xludf.DUMMYFUNCTION("""COMPUTED_VALUE"""),"USA")</f>
        <v>USA</v>
      </c>
      <c r="E1030" s="156">
        <f>IFERROR(__xludf.DUMMYFUNCTION("""COMPUTED_VALUE"""),44200.0)</f>
        <v>44200</v>
      </c>
      <c r="F1030" s="129">
        <f>IFERROR(__xludf.DUMMYFUNCTION("""COMPUTED_VALUE"""),44252.0)</f>
        <v>44252</v>
      </c>
      <c r="G1030" s="154" t="str">
        <f>IFERROR(__xludf.DUMMYFUNCTION("""COMPUTED_VALUE"""),"Manage order page (normal text)")</f>
        <v>Manage order page (normal text)</v>
      </c>
      <c r="H1030" s="131">
        <f>IFERROR(__xludf.DUMMYFUNCTION("""COMPUTED_VALUE"""),902855.0)</f>
        <v>902855</v>
      </c>
      <c r="I1030" s="144" t="str">
        <f>IFERROR(__xludf.DUMMYFUNCTION("""COMPUTED_VALUE"""),"02/21")</f>
        <v>02/21</v>
      </c>
      <c r="J1030" s="129">
        <f>IFERROR(__xludf.DUMMYFUNCTION("""COMPUTED_VALUE"""),44266.0)</f>
        <v>44266</v>
      </c>
      <c r="K1030" s="133">
        <f>IFERROR(__xludf.DUMMYFUNCTION("""COMPUTED_VALUE"""),52.0)</f>
        <v>52</v>
      </c>
      <c r="L1030" s="133">
        <f>IFERROR(__xludf.DUMMYFUNCTION("""COMPUTED_VALUE"""),14.0)</f>
        <v>14</v>
      </c>
      <c r="M1030" s="133">
        <f>IFERROR(__xludf.DUMMYFUNCTION("""COMPUTED_VALUE"""),66.0)</f>
        <v>66</v>
      </c>
      <c r="N1030" s="152" t="str">
        <f>IFERROR(__xludf.DUMMYFUNCTION("""COMPUTED_VALUE"""),"Model 3 LR AWD")</f>
        <v>Model 3 LR AWD</v>
      </c>
      <c r="O1030" s="152" t="str">
        <f>IFERROR(__xludf.DUMMYFUNCTION("""COMPUTED_VALUE"""),"Red Multi-Coat")</f>
        <v>Red Multi-Coat</v>
      </c>
      <c r="P1030" s="153" t="str">
        <f>IFERROR(__xludf.DUMMYFUNCTION("""COMPUTED_VALUE"""),"18 inch")</f>
        <v>18 inch</v>
      </c>
      <c r="Q1030" s="152" t="str">
        <f>IFERROR(__xludf.DUMMYFUNCTION("""COMPUTED_VALUE"""),"Black and White")</f>
        <v>Black and White</v>
      </c>
      <c r="R1030" s="149" t="str">
        <f>IFERROR(__xludf.DUMMYFUNCTION("""COMPUTED_VALUE"""),"Autopilot included")</f>
        <v>Autopilot included</v>
      </c>
      <c r="S1030" s="149" t="str">
        <f>IFERROR(__xludf.DUMMYFUNCTION("""COMPUTED_VALUE"""),"Loan")</f>
        <v>Loan</v>
      </c>
      <c r="T1030" s="145" t="str">
        <f>IFERROR(__xludf.DUMMYFUNCTION("""COMPUTED_VALUE"""),"Honda Accord")</f>
        <v>Honda Accord</v>
      </c>
      <c r="U1030" s="145" t="str">
        <f>IFERROR(__xludf.DUMMYFUNCTION("""COMPUTED_VALUE"""),"Electric!")</f>
        <v>Electric!</v>
      </c>
      <c r="V1030" s="145" t="str">
        <f>IFERROR(__xludf.DUMMYFUNCTION("""COMPUTED_VALUE"""),"Blind spot indicators on side mirrors")</f>
        <v>Blind spot indicators on side mirrors</v>
      </c>
      <c r="W1030" s="145"/>
      <c r="X1030" s="137" t="str">
        <f>IFERROR(__xludf.DUMMYFUNCTION("""COMPUTED_VALUE"""),"Very Good")</f>
        <v>Very Good</v>
      </c>
      <c r="Y1030" s="138" t="str">
        <f>IFERROR(__xludf.DUMMYFUNCTION("""COMPUTED_VALUE"""),"Very Good")</f>
        <v>Very Good</v>
      </c>
      <c r="Z1030" s="138" t="str">
        <f>IFERROR(__xludf.DUMMYFUNCTION("""COMPUTED_VALUE"""),"Excellent")</f>
        <v>Excellent</v>
      </c>
      <c r="AA1030" s="138" t="str">
        <f>IFERROR(__xludf.DUMMYFUNCTION("""COMPUTED_VALUE"""),"Very Good")</f>
        <v>Very Good</v>
      </c>
      <c r="AB1030" s="138" t="str">
        <f>IFERROR(__xludf.DUMMYFUNCTION("""COMPUTED_VALUE"""),"Excellent")</f>
        <v>Excellent</v>
      </c>
      <c r="AC1030" s="139"/>
      <c r="AD1030" s="139"/>
      <c r="AE1030" s="139"/>
      <c r="AF1030" s="140" t="str">
        <f>IFERROR(__xludf.DUMMYFUNCTION("""COMPUTED_VALUE"""),"No. I took delivery of the first car Tesla was able to deliver.")</f>
        <v>No. I took delivery of the first car Tesla was able to deliver.</v>
      </c>
      <c r="AG1030" s="145"/>
      <c r="AH1030" s="157">
        <f>IFERROR(__xludf.DUMMYFUNCTION("""COMPUTED_VALUE"""),44268.52102984953)</f>
        <v>44268.52103</v>
      </c>
      <c r="AI1030" s="138"/>
      <c r="AJ1030" s="138"/>
      <c r="AK1030" s="138"/>
      <c r="AL1030" s="142"/>
    </row>
    <row r="1031" ht="20.25" customHeight="1">
      <c r="A1031" s="155" t="str">
        <f>IFERROR(__xludf.DUMMYFUNCTION("""COMPUTED_VALUE"""),"Duskmourn")</f>
        <v>Duskmourn</v>
      </c>
      <c r="B1031" s="149" t="str">
        <f>IFERROR(__xludf.DUMMYFUNCTION("""COMPUTED_VALUE"""),"Port Charlotte")</f>
        <v>Port Charlotte</v>
      </c>
      <c r="C1031" s="149" t="str">
        <f>IFERROR(__xludf.DUMMYFUNCTION("""COMPUTED_VALUE"""),"FL")</f>
        <v>FL</v>
      </c>
      <c r="D1031" s="149" t="str">
        <f>IFERROR(__xludf.DUMMYFUNCTION("""COMPUTED_VALUE"""),"USA")</f>
        <v>USA</v>
      </c>
      <c r="E1031" s="156">
        <f>IFERROR(__xludf.DUMMYFUNCTION("""COMPUTED_VALUE"""),44200.0)</f>
        <v>44200</v>
      </c>
      <c r="F1031" s="129">
        <f>IFERROR(__xludf.DUMMYFUNCTION("""COMPUTED_VALUE"""),44266.0)</f>
        <v>44266</v>
      </c>
      <c r="G1031" s="154" t="str">
        <f>IFERROR(__xludf.DUMMYFUNCTION("""COMPUTED_VALUE"""),"Manage order page (normal text)")</f>
        <v>Manage order page (normal text)</v>
      </c>
      <c r="H1031" s="131">
        <f>IFERROR(__xludf.DUMMYFUNCTION("""COMPUTED_VALUE"""),924055.0)</f>
        <v>924055</v>
      </c>
      <c r="I1031" s="144"/>
      <c r="J1031" s="129">
        <f>IFERROR(__xludf.DUMMYFUNCTION("""COMPUTED_VALUE"""),44280.0)</f>
        <v>44280</v>
      </c>
      <c r="K1031" s="133">
        <f>IFERROR(__xludf.DUMMYFUNCTION("""COMPUTED_VALUE"""),66.0)</f>
        <v>66</v>
      </c>
      <c r="L1031" s="133">
        <f>IFERROR(__xludf.DUMMYFUNCTION("""COMPUTED_VALUE"""),14.0)</f>
        <v>14</v>
      </c>
      <c r="M1031" s="133">
        <f>IFERROR(__xludf.DUMMYFUNCTION("""COMPUTED_VALUE"""),80.0)</f>
        <v>80</v>
      </c>
      <c r="N1031" s="152" t="str">
        <f>IFERROR(__xludf.DUMMYFUNCTION("""COMPUTED_VALUE"""),"Model 3 LR AWD")</f>
        <v>Model 3 LR AWD</v>
      </c>
      <c r="O1031" s="152" t="str">
        <f>IFERROR(__xludf.DUMMYFUNCTION("""COMPUTED_VALUE"""),"Solid Black")</f>
        <v>Solid Black</v>
      </c>
      <c r="P1031" s="153" t="str">
        <f>IFERROR(__xludf.DUMMYFUNCTION("""COMPUTED_VALUE"""),"18 inch")</f>
        <v>18 inch</v>
      </c>
      <c r="Q1031" s="152" t="str">
        <f>IFERROR(__xludf.DUMMYFUNCTION("""COMPUTED_VALUE"""),"All Black")</f>
        <v>All Black</v>
      </c>
      <c r="R1031" s="149" t="str">
        <f>IFERROR(__xludf.DUMMYFUNCTION("""COMPUTED_VALUE"""),"Autopilot included")</f>
        <v>Autopilot included</v>
      </c>
      <c r="S1031" s="149" t="str">
        <f>IFERROR(__xludf.DUMMYFUNCTION("""COMPUTED_VALUE"""),"Loan")</f>
        <v>Loan</v>
      </c>
      <c r="T1031" s="145" t="str">
        <f>IFERROR(__xludf.DUMMYFUNCTION("""COMPUTED_VALUE"""),"Ford Mustang")</f>
        <v>Ford Mustang</v>
      </c>
      <c r="U1031" s="145"/>
      <c r="V1031" s="145"/>
      <c r="W1031" s="145"/>
      <c r="X1031" s="137" t="str">
        <f>IFERROR(__xludf.DUMMYFUNCTION("""COMPUTED_VALUE"""),"Excellent")</f>
        <v>Excellent</v>
      </c>
      <c r="Y1031" s="138" t="str">
        <f>IFERROR(__xludf.DUMMYFUNCTION("""COMPUTED_VALUE"""),"Excellent")</f>
        <v>Excellent</v>
      </c>
      <c r="Z1031" s="138" t="str">
        <f>IFERROR(__xludf.DUMMYFUNCTION("""COMPUTED_VALUE"""),"Excellent")</f>
        <v>Excellent</v>
      </c>
      <c r="AA1031" s="138" t="str">
        <f>IFERROR(__xludf.DUMMYFUNCTION("""COMPUTED_VALUE"""),"Poor")</f>
        <v>Poor</v>
      </c>
      <c r="AB1031" s="138" t="str">
        <f>IFERROR(__xludf.DUMMYFUNCTION("""COMPUTED_VALUE"""),"Good")</f>
        <v>Good</v>
      </c>
      <c r="AC1031" s="139"/>
      <c r="AD1031" s="139"/>
      <c r="AE1031" s="139"/>
      <c r="AF1031" s="140" t="str">
        <f>IFERROR(__xludf.DUMMYFUNCTION("""COMPUTED_VALUE"""),"No. I took delivery of the first car Tesla was able to deliver.")</f>
        <v>No. I took delivery of the first car Tesla was able to deliver.</v>
      </c>
      <c r="AG1031" s="145"/>
      <c r="AH1031" s="157">
        <f>IFERROR(__xludf.DUMMYFUNCTION("""COMPUTED_VALUE"""),44283.34004440972)</f>
        <v>44283.34004</v>
      </c>
      <c r="AI1031" s="138"/>
      <c r="AJ1031" s="138"/>
      <c r="AK1031" s="138"/>
      <c r="AL1031" s="142"/>
    </row>
    <row r="1032" ht="20.25" customHeight="1">
      <c r="A1032" s="155" t="str">
        <f>IFERROR(__xludf.DUMMYFUNCTION("""COMPUTED_VALUE"""),"Qaazon")</f>
        <v>Qaazon</v>
      </c>
      <c r="B1032" s="149" t="str">
        <f>IFERROR(__xludf.DUMMYFUNCTION("""COMPUTED_VALUE"""),"Vancouver")</f>
        <v>Vancouver</v>
      </c>
      <c r="C1032" s="149" t="str">
        <f>IFERROR(__xludf.DUMMYFUNCTION("""COMPUTED_VALUE"""),"BC")</f>
        <v>BC</v>
      </c>
      <c r="D1032" s="149" t="str">
        <f>IFERROR(__xludf.DUMMYFUNCTION("""COMPUTED_VALUE"""),"Canada")</f>
        <v>Canada</v>
      </c>
      <c r="E1032" s="156">
        <f>IFERROR(__xludf.DUMMYFUNCTION("""COMPUTED_VALUE"""),44200.0)</f>
        <v>44200</v>
      </c>
      <c r="F1032" s="129">
        <f>IFERROR(__xludf.DUMMYFUNCTION("""COMPUTED_VALUE"""),44261.0)</f>
        <v>44261</v>
      </c>
      <c r="G1032" s="154" t="str">
        <f>IFERROR(__xludf.DUMMYFUNCTION("""COMPUTED_VALUE"""),"Manage order page (normal text)")</f>
        <v>Manage order page (normal text)</v>
      </c>
      <c r="H1032" s="131">
        <f>IFERROR(__xludf.DUMMYFUNCTION("""COMPUTED_VALUE"""),918555.0)</f>
        <v>918555</v>
      </c>
      <c r="I1032" s="132"/>
      <c r="J1032" s="129">
        <f>IFERROR(__xludf.DUMMYFUNCTION("""COMPUTED_VALUE"""),44265.0)</f>
        <v>44265</v>
      </c>
      <c r="K1032" s="133">
        <f>IFERROR(__xludf.DUMMYFUNCTION("""COMPUTED_VALUE"""),61.0)</f>
        <v>61</v>
      </c>
      <c r="L1032" s="133">
        <f>IFERROR(__xludf.DUMMYFUNCTION("""COMPUTED_VALUE"""),4.0)</f>
        <v>4</v>
      </c>
      <c r="M1032" s="133">
        <f>IFERROR(__xludf.DUMMYFUNCTION("""COMPUTED_VALUE"""),65.0)</f>
        <v>65</v>
      </c>
      <c r="N1032" s="152" t="str">
        <f>IFERROR(__xludf.DUMMYFUNCTION("""COMPUTED_VALUE"""),"Model 3 SR+")</f>
        <v>Model 3 SR+</v>
      </c>
      <c r="O1032" s="152" t="str">
        <f>IFERROR(__xludf.DUMMYFUNCTION("""COMPUTED_VALUE"""),"Deep Blue Metallic")</f>
        <v>Deep Blue Metallic</v>
      </c>
      <c r="P1032" s="153" t="str">
        <f>IFERROR(__xludf.DUMMYFUNCTION("""COMPUTED_VALUE"""),"19 inch")</f>
        <v>19 inch</v>
      </c>
      <c r="Q1032" s="152" t="str">
        <f>IFERROR(__xludf.DUMMYFUNCTION("""COMPUTED_VALUE"""),"All Black")</f>
        <v>All Black</v>
      </c>
      <c r="R1032" s="150" t="str">
        <f>IFERROR(__xludf.DUMMYFUNCTION("""COMPUTED_VALUE"""),"Autopilot included")</f>
        <v>Autopilot included</v>
      </c>
      <c r="S1032" s="150" t="str">
        <f>IFERROR(__xludf.DUMMYFUNCTION("""COMPUTED_VALUE"""),"Loan")</f>
        <v>Loan</v>
      </c>
      <c r="T1032" s="136" t="str">
        <f>IFERROR(__xludf.DUMMYFUNCTION("""COMPUTED_VALUE"""),"BMW 3 Series")</f>
        <v>BMW 3 Series</v>
      </c>
      <c r="U1032" s="136" t="str">
        <f>IFERROR(__xludf.DUMMYFUNCTION("""COMPUTED_VALUE"""),"Electric!")</f>
        <v>Electric!</v>
      </c>
      <c r="V1032" s="136" t="str">
        <f>IFERROR(__xludf.DUMMYFUNCTION("""COMPUTED_VALUE"""),"Apple CarPlay / Android Auto / SiriusXM Radio")</f>
        <v>Apple CarPlay / Android Auto / SiriusXM Radio</v>
      </c>
      <c r="W1032" s="136"/>
      <c r="X1032" s="137" t="str">
        <f>IFERROR(__xludf.DUMMYFUNCTION("""COMPUTED_VALUE"""),"Very Good")</f>
        <v>Very Good</v>
      </c>
      <c r="Y1032" s="138" t="str">
        <f>IFERROR(__xludf.DUMMYFUNCTION("""COMPUTED_VALUE"""),"Very Good")</f>
        <v>Very Good</v>
      </c>
      <c r="Z1032" s="138" t="str">
        <f>IFERROR(__xludf.DUMMYFUNCTION("""COMPUTED_VALUE"""),"Very Good")</f>
        <v>Very Good</v>
      </c>
      <c r="AA1032" s="138" t="str">
        <f>IFERROR(__xludf.DUMMYFUNCTION("""COMPUTED_VALUE"""),"Good")</f>
        <v>Good</v>
      </c>
      <c r="AB1032" s="138" t="str">
        <f>IFERROR(__xludf.DUMMYFUNCTION("""COMPUTED_VALUE"""),"Good")</f>
        <v>Good</v>
      </c>
      <c r="AC1032" s="139"/>
      <c r="AD1032" s="139"/>
      <c r="AE1032" s="139"/>
      <c r="AF1032" s="140" t="str">
        <f>IFERROR(__xludf.DUMMYFUNCTION("""COMPUTED_VALUE"""),"No. I took delivery of the first car Tesla was able to deliver.")</f>
        <v>No. I took delivery of the first car Tesla was able to deliver.</v>
      </c>
      <c r="AG1032" s="136"/>
      <c r="AH1032" s="157">
        <f>IFERROR(__xludf.DUMMYFUNCTION("""COMPUTED_VALUE"""),44266.73490582176)</f>
        <v>44266.73491</v>
      </c>
      <c r="AI1032" s="138"/>
      <c r="AJ1032" s="138"/>
      <c r="AK1032" s="138"/>
      <c r="AL1032" s="142"/>
    </row>
    <row r="1033" ht="20.25" customHeight="1">
      <c r="A1033" s="155" t="str">
        <f>IFERROR(__xludf.DUMMYFUNCTION("""COMPUTED_VALUE"""),"KirksTesla")</f>
        <v>KirksTesla</v>
      </c>
      <c r="B1033" s="149" t="str">
        <f>IFERROR(__xludf.DUMMYFUNCTION("""COMPUTED_VALUE"""),"Enid")</f>
        <v>Enid</v>
      </c>
      <c r="C1033" s="149" t="str">
        <f>IFERROR(__xludf.DUMMYFUNCTION("""COMPUTED_VALUE"""),"OK")</f>
        <v>OK</v>
      </c>
      <c r="D1033" s="149" t="str">
        <f>IFERROR(__xludf.DUMMYFUNCTION("""COMPUTED_VALUE"""),"USA")</f>
        <v>USA</v>
      </c>
      <c r="E1033" s="156">
        <f>IFERROR(__xludf.DUMMYFUNCTION("""COMPUTED_VALUE"""),44198.0)</f>
        <v>44198</v>
      </c>
      <c r="F1033" s="129">
        <f>IFERROR(__xludf.DUMMYFUNCTION("""COMPUTED_VALUE"""),44263.0)</f>
        <v>44263</v>
      </c>
      <c r="G1033" s="154" t="str">
        <f>IFERROR(__xludf.DUMMYFUNCTION("""COMPUTED_VALUE"""),"Text message")</f>
        <v>Text message</v>
      </c>
      <c r="H1033" s="131">
        <f>IFERROR(__xludf.DUMMYFUNCTION("""COMPUTED_VALUE"""),913655.0)</f>
        <v>913655</v>
      </c>
      <c r="I1033" s="144" t="str">
        <f>IFERROR(__xludf.DUMMYFUNCTION("""COMPUTED_VALUE"""),"02/21")</f>
        <v>02/21</v>
      </c>
      <c r="J1033" s="129">
        <f>IFERROR(__xludf.DUMMYFUNCTION("""COMPUTED_VALUE"""),44267.0)</f>
        <v>44267</v>
      </c>
      <c r="K1033" s="133">
        <f>IFERROR(__xludf.DUMMYFUNCTION("""COMPUTED_VALUE"""),65.0)</f>
        <v>65</v>
      </c>
      <c r="L1033" s="133">
        <f>IFERROR(__xludf.DUMMYFUNCTION("""COMPUTED_VALUE"""),4.0)</f>
        <v>4</v>
      </c>
      <c r="M1033" s="133">
        <f>IFERROR(__xludf.DUMMYFUNCTION("""COMPUTED_VALUE"""),69.0)</f>
        <v>69</v>
      </c>
      <c r="N1033" s="152" t="str">
        <f>IFERROR(__xludf.DUMMYFUNCTION("""COMPUTED_VALUE"""),"Model 3 Performance")</f>
        <v>Model 3 Performance</v>
      </c>
      <c r="O1033" s="152" t="str">
        <f>IFERROR(__xludf.DUMMYFUNCTION("""COMPUTED_VALUE"""),"Midnight Silver Metallic")</f>
        <v>Midnight Silver Metallic</v>
      </c>
      <c r="P1033" s="153" t="str">
        <f>IFERROR(__xludf.DUMMYFUNCTION("""COMPUTED_VALUE"""),"20 inch")</f>
        <v>20 inch</v>
      </c>
      <c r="Q1033" s="152" t="str">
        <f>IFERROR(__xludf.DUMMYFUNCTION("""COMPUTED_VALUE"""),"All Black")</f>
        <v>All Black</v>
      </c>
      <c r="R1033" s="149" t="str">
        <f>IFERROR(__xludf.DUMMYFUNCTION("""COMPUTED_VALUE"""),"Autopilot included")</f>
        <v>Autopilot included</v>
      </c>
      <c r="S1033" s="149" t="str">
        <f>IFERROR(__xludf.DUMMYFUNCTION("""COMPUTED_VALUE"""),"Loan")</f>
        <v>Loan</v>
      </c>
      <c r="T1033" s="145" t="str">
        <f>IFERROR(__xludf.DUMMYFUNCTION("""COMPUTED_VALUE"""),"Jeep Wrangler")</f>
        <v>Jeep Wrangler</v>
      </c>
      <c r="U1033" s="145" t="str">
        <f>IFERROR(__xludf.DUMMYFUNCTION("""COMPUTED_VALUE"""),"Autopilot")</f>
        <v>Autopilot</v>
      </c>
      <c r="V1033" s="145" t="str">
        <f>IFERROR(__xludf.DUMMYFUNCTION("""COMPUTED_VALUE"""),"Air suspension")</f>
        <v>Air suspension</v>
      </c>
      <c r="W1033" s="145"/>
      <c r="X1033" s="137" t="str">
        <f>IFERROR(__xludf.DUMMYFUNCTION("""COMPUTED_VALUE"""),"Excellent")</f>
        <v>Excellent</v>
      </c>
      <c r="Y1033" s="138" t="str">
        <f>IFERROR(__xludf.DUMMYFUNCTION("""COMPUTED_VALUE"""),"Excellent")</f>
        <v>Excellent</v>
      </c>
      <c r="Z1033" s="138" t="str">
        <f>IFERROR(__xludf.DUMMYFUNCTION("""COMPUTED_VALUE"""),"Excellent")</f>
        <v>Excellent</v>
      </c>
      <c r="AA1033" s="138" t="str">
        <f>IFERROR(__xludf.DUMMYFUNCTION("""COMPUTED_VALUE"""),"Good")</f>
        <v>Good</v>
      </c>
      <c r="AB1033" s="138" t="str">
        <f>IFERROR(__xludf.DUMMYFUNCTION("""COMPUTED_VALUE"""),"Good")</f>
        <v>Good</v>
      </c>
      <c r="AC1033" s="139"/>
      <c r="AD1033" s="139"/>
      <c r="AE1033" s="139"/>
      <c r="AF1033" s="140" t="str">
        <f>IFERROR(__xludf.DUMMYFUNCTION("""COMPUTED_VALUE"""),"No. I took delivery of the first car Tesla was able to deliver.")</f>
        <v>No. I took delivery of the first car Tesla was able to deliver.</v>
      </c>
      <c r="AG1033" s="145"/>
      <c r="AH1033" s="157">
        <f>IFERROR(__xludf.DUMMYFUNCTION("""COMPUTED_VALUE"""),44269.33818881945)</f>
        <v>44269.33819</v>
      </c>
      <c r="AI1033" s="138"/>
      <c r="AJ1033" s="138"/>
      <c r="AK1033" s="138"/>
      <c r="AL1033" s="142"/>
    </row>
    <row r="1034" ht="20.25" customHeight="1">
      <c r="A1034" s="155" t="str">
        <f>IFERROR(__xludf.DUMMYFUNCTION("""COMPUTED_VALUE"""),"tstolze")</f>
        <v>tstolze</v>
      </c>
      <c r="B1034" s="149" t="str">
        <f>IFERROR(__xludf.DUMMYFUNCTION("""COMPUTED_VALUE"""),"OFallon")</f>
        <v>OFallon</v>
      </c>
      <c r="C1034" s="149" t="str">
        <f>IFERROR(__xludf.DUMMYFUNCTION("""COMPUTED_VALUE"""),"MO")</f>
        <v>MO</v>
      </c>
      <c r="D1034" s="149" t="str">
        <f>IFERROR(__xludf.DUMMYFUNCTION("""COMPUTED_VALUE"""),"USA")</f>
        <v>USA</v>
      </c>
      <c r="E1034" s="156">
        <f>IFERROR(__xludf.DUMMYFUNCTION("""COMPUTED_VALUE"""),44198.0)</f>
        <v>44198</v>
      </c>
      <c r="F1034" s="129">
        <f>IFERROR(__xludf.DUMMYFUNCTION("""COMPUTED_VALUE"""),44239.0)</f>
        <v>44239</v>
      </c>
      <c r="G1034" s="154" t="str">
        <f>IFERROR(__xludf.DUMMYFUNCTION("""COMPUTED_VALUE"""),"Manage order page (normal text)")</f>
        <v>Manage order page (normal text)</v>
      </c>
      <c r="H1034" s="131">
        <f>IFERROR(__xludf.DUMMYFUNCTION("""COMPUTED_VALUE"""),906855.0)</f>
        <v>906855</v>
      </c>
      <c r="I1034" s="132" t="str">
        <f>IFERROR(__xludf.DUMMYFUNCTION("""COMPUTED_VALUE"""),"02/21")</f>
        <v>02/21</v>
      </c>
      <c r="J1034" s="129">
        <f>IFERROR(__xludf.DUMMYFUNCTION("""COMPUTED_VALUE"""),44256.0)</f>
        <v>44256</v>
      </c>
      <c r="K1034" s="133">
        <f>IFERROR(__xludf.DUMMYFUNCTION("""COMPUTED_VALUE"""),41.0)</f>
        <v>41</v>
      </c>
      <c r="L1034" s="133">
        <f>IFERROR(__xludf.DUMMYFUNCTION("""COMPUTED_VALUE"""),17.0)</f>
        <v>17</v>
      </c>
      <c r="M1034" s="133">
        <f>IFERROR(__xludf.DUMMYFUNCTION("""COMPUTED_VALUE"""),58.0)</f>
        <v>58</v>
      </c>
      <c r="N1034" s="152" t="str">
        <f>IFERROR(__xludf.DUMMYFUNCTION("""COMPUTED_VALUE"""),"Model 3 LR AWD")</f>
        <v>Model 3 LR AWD</v>
      </c>
      <c r="O1034" s="152" t="str">
        <f>IFERROR(__xludf.DUMMYFUNCTION("""COMPUTED_VALUE"""),"Deep Blue Metallic")</f>
        <v>Deep Blue Metallic</v>
      </c>
      <c r="P1034" s="153" t="str">
        <f>IFERROR(__xludf.DUMMYFUNCTION("""COMPUTED_VALUE"""),"18 inch")</f>
        <v>18 inch</v>
      </c>
      <c r="Q1034" s="152" t="str">
        <f>IFERROR(__xludf.DUMMYFUNCTION("""COMPUTED_VALUE"""),"Black and White")</f>
        <v>Black and White</v>
      </c>
      <c r="R1034" s="150" t="str">
        <f>IFERROR(__xludf.DUMMYFUNCTION("""COMPUTED_VALUE"""),"Autopilot included")</f>
        <v>Autopilot included</v>
      </c>
      <c r="S1034" s="150" t="str">
        <f>IFERROR(__xludf.DUMMYFUNCTION("""COMPUTED_VALUE"""),"Cash")</f>
        <v>Cash</v>
      </c>
      <c r="T1034" s="136"/>
      <c r="U1034" s="136" t="str">
        <f>IFERROR(__xludf.DUMMYFUNCTION("""COMPUTED_VALUE"""),"Electric!")</f>
        <v>Electric!</v>
      </c>
      <c r="V1034" s="136" t="str">
        <f>IFERROR(__xludf.DUMMYFUNCTION("""COMPUTED_VALUE"""),"Ventilated seats")</f>
        <v>Ventilated seats</v>
      </c>
      <c r="W1034" s="136"/>
      <c r="X1034" s="137" t="str">
        <f>IFERROR(__xludf.DUMMYFUNCTION("""COMPUTED_VALUE"""),"Good")</f>
        <v>Good</v>
      </c>
      <c r="Y1034" s="138" t="str">
        <f>IFERROR(__xludf.DUMMYFUNCTION("""COMPUTED_VALUE"""),"Excellent")</f>
        <v>Excellent</v>
      </c>
      <c r="Z1034" s="138" t="str">
        <f>IFERROR(__xludf.DUMMYFUNCTION("""COMPUTED_VALUE"""),"Excellent")</f>
        <v>Excellent</v>
      </c>
      <c r="AA1034" s="138" t="str">
        <f>IFERROR(__xludf.DUMMYFUNCTION("""COMPUTED_VALUE"""),"Very Good")</f>
        <v>Very Good</v>
      </c>
      <c r="AB1034" s="138" t="str">
        <f>IFERROR(__xludf.DUMMYFUNCTION("""COMPUTED_VALUE"""),"Very Good")</f>
        <v>Very Good</v>
      </c>
      <c r="AC1034" s="139">
        <f>IFERROR(__xludf.DUMMYFUNCTION("""COMPUTED_VALUE"""),2.0)</f>
        <v>2</v>
      </c>
      <c r="AD1034" s="139"/>
      <c r="AE1034" s="139"/>
      <c r="AF1034" s="140" t="str">
        <f>IFERROR(__xludf.DUMMYFUNCTION("""COMPUTED_VALUE"""),"No. I took delivery of the first car Tesla was able to deliver.")</f>
        <v>No. I took delivery of the first car Tesla was able to deliver.</v>
      </c>
      <c r="AG1034" s="136"/>
      <c r="AH1034" s="157">
        <f>IFERROR(__xludf.DUMMYFUNCTION("""COMPUTED_VALUE"""),44260.4240525)</f>
        <v>44260.42405</v>
      </c>
      <c r="AI1034" s="138"/>
      <c r="AJ1034" s="138"/>
      <c r="AK1034" s="138"/>
      <c r="AL1034" s="142"/>
    </row>
    <row r="1035" ht="20.25" customHeight="1">
      <c r="A1035" s="155" t="str">
        <f>IFERROR(__xludf.DUMMYFUNCTION("""COMPUTED_VALUE"""),"dortmundfan93")</f>
        <v>dortmundfan93</v>
      </c>
      <c r="B1035" s="150"/>
      <c r="C1035" s="150" t="str">
        <f>IFERROR(__xludf.DUMMYFUNCTION("""COMPUTED_VALUE"""),"NY")</f>
        <v>NY</v>
      </c>
      <c r="D1035" s="150" t="str">
        <f>IFERROR(__xludf.DUMMYFUNCTION("""COMPUTED_VALUE"""),"USA")</f>
        <v>USA</v>
      </c>
      <c r="E1035" s="156">
        <f>IFERROR(__xludf.DUMMYFUNCTION("""COMPUTED_VALUE"""),44193.0)</f>
        <v>44193</v>
      </c>
      <c r="F1035" s="129">
        <f>IFERROR(__xludf.DUMMYFUNCTION("""COMPUTED_VALUE"""),44237.0)</f>
        <v>44237</v>
      </c>
      <c r="G1035" s="154" t="str">
        <f>IFERROR(__xludf.DUMMYFUNCTION("""COMPUTED_VALUE"""),"Manage order page (normal text)")</f>
        <v>Manage order page (normal text)</v>
      </c>
      <c r="H1035" s="131">
        <f>IFERROR(__xludf.DUMMYFUNCTION("""COMPUTED_VALUE"""),902855.0)</f>
        <v>902855</v>
      </c>
      <c r="I1035" s="132" t="str">
        <f>IFERROR(__xludf.DUMMYFUNCTION("""COMPUTED_VALUE"""),"02/21")</f>
        <v>02/21</v>
      </c>
      <c r="J1035" s="129">
        <f>IFERROR(__xludf.DUMMYFUNCTION("""COMPUTED_VALUE"""),44248.0)</f>
        <v>44248</v>
      </c>
      <c r="K1035" s="133">
        <f>IFERROR(__xludf.DUMMYFUNCTION("""COMPUTED_VALUE"""),44.0)</f>
        <v>44</v>
      </c>
      <c r="L1035" s="133">
        <f>IFERROR(__xludf.DUMMYFUNCTION("""COMPUTED_VALUE"""),11.0)</f>
        <v>11</v>
      </c>
      <c r="M1035" s="133">
        <f>IFERROR(__xludf.DUMMYFUNCTION("""COMPUTED_VALUE"""),55.0)</f>
        <v>55</v>
      </c>
      <c r="N1035" s="152" t="str">
        <f>IFERROR(__xludf.DUMMYFUNCTION("""COMPUTED_VALUE"""),"Model 3 LR AWD")</f>
        <v>Model 3 LR AWD</v>
      </c>
      <c r="O1035" s="152" t="str">
        <f>IFERROR(__xludf.DUMMYFUNCTION("""COMPUTED_VALUE"""),"Red Multi-Coat")</f>
        <v>Red Multi-Coat</v>
      </c>
      <c r="P1035" s="153" t="str">
        <f>IFERROR(__xludf.DUMMYFUNCTION("""COMPUTED_VALUE"""),"18 inch")</f>
        <v>18 inch</v>
      </c>
      <c r="Q1035" s="152" t="str">
        <f>IFERROR(__xludf.DUMMYFUNCTION("""COMPUTED_VALUE"""),"All Black")</f>
        <v>All Black</v>
      </c>
      <c r="R1035" s="150" t="str">
        <f>IFERROR(__xludf.DUMMYFUNCTION("""COMPUTED_VALUE"""),"Autopilot included")</f>
        <v>Autopilot included</v>
      </c>
      <c r="S1035" s="150" t="str">
        <f>IFERROR(__xludf.DUMMYFUNCTION("""COMPUTED_VALUE"""),"Loan")</f>
        <v>Loan</v>
      </c>
      <c r="T1035" s="136" t="str">
        <f>IFERROR(__xludf.DUMMYFUNCTION("""COMPUTED_VALUE"""),"BMW 3 Series")</f>
        <v>BMW 3 Series</v>
      </c>
      <c r="U1035" s="136" t="str">
        <f>IFERROR(__xludf.DUMMYFUNCTION("""COMPUTED_VALUE"""),"Autopilot")</f>
        <v>Autopilot</v>
      </c>
      <c r="V1035" s="136" t="str">
        <f>IFERROR(__xludf.DUMMYFUNCTION("""COMPUTED_VALUE"""),"Apple CarPlay / Android Auto / SiriusXM Radio")</f>
        <v>Apple CarPlay / Android Auto / SiriusXM Radio</v>
      </c>
      <c r="W1035" s="136"/>
      <c r="X1035" s="137" t="str">
        <f>IFERROR(__xludf.DUMMYFUNCTION("""COMPUTED_VALUE"""),"Excellent")</f>
        <v>Excellent</v>
      </c>
      <c r="Y1035" s="138" t="str">
        <f>IFERROR(__xludf.DUMMYFUNCTION("""COMPUTED_VALUE"""),"Very Good")</f>
        <v>Very Good</v>
      </c>
      <c r="Z1035" s="138" t="str">
        <f>IFERROR(__xludf.DUMMYFUNCTION("""COMPUTED_VALUE"""),"Excellent")</f>
        <v>Excellent</v>
      </c>
      <c r="AA1035" s="138" t="str">
        <f>IFERROR(__xludf.DUMMYFUNCTION("""COMPUTED_VALUE"""),"Fair")</f>
        <v>Fair</v>
      </c>
      <c r="AB1035" s="138" t="str">
        <f>IFERROR(__xludf.DUMMYFUNCTION("""COMPUTED_VALUE"""),"Very Good")</f>
        <v>Very Good</v>
      </c>
      <c r="AC1035" s="139"/>
      <c r="AD1035" s="139"/>
      <c r="AE1035" s="139"/>
      <c r="AF1035" s="140" t="str">
        <f>IFERROR(__xludf.DUMMYFUNCTION("""COMPUTED_VALUE"""),"No. I took delivery of the first car Tesla was able to deliver.")</f>
        <v>No. I took delivery of the first car Tesla was able to deliver.</v>
      </c>
      <c r="AG1035" s="136"/>
      <c r="AH1035" s="157">
        <f>IFERROR(__xludf.DUMMYFUNCTION("""COMPUTED_VALUE"""),44256.36286741898)</f>
        <v>44256.36287</v>
      </c>
      <c r="AI1035" s="138"/>
      <c r="AJ1035" s="138"/>
      <c r="AK1035" s="138"/>
      <c r="AL1035" s="142"/>
    </row>
    <row r="1036" ht="20.25" customHeight="1">
      <c r="A1036" s="155" t="str">
        <f>IFERROR(__xludf.DUMMYFUNCTION("""COMPUTED_VALUE"""),"corbinpog")</f>
        <v>corbinpog</v>
      </c>
      <c r="B1036" s="149" t="str">
        <f>IFERROR(__xludf.DUMMYFUNCTION("""COMPUTED_VALUE"""),"Halifax")</f>
        <v>Halifax</v>
      </c>
      <c r="C1036" s="149" t="str">
        <f>IFERROR(__xludf.DUMMYFUNCTION("""COMPUTED_VALUE"""),"NS")</f>
        <v>NS</v>
      </c>
      <c r="D1036" s="149" t="str">
        <f>IFERROR(__xludf.DUMMYFUNCTION("""COMPUTED_VALUE"""),"Canada")</f>
        <v>Canada</v>
      </c>
      <c r="E1036" s="156">
        <f>IFERROR(__xludf.DUMMYFUNCTION("""COMPUTED_VALUE"""),44191.0)</f>
        <v>44191</v>
      </c>
      <c r="F1036" s="129">
        <f>IFERROR(__xludf.DUMMYFUNCTION("""COMPUTED_VALUE"""),44354.0)</f>
        <v>44354</v>
      </c>
      <c r="G1036" s="154" t="str">
        <f>IFERROR(__xludf.DUMMYFUNCTION("""COMPUTED_VALUE"""),"Source code")</f>
        <v>Source code</v>
      </c>
      <c r="H1036" s="131">
        <f>IFERROR(__xludf.DUMMYFUNCTION("""COMPUTED_VALUE"""),978655.0)</f>
        <v>978655</v>
      </c>
      <c r="I1036" s="144" t="str">
        <f>IFERROR(__xludf.DUMMYFUNCTION("""COMPUTED_VALUE"""),"05/21")</f>
        <v>05/21</v>
      </c>
      <c r="J1036" s="129">
        <f>IFERROR(__xludf.DUMMYFUNCTION("""COMPUTED_VALUE"""),44357.0)</f>
        <v>44357</v>
      </c>
      <c r="K1036" s="133">
        <f>IFERROR(__xludf.DUMMYFUNCTION("""COMPUTED_VALUE"""),163.0)</f>
        <v>163</v>
      </c>
      <c r="L1036" s="133">
        <f>IFERROR(__xludf.DUMMYFUNCTION("""COMPUTED_VALUE"""),3.0)</f>
        <v>3</v>
      </c>
      <c r="M1036" s="133">
        <f>IFERROR(__xludf.DUMMYFUNCTION("""COMPUTED_VALUE"""),166.0)</f>
        <v>166</v>
      </c>
      <c r="N1036" s="152" t="str">
        <f>IFERROR(__xludf.DUMMYFUNCTION("""COMPUTED_VALUE"""),"Model 3 Performance")</f>
        <v>Model 3 Performance</v>
      </c>
      <c r="O1036" s="152" t="str">
        <f>IFERROR(__xludf.DUMMYFUNCTION("""COMPUTED_VALUE"""),"Pearl White Multi-Coat")</f>
        <v>Pearl White Multi-Coat</v>
      </c>
      <c r="P1036" s="153" t="str">
        <f>IFERROR(__xludf.DUMMYFUNCTION("""COMPUTED_VALUE"""),"20 inch")</f>
        <v>20 inch</v>
      </c>
      <c r="Q1036" s="152" t="str">
        <f>IFERROR(__xludf.DUMMYFUNCTION("""COMPUTED_VALUE"""),"Black and White")</f>
        <v>Black and White</v>
      </c>
      <c r="R1036" s="149" t="str">
        <f>IFERROR(__xludf.DUMMYFUNCTION("""COMPUTED_VALUE"""),"Full Self-Driving")</f>
        <v>Full Self-Driving</v>
      </c>
      <c r="S1036" s="149" t="str">
        <f>IFERROR(__xludf.DUMMYFUNCTION("""COMPUTED_VALUE"""),"Lease")</f>
        <v>Lease</v>
      </c>
      <c r="T1036" s="145" t="str">
        <f>IFERROR(__xludf.DUMMYFUNCTION("""COMPUTED_VALUE"""),"Honda Fit")</f>
        <v>Honda Fit</v>
      </c>
      <c r="U1036" s="145" t="str">
        <f>IFERROR(__xludf.DUMMYFUNCTION("""COMPUTED_VALUE"""),"Autopilot")</f>
        <v>Autopilot</v>
      </c>
      <c r="V1036" s="145" t="str">
        <f>IFERROR(__xludf.DUMMYFUNCTION("""COMPUTED_VALUE"""),"Head-up display")</f>
        <v>Head-up display</v>
      </c>
      <c r="W1036" s="145"/>
      <c r="X1036" s="137" t="str">
        <f>IFERROR(__xludf.DUMMYFUNCTION("""COMPUTED_VALUE"""),"Very Good")</f>
        <v>Very Good</v>
      </c>
      <c r="Y1036" s="138" t="str">
        <f>IFERROR(__xludf.DUMMYFUNCTION("""COMPUTED_VALUE"""),"Excellent")</f>
        <v>Excellent</v>
      </c>
      <c r="Z1036" s="138" t="str">
        <f>IFERROR(__xludf.DUMMYFUNCTION("""COMPUTED_VALUE"""),"Excellent")</f>
        <v>Excellent</v>
      </c>
      <c r="AA1036" s="138" t="str">
        <f>IFERROR(__xludf.DUMMYFUNCTION("""COMPUTED_VALUE"""),"Very Good")</f>
        <v>Very Good</v>
      </c>
      <c r="AB1036" s="138" t="str">
        <f>IFERROR(__xludf.DUMMYFUNCTION("""COMPUTED_VALUE"""),"Excellent")</f>
        <v>Excellent</v>
      </c>
      <c r="AC1036" s="139">
        <f>IFERROR(__xludf.DUMMYFUNCTION("""COMPUTED_VALUE"""),0.0)</f>
        <v>0</v>
      </c>
      <c r="AD1036" s="139">
        <f>IFERROR(__xludf.DUMMYFUNCTION("""COMPUTED_VALUE"""),0.0)</f>
        <v>0</v>
      </c>
      <c r="AE1036" s="139">
        <f>IFERROR(__xludf.DUMMYFUNCTION("""COMPUTED_VALUE"""),0.0)</f>
        <v>0</v>
      </c>
      <c r="AF1036" s="140" t="str">
        <f>IFERROR(__xludf.DUMMYFUNCTION("""COMPUTED_VALUE"""),"No. I took delivery of the first car Tesla was able to deliver.")</f>
        <v>No. I took delivery of the first car Tesla was able to deliver.</v>
      </c>
      <c r="AG1036" s="145"/>
      <c r="AH1036" s="157">
        <f>IFERROR(__xludf.DUMMYFUNCTION("""COMPUTED_VALUE"""),44389.08794552083)</f>
        <v>44389.08795</v>
      </c>
      <c r="AI1036" s="138"/>
      <c r="AJ1036" s="138"/>
      <c r="AK1036" s="138"/>
      <c r="AL1036" s="142"/>
    </row>
    <row r="1037" ht="20.25" customHeight="1">
      <c r="A1037" s="155" t="str">
        <f>IFERROR(__xludf.DUMMYFUNCTION("""COMPUTED_VALUE"""),"frs")</f>
        <v>frs</v>
      </c>
      <c r="B1037" s="149" t="str">
        <f>IFERROR(__xludf.DUMMYFUNCTION("""COMPUTED_VALUE"""),"Poland, Warsaw")</f>
        <v>Poland, Warsaw</v>
      </c>
      <c r="C1037" s="149"/>
      <c r="D1037" s="149" t="str">
        <f>IFERROR(__xludf.DUMMYFUNCTION("""COMPUTED_VALUE"""),"Other (include country together with city)")</f>
        <v>Other (include country together with city)</v>
      </c>
      <c r="E1037" s="156">
        <f>IFERROR(__xludf.DUMMYFUNCTION("""COMPUTED_VALUE"""),44191.0)</f>
        <v>44191</v>
      </c>
      <c r="F1037" s="129">
        <f>IFERROR(__xludf.DUMMYFUNCTION("""COMPUTED_VALUE"""),44233.0)</f>
        <v>44233</v>
      </c>
      <c r="G1037" s="154" t="str">
        <f>IFERROR(__xludf.DUMMYFUNCTION("""COMPUTED_VALUE"""),"invoice")</f>
        <v>invoice</v>
      </c>
      <c r="H1037" s="131">
        <f>IFERROR(__xludf.DUMMYFUNCTION("""COMPUTED_VALUE"""),888294.0)</f>
        <v>888294</v>
      </c>
      <c r="I1037" s="144"/>
      <c r="J1037" s="129">
        <f>IFERROR(__xludf.DUMMYFUNCTION("""COMPUTED_VALUE"""),44281.0)</f>
        <v>44281</v>
      </c>
      <c r="K1037" s="133">
        <f>IFERROR(__xludf.DUMMYFUNCTION("""COMPUTED_VALUE"""),42.0)</f>
        <v>42</v>
      </c>
      <c r="L1037" s="133">
        <f>IFERROR(__xludf.DUMMYFUNCTION("""COMPUTED_VALUE"""),48.0)</f>
        <v>48</v>
      </c>
      <c r="M1037" s="133">
        <f>IFERROR(__xludf.DUMMYFUNCTION("""COMPUTED_VALUE"""),90.0)</f>
        <v>90</v>
      </c>
      <c r="N1037" s="152" t="str">
        <f>IFERROR(__xludf.DUMMYFUNCTION("""COMPUTED_VALUE"""),"Model 3 LR AWD")</f>
        <v>Model 3 LR AWD</v>
      </c>
      <c r="O1037" s="152" t="str">
        <f>IFERROR(__xludf.DUMMYFUNCTION("""COMPUTED_VALUE"""),"Red Multi-Coat")</f>
        <v>Red Multi-Coat</v>
      </c>
      <c r="P1037" s="153" t="str">
        <f>IFERROR(__xludf.DUMMYFUNCTION("""COMPUTED_VALUE"""),"19 inch")</f>
        <v>19 inch</v>
      </c>
      <c r="Q1037" s="152" t="str">
        <f>IFERROR(__xludf.DUMMYFUNCTION("""COMPUTED_VALUE"""),"All Black")</f>
        <v>All Black</v>
      </c>
      <c r="R1037" s="149" t="str">
        <f>IFERROR(__xludf.DUMMYFUNCTION("""COMPUTED_VALUE"""),"Full Self-Driving")</f>
        <v>Full Self-Driving</v>
      </c>
      <c r="S1037" s="149" t="str">
        <f>IFERROR(__xludf.DUMMYFUNCTION("""COMPUTED_VALUE"""),"Lease")</f>
        <v>Lease</v>
      </c>
      <c r="T1037" s="145" t="str">
        <f>IFERROR(__xludf.DUMMYFUNCTION("""COMPUTED_VALUE"""),"Peugeot 206")</f>
        <v>Peugeot 206</v>
      </c>
      <c r="U1037" s="145" t="str">
        <f>IFERROR(__xludf.DUMMYFUNCTION("""COMPUTED_VALUE"""),"Everything")</f>
        <v>Everything</v>
      </c>
      <c r="V1037" s="145" t="str">
        <f>IFERROR(__xludf.DUMMYFUNCTION("""COMPUTED_VALUE"""),"Ventilated seats")</f>
        <v>Ventilated seats</v>
      </c>
      <c r="W1037" s="145" t="str">
        <f>IFERROR(__xludf.DUMMYFUNCTION("""COMPUTED_VALUE"""),"Buy more bitcoins!")</f>
        <v>Buy more bitcoins!</v>
      </c>
      <c r="X1037" s="137"/>
      <c r="Y1037" s="138"/>
      <c r="Z1037" s="138"/>
      <c r="AA1037" s="138"/>
      <c r="AB1037" s="138"/>
      <c r="AC1037" s="139"/>
      <c r="AD1037" s="139"/>
      <c r="AE1037" s="139"/>
      <c r="AF1037" s="140"/>
      <c r="AG1037" s="145"/>
      <c r="AH1037" s="157">
        <f>IFERROR(__xludf.DUMMYFUNCTION("""COMPUTED_VALUE"""),44276.18363709491)</f>
        <v>44276.18364</v>
      </c>
      <c r="AI1037" s="138"/>
      <c r="AJ1037" s="138"/>
      <c r="AK1037" s="138"/>
      <c r="AL1037" s="142"/>
    </row>
    <row r="1038" ht="20.25" customHeight="1">
      <c r="A1038" s="155" t="str">
        <f>IFERROR(__xludf.DUMMYFUNCTION("""COMPUTED_VALUE"""),"brian8441")</f>
        <v>brian8441</v>
      </c>
      <c r="B1038" s="149" t="str">
        <f>IFERROR(__xludf.DUMMYFUNCTION("""COMPUTED_VALUE"""),"Boston")</f>
        <v>Boston</v>
      </c>
      <c r="C1038" s="149" t="str">
        <f>IFERROR(__xludf.DUMMYFUNCTION("""COMPUTED_VALUE"""),"MA")</f>
        <v>MA</v>
      </c>
      <c r="D1038" s="149" t="str">
        <f>IFERROR(__xludf.DUMMYFUNCTION("""COMPUTED_VALUE"""),"USA")</f>
        <v>USA</v>
      </c>
      <c r="E1038" s="156">
        <f>IFERROR(__xludf.DUMMYFUNCTION("""COMPUTED_VALUE"""),44187.0)</f>
        <v>44187</v>
      </c>
      <c r="F1038" s="129">
        <f>IFERROR(__xludf.DUMMYFUNCTION("""COMPUTED_VALUE"""),44262.0)</f>
        <v>44262</v>
      </c>
      <c r="G1038" s="154" t="str">
        <f>IFERROR(__xludf.DUMMYFUNCTION("""COMPUTED_VALUE"""),"Manage order page (normal text)")</f>
        <v>Manage order page (normal text)</v>
      </c>
      <c r="H1038" s="131">
        <f>IFERROR(__xludf.DUMMYFUNCTION("""COMPUTED_VALUE"""),915351.0)</f>
        <v>915351</v>
      </c>
      <c r="I1038" s="132"/>
      <c r="J1038" s="129">
        <f>IFERROR(__xludf.DUMMYFUNCTION("""COMPUTED_VALUE"""),44274.0)</f>
        <v>44274</v>
      </c>
      <c r="K1038" s="133">
        <f>IFERROR(__xludf.DUMMYFUNCTION("""COMPUTED_VALUE"""),75.0)</f>
        <v>75</v>
      </c>
      <c r="L1038" s="133">
        <f>IFERROR(__xludf.DUMMYFUNCTION("""COMPUTED_VALUE"""),12.0)</f>
        <v>12</v>
      </c>
      <c r="M1038" s="133">
        <f>IFERROR(__xludf.DUMMYFUNCTION("""COMPUTED_VALUE"""),87.0)</f>
        <v>87</v>
      </c>
      <c r="N1038" s="152" t="str">
        <f>IFERROR(__xludf.DUMMYFUNCTION("""COMPUTED_VALUE"""),"Model 3 LR AWD")</f>
        <v>Model 3 LR AWD</v>
      </c>
      <c r="O1038" s="152" t="str">
        <f>IFERROR(__xludf.DUMMYFUNCTION("""COMPUTED_VALUE"""),"Midnight Silver Metallic")</f>
        <v>Midnight Silver Metallic</v>
      </c>
      <c r="P1038" s="153" t="str">
        <f>IFERROR(__xludf.DUMMYFUNCTION("""COMPUTED_VALUE"""),"18 inch")</f>
        <v>18 inch</v>
      </c>
      <c r="Q1038" s="152" t="str">
        <f>IFERROR(__xludf.DUMMYFUNCTION("""COMPUTED_VALUE"""),"All Black")</f>
        <v>All Black</v>
      </c>
      <c r="R1038" s="150" t="str">
        <f>IFERROR(__xludf.DUMMYFUNCTION("""COMPUTED_VALUE"""),"Autopilot included")</f>
        <v>Autopilot included</v>
      </c>
      <c r="S1038" s="150" t="str">
        <f>IFERROR(__xludf.DUMMYFUNCTION("""COMPUTED_VALUE"""),"Loan")</f>
        <v>Loan</v>
      </c>
      <c r="T1038" s="145" t="str">
        <f>IFERROR(__xludf.DUMMYFUNCTION("""COMPUTED_VALUE"""),"Honda Accord")</f>
        <v>Honda Accord</v>
      </c>
      <c r="U1038" s="145" t="str">
        <f>IFERROR(__xludf.DUMMYFUNCTION("""COMPUTED_VALUE"""),"Electric!")</f>
        <v>Electric!</v>
      </c>
      <c r="V1038" s="145" t="str">
        <f>IFERROR(__xludf.DUMMYFUNCTION("""COMPUTED_VALUE"""),"Ventilated seats")</f>
        <v>Ventilated seats</v>
      </c>
      <c r="W1038" s="136"/>
      <c r="X1038" s="137" t="str">
        <f>IFERROR(__xludf.DUMMYFUNCTION("""COMPUTED_VALUE"""),"Good")</f>
        <v>Good</v>
      </c>
      <c r="Y1038" s="138" t="str">
        <f>IFERROR(__xludf.DUMMYFUNCTION("""COMPUTED_VALUE"""),"Very Good")</f>
        <v>Very Good</v>
      </c>
      <c r="Z1038" s="138" t="str">
        <f>IFERROR(__xludf.DUMMYFUNCTION("""COMPUTED_VALUE"""),"Excellent")</f>
        <v>Excellent</v>
      </c>
      <c r="AA1038" s="138" t="str">
        <f>IFERROR(__xludf.DUMMYFUNCTION("""COMPUTED_VALUE"""),"Fair")</f>
        <v>Fair</v>
      </c>
      <c r="AB1038" s="138" t="str">
        <f>IFERROR(__xludf.DUMMYFUNCTION("""COMPUTED_VALUE"""),"Excellent")</f>
        <v>Excellent</v>
      </c>
      <c r="AC1038" s="139"/>
      <c r="AD1038" s="139"/>
      <c r="AE1038" s="139"/>
      <c r="AF1038" s="140" t="str">
        <f>IFERROR(__xludf.DUMMYFUNCTION("""COMPUTED_VALUE"""),"Yes. I refused delivery once and took delivery of the second car.")</f>
        <v>Yes. I refused delivery once and took delivery of the second car.</v>
      </c>
      <c r="AG1038" s="136"/>
      <c r="AH1038" s="157">
        <f>IFERROR(__xludf.DUMMYFUNCTION("""COMPUTED_VALUE"""),44274.563930682874)</f>
        <v>44274.56393</v>
      </c>
      <c r="AI1038" s="138"/>
      <c r="AJ1038" s="138"/>
      <c r="AK1038" s="138"/>
      <c r="AL1038" s="142"/>
    </row>
    <row r="1039" ht="20.25" customHeight="1">
      <c r="A1039" s="155" t="str">
        <f>IFERROR(__xludf.DUMMYFUNCTION("""COMPUTED_VALUE"""),"RSicks")</f>
        <v>RSicks</v>
      </c>
      <c r="B1039" s="149" t="str">
        <f>IFERROR(__xludf.DUMMYFUNCTION("""COMPUTED_VALUE"""),"Napa")</f>
        <v>Napa</v>
      </c>
      <c r="C1039" s="150" t="str">
        <f>IFERROR(__xludf.DUMMYFUNCTION("""COMPUTED_VALUE"""),"CA")</f>
        <v>CA</v>
      </c>
      <c r="D1039" s="150" t="str">
        <f>IFERROR(__xludf.DUMMYFUNCTION("""COMPUTED_VALUE"""),"USA")</f>
        <v>USA</v>
      </c>
      <c r="E1039" s="156">
        <f>IFERROR(__xludf.DUMMYFUNCTION("""COMPUTED_VALUE"""),44186.0)</f>
        <v>44186</v>
      </c>
      <c r="F1039" s="129">
        <f>IFERROR(__xludf.DUMMYFUNCTION("""COMPUTED_VALUE"""),44270.0)</f>
        <v>44270</v>
      </c>
      <c r="G1039" s="154" t="str">
        <f>IFERROR(__xludf.DUMMYFUNCTION("""COMPUTED_VALUE"""),"Manage order page (normal text)")</f>
        <v>Manage order page (normal text)</v>
      </c>
      <c r="H1039" s="131">
        <f>IFERROR(__xludf.DUMMYFUNCTION("""COMPUTED_VALUE"""),926055.0)</f>
        <v>926055</v>
      </c>
      <c r="I1039" s="132"/>
      <c r="J1039" s="129">
        <f>IFERROR(__xludf.DUMMYFUNCTION("""COMPUTED_VALUE"""),44271.0)</f>
        <v>44271</v>
      </c>
      <c r="K1039" s="133">
        <f>IFERROR(__xludf.DUMMYFUNCTION("""COMPUTED_VALUE"""),84.0)</f>
        <v>84</v>
      </c>
      <c r="L1039" s="133">
        <f>IFERROR(__xludf.DUMMYFUNCTION("""COMPUTED_VALUE"""),1.0)</f>
        <v>1</v>
      </c>
      <c r="M1039" s="133">
        <f>IFERROR(__xludf.DUMMYFUNCTION("""COMPUTED_VALUE"""),85.0)</f>
        <v>85</v>
      </c>
      <c r="N1039" s="152" t="str">
        <f>IFERROR(__xludf.DUMMYFUNCTION("""COMPUTED_VALUE"""),"Model 3 Performance")</f>
        <v>Model 3 Performance</v>
      </c>
      <c r="O1039" s="152" t="str">
        <f>IFERROR(__xludf.DUMMYFUNCTION("""COMPUTED_VALUE"""),"Midnight Silver Metallic")</f>
        <v>Midnight Silver Metallic</v>
      </c>
      <c r="P1039" s="153" t="str">
        <f>IFERROR(__xludf.DUMMYFUNCTION("""COMPUTED_VALUE"""),"20 inch")</f>
        <v>20 inch</v>
      </c>
      <c r="Q1039" s="152" t="str">
        <f>IFERROR(__xludf.DUMMYFUNCTION("""COMPUTED_VALUE"""),"All Black")</f>
        <v>All Black</v>
      </c>
      <c r="R1039" s="150" t="str">
        <f>IFERROR(__xludf.DUMMYFUNCTION("""COMPUTED_VALUE"""),"Autopilot included")</f>
        <v>Autopilot included</v>
      </c>
      <c r="S1039" s="150" t="str">
        <f>IFERROR(__xludf.DUMMYFUNCTION("""COMPUTED_VALUE"""),"Loan")</f>
        <v>Loan</v>
      </c>
      <c r="T1039" s="136" t="str">
        <f>IFERROR(__xludf.DUMMYFUNCTION("""COMPUTED_VALUE"""),"BMW 4 Series")</f>
        <v>BMW 4 Series</v>
      </c>
      <c r="U1039" s="136"/>
      <c r="V1039" s="136" t="str">
        <f>IFERROR(__xludf.DUMMYFUNCTION("""COMPUTED_VALUE"""),"HomeLink")</f>
        <v>HomeLink</v>
      </c>
      <c r="W1039" s="145"/>
      <c r="X1039" s="137" t="str">
        <f>IFERROR(__xludf.DUMMYFUNCTION("""COMPUTED_VALUE"""),"Excellent")</f>
        <v>Excellent</v>
      </c>
      <c r="Y1039" s="138" t="str">
        <f>IFERROR(__xludf.DUMMYFUNCTION("""COMPUTED_VALUE"""),"Excellent")</f>
        <v>Excellent</v>
      </c>
      <c r="Z1039" s="138" t="str">
        <f>IFERROR(__xludf.DUMMYFUNCTION("""COMPUTED_VALUE"""),"Very Good")</f>
        <v>Very Good</v>
      </c>
      <c r="AA1039" s="138" t="str">
        <f>IFERROR(__xludf.DUMMYFUNCTION("""COMPUTED_VALUE"""),"Excellent")</f>
        <v>Excellent</v>
      </c>
      <c r="AB1039" s="138" t="str">
        <f>IFERROR(__xludf.DUMMYFUNCTION("""COMPUTED_VALUE"""),"Excellent")</f>
        <v>Excellent</v>
      </c>
      <c r="AC1039" s="139"/>
      <c r="AD1039" s="139"/>
      <c r="AE1039" s="139"/>
      <c r="AF1039" s="140" t="str">
        <f>IFERROR(__xludf.DUMMYFUNCTION("""COMPUTED_VALUE"""),"No. I took delivery of the first car Tesla was able to deliver.")</f>
        <v>No. I took delivery of the first car Tesla was able to deliver.</v>
      </c>
      <c r="AG1039" s="145"/>
      <c r="AH1039" s="157">
        <f>IFERROR(__xludf.DUMMYFUNCTION("""COMPUTED_VALUE"""),44271.87845693287)</f>
        <v>44271.87846</v>
      </c>
      <c r="AI1039" s="138"/>
      <c r="AJ1039" s="138"/>
      <c r="AK1039" s="138"/>
      <c r="AL1039" s="142"/>
    </row>
    <row r="1040" ht="20.25" customHeight="1">
      <c r="A1040" s="155" t="str">
        <f>IFERROR(__xludf.DUMMYFUNCTION("""COMPUTED_VALUE"""),"ubergeek")</f>
        <v>ubergeek</v>
      </c>
      <c r="B1040" s="149" t="str">
        <f>IFERROR(__xludf.DUMMYFUNCTION("""COMPUTED_VALUE"""),"San Francisco")</f>
        <v>San Francisco</v>
      </c>
      <c r="C1040" s="149" t="str">
        <f>IFERROR(__xludf.DUMMYFUNCTION("""COMPUTED_VALUE"""),"CA")</f>
        <v>CA</v>
      </c>
      <c r="D1040" s="149" t="str">
        <f>IFERROR(__xludf.DUMMYFUNCTION("""COMPUTED_VALUE"""),"USA")</f>
        <v>USA</v>
      </c>
      <c r="E1040" s="156">
        <f>IFERROR(__xludf.DUMMYFUNCTION("""COMPUTED_VALUE"""),44185.0)</f>
        <v>44185</v>
      </c>
      <c r="F1040" s="129">
        <f>IFERROR(__xludf.DUMMYFUNCTION("""COMPUTED_VALUE"""),44281.0)</f>
        <v>44281</v>
      </c>
      <c r="G1040" s="154" t="str">
        <f>IFERROR(__xludf.DUMMYFUNCTION("""COMPUTED_VALUE"""),"Manage order page (normal text)")</f>
        <v>Manage order page (normal text)</v>
      </c>
      <c r="H1040" s="131">
        <f>IFERROR(__xludf.DUMMYFUNCTION("""COMPUTED_VALUE"""),936255.0)</f>
        <v>936255</v>
      </c>
      <c r="I1040" s="144"/>
      <c r="J1040" s="129">
        <f>IFERROR(__xludf.DUMMYFUNCTION("""COMPUTED_VALUE"""),44284.0)</f>
        <v>44284</v>
      </c>
      <c r="K1040" s="133">
        <f>IFERROR(__xludf.DUMMYFUNCTION("""COMPUTED_VALUE"""),96.0)</f>
        <v>96</v>
      </c>
      <c r="L1040" s="133">
        <f>IFERROR(__xludf.DUMMYFUNCTION("""COMPUTED_VALUE"""),3.0)</f>
        <v>3</v>
      </c>
      <c r="M1040" s="133">
        <f>IFERROR(__xludf.DUMMYFUNCTION("""COMPUTED_VALUE"""),99.0)</f>
        <v>99</v>
      </c>
      <c r="N1040" s="152" t="str">
        <f>IFERROR(__xludf.DUMMYFUNCTION("""COMPUTED_VALUE"""),"Model 3 Performance")</f>
        <v>Model 3 Performance</v>
      </c>
      <c r="O1040" s="152" t="str">
        <f>IFERROR(__xludf.DUMMYFUNCTION("""COMPUTED_VALUE"""),"Deep Blue Metallic")</f>
        <v>Deep Blue Metallic</v>
      </c>
      <c r="P1040" s="153" t="str">
        <f>IFERROR(__xludf.DUMMYFUNCTION("""COMPUTED_VALUE"""),"20 inch")</f>
        <v>20 inch</v>
      </c>
      <c r="Q1040" s="152" t="str">
        <f>IFERROR(__xludf.DUMMYFUNCTION("""COMPUTED_VALUE"""),"Black and White")</f>
        <v>Black and White</v>
      </c>
      <c r="R1040" s="149" t="str">
        <f>IFERROR(__xludf.DUMMYFUNCTION("""COMPUTED_VALUE"""),"Full Self-Driving")</f>
        <v>Full Self-Driving</v>
      </c>
      <c r="S1040" s="149" t="str">
        <f>IFERROR(__xludf.DUMMYFUNCTION("""COMPUTED_VALUE"""),"Cash")</f>
        <v>Cash</v>
      </c>
      <c r="T1040" s="145"/>
      <c r="U1040" s="145" t="str">
        <f>IFERROR(__xludf.DUMMYFUNCTION("""COMPUTED_VALUE"""),"Electric!")</f>
        <v>Electric!</v>
      </c>
      <c r="V1040" s="145" t="str">
        <f>IFERROR(__xludf.DUMMYFUNCTION("""COMPUTED_VALUE"""),"Head-up display")</f>
        <v>Head-up display</v>
      </c>
      <c r="W1040" s="145"/>
      <c r="X1040" s="137" t="str">
        <f>IFERROR(__xludf.DUMMYFUNCTION("""COMPUTED_VALUE"""),"Good")</f>
        <v>Good</v>
      </c>
      <c r="Y1040" s="138" t="str">
        <f>IFERROR(__xludf.DUMMYFUNCTION("""COMPUTED_VALUE"""),"Excellent")</f>
        <v>Excellent</v>
      </c>
      <c r="Z1040" s="138" t="str">
        <f>IFERROR(__xludf.DUMMYFUNCTION("""COMPUTED_VALUE"""),"Very Good")</f>
        <v>Very Good</v>
      </c>
      <c r="AA1040" s="138" t="str">
        <f>IFERROR(__xludf.DUMMYFUNCTION("""COMPUTED_VALUE"""),"Fair")</f>
        <v>Fair</v>
      </c>
      <c r="AB1040" s="138" t="str">
        <f>IFERROR(__xludf.DUMMYFUNCTION("""COMPUTED_VALUE"""),"Good")</f>
        <v>Good</v>
      </c>
      <c r="AC1040" s="139"/>
      <c r="AD1040" s="139"/>
      <c r="AE1040" s="139"/>
      <c r="AF1040" s="140" t="str">
        <f>IFERROR(__xludf.DUMMYFUNCTION("""COMPUTED_VALUE"""),"No. I took delivery of the first car Tesla was able to deliver.")</f>
        <v>No. I took delivery of the first car Tesla was able to deliver.</v>
      </c>
      <c r="AG1040" s="145"/>
      <c r="AH1040" s="157">
        <f>IFERROR(__xludf.DUMMYFUNCTION("""COMPUTED_VALUE"""),44284.634474467595)</f>
        <v>44284.63447</v>
      </c>
      <c r="AI1040" s="138"/>
      <c r="AJ1040" s="138"/>
      <c r="AK1040" s="138"/>
      <c r="AL1040" s="142"/>
    </row>
    <row r="1041" ht="20.25" customHeight="1">
      <c r="A1041" s="155" t="str">
        <f>IFERROR(__xludf.DUMMYFUNCTION("""COMPUTED_VALUE"""),"ViciousJess")</f>
        <v>ViciousJess</v>
      </c>
      <c r="B1041" s="149" t="str">
        <f>IFERROR(__xludf.DUMMYFUNCTION("""COMPUTED_VALUE"""),"Los Angeles ")</f>
        <v>Los Angeles </v>
      </c>
      <c r="C1041" s="149" t="str">
        <f>IFERROR(__xludf.DUMMYFUNCTION("""COMPUTED_VALUE"""),"CA")</f>
        <v>CA</v>
      </c>
      <c r="D1041" s="149" t="str">
        <f>IFERROR(__xludf.DUMMYFUNCTION("""COMPUTED_VALUE"""),"USA")</f>
        <v>USA</v>
      </c>
      <c r="E1041" s="156">
        <f>IFERROR(__xludf.DUMMYFUNCTION("""COMPUTED_VALUE"""),44182.0)</f>
        <v>44182</v>
      </c>
      <c r="F1041" s="129">
        <f>IFERROR(__xludf.DUMMYFUNCTION("""COMPUTED_VALUE"""),44281.0)</f>
        <v>44281</v>
      </c>
      <c r="G1041" s="154" t="str">
        <f>IFERROR(__xludf.DUMMYFUNCTION("""COMPUTED_VALUE"""),"Manage order page (normal text)")</f>
        <v>Manage order page (normal text)</v>
      </c>
      <c r="H1041" s="131">
        <f>IFERROR(__xludf.DUMMYFUNCTION("""COMPUTED_VALUE"""),937655.0)</f>
        <v>937655</v>
      </c>
      <c r="I1041" s="144"/>
      <c r="J1041" s="129">
        <f>IFERROR(__xludf.DUMMYFUNCTION("""COMPUTED_VALUE"""),44283.0)</f>
        <v>44283</v>
      </c>
      <c r="K1041" s="133">
        <f>IFERROR(__xludf.DUMMYFUNCTION("""COMPUTED_VALUE"""),99.0)</f>
        <v>99</v>
      </c>
      <c r="L1041" s="133">
        <f>IFERROR(__xludf.DUMMYFUNCTION("""COMPUTED_VALUE"""),2.0)</f>
        <v>2</v>
      </c>
      <c r="M1041" s="133">
        <f>IFERROR(__xludf.DUMMYFUNCTION("""COMPUTED_VALUE"""),101.0)</f>
        <v>101</v>
      </c>
      <c r="N1041" s="152" t="str">
        <f>IFERROR(__xludf.DUMMYFUNCTION("""COMPUTED_VALUE"""),"Model 3 LR AWD")</f>
        <v>Model 3 LR AWD</v>
      </c>
      <c r="O1041" s="152" t="str">
        <f>IFERROR(__xludf.DUMMYFUNCTION("""COMPUTED_VALUE"""),"Deep Blue Metallic")</f>
        <v>Deep Blue Metallic</v>
      </c>
      <c r="P1041" s="153" t="str">
        <f>IFERROR(__xludf.DUMMYFUNCTION("""COMPUTED_VALUE"""),"18 inch")</f>
        <v>18 inch</v>
      </c>
      <c r="Q1041" s="152" t="str">
        <f>IFERROR(__xludf.DUMMYFUNCTION("""COMPUTED_VALUE"""),"Black and White")</f>
        <v>Black and White</v>
      </c>
      <c r="R1041" s="149" t="str">
        <f>IFERROR(__xludf.DUMMYFUNCTION("""COMPUTED_VALUE"""),"Autopilot included")</f>
        <v>Autopilot included</v>
      </c>
      <c r="S1041" s="149" t="str">
        <f>IFERROR(__xludf.DUMMYFUNCTION("""COMPUTED_VALUE"""),"Loan")</f>
        <v>Loan</v>
      </c>
      <c r="T1041" s="145" t="str">
        <f>IFERROR(__xludf.DUMMYFUNCTION("""COMPUTED_VALUE"""),"Escalade")</f>
        <v>Escalade</v>
      </c>
      <c r="U1041" s="145" t="str">
        <f>IFERROR(__xludf.DUMMYFUNCTION("""COMPUTED_VALUE"""),"Electric!")</f>
        <v>Electric!</v>
      </c>
      <c r="V1041" s="145" t="str">
        <f>IFERROR(__xludf.DUMMYFUNCTION("""COMPUTED_VALUE"""),"Head-up display")</f>
        <v>Head-up display</v>
      </c>
      <c r="W1041" s="145" t="str">
        <f>IFERROR(__xludf.DUMMYFUNCTION("""COMPUTED_VALUE"""),"Make sure to learn how to use interface ")</f>
        <v>Make sure to learn how to use interface </v>
      </c>
      <c r="X1041" s="137" t="str">
        <f>IFERROR(__xludf.DUMMYFUNCTION("""COMPUTED_VALUE"""),"Excellent")</f>
        <v>Excellent</v>
      </c>
      <c r="Y1041" s="138" t="str">
        <f>IFERROR(__xludf.DUMMYFUNCTION("""COMPUTED_VALUE"""),"Excellent")</f>
        <v>Excellent</v>
      </c>
      <c r="Z1041" s="138" t="str">
        <f>IFERROR(__xludf.DUMMYFUNCTION("""COMPUTED_VALUE"""),"Very Good")</f>
        <v>Very Good</v>
      </c>
      <c r="AA1041" s="138" t="str">
        <f>IFERROR(__xludf.DUMMYFUNCTION("""COMPUTED_VALUE"""),"Good")</f>
        <v>Good</v>
      </c>
      <c r="AB1041" s="138" t="str">
        <f>IFERROR(__xludf.DUMMYFUNCTION("""COMPUTED_VALUE"""),"Very Good")</f>
        <v>Very Good</v>
      </c>
      <c r="AC1041" s="139">
        <f>IFERROR(__xludf.DUMMYFUNCTION("""COMPUTED_VALUE"""),3.0)</f>
        <v>3</v>
      </c>
      <c r="AD1041" s="139">
        <f>IFERROR(__xludf.DUMMYFUNCTION("""COMPUTED_VALUE"""),1.0)</f>
        <v>1</v>
      </c>
      <c r="AE1041" s="139">
        <f>IFERROR(__xludf.DUMMYFUNCTION("""COMPUTED_VALUE"""),5.0)</f>
        <v>5</v>
      </c>
      <c r="AF1041" s="140" t="str">
        <f>IFERROR(__xludf.DUMMYFUNCTION("""COMPUTED_VALUE"""),"No. I took delivery of the first car Tesla was able to deliver.")</f>
        <v>No. I took delivery of the first car Tesla was able to deliver.</v>
      </c>
      <c r="AG1041" s="145"/>
      <c r="AH1041" s="157">
        <f>IFERROR(__xludf.DUMMYFUNCTION("""COMPUTED_VALUE"""),44287.622543831014)</f>
        <v>44287.62254</v>
      </c>
      <c r="AI1041" s="138"/>
      <c r="AJ1041" s="138"/>
      <c r="AK1041" s="138"/>
      <c r="AL1041" s="142"/>
    </row>
    <row r="1042" ht="20.25" customHeight="1">
      <c r="A1042" s="155" t="str">
        <f>IFERROR(__xludf.DUMMYFUNCTION("""COMPUTED_VALUE"""),"Ganderking")</f>
        <v>Ganderking</v>
      </c>
      <c r="B1042" s="149" t="str">
        <f>IFERROR(__xludf.DUMMYFUNCTION("""COMPUTED_VALUE"""),"Baltimore")</f>
        <v>Baltimore</v>
      </c>
      <c r="C1042" s="149" t="str">
        <f>IFERROR(__xludf.DUMMYFUNCTION("""COMPUTED_VALUE"""),"MD")</f>
        <v>MD</v>
      </c>
      <c r="D1042" s="149" t="str">
        <f>IFERROR(__xludf.DUMMYFUNCTION("""COMPUTED_VALUE"""),"USA")</f>
        <v>USA</v>
      </c>
      <c r="E1042" s="156">
        <f>IFERROR(__xludf.DUMMYFUNCTION("""COMPUTED_VALUE"""),44179.0)</f>
        <v>44179</v>
      </c>
      <c r="F1042" s="129">
        <f>IFERROR(__xludf.DUMMYFUNCTION("""COMPUTED_VALUE"""),44244.0)</f>
        <v>44244</v>
      </c>
      <c r="G1042" s="154" t="str">
        <f>IFERROR(__xludf.DUMMYFUNCTION("""COMPUTED_VALUE"""),"Manage order page (normal text)")</f>
        <v>Manage order page (normal text)</v>
      </c>
      <c r="H1042" s="131">
        <f>IFERROR(__xludf.DUMMYFUNCTION("""COMPUTED_VALUE"""),913755.0)</f>
        <v>913755</v>
      </c>
      <c r="I1042" s="144" t="str">
        <f>IFERROR(__xludf.DUMMYFUNCTION("""COMPUTED_VALUE"""),"02/21")</f>
        <v>02/21</v>
      </c>
      <c r="J1042" s="129">
        <f>IFERROR(__xludf.DUMMYFUNCTION("""COMPUTED_VALUE"""),44261.0)</f>
        <v>44261</v>
      </c>
      <c r="K1042" s="133">
        <f>IFERROR(__xludf.DUMMYFUNCTION("""COMPUTED_VALUE"""),65.0)</f>
        <v>65</v>
      </c>
      <c r="L1042" s="133">
        <f>IFERROR(__xludf.DUMMYFUNCTION("""COMPUTED_VALUE"""),17.0)</f>
        <v>17</v>
      </c>
      <c r="M1042" s="133">
        <f>IFERROR(__xludf.DUMMYFUNCTION("""COMPUTED_VALUE"""),82.0)</f>
        <v>82</v>
      </c>
      <c r="N1042" s="152" t="str">
        <f>IFERROR(__xludf.DUMMYFUNCTION("""COMPUTED_VALUE"""),"Model 3 Performance")</f>
        <v>Model 3 Performance</v>
      </c>
      <c r="O1042" s="152" t="str">
        <f>IFERROR(__xludf.DUMMYFUNCTION("""COMPUTED_VALUE"""),"Red Multi-Coat")</f>
        <v>Red Multi-Coat</v>
      </c>
      <c r="P1042" s="153" t="str">
        <f>IFERROR(__xludf.DUMMYFUNCTION("""COMPUTED_VALUE"""),"20 inch")</f>
        <v>20 inch</v>
      </c>
      <c r="Q1042" s="152" t="str">
        <f>IFERROR(__xludf.DUMMYFUNCTION("""COMPUTED_VALUE"""),"All Black")</f>
        <v>All Black</v>
      </c>
      <c r="R1042" s="149" t="str">
        <f>IFERROR(__xludf.DUMMYFUNCTION("""COMPUTED_VALUE"""),"Autopilot included")</f>
        <v>Autopilot included</v>
      </c>
      <c r="S1042" s="149"/>
      <c r="T1042" s="145"/>
      <c r="U1042" s="145"/>
      <c r="V1042" s="145" t="str">
        <f>IFERROR(__xludf.DUMMYFUNCTION("""COMPUTED_VALUE"""),"Ventilated seats")</f>
        <v>Ventilated seats</v>
      </c>
      <c r="W1042" s="145"/>
      <c r="X1042" s="137" t="str">
        <f>IFERROR(__xludf.DUMMYFUNCTION("""COMPUTED_VALUE"""),"Excellent")</f>
        <v>Excellent</v>
      </c>
      <c r="Y1042" s="138" t="str">
        <f>IFERROR(__xludf.DUMMYFUNCTION("""COMPUTED_VALUE"""),"Very Good")</f>
        <v>Very Good</v>
      </c>
      <c r="Z1042" s="138" t="str">
        <f>IFERROR(__xludf.DUMMYFUNCTION("""COMPUTED_VALUE"""),"Good")</f>
        <v>Good</v>
      </c>
      <c r="AA1042" s="138" t="str">
        <f>IFERROR(__xludf.DUMMYFUNCTION("""COMPUTED_VALUE"""),"Fair")</f>
        <v>Fair</v>
      </c>
      <c r="AB1042" s="138" t="str">
        <f>IFERROR(__xludf.DUMMYFUNCTION("""COMPUTED_VALUE"""),"Poor")</f>
        <v>Poor</v>
      </c>
      <c r="AC1042" s="139">
        <f>IFERROR(__xludf.DUMMYFUNCTION("""COMPUTED_VALUE"""),4.0)</f>
        <v>4</v>
      </c>
      <c r="AD1042" s="139">
        <f>IFERROR(__xludf.DUMMYFUNCTION("""COMPUTED_VALUE"""),0.0)</f>
        <v>0</v>
      </c>
      <c r="AE1042" s="139">
        <f>IFERROR(__xludf.DUMMYFUNCTION("""COMPUTED_VALUE"""),0.0)</f>
        <v>0</v>
      </c>
      <c r="AF1042" s="140" t="str">
        <f>IFERROR(__xludf.DUMMYFUNCTION("""COMPUTED_VALUE"""),"No. I took delivery of the first car Tesla was able to deliver.")</f>
        <v>No. I took delivery of the first car Tesla was able to deliver.</v>
      </c>
      <c r="AG1042" s="136"/>
      <c r="AH1042" s="157">
        <f>IFERROR(__xludf.DUMMYFUNCTION("""COMPUTED_VALUE"""),44265.44083230324)</f>
        <v>44265.44083</v>
      </c>
      <c r="AI1042" s="138"/>
      <c r="AJ1042" s="138"/>
      <c r="AK1042" s="138"/>
      <c r="AL1042" s="142"/>
    </row>
    <row r="1043" ht="20.25" customHeight="1">
      <c r="A1043" s="155" t="str">
        <f>IFERROR(__xludf.DUMMYFUNCTION("""COMPUTED_VALUE"""),"jlozano")</f>
        <v>jlozano</v>
      </c>
      <c r="B1043" s="149" t="str">
        <f>IFERROR(__xludf.DUMMYFUNCTION("""COMPUTED_VALUE"""),"Los Angeles")</f>
        <v>Los Angeles</v>
      </c>
      <c r="C1043" s="149" t="str">
        <f>IFERROR(__xludf.DUMMYFUNCTION("""COMPUTED_VALUE"""),"CA")</f>
        <v>CA</v>
      </c>
      <c r="D1043" s="149" t="str">
        <f>IFERROR(__xludf.DUMMYFUNCTION("""COMPUTED_VALUE"""),"USA")</f>
        <v>USA</v>
      </c>
      <c r="E1043" s="156">
        <f>IFERROR(__xludf.DUMMYFUNCTION("""COMPUTED_VALUE"""),44174.0)</f>
        <v>44174</v>
      </c>
      <c r="F1043" s="129">
        <f>IFERROR(__xludf.DUMMYFUNCTION("""COMPUTED_VALUE"""),44174.0)</f>
        <v>44174</v>
      </c>
      <c r="G1043" s="154" t="str">
        <f>IFERROR(__xludf.DUMMYFUNCTION("""COMPUTED_VALUE"""),"Manage order page (normal text)")</f>
        <v>Manage order page (normal text)</v>
      </c>
      <c r="H1043" s="131">
        <f>IFERROR(__xludf.DUMMYFUNCTION("""COMPUTED_VALUE"""),859621.0)</f>
        <v>859621</v>
      </c>
      <c r="I1043" s="144" t="str">
        <f>IFERROR(__xludf.DUMMYFUNCTION("""COMPUTED_VALUE"""),"12/20")</f>
        <v>12/20</v>
      </c>
      <c r="J1043" s="129">
        <f>IFERROR(__xludf.DUMMYFUNCTION("""COMPUTED_VALUE"""),44176.0)</f>
        <v>44176</v>
      </c>
      <c r="K1043" s="133">
        <f>IFERROR(__xludf.DUMMYFUNCTION("""COMPUTED_VALUE"""),0.0)</f>
        <v>0</v>
      </c>
      <c r="L1043" s="133">
        <f>IFERROR(__xludf.DUMMYFUNCTION("""COMPUTED_VALUE"""),2.0)</f>
        <v>2</v>
      </c>
      <c r="M1043" s="133">
        <f>IFERROR(__xludf.DUMMYFUNCTION("""COMPUTED_VALUE"""),2.0)</f>
        <v>2</v>
      </c>
      <c r="N1043" s="152" t="str">
        <f>IFERROR(__xludf.DUMMYFUNCTION("""COMPUTED_VALUE"""),"Model 3 SR+")</f>
        <v>Model 3 SR+</v>
      </c>
      <c r="O1043" s="152" t="str">
        <f>IFERROR(__xludf.DUMMYFUNCTION("""COMPUTED_VALUE"""),"Pearl White Multi-Coat")</f>
        <v>Pearl White Multi-Coat</v>
      </c>
      <c r="P1043" s="153" t="str">
        <f>IFERROR(__xludf.DUMMYFUNCTION("""COMPUTED_VALUE"""),"18 inch")</f>
        <v>18 inch</v>
      </c>
      <c r="Q1043" s="152" t="str">
        <f>IFERROR(__xludf.DUMMYFUNCTION("""COMPUTED_VALUE"""),"All Black")</f>
        <v>All Black</v>
      </c>
      <c r="R1043" s="149" t="str">
        <f>IFERROR(__xludf.DUMMYFUNCTION("""COMPUTED_VALUE"""),"Autopilot included")</f>
        <v>Autopilot included</v>
      </c>
      <c r="S1043" s="149" t="str">
        <f>IFERROR(__xludf.DUMMYFUNCTION("""COMPUTED_VALUE"""),"Loan")</f>
        <v>Loan</v>
      </c>
      <c r="T1043" s="145" t="str">
        <f>IFERROR(__xludf.DUMMYFUNCTION("""COMPUTED_VALUE"""),"Honda Accord")</f>
        <v>Honda Accord</v>
      </c>
      <c r="U1043" s="145" t="str">
        <f>IFERROR(__xludf.DUMMYFUNCTION("""COMPUTED_VALUE"""),"Electric!")</f>
        <v>Electric!</v>
      </c>
      <c r="V1043" s="145" t="str">
        <f>IFERROR(__xludf.DUMMYFUNCTION("""COMPUTED_VALUE"""),"Blind spot indicators on side mirrors")</f>
        <v>Blind spot indicators on side mirrors</v>
      </c>
      <c r="W1043" s="145"/>
      <c r="X1043" s="137" t="str">
        <f>IFERROR(__xludf.DUMMYFUNCTION("""COMPUTED_VALUE"""),"Very Good")</f>
        <v>Very Good</v>
      </c>
      <c r="Y1043" s="138" t="str">
        <f>IFERROR(__xludf.DUMMYFUNCTION("""COMPUTED_VALUE"""),"Excellent")</f>
        <v>Excellent</v>
      </c>
      <c r="Z1043" s="138" t="str">
        <f>IFERROR(__xludf.DUMMYFUNCTION("""COMPUTED_VALUE"""),"Very Good")</f>
        <v>Very Good</v>
      </c>
      <c r="AA1043" s="138" t="str">
        <f>IFERROR(__xludf.DUMMYFUNCTION("""COMPUTED_VALUE"""),"Poor")</f>
        <v>Poor</v>
      </c>
      <c r="AB1043" s="138" t="str">
        <f>IFERROR(__xludf.DUMMYFUNCTION("""COMPUTED_VALUE"""),"Excellent")</f>
        <v>Excellent</v>
      </c>
      <c r="AC1043" s="139"/>
      <c r="AD1043" s="139"/>
      <c r="AE1043" s="139"/>
      <c r="AF1043" s="140" t="str">
        <f>IFERROR(__xludf.DUMMYFUNCTION("""COMPUTED_VALUE"""),"No. I took delivery of the first car Tesla was able to deliver.")</f>
        <v>No. I took delivery of the first car Tesla was able to deliver.</v>
      </c>
      <c r="AG1043" s="145"/>
      <c r="AH1043" s="157">
        <f>IFERROR(__xludf.DUMMYFUNCTION("""COMPUTED_VALUE"""),44177.61904414352)</f>
        <v>44177.61904</v>
      </c>
      <c r="AI1043" s="138"/>
      <c r="AJ1043" s="138"/>
      <c r="AK1043" s="138"/>
      <c r="AL1043" s="142"/>
    </row>
    <row r="1044" ht="20.25" customHeight="1">
      <c r="A1044" s="155" t="str">
        <f>IFERROR(__xludf.DUMMYFUNCTION("""COMPUTED_VALUE"""),"Sansai")</f>
        <v>Sansai</v>
      </c>
      <c r="B1044" s="149" t="str">
        <f>IFERROR(__xludf.DUMMYFUNCTION("""COMPUTED_VALUE"""),"Hillsboro")</f>
        <v>Hillsboro</v>
      </c>
      <c r="C1044" s="149" t="str">
        <f>IFERROR(__xludf.DUMMYFUNCTION("""COMPUTED_VALUE"""),"OR")</f>
        <v>OR</v>
      </c>
      <c r="D1044" s="149" t="str">
        <f>IFERROR(__xludf.DUMMYFUNCTION("""COMPUTED_VALUE"""),"USA")</f>
        <v>USA</v>
      </c>
      <c r="E1044" s="156">
        <f>IFERROR(__xludf.DUMMYFUNCTION("""COMPUTED_VALUE"""),44174.0)</f>
        <v>44174</v>
      </c>
      <c r="F1044" s="129">
        <f>IFERROR(__xludf.DUMMYFUNCTION("""COMPUTED_VALUE"""),44189.0)</f>
        <v>44189</v>
      </c>
      <c r="G1044" s="154" t="str">
        <f>IFERROR(__xludf.DUMMYFUNCTION("""COMPUTED_VALUE"""),"Manage order page (normal text)")</f>
        <v>Manage order page (normal text)</v>
      </c>
      <c r="H1044" s="131"/>
      <c r="I1044" s="132" t="str">
        <f>IFERROR(__xludf.DUMMYFUNCTION("""COMPUTED_VALUE"""),"12/20")</f>
        <v>12/20</v>
      </c>
      <c r="J1044" s="129">
        <f>IFERROR(__xludf.DUMMYFUNCTION("""COMPUTED_VALUE"""),44191.0)</f>
        <v>44191</v>
      </c>
      <c r="K1044" s="133">
        <f>IFERROR(__xludf.DUMMYFUNCTION("""COMPUTED_VALUE"""),15.0)</f>
        <v>15</v>
      </c>
      <c r="L1044" s="133">
        <f>IFERROR(__xludf.DUMMYFUNCTION("""COMPUTED_VALUE"""),2.0)</f>
        <v>2</v>
      </c>
      <c r="M1044" s="133">
        <f>IFERROR(__xludf.DUMMYFUNCTION("""COMPUTED_VALUE"""),17.0)</f>
        <v>17</v>
      </c>
      <c r="N1044" s="152" t="str">
        <f>IFERROR(__xludf.DUMMYFUNCTION("""COMPUTED_VALUE"""),"Model 3 LR AWD")</f>
        <v>Model 3 LR AWD</v>
      </c>
      <c r="O1044" s="152" t="str">
        <f>IFERROR(__xludf.DUMMYFUNCTION("""COMPUTED_VALUE"""),"Pearl White Multi-Coat")</f>
        <v>Pearl White Multi-Coat</v>
      </c>
      <c r="P1044" s="153" t="str">
        <f>IFERROR(__xludf.DUMMYFUNCTION("""COMPUTED_VALUE"""),"18 inch")</f>
        <v>18 inch</v>
      </c>
      <c r="Q1044" s="152" t="str">
        <f>IFERROR(__xludf.DUMMYFUNCTION("""COMPUTED_VALUE"""),"All Black")</f>
        <v>All Black</v>
      </c>
      <c r="R1044" s="150" t="str">
        <f>IFERROR(__xludf.DUMMYFUNCTION("""COMPUTED_VALUE"""),"Full Self-Driving")</f>
        <v>Full Self-Driving</v>
      </c>
      <c r="S1044" s="150" t="str">
        <f>IFERROR(__xludf.DUMMYFUNCTION("""COMPUTED_VALUE"""),"Loan")</f>
        <v>Loan</v>
      </c>
      <c r="T1044" s="136" t="str">
        <f>IFERROR(__xludf.DUMMYFUNCTION("""COMPUTED_VALUE"""),"BMW i3")</f>
        <v>BMW i3</v>
      </c>
      <c r="U1044" s="136" t="str">
        <f>IFERROR(__xludf.DUMMYFUNCTION("""COMPUTED_VALUE"""),"Range")</f>
        <v>Range</v>
      </c>
      <c r="V1044" s="136" t="str">
        <f>IFERROR(__xludf.DUMMYFUNCTION("""COMPUTED_VALUE"""),"Apple CarPlay / Android Auto / SiriusXM Radio")</f>
        <v>Apple CarPlay / Android Auto / SiriusXM Radio</v>
      </c>
      <c r="W1044" s="136"/>
      <c r="X1044" s="137" t="str">
        <f>IFERROR(__xludf.DUMMYFUNCTION("""COMPUTED_VALUE"""),"Very Good")</f>
        <v>Very Good</v>
      </c>
      <c r="Y1044" s="138" t="str">
        <f>IFERROR(__xludf.DUMMYFUNCTION("""COMPUTED_VALUE"""),"Excellent")</f>
        <v>Excellent</v>
      </c>
      <c r="Z1044" s="138" t="str">
        <f>IFERROR(__xludf.DUMMYFUNCTION("""COMPUTED_VALUE"""),"Excellent")</f>
        <v>Excellent</v>
      </c>
      <c r="AA1044" s="138" t="str">
        <f>IFERROR(__xludf.DUMMYFUNCTION("""COMPUTED_VALUE"""),"Excellent")</f>
        <v>Excellent</v>
      </c>
      <c r="AB1044" s="138" t="str">
        <f>IFERROR(__xludf.DUMMYFUNCTION("""COMPUTED_VALUE"""),"Very Good")</f>
        <v>Very Good</v>
      </c>
      <c r="AC1044" s="139"/>
      <c r="AD1044" s="139"/>
      <c r="AE1044" s="139"/>
      <c r="AF1044" s="140" t="str">
        <f>IFERROR(__xludf.DUMMYFUNCTION("""COMPUTED_VALUE"""),"No. I took delivery of the first car Tesla was able to deliver.")</f>
        <v>No. I took delivery of the first car Tesla was able to deliver.</v>
      </c>
      <c r="AG1044" s="136"/>
      <c r="AH1044" s="157">
        <f>IFERROR(__xludf.DUMMYFUNCTION("""COMPUTED_VALUE"""),44191.882833206015)</f>
        <v>44191.88283</v>
      </c>
      <c r="AI1044" s="138"/>
      <c r="AJ1044" s="138"/>
      <c r="AK1044" s="138"/>
      <c r="AL1044" s="142"/>
    </row>
    <row r="1045" ht="20.25" customHeight="1">
      <c r="A1045" s="155" t="str">
        <f>IFERROR(__xludf.DUMMYFUNCTION("""COMPUTED_VALUE"""),"Bigbenb84")</f>
        <v>Bigbenb84</v>
      </c>
      <c r="B1045" s="149" t="str">
        <f>IFERROR(__xludf.DUMMYFUNCTION("""COMPUTED_VALUE"""),"Pensacola")</f>
        <v>Pensacola</v>
      </c>
      <c r="C1045" s="149" t="str">
        <f>IFERROR(__xludf.DUMMYFUNCTION("""COMPUTED_VALUE"""),"FL")</f>
        <v>FL</v>
      </c>
      <c r="D1045" s="149" t="str">
        <f>IFERROR(__xludf.DUMMYFUNCTION("""COMPUTED_VALUE"""),"USA")</f>
        <v>USA</v>
      </c>
      <c r="E1045" s="156">
        <f>IFERROR(__xludf.DUMMYFUNCTION("""COMPUTED_VALUE"""),44170.0)</f>
        <v>44170</v>
      </c>
      <c r="F1045" s="129">
        <f>IFERROR(__xludf.DUMMYFUNCTION("""COMPUTED_VALUE"""),44191.0)</f>
        <v>44191</v>
      </c>
      <c r="G1045" s="154" t="str">
        <f>IFERROR(__xludf.DUMMYFUNCTION("""COMPUTED_VALUE"""),"Manage order page (normal text)")</f>
        <v>Manage order page (normal text)</v>
      </c>
      <c r="H1045" s="131">
        <f>IFERROR(__xludf.DUMMYFUNCTION("""COMPUTED_VALUE"""),850655.0)</f>
        <v>850655</v>
      </c>
      <c r="I1045" s="144" t="str">
        <f>IFERROR(__xludf.DUMMYFUNCTION("""COMPUTED_VALUE"""),"11/20")</f>
        <v>11/20</v>
      </c>
      <c r="J1045" s="129">
        <f>IFERROR(__xludf.DUMMYFUNCTION("""COMPUTED_VALUE"""),44194.0)</f>
        <v>44194</v>
      </c>
      <c r="K1045" s="133">
        <f>IFERROR(__xludf.DUMMYFUNCTION("""COMPUTED_VALUE"""),21.0)</f>
        <v>21</v>
      </c>
      <c r="L1045" s="133">
        <f>IFERROR(__xludf.DUMMYFUNCTION("""COMPUTED_VALUE"""),3.0)</f>
        <v>3</v>
      </c>
      <c r="M1045" s="133">
        <f>IFERROR(__xludf.DUMMYFUNCTION("""COMPUTED_VALUE"""),24.0)</f>
        <v>24</v>
      </c>
      <c r="N1045" s="152" t="str">
        <f>IFERROR(__xludf.DUMMYFUNCTION("""COMPUTED_VALUE"""),"Model 3 Performance")</f>
        <v>Model 3 Performance</v>
      </c>
      <c r="O1045" s="152" t="str">
        <f>IFERROR(__xludf.DUMMYFUNCTION("""COMPUTED_VALUE"""),"Red Multi-Coat")</f>
        <v>Red Multi-Coat</v>
      </c>
      <c r="P1045" s="153" t="str">
        <f>IFERROR(__xludf.DUMMYFUNCTION("""COMPUTED_VALUE"""),"20 inch")</f>
        <v>20 inch</v>
      </c>
      <c r="Q1045" s="152" t="str">
        <f>IFERROR(__xludf.DUMMYFUNCTION("""COMPUTED_VALUE"""),"Black and White")</f>
        <v>Black and White</v>
      </c>
      <c r="R1045" s="149" t="str">
        <f>IFERROR(__xludf.DUMMYFUNCTION("""COMPUTED_VALUE"""),"Autopilot included")</f>
        <v>Autopilot included</v>
      </c>
      <c r="S1045" s="149" t="str">
        <f>IFERROR(__xludf.DUMMYFUNCTION("""COMPUTED_VALUE"""),"Loan")</f>
        <v>Loan</v>
      </c>
      <c r="T1045" s="145" t="str">
        <f>IFERROR(__xludf.DUMMYFUNCTION("""COMPUTED_VALUE"""),"Alfa Romeo Giulia ")</f>
        <v>Alfa Romeo Giulia </v>
      </c>
      <c r="U1045" s="145" t="str">
        <f>IFERROR(__xludf.DUMMYFUNCTION("""COMPUTED_VALUE"""),"Electric!")</f>
        <v>Electric!</v>
      </c>
      <c r="V1045" s="145" t="str">
        <f>IFERROR(__xludf.DUMMYFUNCTION("""COMPUTED_VALUE"""),"Head-up display")</f>
        <v>Head-up display</v>
      </c>
      <c r="W1045" s="136"/>
      <c r="X1045" s="137" t="str">
        <f>IFERROR(__xludf.DUMMYFUNCTION("""COMPUTED_VALUE"""),"Very Good")</f>
        <v>Very Good</v>
      </c>
      <c r="Y1045" s="138" t="str">
        <f>IFERROR(__xludf.DUMMYFUNCTION("""COMPUTED_VALUE"""),"Very Good")</f>
        <v>Very Good</v>
      </c>
      <c r="Z1045" s="138" t="str">
        <f>IFERROR(__xludf.DUMMYFUNCTION("""COMPUTED_VALUE"""),"Very Good")</f>
        <v>Very Good</v>
      </c>
      <c r="AA1045" s="138" t="str">
        <f>IFERROR(__xludf.DUMMYFUNCTION("""COMPUTED_VALUE"""),"Fair")</f>
        <v>Fair</v>
      </c>
      <c r="AB1045" s="138" t="str">
        <f>IFERROR(__xludf.DUMMYFUNCTION("""COMPUTED_VALUE"""),"Good")</f>
        <v>Good</v>
      </c>
      <c r="AC1045" s="139">
        <f>IFERROR(__xludf.DUMMYFUNCTION("""COMPUTED_VALUE"""),0.0)</f>
        <v>0</v>
      </c>
      <c r="AD1045" s="139">
        <f>IFERROR(__xludf.DUMMYFUNCTION("""COMPUTED_VALUE"""),0.0)</f>
        <v>0</v>
      </c>
      <c r="AE1045" s="139">
        <f>IFERROR(__xludf.DUMMYFUNCTION("""COMPUTED_VALUE"""),0.0)</f>
        <v>0</v>
      </c>
      <c r="AF1045" s="140" t="str">
        <f>IFERROR(__xludf.DUMMYFUNCTION("""COMPUTED_VALUE"""),"No. I took delivery of the first car Tesla was able to deliver.")</f>
        <v>No. I took delivery of the first car Tesla was able to deliver.</v>
      </c>
      <c r="AG1045" s="136"/>
      <c r="AH1045" s="157">
        <f>IFERROR(__xludf.DUMMYFUNCTION("""COMPUTED_VALUE"""),44201.93704664352)</f>
        <v>44201.93705</v>
      </c>
      <c r="AI1045" s="138"/>
      <c r="AJ1045" s="138"/>
      <c r="AK1045" s="138"/>
      <c r="AL1045" s="142"/>
    </row>
    <row r="1046" ht="20.25" customHeight="1">
      <c r="A1046" s="155" t="str">
        <f>IFERROR(__xludf.DUMMYFUNCTION("""COMPUTED_VALUE"""),"Grae Chivalier")</f>
        <v>Grae Chivalier</v>
      </c>
      <c r="B1046" s="149" t="str">
        <f>IFERROR(__xludf.DUMMYFUNCTION("""COMPUTED_VALUE"""),"San Diego")</f>
        <v>San Diego</v>
      </c>
      <c r="C1046" s="149" t="str">
        <f>IFERROR(__xludf.DUMMYFUNCTION("""COMPUTED_VALUE"""),"CA")</f>
        <v>CA</v>
      </c>
      <c r="D1046" s="149" t="str">
        <f>IFERROR(__xludf.DUMMYFUNCTION("""COMPUTED_VALUE"""),"USA")</f>
        <v>USA</v>
      </c>
      <c r="E1046" s="156">
        <f>IFERROR(__xludf.DUMMYFUNCTION("""COMPUTED_VALUE"""),44170.0)</f>
        <v>44170</v>
      </c>
      <c r="F1046" s="129">
        <f>IFERROR(__xludf.DUMMYFUNCTION("""COMPUTED_VALUE"""),44193.0)</f>
        <v>44193</v>
      </c>
      <c r="G1046" s="154" t="str">
        <f>IFERROR(__xludf.DUMMYFUNCTION("""COMPUTED_VALUE"""),"Text message")</f>
        <v>Text message</v>
      </c>
      <c r="H1046" s="131">
        <f>IFERROR(__xludf.DUMMYFUNCTION("""COMPUTED_VALUE"""),875655.0)</f>
        <v>875655</v>
      </c>
      <c r="I1046" s="132" t="str">
        <f>IFERROR(__xludf.DUMMYFUNCTION("""COMPUTED_VALUE"""),"12/20")</f>
        <v>12/20</v>
      </c>
      <c r="J1046" s="129">
        <f>IFERROR(__xludf.DUMMYFUNCTION("""COMPUTED_VALUE"""),44195.0)</f>
        <v>44195</v>
      </c>
      <c r="K1046" s="133">
        <f>IFERROR(__xludf.DUMMYFUNCTION("""COMPUTED_VALUE"""),23.0)</f>
        <v>23</v>
      </c>
      <c r="L1046" s="133">
        <f>IFERROR(__xludf.DUMMYFUNCTION("""COMPUTED_VALUE"""),2.0)</f>
        <v>2</v>
      </c>
      <c r="M1046" s="133">
        <f>IFERROR(__xludf.DUMMYFUNCTION("""COMPUTED_VALUE"""),25.0)</f>
        <v>25</v>
      </c>
      <c r="N1046" s="152" t="str">
        <f>IFERROR(__xludf.DUMMYFUNCTION("""COMPUTED_VALUE"""),"Model 3 LR AWD")</f>
        <v>Model 3 LR AWD</v>
      </c>
      <c r="O1046" s="152" t="str">
        <f>IFERROR(__xludf.DUMMYFUNCTION("""COMPUTED_VALUE"""),"Midnight Silver Metallic")</f>
        <v>Midnight Silver Metallic</v>
      </c>
      <c r="P1046" s="153" t="str">
        <f>IFERROR(__xludf.DUMMYFUNCTION("""COMPUTED_VALUE"""),"18 inch")</f>
        <v>18 inch</v>
      </c>
      <c r="Q1046" s="152" t="str">
        <f>IFERROR(__xludf.DUMMYFUNCTION("""COMPUTED_VALUE"""),"Black and White")</f>
        <v>Black and White</v>
      </c>
      <c r="R1046" s="150" t="str">
        <f>IFERROR(__xludf.DUMMYFUNCTION("""COMPUTED_VALUE"""),"Autopilot included")</f>
        <v>Autopilot included</v>
      </c>
      <c r="S1046" s="150" t="str">
        <f>IFERROR(__xludf.DUMMYFUNCTION("""COMPUTED_VALUE"""),"Cash")</f>
        <v>Cash</v>
      </c>
      <c r="T1046" s="136" t="str">
        <f>IFERROR(__xludf.DUMMYFUNCTION("""COMPUTED_VALUE"""),"Chevy Volt")</f>
        <v>Chevy Volt</v>
      </c>
      <c r="U1046" s="136" t="str">
        <f>IFERROR(__xludf.DUMMYFUNCTION("""COMPUTED_VALUE"""),"Electric!")</f>
        <v>Electric!</v>
      </c>
      <c r="V1046" s="136" t="str">
        <f>IFERROR(__xludf.DUMMYFUNCTION("""COMPUTED_VALUE"""),"Apple CarPlay / Android Auto / SiriusXM Radio")</f>
        <v>Apple CarPlay / Android Auto / SiriusXM Radio</v>
      </c>
      <c r="W1046" s="136"/>
      <c r="X1046" s="137" t="str">
        <f>IFERROR(__xludf.DUMMYFUNCTION("""COMPUTED_VALUE"""),"Very Good")</f>
        <v>Very Good</v>
      </c>
      <c r="Y1046" s="138" t="str">
        <f>IFERROR(__xludf.DUMMYFUNCTION("""COMPUTED_VALUE"""),"Excellent")</f>
        <v>Excellent</v>
      </c>
      <c r="Z1046" s="138" t="str">
        <f>IFERROR(__xludf.DUMMYFUNCTION("""COMPUTED_VALUE"""),"Excellent")</f>
        <v>Excellent</v>
      </c>
      <c r="AA1046" s="138" t="str">
        <f>IFERROR(__xludf.DUMMYFUNCTION("""COMPUTED_VALUE"""),"Very Good")</f>
        <v>Very Good</v>
      </c>
      <c r="AB1046" s="138" t="str">
        <f>IFERROR(__xludf.DUMMYFUNCTION("""COMPUTED_VALUE"""),"Excellent")</f>
        <v>Excellent</v>
      </c>
      <c r="AC1046" s="139">
        <f>IFERROR(__xludf.DUMMYFUNCTION("""COMPUTED_VALUE"""),0.0)</f>
        <v>0</v>
      </c>
      <c r="AD1046" s="139">
        <f>IFERROR(__xludf.DUMMYFUNCTION("""COMPUTED_VALUE"""),0.0)</f>
        <v>0</v>
      </c>
      <c r="AE1046" s="139">
        <f>IFERROR(__xludf.DUMMYFUNCTION("""COMPUTED_VALUE"""),0.0)</f>
        <v>0</v>
      </c>
      <c r="AF1046" s="140" t="str">
        <f>IFERROR(__xludf.DUMMYFUNCTION("""COMPUTED_VALUE"""),"No. I took delivery of the first car Tesla was able to deliver.")</f>
        <v>No. I took delivery of the first car Tesla was able to deliver.</v>
      </c>
      <c r="AG1046" s="136"/>
      <c r="AH1046" s="157">
        <f>IFERROR(__xludf.DUMMYFUNCTION("""COMPUTED_VALUE"""),44201.73339996528)</f>
        <v>44201.7334</v>
      </c>
      <c r="AI1046" s="138"/>
      <c r="AJ1046" s="138"/>
      <c r="AK1046" s="138"/>
      <c r="AL1046" s="142"/>
    </row>
    <row r="1047" ht="20.25" customHeight="1">
      <c r="A1047" s="155" t="str">
        <f>IFERROR(__xludf.DUMMYFUNCTION("""COMPUTED_VALUE"""),"kilpatds")</f>
        <v>kilpatds</v>
      </c>
      <c r="B1047" s="149" t="str">
        <f>IFERROR(__xludf.DUMMYFUNCTION("""COMPUTED_VALUE"""),"Seattle")</f>
        <v>Seattle</v>
      </c>
      <c r="C1047" s="149" t="str">
        <f>IFERROR(__xludf.DUMMYFUNCTION("""COMPUTED_VALUE"""),"WA")</f>
        <v>WA</v>
      </c>
      <c r="D1047" s="149" t="str">
        <f>IFERROR(__xludf.DUMMYFUNCTION("""COMPUTED_VALUE"""),"USA")</f>
        <v>USA</v>
      </c>
      <c r="E1047" s="156">
        <f>IFERROR(__xludf.DUMMYFUNCTION("""COMPUTED_VALUE"""),44168.0)</f>
        <v>44168</v>
      </c>
      <c r="F1047" s="129">
        <f>IFERROR(__xludf.DUMMYFUNCTION("""COMPUTED_VALUE"""),44270.0)</f>
        <v>44270</v>
      </c>
      <c r="G1047" s="154" t="str">
        <f>IFERROR(__xludf.DUMMYFUNCTION("""COMPUTED_VALUE"""),"Manage order page (normal text)")</f>
        <v>Manage order page (normal text)</v>
      </c>
      <c r="H1047" s="131">
        <f>IFERROR(__xludf.DUMMYFUNCTION("""COMPUTED_VALUE"""),926022.0)</f>
        <v>926022</v>
      </c>
      <c r="I1047" s="144" t="str">
        <f>IFERROR(__xludf.DUMMYFUNCTION("""COMPUTED_VALUE"""),"03/21")</f>
        <v>03/21</v>
      </c>
      <c r="J1047" s="129">
        <f>IFERROR(__xludf.DUMMYFUNCTION("""COMPUTED_VALUE"""),44273.0)</f>
        <v>44273</v>
      </c>
      <c r="K1047" s="133">
        <f>IFERROR(__xludf.DUMMYFUNCTION("""COMPUTED_VALUE"""),102.0)</f>
        <v>102</v>
      </c>
      <c r="L1047" s="133">
        <f>IFERROR(__xludf.DUMMYFUNCTION("""COMPUTED_VALUE"""),3.0)</f>
        <v>3</v>
      </c>
      <c r="M1047" s="133">
        <f>IFERROR(__xludf.DUMMYFUNCTION("""COMPUTED_VALUE"""),105.0)</f>
        <v>105</v>
      </c>
      <c r="N1047" s="152" t="str">
        <f>IFERROR(__xludf.DUMMYFUNCTION("""COMPUTED_VALUE"""),"Model 3 Performance")</f>
        <v>Model 3 Performance</v>
      </c>
      <c r="O1047" s="152" t="str">
        <f>IFERROR(__xludf.DUMMYFUNCTION("""COMPUTED_VALUE"""),"Midnight Silver Metallic")</f>
        <v>Midnight Silver Metallic</v>
      </c>
      <c r="P1047" s="153" t="str">
        <f>IFERROR(__xludf.DUMMYFUNCTION("""COMPUTED_VALUE"""),"20 inch")</f>
        <v>20 inch</v>
      </c>
      <c r="Q1047" s="152" t="str">
        <f>IFERROR(__xludf.DUMMYFUNCTION("""COMPUTED_VALUE"""),"All Black")</f>
        <v>All Black</v>
      </c>
      <c r="R1047" s="149" t="str">
        <f>IFERROR(__xludf.DUMMYFUNCTION("""COMPUTED_VALUE"""),"Full Self-Driving")</f>
        <v>Full Self-Driving</v>
      </c>
      <c r="S1047" s="149" t="str">
        <f>IFERROR(__xludf.DUMMYFUNCTION("""COMPUTED_VALUE"""),"Cash")</f>
        <v>Cash</v>
      </c>
      <c r="T1047" s="145" t="str">
        <f>IFERROR(__xludf.DUMMYFUNCTION("""COMPUTED_VALUE"""),"BMW M4")</f>
        <v>BMW M4</v>
      </c>
      <c r="U1047" s="145" t="str">
        <f>IFERROR(__xludf.DUMMYFUNCTION("""COMPUTED_VALUE"""),"Electric!")</f>
        <v>Electric!</v>
      </c>
      <c r="V1047" s="145" t="str">
        <f>IFERROR(__xludf.DUMMYFUNCTION("""COMPUTED_VALUE"""),"Head-up display")</f>
        <v>Head-up display</v>
      </c>
      <c r="W1047" s="136"/>
      <c r="X1047" s="137" t="str">
        <f>IFERROR(__xludf.DUMMYFUNCTION("""COMPUTED_VALUE"""),"Very Good")</f>
        <v>Very Good</v>
      </c>
      <c r="Y1047" s="138" t="str">
        <f>IFERROR(__xludf.DUMMYFUNCTION("""COMPUTED_VALUE"""),"Very Good")</f>
        <v>Very Good</v>
      </c>
      <c r="Z1047" s="138" t="str">
        <f>IFERROR(__xludf.DUMMYFUNCTION("""COMPUTED_VALUE"""),"Very Good")</f>
        <v>Very Good</v>
      </c>
      <c r="AA1047" s="138" t="str">
        <f>IFERROR(__xludf.DUMMYFUNCTION("""COMPUTED_VALUE"""),"Poor")</f>
        <v>Poor</v>
      </c>
      <c r="AB1047" s="138" t="str">
        <f>IFERROR(__xludf.DUMMYFUNCTION("""COMPUTED_VALUE"""),"Good")</f>
        <v>Good</v>
      </c>
      <c r="AC1047" s="139">
        <f>IFERROR(__xludf.DUMMYFUNCTION("""COMPUTED_VALUE"""),2.0)</f>
        <v>2</v>
      </c>
      <c r="AD1047" s="139"/>
      <c r="AE1047" s="139"/>
      <c r="AF1047" s="140" t="str">
        <f>IFERROR(__xludf.DUMMYFUNCTION("""COMPUTED_VALUE"""),"No. I took delivery of the first car Tesla was able to deliver.")</f>
        <v>No. I took delivery of the first car Tesla was able to deliver.</v>
      </c>
      <c r="AG1047" s="136"/>
      <c r="AH1047" s="157">
        <f>IFERROR(__xludf.DUMMYFUNCTION("""COMPUTED_VALUE"""),44274.52118928241)</f>
        <v>44274.52119</v>
      </c>
      <c r="AI1047" s="138"/>
      <c r="AJ1047" s="138"/>
      <c r="AK1047" s="138"/>
      <c r="AL1047" s="142"/>
    </row>
    <row r="1048" ht="20.25" customHeight="1">
      <c r="A1048" s="155" t="str">
        <f>IFERROR(__xludf.DUMMYFUNCTION("""COMPUTED_VALUE"""),"MarshalG")</f>
        <v>MarshalG</v>
      </c>
      <c r="B1048" s="149"/>
      <c r="C1048" s="149" t="str">
        <f>IFERROR(__xludf.DUMMYFUNCTION("""COMPUTED_VALUE"""),"SC")</f>
        <v>SC</v>
      </c>
      <c r="D1048" s="149" t="str">
        <f>IFERROR(__xludf.DUMMYFUNCTION("""COMPUTED_VALUE"""),"USA")</f>
        <v>USA</v>
      </c>
      <c r="E1048" s="156">
        <f>IFERROR(__xludf.DUMMYFUNCTION("""COMPUTED_VALUE"""),44168.0)</f>
        <v>44168</v>
      </c>
      <c r="F1048" s="129">
        <f>IFERROR(__xludf.DUMMYFUNCTION("""COMPUTED_VALUE"""),44178.0)</f>
        <v>44178</v>
      </c>
      <c r="G1048" s="154" t="str">
        <f>IFERROR(__xludf.DUMMYFUNCTION("""COMPUTED_VALUE"""),"Manage order page (normal text)")</f>
        <v>Manage order page (normal text)</v>
      </c>
      <c r="H1048" s="131">
        <f>IFERROR(__xludf.DUMMYFUNCTION("""COMPUTED_VALUE"""),858755.0)</f>
        <v>858755</v>
      </c>
      <c r="I1048" s="144" t="str">
        <f>IFERROR(__xludf.DUMMYFUNCTION("""COMPUTED_VALUE"""),"12/20")</f>
        <v>12/20</v>
      </c>
      <c r="J1048" s="129">
        <f>IFERROR(__xludf.DUMMYFUNCTION("""COMPUTED_VALUE"""),44186.0)</f>
        <v>44186</v>
      </c>
      <c r="K1048" s="133">
        <f>IFERROR(__xludf.DUMMYFUNCTION("""COMPUTED_VALUE"""),10.0)</f>
        <v>10</v>
      </c>
      <c r="L1048" s="133">
        <f>IFERROR(__xludf.DUMMYFUNCTION("""COMPUTED_VALUE"""),8.0)</f>
        <v>8</v>
      </c>
      <c r="M1048" s="133">
        <f>IFERROR(__xludf.DUMMYFUNCTION("""COMPUTED_VALUE"""),18.0)</f>
        <v>18</v>
      </c>
      <c r="N1048" s="152" t="str">
        <f>IFERROR(__xludf.DUMMYFUNCTION("""COMPUTED_VALUE"""),"Model 3 LR AWD")</f>
        <v>Model 3 LR AWD</v>
      </c>
      <c r="O1048" s="152" t="str">
        <f>IFERROR(__xludf.DUMMYFUNCTION("""COMPUTED_VALUE"""),"Midnight Silver Metallic")</f>
        <v>Midnight Silver Metallic</v>
      </c>
      <c r="P1048" s="153" t="str">
        <f>IFERROR(__xludf.DUMMYFUNCTION("""COMPUTED_VALUE"""),"18 inch")</f>
        <v>18 inch</v>
      </c>
      <c r="Q1048" s="152" t="str">
        <f>IFERROR(__xludf.DUMMYFUNCTION("""COMPUTED_VALUE"""),"All Black")</f>
        <v>All Black</v>
      </c>
      <c r="R1048" s="149" t="str">
        <f>IFERROR(__xludf.DUMMYFUNCTION("""COMPUTED_VALUE"""),"Autopilot included")</f>
        <v>Autopilot included</v>
      </c>
      <c r="S1048" s="149" t="str">
        <f>IFERROR(__xludf.DUMMYFUNCTION("""COMPUTED_VALUE"""),"Cash")</f>
        <v>Cash</v>
      </c>
      <c r="T1048" s="145" t="str">
        <f>IFERROR(__xludf.DUMMYFUNCTION("""COMPUTED_VALUE"""),"Nissan Leaf")</f>
        <v>Nissan Leaf</v>
      </c>
      <c r="U1048" s="145" t="str">
        <f>IFERROR(__xludf.DUMMYFUNCTION("""COMPUTED_VALUE"""),"Supercharger V3 support")</f>
        <v>Supercharger V3 support</v>
      </c>
      <c r="V1048" s="145" t="str">
        <f>IFERROR(__xludf.DUMMYFUNCTION("""COMPUTED_VALUE"""),"Heated steering wheel")</f>
        <v>Heated steering wheel</v>
      </c>
      <c r="W1048" s="145" t="str">
        <f>IFERROR(__xludf.DUMMYFUNCTION("""COMPUTED_VALUE"""),"Watch all the instructional videos because there will be no orientation from a human when you take delivery.")</f>
        <v>Watch all the instructional videos because there will be no orientation from a human when you take delivery.</v>
      </c>
      <c r="X1048" s="137" t="str">
        <f>IFERROR(__xludf.DUMMYFUNCTION("""COMPUTED_VALUE"""),"Very Good")</f>
        <v>Very Good</v>
      </c>
      <c r="Y1048" s="138" t="str">
        <f>IFERROR(__xludf.DUMMYFUNCTION("""COMPUTED_VALUE"""),"Excellent")</f>
        <v>Excellent</v>
      </c>
      <c r="Z1048" s="138" t="str">
        <f>IFERROR(__xludf.DUMMYFUNCTION("""COMPUTED_VALUE"""),"Excellent")</f>
        <v>Excellent</v>
      </c>
      <c r="AA1048" s="138" t="str">
        <f>IFERROR(__xludf.DUMMYFUNCTION("""COMPUTED_VALUE"""),"Fair")</f>
        <v>Fair</v>
      </c>
      <c r="AB1048" s="138" t="str">
        <f>IFERROR(__xludf.DUMMYFUNCTION("""COMPUTED_VALUE"""),"Good")</f>
        <v>Good</v>
      </c>
      <c r="AC1048" s="139"/>
      <c r="AD1048" s="139"/>
      <c r="AE1048" s="139"/>
      <c r="AF1048" s="140" t="str">
        <f>IFERROR(__xludf.DUMMYFUNCTION("""COMPUTED_VALUE"""),"No. I took delivery of the first car Tesla was able to deliver.")</f>
        <v>No. I took delivery of the first car Tesla was able to deliver.</v>
      </c>
      <c r="AG1048" s="145" t="str">
        <f>IFERROR(__xludf.DUMMYFUNCTION("""COMPUTED_VALUE"""),"I get end of quarter rush, but everything was rushed.  Didn't like taking delivery out of state so late in the day, then driving a new car in the dark for hundreds of miles.")</f>
        <v>I get end of quarter rush, but everything was rushed.  Didn't like taking delivery out of state so late in the day, then driving a new car in the dark for hundreds of miles.</v>
      </c>
      <c r="AH1048" s="157">
        <f>IFERROR(__xludf.DUMMYFUNCTION("""COMPUTED_VALUE"""),44187.37963052084)</f>
        <v>44187.37963</v>
      </c>
      <c r="AI1048" s="138"/>
      <c r="AJ1048" s="138"/>
      <c r="AK1048" s="138"/>
      <c r="AL1048" s="142"/>
    </row>
    <row r="1049" ht="20.25" customHeight="1">
      <c r="A1049" s="155" t="str">
        <f>IFERROR(__xludf.DUMMYFUNCTION("""COMPUTED_VALUE"""),"GoodKarma")</f>
        <v>GoodKarma</v>
      </c>
      <c r="B1049" s="159" t="str">
        <f>IFERROR(__xludf.DUMMYFUNCTION("""COMPUTED_VALUE"""),"Phoenix")</f>
        <v>Phoenix</v>
      </c>
      <c r="C1049" s="159" t="str">
        <f>IFERROR(__xludf.DUMMYFUNCTION("""COMPUTED_VALUE"""),"AZ")</f>
        <v>AZ</v>
      </c>
      <c r="D1049" s="159" t="str">
        <f>IFERROR(__xludf.DUMMYFUNCTION("""COMPUTED_VALUE"""),"USA")</f>
        <v>USA</v>
      </c>
      <c r="E1049" s="156">
        <f>IFERROR(__xludf.DUMMYFUNCTION("""COMPUTED_VALUE"""),44166.0)</f>
        <v>44166</v>
      </c>
      <c r="F1049" s="129">
        <f>IFERROR(__xludf.DUMMYFUNCTION("""COMPUTED_VALUE"""),44186.0)</f>
        <v>44186</v>
      </c>
      <c r="G1049" s="154" t="str">
        <f>IFERROR(__xludf.DUMMYFUNCTION("""COMPUTED_VALUE"""),"Manage order page (normal text)")</f>
        <v>Manage order page (normal text)</v>
      </c>
      <c r="H1049" s="131">
        <f>IFERROR(__xludf.DUMMYFUNCTION("""COMPUTED_VALUE"""),872655.0)</f>
        <v>872655</v>
      </c>
      <c r="I1049" s="160"/>
      <c r="J1049" s="129">
        <f>IFERROR(__xludf.DUMMYFUNCTION("""COMPUTED_VALUE"""),44189.0)</f>
        <v>44189</v>
      </c>
      <c r="K1049" s="133">
        <f>IFERROR(__xludf.DUMMYFUNCTION("""COMPUTED_VALUE"""),20.0)</f>
        <v>20</v>
      </c>
      <c r="L1049" s="133">
        <f>IFERROR(__xludf.DUMMYFUNCTION("""COMPUTED_VALUE"""),3.0)</f>
        <v>3</v>
      </c>
      <c r="M1049" s="133">
        <f>IFERROR(__xludf.DUMMYFUNCTION("""COMPUTED_VALUE"""),23.0)</f>
        <v>23</v>
      </c>
      <c r="N1049" s="152" t="str">
        <f>IFERROR(__xludf.DUMMYFUNCTION("""COMPUTED_VALUE"""),"Model 3 LR AWD")</f>
        <v>Model 3 LR AWD</v>
      </c>
      <c r="O1049" s="152" t="str">
        <f>IFERROR(__xludf.DUMMYFUNCTION("""COMPUTED_VALUE"""),"Pearl White Multi-Coat")</f>
        <v>Pearl White Multi-Coat</v>
      </c>
      <c r="P1049" s="153" t="str">
        <f>IFERROR(__xludf.DUMMYFUNCTION("""COMPUTED_VALUE"""),"18 inch")</f>
        <v>18 inch</v>
      </c>
      <c r="Q1049" s="152" t="str">
        <f>IFERROR(__xludf.DUMMYFUNCTION("""COMPUTED_VALUE"""),"All Black")</f>
        <v>All Black</v>
      </c>
      <c r="R1049" s="159" t="str">
        <f>IFERROR(__xludf.DUMMYFUNCTION("""COMPUTED_VALUE"""),"Autopilot included")</f>
        <v>Autopilot included</v>
      </c>
      <c r="S1049" s="159" t="str">
        <f>IFERROR(__xludf.DUMMYFUNCTION("""COMPUTED_VALUE"""),"Loan")</f>
        <v>Loan</v>
      </c>
      <c r="T1049" s="161" t="str">
        <f>IFERROR(__xludf.DUMMYFUNCTION("""COMPUTED_VALUE"""),"Lexus")</f>
        <v>Lexus</v>
      </c>
      <c r="U1049" s="161" t="str">
        <f>IFERROR(__xludf.DUMMYFUNCTION("""COMPUTED_VALUE"""),"Electric!")</f>
        <v>Electric!</v>
      </c>
      <c r="V1049" s="161" t="str">
        <f>IFERROR(__xludf.DUMMYFUNCTION("""COMPUTED_VALUE"""),"Apple CarPlay / Android Auto / SiriusXM Radio")</f>
        <v>Apple CarPlay / Android Auto / SiriusXM Radio</v>
      </c>
      <c r="W1049" s="161"/>
      <c r="X1049" s="164" t="str">
        <f>IFERROR(__xludf.DUMMYFUNCTION("""COMPUTED_VALUE"""),"Very Good")</f>
        <v>Very Good</v>
      </c>
      <c r="Y1049" s="138" t="str">
        <f>IFERROR(__xludf.DUMMYFUNCTION("""COMPUTED_VALUE"""),"Very Good")</f>
        <v>Very Good</v>
      </c>
      <c r="Z1049" s="138" t="str">
        <f>IFERROR(__xludf.DUMMYFUNCTION("""COMPUTED_VALUE"""),"Very Good")</f>
        <v>Very Good</v>
      </c>
      <c r="AA1049" s="138" t="str">
        <f>IFERROR(__xludf.DUMMYFUNCTION("""COMPUTED_VALUE"""),"Excellent")</f>
        <v>Excellent</v>
      </c>
      <c r="AB1049" s="138" t="str">
        <f>IFERROR(__xludf.DUMMYFUNCTION("""COMPUTED_VALUE"""),"Very Good")</f>
        <v>Very Good</v>
      </c>
      <c r="AC1049" s="139"/>
      <c r="AD1049" s="139"/>
      <c r="AE1049" s="139"/>
      <c r="AF1049" s="140"/>
      <c r="AG1049" s="161"/>
      <c r="AH1049" s="157">
        <f>IFERROR(__xludf.DUMMYFUNCTION("""COMPUTED_VALUE"""),44189.75410594907)</f>
        <v>44189.75411</v>
      </c>
      <c r="AI1049" s="138"/>
      <c r="AJ1049" s="138"/>
      <c r="AK1049" s="138"/>
      <c r="AL1049" s="142"/>
    </row>
    <row r="1050" ht="20.25" customHeight="1">
      <c r="A1050" s="155" t="str">
        <f>IFERROR(__xludf.DUMMYFUNCTION("""COMPUTED_VALUE"""),"LUMBEE3D")</f>
        <v>LUMBEE3D</v>
      </c>
      <c r="B1050" s="149" t="str">
        <f>IFERROR(__xludf.DUMMYFUNCTION("""COMPUTED_VALUE"""),"Morrisville")</f>
        <v>Morrisville</v>
      </c>
      <c r="C1050" s="149" t="str">
        <f>IFERROR(__xludf.DUMMYFUNCTION("""COMPUTED_VALUE"""),"NC")</f>
        <v>NC</v>
      </c>
      <c r="D1050" s="149" t="str">
        <f>IFERROR(__xludf.DUMMYFUNCTION("""COMPUTED_VALUE"""),"USA")</f>
        <v>USA</v>
      </c>
      <c r="E1050" s="156">
        <f>IFERROR(__xludf.DUMMYFUNCTION("""COMPUTED_VALUE"""),44165.0)</f>
        <v>44165</v>
      </c>
      <c r="F1050" s="129">
        <f>IFERROR(__xludf.DUMMYFUNCTION("""COMPUTED_VALUE"""),44169.0)</f>
        <v>44169</v>
      </c>
      <c r="G1050" s="154" t="str">
        <f>IFERROR(__xludf.DUMMYFUNCTION("""COMPUTED_VALUE"""),"Manage order page (normal text)")</f>
        <v>Manage order page (normal text)</v>
      </c>
      <c r="H1050" s="131">
        <f>IFERROR(__xludf.DUMMYFUNCTION("""COMPUTED_VALUE"""),853755.0)</f>
        <v>853755</v>
      </c>
      <c r="I1050" s="144"/>
      <c r="J1050" s="129">
        <f>IFERROR(__xludf.DUMMYFUNCTION("""COMPUTED_VALUE"""),44194.0)</f>
        <v>44194</v>
      </c>
      <c r="K1050" s="133">
        <f>IFERROR(__xludf.DUMMYFUNCTION("""COMPUTED_VALUE"""),4.0)</f>
        <v>4</v>
      </c>
      <c r="L1050" s="133">
        <f>IFERROR(__xludf.DUMMYFUNCTION("""COMPUTED_VALUE"""),25.0)</f>
        <v>25</v>
      </c>
      <c r="M1050" s="133">
        <f>IFERROR(__xludf.DUMMYFUNCTION("""COMPUTED_VALUE"""),29.0)</f>
        <v>29</v>
      </c>
      <c r="N1050" s="152" t="str">
        <f>IFERROR(__xludf.DUMMYFUNCTION("""COMPUTED_VALUE"""),"Model 3 SR+")</f>
        <v>Model 3 SR+</v>
      </c>
      <c r="O1050" s="152" t="str">
        <f>IFERROR(__xludf.DUMMYFUNCTION("""COMPUTED_VALUE"""),"Pearl White Multi-Coat")</f>
        <v>Pearl White Multi-Coat</v>
      </c>
      <c r="P1050" s="153" t="str">
        <f>IFERROR(__xludf.DUMMYFUNCTION("""COMPUTED_VALUE"""),"19 inch")</f>
        <v>19 inch</v>
      </c>
      <c r="Q1050" s="152" t="str">
        <f>IFERROR(__xludf.DUMMYFUNCTION("""COMPUTED_VALUE"""),"Black and White")</f>
        <v>Black and White</v>
      </c>
      <c r="R1050" s="149" t="str">
        <f>IFERROR(__xludf.DUMMYFUNCTION("""COMPUTED_VALUE"""),"Autopilot included")</f>
        <v>Autopilot included</v>
      </c>
      <c r="S1050" s="149" t="str">
        <f>IFERROR(__xludf.DUMMYFUNCTION("""COMPUTED_VALUE"""),"Loan")</f>
        <v>Loan</v>
      </c>
      <c r="T1050" s="145" t="str">
        <f>IFERROR(__xludf.DUMMYFUNCTION("""COMPUTED_VALUE"""),"Mini Countryman S")</f>
        <v>Mini Countryman S</v>
      </c>
      <c r="U1050" s="145" t="str">
        <f>IFERROR(__xludf.DUMMYFUNCTION("""COMPUTED_VALUE"""),"Electric!")</f>
        <v>Electric!</v>
      </c>
      <c r="V1050" s="145" t="str">
        <f>IFERROR(__xludf.DUMMYFUNCTION("""COMPUTED_VALUE"""),"Apple CarPlay / Android Auto / SiriusXM Radio")</f>
        <v>Apple CarPlay / Android Auto / SiriusXM Radio</v>
      </c>
      <c r="W1050" s="145" t="str">
        <f>IFERROR(__xludf.DUMMYFUNCTION("""COMPUTED_VALUE"""),"Don't get insurance until the day before delivery")</f>
        <v>Don't get insurance until the day before delivery</v>
      </c>
      <c r="X1050" s="137" t="str">
        <f>IFERROR(__xludf.DUMMYFUNCTION("""COMPUTED_VALUE"""),"Excellent")</f>
        <v>Excellent</v>
      </c>
      <c r="Y1050" s="138" t="str">
        <f>IFERROR(__xludf.DUMMYFUNCTION("""COMPUTED_VALUE"""),"Excellent")</f>
        <v>Excellent</v>
      </c>
      <c r="Z1050" s="138" t="str">
        <f>IFERROR(__xludf.DUMMYFUNCTION("""COMPUTED_VALUE"""),"Excellent")</f>
        <v>Excellent</v>
      </c>
      <c r="AA1050" s="138" t="str">
        <f>IFERROR(__xludf.DUMMYFUNCTION("""COMPUTED_VALUE"""),"Good")</f>
        <v>Good</v>
      </c>
      <c r="AB1050" s="138" t="str">
        <f>IFERROR(__xludf.DUMMYFUNCTION("""COMPUTED_VALUE"""),"Very Good")</f>
        <v>Very Good</v>
      </c>
      <c r="AC1050" s="139"/>
      <c r="AD1050" s="139"/>
      <c r="AE1050" s="139"/>
      <c r="AF1050" s="140" t="str">
        <f>IFERROR(__xludf.DUMMYFUNCTION("""COMPUTED_VALUE"""),"No. I took delivery of the first car Tesla was able to deliver.")</f>
        <v>No. I took delivery of the first car Tesla was able to deliver.</v>
      </c>
      <c r="AG1050" s="145" t="str">
        <f>IFERROR(__xludf.DUMMYFUNCTION("""COMPUTED_VALUE"""),"Est. Delivery: Dec 14 - Dec 31")</f>
        <v>Est. Delivery: Dec 14 - Dec 31</v>
      </c>
      <c r="AH1050" s="157">
        <f>IFERROR(__xludf.DUMMYFUNCTION("""COMPUTED_VALUE"""),44216.82988452547)</f>
        <v>44216.82988</v>
      </c>
      <c r="AI1050" s="138"/>
      <c r="AJ1050" s="138"/>
      <c r="AK1050" s="138"/>
      <c r="AL1050" s="142"/>
    </row>
    <row r="1051" ht="20.25" customHeight="1">
      <c r="A1051" s="155" t="str">
        <f>IFERROR(__xludf.DUMMYFUNCTION("""COMPUTED_VALUE"""),"Runduck")</f>
        <v>Runduck</v>
      </c>
      <c r="B1051" s="149" t="str">
        <f>IFERROR(__xludf.DUMMYFUNCTION("""COMPUTED_VALUE"""),"Peabody")</f>
        <v>Peabody</v>
      </c>
      <c r="C1051" s="149" t="str">
        <f>IFERROR(__xludf.DUMMYFUNCTION("""COMPUTED_VALUE"""),"MA")</f>
        <v>MA</v>
      </c>
      <c r="D1051" s="149" t="str">
        <f>IFERROR(__xludf.DUMMYFUNCTION("""COMPUTED_VALUE"""),"USA")</f>
        <v>USA</v>
      </c>
      <c r="E1051" s="156">
        <f>IFERROR(__xludf.DUMMYFUNCTION("""COMPUTED_VALUE"""),44165.0)</f>
        <v>44165</v>
      </c>
      <c r="F1051" s="129">
        <f>IFERROR(__xludf.DUMMYFUNCTION("""COMPUTED_VALUE"""),44192.0)</f>
        <v>44192</v>
      </c>
      <c r="G1051" s="154" t="str">
        <f>IFERROR(__xludf.DUMMYFUNCTION("""COMPUTED_VALUE"""),"Manage order page (normal text)")</f>
        <v>Manage order page (normal text)</v>
      </c>
      <c r="H1051" s="131">
        <f>IFERROR(__xludf.DUMMYFUNCTION("""COMPUTED_VALUE"""),869655.0)</f>
        <v>869655</v>
      </c>
      <c r="I1051" s="144" t="str">
        <f>IFERROR(__xludf.DUMMYFUNCTION("""COMPUTED_VALUE"""),"12/20")</f>
        <v>12/20</v>
      </c>
      <c r="J1051" s="129">
        <f>IFERROR(__xludf.DUMMYFUNCTION("""COMPUTED_VALUE"""),44195.0)</f>
        <v>44195</v>
      </c>
      <c r="K1051" s="133">
        <f>IFERROR(__xludf.DUMMYFUNCTION("""COMPUTED_VALUE"""),27.0)</f>
        <v>27</v>
      </c>
      <c r="L1051" s="133">
        <f>IFERROR(__xludf.DUMMYFUNCTION("""COMPUTED_VALUE"""),3.0)</f>
        <v>3</v>
      </c>
      <c r="M1051" s="133">
        <f>IFERROR(__xludf.DUMMYFUNCTION("""COMPUTED_VALUE"""),30.0)</f>
        <v>30</v>
      </c>
      <c r="N1051" s="152" t="str">
        <f>IFERROR(__xludf.DUMMYFUNCTION("""COMPUTED_VALUE"""),"Model 3 Performance")</f>
        <v>Model 3 Performance</v>
      </c>
      <c r="O1051" s="152" t="str">
        <f>IFERROR(__xludf.DUMMYFUNCTION("""COMPUTED_VALUE"""),"Pearl White Multi-Coat")</f>
        <v>Pearl White Multi-Coat</v>
      </c>
      <c r="P1051" s="153" t="str">
        <f>IFERROR(__xludf.DUMMYFUNCTION("""COMPUTED_VALUE"""),"20 inch")</f>
        <v>20 inch</v>
      </c>
      <c r="Q1051" s="152" t="str">
        <f>IFERROR(__xludf.DUMMYFUNCTION("""COMPUTED_VALUE"""),"Black and White")</f>
        <v>Black and White</v>
      </c>
      <c r="R1051" s="149" t="str">
        <f>IFERROR(__xludf.DUMMYFUNCTION("""COMPUTED_VALUE"""),"Full Self-Driving")</f>
        <v>Full Self-Driving</v>
      </c>
      <c r="S1051" s="149" t="str">
        <f>IFERROR(__xludf.DUMMYFUNCTION("""COMPUTED_VALUE"""),"Loan")</f>
        <v>Loan</v>
      </c>
      <c r="T1051" s="145" t="str">
        <f>IFERROR(__xludf.DUMMYFUNCTION("""COMPUTED_VALUE"""),"Nissan Rogue")</f>
        <v>Nissan Rogue</v>
      </c>
      <c r="U1051" s="145" t="str">
        <f>IFERROR(__xludf.DUMMYFUNCTION("""COMPUTED_VALUE"""),"Autopilot")</f>
        <v>Autopilot</v>
      </c>
      <c r="V1051" s="145" t="str">
        <f>IFERROR(__xludf.DUMMYFUNCTION("""COMPUTED_VALUE"""),"Apple CarPlay / Android Auto / SiriusXM Radio")</f>
        <v>Apple CarPlay / Android Auto / SiriusXM Radio</v>
      </c>
      <c r="W1051" s="136"/>
      <c r="X1051" s="137" t="str">
        <f>IFERROR(__xludf.DUMMYFUNCTION("""COMPUTED_VALUE"""),"Excellent")</f>
        <v>Excellent</v>
      </c>
      <c r="Y1051" s="138" t="str">
        <f>IFERROR(__xludf.DUMMYFUNCTION("""COMPUTED_VALUE"""),"Excellent")</f>
        <v>Excellent</v>
      </c>
      <c r="Z1051" s="138" t="str">
        <f>IFERROR(__xludf.DUMMYFUNCTION("""COMPUTED_VALUE"""),"Excellent")</f>
        <v>Excellent</v>
      </c>
      <c r="AA1051" s="138" t="str">
        <f>IFERROR(__xludf.DUMMYFUNCTION("""COMPUTED_VALUE"""),"Excellent")</f>
        <v>Excellent</v>
      </c>
      <c r="AB1051" s="138" t="str">
        <f>IFERROR(__xludf.DUMMYFUNCTION("""COMPUTED_VALUE"""),"Excellent")</f>
        <v>Excellent</v>
      </c>
      <c r="AC1051" s="139"/>
      <c r="AD1051" s="139"/>
      <c r="AE1051" s="139"/>
      <c r="AF1051" s="140" t="str">
        <f>IFERROR(__xludf.DUMMYFUNCTION("""COMPUTED_VALUE"""),"No. I took delivery of the first car Tesla was able to deliver.")</f>
        <v>No. I took delivery of the first car Tesla was able to deliver.</v>
      </c>
      <c r="AG1051" s="136" t="str">
        <f>IFERROR(__xludf.DUMMYFUNCTION("""COMPUTED_VALUE"""),"Est Del Date 12/14-12/31")</f>
        <v>Est Del Date 12/14-12/31</v>
      </c>
      <c r="AH1051" s="157">
        <f>IFERROR(__xludf.DUMMYFUNCTION("""COMPUTED_VALUE"""),44197.91205075231)</f>
        <v>44197.91205</v>
      </c>
      <c r="AI1051" s="138"/>
      <c r="AJ1051" s="138"/>
      <c r="AK1051" s="138"/>
      <c r="AL1051" s="142"/>
    </row>
    <row r="1052" ht="20.25" customHeight="1">
      <c r="A1052" s="155" t="str">
        <f>IFERROR(__xludf.DUMMYFUNCTION("""COMPUTED_VALUE"""),"Choncho")</f>
        <v>Choncho</v>
      </c>
      <c r="B1052" s="149" t="str">
        <f>IFERROR(__xludf.DUMMYFUNCTION("""COMPUTED_VALUE"""),"Vancouver")</f>
        <v>Vancouver</v>
      </c>
      <c r="C1052" s="149" t="str">
        <f>IFERROR(__xludf.DUMMYFUNCTION("""COMPUTED_VALUE"""),"BC")</f>
        <v>BC</v>
      </c>
      <c r="D1052" s="149" t="str">
        <f>IFERROR(__xludf.DUMMYFUNCTION("""COMPUTED_VALUE"""),"Canada")</f>
        <v>Canada</v>
      </c>
      <c r="E1052" s="156">
        <f>IFERROR(__xludf.DUMMYFUNCTION("""COMPUTED_VALUE"""),44164.0)</f>
        <v>44164</v>
      </c>
      <c r="F1052" s="129">
        <f>IFERROR(__xludf.DUMMYFUNCTION("""COMPUTED_VALUE"""),44183.0)</f>
        <v>44183</v>
      </c>
      <c r="G1052" s="154" t="str">
        <f>IFERROR(__xludf.DUMMYFUNCTION("""COMPUTED_VALUE"""),"Text message")</f>
        <v>Text message</v>
      </c>
      <c r="H1052" s="131">
        <f>IFERROR(__xludf.DUMMYFUNCTION("""COMPUTED_VALUE"""),871355.0)</f>
        <v>871355</v>
      </c>
      <c r="I1052" s="132" t="str">
        <f>IFERROR(__xludf.DUMMYFUNCTION("""COMPUTED_VALUE"""),"12/20")</f>
        <v>12/20</v>
      </c>
      <c r="J1052" s="129">
        <f>IFERROR(__xludf.DUMMYFUNCTION("""COMPUTED_VALUE"""),44188.0)</f>
        <v>44188</v>
      </c>
      <c r="K1052" s="133">
        <f>IFERROR(__xludf.DUMMYFUNCTION("""COMPUTED_VALUE"""),19.0)</f>
        <v>19</v>
      </c>
      <c r="L1052" s="133">
        <f>IFERROR(__xludf.DUMMYFUNCTION("""COMPUTED_VALUE"""),5.0)</f>
        <v>5</v>
      </c>
      <c r="M1052" s="133">
        <f>IFERROR(__xludf.DUMMYFUNCTION("""COMPUTED_VALUE"""),24.0)</f>
        <v>24</v>
      </c>
      <c r="N1052" s="152" t="str">
        <f>IFERROR(__xludf.DUMMYFUNCTION("""COMPUTED_VALUE"""),"Model 3 SR+")</f>
        <v>Model 3 SR+</v>
      </c>
      <c r="O1052" s="152" t="str">
        <f>IFERROR(__xludf.DUMMYFUNCTION("""COMPUTED_VALUE"""),"Midnight Silver Metallic")</f>
        <v>Midnight Silver Metallic</v>
      </c>
      <c r="P1052" s="153" t="str">
        <f>IFERROR(__xludf.DUMMYFUNCTION("""COMPUTED_VALUE"""),"18 inch")</f>
        <v>18 inch</v>
      </c>
      <c r="Q1052" s="152" t="str">
        <f>IFERROR(__xludf.DUMMYFUNCTION("""COMPUTED_VALUE"""),"All Black")</f>
        <v>All Black</v>
      </c>
      <c r="R1052" s="150" t="str">
        <f>IFERROR(__xludf.DUMMYFUNCTION("""COMPUTED_VALUE"""),"Autopilot included")</f>
        <v>Autopilot included</v>
      </c>
      <c r="S1052" s="150" t="str">
        <f>IFERROR(__xludf.DUMMYFUNCTION("""COMPUTED_VALUE"""),"Loan")</f>
        <v>Loan</v>
      </c>
      <c r="T1052" s="136"/>
      <c r="U1052" s="136" t="str">
        <f>IFERROR(__xludf.DUMMYFUNCTION("""COMPUTED_VALUE"""),"Electric!")</f>
        <v>Electric!</v>
      </c>
      <c r="V1052" s="136" t="str">
        <f>IFERROR(__xludf.DUMMYFUNCTION("""COMPUTED_VALUE"""),"Apple CarPlay / Android Auto / SiriusXM Radio")</f>
        <v>Apple CarPlay / Android Auto / SiriusXM Radio</v>
      </c>
      <c r="W1052" s="136" t="str">
        <f>IFERROR(__xludf.DUMMYFUNCTION("""COMPUTED_VALUE"""),"Take your time and ask as many questions as you need")</f>
        <v>Take your time and ask as many questions as you need</v>
      </c>
      <c r="X1052" s="137" t="str">
        <f>IFERROR(__xludf.DUMMYFUNCTION("""COMPUTED_VALUE"""),"Very Good")</f>
        <v>Very Good</v>
      </c>
      <c r="Y1052" s="138" t="str">
        <f>IFERROR(__xludf.DUMMYFUNCTION("""COMPUTED_VALUE"""),"Very Good")</f>
        <v>Very Good</v>
      </c>
      <c r="Z1052" s="138" t="str">
        <f>IFERROR(__xludf.DUMMYFUNCTION("""COMPUTED_VALUE"""),"Very Good")</f>
        <v>Very Good</v>
      </c>
      <c r="AA1052" s="138" t="str">
        <f>IFERROR(__xludf.DUMMYFUNCTION("""COMPUTED_VALUE"""),"Very Good")</f>
        <v>Very Good</v>
      </c>
      <c r="AB1052" s="138" t="str">
        <f>IFERROR(__xludf.DUMMYFUNCTION("""COMPUTED_VALUE"""),"Excellent")</f>
        <v>Excellent</v>
      </c>
      <c r="AC1052" s="139"/>
      <c r="AD1052" s="139"/>
      <c r="AE1052" s="139"/>
      <c r="AF1052" s="140" t="str">
        <f>IFERROR(__xludf.DUMMYFUNCTION("""COMPUTED_VALUE"""),"No. I took delivery of the first car Tesla was able to deliver.")</f>
        <v>No. I took delivery of the first car Tesla was able to deliver.</v>
      </c>
      <c r="AG1052" s="136" t="str">
        <f>IFERROR(__xludf.DUMMYFUNCTION("""COMPUTED_VALUE"""),"Dec 17-Dec 22 Delivery Window")</f>
        <v>Dec 17-Dec 22 Delivery Window</v>
      </c>
      <c r="AH1052" s="157">
        <f>IFERROR(__xludf.DUMMYFUNCTION("""COMPUTED_VALUE"""),44188.78424789351)</f>
        <v>44188.78425</v>
      </c>
      <c r="AI1052" s="138"/>
      <c r="AJ1052" s="138"/>
      <c r="AK1052" s="138"/>
      <c r="AL1052" s="142"/>
    </row>
    <row r="1053" ht="20.25" customHeight="1">
      <c r="A1053" s="155" t="str">
        <f>IFERROR(__xludf.DUMMYFUNCTION("""COMPUTED_VALUE"""),"ddyelon")</f>
        <v>ddyelon</v>
      </c>
      <c r="B1053" s="149" t="str">
        <f>IFERROR(__xludf.DUMMYFUNCTION("""COMPUTED_VALUE"""),"San Francisco")</f>
        <v>San Francisco</v>
      </c>
      <c r="C1053" s="149" t="str">
        <f>IFERROR(__xludf.DUMMYFUNCTION("""COMPUTED_VALUE"""),"CA")</f>
        <v>CA</v>
      </c>
      <c r="D1053" s="149" t="str">
        <f>IFERROR(__xludf.DUMMYFUNCTION("""COMPUTED_VALUE"""),"USA")</f>
        <v>USA</v>
      </c>
      <c r="E1053" s="156">
        <f>IFERROR(__xludf.DUMMYFUNCTION("""COMPUTED_VALUE"""),44164.0)</f>
        <v>44164</v>
      </c>
      <c r="F1053" s="129">
        <f>IFERROR(__xludf.DUMMYFUNCTION("""COMPUTED_VALUE"""),44188.0)</f>
        <v>44188</v>
      </c>
      <c r="G1053" s="154" t="str">
        <f>IFERROR(__xludf.DUMMYFUNCTION("""COMPUTED_VALUE"""),"Manage order page (normal text)")</f>
        <v>Manage order page (normal text)</v>
      </c>
      <c r="H1053" s="131">
        <f>IFERROR(__xludf.DUMMYFUNCTION("""COMPUTED_VALUE"""),876775.0)</f>
        <v>876775</v>
      </c>
      <c r="I1053" s="144"/>
      <c r="J1053" s="129">
        <f>IFERROR(__xludf.DUMMYFUNCTION("""COMPUTED_VALUE"""),44188.0)</f>
        <v>44188</v>
      </c>
      <c r="K1053" s="133">
        <f>IFERROR(__xludf.DUMMYFUNCTION("""COMPUTED_VALUE"""),24.0)</f>
        <v>24</v>
      </c>
      <c r="L1053" s="133">
        <f>IFERROR(__xludf.DUMMYFUNCTION("""COMPUTED_VALUE"""),0.0)</f>
        <v>0</v>
      </c>
      <c r="M1053" s="133">
        <f>IFERROR(__xludf.DUMMYFUNCTION("""COMPUTED_VALUE"""),24.0)</f>
        <v>24</v>
      </c>
      <c r="N1053" s="152" t="str">
        <f>IFERROR(__xludf.DUMMYFUNCTION("""COMPUTED_VALUE"""),"Model 3 LR AWD")</f>
        <v>Model 3 LR AWD</v>
      </c>
      <c r="O1053" s="152" t="str">
        <f>IFERROR(__xludf.DUMMYFUNCTION("""COMPUTED_VALUE"""),"Solid Black")</f>
        <v>Solid Black</v>
      </c>
      <c r="P1053" s="153" t="str">
        <f>IFERROR(__xludf.DUMMYFUNCTION("""COMPUTED_VALUE"""),"18 inch")</f>
        <v>18 inch</v>
      </c>
      <c r="Q1053" s="152" t="str">
        <f>IFERROR(__xludf.DUMMYFUNCTION("""COMPUTED_VALUE"""),"All Black")</f>
        <v>All Black</v>
      </c>
      <c r="R1053" s="149" t="str">
        <f>IFERROR(__xludf.DUMMYFUNCTION("""COMPUTED_VALUE"""),"Autopilot included")</f>
        <v>Autopilot included</v>
      </c>
      <c r="S1053" s="149" t="str">
        <f>IFERROR(__xludf.DUMMYFUNCTION("""COMPUTED_VALUE"""),"Loan")</f>
        <v>Loan</v>
      </c>
      <c r="T1053" s="145"/>
      <c r="U1053" s="145" t="str">
        <f>IFERROR(__xludf.DUMMYFUNCTION("""COMPUTED_VALUE"""),"Electric!")</f>
        <v>Electric!</v>
      </c>
      <c r="V1053" s="145" t="str">
        <f>IFERROR(__xludf.DUMMYFUNCTION("""COMPUTED_VALUE"""),"Blind spot indicators on side mirrors")</f>
        <v>Blind spot indicators on side mirrors</v>
      </c>
      <c r="W1053" s="145"/>
      <c r="X1053" s="137" t="str">
        <f>IFERROR(__xludf.DUMMYFUNCTION("""COMPUTED_VALUE"""),"Very Good")</f>
        <v>Very Good</v>
      </c>
      <c r="Y1053" s="138" t="str">
        <f>IFERROR(__xludf.DUMMYFUNCTION("""COMPUTED_VALUE"""),"Excellent")</f>
        <v>Excellent</v>
      </c>
      <c r="Z1053" s="138" t="str">
        <f>IFERROR(__xludf.DUMMYFUNCTION("""COMPUTED_VALUE"""),"Excellent")</f>
        <v>Excellent</v>
      </c>
      <c r="AA1053" s="138" t="str">
        <f>IFERROR(__xludf.DUMMYFUNCTION("""COMPUTED_VALUE"""),"Excellent")</f>
        <v>Excellent</v>
      </c>
      <c r="AB1053" s="138" t="str">
        <f>IFERROR(__xludf.DUMMYFUNCTION("""COMPUTED_VALUE"""),"Excellent")</f>
        <v>Excellent</v>
      </c>
      <c r="AC1053" s="139">
        <f>IFERROR(__xludf.DUMMYFUNCTION("""COMPUTED_VALUE"""),1.0)</f>
        <v>1</v>
      </c>
      <c r="AD1053" s="139">
        <f>IFERROR(__xludf.DUMMYFUNCTION("""COMPUTED_VALUE"""),1.0)</f>
        <v>1</v>
      </c>
      <c r="AE1053" s="139">
        <f>IFERROR(__xludf.DUMMYFUNCTION("""COMPUTED_VALUE"""),1.0)</f>
        <v>1</v>
      </c>
      <c r="AF1053" s="140" t="str">
        <f>IFERROR(__xludf.DUMMYFUNCTION("""COMPUTED_VALUE"""),"No. I took delivery of the first car Tesla was able to deliver.")</f>
        <v>No. I took delivery of the first car Tesla was able to deliver.</v>
      </c>
      <c r="AG1053" s="145"/>
      <c r="AH1053" s="157">
        <f>IFERROR(__xludf.DUMMYFUNCTION("""COMPUTED_VALUE"""),44203.60816822917)</f>
        <v>44203.60817</v>
      </c>
      <c r="AI1053" s="138"/>
      <c r="AJ1053" s="138"/>
      <c r="AK1053" s="138"/>
      <c r="AL1053" s="142"/>
    </row>
    <row r="1054" ht="20.25" customHeight="1">
      <c r="A1054" s="155" t="str">
        <f>IFERROR(__xludf.DUMMYFUNCTION("""COMPUTED_VALUE"""),"42")</f>
        <v>42</v>
      </c>
      <c r="B1054" s="149" t="str">
        <f>IFERROR(__xludf.DUMMYFUNCTION("""COMPUTED_VALUE"""),"Vancouver")</f>
        <v>Vancouver</v>
      </c>
      <c r="C1054" s="149" t="str">
        <f>IFERROR(__xludf.DUMMYFUNCTION("""COMPUTED_VALUE"""),"BC")</f>
        <v>BC</v>
      </c>
      <c r="D1054" s="149" t="str">
        <f>IFERROR(__xludf.DUMMYFUNCTION("""COMPUTED_VALUE"""),"Canada")</f>
        <v>Canada</v>
      </c>
      <c r="E1054" s="156">
        <f>IFERROR(__xludf.DUMMYFUNCTION("""COMPUTED_VALUE"""),44162.0)</f>
        <v>44162</v>
      </c>
      <c r="F1054" s="129">
        <f>IFERROR(__xludf.DUMMYFUNCTION("""COMPUTED_VALUE"""),44183.0)</f>
        <v>44183</v>
      </c>
      <c r="G1054" s="154" t="str">
        <f>IFERROR(__xludf.DUMMYFUNCTION("""COMPUTED_VALUE"""),"Manage order page (normal text)")</f>
        <v>Manage order page (normal text)</v>
      </c>
      <c r="H1054" s="131">
        <f>IFERROR(__xludf.DUMMYFUNCTION("""COMPUTED_VALUE"""),867943.0)</f>
        <v>867943</v>
      </c>
      <c r="I1054" s="144" t="str">
        <f>IFERROR(__xludf.DUMMYFUNCTION("""COMPUTED_VALUE"""),"12/20")</f>
        <v>12/20</v>
      </c>
      <c r="J1054" s="129">
        <f>IFERROR(__xludf.DUMMYFUNCTION("""COMPUTED_VALUE"""),44187.0)</f>
        <v>44187</v>
      </c>
      <c r="K1054" s="133">
        <f>IFERROR(__xludf.DUMMYFUNCTION("""COMPUTED_VALUE"""),21.0)</f>
        <v>21</v>
      </c>
      <c r="L1054" s="133">
        <f>IFERROR(__xludf.DUMMYFUNCTION("""COMPUTED_VALUE"""),4.0)</f>
        <v>4</v>
      </c>
      <c r="M1054" s="133">
        <f>IFERROR(__xludf.DUMMYFUNCTION("""COMPUTED_VALUE"""),25.0)</f>
        <v>25</v>
      </c>
      <c r="N1054" s="152" t="str">
        <f>IFERROR(__xludf.DUMMYFUNCTION("""COMPUTED_VALUE"""),"Model 3 SR+")</f>
        <v>Model 3 SR+</v>
      </c>
      <c r="O1054" s="152" t="str">
        <f>IFERROR(__xludf.DUMMYFUNCTION("""COMPUTED_VALUE"""),"Deep Blue Metallic")</f>
        <v>Deep Blue Metallic</v>
      </c>
      <c r="P1054" s="153" t="str">
        <f>IFERROR(__xludf.DUMMYFUNCTION("""COMPUTED_VALUE"""),"18 inch")</f>
        <v>18 inch</v>
      </c>
      <c r="Q1054" s="152" t="str">
        <f>IFERROR(__xludf.DUMMYFUNCTION("""COMPUTED_VALUE"""),"All Black")</f>
        <v>All Black</v>
      </c>
      <c r="R1054" s="149" t="str">
        <f>IFERROR(__xludf.DUMMYFUNCTION("""COMPUTED_VALUE"""),"Full Self-Driving")</f>
        <v>Full Self-Driving</v>
      </c>
      <c r="S1054" s="149" t="str">
        <f>IFERROR(__xludf.DUMMYFUNCTION("""COMPUTED_VALUE"""),"Loan")</f>
        <v>Loan</v>
      </c>
      <c r="T1054" s="145" t="str">
        <f>IFERROR(__xludf.DUMMYFUNCTION("""COMPUTED_VALUE"""),"Ford F350")</f>
        <v>Ford F350</v>
      </c>
      <c r="U1054" s="145" t="str">
        <f>IFERROR(__xludf.DUMMYFUNCTION("""COMPUTED_VALUE"""),"Electric!")</f>
        <v>Electric!</v>
      </c>
      <c r="V1054" s="145" t="str">
        <f>IFERROR(__xludf.DUMMYFUNCTION("""COMPUTED_VALUE"""),"360° Bird's eye view")</f>
        <v>360° Bird's eye view</v>
      </c>
      <c r="W1054" s="145"/>
      <c r="X1054" s="137" t="str">
        <f>IFERROR(__xludf.DUMMYFUNCTION("""COMPUTED_VALUE"""),"Good")</f>
        <v>Good</v>
      </c>
      <c r="Y1054" s="138" t="str">
        <f>IFERROR(__xludf.DUMMYFUNCTION("""COMPUTED_VALUE"""),"Very Good")</f>
        <v>Very Good</v>
      </c>
      <c r="Z1054" s="138" t="str">
        <f>IFERROR(__xludf.DUMMYFUNCTION("""COMPUTED_VALUE"""),"Very Good")</f>
        <v>Very Good</v>
      </c>
      <c r="AA1054" s="138" t="str">
        <f>IFERROR(__xludf.DUMMYFUNCTION("""COMPUTED_VALUE"""),"Good")</f>
        <v>Good</v>
      </c>
      <c r="AB1054" s="138" t="str">
        <f>IFERROR(__xludf.DUMMYFUNCTION("""COMPUTED_VALUE"""),"Very Good")</f>
        <v>Very Good</v>
      </c>
      <c r="AC1054" s="139">
        <f>IFERROR(__xludf.DUMMYFUNCTION("""COMPUTED_VALUE"""),2.0)</f>
        <v>2</v>
      </c>
      <c r="AD1054" s="139">
        <f>IFERROR(__xludf.DUMMYFUNCTION("""COMPUTED_VALUE"""),2.0)</f>
        <v>2</v>
      </c>
      <c r="AE1054" s="139">
        <f>IFERROR(__xludf.DUMMYFUNCTION("""COMPUTED_VALUE"""),0.0)</f>
        <v>0</v>
      </c>
      <c r="AF1054" s="140" t="str">
        <f>IFERROR(__xludf.DUMMYFUNCTION("""COMPUTED_VALUE"""),"No. I took delivery of the first car Tesla was able to deliver.")</f>
        <v>No. I took delivery of the first car Tesla was able to deliver.</v>
      </c>
      <c r="AG1054" s="145"/>
      <c r="AH1054" s="157">
        <f>IFERROR(__xludf.DUMMYFUNCTION("""COMPUTED_VALUE"""),44236.81072173612)</f>
        <v>44236.81072</v>
      </c>
      <c r="AI1054" s="138"/>
      <c r="AJ1054" s="138"/>
      <c r="AK1054" s="138"/>
      <c r="AL1054" s="142"/>
    </row>
    <row r="1055" ht="20.25" customHeight="1">
      <c r="A1055" s="155" t="str">
        <f>IFERROR(__xludf.DUMMYFUNCTION("""COMPUTED_VALUE"""),"Gauss Guzzler")</f>
        <v>Gauss Guzzler</v>
      </c>
      <c r="B1055" s="149" t="str">
        <f>IFERROR(__xludf.DUMMYFUNCTION("""COMPUTED_VALUE"""),"Los Angeles")</f>
        <v>Los Angeles</v>
      </c>
      <c r="C1055" s="149" t="str">
        <f>IFERROR(__xludf.DUMMYFUNCTION("""COMPUTED_VALUE"""),"CA")</f>
        <v>CA</v>
      </c>
      <c r="D1055" s="149" t="str">
        <f>IFERROR(__xludf.DUMMYFUNCTION("""COMPUTED_VALUE"""),"USA")</f>
        <v>USA</v>
      </c>
      <c r="E1055" s="156">
        <f>IFERROR(__xludf.DUMMYFUNCTION("""COMPUTED_VALUE"""),44160.0)</f>
        <v>44160</v>
      </c>
      <c r="F1055" s="129">
        <f>IFERROR(__xludf.DUMMYFUNCTION("""COMPUTED_VALUE"""),44193.0)</f>
        <v>44193</v>
      </c>
      <c r="G1055" s="154" t="str">
        <f>IFERROR(__xludf.DUMMYFUNCTION("""COMPUTED_VALUE"""),"MVPA")</f>
        <v>MVPA</v>
      </c>
      <c r="H1055" s="131">
        <f>IFERROR(__xludf.DUMMYFUNCTION("""COMPUTED_VALUE"""),925000.0)</f>
        <v>925000</v>
      </c>
      <c r="I1055" s="144" t="str">
        <f>IFERROR(__xludf.DUMMYFUNCTION("""COMPUTED_VALUE"""),"03/21")</f>
        <v>03/21</v>
      </c>
      <c r="J1055" s="129">
        <f>IFERROR(__xludf.DUMMYFUNCTION("""COMPUTED_VALUE"""),44274.0)</f>
        <v>44274</v>
      </c>
      <c r="K1055" s="133">
        <f>IFERROR(__xludf.DUMMYFUNCTION("""COMPUTED_VALUE"""),33.0)</f>
        <v>33</v>
      </c>
      <c r="L1055" s="133">
        <f>IFERROR(__xludf.DUMMYFUNCTION("""COMPUTED_VALUE"""),81.0)</f>
        <v>81</v>
      </c>
      <c r="M1055" s="133">
        <f>IFERROR(__xludf.DUMMYFUNCTION("""COMPUTED_VALUE"""),114.0)</f>
        <v>114</v>
      </c>
      <c r="N1055" s="152" t="str">
        <f>IFERROR(__xludf.DUMMYFUNCTION("""COMPUTED_VALUE"""),"Model 3 Performance")</f>
        <v>Model 3 Performance</v>
      </c>
      <c r="O1055" s="152" t="str">
        <f>IFERROR(__xludf.DUMMYFUNCTION("""COMPUTED_VALUE"""),"Red Multi-Coat")</f>
        <v>Red Multi-Coat</v>
      </c>
      <c r="P1055" s="153" t="str">
        <f>IFERROR(__xludf.DUMMYFUNCTION("""COMPUTED_VALUE"""),"20 inch")</f>
        <v>20 inch</v>
      </c>
      <c r="Q1055" s="152" t="str">
        <f>IFERROR(__xludf.DUMMYFUNCTION("""COMPUTED_VALUE"""),"All Black")</f>
        <v>All Black</v>
      </c>
      <c r="R1055" s="149" t="str">
        <f>IFERROR(__xludf.DUMMYFUNCTION("""COMPUTED_VALUE"""),"Autopilot included")</f>
        <v>Autopilot included</v>
      </c>
      <c r="S1055" s="149" t="str">
        <f>IFERROR(__xludf.DUMMYFUNCTION("""COMPUTED_VALUE"""),"Cash")</f>
        <v>Cash</v>
      </c>
      <c r="T1055" s="145" t="str">
        <f>IFERROR(__xludf.DUMMYFUNCTION("""COMPUTED_VALUE"""),"BMW 3 Series")</f>
        <v>BMW 3 Series</v>
      </c>
      <c r="U1055" s="145" t="str">
        <f>IFERROR(__xludf.DUMMYFUNCTION("""COMPUTED_VALUE"""),"Fast")</f>
        <v>Fast</v>
      </c>
      <c r="V1055" s="145" t="str">
        <f>IFERROR(__xludf.DUMMYFUNCTION("""COMPUTED_VALUE"""),"19"" Zero G performance wheels")</f>
        <v>19" Zero G performance wheels</v>
      </c>
      <c r="W1055" s="145" t="str">
        <f>IFERROR(__xludf.DUMMYFUNCTION("""COMPUTED_VALUE"""),"Best car on the market, worst company in the world")</f>
        <v>Best car on the market, worst company in the world</v>
      </c>
      <c r="X1055" s="137" t="str">
        <f>IFERROR(__xludf.DUMMYFUNCTION("""COMPUTED_VALUE"""),"Poor")</f>
        <v>Poor</v>
      </c>
      <c r="Y1055" s="138" t="str">
        <f>IFERROR(__xludf.DUMMYFUNCTION("""COMPUTED_VALUE"""),"Fair")</f>
        <v>Fair</v>
      </c>
      <c r="Z1055" s="138" t="str">
        <f>IFERROR(__xludf.DUMMYFUNCTION("""COMPUTED_VALUE"""),"Fair")</f>
        <v>Fair</v>
      </c>
      <c r="AA1055" s="138" t="str">
        <f>IFERROR(__xludf.DUMMYFUNCTION("""COMPUTED_VALUE"""),"Poor")</f>
        <v>Poor</v>
      </c>
      <c r="AB1055" s="138" t="str">
        <f>IFERROR(__xludf.DUMMYFUNCTION("""COMPUTED_VALUE"""),"Poor")</f>
        <v>Poor</v>
      </c>
      <c r="AC1055" s="139">
        <f>IFERROR(__xludf.DUMMYFUNCTION("""COMPUTED_VALUE"""),7.0)</f>
        <v>7</v>
      </c>
      <c r="AD1055" s="139">
        <f>IFERROR(__xludf.DUMMYFUNCTION("""COMPUTED_VALUE"""),2.0)</f>
        <v>2</v>
      </c>
      <c r="AE1055" s="139">
        <f>IFERROR(__xludf.DUMMYFUNCTION("""COMPUTED_VALUE"""),7.0)</f>
        <v>7</v>
      </c>
      <c r="AF1055" s="140" t="str">
        <f>IFERROR(__xludf.DUMMYFUNCTION("""COMPUTED_VALUE"""),"No. I took delivery of the first car Tesla was able to deliver.")</f>
        <v>No. I took delivery of the first car Tesla was able to deliver.</v>
      </c>
      <c r="AG1055" s="145" t="str">
        <f>IFERROR(__xludf.DUMMYFUNCTION("""COMPUTED_VALUE"""),"Was ghosted after paying in Dec. Never got the car and they won't return my calls.")</f>
        <v>Was ghosted after paying in Dec. Never got the car and they won't return my calls.</v>
      </c>
      <c r="AH1055" s="157">
        <f>IFERROR(__xludf.DUMMYFUNCTION("""COMPUTED_VALUE"""),44287.95988988426)</f>
        <v>44287.95989</v>
      </c>
      <c r="AI1055" s="138"/>
      <c r="AJ1055" s="138"/>
      <c r="AK1055" s="138"/>
      <c r="AL1055" s="142"/>
    </row>
    <row r="1056" ht="20.25" customHeight="1">
      <c r="A1056" s="155" t="str">
        <f>IFERROR(__xludf.DUMMYFUNCTION("""COMPUTED_VALUE"""),"Parapimp")</f>
        <v>Parapimp</v>
      </c>
      <c r="B1056" s="149" t="str">
        <f>IFERROR(__xludf.DUMMYFUNCTION("""COMPUTED_VALUE"""),"Stockton")</f>
        <v>Stockton</v>
      </c>
      <c r="C1056" s="149" t="str">
        <f>IFERROR(__xludf.DUMMYFUNCTION("""COMPUTED_VALUE"""),"CA")</f>
        <v>CA</v>
      </c>
      <c r="D1056" s="149" t="str">
        <f>IFERROR(__xludf.DUMMYFUNCTION("""COMPUTED_VALUE"""),"USA")</f>
        <v>USA</v>
      </c>
      <c r="E1056" s="156">
        <f>IFERROR(__xludf.DUMMYFUNCTION("""COMPUTED_VALUE"""),44160.0)</f>
        <v>44160</v>
      </c>
      <c r="F1056" s="129">
        <f>IFERROR(__xludf.DUMMYFUNCTION("""COMPUTED_VALUE"""),44194.0)</f>
        <v>44194</v>
      </c>
      <c r="G1056" s="154" t="str">
        <f>IFERROR(__xludf.DUMMYFUNCTION("""COMPUTED_VALUE"""),"Manage order page (normal text)")</f>
        <v>Manage order page (normal text)</v>
      </c>
      <c r="H1056" s="131">
        <f>IFERROR(__xludf.DUMMYFUNCTION("""COMPUTED_VALUE"""),872573.0)</f>
        <v>872573</v>
      </c>
      <c r="I1056" s="132" t="str">
        <f>IFERROR(__xludf.DUMMYFUNCTION("""COMPUTED_VALUE"""),"12/20")</f>
        <v>12/20</v>
      </c>
      <c r="J1056" s="129">
        <f>IFERROR(__xludf.DUMMYFUNCTION("""COMPUTED_VALUE"""),44196.0)</f>
        <v>44196</v>
      </c>
      <c r="K1056" s="133">
        <f>IFERROR(__xludf.DUMMYFUNCTION("""COMPUTED_VALUE"""),34.0)</f>
        <v>34</v>
      </c>
      <c r="L1056" s="133">
        <f>IFERROR(__xludf.DUMMYFUNCTION("""COMPUTED_VALUE"""),2.0)</f>
        <v>2</v>
      </c>
      <c r="M1056" s="133">
        <f>IFERROR(__xludf.DUMMYFUNCTION("""COMPUTED_VALUE"""),36.0)</f>
        <v>36</v>
      </c>
      <c r="N1056" s="152" t="str">
        <f>IFERROR(__xludf.DUMMYFUNCTION("""COMPUTED_VALUE"""),"Model 3 Performance")</f>
        <v>Model 3 Performance</v>
      </c>
      <c r="O1056" s="152" t="str">
        <f>IFERROR(__xludf.DUMMYFUNCTION("""COMPUTED_VALUE"""),"Solid Black")</f>
        <v>Solid Black</v>
      </c>
      <c r="P1056" s="153" t="str">
        <f>IFERROR(__xludf.DUMMYFUNCTION("""COMPUTED_VALUE"""),"20 inch")</f>
        <v>20 inch</v>
      </c>
      <c r="Q1056" s="152" t="str">
        <f>IFERROR(__xludf.DUMMYFUNCTION("""COMPUTED_VALUE"""),"All Black")</f>
        <v>All Black</v>
      </c>
      <c r="R1056" s="150" t="str">
        <f>IFERROR(__xludf.DUMMYFUNCTION("""COMPUTED_VALUE"""),"Full Self-Driving")</f>
        <v>Full Self-Driving</v>
      </c>
      <c r="S1056" s="150" t="str">
        <f>IFERROR(__xludf.DUMMYFUNCTION("""COMPUTED_VALUE"""),"Loan")</f>
        <v>Loan</v>
      </c>
      <c r="T1056" s="136" t="str">
        <f>IFERROR(__xludf.DUMMYFUNCTION("""COMPUTED_VALUE"""),"Honda Accord")</f>
        <v>Honda Accord</v>
      </c>
      <c r="U1056" s="136" t="str">
        <f>IFERROR(__xludf.DUMMYFUNCTION("""COMPUTED_VALUE"""),"Autopilot")</f>
        <v>Autopilot</v>
      </c>
      <c r="V1056" s="136" t="str">
        <f>IFERROR(__xludf.DUMMYFUNCTION("""COMPUTED_VALUE"""),"Dashboard")</f>
        <v>Dashboard</v>
      </c>
      <c r="W1056" s="136"/>
      <c r="X1056" s="137" t="str">
        <f>IFERROR(__xludf.DUMMYFUNCTION("""COMPUTED_VALUE"""),"Excellent")</f>
        <v>Excellent</v>
      </c>
      <c r="Y1056" s="138" t="str">
        <f>IFERROR(__xludf.DUMMYFUNCTION("""COMPUTED_VALUE"""),"Excellent")</f>
        <v>Excellent</v>
      </c>
      <c r="Z1056" s="138" t="str">
        <f>IFERROR(__xludf.DUMMYFUNCTION("""COMPUTED_VALUE"""),"Good")</f>
        <v>Good</v>
      </c>
      <c r="AA1056" s="138" t="str">
        <f>IFERROR(__xludf.DUMMYFUNCTION("""COMPUTED_VALUE"""),"Very Good")</f>
        <v>Very Good</v>
      </c>
      <c r="AB1056" s="138" t="str">
        <f>IFERROR(__xludf.DUMMYFUNCTION("""COMPUTED_VALUE"""),"Fair")</f>
        <v>Fair</v>
      </c>
      <c r="AC1056" s="139">
        <f>IFERROR(__xludf.DUMMYFUNCTION("""COMPUTED_VALUE"""),0.0)</f>
        <v>0</v>
      </c>
      <c r="AD1056" s="139">
        <f>IFERROR(__xludf.DUMMYFUNCTION("""COMPUTED_VALUE"""),0.0)</f>
        <v>0</v>
      </c>
      <c r="AE1056" s="139">
        <f>IFERROR(__xludf.DUMMYFUNCTION("""COMPUTED_VALUE"""),0.0)</f>
        <v>0</v>
      </c>
      <c r="AF1056" s="140" t="str">
        <f>IFERROR(__xludf.DUMMYFUNCTION("""COMPUTED_VALUE"""),"No. I took delivery of the first car Tesla was able to deliver.")</f>
        <v>No. I took delivery of the first car Tesla was able to deliver.</v>
      </c>
      <c r="AG1056" s="136" t="str">
        <f>IFERROR(__xludf.DUMMYFUNCTION("""COMPUTED_VALUE"""),"Est. Delivery: December 16 - December 30")</f>
        <v>Est. Delivery: December 16 - December 30</v>
      </c>
      <c r="AH1056" s="157">
        <f>IFERROR(__xludf.DUMMYFUNCTION("""COMPUTED_VALUE"""),44196.91625662037)</f>
        <v>44196.91626</v>
      </c>
      <c r="AI1056" s="138"/>
      <c r="AJ1056" s="138"/>
      <c r="AK1056" s="138"/>
      <c r="AL1056" s="142"/>
    </row>
    <row r="1057" ht="20.25" customHeight="1">
      <c r="A1057" s="155" t="str">
        <f>IFERROR(__xludf.DUMMYFUNCTION("""COMPUTED_VALUE"""),"Sax player")</f>
        <v>Sax player</v>
      </c>
      <c r="B1057" s="149" t="str">
        <f>IFERROR(__xludf.DUMMYFUNCTION("""COMPUTED_VALUE"""),"Merzig")</f>
        <v>Merzig</v>
      </c>
      <c r="C1057" s="149"/>
      <c r="D1057" s="149" t="str">
        <f>IFERROR(__xludf.DUMMYFUNCTION("""COMPUTED_VALUE"""),"Germany")</f>
        <v>Germany</v>
      </c>
      <c r="E1057" s="156">
        <f>IFERROR(__xludf.DUMMYFUNCTION("""COMPUTED_VALUE"""),44160.0)</f>
        <v>44160</v>
      </c>
      <c r="F1057" s="129">
        <f>IFERROR(__xludf.DUMMYFUNCTION("""COMPUTED_VALUE"""),44161.0)</f>
        <v>44161</v>
      </c>
      <c r="G1057" s="154" t="str">
        <f>IFERROR(__xludf.DUMMYFUNCTION("""COMPUTED_VALUE"""),"Manage order page (normal text)")</f>
        <v>Manage order page (normal text)</v>
      </c>
      <c r="H1057" s="131">
        <f>IFERROR(__xludf.DUMMYFUNCTION("""COMPUTED_VALUE"""),103817.0)</f>
        <v>103817</v>
      </c>
      <c r="I1057" s="132" t="str">
        <f>IFERROR(__xludf.DUMMYFUNCTION("""COMPUTED_VALUE"""),"10/20")</f>
        <v>10/20</v>
      </c>
      <c r="J1057" s="129">
        <f>IFERROR(__xludf.DUMMYFUNCTION("""COMPUTED_VALUE"""),44170.0)</f>
        <v>44170</v>
      </c>
      <c r="K1057" s="133">
        <f>IFERROR(__xludf.DUMMYFUNCTION("""COMPUTED_VALUE"""),1.0)</f>
        <v>1</v>
      </c>
      <c r="L1057" s="133">
        <f>IFERROR(__xludf.DUMMYFUNCTION("""COMPUTED_VALUE"""),9.0)</f>
        <v>9</v>
      </c>
      <c r="M1057" s="133">
        <f>IFERROR(__xludf.DUMMYFUNCTION("""COMPUTED_VALUE"""),10.0)</f>
        <v>10</v>
      </c>
      <c r="N1057" s="152" t="str">
        <f>IFERROR(__xludf.DUMMYFUNCTION("""COMPUTED_VALUE"""),"Model 3 SR+")</f>
        <v>Model 3 SR+</v>
      </c>
      <c r="O1057" s="152" t="str">
        <f>IFERROR(__xludf.DUMMYFUNCTION("""COMPUTED_VALUE"""),"Pearl White Multi-Coat")</f>
        <v>Pearl White Multi-Coat</v>
      </c>
      <c r="P1057" s="153" t="str">
        <f>IFERROR(__xludf.DUMMYFUNCTION("""COMPUTED_VALUE"""),"18 inch")</f>
        <v>18 inch</v>
      </c>
      <c r="Q1057" s="152" t="str">
        <f>IFERROR(__xludf.DUMMYFUNCTION("""COMPUTED_VALUE"""),"All Black")</f>
        <v>All Black</v>
      </c>
      <c r="R1057" s="150" t="str">
        <f>IFERROR(__xludf.DUMMYFUNCTION("""COMPUTED_VALUE"""),"Autopilot included")</f>
        <v>Autopilot included</v>
      </c>
      <c r="S1057" s="150"/>
      <c r="T1057" s="136" t="str">
        <f>IFERROR(__xludf.DUMMYFUNCTION("""COMPUTED_VALUE"""),"VW Jetta")</f>
        <v>VW Jetta</v>
      </c>
      <c r="U1057" s="136" t="str">
        <f>IFERROR(__xludf.DUMMYFUNCTION("""COMPUTED_VALUE"""),"Tesla brand image")</f>
        <v>Tesla brand image</v>
      </c>
      <c r="V1057" s="136" t="str">
        <f>IFERROR(__xludf.DUMMYFUNCTION("""COMPUTED_VALUE"""),"Air suspension")</f>
        <v>Air suspension</v>
      </c>
      <c r="W1057" s="136" t="str">
        <f>IFERROR(__xludf.DUMMYFUNCTION("""COMPUTED_VALUE"""),"Get your winter tires early. Quite an issue to get some...")</f>
        <v>Get your winter tires early. Quite an issue to get some...</v>
      </c>
      <c r="X1057" s="137"/>
      <c r="Y1057" s="138"/>
      <c r="Z1057" s="138"/>
      <c r="AA1057" s="138"/>
      <c r="AB1057" s="138"/>
      <c r="AC1057" s="139"/>
      <c r="AD1057" s="139"/>
      <c r="AE1057" s="139"/>
      <c r="AF1057" s="140"/>
      <c r="AG1057" s="136"/>
      <c r="AH1057" s="157">
        <f>IFERROR(__xludf.DUMMYFUNCTION("""COMPUTED_VALUE"""),44169.107914340275)</f>
        <v>44169.10791</v>
      </c>
      <c r="AI1057" s="138"/>
      <c r="AJ1057" s="138"/>
      <c r="AK1057" s="138"/>
      <c r="AL1057" s="142"/>
    </row>
    <row r="1058" ht="20.25" customHeight="1">
      <c r="A1058" s="155" t="str">
        <f>IFERROR(__xludf.DUMMYFUNCTION("""COMPUTED_VALUE"""),"BradsTesla")</f>
        <v>BradsTesla</v>
      </c>
      <c r="B1058" s="149" t="str">
        <f>IFERROR(__xludf.DUMMYFUNCTION("""COMPUTED_VALUE"""),"Winston-Salem")</f>
        <v>Winston-Salem</v>
      </c>
      <c r="C1058" s="149" t="str">
        <f>IFERROR(__xludf.DUMMYFUNCTION("""COMPUTED_VALUE"""),"NC")</f>
        <v>NC</v>
      </c>
      <c r="D1058" s="149" t="str">
        <f>IFERROR(__xludf.DUMMYFUNCTION("""COMPUTED_VALUE"""),"USA")</f>
        <v>USA</v>
      </c>
      <c r="E1058" s="156">
        <f>IFERROR(__xludf.DUMMYFUNCTION("""COMPUTED_VALUE"""),44159.0)</f>
        <v>44159</v>
      </c>
      <c r="F1058" s="129">
        <f>IFERROR(__xludf.DUMMYFUNCTION("""COMPUTED_VALUE"""),44168.0)</f>
        <v>44168</v>
      </c>
      <c r="G1058" s="154" t="str">
        <f>IFERROR(__xludf.DUMMYFUNCTION("""COMPUTED_VALUE"""),"Manage order page (normal text)")</f>
        <v>Manage order page (normal text)</v>
      </c>
      <c r="H1058" s="131">
        <f>IFERROR(__xludf.DUMMYFUNCTION("""COMPUTED_VALUE"""),855555.0)</f>
        <v>855555</v>
      </c>
      <c r="I1058" s="144" t="str">
        <f>IFERROR(__xludf.DUMMYFUNCTION("""COMPUTED_VALUE"""),"12/20")</f>
        <v>12/20</v>
      </c>
      <c r="J1058" s="129">
        <f>IFERROR(__xludf.DUMMYFUNCTION("""COMPUTED_VALUE"""),44184.0)</f>
        <v>44184</v>
      </c>
      <c r="K1058" s="133">
        <f>IFERROR(__xludf.DUMMYFUNCTION("""COMPUTED_VALUE"""),9.0)</f>
        <v>9</v>
      </c>
      <c r="L1058" s="133">
        <f>IFERROR(__xludf.DUMMYFUNCTION("""COMPUTED_VALUE"""),16.0)</f>
        <v>16</v>
      </c>
      <c r="M1058" s="133">
        <f>IFERROR(__xludf.DUMMYFUNCTION("""COMPUTED_VALUE"""),25.0)</f>
        <v>25</v>
      </c>
      <c r="N1058" s="152" t="str">
        <f>IFERROR(__xludf.DUMMYFUNCTION("""COMPUTED_VALUE"""),"Model 3 LR AWD")</f>
        <v>Model 3 LR AWD</v>
      </c>
      <c r="O1058" s="152" t="str">
        <f>IFERROR(__xludf.DUMMYFUNCTION("""COMPUTED_VALUE"""),"Midnight Silver Metallic")</f>
        <v>Midnight Silver Metallic</v>
      </c>
      <c r="P1058" s="153" t="str">
        <f>IFERROR(__xludf.DUMMYFUNCTION("""COMPUTED_VALUE"""),"19 inch")</f>
        <v>19 inch</v>
      </c>
      <c r="Q1058" s="152" t="str">
        <f>IFERROR(__xludf.DUMMYFUNCTION("""COMPUTED_VALUE"""),"All Black")</f>
        <v>All Black</v>
      </c>
      <c r="R1058" s="149" t="str">
        <f>IFERROR(__xludf.DUMMYFUNCTION("""COMPUTED_VALUE"""),"Full Self-Driving")</f>
        <v>Full Self-Driving</v>
      </c>
      <c r="S1058" s="149" t="str">
        <f>IFERROR(__xludf.DUMMYFUNCTION("""COMPUTED_VALUE"""),"Loan")</f>
        <v>Loan</v>
      </c>
      <c r="T1058" s="145" t="str">
        <f>IFERROR(__xludf.DUMMYFUNCTION("""COMPUTED_VALUE"""),"Honda Pilot")</f>
        <v>Honda Pilot</v>
      </c>
      <c r="U1058" s="145" t="str">
        <f>IFERROR(__xludf.DUMMYFUNCTION("""COMPUTED_VALUE"""),"Electric!")</f>
        <v>Electric!</v>
      </c>
      <c r="V1058" s="145" t="str">
        <f>IFERROR(__xludf.DUMMYFUNCTION("""COMPUTED_VALUE"""),"Apple CarPlay / Android Auto / SiriusXM Radio")</f>
        <v>Apple CarPlay / Android Auto / SiriusXM Radio</v>
      </c>
      <c r="W1058" s="136"/>
      <c r="X1058" s="137" t="str">
        <f>IFERROR(__xludf.DUMMYFUNCTION("""COMPUTED_VALUE"""),"Very Good")</f>
        <v>Very Good</v>
      </c>
      <c r="Y1058" s="138" t="str">
        <f>IFERROR(__xludf.DUMMYFUNCTION("""COMPUTED_VALUE"""),"Very Good")</f>
        <v>Very Good</v>
      </c>
      <c r="Z1058" s="138" t="str">
        <f>IFERROR(__xludf.DUMMYFUNCTION("""COMPUTED_VALUE"""),"Very Good")</f>
        <v>Very Good</v>
      </c>
      <c r="AA1058" s="138" t="str">
        <f>IFERROR(__xludf.DUMMYFUNCTION("""COMPUTED_VALUE"""),"Fair")</f>
        <v>Fair</v>
      </c>
      <c r="AB1058" s="138" t="str">
        <f>IFERROR(__xludf.DUMMYFUNCTION("""COMPUTED_VALUE"""),"Very Good")</f>
        <v>Very Good</v>
      </c>
      <c r="AC1058" s="139"/>
      <c r="AD1058" s="139"/>
      <c r="AE1058" s="139"/>
      <c r="AF1058" s="140" t="str">
        <f>IFERROR(__xludf.DUMMYFUNCTION("""COMPUTED_VALUE"""),"No. I took delivery of the first car Tesla was able to deliver.")</f>
        <v>No. I took delivery of the first car Tesla was able to deliver.</v>
      </c>
      <c r="AG1058" s="136" t="str">
        <f>IFERROR(__xludf.DUMMYFUNCTION("""COMPUTED_VALUE"""),"Est Delivery 12/12 to 12/18")</f>
        <v>Est Delivery 12/12 to 12/18</v>
      </c>
      <c r="AH1058" s="157">
        <f>IFERROR(__xludf.DUMMYFUNCTION("""COMPUTED_VALUE"""),44201.43749628473)</f>
        <v>44201.4375</v>
      </c>
      <c r="AI1058" s="138"/>
      <c r="AJ1058" s="138"/>
      <c r="AK1058" s="138"/>
      <c r="AL1058" s="142"/>
    </row>
    <row r="1059" ht="20.25" customHeight="1">
      <c r="A1059" s="155" t="str">
        <f>IFERROR(__xludf.DUMMYFUNCTION("""COMPUTED_VALUE"""),"AD&amp;AJ")</f>
        <v>AD&amp;AJ</v>
      </c>
      <c r="B1059" s="149" t="str">
        <f>IFERROR(__xludf.DUMMYFUNCTION("""COMPUTED_VALUE"""),"Melbourne, Australia")</f>
        <v>Melbourne, Australia</v>
      </c>
      <c r="C1059" s="149"/>
      <c r="D1059" s="149" t="str">
        <f>IFERROR(__xludf.DUMMYFUNCTION("""COMPUTED_VALUE"""),"Other (include country together with city)")</f>
        <v>Other (include country together with city)</v>
      </c>
      <c r="E1059" s="156">
        <f>IFERROR(__xludf.DUMMYFUNCTION("""COMPUTED_VALUE"""),44157.0)</f>
        <v>44157</v>
      </c>
      <c r="F1059" s="129">
        <f>IFERROR(__xludf.DUMMYFUNCTION("""COMPUTED_VALUE"""),44252.0)</f>
        <v>44252</v>
      </c>
      <c r="G1059" s="154" t="str">
        <f>IFERROR(__xludf.DUMMYFUNCTION("""COMPUTED_VALUE"""),"Email")</f>
        <v>Email</v>
      </c>
      <c r="H1059" s="131">
        <f>IFERROR(__xludf.DUMMYFUNCTION("""COMPUTED_VALUE"""),167055.0)</f>
        <v>167055</v>
      </c>
      <c r="I1059" s="144" t="str">
        <f>IFERROR(__xludf.DUMMYFUNCTION("""COMPUTED_VALUE"""),"01/21")</f>
        <v>01/21</v>
      </c>
      <c r="J1059" s="129">
        <f>IFERROR(__xludf.DUMMYFUNCTION("""COMPUTED_VALUE"""),44260.0)</f>
        <v>44260</v>
      </c>
      <c r="K1059" s="133">
        <f>IFERROR(__xludf.DUMMYFUNCTION("""COMPUTED_VALUE"""),95.0)</f>
        <v>95</v>
      </c>
      <c r="L1059" s="133">
        <f>IFERROR(__xludf.DUMMYFUNCTION("""COMPUTED_VALUE"""),8.0)</f>
        <v>8</v>
      </c>
      <c r="M1059" s="133">
        <f>IFERROR(__xludf.DUMMYFUNCTION("""COMPUTED_VALUE"""),103.0)</f>
        <v>103</v>
      </c>
      <c r="N1059" s="152" t="str">
        <f>IFERROR(__xludf.DUMMYFUNCTION("""COMPUTED_VALUE"""),"Model 3 SR+")</f>
        <v>Model 3 SR+</v>
      </c>
      <c r="O1059" s="152" t="str">
        <f>IFERROR(__xludf.DUMMYFUNCTION("""COMPUTED_VALUE"""),"Red Multi-Coat")</f>
        <v>Red Multi-Coat</v>
      </c>
      <c r="P1059" s="153" t="str">
        <f>IFERROR(__xludf.DUMMYFUNCTION("""COMPUTED_VALUE"""),"18 inch")</f>
        <v>18 inch</v>
      </c>
      <c r="Q1059" s="152" t="str">
        <f>IFERROR(__xludf.DUMMYFUNCTION("""COMPUTED_VALUE"""),"All Black")</f>
        <v>All Black</v>
      </c>
      <c r="R1059" s="149" t="str">
        <f>IFERROR(__xludf.DUMMYFUNCTION("""COMPUTED_VALUE"""),"Full Self-Driving")</f>
        <v>Full Self-Driving</v>
      </c>
      <c r="S1059" s="149"/>
      <c r="T1059" s="145" t="str">
        <f>IFERROR(__xludf.DUMMYFUNCTION("""COMPUTED_VALUE"""),"Mercedes A Class")</f>
        <v>Mercedes A Class</v>
      </c>
      <c r="U1059" s="145" t="str">
        <f>IFERROR(__xludf.DUMMYFUNCTION("""COMPUTED_VALUE"""),"Electric!")</f>
        <v>Electric!</v>
      </c>
      <c r="V1059" s="145" t="str">
        <f>IFERROR(__xludf.DUMMYFUNCTION("""COMPUTED_VALUE"""),"360° Bird's eye view")</f>
        <v>360° Bird's eye view</v>
      </c>
      <c r="W1059" s="136"/>
      <c r="X1059" s="137" t="str">
        <f>IFERROR(__xludf.DUMMYFUNCTION("""COMPUTED_VALUE"""),"Very Good")</f>
        <v>Very Good</v>
      </c>
      <c r="Y1059" s="138" t="str">
        <f>IFERROR(__xludf.DUMMYFUNCTION("""COMPUTED_VALUE"""),"Excellent")</f>
        <v>Excellent</v>
      </c>
      <c r="Z1059" s="138" t="str">
        <f>IFERROR(__xludf.DUMMYFUNCTION("""COMPUTED_VALUE"""),"Excellent")</f>
        <v>Excellent</v>
      </c>
      <c r="AA1059" s="138" t="str">
        <f>IFERROR(__xludf.DUMMYFUNCTION("""COMPUTED_VALUE"""),"Poor")</f>
        <v>Poor</v>
      </c>
      <c r="AB1059" s="138" t="str">
        <f>IFERROR(__xludf.DUMMYFUNCTION("""COMPUTED_VALUE"""),"Good")</f>
        <v>Good</v>
      </c>
      <c r="AC1059" s="139"/>
      <c r="AD1059" s="139"/>
      <c r="AE1059" s="139"/>
      <c r="AF1059" s="140" t="str">
        <f>IFERROR(__xludf.DUMMYFUNCTION("""COMPUTED_VALUE"""),"No. I took delivery of the first car Tesla was able to deliver.")</f>
        <v>No. I took delivery of the first car Tesla was able to deliver.</v>
      </c>
      <c r="AG1059" s="136" t="str">
        <f>IFERROR(__xludf.DUMMYFUNCTION("""COMPUTED_VALUE"""),"At purchase told delivery would be Dec/Jan, a week after purchase told delivery would be Jan/Feb, in Feb told delivery wold be Feb/March")</f>
        <v>At purchase told delivery would be Dec/Jan, a week after purchase told delivery would be Jan/Feb, in Feb told delivery wold be Feb/March</v>
      </c>
      <c r="AH1059" s="157">
        <f>IFERROR(__xludf.DUMMYFUNCTION("""COMPUTED_VALUE"""),44262.69270155093)</f>
        <v>44262.6927</v>
      </c>
      <c r="AI1059" s="138"/>
      <c r="AJ1059" s="138"/>
      <c r="AK1059" s="138"/>
      <c r="AL1059" s="142"/>
    </row>
    <row r="1060" ht="20.25" customHeight="1">
      <c r="A1060" s="155" t="str">
        <f>IFERROR(__xludf.DUMMYFUNCTION("""COMPUTED_VALUE"""),"EMCCPA")</f>
        <v>EMCCPA</v>
      </c>
      <c r="B1060" s="149" t="str">
        <f>IFERROR(__xludf.DUMMYFUNCTION("""COMPUTED_VALUE"""),"Costa Mesa")</f>
        <v>Costa Mesa</v>
      </c>
      <c r="C1060" s="149" t="str">
        <f>IFERROR(__xludf.DUMMYFUNCTION("""COMPUTED_VALUE"""),"CA")</f>
        <v>CA</v>
      </c>
      <c r="D1060" s="149" t="str">
        <f>IFERROR(__xludf.DUMMYFUNCTION("""COMPUTED_VALUE"""),"USA")</f>
        <v>USA</v>
      </c>
      <c r="E1060" s="156">
        <f>IFERROR(__xludf.DUMMYFUNCTION("""COMPUTED_VALUE"""),44157.0)</f>
        <v>44157</v>
      </c>
      <c r="F1060" s="129">
        <f>IFERROR(__xludf.DUMMYFUNCTION("""COMPUTED_VALUE"""),44186.0)</f>
        <v>44186</v>
      </c>
      <c r="G1060" s="154" t="str">
        <f>IFERROR(__xludf.DUMMYFUNCTION("""COMPUTED_VALUE"""),"Email")</f>
        <v>Email</v>
      </c>
      <c r="H1060" s="131">
        <f>IFERROR(__xludf.DUMMYFUNCTION("""COMPUTED_VALUE"""),872055.0)</f>
        <v>872055</v>
      </c>
      <c r="I1060" s="144" t="str">
        <f>IFERROR(__xludf.DUMMYFUNCTION("""COMPUTED_VALUE"""),"12/20")</f>
        <v>12/20</v>
      </c>
      <c r="J1060" s="129">
        <f>IFERROR(__xludf.DUMMYFUNCTION("""COMPUTED_VALUE"""),44189.0)</f>
        <v>44189</v>
      </c>
      <c r="K1060" s="133">
        <f>IFERROR(__xludf.DUMMYFUNCTION("""COMPUTED_VALUE"""),29.0)</f>
        <v>29</v>
      </c>
      <c r="L1060" s="133">
        <f>IFERROR(__xludf.DUMMYFUNCTION("""COMPUTED_VALUE"""),3.0)</f>
        <v>3</v>
      </c>
      <c r="M1060" s="133">
        <f>IFERROR(__xludf.DUMMYFUNCTION("""COMPUTED_VALUE"""),32.0)</f>
        <v>32</v>
      </c>
      <c r="N1060" s="152" t="str">
        <f>IFERROR(__xludf.DUMMYFUNCTION("""COMPUTED_VALUE"""),"Model 3 SR+")</f>
        <v>Model 3 SR+</v>
      </c>
      <c r="O1060" s="152" t="str">
        <f>IFERROR(__xludf.DUMMYFUNCTION("""COMPUTED_VALUE"""),"Pearl White Multi-Coat")</f>
        <v>Pearl White Multi-Coat</v>
      </c>
      <c r="P1060" s="153" t="str">
        <f>IFERROR(__xludf.DUMMYFUNCTION("""COMPUTED_VALUE"""),"19 inch")</f>
        <v>19 inch</v>
      </c>
      <c r="Q1060" s="152" t="str">
        <f>IFERROR(__xludf.DUMMYFUNCTION("""COMPUTED_VALUE"""),"All Black")</f>
        <v>All Black</v>
      </c>
      <c r="R1060" s="149" t="str">
        <f>IFERROR(__xludf.DUMMYFUNCTION("""COMPUTED_VALUE"""),"Autopilot included")</f>
        <v>Autopilot included</v>
      </c>
      <c r="S1060" s="149" t="str">
        <f>IFERROR(__xludf.DUMMYFUNCTION("""COMPUTED_VALUE"""),"Loan")</f>
        <v>Loan</v>
      </c>
      <c r="T1060" s="145" t="str">
        <f>IFERROR(__xludf.DUMMYFUNCTION("""COMPUTED_VALUE"""),"Ford CMax Energi")</f>
        <v>Ford CMax Energi</v>
      </c>
      <c r="U1060" s="145" t="str">
        <f>IFERROR(__xludf.DUMMYFUNCTION("""COMPUTED_VALUE"""),"Electric!")</f>
        <v>Electric!</v>
      </c>
      <c r="V1060" s="145" t="str">
        <f>IFERROR(__xludf.DUMMYFUNCTION("""COMPUTED_VALUE"""),"Apple CarPlay / Android Auto / SiriusXM Radio")</f>
        <v>Apple CarPlay / Android Auto / SiriusXM Radio</v>
      </c>
      <c r="W1060" s="136"/>
      <c r="X1060" s="137" t="str">
        <f>IFERROR(__xludf.DUMMYFUNCTION("""COMPUTED_VALUE"""),"Good")</f>
        <v>Good</v>
      </c>
      <c r="Y1060" s="138" t="str">
        <f>IFERROR(__xludf.DUMMYFUNCTION("""COMPUTED_VALUE"""),"Excellent")</f>
        <v>Excellent</v>
      </c>
      <c r="Z1060" s="138" t="str">
        <f>IFERROR(__xludf.DUMMYFUNCTION("""COMPUTED_VALUE"""),"Very Good")</f>
        <v>Very Good</v>
      </c>
      <c r="AA1060" s="138" t="str">
        <f>IFERROR(__xludf.DUMMYFUNCTION("""COMPUTED_VALUE"""),"Good")</f>
        <v>Good</v>
      </c>
      <c r="AB1060" s="138" t="str">
        <f>IFERROR(__xludf.DUMMYFUNCTION("""COMPUTED_VALUE"""),"Excellent")</f>
        <v>Excellent</v>
      </c>
      <c r="AC1060" s="139">
        <f>IFERROR(__xludf.DUMMYFUNCTION("""COMPUTED_VALUE"""),2.0)</f>
        <v>2</v>
      </c>
      <c r="AD1060" s="139">
        <f>IFERROR(__xludf.DUMMYFUNCTION("""COMPUTED_VALUE"""),1.0)</f>
        <v>1</v>
      </c>
      <c r="AE1060" s="139"/>
      <c r="AF1060" s="140" t="str">
        <f>IFERROR(__xludf.DUMMYFUNCTION("""COMPUTED_VALUE"""),"No. I took delivery of the first car Tesla was able to deliver.")</f>
        <v>No. I took delivery of the first car Tesla was able to deliver.</v>
      </c>
      <c r="AG1060" s="136"/>
      <c r="AH1060" s="157">
        <f>IFERROR(__xludf.DUMMYFUNCTION("""COMPUTED_VALUE"""),44193.34931459491)</f>
        <v>44193.34931</v>
      </c>
      <c r="AI1060" s="138"/>
      <c r="AJ1060" s="138"/>
      <c r="AK1060" s="138"/>
      <c r="AL1060" s="142"/>
    </row>
    <row r="1061" ht="20.25" customHeight="1">
      <c r="A1061" s="155" t="str">
        <f>IFERROR(__xludf.DUMMYFUNCTION("""COMPUTED_VALUE"""),"Jlc0623")</f>
        <v>Jlc0623</v>
      </c>
      <c r="B1061" s="149" t="str">
        <f>IFERROR(__xludf.DUMMYFUNCTION("""COMPUTED_VALUE"""),"Glen Allen")</f>
        <v>Glen Allen</v>
      </c>
      <c r="C1061" s="149" t="str">
        <f>IFERROR(__xludf.DUMMYFUNCTION("""COMPUTED_VALUE"""),"VA")</f>
        <v>VA</v>
      </c>
      <c r="D1061" s="149" t="str">
        <f>IFERROR(__xludf.DUMMYFUNCTION("""COMPUTED_VALUE"""),"USA")</f>
        <v>USA</v>
      </c>
      <c r="E1061" s="156">
        <f>IFERROR(__xludf.DUMMYFUNCTION("""COMPUTED_VALUE"""),44155.0)</f>
        <v>44155</v>
      </c>
      <c r="F1061" s="129">
        <f>IFERROR(__xludf.DUMMYFUNCTION("""COMPUTED_VALUE"""),44171.0)</f>
        <v>44171</v>
      </c>
      <c r="G1061" s="154" t="str">
        <f>IFERROR(__xludf.DUMMYFUNCTION("""COMPUTED_VALUE"""),"Manage order page (normal text)")</f>
        <v>Manage order page (normal text)</v>
      </c>
      <c r="H1061" s="131">
        <f>IFERROR(__xludf.DUMMYFUNCTION("""COMPUTED_VALUE"""),854355.0)</f>
        <v>854355</v>
      </c>
      <c r="I1061" s="132" t="str">
        <f>IFERROR(__xludf.DUMMYFUNCTION("""COMPUTED_VALUE"""),"12/20")</f>
        <v>12/20</v>
      </c>
      <c r="J1061" s="129">
        <f>IFERROR(__xludf.DUMMYFUNCTION("""COMPUTED_VALUE"""),44176.0)</f>
        <v>44176</v>
      </c>
      <c r="K1061" s="133">
        <f>IFERROR(__xludf.DUMMYFUNCTION("""COMPUTED_VALUE"""),16.0)</f>
        <v>16</v>
      </c>
      <c r="L1061" s="133">
        <f>IFERROR(__xludf.DUMMYFUNCTION("""COMPUTED_VALUE"""),5.0)</f>
        <v>5</v>
      </c>
      <c r="M1061" s="133">
        <f>IFERROR(__xludf.DUMMYFUNCTION("""COMPUTED_VALUE"""),21.0)</f>
        <v>21</v>
      </c>
      <c r="N1061" s="152" t="str">
        <f>IFERROR(__xludf.DUMMYFUNCTION("""COMPUTED_VALUE"""),"Model 3 SR+")</f>
        <v>Model 3 SR+</v>
      </c>
      <c r="O1061" s="152" t="str">
        <f>IFERROR(__xludf.DUMMYFUNCTION("""COMPUTED_VALUE"""),"Pearl White Multi-Coat")</f>
        <v>Pearl White Multi-Coat</v>
      </c>
      <c r="P1061" s="153" t="str">
        <f>IFERROR(__xludf.DUMMYFUNCTION("""COMPUTED_VALUE"""),"18 inch")</f>
        <v>18 inch</v>
      </c>
      <c r="Q1061" s="152" t="str">
        <f>IFERROR(__xludf.DUMMYFUNCTION("""COMPUTED_VALUE"""),"All Black")</f>
        <v>All Black</v>
      </c>
      <c r="R1061" s="150" t="str">
        <f>IFERROR(__xludf.DUMMYFUNCTION("""COMPUTED_VALUE"""),"Autopilot included")</f>
        <v>Autopilot included</v>
      </c>
      <c r="S1061" s="150" t="str">
        <f>IFERROR(__xludf.DUMMYFUNCTION("""COMPUTED_VALUE"""),"Loan")</f>
        <v>Loan</v>
      </c>
      <c r="T1061" s="136" t="str">
        <f>IFERROR(__xludf.DUMMYFUNCTION("""COMPUTED_VALUE"""),"Toyota sienna")</f>
        <v>Toyota sienna</v>
      </c>
      <c r="U1061" s="136" t="str">
        <f>IFERROR(__xludf.DUMMYFUNCTION("""COMPUTED_VALUE"""),"Tesla brand image")</f>
        <v>Tesla brand image</v>
      </c>
      <c r="V1061" s="136" t="str">
        <f>IFERROR(__xludf.DUMMYFUNCTION("""COMPUTED_VALUE"""),"Heated steering wheel")</f>
        <v>Heated steering wheel</v>
      </c>
      <c r="W1061" s="136" t="str">
        <f>IFERROR(__xludf.DUMMYFUNCTION("""COMPUTED_VALUE"""),"Be patient.")</f>
        <v>Be patient.</v>
      </c>
      <c r="X1061" s="137" t="str">
        <f>IFERROR(__xludf.DUMMYFUNCTION("""COMPUTED_VALUE"""),"Very Good")</f>
        <v>Very Good</v>
      </c>
      <c r="Y1061" s="138" t="str">
        <f>IFERROR(__xludf.DUMMYFUNCTION("""COMPUTED_VALUE"""),"Excellent")</f>
        <v>Excellent</v>
      </c>
      <c r="Z1061" s="138" t="str">
        <f>IFERROR(__xludf.DUMMYFUNCTION("""COMPUTED_VALUE"""),"Excellent")</f>
        <v>Excellent</v>
      </c>
      <c r="AA1061" s="138" t="str">
        <f>IFERROR(__xludf.DUMMYFUNCTION("""COMPUTED_VALUE"""),"Very Good")</f>
        <v>Very Good</v>
      </c>
      <c r="AB1061" s="138" t="str">
        <f>IFERROR(__xludf.DUMMYFUNCTION("""COMPUTED_VALUE"""),"Very Good")</f>
        <v>Very Good</v>
      </c>
      <c r="AC1061" s="139"/>
      <c r="AD1061" s="139"/>
      <c r="AE1061" s="139"/>
      <c r="AF1061" s="140" t="str">
        <f>IFERROR(__xludf.DUMMYFUNCTION("""COMPUTED_VALUE"""),"No. I took delivery of the first car Tesla was able to deliver.")</f>
        <v>No. I took delivery of the first car Tesla was able to deliver.</v>
      </c>
      <c r="AG1061" s="136" t="str">
        <f>IFERROR(__xludf.DUMMYFUNCTION("""COMPUTED_VALUE"""),"Keep checking existing inventory online. Was able to get exactly what i wanted 11 days early by willing to drive an extra hour to a different sales center.")</f>
        <v>Keep checking existing inventory online. Was able to get exactly what i wanted 11 days early by willing to drive an extra hour to a different sales center.</v>
      </c>
      <c r="AH1061" s="157">
        <f>IFERROR(__xludf.DUMMYFUNCTION("""COMPUTED_VALUE"""),44176.80464365741)</f>
        <v>44176.80464</v>
      </c>
      <c r="AI1061" s="138"/>
      <c r="AJ1061" s="138"/>
      <c r="AK1061" s="138"/>
      <c r="AL1061" s="142"/>
    </row>
    <row r="1062" ht="20.25" customHeight="1">
      <c r="A1062" s="155" t="str">
        <f>IFERROR(__xludf.DUMMYFUNCTION("""COMPUTED_VALUE"""),"Dexa")</f>
        <v>Dexa</v>
      </c>
      <c r="B1062" s="149" t="str">
        <f>IFERROR(__xludf.DUMMYFUNCTION("""COMPUTED_VALUE"""),"Denver")</f>
        <v>Denver</v>
      </c>
      <c r="C1062" s="149" t="str">
        <f>IFERROR(__xludf.DUMMYFUNCTION("""COMPUTED_VALUE"""),"CO")</f>
        <v>CO</v>
      </c>
      <c r="D1062" s="149" t="str">
        <f>IFERROR(__xludf.DUMMYFUNCTION("""COMPUTED_VALUE"""),"USA")</f>
        <v>USA</v>
      </c>
      <c r="E1062" s="156">
        <f>IFERROR(__xludf.DUMMYFUNCTION("""COMPUTED_VALUE"""),44154.0)</f>
        <v>44154</v>
      </c>
      <c r="F1062" s="129">
        <f>IFERROR(__xludf.DUMMYFUNCTION("""COMPUTED_VALUE"""),44180.0)</f>
        <v>44180</v>
      </c>
      <c r="G1062" s="154" t="str">
        <f>IFERROR(__xludf.DUMMYFUNCTION("""COMPUTED_VALUE"""),"Email")</f>
        <v>Email</v>
      </c>
      <c r="H1062" s="131">
        <f>IFERROR(__xludf.DUMMYFUNCTION("""COMPUTED_VALUE"""),869755.0)</f>
        <v>869755</v>
      </c>
      <c r="I1062" s="144"/>
      <c r="J1062" s="129">
        <f>IFERROR(__xludf.DUMMYFUNCTION("""COMPUTED_VALUE"""),44191.0)</f>
        <v>44191</v>
      </c>
      <c r="K1062" s="133">
        <f>IFERROR(__xludf.DUMMYFUNCTION("""COMPUTED_VALUE"""),26.0)</f>
        <v>26</v>
      </c>
      <c r="L1062" s="133">
        <f>IFERROR(__xludf.DUMMYFUNCTION("""COMPUTED_VALUE"""),11.0)</f>
        <v>11</v>
      </c>
      <c r="M1062" s="133">
        <f>IFERROR(__xludf.DUMMYFUNCTION("""COMPUTED_VALUE"""),37.0)</f>
        <v>37</v>
      </c>
      <c r="N1062" s="152" t="str">
        <f>IFERROR(__xludf.DUMMYFUNCTION("""COMPUTED_VALUE"""),"Model 3 Performance")</f>
        <v>Model 3 Performance</v>
      </c>
      <c r="O1062" s="152" t="str">
        <f>IFERROR(__xludf.DUMMYFUNCTION("""COMPUTED_VALUE"""),"Pearl White Multi-Coat")</f>
        <v>Pearl White Multi-Coat</v>
      </c>
      <c r="P1062" s="153" t="str">
        <f>IFERROR(__xludf.DUMMYFUNCTION("""COMPUTED_VALUE"""),"20 inch")</f>
        <v>20 inch</v>
      </c>
      <c r="Q1062" s="152" t="str">
        <f>IFERROR(__xludf.DUMMYFUNCTION("""COMPUTED_VALUE"""),"Black and White")</f>
        <v>Black and White</v>
      </c>
      <c r="R1062" s="149" t="str">
        <f>IFERROR(__xludf.DUMMYFUNCTION("""COMPUTED_VALUE"""),"Full Self-Driving")</f>
        <v>Full Self-Driving</v>
      </c>
      <c r="S1062" s="149" t="str">
        <f>IFERROR(__xludf.DUMMYFUNCTION("""COMPUTED_VALUE"""),"Cash")</f>
        <v>Cash</v>
      </c>
      <c r="T1062" s="145" t="str">
        <f>IFERROR(__xludf.DUMMYFUNCTION("""COMPUTED_VALUE"""),"Audi S3")</f>
        <v>Audi S3</v>
      </c>
      <c r="U1062" s="145" t="str">
        <f>IFERROR(__xludf.DUMMYFUNCTION("""COMPUTED_VALUE"""),"Electric!")</f>
        <v>Electric!</v>
      </c>
      <c r="V1062" s="145" t="str">
        <f>IFERROR(__xludf.DUMMYFUNCTION("""COMPUTED_VALUE"""),"Head-up display")</f>
        <v>Head-up display</v>
      </c>
      <c r="W1062" s="145"/>
      <c r="X1062" s="137" t="str">
        <f>IFERROR(__xludf.DUMMYFUNCTION("""COMPUTED_VALUE"""),"Very Good")</f>
        <v>Very Good</v>
      </c>
      <c r="Y1062" s="138" t="str">
        <f>IFERROR(__xludf.DUMMYFUNCTION("""COMPUTED_VALUE"""),"Excellent")</f>
        <v>Excellent</v>
      </c>
      <c r="Z1062" s="138" t="str">
        <f>IFERROR(__xludf.DUMMYFUNCTION("""COMPUTED_VALUE"""),"Excellent")</f>
        <v>Excellent</v>
      </c>
      <c r="AA1062" s="138" t="str">
        <f>IFERROR(__xludf.DUMMYFUNCTION("""COMPUTED_VALUE"""),"Good")</f>
        <v>Good</v>
      </c>
      <c r="AB1062" s="138" t="str">
        <f>IFERROR(__xludf.DUMMYFUNCTION("""COMPUTED_VALUE"""),"Very Good")</f>
        <v>Very Good</v>
      </c>
      <c r="AC1062" s="139">
        <f>IFERROR(__xludf.DUMMYFUNCTION("""COMPUTED_VALUE"""),0.0)</f>
        <v>0</v>
      </c>
      <c r="AD1062" s="139"/>
      <c r="AE1062" s="139"/>
      <c r="AF1062" s="140" t="str">
        <f>IFERROR(__xludf.DUMMYFUNCTION("""COMPUTED_VALUE"""),"No. I took delivery of the first car Tesla was able to deliver.")</f>
        <v>No. I took delivery of the first car Tesla was able to deliver.</v>
      </c>
      <c r="AG1062" s="145"/>
      <c r="AH1062" s="157">
        <f>IFERROR(__xludf.DUMMYFUNCTION("""COMPUTED_VALUE"""),44196.65960387732)</f>
        <v>44196.6596</v>
      </c>
      <c r="AI1062" s="138"/>
      <c r="AJ1062" s="138"/>
      <c r="AK1062" s="138"/>
      <c r="AL1062" s="142"/>
    </row>
    <row r="1063" ht="20.25" customHeight="1">
      <c r="A1063" s="155" t="str">
        <f>IFERROR(__xludf.DUMMYFUNCTION("""COMPUTED_VALUE"""),"Haerik")</f>
        <v>Haerik</v>
      </c>
      <c r="B1063" s="149" t="str">
        <f>IFERROR(__xludf.DUMMYFUNCTION("""COMPUTED_VALUE"""),"Charlotte")</f>
        <v>Charlotte</v>
      </c>
      <c r="C1063" s="149" t="str">
        <f>IFERROR(__xludf.DUMMYFUNCTION("""COMPUTED_VALUE"""),"NC")</f>
        <v>NC</v>
      </c>
      <c r="D1063" s="149" t="str">
        <f>IFERROR(__xludf.DUMMYFUNCTION("""COMPUTED_VALUE"""),"USA")</f>
        <v>USA</v>
      </c>
      <c r="E1063" s="156">
        <f>IFERROR(__xludf.DUMMYFUNCTION("""COMPUTED_VALUE"""),44154.0)</f>
        <v>44154</v>
      </c>
      <c r="F1063" s="129">
        <f>IFERROR(__xludf.DUMMYFUNCTION("""COMPUTED_VALUE"""),44181.0)</f>
        <v>44181</v>
      </c>
      <c r="G1063" s="154" t="str">
        <f>IFERROR(__xludf.DUMMYFUNCTION("""COMPUTED_VALUE"""),"Manage order page (normal text)")</f>
        <v>Manage order page (normal text)</v>
      </c>
      <c r="H1063" s="131">
        <f>IFERROR(__xludf.DUMMYFUNCTION("""COMPUTED_VALUE"""),868355.0)</f>
        <v>868355</v>
      </c>
      <c r="I1063" s="144" t="str">
        <f>IFERROR(__xludf.DUMMYFUNCTION("""COMPUTED_VALUE"""),"12/20")</f>
        <v>12/20</v>
      </c>
      <c r="J1063" s="129">
        <f>IFERROR(__xludf.DUMMYFUNCTION("""COMPUTED_VALUE"""),44186.0)</f>
        <v>44186</v>
      </c>
      <c r="K1063" s="133">
        <f>IFERROR(__xludf.DUMMYFUNCTION("""COMPUTED_VALUE"""),27.0)</f>
        <v>27</v>
      </c>
      <c r="L1063" s="133">
        <f>IFERROR(__xludf.DUMMYFUNCTION("""COMPUTED_VALUE"""),5.0)</f>
        <v>5</v>
      </c>
      <c r="M1063" s="133">
        <f>IFERROR(__xludf.DUMMYFUNCTION("""COMPUTED_VALUE"""),32.0)</f>
        <v>32</v>
      </c>
      <c r="N1063" s="152" t="str">
        <f>IFERROR(__xludf.DUMMYFUNCTION("""COMPUTED_VALUE"""),"Model 3 Performance")</f>
        <v>Model 3 Performance</v>
      </c>
      <c r="O1063" s="152" t="str">
        <f>IFERROR(__xludf.DUMMYFUNCTION("""COMPUTED_VALUE"""),"Midnight Silver Metallic")</f>
        <v>Midnight Silver Metallic</v>
      </c>
      <c r="P1063" s="153" t="str">
        <f>IFERROR(__xludf.DUMMYFUNCTION("""COMPUTED_VALUE"""),"20 inch")</f>
        <v>20 inch</v>
      </c>
      <c r="Q1063" s="152" t="str">
        <f>IFERROR(__xludf.DUMMYFUNCTION("""COMPUTED_VALUE"""),"All Black")</f>
        <v>All Black</v>
      </c>
      <c r="R1063" s="149" t="str">
        <f>IFERROR(__xludf.DUMMYFUNCTION("""COMPUTED_VALUE"""),"Full Self-Driving")</f>
        <v>Full Self-Driving</v>
      </c>
      <c r="S1063" s="149" t="str">
        <f>IFERROR(__xludf.DUMMYFUNCTION("""COMPUTED_VALUE"""),"Loan")</f>
        <v>Loan</v>
      </c>
      <c r="T1063" s="145" t="str">
        <f>IFERROR(__xludf.DUMMYFUNCTION("""COMPUTED_VALUE"""),"Tesla Model 3")</f>
        <v>Tesla Model 3</v>
      </c>
      <c r="U1063" s="145" t="str">
        <f>IFERROR(__xludf.DUMMYFUNCTION("""COMPUTED_VALUE"""),"Electric!")</f>
        <v>Electric!</v>
      </c>
      <c r="V1063" s="145" t="str">
        <f>IFERROR(__xludf.DUMMYFUNCTION("""COMPUTED_VALUE"""),"Ventilated seats")</f>
        <v>Ventilated seats</v>
      </c>
      <c r="W1063" s="136"/>
      <c r="X1063" s="137" t="str">
        <f>IFERROR(__xludf.DUMMYFUNCTION("""COMPUTED_VALUE"""),"Very Good")</f>
        <v>Very Good</v>
      </c>
      <c r="Y1063" s="138" t="str">
        <f>IFERROR(__xludf.DUMMYFUNCTION("""COMPUTED_VALUE"""),"Excellent")</f>
        <v>Excellent</v>
      </c>
      <c r="Z1063" s="138" t="str">
        <f>IFERROR(__xludf.DUMMYFUNCTION("""COMPUTED_VALUE"""),"Excellent")</f>
        <v>Excellent</v>
      </c>
      <c r="AA1063" s="138" t="str">
        <f>IFERROR(__xludf.DUMMYFUNCTION("""COMPUTED_VALUE"""),"Good")</f>
        <v>Good</v>
      </c>
      <c r="AB1063" s="138" t="str">
        <f>IFERROR(__xludf.DUMMYFUNCTION("""COMPUTED_VALUE"""),"Poor")</f>
        <v>Poor</v>
      </c>
      <c r="AC1063" s="139"/>
      <c r="AD1063" s="139"/>
      <c r="AE1063" s="139"/>
      <c r="AF1063" s="140" t="str">
        <f>IFERROR(__xludf.DUMMYFUNCTION("""COMPUTED_VALUE"""),"No. I took delivery of the first car Tesla was able to deliver.")</f>
        <v>No. I took delivery of the first car Tesla was able to deliver.</v>
      </c>
      <c r="AG1063" s="136" t="str">
        <f>IFERROR(__xludf.DUMMYFUNCTION("""COMPUTED_VALUE"""),"Has new headlight style")</f>
        <v>Has new headlight style</v>
      </c>
      <c r="AH1063" s="157">
        <f>IFERROR(__xludf.DUMMYFUNCTION("""COMPUTED_VALUE"""),44187.59998738426)</f>
        <v>44187.59999</v>
      </c>
      <c r="AI1063" s="138"/>
      <c r="AJ1063" s="138"/>
      <c r="AK1063" s="138"/>
      <c r="AL1063" s="142"/>
    </row>
    <row r="1064" ht="20.25" customHeight="1">
      <c r="A1064" s="155" t="str">
        <f>IFERROR(__xludf.DUMMYFUNCTION("""COMPUTED_VALUE"""),"Jeff")</f>
        <v>Jeff</v>
      </c>
      <c r="B1064" s="149" t="str">
        <f>IFERROR(__xludf.DUMMYFUNCTION("""COMPUTED_VALUE"""),"Roseville")</f>
        <v>Roseville</v>
      </c>
      <c r="C1064" s="149" t="str">
        <f>IFERROR(__xludf.DUMMYFUNCTION("""COMPUTED_VALUE"""),"CA")</f>
        <v>CA</v>
      </c>
      <c r="D1064" s="149" t="str">
        <f>IFERROR(__xludf.DUMMYFUNCTION("""COMPUTED_VALUE"""),"USA")</f>
        <v>USA</v>
      </c>
      <c r="E1064" s="156">
        <f>IFERROR(__xludf.DUMMYFUNCTION("""COMPUTED_VALUE"""),44152.0)</f>
        <v>44152</v>
      </c>
      <c r="F1064" s="129">
        <f>IFERROR(__xludf.DUMMYFUNCTION("""COMPUTED_VALUE"""),44177.0)</f>
        <v>44177</v>
      </c>
      <c r="G1064" s="154" t="str">
        <f>IFERROR(__xludf.DUMMYFUNCTION("""COMPUTED_VALUE"""),"Manage order page (normal text)")</f>
        <v>Manage order page (normal text)</v>
      </c>
      <c r="H1064" s="131">
        <f>IFERROR(__xludf.DUMMYFUNCTION("""COMPUTED_VALUE"""),861218.0)</f>
        <v>861218</v>
      </c>
      <c r="I1064" s="144"/>
      <c r="J1064" s="129">
        <f>IFERROR(__xludf.DUMMYFUNCTION("""COMPUTED_VALUE"""),44182.0)</f>
        <v>44182</v>
      </c>
      <c r="K1064" s="133">
        <f>IFERROR(__xludf.DUMMYFUNCTION("""COMPUTED_VALUE"""),25.0)</f>
        <v>25</v>
      </c>
      <c r="L1064" s="133">
        <f>IFERROR(__xludf.DUMMYFUNCTION("""COMPUTED_VALUE"""),5.0)</f>
        <v>5</v>
      </c>
      <c r="M1064" s="133">
        <f>IFERROR(__xludf.DUMMYFUNCTION("""COMPUTED_VALUE"""),30.0)</f>
        <v>30</v>
      </c>
      <c r="N1064" s="152" t="str">
        <f>IFERROR(__xludf.DUMMYFUNCTION("""COMPUTED_VALUE"""),"Model 3 SR+")</f>
        <v>Model 3 SR+</v>
      </c>
      <c r="O1064" s="152" t="str">
        <f>IFERROR(__xludf.DUMMYFUNCTION("""COMPUTED_VALUE"""),"Solid Black")</f>
        <v>Solid Black</v>
      </c>
      <c r="P1064" s="153" t="str">
        <f>IFERROR(__xludf.DUMMYFUNCTION("""COMPUTED_VALUE"""),"19 inch")</f>
        <v>19 inch</v>
      </c>
      <c r="Q1064" s="152" t="str">
        <f>IFERROR(__xludf.DUMMYFUNCTION("""COMPUTED_VALUE"""),"All Black")</f>
        <v>All Black</v>
      </c>
      <c r="R1064" s="149" t="str">
        <f>IFERROR(__xludf.DUMMYFUNCTION("""COMPUTED_VALUE"""),"Autopilot included")</f>
        <v>Autopilot included</v>
      </c>
      <c r="S1064" s="149" t="str">
        <f>IFERROR(__xludf.DUMMYFUNCTION("""COMPUTED_VALUE"""),"Loan")</f>
        <v>Loan</v>
      </c>
      <c r="T1064" s="145"/>
      <c r="U1064" s="145"/>
      <c r="V1064" s="145" t="str">
        <f>IFERROR(__xludf.DUMMYFUNCTION("""COMPUTED_VALUE"""),"Apple CarPlay / Android Auto / SiriusXM Radio")</f>
        <v>Apple CarPlay / Android Auto / SiriusXM Radio</v>
      </c>
      <c r="W1064" s="145"/>
      <c r="X1064" s="137" t="str">
        <f>IFERROR(__xludf.DUMMYFUNCTION("""COMPUTED_VALUE"""),"Excellent")</f>
        <v>Excellent</v>
      </c>
      <c r="Y1064" s="138" t="str">
        <f>IFERROR(__xludf.DUMMYFUNCTION("""COMPUTED_VALUE"""),"Excellent")</f>
        <v>Excellent</v>
      </c>
      <c r="Z1064" s="138" t="str">
        <f>IFERROR(__xludf.DUMMYFUNCTION("""COMPUTED_VALUE"""),"Very Good")</f>
        <v>Very Good</v>
      </c>
      <c r="AA1064" s="138" t="str">
        <f>IFERROR(__xludf.DUMMYFUNCTION("""COMPUTED_VALUE"""),"Excellent")</f>
        <v>Excellent</v>
      </c>
      <c r="AB1064" s="138" t="str">
        <f>IFERROR(__xludf.DUMMYFUNCTION("""COMPUTED_VALUE"""),"Excellent")</f>
        <v>Excellent</v>
      </c>
      <c r="AC1064" s="139"/>
      <c r="AD1064" s="139"/>
      <c r="AE1064" s="139"/>
      <c r="AF1064" s="140" t="str">
        <f>IFERROR(__xludf.DUMMYFUNCTION("""COMPUTED_VALUE"""),"No. I took delivery of the first car Tesla was able to deliver.")</f>
        <v>No. I took delivery of the first car Tesla was able to deliver.</v>
      </c>
      <c r="AG1064" s="145"/>
      <c r="AH1064" s="157">
        <f>IFERROR(__xludf.DUMMYFUNCTION("""COMPUTED_VALUE"""),44182.62943065972)</f>
        <v>44182.62943</v>
      </c>
      <c r="AI1064" s="138"/>
      <c r="AJ1064" s="138"/>
      <c r="AK1064" s="138"/>
      <c r="AL1064" s="142"/>
    </row>
    <row r="1065" ht="20.25" customHeight="1">
      <c r="A1065" s="155" t="str">
        <f>IFERROR(__xludf.DUMMYFUNCTION("""COMPUTED_VALUE"""),"MyTesla99")</f>
        <v>MyTesla99</v>
      </c>
      <c r="B1065" s="149" t="str">
        <f>IFERROR(__xludf.DUMMYFUNCTION("""COMPUTED_VALUE"""),"San Francisco")</f>
        <v>San Francisco</v>
      </c>
      <c r="C1065" s="149" t="str">
        <f>IFERROR(__xludf.DUMMYFUNCTION("""COMPUTED_VALUE"""),"CA")</f>
        <v>CA</v>
      </c>
      <c r="D1065" s="149" t="str">
        <f>IFERROR(__xludf.DUMMYFUNCTION("""COMPUTED_VALUE"""),"USA")</f>
        <v>USA</v>
      </c>
      <c r="E1065" s="156">
        <f>IFERROR(__xludf.DUMMYFUNCTION("""COMPUTED_VALUE"""),44151.0)</f>
        <v>44151</v>
      </c>
      <c r="F1065" s="129">
        <f>IFERROR(__xludf.DUMMYFUNCTION("""COMPUTED_VALUE"""),44182.0)</f>
        <v>44182</v>
      </c>
      <c r="G1065" s="154" t="str">
        <f>IFERROR(__xludf.DUMMYFUNCTION("""COMPUTED_VALUE"""),"Manage order page (normal text)")</f>
        <v>Manage order page (normal text)</v>
      </c>
      <c r="H1065" s="131"/>
      <c r="I1065" s="144" t="str">
        <f>IFERROR(__xludf.DUMMYFUNCTION("""COMPUTED_VALUE"""),"12/20")</f>
        <v>12/20</v>
      </c>
      <c r="J1065" s="129">
        <f>IFERROR(__xludf.DUMMYFUNCTION("""COMPUTED_VALUE"""),44185.0)</f>
        <v>44185</v>
      </c>
      <c r="K1065" s="133">
        <f>IFERROR(__xludf.DUMMYFUNCTION("""COMPUTED_VALUE"""),31.0)</f>
        <v>31</v>
      </c>
      <c r="L1065" s="133">
        <f>IFERROR(__xludf.DUMMYFUNCTION("""COMPUTED_VALUE"""),3.0)</f>
        <v>3</v>
      </c>
      <c r="M1065" s="133">
        <f>IFERROR(__xludf.DUMMYFUNCTION("""COMPUTED_VALUE"""),34.0)</f>
        <v>34</v>
      </c>
      <c r="N1065" s="152" t="str">
        <f>IFERROR(__xludf.DUMMYFUNCTION("""COMPUTED_VALUE"""),"Model 3 SR+")</f>
        <v>Model 3 SR+</v>
      </c>
      <c r="O1065" s="152" t="str">
        <f>IFERROR(__xludf.DUMMYFUNCTION("""COMPUTED_VALUE"""),"Deep Blue Metallic")</f>
        <v>Deep Blue Metallic</v>
      </c>
      <c r="P1065" s="153" t="str">
        <f>IFERROR(__xludf.DUMMYFUNCTION("""COMPUTED_VALUE"""),"19 inch")</f>
        <v>19 inch</v>
      </c>
      <c r="Q1065" s="152" t="str">
        <f>IFERROR(__xludf.DUMMYFUNCTION("""COMPUTED_VALUE"""),"All Black")</f>
        <v>All Black</v>
      </c>
      <c r="R1065" s="149" t="str">
        <f>IFERROR(__xludf.DUMMYFUNCTION("""COMPUTED_VALUE"""),"Autopilot included")</f>
        <v>Autopilot included</v>
      </c>
      <c r="S1065" s="149"/>
      <c r="T1065" s="145" t="str">
        <f>IFERROR(__xludf.DUMMYFUNCTION("""COMPUTED_VALUE"""),"Model 3 will be my first car!")</f>
        <v>Model 3 will be my first car!</v>
      </c>
      <c r="U1065" s="145" t="str">
        <f>IFERROR(__xludf.DUMMYFUNCTION("""COMPUTED_VALUE"""),"Electric!")</f>
        <v>Electric!</v>
      </c>
      <c r="V1065" s="145" t="str">
        <f>IFERROR(__xludf.DUMMYFUNCTION("""COMPUTED_VALUE"""),"360° Bird's eye view")</f>
        <v>360° Bird's eye view</v>
      </c>
      <c r="W1065" s="136" t="str">
        <f>IFERROR(__xludf.DUMMYFUNCTION("""COMPUTED_VALUE"""),"It's a great car, you're going to love it. I would suggest doing a full check list of the car interior and exterior of the car")</f>
        <v>It's a great car, you're going to love it. I would suggest doing a full check list of the car interior and exterior of the car</v>
      </c>
      <c r="X1065" s="137" t="str">
        <f>IFERROR(__xludf.DUMMYFUNCTION("""COMPUTED_VALUE"""),"Very Good")</f>
        <v>Very Good</v>
      </c>
      <c r="Y1065" s="138" t="str">
        <f>IFERROR(__xludf.DUMMYFUNCTION("""COMPUTED_VALUE"""),"Excellent")</f>
        <v>Excellent</v>
      </c>
      <c r="Z1065" s="138" t="str">
        <f>IFERROR(__xludf.DUMMYFUNCTION("""COMPUTED_VALUE"""),"Very Good")</f>
        <v>Very Good</v>
      </c>
      <c r="AA1065" s="138" t="str">
        <f>IFERROR(__xludf.DUMMYFUNCTION("""COMPUTED_VALUE"""),"Good")</f>
        <v>Good</v>
      </c>
      <c r="AB1065" s="138" t="str">
        <f>IFERROR(__xludf.DUMMYFUNCTION("""COMPUTED_VALUE"""),"Excellent")</f>
        <v>Excellent</v>
      </c>
      <c r="AC1065" s="139"/>
      <c r="AD1065" s="139">
        <f>IFERROR(__xludf.DUMMYFUNCTION("""COMPUTED_VALUE"""),1.0)</f>
        <v>1</v>
      </c>
      <c r="AE1065" s="139"/>
      <c r="AF1065" s="140" t="str">
        <f>IFERROR(__xludf.DUMMYFUNCTION("""COMPUTED_VALUE"""),"No. I took delivery of the first car Tesla was able to deliver.")</f>
        <v>No. I took delivery of the first car Tesla was able to deliver.</v>
      </c>
      <c r="AG1065" s="145" t="str">
        <f>IFERROR(__xludf.DUMMYFUNCTION("""COMPUTED_VALUE"""),"Confusion about pick-up date. SA told me 12/16 then that changed to 12/21. Not sure why delivery or product slowed down")</f>
        <v>Confusion about pick-up date. SA told me 12/16 then that changed to 12/21. Not sure why delivery or product slowed down</v>
      </c>
      <c r="AH1065" s="157">
        <f>IFERROR(__xludf.DUMMYFUNCTION("""COMPUTED_VALUE"""),44186.66877040509)</f>
        <v>44186.66877</v>
      </c>
      <c r="AI1065" s="138"/>
      <c r="AJ1065" s="138"/>
      <c r="AK1065" s="138"/>
      <c r="AL1065" s="142"/>
    </row>
    <row r="1066" ht="20.25" customHeight="1">
      <c r="A1066" s="155" t="str">
        <f>IFERROR(__xludf.DUMMYFUNCTION("""COMPUTED_VALUE"""),"JaeAnonymous")</f>
        <v>JaeAnonymous</v>
      </c>
      <c r="B1066" s="149" t="str">
        <f>IFERROR(__xludf.DUMMYFUNCTION("""COMPUTED_VALUE"""),"Westerly")</f>
        <v>Westerly</v>
      </c>
      <c r="C1066" s="149" t="str">
        <f>IFERROR(__xludf.DUMMYFUNCTION("""COMPUTED_VALUE"""),"RI")</f>
        <v>RI</v>
      </c>
      <c r="D1066" s="149" t="str">
        <f>IFERROR(__xludf.DUMMYFUNCTION("""COMPUTED_VALUE"""),"USA")</f>
        <v>USA</v>
      </c>
      <c r="E1066" s="156">
        <f>IFERROR(__xludf.DUMMYFUNCTION("""COMPUTED_VALUE"""),44150.0)</f>
        <v>44150</v>
      </c>
      <c r="F1066" s="129">
        <f>IFERROR(__xludf.DUMMYFUNCTION("""COMPUTED_VALUE"""),44171.0)</f>
        <v>44171</v>
      </c>
      <c r="G1066" s="154" t="str">
        <f>IFERROR(__xludf.DUMMYFUNCTION("""COMPUTED_VALUE"""),"Phone call")</f>
        <v>Phone call</v>
      </c>
      <c r="H1066" s="131">
        <f>IFERROR(__xludf.DUMMYFUNCTION("""COMPUTED_VALUE"""),856050.0)</f>
        <v>856050</v>
      </c>
      <c r="I1066" s="144" t="str">
        <f>IFERROR(__xludf.DUMMYFUNCTION("""COMPUTED_VALUE"""),"12/20")</f>
        <v>12/20</v>
      </c>
      <c r="J1066" s="129">
        <f>IFERROR(__xludf.DUMMYFUNCTION("""COMPUTED_VALUE"""),44183.0)</f>
        <v>44183</v>
      </c>
      <c r="K1066" s="133">
        <f>IFERROR(__xludf.DUMMYFUNCTION("""COMPUTED_VALUE"""),21.0)</f>
        <v>21</v>
      </c>
      <c r="L1066" s="133">
        <f>IFERROR(__xludf.DUMMYFUNCTION("""COMPUTED_VALUE"""),12.0)</f>
        <v>12</v>
      </c>
      <c r="M1066" s="133">
        <f>IFERROR(__xludf.DUMMYFUNCTION("""COMPUTED_VALUE"""),33.0)</f>
        <v>33</v>
      </c>
      <c r="N1066" s="152" t="str">
        <f>IFERROR(__xludf.DUMMYFUNCTION("""COMPUTED_VALUE"""),"Model 3 LR AWD")</f>
        <v>Model 3 LR AWD</v>
      </c>
      <c r="O1066" s="152" t="str">
        <f>IFERROR(__xludf.DUMMYFUNCTION("""COMPUTED_VALUE"""),"Pearl White Multi-Coat")</f>
        <v>Pearl White Multi-Coat</v>
      </c>
      <c r="P1066" s="153" t="str">
        <f>IFERROR(__xludf.DUMMYFUNCTION("""COMPUTED_VALUE"""),"18 inch")</f>
        <v>18 inch</v>
      </c>
      <c r="Q1066" s="152" t="str">
        <f>IFERROR(__xludf.DUMMYFUNCTION("""COMPUTED_VALUE"""),"Black and White")</f>
        <v>Black and White</v>
      </c>
      <c r="R1066" s="149" t="str">
        <f>IFERROR(__xludf.DUMMYFUNCTION("""COMPUTED_VALUE"""),"Autopilot included")</f>
        <v>Autopilot included</v>
      </c>
      <c r="S1066" s="149" t="str">
        <f>IFERROR(__xludf.DUMMYFUNCTION("""COMPUTED_VALUE"""),"Loan")</f>
        <v>Loan</v>
      </c>
      <c r="T1066" s="145" t="str">
        <f>IFERROR(__xludf.DUMMYFUNCTION("""COMPUTED_VALUE"""),"Tesla Model 3")</f>
        <v>Tesla Model 3</v>
      </c>
      <c r="U1066" s="145" t="str">
        <f>IFERROR(__xludf.DUMMYFUNCTION("""COMPUTED_VALUE"""),"Tesla brand image")</f>
        <v>Tesla brand image</v>
      </c>
      <c r="V1066" s="145" t="str">
        <f>IFERROR(__xludf.DUMMYFUNCTION("""COMPUTED_VALUE"""),"Apple CarPlay / Android Auto / SiriusXM Radio")</f>
        <v>Apple CarPlay / Android Auto / SiriusXM Radio</v>
      </c>
      <c r="W1066" s="145"/>
      <c r="X1066" s="137" t="str">
        <f>IFERROR(__xludf.DUMMYFUNCTION("""COMPUTED_VALUE"""),"Excellent")</f>
        <v>Excellent</v>
      </c>
      <c r="Y1066" s="138" t="str">
        <f>IFERROR(__xludf.DUMMYFUNCTION("""COMPUTED_VALUE"""),"Excellent")</f>
        <v>Excellent</v>
      </c>
      <c r="Z1066" s="138" t="str">
        <f>IFERROR(__xludf.DUMMYFUNCTION("""COMPUTED_VALUE"""),"Very Good")</f>
        <v>Very Good</v>
      </c>
      <c r="AA1066" s="138" t="str">
        <f>IFERROR(__xludf.DUMMYFUNCTION("""COMPUTED_VALUE"""),"Very Good")</f>
        <v>Very Good</v>
      </c>
      <c r="AB1066" s="138" t="str">
        <f>IFERROR(__xludf.DUMMYFUNCTION("""COMPUTED_VALUE"""),"Excellent")</f>
        <v>Excellent</v>
      </c>
      <c r="AC1066" s="139"/>
      <c r="AD1066" s="139"/>
      <c r="AE1066" s="139"/>
      <c r="AF1066" s="140"/>
      <c r="AG1066" s="145"/>
      <c r="AH1066" s="157">
        <f>IFERROR(__xludf.DUMMYFUNCTION("""COMPUTED_VALUE"""),44196.53718208334)</f>
        <v>44196.53718</v>
      </c>
      <c r="AI1066" s="138"/>
      <c r="AJ1066" s="138"/>
      <c r="AK1066" s="138"/>
      <c r="AL1066" s="142"/>
    </row>
    <row r="1067" ht="20.25" customHeight="1">
      <c r="A1067" s="155" t="str">
        <f>IFERROR(__xludf.DUMMYFUNCTION("""COMPUTED_VALUE"""),"Augger")</f>
        <v>Augger</v>
      </c>
      <c r="B1067" s="149" t="str">
        <f>IFERROR(__xludf.DUMMYFUNCTION("""COMPUTED_VALUE"""),"Detroit")</f>
        <v>Detroit</v>
      </c>
      <c r="C1067" s="149" t="str">
        <f>IFERROR(__xludf.DUMMYFUNCTION("""COMPUTED_VALUE"""),"MI")</f>
        <v>MI</v>
      </c>
      <c r="D1067" s="149" t="str">
        <f>IFERROR(__xludf.DUMMYFUNCTION("""COMPUTED_VALUE"""),"USA")</f>
        <v>USA</v>
      </c>
      <c r="E1067" s="156">
        <f>IFERROR(__xludf.DUMMYFUNCTION("""COMPUTED_VALUE"""),44149.0)</f>
        <v>44149</v>
      </c>
      <c r="F1067" s="129">
        <f>IFERROR(__xludf.DUMMYFUNCTION("""COMPUTED_VALUE"""),44177.0)</f>
        <v>44177</v>
      </c>
      <c r="G1067" s="154" t="str">
        <f>IFERROR(__xludf.DUMMYFUNCTION("""COMPUTED_VALUE"""),"Manage order page (normal text)")</f>
        <v>Manage order page (normal text)</v>
      </c>
      <c r="H1067" s="131">
        <f>IFERROR(__xludf.DUMMYFUNCTION("""COMPUTED_VALUE"""),858245.0)</f>
        <v>858245</v>
      </c>
      <c r="I1067" s="132" t="str">
        <f>IFERROR(__xludf.DUMMYFUNCTION("""COMPUTED_VALUE"""),"12/20")</f>
        <v>12/20</v>
      </c>
      <c r="J1067" s="129">
        <f>IFERROR(__xludf.DUMMYFUNCTION("""COMPUTED_VALUE"""),44189.0)</f>
        <v>44189</v>
      </c>
      <c r="K1067" s="133">
        <f>IFERROR(__xludf.DUMMYFUNCTION("""COMPUTED_VALUE"""),28.0)</f>
        <v>28</v>
      </c>
      <c r="L1067" s="133">
        <f>IFERROR(__xludf.DUMMYFUNCTION("""COMPUTED_VALUE"""),12.0)</f>
        <v>12</v>
      </c>
      <c r="M1067" s="133">
        <f>IFERROR(__xludf.DUMMYFUNCTION("""COMPUTED_VALUE"""),40.0)</f>
        <v>40</v>
      </c>
      <c r="N1067" s="152" t="str">
        <f>IFERROR(__xludf.DUMMYFUNCTION("""COMPUTED_VALUE"""),"Model 3 LR AWD")</f>
        <v>Model 3 LR AWD</v>
      </c>
      <c r="O1067" s="152" t="str">
        <f>IFERROR(__xludf.DUMMYFUNCTION("""COMPUTED_VALUE"""),"Pearl White Multi-Coat")</f>
        <v>Pearl White Multi-Coat</v>
      </c>
      <c r="P1067" s="153" t="str">
        <f>IFERROR(__xludf.DUMMYFUNCTION("""COMPUTED_VALUE"""),"18 inch")</f>
        <v>18 inch</v>
      </c>
      <c r="Q1067" s="152" t="str">
        <f>IFERROR(__xludf.DUMMYFUNCTION("""COMPUTED_VALUE"""),"All Black")</f>
        <v>All Black</v>
      </c>
      <c r="R1067" s="150" t="str">
        <f>IFERROR(__xludf.DUMMYFUNCTION("""COMPUTED_VALUE"""),"Autopilot included")</f>
        <v>Autopilot included</v>
      </c>
      <c r="S1067" s="150" t="str">
        <f>IFERROR(__xludf.DUMMYFUNCTION("""COMPUTED_VALUE"""),"Loan")</f>
        <v>Loan</v>
      </c>
      <c r="T1067" s="136" t="str">
        <f>IFERROR(__xludf.DUMMYFUNCTION("""COMPUTED_VALUE"""),"Mercedes C300")</f>
        <v>Mercedes C300</v>
      </c>
      <c r="U1067" s="136" t="str">
        <f>IFERROR(__xludf.DUMMYFUNCTION("""COMPUTED_VALUE"""),"Tesla brand image")</f>
        <v>Tesla brand image</v>
      </c>
      <c r="V1067" s="136" t="str">
        <f>IFERROR(__xludf.DUMMYFUNCTION("""COMPUTED_VALUE"""),"Ventilated seats")</f>
        <v>Ventilated seats</v>
      </c>
      <c r="W1067" s="145"/>
      <c r="X1067" s="137" t="str">
        <f>IFERROR(__xludf.DUMMYFUNCTION("""COMPUTED_VALUE"""),"Very Good")</f>
        <v>Very Good</v>
      </c>
      <c r="Y1067" s="138" t="str">
        <f>IFERROR(__xludf.DUMMYFUNCTION("""COMPUTED_VALUE"""),"Excellent")</f>
        <v>Excellent</v>
      </c>
      <c r="Z1067" s="138" t="str">
        <f>IFERROR(__xludf.DUMMYFUNCTION("""COMPUTED_VALUE"""),"Very Good")</f>
        <v>Very Good</v>
      </c>
      <c r="AA1067" s="138" t="str">
        <f>IFERROR(__xludf.DUMMYFUNCTION("""COMPUTED_VALUE"""),"Fair")</f>
        <v>Fair</v>
      </c>
      <c r="AB1067" s="138" t="str">
        <f>IFERROR(__xludf.DUMMYFUNCTION("""COMPUTED_VALUE"""),"Good")</f>
        <v>Good</v>
      </c>
      <c r="AC1067" s="139"/>
      <c r="AD1067" s="139"/>
      <c r="AE1067" s="139"/>
      <c r="AF1067" s="140" t="str">
        <f>IFERROR(__xludf.DUMMYFUNCTION("""COMPUTED_VALUE"""),"No. I took delivery of the first car Tesla was able to deliver.")</f>
        <v>No. I took delivery of the first car Tesla was able to deliver.</v>
      </c>
      <c r="AG1067" s="145" t="str">
        <f>IFERROR(__xludf.DUMMYFUNCTION("""COMPUTED_VALUE"""),"Original listed between Dec 13-31, now 18-31, Set for 12/28, arrived early, pickup on 12/24")</f>
        <v>Original listed between Dec 13-31, now 18-31, Set for 12/28, arrived early, pickup on 12/24</v>
      </c>
      <c r="AH1067" s="157">
        <f>IFERROR(__xludf.DUMMYFUNCTION("""COMPUTED_VALUE"""),44195.37844655092)</f>
        <v>44195.37845</v>
      </c>
      <c r="AI1067" s="138"/>
      <c r="AJ1067" s="138"/>
      <c r="AK1067" s="138"/>
      <c r="AL1067" s="142"/>
    </row>
    <row r="1068" ht="20.25" customHeight="1">
      <c r="A1068" s="155" t="str">
        <f>IFERROR(__xludf.DUMMYFUNCTION("""COMPUTED_VALUE"""),"Dova849")</f>
        <v>Dova849</v>
      </c>
      <c r="B1068" s="149" t="str">
        <f>IFERROR(__xludf.DUMMYFUNCTION("""COMPUTED_VALUE"""),"Montclair")</f>
        <v>Montclair</v>
      </c>
      <c r="C1068" s="149" t="str">
        <f>IFERROR(__xludf.DUMMYFUNCTION("""COMPUTED_VALUE"""),"NJ")</f>
        <v>NJ</v>
      </c>
      <c r="D1068" s="149" t="str">
        <f>IFERROR(__xludf.DUMMYFUNCTION("""COMPUTED_VALUE"""),"USA")</f>
        <v>USA</v>
      </c>
      <c r="E1068" s="156">
        <f>IFERROR(__xludf.DUMMYFUNCTION("""COMPUTED_VALUE"""),44149.0)</f>
        <v>44149</v>
      </c>
      <c r="F1068" s="129">
        <f>IFERROR(__xludf.DUMMYFUNCTION("""COMPUTED_VALUE"""),44180.0)</f>
        <v>44180</v>
      </c>
      <c r="G1068" s="154" t="str">
        <f>IFERROR(__xludf.DUMMYFUNCTION("""COMPUTED_VALUE"""),"Manage order page (normal text)")</f>
        <v>Manage order page (normal text)</v>
      </c>
      <c r="H1068" s="131">
        <f>IFERROR(__xludf.DUMMYFUNCTION("""COMPUTED_VALUE"""),858355.0)</f>
        <v>858355</v>
      </c>
      <c r="I1068" s="132" t="str">
        <f>IFERROR(__xludf.DUMMYFUNCTION("""COMPUTED_VALUE"""),"11/20")</f>
        <v>11/20</v>
      </c>
      <c r="J1068" s="129">
        <f>IFERROR(__xludf.DUMMYFUNCTION("""COMPUTED_VALUE"""),44191.0)</f>
        <v>44191</v>
      </c>
      <c r="K1068" s="133">
        <f>IFERROR(__xludf.DUMMYFUNCTION("""COMPUTED_VALUE"""),31.0)</f>
        <v>31</v>
      </c>
      <c r="L1068" s="133">
        <f>IFERROR(__xludf.DUMMYFUNCTION("""COMPUTED_VALUE"""),11.0)</f>
        <v>11</v>
      </c>
      <c r="M1068" s="133">
        <f>IFERROR(__xludf.DUMMYFUNCTION("""COMPUTED_VALUE"""),42.0)</f>
        <v>42</v>
      </c>
      <c r="N1068" s="152" t="str">
        <f>IFERROR(__xludf.DUMMYFUNCTION("""COMPUTED_VALUE"""),"Model 3 LR AWD")</f>
        <v>Model 3 LR AWD</v>
      </c>
      <c r="O1068" s="152" t="str">
        <f>IFERROR(__xludf.DUMMYFUNCTION("""COMPUTED_VALUE"""),"Midnight Silver Metallic")</f>
        <v>Midnight Silver Metallic</v>
      </c>
      <c r="P1068" s="153" t="str">
        <f>IFERROR(__xludf.DUMMYFUNCTION("""COMPUTED_VALUE"""),"18 inch")</f>
        <v>18 inch</v>
      </c>
      <c r="Q1068" s="152" t="str">
        <f>IFERROR(__xludf.DUMMYFUNCTION("""COMPUTED_VALUE"""),"All Black")</f>
        <v>All Black</v>
      </c>
      <c r="R1068" s="150" t="str">
        <f>IFERROR(__xludf.DUMMYFUNCTION("""COMPUTED_VALUE"""),"Autopilot included")</f>
        <v>Autopilot included</v>
      </c>
      <c r="S1068" s="150" t="str">
        <f>IFERROR(__xludf.DUMMYFUNCTION("""COMPUTED_VALUE"""),"Loan")</f>
        <v>Loan</v>
      </c>
      <c r="T1068" s="136" t="str">
        <f>IFERROR(__xludf.DUMMYFUNCTION("""COMPUTED_VALUE"""),"2017 Buick Regal GS")</f>
        <v>2017 Buick Regal GS</v>
      </c>
      <c r="U1068" s="136" t="str">
        <f>IFERROR(__xludf.DUMMYFUNCTION("""COMPUTED_VALUE"""),"Autopilot")</f>
        <v>Autopilot</v>
      </c>
      <c r="V1068" s="145" t="str">
        <f>IFERROR(__xludf.DUMMYFUNCTION("""COMPUTED_VALUE"""),"HomeLink")</f>
        <v>HomeLink</v>
      </c>
      <c r="W1068" s="145" t="str">
        <f>IFERROR(__xludf.DUMMYFUNCTION("""COMPUTED_VALUE"""),"Be nice to the Tesla reps and they will be very helpful. ")</f>
        <v>Be nice to the Tesla reps and they will be very helpful. </v>
      </c>
      <c r="X1068" s="137"/>
      <c r="Y1068" s="138"/>
      <c r="Z1068" s="138"/>
      <c r="AA1068" s="138"/>
      <c r="AB1068" s="138"/>
      <c r="AC1068" s="139"/>
      <c r="AD1068" s="139"/>
      <c r="AE1068" s="139"/>
      <c r="AF1068" s="140"/>
      <c r="AG1068" s="145"/>
      <c r="AH1068" s="157">
        <f>IFERROR(__xludf.DUMMYFUNCTION("""COMPUTED_VALUE"""),44187.45827711806)</f>
        <v>44187.45828</v>
      </c>
      <c r="AI1068" s="138"/>
      <c r="AJ1068" s="138"/>
      <c r="AK1068" s="138"/>
      <c r="AL1068" s="142"/>
    </row>
    <row r="1069" ht="20.25" customHeight="1">
      <c r="A1069" s="155" t="str">
        <f>IFERROR(__xludf.DUMMYFUNCTION("""COMPUTED_VALUE"""),"ncozy4")</f>
        <v>ncozy4</v>
      </c>
      <c r="B1069" s="149" t="str">
        <f>IFERROR(__xludf.DUMMYFUNCTION("""COMPUTED_VALUE"""),"Englewood")</f>
        <v>Englewood</v>
      </c>
      <c r="C1069" s="149" t="str">
        <f>IFERROR(__xludf.DUMMYFUNCTION("""COMPUTED_VALUE"""),"CO")</f>
        <v>CO</v>
      </c>
      <c r="D1069" s="149" t="str">
        <f>IFERROR(__xludf.DUMMYFUNCTION("""COMPUTED_VALUE"""),"USA")</f>
        <v>USA</v>
      </c>
      <c r="E1069" s="156">
        <f>IFERROR(__xludf.DUMMYFUNCTION("""COMPUTED_VALUE"""),44149.0)</f>
        <v>44149</v>
      </c>
      <c r="F1069" s="129">
        <f>IFERROR(__xludf.DUMMYFUNCTION("""COMPUTED_VALUE"""),44177.0)</f>
        <v>44177</v>
      </c>
      <c r="G1069" s="154" t="str">
        <f>IFERROR(__xludf.DUMMYFUNCTION("""COMPUTED_VALUE"""),"Manage order page (normal text)")</f>
        <v>Manage order page (normal text)</v>
      </c>
      <c r="H1069" s="131">
        <f>IFERROR(__xludf.DUMMYFUNCTION("""COMPUTED_VALUE"""),858158.0)</f>
        <v>858158</v>
      </c>
      <c r="I1069" s="144"/>
      <c r="J1069" s="129">
        <f>IFERROR(__xludf.DUMMYFUNCTION("""COMPUTED_VALUE"""),44189.0)</f>
        <v>44189</v>
      </c>
      <c r="K1069" s="133">
        <f>IFERROR(__xludf.DUMMYFUNCTION("""COMPUTED_VALUE"""),28.0)</f>
        <v>28</v>
      </c>
      <c r="L1069" s="133">
        <f>IFERROR(__xludf.DUMMYFUNCTION("""COMPUTED_VALUE"""),12.0)</f>
        <v>12</v>
      </c>
      <c r="M1069" s="133">
        <f>IFERROR(__xludf.DUMMYFUNCTION("""COMPUTED_VALUE"""),40.0)</f>
        <v>40</v>
      </c>
      <c r="N1069" s="152" t="str">
        <f>IFERROR(__xludf.DUMMYFUNCTION("""COMPUTED_VALUE"""),"Model 3 LR AWD")</f>
        <v>Model 3 LR AWD</v>
      </c>
      <c r="O1069" s="152" t="str">
        <f>IFERROR(__xludf.DUMMYFUNCTION("""COMPUTED_VALUE"""),"Deep Blue Metallic")</f>
        <v>Deep Blue Metallic</v>
      </c>
      <c r="P1069" s="153" t="str">
        <f>IFERROR(__xludf.DUMMYFUNCTION("""COMPUTED_VALUE"""),"18 inch")</f>
        <v>18 inch</v>
      </c>
      <c r="Q1069" s="152" t="str">
        <f>IFERROR(__xludf.DUMMYFUNCTION("""COMPUTED_VALUE"""),"All Black")</f>
        <v>All Black</v>
      </c>
      <c r="R1069" s="149" t="str">
        <f>IFERROR(__xludf.DUMMYFUNCTION("""COMPUTED_VALUE"""),"Autopilot included")</f>
        <v>Autopilot included</v>
      </c>
      <c r="S1069" s="149" t="str">
        <f>IFERROR(__xludf.DUMMYFUNCTION("""COMPUTED_VALUE"""),"Cash")</f>
        <v>Cash</v>
      </c>
      <c r="T1069" s="145" t="str">
        <f>IFERROR(__xludf.DUMMYFUNCTION("""COMPUTED_VALUE"""),"VW Tiguan")</f>
        <v>VW Tiguan</v>
      </c>
      <c r="U1069" s="145" t="str">
        <f>IFERROR(__xludf.DUMMYFUNCTION("""COMPUTED_VALUE"""),"Tesla brand image")</f>
        <v>Tesla brand image</v>
      </c>
      <c r="V1069" s="145" t="str">
        <f>IFERROR(__xludf.DUMMYFUNCTION("""COMPUTED_VALUE"""),"Ventilated seats")</f>
        <v>Ventilated seats</v>
      </c>
      <c r="W1069" s="145"/>
      <c r="X1069" s="137" t="str">
        <f>IFERROR(__xludf.DUMMYFUNCTION("""COMPUTED_VALUE"""),"Excellent")</f>
        <v>Excellent</v>
      </c>
      <c r="Y1069" s="138" t="str">
        <f>IFERROR(__xludf.DUMMYFUNCTION("""COMPUTED_VALUE"""),"Excellent")</f>
        <v>Excellent</v>
      </c>
      <c r="Z1069" s="138" t="str">
        <f>IFERROR(__xludf.DUMMYFUNCTION("""COMPUTED_VALUE"""),"Excellent")</f>
        <v>Excellent</v>
      </c>
      <c r="AA1069" s="138" t="str">
        <f>IFERROR(__xludf.DUMMYFUNCTION("""COMPUTED_VALUE"""),"Good")</f>
        <v>Good</v>
      </c>
      <c r="AB1069" s="138" t="str">
        <f>IFERROR(__xludf.DUMMYFUNCTION("""COMPUTED_VALUE"""),"Good")</f>
        <v>Good</v>
      </c>
      <c r="AC1069" s="139"/>
      <c r="AD1069" s="139"/>
      <c r="AE1069" s="139"/>
      <c r="AF1069" s="140" t="str">
        <f>IFERROR(__xludf.DUMMYFUNCTION("""COMPUTED_VALUE"""),"No. I took delivery of the first car Tesla was able to deliver.")</f>
        <v>No. I took delivery of the first car Tesla was able to deliver.</v>
      </c>
      <c r="AG1069" s="145" t="str">
        <f>IFERROR(__xludf.DUMMYFUNCTION("""COMPUTED_VALUE"""),"Rcvd VIN after rcving email about final payment being ready.")</f>
        <v>Rcvd VIN after rcving email about final payment being ready.</v>
      </c>
      <c r="AH1069" s="157">
        <f>IFERROR(__xludf.DUMMYFUNCTION("""COMPUTED_VALUE"""),44190.97809563657)</f>
        <v>44190.9781</v>
      </c>
      <c r="AI1069" s="138"/>
      <c r="AJ1069" s="138"/>
      <c r="AK1069" s="138"/>
      <c r="AL1069" s="142"/>
    </row>
    <row r="1070" ht="20.25" customHeight="1">
      <c r="A1070" s="155" t="str">
        <f>IFERROR(__xludf.DUMMYFUNCTION("""COMPUTED_VALUE"""),"Pikachu")</f>
        <v>Pikachu</v>
      </c>
      <c r="B1070" s="149" t="str">
        <f>IFERROR(__xludf.DUMMYFUNCTION("""COMPUTED_VALUE"""),"Dedham")</f>
        <v>Dedham</v>
      </c>
      <c r="C1070" s="149" t="str">
        <f>IFERROR(__xludf.DUMMYFUNCTION("""COMPUTED_VALUE"""),"MA")</f>
        <v>MA</v>
      </c>
      <c r="D1070" s="149" t="str">
        <f>IFERROR(__xludf.DUMMYFUNCTION("""COMPUTED_VALUE"""),"USA")</f>
        <v>USA</v>
      </c>
      <c r="E1070" s="156">
        <f>IFERROR(__xludf.DUMMYFUNCTION("""COMPUTED_VALUE"""),44148.0)</f>
        <v>44148</v>
      </c>
      <c r="F1070" s="129">
        <f>IFERROR(__xludf.DUMMYFUNCTION("""COMPUTED_VALUE"""),44171.0)</f>
        <v>44171</v>
      </c>
      <c r="G1070" s="154" t="str">
        <f>IFERROR(__xludf.DUMMYFUNCTION("""COMPUTED_VALUE"""),"Manage order page (normal text)")</f>
        <v>Manage order page (normal text)</v>
      </c>
      <c r="H1070" s="131">
        <f>IFERROR(__xludf.DUMMYFUNCTION("""COMPUTED_VALUE"""),854153.0)</f>
        <v>854153</v>
      </c>
      <c r="I1070" s="132" t="str">
        <f>IFERROR(__xludf.DUMMYFUNCTION("""COMPUTED_VALUE"""),"12/20")</f>
        <v>12/20</v>
      </c>
      <c r="J1070" s="129">
        <f>IFERROR(__xludf.DUMMYFUNCTION("""COMPUTED_VALUE"""),44189.0)</f>
        <v>44189</v>
      </c>
      <c r="K1070" s="133">
        <f>IFERROR(__xludf.DUMMYFUNCTION("""COMPUTED_VALUE"""),23.0)</f>
        <v>23</v>
      </c>
      <c r="L1070" s="133">
        <f>IFERROR(__xludf.DUMMYFUNCTION("""COMPUTED_VALUE"""),18.0)</f>
        <v>18</v>
      </c>
      <c r="M1070" s="133">
        <f>IFERROR(__xludf.DUMMYFUNCTION("""COMPUTED_VALUE"""),41.0)</f>
        <v>41</v>
      </c>
      <c r="N1070" s="152" t="str">
        <f>IFERROR(__xludf.DUMMYFUNCTION("""COMPUTED_VALUE"""),"Model 3 SR+")</f>
        <v>Model 3 SR+</v>
      </c>
      <c r="O1070" s="152" t="str">
        <f>IFERROR(__xludf.DUMMYFUNCTION("""COMPUTED_VALUE"""),"Deep Blue Metallic")</f>
        <v>Deep Blue Metallic</v>
      </c>
      <c r="P1070" s="153" t="str">
        <f>IFERROR(__xludf.DUMMYFUNCTION("""COMPUTED_VALUE"""),"18 inch")</f>
        <v>18 inch</v>
      </c>
      <c r="Q1070" s="152" t="str">
        <f>IFERROR(__xludf.DUMMYFUNCTION("""COMPUTED_VALUE"""),"All Black")</f>
        <v>All Black</v>
      </c>
      <c r="R1070" s="150" t="str">
        <f>IFERROR(__xludf.DUMMYFUNCTION("""COMPUTED_VALUE"""),"Autopilot included")</f>
        <v>Autopilot included</v>
      </c>
      <c r="S1070" s="150" t="str">
        <f>IFERROR(__xludf.DUMMYFUNCTION("""COMPUTED_VALUE"""),"Loan")</f>
        <v>Loan</v>
      </c>
      <c r="T1070" s="136" t="str">
        <f>IFERROR(__xludf.DUMMYFUNCTION("""COMPUTED_VALUE"""),"Mazda 3")</f>
        <v>Mazda 3</v>
      </c>
      <c r="U1070" s="136" t="str">
        <f>IFERROR(__xludf.DUMMYFUNCTION("""COMPUTED_VALUE"""),"Electric!")</f>
        <v>Electric!</v>
      </c>
      <c r="V1070" s="136" t="str">
        <f>IFERROR(__xludf.DUMMYFUNCTION("""COMPUTED_VALUE"""),"Realistic range figures to their website")</f>
        <v>Realistic range figures to their website</v>
      </c>
      <c r="W1070" s="136" t="str">
        <f>IFERROR(__xludf.DUMMYFUNCTION("""COMPUTED_VALUE"""),"Make sure they actually transferred your insurance")</f>
        <v>Make sure they actually transferred your insurance</v>
      </c>
      <c r="X1070" s="137" t="str">
        <f>IFERROR(__xludf.DUMMYFUNCTION("""COMPUTED_VALUE"""),"Excellent")</f>
        <v>Excellent</v>
      </c>
      <c r="Y1070" s="138" t="str">
        <f>IFERROR(__xludf.DUMMYFUNCTION("""COMPUTED_VALUE"""),"Excellent")</f>
        <v>Excellent</v>
      </c>
      <c r="Z1070" s="138" t="str">
        <f>IFERROR(__xludf.DUMMYFUNCTION("""COMPUTED_VALUE"""),"Good")</f>
        <v>Good</v>
      </c>
      <c r="AA1070" s="138" t="str">
        <f>IFERROR(__xludf.DUMMYFUNCTION("""COMPUTED_VALUE"""),"Poor")</f>
        <v>Poor</v>
      </c>
      <c r="AB1070" s="138" t="str">
        <f>IFERROR(__xludf.DUMMYFUNCTION("""COMPUTED_VALUE"""),"Fair")</f>
        <v>Fair</v>
      </c>
      <c r="AC1070" s="139">
        <f>IFERROR(__xludf.DUMMYFUNCTION("""COMPUTED_VALUE"""),1.0)</f>
        <v>1</v>
      </c>
      <c r="AD1070" s="139">
        <f>IFERROR(__xludf.DUMMYFUNCTION("""COMPUTED_VALUE"""),0.0)</f>
        <v>0</v>
      </c>
      <c r="AE1070" s="139">
        <f>IFERROR(__xludf.DUMMYFUNCTION("""COMPUTED_VALUE"""),0.0)</f>
        <v>0</v>
      </c>
      <c r="AF1070" s="140" t="str">
        <f>IFERROR(__xludf.DUMMYFUNCTION("""COMPUTED_VALUE"""),"No. I took delivery of the first car Tesla was able to deliver.")</f>
        <v>No. I took delivery of the first car Tesla was able to deliver.</v>
      </c>
      <c r="AG1070" s="136"/>
      <c r="AH1070" s="157">
        <f>IFERROR(__xludf.DUMMYFUNCTION("""COMPUTED_VALUE"""),44196.416457708336)</f>
        <v>44196.41646</v>
      </c>
      <c r="AI1070" s="138"/>
      <c r="AJ1070" s="138"/>
      <c r="AK1070" s="138"/>
      <c r="AL1070" s="142"/>
    </row>
    <row r="1071" ht="20.25" customHeight="1">
      <c r="A1071" s="155" t="str">
        <f>IFERROR(__xludf.DUMMYFUNCTION("""COMPUTED_VALUE"""),"Quenfis")</f>
        <v>Quenfis</v>
      </c>
      <c r="B1071" s="149" t="str">
        <f>IFERROR(__xludf.DUMMYFUNCTION("""COMPUTED_VALUE"""),"Bonney Lake")</f>
        <v>Bonney Lake</v>
      </c>
      <c r="C1071" s="149" t="str">
        <f>IFERROR(__xludf.DUMMYFUNCTION("""COMPUTED_VALUE"""),"WA")</f>
        <v>WA</v>
      </c>
      <c r="D1071" s="149" t="str">
        <f>IFERROR(__xludf.DUMMYFUNCTION("""COMPUTED_VALUE"""),"USA")</f>
        <v>USA</v>
      </c>
      <c r="E1071" s="156">
        <f>IFERROR(__xludf.DUMMYFUNCTION("""COMPUTED_VALUE"""),44148.0)</f>
        <v>44148</v>
      </c>
      <c r="F1071" s="129">
        <f>IFERROR(__xludf.DUMMYFUNCTION("""COMPUTED_VALUE"""),44182.0)</f>
        <v>44182</v>
      </c>
      <c r="G1071" s="154" t="str">
        <f>IFERROR(__xludf.DUMMYFUNCTION("""COMPUTED_VALUE"""),"Manage order page (normal text)")</f>
        <v>Manage order page (normal text)</v>
      </c>
      <c r="H1071" s="131">
        <f>IFERROR(__xludf.DUMMYFUNCTION("""COMPUTED_VALUE"""),867555.0)</f>
        <v>867555</v>
      </c>
      <c r="I1071" s="132"/>
      <c r="J1071" s="129">
        <f>IFERROR(__xludf.DUMMYFUNCTION("""COMPUTED_VALUE"""),44187.0)</f>
        <v>44187</v>
      </c>
      <c r="K1071" s="133">
        <f>IFERROR(__xludf.DUMMYFUNCTION("""COMPUTED_VALUE"""),34.0)</f>
        <v>34</v>
      </c>
      <c r="L1071" s="133">
        <f>IFERROR(__xludf.DUMMYFUNCTION("""COMPUTED_VALUE"""),5.0)</f>
        <v>5</v>
      </c>
      <c r="M1071" s="133">
        <f>IFERROR(__xludf.DUMMYFUNCTION("""COMPUTED_VALUE"""),39.0)</f>
        <v>39</v>
      </c>
      <c r="N1071" s="152" t="str">
        <f>IFERROR(__xludf.DUMMYFUNCTION("""COMPUTED_VALUE"""),"Model 3 SR+")</f>
        <v>Model 3 SR+</v>
      </c>
      <c r="O1071" s="152" t="str">
        <f>IFERROR(__xludf.DUMMYFUNCTION("""COMPUTED_VALUE"""),"Midnight Silver Metallic")</f>
        <v>Midnight Silver Metallic</v>
      </c>
      <c r="P1071" s="153" t="str">
        <f>IFERROR(__xludf.DUMMYFUNCTION("""COMPUTED_VALUE"""),"18 inch")</f>
        <v>18 inch</v>
      </c>
      <c r="Q1071" s="152" t="str">
        <f>IFERROR(__xludf.DUMMYFUNCTION("""COMPUTED_VALUE"""),"All Black")</f>
        <v>All Black</v>
      </c>
      <c r="R1071" s="150" t="str">
        <f>IFERROR(__xludf.DUMMYFUNCTION("""COMPUTED_VALUE"""),"Autopilot included")</f>
        <v>Autopilot included</v>
      </c>
      <c r="S1071" s="150" t="str">
        <f>IFERROR(__xludf.DUMMYFUNCTION("""COMPUTED_VALUE"""),"Loan")</f>
        <v>Loan</v>
      </c>
      <c r="T1071" s="136" t="str">
        <f>IFERROR(__xludf.DUMMYFUNCTION("""COMPUTED_VALUE"""),"Mazda3")</f>
        <v>Mazda3</v>
      </c>
      <c r="U1071" s="136" t="str">
        <f>IFERROR(__xludf.DUMMYFUNCTION("""COMPUTED_VALUE"""),"Electric!")</f>
        <v>Electric!</v>
      </c>
      <c r="V1071" s="136" t="str">
        <f>IFERROR(__xludf.DUMMYFUNCTION("""COMPUTED_VALUE"""),"Apple CarPlay / Android Auto / SiriusXM Radio")</f>
        <v>Apple CarPlay / Android Auto / SiriusXM Radio</v>
      </c>
      <c r="W1071" s="136"/>
      <c r="X1071" s="137" t="str">
        <f>IFERROR(__xludf.DUMMYFUNCTION("""COMPUTED_VALUE"""),"Excellent")</f>
        <v>Excellent</v>
      </c>
      <c r="Y1071" s="138" t="str">
        <f>IFERROR(__xludf.DUMMYFUNCTION("""COMPUTED_VALUE"""),"Excellent")</f>
        <v>Excellent</v>
      </c>
      <c r="Z1071" s="138" t="str">
        <f>IFERROR(__xludf.DUMMYFUNCTION("""COMPUTED_VALUE"""),"Excellent")</f>
        <v>Excellent</v>
      </c>
      <c r="AA1071" s="138" t="str">
        <f>IFERROR(__xludf.DUMMYFUNCTION("""COMPUTED_VALUE"""),"Excellent")</f>
        <v>Excellent</v>
      </c>
      <c r="AB1071" s="138" t="str">
        <f>IFERROR(__xludf.DUMMYFUNCTION("""COMPUTED_VALUE"""),"Excellent")</f>
        <v>Excellent</v>
      </c>
      <c r="AC1071" s="139">
        <f>IFERROR(__xludf.DUMMYFUNCTION("""COMPUTED_VALUE"""),0.0)</f>
        <v>0</v>
      </c>
      <c r="AD1071" s="139">
        <f>IFERROR(__xludf.DUMMYFUNCTION("""COMPUTED_VALUE"""),0.0)</f>
        <v>0</v>
      </c>
      <c r="AE1071" s="139">
        <f>IFERROR(__xludf.DUMMYFUNCTION("""COMPUTED_VALUE"""),0.0)</f>
        <v>0</v>
      </c>
      <c r="AF1071" s="140" t="str">
        <f>IFERROR(__xludf.DUMMYFUNCTION("""COMPUTED_VALUE"""),"No. I took delivery of the first car Tesla was able to deliver.")</f>
        <v>No. I took delivery of the first car Tesla was able to deliver.</v>
      </c>
      <c r="AG1071" s="136" t="str">
        <f>IFERROR(__xludf.DUMMYFUNCTION("""COMPUTED_VALUE"""),"Est Delivery: December 18 - December 22nd")</f>
        <v>Est Delivery: December 18 - December 22nd</v>
      </c>
      <c r="AH1071" s="157">
        <f>IFERROR(__xludf.DUMMYFUNCTION("""COMPUTED_VALUE"""),44188.39422575232)</f>
        <v>44188.39423</v>
      </c>
      <c r="AI1071" s="138"/>
      <c r="AJ1071" s="138"/>
      <c r="AK1071" s="138"/>
      <c r="AL1071" s="142"/>
    </row>
    <row r="1072" ht="20.25" customHeight="1">
      <c r="A1072" s="155" t="str">
        <f>IFERROR(__xludf.DUMMYFUNCTION("""COMPUTED_VALUE"""),"BoddagettaRN")</f>
        <v>BoddagettaRN</v>
      </c>
      <c r="B1072" s="149" t="str">
        <f>IFERROR(__xludf.DUMMYFUNCTION("""COMPUTED_VALUE"""),"Atlanta")</f>
        <v>Atlanta</v>
      </c>
      <c r="C1072" s="149" t="str">
        <f>IFERROR(__xludf.DUMMYFUNCTION("""COMPUTED_VALUE"""),"GA")</f>
        <v>GA</v>
      </c>
      <c r="D1072" s="149" t="str">
        <f>IFERROR(__xludf.DUMMYFUNCTION("""COMPUTED_VALUE"""),"USA")</f>
        <v>USA</v>
      </c>
      <c r="E1072" s="156">
        <f>IFERROR(__xludf.DUMMYFUNCTION("""COMPUTED_VALUE"""),44145.0)</f>
        <v>44145</v>
      </c>
      <c r="F1072" s="129">
        <f>IFERROR(__xludf.DUMMYFUNCTION("""COMPUTED_VALUE"""),44161.0)</f>
        <v>44161</v>
      </c>
      <c r="G1072" s="154" t="str">
        <f>IFERROR(__xludf.DUMMYFUNCTION("""COMPUTED_VALUE"""),"Manage order page (normal text)")</f>
        <v>Manage order page (normal text)</v>
      </c>
      <c r="H1072" s="131">
        <f>IFERROR(__xludf.DUMMYFUNCTION("""COMPUTED_VALUE"""),850255.0)</f>
        <v>850255</v>
      </c>
      <c r="I1072" s="132"/>
      <c r="J1072" s="129">
        <f>IFERROR(__xludf.DUMMYFUNCTION("""COMPUTED_VALUE"""),44178.0)</f>
        <v>44178</v>
      </c>
      <c r="K1072" s="133">
        <f>IFERROR(__xludf.DUMMYFUNCTION("""COMPUTED_VALUE"""),16.0)</f>
        <v>16</v>
      </c>
      <c r="L1072" s="133">
        <f>IFERROR(__xludf.DUMMYFUNCTION("""COMPUTED_VALUE"""),17.0)</f>
        <v>17</v>
      </c>
      <c r="M1072" s="133">
        <f>IFERROR(__xludf.DUMMYFUNCTION("""COMPUTED_VALUE"""),33.0)</f>
        <v>33</v>
      </c>
      <c r="N1072" s="152" t="str">
        <f>IFERROR(__xludf.DUMMYFUNCTION("""COMPUTED_VALUE"""),"Model 3 LR AWD")</f>
        <v>Model 3 LR AWD</v>
      </c>
      <c r="O1072" s="152" t="str">
        <f>IFERROR(__xludf.DUMMYFUNCTION("""COMPUTED_VALUE"""),"Midnight Silver Metallic")</f>
        <v>Midnight Silver Metallic</v>
      </c>
      <c r="P1072" s="153" t="str">
        <f>IFERROR(__xludf.DUMMYFUNCTION("""COMPUTED_VALUE"""),"19 inch")</f>
        <v>19 inch</v>
      </c>
      <c r="Q1072" s="152" t="str">
        <f>IFERROR(__xludf.DUMMYFUNCTION("""COMPUTED_VALUE"""),"All Black")</f>
        <v>All Black</v>
      </c>
      <c r="R1072" s="150" t="str">
        <f>IFERROR(__xludf.DUMMYFUNCTION("""COMPUTED_VALUE"""),"Autopilot included")</f>
        <v>Autopilot included</v>
      </c>
      <c r="S1072" s="150"/>
      <c r="T1072" s="136" t="str">
        <f>IFERROR(__xludf.DUMMYFUNCTION("""COMPUTED_VALUE"""),"BMW X3")</f>
        <v>BMW X3</v>
      </c>
      <c r="U1072" s="136" t="str">
        <f>IFERROR(__xludf.DUMMYFUNCTION("""COMPUTED_VALUE"""),"Electric!")</f>
        <v>Electric!</v>
      </c>
      <c r="V1072" s="136" t="str">
        <f>IFERROR(__xludf.DUMMYFUNCTION("""COMPUTED_VALUE"""),"Apple CarPlay / Android Auto / SiriusXM Radio")</f>
        <v>Apple CarPlay / Android Auto / SiriusXM Radio</v>
      </c>
      <c r="W1072" s="136"/>
      <c r="X1072" s="137" t="str">
        <f>IFERROR(__xludf.DUMMYFUNCTION("""COMPUTED_VALUE"""),"Excellent")</f>
        <v>Excellent</v>
      </c>
      <c r="Y1072" s="138" t="str">
        <f>IFERROR(__xludf.DUMMYFUNCTION("""COMPUTED_VALUE"""),"Excellent")</f>
        <v>Excellent</v>
      </c>
      <c r="Z1072" s="138" t="str">
        <f>IFERROR(__xludf.DUMMYFUNCTION("""COMPUTED_VALUE"""),"Excellent")</f>
        <v>Excellent</v>
      </c>
      <c r="AA1072" s="138" t="str">
        <f>IFERROR(__xludf.DUMMYFUNCTION("""COMPUTED_VALUE"""),"Very Good")</f>
        <v>Very Good</v>
      </c>
      <c r="AB1072" s="138" t="str">
        <f>IFERROR(__xludf.DUMMYFUNCTION("""COMPUTED_VALUE"""),"Excellent")</f>
        <v>Excellent</v>
      </c>
      <c r="AC1072" s="139">
        <f>IFERROR(__xludf.DUMMYFUNCTION("""COMPUTED_VALUE"""),0.0)</f>
        <v>0</v>
      </c>
      <c r="AD1072" s="139"/>
      <c r="AE1072" s="139"/>
      <c r="AF1072" s="140" t="str">
        <f>IFERROR(__xludf.DUMMYFUNCTION("""COMPUTED_VALUE"""),"No. I took delivery of the first car Tesla was able to deliver.")</f>
        <v>No. I took delivery of the first car Tesla was able to deliver.</v>
      </c>
      <c r="AG1072" s="136" t="str">
        <f>IFERROR(__xludf.DUMMYFUNCTION("""COMPUTED_VALUE"""),"Delivery ETA: 12/8-12/14")</f>
        <v>Delivery ETA: 12/8-12/14</v>
      </c>
      <c r="AH1072" s="157">
        <f>IFERROR(__xludf.DUMMYFUNCTION("""COMPUTED_VALUE"""),44181.91591520833)</f>
        <v>44181.91592</v>
      </c>
      <c r="AI1072" s="138"/>
      <c r="AJ1072" s="138"/>
      <c r="AK1072" s="138"/>
      <c r="AL1072" s="142"/>
    </row>
    <row r="1073" ht="20.25" customHeight="1">
      <c r="A1073" s="155" t="str">
        <f>IFERROR(__xludf.DUMMYFUNCTION("""COMPUTED_VALUE"""),"Mike S")</f>
        <v>Mike S</v>
      </c>
      <c r="B1073" s="149"/>
      <c r="C1073" s="149" t="str">
        <f>IFERROR(__xludf.DUMMYFUNCTION("""COMPUTED_VALUE"""),"MD")</f>
        <v>MD</v>
      </c>
      <c r="D1073" s="149" t="str">
        <f>IFERROR(__xludf.DUMMYFUNCTION("""COMPUTED_VALUE"""),"USA")</f>
        <v>USA</v>
      </c>
      <c r="E1073" s="156">
        <f>IFERROR(__xludf.DUMMYFUNCTION("""COMPUTED_VALUE"""),44145.0)</f>
        <v>44145</v>
      </c>
      <c r="F1073" s="129">
        <f>IFERROR(__xludf.DUMMYFUNCTION("""COMPUTED_VALUE"""),44167.0)</f>
        <v>44167</v>
      </c>
      <c r="G1073" s="154" t="str">
        <f>IFERROR(__xludf.DUMMYFUNCTION("""COMPUTED_VALUE"""),"Manage order page (normal text)")</f>
        <v>Manage order page (normal text)</v>
      </c>
      <c r="H1073" s="131"/>
      <c r="I1073" s="132" t="str">
        <f>IFERROR(__xludf.DUMMYFUNCTION("""COMPUTED_VALUE"""),"11/20")</f>
        <v>11/20</v>
      </c>
      <c r="J1073" s="129">
        <f>IFERROR(__xludf.DUMMYFUNCTION("""COMPUTED_VALUE"""),44177.0)</f>
        <v>44177</v>
      </c>
      <c r="K1073" s="133">
        <f>IFERROR(__xludf.DUMMYFUNCTION("""COMPUTED_VALUE"""),22.0)</f>
        <v>22</v>
      </c>
      <c r="L1073" s="133">
        <f>IFERROR(__xludf.DUMMYFUNCTION("""COMPUTED_VALUE"""),10.0)</f>
        <v>10</v>
      </c>
      <c r="M1073" s="133">
        <f>IFERROR(__xludf.DUMMYFUNCTION("""COMPUTED_VALUE"""),32.0)</f>
        <v>32</v>
      </c>
      <c r="N1073" s="152" t="str">
        <f>IFERROR(__xludf.DUMMYFUNCTION("""COMPUTED_VALUE"""),"Model 3 SR+")</f>
        <v>Model 3 SR+</v>
      </c>
      <c r="O1073" s="152" t="str">
        <f>IFERROR(__xludf.DUMMYFUNCTION("""COMPUTED_VALUE"""),"Deep Blue Metallic")</f>
        <v>Deep Blue Metallic</v>
      </c>
      <c r="P1073" s="153" t="str">
        <f>IFERROR(__xludf.DUMMYFUNCTION("""COMPUTED_VALUE"""),"18 inch")</f>
        <v>18 inch</v>
      </c>
      <c r="Q1073" s="152" t="str">
        <f>IFERROR(__xludf.DUMMYFUNCTION("""COMPUTED_VALUE"""),"All Black")</f>
        <v>All Black</v>
      </c>
      <c r="R1073" s="150"/>
      <c r="S1073" s="150"/>
      <c r="T1073" s="136"/>
      <c r="U1073" s="136" t="str">
        <f>IFERROR(__xludf.DUMMYFUNCTION("""COMPUTED_VALUE"""),"Silent but fast")</f>
        <v>Silent but fast</v>
      </c>
      <c r="V1073" s="145" t="str">
        <f>IFERROR(__xludf.DUMMYFUNCTION("""COMPUTED_VALUE"""),"Apple CarPlay / Android Auto / SiriusXM Radio")</f>
        <v>Apple CarPlay / Android Auto / SiriusXM Radio</v>
      </c>
      <c r="W1073" s="136"/>
      <c r="X1073" s="137" t="str">
        <f>IFERROR(__xludf.DUMMYFUNCTION("""COMPUTED_VALUE"""),"Very Good")</f>
        <v>Very Good</v>
      </c>
      <c r="Y1073" s="138" t="str">
        <f>IFERROR(__xludf.DUMMYFUNCTION("""COMPUTED_VALUE"""),"Very Good")</f>
        <v>Very Good</v>
      </c>
      <c r="Z1073" s="138" t="str">
        <f>IFERROR(__xludf.DUMMYFUNCTION("""COMPUTED_VALUE"""),"Very Good")</f>
        <v>Very Good</v>
      </c>
      <c r="AA1073" s="138" t="str">
        <f>IFERROR(__xludf.DUMMYFUNCTION("""COMPUTED_VALUE"""),"Very Good")</f>
        <v>Very Good</v>
      </c>
      <c r="AB1073" s="138" t="str">
        <f>IFERROR(__xludf.DUMMYFUNCTION("""COMPUTED_VALUE"""),"Very Good")</f>
        <v>Very Good</v>
      </c>
      <c r="AC1073" s="139"/>
      <c r="AD1073" s="139"/>
      <c r="AE1073" s="139"/>
      <c r="AF1073" s="140" t="str">
        <f>IFERROR(__xludf.DUMMYFUNCTION("""COMPUTED_VALUE"""),"No. I took delivery of the first car Tesla was able to deliver.")</f>
        <v>No. I took delivery of the first car Tesla was able to deliver.</v>
      </c>
      <c r="AG1073" s="136"/>
      <c r="AH1073" s="157">
        <f>IFERROR(__xludf.DUMMYFUNCTION("""COMPUTED_VALUE"""),44180.3366781713)</f>
        <v>44180.33668</v>
      </c>
      <c r="AI1073" s="138"/>
      <c r="AJ1073" s="138"/>
      <c r="AK1073" s="138"/>
      <c r="AL1073" s="142"/>
    </row>
    <row r="1074" ht="20.25" customHeight="1">
      <c r="A1074" s="155" t="str">
        <f>IFERROR(__xludf.DUMMYFUNCTION("""COMPUTED_VALUE"""),"Tratix")</f>
        <v>Tratix</v>
      </c>
      <c r="B1074" s="149" t="str">
        <f>IFERROR(__xludf.DUMMYFUNCTION("""COMPUTED_VALUE"""),"Roselle")</f>
        <v>Roselle</v>
      </c>
      <c r="C1074" s="149" t="str">
        <f>IFERROR(__xludf.DUMMYFUNCTION("""COMPUTED_VALUE"""),"NJ")</f>
        <v>NJ</v>
      </c>
      <c r="D1074" s="149" t="str">
        <f>IFERROR(__xludf.DUMMYFUNCTION("""COMPUTED_VALUE"""),"USA")</f>
        <v>USA</v>
      </c>
      <c r="E1074" s="156">
        <f>IFERROR(__xludf.DUMMYFUNCTION("""COMPUTED_VALUE"""),44145.0)</f>
        <v>44145</v>
      </c>
      <c r="F1074" s="129">
        <f>IFERROR(__xludf.DUMMYFUNCTION("""COMPUTED_VALUE"""),44173.0)</f>
        <v>44173</v>
      </c>
      <c r="G1074" s="154" t="str">
        <f>IFERROR(__xludf.DUMMYFUNCTION("""COMPUTED_VALUE"""),"Manage order page (normal text)")</f>
        <v>Manage order page (normal text)</v>
      </c>
      <c r="H1074" s="131">
        <f>IFERROR(__xludf.DUMMYFUNCTION("""COMPUTED_VALUE"""),852104.0)</f>
        <v>852104</v>
      </c>
      <c r="I1074" s="144" t="str">
        <f>IFERROR(__xludf.DUMMYFUNCTION("""COMPUTED_VALUE"""),"12/20")</f>
        <v>12/20</v>
      </c>
      <c r="J1074" s="129">
        <f>IFERROR(__xludf.DUMMYFUNCTION("""COMPUTED_VALUE"""),44186.0)</f>
        <v>44186</v>
      </c>
      <c r="K1074" s="133">
        <f>IFERROR(__xludf.DUMMYFUNCTION("""COMPUTED_VALUE"""),28.0)</f>
        <v>28</v>
      </c>
      <c r="L1074" s="133">
        <f>IFERROR(__xludf.DUMMYFUNCTION("""COMPUTED_VALUE"""),13.0)</f>
        <v>13</v>
      </c>
      <c r="M1074" s="133">
        <f>IFERROR(__xludf.DUMMYFUNCTION("""COMPUTED_VALUE"""),41.0)</f>
        <v>41</v>
      </c>
      <c r="N1074" s="152" t="str">
        <f>IFERROR(__xludf.DUMMYFUNCTION("""COMPUTED_VALUE"""),"Model 3 SR+")</f>
        <v>Model 3 SR+</v>
      </c>
      <c r="O1074" s="152" t="str">
        <f>IFERROR(__xludf.DUMMYFUNCTION("""COMPUTED_VALUE"""),"Pearl White Multi-Coat")</f>
        <v>Pearl White Multi-Coat</v>
      </c>
      <c r="P1074" s="153" t="str">
        <f>IFERROR(__xludf.DUMMYFUNCTION("""COMPUTED_VALUE"""),"18 inch")</f>
        <v>18 inch</v>
      </c>
      <c r="Q1074" s="152" t="str">
        <f>IFERROR(__xludf.DUMMYFUNCTION("""COMPUTED_VALUE"""),"All Black")</f>
        <v>All Black</v>
      </c>
      <c r="R1074" s="149" t="str">
        <f>IFERROR(__xludf.DUMMYFUNCTION("""COMPUTED_VALUE"""),"Autopilot included")</f>
        <v>Autopilot included</v>
      </c>
      <c r="S1074" s="149" t="str">
        <f>IFERROR(__xludf.DUMMYFUNCTION("""COMPUTED_VALUE"""),"Loan")</f>
        <v>Loan</v>
      </c>
      <c r="T1074" s="145" t="str">
        <f>IFERROR(__xludf.DUMMYFUNCTION("""COMPUTED_VALUE"""),"Chrysler Cirrus")</f>
        <v>Chrysler Cirrus</v>
      </c>
      <c r="U1074" s="145" t="str">
        <f>IFERROR(__xludf.DUMMYFUNCTION("""COMPUTED_VALUE"""),"As an investor, everything")</f>
        <v>As an investor, everything</v>
      </c>
      <c r="V1074" s="145" t="str">
        <f>IFERROR(__xludf.DUMMYFUNCTION("""COMPUTED_VALUE"""),"Head-up display")</f>
        <v>Head-up display</v>
      </c>
      <c r="W1074" s="145"/>
      <c r="X1074" s="137" t="str">
        <f>IFERROR(__xludf.DUMMYFUNCTION("""COMPUTED_VALUE"""),"Excellent")</f>
        <v>Excellent</v>
      </c>
      <c r="Y1074" s="138" t="str">
        <f>IFERROR(__xludf.DUMMYFUNCTION("""COMPUTED_VALUE"""),"Excellent")</f>
        <v>Excellent</v>
      </c>
      <c r="Z1074" s="138" t="str">
        <f>IFERROR(__xludf.DUMMYFUNCTION("""COMPUTED_VALUE"""),"Excellent")</f>
        <v>Excellent</v>
      </c>
      <c r="AA1074" s="138" t="str">
        <f>IFERROR(__xludf.DUMMYFUNCTION("""COMPUTED_VALUE"""),"Poor")</f>
        <v>Poor</v>
      </c>
      <c r="AB1074" s="138" t="str">
        <f>IFERROR(__xludf.DUMMYFUNCTION("""COMPUTED_VALUE"""),"Very Good")</f>
        <v>Very Good</v>
      </c>
      <c r="AC1074" s="139">
        <f>IFERROR(__xludf.DUMMYFUNCTION("""COMPUTED_VALUE"""),0.0)</f>
        <v>0</v>
      </c>
      <c r="AD1074" s="139"/>
      <c r="AE1074" s="139"/>
      <c r="AF1074" s="140" t="str">
        <f>IFERROR(__xludf.DUMMYFUNCTION("""COMPUTED_VALUE"""),"No. I took delivery of the first car Tesla was able to deliver.")</f>
        <v>No. I took delivery of the first car Tesla was able to deliver.</v>
      </c>
      <c r="AG1074" s="145" t="str">
        <f>IFERROR(__xludf.DUMMYFUNCTION("""COMPUTED_VALUE"""),"ETA Updated to Dec 17th - Dec 23rd")</f>
        <v>ETA Updated to Dec 17th - Dec 23rd</v>
      </c>
      <c r="AH1074" s="157">
        <f>IFERROR(__xludf.DUMMYFUNCTION("""COMPUTED_VALUE"""),44195.77867533565)</f>
        <v>44195.77868</v>
      </c>
      <c r="AI1074" s="138"/>
      <c r="AJ1074" s="138"/>
      <c r="AK1074" s="138"/>
      <c r="AL1074" s="142"/>
    </row>
    <row r="1075" ht="20.25" customHeight="1">
      <c r="A1075" s="155" t="str">
        <f>IFERROR(__xludf.DUMMYFUNCTION("""COMPUTED_VALUE"""),"ebjordan")</f>
        <v>ebjordan</v>
      </c>
      <c r="B1075" s="149" t="str">
        <f>IFERROR(__xludf.DUMMYFUNCTION("""COMPUTED_VALUE"""),"Charlotte")</f>
        <v>Charlotte</v>
      </c>
      <c r="C1075" s="149" t="str">
        <f>IFERROR(__xludf.DUMMYFUNCTION("""COMPUTED_VALUE"""),"NC")</f>
        <v>NC</v>
      </c>
      <c r="D1075" s="149" t="str">
        <f>IFERROR(__xludf.DUMMYFUNCTION("""COMPUTED_VALUE"""),"USA")</f>
        <v>USA</v>
      </c>
      <c r="E1075" s="156">
        <f>IFERROR(__xludf.DUMMYFUNCTION("""COMPUTED_VALUE"""),44142.0)</f>
        <v>44142</v>
      </c>
      <c r="F1075" s="129">
        <f>IFERROR(__xludf.DUMMYFUNCTION("""COMPUTED_VALUE"""),44171.0)</f>
        <v>44171</v>
      </c>
      <c r="G1075" s="154" t="str">
        <f>IFERROR(__xludf.DUMMYFUNCTION("""COMPUTED_VALUE"""),"Manage order page (normal text)")</f>
        <v>Manage order page (normal text)</v>
      </c>
      <c r="H1075" s="131"/>
      <c r="I1075" s="144"/>
      <c r="J1075" s="129">
        <f>IFERROR(__xludf.DUMMYFUNCTION("""COMPUTED_VALUE"""),44186.0)</f>
        <v>44186</v>
      </c>
      <c r="K1075" s="133">
        <f>IFERROR(__xludf.DUMMYFUNCTION("""COMPUTED_VALUE"""),29.0)</f>
        <v>29</v>
      </c>
      <c r="L1075" s="133">
        <f>IFERROR(__xludf.DUMMYFUNCTION("""COMPUTED_VALUE"""),15.0)</f>
        <v>15</v>
      </c>
      <c r="M1075" s="133">
        <f>IFERROR(__xludf.DUMMYFUNCTION("""COMPUTED_VALUE"""),44.0)</f>
        <v>44</v>
      </c>
      <c r="N1075" s="152" t="str">
        <f>IFERROR(__xludf.DUMMYFUNCTION("""COMPUTED_VALUE"""),"Model 3 SR+")</f>
        <v>Model 3 SR+</v>
      </c>
      <c r="O1075" s="152" t="str">
        <f>IFERROR(__xludf.DUMMYFUNCTION("""COMPUTED_VALUE"""),"Solid Black")</f>
        <v>Solid Black</v>
      </c>
      <c r="P1075" s="153" t="str">
        <f>IFERROR(__xludf.DUMMYFUNCTION("""COMPUTED_VALUE"""),"18 inch")</f>
        <v>18 inch</v>
      </c>
      <c r="Q1075" s="152" t="str">
        <f>IFERROR(__xludf.DUMMYFUNCTION("""COMPUTED_VALUE"""),"All Black")</f>
        <v>All Black</v>
      </c>
      <c r="R1075" s="149" t="str">
        <f>IFERROR(__xludf.DUMMYFUNCTION("""COMPUTED_VALUE"""),"Autopilot included")</f>
        <v>Autopilot included</v>
      </c>
      <c r="S1075" s="149" t="str">
        <f>IFERROR(__xludf.DUMMYFUNCTION("""COMPUTED_VALUE"""),"Loan")</f>
        <v>Loan</v>
      </c>
      <c r="T1075" s="145" t="str">
        <f>IFERROR(__xludf.DUMMYFUNCTION("""COMPUTED_VALUE"""),"Audi A4")</f>
        <v>Audi A4</v>
      </c>
      <c r="U1075" s="145" t="str">
        <f>IFERROR(__xludf.DUMMYFUNCTION("""COMPUTED_VALUE"""),"Electric!")</f>
        <v>Electric!</v>
      </c>
      <c r="V1075" s="145"/>
      <c r="W1075" s="145"/>
      <c r="X1075" s="137" t="str">
        <f>IFERROR(__xludf.DUMMYFUNCTION("""COMPUTED_VALUE"""),"Excellent")</f>
        <v>Excellent</v>
      </c>
      <c r="Y1075" s="138" t="str">
        <f>IFERROR(__xludf.DUMMYFUNCTION("""COMPUTED_VALUE"""),"Excellent")</f>
        <v>Excellent</v>
      </c>
      <c r="Z1075" s="138" t="str">
        <f>IFERROR(__xludf.DUMMYFUNCTION("""COMPUTED_VALUE"""),"Very Good")</f>
        <v>Very Good</v>
      </c>
      <c r="AA1075" s="138" t="str">
        <f>IFERROR(__xludf.DUMMYFUNCTION("""COMPUTED_VALUE"""),"Good")</f>
        <v>Good</v>
      </c>
      <c r="AB1075" s="138" t="str">
        <f>IFERROR(__xludf.DUMMYFUNCTION("""COMPUTED_VALUE"""),"Good")</f>
        <v>Good</v>
      </c>
      <c r="AC1075" s="139">
        <f>IFERROR(__xludf.DUMMYFUNCTION("""COMPUTED_VALUE"""),2.0)</f>
        <v>2</v>
      </c>
      <c r="AD1075" s="139"/>
      <c r="AE1075" s="139"/>
      <c r="AF1075" s="140" t="str">
        <f>IFERROR(__xludf.DUMMYFUNCTION("""COMPUTED_VALUE"""),"No. I took delivery of the first car Tesla was able to deliver.")</f>
        <v>No. I took delivery of the first car Tesla was able to deliver.</v>
      </c>
      <c r="AG1075" s="145"/>
      <c r="AH1075" s="157">
        <f>IFERROR(__xludf.DUMMYFUNCTION("""COMPUTED_VALUE"""),44186.47510668982)</f>
        <v>44186.47511</v>
      </c>
      <c r="AI1075" s="138"/>
      <c r="AJ1075" s="138"/>
      <c r="AK1075" s="138"/>
      <c r="AL1075" s="142"/>
    </row>
    <row r="1076" ht="20.25" customHeight="1">
      <c r="A1076" s="155" t="str">
        <f>IFERROR(__xludf.DUMMYFUNCTION("""COMPUTED_VALUE"""),"JustinK")</f>
        <v>JustinK</v>
      </c>
      <c r="B1076" s="149" t="str">
        <f>IFERROR(__xludf.DUMMYFUNCTION("""COMPUTED_VALUE"""),"Nashville")</f>
        <v>Nashville</v>
      </c>
      <c r="C1076" s="149" t="str">
        <f>IFERROR(__xludf.DUMMYFUNCTION("""COMPUTED_VALUE"""),"TN")</f>
        <v>TN</v>
      </c>
      <c r="D1076" s="149" t="str">
        <f>IFERROR(__xludf.DUMMYFUNCTION("""COMPUTED_VALUE"""),"USA")</f>
        <v>USA</v>
      </c>
      <c r="E1076" s="156">
        <f>IFERROR(__xludf.DUMMYFUNCTION("""COMPUTED_VALUE"""),44142.0)</f>
        <v>44142</v>
      </c>
      <c r="F1076" s="129">
        <f>IFERROR(__xludf.DUMMYFUNCTION("""COMPUTED_VALUE"""),44162.0)</f>
        <v>44162</v>
      </c>
      <c r="G1076" s="154" t="str">
        <f>IFERROR(__xludf.DUMMYFUNCTION("""COMPUTED_VALUE"""),"Manage order page (normal text)")</f>
        <v>Manage order page (normal text)</v>
      </c>
      <c r="H1076" s="131">
        <f>IFERROR(__xludf.DUMMYFUNCTION("""COMPUTED_VALUE"""),859658.0)</f>
        <v>859658</v>
      </c>
      <c r="I1076" s="144" t="str">
        <f>IFERROR(__xludf.DUMMYFUNCTION("""COMPUTED_VALUE"""),"12/20")</f>
        <v>12/20</v>
      </c>
      <c r="J1076" s="129">
        <f>IFERROR(__xludf.DUMMYFUNCTION("""COMPUTED_VALUE"""),44188.0)</f>
        <v>44188</v>
      </c>
      <c r="K1076" s="133">
        <f>IFERROR(__xludf.DUMMYFUNCTION("""COMPUTED_VALUE"""),20.0)</f>
        <v>20</v>
      </c>
      <c r="L1076" s="133">
        <f>IFERROR(__xludf.DUMMYFUNCTION("""COMPUTED_VALUE"""),26.0)</f>
        <v>26</v>
      </c>
      <c r="M1076" s="133">
        <f>IFERROR(__xludf.DUMMYFUNCTION("""COMPUTED_VALUE"""),46.0)</f>
        <v>46</v>
      </c>
      <c r="N1076" s="152" t="str">
        <f>IFERROR(__xludf.DUMMYFUNCTION("""COMPUTED_VALUE"""),"Model 3 LR AWD")</f>
        <v>Model 3 LR AWD</v>
      </c>
      <c r="O1076" s="152" t="str">
        <f>IFERROR(__xludf.DUMMYFUNCTION("""COMPUTED_VALUE"""),"Red Multi-Coat")</f>
        <v>Red Multi-Coat</v>
      </c>
      <c r="P1076" s="153" t="str">
        <f>IFERROR(__xludf.DUMMYFUNCTION("""COMPUTED_VALUE"""),"19 inch")</f>
        <v>19 inch</v>
      </c>
      <c r="Q1076" s="152" t="str">
        <f>IFERROR(__xludf.DUMMYFUNCTION("""COMPUTED_VALUE"""),"All Black")</f>
        <v>All Black</v>
      </c>
      <c r="R1076" s="149" t="str">
        <f>IFERROR(__xludf.DUMMYFUNCTION("""COMPUTED_VALUE"""),"Autopilot included")</f>
        <v>Autopilot included</v>
      </c>
      <c r="S1076" s="149" t="str">
        <f>IFERROR(__xludf.DUMMYFUNCTION("""COMPUTED_VALUE"""),"Loan")</f>
        <v>Loan</v>
      </c>
      <c r="T1076" s="145" t="str">
        <f>IFERROR(__xludf.DUMMYFUNCTION("""COMPUTED_VALUE"""),"Mini Cooper")</f>
        <v>Mini Cooper</v>
      </c>
      <c r="U1076" s="145" t="str">
        <f>IFERROR(__xludf.DUMMYFUNCTION("""COMPUTED_VALUE"""),"Electric!")</f>
        <v>Electric!</v>
      </c>
      <c r="V1076" s="145" t="str">
        <f>IFERROR(__xludf.DUMMYFUNCTION("""COMPUTED_VALUE"""),"Heated steering wheel")</f>
        <v>Heated steering wheel</v>
      </c>
      <c r="W1076" s="136"/>
      <c r="X1076" s="137" t="str">
        <f>IFERROR(__xludf.DUMMYFUNCTION("""COMPUTED_VALUE"""),"Excellent")</f>
        <v>Excellent</v>
      </c>
      <c r="Y1076" s="138" t="str">
        <f>IFERROR(__xludf.DUMMYFUNCTION("""COMPUTED_VALUE"""),"Excellent")</f>
        <v>Excellent</v>
      </c>
      <c r="Z1076" s="138" t="str">
        <f>IFERROR(__xludf.DUMMYFUNCTION("""COMPUTED_VALUE"""),"Excellent")</f>
        <v>Excellent</v>
      </c>
      <c r="AA1076" s="138" t="str">
        <f>IFERROR(__xludf.DUMMYFUNCTION("""COMPUTED_VALUE"""),"Good")</f>
        <v>Good</v>
      </c>
      <c r="AB1076" s="138" t="str">
        <f>IFERROR(__xludf.DUMMYFUNCTION("""COMPUTED_VALUE"""),"Excellent")</f>
        <v>Excellent</v>
      </c>
      <c r="AC1076" s="139">
        <f>IFERROR(__xludf.DUMMYFUNCTION("""COMPUTED_VALUE"""),0.0)</f>
        <v>0</v>
      </c>
      <c r="AD1076" s="139">
        <f>IFERROR(__xludf.DUMMYFUNCTION("""COMPUTED_VALUE"""),0.0)</f>
        <v>0</v>
      </c>
      <c r="AE1076" s="139">
        <f>IFERROR(__xludf.DUMMYFUNCTION("""COMPUTED_VALUE"""),0.0)</f>
        <v>0</v>
      </c>
      <c r="AF1076" s="140" t="str">
        <f>IFERROR(__xludf.DUMMYFUNCTION("""COMPUTED_VALUE"""),"No. I took delivery of the first car Tesla was able to deliver.")</f>
        <v>No. I took delivery of the first car Tesla was able to deliver.</v>
      </c>
      <c r="AG1076" s="136" t="str">
        <f>IFERROR(__xludf.DUMMYFUNCTION("""COMPUTED_VALUE"""),"I was originally scheduled for delivery on Dec 13th, but was informed my car was damaged in transit so they are replacing the affected body panels and rescheduled my delivery for 10 days later on Dec 23rd")</f>
        <v>I was originally scheduled for delivery on Dec 13th, but was informed my car was damaged in transit so they are replacing the affected body panels and rescheduled my delivery for 10 days later on Dec 23rd</v>
      </c>
      <c r="AH1076" s="157">
        <f>IFERROR(__xludf.DUMMYFUNCTION("""COMPUTED_VALUE"""),44193.685301203695)</f>
        <v>44193.6853</v>
      </c>
      <c r="AI1076" s="138"/>
      <c r="AJ1076" s="138"/>
      <c r="AK1076" s="138"/>
      <c r="AL1076" s="142"/>
    </row>
    <row r="1077" ht="20.25" customHeight="1">
      <c r="A1077" s="155" t="str">
        <f>IFERROR(__xludf.DUMMYFUNCTION("""COMPUTED_VALUE"""),"infiniteloop")</f>
        <v>infiniteloop</v>
      </c>
      <c r="B1077" s="149" t="str">
        <f>IFERROR(__xludf.DUMMYFUNCTION("""COMPUTED_VALUE"""),"Dallas")</f>
        <v>Dallas</v>
      </c>
      <c r="C1077" s="149" t="str">
        <f>IFERROR(__xludf.DUMMYFUNCTION("""COMPUTED_VALUE"""),"TX")</f>
        <v>TX</v>
      </c>
      <c r="D1077" s="149" t="str">
        <f>IFERROR(__xludf.DUMMYFUNCTION("""COMPUTED_VALUE"""),"USA")</f>
        <v>USA</v>
      </c>
      <c r="E1077" s="156">
        <f>IFERROR(__xludf.DUMMYFUNCTION("""COMPUTED_VALUE"""),44140.0)</f>
        <v>44140</v>
      </c>
      <c r="F1077" s="129">
        <f>IFERROR(__xludf.DUMMYFUNCTION("""COMPUTED_VALUE"""),44172.0)</f>
        <v>44172</v>
      </c>
      <c r="G1077" s="154" t="str">
        <f>IFERROR(__xludf.DUMMYFUNCTION("""COMPUTED_VALUE"""),"Email")</f>
        <v>Email</v>
      </c>
      <c r="H1077" s="131">
        <f>IFERROR(__xludf.DUMMYFUNCTION("""COMPUTED_VALUE"""),858655.0)</f>
        <v>858655</v>
      </c>
      <c r="I1077" s="132" t="str">
        <f>IFERROR(__xludf.DUMMYFUNCTION("""COMPUTED_VALUE"""),"11/20")</f>
        <v>11/20</v>
      </c>
      <c r="J1077" s="129">
        <f>IFERROR(__xludf.DUMMYFUNCTION("""COMPUTED_VALUE"""),44187.0)</f>
        <v>44187</v>
      </c>
      <c r="K1077" s="133">
        <f>IFERROR(__xludf.DUMMYFUNCTION("""COMPUTED_VALUE"""),32.0)</f>
        <v>32</v>
      </c>
      <c r="L1077" s="133">
        <f>IFERROR(__xludf.DUMMYFUNCTION("""COMPUTED_VALUE"""),15.0)</f>
        <v>15</v>
      </c>
      <c r="M1077" s="133">
        <f>IFERROR(__xludf.DUMMYFUNCTION("""COMPUTED_VALUE"""),47.0)</f>
        <v>47</v>
      </c>
      <c r="N1077" s="152" t="str">
        <f>IFERROR(__xludf.DUMMYFUNCTION("""COMPUTED_VALUE"""),"Model 3 LR AWD")</f>
        <v>Model 3 LR AWD</v>
      </c>
      <c r="O1077" s="152" t="str">
        <f>IFERROR(__xludf.DUMMYFUNCTION("""COMPUTED_VALUE"""),"Pearl White Multi-Coat")</f>
        <v>Pearl White Multi-Coat</v>
      </c>
      <c r="P1077" s="153" t="str">
        <f>IFERROR(__xludf.DUMMYFUNCTION("""COMPUTED_VALUE"""),"18 inch")</f>
        <v>18 inch</v>
      </c>
      <c r="Q1077" s="152" t="str">
        <f>IFERROR(__xludf.DUMMYFUNCTION("""COMPUTED_VALUE"""),"Black and White")</f>
        <v>Black and White</v>
      </c>
      <c r="R1077" s="150" t="str">
        <f>IFERROR(__xludf.DUMMYFUNCTION("""COMPUTED_VALUE"""),"Autopilot included")</f>
        <v>Autopilot included</v>
      </c>
      <c r="S1077" s="150" t="str">
        <f>IFERROR(__xludf.DUMMYFUNCTION("""COMPUTED_VALUE"""),"Loan")</f>
        <v>Loan</v>
      </c>
      <c r="T1077" s="136"/>
      <c r="U1077" s="136"/>
      <c r="V1077" s="136"/>
      <c r="W1077" s="136"/>
      <c r="X1077" s="137" t="str">
        <f>IFERROR(__xludf.DUMMYFUNCTION("""COMPUTED_VALUE"""),"Excellent")</f>
        <v>Excellent</v>
      </c>
      <c r="Y1077" s="138" t="str">
        <f>IFERROR(__xludf.DUMMYFUNCTION("""COMPUTED_VALUE"""),"Excellent")</f>
        <v>Excellent</v>
      </c>
      <c r="Z1077" s="138" t="str">
        <f>IFERROR(__xludf.DUMMYFUNCTION("""COMPUTED_VALUE"""),"Excellent")</f>
        <v>Excellent</v>
      </c>
      <c r="AA1077" s="138" t="str">
        <f>IFERROR(__xludf.DUMMYFUNCTION("""COMPUTED_VALUE"""),"Excellent")</f>
        <v>Excellent</v>
      </c>
      <c r="AB1077" s="138" t="str">
        <f>IFERROR(__xludf.DUMMYFUNCTION("""COMPUTED_VALUE"""),"Excellent")</f>
        <v>Excellent</v>
      </c>
      <c r="AC1077" s="139"/>
      <c r="AD1077" s="139"/>
      <c r="AE1077" s="139"/>
      <c r="AF1077" s="140" t="str">
        <f>IFERROR(__xludf.DUMMYFUNCTION("""COMPUTED_VALUE"""),"No. I took delivery of the first car Tesla was able to deliver.")</f>
        <v>No. I took delivery of the first car Tesla was able to deliver.</v>
      </c>
      <c r="AG1077" s="136"/>
      <c r="AH1077" s="157">
        <f>IFERROR(__xludf.DUMMYFUNCTION("""COMPUTED_VALUE"""),44188.486176597224)</f>
        <v>44188.48618</v>
      </c>
      <c r="AI1077" s="138"/>
      <c r="AJ1077" s="138"/>
      <c r="AK1077" s="138"/>
      <c r="AL1077" s="142"/>
    </row>
    <row r="1078" ht="20.25" customHeight="1">
      <c r="A1078" s="155" t="str">
        <f>IFERROR(__xludf.DUMMYFUNCTION("""COMPUTED_VALUE"""),"Skatebambi")</f>
        <v>Skatebambi</v>
      </c>
      <c r="B1078" s="149" t="str">
        <f>IFERROR(__xludf.DUMMYFUNCTION("""COMPUTED_VALUE"""),"Helsingborg")</f>
        <v>Helsingborg</v>
      </c>
      <c r="C1078" s="149"/>
      <c r="D1078" s="149" t="str">
        <f>IFERROR(__xludf.DUMMYFUNCTION("""COMPUTED_VALUE"""),"Sweden")</f>
        <v>Sweden</v>
      </c>
      <c r="E1078" s="156">
        <f>IFERROR(__xludf.DUMMYFUNCTION("""COMPUTED_VALUE"""),44140.0)</f>
        <v>44140</v>
      </c>
      <c r="F1078" s="129">
        <f>IFERROR(__xludf.DUMMYFUNCTION("""COMPUTED_VALUE"""),44151.0)</f>
        <v>44151</v>
      </c>
      <c r="G1078" s="154" t="str">
        <f>IFERROR(__xludf.DUMMYFUNCTION("""COMPUTED_VALUE"""),"Email")</f>
        <v>Email</v>
      </c>
      <c r="H1078" s="131">
        <f>IFERROR(__xludf.DUMMYFUNCTION("""COMPUTED_VALUE"""),833655.0)</f>
        <v>833655</v>
      </c>
      <c r="I1078" s="132"/>
      <c r="J1078" s="129">
        <f>IFERROR(__xludf.DUMMYFUNCTION("""COMPUTED_VALUE"""),44172.0)</f>
        <v>44172</v>
      </c>
      <c r="K1078" s="133">
        <f>IFERROR(__xludf.DUMMYFUNCTION("""COMPUTED_VALUE"""),11.0)</f>
        <v>11</v>
      </c>
      <c r="L1078" s="133">
        <f>IFERROR(__xludf.DUMMYFUNCTION("""COMPUTED_VALUE"""),21.0)</f>
        <v>21</v>
      </c>
      <c r="M1078" s="133">
        <f>IFERROR(__xludf.DUMMYFUNCTION("""COMPUTED_VALUE"""),32.0)</f>
        <v>32</v>
      </c>
      <c r="N1078" s="152" t="str">
        <f>IFERROR(__xludf.DUMMYFUNCTION("""COMPUTED_VALUE"""),"Model 3 LR AWD")</f>
        <v>Model 3 LR AWD</v>
      </c>
      <c r="O1078" s="152" t="str">
        <f>IFERROR(__xludf.DUMMYFUNCTION("""COMPUTED_VALUE"""),"Midnight Silver Metallic")</f>
        <v>Midnight Silver Metallic</v>
      </c>
      <c r="P1078" s="153" t="str">
        <f>IFERROR(__xludf.DUMMYFUNCTION("""COMPUTED_VALUE"""),"18 inch")</f>
        <v>18 inch</v>
      </c>
      <c r="Q1078" s="152" t="str">
        <f>IFERROR(__xludf.DUMMYFUNCTION("""COMPUTED_VALUE"""),"All Black")</f>
        <v>All Black</v>
      </c>
      <c r="R1078" s="150" t="str">
        <f>IFERROR(__xludf.DUMMYFUNCTION("""COMPUTED_VALUE"""),"Autopilot included")</f>
        <v>Autopilot included</v>
      </c>
      <c r="S1078" s="150" t="str">
        <f>IFERROR(__xludf.DUMMYFUNCTION("""COMPUTED_VALUE"""),"Loan")</f>
        <v>Loan</v>
      </c>
      <c r="T1078" s="145" t="str">
        <f>IFERROR(__xludf.DUMMYFUNCTION("""COMPUTED_VALUE"""),"Mini Cooper S 2015")</f>
        <v>Mini Cooper S 2015</v>
      </c>
      <c r="U1078" s="145" t="str">
        <f>IFERROR(__xludf.DUMMYFUNCTION("""COMPUTED_VALUE"""),"Electric!")</f>
        <v>Electric!</v>
      </c>
      <c r="V1078" s="145" t="str">
        <f>IFERROR(__xludf.DUMMYFUNCTION("""COMPUTED_VALUE"""),"Heated steering wheel")</f>
        <v>Heated steering wheel</v>
      </c>
      <c r="W1078" s="136"/>
      <c r="X1078" s="137" t="str">
        <f>IFERROR(__xludf.DUMMYFUNCTION("""COMPUTED_VALUE"""),"Excellent")</f>
        <v>Excellent</v>
      </c>
      <c r="Y1078" s="138" t="str">
        <f>IFERROR(__xludf.DUMMYFUNCTION("""COMPUTED_VALUE"""),"Excellent")</f>
        <v>Excellent</v>
      </c>
      <c r="Z1078" s="138" t="str">
        <f>IFERROR(__xludf.DUMMYFUNCTION("""COMPUTED_VALUE"""),"Excellent")</f>
        <v>Excellent</v>
      </c>
      <c r="AA1078" s="138" t="str">
        <f>IFERROR(__xludf.DUMMYFUNCTION("""COMPUTED_VALUE"""),"Very Good")</f>
        <v>Very Good</v>
      </c>
      <c r="AB1078" s="138" t="str">
        <f>IFERROR(__xludf.DUMMYFUNCTION("""COMPUTED_VALUE"""),"Very Good")</f>
        <v>Very Good</v>
      </c>
      <c r="AC1078" s="139"/>
      <c r="AD1078" s="139"/>
      <c r="AE1078" s="139"/>
      <c r="AF1078" s="140" t="str">
        <f>IFERROR(__xludf.DUMMYFUNCTION("""COMPUTED_VALUE"""),"No. I took delivery of the first car Tesla was able to deliver.")</f>
        <v>No. I took delivery of the first car Tesla was able to deliver.</v>
      </c>
      <c r="AG1078" s="136"/>
      <c r="AH1078" s="157">
        <f>IFERROR(__xludf.DUMMYFUNCTION("""COMPUTED_VALUE"""),44172.29977046296)</f>
        <v>44172.29977</v>
      </c>
      <c r="AI1078" s="138"/>
      <c r="AJ1078" s="138"/>
      <c r="AK1078" s="138"/>
      <c r="AL1078" s="142"/>
    </row>
    <row r="1079" ht="20.25" customHeight="1">
      <c r="A1079" s="155" t="str">
        <f>IFERROR(__xludf.DUMMYFUNCTION("""COMPUTED_VALUE"""),"MSpicey")</f>
        <v>MSpicey</v>
      </c>
      <c r="B1079" s="149" t="str">
        <f>IFERROR(__xludf.DUMMYFUNCTION("""COMPUTED_VALUE"""),"Ashton ")</f>
        <v>Ashton </v>
      </c>
      <c r="C1079" s="149" t="str">
        <f>IFERROR(__xludf.DUMMYFUNCTION("""COMPUTED_VALUE"""),"ID")</f>
        <v>ID</v>
      </c>
      <c r="D1079" s="149" t="str">
        <f>IFERROR(__xludf.DUMMYFUNCTION("""COMPUTED_VALUE"""),"USA")</f>
        <v>USA</v>
      </c>
      <c r="E1079" s="156">
        <f>IFERROR(__xludf.DUMMYFUNCTION("""COMPUTED_VALUE"""),44139.0)</f>
        <v>44139</v>
      </c>
      <c r="F1079" s="129">
        <f>IFERROR(__xludf.DUMMYFUNCTION("""COMPUTED_VALUE"""),44179.0)</f>
        <v>44179</v>
      </c>
      <c r="G1079" s="154" t="str">
        <f>IFERROR(__xludf.DUMMYFUNCTION("""COMPUTED_VALUE"""),"Manage order page (normal text)")</f>
        <v>Manage order page (normal text)</v>
      </c>
      <c r="H1079" s="131">
        <f>IFERROR(__xludf.DUMMYFUNCTION("""COMPUTED_VALUE"""),862003.0)</f>
        <v>862003</v>
      </c>
      <c r="I1079" s="132" t="str">
        <f>IFERROR(__xludf.DUMMYFUNCTION("""COMPUTED_VALUE"""),"12/20")</f>
        <v>12/20</v>
      </c>
      <c r="J1079" s="129">
        <f>IFERROR(__xludf.DUMMYFUNCTION("""COMPUTED_VALUE"""),44182.0)</f>
        <v>44182</v>
      </c>
      <c r="K1079" s="133">
        <f>IFERROR(__xludf.DUMMYFUNCTION("""COMPUTED_VALUE"""),40.0)</f>
        <v>40</v>
      </c>
      <c r="L1079" s="133">
        <f>IFERROR(__xludf.DUMMYFUNCTION("""COMPUTED_VALUE"""),3.0)</f>
        <v>3</v>
      </c>
      <c r="M1079" s="133">
        <f>IFERROR(__xludf.DUMMYFUNCTION("""COMPUTED_VALUE"""),43.0)</f>
        <v>43</v>
      </c>
      <c r="N1079" s="152" t="str">
        <f>IFERROR(__xludf.DUMMYFUNCTION("""COMPUTED_VALUE"""),"Model 3 LR AWD")</f>
        <v>Model 3 LR AWD</v>
      </c>
      <c r="O1079" s="152" t="str">
        <f>IFERROR(__xludf.DUMMYFUNCTION("""COMPUTED_VALUE"""),"Midnight Silver Metallic")</f>
        <v>Midnight Silver Metallic</v>
      </c>
      <c r="P1079" s="153" t="str">
        <f>IFERROR(__xludf.DUMMYFUNCTION("""COMPUTED_VALUE"""),"18 inch")</f>
        <v>18 inch</v>
      </c>
      <c r="Q1079" s="152" t="str">
        <f>IFERROR(__xludf.DUMMYFUNCTION("""COMPUTED_VALUE"""),"All Black")</f>
        <v>All Black</v>
      </c>
      <c r="R1079" s="150" t="str">
        <f>IFERROR(__xludf.DUMMYFUNCTION("""COMPUTED_VALUE"""),"Autopilot included")</f>
        <v>Autopilot included</v>
      </c>
      <c r="S1079" s="150" t="str">
        <f>IFERROR(__xludf.DUMMYFUNCTION("""COMPUTED_VALUE"""),"Cash")</f>
        <v>Cash</v>
      </c>
      <c r="T1079" s="136" t="str">
        <f>IFERROR(__xludf.DUMMYFUNCTION("""COMPUTED_VALUE"""),"2019 Jeep Wrangler Rubicon")</f>
        <v>2019 Jeep Wrangler Rubicon</v>
      </c>
      <c r="U1079" s="136" t="str">
        <f>IFERROR(__xludf.DUMMYFUNCTION("""COMPUTED_VALUE"""),"Range and efficiency")</f>
        <v>Range and efficiency</v>
      </c>
      <c r="V1079" s="136" t="str">
        <f>IFERROR(__xludf.DUMMYFUNCTION("""COMPUTED_VALUE"""),"Dashboard")</f>
        <v>Dashboard</v>
      </c>
      <c r="W1079" s="136" t="str">
        <f>IFERROR(__xludf.DUMMYFUNCTION("""COMPUTED_VALUE"""),"Waiting for a new vehicle sucks. Prepare for very limited communication and to be left in the lurch.")</f>
        <v>Waiting for a new vehicle sucks. Prepare for very limited communication and to be left in the lurch.</v>
      </c>
      <c r="X1079" s="137" t="str">
        <f>IFERROR(__xludf.DUMMYFUNCTION("""COMPUTED_VALUE"""),"Excellent")</f>
        <v>Excellent</v>
      </c>
      <c r="Y1079" s="138" t="str">
        <f>IFERROR(__xludf.DUMMYFUNCTION("""COMPUTED_VALUE"""),"Excellent")</f>
        <v>Excellent</v>
      </c>
      <c r="Z1079" s="138" t="str">
        <f>IFERROR(__xludf.DUMMYFUNCTION("""COMPUTED_VALUE"""),"Excellent")</f>
        <v>Excellent</v>
      </c>
      <c r="AA1079" s="138" t="str">
        <f>IFERROR(__xludf.DUMMYFUNCTION("""COMPUTED_VALUE"""),"Poor")</f>
        <v>Poor</v>
      </c>
      <c r="AB1079" s="138" t="str">
        <f>IFERROR(__xludf.DUMMYFUNCTION("""COMPUTED_VALUE"""),"Good")</f>
        <v>Good</v>
      </c>
      <c r="AC1079" s="139"/>
      <c r="AD1079" s="139"/>
      <c r="AE1079" s="139"/>
      <c r="AF1079" s="140" t="str">
        <f>IFERROR(__xludf.DUMMYFUNCTION("""COMPUTED_VALUE"""),"No. I took delivery of the first car Tesla was able to deliver.")</f>
        <v>No. I took delivery of the first car Tesla was able to deliver.</v>
      </c>
      <c r="AG1079" s="145"/>
      <c r="AH1079" s="157">
        <f>IFERROR(__xludf.DUMMYFUNCTION("""COMPUTED_VALUE"""),44183.548200000005)</f>
        <v>44183.5482</v>
      </c>
      <c r="AI1079" s="138"/>
      <c r="AJ1079" s="138"/>
      <c r="AK1079" s="138"/>
      <c r="AL1079" s="142"/>
    </row>
    <row r="1080" ht="20.25" customHeight="1">
      <c r="A1080" s="155" t="str">
        <f>IFERROR(__xludf.DUMMYFUNCTION("""COMPUTED_VALUE"""),"Slobbywood")</f>
        <v>Slobbywood</v>
      </c>
      <c r="B1080" s="149" t="str">
        <f>IFERROR(__xludf.DUMMYFUNCTION("""COMPUTED_VALUE"""),"Yorba Linda")</f>
        <v>Yorba Linda</v>
      </c>
      <c r="C1080" s="150" t="str">
        <f>IFERROR(__xludf.DUMMYFUNCTION("""COMPUTED_VALUE"""),"CA")</f>
        <v>CA</v>
      </c>
      <c r="D1080" s="150" t="str">
        <f>IFERROR(__xludf.DUMMYFUNCTION("""COMPUTED_VALUE"""),"USA")</f>
        <v>USA</v>
      </c>
      <c r="E1080" s="156">
        <f>IFERROR(__xludf.DUMMYFUNCTION("""COMPUTED_VALUE"""),44138.0)</f>
        <v>44138</v>
      </c>
      <c r="F1080" s="129">
        <f>IFERROR(__xludf.DUMMYFUNCTION("""COMPUTED_VALUE"""),44189.0)</f>
        <v>44189</v>
      </c>
      <c r="G1080" s="154" t="str">
        <f>IFERROR(__xludf.DUMMYFUNCTION("""COMPUTED_VALUE"""),"Manage order page (normal text)")</f>
        <v>Manage order page (normal text)</v>
      </c>
      <c r="H1080" s="131">
        <f>IFERROR(__xludf.DUMMYFUNCTION("""COMPUTED_VALUE"""),876055.0)</f>
        <v>876055</v>
      </c>
      <c r="I1080" s="132"/>
      <c r="J1080" s="129">
        <f>IFERROR(__xludf.DUMMYFUNCTION("""COMPUTED_VALUE"""),44193.0)</f>
        <v>44193</v>
      </c>
      <c r="K1080" s="133">
        <f>IFERROR(__xludf.DUMMYFUNCTION("""COMPUTED_VALUE"""),51.0)</f>
        <v>51</v>
      </c>
      <c r="L1080" s="133">
        <f>IFERROR(__xludf.DUMMYFUNCTION("""COMPUTED_VALUE"""),4.0)</f>
        <v>4</v>
      </c>
      <c r="M1080" s="133">
        <f>IFERROR(__xludf.DUMMYFUNCTION("""COMPUTED_VALUE"""),55.0)</f>
        <v>55</v>
      </c>
      <c r="N1080" s="152" t="str">
        <f>IFERROR(__xludf.DUMMYFUNCTION("""COMPUTED_VALUE"""),"Model 3 LR AWD")</f>
        <v>Model 3 LR AWD</v>
      </c>
      <c r="O1080" s="152" t="str">
        <f>IFERROR(__xludf.DUMMYFUNCTION("""COMPUTED_VALUE"""),"Pearl White Multi-Coat")</f>
        <v>Pearl White Multi-Coat</v>
      </c>
      <c r="P1080" s="153" t="str">
        <f>IFERROR(__xludf.DUMMYFUNCTION("""COMPUTED_VALUE"""),"18 inch")</f>
        <v>18 inch</v>
      </c>
      <c r="Q1080" s="152" t="str">
        <f>IFERROR(__xludf.DUMMYFUNCTION("""COMPUTED_VALUE"""),"Black and White")</f>
        <v>Black and White</v>
      </c>
      <c r="R1080" s="150" t="str">
        <f>IFERROR(__xludf.DUMMYFUNCTION("""COMPUTED_VALUE"""),"Autopilot included")</f>
        <v>Autopilot included</v>
      </c>
      <c r="S1080" s="150" t="str">
        <f>IFERROR(__xludf.DUMMYFUNCTION("""COMPUTED_VALUE"""),"Loan")</f>
        <v>Loan</v>
      </c>
      <c r="T1080" s="136" t="str">
        <f>IFERROR(__xludf.DUMMYFUNCTION("""COMPUTED_VALUE"""),"BMW 4 Series")</f>
        <v>BMW 4 Series</v>
      </c>
      <c r="U1080" s="136" t="str">
        <f>IFERROR(__xludf.DUMMYFUNCTION("""COMPUTED_VALUE"""),"Electric!")</f>
        <v>Electric!</v>
      </c>
      <c r="V1080" s="136" t="str">
        <f>IFERROR(__xludf.DUMMYFUNCTION("""COMPUTED_VALUE"""),"Ventilated seats")</f>
        <v>Ventilated seats</v>
      </c>
      <c r="W1080" s="136"/>
      <c r="X1080" s="137" t="str">
        <f>IFERROR(__xludf.DUMMYFUNCTION("""COMPUTED_VALUE"""),"Very Good")</f>
        <v>Very Good</v>
      </c>
      <c r="Y1080" s="138" t="str">
        <f>IFERROR(__xludf.DUMMYFUNCTION("""COMPUTED_VALUE"""),"Good")</f>
        <v>Good</v>
      </c>
      <c r="Z1080" s="138" t="str">
        <f>IFERROR(__xludf.DUMMYFUNCTION("""COMPUTED_VALUE"""),"Excellent")</f>
        <v>Excellent</v>
      </c>
      <c r="AA1080" s="138" t="str">
        <f>IFERROR(__xludf.DUMMYFUNCTION("""COMPUTED_VALUE"""),"Excellent")</f>
        <v>Excellent</v>
      </c>
      <c r="AB1080" s="138" t="str">
        <f>IFERROR(__xludf.DUMMYFUNCTION("""COMPUTED_VALUE"""),"Excellent")</f>
        <v>Excellent</v>
      </c>
      <c r="AC1080" s="139"/>
      <c r="AD1080" s="139"/>
      <c r="AE1080" s="139"/>
      <c r="AF1080" s="140"/>
      <c r="AG1080" s="136"/>
      <c r="AH1080" s="157">
        <f>IFERROR(__xludf.DUMMYFUNCTION("""COMPUTED_VALUE"""),44193.83321722222)</f>
        <v>44193.83322</v>
      </c>
      <c r="AI1080" s="138"/>
      <c r="AJ1080" s="138"/>
      <c r="AK1080" s="138"/>
      <c r="AL1080" s="142"/>
    </row>
    <row r="1081" ht="20.25" customHeight="1">
      <c r="A1081" s="155" t="str">
        <f>IFERROR(__xludf.DUMMYFUNCTION("""COMPUTED_VALUE"""),"teamnogas")</f>
        <v>teamnogas</v>
      </c>
      <c r="B1081" s="149" t="str">
        <f>IFERROR(__xludf.DUMMYFUNCTION("""COMPUTED_VALUE"""),"Baltimore")</f>
        <v>Baltimore</v>
      </c>
      <c r="C1081" s="149" t="str">
        <f>IFERROR(__xludf.DUMMYFUNCTION("""COMPUTED_VALUE"""),"MD")</f>
        <v>MD</v>
      </c>
      <c r="D1081" s="149" t="str">
        <f>IFERROR(__xludf.DUMMYFUNCTION("""COMPUTED_VALUE"""),"USA")</f>
        <v>USA</v>
      </c>
      <c r="E1081" s="156">
        <f>IFERROR(__xludf.DUMMYFUNCTION("""COMPUTED_VALUE"""),44137.0)</f>
        <v>44137</v>
      </c>
      <c r="F1081" s="129">
        <f>IFERROR(__xludf.DUMMYFUNCTION("""COMPUTED_VALUE"""),44165.0)</f>
        <v>44165</v>
      </c>
      <c r="G1081" s="154" t="str">
        <f>IFERROR(__xludf.DUMMYFUNCTION("""COMPUTED_VALUE"""),"Manage order page (normal text)")</f>
        <v>Manage order page (normal text)</v>
      </c>
      <c r="H1081" s="131"/>
      <c r="I1081" s="144"/>
      <c r="J1081" s="129">
        <f>IFERROR(__xludf.DUMMYFUNCTION("""COMPUTED_VALUE"""),44176.0)</f>
        <v>44176</v>
      </c>
      <c r="K1081" s="133">
        <f>IFERROR(__xludf.DUMMYFUNCTION("""COMPUTED_VALUE"""),28.0)</f>
        <v>28</v>
      </c>
      <c r="L1081" s="133">
        <f>IFERROR(__xludf.DUMMYFUNCTION("""COMPUTED_VALUE"""),11.0)</f>
        <v>11</v>
      </c>
      <c r="M1081" s="133">
        <f>IFERROR(__xludf.DUMMYFUNCTION("""COMPUTED_VALUE"""),39.0)</f>
        <v>39</v>
      </c>
      <c r="N1081" s="152" t="str">
        <f>IFERROR(__xludf.DUMMYFUNCTION("""COMPUTED_VALUE"""),"Model 3 SR+")</f>
        <v>Model 3 SR+</v>
      </c>
      <c r="O1081" s="152" t="str">
        <f>IFERROR(__xludf.DUMMYFUNCTION("""COMPUTED_VALUE"""),"Pearl White Multi-Coat")</f>
        <v>Pearl White Multi-Coat</v>
      </c>
      <c r="P1081" s="153" t="str">
        <f>IFERROR(__xludf.DUMMYFUNCTION("""COMPUTED_VALUE"""),"18 inch")</f>
        <v>18 inch</v>
      </c>
      <c r="Q1081" s="152" t="str">
        <f>IFERROR(__xludf.DUMMYFUNCTION("""COMPUTED_VALUE"""),"All Black")</f>
        <v>All Black</v>
      </c>
      <c r="R1081" s="149" t="str">
        <f>IFERROR(__xludf.DUMMYFUNCTION("""COMPUTED_VALUE"""),"Autopilot included")</f>
        <v>Autopilot included</v>
      </c>
      <c r="S1081" s="149" t="str">
        <f>IFERROR(__xludf.DUMMYFUNCTION("""COMPUTED_VALUE"""),"Loan")</f>
        <v>Loan</v>
      </c>
      <c r="T1081" s="145" t="str">
        <f>IFERROR(__xludf.DUMMYFUNCTION("""COMPUTED_VALUE"""),"Ford Focus")</f>
        <v>Ford Focus</v>
      </c>
      <c r="U1081" s="145" t="str">
        <f>IFERROR(__xludf.DUMMYFUNCTION("""COMPUTED_VALUE"""),"All-glass roof")</f>
        <v>All-glass roof</v>
      </c>
      <c r="V1081" s="145" t="str">
        <f>IFERROR(__xludf.DUMMYFUNCTION("""COMPUTED_VALUE"""),"Bioweapon defense mode")</f>
        <v>Bioweapon defense mode</v>
      </c>
      <c r="W1081" s="145"/>
      <c r="X1081" s="137" t="str">
        <f>IFERROR(__xludf.DUMMYFUNCTION("""COMPUTED_VALUE"""),"Excellent")</f>
        <v>Excellent</v>
      </c>
      <c r="Y1081" s="138" t="str">
        <f>IFERROR(__xludf.DUMMYFUNCTION("""COMPUTED_VALUE"""),"Excellent")</f>
        <v>Excellent</v>
      </c>
      <c r="Z1081" s="138" t="str">
        <f>IFERROR(__xludf.DUMMYFUNCTION("""COMPUTED_VALUE"""),"Excellent")</f>
        <v>Excellent</v>
      </c>
      <c r="AA1081" s="138" t="str">
        <f>IFERROR(__xludf.DUMMYFUNCTION("""COMPUTED_VALUE"""),"Excellent")</f>
        <v>Excellent</v>
      </c>
      <c r="AB1081" s="138" t="str">
        <f>IFERROR(__xludf.DUMMYFUNCTION("""COMPUTED_VALUE"""),"Excellent")</f>
        <v>Excellent</v>
      </c>
      <c r="AC1081" s="139">
        <f>IFERROR(__xludf.DUMMYFUNCTION("""COMPUTED_VALUE"""),2.0)</f>
        <v>2</v>
      </c>
      <c r="AD1081" s="139">
        <f>IFERROR(__xludf.DUMMYFUNCTION("""COMPUTED_VALUE"""),0.0)</f>
        <v>0</v>
      </c>
      <c r="AE1081" s="139"/>
      <c r="AF1081" s="140" t="str">
        <f>IFERROR(__xludf.DUMMYFUNCTION("""COMPUTED_VALUE"""),"No. I took delivery of the first car Tesla was able to deliver.")</f>
        <v>No. I took delivery of the first car Tesla was able to deliver.</v>
      </c>
      <c r="AG1081" s="145" t="str">
        <f>IFERROR(__xludf.DUMMYFUNCTION("""COMPUTED_VALUE"""),"Delivery appt confirmed for 11Dec")</f>
        <v>Delivery appt confirmed for 11Dec</v>
      </c>
      <c r="AH1081" s="157">
        <f>IFERROR(__xludf.DUMMYFUNCTION("""COMPUTED_VALUE"""),44181.64542673611)</f>
        <v>44181.64543</v>
      </c>
      <c r="AI1081" s="138"/>
      <c r="AJ1081" s="138"/>
      <c r="AK1081" s="138"/>
      <c r="AL1081" s="142"/>
    </row>
    <row r="1082" ht="20.25" customHeight="1">
      <c r="A1082" s="155" t="str">
        <f>IFERROR(__xludf.DUMMYFUNCTION("""COMPUTED_VALUE"""),"mrg0114")</f>
        <v>mrg0114</v>
      </c>
      <c r="B1082" s="149" t="str">
        <f>IFERROR(__xludf.DUMMYFUNCTION("""COMPUTED_VALUE"""),"Chicago")</f>
        <v>Chicago</v>
      </c>
      <c r="C1082" s="149" t="str">
        <f>IFERROR(__xludf.DUMMYFUNCTION("""COMPUTED_VALUE"""),"IL")</f>
        <v>IL</v>
      </c>
      <c r="D1082" s="149" t="str">
        <f>IFERROR(__xludf.DUMMYFUNCTION("""COMPUTED_VALUE"""),"USA")</f>
        <v>USA</v>
      </c>
      <c r="E1082" s="156">
        <f>IFERROR(__xludf.DUMMYFUNCTION("""COMPUTED_VALUE"""),44135.0)</f>
        <v>44135</v>
      </c>
      <c r="F1082" s="129">
        <f>IFERROR(__xludf.DUMMYFUNCTION("""COMPUTED_VALUE"""),44160.0)</f>
        <v>44160</v>
      </c>
      <c r="G1082" s="154" t="str">
        <f>IFERROR(__xludf.DUMMYFUNCTION("""COMPUTED_VALUE"""),"Manage order page (normal text)")</f>
        <v>Manage order page (normal text)</v>
      </c>
      <c r="H1082" s="131">
        <f>IFERROR(__xludf.DUMMYFUNCTION("""COMPUTED_VALUE"""),848155.0)</f>
        <v>848155</v>
      </c>
      <c r="I1082" s="132" t="str">
        <f>IFERROR(__xludf.DUMMYFUNCTION("""COMPUTED_VALUE"""),"11/20")</f>
        <v>11/20</v>
      </c>
      <c r="J1082" s="129">
        <f>IFERROR(__xludf.DUMMYFUNCTION("""COMPUTED_VALUE"""),44172.0)</f>
        <v>44172</v>
      </c>
      <c r="K1082" s="133">
        <f>IFERROR(__xludf.DUMMYFUNCTION("""COMPUTED_VALUE"""),25.0)</f>
        <v>25</v>
      </c>
      <c r="L1082" s="133">
        <f>IFERROR(__xludf.DUMMYFUNCTION("""COMPUTED_VALUE"""),12.0)</f>
        <v>12</v>
      </c>
      <c r="M1082" s="133">
        <f>IFERROR(__xludf.DUMMYFUNCTION("""COMPUTED_VALUE"""),37.0)</f>
        <v>37</v>
      </c>
      <c r="N1082" s="152" t="str">
        <f>IFERROR(__xludf.DUMMYFUNCTION("""COMPUTED_VALUE"""),"Model 3 LR AWD")</f>
        <v>Model 3 LR AWD</v>
      </c>
      <c r="O1082" s="152" t="str">
        <f>IFERROR(__xludf.DUMMYFUNCTION("""COMPUTED_VALUE"""),"Midnight Silver Metallic")</f>
        <v>Midnight Silver Metallic</v>
      </c>
      <c r="P1082" s="153" t="str">
        <f>IFERROR(__xludf.DUMMYFUNCTION("""COMPUTED_VALUE"""),"18 inch")</f>
        <v>18 inch</v>
      </c>
      <c r="Q1082" s="152" t="str">
        <f>IFERROR(__xludf.DUMMYFUNCTION("""COMPUTED_VALUE"""),"All Black")</f>
        <v>All Black</v>
      </c>
      <c r="R1082" s="150" t="str">
        <f>IFERROR(__xludf.DUMMYFUNCTION("""COMPUTED_VALUE"""),"Autopilot included")</f>
        <v>Autopilot included</v>
      </c>
      <c r="S1082" s="150" t="str">
        <f>IFERROR(__xludf.DUMMYFUNCTION("""COMPUTED_VALUE"""),"Loan")</f>
        <v>Loan</v>
      </c>
      <c r="T1082" s="136" t="str">
        <f>IFERROR(__xludf.DUMMYFUNCTION("""COMPUTED_VALUE"""),"Volvo V70")</f>
        <v>Volvo V70</v>
      </c>
      <c r="U1082" s="136" t="str">
        <f>IFERROR(__xludf.DUMMYFUNCTION("""COMPUTED_VALUE"""),"Tesla brand image")</f>
        <v>Tesla brand image</v>
      </c>
      <c r="V1082" s="136" t="str">
        <f>IFERROR(__xludf.DUMMYFUNCTION("""COMPUTED_VALUE"""),"Apple CarPlay / Android Auto / SiriusXM Radio")</f>
        <v>Apple CarPlay / Android Auto / SiriusXM Radio</v>
      </c>
      <c r="W1082" s="136"/>
      <c r="X1082" s="137" t="str">
        <f>IFERROR(__xludf.DUMMYFUNCTION("""COMPUTED_VALUE"""),"Very Good")</f>
        <v>Very Good</v>
      </c>
      <c r="Y1082" s="138" t="str">
        <f>IFERROR(__xludf.DUMMYFUNCTION("""COMPUTED_VALUE"""),"Very Good")</f>
        <v>Very Good</v>
      </c>
      <c r="Z1082" s="138" t="str">
        <f>IFERROR(__xludf.DUMMYFUNCTION("""COMPUTED_VALUE"""),"Very Good")</f>
        <v>Very Good</v>
      </c>
      <c r="AA1082" s="138" t="str">
        <f>IFERROR(__xludf.DUMMYFUNCTION("""COMPUTED_VALUE"""),"Very Good")</f>
        <v>Very Good</v>
      </c>
      <c r="AB1082" s="138" t="str">
        <f>IFERROR(__xludf.DUMMYFUNCTION("""COMPUTED_VALUE"""),"Excellent")</f>
        <v>Excellent</v>
      </c>
      <c r="AC1082" s="139"/>
      <c r="AD1082" s="139"/>
      <c r="AE1082" s="139"/>
      <c r="AF1082" s="140" t="str">
        <f>IFERROR(__xludf.DUMMYFUNCTION("""COMPUTED_VALUE"""),"No. I took delivery of the first car Tesla was able to deliver.")</f>
        <v>No. I took delivery of the first car Tesla was able to deliver.</v>
      </c>
      <c r="AG1082" s="136"/>
      <c r="AH1082" s="157">
        <f>IFERROR(__xludf.DUMMYFUNCTION("""COMPUTED_VALUE"""),44172.81870192129)</f>
        <v>44172.8187</v>
      </c>
      <c r="AI1082" s="138"/>
      <c r="AJ1082" s="138"/>
      <c r="AK1082" s="138"/>
      <c r="AL1082" s="142"/>
    </row>
    <row r="1083" ht="20.25" customHeight="1">
      <c r="A1083" s="155" t="str">
        <f>IFERROR(__xludf.DUMMYFUNCTION("""COMPUTED_VALUE"""),"tehsu")</f>
        <v>tehsu</v>
      </c>
      <c r="B1083" s="149" t="str">
        <f>IFERROR(__xludf.DUMMYFUNCTION("""COMPUTED_VALUE"""),"Frisco ")</f>
        <v>Frisco </v>
      </c>
      <c r="C1083" s="149" t="str">
        <f>IFERROR(__xludf.DUMMYFUNCTION("""COMPUTED_VALUE"""),"TX")</f>
        <v>TX</v>
      </c>
      <c r="D1083" s="149" t="str">
        <f>IFERROR(__xludf.DUMMYFUNCTION("""COMPUTED_VALUE"""),"USA")</f>
        <v>USA</v>
      </c>
      <c r="E1083" s="156">
        <f>IFERROR(__xludf.DUMMYFUNCTION("""COMPUTED_VALUE"""),44135.0)</f>
        <v>44135</v>
      </c>
      <c r="F1083" s="129">
        <f>IFERROR(__xludf.DUMMYFUNCTION("""COMPUTED_VALUE"""),44177.0)</f>
        <v>44177</v>
      </c>
      <c r="G1083" s="154" t="str">
        <f>IFERROR(__xludf.DUMMYFUNCTION("""COMPUTED_VALUE"""),"Email")</f>
        <v>Email</v>
      </c>
      <c r="H1083" s="131"/>
      <c r="I1083" s="144" t="str">
        <f>IFERROR(__xludf.DUMMYFUNCTION("""COMPUTED_VALUE"""),"12/20")</f>
        <v>12/20</v>
      </c>
      <c r="J1083" s="129">
        <f>IFERROR(__xludf.DUMMYFUNCTION("""COMPUTED_VALUE"""),44193.0)</f>
        <v>44193</v>
      </c>
      <c r="K1083" s="133">
        <f>IFERROR(__xludf.DUMMYFUNCTION("""COMPUTED_VALUE"""),42.0)</f>
        <v>42</v>
      </c>
      <c r="L1083" s="133">
        <f>IFERROR(__xludf.DUMMYFUNCTION("""COMPUTED_VALUE"""),16.0)</f>
        <v>16</v>
      </c>
      <c r="M1083" s="133">
        <f>IFERROR(__xludf.DUMMYFUNCTION("""COMPUTED_VALUE"""),58.0)</f>
        <v>58</v>
      </c>
      <c r="N1083" s="152" t="str">
        <f>IFERROR(__xludf.DUMMYFUNCTION("""COMPUTED_VALUE"""),"Model 3 LR AWD")</f>
        <v>Model 3 LR AWD</v>
      </c>
      <c r="O1083" s="152" t="str">
        <f>IFERROR(__xludf.DUMMYFUNCTION("""COMPUTED_VALUE"""),"Solid Black")</f>
        <v>Solid Black</v>
      </c>
      <c r="P1083" s="153" t="str">
        <f>IFERROR(__xludf.DUMMYFUNCTION("""COMPUTED_VALUE"""),"18 inch")</f>
        <v>18 inch</v>
      </c>
      <c r="Q1083" s="152" t="str">
        <f>IFERROR(__xludf.DUMMYFUNCTION("""COMPUTED_VALUE"""),"All Black")</f>
        <v>All Black</v>
      </c>
      <c r="R1083" s="149" t="str">
        <f>IFERROR(__xludf.DUMMYFUNCTION("""COMPUTED_VALUE"""),"Autopilot included")</f>
        <v>Autopilot included</v>
      </c>
      <c r="S1083" s="149" t="str">
        <f>IFERROR(__xludf.DUMMYFUNCTION("""COMPUTED_VALUE"""),"Loan")</f>
        <v>Loan</v>
      </c>
      <c r="T1083" s="145" t="str">
        <f>IFERROR(__xludf.DUMMYFUNCTION("""COMPUTED_VALUE"""),"Mazda CX-5")</f>
        <v>Mazda CX-5</v>
      </c>
      <c r="U1083" s="145" t="str">
        <f>IFERROR(__xludf.DUMMYFUNCTION("""COMPUTED_VALUE"""),"Electric!")</f>
        <v>Electric!</v>
      </c>
      <c r="V1083" s="145" t="str">
        <f>IFERROR(__xludf.DUMMYFUNCTION("""COMPUTED_VALUE"""),"Air suspension")</f>
        <v>Air suspension</v>
      </c>
      <c r="W1083" s="145"/>
      <c r="X1083" s="137" t="str">
        <f>IFERROR(__xludf.DUMMYFUNCTION("""COMPUTED_VALUE"""),"Excellent")</f>
        <v>Excellent</v>
      </c>
      <c r="Y1083" s="138" t="str">
        <f>IFERROR(__xludf.DUMMYFUNCTION("""COMPUTED_VALUE"""),"Excellent")</f>
        <v>Excellent</v>
      </c>
      <c r="Z1083" s="138" t="str">
        <f>IFERROR(__xludf.DUMMYFUNCTION("""COMPUTED_VALUE"""),"Very Good")</f>
        <v>Very Good</v>
      </c>
      <c r="AA1083" s="138" t="str">
        <f>IFERROR(__xludf.DUMMYFUNCTION("""COMPUTED_VALUE"""),"Very Good")</f>
        <v>Very Good</v>
      </c>
      <c r="AB1083" s="138" t="str">
        <f>IFERROR(__xludf.DUMMYFUNCTION("""COMPUTED_VALUE"""),"Good")</f>
        <v>Good</v>
      </c>
      <c r="AC1083" s="139">
        <f>IFERROR(__xludf.DUMMYFUNCTION("""COMPUTED_VALUE"""),2.0)</f>
        <v>2</v>
      </c>
      <c r="AD1083" s="139"/>
      <c r="AE1083" s="139"/>
      <c r="AF1083" s="140" t="str">
        <f>IFERROR(__xludf.DUMMYFUNCTION("""COMPUTED_VALUE"""),"No. I took delivery of the first car Tesla was able to deliver.")</f>
        <v>No. I took delivery of the first car Tesla was able to deliver.</v>
      </c>
      <c r="AG1083" s="145"/>
      <c r="AH1083" s="157">
        <f>IFERROR(__xludf.DUMMYFUNCTION("""COMPUTED_VALUE"""),44200.09707591435)</f>
        <v>44200.09708</v>
      </c>
      <c r="AI1083" s="138"/>
      <c r="AJ1083" s="138"/>
      <c r="AK1083" s="138"/>
      <c r="AL1083" s="142"/>
    </row>
    <row r="1084" ht="20.25" customHeight="1">
      <c r="A1084" s="155" t="str">
        <f>IFERROR(__xludf.DUMMYFUNCTION("""COMPUTED_VALUE"""),"bigcon")</f>
        <v>bigcon</v>
      </c>
      <c r="B1084" s="150" t="str">
        <f>IFERROR(__xludf.DUMMYFUNCTION("""COMPUTED_VALUE"""),"SLC")</f>
        <v>SLC</v>
      </c>
      <c r="C1084" s="149" t="str">
        <f>IFERROR(__xludf.DUMMYFUNCTION("""COMPUTED_VALUE"""),"UT")</f>
        <v>UT</v>
      </c>
      <c r="D1084" s="149" t="str">
        <f>IFERROR(__xludf.DUMMYFUNCTION("""COMPUTED_VALUE"""),"USA")</f>
        <v>USA</v>
      </c>
      <c r="E1084" s="156">
        <f>IFERROR(__xludf.DUMMYFUNCTION("""COMPUTED_VALUE"""),44133.0)</f>
        <v>44133</v>
      </c>
      <c r="F1084" s="129">
        <f>IFERROR(__xludf.DUMMYFUNCTION("""COMPUTED_VALUE"""),44165.0)</f>
        <v>44165</v>
      </c>
      <c r="G1084" s="154" t="str">
        <f>IFERROR(__xludf.DUMMYFUNCTION("""COMPUTED_VALUE"""),"Email")</f>
        <v>Email</v>
      </c>
      <c r="H1084" s="131">
        <f>IFERROR(__xludf.DUMMYFUNCTION("""COMPUTED_VALUE"""),856755.0)</f>
        <v>856755</v>
      </c>
      <c r="I1084" s="132"/>
      <c r="J1084" s="129">
        <f>IFERROR(__xludf.DUMMYFUNCTION("""COMPUTED_VALUE"""),44169.0)</f>
        <v>44169</v>
      </c>
      <c r="K1084" s="133">
        <f>IFERROR(__xludf.DUMMYFUNCTION("""COMPUTED_VALUE"""),32.0)</f>
        <v>32</v>
      </c>
      <c r="L1084" s="133">
        <f>IFERROR(__xludf.DUMMYFUNCTION("""COMPUTED_VALUE"""),4.0)</f>
        <v>4</v>
      </c>
      <c r="M1084" s="133">
        <f>IFERROR(__xludf.DUMMYFUNCTION("""COMPUTED_VALUE"""),36.0)</f>
        <v>36</v>
      </c>
      <c r="N1084" s="152" t="str">
        <f>IFERROR(__xludf.DUMMYFUNCTION("""COMPUTED_VALUE"""),"Model 3 LR AWD")</f>
        <v>Model 3 LR AWD</v>
      </c>
      <c r="O1084" s="152" t="str">
        <f>IFERROR(__xludf.DUMMYFUNCTION("""COMPUTED_VALUE"""),"Solid Black")</f>
        <v>Solid Black</v>
      </c>
      <c r="P1084" s="153" t="str">
        <f>IFERROR(__xludf.DUMMYFUNCTION("""COMPUTED_VALUE"""),"18 inch")</f>
        <v>18 inch</v>
      </c>
      <c r="Q1084" s="152" t="str">
        <f>IFERROR(__xludf.DUMMYFUNCTION("""COMPUTED_VALUE"""),"All Black")</f>
        <v>All Black</v>
      </c>
      <c r="R1084" s="150" t="str">
        <f>IFERROR(__xludf.DUMMYFUNCTION("""COMPUTED_VALUE"""),"Autopilot included")</f>
        <v>Autopilot included</v>
      </c>
      <c r="S1084" s="150" t="str">
        <f>IFERROR(__xludf.DUMMYFUNCTION("""COMPUTED_VALUE"""),"Cash")</f>
        <v>Cash</v>
      </c>
      <c r="T1084" s="136" t="str">
        <f>IFERROR(__xludf.DUMMYFUNCTION("""COMPUTED_VALUE"""),"Subaru Forester")</f>
        <v>Subaru Forester</v>
      </c>
      <c r="U1084" s="136" t="str">
        <f>IFERROR(__xludf.DUMMYFUNCTION("""COMPUTED_VALUE"""),"Fast!")</f>
        <v>Fast!</v>
      </c>
      <c r="V1084" s="136" t="str">
        <f>IFERROR(__xludf.DUMMYFUNCTION("""COMPUTED_VALUE"""),"Heated steering wheel")</f>
        <v>Heated steering wheel</v>
      </c>
      <c r="W1084" s="136"/>
      <c r="X1084" s="137" t="str">
        <f>IFERROR(__xludf.DUMMYFUNCTION("""COMPUTED_VALUE"""),"Good")</f>
        <v>Good</v>
      </c>
      <c r="Y1084" s="138" t="str">
        <f>IFERROR(__xludf.DUMMYFUNCTION("""COMPUTED_VALUE"""),"Good")</f>
        <v>Good</v>
      </c>
      <c r="Z1084" s="138" t="str">
        <f>IFERROR(__xludf.DUMMYFUNCTION("""COMPUTED_VALUE"""),"Good")</f>
        <v>Good</v>
      </c>
      <c r="AA1084" s="138" t="str">
        <f>IFERROR(__xludf.DUMMYFUNCTION("""COMPUTED_VALUE"""),"Poor")</f>
        <v>Poor</v>
      </c>
      <c r="AB1084" s="138" t="str">
        <f>IFERROR(__xludf.DUMMYFUNCTION("""COMPUTED_VALUE"""),"Fair")</f>
        <v>Fair</v>
      </c>
      <c r="AC1084" s="139"/>
      <c r="AD1084" s="139">
        <f>IFERROR(__xludf.DUMMYFUNCTION("""COMPUTED_VALUE"""),1.0)</f>
        <v>1</v>
      </c>
      <c r="AE1084" s="139">
        <f>IFERROR(__xludf.DUMMYFUNCTION("""COMPUTED_VALUE"""),3.0)</f>
        <v>3</v>
      </c>
      <c r="AF1084" s="140" t="str">
        <f>IFERROR(__xludf.DUMMYFUNCTION("""COMPUTED_VALUE"""),"No. I took delivery of the first car Tesla was able to deliver.")</f>
        <v>No. I took delivery of the first car Tesla was able to deliver.</v>
      </c>
      <c r="AG1084" s="136" t="str">
        <f>IFERROR(__xludf.DUMMYFUNCTION("""COMPUTED_VALUE"""),"Received text on 11/25 with a 1-3 week delivery window")</f>
        <v>Received text on 11/25 with a 1-3 week delivery window</v>
      </c>
      <c r="AH1084" s="157">
        <f>IFERROR(__xludf.DUMMYFUNCTION("""COMPUTED_VALUE"""),44172.26875201389)</f>
        <v>44172.26875</v>
      </c>
      <c r="AI1084" s="138"/>
      <c r="AJ1084" s="138"/>
      <c r="AK1084" s="138"/>
      <c r="AL1084" s="142"/>
    </row>
    <row r="1085" ht="20.25" customHeight="1">
      <c r="A1085" s="155" t="str">
        <f>IFERROR(__xludf.DUMMYFUNCTION("""COMPUTED_VALUE"""),"milthon")</f>
        <v>milthon</v>
      </c>
      <c r="B1085" s="149" t="str">
        <f>IFERROR(__xludf.DUMMYFUNCTION("""COMPUTED_VALUE"""),"Atlanta")</f>
        <v>Atlanta</v>
      </c>
      <c r="C1085" s="149" t="str">
        <f>IFERROR(__xludf.DUMMYFUNCTION("""COMPUTED_VALUE"""),"GA")</f>
        <v>GA</v>
      </c>
      <c r="D1085" s="149" t="str">
        <f>IFERROR(__xludf.DUMMYFUNCTION("""COMPUTED_VALUE"""),"USA")</f>
        <v>USA</v>
      </c>
      <c r="E1085" s="156">
        <f>IFERROR(__xludf.DUMMYFUNCTION("""COMPUTED_VALUE"""),44133.0)</f>
        <v>44133</v>
      </c>
      <c r="F1085" s="129">
        <f>IFERROR(__xludf.DUMMYFUNCTION("""COMPUTED_VALUE"""),44164.0)</f>
        <v>44164</v>
      </c>
      <c r="G1085" s="154" t="str">
        <f>IFERROR(__xludf.DUMMYFUNCTION("""COMPUTED_VALUE"""),"Manage order page (normal text)")</f>
        <v>Manage order page (normal text)</v>
      </c>
      <c r="H1085" s="131">
        <f>IFERROR(__xludf.DUMMYFUNCTION("""COMPUTED_VALUE"""),850755.0)</f>
        <v>850755</v>
      </c>
      <c r="I1085" s="144" t="str">
        <f>IFERROR(__xludf.DUMMYFUNCTION("""COMPUTED_VALUE"""),"11/20")</f>
        <v>11/20</v>
      </c>
      <c r="J1085" s="129">
        <f>IFERROR(__xludf.DUMMYFUNCTION("""COMPUTED_VALUE"""),44178.0)</f>
        <v>44178</v>
      </c>
      <c r="K1085" s="133">
        <f>IFERROR(__xludf.DUMMYFUNCTION("""COMPUTED_VALUE"""),31.0)</f>
        <v>31</v>
      </c>
      <c r="L1085" s="133">
        <f>IFERROR(__xludf.DUMMYFUNCTION("""COMPUTED_VALUE"""),14.0)</f>
        <v>14</v>
      </c>
      <c r="M1085" s="133">
        <f>IFERROR(__xludf.DUMMYFUNCTION("""COMPUTED_VALUE"""),45.0)</f>
        <v>45</v>
      </c>
      <c r="N1085" s="152" t="str">
        <f>IFERROR(__xludf.DUMMYFUNCTION("""COMPUTED_VALUE"""),"Model 3 Performance")</f>
        <v>Model 3 Performance</v>
      </c>
      <c r="O1085" s="152" t="str">
        <f>IFERROR(__xludf.DUMMYFUNCTION("""COMPUTED_VALUE"""),"Deep Blue Metallic")</f>
        <v>Deep Blue Metallic</v>
      </c>
      <c r="P1085" s="153" t="str">
        <f>IFERROR(__xludf.DUMMYFUNCTION("""COMPUTED_VALUE"""),"20 inch")</f>
        <v>20 inch</v>
      </c>
      <c r="Q1085" s="152" t="str">
        <f>IFERROR(__xludf.DUMMYFUNCTION("""COMPUTED_VALUE"""),"All Black")</f>
        <v>All Black</v>
      </c>
      <c r="R1085" s="149" t="str">
        <f>IFERROR(__xludf.DUMMYFUNCTION("""COMPUTED_VALUE"""),"Autopilot included")</f>
        <v>Autopilot included</v>
      </c>
      <c r="S1085" s="149" t="str">
        <f>IFERROR(__xludf.DUMMYFUNCTION("""COMPUTED_VALUE"""),"Cash")</f>
        <v>Cash</v>
      </c>
      <c r="T1085" s="145" t="str">
        <f>IFERROR(__xludf.DUMMYFUNCTION("""COMPUTED_VALUE"""),"Lexus IS350")</f>
        <v>Lexus IS350</v>
      </c>
      <c r="U1085" s="145" t="str">
        <f>IFERROR(__xludf.DUMMYFUNCTION("""COMPUTED_VALUE"""),"Electric!")</f>
        <v>Electric!</v>
      </c>
      <c r="V1085" s="145" t="str">
        <f>IFERROR(__xludf.DUMMYFUNCTION("""COMPUTED_VALUE"""),"Apple CarPlay / Android Auto / SiriusXM Radio")</f>
        <v>Apple CarPlay / Android Auto / SiriusXM Radio</v>
      </c>
      <c r="W1085" s="145"/>
      <c r="X1085" s="137" t="str">
        <f>IFERROR(__xludf.DUMMYFUNCTION("""COMPUTED_VALUE"""),"Good")</f>
        <v>Good</v>
      </c>
      <c r="Y1085" s="138" t="str">
        <f>IFERROR(__xludf.DUMMYFUNCTION("""COMPUTED_VALUE"""),"Good")</f>
        <v>Good</v>
      </c>
      <c r="Z1085" s="138" t="str">
        <f>IFERROR(__xludf.DUMMYFUNCTION("""COMPUTED_VALUE"""),"Fair")</f>
        <v>Fair</v>
      </c>
      <c r="AA1085" s="138" t="str">
        <f>IFERROR(__xludf.DUMMYFUNCTION("""COMPUTED_VALUE"""),"Fair")</f>
        <v>Fair</v>
      </c>
      <c r="AB1085" s="138" t="str">
        <f>IFERROR(__xludf.DUMMYFUNCTION("""COMPUTED_VALUE"""),"Good")</f>
        <v>Good</v>
      </c>
      <c r="AC1085" s="139">
        <f>IFERROR(__xludf.DUMMYFUNCTION("""COMPUTED_VALUE"""),4.0)</f>
        <v>4</v>
      </c>
      <c r="AD1085" s="139"/>
      <c r="AE1085" s="139"/>
      <c r="AF1085" s="140" t="str">
        <f>IFERROR(__xludf.DUMMYFUNCTION("""COMPUTED_VALUE"""),"No. I took delivery of the first car Tesla was able to deliver.")</f>
        <v>No. I took delivery of the first car Tesla was able to deliver.</v>
      </c>
      <c r="AG1085" s="145"/>
      <c r="AH1085" s="157">
        <f>IFERROR(__xludf.DUMMYFUNCTION("""COMPUTED_VALUE"""),44179.46950474537)</f>
        <v>44179.4695</v>
      </c>
      <c r="AI1085" s="138"/>
      <c r="AJ1085" s="138"/>
      <c r="AK1085" s="138"/>
      <c r="AL1085" s="142"/>
    </row>
    <row r="1086" ht="20.25" customHeight="1">
      <c r="A1086" s="155" t="str">
        <f>IFERROR(__xludf.DUMMYFUNCTION("""COMPUTED_VALUE"""),"C422132")</f>
        <v>C422132</v>
      </c>
      <c r="B1086" s="149" t="str">
        <f>IFERROR(__xludf.DUMMYFUNCTION("""COMPUTED_VALUE"""),"San Francisco")</f>
        <v>San Francisco</v>
      </c>
      <c r="C1086" s="149" t="str">
        <f>IFERROR(__xludf.DUMMYFUNCTION("""COMPUTED_VALUE"""),"CA")</f>
        <v>CA</v>
      </c>
      <c r="D1086" s="149" t="str">
        <f>IFERROR(__xludf.DUMMYFUNCTION("""COMPUTED_VALUE"""),"USA")</f>
        <v>USA</v>
      </c>
      <c r="E1086" s="156">
        <f>IFERROR(__xludf.DUMMYFUNCTION("""COMPUTED_VALUE"""),44132.0)</f>
        <v>44132</v>
      </c>
      <c r="F1086" s="129">
        <f>IFERROR(__xludf.DUMMYFUNCTION("""COMPUTED_VALUE"""),44177.0)</f>
        <v>44177</v>
      </c>
      <c r="G1086" s="154" t="str">
        <f>IFERROR(__xludf.DUMMYFUNCTION("""COMPUTED_VALUE"""),"Manage order page (normal text)")</f>
        <v>Manage order page (normal text)</v>
      </c>
      <c r="H1086" s="131">
        <f>IFERROR(__xludf.DUMMYFUNCTION("""COMPUTED_VALUE"""),859101.0)</f>
        <v>859101</v>
      </c>
      <c r="I1086" s="144"/>
      <c r="J1086" s="129">
        <f>IFERROR(__xludf.DUMMYFUNCTION("""COMPUTED_VALUE"""),44180.0)</f>
        <v>44180</v>
      </c>
      <c r="K1086" s="133">
        <f>IFERROR(__xludf.DUMMYFUNCTION("""COMPUTED_VALUE"""),45.0)</f>
        <v>45</v>
      </c>
      <c r="L1086" s="133">
        <f>IFERROR(__xludf.DUMMYFUNCTION("""COMPUTED_VALUE"""),3.0)</f>
        <v>3</v>
      </c>
      <c r="M1086" s="133">
        <f>IFERROR(__xludf.DUMMYFUNCTION("""COMPUTED_VALUE"""),48.0)</f>
        <v>48</v>
      </c>
      <c r="N1086" s="152" t="str">
        <f>IFERROR(__xludf.DUMMYFUNCTION("""COMPUTED_VALUE"""),"Model 3 LR AWD")</f>
        <v>Model 3 LR AWD</v>
      </c>
      <c r="O1086" s="152" t="str">
        <f>IFERROR(__xludf.DUMMYFUNCTION("""COMPUTED_VALUE"""),"Pearl White Multi-Coat")</f>
        <v>Pearl White Multi-Coat</v>
      </c>
      <c r="P1086" s="153" t="str">
        <f>IFERROR(__xludf.DUMMYFUNCTION("""COMPUTED_VALUE"""),"18 inch")</f>
        <v>18 inch</v>
      </c>
      <c r="Q1086" s="152" t="str">
        <f>IFERROR(__xludf.DUMMYFUNCTION("""COMPUTED_VALUE"""),"All Black")</f>
        <v>All Black</v>
      </c>
      <c r="R1086" s="149" t="str">
        <f>IFERROR(__xludf.DUMMYFUNCTION("""COMPUTED_VALUE"""),"Autopilot included")</f>
        <v>Autopilot included</v>
      </c>
      <c r="S1086" s="149" t="str">
        <f>IFERROR(__xludf.DUMMYFUNCTION("""COMPUTED_VALUE"""),"Loan")</f>
        <v>Loan</v>
      </c>
      <c r="T1086" s="145" t="str">
        <f>IFERROR(__xludf.DUMMYFUNCTION("""COMPUTED_VALUE"""),"Toyota Corolla")</f>
        <v>Toyota Corolla</v>
      </c>
      <c r="U1086" s="145"/>
      <c r="V1086" s="145" t="str">
        <f>IFERROR(__xludf.DUMMYFUNCTION("""COMPUTED_VALUE"""),"360° Bird's eye view")</f>
        <v>360° Bird's eye view</v>
      </c>
      <c r="W1086" s="145"/>
      <c r="X1086" s="137" t="str">
        <f>IFERROR(__xludf.DUMMYFUNCTION("""COMPUTED_VALUE"""),"Poor")</f>
        <v>Poor</v>
      </c>
      <c r="Y1086" s="138" t="str">
        <f>IFERROR(__xludf.DUMMYFUNCTION("""COMPUTED_VALUE"""),"Fair")</f>
        <v>Fair</v>
      </c>
      <c r="Z1086" s="138" t="str">
        <f>IFERROR(__xludf.DUMMYFUNCTION("""COMPUTED_VALUE"""),"Good")</f>
        <v>Good</v>
      </c>
      <c r="AA1086" s="138" t="str">
        <f>IFERROR(__xludf.DUMMYFUNCTION("""COMPUTED_VALUE"""),"Fair")</f>
        <v>Fair</v>
      </c>
      <c r="AB1086" s="138" t="str">
        <f>IFERROR(__xludf.DUMMYFUNCTION("""COMPUTED_VALUE"""),"Fair")</f>
        <v>Fair</v>
      </c>
      <c r="AC1086" s="139">
        <f>IFERROR(__xludf.DUMMYFUNCTION("""COMPUTED_VALUE"""),5.0)</f>
        <v>5</v>
      </c>
      <c r="AD1086" s="139">
        <f>IFERROR(__xludf.DUMMYFUNCTION("""COMPUTED_VALUE"""),1.0)</f>
        <v>1</v>
      </c>
      <c r="AE1086" s="139"/>
      <c r="AF1086" s="140" t="str">
        <f>IFERROR(__xludf.DUMMYFUNCTION("""COMPUTED_VALUE"""),"No. I took delivery of the first car Tesla was able to deliver.")</f>
        <v>No. I took delivery of the first car Tesla was able to deliver.</v>
      </c>
      <c r="AG1086" s="145"/>
      <c r="AH1086" s="157">
        <f>IFERROR(__xludf.DUMMYFUNCTION("""COMPUTED_VALUE"""),44189.06048199074)</f>
        <v>44189.06048</v>
      </c>
      <c r="AI1086" s="138"/>
      <c r="AJ1086" s="138"/>
      <c r="AK1086" s="138"/>
      <c r="AL1086" s="142"/>
    </row>
    <row r="1087" ht="20.25" customHeight="1">
      <c r="A1087" s="155" t="str">
        <f>IFERROR(__xludf.DUMMYFUNCTION("""COMPUTED_VALUE"""),"Fitu")</f>
        <v>Fitu</v>
      </c>
      <c r="B1087" s="149" t="str">
        <f>IFERROR(__xludf.DUMMYFUNCTION("""COMPUTED_VALUE"""),"Miami")</f>
        <v>Miami</v>
      </c>
      <c r="C1087" s="149" t="str">
        <f>IFERROR(__xludf.DUMMYFUNCTION("""COMPUTED_VALUE"""),"FL")</f>
        <v>FL</v>
      </c>
      <c r="D1087" s="149" t="str">
        <f>IFERROR(__xludf.DUMMYFUNCTION("""COMPUTED_VALUE"""),"USA")</f>
        <v>USA</v>
      </c>
      <c r="E1087" s="156">
        <f>IFERROR(__xludf.DUMMYFUNCTION("""COMPUTED_VALUE"""),44132.0)</f>
        <v>44132</v>
      </c>
      <c r="F1087" s="129">
        <f>IFERROR(__xludf.DUMMYFUNCTION("""COMPUTED_VALUE"""),44169.0)</f>
        <v>44169</v>
      </c>
      <c r="G1087" s="154"/>
      <c r="H1087" s="131">
        <f>IFERROR(__xludf.DUMMYFUNCTION("""COMPUTED_VALUE"""),856619.0)</f>
        <v>856619</v>
      </c>
      <c r="I1087" s="144"/>
      <c r="J1087" s="129">
        <f>IFERROR(__xludf.DUMMYFUNCTION("""COMPUTED_VALUE"""),44185.0)</f>
        <v>44185</v>
      </c>
      <c r="K1087" s="133">
        <f>IFERROR(__xludf.DUMMYFUNCTION("""COMPUTED_VALUE"""),37.0)</f>
        <v>37</v>
      </c>
      <c r="L1087" s="133">
        <f>IFERROR(__xludf.DUMMYFUNCTION("""COMPUTED_VALUE"""),16.0)</f>
        <v>16</v>
      </c>
      <c r="M1087" s="133">
        <f>IFERROR(__xludf.DUMMYFUNCTION("""COMPUTED_VALUE"""),53.0)</f>
        <v>53</v>
      </c>
      <c r="N1087" s="152" t="str">
        <f>IFERROR(__xludf.DUMMYFUNCTION("""COMPUTED_VALUE"""),"Model 3 SR+")</f>
        <v>Model 3 SR+</v>
      </c>
      <c r="O1087" s="152" t="str">
        <f>IFERROR(__xludf.DUMMYFUNCTION("""COMPUTED_VALUE"""),"Midnight Silver Metallic")</f>
        <v>Midnight Silver Metallic</v>
      </c>
      <c r="P1087" s="153" t="str">
        <f>IFERROR(__xludf.DUMMYFUNCTION("""COMPUTED_VALUE"""),"19 inch")</f>
        <v>19 inch</v>
      </c>
      <c r="Q1087" s="152" t="str">
        <f>IFERROR(__xludf.DUMMYFUNCTION("""COMPUTED_VALUE"""),"All Black")</f>
        <v>All Black</v>
      </c>
      <c r="R1087" s="149" t="str">
        <f>IFERROR(__xludf.DUMMYFUNCTION("""COMPUTED_VALUE"""),"Autopilot included")</f>
        <v>Autopilot included</v>
      </c>
      <c r="S1087" s="149" t="str">
        <f>IFERROR(__xludf.DUMMYFUNCTION("""COMPUTED_VALUE"""),"Lease")</f>
        <v>Lease</v>
      </c>
      <c r="T1087" s="145" t="str">
        <f>IFERROR(__xludf.DUMMYFUNCTION("""COMPUTED_VALUE"""),"Mercedez gLE 350")</f>
        <v>Mercedez gLE 350</v>
      </c>
      <c r="U1087" s="145" t="str">
        <f>IFERROR(__xludf.DUMMYFUNCTION("""COMPUTED_VALUE"""),"Tesla brand image")</f>
        <v>Tesla brand image</v>
      </c>
      <c r="V1087" s="145"/>
      <c r="W1087" s="136"/>
      <c r="X1087" s="137" t="str">
        <f>IFERROR(__xludf.DUMMYFUNCTION("""COMPUTED_VALUE"""),"Excellent")</f>
        <v>Excellent</v>
      </c>
      <c r="Y1087" s="138" t="str">
        <f>IFERROR(__xludf.DUMMYFUNCTION("""COMPUTED_VALUE"""),"Excellent")</f>
        <v>Excellent</v>
      </c>
      <c r="Z1087" s="138" t="str">
        <f>IFERROR(__xludf.DUMMYFUNCTION("""COMPUTED_VALUE"""),"Excellent")</f>
        <v>Excellent</v>
      </c>
      <c r="AA1087" s="138" t="str">
        <f>IFERROR(__xludf.DUMMYFUNCTION("""COMPUTED_VALUE"""),"Excellent")</f>
        <v>Excellent</v>
      </c>
      <c r="AB1087" s="138" t="str">
        <f>IFERROR(__xludf.DUMMYFUNCTION("""COMPUTED_VALUE"""),"Excellent")</f>
        <v>Excellent</v>
      </c>
      <c r="AC1087" s="139">
        <f>IFERROR(__xludf.DUMMYFUNCTION("""COMPUTED_VALUE"""),0.0)</f>
        <v>0</v>
      </c>
      <c r="AD1087" s="139">
        <f>IFERROR(__xludf.DUMMYFUNCTION("""COMPUTED_VALUE"""),0.0)</f>
        <v>0</v>
      </c>
      <c r="AE1087" s="139">
        <f>IFERROR(__xludf.DUMMYFUNCTION("""COMPUTED_VALUE"""),0.0)</f>
        <v>0</v>
      </c>
      <c r="AF1087" s="140" t="str">
        <f>IFERROR(__xludf.DUMMYFUNCTION("""COMPUTED_VALUE"""),"No. I took delivery of the first car Tesla was able to deliver.")</f>
        <v>No. I took delivery of the first car Tesla was able to deliver.</v>
      </c>
      <c r="AG1087" s="136" t="str">
        <f>IFERROR(__xludf.DUMMYFUNCTION("""COMPUTED_VALUE"""),"Estimated Delivery Date push to Dec 17-23")</f>
        <v>Estimated Delivery Date push to Dec 17-23</v>
      </c>
      <c r="AH1087" s="157">
        <f>IFERROR(__xludf.DUMMYFUNCTION("""COMPUTED_VALUE"""),44183.79817259259)</f>
        <v>44183.79817</v>
      </c>
      <c r="AI1087" s="138"/>
      <c r="AJ1087" s="138"/>
      <c r="AK1087" s="138"/>
      <c r="AL1087" s="142"/>
    </row>
    <row r="1088" ht="20.25" customHeight="1">
      <c r="A1088" s="155" t="str">
        <f>IFERROR(__xludf.DUMMYFUNCTION("""COMPUTED_VALUE"""),"LandoAWD")</f>
        <v>LandoAWD</v>
      </c>
      <c r="B1088" s="149" t="str">
        <f>IFERROR(__xludf.DUMMYFUNCTION("""COMPUTED_VALUE"""),"Hillsborough")</f>
        <v>Hillsborough</v>
      </c>
      <c r="C1088" s="149" t="str">
        <f>IFERROR(__xludf.DUMMYFUNCTION("""COMPUTED_VALUE"""),"NC")</f>
        <v>NC</v>
      </c>
      <c r="D1088" s="149" t="str">
        <f>IFERROR(__xludf.DUMMYFUNCTION("""COMPUTED_VALUE"""),"USA")</f>
        <v>USA</v>
      </c>
      <c r="E1088" s="156">
        <f>IFERROR(__xludf.DUMMYFUNCTION("""COMPUTED_VALUE"""),44132.0)</f>
        <v>44132</v>
      </c>
      <c r="F1088" s="129">
        <f>IFERROR(__xludf.DUMMYFUNCTION("""COMPUTED_VALUE"""),44174.0)</f>
        <v>44174</v>
      </c>
      <c r="G1088" s="154" t="str">
        <f>IFERROR(__xludf.DUMMYFUNCTION("""COMPUTED_VALUE"""),"Manage order page (normal text)")</f>
        <v>Manage order page (normal text)</v>
      </c>
      <c r="H1088" s="131">
        <f>IFERROR(__xludf.DUMMYFUNCTION("""COMPUTED_VALUE"""),862655.0)</f>
        <v>862655</v>
      </c>
      <c r="I1088" s="144"/>
      <c r="J1088" s="129">
        <f>IFERROR(__xludf.DUMMYFUNCTION("""COMPUTED_VALUE"""),44185.0)</f>
        <v>44185</v>
      </c>
      <c r="K1088" s="133">
        <f>IFERROR(__xludf.DUMMYFUNCTION("""COMPUTED_VALUE"""),42.0)</f>
        <v>42</v>
      </c>
      <c r="L1088" s="133">
        <f>IFERROR(__xludf.DUMMYFUNCTION("""COMPUTED_VALUE"""),11.0)</f>
        <v>11</v>
      </c>
      <c r="M1088" s="133">
        <f>IFERROR(__xludf.DUMMYFUNCTION("""COMPUTED_VALUE"""),53.0)</f>
        <v>53</v>
      </c>
      <c r="N1088" s="152" t="str">
        <f>IFERROR(__xludf.DUMMYFUNCTION("""COMPUTED_VALUE"""),"Model 3 LR AWD")</f>
        <v>Model 3 LR AWD</v>
      </c>
      <c r="O1088" s="152" t="str">
        <f>IFERROR(__xludf.DUMMYFUNCTION("""COMPUTED_VALUE"""),"Midnight Silver Metallic")</f>
        <v>Midnight Silver Metallic</v>
      </c>
      <c r="P1088" s="153" t="str">
        <f>IFERROR(__xludf.DUMMYFUNCTION("""COMPUTED_VALUE"""),"19 inch")</f>
        <v>19 inch</v>
      </c>
      <c r="Q1088" s="152" t="str">
        <f>IFERROR(__xludf.DUMMYFUNCTION("""COMPUTED_VALUE"""),"All Black")</f>
        <v>All Black</v>
      </c>
      <c r="R1088" s="149" t="str">
        <f>IFERROR(__xludf.DUMMYFUNCTION("""COMPUTED_VALUE"""),"Autopilot included")</f>
        <v>Autopilot included</v>
      </c>
      <c r="S1088" s="149" t="str">
        <f>IFERROR(__xludf.DUMMYFUNCTION("""COMPUTED_VALUE"""),"Loan")</f>
        <v>Loan</v>
      </c>
      <c r="T1088" s="145" t="str">
        <f>IFERROR(__xludf.DUMMYFUNCTION("""COMPUTED_VALUE"""),"Challenger Hellcat")</f>
        <v>Challenger Hellcat</v>
      </c>
      <c r="U1088" s="145"/>
      <c r="V1088" s="145" t="str">
        <f>IFERROR(__xludf.DUMMYFUNCTION("""COMPUTED_VALUE"""),"Air suspension")</f>
        <v>Air suspension</v>
      </c>
      <c r="W1088" s="145" t="str">
        <f>IFERROR(__xludf.DUMMYFUNCTION("""COMPUTED_VALUE"""),"Don't expect a typical cat buying experience. ")</f>
        <v>Don't expect a typical cat buying experience. </v>
      </c>
      <c r="X1088" s="137" t="str">
        <f>IFERROR(__xludf.DUMMYFUNCTION("""COMPUTED_VALUE"""),"Very Good")</f>
        <v>Very Good</v>
      </c>
      <c r="Y1088" s="138" t="str">
        <f>IFERROR(__xludf.DUMMYFUNCTION("""COMPUTED_VALUE"""),"Excellent")</f>
        <v>Excellent</v>
      </c>
      <c r="Z1088" s="138" t="str">
        <f>IFERROR(__xludf.DUMMYFUNCTION("""COMPUTED_VALUE"""),"Excellent")</f>
        <v>Excellent</v>
      </c>
      <c r="AA1088" s="138" t="str">
        <f>IFERROR(__xludf.DUMMYFUNCTION("""COMPUTED_VALUE"""),"Good")</f>
        <v>Good</v>
      </c>
      <c r="AB1088" s="138" t="str">
        <f>IFERROR(__xludf.DUMMYFUNCTION("""COMPUTED_VALUE"""),"Excellent")</f>
        <v>Excellent</v>
      </c>
      <c r="AC1088" s="139"/>
      <c r="AD1088" s="139"/>
      <c r="AE1088" s="139"/>
      <c r="AF1088" s="140" t="str">
        <f>IFERROR(__xludf.DUMMYFUNCTION("""COMPUTED_VALUE"""),"No. I took delivery of the first car Tesla was able to deliver.")</f>
        <v>No. I took delivery of the first car Tesla was able to deliver.</v>
      </c>
      <c r="AG1088" s="145"/>
      <c r="AH1088" s="157">
        <f>IFERROR(__xludf.DUMMYFUNCTION("""COMPUTED_VALUE"""),44185.68773283564)</f>
        <v>44185.68773</v>
      </c>
      <c r="AI1088" s="138"/>
      <c r="AJ1088" s="138"/>
      <c r="AK1088" s="138"/>
      <c r="AL1088" s="142"/>
    </row>
    <row r="1089" ht="20.25" customHeight="1">
      <c r="A1089" s="155" t="str">
        <f>IFERROR(__xludf.DUMMYFUNCTION("""COMPUTED_VALUE"""),"neskiredk")</f>
        <v>neskiredk</v>
      </c>
      <c r="B1089" s="150" t="str">
        <f>IFERROR(__xludf.DUMMYFUNCTION("""COMPUTED_VALUE"""),"Roskilde, Denmark")</f>
        <v>Roskilde, Denmark</v>
      </c>
      <c r="C1089" s="150"/>
      <c r="D1089" s="150" t="str">
        <f>IFERROR(__xludf.DUMMYFUNCTION("""COMPUTED_VALUE"""),"Other (include country together with city)")</f>
        <v>Other (include country together with city)</v>
      </c>
      <c r="E1089" s="156">
        <f>IFERROR(__xludf.DUMMYFUNCTION("""COMPUTED_VALUE"""),44132.0)</f>
        <v>44132</v>
      </c>
      <c r="F1089" s="129">
        <f>IFERROR(__xludf.DUMMYFUNCTION("""COMPUTED_VALUE"""),44173.0)</f>
        <v>44173</v>
      </c>
      <c r="G1089" s="154" t="str">
        <f>IFERROR(__xludf.DUMMYFUNCTION("""COMPUTED_VALUE"""),"Email")</f>
        <v>Email</v>
      </c>
      <c r="H1089" s="131">
        <f>IFERROR(__xludf.DUMMYFUNCTION("""COMPUTED_VALUE"""),838055.0)</f>
        <v>838055</v>
      </c>
      <c r="I1089" s="132" t="str">
        <f>IFERROR(__xludf.DUMMYFUNCTION("""COMPUTED_VALUE"""),"11/20")</f>
        <v>11/20</v>
      </c>
      <c r="J1089" s="129">
        <f>IFERROR(__xludf.DUMMYFUNCTION("""COMPUTED_VALUE"""),44184.0)</f>
        <v>44184</v>
      </c>
      <c r="K1089" s="133">
        <f>IFERROR(__xludf.DUMMYFUNCTION("""COMPUTED_VALUE"""),41.0)</f>
        <v>41</v>
      </c>
      <c r="L1089" s="133">
        <f>IFERROR(__xludf.DUMMYFUNCTION("""COMPUTED_VALUE"""),11.0)</f>
        <v>11</v>
      </c>
      <c r="M1089" s="133">
        <f>IFERROR(__xludf.DUMMYFUNCTION("""COMPUTED_VALUE"""),52.0)</f>
        <v>52</v>
      </c>
      <c r="N1089" s="152" t="str">
        <f>IFERROR(__xludf.DUMMYFUNCTION("""COMPUTED_VALUE"""),"Model 3 LR AWD")</f>
        <v>Model 3 LR AWD</v>
      </c>
      <c r="O1089" s="152" t="str">
        <f>IFERROR(__xludf.DUMMYFUNCTION("""COMPUTED_VALUE"""),"Pearl White Multi-Coat")</f>
        <v>Pearl White Multi-Coat</v>
      </c>
      <c r="P1089" s="153" t="str">
        <f>IFERROR(__xludf.DUMMYFUNCTION("""COMPUTED_VALUE"""),"18 inch")</f>
        <v>18 inch</v>
      </c>
      <c r="Q1089" s="152" t="str">
        <f>IFERROR(__xludf.DUMMYFUNCTION("""COMPUTED_VALUE"""),"Black and White")</f>
        <v>Black and White</v>
      </c>
      <c r="R1089" s="150" t="str">
        <f>IFERROR(__xludf.DUMMYFUNCTION("""COMPUTED_VALUE"""),"Autopilot included")</f>
        <v>Autopilot included</v>
      </c>
      <c r="S1089" s="150" t="str">
        <f>IFERROR(__xludf.DUMMYFUNCTION("""COMPUTED_VALUE"""),"Loan")</f>
        <v>Loan</v>
      </c>
      <c r="T1089" s="145" t="str">
        <f>IFERROR(__xludf.DUMMYFUNCTION("""COMPUTED_VALUE"""),"Model 3 will be my first car!")</f>
        <v>Model 3 will be my first car!</v>
      </c>
      <c r="U1089" s="145" t="str">
        <f>IFERROR(__xludf.DUMMYFUNCTION("""COMPUTED_VALUE"""),"Electric!")</f>
        <v>Electric!</v>
      </c>
      <c r="V1089" s="136" t="str">
        <f>IFERROR(__xludf.DUMMYFUNCTION("""COMPUTED_VALUE"""),"360° Bird's eye view")</f>
        <v>360° Bird's eye view</v>
      </c>
      <c r="W1089" s="136" t="str">
        <f>IFERROR(__xludf.DUMMYFUNCTION("""COMPUTED_VALUE"""),"Check for errors, they all have them. ")</f>
        <v>Check for errors, they all have them. </v>
      </c>
      <c r="X1089" s="137" t="str">
        <f>IFERROR(__xludf.DUMMYFUNCTION("""COMPUTED_VALUE"""),"Very Good")</f>
        <v>Very Good</v>
      </c>
      <c r="Y1089" s="138" t="str">
        <f>IFERROR(__xludf.DUMMYFUNCTION("""COMPUTED_VALUE"""),"Very Good")</f>
        <v>Very Good</v>
      </c>
      <c r="Z1089" s="138" t="str">
        <f>IFERROR(__xludf.DUMMYFUNCTION("""COMPUTED_VALUE"""),"Very Good")</f>
        <v>Very Good</v>
      </c>
      <c r="AA1089" s="138" t="str">
        <f>IFERROR(__xludf.DUMMYFUNCTION("""COMPUTED_VALUE"""),"Excellent")</f>
        <v>Excellent</v>
      </c>
      <c r="AB1089" s="138" t="str">
        <f>IFERROR(__xludf.DUMMYFUNCTION("""COMPUTED_VALUE"""),"Excellent")</f>
        <v>Excellent</v>
      </c>
      <c r="AC1089" s="139">
        <f>IFERROR(__xludf.DUMMYFUNCTION("""COMPUTED_VALUE"""),3.0)</f>
        <v>3</v>
      </c>
      <c r="AD1089" s="139">
        <f>IFERROR(__xludf.DUMMYFUNCTION("""COMPUTED_VALUE"""),1.0)</f>
        <v>1</v>
      </c>
      <c r="AE1089" s="139"/>
      <c r="AF1089" s="140" t="str">
        <f>IFERROR(__xludf.DUMMYFUNCTION("""COMPUTED_VALUE"""),"No. I took delivery of the first car Tesla was able to deliver.")</f>
        <v>No. I took delivery of the first car Tesla was able to deliver.</v>
      </c>
      <c r="AG1089" s="136" t="str">
        <f>IFERROR(__xludf.DUMMYFUNCTION("""COMPUTED_VALUE"""),"Delivery window chosen and confirmed, 21 dec. ")</f>
        <v>Delivery window chosen and confirmed, 21 dec. </v>
      </c>
      <c r="AH1089" s="157">
        <f>IFERROR(__xludf.DUMMYFUNCTION("""COMPUTED_VALUE"""),44185.01702825232)</f>
        <v>44185.01703</v>
      </c>
      <c r="AI1089" s="138"/>
      <c r="AJ1089" s="138"/>
      <c r="AK1089" s="138"/>
      <c r="AL1089" s="142"/>
    </row>
    <row r="1090" ht="20.25" customHeight="1">
      <c r="A1090" s="155" t="str">
        <f>IFERROR(__xludf.DUMMYFUNCTION("""COMPUTED_VALUE"""),"rnewb")</f>
        <v>rnewb</v>
      </c>
      <c r="B1090" s="149" t="str">
        <f>IFERROR(__xludf.DUMMYFUNCTION("""COMPUTED_VALUE"""),"Atlanta")</f>
        <v>Atlanta</v>
      </c>
      <c r="C1090" s="149" t="str">
        <f>IFERROR(__xludf.DUMMYFUNCTION("""COMPUTED_VALUE"""),"GA")</f>
        <v>GA</v>
      </c>
      <c r="D1090" s="149" t="str">
        <f>IFERROR(__xludf.DUMMYFUNCTION("""COMPUTED_VALUE"""),"USA")</f>
        <v>USA</v>
      </c>
      <c r="E1090" s="156">
        <f>IFERROR(__xludf.DUMMYFUNCTION("""COMPUTED_VALUE"""),44131.0)</f>
        <v>44131</v>
      </c>
      <c r="F1090" s="129">
        <f>IFERROR(__xludf.DUMMYFUNCTION("""COMPUTED_VALUE"""),44164.0)</f>
        <v>44164</v>
      </c>
      <c r="G1090" s="154" t="str">
        <f>IFERROR(__xludf.DUMMYFUNCTION("""COMPUTED_VALUE"""),"Manage order page (normal text)")</f>
        <v>Manage order page (normal text)</v>
      </c>
      <c r="H1090" s="131">
        <f>IFERROR(__xludf.DUMMYFUNCTION("""COMPUTED_VALUE"""),850155.0)</f>
        <v>850155</v>
      </c>
      <c r="I1090" s="144" t="str">
        <f>IFERROR(__xludf.DUMMYFUNCTION("""COMPUTED_VALUE"""),"11/20")</f>
        <v>11/20</v>
      </c>
      <c r="J1090" s="129">
        <f>IFERROR(__xludf.DUMMYFUNCTION("""COMPUTED_VALUE"""),44179.0)</f>
        <v>44179</v>
      </c>
      <c r="K1090" s="133">
        <f>IFERROR(__xludf.DUMMYFUNCTION("""COMPUTED_VALUE"""),33.0)</f>
        <v>33</v>
      </c>
      <c r="L1090" s="133">
        <f>IFERROR(__xludf.DUMMYFUNCTION("""COMPUTED_VALUE"""),15.0)</f>
        <v>15</v>
      </c>
      <c r="M1090" s="133">
        <f>IFERROR(__xludf.DUMMYFUNCTION("""COMPUTED_VALUE"""),48.0)</f>
        <v>48</v>
      </c>
      <c r="N1090" s="152" t="str">
        <f>IFERROR(__xludf.DUMMYFUNCTION("""COMPUTED_VALUE"""),"Model 3 Performance")</f>
        <v>Model 3 Performance</v>
      </c>
      <c r="O1090" s="152" t="str">
        <f>IFERROR(__xludf.DUMMYFUNCTION("""COMPUTED_VALUE"""),"Midnight Silver Metallic")</f>
        <v>Midnight Silver Metallic</v>
      </c>
      <c r="P1090" s="153" t="str">
        <f>IFERROR(__xludf.DUMMYFUNCTION("""COMPUTED_VALUE"""),"20 inch")</f>
        <v>20 inch</v>
      </c>
      <c r="Q1090" s="152" t="str">
        <f>IFERROR(__xludf.DUMMYFUNCTION("""COMPUTED_VALUE"""),"All Black")</f>
        <v>All Black</v>
      </c>
      <c r="R1090" s="149" t="str">
        <f>IFERROR(__xludf.DUMMYFUNCTION("""COMPUTED_VALUE"""),"Autopilot included")</f>
        <v>Autopilot included</v>
      </c>
      <c r="S1090" s="149" t="str">
        <f>IFERROR(__xludf.DUMMYFUNCTION("""COMPUTED_VALUE"""),"Loan")</f>
        <v>Loan</v>
      </c>
      <c r="T1090" s="145" t="str">
        <f>IFERROR(__xludf.DUMMYFUNCTION("""COMPUTED_VALUE"""),"BMW 5 Series")</f>
        <v>BMW 5 Series</v>
      </c>
      <c r="U1090" s="145" t="str">
        <f>IFERROR(__xludf.DUMMYFUNCTION("""COMPUTED_VALUE"""),"Electric!")</f>
        <v>Electric!</v>
      </c>
      <c r="V1090" s="145" t="str">
        <f>IFERROR(__xludf.DUMMYFUNCTION("""COMPUTED_VALUE"""),"360° Bird's eye view")</f>
        <v>360° Bird's eye view</v>
      </c>
      <c r="W1090" s="136"/>
      <c r="X1090" s="137" t="str">
        <f>IFERROR(__xludf.DUMMYFUNCTION("""COMPUTED_VALUE"""),"Very Good")</f>
        <v>Very Good</v>
      </c>
      <c r="Y1090" s="138" t="str">
        <f>IFERROR(__xludf.DUMMYFUNCTION("""COMPUTED_VALUE"""),"Excellent")</f>
        <v>Excellent</v>
      </c>
      <c r="Z1090" s="138" t="str">
        <f>IFERROR(__xludf.DUMMYFUNCTION("""COMPUTED_VALUE"""),"Excellent")</f>
        <v>Excellent</v>
      </c>
      <c r="AA1090" s="138" t="str">
        <f>IFERROR(__xludf.DUMMYFUNCTION("""COMPUTED_VALUE"""),"Very Good")</f>
        <v>Very Good</v>
      </c>
      <c r="AB1090" s="138" t="str">
        <f>IFERROR(__xludf.DUMMYFUNCTION("""COMPUTED_VALUE"""),"Very Good")</f>
        <v>Very Good</v>
      </c>
      <c r="AC1090" s="139"/>
      <c r="AD1090" s="139"/>
      <c r="AE1090" s="139"/>
      <c r="AF1090" s="140" t="str">
        <f>IFERROR(__xludf.DUMMYFUNCTION("""COMPUTED_VALUE"""),"No. I took delivery of the first car Tesla was able to deliver.")</f>
        <v>No. I took delivery of the first car Tesla was able to deliver.</v>
      </c>
      <c r="AG1090" s="136"/>
      <c r="AH1090" s="157">
        <f>IFERROR(__xludf.DUMMYFUNCTION("""COMPUTED_VALUE"""),44182.96387393519)</f>
        <v>44182.96387</v>
      </c>
      <c r="AI1090" s="138"/>
      <c r="AJ1090" s="138"/>
      <c r="AK1090" s="138"/>
      <c r="AL1090" s="142"/>
    </row>
    <row r="1091" ht="20.25" customHeight="1">
      <c r="A1091" s="155" t="str">
        <f>IFERROR(__xludf.DUMMYFUNCTION("""COMPUTED_VALUE"""),"droplit_")</f>
        <v>droplit_</v>
      </c>
      <c r="B1091" s="149" t="str">
        <f>IFERROR(__xludf.DUMMYFUNCTION("""COMPUTED_VALUE"""),"Boston")</f>
        <v>Boston</v>
      </c>
      <c r="C1091" s="149" t="str">
        <f>IFERROR(__xludf.DUMMYFUNCTION("""COMPUTED_VALUE"""),"MA")</f>
        <v>MA</v>
      </c>
      <c r="D1091" s="149" t="str">
        <f>IFERROR(__xludf.DUMMYFUNCTION("""COMPUTED_VALUE"""),"USA")</f>
        <v>USA</v>
      </c>
      <c r="E1091" s="156">
        <f>IFERROR(__xludf.DUMMYFUNCTION("""COMPUTED_VALUE"""),44130.0)</f>
        <v>44130</v>
      </c>
      <c r="F1091" s="129">
        <f>IFERROR(__xludf.DUMMYFUNCTION("""COMPUTED_VALUE"""),44160.0)</f>
        <v>44160</v>
      </c>
      <c r="G1091" s="154" t="str">
        <f>IFERROR(__xludf.DUMMYFUNCTION("""COMPUTED_VALUE"""),"Email")</f>
        <v>Email</v>
      </c>
      <c r="H1091" s="131">
        <f>IFERROR(__xludf.DUMMYFUNCTION("""COMPUTED_VALUE"""),848855.0)</f>
        <v>848855</v>
      </c>
      <c r="I1091" s="132"/>
      <c r="J1091" s="129">
        <f>IFERROR(__xludf.DUMMYFUNCTION("""COMPUTED_VALUE"""),44173.0)</f>
        <v>44173</v>
      </c>
      <c r="K1091" s="133">
        <f>IFERROR(__xludf.DUMMYFUNCTION("""COMPUTED_VALUE"""),30.0)</f>
        <v>30</v>
      </c>
      <c r="L1091" s="133">
        <f>IFERROR(__xludf.DUMMYFUNCTION("""COMPUTED_VALUE"""),13.0)</f>
        <v>13</v>
      </c>
      <c r="M1091" s="133">
        <f>IFERROR(__xludf.DUMMYFUNCTION("""COMPUTED_VALUE"""),43.0)</f>
        <v>43</v>
      </c>
      <c r="N1091" s="152" t="str">
        <f>IFERROR(__xludf.DUMMYFUNCTION("""COMPUTED_VALUE"""),"Model 3 LR AWD")</f>
        <v>Model 3 LR AWD</v>
      </c>
      <c r="O1091" s="152" t="str">
        <f>IFERROR(__xludf.DUMMYFUNCTION("""COMPUTED_VALUE"""),"Deep Blue Metallic")</f>
        <v>Deep Blue Metallic</v>
      </c>
      <c r="P1091" s="153" t="str">
        <f>IFERROR(__xludf.DUMMYFUNCTION("""COMPUTED_VALUE"""),"18 inch")</f>
        <v>18 inch</v>
      </c>
      <c r="Q1091" s="152" t="str">
        <f>IFERROR(__xludf.DUMMYFUNCTION("""COMPUTED_VALUE"""),"All Black")</f>
        <v>All Black</v>
      </c>
      <c r="R1091" s="150" t="str">
        <f>IFERROR(__xludf.DUMMYFUNCTION("""COMPUTED_VALUE"""),"Autopilot included")</f>
        <v>Autopilot included</v>
      </c>
      <c r="S1091" s="150" t="str">
        <f>IFERROR(__xludf.DUMMYFUNCTION("""COMPUTED_VALUE"""),"Loan")</f>
        <v>Loan</v>
      </c>
      <c r="T1091" s="136" t="str">
        <f>IFERROR(__xludf.DUMMYFUNCTION("""COMPUTED_VALUE"""),"03 Acura TL")</f>
        <v>03 Acura TL</v>
      </c>
      <c r="U1091" s="136" t="str">
        <f>IFERROR(__xludf.DUMMYFUNCTION("""COMPUTED_VALUE"""),"Electric!")</f>
        <v>Electric!</v>
      </c>
      <c r="V1091" s="136" t="str">
        <f>IFERROR(__xludf.DUMMYFUNCTION("""COMPUTED_VALUE"""),"Blind spot indicators on side mirrors")</f>
        <v>Blind spot indicators on side mirrors</v>
      </c>
      <c r="W1091" s="136"/>
      <c r="X1091" s="137" t="str">
        <f>IFERROR(__xludf.DUMMYFUNCTION("""COMPUTED_VALUE"""),"Fair")</f>
        <v>Fair</v>
      </c>
      <c r="Y1091" s="138" t="str">
        <f>IFERROR(__xludf.DUMMYFUNCTION("""COMPUTED_VALUE"""),"Fair")</f>
        <v>Fair</v>
      </c>
      <c r="Z1091" s="138" t="str">
        <f>IFERROR(__xludf.DUMMYFUNCTION("""COMPUTED_VALUE"""),"Fair")</f>
        <v>Fair</v>
      </c>
      <c r="AA1091" s="138" t="str">
        <f>IFERROR(__xludf.DUMMYFUNCTION("""COMPUTED_VALUE"""),"Good")</f>
        <v>Good</v>
      </c>
      <c r="AB1091" s="138" t="str">
        <f>IFERROR(__xludf.DUMMYFUNCTION("""COMPUTED_VALUE"""),"Good")</f>
        <v>Good</v>
      </c>
      <c r="AC1091" s="139">
        <f>IFERROR(__xludf.DUMMYFUNCTION("""COMPUTED_VALUE"""),4.0)</f>
        <v>4</v>
      </c>
      <c r="AD1091" s="139"/>
      <c r="AE1091" s="139"/>
      <c r="AF1091" s="140" t="str">
        <f>IFERROR(__xludf.DUMMYFUNCTION("""COMPUTED_VALUE"""),"No. I took delivery of the first car Tesla was able to deliver.")</f>
        <v>No. I took delivery of the first car Tesla was able to deliver.</v>
      </c>
      <c r="AG1091" s="136"/>
      <c r="AH1091" s="157">
        <f>IFERROR(__xludf.DUMMYFUNCTION("""COMPUTED_VALUE"""),44174.585947604166)</f>
        <v>44174.58595</v>
      </c>
      <c r="AI1091" s="138"/>
      <c r="AJ1091" s="138"/>
      <c r="AK1091" s="138"/>
      <c r="AL1091" s="142"/>
    </row>
    <row r="1092" ht="20.25" customHeight="1">
      <c r="A1092" s="155" t="str">
        <f>IFERROR(__xludf.DUMMYFUNCTION("""COMPUTED_VALUE"""),"jdhorner")</f>
        <v>jdhorner</v>
      </c>
      <c r="B1092" s="149" t="str">
        <f>IFERROR(__xludf.DUMMYFUNCTION("""COMPUTED_VALUE"""),"Montreal")</f>
        <v>Montreal</v>
      </c>
      <c r="C1092" s="149" t="str">
        <f>IFERROR(__xludf.DUMMYFUNCTION("""COMPUTED_VALUE"""),"QC")</f>
        <v>QC</v>
      </c>
      <c r="D1092" s="149" t="str">
        <f>IFERROR(__xludf.DUMMYFUNCTION("""COMPUTED_VALUE"""),"Canada")</f>
        <v>Canada</v>
      </c>
      <c r="E1092" s="156">
        <f>IFERROR(__xludf.DUMMYFUNCTION("""COMPUTED_VALUE"""),44130.0)</f>
        <v>44130</v>
      </c>
      <c r="F1092" s="129">
        <f>IFERROR(__xludf.DUMMYFUNCTION("""COMPUTED_VALUE"""),44182.0)</f>
        <v>44182</v>
      </c>
      <c r="G1092" s="154" t="str">
        <f>IFERROR(__xludf.DUMMYFUNCTION("""COMPUTED_VALUE"""),"Text message")</f>
        <v>Text message</v>
      </c>
      <c r="H1092" s="131">
        <f>IFERROR(__xludf.DUMMYFUNCTION("""COMPUTED_VALUE"""),853555.0)</f>
        <v>853555</v>
      </c>
      <c r="I1092" s="144" t="str">
        <f>IFERROR(__xludf.DUMMYFUNCTION("""COMPUTED_VALUE"""),"12/20")</f>
        <v>12/20</v>
      </c>
      <c r="J1092" s="129">
        <f>IFERROR(__xludf.DUMMYFUNCTION("""COMPUTED_VALUE"""),44188.0)</f>
        <v>44188</v>
      </c>
      <c r="K1092" s="133">
        <f>IFERROR(__xludf.DUMMYFUNCTION("""COMPUTED_VALUE"""),52.0)</f>
        <v>52</v>
      </c>
      <c r="L1092" s="133">
        <f>IFERROR(__xludf.DUMMYFUNCTION("""COMPUTED_VALUE"""),6.0)</f>
        <v>6</v>
      </c>
      <c r="M1092" s="133">
        <f>IFERROR(__xludf.DUMMYFUNCTION("""COMPUTED_VALUE"""),58.0)</f>
        <v>58</v>
      </c>
      <c r="N1092" s="152" t="str">
        <f>IFERROR(__xludf.DUMMYFUNCTION("""COMPUTED_VALUE"""),"Model 3 SR+")</f>
        <v>Model 3 SR+</v>
      </c>
      <c r="O1092" s="152" t="str">
        <f>IFERROR(__xludf.DUMMYFUNCTION("""COMPUTED_VALUE"""),"Deep Blue Metallic")</f>
        <v>Deep Blue Metallic</v>
      </c>
      <c r="P1092" s="153" t="str">
        <f>IFERROR(__xludf.DUMMYFUNCTION("""COMPUTED_VALUE"""),"18 inch")</f>
        <v>18 inch</v>
      </c>
      <c r="Q1092" s="152" t="str">
        <f>IFERROR(__xludf.DUMMYFUNCTION("""COMPUTED_VALUE"""),"All Black")</f>
        <v>All Black</v>
      </c>
      <c r="R1092" s="149" t="str">
        <f>IFERROR(__xludf.DUMMYFUNCTION("""COMPUTED_VALUE"""),"Autopilot included")</f>
        <v>Autopilot included</v>
      </c>
      <c r="S1092" s="149" t="str">
        <f>IFERROR(__xludf.DUMMYFUNCTION("""COMPUTED_VALUE"""),"Loan")</f>
        <v>Loan</v>
      </c>
      <c r="T1092" s="145" t="str">
        <f>IFERROR(__xludf.DUMMYFUNCTION("""COMPUTED_VALUE"""),"Volkswagen Tiguan")</f>
        <v>Volkswagen Tiguan</v>
      </c>
      <c r="U1092" s="145" t="str">
        <f>IFERROR(__xludf.DUMMYFUNCTION("""COMPUTED_VALUE"""),"Electric!")</f>
        <v>Electric!</v>
      </c>
      <c r="V1092" s="145" t="str">
        <f>IFERROR(__xludf.DUMMYFUNCTION("""COMPUTED_VALUE"""),"Apple CarPlay / Android Auto / SiriusXM Radio")</f>
        <v>Apple CarPlay / Android Auto / SiriusXM Radio</v>
      </c>
      <c r="W1092" s="145"/>
      <c r="X1092" s="137" t="str">
        <f>IFERROR(__xludf.DUMMYFUNCTION("""COMPUTED_VALUE"""),"Excellent")</f>
        <v>Excellent</v>
      </c>
      <c r="Y1092" s="138" t="str">
        <f>IFERROR(__xludf.DUMMYFUNCTION("""COMPUTED_VALUE"""),"Excellent")</f>
        <v>Excellent</v>
      </c>
      <c r="Z1092" s="138" t="str">
        <f>IFERROR(__xludf.DUMMYFUNCTION("""COMPUTED_VALUE"""),"Excellent")</f>
        <v>Excellent</v>
      </c>
      <c r="AA1092" s="138" t="str">
        <f>IFERROR(__xludf.DUMMYFUNCTION("""COMPUTED_VALUE"""),"Excellent")</f>
        <v>Excellent</v>
      </c>
      <c r="AB1092" s="138" t="str">
        <f>IFERROR(__xludf.DUMMYFUNCTION("""COMPUTED_VALUE"""),"Excellent")</f>
        <v>Excellent</v>
      </c>
      <c r="AC1092" s="139">
        <f>IFERROR(__xludf.DUMMYFUNCTION("""COMPUTED_VALUE"""),0.0)</f>
        <v>0</v>
      </c>
      <c r="AD1092" s="139">
        <f>IFERROR(__xludf.DUMMYFUNCTION("""COMPUTED_VALUE"""),0.0)</f>
        <v>0</v>
      </c>
      <c r="AE1092" s="139">
        <f>IFERROR(__xludf.DUMMYFUNCTION("""COMPUTED_VALUE"""),0.0)</f>
        <v>0</v>
      </c>
      <c r="AF1092" s="140" t="str">
        <f>IFERROR(__xludf.DUMMYFUNCTION("""COMPUTED_VALUE"""),"No. I took delivery of the first car Tesla was able to deliver.")</f>
        <v>No. I took delivery of the first car Tesla was able to deliver.</v>
      </c>
      <c r="AG1092" s="136"/>
      <c r="AH1092" s="157">
        <f>IFERROR(__xludf.DUMMYFUNCTION("""COMPUTED_VALUE"""),44202.34860653935)</f>
        <v>44202.34861</v>
      </c>
      <c r="AI1092" s="138"/>
      <c r="AJ1092" s="138"/>
      <c r="AK1092" s="138"/>
      <c r="AL1092" s="142"/>
    </row>
    <row r="1093" ht="20.25" customHeight="1">
      <c r="A1093" s="155" t="str">
        <f>IFERROR(__xludf.DUMMYFUNCTION("""COMPUTED_VALUE"""),"MikeCleve")</f>
        <v>MikeCleve</v>
      </c>
      <c r="B1093" s="149" t="str">
        <f>IFERROR(__xludf.DUMMYFUNCTION("""COMPUTED_VALUE"""),"Cleveland")</f>
        <v>Cleveland</v>
      </c>
      <c r="C1093" s="149" t="str">
        <f>IFERROR(__xludf.DUMMYFUNCTION("""COMPUTED_VALUE"""),"OH")</f>
        <v>OH</v>
      </c>
      <c r="D1093" s="149" t="str">
        <f>IFERROR(__xludf.DUMMYFUNCTION("""COMPUTED_VALUE"""),"USA")</f>
        <v>USA</v>
      </c>
      <c r="E1093" s="156">
        <f>IFERROR(__xludf.DUMMYFUNCTION("""COMPUTED_VALUE"""),44130.0)</f>
        <v>44130</v>
      </c>
      <c r="F1093" s="129">
        <f>IFERROR(__xludf.DUMMYFUNCTION("""COMPUTED_VALUE"""),44168.0)</f>
        <v>44168</v>
      </c>
      <c r="G1093" s="154" t="str">
        <f>IFERROR(__xludf.DUMMYFUNCTION("""COMPUTED_VALUE"""),"Manage order page (normal text)")</f>
        <v>Manage order page (normal text)</v>
      </c>
      <c r="H1093" s="131">
        <f>IFERROR(__xludf.DUMMYFUNCTION("""COMPUTED_VALUE"""),853155.0)</f>
        <v>853155</v>
      </c>
      <c r="I1093" s="144"/>
      <c r="J1093" s="129">
        <f>IFERROR(__xludf.DUMMYFUNCTION("""COMPUTED_VALUE"""),44183.0)</f>
        <v>44183</v>
      </c>
      <c r="K1093" s="133">
        <f>IFERROR(__xludf.DUMMYFUNCTION("""COMPUTED_VALUE"""),38.0)</f>
        <v>38</v>
      </c>
      <c r="L1093" s="133">
        <f>IFERROR(__xludf.DUMMYFUNCTION("""COMPUTED_VALUE"""),15.0)</f>
        <v>15</v>
      </c>
      <c r="M1093" s="133">
        <f>IFERROR(__xludf.DUMMYFUNCTION("""COMPUTED_VALUE"""),53.0)</f>
        <v>53</v>
      </c>
      <c r="N1093" s="152" t="str">
        <f>IFERROR(__xludf.DUMMYFUNCTION("""COMPUTED_VALUE"""),"Model 3 LR AWD")</f>
        <v>Model 3 LR AWD</v>
      </c>
      <c r="O1093" s="152" t="str">
        <f>IFERROR(__xludf.DUMMYFUNCTION("""COMPUTED_VALUE"""),"Midnight Silver Metallic")</f>
        <v>Midnight Silver Metallic</v>
      </c>
      <c r="P1093" s="153" t="str">
        <f>IFERROR(__xludf.DUMMYFUNCTION("""COMPUTED_VALUE"""),"18 inch")</f>
        <v>18 inch</v>
      </c>
      <c r="Q1093" s="152" t="str">
        <f>IFERROR(__xludf.DUMMYFUNCTION("""COMPUTED_VALUE"""),"All Black")</f>
        <v>All Black</v>
      </c>
      <c r="R1093" s="149" t="str">
        <f>IFERROR(__xludf.DUMMYFUNCTION("""COMPUTED_VALUE"""),"Autopilot included")</f>
        <v>Autopilot included</v>
      </c>
      <c r="S1093" s="149" t="str">
        <f>IFERROR(__xludf.DUMMYFUNCTION("""COMPUTED_VALUE"""),"Loan")</f>
        <v>Loan</v>
      </c>
      <c r="T1093" s="145"/>
      <c r="U1093" s="145" t="str">
        <f>IFERROR(__xludf.DUMMYFUNCTION("""COMPUTED_VALUE"""),"Electric!")</f>
        <v>Electric!</v>
      </c>
      <c r="V1093" s="145" t="str">
        <f>IFERROR(__xludf.DUMMYFUNCTION("""COMPUTED_VALUE"""),"Apple CarPlay / Android Auto / SiriusXM Radio")</f>
        <v>Apple CarPlay / Android Auto / SiriusXM Radio</v>
      </c>
      <c r="W1093" s="136"/>
      <c r="X1093" s="137" t="str">
        <f>IFERROR(__xludf.DUMMYFUNCTION("""COMPUTED_VALUE"""),"Very Good")</f>
        <v>Very Good</v>
      </c>
      <c r="Y1093" s="138" t="str">
        <f>IFERROR(__xludf.DUMMYFUNCTION("""COMPUTED_VALUE"""),"Very Good")</f>
        <v>Very Good</v>
      </c>
      <c r="Z1093" s="138" t="str">
        <f>IFERROR(__xludf.DUMMYFUNCTION("""COMPUTED_VALUE"""),"Very Good")</f>
        <v>Very Good</v>
      </c>
      <c r="AA1093" s="138" t="str">
        <f>IFERROR(__xludf.DUMMYFUNCTION("""COMPUTED_VALUE"""),"Good")</f>
        <v>Good</v>
      </c>
      <c r="AB1093" s="138" t="str">
        <f>IFERROR(__xludf.DUMMYFUNCTION("""COMPUTED_VALUE"""),"Very Good")</f>
        <v>Very Good</v>
      </c>
      <c r="AC1093" s="139"/>
      <c r="AD1093" s="139"/>
      <c r="AE1093" s="139"/>
      <c r="AF1093" s="140" t="str">
        <f>IFERROR(__xludf.DUMMYFUNCTION("""COMPUTED_VALUE"""),"No. I took delivery of the first car Tesla was able to deliver.")</f>
        <v>No. I took delivery of the first car Tesla was able to deliver.</v>
      </c>
      <c r="AG1093" s="136"/>
      <c r="AH1093" s="157">
        <f>IFERROR(__xludf.DUMMYFUNCTION("""COMPUTED_VALUE"""),44183.700065567136)</f>
        <v>44183.70007</v>
      </c>
      <c r="AI1093" s="138"/>
      <c r="AJ1093" s="138"/>
      <c r="AK1093" s="138"/>
      <c r="AL1093" s="142"/>
    </row>
    <row r="1094" ht="20.25" customHeight="1">
      <c r="A1094" s="155" t="str">
        <f>IFERROR(__xludf.DUMMYFUNCTION("""COMPUTED_VALUE"""),"Spensei")</f>
        <v>Spensei</v>
      </c>
      <c r="B1094" s="149" t="str">
        <f>IFERROR(__xludf.DUMMYFUNCTION("""COMPUTED_VALUE"""),"Huntsville")</f>
        <v>Huntsville</v>
      </c>
      <c r="C1094" s="149" t="str">
        <f>IFERROR(__xludf.DUMMYFUNCTION("""COMPUTED_VALUE"""),"AL")</f>
        <v>AL</v>
      </c>
      <c r="D1094" s="149" t="str">
        <f>IFERROR(__xludf.DUMMYFUNCTION("""COMPUTED_VALUE"""),"USA")</f>
        <v>USA</v>
      </c>
      <c r="E1094" s="156">
        <f>IFERROR(__xludf.DUMMYFUNCTION("""COMPUTED_VALUE"""),44130.0)</f>
        <v>44130</v>
      </c>
      <c r="F1094" s="129">
        <f>IFERROR(__xludf.DUMMYFUNCTION("""COMPUTED_VALUE"""),44161.0)</f>
        <v>44161</v>
      </c>
      <c r="G1094" s="154" t="str">
        <f>IFERROR(__xludf.DUMMYFUNCTION("""COMPUTED_VALUE"""),"Manage order page (normal text)")</f>
        <v>Manage order page (normal text)</v>
      </c>
      <c r="H1094" s="131">
        <f>IFERROR(__xludf.DUMMYFUNCTION("""COMPUTED_VALUE"""),849955.0)</f>
        <v>849955</v>
      </c>
      <c r="I1094" s="144"/>
      <c r="J1094" s="129">
        <f>IFERROR(__xludf.DUMMYFUNCTION("""COMPUTED_VALUE"""),44175.0)</f>
        <v>44175</v>
      </c>
      <c r="K1094" s="133">
        <f>IFERROR(__xludf.DUMMYFUNCTION("""COMPUTED_VALUE"""),31.0)</f>
        <v>31</v>
      </c>
      <c r="L1094" s="133">
        <f>IFERROR(__xludf.DUMMYFUNCTION("""COMPUTED_VALUE"""),14.0)</f>
        <v>14</v>
      </c>
      <c r="M1094" s="133">
        <f>IFERROR(__xludf.DUMMYFUNCTION("""COMPUTED_VALUE"""),45.0)</f>
        <v>45</v>
      </c>
      <c r="N1094" s="152" t="str">
        <f>IFERROR(__xludf.DUMMYFUNCTION("""COMPUTED_VALUE"""),"Model 3 LR AWD")</f>
        <v>Model 3 LR AWD</v>
      </c>
      <c r="O1094" s="152" t="str">
        <f>IFERROR(__xludf.DUMMYFUNCTION("""COMPUTED_VALUE"""),"Pearl White Multi-Coat")</f>
        <v>Pearl White Multi-Coat</v>
      </c>
      <c r="P1094" s="153" t="str">
        <f>IFERROR(__xludf.DUMMYFUNCTION("""COMPUTED_VALUE"""),"19 inch")</f>
        <v>19 inch</v>
      </c>
      <c r="Q1094" s="152" t="str">
        <f>IFERROR(__xludf.DUMMYFUNCTION("""COMPUTED_VALUE"""),"Black and White")</f>
        <v>Black and White</v>
      </c>
      <c r="R1094" s="149" t="str">
        <f>IFERROR(__xludf.DUMMYFUNCTION("""COMPUTED_VALUE"""),"Full Self-Driving")</f>
        <v>Full Self-Driving</v>
      </c>
      <c r="S1094" s="149" t="str">
        <f>IFERROR(__xludf.DUMMYFUNCTION("""COMPUTED_VALUE"""),"Loan")</f>
        <v>Loan</v>
      </c>
      <c r="T1094" s="145" t="str">
        <f>IFERROR(__xludf.DUMMYFUNCTION("""COMPUTED_VALUE"""),"Chevrolet Silverado")</f>
        <v>Chevrolet Silverado</v>
      </c>
      <c r="U1094" s="145" t="str">
        <f>IFERROR(__xludf.DUMMYFUNCTION("""COMPUTED_VALUE"""),"Tesla brand image")</f>
        <v>Tesla brand image</v>
      </c>
      <c r="V1094" s="145" t="str">
        <f>IFERROR(__xludf.DUMMYFUNCTION("""COMPUTED_VALUE"""),"Head-up display")</f>
        <v>Head-up display</v>
      </c>
      <c r="W1094" s="145"/>
      <c r="X1094" s="137" t="str">
        <f>IFERROR(__xludf.DUMMYFUNCTION("""COMPUTED_VALUE"""),"Excellent")</f>
        <v>Excellent</v>
      </c>
      <c r="Y1094" s="138" t="str">
        <f>IFERROR(__xludf.DUMMYFUNCTION("""COMPUTED_VALUE"""),"Very Good")</f>
        <v>Very Good</v>
      </c>
      <c r="Z1094" s="138" t="str">
        <f>IFERROR(__xludf.DUMMYFUNCTION("""COMPUTED_VALUE"""),"Excellent")</f>
        <v>Excellent</v>
      </c>
      <c r="AA1094" s="138" t="str">
        <f>IFERROR(__xludf.DUMMYFUNCTION("""COMPUTED_VALUE"""),"Poor")</f>
        <v>Poor</v>
      </c>
      <c r="AB1094" s="138" t="str">
        <f>IFERROR(__xludf.DUMMYFUNCTION("""COMPUTED_VALUE"""),"Excellent")</f>
        <v>Excellent</v>
      </c>
      <c r="AC1094" s="139">
        <f>IFERROR(__xludf.DUMMYFUNCTION("""COMPUTED_VALUE"""),1.0)</f>
        <v>1</v>
      </c>
      <c r="AD1094" s="139">
        <f>IFERROR(__xludf.DUMMYFUNCTION("""COMPUTED_VALUE"""),1.0)</f>
        <v>1</v>
      </c>
      <c r="AE1094" s="139"/>
      <c r="AF1094" s="140" t="str">
        <f>IFERROR(__xludf.DUMMYFUNCTION("""COMPUTED_VALUE"""),"No. I took delivery of the first car Tesla was able to deliver.")</f>
        <v>No. I took delivery of the first car Tesla was able to deliver.</v>
      </c>
      <c r="AG1094" s="145"/>
      <c r="AH1094" s="157">
        <f>IFERROR(__xludf.DUMMYFUNCTION("""COMPUTED_VALUE"""),44179.4802746412)</f>
        <v>44179.48027</v>
      </c>
      <c r="AI1094" s="138"/>
      <c r="AJ1094" s="138"/>
      <c r="AK1094" s="138"/>
      <c r="AL1094" s="142"/>
    </row>
    <row r="1095" ht="20.25" customHeight="1">
      <c r="A1095" s="155" t="str">
        <f>IFERROR(__xludf.DUMMYFUNCTION("""COMPUTED_VALUE"""),"Chucky B's M3")</f>
        <v>Chucky B's M3</v>
      </c>
      <c r="B1095" s="150" t="str">
        <f>IFERROR(__xludf.DUMMYFUNCTION("""COMPUTED_VALUE"""),"ATL")</f>
        <v>ATL</v>
      </c>
      <c r="C1095" s="149" t="str">
        <f>IFERROR(__xludf.DUMMYFUNCTION("""COMPUTED_VALUE"""),"GA")</f>
        <v>GA</v>
      </c>
      <c r="D1095" s="149" t="str">
        <f>IFERROR(__xludf.DUMMYFUNCTION("""COMPUTED_VALUE"""),"USA")</f>
        <v>USA</v>
      </c>
      <c r="E1095" s="156">
        <f>IFERROR(__xludf.DUMMYFUNCTION("""COMPUTED_VALUE"""),44129.0)</f>
        <v>44129</v>
      </c>
      <c r="F1095" s="129">
        <f>IFERROR(__xludf.DUMMYFUNCTION("""COMPUTED_VALUE"""),44167.0)</f>
        <v>44167</v>
      </c>
      <c r="G1095" s="154" t="str">
        <f>IFERROR(__xludf.DUMMYFUNCTION("""COMPUTED_VALUE"""),"Manage order page (normal text)")</f>
        <v>Manage order page (normal text)</v>
      </c>
      <c r="H1095" s="131">
        <f>IFERROR(__xludf.DUMMYFUNCTION("""COMPUTED_VALUE"""),855255.0)</f>
        <v>855255</v>
      </c>
      <c r="I1095" s="144" t="str">
        <f>IFERROR(__xludf.DUMMYFUNCTION("""COMPUTED_VALUE"""),"12/20")</f>
        <v>12/20</v>
      </c>
      <c r="J1095" s="129">
        <f>IFERROR(__xludf.DUMMYFUNCTION("""COMPUTED_VALUE"""),44183.0)</f>
        <v>44183</v>
      </c>
      <c r="K1095" s="133">
        <f>IFERROR(__xludf.DUMMYFUNCTION("""COMPUTED_VALUE"""),38.0)</f>
        <v>38</v>
      </c>
      <c r="L1095" s="133">
        <f>IFERROR(__xludf.DUMMYFUNCTION("""COMPUTED_VALUE"""),16.0)</f>
        <v>16</v>
      </c>
      <c r="M1095" s="133">
        <f>IFERROR(__xludf.DUMMYFUNCTION("""COMPUTED_VALUE"""),54.0)</f>
        <v>54</v>
      </c>
      <c r="N1095" s="152" t="str">
        <f>IFERROR(__xludf.DUMMYFUNCTION("""COMPUTED_VALUE"""),"Model 3 LR AWD")</f>
        <v>Model 3 LR AWD</v>
      </c>
      <c r="O1095" s="152" t="str">
        <f>IFERROR(__xludf.DUMMYFUNCTION("""COMPUTED_VALUE"""),"Midnight Silver Metallic")</f>
        <v>Midnight Silver Metallic</v>
      </c>
      <c r="P1095" s="153" t="str">
        <f>IFERROR(__xludf.DUMMYFUNCTION("""COMPUTED_VALUE"""),"18 inch")</f>
        <v>18 inch</v>
      </c>
      <c r="Q1095" s="152" t="str">
        <f>IFERROR(__xludf.DUMMYFUNCTION("""COMPUTED_VALUE"""),"All Black")</f>
        <v>All Black</v>
      </c>
      <c r="R1095" s="149" t="str">
        <f>IFERROR(__xludf.DUMMYFUNCTION("""COMPUTED_VALUE"""),"Full Self-Driving")</f>
        <v>Full Self-Driving</v>
      </c>
      <c r="S1095" s="149" t="str">
        <f>IFERROR(__xludf.DUMMYFUNCTION("""COMPUTED_VALUE"""),"Loan")</f>
        <v>Loan</v>
      </c>
      <c r="T1095" s="145" t="str">
        <f>IFERROR(__xludf.DUMMYFUNCTION("""COMPUTED_VALUE"""),"Tesla Model S")</f>
        <v>Tesla Model S</v>
      </c>
      <c r="U1095" s="145" t="str">
        <f>IFERROR(__xludf.DUMMYFUNCTION("""COMPUTED_VALUE"""),"Electric!")</f>
        <v>Electric!</v>
      </c>
      <c r="V1095" s="145" t="str">
        <f>IFERROR(__xludf.DUMMYFUNCTION("""COMPUTED_VALUE"""),"HomeLink")</f>
        <v>HomeLink</v>
      </c>
      <c r="W1095" s="136"/>
      <c r="X1095" s="137" t="str">
        <f>IFERROR(__xludf.DUMMYFUNCTION("""COMPUTED_VALUE"""),"Very Good")</f>
        <v>Very Good</v>
      </c>
      <c r="Y1095" s="138" t="str">
        <f>IFERROR(__xludf.DUMMYFUNCTION("""COMPUTED_VALUE"""),"Excellent")</f>
        <v>Excellent</v>
      </c>
      <c r="Z1095" s="138" t="str">
        <f>IFERROR(__xludf.DUMMYFUNCTION("""COMPUTED_VALUE"""),"Excellent")</f>
        <v>Excellent</v>
      </c>
      <c r="AA1095" s="138" t="str">
        <f>IFERROR(__xludf.DUMMYFUNCTION("""COMPUTED_VALUE"""),"Good")</f>
        <v>Good</v>
      </c>
      <c r="AB1095" s="138" t="str">
        <f>IFERROR(__xludf.DUMMYFUNCTION("""COMPUTED_VALUE"""),"Very Good")</f>
        <v>Very Good</v>
      </c>
      <c r="AC1095" s="139"/>
      <c r="AD1095" s="139"/>
      <c r="AE1095" s="139"/>
      <c r="AF1095" s="140" t="str">
        <f>IFERROR(__xludf.DUMMYFUNCTION("""COMPUTED_VALUE"""),"No. I took delivery of the first car Tesla was able to deliver.")</f>
        <v>No. I took delivery of the first car Tesla was able to deliver.</v>
      </c>
      <c r="AG1095" s="136" t="str">
        <f>IFERROR(__xludf.DUMMYFUNCTION("""COMPUTED_VALUE"""),"Felt a little rushed at delivery.")</f>
        <v>Felt a little rushed at delivery.</v>
      </c>
      <c r="AH1095" s="157">
        <f>IFERROR(__xludf.DUMMYFUNCTION("""COMPUTED_VALUE"""),44185.52266515046)</f>
        <v>44185.52267</v>
      </c>
      <c r="AI1095" s="138"/>
      <c r="AJ1095" s="138"/>
      <c r="AK1095" s="138"/>
      <c r="AL1095" s="142"/>
    </row>
    <row r="1096" ht="20.25" customHeight="1">
      <c r="A1096" s="155" t="str">
        <f>IFERROR(__xludf.DUMMYFUNCTION("""COMPUTED_VALUE"""),"tdr33")</f>
        <v>tdr33</v>
      </c>
      <c r="B1096" s="149" t="str">
        <f>IFERROR(__xludf.DUMMYFUNCTION("""COMPUTED_VALUE"""),"La Jolla")</f>
        <v>La Jolla</v>
      </c>
      <c r="C1096" s="149" t="str">
        <f>IFERROR(__xludf.DUMMYFUNCTION("""COMPUTED_VALUE"""),"CA")</f>
        <v>CA</v>
      </c>
      <c r="D1096" s="149" t="str">
        <f>IFERROR(__xludf.DUMMYFUNCTION("""COMPUTED_VALUE"""),"USA")</f>
        <v>USA</v>
      </c>
      <c r="E1096" s="156">
        <f>IFERROR(__xludf.DUMMYFUNCTION("""COMPUTED_VALUE"""),44129.0)</f>
        <v>44129</v>
      </c>
      <c r="F1096" s="129">
        <f>IFERROR(__xludf.DUMMYFUNCTION("""COMPUTED_VALUE"""),44179.0)</f>
        <v>44179</v>
      </c>
      <c r="G1096" s="154" t="str">
        <f>IFERROR(__xludf.DUMMYFUNCTION("""COMPUTED_VALUE"""),"Manage order page (normal text)")</f>
        <v>Manage order page (normal text)</v>
      </c>
      <c r="H1096" s="131">
        <f>IFERROR(__xludf.DUMMYFUNCTION("""COMPUTED_VALUE"""),860855.0)</f>
        <v>860855</v>
      </c>
      <c r="I1096" s="144"/>
      <c r="J1096" s="129">
        <f>IFERROR(__xludf.DUMMYFUNCTION("""COMPUTED_VALUE"""),44181.0)</f>
        <v>44181</v>
      </c>
      <c r="K1096" s="133">
        <f>IFERROR(__xludf.DUMMYFUNCTION("""COMPUTED_VALUE"""),50.0)</f>
        <v>50</v>
      </c>
      <c r="L1096" s="133">
        <f>IFERROR(__xludf.DUMMYFUNCTION("""COMPUTED_VALUE"""),2.0)</f>
        <v>2</v>
      </c>
      <c r="M1096" s="133">
        <f>IFERROR(__xludf.DUMMYFUNCTION("""COMPUTED_VALUE"""),52.0)</f>
        <v>52</v>
      </c>
      <c r="N1096" s="152" t="str">
        <f>IFERROR(__xludf.DUMMYFUNCTION("""COMPUTED_VALUE"""),"Model 3 Performance")</f>
        <v>Model 3 Performance</v>
      </c>
      <c r="O1096" s="152" t="str">
        <f>IFERROR(__xludf.DUMMYFUNCTION("""COMPUTED_VALUE"""),"Midnight Silver Metallic")</f>
        <v>Midnight Silver Metallic</v>
      </c>
      <c r="P1096" s="153" t="str">
        <f>IFERROR(__xludf.DUMMYFUNCTION("""COMPUTED_VALUE"""),"20 inch")</f>
        <v>20 inch</v>
      </c>
      <c r="Q1096" s="152" t="str">
        <f>IFERROR(__xludf.DUMMYFUNCTION("""COMPUTED_VALUE"""),"Black and White")</f>
        <v>Black and White</v>
      </c>
      <c r="R1096" s="149" t="str">
        <f>IFERROR(__xludf.DUMMYFUNCTION("""COMPUTED_VALUE"""),"Full Self-Driving")</f>
        <v>Full Self-Driving</v>
      </c>
      <c r="S1096" s="149" t="str">
        <f>IFERROR(__xludf.DUMMYFUNCTION("""COMPUTED_VALUE"""),"Loan")</f>
        <v>Loan</v>
      </c>
      <c r="T1096" s="145" t="str">
        <f>IFERROR(__xludf.DUMMYFUNCTION("""COMPUTED_VALUE"""),"Honda Civic")</f>
        <v>Honda Civic</v>
      </c>
      <c r="U1096" s="145" t="str">
        <f>IFERROR(__xludf.DUMMYFUNCTION("""COMPUTED_VALUE"""),"Autopilot")</f>
        <v>Autopilot</v>
      </c>
      <c r="V1096" s="145" t="str">
        <f>IFERROR(__xludf.DUMMYFUNCTION("""COMPUTED_VALUE"""),"Head-up display")</f>
        <v>Head-up display</v>
      </c>
      <c r="W1096" s="136"/>
      <c r="X1096" s="137" t="str">
        <f>IFERROR(__xludf.DUMMYFUNCTION("""COMPUTED_VALUE"""),"Very Good")</f>
        <v>Very Good</v>
      </c>
      <c r="Y1096" s="138" t="str">
        <f>IFERROR(__xludf.DUMMYFUNCTION("""COMPUTED_VALUE"""),"Good")</f>
        <v>Good</v>
      </c>
      <c r="Z1096" s="138" t="str">
        <f>IFERROR(__xludf.DUMMYFUNCTION("""COMPUTED_VALUE"""),"Excellent")</f>
        <v>Excellent</v>
      </c>
      <c r="AA1096" s="138" t="str">
        <f>IFERROR(__xludf.DUMMYFUNCTION("""COMPUTED_VALUE"""),"Fair")</f>
        <v>Fair</v>
      </c>
      <c r="AB1096" s="138" t="str">
        <f>IFERROR(__xludf.DUMMYFUNCTION("""COMPUTED_VALUE"""),"Fair")</f>
        <v>Fair</v>
      </c>
      <c r="AC1096" s="139">
        <f>IFERROR(__xludf.DUMMYFUNCTION("""COMPUTED_VALUE"""),3.0)</f>
        <v>3</v>
      </c>
      <c r="AD1096" s="139"/>
      <c r="AE1096" s="139"/>
      <c r="AF1096" s="140" t="str">
        <f>IFERROR(__xludf.DUMMYFUNCTION("""COMPUTED_VALUE"""),"No. I took delivery of the first car Tesla was able to deliver.")</f>
        <v>No. I took delivery of the first car Tesla was able to deliver.</v>
      </c>
      <c r="AG1096" s="136"/>
      <c r="AH1096" s="157">
        <f>IFERROR(__xludf.DUMMYFUNCTION("""COMPUTED_VALUE"""),44184.52004912037)</f>
        <v>44184.52005</v>
      </c>
      <c r="AI1096" s="138"/>
      <c r="AJ1096" s="138"/>
      <c r="AK1096" s="138"/>
      <c r="AL1096" s="142"/>
    </row>
    <row r="1097" ht="20.25" customHeight="1">
      <c r="A1097" s="155" t="str">
        <f>IFERROR(__xludf.DUMMYFUNCTION("""COMPUTED_VALUE"""),"atawse")</f>
        <v>atawse</v>
      </c>
      <c r="B1097" s="149" t="str">
        <f>IFERROR(__xludf.DUMMYFUNCTION("""COMPUTED_VALUE"""),"Buffalo")</f>
        <v>Buffalo</v>
      </c>
      <c r="C1097" s="149" t="str">
        <f>IFERROR(__xludf.DUMMYFUNCTION("""COMPUTED_VALUE"""),"NY")</f>
        <v>NY</v>
      </c>
      <c r="D1097" s="149" t="str">
        <f>IFERROR(__xludf.DUMMYFUNCTION("""COMPUTED_VALUE"""),"USA")</f>
        <v>USA</v>
      </c>
      <c r="E1097" s="156">
        <f>IFERROR(__xludf.DUMMYFUNCTION("""COMPUTED_VALUE"""),44128.0)</f>
        <v>44128</v>
      </c>
      <c r="F1097" s="129">
        <f>IFERROR(__xludf.DUMMYFUNCTION("""COMPUTED_VALUE"""),44161.0)</f>
        <v>44161</v>
      </c>
      <c r="G1097" s="154" t="str">
        <f>IFERROR(__xludf.DUMMYFUNCTION("""COMPUTED_VALUE"""),"Manage order page (normal text)")</f>
        <v>Manage order page (normal text)</v>
      </c>
      <c r="H1097" s="131">
        <f>IFERROR(__xludf.DUMMYFUNCTION("""COMPUTED_VALUE"""),849945.0)</f>
        <v>849945</v>
      </c>
      <c r="I1097" s="144" t="str">
        <f>IFERROR(__xludf.DUMMYFUNCTION("""COMPUTED_VALUE"""),"11/20")</f>
        <v>11/20</v>
      </c>
      <c r="J1097" s="129">
        <f>IFERROR(__xludf.DUMMYFUNCTION("""COMPUTED_VALUE"""),44177.0)</f>
        <v>44177</v>
      </c>
      <c r="K1097" s="133">
        <f>IFERROR(__xludf.DUMMYFUNCTION("""COMPUTED_VALUE"""),33.0)</f>
        <v>33</v>
      </c>
      <c r="L1097" s="133">
        <f>IFERROR(__xludf.DUMMYFUNCTION("""COMPUTED_VALUE"""),16.0)</f>
        <v>16</v>
      </c>
      <c r="M1097" s="133">
        <f>IFERROR(__xludf.DUMMYFUNCTION("""COMPUTED_VALUE"""),49.0)</f>
        <v>49</v>
      </c>
      <c r="N1097" s="152" t="str">
        <f>IFERROR(__xludf.DUMMYFUNCTION("""COMPUTED_VALUE"""),"Model 3 LR AWD")</f>
        <v>Model 3 LR AWD</v>
      </c>
      <c r="O1097" s="152" t="str">
        <f>IFERROR(__xludf.DUMMYFUNCTION("""COMPUTED_VALUE"""),"Pearl White Multi-Coat")</f>
        <v>Pearl White Multi-Coat</v>
      </c>
      <c r="P1097" s="153" t="str">
        <f>IFERROR(__xludf.DUMMYFUNCTION("""COMPUTED_VALUE"""),"19 inch")</f>
        <v>19 inch</v>
      </c>
      <c r="Q1097" s="152" t="str">
        <f>IFERROR(__xludf.DUMMYFUNCTION("""COMPUTED_VALUE"""),"Black and White")</f>
        <v>Black and White</v>
      </c>
      <c r="R1097" s="149" t="str">
        <f>IFERROR(__xludf.DUMMYFUNCTION("""COMPUTED_VALUE"""),"Autopilot included")</f>
        <v>Autopilot included</v>
      </c>
      <c r="S1097" s="149" t="str">
        <f>IFERROR(__xludf.DUMMYFUNCTION("""COMPUTED_VALUE"""),"Lease")</f>
        <v>Lease</v>
      </c>
      <c r="T1097" s="145" t="str">
        <f>IFERROR(__xludf.DUMMYFUNCTION("""COMPUTED_VALUE"""),"Hyundia Ioniq BEV")</f>
        <v>Hyundia Ioniq BEV</v>
      </c>
      <c r="U1097" s="145" t="str">
        <f>IFERROR(__xludf.DUMMYFUNCTION("""COMPUTED_VALUE"""),"Supercharger V3 support")</f>
        <v>Supercharger V3 support</v>
      </c>
      <c r="V1097" s="145" t="str">
        <f>IFERROR(__xludf.DUMMYFUNCTION("""COMPUTED_VALUE"""),"Head-up display")</f>
        <v>Head-up display</v>
      </c>
      <c r="W1097" s="145"/>
      <c r="X1097" s="137" t="str">
        <f>IFERROR(__xludf.DUMMYFUNCTION("""COMPUTED_VALUE"""),"Very Good")</f>
        <v>Very Good</v>
      </c>
      <c r="Y1097" s="138" t="str">
        <f>IFERROR(__xludf.DUMMYFUNCTION("""COMPUTED_VALUE"""),"Very Good")</f>
        <v>Very Good</v>
      </c>
      <c r="Z1097" s="138" t="str">
        <f>IFERROR(__xludf.DUMMYFUNCTION("""COMPUTED_VALUE"""),"Good")</f>
        <v>Good</v>
      </c>
      <c r="AA1097" s="138" t="str">
        <f>IFERROR(__xludf.DUMMYFUNCTION("""COMPUTED_VALUE"""),"Poor")</f>
        <v>Poor</v>
      </c>
      <c r="AB1097" s="138" t="str">
        <f>IFERROR(__xludf.DUMMYFUNCTION("""COMPUTED_VALUE"""),"Good")</f>
        <v>Good</v>
      </c>
      <c r="AC1097" s="139">
        <f>IFERROR(__xludf.DUMMYFUNCTION("""COMPUTED_VALUE"""),5.0)</f>
        <v>5</v>
      </c>
      <c r="AD1097" s="139"/>
      <c r="AE1097" s="139"/>
      <c r="AF1097" s="140" t="str">
        <f>IFERROR(__xludf.DUMMYFUNCTION("""COMPUTED_VALUE"""),"No. I took delivery of the first car Tesla was able to deliver.")</f>
        <v>No. I took delivery of the first car Tesla was able to deliver.</v>
      </c>
      <c r="AG1097" s="145" t="str">
        <f>IFERROR(__xludf.DUMMYFUNCTION("""COMPUTED_VALUE""")," Delivery ETA: 12/8-12/14")</f>
        <v> Delivery ETA: 12/8-12/14</v>
      </c>
      <c r="AH1097" s="157">
        <f>IFERROR(__xludf.DUMMYFUNCTION("""COMPUTED_VALUE"""),44179.33792922454)</f>
        <v>44179.33793</v>
      </c>
      <c r="AI1097" s="138"/>
      <c r="AJ1097" s="138"/>
      <c r="AK1097" s="138"/>
      <c r="AL1097" s="142"/>
    </row>
    <row r="1098" ht="20.25" customHeight="1">
      <c r="A1098" s="155" t="str">
        <f>IFERROR(__xludf.DUMMYFUNCTION("""COMPUTED_VALUE"""),"cio15")</f>
        <v>cio15</v>
      </c>
      <c r="B1098" s="149" t="str">
        <f>IFERROR(__xludf.DUMMYFUNCTION("""COMPUTED_VALUE"""),"Tallahassee")</f>
        <v>Tallahassee</v>
      </c>
      <c r="C1098" s="149" t="str">
        <f>IFERROR(__xludf.DUMMYFUNCTION("""COMPUTED_VALUE"""),"FL")</f>
        <v>FL</v>
      </c>
      <c r="D1098" s="149" t="str">
        <f>IFERROR(__xludf.DUMMYFUNCTION("""COMPUTED_VALUE"""),"USA")</f>
        <v>USA</v>
      </c>
      <c r="E1098" s="156">
        <f>IFERROR(__xludf.DUMMYFUNCTION("""COMPUTED_VALUE"""),44128.0)</f>
        <v>44128</v>
      </c>
      <c r="F1098" s="129">
        <f>IFERROR(__xludf.DUMMYFUNCTION("""COMPUTED_VALUE"""),44160.0)</f>
        <v>44160</v>
      </c>
      <c r="G1098" s="154" t="str">
        <f>IFERROR(__xludf.DUMMYFUNCTION("""COMPUTED_VALUE"""),"Manage order page (normal text)")</f>
        <v>Manage order page (normal text)</v>
      </c>
      <c r="H1098" s="131">
        <f>IFERROR(__xludf.DUMMYFUNCTION("""COMPUTED_VALUE"""),849455.0)</f>
        <v>849455</v>
      </c>
      <c r="I1098" s="144" t="str">
        <f>IFERROR(__xludf.DUMMYFUNCTION("""COMPUTED_VALUE"""),"11/20")</f>
        <v>11/20</v>
      </c>
      <c r="J1098" s="129">
        <f>IFERROR(__xludf.DUMMYFUNCTION("""COMPUTED_VALUE"""),44184.0)</f>
        <v>44184</v>
      </c>
      <c r="K1098" s="133">
        <f>IFERROR(__xludf.DUMMYFUNCTION("""COMPUTED_VALUE"""),32.0)</f>
        <v>32</v>
      </c>
      <c r="L1098" s="133">
        <f>IFERROR(__xludf.DUMMYFUNCTION("""COMPUTED_VALUE"""),24.0)</f>
        <v>24</v>
      </c>
      <c r="M1098" s="133">
        <f>IFERROR(__xludf.DUMMYFUNCTION("""COMPUTED_VALUE"""),56.0)</f>
        <v>56</v>
      </c>
      <c r="N1098" s="152" t="str">
        <f>IFERROR(__xludf.DUMMYFUNCTION("""COMPUTED_VALUE"""),"Model 3 LR AWD")</f>
        <v>Model 3 LR AWD</v>
      </c>
      <c r="O1098" s="152" t="str">
        <f>IFERROR(__xludf.DUMMYFUNCTION("""COMPUTED_VALUE"""),"Pearl White Multi-Coat")</f>
        <v>Pearl White Multi-Coat</v>
      </c>
      <c r="P1098" s="153" t="str">
        <f>IFERROR(__xludf.DUMMYFUNCTION("""COMPUTED_VALUE"""),"18 inch")</f>
        <v>18 inch</v>
      </c>
      <c r="Q1098" s="152" t="str">
        <f>IFERROR(__xludf.DUMMYFUNCTION("""COMPUTED_VALUE"""),"All Black")</f>
        <v>All Black</v>
      </c>
      <c r="R1098" s="149" t="str">
        <f>IFERROR(__xludf.DUMMYFUNCTION("""COMPUTED_VALUE"""),"Autopilot included")</f>
        <v>Autopilot included</v>
      </c>
      <c r="S1098" s="149" t="str">
        <f>IFERROR(__xludf.DUMMYFUNCTION("""COMPUTED_VALUE"""),"Loan")</f>
        <v>Loan</v>
      </c>
      <c r="T1098" s="145" t="str">
        <f>IFERROR(__xludf.DUMMYFUNCTION("""COMPUTED_VALUE"""),"Ford Fusion")</f>
        <v>Ford Fusion</v>
      </c>
      <c r="U1098" s="145" t="str">
        <f>IFERROR(__xludf.DUMMYFUNCTION("""COMPUTED_VALUE"""),"Electric!")</f>
        <v>Electric!</v>
      </c>
      <c r="V1098" s="145" t="str">
        <f>IFERROR(__xludf.DUMMYFUNCTION("""COMPUTED_VALUE"""),"Head-up display")</f>
        <v>Head-up display</v>
      </c>
      <c r="W1098" s="145" t="str">
        <f>IFERROR(__xludf.DUMMYFUNCTION("""COMPUTED_VALUE"""),"Patience")</f>
        <v>Patience</v>
      </c>
      <c r="X1098" s="137" t="str">
        <f>IFERROR(__xludf.DUMMYFUNCTION("""COMPUTED_VALUE"""),"Excellent")</f>
        <v>Excellent</v>
      </c>
      <c r="Y1098" s="138" t="str">
        <f>IFERROR(__xludf.DUMMYFUNCTION("""COMPUTED_VALUE"""),"Very Good")</f>
        <v>Very Good</v>
      </c>
      <c r="Z1098" s="138" t="str">
        <f>IFERROR(__xludf.DUMMYFUNCTION("""COMPUTED_VALUE"""),"Excellent")</f>
        <v>Excellent</v>
      </c>
      <c r="AA1098" s="138" t="str">
        <f>IFERROR(__xludf.DUMMYFUNCTION("""COMPUTED_VALUE"""),"Fair")</f>
        <v>Fair</v>
      </c>
      <c r="AB1098" s="138" t="str">
        <f>IFERROR(__xludf.DUMMYFUNCTION("""COMPUTED_VALUE"""),"Fair")</f>
        <v>Fair</v>
      </c>
      <c r="AC1098" s="139">
        <f>IFERROR(__xludf.DUMMYFUNCTION("""COMPUTED_VALUE"""),0.0)</f>
        <v>0</v>
      </c>
      <c r="AD1098" s="139">
        <f>IFERROR(__xludf.DUMMYFUNCTION("""COMPUTED_VALUE"""),0.0)</f>
        <v>0</v>
      </c>
      <c r="AE1098" s="139">
        <f>IFERROR(__xludf.DUMMYFUNCTION("""COMPUTED_VALUE"""),0.0)</f>
        <v>0</v>
      </c>
      <c r="AF1098" s="140" t="str">
        <f>IFERROR(__xludf.DUMMYFUNCTION("""COMPUTED_VALUE"""),"No. I took delivery of the first car Tesla was able to deliver.")</f>
        <v>No. I took delivery of the first car Tesla was able to deliver.</v>
      </c>
      <c r="AG1098" s="145" t="str">
        <f>IFERROR(__xludf.DUMMYFUNCTION("""COMPUTED_VALUE"""),"Telsa can be difficult to get responses from.")</f>
        <v>Telsa can be difficult to get responses from.</v>
      </c>
      <c r="AH1098" s="157">
        <f>IFERROR(__xludf.DUMMYFUNCTION("""COMPUTED_VALUE"""),44186.27967906249)</f>
        <v>44186.27968</v>
      </c>
      <c r="AI1098" s="138"/>
      <c r="AJ1098" s="138"/>
      <c r="AK1098" s="138"/>
      <c r="AL1098" s="142"/>
    </row>
    <row r="1099" ht="20.25" customHeight="1">
      <c r="A1099" s="155" t="str">
        <f>IFERROR(__xludf.DUMMYFUNCTION("""COMPUTED_VALUE"""),"DewMike")</f>
        <v>DewMike</v>
      </c>
      <c r="B1099" s="149" t="str">
        <f>IFERROR(__xludf.DUMMYFUNCTION("""COMPUTED_VALUE"""),"Sun Prairie")</f>
        <v>Sun Prairie</v>
      </c>
      <c r="C1099" s="149" t="str">
        <f>IFERROR(__xludf.DUMMYFUNCTION("""COMPUTED_VALUE"""),"WI")</f>
        <v>WI</v>
      </c>
      <c r="D1099" s="149" t="str">
        <f>IFERROR(__xludf.DUMMYFUNCTION("""COMPUTED_VALUE"""),"USA")</f>
        <v>USA</v>
      </c>
      <c r="E1099" s="156">
        <f>IFERROR(__xludf.DUMMYFUNCTION("""COMPUTED_VALUE"""),44128.0)</f>
        <v>44128</v>
      </c>
      <c r="F1099" s="129">
        <f>IFERROR(__xludf.DUMMYFUNCTION("""COMPUTED_VALUE"""),44181.0)</f>
        <v>44181</v>
      </c>
      <c r="G1099" s="154" t="str">
        <f>IFERROR(__xludf.DUMMYFUNCTION("""COMPUTED_VALUE"""),"Manage order page (normal text)")</f>
        <v>Manage order page (normal text)</v>
      </c>
      <c r="H1099" s="131">
        <f>IFERROR(__xludf.DUMMYFUNCTION("""COMPUTED_VALUE"""),866708.0)</f>
        <v>866708</v>
      </c>
      <c r="I1099" s="132" t="str">
        <f>IFERROR(__xludf.DUMMYFUNCTION("""COMPUTED_VALUE"""),"12/20")</f>
        <v>12/20</v>
      </c>
      <c r="J1099" s="129">
        <f>IFERROR(__xludf.DUMMYFUNCTION("""COMPUTED_VALUE"""),44194.0)</f>
        <v>44194</v>
      </c>
      <c r="K1099" s="133">
        <f>IFERROR(__xludf.DUMMYFUNCTION("""COMPUTED_VALUE"""),53.0)</f>
        <v>53</v>
      </c>
      <c r="L1099" s="133">
        <f>IFERROR(__xludf.DUMMYFUNCTION("""COMPUTED_VALUE"""),13.0)</f>
        <v>13</v>
      </c>
      <c r="M1099" s="133">
        <f>IFERROR(__xludf.DUMMYFUNCTION("""COMPUTED_VALUE"""),66.0)</f>
        <v>66</v>
      </c>
      <c r="N1099" s="152" t="str">
        <f>IFERROR(__xludf.DUMMYFUNCTION("""COMPUTED_VALUE"""),"Model 3 Performance")</f>
        <v>Model 3 Performance</v>
      </c>
      <c r="O1099" s="152" t="str">
        <f>IFERROR(__xludf.DUMMYFUNCTION("""COMPUTED_VALUE"""),"Red Multi-Coat")</f>
        <v>Red Multi-Coat</v>
      </c>
      <c r="P1099" s="153" t="str">
        <f>IFERROR(__xludf.DUMMYFUNCTION("""COMPUTED_VALUE"""),"20 inch")</f>
        <v>20 inch</v>
      </c>
      <c r="Q1099" s="152" t="str">
        <f>IFERROR(__xludf.DUMMYFUNCTION("""COMPUTED_VALUE"""),"All Black")</f>
        <v>All Black</v>
      </c>
      <c r="R1099" s="150" t="str">
        <f>IFERROR(__xludf.DUMMYFUNCTION("""COMPUTED_VALUE"""),"Full Self-Driving")</f>
        <v>Full Self-Driving</v>
      </c>
      <c r="S1099" s="150" t="str">
        <f>IFERROR(__xludf.DUMMYFUNCTION("""COMPUTED_VALUE"""),"Loan")</f>
        <v>Loan</v>
      </c>
      <c r="T1099" s="136" t="str">
        <f>IFERROR(__xludf.DUMMYFUNCTION("""COMPUTED_VALUE"""),"Porsche Panamera")</f>
        <v>Porsche Panamera</v>
      </c>
      <c r="U1099" s="136"/>
      <c r="V1099" s="136"/>
      <c r="W1099" s="136"/>
      <c r="X1099" s="137" t="str">
        <f>IFERROR(__xludf.DUMMYFUNCTION("""COMPUTED_VALUE"""),"Very Good")</f>
        <v>Very Good</v>
      </c>
      <c r="Y1099" s="138" t="str">
        <f>IFERROR(__xludf.DUMMYFUNCTION("""COMPUTED_VALUE"""),"Very Good")</f>
        <v>Very Good</v>
      </c>
      <c r="Z1099" s="138" t="str">
        <f>IFERROR(__xludf.DUMMYFUNCTION("""COMPUTED_VALUE"""),"Very Good")</f>
        <v>Very Good</v>
      </c>
      <c r="AA1099" s="138" t="str">
        <f>IFERROR(__xludf.DUMMYFUNCTION("""COMPUTED_VALUE"""),"Poor")</f>
        <v>Poor</v>
      </c>
      <c r="AB1099" s="138" t="str">
        <f>IFERROR(__xludf.DUMMYFUNCTION("""COMPUTED_VALUE"""),"Very Good")</f>
        <v>Very Good</v>
      </c>
      <c r="AC1099" s="139"/>
      <c r="AD1099" s="139"/>
      <c r="AE1099" s="139"/>
      <c r="AF1099" s="140" t="str">
        <f>IFERROR(__xludf.DUMMYFUNCTION("""COMPUTED_VALUE"""),"No. I took delivery of the first car Tesla was able to deliver.")</f>
        <v>No. I took delivery of the first car Tesla was able to deliver.</v>
      </c>
      <c r="AG1099" s="136"/>
      <c r="AH1099" s="157">
        <f>IFERROR(__xludf.DUMMYFUNCTION("""COMPUTED_VALUE"""),44194.69772917824)</f>
        <v>44194.69773</v>
      </c>
      <c r="AI1099" s="138"/>
      <c r="AJ1099" s="138"/>
      <c r="AK1099" s="138"/>
      <c r="AL1099" s="142"/>
    </row>
    <row r="1100" ht="20.25" customHeight="1">
      <c r="A1100" s="155" t="str">
        <f>IFERROR(__xludf.DUMMYFUNCTION("""COMPUTED_VALUE"""),"dkenneths")</f>
        <v>dkenneths</v>
      </c>
      <c r="B1100" s="149" t="str">
        <f>IFERROR(__xludf.DUMMYFUNCTION("""COMPUTED_VALUE"""),"Berwick")</f>
        <v>Berwick</v>
      </c>
      <c r="C1100" s="149" t="str">
        <f>IFERROR(__xludf.DUMMYFUNCTION("""COMPUTED_VALUE"""),"PA")</f>
        <v>PA</v>
      </c>
      <c r="D1100" s="149" t="str">
        <f>IFERROR(__xludf.DUMMYFUNCTION("""COMPUTED_VALUE"""),"USA")</f>
        <v>USA</v>
      </c>
      <c r="E1100" s="156">
        <f>IFERROR(__xludf.DUMMYFUNCTION("""COMPUTED_VALUE"""),44128.0)</f>
        <v>44128</v>
      </c>
      <c r="F1100" s="129">
        <f>IFERROR(__xludf.DUMMYFUNCTION("""COMPUTED_VALUE"""),44163.0)</f>
        <v>44163</v>
      </c>
      <c r="G1100" s="154" t="str">
        <f>IFERROR(__xludf.DUMMYFUNCTION("""COMPUTED_VALUE"""),"Source code")</f>
        <v>Source code</v>
      </c>
      <c r="H1100" s="131">
        <f>IFERROR(__xludf.DUMMYFUNCTION("""COMPUTED_VALUE"""),854379.0)</f>
        <v>854379</v>
      </c>
      <c r="I1100" s="132" t="str">
        <f>IFERROR(__xludf.DUMMYFUNCTION("""COMPUTED_VALUE"""),"11/20")</f>
        <v>11/20</v>
      </c>
      <c r="J1100" s="129">
        <f>IFERROR(__xludf.DUMMYFUNCTION("""COMPUTED_VALUE"""),44179.0)</f>
        <v>44179</v>
      </c>
      <c r="K1100" s="133">
        <f>IFERROR(__xludf.DUMMYFUNCTION("""COMPUTED_VALUE"""),35.0)</f>
        <v>35</v>
      </c>
      <c r="L1100" s="133">
        <f>IFERROR(__xludf.DUMMYFUNCTION("""COMPUTED_VALUE"""),16.0)</f>
        <v>16</v>
      </c>
      <c r="M1100" s="133">
        <f>IFERROR(__xludf.DUMMYFUNCTION("""COMPUTED_VALUE"""),51.0)</f>
        <v>51</v>
      </c>
      <c r="N1100" s="152" t="str">
        <f>IFERROR(__xludf.DUMMYFUNCTION("""COMPUTED_VALUE"""),"Model 3 SR+")</f>
        <v>Model 3 SR+</v>
      </c>
      <c r="O1100" s="152" t="str">
        <f>IFERROR(__xludf.DUMMYFUNCTION("""COMPUTED_VALUE"""),"Midnight Silver Metallic")</f>
        <v>Midnight Silver Metallic</v>
      </c>
      <c r="P1100" s="153" t="str">
        <f>IFERROR(__xludf.DUMMYFUNCTION("""COMPUTED_VALUE"""),"18 inch")</f>
        <v>18 inch</v>
      </c>
      <c r="Q1100" s="152" t="str">
        <f>IFERROR(__xludf.DUMMYFUNCTION("""COMPUTED_VALUE"""),"Black and White")</f>
        <v>Black and White</v>
      </c>
      <c r="R1100" s="150" t="str">
        <f>IFERROR(__xludf.DUMMYFUNCTION("""COMPUTED_VALUE"""),"Full Self-Driving")</f>
        <v>Full Self-Driving</v>
      </c>
      <c r="S1100" s="150" t="str">
        <f>IFERROR(__xludf.DUMMYFUNCTION("""COMPUTED_VALUE"""),"Loan")</f>
        <v>Loan</v>
      </c>
      <c r="T1100" s="136"/>
      <c r="U1100" s="136" t="str">
        <f>IFERROR(__xludf.DUMMYFUNCTION("""COMPUTED_VALUE"""),"Autopilot")</f>
        <v>Autopilot</v>
      </c>
      <c r="V1100" s="136" t="str">
        <f>IFERROR(__xludf.DUMMYFUNCTION("""COMPUTED_VALUE"""),"Air suspension")</f>
        <v>Air suspension</v>
      </c>
      <c r="W1100" s="136" t="str">
        <f>IFERROR(__xludf.DUMMYFUNCTION("""COMPUTED_VALUE"""),"Make sure your delivery advisor notes any issues with the car.  Make sure it's documents and you get a copy.  If you find issues, be nice about them.  You're more likely to get things resolved.")</f>
        <v>Make sure your delivery advisor notes any issues with the car.  Make sure it's documents and you get a copy.  If you find issues, be nice about them.  You're more likely to get things resolved.</v>
      </c>
      <c r="X1100" s="137" t="str">
        <f>IFERROR(__xludf.DUMMYFUNCTION("""COMPUTED_VALUE"""),"Very Good")</f>
        <v>Very Good</v>
      </c>
      <c r="Y1100" s="138" t="str">
        <f>IFERROR(__xludf.DUMMYFUNCTION("""COMPUTED_VALUE"""),"Fair")</f>
        <v>Fair</v>
      </c>
      <c r="Z1100" s="138" t="str">
        <f>IFERROR(__xludf.DUMMYFUNCTION("""COMPUTED_VALUE"""),"Poor")</f>
        <v>Poor</v>
      </c>
      <c r="AA1100" s="138" t="str">
        <f>IFERROR(__xludf.DUMMYFUNCTION("""COMPUTED_VALUE"""),"Excellent")</f>
        <v>Excellent</v>
      </c>
      <c r="AB1100" s="138" t="str">
        <f>IFERROR(__xludf.DUMMYFUNCTION("""COMPUTED_VALUE"""),"Fair")</f>
        <v>Fair</v>
      </c>
      <c r="AC1100" s="139">
        <f>IFERROR(__xludf.DUMMYFUNCTION("""COMPUTED_VALUE"""),8.0)</f>
        <v>8</v>
      </c>
      <c r="AD1100" s="139">
        <f>IFERROR(__xludf.DUMMYFUNCTION("""COMPUTED_VALUE"""),2.0)</f>
        <v>2</v>
      </c>
      <c r="AE1100" s="139">
        <f>IFERROR(__xludf.DUMMYFUNCTION("""COMPUTED_VALUE"""),21.0)</f>
        <v>21</v>
      </c>
      <c r="AF1100" s="140" t="str">
        <f>IFERROR(__xludf.DUMMYFUNCTION("""COMPUTED_VALUE"""),"No. I took delivery of the first car Tesla was able to deliver.")</f>
        <v>No. I took delivery of the first car Tesla was able to deliver.</v>
      </c>
      <c r="AG1100" s="136" t="str">
        <f>IFERROR(__xludf.DUMMYFUNCTION("""COMPUTED_VALUE"""),"Confirmed Delivery Date: 12/14 -- Advisor reached out on 12/11 to pick up at 3:00pm but gave me less than 2 hours to get there and I live over 2 hours away.  ")</f>
        <v>Confirmed Delivery Date: 12/14 -- Advisor reached out on 12/11 to pick up at 3:00pm but gave me less than 2 hours to get there and I live over 2 hours away.  </v>
      </c>
      <c r="AH1100" s="157">
        <f>IFERROR(__xludf.DUMMYFUNCTION("""COMPUTED_VALUE"""),44244.35767085648)</f>
        <v>44244.35767</v>
      </c>
      <c r="AI1100" s="138"/>
      <c r="AJ1100" s="138"/>
      <c r="AK1100" s="138"/>
      <c r="AL1100" s="142"/>
    </row>
    <row r="1101" ht="20.25" customHeight="1">
      <c r="A1101" s="155" t="str">
        <f>IFERROR(__xludf.DUMMYFUNCTION("""COMPUTED_VALUE"""),"RogerO3")</f>
        <v>RogerO3</v>
      </c>
      <c r="B1101" s="149" t="str">
        <f>IFERROR(__xludf.DUMMYFUNCTION("""COMPUTED_VALUE"""),"Detroit")</f>
        <v>Detroit</v>
      </c>
      <c r="C1101" s="149" t="str">
        <f>IFERROR(__xludf.DUMMYFUNCTION("""COMPUTED_VALUE"""),"MI")</f>
        <v>MI</v>
      </c>
      <c r="D1101" s="149" t="str">
        <f>IFERROR(__xludf.DUMMYFUNCTION("""COMPUTED_VALUE"""),"USA")</f>
        <v>USA</v>
      </c>
      <c r="E1101" s="156">
        <f>IFERROR(__xludf.DUMMYFUNCTION("""COMPUTED_VALUE"""),44128.0)</f>
        <v>44128</v>
      </c>
      <c r="F1101" s="129">
        <f>IFERROR(__xludf.DUMMYFUNCTION("""COMPUTED_VALUE"""),44163.0)</f>
        <v>44163</v>
      </c>
      <c r="G1101" s="154" t="str">
        <f>IFERROR(__xludf.DUMMYFUNCTION("""COMPUTED_VALUE"""),"Manage order page (normal text)")</f>
        <v>Manage order page (normal text)</v>
      </c>
      <c r="H1101" s="131">
        <f>IFERROR(__xludf.DUMMYFUNCTION("""COMPUTED_VALUE"""),851846.0)</f>
        <v>851846</v>
      </c>
      <c r="I1101" s="144"/>
      <c r="J1101" s="129">
        <f>IFERROR(__xludf.DUMMYFUNCTION("""COMPUTED_VALUE"""),44176.0)</f>
        <v>44176</v>
      </c>
      <c r="K1101" s="133">
        <f>IFERROR(__xludf.DUMMYFUNCTION("""COMPUTED_VALUE"""),35.0)</f>
        <v>35</v>
      </c>
      <c r="L1101" s="133">
        <f>IFERROR(__xludf.DUMMYFUNCTION("""COMPUTED_VALUE"""),13.0)</f>
        <v>13</v>
      </c>
      <c r="M1101" s="133">
        <f>IFERROR(__xludf.DUMMYFUNCTION("""COMPUTED_VALUE"""),48.0)</f>
        <v>48</v>
      </c>
      <c r="N1101" s="152" t="str">
        <f>IFERROR(__xludf.DUMMYFUNCTION("""COMPUTED_VALUE"""),"Model 3 SR+")</f>
        <v>Model 3 SR+</v>
      </c>
      <c r="O1101" s="152" t="str">
        <f>IFERROR(__xludf.DUMMYFUNCTION("""COMPUTED_VALUE"""),"Pearl White Multi-Coat")</f>
        <v>Pearl White Multi-Coat</v>
      </c>
      <c r="P1101" s="153" t="str">
        <f>IFERROR(__xludf.DUMMYFUNCTION("""COMPUTED_VALUE"""),"18 inch")</f>
        <v>18 inch</v>
      </c>
      <c r="Q1101" s="152" t="str">
        <f>IFERROR(__xludf.DUMMYFUNCTION("""COMPUTED_VALUE"""),"Black and White")</f>
        <v>Black and White</v>
      </c>
      <c r="R1101" s="149" t="str">
        <f>IFERROR(__xludf.DUMMYFUNCTION("""COMPUTED_VALUE"""),"Autopilot included")</f>
        <v>Autopilot included</v>
      </c>
      <c r="S1101" s="149" t="str">
        <f>IFERROR(__xludf.DUMMYFUNCTION("""COMPUTED_VALUE"""),"Loan")</f>
        <v>Loan</v>
      </c>
      <c r="T1101" s="145" t="str">
        <f>IFERROR(__xludf.DUMMYFUNCTION("""COMPUTED_VALUE"""),"Chevy Volt")</f>
        <v>Chevy Volt</v>
      </c>
      <c r="U1101" s="145" t="str">
        <f>IFERROR(__xludf.DUMMYFUNCTION("""COMPUTED_VALUE"""),"Electric!")</f>
        <v>Electric!</v>
      </c>
      <c r="V1101" s="145" t="str">
        <f>IFERROR(__xludf.DUMMYFUNCTION("""COMPUTED_VALUE"""),"360° Bird's eye view")</f>
        <v>360° Bird's eye view</v>
      </c>
      <c r="W1101" s="145"/>
      <c r="X1101" s="137" t="str">
        <f>IFERROR(__xludf.DUMMYFUNCTION("""COMPUTED_VALUE"""),"Excellent")</f>
        <v>Excellent</v>
      </c>
      <c r="Y1101" s="138" t="str">
        <f>IFERROR(__xludf.DUMMYFUNCTION("""COMPUTED_VALUE"""),"Excellent")</f>
        <v>Excellent</v>
      </c>
      <c r="Z1101" s="138" t="str">
        <f>IFERROR(__xludf.DUMMYFUNCTION("""COMPUTED_VALUE"""),"Excellent")</f>
        <v>Excellent</v>
      </c>
      <c r="AA1101" s="138" t="str">
        <f>IFERROR(__xludf.DUMMYFUNCTION("""COMPUTED_VALUE"""),"Excellent")</f>
        <v>Excellent</v>
      </c>
      <c r="AB1101" s="138" t="str">
        <f>IFERROR(__xludf.DUMMYFUNCTION("""COMPUTED_VALUE"""),"Very Good")</f>
        <v>Very Good</v>
      </c>
      <c r="AC1101" s="139"/>
      <c r="AD1101" s="139"/>
      <c r="AE1101" s="139"/>
      <c r="AF1101" s="140"/>
      <c r="AG1101" s="145"/>
      <c r="AH1101" s="157">
        <f>IFERROR(__xludf.DUMMYFUNCTION("""COMPUTED_VALUE"""),44179.23454133102)</f>
        <v>44179.23454</v>
      </c>
      <c r="AI1101" s="138"/>
      <c r="AJ1101" s="138"/>
      <c r="AK1101" s="138"/>
      <c r="AL1101" s="142"/>
    </row>
    <row r="1102" ht="20.25" customHeight="1">
      <c r="A1102" s="155" t="str">
        <f>IFERROR(__xludf.DUMMYFUNCTION("""COMPUTED_VALUE"""),"lroxa001")</f>
        <v>lroxa001</v>
      </c>
      <c r="B1102" s="149" t="str">
        <f>IFERROR(__xludf.DUMMYFUNCTION("""COMPUTED_VALUE"""),"Jacksonville")</f>
        <v>Jacksonville</v>
      </c>
      <c r="C1102" s="149" t="str">
        <f>IFERROR(__xludf.DUMMYFUNCTION("""COMPUTED_VALUE"""),"FL")</f>
        <v>FL</v>
      </c>
      <c r="D1102" s="149" t="str">
        <f>IFERROR(__xludf.DUMMYFUNCTION("""COMPUTED_VALUE"""),"USA")</f>
        <v>USA</v>
      </c>
      <c r="E1102" s="156">
        <f>IFERROR(__xludf.DUMMYFUNCTION("""COMPUTED_VALUE"""),44127.0)</f>
        <v>44127</v>
      </c>
      <c r="F1102" s="129">
        <f>IFERROR(__xludf.DUMMYFUNCTION("""COMPUTED_VALUE"""),44159.0)</f>
        <v>44159</v>
      </c>
      <c r="G1102" s="154"/>
      <c r="H1102" s="131">
        <f>IFERROR(__xludf.DUMMYFUNCTION("""COMPUTED_VALUE"""),836955.0)</f>
        <v>836955</v>
      </c>
      <c r="I1102" s="144"/>
      <c r="J1102" s="129">
        <f>IFERROR(__xludf.DUMMYFUNCTION("""COMPUTED_VALUE"""),44180.0)</f>
        <v>44180</v>
      </c>
      <c r="K1102" s="133">
        <f>IFERROR(__xludf.DUMMYFUNCTION("""COMPUTED_VALUE"""),32.0)</f>
        <v>32</v>
      </c>
      <c r="L1102" s="133">
        <f>IFERROR(__xludf.DUMMYFUNCTION("""COMPUTED_VALUE"""),21.0)</f>
        <v>21</v>
      </c>
      <c r="M1102" s="133">
        <f>IFERROR(__xludf.DUMMYFUNCTION("""COMPUTED_VALUE"""),53.0)</f>
        <v>53</v>
      </c>
      <c r="N1102" s="152" t="str">
        <f>IFERROR(__xludf.DUMMYFUNCTION("""COMPUTED_VALUE"""),"Model 3 LR AWD")</f>
        <v>Model 3 LR AWD</v>
      </c>
      <c r="O1102" s="152" t="str">
        <f>IFERROR(__xludf.DUMMYFUNCTION("""COMPUTED_VALUE"""),"Solid Black")</f>
        <v>Solid Black</v>
      </c>
      <c r="P1102" s="153" t="str">
        <f>IFERROR(__xludf.DUMMYFUNCTION("""COMPUTED_VALUE"""),"18 inch")</f>
        <v>18 inch</v>
      </c>
      <c r="Q1102" s="152" t="str">
        <f>IFERROR(__xludf.DUMMYFUNCTION("""COMPUTED_VALUE"""),"Black and White")</f>
        <v>Black and White</v>
      </c>
      <c r="R1102" s="149" t="str">
        <f>IFERROR(__xludf.DUMMYFUNCTION("""COMPUTED_VALUE"""),"Autopilot included")</f>
        <v>Autopilot included</v>
      </c>
      <c r="S1102" s="149" t="str">
        <f>IFERROR(__xludf.DUMMYFUNCTION("""COMPUTED_VALUE"""),"Loan")</f>
        <v>Loan</v>
      </c>
      <c r="T1102" s="145" t="str">
        <f>IFERROR(__xludf.DUMMYFUNCTION("""COMPUTED_VALUE"""),"Nissan Murano")</f>
        <v>Nissan Murano</v>
      </c>
      <c r="U1102" s="145" t="str">
        <f>IFERROR(__xludf.DUMMYFUNCTION("""COMPUTED_VALUE"""),"Electric!")</f>
        <v>Electric!</v>
      </c>
      <c r="V1102" s="145" t="str">
        <f>IFERROR(__xludf.DUMMYFUNCTION("""COMPUTED_VALUE"""),"Apple CarPlay / Android Auto / SiriusXM Radio")</f>
        <v>Apple CarPlay / Android Auto / SiriusXM Radio</v>
      </c>
      <c r="W1102" s="136"/>
      <c r="X1102" s="137" t="str">
        <f>IFERROR(__xludf.DUMMYFUNCTION("""COMPUTED_VALUE"""),"Very Good")</f>
        <v>Very Good</v>
      </c>
      <c r="Y1102" s="138" t="str">
        <f>IFERROR(__xludf.DUMMYFUNCTION("""COMPUTED_VALUE"""),"Very Good")</f>
        <v>Very Good</v>
      </c>
      <c r="Z1102" s="138" t="str">
        <f>IFERROR(__xludf.DUMMYFUNCTION("""COMPUTED_VALUE"""),"Very Good")</f>
        <v>Very Good</v>
      </c>
      <c r="AA1102" s="138" t="str">
        <f>IFERROR(__xludf.DUMMYFUNCTION("""COMPUTED_VALUE"""),"Fair")</f>
        <v>Fair</v>
      </c>
      <c r="AB1102" s="138" t="str">
        <f>IFERROR(__xludf.DUMMYFUNCTION("""COMPUTED_VALUE"""),"Excellent")</f>
        <v>Excellent</v>
      </c>
      <c r="AC1102" s="139"/>
      <c r="AD1102" s="139"/>
      <c r="AE1102" s="139"/>
      <c r="AF1102" s="140" t="str">
        <f>IFERROR(__xludf.DUMMYFUNCTION("""COMPUTED_VALUE"""),"No. I took delivery of the first car Tesla was able to deliver.")</f>
        <v>No. I took delivery of the first car Tesla was able to deliver.</v>
      </c>
      <c r="AG1102" s="136"/>
      <c r="AH1102" s="157">
        <f>IFERROR(__xludf.DUMMYFUNCTION("""COMPUTED_VALUE"""),44180.96872414352)</f>
        <v>44180.96872</v>
      </c>
      <c r="AI1102" s="138"/>
      <c r="AJ1102" s="138"/>
      <c r="AK1102" s="138"/>
      <c r="AL1102" s="142"/>
    </row>
    <row r="1103" ht="20.25" customHeight="1">
      <c r="A1103" s="155" t="str">
        <f>IFERROR(__xludf.DUMMYFUNCTION("""COMPUTED_VALUE"""),"maddu")</f>
        <v>maddu</v>
      </c>
      <c r="B1103" s="149" t="str">
        <f>IFERROR(__xludf.DUMMYFUNCTION("""COMPUTED_VALUE"""),"San Francisco")</f>
        <v>San Francisco</v>
      </c>
      <c r="C1103" s="149" t="str">
        <f>IFERROR(__xludf.DUMMYFUNCTION("""COMPUTED_VALUE"""),"CA")</f>
        <v>CA</v>
      </c>
      <c r="D1103" s="149" t="str">
        <f>IFERROR(__xludf.DUMMYFUNCTION("""COMPUTED_VALUE"""),"USA")</f>
        <v>USA</v>
      </c>
      <c r="E1103" s="156">
        <f>IFERROR(__xludf.DUMMYFUNCTION("""COMPUTED_VALUE"""),44127.0)</f>
        <v>44127</v>
      </c>
      <c r="F1103" s="129">
        <f>IFERROR(__xludf.DUMMYFUNCTION("""COMPUTED_VALUE"""),44172.0)</f>
        <v>44172</v>
      </c>
      <c r="G1103" s="154" t="str">
        <f>IFERROR(__xludf.DUMMYFUNCTION("""COMPUTED_VALUE"""),"Manage order page (normal text)")</f>
        <v>Manage order page (normal text)</v>
      </c>
      <c r="H1103" s="131">
        <f>IFERROR(__xludf.DUMMYFUNCTION("""COMPUTED_VALUE"""),856455.0)</f>
        <v>856455</v>
      </c>
      <c r="I1103" s="144" t="str">
        <f>IFERROR(__xludf.DUMMYFUNCTION("""COMPUTED_VALUE"""),"12/20")</f>
        <v>12/20</v>
      </c>
      <c r="J1103" s="129">
        <f>IFERROR(__xludf.DUMMYFUNCTION("""COMPUTED_VALUE"""),44175.0)</f>
        <v>44175</v>
      </c>
      <c r="K1103" s="133">
        <f>IFERROR(__xludf.DUMMYFUNCTION("""COMPUTED_VALUE"""),45.0)</f>
        <v>45</v>
      </c>
      <c r="L1103" s="133">
        <f>IFERROR(__xludf.DUMMYFUNCTION("""COMPUTED_VALUE"""),3.0)</f>
        <v>3</v>
      </c>
      <c r="M1103" s="133">
        <f>IFERROR(__xludf.DUMMYFUNCTION("""COMPUTED_VALUE"""),48.0)</f>
        <v>48</v>
      </c>
      <c r="N1103" s="152" t="str">
        <f>IFERROR(__xludf.DUMMYFUNCTION("""COMPUTED_VALUE"""),"Model 3 Performance")</f>
        <v>Model 3 Performance</v>
      </c>
      <c r="O1103" s="152" t="str">
        <f>IFERROR(__xludf.DUMMYFUNCTION("""COMPUTED_VALUE"""),"Pearl White Multi-Coat")</f>
        <v>Pearl White Multi-Coat</v>
      </c>
      <c r="P1103" s="153" t="str">
        <f>IFERROR(__xludf.DUMMYFUNCTION("""COMPUTED_VALUE"""),"20 inch")</f>
        <v>20 inch</v>
      </c>
      <c r="Q1103" s="152" t="str">
        <f>IFERROR(__xludf.DUMMYFUNCTION("""COMPUTED_VALUE"""),"Black and White")</f>
        <v>Black and White</v>
      </c>
      <c r="R1103" s="149" t="str">
        <f>IFERROR(__xludf.DUMMYFUNCTION("""COMPUTED_VALUE"""),"Autopilot included")</f>
        <v>Autopilot included</v>
      </c>
      <c r="S1103" s="149" t="str">
        <f>IFERROR(__xludf.DUMMYFUNCTION("""COMPUTED_VALUE"""),"Loan")</f>
        <v>Loan</v>
      </c>
      <c r="T1103" s="145"/>
      <c r="U1103" s="145" t="str">
        <f>IFERROR(__xludf.DUMMYFUNCTION("""COMPUTED_VALUE"""),"Electric!")</f>
        <v>Electric!</v>
      </c>
      <c r="V1103" s="145" t="str">
        <f>IFERROR(__xludf.DUMMYFUNCTION("""COMPUTED_VALUE"""),"Heated steering wheel")</f>
        <v>Heated steering wheel</v>
      </c>
      <c r="W1103" s="145"/>
      <c r="X1103" s="137" t="str">
        <f>IFERROR(__xludf.DUMMYFUNCTION("""COMPUTED_VALUE"""),"Excellent")</f>
        <v>Excellent</v>
      </c>
      <c r="Y1103" s="138" t="str">
        <f>IFERROR(__xludf.DUMMYFUNCTION("""COMPUTED_VALUE"""),"Excellent")</f>
        <v>Excellent</v>
      </c>
      <c r="Z1103" s="138" t="str">
        <f>IFERROR(__xludf.DUMMYFUNCTION("""COMPUTED_VALUE"""),"Excellent")</f>
        <v>Excellent</v>
      </c>
      <c r="AA1103" s="138" t="str">
        <f>IFERROR(__xludf.DUMMYFUNCTION("""COMPUTED_VALUE"""),"Fair")</f>
        <v>Fair</v>
      </c>
      <c r="AB1103" s="138" t="str">
        <f>IFERROR(__xludf.DUMMYFUNCTION("""COMPUTED_VALUE"""),"Good")</f>
        <v>Good</v>
      </c>
      <c r="AC1103" s="139">
        <f>IFERROR(__xludf.DUMMYFUNCTION("""COMPUTED_VALUE"""),0.0)</f>
        <v>0</v>
      </c>
      <c r="AD1103" s="139">
        <f>IFERROR(__xludf.DUMMYFUNCTION("""COMPUTED_VALUE"""),0.0)</f>
        <v>0</v>
      </c>
      <c r="AE1103" s="139"/>
      <c r="AF1103" s="140" t="str">
        <f>IFERROR(__xludf.DUMMYFUNCTION("""COMPUTED_VALUE"""),"No. I took delivery of the first car Tesla was able to deliver.")</f>
        <v>No. I took delivery of the first car Tesla was able to deliver.</v>
      </c>
      <c r="AG1103" s="145" t="str">
        <f>IFERROR(__xludf.DUMMYFUNCTION("""COMPUTED_VALUE"""),"est: Dec 11 - 17")</f>
        <v>est: Dec 11 - 17</v>
      </c>
      <c r="AH1103" s="157">
        <f>IFERROR(__xludf.DUMMYFUNCTION("""COMPUTED_VALUE"""),44175.68933717592)</f>
        <v>44175.68934</v>
      </c>
      <c r="AI1103" s="138"/>
      <c r="AJ1103" s="138"/>
      <c r="AK1103" s="138"/>
      <c r="AL1103" s="142"/>
    </row>
    <row r="1104" ht="20.25" customHeight="1">
      <c r="A1104" s="155" t="str">
        <f>IFERROR(__xludf.DUMMYFUNCTION("""COMPUTED_VALUE"""),"sks650")</f>
        <v>sks650</v>
      </c>
      <c r="B1104" s="149"/>
      <c r="C1104" s="149"/>
      <c r="D1104" s="149" t="str">
        <f>IFERROR(__xludf.DUMMYFUNCTION("""COMPUTED_VALUE"""),"USA")</f>
        <v>USA</v>
      </c>
      <c r="E1104" s="156">
        <f>IFERROR(__xludf.DUMMYFUNCTION("""COMPUTED_VALUE"""),44127.0)</f>
        <v>44127</v>
      </c>
      <c r="F1104" s="129">
        <f>IFERROR(__xludf.DUMMYFUNCTION("""COMPUTED_VALUE"""),44200.0)</f>
        <v>44200</v>
      </c>
      <c r="G1104" s="154" t="str">
        <f>IFERROR(__xludf.DUMMYFUNCTION("""COMPUTED_VALUE"""),"Email")</f>
        <v>Email</v>
      </c>
      <c r="H1104" s="131"/>
      <c r="I1104" s="132"/>
      <c r="J1104" s="129">
        <f>IFERROR(__xludf.DUMMYFUNCTION("""COMPUTED_VALUE"""),44203.0)</f>
        <v>44203</v>
      </c>
      <c r="K1104" s="133">
        <f>IFERROR(__xludf.DUMMYFUNCTION("""COMPUTED_VALUE"""),73.0)</f>
        <v>73</v>
      </c>
      <c r="L1104" s="133">
        <f>IFERROR(__xludf.DUMMYFUNCTION("""COMPUTED_VALUE"""),3.0)</f>
        <v>3</v>
      </c>
      <c r="M1104" s="133">
        <f>IFERROR(__xludf.DUMMYFUNCTION("""COMPUTED_VALUE"""),76.0)</f>
        <v>76</v>
      </c>
      <c r="N1104" s="152" t="str">
        <f>IFERROR(__xludf.DUMMYFUNCTION("""COMPUTED_VALUE"""),"Model 3 SR+")</f>
        <v>Model 3 SR+</v>
      </c>
      <c r="O1104" s="152" t="str">
        <f>IFERROR(__xludf.DUMMYFUNCTION("""COMPUTED_VALUE"""),"Solid Black")</f>
        <v>Solid Black</v>
      </c>
      <c r="P1104" s="153" t="str">
        <f>IFERROR(__xludf.DUMMYFUNCTION("""COMPUTED_VALUE"""),"18 inch Aero")</f>
        <v>18 inch Aero</v>
      </c>
      <c r="Q1104" s="152" t="str">
        <f>IFERROR(__xludf.DUMMYFUNCTION("""COMPUTED_VALUE"""),"Black seats")</f>
        <v>Black seats</v>
      </c>
      <c r="R1104" s="150" t="str">
        <f>IFERROR(__xludf.DUMMYFUNCTION("""COMPUTED_VALUE"""),"Full Self-Driving")</f>
        <v>Full Self-Driving</v>
      </c>
      <c r="S1104" s="150" t="str">
        <f>IFERROR(__xludf.DUMMYFUNCTION("""COMPUTED_VALUE"""),"Cash")</f>
        <v>Cash</v>
      </c>
      <c r="T1104" s="136" t="str">
        <f>IFERROR(__xludf.DUMMYFUNCTION("""COMPUTED_VALUE"""),"BMW 3 Series")</f>
        <v>BMW 3 Series</v>
      </c>
      <c r="U1104" s="136"/>
      <c r="V1104" s="136" t="str">
        <f>IFERROR(__xludf.DUMMYFUNCTION("""COMPUTED_VALUE"""),"360° Bird's eye view")</f>
        <v>360° Bird's eye view</v>
      </c>
      <c r="W1104" s="136"/>
      <c r="X1104" s="137" t="str">
        <f>IFERROR(__xludf.DUMMYFUNCTION("""COMPUTED_VALUE"""),"Fair")</f>
        <v>Fair</v>
      </c>
      <c r="Y1104" s="138" t="str">
        <f>IFERROR(__xludf.DUMMYFUNCTION("""COMPUTED_VALUE"""),"Fair")</f>
        <v>Fair</v>
      </c>
      <c r="Z1104" s="138" t="str">
        <f>IFERROR(__xludf.DUMMYFUNCTION("""COMPUTED_VALUE"""),"Excellent")</f>
        <v>Excellent</v>
      </c>
      <c r="AA1104" s="138" t="str">
        <f>IFERROR(__xludf.DUMMYFUNCTION("""COMPUTED_VALUE"""),"Very Good")</f>
        <v>Very Good</v>
      </c>
      <c r="AB1104" s="138" t="str">
        <f>IFERROR(__xludf.DUMMYFUNCTION("""COMPUTED_VALUE"""),"Very Good")</f>
        <v>Very Good</v>
      </c>
      <c r="AC1104" s="139">
        <f>IFERROR(__xludf.DUMMYFUNCTION("""COMPUTED_VALUE"""),3.0)</f>
        <v>3</v>
      </c>
      <c r="AD1104" s="139"/>
      <c r="AE1104" s="139"/>
      <c r="AF1104" s="140" t="str">
        <f>IFERROR(__xludf.DUMMYFUNCTION("""COMPUTED_VALUE"""),"Yes. I refused delivery once and took delivery of the second car.")</f>
        <v>Yes. I refused delivery once and took delivery of the second car.</v>
      </c>
      <c r="AG1104" s="136"/>
      <c r="AH1104" s="157">
        <f>IFERROR(__xludf.DUMMYFUNCTION("""COMPUTED_VALUE"""),44204.303532708334)</f>
        <v>44204.30353</v>
      </c>
      <c r="AI1104" s="138"/>
      <c r="AJ1104" s="138"/>
      <c r="AK1104" s="138"/>
      <c r="AL1104" s="142"/>
    </row>
    <row r="1105" ht="20.25" customHeight="1">
      <c r="A1105" s="155" t="str">
        <f>IFERROR(__xludf.DUMMYFUNCTION("""COMPUTED_VALUE"""),"ThreeAWD")</f>
        <v>ThreeAWD</v>
      </c>
      <c r="B1105" s="150" t="str">
        <f>IFERROR(__xludf.DUMMYFUNCTION("""COMPUTED_VALUE"""),"New York")</f>
        <v>New York</v>
      </c>
      <c r="C1105" s="149" t="str">
        <f>IFERROR(__xludf.DUMMYFUNCTION("""COMPUTED_VALUE"""),"NY")</f>
        <v>NY</v>
      </c>
      <c r="D1105" s="149" t="str">
        <f>IFERROR(__xludf.DUMMYFUNCTION("""COMPUTED_VALUE"""),"USA")</f>
        <v>USA</v>
      </c>
      <c r="E1105" s="156">
        <f>IFERROR(__xludf.DUMMYFUNCTION("""COMPUTED_VALUE"""),44127.0)</f>
        <v>44127</v>
      </c>
      <c r="F1105" s="129">
        <f>IFERROR(__xludf.DUMMYFUNCTION("""COMPUTED_VALUE"""),44160.0)</f>
        <v>44160</v>
      </c>
      <c r="G1105" s="154" t="str">
        <f>IFERROR(__xludf.DUMMYFUNCTION("""COMPUTED_VALUE"""),"Manage order page (normal text)")</f>
        <v>Manage order page (normal text)</v>
      </c>
      <c r="H1105" s="131">
        <f>IFERROR(__xludf.DUMMYFUNCTION("""COMPUTED_VALUE"""),848155.0)</f>
        <v>848155</v>
      </c>
      <c r="I1105" s="144"/>
      <c r="J1105" s="129">
        <f>IFERROR(__xludf.DUMMYFUNCTION("""COMPUTED_VALUE"""),44174.0)</f>
        <v>44174</v>
      </c>
      <c r="K1105" s="133">
        <f>IFERROR(__xludf.DUMMYFUNCTION("""COMPUTED_VALUE"""),33.0)</f>
        <v>33</v>
      </c>
      <c r="L1105" s="133">
        <f>IFERROR(__xludf.DUMMYFUNCTION("""COMPUTED_VALUE"""),14.0)</f>
        <v>14</v>
      </c>
      <c r="M1105" s="133">
        <f>IFERROR(__xludf.DUMMYFUNCTION("""COMPUTED_VALUE"""),47.0)</f>
        <v>47</v>
      </c>
      <c r="N1105" s="152" t="str">
        <f>IFERROR(__xludf.DUMMYFUNCTION("""COMPUTED_VALUE"""),"Model 3 LR AWD")</f>
        <v>Model 3 LR AWD</v>
      </c>
      <c r="O1105" s="152" t="str">
        <f>IFERROR(__xludf.DUMMYFUNCTION("""COMPUTED_VALUE"""),"Midnight Silver Metallic")</f>
        <v>Midnight Silver Metallic</v>
      </c>
      <c r="P1105" s="153" t="str">
        <f>IFERROR(__xludf.DUMMYFUNCTION("""COMPUTED_VALUE"""),"18 inch")</f>
        <v>18 inch</v>
      </c>
      <c r="Q1105" s="152" t="str">
        <f>IFERROR(__xludf.DUMMYFUNCTION("""COMPUTED_VALUE"""),"All Black")</f>
        <v>All Black</v>
      </c>
      <c r="R1105" s="149" t="str">
        <f>IFERROR(__xludf.DUMMYFUNCTION("""COMPUTED_VALUE"""),"Autopilot included")</f>
        <v>Autopilot included</v>
      </c>
      <c r="S1105" s="149" t="str">
        <f>IFERROR(__xludf.DUMMYFUNCTION("""COMPUTED_VALUE"""),"Lease")</f>
        <v>Lease</v>
      </c>
      <c r="T1105" s="145"/>
      <c r="U1105" s="145" t="str">
        <f>IFERROR(__xludf.DUMMYFUNCTION("""COMPUTED_VALUE"""),"Electric!")</f>
        <v>Electric!</v>
      </c>
      <c r="V1105" s="145" t="str">
        <f>IFERROR(__xludf.DUMMYFUNCTION("""COMPUTED_VALUE"""),"Head-up display")</f>
        <v>Head-up display</v>
      </c>
      <c r="W1105" s="136"/>
      <c r="X1105" s="137" t="str">
        <f>IFERROR(__xludf.DUMMYFUNCTION("""COMPUTED_VALUE"""),"Excellent")</f>
        <v>Excellent</v>
      </c>
      <c r="Y1105" s="138" t="str">
        <f>IFERROR(__xludf.DUMMYFUNCTION("""COMPUTED_VALUE"""),"Excellent")</f>
        <v>Excellent</v>
      </c>
      <c r="Z1105" s="138" t="str">
        <f>IFERROR(__xludf.DUMMYFUNCTION("""COMPUTED_VALUE"""),"Excellent")</f>
        <v>Excellent</v>
      </c>
      <c r="AA1105" s="138" t="str">
        <f>IFERROR(__xludf.DUMMYFUNCTION("""COMPUTED_VALUE"""),"Excellent")</f>
        <v>Excellent</v>
      </c>
      <c r="AB1105" s="138" t="str">
        <f>IFERROR(__xludf.DUMMYFUNCTION("""COMPUTED_VALUE"""),"Very Good")</f>
        <v>Very Good</v>
      </c>
      <c r="AC1105" s="139"/>
      <c r="AD1105" s="139"/>
      <c r="AE1105" s="139"/>
      <c r="AF1105" s="140" t="str">
        <f>IFERROR(__xludf.DUMMYFUNCTION("""COMPUTED_VALUE"""),"No. I took delivery of the first car Tesla was able to deliver.")</f>
        <v>No. I took delivery of the first car Tesla was able to deliver.</v>
      </c>
      <c r="AG1105" s="136"/>
      <c r="AH1105" s="157">
        <f>IFERROR(__xludf.DUMMYFUNCTION("""COMPUTED_VALUE"""),44181.82900003472)</f>
        <v>44181.829</v>
      </c>
      <c r="AI1105" s="138"/>
      <c r="AJ1105" s="138"/>
      <c r="AK1105" s="138"/>
      <c r="AL1105" s="142"/>
    </row>
    <row r="1106" ht="20.25" customHeight="1">
      <c r="A1106" s="155" t="str">
        <f>IFERROR(__xludf.DUMMYFUNCTION("""COMPUTED_VALUE"""),"ColonelCobra")</f>
        <v>ColonelCobra</v>
      </c>
      <c r="B1106" s="149" t="str">
        <f>IFERROR(__xludf.DUMMYFUNCTION("""COMPUTED_VALUE"""),"Sunnyvale")</f>
        <v>Sunnyvale</v>
      </c>
      <c r="C1106" s="149" t="str">
        <f>IFERROR(__xludf.DUMMYFUNCTION("""COMPUTED_VALUE"""),"CA")</f>
        <v>CA</v>
      </c>
      <c r="D1106" s="149" t="str">
        <f>IFERROR(__xludf.DUMMYFUNCTION("""COMPUTED_VALUE"""),"USA")</f>
        <v>USA</v>
      </c>
      <c r="E1106" s="156">
        <f>IFERROR(__xludf.DUMMYFUNCTION("""COMPUTED_VALUE"""),44126.0)</f>
        <v>44126</v>
      </c>
      <c r="F1106" s="129">
        <f>IFERROR(__xludf.DUMMYFUNCTION("""COMPUTED_VALUE"""),44170.0)</f>
        <v>44170</v>
      </c>
      <c r="G1106" s="154" t="str">
        <f>IFERROR(__xludf.DUMMYFUNCTION("""COMPUTED_VALUE"""),"Manage order page (normal text)")</f>
        <v>Manage order page (normal text)</v>
      </c>
      <c r="H1106" s="131">
        <f>IFERROR(__xludf.DUMMYFUNCTION("""COMPUTED_VALUE"""),855255.0)</f>
        <v>855255</v>
      </c>
      <c r="I1106" s="132"/>
      <c r="J1106" s="129">
        <f>IFERROR(__xludf.DUMMYFUNCTION("""COMPUTED_VALUE"""),44173.0)</f>
        <v>44173</v>
      </c>
      <c r="K1106" s="133">
        <f>IFERROR(__xludf.DUMMYFUNCTION("""COMPUTED_VALUE"""),44.0)</f>
        <v>44</v>
      </c>
      <c r="L1106" s="133">
        <f>IFERROR(__xludf.DUMMYFUNCTION("""COMPUTED_VALUE"""),3.0)</f>
        <v>3</v>
      </c>
      <c r="M1106" s="133">
        <f>IFERROR(__xludf.DUMMYFUNCTION("""COMPUTED_VALUE"""),47.0)</f>
        <v>47</v>
      </c>
      <c r="N1106" s="152" t="str">
        <f>IFERROR(__xludf.DUMMYFUNCTION("""COMPUTED_VALUE"""),"Model 3 LR AWD")</f>
        <v>Model 3 LR AWD</v>
      </c>
      <c r="O1106" s="152" t="str">
        <f>IFERROR(__xludf.DUMMYFUNCTION("""COMPUTED_VALUE"""),"Midnight Silver Metallic")</f>
        <v>Midnight Silver Metallic</v>
      </c>
      <c r="P1106" s="153" t="str">
        <f>IFERROR(__xludf.DUMMYFUNCTION("""COMPUTED_VALUE"""),"18 inch")</f>
        <v>18 inch</v>
      </c>
      <c r="Q1106" s="152" t="str">
        <f>IFERROR(__xludf.DUMMYFUNCTION("""COMPUTED_VALUE"""),"All Black")</f>
        <v>All Black</v>
      </c>
      <c r="R1106" s="150" t="str">
        <f>IFERROR(__xludf.DUMMYFUNCTION("""COMPUTED_VALUE"""),"Full Self-Driving")</f>
        <v>Full Self-Driving</v>
      </c>
      <c r="S1106" s="150" t="str">
        <f>IFERROR(__xludf.DUMMYFUNCTION("""COMPUTED_VALUE"""),"Loan")</f>
        <v>Loan</v>
      </c>
      <c r="T1106" s="136"/>
      <c r="U1106" s="136" t="str">
        <f>IFERROR(__xludf.DUMMYFUNCTION("""COMPUTED_VALUE"""),"Autopilot")</f>
        <v>Autopilot</v>
      </c>
      <c r="V1106" s="136" t="str">
        <f>IFERROR(__xludf.DUMMYFUNCTION("""COMPUTED_VALUE"""),"360° Bird's eye view")</f>
        <v>360° Bird's eye view</v>
      </c>
      <c r="W1106" s="136"/>
      <c r="X1106" s="137" t="str">
        <f>IFERROR(__xludf.DUMMYFUNCTION("""COMPUTED_VALUE"""),"Very Good")</f>
        <v>Very Good</v>
      </c>
      <c r="Y1106" s="138" t="str">
        <f>IFERROR(__xludf.DUMMYFUNCTION("""COMPUTED_VALUE"""),"Good")</f>
        <v>Good</v>
      </c>
      <c r="Z1106" s="138" t="str">
        <f>IFERROR(__xludf.DUMMYFUNCTION("""COMPUTED_VALUE"""),"Good")</f>
        <v>Good</v>
      </c>
      <c r="AA1106" s="138" t="str">
        <f>IFERROR(__xludf.DUMMYFUNCTION("""COMPUTED_VALUE"""),"Fair")</f>
        <v>Fair</v>
      </c>
      <c r="AB1106" s="138" t="str">
        <f>IFERROR(__xludf.DUMMYFUNCTION("""COMPUTED_VALUE"""),"Good")</f>
        <v>Good</v>
      </c>
      <c r="AC1106" s="139">
        <f>IFERROR(__xludf.DUMMYFUNCTION("""COMPUTED_VALUE"""),3.0)</f>
        <v>3</v>
      </c>
      <c r="AD1106" s="139"/>
      <c r="AE1106" s="139"/>
      <c r="AF1106" s="140" t="str">
        <f>IFERROR(__xludf.DUMMYFUNCTION("""COMPUTED_VALUE"""),"No. I took delivery of the first car Tesla was able to deliver.")</f>
        <v>No. I took delivery of the first car Tesla was able to deliver.</v>
      </c>
      <c r="AG1106" s="136"/>
      <c r="AH1106" s="157">
        <f>IFERROR(__xludf.DUMMYFUNCTION("""COMPUTED_VALUE"""),44175.539349293984)</f>
        <v>44175.53935</v>
      </c>
      <c r="AI1106" s="138"/>
      <c r="AJ1106" s="138"/>
      <c r="AK1106" s="138"/>
      <c r="AL1106" s="142"/>
    </row>
    <row r="1107" ht="20.25" customHeight="1">
      <c r="A1107" s="155" t="str">
        <f>IFERROR(__xludf.DUMMYFUNCTION("""COMPUTED_VALUE"""),"Cycloptia")</f>
        <v>Cycloptia</v>
      </c>
      <c r="B1107" s="150" t="str">
        <f>IFERROR(__xludf.DUMMYFUNCTION("""COMPUTED_VALUE"""),"Fort Worth")</f>
        <v>Fort Worth</v>
      </c>
      <c r="C1107" s="150" t="str">
        <f>IFERROR(__xludf.DUMMYFUNCTION("""COMPUTED_VALUE"""),"TX")</f>
        <v>TX</v>
      </c>
      <c r="D1107" s="150" t="str">
        <f>IFERROR(__xludf.DUMMYFUNCTION("""COMPUTED_VALUE"""),"USA")</f>
        <v>USA</v>
      </c>
      <c r="E1107" s="156">
        <f>IFERROR(__xludf.DUMMYFUNCTION("""COMPUTED_VALUE"""),44126.0)</f>
        <v>44126</v>
      </c>
      <c r="F1107" s="129">
        <f>IFERROR(__xludf.DUMMYFUNCTION("""COMPUTED_VALUE"""),44172.0)</f>
        <v>44172</v>
      </c>
      <c r="G1107" s="154" t="str">
        <f>IFERROR(__xludf.DUMMYFUNCTION("""COMPUTED_VALUE"""),"Manage order page (normal text)")</f>
        <v>Manage order page (normal text)</v>
      </c>
      <c r="H1107" s="131">
        <f>IFERROR(__xludf.DUMMYFUNCTION("""COMPUTED_VALUE"""),854532.0)</f>
        <v>854532</v>
      </c>
      <c r="I1107" s="132"/>
      <c r="J1107" s="129">
        <f>IFERROR(__xludf.DUMMYFUNCTION("""COMPUTED_VALUE"""),44192.0)</f>
        <v>44192</v>
      </c>
      <c r="K1107" s="133">
        <f>IFERROR(__xludf.DUMMYFUNCTION("""COMPUTED_VALUE"""),46.0)</f>
        <v>46</v>
      </c>
      <c r="L1107" s="133">
        <f>IFERROR(__xludf.DUMMYFUNCTION("""COMPUTED_VALUE"""),20.0)</f>
        <v>20</v>
      </c>
      <c r="M1107" s="133">
        <f>IFERROR(__xludf.DUMMYFUNCTION("""COMPUTED_VALUE"""),66.0)</f>
        <v>66</v>
      </c>
      <c r="N1107" s="152" t="str">
        <f>IFERROR(__xludf.DUMMYFUNCTION("""COMPUTED_VALUE"""),"Model 3 SR+")</f>
        <v>Model 3 SR+</v>
      </c>
      <c r="O1107" s="152" t="str">
        <f>IFERROR(__xludf.DUMMYFUNCTION("""COMPUTED_VALUE"""),"Midnight Silver Metallic")</f>
        <v>Midnight Silver Metallic</v>
      </c>
      <c r="P1107" s="153" t="str">
        <f>IFERROR(__xludf.DUMMYFUNCTION("""COMPUTED_VALUE"""),"18 inch")</f>
        <v>18 inch</v>
      </c>
      <c r="Q1107" s="152" t="str">
        <f>IFERROR(__xludf.DUMMYFUNCTION("""COMPUTED_VALUE"""),"All Black")</f>
        <v>All Black</v>
      </c>
      <c r="R1107" s="150" t="str">
        <f>IFERROR(__xludf.DUMMYFUNCTION("""COMPUTED_VALUE"""),"Autopilot included")</f>
        <v>Autopilot included</v>
      </c>
      <c r="S1107" s="150" t="str">
        <f>IFERROR(__xludf.DUMMYFUNCTION("""COMPUTED_VALUE"""),"Loan")</f>
        <v>Loan</v>
      </c>
      <c r="T1107" s="145" t="str">
        <f>IFERROR(__xludf.DUMMYFUNCTION("""COMPUTED_VALUE"""),"Chevy Malibu")</f>
        <v>Chevy Malibu</v>
      </c>
      <c r="U1107" s="145" t="str">
        <f>IFERROR(__xludf.DUMMYFUNCTION("""COMPUTED_VALUE"""),"Electric!")</f>
        <v>Electric!</v>
      </c>
      <c r="V1107" s="136"/>
      <c r="W1107" s="136"/>
      <c r="X1107" s="137" t="str">
        <f>IFERROR(__xludf.DUMMYFUNCTION("""COMPUTED_VALUE"""),"Excellent")</f>
        <v>Excellent</v>
      </c>
      <c r="Y1107" s="138" t="str">
        <f>IFERROR(__xludf.DUMMYFUNCTION("""COMPUTED_VALUE"""),"Excellent")</f>
        <v>Excellent</v>
      </c>
      <c r="Z1107" s="138" t="str">
        <f>IFERROR(__xludf.DUMMYFUNCTION("""COMPUTED_VALUE"""),"Excellent")</f>
        <v>Excellent</v>
      </c>
      <c r="AA1107" s="138" t="str">
        <f>IFERROR(__xludf.DUMMYFUNCTION("""COMPUTED_VALUE"""),"Excellent")</f>
        <v>Excellent</v>
      </c>
      <c r="AB1107" s="138" t="str">
        <f>IFERROR(__xludf.DUMMYFUNCTION("""COMPUTED_VALUE"""),"Excellent")</f>
        <v>Excellent</v>
      </c>
      <c r="AC1107" s="139"/>
      <c r="AD1107" s="139"/>
      <c r="AE1107" s="139"/>
      <c r="AF1107" s="140" t="str">
        <f>IFERROR(__xludf.DUMMYFUNCTION("""COMPUTED_VALUE"""),"No. I took delivery of the first car Tesla was able to deliver.")</f>
        <v>No. I took delivery of the first car Tesla was able to deliver.</v>
      </c>
      <c r="AG1107" s="136"/>
      <c r="AH1107" s="157">
        <f>IFERROR(__xludf.DUMMYFUNCTION("""COMPUTED_VALUE"""),44200.31525648149)</f>
        <v>44200.31526</v>
      </c>
      <c r="AI1107" s="138"/>
      <c r="AJ1107" s="138"/>
      <c r="AK1107" s="138"/>
      <c r="AL1107" s="142"/>
    </row>
    <row r="1108" ht="20.25" customHeight="1">
      <c r="A1108" s="155" t="str">
        <f>IFERROR(__xludf.DUMMYFUNCTION("""COMPUTED_VALUE"""),"Doug_U_AGrave")</f>
        <v>Doug_U_AGrave</v>
      </c>
      <c r="B1108" s="149" t="str">
        <f>IFERROR(__xludf.DUMMYFUNCTION("""COMPUTED_VALUE"""),"Roseville")</f>
        <v>Roseville</v>
      </c>
      <c r="C1108" s="149" t="str">
        <f>IFERROR(__xludf.DUMMYFUNCTION("""COMPUTED_VALUE"""),"CA")</f>
        <v>CA</v>
      </c>
      <c r="D1108" s="149" t="str">
        <f>IFERROR(__xludf.DUMMYFUNCTION("""COMPUTED_VALUE"""),"USA")</f>
        <v>USA</v>
      </c>
      <c r="E1108" s="156">
        <f>IFERROR(__xludf.DUMMYFUNCTION("""COMPUTED_VALUE"""),44126.0)</f>
        <v>44126</v>
      </c>
      <c r="F1108" s="129">
        <f>IFERROR(__xludf.DUMMYFUNCTION("""COMPUTED_VALUE"""),44194.0)</f>
        <v>44194</v>
      </c>
      <c r="G1108" s="154" t="str">
        <f>IFERROR(__xludf.DUMMYFUNCTION("""COMPUTED_VALUE"""),"Text message")</f>
        <v>Text message</v>
      </c>
      <c r="H1108" s="131">
        <f>IFERROR(__xludf.DUMMYFUNCTION("""COMPUTED_VALUE"""),879355.0)</f>
        <v>879355</v>
      </c>
      <c r="I1108" s="144" t="str">
        <f>IFERROR(__xludf.DUMMYFUNCTION("""COMPUTED_VALUE"""),"12/20")</f>
        <v>12/20</v>
      </c>
      <c r="J1108" s="129">
        <f>IFERROR(__xludf.DUMMYFUNCTION("""COMPUTED_VALUE"""),44200.0)</f>
        <v>44200</v>
      </c>
      <c r="K1108" s="133">
        <f>IFERROR(__xludf.DUMMYFUNCTION("""COMPUTED_VALUE"""),68.0)</f>
        <v>68</v>
      </c>
      <c r="L1108" s="133">
        <f>IFERROR(__xludf.DUMMYFUNCTION("""COMPUTED_VALUE"""),6.0)</f>
        <v>6</v>
      </c>
      <c r="M1108" s="133">
        <f>IFERROR(__xludf.DUMMYFUNCTION("""COMPUTED_VALUE"""),74.0)</f>
        <v>74</v>
      </c>
      <c r="N1108" s="152" t="str">
        <f>IFERROR(__xludf.DUMMYFUNCTION("""COMPUTED_VALUE"""),"Model 3 Performance")</f>
        <v>Model 3 Performance</v>
      </c>
      <c r="O1108" s="152" t="str">
        <f>IFERROR(__xludf.DUMMYFUNCTION("""COMPUTED_VALUE"""),"Pearl White Multi-Coat")</f>
        <v>Pearl White Multi-Coat</v>
      </c>
      <c r="P1108" s="153" t="str">
        <f>IFERROR(__xludf.DUMMYFUNCTION("""COMPUTED_VALUE"""),"20 inch")</f>
        <v>20 inch</v>
      </c>
      <c r="Q1108" s="152" t="str">
        <f>IFERROR(__xludf.DUMMYFUNCTION("""COMPUTED_VALUE"""),"All Black")</f>
        <v>All Black</v>
      </c>
      <c r="R1108" s="149" t="str">
        <f>IFERROR(__xludf.DUMMYFUNCTION("""COMPUTED_VALUE"""),"Full Self-Driving")</f>
        <v>Full Self-Driving</v>
      </c>
      <c r="S1108" s="149" t="str">
        <f>IFERROR(__xludf.DUMMYFUNCTION("""COMPUTED_VALUE"""),"Cash")</f>
        <v>Cash</v>
      </c>
      <c r="T1108" s="145"/>
      <c r="U1108" s="145"/>
      <c r="V1108" s="145" t="str">
        <f>IFERROR(__xludf.DUMMYFUNCTION("""COMPUTED_VALUE"""),"Air suspension")</f>
        <v>Air suspension</v>
      </c>
      <c r="W1108" s="136"/>
      <c r="X1108" s="137" t="str">
        <f>IFERROR(__xludf.DUMMYFUNCTION("""COMPUTED_VALUE"""),"Very Good")</f>
        <v>Very Good</v>
      </c>
      <c r="Y1108" s="138" t="str">
        <f>IFERROR(__xludf.DUMMYFUNCTION("""COMPUTED_VALUE"""),"Excellent")</f>
        <v>Excellent</v>
      </c>
      <c r="Z1108" s="138" t="str">
        <f>IFERROR(__xludf.DUMMYFUNCTION("""COMPUTED_VALUE"""),"Fair")</f>
        <v>Fair</v>
      </c>
      <c r="AA1108" s="138" t="str">
        <f>IFERROR(__xludf.DUMMYFUNCTION("""COMPUTED_VALUE"""),"Poor")</f>
        <v>Poor</v>
      </c>
      <c r="AB1108" s="138" t="str">
        <f>IFERROR(__xludf.DUMMYFUNCTION("""COMPUTED_VALUE"""),"Poor")</f>
        <v>Poor</v>
      </c>
      <c r="AC1108" s="139">
        <f>IFERROR(__xludf.DUMMYFUNCTION("""COMPUTED_VALUE"""),0.0)</f>
        <v>0</v>
      </c>
      <c r="AD1108" s="139">
        <f>IFERROR(__xludf.DUMMYFUNCTION("""COMPUTED_VALUE"""),0.0)</f>
        <v>0</v>
      </c>
      <c r="AE1108" s="139">
        <f>IFERROR(__xludf.DUMMYFUNCTION("""COMPUTED_VALUE"""),0.0)</f>
        <v>0</v>
      </c>
      <c r="AF1108" s="140" t="str">
        <f>IFERROR(__xludf.DUMMYFUNCTION("""COMPUTED_VALUE"""),"No. I took delivery of the first car Tesla was able to deliver.")</f>
        <v>No. I took delivery of the first car Tesla was able to deliver.</v>
      </c>
      <c r="AG1108" s="136"/>
      <c r="AH1108" s="157">
        <f>IFERROR(__xludf.DUMMYFUNCTION("""COMPUTED_VALUE"""),44226.03533361111)</f>
        <v>44226.03533</v>
      </c>
      <c r="AI1108" s="138"/>
      <c r="AJ1108" s="138"/>
      <c r="AK1108" s="138"/>
      <c r="AL1108" s="142"/>
    </row>
    <row r="1109" ht="20.25" customHeight="1">
      <c r="A1109" s="155" t="str">
        <f>IFERROR(__xludf.DUMMYFUNCTION("""COMPUTED_VALUE"""),"jkburns")</f>
        <v>jkburns</v>
      </c>
      <c r="B1109" s="149" t="str">
        <f>IFERROR(__xludf.DUMMYFUNCTION("""COMPUTED_VALUE"""),"Twin Cities")</f>
        <v>Twin Cities</v>
      </c>
      <c r="C1109" s="149" t="str">
        <f>IFERROR(__xludf.DUMMYFUNCTION("""COMPUTED_VALUE"""),"MN")</f>
        <v>MN</v>
      </c>
      <c r="D1109" s="149" t="str">
        <f>IFERROR(__xludf.DUMMYFUNCTION("""COMPUTED_VALUE"""),"USA")</f>
        <v>USA</v>
      </c>
      <c r="E1109" s="156">
        <f>IFERROR(__xludf.DUMMYFUNCTION("""COMPUTED_VALUE"""),44126.0)</f>
        <v>44126</v>
      </c>
      <c r="F1109" s="129">
        <f>IFERROR(__xludf.DUMMYFUNCTION("""COMPUTED_VALUE"""),44173.0)</f>
        <v>44173</v>
      </c>
      <c r="G1109" s="154" t="str">
        <f>IFERROR(__xludf.DUMMYFUNCTION("""COMPUTED_VALUE"""),"Manage order page (normal text)")</f>
        <v>Manage order page (normal text)</v>
      </c>
      <c r="H1109" s="131">
        <f>IFERROR(__xludf.DUMMYFUNCTION("""COMPUTED_VALUE"""),860455.0)</f>
        <v>860455</v>
      </c>
      <c r="I1109" s="132" t="str">
        <f>IFERROR(__xludf.DUMMYFUNCTION("""COMPUTED_VALUE"""),"12/20")</f>
        <v>12/20</v>
      </c>
      <c r="J1109" s="129">
        <f>IFERROR(__xludf.DUMMYFUNCTION("""COMPUTED_VALUE"""),44188.0)</f>
        <v>44188</v>
      </c>
      <c r="K1109" s="133">
        <f>IFERROR(__xludf.DUMMYFUNCTION("""COMPUTED_VALUE"""),47.0)</f>
        <v>47</v>
      </c>
      <c r="L1109" s="133">
        <f>IFERROR(__xludf.DUMMYFUNCTION("""COMPUTED_VALUE"""),15.0)</f>
        <v>15</v>
      </c>
      <c r="M1109" s="133">
        <f>IFERROR(__xludf.DUMMYFUNCTION("""COMPUTED_VALUE"""),62.0)</f>
        <v>62</v>
      </c>
      <c r="N1109" s="152" t="str">
        <f>IFERROR(__xludf.DUMMYFUNCTION("""COMPUTED_VALUE"""),"Model 3 LR AWD")</f>
        <v>Model 3 LR AWD</v>
      </c>
      <c r="O1109" s="152" t="str">
        <f>IFERROR(__xludf.DUMMYFUNCTION("""COMPUTED_VALUE"""),"Deep Blue Metallic")</f>
        <v>Deep Blue Metallic</v>
      </c>
      <c r="P1109" s="153" t="str">
        <f>IFERROR(__xludf.DUMMYFUNCTION("""COMPUTED_VALUE"""),"19 inch")</f>
        <v>19 inch</v>
      </c>
      <c r="Q1109" s="152" t="str">
        <f>IFERROR(__xludf.DUMMYFUNCTION("""COMPUTED_VALUE"""),"Black and White")</f>
        <v>Black and White</v>
      </c>
      <c r="R1109" s="150" t="str">
        <f>IFERROR(__xludf.DUMMYFUNCTION("""COMPUTED_VALUE"""),"Full Self-Driving")</f>
        <v>Full Self-Driving</v>
      </c>
      <c r="S1109" s="150" t="str">
        <f>IFERROR(__xludf.DUMMYFUNCTION("""COMPUTED_VALUE"""),"Loan")</f>
        <v>Loan</v>
      </c>
      <c r="T1109" s="136"/>
      <c r="U1109" s="136"/>
      <c r="V1109" s="136" t="str">
        <f>IFERROR(__xludf.DUMMYFUNCTION("""COMPUTED_VALUE"""),"Heated steering wheel")</f>
        <v>Heated steering wheel</v>
      </c>
      <c r="W1109" s="136"/>
      <c r="X1109" s="137" t="str">
        <f>IFERROR(__xludf.DUMMYFUNCTION("""COMPUTED_VALUE"""),"Very Good")</f>
        <v>Very Good</v>
      </c>
      <c r="Y1109" s="138" t="str">
        <f>IFERROR(__xludf.DUMMYFUNCTION("""COMPUTED_VALUE"""),"Excellent")</f>
        <v>Excellent</v>
      </c>
      <c r="Z1109" s="138" t="str">
        <f>IFERROR(__xludf.DUMMYFUNCTION("""COMPUTED_VALUE"""),"Very Good")</f>
        <v>Very Good</v>
      </c>
      <c r="AA1109" s="138" t="str">
        <f>IFERROR(__xludf.DUMMYFUNCTION("""COMPUTED_VALUE"""),"Excellent")</f>
        <v>Excellent</v>
      </c>
      <c r="AB1109" s="138" t="str">
        <f>IFERROR(__xludf.DUMMYFUNCTION("""COMPUTED_VALUE"""),"Excellent")</f>
        <v>Excellent</v>
      </c>
      <c r="AC1109" s="139"/>
      <c r="AD1109" s="139"/>
      <c r="AE1109" s="139"/>
      <c r="AF1109" s="140" t="str">
        <f>IFERROR(__xludf.DUMMYFUNCTION("""COMPUTED_VALUE"""),"No. I took delivery of the first car Tesla was able to deliver.")</f>
        <v>No. I took delivery of the first car Tesla was able to deliver.</v>
      </c>
      <c r="AG1109" s="136"/>
      <c r="AH1109" s="157">
        <f>IFERROR(__xludf.DUMMYFUNCTION("""COMPUTED_VALUE"""),44191.28943488426)</f>
        <v>44191.28943</v>
      </c>
      <c r="AI1109" s="138"/>
      <c r="AJ1109" s="138"/>
      <c r="AK1109" s="138"/>
      <c r="AL1109" s="142"/>
    </row>
    <row r="1110" ht="20.25" customHeight="1">
      <c r="A1110" s="155" t="str">
        <f>IFERROR(__xludf.DUMMYFUNCTION("""COMPUTED_VALUE"""),"Mark57")</f>
        <v>Mark57</v>
      </c>
      <c r="B1110" s="149" t="str">
        <f>IFERROR(__xludf.DUMMYFUNCTION("""COMPUTED_VALUE"""),"OKC")</f>
        <v>OKC</v>
      </c>
      <c r="C1110" s="149" t="str">
        <f>IFERROR(__xludf.DUMMYFUNCTION("""COMPUTED_VALUE"""),"OK")</f>
        <v>OK</v>
      </c>
      <c r="D1110" s="149" t="str">
        <f>IFERROR(__xludf.DUMMYFUNCTION("""COMPUTED_VALUE"""),"USA")</f>
        <v>USA</v>
      </c>
      <c r="E1110" s="156">
        <f>IFERROR(__xludf.DUMMYFUNCTION("""COMPUTED_VALUE"""),44126.0)</f>
        <v>44126</v>
      </c>
      <c r="F1110" s="129">
        <f>IFERROR(__xludf.DUMMYFUNCTION("""COMPUTED_VALUE"""),44159.0)</f>
        <v>44159</v>
      </c>
      <c r="G1110" s="154" t="str">
        <f>IFERROR(__xludf.DUMMYFUNCTION("""COMPUTED_VALUE"""),"Email")</f>
        <v>Email</v>
      </c>
      <c r="H1110" s="131">
        <f>IFERROR(__xludf.DUMMYFUNCTION("""COMPUTED_VALUE"""),848955.0)</f>
        <v>848955</v>
      </c>
      <c r="I1110" s="144" t="str">
        <f>IFERROR(__xludf.DUMMYFUNCTION("""COMPUTED_VALUE"""),"11/20")</f>
        <v>11/20</v>
      </c>
      <c r="J1110" s="129">
        <f>IFERROR(__xludf.DUMMYFUNCTION("""COMPUTED_VALUE"""),44182.0)</f>
        <v>44182</v>
      </c>
      <c r="K1110" s="133">
        <f>IFERROR(__xludf.DUMMYFUNCTION("""COMPUTED_VALUE"""),33.0)</f>
        <v>33</v>
      </c>
      <c r="L1110" s="133">
        <f>IFERROR(__xludf.DUMMYFUNCTION("""COMPUTED_VALUE"""),23.0)</f>
        <v>23</v>
      </c>
      <c r="M1110" s="133">
        <f>IFERROR(__xludf.DUMMYFUNCTION("""COMPUTED_VALUE"""),56.0)</f>
        <v>56</v>
      </c>
      <c r="N1110" s="152" t="str">
        <f>IFERROR(__xludf.DUMMYFUNCTION("""COMPUTED_VALUE"""),"Model 3 LR AWD")</f>
        <v>Model 3 LR AWD</v>
      </c>
      <c r="O1110" s="152" t="str">
        <f>IFERROR(__xludf.DUMMYFUNCTION("""COMPUTED_VALUE"""),"Red Multi-Coat")</f>
        <v>Red Multi-Coat</v>
      </c>
      <c r="P1110" s="153" t="str">
        <f>IFERROR(__xludf.DUMMYFUNCTION("""COMPUTED_VALUE"""),"18 inch")</f>
        <v>18 inch</v>
      </c>
      <c r="Q1110" s="152" t="str">
        <f>IFERROR(__xludf.DUMMYFUNCTION("""COMPUTED_VALUE"""),"All Black")</f>
        <v>All Black</v>
      </c>
      <c r="R1110" s="149" t="str">
        <f>IFERROR(__xludf.DUMMYFUNCTION("""COMPUTED_VALUE"""),"Autopilot included")</f>
        <v>Autopilot included</v>
      </c>
      <c r="S1110" s="149" t="str">
        <f>IFERROR(__xludf.DUMMYFUNCTION("""COMPUTED_VALUE"""),"Cash")</f>
        <v>Cash</v>
      </c>
      <c r="T1110" s="145" t="str">
        <f>IFERROR(__xludf.DUMMYFUNCTION("""COMPUTED_VALUE"""),"Toyota Prius")</f>
        <v>Toyota Prius</v>
      </c>
      <c r="U1110" s="145" t="str">
        <f>IFERROR(__xludf.DUMMYFUNCTION("""COMPUTED_VALUE"""),"Electric!")</f>
        <v>Electric!</v>
      </c>
      <c r="V1110" s="145" t="str">
        <f>IFERROR(__xludf.DUMMYFUNCTION("""COMPUTED_VALUE"""),"Air suspension")</f>
        <v>Air suspension</v>
      </c>
      <c r="W1110" s="145" t="str">
        <f>IFERROR(__xludf.DUMMYFUNCTION("""COMPUTED_VALUE"""),"Patience")</f>
        <v>Patience</v>
      </c>
      <c r="X1110" s="137" t="str">
        <f>IFERROR(__xludf.DUMMYFUNCTION("""COMPUTED_VALUE"""),"Excellent")</f>
        <v>Excellent</v>
      </c>
      <c r="Y1110" s="138" t="str">
        <f>IFERROR(__xludf.DUMMYFUNCTION("""COMPUTED_VALUE"""),"Excellent")</f>
        <v>Excellent</v>
      </c>
      <c r="Z1110" s="138" t="str">
        <f>IFERROR(__xludf.DUMMYFUNCTION("""COMPUTED_VALUE"""),"Excellent")</f>
        <v>Excellent</v>
      </c>
      <c r="AA1110" s="138" t="str">
        <f>IFERROR(__xludf.DUMMYFUNCTION("""COMPUTED_VALUE"""),"Very Good")</f>
        <v>Very Good</v>
      </c>
      <c r="AB1110" s="138" t="str">
        <f>IFERROR(__xludf.DUMMYFUNCTION("""COMPUTED_VALUE"""),"Excellent")</f>
        <v>Excellent</v>
      </c>
      <c r="AC1110" s="139">
        <f>IFERROR(__xludf.DUMMYFUNCTION("""COMPUTED_VALUE"""),0.0)</f>
        <v>0</v>
      </c>
      <c r="AD1110" s="139">
        <f>IFERROR(__xludf.DUMMYFUNCTION("""COMPUTED_VALUE"""),0.0)</f>
        <v>0</v>
      </c>
      <c r="AE1110" s="139">
        <f>IFERROR(__xludf.DUMMYFUNCTION("""COMPUTED_VALUE"""),0.0)</f>
        <v>0</v>
      </c>
      <c r="AF1110" s="140" t="str">
        <f>IFERROR(__xludf.DUMMYFUNCTION("""COMPUTED_VALUE"""),"No. I took delivery of the first car Tesla was able to deliver.")</f>
        <v>No. I took delivery of the first car Tesla was able to deliver.</v>
      </c>
      <c r="AG1110" s="145" t="str">
        <f>IFERROR(__xludf.DUMMYFUNCTION("""COMPUTED_VALUE"""),"Title docd rcv'd 1-11-2021")</f>
        <v>Title docd rcv'd 1-11-2021</v>
      </c>
      <c r="AH1110" s="157">
        <f>IFERROR(__xludf.DUMMYFUNCTION("""COMPUTED_VALUE"""),44207.49302233796)</f>
        <v>44207.49302</v>
      </c>
      <c r="AI1110" s="138"/>
      <c r="AJ1110" s="138"/>
      <c r="AK1110" s="138"/>
      <c r="AL1110" s="142"/>
    </row>
    <row r="1111" ht="20.25" customHeight="1">
      <c r="A1111" s="155" t="str">
        <f>IFERROR(__xludf.DUMMYFUNCTION("""COMPUTED_VALUE"""),"texastodd")</f>
        <v>texastodd</v>
      </c>
      <c r="B1111" s="149" t="str">
        <f>IFERROR(__xludf.DUMMYFUNCTION("""COMPUTED_VALUE"""),"Houston")</f>
        <v>Houston</v>
      </c>
      <c r="C1111" s="149" t="str">
        <f>IFERROR(__xludf.DUMMYFUNCTION("""COMPUTED_VALUE"""),"TX")</f>
        <v>TX</v>
      </c>
      <c r="D1111" s="149" t="str">
        <f>IFERROR(__xludf.DUMMYFUNCTION("""COMPUTED_VALUE"""),"USA")</f>
        <v>USA</v>
      </c>
      <c r="E1111" s="156">
        <f>IFERROR(__xludf.DUMMYFUNCTION("""COMPUTED_VALUE"""),44126.0)</f>
        <v>44126</v>
      </c>
      <c r="F1111" s="129">
        <f>IFERROR(__xludf.DUMMYFUNCTION("""COMPUTED_VALUE"""),44172.0)</f>
        <v>44172</v>
      </c>
      <c r="G1111" s="154" t="str">
        <f>IFERROR(__xludf.DUMMYFUNCTION("""COMPUTED_VALUE"""),"Manage order page (normal text)")</f>
        <v>Manage order page (normal text)</v>
      </c>
      <c r="H1111" s="131">
        <f>IFERROR(__xludf.DUMMYFUNCTION("""COMPUTED_VALUE"""),858534.0)</f>
        <v>858534</v>
      </c>
      <c r="I1111" s="144" t="str">
        <f>IFERROR(__xludf.DUMMYFUNCTION("""COMPUTED_VALUE"""),"12/20")</f>
        <v>12/20</v>
      </c>
      <c r="J1111" s="129">
        <f>IFERROR(__xludf.DUMMYFUNCTION("""COMPUTED_VALUE"""),44186.0)</f>
        <v>44186</v>
      </c>
      <c r="K1111" s="133">
        <f>IFERROR(__xludf.DUMMYFUNCTION("""COMPUTED_VALUE"""),46.0)</f>
        <v>46</v>
      </c>
      <c r="L1111" s="133">
        <f>IFERROR(__xludf.DUMMYFUNCTION("""COMPUTED_VALUE"""),14.0)</f>
        <v>14</v>
      </c>
      <c r="M1111" s="133">
        <f>IFERROR(__xludf.DUMMYFUNCTION("""COMPUTED_VALUE"""),60.0)</f>
        <v>60</v>
      </c>
      <c r="N1111" s="152" t="str">
        <f>IFERROR(__xludf.DUMMYFUNCTION("""COMPUTED_VALUE"""),"Model 3 LR AWD")</f>
        <v>Model 3 LR AWD</v>
      </c>
      <c r="O1111" s="152" t="str">
        <f>IFERROR(__xludf.DUMMYFUNCTION("""COMPUTED_VALUE"""),"Deep Blue Metallic")</f>
        <v>Deep Blue Metallic</v>
      </c>
      <c r="P1111" s="153" t="str">
        <f>IFERROR(__xludf.DUMMYFUNCTION("""COMPUTED_VALUE"""),"18 inch")</f>
        <v>18 inch</v>
      </c>
      <c r="Q1111" s="152" t="str">
        <f>IFERROR(__xludf.DUMMYFUNCTION("""COMPUTED_VALUE"""),"Black and White")</f>
        <v>Black and White</v>
      </c>
      <c r="R1111" s="149" t="str">
        <f>IFERROR(__xludf.DUMMYFUNCTION("""COMPUTED_VALUE"""),"Autopilot included")</f>
        <v>Autopilot included</v>
      </c>
      <c r="S1111" s="149" t="str">
        <f>IFERROR(__xludf.DUMMYFUNCTION("""COMPUTED_VALUE"""),"Cash")</f>
        <v>Cash</v>
      </c>
      <c r="T1111" s="145" t="str">
        <f>IFERROR(__xludf.DUMMYFUNCTION("""COMPUTED_VALUE"""),"Infiniti G35S")</f>
        <v>Infiniti G35S</v>
      </c>
      <c r="U1111" s="145" t="str">
        <f>IFERROR(__xludf.DUMMYFUNCTION("""COMPUTED_VALUE"""),"Instant power and torque")</f>
        <v>Instant power and torque</v>
      </c>
      <c r="V1111" s="145" t="str">
        <f>IFERROR(__xludf.DUMMYFUNCTION("""COMPUTED_VALUE"""),"Air suspension")</f>
        <v>Air suspension</v>
      </c>
      <c r="W1111" s="136" t="str">
        <f>IFERROR(__xludf.DUMMYFUNCTION("""COMPUTED_VALUE"""),"Check your car thoroughly and bring up any issues right away.  Talk to a live person if possible and all should be well.")</f>
        <v>Check your car thoroughly and bring up any issues right away.  Talk to a live person if possible and all should be well.</v>
      </c>
      <c r="X1111" s="137" t="str">
        <f>IFERROR(__xludf.DUMMYFUNCTION("""COMPUTED_VALUE"""),"Very Good")</f>
        <v>Very Good</v>
      </c>
      <c r="Y1111" s="138" t="str">
        <f>IFERROR(__xludf.DUMMYFUNCTION("""COMPUTED_VALUE"""),"Very Good")</f>
        <v>Very Good</v>
      </c>
      <c r="Z1111" s="138" t="str">
        <f>IFERROR(__xludf.DUMMYFUNCTION("""COMPUTED_VALUE"""),"Very Good")</f>
        <v>Very Good</v>
      </c>
      <c r="AA1111" s="138" t="str">
        <f>IFERROR(__xludf.DUMMYFUNCTION("""COMPUTED_VALUE"""),"Very Good")</f>
        <v>Very Good</v>
      </c>
      <c r="AB1111" s="138" t="str">
        <f>IFERROR(__xludf.DUMMYFUNCTION("""COMPUTED_VALUE"""),"Excellent")</f>
        <v>Excellent</v>
      </c>
      <c r="AC1111" s="139">
        <f>IFERROR(__xludf.DUMMYFUNCTION("""COMPUTED_VALUE"""),3.0)</f>
        <v>3</v>
      </c>
      <c r="AD1111" s="139"/>
      <c r="AE1111" s="139"/>
      <c r="AF1111" s="140" t="str">
        <f>IFERROR(__xludf.DUMMYFUNCTION("""COMPUTED_VALUE"""),"No. I took delivery of the first car Tesla was able to deliver.")</f>
        <v>No. I took delivery of the first car Tesla was able to deliver.</v>
      </c>
      <c r="AG1111" s="136" t="str">
        <f>IFERROR(__xludf.DUMMYFUNCTION("""COMPUTED_VALUE"""),"I had an overall excellent experience from order to delivery.  No real issues.  Communication from order to VIN could have been a bit better but was acceptable.  Building a car and shipping to a location takes time, just be patient, you will get your car.")</f>
        <v>I had an overall excellent experience from order to delivery.  No real issues.  Communication from order to VIN could have been a bit better but was acceptable.  Building a car and shipping to a location takes time, just be patient, you will get your car.</v>
      </c>
      <c r="AH1111" s="157">
        <f>IFERROR(__xludf.DUMMYFUNCTION("""COMPUTED_VALUE"""),44189.330211493056)</f>
        <v>44189.33021</v>
      </c>
      <c r="AI1111" s="138"/>
      <c r="AJ1111" s="138"/>
      <c r="AK1111" s="138"/>
      <c r="AL1111" s="142"/>
    </row>
    <row r="1112" ht="20.25" customHeight="1">
      <c r="A1112" s="155" t="str">
        <f>IFERROR(__xludf.DUMMYFUNCTION("""COMPUTED_VALUE"""),"Txfatmarine@gmail.com ")</f>
        <v>Txfatmarine@gmail.com </v>
      </c>
      <c r="B1112" s="149" t="str">
        <f>IFERROR(__xludf.DUMMYFUNCTION("""COMPUTED_VALUE"""),"Cleveland (NE of Houston)")</f>
        <v>Cleveland (NE of Houston)</v>
      </c>
      <c r="C1112" s="149" t="str">
        <f>IFERROR(__xludf.DUMMYFUNCTION("""COMPUTED_VALUE"""),"TX")</f>
        <v>TX</v>
      </c>
      <c r="D1112" s="149" t="str">
        <f>IFERROR(__xludf.DUMMYFUNCTION("""COMPUTED_VALUE"""),"USA")</f>
        <v>USA</v>
      </c>
      <c r="E1112" s="156">
        <f>IFERROR(__xludf.DUMMYFUNCTION("""COMPUTED_VALUE"""),44126.0)</f>
        <v>44126</v>
      </c>
      <c r="F1112" s="129">
        <f>IFERROR(__xludf.DUMMYFUNCTION("""COMPUTED_VALUE"""),44173.0)</f>
        <v>44173</v>
      </c>
      <c r="G1112" s="154" t="str">
        <f>IFERROR(__xludf.DUMMYFUNCTION("""COMPUTED_VALUE"""),"Manage order page (normal text)")</f>
        <v>Manage order page (normal text)</v>
      </c>
      <c r="H1112" s="131">
        <f>IFERROR(__xludf.DUMMYFUNCTION("""COMPUTED_VALUE"""),856431.0)</f>
        <v>856431</v>
      </c>
      <c r="I1112" s="144"/>
      <c r="J1112" s="129">
        <f>IFERROR(__xludf.DUMMYFUNCTION("""COMPUTED_VALUE"""),44185.0)</f>
        <v>44185</v>
      </c>
      <c r="K1112" s="133">
        <f>IFERROR(__xludf.DUMMYFUNCTION("""COMPUTED_VALUE"""),47.0)</f>
        <v>47</v>
      </c>
      <c r="L1112" s="133">
        <f>IFERROR(__xludf.DUMMYFUNCTION("""COMPUTED_VALUE"""),12.0)</f>
        <v>12</v>
      </c>
      <c r="M1112" s="133">
        <f>IFERROR(__xludf.DUMMYFUNCTION("""COMPUTED_VALUE"""),59.0)</f>
        <v>59</v>
      </c>
      <c r="N1112" s="152" t="str">
        <f>IFERROR(__xludf.DUMMYFUNCTION("""COMPUTED_VALUE"""),"Model 3 Performance")</f>
        <v>Model 3 Performance</v>
      </c>
      <c r="O1112" s="152" t="str">
        <f>IFERROR(__xludf.DUMMYFUNCTION("""COMPUTED_VALUE"""),"Pearl White Multi-Coat")</f>
        <v>Pearl White Multi-Coat</v>
      </c>
      <c r="P1112" s="153" t="str">
        <f>IFERROR(__xludf.DUMMYFUNCTION("""COMPUTED_VALUE"""),"20 inch")</f>
        <v>20 inch</v>
      </c>
      <c r="Q1112" s="152" t="str">
        <f>IFERROR(__xludf.DUMMYFUNCTION("""COMPUTED_VALUE"""),"Black and White")</f>
        <v>Black and White</v>
      </c>
      <c r="R1112" s="149" t="str">
        <f>IFERROR(__xludf.DUMMYFUNCTION("""COMPUTED_VALUE"""),"Full Self-Driving")</f>
        <v>Full Self-Driving</v>
      </c>
      <c r="S1112" s="149" t="str">
        <f>IFERROR(__xludf.DUMMYFUNCTION("""COMPUTED_VALUE"""),"Cash")</f>
        <v>Cash</v>
      </c>
      <c r="T1112" s="145" t="str">
        <f>IFERROR(__xludf.DUMMYFUNCTION("""COMPUTED_VALUE"""),"Honda Fit 2011")</f>
        <v>Honda Fit 2011</v>
      </c>
      <c r="U1112" s="145" t="str">
        <f>IFERROR(__xludf.DUMMYFUNCTION("""COMPUTED_VALUE"""),"Autopilot")</f>
        <v>Autopilot</v>
      </c>
      <c r="V1112" s="136" t="str">
        <f>IFERROR(__xludf.DUMMYFUNCTION("""COMPUTED_VALUE"""),"Ventilated seats")</f>
        <v>Ventilated seats</v>
      </c>
      <c r="W1112" s="145"/>
      <c r="X1112" s="137" t="str">
        <f>IFERROR(__xludf.DUMMYFUNCTION("""COMPUTED_VALUE"""),"Very Good")</f>
        <v>Very Good</v>
      </c>
      <c r="Y1112" s="138" t="str">
        <f>IFERROR(__xludf.DUMMYFUNCTION("""COMPUTED_VALUE"""),"Very Good")</f>
        <v>Very Good</v>
      </c>
      <c r="Z1112" s="138" t="str">
        <f>IFERROR(__xludf.DUMMYFUNCTION("""COMPUTED_VALUE"""),"Very Good")</f>
        <v>Very Good</v>
      </c>
      <c r="AA1112" s="138" t="str">
        <f>IFERROR(__xludf.DUMMYFUNCTION("""COMPUTED_VALUE"""),"Very Good")</f>
        <v>Very Good</v>
      </c>
      <c r="AB1112" s="138" t="str">
        <f>IFERROR(__xludf.DUMMYFUNCTION("""COMPUTED_VALUE"""),"Good")</f>
        <v>Good</v>
      </c>
      <c r="AC1112" s="139"/>
      <c r="AD1112" s="139"/>
      <c r="AE1112" s="139"/>
      <c r="AF1112" s="140"/>
      <c r="AG1112" s="145"/>
      <c r="AH1112" s="157">
        <f>IFERROR(__xludf.DUMMYFUNCTION("""COMPUTED_VALUE"""),44188.291430694444)</f>
        <v>44188.29143</v>
      </c>
      <c r="AI1112" s="138"/>
      <c r="AJ1112" s="138"/>
      <c r="AK1112" s="138"/>
      <c r="AL1112" s="142"/>
    </row>
    <row r="1113" ht="20.25" customHeight="1">
      <c r="A1113" s="155" t="str">
        <f>IFERROR(__xludf.DUMMYFUNCTION("""COMPUTED_VALUE"""),"freeAgent")</f>
        <v>freeAgent</v>
      </c>
      <c r="B1113" s="149" t="str">
        <f>IFERROR(__xludf.DUMMYFUNCTION("""COMPUTED_VALUE"""),"Torrance")</f>
        <v>Torrance</v>
      </c>
      <c r="C1113" s="149" t="str">
        <f>IFERROR(__xludf.DUMMYFUNCTION("""COMPUTED_VALUE"""),"CA")</f>
        <v>CA</v>
      </c>
      <c r="D1113" s="149" t="str">
        <f>IFERROR(__xludf.DUMMYFUNCTION("""COMPUTED_VALUE"""),"USA")</f>
        <v>USA</v>
      </c>
      <c r="E1113" s="156">
        <f>IFERROR(__xludf.DUMMYFUNCTION("""COMPUTED_VALUE"""),44125.0)</f>
        <v>44125</v>
      </c>
      <c r="F1113" s="129">
        <f>IFERROR(__xludf.DUMMYFUNCTION("""COMPUTED_VALUE"""),44188.0)</f>
        <v>44188</v>
      </c>
      <c r="G1113" s="154" t="str">
        <f>IFERROR(__xludf.DUMMYFUNCTION("""COMPUTED_VALUE"""),"Manage order page (normal text)")</f>
        <v>Manage order page (normal text)</v>
      </c>
      <c r="H1113" s="131">
        <f>IFERROR(__xludf.DUMMYFUNCTION("""COMPUTED_VALUE"""),876855.0)</f>
        <v>876855</v>
      </c>
      <c r="I1113" s="132" t="str">
        <f>IFERROR(__xludf.DUMMYFUNCTION("""COMPUTED_VALUE"""),"12/20")</f>
        <v>12/20</v>
      </c>
      <c r="J1113" s="129">
        <f>IFERROR(__xludf.DUMMYFUNCTION("""COMPUTED_VALUE"""),44191.0)</f>
        <v>44191</v>
      </c>
      <c r="K1113" s="133">
        <f>IFERROR(__xludf.DUMMYFUNCTION("""COMPUTED_VALUE"""),63.0)</f>
        <v>63</v>
      </c>
      <c r="L1113" s="133">
        <f>IFERROR(__xludf.DUMMYFUNCTION("""COMPUTED_VALUE"""),3.0)</f>
        <v>3</v>
      </c>
      <c r="M1113" s="133">
        <f>IFERROR(__xludf.DUMMYFUNCTION("""COMPUTED_VALUE"""),66.0)</f>
        <v>66</v>
      </c>
      <c r="N1113" s="152" t="str">
        <f>IFERROR(__xludf.DUMMYFUNCTION("""COMPUTED_VALUE"""),"Model 3 LR AWD")</f>
        <v>Model 3 LR AWD</v>
      </c>
      <c r="O1113" s="152" t="str">
        <f>IFERROR(__xludf.DUMMYFUNCTION("""COMPUTED_VALUE"""),"Deep Blue Metallic")</f>
        <v>Deep Blue Metallic</v>
      </c>
      <c r="P1113" s="153" t="str">
        <f>IFERROR(__xludf.DUMMYFUNCTION("""COMPUTED_VALUE"""),"18 inch")</f>
        <v>18 inch</v>
      </c>
      <c r="Q1113" s="152" t="str">
        <f>IFERROR(__xludf.DUMMYFUNCTION("""COMPUTED_VALUE"""),"All Black")</f>
        <v>All Black</v>
      </c>
      <c r="R1113" s="150" t="str">
        <f>IFERROR(__xludf.DUMMYFUNCTION("""COMPUTED_VALUE"""),"Autopilot included")</f>
        <v>Autopilot included</v>
      </c>
      <c r="S1113" s="150" t="str">
        <f>IFERROR(__xludf.DUMMYFUNCTION("""COMPUTED_VALUE"""),"Cash")</f>
        <v>Cash</v>
      </c>
      <c r="T1113" s="136"/>
      <c r="U1113" s="136" t="str">
        <f>IFERROR(__xludf.DUMMYFUNCTION("""COMPUTED_VALUE"""),"Electric!")</f>
        <v>Electric!</v>
      </c>
      <c r="V1113" s="136" t="str">
        <f>IFERROR(__xludf.DUMMYFUNCTION("""COMPUTED_VALUE"""),"360° Bird's eye view")</f>
        <v>360° Bird's eye view</v>
      </c>
      <c r="W1113" s="136" t="str">
        <f>IFERROR(__xludf.DUMMYFUNCTION("""COMPUTED_VALUE"""),"Check paint and panel gaps. Yes, still an issue at the end of 2020.")</f>
        <v>Check paint and panel gaps. Yes, still an issue at the end of 2020.</v>
      </c>
      <c r="X1113" s="137" t="str">
        <f>IFERROR(__xludf.DUMMYFUNCTION("""COMPUTED_VALUE"""),"Poor")</f>
        <v>Poor</v>
      </c>
      <c r="Y1113" s="138" t="str">
        <f>IFERROR(__xludf.DUMMYFUNCTION("""COMPUTED_VALUE"""),"Very Good")</f>
        <v>Very Good</v>
      </c>
      <c r="Z1113" s="138" t="str">
        <f>IFERROR(__xludf.DUMMYFUNCTION("""COMPUTED_VALUE"""),"Fair")</f>
        <v>Fair</v>
      </c>
      <c r="AA1113" s="138" t="str">
        <f>IFERROR(__xludf.DUMMYFUNCTION("""COMPUTED_VALUE"""),"Fair")</f>
        <v>Fair</v>
      </c>
      <c r="AB1113" s="138" t="str">
        <f>IFERROR(__xludf.DUMMYFUNCTION("""COMPUTED_VALUE"""),"Good")</f>
        <v>Good</v>
      </c>
      <c r="AC1113" s="139">
        <f>IFERROR(__xludf.DUMMYFUNCTION("""COMPUTED_VALUE"""),3.0)</f>
        <v>3</v>
      </c>
      <c r="AD1113" s="139">
        <f>IFERROR(__xludf.DUMMYFUNCTION("""COMPUTED_VALUE"""),1.0)</f>
        <v>1</v>
      </c>
      <c r="AE1113" s="139"/>
      <c r="AF1113" s="140" t="str">
        <f>IFERROR(__xludf.DUMMYFUNCTION("""COMPUTED_VALUE"""),"No. I took delivery of the first car Tesla was able to deliver.")</f>
        <v>No. I took delivery of the first car Tesla was able to deliver.</v>
      </c>
      <c r="AG1113" s="136" t="str">
        <f>IFERROR(__xludf.DUMMYFUNCTION("""COMPUTED_VALUE"""),"I have heard that Tesla's QC has improved, but still found unacceptable panel gaps and a 2 to 3 in scratch in the paint. There was a also a dirty fingerprint left on the headliner.")</f>
        <v>I have heard that Tesla's QC has improved, but still found unacceptable panel gaps and a 2 to 3 in scratch in the paint. There was a also a dirty fingerprint left on the headliner.</v>
      </c>
      <c r="AH1113" s="157">
        <f>IFERROR(__xludf.DUMMYFUNCTION("""COMPUTED_VALUE"""),44191.76389)</f>
        <v>44191.76389</v>
      </c>
      <c r="AI1113" s="138"/>
      <c r="AJ1113" s="138"/>
      <c r="AK1113" s="138"/>
      <c r="AL1113" s="142"/>
    </row>
    <row r="1114" ht="20.25" customHeight="1">
      <c r="A1114" s="155" t="str">
        <f>IFERROR(__xludf.DUMMYFUNCTION("""COMPUTED_VALUE"""),"codenko")</f>
        <v>codenko</v>
      </c>
      <c r="B1114" s="149" t="str">
        <f>IFERROR(__xludf.DUMMYFUNCTION("""COMPUTED_VALUE"""),"Yorba Linda")</f>
        <v>Yorba Linda</v>
      </c>
      <c r="C1114" s="149" t="str">
        <f>IFERROR(__xludf.DUMMYFUNCTION("""COMPUTED_VALUE"""),"CA")</f>
        <v>CA</v>
      </c>
      <c r="D1114" s="149" t="str">
        <f>IFERROR(__xludf.DUMMYFUNCTION("""COMPUTED_VALUE"""),"USA")</f>
        <v>USA</v>
      </c>
      <c r="E1114" s="156">
        <f>IFERROR(__xludf.DUMMYFUNCTION("""COMPUTED_VALUE"""),44124.0)</f>
        <v>44124</v>
      </c>
      <c r="F1114" s="129">
        <f>IFERROR(__xludf.DUMMYFUNCTION("""COMPUTED_VALUE"""),44183.0)</f>
        <v>44183</v>
      </c>
      <c r="G1114" s="154" t="str">
        <f>IFERROR(__xludf.DUMMYFUNCTION("""COMPUTED_VALUE"""),"Email")</f>
        <v>Email</v>
      </c>
      <c r="H1114" s="131">
        <f>IFERROR(__xludf.DUMMYFUNCTION("""COMPUTED_VALUE"""),867355.0)</f>
        <v>867355</v>
      </c>
      <c r="I1114" s="132"/>
      <c r="J1114" s="129">
        <f>IFERROR(__xludf.DUMMYFUNCTION("""COMPUTED_VALUE"""),44186.0)</f>
        <v>44186</v>
      </c>
      <c r="K1114" s="133">
        <f>IFERROR(__xludf.DUMMYFUNCTION("""COMPUTED_VALUE"""),59.0)</f>
        <v>59</v>
      </c>
      <c r="L1114" s="133">
        <f>IFERROR(__xludf.DUMMYFUNCTION("""COMPUTED_VALUE"""),3.0)</f>
        <v>3</v>
      </c>
      <c r="M1114" s="133">
        <f>IFERROR(__xludf.DUMMYFUNCTION("""COMPUTED_VALUE"""),62.0)</f>
        <v>62</v>
      </c>
      <c r="N1114" s="152" t="str">
        <f>IFERROR(__xludf.DUMMYFUNCTION("""COMPUTED_VALUE"""),"Model 3 SR+")</f>
        <v>Model 3 SR+</v>
      </c>
      <c r="O1114" s="152" t="str">
        <f>IFERROR(__xludf.DUMMYFUNCTION("""COMPUTED_VALUE"""),"Pearl White Multi-Coat")</f>
        <v>Pearl White Multi-Coat</v>
      </c>
      <c r="P1114" s="153" t="str">
        <f>IFERROR(__xludf.DUMMYFUNCTION("""COMPUTED_VALUE"""),"18 inch")</f>
        <v>18 inch</v>
      </c>
      <c r="Q1114" s="152" t="str">
        <f>IFERROR(__xludf.DUMMYFUNCTION("""COMPUTED_VALUE"""),"All Black")</f>
        <v>All Black</v>
      </c>
      <c r="R1114" s="150" t="str">
        <f>IFERROR(__xludf.DUMMYFUNCTION("""COMPUTED_VALUE"""),"Autopilot included")</f>
        <v>Autopilot included</v>
      </c>
      <c r="S1114" s="150" t="str">
        <f>IFERROR(__xludf.DUMMYFUNCTION("""COMPUTED_VALUE"""),"Cash")</f>
        <v>Cash</v>
      </c>
      <c r="T1114" s="136" t="str">
        <f>IFERROR(__xludf.DUMMYFUNCTION("""COMPUTED_VALUE"""),"Lexus NX")</f>
        <v>Lexus NX</v>
      </c>
      <c r="U1114" s="136" t="str">
        <f>IFERROR(__xludf.DUMMYFUNCTION("""COMPUTED_VALUE"""),"Autopilot")</f>
        <v>Autopilot</v>
      </c>
      <c r="V1114" s="136" t="str">
        <f>IFERROR(__xludf.DUMMYFUNCTION("""COMPUTED_VALUE"""),"360° Bird's eye view")</f>
        <v>360° Bird's eye view</v>
      </c>
      <c r="W1114" s="136"/>
      <c r="X1114" s="137" t="str">
        <f>IFERROR(__xludf.DUMMYFUNCTION("""COMPUTED_VALUE"""),"Very Good")</f>
        <v>Very Good</v>
      </c>
      <c r="Y1114" s="138" t="str">
        <f>IFERROR(__xludf.DUMMYFUNCTION("""COMPUTED_VALUE"""),"Very Good")</f>
        <v>Very Good</v>
      </c>
      <c r="Z1114" s="138" t="str">
        <f>IFERROR(__xludf.DUMMYFUNCTION("""COMPUTED_VALUE"""),"Very Good")</f>
        <v>Very Good</v>
      </c>
      <c r="AA1114" s="138" t="str">
        <f>IFERROR(__xludf.DUMMYFUNCTION("""COMPUTED_VALUE"""),"Poor")</f>
        <v>Poor</v>
      </c>
      <c r="AB1114" s="138" t="str">
        <f>IFERROR(__xludf.DUMMYFUNCTION("""COMPUTED_VALUE"""),"Good")</f>
        <v>Good</v>
      </c>
      <c r="AC1114" s="139"/>
      <c r="AD1114" s="139"/>
      <c r="AE1114" s="139"/>
      <c r="AF1114" s="140" t="str">
        <f>IFERROR(__xludf.DUMMYFUNCTION("""COMPUTED_VALUE"""),"No. I took delivery of the first car Tesla was able to deliver.")</f>
        <v>No. I took delivery of the first car Tesla was able to deliver.</v>
      </c>
      <c r="AG1114" s="136" t="str">
        <f>IFERROR(__xludf.DUMMYFUNCTION("""COMPUTED_VALUE"""),"Estimated Delivery: December 01 - December 15")</f>
        <v>Estimated Delivery: December 01 - December 15</v>
      </c>
      <c r="AH1114" s="157">
        <f>IFERROR(__xludf.DUMMYFUNCTION("""COMPUTED_VALUE"""),44187.428223854164)</f>
        <v>44187.42822</v>
      </c>
      <c r="AI1114" s="138"/>
      <c r="AJ1114" s="138"/>
      <c r="AK1114" s="138"/>
      <c r="AL1114" s="142"/>
    </row>
    <row r="1115" ht="20.25" customHeight="1">
      <c r="A1115" s="155" t="str">
        <f>IFERROR(__xludf.DUMMYFUNCTION("""COMPUTED_VALUE"""),"jaminitup")</f>
        <v>jaminitup</v>
      </c>
      <c r="B1115" s="149" t="str">
        <f>IFERROR(__xludf.DUMMYFUNCTION("""COMPUTED_VALUE"""),"Leicestershire")</f>
        <v>Leicestershire</v>
      </c>
      <c r="C1115" s="149"/>
      <c r="D1115" s="149" t="str">
        <f>IFERROR(__xludf.DUMMYFUNCTION("""COMPUTED_VALUE"""),"United Kingdom")</f>
        <v>United Kingdom</v>
      </c>
      <c r="E1115" s="156">
        <f>IFERROR(__xludf.DUMMYFUNCTION("""COMPUTED_VALUE"""),44124.0)</f>
        <v>44124</v>
      </c>
      <c r="F1115" s="129">
        <f>IFERROR(__xludf.DUMMYFUNCTION("""COMPUTED_VALUE"""),44172.0)</f>
        <v>44172</v>
      </c>
      <c r="G1115" s="154" t="str">
        <f>IFERROR(__xludf.DUMMYFUNCTION("""COMPUTED_VALUE"""),"Text message")</f>
        <v>Text message</v>
      </c>
      <c r="H1115" s="131">
        <f>IFERROR(__xludf.DUMMYFUNCTION("""COMPUTED_VALUE"""),834751.0)</f>
        <v>834751</v>
      </c>
      <c r="I1115" s="144"/>
      <c r="J1115" s="129">
        <f>IFERROR(__xludf.DUMMYFUNCTION("""COMPUTED_VALUE"""),44181.0)</f>
        <v>44181</v>
      </c>
      <c r="K1115" s="133">
        <f>IFERROR(__xludf.DUMMYFUNCTION("""COMPUTED_VALUE"""),48.0)</f>
        <v>48</v>
      </c>
      <c r="L1115" s="133">
        <f>IFERROR(__xludf.DUMMYFUNCTION("""COMPUTED_VALUE"""),9.0)</f>
        <v>9</v>
      </c>
      <c r="M1115" s="133">
        <f>IFERROR(__xludf.DUMMYFUNCTION("""COMPUTED_VALUE"""),57.0)</f>
        <v>57</v>
      </c>
      <c r="N1115" s="152" t="str">
        <f>IFERROR(__xludf.DUMMYFUNCTION("""COMPUTED_VALUE"""),"Model 3 LR AWD")</f>
        <v>Model 3 LR AWD</v>
      </c>
      <c r="O1115" s="152" t="str">
        <f>IFERROR(__xludf.DUMMYFUNCTION("""COMPUTED_VALUE"""),"Midnight Silver Metallic")</f>
        <v>Midnight Silver Metallic</v>
      </c>
      <c r="P1115" s="153" t="str">
        <f>IFERROR(__xludf.DUMMYFUNCTION("""COMPUTED_VALUE"""),"18 inch")</f>
        <v>18 inch</v>
      </c>
      <c r="Q1115" s="152" t="str">
        <f>IFERROR(__xludf.DUMMYFUNCTION("""COMPUTED_VALUE"""),"All Black")</f>
        <v>All Black</v>
      </c>
      <c r="R1115" s="149" t="str">
        <f>IFERROR(__xludf.DUMMYFUNCTION("""COMPUTED_VALUE"""),"Autopilot included")</f>
        <v>Autopilot included</v>
      </c>
      <c r="S1115" s="149" t="str">
        <f>IFERROR(__xludf.DUMMYFUNCTION("""COMPUTED_VALUE"""),"Cash")</f>
        <v>Cash</v>
      </c>
      <c r="T1115" s="145"/>
      <c r="U1115" s="145"/>
      <c r="V1115" s="145"/>
      <c r="W1115" s="145"/>
      <c r="X1115" s="137" t="str">
        <f>IFERROR(__xludf.DUMMYFUNCTION("""COMPUTED_VALUE"""),"Very Good")</f>
        <v>Very Good</v>
      </c>
      <c r="Y1115" s="138" t="str">
        <f>IFERROR(__xludf.DUMMYFUNCTION("""COMPUTED_VALUE"""),"Excellent")</f>
        <v>Excellent</v>
      </c>
      <c r="Z1115" s="138" t="str">
        <f>IFERROR(__xludf.DUMMYFUNCTION("""COMPUTED_VALUE"""),"Excellent")</f>
        <v>Excellent</v>
      </c>
      <c r="AA1115" s="138" t="str">
        <f>IFERROR(__xludf.DUMMYFUNCTION("""COMPUTED_VALUE"""),"Excellent")</f>
        <v>Excellent</v>
      </c>
      <c r="AB1115" s="138" t="str">
        <f>IFERROR(__xludf.DUMMYFUNCTION("""COMPUTED_VALUE"""),"Excellent")</f>
        <v>Excellent</v>
      </c>
      <c r="AC1115" s="139">
        <f>IFERROR(__xludf.DUMMYFUNCTION("""COMPUTED_VALUE"""),2.0)</f>
        <v>2</v>
      </c>
      <c r="AD1115" s="139"/>
      <c r="AE1115" s="139"/>
      <c r="AF1115" s="140" t="str">
        <f>IFERROR(__xludf.DUMMYFUNCTION("""COMPUTED_VALUE"""),"No. I took delivery of the first car Tesla was able to deliver.")</f>
        <v>No. I took delivery of the first car Tesla was able to deliver.</v>
      </c>
      <c r="AG1115" s="145"/>
      <c r="AH1115" s="157">
        <f>IFERROR(__xludf.DUMMYFUNCTION("""COMPUTED_VALUE"""),44181.36796587963)</f>
        <v>44181.36797</v>
      </c>
      <c r="AI1115" s="138"/>
      <c r="AJ1115" s="138"/>
      <c r="AK1115" s="138"/>
      <c r="AL1115" s="142"/>
    </row>
    <row r="1116" ht="20.25" customHeight="1">
      <c r="A1116" s="155" t="str">
        <f>IFERROR(__xludf.DUMMYFUNCTION("""COMPUTED_VALUE"""),"TheHACK2321")</f>
        <v>TheHACK2321</v>
      </c>
      <c r="B1116" s="149" t="str">
        <f>IFERROR(__xludf.DUMMYFUNCTION("""COMPUTED_VALUE"""),"Arcadia")</f>
        <v>Arcadia</v>
      </c>
      <c r="C1116" s="149" t="str">
        <f>IFERROR(__xludf.DUMMYFUNCTION("""COMPUTED_VALUE"""),"CA")</f>
        <v>CA</v>
      </c>
      <c r="D1116" s="149" t="str">
        <f>IFERROR(__xludf.DUMMYFUNCTION("""COMPUTED_VALUE"""),"USA")</f>
        <v>USA</v>
      </c>
      <c r="E1116" s="156">
        <f>IFERROR(__xludf.DUMMYFUNCTION("""COMPUTED_VALUE"""),44124.0)</f>
        <v>44124</v>
      </c>
      <c r="F1116" s="129">
        <f>IFERROR(__xludf.DUMMYFUNCTION("""COMPUTED_VALUE"""),44167.0)</f>
        <v>44167</v>
      </c>
      <c r="G1116" s="154" t="str">
        <f>IFERROR(__xludf.DUMMYFUNCTION("""COMPUTED_VALUE"""),"Manage order page (normal text)")</f>
        <v>Manage order page (normal text)</v>
      </c>
      <c r="H1116" s="131">
        <f>IFERROR(__xludf.DUMMYFUNCTION("""COMPUTED_VALUE"""),855724.0)</f>
        <v>855724</v>
      </c>
      <c r="I1116" s="144" t="str">
        <f>IFERROR(__xludf.DUMMYFUNCTION("""COMPUTED_VALUE"""),"12/20")</f>
        <v>12/20</v>
      </c>
      <c r="J1116" s="129">
        <f>IFERROR(__xludf.DUMMYFUNCTION("""COMPUTED_VALUE"""),44170.0)</f>
        <v>44170</v>
      </c>
      <c r="K1116" s="133">
        <f>IFERROR(__xludf.DUMMYFUNCTION("""COMPUTED_VALUE"""),43.0)</f>
        <v>43</v>
      </c>
      <c r="L1116" s="133">
        <f>IFERROR(__xludf.DUMMYFUNCTION("""COMPUTED_VALUE"""),3.0)</f>
        <v>3</v>
      </c>
      <c r="M1116" s="133">
        <f>IFERROR(__xludf.DUMMYFUNCTION("""COMPUTED_VALUE"""),46.0)</f>
        <v>46</v>
      </c>
      <c r="N1116" s="152" t="str">
        <f>IFERROR(__xludf.DUMMYFUNCTION("""COMPUTED_VALUE"""),"Model 3 LR AWD")</f>
        <v>Model 3 LR AWD</v>
      </c>
      <c r="O1116" s="152" t="str">
        <f>IFERROR(__xludf.DUMMYFUNCTION("""COMPUTED_VALUE"""),"Pearl White Multi-Coat")</f>
        <v>Pearl White Multi-Coat</v>
      </c>
      <c r="P1116" s="153" t="str">
        <f>IFERROR(__xludf.DUMMYFUNCTION("""COMPUTED_VALUE"""),"19 inch")</f>
        <v>19 inch</v>
      </c>
      <c r="Q1116" s="152" t="str">
        <f>IFERROR(__xludf.DUMMYFUNCTION("""COMPUTED_VALUE"""),"All Black")</f>
        <v>All Black</v>
      </c>
      <c r="R1116" s="149" t="str">
        <f>IFERROR(__xludf.DUMMYFUNCTION("""COMPUTED_VALUE"""),"Autopilot included")</f>
        <v>Autopilot included</v>
      </c>
      <c r="S1116" s="149" t="str">
        <f>IFERROR(__xludf.DUMMYFUNCTION("""COMPUTED_VALUE"""),"Cash")</f>
        <v>Cash</v>
      </c>
      <c r="T1116" s="145" t="str">
        <f>IFERROR(__xludf.DUMMYFUNCTION("""COMPUTED_VALUE"""),"BMW 3 Series")</f>
        <v>BMW 3 Series</v>
      </c>
      <c r="U1116" s="145"/>
      <c r="V1116" s="145" t="str">
        <f>IFERROR(__xludf.DUMMYFUNCTION("""COMPUTED_VALUE"""),"Head-up display")</f>
        <v>Head-up display</v>
      </c>
      <c r="W1116" s="145"/>
      <c r="X1116" s="137" t="str">
        <f>IFERROR(__xludf.DUMMYFUNCTION("""COMPUTED_VALUE"""),"Fair")</f>
        <v>Fair</v>
      </c>
      <c r="Y1116" s="138" t="str">
        <f>IFERROR(__xludf.DUMMYFUNCTION("""COMPUTED_VALUE"""),"Very Good")</f>
        <v>Very Good</v>
      </c>
      <c r="Z1116" s="138" t="str">
        <f>IFERROR(__xludf.DUMMYFUNCTION("""COMPUTED_VALUE"""),"Very Good")</f>
        <v>Very Good</v>
      </c>
      <c r="AA1116" s="138" t="str">
        <f>IFERROR(__xludf.DUMMYFUNCTION("""COMPUTED_VALUE"""),"Good")</f>
        <v>Good</v>
      </c>
      <c r="AB1116" s="138" t="str">
        <f>IFERROR(__xludf.DUMMYFUNCTION("""COMPUTED_VALUE"""),"Very Good")</f>
        <v>Very Good</v>
      </c>
      <c r="AC1116" s="139"/>
      <c r="AD1116" s="139"/>
      <c r="AE1116" s="139"/>
      <c r="AF1116" s="140" t="str">
        <f>IFERROR(__xludf.DUMMYFUNCTION("""COMPUTED_VALUE"""),"No. I took delivery of the first car Tesla was able to deliver.")</f>
        <v>No. I took delivery of the first car Tesla was able to deliver.</v>
      </c>
      <c r="AG1116" s="145"/>
      <c r="AH1116" s="157">
        <f>IFERROR(__xludf.DUMMYFUNCTION("""COMPUTED_VALUE"""),44171.80043549769)</f>
        <v>44171.80044</v>
      </c>
      <c r="AI1116" s="138"/>
      <c r="AJ1116" s="138"/>
      <c r="AK1116" s="138"/>
      <c r="AL1116" s="142"/>
    </row>
    <row r="1117" ht="20.25" customHeight="1">
      <c r="A1117" s="155" t="str">
        <f>IFERROR(__xludf.DUMMYFUNCTION("""COMPUTED_VALUE"""),"Peco")</f>
        <v>Peco</v>
      </c>
      <c r="B1117" s="149" t="str">
        <f>IFERROR(__xludf.DUMMYFUNCTION("""COMPUTED_VALUE"""),"Windsor")</f>
        <v>Windsor</v>
      </c>
      <c r="C1117" s="149" t="str">
        <f>IFERROR(__xludf.DUMMYFUNCTION("""COMPUTED_VALUE"""),"ON")</f>
        <v>ON</v>
      </c>
      <c r="D1117" s="149" t="str">
        <f>IFERROR(__xludf.DUMMYFUNCTION("""COMPUTED_VALUE"""),"Canada")</f>
        <v>Canada</v>
      </c>
      <c r="E1117" s="156">
        <f>IFERROR(__xludf.DUMMYFUNCTION("""COMPUTED_VALUE"""),44123.0)</f>
        <v>44123</v>
      </c>
      <c r="F1117" s="129">
        <f>IFERROR(__xludf.DUMMYFUNCTION("""COMPUTED_VALUE"""),44170.0)</f>
        <v>44170</v>
      </c>
      <c r="G1117" s="154" t="str">
        <f>IFERROR(__xludf.DUMMYFUNCTION("""COMPUTED_VALUE"""),"Email")</f>
        <v>Email</v>
      </c>
      <c r="H1117" s="131">
        <f>IFERROR(__xludf.DUMMYFUNCTION("""COMPUTED_VALUE"""),852455.0)</f>
        <v>852455</v>
      </c>
      <c r="I1117" s="144"/>
      <c r="J1117" s="129">
        <f>IFERROR(__xludf.DUMMYFUNCTION("""COMPUTED_VALUE"""),44184.0)</f>
        <v>44184</v>
      </c>
      <c r="K1117" s="133">
        <f>IFERROR(__xludf.DUMMYFUNCTION("""COMPUTED_VALUE"""),47.0)</f>
        <v>47</v>
      </c>
      <c r="L1117" s="133">
        <f>IFERROR(__xludf.DUMMYFUNCTION("""COMPUTED_VALUE"""),14.0)</f>
        <v>14</v>
      </c>
      <c r="M1117" s="133">
        <f>IFERROR(__xludf.DUMMYFUNCTION("""COMPUTED_VALUE"""),61.0)</f>
        <v>61</v>
      </c>
      <c r="N1117" s="152" t="str">
        <f>IFERROR(__xludf.DUMMYFUNCTION("""COMPUTED_VALUE"""),"Model 3 SR+")</f>
        <v>Model 3 SR+</v>
      </c>
      <c r="O1117" s="152" t="str">
        <f>IFERROR(__xludf.DUMMYFUNCTION("""COMPUTED_VALUE"""),"Pearl White Multi-Coat")</f>
        <v>Pearl White Multi-Coat</v>
      </c>
      <c r="P1117" s="153" t="str">
        <f>IFERROR(__xludf.DUMMYFUNCTION("""COMPUTED_VALUE"""),"18 inch")</f>
        <v>18 inch</v>
      </c>
      <c r="Q1117" s="152" t="str">
        <f>IFERROR(__xludf.DUMMYFUNCTION("""COMPUTED_VALUE"""),"All Black")</f>
        <v>All Black</v>
      </c>
      <c r="R1117" s="149" t="str">
        <f>IFERROR(__xludf.DUMMYFUNCTION("""COMPUTED_VALUE"""),"Autopilot included")</f>
        <v>Autopilot included</v>
      </c>
      <c r="S1117" s="149" t="str">
        <f>IFERROR(__xludf.DUMMYFUNCTION("""COMPUTED_VALUE"""),"Loan")</f>
        <v>Loan</v>
      </c>
      <c r="T1117" s="145" t="str">
        <f>IFERROR(__xludf.DUMMYFUNCTION("""COMPUTED_VALUE"""),"Chevy Volt")</f>
        <v>Chevy Volt</v>
      </c>
      <c r="U1117" s="145" t="str">
        <f>IFERROR(__xludf.DUMMYFUNCTION("""COMPUTED_VALUE"""),"Electric!")</f>
        <v>Electric!</v>
      </c>
      <c r="V1117" s="145" t="str">
        <f>IFERROR(__xludf.DUMMYFUNCTION("""COMPUTED_VALUE"""),"Hatchback")</f>
        <v>Hatchback</v>
      </c>
      <c r="W1117" s="136"/>
      <c r="X1117" s="137" t="str">
        <f>IFERROR(__xludf.DUMMYFUNCTION("""COMPUTED_VALUE"""),"Excellent")</f>
        <v>Excellent</v>
      </c>
      <c r="Y1117" s="138" t="str">
        <f>IFERROR(__xludf.DUMMYFUNCTION("""COMPUTED_VALUE"""),"Excellent")</f>
        <v>Excellent</v>
      </c>
      <c r="Z1117" s="138" t="str">
        <f>IFERROR(__xludf.DUMMYFUNCTION("""COMPUTED_VALUE"""),"Excellent")</f>
        <v>Excellent</v>
      </c>
      <c r="AA1117" s="138" t="str">
        <f>IFERROR(__xludf.DUMMYFUNCTION("""COMPUTED_VALUE"""),"Excellent")</f>
        <v>Excellent</v>
      </c>
      <c r="AB1117" s="138" t="str">
        <f>IFERROR(__xludf.DUMMYFUNCTION("""COMPUTED_VALUE"""),"Excellent")</f>
        <v>Excellent</v>
      </c>
      <c r="AC1117" s="139"/>
      <c r="AD1117" s="139"/>
      <c r="AE1117" s="139"/>
      <c r="AF1117" s="140" t="str">
        <f>IFERROR(__xludf.DUMMYFUNCTION("""COMPUTED_VALUE"""),"No. I took delivery of the first car Tesla was able to deliver.")</f>
        <v>No. I took delivery of the first car Tesla was able to deliver.</v>
      </c>
      <c r="AG1117" s="136" t="str">
        <f>IFERROR(__xludf.DUMMYFUNCTION("""COMPUTED_VALUE"""),"Estimated delivery 15/12 - 21/12")</f>
        <v>Estimated delivery 15/12 - 21/12</v>
      </c>
      <c r="AH1117" s="157">
        <f>IFERROR(__xludf.DUMMYFUNCTION("""COMPUTED_VALUE"""),44185.51566521991)</f>
        <v>44185.51567</v>
      </c>
      <c r="AI1117" s="138"/>
      <c r="AJ1117" s="138"/>
      <c r="AK1117" s="138"/>
      <c r="AL1117" s="142"/>
    </row>
    <row r="1118" ht="20.25" customHeight="1">
      <c r="A1118" s="155" t="str">
        <f>IFERROR(__xludf.DUMMYFUNCTION("""COMPUTED_VALUE"""),"rubyrockstar")</f>
        <v>rubyrockstar</v>
      </c>
      <c r="B1118" s="149" t="str">
        <f>IFERROR(__xludf.DUMMYFUNCTION("""COMPUTED_VALUE"""),"Oakland")</f>
        <v>Oakland</v>
      </c>
      <c r="C1118" s="149" t="str">
        <f>IFERROR(__xludf.DUMMYFUNCTION("""COMPUTED_VALUE"""),"CA")</f>
        <v>CA</v>
      </c>
      <c r="D1118" s="149" t="str">
        <f>IFERROR(__xludf.DUMMYFUNCTION("""COMPUTED_VALUE"""),"USA")</f>
        <v>USA</v>
      </c>
      <c r="E1118" s="156">
        <f>IFERROR(__xludf.DUMMYFUNCTION("""COMPUTED_VALUE"""),44123.0)</f>
        <v>44123</v>
      </c>
      <c r="F1118" s="129">
        <f>IFERROR(__xludf.DUMMYFUNCTION("""COMPUTED_VALUE"""),44166.0)</f>
        <v>44166</v>
      </c>
      <c r="G1118" s="154" t="str">
        <f>IFERROR(__xludf.DUMMYFUNCTION("""COMPUTED_VALUE"""),"Manage order page (normal text)")</f>
        <v>Manage order page (normal text)</v>
      </c>
      <c r="H1118" s="131"/>
      <c r="I1118" s="144" t="str">
        <f>IFERROR(__xludf.DUMMYFUNCTION("""COMPUTED_VALUE"""),"12/20")</f>
        <v>12/20</v>
      </c>
      <c r="J1118" s="129">
        <f>IFERROR(__xludf.DUMMYFUNCTION("""COMPUTED_VALUE"""),44169.0)</f>
        <v>44169</v>
      </c>
      <c r="K1118" s="133">
        <f>IFERROR(__xludf.DUMMYFUNCTION("""COMPUTED_VALUE"""),43.0)</f>
        <v>43</v>
      </c>
      <c r="L1118" s="133">
        <f>IFERROR(__xludf.DUMMYFUNCTION("""COMPUTED_VALUE"""),3.0)</f>
        <v>3</v>
      </c>
      <c r="M1118" s="133">
        <f>IFERROR(__xludf.DUMMYFUNCTION("""COMPUTED_VALUE"""),46.0)</f>
        <v>46</v>
      </c>
      <c r="N1118" s="152" t="str">
        <f>IFERROR(__xludf.DUMMYFUNCTION("""COMPUTED_VALUE"""),"Model 3 LR AWD")</f>
        <v>Model 3 LR AWD</v>
      </c>
      <c r="O1118" s="152" t="str">
        <f>IFERROR(__xludf.DUMMYFUNCTION("""COMPUTED_VALUE"""),"Red Multi-Coat")</f>
        <v>Red Multi-Coat</v>
      </c>
      <c r="P1118" s="153" t="str">
        <f>IFERROR(__xludf.DUMMYFUNCTION("""COMPUTED_VALUE"""),"18 inch")</f>
        <v>18 inch</v>
      </c>
      <c r="Q1118" s="152" t="str">
        <f>IFERROR(__xludf.DUMMYFUNCTION("""COMPUTED_VALUE"""),"All Black")</f>
        <v>All Black</v>
      </c>
      <c r="R1118" s="149" t="str">
        <f>IFERROR(__xludf.DUMMYFUNCTION("""COMPUTED_VALUE"""),"Full Self-Driving")</f>
        <v>Full Self-Driving</v>
      </c>
      <c r="S1118" s="149" t="str">
        <f>IFERROR(__xludf.DUMMYFUNCTION("""COMPUTED_VALUE"""),"Loan")</f>
        <v>Loan</v>
      </c>
      <c r="T1118" s="145" t="str">
        <f>IFERROR(__xludf.DUMMYFUNCTION("""COMPUTED_VALUE"""),"Toyota Prius Plug-in")</f>
        <v>Toyota Prius Plug-in</v>
      </c>
      <c r="U1118" s="145" t="str">
        <f>IFERROR(__xludf.DUMMYFUNCTION("""COMPUTED_VALUE"""),"Electric!")</f>
        <v>Electric!</v>
      </c>
      <c r="V1118" s="145" t="str">
        <f>IFERROR(__xludf.DUMMYFUNCTION("""COMPUTED_VALUE"""),"Apple CarPlay / Android Auto / SiriusXM Radio")</f>
        <v>Apple CarPlay / Android Auto / SiriusXM Radio</v>
      </c>
      <c r="W1118" s="145"/>
      <c r="X1118" s="137" t="str">
        <f>IFERROR(__xludf.DUMMYFUNCTION("""COMPUTED_VALUE"""),"Excellent")</f>
        <v>Excellent</v>
      </c>
      <c r="Y1118" s="138" t="str">
        <f>IFERROR(__xludf.DUMMYFUNCTION("""COMPUTED_VALUE"""),"Excellent")</f>
        <v>Excellent</v>
      </c>
      <c r="Z1118" s="138" t="str">
        <f>IFERROR(__xludf.DUMMYFUNCTION("""COMPUTED_VALUE"""),"Excellent")</f>
        <v>Excellent</v>
      </c>
      <c r="AA1118" s="138" t="str">
        <f>IFERROR(__xludf.DUMMYFUNCTION("""COMPUTED_VALUE"""),"Excellent")</f>
        <v>Excellent</v>
      </c>
      <c r="AB1118" s="138" t="str">
        <f>IFERROR(__xludf.DUMMYFUNCTION("""COMPUTED_VALUE"""),"Excellent")</f>
        <v>Excellent</v>
      </c>
      <c r="AC1118" s="139">
        <f>IFERROR(__xludf.DUMMYFUNCTION("""COMPUTED_VALUE"""),0.0)</f>
        <v>0</v>
      </c>
      <c r="AD1118" s="139">
        <f>IFERROR(__xludf.DUMMYFUNCTION("""COMPUTED_VALUE"""),0.0)</f>
        <v>0</v>
      </c>
      <c r="AE1118" s="139"/>
      <c r="AF1118" s="140" t="str">
        <f>IFERROR(__xludf.DUMMYFUNCTION("""COMPUTED_VALUE"""),"No. I took delivery of the first car Tesla was able to deliver.")</f>
        <v>No. I took delivery of the first car Tesla was able to deliver.</v>
      </c>
      <c r="AG1118" s="145"/>
      <c r="AH1118" s="157">
        <f>IFERROR(__xludf.DUMMYFUNCTION("""COMPUTED_VALUE"""),44173.50665503472)</f>
        <v>44173.50666</v>
      </c>
      <c r="AI1118" s="138"/>
      <c r="AJ1118" s="138"/>
      <c r="AK1118" s="138"/>
      <c r="AL1118" s="142"/>
    </row>
    <row r="1119" ht="20.25" customHeight="1">
      <c r="A1119" s="155" t="str">
        <f>IFERROR(__xludf.DUMMYFUNCTION("""COMPUTED_VALUE"""),"Don3Tesla")</f>
        <v>Don3Tesla</v>
      </c>
      <c r="B1119" s="149"/>
      <c r="C1119" s="149" t="str">
        <f>IFERROR(__xludf.DUMMYFUNCTION("""COMPUTED_VALUE"""),"NC")</f>
        <v>NC</v>
      </c>
      <c r="D1119" s="149" t="str">
        <f>IFERROR(__xludf.DUMMYFUNCTION("""COMPUTED_VALUE"""),"USA")</f>
        <v>USA</v>
      </c>
      <c r="E1119" s="156">
        <f>IFERROR(__xludf.DUMMYFUNCTION("""COMPUTED_VALUE"""),44122.0)</f>
        <v>44122</v>
      </c>
      <c r="F1119" s="129">
        <f>IFERROR(__xludf.DUMMYFUNCTION("""COMPUTED_VALUE"""),44159.0)</f>
        <v>44159</v>
      </c>
      <c r="G1119" s="154"/>
      <c r="H1119" s="131">
        <f>IFERROR(__xludf.DUMMYFUNCTION("""COMPUTED_VALUE"""),847955.0)</f>
        <v>847955</v>
      </c>
      <c r="I1119" s="144" t="str">
        <f>IFERROR(__xludf.DUMMYFUNCTION("""COMPUTED_VALUE"""),"11/20")</f>
        <v>11/20</v>
      </c>
      <c r="J1119" s="129">
        <f>IFERROR(__xludf.DUMMYFUNCTION("""COMPUTED_VALUE"""),44176.0)</f>
        <v>44176</v>
      </c>
      <c r="K1119" s="133">
        <f>IFERROR(__xludf.DUMMYFUNCTION("""COMPUTED_VALUE"""),37.0)</f>
        <v>37</v>
      </c>
      <c r="L1119" s="133">
        <f>IFERROR(__xludf.DUMMYFUNCTION("""COMPUTED_VALUE"""),17.0)</f>
        <v>17</v>
      </c>
      <c r="M1119" s="133">
        <f>IFERROR(__xludf.DUMMYFUNCTION("""COMPUTED_VALUE"""),54.0)</f>
        <v>54</v>
      </c>
      <c r="N1119" s="152" t="str">
        <f>IFERROR(__xludf.DUMMYFUNCTION("""COMPUTED_VALUE"""),"Model 3 LR AWD")</f>
        <v>Model 3 LR AWD</v>
      </c>
      <c r="O1119" s="152" t="str">
        <f>IFERROR(__xludf.DUMMYFUNCTION("""COMPUTED_VALUE"""),"Pearl White Multi-Coat")</f>
        <v>Pearl White Multi-Coat</v>
      </c>
      <c r="P1119" s="153" t="str">
        <f>IFERROR(__xludf.DUMMYFUNCTION("""COMPUTED_VALUE"""),"18 inch")</f>
        <v>18 inch</v>
      </c>
      <c r="Q1119" s="152" t="str">
        <f>IFERROR(__xludf.DUMMYFUNCTION("""COMPUTED_VALUE"""),"All Black")</f>
        <v>All Black</v>
      </c>
      <c r="R1119" s="149" t="str">
        <f>IFERROR(__xludf.DUMMYFUNCTION("""COMPUTED_VALUE"""),"Autopilot included")</f>
        <v>Autopilot included</v>
      </c>
      <c r="S1119" s="149"/>
      <c r="T1119" s="145"/>
      <c r="U1119" s="145" t="str">
        <f>IFERROR(__xludf.DUMMYFUNCTION("""COMPUTED_VALUE"""),"Electric!")</f>
        <v>Electric!</v>
      </c>
      <c r="V1119" s="145" t="str">
        <f>IFERROR(__xludf.DUMMYFUNCTION("""COMPUTED_VALUE"""),"HomeLink")</f>
        <v>HomeLink</v>
      </c>
      <c r="W1119" s="145"/>
      <c r="X1119" s="137" t="str">
        <f>IFERROR(__xludf.DUMMYFUNCTION("""COMPUTED_VALUE"""),"Excellent")</f>
        <v>Excellent</v>
      </c>
      <c r="Y1119" s="138" t="str">
        <f>IFERROR(__xludf.DUMMYFUNCTION("""COMPUTED_VALUE"""),"Excellent")</f>
        <v>Excellent</v>
      </c>
      <c r="Z1119" s="138" t="str">
        <f>IFERROR(__xludf.DUMMYFUNCTION("""COMPUTED_VALUE"""),"Excellent")</f>
        <v>Excellent</v>
      </c>
      <c r="AA1119" s="138" t="str">
        <f>IFERROR(__xludf.DUMMYFUNCTION("""COMPUTED_VALUE"""),"Excellent")</f>
        <v>Excellent</v>
      </c>
      <c r="AB1119" s="138" t="str">
        <f>IFERROR(__xludf.DUMMYFUNCTION("""COMPUTED_VALUE"""),"Excellent")</f>
        <v>Excellent</v>
      </c>
      <c r="AC1119" s="139"/>
      <c r="AD1119" s="139"/>
      <c r="AE1119" s="139"/>
      <c r="AF1119" s="140" t="str">
        <f>IFERROR(__xludf.DUMMYFUNCTION("""COMPUTED_VALUE"""),"No. I took delivery of the first car Tesla was able to deliver.")</f>
        <v>No. I took delivery of the first car Tesla was able to deliver.</v>
      </c>
      <c r="AG1119" s="145"/>
      <c r="AH1119" s="157">
        <f>IFERROR(__xludf.DUMMYFUNCTION("""COMPUTED_VALUE"""),44177.205851770836)</f>
        <v>44177.20585</v>
      </c>
      <c r="AI1119" s="138"/>
      <c r="AJ1119" s="138"/>
      <c r="AK1119" s="138"/>
      <c r="AL1119" s="142"/>
    </row>
    <row r="1120" ht="20.25" customHeight="1">
      <c r="A1120" s="155" t="str">
        <f>IFERROR(__xludf.DUMMYFUNCTION("""COMPUTED_VALUE"""),"TheRadScientist")</f>
        <v>TheRadScientist</v>
      </c>
      <c r="B1120" s="149" t="str">
        <f>IFERROR(__xludf.DUMMYFUNCTION("""COMPUTED_VALUE"""),"Edmonton")</f>
        <v>Edmonton</v>
      </c>
      <c r="C1120" s="149" t="str">
        <f>IFERROR(__xludf.DUMMYFUNCTION("""COMPUTED_VALUE"""),"AB")</f>
        <v>AB</v>
      </c>
      <c r="D1120" s="149" t="str">
        <f>IFERROR(__xludf.DUMMYFUNCTION("""COMPUTED_VALUE"""),"Canada")</f>
        <v>Canada</v>
      </c>
      <c r="E1120" s="156">
        <f>IFERROR(__xludf.DUMMYFUNCTION("""COMPUTED_VALUE"""),44122.0)</f>
        <v>44122</v>
      </c>
      <c r="F1120" s="129">
        <f>IFERROR(__xludf.DUMMYFUNCTION("""COMPUTED_VALUE"""),44144.0)</f>
        <v>44144</v>
      </c>
      <c r="G1120" s="154" t="str">
        <f>IFERROR(__xludf.DUMMYFUNCTION("""COMPUTED_VALUE"""),"Email")</f>
        <v>Email</v>
      </c>
      <c r="H1120" s="131">
        <f>IFERROR(__xludf.DUMMYFUNCTION("""COMPUTED_VALUE"""),842755.0)</f>
        <v>842755</v>
      </c>
      <c r="I1120" s="144" t="str">
        <f>IFERROR(__xludf.DUMMYFUNCTION("""COMPUTED_VALUE"""),"11/20")</f>
        <v>11/20</v>
      </c>
      <c r="J1120" s="129">
        <f>IFERROR(__xludf.DUMMYFUNCTION("""COMPUTED_VALUE"""),44161.0)</f>
        <v>44161</v>
      </c>
      <c r="K1120" s="133">
        <f>IFERROR(__xludf.DUMMYFUNCTION("""COMPUTED_VALUE"""),22.0)</f>
        <v>22</v>
      </c>
      <c r="L1120" s="133">
        <f>IFERROR(__xludf.DUMMYFUNCTION("""COMPUTED_VALUE"""),17.0)</f>
        <v>17</v>
      </c>
      <c r="M1120" s="133">
        <f>IFERROR(__xludf.DUMMYFUNCTION("""COMPUTED_VALUE"""),39.0)</f>
        <v>39</v>
      </c>
      <c r="N1120" s="152" t="str">
        <f>IFERROR(__xludf.DUMMYFUNCTION("""COMPUTED_VALUE"""),"Model 3 SR+")</f>
        <v>Model 3 SR+</v>
      </c>
      <c r="O1120" s="152" t="str">
        <f>IFERROR(__xludf.DUMMYFUNCTION("""COMPUTED_VALUE"""),"Red Multi-Coat")</f>
        <v>Red Multi-Coat</v>
      </c>
      <c r="P1120" s="153" t="str">
        <f>IFERROR(__xludf.DUMMYFUNCTION("""COMPUTED_VALUE"""),"18 inch")</f>
        <v>18 inch</v>
      </c>
      <c r="Q1120" s="152" t="str">
        <f>IFERROR(__xludf.DUMMYFUNCTION("""COMPUTED_VALUE"""),"All Black")</f>
        <v>All Black</v>
      </c>
      <c r="R1120" s="149" t="str">
        <f>IFERROR(__xludf.DUMMYFUNCTION("""COMPUTED_VALUE"""),"Autopilot included")</f>
        <v>Autopilot included</v>
      </c>
      <c r="S1120" s="149" t="str">
        <f>IFERROR(__xludf.DUMMYFUNCTION("""COMPUTED_VALUE"""),"Loan")</f>
        <v>Loan</v>
      </c>
      <c r="T1120" s="145" t="str">
        <f>IFERROR(__xludf.DUMMYFUNCTION("""COMPUTED_VALUE"""),"Scion iM")</f>
        <v>Scion iM</v>
      </c>
      <c r="U1120" s="145" t="str">
        <f>IFERROR(__xludf.DUMMYFUNCTION("""COMPUTED_VALUE"""),"Electric!")</f>
        <v>Electric!</v>
      </c>
      <c r="V1120" s="145" t="str">
        <f>IFERROR(__xludf.DUMMYFUNCTION("""COMPUTED_VALUE"""),"Heated steering wheel")</f>
        <v>Heated steering wheel</v>
      </c>
      <c r="W1120" s="145"/>
      <c r="X1120" s="137" t="str">
        <f>IFERROR(__xludf.DUMMYFUNCTION("""COMPUTED_VALUE"""),"Very Good")</f>
        <v>Very Good</v>
      </c>
      <c r="Y1120" s="138" t="str">
        <f>IFERROR(__xludf.DUMMYFUNCTION("""COMPUTED_VALUE"""),"Excellent")</f>
        <v>Excellent</v>
      </c>
      <c r="Z1120" s="138" t="str">
        <f>IFERROR(__xludf.DUMMYFUNCTION("""COMPUTED_VALUE"""),"Very Good")</f>
        <v>Very Good</v>
      </c>
      <c r="AA1120" s="138" t="str">
        <f>IFERROR(__xludf.DUMMYFUNCTION("""COMPUTED_VALUE"""),"Excellent")</f>
        <v>Excellent</v>
      </c>
      <c r="AB1120" s="138" t="str">
        <f>IFERROR(__xludf.DUMMYFUNCTION("""COMPUTED_VALUE"""),"Excellent")</f>
        <v>Excellent</v>
      </c>
      <c r="AC1120" s="139">
        <f>IFERROR(__xludf.DUMMYFUNCTION("""COMPUTED_VALUE"""),2.0)</f>
        <v>2</v>
      </c>
      <c r="AD1120" s="139">
        <f>IFERROR(__xludf.DUMMYFUNCTION("""COMPUTED_VALUE"""),1.0)</f>
        <v>1</v>
      </c>
      <c r="AE1120" s="139"/>
      <c r="AF1120" s="140" t="str">
        <f>IFERROR(__xludf.DUMMYFUNCTION("""COMPUTED_VALUE"""),"No. I took delivery of the first car Tesla was able to deliver.")</f>
        <v>No. I took delivery of the first car Tesla was able to deliver.</v>
      </c>
      <c r="AG1120" s="145"/>
      <c r="AH1120" s="157">
        <f>IFERROR(__xludf.DUMMYFUNCTION("""COMPUTED_VALUE"""),44184.500031215284)</f>
        <v>44184.50003</v>
      </c>
      <c r="AI1120" s="138"/>
      <c r="AJ1120" s="138"/>
      <c r="AK1120" s="138"/>
      <c r="AL1120" s="142"/>
    </row>
    <row r="1121" ht="20.25" customHeight="1">
      <c r="A1121" s="155" t="str">
        <f>IFERROR(__xludf.DUMMYFUNCTION("""COMPUTED_VALUE"""),"misie2k")</f>
        <v>misie2k</v>
      </c>
      <c r="B1121" s="149" t="str">
        <f>IFERROR(__xludf.DUMMYFUNCTION("""COMPUTED_VALUE"""),"Chicago")</f>
        <v>Chicago</v>
      </c>
      <c r="C1121" s="149" t="str">
        <f>IFERROR(__xludf.DUMMYFUNCTION("""COMPUTED_VALUE"""),"IL")</f>
        <v>IL</v>
      </c>
      <c r="D1121" s="149" t="str">
        <f>IFERROR(__xludf.DUMMYFUNCTION("""COMPUTED_VALUE"""),"USA")</f>
        <v>USA</v>
      </c>
      <c r="E1121" s="156">
        <f>IFERROR(__xludf.DUMMYFUNCTION("""COMPUTED_VALUE"""),44121.0)</f>
        <v>44121</v>
      </c>
      <c r="F1121" s="129">
        <f>IFERROR(__xludf.DUMMYFUNCTION("""COMPUTED_VALUE"""),44160.0)</f>
        <v>44160</v>
      </c>
      <c r="G1121" s="154" t="str">
        <f>IFERROR(__xludf.DUMMYFUNCTION("""COMPUTED_VALUE"""),"Email")</f>
        <v>Email</v>
      </c>
      <c r="H1121" s="131">
        <f>IFERROR(__xludf.DUMMYFUNCTION("""COMPUTED_VALUE"""),849855.0)</f>
        <v>849855</v>
      </c>
      <c r="I1121" s="144"/>
      <c r="J1121" s="129">
        <f>IFERROR(__xludf.DUMMYFUNCTION("""COMPUTED_VALUE"""),44177.0)</f>
        <v>44177</v>
      </c>
      <c r="K1121" s="133">
        <f>IFERROR(__xludf.DUMMYFUNCTION("""COMPUTED_VALUE"""),39.0)</f>
        <v>39</v>
      </c>
      <c r="L1121" s="133">
        <f>IFERROR(__xludf.DUMMYFUNCTION("""COMPUTED_VALUE"""),17.0)</f>
        <v>17</v>
      </c>
      <c r="M1121" s="133">
        <f>IFERROR(__xludf.DUMMYFUNCTION("""COMPUTED_VALUE"""),56.0)</f>
        <v>56</v>
      </c>
      <c r="N1121" s="152" t="str">
        <f>IFERROR(__xludf.DUMMYFUNCTION("""COMPUTED_VALUE"""),"Model 3 LR AWD")</f>
        <v>Model 3 LR AWD</v>
      </c>
      <c r="O1121" s="152" t="str">
        <f>IFERROR(__xludf.DUMMYFUNCTION("""COMPUTED_VALUE"""),"Pearl White Multi-Coat")</f>
        <v>Pearl White Multi-Coat</v>
      </c>
      <c r="P1121" s="153" t="str">
        <f>IFERROR(__xludf.DUMMYFUNCTION("""COMPUTED_VALUE"""),"19 inch")</f>
        <v>19 inch</v>
      </c>
      <c r="Q1121" s="152" t="str">
        <f>IFERROR(__xludf.DUMMYFUNCTION("""COMPUTED_VALUE"""),"All Black")</f>
        <v>All Black</v>
      </c>
      <c r="R1121" s="149" t="str">
        <f>IFERROR(__xludf.DUMMYFUNCTION("""COMPUTED_VALUE"""),"Full Self-Driving")</f>
        <v>Full Self-Driving</v>
      </c>
      <c r="S1121" s="149"/>
      <c r="T1121" s="145" t="str">
        <f>IFERROR(__xludf.DUMMYFUNCTION("""COMPUTED_VALUE"""),"BMW 5 Series")</f>
        <v>BMW 5 Series</v>
      </c>
      <c r="U1121" s="145" t="str">
        <f>IFERROR(__xludf.DUMMYFUNCTION("""COMPUTED_VALUE"""),"Electric!")</f>
        <v>Electric!</v>
      </c>
      <c r="V1121" s="145" t="str">
        <f>IFERROR(__xludf.DUMMYFUNCTION("""COMPUTED_VALUE"""),"Air suspension")</f>
        <v>Air suspension</v>
      </c>
      <c r="W1121" s="136"/>
      <c r="X1121" s="151" t="str">
        <f>IFERROR(__xludf.DUMMYFUNCTION("""COMPUTED_VALUE"""),"Good")</f>
        <v>Good</v>
      </c>
      <c r="Y1121" s="138" t="str">
        <f>IFERROR(__xludf.DUMMYFUNCTION("""COMPUTED_VALUE"""),"Very Good")</f>
        <v>Very Good</v>
      </c>
      <c r="Z1121" s="138" t="str">
        <f>IFERROR(__xludf.DUMMYFUNCTION("""COMPUTED_VALUE"""),"Very Good")</f>
        <v>Very Good</v>
      </c>
      <c r="AA1121" s="138" t="str">
        <f>IFERROR(__xludf.DUMMYFUNCTION("""COMPUTED_VALUE"""),"Very Good")</f>
        <v>Very Good</v>
      </c>
      <c r="AB1121" s="138" t="str">
        <f>IFERROR(__xludf.DUMMYFUNCTION("""COMPUTED_VALUE"""),"Good")</f>
        <v>Good</v>
      </c>
      <c r="AC1121" s="139">
        <f>IFERROR(__xludf.DUMMYFUNCTION("""COMPUTED_VALUE"""),0.0)</f>
        <v>0</v>
      </c>
      <c r="AD1121" s="139">
        <f>IFERROR(__xludf.DUMMYFUNCTION("""COMPUTED_VALUE"""),0.0)</f>
        <v>0</v>
      </c>
      <c r="AE1121" s="139">
        <f>IFERROR(__xludf.DUMMYFUNCTION("""COMPUTED_VALUE"""),0.0)</f>
        <v>0</v>
      </c>
      <c r="AF1121" s="140" t="str">
        <f>IFERROR(__xludf.DUMMYFUNCTION("""COMPUTED_VALUE"""),"No. I took delivery of the first car Tesla was able to deliver.")</f>
        <v>No. I took delivery of the first car Tesla was able to deliver.</v>
      </c>
      <c r="AG1121" s="136"/>
      <c r="AH1121" s="157">
        <f>IFERROR(__xludf.DUMMYFUNCTION("""COMPUTED_VALUE"""),44349.59836915509)</f>
        <v>44349.59837</v>
      </c>
      <c r="AI1121" s="138"/>
      <c r="AJ1121" s="138"/>
      <c r="AK1121" s="138"/>
      <c r="AL1121" s="142"/>
    </row>
    <row r="1122" ht="20.25" customHeight="1">
      <c r="A1122" s="155" t="str">
        <f>IFERROR(__xludf.DUMMYFUNCTION("""COMPUTED_VALUE"""),"SXET3SLA")</f>
        <v>SXET3SLA</v>
      </c>
      <c r="B1122" s="149" t="str">
        <f>IFERROR(__xludf.DUMMYFUNCTION("""COMPUTED_VALUE"""),"Baltimore")</f>
        <v>Baltimore</v>
      </c>
      <c r="C1122" s="149" t="str">
        <f>IFERROR(__xludf.DUMMYFUNCTION("""COMPUTED_VALUE"""),"MD")</f>
        <v>MD</v>
      </c>
      <c r="D1122" s="149" t="str">
        <f>IFERROR(__xludf.DUMMYFUNCTION("""COMPUTED_VALUE"""),"USA")</f>
        <v>USA</v>
      </c>
      <c r="E1122" s="156">
        <f>IFERROR(__xludf.DUMMYFUNCTION("""COMPUTED_VALUE"""),44121.0)</f>
        <v>44121</v>
      </c>
      <c r="F1122" s="129">
        <f>IFERROR(__xludf.DUMMYFUNCTION("""COMPUTED_VALUE"""),44168.0)</f>
        <v>44168</v>
      </c>
      <c r="G1122" s="154" t="str">
        <f>IFERROR(__xludf.DUMMYFUNCTION("""COMPUTED_VALUE"""),"Manage order page (normal text)")</f>
        <v>Manage order page (normal text)</v>
      </c>
      <c r="H1122" s="131">
        <f>IFERROR(__xludf.DUMMYFUNCTION("""COMPUTED_VALUE"""),852655.0)</f>
        <v>852655</v>
      </c>
      <c r="I1122" s="132" t="str">
        <f>IFERROR(__xludf.DUMMYFUNCTION("""COMPUTED_VALUE"""),"12/20")</f>
        <v>12/20</v>
      </c>
      <c r="J1122" s="129">
        <f>IFERROR(__xludf.DUMMYFUNCTION("""COMPUTED_VALUE"""),44184.0)</f>
        <v>44184</v>
      </c>
      <c r="K1122" s="133">
        <f>IFERROR(__xludf.DUMMYFUNCTION("""COMPUTED_VALUE"""),47.0)</f>
        <v>47</v>
      </c>
      <c r="L1122" s="133">
        <f>IFERROR(__xludf.DUMMYFUNCTION("""COMPUTED_VALUE"""),16.0)</f>
        <v>16</v>
      </c>
      <c r="M1122" s="133">
        <f>IFERROR(__xludf.DUMMYFUNCTION("""COMPUTED_VALUE"""),63.0)</f>
        <v>63</v>
      </c>
      <c r="N1122" s="152" t="str">
        <f>IFERROR(__xludf.DUMMYFUNCTION("""COMPUTED_VALUE"""),"Model 3 LR AWD")</f>
        <v>Model 3 LR AWD</v>
      </c>
      <c r="O1122" s="152" t="str">
        <f>IFERROR(__xludf.DUMMYFUNCTION("""COMPUTED_VALUE"""),"Deep Blue Metallic")</f>
        <v>Deep Blue Metallic</v>
      </c>
      <c r="P1122" s="153" t="str">
        <f>IFERROR(__xludf.DUMMYFUNCTION("""COMPUTED_VALUE"""),"18 inch")</f>
        <v>18 inch</v>
      </c>
      <c r="Q1122" s="152" t="str">
        <f>IFERROR(__xludf.DUMMYFUNCTION("""COMPUTED_VALUE"""),"Black and White")</f>
        <v>Black and White</v>
      </c>
      <c r="R1122" s="150" t="str">
        <f>IFERROR(__xludf.DUMMYFUNCTION("""COMPUTED_VALUE"""),"Autopilot included")</f>
        <v>Autopilot included</v>
      </c>
      <c r="S1122" s="150" t="str">
        <f>IFERROR(__xludf.DUMMYFUNCTION("""COMPUTED_VALUE"""),"Loan")</f>
        <v>Loan</v>
      </c>
      <c r="T1122" s="136" t="str">
        <f>IFERROR(__xludf.DUMMYFUNCTION("""COMPUTED_VALUE"""),"Volkswagen GTI")</f>
        <v>Volkswagen GTI</v>
      </c>
      <c r="U1122" s="136" t="str">
        <f>IFERROR(__xludf.DUMMYFUNCTION("""COMPUTED_VALUE"""),"Tesla brand image")</f>
        <v>Tesla brand image</v>
      </c>
      <c r="V1122" s="136" t="str">
        <f>IFERROR(__xludf.DUMMYFUNCTION("""COMPUTED_VALUE"""),"Ventilated seats")</f>
        <v>Ventilated seats</v>
      </c>
      <c r="W1122" s="145"/>
      <c r="X1122" s="137" t="str">
        <f>IFERROR(__xludf.DUMMYFUNCTION("""COMPUTED_VALUE"""),"Excellent")</f>
        <v>Excellent</v>
      </c>
      <c r="Y1122" s="138" t="str">
        <f>IFERROR(__xludf.DUMMYFUNCTION("""COMPUTED_VALUE"""),"Excellent")</f>
        <v>Excellent</v>
      </c>
      <c r="Z1122" s="138" t="str">
        <f>IFERROR(__xludf.DUMMYFUNCTION("""COMPUTED_VALUE"""),"Excellent")</f>
        <v>Excellent</v>
      </c>
      <c r="AA1122" s="138" t="str">
        <f>IFERROR(__xludf.DUMMYFUNCTION("""COMPUTED_VALUE"""),"Fair")</f>
        <v>Fair</v>
      </c>
      <c r="AB1122" s="138" t="str">
        <f>IFERROR(__xludf.DUMMYFUNCTION("""COMPUTED_VALUE"""),"Very Good")</f>
        <v>Very Good</v>
      </c>
      <c r="AC1122" s="139">
        <f>IFERROR(__xludf.DUMMYFUNCTION("""COMPUTED_VALUE"""),2.0)</f>
        <v>2</v>
      </c>
      <c r="AD1122" s="139">
        <f>IFERROR(__xludf.DUMMYFUNCTION("""COMPUTED_VALUE"""),0.0)</f>
        <v>0</v>
      </c>
      <c r="AE1122" s="139">
        <f>IFERROR(__xludf.DUMMYFUNCTION("""COMPUTED_VALUE"""),0.0)</f>
        <v>0</v>
      </c>
      <c r="AF1122" s="140" t="str">
        <f>IFERROR(__xludf.DUMMYFUNCTION("""COMPUTED_VALUE"""),"No. I took delivery of the first car Tesla was able to deliver.")</f>
        <v>No. I took delivery of the first car Tesla was able to deliver.</v>
      </c>
      <c r="AG1122" s="145"/>
      <c r="AH1122" s="157">
        <f>IFERROR(__xludf.DUMMYFUNCTION("""COMPUTED_VALUE"""),44201.63002069444)</f>
        <v>44201.63002</v>
      </c>
      <c r="AI1122" s="138"/>
      <c r="AJ1122" s="138"/>
      <c r="AK1122" s="138"/>
      <c r="AL1122" s="142"/>
    </row>
    <row r="1123" ht="20.25" customHeight="1">
      <c r="A1123" s="155" t="str">
        <f>IFERROR(__xludf.DUMMYFUNCTION("""COMPUTED_VALUE"""),"Contrails")</f>
        <v>Contrails</v>
      </c>
      <c r="B1123" s="149" t="str">
        <f>IFERROR(__xludf.DUMMYFUNCTION("""COMPUTED_VALUE"""),"Charlotte")</f>
        <v>Charlotte</v>
      </c>
      <c r="C1123" s="149" t="str">
        <f>IFERROR(__xludf.DUMMYFUNCTION("""COMPUTED_VALUE"""),"NC")</f>
        <v>NC</v>
      </c>
      <c r="D1123" s="149" t="str">
        <f>IFERROR(__xludf.DUMMYFUNCTION("""COMPUTED_VALUE"""),"USA")</f>
        <v>USA</v>
      </c>
      <c r="E1123" s="156">
        <f>IFERROR(__xludf.DUMMYFUNCTION("""COMPUTED_VALUE"""),44120.0)</f>
        <v>44120</v>
      </c>
      <c r="F1123" s="129">
        <f>IFERROR(__xludf.DUMMYFUNCTION("""COMPUTED_VALUE"""),44168.0)</f>
        <v>44168</v>
      </c>
      <c r="G1123" s="154" t="str">
        <f>IFERROR(__xludf.DUMMYFUNCTION("""COMPUTED_VALUE"""),"Manage order page (normal text)")</f>
        <v>Manage order page (normal text)</v>
      </c>
      <c r="H1123" s="131">
        <f>IFERROR(__xludf.DUMMYFUNCTION("""COMPUTED_VALUE"""),850675.0)</f>
        <v>850675</v>
      </c>
      <c r="I1123" s="144" t="str">
        <f>IFERROR(__xludf.DUMMYFUNCTION("""COMPUTED_VALUE"""),"12/20")</f>
        <v>12/20</v>
      </c>
      <c r="J1123" s="129">
        <f>IFERROR(__xludf.DUMMYFUNCTION("""COMPUTED_VALUE"""),44183.0)</f>
        <v>44183</v>
      </c>
      <c r="K1123" s="133">
        <f>IFERROR(__xludf.DUMMYFUNCTION("""COMPUTED_VALUE"""),48.0)</f>
        <v>48</v>
      </c>
      <c r="L1123" s="133">
        <f>IFERROR(__xludf.DUMMYFUNCTION("""COMPUTED_VALUE"""),15.0)</f>
        <v>15</v>
      </c>
      <c r="M1123" s="133">
        <f>IFERROR(__xludf.DUMMYFUNCTION("""COMPUTED_VALUE"""),63.0)</f>
        <v>63</v>
      </c>
      <c r="N1123" s="152" t="str">
        <f>IFERROR(__xludf.DUMMYFUNCTION("""COMPUTED_VALUE"""),"Model 3 Performance")</f>
        <v>Model 3 Performance</v>
      </c>
      <c r="O1123" s="152" t="str">
        <f>IFERROR(__xludf.DUMMYFUNCTION("""COMPUTED_VALUE"""),"Midnight Silver Metallic")</f>
        <v>Midnight Silver Metallic</v>
      </c>
      <c r="P1123" s="153"/>
      <c r="Q1123" s="152" t="str">
        <f>IFERROR(__xludf.DUMMYFUNCTION("""COMPUTED_VALUE"""),"All Black")</f>
        <v>All Black</v>
      </c>
      <c r="R1123" s="149" t="str">
        <f>IFERROR(__xludf.DUMMYFUNCTION("""COMPUTED_VALUE"""),"Autopilot included")</f>
        <v>Autopilot included</v>
      </c>
      <c r="S1123" s="149"/>
      <c r="T1123" s="145"/>
      <c r="U1123" s="145"/>
      <c r="V1123" s="136"/>
      <c r="W1123" s="145"/>
      <c r="X1123" s="137" t="str">
        <f>IFERROR(__xludf.DUMMYFUNCTION("""COMPUTED_VALUE"""),"Very Good")</f>
        <v>Very Good</v>
      </c>
      <c r="Y1123" s="138" t="str">
        <f>IFERROR(__xludf.DUMMYFUNCTION("""COMPUTED_VALUE"""),"Very Good")</f>
        <v>Very Good</v>
      </c>
      <c r="Z1123" s="138" t="str">
        <f>IFERROR(__xludf.DUMMYFUNCTION("""COMPUTED_VALUE"""),"Very Good")</f>
        <v>Very Good</v>
      </c>
      <c r="AA1123" s="138" t="str">
        <f>IFERROR(__xludf.DUMMYFUNCTION("""COMPUTED_VALUE"""),"Very Good")</f>
        <v>Very Good</v>
      </c>
      <c r="AB1123" s="138" t="str">
        <f>IFERROR(__xludf.DUMMYFUNCTION("""COMPUTED_VALUE"""),"Excellent")</f>
        <v>Excellent</v>
      </c>
      <c r="AC1123" s="139"/>
      <c r="AD1123" s="139"/>
      <c r="AE1123" s="139"/>
      <c r="AF1123" s="140" t="str">
        <f>IFERROR(__xludf.DUMMYFUNCTION("""COMPUTED_VALUE"""),"No. I took delivery of the first car Tesla was able to deliver.")</f>
        <v>No. I took delivery of the first car Tesla was able to deliver.</v>
      </c>
      <c r="AG1123" s="145"/>
      <c r="AH1123" s="157">
        <f>IFERROR(__xludf.DUMMYFUNCTION("""COMPUTED_VALUE"""),44200.42383758102)</f>
        <v>44200.42384</v>
      </c>
      <c r="AI1123" s="138"/>
      <c r="AJ1123" s="138"/>
      <c r="AK1123" s="138"/>
      <c r="AL1123" s="142"/>
    </row>
    <row r="1124" ht="20.25" customHeight="1">
      <c r="A1124" s="155" t="str">
        <f>IFERROR(__xludf.DUMMYFUNCTION("""COMPUTED_VALUE"""),"deaddial")</f>
        <v>deaddial</v>
      </c>
      <c r="B1124" s="149"/>
      <c r="C1124" s="149" t="str">
        <f>IFERROR(__xludf.DUMMYFUNCTION("""COMPUTED_VALUE"""),"SC")</f>
        <v>SC</v>
      </c>
      <c r="D1124" s="149" t="str">
        <f>IFERROR(__xludf.DUMMYFUNCTION("""COMPUTED_VALUE"""),"USA")</f>
        <v>USA</v>
      </c>
      <c r="E1124" s="156">
        <f>IFERROR(__xludf.DUMMYFUNCTION("""COMPUTED_VALUE"""),44120.0)</f>
        <v>44120</v>
      </c>
      <c r="F1124" s="129">
        <f>IFERROR(__xludf.DUMMYFUNCTION("""COMPUTED_VALUE"""),44159.0)</f>
        <v>44159</v>
      </c>
      <c r="G1124" s="154" t="str">
        <f>IFERROR(__xludf.DUMMYFUNCTION("""COMPUTED_VALUE"""),"Manage order page (normal text)")</f>
        <v>Manage order page (normal text)</v>
      </c>
      <c r="H1124" s="131">
        <f>IFERROR(__xludf.DUMMYFUNCTION("""COMPUTED_VALUE"""),836855.0)</f>
        <v>836855</v>
      </c>
      <c r="I1124" s="144"/>
      <c r="J1124" s="129">
        <f>IFERROR(__xludf.DUMMYFUNCTION("""COMPUTED_VALUE"""),44176.0)</f>
        <v>44176</v>
      </c>
      <c r="K1124" s="133">
        <f>IFERROR(__xludf.DUMMYFUNCTION("""COMPUTED_VALUE"""),39.0)</f>
        <v>39</v>
      </c>
      <c r="L1124" s="133">
        <f>IFERROR(__xludf.DUMMYFUNCTION("""COMPUTED_VALUE"""),17.0)</f>
        <v>17</v>
      </c>
      <c r="M1124" s="133">
        <f>IFERROR(__xludf.DUMMYFUNCTION("""COMPUTED_VALUE"""),56.0)</f>
        <v>56</v>
      </c>
      <c r="N1124" s="152" t="str">
        <f>IFERROR(__xludf.DUMMYFUNCTION("""COMPUTED_VALUE"""),"Model 3 LR AWD")</f>
        <v>Model 3 LR AWD</v>
      </c>
      <c r="O1124" s="152" t="str">
        <f>IFERROR(__xludf.DUMMYFUNCTION("""COMPUTED_VALUE"""),"Deep Blue Metallic")</f>
        <v>Deep Blue Metallic</v>
      </c>
      <c r="P1124" s="153" t="str">
        <f>IFERROR(__xludf.DUMMYFUNCTION("""COMPUTED_VALUE"""),"18 inch")</f>
        <v>18 inch</v>
      </c>
      <c r="Q1124" s="152" t="str">
        <f>IFERROR(__xludf.DUMMYFUNCTION("""COMPUTED_VALUE"""),"All Black")</f>
        <v>All Black</v>
      </c>
      <c r="R1124" s="149" t="str">
        <f>IFERROR(__xludf.DUMMYFUNCTION("""COMPUTED_VALUE"""),"Full Self-Driving")</f>
        <v>Full Self-Driving</v>
      </c>
      <c r="S1124" s="149" t="str">
        <f>IFERROR(__xludf.DUMMYFUNCTION("""COMPUTED_VALUE"""),"Cash")</f>
        <v>Cash</v>
      </c>
      <c r="T1124" s="145" t="str">
        <f>IFERROR(__xludf.DUMMYFUNCTION("""COMPUTED_VALUE"""),"F150")</f>
        <v>F150</v>
      </c>
      <c r="U1124" s="145" t="str">
        <f>IFERROR(__xludf.DUMMYFUNCTION("""COMPUTED_VALUE"""),"Autopilot")</f>
        <v>Autopilot</v>
      </c>
      <c r="V1124" s="145" t="str">
        <f>IFERROR(__xludf.DUMMYFUNCTION("""COMPUTED_VALUE"""),"Apple CarPlay / Android Auto / SiriusXM Radio")</f>
        <v>Apple CarPlay / Android Auto / SiriusXM Radio</v>
      </c>
      <c r="W1124" s="136"/>
      <c r="X1124" s="137" t="str">
        <f>IFERROR(__xludf.DUMMYFUNCTION("""COMPUTED_VALUE"""),"Fair")</f>
        <v>Fair</v>
      </c>
      <c r="Y1124" s="138" t="str">
        <f>IFERROR(__xludf.DUMMYFUNCTION("""COMPUTED_VALUE"""),"Poor")</f>
        <v>Poor</v>
      </c>
      <c r="Z1124" s="138" t="str">
        <f>IFERROR(__xludf.DUMMYFUNCTION("""COMPUTED_VALUE"""),"Excellent")</f>
        <v>Excellent</v>
      </c>
      <c r="AA1124" s="138" t="str">
        <f>IFERROR(__xludf.DUMMYFUNCTION("""COMPUTED_VALUE"""),"Poor")</f>
        <v>Poor</v>
      </c>
      <c r="AB1124" s="138" t="str">
        <f>IFERROR(__xludf.DUMMYFUNCTION("""COMPUTED_VALUE"""),"Poor")</f>
        <v>Poor</v>
      </c>
      <c r="AC1124" s="139">
        <f>IFERROR(__xludf.DUMMYFUNCTION("""COMPUTED_VALUE"""),3.0)</f>
        <v>3</v>
      </c>
      <c r="AD1124" s="139">
        <f>IFERROR(__xludf.DUMMYFUNCTION("""COMPUTED_VALUE"""),1.0)</f>
        <v>1</v>
      </c>
      <c r="AE1124" s="139"/>
      <c r="AF1124" s="140" t="str">
        <f>IFERROR(__xludf.DUMMYFUNCTION("""COMPUTED_VALUE"""),"No. I took delivery of the first car Tesla was able to deliver.")</f>
        <v>No. I took delivery of the first car Tesla was able to deliver.</v>
      </c>
      <c r="AG1124" s="136"/>
      <c r="AH1124" s="157">
        <f>IFERROR(__xludf.DUMMYFUNCTION("""COMPUTED_VALUE"""),44177.51924101852)</f>
        <v>44177.51924</v>
      </c>
      <c r="AI1124" s="138"/>
      <c r="AJ1124" s="138"/>
      <c r="AK1124" s="138"/>
      <c r="AL1124" s="142"/>
    </row>
    <row r="1125" ht="20.25" customHeight="1">
      <c r="A1125" s="155" t="str">
        <f>IFERROR(__xludf.DUMMYFUNCTION("""COMPUTED_VALUE"""),"DisgruntledParakeet")</f>
        <v>DisgruntledParakeet</v>
      </c>
      <c r="B1125" s="149" t="str">
        <f>IFERROR(__xludf.DUMMYFUNCTION("""COMPUTED_VALUE"""),"San Antonio")</f>
        <v>San Antonio</v>
      </c>
      <c r="C1125" s="149" t="str">
        <f>IFERROR(__xludf.DUMMYFUNCTION("""COMPUTED_VALUE"""),"TX")</f>
        <v>TX</v>
      </c>
      <c r="D1125" s="149" t="str">
        <f>IFERROR(__xludf.DUMMYFUNCTION("""COMPUTED_VALUE"""),"USA")</f>
        <v>USA</v>
      </c>
      <c r="E1125" s="156">
        <f>IFERROR(__xludf.DUMMYFUNCTION("""COMPUTED_VALUE"""),44120.0)</f>
        <v>44120</v>
      </c>
      <c r="F1125" s="129">
        <f>IFERROR(__xludf.DUMMYFUNCTION("""COMPUTED_VALUE"""),44159.0)</f>
        <v>44159</v>
      </c>
      <c r="G1125" s="154"/>
      <c r="H1125" s="131">
        <f>IFERROR(__xludf.DUMMYFUNCTION("""COMPUTED_VALUE"""),848097.0)</f>
        <v>848097</v>
      </c>
      <c r="I1125" s="144"/>
      <c r="J1125" s="129">
        <f>IFERROR(__xludf.DUMMYFUNCTION("""COMPUTED_VALUE"""),44174.0)</f>
        <v>44174</v>
      </c>
      <c r="K1125" s="133">
        <f>IFERROR(__xludf.DUMMYFUNCTION("""COMPUTED_VALUE"""),39.0)</f>
        <v>39</v>
      </c>
      <c r="L1125" s="133">
        <f>IFERROR(__xludf.DUMMYFUNCTION("""COMPUTED_VALUE"""),15.0)</f>
        <v>15</v>
      </c>
      <c r="M1125" s="133">
        <f>IFERROR(__xludf.DUMMYFUNCTION("""COMPUTED_VALUE"""),54.0)</f>
        <v>54</v>
      </c>
      <c r="N1125" s="152" t="str">
        <f>IFERROR(__xludf.DUMMYFUNCTION("""COMPUTED_VALUE"""),"Model 3 LR AWD")</f>
        <v>Model 3 LR AWD</v>
      </c>
      <c r="O1125" s="152" t="str">
        <f>IFERROR(__xludf.DUMMYFUNCTION("""COMPUTED_VALUE"""),"Midnight Silver Metallic")</f>
        <v>Midnight Silver Metallic</v>
      </c>
      <c r="P1125" s="153" t="str">
        <f>IFERROR(__xludf.DUMMYFUNCTION("""COMPUTED_VALUE"""),"18 inch Aero")</f>
        <v>18 inch Aero</v>
      </c>
      <c r="Q1125" s="152" t="str">
        <f>IFERROR(__xludf.DUMMYFUNCTION("""COMPUTED_VALUE"""),"Black seats")</f>
        <v>Black seats</v>
      </c>
      <c r="R1125" s="149" t="str">
        <f>IFERROR(__xludf.DUMMYFUNCTION("""COMPUTED_VALUE"""),"Autopilot")</f>
        <v>Autopilot</v>
      </c>
      <c r="S1125" s="149"/>
      <c r="T1125" s="145"/>
      <c r="U1125" s="145"/>
      <c r="V1125" s="145"/>
      <c r="W1125" s="145"/>
      <c r="X1125" s="137"/>
      <c r="Y1125" s="138"/>
      <c r="Z1125" s="138"/>
      <c r="AA1125" s="138" t="str">
        <f>IFERROR(__xludf.DUMMYFUNCTION("""COMPUTED_VALUE"""),"Good")</f>
        <v>Good</v>
      </c>
      <c r="AB1125" s="138"/>
      <c r="AC1125" s="139"/>
      <c r="AD1125" s="139"/>
      <c r="AE1125" s="139"/>
      <c r="AF1125" s="140"/>
      <c r="AG1125" s="145" t="str">
        <f>IFERROR(__xludf.DUMMYFUNCTION("""COMPUTED_VALUE"""),"Delivery date options were 12/8 - 12/10")</f>
        <v>Delivery date options were 12/8 - 12/10</v>
      </c>
      <c r="AH1125" s="157">
        <f>IFERROR(__xludf.DUMMYFUNCTION("""COMPUTED_VALUE"""),44163.614839606475)</f>
        <v>44163.61484</v>
      </c>
      <c r="AI1125" s="138"/>
      <c r="AJ1125" s="138"/>
      <c r="AK1125" s="138"/>
      <c r="AL1125" s="142"/>
    </row>
    <row r="1126" ht="20.25" customHeight="1">
      <c r="A1126" s="155" t="str">
        <f>IFERROR(__xludf.DUMMYFUNCTION("""COMPUTED_VALUE"""),"MMCCMMCM")</f>
        <v>MMCCMMCM</v>
      </c>
      <c r="B1126" s="149" t="str">
        <f>IFERROR(__xludf.DUMMYFUNCTION("""COMPUTED_VALUE"""),"Tacoma")</f>
        <v>Tacoma</v>
      </c>
      <c r="C1126" s="149" t="str">
        <f>IFERROR(__xludf.DUMMYFUNCTION("""COMPUTED_VALUE"""),"WA")</f>
        <v>WA</v>
      </c>
      <c r="D1126" s="149" t="str">
        <f>IFERROR(__xludf.DUMMYFUNCTION("""COMPUTED_VALUE"""),"USA")</f>
        <v>USA</v>
      </c>
      <c r="E1126" s="156">
        <f>IFERROR(__xludf.DUMMYFUNCTION("""COMPUTED_VALUE"""),44120.0)</f>
        <v>44120</v>
      </c>
      <c r="F1126" s="129">
        <f>IFERROR(__xludf.DUMMYFUNCTION("""COMPUTED_VALUE"""),44189.0)</f>
        <v>44189</v>
      </c>
      <c r="G1126" s="154" t="str">
        <f>IFERROR(__xludf.DUMMYFUNCTION("""COMPUTED_VALUE"""),"Email")</f>
        <v>Email</v>
      </c>
      <c r="H1126" s="131">
        <f>IFERROR(__xludf.DUMMYFUNCTION("""COMPUTED_VALUE"""),868955.0)</f>
        <v>868955</v>
      </c>
      <c r="I1126" s="144"/>
      <c r="J1126" s="129">
        <f>IFERROR(__xludf.DUMMYFUNCTION("""COMPUTED_VALUE"""),44192.0)</f>
        <v>44192</v>
      </c>
      <c r="K1126" s="133">
        <f>IFERROR(__xludf.DUMMYFUNCTION("""COMPUTED_VALUE"""),69.0)</f>
        <v>69</v>
      </c>
      <c r="L1126" s="133">
        <f>IFERROR(__xludf.DUMMYFUNCTION("""COMPUTED_VALUE"""),3.0)</f>
        <v>3</v>
      </c>
      <c r="M1126" s="133">
        <f>IFERROR(__xludf.DUMMYFUNCTION("""COMPUTED_VALUE"""),72.0)</f>
        <v>72</v>
      </c>
      <c r="N1126" s="152" t="str">
        <f>IFERROR(__xludf.DUMMYFUNCTION("""COMPUTED_VALUE"""),"Model 3 LR AWD")</f>
        <v>Model 3 LR AWD</v>
      </c>
      <c r="O1126" s="152" t="str">
        <f>IFERROR(__xludf.DUMMYFUNCTION("""COMPUTED_VALUE"""),"Pearl White Multi-Coat")</f>
        <v>Pearl White Multi-Coat</v>
      </c>
      <c r="P1126" s="153" t="str">
        <f>IFERROR(__xludf.DUMMYFUNCTION("""COMPUTED_VALUE"""),"18 inch")</f>
        <v>18 inch</v>
      </c>
      <c r="Q1126" s="152" t="str">
        <f>IFERROR(__xludf.DUMMYFUNCTION("""COMPUTED_VALUE"""),"Black and White")</f>
        <v>Black and White</v>
      </c>
      <c r="R1126" s="149" t="str">
        <f>IFERROR(__xludf.DUMMYFUNCTION("""COMPUTED_VALUE"""),"Full Self-Driving")</f>
        <v>Full Self-Driving</v>
      </c>
      <c r="S1126" s="149" t="str">
        <f>IFERROR(__xludf.DUMMYFUNCTION("""COMPUTED_VALUE"""),"Loan")</f>
        <v>Loan</v>
      </c>
      <c r="T1126" s="145"/>
      <c r="U1126" s="145" t="str">
        <f>IFERROR(__xludf.DUMMYFUNCTION("""COMPUTED_VALUE"""),"Autopilot")</f>
        <v>Autopilot</v>
      </c>
      <c r="V1126" s="136" t="str">
        <f>IFERROR(__xludf.DUMMYFUNCTION("""COMPUTED_VALUE"""),"360° Bird's eye view")</f>
        <v>360° Bird's eye view</v>
      </c>
      <c r="W1126" s="145"/>
      <c r="X1126" s="137" t="str">
        <f>IFERROR(__xludf.DUMMYFUNCTION("""COMPUTED_VALUE"""),"Excellent")</f>
        <v>Excellent</v>
      </c>
      <c r="Y1126" s="138" t="str">
        <f>IFERROR(__xludf.DUMMYFUNCTION("""COMPUTED_VALUE"""),"Excellent")</f>
        <v>Excellent</v>
      </c>
      <c r="Z1126" s="138" t="str">
        <f>IFERROR(__xludf.DUMMYFUNCTION("""COMPUTED_VALUE"""),"Good")</f>
        <v>Good</v>
      </c>
      <c r="AA1126" s="138" t="str">
        <f>IFERROR(__xludf.DUMMYFUNCTION("""COMPUTED_VALUE"""),"Fair")</f>
        <v>Fair</v>
      </c>
      <c r="AB1126" s="138" t="str">
        <f>IFERROR(__xludf.DUMMYFUNCTION("""COMPUTED_VALUE"""),"Very Good")</f>
        <v>Very Good</v>
      </c>
      <c r="AC1126" s="139"/>
      <c r="AD1126" s="139"/>
      <c r="AE1126" s="139"/>
      <c r="AF1126" s="140" t="str">
        <f>IFERROR(__xludf.DUMMYFUNCTION("""COMPUTED_VALUE"""),"No. I took delivery of the first car Tesla was able to deliver.")</f>
        <v>No. I took delivery of the first car Tesla was able to deliver.</v>
      </c>
      <c r="AG1126" s="145" t="str">
        <f>IFERROR(__xludf.DUMMYFUNCTION("""COMPUTED_VALUE"""),"Estimated Delivery: 11/25 - 12/18")</f>
        <v>Estimated Delivery: 11/25 - 12/18</v>
      </c>
      <c r="AH1126" s="157">
        <f>IFERROR(__xludf.DUMMYFUNCTION("""COMPUTED_VALUE"""),44193.31762548612)</f>
        <v>44193.31763</v>
      </c>
      <c r="AI1126" s="138"/>
      <c r="AJ1126" s="138"/>
      <c r="AK1126" s="138"/>
      <c r="AL1126" s="142"/>
    </row>
    <row r="1127" ht="20.25" customHeight="1">
      <c r="A1127" s="155" t="str">
        <f>IFERROR(__xludf.DUMMYFUNCTION("""COMPUTED_VALUE"""),"soooolu12345")</f>
        <v>soooolu12345</v>
      </c>
      <c r="B1127" s="149" t="str">
        <f>IFERROR(__xludf.DUMMYFUNCTION("""COMPUTED_VALUE"""),"Houston")</f>
        <v>Houston</v>
      </c>
      <c r="C1127" s="149" t="str">
        <f>IFERROR(__xludf.DUMMYFUNCTION("""COMPUTED_VALUE"""),"TX")</f>
        <v>TX</v>
      </c>
      <c r="D1127" s="149" t="str">
        <f>IFERROR(__xludf.DUMMYFUNCTION("""COMPUTED_VALUE"""),"USA")</f>
        <v>USA</v>
      </c>
      <c r="E1127" s="156">
        <f>IFERROR(__xludf.DUMMYFUNCTION("""COMPUTED_VALUE"""),44120.0)</f>
        <v>44120</v>
      </c>
      <c r="F1127" s="129">
        <f>IFERROR(__xludf.DUMMYFUNCTION("""COMPUTED_VALUE"""),44178.0)</f>
        <v>44178</v>
      </c>
      <c r="G1127" s="154" t="str">
        <f>IFERROR(__xludf.DUMMYFUNCTION("""COMPUTED_VALUE"""),"Email")</f>
        <v>Email</v>
      </c>
      <c r="H1127" s="131">
        <f>IFERROR(__xludf.DUMMYFUNCTION("""COMPUTED_VALUE"""),862755.0)</f>
        <v>862755</v>
      </c>
      <c r="I1127" s="132"/>
      <c r="J1127" s="129">
        <f>IFERROR(__xludf.DUMMYFUNCTION("""COMPUTED_VALUE"""),44191.0)</f>
        <v>44191</v>
      </c>
      <c r="K1127" s="133">
        <f>IFERROR(__xludf.DUMMYFUNCTION("""COMPUTED_VALUE"""),58.0)</f>
        <v>58</v>
      </c>
      <c r="L1127" s="133">
        <f>IFERROR(__xludf.DUMMYFUNCTION("""COMPUTED_VALUE"""),13.0)</f>
        <v>13</v>
      </c>
      <c r="M1127" s="133">
        <f>IFERROR(__xludf.DUMMYFUNCTION("""COMPUTED_VALUE"""),71.0)</f>
        <v>71</v>
      </c>
      <c r="N1127" s="152" t="str">
        <f>IFERROR(__xludf.DUMMYFUNCTION("""COMPUTED_VALUE"""),"Model 3 Performance")</f>
        <v>Model 3 Performance</v>
      </c>
      <c r="O1127" s="152" t="str">
        <f>IFERROR(__xludf.DUMMYFUNCTION("""COMPUTED_VALUE"""),"Pearl White Multi-Coat")</f>
        <v>Pearl White Multi-Coat</v>
      </c>
      <c r="P1127" s="153" t="str">
        <f>IFERROR(__xludf.DUMMYFUNCTION("""COMPUTED_VALUE"""),"20 inch")</f>
        <v>20 inch</v>
      </c>
      <c r="Q1127" s="152" t="str">
        <f>IFERROR(__xludf.DUMMYFUNCTION("""COMPUTED_VALUE"""),"All Black")</f>
        <v>All Black</v>
      </c>
      <c r="R1127" s="150" t="str">
        <f>IFERROR(__xludf.DUMMYFUNCTION("""COMPUTED_VALUE"""),"Full Self-Driving")</f>
        <v>Full Self-Driving</v>
      </c>
      <c r="S1127" s="150" t="str">
        <f>IFERROR(__xludf.DUMMYFUNCTION("""COMPUTED_VALUE"""),"Loan")</f>
        <v>Loan</v>
      </c>
      <c r="T1127" s="145" t="str">
        <f>IFERROR(__xludf.DUMMYFUNCTION("""COMPUTED_VALUE"""),"Toyota Camry")</f>
        <v>Toyota Camry</v>
      </c>
      <c r="U1127" s="145" t="str">
        <f>IFERROR(__xludf.DUMMYFUNCTION("""COMPUTED_VALUE"""),"Autopilot")</f>
        <v>Autopilot</v>
      </c>
      <c r="V1127" s="136"/>
      <c r="W1127" s="145"/>
      <c r="X1127" s="137" t="str">
        <f>IFERROR(__xludf.DUMMYFUNCTION("""COMPUTED_VALUE"""),"Excellent")</f>
        <v>Excellent</v>
      </c>
      <c r="Y1127" s="138" t="str">
        <f>IFERROR(__xludf.DUMMYFUNCTION("""COMPUTED_VALUE"""),"Excellent")</f>
        <v>Excellent</v>
      </c>
      <c r="Z1127" s="138" t="str">
        <f>IFERROR(__xludf.DUMMYFUNCTION("""COMPUTED_VALUE"""),"Excellent")</f>
        <v>Excellent</v>
      </c>
      <c r="AA1127" s="138" t="str">
        <f>IFERROR(__xludf.DUMMYFUNCTION("""COMPUTED_VALUE"""),"Very Good")</f>
        <v>Very Good</v>
      </c>
      <c r="AB1127" s="138" t="str">
        <f>IFERROR(__xludf.DUMMYFUNCTION("""COMPUTED_VALUE"""),"Excellent")</f>
        <v>Excellent</v>
      </c>
      <c r="AC1127" s="139"/>
      <c r="AD1127" s="139"/>
      <c r="AE1127" s="139"/>
      <c r="AF1127" s="140" t="str">
        <f>IFERROR(__xludf.DUMMYFUNCTION("""COMPUTED_VALUE"""),"No. I took delivery of the first car Tesla was able to deliver.")</f>
        <v>No. I took delivery of the first car Tesla was able to deliver.</v>
      </c>
      <c r="AG1127" s="145"/>
      <c r="AH1127" s="157">
        <f>IFERROR(__xludf.DUMMYFUNCTION("""COMPUTED_VALUE"""),44201.61671127315)</f>
        <v>44201.61671</v>
      </c>
      <c r="AI1127" s="138"/>
      <c r="AJ1127" s="138"/>
      <c r="AK1127" s="138"/>
      <c r="AL1127" s="142"/>
    </row>
    <row r="1128" ht="20.25" customHeight="1">
      <c r="A1128" s="155" t="str">
        <f>IFERROR(__xludf.DUMMYFUNCTION("""COMPUTED_VALUE"""),"Structural")</f>
        <v>Structural</v>
      </c>
      <c r="B1128" s="149" t="str">
        <f>IFERROR(__xludf.DUMMYFUNCTION("""COMPUTED_VALUE"""),"Phoenix")</f>
        <v>Phoenix</v>
      </c>
      <c r="C1128" s="149" t="str">
        <f>IFERROR(__xludf.DUMMYFUNCTION("""COMPUTED_VALUE"""),"AZ")</f>
        <v>AZ</v>
      </c>
      <c r="D1128" s="149" t="str">
        <f>IFERROR(__xludf.DUMMYFUNCTION("""COMPUTED_VALUE"""),"USA")</f>
        <v>USA</v>
      </c>
      <c r="E1128" s="156">
        <f>IFERROR(__xludf.DUMMYFUNCTION("""COMPUTED_VALUE"""),44120.0)</f>
        <v>44120</v>
      </c>
      <c r="F1128" s="129">
        <f>IFERROR(__xludf.DUMMYFUNCTION("""COMPUTED_VALUE"""),44189.0)</f>
        <v>44189</v>
      </c>
      <c r="G1128" s="154" t="str">
        <f>IFERROR(__xludf.DUMMYFUNCTION("""COMPUTED_VALUE"""),"Manage order page (normal text)")</f>
        <v>Manage order page (normal text)</v>
      </c>
      <c r="H1128" s="131">
        <f>IFERROR(__xludf.DUMMYFUNCTION("""COMPUTED_VALUE"""),868555.0)</f>
        <v>868555</v>
      </c>
      <c r="I1128" s="132" t="str">
        <f>IFERROR(__xludf.DUMMYFUNCTION("""COMPUTED_VALUE"""),"12/20")</f>
        <v>12/20</v>
      </c>
      <c r="J1128" s="129">
        <f>IFERROR(__xludf.DUMMYFUNCTION("""COMPUTED_VALUE"""),44194.0)</f>
        <v>44194</v>
      </c>
      <c r="K1128" s="133">
        <f>IFERROR(__xludf.DUMMYFUNCTION("""COMPUTED_VALUE"""),69.0)</f>
        <v>69</v>
      </c>
      <c r="L1128" s="133">
        <f>IFERROR(__xludf.DUMMYFUNCTION("""COMPUTED_VALUE"""),5.0)</f>
        <v>5</v>
      </c>
      <c r="M1128" s="133">
        <f>IFERROR(__xludf.DUMMYFUNCTION("""COMPUTED_VALUE"""),74.0)</f>
        <v>74</v>
      </c>
      <c r="N1128" s="152" t="str">
        <f>IFERROR(__xludf.DUMMYFUNCTION("""COMPUTED_VALUE"""),"Model 3 LR AWD")</f>
        <v>Model 3 LR AWD</v>
      </c>
      <c r="O1128" s="152" t="str">
        <f>IFERROR(__xludf.DUMMYFUNCTION("""COMPUTED_VALUE"""),"Midnight Silver Metallic")</f>
        <v>Midnight Silver Metallic</v>
      </c>
      <c r="P1128" s="153" t="str">
        <f>IFERROR(__xludf.DUMMYFUNCTION("""COMPUTED_VALUE"""),"18 inch")</f>
        <v>18 inch</v>
      </c>
      <c r="Q1128" s="152" t="str">
        <f>IFERROR(__xludf.DUMMYFUNCTION("""COMPUTED_VALUE"""),"Black and White")</f>
        <v>Black and White</v>
      </c>
      <c r="R1128" s="150" t="str">
        <f>IFERROR(__xludf.DUMMYFUNCTION("""COMPUTED_VALUE"""),"Full Self-Driving")</f>
        <v>Full Self-Driving</v>
      </c>
      <c r="S1128" s="150" t="str">
        <f>IFERROR(__xludf.DUMMYFUNCTION("""COMPUTED_VALUE"""),"Cash")</f>
        <v>Cash</v>
      </c>
      <c r="T1128" s="136" t="str">
        <f>IFERROR(__xludf.DUMMYFUNCTION("""COMPUTED_VALUE"""),"GMC Acadia")</f>
        <v>GMC Acadia</v>
      </c>
      <c r="U1128" s="136" t="str">
        <f>IFERROR(__xludf.DUMMYFUNCTION("""COMPUTED_VALUE"""),"Autopilot")</f>
        <v>Autopilot</v>
      </c>
      <c r="V1128" s="136" t="str">
        <f>IFERROR(__xludf.DUMMYFUNCTION("""COMPUTED_VALUE"""),"Heated steering wheel")</f>
        <v>Heated steering wheel</v>
      </c>
      <c r="W1128" s="136"/>
      <c r="X1128" s="137" t="str">
        <f>IFERROR(__xludf.DUMMYFUNCTION("""COMPUTED_VALUE"""),"Good")</f>
        <v>Good</v>
      </c>
      <c r="Y1128" s="138" t="str">
        <f>IFERROR(__xludf.DUMMYFUNCTION("""COMPUTED_VALUE"""),"Good")</f>
        <v>Good</v>
      </c>
      <c r="Z1128" s="138" t="str">
        <f>IFERROR(__xludf.DUMMYFUNCTION("""COMPUTED_VALUE"""),"Very Good")</f>
        <v>Very Good</v>
      </c>
      <c r="AA1128" s="138" t="str">
        <f>IFERROR(__xludf.DUMMYFUNCTION("""COMPUTED_VALUE"""),"Poor")</f>
        <v>Poor</v>
      </c>
      <c r="AB1128" s="138" t="str">
        <f>IFERROR(__xludf.DUMMYFUNCTION("""COMPUTED_VALUE"""),"Good")</f>
        <v>Good</v>
      </c>
      <c r="AC1128" s="139">
        <f>IFERROR(__xludf.DUMMYFUNCTION("""COMPUTED_VALUE"""),3.0)</f>
        <v>3</v>
      </c>
      <c r="AD1128" s="139">
        <f>IFERROR(__xludf.DUMMYFUNCTION("""COMPUTED_VALUE"""),1.0)</f>
        <v>1</v>
      </c>
      <c r="AE1128" s="139"/>
      <c r="AF1128" s="140" t="str">
        <f>IFERROR(__xludf.DUMMYFUNCTION("""COMPUTED_VALUE"""),"No. I took delivery of the first car Tesla was able to deliver.")</f>
        <v>No. I took delivery of the first car Tesla was able to deliver.</v>
      </c>
      <c r="AG1128" s="136"/>
      <c r="AH1128" s="157">
        <f>IFERROR(__xludf.DUMMYFUNCTION("""COMPUTED_VALUE"""),44194.72383841436)</f>
        <v>44194.72384</v>
      </c>
      <c r="AI1128" s="138"/>
      <c r="AJ1128" s="138"/>
      <c r="AK1128" s="138"/>
      <c r="AL1128" s="142"/>
    </row>
    <row r="1129" ht="20.25" customHeight="1">
      <c r="A1129" s="155" t="str">
        <f>IFERROR(__xludf.DUMMYFUNCTION("""COMPUTED_VALUE"""),"Vonhorn")</f>
        <v>Vonhorn</v>
      </c>
      <c r="B1129" s="149" t="str">
        <f>IFERROR(__xludf.DUMMYFUNCTION("""COMPUTED_VALUE"""),"Seattle")</f>
        <v>Seattle</v>
      </c>
      <c r="C1129" s="149" t="str">
        <f>IFERROR(__xludf.DUMMYFUNCTION("""COMPUTED_VALUE"""),"WA")</f>
        <v>WA</v>
      </c>
      <c r="D1129" s="149" t="str">
        <f>IFERROR(__xludf.DUMMYFUNCTION("""COMPUTED_VALUE"""),"USA")</f>
        <v>USA</v>
      </c>
      <c r="E1129" s="156">
        <f>IFERROR(__xludf.DUMMYFUNCTION("""COMPUTED_VALUE"""),44120.0)</f>
        <v>44120</v>
      </c>
      <c r="F1129" s="129">
        <f>IFERROR(__xludf.DUMMYFUNCTION("""COMPUTED_VALUE"""),44164.0)</f>
        <v>44164</v>
      </c>
      <c r="G1129" s="154" t="str">
        <f>IFERROR(__xludf.DUMMYFUNCTION("""COMPUTED_VALUE"""),"Manage order page (normal text)")</f>
        <v>Manage order page (normal text)</v>
      </c>
      <c r="H1129" s="131">
        <f>IFERROR(__xludf.DUMMYFUNCTION("""COMPUTED_VALUE"""),856255.0)</f>
        <v>856255</v>
      </c>
      <c r="I1129" s="144" t="str">
        <f>IFERROR(__xludf.DUMMYFUNCTION("""COMPUTED_VALUE"""),"12/20")</f>
        <v>12/20</v>
      </c>
      <c r="J1129" s="129">
        <f>IFERROR(__xludf.DUMMYFUNCTION("""COMPUTED_VALUE"""),44169.0)</f>
        <v>44169</v>
      </c>
      <c r="K1129" s="133">
        <f>IFERROR(__xludf.DUMMYFUNCTION("""COMPUTED_VALUE"""),44.0)</f>
        <v>44</v>
      </c>
      <c r="L1129" s="133">
        <f>IFERROR(__xludf.DUMMYFUNCTION("""COMPUTED_VALUE"""),5.0)</f>
        <v>5</v>
      </c>
      <c r="M1129" s="133">
        <f>IFERROR(__xludf.DUMMYFUNCTION("""COMPUTED_VALUE"""),49.0)</f>
        <v>49</v>
      </c>
      <c r="N1129" s="152" t="str">
        <f>IFERROR(__xludf.DUMMYFUNCTION("""COMPUTED_VALUE"""),"Model 3 Performance")</f>
        <v>Model 3 Performance</v>
      </c>
      <c r="O1129" s="152" t="str">
        <f>IFERROR(__xludf.DUMMYFUNCTION("""COMPUTED_VALUE"""),"Pearl White Multi-Coat")</f>
        <v>Pearl White Multi-Coat</v>
      </c>
      <c r="P1129" s="153" t="str">
        <f>IFERROR(__xludf.DUMMYFUNCTION("""COMPUTED_VALUE"""),"20 inch")</f>
        <v>20 inch</v>
      </c>
      <c r="Q1129" s="152" t="str">
        <f>IFERROR(__xludf.DUMMYFUNCTION("""COMPUTED_VALUE"""),"All Black")</f>
        <v>All Black</v>
      </c>
      <c r="R1129" s="149" t="str">
        <f>IFERROR(__xludf.DUMMYFUNCTION("""COMPUTED_VALUE"""),"Autopilot included")</f>
        <v>Autopilot included</v>
      </c>
      <c r="S1129" s="149" t="str">
        <f>IFERROR(__xludf.DUMMYFUNCTION("""COMPUTED_VALUE"""),"Loan")</f>
        <v>Loan</v>
      </c>
      <c r="T1129" s="145" t="str">
        <f>IFERROR(__xludf.DUMMYFUNCTION("""COMPUTED_VALUE"""),"Tesla Model 3")</f>
        <v>Tesla Model 3</v>
      </c>
      <c r="U1129" s="145" t="str">
        <f>IFERROR(__xludf.DUMMYFUNCTION("""COMPUTED_VALUE"""),"It's cool")</f>
        <v>It's cool</v>
      </c>
      <c r="V1129" s="145" t="str">
        <f>IFERROR(__xludf.DUMMYFUNCTION("""COMPUTED_VALUE"""),"360° Bird's eye view")</f>
        <v>360° Bird's eye view</v>
      </c>
      <c r="W1129" s="136" t="str">
        <f>IFERROR(__xludf.DUMMYFUNCTION("""COMPUTED_VALUE"""),"Look over your car with a fine tooth comb")</f>
        <v>Look over your car with a fine tooth comb</v>
      </c>
      <c r="X1129" s="137" t="str">
        <f>IFERROR(__xludf.DUMMYFUNCTION("""COMPUTED_VALUE"""),"Good")</f>
        <v>Good</v>
      </c>
      <c r="Y1129" s="138" t="str">
        <f>IFERROR(__xludf.DUMMYFUNCTION("""COMPUTED_VALUE"""),"Very Good")</f>
        <v>Very Good</v>
      </c>
      <c r="Z1129" s="138" t="str">
        <f>IFERROR(__xludf.DUMMYFUNCTION("""COMPUTED_VALUE"""),"Good")</f>
        <v>Good</v>
      </c>
      <c r="AA1129" s="138" t="str">
        <f>IFERROR(__xludf.DUMMYFUNCTION("""COMPUTED_VALUE"""),"Poor")</f>
        <v>Poor</v>
      </c>
      <c r="AB1129" s="138" t="str">
        <f>IFERROR(__xludf.DUMMYFUNCTION("""COMPUTED_VALUE"""),"Fair")</f>
        <v>Fair</v>
      </c>
      <c r="AC1129" s="139">
        <f>IFERROR(__xludf.DUMMYFUNCTION("""COMPUTED_VALUE"""),6.0)</f>
        <v>6</v>
      </c>
      <c r="AD1129" s="139">
        <f>IFERROR(__xludf.DUMMYFUNCTION("""COMPUTED_VALUE"""),1.0)</f>
        <v>1</v>
      </c>
      <c r="AE1129" s="139"/>
      <c r="AF1129" s="140" t="str">
        <f>IFERROR(__xludf.DUMMYFUNCTION("""COMPUTED_VALUE"""),"No. I took delivery of the first car Tesla was able to deliver.")</f>
        <v>No. I took delivery of the first car Tesla was able to deliver.</v>
      </c>
      <c r="AG1129" s="136"/>
      <c r="AH1129" s="157">
        <f>IFERROR(__xludf.DUMMYFUNCTION("""COMPUTED_VALUE"""),44170.43305931713)</f>
        <v>44170.43306</v>
      </c>
      <c r="AI1129" s="138"/>
      <c r="AJ1129" s="138"/>
      <c r="AK1129" s="138"/>
      <c r="AL1129" s="142"/>
    </row>
    <row r="1130" ht="20.25" customHeight="1">
      <c r="A1130" s="155" t="str">
        <f>IFERROR(__xludf.DUMMYFUNCTION("""COMPUTED_VALUE"""),"bwbrs")</f>
        <v>bwbrs</v>
      </c>
      <c r="B1130" s="149" t="str">
        <f>IFERROR(__xludf.DUMMYFUNCTION("""COMPUTED_VALUE"""),"Morristown")</f>
        <v>Morristown</v>
      </c>
      <c r="C1130" s="149" t="str">
        <f>IFERROR(__xludf.DUMMYFUNCTION("""COMPUTED_VALUE"""),"NJ")</f>
        <v>NJ</v>
      </c>
      <c r="D1130" s="149" t="str">
        <f>IFERROR(__xludf.DUMMYFUNCTION("""COMPUTED_VALUE"""),"USA")</f>
        <v>USA</v>
      </c>
      <c r="E1130" s="156">
        <f>IFERROR(__xludf.DUMMYFUNCTION("""COMPUTED_VALUE"""),44119.0)</f>
        <v>44119</v>
      </c>
      <c r="F1130" s="129">
        <f>IFERROR(__xludf.DUMMYFUNCTION("""COMPUTED_VALUE"""),44165.0)</f>
        <v>44165</v>
      </c>
      <c r="G1130" s="154" t="str">
        <f>IFERROR(__xludf.DUMMYFUNCTION("""COMPUTED_VALUE"""),"Manage order page (normal text)")</f>
        <v>Manage order page (normal text)</v>
      </c>
      <c r="H1130" s="131">
        <f>IFERROR(__xludf.DUMMYFUNCTION("""COMPUTED_VALUE"""),850279.0)</f>
        <v>850279</v>
      </c>
      <c r="I1130" s="144"/>
      <c r="J1130" s="129">
        <f>IFERROR(__xludf.DUMMYFUNCTION("""COMPUTED_VALUE"""),44180.0)</f>
        <v>44180</v>
      </c>
      <c r="K1130" s="133">
        <f>IFERROR(__xludf.DUMMYFUNCTION("""COMPUTED_VALUE"""),46.0)</f>
        <v>46</v>
      </c>
      <c r="L1130" s="133">
        <f>IFERROR(__xludf.DUMMYFUNCTION("""COMPUTED_VALUE"""),15.0)</f>
        <v>15</v>
      </c>
      <c r="M1130" s="133">
        <f>IFERROR(__xludf.DUMMYFUNCTION("""COMPUTED_VALUE"""),61.0)</f>
        <v>61</v>
      </c>
      <c r="N1130" s="152" t="str">
        <f>IFERROR(__xludf.DUMMYFUNCTION("""COMPUTED_VALUE"""),"Model 3 SR+")</f>
        <v>Model 3 SR+</v>
      </c>
      <c r="O1130" s="152" t="str">
        <f>IFERROR(__xludf.DUMMYFUNCTION("""COMPUTED_VALUE"""),"Midnight Silver Metallic")</f>
        <v>Midnight Silver Metallic</v>
      </c>
      <c r="P1130" s="153" t="str">
        <f>IFERROR(__xludf.DUMMYFUNCTION("""COMPUTED_VALUE"""),"18 inch")</f>
        <v>18 inch</v>
      </c>
      <c r="Q1130" s="152" t="str">
        <f>IFERROR(__xludf.DUMMYFUNCTION("""COMPUTED_VALUE"""),"All Black")</f>
        <v>All Black</v>
      </c>
      <c r="R1130" s="149" t="str">
        <f>IFERROR(__xludf.DUMMYFUNCTION("""COMPUTED_VALUE"""),"Autopilot included")</f>
        <v>Autopilot included</v>
      </c>
      <c r="S1130" s="149" t="str">
        <f>IFERROR(__xludf.DUMMYFUNCTION("""COMPUTED_VALUE"""),"Loan")</f>
        <v>Loan</v>
      </c>
      <c r="T1130" s="145"/>
      <c r="U1130" s="145" t="str">
        <f>IFERROR(__xludf.DUMMYFUNCTION("""COMPUTED_VALUE"""),"Tesla brand image")</f>
        <v>Tesla brand image</v>
      </c>
      <c r="V1130" s="145" t="str">
        <f>IFERROR(__xludf.DUMMYFUNCTION("""COMPUTED_VALUE"""),"Ventilated seats")</f>
        <v>Ventilated seats</v>
      </c>
      <c r="W1130" s="145" t="str">
        <f>IFERROR(__xludf.DUMMYFUNCTION("""COMPUTED_VALUE"""),"Make sure you have your charging situation set up and be prepared for changes")</f>
        <v>Make sure you have your charging situation set up and be prepared for changes</v>
      </c>
      <c r="X1130" s="137" t="str">
        <f>IFERROR(__xludf.DUMMYFUNCTION("""COMPUTED_VALUE"""),"Excellent")</f>
        <v>Excellent</v>
      </c>
      <c r="Y1130" s="138" t="str">
        <f>IFERROR(__xludf.DUMMYFUNCTION("""COMPUTED_VALUE"""),"Excellent")</f>
        <v>Excellent</v>
      </c>
      <c r="Z1130" s="138" t="str">
        <f>IFERROR(__xludf.DUMMYFUNCTION("""COMPUTED_VALUE"""),"Excellent")</f>
        <v>Excellent</v>
      </c>
      <c r="AA1130" s="138" t="str">
        <f>IFERROR(__xludf.DUMMYFUNCTION("""COMPUTED_VALUE"""),"Good")</f>
        <v>Good</v>
      </c>
      <c r="AB1130" s="138" t="str">
        <f>IFERROR(__xludf.DUMMYFUNCTION("""COMPUTED_VALUE"""),"Excellent")</f>
        <v>Excellent</v>
      </c>
      <c r="AC1130" s="139">
        <f>IFERROR(__xludf.DUMMYFUNCTION("""COMPUTED_VALUE"""),0.0)</f>
        <v>0</v>
      </c>
      <c r="AD1130" s="139">
        <f>IFERROR(__xludf.DUMMYFUNCTION("""COMPUTED_VALUE"""),0.0)</f>
        <v>0</v>
      </c>
      <c r="AE1130" s="139">
        <f>IFERROR(__xludf.DUMMYFUNCTION("""COMPUTED_VALUE"""),0.0)</f>
        <v>0</v>
      </c>
      <c r="AF1130" s="140" t="str">
        <f>IFERROR(__xludf.DUMMYFUNCTION("""COMPUTED_VALUE"""),"No. I took delivery of the first car Tesla was able to deliver.")</f>
        <v>No. I took delivery of the first car Tesla was able to deliver.</v>
      </c>
      <c r="AG1130" s="145"/>
      <c r="AH1130" s="157">
        <f>IFERROR(__xludf.DUMMYFUNCTION("""COMPUTED_VALUE"""),44251.35510233797)</f>
        <v>44251.3551</v>
      </c>
      <c r="AI1130" s="138"/>
      <c r="AJ1130" s="138"/>
      <c r="AK1130" s="138"/>
      <c r="AL1130" s="142"/>
    </row>
    <row r="1131" ht="20.25" customHeight="1">
      <c r="A1131" s="155" t="str">
        <f>IFERROR(__xludf.DUMMYFUNCTION("""COMPUTED_VALUE"""),"lightcyan")</f>
        <v>lightcyan</v>
      </c>
      <c r="B1131" s="149" t="str">
        <f>IFERROR(__xludf.DUMMYFUNCTION("""COMPUTED_VALUE"""),"Jacksonville")</f>
        <v>Jacksonville</v>
      </c>
      <c r="C1131" s="149" t="str">
        <f>IFERROR(__xludf.DUMMYFUNCTION("""COMPUTED_VALUE"""),"FL")</f>
        <v>FL</v>
      </c>
      <c r="D1131" s="149" t="str">
        <f>IFERROR(__xludf.DUMMYFUNCTION("""COMPUTED_VALUE"""),"USA")</f>
        <v>USA</v>
      </c>
      <c r="E1131" s="156">
        <f>IFERROR(__xludf.DUMMYFUNCTION("""COMPUTED_VALUE"""),44118.0)</f>
        <v>44118</v>
      </c>
      <c r="F1131" s="129">
        <f>IFERROR(__xludf.DUMMYFUNCTION("""COMPUTED_VALUE"""),44164.0)</f>
        <v>44164</v>
      </c>
      <c r="G1131" s="154" t="str">
        <f>IFERROR(__xludf.DUMMYFUNCTION("""COMPUTED_VALUE"""),"Manage order page (normal text)")</f>
        <v>Manage order page (normal text)</v>
      </c>
      <c r="H1131" s="131">
        <f>IFERROR(__xludf.DUMMYFUNCTION("""COMPUTED_VALUE"""),850655.0)</f>
        <v>850655</v>
      </c>
      <c r="I1131" s="132"/>
      <c r="J1131" s="129">
        <f>IFERROR(__xludf.DUMMYFUNCTION("""COMPUTED_VALUE"""),44180.0)</f>
        <v>44180</v>
      </c>
      <c r="K1131" s="133">
        <f>IFERROR(__xludf.DUMMYFUNCTION("""COMPUTED_VALUE"""),46.0)</f>
        <v>46</v>
      </c>
      <c r="L1131" s="133">
        <f>IFERROR(__xludf.DUMMYFUNCTION("""COMPUTED_VALUE"""),16.0)</f>
        <v>16</v>
      </c>
      <c r="M1131" s="133">
        <f>IFERROR(__xludf.DUMMYFUNCTION("""COMPUTED_VALUE"""),62.0)</f>
        <v>62</v>
      </c>
      <c r="N1131" s="152" t="str">
        <f>IFERROR(__xludf.DUMMYFUNCTION("""COMPUTED_VALUE"""),"Model 3 SR+")</f>
        <v>Model 3 SR+</v>
      </c>
      <c r="O1131" s="152" t="str">
        <f>IFERROR(__xludf.DUMMYFUNCTION("""COMPUTED_VALUE"""),"Pearl White Multi-Coat")</f>
        <v>Pearl White Multi-Coat</v>
      </c>
      <c r="P1131" s="153" t="str">
        <f>IFERROR(__xludf.DUMMYFUNCTION("""COMPUTED_VALUE"""),"18 inch")</f>
        <v>18 inch</v>
      </c>
      <c r="Q1131" s="152" t="str">
        <f>IFERROR(__xludf.DUMMYFUNCTION("""COMPUTED_VALUE"""),"All Black")</f>
        <v>All Black</v>
      </c>
      <c r="R1131" s="150" t="str">
        <f>IFERROR(__xludf.DUMMYFUNCTION("""COMPUTED_VALUE"""),"Autopilot included")</f>
        <v>Autopilot included</v>
      </c>
      <c r="S1131" s="150" t="str">
        <f>IFERROR(__xludf.DUMMYFUNCTION("""COMPUTED_VALUE"""),"Loan")</f>
        <v>Loan</v>
      </c>
      <c r="T1131" s="145"/>
      <c r="U1131" s="145"/>
      <c r="V1131" s="145"/>
      <c r="W1131" s="145"/>
      <c r="X1131" s="137" t="str">
        <f>IFERROR(__xludf.DUMMYFUNCTION("""COMPUTED_VALUE"""),"Excellent")</f>
        <v>Excellent</v>
      </c>
      <c r="Y1131" s="138" t="str">
        <f>IFERROR(__xludf.DUMMYFUNCTION("""COMPUTED_VALUE"""),"Very Good")</f>
        <v>Very Good</v>
      </c>
      <c r="Z1131" s="138" t="str">
        <f>IFERROR(__xludf.DUMMYFUNCTION("""COMPUTED_VALUE"""),"Excellent")</f>
        <v>Excellent</v>
      </c>
      <c r="AA1131" s="138" t="str">
        <f>IFERROR(__xludf.DUMMYFUNCTION("""COMPUTED_VALUE"""),"Fair")</f>
        <v>Fair</v>
      </c>
      <c r="AB1131" s="138" t="str">
        <f>IFERROR(__xludf.DUMMYFUNCTION("""COMPUTED_VALUE"""),"Good")</f>
        <v>Good</v>
      </c>
      <c r="AC1131" s="139"/>
      <c r="AD1131" s="139"/>
      <c r="AE1131" s="139"/>
      <c r="AF1131" s="140" t="str">
        <f>IFERROR(__xludf.DUMMYFUNCTION("""COMPUTED_VALUE"""),"No. I took delivery of the first car Tesla was able to deliver.")</f>
        <v>No. I took delivery of the first car Tesla was able to deliver.</v>
      </c>
      <c r="AG1131" s="145" t="str">
        <f>IFERROR(__xludf.DUMMYFUNCTION("""COMPUTED_VALUE"""),"Delivery estimate update: 12/13-12/19...11/10 - Text Update: expect 3-6 weeks for delivery.")</f>
        <v>Delivery estimate update: 12/13-12/19...11/10 - Text Update: expect 3-6 weeks for delivery.</v>
      </c>
      <c r="AH1131" s="157">
        <f>IFERROR(__xludf.DUMMYFUNCTION("""COMPUTED_VALUE"""),44181.2093618287)</f>
        <v>44181.20936</v>
      </c>
      <c r="AI1131" s="138"/>
      <c r="AJ1131" s="138"/>
      <c r="AK1131" s="138"/>
      <c r="AL1131" s="142"/>
    </row>
    <row r="1132" ht="20.25" customHeight="1">
      <c r="A1132" s="155" t="str">
        <f>IFERROR(__xludf.DUMMYFUNCTION("""COMPUTED_VALUE"""),"Sdfb11")</f>
        <v>Sdfb11</v>
      </c>
      <c r="B1132" s="149" t="str">
        <f>IFERROR(__xludf.DUMMYFUNCTION("""COMPUTED_VALUE"""),"Las Vegas")</f>
        <v>Las Vegas</v>
      </c>
      <c r="C1132" s="149" t="str">
        <f>IFERROR(__xludf.DUMMYFUNCTION("""COMPUTED_VALUE"""),"NV")</f>
        <v>NV</v>
      </c>
      <c r="D1132" s="149" t="str">
        <f>IFERROR(__xludf.DUMMYFUNCTION("""COMPUTED_VALUE"""),"USA")</f>
        <v>USA</v>
      </c>
      <c r="E1132" s="156">
        <f>IFERROR(__xludf.DUMMYFUNCTION("""COMPUTED_VALUE"""),44117.0)</f>
        <v>44117</v>
      </c>
      <c r="F1132" s="129">
        <f>IFERROR(__xludf.DUMMYFUNCTION("""COMPUTED_VALUE"""),44183.0)</f>
        <v>44183</v>
      </c>
      <c r="G1132" s="154" t="str">
        <f>IFERROR(__xludf.DUMMYFUNCTION("""COMPUTED_VALUE"""),"Manage order page (normal text)")</f>
        <v>Manage order page (normal text)</v>
      </c>
      <c r="H1132" s="131">
        <f>IFERROR(__xludf.DUMMYFUNCTION("""COMPUTED_VALUE"""),866955.0)</f>
        <v>866955</v>
      </c>
      <c r="I1132" s="132" t="str">
        <f>IFERROR(__xludf.DUMMYFUNCTION("""COMPUTED_VALUE"""),"12/20")</f>
        <v>12/20</v>
      </c>
      <c r="J1132" s="129">
        <f>IFERROR(__xludf.DUMMYFUNCTION("""COMPUTED_VALUE"""),44191.0)</f>
        <v>44191</v>
      </c>
      <c r="K1132" s="133">
        <f>IFERROR(__xludf.DUMMYFUNCTION("""COMPUTED_VALUE"""),66.0)</f>
        <v>66</v>
      </c>
      <c r="L1132" s="133">
        <f>IFERROR(__xludf.DUMMYFUNCTION("""COMPUTED_VALUE"""),8.0)</f>
        <v>8</v>
      </c>
      <c r="M1132" s="133">
        <f>IFERROR(__xludf.DUMMYFUNCTION("""COMPUTED_VALUE"""),74.0)</f>
        <v>74</v>
      </c>
      <c r="N1132" s="152" t="str">
        <f>IFERROR(__xludf.DUMMYFUNCTION("""COMPUTED_VALUE"""),"Model 3 SR+")</f>
        <v>Model 3 SR+</v>
      </c>
      <c r="O1132" s="152" t="str">
        <f>IFERROR(__xludf.DUMMYFUNCTION("""COMPUTED_VALUE"""),"Midnight Silver Metallic")</f>
        <v>Midnight Silver Metallic</v>
      </c>
      <c r="P1132" s="153" t="str">
        <f>IFERROR(__xludf.DUMMYFUNCTION("""COMPUTED_VALUE"""),"18 inch")</f>
        <v>18 inch</v>
      </c>
      <c r="Q1132" s="152" t="str">
        <f>IFERROR(__xludf.DUMMYFUNCTION("""COMPUTED_VALUE"""),"All Black")</f>
        <v>All Black</v>
      </c>
      <c r="R1132" s="150" t="str">
        <f>IFERROR(__xludf.DUMMYFUNCTION("""COMPUTED_VALUE"""),"Autopilot included")</f>
        <v>Autopilot included</v>
      </c>
      <c r="S1132" s="150" t="str">
        <f>IFERROR(__xludf.DUMMYFUNCTION("""COMPUTED_VALUE"""),"Loan")</f>
        <v>Loan</v>
      </c>
      <c r="T1132" s="136" t="str">
        <f>IFERROR(__xludf.DUMMYFUNCTION("""COMPUTED_VALUE"""),"Tacoma")</f>
        <v>Tacoma</v>
      </c>
      <c r="U1132" s="136" t="str">
        <f>IFERROR(__xludf.DUMMYFUNCTION("""COMPUTED_VALUE"""),"Electric!")</f>
        <v>Electric!</v>
      </c>
      <c r="V1132" s="136" t="str">
        <f>IFERROR(__xludf.DUMMYFUNCTION("""COMPUTED_VALUE"""),"Heated steering wheel")</f>
        <v>Heated steering wheel</v>
      </c>
      <c r="W1132" s="136"/>
      <c r="X1132" s="137" t="str">
        <f>IFERROR(__xludf.DUMMYFUNCTION("""COMPUTED_VALUE"""),"Excellent")</f>
        <v>Excellent</v>
      </c>
      <c r="Y1132" s="138" t="str">
        <f>IFERROR(__xludf.DUMMYFUNCTION("""COMPUTED_VALUE"""),"Excellent")</f>
        <v>Excellent</v>
      </c>
      <c r="Z1132" s="138" t="str">
        <f>IFERROR(__xludf.DUMMYFUNCTION("""COMPUTED_VALUE"""),"Excellent")</f>
        <v>Excellent</v>
      </c>
      <c r="AA1132" s="138" t="str">
        <f>IFERROR(__xludf.DUMMYFUNCTION("""COMPUTED_VALUE"""),"Very Good")</f>
        <v>Very Good</v>
      </c>
      <c r="AB1132" s="138" t="str">
        <f>IFERROR(__xludf.DUMMYFUNCTION("""COMPUTED_VALUE"""),"Very Good")</f>
        <v>Very Good</v>
      </c>
      <c r="AC1132" s="139">
        <f>IFERROR(__xludf.DUMMYFUNCTION("""COMPUTED_VALUE"""),1.0)</f>
        <v>1</v>
      </c>
      <c r="AD1132" s="139">
        <f>IFERROR(__xludf.DUMMYFUNCTION("""COMPUTED_VALUE"""),1.0)</f>
        <v>1</v>
      </c>
      <c r="AE1132" s="139"/>
      <c r="AF1132" s="140" t="str">
        <f>IFERROR(__xludf.DUMMYFUNCTION("""COMPUTED_VALUE"""),"No. I took delivery of the first car Tesla was able to deliver.")</f>
        <v>No. I took delivery of the first car Tesla was able to deliver.</v>
      </c>
      <c r="AG1132" s="136" t="str">
        <f>IFERROR(__xludf.DUMMYFUNCTION("""COMPUTED_VALUE"""),"Delivery window has changed a million times. Current one is Dec13-Dec24")</f>
        <v>Delivery window has changed a million times. Current one is Dec13-Dec24</v>
      </c>
      <c r="AH1132" s="157">
        <f>IFERROR(__xludf.DUMMYFUNCTION("""COMPUTED_VALUE"""),44197.72160145833)</f>
        <v>44197.7216</v>
      </c>
      <c r="AI1132" s="138"/>
      <c r="AJ1132" s="138"/>
      <c r="AK1132" s="138"/>
      <c r="AL1132" s="142"/>
    </row>
    <row r="1133" ht="20.25" customHeight="1">
      <c r="A1133" s="155" t="str">
        <f>IFERROR(__xludf.DUMMYFUNCTION("""COMPUTED_VALUE"""),"Fixinit27 ")</f>
        <v>Fixinit27 </v>
      </c>
      <c r="B1133" s="149" t="str">
        <f>IFERROR(__xludf.DUMMYFUNCTION("""COMPUTED_VALUE"""),"Cleveland")</f>
        <v>Cleveland</v>
      </c>
      <c r="C1133" s="149" t="str">
        <f>IFERROR(__xludf.DUMMYFUNCTION("""COMPUTED_VALUE"""),"OH")</f>
        <v>OH</v>
      </c>
      <c r="D1133" s="149" t="str">
        <f>IFERROR(__xludf.DUMMYFUNCTION("""COMPUTED_VALUE"""),"USA")</f>
        <v>USA</v>
      </c>
      <c r="E1133" s="156">
        <f>IFERROR(__xludf.DUMMYFUNCTION("""COMPUTED_VALUE"""),44116.0)</f>
        <v>44116</v>
      </c>
      <c r="F1133" s="129">
        <f>IFERROR(__xludf.DUMMYFUNCTION("""COMPUTED_VALUE"""),44178.0)</f>
        <v>44178</v>
      </c>
      <c r="G1133" s="154" t="str">
        <f>IFERROR(__xludf.DUMMYFUNCTION("""COMPUTED_VALUE"""),"Manage order page (normal text)")</f>
        <v>Manage order page (normal text)</v>
      </c>
      <c r="H1133" s="131">
        <f>IFERROR(__xludf.DUMMYFUNCTION("""COMPUTED_VALUE"""),862664.0)</f>
        <v>862664</v>
      </c>
      <c r="I1133" s="144" t="str">
        <f>IFERROR(__xludf.DUMMYFUNCTION("""COMPUTED_VALUE"""),"12/20")</f>
        <v>12/20</v>
      </c>
      <c r="J1133" s="129">
        <f>IFERROR(__xludf.DUMMYFUNCTION("""COMPUTED_VALUE"""),44196.0)</f>
        <v>44196</v>
      </c>
      <c r="K1133" s="133">
        <f>IFERROR(__xludf.DUMMYFUNCTION("""COMPUTED_VALUE"""),62.0)</f>
        <v>62</v>
      </c>
      <c r="L1133" s="133">
        <f>IFERROR(__xludf.DUMMYFUNCTION("""COMPUTED_VALUE"""),18.0)</f>
        <v>18</v>
      </c>
      <c r="M1133" s="133">
        <f>IFERROR(__xludf.DUMMYFUNCTION("""COMPUTED_VALUE"""),80.0)</f>
        <v>80</v>
      </c>
      <c r="N1133" s="152" t="str">
        <f>IFERROR(__xludf.DUMMYFUNCTION("""COMPUTED_VALUE"""),"Model 3 Performance")</f>
        <v>Model 3 Performance</v>
      </c>
      <c r="O1133" s="152" t="str">
        <f>IFERROR(__xludf.DUMMYFUNCTION("""COMPUTED_VALUE"""),"Midnight Silver Metallic")</f>
        <v>Midnight Silver Metallic</v>
      </c>
      <c r="P1133" s="153" t="str">
        <f>IFERROR(__xludf.DUMMYFUNCTION("""COMPUTED_VALUE"""),"20 inch")</f>
        <v>20 inch</v>
      </c>
      <c r="Q1133" s="152" t="str">
        <f>IFERROR(__xludf.DUMMYFUNCTION("""COMPUTED_VALUE"""),"All Black")</f>
        <v>All Black</v>
      </c>
      <c r="R1133" s="149" t="str">
        <f>IFERROR(__xludf.DUMMYFUNCTION("""COMPUTED_VALUE"""),"Full Self-Driving")</f>
        <v>Full Self-Driving</v>
      </c>
      <c r="S1133" s="149" t="str">
        <f>IFERROR(__xludf.DUMMYFUNCTION("""COMPUTED_VALUE"""),"Loan")</f>
        <v>Loan</v>
      </c>
      <c r="T1133" s="136" t="str">
        <f>IFERROR(__xludf.DUMMYFUNCTION("""COMPUTED_VALUE"""),"Chevy Volt")</f>
        <v>Chevy Volt</v>
      </c>
      <c r="U1133" s="136" t="str">
        <f>IFERROR(__xludf.DUMMYFUNCTION("""COMPUTED_VALUE"""),"Electric!")</f>
        <v>Electric!</v>
      </c>
      <c r="V1133" s="136" t="str">
        <f>IFERROR(__xludf.DUMMYFUNCTION("""COMPUTED_VALUE"""),"Apple CarPlay / Android Auto / SiriusXM Radio")</f>
        <v>Apple CarPlay / Android Auto / SiriusXM Radio</v>
      </c>
      <c r="W1133" s="136"/>
      <c r="X1133" s="137" t="str">
        <f>IFERROR(__xludf.DUMMYFUNCTION("""COMPUTED_VALUE"""),"Very Good")</f>
        <v>Very Good</v>
      </c>
      <c r="Y1133" s="138" t="str">
        <f>IFERROR(__xludf.DUMMYFUNCTION("""COMPUTED_VALUE"""),"Excellent")</f>
        <v>Excellent</v>
      </c>
      <c r="Z1133" s="138" t="str">
        <f>IFERROR(__xludf.DUMMYFUNCTION("""COMPUTED_VALUE"""),"Excellent")</f>
        <v>Excellent</v>
      </c>
      <c r="AA1133" s="138" t="str">
        <f>IFERROR(__xludf.DUMMYFUNCTION("""COMPUTED_VALUE"""),"Good")</f>
        <v>Good</v>
      </c>
      <c r="AB1133" s="138" t="str">
        <f>IFERROR(__xludf.DUMMYFUNCTION("""COMPUTED_VALUE"""),"Good")</f>
        <v>Good</v>
      </c>
      <c r="AC1133" s="139"/>
      <c r="AD1133" s="139"/>
      <c r="AE1133" s="139"/>
      <c r="AF1133" s="140" t="str">
        <f>IFERROR(__xludf.DUMMYFUNCTION("""COMPUTED_VALUE"""),"No. I took delivery of the first car Tesla was able to deliver.")</f>
        <v>No. I took delivery of the first car Tesla was able to deliver.</v>
      </c>
      <c r="AG1133" s="136"/>
      <c r="AH1133" s="157">
        <f>IFERROR(__xludf.DUMMYFUNCTION("""COMPUTED_VALUE"""),44198.405842604174)</f>
        <v>44198.40584</v>
      </c>
      <c r="AI1133" s="138"/>
      <c r="AJ1133" s="138"/>
      <c r="AK1133" s="138"/>
      <c r="AL1133" s="142"/>
    </row>
    <row r="1134" ht="20.25" customHeight="1">
      <c r="A1134" s="155" t="str">
        <f>IFERROR(__xludf.DUMMYFUNCTION("""COMPUTED_VALUE"""),"jetnoirz")</f>
        <v>jetnoirz</v>
      </c>
      <c r="B1134" s="149" t="str">
        <f>IFERROR(__xludf.DUMMYFUNCTION("""COMPUTED_VALUE"""),"Upland")</f>
        <v>Upland</v>
      </c>
      <c r="C1134" s="149" t="str">
        <f>IFERROR(__xludf.DUMMYFUNCTION("""COMPUTED_VALUE"""),"CA")</f>
        <v>CA</v>
      </c>
      <c r="D1134" s="149" t="str">
        <f>IFERROR(__xludf.DUMMYFUNCTION("""COMPUTED_VALUE"""),"USA")</f>
        <v>USA</v>
      </c>
      <c r="E1134" s="156">
        <f>IFERROR(__xludf.DUMMYFUNCTION("""COMPUTED_VALUE"""),44114.0)</f>
        <v>44114</v>
      </c>
      <c r="F1134" s="129">
        <f>IFERROR(__xludf.DUMMYFUNCTION("""COMPUTED_VALUE"""),44189.0)</f>
        <v>44189</v>
      </c>
      <c r="G1134" s="154" t="str">
        <f>IFERROR(__xludf.DUMMYFUNCTION("""COMPUTED_VALUE"""),"Text message")</f>
        <v>Text message</v>
      </c>
      <c r="H1134" s="131">
        <f>IFERROR(__xludf.DUMMYFUNCTION("""COMPUTED_VALUE"""),872555.0)</f>
        <v>872555</v>
      </c>
      <c r="I1134" s="132"/>
      <c r="J1134" s="129">
        <f>IFERROR(__xludf.DUMMYFUNCTION("""COMPUTED_VALUE"""),44192.0)</f>
        <v>44192</v>
      </c>
      <c r="K1134" s="133">
        <f>IFERROR(__xludf.DUMMYFUNCTION("""COMPUTED_VALUE"""),75.0)</f>
        <v>75</v>
      </c>
      <c r="L1134" s="133">
        <f>IFERROR(__xludf.DUMMYFUNCTION("""COMPUTED_VALUE"""),3.0)</f>
        <v>3</v>
      </c>
      <c r="M1134" s="133">
        <f>IFERROR(__xludf.DUMMYFUNCTION("""COMPUTED_VALUE"""),78.0)</f>
        <v>78</v>
      </c>
      <c r="N1134" s="152" t="str">
        <f>IFERROR(__xludf.DUMMYFUNCTION("""COMPUTED_VALUE"""),"Model 3 SR+")</f>
        <v>Model 3 SR+</v>
      </c>
      <c r="O1134" s="152" t="str">
        <f>IFERROR(__xludf.DUMMYFUNCTION("""COMPUTED_VALUE"""),"Red Multi-Coat")</f>
        <v>Red Multi-Coat</v>
      </c>
      <c r="P1134" s="153" t="str">
        <f>IFERROR(__xludf.DUMMYFUNCTION("""COMPUTED_VALUE"""),"18 inch")</f>
        <v>18 inch</v>
      </c>
      <c r="Q1134" s="152" t="str">
        <f>IFERROR(__xludf.DUMMYFUNCTION("""COMPUTED_VALUE"""),"Black and White")</f>
        <v>Black and White</v>
      </c>
      <c r="R1134" s="150" t="str">
        <f>IFERROR(__xludf.DUMMYFUNCTION("""COMPUTED_VALUE"""),"Full Self-Driving")</f>
        <v>Full Self-Driving</v>
      </c>
      <c r="S1134" s="150" t="str">
        <f>IFERROR(__xludf.DUMMYFUNCTION("""COMPUTED_VALUE"""),"Loan")</f>
        <v>Loan</v>
      </c>
      <c r="T1134" s="145" t="str">
        <f>IFERROR(__xludf.DUMMYFUNCTION("""COMPUTED_VALUE"""),"Subaru WRX")</f>
        <v>Subaru WRX</v>
      </c>
      <c r="U1134" s="145" t="str">
        <f>IFERROR(__xludf.DUMMYFUNCTION("""COMPUTED_VALUE"""),"Autopilot")</f>
        <v>Autopilot</v>
      </c>
      <c r="V1134" s="145" t="str">
        <f>IFERROR(__xludf.DUMMYFUNCTION("""COMPUTED_VALUE"""),"Apple CarPlay / Android Auto / SiriusXM Radio")</f>
        <v>Apple CarPlay / Android Auto / SiriusXM Radio</v>
      </c>
      <c r="W1134" s="145" t="str">
        <f>IFERROR(__xludf.DUMMYFUNCTION("""COMPUTED_VALUE"""),"if you are in california dont order in the beginning of quarter")</f>
        <v>if you are in california dont order in the beginning of quarter</v>
      </c>
      <c r="X1134" s="137"/>
      <c r="Y1134" s="138"/>
      <c r="Z1134" s="138"/>
      <c r="AA1134" s="138"/>
      <c r="AB1134" s="138"/>
      <c r="AC1134" s="139"/>
      <c r="AD1134" s="139"/>
      <c r="AE1134" s="139"/>
      <c r="AF1134" s="140" t="str">
        <f>IFERROR(__xludf.DUMMYFUNCTION("""COMPUTED_VALUE"""),"Yes. I refused delivery twice and took delivery of the third car.")</f>
        <v>Yes. I refused delivery twice and took delivery of the third car.</v>
      </c>
      <c r="AG1134" s="145"/>
      <c r="AH1134" s="157">
        <f>IFERROR(__xludf.DUMMYFUNCTION("""COMPUTED_VALUE"""),44189.5517037963)</f>
        <v>44189.5517</v>
      </c>
      <c r="AI1134" s="138"/>
      <c r="AJ1134" s="138"/>
      <c r="AK1134" s="138"/>
      <c r="AL1134" s="142"/>
    </row>
    <row r="1135" ht="20.25" customHeight="1">
      <c r="A1135" s="155" t="str">
        <f>IFERROR(__xludf.DUMMYFUNCTION("""COMPUTED_VALUE"""),"RobAll")</f>
        <v>RobAll</v>
      </c>
      <c r="B1135" s="149" t="str">
        <f>IFERROR(__xludf.DUMMYFUNCTION("""COMPUTED_VALUE"""),"London ")</f>
        <v>London </v>
      </c>
      <c r="C1135" s="149" t="str">
        <f>IFERROR(__xludf.DUMMYFUNCTION("""COMPUTED_VALUE"""),"ON")</f>
        <v>ON</v>
      </c>
      <c r="D1135" s="149" t="str">
        <f>IFERROR(__xludf.DUMMYFUNCTION("""COMPUTED_VALUE"""),"Canada")</f>
        <v>Canada</v>
      </c>
      <c r="E1135" s="156">
        <f>IFERROR(__xludf.DUMMYFUNCTION("""COMPUTED_VALUE"""),44113.0)</f>
        <v>44113</v>
      </c>
      <c r="F1135" s="129">
        <f>IFERROR(__xludf.DUMMYFUNCTION("""COMPUTED_VALUE"""),44151.0)</f>
        <v>44151</v>
      </c>
      <c r="G1135" s="154"/>
      <c r="H1135" s="131">
        <f>IFERROR(__xludf.DUMMYFUNCTION("""COMPUTED_VALUE"""),840555.0)</f>
        <v>840555</v>
      </c>
      <c r="I1135" s="144" t="str">
        <f>IFERROR(__xludf.DUMMYFUNCTION("""COMPUTED_VALUE"""),"11/20")</f>
        <v>11/20</v>
      </c>
      <c r="J1135" s="129">
        <f>IFERROR(__xludf.DUMMYFUNCTION("""COMPUTED_VALUE"""),44158.0)</f>
        <v>44158</v>
      </c>
      <c r="K1135" s="133">
        <f>IFERROR(__xludf.DUMMYFUNCTION("""COMPUTED_VALUE"""),38.0)</f>
        <v>38</v>
      </c>
      <c r="L1135" s="133">
        <f>IFERROR(__xludf.DUMMYFUNCTION("""COMPUTED_VALUE"""),7.0)</f>
        <v>7</v>
      </c>
      <c r="M1135" s="133">
        <f>IFERROR(__xludf.DUMMYFUNCTION("""COMPUTED_VALUE"""),45.0)</f>
        <v>45</v>
      </c>
      <c r="N1135" s="152" t="str">
        <f>IFERROR(__xludf.DUMMYFUNCTION("""COMPUTED_VALUE"""),"Model 3 SR+")</f>
        <v>Model 3 SR+</v>
      </c>
      <c r="O1135" s="152" t="str">
        <f>IFERROR(__xludf.DUMMYFUNCTION("""COMPUTED_VALUE"""),"Pearl White Multi-Coat")</f>
        <v>Pearl White Multi-Coat</v>
      </c>
      <c r="P1135" s="153" t="str">
        <f>IFERROR(__xludf.DUMMYFUNCTION("""COMPUTED_VALUE"""),"18 inch Aero")</f>
        <v>18 inch Aero</v>
      </c>
      <c r="Q1135" s="152" t="str">
        <f>IFERROR(__xludf.DUMMYFUNCTION("""COMPUTED_VALUE"""),"Black seats")</f>
        <v>Black seats</v>
      </c>
      <c r="R1135" s="149" t="str">
        <f>IFERROR(__xludf.DUMMYFUNCTION("""COMPUTED_VALUE"""),"Autopilot")</f>
        <v>Autopilot</v>
      </c>
      <c r="S1135" s="149"/>
      <c r="T1135" s="145"/>
      <c r="U1135" s="145"/>
      <c r="V1135" s="145"/>
      <c r="W1135" s="145"/>
      <c r="X1135" s="137" t="str">
        <f>IFERROR(__xludf.DUMMYFUNCTION("""COMPUTED_VALUE"""),"Excellent")</f>
        <v>Excellent</v>
      </c>
      <c r="Y1135" s="138" t="str">
        <f>IFERROR(__xludf.DUMMYFUNCTION("""COMPUTED_VALUE"""),"Excellent")</f>
        <v>Excellent</v>
      </c>
      <c r="Z1135" s="138" t="str">
        <f>IFERROR(__xludf.DUMMYFUNCTION("""COMPUTED_VALUE"""),"Excellent")</f>
        <v>Excellent</v>
      </c>
      <c r="AA1135" s="138" t="str">
        <f>IFERROR(__xludf.DUMMYFUNCTION("""COMPUTED_VALUE"""),"Very Good")</f>
        <v>Very Good</v>
      </c>
      <c r="AB1135" s="138" t="str">
        <f>IFERROR(__xludf.DUMMYFUNCTION("""COMPUTED_VALUE"""),"Excellent")</f>
        <v>Excellent</v>
      </c>
      <c r="AC1135" s="139">
        <f>IFERROR(__xludf.DUMMYFUNCTION("""COMPUTED_VALUE"""),0.0)</f>
        <v>0</v>
      </c>
      <c r="AD1135" s="139"/>
      <c r="AE1135" s="139"/>
      <c r="AF1135" s="140"/>
      <c r="AG1135" s="145" t="str">
        <f>IFERROR(__xludf.DUMMYFUNCTION("""COMPUTED_VALUE"""),"estimated delivery date Nov 13 - Dec 11")</f>
        <v>estimated delivery date Nov 13 - Dec 11</v>
      </c>
      <c r="AH1135" s="157">
        <f>IFERROR(__xludf.DUMMYFUNCTION("""COMPUTED_VALUE"""),44161.68758019676)</f>
        <v>44161.68758</v>
      </c>
      <c r="AI1135" s="138"/>
      <c r="AJ1135" s="138"/>
      <c r="AK1135" s="138"/>
      <c r="AL1135" s="142"/>
    </row>
    <row r="1136" ht="20.25" customHeight="1">
      <c r="A1136" s="155" t="str">
        <f>IFERROR(__xludf.DUMMYFUNCTION("""COMPUTED_VALUE"""),"asheft")</f>
        <v>asheft</v>
      </c>
      <c r="B1136" s="150" t="str">
        <f>IFERROR(__xludf.DUMMYFUNCTION("""COMPUTED_VALUE"""),"Ottawa")</f>
        <v>Ottawa</v>
      </c>
      <c r="C1136" s="149" t="str">
        <f>IFERROR(__xludf.DUMMYFUNCTION("""COMPUTED_VALUE"""),"ON")</f>
        <v>ON</v>
      </c>
      <c r="D1136" s="149" t="str">
        <f>IFERROR(__xludf.DUMMYFUNCTION("""COMPUTED_VALUE"""),"Canada")</f>
        <v>Canada</v>
      </c>
      <c r="E1136" s="156">
        <f>IFERROR(__xludf.DUMMYFUNCTION("""COMPUTED_VALUE"""),44107.0)</f>
        <v>44107</v>
      </c>
      <c r="F1136" s="129">
        <f>IFERROR(__xludf.DUMMYFUNCTION("""COMPUTED_VALUE"""),44141.0)</f>
        <v>44141</v>
      </c>
      <c r="G1136" s="154" t="str">
        <f>IFERROR(__xludf.DUMMYFUNCTION("""COMPUTED_VALUE"""),"Email")</f>
        <v>Email</v>
      </c>
      <c r="H1136" s="131">
        <f>IFERROR(__xludf.DUMMYFUNCTION("""COMPUTED_VALUE"""),837055.0)</f>
        <v>837055</v>
      </c>
      <c r="I1136" s="144"/>
      <c r="J1136" s="129">
        <f>IFERROR(__xludf.DUMMYFUNCTION("""COMPUTED_VALUE"""),44155.0)</f>
        <v>44155</v>
      </c>
      <c r="K1136" s="133">
        <f>IFERROR(__xludf.DUMMYFUNCTION("""COMPUTED_VALUE"""),34.0)</f>
        <v>34</v>
      </c>
      <c r="L1136" s="133">
        <f>IFERROR(__xludf.DUMMYFUNCTION("""COMPUTED_VALUE"""),14.0)</f>
        <v>14</v>
      </c>
      <c r="M1136" s="133">
        <f>IFERROR(__xludf.DUMMYFUNCTION("""COMPUTED_VALUE"""),48.0)</f>
        <v>48</v>
      </c>
      <c r="N1136" s="152" t="str">
        <f>IFERROR(__xludf.DUMMYFUNCTION("""COMPUTED_VALUE"""),"Model 3 SR+")</f>
        <v>Model 3 SR+</v>
      </c>
      <c r="O1136" s="152" t="str">
        <f>IFERROR(__xludf.DUMMYFUNCTION("""COMPUTED_VALUE"""),"Deep Blue Metallic")</f>
        <v>Deep Blue Metallic</v>
      </c>
      <c r="P1136" s="153" t="str">
        <f>IFERROR(__xludf.DUMMYFUNCTION("""COMPUTED_VALUE"""),"18 inch")</f>
        <v>18 inch</v>
      </c>
      <c r="Q1136" s="152" t="str">
        <f>IFERROR(__xludf.DUMMYFUNCTION("""COMPUTED_VALUE"""),"All Black")</f>
        <v>All Black</v>
      </c>
      <c r="R1136" s="149" t="str">
        <f>IFERROR(__xludf.DUMMYFUNCTION("""COMPUTED_VALUE"""),"Autopilot included")</f>
        <v>Autopilot included</v>
      </c>
      <c r="S1136" s="149" t="str">
        <f>IFERROR(__xludf.DUMMYFUNCTION("""COMPUTED_VALUE"""),"Loan")</f>
        <v>Loan</v>
      </c>
      <c r="T1136" s="145" t="str">
        <f>IFERROR(__xludf.DUMMYFUNCTION("""COMPUTED_VALUE"""),"Subaru Outback")</f>
        <v>Subaru Outback</v>
      </c>
      <c r="U1136" s="145" t="str">
        <f>IFERROR(__xludf.DUMMYFUNCTION("""COMPUTED_VALUE"""),"Technology")</f>
        <v>Technology</v>
      </c>
      <c r="V1136" s="136" t="str">
        <f>IFERROR(__xludf.DUMMYFUNCTION("""COMPUTED_VALUE"""),"Heated steering wheel")</f>
        <v>Heated steering wheel</v>
      </c>
      <c r="W1136" s="136"/>
      <c r="X1136" s="137" t="str">
        <f>IFERROR(__xludf.DUMMYFUNCTION("""COMPUTED_VALUE"""),"Excellent")</f>
        <v>Excellent</v>
      </c>
      <c r="Y1136" s="138" t="str">
        <f>IFERROR(__xludf.DUMMYFUNCTION("""COMPUTED_VALUE"""),"Very Good")</f>
        <v>Very Good</v>
      </c>
      <c r="Z1136" s="138" t="str">
        <f>IFERROR(__xludf.DUMMYFUNCTION("""COMPUTED_VALUE"""),"Very Good")</f>
        <v>Very Good</v>
      </c>
      <c r="AA1136" s="138" t="str">
        <f>IFERROR(__xludf.DUMMYFUNCTION("""COMPUTED_VALUE"""),"Good")</f>
        <v>Good</v>
      </c>
      <c r="AB1136" s="138" t="str">
        <f>IFERROR(__xludf.DUMMYFUNCTION("""COMPUTED_VALUE"""),"Very Good")</f>
        <v>Very Good</v>
      </c>
      <c r="AC1136" s="139"/>
      <c r="AD1136" s="139"/>
      <c r="AE1136" s="139"/>
      <c r="AF1136" s="140" t="str">
        <f>IFERROR(__xludf.DUMMYFUNCTION("""COMPUTED_VALUE"""),"No. I took delivery of the first car Tesla was able to deliver.")</f>
        <v>No. I took delivery of the first car Tesla was able to deliver.</v>
      </c>
      <c r="AG1136" s="136" t="str">
        <f>IFERROR(__xludf.DUMMYFUNCTION("""COMPUTED_VALUE"""),"I like cheese.")</f>
        <v>I like cheese.</v>
      </c>
      <c r="AH1136" s="157">
        <f>IFERROR(__xludf.DUMMYFUNCTION("""COMPUTED_VALUE"""),44169.49504991898)</f>
        <v>44169.49505</v>
      </c>
      <c r="AI1136" s="138"/>
      <c r="AJ1136" s="138"/>
      <c r="AK1136" s="138"/>
      <c r="AL1136" s="142"/>
    </row>
    <row r="1137" ht="20.25" customHeight="1">
      <c r="A1137" s="155" t="str">
        <f>IFERROR(__xludf.DUMMYFUNCTION("""COMPUTED_VALUE"""),"inspace2020")</f>
        <v>inspace2020</v>
      </c>
      <c r="B1137" s="149" t="str">
        <f>IFERROR(__xludf.DUMMYFUNCTION("""COMPUTED_VALUE"""),"Los Angeles")</f>
        <v>Los Angeles</v>
      </c>
      <c r="C1137" s="149" t="str">
        <f>IFERROR(__xludf.DUMMYFUNCTION("""COMPUTED_VALUE"""),"CA")</f>
        <v>CA</v>
      </c>
      <c r="D1137" s="149" t="str">
        <f>IFERROR(__xludf.DUMMYFUNCTION("""COMPUTED_VALUE"""),"USA")</f>
        <v>USA</v>
      </c>
      <c r="E1137" s="156">
        <f>IFERROR(__xludf.DUMMYFUNCTION("""COMPUTED_VALUE"""),44107.0)</f>
        <v>44107</v>
      </c>
      <c r="F1137" s="129">
        <f>IFERROR(__xludf.DUMMYFUNCTION("""COMPUTED_VALUE"""),44186.0)</f>
        <v>44186</v>
      </c>
      <c r="G1137" s="154" t="str">
        <f>IFERROR(__xludf.DUMMYFUNCTION("""COMPUTED_VALUE"""),"Manage order page (normal text)")</f>
        <v>Manage order page (normal text)</v>
      </c>
      <c r="H1137" s="131">
        <f>IFERROR(__xludf.DUMMYFUNCTION("""COMPUTED_VALUE"""),868755.0)</f>
        <v>868755</v>
      </c>
      <c r="I1137" s="144" t="str">
        <f>IFERROR(__xludf.DUMMYFUNCTION("""COMPUTED_VALUE"""),"12/20")</f>
        <v>12/20</v>
      </c>
      <c r="J1137" s="129">
        <f>IFERROR(__xludf.DUMMYFUNCTION("""COMPUTED_VALUE"""),44192.0)</f>
        <v>44192</v>
      </c>
      <c r="K1137" s="133">
        <f>IFERROR(__xludf.DUMMYFUNCTION("""COMPUTED_VALUE"""),79.0)</f>
        <v>79</v>
      </c>
      <c r="L1137" s="133">
        <f>IFERROR(__xludf.DUMMYFUNCTION("""COMPUTED_VALUE"""),6.0)</f>
        <v>6</v>
      </c>
      <c r="M1137" s="133">
        <f>IFERROR(__xludf.DUMMYFUNCTION("""COMPUTED_VALUE"""),85.0)</f>
        <v>85</v>
      </c>
      <c r="N1137" s="152" t="str">
        <f>IFERROR(__xludf.DUMMYFUNCTION("""COMPUTED_VALUE"""),"Model 3 LR AWD")</f>
        <v>Model 3 LR AWD</v>
      </c>
      <c r="O1137" s="152" t="str">
        <f>IFERROR(__xludf.DUMMYFUNCTION("""COMPUTED_VALUE"""),"Solid Black")</f>
        <v>Solid Black</v>
      </c>
      <c r="P1137" s="153" t="str">
        <f>IFERROR(__xludf.DUMMYFUNCTION("""COMPUTED_VALUE"""),"19 inch")</f>
        <v>19 inch</v>
      </c>
      <c r="Q1137" s="152" t="str">
        <f>IFERROR(__xludf.DUMMYFUNCTION("""COMPUTED_VALUE"""),"Black and White")</f>
        <v>Black and White</v>
      </c>
      <c r="R1137" s="149" t="str">
        <f>IFERROR(__xludf.DUMMYFUNCTION("""COMPUTED_VALUE"""),"Autopilot included")</f>
        <v>Autopilot included</v>
      </c>
      <c r="S1137" s="149" t="str">
        <f>IFERROR(__xludf.DUMMYFUNCTION("""COMPUTED_VALUE"""),"Loan")</f>
        <v>Loan</v>
      </c>
      <c r="T1137" s="145"/>
      <c r="U1137" s="145" t="str">
        <f>IFERROR(__xludf.DUMMYFUNCTION("""COMPUTED_VALUE"""),"Electric!")</f>
        <v>Electric!</v>
      </c>
      <c r="V1137" s="145" t="str">
        <f>IFERROR(__xludf.DUMMYFUNCTION("""COMPUTED_VALUE"""),"Apple CarPlay / Android Auto / SiriusXM Radio")</f>
        <v>Apple CarPlay / Android Auto / SiriusXM Radio</v>
      </c>
      <c r="W1137" s="145"/>
      <c r="X1137" s="137" t="str">
        <f>IFERROR(__xludf.DUMMYFUNCTION("""COMPUTED_VALUE"""),"Excellent")</f>
        <v>Excellent</v>
      </c>
      <c r="Y1137" s="138" t="str">
        <f>IFERROR(__xludf.DUMMYFUNCTION("""COMPUTED_VALUE"""),"Excellent")</f>
        <v>Excellent</v>
      </c>
      <c r="Z1137" s="138" t="str">
        <f>IFERROR(__xludf.DUMMYFUNCTION("""COMPUTED_VALUE"""),"Good")</f>
        <v>Good</v>
      </c>
      <c r="AA1137" s="138" t="str">
        <f>IFERROR(__xludf.DUMMYFUNCTION("""COMPUTED_VALUE"""),"Poor")</f>
        <v>Poor</v>
      </c>
      <c r="AB1137" s="138" t="str">
        <f>IFERROR(__xludf.DUMMYFUNCTION("""COMPUTED_VALUE"""),"Good")</f>
        <v>Good</v>
      </c>
      <c r="AC1137" s="139"/>
      <c r="AD1137" s="139"/>
      <c r="AE1137" s="139"/>
      <c r="AF1137" s="140" t="str">
        <f>IFERROR(__xludf.DUMMYFUNCTION("""COMPUTED_VALUE"""),"No. I took delivery of the first car Tesla was able to deliver.")</f>
        <v>No. I took delivery of the first car Tesla was able to deliver.</v>
      </c>
      <c r="AG1137" s="145" t="str">
        <f>IFERROR(__xludf.DUMMYFUNCTION("""COMPUTED_VALUE"""),"Est Delivery: November 29 - December 05")</f>
        <v>Est Delivery: November 29 - December 05</v>
      </c>
      <c r="AH1137" s="157">
        <f>IFERROR(__xludf.DUMMYFUNCTION("""COMPUTED_VALUE"""),44193.404768726854)</f>
        <v>44193.40477</v>
      </c>
      <c r="AI1137" s="138"/>
      <c r="AJ1137" s="138"/>
      <c r="AK1137" s="138"/>
      <c r="AL1137" s="142"/>
    </row>
    <row r="1138" ht="20.25" customHeight="1">
      <c r="A1138" s="155" t="str">
        <f>IFERROR(__xludf.DUMMYFUNCTION("""COMPUTED_VALUE"""),"Shifted")</f>
        <v>Shifted</v>
      </c>
      <c r="B1138" s="149" t="str">
        <f>IFERROR(__xludf.DUMMYFUNCTION("""COMPUTED_VALUE"""),"Orange County")</f>
        <v>Orange County</v>
      </c>
      <c r="C1138" s="149" t="str">
        <f>IFERROR(__xludf.DUMMYFUNCTION("""COMPUTED_VALUE"""),"CA")</f>
        <v>CA</v>
      </c>
      <c r="D1138" s="149" t="str">
        <f>IFERROR(__xludf.DUMMYFUNCTION("""COMPUTED_VALUE"""),"USA")</f>
        <v>USA</v>
      </c>
      <c r="E1138" s="156">
        <f>IFERROR(__xludf.DUMMYFUNCTION("""COMPUTED_VALUE"""),44107.0)</f>
        <v>44107</v>
      </c>
      <c r="F1138" s="129">
        <f>IFERROR(__xludf.DUMMYFUNCTION("""COMPUTED_VALUE"""),44188.0)</f>
        <v>44188</v>
      </c>
      <c r="G1138" s="154" t="str">
        <f>IFERROR(__xludf.DUMMYFUNCTION("""COMPUTED_VALUE"""),"Phone call")</f>
        <v>Phone call</v>
      </c>
      <c r="H1138" s="131">
        <f>IFERROR(__xludf.DUMMYFUNCTION("""COMPUTED_VALUE"""),870855.0)</f>
        <v>870855</v>
      </c>
      <c r="I1138" s="144" t="str">
        <f>IFERROR(__xludf.DUMMYFUNCTION("""COMPUTED_VALUE"""),"12/20")</f>
        <v>12/20</v>
      </c>
      <c r="J1138" s="129">
        <f>IFERROR(__xludf.DUMMYFUNCTION("""COMPUTED_VALUE"""),44189.0)</f>
        <v>44189</v>
      </c>
      <c r="K1138" s="133">
        <f>IFERROR(__xludf.DUMMYFUNCTION("""COMPUTED_VALUE"""),81.0)</f>
        <v>81</v>
      </c>
      <c r="L1138" s="133">
        <f>IFERROR(__xludf.DUMMYFUNCTION("""COMPUTED_VALUE"""),1.0)</f>
        <v>1</v>
      </c>
      <c r="M1138" s="133">
        <f>IFERROR(__xludf.DUMMYFUNCTION("""COMPUTED_VALUE"""),82.0)</f>
        <v>82</v>
      </c>
      <c r="N1138" s="152" t="str">
        <f>IFERROR(__xludf.DUMMYFUNCTION("""COMPUTED_VALUE"""),"Model 3 SR+")</f>
        <v>Model 3 SR+</v>
      </c>
      <c r="O1138" s="152" t="str">
        <f>IFERROR(__xludf.DUMMYFUNCTION("""COMPUTED_VALUE"""),"Deep Blue Metallic")</f>
        <v>Deep Blue Metallic</v>
      </c>
      <c r="P1138" s="153" t="str">
        <f>IFERROR(__xludf.DUMMYFUNCTION("""COMPUTED_VALUE"""),"18 inch")</f>
        <v>18 inch</v>
      </c>
      <c r="Q1138" s="152" t="str">
        <f>IFERROR(__xludf.DUMMYFUNCTION("""COMPUTED_VALUE"""),"All Black")</f>
        <v>All Black</v>
      </c>
      <c r="R1138" s="149" t="str">
        <f>IFERROR(__xludf.DUMMYFUNCTION("""COMPUTED_VALUE"""),"Autopilot included")</f>
        <v>Autopilot included</v>
      </c>
      <c r="S1138" s="149" t="str">
        <f>IFERROR(__xludf.DUMMYFUNCTION("""COMPUTED_VALUE"""),"Loan")</f>
        <v>Loan</v>
      </c>
      <c r="T1138" s="145" t="str">
        <f>IFERROR(__xludf.DUMMYFUNCTION("""COMPUTED_VALUE"""),"Hyundai Ioniq EV")</f>
        <v>Hyundai Ioniq EV</v>
      </c>
      <c r="U1138" s="145" t="str">
        <f>IFERROR(__xludf.DUMMYFUNCTION("""COMPUTED_VALUE"""),"Electric!")</f>
        <v>Electric!</v>
      </c>
      <c r="V1138" s="145" t="str">
        <f>IFERROR(__xludf.DUMMYFUNCTION("""COMPUTED_VALUE"""),"Apple CarPlay / Android Auto / SiriusXM Radio")</f>
        <v>Apple CarPlay / Android Auto / SiriusXM Radio</v>
      </c>
      <c r="W1138" s="136"/>
      <c r="X1138" s="137" t="str">
        <f>IFERROR(__xludf.DUMMYFUNCTION("""COMPUTED_VALUE"""),"Very Good")</f>
        <v>Very Good</v>
      </c>
      <c r="Y1138" s="138" t="str">
        <f>IFERROR(__xludf.DUMMYFUNCTION("""COMPUTED_VALUE"""),"Excellent")</f>
        <v>Excellent</v>
      </c>
      <c r="Z1138" s="138" t="str">
        <f>IFERROR(__xludf.DUMMYFUNCTION("""COMPUTED_VALUE"""),"Very Good")</f>
        <v>Very Good</v>
      </c>
      <c r="AA1138" s="138" t="str">
        <f>IFERROR(__xludf.DUMMYFUNCTION("""COMPUTED_VALUE"""),"Good")</f>
        <v>Good</v>
      </c>
      <c r="AB1138" s="138" t="str">
        <f>IFERROR(__xludf.DUMMYFUNCTION("""COMPUTED_VALUE"""),"Good")</f>
        <v>Good</v>
      </c>
      <c r="AC1138" s="139">
        <f>IFERROR(__xludf.DUMMYFUNCTION("""COMPUTED_VALUE"""),3.0)</f>
        <v>3</v>
      </c>
      <c r="AD1138" s="139">
        <f>IFERROR(__xludf.DUMMYFUNCTION("""COMPUTED_VALUE"""),1.0)</f>
        <v>1</v>
      </c>
      <c r="AE1138" s="139">
        <f>IFERROR(__xludf.DUMMYFUNCTION("""COMPUTED_VALUE"""),0.0)</f>
        <v>0</v>
      </c>
      <c r="AF1138" s="140" t="str">
        <f>IFERROR(__xludf.DUMMYFUNCTION("""COMPUTED_VALUE"""),"No. I took delivery of the first car Tesla was able to deliver.")</f>
        <v>No. I took delivery of the first car Tesla was able to deliver.</v>
      </c>
      <c r="AG1138" s="136"/>
      <c r="AH1138" s="157">
        <f>IFERROR(__xludf.DUMMYFUNCTION("""COMPUTED_VALUE"""),44189.9461184375)</f>
        <v>44189.94612</v>
      </c>
      <c r="AI1138" s="138"/>
      <c r="AJ1138" s="138"/>
      <c r="AK1138" s="138"/>
      <c r="AL1138" s="142"/>
    </row>
    <row r="1139" ht="20.25" customHeight="1">
      <c r="A1139" s="155" t="str">
        <f>IFERROR(__xludf.DUMMYFUNCTION("""COMPUTED_VALUE"""),"WillyThePooh")</f>
        <v>WillyThePooh</v>
      </c>
      <c r="B1139" s="149" t="str">
        <f>IFERROR(__xludf.DUMMYFUNCTION("""COMPUTED_VALUE"""),"Toronto")</f>
        <v>Toronto</v>
      </c>
      <c r="C1139" s="149" t="str">
        <f>IFERROR(__xludf.DUMMYFUNCTION("""COMPUTED_VALUE"""),"ON")</f>
        <v>ON</v>
      </c>
      <c r="D1139" s="149" t="str">
        <f>IFERROR(__xludf.DUMMYFUNCTION("""COMPUTED_VALUE"""),"Canada")</f>
        <v>Canada</v>
      </c>
      <c r="E1139" s="156">
        <f>IFERROR(__xludf.DUMMYFUNCTION("""COMPUTED_VALUE"""),44105.0)</f>
        <v>44105</v>
      </c>
      <c r="F1139" s="129">
        <f>IFERROR(__xludf.DUMMYFUNCTION("""COMPUTED_VALUE"""),44141.0)</f>
        <v>44141</v>
      </c>
      <c r="G1139" s="154"/>
      <c r="H1139" s="131">
        <f>IFERROR(__xludf.DUMMYFUNCTION("""COMPUTED_VALUE"""),837055.0)</f>
        <v>837055</v>
      </c>
      <c r="I1139" s="144" t="str">
        <f>IFERROR(__xludf.DUMMYFUNCTION("""COMPUTED_VALUE"""),"11/20")</f>
        <v>11/20</v>
      </c>
      <c r="J1139" s="129">
        <f>IFERROR(__xludf.DUMMYFUNCTION("""COMPUTED_VALUE"""),44156.0)</f>
        <v>44156</v>
      </c>
      <c r="K1139" s="133">
        <f>IFERROR(__xludf.DUMMYFUNCTION("""COMPUTED_VALUE"""),36.0)</f>
        <v>36</v>
      </c>
      <c r="L1139" s="133">
        <f>IFERROR(__xludf.DUMMYFUNCTION("""COMPUTED_VALUE"""),15.0)</f>
        <v>15</v>
      </c>
      <c r="M1139" s="133">
        <f>IFERROR(__xludf.DUMMYFUNCTION("""COMPUTED_VALUE"""),51.0)</f>
        <v>51</v>
      </c>
      <c r="N1139" s="152" t="str">
        <f>IFERROR(__xludf.DUMMYFUNCTION("""COMPUTED_VALUE"""),"Model 3 SR+")</f>
        <v>Model 3 SR+</v>
      </c>
      <c r="O1139" s="152" t="str">
        <f>IFERROR(__xludf.DUMMYFUNCTION("""COMPUTED_VALUE"""),"Deep Blue Metallic")</f>
        <v>Deep Blue Metallic</v>
      </c>
      <c r="P1139" s="153" t="str">
        <f>IFERROR(__xludf.DUMMYFUNCTION("""COMPUTED_VALUE"""),"18 inch Aero")</f>
        <v>18 inch Aero</v>
      </c>
      <c r="Q1139" s="152" t="str">
        <f>IFERROR(__xludf.DUMMYFUNCTION("""COMPUTED_VALUE"""),"Black seats")</f>
        <v>Black seats</v>
      </c>
      <c r="R1139" s="149" t="str">
        <f>IFERROR(__xludf.DUMMYFUNCTION("""COMPUTED_VALUE"""),"Autopilot")</f>
        <v>Autopilot</v>
      </c>
      <c r="S1139" s="149"/>
      <c r="T1139" s="145"/>
      <c r="U1139" s="145"/>
      <c r="V1139" s="145"/>
      <c r="W1139" s="136"/>
      <c r="X1139" s="137" t="str">
        <f>IFERROR(__xludf.DUMMYFUNCTION("""COMPUTED_VALUE"""),"Excellent")</f>
        <v>Excellent</v>
      </c>
      <c r="Y1139" s="138" t="str">
        <f>IFERROR(__xludf.DUMMYFUNCTION("""COMPUTED_VALUE"""),"Excellent")</f>
        <v>Excellent</v>
      </c>
      <c r="Z1139" s="138" t="str">
        <f>IFERROR(__xludf.DUMMYFUNCTION("""COMPUTED_VALUE"""),"Excellent")</f>
        <v>Excellent</v>
      </c>
      <c r="AA1139" s="138" t="str">
        <f>IFERROR(__xludf.DUMMYFUNCTION("""COMPUTED_VALUE"""),"Fair")</f>
        <v>Fair</v>
      </c>
      <c r="AB1139" s="138" t="str">
        <f>IFERROR(__xludf.DUMMYFUNCTION("""COMPUTED_VALUE"""),"Very Good")</f>
        <v>Very Good</v>
      </c>
      <c r="AC1139" s="139">
        <f>IFERROR(__xludf.DUMMYFUNCTION("""COMPUTED_VALUE"""),0.0)</f>
        <v>0</v>
      </c>
      <c r="AD1139" s="139">
        <f>IFERROR(__xludf.DUMMYFUNCTION("""COMPUTED_VALUE"""),0.0)</f>
        <v>0</v>
      </c>
      <c r="AE1139" s="139">
        <f>IFERROR(__xludf.DUMMYFUNCTION("""COMPUTED_VALUE"""),0.0)</f>
        <v>0</v>
      </c>
      <c r="AF1139" s="140"/>
      <c r="AG1139" s="136"/>
      <c r="AH1139" s="157">
        <f>IFERROR(__xludf.DUMMYFUNCTION("""COMPUTED_VALUE"""),44162.62504085648)</f>
        <v>44162.62504</v>
      </c>
      <c r="AI1139" s="138"/>
      <c r="AJ1139" s="138"/>
      <c r="AK1139" s="138"/>
      <c r="AL1139" s="142"/>
    </row>
    <row r="1140" ht="20.25" customHeight="1">
      <c r="A1140" s="155" t="str">
        <f>IFERROR(__xludf.DUMMYFUNCTION("""COMPUTED_VALUE"""),"jeallen1")</f>
        <v>jeallen1</v>
      </c>
      <c r="B1140" s="150" t="str">
        <f>IFERROR(__xludf.DUMMYFUNCTION("""COMPUTED_VALUE"""),"Cherry Hill")</f>
        <v>Cherry Hill</v>
      </c>
      <c r="C1140" s="149" t="str">
        <f>IFERROR(__xludf.DUMMYFUNCTION("""COMPUTED_VALUE"""),"NJ")</f>
        <v>NJ</v>
      </c>
      <c r="D1140" s="149" t="str">
        <f>IFERROR(__xludf.DUMMYFUNCTION("""COMPUTED_VALUE"""),"USA")</f>
        <v>USA</v>
      </c>
      <c r="E1140" s="156">
        <f>IFERROR(__xludf.DUMMYFUNCTION("""COMPUTED_VALUE"""),44102.0)</f>
        <v>44102</v>
      </c>
      <c r="F1140" s="129">
        <f>IFERROR(__xludf.DUMMYFUNCTION("""COMPUTED_VALUE"""),44159.0)</f>
        <v>44159</v>
      </c>
      <c r="G1140" s="154" t="str">
        <f>IFERROR(__xludf.DUMMYFUNCTION("""COMPUTED_VALUE"""),"Manage order page (normal text)")</f>
        <v>Manage order page (normal text)</v>
      </c>
      <c r="H1140" s="131">
        <f>IFERROR(__xludf.DUMMYFUNCTION("""COMPUTED_VALUE"""),836755.0)</f>
        <v>836755</v>
      </c>
      <c r="I1140" s="132" t="str">
        <f>IFERROR(__xludf.DUMMYFUNCTION("""COMPUTED_VALUE"""),"11/20")</f>
        <v>11/20</v>
      </c>
      <c r="J1140" s="129">
        <f>IFERROR(__xludf.DUMMYFUNCTION("""COMPUTED_VALUE"""),44170.0)</f>
        <v>44170</v>
      </c>
      <c r="K1140" s="133">
        <f>IFERROR(__xludf.DUMMYFUNCTION("""COMPUTED_VALUE"""),57.0)</f>
        <v>57</v>
      </c>
      <c r="L1140" s="133">
        <f>IFERROR(__xludf.DUMMYFUNCTION("""COMPUTED_VALUE"""),11.0)</f>
        <v>11</v>
      </c>
      <c r="M1140" s="133">
        <f>IFERROR(__xludf.DUMMYFUNCTION("""COMPUTED_VALUE"""),68.0)</f>
        <v>68</v>
      </c>
      <c r="N1140" s="152" t="str">
        <f>IFERROR(__xludf.DUMMYFUNCTION("""COMPUTED_VALUE"""),"Model 3 LR AWD")</f>
        <v>Model 3 LR AWD</v>
      </c>
      <c r="O1140" s="152" t="str">
        <f>IFERROR(__xludf.DUMMYFUNCTION("""COMPUTED_VALUE"""),"Midnight Silver Metallic")</f>
        <v>Midnight Silver Metallic</v>
      </c>
      <c r="P1140" s="153" t="str">
        <f>IFERROR(__xludf.DUMMYFUNCTION("""COMPUTED_VALUE"""),"18 inch")</f>
        <v>18 inch</v>
      </c>
      <c r="Q1140" s="152" t="str">
        <f>IFERROR(__xludf.DUMMYFUNCTION("""COMPUTED_VALUE"""),"All Black")</f>
        <v>All Black</v>
      </c>
      <c r="R1140" s="150" t="str">
        <f>IFERROR(__xludf.DUMMYFUNCTION("""COMPUTED_VALUE"""),"Full Self-Driving")</f>
        <v>Full Self-Driving</v>
      </c>
      <c r="S1140" s="150" t="str">
        <f>IFERROR(__xludf.DUMMYFUNCTION("""COMPUTED_VALUE"""),"Cash")</f>
        <v>Cash</v>
      </c>
      <c r="T1140" s="136" t="str">
        <f>IFERROR(__xludf.DUMMYFUNCTION("""COMPUTED_VALUE"""),"Ford Fusion Energi")</f>
        <v>Ford Fusion Energi</v>
      </c>
      <c r="U1140" s="136" t="str">
        <f>IFERROR(__xludf.DUMMYFUNCTION("""COMPUTED_VALUE"""),"Electric!")</f>
        <v>Electric!</v>
      </c>
      <c r="V1140" s="136" t="str">
        <f>IFERROR(__xludf.DUMMYFUNCTION("""COMPUTED_VALUE"""),"Apple CarPlay / Android Auto / SiriusXM Radio")</f>
        <v>Apple CarPlay / Android Auto / SiriusXM Radio</v>
      </c>
      <c r="W1140" s="136"/>
      <c r="X1140" s="137" t="str">
        <f>IFERROR(__xludf.DUMMYFUNCTION("""COMPUTED_VALUE"""),"Good")</f>
        <v>Good</v>
      </c>
      <c r="Y1140" s="138" t="str">
        <f>IFERROR(__xludf.DUMMYFUNCTION("""COMPUTED_VALUE"""),"Excellent")</f>
        <v>Excellent</v>
      </c>
      <c r="Z1140" s="138" t="str">
        <f>IFERROR(__xludf.DUMMYFUNCTION("""COMPUTED_VALUE"""),"Very Good")</f>
        <v>Very Good</v>
      </c>
      <c r="AA1140" s="138" t="str">
        <f>IFERROR(__xludf.DUMMYFUNCTION("""COMPUTED_VALUE"""),"Excellent")</f>
        <v>Excellent</v>
      </c>
      <c r="AB1140" s="138" t="str">
        <f>IFERROR(__xludf.DUMMYFUNCTION("""COMPUTED_VALUE"""),"Excellent")</f>
        <v>Excellent</v>
      </c>
      <c r="AC1140" s="139">
        <f>IFERROR(__xludf.DUMMYFUNCTION("""COMPUTED_VALUE"""),3.0)</f>
        <v>3</v>
      </c>
      <c r="AD1140" s="139">
        <f>IFERROR(__xludf.DUMMYFUNCTION("""COMPUTED_VALUE"""),1.0)</f>
        <v>1</v>
      </c>
      <c r="AE1140" s="139">
        <f>IFERROR(__xludf.DUMMYFUNCTION("""COMPUTED_VALUE"""),0.0)</f>
        <v>0</v>
      </c>
      <c r="AF1140" s="140" t="str">
        <f>IFERROR(__xludf.DUMMYFUNCTION("""COMPUTED_VALUE"""),"No. I took delivery of the first car Tesla was able to deliver.")</f>
        <v>No. I took delivery of the first car Tesla was able to deliver.</v>
      </c>
      <c r="AG1140" s="136"/>
      <c r="AH1140" s="157">
        <f>IFERROR(__xludf.DUMMYFUNCTION("""COMPUTED_VALUE"""),44209.24619902778)</f>
        <v>44209.2462</v>
      </c>
      <c r="AI1140" s="138"/>
      <c r="AJ1140" s="138"/>
      <c r="AK1140" s="138"/>
      <c r="AL1140" s="142"/>
    </row>
    <row r="1141" ht="20.25" customHeight="1">
      <c r="A1141" s="155" t="str">
        <f>IFERROR(__xludf.DUMMYFUNCTION("""COMPUTED_VALUE"""),"kxts")</f>
        <v>kxts</v>
      </c>
      <c r="B1141" s="149" t="str">
        <f>IFERROR(__xludf.DUMMYFUNCTION("""COMPUTED_VALUE"""),"Portland")</f>
        <v>Portland</v>
      </c>
      <c r="C1141" s="149" t="str">
        <f>IFERROR(__xludf.DUMMYFUNCTION("""COMPUTED_VALUE"""),"OR")</f>
        <v>OR</v>
      </c>
      <c r="D1141" s="149" t="str">
        <f>IFERROR(__xludf.DUMMYFUNCTION("""COMPUTED_VALUE"""),"USA")</f>
        <v>USA</v>
      </c>
      <c r="E1141" s="156">
        <f>IFERROR(__xludf.DUMMYFUNCTION("""COMPUTED_VALUE"""),44102.0)</f>
        <v>44102</v>
      </c>
      <c r="F1141" s="129">
        <f>IFERROR(__xludf.DUMMYFUNCTION("""COMPUTED_VALUE"""),44159.0)</f>
        <v>44159</v>
      </c>
      <c r="G1141" s="154"/>
      <c r="H1141" s="131">
        <f>IFERROR(__xludf.DUMMYFUNCTION("""COMPUTED_VALUE"""),836855.0)</f>
        <v>836855</v>
      </c>
      <c r="I1141" s="144" t="str">
        <f>IFERROR(__xludf.DUMMYFUNCTION("""COMPUTED_VALUE"""),"11/20")</f>
        <v>11/20</v>
      </c>
      <c r="J1141" s="129">
        <f>IFERROR(__xludf.DUMMYFUNCTION("""COMPUTED_VALUE"""),44163.0)</f>
        <v>44163</v>
      </c>
      <c r="K1141" s="133">
        <f>IFERROR(__xludf.DUMMYFUNCTION("""COMPUTED_VALUE"""),57.0)</f>
        <v>57</v>
      </c>
      <c r="L1141" s="133">
        <f>IFERROR(__xludf.DUMMYFUNCTION("""COMPUTED_VALUE"""),4.0)</f>
        <v>4</v>
      </c>
      <c r="M1141" s="133">
        <f>IFERROR(__xludf.DUMMYFUNCTION("""COMPUTED_VALUE"""),61.0)</f>
        <v>61</v>
      </c>
      <c r="N1141" s="152" t="str">
        <f>IFERROR(__xludf.DUMMYFUNCTION("""COMPUTED_VALUE"""),"Model 3 LR AWD")</f>
        <v>Model 3 LR AWD</v>
      </c>
      <c r="O1141" s="152" t="str">
        <f>IFERROR(__xludf.DUMMYFUNCTION("""COMPUTED_VALUE"""),"Deep Blue Metallic")</f>
        <v>Deep Blue Metallic</v>
      </c>
      <c r="P1141" s="153" t="str">
        <f>IFERROR(__xludf.DUMMYFUNCTION("""COMPUTED_VALUE"""),"18 inch Aero")</f>
        <v>18 inch Aero</v>
      </c>
      <c r="Q1141" s="152" t="str">
        <f>IFERROR(__xludf.DUMMYFUNCTION("""COMPUTED_VALUE"""),"Black seats")</f>
        <v>Black seats</v>
      </c>
      <c r="R1141" s="149" t="str">
        <f>IFERROR(__xludf.DUMMYFUNCTION("""COMPUTED_VALUE"""),"Full Self-Driving")</f>
        <v>Full Self-Driving</v>
      </c>
      <c r="S1141" s="149"/>
      <c r="T1141" s="145"/>
      <c r="U1141" s="145"/>
      <c r="V1141" s="145"/>
      <c r="W1141" s="145"/>
      <c r="X1141" s="137" t="str">
        <f>IFERROR(__xludf.DUMMYFUNCTION("""COMPUTED_VALUE"""),"Excellent")</f>
        <v>Excellent</v>
      </c>
      <c r="Y1141" s="138" t="str">
        <f>IFERROR(__xludf.DUMMYFUNCTION("""COMPUTED_VALUE"""),"Very Good")</f>
        <v>Very Good</v>
      </c>
      <c r="Z1141" s="138" t="str">
        <f>IFERROR(__xludf.DUMMYFUNCTION("""COMPUTED_VALUE"""),"Very Good")</f>
        <v>Very Good</v>
      </c>
      <c r="AA1141" s="138" t="str">
        <f>IFERROR(__xludf.DUMMYFUNCTION("""COMPUTED_VALUE"""),"Good")</f>
        <v>Good</v>
      </c>
      <c r="AB1141" s="138" t="str">
        <f>IFERROR(__xludf.DUMMYFUNCTION("""COMPUTED_VALUE"""),"Excellent")</f>
        <v>Excellent</v>
      </c>
      <c r="AC1141" s="139">
        <f>IFERROR(__xludf.DUMMYFUNCTION("""COMPUTED_VALUE"""),3.0)</f>
        <v>3</v>
      </c>
      <c r="AD1141" s="139"/>
      <c r="AE1141" s="139"/>
      <c r="AF1141" s="140"/>
      <c r="AG1141" s="145"/>
      <c r="AH1141" s="157">
        <f>IFERROR(__xludf.DUMMYFUNCTION("""COMPUTED_VALUE"""),44163.8151253125)</f>
        <v>44163.81513</v>
      </c>
      <c r="AI1141" s="138"/>
      <c r="AJ1141" s="138"/>
      <c r="AK1141" s="138"/>
      <c r="AL1141" s="142"/>
    </row>
    <row r="1142" ht="20.25" customHeight="1">
      <c r="A1142" s="155" t="str">
        <f>IFERROR(__xludf.DUMMYFUNCTION("""COMPUTED_VALUE"""),"zerb012345")</f>
        <v>zerb012345</v>
      </c>
      <c r="B1142" s="149" t="str">
        <f>IFERROR(__xludf.DUMMYFUNCTION("""COMPUTED_VALUE"""),"Attleboro")</f>
        <v>Attleboro</v>
      </c>
      <c r="C1142" s="149" t="str">
        <f>IFERROR(__xludf.DUMMYFUNCTION("""COMPUTED_VALUE"""),"MA")</f>
        <v>MA</v>
      </c>
      <c r="D1142" s="149" t="str">
        <f>IFERROR(__xludf.DUMMYFUNCTION("""COMPUTED_VALUE"""),"USA")</f>
        <v>USA</v>
      </c>
      <c r="E1142" s="156">
        <f>IFERROR(__xludf.DUMMYFUNCTION("""COMPUTED_VALUE"""),44102.0)</f>
        <v>44102</v>
      </c>
      <c r="F1142" s="129">
        <f>IFERROR(__xludf.DUMMYFUNCTION("""COMPUTED_VALUE"""),44164.0)</f>
        <v>44164</v>
      </c>
      <c r="G1142" s="154" t="str">
        <f>IFERROR(__xludf.DUMMYFUNCTION("""COMPUTED_VALUE"""),"Manage order page (normal text)")</f>
        <v>Manage order page (normal text)</v>
      </c>
      <c r="H1142" s="131">
        <f>IFERROR(__xludf.DUMMYFUNCTION("""COMPUTED_VALUE"""),850565.0)</f>
        <v>850565</v>
      </c>
      <c r="I1142" s="132" t="str">
        <f>IFERROR(__xludf.DUMMYFUNCTION("""COMPUTED_VALUE"""),"11/20")</f>
        <v>11/20</v>
      </c>
      <c r="J1142" s="129">
        <f>IFERROR(__xludf.DUMMYFUNCTION("""COMPUTED_VALUE"""),44177.0)</f>
        <v>44177</v>
      </c>
      <c r="K1142" s="133">
        <f>IFERROR(__xludf.DUMMYFUNCTION("""COMPUTED_VALUE"""),62.0)</f>
        <v>62</v>
      </c>
      <c r="L1142" s="133">
        <f>IFERROR(__xludf.DUMMYFUNCTION("""COMPUTED_VALUE"""),13.0)</f>
        <v>13</v>
      </c>
      <c r="M1142" s="133">
        <f>IFERROR(__xludf.DUMMYFUNCTION("""COMPUTED_VALUE"""),75.0)</f>
        <v>75</v>
      </c>
      <c r="N1142" s="152" t="str">
        <f>IFERROR(__xludf.DUMMYFUNCTION("""COMPUTED_VALUE"""),"Model 3 SR+")</f>
        <v>Model 3 SR+</v>
      </c>
      <c r="O1142" s="152" t="str">
        <f>IFERROR(__xludf.DUMMYFUNCTION("""COMPUTED_VALUE"""),"Pearl White Multi-Coat")</f>
        <v>Pearl White Multi-Coat</v>
      </c>
      <c r="P1142" s="153" t="str">
        <f>IFERROR(__xludf.DUMMYFUNCTION("""COMPUTED_VALUE"""),"18 inch")</f>
        <v>18 inch</v>
      </c>
      <c r="Q1142" s="152" t="str">
        <f>IFERROR(__xludf.DUMMYFUNCTION("""COMPUTED_VALUE"""),"All Black")</f>
        <v>All Black</v>
      </c>
      <c r="R1142" s="150" t="str">
        <f>IFERROR(__xludf.DUMMYFUNCTION("""COMPUTED_VALUE"""),"Autopilot included")</f>
        <v>Autopilot included</v>
      </c>
      <c r="S1142" s="150" t="str">
        <f>IFERROR(__xludf.DUMMYFUNCTION("""COMPUTED_VALUE"""),"Loan")</f>
        <v>Loan</v>
      </c>
      <c r="T1142" s="136" t="str">
        <f>IFERROR(__xludf.DUMMYFUNCTION("""COMPUTED_VALUE"""),"Honda Accord")</f>
        <v>Honda Accord</v>
      </c>
      <c r="U1142" s="136" t="str">
        <f>IFERROR(__xludf.DUMMYFUNCTION("""COMPUTED_VALUE"""),"All-glass roof")</f>
        <v>All-glass roof</v>
      </c>
      <c r="V1142" s="136" t="str">
        <f>IFERROR(__xludf.DUMMYFUNCTION("""COMPUTED_VALUE"""),"Heated steering wheel")</f>
        <v>Heated steering wheel</v>
      </c>
      <c r="W1142" s="136"/>
      <c r="X1142" s="137" t="str">
        <f>IFERROR(__xludf.DUMMYFUNCTION("""COMPUTED_VALUE"""),"Very Good")</f>
        <v>Very Good</v>
      </c>
      <c r="Y1142" s="138" t="str">
        <f>IFERROR(__xludf.DUMMYFUNCTION("""COMPUTED_VALUE"""),"Excellent")</f>
        <v>Excellent</v>
      </c>
      <c r="Z1142" s="138" t="str">
        <f>IFERROR(__xludf.DUMMYFUNCTION("""COMPUTED_VALUE"""),"Excellent")</f>
        <v>Excellent</v>
      </c>
      <c r="AA1142" s="138" t="str">
        <f>IFERROR(__xludf.DUMMYFUNCTION("""COMPUTED_VALUE"""),"Fair")</f>
        <v>Fair</v>
      </c>
      <c r="AB1142" s="138" t="str">
        <f>IFERROR(__xludf.DUMMYFUNCTION("""COMPUTED_VALUE"""),"Good")</f>
        <v>Good</v>
      </c>
      <c r="AC1142" s="139"/>
      <c r="AD1142" s="139"/>
      <c r="AE1142" s="139"/>
      <c r="AF1142" s="140" t="str">
        <f>IFERROR(__xludf.DUMMYFUNCTION("""COMPUTED_VALUE"""),"No. I took delivery of the first car Tesla was able to deliver.")</f>
        <v>No. I took delivery of the first car Tesla was able to deliver.</v>
      </c>
      <c r="AG1142" s="136"/>
      <c r="AH1142" s="157">
        <f>IFERROR(__xludf.DUMMYFUNCTION("""COMPUTED_VALUE"""),44178.21856675926)</f>
        <v>44178.21857</v>
      </c>
      <c r="AI1142" s="138"/>
      <c r="AJ1142" s="138"/>
      <c r="AK1142" s="138"/>
      <c r="AL1142" s="142"/>
    </row>
    <row r="1143" ht="20.25" customHeight="1">
      <c r="A1143" s="155" t="str">
        <f>IFERROR(__xludf.DUMMYFUNCTION("""COMPUTED_VALUE"""),"slapshot264 ")</f>
        <v>slapshot264 </v>
      </c>
      <c r="B1143" s="149" t="str">
        <f>IFERROR(__xludf.DUMMYFUNCTION("""COMPUTED_VALUE"""),"Forked River ")</f>
        <v>Forked River </v>
      </c>
      <c r="C1143" s="149" t="str">
        <f>IFERROR(__xludf.DUMMYFUNCTION("""COMPUTED_VALUE"""),"NJ")</f>
        <v>NJ</v>
      </c>
      <c r="D1143" s="149" t="str">
        <f>IFERROR(__xludf.DUMMYFUNCTION("""COMPUTED_VALUE"""),"USA")</f>
        <v>USA</v>
      </c>
      <c r="E1143" s="156">
        <f>IFERROR(__xludf.DUMMYFUNCTION("""COMPUTED_VALUE"""),44100.0)</f>
        <v>44100</v>
      </c>
      <c r="F1143" s="129">
        <f>IFERROR(__xludf.DUMMYFUNCTION("""COMPUTED_VALUE"""),44168.0)</f>
        <v>44168</v>
      </c>
      <c r="G1143" s="154" t="str">
        <f>IFERROR(__xludf.DUMMYFUNCTION("""COMPUTED_VALUE"""),"Phone call")</f>
        <v>Phone call</v>
      </c>
      <c r="H1143" s="131">
        <f>IFERROR(__xludf.DUMMYFUNCTION("""COMPUTED_VALUE"""),854255.0)</f>
        <v>854255</v>
      </c>
      <c r="I1143" s="144" t="str">
        <f>IFERROR(__xludf.DUMMYFUNCTION("""COMPUTED_VALUE"""),"12/20")</f>
        <v>12/20</v>
      </c>
      <c r="J1143" s="129">
        <f>IFERROR(__xludf.DUMMYFUNCTION("""COMPUTED_VALUE"""),44180.0)</f>
        <v>44180</v>
      </c>
      <c r="K1143" s="133">
        <f>IFERROR(__xludf.DUMMYFUNCTION("""COMPUTED_VALUE"""),68.0)</f>
        <v>68</v>
      </c>
      <c r="L1143" s="133">
        <f>IFERROR(__xludf.DUMMYFUNCTION("""COMPUTED_VALUE"""),12.0)</f>
        <v>12</v>
      </c>
      <c r="M1143" s="133">
        <f>IFERROR(__xludf.DUMMYFUNCTION("""COMPUTED_VALUE"""),80.0)</f>
        <v>80</v>
      </c>
      <c r="N1143" s="152" t="str">
        <f>IFERROR(__xludf.DUMMYFUNCTION("""COMPUTED_VALUE"""),"Model 3 SR+")</f>
        <v>Model 3 SR+</v>
      </c>
      <c r="O1143" s="152" t="str">
        <f>IFERROR(__xludf.DUMMYFUNCTION("""COMPUTED_VALUE"""),"Pearl White Multi-Coat")</f>
        <v>Pearl White Multi-Coat</v>
      </c>
      <c r="P1143" s="153" t="str">
        <f>IFERROR(__xludf.DUMMYFUNCTION("""COMPUTED_VALUE"""),"18 inch")</f>
        <v>18 inch</v>
      </c>
      <c r="Q1143" s="152" t="str">
        <f>IFERROR(__xludf.DUMMYFUNCTION("""COMPUTED_VALUE"""),"All Black")</f>
        <v>All Black</v>
      </c>
      <c r="R1143" s="149" t="str">
        <f>IFERROR(__xludf.DUMMYFUNCTION("""COMPUTED_VALUE"""),"Autopilot included")</f>
        <v>Autopilot included</v>
      </c>
      <c r="S1143" s="149" t="str">
        <f>IFERROR(__xludf.DUMMYFUNCTION("""COMPUTED_VALUE"""),"Loan")</f>
        <v>Loan</v>
      </c>
      <c r="T1143" s="145"/>
      <c r="U1143" s="145" t="str">
        <f>IFERROR(__xludf.DUMMYFUNCTION("""COMPUTED_VALUE"""),"Electric!")</f>
        <v>Electric!</v>
      </c>
      <c r="V1143" s="145" t="str">
        <f>IFERROR(__xludf.DUMMYFUNCTION("""COMPUTED_VALUE"""),"Head-up display")</f>
        <v>Head-up display</v>
      </c>
      <c r="W1143" s="136"/>
      <c r="X1143" s="137" t="str">
        <f>IFERROR(__xludf.DUMMYFUNCTION("""COMPUTED_VALUE"""),"Very Good")</f>
        <v>Very Good</v>
      </c>
      <c r="Y1143" s="138" t="str">
        <f>IFERROR(__xludf.DUMMYFUNCTION("""COMPUTED_VALUE"""),"Very Good")</f>
        <v>Very Good</v>
      </c>
      <c r="Z1143" s="138" t="str">
        <f>IFERROR(__xludf.DUMMYFUNCTION("""COMPUTED_VALUE"""),"Very Good")</f>
        <v>Very Good</v>
      </c>
      <c r="AA1143" s="138" t="str">
        <f>IFERROR(__xludf.DUMMYFUNCTION("""COMPUTED_VALUE"""),"Fair")</f>
        <v>Fair</v>
      </c>
      <c r="AB1143" s="138" t="str">
        <f>IFERROR(__xludf.DUMMYFUNCTION("""COMPUTED_VALUE"""),"Very Good")</f>
        <v>Very Good</v>
      </c>
      <c r="AC1143" s="139">
        <f>IFERROR(__xludf.DUMMYFUNCTION("""COMPUTED_VALUE"""),0.0)</f>
        <v>0</v>
      </c>
      <c r="AD1143" s="139">
        <f>IFERROR(__xludf.DUMMYFUNCTION("""COMPUTED_VALUE"""),0.0)</f>
        <v>0</v>
      </c>
      <c r="AE1143" s="139">
        <f>IFERROR(__xludf.DUMMYFUNCTION("""COMPUTED_VALUE"""),0.0)</f>
        <v>0</v>
      </c>
      <c r="AF1143" s="140" t="str">
        <f>IFERROR(__xludf.DUMMYFUNCTION("""COMPUTED_VALUE"""),"No. I took delivery of the first car Tesla was able to deliver.")</f>
        <v>No. I took delivery of the first car Tesla was able to deliver.</v>
      </c>
      <c r="AG1143" s="136"/>
      <c r="AH1143" s="157">
        <f>IFERROR(__xludf.DUMMYFUNCTION("""COMPUTED_VALUE"""),44188.85503777777)</f>
        <v>44188.85504</v>
      </c>
      <c r="AI1143" s="138"/>
      <c r="AJ1143" s="138"/>
      <c r="AK1143" s="138"/>
      <c r="AL1143" s="142"/>
    </row>
    <row r="1144" ht="20.25" customHeight="1">
      <c r="A1144" s="155" t="str">
        <f>IFERROR(__xludf.DUMMYFUNCTION("""COMPUTED_VALUE"""),"Curtis")</f>
        <v>Curtis</v>
      </c>
      <c r="B1144" s="149" t="str">
        <f>IFERROR(__xludf.DUMMYFUNCTION("""COMPUTED_VALUE"""),"St Louis")</f>
        <v>St Louis</v>
      </c>
      <c r="C1144" s="149" t="str">
        <f>IFERROR(__xludf.DUMMYFUNCTION("""COMPUTED_VALUE"""),"MO")</f>
        <v>MO</v>
      </c>
      <c r="D1144" s="149" t="str">
        <f>IFERROR(__xludf.DUMMYFUNCTION("""COMPUTED_VALUE"""),"USA")</f>
        <v>USA</v>
      </c>
      <c r="E1144" s="156">
        <f>IFERROR(__xludf.DUMMYFUNCTION("""COMPUTED_VALUE"""),44099.0)</f>
        <v>44099</v>
      </c>
      <c r="F1144" s="129">
        <f>IFERROR(__xludf.DUMMYFUNCTION("""COMPUTED_VALUE"""),44106.0)</f>
        <v>44106</v>
      </c>
      <c r="G1144" s="154"/>
      <c r="H1144" s="131">
        <f>IFERROR(__xludf.DUMMYFUNCTION("""COMPUTED_VALUE"""),807855.0)</f>
        <v>807855</v>
      </c>
      <c r="I1144" s="144"/>
      <c r="J1144" s="129">
        <f>IFERROR(__xludf.DUMMYFUNCTION("""COMPUTED_VALUE"""),44114.0)</f>
        <v>44114</v>
      </c>
      <c r="K1144" s="133">
        <f>IFERROR(__xludf.DUMMYFUNCTION("""COMPUTED_VALUE"""),7.0)</f>
        <v>7</v>
      </c>
      <c r="L1144" s="133">
        <f>IFERROR(__xludf.DUMMYFUNCTION("""COMPUTED_VALUE"""),8.0)</f>
        <v>8</v>
      </c>
      <c r="M1144" s="133">
        <f>IFERROR(__xludf.DUMMYFUNCTION("""COMPUTED_VALUE"""),15.0)</f>
        <v>15</v>
      </c>
      <c r="N1144" s="152" t="str">
        <f>IFERROR(__xludf.DUMMYFUNCTION("""COMPUTED_VALUE"""),"Model 3 Performance")</f>
        <v>Model 3 Performance</v>
      </c>
      <c r="O1144" s="152" t="str">
        <f>IFERROR(__xludf.DUMMYFUNCTION("""COMPUTED_VALUE"""),"Deep Blue Metallic")</f>
        <v>Deep Blue Metallic</v>
      </c>
      <c r="P1144" s="153" t="str">
        <f>IFERROR(__xludf.DUMMYFUNCTION("""COMPUTED_VALUE"""),"20 inch Sport")</f>
        <v>20 inch Sport</v>
      </c>
      <c r="Q1144" s="152" t="str">
        <f>IFERROR(__xludf.DUMMYFUNCTION("""COMPUTED_VALUE"""),"Black seats")</f>
        <v>Black seats</v>
      </c>
      <c r="R1144" s="149" t="str">
        <f>IFERROR(__xludf.DUMMYFUNCTION("""COMPUTED_VALUE"""),"Autopilot")</f>
        <v>Autopilot</v>
      </c>
      <c r="S1144" s="149"/>
      <c r="T1144" s="145"/>
      <c r="U1144" s="145"/>
      <c r="V1144" s="145"/>
      <c r="W1144" s="136"/>
      <c r="X1144" s="137" t="str">
        <f>IFERROR(__xludf.DUMMYFUNCTION("""COMPUTED_VALUE"""),"Excellent")</f>
        <v>Excellent</v>
      </c>
      <c r="Y1144" s="138" t="str">
        <f>IFERROR(__xludf.DUMMYFUNCTION("""COMPUTED_VALUE"""),"Excellent")</f>
        <v>Excellent</v>
      </c>
      <c r="Z1144" s="138" t="str">
        <f>IFERROR(__xludf.DUMMYFUNCTION("""COMPUTED_VALUE"""),"Excellent")</f>
        <v>Excellent</v>
      </c>
      <c r="AA1144" s="138" t="str">
        <f>IFERROR(__xludf.DUMMYFUNCTION("""COMPUTED_VALUE"""),"Excellent")</f>
        <v>Excellent</v>
      </c>
      <c r="AB1144" s="138" t="str">
        <f>IFERROR(__xludf.DUMMYFUNCTION("""COMPUTED_VALUE"""),"Excellent")</f>
        <v>Excellent</v>
      </c>
      <c r="AC1144" s="139"/>
      <c r="AD1144" s="139"/>
      <c r="AE1144" s="139"/>
      <c r="AF1144" s="140"/>
      <c r="AG1144" s="136" t="str">
        <f>IFERROR(__xludf.DUMMYFUNCTION("""COMPUTED_VALUE"""),"Scheduled for the 14th - Came in early picked up the 10th")</f>
        <v>Scheduled for the 14th - Came in early picked up the 10th</v>
      </c>
      <c r="AH1144" s="157">
        <f>IFERROR(__xludf.DUMMYFUNCTION("""COMPUTED_VALUE"""),44117.39763930555)</f>
        <v>44117.39764</v>
      </c>
      <c r="AI1144" s="138"/>
      <c r="AJ1144" s="138"/>
      <c r="AK1144" s="138"/>
      <c r="AL1144" s="142"/>
    </row>
    <row r="1145" ht="20.25" customHeight="1">
      <c r="A1145" s="155" t="str">
        <f>IFERROR(__xludf.DUMMYFUNCTION("""COMPUTED_VALUE"""),"static416")</f>
        <v>static416</v>
      </c>
      <c r="B1145" s="149" t="str">
        <f>IFERROR(__xludf.DUMMYFUNCTION("""COMPUTED_VALUE"""),"Toronto")</f>
        <v>Toronto</v>
      </c>
      <c r="C1145" s="149" t="str">
        <f>IFERROR(__xludf.DUMMYFUNCTION("""COMPUTED_VALUE"""),"ON")</f>
        <v>ON</v>
      </c>
      <c r="D1145" s="149" t="str">
        <f>IFERROR(__xludf.DUMMYFUNCTION("""COMPUTED_VALUE"""),"Canada")</f>
        <v>Canada</v>
      </c>
      <c r="E1145" s="156">
        <f>IFERROR(__xludf.DUMMYFUNCTION("""COMPUTED_VALUE"""),44098.0)</f>
        <v>44098</v>
      </c>
      <c r="F1145" s="129">
        <f>IFERROR(__xludf.DUMMYFUNCTION("""COMPUTED_VALUE"""),44162.0)</f>
        <v>44162</v>
      </c>
      <c r="G1145" s="154" t="str">
        <f>IFERROR(__xludf.DUMMYFUNCTION("""COMPUTED_VALUE"""),"Email")</f>
        <v>Email</v>
      </c>
      <c r="H1145" s="131">
        <f>IFERROR(__xludf.DUMMYFUNCTION("""COMPUTED_VALUE"""),849255.0)</f>
        <v>849255</v>
      </c>
      <c r="I1145" s="144"/>
      <c r="J1145" s="129">
        <f>IFERROR(__xludf.DUMMYFUNCTION("""COMPUTED_VALUE"""),44180.0)</f>
        <v>44180</v>
      </c>
      <c r="K1145" s="133">
        <f>IFERROR(__xludf.DUMMYFUNCTION("""COMPUTED_VALUE"""),64.0)</f>
        <v>64</v>
      </c>
      <c r="L1145" s="133">
        <f>IFERROR(__xludf.DUMMYFUNCTION("""COMPUTED_VALUE"""),18.0)</f>
        <v>18</v>
      </c>
      <c r="M1145" s="133">
        <f>IFERROR(__xludf.DUMMYFUNCTION("""COMPUTED_VALUE"""),82.0)</f>
        <v>82</v>
      </c>
      <c r="N1145" s="152" t="str">
        <f>IFERROR(__xludf.DUMMYFUNCTION("""COMPUTED_VALUE"""),"Model 3 Performance")</f>
        <v>Model 3 Performance</v>
      </c>
      <c r="O1145" s="152" t="str">
        <f>IFERROR(__xludf.DUMMYFUNCTION("""COMPUTED_VALUE"""),"Pearl White Multi-Coat")</f>
        <v>Pearl White Multi-Coat</v>
      </c>
      <c r="P1145" s="153" t="str">
        <f>IFERROR(__xludf.DUMMYFUNCTION("""COMPUTED_VALUE"""),"20 inch")</f>
        <v>20 inch</v>
      </c>
      <c r="Q1145" s="152" t="str">
        <f>IFERROR(__xludf.DUMMYFUNCTION("""COMPUTED_VALUE"""),"Black and White")</f>
        <v>Black and White</v>
      </c>
      <c r="R1145" s="149" t="str">
        <f>IFERROR(__xludf.DUMMYFUNCTION("""COMPUTED_VALUE"""),"Full Self-Driving")</f>
        <v>Full Self-Driving</v>
      </c>
      <c r="S1145" s="149" t="str">
        <f>IFERROR(__xludf.DUMMYFUNCTION("""COMPUTED_VALUE"""),"Loan")</f>
        <v>Loan</v>
      </c>
      <c r="T1145" s="136"/>
      <c r="U1145" s="136" t="str">
        <f>IFERROR(__xludf.DUMMYFUNCTION("""COMPUTED_VALUE"""),"Autopilot")</f>
        <v>Autopilot</v>
      </c>
      <c r="V1145" s="136" t="str">
        <f>IFERROR(__xludf.DUMMYFUNCTION("""COMPUTED_VALUE"""),"Head-up display")</f>
        <v>Head-up display</v>
      </c>
      <c r="W1145" s="136" t="str">
        <f>IFERROR(__xludf.DUMMYFUNCTION("""COMPUTED_VALUE"""),"Ignore the dates. All deliveries are at the end of the quarter.")</f>
        <v>Ignore the dates. All deliveries are at the end of the quarter.</v>
      </c>
      <c r="X1145" s="137"/>
      <c r="Y1145" s="138"/>
      <c r="Z1145" s="138"/>
      <c r="AA1145" s="138"/>
      <c r="AB1145" s="138"/>
      <c r="AC1145" s="139"/>
      <c r="AD1145" s="139"/>
      <c r="AE1145" s="139"/>
      <c r="AF1145" s="140" t="str">
        <f>IFERROR(__xludf.DUMMYFUNCTION("""COMPUTED_VALUE"""),"No. I took delivery of the first car Tesla was able to deliver.")</f>
        <v>No. I took delivery of the first car Tesla was able to deliver.</v>
      </c>
      <c r="AG1145" s="136"/>
      <c r="AH1145" s="157">
        <f>IFERROR(__xludf.DUMMYFUNCTION("""COMPUTED_VALUE"""),44170.40152667824)</f>
        <v>44170.40153</v>
      </c>
      <c r="AI1145" s="138"/>
      <c r="AJ1145" s="138"/>
      <c r="AK1145" s="138"/>
      <c r="AL1145" s="142"/>
    </row>
    <row r="1146" ht="20.25" customHeight="1">
      <c r="A1146" s="155" t="str">
        <f>IFERROR(__xludf.DUMMYFUNCTION("""COMPUTED_VALUE"""),"tpeek")</f>
        <v>tpeek</v>
      </c>
      <c r="B1146" s="159" t="str">
        <f>IFERROR(__xludf.DUMMYFUNCTION("""COMPUTED_VALUE"""),"Santa Cruz")</f>
        <v>Santa Cruz</v>
      </c>
      <c r="C1146" s="159" t="str">
        <f>IFERROR(__xludf.DUMMYFUNCTION("""COMPUTED_VALUE"""),"CA")</f>
        <v>CA</v>
      </c>
      <c r="D1146" s="159" t="str">
        <f>IFERROR(__xludf.DUMMYFUNCTION("""COMPUTED_VALUE"""),"USA")</f>
        <v>USA</v>
      </c>
      <c r="E1146" s="156">
        <f>IFERROR(__xludf.DUMMYFUNCTION("""COMPUTED_VALUE"""),44097.0)</f>
        <v>44097</v>
      </c>
      <c r="F1146" s="129">
        <f>IFERROR(__xludf.DUMMYFUNCTION("""COMPUTED_VALUE"""),44171.0)</f>
        <v>44171</v>
      </c>
      <c r="G1146" s="154" t="str">
        <f>IFERROR(__xludf.DUMMYFUNCTION("""COMPUTED_VALUE"""),"Manage order page (normal text)")</f>
        <v>Manage order page (normal text)</v>
      </c>
      <c r="H1146" s="131">
        <f>IFERROR(__xludf.DUMMYFUNCTION("""COMPUTED_VALUE"""),856355.0)</f>
        <v>856355</v>
      </c>
      <c r="I1146" s="160" t="str">
        <f>IFERROR(__xludf.DUMMYFUNCTION("""COMPUTED_VALUE"""),"12/20")</f>
        <v>12/20</v>
      </c>
      <c r="J1146" s="129">
        <f>IFERROR(__xludf.DUMMYFUNCTION("""COMPUTED_VALUE"""),44173.0)</f>
        <v>44173</v>
      </c>
      <c r="K1146" s="133">
        <f>IFERROR(__xludf.DUMMYFUNCTION("""COMPUTED_VALUE"""),74.0)</f>
        <v>74</v>
      </c>
      <c r="L1146" s="133">
        <f>IFERROR(__xludf.DUMMYFUNCTION("""COMPUTED_VALUE"""),2.0)</f>
        <v>2</v>
      </c>
      <c r="M1146" s="133">
        <f>IFERROR(__xludf.DUMMYFUNCTION("""COMPUTED_VALUE"""),76.0)</f>
        <v>76</v>
      </c>
      <c r="N1146" s="152" t="str">
        <f>IFERROR(__xludf.DUMMYFUNCTION("""COMPUTED_VALUE"""),"Model 3 Performance")</f>
        <v>Model 3 Performance</v>
      </c>
      <c r="O1146" s="152" t="str">
        <f>IFERROR(__xludf.DUMMYFUNCTION("""COMPUTED_VALUE"""),"Midnight Silver Metallic")</f>
        <v>Midnight Silver Metallic</v>
      </c>
      <c r="P1146" s="153" t="str">
        <f>IFERROR(__xludf.DUMMYFUNCTION("""COMPUTED_VALUE"""),"20 inch")</f>
        <v>20 inch</v>
      </c>
      <c r="Q1146" s="152" t="str">
        <f>IFERROR(__xludf.DUMMYFUNCTION("""COMPUTED_VALUE"""),"Black and White")</f>
        <v>Black and White</v>
      </c>
      <c r="R1146" s="159" t="str">
        <f>IFERROR(__xludf.DUMMYFUNCTION("""COMPUTED_VALUE"""),"Full Self-Driving")</f>
        <v>Full Self-Driving</v>
      </c>
      <c r="S1146" s="159" t="str">
        <f>IFERROR(__xludf.DUMMYFUNCTION("""COMPUTED_VALUE"""),"Loan")</f>
        <v>Loan</v>
      </c>
      <c r="T1146" s="161" t="str">
        <f>IFERROR(__xludf.DUMMYFUNCTION("""COMPUTED_VALUE"""),"Acura MDX")</f>
        <v>Acura MDX</v>
      </c>
      <c r="U1146" s="161" t="str">
        <f>IFERROR(__xludf.DUMMYFUNCTION("""COMPUTED_VALUE"""),"Autopilot")</f>
        <v>Autopilot</v>
      </c>
      <c r="V1146" s="161" t="str">
        <f>IFERROR(__xludf.DUMMYFUNCTION("""COMPUTED_VALUE"""),"Bioweapon defense mode")</f>
        <v>Bioweapon defense mode</v>
      </c>
      <c r="W1146" s="161" t="str">
        <f>IFERROR(__xludf.DUMMYFUNCTION("""COMPUTED_VALUE"""),"hang tight. they will never tell you about when you will get your car until it's actually about to happen. Don't believe the delivery window date ranges on the website.")</f>
        <v>hang tight. they will never tell you about when you will get your car until it's actually about to happen. Don't believe the delivery window date ranges on the website.</v>
      </c>
      <c r="X1146" s="137" t="str">
        <f>IFERROR(__xludf.DUMMYFUNCTION("""COMPUTED_VALUE"""),"Excellent")</f>
        <v>Excellent</v>
      </c>
      <c r="Y1146" s="138" t="str">
        <f>IFERROR(__xludf.DUMMYFUNCTION("""COMPUTED_VALUE"""),"Excellent")</f>
        <v>Excellent</v>
      </c>
      <c r="Z1146" s="138" t="str">
        <f>IFERROR(__xludf.DUMMYFUNCTION("""COMPUTED_VALUE"""),"Excellent")</f>
        <v>Excellent</v>
      </c>
      <c r="AA1146" s="138" t="str">
        <f>IFERROR(__xludf.DUMMYFUNCTION("""COMPUTED_VALUE"""),"Poor")</f>
        <v>Poor</v>
      </c>
      <c r="AB1146" s="138" t="str">
        <f>IFERROR(__xludf.DUMMYFUNCTION("""COMPUTED_VALUE"""),"Very Good")</f>
        <v>Very Good</v>
      </c>
      <c r="AC1146" s="139"/>
      <c r="AD1146" s="139"/>
      <c r="AE1146" s="139"/>
      <c r="AF1146" s="140" t="str">
        <f>IFERROR(__xludf.DUMMYFUNCTION("""COMPUTED_VALUE"""),"No. I took delivery of the first car Tesla was able to deliver.")</f>
        <v>No. I took delivery of the first car Tesla was able to deliver.</v>
      </c>
      <c r="AG1146" s="161"/>
      <c r="AH1146" s="157">
        <f>IFERROR(__xludf.DUMMYFUNCTION("""COMPUTED_VALUE"""),44175.4580102662)</f>
        <v>44175.45801</v>
      </c>
      <c r="AI1146" s="138"/>
      <c r="AJ1146" s="138"/>
      <c r="AK1146" s="138"/>
      <c r="AL1146" s="142"/>
    </row>
    <row r="1147" ht="20.25" customHeight="1">
      <c r="A1147" s="155" t="str">
        <f>IFERROR(__xludf.DUMMYFUNCTION("""COMPUTED_VALUE"""),"SDBound")</f>
        <v>SDBound</v>
      </c>
      <c r="B1147" s="149" t="str">
        <f>IFERROR(__xludf.DUMMYFUNCTION("""COMPUTED_VALUE"""),"Reno")</f>
        <v>Reno</v>
      </c>
      <c r="C1147" s="149" t="str">
        <f>IFERROR(__xludf.DUMMYFUNCTION("""COMPUTED_VALUE"""),"NV")</f>
        <v>NV</v>
      </c>
      <c r="D1147" s="149" t="str">
        <f>IFERROR(__xludf.DUMMYFUNCTION("""COMPUTED_VALUE"""),"USA")</f>
        <v>USA</v>
      </c>
      <c r="E1147" s="156">
        <f>IFERROR(__xludf.DUMMYFUNCTION("""COMPUTED_VALUE"""),44087.0)</f>
        <v>44087</v>
      </c>
      <c r="F1147" s="129">
        <f>IFERROR(__xludf.DUMMYFUNCTION("""COMPUTED_VALUE"""),44090.0)</f>
        <v>44090</v>
      </c>
      <c r="G1147" s="154"/>
      <c r="H1147" s="131">
        <f>IFERROR(__xludf.DUMMYFUNCTION("""COMPUTED_VALUE"""),798055.0)</f>
        <v>798055</v>
      </c>
      <c r="I1147" s="144" t="str">
        <f>IFERROR(__xludf.DUMMYFUNCTION("""COMPUTED_VALUE"""),"09/20")</f>
        <v>09/20</v>
      </c>
      <c r="J1147" s="129">
        <f>IFERROR(__xludf.DUMMYFUNCTION("""COMPUTED_VALUE"""),44093.0)</f>
        <v>44093</v>
      </c>
      <c r="K1147" s="133">
        <f>IFERROR(__xludf.DUMMYFUNCTION("""COMPUTED_VALUE"""),3.0)</f>
        <v>3</v>
      </c>
      <c r="L1147" s="133">
        <f>IFERROR(__xludf.DUMMYFUNCTION("""COMPUTED_VALUE"""),3.0)</f>
        <v>3</v>
      </c>
      <c r="M1147" s="133">
        <f>IFERROR(__xludf.DUMMYFUNCTION("""COMPUTED_VALUE"""),6.0)</f>
        <v>6</v>
      </c>
      <c r="N1147" s="152" t="str">
        <f>IFERROR(__xludf.DUMMYFUNCTION("""COMPUTED_VALUE"""),"Model 3 LR AWD")</f>
        <v>Model 3 LR AWD</v>
      </c>
      <c r="O1147" s="152" t="str">
        <f>IFERROR(__xludf.DUMMYFUNCTION("""COMPUTED_VALUE"""),"Solid Black")</f>
        <v>Solid Black</v>
      </c>
      <c r="P1147" s="153" t="str">
        <f>IFERROR(__xludf.DUMMYFUNCTION("""COMPUTED_VALUE"""),"18 inch Aero")</f>
        <v>18 inch Aero</v>
      </c>
      <c r="Q1147" s="152" t="str">
        <f>IFERROR(__xludf.DUMMYFUNCTION("""COMPUTED_VALUE"""),"Black seats")</f>
        <v>Black seats</v>
      </c>
      <c r="R1147" s="149" t="str">
        <f>IFERROR(__xludf.DUMMYFUNCTION("""COMPUTED_VALUE"""),"Autopilot")</f>
        <v>Autopilot</v>
      </c>
      <c r="S1147" s="149"/>
      <c r="T1147" s="145"/>
      <c r="U1147" s="145"/>
      <c r="V1147" s="145"/>
      <c r="W1147" s="136"/>
      <c r="X1147" s="137" t="str">
        <f>IFERROR(__xludf.DUMMYFUNCTION("""COMPUTED_VALUE"""),"Good")</f>
        <v>Good</v>
      </c>
      <c r="Y1147" s="138" t="str">
        <f>IFERROR(__xludf.DUMMYFUNCTION("""COMPUTED_VALUE"""),"Excellent")</f>
        <v>Excellent</v>
      </c>
      <c r="Z1147" s="138" t="str">
        <f>IFERROR(__xludf.DUMMYFUNCTION("""COMPUTED_VALUE"""),"Fair")</f>
        <v>Fair</v>
      </c>
      <c r="AA1147" s="138" t="str">
        <f>IFERROR(__xludf.DUMMYFUNCTION("""COMPUTED_VALUE"""),"Excellent")</f>
        <v>Excellent</v>
      </c>
      <c r="AB1147" s="138" t="str">
        <f>IFERROR(__xludf.DUMMYFUNCTION("""COMPUTED_VALUE"""),"Very Good")</f>
        <v>Very Good</v>
      </c>
      <c r="AC1147" s="139"/>
      <c r="AD1147" s="139"/>
      <c r="AE1147" s="139"/>
      <c r="AF1147" s="140"/>
      <c r="AG1147" s="136"/>
      <c r="AH1147" s="157">
        <f>IFERROR(__xludf.DUMMYFUNCTION("""COMPUTED_VALUE"""),44098.43501291667)</f>
        <v>44098.43501</v>
      </c>
      <c r="AI1147" s="138"/>
      <c r="AJ1147" s="138"/>
      <c r="AK1147" s="138"/>
      <c r="AL1147" s="142"/>
    </row>
    <row r="1148" ht="20.25" customHeight="1">
      <c r="A1148" s="155" t="str">
        <f>IFERROR(__xludf.DUMMYFUNCTION("""COMPUTED_VALUE"""),"JayE")</f>
        <v>JayE</v>
      </c>
      <c r="B1148" s="149" t="str">
        <f>IFERROR(__xludf.DUMMYFUNCTION("""COMPUTED_VALUE"""),"Lake Tapps")</f>
        <v>Lake Tapps</v>
      </c>
      <c r="C1148" s="149" t="str">
        <f>IFERROR(__xludf.DUMMYFUNCTION("""COMPUTED_VALUE"""),"WA")</f>
        <v>WA</v>
      </c>
      <c r="D1148" s="149" t="str">
        <f>IFERROR(__xludf.DUMMYFUNCTION("""COMPUTED_VALUE"""),"USA")</f>
        <v>USA</v>
      </c>
      <c r="E1148" s="156">
        <f>IFERROR(__xludf.DUMMYFUNCTION("""COMPUTED_VALUE"""),44084.0)</f>
        <v>44084</v>
      </c>
      <c r="F1148" s="129">
        <f>IFERROR(__xludf.DUMMYFUNCTION("""COMPUTED_VALUE"""),44099.0)</f>
        <v>44099</v>
      </c>
      <c r="G1148" s="154"/>
      <c r="H1148" s="131">
        <f>IFERROR(__xludf.DUMMYFUNCTION("""COMPUTED_VALUE"""),804155.0)</f>
        <v>804155</v>
      </c>
      <c r="I1148" s="144" t="str">
        <f>IFERROR(__xludf.DUMMYFUNCTION("""COMPUTED_VALUE"""),"09/20")</f>
        <v>09/20</v>
      </c>
      <c r="J1148" s="129">
        <f>IFERROR(__xludf.DUMMYFUNCTION("""COMPUTED_VALUE"""),44100.0)</f>
        <v>44100</v>
      </c>
      <c r="K1148" s="133">
        <f>IFERROR(__xludf.DUMMYFUNCTION("""COMPUTED_VALUE"""),15.0)</f>
        <v>15</v>
      </c>
      <c r="L1148" s="133">
        <f>IFERROR(__xludf.DUMMYFUNCTION("""COMPUTED_VALUE"""),1.0)</f>
        <v>1</v>
      </c>
      <c r="M1148" s="133">
        <f>IFERROR(__xludf.DUMMYFUNCTION("""COMPUTED_VALUE"""),16.0)</f>
        <v>16</v>
      </c>
      <c r="N1148" s="152" t="str">
        <f>IFERROR(__xludf.DUMMYFUNCTION("""COMPUTED_VALUE"""),"Model 3 SR+")</f>
        <v>Model 3 SR+</v>
      </c>
      <c r="O1148" s="152" t="str">
        <f>IFERROR(__xludf.DUMMYFUNCTION("""COMPUTED_VALUE"""),"Pearl White Multi-Coat")</f>
        <v>Pearl White Multi-Coat</v>
      </c>
      <c r="P1148" s="153" t="str">
        <f>IFERROR(__xludf.DUMMYFUNCTION("""COMPUTED_VALUE"""),"18 inch Aero")</f>
        <v>18 inch Aero</v>
      </c>
      <c r="Q1148" s="152" t="str">
        <f>IFERROR(__xludf.DUMMYFUNCTION("""COMPUTED_VALUE"""),"Black seats")</f>
        <v>Black seats</v>
      </c>
      <c r="R1148" s="149" t="str">
        <f>IFERROR(__xludf.DUMMYFUNCTION("""COMPUTED_VALUE"""),"Autopilot")</f>
        <v>Autopilot</v>
      </c>
      <c r="S1148" s="149"/>
      <c r="T1148" s="145"/>
      <c r="U1148" s="145"/>
      <c r="V1148" s="145"/>
      <c r="W1148" s="136"/>
      <c r="X1148" s="137" t="str">
        <f>IFERROR(__xludf.DUMMYFUNCTION("""COMPUTED_VALUE"""),"Very Good")</f>
        <v>Very Good</v>
      </c>
      <c r="Y1148" s="138" t="str">
        <f>IFERROR(__xludf.DUMMYFUNCTION("""COMPUTED_VALUE"""),"Excellent")</f>
        <v>Excellent</v>
      </c>
      <c r="Z1148" s="138" t="str">
        <f>IFERROR(__xludf.DUMMYFUNCTION("""COMPUTED_VALUE"""),"Excellent")</f>
        <v>Excellent</v>
      </c>
      <c r="AA1148" s="138" t="str">
        <f>IFERROR(__xludf.DUMMYFUNCTION("""COMPUTED_VALUE"""),"Very Good")</f>
        <v>Very Good</v>
      </c>
      <c r="AB1148" s="138" t="str">
        <f>IFERROR(__xludf.DUMMYFUNCTION("""COMPUTED_VALUE"""),"Excellent")</f>
        <v>Excellent</v>
      </c>
      <c r="AC1148" s="139"/>
      <c r="AD1148" s="139"/>
      <c r="AE1148" s="139"/>
      <c r="AF1148" s="140"/>
      <c r="AG1148" s="145"/>
      <c r="AH1148" s="157">
        <f>IFERROR(__xludf.DUMMYFUNCTION("""COMPUTED_VALUE"""),44101.560357696755)</f>
        <v>44101.56036</v>
      </c>
      <c r="AI1148" s="138"/>
      <c r="AJ1148" s="138"/>
      <c r="AK1148" s="138"/>
      <c r="AL1148" s="142"/>
    </row>
    <row r="1149" ht="20.25" customHeight="1">
      <c r="A1149" s="155" t="str">
        <f>IFERROR(__xludf.DUMMYFUNCTION("""COMPUTED_VALUE"""),"EVnoob")</f>
        <v>EVnoob</v>
      </c>
      <c r="B1149" s="149" t="str">
        <f>IFERROR(__xludf.DUMMYFUNCTION("""COMPUTED_VALUE"""),"Las Vegas")</f>
        <v>Las Vegas</v>
      </c>
      <c r="C1149" s="149" t="str">
        <f>IFERROR(__xludf.DUMMYFUNCTION("""COMPUTED_VALUE"""),"NV")</f>
        <v>NV</v>
      </c>
      <c r="D1149" s="149" t="str">
        <f>IFERROR(__xludf.DUMMYFUNCTION("""COMPUTED_VALUE"""),"USA")</f>
        <v>USA</v>
      </c>
      <c r="E1149" s="156">
        <f>IFERROR(__xludf.DUMMYFUNCTION("""COMPUTED_VALUE"""),44083.0)</f>
        <v>44083</v>
      </c>
      <c r="F1149" s="129">
        <f>IFERROR(__xludf.DUMMYFUNCTION("""COMPUTED_VALUE"""),44091.0)</f>
        <v>44091</v>
      </c>
      <c r="G1149" s="154"/>
      <c r="H1149" s="131">
        <f>IFERROR(__xludf.DUMMYFUNCTION("""COMPUTED_VALUE"""),802155.0)</f>
        <v>802155</v>
      </c>
      <c r="I1149" s="132" t="str">
        <f>IFERROR(__xludf.DUMMYFUNCTION("""COMPUTED_VALUE"""),"09/20")</f>
        <v>09/20</v>
      </c>
      <c r="J1149" s="129">
        <f>IFERROR(__xludf.DUMMYFUNCTION("""COMPUTED_VALUE"""),44093.0)</f>
        <v>44093</v>
      </c>
      <c r="K1149" s="133">
        <f>IFERROR(__xludf.DUMMYFUNCTION("""COMPUTED_VALUE"""),8.0)</f>
        <v>8</v>
      </c>
      <c r="L1149" s="133">
        <f>IFERROR(__xludf.DUMMYFUNCTION("""COMPUTED_VALUE"""),2.0)</f>
        <v>2</v>
      </c>
      <c r="M1149" s="133">
        <f>IFERROR(__xludf.DUMMYFUNCTION("""COMPUTED_VALUE"""),10.0)</f>
        <v>10</v>
      </c>
      <c r="N1149" s="152" t="str">
        <f>IFERROR(__xludf.DUMMYFUNCTION("""COMPUTED_VALUE"""),"Model 3 Performance")</f>
        <v>Model 3 Performance</v>
      </c>
      <c r="O1149" s="152" t="str">
        <f>IFERROR(__xludf.DUMMYFUNCTION("""COMPUTED_VALUE"""),"Deep Blue Metallic")</f>
        <v>Deep Blue Metallic</v>
      </c>
      <c r="P1149" s="153" t="str">
        <f>IFERROR(__xludf.DUMMYFUNCTION("""COMPUTED_VALUE"""),"20 inch Sport")</f>
        <v>20 inch Sport</v>
      </c>
      <c r="Q1149" s="152" t="str">
        <f>IFERROR(__xludf.DUMMYFUNCTION("""COMPUTED_VALUE"""),"Black seats")</f>
        <v>Black seats</v>
      </c>
      <c r="R1149" s="150" t="str">
        <f>IFERROR(__xludf.DUMMYFUNCTION("""COMPUTED_VALUE"""),"Autopilot")</f>
        <v>Autopilot</v>
      </c>
      <c r="S1149" s="150"/>
      <c r="T1149" s="136"/>
      <c r="U1149" s="136"/>
      <c r="V1149" s="136"/>
      <c r="W1149" s="136"/>
      <c r="X1149" s="137" t="str">
        <f>IFERROR(__xludf.DUMMYFUNCTION("""COMPUTED_VALUE"""),"Very Good")</f>
        <v>Very Good</v>
      </c>
      <c r="Y1149" s="138" t="str">
        <f>IFERROR(__xludf.DUMMYFUNCTION("""COMPUTED_VALUE"""),"Very Good")</f>
        <v>Very Good</v>
      </c>
      <c r="Z1149" s="138" t="str">
        <f>IFERROR(__xludf.DUMMYFUNCTION("""COMPUTED_VALUE"""),"Good")</f>
        <v>Good</v>
      </c>
      <c r="AA1149" s="138" t="str">
        <f>IFERROR(__xludf.DUMMYFUNCTION("""COMPUTED_VALUE"""),"Fair")</f>
        <v>Fair</v>
      </c>
      <c r="AB1149" s="138" t="str">
        <f>IFERROR(__xludf.DUMMYFUNCTION("""COMPUTED_VALUE"""),"Very Good")</f>
        <v>Very Good</v>
      </c>
      <c r="AC1149" s="139"/>
      <c r="AD1149" s="139"/>
      <c r="AE1149" s="139"/>
      <c r="AF1149" s="140"/>
      <c r="AG1149" s="136" t="str">
        <f>IFERROR(__xludf.DUMMYFUNCTION("""COMPUTED_VALUE"""),"Called with VIN before posted online. VIN notification was same call as delivery schedule.")</f>
        <v>Called with VIN before posted online. VIN notification was same call as delivery schedule.</v>
      </c>
      <c r="AH1149" s="157">
        <f>IFERROR(__xludf.DUMMYFUNCTION("""COMPUTED_VALUE"""),44095.98985722222)</f>
        <v>44095.98986</v>
      </c>
      <c r="AI1149" s="138"/>
      <c r="AJ1149" s="138"/>
      <c r="AK1149" s="138"/>
      <c r="AL1149" s="142"/>
    </row>
    <row r="1150" ht="20.25" customHeight="1">
      <c r="A1150" s="155" t="str">
        <f>IFERROR(__xludf.DUMMYFUNCTION("""COMPUTED_VALUE"""),"macmaster")</f>
        <v>macmaster</v>
      </c>
      <c r="B1150" s="150" t="str">
        <f>IFERROR(__xludf.DUMMYFUNCTION("""COMPUTED_VALUE"""),"elk grove")</f>
        <v>elk grove</v>
      </c>
      <c r="C1150" s="149" t="str">
        <f>IFERROR(__xludf.DUMMYFUNCTION("""COMPUTED_VALUE"""),"CA")</f>
        <v>CA</v>
      </c>
      <c r="D1150" s="149" t="str">
        <f>IFERROR(__xludf.DUMMYFUNCTION("""COMPUTED_VALUE"""),"USA")</f>
        <v>USA</v>
      </c>
      <c r="E1150" s="156">
        <f>IFERROR(__xludf.DUMMYFUNCTION("""COMPUTED_VALUE"""),44081.0)</f>
        <v>44081</v>
      </c>
      <c r="F1150" s="129">
        <f>IFERROR(__xludf.DUMMYFUNCTION("""COMPUTED_VALUE"""),44101.0)</f>
        <v>44101</v>
      </c>
      <c r="G1150" s="154"/>
      <c r="H1150" s="131">
        <f>IFERROR(__xludf.DUMMYFUNCTION("""COMPUTED_VALUE"""),800455.0)</f>
        <v>800455</v>
      </c>
      <c r="I1150" s="132" t="str">
        <f>IFERROR(__xludf.DUMMYFUNCTION("""COMPUTED_VALUE"""),"09/20")</f>
        <v>09/20</v>
      </c>
      <c r="J1150" s="129">
        <f>IFERROR(__xludf.DUMMYFUNCTION("""COMPUTED_VALUE"""),44102.0)</f>
        <v>44102</v>
      </c>
      <c r="K1150" s="133">
        <f>IFERROR(__xludf.DUMMYFUNCTION("""COMPUTED_VALUE"""),20.0)</f>
        <v>20</v>
      </c>
      <c r="L1150" s="133">
        <f>IFERROR(__xludf.DUMMYFUNCTION("""COMPUTED_VALUE"""),1.0)</f>
        <v>1</v>
      </c>
      <c r="M1150" s="133">
        <f>IFERROR(__xludf.DUMMYFUNCTION("""COMPUTED_VALUE"""),21.0)</f>
        <v>21</v>
      </c>
      <c r="N1150" s="152" t="str">
        <f>IFERROR(__xludf.DUMMYFUNCTION("""COMPUTED_VALUE"""),"Model 3 LR AWD")</f>
        <v>Model 3 LR AWD</v>
      </c>
      <c r="O1150" s="152" t="str">
        <f>IFERROR(__xludf.DUMMYFUNCTION("""COMPUTED_VALUE"""),"Pearl White Multi-Coat")</f>
        <v>Pearl White Multi-Coat</v>
      </c>
      <c r="P1150" s="153" t="str">
        <f>IFERROR(__xludf.DUMMYFUNCTION("""COMPUTED_VALUE"""),"18 inch Aero")</f>
        <v>18 inch Aero</v>
      </c>
      <c r="Q1150" s="152" t="str">
        <f>IFERROR(__xludf.DUMMYFUNCTION("""COMPUTED_VALUE"""),"Black seats")</f>
        <v>Black seats</v>
      </c>
      <c r="R1150" s="150" t="str">
        <f>IFERROR(__xludf.DUMMYFUNCTION("""COMPUTED_VALUE"""),"Full Self-Driving")</f>
        <v>Full Self-Driving</v>
      </c>
      <c r="S1150" s="150"/>
      <c r="T1150" s="136"/>
      <c r="U1150" s="136"/>
      <c r="V1150" s="136"/>
      <c r="W1150" s="136"/>
      <c r="X1150" s="137" t="str">
        <f>IFERROR(__xludf.DUMMYFUNCTION("""COMPUTED_VALUE"""),"Excellent")</f>
        <v>Excellent</v>
      </c>
      <c r="Y1150" s="138" t="str">
        <f>IFERROR(__xludf.DUMMYFUNCTION("""COMPUTED_VALUE"""),"Excellent")</f>
        <v>Excellent</v>
      </c>
      <c r="Z1150" s="138" t="str">
        <f>IFERROR(__xludf.DUMMYFUNCTION("""COMPUTED_VALUE"""),"Very Good")</f>
        <v>Very Good</v>
      </c>
      <c r="AA1150" s="138" t="str">
        <f>IFERROR(__xludf.DUMMYFUNCTION("""COMPUTED_VALUE"""),"Excellent")</f>
        <v>Excellent</v>
      </c>
      <c r="AB1150" s="138" t="str">
        <f>IFERROR(__xludf.DUMMYFUNCTION("""COMPUTED_VALUE"""),"Excellent")</f>
        <v>Excellent</v>
      </c>
      <c r="AC1150" s="139">
        <f>IFERROR(__xludf.DUMMYFUNCTION("""COMPUTED_VALUE"""),1.0)</f>
        <v>1</v>
      </c>
      <c r="AD1150" s="139">
        <f>IFERROR(__xludf.DUMMYFUNCTION("""COMPUTED_VALUE"""),1.0)</f>
        <v>1</v>
      </c>
      <c r="AE1150" s="139"/>
      <c r="AF1150" s="140"/>
      <c r="AG1150" s="136" t="str">
        <f>IFERROR(__xludf.DUMMYFUNCTION("""COMPUTED_VALUE"""),"Received text on 9/26/20 stating Estimated Delivery 9/29/20")</f>
        <v>Received text on 9/26/20 stating Estimated Delivery 9/29/20</v>
      </c>
      <c r="AH1150" s="157">
        <f>IFERROR(__xludf.DUMMYFUNCTION("""COMPUTED_VALUE"""),44103.39317891203)</f>
        <v>44103.39318</v>
      </c>
      <c r="AI1150" s="138"/>
      <c r="AJ1150" s="138"/>
      <c r="AK1150" s="138"/>
      <c r="AL1150" s="142"/>
    </row>
    <row r="1151" ht="20.25" customHeight="1">
      <c r="A1151" s="155" t="str">
        <f>IFERROR(__xludf.DUMMYFUNCTION("""COMPUTED_VALUE"""),"mollyavalon")</f>
        <v>mollyavalon</v>
      </c>
      <c r="B1151" s="150" t="str">
        <f>IFERROR(__xludf.DUMMYFUNCTION("""COMPUTED_VALUE"""),"Lawrence")</f>
        <v>Lawrence</v>
      </c>
      <c r="C1151" s="150" t="str">
        <f>IFERROR(__xludf.DUMMYFUNCTION("""COMPUTED_VALUE"""),"KS")</f>
        <v>KS</v>
      </c>
      <c r="D1151" s="150" t="str">
        <f>IFERROR(__xludf.DUMMYFUNCTION("""COMPUTED_VALUE"""),"USA")</f>
        <v>USA</v>
      </c>
      <c r="E1151" s="156">
        <f>IFERROR(__xludf.DUMMYFUNCTION("""COMPUTED_VALUE"""),44074.0)</f>
        <v>44074</v>
      </c>
      <c r="F1151" s="129">
        <f>IFERROR(__xludf.DUMMYFUNCTION("""COMPUTED_VALUE"""),44097.0)</f>
        <v>44097</v>
      </c>
      <c r="G1151" s="154"/>
      <c r="H1151" s="131">
        <f>IFERROR(__xludf.DUMMYFUNCTION("""COMPUTED_VALUE"""),793655.0)</f>
        <v>793655</v>
      </c>
      <c r="I1151" s="132"/>
      <c r="J1151" s="129">
        <f>IFERROR(__xludf.DUMMYFUNCTION("""COMPUTED_VALUE"""),44103.0)</f>
        <v>44103</v>
      </c>
      <c r="K1151" s="133">
        <f>IFERROR(__xludf.DUMMYFUNCTION("""COMPUTED_VALUE"""),23.0)</f>
        <v>23</v>
      </c>
      <c r="L1151" s="133">
        <f>IFERROR(__xludf.DUMMYFUNCTION("""COMPUTED_VALUE"""),6.0)</f>
        <v>6</v>
      </c>
      <c r="M1151" s="133">
        <f>IFERROR(__xludf.DUMMYFUNCTION("""COMPUTED_VALUE"""),29.0)</f>
        <v>29</v>
      </c>
      <c r="N1151" s="152" t="str">
        <f>IFERROR(__xludf.DUMMYFUNCTION("""COMPUTED_VALUE"""),"Model 3 LR AWD")</f>
        <v>Model 3 LR AWD</v>
      </c>
      <c r="O1151" s="152" t="str">
        <f>IFERROR(__xludf.DUMMYFUNCTION("""COMPUTED_VALUE"""),"Deep Blue Metallic")</f>
        <v>Deep Blue Metallic</v>
      </c>
      <c r="P1151" s="153" t="str">
        <f>IFERROR(__xludf.DUMMYFUNCTION("""COMPUTED_VALUE"""),"18 inch Aero")</f>
        <v>18 inch Aero</v>
      </c>
      <c r="Q1151" s="152" t="str">
        <f>IFERROR(__xludf.DUMMYFUNCTION("""COMPUTED_VALUE"""),"Black seats")</f>
        <v>Black seats</v>
      </c>
      <c r="R1151" s="150" t="str">
        <f>IFERROR(__xludf.DUMMYFUNCTION("""COMPUTED_VALUE"""),"Autopilot")</f>
        <v>Autopilot</v>
      </c>
      <c r="S1151" s="150"/>
      <c r="T1151" s="136"/>
      <c r="U1151" s="136"/>
      <c r="V1151" s="136"/>
      <c r="W1151" s="136"/>
      <c r="X1151" s="137"/>
      <c r="Y1151" s="138"/>
      <c r="Z1151" s="138"/>
      <c r="AA1151" s="138" t="str">
        <f>IFERROR(__xludf.DUMMYFUNCTION("""COMPUTED_VALUE"""),"Good")</f>
        <v>Good</v>
      </c>
      <c r="AB1151" s="138"/>
      <c r="AC1151" s="139"/>
      <c r="AD1151" s="139"/>
      <c r="AE1151" s="139"/>
      <c r="AF1151" s="140"/>
      <c r="AG1151" s="136"/>
      <c r="AH1151" s="157">
        <f>IFERROR(__xludf.DUMMYFUNCTION("""COMPUTED_VALUE"""),44102.60588037037)</f>
        <v>44102.60588</v>
      </c>
      <c r="AI1151" s="138"/>
      <c r="AJ1151" s="138"/>
      <c r="AK1151" s="138"/>
      <c r="AL1151" s="142"/>
    </row>
    <row r="1152" ht="20.25" customHeight="1">
      <c r="A1152" s="155" t="str">
        <f>IFERROR(__xludf.DUMMYFUNCTION("""COMPUTED_VALUE"""),"Tommyboynj ")</f>
        <v>Tommyboynj </v>
      </c>
      <c r="B1152" s="149" t="str">
        <f>IFERROR(__xludf.DUMMYFUNCTION("""COMPUTED_VALUE"""),"jackson")</f>
        <v>jackson</v>
      </c>
      <c r="C1152" s="149" t="str">
        <f>IFERROR(__xludf.DUMMYFUNCTION("""COMPUTED_VALUE"""),"NJ")</f>
        <v>NJ</v>
      </c>
      <c r="D1152" s="149" t="str">
        <f>IFERROR(__xludf.DUMMYFUNCTION("""COMPUTED_VALUE"""),"USA")</f>
        <v>USA</v>
      </c>
      <c r="E1152" s="156">
        <f>IFERROR(__xludf.DUMMYFUNCTION("""COMPUTED_VALUE"""),44074.0)</f>
        <v>44074</v>
      </c>
      <c r="F1152" s="129">
        <f>IFERROR(__xludf.DUMMYFUNCTION("""COMPUTED_VALUE"""),44081.0)</f>
        <v>44081</v>
      </c>
      <c r="G1152" s="154"/>
      <c r="H1152" s="131"/>
      <c r="I1152" s="144" t="str">
        <f>IFERROR(__xludf.DUMMYFUNCTION("""COMPUTED_VALUE"""),"09/20")</f>
        <v>09/20</v>
      </c>
      <c r="J1152" s="129">
        <f>IFERROR(__xludf.DUMMYFUNCTION("""COMPUTED_VALUE"""),44092.0)</f>
        <v>44092</v>
      </c>
      <c r="K1152" s="133">
        <f>IFERROR(__xludf.DUMMYFUNCTION("""COMPUTED_VALUE"""),7.0)</f>
        <v>7</v>
      </c>
      <c r="L1152" s="133">
        <f>IFERROR(__xludf.DUMMYFUNCTION("""COMPUTED_VALUE"""),11.0)</f>
        <v>11</v>
      </c>
      <c r="M1152" s="133">
        <f>IFERROR(__xludf.DUMMYFUNCTION("""COMPUTED_VALUE"""),18.0)</f>
        <v>18</v>
      </c>
      <c r="N1152" s="152" t="str">
        <f>IFERROR(__xludf.DUMMYFUNCTION("""COMPUTED_VALUE"""),"Model 3 SR+")</f>
        <v>Model 3 SR+</v>
      </c>
      <c r="O1152" s="152" t="str">
        <f>IFERROR(__xludf.DUMMYFUNCTION("""COMPUTED_VALUE"""),"Pearl White Multi-Coat")</f>
        <v>Pearl White Multi-Coat</v>
      </c>
      <c r="P1152" s="153" t="str">
        <f>IFERROR(__xludf.DUMMYFUNCTION("""COMPUTED_VALUE"""),"18 inch Aero")</f>
        <v>18 inch Aero</v>
      </c>
      <c r="Q1152" s="152" t="str">
        <f>IFERROR(__xludf.DUMMYFUNCTION("""COMPUTED_VALUE"""),"Black seats")</f>
        <v>Black seats</v>
      </c>
      <c r="R1152" s="149" t="str">
        <f>IFERROR(__xludf.DUMMYFUNCTION("""COMPUTED_VALUE"""),"Autopilot")</f>
        <v>Autopilot</v>
      </c>
      <c r="S1152" s="149"/>
      <c r="T1152" s="145"/>
      <c r="U1152" s="145"/>
      <c r="V1152" s="145"/>
      <c r="W1152" s="136"/>
      <c r="X1152" s="137" t="str">
        <f>IFERROR(__xludf.DUMMYFUNCTION("""COMPUTED_VALUE"""),"Excellent")</f>
        <v>Excellent</v>
      </c>
      <c r="Y1152" s="138" t="str">
        <f>IFERROR(__xludf.DUMMYFUNCTION("""COMPUTED_VALUE"""),"Excellent")</f>
        <v>Excellent</v>
      </c>
      <c r="Z1152" s="138" t="str">
        <f>IFERROR(__xludf.DUMMYFUNCTION("""COMPUTED_VALUE"""),"Excellent")</f>
        <v>Excellent</v>
      </c>
      <c r="AA1152" s="138" t="str">
        <f>IFERROR(__xludf.DUMMYFUNCTION("""COMPUTED_VALUE"""),"Excellent")</f>
        <v>Excellent</v>
      </c>
      <c r="AB1152" s="138" t="str">
        <f>IFERROR(__xludf.DUMMYFUNCTION("""COMPUTED_VALUE"""),"Excellent")</f>
        <v>Excellent</v>
      </c>
      <c r="AC1152" s="139"/>
      <c r="AD1152" s="139"/>
      <c r="AE1152" s="139"/>
      <c r="AF1152" s="140"/>
      <c r="AG1152" s="136"/>
      <c r="AH1152" s="157">
        <f>IFERROR(__xludf.DUMMYFUNCTION("""COMPUTED_VALUE"""),44093.668248622685)</f>
        <v>44093.66825</v>
      </c>
      <c r="AI1152" s="138"/>
      <c r="AJ1152" s="138"/>
      <c r="AK1152" s="138"/>
      <c r="AL1152" s="142"/>
    </row>
    <row r="1153" ht="20.25" customHeight="1">
      <c r="A1153" s="155" t="str">
        <f>IFERROR(__xludf.DUMMYFUNCTION("""COMPUTED_VALUE"""),"bdub85")</f>
        <v>bdub85</v>
      </c>
      <c r="B1153" s="149" t="str">
        <f>IFERROR(__xludf.DUMMYFUNCTION("""COMPUTED_VALUE"""),"Millersville")</f>
        <v>Millersville</v>
      </c>
      <c r="C1153" s="149" t="str">
        <f>IFERROR(__xludf.DUMMYFUNCTION("""COMPUTED_VALUE"""),"MD")</f>
        <v>MD</v>
      </c>
      <c r="D1153" s="149" t="str">
        <f>IFERROR(__xludf.DUMMYFUNCTION("""COMPUTED_VALUE"""),"USA")</f>
        <v>USA</v>
      </c>
      <c r="E1153" s="156">
        <f>IFERROR(__xludf.DUMMYFUNCTION("""COMPUTED_VALUE"""),44069.0)</f>
        <v>44069</v>
      </c>
      <c r="F1153" s="129">
        <f>IFERROR(__xludf.DUMMYFUNCTION("""COMPUTED_VALUE"""),44076.0)</f>
        <v>44076</v>
      </c>
      <c r="G1153" s="154"/>
      <c r="H1153" s="131">
        <f>IFERROR(__xludf.DUMMYFUNCTION("""COMPUTED_VALUE"""),791851.0)</f>
        <v>791851</v>
      </c>
      <c r="I1153" s="144"/>
      <c r="J1153" s="129">
        <f>IFERROR(__xludf.DUMMYFUNCTION("""COMPUTED_VALUE"""),44091.0)</f>
        <v>44091</v>
      </c>
      <c r="K1153" s="133">
        <f>IFERROR(__xludf.DUMMYFUNCTION("""COMPUTED_VALUE"""),7.0)</f>
        <v>7</v>
      </c>
      <c r="L1153" s="133">
        <f>IFERROR(__xludf.DUMMYFUNCTION("""COMPUTED_VALUE"""),15.0)</f>
        <v>15</v>
      </c>
      <c r="M1153" s="133">
        <f>IFERROR(__xludf.DUMMYFUNCTION("""COMPUTED_VALUE"""),22.0)</f>
        <v>22</v>
      </c>
      <c r="N1153" s="152" t="str">
        <f>IFERROR(__xludf.DUMMYFUNCTION("""COMPUTED_VALUE"""),"Model 3 Performance")</f>
        <v>Model 3 Performance</v>
      </c>
      <c r="O1153" s="152" t="str">
        <f>IFERROR(__xludf.DUMMYFUNCTION("""COMPUTED_VALUE"""),"Pearl White Multi-Coat")</f>
        <v>Pearl White Multi-Coat</v>
      </c>
      <c r="P1153" s="153" t="str">
        <f>IFERROR(__xludf.DUMMYFUNCTION("""COMPUTED_VALUE"""),"20 inch Sport")</f>
        <v>20 inch Sport</v>
      </c>
      <c r="Q1153" s="152" t="str">
        <f>IFERROR(__xludf.DUMMYFUNCTION("""COMPUTED_VALUE"""),"Black seats")</f>
        <v>Black seats</v>
      </c>
      <c r="R1153" s="149" t="str">
        <f>IFERROR(__xludf.DUMMYFUNCTION("""COMPUTED_VALUE"""),"Autopilot")</f>
        <v>Autopilot</v>
      </c>
      <c r="S1153" s="149"/>
      <c r="T1153" s="145"/>
      <c r="U1153" s="145"/>
      <c r="V1153" s="145"/>
      <c r="W1153" s="136"/>
      <c r="X1153" s="137" t="str">
        <f>IFERROR(__xludf.DUMMYFUNCTION("""COMPUTED_VALUE"""),"Good")</f>
        <v>Good</v>
      </c>
      <c r="Y1153" s="138" t="str">
        <f>IFERROR(__xludf.DUMMYFUNCTION("""COMPUTED_VALUE"""),"Very Good")</f>
        <v>Very Good</v>
      </c>
      <c r="Z1153" s="138" t="str">
        <f>IFERROR(__xludf.DUMMYFUNCTION("""COMPUTED_VALUE"""),"Excellent")</f>
        <v>Excellent</v>
      </c>
      <c r="AA1153" s="138" t="str">
        <f>IFERROR(__xludf.DUMMYFUNCTION("""COMPUTED_VALUE"""),"Very Good")</f>
        <v>Very Good</v>
      </c>
      <c r="AB1153" s="138" t="str">
        <f>IFERROR(__xludf.DUMMYFUNCTION("""COMPUTED_VALUE"""),"Excellent")</f>
        <v>Excellent</v>
      </c>
      <c r="AC1153" s="139"/>
      <c r="AD1153" s="139"/>
      <c r="AE1153" s="139"/>
      <c r="AF1153" s="140"/>
      <c r="AG1153" s="136"/>
      <c r="AH1153" s="157">
        <f>IFERROR(__xludf.DUMMYFUNCTION("""COMPUTED_VALUE"""),44092.14433765046)</f>
        <v>44092.14434</v>
      </c>
      <c r="AI1153" s="138"/>
      <c r="AJ1153" s="138"/>
      <c r="AK1153" s="138"/>
      <c r="AL1153" s="142"/>
    </row>
    <row r="1154" ht="20.25" customHeight="1">
      <c r="A1154" s="155" t="str">
        <f>IFERROR(__xludf.DUMMYFUNCTION("""COMPUTED_VALUE"""),"solidprinciples")</f>
        <v>solidprinciples</v>
      </c>
      <c r="B1154" s="149" t="str">
        <f>IFERROR(__xludf.DUMMYFUNCTION("""COMPUTED_VALUE"""),"Seattle")</f>
        <v>Seattle</v>
      </c>
      <c r="C1154" s="149" t="str">
        <f>IFERROR(__xludf.DUMMYFUNCTION("""COMPUTED_VALUE"""),"WA")</f>
        <v>WA</v>
      </c>
      <c r="D1154" s="149" t="str">
        <f>IFERROR(__xludf.DUMMYFUNCTION("""COMPUTED_VALUE"""),"USA")</f>
        <v>USA</v>
      </c>
      <c r="E1154" s="156">
        <f>IFERROR(__xludf.DUMMYFUNCTION("""COMPUTED_VALUE"""),44067.0)</f>
        <v>44067</v>
      </c>
      <c r="F1154" s="129">
        <f>IFERROR(__xludf.DUMMYFUNCTION("""COMPUTED_VALUE"""),44095.0)</f>
        <v>44095</v>
      </c>
      <c r="G1154" s="154"/>
      <c r="H1154" s="131">
        <f>IFERROR(__xludf.DUMMYFUNCTION("""COMPUTED_VALUE"""),801255.0)</f>
        <v>801255</v>
      </c>
      <c r="I1154" s="144"/>
      <c r="J1154" s="129">
        <f>IFERROR(__xludf.DUMMYFUNCTION("""COMPUTED_VALUE"""),44100.0)</f>
        <v>44100</v>
      </c>
      <c r="K1154" s="133">
        <f>IFERROR(__xludf.DUMMYFUNCTION("""COMPUTED_VALUE"""),28.0)</f>
        <v>28</v>
      </c>
      <c r="L1154" s="133">
        <f>IFERROR(__xludf.DUMMYFUNCTION("""COMPUTED_VALUE"""),5.0)</f>
        <v>5</v>
      </c>
      <c r="M1154" s="133">
        <f>IFERROR(__xludf.DUMMYFUNCTION("""COMPUTED_VALUE"""),33.0)</f>
        <v>33</v>
      </c>
      <c r="N1154" s="152" t="str">
        <f>IFERROR(__xludf.DUMMYFUNCTION("""COMPUTED_VALUE"""),"Model 3 LR AWD")</f>
        <v>Model 3 LR AWD</v>
      </c>
      <c r="O1154" s="152" t="str">
        <f>IFERROR(__xludf.DUMMYFUNCTION("""COMPUTED_VALUE"""),"Midnight Silver Metallic")</f>
        <v>Midnight Silver Metallic</v>
      </c>
      <c r="P1154" s="153" t="str">
        <f>IFERROR(__xludf.DUMMYFUNCTION("""COMPUTED_VALUE"""),"19 inch Sport")</f>
        <v>19 inch Sport</v>
      </c>
      <c r="Q1154" s="152" t="str">
        <f>IFERROR(__xludf.DUMMYFUNCTION("""COMPUTED_VALUE"""),"Black seats")</f>
        <v>Black seats</v>
      </c>
      <c r="R1154" s="149" t="str">
        <f>IFERROR(__xludf.DUMMYFUNCTION("""COMPUTED_VALUE"""),"Autopilot")</f>
        <v>Autopilot</v>
      </c>
      <c r="S1154" s="149"/>
      <c r="T1154" s="145"/>
      <c r="U1154" s="145"/>
      <c r="V1154" s="145"/>
      <c r="W1154" s="136"/>
      <c r="X1154" s="137" t="str">
        <f>IFERROR(__xludf.DUMMYFUNCTION("""COMPUTED_VALUE"""),"Very Good")</f>
        <v>Very Good</v>
      </c>
      <c r="Y1154" s="138" t="str">
        <f>IFERROR(__xludf.DUMMYFUNCTION("""COMPUTED_VALUE"""),"Excellent")</f>
        <v>Excellent</v>
      </c>
      <c r="Z1154" s="138" t="str">
        <f>IFERROR(__xludf.DUMMYFUNCTION("""COMPUTED_VALUE"""),"Very Good")</f>
        <v>Very Good</v>
      </c>
      <c r="AA1154" s="138" t="str">
        <f>IFERROR(__xludf.DUMMYFUNCTION("""COMPUTED_VALUE"""),"Very Good")</f>
        <v>Very Good</v>
      </c>
      <c r="AB1154" s="138" t="str">
        <f>IFERROR(__xludf.DUMMYFUNCTION("""COMPUTED_VALUE"""),"Very Good")</f>
        <v>Very Good</v>
      </c>
      <c r="AC1154" s="139"/>
      <c r="AD1154" s="139"/>
      <c r="AE1154" s="139"/>
      <c r="AF1154" s="140"/>
      <c r="AG1154" s="136"/>
      <c r="AH1154" s="157">
        <f>IFERROR(__xludf.DUMMYFUNCTION("""COMPUTED_VALUE"""),44100.95078890046)</f>
        <v>44100.95079</v>
      </c>
      <c r="AI1154" s="138"/>
      <c r="AJ1154" s="138"/>
      <c r="AK1154" s="138"/>
      <c r="AL1154" s="142"/>
    </row>
    <row r="1155" ht="20.25" customHeight="1">
      <c r="A1155" s="155" t="str">
        <f>IFERROR(__xludf.DUMMYFUNCTION("""COMPUTED_VALUE"""),"hellphish")</f>
        <v>hellphish</v>
      </c>
      <c r="B1155" s="149" t="str">
        <f>IFERROR(__xludf.DUMMYFUNCTION("""COMPUTED_VALUE"""),"Ventura")</f>
        <v>Ventura</v>
      </c>
      <c r="C1155" s="149" t="str">
        <f>IFERROR(__xludf.DUMMYFUNCTION("""COMPUTED_VALUE"""),"CA")</f>
        <v>CA</v>
      </c>
      <c r="D1155" s="149" t="str">
        <f>IFERROR(__xludf.DUMMYFUNCTION("""COMPUTED_VALUE"""),"USA")</f>
        <v>USA</v>
      </c>
      <c r="E1155" s="156">
        <f>IFERROR(__xludf.DUMMYFUNCTION("""COMPUTED_VALUE"""),44066.0)</f>
        <v>44066</v>
      </c>
      <c r="F1155" s="129">
        <f>IFERROR(__xludf.DUMMYFUNCTION("""COMPUTED_VALUE"""),44095.0)</f>
        <v>44095</v>
      </c>
      <c r="G1155" s="154"/>
      <c r="H1155" s="131">
        <f>IFERROR(__xludf.DUMMYFUNCTION("""COMPUTED_VALUE"""),801755.0)</f>
        <v>801755</v>
      </c>
      <c r="I1155" s="144" t="str">
        <f>IFERROR(__xludf.DUMMYFUNCTION("""COMPUTED_VALUE"""),"08/20")</f>
        <v>08/20</v>
      </c>
      <c r="J1155" s="129">
        <f>IFERROR(__xludf.DUMMYFUNCTION("""COMPUTED_VALUE"""),44098.0)</f>
        <v>44098</v>
      </c>
      <c r="K1155" s="133">
        <f>IFERROR(__xludf.DUMMYFUNCTION("""COMPUTED_VALUE"""),29.0)</f>
        <v>29</v>
      </c>
      <c r="L1155" s="133">
        <f>IFERROR(__xludf.DUMMYFUNCTION("""COMPUTED_VALUE"""),3.0)</f>
        <v>3</v>
      </c>
      <c r="M1155" s="133">
        <f>IFERROR(__xludf.DUMMYFUNCTION("""COMPUTED_VALUE"""),32.0)</f>
        <v>32</v>
      </c>
      <c r="N1155" s="152" t="str">
        <f>IFERROR(__xludf.DUMMYFUNCTION("""COMPUTED_VALUE"""),"Model 3 LR AWD")</f>
        <v>Model 3 LR AWD</v>
      </c>
      <c r="O1155" s="152" t="str">
        <f>IFERROR(__xludf.DUMMYFUNCTION("""COMPUTED_VALUE"""),"Pearl White Multi-Coat")</f>
        <v>Pearl White Multi-Coat</v>
      </c>
      <c r="P1155" s="153" t="str">
        <f>IFERROR(__xludf.DUMMYFUNCTION("""COMPUTED_VALUE"""),"18 inch Aero")</f>
        <v>18 inch Aero</v>
      </c>
      <c r="Q1155" s="152" t="str">
        <f>IFERROR(__xludf.DUMMYFUNCTION("""COMPUTED_VALUE"""),"White seats")</f>
        <v>White seats</v>
      </c>
      <c r="R1155" s="149" t="str">
        <f>IFERROR(__xludf.DUMMYFUNCTION("""COMPUTED_VALUE"""),"Full Self-Driving")</f>
        <v>Full Self-Driving</v>
      </c>
      <c r="S1155" s="149"/>
      <c r="T1155" s="145"/>
      <c r="U1155" s="145"/>
      <c r="V1155" s="145"/>
      <c r="W1155" s="145"/>
      <c r="X1155" s="137" t="str">
        <f>IFERROR(__xludf.DUMMYFUNCTION("""COMPUTED_VALUE"""),"Very Good")</f>
        <v>Very Good</v>
      </c>
      <c r="Y1155" s="138" t="str">
        <f>IFERROR(__xludf.DUMMYFUNCTION("""COMPUTED_VALUE"""),"Excellent")</f>
        <v>Excellent</v>
      </c>
      <c r="Z1155" s="138" t="str">
        <f>IFERROR(__xludf.DUMMYFUNCTION("""COMPUTED_VALUE"""),"Very Good")</f>
        <v>Very Good</v>
      </c>
      <c r="AA1155" s="138" t="str">
        <f>IFERROR(__xludf.DUMMYFUNCTION("""COMPUTED_VALUE"""),"Fair")</f>
        <v>Fair</v>
      </c>
      <c r="AB1155" s="138" t="str">
        <f>IFERROR(__xludf.DUMMYFUNCTION("""COMPUTED_VALUE"""),"Excellent")</f>
        <v>Excellent</v>
      </c>
      <c r="AC1155" s="139">
        <f>IFERROR(__xludf.DUMMYFUNCTION("""COMPUTED_VALUE"""),0.0)</f>
        <v>0</v>
      </c>
      <c r="AD1155" s="139"/>
      <c r="AE1155" s="139"/>
      <c r="AF1155" s="140"/>
      <c r="AG1155" s="145"/>
      <c r="AH1155" s="157">
        <f>IFERROR(__xludf.DUMMYFUNCTION("""COMPUTED_VALUE"""),44106.451795127316)</f>
        <v>44106.4518</v>
      </c>
      <c r="AI1155" s="138"/>
      <c r="AJ1155" s="138"/>
      <c r="AK1155" s="138"/>
      <c r="AL1155" s="142"/>
    </row>
    <row r="1156" ht="20.25" customHeight="1">
      <c r="A1156" s="155" t="str">
        <f>IFERROR(__xludf.DUMMYFUNCTION("""COMPUTED_VALUE"""),"ScootyPuff")</f>
        <v>ScootyPuff</v>
      </c>
      <c r="B1156" s="149" t="str">
        <f>IFERROR(__xludf.DUMMYFUNCTION("""COMPUTED_VALUE"""),"Knoxville")</f>
        <v>Knoxville</v>
      </c>
      <c r="C1156" s="149" t="str">
        <f>IFERROR(__xludf.DUMMYFUNCTION("""COMPUTED_VALUE"""),"TN")</f>
        <v>TN</v>
      </c>
      <c r="D1156" s="149" t="str">
        <f>IFERROR(__xludf.DUMMYFUNCTION("""COMPUTED_VALUE"""),"USA")</f>
        <v>USA</v>
      </c>
      <c r="E1156" s="156">
        <f>IFERROR(__xludf.DUMMYFUNCTION("""COMPUTED_VALUE"""),44066.0)</f>
        <v>44066</v>
      </c>
      <c r="F1156" s="129">
        <f>IFERROR(__xludf.DUMMYFUNCTION("""COMPUTED_VALUE"""),44078.0)</f>
        <v>44078</v>
      </c>
      <c r="G1156" s="154"/>
      <c r="H1156" s="131">
        <f>IFERROR(__xludf.DUMMYFUNCTION("""COMPUTED_VALUE"""),792075.0)</f>
        <v>792075</v>
      </c>
      <c r="I1156" s="144"/>
      <c r="J1156" s="129">
        <f>IFERROR(__xludf.DUMMYFUNCTION("""COMPUTED_VALUE"""),44094.0)</f>
        <v>44094</v>
      </c>
      <c r="K1156" s="133">
        <f>IFERROR(__xludf.DUMMYFUNCTION("""COMPUTED_VALUE"""),12.0)</f>
        <v>12</v>
      </c>
      <c r="L1156" s="133">
        <f>IFERROR(__xludf.DUMMYFUNCTION("""COMPUTED_VALUE"""),16.0)</f>
        <v>16</v>
      </c>
      <c r="M1156" s="133">
        <f>IFERROR(__xludf.DUMMYFUNCTION("""COMPUTED_VALUE"""),28.0)</f>
        <v>28</v>
      </c>
      <c r="N1156" s="152" t="str">
        <f>IFERROR(__xludf.DUMMYFUNCTION("""COMPUTED_VALUE"""),"Model 3 Performance")</f>
        <v>Model 3 Performance</v>
      </c>
      <c r="O1156" s="152" t="str">
        <f>IFERROR(__xludf.DUMMYFUNCTION("""COMPUTED_VALUE"""),"Pearl White Multi-Coat")</f>
        <v>Pearl White Multi-Coat</v>
      </c>
      <c r="P1156" s="153" t="str">
        <f>IFERROR(__xludf.DUMMYFUNCTION("""COMPUTED_VALUE"""),"20 inch Sport")</f>
        <v>20 inch Sport</v>
      </c>
      <c r="Q1156" s="152" t="str">
        <f>IFERROR(__xludf.DUMMYFUNCTION("""COMPUTED_VALUE"""),"White seats")</f>
        <v>White seats</v>
      </c>
      <c r="R1156" s="149" t="str">
        <f>IFERROR(__xludf.DUMMYFUNCTION("""COMPUTED_VALUE"""),"Autopilot")</f>
        <v>Autopilot</v>
      </c>
      <c r="S1156" s="149"/>
      <c r="T1156" s="145"/>
      <c r="U1156" s="145"/>
      <c r="V1156" s="145"/>
      <c r="W1156" s="145"/>
      <c r="X1156" s="137" t="str">
        <f>IFERROR(__xludf.DUMMYFUNCTION("""COMPUTED_VALUE"""),"Very Good")</f>
        <v>Very Good</v>
      </c>
      <c r="Y1156" s="138" t="str">
        <f>IFERROR(__xludf.DUMMYFUNCTION("""COMPUTED_VALUE"""),"Excellent")</f>
        <v>Excellent</v>
      </c>
      <c r="Z1156" s="138" t="str">
        <f>IFERROR(__xludf.DUMMYFUNCTION("""COMPUTED_VALUE"""),"Excellent")</f>
        <v>Excellent</v>
      </c>
      <c r="AA1156" s="138" t="str">
        <f>IFERROR(__xludf.DUMMYFUNCTION("""COMPUTED_VALUE"""),"Excellent")</f>
        <v>Excellent</v>
      </c>
      <c r="AB1156" s="138" t="str">
        <f>IFERROR(__xludf.DUMMYFUNCTION("""COMPUTED_VALUE"""),"Excellent")</f>
        <v>Excellent</v>
      </c>
      <c r="AC1156" s="139">
        <f>IFERROR(__xludf.DUMMYFUNCTION("""COMPUTED_VALUE"""),0.0)</f>
        <v>0</v>
      </c>
      <c r="AD1156" s="139">
        <f>IFERROR(__xludf.DUMMYFUNCTION("""COMPUTED_VALUE"""),0.0)</f>
        <v>0</v>
      </c>
      <c r="AE1156" s="139">
        <f>IFERROR(__xludf.DUMMYFUNCTION("""COMPUTED_VALUE"""),0.0)</f>
        <v>0</v>
      </c>
      <c r="AF1156" s="140"/>
      <c r="AG1156" s="145"/>
      <c r="AH1156" s="157">
        <f>IFERROR(__xludf.DUMMYFUNCTION("""COMPUTED_VALUE"""),44104.43073606481)</f>
        <v>44104.43074</v>
      </c>
      <c r="AI1156" s="138"/>
      <c r="AJ1156" s="138"/>
      <c r="AK1156" s="138"/>
      <c r="AL1156" s="142"/>
    </row>
    <row r="1157" ht="20.25" customHeight="1">
      <c r="A1157" s="155" t="str">
        <f>IFERROR(__xludf.DUMMYFUNCTION("""COMPUTED_VALUE"""),"seetee6891")</f>
        <v>seetee6891</v>
      </c>
      <c r="B1157" s="149"/>
      <c r="C1157" s="149" t="str">
        <f>IFERROR(__xludf.DUMMYFUNCTION("""COMPUTED_VALUE"""),"WI")</f>
        <v>WI</v>
      </c>
      <c r="D1157" s="149" t="str">
        <f>IFERROR(__xludf.DUMMYFUNCTION("""COMPUTED_VALUE"""),"USA")</f>
        <v>USA</v>
      </c>
      <c r="E1157" s="156">
        <f>IFERROR(__xludf.DUMMYFUNCTION("""COMPUTED_VALUE"""),44065.0)</f>
        <v>44065</v>
      </c>
      <c r="F1157" s="129">
        <f>IFERROR(__xludf.DUMMYFUNCTION("""COMPUTED_VALUE"""),44080.0)</f>
        <v>44080</v>
      </c>
      <c r="G1157" s="154"/>
      <c r="H1157" s="131">
        <f>IFERROR(__xludf.DUMMYFUNCTION("""COMPUTED_VALUE"""),790655.0)</f>
        <v>790655</v>
      </c>
      <c r="I1157" s="144"/>
      <c r="J1157" s="129">
        <f>IFERROR(__xludf.DUMMYFUNCTION("""COMPUTED_VALUE"""),44096.0)</f>
        <v>44096</v>
      </c>
      <c r="K1157" s="133">
        <f>IFERROR(__xludf.DUMMYFUNCTION("""COMPUTED_VALUE"""),15.0)</f>
        <v>15</v>
      </c>
      <c r="L1157" s="133">
        <f>IFERROR(__xludf.DUMMYFUNCTION("""COMPUTED_VALUE"""),16.0)</f>
        <v>16</v>
      </c>
      <c r="M1157" s="133">
        <f>IFERROR(__xludf.DUMMYFUNCTION("""COMPUTED_VALUE"""),31.0)</f>
        <v>31</v>
      </c>
      <c r="N1157" s="152" t="str">
        <f>IFERROR(__xludf.DUMMYFUNCTION("""COMPUTED_VALUE"""),"Model 3 LR AWD")</f>
        <v>Model 3 LR AWD</v>
      </c>
      <c r="O1157" s="152" t="str">
        <f>IFERROR(__xludf.DUMMYFUNCTION("""COMPUTED_VALUE"""),"Pearl White Multi-Coat")</f>
        <v>Pearl White Multi-Coat</v>
      </c>
      <c r="P1157" s="153" t="str">
        <f>IFERROR(__xludf.DUMMYFUNCTION("""COMPUTED_VALUE"""),"18 inch Aero")</f>
        <v>18 inch Aero</v>
      </c>
      <c r="Q1157" s="152" t="str">
        <f>IFERROR(__xludf.DUMMYFUNCTION("""COMPUTED_VALUE"""),"Black seats")</f>
        <v>Black seats</v>
      </c>
      <c r="R1157" s="149" t="str">
        <f>IFERROR(__xludf.DUMMYFUNCTION("""COMPUTED_VALUE"""),"Autopilot")</f>
        <v>Autopilot</v>
      </c>
      <c r="S1157" s="149"/>
      <c r="T1157" s="145"/>
      <c r="U1157" s="145"/>
      <c r="V1157" s="145"/>
      <c r="W1157" s="136"/>
      <c r="X1157" s="137" t="str">
        <f>IFERROR(__xludf.DUMMYFUNCTION("""COMPUTED_VALUE"""),"Very Good")</f>
        <v>Very Good</v>
      </c>
      <c r="Y1157" s="138" t="str">
        <f>IFERROR(__xludf.DUMMYFUNCTION("""COMPUTED_VALUE"""),"Very Good")</f>
        <v>Very Good</v>
      </c>
      <c r="Z1157" s="138" t="str">
        <f>IFERROR(__xludf.DUMMYFUNCTION("""COMPUTED_VALUE"""),"Very Good")</f>
        <v>Very Good</v>
      </c>
      <c r="AA1157" s="138" t="str">
        <f>IFERROR(__xludf.DUMMYFUNCTION("""COMPUTED_VALUE"""),"Fair")</f>
        <v>Fair</v>
      </c>
      <c r="AB1157" s="138" t="str">
        <f>IFERROR(__xludf.DUMMYFUNCTION("""COMPUTED_VALUE"""),"Fair")</f>
        <v>Fair</v>
      </c>
      <c r="AC1157" s="139">
        <f>IFERROR(__xludf.DUMMYFUNCTION("""COMPUTED_VALUE"""),1.0)</f>
        <v>1</v>
      </c>
      <c r="AD1157" s="139"/>
      <c r="AE1157" s="139"/>
      <c r="AF1157" s="140"/>
      <c r="AG1157" s="136" t="str">
        <f>IFERROR(__xludf.DUMMYFUNCTION("""COMPUTED_VALUE"""),"Front passenger door has popping noise when opening/closing ")</f>
        <v>Front passenger door has popping noise when opening/closing </v>
      </c>
      <c r="AH1157" s="157">
        <f>IFERROR(__xludf.DUMMYFUNCTION("""COMPUTED_VALUE"""),44101.60840429398)</f>
        <v>44101.6084</v>
      </c>
      <c r="AI1157" s="138"/>
      <c r="AJ1157" s="138"/>
      <c r="AK1157" s="138"/>
      <c r="AL1157" s="142"/>
    </row>
    <row r="1158" ht="20.25" customHeight="1">
      <c r="A1158" s="155" t="str">
        <f>IFERROR(__xludf.DUMMYFUNCTION("""COMPUTED_VALUE"""),"boogle")</f>
        <v>boogle</v>
      </c>
      <c r="B1158" s="159"/>
      <c r="C1158" s="159"/>
      <c r="D1158" s="159" t="str">
        <f>IFERROR(__xludf.DUMMYFUNCTION("""COMPUTED_VALUE"""),"United Kingdom")</f>
        <v>United Kingdom</v>
      </c>
      <c r="E1158" s="156">
        <f>IFERROR(__xludf.DUMMYFUNCTION("""COMPUTED_VALUE"""),44064.0)</f>
        <v>44064</v>
      </c>
      <c r="F1158" s="129">
        <f>IFERROR(__xludf.DUMMYFUNCTION("""COMPUTED_VALUE"""),44067.0)</f>
        <v>44067</v>
      </c>
      <c r="G1158" s="154"/>
      <c r="H1158" s="131">
        <f>IFERROR(__xludf.DUMMYFUNCTION("""COMPUTED_VALUE"""),773255.0)</f>
        <v>773255</v>
      </c>
      <c r="I1158" s="160"/>
      <c r="J1158" s="129">
        <f>IFERROR(__xludf.DUMMYFUNCTION("""COMPUTED_VALUE"""),44096.0)</f>
        <v>44096</v>
      </c>
      <c r="K1158" s="133">
        <f>IFERROR(__xludf.DUMMYFUNCTION("""COMPUTED_VALUE"""),3.0)</f>
        <v>3</v>
      </c>
      <c r="L1158" s="133">
        <f>IFERROR(__xludf.DUMMYFUNCTION("""COMPUTED_VALUE"""),29.0)</f>
        <v>29</v>
      </c>
      <c r="M1158" s="133">
        <f>IFERROR(__xludf.DUMMYFUNCTION("""COMPUTED_VALUE"""),32.0)</f>
        <v>32</v>
      </c>
      <c r="N1158" s="152" t="str">
        <f>IFERROR(__xludf.DUMMYFUNCTION("""COMPUTED_VALUE"""),"Model 3 Performance")</f>
        <v>Model 3 Performance</v>
      </c>
      <c r="O1158" s="152" t="str">
        <f>IFERROR(__xludf.DUMMYFUNCTION("""COMPUTED_VALUE"""),"Pearl White Multi-Coat")</f>
        <v>Pearl White Multi-Coat</v>
      </c>
      <c r="P1158" s="153" t="str">
        <f>IFERROR(__xludf.DUMMYFUNCTION("""COMPUTED_VALUE"""),"20 inch Sport")</f>
        <v>20 inch Sport</v>
      </c>
      <c r="Q1158" s="152" t="str">
        <f>IFERROR(__xludf.DUMMYFUNCTION("""COMPUTED_VALUE"""),"Black seats")</f>
        <v>Black seats</v>
      </c>
      <c r="R1158" s="159" t="str">
        <f>IFERROR(__xludf.DUMMYFUNCTION("""COMPUTED_VALUE"""),"Autopilot")</f>
        <v>Autopilot</v>
      </c>
      <c r="S1158" s="159"/>
      <c r="T1158" s="161"/>
      <c r="U1158" s="161"/>
      <c r="V1158" s="161"/>
      <c r="W1158" s="161"/>
      <c r="X1158" s="137" t="str">
        <f>IFERROR(__xludf.DUMMYFUNCTION("""COMPUTED_VALUE"""),"Good")</f>
        <v>Good</v>
      </c>
      <c r="Y1158" s="138" t="str">
        <f>IFERROR(__xludf.DUMMYFUNCTION("""COMPUTED_VALUE"""),"Excellent")</f>
        <v>Excellent</v>
      </c>
      <c r="Z1158" s="138" t="str">
        <f>IFERROR(__xludf.DUMMYFUNCTION("""COMPUTED_VALUE"""),"Excellent")</f>
        <v>Excellent</v>
      </c>
      <c r="AA1158" s="138" t="str">
        <f>IFERROR(__xludf.DUMMYFUNCTION("""COMPUTED_VALUE"""),"Good")</f>
        <v>Good</v>
      </c>
      <c r="AB1158" s="138" t="str">
        <f>IFERROR(__xludf.DUMMYFUNCTION("""COMPUTED_VALUE"""),"Very Good")</f>
        <v>Very Good</v>
      </c>
      <c r="AC1158" s="139">
        <f>IFERROR(__xludf.DUMMYFUNCTION("""COMPUTED_VALUE"""),4.0)</f>
        <v>4</v>
      </c>
      <c r="AD1158" s="139">
        <f>IFERROR(__xludf.DUMMYFUNCTION("""COMPUTED_VALUE"""),1.0)</f>
        <v>1</v>
      </c>
      <c r="AE1158" s="139">
        <f>IFERROR(__xludf.DUMMYFUNCTION("""COMPUTED_VALUE"""),0.0)</f>
        <v>0</v>
      </c>
      <c r="AF1158" s="140"/>
      <c r="AG1158" s="161" t="str">
        <f>IFERROR(__xludf.DUMMYFUNCTION("""COMPUTED_VALUE"""),"Found in new inventory, marked as in-transit")</f>
        <v>Found in new inventory, marked as in-transit</v>
      </c>
      <c r="AH1158" s="157">
        <f>IFERROR(__xludf.DUMMYFUNCTION("""COMPUTED_VALUE"""),44125.56281596065)</f>
        <v>44125.56282</v>
      </c>
      <c r="AI1158" s="138"/>
      <c r="AJ1158" s="138"/>
      <c r="AK1158" s="138"/>
      <c r="AL1158" s="142"/>
    </row>
    <row r="1159" ht="20.25" customHeight="1">
      <c r="A1159" s="155" t="str">
        <f>IFERROR(__xludf.DUMMYFUNCTION("""COMPUTED_VALUE"""),"HitUpOlas")</f>
        <v>HitUpOlas</v>
      </c>
      <c r="B1159" s="149" t="str">
        <f>IFERROR(__xludf.DUMMYFUNCTION("""COMPUTED_VALUE"""),"Atlanta")</f>
        <v>Atlanta</v>
      </c>
      <c r="C1159" s="149" t="str">
        <f>IFERROR(__xludf.DUMMYFUNCTION("""COMPUTED_VALUE"""),"GA")</f>
        <v>GA</v>
      </c>
      <c r="D1159" s="149" t="str">
        <f>IFERROR(__xludf.DUMMYFUNCTION("""COMPUTED_VALUE"""),"USA")</f>
        <v>USA</v>
      </c>
      <c r="E1159" s="156">
        <f>IFERROR(__xludf.DUMMYFUNCTION("""COMPUTED_VALUE"""),44061.0)</f>
        <v>44061</v>
      </c>
      <c r="F1159" s="129">
        <f>IFERROR(__xludf.DUMMYFUNCTION("""COMPUTED_VALUE"""),44071.0)</f>
        <v>44071</v>
      </c>
      <c r="G1159" s="154"/>
      <c r="H1159" s="131">
        <f>IFERROR(__xludf.DUMMYFUNCTION("""COMPUTED_VALUE"""),785055.0)</f>
        <v>785055</v>
      </c>
      <c r="I1159" s="132" t="str">
        <f>IFERROR(__xludf.DUMMYFUNCTION("""COMPUTED_VALUE"""),"08/20")</f>
        <v>08/20</v>
      </c>
      <c r="J1159" s="129">
        <f>IFERROR(__xludf.DUMMYFUNCTION("""COMPUTED_VALUE"""),44088.0)</f>
        <v>44088</v>
      </c>
      <c r="K1159" s="133">
        <f>IFERROR(__xludf.DUMMYFUNCTION("""COMPUTED_VALUE"""),10.0)</f>
        <v>10</v>
      </c>
      <c r="L1159" s="133">
        <f>IFERROR(__xludf.DUMMYFUNCTION("""COMPUTED_VALUE"""),17.0)</f>
        <v>17</v>
      </c>
      <c r="M1159" s="133">
        <f>IFERROR(__xludf.DUMMYFUNCTION("""COMPUTED_VALUE"""),27.0)</f>
        <v>27</v>
      </c>
      <c r="N1159" s="152" t="str">
        <f>IFERROR(__xludf.DUMMYFUNCTION("""COMPUTED_VALUE"""),"Model 3 SR+")</f>
        <v>Model 3 SR+</v>
      </c>
      <c r="O1159" s="152" t="str">
        <f>IFERROR(__xludf.DUMMYFUNCTION("""COMPUTED_VALUE"""),"Deep Blue Metallic")</f>
        <v>Deep Blue Metallic</v>
      </c>
      <c r="P1159" s="153" t="str">
        <f>IFERROR(__xludf.DUMMYFUNCTION("""COMPUTED_VALUE"""),"18 inch Aero")</f>
        <v>18 inch Aero</v>
      </c>
      <c r="Q1159" s="152" t="str">
        <f>IFERROR(__xludf.DUMMYFUNCTION("""COMPUTED_VALUE"""),"Black seats")</f>
        <v>Black seats</v>
      </c>
      <c r="R1159" s="150" t="str">
        <f>IFERROR(__xludf.DUMMYFUNCTION("""COMPUTED_VALUE"""),"Autopilot")</f>
        <v>Autopilot</v>
      </c>
      <c r="S1159" s="150"/>
      <c r="T1159" s="136"/>
      <c r="U1159" s="136"/>
      <c r="V1159" s="136"/>
      <c r="W1159" s="136"/>
      <c r="X1159" s="137" t="str">
        <f>IFERROR(__xludf.DUMMYFUNCTION("""COMPUTED_VALUE"""),"Excellent")</f>
        <v>Excellent</v>
      </c>
      <c r="Y1159" s="138" t="str">
        <f>IFERROR(__xludf.DUMMYFUNCTION("""COMPUTED_VALUE"""),"Excellent")</f>
        <v>Excellent</v>
      </c>
      <c r="Z1159" s="138" t="str">
        <f>IFERROR(__xludf.DUMMYFUNCTION("""COMPUTED_VALUE"""),"Excellent")</f>
        <v>Excellent</v>
      </c>
      <c r="AA1159" s="138" t="str">
        <f>IFERROR(__xludf.DUMMYFUNCTION("""COMPUTED_VALUE"""),"Excellent")</f>
        <v>Excellent</v>
      </c>
      <c r="AB1159" s="138" t="str">
        <f>IFERROR(__xludf.DUMMYFUNCTION("""COMPUTED_VALUE"""),"Excellent")</f>
        <v>Excellent</v>
      </c>
      <c r="AC1159" s="139">
        <f>IFERROR(__xludf.DUMMYFUNCTION("""COMPUTED_VALUE"""),0.0)</f>
        <v>0</v>
      </c>
      <c r="AD1159" s="139">
        <f>IFERROR(__xludf.DUMMYFUNCTION("""COMPUTED_VALUE"""),0.0)</f>
        <v>0</v>
      </c>
      <c r="AE1159" s="139">
        <f>IFERROR(__xludf.DUMMYFUNCTION("""COMPUTED_VALUE"""),0.0)</f>
        <v>0</v>
      </c>
      <c r="AF1159" s="140"/>
      <c r="AG1159" s="136" t="str">
        <f>IFERROR(__xludf.DUMMYFUNCTION("""COMPUTED_VALUE"""),"Initial Text from Tesla was 3-6 weeks.  Delivered on day 27")</f>
        <v>Initial Text from Tesla was 3-6 weeks.  Delivered on day 27</v>
      </c>
      <c r="AH1159" s="157">
        <f>IFERROR(__xludf.DUMMYFUNCTION("""COMPUTED_VALUE"""),44088.78993533565)</f>
        <v>44088.78994</v>
      </c>
      <c r="AI1159" s="138"/>
      <c r="AJ1159" s="138"/>
      <c r="AK1159" s="138"/>
      <c r="AL1159" s="142"/>
    </row>
    <row r="1160" ht="20.25" customHeight="1">
      <c r="A1160" s="155" t="str">
        <f>IFERROR(__xludf.DUMMYFUNCTION("""COMPUTED_VALUE"""),"aremdee")</f>
        <v>aremdee</v>
      </c>
      <c r="B1160" s="149" t="str">
        <f>IFERROR(__xludf.DUMMYFUNCTION("""COMPUTED_VALUE"""),"Wilmington")</f>
        <v>Wilmington</v>
      </c>
      <c r="C1160" s="149" t="str">
        <f>IFERROR(__xludf.DUMMYFUNCTION("""COMPUTED_VALUE"""),"DE")</f>
        <v>DE</v>
      </c>
      <c r="D1160" s="149" t="str">
        <f>IFERROR(__xludf.DUMMYFUNCTION("""COMPUTED_VALUE"""),"USA")</f>
        <v>USA</v>
      </c>
      <c r="E1160" s="156">
        <f>IFERROR(__xludf.DUMMYFUNCTION("""COMPUTED_VALUE"""),44060.0)</f>
        <v>44060</v>
      </c>
      <c r="F1160" s="129">
        <f>IFERROR(__xludf.DUMMYFUNCTION("""COMPUTED_VALUE"""),44085.0)</f>
        <v>44085</v>
      </c>
      <c r="G1160" s="154"/>
      <c r="H1160" s="131">
        <f>IFERROR(__xludf.DUMMYFUNCTION("""COMPUTED_VALUE"""),787316.0)</f>
        <v>787316</v>
      </c>
      <c r="I1160" s="144" t="str">
        <f>IFERROR(__xludf.DUMMYFUNCTION("""COMPUTED_VALUE"""),"09/20")</f>
        <v>09/20</v>
      </c>
      <c r="J1160" s="129">
        <f>IFERROR(__xludf.DUMMYFUNCTION("""COMPUTED_VALUE"""),44096.0)</f>
        <v>44096</v>
      </c>
      <c r="K1160" s="133">
        <f>IFERROR(__xludf.DUMMYFUNCTION("""COMPUTED_VALUE"""),25.0)</f>
        <v>25</v>
      </c>
      <c r="L1160" s="133">
        <f>IFERROR(__xludf.DUMMYFUNCTION("""COMPUTED_VALUE"""),11.0)</f>
        <v>11</v>
      </c>
      <c r="M1160" s="133">
        <f>IFERROR(__xludf.DUMMYFUNCTION("""COMPUTED_VALUE"""),36.0)</f>
        <v>36</v>
      </c>
      <c r="N1160" s="152" t="str">
        <f>IFERROR(__xludf.DUMMYFUNCTION("""COMPUTED_VALUE"""),"Model 3 LR AWD")</f>
        <v>Model 3 LR AWD</v>
      </c>
      <c r="O1160" s="152" t="str">
        <f>IFERROR(__xludf.DUMMYFUNCTION("""COMPUTED_VALUE"""),"Pearl White Multi-Coat")</f>
        <v>Pearl White Multi-Coat</v>
      </c>
      <c r="P1160" s="153" t="str">
        <f>IFERROR(__xludf.DUMMYFUNCTION("""COMPUTED_VALUE"""),"18 inch Aero")</f>
        <v>18 inch Aero</v>
      </c>
      <c r="Q1160" s="152" t="str">
        <f>IFERROR(__xludf.DUMMYFUNCTION("""COMPUTED_VALUE"""),"Black seats")</f>
        <v>Black seats</v>
      </c>
      <c r="R1160" s="149" t="str">
        <f>IFERROR(__xludf.DUMMYFUNCTION("""COMPUTED_VALUE"""),"Autopilot")</f>
        <v>Autopilot</v>
      </c>
      <c r="S1160" s="149"/>
      <c r="T1160" s="145"/>
      <c r="U1160" s="145"/>
      <c r="V1160" s="145"/>
      <c r="W1160" s="136"/>
      <c r="X1160" s="137" t="str">
        <f>IFERROR(__xludf.DUMMYFUNCTION("""COMPUTED_VALUE"""),"Excellent")</f>
        <v>Excellent</v>
      </c>
      <c r="Y1160" s="138" t="str">
        <f>IFERROR(__xludf.DUMMYFUNCTION("""COMPUTED_VALUE"""),"Excellent")</f>
        <v>Excellent</v>
      </c>
      <c r="Z1160" s="138" t="str">
        <f>IFERROR(__xludf.DUMMYFUNCTION("""COMPUTED_VALUE"""),"Very Good")</f>
        <v>Very Good</v>
      </c>
      <c r="AA1160" s="138" t="str">
        <f>IFERROR(__xludf.DUMMYFUNCTION("""COMPUTED_VALUE"""),"Good")</f>
        <v>Good</v>
      </c>
      <c r="AB1160" s="138" t="str">
        <f>IFERROR(__xludf.DUMMYFUNCTION("""COMPUTED_VALUE"""),"Very Good")</f>
        <v>Very Good</v>
      </c>
      <c r="AC1160" s="139">
        <f>IFERROR(__xludf.DUMMYFUNCTION("""COMPUTED_VALUE"""),2.0)</f>
        <v>2</v>
      </c>
      <c r="AD1160" s="139"/>
      <c r="AE1160" s="139">
        <f>IFERROR(__xludf.DUMMYFUNCTION("""COMPUTED_VALUE"""),0.0)</f>
        <v>0</v>
      </c>
      <c r="AF1160" s="140"/>
      <c r="AG1160" s="136" t="str">
        <f>IFERROR(__xludf.DUMMYFUNCTION("""COMPUTED_VALUE"""),"received text 8/25 stating 2-4 weeks")</f>
        <v>received text 8/25 stating 2-4 weeks</v>
      </c>
      <c r="AH1160" s="157">
        <f>IFERROR(__xludf.DUMMYFUNCTION("""COMPUTED_VALUE"""),44136.35568651621)</f>
        <v>44136.35569</v>
      </c>
      <c r="AI1160" s="138"/>
      <c r="AJ1160" s="138"/>
      <c r="AK1160" s="138"/>
      <c r="AL1160" s="142"/>
    </row>
    <row r="1161" ht="20.25" customHeight="1">
      <c r="A1161" s="155" t="str">
        <f>IFERROR(__xludf.DUMMYFUNCTION("""COMPUTED_VALUE"""),"ix70")</f>
        <v>ix70</v>
      </c>
      <c r="B1161" s="149" t="str">
        <f>IFERROR(__xludf.DUMMYFUNCTION("""COMPUTED_VALUE"""),"Foster City")</f>
        <v>Foster City</v>
      </c>
      <c r="C1161" s="149" t="str">
        <f>IFERROR(__xludf.DUMMYFUNCTION("""COMPUTED_VALUE"""),"CA")</f>
        <v>CA</v>
      </c>
      <c r="D1161" s="149" t="str">
        <f>IFERROR(__xludf.DUMMYFUNCTION("""COMPUTED_VALUE"""),"USA")</f>
        <v>USA</v>
      </c>
      <c r="E1161" s="156">
        <f>IFERROR(__xludf.DUMMYFUNCTION("""COMPUTED_VALUE"""),44060.0)</f>
        <v>44060</v>
      </c>
      <c r="F1161" s="129">
        <f>IFERROR(__xludf.DUMMYFUNCTION("""COMPUTED_VALUE"""),44093.0)</f>
        <v>44093</v>
      </c>
      <c r="G1161" s="154"/>
      <c r="H1161" s="131">
        <f>IFERROR(__xludf.DUMMYFUNCTION("""COMPUTED_VALUE"""),799255.0)</f>
        <v>799255</v>
      </c>
      <c r="I1161" s="132" t="str">
        <f>IFERROR(__xludf.DUMMYFUNCTION("""COMPUTED_VALUE"""),"09/20")</f>
        <v>09/20</v>
      </c>
      <c r="J1161" s="129">
        <f>IFERROR(__xludf.DUMMYFUNCTION("""COMPUTED_VALUE"""),44094.0)</f>
        <v>44094</v>
      </c>
      <c r="K1161" s="133">
        <f>IFERROR(__xludf.DUMMYFUNCTION("""COMPUTED_VALUE"""),33.0)</f>
        <v>33</v>
      </c>
      <c r="L1161" s="133">
        <f>IFERROR(__xludf.DUMMYFUNCTION("""COMPUTED_VALUE"""),1.0)</f>
        <v>1</v>
      </c>
      <c r="M1161" s="133">
        <f>IFERROR(__xludf.DUMMYFUNCTION("""COMPUTED_VALUE"""),34.0)</f>
        <v>34</v>
      </c>
      <c r="N1161" s="152" t="str">
        <f>IFERROR(__xludf.DUMMYFUNCTION("""COMPUTED_VALUE"""),"Model 3 SR+")</f>
        <v>Model 3 SR+</v>
      </c>
      <c r="O1161" s="152" t="str">
        <f>IFERROR(__xludf.DUMMYFUNCTION("""COMPUTED_VALUE"""),"Deep Blue Metallic")</f>
        <v>Deep Blue Metallic</v>
      </c>
      <c r="P1161" s="153" t="str">
        <f>IFERROR(__xludf.DUMMYFUNCTION("""COMPUTED_VALUE"""),"18 inch Aero")</f>
        <v>18 inch Aero</v>
      </c>
      <c r="Q1161" s="152" t="str">
        <f>IFERROR(__xludf.DUMMYFUNCTION("""COMPUTED_VALUE"""),"Black seats")</f>
        <v>Black seats</v>
      </c>
      <c r="R1161" s="150" t="str">
        <f>IFERROR(__xludf.DUMMYFUNCTION("""COMPUTED_VALUE"""),"Autopilot")</f>
        <v>Autopilot</v>
      </c>
      <c r="S1161" s="150"/>
      <c r="T1161" s="136"/>
      <c r="U1161" s="136"/>
      <c r="V1161" s="136"/>
      <c r="W1161" s="136"/>
      <c r="X1161" s="137" t="str">
        <f>IFERROR(__xludf.DUMMYFUNCTION("""COMPUTED_VALUE"""),"Very Good")</f>
        <v>Very Good</v>
      </c>
      <c r="Y1161" s="138" t="str">
        <f>IFERROR(__xludf.DUMMYFUNCTION("""COMPUTED_VALUE"""),"Excellent")</f>
        <v>Excellent</v>
      </c>
      <c r="Z1161" s="138" t="str">
        <f>IFERROR(__xludf.DUMMYFUNCTION("""COMPUTED_VALUE"""),"Very Good")</f>
        <v>Very Good</v>
      </c>
      <c r="AA1161" s="138" t="str">
        <f>IFERROR(__xludf.DUMMYFUNCTION("""COMPUTED_VALUE"""),"Fair")</f>
        <v>Fair</v>
      </c>
      <c r="AB1161" s="138" t="str">
        <f>IFERROR(__xludf.DUMMYFUNCTION("""COMPUTED_VALUE"""),"Very Good")</f>
        <v>Very Good</v>
      </c>
      <c r="AC1161" s="139"/>
      <c r="AD1161" s="139"/>
      <c r="AE1161" s="139"/>
      <c r="AF1161" s="140"/>
      <c r="AG1161" s="136"/>
      <c r="AH1161" s="157">
        <f>IFERROR(__xludf.DUMMYFUNCTION("""COMPUTED_VALUE"""),44094.8705199074)</f>
        <v>44094.87052</v>
      </c>
      <c r="AI1161" s="138"/>
      <c r="AJ1161" s="138"/>
      <c r="AK1161" s="138"/>
      <c r="AL1161" s="142"/>
    </row>
    <row r="1162" ht="20.25" customHeight="1">
      <c r="A1162" s="155" t="str">
        <f>IFERROR(__xludf.DUMMYFUNCTION("""COMPUTED_VALUE"""),"qwerty423")</f>
        <v>qwerty423</v>
      </c>
      <c r="B1162" s="149" t="str">
        <f>IFERROR(__xludf.DUMMYFUNCTION("""COMPUTED_VALUE"""),"Los Angeles")</f>
        <v>Los Angeles</v>
      </c>
      <c r="C1162" s="149" t="str">
        <f>IFERROR(__xludf.DUMMYFUNCTION("""COMPUTED_VALUE"""),"CA")</f>
        <v>CA</v>
      </c>
      <c r="D1162" s="149" t="str">
        <f>IFERROR(__xludf.DUMMYFUNCTION("""COMPUTED_VALUE"""),"USA")</f>
        <v>USA</v>
      </c>
      <c r="E1162" s="156">
        <f>IFERROR(__xludf.DUMMYFUNCTION("""COMPUTED_VALUE"""),44059.0)</f>
        <v>44059</v>
      </c>
      <c r="F1162" s="129">
        <f>IFERROR(__xludf.DUMMYFUNCTION("""COMPUTED_VALUE"""),44093.0)</f>
        <v>44093</v>
      </c>
      <c r="G1162" s="154"/>
      <c r="H1162" s="131">
        <f>IFERROR(__xludf.DUMMYFUNCTION("""COMPUTED_VALUE"""),99955.0)</f>
        <v>99955</v>
      </c>
      <c r="I1162" s="132"/>
      <c r="J1162" s="129">
        <f>IFERROR(__xludf.DUMMYFUNCTION("""COMPUTED_VALUE"""),44096.0)</f>
        <v>44096</v>
      </c>
      <c r="K1162" s="133">
        <f>IFERROR(__xludf.DUMMYFUNCTION("""COMPUTED_VALUE"""),34.0)</f>
        <v>34</v>
      </c>
      <c r="L1162" s="133">
        <f>IFERROR(__xludf.DUMMYFUNCTION("""COMPUTED_VALUE"""),3.0)</f>
        <v>3</v>
      </c>
      <c r="M1162" s="133">
        <f>IFERROR(__xludf.DUMMYFUNCTION("""COMPUTED_VALUE"""),37.0)</f>
        <v>37</v>
      </c>
      <c r="N1162" s="152" t="str">
        <f>IFERROR(__xludf.DUMMYFUNCTION("""COMPUTED_VALUE"""),"Model 3 SR+")</f>
        <v>Model 3 SR+</v>
      </c>
      <c r="O1162" s="152" t="str">
        <f>IFERROR(__xludf.DUMMYFUNCTION("""COMPUTED_VALUE"""),"Pearl White Multi-Coat")</f>
        <v>Pearl White Multi-Coat</v>
      </c>
      <c r="P1162" s="153" t="str">
        <f>IFERROR(__xludf.DUMMYFUNCTION("""COMPUTED_VALUE"""),"18 inch Aero")</f>
        <v>18 inch Aero</v>
      </c>
      <c r="Q1162" s="152" t="str">
        <f>IFERROR(__xludf.DUMMYFUNCTION("""COMPUTED_VALUE"""),"Black seats")</f>
        <v>Black seats</v>
      </c>
      <c r="R1162" s="150" t="str">
        <f>IFERROR(__xludf.DUMMYFUNCTION("""COMPUTED_VALUE"""),"Autopilot")</f>
        <v>Autopilot</v>
      </c>
      <c r="S1162" s="150"/>
      <c r="T1162" s="136"/>
      <c r="U1162" s="136"/>
      <c r="V1162" s="136"/>
      <c r="W1162" s="136"/>
      <c r="X1162" s="137" t="str">
        <f>IFERROR(__xludf.DUMMYFUNCTION("""COMPUTED_VALUE"""),"Very Good")</f>
        <v>Very Good</v>
      </c>
      <c r="Y1162" s="138" t="str">
        <f>IFERROR(__xludf.DUMMYFUNCTION("""COMPUTED_VALUE"""),"Very Good")</f>
        <v>Very Good</v>
      </c>
      <c r="Z1162" s="138" t="str">
        <f>IFERROR(__xludf.DUMMYFUNCTION("""COMPUTED_VALUE"""),"Excellent")</f>
        <v>Excellent</v>
      </c>
      <c r="AA1162" s="138" t="str">
        <f>IFERROR(__xludf.DUMMYFUNCTION("""COMPUTED_VALUE"""),"Very Good")</f>
        <v>Very Good</v>
      </c>
      <c r="AB1162" s="138" t="str">
        <f>IFERROR(__xludf.DUMMYFUNCTION("""COMPUTED_VALUE"""),"Excellent")</f>
        <v>Excellent</v>
      </c>
      <c r="AC1162" s="139">
        <f>IFERROR(__xludf.DUMMYFUNCTION("""COMPUTED_VALUE"""),0.0)</f>
        <v>0</v>
      </c>
      <c r="AD1162" s="139">
        <f>IFERROR(__xludf.DUMMYFUNCTION("""COMPUTED_VALUE"""),0.0)</f>
        <v>0</v>
      </c>
      <c r="AE1162" s="139">
        <f>IFERROR(__xludf.DUMMYFUNCTION("""COMPUTED_VALUE"""),0.0)</f>
        <v>0</v>
      </c>
      <c r="AF1162" s="140"/>
      <c r="AG1162" s="136" t="str">
        <f>IFERROR(__xludf.DUMMYFUNCTION("""COMPUTED_VALUE"""),"Home Delivery 9/22")</f>
        <v>Home Delivery 9/22</v>
      </c>
      <c r="AH1162" s="157">
        <f>IFERROR(__xludf.DUMMYFUNCTION("""COMPUTED_VALUE"""),44096.61642688657)</f>
        <v>44096.61643</v>
      </c>
      <c r="AI1162" s="138"/>
      <c r="AJ1162" s="138"/>
      <c r="AK1162" s="138"/>
      <c r="AL1162" s="142"/>
    </row>
    <row r="1163" ht="20.25" customHeight="1">
      <c r="A1163" s="155" t="str">
        <f>IFERROR(__xludf.DUMMYFUNCTION("""COMPUTED_VALUE"""),"Pete Schweaty")</f>
        <v>Pete Schweaty</v>
      </c>
      <c r="B1163" s="149"/>
      <c r="C1163" s="149" t="str">
        <f>IFERROR(__xludf.DUMMYFUNCTION("""COMPUTED_VALUE"""),"MD")</f>
        <v>MD</v>
      </c>
      <c r="D1163" s="149" t="str">
        <f>IFERROR(__xludf.DUMMYFUNCTION("""COMPUTED_VALUE"""),"USA")</f>
        <v>USA</v>
      </c>
      <c r="E1163" s="156">
        <f>IFERROR(__xludf.DUMMYFUNCTION("""COMPUTED_VALUE"""),44058.0)</f>
        <v>44058</v>
      </c>
      <c r="F1163" s="129">
        <f>IFERROR(__xludf.DUMMYFUNCTION("""COMPUTED_VALUE"""),44071.0)</f>
        <v>44071</v>
      </c>
      <c r="G1163" s="154"/>
      <c r="H1163" s="131">
        <f>IFERROR(__xludf.DUMMYFUNCTION("""COMPUTED_VALUE"""),784541.0)</f>
        <v>784541</v>
      </c>
      <c r="I1163" s="132"/>
      <c r="J1163" s="129">
        <f>IFERROR(__xludf.DUMMYFUNCTION("""COMPUTED_VALUE"""),44090.0)</f>
        <v>44090</v>
      </c>
      <c r="K1163" s="133">
        <f>IFERROR(__xludf.DUMMYFUNCTION("""COMPUTED_VALUE"""),13.0)</f>
        <v>13</v>
      </c>
      <c r="L1163" s="133">
        <f>IFERROR(__xludf.DUMMYFUNCTION("""COMPUTED_VALUE"""),19.0)</f>
        <v>19</v>
      </c>
      <c r="M1163" s="133">
        <f>IFERROR(__xludf.DUMMYFUNCTION("""COMPUTED_VALUE"""),32.0)</f>
        <v>32</v>
      </c>
      <c r="N1163" s="152" t="str">
        <f>IFERROR(__xludf.DUMMYFUNCTION("""COMPUTED_VALUE"""),"Model 3 Performance")</f>
        <v>Model 3 Performance</v>
      </c>
      <c r="O1163" s="152" t="str">
        <f>IFERROR(__xludf.DUMMYFUNCTION("""COMPUTED_VALUE"""),"Pearl White Multi-Coat")</f>
        <v>Pearl White Multi-Coat</v>
      </c>
      <c r="P1163" s="153" t="str">
        <f>IFERROR(__xludf.DUMMYFUNCTION("""COMPUTED_VALUE"""),"20 inch Sport")</f>
        <v>20 inch Sport</v>
      </c>
      <c r="Q1163" s="152" t="str">
        <f>IFERROR(__xludf.DUMMYFUNCTION("""COMPUTED_VALUE"""),"Black seats")</f>
        <v>Black seats</v>
      </c>
      <c r="R1163" s="150" t="str">
        <f>IFERROR(__xludf.DUMMYFUNCTION("""COMPUTED_VALUE"""),"Autopilot")</f>
        <v>Autopilot</v>
      </c>
      <c r="S1163" s="150"/>
      <c r="T1163" s="136"/>
      <c r="U1163" s="136"/>
      <c r="V1163" s="136"/>
      <c r="W1163" s="136"/>
      <c r="X1163" s="137" t="str">
        <f>IFERROR(__xludf.DUMMYFUNCTION("""COMPUTED_VALUE"""),"Fair")</f>
        <v>Fair</v>
      </c>
      <c r="Y1163" s="138" t="str">
        <f>IFERROR(__xludf.DUMMYFUNCTION("""COMPUTED_VALUE"""),"Good")</f>
        <v>Good</v>
      </c>
      <c r="Z1163" s="138" t="str">
        <f>IFERROR(__xludf.DUMMYFUNCTION("""COMPUTED_VALUE"""),"Very Good")</f>
        <v>Very Good</v>
      </c>
      <c r="AA1163" s="138" t="str">
        <f>IFERROR(__xludf.DUMMYFUNCTION("""COMPUTED_VALUE"""),"Very Good")</f>
        <v>Very Good</v>
      </c>
      <c r="AB1163" s="138" t="str">
        <f>IFERROR(__xludf.DUMMYFUNCTION("""COMPUTED_VALUE"""),"Good")</f>
        <v>Good</v>
      </c>
      <c r="AC1163" s="139"/>
      <c r="AD1163" s="139"/>
      <c r="AE1163" s="139"/>
      <c r="AF1163" s="140"/>
      <c r="AG1163" s="136"/>
      <c r="AH1163" s="157">
        <f>IFERROR(__xludf.DUMMYFUNCTION("""COMPUTED_VALUE"""),44086.35225519676)</f>
        <v>44086.35226</v>
      </c>
      <c r="AI1163" s="138"/>
      <c r="AJ1163" s="138"/>
      <c r="AK1163" s="138"/>
      <c r="AL1163" s="142"/>
    </row>
    <row r="1164" ht="20.25" customHeight="1">
      <c r="A1164" s="155" t="str">
        <f>IFERROR(__xludf.DUMMYFUNCTION("""COMPUTED_VALUE"""),"Capital AL")</f>
        <v>Capital AL</v>
      </c>
      <c r="B1164" s="149"/>
      <c r="C1164" s="149" t="str">
        <f>IFERROR(__xludf.DUMMYFUNCTION("""COMPUTED_VALUE"""),"IL")</f>
        <v>IL</v>
      </c>
      <c r="D1164" s="149" t="str">
        <f>IFERROR(__xludf.DUMMYFUNCTION("""COMPUTED_VALUE"""),"USA")</f>
        <v>USA</v>
      </c>
      <c r="E1164" s="156">
        <f>IFERROR(__xludf.DUMMYFUNCTION("""COMPUTED_VALUE"""),44057.0)</f>
        <v>44057</v>
      </c>
      <c r="F1164" s="129"/>
      <c r="G1164" s="154" t="str">
        <f>IFERROR(__xludf.DUMMYFUNCTION("""COMPUTED_VALUE"""),"Manage order page (normal text)")</f>
        <v>Manage order page (normal text)</v>
      </c>
      <c r="H1164" s="131">
        <f>IFERROR(__xludf.DUMMYFUNCTION("""COMPUTED_VALUE"""),791655.0)</f>
        <v>791655</v>
      </c>
      <c r="I1164" s="144" t="str">
        <f>IFERROR(__xludf.DUMMYFUNCTION("""COMPUTED_VALUE"""),"09/20")</f>
        <v>09/20</v>
      </c>
      <c r="J1164" s="129">
        <f>IFERROR(__xludf.DUMMYFUNCTION("""COMPUTED_VALUE"""),44091.0)</f>
        <v>44091</v>
      </c>
      <c r="K1164" s="133"/>
      <c r="L1164" s="133"/>
      <c r="M1164" s="133">
        <f>IFERROR(__xludf.DUMMYFUNCTION("""COMPUTED_VALUE"""),34.0)</f>
        <v>34</v>
      </c>
      <c r="N1164" s="152" t="str">
        <f>IFERROR(__xludf.DUMMYFUNCTION("""COMPUTED_VALUE"""),"Model 3 Performance")</f>
        <v>Model 3 Performance</v>
      </c>
      <c r="O1164" s="152" t="str">
        <f>IFERROR(__xludf.DUMMYFUNCTION("""COMPUTED_VALUE"""),"Midnight Silver Metallic")</f>
        <v>Midnight Silver Metallic</v>
      </c>
      <c r="P1164" s="153" t="str">
        <f>IFERROR(__xludf.DUMMYFUNCTION("""COMPUTED_VALUE"""),"20 inch")</f>
        <v>20 inch</v>
      </c>
      <c r="Q1164" s="152" t="str">
        <f>IFERROR(__xludf.DUMMYFUNCTION("""COMPUTED_VALUE"""),"All Black")</f>
        <v>All Black</v>
      </c>
      <c r="R1164" s="149" t="str">
        <f>IFERROR(__xludf.DUMMYFUNCTION("""COMPUTED_VALUE"""),"Full Self-Driving")</f>
        <v>Full Self-Driving</v>
      </c>
      <c r="S1164" s="149" t="str">
        <f>IFERROR(__xludf.DUMMYFUNCTION("""COMPUTED_VALUE"""),"Cash")</f>
        <v>Cash</v>
      </c>
      <c r="T1164" s="145" t="str">
        <f>IFERROR(__xludf.DUMMYFUNCTION("""COMPUTED_VALUE"""),"Jaguar F-Pace ")</f>
        <v>Jaguar F-Pace </v>
      </c>
      <c r="U1164" s="145" t="str">
        <f>IFERROR(__xludf.DUMMYFUNCTION("""COMPUTED_VALUE"""),"Autopilot")</f>
        <v>Autopilot</v>
      </c>
      <c r="V1164" s="145" t="str">
        <f>IFERROR(__xludf.DUMMYFUNCTION("""COMPUTED_VALUE"""),"Ventilated seats")</f>
        <v>Ventilated seats</v>
      </c>
      <c r="W1164" s="145"/>
      <c r="X1164" s="137" t="str">
        <f>IFERROR(__xludf.DUMMYFUNCTION("""COMPUTED_VALUE"""),"Good")</f>
        <v>Good</v>
      </c>
      <c r="Y1164" s="138" t="str">
        <f>IFERROR(__xludf.DUMMYFUNCTION("""COMPUTED_VALUE"""),"Very Good")</f>
        <v>Very Good</v>
      </c>
      <c r="Z1164" s="138" t="str">
        <f>IFERROR(__xludf.DUMMYFUNCTION("""COMPUTED_VALUE"""),"Good")</f>
        <v>Good</v>
      </c>
      <c r="AA1164" s="138" t="str">
        <f>IFERROR(__xludf.DUMMYFUNCTION("""COMPUTED_VALUE"""),"Fair")</f>
        <v>Fair</v>
      </c>
      <c r="AB1164" s="138" t="str">
        <f>IFERROR(__xludf.DUMMYFUNCTION("""COMPUTED_VALUE"""),"Good")</f>
        <v>Good</v>
      </c>
      <c r="AC1164" s="139">
        <f>IFERROR(__xludf.DUMMYFUNCTION("""COMPUTED_VALUE"""),2.0)</f>
        <v>2</v>
      </c>
      <c r="AD1164" s="139">
        <f>IFERROR(__xludf.DUMMYFUNCTION("""COMPUTED_VALUE"""),2.0)</f>
        <v>2</v>
      </c>
      <c r="AE1164" s="139">
        <f>IFERROR(__xludf.DUMMYFUNCTION("""COMPUTED_VALUE"""),1.0)</f>
        <v>1</v>
      </c>
      <c r="AF1164" s="140" t="str">
        <f>IFERROR(__xludf.DUMMYFUNCTION("""COMPUTED_VALUE"""),"No. I took delivery of the first car Tesla was able to deliver.")</f>
        <v>No. I took delivery of the first car Tesla was able to deliver.</v>
      </c>
      <c r="AG1164" s="145"/>
      <c r="AH1164" s="157">
        <f>IFERROR(__xludf.DUMMYFUNCTION("""COMPUTED_VALUE"""),44190.72594862268)</f>
        <v>44190.72595</v>
      </c>
      <c r="AI1164" s="138"/>
      <c r="AJ1164" s="138"/>
      <c r="AK1164" s="138"/>
      <c r="AL1164" s="142"/>
    </row>
    <row r="1165" ht="20.25" customHeight="1">
      <c r="A1165" s="155" t="str">
        <f>IFERROR(__xludf.DUMMYFUNCTION("""COMPUTED_VALUE"""),"DylanP100D")</f>
        <v>DylanP100D</v>
      </c>
      <c r="B1165" s="149" t="str">
        <f>IFERROR(__xludf.DUMMYFUNCTION("""COMPUTED_VALUE"""),"Queensbury")</f>
        <v>Queensbury</v>
      </c>
      <c r="C1165" s="149" t="str">
        <f>IFERROR(__xludf.DUMMYFUNCTION("""COMPUTED_VALUE"""),"NY")</f>
        <v>NY</v>
      </c>
      <c r="D1165" s="149" t="str">
        <f>IFERROR(__xludf.DUMMYFUNCTION("""COMPUTED_VALUE"""),"USA")</f>
        <v>USA</v>
      </c>
      <c r="E1165" s="156">
        <f>IFERROR(__xludf.DUMMYFUNCTION("""COMPUTED_VALUE"""),44057.0)</f>
        <v>44057</v>
      </c>
      <c r="F1165" s="129">
        <f>IFERROR(__xludf.DUMMYFUNCTION("""COMPUTED_VALUE"""),44080.0)</f>
        <v>44080</v>
      </c>
      <c r="G1165" s="154"/>
      <c r="H1165" s="131">
        <f>IFERROR(__xludf.DUMMYFUNCTION("""COMPUTED_VALUE"""),787030.0)</f>
        <v>787030</v>
      </c>
      <c r="I1165" s="144" t="str">
        <f>IFERROR(__xludf.DUMMYFUNCTION("""COMPUTED_VALUE"""),"09/20")</f>
        <v>09/20</v>
      </c>
      <c r="J1165" s="129">
        <f>IFERROR(__xludf.DUMMYFUNCTION("""COMPUTED_VALUE"""),44099.0)</f>
        <v>44099</v>
      </c>
      <c r="K1165" s="133">
        <f>IFERROR(__xludf.DUMMYFUNCTION("""COMPUTED_VALUE"""),23.0)</f>
        <v>23</v>
      </c>
      <c r="L1165" s="133">
        <f>IFERROR(__xludf.DUMMYFUNCTION("""COMPUTED_VALUE"""),19.0)</f>
        <v>19</v>
      </c>
      <c r="M1165" s="133">
        <f>IFERROR(__xludf.DUMMYFUNCTION("""COMPUTED_VALUE"""),42.0)</f>
        <v>42</v>
      </c>
      <c r="N1165" s="152" t="str">
        <f>IFERROR(__xludf.DUMMYFUNCTION("""COMPUTED_VALUE"""),"Model 3 LR AWD")</f>
        <v>Model 3 LR AWD</v>
      </c>
      <c r="O1165" s="152" t="str">
        <f>IFERROR(__xludf.DUMMYFUNCTION("""COMPUTED_VALUE"""),"Midnight Silver Metallic")</f>
        <v>Midnight Silver Metallic</v>
      </c>
      <c r="P1165" s="153" t="str">
        <f>IFERROR(__xludf.DUMMYFUNCTION("""COMPUTED_VALUE"""),"18 inch Aero")</f>
        <v>18 inch Aero</v>
      </c>
      <c r="Q1165" s="152" t="str">
        <f>IFERROR(__xludf.DUMMYFUNCTION("""COMPUTED_VALUE"""),"Black seats")</f>
        <v>Black seats</v>
      </c>
      <c r="R1165" s="149" t="str">
        <f>IFERROR(__xludf.DUMMYFUNCTION("""COMPUTED_VALUE"""),"Autopilot")</f>
        <v>Autopilot</v>
      </c>
      <c r="S1165" s="149"/>
      <c r="T1165" s="145"/>
      <c r="U1165" s="145"/>
      <c r="V1165" s="145"/>
      <c r="W1165" s="145"/>
      <c r="X1165" s="137" t="str">
        <f>IFERROR(__xludf.DUMMYFUNCTION("""COMPUTED_VALUE"""),"Excellent")</f>
        <v>Excellent</v>
      </c>
      <c r="Y1165" s="138" t="str">
        <f>IFERROR(__xludf.DUMMYFUNCTION("""COMPUTED_VALUE"""),"Very Good")</f>
        <v>Very Good</v>
      </c>
      <c r="Z1165" s="138" t="str">
        <f>IFERROR(__xludf.DUMMYFUNCTION("""COMPUTED_VALUE"""),"Excellent")</f>
        <v>Excellent</v>
      </c>
      <c r="AA1165" s="138" t="str">
        <f>IFERROR(__xludf.DUMMYFUNCTION("""COMPUTED_VALUE"""),"Very Good")</f>
        <v>Very Good</v>
      </c>
      <c r="AB1165" s="138" t="str">
        <f>IFERROR(__xludf.DUMMYFUNCTION("""COMPUTED_VALUE"""),"Excellent")</f>
        <v>Excellent</v>
      </c>
      <c r="AC1165" s="139">
        <f>IFERROR(__xludf.DUMMYFUNCTION("""COMPUTED_VALUE"""),0.0)</f>
        <v>0</v>
      </c>
      <c r="AD1165" s="139"/>
      <c r="AE1165" s="139"/>
      <c r="AF1165" s="140"/>
      <c r="AG1165" s="145" t="str">
        <f>IFERROR(__xludf.DUMMYFUNCTION("""COMPUTED_VALUE"""),"Delivery update from Tesla on Wednesday the 19th saying 2-5 weeks to delivery instead of 3-6 weeks when I originally ordered. MVPA and vin September 6th. Scheduled delivery on the 13th of September ")</f>
        <v>Delivery update from Tesla on Wednesday the 19th saying 2-5 weeks to delivery instead of 3-6 weeks when I originally ordered. MVPA and vin September 6th. Scheduled delivery on the 13th of September </v>
      </c>
      <c r="AH1165" s="157">
        <f>IFERROR(__xludf.DUMMYFUNCTION("""COMPUTED_VALUE"""),44107.33961923611)</f>
        <v>44107.33962</v>
      </c>
      <c r="AI1165" s="138"/>
      <c r="AJ1165" s="138"/>
      <c r="AK1165" s="138"/>
      <c r="AL1165" s="142"/>
    </row>
    <row r="1166" ht="20.25" customHeight="1">
      <c r="A1166" s="155" t="str">
        <f>IFERROR(__xludf.DUMMYFUNCTION("""COMPUTED_VALUE"""),"fsSnowboard")</f>
        <v>fsSnowboard</v>
      </c>
      <c r="B1166" s="149" t="str">
        <f>IFERROR(__xludf.DUMMYFUNCTION("""COMPUTED_VALUE"""),"Simpsonville")</f>
        <v>Simpsonville</v>
      </c>
      <c r="C1166" s="149" t="str">
        <f>IFERROR(__xludf.DUMMYFUNCTION("""COMPUTED_VALUE"""),"SC")</f>
        <v>SC</v>
      </c>
      <c r="D1166" s="149" t="str">
        <f>IFERROR(__xludf.DUMMYFUNCTION("""COMPUTED_VALUE"""),"USA")</f>
        <v>USA</v>
      </c>
      <c r="E1166" s="156">
        <f>IFERROR(__xludf.DUMMYFUNCTION("""COMPUTED_VALUE"""),44057.0)</f>
        <v>44057</v>
      </c>
      <c r="F1166" s="129">
        <f>IFERROR(__xludf.DUMMYFUNCTION("""COMPUTED_VALUE"""),44072.0)</f>
        <v>44072</v>
      </c>
      <c r="G1166" s="154"/>
      <c r="H1166" s="131">
        <f>IFERROR(__xludf.DUMMYFUNCTION("""COMPUTED_VALUE"""),785304.0)</f>
        <v>785304</v>
      </c>
      <c r="I1166" s="144" t="str">
        <f>IFERROR(__xludf.DUMMYFUNCTION("""COMPUTED_VALUE"""),"08/20")</f>
        <v>08/20</v>
      </c>
      <c r="J1166" s="129">
        <f>IFERROR(__xludf.DUMMYFUNCTION("""COMPUTED_VALUE"""),44093.0)</f>
        <v>44093</v>
      </c>
      <c r="K1166" s="133">
        <f>IFERROR(__xludf.DUMMYFUNCTION("""COMPUTED_VALUE"""),15.0)</f>
        <v>15</v>
      </c>
      <c r="L1166" s="133">
        <f>IFERROR(__xludf.DUMMYFUNCTION("""COMPUTED_VALUE"""),21.0)</f>
        <v>21</v>
      </c>
      <c r="M1166" s="133">
        <f>IFERROR(__xludf.DUMMYFUNCTION("""COMPUTED_VALUE"""),36.0)</f>
        <v>36</v>
      </c>
      <c r="N1166" s="152" t="str">
        <f>IFERROR(__xludf.DUMMYFUNCTION("""COMPUTED_VALUE"""),"Model 3 SR+")</f>
        <v>Model 3 SR+</v>
      </c>
      <c r="O1166" s="152" t="str">
        <f>IFERROR(__xludf.DUMMYFUNCTION("""COMPUTED_VALUE"""),"Pearl White Multi-Coat")</f>
        <v>Pearl White Multi-Coat</v>
      </c>
      <c r="P1166" s="153" t="str">
        <f>IFERROR(__xludf.DUMMYFUNCTION("""COMPUTED_VALUE"""),"18 inch Aero")</f>
        <v>18 inch Aero</v>
      </c>
      <c r="Q1166" s="152" t="str">
        <f>IFERROR(__xludf.DUMMYFUNCTION("""COMPUTED_VALUE"""),"Black seats")</f>
        <v>Black seats</v>
      </c>
      <c r="R1166" s="149" t="str">
        <f>IFERROR(__xludf.DUMMYFUNCTION("""COMPUTED_VALUE"""),"Autopilot")</f>
        <v>Autopilot</v>
      </c>
      <c r="S1166" s="149"/>
      <c r="T1166" s="145"/>
      <c r="U1166" s="145"/>
      <c r="V1166" s="145"/>
      <c r="W1166" s="136"/>
      <c r="X1166" s="137" t="str">
        <f>IFERROR(__xludf.DUMMYFUNCTION("""COMPUTED_VALUE"""),"Very Good")</f>
        <v>Very Good</v>
      </c>
      <c r="Y1166" s="138" t="str">
        <f>IFERROR(__xludf.DUMMYFUNCTION("""COMPUTED_VALUE"""),"Excellent")</f>
        <v>Excellent</v>
      </c>
      <c r="Z1166" s="138" t="str">
        <f>IFERROR(__xludf.DUMMYFUNCTION("""COMPUTED_VALUE"""),"Excellent")</f>
        <v>Excellent</v>
      </c>
      <c r="AA1166" s="138" t="str">
        <f>IFERROR(__xludf.DUMMYFUNCTION("""COMPUTED_VALUE"""),"Good")</f>
        <v>Good</v>
      </c>
      <c r="AB1166" s="138" t="str">
        <f>IFERROR(__xludf.DUMMYFUNCTION("""COMPUTED_VALUE"""),"Excellent")</f>
        <v>Excellent</v>
      </c>
      <c r="AC1166" s="139">
        <f>IFERROR(__xludf.DUMMYFUNCTION("""COMPUTED_VALUE"""),1.0)</f>
        <v>1</v>
      </c>
      <c r="AD1166" s="139">
        <f>IFERROR(__xludf.DUMMYFUNCTION("""COMPUTED_VALUE"""),1.0)</f>
        <v>1</v>
      </c>
      <c r="AE1166" s="139">
        <f>IFERROR(__xludf.DUMMYFUNCTION("""COMPUTED_VALUE"""),0.0)</f>
        <v>0</v>
      </c>
      <c r="AF1166" s="140"/>
      <c r="AG1166" s="136" t="str">
        <f>IFERROR(__xludf.DUMMYFUNCTION("""COMPUTED_VALUE"""),"The charge door doesn’t close flush.  Noticed at delivery and they wrote a due bill.  Service appointment was smooth.  I was able to wait for the car.  Service center also let me sit at the super charger for a few minutes to top off.")</f>
        <v>The charge door doesn’t close flush.  Noticed at delivery and they wrote a due bill.  Service appointment was smooth.  I was able to wait for the car.  Service center also let me sit at the super charger for a few minutes to top off.</v>
      </c>
      <c r="AH1166" s="157">
        <f>IFERROR(__xludf.DUMMYFUNCTION("""COMPUTED_VALUE"""),44113.34339069445)</f>
        <v>44113.34339</v>
      </c>
      <c r="AI1166" s="138"/>
      <c r="AJ1166" s="138"/>
      <c r="AK1166" s="138"/>
      <c r="AL1166" s="142"/>
    </row>
    <row r="1167" ht="20.25" customHeight="1">
      <c r="A1167" s="155" t="str">
        <f>IFERROR(__xludf.DUMMYFUNCTION("""COMPUTED_VALUE"""),"ZBS")</f>
        <v>ZBS</v>
      </c>
      <c r="B1167" s="149" t="str">
        <f>IFERROR(__xludf.DUMMYFUNCTION("""COMPUTED_VALUE"""),"Washington DC")</f>
        <v>Washington DC</v>
      </c>
      <c r="C1167" s="149" t="str">
        <f>IFERROR(__xludf.DUMMYFUNCTION("""COMPUTED_VALUE"""),"DC")</f>
        <v>DC</v>
      </c>
      <c r="D1167" s="149" t="str">
        <f>IFERROR(__xludf.DUMMYFUNCTION("""COMPUTED_VALUE"""),"USA")</f>
        <v>USA</v>
      </c>
      <c r="E1167" s="156">
        <f>IFERROR(__xludf.DUMMYFUNCTION("""COMPUTED_VALUE"""),44056.0)</f>
        <v>44056</v>
      </c>
      <c r="F1167" s="129">
        <f>IFERROR(__xludf.DUMMYFUNCTION("""COMPUTED_VALUE"""),44058.0)</f>
        <v>44058</v>
      </c>
      <c r="G1167" s="154"/>
      <c r="H1167" s="131">
        <f>IFERROR(__xludf.DUMMYFUNCTION("""COMPUTED_VALUE"""),769785.0)</f>
        <v>769785</v>
      </c>
      <c r="I1167" s="144"/>
      <c r="J1167" s="129">
        <f>IFERROR(__xludf.DUMMYFUNCTION("""COMPUTED_VALUE"""),44058.0)</f>
        <v>44058</v>
      </c>
      <c r="K1167" s="133">
        <f>IFERROR(__xludf.DUMMYFUNCTION("""COMPUTED_VALUE"""),2.0)</f>
        <v>2</v>
      </c>
      <c r="L1167" s="133">
        <f>IFERROR(__xludf.DUMMYFUNCTION("""COMPUTED_VALUE"""),0.0)</f>
        <v>0</v>
      </c>
      <c r="M1167" s="133">
        <f>IFERROR(__xludf.DUMMYFUNCTION("""COMPUTED_VALUE"""),2.0)</f>
        <v>2</v>
      </c>
      <c r="N1167" s="152" t="str">
        <f>IFERROR(__xludf.DUMMYFUNCTION("""COMPUTED_VALUE"""),"Model 3 Performance")</f>
        <v>Model 3 Performance</v>
      </c>
      <c r="O1167" s="152" t="str">
        <f>IFERROR(__xludf.DUMMYFUNCTION("""COMPUTED_VALUE"""),"Solid Black")</f>
        <v>Solid Black</v>
      </c>
      <c r="P1167" s="153" t="str">
        <f>IFERROR(__xludf.DUMMYFUNCTION("""COMPUTED_VALUE"""),"20 inch Sport")</f>
        <v>20 inch Sport</v>
      </c>
      <c r="Q1167" s="152" t="str">
        <f>IFERROR(__xludf.DUMMYFUNCTION("""COMPUTED_VALUE"""),"Black seats")</f>
        <v>Black seats</v>
      </c>
      <c r="R1167" s="149" t="str">
        <f>IFERROR(__xludf.DUMMYFUNCTION("""COMPUTED_VALUE"""),"Autopilot")</f>
        <v>Autopilot</v>
      </c>
      <c r="S1167" s="149"/>
      <c r="T1167" s="136"/>
      <c r="U1167" s="136"/>
      <c r="V1167" s="136"/>
      <c r="W1167" s="145"/>
      <c r="X1167" s="137" t="str">
        <f>IFERROR(__xludf.DUMMYFUNCTION("""COMPUTED_VALUE"""),"Good")</f>
        <v>Good</v>
      </c>
      <c r="Y1167" s="138" t="str">
        <f>IFERROR(__xludf.DUMMYFUNCTION("""COMPUTED_VALUE"""),"Very Good")</f>
        <v>Very Good</v>
      </c>
      <c r="Z1167" s="138" t="str">
        <f>IFERROR(__xludf.DUMMYFUNCTION("""COMPUTED_VALUE"""),"Very Good")</f>
        <v>Very Good</v>
      </c>
      <c r="AA1167" s="138" t="str">
        <f>IFERROR(__xludf.DUMMYFUNCTION("""COMPUTED_VALUE"""),"Very Good")</f>
        <v>Very Good</v>
      </c>
      <c r="AB1167" s="138" t="str">
        <f>IFERROR(__xludf.DUMMYFUNCTION("""COMPUTED_VALUE"""),"Good")</f>
        <v>Good</v>
      </c>
      <c r="AC1167" s="139"/>
      <c r="AD1167" s="139"/>
      <c r="AE1167" s="139"/>
      <c r="AF1167" s="140"/>
      <c r="AG1167" s="145"/>
      <c r="AH1167" s="157">
        <f>IFERROR(__xludf.DUMMYFUNCTION("""COMPUTED_VALUE"""),44058.571347986115)</f>
        <v>44058.57135</v>
      </c>
      <c r="AI1167" s="138"/>
      <c r="AJ1167" s="138"/>
      <c r="AK1167" s="138"/>
      <c r="AL1167" s="142"/>
    </row>
    <row r="1168" ht="20.25" customHeight="1">
      <c r="A1168" s="155" t="str">
        <f>IFERROR(__xludf.DUMMYFUNCTION("""COMPUTED_VALUE"""),"jaredg19")</f>
        <v>jaredg19</v>
      </c>
      <c r="B1168" s="149" t="str">
        <f>IFERROR(__xludf.DUMMYFUNCTION("""COMPUTED_VALUE"""),"Vancouver")</f>
        <v>Vancouver</v>
      </c>
      <c r="C1168" s="149" t="str">
        <f>IFERROR(__xludf.DUMMYFUNCTION("""COMPUTED_VALUE"""),"BC")</f>
        <v>BC</v>
      </c>
      <c r="D1168" s="149" t="str">
        <f>IFERROR(__xludf.DUMMYFUNCTION("""COMPUTED_VALUE"""),"Canada")</f>
        <v>Canada</v>
      </c>
      <c r="E1168" s="156">
        <f>IFERROR(__xludf.DUMMYFUNCTION("""COMPUTED_VALUE"""),44055.0)</f>
        <v>44055</v>
      </c>
      <c r="F1168" s="129"/>
      <c r="G1168" s="154"/>
      <c r="H1168" s="131">
        <f>IFERROR(__xludf.DUMMYFUNCTION("""COMPUTED_VALUE"""),789955.0)</f>
        <v>789955</v>
      </c>
      <c r="I1168" s="144" t="str">
        <f>IFERROR(__xludf.DUMMYFUNCTION("""COMPUTED_VALUE"""),"08/20")</f>
        <v>08/20</v>
      </c>
      <c r="J1168" s="129">
        <f>IFERROR(__xludf.DUMMYFUNCTION("""COMPUTED_VALUE"""),44079.0)</f>
        <v>44079</v>
      </c>
      <c r="K1168" s="133"/>
      <c r="L1168" s="133"/>
      <c r="M1168" s="133">
        <f>IFERROR(__xludf.DUMMYFUNCTION("""COMPUTED_VALUE"""),24.0)</f>
        <v>24</v>
      </c>
      <c r="N1168" s="152" t="str">
        <f>IFERROR(__xludf.DUMMYFUNCTION("""COMPUTED_VALUE"""),"Model 3 SR+")</f>
        <v>Model 3 SR+</v>
      </c>
      <c r="O1168" s="152" t="str">
        <f>IFERROR(__xludf.DUMMYFUNCTION("""COMPUTED_VALUE"""),"Pearl White Multi-Coat")</f>
        <v>Pearl White Multi-Coat</v>
      </c>
      <c r="P1168" s="153" t="str">
        <f>IFERROR(__xludf.DUMMYFUNCTION("""COMPUTED_VALUE"""),"19 inch Sport")</f>
        <v>19 inch Sport</v>
      </c>
      <c r="Q1168" s="152" t="str">
        <f>IFERROR(__xludf.DUMMYFUNCTION("""COMPUTED_VALUE"""),"Black seats")</f>
        <v>Black seats</v>
      </c>
      <c r="R1168" s="149" t="str">
        <f>IFERROR(__xludf.DUMMYFUNCTION("""COMPUTED_VALUE"""),"Autopilot")</f>
        <v>Autopilot</v>
      </c>
      <c r="S1168" s="149"/>
      <c r="T1168" s="145"/>
      <c r="U1168" s="145"/>
      <c r="V1168" s="145"/>
      <c r="W1168" s="145"/>
      <c r="X1168" s="158" t="str">
        <f>IFERROR(__xludf.DUMMYFUNCTION("""COMPUTED_VALUE"""),"Good")</f>
        <v>Good</v>
      </c>
      <c r="Y1168" s="138" t="str">
        <f>IFERROR(__xludf.DUMMYFUNCTION("""COMPUTED_VALUE"""),"Very Good")</f>
        <v>Very Good</v>
      </c>
      <c r="Z1168" s="138" t="str">
        <f>IFERROR(__xludf.DUMMYFUNCTION("""COMPUTED_VALUE"""),"Poor")</f>
        <v>Poor</v>
      </c>
      <c r="AA1168" s="138" t="str">
        <f>IFERROR(__xludf.DUMMYFUNCTION("""COMPUTED_VALUE"""),"Fair")</f>
        <v>Fair</v>
      </c>
      <c r="AB1168" s="138" t="str">
        <f>IFERROR(__xludf.DUMMYFUNCTION("""COMPUTED_VALUE"""),"Fair")</f>
        <v>Fair</v>
      </c>
      <c r="AC1168" s="139">
        <f>IFERROR(__xludf.DUMMYFUNCTION("""COMPUTED_VALUE"""),3.0)</f>
        <v>3</v>
      </c>
      <c r="AD1168" s="139">
        <f>IFERROR(__xludf.DUMMYFUNCTION("""COMPUTED_VALUE"""),1.0)</f>
        <v>1</v>
      </c>
      <c r="AE1168" s="139"/>
      <c r="AF1168" s="140"/>
      <c r="AG1168" s="145" t="str">
        <f>IFERROR(__xludf.DUMMYFUNCTION("""COMPUTED_VALUE"""),"Dent on driver side, side skirt... right repeater camera not working, app connectivity with car issues. ")</f>
        <v>Dent on driver side, side skirt... right repeater camera not working, app connectivity with car issues. </v>
      </c>
      <c r="AH1168" s="157">
        <f>IFERROR(__xludf.DUMMYFUNCTION("""COMPUTED_VALUE"""),44104.65938078704)</f>
        <v>44104.65938</v>
      </c>
      <c r="AI1168" s="138"/>
      <c r="AJ1168" s="138"/>
      <c r="AK1168" s="138"/>
      <c r="AL1168" s="142"/>
    </row>
    <row r="1169" ht="20.25" customHeight="1">
      <c r="A1169" s="155" t="str">
        <f>IFERROR(__xludf.DUMMYFUNCTION("""COMPUTED_VALUE"""),"_Frank")</f>
        <v>_Frank</v>
      </c>
      <c r="B1169" s="149" t="str">
        <f>IFERROR(__xludf.DUMMYFUNCTION("""COMPUTED_VALUE"""),"Montreal")</f>
        <v>Montreal</v>
      </c>
      <c r="C1169" s="149" t="str">
        <f>IFERROR(__xludf.DUMMYFUNCTION("""COMPUTED_VALUE"""),"QC")</f>
        <v>QC</v>
      </c>
      <c r="D1169" s="149" t="str">
        <f>IFERROR(__xludf.DUMMYFUNCTION("""COMPUTED_VALUE"""),"Canada")</f>
        <v>Canada</v>
      </c>
      <c r="E1169" s="156">
        <f>IFERROR(__xludf.DUMMYFUNCTION("""COMPUTED_VALUE"""),44054.0)</f>
        <v>44054</v>
      </c>
      <c r="F1169" s="129">
        <f>IFERROR(__xludf.DUMMYFUNCTION("""COMPUTED_VALUE"""),44066.0)</f>
        <v>44066</v>
      </c>
      <c r="G1169" s="154"/>
      <c r="H1169" s="131"/>
      <c r="I1169" s="132" t="str">
        <f>IFERROR(__xludf.DUMMYFUNCTION("""COMPUTED_VALUE"""),"08/20")</f>
        <v>08/20</v>
      </c>
      <c r="J1169" s="129">
        <f>IFERROR(__xludf.DUMMYFUNCTION("""COMPUTED_VALUE"""),44075.0)</f>
        <v>44075</v>
      </c>
      <c r="K1169" s="133">
        <f>IFERROR(__xludf.DUMMYFUNCTION("""COMPUTED_VALUE"""),12.0)</f>
        <v>12</v>
      </c>
      <c r="L1169" s="133">
        <f>IFERROR(__xludf.DUMMYFUNCTION("""COMPUTED_VALUE"""),9.0)</f>
        <v>9</v>
      </c>
      <c r="M1169" s="133">
        <f>IFERROR(__xludf.DUMMYFUNCTION("""COMPUTED_VALUE"""),21.0)</f>
        <v>21</v>
      </c>
      <c r="N1169" s="152" t="str">
        <f>IFERROR(__xludf.DUMMYFUNCTION("""COMPUTED_VALUE"""),"Model 3 SR+")</f>
        <v>Model 3 SR+</v>
      </c>
      <c r="O1169" s="152" t="str">
        <f>IFERROR(__xludf.DUMMYFUNCTION("""COMPUTED_VALUE"""),"Deep Blue Metallic")</f>
        <v>Deep Blue Metallic</v>
      </c>
      <c r="P1169" s="153" t="str">
        <f>IFERROR(__xludf.DUMMYFUNCTION("""COMPUTED_VALUE"""),"19 inch Sport")</f>
        <v>19 inch Sport</v>
      </c>
      <c r="Q1169" s="152" t="str">
        <f>IFERROR(__xludf.DUMMYFUNCTION("""COMPUTED_VALUE"""),"Black seats")</f>
        <v>Black seats</v>
      </c>
      <c r="R1169" s="150" t="str">
        <f>IFERROR(__xludf.DUMMYFUNCTION("""COMPUTED_VALUE"""),"Autopilot")</f>
        <v>Autopilot</v>
      </c>
      <c r="S1169" s="150"/>
      <c r="T1169" s="136"/>
      <c r="U1169" s="136"/>
      <c r="V1169" s="136"/>
      <c r="W1169" s="136"/>
      <c r="X1169" s="137" t="str">
        <f>IFERROR(__xludf.DUMMYFUNCTION("""COMPUTED_VALUE"""),"Good")</f>
        <v>Good</v>
      </c>
      <c r="Y1169" s="138" t="str">
        <f>IFERROR(__xludf.DUMMYFUNCTION("""COMPUTED_VALUE"""),"Good")</f>
        <v>Good</v>
      </c>
      <c r="Z1169" s="138" t="str">
        <f>IFERROR(__xludf.DUMMYFUNCTION("""COMPUTED_VALUE"""),"Good")</f>
        <v>Good</v>
      </c>
      <c r="AA1169" s="138" t="str">
        <f>IFERROR(__xludf.DUMMYFUNCTION("""COMPUTED_VALUE"""),"Excellent")</f>
        <v>Excellent</v>
      </c>
      <c r="AB1169" s="138" t="str">
        <f>IFERROR(__xludf.DUMMYFUNCTION("""COMPUTED_VALUE"""),"Very Good")</f>
        <v>Very Good</v>
      </c>
      <c r="AC1169" s="139"/>
      <c r="AD1169" s="139">
        <f>IFERROR(__xludf.DUMMYFUNCTION("""COMPUTED_VALUE"""),1.0)</f>
        <v>1</v>
      </c>
      <c r="AE1169" s="139"/>
      <c r="AF1169" s="140"/>
      <c r="AG1169" s="136"/>
      <c r="AH1169" s="157">
        <f>IFERROR(__xludf.DUMMYFUNCTION("""COMPUTED_VALUE"""),44078.12607409722)</f>
        <v>44078.12607</v>
      </c>
      <c r="AI1169" s="138"/>
      <c r="AJ1169" s="138"/>
      <c r="AK1169" s="138"/>
      <c r="AL1169" s="142"/>
    </row>
    <row r="1170" ht="20.25" customHeight="1">
      <c r="A1170" s="155" t="str">
        <f>IFERROR(__xludf.DUMMYFUNCTION("""COMPUTED_VALUE"""),"kylefsu32")</f>
        <v>kylefsu32</v>
      </c>
      <c r="B1170" s="150" t="str">
        <f>IFERROR(__xludf.DUMMYFUNCTION("""COMPUTED_VALUE"""),"Sarasota")</f>
        <v>Sarasota</v>
      </c>
      <c r="C1170" s="149" t="str">
        <f>IFERROR(__xludf.DUMMYFUNCTION("""COMPUTED_VALUE"""),"FL")</f>
        <v>FL</v>
      </c>
      <c r="D1170" s="149" t="str">
        <f>IFERROR(__xludf.DUMMYFUNCTION("""COMPUTED_VALUE"""),"USA")</f>
        <v>USA</v>
      </c>
      <c r="E1170" s="156">
        <f>IFERROR(__xludf.DUMMYFUNCTION("""COMPUTED_VALUE"""),44054.0)</f>
        <v>44054</v>
      </c>
      <c r="F1170" s="129">
        <f>IFERROR(__xludf.DUMMYFUNCTION("""COMPUTED_VALUE"""),44090.0)</f>
        <v>44090</v>
      </c>
      <c r="G1170" s="154"/>
      <c r="H1170" s="131">
        <f>IFERROR(__xludf.DUMMYFUNCTION("""COMPUTED_VALUE"""),791508.0)</f>
        <v>791508</v>
      </c>
      <c r="I1170" s="132"/>
      <c r="J1170" s="129">
        <f>IFERROR(__xludf.DUMMYFUNCTION("""COMPUTED_VALUE"""),44096.0)</f>
        <v>44096</v>
      </c>
      <c r="K1170" s="133">
        <f>IFERROR(__xludf.DUMMYFUNCTION("""COMPUTED_VALUE"""),36.0)</f>
        <v>36</v>
      </c>
      <c r="L1170" s="133">
        <f>IFERROR(__xludf.DUMMYFUNCTION("""COMPUTED_VALUE"""),6.0)</f>
        <v>6</v>
      </c>
      <c r="M1170" s="133">
        <f>IFERROR(__xludf.DUMMYFUNCTION("""COMPUTED_VALUE"""),42.0)</f>
        <v>42</v>
      </c>
      <c r="N1170" s="152" t="str">
        <f>IFERROR(__xludf.DUMMYFUNCTION("""COMPUTED_VALUE"""),"Model 3 LR AWD")</f>
        <v>Model 3 LR AWD</v>
      </c>
      <c r="O1170" s="152" t="str">
        <f>IFERROR(__xludf.DUMMYFUNCTION("""COMPUTED_VALUE"""),"Deep Blue Metallic")</f>
        <v>Deep Blue Metallic</v>
      </c>
      <c r="P1170" s="153" t="str">
        <f>IFERROR(__xludf.DUMMYFUNCTION("""COMPUTED_VALUE"""),"19 inch Sport")</f>
        <v>19 inch Sport</v>
      </c>
      <c r="Q1170" s="152" t="str">
        <f>IFERROR(__xludf.DUMMYFUNCTION("""COMPUTED_VALUE"""),"White seats")</f>
        <v>White seats</v>
      </c>
      <c r="R1170" s="150" t="str">
        <f>IFERROR(__xludf.DUMMYFUNCTION("""COMPUTED_VALUE"""),"Autopilot")</f>
        <v>Autopilot</v>
      </c>
      <c r="S1170" s="150"/>
      <c r="T1170" s="136"/>
      <c r="U1170" s="136"/>
      <c r="V1170" s="136"/>
      <c r="W1170" s="136"/>
      <c r="X1170" s="137" t="str">
        <f>IFERROR(__xludf.DUMMYFUNCTION("""COMPUTED_VALUE"""),"Excellent")</f>
        <v>Excellent</v>
      </c>
      <c r="Y1170" s="138" t="str">
        <f>IFERROR(__xludf.DUMMYFUNCTION("""COMPUTED_VALUE"""),"Excellent")</f>
        <v>Excellent</v>
      </c>
      <c r="Z1170" s="138" t="str">
        <f>IFERROR(__xludf.DUMMYFUNCTION("""COMPUTED_VALUE"""),"Excellent")</f>
        <v>Excellent</v>
      </c>
      <c r="AA1170" s="138" t="str">
        <f>IFERROR(__xludf.DUMMYFUNCTION("""COMPUTED_VALUE"""),"Excellent")</f>
        <v>Excellent</v>
      </c>
      <c r="AB1170" s="138" t="str">
        <f>IFERROR(__xludf.DUMMYFUNCTION("""COMPUTED_VALUE"""),"Excellent")</f>
        <v>Excellent</v>
      </c>
      <c r="AC1170" s="139">
        <f>IFERROR(__xludf.DUMMYFUNCTION("""COMPUTED_VALUE"""),0.0)</f>
        <v>0</v>
      </c>
      <c r="AD1170" s="139">
        <f>IFERROR(__xludf.DUMMYFUNCTION("""COMPUTED_VALUE"""),1.0)</f>
        <v>1</v>
      </c>
      <c r="AE1170" s="139"/>
      <c r="AF1170" s="140"/>
      <c r="AG1170" s="136"/>
      <c r="AH1170" s="157">
        <f>IFERROR(__xludf.DUMMYFUNCTION("""COMPUTED_VALUE"""),44105.839275266204)</f>
        <v>44105.83928</v>
      </c>
      <c r="AI1170" s="138"/>
      <c r="AJ1170" s="138"/>
      <c r="AK1170" s="138"/>
      <c r="AL1170" s="142"/>
    </row>
    <row r="1171" ht="20.25" customHeight="1">
      <c r="A1171" s="155" t="str">
        <f>IFERROR(__xludf.DUMMYFUNCTION("""COMPUTED_VALUE"""),"pacul")</f>
        <v>pacul</v>
      </c>
      <c r="B1171" s="149" t="str">
        <f>IFERROR(__xludf.DUMMYFUNCTION("""COMPUTED_VALUE"""),"Baton Rouge")</f>
        <v>Baton Rouge</v>
      </c>
      <c r="C1171" s="149" t="str">
        <f>IFERROR(__xludf.DUMMYFUNCTION("""COMPUTED_VALUE"""),"LA")</f>
        <v>LA</v>
      </c>
      <c r="D1171" s="149" t="str">
        <f>IFERROR(__xludf.DUMMYFUNCTION("""COMPUTED_VALUE"""),"USA")</f>
        <v>USA</v>
      </c>
      <c r="E1171" s="156">
        <f>IFERROR(__xludf.DUMMYFUNCTION("""COMPUTED_VALUE"""),44054.0)</f>
        <v>44054</v>
      </c>
      <c r="F1171" s="129">
        <f>IFERROR(__xludf.DUMMYFUNCTION("""COMPUTED_VALUE"""),44075.0)</f>
        <v>44075</v>
      </c>
      <c r="G1171" s="154"/>
      <c r="H1171" s="131">
        <f>IFERROR(__xludf.DUMMYFUNCTION("""COMPUTED_VALUE"""),787155.0)</f>
        <v>787155</v>
      </c>
      <c r="I1171" s="132"/>
      <c r="J1171" s="129">
        <f>IFERROR(__xludf.DUMMYFUNCTION("""COMPUTED_VALUE"""),44103.0)</f>
        <v>44103</v>
      </c>
      <c r="K1171" s="133">
        <f>IFERROR(__xludf.DUMMYFUNCTION("""COMPUTED_VALUE"""),21.0)</f>
        <v>21</v>
      </c>
      <c r="L1171" s="133">
        <f>IFERROR(__xludf.DUMMYFUNCTION("""COMPUTED_VALUE"""),28.0)</f>
        <v>28</v>
      </c>
      <c r="M1171" s="133">
        <f>IFERROR(__xludf.DUMMYFUNCTION("""COMPUTED_VALUE"""),49.0)</f>
        <v>49</v>
      </c>
      <c r="N1171" s="152" t="str">
        <f>IFERROR(__xludf.DUMMYFUNCTION("""COMPUTED_VALUE"""),"Model 3 LR AWD")</f>
        <v>Model 3 LR AWD</v>
      </c>
      <c r="O1171" s="152" t="str">
        <f>IFERROR(__xludf.DUMMYFUNCTION("""COMPUTED_VALUE"""),"Pearl White Multi-Coat")</f>
        <v>Pearl White Multi-Coat</v>
      </c>
      <c r="P1171" s="153" t="str">
        <f>IFERROR(__xludf.DUMMYFUNCTION("""COMPUTED_VALUE"""),"18 inch Aero")</f>
        <v>18 inch Aero</v>
      </c>
      <c r="Q1171" s="152" t="str">
        <f>IFERROR(__xludf.DUMMYFUNCTION("""COMPUTED_VALUE"""),"Black seats")</f>
        <v>Black seats</v>
      </c>
      <c r="R1171" s="150" t="str">
        <f>IFERROR(__xludf.DUMMYFUNCTION("""COMPUTED_VALUE"""),"Autopilot")</f>
        <v>Autopilot</v>
      </c>
      <c r="S1171" s="150"/>
      <c r="T1171" s="136"/>
      <c r="U1171" s="136"/>
      <c r="V1171" s="136"/>
      <c r="W1171" s="136"/>
      <c r="X1171" s="137" t="str">
        <f>IFERROR(__xludf.DUMMYFUNCTION("""COMPUTED_VALUE"""),"Very Good")</f>
        <v>Very Good</v>
      </c>
      <c r="Y1171" s="138" t="str">
        <f>IFERROR(__xludf.DUMMYFUNCTION("""COMPUTED_VALUE"""),"Excellent")</f>
        <v>Excellent</v>
      </c>
      <c r="Z1171" s="138" t="str">
        <f>IFERROR(__xludf.DUMMYFUNCTION("""COMPUTED_VALUE"""),"Excellent")</f>
        <v>Excellent</v>
      </c>
      <c r="AA1171" s="138" t="str">
        <f>IFERROR(__xludf.DUMMYFUNCTION("""COMPUTED_VALUE"""),"Good")</f>
        <v>Good</v>
      </c>
      <c r="AB1171" s="138" t="str">
        <f>IFERROR(__xludf.DUMMYFUNCTION("""COMPUTED_VALUE"""),"Excellent")</f>
        <v>Excellent</v>
      </c>
      <c r="AC1171" s="139"/>
      <c r="AD1171" s="139"/>
      <c r="AE1171" s="139"/>
      <c r="AF1171" s="140"/>
      <c r="AG1171" s="136"/>
      <c r="AH1171" s="157">
        <f>IFERROR(__xludf.DUMMYFUNCTION("""COMPUTED_VALUE"""),44104.40857881944)</f>
        <v>44104.40858</v>
      </c>
      <c r="AI1171" s="138"/>
      <c r="AJ1171" s="138"/>
      <c r="AK1171" s="138"/>
      <c r="AL1171" s="142"/>
    </row>
    <row r="1172" ht="20.25" customHeight="1">
      <c r="A1172" s="155" t="str">
        <f>IFERROR(__xludf.DUMMYFUNCTION("""COMPUTED_VALUE"""),"mm2kay")</f>
        <v>mm2kay</v>
      </c>
      <c r="B1172" s="149" t="str">
        <f>IFERROR(__xludf.DUMMYFUNCTION("""COMPUTED_VALUE"""),"Atlanta, GA")</f>
        <v>Atlanta, GA</v>
      </c>
      <c r="C1172" s="149" t="str">
        <f>IFERROR(__xludf.DUMMYFUNCTION("""COMPUTED_VALUE"""),"GA")</f>
        <v>GA</v>
      </c>
      <c r="D1172" s="149" t="str">
        <f>IFERROR(__xludf.DUMMYFUNCTION("""COMPUTED_VALUE"""),"USA")</f>
        <v>USA</v>
      </c>
      <c r="E1172" s="156">
        <f>IFERROR(__xludf.DUMMYFUNCTION("""COMPUTED_VALUE"""),44053.0)</f>
        <v>44053</v>
      </c>
      <c r="F1172" s="129">
        <f>IFERROR(__xludf.DUMMYFUNCTION("""COMPUTED_VALUE"""),44069.0)</f>
        <v>44069</v>
      </c>
      <c r="G1172" s="154"/>
      <c r="H1172" s="131">
        <f>IFERROR(__xludf.DUMMYFUNCTION("""COMPUTED_VALUE"""),785235.0)</f>
        <v>785235</v>
      </c>
      <c r="I1172" s="144"/>
      <c r="J1172" s="129">
        <f>IFERROR(__xludf.DUMMYFUNCTION("""COMPUTED_VALUE"""),44088.0)</f>
        <v>44088</v>
      </c>
      <c r="K1172" s="133">
        <f>IFERROR(__xludf.DUMMYFUNCTION("""COMPUTED_VALUE"""),16.0)</f>
        <v>16</v>
      </c>
      <c r="L1172" s="133">
        <f>IFERROR(__xludf.DUMMYFUNCTION("""COMPUTED_VALUE"""),19.0)</f>
        <v>19</v>
      </c>
      <c r="M1172" s="133">
        <f>IFERROR(__xludf.DUMMYFUNCTION("""COMPUTED_VALUE"""),35.0)</f>
        <v>35</v>
      </c>
      <c r="N1172" s="152" t="str">
        <f>IFERROR(__xludf.DUMMYFUNCTION("""COMPUTED_VALUE"""),"Model 3 SR+")</f>
        <v>Model 3 SR+</v>
      </c>
      <c r="O1172" s="152" t="str">
        <f>IFERROR(__xludf.DUMMYFUNCTION("""COMPUTED_VALUE"""),"Pearl White Multi-Coat")</f>
        <v>Pearl White Multi-Coat</v>
      </c>
      <c r="P1172" s="153" t="str">
        <f>IFERROR(__xludf.DUMMYFUNCTION("""COMPUTED_VALUE"""),"18 inch Aero")</f>
        <v>18 inch Aero</v>
      </c>
      <c r="Q1172" s="152" t="str">
        <f>IFERROR(__xludf.DUMMYFUNCTION("""COMPUTED_VALUE"""),"Black seats")</f>
        <v>Black seats</v>
      </c>
      <c r="R1172" s="149" t="str">
        <f>IFERROR(__xludf.DUMMYFUNCTION("""COMPUTED_VALUE"""),"Autopilot")</f>
        <v>Autopilot</v>
      </c>
      <c r="S1172" s="149"/>
      <c r="T1172" s="145"/>
      <c r="U1172" s="145"/>
      <c r="V1172" s="145"/>
      <c r="W1172" s="145"/>
      <c r="X1172" s="137" t="str">
        <f>IFERROR(__xludf.DUMMYFUNCTION("""COMPUTED_VALUE"""),"Very Good")</f>
        <v>Very Good</v>
      </c>
      <c r="Y1172" s="138" t="str">
        <f>IFERROR(__xludf.DUMMYFUNCTION("""COMPUTED_VALUE"""),"Excellent")</f>
        <v>Excellent</v>
      </c>
      <c r="Z1172" s="138" t="str">
        <f>IFERROR(__xludf.DUMMYFUNCTION("""COMPUTED_VALUE"""),"Excellent")</f>
        <v>Excellent</v>
      </c>
      <c r="AA1172" s="138" t="str">
        <f>IFERROR(__xludf.DUMMYFUNCTION("""COMPUTED_VALUE"""),"Very Good")</f>
        <v>Very Good</v>
      </c>
      <c r="AB1172" s="138" t="str">
        <f>IFERROR(__xludf.DUMMYFUNCTION("""COMPUTED_VALUE"""),"Excellent")</f>
        <v>Excellent</v>
      </c>
      <c r="AC1172" s="139"/>
      <c r="AD1172" s="139"/>
      <c r="AE1172" s="139"/>
      <c r="AF1172" s="140"/>
      <c r="AG1172" s="145" t="str">
        <f>IFERROR(__xludf.DUMMYFUNCTION("""COMPUTED_VALUE"""),"Delivered three days early and rescheduled delivery on the 14th instead of the 15")</f>
        <v>Delivered three days early and rescheduled delivery on the 14th instead of the 15</v>
      </c>
      <c r="AH1172" s="157">
        <f>IFERROR(__xludf.DUMMYFUNCTION("""COMPUTED_VALUE"""),44091.91066717593)</f>
        <v>44091.91067</v>
      </c>
      <c r="AI1172" s="138"/>
      <c r="AJ1172" s="138"/>
      <c r="AK1172" s="138"/>
      <c r="AL1172" s="142"/>
    </row>
    <row r="1173" ht="20.25" customHeight="1">
      <c r="A1173" s="155" t="str">
        <f>IFERROR(__xludf.DUMMYFUNCTION("""COMPUTED_VALUE"""),"quick")</f>
        <v>quick</v>
      </c>
      <c r="B1173" s="149" t="str">
        <f>IFERROR(__xludf.DUMMYFUNCTION("""COMPUTED_VALUE"""),"Montreal")</f>
        <v>Montreal</v>
      </c>
      <c r="C1173" s="149" t="str">
        <f>IFERROR(__xludf.DUMMYFUNCTION("""COMPUTED_VALUE"""),"QC")</f>
        <v>QC</v>
      </c>
      <c r="D1173" s="149" t="str">
        <f>IFERROR(__xludf.DUMMYFUNCTION("""COMPUTED_VALUE"""),"Canada")</f>
        <v>Canada</v>
      </c>
      <c r="E1173" s="156">
        <f>IFERROR(__xludf.DUMMYFUNCTION("""COMPUTED_VALUE"""),44053.0)</f>
        <v>44053</v>
      </c>
      <c r="F1173" s="129">
        <f>IFERROR(__xludf.DUMMYFUNCTION("""COMPUTED_VALUE"""),44070.0)</f>
        <v>44070</v>
      </c>
      <c r="G1173" s="154"/>
      <c r="H1173" s="131">
        <f>IFERROR(__xludf.DUMMYFUNCTION("""COMPUTED_VALUE"""),786555.0)</f>
        <v>786555</v>
      </c>
      <c r="I1173" s="144"/>
      <c r="J1173" s="129">
        <f>IFERROR(__xludf.DUMMYFUNCTION("""COMPUTED_VALUE"""),44084.0)</f>
        <v>44084</v>
      </c>
      <c r="K1173" s="133">
        <f>IFERROR(__xludf.DUMMYFUNCTION("""COMPUTED_VALUE"""),17.0)</f>
        <v>17</v>
      </c>
      <c r="L1173" s="133">
        <f>IFERROR(__xludf.DUMMYFUNCTION("""COMPUTED_VALUE"""),14.0)</f>
        <v>14</v>
      </c>
      <c r="M1173" s="133">
        <f>IFERROR(__xludf.DUMMYFUNCTION("""COMPUTED_VALUE"""),31.0)</f>
        <v>31</v>
      </c>
      <c r="N1173" s="152" t="str">
        <f>IFERROR(__xludf.DUMMYFUNCTION("""COMPUTED_VALUE"""),"Model 3 SR+")</f>
        <v>Model 3 SR+</v>
      </c>
      <c r="O1173" s="152" t="str">
        <f>IFERROR(__xludf.DUMMYFUNCTION("""COMPUTED_VALUE"""),"Pearl White Multi-Coat")</f>
        <v>Pearl White Multi-Coat</v>
      </c>
      <c r="P1173" s="153" t="str">
        <f>IFERROR(__xludf.DUMMYFUNCTION("""COMPUTED_VALUE"""),"18 inch Aero")</f>
        <v>18 inch Aero</v>
      </c>
      <c r="Q1173" s="152" t="str">
        <f>IFERROR(__xludf.DUMMYFUNCTION("""COMPUTED_VALUE"""),"Black seats")</f>
        <v>Black seats</v>
      </c>
      <c r="R1173" s="149" t="str">
        <f>IFERROR(__xludf.DUMMYFUNCTION("""COMPUTED_VALUE"""),"Autopilot")</f>
        <v>Autopilot</v>
      </c>
      <c r="S1173" s="149"/>
      <c r="T1173" s="145"/>
      <c r="U1173" s="145"/>
      <c r="V1173" s="145"/>
      <c r="W1173" s="145"/>
      <c r="X1173" s="137" t="str">
        <f>IFERROR(__xludf.DUMMYFUNCTION("""COMPUTED_VALUE"""),"Very Good")</f>
        <v>Very Good</v>
      </c>
      <c r="Y1173" s="138" t="str">
        <f>IFERROR(__xludf.DUMMYFUNCTION("""COMPUTED_VALUE"""),"Excellent")</f>
        <v>Excellent</v>
      </c>
      <c r="Z1173" s="138" t="str">
        <f>IFERROR(__xludf.DUMMYFUNCTION("""COMPUTED_VALUE"""),"Excellent")</f>
        <v>Excellent</v>
      </c>
      <c r="AA1173" s="138" t="str">
        <f>IFERROR(__xludf.DUMMYFUNCTION("""COMPUTED_VALUE"""),"Poor")</f>
        <v>Poor</v>
      </c>
      <c r="AB1173" s="138" t="str">
        <f>IFERROR(__xludf.DUMMYFUNCTION("""COMPUTED_VALUE"""),"Excellent")</f>
        <v>Excellent</v>
      </c>
      <c r="AC1173" s="139"/>
      <c r="AD1173" s="139"/>
      <c r="AE1173" s="139"/>
      <c r="AF1173" s="140"/>
      <c r="AG1173" s="145"/>
      <c r="AH1173" s="157">
        <f>IFERROR(__xludf.DUMMYFUNCTION("""COMPUTED_VALUE"""),44086.29551465278)</f>
        <v>44086.29551</v>
      </c>
      <c r="AI1173" s="138"/>
      <c r="AJ1173" s="138"/>
      <c r="AK1173" s="138"/>
      <c r="AL1173" s="142"/>
    </row>
    <row r="1174" ht="20.25" customHeight="1">
      <c r="A1174" s="155" t="str">
        <f>IFERROR(__xludf.DUMMYFUNCTION("""COMPUTED_VALUE"""),"mehranh")</f>
        <v>mehranh</v>
      </c>
      <c r="B1174" s="149" t="str">
        <f>IFERROR(__xludf.DUMMYFUNCTION("""COMPUTED_VALUE"""),"Montreal")</f>
        <v>Montreal</v>
      </c>
      <c r="C1174" s="149" t="str">
        <f>IFERROR(__xludf.DUMMYFUNCTION("""COMPUTED_VALUE"""),"QC")</f>
        <v>QC</v>
      </c>
      <c r="D1174" s="149" t="str">
        <f>IFERROR(__xludf.DUMMYFUNCTION("""COMPUTED_VALUE"""),"Canada")</f>
        <v>Canada</v>
      </c>
      <c r="E1174" s="156">
        <f>IFERROR(__xludf.DUMMYFUNCTION("""COMPUTED_VALUE"""),44051.0)</f>
        <v>44051</v>
      </c>
      <c r="F1174" s="129">
        <f>IFERROR(__xludf.DUMMYFUNCTION("""COMPUTED_VALUE"""),44071.0)</f>
        <v>44071</v>
      </c>
      <c r="G1174" s="154"/>
      <c r="H1174" s="131">
        <f>IFERROR(__xludf.DUMMYFUNCTION("""COMPUTED_VALUE"""),764655.0)</f>
        <v>764655</v>
      </c>
      <c r="I1174" s="144"/>
      <c r="J1174" s="129">
        <f>IFERROR(__xludf.DUMMYFUNCTION("""COMPUTED_VALUE"""),44075.0)</f>
        <v>44075</v>
      </c>
      <c r="K1174" s="133">
        <f>IFERROR(__xludf.DUMMYFUNCTION("""COMPUTED_VALUE"""),20.0)</f>
        <v>20</v>
      </c>
      <c r="L1174" s="133">
        <f>IFERROR(__xludf.DUMMYFUNCTION("""COMPUTED_VALUE"""),4.0)</f>
        <v>4</v>
      </c>
      <c r="M1174" s="133">
        <f>IFERROR(__xludf.DUMMYFUNCTION("""COMPUTED_VALUE"""),24.0)</f>
        <v>24</v>
      </c>
      <c r="N1174" s="152" t="str">
        <f>IFERROR(__xludf.DUMMYFUNCTION("""COMPUTED_VALUE"""),"Model 3 SR+")</f>
        <v>Model 3 SR+</v>
      </c>
      <c r="O1174" s="152" t="str">
        <f>IFERROR(__xludf.DUMMYFUNCTION("""COMPUTED_VALUE"""),"Red Multi-Coat")</f>
        <v>Red Multi-Coat</v>
      </c>
      <c r="P1174" s="153" t="str">
        <f>IFERROR(__xludf.DUMMYFUNCTION("""COMPUTED_VALUE"""),"18 inch Aero")</f>
        <v>18 inch Aero</v>
      </c>
      <c r="Q1174" s="152" t="str">
        <f>IFERROR(__xludf.DUMMYFUNCTION("""COMPUTED_VALUE"""),"White seats")</f>
        <v>White seats</v>
      </c>
      <c r="R1174" s="149" t="str">
        <f>IFERROR(__xludf.DUMMYFUNCTION("""COMPUTED_VALUE"""),"Autopilot")</f>
        <v>Autopilot</v>
      </c>
      <c r="S1174" s="149"/>
      <c r="T1174" s="145"/>
      <c r="U1174" s="145"/>
      <c r="V1174" s="145"/>
      <c r="W1174" s="145"/>
      <c r="X1174" s="137" t="str">
        <f>IFERROR(__xludf.DUMMYFUNCTION("""COMPUTED_VALUE"""),"Excellent")</f>
        <v>Excellent</v>
      </c>
      <c r="Y1174" s="138" t="str">
        <f>IFERROR(__xludf.DUMMYFUNCTION("""COMPUTED_VALUE"""),"Excellent")</f>
        <v>Excellent</v>
      </c>
      <c r="Z1174" s="138" t="str">
        <f>IFERROR(__xludf.DUMMYFUNCTION("""COMPUTED_VALUE"""),"Very Good")</f>
        <v>Very Good</v>
      </c>
      <c r="AA1174" s="138" t="str">
        <f>IFERROR(__xludf.DUMMYFUNCTION("""COMPUTED_VALUE"""),"Very Good")</f>
        <v>Very Good</v>
      </c>
      <c r="AB1174" s="138" t="str">
        <f>IFERROR(__xludf.DUMMYFUNCTION("""COMPUTED_VALUE"""),"Very Good")</f>
        <v>Very Good</v>
      </c>
      <c r="AC1174" s="139"/>
      <c r="AD1174" s="139"/>
      <c r="AE1174" s="139"/>
      <c r="AF1174" s="140"/>
      <c r="AG1174" s="145" t="str">
        <f>IFERROR(__xludf.DUMMYFUNCTION("""COMPUTED_VALUE"""),"Changed order to an existing red instead of white car, hence short delivery delay")</f>
        <v>Changed order to an existing red instead of white car, hence short delivery delay</v>
      </c>
      <c r="AH1174" s="157">
        <f>IFERROR(__xludf.DUMMYFUNCTION("""COMPUTED_VALUE"""),44096.67941863426)</f>
        <v>44096.67942</v>
      </c>
      <c r="AI1174" s="138"/>
      <c r="AJ1174" s="138"/>
      <c r="AK1174" s="138"/>
      <c r="AL1174" s="142"/>
    </row>
    <row r="1175" ht="20.25" customHeight="1">
      <c r="A1175" s="155" t="str">
        <f>IFERROR(__xludf.DUMMYFUNCTION("""COMPUTED_VALUE"""),"alhkim")</f>
        <v>alhkim</v>
      </c>
      <c r="B1175" s="149" t="str">
        <f>IFERROR(__xludf.DUMMYFUNCTION("""COMPUTED_VALUE"""),"St. Louis")</f>
        <v>St. Louis</v>
      </c>
      <c r="C1175" s="149" t="str">
        <f>IFERROR(__xludf.DUMMYFUNCTION("""COMPUTED_VALUE"""),"MO")</f>
        <v>MO</v>
      </c>
      <c r="D1175" s="149" t="str">
        <f>IFERROR(__xludf.DUMMYFUNCTION("""COMPUTED_VALUE"""),"USA")</f>
        <v>USA</v>
      </c>
      <c r="E1175" s="156">
        <f>IFERROR(__xludf.DUMMYFUNCTION("""COMPUTED_VALUE"""),44050.0)</f>
        <v>44050</v>
      </c>
      <c r="F1175" s="129">
        <f>IFERROR(__xludf.DUMMYFUNCTION("""COMPUTED_VALUE"""),44076.0)</f>
        <v>44076</v>
      </c>
      <c r="G1175" s="154"/>
      <c r="H1175" s="131">
        <f>IFERROR(__xludf.DUMMYFUNCTION("""COMPUTED_VALUE"""),787666.0)</f>
        <v>787666</v>
      </c>
      <c r="I1175" s="144" t="str">
        <f>IFERROR(__xludf.DUMMYFUNCTION("""COMPUTED_VALUE"""),"08/20")</f>
        <v>08/20</v>
      </c>
      <c r="J1175" s="129">
        <f>IFERROR(__xludf.DUMMYFUNCTION("""COMPUTED_VALUE"""),44086.0)</f>
        <v>44086</v>
      </c>
      <c r="K1175" s="133">
        <f>IFERROR(__xludf.DUMMYFUNCTION("""COMPUTED_VALUE"""),26.0)</f>
        <v>26</v>
      </c>
      <c r="L1175" s="133">
        <f>IFERROR(__xludf.DUMMYFUNCTION("""COMPUTED_VALUE"""),10.0)</f>
        <v>10</v>
      </c>
      <c r="M1175" s="133">
        <f>IFERROR(__xludf.DUMMYFUNCTION("""COMPUTED_VALUE"""),36.0)</f>
        <v>36</v>
      </c>
      <c r="N1175" s="152" t="str">
        <f>IFERROR(__xludf.DUMMYFUNCTION("""COMPUTED_VALUE"""),"Model 3 LR AWD")</f>
        <v>Model 3 LR AWD</v>
      </c>
      <c r="O1175" s="152" t="str">
        <f>IFERROR(__xludf.DUMMYFUNCTION("""COMPUTED_VALUE"""),"Solid Black")</f>
        <v>Solid Black</v>
      </c>
      <c r="P1175" s="153" t="str">
        <f>IFERROR(__xludf.DUMMYFUNCTION("""COMPUTED_VALUE"""),"18 inch Aero")</f>
        <v>18 inch Aero</v>
      </c>
      <c r="Q1175" s="152" t="str">
        <f>IFERROR(__xludf.DUMMYFUNCTION("""COMPUTED_VALUE"""),"White seats")</f>
        <v>White seats</v>
      </c>
      <c r="R1175" s="149" t="str">
        <f>IFERROR(__xludf.DUMMYFUNCTION("""COMPUTED_VALUE"""),"Autopilot")</f>
        <v>Autopilot</v>
      </c>
      <c r="S1175" s="149"/>
      <c r="T1175" s="145"/>
      <c r="U1175" s="145"/>
      <c r="V1175" s="145"/>
      <c r="W1175" s="145"/>
      <c r="X1175" s="137" t="str">
        <f>IFERROR(__xludf.DUMMYFUNCTION("""COMPUTED_VALUE"""),"Very Good")</f>
        <v>Very Good</v>
      </c>
      <c r="Y1175" s="138" t="str">
        <f>IFERROR(__xludf.DUMMYFUNCTION("""COMPUTED_VALUE"""),"Very Good")</f>
        <v>Very Good</v>
      </c>
      <c r="Z1175" s="138" t="str">
        <f>IFERROR(__xludf.DUMMYFUNCTION("""COMPUTED_VALUE"""),"Excellent")</f>
        <v>Excellent</v>
      </c>
      <c r="AA1175" s="138" t="str">
        <f>IFERROR(__xludf.DUMMYFUNCTION("""COMPUTED_VALUE"""),"Very Good")</f>
        <v>Very Good</v>
      </c>
      <c r="AB1175" s="138" t="str">
        <f>IFERROR(__xludf.DUMMYFUNCTION("""COMPUTED_VALUE"""),"Excellent")</f>
        <v>Excellent</v>
      </c>
      <c r="AC1175" s="139">
        <f>IFERROR(__xludf.DUMMYFUNCTION("""COMPUTED_VALUE"""),0.0)</f>
        <v>0</v>
      </c>
      <c r="AD1175" s="139"/>
      <c r="AE1175" s="139"/>
      <c r="AF1175" s="140"/>
      <c r="AG1175" s="145" t="str">
        <f>IFERROR(__xludf.DUMMYFUNCTION("""COMPUTED_VALUE"""),"8/19: SMS message, delivery 2-5 weeks, 8/29: SA said orders in early August will get VINs in 7 days")</f>
        <v>8/19: SMS message, delivery 2-5 weeks, 8/29: SA said orders in early August will get VINs in 7 days</v>
      </c>
      <c r="AH1175" s="157">
        <f>IFERROR(__xludf.DUMMYFUNCTION("""COMPUTED_VALUE"""),44096.7365237037)</f>
        <v>44096.73652</v>
      </c>
      <c r="AI1175" s="138"/>
      <c r="AJ1175" s="138"/>
      <c r="AK1175" s="138"/>
      <c r="AL1175" s="142"/>
    </row>
    <row r="1176" ht="20.25" customHeight="1">
      <c r="A1176" s="155" t="str">
        <f>IFERROR(__xludf.DUMMYFUNCTION("""COMPUTED_VALUE"""),"bmarkjones")</f>
        <v>bmarkjones</v>
      </c>
      <c r="B1176" s="149" t="str">
        <f>IFERROR(__xludf.DUMMYFUNCTION("""COMPUTED_VALUE"""),"Cypress")</f>
        <v>Cypress</v>
      </c>
      <c r="C1176" s="149" t="str">
        <f>IFERROR(__xludf.DUMMYFUNCTION("""COMPUTED_VALUE"""),"TX")</f>
        <v>TX</v>
      </c>
      <c r="D1176" s="149" t="str">
        <f>IFERROR(__xludf.DUMMYFUNCTION("""COMPUTED_VALUE"""),"USA")</f>
        <v>USA</v>
      </c>
      <c r="E1176" s="156">
        <f>IFERROR(__xludf.DUMMYFUNCTION("""COMPUTED_VALUE"""),44048.0)</f>
        <v>44048</v>
      </c>
      <c r="F1176" s="129">
        <f>IFERROR(__xludf.DUMMYFUNCTION("""COMPUTED_VALUE"""),44081.0)</f>
        <v>44081</v>
      </c>
      <c r="G1176" s="154"/>
      <c r="H1176" s="131">
        <f>IFERROR(__xludf.DUMMYFUNCTION("""COMPUTED_VALUE"""),787964.0)</f>
        <v>787964</v>
      </c>
      <c r="I1176" s="144" t="str">
        <f>IFERROR(__xludf.DUMMYFUNCTION("""COMPUTED_VALUE"""),"08/20")</f>
        <v>08/20</v>
      </c>
      <c r="J1176" s="129">
        <f>IFERROR(__xludf.DUMMYFUNCTION("""COMPUTED_VALUE"""),44098.0)</f>
        <v>44098</v>
      </c>
      <c r="K1176" s="133">
        <f>IFERROR(__xludf.DUMMYFUNCTION("""COMPUTED_VALUE"""),33.0)</f>
        <v>33</v>
      </c>
      <c r="L1176" s="133">
        <f>IFERROR(__xludf.DUMMYFUNCTION("""COMPUTED_VALUE"""),17.0)</f>
        <v>17</v>
      </c>
      <c r="M1176" s="133">
        <f>IFERROR(__xludf.DUMMYFUNCTION("""COMPUTED_VALUE"""),50.0)</f>
        <v>50</v>
      </c>
      <c r="N1176" s="152" t="str">
        <f>IFERROR(__xludf.DUMMYFUNCTION("""COMPUTED_VALUE"""),"Model 3 LR AWD")</f>
        <v>Model 3 LR AWD</v>
      </c>
      <c r="O1176" s="152" t="str">
        <f>IFERROR(__xludf.DUMMYFUNCTION("""COMPUTED_VALUE"""),"Red Multi-Coat")</f>
        <v>Red Multi-Coat</v>
      </c>
      <c r="P1176" s="153" t="str">
        <f>IFERROR(__xludf.DUMMYFUNCTION("""COMPUTED_VALUE"""),"19 inch Sport")</f>
        <v>19 inch Sport</v>
      </c>
      <c r="Q1176" s="152" t="str">
        <f>IFERROR(__xludf.DUMMYFUNCTION("""COMPUTED_VALUE"""),"White seats")</f>
        <v>White seats</v>
      </c>
      <c r="R1176" s="149" t="str">
        <f>IFERROR(__xludf.DUMMYFUNCTION("""COMPUTED_VALUE"""),"Autopilot")</f>
        <v>Autopilot</v>
      </c>
      <c r="S1176" s="149"/>
      <c r="T1176" s="145"/>
      <c r="U1176" s="145"/>
      <c r="V1176" s="145"/>
      <c r="W1176" s="145"/>
      <c r="X1176" s="137" t="str">
        <f>IFERROR(__xludf.DUMMYFUNCTION("""COMPUTED_VALUE"""),"Good")</f>
        <v>Good</v>
      </c>
      <c r="Y1176" s="138" t="str">
        <f>IFERROR(__xludf.DUMMYFUNCTION("""COMPUTED_VALUE"""),"Excellent")</f>
        <v>Excellent</v>
      </c>
      <c r="Z1176" s="138" t="str">
        <f>IFERROR(__xludf.DUMMYFUNCTION("""COMPUTED_VALUE"""),"Excellent")</f>
        <v>Excellent</v>
      </c>
      <c r="AA1176" s="138" t="str">
        <f>IFERROR(__xludf.DUMMYFUNCTION("""COMPUTED_VALUE"""),"Very Good")</f>
        <v>Very Good</v>
      </c>
      <c r="AB1176" s="138" t="str">
        <f>IFERROR(__xludf.DUMMYFUNCTION("""COMPUTED_VALUE"""),"Excellent")</f>
        <v>Excellent</v>
      </c>
      <c r="AC1176" s="139">
        <f>IFERROR(__xludf.DUMMYFUNCTION("""COMPUTED_VALUE"""),5.0)</f>
        <v>5</v>
      </c>
      <c r="AD1176" s="139"/>
      <c r="AE1176" s="139"/>
      <c r="AF1176" s="140"/>
      <c r="AG1176" s="145"/>
      <c r="AH1176" s="157">
        <f>IFERROR(__xludf.DUMMYFUNCTION("""COMPUTED_VALUE"""),44098.60169696759)</f>
        <v>44098.6017</v>
      </c>
      <c r="AI1176" s="138"/>
      <c r="AJ1176" s="138"/>
      <c r="AK1176" s="138"/>
      <c r="AL1176" s="142"/>
    </row>
    <row r="1177" ht="20.25" customHeight="1">
      <c r="A1177" s="155" t="str">
        <f>IFERROR(__xludf.DUMMYFUNCTION("""COMPUTED_VALUE"""),"RIXM3")</f>
        <v>RIXM3</v>
      </c>
      <c r="B1177" s="150" t="str">
        <f>IFERROR(__xludf.DUMMYFUNCTION("""COMPUTED_VALUE"""),"Pinellas Park")</f>
        <v>Pinellas Park</v>
      </c>
      <c r="C1177" s="149" t="str">
        <f>IFERROR(__xludf.DUMMYFUNCTION("""COMPUTED_VALUE"""),"FL")</f>
        <v>FL</v>
      </c>
      <c r="D1177" s="149" t="str">
        <f>IFERROR(__xludf.DUMMYFUNCTION("""COMPUTED_VALUE"""),"USA")</f>
        <v>USA</v>
      </c>
      <c r="E1177" s="156">
        <f>IFERROR(__xludf.DUMMYFUNCTION("""COMPUTED_VALUE"""),44048.0)</f>
        <v>44048</v>
      </c>
      <c r="F1177" s="129">
        <f>IFERROR(__xludf.DUMMYFUNCTION("""COMPUTED_VALUE"""),44075.0)</f>
        <v>44075</v>
      </c>
      <c r="G1177" s="154"/>
      <c r="H1177" s="131">
        <f>IFERROR(__xludf.DUMMYFUNCTION("""COMPUTED_VALUE"""),787196.0)</f>
        <v>787196</v>
      </c>
      <c r="I1177" s="132" t="str">
        <f>IFERROR(__xludf.DUMMYFUNCTION("""COMPUTED_VALUE"""),"09/20")</f>
        <v>09/20</v>
      </c>
      <c r="J1177" s="129">
        <f>IFERROR(__xludf.DUMMYFUNCTION("""COMPUTED_VALUE"""),44097.0)</f>
        <v>44097</v>
      </c>
      <c r="K1177" s="133">
        <f>IFERROR(__xludf.DUMMYFUNCTION("""COMPUTED_VALUE"""),27.0)</f>
        <v>27</v>
      </c>
      <c r="L1177" s="133">
        <f>IFERROR(__xludf.DUMMYFUNCTION("""COMPUTED_VALUE"""),22.0)</f>
        <v>22</v>
      </c>
      <c r="M1177" s="133">
        <f>IFERROR(__xludf.DUMMYFUNCTION("""COMPUTED_VALUE"""),49.0)</f>
        <v>49</v>
      </c>
      <c r="N1177" s="152" t="str">
        <f>IFERROR(__xludf.DUMMYFUNCTION("""COMPUTED_VALUE"""),"Model 3 LR AWD")</f>
        <v>Model 3 LR AWD</v>
      </c>
      <c r="O1177" s="152" t="str">
        <f>IFERROR(__xludf.DUMMYFUNCTION("""COMPUTED_VALUE"""),"Pearl White Multi-Coat")</f>
        <v>Pearl White Multi-Coat</v>
      </c>
      <c r="P1177" s="153" t="str">
        <f>IFERROR(__xludf.DUMMYFUNCTION("""COMPUTED_VALUE"""),"18 inch Aero")</f>
        <v>18 inch Aero</v>
      </c>
      <c r="Q1177" s="152" t="str">
        <f>IFERROR(__xludf.DUMMYFUNCTION("""COMPUTED_VALUE"""),"Black seats")</f>
        <v>Black seats</v>
      </c>
      <c r="R1177" s="150" t="str">
        <f>IFERROR(__xludf.DUMMYFUNCTION("""COMPUTED_VALUE"""),"Full Self-Driving")</f>
        <v>Full Self-Driving</v>
      </c>
      <c r="S1177" s="150"/>
      <c r="T1177" s="136"/>
      <c r="U1177" s="136"/>
      <c r="V1177" s="136"/>
      <c r="W1177" s="136"/>
      <c r="X1177" s="137" t="str">
        <f>IFERROR(__xludf.DUMMYFUNCTION("""COMPUTED_VALUE"""),"Excellent")</f>
        <v>Excellent</v>
      </c>
      <c r="Y1177" s="138" t="str">
        <f>IFERROR(__xludf.DUMMYFUNCTION("""COMPUTED_VALUE"""),"Excellent")</f>
        <v>Excellent</v>
      </c>
      <c r="Z1177" s="138" t="str">
        <f>IFERROR(__xludf.DUMMYFUNCTION("""COMPUTED_VALUE"""),"Excellent")</f>
        <v>Excellent</v>
      </c>
      <c r="AA1177" s="138" t="str">
        <f>IFERROR(__xludf.DUMMYFUNCTION("""COMPUTED_VALUE"""),"Very Good")</f>
        <v>Very Good</v>
      </c>
      <c r="AB1177" s="138" t="str">
        <f>IFERROR(__xludf.DUMMYFUNCTION("""COMPUTED_VALUE"""),"Excellent")</f>
        <v>Excellent</v>
      </c>
      <c r="AC1177" s="139"/>
      <c r="AD1177" s="139"/>
      <c r="AE1177" s="139"/>
      <c r="AF1177" s="140"/>
      <c r="AG1177" s="136"/>
      <c r="AH1177" s="157">
        <f>IFERROR(__xludf.DUMMYFUNCTION("""COMPUTED_VALUE"""),44098.83421796296)</f>
        <v>44098.83422</v>
      </c>
      <c r="AI1177" s="138"/>
      <c r="AJ1177" s="138"/>
      <c r="AK1177" s="138"/>
      <c r="AL1177" s="142"/>
    </row>
    <row r="1178" ht="20.25" customHeight="1">
      <c r="A1178" s="155" t="str">
        <f>IFERROR(__xludf.DUMMYFUNCTION("""COMPUTED_VALUE"""),"MrFortuna")</f>
        <v>MrFortuna</v>
      </c>
      <c r="B1178" s="149" t="str">
        <f>IFERROR(__xludf.DUMMYFUNCTION("""COMPUTED_VALUE"""),"Jackson")</f>
        <v>Jackson</v>
      </c>
      <c r="C1178" s="149" t="str">
        <f>IFERROR(__xludf.DUMMYFUNCTION("""COMPUTED_VALUE"""),"MI")</f>
        <v>MI</v>
      </c>
      <c r="D1178" s="149" t="str">
        <f>IFERROR(__xludf.DUMMYFUNCTION("""COMPUTED_VALUE"""),"USA")</f>
        <v>USA</v>
      </c>
      <c r="E1178" s="156">
        <f>IFERROR(__xludf.DUMMYFUNCTION("""COMPUTED_VALUE"""),44047.0)</f>
        <v>44047</v>
      </c>
      <c r="F1178" s="129">
        <f>IFERROR(__xludf.DUMMYFUNCTION("""COMPUTED_VALUE"""),44081.0)</f>
        <v>44081</v>
      </c>
      <c r="G1178" s="154"/>
      <c r="H1178" s="131">
        <f>IFERROR(__xludf.DUMMYFUNCTION("""COMPUTED_VALUE"""),791155.0)</f>
        <v>791155</v>
      </c>
      <c r="I1178" s="144"/>
      <c r="J1178" s="129">
        <f>IFERROR(__xludf.DUMMYFUNCTION("""COMPUTED_VALUE"""),44092.0)</f>
        <v>44092</v>
      </c>
      <c r="K1178" s="133">
        <f>IFERROR(__xludf.DUMMYFUNCTION("""COMPUTED_VALUE"""),34.0)</f>
        <v>34</v>
      </c>
      <c r="L1178" s="133">
        <f>IFERROR(__xludf.DUMMYFUNCTION("""COMPUTED_VALUE"""),11.0)</f>
        <v>11</v>
      </c>
      <c r="M1178" s="133">
        <f>IFERROR(__xludf.DUMMYFUNCTION("""COMPUTED_VALUE"""),45.0)</f>
        <v>45</v>
      </c>
      <c r="N1178" s="152" t="str">
        <f>IFERROR(__xludf.DUMMYFUNCTION("""COMPUTED_VALUE"""),"Model 3 LR AWD")</f>
        <v>Model 3 LR AWD</v>
      </c>
      <c r="O1178" s="152" t="str">
        <f>IFERROR(__xludf.DUMMYFUNCTION("""COMPUTED_VALUE"""),"Solid Black")</f>
        <v>Solid Black</v>
      </c>
      <c r="P1178" s="153" t="str">
        <f>IFERROR(__xludf.DUMMYFUNCTION("""COMPUTED_VALUE"""),"18 inch Aero")</f>
        <v>18 inch Aero</v>
      </c>
      <c r="Q1178" s="152" t="str">
        <f>IFERROR(__xludf.DUMMYFUNCTION("""COMPUTED_VALUE"""),"White seats")</f>
        <v>White seats</v>
      </c>
      <c r="R1178" s="149" t="str">
        <f>IFERROR(__xludf.DUMMYFUNCTION("""COMPUTED_VALUE"""),"Autopilot")</f>
        <v>Autopilot</v>
      </c>
      <c r="S1178" s="149"/>
      <c r="T1178" s="145"/>
      <c r="U1178" s="145"/>
      <c r="V1178" s="136"/>
      <c r="W1178" s="145"/>
      <c r="X1178" s="137" t="str">
        <f>IFERROR(__xludf.DUMMYFUNCTION("""COMPUTED_VALUE"""),"Excellent")</f>
        <v>Excellent</v>
      </c>
      <c r="Y1178" s="138" t="str">
        <f>IFERROR(__xludf.DUMMYFUNCTION("""COMPUTED_VALUE"""),"Excellent")</f>
        <v>Excellent</v>
      </c>
      <c r="Z1178" s="138" t="str">
        <f>IFERROR(__xludf.DUMMYFUNCTION("""COMPUTED_VALUE"""),"Excellent")</f>
        <v>Excellent</v>
      </c>
      <c r="AA1178" s="138" t="str">
        <f>IFERROR(__xludf.DUMMYFUNCTION("""COMPUTED_VALUE"""),"Excellent")</f>
        <v>Excellent</v>
      </c>
      <c r="AB1178" s="138" t="str">
        <f>IFERROR(__xludf.DUMMYFUNCTION("""COMPUTED_VALUE"""),"Excellent")</f>
        <v>Excellent</v>
      </c>
      <c r="AC1178" s="139"/>
      <c r="AD1178" s="139"/>
      <c r="AE1178" s="139"/>
      <c r="AF1178" s="140"/>
      <c r="AG1178" s="136" t="str">
        <f>IFERROR(__xludf.DUMMYFUNCTION("""COMPUTED_VALUE"""),"Updated my configuration on 8/8, may have reset my expected delivery date")</f>
        <v>Updated my configuration on 8/8, may have reset my expected delivery date</v>
      </c>
      <c r="AH1178" s="157">
        <f>IFERROR(__xludf.DUMMYFUNCTION("""COMPUTED_VALUE"""),44094.581913078706)</f>
        <v>44094.58191</v>
      </c>
      <c r="AI1178" s="138"/>
      <c r="AJ1178" s="138"/>
      <c r="AK1178" s="138"/>
      <c r="AL1178" s="142"/>
    </row>
    <row r="1179" ht="20.25" customHeight="1">
      <c r="A1179" s="155" t="str">
        <f>IFERROR(__xludf.DUMMYFUNCTION("""COMPUTED_VALUE"""),"blizza87")</f>
        <v>blizza87</v>
      </c>
      <c r="B1179" s="149" t="str">
        <f>IFERROR(__xludf.DUMMYFUNCTION("""COMPUTED_VALUE"""),"Philadelphia")</f>
        <v>Philadelphia</v>
      </c>
      <c r="C1179" s="149" t="str">
        <f>IFERROR(__xludf.DUMMYFUNCTION("""COMPUTED_VALUE"""),"PA")</f>
        <v>PA</v>
      </c>
      <c r="D1179" s="149" t="str">
        <f>IFERROR(__xludf.DUMMYFUNCTION("""COMPUTED_VALUE"""),"USA")</f>
        <v>USA</v>
      </c>
      <c r="E1179" s="156">
        <f>IFERROR(__xludf.DUMMYFUNCTION("""COMPUTED_VALUE"""),44046.0)</f>
        <v>44046</v>
      </c>
      <c r="F1179" s="129">
        <f>IFERROR(__xludf.DUMMYFUNCTION("""COMPUTED_VALUE"""),44068.0)</f>
        <v>44068</v>
      </c>
      <c r="G1179" s="154"/>
      <c r="H1179" s="131">
        <f>IFERROR(__xludf.DUMMYFUNCTION("""COMPUTED_VALUE"""),784245.0)</f>
        <v>784245</v>
      </c>
      <c r="I1179" s="144"/>
      <c r="J1179" s="129">
        <f>IFERROR(__xludf.DUMMYFUNCTION("""COMPUTED_VALUE"""),44082.0)</f>
        <v>44082</v>
      </c>
      <c r="K1179" s="133">
        <f>IFERROR(__xludf.DUMMYFUNCTION("""COMPUTED_VALUE"""),22.0)</f>
        <v>22</v>
      </c>
      <c r="L1179" s="133">
        <f>IFERROR(__xludf.DUMMYFUNCTION("""COMPUTED_VALUE"""),14.0)</f>
        <v>14</v>
      </c>
      <c r="M1179" s="133">
        <f>IFERROR(__xludf.DUMMYFUNCTION("""COMPUTED_VALUE"""),36.0)</f>
        <v>36</v>
      </c>
      <c r="N1179" s="152" t="str">
        <f>IFERROR(__xludf.DUMMYFUNCTION("""COMPUTED_VALUE"""),"Model 3 Performance")</f>
        <v>Model 3 Performance</v>
      </c>
      <c r="O1179" s="152" t="str">
        <f>IFERROR(__xludf.DUMMYFUNCTION("""COMPUTED_VALUE"""),"Pearl White Multi-Coat")</f>
        <v>Pearl White Multi-Coat</v>
      </c>
      <c r="P1179" s="153" t="str">
        <f>IFERROR(__xludf.DUMMYFUNCTION("""COMPUTED_VALUE"""),"20 inch Sport")</f>
        <v>20 inch Sport</v>
      </c>
      <c r="Q1179" s="152" t="str">
        <f>IFERROR(__xludf.DUMMYFUNCTION("""COMPUTED_VALUE"""),"White seats")</f>
        <v>White seats</v>
      </c>
      <c r="R1179" s="149" t="str">
        <f>IFERROR(__xludf.DUMMYFUNCTION("""COMPUTED_VALUE"""),"Autopilot")</f>
        <v>Autopilot</v>
      </c>
      <c r="S1179" s="149"/>
      <c r="T1179" s="145"/>
      <c r="U1179" s="145"/>
      <c r="V1179" s="145"/>
      <c r="W1179" s="145"/>
      <c r="X1179" s="137" t="str">
        <f>IFERROR(__xludf.DUMMYFUNCTION("""COMPUTED_VALUE"""),"Excellent")</f>
        <v>Excellent</v>
      </c>
      <c r="Y1179" s="138" t="str">
        <f>IFERROR(__xludf.DUMMYFUNCTION("""COMPUTED_VALUE"""),"Excellent")</f>
        <v>Excellent</v>
      </c>
      <c r="Z1179" s="138" t="str">
        <f>IFERROR(__xludf.DUMMYFUNCTION("""COMPUTED_VALUE"""),"Excellent")</f>
        <v>Excellent</v>
      </c>
      <c r="AA1179" s="138" t="str">
        <f>IFERROR(__xludf.DUMMYFUNCTION("""COMPUTED_VALUE"""),"Excellent")</f>
        <v>Excellent</v>
      </c>
      <c r="AB1179" s="138" t="str">
        <f>IFERROR(__xludf.DUMMYFUNCTION("""COMPUTED_VALUE"""),"Excellent")</f>
        <v>Excellent</v>
      </c>
      <c r="AC1179" s="139"/>
      <c r="AD1179" s="139"/>
      <c r="AE1179" s="139"/>
      <c r="AF1179" s="140"/>
      <c r="AG1179" s="145"/>
      <c r="AH1179" s="157">
        <f>IFERROR(__xludf.DUMMYFUNCTION("""COMPUTED_VALUE"""),44084.81281148148)</f>
        <v>44084.81281</v>
      </c>
      <c r="AI1179" s="138"/>
      <c r="AJ1179" s="138"/>
      <c r="AK1179" s="138"/>
      <c r="AL1179" s="142"/>
    </row>
    <row r="1180" ht="20.25" customHeight="1">
      <c r="A1180" s="155" t="str">
        <f>IFERROR(__xludf.DUMMYFUNCTION("""COMPUTED_VALUE"""),"MattyIce")</f>
        <v>MattyIce</v>
      </c>
      <c r="B1180" s="149" t="str">
        <f>IFERROR(__xludf.DUMMYFUNCTION("""COMPUTED_VALUE"""),"Cranberry")</f>
        <v>Cranberry</v>
      </c>
      <c r="C1180" s="149" t="str">
        <f>IFERROR(__xludf.DUMMYFUNCTION("""COMPUTED_VALUE"""),"PA")</f>
        <v>PA</v>
      </c>
      <c r="D1180" s="149" t="str">
        <f>IFERROR(__xludf.DUMMYFUNCTION("""COMPUTED_VALUE"""),"USA")</f>
        <v>USA</v>
      </c>
      <c r="E1180" s="156">
        <f>IFERROR(__xludf.DUMMYFUNCTION("""COMPUTED_VALUE"""),44046.0)</f>
        <v>44046</v>
      </c>
      <c r="F1180" s="129">
        <f>IFERROR(__xludf.DUMMYFUNCTION("""COMPUTED_VALUE"""),44076.0)</f>
        <v>44076</v>
      </c>
      <c r="G1180" s="154"/>
      <c r="H1180" s="131"/>
      <c r="I1180" s="144"/>
      <c r="J1180" s="129">
        <f>IFERROR(__xludf.DUMMYFUNCTION("""COMPUTED_VALUE"""),44090.0)</f>
        <v>44090</v>
      </c>
      <c r="K1180" s="133">
        <f>IFERROR(__xludf.DUMMYFUNCTION("""COMPUTED_VALUE"""),30.0)</f>
        <v>30</v>
      </c>
      <c r="L1180" s="133">
        <f>IFERROR(__xludf.DUMMYFUNCTION("""COMPUTED_VALUE"""),14.0)</f>
        <v>14</v>
      </c>
      <c r="M1180" s="133">
        <f>IFERROR(__xludf.DUMMYFUNCTION("""COMPUTED_VALUE"""),44.0)</f>
        <v>44</v>
      </c>
      <c r="N1180" s="152" t="str">
        <f>IFERROR(__xludf.DUMMYFUNCTION("""COMPUTED_VALUE"""),"Model 3 LR AWD")</f>
        <v>Model 3 LR AWD</v>
      </c>
      <c r="O1180" s="152" t="str">
        <f>IFERROR(__xludf.DUMMYFUNCTION("""COMPUTED_VALUE"""),"Pearl White Multi-Coat")</f>
        <v>Pearl White Multi-Coat</v>
      </c>
      <c r="P1180" s="153" t="str">
        <f>IFERROR(__xludf.DUMMYFUNCTION("""COMPUTED_VALUE"""),"18 inch Aero")</f>
        <v>18 inch Aero</v>
      </c>
      <c r="Q1180" s="152" t="str">
        <f>IFERROR(__xludf.DUMMYFUNCTION("""COMPUTED_VALUE"""),"Black seats")</f>
        <v>Black seats</v>
      </c>
      <c r="R1180" s="149" t="str">
        <f>IFERROR(__xludf.DUMMYFUNCTION("""COMPUTED_VALUE"""),"Autopilot")</f>
        <v>Autopilot</v>
      </c>
      <c r="S1180" s="149"/>
      <c r="T1180" s="145"/>
      <c r="U1180" s="145"/>
      <c r="V1180" s="145"/>
      <c r="W1180" s="145"/>
      <c r="X1180" s="137" t="str">
        <f>IFERROR(__xludf.DUMMYFUNCTION("""COMPUTED_VALUE"""),"Very Good")</f>
        <v>Very Good</v>
      </c>
      <c r="Y1180" s="138" t="str">
        <f>IFERROR(__xludf.DUMMYFUNCTION("""COMPUTED_VALUE"""),"Excellent")</f>
        <v>Excellent</v>
      </c>
      <c r="Z1180" s="138" t="str">
        <f>IFERROR(__xludf.DUMMYFUNCTION("""COMPUTED_VALUE"""),"Fair")</f>
        <v>Fair</v>
      </c>
      <c r="AA1180" s="138" t="str">
        <f>IFERROR(__xludf.DUMMYFUNCTION("""COMPUTED_VALUE"""),"Excellent")</f>
        <v>Excellent</v>
      </c>
      <c r="AB1180" s="138" t="str">
        <f>IFERROR(__xludf.DUMMYFUNCTION("""COMPUTED_VALUE"""),"Excellent")</f>
        <v>Excellent</v>
      </c>
      <c r="AC1180" s="139">
        <f>IFERROR(__xludf.DUMMYFUNCTION("""COMPUTED_VALUE"""),2.0)</f>
        <v>2</v>
      </c>
      <c r="AD1180" s="139"/>
      <c r="AE1180" s="139"/>
      <c r="AF1180" s="140"/>
      <c r="AG1180" s="145"/>
      <c r="AH1180" s="157">
        <f>IFERROR(__xludf.DUMMYFUNCTION("""COMPUTED_VALUE"""),44092.40887230324)</f>
        <v>44092.40887</v>
      </c>
      <c r="AI1180" s="138"/>
      <c r="AJ1180" s="138"/>
      <c r="AK1180" s="138"/>
      <c r="AL1180" s="142"/>
    </row>
    <row r="1181" ht="20.25" customHeight="1">
      <c r="A1181" s="155" t="str">
        <f>IFERROR(__xludf.DUMMYFUNCTION("""COMPUTED_VALUE"""),"Patel")</f>
        <v>Patel</v>
      </c>
      <c r="B1181" s="149" t="str">
        <f>IFERROR(__xludf.DUMMYFUNCTION("""COMPUTED_VALUE"""),"Cincinnati")</f>
        <v>Cincinnati</v>
      </c>
      <c r="C1181" s="149" t="str">
        <f>IFERROR(__xludf.DUMMYFUNCTION("""COMPUTED_VALUE"""),"OH")</f>
        <v>OH</v>
      </c>
      <c r="D1181" s="149" t="str">
        <f>IFERROR(__xludf.DUMMYFUNCTION("""COMPUTED_VALUE"""),"USA")</f>
        <v>USA</v>
      </c>
      <c r="E1181" s="156">
        <f>IFERROR(__xludf.DUMMYFUNCTION("""COMPUTED_VALUE"""),44046.0)</f>
        <v>44046</v>
      </c>
      <c r="F1181" s="129">
        <f>IFERROR(__xludf.DUMMYFUNCTION("""COMPUTED_VALUE"""),44081.0)</f>
        <v>44081</v>
      </c>
      <c r="G1181" s="154"/>
      <c r="H1181" s="131"/>
      <c r="I1181" s="144" t="str">
        <f>IFERROR(__xludf.DUMMYFUNCTION("""COMPUTED_VALUE"""),"09/20")</f>
        <v>09/20</v>
      </c>
      <c r="J1181" s="129">
        <f>IFERROR(__xludf.DUMMYFUNCTION("""COMPUTED_VALUE"""),44096.0)</f>
        <v>44096</v>
      </c>
      <c r="K1181" s="133">
        <f>IFERROR(__xludf.DUMMYFUNCTION("""COMPUTED_VALUE"""),35.0)</f>
        <v>35</v>
      </c>
      <c r="L1181" s="133">
        <f>IFERROR(__xludf.DUMMYFUNCTION("""COMPUTED_VALUE"""),15.0)</f>
        <v>15</v>
      </c>
      <c r="M1181" s="133">
        <f>IFERROR(__xludf.DUMMYFUNCTION("""COMPUTED_VALUE"""),50.0)</f>
        <v>50</v>
      </c>
      <c r="N1181" s="152" t="str">
        <f>IFERROR(__xludf.DUMMYFUNCTION("""COMPUTED_VALUE"""),"Model 3 LR AWD")</f>
        <v>Model 3 LR AWD</v>
      </c>
      <c r="O1181" s="152" t="str">
        <f>IFERROR(__xludf.DUMMYFUNCTION("""COMPUTED_VALUE"""),"Midnight Silver Metallic")</f>
        <v>Midnight Silver Metallic</v>
      </c>
      <c r="P1181" s="153" t="str">
        <f>IFERROR(__xludf.DUMMYFUNCTION("""COMPUTED_VALUE"""),"18 inch Aero")</f>
        <v>18 inch Aero</v>
      </c>
      <c r="Q1181" s="152" t="str">
        <f>IFERROR(__xludf.DUMMYFUNCTION("""COMPUTED_VALUE"""),"Black seats")</f>
        <v>Black seats</v>
      </c>
      <c r="R1181" s="149" t="str">
        <f>IFERROR(__xludf.DUMMYFUNCTION("""COMPUTED_VALUE"""),"Autopilot")</f>
        <v>Autopilot</v>
      </c>
      <c r="S1181" s="149"/>
      <c r="T1181" s="136"/>
      <c r="U1181" s="136"/>
      <c r="V1181" s="136"/>
      <c r="W1181" s="136"/>
      <c r="X1181" s="137" t="str">
        <f>IFERROR(__xludf.DUMMYFUNCTION("""COMPUTED_VALUE"""),"Poor")</f>
        <v>Poor</v>
      </c>
      <c r="Y1181" s="138" t="str">
        <f>IFERROR(__xludf.DUMMYFUNCTION("""COMPUTED_VALUE"""),"Excellent")</f>
        <v>Excellent</v>
      </c>
      <c r="Z1181" s="138" t="str">
        <f>IFERROR(__xludf.DUMMYFUNCTION("""COMPUTED_VALUE"""),"Good")</f>
        <v>Good</v>
      </c>
      <c r="AA1181" s="138" t="str">
        <f>IFERROR(__xludf.DUMMYFUNCTION("""COMPUTED_VALUE"""),"Excellent")</f>
        <v>Excellent</v>
      </c>
      <c r="AB1181" s="138" t="str">
        <f>IFERROR(__xludf.DUMMYFUNCTION("""COMPUTED_VALUE"""),"Excellent")</f>
        <v>Excellent</v>
      </c>
      <c r="AC1181" s="139">
        <f>IFERROR(__xludf.DUMMYFUNCTION("""COMPUTED_VALUE"""),1.0)</f>
        <v>1</v>
      </c>
      <c r="AD1181" s="139">
        <f>IFERROR(__xludf.DUMMYFUNCTION("""COMPUTED_VALUE"""),0.0)</f>
        <v>0</v>
      </c>
      <c r="AE1181" s="139">
        <f>IFERROR(__xludf.DUMMYFUNCTION("""COMPUTED_VALUE"""),0.0)</f>
        <v>0</v>
      </c>
      <c r="AF1181" s="140"/>
      <c r="AG1181" s="136"/>
      <c r="AH1181" s="157">
        <f>IFERROR(__xludf.DUMMYFUNCTION("""COMPUTED_VALUE"""),44106.27129880787)</f>
        <v>44106.2713</v>
      </c>
      <c r="AI1181" s="138"/>
      <c r="AJ1181" s="138"/>
      <c r="AK1181" s="138"/>
      <c r="AL1181" s="142"/>
    </row>
    <row r="1182" ht="20.25" customHeight="1">
      <c r="A1182" s="155" t="str">
        <f>IFERROR(__xludf.DUMMYFUNCTION("""COMPUTED_VALUE"""),"jyim")</f>
        <v>jyim</v>
      </c>
      <c r="B1182" s="150" t="str">
        <f>IFERROR(__xludf.DUMMYFUNCTION("""COMPUTED_VALUE"""),"Bellevue")</f>
        <v>Bellevue</v>
      </c>
      <c r="C1182" s="149" t="str">
        <f>IFERROR(__xludf.DUMMYFUNCTION("""COMPUTED_VALUE"""),"WA")</f>
        <v>WA</v>
      </c>
      <c r="D1182" s="149" t="str">
        <f>IFERROR(__xludf.DUMMYFUNCTION("""COMPUTED_VALUE"""),"USA")</f>
        <v>USA</v>
      </c>
      <c r="E1182" s="156">
        <f>IFERROR(__xludf.DUMMYFUNCTION("""COMPUTED_VALUE"""),44045.0)</f>
        <v>44045</v>
      </c>
      <c r="F1182" s="129">
        <f>IFERROR(__xludf.DUMMYFUNCTION("""COMPUTED_VALUE"""),44091.0)</f>
        <v>44091</v>
      </c>
      <c r="G1182" s="154"/>
      <c r="H1182" s="131">
        <f>IFERROR(__xludf.DUMMYFUNCTION("""COMPUTED_VALUE"""),800855.0)</f>
        <v>800855</v>
      </c>
      <c r="I1182" s="144"/>
      <c r="J1182" s="129">
        <f>IFERROR(__xludf.DUMMYFUNCTION("""COMPUTED_VALUE"""),44094.0)</f>
        <v>44094</v>
      </c>
      <c r="K1182" s="133">
        <f>IFERROR(__xludf.DUMMYFUNCTION("""COMPUTED_VALUE"""),46.0)</f>
        <v>46</v>
      </c>
      <c r="L1182" s="133">
        <f>IFERROR(__xludf.DUMMYFUNCTION("""COMPUTED_VALUE"""),3.0)</f>
        <v>3</v>
      </c>
      <c r="M1182" s="133">
        <f>IFERROR(__xludf.DUMMYFUNCTION("""COMPUTED_VALUE"""),49.0)</f>
        <v>49</v>
      </c>
      <c r="N1182" s="152" t="str">
        <f>IFERROR(__xludf.DUMMYFUNCTION("""COMPUTED_VALUE"""),"Model 3 LR AWD")</f>
        <v>Model 3 LR AWD</v>
      </c>
      <c r="O1182" s="152" t="str">
        <f>IFERROR(__xludf.DUMMYFUNCTION("""COMPUTED_VALUE"""),"Midnight Silver Metallic")</f>
        <v>Midnight Silver Metallic</v>
      </c>
      <c r="P1182" s="153" t="str">
        <f>IFERROR(__xludf.DUMMYFUNCTION("""COMPUTED_VALUE"""),"18 inch Aero")</f>
        <v>18 inch Aero</v>
      </c>
      <c r="Q1182" s="152" t="str">
        <f>IFERROR(__xludf.DUMMYFUNCTION("""COMPUTED_VALUE"""),"Black seats")</f>
        <v>Black seats</v>
      </c>
      <c r="R1182" s="149" t="str">
        <f>IFERROR(__xludf.DUMMYFUNCTION("""COMPUTED_VALUE"""),"Autopilot")</f>
        <v>Autopilot</v>
      </c>
      <c r="S1182" s="149"/>
      <c r="T1182" s="145"/>
      <c r="U1182" s="145"/>
      <c r="V1182" s="145"/>
      <c r="W1182" s="136"/>
      <c r="X1182" s="137" t="str">
        <f>IFERROR(__xludf.DUMMYFUNCTION("""COMPUTED_VALUE"""),"Very Good")</f>
        <v>Very Good</v>
      </c>
      <c r="Y1182" s="138" t="str">
        <f>IFERROR(__xludf.DUMMYFUNCTION("""COMPUTED_VALUE"""),"Excellent")</f>
        <v>Excellent</v>
      </c>
      <c r="Z1182" s="138" t="str">
        <f>IFERROR(__xludf.DUMMYFUNCTION("""COMPUTED_VALUE"""),"Very Good")</f>
        <v>Very Good</v>
      </c>
      <c r="AA1182" s="138" t="str">
        <f>IFERROR(__xludf.DUMMYFUNCTION("""COMPUTED_VALUE"""),"Good")</f>
        <v>Good</v>
      </c>
      <c r="AB1182" s="138" t="str">
        <f>IFERROR(__xludf.DUMMYFUNCTION("""COMPUTED_VALUE"""),"Very Good")</f>
        <v>Very Good</v>
      </c>
      <c r="AC1182" s="139"/>
      <c r="AD1182" s="139"/>
      <c r="AE1182" s="139"/>
      <c r="AF1182" s="140"/>
      <c r="AG1182" s="136" t="str">
        <f>IFERROR(__xludf.DUMMYFUNCTION("""COMPUTED_VALUE"""),"Switched from SR+ trim to ""new inventory"" LRAWD on 9/17. New car is still on it's way and SA provided VIN when I made this switch.")</f>
        <v>Switched from SR+ trim to "new inventory" LRAWD on 9/17. New car is still on it's way and SA provided VIN when I made this switch.</v>
      </c>
      <c r="AH1182" s="157">
        <f>IFERROR(__xludf.DUMMYFUNCTION("""COMPUTED_VALUE"""),44095.46151605324)</f>
        <v>44095.46152</v>
      </c>
      <c r="AI1182" s="138"/>
      <c r="AJ1182" s="138"/>
      <c r="AK1182" s="138"/>
      <c r="AL1182" s="142"/>
    </row>
    <row r="1183" ht="20.25" customHeight="1">
      <c r="A1183" s="155" t="str">
        <f>IFERROR(__xludf.DUMMYFUNCTION("""COMPUTED_VALUE"""),"MrCrumbz")</f>
        <v>MrCrumbz</v>
      </c>
      <c r="B1183" s="149" t="str">
        <f>IFERROR(__xludf.DUMMYFUNCTION("""COMPUTED_VALUE"""),"Vancouver")</f>
        <v>Vancouver</v>
      </c>
      <c r="C1183" s="149" t="str">
        <f>IFERROR(__xludf.DUMMYFUNCTION("""COMPUTED_VALUE"""),"BC")</f>
        <v>BC</v>
      </c>
      <c r="D1183" s="149" t="str">
        <f>IFERROR(__xludf.DUMMYFUNCTION("""COMPUTED_VALUE"""),"Canada")</f>
        <v>Canada</v>
      </c>
      <c r="E1183" s="156">
        <f>IFERROR(__xludf.DUMMYFUNCTION("""COMPUTED_VALUE"""),44045.0)</f>
        <v>44045</v>
      </c>
      <c r="F1183" s="129">
        <f>IFERROR(__xludf.DUMMYFUNCTION("""COMPUTED_VALUE"""),44071.0)</f>
        <v>44071</v>
      </c>
      <c r="G1183" s="154"/>
      <c r="H1183" s="131">
        <f>IFERROR(__xludf.DUMMYFUNCTION("""COMPUTED_VALUE"""),786455.0)</f>
        <v>786455</v>
      </c>
      <c r="I1183" s="144" t="str">
        <f>IFERROR(__xludf.DUMMYFUNCTION("""COMPUTED_VALUE"""),"08/20")</f>
        <v>08/20</v>
      </c>
      <c r="J1183" s="129">
        <f>IFERROR(__xludf.DUMMYFUNCTION("""COMPUTED_VALUE"""),44073.0)</f>
        <v>44073</v>
      </c>
      <c r="K1183" s="133">
        <f>IFERROR(__xludf.DUMMYFUNCTION("""COMPUTED_VALUE"""),26.0)</f>
        <v>26</v>
      </c>
      <c r="L1183" s="133">
        <f>IFERROR(__xludf.DUMMYFUNCTION("""COMPUTED_VALUE"""),2.0)</f>
        <v>2</v>
      </c>
      <c r="M1183" s="133">
        <f>IFERROR(__xludf.DUMMYFUNCTION("""COMPUTED_VALUE"""),28.0)</f>
        <v>28</v>
      </c>
      <c r="N1183" s="152" t="str">
        <f>IFERROR(__xludf.DUMMYFUNCTION("""COMPUTED_VALUE"""),"Model 3 SR+")</f>
        <v>Model 3 SR+</v>
      </c>
      <c r="O1183" s="152" t="str">
        <f>IFERROR(__xludf.DUMMYFUNCTION("""COMPUTED_VALUE"""),"Pearl White Multi-Coat")</f>
        <v>Pearl White Multi-Coat</v>
      </c>
      <c r="P1183" s="153" t="str">
        <f>IFERROR(__xludf.DUMMYFUNCTION("""COMPUTED_VALUE"""),"18 inch Aero")</f>
        <v>18 inch Aero</v>
      </c>
      <c r="Q1183" s="152" t="str">
        <f>IFERROR(__xludf.DUMMYFUNCTION("""COMPUTED_VALUE"""),"Black seats")</f>
        <v>Black seats</v>
      </c>
      <c r="R1183" s="149" t="str">
        <f>IFERROR(__xludf.DUMMYFUNCTION("""COMPUTED_VALUE"""),"Autopilot")</f>
        <v>Autopilot</v>
      </c>
      <c r="S1183" s="149"/>
      <c r="T1183" s="145"/>
      <c r="U1183" s="145"/>
      <c r="V1183" s="145"/>
      <c r="W1183" s="145"/>
      <c r="X1183" s="137" t="str">
        <f>IFERROR(__xludf.DUMMYFUNCTION("""COMPUTED_VALUE"""),"Excellent")</f>
        <v>Excellent</v>
      </c>
      <c r="Y1183" s="138" t="str">
        <f>IFERROR(__xludf.DUMMYFUNCTION("""COMPUTED_VALUE"""),"Excellent")</f>
        <v>Excellent</v>
      </c>
      <c r="Z1183" s="138" t="str">
        <f>IFERROR(__xludf.DUMMYFUNCTION("""COMPUTED_VALUE"""),"Very Good")</f>
        <v>Very Good</v>
      </c>
      <c r="AA1183" s="138" t="str">
        <f>IFERROR(__xludf.DUMMYFUNCTION("""COMPUTED_VALUE"""),"Good")</f>
        <v>Good</v>
      </c>
      <c r="AB1183" s="138" t="str">
        <f>IFERROR(__xludf.DUMMYFUNCTION("""COMPUTED_VALUE"""),"Excellent")</f>
        <v>Excellent</v>
      </c>
      <c r="AC1183" s="139"/>
      <c r="AD1183" s="139"/>
      <c r="AE1183" s="139"/>
      <c r="AF1183" s="140"/>
      <c r="AG1183" s="145" t="str">
        <f>IFERROR(__xludf.DUMMYFUNCTION("""COMPUTED_VALUE"""),"One instance of phantom touch on screen during initial trip home. One small pin head blemish in paint on R/F quarter panel (only paint issue; whole vehicle clause and waxed by hand). Slight raised edge on drivers side frunk corrected by adjusting stops (i"&amp;"n on drivers side, out on passenger side) to flex hood in to submission. ")</f>
        <v>One instance of phantom touch on screen during initial trip home. One small pin head blemish in paint on R/F quarter panel (only paint issue; whole vehicle clause and waxed by hand). Slight raised edge on drivers side frunk corrected by adjusting stops (in on drivers side, out on passenger side) to flex hood in to submission. </v>
      </c>
      <c r="AH1183" s="157">
        <f>IFERROR(__xludf.DUMMYFUNCTION("""COMPUTED_VALUE"""),44080.8578833912)</f>
        <v>44080.85788</v>
      </c>
      <c r="AI1183" s="138"/>
      <c r="AJ1183" s="138"/>
      <c r="AK1183" s="138"/>
      <c r="AL1183" s="142"/>
    </row>
    <row r="1184" ht="20.25" customHeight="1">
      <c r="A1184" s="155" t="str">
        <f>IFERROR(__xludf.DUMMYFUNCTION("""COMPUTED_VALUE"""),"scooter62")</f>
        <v>scooter62</v>
      </c>
      <c r="B1184" s="159" t="str">
        <f>IFERROR(__xludf.DUMMYFUNCTION("""COMPUTED_VALUE"""),"Tampa")</f>
        <v>Tampa</v>
      </c>
      <c r="C1184" s="159" t="str">
        <f>IFERROR(__xludf.DUMMYFUNCTION("""COMPUTED_VALUE"""),"FL")</f>
        <v>FL</v>
      </c>
      <c r="D1184" s="159" t="str">
        <f>IFERROR(__xludf.DUMMYFUNCTION("""COMPUTED_VALUE"""),"USA")</f>
        <v>USA</v>
      </c>
      <c r="E1184" s="156">
        <f>IFERROR(__xludf.DUMMYFUNCTION("""COMPUTED_VALUE"""),44044.0)</f>
        <v>44044</v>
      </c>
      <c r="F1184" s="129">
        <f>IFERROR(__xludf.DUMMYFUNCTION("""COMPUTED_VALUE"""),44070.0)</f>
        <v>44070</v>
      </c>
      <c r="G1184" s="154"/>
      <c r="H1184" s="131">
        <f>IFERROR(__xludf.DUMMYFUNCTION("""COMPUTED_VALUE"""),774929.0)</f>
        <v>774929</v>
      </c>
      <c r="I1184" s="160" t="str">
        <f>IFERROR(__xludf.DUMMYFUNCTION("""COMPUTED_VALUE"""),"08/20")</f>
        <v>08/20</v>
      </c>
      <c r="J1184" s="129">
        <f>IFERROR(__xludf.DUMMYFUNCTION("""COMPUTED_VALUE"""),44087.0)</f>
        <v>44087</v>
      </c>
      <c r="K1184" s="133">
        <f>IFERROR(__xludf.DUMMYFUNCTION("""COMPUTED_VALUE"""),26.0)</f>
        <v>26</v>
      </c>
      <c r="L1184" s="133">
        <f>IFERROR(__xludf.DUMMYFUNCTION("""COMPUTED_VALUE"""),17.0)</f>
        <v>17</v>
      </c>
      <c r="M1184" s="133">
        <f>IFERROR(__xludf.DUMMYFUNCTION("""COMPUTED_VALUE"""),43.0)</f>
        <v>43</v>
      </c>
      <c r="N1184" s="152" t="str">
        <f>IFERROR(__xludf.DUMMYFUNCTION("""COMPUTED_VALUE"""),"Model 3 LR AWD")</f>
        <v>Model 3 LR AWD</v>
      </c>
      <c r="O1184" s="152" t="str">
        <f>IFERROR(__xludf.DUMMYFUNCTION("""COMPUTED_VALUE"""),"Pearl White Multi-Coat")</f>
        <v>Pearl White Multi-Coat</v>
      </c>
      <c r="P1184" s="153" t="str">
        <f>IFERROR(__xludf.DUMMYFUNCTION("""COMPUTED_VALUE"""),"18 inch Aero")</f>
        <v>18 inch Aero</v>
      </c>
      <c r="Q1184" s="152" t="str">
        <f>IFERROR(__xludf.DUMMYFUNCTION("""COMPUTED_VALUE"""),"Black seats")</f>
        <v>Black seats</v>
      </c>
      <c r="R1184" s="159" t="str">
        <f>IFERROR(__xludf.DUMMYFUNCTION("""COMPUTED_VALUE"""),"Full Self-Driving")</f>
        <v>Full Self-Driving</v>
      </c>
      <c r="S1184" s="159"/>
      <c r="T1184" s="161"/>
      <c r="U1184" s="161"/>
      <c r="V1184" s="161"/>
      <c r="W1184" s="161"/>
      <c r="X1184" s="137" t="str">
        <f>IFERROR(__xludf.DUMMYFUNCTION("""COMPUTED_VALUE"""),"Good")</f>
        <v>Good</v>
      </c>
      <c r="Y1184" s="138" t="str">
        <f>IFERROR(__xludf.DUMMYFUNCTION("""COMPUTED_VALUE"""),"Very Good")</f>
        <v>Very Good</v>
      </c>
      <c r="Z1184" s="138" t="str">
        <f>IFERROR(__xludf.DUMMYFUNCTION("""COMPUTED_VALUE"""),"Very Good")</f>
        <v>Very Good</v>
      </c>
      <c r="AA1184" s="138" t="str">
        <f>IFERROR(__xludf.DUMMYFUNCTION("""COMPUTED_VALUE"""),"Excellent")</f>
        <v>Excellent</v>
      </c>
      <c r="AB1184" s="138" t="str">
        <f>IFERROR(__xludf.DUMMYFUNCTION("""COMPUTED_VALUE"""),"Very Good")</f>
        <v>Very Good</v>
      </c>
      <c r="AC1184" s="139">
        <f>IFERROR(__xludf.DUMMYFUNCTION("""COMPUTED_VALUE"""),2.0)</f>
        <v>2</v>
      </c>
      <c r="AD1184" s="139">
        <f>IFERROR(__xludf.DUMMYFUNCTION("""COMPUTED_VALUE"""),1.0)</f>
        <v>1</v>
      </c>
      <c r="AE1184" s="139"/>
      <c r="AF1184" s="140"/>
      <c r="AG1184" s="161"/>
      <c r="AH1184" s="157">
        <f>IFERROR(__xludf.DUMMYFUNCTION("""COMPUTED_VALUE"""),44090.68143655093)</f>
        <v>44090.68144</v>
      </c>
      <c r="AI1184" s="138"/>
      <c r="AJ1184" s="138"/>
      <c r="AK1184" s="138"/>
      <c r="AL1184" s="142"/>
    </row>
    <row r="1185" ht="20.25" customHeight="1">
      <c r="A1185" s="155" t="str">
        <f>IFERROR(__xludf.DUMMYFUNCTION("""COMPUTED_VALUE"""),"AlexParker")</f>
        <v>AlexParker</v>
      </c>
      <c r="B1185" s="149" t="str">
        <f>IFERROR(__xludf.DUMMYFUNCTION("""COMPUTED_VALUE"""),"Denver")</f>
        <v>Denver</v>
      </c>
      <c r="C1185" s="149" t="str">
        <f>IFERROR(__xludf.DUMMYFUNCTION("""COMPUTED_VALUE"""),"CO")</f>
        <v>CO</v>
      </c>
      <c r="D1185" s="149" t="str">
        <f>IFERROR(__xludf.DUMMYFUNCTION("""COMPUTED_VALUE"""),"USA")</f>
        <v>USA</v>
      </c>
      <c r="E1185" s="156">
        <f>IFERROR(__xludf.DUMMYFUNCTION("""COMPUTED_VALUE"""),44043.0)</f>
        <v>44043</v>
      </c>
      <c r="F1185" s="129">
        <f>IFERROR(__xludf.DUMMYFUNCTION("""COMPUTED_VALUE"""),44081.0)</f>
        <v>44081</v>
      </c>
      <c r="G1185" s="154"/>
      <c r="H1185" s="131">
        <f>IFERROR(__xludf.DUMMYFUNCTION("""COMPUTED_VALUE"""),791255.0)</f>
        <v>791255</v>
      </c>
      <c r="I1185" s="132" t="str">
        <f>IFERROR(__xludf.DUMMYFUNCTION("""COMPUTED_VALUE"""),"09/20")</f>
        <v>09/20</v>
      </c>
      <c r="J1185" s="129">
        <f>IFERROR(__xludf.DUMMYFUNCTION("""COMPUTED_VALUE"""),44082.0)</f>
        <v>44082</v>
      </c>
      <c r="K1185" s="133">
        <f>IFERROR(__xludf.DUMMYFUNCTION("""COMPUTED_VALUE"""),38.0)</f>
        <v>38</v>
      </c>
      <c r="L1185" s="133">
        <f>IFERROR(__xludf.DUMMYFUNCTION("""COMPUTED_VALUE"""),1.0)</f>
        <v>1</v>
      </c>
      <c r="M1185" s="133">
        <f>IFERROR(__xludf.DUMMYFUNCTION("""COMPUTED_VALUE"""),39.0)</f>
        <v>39</v>
      </c>
      <c r="N1185" s="152" t="str">
        <f>IFERROR(__xludf.DUMMYFUNCTION("""COMPUTED_VALUE"""),"Model 3 LR AWD")</f>
        <v>Model 3 LR AWD</v>
      </c>
      <c r="O1185" s="152" t="str">
        <f>IFERROR(__xludf.DUMMYFUNCTION("""COMPUTED_VALUE"""),"Pearl White Multi-Coat")</f>
        <v>Pearl White Multi-Coat</v>
      </c>
      <c r="P1185" s="153" t="str">
        <f>IFERROR(__xludf.DUMMYFUNCTION("""COMPUTED_VALUE"""),"18 inch Aero")</f>
        <v>18 inch Aero</v>
      </c>
      <c r="Q1185" s="152" t="str">
        <f>IFERROR(__xludf.DUMMYFUNCTION("""COMPUTED_VALUE"""),"White seats")</f>
        <v>White seats</v>
      </c>
      <c r="R1185" s="150" t="str">
        <f>IFERROR(__xludf.DUMMYFUNCTION("""COMPUTED_VALUE"""),"Autopilot")</f>
        <v>Autopilot</v>
      </c>
      <c r="S1185" s="150"/>
      <c r="T1185" s="136"/>
      <c r="U1185" s="136"/>
      <c r="V1185" s="136"/>
      <c r="W1185" s="136"/>
      <c r="X1185" s="137" t="str">
        <f>IFERROR(__xludf.DUMMYFUNCTION("""COMPUTED_VALUE"""),"Excellent")</f>
        <v>Excellent</v>
      </c>
      <c r="Y1185" s="138" t="str">
        <f>IFERROR(__xludf.DUMMYFUNCTION("""COMPUTED_VALUE"""),"Excellent")</f>
        <v>Excellent</v>
      </c>
      <c r="Z1185" s="138" t="str">
        <f>IFERROR(__xludf.DUMMYFUNCTION("""COMPUTED_VALUE"""),"Excellent")</f>
        <v>Excellent</v>
      </c>
      <c r="AA1185" s="138" t="str">
        <f>IFERROR(__xludf.DUMMYFUNCTION("""COMPUTED_VALUE"""),"Good")</f>
        <v>Good</v>
      </c>
      <c r="AB1185" s="138" t="str">
        <f>IFERROR(__xludf.DUMMYFUNCTION("""COMPUTED_VALUE"""),"Excellent")</f>
        <v>Excellent</v>
      </c>
      <c r="AC1185" s="139">
        <f>IFERROR(__xludf.DUMMYFUNCTION("""COMPUTED_VALUE"""),0.0)</f>
        <v>0</v>
      </c>
      <c r="AD1185" s="139">
        <f>IFERROR(__xludf.DUMMYFUNCTION("""COMPUTED_VALUE"""),0.0)</f>
        <v>0</v>
      </c>
      <c r="AE1185" s="139">
        <f>IFERROR(__xludf.DUMMYFUNCTION("""COMPUTED_VALUE"""),0.0)</f>
        <v>0</v>
      </c>
      <c r="AF1185" s="140"/>
      <c r="AG1185" s="136" t="str">
        <f>IFERROR(__xludf.DUMMYFUNCTION("""COMPUTED_VALUE"""),"Very different delivery experience than my wife’s. Much better.")</f>
        <v>Very different delivery experience than my wife’s. Much better.</v>
      </c>
      <c r="AH1185" s="157">
        <f>IFERROR(__xludf.DUMMYFUNCTION("""COMPUTED_VALUE"""),44083.83078402778)</f>
        <v>44083.83078</v>
      </c>
      <c r="AI1185" s="138"/>
      <c r="AJ1185" s="138"/>
      <c r="AK1185" s="138"/>
      <c r="AL1185" s="142"/>
    </row>
    <row r="1186" ht="20.25" customHeight="1">
      <c r="A1186" s="155" t="str">
        <f>IFERROR(__xludf.DUMMYFUNCTION("""COMPUTED_VALUE"""),"DCsquared")</f>
        <v>DCsquared</v>
      </c>
      <c r="B1186" s="149" t="str">
        <f>IFERROR(__xludf.DUMMYFUNCTION("""COMPUTED_VALUE"""),"Fresno")</f>
        <v>Fresno</v>
      </c>
      <c r="C1186" s="149" t="str">
        <f>IFERROR(__xludf.DUMMYFUNCTION("""COMPUTED_VALUE"""),"CA")</f>
        <v>CA</v>
      </c>
      <c r="D1186" s="149" t="str">
        <f>IFERROR(__xludf.DUMMYFUNCTION("""COMPUTED_VALUE"""),"USA")</f>
        <v>USA</v>
      </c>
      <c r="E1186" s="156">
        <f>IFERROR(__xludf.DUMMYFUNCTION("""COMPUTED_VALUE"""),44043.0)</f>
        <v>44043</v>
      </c>
      <c r="F1186" s="129">
        <f>IFERROR(__xludf.DUMMYFUNCTION("""COMPUTED_VALUE"""),44090.0)</f>
        <v>44090</v>
      </c>
      <c r="G1186" s="154"/>
      <c r="H1186" s="131">
        <f>IFERROR(__xludf.DUMMYFUNCTION("""COMPUTED_VALUE"""),794855.0)</f>
        <v>794855</v>
      </c>
      <c r="I1186" s="144"/>
      <c r="J1186" s="129">
        <f>IFERROR(__xludf.DUMMYFUNCTION("""COMPUTED_VALUE"""),44093.0)</f>
        <v>44093</v>
      </c>
      <c r="K1186" s="133">
        <f>IFERROR(__xludf.DUMMYFUNCTION("""COMPUTED_VALUE"""),47.0)</f>
        <v>47</v>
      </c>
      <c r="L1186" s="133">
        <f>IFERROR(__xludf.DUMMYFUNCTION("""COMPUTED_VALUE"""),3.0)</f>
        <v>3</v>
      </c>
      <c r="M1186" s="133">
        <f>IFERROR(__xludf.DUMMYFUNCTION("""COMPUTED_VALUE"""),50.0)</f>
        <v>50</v>
      </c>
      <c r="N1186" s="152" t="str">
        <f>IFERROR(__xludf.DUMMYFUNCTION("""COMPUTED_VALUE"""),"Model 3 LR AWD")</f>
        <v>Model 3 LR AWD</v>
      </c>
      <c r="O1186" s="152" t="str">
        <f>IFERROR(__xludf.DUMMYFUNCTION("""COMPUTED_VALUE"""),"Midnight Silver Metallic")</f>
        <v>Midnight Silver Metallic</v>
      </c>
      <c r="P1186" s="153" t="str">
        <f>IFERROR(__xludf.DUMMYFUNCTION("""COMPUTED_VALUE"""),"18 inch Aero")</f>
        <v>18 inch Aero</v>
      </c>
      <c r="Q1186" s="152" t="str">
        <f>IFERROR(__xludf.DUMMYFUNCTION("""COMPUTED_VALUE"""),"Black seats")</f>
        <v>Black seats</v>
      </c>
      <c r="R1186" s="149" t="str">
        <f>IFERROR(__xludf.DUMMYFUNCTION("""COMPUTED_VALUE"""),"Autopilot")</f>
        <v>Autopilot</v>
      </c>
      <c r="S1186" s="149"/>
      <c r="T1186" s="145"/>
      <c r="U1186" s="145"/>
      <c r="V1186" s="145"/>
      <c r="W1186" s="136"/>
      <c r="X1186" s="137" t="str">
        <f>IFERROR(__xludf.DUMMYFUNCTION("""COMPUTED_VALUE"""),"Excellent")</f>
        <v>Excellent</v>
      </c>
      <c r="Y1186" s="138" t="str">
        <f>IFERROR(__xludf.DUMMYFUNCTION("""COMPUTED_VALUE"""),"Very Good")</f>
        <v>Very Good</v>
      </c>
      <c r="Z1186" s="138" t="str">
        <f>IFERROR(__xludf.DUMMYFUNCTION("""COMPUTED_VALUE"""),"Excellent")</f>
        <v>Excellent</v>
      </c>
      <c r="AA1186" s="138" t="str">
        <f>IFERROR(__xludf.DUMMYFUNCTION("""COMPUTED_VALUE"""),"Very Good")</f>
        <v>Very Good</v>
      </c>
      <c r="AB1186" s="138" t="str">
        <f>IFERROR(__xludf.DUMMYFUNCTION("""COMPUTED_VALUE"""),"Excellent")</f>
        <v>Excellent</v>
      </c>
      <c r="AC1186" s="139"/>
      <c r="AD1186" s="139"/>
      <c r="AE1186" s="139"/>
      <c r="AF1186" s="140"/>
      <c r="AG1186" s="136"/>
      <c r="AH1186" s="157">
        <f>IFERROR(__xludf.DUMMYFUNCTION("""COMPUTED_VALUE"""),44095.00014372686)</f>
        <v>44095.00014</v>
      </c>
      <c r="AI1186" s="138"/>
      <c r="AJ1186" s="138"/>
      <c r="AK1186" s="138"/>
      <c r="AL1186" s="142"/>
    </row>
    <row r="1187" ht="20.25" customHeight="1">
      <c r="A1187" s="155" t="str">
        <f>IFERROR(__xludf.DUMMYFUNCTION("""COMPUTED_VALUE"""),"NLShaggy")</f>
        <v>NLShaggy</v>
      </c>
      <c r="B1187" s="149" t="str">
        <f>IFERROR(__xludf.DUMMYFUNCTION("""COMPUTED_VALUE"""),"Centrevile")</f>
        <v>Centrevile</v>
      </c>
      <c r="C1187" s="149" t="str">
        <f>IFERROR(__xludf.DUMMYFUNCTION("""COMPUTED_VALUE"""),"VA")</f>
        <v>VA</v>
      </c>
      <c r="D1187" s="149" t="str">
        <f>IFERROR(__xludf.DUMMYFUNCTION("""COMPUTED_VALUE"""),"USA")</f>
        <v>USA</v>
      </c>
      <c r="E1187" s="156">
        <f>IFERROR(__xludf.DUMMYFUNCTION("""COMPUTED_VALUE"""),44043.0)</f>
        <v>44043</v>
      </c>
      <c r="F1187" s="129">
        <f>IFERROR(__xludf.DUMMYFUNCTION("""COMPUTED_VALUE"""),44076.0)</f>
        <v>44076</v>
      </c>
      <c r="G1187" s="154"/>
      <c r="H1187" s="131"/>
      <c r="I1187" s="144" t="str">
        <f>IFERROR(__xludf.DUMMYFUNCTION("""COMPUTED_VALUE"""),"09/20")</f>
        <v>09/20</v>
      </c>
      <c r="J1187" s="129">
        <f>IFERROR(__xludf.DUMMYFUNCTION("""COMPUTED_VALUE"""),44095.0)</f>
        <v>44095</v>
      </c>
      <c r="K1187" s="133">
        <f>IFERROR(__xludf.DUMMYFUNCTION("""COMPUTED_VALUE"""),33.0)</f>
        <v>33</v>
      </c>
      <c r="L1187" s="133">
        <f>IFERROR(__xludf.DUMMYFUNCTION("""COMPUTED_VALUE"""),19.0)</f>
        <v>19</v>
      </c>
      <c r="M1187" s="133">
        <f>IFERROR(__xludf.DUMMYFUNCTION("""COMPUTED_VALUE"""),52.0)</f>
        <v>52</v>
      </c>
      <c r="N1187" s="152" t="str">
        <f>IFERROR(__xludf.DUMMYFUNCTION("""COMPUTED_VALUE"""),"Model 3 LR AWD")</f>
        <v>Model 3 LR AWD</v>
      </c>
      <c r="O1187" s="152" t="str">
        <f>IFERROR(__xludf.DUMMYFUNCTION("""COMPUTED_VALUE"""),"Midnight Silver Metallic")</f>
        <v>Midnight Silver Metallic</v>
      </c>
      <c r="P1187" s="153" t="str">
        <f>IFERROR(__xludf.DUMMYFUNCTION("""COMPUTED_VALUE"""),"18 inch Aero")</f>
        <v>18 inch Aero</v>
      </c>
      <c r="Q1187" s="152" t="str">
        <f>IFERROR(__xludf.DUMMYFUNCTION("""COMPUTED_VALUE"""),"Black seats")</f>
        <v>Black seats</v>
      </c>
      <c r="R1187" s="149" t="str">
        <f>IFERROR(__xludf.DUMMYFUNCTION("""COMPUTED_VALUE"""),"Autopilot")</f>
        <v>Autopilot</v>
      </c>
      <c r="S1187" s="149"/>
      <c r="T1187" s="145"/>
      <c r="U1187" s="145"/>
      <c r="V1187" s="145"/>
      <c r="W1187" s="145"/>
      <c r="X1187" s="137" t="str">
        <f>IFERROR(__xludf.DUMMYFUNCTION("""COMPUTED_VALUE"""),"Excellent")</f>
        <v>Excellent</v>
      </c>
      <c r="Y1187" s="138" t="str">
        <f>IFERROR(__xludf.DUMMYFUNCTION("""COMPUTED_VALUE"""),"Excellent")</f>
        <v>Excellent</v>
      </c>
      <c r="Z1187" s="138" t="str">
        <f>IFERROR(__xludf.DUMMYFUNCTION("""COMPUTED_VALUE"""),"Excellent")</f>
        <v>Excellent</v>
      </c>
      <c r="AA1187" s="138" t="str">
        <f>IFERROR(__xludf.DUMMYFUNCTION("""COMPUTED_VALUE"""),"Good")</f>
        <v>Good</v>
      </c>
      <c r="AB1187" s="138" t="str">
        <f>IFERROR(__xludf.DUMMYFUNCTION("""COMPUTED_VALUE"""),"Good")</f>
        <v>Good</v>
      </c>
      <c r="AC1187" s="139"/>
      <c r="AD1187" s="139"/>
      <c r="AE1187" s="139"/>
      <c r="AF1187" s="140"/>
      <c r="AG1187" s="145" t="str">
        <f>IFERROR(__xludf.DUMMYFUNCTION("""COMPUTED_VALUE"""),"9/2 - saw VIN on MVPA document. was not told by a representative yet and not scheduled a delivery day")</f>
        <v>9/2 - saw VIN on MVPA document. was not told by a representative yet and not scheduled a delivery day</v>
      </c>
      <c r="AH1187" s="157">
        <f>IFERROR(__xludf.DUMMYFUNCTION("""COMPUTED_VALUE"""),44104.28613619213)</f>
        <v>44104.28614</v>
      </c>
      <c r="AI1187" s="138"/>
      <c r="AJ1187" s="138"/>
      <c r="AK1187" s="138"/>
      <c r="AL1187" s="142"/>
    </row>
    <row r="1188" ht="20.25" customHeight="1">
      <c r="A1188" s="155" t="str">
        <f>IFERROR(__xludf.DUMMYFUNCTION("""COMPUTED_VALUE"""),"inagib")</f>
        <v>inagib</v>
      </c>
      <c r="B1188" s="149" t="str">
        <f>IFERROR(__xludf.DUMMYFUNCTION("""COMPUTED_VALUE"""),"Montreal")</f>
        <v>Montreal</v>
      </c>
      <c r="C1188" s="149" t="str">
        <f>IFERROR(__xludf.DUMMYFUNCTION("""COMPUTED_VALUE"""),"QC")</f>
        <v>QC</v>
      </c>
      <c r="D1188" s="149" t="str">
        <f>IFERROR(__xludf.DUMMYFUNCTION("""COMPUTED_VALUE"""),"Canada")</f>
        <v>Canada</v>
      </c>
      <c r="E1188" s="156">
        <f>IFERROR(__xludf.DUMMYFUNCTION("""COMPUTED_VALUE"""),44042.0)</f>
        <v>44042</v>
      </c>
      <c r="F1188" s="129">
        <f>IFERROR(__xludf.DUMMYFUNCTION("""COMPUTED_VALUE"""),44078.0)</f>
        <v>44078</v>
      </c>
      <c r="G1188" s="154"/>
      <c r="H1188" s="131"/>
      <c r="I1188" s="132"/>
      <c r="J1188" s="129">
        <f>IFERROR(__xludf.DUMMYFUNCTION("""COMPUTED_VALUE"""),44085.0)</f>
        <v>44085</v>
      </c>
      <c r="K1188" s="133">
        <f>IFERROR(__xludf.DUMMYFUNCTION("""COMPUTED_VALUE"""),36.0)</f>
        <v>36</v>
      </c>
      <c r="L1188" s="133">
        <f>IFERROR(__xludf.DUMMYFUNCTION("""COMPUTED_VALUE"""),7.0)</f>
        <v>7</v>
      </c>
      <c r="M1188" s="133">
        <f>IFERROR(__xludf.DUMMYFUNCTION("""COMPUTED_VALUE"""),43.0)</f>
        <v>43</v>
      </c>
      <c r="N1188" s="152" t="str">
        <f>IFERROR(__xludf.DUMMYFUNCTION("""COMPUTED_VALUE"""),"Model 3 SR+")</f>
        <v>Model 3 SR+</v>
      </c>
      <c r="O1188" s="152" t="str">
        <f>IFERROR(__xludf.DUMMYFUNCTION("""COMPUTED_VALUE"""),"Pearl White Multi-Coat")</f>
        <v>Pearl White Multi-Coat</v>
      </c>
      <c r="P1188" s="153" t="str">
        <f>IFERROR(__xludf.DUMMYFUNCTION("""COMPUTED_VALUE"""),"18 inch Aero")</f>
        <v>18 inch Aero</v>
      </c>
      <c r="Q1188" s="152" t="str">
        <f>IFERROR(__xludf.DUMMYFUNCTION("""COMPUTED_VALUE"""),"Black seats")</f>
        <v>Black seats</v>
      </c>
      <c r="R1188" s="150" t="str">
        <f>IFERROR(__xludf.DUMMYFUNCTION("""COMPUTED_VALUE"""),"Autopilot")</f>
        <v>Autopilot</v>
      </c>
      <c r="S1188" s="150"/>
      <c r="T1188" s="136"/>
      <c r="U1188" s="136"/>
      <c r="V1188" s="145"/>
      <c r="W1188" s="136"/>
      <c r="X1188" s="158" t="str">
        <f>IFERROR(__xludf.DUMMYFUNCTION("""COMPUTED_VALUE"""),"Good")</f>
        <v>Good</v>
      </c>
      <c r="Y1188" s="138" t="str">
        <f>IFERROR(__xludf.DUMMYFUNCTION("""COMPUTED_VALUE"""),"Very Good")</f>
        <v>Very Good</v>
      </c>
      <c r="Z1188" s="138" t="str">
        <f>IFERROR(__xludf.DUMMYFUNCTION("""COMPUTED_VALUE"""),"Excellent")</f>
        <v>Excellent</v>
      </c>
      <c r="AA1188" s="138" t="str">
        <f>IFERROR(__xludf.DUMMYFUNCTION("""COMPUTED_VALUE"""),"Good")</f>
        <v>Good</v>
      </c>
      <c r="AB1188" s="138" t="str">
        <f>IFERROR(__xludf.DUMMYFUNCTION("""COMPUTED_VALUE"""),"Good")</f>
        <v>Good</v>
      </c>
      <c r="AC1188" s="139">
        <f>IFERROR(__xludf.DUMMYFUNCTION("""COMPUTED_VALUE"""),2.0)</f>
        <v>2</v>
      </c>
      <c r="AD1188" s="139"/>
      <c r="AE1188" s="139"/>
      <c r="AF1188" s="140"/>
      <c r="AG1188" s="136"/>
      <c r="AH1188" s="157">
        <f>IFERROR(__xludf.DUMMYFUNCTION("""COMPUTED_VALUE"""),44087.31396763889)</f>
        <v>44087.31397</v>
      </c>
      <c r="AI1188" s="138"/>
      <c r="AJ1188" s="138"/>
      <c r="AK1188" s="138"/>
      <c r="AL1188" s="142"/>
    </row>
    <row r="1189" ht="20.25" customHeight="1">
      <c r="A1189" s="155" t="str">
        <f>IFERROR(__xludf.DUMMYFUNCTION("""COMPUTED_VALUE"""),"YANG 2024")</f>
        <v>YANG 2024</v>
      </c>
      <c r="B1189" s="149" t="str">
        <f>IFERROR(__xludf.DUMMYFUNCTION("""COMPUTED_VALUE"""),"Raleigh")</f>
        <v>Raleigh</v>
      </c>
      <c r="C1189" s="149" t="str">
        <f>IFERROR(__xludf.DUMMYFUNCTION("""COMPUTED_VALUE"""),"NC")</f>
        <v>NC</v>
      </c>
      <c r="D1189" s="149" t="str">
        <f>IFERROR(__xludf.DUMMYFUNCTION("""COMPUTED_VALUE"""),"USA")</f>
        <v>USA</v>
      </c>
      <c r="E1189" s="156">
        <f>IFERROR(__xludf.DUMMYFUNCTION("""COMPUTED_VALUE"""),44041.0)</f>
        <v>44041</v>
      </c>
      <c r="F1189" s="129">
        <f>IFERROR(__xludf.DUMMYFUNCTION("""COMPUTED_VALUE"""),44165.0)</f>
        <v>44165</v>
      </c>
      <c r="G1189" s="154" t="str">
        <f>IFERROR(__xludf.DUMMYFUNCTION("""COMPUTED_VALUE"""),"Manage order page (normal text)")</f>
        <v>Manage order page (normal text)</v>
      </c>
      <c r="H1189" s="131">
        <f>IFERROR(__xludf.DUMMYFUNCTION("""COMPUTED_VALUE"""),849798.0)</f>
        <v>849798</v>
      </c>
      <c r="I1189" s="144"/>
      <c r="J1189" s="129">
        <f>IFERROR(__xludf.DUMMYFUNCTION("""COMPUTED_VALUE"""),44177.0)</f>
        <v>44177</v>
      </c>
      <c r="K1189" s="133">
        <f>IFERROR(__xludf.DUMMYFUNCTION("""COMPUTED_VALUE"""),124.0)</f>
        <v>124</v>
      </c>
      <c r="L1189" s="133">
        <f>IFERROR(__xludf.DUMMYFUNCTION("""COMPUTED_VALUE"""),12.0)</f>
        <v>12</v>
      </c>
      <c r="M1189" s="133">
        <f>IFERROR(__xludf.DUMMYFUNCTION("""COMPUTED_VALUE"""),136.0)</f>
        <v>136</v>
      </c>
      <c r="N1189" s="152" t="str">
        <f>IFERROR(__xludf.DUMMYFUNCTION("""COMPUTED_VALUE"""),"Model 3 Performance")</f>
        <v>Model 3 Performance</v>
      </c>
      <c r="O1189" s="152" t="str">
        <f>IFERROR(__xludf.DUMMYFUNCTION("""COMPUTED_VALUE"""),"Pearl White Multi-Coat")</f>
        <v>Pearl White Multi-Coat</v>
      </c>
      <c r="P1189" s="153" t="str">
        <f>IFERROR(__xludf.DUMMYFUNCTION("""COMPUTED_VALUE"""),"20 inch")</f>
        <v>20 inch</v>
      </c>
      <c r="Q1189" s="152" t="str">
        <f>IFERROR(__xludf.DUMMYFUNCTION("""COMPUTED_VALUE"""),"Black and White")</f>
        <v>Black and White</v>
      </c>
      <c r="R1189" s="149" t="str">
        <f>IFERROR(__xludf.DUMMYFUNCTION("""COMPUTED_VALUE"""),"Full Self-Driving")</f>
        <v>Full Self-Driving</v>
      </c>
      <c r="S1189" s="149" t="str">
        <f>IFERROR(__xludf.DUMMYFUNCTION("""COMPUTED_VALUE"""),"Loan")</f>
        <v>Loan</v>
      </c>
      <c r="T1189" s="145" t="str">
        <f>IFERROR(__xludf.DUMMYFUNCTION("""COMPUTED_VALUE"""),"Chevy Volt")</f>
        <v>Chevy Volt</v>
      </c>
      <c r="U1189" s="145" t="str">
        <f>IFERROR(__xludf.DUMMYFUNCTION("""COMPUTED_VALUE"""),"Electric!")</f>
        <v>Electric!</v>
      </c>
      <c r="V1189" s="145" t="str">
        <f>IFERROR(__xludf.DUMMYFUNCTION("""COMPUTED_VALUE"""),"Air suspension")</f>
        <v>Air suspension</v>
      </c>
      <c r="W1189" s="145" t="str">
        <f>IFERROR(__xludf.DUMMYFUNCTION("""COMPUTED_VALUE"""),"Know how to operate your car before arrival and know what to look for during inspection of the car.")</f>
        <v>Know how to operate your car before arrival and know what to look for during inspection of the car.</v>
      </c>
      <c r="X1189" s="137" t="str">
        <f>IFERROR(__xludf.DUMMYFUNCTION("""COMPUTED_VALUE"""),"Very Good")</f>
        <v>Very Good</v>
      </c>
      <c r="Y1189" s="138" t="str">
        <f>IFERROR(__xludf.DUMMYFUNCTION("""COMPUTED_VALUE"""),"Very Good")</f>
        <v>Very Good</v>
      </c>
      <c r="Z1189" s="138" t="str">
        <f>IFERROR(__xludf.DUMMYFUNCTION("""COMPUTED_VALUE"""),"Good")</f>
        <v>Good</v>
      </c>
      <c r="AA1189" s="138" t="str">
        <f>IFERROR(__xludf.DUMMYFUNCTION("""COMPUTED_VALUE"""),"Very Good")</f>
        <v>Very Good</v>
      </c>
      <c r="AB1189" s="138" t="str">
        <f>IFERROR(__xludf.DUMMYFUNCTION("""COMPUTED_VALUE"""),"Very Good")</f>
        <v>Very Good</v>
      </c>
      <c r="AC1189" s="139"/>
      <c r="AD1189" s="139"/>
      <c r="AE1189" s="139"/>
      <c r="AF1189" s="140" t="str">
        <f>IFERROR(__xludf.DUMMYFUNCTION("""COMPUTED_VALUE"""),"No. I took delivery of the first car Tesla was able to deliver.")</f>
        <v>No. I took delivery of the first car Tesla was able to deliver.</v>
      </c>
      <c r="AG1189" s="145"/>
      <c r="AH1189" s="157">
        <f>IFERROR(__xludf.DUMMYFUNCTION("""COMPUTED_VALUE"""),44179.24445835648)</f>
        <v>44179.24446</v>
      </c>
      <c r="AI1189" s="138"/>
      <c r="AJ1189" s="138"/>
      <c r="AK1189" s="138"/>
      <c r="AL1189" s="142"/>
    </row>
    <row r="1190" ht="20.25" customHeight="1">
      <c r="A1190" s="155" t="str">
        <f>IFERROR(__xludf.DUMMYFUNCTION("""COMPUTED_VALUE"""),"brookswalker")</f>
        <v>brookswalker</v>
      </c>
      <c r="B1190" s="149" t="str">
        <f>IFERROR(__xludf.DUMMYFUNCTION("""COMPUTED_VALUE"""),"Kansas City")</f>
        <v>Kansas City</v>
      </c>
      <c r="C1190" s="149" t="str">
        <f>IFERROR(__xludf.DUMMYFUNCTION("""COMPUTED_VALUE"""),"MO")</f>
        <v>MO</v>
      </c>
      <c r="D1190" s="149" t="str">
        <f>IFERROR(__xludf.DUMMYFUNCTION("""COMPUTED_VALUE"""),"USA")</f>
        <v>USA</v>
      </c>
      <c r="E1190" s="156">
        <f>IFERROR(__xludf.DUMMYFUNCTION("""COMPUTED_VALUE"""),44040.0)</f>
        <v>44040</v>
      </c>
      <c r="F1190" s="129">
        <f>IFERROR(__xludf.DUMMYFUNCTION("""COMPUTED_VALUE"""),44075.0)</f>
        <v>44075</v>
      </c>
      <c r="G1190" s="154"/>
      <c r="H1190" s="131">
        <f>IFERROR(__xludf.DUMMYFUNCTION("""COMPUTED_VALUE"""),787155.0)</f>
        <v>787155</v>
      </c>
      <c r="I1190" s="144"/>
      <c r="J1190" s="129">
        <f>IFERROR(__xludf.DUMMYFUNCTION("""COMPUTED_VALUE"""),44093.0)</f>
        <v>44093</v>
      </c>
      <c r="K1190" s="133">
        <f>IFERROR(__xludf.DUMMYFUNCTION("""COMPUTED_VALUE"""),35.0)</f>
        <v>35</v>
      </c>
      <c r="L1190" s="133">
        <f>IFERROR(__xludf.DUMMYFUNCTION("""COMPUTED_VALUE"""),18.0)</f>
        <v>18</v>
      </c>
      <c r="M1190" s="133">
        <f>IFERROR(__xludf.DUMMYFUNCTION("""COMPUTED_VALUE"""),53.0)</f>
        <v>53</v>
      </c>
      <c r="N1190" s="152" t="str">
        <f>IFERROR(__xludf.DUMMYFUNCTION("""COMPUTED_VALUE"""),"Model 3 LR AWD")</f>
        <v>Model 3 LR AWD</v>
      </c>
      <c r="O1190" s="152" t="str">
        <f>IFERROR(__xludf.DUMMYFUNCTION("""COMPUTED_VALUE"""),"Pearl White Multi-Coat")</f>
        <v>Pearl White Multi-Coat</v>
      </c>
      <c r="P1190" s="153" t="str">
        <f>IFERROR(__xludf.DUMMYFUNCTION("""COMPUTED_VALUE"""),"18 inch Aero")</f>
        <v>18 inch Aero</v>
      </c>
      <c r="Q1190" s="152" t="str">
        <f>IFERROR(__xludf.DUMMYFUNCTION("""COMPUTED_VALUE"""),"Black seats")</f>
        <v>Black seats</v>
      </c>
      <c r="R1190" s="149" t="str">
        <f>IFERROR(__xludf.DUMMYFUNCTION("""COMPUTED_VALUE"""),"Autopilot")</f>
        <v>Autopilot</v>
      </c>
      <c r="S1190" s="149"/>
      <c r="T1190" s="145"/>
      <c r="U1190" s="145"/>
      <c r="V1190" s="145"/>
      <c r="W1190" s="136"/>
      <c r="X1190" s="137" t="str">
        <f>IFERROR(__xludf.DUMMYFUNCTION("""COMPUTED_VALUE"""),"Very Good")</f>
        <v>Very Good</v>
      </c>
      <c r="Y1190" s="138" t="str">
        <f>IFERROR(__xludf.DUMMYFUNCTION("""COMPUTED_VALUE"""),"Excellent")</f>
        <v>Excellent</v>
      </c>
      <c r="Z1190" s="138" t="str">
        <f>IFERROR(__xludf.DUMMYFUNCTION("""COMPUTED_VALUE"""),"Very Good")</f>
        <v>Very Good</v>
      </c>
      <c r="AA1190" s="138" t="str">
        <f>IFERROR(__xludf.DUMMYFUNCTION("""COMPUTED_VALUE"""),"Fair")</f>
        <v>Fair</v>
      </c>
      <c r="AB1190" s="138" t="str">
        <f>IFERROR(__xludf.DUMMYFUNCTION("""COMPUTED_VALUE"""),"Excellent")</f>
        <v>Excellent</v>
      </c>
      <c r="AC1190" s="139">
        <f>IFERROR(__xludf.DUMMYFUNCTION("""COMPUTED_VALUE"""),0.0)</f>
        <v>0</v>
      </c>
      <c r="AD1190" s="139">
        <f>IFERROR(__xludf.DUMMYFUNCTION("""COMPUTED_VALUE"""),0.0)</f>
        <v>0</v>
      </c>
      <c r="AE1190" s="139">
        <f>IFERROR(__xludf.DUMMYFUNCTION("""COMPUTED_VALUE"""),0.0)</f>
        <v>0</v>
      </c>
      <c r="AF1190" s="140"/>
      <c r="AG1190" s="136"/>
      <c r="AH1190" s="157">
        <f>IFERROR(__xludf.DUMMYFUNCTION("""COMPUTED_VALUE"""),44095.5010430787)</f>
        <v>44095.50104</v>
      </c>
      <c r="AI1190" s="138"/>
      <c r="AJ1190" s="138"/>
      <c r="AK1190" s="138"/>
      <c r="AL1190" s="142"/>
    </row>
    <row r="1191" ht="20.25" customHeight="1">
      <c r="A1191" s="155" t="str">
        <f>IFERROR(__xludf.DUMMYFUNCTION("""COMPUTED_VALUE"""),"Lexdysic")</f>
        <v>Lexdysic</v>
      </c>
      <c r="B1191" s="150" t="str">
        <f>IFERROR(__xludf.DUMMYFUNCTION("""COMPUTED_VALUE"""),"Rockville")</f>
        <v>Rockville</v>
      </c>
      <c r="C1191" s="149" t="str">
        <f>IFERROR(__xludf.DUMMYFUNCTION("""COMPUTED_VALUE"""),"MD")</f>
        <v>MD</v>
      </c>
      <c r="D1191" s="149" t="str">
        <f>IFERROR(__xludf.DUMMYFUNCTION("""COMPUTED_VALUE"""),"USA")</f>
        <v>USA</v>
      </c>
      <c r="E1191" s="156">
        <f>IFERROR(__xludf.DUMMYFUNCTION("""COMPUTED_VALUE"""),44040.0)</f>
        <v>44040</v>
      </c>
      <c r="F1191" s="129">
        <f>IFERROR(__xludf.DUMMYFUNCTION("""COMPUTED_VALUE"""),44075.0)</f>
        <v>44075</v>
      </c>
      <c r="G1191" s="154"/>
      <c r="H1191" s="131">
        <f>IFERROR(__xludf.DUMMYFUNCTION("""COMPUTED_VALUE"""),787355.0)</f>
        <v>787355</v>
      </c>
      <c r="I1191" s="144" t="str">
        <f>IFERROR(__xludf.DUMMYFUNCTION("""COMPUTED_VALUE"""),"08/20")</f>
        <v>08/20</v>
      </c>
      <c r="J1191" s="129">
        <f>IFERROR(__xludf.DUMMYFUNCTION("""COMPUTED_VALUE"""),44088.0)</f>
        <v>44088</v>
      </c>
      <c r="K1191" s="133">
        <f>IFERROR(__xludf.DUMMYFUNCTION("""COMPUTED_VALUE"""),35.0)</f>
        <v>35</v>
      </c>
      <c r="L1191" s="133">
        <f>IFERROR(__xludf.DUMMYFUNCTION("""COMPUTED_VALUE"""),13.0)</f>
        <v>13</v>
      </c>
      <c r="M1191" s="133">
        <f>IFERROR(__xludf.DUMMYFUNCTION("""COMPUTED_VALUE"""),48.0)</f>
        <v>48</v>
      </c>
      <c r="N1191" s="152" t="str">
        <f>IFERROR(__xludf.DUMMYFUNCTION("""COMPUTED_VALUE"""),"Model 3 LR AWD")</f>
        <v>Model 3 LR AWD</v>
      </c>
      <c r="O1191" s="152" t="str">
        <f>IFERROR(__xludf.DUMMYFUNCTION("""COMPUTED_VALUE"""),"Solid Black")</f>
        <v>Solid Black</v>
      </c>
      <c r="P1191" s="153" t="str">
        <f>IFERROR(__xludf.DUMMYFUNCTION("""COMPUTED_VALUE"""),"19 inch Sport")</f>
        <v>19 inch Sport</v>
      </c>
      <c r="Q1191" s="152" t="str">
        <f>IFERROR(__xludf.DUMMYFUNCTION("""COMPUTED_VALUE"""),"Black seats")</f>
        <v>Black seats</v>
      </c>
      <c r="R1191" s="149" t="str">
        <f>IFERROR(__xludf.DUMMYFUNCTION("""COMPUTED_VALUE"""),"Full Self-Driving")</f>
        <v>Full Self-Driving</v>
      </c>
      <c r="S1191" s="149"/>
      <c r="T1191" s="145"/>
      <c r="U1191" s="145"/>
      <c r="V1191" s="145"/>
      <c r="W1191" s="136"/>
      <c r="X1191" s="137" t="str">
        <f>IFERROR(__xludf.DUMMYFUNCTION("""COMPUTED_VALUE"""),"Excellent")</f>
        <v>Excellent</v>
      </c>
      <c r="Y1191" s="138" t="str">
        <f>IFERROR(__xludf.DUMMYFUNCTION("""COMPUTED_VALUE"""),"Excellent")</f>
        <v>Excellent</v>
      </c>
      <c r="Z1191" s="138" t="str">
        <f>IFERROR(__xludf.DUMMYFUNCTION("""COMPUTED_VALUE"""),"Excellent")</f>
        <v>Excellent</v>
      </c>
      <c r="AA1191" s="138" t="str">
        <f>IFERROR(__xludf.DUMMYFUNCTION("""COMPUTED_VALUE"""),"Excellent")</f>
        <v>Excellent</v>
      </c>
      <c r="AB1191" s="138" t="str">
        <f>IFERROR(__xludf.DUMMYFUNCTION("""COMPUTED_VALUE"""),"Excellent")</f>
        <v>Excellent</v>
      </c>
      <c r="AC1191" s="139">
        <f>IFERROR(__xludf.DUMMYFUNCTION("""COMPUTED_VALUE"""),2.0)</f>
        <v>2</v>
      </c>
      <c r="AD1191" s="139">
        <f>IFERROR(__xludf.DUMMYFUNCTION("""COMPUTED_VALUE"""),1.0)</f>
        <v>1</v>
      </c>
      <c r="AE1191" s="139">
        <f>IFERROR(__xludf.DUMMYFUNCTION("""COMPUTED_VALUE"""),0.0)</f>
        <v>0</v>
      </c>
      <c r="AF1191" s="140"/>
      <c r="AG1191" s="136"/>
      <c r="AH1191" s="157">
        <f>IFERROR(__xludf.DUMMYFUNCTION("""COMPUTED_VALUE"""),44102.303787060184)</f>
        <v>44102.30379</v>
      </c>
      <c r="AI1191" s="138"/>
      <c r="AJ1191" s="138"/>
      <c r="AK1191" s="138"/>
      <c r="AL1191" s="142"/>
    </row>
    <row r="1192" ht="20.25" customHeight="1">
      <c r="A1192" s="155" t="str">
        <f>IFERROR(__xludf.DUMMYFUNCTION("""COMPUTED_VALUE"""),"m112")</f>
        <v>m112</v>
      </c>
      <c r="B1192" s="149" t="str">
        <f>IFERROR(__xludf.DUMMYFUNCTION("""COMPUTED_VALUE"""),"Chicago")</f>
        <v>Chicago</v>
      </c>
      <c r="C1192" s="149" t="str">
        <f>IFERROR(__xludf.DUMMYFUNCTION("""COMPUTED_VALUE"""),"IL")</f>
        <v>IL</v>
      </c>
      <c r="D1192" s="149" t="str">
        <f>IFERROR(__xludf.DUMMYFUNCTION("""COMPUTED_VALUE"""),"USA")</f>
        <v>USA</v>
      </c>
      <c r="E1192" s="156">
        <f>IFERROR(__xludf.DUMMYFUNCTION("""COMPUTED_VALUE"""),44040.0)</f>
        <v>44040</v>
      </c>
      <c r="F1192" s="129">
        <f>IFERROR(__xludf.DUMMYFUNCTION("""COMPUTED_VALUE"""),44082.0)</f>
        <v>44082</v>
      </c>
      <c r="G1192" s="154"/>
      <c r="H1192" s="131">
        <f>IFERROR(__xludf.DUMMYFUNCTION("""COMPUTED_VALUE"""),792655.0)</f>
        <v>792655</v>
      </c>
      <c r="I1192" s="144"/>
      <c r="J1192" s="129">
        <f>IFERROR(__xludf.DUMMYFUNCTION("""COMPUTED_VALUE"""),44092.0)</f>
        <v>44092</v>
      </c>
      <c r="K1192" s="133">
        <f>IFERROR(__xludf.DUMMYFUNCTION("""COMPUTED_VALUE"""),42.0)</f>
        <v>42</v>
      </c>
      <c r="L1192" s="133">
        <f>IFERROR(__xludf.DUMMYFUNCTION("""COMPUTED_VALUE"""),10.0)</f>
        <v>10</v>
      </c>
      <c r="M1192" s="133">
        <f>IFERROR(__xludf.DUMMYFUNCTION("""COMPUTED_VALUE"""),52.0)</f>
        <v>52</v>
      </c>
      <c r="N1192" s="152" t="str">
        <f>IFERROR(__xludf.DUMMYFUNCTION("""COMPUTED_VALUE"""),"Model 3 SR+")</f>
        <v>Model 3 SR+</v>
      </c>
      <c r="O1192" s="152" t="str">
        <f>IFERROR(__xludf.DUMMYFUNCTION("""COMPUTED_VALUE"""),"Pearl White Multi-Coat")</f>
        <v>Pearl White Multi-Coat</v>
      </c>
      <c r="P1192" s="153" t="str">
        <f>IFERROR(__xludf.DUMMYFUNCTION("""COMPUTED_VALUE"""),"18 inch Aero")</f>
        <v>18 inch Aero</v>
      </c>
      <c r="Q1192" s="152" t="str">
        <f>IFERROR(__xludf.DUMMYFUNCTION("""COMPUTED_VALUE"""),"Black seats")</f>
        <v>Black seats</v>
      </c>
      <c r="R1192" s="149" t="str">
        <f>IFERROR(__xludf.DUMMYFUNCTION("""COMPUTED_VALUE"""),"Autopilot")</f>
        <v>Autopilot</v>
      </c>
      <c r="S1192" s="149"/>
      <c r="T1192" s="145"/>
      <c r="U1192" s="145"/>
      <c r="V1192" s="145"/>
      <c r="W1192" s="145"/>
      <c r="X1192" s="137" t="str">
        <f>IFERROR(__xludf.DUMMYFUNCTION("""COMPUTED_VALUE"""),"Excellent")</f>
        <v>Excellent</v>
      </c>
      <c r="Y1192" s="138" t="str">
        <f>IFERROR(__xludf.DUMMYFUNCTION("""COMPUTED_VALUE"""),"Excellent")</f>
        <v>Excellent</v>
      </c>
      <c r="Z1192" s="138" t="str">
        <f>IFERROR(__xludf.DUMMYFUNCTION("""COMPUTED_VALUE"""),"Excellent")</f>
        <v>Excellent</v>
      </c>
      <c r="AA1192" s="138" t="str">
        <f>IFERROR(__xludf.DUMMYFUNCTION("""COMPUTED_VALUE"""),"Good")</f>
        <v>Good</v>
      </c>
      <c r="AB1192" s="138" t="str">
        <f>IFERROR(__xludf.DUMMYFUNCTION("""COMPUTED_VALUE"""),"Very Good")</f>
        <v>Very Good</v>
      </c>
      <c r="AC1192" s="139">
        <f>IFERROR(__xludf.DUMMYFUNCTION("""COMPUTED_VALUE"""),2.0)</f>
        <v>2</v>
      </c>
      <c r="AD1192" s="139">
        <f>IFERROR(__xludf.DUMMYFUNCTION("""COMPUTED_VALUE"""),1.0)</f>
        <v>1</v>
      </c>
      <c r="AE1192" s="139"/>
      <c r="AF1192" s="140"/>
      <c r="AG1192" s="145"/>
      <c r="AH1192" s="157">
        <f>IFERROR(__xludf.DUMMYFUNCTION("""COMPUTED_VALUE"""),44096.337278402774)</f>
        <v>44096.33728</v>
      </c>
      <c r="AI1192" s="138"/>
      <c r="AJ1192" s="138"/>
      <c r="AK1192" s="138"/>
      <c r="AL1192" s="142"/>
    </row>
    <row r="1193" ht="20.25" customHeight="1">
      <c r="A1193" s="155" t="str">
        <f>IFERROR(__xludf.DUMMYFUNCTION("""COMPUTED_VALUE"""),"Pens")</f>
        <v>Pens</v>
      </c>
      <c r="B1193" s="149" t="str">
        <f>IFERROR(__xludf.DUMMYFUNCTION("""COMPUTED_VALUE"""),"Adairsville ")</f>
        <v>Adairsville </v>
      </c>
      <c r="C1193" s="149" t="str">
        <f>IFERROR(__xludf.DUMMYFUNCTION("""COMPUTED_VALUE"""),"GA")</f>
        <v>GA</v>
      </c>
      <c r="D1193" s="149" t="str">
        <f>IFERROR(__xludf.DUMMYFUNCTION("""COMPUTED_VALUE"""),"USA")</f>
        <v>USA</v>
      </c>
      <c r="E1193" s="156">
        <f>IFERROR(__xludf.DUMMYFUNCTION("""COMPUTED_VALUE"""),44040.0)</f>
        <v>44040</v>
      </c>
      <c r="F1193" s="129">
        <f>IFERROR(__xludf.DUMMYFUNCTION("""COMPUTED_VALUE"""),44075.0)</f>
        <v>44075</v>
      </c>
      <c r="G1193" s="154"/>
      <c r="H1193" s="131">
        <f>IFERROR(__xludf.DUMMYFUNCTION("""COMPUTED_VALUE"""),786923.0)</f>
        <v>786923</v>
      </c>
      <c r="I1193" s="144" t="str">
        <f>IFERROR(__xludf.DUMMYFUNCTION("""COMPUTED_VALUE"""),"09/20")</f>
        <v>09/20</v>
      </c>
      <c r="J1193" s="129"/>
      <c r="K1193" s="133">
        <f>IFERROR(__xludf.DUMMYFUNCTION("""COMPUTED_VALUE"""),35.0)</f>
        <v>35</v>
      </c>
      <c r="L1193" s="133"/>
      <c r="M1193" s="133"/>
      <c r="N1193" s="152" t="str">
        <f>IFERROR(__xludf.DUMMYFUNCTION("""COMPUTED_VALUE"""),"Model 3 LR AWD")</f>
        <v>Model 3 LR AWD</v>
      </c>
      <c r="O1193" s="152" t="str">
        <f>IFERROR(__xludf.DUMMYFUNCTION("""COMPUTED_VALUE"""),"Midnight Silver Metallic")</f>
        <v>Midnight Silver Metallic</v>
      </c>
      <c r="P1193" s="153" t="str">
        <f>IFERROR(__xludf.DUMMYFUNCTION("""COMPUTED_VALUE"""),"18 inch Aero")</f>
        <v>18 inch Aero</v>
      </c>
      <c r="Q1193" s="152" t="str">
        <f>IFERROR(__xludf.DUMMYFUNCTION("""COMPUTED_VALUE"""),"Black seats")</f>
        <v>Black seats</v>
      </c>
      <c r="R1193" s="149" t="str">
        <f>IFERROR(__xludf.DUMMYFUNCTION("""COMPUTED_VALUE"""),"Autopilot")</f>
        <v>Autopilot</v>
      </c>
      <c r="S1193" s="149"/>
      <c r="T1193" s="145"/>
      <c r="U1193" s="145"/>
      <c r="V1193" s="145"/>
      <c r="W1193" s="145"/>
      <c r="X1193" s="137" t="str">
        <f>IFERROR(__xludf.DUMMYFUNCTION("""COMPUTED_VALUE"""),"Good")</f>
        <v>Good</v>
      </c>
      <c r="Y1193" s="138" t="str">
        <f>IFERROR(__xludf.DUMMYFUNCTION("""COMPUTED_VALUE"""),"Very Good")</f>
        <v>Very Good</v>
      </c>
      <c r="Z1193" s="138" t="str">
        <f>IFERROR(__xludf.DUMMYFUNCTION("""COMPUTED_VALUE"""),"Very Good")</f>
        <v>Very Good</v>
      </c>
      <c r="AA1193" s="138" t="str">
        <f>IFERROR(__xludf.DUMMYFUNCTION("""COMPUTED_VALUE"""),"Fair")</f>
        <v>Fair</v>
      </c>
      <c r="AB1193" s="138" t="str">
        <f>IFERROR(__xludf.DUMMYFUNCTION("""COMPUTED_VALUE"""),"Fair")</f>
        <v>Fair</v>
      </c>
      <c r="AC1193" s="139">
        <f>IFERROR(__xludf.DUMMYFUNCTION("""COMPUTED_VALUE"""),0.0)</f>
        <v>0</v>
      </c>
      <c r="AD1193" s="139"/>
      <c r="AE1193" s="139"/>
      <c r="AF1193" s="140"/>
      <c r="AG1193" s="145"/>
      <c r="AH1193" s="157">
        <f>IFERROR(__xludf.DUMMYFUNCTION("""COMPUTED_VALUE"""),44094.79032068287)</f>
        <v>44094.79032</v>
      </c>
      <c r="AI1193" s="138"/>
      <c r="AJ1193" s="138"/>
      <c r="AK1193" s="138"/>
      <c r="AL1193" s="142"/>
    </row>
    <row r="1194" ht="20.25" customHeight="1">
      <c r="A1194" s="155" t="str">
        <f>IFERROR(__xludf.DUMMYFUNCTION("""COMPUTED_VALUE"""),"Spoji")</f>
        <v>Spoji</v>
      </c>
      <c r="B1194" s="149" t="str">
        <f>IFERROR(__xludf.DUMMYFUNCTION("""COMPUTED_VALUE"""),"Montreal")</f>
        <v>Montreal</v>
      </c>
      <c r="C1194" s="149" t="str">
        <f>IFERROR(__xludf.DUMMYFUNCTION("""COMPUTED_VALUE"""),"QC")</f>
        <v>QC</v>
      </c>
      <c r="D1194" s="149" t="str">
        <f>IFERROR(__xludf.DUMMYFUNCTION("""COMPUTED_VALUE"""),"Canada")</f>
        <v>Canada</v>
      </c>
      <c r="E1194" s="156">
        <f>IFERROR(__xludf.DUMMYFUNCTION("""COMPUTED_VALUE"""),44040.0)</f>
        <v>44040</v>
      </c>
      <c r="F1194" s="129">
        <f>IFERROR(__xludf.DUMMYFUNCTION("""COMPUTED_VALUE"""),44074.0)</f>
        <v>44074</v>
      </c>
      <c r="G1194" s="154"/>
      <c r="H1194" s="131">
        <f>IFERROR(__xludf.DUMMYFUNCTION("""COMPUTED_VALUE"""),786299.0)</f>
        <v>786299</v>
      </c>
      <c r="I1194" s="132" t="str">
        <f>IFERROR(__xludf.DUMMYFUNCTION("""COMPUTED_VALUE"""),"09/20")</f>
        <v>09/20</v>
      </c>
      <c r="J1194" s="129">
        <f>IFERROR(__xludf.DUMMYFUNCTION("""COMPUTED_VALUE"""),44083.0)</f>
        <v>44083</v>
      </c>
      <c r="K1194" s="133">
        <f>IFERROR(__xludf.DUMMYFUNCTION("""COMPUTED_VALUE"""),34.0)</f>
        <v>34</v>
      </c>
      <c r="L1194" s="133">
        <f>IFERROR(__xludf.DUMMYFUNCTION("""COMPUTED_VALUE"""),9.0)</f>
        <v>9</v>
      </c>
      <c r="M1194" s="133">
        <f>IFERROR(__xludf.DUMMYFUNCTION("""COMPUTED_VALUE"""),43.0)</f>
        <v>43</v>
      </c>
      <c r="N1194" s="152" t="str">
        <f>IFERROR(__xludf.DUMMYFUNCTION("""COMPUTED_VALUE"""),"Model 3 SR+")</f>
        <v>Model 3 SR+</v>
      </c>
      <c r="O1194" s="152" t="str">
        <f>IFERROR(__xludf.DUMMYFUNCTION("""COMPUTED_VALUE"""),"Pearl White Multi-Coat")</f>
        <v>Pearl White Multi-Coat</v>
      </c>
      <c r="P1194" s="153" t="str">
        <f>IFERROR(__xludf.DUMMYFUNCTION("""COMPUTED_VALUE"""),"18 inch Aero")</f>
        <v>18 inch Aero</v>
      </c>
      <c r="Q1194" s="152" t="str">
        <f>IFERROR(__xludf.DUMMYFUNCTION("""COMPUTED_VALUE"""),"Black seats")</f>
        <v>Black seats</v>
      </c>
      <c r="R1194" s="150" t="str">
        <f>IFERROR(__xludf.DUMMYFUNCTION("""COMPUTED_VALUE"""),"Autopilot")</f>
        <v>Autopilot</v>
      </c>
      <c r="S1194" s="150"/>
      <c r="T1194" s="136"/>
      <c r="U1194" s="136"/>
      <c r="V1194" s="136"/>
      <c r="W1194" s="136"/>
      <c r="X1194" s="137" t="str">
        <f>IFERROR(__xludf.DUMMYFUNCTION("""COMPUTED_VALUE"""),"Very Good")</f>
        <v>Very Good</v>
      </c>
      <c r="Y1194" s="138" t="str">
        <f>IFERROR(__xludf.DUMMYFUNCTION("""COMPUTED_VALUE"""),"Very Good")</f>
        <v>Very Good</v>
      </c>
      <c r="Z1194" s="138" t="str">
        <f>IFERROR(__xludf.DUMMYFUNCTION("""COMPUTED_VALUE"""),"Very Good")</f>
        <v>Very Good</v>
      </c>
      <c r="AA1194" s="138" t="str">
        <f>IFERROR(__xludf.DUMMYFUNCTION("""COMPUTED_VALUE"""),"Excellent")</f>
        <v>Excellent</v>
      </c>
      <c r="AB1194" s="138" t="str">
        <f>IFERROR(__xludf.DUMMYFUNCTION("""COMPUTED_VALUE"""),"Excellent")</f>
        <v>Excellent</v>
      </c>
      <c r="AC1194" s="139">
        <f>IFERROR(__xludf.DUMMYFUNCTION("""COMPUTED_VALUE"""),2.0)</f>
        <v>2</v>
      </c>
      <c r="AD1194" s="139">
        <f>IFERROR(__xludf.DUMMYFUNCTION("""COMPUTED_VALUE"""),1.0)</f>
        <v>1</v>
      </c>
      <c r="AE1194" s="139">
        <f>IFERROR(__xludf.DUMMYFUNCTION("""COMPUTED_VALUE"""),0.0)</f>
        <v>0</v>
      </c>
      <c r="AF1194" s="140"/>
      <c r="AG1194" s="136"/>
      <c r="AH1194" s="157">
        <f>IFERROR(__xludf.DUMMYFUNCTION("""COMPUTED_VALUE"""),44090.34696041667)</f>
        <v>44090.34696</v>
      </c>
      <c r="AI1194" s="138"/>
      <c r="AJ1194" s="138"/>
      <c r="AK1194" s="138"/>
      <c r="AL1194" s="142"/>
    </row>
    <row r="1195" ht="20.25" customHeight="1">
      <c r="A1195" s="155" t="str">
        <f>IFERROR(__xludf.DUMMYFUNCTION("""COMPUTED_VALUE"""),"kurtatx")</f>
        <v>kurtatx</v>
      </c>
      <c r="B1195" s="149" t="str">
        <f>IFERROR(__xludf.DUMMYFUNCTION("""COMPUTED_VALUE"""),"Austin")</f>
        <v>Austin</v>
      </c>
      <c r="C1195" s="149" t="str">
        <f>IFERROR(__xludf.DUMMYFUNCTION("""COMPUTED_VALUE"""),"TX")</f>
        <v>TX</v>
      </c>
      <c r="D1195" s="149" t="str">
        <f>IFERROR(__xludf.DUMMYFUNCTION("""COMPUTED_VALUE"""),"USA")</f>
        <v>USA</v>
      </c>
      <c r="E1195" s="156">
        <f>IFERROR(__xludf.DUMMYFUNCTION("""COMPUTED_VALUE"""),44039.0)</f>
        <v>44039</v>
      </c>
      <c r="F1195" s="129">
        <f>IFERROR(__xludf.DUMMYFUNCTION("""COMPUTED_VALUE"""),44074.0)</f>
        <v>44074</v>
      </c>
      <c r="G1195" s="154"/>
      <c r="H1195" s="131">
        <f>IFERROR(__xludf.DUMMYFUNCTION("""COMPUTED_VALUE"""),787747.0)</f>
        <v>787747</v>
      </c>
      <c r="I1195" s="144"/>
      <c r="J1195" s="129">
        <f>IFERROR(__xludf.DUMMYFUNCTION("""COMPUTED_VALUE"""),44091.0)</f>
        <v>44091</v>
      </c>
      <c r="K1195" s="133">
        <f>IFERROR(__xludf.DUMMYFUNCTION("""COMPUTED_VALUE"""),35.0)</f>
        <v>35</v>
      </c>
      <c r="L1195" s="133">
        <f>IFERROR(__xludf.DUMMYFUNCTION("""COMPUTED_VALUE"""),17.0)</f>
        <v>17</v>
      </c>
      <c r="M1195" s="133">
        <f>IFERROR(__xludf.DUMMYFUNCTION("""COMPUTED_VALUE"""),52.0)</f>
        <v>52</v>
      </c>
      <c r="N1195" s="152" t="str">
        <f>IFERROR(__xludf.DUMMYFUNCTION("""COMPUTED_VALUE"""),"Model 3 LR AWD")</f>
        <v>Model 3 LR AWD</v>
      </c>
      <c r="O1195" s="152" t="str">
        <f>IFERROR(__xludf.DUMMYFUNCTION("""COMPUTED_VALUE"""),"Red Multi-Coat")</f>
        <v>Red Multi-Coat</v>
      </c>
      <c r="P1195" s="153" t="str">
        <f>IFERROR(__xludf.DUMMYFUNCTION("""COMPUTED_VALUE"""),"18 inch Aero")</f>
        <v>18 inch Aero</v>
      </c>
      <c r="Q1195" s="152" t="str">
        <f>IFERROR(__xludf.DUMMYFUNCTION("""COMPUTED_VALUE"""),"White seats")</f>
        <v>White seats</v>
      </c>
      <c r="R1195" s="149" t="str">
        <f>IFERROR(__xludf.DUMMYFUNCTION("""COMPUTED_VALUE"""),"Autopilot")</f>
        <v>Autopilot</v>
      </c>
      <c r="S1195" s="149"/>
      <c r="T1195" s="145"/>
      <c r="U1195" s="145"/>
      <c r="V1195" s="136"/>
      <c r="W1195" s="136"/>
      <c r="X1195" s="137" t="str">
        <f>IFERROR(__xludf.DUMMYFUNCTION("""COMPUTED_VALUE"""),"Very Good")</f>
        <v>Very Good</v>
      </c>
      <c r="Y1195" s="138" t="str">
        <f>IFERROR(__xludf.DUMMYFUNCTION("""COMPUTED_VALUE"""),"Very Good")</f>
        <v>Very Good</v>
      </c>
      <c r="Z1195" s="138" t="str">
        <f>IFERROR(__xludf.DUMMYFUNCTION("""COMPUTED_VALUE"""),"Excellent")</f>
        <v>Excellent</v>
      </c>
      <c r="AA1195" s="138" t="str">
        <f>IFERROR(__xludf.DUMMYFUNCTION("""COMPUTED_VALUE"""),"Very Good")</f>
        <v>Very Good</v>
      </c>
      <c r="AB1195" s="138" t="str">
        <f>IFERROR(__xludf.DUMMYFUNCTION("""COMPUTED_VALUE"""),"Excellent")</f>
        <v>Excellent</v>
      </c>
      <c r="AC1195" s="139">
        <f>IFERROR(__xludf.DUMMYFUNCTION("""COMPUTED_VALUE"""),1.0)</f>
        <v>1</v>
      </c>
      <c r="AD1195" s="139"/>
      <c r="AE1195" s="139"/>
      <c r="AF1195" s="140"/>
      <c r="AG1195" s="136"/>
      <c r="AH1195" s="157">
        <f>IFERROR(__xludf.DUMMYFUNCTION("""COMPUTED_VALUE"""),44091.6366000463)</f>
        <v>44091.6366</v>
      </c>
      <c r="AI1195" s="138"/>
      <c r="AJ1195" s="138"/>
      <c r="AK1195" s="138"/>
      <c r="AL1195" s="142"/>
    </row>
    <row r="1196" ht="20.25" customHeight="1">
      <c r="A1196" s="155" t="str">
        <f>IFERROR(__xludf.DUMMYFUNCTION("""COMPUTED_VALUE"""),"asinha")</f>
        <v>asinha</v>
      </c>
      <c r="B1196" s="149" t="str">
        <f>IFERROR(__xludf.DUMMYFUNCTION("""COMPUTED_VALUE"""),"Chicago Subrubs ")</f>
        <v>Chicago Subrubs </v>
      </c>
      <c r="C1196" s="149" t="str">
        <f>IFERROR(__xludf.DUMMYFUNCTION("""COMPUTED_VALUE"""),"IL")</f>
        <v>IL</v>
      </c>
      <c r="D1196" s="149" t="str">
        <f>IFERROR(__xludf.DUMMYFUNCTION("""COMPUTED_VALUE"""),"USA")</f>
        <v>USA</v>
      </c>
      <c r="E1196" s="156">
        <f>IFERROR(__xludf.DUMMYFUNCTION("""COMPUTED_VALUE"""),44038.0)</f>
        <v>44038</v>
      </c>
      <c r="F1196" s="129">
        <f>IFERROR(__xludf.DUMMYFUNCTION("""COMPUTED_VALUE"""),44070.0)</f>
        <v>44070</v>
      </c>
      <c r="G1196" s="154"/>
      <c r="H1196" s="131">
        <f>IFERROR(__xludf.DUMMYFUNCTION("""COMPUTED_VALUE"""),784563.0)</f>
        <v>784563</v>
      </c>
      <c r="I1196" s="144"/>
      <c r="J1196" s="129">
        <f>IFERROR(__xludf.DUMMYFUNCTION("""COMPUTED_VALUE"""),44077.0)</f>
        <v>44077</v>
      </c>
      <c r="K1196" s="133">
        <f>IFERROR(__xludf.DUMMYFUNCTION("""COMPUTED_VALUE"""),32.0)</f>
        <v>32</v>
      </c>
      <c r="L1196" s="133">
        <f>IFERROR(__xludf.DUMMYFUNCTION("""COMPUTED_VALUE"""),7.0)</f>
        <v>7</v>
      </c>
      <c r="M1196" s="133">
        <f>IFERROR(__xludf.DUMMYFUNCTION("""COMPUTED_VALUE"""),39.0)</f>
        <v>39</v>
      </c>
      <c r="N1196" s="152" t="str">
        <f>IFERROR(__xludf.DUMMYFUNCTION("""COMPUTED_VALUE"""),"Model 3 Performance")</f>
        <v>Model 3 Performance</v>
      </c>
      <c r="O1196" s="152" t="str">
        <f>IFERROR(__xludf.DUMMYFUNCTION("""COMPUTED_VALUE"""),"Pearl White Multi-Coat")</f>
        <v>Pearl White Multi-Coat</v>
      </c>
      <c r="P1196" s="153" t="str">
        <f>IFERROR(__xludf.DUMMYFUNCTION("""COMPUTED_VALUE"""),"20 inch Sport")</f>
        <v>20 inch Sport</v>
      </c>
      <c r="Q1196" s="152" t="str">
        <f>IFERROR(__xludf.DUMMYFUNCTION("""COMPUTED_VALUE"""),"Black seats")</f>
        <v>Black seats</v>
      </c>
      <c r="R1196" s="149" t="str">
        <f>IFERROR(__xludf.DUMMYFUNCTION("""COMPUTED_VALUE"""),"Full Self-Driving")</f>
        <v>Full Self-Driving</v>
      </c>
      <c r="S1196" s="149"/>
      <c r="T1196" s="145"/>
      <c r="U1196" s="145"/>
      <c r="V1196" s="145"/>
      <c r="W1196" s="136"/>
      <c r="X1196" s="151" t="str">
        <f>IFERROR(__xludf.DUMMYFUNCTION("""COMPUTED_VALUE"""),"Excellent")</f>
        <v>Excellent</v>
      </c>
      <c r="Y1196" s="138" t="str">
        <f>IFERROR(__xludf.DUMMYFUNCTION("""COMPUTED_VALUE"""),"Excellent")</f>
        <v>Excellent</v>
      </c>
      <c r="Z1196" s="138" t="str">
        <f>IFERROR(__xludf.DUMMYFUNCTION("""COMPUTED_VALUE"""),"Excellent")</f>
        <v>Excellent</v>
      </c>
      <c r="AA1196" s="138" t="str">
        <f>IFERROR(__xludf.DUMMYFUNCTION("""COMPUTED_VALUE"""),"Very Good")</f>
        <v>Very Good</v>
      </c>
      <c r="AB1196" s="138" t="str">
        <f>IFERROR(__xludf.DUMMYFUNCTION("""COMPUTED_VALUE"""),"Very Good")</f>
        <v>Very Good</v>
      </c>
      <c r="AC1196" s="139">
        <f>IFERROR(__xludf.DUMMYFUNCTION("""COMPUTED_VALUE"""),2.0)</f>
        <v>2</v>
      </c>
      <c r="AD1196" s="139"/>
      <c r="AE1196" s="139"/>
      <c r="AF1196" s="140"/>
      <c r="AG1196" s="136" t="str">
        <f>IFERROR(__xludf.DUMMYFUNCTION("""COMPUTED_VALUE"""),"08/10 Update Text - Expected delivery in 3-6 weeks. Checked with advisor on 8/27 and he said VIN was assigned. Scheduled delivery for 09/07 but got early text saying car was ready on 09/03. 2 issues - front trunk misalignment and rear panel (behind back s"&amp;"eats) misaligned.")</f>
        <v>08/10 Update Text - Expected delivery in 3-6 weeks. Checked with advisor on 8/27 and he said VIN was assigned. Scheduled delivery for 09/07 but got early text saying car was ready on 09/03. 2 issues - front trunk misalignment and rear panel (behind back seats) misaligned.</v>
      </c>
      <c r="AH1196" s="157">
        <f>IFERROR(__xludf.DUMMYFUNCTION("""COMPUTED_VALUE"""),44080.386100752316)</f>
        <v>44080.3861</v>
      </c>
      <c r="AI1196" s="138"/>
      <c r="AJ1196" s="138"/>
      <c r="AK1196" s="138"/>
      <c r="AL1196" s="142"/>
    </row>
    <row r="1197" ht="20.25" customHeight="1">
      <c r="A1197" s="155" t="str">
        <f>IFERROR(__xludf.DUMMYFUNCTION("""COMPUTED_VALUE"""),"Ndukauba")</f>
        <v>Ndukauba</v>
      </c>
      <c r="B1197" s="149" t="str">
        <f>IFERROR(__xludf.DUMMYFUNCTION("""COMPUTED_VALUE"""),"Mesa")</f>
        <v>Mesa</v>
      </c>
      <c r="C1197" s="149" t="str">
        <f>IFERROR(__xludf.DUMMYFUNCTION("""COMPUTED_VALUE"""),"AZ")</f>
        <v>AZ</v>
      </c>
      <c r="D1197" s="149" t="str">
        <f>IFERROR(__xludf.DUMMYFUNCTION("""COMPUTED_VALUE"""),"USA")</f>
        <v>USA</v>
      </c>
      <c r="E1197" s="156">
        <f>IFERROR(__xludf.DUMMYFUNCTION("""COMPUTED_VALUE"""),44037.0)</f>
        <v>44037</v>
      </c>
      <c r="F1197" s="129">
        <f>IFERROR(__xludf.DUMMYFUNCTION("""COMPUTED_VALUE"""),44079.0)</f>
        <v>44079</v>
      </c>
      <c r="G1197" s="154"/>
      <c r="H1197" s="131">
        <f>IFERROR(__xludf.DUMMYFUNCTION("""COMPUTED_VALUE"""),791455.0)</f>
        <v>791455</v>
      </c>
      <c r="I1197" s="144"/>
      <c r="J1197" s="129">
        <f>IFERROR(__xludf.DUMMYFUNCTION("""COMPUTED_VALUE"""),44083.0)</f>
        <v>44083</v>
      </c>
      <c r="K1197" s="133">
        <f>IFERROR(__xludf.DUMMYFUNCTION("""COMPUTED_VALUE"""),42.0)</f>
        <v>42</v>
      </c>
      <c r="L1197" s="133">
        <f>IFERROR(__xludf.DUMMYFUNCTION("""COMPUTED_VALUE"""),4.0)</f>
        <v>4</v>
      </c>
      <c r="M1197" s="133">
        <f>IFERROR(__xludf.DUMMYFUNCTION("""COMPUTED_VALUE"""),46.0)</f>
        <v>46</v>
      </c>
      <c r="N1197" s="152" t="str">
        <f>IFERROR(__xludf.DUMMYFUNCTION("""COMPUTED_VALUE"""),"Model 3 LR AWD")</f>
        <v>Model 3 LR AWD</v>
      </c>
      <c r="O1197" s="152" t="str">
        <f>IFERROR(__xludf.DUMMYFUNCTION("""COMPUTED_VALUE"""),"Midnight Silver Metallic")</f>
        <v>Midnight Silver Metallic</v>
      </c>
      <c r="P1197" s="153" t="str">
        <f>IFERROR(__xludf.DUMMYFUNCTION("""COMPUTED_VALUE"""),"19 inch Sport")</f>
        <v>19 inch Sport</v>
      </c>
      <c r="Q1197" s="152" t="str">
        <f>IFERROR(__xludf.DUMMYFUNCTION("""COMPUTED_VALUE"""),"White seats")</f>
        <v>White seats</v>
      </c>
      <c r="R1197" s="149" t="str">
        <f>IFERROR(__xludf.DUMMYFUNCTION("""COMPUTED_VALUE"""),"Autopilot")</f>
        <v>Autopilot</v>
      </c>
      <c r="S1197" s="149"/>
      <c r="T1197" s="145"/>
      <c r="U1197" s="145"/>
      <c r="V1197" s="145"/>
      <c r="W1197" s="136"/>
      <c r="X1197" s="162" t="str">
        <f>IFERROR(__xludf.DUMMYFUNCTION("""COMPUTED_VALUE"""),"Excellent")</f>
        <v>Excellent</v>
      </c>
      <c r="Y1197" s="138" t="str">
        <f>IFERROR(__xludf.DUMMYFUNCTION("""COMPUTED_VALUE"""),"Excellent")</f>
        <v>Excellent</v>
      </c>
      <c r="Z1197" s="138" t="str">
        <f>IFERROR(__xludf.DUMMYFUNCTION("""COMPUTED_VALUE"""),"Excellent")</f>
        <v>Excellent</v>
      </c>
      <c r="AA1197" s="138" t="str">
        <f>IFERROR(__xludf.DUMMYFUNCTION("""COMPUTED_VALUE"""),"Excellent")</f>
        <v>Excellent</v>
      </c>
      <c r="AB1197" s="138" t="str">
        <f>IFERROR(__xludf.DUMMYFUNCTION("""COMPUTED_VALUE"""),"Excellent")</f>
        <v>Excellent</v>
      </c>
      <c r="AC1197" s="139"/>
      <c r="AD1197" s="139"/>
      <c r="AE1197" s="139"/>
      <c r="AF1197" s="140"/>
      <c r="AG1197" s="136" t="str">
        <f>IFERROR(__xludf.DUMMYFUNCTION("""COMPUTED_VALUE"""),"Received car on 9/9. Entirely worth it. Buy it!")</f>
        <v>Received car on 9/9. Entirely worth it. Buy it!</v>
      </c>
      <c r="AH1197" s="157">
        <f>IFERROR(__xludf.DUMMYFUNCTION("""COMPUTED_VALUE"""),44083.83239681713)</f>
        <v>44083.8324</v>
      </c>
      <c r="AI1197" s="138"/>
      <c r="AJ1197" s="138"/>
      <c r="AK1197" s="138"/>
      <c r="AL1197" s="142"/>
    </row>
    <row r="1198" ht="20.25" customHeight="1">
      <c r="A1198" s="155" t="str">
        <f>IFERROR(__xludf.DUMMYFUNCTION("""COMPUTED_VALUE"""),"SnarkNerd")</f>
        <v>SnarkNerd</v>
      </c>
      <c r="B1198" s="149" t="str">
        <f>IFERROR(__xludf.DUMMYFUNCTION("""COMPUTED_VALUE"""),"Brooklyn")</f>
        <v>Brooklyn</v>
      </c>
      <c r="C1198" s="149" t="str">
        <f>IFERROR(__xludf.DUMMYFUNCTION("""COMPUTED_VALUE"""),"NY")</f>
        <v>NY</v>
      </c>
      <c r="D1198" s="149" t="str">
        <f>IFERROR(__xludf.DUMMYFUNCTION("""COMPUTED_VALUE"""),"USA")</f>
        <v>USA</v>
      </c>
      <c r="E1198" s="156">
        <f>IFERROR(__xludf.DUMMYFUNCTION("""COMPUTED_VALUE"""),44037.0)</f>
        <v>44037</v>
      </c>
      <c r="F1198" s="129">
        <f>IFERROR(__xludf.DUMMYFUNCTION("""COMPUTED_VALUE"""),44069.0)</f>
        <v>44069</v>
      </c>
      <c r="G1198" s="154"/>
      <c r="H1198" s="131">
        <f>IFERROR(__xludf.DUMMYFUNCTION("""COMPUTED_VALUE"""),783055.0)</f>
        <v>783055</v>
      </c>
      <c r="I1198" s="132"/>
      <c r="J1198" s="129">
        <f>IFERROR(__xludf.DUMMYFUNCTION("""COMPUTED_VALUE"""),44072.0)</f>
        <v>44072</v>
      </c>
      <c r="K1198" s="133">
        <f>IFERROR(__xludf.DUMMYFUNCTION("""COMPUTED_VALUE"""),32.0)</f>
        <v>32</v>
      </c>
      <c r="L1198" s="133">
        <f>IFERROR(__xludf.DUMMYFUNCTION("""COMPUTED_VALUE"""),3.0)</f>
        <v>3</v>
      </c>
      <c r="M1198" s="133">
        <f>IFERROR(__xludf.DUMMYFUNCTION("""COMPUTED_VALUE"""),35.0)</f>
        <v>35</v>
      </c>
      <c r="N1198" s="152" t="str">
        <f>IFERROR(__xludf.DUMMYFUNCTION("""COMPUTED_VALUE"""),"Model 3 LR AWD")</f>
        <v>Model 3 LR AWD</v>
      </c>
      <c r="O1198" s="152" t="str">
        <f>IFERROR(__xludf.DUMMYFUNCTION("""COMPUTED_VALUE"""),"Solid Black")</f>
        <v>Solid Black</v>
      </c>
      <c r="P1198" s="153" t="str">
        <f>IFERROR(__xludf.DUMMYFUNCTION("""COMPUTED_VALUE"""),"19 inch Sport")</f>
        <v>19 inch Sport</v>
      </c>
      <c r="Q1198" s="152" t="str">
        <f>IFERROR(__xludf.DUMMYFUNCTION("""COMPUTED_VALUE"""),"Black seats")</f>
        <v>Black seats</v>
      </c>
      <c r="R1198" s="150" t="str">
        <f>IFERROR(__xludf.DUMMYFUNCTION("""COMPUTED_VALUE"""),"Autopilot")</f>
        <v>Autopilot</v>
      </c>
      <c r="S1198" s="150"/>
      <c r="T1198" s="136"/>
      <c r="U1198" s="136"/>
      <c r="V1198" s="136"/>
      <c r="W1198" s="136"/>
      <c r="X1198" s="137" t="str">
        <f>IFERROR(__xludf.DUMMYFUNCTION("""COMPUTED_VALUE"""),"Very Good")</f>
        <v>Very Good</v>
      </c>
      <c r="Y1198" s="138" t="str">
        <f>IFERROR(__xludf.DUMMYFUNCTION("""COMPUTED_VALUE"""),"Excellent")</f>
        <v>Excellent</v>
      </c>
      <c r="Z1198" s="138" t="str">
        <f>IFERROR(__xludf.DUMMYFUNCTION("""COMPUTED_VALUE"""),"Very Good")</f>
        <v>Very Good</v>
      </c>
      <c r="AA1198" s="138" t="str">
        <f>IFERROR(__xludf.DUMMYFUNCTION("""COMPUTED_VALUE"""),"Fair")</f>
        <v>Fair</v>
      </c>
      <c r="AB1198" s="138" t="str">
        <f>IFERROR(__xludf.DUMMYFUNCTION("""COMPUTED_VALUE"""),"Excellent")</f>
        <v>Excellent</v>
      </c>
      <c r="AC1198" s="139">
        <f>IFERROR(__xludf.DUMMYFUNCTION("""COMPUTED_VALUE"""),1.0)</f>
        <v>1</v>
      </c>
      <c r="AD1198" s="139">
        <f>IFERROR(__xludf.DUMMYFUNCTION("""COMPUTED_VALUE"""),1.0)</f>
        <v>1</v>
      </c>
      <c r="AE1198" s="139">
        <f>IFERROR(__xludf.DUMMYFUNCTION("""COMPUTED_VALUE"""),1.0)</f>
        <v>1</v>
      </c>
      <c r="AF1198" s="140"/>
      <c r="AG1198" s="136"/>
      <c r="AH1198" s="157">
        <f>IFERROR(__xludf.DUMMYFUNCTION("""COMPUTED_VALUE"""),44084.574363761574)</f>
        <v>44084.57436</v>
      </c>
      <c r="AI1198" s="138"/>
      <c r="AJ1198" s="138"/>
      <c r="AK1198" s="138"/>
      <c r="AL1198" s="142"/>
    </row>
    <row r="1199" ht="20.25" customHeight="1">
      <c r="A1199" s="155" t="str">
        <f>IFERROR(__xludf.DUMMYFUNCTION("""COMPUTED_VALUE"""),"Paradigm")</f>
        <v>Paradigm</v>
      </c>
      <c r="B1199" s="149" t="str">
        <f>IFERROR(__xludf.DUMMYFUNCTION("""COMPUTED_VALUE"""),"Keyport")</f>
        <v>Keyport</v>
      </c>
      <c r="C1199" s="149" t="str">
        <f>IFERROR(__xludf.DUMMYFUNCTION("""COMPUTED_VALUE"""),"NJ")</f>
        <v>NJ</v>
      </c>
      <c r="D1199" s="149" t="str">
        <f>IFERROR(__xludf.DUMMYFUNCTION("""COMPUTED_VALUE"""),"USA")</f>
        <v>USA</v>
      </c>
      <c r="E1199" s="156">
        <f>IFERROR(__xludf.DUMMYFUNCTION("""COMPUTED_VALUE"""),44035.0)</f>
        <v>44035</v>
      </c>
      <c r="F1199" s="129">
        <f>IFERROR(__xludf.DUMMYFUNCTION("""COMPUTED_VALUE"""),44069.0)</f>
        <v>44069</v>
      </c>
      <c r="G1199" s="154"/>
      <c r="H1199" s="131">
        <f>IFERROR(__xludf.DUMMYFUNCTION("""COMPUTED_VALUE"""),774955.0)</f>
        <v>774955</v>
      </c>
      <c r="I1199" s="144"/>
      <c r="J1199" s="129">
        <f>IFERROR(__xludf.DUMMYFUNCTION("""COMPUTED_VALUE"""),44084.0)</f>
        <v>44084</v>
      </c>
      <c r="K1199" s="133">
        <f>IFERROR(__xludf.DUMMYFUNCTION("""COMPUTED_VALUE"""),34.0)</f>
        <v>34</v>
      </c>
      <c r="L1199" s="133">
        <f>IFERROR(__xludf.DUMMYFUNCTION("""COMPUTED_VALUE"""),15.0)</f>
        <v>15</v>
      </c>
      <c r="M1199" s="133">
        <f>IFERROR(__xludf.DUMMYFUNCTION("""COMPUTED_VALUE"""),49.0)</f>
        <v>49</v>
      </c>
      <c r="N1199" s="152" t="str">
        <f>IFERROR(__xludf.DUMMYFUNCTION("""COMPUTED_VALUE"""),"Model 3 LR AWD")</f>
        <v>Model 3 LR AWD</v>
      </c>
      <c r="O1199" s="152" t="str">
        <f>IFERROR(__xludf.DUMMYFUNCTION("""COMPUTED_VALUE"""),"Pearl White Multi-Coat")</f>
        <v>Pearl White Multi-Coat</v>
      </c>
      <c r="P1199" s="153" t="str">
        <f>IFERROR(__xludf.DUMMYFUNCTION("""COMPUTED_VALUE"""),"18 inch Aero")</f>
        <v>18 inch Aero</v>
      </c>
      <c r="Q1199" s="152" t="str">
        <f>IFERROR(__xludf.DUMMYFUNCTION("""COMPUTED_VALUE"""),"Black seats")</f>
        <v>Black seats</v>
      </c>
      <c r="R1199" s="149" t="str">
        <f>IFERROR(__xludf.DUMMYFUNCTION("""COMPUTED_VALUE"""),"Full Self-Driving")</f>
        <v>Full Self-Driving</v>
      </c>
      <c r="S1199" s="149"/>
      <c r="T1199" s="145"/>
      <c r="U1199" s="145"/>
      <c r="V1199" s="145"/>
      <c r="W1199" s="136"/>
      <c r="X1199" s="137" t="str">
        <f>IFERROR(__xludf.DUMMYFUNCTION("""COMPUTED_VALUE"""),"Excellent")</f>
        <v>Excellent</v>
      </c>
      <c r="Y1199" s="138" t="str">
        <f>IFERROR(__xludf.DUMMYFUNCTION("""COMPUTED_VALUE"""),"Excellent")</f>
        <v>Excellent</v>
      </c>
      <c r="Z1199" s="138" t="str">
        <f>IFERROR(__xludf.DUMMYFUNCTION("""COMPUTED_VALUE"""),"Excellent")</f>
        <v>Excellent</v>
      </c>
      <c r="AA1199" s="138" t="str">
        <f>IFERROR(__xludf.DUMMYFUNCTION("""COMPUTED_VALUE"""),"Very Good")</f>
        <v>Very Good</v>
      </c>
      <c r="AB1199" s="138" t="str">
        <f>IFERROR(__xludf.DUMMYFUNCTION("""COMPUTED_VALUE"""),"Very Good")</f>
        <v>Very Good</v>
      </c>
      <c r="AC1199" s="139"/>
      <c r="AD1199" s="139"/>
      <c r="AE1199" s="139"/>
      <c r="AF1199" s="140"/>
      <c r="AG1199" s="136" t="str">
        <f>IFERROR(__xludf.DUMMYFUNCTION("""COMPUTED_VALUE"""),"Delivery 09/08/20")</f>
        <v>Delivery 09/08/20</v>
      </c>
      <c r="AH1199" s="157">
        <f>IFERROR(__xludf.DUMMYFUNCTION("""COMPUTED_VALUE"""),44083.20855325231)</f>
        <v>44083.20855</v>
      </c>
      <c r="AI1199" s="138"/>
      <c r="AJ1199" s="138"/>
      <c r="AK1199" s="138"/>
      <c r="AL1199" s="142"/>
    </row>
    <row r="1200" ht="20.25" customHeight="1">
      <c r="A1200" s="155" t="str">
        <f>IFERROR(__xludf.DUMMYFUNCTION("""COMPUTED_VALUE"""),"tman66")</f>
        <v>tman66</v>
      </c>
      <c r="B1200" s="150" t="str">
        <f>IFERROR(__xludf.DUMMYFUNCTION("""COMPUTED_VALUE"""),"Guelph")</f>
        <v>Guelph</v>
      </c>
      <c r="C1200" s="149" t="str">
        <f>IFERROR(__xludf.DUMMYFUNCTION("""COMPUTED_VALUE"""),"ON")</f>
        <v>ON</v>
      </c>
      <c r="D1200" s="149" t="str">
        <f>IFERROR(__xludf.DUMMYFUNCTION("""COMPUTED_VALUE"""),"Canada")</f>
        <v>Canada</v>
      </c>
      <c r="E1200" s="156">
        <f>IFERROR(__xludf.DUMMYFUNCTION("""COMPUTED_VALUE"""),44035.0)</f>
        <v>44035</v>
      </c>
      <c r="F1200" s="129">
        <f>IFERROR(__xludf.DUMMYFUNCTION("""COMPUTED_VALUE"""),44068.0)</f>
        <v>44068</v>
      </c>
      <c r="G1200" s="154"/>
      <c r="H1200" s="131">
        <f>IFERROR(__xludf.DUMMYFUNCTION("""COMPUTED_VALUE"""),786610.0)</f>
        <v>786610</v>
      </c>
      <c r="I1200" s="132" t="str">
        <f>IFERROR(__xludf.DUMMYFUNCTION("""COMPUTED_VALUE"""),"08/20")</f>
        <v>08/20</v>
      </c>
      <c r="J1200" s="129">
        <f>IFERROR(__xludf.DUMMYFUNCTION("""COMPUTED_VALUE"""),43930.0)</f>
        <v>43930</v>
      </c>
      <c r="K1200" s="133">
        <f>IFERROR(__xludf.DUMMYFUNCTION("""COMPUTED_VALUE"""),33.0)</f>
        <v>33</v>
      </c>
      <c r="L1200" s="133"/>
      <c r="M1200" s="133"/>
      <c r="N1200" s="152" t="str">
        <f>IFERROR(__xludf.DUMMYFUNCTION("""COMPUTED_VALUE"""),"Model 3 SR+")</f>
        <v>Model 3 SR+</v>
      </c>
      <c r="O1200" s="152" t="str">
        <f>IFERROR(__xludf.DUMMYFUNCTION("""COMPUTED_VALUE"""),"Red Multi-Coat")</f>
        <v>Red Multi-Coat</v>
      </c>
      <c r="P1200" s="153" t="str">
        <f>IFERROR(__xludf.DUMMYFUNCTION("""COMPUTED_VALUE"""),"19 inch Sport")</f>
        <v>19 inch Sport</v>
      </c>
      <c r="Q1200" s="152" t="str">
        <f>IFERROR(__xludf.DUMMYFUNCTION("""COMPUTED_VALUE"""),"Black seats")</f>
        <v>Black seats</v>
      </c>
      <c r="R1200" s="150" t="str">
        <f>IFERROR(__xludf.DUMMYFUNCTION("""COMPUTED_VALUE"""),"Autopilot")</f>
        <v>Autopilot</v>
      </c>
      <c r="S1200" s="150"/>
      <c r="T1200" s="145"/>
      <c r="U1200" s="145"/>
      <c r="V1200" s="136"/>
      <c r="W1200" s="136"/>
      <c r="X1200" s="137" t="str">
        <f>IFERROR(__xludf.DUMMYFUNCTION("""COMPUTED_VALUE"""),"Very Good")</f>
        <v>Very Good</v>
      </c>
      <c r="Y1200" s="138" t="str">
        <f>IFERROR(__xludf.DUMMYFUNCTION("""COMPUTED_VALUE"""),"Excellent")</f>
        <v>Excellent</v>
      </c>
      <c r="Z1200" s="138" t="str">
        <f>IFERROR(__xludf.DUMMYFUNCTION("""COMPUTED_VALUE"""),"Excellent")</f>
        <v>Excellent</v>
      </c>
      <c r="AA1200" s="138" t="str">
        <f>IFERROR(__xludf.DUMMYFUNCTION("""COMPUTED_VALUE"""),"Excellent")</f>
        <v>Excellent</v>
      </c>
      <c r="AB1200" s="138" t="str">
        <f>IFERROR(__xludf.DUMMYFUNCTION("""COMPUTED_VALUE"""),"Excellent")</f>
        <v>Excellent</v>
      </c>
      <c r="AC1200" s="139">
        <f>IFERROR(__xludf.DUMMYFUNCTION("""COMPUTED_VALUE"""),2.0)</f>
        <v>2</v>
      </c>
      <c r="AD1200" s="139"/>
      <c r="AE1200" s="139"/>
      <c r="AF1200" s="140"/>
      <c r="AG1200" s="136" t="str">
        <f>IFERROR(__xludf.DUMMYFUNCTION("""COMPUTED_VALUE"""),"Except for one paint chip, paint was in excellent condition. Very surprised.")</f>
        <v>Except for one paint chip, paint was in excellent condition. Very surprised.</v>
      </c>
      <c r="AH1200" s="157">
        <f>IFERROR(__xludf.DUMMYFUNCTION("""COMPUTED_VALUE"""),44082.24288118056)</f>
        <v>44082.24288</v>
      </c>
      <c r="AI1200" s="138"/>
      <c r="AJ1200" s="138"/>
      <c r="AK1200" s="138"/>
      <c r="AL1200" s="142"/>
    </row>
    <row r="1201" ht="20.25" customHeight="1">
      <c r="A1201" s="155" t="str">
        <f>IFERROR(__xludf.DUMMYFUNCTION("""COMPUTED_VALUE"""),"Artdawg")</f>
        <v>Artdawg</v>
      </c>
      <c r="B1201" s="149" t="str">
        <f>IFERROR(__xludf.DUMMYFUNCTION("""COMPUTED_VALUE"""),"Long Island")</f>
        <v>Long Island</v>
      </c>
      <c r="C1201" s="149" t="str">
        <f>IFERROR(__xludf.DUMMYFUNCTION("""COMPUTED_VALUE"""),"NY")</f>
        <v>NY</v>
      </c>
      <c r="D1201" s="149" t="str">
        <f>IFERROR(__xludf.DUMMYFUNCTION("""COMPUTED_VALUE"""),"USA")</f>
        <v>USA</v>
      </c>
      <c r="E1201" s="156">
        <f>IFERROR(__xludf.DUMMYFUNCTION("""COMPUTED_VALUE"""),44034.0)</f>
        <v>44034</v>
      </c>
      <c r="F1201" s="129"/>
      <c r="G1201" s="154"/>
      <c r="H1201" s="131"/>
      <c r="I1201" s="132"/>
      <c r="J1201" s="129">
        <f>IFERROR(__xludf.DUMMYFUNCTION("""COMPUTED_VALUE"""),44087.0)</f>
        <v>44087</v>
      </c>
      <c r="K1201" s="133"/>
      <c r="L1201" s="133"/>
      <c r="M1201" s="133">
        <f>IFERROR(__xludf.DUMMYFUNCTION("""COMPUTED_VALUE"""),53.0)</f>
        <v>53</v>
      </c>
      <c r="N1201" s="152" t="str">
        <f>IFERROR(__xludf.DUMMYFUNCTION("""COMPUTED_VALUE"""),"Model 3 LR AWD")</f>
        <v>Model 3 LR AWD</v>
      </c>
      <c r="O1201" s="152" t="str">
        <f>IFERROR(__xludf.DUMMYFUNCTION("""COMPUTED_VALUE"""),"Midnight Silver Metallic")</f>
        <v>Midnight Silver Metallic</v>
      </c>
      <c r="P1201" s="153" t="str">
        <f>IFERROR(__xludf.DUMMYFUNCTION("""COMPUTED_VALUE"""),"18 inch Aero")</f>
        <v>18 inch Aero</v>
      </c>
      <c r="Q1201" s="152" t="str">
        <f>IFERROR(__xludf.DUMMYFUNCTION("""COMPUTED_VALUE"""),"Black seats")</f>
        <v>Black seats</v>
      </c>
      <c r="R1201" s="150" t="str">
        <f>IFERROR(__xludf.DUMMYFUNCTION("""COMPUTED_VALUE"""),"Full Self-Driving")</f>
        <v>Full Self-Driving</v>
      </c>
      <c r="S1201" s="150"/>
      <c r="T1201" s="136"/>
      <c r="U1201" s="136"/>
      <c r="V1201" s="136"/>
      <c r="W1201" s="136"/>
      <c r="X1201" s="137" t="str">
        <f>IFERROR(__xludf.DUMMYFUNCTION("""COMPUTED_VALUE"""),"Excellent")</f>
        <v>Excellent</v>
      </c>
      <c r="Y1201" s="138" t="str">
        <f>IFERROR(__xludf.DUMMYFUNCTION("""COMPUTED_VALUE"""),"Excellent")</f>
        <v>Excellent</v>
      </c>
      <c r="Z1201" s="138" t="str">
        <f>IFERROR(__xludf.DUMMYFUNCTION("""COMPUTED_VALUE"""),"Excellent")</f>
        <v>Excellent</v>
      </c>
      <c r="AA1201" s="138" t="str">
        <f>IFERROR(__xludf.DUMMYFUNCTION("""COMPUTED_VALUE"""),"Very Good")</f>
        <v>Very Good</v>
      </c>
      <c r="AB1201" s="138" t="str">
        <f>IFERROR(__xludf.DUMMYFUNCTION("""COMPUTED_VALUE"""),"Excellent")</f>
        <v>Excellent</v>
      </c>
      <c r="AC1201" s="139"/>
      <c r="AD1201" s="139"/>
      <c r="AE1201" s="139"/>
      <c r="AF1201" s="140"/>
      <c r="AG1201" s="136"/>
      <c r="AH1201" s="157">
        <f>IFERROR(__xludf.DUMMYFUNCTION("""COMPUTED_VALUE"""),44088.345412361115)</f>
        <v>44088.34541</v>
      </c>
      <c r="AI1201" s="138"/>
      <c r="AJ1201" s="138"/>
      <c r="AK1201" s="138"/>
      <c r="AL1201" s="142"/>
    </row>
    <row r="1202" ht="20.25" customHeight="1">
      <c r="A1202" s="155" t="str">
        <f>IFERROR(__xludf.DUMMYFUNCTION("""COMPUTED_VALUE"""),"chamsters")</f>
        <v>chamsters</v>
      </c>
      <c r="B1202" s="149" t="str">
        <f>IFERROR(__xludf.DUMMYFUNCTION("""COMPUTED_VALUE"""),"London")</f>
        <v>London</v>
      </c>
      <c r="C1202" s="150"/>
      <c r="D1202" s="150" t="str">
        <f>IFERROR(__xludf.DUMMYFUNCTION("""COMPUTED_VALUE"""),"United Kingdom")</f>
        <v>United Kingdom</v>
      </c>
      <c r="E1202" s="156">
        <f>IFERROR(__xludf.DUMMYFUNCTION("""COMPUTED_VALUE"""),44034.0)</f>
        <v>44034</v>
      </c>
      <c r="F1202" s="129">
        <f>IFERROR(__xludf.DUMMYFUNCTION("""COMPUTED_VALUE"""),44047.0)</f>
        <v>44047</v>
      </c>
      <c r="G1202" s="154"/>
      <c r="H1202" s="131">
        <f>IFERROR(__xludf.DUMMYFUNCTION("""COMPUTED_VALUE"""),772855.0)</f>
        <v>772855</v>
      </c>
      <c r="I1202" s="132"/>
      <c r="J1202" s="129">
        <f>IFERROR(__xludf.DUMMYFUNCTION("""COMPUTED_VALUE"""),44082.0)</f>
        <v>44082</v>
      </c>
      <c r="K1202" s="133">
        <f>IFERROR(__xludf.DUMMYFUNCTION("""COMPUTED_VALUE"""),13.0)</f>
        <v>13</v>
      </c>
      <c r="L1202" s="133">
        <f>IFERROR(__xludf.DUMMYFUNCTION("""COMPUTED_VALUE"""),35.0)</f>
        <v>35</v>
      </c>
      <c r="M1202" s="133">
        <f>IFERROR(__xludf.DUMMYFUNCTION("""COMPUTED_VALUE"""),48.0)</f>
        <v>48</v>
      </c>
      <c r="N1202" s="152" t="str">
        <f>IFERROR(__xludf.DUMMYFUNCTION("""COMPUTED_VALUE"""),"Model 3 LR AWD")</f>
        <v>Model 3 LR AWD</v>
      </c>
      <c r="O1202" s="152" t="str">
        <f>IFERROR(__xludf.DUMMYFUNCTION("""COMPUTED_VALUE"""),"Pearl White Multi-Coat")</f>
        <v>Pearl White Multi-Coat</v>
      </c>
      <c r="P1202" s="153" t="str">
        <f>IFERROR(__xludf.DUMMYFUNCTION("""COMPUTED_VALUE"""),"19 inch Sport")</f>
        <v>19 inch Sport</v>
      </c>
      <c r="Q1202" s="152" t="str">
        <f>IFERROR(__xludf.DUMMYFUNCTION("""COMPUTED_VALUE"""),"Black seats")</f>
        <v>Black seats</v>
      </c>
      <c r="R1202" s="150" t="str">
        <f>IFERROR(__xludf.DUMMYFUNCTION("""COMPUTED_VALUE"""),"Autopilot")</f>
        <v>Autopilot</v>
      </c>
      <c r="S1202" s="150"/>
      <c r="T1202" s="136"/>
      <c r="U1202" s="136"/>
      <c r="V1202" s="136"/>
      <c r="W1202" s="136"/>
      <c r="X1202" s="137"/>
      <c r="Y1202" s="138"/>
      <c r="Z1202" s="138"/>
      <c r="AA1202" s="138" t="str">
        <f>IFERROR(__xludf.DUMMYFUNCTION("""COMPUTED_VALUE"""),"Very Good")</f>
        <v>Very Good</v>
      </c>
      <c r="AB1202" s="138"/>
      <c r="AC1202" s="139"/>
      <c r="AD1202" s="139"/>
      <c r="AE1202" s="139"/>
      <c r="AF1202" s="140"/>
      <c r="AG1202" s="136"/>
      <c r="AH1202" s="157">
        <f>IFERROR(__xludf.DUMMYFUNCTION("""COMPUTED_VALUE"""),44058.435805925925)</f>
        <v>44058.43581</v>
      </c>
      <c r="AI1202" s="138"/>
      <c r="AJ1202" s="138"/>
      <c r="AK1202" s="138"/>
      <c r="AL1202" s="142"/>
    </row>
    <row r="1203" ht="20.25" customHeight="1">
      <c r="A1203" s="155" t="str">
        <f>IFERROR(__xludf.DUMMYFUNCTION("""COMPUTED_VALUE"""),"Michelle_eris")</f>
        <v>Michelle_eris</v>
      </c>
      <c r="B1203" s="149" t="str">
        <f>IFERROR(__xludf.DUMMYFUNCTION("""COMPUTED_VALUE"""),"Fairborn")</f>
        <v>Fairborn</v>
      </c>
      <c r="C1203" s="149" t="str">
        <f>IFERROR(__xludf.DUMMYFUNCTION("""COMPUTED_VALUE"""),"OH")</f>
        <v>OH</v>
      </c>
      <c r="D1203" s="149" t="str">
        <f>IFERROR(__xludf.DUMMYFUNCTION("""COMPUTED_VALUE"""),"USA")</f>
        <v>USA</v>
      </c>
      <c r="E1203" s="156">
        <f>IFERROR(__xludf.DUMMYFUNCTION("""COMPUTED_VALUE"""),44034.0)</f>
        <v>44034</v>
      </c>
      <c r="F1203" s="129">
        <f>IFERROR(__xludf.DUMMYFUNCTION("""COMPUTED_VALUE"""),44069.0)</f>
        <v>44069</v>
      </c>
      <c r="G1203" s="154"/>
      <c r="H1203" s="131">
        <f>IFERROR(__xludf.DUMMYFUNCTION("""COMPUTED_VALUE"""),774855.0)</f>
        <v>774855</v>
      </c>
      <c r="I1203" s="144" t="str">
        <f>IFERROR(__xludf.DUMMYFUNCTION("""COMPUTED_VALUE"""),"08/20")</f>
        <v>08/20</v>
      </c>
      <c r="J1203" s="129">
        <f>IFERROR(__xludf.DUMMYFUNCTION("""COMPUTED_VALUE"""),44082.0)</f>
        <v>44082</v>
      </c>
      <c r="K1203" s="133">
        <f>IFERROR(__xludf.DUMMYFUNCTION("""COMPUTED_VALUE"""),35.0)</f>
        <v>35</v>
      </c>
      <c r="L1203" s="133">
        <f>IFERROR(__xludf.DUMMYFUNCTION("""COMPUTED_VALUE"""),13.0)</f>
        <v>13</v>
      </c>
      <c r="M1203" s="133">
        <f>IFERROR(__xludf.DUMMYFUNCTION("""COMPUTED_VALUE"""),48.0)</f>
        <v>48</v>
      </c>
      <c r="N1203" s="152" t="str">
        <f>IFERROR(__xludf.DUMMYFUNCTION("""COMPUTED_VALUE"""),"Model 3 LR AWD")</f>
        <v>Model 3 LR AWD</v>
      </c>
      <c r="O1203" s="152" t="str">
        <f>IFERROR(__xludf.DUMMYFUNCTION("""COMPUTED_VALUE"""),"Deep Blue Metallic")</f>
        <v>Deep Blue Metallic</v>
      </c>
      <c r="P1203" s="153" t="str">
        <f>IFERROR(__xludf.DUMMYFUNCTION("""COMPUTED_VALUE"""),"18 inch Aero")</f>
        <v>18 inch Aero</v>
      </c>
      <c r="Q1203" s="152" t="str">
        <f>IFERROR(__xludf.DUMMYFUNCTION("""COMPUTED_VALUE"""),"Black seats")</f>
        <v>Black seats</v>
      </c>
      <c r="R1203" s="149" t="str">
        <f>IFERROR(__xludf.DUMMYFUNCTION("""COMPUTED_VALUE"""),"Full Self-Driving")</f>
        <v>Full Self-Driving</v>
      </c>
      <c r="S1203" s="149"/>
      <c r="T1203" s="145"/>
      <c r="U1203" s="145"/>
      <c r="V1203" s="145"/>
      <c r="W1203" s="136"/>
      <c r="X1203" s="137" t="str">
        <f>IFERROR(__xludf.DUMMYFUNCTION("""COMPUTED_VALUE"""),"Excellent")</f>
        <v>Excellent</v>
      </c>
      <c r="Y1203" s="138" t="str">
        <f>IFERROR(__xludf.DUMMYFUNCTION("""COMPUTED_VALUE"""),"Excellent")</f>
        <v>Excellent</v>
      </c>
      <c r="Z1203" s="138" t="str">
        <f>IFERROR(__xludf.DUMMYFUNCTION("""COMPUTED_VALUE"""),"Excellent")</f>
        <v>Excellent</v>
      </c>
      <c r="AA1203" s="138" t="str">
        <f>IFERROR(__xludf.DUMMYFUNCTION("""COMPUTED_VALUE"""),"Very Good")</f>
        <v>Very Good</v>
      </c>
      <c r="AB1203" s="138" t="str">
        <f>IFERROR(__xludf.DUMMYFUNCTION("""COMPUTED_VALUE"""),"Very Good")</f>
        <v>Very Good</v>
      </c>
      <c r="AC1203" s="139">
        <f>IFERROR(__xludf.DUMMYFUNCTION("""COMPUTED_VALUE"""),0.0)</f>
        <v>0</v>
      </c>
      <c r="AD1203" s="139">
        <f>IFERROR(__xludf.DUMMYFUNCTION("""COMPUTED_VALUE"""),1.0)</f>
        <v>1</v>
      </c>
      <c r="AE1203" s="139">
        <f>IFERROR(__xludf.DUMMYFUNCTION("""COMPUTED_VALUE"""),0.0)</f>
        <v>0</v>
      </c>
      <c r="AF1203" s="140"/>
      <c r="AG1203" s="136" t="str">
        <f>IFERROR(__xludf.DUMMYFUNCTION("""COMPUTED_VALUE"""),"Delivery scheduled for 8/10/20, but was on 8/8/20")</f>
        <v>Delivery scheduled for 8/10/20, but was on 8/8/20</v>
      </c>
      <c r="AH1203" s="157">
        <f>IFERROR(__xludf.DUMMYFUNCTION("""COMPUTED_VALUE"""),44108.61656909722)</f>
        <v>44108.61657</v>
      </c>
      <c r="AI1203" s="138"/>
      <c r="AJ1203" s="138"/>
      <c r="AK1203" s="138"/>
      <c r="AL1203" s="142"/>
    </row>
    <row r="1204" ht="20.25" customHeight="1">
      <c r="A1204" s="155" t="str">
        <f>IFERROR(__xludf.DUMMYFUNCTION("""COMPUTED_VALUE"""),"NJKid")</f>
        <v>NJKid</v>
      </c>
      <c r="B1204" s="149"/>
      <c r="C1204" s="149" t="str">
        <f>IFERROR(__xludf.DUMMYFUNCTION("""COMPUTED_VALUE"""),"NJ")</f>
        <v>NJ</v>
      </c>
      <c r="D1204" s="149" t="str">
        <f>IFERROR(__xludf.DUMMYFUNCTION("""COMPUTED_VALUE"""),"USA")</f>
        <v>USA</v>
      </c>
      <c r="E1204" s="156">
        <f>IFERROR(__xludf.DUMMYFUNCTION("""COMPUTED_VALUE"""),44034.0)</f>
        <v>44034</v>
      </c>
      <c r="F1204" s="129">
        <f>IFERROR(__xludf.DUMMYFUNCTION("""COMPUTED_VALUE"""),44070.0)</f>
        <v>44070</v>
      </c>
      <c r="G1204" s="154"/>
      <c r="H1204" s="131"/>
      <c r="I1204" s="132"/>
      <c r="J1204" s="129">
        <f>IFERROR(__xludf.DUMMYFUNCTION("""COMPUTED_VALUE"""),44086.0)</f>
        <v>44086</v>
      </c>
      <c r="K1204" s="133">
        <f>IFERROR(__xludf.DUMMYFUNCTION("""COMPUTED_VALUE"""),36.0)</f>
        <v>36</v>
      </c>
      <c r="L1204" s="133">
        <f>IFERROR(__xludf.DUMMYFUNCTION("""COMPUTED_VALUE"""),16.0)</f>
        <v>16</v>
      </c>
      <c r="M1204" s="133">
        <f>IFERROR(__xludf.DUMMYFUNCTION("""COMPUTED_VALUE"""),52.0)</f>
        <v>52</v>
      </c>
      <c r="N1204" s="152" t="str">
        <f>IFERROR(__xludf.DUMMYFUNCTION("""COMPUTED_VALUE"""),"Model 3 LR AWD")</f>
        <v>Model 3 LR AWD</v>
      </c>
      <c r="O1204" s="152" t="str">
        <f>IFERROR(__xludf.DUMMYFUNCTION("""COMPUTED_VALUE"""),"Pearl White Multi-Coat")</f>
        <v>Pearl White Multi-Coat</v>
      </c>
      <c r="P1204" s="153" t="str">
        <f>IFERROR(__xludf.DUMMYFUNCTION("""COMPUTED_VALUE"""),"18 inch Aero")</f>
        <v>18 inch Aero</v>
      </c>
      <c r="Q1204" s="152" t="str">
        <f>IFERROR(__xludf.DUMMYFUNCTION("""COMPUTED_VALUE"""),"Black seats")</f>
        <v>Black seats</v>
      </c>
      <c r="R1204" s="150" t="str">
        <f>IFERROR(__xludf.DUMMYFUNCTION("""COMPUTED_VALUE"""),"Autopilot")</f>
        <v>Autopilot</v>
      </c>
      <c r="S1204" s="150"/>
      <c r="T1204" s="136"/>
      <c r="U1204" s="136"/>
      <c r="V1204" s="136"/>
      <c r="W1204" s="136"/>
      <c r="X1204" s="137" t="str">
        <f>IFERROR(__xludf.DUMMYFUNCTION("""COMPUTED_VALUE"""),"Excellent")</f>
        <v>Excellent</v>
      </c>
      <c r="Y1204" s="138" t="str">
        <f>IFERROR(__xludf.DUMMYFUNCTION("""COMPUTED_VALUE"""),"Excellent")</f>
        <v>Excellent</v>
      </c>
      <c r="Z1204" s="138" t="str">
        <f>IFERROR(__xludf.DUMMYFUNCTION("""COMPUTED_VALUE"""),"Excellent")</f>
        <v>Excellent</v>
      </c>
      <c r="AA1204" s="138" t="str">
        <f>IFERROR(__xludf.DUMMYFUNCTION("""COMPUTED_VALUE"""),"Very Good")</f>
        <v>Very Good</v>
      </c>
      <c r="AB1204" s="138" t="str">
        <f>IFERROR(__xludf.DUMMYFUNCTION("""COMPUTED_VALUE"""),"Excellent")</f>
        <v>Excellent</v>
      </c>
      <c r="AC1204" s="139">
        <f>IFERROR(__xludf.DUMMYFUNCTION("""COMPUTED_VALUE"""),0.0)</f>
        <v>0</v>
      </c>
      <c r="AD1204" s="139"/>
      <c r="AE1204" s="139"/>
      <c r="AF1204" s="140"/>
      <c r="AG1204" s="136" t="str">
        <f>IFERROR(__xludf.DUMMYFUNCTION("""COMPUTED_VALUE"""),"8/10 rcvd text saying I'd get my car in 3-6 weeks. Also asked if I was going away and wouldn't be able take delivery. ")</f>
        <v>8/10 rcvd text saying I'd get my car in 3-6 weeks. Also asked if I was going away and wouldn't be able take delivery. </v>
      </c>
      <c r="AH1204" s="157">
        <f>IFERROR(__xludf.DUMMYFUNCTION("""COMPUTED_VALUE"""),44098.394415451396)</f>
        <v>44098.39442</v>
      </c>
      <c r="AI1204" s="138"/>
      <c r="AJ1204" s="138"/>
      <c r="AK1204" s="138"/>
      <c r="AL1204" s="142"/>
    </row>
    <row r="1205" ht="20.25" customHeight="1">
      <c r="A1205" s="155" t="str">
        <f>IFERROR(__xludf.DUMMYFUNCTION("""COMPUTED_VALUE"""),"wattsbrw")</f>
        <v>wattsbrw</v>
      </c>
      <c r="B1205" s="149" t="str">
        <f>IFERROR(__xludf.DUMMYFUNCTION("""COMPUTED_VALUE"""),"Raleigh")</f>
        <v>Raleigh</v>
      </c>
      <c r="C1205" s="149" t="str">
        <f>IFERROR(__xludf.DUMMYFUNCTION("""COMPUTED_VALUE"""),"NC")</f>
        <v>NC</v>
      </c>
      <c r="D1205" s="149" t="str">
        <f>IFERROR(__xludf.DUMMYFUNCTION("""COMPUTED_VALUE"""),"USA")</f>
        <v>USA</v>
      </c>
      <c r="E1205" s="156">
        <f>IFERROR(__xludf.DUMMYFUNCTION("""COMPUTED_VALUE"""),44033.0)</f>
        <v>44033</v>
      </c>
      <c r="F1205" s="129">
        <f>IFERROR(__xludf.DUMMYFUNCTION("""COMPUTED_VALUE"""),44055.0)</f>
        <v>44055</v>
      </c>
      <c r="G1205" s="154"/>
      <c r="H1205" s="131">
        <f>IFERROR(__xludf.DUMMYFUNCTION("""COMPUTED_VALUE"""),744355.0)</f>
        <v>744355</v>
      </c>
      <c r="I1205" s="132" t="str">
        <f>IFERROR(__xludf.DUMMYFUNCTION("""COMPUTED_VALUE"""),"08/20")</f>
        <v>08/20</v>
      </c>
      <c r="J1205" s="129">
        <f>IFERROR(__xludf.DUMMYFUNCTION("""COMPUTED_VALUE"""),44059.0)</f>
        <v>44059</v>
      </c>
      <c r="K1205" s="133">
        <f>IFERROR(__xludf.DUMMYFUNCTION("""COMPUTED_VALUE"""),22.0)</f>
        <v>22</v>
      </c>
      <c r="L1205" s="133">
        <f>IFERROR(__xludf.DUMMYFUNCTION("""COMPUTED_VALUE"""),4.0)</f>
        <v>4</v>
      </c>
      <c r="M1205" s="133">
        <f>IFERROR(__xludf.DUMMYFUNCTION("""COMPUTED_VALUE"""),26.0)</f>
        <v>26</v>
      </c>
      <c r="N1205" s="152" t="str">
        <f>IFERROR(__xludf.DUMMYFUNCTION("""COMPUTED_VALUE"""),"Model 3 LR AWD")</f>
        <v>Model 3 LR AWD</v>
      </c>
      <c r="O1205" s="152" t="str">
        <f>IFERROR(__xludf.DUMMYFUNCTION("""COMPUTED_VALUE"""),"Deep Blue Metallic")</f>
        <v>Deep Blue Metallic</v>
      </c>
      <c r="P1205" s="153" t="str">
        <f>IFERROR(__xludf.DUMMYFUNCTION("""COMPUTED_VALUE"""),"18 inch Aero")</f>
        <v>18 inch Aero</v>
      </c>
      <c r="Q1205" s="152" t="str">
        <f>IFERROR(__xludf.DUMMYFUNCTION("""COMPUTED_VALUE"""),"Black seats")</f>
        <v>Black seats</v>
      </c>
      <c r="R1205" s="150" t="str">
        <f>IFERROR(__xludf.DUMMYFUNCTION("""COMPUTED_VALUE"""),"Autopilot")</f>
        <v>Autopilot</v>
      </c>
      <c r="S1205" s="150"/>
      <c r="T1205" s="136"/>
      <c r="U1205" s="136"/>
      <c r="V1205" s="136"/>
      <c r="W1205" s="136"/>
      <c r="X1205" s="137" t="str">
        <f>IFERROR(__xludf.DUMMYFUNCTION("""COMPUTED_VALUE"""),"Excellent")</f>
        <v>Excellent</v>
      </c>
      <c r="Y1205" s="138" t="str">
        <f>IFERROR(__xludf.DUMMYFUNCTION("""COMPUTED_VALUE"""),"Excellent")</f>
        <v>Excellent</v>
      </c>
      <c r="Z1205" s="138" t="str">
        <f>IFERROR(__xludf.DUMMYFUNCTION("""COMPUTED_VALUE"""),"Excellent")</f>
        <v>Excellent</v>
      </c>
      <c r="AA1205" s="138" t="str">
        <f>IFERROR(__xludf.DUMMYFUNCTION("""COMPUTED_VALUE"""),"Excellent")</f>
        <v>Excellent</v>
      </c>
      <c r="AB1205" s="138" t="str">
        <f>IFERROR(__xludf.DUMMYFUNCTION("""COMPUTED_VALUE"""),"Excellent")</f>
        <v>Excellent</v>
      </c>
      <c r="AC1205" s="139"/>
      <c r="AD1205" s="139"/>
      <c r="AE1205" s="139"/>
      <c r="AF1205" s="140"/>
      <c r="AG1205" s="136"/>
      <c r="AH1205" s="157">
        <f>IFERROR(__xludf.DUMMYFUNCTION("""COMPUTED_VALUE"""),44059.85521197917)</f>
        <v>44059.85521</v>
      </c>
      <c r="AI1205" s="138"/>
      <c r="AJ1205" s="138"/>
      <c r="AK1205" s="138"/>
      <c r="AL1205" s="142"/>
    </row>
    <row r="1206" ht="20.25" customHeight="1">
      <c r="A1206" s="155" t="str">
        <f>IFERROR(__xludf.DUMMYFUNCTION("""COMPUTED_VALUE"""),"Edgeofreality")</f>
        <v>Edgeofreality</v>
      </c>
      <c r="B1206" s="149"/>
      <c r="C1206" s="149" t="str">
        <f>IFERROR(__xludf.DUMMYFUNCTION("""COMPUTED_VALUE"""),"LA")</f>
        <v>LA</v>
      </c>
      <c r="D1206" s="149" t="str">
        <f>IFERROR(__xludf.DUMMYFUNCTION("""COMPUTED_VALUE"""),"USA")</f>
        <v>USA</v>
      </c>
      <c r="E1206" s="156">
        <f>IFERROR(__xludf.DUMMYFUNCTION("""COMPUTED_VALUE"""),44031.0)</f>
        <v>44031</v>
      </c>
      <c r="F1206" s="129">
        <f>IFERROR(__xludf.DUMMYFUNCTION("""COMPUTED_VALUE"""),44072.0)</f>
        <v>44072</v>
      </c>
      <c r="G1206" s="154"/>
      <c r="H1206" s="131">
        <f>IFERROR(__xludf.DUMMYFUNCTION("""COMPUTED_VALUE"""),785855.0)</f>
        <v>785855</v>
      </c>
      <c r="I1206" s="144"/>
      <c r="J1206" s="129">
        <f>IFERROR(__xludf.DUMMYFUNCTION("""COMPUTED_VALUE"""),44101.0)</f>
        <v>44101</v>
      </c>
      <c r="K1206" s="133">
        <f>IFERROR(__xludf.DUMMYFUNCTION("""COMPUTED_VALUE"""),41.0)</f>
        <v>41</v>
      </c>
      <c r="L1206" s="133">
        <f>IFERROR(__xludf.DUMMYFUNCTION("""COMPUTED_VALUE"""),29.0)</f>
        <v>29</v>
      </c>
      <c r="M1206" s="133">
        <f>IFERROR(__xludf.DUMMYFUNCTION("""COMPUTED_VALUE"""),70.0)</f>
        <v>70</v>
      </c>
      <c r="N1206" s="152" t="str">
        <f>IFERROR(__xludf.DUMMYFUNCTION("""COMPUTED_VALUE"""),"Model 3 SR+")</f>
        <v>Model 3 SR+</v>
      </c>
      <c r="O1206" s="152" t="str">
        <f>IFERROR(__xludf.DUMMYFUNCTION("""COMPUTED_VALUE"""),"Deep Blue Metallic")</f>
        <v>Deep Blue Metallic</v>
      </c>
      <c r="P1206" s="153" t="str">
        <f>IFERROR(__xludf.DUMMYFUNCTION("""COMPUTED_VALUE"""),"18 inch Aero")</f>
        <v>18 inch Aero</v>
      </c>
      <c r="Q1206" s="152" t="str">
        <f>IFERROR(__xludf.DUMMYFUNCTION("""COMPUTED_VALUE"""),"White seats")</f>
        <v>White seats</v>
      </c>
      <c r="R1206" s="149" t="str">
        <f>IFERROR(__xludf.DUMMYFUNCTION("""COMPUTED_VALUE"""),"Autopilot")</f>
        <v>Autopilot</v>
      </c>
      <c r="S1206" s="149"/>
      <c r="T1206" s="145"/>
      <c r="U1206" s="145"/>
      <c r="V1206" s="145"/>
      <c r="W1206" s="145"/>
      <c r="X1206" s="137" t="str">
        <f>IFERROR(__xludf.DUMMYFUNCTION("""COMPUTED_VALUE"""),"Excellent")</f>
        <v>Excellent</v>
      </c>
      <c r="Y1206" s="138" t="str">
        <f>IFERROR(__xludf.DUMMYFUNCTION("""COMPUTED_VALUE"""),"Excellent")</f>
        <v>Excellent</v>
      </c>
      <c r="Z1206" s="138" t="str">
        <f>IFERROR(__xludf.DUMMYFUNCTION("""COMPUTED_VALUE"""),"Good")</f>
        <v>Good</v>
      </c>
      <c r="AA1206" s="138" t="str">
        <f>IFERROR(__xludf.DUMMYFUNCTION("""COMPUTED_VALUE"""),"Fair")</f>
        <v>Fair</v>
      </c>
      <c r="AB1206" s="138" t="str">
        <f>IFERROR(__xludf.DUMMYFUNCTION("""COMPUTED_VALUE"""),"Very Good")</f>
        <v>Very Good</v>
      </c>
      <c r="AC1206" s="139">
        <f>IFERROR(__xludf.DUMMYFUNCTION("""COMPUTED_VALUE"""),1.0)</f>
        <v>1</v>
      </c>
      <c r="AD1206" s="139"/>
      <c r="AE1206" s="139"/>
      <c r="AF1206" s="140"/>
      <c r="AG1206" s="145"/>
      <c r="AH1206" s="157">
        <f>IFERROR(__xludf.DUMMYFUNCTION("""COMPUTED_VALUE"""),44112.91482275463)</f>
        <v>44112.91482</v>
      </c>
      <c r="AI1206" s="138"/>
      <c r="AJ1206" s="138"/>
      <c r="AK1206" s="138"/>
      <c r="AL1206" s="142"/>
    </row>
    <row r="1207" ht="20.25" customHeight="1">
      <c r="A1207" s="155" t="str">
        <f>IFERROR(__xludf.DUMMYFUNCTION("""COMPUTED_VALUE"""),"Rafe")</f>
        <v>Rafe</v>
      </c>
      <c r="B1207" s="150" t="str">
        <f>IFERROR(__xludf.DUMMYFUNCTION("""COMPUTED_VALUE"""),"Montreal")</f>
        <v>Montreal</v>
      </c>
      <c r="C1207" s="149" t="str">
        <f>IFERROR(__xludf.DUMMYFUNCTION("""COMPUTED_VALUE"""),"QC")</f>
        <v>QC</v>
      </c>
      <c r="D1207" s="149" t="str">
        <f>IFERROR(__xludf.DUMMYFUNCTION("""COMPUTED_VALUE"""),"Canada")</f>
        <v>Canada</v>
      </c>
      <c r="E1207" s="156">
        <f>IFERROR(__xludf.DUMMYFUNCTION("""COMPUTED_VALUE"""),44031.0)</f>
        <v>44031</v>
      </c>
      <c r="F1207" s="129">
        <f>IFERROR(__xludf.DUMMYFUNCTION("""COMPUTED_VALUE"""),44066.0)</f>
        <v>44066</v>
      </c>
      <c r="G1207" s="154"/>
      <c r="H1207" s="131">
        <f>IFERROR(__xludf.DUMMYFUNCTION("""COMPUTED_VALUE"""),770855.0)</f>
        <v>770855</v>
      </c>
      <c r="I1207" s="132" t="str">
        <f>IFERROR(__xludf.DUMMYFUNCTION("""COMPUTED_VALUE"""),"08/20")</f>
        <v>08/20</v>
      </c>
      <c r="J1207" s="129">
        <f>IFERROR(__xludf.DUMMYFUNCTION("""COMPUTED_VALUE"""),44076.0)</f>
        <v>44076</v>
      </c>
      <c r="K1207" s="133">
        <f>IFERROR(__xludf.DUMMYFUNCTION("""COMPUTED_VALUE"""),35.0)</f>
        <v>35</v>
      </c>
      <c r="L1207" s="133">
        <f>IFERROR(__xludf.DUMMYFUNCTION("""COMPUTED_VALUE"""),10.0)</f>
        <v>10</v>
      </c>
      <c r="M1207" s="133">
        <f>IFERROR(__xludf.DUMMYFUNCTION("""COMPUTED_VALUE"""),45.0)</f>
        <v>45</v>
      </c>
      <c r="N1207" s="152" t="str">
        <f>IFERROR(__xludf.DUMMYFUNCTION("""COMPUTED_VALUE"""),"Model 3 SR+")</f>
        <v>Model 3 SR+</v>
      </c>
      <c r="O1207" s="152" t="str">
        <f>IFERROR(__xludf.DUMMYFUNCTION("""COMPUTED_VALUE"""),"Deep Blue Metallic")</f>
        <v>Deep Blue Metallic</v>
      </c>
      <c r="P1207" s="153" t="str">
        <f>IFERROR(__xludf.DUMMYFUNCTION("""COMPUTED_VALUE"""),"18 inch Aero")</f>
        <v>18 inch Aero</v>
      </c>
      <c r="Q1207" s="152" t="str">
        <f>IFERROR(__xludf.DUMMYFUNCTION("""COMPUTED_VALUE"""),"Black seats")</f>
        <v>Black seats</v>
      </c>
      <c r="R1207" s="150" t="str">
        <f>IFERROR(__xludf.DUMMYFUNCTION("""COMPUTED_VALUE"""),"Autopilot")</f>
        <v>Autopilot</v>
      </c>
      <c r="S1207" s="150"/>
      <c r="T1207" s="136"/>
      <c r="U1207" s="136"/>
      <c r="V1207" s="136"/>
      <c r="W1207" s="136"/>
      <c r="X1207" s="137" t="str">
        <f>IFERROR(__xludf.DUMMYFUNCTION("""COMPUTED_VALUE"""),"Very Good")</f>
        <v>Very Good</v>
      </c>
      <c r="Y1207" s="138" t="str">
        <f>IFERROR(__xludf.DUMMYFUNCTION("""COMPUTED_VALUE"""),"Very Good")</f>
        <v>Very Good</v>
      </c>
      <c r="Z1207" s="138" t="str">
        <f>IFERROR(__xludf.DUMMYFUNCTION("""COMPUTED_VALUE"""),"Very Good")</f>
        <v>Very Good</v>
      </c>
      <c r="AA1207" s="138" t="str">
        <f>IFERROR(__xludf.DUMMYFUNCTION("""COMPUTED_VALUE"""),"Very Good")</f>
        <v>Very Good</v>
      </c>
      <c r="AB1207" s="138" t="str">
        <f>IFERROR(__xludf.DUMMYFUNCTION("""COMPUTED_VALUE"""),"Excellent")</f>
        <v>Excellent</v>
      </c>
      <c r="AC1207" s="139"/>
      <c r="AD1207" s="139"/>
      <c r="AE1207" s="139"/>
      <c r="AF1207" s="140"/>
      <c r="AG1207" s="136"/>
      <c r="AH1207" s="157">
        <f>IFERROR(__xludf.DUMMYFUNCTION("""COMPUTED_VALUE"""),44078.54809856482)</f>
        <v>44078.5481</v>
      </c>
      <c r="AI1207" s="138"/>
      <c r="AJ1207" s="138"/>
      <c r="AK1207" s="138"/>
      <c r="AL1207" s="142"/>
    </row>
    <row r="1208" ht="20.25" customHeight="1">
      <c r="A1208" s="155" t="str">
        <f>IFERROR(__xludf.DUMMYFUNCTION("""COMPUTED_VALUE"""),"TBM9")</f>
        <v>TBM9</v>
      </c>
      <c r="B1208" s="149" t="str">
        <f>IFERROR(__xludf.DUMMYFUNCTION("""COMPUTED_VALUE"""),"Los Angeles")</f>
        <v>Los Angeles</v>
      </c>
      <c r="C1208" s="149" t="str">
        <f>IFERROR(__xludf.DUMMYFUNCTION("""COMPUTED_VALUE"""),"CA")</f>
        <v>CA</v>
      </c>
      <c r="D1208" s="149" t="str">
        <f>IFERROR(__xludf.DUMMYFUNCTION("""COMPUTED_VALUE"""),"USA")</f>
        <v>USA</v>
      </c>
      <c r="E1208" s="156">
        <f>IFERROR(__xludf.DUMMYFUNCTION("""COMPUTED_VALUE"""),44031.0)</f>
        <v>44031</v>
      </c>
      <c r="F1208" s="129">
        <f>IFERROR(__xludf.DUMMYFUNCTION("""COMPUTED_VALUE"""),44061.0)</f>
        <v>44061</v>
      </c>
      <c r="G1208" s="154"/>
      <c r="H1208" s="131">
        <f>IFERROR(__xludf.DUMMYFUNCTION("""COMPUTED_VALUE"""),774955.0)</f>
        <v>774955</v>
      </c>
      <c r="I1208" s="144" t="str">
        <f>IFERROR(__xludf.DUMMYFUNCTION("""COMPUTED_VALUE"""),"08/20")</f>
        <v>08/20</v>
      </c>
      <c r="J1208" s="129">
        <f>IFERROR(__xludf.DUMMYFUNCTION("""COMPUTED_VALUE"""),44066.0)</f>
        <v>44066</v>
      </c>
      <c r="K1208" s="133">
        <f>IFERROR(__xludf.DUMMYFUNCTION("""COMPUTED_VALUE"""),30.0)</f>
        <v>30</v>
      </c>
      <c r="L1208" s="133">
        <f>IFERROR(__xludf.DUMMYFUNCTION("""COMPUTED_VALUE"""),5.0)</f>
        <v>5</v>
      </c>
      <c r="M1208" s="133">
        <f>IFERROR(__xludf.DUMMYFUNCTION("""COMPUTED_VALUE"""),35.0)</f>
        <v>35</v>
      </c>
      <c r="N1208" s="152" t="str">
        <f>IFERROR(__xludf.DUMMYFUNCTION("""COMPUTED_VALUE"""),"Model 3 Performance")</f>
        <v>Model 3 Performance</v>
      </c>
      <c r="O1208" s="152" t="str">
        <f>IFERROR(__xludf.DUMMYFUNCTION("""COMPUTED_VALUE"""),"Midnight Silver Metallic")</f>
        <v>Midnight Silver Metallic</v>
      </c>
      <c r="P1208" s="153" t="str">
        <f>IFERROR(__xludf.DUMMYFUNCTION("""COMPUTED_VALUE"""),"20 inch Sport")</f>
        <v>20 inch Sport</v>
      </c>
      <c r="Q1208" s="152" t="str">
        <f>IFERROR(__xludf.DUMMYFUNCTION("""COMPUTED_VALUE"""),"White seats")</f>
        <v>White seats</v>
      </c>
      <c r="R1208" s="149" t="str">
        <f>IFERROR(__xludf.DUMMYFUNCTION("""COMPUTED_VALUE"""),"Autopilot")</f>
        <v>Autopilot</v>
      </c>
      <c r="S1208" s="149"/>
      <c r="T1208" s="145"/>
      <c r="U1208" s="145"/>
      <c r="V1208" s="145"/>
      <c r="W1208" s="136"/>
      <c r="X1208" s="137" t="str">
        <f>IFERROR(__xludf.DUMMYFUNCTION("""COMPUTED_VALUE"""),"Very Good")</f>
        <v>Very Good</v>
      </c>
      <c r="Y1208" s="138" t="str">
        <f>IFERROR(__xludf.DUMMYFUNCTION("""COMPUTED_VALUE"""),"Very Good")</f>
        <v>Very Good</v>
      </c>
      <c r="Z1208" s="138" t="str">
        <f>IFERROR(__xludf.DUMMYFUNCTION("""COMPUTED_VALUE"""),"Good")</f>
        <v>Good</v>
      </c>
      <c r="AA1208" s="138" t="str">
        <f>IFERROR(__xludf.DUMMYFUNCTION("""COMPUTED_VALUE"""),"Fair")</f>
        <v>Fair</v>
      </c>
      <c r="AB1208" s="138" t="str">
        <f>IFERROR(__xludf.DUMMYFUNCTION("""COMPUTED_VALUE"""),"Fair")</f>
        <v>Fair</v>
      </c>
      <c r="AC1208" s="139">
        <f>IFERROR(__xludf.DUMMYFUNCTION("""COMPUTED_VALUE"""),5.0)</f>
        <v>5</v>
      </c>
      <c r="AD1208" s="139">
        <f>IFERROR(__xludf.DUMMYFUNCTION("""COMPUTED_VALUE"""),2.0)</f>
        <v>2</v>
      </c>
      <c r="AE1208" s="139">
        <f>IFERROR(__xludf.DUMMYFUNCTION("""COMPUTED_VALUE"""),3.0)</f>
        <v>3</v>
      </c>
      <c r="AF1208" s="140"/>
      <c r="AG1208" s="136"/>
      <c r="AH1208" s="157">
        <f>IFERROR(__xludf.DUMMYFUNCTION("""COMPUTED_VALUE"""),44088.85547042824)</f>
        <v>44088.85547</v>
      </c>
      <c r="AI1208" s="138"/>
      <c r="AJ1208" s="138"/>
      <c r="AK1208" s="138"/>
      <c r="AL1208" s="142"/>
    </row>
    <row r="1209" ht="20.25" customHeight="1">
      <c r="A1209" s="155" t="str">
        <f>IFERROR(__xludf.DUMMYFUNCTION("""COMPUTED_VALUE"""),"jakieemma")</f>
        <v>jakieemma</v>
      </c>
      <c r="B1209" s="149" t="str">
        <f>IFERROR(__xludf.DUMMYFUNCTION("""COMPUTED_VALUE"""),"Boston")</f>
        <v>Boston</v>
      </c>
      <c r="C1209" s="149" t="str">
        <f>IFERROR(__xludf.DUMMYFUNCTION("""COMPUTED_VALUE"""),"MA")</f>
        <v>MA</v>
      </c>
      <c r="D1209" s="149" t="str">
        <f>IFERROR(__xludf.DUMMYFUNCTION("""COMPUTED_VALUE"""),"USA")</f>
        <v>USA</v>
      </c>
      <c r="E1209" s="156">
        <f>IFERROR(__xludf.DUMMYFUNCTION("""COMPUTED_VALUE"""),44030.0)</f>
        <v>44030</v>
      </c>
      <c r="F1209" s="129">
        <f>IFERROR(__xludf.DUMMYFUNCTION("""COMPUTED_VALUE"""),44061.0)</f>
        <v>44061</v>
      </c>
      <c r="G1209" s="154"/>
      <c r="H1209" s="131">
        <f>IFERROR(__xludf.DUMMYFUNCTION("""COMPUTED_VALUE"""),783468.0)</f>
        <v>783468</v>
      </c>
      <c r="I1209" s="144" t="str">
        <f>IFERROR(__xludf.DUMMYFUNCTION("""COMPUTED_VALUE"""),"08/20")</f>
        <v>08/20</v>
      </c>
      <c r="J1209" s="129">
        <f>IFERROR(__xludf.DUMMYFUNCTION("""COMPUTED_VALUE"""),44079.0)</f>
        <v>44079</v>
      </c>
      <c r="K1209" s="133">
        <f>IFERROR(__xludf.DUMMYFUNCTION("""COMPUTED_VALUE"""),31.0)</f>
        <v>31</v>
      </c>
      <c r="L1209" s="133">
        <f>IFERROR(__xludf.DUMMYFUNCTION("""COMPUTED_VALUE"""),18.0)</f>
        <v>18</v>
      </c>
      <c r="M1209" s="133">
        <f>IFERROR(__xludf.DUMMYFUNCTION("""COMPUTED_VALUE"""),49.0)</f>
        <v>49</v>
      </c>
      <c r="N1209" s="152" t="str">
        <f>IFERROR(__xludf.DUMMYFUNCTION("""COMPUTED_VALUE"""),"Model 3 SR+")</f>
        <v>Model 3 SR+</v>
      </c>
      <c r="O1209" s="152" t="str">
        <f>IFERROR(__xludf.DUMMYFUNCTION("""COMPUTED_VALUE"""),"Solid Black")</f>
        <v>Solid Black</v>
      </c>
      <c r="P1209" s="153" t="str">
        <f>IFERROR(__xludf.DUMMYFUNCTION("""COMPUTED_VALUE"""),"18 inch Aero")</f>
        <v>18 inch Aero</v>
      </c>
      <c r="Q1209" s="152" t="str">
        <f>IFERROR(__xludf.DUMMYFUNCTION("""COMPUTED_VALUE"""),"Black seats")</f>
        <v>Black seats</v>
      </c>
      <c r="R1209" s="149" t="str">
        <f>IFERROR(__xludf.DUMMYFUNCTION("""COMPUTED_VALUE"""),"Autopilot")</f>
        <v>Autopilot</v>
      </c>
      <c r="S1209" s="149"/>
      <c r="T1209" s="145"/>
      <c r="U1209" s="145"/>
      <c r="V1209" s="145"/>
      <c r="W1209" s="136"/>
      <c r="X1209" s="137" t="str">
        <f>IFERROR(__xludf.DUMMYFUNCTION("""COMPUTED_VALUE"""),"Excellent")</f>
        <v>Excellent</v>
      </c>
      <c r="Y1209" s="138" t="str">
        <f>IFERROR(__xludf.DUMMYFUNCTION("""COMPUTED_VALUE"""),"Very Good")</f>
        <v>Very Good</v>
      </c>
      <c r="Z1209" s="138" t="str">
        <f>IFERROR(__xludf.DUMMYFUNCTION("""COMPUTED_VALUE"""),"Fair")</f>
        <v>Fair</v>
      </c>
      <c r="AA1209" s="138" t="str">
        <f>IFERROR(__xludf.DUMMYFUNCTION("""COMPUTED_VALUE"""),"Excellent")</f>
        <v>Excellent</v>
      </c>
      <c r="AB1209" s="138" t="str">
        <f>IFERROR(__xludf.DUMMYFUNCTION("""COMPUTED_VALUE"""),"Good")</f>
        <v>Good</v>
      </c>
      <c r="AC1209" s="139">
        <f>IFERROR(__xludf.DUMMYFUNCTION("""COMPUTED_VALUE"""),6.0)</f>
        <v>6</v>
      </c>
      <c r="AD1209" s="139"/>
      <c r="AE1209" s="139"/>
      <c r="AF1209" s="140"/>
      <c r="AG1209" s="136"/>
      <c r="AH1209" s="157">
        <f>IFERROR(__xludf.DUMMYFUNCTION("""COMPUTED_VALUE"""),44083.35169696759)</f>
        <v>44083.3517</v>
      </c>
      <c r="AI1209" s="138"/>
      <c r="AJ1209" s="138"/>
      <c r="AK1209" s="138"/>
      <c r="AL1209" s="142"/>
    </row>
    <row r="1210" ht="20.25" customHeight="1">
      <c r="A1210" s="155" t="str">
        <f>IFERROR(__xludf.DUMMYFUNCTION("""COMPUTED_VALUE"""),"jnovik1")</f>
        <v>jnovik1</v>
      </c>
      <c r="B1210" s="149" t="str">
        <f>IFERROR(__xludf.DUMMYFUNCTION("""COMPUTED_VALUE"""),"Fort Worth")</f>
        <v>Fort Worth</v>
      </c>
      <c r="C1210" s="149" t="str">
        <f>IFERROR(__xludf.DUMMYFUNCTION("""COMPUTED_VALUE"""),"TX")</f>
        <v>TX</v>
      </c>
      <c r="D1210" s="149" t="str">
        <f>IFERROR(__xludf.DUMMYFUNCTION("""COMPUTED_VALUE"""),"USA")</f>
        <v>USA</v>
      </c>
      <c r="E1210" s="156">
        <f>IFERROR(__xludf.DUMMYFUNCTION("""COMPUTED_VALUE"""),44029.0)</f>
        <v>44029</v>
      </c>
      <c r="F1210" s="129">
        <f>IFERROR(__xludf.DUMMYFUNCTION("""COMPUTED_VALUE"""),44072.0)</f>
        <v>44072</v>
      </c>
      <c r="G1210" s="154"/>
      <c r="H1210" s="131">
        <f>IFERROR(__xludf.DUMMYFUNCTION("""COMPUTED_VALUE"""),787795.0)</f>
        <v>787795</v>
      </c>
      <c r="I1210" s="144" t="str">
        <f>IFERROR(__xludf.DUMMYFUNCTION("""COMPUTED_VALUE"""),"08/20")</f>
        <v>08/20</v>
      </c>
      <c r="J1210" s="129">
        <f>IFERROR(__xludf.DUMMYFUNCTION("""COMPUTED_VALUE"""),44093.0)</f>
        <v>44093</v>
      </c>
      <c r="K1210" s="133">
        <f>IFERROR(__xludf.DUMMYFUNCTION("""COMPUTED_VALUE"""),43.0)</f>
        <v>43</v>
      </c>
      <c r="L1210" s="133">
        <f>IFERROR(__xludf.DUMMYFUNCTION("""COMPUTED_VALUE"""),21.0)</f>
        <v>21</v>
      </c>
      <c r="M1210" s="133">
        <f>IFERROR(__xludf.DUMMYFUNCTION("""COMPUTED_VALUE"""),64.0)</f>
        <v>64</v>
      </c>
      <c r="N1210" s="152" t="str">
        <f>IFERROR(__xludf.DUMMYFUNCTION("""COMPUTED_VALUE"""),"Model 3 LR AWD")</f>
        <v>Model 3 LR AWD</v>
      </c>
      <c r="O1210" s="152" t="str">
        <f>IFERROR(__xludf.DUMMYFUNCTION("""COMPUTED_VALUE"""),"Pearl White Multi-Coat")</f>
        <v>Pearl White Multi-Coat</v>
      </c>
      <c r="P1210" s="153" t="str">
        <f>IFERROR(__xludf.DUMMYFUNCTION("""COMPUTED_VALUE"""),"18 inch Aero")</f>
        <v>18 inch Aero</v>
      </c>
      <c r="Q1210" s="152" t="str">
        <f>IFERROR(__xludf.DUMMYFUNCTION("""COMPUTED_VALUE"""),"White seats")</f>
        <v>White seats</v>
      </c>
      <c r="R1210" s="149" t="str">
        <f>IFERROR(__xludf.DUMMYFUNCTION("""COMPUTED_VALUE"""),"Autopilot")</f>
        <v>Autopilot</v>
      </c>
      <c r="S1210" s="149"/>
      <c r="T1210" s="145"/>
      <c r="U1210" s="145"/>
      <c r="V1210" s="145"/>
      <c r="W1210" s="145"/>
      <c r="X1210" s="137" t="str">
        <f>IFERROR(__xludf.DUMMYFUNCTION("""COMPUTED_VALUE"""),"Very Good")</f>
        <v>Very Good</v>
      </c>
      <c r="Y1210" s="138" t="str">
        <f>IFERROR(__xludf.DUMMYFUNCTION("""COMPUTED_VALUE"""),"Excellent")</f>
        <v>Excellent</v>
      </c>
      <c r="Z1210" s="138" t="str">
        <f>IFERROR(__xludf.DUMMYFUNCTION("""COMPUTED_VALUE"""),"Good")</f>
        <v>Good</v>
      </c>
      <c r="AA1210" s="138" t="str">
        <f>IFERROR(__xludf.DUMMYFUNCTION("""COMPUTED_VALUE"""),"Good")</f>
        <v>Good</v>
      </c>
      <c r="AB1210" s="138" t="str">
        <f>IFERROR(__xludf.DUMMYFUNCTION("""COMPUTED_VALUE"""),"Very Good")</f>
        <v>Very Good</v>
      </c>
      <c r="AC1210" s="139">
        <f>IFERROR(__xludf.DUMMYFUNCTION("""COMPUTED_VALUE"""),3.0)</f>
        <v>3</v>
      </c>
      <c r="AD1210" s="139">
        <f>IFERROR(__xludf.DUMMYFUNCTION("""COMPUTED_VALUE"""),1.0)</f>
        <v>1</v>
      </c>
      <c r="AE1210" s="139">
        <f>IFERROR(__xludf.DUMMYFUNCTION("""COMPUTED_VALUE"""),1.0)</f>
        <v>1</v>
      </c>
      <c r="AF1210" s="140"/>
      <c r="AG1210" s="145"/>
      <c r="AH1210" s="157">
        <f>IFERROR(__xludf.DUMMYFUNCTION("""COMPUTED_VALUE"""),44095.25255254629)</f>
        <v>44095.25255</v>
      </c>
      <c r="AI1210" s="138"/>
      <c r="AJ1210" s="138"/>
      <c r="AK1210" s="138"/>
      <c r="AL1210" s="142"/>
    </row>
    <row r="1211" ht="20.25" customHeight="1">
      <c r="A1211" s="155" t="str">
        <f>IFERROR(__xludf.DUMMYFUNCTION("""COMPUTED_VALUE"""),"jsprain")</f>
        <v>jsprain</v>
      </c>
      <c r="B1211" s="149" t="str">
        <f>IFERROR(__xludf.DUMMYFUNCTION("""COMPUTED_VALUE"""),"Atlanta")</f>
        <v>Atlanta</v>
      </c>
      <c r="C1211" s="149" t="str">
        <f>IFERROR(__xludf.DUMMYFUNCTION("""COMPUTED_VALUE"""),"GA")</f>
        <v>GA</v>
      </c>
      <c r="D1211" s="149" t="str">
        <f>IFERROR(__xludf.DUMMYFUNCTION("""COMPUTED_VALUE"""),"USA")</f>
        <v>USA</v>
      </c>
      <c r="E1211" s="156">
        <f>IFERROR(__xludf.DUMMYFUNCTION("""COMPUTED_VALUE"""),44029.0)</f>
        <v>44029</v>
      </c>
      <c r="F1211" s="129">
        <f>IFERROR(__xludf.DUMMYFUNCTION("""COMPUTED_VALUE"""),44069.0)</f>
        <v>44069</v>
      </c>
      <c r="G1211" s="154"/>
      <c r="H1211" s="131">
        <f>IFERROR(__xludf.DUMMYFUNCTION("""COMPUTED_VALUE"""),784476.0)</f>
        <v>784476</v>
      </c>
      <c r="I1211" s="144" t="str">
        <f>IFERROR(__xludf.DUMMYFUNCTION("""COMPUTED_VALUE"""),"08/20")</f>
        <v>08/20</v>
      </c>
      <c r="J1211" s="129">
        <f>IFERROR(__xludf.DUMMYFUNCTION("""COMPUTED_VALUE"""),44093.0)</f>
        <v>44093</v>
      </c>
      <c r="K1211" s="133">
        <f>IFERROR(__xludf.DUMMYFUNCTION("""COMPUTED_VALUE"""),40.0)</f>
        <v>40</v>
      </c>
      <c r="L1211" s="133">
        <f>IFERROR(__xludf.DUMMYFUNCTION("""COMPUTED_VALUE"""),24.0)</f>
        <v>24</v>
      </c>
      <c r="M1211" s="133">
        <f>IFERROR(__xludf.DUMMYFUNCTION("""COMPUTED_VALUE"""),64.0)</f>
        <v>64</v>
      </c>
      <c r="N1211" s="152" t="str">
        <f>IFERROR(__xludf.DUMMYFUNCTION("""COMPUTED_VALUE"""),"Model 3 Performance")</f>
        <v>Model 3 Performance</v>
      </c>
      <c r="O1211" s="152" t="str">
        <f>IFERROR(__xludf.DUMMYFUNCTION("""COMPUTED_VALUE"""),"Red Multi-Coat")</f>
        <v>Red Multi-Coat</v>
      </c>
      <c r="P1211" s="153" t="str">
        <f>IFERROR(__xludf.DUMMYFUNCTION("""COMPUTED_VALUE"""),"20 inch Sport")</f>
        <v>20 inch Sport</v>
      </c>
      <c r="Q1211" s="152" t="str">
        <f>IFERROR(__xludf.DUMMYFUNCTION("""COMPUTED_VALUE"""),"Black seats")</f>
        <v>Black seats</v>
      </c>
      <c r="R1211" s="149" t="str">
        <f>IFERROR(__xludf.DUMMYFUNCTION("""COMPUTED_VALUE"""),"Autopilot")</f>
        <v>Autopilot</v>
      </c>
      <c r="S1211" s="149"/>
      <c r="T1211" s="145"/>
      <c r="U1211" s="145"/>
      <c r="V1211" s="145"/>
      <c r="W1211" s="145"/>
      <c r="X1211" s="151" t="str">
        <f>IFERROR(__xludf.DUMMYFUNCTION("""COMPUTED_VALUE"""),"Excellent")</f>
        <v>Excellent</v>
      </c>
      <c r="Y1211" s="138" t="str">
        <f>IFERROR(__xludf.DUMMYFUNCTION("""COMPUTED_VALUE"""),"Excellent")</f>
        <v>Excellent</v>
      </c>
      <c r="Z1211" s="138" t="str">
        <f>IFERROR(__xludf.DUMMYFUNCTION("""COMPUTED_VALUE"""),"Excellent")</f>
        <v>Excellent</v>
      </c>
      <c r="AA1211" s="138" t="str">
        <f>IFERROR(__xludf.DUMMYFUNCTION("""COMPUTED_VALUE"""),"Very Good")</f>
        <v>Very Good</v>
      </c>
      <c r="AB1211" s="138" t="str">
        <f>IFERROR(__xludf.DUMMYFUNCTION("""COMPUTED_VALUE"""),"Excellent")</f>
        <v>Excellent</v>
      </c>
      <c r="AC1211" s="139"/>
      <c r="AD1211" s="139"/>
      <c r="AE1211" s="139"/>
      <c r="AF1211" s="140"/>
      <c r="AG1211" s="145"/>
      <c r="AH1211" s="157">
        <f>IFERROR(__xludf.DUMMYFUNCTION("""COMPUTED_VALUE"""),44096.162894351844)</f>
        <v>44096.16289</v>
      </c>
      <c r="AI1211" s="138"/>
      <c r="AJ1211" s="138"/>
      <c r="AK1211" s="138"/>
      <c r="AL1211" s="142"/>
    </row>
    <row r="1212" ht="20.25" customHeight="1">
      <c r="A1212" s="155" t="str">
        <f>IFERROR(__xludf.DUMMYFUNCTION("""COMPUTED_VALUE"""),"swb2734")</f>
        <v>swb2734</v>
      </c>
      <c r="B1212" s="159" t="str">
        <f>IFERROR(__xludf.DUMMYFUNCTION("""COMPUTED_VALUE"""),"Austin")</f>
        <v>Austin</v>
      </c>
      <c r="C1212" s="159" t="str">
        <f>IFERROR(__xludf.DUMMYFUNCTION("""COMPUTED_VALUE"""),"TX")</f>
        <v>TX</v>
      </c>
      <c r="D1212" s="159" t="str">
        <f>IFERROR(__xludf.DUMMYFUNCTION("""COMPUTED_VALUE"""),"USA")</f>
        <v>USA</v>
      </c>
      <c r="E1212" s="156">
        <f>IFERROR(__xludf.DUMMYFUNCTION("""COMPUTED_VALUE"""),44029.0)</f>
        <v>44029</v>
      </c>
      <c r="F1212" s="129">
        <f>IFERROR(__xludf.DUMMYFUNCTION("""COMPUTED_VALUE"""),44068.0)</f>
        <v>44068</v>
      </c>
      <c r="G1212" s="154"/>
      <c r="H1212" s="131">
        <f>IFERROR(__xludf.DUMMYFUNCTION("""COMPUTED_VALUE"""),774855.0)</f>
        <v>774855</v>
      </c>
      <c r="I1212" s="160"/>
      <c r="J1212" s="129">
        <f>IFERROR(__xludf.DUMMYFUNCTION("""COMPUTED_VALUE"""),44082.0)</f>
        <v>44082</v>
      </c>
      <c r="K1212" s="133">
        <f>IFERROR(__xludf.DUMMYFUNCTION("""COMPUTED_VALUE"""),39.0)</f>
        <v>39</v>
      </c>
      <c r="L1212" s="133">
        <f>IFERROR(__xludf.DUMMYFUNCTION("""COMPUTED_VALUE"""),14.0)</f>
        <v>14</v>
      </c>
      <c r="M1212" s="133">
        <f>IFERROR(__xludf.DUMMYFUNCTION("""COMPUTED_VALUE"""),53.0)</f>
        <v>53</v>
      </c>
      <c r="N1212" s="152" t="str">
        <f>IFERROR(__xludf.DUMMYFUNCTION("""COMPUTED_VALUE"""),"Model 3 LR AWD")</f>
        <v>Model 3 LR AWD</v>
      </c>
      <c r="O1212" s="152" t="str">
        <f>IFERROR(__xludf.DUMMYFUNCTION("""COMPUTED_VALUE"""),"Deep Blue Metallic")</f>
        <v>Deep Blue Metallic</v>
      </c>
      <c r="P1212" s="153" t="str">
        <f>IFERROR(__xludf.DUMMYFUNCTION("""COMPUTED_VALUE"""),"18 inch Aero")</f>
        <v>18 inch Aero</v>
      </c>
      <c r="Q1212" s="152" t="str">
        <f>IFERROR(__xludf.DUMMYFUNCTION("""COMPUTED_VALUE"""),"Black seats")</f>
        <v>Black seats</v>
      </c>
      <c r="R1212" s="159" t="str">
        <f>IFERROR(__xludf.DUMMYFUNCTION("""COMPUTED_VALUE"""),"Autopilot")</f>
        <v>Autopilot</v>
      </c>
      <c r="S1212" s="159"/>
      <c r="T1212" s="161"/>
      <c r="U1212" s="161"/>
      <c r="V1212" s="161"/>
      <c r="W1212" s="161"/>
      <c r="X1212" s="137" t="str">
        <f>IFERROR(__xludf.DUMMYFUNCTION("""COMPUTED_VALUE"""),"Excellent")</f>
        <v>Excellent</v>
      </c>
      <c r="Y1212" s="138" t="str">
        <f>IFERROR(__xludf.DUMMYFUNCTION("""COMPUTED_VALUE"""),"Very Good")</f>
        <v>Very Good</v>
      </c>
      <c r="Z1212" s="138" t="str">
        <f>IFERROR(__xludf.DUMMYFUNCTION("""COMPUTED_VALUE"""),"Excellent")</f>
        <v>Excellent</v>
      </c>
      <c r="AA1212" s="138" t="str">
        <f>IFERROR(__xludf.DUMMYFUNCTION("""COMPUTED_VALUE"""),"Excellent")</f>
        <v>Excellent</v>
      </c>
      <c r="AB1212" s="138" t="str">
        <f>IFERROR(__xludf.DUMMYFUNCTION("""COMPUTED_VALUE"""),"Excellent")</f>
        <v>Excellent</v>
      </c>
      <c r="AC1212" s="139">
        <f>IFERROR(__xludf.DUMMYFUNCTION("""COMPUTED_VALUE"""),3.0)</f>
        <v>3</v>
      </c>
      <c r="AD1212" s="139"/>
      <c r="AE1212" s="139"/>
      <c r="AF1212" s="140"/>
      <c r="AG1212" s="161"/>
      <c r="AH1212" s="157">
        <f>IFERROR(__xludf.DUMMYFUNCTION("""COMPUTED_VALUE"""),44082.97945850695)</f>
        <v>44082.97946</v>
      </c>
      <c r="AI1212" s="138"/>
      <c r="AJ1212" s="138"/>
      <c r="AK1212" s="138"/>
      <c r="AL1212" s="142"/>
    </row>
    <row r="1213" ht="20.25" customHeight="1">
      <c r="A1213" s="155" t="str">
        <f>IFERROR(__xludf.DUMMYFUNCTION("""COMPUTED_VALUE"""),"CollegeShorts")</f>
        <v>CollegeShorts</v>
      </c>
      <c r="B1213" s="149" t="str">
        <f>IFERROR(__xludf.DUMMYFUNCTION("""COMPUTED_VALUE"""),"Omaha")</f>
        <v>Omaha</v>
      </c>
      <c r="C1213" s="149" t="str">
        <f>IFERROR(__xludf.DUMMYFUNCTION("""COMPUTED_VALUE"""),"NE")</f>
        <v>NE</v>
      </c>
      <c r="D1213" s="149" t="str">
        <f>IFERROR(__xludf.DUMMYFUNCTION("""COMPUTED_VALUE"""),"USA")</f>
        <v>USA</v>
      </c>
      <c r="E1213" s="156">
        <f>IFERROR(__xludf.DUMMYFUNCTION("""COMPUTED_VALUE"""),44028.0)</f>
        <v>44028</v>
      </c>
      <c r="F1213" s="129">
        <f>IFERROR(__xludf.DUMMYFUNCTION("""COMPUTED_VALUE"""),44076.0)</f>
        <v>44076</v>
      </c>
      <c r="G1213" s="154"/>
      <c r="H1213" s="131">
        <f>IFERROR(__xludf.DUMMYFUNCTION("""COMPUTED_VALUE"""),785456.0)</f>
        <v>785456</v>
      </c>
      <c r="I1213" s="144"/>
      <c r="J1213" s="129">
        <f>IFERROR(__xludf.DUMMYFUNCTION("""COMPUTED_VALUE"""),44088.0)</f>
        <v>44088</v>
      </c>
      <c r="K1213" s="133">
        <f>IFERROR(__xludf.DUMMYFUNCTION("""COMPUTED_VALUE"""),48.0)</f>
        <v>48</v>
      </c>
      <c r="L1213" s="133">
        <f>IFERROR(__xludf.DUMMYFUNCTION("""COMPUTED_VALUE"""),12.0)</f>
        <v>12</v>
      </c>
      <c r="M1213" s="133">
        <f>IFERROR(__xludf.DUMMYFUNCTION("""COMPUTED_VALUE"""),60.0)</f>
        <v>60</v>
      </c>
      <c r="N1213" s="152" t="str">
        <f>IFERROR(__xludf.DUMMYFUNCTION("""COMPUTED_VALUE"""),"Model 3 SR+")</f>
        <v>Model 3 SR+</v>
      </c>
      <c r="O1213" s="152" t="str">
        <f>IFERROR(__xludf.DUMMYFUNCTION("""COMPUTED_VALUE"""),"Pearl White Multi-Coat")</f>
        <v>Pearl White Multi-Coat</v>
      </c>
      <c r="P1213" s="153" t="str">
        <f>IFERROR(__xludf.DUMMYFUNCTION("""COMPUTED_VALUE"""),"18 inch Aero")</f>
        <v>18 inch Aero</v>
      </c>
      <c r="Q1213" s="152" t="str">
        <f>IFERROR(__xludf.DUMMYFUNCTION("""COMPUTED_VALUE"""),"Black seats")</f>
        <v>Black seats</v>
      </c>
      <c r="R1213" s="149" t="str">
        <f>IFERROR(__xludf.DUMMYFUNCTION("""COMPUTED_VALUE"""),"Autopilot")</f>
        <v>Autopilot</v>
      </c>
      <c r="S1213" s="149"/>
      <c r="T1213" s="145"/>
      <c r="U1213" s="145"/>
      <c r="V1213" s="145"/>
      <c r="W1213" s="136"/>
      <c r="X1213" s="137"/>
      <c r="Y1213" s="138"/>
      <c r="Z1213" s="138"/>
      <c r="AA1213" s="138" t="str">
        <f>IFERROR(__xludf.DUMMYFUNCTION("""COMPUTED_VALUE"""),"Poor")</f>
        <v>Poor</v>
      </c>
      <c r="AB1213" s="138" t="str">
        <f>IFERROR(__xludf.DUMMYFUNCTION("""COMPUTED_VALUE"""),"Fair")</f>
        <v>Fair</v>
      </c>
      <c r="AC1213" s="139"/>
      <c r="AD1213" s="139"/>
      <c r="AE1213" s="139"/>
      <c r="AF1213" s="140"/>
      <c r="AG1213" s="136"/>
      <c r="AH1213" s="157">
        <f>IFERROR(__xludf.DUMMYFUNCTION("""COMPUTED_VALUE"""),44083.49903560185)</f>
        <v>44083.49904</v>
      </c>
      <c r="AI1213" s="138"/>
      <c r="AJ1213" s="138"/>
      <c r="AK1213" s="138"/>
      <c r="AL1213" s="142"/>
    </row>
    <row r="1214" ht="20.25" customHeight="1">
      <c r="A1214" s="155" t="str">
        <f>IFERROR(__xludf.DUMMYFUNCTION("""COMPUTED_VALUE"""),"Stormyeyez")</f>
        <v>Stormyeyez</v>
      </c>
      <c r="B1214" s="149" t="str">
        <f>IFERROR(__xludf.DUMMYFUNCTION("""COMPUTED_VALUE"""),"Houston")</f>
        <v>Houston</v>
      </c>
      <c r="C1214" s="149" t="str">
        <f>IFERROR(__xludf.DUMMYFUNCTION("""COMPUTED_VALUE"""),"TX")</f>
        <v>TX</v>
      </c>
      <c r="D1214" s="149" t="str">
        <f>IFERROR(__xludf.DUMMYFUNCTION("""COMPUTED_VALUE"""),"USA")</f>
        <v>USA</v>
      </c>
      <c r="E1214" s="156">
        <f>IFERROR(__xludf.DUMMYFUNCTION("""COMPUTED_VALUE"""),44027.0)</f>
        <v>44027</v>
      </c>
      <c r="F1214" s="129">
        <f>IFERROR(__xludf.DUMMYFUNCTION("""COMPUTED_VALUE"""),44074.0)</f>
        <v>44074</v>
      </c>
      <c r="G1214" s="154"/>
      <c r="H1214" s="131">
        <f>IFERROR(__xludf.DUMMYFUNCTION("""COMPUTED_VALUE"""),787833.0)</f>
        <v>787833</v>
      </c>
      <c r="I1214" s="132" t="str">
        <f>IFERROR(__xludf.DUMMYFUNCTION("""COMPUTED_VALUE"""),"08/20")</f>
        <v>08/20</v>
      </c>
      <c r="J1214" s="129">
        <f>IFERROR(__xludf.DUMMYFUNCTION("""COMPUTED_VALUE"""),44091.0)</f>
        <v>44091</v>
      </c>
      <c r="K1214" s="133">
        <f>IFERROR(__xludf.DUMMYFUNCTION("""COMPUTED_VALUE"""),47.0)</f>
        <v>47</v>
      </c>
      <c r="L1214" s="133">
        <f>IFERROR(__xludf.DUMMYFUNCTION("""COMPUTED_VALUE"""),17.0)</f>
        <v>17</v>
      </c>
      <c r="M1214" s="133">
        <f>IFERROR(__xludf.DUMMYFUNCTION("""COMPUTED_VALUE"""),64.0)</f>
        <v>64</v>
      </c>
      <c r="N1214" s="152" t="str">
        <f>IFERROR(__xludf.DUMMYFUNCTION("""COMPUTED_VALUE"""),"Model 3 LR AWD")</f>
        <v>Model 3 LR AWD</v>
      </c>
      <c r="O1214" s="152" t="str">
        <f>IFERROR(__xludf.DUMMYFUNCTION("""COMPUTED_VALUE"""),"Pearl White Multi-Coat")</f>
        <v>Pearl White Multi-Coat</v>
      </c>
      <c r="P1214" s="153" t="str">
        <f>IFERROR(__xludf.DUMMYFUNCTION("""COMPUTED_VALUE"""),"18 inch Aero")</f>
        <v>18 inch Aero</v>
      </c>
      <c r="Q1214" s="152" t="str">
        <f>IFERROR(__xludf.DUMMYFUNCTION("""COMPUTED_VALUE"""),"White seats")</f>
        <v>White seats</v>
      </c>
      <c r="R1214" s="150" t="str">
        <f>IFERROR(__xludf.DUMMYFUNCTION("""COMPUTED_VALUE"""),"Autopilot")</f>
        <v>Autopilot</v>
      </c>
      <c r="S1214" s="150"/>
      <c r="T1214" s="136"/>
      <c r="U1214" s="136"/>
      <c r="V1214" s="136"/>
      <c r="W1214" s="136"/>
      <c r="X1214" s="137" t="str">
        <f>IFERROR(__xludf.DUMMYFUNCTION("""COMPUTED_VALUE"""),"Excellent")</f>
        <v>Excellent</v>
      </c>
      <c r="Y1214" s="138" t="str">
        <f>IFERROR(__xludf.DUMMYFUNCTION("""COMPUTED_VALUE"""),"Excellent")</f>
        <v>Excellent</v>
      </c>
      <c r="Z1214" s="138" t="str">
        <f>IFERROR(__xludf.DUMMYFUNCTION("""COMPUTED_VALUE"""),"Excellent")</f>
        <v>Excellent</v>
      </c>
      <c r="AA1214" s="138" t="str">
        <f>IFERROR(__xludf.DUMMYFUNCTION("""COMPUTED_VALUE"""),"Excellent")</f>
        <v>Excellent</v>
      </c>
      <c r="AB1214" s="138" t="str">
        <f>IFERROR(__xludf.DUMMYFUNCTION("""COMPUTED_VALUE"""),"Excellent")</f>
        <v>Excellent</v>
      </c>
      <c r="AC1214" s="139">
        <f>IFERROR(__xludf.DUMMYFUNCTION("""COMPUTED_VALUE"""),0.0)</f>
        <v>0</v>
      </c>
      <c r="AD1214" s="139">
        <f>IFERROR(__xludf.DUMMYFUNCTION("""COMPUTED_VALUE"""),1.0)</f>
        <v>1</v>
      </c>
      <c r="AE1214" s="139">
        <f>IFERROR(__xludf.DUMMYFUNCTION("""COMPUTED_VALUE"""),0.0)</f>
        <v>0</v>
      </c>
      <c r="AF1214" s="140"/>
      <c r="AG1214" s="136" t="str">
        <f>IFERROR(__xludf.DUMMYFUNCTION("""COMPUTED_VALUE"""),"Perfect condition; all buttons functioning; scheduled SC visit just to install my optional homelink accesory. Pending visit.")</f>
        <v>Perfect condition; all buttons functioning; scheduled SC visit just to install my optional homelink accesory. Pending visit.</v>
      </c>
      <c r="AH1214" s="157">
        <f>IFERROR(__xludf.DUMMYFUNCTION("""COMPUTED_VALUE"""),44102.44527224537)</f>
        <v>44102.44527</v>
      </c>
      <c r="AI1214" s="138"/>
      <c r="AJ1214" s="138"/>
      <c r="AK1214" s="138"/>
      <c r="AL1214" s="142"/>
    </row>
    <row r="1215" ht="20.25" customHeight="1">
      <c r="A1215" s="155" t="str">
        <f>IFERROR(__xludf.DUMMYFUNCTION("""COMPUTED_VALUE"""),"Terrykwms")</f>
        <v>Terrykwms</v>
      </c>
      <c r="B1215" s="149"/>
      <c r="C1215" s="149" t="str">
        <f>IFERROR(__xludf.DUMMYFUNCTION("""COMPUTED_VALUE"""),"TX")</f>
        <v>TX</v>
      </c>
      <c r="D1215" s="149" t="str">
        <f>IFERROR(__xludf.DUMMYFUNCTION("""COMPUTED_VALUE"""),"USA")</f>
        <v>USA</v>
      </c>
      <c r="E1215" s="156">
        <f>IFERROR(__xludf.DUMMYFUNCTION("""COMPUTED_VALUE"""),44027.0)</f>
        <v>44027</v>
      </c>
      <c r="F1215" s="129">
        <f>IFERROR(__xludf.DUMMYFUNCTION("""COMPUTED_VALUE"""),44053.0)</f>
        <v>44053</v>
      </c>
      <c r="G1215" s="154"/>
      <c r="H1215" s="131">
        <f>IFERROR(__xludf.DUMMYFUNCTION("""COMPUTED_VALUE"""),742052.0)</f>
        <v>742052</v>
      </c>
      <c r="I1215" s="144" t="str">
        <f>IFERROR(__xludf.DUMMYFUNCTION("""COMPUTED_VALUE"""),"06/20")</f>
        <v>06/20</v>
      </c>
      <c r="J1215" s="129">
        <f>IFERROR(__xludf.DUMMYFUNCTION("""COMPUTED_VALUE"""),44064.0)</f>
        <v>44064</v>
      </c>
      <c r="K1215" s="133">
        <f>IFERROR(__xludf.DUMMYFUNCTION("""COMPUTED_VALUE"""),26.0)</f>
        <v>26</v>
      </c>
      <c r="L1215" s="133">
        <f>IFERROR(__xludf.DUMMYFUNCTION("""COMPUTED_VALUE"""),11.0)</f>
        <v>11</v>
      </c>
      <c r="M1215" s="133">
        <f>IFERROR(__xludf.DUMMYFUNCTION("""COMPUTED_VALUE"""),37.0)</f>
        <v>37</v>
      </c>
      <c r="N1215" s="152" t="str">
        <f>IFERROR(__xludf.DUMMYFUNCTION("""COMPUTED_VALUE"""),"Model 3 Performance")</f>
        <v>Model 3 Performance</v>
      </c>
      <c r="O1215" s="152" t="str">
        <f>IFERROR(__xludf.DUMMYFUNCTION("""COMPUTED_VALUE"""),"Midnight Silver Metallic")</f>
        <v>Midnight Silver Metallic</v>
      </c>
      <c r="P1215" s="153" t="str">
        <f>IFERROR(__xludf.DUMMYFUNCTION("""COMPUTED_VALUE"""),"18 inch Aero")</f>
        <v>18 inch Aero</v>
      </c>
      <c r="Q1215" s="152" t="str">
        <f>IFERROR(__xludf.DUMMYFUNCTION("""COMPUTED_VALUE"""),"Black seats")</f>
        <v>Black seats</v>
      </c>
      <c r="R1215" s="149" t="str">
        <f>IFERROR(__xludf.DUMMYFUNCTION("""COMPUTED_VALUE"""),"Autopilot")</f>
        <v>Autopilot</v>
      </c>
      <c r="S1215" s="149"/>
      <c r="T1215" s="145"/>
      <c r="U1215" s="145"/>
      <c r="V1215" s="145"/>
      <c r="W1215" s="145"/>
      <c r="X1215" s="137" t="str">
        <f>IFERROR(__xludf.DUMMYFUNCTION("""COMPUTED_VALUE"""),"Excellent")</f>
        <v>Excellent</v>
      </c>
      <c r="Y1215" s="138" t="str">
        <f>IFERROR(__xludf.DUMMYFUNCTION("""COMPUTED_VALUE"""),"Excellent")</f>
        <v>Excellent</v>
      </c>
      <c r="Z1215" s="138" t="str">
        <f>IFERROR(__xludf.DUMMYFUNCTION("""COMPUTED_VALUE"""),"Excellent")</f>
        <v>Excellent</v>
      </c>
      <c r="AA1215" s="138" t="str">
        <f>IFERROR(__xludf.DUMMYFUNCTION("""COMPUTED_VALUE"""),"Excellent")</f>
        <v>Excellent</v>
      </c>
      <c r="AB1215" s="138" t="str">
        <f>IFERROR(__xludf.DUMMYFUNCTION("""COMPUTED_VALUE"""),"Excellent")</f>
        <v>Excellent</v>
      </c>
      <c r="AC1215" s="139"/>
      <c r="AD1215" s="139"/>
      <c r="AE1215" s="139"/>
      <c r="AF1215" s="140"/>
      <c r="AG1215" s="145" t="str">
        <f>IFERROR(__xludf.DUMMYFUNCTION("""COMPUTED_VALUE"""),"Had a LR AWD order in. Tesla SA called today 8/6 and asked if I'd be interested in a sleeper model. Called the credit union and now have it on the way!")</f>
        <v>Had a LR AWD order in. Tesla SA called today 8/6 and asked if I'd be interested in a sleeper model. Called the credit union and now have it on the way!</v>
      </c>
      <c r="AH1215" s="157">
        <f>IFERROR(__xludf.DUMMYFUNCTION("""COMPUTED_VALUE"""),44062.748391030094)</f>
        <v>44062.74839</v>
      </c>
      <c r="AI1215" s="138"/>
      <c r="AJ1215" s="138"/>
      <c r="AK1215" s="138"/>
      <c r="AL1215" s="142"/>
    </row>
    <row r="1216" ht="20.25" customHeight="1">
      <c r="A1216" s="155" t="str">
        <f>IFERROR(__xludf.DUMMYFUNCTION("""COMPUTED_VALUE"""),"mr_puddles")</f>
        <v>mr_puddles</v>
      </c>
      <c r="B1216" s="149" t="str">
        <f>IFERROR(__xludf.DUMMYFUNCTION("""COMPUTED_VALUE"""),"Stowe")</f>
        <v>Stowe</v>
      </c>
      <c r="C1216" s="149" t="str">
        <f>IFERROR(__xludf.DUMMYFUNCTION("""COMPUTED_VALUE"""),"VT")</f>
        <v>VT</v>
      </c>
      <c r="D1216" s="149" t="str">
        <f>IFERROR(__xludf.DUMMYFUNCTION("""COMPUTED_VALUE"""),"USA")</f>
        <v>USA</v>
      </c>
      <c r="E1216" s="156">
        <f>IFERROR(__xludf.DUMMYFUNCTION("""COMPUTED_VALUE"""),44025.0)</f>
        <v>44025</v>
      </c>
      <c r="F1216" s="129">
        <f>IFERROR(__xludf.DUMMYFUNCTION("""COMPUTED_VALUE"""),44029.0)</f>
        <v>44029</v>
      </c>
      <c r="G1216" s="154"/>
      <c r="H1216" s="131">
        <f>IFERROR(__xludf.DUMMYFUNCTION("""COMPUTED_VALUE"""),747029.0)</f>
        <v>747029</v>
      </c>
      <c r="I1216" s="132" t="str">
        <f>IFERROR(__xludf.DUMMYFUNCTION("""COMPUTED_VALUE"""),"06/20")</f>
        <v>06/20</v>
      </c>
      <c r="J1216" s="129">
        <f>IFERROR(__xludf.DUMMYFUNCTION("""COMPUTED_VALUE"""),44042.0)</f>
        <v>44042</v>
      </c>
      <c r="K1216" s="133">
        <f>IFERROR(__xludf.DUMMYFUNCTION("""COMPUTED_VALUE"""),4.0)</f>
        <v>4</v>
      </c>
      <c r="L1216" s="133">
        <f>IFERROR(__xludf.DUMMYFUNCTION("""COMPUTED_VALUE"""),13.0)</f>
        <v>13</v>
      </c>
      <c r="M1216" s="133">
        <f>IFERROR(__xludf.DUMMYFUNCTION("""COMPUTED_VALUE"""),17.0)</f>
        <v>17</v>
      </c>
      <c r="N1216" s="152" t="str">
        <f>IFERROR(__xludf.DUMMYFUNCTION("""COMPUTED_VALUE"""),"Model 3 SR+")</f>
        <v>Model 3 SR+</v>
      </c>
      <c r="O1216" s="152" t="str">
        <f>IFERROR(__xludf.DUMMYFUNCTION("""COMPUTED_VALUE"""),"Pearl White Multi-Coat")</f>
        <v>Pearl White Multi-Coat</v>
      </c>
      <c r="P1216" s="153" t="str">
        <f>IFERROR(__xludf.DUMMYFUNCTION("""COMPUTED_VALUE"""),"18 inch Aero")</f>
        <v>18 inch Aero</v>
      </c>
      <c r="Q1216" s="152" t="str">
        <f>IFERROR(__xludf.DUMMYFUNCTION("""COMPUTED_VALUE"""),"Black seats")</f>
        <v>Black seats</v>
      </c>
      <c r="R1216" s="150" t="str">
        <f>IFERROR(__xludf.DUMMYFUNCTION("""COMPUTED_VALUE"""),"Autopilot")</f>
        <v>Autopilot</v>
      </c>
      <c r="S1216" s="150"/>
      <c r="T1216" s="136"/>
      <c r="U1216" s="136"/>
      <c r="V1216" s="136"/>
      <c r="W1216" s="136"/>
      <c r="X1216" s="137" t="str">
        <f>IFERROR(__xludf.DUMMYFUNCTION("""COMPUTED_VALUE"""),"Excellent")</f>
        <v>Excellent</v>
      </c>
      <c r="Y1216" s="138" t="str">
        <f>IFERROR(__xludf.DUMMYFUNCTION("""COMPUTED_VALUE"""),"Excellent")</f>
        <v>Excellent</v>
      </c>
      <c r="Z1216" s="138" t="str">
        <f>IFERROR(__xludf.DUMMYFUNCTION("""COMPUTED_VALUE"""),"Very Good")</f>
        <v>Very Good</v>
      </c>
      <c r="AA1216" s="138" t="str">
        <f>IFERROR(__xludf.DUMMYFUNCTION("""COMPUTED_VALUE"""),"Good")</f>
        <v>Good</v>
      </c>
      <c r="AB1216" s="138" t="str">
        <f>IFERROR(__xludf.DUMMYFUNCTION("""COMPUTED_VALUE"""),"Very Good")</f>
        <v>Very Good</v>
      </c>
      <c r="AC1216" s="139">
        <f>IFERROR(__xludf.DUMMYFUNCTION("""COMPUTED_VALUE"""),0.0)</f>
        <v>0</v>
      </c>
      <c r="AD1216" s="139">
        <f>IFERROR(__xludf.DUMMYFUNCTION("""COMPUTED_VALUE"""),0.0)</f>
        <v>0</v>
      </c>
      <c r="AE1216" s="139">
        <f>IFERROR(__xludf.DUMMYFUNCTION("""COMPUTED_VALUE"""),0.0)</f>
        <v>0</v>
      </c>
      <c r="AF1216" s="140"/>
      <c r="AG1216" s="136"/>
      <c r="AH1216" s="157">
        <f>IFERROR(__xludf.DUMMYFUNCTION("""COMPUTED_VALUE"""),44059.18522431713)</f>
        <v>44059.18522</v>
      </c>
      <c r="AI1216" s="138"/>
      <c r="AJ1216" s="138"/>
      <c r="AK1216" s="138"/>
      <c r="AL1216" s="142"/>
    </row>
    <row r="1217" ht="20.25" customHeight="1">
      <c r="A1217" s="155" t="str">
        <f>IFERROR(__xludf.DUMMYFUNCTION("""COMPUTED_VALUE"""),"Daryll")</f>
        <v>Daryll</v>
      </c>
      <c r="B1217" s="149" t="str">
        <f>IFERROR(__xludf.DUMMYFUNCTION("""COMPUTED_VALUE"""),"SF Bay Area")</f>
        <v>SF Bay Area</v>
      </c>
      <c r="C1217" s="149" t="str">
        <f>IFERROR(__xludf.DUMMYFUNCTION("""COMPUTED_VALUE"""),"CA")</f>
        <v>CA</v>
      </c>
      <c r="D1217" s="149" t="str">
        <f>IFERROR(__xludf.DUMMYFUNCTION("""COMPUTED_VALUE"""),"USA")</f>
        <v>USA</v>
      </c>
      <c r="E1217" s="156">
        <f>IFERROR(__xludf.DUMMYFUNCTION("""COMPUTED_VALUE"""),44023.0)</f>
        <v>44023</v>
      </c>
      <c r="F1217" s="129">
        <f>IFERROR(__xludf.DUMMYFUNCTION("""COMPUTED_VALUE"""),44046.0)</f>
        <v>44046</v>
      </c>
      <c r="G1217" s="154"/>
      <c r="H1217" s="131">
        <f>IFERROR(__xludf.DUMMYFUNCTION("""COMPUTED_VALUE"""),769755.0)</f>
        <v>769755</v>
      </c>
      <c r="I1217" s="132" t="str">
        <f>IFERROR(__xludf.DUMMYFUNCTION("""COMPUTED_VALUE"""),"08/20")</f>
        <v>08/20</v>
      </c>
      <c r="J1217" s="129">
        <f>IFERROR(__xludf.DUMMYFUNCTION("""COMPUTED_VALUE"""),44048.0)</f>
        <v>44048</v>
      </c>
      <c r="K1217" s="133">
        <f>IFERROR(__xludf.DUMMYFUNCTION("""COMPUTED_VALUE"""),23.0)</f>
        <v>23</v>
      </c>
      <c r="L1217" s="133">
        <f>IFERROR(__xludf.DUMMYFUNCTION("""COMPUTED_VALUE"""),2.0)</f>
        <v>2</v>
      </c>
      <c r="M1217" s="133">
        <f>IFERROR(__xludf.DUMMYFUNCTION("""COMPUTED_VALUE"""),25.0)</f>
        <v>25</v>
      </c>
      <c r="N1217" s="152" t="str">
        <f>IFERROR(__xludf.DUMMYFUNCTION("""COMPUTED_VALUE"""),"Model 3 LR AWD")</f>
        <v>Model 3 LR AWD</v>
      </c>
      <c r="O1217" s="152" t="str">
        <f>IFERROR(__xludf.DUMMYFUNCTION("""COMPUTED_VALUE"""),"Pearl White Multi-Coat")</f>
        <v>Pearl White Multi-Coat</v>
      </c>
      <c r="P1217" s="153" t="str">
        <f>IFERROR(__xludf.DUMMYFUNCTION("""COMPUTED_VALUE"""),"19 inch Sport")</f>
        <v>19 inch Sport</v>
      </c>
      <c r="Q1217" s="152" t="str">
        <f>IFERROR(__xludf.DUMMYFUNCTION("""COMPUTED_VALUE"""),"White seats")</f>
        <v>White seats</v>
      </c>
      <c r="R1217" s="150" t="str">
        <f>IFERROR(__xludf.DUMMYFUNCTION("""COMPUTED_VALUE"""),"Autopilot")</f>
        <v>Autopilot</v>
      </c>
      <c r="S1217" s="150"/>
      <c r="T1217" s="136"/>
      <c r="U1217" s="136"/>
      <c r="V1217" s="136"/>
      <c r="W1217" s="136"/>
      <c r="X1217" s="137" t="str">
        <f>IFERROR(__xludf.DUMMYFUNCTION("""COMPUTED_VALUE"""),"Excellent")</f>
        <v>Excellent</v>
      </c>
      <c r="Y1217" s="138" t="str">
        <f>IFERROR(__xludf.DUMMYFUNCTION("""COMPUTED_VALUE"""),"Excellent")</f>
        <v>Excellent</v>
      </c>
      <c r="Z1217" s="138" t="str">
        <f>IFERROR(__xludf.DUMMYFUNCTION("""COMPUTED_VALUE"""),"Excellent")</f>
        <v>Excellent</v>
      </c>
      <c r="AA1217" s="138" t="str">
        <f>IFERROR(__xludf.DUMMYFUNCTION("""COMPUTED_VALUE"""),"Good")</f>
        <v>Good</v>
      </c>
      <c r="AB1217" s="138" t="str">
        <f>IFERROR(__xludf.DUMMYFUNCTION("""COMPUTED_VALUE"""),"Good")</f>
        <v>Good</v>
      </c>
      <c r="AC1217" s="139">
        <f>IFERROR(__xludf.DUMMYFUNCTION("""COMPUTED_VALUE"""),2.0)</f>
        <v>2</v>
      </c>
      <c r="AD1217" s="139">
        <f>IFERROR(__xludf.DUMMYFUNCTION("""COMPUTED_VALUE"""),1.0)</f>
        <v>1</v>
      </c>
      <c r="AE1217" s="139">
        <f>IFERROR(__xludf.DUMMYFUNCTION("""COMPUTED_VALUE"""),0.0)</f>
        <v>0</v>
      </c>
      <c r="AF1217" s="140"/>
      <c r="AG1217" s="136"/>
      <c r="AH1217" s="157">
        <f>IFERROR(__xludf.DUMMYFUNCTION("""COMPUTED_VALUE"""),44073.82802509259)</f>
        <v>44073.82803</v>
      </c>
      <c r="AI1217" s="138"/>
      <c r="AJ1217" s="138"/>
      <c r="AK1217" s="138"/>
      <c r="AL1217" s="142"/>
    </row>
    <row r="1218" ht="20.25" customHeight="1">
      <c r="A1218" s="155" t="str">
        <f>IFERROR(__xludf.DUMMYFUNCTION("""COMPUTED_VALUE"""),"RichG")</f>
        <v>RichG</v>
      </c>
      <c r="B1218" s="149" t="str">
        <f>IFERROR(__xludf.DUMMYFUNCTION("""COMPUTED_VALUE"""),"Hollister")</f>
        <v>Hollister</v>
      </c>
      <c r="C1218" s="149" t="str">
        <f>IFERROR(__xludf.DUMMYFUNCTION("""COMPUTED_VALUE"""),"CA")</f>
        <v>CA</v>
      </c>
      <c r="D1218" s="149" t="str">
        <f>IFERROR(__xludf.DUMMYFUNCTION("""COMPUTED_VALUE"""),"USA")</f>
        <v>USA</v>
      </c>
      <c r="E1218" s="156">
        <f>IFERROR(__xludf.DUMMYFUNCTION("""COMPUTED_VALUE"""),44023.0)</f>
        <v>44023</v>
      </c>
      <c r="F1218" s="129">
        <f>IFERROR(__xludf.DUMMYFUNCTION("""COMPUTED_VALUE"""),44091.0)</f>
        <v>44091</v>
      </c>
      <c r="G1218" s="154"/>
      <c r="H1218" s="131">
        <f>IFERROR(__xludf.DUMMYFUNCTION("""COMPUTED_VALUE"""),798979.0)</f>
        <v>798979</v>
      </c>
      <c r="I1218" s="132"/>
      <c r="J1218" s="129">
        <f>IFERROR(__xludf.DUMMYFUNCTION("""COMPUTED_VALUE"""),44093.0)</f>
        <v>44093</v>
      </c>
      <c r="K1218" s="133">
        <f>IFERROR(__xludf.DUMMYFUNCTION("""COMPUTED_VALUE"""),68.0)</f>
        <v>68</v>
      </c>
      <c r="L1218" s="133">
        <f>IFERROR(__xludf.DUMMYFUNCTION("""COMPUTED_VALUE"""),2.0)</f>
        <v>2</v>
      </c>
      <c r="M1218" s="133">
        <f>IFERROR(__xludf.DUMMYFUNCTION("""COMPUTED_VALUE"""),70.0)</f>
        <v>70</v>
      </c>
      <c r="N1218" s="152" t="str">
        <f>IFERROR(__xludf.DUMMYFUNCTION("""COMPUTED_VALUE"""),"Model 3 SR+")</f>
        <v>Model 3 SR+</v>
      </c>
      <c r="O1218" s="152" t="str">
        <f>IFERROR(__xludf.DUMMYFUNCTION("""COMPUTED_VALUE"""),"Midnight Silver Metallic")</f>
        <v>Midnight Silver Metallic</v>
      </c>
      <c r="P1218" s="153" t="str">
        <f>IFERROR(__xludf.DUMMYFUNCTION("""COMPUTED_VALUE"""),"18 inch Aero")</f>
        <v>18 inch Aero</v>
      </c>
      <c r="Q1218" s="152" t="str">
        <f>IFERROR(__xludf.DUMMYFUNCTION("""COMPUTED_VALUE"""),"Black seats")</f>
        <v>Black seats</v>
      </c>
      <c r="R1218" s="150" t="str">
        <f>IFERROR(__xludf.DUMMYFUNCTION("""COMPUTED_VALUE"""),"Autopilot")</f>
        <v>Autopilot</v>
      </c>
      <c r="S1218" s="150"/>
      <c r="T1218" s="136"/>
      <c r="U1218" s="136"/>
      <c r="V1218" s="136"/>
      <c r="W1218" s="136"/>
      <c r="X1218" s="137" t="str">
        <f>IFERROR(__xludf.DUMMYFUNCTION("""COMPUTED_VALUE"""),"Excellent")</f>
        <v>Excellent</v>
      </c>
      <c r="Y1218" s="138" t="str">
        <f>IFERROR(__xludf.DUMMYFUNCTION("""COMPUTED_VALUE"""),"Excellent")</f>
        <v>Excellent</v>
      </c>
      <c r="Z1218" s="138" t="str">
        <f>IFERROR(__xludf.DUMMYFUNCTION("""COMPUTED_VALUE"""),"Good")</f>
        <v>Good</v>
      </c>
      <c r="AA1218" s="138" t="str">
        <f>IFERROR(__xludf.DUMMYFUNCTION("""COMPUTED_VALUE"""),"Fair")</f>
        <v>Fair</v>
      </c>
      <c r="AB1218" s="138" t="str">
        <f>IFERROR(__xludf.DUMMYFUNCTION("""COMPUTED_VALUE"""),"Poor")</f>
        <v>Poor</v>
      </c>
      <c r="AC1218" s="139">
        <f>IFERROR(__xludf.DUMMYFUNCTION("""COMPUTED_VALUE"""),2.0)</f>
        <v>2</v>
      </c>
      <c r="AD1218" s="139">
        <f>IFERROR(__xludf.DUMMYFUNCTION("""COMPUTED_VALUE"""),1.0)</f>
        <v>1</v>
      </c>
      <c r="AE1218" s="139">
        <f>IFERROR(__xludf.DUMMYFUNCTION("""COMPUTED_VALUE"""),0.0)</f>
        <v>0</v>
      </c>
      <c r="AF1218" s="140"/>
      <c r="AG1218" s="136" t="str">
        <f>IFERROR(__xludf.DUMMYFUNCTION("""COMPUTED_VALUE"""),"scratches on front bumper.  Was told on the phone by delivery specialists both my wife and I needed to be present to pick up, we had to show drivers lic and sign.  Got to delivery center, nobody there, docs on car seat, needed to be signed and dropped off"&amp;" at fedex within 24 hours.  Not a problem but the person who called me didn't know the delivery process.")</f>
        <v>scratches on front bumper.  Was told on the phone by delivery specialists both my wife and I needed to be present to pick up, we had to show drivers lic and sign.  Got to delivery center, nobody there, docs on car seat, needed to be signed and dropped off at fedex within 24 hours.  Not a problem but the person who called me didn't know the delivery process.</v>
      </c>
      <c r="AH1218" s="157">
        <f>IFERROR(__xludf.DUMMYFUNCTION("""COMPUTED_VALUE"""),44097.73228165509)</f>
        <v>44097.73228</v>
      </c>
      <c r="AI1218" s="138"/>
      <c r="AJ1218" s="138"/>
      <c r="AK1218" s="138"/>
      <c r="AL1218" s="142"/>
    </row>
    <row r="1219" ht="20.25" customHeight="1">
      <c r="A1219" s="155" t="str">
        <f>IFERROR(__xludf.DUMMYFUNCTION("""COMPUTED_VALUE"""),"Sassanach")</f>
        <v>Sassanach</v>
      </c>
      <c r="B1219" s="149" t="str">
        <f>IFERROR(__xludf.DUMMYFUNCTION("""COMPUTED_VALUE"""),"Milwaukee")</f>
        <v>Milwaukee</v>
      </c>
      <c r="C1219" s="149" t="str">
        <f>IFERROR(__xludf.DUMMYFUNCTION("""COMPUTED_VALUE"""),"WI")</f>
        <v>WI</v>
      </c>
      <c r="D1219" s="149" t="str">
        <f>IFERROR(__xludf.DUMMYFUNCTION("""COMPUTED_VALUE"""),"USA")</f>
        <v>USA</v>
      </c>
      <c r="E1219" s="156">
        <f>IFERROR(__xludf.DUMMYFUNCTION("""COMPUTED_VALUE"""),44023.0)</f>
        <v>44023</v>
      </c>
      <c r="F1219" s="129">
        <f>IFERROR(__xludf.DUMMYFUNCTION("""COMPUTED_VALUE"""),44048.0)</f>
        <v>44048</v>
      </c>
      <c r="G1219" s="154"/>
      <c r="H1219" s="131">
        <f>IFERROR(__xludf.DUMMYFUNCTION("""COMPUTED_VALUE"""),770255.0)</f>
        <v>770255</v>
      </c>
      <c r="I1219" s="144"/>
      <c r="J1219" s="129">
        <f>IFERROR(__xludf.DUMMYFUNCTION("""COMPUTED_VALUE"""),44058.0)</f>
        <v>44058</v>
      </c>
      <c r="K1219" s="133">
        <f>IFERROR(__xludf.DUMMYFUNCTION("""COMPUTED_VALUE"""),25.0)</f>
        <v>25</v>
      </c>
      <c r="L1219" s="133">
        <f>IFERROR(__xludf.DUMMYFUNCTION("""COMPUTED_VALUE"""),10.0)</f>
        <v>10</v>
      </c>
      <c r="M1219" s="133">
        <f>IFERROR(__xludf.DUMMYFUNCTION("""COMPUTED_VALUE"""),35.0)</f>
        <v>35</v>
      </c>
      <c r="N1219" s="152" t="str">
        <f>IFERROR(__xludf.DUMMYFUNCTION("""COMPUTED_VALUE"""),"Model 3 LR AWD")</f>
        <v>Model 3 LR AWD</v>
      </c>
      <c r="O1219" s="152" t="str">
        <f>IFERROR(__xludf.DUMMYFUNCTION("""COMPUTED_VALUE"""),"Midnight Silver Metallic")</f>
        <v>Midnight Silver Metallic</v>
      </c>
      <c r="P1219" s="153" t="str">
        <f>IFERROR(__xludf.DUMMYFUNCTION("""COMPUTED_VALUE"""),"18 inch Aero")</f>
        <v>18 inch Aero</v>
      </c>
      <c r="Q1219" s="152" t="str">
        <f>IFERROR(__xludf.DUMMYFUNCTION("""COMPUTED_VALUE"""),"Black seats")</f>
        <v>Black seats</v>
      </c>
      <c r="R1219" s="149" t="str">
        <f>IFERROR(__xludf.DUMMYFUNCTION("""COMPUTED_VALUE"""),"Autopilot")</f>
        <v>Autopilot</v>
      </c>
      <c r="S1219" s="149"/>
      <c r="T1219" s="145"/>
      <c r="U1219" s="145"/>
      <c r="V1219" s="145"/>
      <c r="W1219" s="145"/>
      <c r="X1219" s="137" t="str">
        <f>IFERROR(__xludf.DUMMYFUNCTION("""COMPUTED_VALUE"""),"Very Good")</f>
        <v>Very Good</v>
      </c>
      <c r="Y1219" s="138" t="str">
        <f>IFERROR(__xludf.DUMMYFUNCTION("""COMPUTED_VALUE"""),"Excellent")</f>
        <v>Excellent</v>
      </c>
      <c r="Z1219" s="138" t="str">
        <f>IFERROR(__xludf.DUMMYFUNCTION("""COMPUTED_VALUE"""),"Excellent")</f>
        <v>Excellent</v>
      </c>
      <c r="AA1219" s="138" t="str">
        <f>IFERROR(__xludf.DUMMYFUNCTION("""COMPUTED_VALUE"""),"Very Good")</f>
        <v>Very Good</v>
      </c>
      <c r="AB1219" s="138" t="str">
        <f>IFERROR(__xludf.DUMMYFUNCTION("""COMPUTED_VALUE"""),"Very Good")</f>
        <v>Very Good</v>
      </c>
      <c r="AC1219" s="139">
        <f>IFERROR(__xludf.DUMMYFUNCTION("""COMPUTED_VALUE"""),1.0)</f>
        <v>1</v>
      </c>
      <c r="AD1219" s="139">
        <f>IFERROR(__xludf.DUMMYFUNCTION("""COMPUTED_VALUE"""),0.0)</f>
        <v>0</v>
      </c>
      <c r="AE1219" s="139">
        <f>IFERROR(__xludf.DUMMYFUNCTION("""COMPUTED_VALUE"""),0.0)</f>
        <v>0</v>
      </c>
      <c r="AF1219" s="140"/>
      <c r="AG1219" s="145"/>
      <c r="AH1219" s="157">
        <f>IFERROR(__xludf.DUMMYFUNCTION("""COMPUTED_VALUE"""),44060.64328131945)</f>
        <v>44060.64328</v>
      </c>
      <c r="AI1219" s="138"/>
      <c r="AJ1219" s="138"/>
      <c r="AK1219" s="138"/>
      <c r="AL1219" s="142"/>
    </row>
    <row r="1220" ht="20.25" customHeight="1">
      <c r="A1220" s="155" t="str">
        <f>IFERROR(__xludf.DUMMYFUNCTION("""COMPUTED_VALUE"""),"arn555")</f>
        <v>arn555</v>
      </c>
      <c r="B1220" s="159" t="str">
        <f>IFERROR(__xludf.DUMMYFUNCTION("""COMPUTED_VALUE"""),"Woodbridge")</f>
        <v>Woodbridge</v>
      </c>
      <c r="C1220" s="159" t="str">
        <f>IFERROR(__xludf.DUMMYFUNCTION("""COMPUTED_VALUE"""),"VA")</f>
        <v>VA</v>
      </c>
      <c r="D1220" s="159" t="str">
        <f>IFERROR(__xludf.DUMMYFUNCTION("""COMPUTED_VALUE"""),"USA")</f>
        <v>USA</v>
      </c>
      <c r="E1220" s="156">
        <f>IFERROR(__xludf.DUMMYFUNCTION("""COMPUTED_VALUE"""),44022.0)</f>
        <v>44022</v>
      </c>
      <c r="F1220" s="129">
        <f>IFERROR(__xludf.DUMMYFUNCTION("""COMPUTED_VALUE"""),44076.0)</f>
        <v>44076</v>
      </c>
      <c r="G1220" s="154"/>
      <c r="H1220" s="131">
        <f>IFERROR(__xludf.DUMMYFUNCTION("""COMPUTED_VALUE"""),784229.0)</f>
        <v>784229</v>
      </c>
      <c r="I1220" s="160" t="str">
        <f>IFERROR(__xludf.DUMMYFUNCTION("""COMPUTED_VALUE"""),"08/20")</f>
        <v>08/20</v>
      </c>
      <c r="J1220" s="129">
        <f>IFERROR(__xludf.DUMMYFUNCTION("""COMPUTED_VALUE"""),44087.0)</f>
        <v>44087</v>
      </c>
      <c r="K1220" s="133">
        <f>IFERROR(__xludf.DUMMYFUNCTION("""COMPUTED_VALUE"""),54.0)</f>
        <v>54</v>
      </c>
      <c r="L1220" s="133">
        <f>IFERROR(__xludf.DUMMYFUNCTION("""COMPUTED_VALUE"""),11.0)</f>
        <v>11</v>
      </c>
      <c r="M1220" s="133">
        <f>IFERROR(__xludf.DUMMYFUNCTION("""COMPUTED_VALUE"""),65.0)</f>
        <v>65</v>
      </c>
      <c r="N1220" s="152" t="str">
        <f>IFERROR(__xludf.DUMMYFUNCTION("""COMPUTED_VALUE"""),"Model 3 Performance")</f>
        <v>Model 3 Performance</v>
      </c>
      <c r="O1220" s="152" t="str">
        <f>IFERROR(__xludf.DUMMYFUNCTION("""COMPUTED_VALUE"""),"Pearl White Multi-Coat")</f>
        <v>Pearl White Multi-Coat</v>
      </c>
      <c r="P1220" s="153" t="str">
        <f>IFERROR(__xludf.DUMMYFUNCTION("""COMPUTED_VALUE"""),"20 inch Sport")</f>
        <v>20 inch Sport</v>
      </c>
      <c r="Q1220" s="152" t="str">
        <f>IFERROR(__xludf.DUMMYFUNCTION("""COMPUTED_VALUE"""),"White seats")</f>
        <v>White seats</v>
      </c>
      <c r="R1220" s="159" t="str">
        <f>IFERROR(__xludf.DUMMYFUNCTION("""COMPUTED_VALUE"""),"Full Self-Driving")</f>
        <v>Full Self-Driving</v>
      </c>
      <c r="S1220" s="159"/>
      <c r="T1220" s="161"/>
      <c r="U1220" s="161"/>
      <c r="V1220" s="161"/>
      <c r="W1220" s="161"/>
      <c r="X1220" s="137" t="str">
        <f>IFERROR(__xludf.DUMMYFUNCTION("""COMPUTED_VALUE"""),"Very Good")</f>
        <v>Very Good</v>
      </c>
      <c r="Y1220" s="138" t="str">
        <f>IFERROR(__xludf.DUMMYFUNCTION("""COMPUTED_VALUE"""),"Excellent")</f>
        <v>Excellent</v>
      </c>
      <c r="Z1220" s="138" t="str">
        <f>IFERROR(__xludf.DUMMYFUNCTION("""COMPUTED_VALUE"""),"Very Good")</f>
        <v>Very Good</v>
      </c>
      <c r="AA1220" s="138" t="str">
        <f>IFERROR(__xludf.DUMMYFUNCTION("""COMPUTED_VALUE"""),"Excellent")</f>
        <v>Excellent</v>
      </c>
      <c r="AB1220" s="138" t="str">
        <f>IFERROR(__xludf.DUMMYFUNCTION("""COMPUTED_VALUE"""),"Very Good")</f>
        <v>Very Good</v>
      </c>
      <c r="AC1220" s="139">
        <f>IFERROR(__xludf.DUMMYFUNCTION("""COMPUTED_VALUE"""),2.0)</f>
        <v>2</v>
      </c>
      <c r="AD1220" s="139"/>
      <c r="AE1220" s="139"/>
      <c r="AF1220" s="140"/>
      <c r="AG1220" s="161" t="str">
        <f>IFERROR(__xludf.DUMMYFUNCTION("""COMPUTED_VALUE"""),"Received VIN through Lending Agreement")</f>
        <v>Received VIN through Lending Agreement</v>
      </c>
      <c r="AH1220" s="157">
        <f>IFERROR(__xludf.DUMMYFUNCTION("""COMPUTED_VALUE"""),44096.44782166667)</f>
        <v>44096.44782</v>
      </c>
      <c r="AI1220" s="138"/>
      <c r="AJ1220" s="138"/>
      <c r="AK1220" s="138"/>
      <c r="AL1220" s="142"/>
    </row>
    <row r="1221" ht="20.25" customHeight="1">
      <c r="A1221" s="155" t="str">
        <f>IFERROR(__xludf.DUMMYFUNCTION("""COMPUTED_VALUE"""),"ShaolinJ")</f>
        <v>ShaolinJ</v>
      </c>
      <c r="B1221" s="150" t="str">
        <f>IFERROR(__xludf.DUMMYFUNCTION("""COMPUTED_VALUE"""),"Las Vegas")</f>
        <v>Las Vegas</v>
      </c>
      <c r="C1221" s="149" t="str">
        <f>IFERROR(__xludf.DUMMYFUNCTION("""COMPUTED_VALUE"""),"NV")</f>
        <v>NV</v>
      </c>
      <c r="D1221" s="149" t="str">
        <f>IFERROR(__xludf.DUMMYFUNCTION("""COMPUTED_VALUE"""),"USA")</f>
        <v>USA</v>
      </c>
      <c r="E1221" s="156">
        <f>IFERROR(__xludf.DUMMYFUNCTION("""COMPUTED_VALUE"""),44019.0)</f>
        <v>44019</v>
      </c>
      <c r="F1221" s="129">
        <f>IFERROR(__xludf.DUMMYFUNCTION("""COMPUTED_VALUE"""),44086.0)</f>
        <v>44086</v>
      </c>
      <c r="G1221" s="154"/>
      <c r="H1221" s="131">
        <f>IFERROR(__xludf.DUMMYFUNCTION("""COMPUTED_VALUE"""),795855.0)</f>
        <v>795855</v>
      </c>
      <c r="I1221" s="132" t="str">
        <f>IFERROR(__xludf.DUMMYFUNCTION("""COMPUTED_VALUE"""),"09/20")</f>
        <v>09/20</v>
      </c>
      <c r="J1221" s="129">
        <f>IFERROR(__xludf.DUMMYFUNCTION("""COMPUTED_VALUE"""),44090.0)</f>
        <v>44090</v>
      </c>
      <c r="K1221" s="133">
        <f>IFERROR(__xludf.DUMMYFUNCTION("""COMPUTED_VALUE"""),67.0)</f>
        <v>67</v>
      </c>
      <c r="L1221" s="133">
        <f>IFERROR(__xludf.DUMMYFUNCTION("""COMPUTED_VALUE"""),4.0)</f>
        <v>4</v>
      </c>
      <c r="M1221" s="133">
        <f>IFERROR(__xludf.DUMMYFUNCTION("""COMPUTED_VALUE"""),71.0)</f>
        <v>71</v>
      </c>
      <c r="N1221" s="152" t="str">
        <f>IFERROR(__xludf.DUMMYFUNCTION("""COMPUTED_VALUE"""),"Model 3 LR AWD")</f>
        <v>Model 3 LR AWD</v>
      </c>
      <c r="O1221" s="152" t="str">
        <f>IFERROR(__xludf.DUMMYFUNCTION("""COMPUTED_VALUE"""),"Pearl White Multi-Coat")</f>
        <v>Pearl White Multi-Coat</v>
      </c>
      <c r="P1221" s="153" t="str">
        <f>IFERROR(__xludf.DUMMYFUNCTION("""COMPUTED_VALUE"""),"18 inch Aero")</f>
        <v>18 inch Aero</v>
      </c>
      <c r="Q1221" s="152" t="str">
        <f>IFERROR(__xludf.DUMMYFUNCTION("""COMPUTED_VALUE"""),"White seats")</f>
        <v>White seats</v>
      </c>
      <c r="R1221" s="150" t="str">
        <f>IFERROR(__xludf.DUMMYFUNCTION("""COMPUTED_VALUE"""),"Autopilot")</f>
        <v>Autopilot</v>
      </c>
      <c r="S1221" s="150"/>
      <c r="T1221" s="136"/>
      <c r="U1221" s="136"/>
      <c r="V1221" s="136"/>
      <c r="W1221" s="136"/>
      <c r="X1221" s="137" t="str">
        <f>IFERROR(__xludf.DUMMYFUNCTION("""COMPUTED_VALUE"""),"Excellent")</f>
        <v>Excellent</v>
      </c>
      <c r="Y1221" s="138" t="str">
        <f>IFERROR(__xludf.DUMMYFUNCTION("""COMPUTED_VALUE"""),"Excellent")</f>
        <v>Excellent</v>
      </c>
      <c r="Z1221" s="138" t="str">
        <f>IFERROR(__xludf.DUMMYFUNCTION("""COMPUTED_VALUE"""),"Excellent")</f>
        <v>Excellent</v>
      </c>
      <c r="AA1221" s="138" t="str">
        <f>IFERROR(__xludf.DUMMYFUNCTION("""COMPUTED_VALUE"""),"Very Good")</f>
        <v>Very Good</v>
      </c>
      <c r="AB1221" s="138" t="str">
        <f>IFERROR(__xludf.DUMMYFUNCTION("""COMPUTED_VALUE"""),"Excellent")</f>
        <v>Excellent</v>
      </c>
      <c r="AC1221" s="139"/>
      <c r="AD1221" s="139"/>
      <c r="AE1221" s="139"/>
      <c r="AF1221" s="140"/>
      <c r="AG1221" s="136"/>
      <c r="AH1221" s="157">
        <f>IFERROR(__xludf.DUMMYFUNCTION("""COMPUTED_VALUE"""),44091.48698497686)</f>
        <v>44091.48698</v>
      </c>
      <c r="AI1221" s="138"/>
      <c r="AJ1221" s="138"/>
      <c r="AK1221" s="138"/>
      <c r="AL1221" s="142"/>
    </row>
    <row r="1222" ht="20.25" customHeight="1">
      <c r="A1222" s="155" t="str">
        <f>IFERROR(__xludf.DUMMYFUNCTION("""COMPUTED_VALUE"""),"jdr42")</f>
        <v>jdr42</v>
      </c>
      <c r="B1222" s="149" t="str">
        <f>IFERROR(__xludf.DUMMYFUNCTION("""COMPUTED_VALUE"""),"Ottawa")</f>
        <v>Ottawa</v>
      </c>
      <c r="C1222" s="149" t="str">
        <f>IFERROR(__xludf.DUMMYFUNCTION("""COMPUTED_VALUE"""),"ON")</f>
        <v>ON</v>
      </c>
      <c r="D1222" s="149" t="str">
        <f>IFERROR(__xludf.DUMMYFUNCTION("""COMPUTED_VALUE"""),"Canada")</f>
        <v>Canada</v>
      </c>
      <c r="E1222" s="156">
        <f>IFERROR(__xludf.DUMMYFUNCTION("""COMPUTED_VALUE"""),44018.0)</f>
        <v>44018</v>
      </c>
      <c r="F1222" s="129">
        <f>IFERROR(__xludf.DUMMYFUNCTION("""COMPUTED_VALUE"""),44034.0)</f>
        <v>44034</v>
      </c>
      <c r="G1222" s="154"/>
      <c r="H1222" s="131">
        <f>IFERROR(__xludf.DUMMYFUNCTION("""COMPUTED_VALUE"""),703255.0)</f>
        <v>703255</v>
      </c>
      <c r="I1222" s="144" t="str">
        <f>IFERROR(__xludf.DUMMYFUNCTION("""COMPUTED_VALUE"""),"02/20")</f>
        <v>02/20</v>
      </c>
      <c r="J1222" s="129">
        <f>IFERROR(__xludf.DUMMYFUNCTION("""COMPUTED_VALUE"""),44043.0)</f>
        <v>44043</v>
      </c>
      <c r="K1222" s="133">
        <f>IFERROR(__xludf.DUMMYFUNCTION("""COMPUTED_VALUE"""),16.0)</f>
        <v>16</v>
      </c>
      <c r="L1222" s="133">
        <f>IFERROR(__xludf.DUMMYFUNCTION("""COMPUTED_VALUE"""),9.0)</f>
        <v>9</v>
      </c>
      <c r="M1222" s="133">
        <f>IFERROR(__xludf.DUMMYFUNCTION("""COMPUTED_VALUE"""),25.0)</f>
        <v>25</v>
      </c>
      <c r="N1222" s="152" t="str">
        <f>IFERROR(__xludf.DUMMYFUNCTION("""COMPUTED_VALUE"""),"Model 3 LR AWD")</f>
        <v>Model 3 LR AWD</v>
      </c>
      <c r="O1222" s="152" t="str">
        <f>IFERROR(__xludf.DUMMYFUNCTION("""COMPUTED_VALUE"""),"Deep Blue Metallic")</f>
        <v>Deep Blue Metallic</v>
      </c>
      <c r="P1222" s="153" t="str">
        <f>IFERROR(__xludf.DUMMYFUNCTION("""COMPUTED_VALUE"""),"18 inch Aero")</f>
        <v>18 inch Aero</v>
      </c>
      <c r="Q1222" s="152" t="str">
        <f>IFERROR(__xludf.DUMMYFUNCTION("""COMPUTED_VALUE"""),"Black seats")</f>
        <v>Black seats</v>
      </c>
      <c r="R1222" s="149" t="str">
        <f>IFERROR(__xludf.DUMMYFUNCTION("""COMPUTED_VALUE"""),"Autopilot")</f>
        <v>Autopilot</v>
      </c>
      <c r="S1222" s="149"/>
      <c r="T1222" s="145"/>
      <c r="U1222" s="145"/>
      <c r="V1222" s="145"/>
      <c r="W1222" s="145"/>
      <c r="X1222" s="137" t="str">
        <f>IFERROR(__xludf.DUMMYFUNCTION("""COMPUTED_VALUE"""),"Very Good")</f>
        <v>Very Good</v>
      </c>
      <c r="Y1222" s="138" t="str">
        <f>IFERROR(__xludf.DUMMYFUNCTION("""COMPUTED_VALUE"""),"Excellent")</f>
        <v>Excellent</v>
      </c>
      <c r="Z1222" s="138" t="str">
        <f>IFERROR(__xludf.DUMMYFUNCTION("""COMPUTED_VALUE"""),"Good")</f>
        <v>Good</v>
      </c>
      <c r="AA1222" s="138" t="str">
        <f>IFERROR(__xludf.DUMMYFUNCTION("""COMPUTED_VALUE"""),"Fair")</f>
        <v>Fair</v>
      </c>
      <c r="AB1222" s="138" t="str">
        <f>IFERROR(__xludf.DUMMYFUNCTION("""COMPUTED_VALUE"""),"Fair")</f>
        <v>Fair</v>
      </c>
      <c r="AC1222" s="139">
        <f>IFERROR(__xludf.DUMMYFUNCTION("""COMPUTED_VALUE"""),1.0)</f>
        <v>1</v>
      </c>
      <c r="AD1222" s="139">
        <f>IFERROR(__xludf.DUMMYFUNCTION("""COMPUTED_VALUE"""),1.0)</f>
        <v>1</v>
      </c>
      <c r="AE1222" s="139">
        <f>IFERROR(__xludf.DUMMYFUNCTION("""COMPUTED_VALUE"""),0.0)</f>
        <v>0</v>
      </c>
      <c r="AF1222" s="140"/>
      <c r="AG1222" s="145" t="str">
        <f>IFERROR(__xludf.DUMMYFUNCTION("""COMPUTED_VALUE"""),"At delivery (mostly done over phone at service centre) the technician had to come out and fix the trunk gaps (simple fix) and clean the inside (dusty). Mobile service visit to fix small paint issues (buffed out).")</f>
        <v>At delivery (mostly done over phone at service centre) the technician had to come out and fix the trunk gaps (simple fix) and clean the inside (dusty). Mobile service visit to fix small paint issues (buffed out).</v>
      </c>
      <c r="AH1222" s="157">
        <f>IFERROR(__xludf.DUMMYFUNCTION("""COMPUTED_VALUE"""),44074.56631535879)</f>
        <v>44074.56632</v>
      </c>
      <c r="AI1222" s="138"/>
      <c r="AJ1222" s="138"/>
      <c r="AK1222" s="138"/>
      <c r="AL1222" s="142"/>
    </row>
    <row r="1223" ht="20.25" customHeight="1">
      <c r="A1223" s="155" t="str">
        <f>IFERROR(__xludf.DUMMYFUNCTION("""COMPUTED_VALUE"""),"Zhurd10")</f>
        <v>Zhurd10</v>
      </c>
      <c r="B1223" s="149" t="str">
        <f>IFERROR(__xludf.DUMMYFUNCTION("""COMPUTED_VALUE"""),"Cleveland")</f>
        <v>Cleveland</v>
      </c>
      <c r="C1223" s="149" t="str">
        <f>IFERROR(__xludf.DUMMYFUNCTION("""COMPUTED_VALUE"""),"OH")</f>
        <v>OH</v>
      </c>
      <c r="D1223" s="149" t="str">
        <f>IFERROR(__xludf.DUMMYFUNCTION("""COMPUTED_VALUE"""),"USA")</f>
        <v>USA</v>
      </c>
      <c r="E1223" s="156">
        <f>IFERROR(__xludf.DUMMYFUNCTION("""COMPUTED_VALUE"""),44018.0)</f>
        <v>44018</v>
      </c>
      <c r="F1223" s="129">
        <f>IFERROR(__xludf.DUMMYFUNCTION("""COMPUTED_VALUE"""),44037.0)</f>
        <v>44037</v>
      </c>
      <c r="G1223" s="154"/>
      <c r="H1223" s="131">
        <f>IFERROR(__xludf.DUMMYFUNCTION("""COMPUTED_VALUE"""),746816.0)</f>
        <v>746816</v>
      </c>
      <c r="I1223" s="144" t="str">
        <f>IFERROR(__xludf.DUMMYFUNCTION("""COMPUTED_VALUE"""),"06/20")</f>
        <v>06/20</v>
      </c>
      <c r="J1223" s="129">
        <f>IFERROR(__xludf.DUMMYFUNCTION("""COMPUTED_VALUE"""),44039.0)</f>
        <v>44039</v>
      </c>
      <c r="K1223" s="133">
        <f>IFERROR(__xludf.DUMMYFUNCTION("""COMPUTED_VALUE"""),19.0)</f>
        <v>19</v>
      </c>
      <c r="L1223" s="133">
        <f>IFERROR(__xludf.DUMMYFUNCTION("""COMPUTED_VALUE"""),2.0)</f>
        <v>2</v>
      </c>
      <c r="M1223" s="133">
        <f>IFERROR(__xludf.DUMMYFUNCTION("""COMPUTED_VALUE"""),21.0)</f>
        <v>21</v>
      </c>
      <c r="N1223" s="152" t="str">
        <f>IFERROR(__xludf.DUMMYFUNCTION("""COMPUTED_VALUE"""),"Model 3 LR AWD")</f>
        <v>Model 3 LR AWD</v>
      </c>
      <c r="O1223" s="152" t="str">
        <f>IFERROR(__xludf.DUMMYFUNCTION("""COMPUTED_VALUE"""),"Pearl White Multi-Coat")</f>
        <v>Pearl White Multi-Coat</v>
      </c>
      <c r="P1223" s="153" t="str">
        <f>IFERROR(__xludf.DUMMYFUNCTION("""COMPUTED_VALUE"""),"19 inch Sport")</f>
        <v>19 inch Sport</v>
      </c>
      <c r="Q1223" s="152" t="str">
        <f>IFERROR(__xludf.DUMMYFUNCTION("""COMPUTED_VALUE"""),"Black seats")</f>
        <v>Black seats</v>
      </c>
      <c r="R1223" s="149" t="str">
        <f>IFERROR(__xludf.DUMMYFUNCTION("""COMPUTED_VALUE"""),"Autopilot")</f>
        <v>Autopilot</v>
      </c>
      <c r="S1223" s="149"/>
      <c r="T1223" s="145"/>
      <c r="U1223" s="145"/>
      <c r="V1223" s="145"/>
      <c r="W1223" s="136"/>
      <c r="X1223" s="137" t="str">
        <f>IFERROR(__xludf.DUMMYFUNCTION("""COMPUTED_VALUE"""),"Excellent")</f>
        <v>Excellent</v>
      </c>
      <c r="Y1223" s="138" t="str">
        <f>IFERROR(__xludf.DUMMYFUNCTION("""COMPUTED_VALUE"""),"Very Good")</f>
        <v>Very Good</v>
      </c>
      <c r="Z1223" s="138" t="str">
        <f>IFERROR(__xludf.DUMMYFUNCTION("""COMPUTED_VALUE"""),"Excellent")</f>
        <v>Excellent</v>
      </c>
      <c r="AA1223" s="138" t="str">
        <f>IFERROR(__xludf.DUMMYFUNCTION("""COMPUTED_VALUE"""),"Poor")</f>
        <v>Poor</v>
      </c>
      <c r="AB1223" s="138"/>
      <c r="AC1223" s="139"/>
      <c r="AD1223" s="139"/>
      <c r="AE1223" s="139"/>
      <c r="AF1223" s="140"/>
      <c r="AG1223" s="145"/>
      <c r="AH1223" s="157">
        <f>IFERROR(__xludf.DUMMYFUNCTION("""COMPUTED_VALUE"""),44040.49787791666)</f>
        <v>44040.49788</v>
      </c>
      <c r="AI1223" s="138"/>
      <c r="AJ1223" s="138"/>
      <c r="AK1223" s="138"/>
      <c r="AL1223" s="142"/>
    </row>
    <row r="1224" ht="20.25" customHeight="1">
      <c r="A1224" s="155" t="str">
        <f>IFERROR(__xludf.DUMMYFUNCTION("""COMPUTED_VALUE"""),"barryo")</f>
        <v>barryo</v>
      </c>
      <c r="B1224" s="150" t="str">
        <f>IFERROR(__xludf.DUMMYFUNCTION("""COMPUTED_VALUE"""),"San Jorge")</f>
        <v>San Jorge</v>
      </c>
      <c r="C1224" s="149" t="str">
        <f>IFERROR(__xludf.DUMMYFUNCTION("""COMPUTED_VALUE"""),"UT")</f>
        <v>UT</v>
      </c>
      <c r="D1224" s="149" t="str">
        <f>IFERROR(__xludf.DUMMYFUNCTION("""COMPUTED_VALUE"""),"USA")</f>
        <v>USA</v>
      </c>
      <c r="E1224" s="156">
        <f>IFERROR(__xludf.DUMMYFUNCTION("""COMPUTED_VALUE"""),44017.0)</f>
        <v>44017</v>
      </c>
      <c r="F1224" s="129">
        <f>IFERROR(__xludf.DUMMYFUNCTION("""COMPUTED_VALUE"""),44018.0)</f>
        <v>44018</v>
      </c>
      <c r="G1224" s="154"/>
      <c r="H1224" s="131">
        <f>IFERROR(__xludf.DUMMYFUNCTION("""COMPUTED_VALUE"""),742431.0)</f>
        <v>742431</v>
      </c>
      <c r="I1224" s="132" t="str">
        <f>IFERROR(__xludf.DUMMYFUNCTION("""COMPUTED_VALUE"""),"06/20")</f>
        <v>06/20</v>
      </c>
      <c r="J1224" s="129">
        <f>IFERROR(__xludf.DUMMYFUNCTION("""COMPUTED_VALUE"""),44023.0)</f>
        <v>44023</v>
      </c>
      <c r="K1224" s="133">
        <f>IFERROR(__xludf.DUMMYFUNCTION("""COMPUTED_VALUE"""),1.0)</f>
        <v>1</v>
      </c>
      <c r="L1224" s="133">
        <f>IFERROR(__xludf.DUMMYFUNCTION("""COMPUTED_VALUE"""),5.0)</f>
        <v>5</v>
      </c>
      <c r="M1224" s="133">
        <f>IFERROR(__xludf.DUMMYFUNCTION("""COMPUTED_VALUE"""),6.0)</f>
        <v>6</v>
      </c>
      <c r="N1224" s="152" t="str">
        <f>IFERROR(__xludf.DUMMYFUNCTION("""COMPUTED_VALUE"""),"Model 3 Performance")</f>
        <v>Model 3 Performance</v>
      </c>
      <c r="O1224" s="152" t="str">
        <f>IFERROR(__xludf.DUMMYFUNCTION("""COMPUTED_VALUE"""),"Red Multi-Coat")</f>
        <v>Red Multi-Coat</v>
      </c>
      <c r="P1224" s="153" t="str">
        <f>IFERROR(__xludf.DUMMYFUNCTION("""COMPUTED_VALUE"""),"20 inch Sport")</f>
        <v>20 inch Sport</v>
      </c>
      <c r="Q1224" s="152" t="str">
        <f>IFERROR(__xludf.DUMMYFUNCTION("""COMPUTED_VALUE"""),"White seats")</f>
        <v>White seats</v>
      </c>
      <c r="R1224" s="150" t="str">
        <f>IFERROR(__xludf.DUMMYFUNCTION("""COMPUTED_VALUE"""),"Autopilot")</f>
        <v>Autopilot</v>
      </c>
      <c r="S1224" s="150"/>
      <c r="T1224" s="136"/>
      <c r="U1224" s="136"/>
      <c r="V1224" s="136"/>
      <c r="W1224" s="136"/>
      <c r="X1224" s="137" t="str">
        <f>IFERROR(__xludf.DUMMYFUNCTION("""COMPUTED_VALUE"""),"Good")</f>
        <v>Good</v>
      </c>
      <c r="Y1224" s="138" t="str">
        <f>IFERROR(__xludf.DUMMYFUNCTION("""COMPUTED_VALUE"""),"Very Good")</f>
        <v>Very Good</v>
      </c>
      <c r="Z1224" s="138" t="str">
        <f>IFERROR(__xludf.DUMMYFUNCTION("""COMPUTED_VALUE"""),"Good")</f>
        <v>Good</v>
      </c>
      <c r="AA1224" s="138" t="str">
        <f>IFERROR(__xludf.DUMMYFUNCTION("""COMPUTED_VALUE"""),"Poor")</f>
        <v>Poor</v>
      </c>
      <c r="AB1224" s="138" t="str">
        <f>IFERROR(__xludf.DUMMYFUNCTION("""COMPUTED_VALUE"""),"Fair")</f>
        <v>Fair</v>
      </c>
      <c r="AC1224" s="139"/>
      <c r="AD1224" s="139"/>
      <c r="AE1224" s="139"/>
      <c r="AF1224" s="140"/>
      <c r="AG1224" s="136"/>
      <c r="AH1224" s="157">
        <f>IFERROR(__xludf.DUMMYFUNCTION("""COMPUTED_VALUE"""),44026.31346722222)</f>
        <v>44026.31347</v>
      </c>
      <c r="AI1224" s="138"/>
      <c r="AJ1224" s="138"/>
      <c r="AK1224" s="138"/>
      <c r="AL1224" s="142"/>
    </row>
    <row r="1225" ht="20.25" customHeight="1">
      <c r="A1225" s="155" t="str">
        <f>IFERROR(__xludf.DUMMYFUNCTION("""COMPUTED_VALUE"""),"jschmitt3")</f>
        <v>jschmitt3</v>
      </c>
      <c r="B1225" s="149" t="str">
        <f>IFERROR(__xludf.DUMMYFUNCTION("""COMPUTED_VALUE"""),"Audubon, PA")</f>
        <v>Audubon, PA</v>
      </c>
      <c r="C1225" s="149" t="str">
        <f>IFERROR(__xludf.DUMMYFUNCTION("""COMPUTED_VALUE"""),"PA")</f>
        <v>PA</v>
      </c>
      <c r="D1225" s="149" t="str">
        <f>IFERROR(__xludf.DUMMYFUNCTION("""COMPUTED_VALUE"""),"USA")</f>
        <v>USA</v>
      </c>
      <c r="E1225" s="156">
        <f>IFERROR(__xludf.DUMMYFUNCTION("""COMPUTED_VALUE"""),44017.0)</f>
        <v>44017</v>
      </c>
      <c r="F1225" s="129">
        <f>IFERROR(__xludf.DUMMYFUNCTION("""COMPUTED_VALUE"""),44048.0)</f>
        <v>44048</v>
      </c>
      <c r="G1225" s="154"/>
      <c r="H1225" s="131">
        <f>IFERROR(__xludf.DUMMYFUNCTION("""COMPUTED_VALUE"""),769731.0)</f>
        <v>769731</v>
      </c>
      <c r="I1225" s="132" t="str">
        <f>IFERROR(__xludf.DUMMYFUNCTION("""COMPUTED_VALUE"""),"08/20")</f>
        <v>08/20</v>
      </c>
      <c r="J1225" s="129">
        <f>IFERROR(__xludf.DUMMYFUNCTION("""COMPUTED_VALUE"""),44058.0)</f>
        <v>44058</v>
      </c>
      <c r="K1225" s="133">
        <f>IFERROR(__xludf.DUMMYFUNCTION("""COMPUTED_VALUE"""),31.0)</f>
        <v>31</v>
      </c>
      <c r="L1225" s="133">
        <f>IFERROR(__xludf.DUMMYFUNCTION("""COMPUTED_VALUE"""),10.0)</f>
        <v>10</v>
      </c>
      <c r="M1225" s="133">
        <f>IFERROR(__xludf.DUMMYFUNCTION("""COMPUTED_VALUE"""),41.0)</f>
        <v>41</v>
      </c>
      <c r="N1225" s="152" t="str">
        <f>IFERROR(__xludf.DUMMYFUNCTION("""COMPUTED_VALUE"""),"Model 3 LR AWD")</f>
        <v>Model 3 LR AWD</v>
      </c>
      <c r="O1225" s="152" t="str">
        <f>IFERROR(__xludf.DUMMYFUNCTION("""COMPUTED_VALUE"""),"Red Multi-Coat")</f>
        <v>Red Multi-Coat</v>
      </c>
      <c r="P1225" s="153" t="str">
        <f>IFERROR(__xludf.DUMMYFUNCTION("""COMPUTED_VALUE"""),"19 inch Sport")</f>
        <v>19 inch Sport</v>
      </c>
      <c r="Q1225" s="152" t="str">
        <f>IFERROR(__xludf.DUMMYFUNCTION("""COMPUTED_VALUE"""),"White seats")</f>
        <v>White seats</v>
      </c>
      <c r="R1225" s="150" t="str">
        <f>IFERROR(__xludf.DUMMYFUNCTION("""COMPUTED_VALUE"""),"Full Self-Driving")</f>
        <v>Full Self-Driving</v>
      </c>
      <c r="S1225" s="150"/>
      <c r="T1225" s="136"/>
      <c r="U1225" s="136"/>
      <c r="V1225" s="136"/>
      <c r="W1225" s="136"/>
      <c r="X1225" s="137" t="str">
        <f>IFERROR(__xludf.DUMMYFUNCTION("""COMPUTED_VALUE"""),"Excellent")</f>
        <v>Excellent</v>
      </c>
      <c r="Y1225" s="138" t="str">
        <f>IFERROR(__xludf.DUMMYFUNCTION("""COMPUTED_VALUE"""),"Excellent")</f>
        <v>Excellent</v>
      </c>
      <c r="Z1225" s="138" t="str">
        <f>IFERROR(__xludf.DUMMYFUNCTION("""COMPUTED_VALUE"""),"Very Good")</f>
        <v>Very Good</v>
      </c>
      <c r="AA1225" s="138" t="str">
        <f>IFERROR(__xludf.DUMMYFUNCTION("""COMPUTED_VALUE"""),"Excellent")</f>
        <v>Excellent</v>
      </c>
      <c r="AB1225" s="138" t="str">
        <f>IFERROR(__xludf.DUMMYFUNCTION("""COMPUTED_VALUE"""),"Excellent")</f>
        <v>Excellent</v>
      </c>
      <c r="AC1225" s="139">
        <f>IFERROR(__xludf.DUMMYFUNCTION("""COMPUTED_VALUE"""),2.0)</f>
        <v>2</v>
      </c>
      <c r="AD1225" s="139"/>
      <c r="AE1225" s="139"/>
      <c r="AF1225" s="140"/>
      <c r="AG1225" s="136"/>
      <c r="AH1225" s="157">
        <f>IFERROR(__xludf.DUMMYFUNCTION("""COMPUTED_VALUE"""),44058.51842596065)</f>
        <v>44058.51843</v>
      </c>
      <c r="AI1225" s="138"/>
      <c r="AJ1225" s="138"/>
      <c r="AK1225" s="138"/>
      <c r="AL1225" s="142"/>
    </row>
    <row r="1226" ht="20.25" customHeight="1">
      <c r="A1226" s="155" t="str">
        <f>IFERROR(__xludf.DUMMYFUNCTION("""COMPUTED_VALUE"""),"allThingsT")</f>
        <v>allThingsT</v>
      </c>
      <c r="B1226" s="149"/>
      <c r="C1226" s="149" t="str">
        <f>IFERROR(__xludf.DUMMYFUNCTION("""COMPUTED_VALUE"""),"MN")</f>
        <v>MN</v>
      </c>
      <c r="D1226" s="149" t="str">
        <f>IFERROR(__xludf.DUMMYFUNCTION("""COMPUTED_VALUE"""),"USA")</f>
        <v>USA</v>
      </c>
      <c r="E1226" s="156">
        <f>IFERROR(__xludf.DUMMYFUNCTION("""COMPUTED_VALUE"""),44016.0)</f>
        <v>44016</v>
      </c>
      <c r="F1226" s="129">
        <f>IFERROR(__xludf.DUMMYFUNCTION("""COMPUTED_VALUE"""),44070.0)</f>
        <v>44070</v>
      </c>
      <c r="G1226" s="154"/>
      <c r="H1226" s="131">
        <f>IFERROR(__xludf.DUMMYFUNCTION("""COMPUTED_VALUE"""),783455.0)</f>
        <v>783455</v>
      </c>
      <c r="I1226" s="144"/>
      <c r="J1226" s="129">
        <f>IFERROR(__xludf.DUMMYFUNCTION("""COMPUTED_VALUE"""),44075.0)</f>
        <v>44075</v>
      </c>
      <c r="K1226" s="133">
        <f>IFERROR(__xludf.DUMMYFUNCTION("""COMPUTED_VALUE"""),54.0)</f>
        <v>54</v>
      </c>
      <c r="L1226" s="133">
        <f>IFERROR(__xludf.DUMMYFUNCTION("""COMPUTED_VALUE"""),5.0)</f>
        <v>5</v>
      </c>
      <c r="M1226" s="133">
        <f>IFERROR(__xludf.DUMMYFUNCTION("""COMPUTED_VALUE"""),59.0)</f>
        <v>59</v>
      </c>
      <c r="N1226" s="152" t="str">
        <f>IFERROR(__xludf.DUMMYFUNCTION("""COMPUTED_VALUE"""),"Model 3 Performance")</f>
        <v>Model 3 Performance</v>
      </c>
      <c r="O1226" s="152" t="str">
        <f>IFERROR(__xludf.DUMMYFUNCTION("""COMPUTED_VALUE"""),"Pearl White Multi-Coat")</f>
        <v>Pearl White Multi-Coat</v>
      </c>
      <c r="P1226" s="153" t="str">
        <f>IFERROR(__xludf.DUMMYFUNCTION("""COMPUTED_VALUE"""),"20 inch Sport")</f>
        <v>20 inch Sport</v>
      </c>
      <c r="Q1226" s="152" t="str">
        <f>IFERROR(__xludf.DUMMYFUNCTION("""COMPUTED_VALUE"""),"White seats")</f>
        <v>White seats</v>
      </c>
      <c r="R1226" s="149" t="str">
        <f>IFERROR(__xludf.DUMMYFUNCTION("""COMPUTED_VALUE"""),"Autopilot")</f>
        <v>Autopilot</v>
      </c>
      <c r="S1226" s="149"/>
      <c r="T1226" s="145"/>
      <c r="U1226" s="145"/>
      <c r="V1226" s="145"/>
      <c r="W1226" s="136"/>
      <c r="X1226" s="137" t="str">
        <f>IFERROR(__xludf.DUMMYFUNCTION("""COMPUTED_VALUE"""),"Very Good")</f>
        <v>Very Good</v>
      </c>
      <c r="Y1226" s="138" t="str">
        <f>IFERROR(__xludf.DUMMYFUNCTION("""COMPUTED_VALUE"""),"Very Good")</f>
        <v>Very Good</v>
      </c>
      <c r="Z1226" s="138" t="str">
        <f>IFERROR(__xludf.DUMMYFUNCTION("""COMPUTED_VALUE"""),"Good")</f>
        <v>Good</v>
      </c>
      <c r="AA1226" s="138" t="str">
        <f>IFERROR(__xludf.DUMMYFUNCTION("""COMPUTED_VALUE"""),"Excellent")</f>
        <v>Excellent</v>
      </c>
      <c r="AB1226" s="138" t="str">
        <f>IFERROR(__xludf.DUMMYFUNCTION("""COMPUTED_VALUE"""),"Excellent")</f>
        <v>Excellent</v>
      </c>
      <c r="AC1226" s="139"/>
      <c r="AD1226" s="139"/>
      <c r="AE1226" s="139"/>
      <c r="AF1226" s="140"/>
      <c r="AG1226" s="136"/>
      <c r="AH1226" s="157">
        <f>IFERROR(__xludf.DUMMYFUNCTION("""COMPUTED_VALUE"""),44076.242126377314)</f>
        <v>44076.24213</v>
      </c>
      <c r="AI1226" s="138"/>
      <c r="AJ1226" s="138"/>
      <c r="AK1226" s="138"/>
      <c r="AL1226" s="142"/>
    </row>
    <row r="1227" ht="20.25" customHeight="1">
      <c r="A1227" s="155" t="str">
        <f>IFERROR(__xludf.DUMMYFUNCTION("""COMPUTED_VALUE"""),"JeffCTNY")</f>
        <v>JeffCTNY</v>
      </c>
      <c r="B1227" s="149" t="str">
        <f>IFERROR(__xludf.DUMMYFUNCTION("""COMPUTED_VALUE"""),"New Haven")</f>
        <v>New Haven</v>
      </c>
      <c r="C1227" s="149" t="str">
        <f>IFERROR(__xludf.DUMMYFUNCTION("""COMPUTED_VALUE"""),"CT")</f>
        <v>CT</v>
      </c>
      <c r="D1227" s="149" t="str">
        <f>IFERROR(__xludf.DUMMYFUNCTION("""COMPUTED_VALUE"""),"USA")</f>
        <v>USA</v>
      </c>
      <c r="E1227" s="156">
        <f>IFERROR(__xludf.DUMMYFUNCTION("""COMPUTED_VALUE"""),44016.0)</f>
        <v>44016</v>
      </c>
      <c r="F1227" s="129">
        <f>IFERROR(__xludf.DUMMYFUNCTION("""COMPUTED_VALUE"""),44079.0)</f>
        <v>44079</v>
      </c>
      <c r="G1227" s="154"/>
      <c r="H1227" s="131">
        <f>IFERROR(__xludf.DUMMYFUNCTION("""COMPUTED_VALUE"""),783855.0)</f>
        <v>783855</v>
      </c>
      <c r="I1227" s="144" t="str">
        <f>IFERROR(__xludf.DUMMYFUNCTION("""COMPUTED_VALUE"""),"08/20")</f>
        <v>08/20</v>
      </c>
      <c r="J1227" s="129">
        <f>IFERROR(__xludf.DUMMYFUNCTION("""COMPUTED_VALUE"""),44089.0)</f>
        <v>44089</v>
      </c>
      <c r="K1227" s="133">
        <f>IFERROR(__xludf.DUMMYFUNCTION("""COMPUTED_VALUE"""),63.0)</f>
        <v>63</v>
      </c>
      <c r="L1227" s="133">
        <f>IFERROR(__xludf.DUMMYFUNCTION("""COMPUTED_VALUE"""),10.0)</f>
        <v>10</v>
      </c>
      <c r="M1227" s="133">
        <f>IFERROR(__xludf.DUMMYFUNCTION("""COMPUTED_VALUE"""),73.0)</f>
        <v>73</v>
      </c>
      <c r="N1227" s="152" t="str">
        <f>IFERROR(__xludf.DUMMYFUNCTION("""COMPUTED_VALUE"""),"Model 3 SR+")</f>
        <v>Model 3 SR+</v>
      </c>
      <c r="O1227" s="152" t="str">
        <f>IFERROR(__xludf.DUMMYFUNCTION("""COMPUTED_VALUE"""),"Pearl White Multi-Coat")</f>
        <v>Pearl White Multi-Coat</v>
      </c>
      <c r="P1227" s="153" t="str">
        <f>IFERROR(__xludf.DUMMYFUNCTION("""COMPUTED_VALUE"""),"19 inch Sport")</f>
        <v>19 inch Sport</v>
      </c>
      <c r="Q1227" s="152" t="str">
        <f>IFERROR(__xludf.DUMMYFUNCTION("""COMPUTED_VALUE"""),"Black seats")</f>
        <v>Black seats</v>
      </c>
      <c r="R1227" s="149" t="str">
        <f>IFERROR(__xludf.DUMMYFUNCTION("""COMPUTED_VALUE"""),"Autopilot")</f>
        <v>Autopilot</v>
      </c>
      <c r="S1227" s="149"/>
      <c r="T1227" s="145"/>
      <c r="U1227" s="145"/>
      <c r="V1227" s="145"/>
      <c r="W1227" s="136"/>
      <c r="X1227" s="137" t="str">
        <f>IFERROR(__xludf.DUMMYFUNCTION("""COMPUTED_VALUE"""),"Very Good")</f>
        <v>Very Good</v>
      </c>
      <c r="Y1227" s="138" t="str">
        <f>IFERROR(__xludf.DUMMYFUNCTION("""COMPUTED_VALUE"""),"Very Good")</f>
        <v>Very Good</v>
      </c>
      <c r="Z1227" s="138" t="str">
        <f>IFERROR(__xludf.DUMMYFUNCTION("""COMPUTED_VALUE"""),"Very Good")</f>
        <v>Very Good</v>
      </c>
      <c r="AA1227" s="138" t="str">
        <f>IFERROR(__xludf.DUMMYFUNCTION("""COMPUTED_VALUE"""),"Very Good")</f>
        <v>Very Good</v>
      </c>
      <c r="AB1227" s="138" t="str">
        <f>IFERROR(__xludf.DUMMYFUNCTION("""COMPUTED_VALUE"""),"Very Good")</f>
        <v>Very Good</v>
      </c>
      <c r="AC1227" s="139">
        <f>IFERROR(__xludf.DUMMYFUNCTION("""COMPUTED_VALUE"""),2.0)</f>
        <v>2</v>
      </c>
      <c r="AD1227" s="139">
        <f>IFERROR(__xludf.DUMMYFUNCTION("""COMPUTED_VALUE"""),1.0)</f>
        <v>1</v>
      </c>
      <c r="AE1227" s="139">
        <f>IFERROR(__xludf.DUMMYFUNCTION("""COMPUTED_VALUE"""),0.0)</f>
        <v>0</v>
      </c>
      <c r="AF1227" s="140"/>
      <c r="AG1227" s="136"/>
      <c r="AH1227" s="157">
        <f>IFERROR(__xludf.DUMMYFUNCTION("""COMPUTED_VALUE"""),44120.446223425926)</f>
        <v>44120.44622</v>
      </c>
      <c r="AI1227" s="138"/>
      <c r="AJ1227" s="138"/>
      <c r="AK1227" s="138"/>
      <c r="AL1227" s="142"/>
    </row>
    <row r="1228" ht="20.25" customHeight="1">
      <c r="A1228" s="155" t="str">
        <f>IFERROR(__xludf.DUMMYFUNCTION("""COMPUTED_VALUE"""),"MYA")</f>
        <v>MYA</v>
      </c>
      <c r="B1228" s="149" t="str">
        <f>IFERROR(__xludf.DUMMYFUNCTION("""COMPUTED_VALUE"""),"Dubai")</f>
        <v>Dubai</v>
      </c>
      <c r="C1228" s="149"/>
      <c r="D1228" s="149" t="str">
        <f>IFERROR(__xludf.DUMMYFUNCTION("""COMPUTED_VALUE"""),"Other (include country together with city)")</f>
        <v>Other (include country together with city)</v>
      </c>
      <c r="E1228" s="156">
        <f>IFERROR(__xludf.DUMMYFUNCTION("""COMPUTED_VALUE"""),44016.0)</f>
        <v>44016</v>
      </c>
      <c r="F1228" s="129">
        <f>IFERROR(__xludf.DUMMYFUNCTION("""COMPUTED_VALUE"""),44031.0)</f>
        <v>44031</v>
      </c>
      <c r="G1228" s="154"/>
      <c r="H1228" s="131">
        <f>IFERROR(__xludf.DUMMYFUNCTION("""COMPUTED_VALUE"""),747555.0)</f>
        <v>747555</v>
      </c>
      <c r="I1228" s="144"/>
      <c r="J1228" s="129">
        <f>IFERROR(__xludf.DUMMYFUNCTION("""COMPUTED_VALUE"""),44096.0)</f>
        <v>44096</v>
      </c>
      <c r="K1228" s="133">
        <f>IFERROR(__xludf.DUMMYFUNCTION("""COMPUTED_VALUE"""),15.0)</f>
        <v>15</v>
      </c>
      <c r="L1228" s="133">
        <f>IFERROR(__xludf.DUMMYFUNCTION("""COMPUTED_VALUE"""),65.0)</f>
        <v>65</v>
      </c>
      <c r="M1228" s="133">
        <f>IFERROR(__xludf.DUMMYFUNCTION("""COMPUTED_VALUE"""),80.0)</f>
        <v>80</v>
      </c>
      <c r="N1228" s="152" t="str">
        <f>IFERROR(__xludf.DUMMYFUNCTION("""COMPUTED_VALUE"""),"Model 3 Performance")</f>
        <v>Model 3 Performance</v>
      </c>
      <c r="O1228" s="152" t="str">
        <f>IFERROR(__xludf.DUMMYFUNCTION("""COMPUTED_VALUE"""),"Midnight Silver Metallic")</f>
        <v>Midnight Silver Metallic</v>
      </c>
      <c r="P1228" s="153" t="str">
        <f>IFERROR(__xludf.DUMMYFUNCTION("""COMPUTED_VALUE"""),"20 inch Sport")</f>
        <v>20 inch Sport</v>
      </c>
      <c r="Q1228" s="152" t="str">
        <f>IFERROR(__xludf.DUMMYFUNCTION("""COMPUTED_VALUE"""),"White seats")</f>
        <v>White seats</v>
      </c>
      <c r="R1228" s="149" t="str">
        <f>IFERROR(__xludf.DUMMYFUNCTION("""COMPUTED_VALUE"""),"Full Self-Driving")</f>
        <v>Full Self-Driving</v>
      </c>
      <c r="S1228" s="149"/>
      <c r="T1228" s="145"/>
      <c r="U1228" s="145"/>
      <c r="V1228" s="145"/>
      <c r="W1228" s="136"/>
      <c r="X1228" s="137" t="str">
        <f>IFERROR(__xludf.DUMMYFUNCTION("""COMPUTED_VALUE"""),"Good")</f>
        <v>Good</v>
      </c>
      <c r="Y1228" s="138" t="str">
        <f>IFERROR(__xludf.DUMMYFUNCTION("""COMPUTED_VALUE"""),"Very Good")</f>
        <v>Very Good</v>
      </c>
      <c r="Z1228" s="138" t="str">
        <f>IFERROR(__xludf.DUMMYFUNCTION("""COMPUTED_VALUE"""),"Very Good")</f>
        <v>Very Good</v>
      </c>
      <c r="AA1228" s="138" t="str">
        <f>IFERROR(__xludf.DUMMYFUNCTION("""COMPUTED_VALUE"""),"Excellent")</f>
        <v>Excellent</v>
      </c>
      <c r="AB1228" s="138" t="str">
        <f>IFERROR(__xludf.DUMMYFUNCTION("""COMPUTED_VALUE"""),"Excellent")</f>
        <v>Excellent</v>
      </c>
      <c r="AC1228" s="139">
        <f>IFERROR(__xludf.DUMMYFUNCTION("""COMPUTED_VALUE"""),0.0)</f>
        <v>0</v>
      </c>
      <c r="AD1228" s="139"/>
      <c r="AE1228" s="139"/>
      <c r="AF1228" s="140"/>
      <c r="AG1228" s="136"/>
      <c r="AH1228" s="157">
        <f>IFERROR(__xludf.DUMMYFUNCTION("""COMPUTED_VALUE"""),44102.99905170139)</f>
        <v>44102.99905</v>
      </c>
      <c r="AI1228" s="138"/>
      <c r="AJ1228" s="138"/>
      <c r="AK1228" s="138"/>
      <c r="AL1228" s="142"/>
    </row>
    <row r="1229" ht="20.25" customHeight="1">
      <c r="A1229" s="155" t="str">
        <f>IFERROR(__xludf.DUMMYFUNCTION("""COMPUTED_VALUE"""),"Hewks")</f>
        <v>Hewks</v>
      </c>
      <c r="B1229" s="149" t="str">
        <f>IFERROR(__xludf.DUMMYFUNCTION("""COMPUTED_VALUE"""),"Calgary")</f>
        <v>Calgary</v>
      </c>
      <c r="C1229" s="149" t="str">
        <f>IFERROR(__xludf.DUMMYFUNCTION("""COMPUTED_VALUE"""),"AB")</f>
        <v>AB</v>
      </c>
      <c r="D1229" s="149" t="str">
        <f>IFERROR(__xludf.DUMMYFUNCTION("""COMPUTED_VALUE"""),"Canada")</f>
        <v>Canada</v>
      </c>
      <c r="E1229" s="156">
        <f>IFERROR(__xludf.DUMMYFUNCTION("""COMPUTED_VALUE"""),44015.0)</f>
        <v>44015</v>
      </c>
      <c r="F1229" s="129">
        <f>IFERROR(__xludf.DUMMYFUNCTION("""COMPUTED_VALUE"""),44065.0)</f>
        <v>44065</v>
      </c>
      <c r="G1229" s="154"/>
      <c r="H1229" s="131">
        <f>IFERROR(__xludf.DUMMYFUNCTION("""COMPUTED_VALUE"""),784055.0)</f>
        <v>784055</v>
      </c>
      <c r="I1229" s="132"/>
      <c r="J1229" s="129">
        <f>IFERROR(__xludf.DUMMYFUNCTION("""COMPUTED_VALUE"""),44072.0)</f>
        <v>44072</v>
      </c>
      <c r="K1229" s="133">
        <f>IFERROR(__xludf.DUMMYFUNCTION("""COMPUTED_VALUE"""),50.0)</f>
        <v>50</v>
      </c>
      <c r="L1229" s="133">
        <f>IFERROR(__xludf.DUMMYFUNCTION("""COMPUTED_VALUE"""),7.0)</f>
        <v>7</v>
      </c>
      <c r="M1229" s="133">
        <f>IFERROR(__xludf.DUMMYFUNCTION("""COMPUTED_VALUE"""),57.0)</f>
        <v>57</v>
      </c>
      <c r="N1229" s="152" t="str">
        <f>IFERROR(__xludf.DUMMYFUNCTION("""COMPUTED_VALUE"""),"Model 3 SR+")</f>
        <v>Model 3 SR+</v>
      </c>
      <c r="O1229" s="152" t="str">
        <f>IFERROR(__xludf.DUMMYFUNCTION("""COMPUTED_VALUE"""),"Midnight Silver Metallic")</f>
        <v>Midnight Silver Metallic</v>
      </c>
      <c r="P1229" s="153" t="str">
        <f>IFERROR(__xludf.DUMMYFUNCTION("""COMPUTED_VALUE"""),"18 inch Aero")</f>
        <v>18 inch Aero</v>
      </c>
      <c r="Q1229" s="152" t="str">
        <f>IFERROR(__xludf.DUMMYFUNCTION("""COMPUTED_VALUE"""),"Black seats")</f>
        <v>Black seats</v>
      </c>
      <c r="R1229" s="150" t="str">
        <f>IFERROR(__xludf.DUMMYFUNCTION("""COMPUTED_VALUE"""),"Autopilot")</f>
        <v>Autopilot</v>
      </c>
      <c r="S1229" s="150"/>
      <c r="T1229" s="136"/>
      <c r="U1229" s="136"/>
      <c r="V1229" s="136"/>
      <c r="W1229" s="136"/>
      <c r="X1229" s="137" t="str">
        <f>IFERROR(__xludf.DUMMYFUNCTION("""COMPUTED_VALUE"""),"Excellent")</f>
        <v>Excellent</v>
      </c>
      <c r="Y1229" s="138" t="str">
        <f>IFERROR(__xludf.DUMMYFUNCTION("""COMPUTED_VALUE"""),"Very Good")</f>
        <v>Very Good</v>
      </c>
      <c r="Z1229" s="138" t="str">
        <f>IFERROR(__xludf.DUMMYFUNCTION("""COMPUTED_VALUE"""),"Excellent")</f>
        <v>Excellent</v>
      </c>
      <c r="AA1229" s="138" t="str">
        <f>IFERROR(__xludf.DUMMYFUNCTION("""COMPUTED_VALUE"""),"Excellent")</f>
        <v>Excellent</v>
      </c>
      <c r="AB1229" s="138" t="str">
        <f>IFERROR(__xludf.DUMMYFUNCTION("""COMPUTED_VALUE"""),"Excellent")</f>
        <v>Excellent</v>
      </c>
      <c r="AC1229" s="139">
        <f>IFERROR(__xludf.DUMMYFUNCTION("""COMPUTED_VALUE"""),1.0)</f>
        <v>1</v>
      </c>
      <c r="AD1229" s="139"/>
      <c r="AE1229" s="139"/>
      <c r="AF1229" s="140"/>
      <c r="AG1229" s="136"/>
      <c r="AH1229" s="157">
        <f>IFERROR(__xludf.DUMMYFUNCTION("""COMPUTED_VALUE"""),44072.81064012732)</f>
        <v>44072.81064</v>
      </c>
      <c r="AI1229" s="138"/>
      <c r="AJ1229" s="138"/>
      <c r="AK1229" s="138"/>
      <c r="AL1229" s="142"/>
    </row>
    <row r="1230" ht="20.25" customHeight="1">
      <c r="A1230" s="155" t="str">
        <f>IFERROR(__xludf.DUMMYFUNCTION("""COMPUTED_VALUE"""),"capitalj78")</f>
        <v>capitalj78</v>
      </c>
      <c r="B1230" s="149" t="str">
        <f>IFERROR(__xludf.DUMMYFUNCTION("""COMPUTED_VALUE"""),"Tampa")</f>
        <v>Tampa</v>
      </c>
      <c r="C1230" s="149" t="str">
        <f>IFERROR(__xludf.DUMMYFUNCTION("""COMPUTED_VALUE"""),"FL")</f>
        <v>FL</v>
      </c>
      <c r="D1230" s="149" t="str">
        <f>IFERROR(__xludf.DUMMYFUNCTION("""COMPUTED_VALUE"""),"USA")</f>
        <v>USA</v>
      </c>
      <c r="E1230" s="156">
        <f>IFERROR(__xludf.DUMMYFUNCTION("""COMPUTED_VALUE"""),44013.0)</f>
        <v>44013</v>
      </c>
      <c r="F1230" s="129">
        <f>IFERROR(__xludf.DUMMYFUNCTION("""COMPUTED_VALUE"""),44056.0)</f>
        <v>44056</v>
      </c>
      <c r="G1230" s="154"/>
      <c r="H1230" s="131">
        <f>IFERROR(__xludf.DUMMYFUNCTION("""COMPUTED_VALUE"""),739555.0)</f>
        <v>739555</v>
      </c>
      <c r="I1230" s="144" t="str">
        <f>IFERROR(__xludf.DUMMYFUNCTION("""COMPUTED_VALUE"""),"08/20")</f>
        <v>08/20</v>
      </c>
      <c r="J1230" s="129">
        <f>IFERROR(__xludf.DUMMYFUNCTION("""COMPUTED_VALUE"""),44064.0)</f>
        <v>44064</v>
      </c>
      <c r="K1230" s="133">
        <f>IFERROR(__xludf.DUMMYFUNCTION("""COMPUTED_VALUE"""),43.0)</f>
        <v>43</v>
      </c>
      <c r="L1230" s="133">
        <f>IFERROR(__xludf.DUMMYFUNCTION("""COMPUTED_VALUE"""),8.0)</f>
        <v>8</v>
      </c>
      <c r="M1230" s="133">
        <f>IFERROR(__xludf.DUMMYFUNCTION("""COMPUTED_VALUE"""),51.0)</f>
        <v>51</v>
      </c>
      <c r="N1230" s="152" t="str">
        <f>IFERROR(__xludf.DUMMYFUNCTION("""COMPUTED_VALUE"""),"Model 3 SR+")</f>
        <v>Model 3 SR+</v>
      </c>
      <c r="O1230" s="152" t="str">
        <f>IFERROR(__xludf.DUMMYFUNCTION("""COMPUTED_VALUE"""),"Midnight Silver Metallic")</f>
        <v>Midnight Silver Metallic</v>
      </c>
      <c r="P1230" s="153" t="str">
        <f>IFERROR(__xludf.DUMMYFUNCTION("""COMPUTED_VALUE"""),"18 inch Aero")</f>
        <v>18 inch Aero</v>
      </c>
      <c r="Q1230" s="152" t="str">
        <f>IFERROR(__xludf.DUMMYFUNCTION("""COMPUTED_VALUE"""),"Black seats")</f>
        <v>Black seats</v>
      </c>
      <c r="R1230" s="149" t="str">
        <f>IFERROR(__xludf.DUMMYFUNCTION("""COMPUTED_VALUE"""),"Full Self-Driving")</f>
        <v>Full Self-Driving</v>
      </c>
      <c r="S1230" s="149"/>
      <c r="T1230" s="145"/>
      <c r="U1230" s="145"/>
      <c r="V1230" s="145"/>
      <c r="W1230" s="136"/>
      <c r="X1230" s="137" t="str">
        <f>IFERROR(__xludf.DUMMYFUNCTION("""COMPUTED_VALUE"""),"Excellent")</f>
        <v>Excellent</v>
      </c>
      <c r="Y1230" s="138" t="str">
        <f>IFERROR(__xludf.DUMMYFUNCTION("""COMPUTED_VALUE"""),"Excellent")</f>
        <v>Excellent</v>
      </c>
      <c r="Z1230" s="138" t="str">
        <f>IFERROR(__xludf.DUMMYFUNCTION("""COMPUTED_VALUE"""),"Excellent")</f>
        <v>Excellent</v>
      </c>
      <c r="AA1230" s="138" t="str">
        <f>IFERROR(__xludf.DUMMYFUNCTION("""COMPUTED_VALUE"""),"Very Good")</f>
        <v>Very Good</v>
      </c>
      <c r="AB1230" s="138" t="str">
        <f>IFERROR(__xludf.DUMMYFUNCTION("""COMPUTED_VALUE"""),"Excellent")</f>
        <v>Excellent</v>
      </c>
      <c r="AC1230" s="139"/>
      <c r="AD1230" s="139"/>
      <c r="AE1230" s="139"/>
      <c r="AF1230" s="140"/>
      <c r="AG1230" s="136"/>
      <c r="AH1230" s="157">
        <f>IFERROR(__xludf.DUMMYFUNCTION("""COMPUTED_VALUE"""),44067.61944944444)</f>
        <v>44067.61945</v>
      </c>
      <c r="AI1230" s="138"/>
      <c r="AJ1230" s="138"/>
      <c r="AK1230" s="138"/>
      <c r="AL1230" s="142"/>
    </row>
    <row r="1231" ht="20.25" customHeight="1">
      <c r="A1231" s="155" t="str">
        <f>IFERROR(__xludf.DUMMYFUNCTION("""COMPUTED_VALUE"""),"chowda")</f>
        <v>chowda</v>
      </c>
      <c r="B1231" s="149" t="str">
        <f>IFERROR(__xludf.DUMMYFUNCTION("""COMPUTED_VALUE"""),"Idaho Falls")</f>
        <v>Idaho Falls</v>
      </c>
      <c r="C1231" s="149" t="str">
        <f>IFERROR(__xludf.DUMMYFUNCTION("""COMPUTED_VALUE"""),"ID")</f>
        <v>ID</v>
      </c>
      <c r="D1231" s="149" t="str">
        <f>IFERROR(__xludf.DUMMYFUNCTION("""COMPUTED_VALUE"""),"USA")</f>
        <v>USA</v>
      </c>
      <c r="E1231" s="156">
        <f>IFERROR(__xludf.DUMMYFUNCTION("""COMPUTED_VALUE"""),44013.0)</f>
        <v>44013</v>
      </c>
      <c r="F1231" s="129">
        <f>IFERROR(__xludf.DUMMYFUNCTION("""COMPUTED_VALUE"""),44074.0)</f>
        <v>44074</v>
      </c>
      <c r="G1231" s="154"/>
      <c r="H1231" s="131">
        <f>IFERROR(__xludf.DUMMYFUNCTION("""COMPUTED_VALUE"""),784555.0)</f>
        <v>784555</v>
      </c>
      <c r="I1231" s="132" t="str">
        <f>IFERROR(__xludf.DUMMYFUNCTION("""COMPUTED_VALUE"""),"08/20")</f>
        <v>08/20</v>
      </c>
      <c r="J1231" s="129">
        <f>IFERROR(__xludf.DUMMYFUNCTION("""COMPUTED_VALUE"""),44078.0)</f>
        <v>44078</v>
      </c>
      <c r="K1231" s="133">
        <f>IFERROR(__xludf.DUMMYFUNCTION("""COMPUTED_VALUE"""),61.0)</f>
        <v>61</v>
      </c>
      <c r="L1231" s="133">
        <f>IFERROR(__xludf.DUMMYFUNCTION("""COMPUTED_VALUE"""),4.0)</f>
        <v>4</v>
      </c>
      <c r="M1231" s="133">
        <f>IFERROR(__xludf.DUMMYFUNCTION("""COMPUTED_VALUE"""),65.0)</f>
        <v>65</v>
      </c>
      <c r="N1231" s="152" t="str">
        <f>IFERROR(__xludf.DUMMYFUNCTION("""COMPUTED_VALUE"""),"Model 3 LR AWD")</f>
        <v>Model 3 LR AWD</v>
      </c>
      <c r="O1231" s="152" t="str">
        <f>IFERROR(__xludf.DUMMYFUNCTION("""COMPUTED_VALUE"""),"Deep Blue Metallic")</f>
        <v>Deep Blue Metallic</v>
      </c>
      <c r="P1231" s="153" t="str">
        <f>IFERROR(__xludf.DUMMYFUNCTION("""COMPUTED_VALUE"""),"18 inch Aero")</f>
        <v>18 inch Aero</v>
      </c>
      <c r="Q1231" s="152" t="str">
        <f>IFERROR(__xludf.DUMMYFUNCTION("""COMPUTED_VALUE"""),"Black seats")</f>
        <v>Black seats</v>
      </c>
      <c r="R1231" s="150" t="str">
        <f>IFERROR(__xludf.DUMMYFUNCTION("""COMPUTED_VALUE"""),"Full Self-Driving")</f>
        <v>Full Self-Driving</v>
      </c>
      <c r="S1231" s="150"/>
      <c r="T1231" s="136"/>
      <c r="U1231" s="136"/>
      <c r="V1231" s="136"/>
      <c r="W1231" s="136"/>
      <c r="X1231" s="137" t="str">
        <f>IFERROR(__xludf.DUMMYFUNCTION("""COMPUTED_VALUE"""),"Excellent")</f>
        <v>Excellent</v>
      </c>
      <c r="Y1231" s="138" t="str">
        <f>IFERROR(__xludf.DUMMYFUNCTION("""COMPUTED_VALUE"""),"Very Good")</f>
        <v>Very Good</v>
      </c>
      <c r="Z1231" s="138" t="str">
        <f>IFERROR(__xludf.DUMMYFUNCTION("""COMPUTED_VALUE"""),"Excellent")</f>
        <v>Excellent</v>
      </c>
      <c r="AA1231" s="138" t="str">
        <f>IFERROR(__xludf.DUMMYFUNCTION("""COMPUTED_VALUE"""),"Fair")</f>
        <v>Fair</v>
      </c>
      <c r="AB1231" s="138" t="str">
        <f>IFERROR(__xludf.DUMMYFUNCTION("""COMPUTED_VALUE"""),"Good")</f>
        <v>Good</v>
      </c>
      <c r="AC1231" s="139">
        <f>IFERROR(__xludf.DUMMYFUNCTION("""COMPUTED_VALUE"""),4.0)</f>
        <v>4</v>
      </c>
      <c r="AD1231" s="139">
        <f>IFERROR(__xludf.DUMMYFUNCTION("""COMPUTED_VALUE"""),1.0)</f>
        <v>1</v>
      </c>
      <c r="AE1231" s="139">
        <f>IFERROR(__xludf.DUMMYFUNCTION("""COMPUTED_VALUE"""),0.0)</f>
        <v>0</v>
      </c>
      <c r="AF1231" s="140"/>
      <c r="AG1231" s="136" t="str">
        <f>IFERROR(__xludf.DUMMYFUNCTION("""COMPUTED_VALUE"""),"After 5 weeks of waiting, got an auto text that my delivery date is 3-6 weeks from August 6th. My delivery window used to be 4-6 weeks, but is now 8-11 weeks from order date. After almost 9 weeks, I finally got an MVPA with a VIN. Delivery scheduled for S"&amp;"eptember 4th in Salt Lake City!")</f>
        <v>After 5 weeks of waiting, got an auto text that my delivery date is 3-6 weeks from August 6th. My delivery window used to be 4-6 weeks, but is now 8-11 weeks from order date. After almost 9 weeks, I finally got an MVPA with a VIN. Delivery scheduled for September 4th in Salt Lake City!</v>
      </c>
      <c r="AH1231" s="157">
        <f>IFERROR(__xludf.DUMMYFUNCTION("""COMPUTED_VALUE"""),44160.44320601852)</f>
        <v>44160.44321</v>
      </c>
      <c r="AI1231" s="138"/>
      <c r="AJ1231" s="138"/>
      <c r="AK1231" s="138"/>
      <c r="AL1231" s="142"/>
    </row>
    <row r="1232" ht="20.25" customHeight="1">
      <c r="A1232" s="155" t="str">
        <f>IFERROR(__xludf.DUMMYFUNCTION("""COMPUTED_VALUE"""),"spoons")</f>
        <v>spoons</v>
      </c>
      <c r="B1232" s="149" t="str">
        <f>IFERROR(__xludf.DUMMYFUNCTION("""COMPUTED_VALUE"""),"Jersey Shore")</f>
        <v>Jersey Shore</v>
      </c>
      <c r="C1232" s="149" t="str">
        <f>IFERROR(__xludf.DUMMYFUNCTION("""COMPUTED_VALUE"""),"NJ")</f>
        <v>NJ</v>
      </c>
      <c r="D1232" s="149" t="str">
        <f>IFERROR(__xludf.DUMMYFUNCTION("""COMPUTED_VALUE"""),"USA")</f>
        <v>USA</v>
      </c>
      <c r="E1232" s="156">
        <f>IFERROR(__xludf.DUMMYFUNCTION("""COMPUTED_VALUE"""),44013.0)</f>
        <v>44013</v>
      </c>
      <c r="F1232" s="129">
        <f>IFERROR(__xludf.DUMMYFUNCTION("""COMPUTED_VALUE"""),44029.0)</f>
        <v>44029</v>
      </c>
      <c r="G1232" s="154"/>
      <c r="H1232" s="131">
        <f>IFERROR(__xludf.DUMMYFUNCTION("""COMPUTED_VALUE"""),746233.0)</f>
        <v>746233</v>
      </c>
      <c r="I1232" s="144" t="str">
        <f>IFERROR(__xludf.DUMMYFUNCTION("""COMPUTED_VALUE"""),"06/20")</f>
        <v>06/20</v>
      </c>
      <c r="J1232" s="129">
        <f>IFERROR(__xludf.DUMMYFUNCTION("""COMPUTED_VALUE"""),44030.0)</f>
        <v>44030</v>
      </c>
      <c r="K1232" s="133">
        <f>IFERROR(__xludf.DUMMYFUNCTION("""COMPUTED_VALUE"""),16.0)</f>
        <v>16</v>
      </c>
      <c r="L1232" s="133">
        <f>IFERROR(__xludf.DUMMYFUNCTION("""COMPUTED_VALUE"""),1.0)</f>
        <v>1</v>
      </c>
      <c r="M1232" s="133">
        <f>IFERROR(__xludf.DUMMYFUNCTION("""COMPUTED_VALUE"""),17.0)</f>
        <v>17</v>
      </c>
      <c r="N1232" s="152" t="str">
        <f>IFERROR(__xludf.DUMMYFUNCTION("""COMPUTED_VALUE"""),"Model 3 LR AWD")</f>
        <v>Model 3 LR AWD</v>
      </c>
      <c r="O1232" s="152" t="str">
        <f>IFERROR(__xludf.DUMMYFUNCTION("""COMPUTED_VALUE"""),"Solid Black")</f>
        <v>Solid Black</v>
      </c>
      <c r="P1232" s="153" t="str">
        <f>IFERROR(__xludf.DUMMYFUNCTION("""COMPUTED_VALUE"""),"18 inch Aero")</f>
        <v>18 inch Aero</v>
      </c>
      <c r="Q1232" s="152" t="str">
        <f>IFERROR(__xludf.DUMMYFUNCTION("""COMPUTED_VALUE"""),"Black seats")</f>
        <v>Black seats</v>
      </c>
      <c r="R1232" s="149" t="str">
        <f>IFERROR(__xludf.DUMMYFUNCTION("""COMPUTED_VALUE"""),"Autopilot")</f>
        <v>Autopilot</v>
      </c>
      <c r="S1232" s="149"/>
      <c r="T1232" s="145"/>
      <c r="U1232" s="145"/>
      <c r="V1232" s="145"/>
      <c r="W1232" s="145"/>
      <c r="X1232" s="137" t="str">
        <f>IFERROR(__xludf.DUMMYFUNCTION("""COMPUTED_VALUE"""),"Excellent")</f>
        <v>Excellent</v>
      </c>
      <c r="Y1232" s="138" t="str">
        <f>IFERROR(__xludf.DUMMYFUNCTION("""COMPUTED_VALUE"""),"Very Good")</f>
        <v>Very Good</v>
      </c>
      <c r="Z1232" s="138" t="str">
        <f>IFERROR(__xludf.DUMMYFUNCTION("""COMPUTED_VALUE"""),"Excellent")</f>
        <v>Excellent</v>
      </c>
      <c r="AA1232" s="138" t="str">
        <f>IFERROR(__xludf.DUMMYFUNCTION("""COMPUTED_VALUE"""),"Good")</f>
        <v>Good</v>
      </c>
      <c r="AB1232" s="138" t="str">
        <f>IFERROR(__xludf.DUMMYFUNCTION("""COMPUTED_VALUE"""),"Excellent")</f>
        <v>Excellent</v>
      </c>
      <c r="AC1232" s="139"/>
      <c r="AD1232" s="139"/>
      <c r="AE1232" s="139"/>
      <c r="AF1232" s="140"/>
      <c r="AG1232" s="136"/>
      <c r="AH1232" s="157">
        <f>IFERROR(__xludf.DUMMYFUNCTION("""COMPUTED_VALUE"""),44031.56296045139)</f>
        <v>44031.56296</v>
      </c>
      <c r="AI1232" s="138"/>
      <c r="AJ1232" s="138"/>
      <c r="AK1232" s="138"/>
      <c r="AL1232" s="142"/>
    </row>
    <row r="1233" ht="20.25" customHeight="1">
      <c r="A1233" s="155" t="str">
        <f>IFERROR(__xludf.DUMMYFUNCTION("""COMPUTED_VALUE"""),"JC_finance")</f>
        <v>JC_finance</v>
      </c>
      <c r="B1233" s="149" t="str">
        <f>IFERROR(__xludf.DUMMYFUNCTION("""COMPUTED_VALUE"""),"Boston")</f>
        <v>Boston</v>
      </c>
      <c r="C1233" s="149" t="str">
        <f>IFERROR(__xludf.DUMMYFUNCTION("""COMPUTED_VALUE"""),"MA")</f>
        <v>MA</v>
      </c>
      <c r="D1233" s="149" t="str">
        <f>IFERROR(__xludf.DUMMYFUNCTION("""COMPUTED_VALUE"""),"USA")</f>
        <v>USA</v>
      </c>
      <c r="E1233" s="156">
        <f>IFERROR(__xludf.DUMMYFUNCTION("""COMPUTED_VALUE"""),44012.0)</f>
        <v>44012</v>
      </c>
      <c r="F1233" s="129">
        <f>IFERROR(__xludf.DUMMYFUNCTION("""COMPUTED_VALUE"""),44044.0)</f>
        <v>44044</v>
      </c>
      <c r="G1233" s="154"/>
      <c r="H1233" s="131">
        <f>IFERROR(__xludf.DUMMYFUNCTION("""COMPUTED_VALUE"""),745455.0)</f>
        <v>745455</v>
      </c>
      <c r="I1233" s="144" t="str">
        <f>IFERROR(__xludf.DUMMYFUNCTION("""COMPUTED_VALUE"""),"08/20")</f>
        <v>08/20</v>
      </c>
      <c r="J1233" s="129">
        <f>IFERROR(__xludf.DUMMYFUNCTION("""COMPUTED_VALUE"""),44055.0)</f>
        <v>44055</v>
      </c>
      <c r="K1233" s="133">
        <f>IFERROR(__xludf.DUMMYFUNCTION("""COMPUTED_VALUE"""),32.0)</f>
        <v>32</v>
      </c>
      <c r="L1233" s="133">
        <f>IFERROR(__xludf.DUMMYFUNCTION("""COMPUTED_VALUE"""),11.0)</f>
        <v>11</v>
      </c>
      <c r="M1233" s="133">
        <f>IFERROR(__xludf.DUMMYFUNCTION("""COMPUTED_VALUE"""),43.0)</f>
        <v>43</v>
      </c>
      <c r="N1233" s="152" t="str">
        <f>IFERROR(__xludf.DUMMYFUNCTION("""COMPUTED_VALUE"""),"Model 3 LR AWD")</f>
        <v>Model 3 LR AWD</v>
      </c>
      <c r="O1233" s="152" t="str">
        <f>IFERROR(__xludf.DUMMYFUNCTION("""COMPUTED_VALUE"""),"Pearl White Multi-Coat")</f>
        <v>Pearl White Multi-Coat</v>
      </c>
      <c r="P1233" s="153" t="str">
        <f>IFERROR(__xludf.DUMMYFUNCTION("""COMPUTED_VALUE"""),"18 inch Aero")</f>
        <v>18 inch Aero</v>
      </c>
      <c r="Q1233" s="152" t="str">
        <f>IFERROR(__xludf.DUMMYFUNCTION("""COMPUTED_VALUE"""),"White seats")</f>
        <v>White seats</v>
      </c>
      <c r="R1233" s="149" t="str">
        <f>IFERROR(__xludf.DUMMYFUNCTION("""COMPUTED_VALUE"""),"Autopilot")</f>
        <v>Autopilot</v>
      </c>
      <c r="S1233" s="149"/>
      <c r="T1233" s="145"/>
      <c r="U1233" s="145"/>
      <c r="V1233" s="145"/>
      <c r="W1233" s="145"/>
      <c r="X1233" s="137" t="str">
        <f>IFERROR(__xludf.DUMMYFUNCTION("""COMPUTED_VALUE"""),"Very Good")</f>
        <v>Very Good</v>
      </c>
      <c r="Y1233" s="138" t="str">
        <f>IFERROR(__xludf.DUMMYFUNCTION("""COMPUTED_VALUE"""),"Excellent")</f>
        <v>Excellent</v>
      </c>
      <c r="Z1233" s="138" t="str">
        <f>IFERROR(__xludf.DUMMYFUNCTION("""COMPUTED_VALUE"""),"Very Good")</f>
        <v>Very Good</v>
      </c>
      <c r="AA1233" s="138" t="str">
        <f>IFERROR(__xludf.DUMMYFUNCTION("""COMPUTED_VALUE"""),"Excellent")</f>
        <v>Excellent</v>
      </c>
      <c r="AB1233" s="138" t="str">
        <f>IFERROR(__xludf.DUMMYFUNCTION("""COMPUTED_VALUE"""),"Excellent")</f>
        <v>Excellent</v>
      </c>
      <c r="AC1233" s="139">
        <f>IFERROR(__xludf.DUMMYFUNCTION("""COMPUTED_VALUE"""),0.0)</f>
        <v>0</v>
      </c>
      <c r="AD1233" s="139">
        <f>IFERROR(__xludf.DUMMYFUNCTION("""COMPUTED_VALUE"""),0.0)</f>
        <v>0</v>
      </c>
      <c r="AE1233" s="139">
        <f>IFERROR(__xludf.DUMMYFUNCTION("""COMPUTED_VALUE"""),0.0)</f>
        <v>0</v>
      </c>
      <c r="AF1233" s="140"/>
      <c r="AG1233" s="145"/>
      <c r="AH1233" s="157">
        <f>IFERROR(__xludf.DUMMYFUNCTION("""COMPUTED_VALUE"""),44079.228156122685)</f>
        <v>44079.22816</v>
      </c>
      <c r="AI1233" s="138"/>
      <c r="AJ1233" s="138"/>
      <c r="AK1233" s="138"/>
      <c r="AL1233" s="142"/>
    </row>
    <row r="1234" ht="20.25" customHeight="1">
      <c r="A1234" s="155" t="str">
        <f>IFERROR(__xludf.DUMMYFUNCTION("""COMPUTED_VALUE"""),"Ten0r")</f>
        <v>Ten0r</v>
      </c>
      <c r="B1234" s="149"/>
      <c r="C1234" s="149" t="str">
        <f>IFERROR(__xludf.DUMMYFUNCTION("""COMPUTED_VALUE"""),"TX")</f>
        <v>TX</v>
      </c>
      <c r="D1234" s="149" t="str">
        <f>IFERROR(__xludf.DUMMYFUNCTION("""COMPUTED_VALUE"""),"USA")</f>
        <v>USA</v>
      </c>
      <c r="E1234" s="156">
        <f>IFERROR(__xludf.DUMMYFUNCTION("""COMPUTED_VALUE"""),44012.0)</f>
        <v>44012</v>
      </c>
      <c r="F1234" s="129">
        <f>IFERROR(__xludf.DUMMYFUNCTION("""COMPUTED_VALUE"""),44062.0)</f>
        <v>44062</v>
      </c>
      <c r="G1234" s="154"/>
      <c r="H1234" s="131">
        <f>IFERROR(__xludf.DUMMYFUNCTION("""COMPUTED_VALUE"""),783055.0)</f>
        <v>783055</v>
      </c>
      <c r="I1234" s="144"/>
      <c r="J1234" s="129">
        <f>IFERROR(__xludf.DUMMYFUNCTION("""COMPUTED_VALUE"""),44080.0)</f>
        <v>44080</v>
      </c>
      <c r="K1234" s="133">
        <f>IFERROR(__xludf.DUMMYFUNCTION("""COMPUTED_VALUE"""),50.0)</f>
        <v>50</v>
      </c>
      <c r="L1234" s="133">
        <f>IFERROR(__xludf.DUMMYFUNCTION("""COMPUTED_VALUE"""),18.0)</f>
        <v>18</v>
      </c>
      <c r="M1234" s="133">
        <f>IFERROR(__xludf.DUMMYFUNCTION("""COMPUTED_VALUE"""),68.0)</f>
        <v>68</v>
      </c>
      <c r="N1234" s="152" t="str">
        <f>IFERROR(__xludf.DUMMYFUNCTION("""COMPUTED_VALUE"""),"Model 3 LR AWD")</f>
        <v>Model 3 LR AWD</v>
      </c>
      <c r="O1234" s="152" t="str">
        <f>IFERROR(__xludf.DUMMYFUNCTION("""COMPUTED_VALUE"""),"Deep Blue Metallic")</f>
        <v>Deep Blue Metallic</v>
      </c>
      <c r="P1234" s="153" t="str">
        <f>IFERROR(__xludf.DUMMYFUNCTION("""COMPUTED_VALUE"""),"19 inch Sport")</f>
        <v>19 inch Sport</v>
      </c>
      <c r="Q1234" s="152" t="str">
        <f>IFERROR(__xludf.DUMMYFUNCTION("""COMPUTED_VALUE"""),"Black seats")</f>
        <v>Black seats</v>
      </c>
      <c r="R1234" s="149" t="str">
        <f>IFERROR(__xludf.DUMMYFUNCTION("""COMPUTED_VALUE"""),"Autopilot")</f>
        <v>Autopilot</v>
      </c>
      <c r="S1234" s="149"/>
      <c r="T1234" s="145"/>
      <c r="U1234" s="145"/>
      <c r="V1234" s="145"/>
      <c r="W1234" s="145"/>
      <c r="X1234" s="137" t="str">
        <f>IFERROR(__xludf.DUMMYFUNCTION("""COMPUTED_VALUE"""),"Very Good")</f>
        <v>Very Good</v>
      </c>
      <c r="Y1234" s="138" t="str">
        <f>IFERROR(__xludf.DUMMYFUNCTION("""COMPUTED_VALUE"""),"Very Good")</f>
        <v>Very Good</v>
      </c>
      <c r="Z1234" s="138" t="str">
        <f>IFERROR(__xludf.DUMMYFUNCTION("""COMPUTED_VALUE"""),"Fair")</f>
        <v>Fair</v>
      </c>
      <c r="AA1234" s="138" t="str">
        <f>IFERROR(__xludf.DUMMYFUNCTION("""COMPUTED_VALUE"""),"Excellent")</f>
        <v>Excellent</v>
      </c>
      <c r="AB1234" s="138" t="str">
        <f>IFERROR(__xludf.DUMMYFUNCTION("""COMPUTED_VALUE"""),"Good")</f>
        <v>Good</v>
      </c>
      <c r="AC1234" s="139">
        <f>IFERROR(__xludf.DUMMYFUNCTION("""COMPUTED_VALUE"""),2.0)</f>
        <v>2</v>
      </c>
      <c r="AD1234" s="139"/>
      <c r="AE1234" s="139"/>
      <c r="AF1234" s="140"/>
      <c r="AG1234" s="145"/>
      <c r="AH1234" s="157">
        <f>IFERROR(__xludf.DUMMYFUNCTION("""COMPUTED_VALUE"""),44080.517577708335)</f>
        <v>44080.51758</v>
      </c>
      <c r="AI1234" s="138"/>
      <c r="AJ1234" s="138"/>
      <c r="AK1234" s="138"/>
      <c r="AL1234" s="142"/>
    </row>
    <row r="1235" ht="20.25" customHeight="1">
      <c r="A1235" s="155" t="str">
        <f>IFERROR(__xludf.DUMMYFUNCTION("""COMPUTED_VALUE"""),"Carl T")</f>
        <v>Carl T</v>
      </c>
      <c r="B1235" s="149" t="str">
        <f>IFERROR(__xludf.DUMMYFUNCTION("""COMPUTED_VALUE"""),"Richmond")</f>
        <v>Richmond</v>
      </c>
      <c r="C1235" s="149" t="str">
        <f>IFERROR(__xludf.DUMMYFUNCTION("""COMPUTED_VALUE"""),"VA")</f>
        <v>VA</v>
      </c>
      <c r="D1235" s="149" t="str">
        <f>IFERROR(__xludf.DUMMYFUNCTION("""COMPUTED_VALUE"""),"USA")</f>
        <v>USA</v>
      </c>
      <c r="E1235" s="156">
        <f>IFERROR(__xludf.DUMMYFUNCTION("""COMPUTED_VALUE"""),44011.0)</f>
        <v>44011</v>
      </c>
      <c r="F1235" s="129">
        <f>IFERROR(__xludf.DUMMYFUNCTION("""COMPUTED_VALUE"""),44048.0)</f>
        <v>44048</v>
      </c>
      <c r="G1235" s="154"/>
      <c r="H1235" s="131">
        <f>IFERROR(__xludf.DUMMYFUNCTION("""COMPUTED_VALUE"""),741138.0)</f>
        <v>741138</v>
      </c>
      <c r="I1235" s="132" t="str">
        <f>IFERROR(__xludf.DUMMYFUNCTION("""COMPUTED_VALUE"""),"08/20")</f>
        <v>08/20</v>
      </c>
      <c r="J1235" s="129">
        <f>IFERROR(__xludf.DUMMYFUNCTION("""COMPUTED_VALUE"""),44065.0)</f>
        <v>44065</v>
      </c>
      <c r="K1235" s="133">
        <f>IFERROR(__xludf.DUMMYFUNCTION("""COMPUTED_VALUE"""),37.0)</f>
        <v>37</v>
      </c>
      <c r="L1235" s="133">
        <f>IFERROR(__xludf.DUMMYFUNCTION("""COMPUTED_VALUE"""),17.0)</f>
        <v>17</v>
      </c>
      <c r="M1235" s="133">
        <f>IFERROR(__xludf.DUMMYFUNCTION("""COMPUTED_VALUE"""),54.0)</f>
        <v>54</v>
      </c>
      <c r="N1235" s="152" t="str">
        <f>IFERROR(__xludf.DUMMYFUNCTION("""COMPUTED_VALUE"""),"Model 3 SR+")</f>
        <v>Model 3 SR+</v>
      </c>
      <c r="O1235" s="152" t="str">
        <f>IFERROR(__xludf.DUMMYFUNCTION("""COMPUTED_VALUE"""),"Pearl White Multi-Coat")</f>
        <v>Pearl White Multi-Coat</v>
      </c>
      <c r="P1235" s="153" t="str">
        <f>IFERROR(__xludf.DUMMYFUNCTION("""COMPUTED_VALUE"""),"18 inch")</f>
        <v>18 inch</v>
      </c>
      <c r="Q1235" s="152" t="str">
        <f>IFERROR(__xludf.DUMMYFUNCTION("""COMPUTED_VALUE"""),"Black and White")</f>
        <v>Black and White</v>
      </c>
      <c r="R1235" s="150" t="str">
        <f>IFERROR(__xludf.DUMMYFUNCTION("""COMPUTED_VALUE"""),"Autopilot included")</f>
        <v>Autopilot included</v>
      </c>
      <c r="S1235" s="150" t="str">
        <f>IFERROR(__xludf.DUMMYFUNCTION("""COMPUTED_VALUE"""),"Loan")</f>
        <v>Loan</v>
      </c>
      <c r="T1235" s="145" t="str">
        <f>IFERROR(__xludf.DUMMYFUNCTION("""COMPUTED_VALUE"""),"BMW 5 Series")</f>
        <v>BMW 5 Series</v>
      </c>
      <c r="U1235" s="145" t="str">
        <f>IFERROR(__xludf.DUMMYFUNCTION("""COMPUTED_VALUE"""),"Autopilot")</f>
        <v>Autopilot</v>
      </c>
      <c r="V1235" s="136" t="str">
        <f>IFERROR(__xludf.DUMMYFUNCTION("""COMPUTED_VALUE"""),"360° Bird's eye view")</f>
        <v>360° Bird's eye view</v>
      </c>
      <c r="W1235" s="145" t="str">
        <f>IFERROR(__xludf.DUMMYFUNCTION("""COMPUTED_VALUE"""),"Thoroughly inspect at delivery")</f>
        <v>Thoroughly inspect at delivery</v>
      </c>
      <c r="X1235" s="137" t="str">
        <f>IFERROR(__xludf.DUMMYFUNCTION("""COMPUTED_VALUE"""),"Good")</f>
        <v>Good</v>
      </c>
      <c r="Y1235" s="138" t="str">
        <f>IFERROR(__xludf.DUMMYFUNCTION("""COMPUTED_VALUE"""),"Very Good")</f>
        <v>Very Good</v>
      </c>
      <c r="Z1235" s="138" t="str">
        <f>IFERROR(__xludf.DUMMYFUNCTION("""COMPUTED_VALUE"""),"Very Good")</f>
        <v>Very Good</v>
      </c>
      <c r="AA1235" s="138" t="str">
        <f>IFERROR(__xludf.DUMMYFUNCTION("""COMPUTED_VALUE"""),"Excellent")</f>
        <v>Excellent</v>
      </c>
      <c r="AB1235" s="138" t="str">
        <f>IFERROR(__xludf.DUMMYFUNCTION("""COMPUTED_VALUE"""),"Excellent")</f>
        <v>Excellent</v>
      </c>
      <c r="AC1235" s="139">
        <f>IFERROR(__xludf.DUMMYFUNCTION("""COMPUTED_VALUE"""),3.0)</f>
        <v>3</v>
      </c>
      <c r="AD1235" s="139">
        <f>IFERROR(__xludf.DUMMYFUNCTION("""COMPUTED_VALUE"""),1.0)</f>
        <v>1</v>
      </c>
      <c r="AE1235" s="139">
        <f>IFERROR(__xludf.DUMMYFUNCTION("""COMPUTED_VALUE"""),0.0)</f>
        <v>0</v>
      </c>
      <c r="AF1235" s="140" t="str">
        <f>IFERROR(__xludf.DUMMYFUNCTION("""COMPUTED_VALUE"""),"No. I took delivery of the first car Tesla was able to deliver.")</f>
        <v>No. I took delivery of the first car Tesla was able to deliver.</v>
      </c>
      <c r="AG1235" s="145" t="str">
        <f>IFERROR(__xludf.DUMMYFUNCTION("""COMPUTED_VALUE"""),"Called today 17 Aug 2020 said transport delay and now scheduled for arrival of 21 Aug 2020. Will pickup 22 Aug 2020 :(")</f>
        <v>Called today 17 Aug 2020 said transport delay and now scheduled for arrival of 21 Aug 2020. Will pickup 22 Aug 2020 :(</v>
      </c>
      <c r="AH1235" s="157">
        <f>IFERROR(__xludf.DUMMYFUNCTION("""COMPUTED_VALUE"""),44205.51732733796)</f>
        <v>44205.51733</v>
      </c>
      <c r="AI1235" s="138"/>
      <c r="AJ1235" s="138"/>
      <c r="AK1235" s="138"/>
      <c r="AL1235" s="142"/>
    </row>
    <row r="1236" ht="20.25" customHeight="1">
      <c r="A1236" s="155" t="str">
        <f>IFERROR(__xludf.DUMMYFUNCTION("""COMPUTED_VALUE"""),"PG")</f>
        <v>PG</v>
      </c>
      <c r="B1236" s="149" t="str">
        <f>IFERROR(__xludf.DUMMYFUNCTION("""COMPUTED_VALUE"""),"Los Angeles")</f>
        <v>Los Angeles</v>
      </c>
      <c r="C1236" s="149" t="str">
        <f>IFERROR(__xludf.DUMMYFUNCTION("""COMPUTED_VALUE"""),"CA")</f>
        <v>CA</v>
      </c>
      <c r="D1236" s="149" t="str">
        <f>IFERROR(__xludf.DUMMYFUNCTION("""COMPUTED_VALUE"""),"USA")</f>
        <v>USA</v>
      </c>
      <c r="E1236" s="156">
        <f>IFERROR(__xludf.DUMMYFUNCTION("""COMPUTED_VALUE"""),44010.0)</f>
        <v>44010</v>
      </c>
      <c r="F1236" s="129">
        <f>IFERROR(__xludf.DUMMYFUNCTION("""COMPUTED_VALUE"""),44092.0)</f>
        <v>44092</v>
      </c>
      <c r="G1236" s="154"/>
      <c r="H1236" s="131">
        <f>IFERROR(__xludf.DUMMYFUNCTION("""COMPUTED_VALUE"""),799655.0)</f>
        <v>799655</v>
      </c>
      <c r="I1236" s="144"/>
      <c r="J1236" s="129">
        <f>IFERROR(__xludf.DUMMYFUNCTION("""COMPUTED_VALUE"""),44094.0)</f>
        <v>44094</v>
      </c>
      <c r="K1236" s="133">
        <f>IFERROR(__xludf.DUMMYFUNCTION("""COMPUTED_VALUE"""),82.0)</f>
        <v>82</v>
      </c>
      <c r="L1236" s="133">
        <f>IFERROR(__xludf.DUMMYFUNCTION("""COMPUTED_VALUE"""),2.0)</f>
        <v>2</v>
      </c>
      <c r="M1236" s="133">
        <f>IFERROR(__xludf.DUMMYFUNCTION("""COMPUTED_VALUE"""),84.0)</f>
        <v>84</v>
      </c>
      <c r="N1236" s="152" t="str">
        <f>IFERROR(__xludf.DUMMYFUNCTION("""COMPUTED_VALUE"""),"Model 3 SR+")</f>
        <v>Model 3 SR+</v>
      </c>
      <c r="O1236" s="152" t="str">
        <f>IFERROR(__xludf.DUMMYFUNCTION("""COMPUTED_VALUE"""),"Pearl White Multi-Coat")</f>
        <v>Pearl White Multi-Coat</v>
      </c>
      <c r="P1236" s="153" t="str">
        <f>IFERROR(__xludf.DUMMYFUNCTION("""COMPUTED_VALUE"""),"18 inch Aero")</f>
        <v>18 inch Aero</v>
      </c>
      <c r="Q1236" s="152" t="str">
        <f>IFERROR(__xludf.DUMMYFUNCTION("""COMPUTED_VALUE"""),"Black seats")</f>
        <v>Black seats</v>
      </c>
      <c r="R1236" s="149" t="str">
        <f>IFERROR(__xludf.DUMMYFUNCTION("""COMPUTED_VALUE"""),"Autopilot")</f>
        <v>Autopilot</v>
      </c>
      <c r="S1236" s="149"/>
      <c r="T1236" s="145"/>
      <c r="U1236" s="145"/>
      <c r="V1236" s="145"/>
      <c r="W1236" s="145"/>
      <c r="X1236" s="137" t="str">
        <f>IFERROR(__xludf.DUMMYFUNCTION("""COMPUTED_VALUE"""),"Very Good")</f>
        <v>Very Good</v>
      </c>
      <c r="Y1236" s="138" t="str">
        <f>IFERROR(__xludf.DUMMYFUNCTION("""COMPUTED_VALUE"""),"Excellent")</f>
        <v>Excellent</v>
      </c>
      <c r="Z1236" s="138" t="str">
        <f>IFERROR(__xludf.DUMMYFUNCTION("""COMPUTED_VALUE"""),"Excellent")</f>
        <v>Excellent</v>
      </c>
      <c r="AA1236" s="138" t="str">
        <f>IFERROR(__xludf.DUMMYFUNCTION("""COMPUTED_VALUE"""),"Fair")</f>
        <v>Fair</v>
      </c>
      <c r="AB1236" s="138" t="str">
        <f>IFERROR(__xludf.DUMMYFUNCTION("""COMPUTED_VALUE"""),"Excellent")</f>
        <v>Excellent</v>
      </c>
      <c r="AC1236" s="139"/>
      <c r="AD1236" s="139"/>
      <c r="AE1236" s="139"/>
      <c r="AF1236" s="140"/>
      <c r="AG1236" s="145" t="str">
        <f>IFERROR(__xludf.DUMMYFUNCTION("""COMPUTED_VALUE"""),"Text on 9/2: 1-3 weeks until delivery.  Text on 9/17: 4-11 days until delivery")</f>
        <v>Text on 9/2: 1-3 weeks until delivery.  Text on 9/17: 4-11 days until delivery</v>
      </c>
      <c r="AH1236" s="157">
        <f>IFERROR(__xludf.DUMMYFUNCTION("""COMPUTED_VALUE"""),44100.95996799768)</f>
        <v>44100.95997</v>
      </c>
      <c r="AI1236" s="138"/>
      <c r="AJ1236" s="138"/>
      <c r="AK1236" s="138"/>
      <c r="AL1236" s="142"/>
    </row>
    <row r="1237" ht="20.25" customHeight="1">
      <c r="A1237" s="155" t="str">
        <f>IFERROR(__xludf.DUMMYFUNCTION("""COMPUTED_VALUE"""),"NotUSir")</f>
        <v>NotUSir</v>
      </c>
      <c r="B1237" s="149"/>
      <c r="C1237" s="149"/>
      <c r="D1237" s="149" t="str">
        <f>IFERROR(__xludf.DUMMYFUNCTION("""COMPUTED_VALUE"""),"Italy")</f>
        <v>Italy</v>
      </c>
      <c r="E1237" s="156">
        <f>IFERROR(__xludf.DUMMYFUNCTION("""COMPUTED_VALUE"""),44008.0)</f>
        <v>44008</v>
      </c>
      <c r="F1237" s="129">
        <f>IFERROR(__xludf.DUMMYFUNCTION("""COMPUTED_VALUE"""),44074.0)</f>
        <v>44074</v>
      </c>
      <c r="G1237" s="154"/>
      <c r="H1237" s="131">
        <f>IFERROR(__xludf.DUMMYFUNCTION("""COMPUTED_VALUE"""),760698.0)</f>
        <v>760698</v>
      </c>
      <c r="I1237" s="144"/>
      <c r="J1237" s="129">
        <f>IFERROR(__xludf.DUMMYFUNCTION("""COMPUTED_VALUE"""),44079.0)</f>
        <v>44079</v>
      </c>
      <c r="K1237" s="133">
        <f>IFERROR(__xludf.DUMMYFUNCTION("""COMPUTED_VALUE"""),66.0)</f>
        <v>66</v>
      </c>
      <c r="L1237" s="133">
        <f>IFERROR(__xludf.DUMMYFUNCTION("""COMPUTED_VALUE"""),5.0)</f>
        <v>5</v>
      </c>
      <c r="M1237" s="133">
        <f>IFERROR(__xludf.DUMMYFUNCTION("""COMPUTED_VALUE"""),71.0)</f>
        <v>71</v>
      </c>
      <c r="N1237" s="152" t="str">
        <f>IFERROR(__xludf.DUMMYFUNCTION("""COMPUTED_VALUE"""),"Model 3 LR AWD")</f>
        <v>Model 3 LR AWD</v>
      </c>
      <c r="O1237" s="152" t="str">
        <f>IFERROR(__xludf.DUMMYFUNCTION("""COMPUTED_VALUE"""),"Pearl White Multi-Coat")</f>
        <v>Pearl White Multi-Coat</v>
      </c>
      <c r="P1237" s="153" t="str">
        <f>IFERROR(__xludf.DUMMYFUNCTION("""COMPUTED_VALUE"""),"18 inch Aero")</f>
        <v>18 inch Aero</v>
      </c>
      <c r="Q1237" s="152" t="str">
        <f>IFERROR(__xludf.DUMMYFUNCTION("""COMPUTED_VALUE"""),"White seats")</f>
        <v>White seats</v>
      </c>
      <c r="R1237" s="149" t="str">
        <f>IFERROR(__xludf.DUMMYFUNCTION("""COMPUTED_VALUE"""),"Full Self-Driving")</f>
        <v>Full Self-Driving</v>
      </c>
      <c r="S1237" s="149"/>
      <c r="T1237" s="145"/>
      <c r="U1237" s="145"/>
      <c r="V1237" s="145"/>
      <c r="W1237" s="145"/>
      <c r="X1237" s="137" t="str">
        <f>IFERROR(__xludf.DUMMYFUNCTION("""COMPUTED_VALUE"""),"Very Good")</f>
        <v>Very Good</v>
      </c>
      <c r="Y1237" s="138" t="str">
        <f>IFERROR(__xludf.DUMMYFUNCTION("""COMPUTED_VALUE"""),"Very Good")</f>
        <v>Very Good</v>
      </c>
      <c r="Z1237" s="138" t="str">
        <f>IFERROR(__xludf.DUMMYFUNCTION("""COMPUTED_VALUE"""),"Very Good")</f>
        <v>Very Good</v>
      </c>
      <c r="AA1237" s="138" t="str">
        <f>IFERROR(__xludf.DUMMYFUNCTION("""COMPUTED_VALUE"""),"Fair")</f>
        <v>Fair</v>
      </c>
      <c r="AB1237" s="138" t="str">
        <f>IFERROR(__xludf.DUMMYFUNCTION("""COMPUTED_VALUE"""),"Very Good")</f>
        <v>Very Good</v>
      </c>
      <c r="AC1237" s="139">
        <f>IFERROR(__xludf.DUMMYFUNCTION("""COMPUTED_VALUE"""),0.0)</f>
        <v>0</v>
      </c>
      <c r="AD1237" s="139">
        <f>IFERROR(__xludf.DUMMYFUNCTION("""COMPUTED_VALUE"""),0.0)</f>
        <v>0</v>
      </c>
      <c r="AE1237" s="139"/>
      <c r="AF1237" s="140"/>
      <c r="AG1237" s="145"/>
      <c r="AH1237" s="157">
        <f>IFERROR(__xludf.DUMMYFUNCTION("""COMPUTED_VALUE"""),44105.41994422454)</f>
        <v>44105.41994</v>
      </c>
      <c r="AI1237" s="138"/>
      <c r="AJ1237" s="138"/>
      <c r="AK1237" s="138"/>
      <c r="AL1237" s="142"/>
    </row>
    <row r="1238" ht="20.25" customHeight="1">
      <c r="A1238" s="155" t="str">
        <f>IFERROR(__xludf.DUMMYFUNCTION("""COMPUTED_VALUE"""),"TheGreatRanger1")</f>
        <v>TheGreatRanger1</v>
      </c>
      <c r="B1238" s="149" t="str">
        <f>IFERROR(__xludf.DUMMYFUNCTION("""COMPUTED_VALUE"""),"Bakersfield")</f>
        <v>Bakersfield</v>
      </c>
      <c r="C1238" s="149" t="str">
        <f>IFERROR(__xludf.DUMMYFUNCTION("""COMPUTED_VALUE"""),"CA")</f>
        <v>CA</v>
      </c>
      <c r="D1238" s="149" t="str">
        <f>IFERROR(__xludf.DUMMYFUNCTION("""COMPUTED_VALUE"""),"USA")</f>
        <v>USA</v>
      </c>
      <c r="E1238" s="156">
        <f>IFERROR(__xludf.DUMMYFUNCTION("""COMPUTED_VALUE"""),44006.0)</f>
        <v>44006</v>
      </c>
      <c r="F1238" s="129">
        <f>IFERROR(__xludf.DUMMYFUNCTION("""COMPUTED_VALUE"""),44081.0)</f>
        <v>44081</v>
      </c>
      <c r="G1238" s="154"/>
      <c r="H1238" s="131">
        <f>IFERROR(__xludf.DUMMYFUNCTION("""COMPUTED_VALUE"""),790455.0)</f>
        <v>790455</v>
      </c>
      <c r="I1238" s="132" t="str">
        <f>IFERROR(__xludf.DUMMYFUNCTION("""COMPUTED_VALUE"""),"09/20")</f>
        <v>09/20</v>
      </c>
      <c r="J1238" s="129">
        <f>IFERROR(__xludf.DUMMYFUNCTION("""COMPUTED_VALUE"""),44084.0)</f>
        <v>44084</v>
      </c>
      <c r="K1238" s="133">
        <f>IFERROR(__xludf.DUMMYFUNCTION("""COMPUTED_VALUE"""),75.0)</f>
        <v>75</v>
      </c>
      <c r="L1238" s="133">
        <f>IFERROR(__xludf.DUMMYFUNCTION("""COMPUTED_VALUE"""),3.0)</f>
        <v>3</v>
      </c>
      <c r="M1238" s="133">
        <f>IFERROR(__xludf.DUMMYFUNCTION("""COMPUTED_VALUE"""),78.0)</f>
        <v>78</v>
      </c>
      <c r="N1238" s="152" t="str">
        <f>IFERROR(__xludf.DUMMYFUNCTION("""COMPUTED_VALUE"""),"Model 3 LR AWD")</f>
        <v>Model 3 LR AWD</v>
      </c>
      <c r="O1238" s="152" t="str">
        <f>IFERROR(__xludf.DUMMYFUNCTION("""COMPUTED_VALUE"""),"Deep Blue Metallic")</f>
        <v>Deep Blue Metallic</v>
      </c>
      <c r="P1238" s="153" t="str">
        <f>IFERROR(__xludf.DUMMYFUNCTION("""COMPUTED_VALUE"""),"18 inch Aero")</f>
        <v>18 inch Aero</v>
      </c>
      <c r="Q1238" s="152" t="str">
        <f>IFERROR(__xludf.DUMMYFUNCTION("""COMPUTED_VALUE"""),"Black seats")</f>
        <v>Black seats</v>
      </c>
      <c r="R1238" s="150" t="str">
        <f>IFERROR(__xludf.DUMMYFUNCTION("""COMPUTED_VALUE"""),"Full Self-Driving")</f>
        <v>Full Self-Driving</v>
      </c>
      <c r="S1238" s="150"/>
      <c r="T1238" s="136"/>
      <c r="U1238" s="136"/>
      <c r="V1238" s="136"/>
      <c r="W1238" s="136"/>
      <c r="X1238" s="137" t="str">
        <f>IFERROR(__xludf.DUMMYFUNCTION("""COMPUTED_VALUE"""),"Excellent")</f>
        <v>Excellent</v>
      </c>
      <c r="Y1238" s="138" t="str">
        <f>IFERROR(__xludf.DUMMYFUNCTION("""COMPUTED_VALUE"""),"Good")</f>
        <v>Good</v>
      </c>
      <c r="Z1238" s="138" t="str">
        <f>IFERROR(__xludf.DUMMYFUNCTION("""COMPUTED_VALUE"""),"Excellent")</f>
        <v>Excellent</v>
      </c>
      <c r="AA1238" s="138" t="str">
        <f>IFERROR(__xludf.DUMMYFUNCTION("""COMPUTED_VALUE"""),"Excellent")</f>
        <v>Excellent</v>
      </c>
      <c r="AB1238" s="138" t="str">
        <f>IFERROR(__xludf.DUMMYFUNCTION("""COMPUTED_VALUE"""),"Very Good")</f>
        <v>Very Good</v>
      </c>
      <c r="AC1238" s="139">
        <f>IFERROR(__xludf.DUMMYFUNCTION("""COMPUTED_VALUE"""),1.0)</f>
        <v>1</v>
      </c>
      <c r="AD1238" s="139">
        <f>IFERROR(__xludf.DUMMYFUNCTION("""COMPUTED_VALUE"""),1.0)</f>
        <v>1</v>
      </c>
      <c r="AE1238" s="139">
        <f>IFERROR(__xludf.DUMMYFUNCTION("""COMPUTED_VALUE"""),0.0)</f>
        <v>0</v>
      </c>
      <c r="AF1238" s="140"/>
      <c r="AG1238" s="136" t="str">
        <f>IFERROR(__xludf.DUMMYFUNCTION("""COMPUTED_VALUE"""),"Declined inital June delivery date which came a week after order due to being out of the state. Just matched after Tesla started the matching process on August 1st.")</f>
        <v>Declined inital June delivery date which came a week after order due to being out of the state. Just matched after Tesla started the matching process on August 1st.</v>
      </c>
      <c r="AH1238" s="157">
        <f>IFERROR(__xludf.DUMMYFUNCTION("""COMPUTED_VALUE"""),44085.22656168982)</f>
        <v>44085.22656</v>
      </c>
      <c r="AI1238" s="138"/>
      <c r="AJ1238" s="138"/>
      <c r="AK1238" s="138"/>
      <c r="AL1238" s="142"/>
    </row>
    <row r="1239" ht="20.25" customHeight="1">
      <c r="A1239" s="155" t="str">
        <f>IFERROR(__xludf.DUMMYFUNCTION("""COMPUTED_VALUE"""),"DannyDannyPham")</f>
        <v>DannyDannyPham</v>
      </c>
      <c r="B1239" s="149" t="str">
        <f>IFERROR(__xludf.DUMMYFUNCTION("""COMPUTED_VALUE"""),"Spokane")</f>
        <v>Spokane</v>
      </c>
      <c r="C1239" s="149" t="str">
        <f>IFERROR(__xludf.DUMMYFUNCTION("""COMPUTED_VALUE"""),"WA")</f>
        <v>WA</v>
      </c>
      <c r="D1239" s="149" t="str">
        <f>IFERROR(__xludf.DUMMYFUNCTION("""COMPUTED_VALUE"""),"USA")</f>
        <v>USA</v>
      </c>
      <c r="E1239" s="156">
        <f>IFERROR(__xludf.DUMMYFUNCTION("""COMPUTED_VALUE"""),44002.0)</f>
        <v>44002</v>
      </c>
      <c r="F1239" s="129">
        <f>IFERROR(__xludf.DUMMYFUNCTION("""COMPUTED_VALUE"""),44091.0)</f>
        <v>44091</v>
      </c>
      <c r="G1239" s="154"/>
      <c r="H1239" s="131"/>
      <c r="I1239" s="144"/>
      <c r="J1239" s="129">
        <f>IFERROR(__xludf.DUMMYFUNCTION("""COMPUTED_VALUE"""),44094.0)</f>
        <v>44094</v>
      </c>
      <c r="K1239" s="133">
        <f>IFERROR(__xludf.DUMMYFUNCTION("""COMPUTED_VALUE"""),89.0)</f>
        <v>89</v>
      </c>
      <c r="L1239" s="133">
        <f>IFERROR(__xludf.DUMMYFUNCTION("""COMPUTED_VALUE"""),3.0)</f>
        <v>3</v>
      </c>
      <c r="M1239" s="133">
        <f>IFERROR(__xludf.DUMMYFUNCTION("""COMPUTED_VALUE"""),92.0)</f>
        <v>92</v>
      </c>
      <c r="N1239" s="152" t="str">
        <f>IFERROR(__xludf.DUMMYFUNCTION("""COMPUTED_VALUE"""),"Model 3 SR+")</f>
        <v>Model 3 SR+</v>
      </c>
      <c r="O1239" s="152" t="str">
        <f>IFERROR(__xludf.DUMMYFUNCTION("""COMPUTED_VALUE"""),"Midnight Silver Metallic")</f>
        <v>Midnight Silver Metallic</v>
      </c>
      <c r="P1239" s="153" t="str">
        <f>IFERROR(__xludf.DUMMYFUNCTION("""COMPUTED_VALUE"""),"18 inch Aero")</f>
        <v>18 inch Aero</v>
      </c>
      <c r="Q1239" s="152" t="str">
        <f>IFERROR(__xludf.DUMMYFUNCTION("""COMPUTED_VALUE"""),"Black seats")</f>
        <v>Black seats</v>
      </c>
      <c r="R1239" s="149" t="str">
        <f>IFERROR(__xludf.DUMMYFUNCTION("""COMPUTED_VALUE"""),"Autopilot")</f>
        <v>Autopilot</v>
      </c>
      <c r="S1239" s="149"/>
      <c r="T1239" s="145"/>
      <c r="U1239" s="145"/>
      <c r="V1239" s="145"/>
      <c r="W1239" s="136"/>
      <c r="X1239" s="137" t="str">
        <f>IFERROR(__xludf.DUMMYFUNCTION("""COMPUTED_VALUE"""),"Very Good")</f>
        <v>Very Good</v>
      </c>
      <c r="Y1239" s="138" t="str">
        <f>IFERROR(__xludf.DUMMYFUNCTION("""COMPUTED_VALUE"""),"Excellent")</f>
        <v>Excellent</v>
      </c>
      <c r="Z1239" s="138" t="str">
        <f>IFERROR(__xludf.DUMMYFUNCTION("""COMPUTED_VALUE"""),"Excellent")</f>
        <v>Excellent</v>
      </c>
      <c r="AA1239" s="138" t="str">
        <f>IFERROR(__xludf.DUMMYFUNCTION("""COMPUTED_VALUE"""),"Poor")</f>
        <v>Poor</v>
      </c>
      <c r="AB1239" s="138" t="str">
        <f>IFERROR(__xludf.DUMMYFUNCTION("""COMPUTED_VALUE"""),"Very Good")</f>
        <v>Very Good</v>
      </c>
      <c r="AC1239" s="139">
        <f>IFERROR(__xludf.DUMMYFUNCTION("""COMPUTED_VALUE"""),4.0)</f>
        <v>4</v>
      </c>
      <c r="AD1239" s="139"/>
      <c r="AE1239" s="139"/>
      <c r="AF1239" s="140"/>
      <c r="AG1239" s="136"/>
      <c r="AH1239" s="157">
        <f>IFERROR(__xludf.DUMMYFUNCTION("""COMPUTED_VALUE"""),44096.54144953704)</f>
        <v>44096.54145</v>
      </c>
      <c r="AI1239" s="138"/>
      <c r="AJ1239" s="138"/>
      <c r="AK1239" s="138"/>
      <c r="AL1239" s="142"/>
    </row>
    <row r="1240" ht="20.25" customHeight="1">
      <c r="A1240" s="155" t="str">
        <f>IFERROR(__xludf.DUMMYFUNCTION("""COMPUTED_VALUE"""),"BobyHeaven")</f>
        <v>BobyHeaven</v>
      </c>
      <c r="B1240" s="149"/>
      <c r="C1240" s="149" t="str">
        <f>IFERROR(__xludf.DUMMYFUNCTION("""COMPUTED_VALUE"""),"QC")</f>
        <v>QC</v>
      </c>
      <c r="D1240" s="149" t="str">
        <f>IFERROR(__xludf.DUMMYFUNCTION("""COMPUTED_VALUE"""),"Canada")</f>
        <v>Canada</v>
      </c>
      <c r="E1240" s="156">
        <f>IFERROR(__xludf.DUMMYFUNCTION("""COMPUTED_VALUE"""),44001.0)</f>
        <v>44001</v>
      </c>
      <c r="F1240" s="129">
        <f>IFERROR(__xludf.DUMMYFUNCTION("""COMPUTED_VALUE"""),44006.0)</f>
        <v>44006</v>
      </c>
      <c r="G1240" s="154"/>
      <c r="H1240" s="131">
        <f>IFERROR(__xludf.DUMMYFUNCTION("""COMPUTED_VALUE"""),734455.0)</f>
        <v>734455</v>
      </c>
      <c r="I1240" s="144" t="str">
        <f>IFERROR(__xludf.DUMMYFUNCTION("""COMPUTED_VALUE"""),"06/20")</f>
        <v>06/20</v>
      </c>
      <c r="J1240" s="129">
        <f>IFERROR(__xludf.DUMMYFUNCTION("""COMPUTED_VALUE"""),44008.0)</f>
        <v>44008</v>
      </c>
      <c r="K1240" s="133">
        <f>IFERROR(__xludf.DUMMYFUNCTION("""COMPUTED_VALUE"""),5.0)</f>
        <v>5</v>
      </c>
      <c r="L1240" s="133">
        <f>IFERROR(__xludf.DUMMYFUNCTION("""COMPUTED_VALUE"""),2.0)</f>
        <v>2</v>
      </c>
      <c r="M1240" s="133">
        <f>IFERROR(__xludf.DUMMYFUNCTION("""COMPUTED_VALUE"""),7.0)</f>
        <v>7</v>
      </c>
      <c r="N1240" s="152" t="str">
        <f>IFERROR(__xludf.DUMMYFUNCTION("""COMPUTED_VALUE"""),"Model 3 SR+")</f>
        <v>Model 3 SR+</v>
      </c>
      <c r="O1240" s="152" t="str">
        <f>IFERROR(__xludf.DUMMYFUNCTION("""COMPUTED_VALUE"""),"Pearl White Multi-Coat")</f>
        <v>Pearl White Multi-Coat</v>
      </c>
      <c r="P1240" s="153" t="str">
        <f>IFERROR(__xludf.DUMMYFUNCTION("""COMPUTED_VALUE"""),"18 inch Aero")</f>
        <v>18 inch Aero</v>
      </c>
      <c r="Q1240" s="152" t="str">
        <f>IFERROR(__xludf.DUMMYFUNCTION("""COMPUTED_VALUE"""),"Black seats")</f>
        <v>Black seats</v>
      </c>
      <c r="R1240" s="149" t="str">
        <f>IFERROR(__xludf.DUMMYFUNCTION("""COMPUTED_VALUE"""),"Autopilot")</f>
        <v>Autopilot</v>
      </c>
      <c r="S1240" s="149"/>
      <c r="T1240" s="145"/>
      <c r="U1240" s="145"/>
      <c r="V1240" s="145"/>
      <c r="W1240" s="136"/>
      <c r="X1240" s="137" t="str">
        <f>IFERROR(__xludf.DUMMYFUNCTION("""COMPUTED_VALUE"""),"Excellent")</f>
        <v>Excellent</v>
      </c>
      <c r="Y1240" s="138" t="str">
        <f>IFERROR(__xludf.DUMMYFUNCTION("""COMPUTED_VALUE"""),"Very Good")</f>
        <v>Very Good</v>
      </c>
      <c r="Z1240" s="138" t="str">
        <f>IFERROR(__xludf.DUMMYFUNCTION("""COMPUTED_VALUE"""),"Excellent")</f>
        <v>Excellent</v>
      </c>
      <c r="AA1240" s="138" t="str">
        <f>IFERROR(__xludf.DUMMYFUNCTION("""COMPUTED_VALUE"""),"Excellent")</f>
        <v>Excellent</v>
      </c>
      <c r="AB1240" s="138" t="str">
        <f>IFERROR(__xludf.DUMMYFUNCTION("""COMPUTED_VALUE"""),"Excellent")</f>
        <v>Excellent</v>
      </c>
      <c r="AC1240" s="139">
        <f>IFERROR(__xludf.DUMMYFUNCTION("""COMPUTED_VALUE"""),0.0)</f>
        <v>0</v>
      </c>
      <c r="AD1240" s="139">
        <f>IFERROR(__xludf.DUMMYFUNCTION("""COMPUTED_VALUE"""),1.0)</f>
        <v>1</v>
      </c>
      <c r="AE1240" s="139">
        <f>IFERROR(__xludf.DUMMYFUNCTION("""COMPUTED_VALUE"""),0.0)</f>
        <v>0</v>
      </c>
      <c r="AF1240" s="140"/>
      <c r="AG1240" s="136"/>
      <c r="AH1240" s="157">
        <f>IFERROR(__xludf.DUMMYFUNCTION("""COMPUTED_VALUE"""),44139.5972625)</f>
        <v>44139.59726</v>
      </c>
      <c r="AI1240" s="138"/>
      <c r="AJ1240" s="138"/>
      <c r="AK1240" s="138"/>
      <c r="AL1240" s="142"/>
    </row>
    <row r="1241" ht="20.25" customHeight="1">
      <c r="A1241" s="155" t="str">
        <f>IFERROR(__xludf.DUMMYFUNCTION("""COMPUTED_VALUE"""),"mrcrassic")</f>
        <v>mrcrassic</v>
      </c>
      <c r="B1241" s="149" t="str">
        <f>IFERROR(__xludf.DUMMYFUNCTION("""COMPUTED_VALUE"""),"Dallas")</f>
        <v>Dallas</v>
      </c>
      <c r="C1241" s="149" t="str">
        <f>IFERROR(__xludf.DUMMYFUNCTION("""COMPUTED_VALUE"""),"TX")</f>
        <v>TX</v>
      </c>
      <c r="D1241" s="149" t="str">
        <f>IFERROR(__xludf.DUMMYFUNCTION("""COMPUTED_VALUE"""),"USA")</f>
        <v>USA</v>
      </c>
      <c r="E1241" s="156">
        <f>IFERROR(__xludf.DUMMYFUNCTION("""COMPUTED_VALUE"""),44001.0)</f>
        <v>44001</v>
      </c>
      <c r="F1241" s="129">
        <f>IFERROR(__xludf.DUMMYFUNCTION("""COMPUTED_VALUE"""),44002.0)</f>
        <v>44002</v>
      </c>
      <c r="G1241" s="154"/>
      <c r="H1241" s="131">
        <f>IFERROR(__xludf.DUMMYFUNCTION("""COMPUTED_VALUE"""),711616.0)</f>
        <v>711616</v>
      </c>
      <c r="I1241" s="144" t="str">
        <f>IFERROR(__xludf.DUMMYFUNCTION("""COMPUTED_VALUE"""),"05/20")</f>
        <v>05/20</v>
      </c>
      <c r="J1241" s="129">
        <f>IFERROR(__xludf.DUMMYFUNCTION("""COMPUTED_VALUE"""),44011.0)</f>
        <v>44011</v>
      </c>
      <c r="K1241" s="133">
        <f>IFERROR(__xludf.DUMMYFUNCTION("""COMPUTED_VALUE"""),1.0)</f>
        <v>1</v>
      </c>
      <c r="L1241" s="133">
        <f>IFERROR(__xludf.DUMMYFUNCTION("""COMPUTED_VALUE"""),9.0)</f>
        <v>9</v>
      </c>
      <c r="M1241" s="133">
        <f>IFERROR(__xludf.DUMMYFUNCTION("""COMPUTED_VALUE"""),10.0)</f>
        <v>10</v>
      </c>
      <c r="N1241" s="152" t="str">
        <f>IFERROR(__xludf.DUMMYFUNCTION("""COMPUTED_VALUE"""),"Model 3 LR AWD")</f>
        <v>Model 3 LR AWD</v>
      </c>
      <c r="O1241" s="152" t="str">
        <f>IFERROR(__xludf.DUMMYFUNCTION("""COMPUTED_VALUE"""),"Pearl White Multi-Coat")</f>
        <v>Pearl White Multi-Coat</v>
      </c>
      <c r="P1241" s="153" t="str">
        <f>IFERROR(__xludf.DUMMYFUNCTION("""COMPUTED_VALUE"""),"18 inch Aero")</f>
        <v>18 inch Aero</v>
      </c>
      <c r="Q1241" s="152" t="str">
        <f>IFERROR(__xludf.DUMMYFUNCTION("""COMPUTED_VALUE"""),"Black seats")</f>
        <v>Black seats</v>
      </c>
      <c r="R1241" s="149" t="str">
        <f>IFERROR(__xludf.DUMMYFUNCTION("""COMPUTED_VALUE"""),"Full Self-Driving")</f>
        <v>Full Self-Driving</v>
      </c>
      <c r="S1241" s="149"/>
      <c r="T1241" s="145"/>
      <c r="U1241" s="145"/>
      <c r="V1241" s="145"/>
      <c r="W1241" s="136"/>
      <c r="X1241" s="137" t="str">
        <f>IFERROR(__xludf.DUMMYFUNCTION("""COMPUTED_VALUE"""),"Very Good")</f>
        <v>Very Good</v>
      </c>
      <c r="Y1241" s="138" t="str">
        <f>IFERROR(__xludf.DUMMYFUNCTION("""COMPUTED_VALUE"""),"Excellent")</f>
        <v>Excellent</v>
      </c>
      <c r="Z1241" s="138" t="str">
        <f>IFERROR(__xludf.DUMMYFUNCTION("""COMPUTED_VALUE"""),"Excellent")</f>
        <v>Excellent</v>
      </c>
      <c r="AA1241" s="138" t="str">
        <f>IFERROR(__xludf.DUMMYFUNCTION("""COMPUTED_VALUE"""),"Good")</f>
        <v>Good</v>
      </c>
      <c r="AB1241" s="138" t="str">
        <f>IFERROR(__xludf.DUMMYFUNCTION("""COMPUTED_VALUE"""),"Fair")</f>
        <v>Fair</v>
      </c>
      <c r="AC1241" s="139">
        <f>IFERROR(__xludf.DUMMYFUNCTION("""COMPUTED_VALUE"""),0.0)</f>
        <v>0</v>
      </c>
      <c r="AD1241" s="139"/>
      <c r="AE1241" s="139"/>
      <c r="AF1241" s="140"/>
      <c r="AG1241" s="136" t="str">
        <f>IFERROR(__xludf.DUMMYFUNCTION("""COMPUTED_VALUE"""),"Yes, you can take delivery of the car without tags or with 72-hour tags in Texas. Trade-in and financed. Ran into delays getting the trade-in paperwork and in getting my loan provider to wire the money over to Tesla.")</f>
        <v>Yes, you can take delivery of the car without tags or with 72-hour tags in Texas. Trade-in and financed. Ran into delays getting the trade-in paperwork and in getting my loan provider to wire the money over to Tesla.</v>
      </c>
      <c r="AH1241" s="157">
        <f>IFERROR(__xludf.DUMMYFUNCTION("""COMPUTED_VALUE"""),44022.741756655094)</f>
        <v>44022.74176</v>
      </c>
      <c r="AI1241" s="138"/>
      <c r="AJ1241" s="138"/>
      <c r="AK1241" s="138"/>
      <c r="AL1241" s="142"/>
    </row>
    <row r="1242" ht="20.25" customHeight="1">
      <c r="A1242" s="155" t="str">
        <f>IFERROR(__xludf.DUMMYFUNCTION("""COMPUTED_VALUE"""),"model3perf")</f>
        <v>model3perf</v>
      </c>
      <c r="B1242" s="149" t="str">
        <f>IFERROR(__xludf.DUMMYFUNCTION("""COMPUTED_VALUE"""),"Pittsburgh")</f>
        <v>Pittsburgh</v>
      </c>
      <c r="C1242" s="149" t="str">
        <f>IFERROR(__xludf.DUMMYFUNCTION("""COMPUTED_VALUE"""),"PA")</f>
        <v>PA</v>
      </c>
      <c r="D1242" s="149" t="str">
        <f>IFERROR(__xludf.DUMMYFUNCTION("""COMPUTED_VALUE"""),"USA")</f>
        <v>USA</v>
      </c>
      <c r="E1242" s="156">
        <f>IFERROR(__xludf.DUMMYFUNCTION("""COMPUTED_VALUE"""),43999.0)</f>
        <v>43999</v>
      </c>
      <c r="F1242" s="129">
        <f>IFERROR(__xludf.DUMMYFUNCTION("""COMPUTED_VALUE"""),44002.0)</f>
        <v>44002</v>
      </c>
      <c r="G1242" s="154"/>
      <c r="H1242" s="131">
        <f>IFERROR(__xludf.DUMMYFUNCTION("""COMPUTED_VALUE"""),714755.0)</f>
        <v>714755</v>
      </c>
      <c r="I1242" s="144" t="str">
        <f>IFERROR(__xludf.DUMMYFUNCTION("""COMPUTED_VALUE"""),"06/20")</f>
        <v>06/20</v>
      </c>
      <c r="J1242" s="129">
        <f>IFERROR(__xludf.DUMMYFUNCTION("""COMPUTED_VALUE"""),44006.0)</f>
        <v>44006</v>
      </c>
      <c r="K1242" s="133">
        <f>IFERROR(__xludf.DUMMYFUNCTION("""COMPUTED_VALUE"""),3.0)</f>
        <v>3</v>
      </c>
      <c r="L1242" s="133">
        <f>IFERROR(__xludf.DUMMYFUNCTION("""COMPUTED_VALUE"""),4.0)</f>
        <v>4</v>
      </c>
      <c r="M1242" s="133">
        <f>IFERROR(__xludf.DUMMYFUNCTION("""COMPUTED_VALUE"""),7.0)</f>
        <v>7</v>
      </c>
      <c r="N1242" s="152" t="str">
        <f>IFERROR(__xludf.DUMMYFUNCTION("""COMPUTED_VALUE"""),"Model 3 Performance")</f>
        <v>Model 3 Performance</v>
      </c>
      <c r="O1242" s="152" t="str">
        <f>IFERROR(__xludf.DUMMYFUNCTION("""COMPUTED_VALUE"""),"Red Multi-Coat")</f>
        <v>Red Multi-Coat</v>
      </c>
      <c r="P1242" s="153" t="str">
        <f>IFERROR(__xludf.DUMMYFUNCTION("""COMPUTED_VALUE"""),"20 inch Sport")</f>
        <v>20 inch Sport</v>
      </c>
      <c r="Q1242" s="152" t="str">
        <f>IFERROR(__xludf.DUMMYFUNCTION("""COMPUTED_VALUE"""),"White seats")</f>
        <v>White seats</v>
      </c>
      <c r="R1242" s="149" t="str">
        <f>IFERROR(__xludf.DUMMYFUNCTION("""COMPUTED_VALUE"""),"Full Self-Driving")</f>
        <v>Full Self-Driving</v>
      </c>
      <c r="S1242" s="149"/>
      <c r="T1242" s="145"/>
      <c r="U1242" s="145"/>
      <c r="V1242" s="145"/>
      <c r="W1242" s="136"/>
      <c r="X1242" s="137" t="str">
        <f>IFERROR(__xludf.DUMMYFUNCTION("""COMPUTED_VALUE"""),"Very Good")</f>
        <v>Very Good</v>
      </c>
      <c r="Y1242" s="138" t="str">
        <f>IFERROR(__xludf.DUMMYFUNCTION("""COMPUTED_VALUE"""),"Very Good")</f>
        <v>Very Good</v>
      </c>
      <c r="Z1242" s="138" t="str">
        <f>IFERROR(__xludf.DUMMYFUNCTION("""COMPUTED_VALUE"""),"Very Good")</f>
        <v>Very Good</v>
      </c>
      <c r="AA1242" s="138" t="str">
        <f>IFERROR(__xludf.DUMMYFUNCTION("""COMPUTED_VALUE"""),"Excellent")</f>
        <v>Excellent</v>
      </c>
      <c r="AB1242" s="138" t="str">
        <f>IFERROR(__xludf.DUMMYFUNCTION("""COMPUTED_VALUE"""),"Excellent")</f>
        <v>Excellent</v>
      </c>
      <c r="AC1242" s="139">
        <f>IFERROR(__xludf.DUMMYFUNCTION("""COMPUTED_VALUE"""),3.0)</f>
        <v>3</v>
      </c>
      <c r="AD1242" s="139">
        <f>IFERROR(__xludf.DUMMYFUNCTION("""COMPUTED_VALUE"""),1.0)</f>
        <v>1</v>
      </c>
      <c r="AE1242" s="139">
        <f>IFERROR(__xludf.DUMMYFUNCTION("""COMPUTED_VALUE"""),0.0)</f>
        <v>0</v>
      </c>
      <c r="AF1242" s="140"/>
      <c r="AG1242" s="136"/>
      <c r="AH1242" s="157">
        <f>IFERROR(__xludf.DUMMYFUNCTION("""COMPUTED_VALUE"""),44032.50214700231)</f>
        <v>44032.50215</v>
      </c>
      <c r="AI1242" s="138"/>
      <c r="AJ1242" s="138"/>
      <c r="AK1242" s="138"/>
      <c r="AL1242" s="142"/>
    </row>
    <row r="1243" ht="20.25" customHeight="1">
      <c r="A1243" s="155" t="str">
        <f>IFERROR(__xludf.DUMMYFUNCTION("""COMPUTED_VALUE"""),"caric")</f>
        <v>caric</v>
      </c>
      <c r="B1243" s="149" t="str">
        <f>IFERROR(__xludf.DUMMYFUNCTION("""COMPUTED_VALUE"""),"peoria")</f>
        <v>peoria</v>
      </c>
      <c r="C1243" s="149" t="str">
        <f>IFERROR(__xludf.DUMMYFUNCTION("""COMPUTED_VALUE"""),"AZ")</f>
        <v>AZ</v>
      </c>
      <c r="D1243" s="149" t="str">
        <f>IFERROR(__xludf.DUMMYFUNCTION("""COMPUTED_VALUE"""),"USA")</f>
        <v>USA</v>
      </c>
      <c r="E1243" s="156">
        <f>IFERROR(__xludf.DUMMYFUNCTION("""COMPUTED_VALUE"""),43998.0)</f>
        <v>43998</v>
      </c>
      <c r="F1243" s="129">
        <f>IFERROR(__xludf.DUMMYFUNCTION("""COMPUTED_VALUE"""),44008.0)</f>
        <v>44008</v>
      </c>
      <c r="G1243" s="154"/>
      <c r="H1243" s="131">
        <f>IFERROR(__xludf.DUMMYFUNCTION("""COMPUTED_VALUE"""),742855.0)</f>
        <v>742855</v>
      </c>
      <c r="I1243" s="144"/>
      <c r="J1243" s="129">
        <f>IFERROR(__xludf.DUMMYFUNCTION("""COMPUTED_VALUE"""),44010.0)</f>
        <v>44010</v>
      </c>
      <c r="K1243" s="133">
        <f>IFERROR(__xludf.DUMMYFUNCTION("""COMPUTED_VALUE"""),10.0)</f>
        <v>10</v>
      </c>
      <c r="L1243" s="133">
        <f>IFERROR(__xludf.DUMMYFUNCTION("""COMPUTED_VALUE"""),2.0)</f>
        <v>2</v>
      </c>
      <c r="M1243" s="133">
        <f>IFERROR(__xludf.DUMMYFUNCTION("""COMPUTED_VALUE"""),12.0)</f>
        <v>12</v>
      </c>
      <c r="N1243" s="152" t="str">
        <f>IFERROR(__xludf.DUMMYFUNCTION("""COMPUTED_VALUE"""),"Model 3 Performance")</f>
        <v>Model 3 Performance</v>
      </c>
      <c r="O1243" s="152" t="str">
        <f>IFERROR(__xludf.DUMMYFUNCTION("""COMPUTED_VALUE"""),"Red Multi-Coat")</f>
        <v>Red Multi-Coat</v>
      </c>
      <c r="P1243" s="153" t="str">
        <f>IFERROR(__xludf.DUMMYFUNCTION("""COMPUTED_VALUE"""),"20 inch Sport")</f>
        <v>20 inch Sport</v>
      </c>
      <c r="Q1243" s="152" t="str">
        <f>IFERROR(__xludf.DUMMYFUNCTION("""COMPUTED_VALUE"""),"White seats")</f>
        <v>White seats</v>
      </c>
      <c r="R1243" s="149" t="str">
        <f>IFERROR(__xludf.DUMMYFUNCTION("""COMPUTED_VALUE"""),"Autopilot")</f>
        <v>Autopilot</v>
      </c>
      <c r="S1243" s="149"/>
      <c r="T1243" s="145"/>
      <c r="U1243" s="145"/>
      <c r="V1243" s="145"/>
      <c r="W1243" s="136"/>
      <c r="X1243" s="137" t="str">
        <f>IFERROR(__xludf.DUMMYFUNCTION("""COMPUTED_VALUE"""),"Good")</f>
        <v>Good</v>
      </c>
      <c r="Y1243" s="138" t="str">
        <f>IFERROR(__xludf.DUMMYFUNCTION("""COMPUTED_VALUE"""),"Very Good")</f>
        <v>Very Good</v>
      </c>
      <c r="Z1243" s="138" t="str">
        <f>IFERROR(__xludf.DUMMYFUNCTION("""COMPUTED_VALUE"""),"Very Good")</f>
        <v>Very Good</v>
      </c>
      <c r="AA1243" s="138" t="str">
        <f>IFERROR(__xludf.DUMMYFUNCTION("""COMPUTED_VALUE"""),"Poor")</f>
        <v>Poor</v>
      </c>
      <c r="AB1243" s="138" t="str">
        <f>IFERROR(__xludf.DUMMYFUNCTION("""COMPUTED_VALUE"""),"Good")</f>
        <v>Good</v>
      </c>
      <c r="AC1243" s="139"/>
      <c r="AD1243" s="139"/>
      <c r="AE1243" s="139"/>
      <c r="AF1243" s="140"/>
      <c r="AG1243" s="136"/>
      <c r="AH1243" s="157">
        <f>IFERROR(__xludf.DUMMYFUNCTION("""COMPUTED_VALUE"""),44016.90605406251)</f>
        <v>44016.90605</v>
      </c>
      <c r="AI1243" s="138"/>
      <c r="AJ1243" s="138"/>
      <c r="AK1243" s="138"/>
      <c r="AL1243" s="142"/>
    </row>
    <row r="1244" ht="20.25" customHeight="1">
      <c r="A1244" s="155" t="str">
        <f>IFERROR(__xludf.DUMMYFUNCTION("""COMPUTED_VALUE"""),"AH-1Wmech")</f>
        <v>AH-1Wmech</v>
      </c>
      <c r="B1244" s="149" t="str">
        <f>IFERROR(__xludf.DUMMYFUNCTION("""COMPUTED_VALUE"""),"Kapolei")</f>
        <v>Kapolei</v>
      </c>
      <c r="C1244" s="149" t="str">
        <f>IFERROR(__xludf.DUMMYFUNCTION("""COMPUTED_VALUE"""),"HI")</f>
        <v>HI</v>
      </c>
      <c r="D1244" s="149" t="str">
        <f>IFERROR(__xludf.DUMMYFUNCTION("""COMPUTED_VALUE"""),"USA")</f>
        <v>USA</v>
      </c>
      <c r="E1244" s="156">
        <f>IFERROR(__xludf.DUMMYFUNCTION("""COMPUTED_VALUE"""),43996.0)</f>
        <v>43996</v>
      </c>
      <c r="F1244" s="129"/>
      <c r="G1244" s="154"/>
      <c r="H1244" s="131">
        <f>IFERROR(__xludf.DUMMYFUNCTION("""COMPUTED_VALUE"""),775155.0)</f>
        <v>775155</v>
      </c>
      <c r="I1244" s="144" t="str">
        <f>IFERROR(__xludf.DUMMYFUNCTION("""COMPUTED_VALUE"""),"08/20")</f>
        <v>08/20</v>
      </c>
      <c r="J1244" s="129">
        <f>IFERROR(__xludf.DUMMYFUNCTION("""COMPUTED_VALUE"""),44092.0)</f>
        <v>44092</v>
      </c>
      <c r="K1244" s="133"/>
      <c r="L1244" s="133"/>
      <c r="M1244" s="133">
        <f>IFERROR(__xludf.DUMMYFUNCTION("""COMPUTED_VALUE"""),96.0)</f>
        <v>96</v>
      </c>
      <c r="N1244" s="152" t="str">
        <f>IFERROR(__xludf.DUMMYFUNCTION("""COMPUTED_VALUE"""),"Model 3 SR+")</f>
        <v>Model 3 SR+</v>
      </c>
      <c r="O1244" s="152" t="str">
        <f>IFERROR(__xludf.DUMMYFUNCTION("""COMPUTED_VALUE"""),"Red Multi-Coat")</f>
        <v>Red Multi-Coat</v>
      </c>
      <c r="P1244" s="153" t="str">
        <f>IFERROR(__xludf.DUMMYFUNCTION("""COMPUTED_VALUE"""),"19 inch Sport")</f>
        <v>19 inch Sport</v>
      </c>
      <c r="Q1244" s="152" t="str">
        <f>IFERROR(__xludf.DUMMYFUNCTION("""COMPUTED_VALUE"""),"White seats")</f>
        <v>White seats</v>
      </c>
      <c r="R1244" s="149" t="str">
        <f>IFERROR(__xludf.DUMMYFUNCTION("""COMPUTED_VALUE"""),"Autopilot")</f>
        <v>Autopilot</v>
      </c>
      <c r="S1244" s="149"/>
      <c r="T1244" s="145"/>
      <c r="U1244" s="145"/>
      <c r="V1244" s="145"/>
      <c r="W1244" s="145"/>
      <c r="X1244" s="137" t="str">
        <f>IFERROR(__xludf.DUMMYFUNCTION("""COMPUTED_VALUE"""),"Very Good")</f>
        <v>Very Good</v>
      </c>
      <c r="Y1244" s="138" t="str">
        <f>IFERROR(__xludf.DUMMYFUNCTION("""COMPUTED_VALUE"""),"Very Good")</f>
        <v>Very Good</v>
      </c>
      <c r="Z1244" s="138" t="str">
        <f>IFERROR(__xludf.DUMMYFUNCTION("""COMPUTED_VALUE"""),"Very Good")</f>
        <v>Very Good</v>
      </c>
      <c r="AA1244" s="138" t="str">
        <f>IFERROR(__xludf.DUMMYFUNCTION("""COMPUTED_VALUE"""),"Good")</f>
        <v>Good</v>
      </c>
      <c r="AB1244" s="138" t="str">
        <f>IFERROR(__xludf.DUMMYFUNCTION("""COMPUTED_VALUE"""),"Very Good")</f>
        <v>Very Good</v>
      </c>
      <c r="AC1244" s="139">
        <f>IFERROR(__xludf.DUMMYFUNCTION("""COMPUTED_VALUE"""),4.0)</f>
        <v>4</v>
      </c>
      <c r="AD1244" s="139">
        <f>IFERROR(__xludf.DUMMYFUNCTION("""COMPUTED_VALUE"""),1.0)</f>
        <v>1</v>
      </c>
      <c r="AE1244" s="139"/>
      <c r="AF1244" s="140"/>
      <c r="AG1244" s="145"/>
      <c r="AH1244" s="157">
        <f>IFERROR(__xludf.DUMMYFUNCTION("""COMPUTED_VALUE"""),44102.79841163194)</f>
        <v>44102.79841</v>
      </c>
      <c r="AI1244" s="138"/>
      <c r="AJ1244" s="138"/>
      <c r="AK1244" s="138"/>
      <c r="AL1244" s="142"/>
    </row>
    <row r="1245" ht="20.25" customHeight="1">
      <c r="A1245" s="155" t="str">
        <f>IFERROR(__xludf.DUMMYFUNCTION("""COMPUTED_VALUE"""),"AmitabhBachchan")</f>
        <v>AmitabhBachchan</v>
      </c>
      <c r="B1245" s="149" t="str">
        <f>IFERROR(__xludf.DUMMYFUNCTION("""COMPUTED_VALUE"""),"San Jose")</f>
        <v>San Jose</v>
      </c>
      <c r="C1245" s="149" t="str">
        <f>IFERROR(__xludf.DUMMYFUNCTION("""COMPUTED_VALUE"""),"CA")</f>
        <v>CA</v>
      </c>
      <c r="D1245" s="149" t="str">
        <f>IFERROR(__xludf.DUMMYFUNCTION("""COMPUTED_VALUE"""),"USA")</f>
        <v>USA</v>
      </c>
      <c r="E1245" s="156">
        <f>IFERROR(__xludf.DUMMYFUNCTION("""COMPUTED_VALUE"""),43991.0)</f>
        <v>43991</v>
      </c>
      <c r="F1245" s="129">
        <f>IFERROR(__xludf.DUMMYFUNCTION("""COMPUTED_VALUE"""),43996.0)</f>
        <v>43996</v>
      </c>
      <c r="G1245" s="154"/>
      <c r="H1245" s="131">
        <f>IFERROR(__xludf.DUMMYFUNCTION("""COMPUTED_VALUE"""),740599.0)</f>
        <v>740599</v>
      </c>
      <c r="I1245" s="132"/>
      <c r="J1245" s="129">
        <f>IFERROR(__xludf.DUMMYFUNCTION("""COMPUTED_VALUE"""),44001.0)</f>
        <v>44001</v>
      </c>
      <c r="K1245" s="133">
        <f>IFERROR(__xludf.DUMMYFUNCTION("""COMPUTED_VALUE"""),5.0)</f>
        <v>5</v>
      </c>
      <c r="L1245" s="133">
        <f>IFERROR(__xludf.DUMMYFUNCTION("""COMPUTED_VALUE"""),5.0)</f>
        <v>5</v>
      </c>
      <c r="M1245" s="133">
        <f>IFERROR(__xludf.DUMMYFUNCTION("""COMPUTED_VALUE"""),10.0)</f>
        <v>10</v>
      </c>
      <c r="N1245" s="152" t="str">
        <f>IFERROR(__xludf.DUMMYFUNCTION("""COMPUTED_VALUE"""),"Model 3 SR+")</f>
        <v>Model 3 SR+</v>
      </c>
      <c r="O1245" s="152" t="str">
        <f>IFERROR(__xludf.DUMMYFUNCTION("""COMPUTED_VALUE"""),"Solid Black")</f>
        <v>Solid Black</v>
      </c>
      <c r="P1245" s="153" t="str">
        <f>IFERROR(__xludf.DUMMYFUNCTION("""COMPUTED_VALUE"""),"19 inch Sport")</f>
        <v>19 inch Sport</v>
      </c>
      <c r="Q1245" s="152" t="str">
        <f>IFERROR(__xludf.DUMMYFUNCTION("""COMPUTED_VALUE"""),"Black seats")</f>
        <v>Black seats</v>
      </c>
      <c r="R1245" s="150" t="str">
        <f>IFERROR(__xludf.DUMMYFUNCTION("""COMPUTED_VALUE"""),"Autopilot")</f>
        <v>Autopilot</v>
      </c>
      <c r="S1245" s="150"/>
      <c r="T1245" s="136"/>
      <c r="U1245" s="136"/>
      <c r="V1245" s="136"/>
      <c r="W1245" s="136"/>
      <c r="X1245" s="137" t="str">
        <f>IFERROR(__xludf.DUMMYFUNCTION("""COMPUTED_VALUE"""),"Excellent")</f>
        <v>Excellent</v>
      </c>
      <c r="Y1245" s="138" t="str">
        <f>IFERROR(__xludf.DUMMYFUNCTION("""COMPUTED_VALUE"""),"Very Good")</f>
        <v>Very Good</v>
      </c>
      <c r="Z1245" s="138" t="str">
        <f>IFERROR(__xludf.DUMMYFUNCTION("""COMPUTED_VALUE"""),"Very Good")</f>
        <v>Very Good</v>
      </c>
      <c r="AA1245" s="138" t="str">
        <f>IFERROR(__xludf.DUMMYFUNCTION("""COMPUTED_VALUE"""),"Poor")</f>
        <v>Poor</v>
      </c>
      <c r="AB1245" s="138" t="str">
        <f>IFERROR(__xludf.DUMMYFUNCTION("""COMPUTED_VALUE"""),"Excellent")</f>
        <v>Excellent</v>
      </c>
      <c r="AC1245" s="139">
        <f>IFERROR(__xludf.DUMMYFUNCTION("""COMPUTED_VALUE"""),0.0)</f>
        <v>0</v>
      </c>
      <c r="AD1245" s="139">
        <f>IFERROR(__xludf.DUMMYFUNCTION("""COMPUTED_VALUE"""),0.0)</f>
        <v>0</v>
      </c>
      <c r="AE1245" s="139">
        <f>IFERROR(__xludf.DUMMYFUNCTION("""COMPUTED_VALUE"""),0.0)</f>
        <v>0</v>
      </c>
      <c r="AF1245" s="140"/>
      <c r="AG1245" s="136" t="str">
        <f>IFERROR(__xludf.DUMMYFUNCTION("""COMPUTED_VALUE"""),"Got a call from Tesla on 6/14/2020 asking to schedule delivery even before VIN was shown. Telsa notified me the VIN has been issued. Scheduled delivery for 6/17/2020. When the delivery date was confirmed, the online account showed the VIN ")</f>
        <v>Got a call from Tesla on 6/14/2020 asking to schedule delivery even before VIN was shown. Telsa notified me the VIN has been issued. Scheduled delivery for 6/17/2020. When the delivery date was confirmed, the online account showed the VIN </v>
      </c>
      <c r="AH1245" s="157">
        <f>IFERROR(__xludf.DUMMYFUNCTION("""COMPUTED_VALUE"""),44058.53999666667)</f>
        <v>44058.54</v>
      </c>
      <c r="AI1245" s="138"/>
      <c r="AJ1245" s="138"/>
      <c r="AK1245" s="138"/>
      <c r="AL1245" s="142"/>
    </row>
    <row r="1246" ht="20.25" customHeight="1">
      <c r="A1246" s="155" t="str">
        <f>IFERROR(__xludf.DUMMYFUNCTION("""COMPUTED_VALUE"""),"JAR897")</f>
        <v>JAR897</v>
      </c>
      <c r="B1246" s="149" t="str">
        <f>IFERROR(__xludf.DUMMYFUNCTION("""COMPUTED_VALUE"""),"Nottingham")</f>
        <v>Nottingham</v>
      </c>
      <c r="C1246" s="149"/>
      <c r="D1246" s="149" t="str">
        <f>IFERROR(__xludf.DUMMYFUNCTION("""COMPUTED_VALUE"""),"United Kingdom")</f>
        <v>United Kingdom</v>
      </c>
      <c r="E1246" s="156">
        <f>IFERROR(__xludf.DUMMYFUNCTION("""COMPUTED_VALUE"""),43986.0)</f>
        <v>43986</v>
      </c>
      <c r="F1246" s="129"/>
      <c r="G1246" s="154"/>
      <c r="H1246" s="131">
        <f>IFERROR(__xludf.DUMMYFUNCTION("""COMPUTED_VALUE"""),608615.0)</f>
        <v>608615</v>
      </c>
      <c r="I1246" s="132" t="str">
        <f>IFERROR(__xludf.DUMMYFUNCTION("""COMPUTED_VALUE"""),"02/20")</f>
        <v>02/20</v>
      </c>
      <c r="J1246" s="129">
        <f>IFERROR(__xludf.DUMMYFUNCTION("""COMPUTED_VALUE"""),44012.0)</f>
        <v>44012</v>
      </c>
      <c r="K1246" s="133"/>
      <c r="L1246" s="133"/>
      <c r="M1246" s="133">
        <f>IFERROR(__xludf.DUMMYFUNCTION("""COMPUTED_VALUE"""),26.0)</f>
        <v>26</v>
      </c>
      <c r="N1246" s="152" t="str">
        <f>IFERROR(__xludf.DUMMYFUNCTION("""COMPUTED_VALUE"""),"Model 3 Performance")</f>
        <v>Model 3 Performance</v>
      </c>
      <c r="O1246" s="152" t="str">
        <f>IFERROR(__xludf.DUMMYFUNCTION("""COMPUTED_VALUE"""),"Pearl White Multi-Coat")</f>
        <v>Pearl White Multi-Coat</v>
      </c>
      <c r="P1246" s="153" t="str">
        <f>IFERROR(__xludf.DUMMYFUNCTION("""COMPUTED_VALUE"""),"20 inch Sport")</f>
        <v>20 inch Sport</v>
      </c>
      <c r="Q1246" s="152" t="str">
        <f>IFERROR(__xludf.DUMMYFUNCTION("""COMPUTED_VALUE"""),"White seats")</f>
        <v>White seats</v>
      </c>
      <c r="R1246" s="150" t="str">
        <f>IFERROR(__xludf.DUMMYFUNCTION("""COMPUTED_VALUE"""),"Full Self-Driving")</f>
        <v>Full Self-Driving</v>
      </c>
      <c r="S1246" s="150"/>
      <c r="T1246" s="136"/>
      <c r="U1246" s="136"/>
      <c r="V1246" s="136"/>
      <c r="W1246" s="136"/>
      <c r="X1246" s="137" t="str">
        <f>IFERROR(__xludf.DUMMYFUNCTION("""COMPUTED_VALUE"""),"Very Good")</f>
        <v>Very Good</v>
      </c>
      <c r="Y1246" s="138" t="str">
        <f>IFERROR(__xludf.DUMMYFUNCTION("""COMPUTED_VALUE"""),"Very Good")</f>
        <v>Very Good</v>
      </c>
      <c r="Z1246" s="138" t="str">
        <f>IFERROR(__xludf.DUMMYFUNCTION("""COMPUTED_VALUE"""),"Very Good")</f>
        <v>Very Good</v>
      </c>
      <c r="AA1246" s="138" t="str">
        <f>IFERROR(__xludf.DUMMYFUNCTION("""COMPUTED_VALUE"""),"Very Good")</f>
        <v>Very Good</v>
      </c>
      <c r="AB1246" s="138" t="str">
        <f>IFERROR(__xludf.DUMMYFUNCTION("""COMPUTED_VALUE"""),"Very Good")</f>
        <v>Very Good</v>
      </c>
      <c r="AC1246" s="139">
        <f>IFERROR(__xludf.DUMMYFUNCTION("""COMPUTED_VALUE"""),0.0)</f>
        <v>0</v>
      </c>
      <c r="AD1246" s="139"/>
      <c r="AE1246" s="139"/>
      <c r="AF1246" s="140"/>
      <c r="AG1246" s="136"/>
      <c r="AH1246" s="157">
        <f>IFERROR(__xludf.DUMMYFUNCTION("""COMPUTED_VALUE"""),44001.24397680555)</f>
        <v>44001.24398</v>
      </c>
      <c r="AI1246" s="138"/>
      <c r="AJ1246" s="138"/>
      <c r="AK1246" s="138"/>
      <c r="AL1246" s="142"/>
    </row>
    <row r="1247" ht="20.25" customHeight="1">
      <c r="A1247" s="155" t="str">
        <f>IFERROR(__xludf.DUMMYFUNCTION("""COMPUTED_VALUE"""),"adayley")</f>
        <v>adayley</v>
      </c>
      <c r="B1247" s="150" t="str">
        <f>IFERROR(__xludf.DUMMYFUNCTION("""COMPUTED_VALUE"""),"Gilbert")</f>
        <v>Gilbert</v>
      </c>
      <c r="C1247" s="150" t="str">
        <f>IFERROR(__xludf.DUMMYFUNCTION("""COMPUTED_VALUE"""),"AZ")</f>
        <v>AZ</v>
      </c>
      <c r="D1247" s="150" t="str">
        <f>IFERROR(__xludf.DUMMYFUNCTION("""COMPUTED_VALUE"""),"USA")</f>
        <v>USA</v>
      </c>
      <c r="E1247" s="156">
        <f>IFERROR(__xludf.DUMMYFUNCTION("""COMPUTED_VALUE"""),43983.0)</f>
        <v>43983</v>
      </c>
      <c r="F1247" s="129">
        <f>IFERROR(__xludf.DUMMYFUNCTION("""COMPUTED_VALUE"""),44004.0)</f>
        <v>44004</v>
      </c>
      <c r="G1247" s="154"/>
      <c r="H1247" s="131">
        <f>IFERROR(__xludf.DUMMYFUNCTION("""COMPUTED_VALUE"""),739755.0)</f>
        <v>739755</v>
      </c>
      <c r="I1247" s="132" t="str">
        <f>IFERROR(__xludf.DUMMYFUNCTION("""COMPUTED_VALUE"""),"06/20")</f>
        <v>06/20</v>
      </c>
      <c r="J1247" s="129">
        <f>IFERROR(__xludf.DUMMYFUNCTION("""COMPUTED_VALUE"""),44008.0)</f>
        <v>44008</v>
      </c>
      <c r="K1247" s="133">
        <f>IFERROR(__xludf.DUMMYFUNCTION("""COMPUTED_VALUE"""),21.0)</f>
        <v>21</v>
      </c>
      <c r="L1247" s="133">
        <f>IFERROR(__xludf.DUMMYFUNCTION("""COMPUTED_VALUE"""),4.0)</f>
        <v>4</v>
      </c>
      <c r="M1247" s="133">
        <f>IFERROR(__xludf.DUMMYFUNCTION("""COMPUTED_VALUE"""),25.0)</f>
        <v>25</v>
      </c>
      <c r="N1247" s="152" t="str">
        <f>IFERROR(__xludf.DUMMYFUNCTION("""COMPUTED_VALUE"""),"Model 3 SR+")</f>
        <v>Model 3 SR+</v>
      </c>
      <c r="O1247" s="152" t="str">
        <f>IFERROR(__xludf.DUMMYFUNCTION("""COMPUTED_VALUE"""),"Deep Blue Metallic")</f>
        <v>Deep Blue Metallic</v>
      </c>
      <c r="P1247" s="153" t="str">
        <f>IFERROR(__xludf.DUMMYFUNCTION("""COMPUTED_VALUE"""),"18 inch Aero")</f>
        <v>18 inch Aero</v>
      </c>
      <c r="Q1247" s="152" t="str">
        <f>IFERROR(__xludf.DUMMYFUNCTION("""COMPUTED_VALUE"""),"Black seats")</f>
        <v>Black seats</v>
      </c>
      <c r="R1247" s="150" t="str">
        <f>IFERROR(__xludf.DUMMYFUNCTION("""COMPUTED_VALUE"""),"Full Self-Driving")</f>
        <v>Full Self-Driving</v>
      </c>
      <c r="S1247" s="150"/>
      <c r="T1247" s="145"/>
      <c r="U1247" s="145"/>
      <c r="V1247" s="136"/>
      <c r="W1247" s="136"/>
      <c r="X1247" s="137" t="str">
        <f>IFERROR(__xludf.DUMMYFUNCTION("""COMPUTED_VALUE"""),"Good")</f>
        <v>Good</v>
      </c>
      <c r="Y1247" s="138" t="str">
        <f>IFERROR(__xludf.DUMMYFUNCTION("""COMPUTED_VALUE"""),"Excellent")</f>
        <v>Excellent</v>
      </c>
      <c r="Z1247" s="138" t="str">
        <f>IFERROR(__xludf.DUMMYFUNCTION("""COMPUTED_VALUE"""),"Very Good")</f>
        <v>Very Good</v>
      </c>
      <c r="AA1247" s="138" t="str">
        <f>IFERROR(__xludf.DUMMYFUNCTION("""COMPUTED_VALUE"""),"Good")</f>
        <v>Good</v>
      </c>
      <c r="AB1247" s="138" t="str">
        <f>IFERROR(__xludf.DUMMYFUNCTION("""COMPUTED_VALUE"""),"Excellent")</f>
        <v>Excellent</v>
      </c>
      <c r="AC1247" s="139">
        <f>IFERROR(__xludf.DUMMYFUNCTION("""COMPUTED_VALUE"""),6.0)</f>
        <v>6</v>
      </c>
      <c r="AD1247" s="139">
        <f>IFERROR(__xludf.DUMMYFUNCTION("""COMPUTED_VALUE"""),1.0)</f>
        <v>1</v>
      </c>
      <c r="AE1247" s="139">
        <f>IFERROR(__xludf.DUMMYFUNCTION("""COMPUTED_VALUE"""),13.0)</f>
        <v>13</v>
      </c>
      <c r="AF1247" s="140"/>
      <c r="AG1247" s="136"/>
      <c r="AH1247" s="157">
        <f>IFERROR(__xludf.DUMMYFUNCTION("""COMPUTED_VALUE"""),44048.59093274305)</f>
        <v>44048.59093</v>
      </c>
      <c r="AI1247" s="138"/>
      <c r="AJ1247" s="138"/>
      <c r="AK1247" s="138"/>
      <c r="AL1247" s="142"/>
    </row>
    <row r="1248" ht="20.25" customHeight="1">
      <c r="A1248" s="155" t="str">
        <f>IFERROR(__xludf.DUMMYFUNCTION("""COMPUTED_VALUE"""),"srajan94")</f>
        <v>srajan94</v>
      </c>
      <c r="B1248" s="149" t="str">
        <f>IFERROR(__xludf.DUMMYFUNCTION("""COMPUTED_VALUE"""),"King of Prussia")</f>
        <v>King of Prussia</v>
      </c>
      <c r="C1248" s="149" t="str">
        <f>IFERROR(__xludf.DUMMYFUNCTION("""COMPUTED_VALUE"""),"PA")</f>
        <v>PA</v>
      </c>
      <c r="D1248" s="149" t="str">
        <f>IFERROR(__xludf.DUMMYFUNCTION("""COMPUTED_VALUE"""),"USA")</f>
        <v>USA</v>
      </c>
      <c r="E1248" s="156">
        <f>IFERROR(__xludf.DUMMYFUNCTION("""COMPUTED_VALUE"""),43983.0)</f>
        <v>43983</v>
      </c>
      <c r="F1248" s="129">
        <f>IFERROR(__xludf.DUMMYFUNCTION("""COMPUTED_VALUE"""),43997.0)</f>
        <v>43997</v>
      </c>
      <c r="G1248" s="154" t="str">
        <f>IFERROR(__xludf.DUMMYFUNCTION("""COMPUTED_VALUE"""),"Manage order page (normal text)")</f>
        <v>Manage order page (normal text)</v>
      </c>
      <c r="H1248" s="131">
        <f>IFERROR(__xludf.DUMMYFUNCTION("""COMPUTED_VALUE"""),718155.0)</f>
        <v>718155</v>
      </c>
      <c r="I1248" s="132" t="str">
        <f>IFERROR(__xludf.DUMMYFUNCTION("""COMPUTED_VALUE"""),"05/20")</f>
        <v>05/20</v>
      </c>
      <c r="J1248" s="129">
        <f>IFERROR(__xludf.DUMMYFUNCTION("""COMPUTED_VALUE"""),44002.0)</f>
        <v>44002</v>
      </c>
      <c r="K1248" s="133">
        <f>IFERROR(__xludf.DUMMYFUNCTION("""COMPUTED_VALUE"""),14.0)</f>
        <v>14</v>
      </c>
      <c r="L1248" s="133">
        <f>IFERROR(__xludf.DUMMYFUNCTION("""COMPUTED_VALUE"""),5.0)</f>
        <v>5</v>
      </c>
      <c r="M1248" s="133">
        <f>IFERROR(__xludf.DUMMYFUNCTION("""COMPUTED_VALUE"""),19.0)</f>
        <v>19</v>
      </c>
      <c r="N1248" s="152" t="str">
        <f>IFERROR(__xludf.DUMMYFUNCTION("""COMPUTED_VALUE"""),"Model 3 SR+")</f>
        <v>Model 3 SR+</v>
      </c>
      <c r="O1248" s="152" t="str">
        <f>IFERROR(__xludf.DUMMYFUNCTION("""COMPUTED_VALUE"""),"Pearl White Multi-Coat")</f>
        <v>Pearl White Multi-Coat</v>
      </c>
      <c r="P1248" s="153" t="str">
        <f>IFERROR(__xludf.DUMMYFUNCTION("""COMPUTED_VALUE"""),"18 inch")</f>
        <v>18 inch</v>
      </c>
      <c r="Q1248" s="152" t="str">
        <f>IFERROR(__xludf.DUMMYFUNCTION("""COMPUTED_VALUE"""),"Black and White")</f>
        <v>Black and White</v>
      </c>
      <c r="R1248" s="150" t="str">
        <f>IFERROR(__xludf.DUMMYFUNCTION("""COMPUTED_VALUE"""),"Autopilot included")</f>
        <v>Autopilot included</v>
      </c>
      <c r="S1248" s="150" t="str">
        <f>IFERROR(__xludf.DUMMYFUNCTION("""COMPUTED_VALUE"""),"Loan")</f>
        <v>Loan</v>
      </c>
      <c r="T1248" s="136" t="str">
        <f>IFERROR(__xludf.DUMMYFUNCTION("""COMPUTED_VALUE"""),"Mercedes C300")</f>
        <v>Mercedes C300</v>
      </c>
      <c r="U1248" s="136" t="str">
        <f>IFERROR(__xludf.DUMMYFUNCTION("""COMPUTED_VALUE"""),"Everything")</f>
        <v>Everything</v>
      </c>
      <c r="V1248" s="136" t="str">
        <f>IFERROR(__xludf.DUMMYFUNCTION("""COMPUTED_VALUE"""),"Blind spot indicators + change-lane right/left camera view on center console")</f>
        <v>Blind spot indicators + change-lane right/left camera view on center console</v>
      </c>
      <c r="W1248" s="145" t="str">
        <f>IFERROR(__xludf.DUMMYFUNCTION("""COMPUTED_VALUE"""),"The post-sale fulfillment process leaves much to be desired. Establishing a more personal relationship/line of communication with an employee at your local dealer will help your visibility.")</f>
        <v>The post-sale fulfillment process leaves much to be desired. Establishing a more personal relationship/line of communication with an employee at your local dealer will help your visibility.</v>
      </c>
      <c r="X1248" s="137" t="str">
        <f>IFERROR(__xludf.DUMMYFUNCTION("""COMPUTED_VALUE"""),"Very Good")</f>
        <v>Very Good</v>
      </c>
      <c r="Y1248" s="138" t="str">
        <f>IFERROR(__xludf.DUMMYFUNCTION("""COMPUTED_VALUE"""),"Excellent")</f>
        <v>Excellent</v>
      </c>
      <c r="Z1248" s="138" t="str">
        <f>IFERROR(__xludf.DUMMYFUNCTION("""COMPUTED_VALUE"""),"Very Good")</f>
        <v>Very Good</v>
      </c>
      <c r="AA1248" s="138" t="str">
        <f>IFERROR(__xludf.DUMMYFUNCTION("""COMPUTED_VALUE"""),"Poor")</f>
        <v>Poor</v>
      </c>
      <c r="AB1248" s="138" t="str">
        <f>IFERROR(__xludf.DUMMYFUNCTION("""COMPUTED_VALUE"""),"Very Good")</f>
        <v>Very Good</v>
      </c>
      <c r="AC1248" s="139">
        <f>IFERROR(__xludf.DUMMYFUNCTION("""COMPUTED_VALUE"""),0.0)</f>
        <v>0</v>
      </c>
      <c r="AD1248" s="139">
        <f>IFERROR(__xludf.DUMMYFUNCTION("""COMPUTED_VALUE"""),0.0)</f>
        <v>0</v>
      </c>
      <c r="AE1248" s="139">
        <f>IFERROR(__xludf.DUMMYFUNCTION("""COMPUTED_VALUE"""),0.0)</f>
        <v>0</v>
      </c>
      <c r="AF1248" s="140" t="str">
        <f>IFERROR(__xludf.DUMMYFUNCTION("""COMPUTED_VALUE"""),"No. I took delivery of the first car Tesla was able to deliver.")</f>
        <v>No. I took delivery of the first car Tesla was able to deliver.</v>
      </c>
      <c r="AG1248" s="145"/>
      <c r="AH1248" s="157">
        <f>IFERROR(__xludf.DUMMYFUNCTION("""COMPUTED_VALUE"""),44186.46618449074)</f>
        <v>44186.46618</v>
      </c>
      <c r="AI1248" s="138"/>
      <c r="AJ1248" s="138"/>
      <c r="AK1248" s="138"/>
      <c r="AL1248" s="142"/>
    </row>
    <row r="1249" ht="20.25" customHeight="1">
      <c r="A1249" s="155" t="str">
        <f>IFERROR(__xludf.DUMMYFUNCTION("""COMPUTED_VALUE"""),"duckdude555")</f>
        <v>duckdude555</v>
      </c>
      <c r="B1249" s="149" t="str">
        <f>IFERROR(__xludf.DUMMYFUNCTION("""COMPUTED_VALUE"""),"Baltimore")</f>
        <v>Baltimore</v>
      </c>
      <c r="C1249" s="149" t="str">
        <f>IFERROR(__xludf.DUMMYFUNCTION("""COMPUTED_VALUE"""),"MD")</f>
        <v>MD</v>
      </c>
      <c r="D1249" s="149" t="str">
        <f>IFERROR(__xludf.DUMMYFUNCTION("""COMPUTED_VALUE"""),"USA")</f>
        <v>USA</v>
      </c>
      <c r="E1249" s="156">
        <f>IFERROR(__xludf.DUMMYFUNCTION("""COMPUTED_VALUE"""),43982.0)</f>
        <v>43982</v>
      </c>
      <c r="F1249" s="129">
        <f>IFERROR(__xludf.DUMMYFUNCTION("""COMPUTED_VALUE"""),43984.0)</f>
        <v>43984</v>
      </c>
      <c r="G1249" s="154"/>
      <c r="H1249" s="131">
        <f>IFERROR(__xludf.DUMMYFUNCTION("""COMPUTED_VALUE"""),710785.0)</f>
        <v>710785</v>
      </c>
      <c r="I1249" s="132" t="str">
        <f>IFERROR(__xludf.DUMMYFUNCTION("""COMPUTED_VALUE"""),"05/20")</f>
        <v>05/20</v>
      </c>
      <c r="J1249" s="129">
        <f>IFERROR(__xludf.DUMMYFUNCTION("""COMPUTED_VALUE"""),43998.0)</f>
        <v>43998</v>
      </c>
      <c r="K1249" s="133">
        <f>IFERROR(__xludf.DUMMYFUNCTION("""COMPUTED_VALUE"""),2.0)</f>
        <v>2</v>
      </c>
      <c r="L1249" s="133">
        <f>IFERROR(__xludf.DUMMYFUNCTION("""COMPUTED_VALUE"""),14.0)</f>
        <v>14</v>
      </c>
      <c r="M1249" s="133">
        <f>IFERROR(__xludf.DUMMYFUNCTION("""COMPUTED_VALUE"""),16.0)</f>
        <v>16</v>
      </c>
      <c r="N1249" s="152" t="str">
        <f>IFERROR(__xludf.DUMMYFUNCTION("""COMPUTED_VALUE"""),"Model 3 LR AWD")</f>
        <v>Model 3 LR AWD</v>
      </c>
      <c r="O1249" s="152" t="str">
        <f>IFERROR(__xludf.DUMMYFUNCTION("""COMPUTED_VALUE"""),"Midnight Silver Metallic")</f>
        <v>Midnight Silver Metallic</v>
      </c>
      <c r="P1249" s="153" t="str">
        <f>IFERROR(__xludf.DUMMYFUNCTION("""COMPUTED_VALUE"""),"18 inch Aero")</f>
        <v>18 inch Aero</v>
      </c>
      <c r="Q1249" s="152" t="str">
        <f>IFERROR(__xludf.DUMMYFUNCTION("""COMPUTED_VALUE"""),"Black seats")</f>
        <v>Black seats</v>
      </c>
      <c r="R1249" s="150" t="str">
        <f>IFERROR(__xludf.DUMMYFUNCTION("""COMPUTED_VALUE"""),"Full Self-Driving")</f>
        <v>Full Self-Driving</v>
      </c>
      <c r="S1249" s="150"/>
      <c r="T1249" s="136"/>
      <c r="U1249" s="136"/>
      <c r="V1249" s="136"/>
      <c r="W1249" s="136"/>
      <c r="X1249" s="137" t="str">
        <f>IFERROR(__xludf.DUMMYFUNCTION("""COMPUTED_VALUE"""),"Excellent")</f>
        <v>Excellent</v>
      </c>
      <c r="Y1249" s="138" t="str">
        <f>IFERROR(__xludf.DUMMYFUNCTION("""COMPUTED_VALUE"""),"Excellent")</f>
        <v>Excellent</v>
      </c>
      <c r="Z1249" s="138" t="str">
        <f>IFERROR(__xludf.DUMMYFUNCTION("""COMPUTED_VALUE"""),"Very Good")</f>
        <v>Very Good</v>
      </c>
      <c r="AA1249" s="138" t="str">
        <f>IFERROR(__xludf.DUMMYFUNCTION("""COMPUTED_VALUE"""),"Good")</f>
        <v>Good</v>
      </c>
      <c r="AB1249" s="138" t="str">
        <f>IFERROR(__xludf.DUMMYFUNCTION("""COMPUTED_VALUE"""),"Very Good")</f>
        <v>Very Good</v>
      </c>
      <c r="AC1249" s="139"/>
      <c r="AD1249" s="139"/>
      <c r="AE1249" s="139"/>
      <c r="AF1249" s="140"/>
      <c r="AG1249" s="136"/>
      <c r="AH1249" s="157">
        <f>IFERROR(__xludf.DUMMYFUNCTION("""COMPUTED_VALUE"""),43998.77117118055)</f>
        <v>43998.77117</v>
      </c>
      <c r="AI1249" s="138"/>
      <c r="AJ1249" s="138"/>
      <c r="AK1249" s="138"/>
      <c r="AL1249" s="142"/>
    </row>
    <row r="1250" ht="20.25" customHeight="1">
      <c r="A1250" s="155" t="str">
        <f>IFERROR(__xludf.DUMMYFUNCTION("""COMPUTED_VALUE"""),"pd")</f>
        <v>pd</v>
      </c>
      <c r="B1250" s="149" t="str">
        <f>IFERROR(__xludf.DUMMYFUNCTION("""COMPUTED_VALUE"""),"DFW")</f>
        <v>DFW</v>
      </c>
      <c r="C1250" s="149" t="str">
        <f>IFERROR(__xludf.DUMMYFUNCTION("""COMPUTED_VALUE"""),"TX")</f>
        <v>TX</v>
      </c>
      <c r="D1250" s="149" t="str">
        <f>IFERROR(__xludf.DUMMYFUNCTION("""COMPUTED_VALUE"""),"USA")</f>
        <v>USA</v>
      </c>
      <c r="E1250" s="156">
        <f>IFERROR(__xludf.DUMMYFUNCTION("""COMPUTED_VALUE"""),43982.0)</f>
        <v>43982</v>
      </c>
      <c r="F1250" s="129">
        <f>IFERROR(__xludf.DUMMYFUNCTION("""COMPUTED_VALUE"""),43990.0)</f>
        <v>43990</v>
      </c>
      <c r="G1250" s="154"/>
      <c r="H1250" s="131">
        <f>IFERROR(__xludf.DUMMYFUNCTION("""COMPUTED_VALUE"""),705255.0)</f>
        <v>705255</v>
      </c>
      <c r="I1250" s="144" t="str">
        <f>IFERROR(__xludf.DUMMYFUNCTION("""COMPUTED_VALUE"""),"06/20")</f>
        <v>06/20</v>
      </c>
      <c r="J1250" s="129">
        <f>IFERROR(__xludf.DUMMYFUNCTION("""COMPUTED_VALUE"""),44003.0)</f>
        <v>44003</v>
      </c>
      <c r="K1250" s="133">
        <f>IFERROR(__xludf.DUMMYFUNCTION("""COMPUTED_VALUE"""),8.0)</f>
        <v>8</v>
      </c>
      <c r="L1250" s="133">
        <f>IFERROR(__xludf.DUMMYFUNCTION("""COMPUTED_VALUE"""),13.0)</f>
        <v>13</v>
      </c>
      <c r="M1250" s="133">
        <f>IFERROR(__xludf.DUMMYFUNCTION("""COMPUTED_VALUE"""),21.0)</f>
        <v>21</v>
      </c>
      <c r="N1250" s="152" t="str">
        <f>IFERROR(__xludf.DUMMYFUNCTION("""COMPUTED_VALUE"""),"Model 3 SR+")</f>
        <v>Model 3 SR+</v>
      </c>
      <c r="O1250" s="152" t="str">
        <f>IFERROR(__xludf.DUMMYFUNCTION("""COMPUTED_VALUE"""),"Midnight Silver Metallic")</f>
        <v>Midnight Silver Metallic</v>
      </c>
      <c r="P1250" s="153" t="str">
        <f>IFERROR(__xludf.DUMMYFUNCTION("""COMPUTED_VALUE"""),"18 inch Aero")</f>
        <v>18 inch Aero</v>
      </c>
      <c r="Q1250" s="152" t="str">
        <f>IFERROR(__xludf.DUMMYFUNCTION("""COMPUTED_VALUE"""),"Black seats")</f>
        <v>Black seats</v>
      </c>
      <c r="R1250" s="149" t="str">
        <f>IFERROR(__xludf.DUMMYFUNCTION("""COMPUTED_VALUE"""),"Autopilot")</f>
        <v>Autopilot</v>
      </c>
      <c r="S1250" s="149"/>
      <c r="T1250" s="145"/>
      <c r="U1250" s="145"/>
      <c r="V1250" s="145"/>
      <c r="W1250" s="136"/>
      <c r="X1250" s="137" t="str">
        <f>IFERROR(__xludf.DUMMYFUNCTION("""COMPUTED_VALUE"""),"Very Good")</f>
        <v>Very Good</v>
      </c>
      <c r="Y1250" s="138" t="str">
        <f>IFERROR(__xludf.DUMMYFUNCTION("""COMPUTED_VALUE"""),"Excellent")</f>
        <v>Excellent</v>
      </c>
      <c r="Z1250" s="138" t="str">
        <f>IFERROR(__xludf.DUMMYFUNCTION("""COMPUTED_VALUE"""),"Excellent")</f>
        <v>Excellent</v>
      </c>
      <c r="AA1250" s="138" t="str">
        <f>IFERROR(__xludf.DUMMYFUNCTION("""COMPUTED_VALUE"""),"Good")</f>
        <v>Good</v>
      </c>
      <c r="AB1250" s="138" t="str">
        <f>IFERROR(__xludf.DUMMYFUNCTION("""COMPUTED_VALUE"""),"Excellent")</f>
        <v>Excellent</v>
      </c>
      <c r="AC1250" s="139"/>
      <c r="AD1250" s="139"/>
      <c r="AE1250" s="139"/>
      <c r="AF1250" s="140"/>
      <c r="AG1250" s="145" t="str">
        <f>IFERROR(__xludf.DUMMYFUNCTION("""COMPUTED_VALUE"""),"Had USB C and wireless charging")</f>
        <v>Had USB C and wireless charging</v>
      </c>
      <c r="AH1250" s="157">
        <f>IFERROR(__xludf.DUMMYFUNCTION("""COMPUTED_VALUE"""),44003.85282141204)</f>
        <v>44003.85282</v>
      </c>
      <c r="AI1250" s="138"/>
      <c r="AJ1250" s="138"/>
      <c r="AK1250" s="138"/>
      <c r="AL1250" s="142"/>
    </row>
    <row r="1251" ht="20.25" customHeight="1">
      <c r="A1251" s="155" t="str">
        <f>IFERROR(__xludf.DUMMYFUNCTION("""COMPUTED_VALUE"""),"Arctic_White")</f>
        <v>Arctic_White</v>
      </c>
      <c r="B1251" s="149"/>
      <c r="C1251" s="149" t="str">
        <f>IFERROR(__xludf.DUMMYFUNCTION("""COMPUTED_VALUE"""),"AB")</f>
        <v>AB</v>
      </c>
      <c r="D1251" s="149" t="str">
        <f>IFERROR(__xludf.DUMMYFUNCTION("""COMPUTED_VALUE"""),"Canada")</f>
        <v>Canada</v>
      </c>
      <c r="E1251" s="156">
        <f>IFERROR(__xludf.DUMMYFUNCTION("""COMPUTED_VALUE"""),43979.0)</f>
        <v>43979</v>
      </c>
      <c r="F1251" s="129"/>
      <c r="G1251" s="154"/>
      <c r="H1251" s="131">
        <f>IFERROR(__xludf.DUMMYFUNCTION("""COMPUTED_VALUE"""),738955.0)</f>
        <v>738955</v>
      </c>
      <c r="I1251" s="144" t="str">
        <f>IFERROR(__xludf.DUMMYFUNCTION("""COMPUTED_VALUE"""),"06/20")</f>
        <v>06/20</v>
      </c>
      <c r="J1251" s="129">
        <f>IFERROR(__xludf.DUMMYFUNCTION("""COMPUTED_VALUE"""),44001.0)</f>
        <v>44001</v>
      </c>
      <c r="K1251" s="133"/>
      <c r="L1251" s="133"/>
      <c r="M1251" s="133">
        <f>IFERROR(__xludf.DUMMYFUNCTION("""COMPUTED_VALUE"""),22.0)</f>
        <v>22</v>
      </c>
      <c r="N1251" s="152" t="str">
        <f>IFERROR(__xludf.DUMMYFUNCTION("""COMPUTED_VALUE"""),"Model 3 LR AWD")</f>
        <v>Model 3 LR AWD</v>
      </c>
      <c r="O1251" s="152" t="str">
        <f>IFERROR(__xludf.DUMMYFUNCTION("""COMPUTED_VALUE"""),"Pearl White Multi-Coat")</f>
        <v>Pearl White Multi-Coat</v>
      </c>
      <c r="P1251" s="153" t="str">
        <f>IFERROR(__xludf.DUMMYFUNCTION("""COMPUTED_VALUE"""),"18 inch Aero")</f>
        <v>18 inch Aero</v>
      </c>
      <c r="Q1251" s="152" t="str">
        <f>IFERROR(__xludf.DUMMYFUNCTION("""COMPUTED_VALUE"""),"Black seats")</f>
        <v>Black seats</v>
      </c>
      <c r="R1251" s="149" t="str">
        <f>IFERROR(__xludf.DUMMYFUNCTION("""COMPUTED_VALUE"""),"Autopilot")</f>
        <v>Autopilot</v>
      </c>
      <c r="S1251" s="149"/>
      <c r="T1251" s="145"/>
      <c r="U1251" s="145"/>
      <c r="V1251" s="145"/>
      <c r="W1251" s="145"/>
      <c r="X1251" s="137" t="str">
        <f>IFERROR(__xludf.DUMMYFUNCTION("""COMPUTED_VALUE"""),"Fair")</f>
        <v>Fair</v>
      </c>
      <c r="Y1251" s="138" t="str">
        <f>IFERROR(__xludf.DUMMYFUNCTION("""COMPUTED_VALUE"""),"Excellent")</f>
        <v>Excellent</v>
      </c>
      <c r="Z1251" s="138" t="str">
        <f>IFERROR(__xludf.DUMMYFUNCTION("""COMPUTED_VALUE"""),"Very Good")</f>
        <v>Very Good</v>
      </c>
      <c r="AA1251" s="138" t="str">
        <f>IFERROR(__xludf.DUMMYFUNCTION("""COMPUTED_VALUE"""),"Good")</f>
        <v>Good</v>
      </c>
      <c r="AB1251" s="138" t="str">
        <f>IFERROR(__xludf.DUMMYFUNCTION("""COMPUTED_VALUE"""),"Excellent")</f>
        <v>Excellent</v>
      </c>
      <c r="AC1251" s="139">
        <f>IFERROR(__xludf.DUMMYFUNCTION("""COMPUTED_VALUE"""),2.0)</f>
        <v>2</v>
      </c>
      <c r="AD1251" s="139">
        <f>IFERROR(__xludf.DUMMYFUNCTION("""COMPUTED_VALUE"""),0.0)</f>
        <v>0</v>
      </c>
      <c r="AE1251" s="139">
        <f>IFERROR(__xludf.DUMMYFUNCTION("""COMPUTED_VALUE"""),0.0)</f>
        <v>0</v>
      </c>
      <c r="AF1251" s="140"/>
      <c r="AG1251" s="145"/>
      <c r="AH1251" s="157">
        <f>IFERROR(__xludf.DUMMYFUNCTION("""COMPUTED_VALUE"""),44018.511731875)</f>
        <v>44018.51173</v>
      </c>
      <c r="AI1251" s="138"/>
      <c r="AJ1251" s="138"/>
      <c r="AK1251" s="138"/>
      <c r="AL1251" s="142"/>
    </row>
    <row r="1252" ht="20.25" customHeight="1">
      <c r="A1252" s="155" t="str">
        <f>IFERROR(__xludf.DUMMYFUNCTION("""COMPUTED_VALUE"""),"Burro7075")</f>
        <v>Burro7075</v>
      </c>
      <c r="B1252" s="149" t="str">
        <f>IFERROR(__xludf.DUMMYFUNCTION("""COMPUTED_VALUE"""),"DFW")</f>
        <v>DFW</v>
      </c>
      <c r="C1252" s="149" t="str">
        <f>IFERROR(__xludf.DUMMYFUNCTION("""COMPUTED_VALUE"""),"TX")</f>
        <v>TX</v>
      </c>
      <c r="D1252" s="149" t="str">
        <f>IFERROR(__xludf.DUMMYFUNCTION("""COMPUTED_VALUE"""),"USA")</f>
        <v>USA</v>
      </c>
      <c r="E1252" s="156">
        <f>IFERROR(__xludf.DUMMYFUNCTION("""COMPUTED_VALUE"""),43978.0)</f>
        <v>43978</v>
      </c>
      <c r="F1252" s="129">
        <f>IFERROR(__xludf.DUMMYFUNCTION("""COMPUTED_VALUE"""),43987.0)</f>
        <v>43987</v>
      </c>
      <c r="G1252" s="154"/>
      <c r="H1252" s="131">
        <f>IFERROR(__xludf.DUMMYFUNCTION("""COMPUTED_VALUE"""),720155.0)</f>
        <v>720155</v>
      </c>
      <c r="I1252" s="144" t="str">
        <f>IFERROR(__xludf.DUMMYFUNCTION("""COMPUTED_VALUE"""),"06/20")</f>
        <v>06/20</v>
      </c>
      <c r="J1252" s="129">
        <f>IFERROR(__xludf.DUMMYFUNCTION("""COMPUTED_VALUE"""),44008.0)</f>
        <v>44008</v>
      </c>
      <c r="K1252" s="133">
        <f>IFERROR(__xludf.DUMMYFUNCTION("""COMPUTED_VALUE"""),9.0)</f>
        <v>9</v>
      </c>
      <c r="L1252" s="133">
        <f>IFERROR(__xludf.DUMMYFUNCTION("""COMPUTED_VALUE"""),21.0)</f>
        <v>21</v>
      </c>
      <c r="M1252" s="133">
        <f>IFERROR(__xludf.DUMMYFUNCTION("""COMPUTED_VALUE"""),30.0)</f>
        <v>30</v>
      </c>
      <c r="N1252" s="152" t="str">
        <f>IFERROR(__xludf.DUMMYFUNCTION("""COMPUTED_VALUE"""),"Model 3 LR AWD")</f>
        <v>Model 3 LR AWD</v>
      </c>
      <c r="O1252" s="152" t="str">
        <f>IFERROR(__xludf.DUMMYFUNCTION("""COMPUTED_VALUE"""),"Pearl White Multi-Coat")</f>
        <v>Pearl White Multi-Coat</v>
      </c>
      <c r="P1252" s="153" t="str">
        <f>IFERROR(__xludf.DUMMYFUNCTION("""COMPUTED_VALUE"""),"18 inch Aero")</f>
        <v>18 inch Aero</v>
      </c>
      <c r="Q1252" s="152" t="str">
        <f>IFERROR(__xludf.DUMMYFUNCTION("""COMPUTED_VALUE"""),"White seats")</f>
        <v>White seats</v>
      </c>
      <c r="R1252" s="149" t="str">
        <f>IFERROR(__xludf.DUMMYFUNCTION("""COMPUTED_VALUE"""),"Autopilot")</f>
        <v>Autopilot</v>
      </c>
      <c r="S1252" s="149"/>
      <c r="T1252" s="145"/>
      <c r="U1252" s="145"/>
      <c r="V1252" s="145"/>
      <c r="W1252" s="145"/>
      <c r="X1252" s="137" t="str">
        <f>IFERROR(__xludf.DUMMYFUNCTION("""COMPUTED_VALUE"""),"Excellent")</f>
        <v>Excellent</v>
      </c>
      <c r="Y1252" s="138" t="str">
        <f>IFERROR(__xludf.DUMMYFUNCTION("""COMPUTED_VALUE"""),"Excellent")</f>
        <v>Excellent</v>
      </c>
      <c r="Z1252" s="138" t="str">
        <f>IFERROR(__xludf.DUMMYFUNCTION("""COMPUTED_VALUE"""),"Excellent")</f>
        <v>Excellent</v>
      </c>
      <c r="AA1252" s="138" t="str">
        <f>IFERROR(__xludf.DUMMYFUNCTION("""COMPUTED_VALUE"""),"Very Good")</f>
        <v>Very Good</v>
      </c>
      <c r="AB1252" s="138" t="str">
        <f>IFERROR(__xludf.DUMMYFUNCTION("""COMPUTED_VALUE"""),"Excellent")</f>
        <v>Excellent</v>
      </c>
      <c r="AC1252" s="139">
        <f>IFERROR(__xludf.DUMMYFUNCTION("""COMPUTED_VALUE"""),0.0)</f>
        <v>0</v>
      </c>
      <c r="AD1252" s="139">
        <f>IFERROR(__xludf.DUMMYFUNCTION("""COMPUTED_VALUE"""),0.0)</f>
        <v>0</v>
      </c>
      <c r="AE1252" s="139">
        <f>IFERROR(__xludf.DUMMYFUNCTION("""COMPUTED_VALUE"""),0.0)</f>
        <v>0</v>
      </c>
      <c r="AF1252" s="140"/>
      <c r="AG1252" s="145"/>
      <c r="AH1252" s="157">
        <f>IFERROR(__xludf.DUMMYFUNCTION("""COMPUTED_VALUE"""),44009.150752928246)</f>
        <v>44009.15075</v>
      </c>
      <c r="AI1252" s="138"/>
      <c r="AJ1252" s="138"/>
      <c r="AK1252" s="138"/>
      <c r="AL1252" s="142"/>
    </row>
    <row r="1253" ht="20.25" customHeight="1">
      <c r="A1253" s="155" t="str">
        <f>IFERROR(__xludf.DUMMYFUNCTION("""COMPUTED_VALUE"""),"Deesh")</f>
        <v>Deesh</v>
      </c>
      <c r="B1253" s="149" t="str">
        <f>IFERROR(__xludf.DUMMYFUNCTION("""COMPUTED_VALUE"""),"Winnipeg")</f>
        <v>Winnipeg</v>
      </c>
      <c r="C1253" s="149" t="str">
        <f>IFERROR(__xludf.DUMMYFUNCTION("""COMPUTED_VALUE"""),"MB")</f>
        <v>MB</v>
      </c>
      <c r="D1253" s="149" t="str">
        <f>IFERROR(__xludf.DUMMYFUNCTION("""COMPUTED_VALUE"""),"Canada")</f>
        <v>Canada</v>
      </c>
      <c r="E1253" s="156">
        <f>IFERROR(__xludf.DUMMYFUNCTION("""COMPUTED_VALUE"""),43978.0)</f>
        <v>43978</v>
      </c>
      <c r="F1253" s="129">
        <f>IFERROR(__xludf.DUMMYFUNCTION("""COMPUTED_VALUE"""),44000.0)</f>
        <v>44000</v>
      </c>
      <c r="G1253" s="154"/>
      <c r="H1253" s="131">
        <f>IFERROR(__xludf.DUMMYFUNCTION("""COMPUTED_VALUE"""),734355.0)</f>
        <v>734355</v>
      </c>
      <c r="I1253" s="132" t="str">
        <f>IFERROR(__xludf.DUMMYFUNCTION("""COMPUTED_VALUE"""),"06/20")</f>
        <v>06/20</v>
      </c>
      <c r="J1253" s="129">
        <f>IFERROR(__xludf.DUMMYFUNCTION("""COMPUTED_VALUE"""),44007.0)</f>
        <v>44007</v>
      </c>
      <c r="K1253" s="133">
        <f>IFERROR(__xludf.DUMMYFUNCTION("""COMPUTED_VALUE"""),22.0)</f>
        <v>22</v>
      </c>
      <c r="L1253" s="133">
        <f>IFERROR(__xludf.DUMMYFUNCTION("""COMPUTED_VALUE"""),7.0)</f>
        <v>7</v>
      </c>
      <c r="M1253" s="133">
        <f>IFERROR(__xludf.DUMMYFUNCTION("""COMPUTED_VALUE"""),29.0)</f>
        <v>29</v>
      </c>
      <c r="N1253" s="152" t="str">
        <f>IFERROR(__xludf.DUMMYFUNCTION("""COMPUTED_VALUE"""),"Model 3 SR+")</f>
        <v>Model 3 SR+</v>
      </c>
      <c r="O1253" s="152" t="str">
        <f>IFERROR(__xludf.DUMMYFUNCTION("""COMPUTED_VALUE"""),"Pearl White Multi-Coat")</f>
        <v>Pearl White Multi-Coat</v>
      </c>
      <c r="P1253" s="153" t="str">
        <f>IFERROR(__xludf.DUMMYFUNCTION("""COMPUTED_VALUE"""),"18 inch Aero")</f>
        <v>18 inch Aero</v>
      </c>
      <c r="Q1253" s="152" t="str">
        <f>IFERROR(__xludf.DUMMYFUNCTION("""COMPUTED_VALUE"""),"Black seats")</f>
        <v>Black seats</v>
      </c>
      <c r="R1253" s="150" t="str">
        <f>IFERROR(__xludf.DUMMYFUNCTION("""COMPUTED_VALUE"""),"Autopilot")</f>
        <v>Autopilot</v>
      </c>
      <c r="S1253" s="150"/>
      <c r="T1253" s="136"/>
      <c r="U1253" s="136"/>
      <c r="V1253" s="136"/>
      <c r="W1253" s="136"/>
      <c r="X1253" s="151" t="str">
        <f>IFERROR(__xludf.DUMMYFUNCTION("""COMPUTED_VALUE"""),"Very Good")</f>
        <v>Very Good</v>
      </c>
      <c r="Y1253" s="138" t="str">
        <f>IFERROR(__xludf.DUMMYFUNCTION("""COMPUTED_VALUE"""),"Excellent")</f>
        <v>Excellent</v>
      </c>
      <c r="Z1253" s="138" t="str">
        <f>IFERROR(__xludf.DUMMYFUNCTION("""COMPUTED_VALUE"""),"Excellent")</f>
        <v>Excellent</v>
      </c>
      <c r="AA1253" s="138" t="str">
        <f>IFERROR(__xludf.DUMMYFUNCTION("""COMPUTED_VALUE"""),"Very Good")</f>
        <v>Very Good</v>
      </c>
      <c r="AB1253" s="138" t="str">
        <f>IFERROR(__xludf.DUMMYFUNCTION("""COMPUTED_VALUE"""),"Very Good")</f>
        <v>Very Good</v>
      </c>
      <c r="AC1253" s="139"/>
      <c r="AD1253" s="139"/>
      <c r="AE1253" s="139"/>
      <c r="AF1253" s="140"/>
      <c r="AG1253" s="136"/>
      <c r="AH1253" s="157">
        <f>IFERROR(__xludf.DUMMYFUNCTION("""COMPUTED_VALUE"""),44011.85486637732)</f>
        <v>44011.85487</v>
      </c>
      <c r="AI1253" s="138"/>
      <c r="AJ1253" s="138"/>
      <c r="AK1253" s="138"/>
      <c r="AL1253" s="142"/>
    </row>
    <row r="1254" ht="20.25" customHeight="1">
      <c r="A1254" s="155" t="str">
        <f>IFERROR(__xludf.DUMMYFUNCTION("""COMPUTED_VALUE"""),"epicsurf")</f>
        <v>epicsurf</v>
      </c>
      <c r="B1254" s="149" t="str">
        <f>IFERROR(__xludf.DUMMYFUNCTION("""COMPUTED_VALUE"""),"Chicago")</f>
        <v>Chicago</v>
      </c>
      <c r="C1254" s="149" t="str">
        <f>IFERROR(__xludf.DUMMYFUNCTION("""COMPUTED_VALUE"""),"IL")</f>
        <v>IL</v>
      </c>
      <c r="D1254" s="149" t="str">
        <f>IFERROR(__xludf.DUMMYFUNCTION("""COMPUTED_VALUE"""),"USA")</f>
        <v>USA</v>
      </c>
      <c r="E1254" s="156">
        <f>IFERROR(__xludf.DUMMYFUNCTION("""COMPUTED_VALUE"""),43976.0)</f>
        <v>43976</v>
      </c>
      <c r="F1254" s="129">
        <f>IFERROR(__xludf.DUMMYFUNCTION("""COMPUTED_VALUE"""),43980.0)</f>
        <v>43980</v>
      </c>
      <c r="G1254" s="154"/>
      <c r="H1254" s="131">
        <f>IFERROR(__xludf.DUMMYFUNCTION("""COMPUTED_VALUE"""),719201.0)</f>
        <v>719201</v>
      </c>
      <c r="I1254" s="144"/>
      <c r="J1254" s="129">
        <f>IFERROR(__xludf.DUMMYFUNCTION("""COMPUTED_VALUE"""),43993.0)</f>
        <v>43993</v>
      </c>
      <c r="K1254" s="133">
        <f>IFERROR(__xludf.DUMMYFUNCTION("""COMPUTED_VALUE"""),4.0)</f>
        <v>4</v>
      </c>
      <c r="L1254" s="133">
        <f>IFERROR(__xludf.DUMMYFUNCTION("""COMPUTED_VALUE"""),13.0)</f>
        <v>13</v>
      </c>
      <c r="M1254" s="133">
        <f>IFERROR(__xludf.DUMMYFUNCTION("""COMPUTED_VALUE"""),17.0)</f>
        <v>17</v>
      </c>
      <c r="N1254" s="152" t="str">
        <f>IFERROR(__xludf.DUMMYFUNCTION("""COMPUTED_VALUE"""),"Model 3 Performance")</f>
        <v>Model 3 Performance</v>
      </c>
      <c r="O1254" s="152" t="str">
        <f>IFERROR(__xludf.DUMMYFUNCTION("""COMPUTED_VALUE"""),"Pearl White Multi-Coat")</f>
        <v>Pearl White Multi-Coat</v>
      </c>
      <c r="P1254" s="153" t="str">
        <f>IFERROR(__xludf.DUMMYFUNCTION("""COMPUTED_VALUE"""),"20 inch Sport")</f>
        <v>20 inch Sport</v>
      </c>
      <c r="Q1254" s="152" t="str">
        <f>IFERROR(__xludf.DUMMYFUNCTION("""COMPUTED_VALUE"""),"White seats")</f>
        <v>White seats</v>
      </c>
      <c r="R1254" s="149" t="str">
        <f>IFERROR(__xludf.DUMMYFUNCTION("""COMPUTED_VALUE"""),"Full Self-Driving")</f>
        <v>Full Self-Driving</v>
      </c>
      <c r="S1254" s="149"/>
      <c r="T1254" s="145"/>
      <c r="U1254" s="145"/>
      <c r="V1254" s="145"/>
      <c r="W1254" s="136"/>
      <c r="X1254" s="137" t="str">
        <f>IFERROR(__xludf.DUMMYFUNCTION("""COMPUTED_VALUE"""),"Very Good")</f>
        <v>Very Good</v>
      </c>
      <c r="Y1254" s="138" t="str">
        <f>IFERROR(__xludf.DUMMYFUNCTION("""COMPUTED_VALUE"""),"Very Good")</f>
        <v>Very Good</v>
      </c>
      <c r="Z1254" s="138" t="str">
        <f>IFERROR(__xludf.DUMMYFUNCTION("""COMPUTED_VALUE"""),"Very Good")</f>
        <v>Very Good</v>
      </c>
      <c r="AA1254" s="138" t="str">
        <f>IFERROR(__xludf.DUMMYFUNCTION("""COMPUTED_VALUE"""),"Poor")</f>
        <v>Poor</v>
      </c>
      <c r="AB1254" s="138" t="str">
        <f>IFERROR(__xludf.DUMMYFUNCTION("""COMPUTED_VALUE"""),"Fair")</f>
        <v>Fair</v>
      </c>
      <c r="AC1254" s="139"/>
      <c r="AD1254" s="139"/>
      <c r="AE1254" s="139"/>
      <c r="AF1254" s="140"/>
      <c r="AG1254" s="136"/>
      <c r="AH1254" s="157">
        <f>IFERROR(__xludf.DUMMYFUNCTION("""COMPUTED_VALUE"""),43993.60523335648)</f>
        <v>43993.60523</v>
      </c>
      <c r="AI1254" s="138"/>
      <c r="AJ1254" s="138"/>
      <c r="AK1254" s="138"/>
      <c r="AL1254" s="142"/>
    </row>
    <row r="1255" ht="20.25" customHeight="1">
      <c r="A1255" s="155" t="str">
        <f>IFERROR(__xludf.DUMMYFUNCTION("""COMPUTED_VALUE"""),"Farfooz")</f>
        <v>Farfooz</v>
      </c>
      <c r="B1255" s="149" t="str">
        <f>IFERROR(__xludf.DUMMYFUNCTION("""COMPUTED_VALUE"""),"Chicago")</f>
        <v>Chicago</v>
      </c>
      <c r="C1255" s="149" t="str">
        <f>IFERROR(__xludf.DUMMYFUNCTION("""COMPUTED_VALUE"""),"IL")</f>
        <v>IL</v>
      </c>
      <c r="D1255" s="149" t="str">
        <f>IFERROR(__xludf.DUMMYFUNCTION("""COMPUTED_VALUE"""),"USA")</f>
        <v>USA</v>
      </c>
      <c r="E1255" s="156">
        <f>IFERROR(__xludf.DUMMYFUNCTION("""COMPUTED_VALUE"""),43975.0)</f>
        <v>43975</v>
      </c>
      <c r="F1255" s="129"/>
      <c r="G1255" s="154"/>
      <c r="H1255" s="131"/>
      <c r="I1255" s="132" t="str">
        <f>IFERROR(__xludf.DUMMYFUNCTION("""COMPUTED_VALUE"""),"04/20")</f>
        <v>04/20</v>
      </c>
      <c r="J1255" s="129">
        <f>IFERROR(__xludf.DUMMYFUNCTION("""COMPUTED_VALUE"""),43989.0)</f>
        <v>43989</v>
      </c>
      <c r="K1255" s="133"/>
      <c r="L1255" s="133"/>
      <c r="M1255" s="133">
        <f>IFERROR(__xludf.DUMMYFUNCTION("""COMPUTED_VALUE"""),14.0)</f>
        <v>14</v>
      </c>
      <c r="N1255" s="152" t="str">
        <f>IFERROR(__xludf.DUMMYFUNCTION("""COMPUTED_VALUE"""),"Model 3 Performance")</f>
        <v>Model 3 Performance</v>
      </c>
      <c r="O1255" s="152" t="str">
        <f>IFERROR(__xludf.DUMMYFUNCTION("""COMPUTED_VALUE"""),"Solid Black")</f>
        <v>Solid Black</v>
      </c>
      <c r="P1255" s="153" t="str">
        <f>IFERROR(__xludf.DUMMYFUNCTION("""COMPUTED_VALUE"""),"20 inch Sport")</f>
        <v>20 inch Sport</v>
      </c>
      <c r="Q1255" s="152" t="str">
        <f>IFERROR(__xludf.DUMMYFUNCTION("""COMPUTED_VALUE"""),"White seats")</f>
        <v>White seats</v>
      </c>
      <c r="R1255" s="150" t="str">
        <f>IFERROR(__xludf.DUMMYFUNCTION("""COMPUTED_VALUE"""),"Autopilot")</f>
        <v>Autopilot</v>
      </c>
      <c r="S1255" s="150"/>
      <c r="T1255" s="136"/>
      <c r="U1255" s="136"/>
      <c r="V1255" s="136"/>
      <c r="W1255" s="136"/>
      <c r="X1255" s="137" t="str">
        <f>IFERROR(__xludf.DUMMYFUNCTION("""COMPUTED_VALUE"""),"Excellent")</f>
        <v>Excellent</v>
      </c>
      <c r="Y1255" s="138" t="str">
        <f>IFERROR(__xludf.DUMMYFUNCTION("""COMPUTED_VALUE"""),"Excellent")</f>
        <v>Excellent</v>
      </c>
      <c r="Z1255" s="138" t="str">
        <f>IFERROR(__xludf.DUMMYFUNCTION("""COMPUTED_VALUE"""),"Excellent")</f>
        <v>Excellent</v>
      </c>
      <c r="AA1255" s="138" t="str">
        <f>IFERROR(__xludf.DUMMYFUNCTION("""COMPUTED_VALUE"""),"Excellent")</f>
        <v>Excellent</v>
      </c>
      <c r="AB1255" s="138" t="str">
        <f>IFERROR(__xludf.DUMMYFUNCTION("""COMPUTED_VALUE"""),"Excellent")</f>
        <v>Excellent</v>
      </c>
      <c r="AC1255" s="139">
        <f>IFERROR(__xludf.DUMMYFUNCTION("""COMPUTED_VALUE"""),0.0)</f>
        <v>0</v>
      </c>
      <c r="AD1255" s="139">
        <f>IFERROR(__xludf.DUMMYFUNCTION("""COMPUTED_VALUE"""),0.0)</f>
        <v>0</v>
      </c>
      <c r="AE1255" s="139"/>
      <c r="AF1255" s="140"/>
      <c r="AG1255" s="136"/>
      <c r="AH1255" s="157">
        <f>IFERROR(__xludf.DUMMYFUNCTION("""COMPUTED_VALUE"""),44097.68264195602)</f>
        <v>44097.68264</v>
      </c>
      <c r="AI1255" s="138"/>
      <c r="AJ1255" s="138"/>
      <c r="AK1255" s="138"/>
      <c r="AL1255" s="142"/>
    </row>
    <row r="1256" ht="20.25" customHeight="1">
      <c r="A1256" s="155" t="str">
        <f>IFERROR(__xludf.DUMMYFUNCTION("""COMPUTED_VALUE"""),"jeddy5702")</f>
        <v>jeddy5702</v>
      </c>
      <c r="B1256" s="149" t="str">
        <f>IFERROR(__xludf.DUMMYFUNCTION("""COMPUTED_VALUE"""),"Orlando")</f>
        <v>Orlando</v>
      </c>
      <c r="C1256" s="149" t="str">
        <f>IFERROR(__xludf.DUMMYFUNCTION("""COMPUTED_VALUE"""),"FL")</f>
        <v>FL</v>
      </c>
      <c r="D1256" s="149" t="str">
        <f>IFERROR(__xludf.DUMMYFUNCTION("""COMPUTED_VALUE"""),"USA")</f>
        <v>USA</v>
      </c>
      <c r="E1256" s="156">
        <f>IFERROR(__xludf.DUMMYFUNCTION("""COMPUTED_VALUE"""),43972.0)</f>
        <v>43972</v>
      </c>
      <c r="F1256" s="129">
        <f>IFERROR(__xludf.DUMMYFUNCTION("""COMPUTED_VALUE"""),43981.0)</f>
        <v>43981</v>
      </c>
      <c r="G1256" s="154"/>
      <c r="H1256" s="131">
        <f>IFERROR(__xludf.DUMMYFUNCTION("""COMPUTED_VALUE"""),713649.0)</f>
        <v>713649</v>
      </c>
      <c r="I1256" s="144"/>
      <c r="J1256" s="129">
        <f>IFERROR(__xludf.DUMMYFUNCTION("""COMPUTED_VALUE"""),43997.0)</f>
        <v>43997</v>
      </c>
      <c r="K1256" s="133">
        <f>IFERROR(__xludf.DUMMYFUNCTION("""COMPUTED_VALUE"""),9.0)</f>
        <v>9</v>
      </c>
      <c r="L1256" s="133">
        <f>IFERROR(__xludf.DUMMYFUNCTION("""COMPUTED_VALUE"""),16.0)</f>
        <v>16</v>
      </c>
      <c r="M1256" s="133">
        <f>IFERROR(__xludf.DUMMYFUNCTION("""COMPUTED_VALUE"""),25.0)</f>
        <v>25</v>
      </c>
      <c r="N1256" s="152" t="str">
        <f>IFERROR(__xludf.DUMMYFUNCTION("""COMPUTED_VALUE"""),"Model 3 Performance")</f>
        <v>Model 3 Performance</v>
      </c>
      <c r="O1256" s="152" t="str">
        <f>IFERROR(__xludf.DUMMYFUNCTION("""COMPUTED_VALUE"""),"Red Multi-Coat")</f>
        <v>Red Multi-Coat</v>
      </c>
      <c r="P1256" s="153" t="str">
        <f>IFERROR(__xludf.DUMMYFUNCTION("""COMPUTED_VALUE"""),"20 inch Sport")</f>
        <v>20 inch Sport</v>
      </c>
      <c r="Q1256" s="152" t="str">
        <f>IFERROR(__xludf.DUMMYFUNCTION("""COMPUTED_VALUE"""),"Black seats")</f>
        <v>Black seats</v>
      </c>
      <c r="R1256" s="149" t="str">
        <f>IFERROR(__xludf.DUMMYFUNCTION("""COMPUTED_VALUE"""),"Full Self-Driving")</f>
        <v>Full Self-Driving</v>
      </c>
      <c r="S1256" s="149"/>
      <c r="T1256" s="145"/>
      <c r="U1256" s="145"/>
      <c r="V1256" s="145"/>
      <c r="W1256" s="145"/>
      <c r="X1256" s="137" t="str">
        <f>IFERROR(__xludf.DUMMYFUNCTION("""COMPUTED_VALUE"""),"Very Good")</f>
        <v>Very Good</v>
      </c>
      <c r="Y1256" s="138" t="str">
        <f>IFERROR(__xludf.DUMMYFUNCTION("""COMPUTED_VALUE"""),"Very Good")</f>
        <v>Very Good</v>
      </c>
      <c r="Z1256" s="138" t="str">
        <f>IFERROR(__xludf.DUMMYFUNCTION("""COMPUTED_VALUE"""),"Very Good")</f>
        <v>Very Good</v>
      </c>
      <c r="AA1256" s="138" t="str">
        <f>IFERROR(__xludf.DUMMYFUNCTION("""COMPUTED_VALUE"""),"Excellent")</f>
        <v>Excellent</v>
      </c>
      <c r="AB1256" s="138" t="str">
        <f>IFERROR(__xludf.DUMMYFUNCTION("""COMPUTED_VALUE"""),"Excellent")</f>
        <v>Excellent</v>
      </c>
      <c r="AC1256" s="139">
        <f>IFERROR(__xludf.DUMMYFUNCTION("""COMPUTED_VALUE"""),2.0)</f>
        <v>2</v>
      </c>
      <c r="AD1256" s="139">
        <f>IFERROR(__xludf.DUMMYFUNCTION("""COMPUTED_VALUE"""),1.0)</f>
        <v>1</v>
      </c>
      <c r="AE1256" s="139"/>
      <c r="AF1256" s="140"/>
      <c r="AG1256" s="136"/>
      <c r="AH1256" s="157">
        <f>IFERROR(__xludf.DUMMYFUNCTION("""COMPUTED_VALUE"""),43999.35166597222)</f>
        <v>43999.35167</v>
      </c>
      <c r="AI1256" s="138"/>
      <c r="AJ1256" s="138"/>
      <c r="AK1256" s="138"/>
      <c r="AL1256" s="142"/>
    </row>
    <row r="1257" ht="20.25" customHeight="1">
      <c r="A1257" s="155" t="str">
        <f>IFERROR(__xludf.DUMMYFUNCTION("""COMPUTED_VALUE"""),"Scaliatine")</f>
        <v>Scaliatine</v>
      </c>
      <c r="B1257" s="149" t="str">
        <f>IFERROR(__xludf.DUMMYFUNCTION("""COMPUTED_VALUE"""),"San Antonio")</f>
        <v>San Antonio</v>
      </c>
      <c r="C1257" s="149" t="str">
        <f>IFERROR(__xludf.DUMMYFUNCTION("""COMPUTED_VALUE"""),"TX")</f>
        <v>TX</v>
      </c>
      <c r="D1257" s="149" t="str">
        <f>IFERROR(__xludf.DUMMYFUNCTION("""COMPUTED_VALUE"""),"USA")</f>
        <v>USA</v>
      </c>
      <c r="E1257" s="156">
        <f>IFERROR(__xludf.DUMMYFUNCTION("""COMPUTED_VALUE"""),43970.0)</f>
        <v>43970</v>
      </c>
      <c r="F1257" s="129">
        <f>IFERROR(__xludf.DUMMYFUNCTION("""COMPUTED_VALUE"""),43994.0)</f>
        <v>43994</v>
      </c>
      <c r="G1257" s="154"/>
      <c r="H1257" s="131">
        <f>IFERROR(__xludf.DUMMYFUNCTION("""COMPUTED_VALUE"""),705230.0)</f>
        <v>705230</v>
      </c>
      <c r="I1257" s="144" t="str">
        <f>IFERROR(__xludf.DUMMYFUNCTION("""COMPUTED_VALUE"""),"06/20")</f>
        <v>06/20</v>
      </c>
      <c r="J1257" s="129">
        <f>IFERROR(__xludf.DUMMYFUNCTION("""COMPUTED_VALUE"""),44011.0)</f>
        <v>44011</v>
      </c>
      <c r="K1257" s="133">
        <f>IFERROR(__xludf.DUMMYFUNCTION("""COMPUTED_VALUE"""),24.0)</f>
        <v>24</v>
      </c>
      <c r="L1257" s="133">
        <f>IFERROR(__xludf.DUMMYFUNCTION("""COMPUTED_VALUE"""),17.0)</f>
        <v>17</v>
      </c>
      <c r="M1257" s="133">
        <f>IFERROR(__xludf.DUMMYFUNCTION("""COMPUTED_VALUE"""),41.0)</f>
        <v>41</v>
      </c>
      <c r="N1257" s="152" t="str">
        <f>IFERROR(__xludf.DUMMYFUNCTION("""COMPUTED_VALUE"""),"Model 3 SR+")</f>
        <v>Model 3 SR+</v>
      </c>
      <c r="O1257" s="152" t="str">
        <f>IFERROR(__xludf.DUMMYFUNCTION("""COMPUTED_VALUE"""),"Midnight Silver Metallic")</f>
        <v>Midnight Silver Metallic</v>
      </c>
      <c r="P1257" s="153" t="str">
        <f>IFERROR(__xludf.DUMMYFUNCTION("""COMPUTED_VALUE"""),"18 inch Aero")</f>
        <v>18 inch Aero</v>
      </c>
      <c r="Q1257" s="152" t="str">
        <f>IFERROR(__xludf.DUMMYFUNCTION("""COMPUTED_VALUE"""),"Black seats")</f>
        <v>Black seats</v>
      </c>
      <c r="R1257" s="149" t="str">
        <f>IFERROR(__xludf.DUMMYFUNCTION("""COMPUTED_VALUE"""),"Autopilot")</f>
        <v>Autopilot</v>
      </c>
      <c r="S1257" s="149"/>
      <c r="T1257" s="145"/>
      <c r="U1257" s="145"/>
      <c r="V1257" s="145"/>
      <c r="W1257" s="136"/>
      <c r="X1257" s="137" t="str">
        <f>IFERROR(__xludf.DUMMYFUNCTION("""COMPUTED_VALUE"""),"Excellent")</f>
        <v>Excellent</v>
      </c>
      <c r="Y1257" s="138" t="str">
        <f>IFERROR(__xludf.DUMMYFUNCTION("""COMPUTED_VALUE"""),"Excellent")</f>
        <v>Excellent</v>
      </c>
      <c r="Z1257" s="138" t="str">
        <f>IFERROR(__xludf.DUMMYFUNCTION("""COMPUTED_VALUE"""),"Excellent")</f>
        <v>Excellent</v>
      </c>
      <c r="AA1257" s="138" t="str">
        <f>IFERROR(__xludf.DUMMYFUNCTION("""COMPUTED_VALUE"""),"Fair")</f>
        <v>Fair</v>
      </c>
      <c r="AB1257" s="138" t="str">
        <f>IFERROR(__xludf.DUMMYFUNCTION("""COMPUTED_VALUE"""),"Very Good")</f>
        <v>Very Good</v>
      </c>
      <c r="AC1257" s="139"/>
      <c r="AD1257" s="139"/>
      <c r="AE1257" s="139"/>
      <c r="AF1257" s="140"/>
      <c r="AG1257" s="136" t="str">
        <f>IFERROR(__xludf.DUMMYFUNCTION("""COMPUTED_VALUE"""),"Had USB-C and Wireless Charging Pad")</f>
        <v>Had USB-C and Wireless Charging Pad</v>
      </c>
      <c r="AH1257" s="157">
        <f>IFERROR(__xludf.DUMMYFUNCTION("""COMPUTED_VALUE"""),44011.88615916667)</f>
        <v>44011.88616</v>
      </c>
      <c r="AI1257" s="138"/>
      <c r="AJ1257" s="138"/>
      <c r="AK1257" s="138"/>
      <c r="AL1257" s="142"/>
    </row>
    <row r="1258" ht="20.25" customHeight="1">
      <c r="A1258" s="155" t="str">
        <f>IFERROR(__xludf.DUMMYFUNCTION("""COMPUTED_VALUE"""),"ZILL360")</f>
        <v>ZILL360</v>
      </c>
      <c r="B1258" s="149" t="str">
        <f>IFERROR(__xludf.DUMMYFUNCTION("""COMPUTED_VALUE"""),"Monteasno")</f>
        <v>Monteasno</v>
      </c>
      <c r="C1258" s="149" t="str">
        <f>IFERROR(__xludf.DUMMYFUNCTION("""COMPUTED_VALUE"""),"WA")</f>
        <v>WA</v>
      </c>
      <c r="D1258" s="149" t="str">
        <f>IFERROR(__xludf.DUMMYFUNCTION("""COMPUTED_VALUE"""),"USA")</f>
        <v>USA</v>
      </c>
      <c r="E1258" s="156">
        <f>IFERROR(__xludf.DUMMYFUNCTION("""COMPUTED_VALUE"""),43970.0)</f>
        <v>43970</v>
      </c>
      <c r="F1258" s="129"/>
      <c r="G1258" s="154"/>
      <c r="H1258" s="131"/>
      <c r="I1258" s="144"/>
      <c r="J1258" s="129">
        <f>IFERROR(__xludf.DUMMYFUNCTION("""COMPUTED_VALUE"""),43992.0)</f>
        <v>43992</v>
      </c>
      <c r="K1258" s="133"/>
      <c r="L1258" s="133"/>
      <c r="M1258" s="133">
        <f>IFERROR(__xludf.DUMMYFUNCTION("""COMPUTED_VALUE"""),22.0)</f>
        <v>22</v>
      </c>
      <c r="N1258" s="152" t="str">
        <f>IFERROR(__xludf.DUMMYFUNCTION("""COMPUTED_VALUE"""),"Model 3 LR AWD")</f>
        <v>Model 3 LR AWD</v>
      </c>
      <c r="O1258" s="152" t="str">
        <f>IFERROR(__xludf.DUMMYFUNCTION("""COMPUTED_VALUE"""),"Pearl White Multi-Coat")</f>
        <v>Pearl White Multi-Coat</v>
      </c>
      <c r="P1258" s="153" t="str">
        <f>IFERROR(__xludf.DUMMYFUNCTION("""COMPUTED_VALUE"""),"19 inch Sport")</f>
        <v>19 inch Sport</v>
      </c>
      <c r="Q1258" s="152" t="str">
        <f>IFERROR(__xludf.DUMMYFUNCTION("""COMPUTED_VALUE"""),"Black seats")</f>
        <v>Black seats</v>
      </c>
      <c r="R1258" s="149" t="str">
        <f>IFERROR(__xludf.DUMMYFUNCTION("""COMPUTED_VALUE"""),"Full Self-Driving")</f>
        <v>Full Self-Driving</v>
      </c>
      <c r="S1258" s="149"/>
      <c r="T1258" s="145"/>
      <c r="U1258" s="145"/>
      <c r="V1258" s="145"/>
      <c r="W1258" s="145"/>
      <c r="X1258" s="137" t="str">
        <f>IFERROR(__xludf.DUMMYFUNCTION("""COMPUTED_VALUE"""),"Very Good")</f>
        <v>Very Good</v>
      </c>
      <c r="Y1258" s="138" t="str">
        <f>IFERROR(__xludf.DUMMYFUNCTION("""COMPUTED_VALUE"""),"Excellent")</f>
        <v>Excellent</v>
      </c>
      <c r="Z1258" s="138" t="str">
        <f>IFERROR(__xludf.DUMMYFUNCTION("""COMPUTED_VALUE"""),"Very Good")</f>
        <v>Very Good</v>
      </c>
      <c r="AA1258" s="138" t="str">
        <f>IFERROR(__xludf.DUMMYFUNCTION("""COMPUTED_VALUE"""),"Excellent")</f>
        <v>Excellent</v>
      </c>
      <c r="AB1258" s="138" t="str">
        <f>IFERROR(__xludf.DUMMYFUNCTION("""COMPUTED_VALUE"""),"Excellent")</f>
        <v>Excellent</v>
      </c>
      <c r="AC1258" s="139">
        <f>IFERROR(__xludf.DUMMYFUNCTION("""COMPUTED_VALUE"""),0.0)</f>
        <v>0</v>
      </c>
      <c r="AD1258" s="139">
        <f>IFERROR(__xludf.DUMMYFUNCTION("""COMPUTED_VALUE"""),0.0)</f>
        <v>0</v>
      </c>
      <c r="AE1258" s="139">
        <f>IFERROR(__xludf.DUMMYFUNCTION("""COMPUTED_VALUE"""),0.0)</f>
        <v>0</v>
      </c>
      <c r="AF1258" s="140"/>
      <c r="AG1258" s="145"/>
      <c r="AH1258" s="157">
        <f>IFERROR(__xludf.DUMMYFUNCTION("""COMPUTED_VALUE"""),44090.53509162037)</f>
        <v>44090.53509</v>
      </c>
      <c r="AI1258" s="138"/>
      <c r="AJ1258" s="138"/>
      <c r="AK1258" s="138"/>
      <c r="AL1258" s="142"/>
    </row>
    <row r="1259" ht="20.25" customHeight="1">
      <c r="A1259" s="155" t="str">
        <f>IFERROR(__xludf.DUMMYFUNCTION("""COMPUTED_VALUE"""),"wtoh")</f>
        <v>wtoh</v>
      </c>
      <c r="B1259" s="149" t="str">
        <f>IFERROR(__xludf.DUMMYFUNCTION("""COMPUTED_VALUE"""),"Vancouver")</f>
        <v>Vancouver</v>
      </c>
      <c r="C1259" s="149" t="str">
        <f>IFERROR(__xludf.DUMMYFUNCTION("""COMPUTED_VALUE"""),"BC")</f>
        <v>BC</v>
      </c>
      <c r="D1259" s="149" t="str">
        <f>IFERROR(__xludf.DUMMYFUNCTION("""COMPUTED_VALUE"""),"Canada")</f>
        <v>Canada</v>
      </c>
      <c r="E1259" s="156">
        <f>IFERROR(__xludf.DUMMYFUNCTION("""COMPUTED_VALUE"""),43947.0)</f>
        <v>43947</v>
      </c>
      <c r="F1259" s="129">
        <f>IFERROR(__xludf.DUMMYFUNCTION("""COMPUTED_VALUE"""),43998.0)</f>
        <v>43998</v>
      </c>
      <c r="G1259" s="154"/>
      <c r="H1259" s="131">
        <f>IFERROR(__xludf.DUMMYFUNCTION("""COMPUTED_VALUE"""),734455.0)</f>
        <v>734455</v>
      </c>
      <c r="I1259" s="144"/>
      <c r="J1259" s="129">
        <f>IFERROR(__xludf.DUMMYFUNCTION("""COMPUTED_VALUE"""),44002.0)</f>
        <v>44002</v>
      </c>
      <c r="K1259" s="133">
        <f>IFERROR(__xludf.DUMMYFUNCTION("""COMPUTED_VALUE"""),51.0)</f>
        <v>51</v>
      </c>
      <c r="L1259" s="133">
        <f>IFERROR(__xludf.DUMMYFUNCTION("""COMPUTED_VALUE"""),4.0)</f>
        <v>4</v>
      </c>
      <c r="M1259" s="133">
        <f>IFERROR(__xludf.DUMMYFUNCTION("""COMPUTED_VALUE"""),55.0)</f>
        <v>55</v>
      </c>
      <c r="N1259" s="152" t="str">
        <f>IFERROR(__xludf.DUMMYFUNCTION("""COMPUTED_VALUE"""),"Model 3 SR+")</f>
        <v>Model 3 SR+</v>
      </c>
      <c r="O1259" s="152" t="str">
        <f>IFERROR(__xludf.DUMMYFUNCTION("""COMPUTED_VALUE"""),"Pearl White Multi-Coat")</f>
        <v>Pearl White Multi-Coat</v>
      </c>
      <c r="P1259" s="153" t="str">
        <f>IFERROR(__xludf.DUMMYFUNCTION("""COMPUTED_VALUE"""),"18 inch Aero")</f>
        <v>18 inch Aero</v>
      </c>
      <c r="Q1259" s="152" t="str">
        <f>IFERROR(__xludf.DUMMYFUNCTION("""COMPUTED_VALUE"""),"Black seats")</f>
        <v>Black seats</v>
      </c>
      <c r="R1259" s="149" t="str">
        <f>IFERROR(__xludf.DUMMYFUNCTION("""COMPUTED_VALUE"""),"Autopilot")</f>
        <v>Autopilot</v>
      </c>
      <c r="S1259" s="149"/>
      <c r="T1259" s="145"/>
      <c r="U1259" s="145"/>
      <c r="V1259" s="145"/>
      <c r="W1259" s="136"/>
      <c r="X1259" s="162" t="str">
        <f>IFERROR(__xludf.DUMMYFUNCTION("""COMPUTED_VALUE"""),"Excellent")</f>
        <v>Excellent</v>
      </c>
      <c r="Y1259" s="138" t="str">
        <f>IFERROR(__xludf.DUMMYFUNCTION("""COMPUTED_VALUE"""),"Excellent")</f>
        <v>Excellent</v>
      </c>
      <c r="Z1259" s="138" t="str">
        <f>IFERROR(__xludf.DUMMYFUNCTION("""COMPUTED_VALUE"""),"Excellent")</f>
        <v>Excellent</v>
      </c>
      <c r="AA1259" s="138" t="str">
        <f>IFERROR(__xludf.DUMMYFUNCTION("""COMPUTED_VALUE"""),"Good")</f>
        <v>Good</v>
      </c>
      <c r="AB1259" s="138" t="str">
        <f>IFERROR(__xludf.DUMMYFUNCTION("""COMPUTED_VALUE"""),"Good")</f>
        <v>Good</v>
      </c>
      <c r="AC1259" s="139"/>
      <c r="AD1259" s="139"/>
      <c r="AE1259" s="139"/>
      <c r="AF1259" s="140"/>
      <c r="AG1259" s="136"/>
      <c r="AH1259" s="157">
        <f>IFERROR(__xludf.DUMMYFUNCTION("""COMPUTED_VALUE"""),44008.78753954861)</f>
        <v>44008.78754</v>
      </c>
      <c r="AI1259" s="138"/>
      <c r="AJ1259" s="138"/>
      <c r="AK1259" s="138"/>
      <c r="AL1259" s="142"/>
    </row>
    <row r="1260" ht="20.25" customHeight="1">
      <c r="A1260" s="155" t="str">
        <f>IFERROR(__xludf.DUMMYFUNCTION("""COMPUTED_VALUE"""),"BabyJ")</f>
        <v>BabyJ</v>
      </c>
      <c r="B1260" s="149" t="str">
        <f>IFERROR(__xludf.DUMMYFUNCTION("""COMPUTED_VALUE"""),"Atlanta ")</f>
        <v>Atlanta </v>
      </c>
      <c r="C1260" s="149" t="str">
        <f>IFERROR(__xludf.DUMMYFUNCTION("""COMPUTED_VALUE"""),"GA")</f>
        <v>GA</v>
      </c>
      <c r="D1260" s="149" t="str">
        <f>IFERROR(__xludf.DUMMYFUNCTION("""COMPUTED_VALUE"""),"USA")</f>
        <v>USA</v>
      </c>
      <c r="E1260" s="156">
        <f>IFERROR(__xludf.DUMMYFUNCTION("""COMPUTED_VALUE"""),43938.0)</f>
        <v>43938</v>
      </c>
      <c r="F1260" s="129">
        <f>IFERROR(__xludf.DUMMYFUNCTION("""COMPUTED_VALUE"""),44063.0)</f>
        <v>44063</v>
      </c>
      <c r="G1260" s="154"/>
      <c r="H1260" s="131">
        <f>IFERROR(__xludf.DUMMYFUNCTION("""COMPUTED_VALUE"""),775155.0)</f>
        <v>775155</v>
      </c>
      <c r="I1260" s="132" t="str">
        <f>IFERROR(__xludf.DUMMYFUNCTION("""COMPUTED_VALUE"""),"08/20")</f>
        <v>08/20</v>
      </c>
      <c r="J1260" s="129">
        <f>IFERROR(__xludf.DUMMYFUNCTION("""COMPUTED_VALUE"""),44079.0)</f>
        <v>44079</v>
      </c>
      <c r="K1260" s="133">
        <f>IFERROR(__xludf.DUMMYFUNCTION("""COMPUTED_VALUE"""),125.0)</f>
        <v>125</v>
      </c>
      <c r="L1260" s="133">
        <f>IFERROR(__xludf.DUMMYFUNCTION("""COMPUTED_VALUE"""),16.0)</f>
        <v>16</v>
      </c>
      <c r="M1260" s="133">
        <f>IFERROR(__xludf.DUMMYFUNCTION("""COMPUTED_VALUE"""),141.0)</f>
        <v>141</v>
      </c>
      <c r="N1260" s="152" t="str">
        <f>IFERROR(__xludf.DUMMYFUNCTION("""COMPUTED_VALUE"""),"Model 3 SR+")</f>
        <v>Model 3 SR+</v>
      </c>
      <c r="O1260" s="152" t="str">
        <f>IFERROR(__xludf.DUMMYFUNCTION("""COMPUTED_VALUE"""),"Pearl White Multi-Coat")</f>
        <v>Pearl White Multi-Coat</v>
      </c>
      <c r="P1260" s="153" t="str">
        <f>IFERROR(__xludf.DUMMYFUNCTION("""COMPUTED_VALUE"""),"18 inch Aero")</f>
        <v>18 inch Aero</v>
      </c>
      <c r="Q1260" s="152" t="str">
        <f>IFERROR(__xludf.DUMMYFUNCTION("""COMPUTED_VALUE"""),"Black seats")</f>
        <v>Black seats</v>
      </c>
      <c r="R1260" s="150" t="str">
        <f>IFERROR(__xludf.DUMMYFUNCTION("""COMPUTED_VALUE"""),"Autopilot")</f>
        <v>Autopilot</v>
      </c>
      <c r="S1260" s="150"/>
      <c r="T1260" s="136"/>
      <c r="U1260" s="136"/>
      <c r="V1260" s="136"/>
      <c r="W1260" s="136"/>
      <c r="X1260" s="137" t="str">
        <f>IFERROR(__xludf.DUMMYFUNCTION("""COMPUTED_VALUE"""),"Good")</f>
        <v>Good</v>
      </c>
      <c r="Y1260" s="138" t="str">
        <f>IFERROR(__xludf.DUMMYFUNCTION("""COMPUTED_VALUE"""),"Very Good")</f>
        <v>Very Good</v>
      </c>
      <c r="Z1260" s="138" t="str">
        <f>IFERROR(__xludf.DUMMYFUNCTION("""COMPUTED_VALUE"""),"Very Good")</f>
        <v>Very Good</v>
      </c>
      <c r="AA1260" s="138" t="str">
        <f>IFERROR(__xludf.DUMMYFUNCTION("""COMPUTED_VALUE"""),"Fair")</f>
        <v>Fair</v>
      </c>
      <c r="AB1260" s="138" t="str">
        <f>IFERROR(__xludf.DUMMYFUNCTION("""COMPUTED_VALUE"""),"Very Good")</f>
        <v>Very Good</v>
      </c>
      <c r="AC1260" s="139"/>
      <c r="AD1260" s="139"/>
      <c r="AE1260" s="139"/>
      <c r="AF1260" s="140"/>
      <c r="AG1260" s="136" t="str">
        <f>IFERROR(__xludf.DUMMYFUNCTION("""COMPUTED_VALUE"""),"I reached out to SA original date my car was to make it to Atlanta was 9/1 now is 9/4. Hoping my pick up date of 9/5 will not change")</f>
        <v>I reached out to SA original date my car was to make it to Atlanta was 9/1 now is 9/4. Hoping my pick up date of 9/5 will not change</v>
      </c>
      <c r="AH1260" s="157">
        <f>IFERROR(__xludf.DUMMYFUNCTION("""COMPUTED_VALUE"""),44079.759431481485)</f>
        <v>44079.75943</v>
      </c>
      <c r="AI1260" s="138"/>
      <c r="AJ1260" s="138"/>
      <c r="AK1260" s="138"/>
      <c r="AL1260" s="142"/>
    </row>
    <row r="1261" ht="20.25" customHeight="1">
      <c r="A1261" s="155" t="str">
        <f>IFERROR(__xludf.DUMMYFUNCTION("""COMPUTED_VALUE"""),"egolab")</f>
        <v>egolab</v>
      </c>
      <c r="B1261" s="149" t="str">
        <f>IFERROR(__xludf.DUMMYFUNCTION("""COMPUTED_VALUE"""),"San Jose")</f>
        <v>San Jose</v>
      </c>
      <c r="C1261" s="149" t="str">
        <f>IFERROR(__xludf.DUMMYFUNCTION("""COMPUTED_VALUE"""),"CA")</f>
        <v>CA</v>
      </c>
      <c r="D1261" s="149" t="str">
        <f>IFERROR(__xludf.DUMMYFUNCTION("""COMPUTED_VALUE"""),"USA")</f>
        <v>USA</v>
      </c>
      <c r="E1261" s="156">
        <f>IFERROR(__xludf.DUMMYFUNCTION("""COMPUTED_VALUE"""),43909.0)</f>
        <v>43909</v>
      </c>
      <c r="F1261" s="129">
        <f>IFERROR(__xludf.DUMMYFUNCTION("""COMPUTED_VALUE"""),43911.0)</f>
        <v>43911</v>
      </c>
      <c r="G1261" s="154"/>
      <c r="H1261" s="131"/>
      <c r="I1261" s="144" t="str">
        <f>IFERROR(__xludf.DUMMYFUNCTION("""COMPUTED_VALUE"""),"03/20")</f>
        <v>03/20</v>
      </c>
      <c r="J1261" s="129">
        <f>IFERROR(__xludf.DUMMYFUNCTION("""COMPUTED_VALUE"""),43911.0)</f>
        <v>43911</v>
      </c>
      <c r="K1261" s="133">
        <f>IFERROR(__xludf.DUMMYFUNCTION("""COMPUTED_VALUE"""),2.0)</f>
        <v>2</v>
      </c>
      <c r="L1261" s="133">
        <f>IFERROR(__xludf.DUMMYFUNCTION("""COMPUTED_VALUE"""),0.0)</f>
        <v>0</v>
      </c>
      <c r="M1261" s="133">
        <f>IFERROR(__xludf.DUMMYFUNCTION("""COMPUTED_VALUE"""),2.0)</f>
        <v>2</v>
      </c>
      <c r="N1261" s="152" t="str">
        <f>IFERROR(__xludf.DUMMYFUNCTION("""COMPUTED_VALUE"""),"Model 3 LR AWD")</f>
        <v>Model 3 LR AWD</v>
      </c>
      <c r="O1261" s="152" t="str">
        <f>IFERROR(__xludf.DUMMYFUNCTION("""COMPUTED_VALUE"""),"Pearl White Multi-Coat")</f>
        <v>Pearl White Multi-Coat</v>
      </c>
      <c r="P1261" s="153" t="str">
        <f>IFERROR(__xludf.DUMMYFUNCTION("""COMPUTED_VALUE"""),"19 inch Sport")</f>
        <v>19 inch Sport</v>
      </c>
      <c r="Q1261" s="152" t="str">
        <f>IFERROR(__xludf.DUMMYFUNCTION("""COMPUTED_VALUE"""),"Black seats")</f>
        <v>Black seats</v>
      </c>
      <c r="R1261" s="149" t="str">
        <f>IFERROR(__xludf.DUMMYFUNCTION("""COMPUTED_VALUE"""),"Full Self-Driving")</f>
        <v>Full Self-Driving</v>
      </c>
      <c r="S1261" s="149"/>
      <c r="T1261" s="145"/>
      <c r="U1261" s="145"/>
      <c r="V1261" s="145"/>
      <c r="W1261" s="145"/>
      <c r="X1261" s="137" t="str">
        <f>IFERROR(__xludf.DUMMYFUNCTION("""COMPUTED_VALUE"""),"Excellent")</f>
        <v>Excellent</v>
      </c>
      <c r="Y1261" s="138" t="str">
        <f>IFERROR(__xludf.DUMMYFUNCTION("""COMPUTED_VALUE"""),"Excellent")</f>
        <v>Excellent</v>
      </c>
      <c r="Z1261" s="138" t="str">
        <f>IFERROR(__xludf.DUMMYFUNCTION("""COMPUTED_VALUE"""),"Excellent")</f>
        <v>Excellent</v>
      </c>
      <c r="AA1261" s="138" t="str">
        <f>IFERROR(__xludf.DUMMYFUNCTION("""COMPUTED_VALUE"""),"Poor")</f>
        <v>Poor</v>
      </c>
      <c r="AB1261" s="138" t="str">
        <f>IFERROR(__xludf.DUMMYFUNCTION("""COMPUTED_VALUE"""),"Very Good")</f>
        <v>Very Good</v>
      </c>
      <c r="AC1261" s="139">
        <f>IFERROR(__xludf.DUMMYFUNCTION("""COMPUTED_VALUE"""),0.0)</f>
        <v>0</v>
      </c>
      <c r="AD1261" s="139">
        <f>IFERROR(__xludf.DUMMYFUNCTION("""COMPUTED_VALUE"""),0.0)</f>
        <v>0</v>
      </c>
      <c r="AE1261" s="139">
        <f>IFERROR(__xludf.DUMMYFUNCTION("""COMPUTED_VALUE"""),0.0)</f>
        <v>0</v>
      </c>
      <c r="AF1261" s="140"/>
      <c r="AG1261" s="145" t="str">
        <f>IFERROR(__xludf.DUMMYFUNCTION("""COMPUTED_VALUE"""),"Delivery team called me on 3/21 to schedule a delivery date for the following week but I asked if I could have the car dropped off that day. They were able to accommodate so I received the car that same day. ")</f>
        <v>Delivery team called me on 3/21 to schedule a delivery date for the following week but I asked if I could have the car dropped off that day. They were able to accommodate so I received the car that same day. </v>
      </c>
      <c r="AH1261" s="157">
        <f>IFERROR(__xludf.DUMMYFUNCTION("""COMPUTED_VALUE"""),43916.55467456018)</f>
        <v>43916.55467</v>
      </c>
      <c r="AI1261" s="138"/>
      <c r="AJ1261" s="138"/>
      <c r="AK1261" s="138"/>
      <c r="AL1261" s="142"/>
    </row>
    <row r="1262" ht="20.25" customHeight="1">
      <c r="A1262" s="155" t="str">
        <f>IFERROR(__xludf.DUMMYFUNCTION("""COMPUTED_VALUE"""),"jbbrann")</f>
        <v>jbbrann</v>
      </c>
      <c r="B1262" s="149" t="str">
        <f>IFERROR(__xludf.DUMMYFUNCTION("""COMPUTED_VALUE"""),"Little Rock")</f>
        <v>Little Rock</v>
      </c>
      <c r="C1262" s="149" t="str">
        <f>IFERROR(__xludf.DUMMYFUNCTION("""COMPUTED_VALUE"""),"AR")</f>
        <v>AR</v>
      </c>
      <c r="D1262" s="149" t="str">
        <f>IFERROR(__xludf.DUMMYFUNCTION("""COMPUTED_VALUE"""),"USA")</f>
        <v>USA</v>
      </c>
      <c r="E1262" s="156">
        <f>IFERROR(__xludf.DUMMYFUNCTION("""COMPUTED_VALUE"""),43905.0)</f>
        <v>43905</v>
      </c>
      <c r="F1262" s="129">
        <f>IFERROR(__xludf.DUMMYFUNCTION("""COMPUTED_VALUE"""),43980.0)</f>
        <v>43980</v>
      </c>
      <c r="G1262" s="154"/>
      <c r="H1262" s="131">
        <f>IFERROR(__xludf.DUMMYFUNCTION("""COMPUTED_VALUE"""),719155.0)</f>
        <v>719155</v>
      </c>
      <c r="I1262" s="132" t="str">
        <f>IFERROR(__xludf.DUMMYFUNCTION("""COMPUTED_VALUE"""),"05/20")</f>
        <v>05/20</v>
      </c>
      <c r="J1262" s="129">
        <f>IFERROR(__xludf.DUMMYFUNCTION("""COMPUTED_VALUE"""),44008.0)</f>
        <v>44008</v>
      </c>
      <c r="K1262" s="133">
        <f>IFERROR(__xludf.DUMMYFUNCTION("""COMPUTED_VALUE"""),75.0)</f>
        <v>75</v>
      </c>
      <c r="L1262" s="133">
        <f>IFERROR(__xludf.DUMMYFUNCTION("""COMPUTED_VALUE"""),28.0)</f>
        <v>28</v>
      </c>
      <c r="M1262" s="133">
        <f>IFERROR(__xludf.DUMMYFUNCTION("""COMPUTED_VALUE"""),103.0)</f>
        <v>103</v>
      </c>
      <c r="N1262" s="152" t="str">
        <f>IFERROR(__xludf.DUMMYFUNCTION("""COMPUTED_VALUE"""),"Model 3 Performance")</f>
        <v>Model 3 Performance</v>
      </c>
      <c r="O1262" s="152" t="str">
        <f>IFERROR(__xludf.DUMMYFUNCTION("""COMPUTED_VALUE"""),"Pearl White Multi-Coat")</f>
        <v>Pearl White Multi-Coat</v>
      </c>
      <c r="P1262" s="153" t="str">
        <f>IFERROR(__xludf.DUMMYFUNCTION("""COMPUTED_VALUE"""),"20 inch Sport")</f>
        <v>20 inch Sport</v>
      </c>
      <c r="Q1262" s="152" t="str">
        <f>IFERROR(__xludf.DUMMYFUNCTION("""COMPUTED_VALUE"""),"White seats")</f>
        <v>White seats</v>
      </c>
      <c r="R1262" s="150" t="str">
        <f>IFERROR(__xludf.DUMMYFUNCTION("""COMPUTED_VALUE"""),"Autopilot")</f>
        <v>Autopilot</v>
      </c>
      <c r="S1262" s="150"/>
      <c r="T1262" s="136"/>
      <c r="U1262" s="136"/>
      <c r="V1262" s="136"/>
      <c r="W1262" s="136"/>
      <c r="X1262" s="137" t="str">
        <f>IFERROR(__xludf.DUMMYFUNCTION("""COMPUTED_VALUE"""),"Very Good")</f>
        <v>Very Good</v>
      </c>
      <c r="Y1262" s="138" t="str">
        <f>IFERROR(__xludf.DUMMYFUNCTION("""COMPUTED_VALUE"""),"Excellent")</f>
        <v>Excellent</v>
      </c>
      <c r="Z1262" s="138" t="str">
        <f>IFERROR(__xludf.DUMMYFUNCTION("""COMPUTED_VALUE"""),"Good")</f>
        <v>Good</v>
      </c>
      <c r="AA1262" s="138" t="str">
        <f>IFERROR(__xludf.DUMMYFUNCTION("""COMPUTED_VALUE"""),"Poor")</f>
        <v>Poor</v>
      </c>
      <c r="AB1262" s="138" t="str">
        <f>IFERROR(__xludf.DUMMYFUNCTION("""COMPUTED_VALUE"""),"Good")</f>
        <v>Good</v>
      </c>
      <c r="AC1262" s="139">
        <f>IFERROR(__xludf.DUMMYFUNCTION("""COMPUTED_VALUE"""),0.0)</f>
        <v>0</v>
      </c>
      <c r="AD1262" s="139"/>
      <c r="AE1262" s="139"/>
      <c r="AF1262" s="140"/>
      <c r="AG1262" s="145" t="str">
        <f>IFERROR(__xludf.DUMMYFUNCTION("""COMPUTED_VALUE"""),"Received delivery date of 3/25, but put on hold due to current lease")</f>
        <v>Received delivery date of 3/25, but put on hold due to current lease</v>
      </c>
      <c r="AH1262" s="157">
        <f>IFERROR(__xludf.DUMMYFUNCTION("""COMPUTED_VALUE"""),44012.755119814814)</f>
        <v>44012.75512</v>
      </c>
      <c r="AI1262" s="138"/>
      <c r="AJ1262" s="138"/>
      <c r="AK1262" s="138"/>
      <c r="AL1262" s="142"/>
    </row>
    <row r="1263" ht="20.25" customHeight="1">
      <c r="A1263" s="155" t="str">
        <f>IFERROR(__xludf.DUMMYFUNCTION("""COMPUTED_VALUE"""),"migeho")</f>
        <v>migeho</v>
      </c>
      <c r="B1263" s="150" t="str">
        <f>IFERROR(__xludf.DUMMYFUNCTION("""COMPUTED_VALUE"""),"Irvine")</f>
        <v>Irvine</v>
      </c>
      <c r="C1263" s="150" t="str">
        <f>IFERROR(__xludf.DUMMYFUNCTION("""COMPUTED_VALUE"""),"CA")</f>
        <v>CA</v>
      </c>
      <c r="D1263" s="150" t="str">
        <f>IFERROR(__xludf.DUMMYFUNCTION("""COMPUTED_VALUE"""),"USA")</f>
        <v>USA</v>
      </c>
      <c r="E1263" s="156">
        <f>IFERROR(__xludf.DUMMYFUNCTION("""COMPUTED_VALUE"""),43905.0)</f>
        <v>43905</v>
      </c>
      <c r="F1263" s="129">
        <f>IFERROR(__xludf.DUMMYFUNCTION("""COMPUTED_VALUE"""),43916.0)</f>
        <v>43916</v>
      </c>
      <c r="G1263" s="154"/>
      <c r="H1263" s="131">
        <f>IFERROR(__xludf.DUMMYFUNCTION("""COMPUTED_VALUE"""),713055.0)</f>
        <v>713055</v>
      </c>
      <c r="I1263" s="132" t="str">
        <f>IFERROR(__xludf.DUMMYFUNCTION("""COMPUTED_VALUE"""),"03/20")</f>
        <v>03/20</v>
      </c>
      <c r="J1263" s="129">
        <f>IFERROR(__xludf.DUMMYFUNCTION("""COMPUTED_VALUE"""),43917.0)</f>
        <v>43917</v>
      </c>
      <c r="K1263" s="133">
        <f>IFERROR(__xludf.DUMMYFUNCTION("""COMPUTED_VALUE"""),11.0)</f>
        <v>11</v>
      </c>
      <c r="L1263" s="133">
        <f>IFERROR(__xludf.DUMMYFUNCTION("""COMPUTED_VALUE"""),1.0)</f>
        <v>1</v>
      </c>
      <c r="M1263" s="133">
        <f>IFERROR(__xludf.DUMMYFUNCTION("""COMPUTED_VALUE"""),12.0)</f>
        <v>12</v>
      </c>
      <c r="N1263" s="152" t="str">
        <f>IFERROR(__xludf.DUMMYFUNCTION("""COMPUTED_VALUE"""),"Model 3 LR AWD")</f>
        <v>Model 3 LR AWD</v>
      </c>
      <c r="O1263" s="152" t="str">
        <f>IFERROR(__xludf.DUMMYFUNCTION("""COMPUTED_VALUE"""),"Pearl White Multi-Coat")</f>
        <v>Pearl White Multi-Coat</v>
      </c>
      <c r="P1263" s="153" t="str">
        <f>IFERROR(__xludf.DUMMYFUNCTION("""COMPUTED_VALUE"""),"19 inch Sport")</f>
        <v>19 inch Sport</v>
      </c>
      <c r="Q1263" s="152" t="str">
        <f>IFERROR(__xludf.DUMMYFUNCTION("""COMPUTED_VALUE"""),"White seats")</f>
        <v>White seats</v>
      </c>
      <c r="R1263" s="150" t="str">
        <f>IFERROR(__xludf.DUMMYFUNCTION("""COMPUTED_VALUE"""),"Full Self-Driving")</f>
        <v>Full Self-Driving</v>
      </c>
      <c r="S1263" s="150"/>
      <c r="T1263" s="145"/>
      <c r="U1263" s="145"/>
      <c r="V1263" s="136"/>
      <c r="W1263" s="136"/>
      <c r="X1263" s="137" t="str">
        <f>IFERROR(__xludf.DUMMYFUNCTION("""COMPUTED_VALUE"""),"Very Good")</f>
        <v>Very Good</v>
      </c>
      <c r="Y1263" s="138" t="str">
        <f>IFERROR(__xludf.DUMMYFUNCTION("""COMPUTED_VALUE"""),"Excellent")</f>
        <v>Excellent</v>
      </c>
      <c r="Z1263" s="138" t="str">
        <f>IFERROR(__xludf.DUMMYFUNCTION("""COMPUTED_VALUE"""),"Excellent")</f>
        <v>Excellent</v>
      </c>
      <c r="AA1263" s="138" t="str">
        <f>IFERROR(__xludf.DUMMYFUNCTION("""COMPUTED_VALUE"""),"Very Good")</f>
        <v>Very Good</v>
      </c>
      <c r="AB1263" s="138" t="str">
        <f>IFERROR(__xludf.DUMMYFUNCTION("""COMPUTED_VALUE"""),"Excellent")</f>
        <v>Excellent</v>
      </c>
      <c r="AC1263" s="139"/>
      <c r="AD1263" s="139"/>
      <c r="AE1263" s="139"/>
      <c r="AF1263" s="140"/>
      <c r="AG1263" s="136"/>
      <c r="AH1263" s="157">
        <f>IFERROR(__xludf.DUMMYFUNCTION("""COMPUTED_VALUE"""),43917.60845975695)</f>
        <v>43917.60846</v>
      </c>
      <c r="AI1263" s="138"/>
      <c r="AJ1263" s="138"/>
      <c r="AK1263" s="138"/>
      <c r="AL1263" s="142"/>
    </row>
    <row r="1264" ht="20.25" customHeight="1">
      <c r="A1264" s="155" t="str">
        <f>IFERROR(__xludf.DUMMYFUNCTION("""COMPUTED_VALUE"""),"Asanti")</f>
        <v>Asanti</v>
      </c>
      <c r="B1264" s="150" t="str">
        <f>IFERROR(__xludf.DUMMYFUNCTION("""COMPUTED_VALUE"""),"Verona")</f>
        <v>Verona</v>
      </c>
      <c r="C1264" s="149" t="str">
        <f>IFERROR(__xludf.DUMMYFUNCTION("""COMPUTED_VALUE"""),"NJ")</f>
        <v>NJ</v>
      </c>
      <c r="D1264" s="149" t="str">
        <f>IFERROR(__xludf.DUMMYFUNCTION("""COMPUTED_VALUE"""),"USA")</f>
        <v>USA</v>
      </c>
      <c r="E1264" s="156">
        <f>IFERROR(__xludf.DUMMYFUNCTION("""COMPUTED_VALUE"""),43904.0)</f>
        <v>43904</v>
      </c>
      <c r="F1264" s="129">
        <f>IFERROR(__xludf.DUMMYFUNCTION("""COMPUTED_VALUE"""),43904.0)</f>
        <v>43904</v>
      </c>
      <c r="G1264" s="154"/>
      <c r="H1264" s="131">
        <f>IFERROR(__xludf.DUMMYFUNCTION("""COMPUTED_VALUE"""),664773.0)</f>
        <v>664773</v>
      </c>
      <c r="I1264" s="144"/>
      <c r="J1264" s="129">
        <f>IFERROR(__xludf.DUMMYFUNCTION("""COMPUTED_VALUE"""),43921.0)</f>
        <v>43921</v>
      </c>
      <c r="K1264" s="133">
        <f>IFERROR(__xludf.DUMMYFUNCTION("""COMPUTED_VALUE"""),0.0)</f>
        <v>0</v>
      </c>
      <c r="L1264" s="133">
        <f>IFERROR(__xludf.DUMMYFUNCTION("""COMPUTED_VALUE"""),17.0)</f>
        <v>17</v>
      </c>
      <c r="M1264" s="133">
        <f>IFERROR(__xludf.DUMMYFUNCTION("""COMPUTED_VALUE"""),17.0)</f>
        <v>17</v>
      </c>
      <c r="N1264" s="152" t="str">
        <f>IFERROR(__xludf.DUMMYFUNCTION("""COMPUTED_VALUE"""),"Model 3 LR AWD")</f>
        <v>Model 3 LR AWD</v>
      </c>
      <c r="O1264" s="152" t="str">
        <f>IFERROR(__xludf.DUMMYFUNCTION("""COMPUTED_VALUE"""),"Deep Blue Metallic")</f>
        <v>Deep Blue Metallic</v>
      </c>
      <c r="P1264" s="153" t="str">
        <f>IFERROR(__xludf.DUMMYFUNCTION("""COMPUTED_VALUE"""),"18 inch Aero")</f>
        <v>18 inch Aero</v>
      </c>
      <c r="Q1264" s="152" t="str">
        <f>IFERROR(__xludf.DUMMYFUNCTION("""COMPUTED_VALUE"""),"Black seats")</f>
        <v>Black seats</v>
      </c>
      <c r="R1264" s="149" t="str">
        <f>IFERROR(__xludf.DUMMYFUNCTION("""COMPUTED_VALUE"""),"Autopilot")</f>
        <v>Autopilot</v>
      </c>
      <c r="S1264" s="149"/>
      <c r="T1264" s="145"/>
      <c r="U1264" s="145"/>
      <c r="V1264" s="145"/>
      <c r="W1264" s="136"/>
      <c r="X1264" s="137" t="str">
        <f>IFERROR(__xludf.DUMMYFUNCTION("""COMPUTED_VALUE"""),"Very Good")</f>
        <v>Very Good</v>
      </c>
      <c r="Y1264" s="138" t="str">
        <f>IFERROR(__xludf.DUMMYFUNCTION("""COMPUTED_VALUE"""),"Very Good")</f>
        <v>Very Good</v>
      </c>
      <c r="Z1264" s="138" t="str">
        <f>IFERROR(__xludf.DUMMYFUNCTION("""COMPUTED_VALUE"""),"Very Good")</f>
        <v>Very Good</v>
      </c>
      <c r="AA1264" s="138" t="str">
        <f>IFERROR(__xludf.DUMMYFUNCTION("""COMPUTED_VALUE"""),"Fair")</f>
        <v>Fair</v>
      </c>
      <c r="AB1264" s="138" t="str">
        <f>IFERROR(__xludf.DUMMYFUNCTION("""COMPUTED_VALUE"""),"Very Good")</f>
        <v>Very Good</v>
      </c>
      <c r="AC1264" s="139"/>
      <c r="AD1264" s="139"/>
      <c r="AE1264" s="139"/>
      <c r="AF1264" s="140"/>
      <c r="AG1264" s="136"/>
      <c r="AH1264" s="157">
        <f>IFERROR(__xludf.DUMMYFUNCTION("""COMPUTED_VALUE"""),43936.705120983795)</f>
        <v>43936.70512</v>
      </c>
      <c r="AI1264" s="138"/>
      <c r="AJ1264" s="138"/>
      <c r="AK1264" s="138"/>
      <c r="AL1264" s="142"/>
    </row>
    <row r="1265" ht="20.25" customHeight="1">
      <c r="A1265" s="155" t="str">
        <f>IFERROR(__xludf.DUMMYFUNCTION("""COMPUTED_VALUE"""),"Ideaslug")</f>
        <v>Ideaslug</v>
      </c>
      <c r="B1265" s="150" t="str">
        <f>IFERROR(__xludf.DUMMYFUNCTION("""COMPUTED_VALUE"""),"Louisville")</f>
        <v>Louisville</v>
      </c>
      <c r="C1265" s="149" t="str">
        <f>IFERROR(__xludf.DUMMYFUNCTION("""COMPUTED_VALUE"""),"KY")</f>
        <v>KY</v>
      </c>
      <c r="D1265" s="149" t="str">
        <f>IFERROR(__xludf.DUMMYFUNCTION("""COMPUTED_VALUE"""),"USA")</f>
        <v>USA</v>
      </c>
      <c r="E1265" s="156">
        <f>IFERROR(__xludf.DUMMYFUNCTION("""COMPUTED_VALUE"""),43902.0)</f>
        <v>43902</v>
      </c>
      <c r="F1265" s="129">
        <f>IFERROR(__xludf.DUMMYFUNCTION("""COMPUTED_VALUE"""),43903.0)</f>
        <v>43903</v>
      </c>
      <c r="G1265" s="154"/>
      <c r="H1265" s="131">
        <f>IFERROR(__xludf.DUMMYFUNCTION("""COMPUTED_VALUE"""),712655.0)</f>
        <v>712655</v>
      </c>
      <c r="I1265" s="132" t="str">
        <f>IFERROR(__xludf.DUMMYFUNCTION("""COMPUTED_VALUE"""),"03/20")</f>
        <v>03/20</v>
      </c>
      <c r="J1265" s="129">
        <f>IFERROR(__xludf.DUMMYFUNCTION("""COMPUTED_VALUE"""),43906.0)</f>
        <v>43906</v>
      </c>
      <c r="K1265" s="133">
        <f>IFERROR(__xludf.DUMMYFUNCTION("""COMPUTED_VALUE"""),1.0)</f>
        <v>1</v>
      </c>
      <c r="L1265" s="133">
        <f>IFERROR(__xludf.DUMMYFUNCTION("""COMPUTED_VALUE"""),3.0)</f>
        <v>3</v>
      </c>
      <c r="M1265" s="133">
        <f>IFERROR(__xludf.DUMMYFUNCTION("""COMPUTED_VALUE"""),4.0)</f>
        <v>4</v>
      </c>
      <c r="N1265" s="152" t="str">
        <f>IFERROR(__xludf.DUMMYFUNCTION("""COMPUTED_VALUE"""),"Model 3 LR AWD")</f>
        <v>Model 3 LR AWD</v>
      </c>
      <c r="O1265" s="152" t="str">
        <f>IFERROR(__xludf.DUMMYFUNCTION("""COMPUTED_VALUE"""),"Pearl White Multi-Coat")</f>
        <v>Pearl White Multi-Coat</v>
      </c>
      <c r="P1265" s="153" t="str">
        <f>IFERROR(__xludf.DUMMYFUNCTION("""COMPUTED_VALUE"""),"18 inch Aero")</f>
        <v>18 inch Aero</v>
      </c>
      <c r="Q1265" s="152" t="str">
        <f>IFERROR(__xludf.DUMMYFUNCTION("""COMPUTED_VALUE"""),"White seats")</f>
        <v>White seats</v>
      </c>
      <c r="R1265" s="150" t="str">
        <f>IFERROR(__xludf.DUMMYFUNCTION("""COMPUTED_VALUE"""),"Full Self-Driving")</f>
        <v>Full Self-Driving</v>
      </c>
      <c r="S1265" s="150"/>
      <c r="T1265" s="136"/>
      <c r="U1265" s="136"/>
      <c r="V1265" s="136"/>
      <c r="W1265" s="136"/>
      <c r="X1265" s="137" t="str">
        <f>IFERROR(__xludf.DUMMYFUNCTION("""COMPUTED_VALUE"""),"Excellent")</f>
        <v>Excellent</v>
      </c>
      <c r="Y1265" s="138" t="str">
        <f>IFERROR(__xludf.DUMMYFUNCTION("""COMPUTED_VALUE"""),"Excellent")</f>
        <v>Excellent</v>
      </c>
      <c r="Z1265" s="138" t="str">
        <f>IFERROR(__xludf.DUMMYFUNCTION("""COMPUTED_VALUE"""),"Excellent")</f>
        <v>Excellent</v>
      </c>
      <c r="AA1265" s="138" t="str">
        <f>IFERROR(__xludf.DUMMYFUNCTION("""COMPUTED_VALUE"""),"Excellent")</f>
        <v>Excellent</v>
      </c>
      <c r="AB1265" s="138" t="str">
        <f>IFERROR(__xludf.DUMMYFUNCTION("""COMPUTED_VALUE"""),"Excellent")</f>
        <v>Excellent</v>
      </c>
      <c r="AC1265" s="139">
        <f>IFERROR(__xludf.DUMMYFUNCTION("""COMPUTED_VALUE"""),0.0)</f>
        <v>0</v>
      </c>
      <c r="AD1265" s="139">
        <f>IFERROR(__xludf.DUMMYFUNCTION("""COMPUTED_VALUE"""),0.0)</f>
        <v>0</v>
      </c>
      <c r="AE1265" s="139">
        <f>IFERROR(__xludf.DUMMYFUNCTION("""COMPUTED_VALUE"""),0.0)</f>
        <v>0</v>
      </c>
      <c r="AF1265" s="140"/>
      <c r="AG1265" s="136" t="str">
        <f>IFERROR(__xludf.DUMMYFUNCTION("""COMPUTED_VALUE"""),"manufactured new for me yet received incredibly fast, even moved my delivery date up a day")</f>
        <v>manufactured new for me yet received incredibly fast, even moved my delivery date up a day</v>
      </c>
      <c r="AH1265" s="157">
        <f>IFERROR(__xludf.DUMMYFUNCTION("""COMPUTED_VALUE"""),43906.867225104164)</f>
        <v>43906.86723</v>
      </c>
      <c r="AI1265" s="138"/>
      <c r="AJ1265" s="138"/>
      <c r="AK1265" s="138"/>
      <c r="AL1265" s="142"/>
    </row>
    <row r="1266" ht="20.25" customHeight="1">
      <c r="A1266" s="155" t="str">
        <f>IFERROR(__xludf.DUMMYFUNCTION("""COMPUTED_VALUE"""),"supraphonic")</f>
        <v>supraphonic</v>
      </c>
      <c r="B1266" s="149" t="str">
        <f>IFERROR(__xludf.DUMMYFUNCTION("""COMPUTED_VALUE"""),"San Diego")</f>
        <v>San Diego</v>
      </c>
      <c r="C1266" s="149" t="str">
        <f>IFERROR(__xludf.DUMMYFUNCTION("""COMPUTED_VALUE"""),"CA")</f>
        <v>CA</v>
      </c>
      <c r="D1266" s="149" t="str">
        <f>IFERROR(__xludf.DUMMYFUNCTION("""COMPUTED_VALUE"""),"USA")</f>
        <v>USA</v>
      </c>
      <c r="E1266" s="156">
        <f>IFERROR(__xludf.DUMMYFUNCTION("""COMPUTED_VALUE"""),43902.0)</f>
        <v>43902</v>
      </c>
      <c r="F1266" s="129">
        <f>IFERROR(__xludf.DUMMYFUNCTION("""COMPUTED_VALUE"""),43912.0)</f>
        <v>43912</v>
      </c>
      <c r="G1266" s="154"/>
      <c r="H1266" s="131">
        <f>IFERROR(__xludf.DUMMYFUNCTION("""COMPUTED_VALUE"""),706412.0)</f>
        <v>706412</v>
      </c>
      <c r="I1266" s="132" t="str">
        <f>IFERROR(__xludf.DUMMYFUNCTION("""COMPUTED_VALUE"""),"03/20")</f>
        <v>03/20</v>
      </c>
      <c r="J1266" s="129">
        <f>IFERROR(__xludf.DUMMYFUNCTION("""COMPUTED_VALUE"""),43916.0)</f>
        <v>43916</v>
      </c>
      <c r="K1266" s="133">
        <f>IFERROR(__xludf.DUMMYFUNCTION("""COMPUTED_VALUE"""),10.0)</f>
        <v>10</v>
      </c>
      <c r="L1266" s="133">
        <f>IFERROR(__xludf.DUMMYFUNCTION("""COMPUTED_VALUE"""),4.0)</f>
        <v>4</v>
      </c>
      <c r="M1266" s="133">
        <f>IFERROR(__xludf.DUMMYFUNCTION("""COMPUTED_VALUE"""),14.0)</f>
        <v>14</v>
      </c>
      <c r="N1266" s="152" t="str">
        <f>IFERROR(__xludf.DUMMYFUNCTION("""COMPUTED_VALUE"""),"Model 3 SR")</f>
        <v>Model 3 SR</v>
      </c>
      <c r="O1266" s="152" t="str">
        <f>IFERROR(__xludf.DUMMYFUNCTION("""COMPUTED_VALUE"""),"Pearl White Multi-Coat")</f>
        <v>Pearl White Multi-Coat</v>
      </c>
      <c r="P1266" s="153" t="str">
        <f>IFERROR(__xludf.DUMMYFUNCTION("""COMPUTED_VALUE"""),"18 inch Aero")</f>
        <v>18 inch Aero</v>
      </c>
      <c r="Q1266" s="152" t="str">
        <f>IFERROR(__xludf.DUMMYFUNCTION("""COMPUTED_VALUE"""),"Black seats")</f>
        <v>Black seats</v>
      </c>
      <c r="R1266" s="150"/>
      <c r="S1266" s="150"/>
      <c r="T1266" s="136"/>
      <c r="U1266" s="136"/>
      <c r="V1266" s="136"/>
      <c r="W1266" s="136"/>
      <c r="X1266" s="137" t="str">
        <f>IFERROR(__xludf.DUMMYFUNCTION("""COMPUTED_VALUE"""),"Very Good")</f>
        <v>Very Good</v>
      </c>
      <c r="Y1266" s="138" t="str">
        <f>IFERROR(__xludf.DUMMYFUNCTION("""COMPUTED_VALUE"""),"Good")</f>
        <v>Good</v>
      </c>
      <c r="Z1266" s="138" t="str">
        <f>IFERROR(__xludf.DUMMYFUNCTION("""COMPUTED_VALUE"""),"Good")</f>
        <v>Good</v>
      </c>
      <c r="AA1266" s="138" t="str">
        <f>IFERROR(__xludf.DUMMYFUNCTION("""COMPUTED_VALUE"""),"Very Good")</f>
        <v>Very Good</v>
      </c>
      <c r="AB1266" s="138" t="str">
        <f>IFERROR(__xludf.DUMMYFUNCTION("""COMPUTED_VALUE"""),"Very Good")</f>
        <v>Very Good</v>
      </c>
      <c r="AC1266" s="139">
        <f>IFERROR(__xludf.DUMMYFUNCTION("""COMPUTED_VALUE"""),2.0)</f>
        <v>2</v>
      </c>
      <c r="AD1266" s="139"/>
      <c r="AE1266" s="139"/>
      <c r="AF1266" s="140"/>
      <c r="AG1266" s="136"/>
      <c r="AH1266" s="157">
        <f>IFERROR(__xludf.DUMMYFUNCTION("""COMPUTED_VALUE"""),43928.6318280787)</f>
        <v>43928.63183</v>
      </c>
      <c r="AI1266" s="138"/>
      <c r="AJ1266" s="138"/>
      <c r="AK1266" s="138"/>
      <c r="AL1266" s="142"/>
    </row>
    <row r="1267" ht="20.25" customHeight="1">
      <c r="A1267" s="155" t="str">
        <f>IFERROR(__xludf.DUMMYFUNCTION("""COMPUTED_VALUE"""),"carys4")</f>
        <v>carys4</v>
      </c>
      <c r="B1267" s="149" t="str">
        <f>IFERROR(__xludf.DUMMYFUNCTION("""COMPUTED_VALUE"""),"San Francisco")</f>
        <v>San Francisco</v>
      </c>
      <c r="C1267" s="149" t="str">
        <f>IFERROR(__xludf.DUMMYFUNCTION("""COMPUTED_VALUE"""),"CA")</f>
        <v>CA</v>
      </c>
      <c r="D1267" s="149" t="str">
        <f>IFERROR(__xludf.DUMMYFUNCTION("""COMPUTED_VALUE"""),"USA")</f>
        <v>USA</v>
      </c>
      <c r="E1267" s="156">
        <f>IFERROR(__xludf.DUMMYFUNCTION("""COMPUTED_VALUE"""),43897.0)</f>
        <v>43897</v>
      </c>
      <c r="F1267" s="129">
        <f>IFERROR(__xludf.DUMMYFUNCTION("""COMPUTED_VALUE"""),43903.0)</f>
        <v>43903</v>
      </c>
      <c r="G1267" s="154"/>
      <c r="H1267" s="131"/>
      <c r="I1267" s="144"/>
      <c r="J1267" s="129">
        <f>IFERROR(__xludf.DUMMYFUNCTION("""COMPUTED_VALUE"""),43904.0)</f>
        <v>43904</v>
      </c>
      <c r="K1267" s="133">
        <f>IFERROR(__xludf.DUMMYFUNCTION("""COMPUTED_VALUE"""),6.0)</f>
        <v>6</v>
      </c>
      <c r="L1267" s="133">
        <f>IFERROR(__xludf.DUMMYFUNCTION("""COMPUTED_VALUE"""),1.0)</f>
        <v>1</v>
      </c>
      <c r="M1267" s="133">
        <f>IFERROR(__xludf.DUMMYFUNCTION("""COMPUTED_VALUE"""),7.0)</f>
        <v>7</v>
      </c>
      <c r="N1267" s="152" t="str">
        <f>IFERROR(__xludf.DUMMYFUNCTION("""COMPUTED_VALUE"""),"Model 3 Performance")</f>
        <v>Model 3 Performance</v>
      </c>
      <c r="O1267" s="152" t="str">
        <f>IFERROR(__xludf.DUMMYFUNCTION("""COMPUTED_VALUE"""),"Deep Blue Metallic")</f>
        <v>Deep Blue Metallic</v>
      </c>
      <c r="P1267" s="153" t="str">
        <f>IFERROR(__xludf.DUMMYFUNCTION("""COMPUTED_VALUE"""),"20 inch Sport")</f>
        <v>20 inch Sport</v>
      </c>
      <c r="Q1267" s="152" t="str">
        <f>IFERROR(__xludf.DUMMYFUNCTION("""COMPUTED_VALUE"""),"White seats")</f>
        <v>White seats</v>
      </c>
      <c r="R1267" s="149" t="str">
        <f>IFERROR(__xludf.DUMMYFUNCTION("""COMPUTED_VALUE"""),"Autopilot")</f>
        <v>Autopilot</v>
      </c>
      <c r="S1267" s="149"/>
      <c r="T1267" s="145"/>
      <c r="U1267" s="145"/>
      <c r="V1267" s="145"/>
      <c r="W1267" s="136"/>
      <c r="X1267" s="137" t="str">
        <f>IFERROR(__xludf.DUMMYFUNCTION("""COMPUTED_VALUE"""),"Excellent")</f>
        <v>Excellent</v>
      </c>
      <c r="Y1267" s="138" t="str">
        <f>IFERROR(__xludf.DUMMYFUNCTION("""COMPUTED_VALUE"""),"Excellent")</f>
        <v>Excellent</v>
      </c>
      <c r="Z1267" s="138" t="str">
        <f>IFERROR(__xludf.DUMMYFUNCTION("""COMPUTED_VALUE"""),"Excellent")</f>
        <v>Excellent</v>
      </c>
      <c r="AA1267" s="138" t="str">
        <f>IFERROR(__xludf.DUMMYFUNCTION("""COMPUTED_VALUE"""),"Fair")</f>
        <v>Fair</v>
      </c>
      <c r="AB1267" s="138" t="str">
        <f>IFERROR(__xludf.DUMMYFUNCTION("""COMPUTED_VALUE"""),"Very Good")</f>
        <v>Very Good</v>
      </c>
      <c r="AC1267" s="139"/>
      <c r="AD1267" s="139"/>
      <c r="AE1267" s="139"/>
      <c r="AF1267" s="140"/>
      <c r="AG1267" s="136" t="str">
        <f>IFERROR(__xludf.DUMMYFUNCTION("""COMPUTED_VALUE"""),"Extremely fast turn around. Config to delivery in exactly a week.")</f>
        <v>Extremely fast turn around. Config to delivery in exactly a week.</v>
      </c>
      <c r="AH1267" s="157">
        <f>IFERROR(__xludf.DUMMYFUNCTION("""COMPUTED_VALUE"""),43908.44517372685)</f>
        <v>43908.44517</v>
      </c>
      <c r="AI1267" s="138"/>
      <c r="AJ1267" s="138"/>
      <c r="AK1267" s="138"/>
      <c r="AL1267" s="142"/>
    </row>
    <row r="1268" ht="20.25" customHeight="1">
      <c r="A1268" s="155" t="str">
        <f>IFERROR(__xludf.DUMMYFUNCTION("""COMPUTED_VALUE"""),"cdk5")</f>
        <v>cdk5</v>
      </c>
      <c r="B1268" s="149" t="str">
        <f>IFERROR(__xludf.DUMMYFUNCTION("""COMPUTED_VALUE"""),"Irvine")</f>
        <v>Irvine</v>
      </c>
      <c r="C1268" s="149" t="str">
        <f>IFERROR(__xludf.DUMMYFUNCTION("""COMPUTED_VALUE"""),"CA")</f>
        <v>CA</v>
      </c>
      <c r="D1268" s="149" t="str">
        <f>IFERROR(__xludf.DUMMYFUNCTION("""COMPUTED_VALUE"""),"USA")</f>
        <v>USA</v>
      </c>
      <c r="E1268" s="156">
        <f>IFERROR(__xludf.DUMMYFUNCTION("""COMPUTED_VALUE"""),43896.0)</f>
        <v>43896</v>
      </c>
      <c r="F1268" s="129">
        <f>IFERROR(__xludf.DUMMYFUNCTION("""COMPUTED_VALUE"""),43910.0)</f>
        <v>43910</v>
      </c>
      <c r="G1268" s="154"/>
      <c r="H1268" s="131">
        <f>IFERROR(__xludf.DUMMYFUNCTION("""COMPUTED_VALUE"""),705055.0)</f>
        <v>705055</v>
      </c>
      <c r="I1268" s="144"/>
      <c r="J1268" s="129">
        <f>IFERROR(__xludf.DUMMYFUNCTION("""COMPUTED_VALUE"""),43911.0)</f>
        <v>43911</v>
      </c>
      <c r="K1268" s="133">
        <f>IFERROR(__xludf.DUMMYFUNCTION("""COMPUTED_VALUE"""),14.0)</f>
        <v>14</v>
      </c>
      <c r="L1268" s="133">
        <f>IFERROR(__xludf.DUMMYFUNCTION("""COMPUTED_VALUE"""),1.0)</f>
        <v>1</v>
      </c>
      <c r="M1268" s="133">
        <f>IFERROR(__xludf.DUMMYFUNCTION("""COMPUTED_VALUE"""),15.0)</f>
        <v>15</v>
      </c>
      <c r="N1268" s="152" t="str">
        <f>IFERROR(__xludf.DUMMYFUNCTION("""COMPUTED_VALUE"""),"Model 3 SR+")</f>
        <v>Model 3 SR+</v>
      </c>
      <c r="O1268" s="152" t="str">
        <f>IFERROR(__xludf.DUMMYFUNCTION("""COMPUTED_VALUE"""),"Midnight Silver Metallic")</f>
        <v>Midnight Silver Metallic</v>
      </c>
      <c r="P1268" s="153" t="str">
        <f>IFERROR(__xludf.DUMMYFUNCTION("""COMPUTED_VALUE"""),"18 inch Aero")</f>
        <v>18 inch Aero</v>
      </c>
      <c r="Q1268" s="152" t="str">
        <f>IFERROR(__xludf.DUMMYFUNCTION("""COMPUTED_VALUE"""),"Black seats")</f>
        <v>Black seats</v>
      </c>
      <c r="R1268" s="149" t="str">
        <f>IFERROR(__xludf.DUMMYFUNCTION("""COMPUTED_VALUE"""),"Autopilot")</f>
        <v>Autopilot</v>
      </c>
      <c r="S1268" s="149"/>
      <c r="T1268" s="145"/>
      <c r="U1268" s="145"/>
      <c r="V1268" s="145"/>
      <c r="W1268" s="136"/>
      <c r="X1268" s="137" t="str">
        <f>IFERROR(__xludf.DUMMYFUNCTION("""COMPUTED_VALUE"""),"Excellent")</f>
        <v>Excellent</v>
      </c>
      <c r="Y1268" s="138" t="str">
        <f>IFERROR(__xludf.DUMMYFUNCTION("""COMPUTED_VALUE"""),"Excellent")</f>
        <v>Excellent</v>
      </c>
      <c r="Z1268" s="138" t="str">
        <f>IFERROR(__xludf.DUMMYFUNCTION("""COMPUTED_VALUE"""),"Excellent")</f>
        <v>Excellent</v>
      </c>
      <c r="AA1268" s="138" t="str">
        <f>IFERROR(__xludf.DUMMYFUNCTION("""COMPUTED_VALUE"""),"Very Good")</f>
        <v>Very Good</v>
      </c>
      <c r="AB1268" s="138" t="str">
        <f>IFERROR(__xludf.DUMMYFUNCTION("""COMPUTED_VALUE"""),"Good")</f>
        <v>Good</v>
      </c>
      <c r="AC1268" s="139"/>
      <c r="AD1268" s="139"/>
      <c r="AE1268" s="139"/>
      <c r="AF1268" s="140"/>
      <c r="AG1268" s="136" t="str">
        <f>IFERROR(__xludf.DUMMYFUNCTION("""COMPUTED_VALUE"""),"Switched to inventory car from custom order before 3/23 factory closure. Tesla ""drop"" delivery due to Covid-19, app did not update to allow me to unlock for several hours. Helpful roadside service was able to remote lock so that I could at least get the"&amp;" key cards and complete the paperwork (and DRIVE!)")</f>
        <v>Switched to inventory car from custom order before 3/23 factory closure. Tesla "drop" delivery due to Covid-19, app did not update to allow me to unlock for several hours. Helpful roadside service was able to remote lock so that I could at least get the key cards and complete the paperwork (and DRIVE!)</v>
      </c>
      <c r="AH1268" s="157">
        <f>IFERROR(__xludf.DUMMYFUNCTION("""COMPUTED_VALUE"""),43913.43031969907)</f>
        <v>43913.43032</v>
      </c>
      <c r="AI1268" s="138"/>
      <c r="AJ1268" s="138"/>
      <c r="AK1268" s="138"/>
      <c r="AL1268" s="142"/>
    </row>
    <row r="1269" ht="20.25" customHeight="1">
      <c r="A1269" s="155" t="str">
        <f>IFERROR(__xludf.DUMMYFUNCTION("""COMPUTED_VALUE"""),"launahele")</f>
        <v>launahele</v>
      </c>
      <c r="B1269" s="149" t="str">
        <f>IFERROR(__xludf.DUMMYFUNCTION("""COMPUTED_VALUE"""),"Honolulu")</f>
        <v>Honolulu</v>
      </c>
      <c r="C1269" s="149" t="str">
        <f>IFERROR(__xludf.DUMMYFUNCTION("""COMPUTED_VALUE"""),"HI")</f>
        <v>HI</v>
      </c>
      <c r="D1269" s="149" t="str">
        <f>IFERROR(__xludf.DUMMYFUNCTION("""COMPUTED_VALUE"""),"USA")</f>
        <v>USA</v>
      </c>
      <c r="E1269" s="156">
        <f>IFERROR(__xludf.DUMMYFUNCTION("""COMPUTED_VALUE"""),43896.0)</f>
        <v>43896</v>
      </c>
      <c r="F1269" s="129">
        <f>IFERROR(__xludf.DUMMYFUNCTION("""COMPUTED_VALUE"""),43997.0)</f>
        <v>43997</v>
      </c>
      <c r="G1269" s="154"/>
      <c r="H1269" s="131">
        <f>IFERROR(__xludf.DUMMYFUNCTION("""COMPUTED_VALUE"""),708525.0)</f>
        <v>708525</v>
      </c>
      <c r="I1269" s="132" t="str">
        <f>IFERROR(__xludf.DUMMYFUNCTION("""COMPUTED_VALUE"""),"06/20")</f>
        <v>06/20</v>
      </c>
      <c r="J1269" s="129">
        <f>IFERROR(__xludf.DUMMYFUNCTION("""COMPUTED_VALUE"""),44002.0)</f>
        <v>44002</v>
      </c>
      <c r="K1269" s="133">
        <f>IFERROR(__xludf.DUMMYFUNCTION("""COMPUTED_VALUE"""),101.0)</f>
        <v>101</v>
      </c>
      <c r="L1269" s="133">
        <f>IFERROR(__xludf.DUMMYFUNCTION("""COMPUTED_VALUE"""),5.0)</f>
        <v>5</v>
      </c>
      <c r="M1269" s="133">
        <f>IFERROR(__xludf.DUMMYFUNCTION("""COMPUTED_VALUE"""),106.0)</f>
        <v>106</v>
      </c>
      <c r="N1269" s="152" t="str">
        <f>IFERROR(__xludf.DUMMYFUNCTION("""COMPUTED_VALUE"""),"Model 3 SR+")</f>
        <v>Model 3 SR+</v>
      </c>
      <c r="O1269" s="152" t="str">
        <f>IFERROR(__xludf.DUMMYFUNCTION("""COMPUTED_VALUE"""),"Midnight Silver Metallic")</f>
        <v>Midnight Silver Metallic</v>
      </c>
      <c r="P1269" s="153" t="str">
        <f>IFERROR(__xludf.DUMMYFUNCTION("""COMPUTED_VALUE"""),"19 inch Sport")</f>
        <v>19 inch Sport</v>
      </c>
      <c r="Q1269" s="152" t="str">
        <f>IFERROR(__xludf.DUMMYFUNCTION("""COMPUTED_VALUE"""),"Black seats")</f>
        <v>Black seats</v>
      </c>
      <c r="R1269" s="150" t="str">
        <f>IFERROR(__xludf.DUMMYFUNCTION("""COMPUTED_VALUE"""),"Autopilot")</f>
        <v>Autopilot</v>
      </c>
      <c r="S1269" s="150"/>
      <c r="T1269" s="136"/>
      <c r="U1269" s="136"/>
      <c r="V1269" s="136"/>
      <c r="W1269" s="136"/>
      <c r="X1269" s="137" t="str">
        <f>IFERROR(__xludf.DUMMYFUNCTION("""COMPUTED_VALUE"""),"Good")</f>
        <v>Good</v>
      </c>
      <c r="Y1269" s="138" t="str">
        <f>IFERROR(__xludf.DUMMYFUNCTION("""COMPUTED_VALUE"""),"Very Good")</f>
        <v>Very Good</v>
      </c>
      <c r="Z1269" s="138" t="str">
        <f>IFERROR(__xludf.DUMMYFUNCTION("""COMPUTED_VALUE"""),"Very Good")</f>
        <v>Very Good</v>
      </c>
      <c r="AA1269" s="138" t="str">
        <f>IFERROR(__xludf.DUMMYFUNCTION("""COMPUTED_VALUE"""),"Very Good")</f>
        <v>Very Good</v>
      </c>
      <c r="AB1269" s="138" t="str">
        <f>IFERROR(__xludf.DUMMYFUNCTION("""COMPUTED_VALUE"""),"Very Good")</f>
        <v>Very Good</v>
      </c>
      <c r="AC1269" s="139">
        <f>IFERROR(__xludf.DUMMYFUNCTION("""COMPUTED_VALUE"""),0.0)</f>
        <v>0</v>
      </c>
      <c r="AD1269" s="139"/>
      <c r="AE1269" s="139"/>
      <c r="AF1269" s="140"/>
      <c r="AG1269" s="136"/>
      <c r="AH1269" s="157">
        <f>IFERROR(__xludf.DUMMYFUNCTION("""COMPUTED_VALUE"""),44013.69966416667)</f>
        <v>44013.69966</v>
      </c>
      <c r="AI1269" s="138"/>
      <c r="AJ1269" s="138"/>
      <c r="AK1269" s="138"/>
      <c r="AL1269" s="142"/>
    </row>
    <row r="1270" ht="20.25" customHeight="1">
      <c r="A1270" s="155" t="str">
        <f>IFERROR(__xludf.DUMMYFUNCTION("""COMPUTED_VALUE"""),"Bearman")</f>
        <v>Bearman</v>
      </c>
      <c r="B1270" s="149"/>
      <c r="C1270" s="149" t="str">
        <f>IFERROR(__xludf.DUMMYFUNCTION("""COMPUTED_VALUE"""),"MI")</f>
        <v>MI</v>
      </c>
      <c r="D1270" s="149" t="str">
        <f>IFERROR(__xludf.DUMMYFUNCTION("""COMPUTED_VALUE"""),"USA")</f>
        <v>USA</v>
      </c>
      <c r="E1270" s="156">
        <f>IFERROR(__xludf.DUMMYFUNCTION("""COMPUTED_VALUE"""),43894.0)</f>
        <v>43894</v>
      </c>
      <c r="F1270" s="129">
        <f>IFERROR(__xludf.DUMMYFUNCTION("""COMPUTED_VALUE"""),43895.0)</f>
        <v>43895</v>
      </c>
      <c r="G1270" s="154"/>
      <c r="H1270" s="131">
        <f>IFERROR(__xludf.DUMMYFUNCTION("""COMPUTED_VALUE"""),663585.0)</f>
        <v>663585</v>
      </c>
      <c r="I1270" s="144"/>
      <c r="J1270" s="129">
        <f>IFERROR(__xludf.DUMMYFUNCTION("""COMPUTED_VALUE"""),43910.0)</f>
        <v>43910</v>
      </c>
      <c r="K1270" s="133">
        <f>IFERROR(__xludf.DUMMYFUNCTION("""COMPUTED_VALUE"""),1.0)</f>
        <v>1</v>
      </c>
      <c r="L1270" s="133">
        <f>IFERROR(__xludf.DUMMYFUNCTION("""COMPUTED_VALUE"""),15.0)</f>
        <v>15</v>
      </c>
      <c r="M1270" s="133">
        <f>IFERROR(__xludf.DUMMYFUNCTION("""COMPUTED_VALUE"""),16.0)</f>
        <v>16</v>
      </c>
      <c r="N1270" s="152" t="str">
        <f>IFERROR(__xludf.DUMMYFUNCTION("""COMPUTED_VALUE"""),"Model 3 LR AWD")</f>
        <v>Model 3 LR AWD</v>
      </c>
      <c r="O1270" s="152" t="str">
        <f>IFERROR(__xludf.DUMMYFUNCTION("""COMPUTED_VALUE"""),"Midnight Silver Metallic")</f>
        <v>Midnight Silver Metallic</v>
      </c>
      <c r="P1270" s="153" t="str">
        <f>IFERROR(__xludf.DUMMYFUNCTION("""COMPUTED_VALUE"""),"18 inch Aero")</f>
        <v>18 inch Aero</v>
      </c>
      <c r="Q1270" s="152" t="str">
        <f>IFERROR(__xludf.DUMMYFUNCTION("""COMPUTED_VALUE"""),"Black seats")</f>
        <v>Black seats</v>
      </c>
      <c r="R1270" s="149" t="str">
        <f>IFERROR(__xludf.DUMMYFUNCTION("""COMPUTED_VALUE"""),"Autopilot")</f>
        <v>Autopilot</v>
      </c>
      <c r="S1270" s="149"/>
      <c r="T1270" s="145"/>
      <c r="U1270" s="145"/>
      <c r="V1270" s="145"/>
      <c r="W1270" s="136"/>
      <c r="X1270" s="137" t="str">
        <f>IFERROR(__xludf.DUMMYFUNCTION("""COMPUTED_VALUE"""),"Excellent")</f>
        <v>Excellent</v>
      </c>
      <c r="Y1270" s="138" t="str">
        <f>IFERROR(__xludf.DUMMYFUNCTION("""COMPUTED_VALUE"""),"Excellent")</f>
        <v>Excellent</v>
      </c>
      <c r="Z1270" s="138" t="str">
        <f>IFERROR(__xludf.DUMMYFUNCTION("""COMPUTED_VALUE"""),"Excellent")</f>
        <v>Excellent</v>
      </c>
      <c r="AA1270" s="138" t="str">
        <f>IFERROR(__xludf.DUMMYFUNCTION("""COMPUTED_VALUE"""),"Excellent")</f>
        <v>Excellent</v>
      </c>
      <c r="AB1270" s="138" t="str">
        <f>IFERROR(__xludf.DUMMYFUNCTION("""COMPUTED_VALUE"""),"Excellent")</f>
        <v>Excellent</v>
      </c>
      <c r="AC1270" s="139">
        <f>IFERROR(__xludf.DUMMYFUNCTION("""COMPUTED_VALUE"""),0.0)</f>
        <v>0</v>
      </c>
      <c r="AD1270" s="139">
        <f>IFERROR(__xludf.DUMMYFUNCTION("""COMPUTED_VALUE"""),0.0)</f>
        <v>0</v>
      </c>
      <c r="AE1270" s="139">
        <f>IFERROR(__xludf.DUMMYFUNCTION("""COMPUTED_VALUE"""),0.0)</f>
        <v>0</v>
      </c>
      <c r="AF1270" s="140"/>
      <c r="AG1270" s="136"/>
      <c r="AH1270" s="157">
        <f>IFERROR(__xludf.DUMMYFUNCTION("""COMPUTED_VALUE"""),43934.48152887732)</f>
        <v>43934.48153</v>
      </c>
      <c r="AI1270" s="138"/>
      <c r="AJ1270" s="138"/>
      <c r="AK1270" s="138"/>
      <c r="AL1270" s="142"/>
    </row>
    <row r="1271" ht="20.25" customHeight="1">
      <c r="A1271" s="155" t="str">
        <f>IFERROR(__xludf.DUMMYFUNCTION("""COMPUTED_VALUE"""),"Smog")</f>
        <v>Smog</v>
      </c>
      <c r="B1271" s="149" t="str">
        <f>IFERROR(__xludf.DUMMYFUNCTION("""COMPUTED_VALUE"""),"Leeds")</f>
        <v>Leeds</v>
      </c>
      <c r="C1271" s="149"/>
      <c r="D1271" s="149" t="str">
        <f>IFERROR(__xludf.DUMMYFUNCTION("""COMPUTED_VALUE"""),"United Kingdom")</f>
        <v>United Kingdom</v>
      </c>
      <c r="E1271" s="156">
        <f>IFERROR(__xludf.DUMMYFUNCTION("""COMPUTED_VALUE"""),43892.0)</f>
        <v>43892</v>
      </c>
      <c r="F1271" s="129">
        <f>IFERROR(__xludf.DUMMYFUNCTION("""COMPUTED_VALUE"""),43918.0)</f>
        <v>43918</v>
      </c>
      <c r="G1271" s="154"/>
      <c r="H1271" s="131">
        <f>IFERROR(__xludf.DUMMYFUNCTION("""COMPUTED_VALUE"""),697255.0)</f>
        <v>697255</v>
      </c>
      <c r="I1271" s="144"/>
      <c r="J1271" s="129">
        <f>IFERROR(__xludf.DUMMYFUNCTION("""COMPUTED_VALUE"""),43916.0)</f>
        <v>43916</v>
      </c>
      <c r="K1271" s="133">
        <f>IFERROR(__xludf.DUMMYFUNCTION("""COMPUTED_VALUE"""),26.0)</f>
        <v>26</v>
      </c>
      <c r="L1271" s="133"/>
      <c r="M1271" s="133">
        <f>IFERROR(__xludf.DUMMYFUNCTION("""COMPUTED_VALUE"""),24.0)</f>
        <v>24</v>
      </c>
      <c r="N1271" s="152" t="str">
        <f>IFERROR(__xludf.DUMMYFUNCTION("""COMPUTED_VALUE"""),"Model 3 Performance")</f>
        <v>Model 3 Performance</v>
      </c>
      <c r="O1271" s="152" t="str">
        <f>IFERROR(__xludf.DUMMYFUNCTION("""COMPUTED_VALUE"""),"Pearl White Multi-Coat")</f>
        <v>Pearl White Multi-Coat</v>
      </c>
      <c r="P1271" s="153" t="str">
        <f>IFERROR(__xludf.DUMMYFUNCTION("""COMPUTED_VALUE"""),"20 inch Sport")</f>
        <v>20 inch Sport</v>
      </c>
      <c r="Q1271" s="152" t="str">
        <f>IFERROR(__xludf.DUMMYFUNCTION("""COMPUTED_VALUE"""),"Black seats")</f>
        <v>Black seats</v>
      </c>
      <c r="R1271" s="149" t="str">
        <f>IFERROR(__xludf.DUMMYFUNCTION("""COMPUTED_VALUE"""),"Autopilot")</f>
        <v>Autopilot</v>
      </c>
      <c r="S1271" s="149"/>
      <c r="T1271" s="145"/>
      <c r="U1271" s="145"/>
      <c r="V1271" s="145"/>
      <c r="W1271" s="136"/>
      <c r="X1271" s="137" t="str">
        <f>IFERROR(__xludf.DUMMYFUNCTION("""COMPUTED_VALUE"""),"Excellent")</f>
        <v>Excellent</v>
      </c>
      <c r="Y1271" s="138" t="str">
        <f>IFERROR(__xludf.DUMMYFUNCTION("""COMPUTED_VALUE"""),"Very Good")</f>
        <v>Very Good</v>
      </c>
      <c r="Z1271" s="138" t="str">
        <f>IFERROR(__xludf.DUMMYFUNCTION("""COMPUTED_VALUE"""),"Excellent")</f>
        <v>Excellent</v>
      </c>
      <c r="AA1271" s="138" t="str">
        <f>IFERROR(__xludf.DUMMYFUNCTION("""COMPUTED_VALUE"""),"Poor")</f>
        <v>Poor</v>
      </c>
      <c r="AB1271" s="138" t="str">
        <f>IFERROR(__xludf.DUMMYFUNCTION("""COMPUTED_VALUE"""),"Very Good")</f>
        <v>Very Good</v>
      </c>
      <c r="AC1271" s="139"/>
      <c r="AD1271" s="139"/>
      <c r="AE1271" s="139"/>
      <c r="AF1271" s="140"/>
      <c r="AG1271" s="145"/>
      <c r="AH1271" s="157">
        <f>IFERROR(__xludf.DUMMYFUNCTION("""COMPUTED_VALUE"""),43920.594788703704)</f>
        <v>43920.59479</v>
      </c>
      <c r="AI1271" s="138"/>
      <c r="AJ1271" s="138"/>
      <c r="AK1271" s="138"/>
      <c r="AL1271" s="142"/>
    </row>
    <row r="1272" ht="20.25" customHeight="1">
      <c r="A1272" s="155" t="str">
        <f>IFERROR(__xludf.DUMMYFUNCTION("""COMPUTED_VALUE"""),"pkh")</f>
        <v>pkh</v>
      </c>
      <c r="B1272" s="149" t="str">
        <f>IFERROR(__xludf.DUMMYFUNCTION("""COMPUTED_VALUE"""),"San Jose")</f>
        <v>San Jose</v>
      </c>
      <c r="C1272" s="149" t="str">
        <f>IFERROR(__xludf.DUMMYFUNCTION("""COMPUTED_VALUE"""),"CA")</f>
        <v>CA</v>
      </c>
      <c r="D1272" s="149" t="str">
        <f>IFERROR(__xludf.DUMMYFUNCTION("""COMPUTED_VALUE"""),"USA")</f>
        <v>USA</v>
      </c>
      <c r="E1272" s="156">
        <f>IFERROR(__xludf.DUMMYFUNCTION("""COMPUTED_VALUE"""),43891.0)</f>
        <v>43891</v>
      </c>
      <c r="F1272" s="129">
        <f>IFERROR(__xludf.DUMMYFUNCTION("""COMPUTED_VALUE"""),43906.0)</f>
        <v>43906</v>
      </c>
      <c r="G1272" s="154"/>
      <c r="H1272" s="131">
        <f>IFERROR(__xludf.DUMMYFUNCTION("""COMPUTED_VALUE"""),667163.0)</f>
        <v>667163</v>
      </c>
      <c r="I1272" s="144"/>
      <c r="J1272" s="129">
        <f>IFERROR(__xludf.DUMMYFUNCTION("""COMPUTED_VALUE"""),43907.0)</f>
        <v>43907</v>
      </c>
      <c r="K1272" s="133">
        <f>IFERROR(__xludf.DUMMYFUNCTION("""COMPUTED_VALUE"""),15.0)</f>
        <v>15</v>
      </c>
      <c r="L1272" s="133">
        <f>IFERROR(__xludf.DUMMYFUNCTION("""COMPUTED_VALUE"""),1.0)</f>
        <v>1</v>
      </c>
      <c r="M1272" s="133">
        <f>IFERROR(__xludf.DUMMYFUNCTION("""COMPUTED_VALUE"""),16.0)</f>
        <v>16</v>
      </c>
      <c r="N1272" s="152" t="str">
        <f>IFERROR(__xludf.DUMMYFUNCTION("""COMPUTED_VALUE"""),"Model 3 LR AWD")</f>
        <v>Model 3 LR AWD</v>
      </c>
      <c r="O1272" s="152" t="str">
        <f>IFERROR(__xludf.DUMMYFUNCTION("""COMPUTED_VALUE"""),"Deep Blue Metallic")</f>
        <v>Deep Blue Metallic</v>
      </c>
      <c r="P1272" s="153" t="str">
        <f>IFERROR(__xludf.DUMMYFUNCTION("""COMPUTED_VALUE"""),"19 inch Sport")</f>
        <v>19 inch Sport</v>
      </c>
      <c r="Q1272" s="152" t="str">
        <f>IFERROR(__xludf.DUMMYFUNCTION("""COMPUTED_VALUE"""),"Black seats")</f>
        <v>Black seats</v>
      </c>
      <c r="R1272" s="149" t="str">
        <f>IFERROR(__xludf.DUMMYFUNCTION("""COMPUTED_VALUE"""),"Full Self-Driving")</f>
        <v>Full Self-Driving</v>
      </c>
      <c r="S1272" s="149"/>
      <c r="T1272" s="145"/>
      <c r="U1272" s="145"/>
      <c r="V1272" s="145"/>
      <c r="W1272" s="145"/>
      <c r="X1272" s="137" t="str">
        <f>IFERROR(__xludf.DUMMYFUNCTION("""COMPUTED_VALUE"""),"Excellent")</f>
        <v>Excellent</v>
      </c>
      <c r="Y1272" s="138" t="str">
        <f>IFERROR(__xludf.DUMMYFUNCTION("""COMPUTED_VALUE"""),"Excellent")</f>
        <v>Excellent</v>
      </c>
      <c r="Z1272" s="138" t="str">
        <f>IFERROR(__xludf.DUMMYFUNCTION("""COMPUTED_VALUE"""),"Excellent")</f>
        <v>Excellent</v>
      </c>
      <c r="AA1272" s="138" t="str">
        <f>IFERROR(__xludf.DUMMYFUNCTION("""COMPUTED_VALUE"""),"Excellent")</f>
        <v>Excellent</v>
      </c>
      <c r="AB1272" s="138" t="str">
        <f>IFERROR(__xludf.DUMMYFUNCTION("""COMPUTED_VALUE"""),"Excellent")</f>
        <v>Excellent</v>
      </c>
      <c r="AC1272" s="139"/>
      <c r="AD1272" s="139"/>
      <c r="AE1272" s="139"/>
      <c r="AF1272" s="140"/>
      <c r="AG1272" s="145" t="str">
        <f>IFERROR(__xludf.DUMMYFUNCTION("""COMPUTED_VALUE"""),"Find a similar match in the inventory, Changed interior from white to blackReceived text  on 03/09 for delivery in 2 to 3 weeks, Received a text on 3/14 from my buying adviser that I will be assigned a VIN next week")</f>
        <v>Find a similar match in the inventory, Changed interior from white to blackReceived text  on 03/09 for delivery in 2 to 3 weeks, Received a text on 3/14 from my buying adviser that I will be assigned a VIN next week</v>
      </c>
      <c r="AH1272" s="157">
        <f>IFERROR(__xludf.DUMMYFUNCTION("""COMPUTED_VALUE"""),43908.66436243056)</f>
        <v>43908.66436</v>
      </c>
      <c r="AI1272" s="138"/>
      <c r="AJ1272" s="138"/>
      <c r="AK1272" s="138"/>
      <c r="AL1272" s="142"/>
    </row>
    <row r="1273" ht="20.25" customHeight="1">
      <c r="A1273" s="155" t="str">
        <f>IFERROR(__xludf.DUMMYFUNCTION("""COMPUTED_VALUE"""),"GeneralSpecific")</f>
        <v>GeneralSpecific</v>
      </c>
      <c r="B1273" s="149" t="str">
        <f>IFERROR(__xludf.DUMMYFUNCTION("""COMPUTED_VALUE"""),"Brooklyn")</f>
        <v>Brooklyn</v>
      </c>
      <c r="C1273" s="149" t="str">
        <f>IFERROR(__xludf.DUMMYFUNCTION("""COMPUTED_VALUE"""),"WI")</f>
        <v>WI</v>
      </c>
      <c r="D1273" s="149" t="str">
        <f>IFERROR(__xludf.DUMMYFUNCTION("""COMPUTED_VALUE"""),"USA")</f>
        <v>USA</v>
      </c>
      <c r="E1273" s="156">
        <f>IFERROR(__xludf.DUMMYFUNCTION("""COMPUTED_VALUE"""),43890.0)</f>
        <v>43890</v>
      </c>
      <c r="F1273" s="129">
        <f>IFERROR(__xludf.DUMMYFUNCTION("""COMPUTED_VALUE"""),43900.0)</f>
        <v>43900</v>
      </c>
      <c r="G1273" s="154"/>
      <c r="H1273" s="131">
        <f>IFERROR(__xludf.DUMMYFUNCTION("""COMPUTED_VALUE"""),668186.0)</f>
        <v>668186</v>
      </c>
      <c r="I1273" s="132" t="str">
        <f>IFERROR(__xludf.DUMMYFUNCTION("""COMPUTED_VALUE"""),"03/20")</f>
        <v>03/20</v>
      </c>
      <c r="J1273" s="129">
        <f>IFERROR(__xludf.DUMMYFUNCTION("""COMPUTED_VALUE"""),43907.0)</f>
        <v>43907</v>
      </c>
      <c r="K1273" s="133">
        <f>IFERROR(__xludf.DUMMYFUNCTION("""COMPUTED_VALUE"""),10.0)</f>
        <v>10</v>
      </c>
      <c r="L1273" s="133">
        <f>IFERROR(__xludf.DUMMYFUNCTION("""COMPUTED_VALUE"""),7.0)</f>
        <v>7</v>
      </c>
      <c r="M1273" s="133">
        <f>IFERROR(__xludf.DUMMYFUNCTION("""COMPUTED_VALUE"""),17.0)</f>
        <v>17</v>
      </c>
      <c r="N1273" s="152" t="str">
        <f>IFERROR(__xludf.DUMMYFUNCTION("""COMPUTED_VALUE"""),"Model 3 LR AWD")</f>
        <v>Model 3 LR AWD</v>
      </c>
      <c r="O1273" s="152" t="str">
        <f>IFERROR(__xludf.DUMMYFUNCTION("""COMPUTED_VALUE"""),"Red Multi-Coat")</f>
        <v>Red Multi-Coat</v>
      </c>
      <c r="P1273" s="153" t="str">
        <f>IFERROR(__xludf.DUMMYFUNCTION("""COMPUTED_VALUE"""),"18 inch Aero")</f>
        <v>18 inch Aero</v>
      </c>
      <c r="Q1273" s="152" t="str">
        <f>IFERROR(__xludf.DUMMYFUNCTION("""COMPUTED_VALUE"""),"White seats")</f>
        <v>White seats</v>
      </c>
      <c r="R1273" s="150" t="str">
        <f>IFERROR(__xludf.DUMMYFUNCTION("""COMPUTED_VALUE"""),"Full Self-Driving")</f>
        <v>Full Self-Driving</v>
      </c>
      <c r="S1273" s="150"/>
      <c r="T1273" s="136"/>
      <c r="U1273" s="136"/>
      <c r="V1273" s="136"/>
      <c r="W1273" s="136"/>
      <c r="X1273" s="137" t="str">
        <f>IFERROR(__xludf.DUMMYFUNCTION("""COMPUTED_VALUE"""),"Excellent")</f>
        <v>Excellent</v>
      </c>
      <c r="Y1273" s="138" t="str">
        <f>IFERROR(__xludf.DUMMYFUNCTION("""COMPUTED_VALUE"""),"Very Good")</f>
        <v>Very Good</v>
      </c>
      <c r="Z1273" s="138" t="str">
        <f>IFERROR(__xludf.DUMMYFUNCTION("""COMPUTED_VALUE"""),"Good")</f>
        <v>Good</v>
      </c>
      <c r="AA1273" s="138" t="str">
        <f>IFERROR(__xludf.DUMMYFUNCTION("""COMPUTED_VALUE"""),"Fair")</f>
        <v>Fair</v>
      </c>
      <c r="AB1273" s="138" t="str">
        <f>IFERROR(__xludf.DUMMYFUNCTION("""COMPUTED_VALUE"""),"Excellent")</f>
        <v>Excellent</v>
      </c>
      <c r="AC1273" s="139">
        <f>IFERROR(__xludf.DUMMYFUNCTION("""COMPUTED_VALUE"""),1.0)</f>
        <v>1</v>
      </c>
      <c r="AD1273" s="139">
        <f>IFERROR(__xludf.DUMMYFUNCTION("""COMPUTED_VALUE"""),1.0)</f>
        <v>1</v>
      </c>
      <c r="AE1273" s="139">
        <f>IFERROR(__xludf.DUMMYFUNCTION("""COMPUTED_VALUE"""),0.0)</f>
        <v>0</v>
      </c>
      <c r="AF1273" s="140"/>
      <c r="AG1273" s="136" t="str">
        <f>IFERROR(__xludf.DUMMYFUNCTION("""COMPUTED_VALUE"""),"Fantastic experience all the way thought. The only issue was a small ding on the rear view mirror which they didn’t have on hand at the delivery center. ")</f>
        <v>Fantastic experience all the way thought. The only issue was a small ding on the rear view mirror which they didn’t have on hand at the delivery center. </v>
      </c>
      <c r="AH1273" s="157">
        <f>IFERROR(__xludf.DUMMYFUNCTION("""COMPUTED_VALUE"""),43925.48472421296)</f>
        <v>43925.48472</v>
      </c>
      <c r="AI1273" s="138"/>
      <c r="AJ1273" s="138"/>
      <c r="AK1273" s="138"/>
      <c r="AL1273" s="142"/>
    </row>
    <row r="1274" ht="20.25" customHeight="1">
      <c r="A1274" s="155" t="str">
        <f>IFERROR(__xludf.DUMMYFUNCTION("""COMPUTED_VALUE"""),"quamrana")</f>
        <v>quamrana</v>
      </c>
      <c r="B1274" s="149" t="str">
        <f>IFERROR(__xludf.DUMMYFUNCTION("""COMPUTED_VALUE"""),"Nottingham")</f>
        <v>Nottingham</v>
      </c>
      <c r="C1274" s="149"/>
      <c r="D1274" s="149" t="str">
        <f>IFERROR(__xludf.DUMMYFUNCTION("""COMPUTED_VALUE"""),"United Kingdom")</f>
        <v>United Kingdom</v>
      </c>
      <c r="E1274" s="156">
        <f>IFERROR(__xludf.DUMMYFUNCTION("""COMPUTED_VALUE"""),43890.0)</f>
        <v>43890</v>
      </c>
      <c r="F1274" s="129">
        <f>IFERROR(__xludf.DUMMYFUNCTION("""COMPUTED_VALUE"""),43994.0)</f>
        <v>43994</v>
      </c>
      <c r="G1274" s="154"/>
      <c r="H1274" s="131">
        <f>IFERROR(__xludf.DUMMYFUNCTION("""COMPUTED_VALUE"""),732357.0)</f>
        <v>732357</v>
      </c>
      <c r="I1274" s="144"/>
      <c r="J1274" s="129">
        <f>IFERROR(__xludf.DUMMYFUNCTION("""COMPUTED_VALUE"""),44008.0)</f>
        <v>44008</v>
      </c>
      <c r="K1274" s="133">
        <f>IFERROR(__xludf.DUMMYFUNCTION("""COMPUTED_VALUE"""),104.0)</f>
        <v>104</v>
      </c>
      <c r="L1274" s="133">
        <f>IFERROR(__xludf.DUMMYFUNCTION("""COMPUTED_VALUE"""),14.0)</f>
        <v>14</v>
      </c>
      <c r="M1274" s="133">
        <f>IFERROR(__xludf.DUMMYFUNCTION("""COMPUTED_VALUE"""),118.0)</f>
        <v>118</v>
      </c>
      <c r="N1274" s="152" t="str">
        <f>IFERROR(__xludf.DUMMYFUNCTION("""COMPUTED_VALUE"""),"Model 3 SR+")</f>
        <v>Model 3 SR+</v>
      </c>
      <c r="O1274" s="152" t="str">
        <f>IFERROR(__xludf.DUMMYFUNCTION("""COMPUTED_VALUE"""),"Deep Blue Metallic")</f>
        <v>Deep Blue Metallic</v>
      </c>
      <c r="P1274" s="153" t="str">
        <f>IFERROR(__xludf.DUMMYFUNCTION("""COMPUTED_VALUE"""),"18 inch Aero")</f>
        <v>18 inch Aero</v>
      </c>
      <c r="Q1274" s="152" t="str">
        <f>IFERROR(__xludf.DUMMYFUNCTION("""COMPUTED_VALUE"""),"Black seats")</f>
        <v>Black seats</v>
      </c>
      <c r="R1274" s="149" t="str">
        <f>IFERROR(__xludf.DUMMYFUNCTION("""COMPUTED_VALUE"""),"Autopilot")</f>
        <v>Autopilot</v>
      </c>
      <c r="S1274" s="149"/>
      <c r="T1274" s="145"/>
      <c r="U1274" s="145"/>
      <c r="V1274" s="145"/>
      <c r="W1274" s="145"/>
      <c r="X1274" s="137"/>
      <c r="Y1274" s="138"/>
      <c r="Z1274" s="138"/>
      <c r="AA1274" s="138" t="str">
        <f>IFERROR(__xludf.DUMMYFUNCTION("""COMPUTED_VALUE"""),"Very Good")</f>
        <v>Very Good</v>
      </c>
      <c r="AB1274" s="138" t="str">
        <f>IFERROR(__xludf.DUMMYFUNCTION("""COMPUTED_VALUE"""),"Very Good")</f>
        <v>Very Good</v>
      </c>
      <c r="AC1274" s="139"/>
      <c r="AD1274" s="139"/>
      <c r="AE1274" s="139"/>
      <c r="AF1274" s="140"/>
      <c r="AG1274" s="145"/>
      <c r="AH1274" s="157">
        <f>IFERROR(__xludf.DUMMYFUNCTION("""COMPUTED_VALUE"""),44009.02603692129)</f>
        <v>44009.02604</v>
      </c>
      <c r="AI1274" s="138"/>
      <c r="AJ1274" s="138"/>
      <c r="AK1274" s="138"/>
      <c r="AL1274" s="142"/>
    </row>
    <row r="1275" ht="20.25" customHeight="1">
      <c r="A1275" s="155" t="str">
        <f>IFERROR(__xludf.DUMMYFUNCTION("""COMPUTED_VALUE"""),"ChicagoSox")</f>
        <v>ChicagoSox</v>
      </c>
      <c r="B1275" s="149" t="str">
        <f>IFERROR(__xludf.DUMMYFUNCTION("""COMPUTED_VALUE"""),"Palos Heights")</f>
        <v>Palos Heights</v>
      </c>
      <c r="C1275" s="149" t="str">
        <f>IFERROR(__xludf.DUMMYFUNCTION("""COMPUTED_VALUE"""),"IL")</f>
        <v>IL</v>
      </c>
      <c r="D1275" s="149" t="str">
        <f>IFERROR(__xludf.DUMMYFUNCTION("""COMPUTED_VALUE"""),"USA")</f>
        <v>USA</v>
      </c>
      <c r="E1275" s="156">
        <f>IFERROR(__xludf.DUMMYFUNCTION("""COMPUTED_VALUE"""),43889.0)</f>
        <v>43889</v>
      </c>
      <c r="F1275" s="129">
        <f>IFERROR(__xludf.DUMMYFUNCTION("""COMPUTED_VALUE"""),43891.0)</f>
        <v>43891</v>
      </c>
      <c r="G1275" s="154"/>
      <c r="H1275" s="131">
        <f>IFERROR(__xludf.DUMMYFUNCTION("""COMPUTED_VALUE"""),637655.0)</f>
        <v>637655</v>
      </c>
      <c r="I1275" s="132" t="str">
        <f>IFERROR(__xludf.DUMMYFUNCTION("""COMPUTED_VALUE"""),"02/20")</f>
        <v>02/20</v>
      </c>
      <c r="J1275" s="129">
        <f>IFERROR(__xludf.DUMMYFUNCTION("""COMPUTED_VALUE"""),43900.0)</f>
        <v>43900</v>
      </c>
      <c r="K1275" s="133">
        <f>IFERROR(__xludf.DUMMYFUNCTION("""COMPUTED_VALUE"""),2.0)</f>
        <v>2</v>
      </c>
      <c r="L1275" s="133">
        <f>IFERROR(__xludf.DUMMYFUNCTION("""COMPUTED_VALUE"""),9.0)</f>
        <v>9</v>
      </c>
      <c r="M1275" s="133">
        <f>IFERROR(__xludf.DUMMYFUNCTION("""COMPUTED_VALUE"""),11.0)</f>
        <v>11</v>
      </c>
      <c r="N1275" s="152" t="str">
        <f>IFERROR(__xludf.DUMMYFUNCTION("""COMPUTED_VALUE"""),"Model 3 LR AWD")</f>
        <v>Model 3 LR AWD</v>
      </c>
      <c r="O1275" s="152" t="str">
        <f>IFERROR(__xludf.DUMMYFUNCTION("""COMPUTED_VALUE"""),"Pearl White Multi-Coat")</f>
        <v>Pearl White Multi-Coat</v>
      </c>
      <c r="P1275" s="153" t="str">
        <f>IFERROR(__xludf.DUMMYFUNCTION("""COMPUTED_VALUE"""),"18 inch Aero")</f>
        <v>18 inch Aero</v>
      </c>
      <c r="Q1275" s="152" t="str">
        <f>IFERROR(__xludf.DUMMYFUNCTION("""COMPUTED_VALUE"""),"Black seats")</f>
        <v>Black seats</v>
      </c>
      <c r="R1275" s="150" t="str">
        <f>IFERROR(__xludf.DUMMYFUNCTION("""COMPUTED_VALUE"""),"Autopilot")</f>
        <v>Autopilot</v>
      </c>
      <c r="S1275" s="150"/>
      <c r="T1275" s="136"/>
      <c r="U1275" s="136"/>
      <c r="V1275" s="136"/>
      <c r="W1275" s="136"/>
      <c r="X1275" s="137" t="str">
        <f>IFERROR(__xludf.DUMMYFUNCTION("""COMPUTED_VALUE"""),"Excellent")</f>
        <v>Excellent</v>
      </c>
      <c r="Y1275" s="138" t="str">
        <f>IFERROR(__xludf.DUMMYFUNCTION("""COMPUTED_VALUE"""),"Excellent")</f>
        <v>Excellent</v>
      </c>
      <c r="Z1275" s="138" t="str">
        <f>IFERROR(__xludf.DUMMYFUNCTION("""COMPUTED_VALUE"""),"Excellent")</f>
        <v>Excellent</v>
      </c>
      <c r="AA1275" s="138" t="str">
        <f>IFERROR(__xludf.DUMMYFUNCTION("""COMPUTED_VALUE"""),"Excellent")</f>
        <v>Excellent</v>
      </c>
      <c r="AB1275" s="138" t="str">
        <f>IFERROR(__xludf.DUMMYFUNCTION("""COMPUTED_VALUE"""),"Excellent")</f>
        <v>Excellent</v>
      </c>
      <c r="AC1275" s="139"/>
      <c r="AD1275" s="139"/>
      <c r="AE1275" s="139"/>
      <c r="AF1275" s="140"/>
      <c r="AG1275" s="136"/>
      <c r="AH1275" s="157">
        <f>IFERROR(__xludf.DUMMYFUNCTION("""COMPUTED_VALUE"""),43901.76257122685)</f>
        <v>43901.76257</v>
      </c>
      <c r="AI1275" s="138"/>
      <c r="AJ1275" s="138"/>
      <c r="AK1275" s="138"/>
      <c r="AL1275" s="142"/>
    </row>
    <row r="1276" ht="20.25" customHeight="1">
      <c r="A1276" s="155" t="str">
        <f>IFERROR(__xludf.DUMMYFUNCTION("""COMPUTED_VALUE"""),"Doog")</f>
        <v>Doog</v>
      </c>
      <c r="B1276" s="159"/>
      <c r="C1276" s="159" t="str">
        <f>IFERROR(__xludf.DUMMYFUNCTION("""COMPUTED_VALUE"""),"UT")</f>
        <v>UT</v>
      </c>
      <c r="D1276" s="159" t="str">
        <f>IFERROR(__xludf.DUMMYFUNCTION("""COMPUTED_VALUE"""),"USA")</f>
        <v>USA</v>
      </c>
      <c r="E1276" s="156">
        <f>IFERROR(__xludf.DUMMYFUNCTION("""COMPUTED_VALUE"""),43889.0)</f>
        <v>43889</v>
      </c>
      <c r="F1276" s="129">
        <f>IFERROR(__xludf.DUMMYFUNCTION("""COMPUTED_VALUE"""),43908.0)</f>
        <v>43908</v>
      </c>
      <c r="G1276" s="154"/>
      <c r="H1276" s="131">
        <f>IFERROR(__xludf.DUMMYFUNCTION("""COMPUTED_VALUE"""),714855.0)</f>
        <v>714855</v>
      </c>
      <c r="I1276" s="160"/>
      <c r="J1276" s="129">
        <f>IFERROR(__xludf.DUMMYFUNCTION("""COMPUTED_VALUE"""),43910.0)</f>
        <v>43910</v>
      </c>
      <c r="K1276" s="133">
        <f>IFERROR(__xludf.DUMMYFUNCTION("""COMPUTED_VALUE"""),19.0)</f>
        <v>19</v>
      </c>
      <c r="L1276" s="133">
        <f>IFERROR(__xludf.DUMMYFUNCTION("""COMPUTED_VALUE"""),2.0)</f>
        <v>2</v>
      </c>
      <c r="M1276" s="133">
        <f>IFERROR(__xludf.DUMMYFUNCTION("""COMPUTED_VALUE"""),21.0)</f>
        <v>21</v>
      </c>
      <c r="N1276" s="152" t="str">
        <f>IFERROR(__xludf.DUMMYFUNCTION("""COMPUTED_VALUE"""),"Model 3 Performance")</f>
        <v>Model 3 Performance</v>
      </c>
      <c r="O1276" s="152" t="str">
        <f>IFERROR(__xludf.DUMMYFUNCTION("""COMPUTED_VALUE"""),"Deep Blue Metallic")</f>
        <v>Deep Blue Metallic</v>
      </c>
      <c r="P1276" s="153" t="str">
        <f>IFERROR(__xludf.DUMMYFUNCTION("""COMPUTED_VALUE"""),"20 inch Sport")</f>
        <v>20 inch Sport</v>
      </c>
      <c r="Q1276" s="152" t="str">
        <f>IFERROR(__xludf.DUMMYFUNCTION("""COMPUTED_VALUE"""),"White seats")</f>
        <v>White seats</v>
      </c>
      <c r="R1276" s="159" t="str">
        <f>IFERROR(__xludf.DUMMYFUNCTION("""COMPUTED_VALUE"""),"Autopilot")</f>
        <v>Autopilot</v>
      </c>
      <c r="S1276" s="159"/>
      <c r="T1276" s="161"/>
      <c r="U1276" s="161"/>
      <c r="V1276" s="161"/>
      <c r="W1276" s="161"/>
      <c r="X1276" s="137" t="str">
        <f>IFERROR(__xludf.DUMMYFUNCTION("""COMPUTED_VALUE"""),"Very Good")</f>
        <v>Very Good</v>
      </c>
      <c r="Y1276" s="138" t="str">
        <f>IFERROR(__xludf.DUMMYFUNCTION("""COMPUTED_VALUE"""),"Excellent")</f>
        <v>Excellent</v>
      </c>
      <c r="Z1276" s="138" t="str">
        <f>IFERROR(__xludf.DUMMYFUNCTION("""COMPUTED_VALUE"""),"Excellent")</f>
        <v>Excellent</v>
      </c>
      <c r="AA1276" s="138" t="str">
        <f>IFERROR(__xludf.DUMMYFUNCTION("""COMPUTED_VALUE"""),"Very Good")</f>
        <v>Very Good</v>
      </c>
      <c r="AB1276" s="138" t="str">
        <f>IFERROR(__xludf.DUMMYFUNCTION("""COMPUTED_VALUE"""),"Excellent")</f>
        <v>Excellent</v>
      </c>
      <c r="AC1276" s="139">
        <f>IFERROR(__xludf.DUMMYFUNCTION("""COMPUTED_VALUE"""),0.0)</f>
        <v>0</v>
      </c>
      <c r="AD1276" s="139">
        <f>IFERROR(__xludf.DUMMYFUNCTION("""COMPUTED_VALUE"""),0.0)</f>
        <v>0</v>
      </c>
      <c r="AE1276" s="139">
        <f>IFERROR(__xludf.DUMMYFUNCTION("""COMPUTED_VALUE"""),0.0)</f>
        <v>0</v>
      </c>
      <c r="AF1276" s="140"/>
      <c r="AG1276" s="161"/>
      <c r="AH1276" s="157">
        <f>IFERROR(__xludf.DUMMYFUNCTION("""COMPUTED_VALUE"""),43953.85448681713)</f>
        <v>43953.85449</v>
      </c>
      <c r="AI1276" s="138"/>
      <c r="AJ1276" s="138"/>
      <c r="AK1276" s="138"/>
      <c r="AL1276" s="142"/>
    </row>
    <row r="1277" ht="20.25" customHeight="1">
      <c r="A1277" s="155" t="str">
        <f>IFERROR(__xludf.DUMMYFUNCTION("""COMPUTED_VALUE"""),"BIGKIDZFUN")</f>
        <v>BIGKIDZFUN</v>
      </c>
      <c r="B1277" s="149" t="str">
        <f>IFERROR(__xludf.DUMMYFUNCTION("""COMPUTED_VALUE"""),"Litchfield Park")</f>
        <v>Litchfield Park</v>
      </c>
      <c r="C1277" s="149" t="str">
        <f>IFERROR(__xludf.DUMMYFUNCTION("""COMPUTED_VALUE"""),"AZ")</f>
        <v>AZ</v>
      </c>
      <c r="D1277" s="149" t="str">
        <f>IFERROR(__xludf.DUMMYFUNCTION("""COMPUTED_VALUE"""),"USA")</f>
        <v>USA</v>
      </c>
      <c r="E1277" s="156">
        <f>IFERROR(__xludf.DUMMYFUNCTION("""COMPUTED_VALUE"""),43888.0)</f>
        <v>43888</v>
      </c>
      <c r="F1277" s="129">
        <f>IFERROR(__xludf.DUMMYFUNCTION("""COMPUTED_VALUE"""),43906.0)</f>
        <v>43906</v>
      </c>
      <c r="G1277" s="154"/>
      <c r="H1277" s="131">
        <f>IFERROR(__xludf.DUMMYFUNCTION("""COMPUTED_VALUE"""),713655.0)</f>
        <v>713655</v>
      </c>
      <c r="I1277" s="132" t="str">
        <f>IFERROR(__xludf.DUMMYFUNCTION("""COMPUTED_VALUE"""),"03/20")</f>
        <v>03/20</v>
      </c>
      <c r="J1277" s="129">
        <f>IFERROR(__xludf.DUMMYFUNCTION("""COMPUTED_VALUE"""),43911.0)</f>
        <v>43911</v>
      </c>
      <c r="K1277" s="133">
        <f>IFERROR(__xludf.DUMMYFUNCTION("""COMPUTED_VALUE"""),18.0)</f>
        <v>18</v>
      </c>
      <c r="L1277" s="133">
        <f>IFERROR(__xludf.DUMMYFUNCTION("""COMPUTED_VALUE"""),5.0)</f>
        <v>5</v>
      </c>
      <c r="M1277" s="133">
        <f>IFERROR(__xludf.DUMMYFUNCTION("""COMPUTED_VALUE"""),23.0)</f>
        <v>23</v>
      </c>
      <c r="N1277" s="152" t="str">
        <f>IFERROR(__xludf.DUMMYFUNCTION("""COMPUTED_VALUE"""),"Model 3 Performance")</f>
        <v>Model 3 Performance</v>
      </c>
      <c r="O1277" s="152" t="str">
        <f>IFERROR(__xludf.DUMMYFUNCTION("""COMPUTED_VALUE"""),"Midnight Silver Metallic")</f>
        <v>Midnight Silver Metallic</v>
      </c>
      <c r="P1277" s="153" t="str">
        <f>IFERROR(__xludf.DUMMYFUNCTION("""COMPUTED_VALUE"""),"20 inch Sport")</f>
        <v>20 inch Sport</v>
      </c>
      <c r="Q1277" s="152" t="str">
        <f>IFERROR(__xludf.DUMMYFUNCTION("""COMPUTED_VALUE"""),"Black seats")</f>
        <v>Black seats</v>
      </c>
      <c r="R1277" s="150" t="str">
        <f>IFERROR(__xludf.DUMMYFUNCTION("""COMPUTED_VALUE"""),"Autopilot")</f>
        <v>Autopilot</v>
      </c>
      <c r="S1277" s="150"/>
      <c r="T1277" s="136"/>
      <c r="U1277" s="136"/>
      <c r="V1277" s="136"/>
      <c r="W1277" s="136"/>
      <c r="X1277" s="137" t="str">
        <f>IFERROR(__xludf.DUMMYFUNCTION("""COMPUTED_VALUE"""),"Excellent")</f>
        <v>Excellent</v>
      </c>
      <c r="Y1277" s="138" t="str">
        <f>IFERROR(__xludf.DUMMYFUNCTION("""COMPUTED_VALUE"""),"Excellent")</f>
        <v>Excellent</v>
      </c>
      <c r="Z1277" s="138" t="str">
        <f>IFERROR(__xludf.DUMMYFUNCTION("""COMPUTED_VALUE"""),"Very Good")</f>
        <v>Very Good</v>
      </c>
      <c r="AA1277" s="138" t="str">
        <f>IFERROR(__xludf.DUMMYFUNCTION("""COMPUTED_VALUE"""),"Very Good")</f>
        <v>Very Good</v>
      </c>
      <c r="AB1277" s="138" t="str">
        <f>IFERROR(__xludf.DUMMYFUNCTION("""COMPUTED_VALUE"""),"Good")</f>
        <v>Good</v>
      </c>
      <c r="AC1277" s="139">
        <f>IFERROR(__xludf.DUMMYFUNCTION("""COMPUTED_VALUE"""),3.0)</f>
        <v>3</v>
      </c>
      <c r="AD1277" s="139"/>
      <c r="AE1277" s="139"/>
      <c r="AF1277" s="140"/>
      <c r="AG1277" s="136"/>
      <c r="AH1277" s="157">
        <f>IFERROR(__xludf.DUMMYFUNCTION("""COMPUTED_VALUE"""),43916.4913499074)</f>
        <v>43916.49135</v>
      </c>
      <c r="AI1277" s="138"/>
      <c r="AJ1277" s="138"/>
      <c r="AK1277" s="138"/>
      <c r="AL1277" s="142"/>
    </row>
    <row r="1278" ht="20.25" customHeight="1">
      <c r="A1278" s="155" t="str">
        <f>IFERROR(__xludf.DUMMYFUNCTION("""COMPUTED_VALUE"""),"pacopico")</f>
        <v>pacopico</v>
      </c>
      <c r="B1278" s="149" t="str">
        <f>IFERROR(__xludf.DUMMYFUNCTION("""COMPUTED_VALUE"""),"Gig Harbor")</f>
        <v>Gig Harbor</v>
      </c>
      <c r="C1278" s="149" t="str">
        <f>IFERROR(__xludf.DUMMYFUNCTION("""COMPUTED_VALUE"""),"WA")</f>
        <v>WA</v>
      </c>
      <c r="D1278" s="149" t="str">
        <f>IFERROR(__xludf.DUMMYFUNCTION("""COMPUTED_VALUE"""),"USA")</f>
        <v>USA</v>
      </c>
      <c r="E1278" s="156">
        <f>IFERROR(__xludf.DUMMYFUNCTION("""COMPUTED_VALUE"""),43887.0)</f>
        <v>43887</v>
      </c>
      <c r="F1278" s="129"/>
      <c r="G1278" s="154"/>
      <c r="H1278" s="131"/>
      <c r="I1278" s="144" t="str">
        <f>IFERROR(__xludf.DUMMYFUNCTION("""COMPUTED_VALUE"""),"12/19")</f>
        <v>12/19</v>
      </c>
      <c r="J1278" s="129">
        <f>IFERROR(__xludf.DUMMYFUNCTION("""COMPUTED_VALUE"""),43894.0)</f>
        <v>43894</v>
      </c>
      <c r="K1278" s="133"/>
      <c r="L1278" s="133"/>
      <c r="M1278" s="133">
        <f>IFERROR(__xludf.DUMMYFUNCTION("""COMPUTED_VALUE"""),7.0)</f>
        <v>7</v>
      </c>
      <c r="N1278" s="152" t="str">
        <f>IFERROR(__xludf.DUMMYFUNCTION("""COMPUTED_VALUE"""),"Model 3 Performance")</f>
        <v>Model 3 Performance</v>
      </c>
      <c r="O1278" s="152" t="str">
        <f>IFERROR(__xludf.DUMMYFUNCTION("""COMPUTED_VALUE"""),"Deep Blue Metallic")</f>
        <v>Deep Blue Metallic</v>
      </c>
      <c r="P1278" s="153" t="str">
        <f>IFERROR(__xludf.DUMMYFUNCTION("""COMPUTED_VALUE"""),"20 inch Sport")</f>
        <v>20 inch Sport</v>
      </c>
      <c r="Q1278" s="152" t="str">
        <f>IFERROR(__xludf.DUMMYFUNCTION("""COMPUTED_VALUE"""),"Black seats")</f>
        <v>Black seats</v>
      </c>
      <c r="R1278" s="149" t="str">
        <f>IFERROR(__xludf.DUMMYFUNCTION("""COMPUTED_VALUE"""),"Autopilot")</f>
        <v>Autopilot</v>
      </c>
      <c r="S1278" s="149"/>
      <c r="T1278" s="145"/>
      <c r="U1278" s="145"/>
      <c r="V1278" s="145"/>
      <c r="W1278" s="136"/>
      <c r="X1278" s="137" t="str">
        <f>IFERROR(__xludf.DUMMYFUNCTION("""COMPUTED_VALUE"""),"Excellent")</f>
        <v>Excellent</v>
      </c>
      <c r="Y1278" s="138" t="str">
        <f>IFERROR(__xludf.DUMMYFUNCTION("""COMPUTED_VALUE"""),"Excellent")</f>
        <v>Excellent</v>
      </c>
      <c r="Z1278" s="138" t="str">
        <f>IFERROR(__xludf.DUMMYFUNCTION("""COMPUTED_VALUE"""),"Excellent")</f>
        <v>Excellent</v>
      </c>
      <c r="AA1278" s="138" t="str">
        <f>IFERROR(__xludf.DUMMYFUNCTION("""COMPUTED_VALUE"""),"Excellent")</f>
        <v>Excellent</v>
      </c>
      <c r="AB1278" s="138" t="str">
        <f>IFERROR(__xludf.DUMMYFUNCTION("""COMPUTED_VALUE"""),"Poor")</f>
        <v>Poor</v>
      </c>
      <c r="AC1278" s="139"/>
      <c r="AD1278" s="139"/>
      <c r="AE1278" s="139"/>
      <c r="AF1278" s="140"/>
      <c r="AG1278" s="136" t="str">
        <f>IFERROR(__xludf.DUMMYFUNCTION("""COMPUTED_VALUE"""),"Switched reservation car to a demo car that was in stock")</f>
        <v>Switched reservation car to a demo car that was in stock</v>
      </c>
      <c r="AH1278" s="157">
        <f>IFERROR(__xludf.DUMMYFUNCTION("""COMPUTED_VALUE"""),43895.32274584491)</f>
        <v>43895.32275</v>
      </c>
      <c r="AI1278" s="138"/>
      <c r="AJ1278" s="138"/>
      <c r="AK1278" s="138"/>
      <c r="AL1278" s="142"/>
    </row>
    <row r="1279" ht="20.25" customHeight="1">
      <c r="A1279" s="155" t="str">
        <f>IFERROR(__xludf.DUMMYFUNCTION("""COMPUTED_VALUE"""),"Blofeld")</f>
        <v>Blofeld</v>
      </c>
      <c r="B1279" s="149" t="str">
        <f>IFERROR(__xludf.DUMMYFUNCTION("""COMPUTED_VALUE"""),"SF Bay Area")</f>
        <v>SF Bay Area</v>
      </c>
      <c r="C1279" s="149" t="str">
        <f>IFERROR(__xludf.DUMMYFUNCTION("""COMPUTED_VALUE"""),"CA")</f>
        <v>CA</v>
      </c>
      <c r="D1279" s="149" t="str">
        <f>IFERROR(__xludf.DUMMYFUNCTION("""COMPUTED_VALUE"""),"USA")</f>
        <v>USA</v>
      </c>
      <c r="E1279" s="156">
        <f>IFERROR(__xludf.DUMMYFUNCTION("""COMPUTED_VALUE"""),43884.0)</f>
        <v>43884</v>
      </c>
      <c r="F1279" s="129">
        <f>IFERROR(__xludf.DUMMYFUNCTION("""COMPUTED_VALUE"""),43906.0)</f>
        <v>43906</v>
      </c>
      <c r="G1279" s="154"/>
      <c r="H1279" s="131">
        <f>IFERROR(__xludf.DUMMYFUNCTION("""COMPUTED_VALUE"""),716955.0)</f>
        <v>716955</v>
      </c>
      <c r="I1279" s="144"/>
      <c r="J1279" s="129">
        <f>IFERROR(__xludf.DUMMYFUNCTION("""COMPUTED_VALUE"""),43907.0)</f>
        <v>43907</v>
      </c>
      <c r="K1279" s="133">
        <f>IFERROR(__xludf.DUMMYFUNCTION("""COMPUTED_VALUE"""),22.0)</f>
        <v>22</v>
      </c>
      <c r="L1279" s="133">
        <f>IFERROR(__xludf.DUMMYFUNCTION("""COMPUTED_VALUE"""),1.0)</f>
        <v>1</v>
      </c>
      <c r="M1279" s="133">
        <f>IFERROR(__xludf.DUMMYFUNCTION("""COMPUTED_VALUE"""),23.0)</f>
        <v>23</v>
      </c>
      <c r="N1279" s="152" t="str">
        <f>IFERROR(__xludf.DUMMYFUNCTION("""COMPUTED_VALUE"""),"Model 3 Performance")</f>
        <v>Model 3 Performance</v>
      </c>
      <c r="O1279" s="152" t="str">
        <f>IFERROR(__xludf.DUMMYFUNCTION("""COMPUTED_VALUE"""),"Midnight Silver Metallic")</f>
        <v>Midnight Silver Metallic</v>
      </c>
      <c r="P1279" s="153" t="str">
        <f>IFERROR(__xludf.DUMMYFUNCTION("""COMPUTED_VALUE"""),"20 inch Sport")</f>
        <v>20 inch Sport</v>
      </c>
      <c r="Q1279" s="152" t="str">
        <f>IFERROR(__xludf.DUMMYFUNCTION("""COMPUTED_VALUE"""),"Black seats")</f>
        <v>Black seats</v>
      </c>
      <c r="R1279" s="149" t="str">
        <f>IFERROR(__xludf.DUMMYFUNCTION("""COMPUTED_VALUE"""),"Autopilot")</f>
        <v>Autopilot</v>
      </c>
      <c r="S1279" s="149"/>
      <c r="T1279" s="145"/>
      <c r="U1279" s="145"/>
      <c r="V1279" s="145"/>
      <c r="W1279" s="145"/>
      <c r="X1279" s="137" t="str">
        <f>IFERROR(__xludf.DUMMYFUNCTION("""COMPUTED_VALUE"""),"Excellent")</f>
        <v>Excellent</v>
      </c>
      <c r="Y1279" s="138" t="str">
        <f>IFERROR(__xludf.DUMMYFUNCTION("""COMPUTED_VALUE"""),"Very Good")</f>
        <v>Very Good</v>
      </c>
      <c r="Z1279" s="138" t="str">
        <f>IFERROR(__xludf.DUMMYFUNCTION("""COMPUTED_VALUE"""),"Very Good")</f>
        <v>Very Good</v>
      </c>
      <c r="AA1279" s="138" t="str">
        <f>IFERROR(__xludf.DUMMYFUNCTION("""COMPUTED_VALUE"""),"Good")</f>
        <v>Good</v>
      </c>
      <c r="AB1279" s="138" t="str">
        <f>IFERROR(__xludf.DUMMYFUNCTION("""COMPUTED_VALUE"""),"Good")</f>
        <v>Good</v>
      </c>
      <c r="AC1279" s="139"/>
      <c r="AD1279" s="139"/>
      <c r="AE1279" s="139"/>
      <c r="AF1279" s="140"/>
      <c r="AG1279" s="145" t="str">
        <f>IFERROR(__xludf.DUMMYFUNCTION("""COMPUTED_VALUE"""),"Text 3/9 “delivery 2 - 3 weeks from today.”")</f>
        <v>Text 3/9 “delivery 2 - 3 weeks from today.”</v>
      </c>
      <c r="AH1279" s="157">
        <f>IFERROR(__xludf.DUMMYFUNCTION("""COMPUTED_VALUE"""),43907.67938177083)</f>
        <v>43907.67938</v>
      </c>
      <c r="AI1279" s="138"/>
      <c r="AJ1279" s="138"/>
      <c r="AK1279" s="138"/>
      <c r="AL1279" s="142"/>
    </row>
    <row r="1280" ht="20.25" customHeight="1">
      <c r="A1280" s="155" t="str">
        <f>IFERROR(__xludf.DUMMYFUNCTION("""COMPUTED_VALUE"""),"sdodds")</f>
        <v>sdodds</v>
      </c>
      <c r="B1280" s="149" t="str">
        <f>IFERROR(__xludf.DUMMYFUNCTION("""COMPUTED_VALUE"""),"Maple Ridge")</f>
        <v>Maple Ridge</v>
      </c>
      <c r="C1280" s="149" t="str">
        <f>IFERROR(__xludf.DUMMYFUNCTION("""COMPUTED_VALUE"""),"BC")</f>
        <v>BC</v>
      </c>
      <c r="D1280" s="149" t="str">
        <f>IFERROR(__xludf.DUMMYFUNCTION("""COMPUTED_VALUE"""),"Canada")</f>
        <v>Canada</v>
      </c>
      <c r="E1280" s="156">
        <f>IFERROR(__xludf.DUMMYFUNCTION("""COMPUTED_VALUE"""),43884.0)</f>
        <v>43884</v>
      </c>
      <c r="F1280" s="129">
        <f>IFERROR(__xludf.DUMMYFUNCTION("""COMPUTED_VALUE"""),43908.0)</f>
        <v>43908</v>
      </c>
      <c r="G1280" s="154"/>
      <c r="H1280" s="131">
        <f>IFERROR(__xludf.DUMMYFUNCTION("""COMPUTED_VALUE"""),718375.0)</f>
        <v>718375</v>
      </c>
      <c r="I1280" s="144"/>
      <c r="J1280" s="129">
        <f>IFERROR(__xludf.DUMMYFUNCTION("""COMPUTED_VALUE"""),43909.0)</f>
        <v>43909</v>
      </c>
      <c r="K1280" s="133">
        <f>IFERROR(__xludf.DUMMYFUNCTION("""COMPUTED_VALUE"""),24.0)</f>
        <v>24</v>
      </c>
      <c r="L1280" s="133">
        <f>IFERROR(__xludf.DUMMYFUNCTION("""COMPUTED_VALUE"""),1.0)</f>
        <v>1</v>
      </c>
      <c r="M1280" s="133">
        <f>IFERROR(__xludf.DUMMYFUNCTION("""COMPUTED_VALUE"""),25.0)</f>
        <v>25</v>
      </c>
      <c r="N1280" s="152" t="str">
        <f>IFERROR(__xludf.DUMMYFUNCTION("""COMPUTED_VALUE"""),"Model 3 SR+")</f>
        <v>Model 3 SR+</v>
      </c>
      <c r="O1280" s="152" t="str">
        <f>IFERROR(__xludf.DUMMYFUNCTION("""COMPUTED_VALUE"""),"Pearl White Multi-Coat")</f>
        <v>Pearl White Multi-Coat</v>
      </c>
      <c r="P1280" s="153" t="str">
        <f>IFERROR(__xludf.DUMMYFUNCTION("""COMPUTED_VALUE"""),"18 inch Aero")</f>
        <v>18 inch Aero</v>
      </c>
      <c r="Q1280" s="152" t="str">
        <f>IFERROR(__xludf.DUMMYFUNCTION("""COMPUTED_VALUE"""),"Black seats")</f>
        <v>Black seats</v>
      </c>
      <c r="R1280" s="149" t="str">
        <f>IFERROR(__xludf.DUMMYFUNCTION("""COMPUTED_VALUE"""),"Autopilot")</f>
        <v>Autopilot</v>
      </c>
      <c r="S1280" s="149"/>
      <c r="T1280" s="145"/>
      <c r="U1280" s="145"/>
      <c r="V1280" s="145"/>
      <c r="W1280" s="145"/>
      <c r="X1280" s="137" t="str">
        <f>IFERROR(__xludf.DUMMYFUNCTION("""COMPUTED_VALUE"""),"Excellent")</f>
        <v>Excellent</v>
      </c>
      <c r="Y1280" s="138" t="str">
        <f>IFERROR(__xludf.DUMMYFUNCTION("""COMPUTED_VALUE"""),"Excellent")</f>
        <v>Excellent</v>
      </c>
      <c r="Z1280" s="138" t="str">
        <f>IFERROR(__xludf.DUMMYFUNCTION("""COMPUTED_VALUE"""),"Excellent")</f>
        <v>Excellent</v>
      </c>
      <c r="AA1280" s="138" t="str">
        <f>IFERROR(__xludf.DUMMYFUNCTION("""COMPUTED_VALUE"""),"Excellent")</f>
        <v>Excellent</v>
      </c>
      <c r="AB1280" s="138" t="str">
        <f>IFERROR(__xludf.DUMMYFUNCTION("""COMPUTED_VALUE"""),"Excellent")</f>
        <v>Excellent</v>
      </c>
      <c r="AC1280" s="139"/>
      <c r="AD1280" s="139"/>
      <c r="AE1280" s="139"/>
      <c r="AF1280" s="140"/>
      <c r="AG1280" s="145"/>
      <c r="AH1280" s="157">
        <f>IFERROR(__xludf.DUMMYFUNCTION("""COMPUTED_VALUE"""),43909.87182468751)</f>
        <v>43909.87182</v>
      </c>
      <c r="AI1280" s="138"/>
      <c r="AJ1280" s="138"/>
      <c r="AK1280" s="138"/>
      <c r="AL1280" s="142"/>
    </row>
    <row r="1281" ht="20.25" customHeight="1">
      <c r="A1281" s="155" t="str">
        <f>IFERROR(__xludf.DUMMYFUNCTION("""COMPUTED_VALUE"""),"smark")</f>
        <v>smark</v>
      </c>
      <c r="B1281" s="149" t="str">
        <f>IFERROR(__xludf.DUMMYFUNCTION("""COMPUTED_VALUE"""),"Fremont")</f>
        <v>Fremont</v>
      </c>
      <c r="C1281" s="149" t="str">
        <f>IFERROR(__xludf.DUMMYFUNCTION("""COMPUTED_VALUE"""),"CA")</f>
        <v>CA</v>
      </c>
      <c r="D1281" s="149" t="str">
        <f>IFERROR(__xludf.DUMMYFUNCTION("""COMPUTED_VALUE"""),"USA")</f>
        <v>USA</v>
      </c>
      <c r="E1281" s="156">
        <f>IFERROR(__xludf.DUMMYFUNCTION("""COMPUTED_VALUE"""),43884.0)</f>
        <v>43884</v>
      </c>
      <c r="F1281" s="129">
        <f>IFERROR(__xludf.DUMMYFUNCTION("""COMPUTED_VALUE"""),43900.0)</f>
        <v>43900</v>
      </c>
      <c r="G1281" s="154"/>
      <c r="H1281" s="131">
        <f>IFERROR(__xludf.DUMMYFUNCTION("""COMPUTED_VALUE"""),660555.0)</f>
        <v>660555</v>
      </c>
      <c r="I1281" s="144"/>
      <c r="J1281" s="129">
        <f>IFERROR(__xludf.DUMMYFUNCTION("""COMPUTED_VALUE"""),43905.0)</f>
        <v>43905</v>
      </c>
      <c r="K1281" s="133">
        <f>IFERROR(__xludf.DUMMYFUNCTION("""COMPUTED_VALUE"""),16.0)</f>
        <v>16</v>
      </c>
      <c r="L1281" s="133">
        <f>IFERROR(__xludf.DUMMYFUNCTION("""COMPUTED_VALUE"""),5.0)</f>
        <v>5</v>
      </c>
      <c r="M1281" s="133">
        <f>IFERROR(__xludf.DUMMYFUNCTION("""COMPUTED_VALUE"""),21.0)</f>
        <v>21</v>
      </c>
      <c r="N1281" s="152" t="str">
        <f>IFERROR(__xludf.DUMMYFUNCTION("""COMPUTED_VALUE"""),"Model 3 SR+")</f>
        <v>Model 3 SR+</v>
      </c>
      <c r="O1281" s="152" t="str">
        <f>IFERROR(__xludf.DUMMYFUNCTION("""COMPUTED_VALUE"""),"Pearl White Multi-Coat")</f>
        <v>Pearl White Multi-Coat</v>
      </c>
      <c r="P1281" s="153" t="str">
        <f>IFERROR(__xludf.DUMMYFUNCTION("""COMPUTED_VALUE"""),"18 inch Aero")</f>
        <v>18 inch Aero</v>
      </c>
      <c r="Q1281" s="152" t="str">
        <f>IFERROR(__xludf.DUMMYFUNCTION("""COMPUTED_VALUE"""),"Black seats")</f>
        <v>Black seats</v>
      </c>
      <c r="R1281" s="149" t="str">
        <f>IFERROR(__xludf.DUMMYFUNCTION("""COMPUTED_VALUE"""),"Autopilot")</f>
        <v>Autopilot</v>
      </c>
      <c r="S1281" s="149"/>
      <c r="T1281" s="145"/>
      <c r="U1281" s="145"/>
      <c r="V1281" s="136"/>
      <c r="W1281" s="136"/>
      <c r="X1281" s="137"/>
      <c r="Y1281" s="138"/>
      <c r="Z1281" s="138"/>
      <c r="AA1281" s="138" t="str">
        <f>IFERROR(__xludf.DUMMYFUNCTION("""COMPUTED_VALUE"""),"Fair")</f>
        <v>Fair</v>
      </c>
      <c r="AB1281" s="138"/>
      <c r="AC1281" s="139"/>
      <c r="AD1281" s="139"/>
      <c r="AE1281" s="139"/>
      <c r="AF1281" s="140"/>
      <c r="AG1281" s="136" t="str">
        <f>IFERROR(__xludf.DUMMYFUNCTION("""COMPUTED_VALUE"""),"24 Feb - Text saying 2-6 weeks for delivery. 9 Mar - Built in next 10 days. 10 Mar - VIN in source.")</f>
        <v>24 Feb - Text saying 2-6 weeks for delivery. 9 Mar - Built in next 10 days. 10 Mar - VIN in source.</v>
      </c>
      <c r="AH1281" s="157">
        <f>IFERROR(__xludf.DUMMYFUNCTION("""COMPUTED_VALUE"""),43907.58528827546)</f>
        <v>43907.58529</v>
      </c>
      <c r="AI1281" s="138"/>
      <c r="AJ1281" s="138"/>
      <c r="AK1281" s="138"/>
      <c r="AL1281" s="142"/>
    </row>
    <row r="1282" ht="20.25" customHeight="1">
      <c r="A1282" s="155" t="str">
        <f>IFERROR(__xludf.DUMMYFUNCTION("""COMPUTED_VALUE"""),"mma777")</f>
        <v>mma777</v>
      </c>
      <c r="B1282" s="149"/>
      <c r="C1282" s="149"/>
      <c r="D1282" s="149" t="str">
        <f>IFERROR(__xludf.DUMMYFUNCTION("""COMPUTED_VALUE"""),"United Kingdom")</f>
        <v>United Kingdom</v>
      </c>
      <c r="E1282" s="156">
        <f>IFERROR(__xludf.DUMMYFUNCTION("""COMPUTED_VALUE"""),43883.0)</f>
        <v>43883</v>
      </c>
      <c r="F1282" s="129">
        <f>IFERROR(__xludf.DUMMYFUNCTION("""COMPUTED_VALUE"""),43890.0)</f>
        <v>43890</v>
      </c>
      <c r="G1282" s="154"/>
      <c r="H1282" s="131">
        <f>IFERROR(__xludf.DUMMYFUNCTION("""COMPUTED_VALUE"""),702055.0)</f>
        <v>702055</v>
      </c>
      <c r="I1282" s="144"/>
      <c r="J1282" s="129">
        <f>IFERROR(__xludf.DUMMYFUNCTION("""COMPUTED_VALUE"""),43908.0)</f>
        <v>43908</v>
      </c>
      <c r="K1282" s="133">
        <f>IFERROR(__xludf.DUMMYFUNCTION("""COMPUTED_VALUE"""),7.0)</f>
        <v>7</v>
      </c>
      <c r="L1282" s="133">
        <f>IFERROR(__xludf.DUMMYFUNCTION("""COMPUTED_VALUE"""),18.0)</f>
        <v>18</v>
      </c>
      <c r="M1282" s="133">
        <f>IFERROR(__xludf.DUMMYFUNCTION("""COMPUTED_VALUE"""),25.0)</f>
        <v>25</v>
      </c>
      <c r="N1282" s="152" t="str">
        <f>IFERROR(__xludf.DUMMYFUNCTION("""COMPUTED_VALUE"""),"Model 3 LR AWD")</f>
        <v>Model 3 LR AWD</v>
      </c>
      <c r="O1282" s="152" t="str">
        <f>IFERROR(__xludf.DUMMYFUNCTION("""COMPUTED_VALUE"""),"Midnight Silver Metallic")</f>
        <v>Midnight Silver Metallic</v>
      </c>
      <c r="P1282" s="153" t="str">
        <f>IFERROR(__xludf.DUMMYFUNCTION("""COMPUTED_VALUE"""),"18 inch Aero")</f>
        <v>18 inch Aero</v>
      </c>
      <c r="Q1282" s="152" t="str">
        <f>IFERROR(__xludf.DUMMYFUNCTION("""COMPUTED_VALUE"""),"Black seats")</f>
        <v>Black seats</v>
      </c>
      <c r="R1282" s="149" t="str">
        <f>IFERROR(__xludf.DUMMYFUNCTION("""COMPUTED_VALUE"""),"Autopilot")</f>
        <v>Autopilot</v>
      </c>
      <c r="S1282" s="149"/>
      <c r="T1282" s="145"/>
      <c r="U1282" s="145"/>
      <c r="V1282" s="145"/>
      <c r="W1282" s="145"/>
      <c r="X1282" s="137" t="str">
        <f>IFERROR(__xludf.DUMMYFUNCTION("""COMPUTED_VALUE"""),"Fair")</f>
        <v>Fair</v>
      </c>
      <c r="Y1282" s="138" t="str">
        <f>IFERROR(__xludf.DUMMYFUNCTION("""COMPUTED_VALUE"""),"Good")</f>
        <v>Good</v>
      </c>
      <c r="Z1282" s="138" t="str">
        <f>IFERROR(__xludf.DUMMYFUNCTION("""COMPUTED_VALUE"""),"Good")</f>
        <v>Good</v>
      </c>
      <c r="AA1282" s="138" t="str">
        <f>IFERROR(__xludf.DUMMYFUNCTION("""COMPUTED_VALUE"""),"Good")</f>
        <v>Good</v>
      </c>
      <c r="AB1282" s="138" t="str">
        <f>IFERROR(__xludf.DUMMYFUNCTION("""COMPUTED_VALUE"""),"Good")</f>
        <v>Good</v>
      </c>
      <c r="AC1282" s="139"/>
      <c r="AD1282" s="139"/>
      <c r="AE1282" s="139"/>
      <c r="AF1282" s="140"/>
      <c r="AG1282" s="145"/>
      <c r="AH1282" s="157">
        <f>IFERROR(__xludf.DUMMYFUNCTION("""COMPUTED_VALUE"""),43908.34433190973)</f>
        <v>43908.34433</v>
      </c>
      <c r="AI1282" s="138"/>
      <c r="AJ1282" s="138"/>
      <c r="AK1282" s="138"/>
      <c r="AL1282" s="142"/>
    </row>
    <row r="1283" ht="20.25" customHeight="1">
      <c r="A1283" s="155" t="str">
        <f>IFERROR(__xludf.DUMMYFUNCTION("""COMPUTED_VALUE"""),"6Times")</f>
        <v>6Times</v>
      </c>
      <c r="B1283" s="149" t="str">
        <f>IFERROR(__xludf.DUMMYFUNCTION("""COMPUTED_VALUE"""),"Houston")</f>
        <v>Houston</v>
      </c>
      <c r="C1283" s="149" t="str">
        <f>IFERROR(__xludf.DUMMYFUNCTION("""COMPUTED_VALUE"""),"TX")</f>
        <v>TX</v>
      </c>
      <c r="D1283" s="149" t="str">
        <f>IFERROR(__xludf.DUMMYFUNCTION("""COMPUTED_VALUE"""),"USA")</f>
        <v>USA</v>
      </c>
      <c r="E1283" s="156">
        <f>IFERROR(__xludf.DUMMYFUNCTION("""COMPUTED_VALUE"""),43882.0)</f>
        <v>43882</v>
      </c>
      <c r="F1283" s="129">
        <f>IFERROR(__xludf.DUMMYFUNCTION("""COMPUTED_VALUE"""),43887.0)</f>
        <v>43887</v>
      </c>
      <c r="G1283" s="154"/>
      <c r="H1283" s="131">
        <f>IFERROR(__xludf.DUMMYFUNCTION("""COMPUTED_VALUE"""),650055.0)</f>
        <v>650055</v>
      </c>
      <c r="I1283" s="144"/>
      <c r="J1283" s="129">
        <f>IFERROR(__xludf.DUMMYFUNCTION("""COMPUTED_VALUE"""),43911.0)</f>
        <v>43911</v>
      </c>
      <c r="K1283" s="133">
        <f>IFERROR(__xludf.DUMMYFUNCTION("""COMPUTED_VALUE"""),5.0)</f>
        <v>5</v>
      </c>
      <c r="L1283" s="133">
        <f>IFERROR(__xludf.DUMMYFUNCTION("""COMPUTED_VALUE"""),24.0)</f>
        <v>24</v>
      </c>
      <c r="M1283" s="133">
        <f>IFERROR(__xludf.DUMMYFUNCTION("""COMPUTED_VALUE"""),29.0)</f>
        <v>29</v>
      </c>
      <c r="N1283" s="152" t="str">
        <f>IFERROR(__xludf.DUMMYFUNCTION("""COMPUTED_VALUE"""),"Model 3 LR AWD")</f>
        <v>Model 3 LR AWD</v>
      </c>
      <c r="O1283" s="152" t="str">
        <f>IFERROR(__xludf.DUMMYFUNCTION("""COMPUTED_VALUE"""),"Deep Blue Metallic")</f>
        <v>Deep Blue Metallic</v>
      </c>
      <c r="P1283" s="153" t="str">
        <f>IFERROR(__xludf.DUMMYFUNCTION("""COMPUTED_VALUE"""),"18 inch Aero")</f>
        <v>18 inch Aero</v>
      </c>
      <c r="Q1283" s="152" t="str">
        <f>IFERROR(__xludf.DUMMYFUNCTION("""COMPUTED_VALUE"""),"Black seats")</f>
        <v>Black seats</v>
      </c>
      <c r="R1283" s="149" t="str">
        <f>IFERROR(__xludf.DUMMYFUNCTION("""COMPUTED_VALUE"""),"Autopilot")</f>
        <v>Autopilot</v>
      </c>
      <c r="S1283" s="149"/>
      <c r="T1283" s="145"/>
      <c r="U1283" s="145"/>
      <c r="V1283" s="145"/>
      <c r="W1283" s="136"/>
      <c r="X1283" s="137" t="str">
        <f>IFERROR(__xludf.DUMMYFUNCTION("""COMPUTED_VALUE"""),"Excellent")</f>
        <v>Excellent</v>
      </c>
      <c r="Y1283" s="138" t="str">
        <f>IFERROR(__xludf.DUMMYFUNCTION("""COMPUTED_VALUE"""),"Excellent")</f>
        <v>Excellent</v>
      </c>
      <c r="Z1283" s="138" t="str">
        <f>IFERROR(__xludf.DUMMYFUNCTION("""COMPUTED_VALUE"""),"Excellent")</f>
        <v>Excellent</v>
      </c>
      <c r="AA1283" s="138" t="str">
        <f>IFERROR(__xludf.DUMMYFUNCTION("""COMPUTED_VALUE"""),"Excellent")</f>
        <v>Excellent</v>
      </c>
      <c r="AB1283" s="138" t="str">
        <f>IFERROR(__xludf.DUMMYFUNCTION("""COMPUTED_VALUE"""),"Excellent")</f>
        <v>Excellent</v>
      </c>
      <c r="AC1283" s="139">
        <f>IFERROR(__xludf.DUMMYFUNCTION("""COMPUTED_VALUE"""),0.0)</f>
        <v>0</v>
      </c>
      <c r="AD1283" s="139"/>
      <c r="AE1283" s="139"/>
      <c r="AF1283" s="140"/>
      <c r="AG1283" s="136"/>
      <c r="AH1283" s="157">
        <f>IFERROR(__xludf.DUMMYFUNCTION("""COMPUTED_VALUE"""),43916.30710312499)</f>
        <v>43916.3071</v>
      </c>
      <c r="AI1283" s="138"/>
      <c r="AJ1283" s="138"/>
      <c r="AK1283" s="138"/>
      <c r="AL1283" s="142"/>
    </row>
    <row r="1284" ht="20.25" customHeight="1">
      <c r="A1284" s="155" t="str">
        <f>IFERROR(__xludf.DUMMYFUNCTION("""COMPUTED_VALUE"""),"EagleCoach")</f>
        <v>EagleCoach</v>
      </c>
      <c r="B1284" s="149" t="str">
        <f>IFERROR(__xludf.DUMMYFUNCTION("""COMPUTED_VALUE"""),"Louisville")</f>
        <v>Louisville</v>
      </c>
      <c r="C1284" s="149" t="str">
        <f>IFERROR(__xludf.DUMMYFUNCTION("""COMPUTED_VALUE"""),"KY")</f>
        <v>KY</v>
      </c>
      <c r="D1284" s="149" t="str">
        <f>IFERROR(__xludf.DUMMYFUNCTION("""COMPUTED_VALUE"""),"USA")</f>
        <v>USA</v>
      </c>
      <c r="E1284" s="156">
        <f>IFERROR(__xludf.DUMMYFUNCTION("""COMPUTED_VALUE"""),43882.0)</f>
        <v>43882</v>
      </c>
      <c r="F1284" s="129">
        <f>IFERROR(__xludf.DUMMYFUNCTION("""COMPUTED_VALUE"""),43895.0)</f>
        <v>43895</v>
      </c>
      <c r="G1284" s="154"/>
      <c r="H1284" s="131">
        <f>IFERROR(__xludf.DUMMYFUNCTION("""COMPUTED_VALUE"""),667379.0)</f>
        <v>667379</v>
      </c>
      <c r="I1284" s="132" t="str">
        <f>IFERROR(__xludf.DUMMYFUNCTION("""COMPUTED_VALUE"""),"03/20")</f>
        <v>03/20</v>
      </c>
      <c r="J1284" s="129">
        <f>IFERROR(__xludf.DUMMYFUNCTION("""COMPUTED_VALUE"""),43909.0)</f>
        <v>43909</v>
      </c>
      <c r="K1284" s="133">
        <f>IFERROR(__xludf.DUMMYFUNCTION("""COMPUTED_VALUE"""),13.0)</f>
        <v>13</v>
      </c>
      <c r="L1284" s="133">
        <f>IFERROR(__xludf.DUMMYFUNCTION("""COMPUTED_VALUE"""),14.0)</f>
        <v>14</v>
      </c>
      <c r="M1284" s="133">
        <f>IFERROR(__xludf.DUMMYFUNCTION("""COMPUTED_VALUE"""),27.0)</f>
        <v>27</v>
      </c>
      <c r="N1284" s="152" t="str">
        <f>IFERROR(__xludf.DUMMYFUNCTION("""COMPUTED_VALUE"""),"Model 3 LR AWD")</f>
        <v>Model 3 LR AWD</v>
      </c>
      <c r="O1284" s="152" t="str">
        <f>IFERROR(__xludf.DUMMYFUNCTION("""COMPUTED_VALUE"""),"Pearl White Multi-Coat")</f>
        <v>Pearl White Multi-Coat</v>
      </c>
      <c r="P1284" s="153" t="str">
        <f>IFERROR(__xludf.DUMMYFUNCTION("""COMPUTED_VALUE"""),"19 inch Sport")</f>
        <v>19 inch Sport</v>
      </c>
      <c r="Q1284" s="152" t="str">
        <f>IFERROR(__xludf.DUMMYFUNCTION("""COMPUTED_VALUE"""),"Black seats")</f>
        <v>Black seats</v>
      </c>
      <c r="R1284" s="150" t="str">
        <f>IFERROR(__xludf.DUMMYFUNCTION("""COMPUTED_VALUE"""),"Autopilot")</f>
        <v>Autopilot</v>
      </c>
      <c r="S1284" s="150"/>
      <c r="T1284" s="136"/>
      <c r="U1284" s="136"/>
      <c r="V1284" s="136"/>
      <c r="W1284" s="145"/>
      <c r="X1284" s="137" t="str">
        <f>IFERROR(__xludf.DUMMYFUNCTION("""COMPUTED_VALUE"""),"Excellent")</f>
        <v>Excellent</v>
      </c>
      <c r="Y1284" s="138" t="str">
        <f>IFERROR(__xludf.DUMMYFUNCTION("""COMPUTED_VALUE"""),"Excellent")</f>
        <v>Excellent</v>
      </c>
      <c r="Z1284" s="138" t="str">
        <f>IFERROR(__xludf.DUMMYFUNCTION("""COMPUTED_VALUE"""),"Excellent")</f>
        <v>Excellent</v>
      </c>
      <c r="AA1284" s="138" t="str">
        <f>IFERROR(__xludf.DUMMYFUNCTION("""COMPUTED_VALUE"""),"Poor")</f>
        <v>Poor</v>
      </c>
      <c r="AB1284" s="138" t="str">
        <f>IFERROR(__xludf.DUMMYFUNCTION("""COMPUTED_VALUE"""),"Very Good")</f>
        <v>Very Good</v>
      </c>
      <c r="AC1284" s="139">
        <f>IFERROR(__xludf.DUMMYFUNCTION("""COMPUTED_VALUE"""),0.0)</f>
        <v>0</v>
      </c>
      <c r="AD1284" s="139">
        <f>IFERROR(__xludf.DUMMYFUNCTION("""COMPUTED_VALUE"""),0.0)</f>
        <v>0</v>
      </c>
      <c r="AE1284" s="139">
        <f>IFERROR(__xludf.DUMMYFUNCTION("""COMPUTED_VALUE"""),0.0)</f>
        <v>0</v>
      </c>
      <c r="AF1284" s="140"/>
      <c r="AG1284" s="145" t="str">
        <f>IFERROR(__xludf.DUMMYFUNCTION("""COMPUTED_VALUE"""),"2/24 - Text saying 3-6 weeks for delivery.  3/5 - Changed to 19"" wheels.")</f>
        <v>2/24 - Text saying 3-6 weeks for delivery.  3/5 - Changed to 19" wheels.</v>
      </c>
      <c r="AH1284" s="157">
        <f>IFERROR(__xludf.DUMMYFUNCTION("""COMPUTED_VALUE"""),44024.87160398149)</f>
        <v>44024.8716</v>
      </c>
      <c r="AI1284" s="138"/>
      <c r="AJ1284" s="138"/>
      <c r="AK1284" s="138"/>
      <c r="AL1284" s="142"/>
    </row>
    <row r="1285" ht="20.25" customHeight="1">
      <c r="A1285" s="155" t="str">
        <f>IFERROR(__xludf.DUMMYFUNCTION("""COMPUTED_VALUE"""),"tilt")</f>
        <v>tilt</v>
      </c>
      <c r="B1285" s="149" t="str">
        <f>IFERROR(__xludf.DUMMYFUNCTION("""COMPUTED_VALUE"""),"Kansas City")</f>
        <v>Kansas City</v>
      </c>
      <c r="C1285" s="149" t="str">
        <f>IFERROR(__xludf.DUMMYFUNCTION("""COMPUTED_VALUE"""),"KS")</f>
        <v>KS</v>
      </c>
      <c r="D1285" s="149" t="str">
        <f>IFERROR(__xludf.DUMMYFUNCTION("""COMPUTED_VALUE"""),"USA")</f>
        <v>USA</v>
      </c>
      <c r="E1285" s="156">
        <f>IFERROR(__xludf.DUMMYFUNCTION("""COMPUTED_VALUE"""),43882.0)</f>
        <v>43882</v>
      </c>
      <c r="F1285" s="129">
        <f>IFERROR(__xludf.DUMMYFUNCTION("""COMPUTED_VALUE"""),43895.0)</f>
        <v>43895</v>
      </c>
      <c r="G1285" s="154"/>
      <c r="H1285" s="131">
        <f>IFERROR(__xludf.DUMMYFUNCTION("""COMPUTED_VALUE"""),664955.0)</f>
        <v>664955</v>
      </c>
      <c r="I1285" s="144" t="str">
        <f>IFERROR(__xludf.DUMMYFUNCTION("""COMPUTED_VALUE"""),"03/20")</f>
        <v>03/20</v>
      </c>
      <c r="J1285" s="129">
        <f>IFERROR(__xludf.DUMMYFUNCTION("""COMPUTED_VALUE"""),43907.0)</f>
        <v>43907</v>
      </c>
      <c r="K1285" s="133">
        <f>IFERROR(__xludf.DUMMYFUNCTION("""COMPUTED_VALUE"""),13.0)</f>
        <v>13</v>
      </c>
      <c r="L1285" s="133">
        <f>IFERROR(__xludf.DUMMYFUNCTION("""COMPUTED_VALUE"""),12.0)</f>
        <v>12</v>
      </c>
      <c r="M1285" s="133">
        <f>IFERROR(__xludf.DUMMYFUNCTION("""COMPUTED_VALUE"""),25.0)</f>
        <v>25</v>
      </c>
      <c r="N1285" s="152" t="str">
        <f>IFERROR(__xludf.DUMMYFUNCTION("""COMPUTED_VALUE"""),"Model 3 LR AWD")</f>
        <v>Model 3 LR AWD</v>
      </c>
      <c r="O1285" s="152" t="str">
        <f>IFERROR(__xludf.DUMMYFUNCTION("""COMPUTED_VALUE"""),"Pearl White Multi-Coat")</f>
        <v>Pearl White Multi-Coat</v>
      </c>
      <c r="P1285" s="153" t="str">
        <f>IFERROR(__xludf.DUMMYFUNCTION("""COMPUTED_VALUE"""),"18 inch Aero")</f>
        <v>18 inch Aero</v>
      </c>
      <c r="Q1285" s="152" t="str">
        <f>IFERROR(__xludf.DUMMYFUNCTION("""COMPUTED_VALUE"""),"Black seats")</f>
        <v>Black seats</v>
      </c>
      <c r="R1285" s="149" t="str">
        <f>IFERROR(__xludf.DUMMYFUNCTION("""COMPUTED_VALUE"""),"Autopilot")</f>
        <v>Autopilot</v>
      </c>
      <c r="S1285" s="149"/>
      <c r="T1285" s="145"/>
      <c r="U1285" s="145"/>
      <c r="V1285" s="145"/>
      <c r="W1285" s="145"/>
      <c r="X1285" s="137" t="str">
        <f>IFERROR(__xludf.DUMMYFUNCTION("""COMPUTED_VALUE"""),"Good")</f>
        <v>Good</v>
      </c>
      <c r="Y1285" s="138" t="str">
        <f>IFERROR(__xludf.DUMMYFUNCTION("""COMPUTED_VALUE"""),"Excellent")</f>
        <v>Excellent</v>
      </c>
      <c r="Z1285" s="138" t="str">
        <f>IFERROR(__xludf.DUMMYFUNCTION("""COMPUTED_VALUE"""),"Very Good")</f>
        <v>Very Good</v>
      </c>
      <c r="AA1285" s="138" t="str">
        <f>IFERROR(__xludf.DUMMYFUNCTION("""COMPUTED_VALUE"""),"Fair")</f>
        <v>Fair</v>
      </c>
      <c r="AB1285" s="138" t="str">
        <f>IFERROR(__xludf.DUMMYFUNCTION("""COMPUTED_VALUE"""),"Excellent")</f>
        <v>Excellent</v>
      </c>
      <c r="AC1285" s="139">
        <f>IFERROR(__xludf.DUMMYFUNCTION("""COMPUTED_VALUE"""),0.0)</f>
        <v>0</v>
      </c>
      <c r="AD1285" s="139">
        <f>IFERROR(__xludf.DUMMYFUNCTION("""COMPUTED_VALUE"""),0.0)</f>
        <v>0</v>
      </c>
      <c r="AE1285" s="139">
        <f>IFERROR(__xludf.DUMMYFUNCTION("""COMPUTED_VALUE"""),0.0)</f>
        <v>0</v>
      </c>
      <c r="AF1285" s="140"/>
      <c r="AG1285" s="145" t="str">
        <f>IFERROR(__xludf.DUMMYFUNCTION("""COMPUTED_VALUE"""),"I tweaked a few little things after delivery, but nothing big that would have required a service visit.")</f>
        <v>I tweaked a few little things after delivery, but nothing big that would have required a service visit.</v>
      </c>
      <c r="AH1285" s="157">
        <f>IFERROR(__xludf.DUMMYFUNCTION("""COMPUTED_VALUE"""),43948.57298236111)</f>
        <v>43948.57298</v>
      </c>
      <c r="AI1285" s="138"/>
      <c r="AJ1285" s="138"/>
      <c r="AK1285" s="138"/>
      <c r="AL1285" s="142"/>
    </row>
    <row r="1286" ht="20.25" customHeight="1">
      <c r="A1286" s="155" t="str">
        <f>IFERROR(__xludf.DUMMYFUNCTION("""COMPUTED_VALUE"""),"scottwith1t")</f>
        <v>scottwith1t</v>
      </c>
      <c r="B1286" s="149" t="str">
        <f>IFERROR(__xludf.DUMMYFUNCTION("""COMPUTED_VALUE"""),"Jacksonville")</f>
        <v>Jacksonville</v>
      </c>
      <c r="C1286" s="149" t="str">
        <f>IFERROR(__xludf.DUMMYFUNCTION("""COMPUTED_VALUE"""),"FL")</f>
        <v>FL</v>
      </c>
      <c r="D1286" s="149" t="str">
        <f>IFERROR(__xludf.DUMMYFUNCTION("""COMPUTED_VALUE"""),"USA")</f>
        <v>USA</v>
      </c>
      <c r="E1286" s="156">
        <f>IFERROR(__xludf.DUMMYFUNCTION("""COMPUTED_VALUE"""),43880.0)</f>
        <v>43880</v>
      </c>
      <c r="F1286" s="129">
        <f>IFERROR(__xludf.DUMMYFUNCTION("""COMPUTED_VALUE"""),43888.0)</f>
        <v>43888</v>
      </c>
      <c r="G1286" s="154"/>
      <c r="H1286" s="131">
        <f>IFERROR(__xludf.DUMMYFUNCTION("""COMPUTED_VALUE"""),650485.0)</f>
        <v>650485</v>
      </c>
      <c r="I1286" s="144" t="str">
        <f>IFERROR(__xludf.DUMMYFUNCTION("""COMPUTED_VALUE"""),"02/20")</f>
        <v>02/20</v>
      </c>
      <c r="J1286" s="129">
        <f>IFERROR(__xludf.DUMMYFUNCTION("""COMPUTED_VALUE"""),43904.0)</f>
        <v>43904</v>
      </c>
      <c r="K1286" s="133">
        <f>IFERROR(__xludf.DUMMYFUNCTION("""COMPUTED_VALUE"""),8.0)</f>
        <v>8</v>
      </c>
      <c r="L1286" s="133">
        <f>IFERROR(__xludf.DUMMYFUNCTION("""COMPUTED_VALUE"""),16.0)</f>
        <v>16</v>
      </c>
      <c r="M1286" s="133">
        <f>IFERROR(__xludf.DUMMYFUNCTION("""COMPUTED_VALUE"""),24.0)</f>
        <v>24</v>
      </c>
      <c r="N1286" s="152" t="str">
        <f>IFERROR(__xludf.DUMMYFUNCTION("""COMPUTED_VALUE"""),"Model 3 LR AWD")</f>
        <v>Model 3 LR AWD</v>
      </c>
      <c r="O1286" s="152" t="str">
        <f>IFERROR(__xludf.DUMMYFUNCTION("""COMPUTED_VALUE"""),"Pearl White Multi-Coat")</f>
        <v>Pearl White Multi-Coat</v>
      </c>
      <c r="P1286" s="153" t="str">
        <f>IFERROR(__xludf.DUMMYFUNCTION("""COMPUTED_VALUE"""),"18 inch Aero")</f>
        <v>18 inch Aero</v>
      </c>
      <c r="Q1286" s="152" t="str">
        <f>IFERROR(__xludf.DUMMYFUNCTION("""COMPUTED_VALUE"""),"Black seats")</f>
        <v>Black seats</v>
      </c>
      <c r="R1286" s="149" t="str">
        <f>IFERROR(__xludf.DUMMYFUNCTION("""COMPUTED_VALUE"""),"Autopilot")</f>
        <v>Autopilot</v>
      </c>
      <c r="S1286" s="149"/>
      <c r="T1286" s="145"/>
      <c r="U1286" s="145"/>
      <c r="V1286" s="145"/>
      <c r="W1286" s="145"/>
      <c r="X1286" s="137" t="str">
        <f>IFERROR(__xludf.DUMMYFUNCTION("""COMPUTED_VALUE"""),"Good")</f>
        <v>Good</v>
      </c>
      <c r="Y1286" s="138" t="str">
        <f>IFERROR(__xludf.DUMMYFUNCTION("""COMPUTED_VALUE"""),"Very Good")</f>
        <v>Very Good</v>
      </c>
      <c r="Z1286" s="138" t="str">
        <f>IFERROR(__xludf.DUMMYFUNCTION("""COMPUTED_VALUE"""),"Fair")</f>
        <v>Fair</v>
      </c>
      <c r="AA1286" s="138" t="str">
        <f>IFERROR(__xludf.DUMMYFUNCTION("""COMPUTED_VALUE"""),"Good")</f>
        <v>Good</v>
      </c>
      <c r="AB1286" s="138" t="str">
        <f>IFERROR(__xludf.DUMMYFUNCTION("""COMPUTED_VALUE"""),"Good")</f>
        <v>Good</v>
      </c>
      <c r="AC1286" s="139">
        <f>IFERROR(__xludf.DUMMYFUNCTION("""COMPUTED_VALUE"""),0.0)</f>
        <v>0</v>
      </c>
      <c r="AD1286" s="139">
        <f>IFERROR(__xludf.DUMMYFUNCTION("""COMPUTED_VALUE"""),0.0)</f>
        <v>0</v>
      </c>
      <c r="AE1286" s="139">
        <f>IFERROR(__xludf.DUMMYFUNCTION("""COMPUTED_VALUE"""),0.0)</f>
        <v>0</v>
      </c>
      <c r="AF1286" s="140"/>
      <c r="AG1286" s="136" t="str">
        <f>IFERROR(__xludf.DUMMYFUNCTION("""COMPUTED_VALUE"""),"rear right panel slightly mis-aligned, welded into place so unable to be adjusted. Not a deal breaker, but annoying. Car was washed by Tesla prior to delivery adding significant scratches. Car should not have been washed prior to delivery if they weren't "&amp;"going to wash it properly. ")</f>
        <v>rear right panel slightly mis-aligned, welded into place so unable to be adjusted. Not a deal breaker, but annoying. Car was washed by Tesla prior to delivery adding significant scratches. Car should not have been washed prior to delivery if they weren't going to wash it properly. </v>
      </c>
      <c r="AH1286" s="157">
        <f>IFERROR(__xludf.DUMMYFUNCTION("""COMPUTED_VALUE"""),43923.207757546304)</f>
        <v>43923.20776</v>
      </c>
      <c r="AI1286" s="138"/>
      <c r="AJ1286" s="138"/>
      <c r="AK1286" s="138"/>
      <c r="AL1286" s="142"/>
    </row>
    <row r="1287" ht="20.25" customHeight="1">
      <c r="A1287" s="155" t="str">
        <f>IFERROR(__xludf.DUMMYFUNCTION("""COMPUTED_VALUE"""),"t00shay")</f>
        <v>t00shay</v>
      </c>
      <c r="B1287" s="149" t="str">
        <f>IFERROR(__xludf.DUMMYFUNCTION("""COMPUTED_VALUE"""),"Temecula ")</f>
        <v>Temecula </v>
      </c>
      <c r="C1287" s="149" t="str">
        <f>IFERROR(__xludf.DUMMYFUNCTION("""COMPUTED_VALUE"""),"CA")</f>
        <v>CA</v>
      </c>
      <c r="D1287" s="149" t="str">
        <f>IFERROR(__xludf.DUMMYFUNCTION("""COMPUTED_VALUE"""),"USA")</f>
        <v>USA</v>
      </c>
      <c r="E1287" s="156">
        <f>IFERROR(__xludf.DUMMYFUNCTION("""COMPUTED_VALUE"""),43880.0)</f>
        <v>43880</v>
      </c>
      <c r="F1287" s="129">
        <f>IFERROR(__xludf.DUMMYFUNCTION("""COMPUTED_VALUE"""),43903.0)</f>
        <v>43903</v>
      </c>
      <c r="G1287" s="154"/>
      <c r="H1287" s="131"/>
      <c r="I1287" s="144" t="str">
        <f>IFERROR(__xludf.DUMMYFUNCTION("""COMPUTED_VALUE"""),"03/20")</f>
        <v>03/20</v>
      </c>
      <c r="J1287" s="129">
        <f>IFERROR(__xludf.DUMMYFUNCTION("""COMPUTED_VALUE"""),43906.0)</f>
        <v>43906</v>
      </c>
      <c r="K1287" s="133">
        <f>IFERROR(__xludf.DUMMYFUNCTION("""COMPUTED_VALUE"""),23.0)</f>
        <v>23</v>
      </c>
      <c r="L1287" s="133">
        <f>IFERROR(__xludf.DUMMYFUNCTION("""COMPUTED_VALUE"""),3.0)</f>
        <v>3</v>
      </c>
      <c r="M1287" s="133">
        <f>IFERROR(__xludf.DUMMYFUNCTION("""COMPUTED_VALUE"""),26.0)</f>
        <v>26</v>
      </c>
      <c r="N1287" s="152" t="str">
        <f>IFERROR(__xludf.DUMMYFUNCTION("""COMPUTED_VALUE"""),"Model 3 Performance")</f>
        <v>Model 3 Performance</v>
      </c>
      <c r="O1287" s="152" t="str">
        <f>IFERROR(__xludf.DUMMYFUNCTION("""COMPUTED_VALUE"""),"Pearl White Multi-Coat")</f>
        <v>Pearl White Multi-Coat</v>
      </c>
      <c r="P1287" s="153" t="str">
        <f>IFERROR(__xludf.DUMMYFUNCTION("""COMPUTED_VALUE"""),"20 inch Sport")</f>
        <v>20 inch Sport</v>
      </c>
      <c r="Q1287" s="152" t="str">
        <f>IFERROR(__xludf.DUMMYFUNCTION("""COMPUTED_VALUE"""),"White seats")</f>
        <v>White seats</v>
      </c>
      <c r="R1287" s="149" t="str">
        <f>IFERROR(__xludf.DUMMYFUNCTION("""COMPUTED_VALUE"""),"Autopilot")</f>
        <v>Autopilot</v>
      </c>
      <c r="S1287" s="149"/>
      <c r="T1287" s="145"/>
      <c r="U1287" s="145"/>
      <c r="V1287" s="145"/>
      <c r="W1287" s="145"/>
      <c r="X1287" s="137" t="str">
        <f>IFERROR(__xludf.DUMMYFUNCTION("""COMPUTED_VALUE"""),"Very Good")</f>
        <v>Very Good</v>
      </c>
      <c r="Y1287" s="138" t="str">
        <f>IFERROR(__xludf.DUMMYFUNCTION("""COMPUTED_VALUE"""),"Very Good")</f>
        <v>Very Good</v>
      </c>
      <c r="Z1287" s="138" t="str">
        <f>IFERROR(__xludf.DUMMYFUNCTION("""COMPUTED_VALUE"""),"Very Good")</f>
        <v>Very Good</v>
      </c>
      <c r="AA1287" s="138" t="str">
        <f>IFERROR(__xludf.DUMMYFUNCTION("""COMPUTED_VALUE"""),"Fair")</f>
        <v>Fair</v>
      </c>
      <c r="AB1287" s="138" t="str">
        <f>IFERROR(__xludf.DUMMYFUNCTION("""COMPUTED_VALUE"""),"Fair")</f>
        <v>Fair</v>
      </c>
      <c r="AC1287" s="139"/>
      <c r="AD1287" s="139"/>
      <c r="AE1287" s="139"/>
      <c r="AF1287" s="140"/>
      <c r="AG1287" s="145"/>
      <c r="AH1287" s="157">
        <f>IFERROR(__xludf.DUMMYFUNCTION("""COMPUTED_VALUE"""),43907.56893238425)</f>
        <v>43907.56893</v>
      </c>
      <c r="AI1287" s="138"/>
      <c r="AJ1287" s="138"/>
      <c r="AK1287" s="138"/>
      <c r="AL1287" s="142"/>
    </row>
    <row r="1288" ht="20.25" customHeight="1">
      <c r="A1288" s="155" t="str">
        <f>IFERROR(__xludf.DUMMYFUNCTION("""COMPUTED_VALUE"""),"freethink")</f>
        <v>freethink</v>
      </c>
      <c r="B1288" s="149" t="str">
        <f>IFERROR(__xludf.DUMMYFUNCTION("""COMPUTED_VALUE"""),"Roseville, CA")</f>
        <v>Roseville, CA</v>
      </c>
      <c r="C1288" s="149" t="str">
        <f>IFERROR(__xludf.DUMMYFUNCTION("""COMPUTED_VALUE"""),"CA")</f>
        <v>CA</v>
      </c>
      <c r="D1288" s="149" t="str">
        <f>IFERROR(__xludf.DUMMYFUNCTION("""COMPUTED_VALUE"""),"USA")</f>
        <v>USA</v>
      </c>
      <c r="E1288" s="156">
        <f>IFERROR(__xludf.DUMMYFUNCTION("""COMPUTED_VALUE"""),43879.0)</f>
        <v>43879</v>
      </c>
      <c r="F1288" s="129">
        <f>IFERROR(__xludf.DUMMYFUNCTION("""COMPUTED_VALUE"""),43910.0)</f>
        <v>43910</v>
      </c>
      <c r="G1288" s="154"/>
      <c r="H1288" s="131"/>
      <c r="I1288" s="144"/>
      <c r="J1288" s="129">
        <f>IFERROR(__xludf.DUMMYFUNCTION("""COMPUTED_VALUE"""),43910.0)</f>
        <v>43910</v>
      </c>
      <c r="K1288" s="133">
        <f>IFERROR(__xludf.DUMMYFUNCTION("""COMPUTED_VALUE"""),31.0)</f>
        <v>31</v>
      </c>
      <c r="L1288" s="133">
        <f>IFERROR(__xludf.DUMMYFUNCTION("""COMPUTED_VALUE"""),0.0)</f>
        <v>0</v>
      </c>
      <c r="M1288" s="133">
        <f>IFERROR(__xludf.DUMMYFUNCTION("""COMPUTED_VALUE"""),31.0)</f>
        <v>31</v>
      </c>
      <c r="N1288" s="152" t="str">
        <f>IFERROR(__xludf.DUMMYFUNCTION("""COMPUTED_VALUE"""),"Model 3 LR AWD")</f>
        <v>Model 3 LR AWD</v>
      </c>
      <c r="O1288" s="152" t="str">
        <f>IFERROR(__xludf.DUMMYFUNCTION("""COMPUTED_VALUE"""),"Midnight Silver Metallic")</f>
        <v>Midnight Silver Metallic</v>
      </c>
      <c r="P1288" s="153" t="str">
        <f>IFERROR(__xludf.DUMMYFUNCTION("""COMPUTED_VALUE"""),"18 inch Aero")</f>
        <v>18 inch Aero</v>
      </c>
      <c r="Q1288" s="152" t="str">
        <f>IFERROR(__xludf.DUMMYFUNCTION("""COMPUTED_VALUE"""),"Black seats")</f>
        <v>Black seats</v>
      </c>
      <c r="R1288" s="149" t="str">
        <f>IFERROR(__xludf.DUMMYFUNCTION("""COMPUTED_VALUE"""),"Autopilot")</f>
        <v>Autopilot</v>
      </c>
      <c r="S1288" s="149"/>
      <c r="T1288" s="145"/>
      <c r="U1288" s="145"/>
      <c r="V1288" s="145"/>
      <c r="W1288" s="145"/>
      <c r="X1288" s="137" t="str">
        <f>IFERROR(__xludf.DUMMYFUNCTION("""COMPUTED_VALUE"""),"Excellent")</f>
        <v>Excellent</v>
      </c>
      <c r="Y1288" s="138" t="str">
        <f>IFERROR(__xludf.DUMMYFUNCTION("""COMPUTED_VALUE"""),"Excellent")</f>
        <v>Excellent</v>
      </c>
      <c r="Z1288" s="138" t="str">
        <f>IFERROR(__xludf.DUMMYFUNCTION("""COMPUTED_VALUE"""),"Excellent")</f>
        <v>Excellent</v>
      </c>
      <c r="AA1288" s="138" t="str">
        <f>IFERROR(__xludf.DUMMYFUNCTION("""COMPUTED_VALUE"""),"Excellent")</f>
        <v>Excellent</v>
      </c>
      <c r="AB1288" s="138" t="str">
        <f>IFERROR(__xludf.DUMMYFUNCTION("""COMPUTED_VALUE"""),"Excellent")</f>
        <v>Excellent</v>
      </c>
      <c r="AC1288" s="139"/>
      <c r="AD1288" s="139"/>
      <c r="AE1288" s="139"/>
      <c r="AF1288" s="140"/>
      <c r="AG1288" s="145"/>
      <c r="AH1288" s="157">
        <f>IFERROR(__xludf.DUMMYFUNCTION("""COMPUTED_VALUE"""),43911.70218679398)</f>
        <v>43911.70219</v>
      </c>
      <c r="AI1288" s="138"/>
      <c r="AJ1288" s="138"/>
      <c r="AK1288" s="138"/>
      <c r="AL1288" s="142"/>
    </row>
    <row r="1289" ht="20.25" customHeight="1">
      <c r="A1289" s="155" t="str">
        <f>IFERROR(__xludf.DUMMYFUNCTION("""COMPUTED_VALUE"""),"Birdsquared")</f>
        <v>Birdsquared</v>
      </c>
      <c r="B1289" s="149" t="str">
        <f>IFERROR(__xludf.DUMMYFUNCTION("""COMPUTED_VALUE"""),"Vancouver")</f>
        <v>Vancouver</v>
      </c>
      <c r="C1289" s="149" t="str">
        <f>IFERROR(__xludf.DUMMYFUNCTION("""COMPUTED_VALUE"""),"BC")</f>
        <v>BC</v>
      </c>
      <c r="D1289" s="149" t="str">
        <f>IFERROR(__xludf.DUMMYFUNCTION("""COMPUTED_VALUE"""),"Canada")</f>
        <v>Canada</v>
      </c>
      <c r="E1289" s="156">
        <f>IFERROR(__xludf.DUMMYFUNCTION("""COMPUTED_VALUE"""),43878.0)</f>
        <v>43878</v>
      </c>
      <c r="F1289" s="129">
        <f>IFERROR(__xludf.DUMMYFUNCTION("""COMPUTED_VALUE"""),43895.0)</f>
        <v>43895</v>
      </c>
      <c r="G1289" s="154"/>
      <c r="H1289" s="131">
        <f>IFERROR(__xludf.DUMMYFUNCTION("""COMPUTED_VALUE"""),716335.0)</f>
        <v>716335</v>
      </c>
      <c r="I1289" s="144" t="str">
        <f>IFERROR(__xludf.DUMMYFUNCTION("""COMPUTED_VALUE"""),"03/20")</f>
        <v>03/20</v>
      </c>
      <c r="J1289" s="129">
        <f>IFERROR(__xludf.DUMMYFUNCTION("""COMPUTED_VALUE"""),43899.0)</f>
        <v>43899</v>
      </c>
      <c r="K1289" s="133">
        <f>IFERROR(__xludf.DUMMYFUNCTION("""COMPUTED_VALUE"""),17.0)</f>
        <v>17</v>
      </c>
      <c r="L1289" s="133">
        <f>IFERROR(__xludf.DUMMYFUNCTION("""COMPUTED_VALUE"""),4.0)</f>
        <v>4</v>
      </c>
      <c r="M1289" s="133">
        <f>IFERROR(__xludf.DUMMYFUNCTION("""COMPUTED_VALUE"""),21.0)</f>
        <v>21</v>
      </c>
      <c r="N1289" s="152" t="str">
        <f>IFERROR(__xludf.DUMMYFUNCTION("""COMPUTED_VALUE"""),"Model 3 LR AWD")</f>
        <v>Model 3 LR AWD</v>
      </c>
      <c r="O1289" s="152" t="str">
        <f>IFERROR(__xludf.DUMMYFUNCTION("""COMPUTED_VALUE"""),"Midnight Silver Metallic")</f>
        <v>Midnight Silver Metallic</v>
      </c>
      <c r="P1289" s="153" t="str">
        <f>IFERROR(__xludf.DUMMYFUNCTION("""COMPUTED_VALUE"""),"18 inch Aero")</f>
        <v>18 inch Aero</v>
      </c>
      <c r="Q1289" s="152" t="str">
        <f>IFERROR(__xludf.DUMMYFUNCTION("""COMPUTED_VALUE"""),"Black seats")</f>
        <v>Black seats</v>
      </c>
      <c r="R1289" s="149" t="str">
        <f>IFERROR(__xludf.DUMMYFUNCTION("""COMPUTED_VALUE"""),"Autopilot")</f>
        <v>Autopilot</v>
      </c>
      <c r="S1289" s="149"/>
      <c r="T1289" s="145"/>
      <c r="U1289" s="145"/>
      <c r="V1289" s="145"/>
      <c r="W1289" s="136"/>
      <c r="X1289" s="137" t="str">
        <f>IFERROR(__xludf.DUMMYFUNCTION("""COMPUTED_VALUE"""),"Excellent")</f>
        <v>Excellent</v>
      </c>
      <c r="Y1289" s="138" t="str">
        <f>IFERROR(__xludf.DUMMYFUNCTION("""COMPUTED_VALUE"""),"Excellent")</f>
        <v>Excellent</v>
      </c>
      <c r="Z1289" s="138" t="str">
        <f>IFERROR(__xludf.DUMMYFUNCTION("""COMPUTED_VALUE"""),"Excellent")</f>
        <v>Excellent</v>
      </c>
      <c r="AA1289" s="138" t="str">
        <f>IFERROR(__xludf.DUMMYFUNCTION("""COMPUTED_VALUE"""),"Fair")</f>
        <v>Fair</v>
      </c>
      <c r="AB1289" s="138" t="str">
        <f>IFERROR(__xludf.DUMMYFUNCTION("""COMPUTED_VALUE"""),"Very Good")</f>
        <v>Very Good</v>
      </c>
      <c r="AC1289" s="139">
        <f>IFERROR(__xludf.DUMMYFUNCTION("""COMPUTED_VALUE"""),1.0)</f>
        <v>1</v>
      </c>
      <c r="AD1289" s="139">
        <f>IFERROR(__xludf.DUMMYFUNCTION("""COMPUTED_VALUE"""),1.0)</f>
        <v>1</v>
      </c>
      <c r="AE1289" s="139">
        <f>IFERROR(__xludf.DUMMYFUNCTION("""COMPUTED_VALUE"""),0.0)</f>
        <v>0</v>
      </c>
      <c r="AF1289" s="140"/>
      <c r="AG1289" s="136" t="str">
        <f>IFERROR(__xludf.DUMMYFUNCTION("""COMPUTED_VALUE"""),"The driver's side windshield wiper needed a 5 minute adjustment to stop hitting the A pillar.")</f>
        <v>The driver's side windshield wiper needed a 5 minute adjustment to stop hitting the A pillar.</v>
      </c>
      <c r="AH1289" s="157">
        <f>IFERROR(__xludf.DUMMYFUNCTION("""COMPUTED_VALUE"""),43922.792315729166)</f>
        <v>43922.79232</v>
      </c>
      <c r="AI1289" s="138"/>
      <c r="AJ1289" s="138"/>
      <c r="AK1289" s="138"/>
      <c r="AL1289" s="142"/>
    </row>
    <row r="1290" ht="20.25" customHeight="1">
      <c r="A1290" s="155" t="str">
        <f>IFERROR(__xludf.DUMMYFUNCTION("""COMPUTED_VALUE"""),"IslandMan")</f>
        <v>IslandMan</v>
      </c>
      <c r="B1290" s="149" t="str">
        <f>IFERROR(__xludf.DUMMYFUNCTION("""COMPUTED_VALUE"""),"Seattle")</f>
        <v>Seattle</v>
      </c>
      <c r="C1290" s="149" t="str">
        <f>IFERROR(__xludf.DUMMYFUNCTION("""COMPUTED_VALUE"""),"WA")</f>
        <v>WA</v>
      </c>
      <c r="D1290" s="149" t="str">
        <f>IFERROR(__xludf.DUMMYFUNCTION("""COMPUTED_VALUE"""),"USA")</f>
        <v>USA</v>
      </c>
      <c r="E1290" s="156">
        <f>IFERROR(__xludf.DUMMYFUNCTION("""COMPUTED_VALUE"""),43878.0)</f>
        <v>43878</v>
      </c>
      <c r="F1290" s="129">
        <f>IFERROR(__xludf.DUMMYFUNCTION("""COMPUTED_VALUE"""),43878.0)</f>
        <v>43878</v>
      </c>
      <c r="G1290" s="154"/>
      <c r="H1290" s="131">
        <f>IFERROR(__xludf.DUMMYFUNCTION("""COMPUTED_VALUE"""),632594.0)</f>
        <v>632594</v>
      </c>
      <c r="I1290" s="144" t="str">
        <f>IFERROR(__xludf.DUMMYFUNCTION("""COMPUTED_VALUE"""),"12/19")</f>
        <v>12/19</v>
      </c>
      <c r="J1290" s="129">
        <f>IFERROR(__xludf.DUMMYFUNCTION("""COMPUTED_VALUE"""),43882.0)</f>
        <v>43882</v>
      </c>
      <c r="K1290" s="133">
        <f>IFERROR(__xludf.DUMMYFUNCTION("""COMPUTED_VALUE"""),0.0)</f>
        <v>0</v>
      </c>
      <c r="L1290" s="133">
        <f>IFERROR(__xludf.DUMMYFUNCTION("""COMPUTED_VALUE"""),4.0)</f>
        <v>4</v>
      </c>
      <c r="M1290" s="133">
        <f>IFERROR(__xludf.DUMMYFUNCTION("""COMPUTED_VALUE"""),4.0)</f>
        <v>4</v>
      </c>
      <c r="N1290" s="152" t="str">
        <f>IFERROR(__xludf.DUMMYFUNCTION("""COMPUTED_VALUE"""),"Model 3 SR+")</f>
        <v>Model 3 SR+</v>
      </c>
      <c r="O1290" s="152" t="str">
        <f>IFERROR(__xludf.DUMMYFUNCTION("""COMPUTED_VALUE"""),"Pearl White Multi-Coat")</f>
        <v>Pearl White Multi-Coat</v>
      </c>
      <c r="P1290" s="153" t="str">
        <f>IFERROR(__xludf.DUMMYFUNCTION("""COMPUTED_VALUE"""),"18 inch Aero")</f>
        <v>18 inch Aero</v>
      </c>
      <c r="Q1290" s="152" t="str">
        <f>IFERROR(__xludf.DUMMYFUNCTION("""COMPUTED_VALUE"""),"Black seats")</f>
        <v>Black seats</v>
      </c>
      <c r="R1290" s="149" t="str">
        <f>IFERROR(__xludf.DUMMYFUNCTION("""COMPUTED_VALUE"""),"Autopilot")</f>
        <v>Autopilot</v>
      </c>
      <c r="S1290" s="149"/>
      <c r="T1290" s="145"/>
      <c r="U1290" s="145"/>
      <c r="V1290" s="145"/>
      <c r="W1290" s="145"/>
      <c r="X1290" s="137" t="str">
        <f>IFERROR(__xludf.DUMMYFUNCTION("""COMPUTED_VALUE"""),"Excellent")</f>
        <v>Excellent</v>
      </c>
      <c r="Y1290" s="138" t="str">
        <f>IFERROR(__xludf.DUMMYFUNCTION("""COMPUTED_VALUE"""),"Excellent")</f>
        <v>Excellent</v>
      </c>
      <c r="Z1290" s="138" t="str">
        <f>IFERROR(__xludf.DUMMYFUNCTION("""COMPUTED_VALUE"""),"Excellent")</f>
        <v>Excellent</v>
      </c>
      <c r="AA1290" s="138" t="str">
        <f>IFERROR(__xludf.DUMMYFUNCTION("""COMPUTED_VALUE"""),"Excellent")</f>
        <v>Excellent</v>
      </c>
      <c r="AB1290" s="138" t="str">
        <f>IFERROR(__xludf.DUMMYFUNCTION("""COMPUTED_VALUE"""),"Excellent")</f>
        <v>Excellent</v>
      </c>
      <c r="AC1290" s="139">
        <f>IFERROR(__xludf.DUMMYFUNCTION("""COMPUTED_VALUE"""),0.0)</f>
        <v>0</v>
      </c>
      <c r="AD1290" s="139">
        <f>IFERROR(__xludf.DUMMYFUNCTION("""COMPUTED_VALUE"""),0.0)</f>
        <v>0</v>
      </c>
      <c r="AE1290" s="139">
        <f>IFERROR(__xludf.DUMMYFUNCTION("""COMPUTED_VALUE"""),0.0)</f>
        <v>0</v>
      </c>
      <c r="AF1290" s="140"/>
      <c r="AG1290" s="145"/>
      <c r="AH1290" s="157">
        <f>IFERROR(__xludf.DUMMYFUNCTION("""COMPUTED_VALUE"""),43883.81061931713)</f>
        <v>43883.81062</v>
      </c>
      <c r="AI1290" s="138"/>
      <c r="AJ1290" s="138"/>
      <c r="AK1290" s="138"/>
      <c r="AL1290" s="142"/>
    </row>
    <row r="1291" ht="20.25" customHeight="1">
      <c r="A1291" s="155" t="str">
        <f>IFERROR(__xludf.DUMMYFUNCTION("""COMPUTED_VALUE"""),"Kev4E")</f>
        <v>Kev4E</v>
      </c>
      <c r="B1291" s="150" t="str">
        <f>IFERROR(__xludf.DUMMYFUNCTION("""COMPUTED_VALUE"""),"Hartford")</f>
        <v>Hartford</v>
      </c>
      <c r="C1291" s="150" t="str">
        <f>IFERROR(__xludf.DUMMYFUNCTION("""COMPUTED_VALUE"""),"CT")</f>
        <v>CT</v>
      </c>
      <c r="D1291" s="150" t="str">
        <f>IFERROR(__xludf.DUMMYFUNCTION("""COMPUTED_VALUE"""),"USA")</f>
        <v>USA</v>
      </c>
      <c r="E1291" s="156">
        <f>IFERROR(__xludf.DUMMYFUNCTION("""COMPUTED_VALUE"""),43878.0)</f>
        <v>43878</v>
      </c>
      <c r="F1291" s="129">
        <f>IFERROR(__xludf.DUMMYFUNCTION("""COMPUTED_VALUE"""),43886.0)</f>
        <v>43886</v>
      </c>
      <c r="G1291" s="154"/>
      <c r="H1291" s="131">
        <f>IFERROR(__xludf.DUMMYFUNCTION("""COMPUTED_VALUE"""),666455.0)</f>
        <v>666455</v>
      </c>
      <c r="I1291" s="132" t="str">
        <f>IFERROR(__xludf.DUMMYFUNCTION("""COMPUTED_VALUE"""),"02/20")</f>
        <v>02/20</v>
      </c>
      <c r="J1291" s="129">
        <f>IFERROR(__xludf.DUMMYFUNCTION("""COMPUTED_VALUE"""),43902.0)</f>
        <v>43902</v>
      </c>
      <c r="K1291" s="133">
        <f>IFERROR(__xludf.DUMMYFUNCTION("""COMPUTED_VALUE"""),8.0)</f>
        <v>8</v>
      </c>
      <c r="L1291" s="133">
        <f>IFERROR(__xludf.DUMMYFUNCTION("""COMPUTED_VALUE"""),16.0)</f>
        <v>16</v>
      </c>
      <c r="M1291" s="133">
        <f>IFERROR(__xludf.DUMMYFUNCTION("""COMPUTED_VALUE"""),24.0)</f>
        <v>24</v>
      </c>
      <c r="N1291" s="152" t="str">
        <f>IFERROR(__xludf.DUMMYFUNCTION("""COMPUTED_VALUE"""),"Model 3 LR AWD")</f>
        <v>Model 3 LR AWD</v>
      </c>
      <c r="O1291" s="152" t="str">
        <f>IFERROR(__xludf.DUMMYFUNCTION("""COMPUTED_VALUE"""),"Midnight Silver Metallic")</f>
        <v>Midnight Silver Metallic</v>
      </c>
      <c r="P1291" s="153" t="str">
        <f>IFERROR(__xludf.DUMMYFUNCTION("""COMPUTED_VALUE"""),"19 inch Sport")</f>
        <v>19 inch Sport</v>
      </c>
      <c r="Q1291" s="152" t="str">
        <f>IFERROR(__xludf.DUMMYFUNCTION("""COMPUTED_VALUE"""),"Black seats")</f>
        <v>Black seats</v>
      </c>
      <c r="R1291" s="150" t="str">
        <f>IFERROR(__xludf.DUMMYFUNCTION("""COMPUTED_VALUE"""),"Full Self-Driving")</f>
        <v>Full Self-Driving</v>
      </c>
      <c r="S1291" s="150"/>
      <c r="T1291" s="136"/>
      <c r="U1291" s="136"/>
      <c r="V1291" s="136"/>
      <c r="W1291" s="136"/>
      <c r="X1291" s="137" t="str">
        <f>IFERROR(__xludf.DUMMYFUNCTION("""COMPUTED_VALUE"""),"Excellent")</f>
        <v>Excellent</v>
      </c>
      <c r="Y1291" s="138" t="str">
        <f>IFERROR(__xludf.DUMMYFUNCTION("""COMPUTED_VALUE"""),"Excellent")</f>
        <v>Excellent</v>
      </c>
      <c r="Z1291" s="138" t="str">
        <f>IFERROR(__xludf.DUMMYFUNCTION("""COMPUTED_VALUE"""),"Good")</f>
        <v>Good</v>
      </c>
      <c r="AA1291" s="138" t="str">
        <f>IFERROR(__xludf.DUMMYFUNCTION("""COMPUTED_VALUE"""),"Fair")</f>
        <v>Fair</v>
      </c>
      <c r="AB1291" s="138" t="str">
        <f>IFERROR(__xludf.DUMMYFUNCTION("""COMPUTED_VALUE"""),"Excellent")</f>
        <v>Excellent</v>
      </c>
      <c r="AC1291" s="139"/>
      <c r="AD1291" s="139"/>
      <c r="AE1291" s="139"/>
      <c r="AF1291" s="140"/>
      <c r="AG1291" s="136" t="str">
        <f>IFERROR(__xludf.DUMMYFUNCTION("""COMPUTED_VALUE"""),"Car is amazing")</f>
        <v>Car is amazing</v>
      </c>
      <c r="AH1291" s="157">
        <f>IFERROR(__xludf.DUMMYFUNCTION("""COMPUTED_VALUE"""),43902.84451113426)</f>
        <v>43902.84451</v>
      </c>
      <c r="AI1291" s="138"/>
      <c r="AJ1291" s="138"/>
      <c r="AK1291" s="138"/>
      <c r="AL1291" s="142"/>
    </row>
    <row r="1292" ht="20.25" customHeight="1">
      <c r="A1292" s="155" t="str">
        <f>IFERROR(__xludf.DUMMYFUNCTION("""COMPUTED_VALUE"""),"csto7")</f>
        <v>csto7</v>
      </c>
      <c r="B1292" s="149" t="str">
        <f>IFERROR(__xludf.DUMMYFUNCTION("""COMPUTED_VALUE"""),"Seattle")</f>
        <v>Seattle</v>
      </c>
      <c r="C1292" s="149" t="str">
        <f>IFERROR(__xludf.DUMMYFUNCTION("""COMPUTED_VALUE"""),"WA")</f>
        <v>WA</v>
      </c>
      <c r="D1292" s="149" t="str">
        <f>IFERROR(__xludf.DUMMYFUNCTION("""COMPUTED_VALUE"""),"USA")</f>
        <v>USA</v>
      </c>
      <c r="E1292" s="156">
        <f>IFERROR(__xludf.DUMMYFUNCTION("""COMPUTED_VALUE"""),43877.0)</f>
        <v>43877</v>
      </c>
      <c r="F1292" s="129">
        <f>IFERROR(__xludf.DUMMYFUNCTION("""COMPUTED_VALUE"""),43903.0)</f>
        <v>43903</v>
      </c>
      <c r="G1292" s="154"/>
      <c r="H1292" s="131"/>
      <c r="I1292" s="144" t="str">
        <f>IFERROR(__xludf.DUMMYFUNCTION("""COMPUTED_VALUE"""),"03/20")</f>
        <v>03/20</v>
      </c>
      <c r="J1292" s="129">
        <f>IFERROR(__xludf.DUMMYFUNCTION("""COMPUTED_VALUE"""),43908.0)</f>
        <v>43908</v>
      </c>
      <c r="K1292" s="133">
        <f>IFERROR(__xludf.DUMMYFUNCTION("""COMPUTED_VALUE"""),26.0)</f>
        <v>26</v>
      </c>
      <c r="L1292" s="133">
        <f>IFERROR(__xludf.DUMMYFUNCTION("""COMPUTED_VALUE"""),5.0)</f>
        <v>5</v>
      </c>
      <c r="M1292" s="133">
        <f>IFERROR(__xludf.DUMMYFUNCTION("""COMPUTED_VALUE"""),31.0)</f>
        <v>31</v>
      </c>
      <c r="N1292" s="152" t="str">
        <f>IFERROR(__xludf.DUMMYFUNCTION("""COMPUTED_VALUE"""),"Model 3 SR+")</f>
        <v>Model 3 SR+</v>
      </c>
      <c r="O1292" s="152" t="str">
        <f>IFERROR(__xludf.DUMMYFUNCTION("""COMPUTED_VALUE"""),"Midnight Silver Metallic")</f>
        <v>Midnight Silver Metallic</v>
      </c>
      <c r="P1292" s="153" t="str">
        <f>IFERROR(__xludf.DUMMYFUNCTION("""COMPUTED_VALUE"""),"18 inch Aero")</f>
        <v>18 inch Aero</v>
      </c>
      <c r="Q1292" s="152" t="str">
        <f>IFERROR(__xludf.DUMMYFUNCTION("""COMPUTED_VALUE"""),"Black seats")</f>
        <v>Black seats</v>
      </c>
      <c r="R1292" s="149" t="str">
        <f>IFERROR(__xludf.DUMMYFUNCTION("""COMPUTED_VALUE"""),"Autopilot")</f>
        <v>Autopilot</v>
      </c>
      <c r="S1292" s="149"/>
      <c r="T1292" s="145"/>
      <c r="U1292" s="145"/>
      <c r="V1292" s="145"/>
      <c r="W1292" s="145"/>
      <c r="X1292" s="137" t="str">
        <f>IFERROR(__xludf.DUMMYFUNCTION("""COMPUTED_VALUE"""),"Excellent")</f>
        <v>Excellent</v>
      </c>
      <c r="Y1292" s="138" t="str">
        <f>IFERROR(__xludf.DUMMYFUNCTION("""COMPUTED_VALUE"""),"Good")</f>
        <v>Good</v>
      </c>
      <c r="Z1292" s="138" t="str">
        <f>IFERROR(__xludf.DUMMYFUNCTION("""COMPUTED_VALUE"""),"Fair")</f>
        <v>Fair</v>
      </c>
      <c r="AA1292" s="138" t="str">
        <f>IFERROR(__xludf.DUMMYFUNCTION("""COMPUTED_VALUE"""),"Good")</f>
        <v>Good</v>
      </c>
      <c r="AB1292" s="138" t="str">
        <f>IFERROR(__xludf.DUMMYFUNCTION("""COMPUTED_VALUE"""),"Fair")</f>
        <v>Fair</v>
      </c>
      <c r="AC1292" s="139">
        <f>IFERROR(__xludf.DUMMYFUNCTION("""COMPUTED_VALUE"""),9.0)</f>
        <v>9</v>
      </c>
      <c r="AD1292" s="139">
        <f>IFERROR(__xludf.DUMMYFUNCTION("""COMPUTED_VALUE"""),4.0)</f>
        <v>4</v>
      </c>
      <c r="AE1292" s="139">
        <f>IFERROR(__xludf.DUMMYFUNCTION("""COMPUTED_VALUE"""),1.0)</f>
        <v>1</v>
      </c>
      <c r="AF1292" s="140"/>
      <c r="AG1292" s="145" t="str">
        <f>IFERROR(__xludf.DUMMYFUNCTION("""COMPUTED_VALUE"""),"front lip damage not repaired. extra material on side mirror install, paint defects, loose rubber trim, stained chrome, scratches")</f>
        <v>front lip damage not repaired. extra material on side mirror install, paint defects, loose rubber trim, stained chrome, scratches</v>
      </c>
      <c r="AH1292" s="157">
        <f>IFERROR(__xludf.DUMMYFUNCTION("""COMPUTED_VALUE"""),44032.411570370365)</f>
        <v>44032.41157</v>
      </c>
      <c r="AI1292" s="138"/>
      <c r="AJ1292" s="138"/>
      <c r="AK1292" s="138"/>
      <c r="AL1292" s="142"/>
    </row>
    <row r="1293" ht="20.25" customHeight="1">
      <c r="A1293" s="155" t="str">
        <f>IFERROR(__xludf.DUMMYFUNCTION("""COMPUTED_VALUE"""),"Newbl")</f>
        <v>Newbl</v>
      </c>
      <c r="B1293" s="149" t="str">
        <f>IFERROR(__xludf.DUMMYFUNCTION("""COMPUTED_VALUE"""),"Vancouver")</f>
        <v>Vancouver</v>
      </c>
      <c r="C1293" s="149" t="str">
        <f>IFERROR(__xludf.DUMMYFUNCTION("""COMPUTED_VALUE"""),"BC")</f>
        <v>BC</v>
      </c>
      <c r="D1293" s="149" t="str">
        <f>IFERROR(__xludf.DUMMYFUNCTION("""COMPUTED_VALUE"""),"Canada")</f>
        <v>Canada</v>
      </c>
      <c r="E1293" s="156">
        <f>IFERROR(__xludf.DUMMYFUNCTION("""COMPUTED_VALUE"""),43877.0)</f>
        <v>43877</v>
      </c>
      <c r="F1293" s="129">
        <f>IFERROR(__xludf.DUMMYFUNCTION("""COMPUTED_VALUE"""),43908.0)</f>
        <v>43908</v>
      </c>
      <c r="G1293" s="154"/>
      <c r="H1293" s="131">
        <f>IFERROR(__xludf.DUMMYFUNCTION("""COMPUTED_VALUE"""),718941.0)</f>
        <v>718941</v>
      </c>
      <c r="I1293" s="144" t="str">
        <f>IFERROR(__xludf.DUMMYFUNCTION("""COMPUTED_VALUE"""),"03/20")</f>
        <v>03/20</v>
      </c>
      <c r="J1293" s="129">
        <f>IFERROR(__xludf.DUMMYFUNCTION("""COMPUTED_VALUE"""),43911.0)</f>
        <v>43911</v>
      </c>
      <c r="K1293" s="133">
        <f>IFERROR(__xludf.DUMMYFUNCTION("""COMPUTED_VALUE"""),31.0)</f>
        <v>31</v>
      </c>
      <c r="L1293" s="133">
        <f>IFERROR(__xludf.DUMMYFUNCTION("""COMPUTED_VALUE"""),3.0)</f>
        <v>3</v>
      </c>
      <c r="M1293" s="133">
        <f>IFERROR(__xludf.DUMMYFUNCTION("""COMPUTED_VALUE"""),34.0)</f>
        <v>34</v>
      </c>
      <c r="N1293" s="152" t="str">
        <f>IFERROR(__xludf.DUMMYFUNCTION("""COMPUTED_VALUE"""),"Model 3 SR+")</f>
        <v>Model 3 SR+</v>
      </c>
      <c r="O1293" s="152" t="str">
        <f>IFERROR(__xludf.DUMMYFUNCTION("""COMPUTED_VALUE"""),"Midnight Silver Metallic")</f>
        <v>Midnight Silver Metallic</v>
      </c>
      <c r="P1293" s="153" t="str">
        <f>IFERROR(__xludf.DUMMYFUNCTION("""COMPUTED_VALUE"""),"18 inch Aero")</f>
        <v>18 inch Aero</v>
      </c>
      <c r="Q1293" s="152" t="str">
        <f>IFERROR(__xludf.DUMMYFUNCTION("""COMPUTED_VALUE"""),"Black seats")</f>
        <v>Black seats</v>
      </c>
      <c r="R1293" s="149" t="str">
        <f>IFERROR(__xludf.DUMMYFUNCTION("""COMPUTED_VALUE"""),"Autopilot")</f>
        <v>Autopilot</v>
      </c>
      <c r="S1293" s="149"/>
      <c r="T1293" s="145"/>
      <c r="U1293" s="145"/>
      <c r="V1293" s="145"/>
      <c r="W1293" s="136"/>
      <c r="X1293" s="137" t="str">
        <f>IFERROR(__xludf.DUMMYFUNCTION("""COMPUTED_VALUE"""),"Very Good")</f>
        <v>Very Good</v>
      </c>
      <c r="Y1293" s="138" t="str">
        <f>IFERROR(__xludf.DUMMYFUNCTION("""COMPUTED_VALUE"""),"Excellent")</f>
        <v>Excellent</v>
      </c>
      <c r="Z1293" s="138" t="str">
        <f>IFERROR(__xludf.DUMMYFUNCTION("""COMPUTED_VALUE"""),"Excellent")</f>
        <v>Excellent</v>
      </c>
      <c r="AA1293" s="138" t="str">
        <f>IFERROR(__xludf.DUMMYFUNCTION("""COMPUTED_VALUE"""),"Excellent")</f>
        <v>Excellent</v>
      </c>
      <c r="AB1293" s="138" t="str">
        <f>IFERROR(__xludf.DUMMYFUNCTION("""COMPUTED_VALUE"""),"Very Good")</f>
        <v>Very Good</v>
      </c>
      <c r="AC1293" s="139"/>
      <c r="AD1293" s="139"/>
      <c r="AE1293" s="139"/>
      <c r="AF1293" s="140"/>
      <c r="AG1293" s="136" t="str">
        <f>IFERROR(__xludf.DUMMYFUNCTION("""COMPUTED_VALUE"""),"Was matched with a cancelled order inventory car.  May not have gotten one otherwise, as the factory line is apparently shut down due to Covid-19.")</f>
        <v>Was matched with a cancelled order inventory car.  May not have gotten one otherwise, as the factory line is apparently shut down due to Covid-19.</v>
      </c>
      <c r="AH1293" s="157">
        <f>IFERROR(__xludf.DUMMYFUNCTION("""COMPUTED_VALUE"""),43920.61223128472)</f>
        <v>43920.61223</v>
      </c>
      <c r="AI1293" s="138"/>
      <c r="AJ1293" s="138"/>
      <c r="AK1293" s="138"/>
      <c r="AL1293" s="142"/>
    </row>
    <row r="1294" ht="20.25" customHeight="1">
      <c r="A1294" s="155" t="str">
        <f>IFERROR(__xludf.DUMMYFUNCTION("""COMPUTED_VALUE"""),"Tremaine")</f>
        <v>Tremaine</v>
      </c>
      <c r="B1294" s="149" t="str">
        <f>IFERROR(__xludf.DUMMYFUNCTION("""COMPUTED_VALUE"""),"Novato")</f>
        <v>Novato</v>
      </c>
      <c r="C1294" s="149" t="str">
        <f>IFERROR(__xludf.DUMMYFUNCTION("""COMPUTED_VALUE"""),"CA")</f>
        <v>CA</v>
      </c>
      <c r="D1294" s="149" t="str">
        <f>IFERROR(__xludf.DUMMYFUNCTION("""COMPUTED_VALUE"""),"USA")</f>
        <v>USA</v>
      </c>
      <c r="E1294" s="156">
        <f>IFERROR(__xludf.DUMMYFUNCTION("""COMPUTED_VALUE"""),43877.0)</f>
        <v>43877</v>
      </c>
      <c r="F1294" s="129">
        <f>IFERROR(__xludf.DUMMYFUNCTION("""COMPUTED_VALUE"""),43911.0)</f>
        <v>43911</v>
      </c>
      <c r="G1294" s="154"/>
      <c r="H1294" s="131">
        <f>IFERROR(__xludf.DUMMYFUNCTION("""COMPUTED_VALUE"""),661179.0)</f>
        <v>661179</v>
      </c>
      <c r="I1294" s="144" t="str">
        <f>IFERROR(__xludf.DUMMYFUNCTION("""COMPUTED_VALUE"""),"03/20")</f>
        <v>03/20</v>
      </c>
      <c r="J1294" s="129">
        <f>IFERROR(__xludf.DUMMYFUNCTION("""COMPUTED_VALUE"""),43912.0)</f>
        <v>43912</v>
      </c>
      <c r="K1294" s="133">
        <f>IFERROR(__xludf.DUMMYFUNCTION("""COMPUTED_VALUE"""),34.0)</f>
        <v>34</v>
      </c>
      <c r="L1294" s="133">
        <f>IFERROR(__xludf.DUMMYFUNCTION("""COMPUTED_VALUE"""),1.0)</f>
        <v>1</v>
      </c>
      <c r="M1294" s="133">
        <f>IFERROR(__xludf.DUMMYFUNCTION("""COMPUTED_VALUE"""),35.0)</f>
        <v>35</v>
      </c>
      <c r="N1294" s="152" t="str">
        <f>IFERROR(__xludf.DUMMYFUNCTION("""COMPUTED_VALUE"""),"Model 3 SR+")</f>
        <v>Model 3 SR+</v>
      </c>
      <c r="O1294" s="152" t="str">
        <f>IFERROR(__xludf.DUMMYFUNCTION("""COMPUTED_VALUE"""),"Midnight Silver Metallic")</f>
        <v>Midnight Silver Metallic</v>
      </c>
      <c r="P1294" s="153" t="str">
        <f>IFERROR(__xludf.DUMMYFUNCTION("""COMPUTED_VALUE"""),"19 inch Sport")</f>
        <v>19 inch Sport</v>
      </c>
      <c r="Q1294" s="152" t="str">
        <f>IFERROR(__xludf.DUMMYFUNCTION("""COMPUTED_VALUE"""),"Black seats")</f>
        <v>Black seats</v>
      </c>
      <c r="R1294" s="149" t="str">
        <f>IFERROR(__xludf.DUMMYFUNCTION("""COMPUTED_VALUE"""),"Autopilot")</f>
        <v>Autopilot</v>
      </c>
      <c r="S1294" s="149"/>
      <c r="T1294" s="145"/>
      <c r="U1294" s="145"/>
      <c r="V1294" s="145"/>
      <c r="W1294" s="136"/>
      <c r="X1294" s="137" t="str">
        <f>IFERROR(__xludf.DUMMYFUNCTION("""COMPUTED_VALUE"""),"Good")</f>
        <v>Good</v>
      </c>
      <c r="Y1294" s="138" t="str">
        <f>IFERROR(__xludf.DUMMYFUNCTION("""COMPUTED_VALUE"""),"Very Good")</f>
        <v>Very Good</v>
      </c>
      <c r="Z1294" s="138" t="str">
        <f>IFERROR(__xludf.DUMMYFUNCTION("""COMPUTED_VALUE"""),"Very Good")</f>
        <v>Very Good</v>
      </c>
      <c r="AA1294" s="138" t="str">
        <f>IFERROR(__xludf.DUMMYFUNCTION("""COMPUTED_VALUE"""),"Excellent")</f>
        <v>Excellent</v>
      </c>
      <c r="AB1294" s="138" t="str">
        <f>IFERROR(__xludf.DUMMYFUNCTION("""COMPUTED_VALUE"""),"Excellent")</f>
        <v>Excellent</v>
      </c>
      <c r="AC1294" s="139">
        <f>IFERROR(__xludf.DUMMYFUNCTION("""COMPUTED_VALUE"""),2.0)</f>
        <v>2</v>
      </c>
      <c r="AD1294" s="139"/>
      <c r="AE1294" s="139"/>
      <c r="AF1294" s="140"/>
      <c r="AG1294" s="136" t="str">
        <f>IFERROR(__xludf.DUMMYFUNCTION("""COMPUTED_VALUE"""),"Text 2/24 - 2 to 6 weeks, text 3/9 - 1 to 2 weeks")</f>
        <v>Text 2/24 - 2 to 6 weeks, text 3/9 - 1 to 2 weeks</v>
      </c>
      <c r="AH1294" s="157">
        <f>IFERROR(__xludf.DUMMYFUNCTION("""COMPUTED_VALUE"""),43913.66709571759)</f>
        <v>43913.6671</v>
      </c>
      <c r="AI1294" s="138"/>
      <c r="AJ1294" s="138"/>
      <c r="AK1294" s="138"/>
      <c r="AL1294" s="142"/>
    </row>
    <row r="1295" ht="20.25" customHeight="1">
      <c r="A1295" s="155" t="str">
        <f>IFERROR(__xludf.DUMMYFUNCTION("""COMPUTED_VALUE"""),"CYIMBRK")</f>
        <v>CYIMBRK</v>
      </c>
      <c r="B1295" s="149" t="str">
        <f>IFERROR(__xludf.DUMMYFUNCTION("""COMPUTED_VALUE"""),"Burlington,")</f>
        <v>Burlington,</v>
      </c>
      <c r="C1295" s="149" t="str">
        <f>IFERROR(__xludf.DUMMYFUNCTION("""COMPUTED_VALUE"""),"WA")</f>
        <v>WA</v>
      </c>
      <c r="D1295" s="149" t="str">
        <f>IFERROR(__xludf.DUMMYFUNCTION("""COMPUTED_VALUE"""),"USA")</f>
        <v>USA</v>
      </c>
      <c r="E1295" s="156">
        <f>IFERROR(__xludf.DUMMYFUNCTION("""COMPUTED_VALUE"""),43876.0)</f>
        <v>43876</v>
      </c>
      <c r="F1295" s="129">
        <f>IFERROR(__xludf.DUMMYFUNCTION("""COMPUTED_VALUE"""),43894.0)</f>
        <v>43894</v>
      </c>
      <c r="G1295" s="154"/>
      <c r="H1295" s="131">
        <f>IFERROR(__xludf.DUMMYFUNCTION("""COMPUTED_VALUE"""),668155.0)</f>
        <v>668155</v>
      </c>
      <c r="I1295" s="144"/>
      <c r="J1295" s="129">
        <f>IFERROR(__xludf.DUMMYFUNCTION("""COMPUTED_VALUE"""),43904.0)</f>
        <v>43904</v>
      </c>
      <c r="K1295" s="133">
        <f>IFERROR(__xludf.DUMMYFUNCTION("""COMPUTED_VALUE"""),18.0)</f>
        <v>18</v>
      </c>
      <c r="L1295" s="133">
        <f>IFERROR(__xludf.DUMMYFUNCTION("""COMPUTED_VALUE"""),10.0)</f>
        <v>10</v>
      </c>
      <c r="M1295" s="133">
        <f>IFERROR(__xludf.DUMMYFUNCTION("""COMPUTED_VALUE"""),28.0)</f>
        <v>28</v>
      </c>
      <c r="N1295" s="152" t="str">
        <f>IFERROR(__xludf.DUMMYFUNCTION("""COMPUTED_VALUE"""),"Model 3 LR AWD")</f>
        <v>Model 3 LR AWD</v>
      </c>
      <c r="O1295" s="152" t="str">
        <f>IFERROR(__xludf.DUMMYFUNCTION("""COMPUTED_VALUE"""),"Red Multi-Coat")</f>
        <v>Red Multi-Coat</v>
      </c>
      <c r="P1295" s="153" t="str">
        <f>IFERROR(__xludf.DUMMYFUNCTION("""COMPUTED_VALUE"""),"18 inch Aero")</f>
        <v>18 inch Aero</v>
      </c>
      <c r="Q1295" s="152" t="str">
        <f>IFERROR(__xludf.DUMMYFUNCTION("""COMPUTED_VALUE"""),"White seats")</f>
        <v>White seats</v>
      </c>
      <c r="R1295" s="149" t="str">
        <f>IFERROR(__xludf.DUMMYFUNCTION("""COMPUTED_VALUE"""),"Autopilot")</f>
        <v>Autopilot</v>
      </c>
      <c r="S1295" s="149"/>
      <c r="T1295" s="145"/>
      <c r="U1295" s="145"/>
      <c r="V1295" s="145"/>
      <c r="W1295" s="145"/>
      <c r="X1295" s="137" t="str">
        <f>IFERROR(__xludf.DUMMYFUNCTION("""COMPUTED_VALUE"""),"Excellent")</f>
        <v>Excellent</v>
      </c>
      <c r="Y1295" s="138" t="str">
        <f>IFERROR(__xludf.DUMMYFUNCTION("""COMPUTED_VALUE"""),"Excellent")</f>
        <v>Excellent</v>
      </c>
      <c r="Z1295" s="138" t="str">
        <f>IFERROR(__xludf.DUMMYFUNCTION("""COMPUTED_VALUE"""),"Excellent")</f>
        <v>Excellent</v>
      </c>
      <c r="AA1295" s="138" t="str">
        <f>IFERROR(__xludf.DUMMYFUNCTION("""COMPUTED_VALUE"""),"Excellent")</f>
        <v>Excellent</v>
      </c>
      <c r="AB1295" s="138" t="str">
        <f>IFERROR(__xludf.DUMMYFUNCTION("""COMPUTED_VALUE"""),"Excellent")</f>
        <v>Excellent</v>
      </c>
      <c r="AC1295" s="139"/>
      <c r="AD1295" s="139"/>
      <c r="AE1295" s="139"/>
      <c r="AF1295" s="140"/>
      <c r="AG1295" s="145" t="str">
        <f>IFERROR(__xludf.DUMMYFUNCTION("""COMPUTED_VALUE"""),"Delivery update via text from Tesla 2/24/2020.  Expected delivery 3-6 weeks from 2/24.    Expected delivery ")</f>
        <v>Delivery update via text from Tesla 2/24/2020.  Expected delivery 3-6 weeks from 2/24.    Expected delivery </v>
      </c>
      <c r="AH1295" s="157">
        <f>IFERROR(__xludf.DUMMYFUNCTION("""COMPUTED_VALUE"""),43906.817537766205)</f>
        <v>43906.81754</v>
      </c>
      <c r="AI1295" s="138"/>
      <c r="AJ1295" s="138"/>
      <c r="AK1295" s="138"/>
      <c r="AL1295" s="142"/>
    </row>
    <row r="1296" ht="20.25" customHeight="1">
      <c r="A1296" s="155" t="str">
        <f>IFERROR(__xludf.DUMMYFUNCTION("""COMPUTED_VALUE"""),"rob25")</f>
        <v>rob25</v>
      </c>
      <c r="B1296" s="149" t="str">
        <f>IFERROR(__xludf.DUMMYFUNCTION("""COMPUTED_VALUE"""),"Highlands Ranch")</f>
        <v>Highlands Ranch</v>
      </c>
      <c r="C1296" s="149" t="str">
        <f>IFERROR(__xludf.DUMMYFUNCTION("""COMPUTED_VALUE"""),"CO")</f>
        <v>CO</v>
      </c>
      <c r="D1296" s="149" t="str">
        <f>IFERROR(__xludf.DUMMYFUNCTION("""COMPUTED_VALUE"""),"USA")</f>
        <v>USA</v>
      </c>
      <c r="E1296" s="156">
        <f>IFERROR(__xludf.DUMMYFUNCTION("""COMPUTED_VALUE"""),43876.0)</f>
        <v>43876</v>
      </c>
      <c r="F1296" s="129">
        <f>IFERROR(__xludf.DUMMYFUNCTION("""COMPUTED_VALUE"""),43904.0)</f>
        <v>43904</v>
      </c>
      <c r="G1296" s="154"/>
      <c r="H1296" s="131">
        <f>IFERROR(__xludf.DUMMYFUNCTION("""COMPUTED_VALUE"""),669173.0)</f>
        <v>669173</v>
      </c>
      <c r="I1296" s="144" t="str">
        <f>IFERROR(__xludf.DUMMYFUNCTION("""COMPUTED_VALUE"""),"03/20")</f>
        <v>03/20</v>
      </c>
      <c r="J1296" s="129">
        <f>IFERROR(__xludf.DUMMYFUNCTION("""COMPUTED_VALUE"""),43907.0)</f>
        <v>43907</v>
      </c>
      <c r="K1296" s="133">
        <f>IFERROR(__xludf.DUMMYFUNCTION("""COMPUTED_VALUE"""),28.0)</f>
        <v>28</v>
      </c>
      <c r="L1296" s="133">
        <f>IFERROR(__xludf.DUMMYFUNCTION("""COMPUTED_VALUE"""),3.0)</f>
        <v>3</v>
      </c>
      <c r="M1296" s="133">
        <f>IFERROR(__xludf.DUMMYFUNCTION("""COMPUTED_VALUE"""),31.0)</f>
        <v>31</v>
      </c>
      <c r="N1296" s="152" t="str">
        <f>IFERROR(__xludf.DUMMYFUNCTION("""COMPUTED_VALUE"""),"Model 3 LR AWD")</f>
        <v>Model 3 LR AWD</v>
      </c>
      <c r="O1296" s="152" t="str">
        <f>IFERROR(__xludf.DUMMYFUNCTION("""COMPUTED_VALUE"""),"Deep Blue Metallic")</f>
        <v>Deep Blue Metallic</v>
      </c>
      <c r="P1296" s="153" t="str">
        <f>IFERROR(__xludf.DUMMYFUNCTION("""COMPUTED_VALUE"""),"19 inch Sport")</f>
        <v>19 inch Sport</v>
      </c>
      <c r="Q1296" s="152" t="str">
        <f>IFERROR(__xludf.DUMMYFUNCTION("""COMPUTED_VALUE"""),"White seats")</f>
        <v>White seats</v>
      </c>
      <c r="R1296" s="149" t="str">
        <f>IFERROR(__xludf.DUMMYFUNCTION("""COMPUTED_VALUE"""),"Full Self-Driving")</f>
        <v>Full Self-Driving</v>
      </c>
      <c r="S1296" s="149"/>
      <c r="T1296" s="145"/>
      <c r="U1296" s="145"/>
      <c r="V1296" s="145"/>
      <c r="W1296" s="136"/>
      <c r="X1296" s="137" t="str">
        <f>IFERROR(__xludf.DUMMYFUNCTION("""COMPUTED_VALUE"""),"Excellent")</f>
        <v>Excellent</v>
      </c>
      <c r="Y1296" s="138" t="str">
        <f>IFERROR(__xludf.DUMMYFUNCTION("""COMPUTED_VALUE"""),"Excellent")</f>
        <v>Excellent</v>
      </c>
      <c r="Z1296" s="138" t="str">
        <f>IFERROR(__xludf.DUMMYFUNCTION("""COMPUTED_VALUE"""),"Excellent")</f>
        <v>Excellent</v>
      </c>
      <c r="AA1296" s="138" t="str">
        <f>IFERROR(__xludf.DUMMYFUNCTION("""COMPUTED_VALUE"""),"Excellent")</f>
        <v>Excellent</v>
      </c>
      <c r="AB1296" s="138" t="str">
        <f>IFERROR(__xludf.DUMMYFUNCTION("""COMPUTED_VALUE"""),"Excellent")</f>
        <v>Excellent</v>
      </c>
      <c r="AC1296" s="139"/>
      <c r="AD1296" s="139"/>
      <c r="AE1296" s="139"/>
      <c r="AF1296" s="140"/>
      <c r="AG1296" s="136" t="str">
        <f>IFERROR(__xludf.DUMMYFUNCTION("""COMPUTED_VALUE"""),"VIN in Source date 3/14/2020")</f>
        <v>VIN in Source date 3/14/2020</v>
      </c>
      <c r="AH1296" s="157">
        <f>IFERROR(__xludf.DUMMYFUNCTION("""COMPUTED_VALUE"""),43907.71428899306)</f>
        <v>43907.71429</v>
      </c>
      <c r="AI1296" s="138"/>
      <c r="AJ1296" s="138"/>
      <c r="AK1296" s="138"/>
      <c r="AL1296" s="142"/>
    </row>
    <row r="1297" ht="20.25" customHeight="1">
      <c r="A1297" s="155" t="str">
        <f>IFERROR(__xludf.DUMMYFUNCTION("""COMPUTED_VALUE"""),"SSM")</f>
        <v>SSM</v>
      </c>
      <c r="B1297" s="149" t="str">
        <f>IFERROR(__xludf.DUMMYFUNCTION("""COMPUTED_VALUE"""),"SF Bay Area")</f>
        <v>SF Bay Area</v>
      </c>
      <c r="C1297" s="149" t="str">
        <f>IFERROR(__xludf.DUMMYFUNCTION("""COMPUTED_VALUE"""),"CA")</f>
        <v>CA</v>
      </c>
      <c r="D1297" s="149" t="str">
        <f>IFERROR(__xludf.DUMMYFUNCTION("""COMPUTED_VALUE"""),"USA")</f>
        <v>USA</v>
      </c>
      <c r="E1297" s="156">
        <f>IFERROR(__xludf.DUMMYFUNCTION("""COMPUTED_VALUE"""),43875.0)</f>
        <v>43875</v>
      </c>
      <c r="F1297" s="129">
        <f>IFERROR(__xludf.DUMMYFUNCTION("""COMPUTED_VALUE"""),43903.0)</f>
        <v>43903</v>
      </c>
      <c r="G1297" s="154"/>
      <c r="H1297" s="131">
        <f>IFERROR(__xludf.DUMMYFUNCTION("""COMPUTED_VALUE"""),711955.0)</f>
        <v>711955</v>
      </c>
      <c r="I1297" s="132"/>
      <c r="J1297" s="129">
        <f>IFERROR(__xludf.DUMMYFUNCTION("""COMPUTED_VALUE"""),43903.0)</f>
        <v>43903</v>
      </c>
      <c r="K1297" s="133">
        <f>IFERROR(__xludf.DUMMYFUNCTION("""COMPUTED_VALUE"""),28.0)</f>
        <v>28</v>
      </c>
      <c r="L1297" s="133">
        <f>IFERROR(__xludf.DUMMYFUNCTION("""COMPUTED_VALUE"""),0.0)</f>
        <v>0</v>
      </c>
      <c r="M1297" s="133">
        <f>IFERROR(__xludf.DUMMYFUNCTION("""COMPUTED_VALUE"""),28.0)</f>
        <v>28</v>
      </c>
      <c r="N1297" s="152" t="str">
        <f>IFERROR(__xludf.DUMMYFUNCTION("""COMPUTED_VALUE"""),"Model 3 LR AWD")</f>
        <v>Model 3 LR AWD</v>
      </c>
      <c r="O1297" s="152" t="str">
        <f>IFERROR(__xludf.DUMMYFUNCTION("""COMPUTED_VALUE"""),"Red Multi-Coat")</f>
        <v>Red Multi-Coat</v>
      </c>
      <c r="P1297" s="153" t="str">
        <f>IFERROR(__xludf.DUMMYFUNCTION("""COMPUTED_VALUE"""),"19 inch Sport")</f>
        <v>19 inch Sport</v>
      </c>
      <c r="Q1297" s="152" t="str">
        <f>IFERROR(__xludf.DUMMYFUNCTION("""COMPUTED_VALUE"""),"Black seats")</f>
        <v>Black seats</v>
      </c>
      <c r="R1297" s="150" t="str">
        <f>IFERROR(__xludf.DUMMYFUNCTION("""COMPUTED_VALUE"""),"Full Self-Driving")</f>
        <v>Full Self-Driving</v>
      </c>
      <c r="S1297" s="150"/>
      <c r="T1297" s="136"/>
      <c r="U1297" s="136"/>
      <c r="V1297" s="136"/>
      <c r="W1297" s="136"/>
      <c r="X1297" s="137" t="str">
        <f>IFERROR(__xludf.DUMMYFUNCTION("""COMPUTED_VALUE"""),"Excellent")</f>
        <v>Excellent</v>
      </c>
      <c r="Y1297" s="138" t="str">
        <f>IFERROR(__xludf.DUMMYFUNCTION("""COMPUTED_VALUE"""),"Excellent")</f>
        <v>Excellent</v>
      </c>
      <c r="Z1297" s="138" t="str">
        <f>IFERROR(__xludf.DUMMYFUNCTION("""COMPUTED_VALUE"""),"Excellent")</f>
        <v>Excellent</v>
      </c>
      <c r="AA1297" s="138" t="str">
        <f>IFERROR(__xludf.DUMMYFUNCTION("""COMPUTED_VALUE"""),"Excellent")</f>
        <v>Excellent</v>
      </c>
      <c r="AB1297" s="138" t="str">
        <f>IFERROR(__xludf.DUMMYFUNCTION("""COMPUTED_VALUE"""),"Excellent")</f>
        <v>Excellent</v>
      </c>
      <c r="AC1297" s="139"/>
      <c r="AD1297" s="139"/>
      <c r="AE1297" s="139"/>
      <c r="AF1297" s="140"/>
      <c r="AG1297" s="145" t="str">
        <f>IFERROR(__xludf.DUMMYFUNCTION("""COMPUTED_VALUE"""),"Brand new inventory car! No previous owner/reservation")</f>
        <v>Brand new inventory car! No previous owner/reservation</v>
      </c>
      <c r="AH1297" s="157">
        <f>IFERROR(__xludf.DUMMYFUNCTION("""COMPUTED_VALUE"""),43905.83399392361)</f>
        <v>43905.83399</v>
      </c>
      <c r="AI1297" s="138"/>
      <c r="AJ1297" s="138"/>
      <c r="AK1297" s="138"/>
      <c r="AL1297" s="142"/>
    </row>
    <row r="1298" ht="20.25" customHeight="1">
      <c r="A1298" s="155" t="str">
        <f>IFERROR(__xludf.DUMMYFUNCTION("""COMPUTED_VALUE"""),"WendelJones")</f>
        <v>WendelJones</v>
      </c>
      <c r="B1298" s="149" t="str">
        <f>IFERROR(__xludf.DUMMYFUNCTION("""COMPUTED_VALUE"""),"Orange County")</f>
        <v>Orange County</v>
      </c>
      <c r="C1298" s="149" t="str">
        <f>IFERROR(__xludf.DUMMYFUNCTION("""COMPUTED_VALUE"""),"CA")</f>
        <v>CA</v>
      </c>
      <c r="D1298" s="149" t="str">
        <f>IFERROR(__xludf.DUMMYFUNCTION("""COMPUTED_VALUE"""),"USA")</f>
        <v>USA</v>
      </c>
      <c r="E1298" s="156">
        <f>IFERROR(__xludf.DUMMYFUNCTION("""COMPUTED_VALUE"""),43875.0)</f>
        <v>43875</v>
      </c>
      <c r="F1298" s="129"/>
      <c r="G1298" s="154"/>
      <c r="H1298" s="131">
        <f>IFERROR(__xludf.DUMMYFUNCTION("""COMPUTED_VALUE"""),711955.0)</f>
        <v>711955</v>
      </c>
      <c r="I1298" s="144" t="str">
        <f>IFERROR(__xludf.DUMMYFUNCTION("""COMPUTED_VALUE"""),"03/20")</f>
        <v>03/20</v>
      </c>
      <c r="J1298" s="129">
        <f>IFERROR(__xludf.DUMMYFUNCTION("""COMPUTED_VALUE"""),43909.0)</f>
        <v>43909</v>
      </c>
      <c r="K1298" s="133"/>
      <c r="L1298" s="133"/>
      <c r="M1298" s="133">
        <f>IFERROR(__xludf.DUMMYFUNCTION("""COMPUTED_VALUE"""),34.0)</f>
        <v>34</v>
      </c>
      <c r="N1298" s="152" t="str">
        <f>IFERROR(__xludf.DUMMYFUNCTION("""COMPUTED_VALUE"""),"Model 3 LR AWD")</f>
        <v>Model 3 LR AWD</v>
      </c>
      <c r="O1298" s="152" t="str">
        <f>IFERROR(__xludf.DUMMYFUNCTION("""COMPUTED_VALUE"""),"Midnight Silver Metallic")</f>
        <v>Midnight Silver Metallic</v>
      </c>
      <c r="P1298" s="153" t="str">
        <f>IFERROR(__xludf.DUMMYFUNCTION("""COMPUTED_VALUE"""),"19 inch Sport")</f>
        <v>19 inch Sport</v>
      </c>
      <c r="Q1298" s="152" t="str">
        <f>IFERROR(__xludf.DUMMYFUNCTION("""COMPUTED_VALUE"""),"Black seats")</f>
        <v>Black seats</v>
      </c>
      <c r="R1298" s="149" t="str">
        <f>IFERROR(__xludf.DUMMYFUNCTION("""COMPUTED_VALUE"""),"Full Self-Driving")</f>
        <v>Full Self-Driving</v>
      </c>
      <c r="S1298" s="149"/>
      <c r="T1298" s="145"/>
      <c r="U1298" s="145"/>
      <c r="V1298" s="145"/>
      <c r="W1298" s="145"/>
      <c r="X1298" s="137" t="str">
        <f>IFERROR(__xludf.DUMMYFUNCTION("""COMPUTED_VALUE"""),"Excellent")</f>
        <v>Excellent</v>
      </c>
      <c r="Y1298" s="138" t="str">
        <f>IFERROR(__xludf.DUMMYFUNCTION("""COMPUTED_VALUE"""),"Excellent")</f>
        <v>Excellent</v>
      </c>
      <c r="Z1298" s="138" t="str">
        <f>IFERROR(__xludf.DUMMYFUNCTION("""COMPUTED_VALUE"""),"Good")</f>
        <v>Good</v>
      </c>
      <c r="AA1298" s="138" t="str">
        <f>IFERROR(__xludf.DUMMYFUNCTION("""COMPUTED_VALUE"""),"Fair")</f>
        <v>Fair</v>
      </c>
      <c r="AB1298" s="138" t="str">
        <f>IFERROR(__xludf.DUMMYFUNCTION("""COMPUTED_VALUE"""),"Fair")</f>
        <v>Fair</v>
      </c>
      <c r="AC1298" s="139">
        <f>IFERROR(__xludf.DUMMYFUNCTION("""COMPUTED_VALUE"""),1.0)</f>
        <v>1</v>
      </c>
      <c r="AD1298" s="139">
        <f>IFERROR(__xludf.DUMMYFUNCTION("""COMPUTED_VALUE"""),1.0)</f>
        <v>1</v>
      </c>
      <c r="AE1298" s="139"/>
      <c r="AF1298" s="140"/>
      <c r="AG1298" s="145"/>
      <c r="AH1298" s="157">
        <f>IFERROR(__xludf.DUMMYFUNCTION("""COMPUTED_VALUE"""),43917.3557366088)</f>
        <v>43917.35574</v>
      </c>
      <c r="AI1298" s="138"/>
      <c r="AJ1298" s="138"/>
      <c r="AK1298" s="138"/>
      <c r="AL1298" s="142"/>
    </row>
    <row r="1299" ht="20.25" customHeight="1">
      <c r="A1299" s="155" t="str">
        <f>IFERROR(__xludf.DUMMYFUNCTION("""COMPUTED_VALUE"""),"lifedistroy")</f>
        <v>lifedistroy</v>
      </c>
      <c r="B1299" s="149" t="str">
        <f>IFERROR(__xludf.DUMMYFUNCTION("""COMPUTED_VALUE"""),"Montville")</f>
        <v>Montville</v>
      </c>
      <c r="C1299" s="149" t="str">
        <f>IFERROR(__xludf.DUMMYFUNCTION("""COMPUTED_VALUE"""),"NJ")</f>
        <v>NJ</v>
      </c>
      <c r="D1299" s="149" t="str">
        <f>IFERROR(__xludf.DUMMYFUNCTION("""COMPUTED_VALUE"""),"USA")</f>
        <v>USA</v>
      </c>
      <c r="E1299" s="156">
        <f>IFERROR(__xludf.DUMMYFUNCTION("""COMPUTED_VALUE"""),43873.0)</f>
        <v>43873</v>
      </c>
      <c r="F1299" s="129">
        <f>IFERROR(__xludf.DUMMYFUNCTION("""COMPUTED_VALUE"""),43887.0)</f>
        <v>43887</v>
      </c>
      <c r="G1299" s="154"/>
      <c r="H1299" s="131">
        <f>IFERROR(__xludf.DUMMYFUNCTION("""COMPUTED_VALUE"""),663197.0)</f>
        <v>663197</v>
      </c>
      <c r="I1299" s="144" t="str">
        <f>IFERROR(__xludf.DUMMYFUNCTION("""COMPUTED_VALUE"""),"02/20")</f>
        <v>02/20</v>
      </c>
      <c r="J1299" s="129">
        <f>IFERROR(__xludf.DUMMYFUNCTION("""COMPUTED_VALUE"""),43907.0)</f>
        <v>43907</v>
      </c>
      <c r="K1299" s="133">
        <f>IFERROR(__xludf.DUMMYFUNCTION("""COMPUTED_VALUE"""),14.0)</f>
        <v>14</v>
      </c>
      <c r="L1299" s="133">
        <f>IFERROR(__xludf.DUMMYFUNCTION("""COMPUTED_VALUE"""),20.0)</f>
        <v>20</v>
      </c>
      <c r="M1299" s="133">
        <f>IFERROR(__xludf.DUMMYFUNCTION("""COMPUTED_VALUE"""),34.0)</f>
        <v>34</v>
      </c>
      <c r="N1299" s="152" t="str">
        <f>IFERROR(__xludf.DUMMYFUNCTION("""COMPUTED_VALUE"""),"Model 3 LR AWD")</f>
        <v>Model 3 LR AWD</v>
      </c>
      <c r="O1299" s="152" t="str">
        <f>IFERROR(__xludf.DUMMYFUNCTION("""COMPUTED_VALUE"""),"Midnight Silver Metallic")</f>
        <v>Midnight Silver Metallic</v>
      </c>
      <c r="P1299" s="153" t="str">
        <f>IFERROR(__xludf.DUMMYFUNCTION("""COMPUTED_VALUE"""),"18 inch Aero")</f>
        <v>18 inch Aero</v>
      </c>
      <c r="Q1299" s="152" t="str">
        <f>IFERROR(__xludf.DUMMYFUNCTION("""COMPUTED_VALUE"""),"Black seats")</f>
        <v>Black seats</v>
      </c>
      <c r="R1299" s="149" t="str">
        <f>IFERROR(__xludf.DUMMYFUNCTION("""COMPUTED_VALUE"""),"Autopilot")</f>
        <v>Autopilot</v>
      </c>
      <c r="S1299" s="149"/>
      <c r="T1299" s="145"/>
      <c r="U1299" s="145"/>
      <c r="V1299" s="145"/>
      <c r="W1299" s="145"/>
      <c r="X1299" s="137" t="str">
        <f>IFERROR(__xludf.DUMMYFUNCTION("""COMPUTED_VALUE"""),"Fair")</f>
        <v>Fair</v>
      </c>
      <c r="Y1299" s="138" t="str">
        <f>IFERROR(__xludf.DUMMYFUNCTION("""COMPUTED_VALUE"""),"Very Good")</f>
        <v>Very Good</v>
      </c>
      <c r="Z1299" s="138" t="str">
        <f>IFERROR(__xludf.DUMMYFUNCTION("""COMPUTED_VALUE"""),"Very Good")</f>
        <v>Very Good</v>
      </c>
      <c r="AA1299" s="138" t="str">
        <f>IFERROR(__xludf.DUMMYFUNCTION("""COMPUTED_VALUE"""),"Fair")</f>
        <v>Fair</v>
      </c>
      <c r="AB1299" s="138" t="str">
        <f>IFERROR(__xludf.DUMMYFUNCTION("""COMPUTED_VALUE"""),"Good")</f>
        <v>Good</v>
      </c>
      <c r="AC1299" s="139"/>
      <c r="AD1299" s="139">
        <f>IFERROR(__xludf.DUMMYFUNCTION("""COMPUTED_VALUE"""),1.0)</f>
        <v>1</v>
      </c>
      <c r="AE1299" s="139">
        <f>IFERROR(__xludf.DUMMYFUNCTION("""COMPUTED_VALUE"""),2.0)</f>
        <v>2</v>
      </c>
      <c r="AF1299" s="140"/>
      <c r="AG1299" s="145" t="str">
        <f>IFERROR(__xludf.DUMMYFUNCTION("""COMPUTED_VALUE"""),"SA called and said car had a software issue and had to delay delivery. Unknown delivery for now.")</f>
        <v>SA called and said car had a software issue and had to delay delivery. Unknown delivery for now.</v>
      </c>
      <c r="AH1299" s="157">
        <f>IFERROR(__xludf.DUMMYFUNCTION("""COMPUTED_VALUE"""),43908.29125961805)</f>
        <v>43908.29126</v>
      </c>
      <c r="AI1299" s="138"/>
      <c r="AJ1299" s="138"/>
      <c r="AK1299" s="138"/>
      <c r="AL1299" s="142"/>
    </row>
    <row r="1300" ht="20.25" customHeight="1">
      <c r="A1300" s="155" t="str">
        <f>IFERROR(__xludf.DUMMYFUNCTION("""COMPUTED_VALUE"""),"Sinjis")</f>
        <v>Sinjis</v>
      </c>
      <c r="B1300" s="149" t="str">
        <f>IFERROR(__xludf.DUMMYFUNCTION("""COMPUTED_VALUE"""),"Cleveland")</f>
        <v>Cleveland</v>
      </c>
      <c r="C1300" s="149" t="str">
        <f>IFERROR(__xludf.DUMMYFUNCTION("""COMPUTED_VALUE"""),"OH")</f>
        <v>OH</v>
      </c>
      <c r="D1300" s="149" t="str">
        <f>IFERROR(__xludf.DUMMYFUNCTION("""COMPUTED_VALUE"""),"USA")</f>
        <v>USA</v>
      </c>
      <c r="E1300" s="156">
        <f>IFERROR(__xludf.DUMMYFUNCTION("""COMPUTED_VALUE"""),43873.0)</f>
        <v>43873</v>
      </c>
      <c r="F1300" s="129">
        <f>IFERROR(__xludf.DUMMYFUNCTION("""COMPUTED_VALUE"""),43887.0)</f>
        <v>43887</v>
      </c>
      <c r="G1300" s="154"/>
      <c r="H1300" s="131">
        <f>IFERROR(__xludf.DUMMYFUNCTION("""COMPUTED_VALUE"""),663200.0)</f>
        <v>663200</v>
      </c>
      <c r="I1300" s="132" t="str">
        <f>IFERROR(__xludf.DUMMYFUNCTION("""COMPUTED_VALUE"""),"02/20")</f>
        <v>02/20</v>
      </c>
      <c r="J1300" s="129">
        <f>IFERROR(__xludf.DUMMYFUNCTION("""COMPUTED_VALUE"""),43904.0)</f>
        <v>43904</v>
      </c>
      <c r="K1300" s="133">
        <f>IFERROR(__xludf.DUMMYFUNCTION("""COMPUTED_VALUE"""),14.0)</f>
        <v>14</v>
      </c>
      <c r="L1300" s="133">
        <f>IFERROR(__xludf.DUMMYFUNCTION("""COMPUTED_VALUE"""),17.0)</f>
        <v>17</v>
      </c>
      <c r="M1300" s="133">
        <f>IFERROR(__xludf.DUMMYFUNCTION("""COMPUTED_VALUE"""),31.0)</f>
        <v>31</v>
      </c>
      <c r="N1300" s="152" t="str">
        <f>IFERROR(__xludf.DUMMYFUNCTION("""COMPUTED_VALUE"""),"Model 3 LR AWD")</f>
        <v>Model 3 LR AWD</v>
      </c>
      <c r="O1300" s="152" t="str">
        <f>IFERROR(__xludf.DUMMYFUNCTION("""COMPUTED_VALUE"""),"Midnight Silver Metallic")</f>
        <v>Midnight Silver Metallic</v>
      </c>
      <c r="P1300" s="153" t="str">
        <f>IFERROR(__xludf.DUMMYFUNCTION("""COMPUTED_VALUE"""),"18 inch Aero")</f>
        <v>18 inch Aero</v>
      </c>
      <c r="Q1300" s="152" t="str">
        <f>IFERROR(__xludf.DUMMYFUNCTION("""COMPUTED_VALUE"""),"Black seats")</f>
        <v>Black seats</v>
      </c>
      <c r="R1300" s="150" t="str">
        <f>IFERROR(__xludf.DUMMYFUNCTION("""COMPUTED_VALUE"""),"Autopilot")</f>
        <v>Autopilot</v>
      </c>
      <c r="S1300" s="150"/>
      <c r="T1300" s="136"/>
      <c r="U1300" s="136"/>
      <c r="V1300" s="136"/>
      <c r="W1300" s="145"/>
      <c r="X1300" s="137" t="str">
        <f>IFERROR(__xludf.DUMMYFUNCTION("""COMPUTED_VALUE"""),"Good")</f>
        <v>Good</v>
      </c>
      <c r="Y1300" s="138" t="str">
        <f>IFERROR(__xludf.DUMMYFUNCTION("""COMPUTED_VALUE"""),"Excellent")</f>
        <v>Excellent</v>
      </c>
      <c r="Z1300" s="138" t="str">
        <f>IFERROR(__xludf.DUMMYFUNCTION("""COMPUTED_VALUE"""),"Very Good")</f>
        <v>Very Good</v>
      </c>
      <c r="AA1300" s="138" t="str">
        <f>IFERROR(__xludf.DUMMYFUNCTION("""COMPUTED_VALUE"""),"Very Good")</f>
        <v>Very Good</v>
      </c>
      <c r="AB1300" s="138" t="str">
        <f>IFERROR(__xludf.DUMMYFUNCTION("""COMPUTED_VALUE"""),"Very Good")</f>
        <v>Very Good</v>
      </c>
      <c r="AC1300" s="139"/>
      <c r="AD1300" s="139"/>
      <c r="AE1300" s="139"/>
      <c r="AF1300" s="140"/>
      <c r="AG1300" s="136"/>
      <c r="AH1300" s="157">
        <f>IFERROR(__xludf.DUMMYFUNCTION("""COMPUTED_VALUE"""),43904.82940383102)</f>
        <v>43904.8294</v>
      </c>
      <c r="AI1300" s="138"/>
      <c r="AJ1300" s="138"/>
      <c r="AK1300" s="138"/>
      <c r="AL1300" s="142"/>
    </row>
    <row r="1301" ht="20.25" customHeight="1">
      <c r="A1301" s="155" t="str">
        <f>IFERROR(__xludf.DUMMYFUNCTION("""COMPUTED_VALUE"""),"shortbird")</f>
        <v>shortbird</v>
      </c>
      <c r="B1301" s="149" t="str">
        <f>IFERROR(__xludf.DUMMYFUNCTION("""COMPUTED_VALUE"""),"Salt Lake City")</f>
        <v>Salt Lake City</v>
      </c>
      <c r="C1301" s="149" t="str">
        <f>IFERROR(__xludf.DUMMYFUNCTION("""COMPUTED_VALUE"""),"UT")</f>
        <v>UT</v>
      </c>
      <c r="D1301" s="149" t="str">
        <f>IFERROR(__xludf.DUMMYFUNCTION("""COMPUTED_VALUE"""),"USA")</f>
        <v>USA</v>
      </c>
      <c r="E1301" s="156">
        <f>IFERROR(__xludf.DUMMYFUNCTION("""COMPUTED_VALUE"""),43872.0)</f>
        <v>43872</v>
      </c>
      <c r="F1301" s="129">
        <f>IFERROR(__xludf.DUMMYFUNCTION("""COMPUTED_VALUE"""),43894.0)</f>
        <v>43894</v>
      </c>
      <c r="G1301" s="154"/>
      <c r="H1301" s="131">
        <f>IFERROR(__xludf.DUMMYFUNCTION("""COMPUTED_VALUE"""),666529.0)</f>
        <v>666529</v>
      </c>
      <c r="I1301" s="132"/>
      <c r="J1301" s="129">
        <f>IFERROR(__xludf.DUMMYFUNCTION("""COMPUTED_VALUE"""),43896.0)</f>
        <v>43896</v>
      </c>
      <c r="K1301" s="133">
        <f>IFERROR(__xludf.DUMMYFUNCTION("""COMPUTED_VALUE"""),22.0)</f>
        <v>22</v>
      </c>
      <c r="L1301" s="133">
        <f>IFERROR(__xludf.DUMMYFUNCTION("""COMPUTED_VALUE"""),2.0)</f>
        <v>2</v>
      </c>
      <c r="M1301" s="133">
        <f>IFERROR(__xludf.DUMMYFUNCTION("""COMPUTED_VALUE"""),24.0)</f>
        <v>24</v>
      </c>
      <c r="N1301" s="152" t="str">
        <f>IFERROR(__xludf.DUMMYFUNCTION("""COMPUTED_VALUE"""),"Model 3 LR AWD")</f>
        <v>Model 3 LR AWD</v>
      </c>
      <c r="O1301" s="152" t="str">
        <f>IFERROR(__xludf.DUMMYFUNCTION("""COMPUTED_VALUE"""),"Midnight Silver Metallic")</f>
        <v>Midnight Silver Metallic</v>
      </c>
      <c r="P1301" s="153" t="str">
        <f>IFERROR(__xludf.DUMMYFUNCTION("""COMPUTED_VALUE"""),"19 inch Sport")</f>
        <v>19 inch Sport</v>
      </c>
      <c r="Q1301" s="152" t="str">
        <f>IFERROR(__xludf.DUMMYFUNCTION("""COMPUTED_VALUE"""),"Black seats")</f>
        <v>Black seats</v>
      </c>
      <c r="R1301" s="150" t="str">
        <f>IFERROR(__xludf.DUMMYFUNCTION("""COMPUTED_VALUE"""),"Full Self-Driving")</f>
        <v>Full Self-Driving</v>
      </c>
      <c r="S1301" s="150"/>
      <c r="T1301" s="145"/>
      <c r="U1301" s="145"/>
      <c r="V1301" s="136"/>
      <c r="W1301" s="136"/>
      <c r="X1301" s="137" t="str">
        <f>IFERROR(__xludf.DUMMYFUNCTION("""COMPUTED_VALUE"""),"Excellent")</f>
        <v>Excellent</v>
      </c>
      <c r="Y1301" s="138" t="str">
        <f>IFERROR(__xludf.DUMMYFUNCTION("""COMPUTED_VALUE"""),"Excellent")</f>
        <v>Excellent</v>
      </c>
      <c r="Z1301" s="138" t="str">
        <f>IFERROR(__xludf.DUMMYFUNCTION("""COMPUTED_VALUE"""),"Excellent")</f>
        <v>Excellent</v>
      </c>
      <c r="AA1301" s="138" t="str">
        <f>IFERROR(__xludf.DUMMYFUNCTION("""COMPUTED_VALUE"""),"Fair")</f>
        <v>Fair</v>
      </c>
      <c r="AB1301" s="138" t="str">
        <f>IFERROR(__xludf.DUMMYFUNCTION("""COMPUTED_VALUE"""),"Excellent")</f>
        <v>Excellent</v>
      </c>
      <c r="AC1301" s="139">
        <f>IFERROR(__xludf.DUMMYFUNCTION("""COMPUTED_VALUE"""),0.0)</f>
        <v>0</v>
      </c>
      <c r="AD1301" s="139">
        <f>IFERROR(__xludf.DUMMYFUNCTION("""COMPUTED_VALUE"""),0.0)</f>
        <v>0</v>
      </c>
      <c r="AE1301" s="139">
        <f>IFERROR(__xludf.DUMMYFUNCTION("""COMPUTED_VALUE"""),0.0)</f>
        <v>0</v>
      </c>
      <c r="AF1301" s="140"/>
      <c r="AG1301" s="136"/>
      <c r="AH1301" s="157">
        <f>IFERROR(__xludf.DUMMYFUNCTION("""COMPUTED_VALUE"""),43900.673173749994)</f>
        <v>43900.67317</v>
      </c>
      <c r="AI1301" s="138"/>
      <c r="AJ1301" s="138"/>
      <c r="AK1301" s="138"/>
      <c r="AL1301" s="142"/>
    </row>
    <row r="1302" ht="20.25" customHeight="1">
      <c r="A1302" s="155" t="str">
        <f>IFERROR(__xludf.DUMMYFUNCTION("""COMPUTED_VALUE"""),"Dimevivo")</f>
        <v>Dimevivo</v>
      </c>
      <c r="B1302" s="150" t="str">
        <f>IFERROR(__xludf.DUMMYFUNCTION("""COMPUTED_VALUE"""),"Columbus")</f>
        <v>Columbus</v>
      </c>
      <c r="C1302" s="149" t="str">
        <f>IFERROR(__xludf.DUMMYFUNCTION("""COMPUTED_VALUE"""),"OH")</f>
        <v>OH</v>
      </c>
      <c r="D1302" s="149" t="str">
        <f>IFERROR(__xludf.DUMMYFUNCTION("""COMPUTED_VALUE"""),"USA")</f>
        <v>USA</v>
      </c>
      <c r="E1302" s="156">
        <f>IFERROR(__xludf.DUMMYFUNCTION("""COMPUTED_VALUE"""),43871.0)</f>
        <v>43871</v>
      </c>
      <c r="F1302" s="129">
        <f>IFERROR(__xludf.DUMMYFUNCTION("""COMPUTED_VALUE"""),43892.0)</f>
        <v>43892</v>
      </c>
      <c r="G1302" s="154"/>
      <c r="H1302" s="131">
        <f>IFERROR(__xludf.DUMMYFUNCTION("""COMPUTED_VALUE"""),703797.0)</f>
        <v>703797</v>
      </c>
      <c r="I1302" s="132" t="str">
        <f>IFERROR(__xludf.DUMMYFUNCTION("""COMPUTED_VALUE"""),"03/20")</f>
        <v>03/20</v>
      </c>
      <c r="J1302" s="129">
        <f>IFERROR(__xludf.DUMMYFUNCTION("""COMPUTED_VALUE"""),43902.0)</f>
        <v>43902</v>
      </c>
      <c r="K1302" s="133">
        <f>IFERROR(__xludf.DUMMYFUNCTION("""COMPUTED_VALUE"""),21.0)</f>
        <v>21</v>
      </c>
      <c r="L1302" s="133">
        <f>IFERROR(__xludf.DUMMYFUNCTION("""COMPUTED_VALUE"""),10.0)</f>
        <v>10</v>
      </c>
      <c r="M1302" s="133">
        <f>IFERROR(__xludf.DUMMYFUNCTION("""COMPUTED_VALUE"""),31.0)</f>
        <v>31</v>
      </c>
      <c r="N1302" s="152" t="str">
        <f>IFERROR(__xludf.DUMMYFUNCTION("""COMPUTED_VALUE"""),"Model 3 Performance")</f>
        <v>Model 3 Performance</v>
      </c>
      <c r="O1302" s="152" t="str">
        <f>IFERROR(__xludf.DUMMYFUNCTION("""COMPUTED_VALUE"""),"Pearl White Multi-Coat")</f>
        <v>Pearl White Multi-Coat</v>
      </c>
      <c r="P1302" s="153" t="str">
        <f>IFERROR(__xludf.DUMMYFUNCTION("""COMPUTED_VALUE"""),"20 inch Sport")</f>
        <v>20 inch Sport</v>
      </c>
      <c r="Q1302" s="152" t="str">
        <f>IFERROR(__xludf.DUMMYFUNCTION("""COMPUTED_VALUE"""),"Black seats")</f>
        <v>Black seats</v>
      </c>
      <c r="R1302" s="150" t="str">
        <f>IFERROR(__xludf.DUMMYFUNCTION("""COMPUTED_VALUE"""),"Autopilot")</f>
        <v>Autopilot</v>
      </c>
      <c r="S1302" s="150"/>
      <c r="T1302" s="136"/>
      <c r="U1302" s="136"/>
      <c r="V1302" s="136"/>
      <c r="W1302" s="136"/>
      <c r="X1302" s="137" t="str">
        <f>IFERROR(__xludf.DUMMYFUNCTION("""COMPUTED_VALUE"""),"Excellent")</f>
        <v>Excellent</v>
      </c>
      <c r="Y1302" s="138" t="str">
        <f>IFERROR(__xludf.DUMMYFUNCTION("""COMPUTED_VALUE"""),"Excellent")</f>
        <v>Excellent</v>
      </c>
      <c r="Z1302" s="138" t="str">
        <f>IFERROR(__xludf.DUMMYFUNCTION("""COMPUTED_VALUE"""),"Excellent")</f>
        <v>Excellent</v>
      </c>
      <c r="AA1302" s="138" t="str">
        <f>IFERROR(__xludf.DUMMYFUNCTION("""COMPUTED_VALUE"""),"Very Good")</f>
        <v>Very Good</v>
      </c>
      <c r="AB1302" s="138" t="str">
        <f>IFERROR(__xludf.DUMMYFUNCTION("""COMPUTED_VALUE"""),"Excellent")</f>
        <v>Excellent</v>
      </c>
      <c r="AC1302" s="139"/>
      <c r="AD1302" s="139"/>
      <c r="AE1302" s="139"/>
      <c r="AF1302" s="140"/>
      <c r="AG1302" s="136"/>
      <c r="AH1302" s="157">
        <f>IFERROR(__xludf.DUMMYFUNCTION("""COMPUTED_VALUE"""),43903.37529268519)</f>
        <v>43903.37529</v>
      </c>
      <c r="AI1302" s="138"/>
      <c r="AJ1302" s="138"/>
      <c r="AK1302" s="138"/>
      <c r="AL1302" s="142"/>
    </row>
    <row r="1303" ht="20.25" customHeight="1">
      <c r="A1303" s="155" t="str">
        <f>IFERROR(__xludf.DUMMYFUNCTION("""COMPUTED_VALUE"""),"Fencer308")</f>
        <v>Fencer308</v>
      </c>
      <c r="B1303" s="149" t="str">
        <f>IFERROR(__xludf.DUMMYFUNCTION("""COMPUTED_VALUE"""),"Houston")</f>
        <v>Houston</v>
      </c>
      <c r="C1303" s="149" t="str">
        <f>IFERROR(__xludf.DUMMYFUNCTION("""COMPUTED_VALUE"""),"TX")</f>
        <v>TX</v>
      </c>
      <c r="D1303" s="149" t="str">
        <f>IFERROR(__xludf.DUMMYFUNCTION("""COMPUTED_VALUE"""),"USA")</f>
        <v>USA</v>
      </c>
      <c r="E1303" s="156">
        <f>IFERROR(__xludf.DUMMYFUNCTION("""COMPUTED_VALUE"""),43870.0)</f>
        <v>43870</v>
      </c>
      <c r="F1303" s="129">
        <f>IFERROR(__xludf.DUMMYFUNCTION("""COMPUTED_VALUE"""),43888.0)</f>
        <v>43888</v>
      </c>
      <c r="G1303" s="154"/>
      <c r="H1303" s="131">
        <f>IFERROR(__xludf.DUMMYFUNCTION("""COMPUTED_VALUE"""),637755.0)</f>
        <v>637755</v>
      </c>
      <c r="I1303" s="144"/>
      <c r="J1303" s="129">
        <f>IFERROR(__xludf.DUMMYFUNCTION("""COMPUTED_VALUE"""),43909.0)</f>
        <v>43909</v>
      </c>
      <c r="K1303" s="133">
        <f>IFERROR(__xludf.DUMMYFUNCTION("""COMPUTED_VALUE"""),18.0)</f>
        <v>18</v>
      </c>
      <c r="L1303" s="133">
        <f>IFERROR(__xludf.DUMMYFUNCTION("""COMPUTED_VALUE"""),21.0)</f>
        <v>21</v>
      </c>
      <c r="M1303" s="133">
        <f>IFERROR(__xludf.DUMMYFUNCTION("""COMPUTED_VALUE"""),39.0)</f>
        <v>39</v>
      </c>
      <c r="N1303" s="152" t="str">
        <f>IFERROR(__xludf.DUMMYFUNCTION("""COMPUTED_VALUE"""),"Model 3 LR AWD")</f>
        <v>Model 3 LR AWD</v>
      </c>
      <c r="O1303" s="152" t="str">
        <f>IFERROR(__xludf.DUMMYFUNCTION("""COMPUTED_VALUE"""),"Pearl White Multi-Coat")</f>
        <v>Pearl White Multi-Coat</v>
      </c>
      <c r="P1303" s="153" t="str">
        <f>IFERROR(__xludf.DUMMYFUNCTION("""COMPUTED_VALUE"""),"18 inch Aero")</f>
        <v>18 inch Aero</v>
      </c>
      <c r="Q1303" s="152" t="str">
        <f>IFERROR(__xludf.DUMMYFUNCTION("""COMPUTED_VALUE"""),"Black seats")</f>
        <v>Black seats</v>
      </c>
      <c r="R1303" s="149" t="str">
        <f>IFERROR(__xludf.DUMMYFUNCTION("""COMPUTED_VALUE"""),"Autopilot")</f>
        <v>Autopilot</v>
      </c>
      <c r="S1303" s="149"/>
      <c r="T1303" s="145"/>
      <c r="U1303" s="145"/>
      <c r="V1303" s="145"/>
      <c r="W1303" s="136"/>
      <c r="X1303" s="137" t="str">
        <f>IFERROR(__xludf.DUMMYFUNCTION("""COMPUTED_VALUE"""),"Very Good")</f>
        <v>Very Good</v>
      </c>
      <c r="Y1303" s="138" t="str">
        <f>IFERROR(__xludf.DUMMYFUNCTION("""COMPUTED_VALUE"""),"Excellent")</f>
        <v>Excellent</v>
      </c>
      <c r="Z1303" s="138" t="str">
        <f>IFERROR(__xludf.DUMMYFUNCTION("""COMPUTED_VALUE"""),"Excellent")</f>
        <v>Excellent</v>
      </c>
      <c r="AA1303" s="138" t="str">
        <f>IFERROR(__xludf.DUMMYFUNCTION("""COMPUTED_VALUE"""),"Good")</f>
        <v>Good</v>
      </c>
      <c r="AB1303" s="138" t="str">
        <f>IFERROR(__xludf.DUMMYFUNCTION("""COMPUTED_VALUE"""),"Excellent")</f>
        <v>Excellent</v>
      </c>
      <c r="AC1303" s="139"/>
      <c r="AD1303" s="139"/>
      <c r="AE1303" s="139"/>
      <c r="AF1303" s="140"/>
      <c r="AG1303" s="136"/>
      <c r="AH1303" s="157">
        <f>IFERROR(__xludf.DUMMYFUNCTION("""COMPUTED_VALUE"""),43912.50193704861)</f>
        <v>43912.50194</v>
      </c>
      <c r="AI1303" s="138"/>
      <c r="AJ1303" s="138"/>
      <c r="AK1303" s="138"/>
      <c r="AL1303" s="142"/>
    </row>
    <row r="1304" ht="20.25" customHeight="1">
      <c r="A1304" s="155" t="str">
        <f>IFERROR(__xludf.DUMMYFUNCTION("""COMPUTED_VALUE"""),"KenC")</f>
        <v>KenC</v>
      </c>
      <c r="B1304" s="149" t="str">
        <f>IFERROR(__xludf.DUMMYFUNCTION("""COMPUTED_VALUE"""),"Fredericksburg")</f>
        <v>Fredericksburg</v>
      </c>
      <c r="C1304" s="149" t="str">
        <f>IFERROR(__xludf.DUMMYFUNCTION("""COMPUTED_VALUE"""),"VA")</f>
        <v>VA</v>
      </c>
      <c r="D1304" s="149" t="str">
        <f>IFERROR(__xludf.DUMMYFUNCTION("""COMPUTED_VALUE"""),"USA")</f>
        <v>USA</v>
      </c>
      <c r="E1304" s="156">
        <f>IFERROR(__xludf.DUMMYFUNCTION("""COMPUTED_VALUE"""),43870.0)</f>
        <v>43870</v>
      </c>
      <c r="F1304" s="129">
        <f>IFERROR(__xludf.DUMMYFUNCTION("""COMPUTED_VALUE"""),43896.0)</f>
        <v>43896</v>
      </c>
      <c r="G1304" s="154"/>
      <c r="H1304" s="131">
        <f>IFERROR(__xludf.DUMMYFUNCTION("""COMPUTED_VALUE"""),713366.0)</f>
        <v>713366</v>
      </c>
      <c r="I1304" s="144"/>
      <c r="J1304" s="129">
        <f>IFERROR(__xludf.DUMMYFUNCTION("""COMPUTED_VALUE"""),43910.0)</f>
        <v>43910</v>
      </c>
      <c r="K1304" s="133">
        <f>IFERROR(__xludf.DUMMYFUNCTION("""COMPUTED_VALUE"""),26.0)</f>
        <v>26</v>
      </c>
      <c r="L1304" s="133">
        <f>IFERROR(__xludf.DUMMYFUNCTION("""COMPUTED_VALUE"""),14.0)</f>
        <v>14</v>
      </c>
      <c r="M1304" s="133">
        <f>IFERROR(__xludf.DUMMYFUNCTION("""COMPUTED_VALUE"""),40.0)</f>
        <v>40</v>
      </c>
      <c r="N1304" s="152" t="str">
        <f>IFERROR(__xludf.DUMMYFUNCTION("""COMPUTED_VALUE"""),"Model 3 Performance")</f>
        <v>Model 3 Performance</v>
      </c>
      <c r="O1304" s="152" t="str">
        <f>IFERROR(__xludf.DUMMYFUNCTION("""COMPUTED_VALUE"""),"Midnight Silver Metallic")</f>
        <v>Midnight Silver Metallic</v>
      </c>
      <c r="P1304" s="153" t="str">
        <f>IFERROR(__xludf.DUMMYFUNCTION("""COMPUTED_VALUE"""),"20 inch Sport")</f>
        <v>20 inch Sport</v>
      </c>
      <c r="Q1304" s="152" t="str">
        <f>IFERROR(__xludf.DUMMYFUNCTION("""COMPUTED_VALUE"""),"Black seats")</f>
        <v>Black seats</v>
      </c>
      <c r="R1304" s="149" t="str">
        <f>IFERROR(__xludf.DUMMYFUNCTION("""COMPUTED_VALUE"""),"Full Self-Driving")</f>
        <v>Full Self-Driving</v>
      </c>
      <c r="S1304" s="149"/>
      <c r="T1304" s="145"/>
      <c r="U1304" s="145"/>
      <c r="V1304" s="145"/>
      <c r="W1304" s="145"/>
      <c r="X1304" s="137"/>
      <c r="Y1304" s="138"/>
      <c r="Z1304" s="138"/>
      <c r="AA1304" s="138" t="str">
        <f>IFERROR(__xludf.DUMMYFUNCTION("""COMPUTED_VALUE"""),"Fair")</f>
        <v>Fair</v>
      </c>
      <c r="AB1304" s="138"/>
      <c r="AC1304" s="139"/>
      <c r="AD1304" s="139"/>
      <c r="AE1304" s="139"/>
      <c r="AF1304" s="140"/>
      <c r="AG1304" s="145"/>
      <c r="AH1304" s="157">
        <f>IFERROR(__xludf.DUMMYFUNCTION("""COMPUTED_VALUE"""),43909.77567538194)</f>
        <v>43909.77568</v>
      </c>
      <c r="AI1304" s="138"/>
      <c r="AJ1304" s="138"/>
      <c r="AK1304" s="138"/>
      <c r="AL1304" s="142"/>
    </row>
    <row r="1305" ht="20.25" customHeight="1">
      <c r="A1305" s="155" t="str">
        <f>IFERROR(__xludf.DUMMYFUNCTION("""COMPUTED_VALUE"""),"WCRacing")</f>
        <v>WCRacing</v>
      </c>
      <c r="B1305" s="149" t="str">
        <f>IFERROR(__xludf.DUMMYFUNCTION("""COMPUTED_VALUE"""),"Bay Area")</f>
        <v>Bay Area</v>
      </c>
      <c r="C1305" s="149" t="str">
        <f>IFERROR(__xludf.DUMMYFUNCTION("""COMPUTED_VALUE"""),"CA")</f>
        <v>CA</v>
      </c>
      <c r="D1305" s="149" t="str">
        <f>IFERROR(__xludf.DUMMYFUNCTION("""COMPUTED_VALUE"""),"USA")</f>
        <v>USA</v>
      </c>
      <c r="E1305" s="156">
        <f>IFERROR(__xludf.DUMMYFUNCTION("""COMPUTED_VALUE"""),43870.0)</f>
        <v>43870</v>
      </c>
      <c r="F1305" s="129"/>
      <c r="G1305" s="154"/>
      <c r="H1305" s="131"/>
      <c r="I1305" s="144" t="str">
        <f>IFERROR(__xludf.DUMMYFUNCTION("""COMPUTED_VALUE"""),"03/20")</f>
        <v>03/20</v>
      </c>
      <c r="J1305" s="129">
        <f>IFERROR(__xludf.DUMMYFUNCTION("""COMPUTED_VALUE"""),43904.0)</f>
        <v>43904</v>
      </c>
      <c r="K1305" s="133"/>
      <c r="L1305" s="133"/>
      <c r="M1305" s="133">
        <f>IFERROR(__xludf.DUMMYFUNCTION("""COMPUTED_VALUE"""),34.0)</f>
        <v>34</v>
      </c>
      <c r="N1305" s="152" t="str">
        <f>IFERROR(__xludf.DUMMYFUNCTION("""COMPUTED_VALUE"""),"Model 3 LR AWD")</f>
        <v>Model 3 LR AWD</v>
      </c>
      <c r="O1305" s="152" t="str">
        <f>IFERROR(__xludf.DUMMYFUNCTION("""COMPUTED_VALUE"""),"Pearl White Multi-Coat")</f>
        <v>Pearl White Multi-Coat</v>
      </c>
      <c r="P1305" s="153" t="str">
        <f>IFERROR(__xludf.DUMMYFUNCTION("""COMPUTED_VALUE"""),"18 inch Aero")</f>
        <v>18 inch Aero</v>
      </c>
      <c r="Q1305" s="152" t="str">
        <f>IFERROR(__xludf.DUMMYFUNCTION("""COMPUTED_VALUE"""),"Black seats")</f>
        <v>Black seats</v>
      </c>
      <c r="R1305" s="149" t="str">
        <f>IFERROR(__xludf.DUMMYFUNCTION("""COMPUTED_VALUE"""),"Autopilot")</f>
        <v>Autopilot</v>
      </c>
      <c r="S1305" s="149"/>
      <c r="T1305" s="145"/>
      <c r="U1305" s="145"/>
      <c r="V1305" s="145"/>
      <c r="W1305" s="145"/>
      <c r="X1305" s="137" t="str">
        <f>IFERROR(__xludf.DUMMYFUNCTION("""COMPUTED_VALUE"""),"Poor")</f>
        <v>Poor</v>
      </c>
      <c r="Y1305" s="138" t="str">
        <f>IFERROR(__xludf.DUMMYFUNCTION("""COMPUTED_VALUE"""),"Excellent")</f>
        <v>Excellent</v>
      </c>
      <c r="Z1305" s="138" t="str">
        <f>IFERROR(__xludf.DUMMYFUNCTION("""COMPUTED_VALUE"""),"Good")</f>
        <v>Good</v>
      </c>
      <c r="AA1305" s="138" t="str">
        <f>IFERROR(__xludf.DUMMYFUNCTION("""COMPUTED_VALUE"""),"Good")</f>
        <v>Good</v>
      </c>
      <c r="AB1305" s="138" t="str">
        <f>IFERROR(__xludf.DUMMYFUNCTION("""COMPUTED_VALUE"""),"Poor")</f>
        <v>Poor</v>
      </c>
      <c r="AC1305" s="139">
        <f>IFERROR(__xludf.DUMMYFUNCTION("""COMPUTED_VALUE"""),6.0)</f>
        <v>6</v>
      </c>
      <c r="AD1305" s="139">
        <f>IFERROR(__xludf.DUMMYFUNCTION("""COMPUTED_VALUE"""),1.0)</f>
        <v>1</v>
      </c>
      <c r="AE1305" s="139">
        <f>IFERROR(__xludf.DUMMYFUNCTION("""COMPUTED_VALUE"""),1.0)</f>
        <v>1</v>
      </c>
      <c r="AF1305" s="140"/>
      <c r="AG1305" s="145"/>
      <c r="AH1305" s="157">
        <f>IFERROR(__xludf.DUMMYFUNCTION("""COMPUTED_VALUE"""),43950.74120442129)</f>
        <v>43950.7412</v>
      </c>
      <c r="AI1305" s="138"/>
      <c r="AJ1305" s="138"/>
      <c r="AK1305" s="138"/>
      <c r="AL1305" s="142"/>
    </row>
    <row r="1306" ht="20.25" customHeight="1">
      <c r="A1306" s="155" t="str">
        <f>IFERROR(__xludf.DUMMYFUNCTION("""COMPUTED_VALUE"""),"wrath5120")</f>
        <v>wrath5120</v>
      </c>
      <c r="B1306" s="149" t="str">
        <f>IFERROR(__xludf.DUMMYFUNCTION("""COMPUTED_VALUE"""),"Pittsburgh")</f>
        <v>Pittsburgh</v>
      </c>
      <c r="C1306" s="150" t="str">
        <f>IFERROR(__xludf.DUMMYFUNCTION("""COMPUTED_VALUE"""),"PA")</f>
        <v>PA</v>
      </c>
      <c r="D1306" s="150" t="str">
        <f>IFERROR(__xludf.DUMMYFUNCTION("""COMPUTED_VALUE"""),"USA")</f>
        <v>USA</v>
      </c>
      <c r="E1306" s="156">
        <f>IFERROR(__xludf.DUMMYFUNCTION("""COMPUTED_VALUE"""),43870.0)</f>
        <v>43870</v>
      </c>
      <c r="F1306" s="129">
        <f>IFERROR(__xludf.DUMMYFUNCTION("""COMPUTED_VALUE"""),43887.0)</f>
        <v>43887</v>
      </c>
      <c r="G1306" s="154"/>
      <c r="H1306" s="131">
        <f>IFERROR(__xludf.DUMMYFUNCTION("""COMPUTED_VALUE"""),663155.0)</f>
        <v>663155</v>
      </c>
      <c r="I1306" s="132"/>
      <c r="J1306" s="129">
        <f>IFERROR(__xludf.DUMMYFUNCTION("""COMPUTED_VALUE"""),43901.0)</f>
        <v>43901</v>
      </c>
      <c r="K1306" s="133">
        <f>IFERROR(__xludf.DUMMYFUNCTION("""COMPUTED_VALUE"""),17.0)</f>
        <v>17</v>
      </c>
      <c r="L1306" s="133">
        <f>IFERROR(__xludf.DUMMYFUNCTION("""COMPUTED_VALUE"""),14.0)</f>
        <v>14</v>
      </c>
      <c r="M1306" s="133">
        <f>IFERROR(__xludf.DUMMYFUNCTION("""COMPUTED_VALUE"""),31.0)</f>
        <v>31</v>
      </c>
      <c r="N1306" s="152" t="str">
        <f>IFERROR(__xludf.DUMMYFUNCTION("""COMPUTED_VALUE"""),"Model 3 LR AWD")</f>
        <v>Model 3 LR AWD</v>
      </c>
      <c r="O1306" s="152" t="str">
        <f>IFERROR(__xludf.DUMMYFUNCTION("""COMPUTED_VALUE"""),"Midnight Silver Metallic")</f>
        <v>Midnight Silver Metallic</v>
      </c>
      <c r="P1306" s="153" t="str">
        <f>IFERROR(__xludf.DUMMYFUNCTION("""COMPUTED_VALUE"""),"18 inch Aero")</f>
        <v>18 inch Aero</v>
      </c>
      <c r="Q1306" s="152" t="str">
        <f>IFERROR(__xludf.DUMMYFUNCTION("""COMPUTED_VALUE"""),"Black seats")</f>
        <v>Black seats</v>
      </c>
      <c r="R1306" s="150" t="str">
        <f>IFERROR(__xludf.DUMMYFUNCTION("""COMPUTED_VALUE"""),"Autopilot")</f>
        <v>Autopilot</v>
      </c>
      <c r="S1306" s="150"/>
      <c r="T1306" s="145"/>
      <c r="U1306" s="145"/>
      <c r="V1306" s="136"/>
      <c r="W1306" s="136"/>
      <c r="X1306" s="137" t="str">
        <f>IFERROR(__xludf.DUMMYFUNCTION("""COMPUTED_VALUE"""),"Excellent")</f>
        <v>Excellent</v>
      </c>
      <c r="Y1306" s="138" t="str">
        <f>IFERROR(__xludf.DUMMYFUNCTION("""COMPUTED_VALUE"""),"Excellent")</f>
        <v>Excellent</v>
      </c>
      <c r="Z1306" s="138" t="str">
        <f>IFERROR(__xludf.DUMMYFUNCTION("""COMPUTED_VALUE"""),"Very Good")</f>
        <v>Very Good</v>
      </c>
      <c r="AA1306" s="138" t="str">
        <f>IFERROR(__xludf.DUMMYFUNCTION("""COMPUTED_VALUE"""),"Very Good")</f>
        <v>Very Good</v>
      </c>
      <c r="AB1306" s="138" t="str">
        <f>IFERROR(__xludf.DUMMYFUNCTION("""COMPUTED_VALUE"""),"Fair")</f>
        <v>Fair</v>
      </c>
      <c r="AC1306" s="139">
        <f>IFERROR(__xludf.DUMMYFUNCTION("""COMPUTED_VALUE"""),0.0)</f>
        <v>0</v>
      </c>
      <c r="AD1306" s="139">
        <f>IFERROR(__xludf.DUMMYFUNCTION("""COMPUTED_VALUE"""),0.0)</f>
        <v>0</v>
      </c>
      <c r="AE1306" s="139">
        <f>IFERROR(__xludf.DUMMYFUNCTION("""COMPUTED_VALUE"""),0.0)</f>
        <v>0</v>
      </c>
      <c r="AF1306" s="140"/>
      <c r="AG1306" s="136" t="str">
        <f>IFERROR(__xludf.DUMMYFUNCTION("""COMPUTED_VALUE"""),"Got a text 02/13/2020 delivery will be in 3-5 weeks., VIN in the source 02/26/2020. Update to move delivery date up to 03/11/2020 if desired. Tesla forgot to give me the pink slip to register, but this was right before COVID-19 and they expressed it to me"&amp;" very quickly after.")</f>
        <v>Got a text 02/13/2020 delivery will be in 3-5 weeks., VIN in the source 02/26/2020. Update to move delivery date up to 03/11/2020 if desired. Tesla forgot to give me the pink slip to register, but this was right before COVID-19 and they expressed it to me very quickly after.</v>
      </c>
      <c r="AH1306" s="157">
        <f>IFERROR(__xludf.DUMMYFUNCTION("""COMPUTED_VALUE"""),44033.40202137731)</f>
        <v>44033.40202</v>
      </c>
      <c r="AI1306" s="138"/>
      <c r="AJ1306" s="138"/>
      <c r="AK1306" s="138"/>
      <c r="AL1306" s="142"/>
    </row>
    <row r="1307" ht="20.25" customHeight="1">
      <c r="A1307" s="155" t="str">
        <f>IFERROR(__xludf.DUMMYFUNCTION("""COMPUTED_VALUE"""),"jmatero")</f>
        <v>jmatero</v>
      </c>
      <c r="B1307" s="149" t="str">
        <f>IFERROR(__xludf.DUMMYFUNCTION("""COMPUTED_VALUE"""),"San Jose")</f>
        <v>San Jose</v>
      </c>
      <c r="C1307" s="149" t="str">
        <f>IFERROR(__xludf.DUMMYFUNCTION("""COMPUTED_VALUE"""),"CA")</f>
        <v>CA</v>
      </c>
      <c r="D1307" s="149" t="str">
        <f>IFERROR(__xludf.DUMMYFUNCTION("""COMPUTED_VALUE"""),"USA")</f>
        <v>USA</v>
      </c>
      <c r="E1307" s="156">
        <f>IFERROR(__xludf.DUMMYFUNCTION("""COMPUTED_VALUE"""),43869.0)</f>
        <v>43869</v>
      </c>
      <c r="F1307" s="129">
        <f>IFERROR(__xludf.DUMMYFUNCTION("""COMPUTED_VALUE"""),43896.0)</f>
        <v>43896</v>
      </c>
      <c r="G1307" s="154"/>
      <c r="H1307" s="131">
        <f>IFERROR(__xludf.DUMMYFUNCTION("""COMPUTED_VALUE"""),710355.0)</f>
        <v>710355</v>
      </c>
      <c r="I1307" s="132" t="str">
        <f>IFERROR(__xludf.DUMMYFUNCTION("""COMPUTED_VALUE"""),"03/20")</f>
        <v>03/20</v>
      </c>
      <c r="J1307" s="129">
        <f>IFERROR(__xludf.DUMMYFUNCTION("""COMPUTED_VALUE"""),43899.0)</f>
        <v>43899</v>
      </c>
      <c r="K1307" s="133">
        <f>IFERROR(__xludf.DUMMYFUNCTION("""COMPUTED_VALUE"""),27.0)</f>
        <v>27</v>
      </c>
      <c r="L1307" s="133">
        <f>IFERROR(__xludf.DUMMYFUNCTION("""COMPUTED_VALUE"""),3.0)</f>
        <v>3</v>
      </c>
      <c r="M1307" s="133">
        <f>IFERROR(__xludf.DUMMYFUNCTION("""COMPUTED_VALUE"""),30.0)</f>
        <v>30</v>
      </c>
      <c r="N1307" s="152" t="str">
        <f>IFERROR(__xludf.DUMMYFUNCTION("""COMPUTED_VALUE"""),"Model 3 SR+")</f>
        <v>Model 3 SR+</v>
      </c>
      <c r="O1307" s="152" t="str">
        <f>IFERROR(__xludf.DUMMYFUNCTION("""COMPUTED_VALUE"""),"Pearl White Multi-Coat")</f>
        <v>Pearl White Multi-Coat</v>
      </c>
      <c r="P1307" s="153" t="str">
        <f>IFERROR(__xludf.DUMMYFUNCTION("""COMPUTED_VALUE"""),"19 inch Sport")</f>
        <v>19 inch Sport</v>
      </c>
      <c r="Q1307" s="152" t="str">
        <f>IFERROR(__xludf.DUMMYFUNCTION("""COMPUTED_VALUE"""),"White seats")</f>
        <v>White seats</v>
      </c>
      <c r="R1307" s="150" t="str">
        <f>IFERROR(__xludf.DUMMYFUNCTION("""COMPUTED_VALUE"""),"Autopilot")</f>
        <v>Autopilot</v>
      </c>
      <c r="S1307" s="150"/>
      <c r="T1307" s="136"/>
      <c r="U1307" s="136"/>
      <c r="V1307" s="136"/>
      <c r="W1307" s="136"/>
      <c r="X1307" s="137" t="str">
        <f>IFERROR(__xludf.DUMMYFUNCTION("""COMPUTED_VALUE"""),"Poor")</f>
        <v>Poor</v>
      </c>
      <c r="Y1307" s="138" t="str">
        <f>IFERROR(__xludf.DUMMYFUNCTION("""COMPUTED_VALUE"""),"Good")</f>
        <v>Good</v>
      </c>
      <c r="Z1307" s="138" t="str">
        <f>IFERROR(__xludf.DUMMYFUNCTION("""COMPUTED_VALUE"""),"Good")</f>
        <v>Good</v>
      </c>
      <c r="AA1307" s="138" t="str">
        <f>IFERROR(__xludf.DUMMYFUNCTION("""COMPUTED_VALUE"""),"Very Good")</f>
        <v>Very Good</v>
      </c>
      <c r="AB1307" s="138" t="str">
        <f>IFERROR(__xludf.DUMMYFUNCTION("""COMPUTED_VALUE"""),"Fair")</f>
        <v>Fair</v>
      </c>
      <c r="AC1307" s="139">
        <f>IFERROR(__xludf.DUMMYFUNCTION("""COMPUTED_VALUE"""),6.0)</f>
        <v>6</v>
      </c>
      <c r="AD1307" s="139">
        <f>IFERROR(__xludf.DUMMYFUNCTION("""COMPUTED_VALUE"""),3.0)</f>
        <v>3</v>
      </c>
      <c r="AE1307" s="139">
        <f>IFERROR(__xludf.DUMMYFUNCTION("""COMPUTED_VALUE"""),0.0)</f>
        <v>0</v>
      </c>
      <c r="AF1307" s="140"/>
      <c r="AG1307" s="136" t="str">
        <f>IFERROR(__xludf.DUMMYFUNCTION("""COMPUTED_VALUE"""),"Hood contacting front fender, headliner stains, interior trim not attached fully, charge port door not flush, alignment off.")</f>
        <v>Hood contacting front fender, headliner stains, interior trim not attached fully, charge port door not flush, alignment off.</v>
      </c>
      <c r="AH1307" s="157">
        <f>IFERROR(__xludf.DUMMYFUNCTION("""COMPUTED_VALUE"""),44099.66417063658)</f>
        <v>44099.66417</v>
      </c>
      <c r="AI1307" s="138"/>
      <c r="AJ1307" s="138"/>
      <c r="AK1307" s="138"/>
      <c r="AL1307" s="142"/>
    </row>
    <row r="1308" ht="20.25" customHeight="1">
      <c r="A1308" s="155" t="str">
        <f>IFERROR(__xludf.DUMMYFUNCTION("""COMPUTED_VALUE"""),"Pete1988")</f>
        <v>Pete1988</v>
      </c>
      <c r="B1308" s="149" t="str">
        <f>IFERROR(__xludf.DUMMYFUNCTION("""COMPUTED_VALUE"""),"Bern")</f>
        <v>Bern</v>
      </c>
      <c r="C1308" s="149"/>
      <c r="D1308" s="149" t="str">
        <f>IFERROR(__xludf.DUMMYFUNCTION("""COMPUTED_VALUE"""),"Switzerland")</f>
        <v>Switzerland</v>
      </c>
      <c r="E1308" s="156">
        <f>IFERROR(__xludf.DUMMYFUNCTION("""COMPUTED_VALUE"""),43869.0)</f>
        <v>43869</v>
      </c>
      <c r="F1308" s="129">
        <f>IFERROR(__xludf.DUMMYFUNCTION("""COMPUTED_VALUE"""),43880.0)</f>
        <v>43880</v>
      </c>
      <c r="G1308" s="154"/>
      <c r="H1308" s="131">
        <f>IFERROR(__xludf.DUMMYFUNCTION("""COMPUTED_VALUE"""),682255.0)</f>
        <v>682255</v>
      </c>
      <c r="I1308" s="144"/>
      <c r="J1308" s="129">
        <f>IFERROR(__xludf.DUMMYFUNCTION("""COMPUTED_VALUE"""),43902.0)</f>
        <v>43902</v>
      </c>
      <c r="K1308" s="133">
        <f>IFERROR(__xludf.DUMMYFUNCTION("""COMPUTED_VALUE"""),11.0)</f>
        <v>11</v>
      </c>
      <c r="L1308" s="133">
        <f>IFERROR(__xludf.DUMMYFUNCTION("""COMPUTED_VALUE"""),22.0)</f>
        <v>22</v>
      </c>
      <c r="M1308" s="133">
        <f>IFERROR(__xludf.DUMMYFUNCTION("""COMPUTED_VALUE"""),33.0)</f>
        <v>33</v>
      </c>
      <c r="N1308" s="152" t="str">
        <f>IFERROR(__xludf.DUMMYFUNCTION("""COMPUTED_VALUE"""),"Model 3 Performance")</f>
        <v>Model 3 Performance</v>
      </c>
      <c r="O1308" s="152" t="str">
        <f>IFERROR(__xludf.DUMMYFUNCTION("""COMPUTED_VALUE"""),"Red Multi-Coat")</f>
        <v>Red Multi-Coat</v>
      </c>
      <c r="P1308" s="153" t="str">
        <f>IFERROR(__xludf.DUMMYFUNCTION("""COMPUTED_VALUE"""),"20 inch Sport")</f>
        <v>20 inch Sport</v>
      </c>
      <c r="Q1308" s="152" t="str">
        <f>IFERROR(__xludf.DUMMYFUNCTION("""COMPUTED_VALUE"""),"Black seats")</f>
        <v>Black seats</v>
      </c>
      <c r="R1308" s="149" t="str">
        <f>IFERROR(__xludf.DUMMYFUNCTION("""COMPUTED_VALUE"""),"Full Self-Driving")</f>
        <v>Full Self-Driving</v>
      </c>
      <c r="S1308" s="149"/>
      <c r="T1308" s="145"/>
      <c r="U1308" s="145"/>
      <c r="V1308" s="145"/>
      <c r="W1308" s="136"/>
      <c r="X1308" s="137" t="str">
        <f>IFERROR(__xludf.DUMMYFUNCTION("""COMPUTED_VALUE"""),"Excellent")</f>
        <v>Excellent</v>
      </c>
      <c r="Y1308" s="138" t="str">
        <f>IFERROR(__xludf.DUMMYFUNCTION("""COMPUTED_VALUE"""),"Excellent")</f>
        <v>Excellent</v>
      </c>
      <c r="Z1308" s="138" t="str">
        <f>IFERROR(__xludf.DUMMYFUNCTION("""COMPUTED_VALUE"""),"Excellent")</f>
        <v>Excellent</v>
      </c>
      <c r="AA1308" s="138" t="str">
        <f>IFERROR(__xludf.DUMMYFUNCTION("""COMPUTED_VALUE"""),"Very Good")</f>
        <v>Very Good</v>
      </c>
      <c r="AB1308" s="138" t="str">
        <f>IFERROR(__xludf.DUMMYFUNCTION("""COMPUTED_VALUE"""),"Very Good")</f>
        <v>Very Good</v>
      </c>
      <c r="AC1308" s="139">
        <f>IFERROR(__xludf.DUMMYFUNCTION("""COMPUTED_VALUE"""),2.0)</f>
        <v>2</v>
      </c>
      <c r="AD1308" s="139">
        <f>IFERROR(__xludf.DUMMYFUNCTION("""COMPUTED_VALUE"""),1.0)</f>
        <v>1</v>
      </c>
      <c r="AE1308" s="139">
        <f>IFERROR(__xludf.DUMMYFUNCTION("""COMPUTED_VALUE"""),0.0)</f>
        <v>0</v>
      </c>
      <c r="AF1308" s="140"/>
      <c r="AG1308" s="136" t="str">
        <f>IFERROR(__xludf.DUMMYFUNCTION("""COMPUTED_VALUE"""),"Vin was in the sourcecode. My Tesla was in the ship ""Grand Mark"" and will be arriving in Switzerland on the 6th of March. I received a text for scheduling delivery 2 weeks prior do deliverydate.")</f>
        <v>Vin was in the sourcecode. My Tesla was in the ship "Grand Mark" and will be arriving in Switzerland on the 6th of March. I received a text for scheduling delivery 2 weeks prior do deliverydate.</v>
      </c>
      <c r="AH1308" s="157">
        <f>IFERROR(__xludf.DUMMYFUNCTION("""COMPUTED_VALUE"""),43935.01759321759)</f>
        <v>43935.01759</v>
      </c>
      <c r="AI1308" s="138"/>
      <c r="AJ1308" s="138"/>
      <c r="AK1308" s="138"/>
      <c r="AL1308" s="142"/>
    </row>
    <row r="1309" ht="20.25" customHeight="1">
      <c r="A1309" s="155" t="str">
        <f>IFERROR(__xludf.DUMMYFUNCTION("""COMPUTED_VALUE"""),"dasilva13")</f>
        <v>dasilva13</v>
      </c>
      <c r="B1309" s="149" t="str">
        <f>IFERROR(__xludf.DUMMYFUNCTION("""COMPUTED_VALUE"""),"Holland")</f>
        <v>Holland</v>
      </c>
      <c r="C1309" s="149" t="str">
        <f>IFERROR(__xludf.DUMMYFUNCTION("""COMPUTED_VALUE"""),"PA")</f>
        <v>PA</v>
      </c>
      <c r="D1309" s="149" t="str">
        <f>IFERROR(__xludf.DUMMYFUNCTION("""COMPUTED_VALUE"""),"USA")</f>
        <v>USA</v>
      </c>
      <c r="E1309" s="156">
        <f>IFERROR(__xludf.DUMMYFUNCTION("""COMPUTED_VALUE"""),43868.0)</f>
        <v>43868</v>
      </c>
      <c r="F1309" s="129">
        <f>IFERROR(__xludf.DUMMYFUNCTION("""COMPUTED_VALUE"""),43900.0)</f>
        <v>43900</v>
      </c>
      <c r="G1309" s="154"/>
      <c r="H1309" s="131">
        <f>IFERROR(__xludf.DUMMYFUNCTION("""COMPUTED_VALUE"""),713069.0)</f>
        <v>713069</v>
      </c>
      <c r="I1309" s="144" t="str">
        <f>IFERROR(__xludf.DUMMYFUNCTION("""COMPUTED_VALUE"""),"03/20")</f>
        <v>03/20</v>
      </c>
      <c r="J1309" s="129">
        <f>IFERROR(__xludf.DUMMYFUNCTION("""COMPUTED_VALUE"""),43911.0)</f>
        <v>43911</v>
      </c>
      <c r="K1309" s="133">
        <f>IFERROR(__xludf.DUMMYFUNCTION("""COMPUTED_VALUE"""),32.0)</f>
        <v>32</v>
      </c>
      <c r="L1309" s="133">
        <f>IFERROR(__xludf.DUMMYFUNCTION("""COMPUTED_VALUE"""),11.0)</f>
        <v>11</v>
      </c>
      <c r="M1309" s="133">
        <f>IFERROR(__xludf.DUMMYFUNCTION("""COMPUTED_VALUE"""),43.0)</f>
        <v>43</v>
      </c>
      <c r="N1309" s="152" t="str">
        <f>IFERROR(__xludf.DUMMYFUNCTION("""COMPUTED_VALUE"""),"Model 3 Performance")</f>
        <v>Model 3 Performance</v>
      </c>
      <c r="O1309" s="152" t="str">
        <f>IFERROR(__xludf.DUMMYFUNCTION("""COMPUTED_VALUE"""),"Solid Black")</f>
        <v>Solid Black</v>
      </c>
      <c r="P1309" s="153" t="str">
        <f>IFERROR(__xludf.DUMMYFUNCTION("""COMPUTED_VALUE"""),"20 inch Sport")</f>
        <v>20 inch Sport</v>
      </c>
      <c r="Q1309" s="152" t="str">
        <f>IFERROR(__xludf.DUMMYFUNCTION("""COMPUTED_VALUE"""),"Black seats")</f>
        <v>Black seats</v>
      </c>
      <c r="R1309" s="149" t="str">
        <f>IFERROR(__xludf.DUMMYFUNCTION("""COMPUTED_VALUE"""),"Full Self-Driving")</f>
        <v>Full Self-Driving</v>
      </c>
      <c r="S1309" s="149"/>
      <c r="T1309" s="145"/>
      <c r="U1309" s="145"/>
      <c r="V1309" s="145"/>
      <c r="W1309" s="136"/>
      <c r="X1309" s="137" t="str">
        <f>IFERROR(__xludf.DUMMYFUNCTION("""COMPUTED_VALUE"""),"Fair")</f>
        <v>Fair</v>
      </c>
      <c r="Y1309" s="138" t="str">
        <f>IFERROR(__xludf.DUMMYFUNCTION("""COMPUTED_VALUE"""),"Very Good")</f>
        <v>Very Good</v>
      </c>
      <c r="Z1309" s="138" t="str">
        <f>IFERROR(__xludf.DUMMYFUNCTION("""COMPUTED_VALUE"""),"Very Good")</f>
        <v>Very Good</v>
      </c>
      <c r="AA1309" s="138" t="str">
        <f>IFERROR(__xludf.DUMMYFUNCTION("""COMPUTED_VALUE"""),"Good")</f>
        <v>Good</v>
      </c>
      <c r="AB1309" s="138" t="str">
        <f>IFERROR(__xludf.DUMMYFUNCTION("""COMPUTED_VALUE"""),"Very Good")</f>
        <v>Very Good</v>
      </c>
      <c r="AC1309" s="139"/>
      <c r="AD1309" s="139"/>
      <c r="AE1309" s="139"/>
      <c r="AF1309" s="140"/>
      <c r="AG1309" s="136" t="str">
        <f>IFERROR(__xludf.DUMMYFUNCTION("""COMPUTED_VALUE"""),"2-13 - Text Delivery Update 4-6 weeks/2-24 - Built in next two weeks/3-20 - PA Stay at home orders Delership closed/4/23/2020 - Finally Picked up!")</f>
        <v>2-13 - Text Delivery Update 4-6 weeks/2-24 - Built in next two weeks/3-20 - PA Stay at home orders Delership closed/4/23/2020 - Finally Picked up!</v>
      </c>
      <c r="AH1309" s="157">
        <f>IFERROR(__xludf.DUMMYFUNCTION("""COMPUTED_VALUE"""),43945.31007608796)</f>
        <v>43945.31008</v>
      </c>
      <c r="AI1309" s="138"/>
      <c r="AJ1309" s="138"/>
      <c r="AK1309" s="138"/>
      <c r="AL1309" s="142"/>
    </row>
    <row r="1310" ht="20.25" customHeight="1">
      <c r="A1310" s="155" t="str">
        <f>IFERROR(__xludf.DUMMYFUNCTION("""COMPUTED_VALUE"""),"johngfitzgerald")</f>
        <v>johngfitzgerald</v>
      </c>
      <c r="B1310" s="149" t="str">
        <f>IFERROR(__xludf.DUMMYFUNCTION("""COMPUTED_VALUE"""),"Lancaster")</f>
        <v>Lancaster</v>
      </c>
      <c r="C1310" s="149"/>
      <c r="D1310" s="149" t="str">
        <f>IFERROR(__xludf.DUMMYFUNCTION("""COMPUTED_VALUE"""),"United Kingdom")</f>
        <v>United Kingdom</v>
      </c>
      <c r="E1310" s="156">
        <f>IFERROR(__xludf.DUMMYFUNCTION("""COMPUTED_VALUE"""),43868.0)</f>
        <v>43868</v>
      </c>
      <c r="F1310" s="129">
        <f>IFERROR(__xludf.DUMMYFUNCTION("""COMPUTED_VALUE"""),43878.0)</f>
        <v>43878</v>
      </c>
      <c r="G1310" s="154"/>
      <c r="H1310" s="131">
        <f>IFERROR(__xludf.DUMMYFUNCTION("""COMPUTED_VALUE"""),685455.0)</f>
        <v>685455</v>
      </c>
      <c r="I1310" s="144"/>
      <c r="J1310" s="129">
        <f>IFERROR(__xludf.DUMMYFUNCTION("""COMPUTED_VALUE"""),43907.0)</f>
        <v>43907</v>
      </c>
      <c r="K1310" s="133">
        <f>IFERROR(__xludf.DUMMYFUNCTION("""COMPUTED_VALUE"""),10.0)</f>
        <v>10</v>
      </c>
      <c r="L1310" s="133">
        <f>IFERROR(__xludf.DUMMYFUNCTION("""COMPUTED_VALUE"""),29.0)</f>
        <v>29</v>
      </c>
      <c r="M1310" s="133">
        <f>IFERROR(__xludf.DUMMYFUNCTION("""COMPUTED_VALUE"""),39.0)</f>
        <v>39</v>
      </c>
      <c r="N1310" s="152" t="str">
        <f>IFERROR(__xludf.DUMMYFUNCTION("""COMPUTED_VALUE"""),"Model 3 SR+")</f>
        <v>Model 3 SR+</v>
      </c>
      <c r="O1310" s="152" t="str">
        <f>IFERROR(__xludf.DUMMYFUNCTION("""COMPUTED_VALUE"""),"Deep Blue Metallic")</f>
        <v>Deep Blue Metallic</v>
      </c>
      <c r="P1310" s="153" t="str">
        <f>IFERROR(__xludf.DUMMYFUNCTION("""COMPUTED_VALUE"""),"18 inch Aero")</f>
        <v>18 inch Aero</v>
      </c>
      <c r="Q1310" s="152" t="str">
        <f>IFERROR(__xludf.DUMMYFUNCTION("""COMPUTED_VALUE"""),"Black seats")</f>
        <v>Black seats</v>
      </c>
      <c r="R1310" s="149" t="str">
        <f>IFERROR(__xludf.DUMMYFUNCTION("""COMPUTED_VALUE"""),"Autopilot")</f>
        <v>Autopilot</v>
      </c>
      <c r="S1310" s="149"/>
      <c r="T1310" s="145"/>
      <c r="U1310" s="145"/>
      <c r="V1310" s="145"/>
      <c r="W1310" s="136"/>
      <c r="X1310" s="137" t="str">
        <f>IFERROR(__xludf.DUMMYFUNCTION("""COMPUTED_VALUE"""),"Excellent")</f>
        <v>Excellent</v>
      </c>
      <c r="Y1310" s="138" t="str">
        <f>IFERROR(__xludf.DUMMYFUNCTION("""COMPUTED_VALUE"""),"Excellent")</f>
        <v>Excellent</v>
      </c>
      <c r="Z1310" s="138" t="str">
        <f>IFERROR(__xludf.DUMMYFUNCTION("""COMPUTED_VALUE"""),"Excellent")</f>
        <v>Excellent</v>
      </c>
      <c r="AA1310" s="138" t="str">
        <f>IFERROR(__xludf.DUMMYFUNCTION("""COMPUTED_VALUE"""),"Excellent")</f>
        <v>Excellent</v>
      </c>
      <c r="AB1310" s="138" t="str">
        <f>IFERROR(__xludf.DUMMYFUNCTION("""COMPUTED_VALUE"""),"Excellent")</f>
        <v>Excellent</v>
      </c>
      <c r="AC1310" s="139">
        <f>IFERROR(__xludf.DUMMYFUNCTION("""COMPUTED_VALUE"""),0.0)</f>
        <v>0</v>
      </c>
      <c r="AD1310" s="139">
        <f>IFERROR(__xludf.DUMMYFUNCTION("""COMPUTED_VALUE"""),0.0)</f>
        <v>0</v>
      </c>
      <c r="AE1310" s="139">
        <f>IFERROR(__xludf.DUMMYFUNCTION("""COMPUTED_VALUE"""),0.0)</f>
        <v>0</v>
      </c>
      <c r="AF1310" s="140"/>
      <c r="AG1310" s="136"/>
      <c r="AH1310" s="157">
        <f>IFERROR(__xludf.DUMMYFUNCTION("""COMPUTED_VALUE"""),43920.07752378473)</f>
        <v>43920.07752</v>
      </c>
      <c r="AI1310" s="138"/>
      <c r="AJ1310" s="138"/>
      <c r="AK1310" s="138"/>
      <c r="AL1310" s="142"/>
    </row>
    <row r="1311" ht="20.25" customHeight="1">
      <c r="A1311" s="155" t="str">
        <f>IFERROR(__xludf.DUMMYFUNCTION("""COMPUTED_VALUE"""),"blazeform")</f>
        <v>blazeform</v>
      </c>
      <c r="B1311" s="149" t="str">
        <f>IFERROR(__xludf.DUMMYFUNCTION("""COMPUTED_VALUE"""),"Fort Lauderdale")</f>
        <v>Fort Lauderdale</v>
      </c>
      <c r="C1311" s="149" t="str">
        <f>IFERROR(__xludf.DUMMYFUNCTION("""COMPUTED_VALUE"""),"FL")</f>
        <v>FL</v>
      </c>
      <c r="D1311" s="149" t="str">
        <f>IFERROR(__xludf.DUMMYFUNCTION("""COMPUTED_VALUE"""),"USA")</f>
        <v>USA</v>
      </c>
      <c r="E1311" s="156">
        <f>IFERROR(__xludf.DUMMYFUNCTION("""COMPUTED_VALUE"""),43867.0)</f>
        <v>43867</v>
      </c>
      <c r="F1311" s="129">
        <f>IFERROR(__xludf.DUMMYFUNCTION("""COMPUTED_VALUE"""),43883.0)</f>
        <v>43883</v>
      </c>
      <c r="G1311" s="154"/>
      <c r="H1311" s="131"/>
      <c r="I1311" s="132"/>
      <c r="J1311" s="129">
        <f>IFERROR(__xludf.DUMMYFUNCTION("""COMPUTED_VALUE"""),43903.0)</f>
        <v>43903</v>
      </c>
      <c r="K1311" s="133">
        <f>IFERROR(__xludf.DUMMYFUNCTION("""COMPUTED_VALUE"""),16.0)</f>
        <v>16</v>
      </c>
      <c r="L1311" s="133">
        <f>IFERROR(__xludf.DUMMYFUNCTION("""COMPUTED_VALUE"""),20.0)</f>
        <v>20</v>
      </c>
      <c r="M1311" s="133">
        <f>IFERROR(__xludf.DUMMYFUNCTION("""COMPUTED_VALUE"""),36.0)</f>
        <v>36</v>
      </c>
      <c r="N1311" s="152" t="str">
        <f>IFERROR(__xludf.DUMMYFUNCTION("""COMPUTED_VALUE"""),"Model 3 LR AWD")</f>
        <v>Model 3 LR AWD</v>
      </c>
      <c r="O1311" s="152" t="str">
        <f>IFERROR(__xludf.DUMMYFUNCTION("""COMPUTED_VALUE"""),"Midnight Silver Metallic")</f>
        <v>Midnight Silver Metallic</v>
      </c>
      <c r="P1311" s="153" t="str">
        <f>IFERROR(__xludf.DUMMYFUNCTION("""COMPUTED_VALUE"""),"19 inch Sport")</f>
        <v>19 inch Sport</v>
      </c>
      <c r="Q1311" s="152" t="str">
        <f>IFERROR(__xludf.DUMMYFUNCTION("""COMPUTED_VALUE"""),"White seats")</f>
        <v>White seats</v>
      </c>
      <c r="R1311" s="150" t="str">
        <f>IFERROR(__xludf.DUMMYFUNCTION("""COMPUTED_VALUE"""),"Autopilot")</f>
        <v>Autopilot</v>
      </c>
      <c r="S1311" s="150"/>
      <c r="T1311" s="136"/>
      <c r="U1311" s="136"/>
      <c r="V1311" s="136"/>
      <c r="W1311" s="136"/>
      <c r="X1311" s="137" t="str">
        <f>IFERROR(__xludf.DUMMYFUNCTION("""COMPUTED_VALUE"""),"Excellent")</f>
        <v>Excellent</v>
      </c>
      <c r="Y1311" s="138" t="str">
        <f>IFERROR(__xludf.DUMMYFUNCTION("""COMPUTED_VALUE"""),"Excellent")</f>
        <v>Excellent</v>
      </c>
      <c r="Z1311" s="138" t="str">
        <f>IFERROR(__xludf.DUMMYFUNCTION("""COMPUTED_VALUE"""),"Excellent")</f>
        <v>Excellent</v>
      </c>
      <c r="AA1311" s="138" t="str">
        <f>IFERROR(__xludf.DUMMYFUNCTION("""COMPUTED_VALUE"""),"Very Good")</f>
        <v>Very Good</v>
      </c>
      <c r="AB1311" s="138" t="str">
        <f>IFERROR(__xludf.DUMMYFUNCTION("""COMPUTED_VALUE"""),"Excellent")</f>
        <v>Excellent</v>
      </c>
      <c r="AC1311" s="139"/>
      <c r="AD1311" s="139"/>
      <c r="AE1311" s="139"/>
      <c r="AF1311" s="140"/>
      <c r="AG1311" s="136"/>
      <c r="AH1311" s="157">
        <f>IFERROR(__xludf.DUMMYFUNCTION("""COMPUTED_VALUE"""),43905.83692021991)</f>
        <v>43905.83692</v>
      </c>
      <c r="AI1311" s="138"/>
      <c r="AJ1311" s="138"/>
      <c r="AK1311" s="138"/>
      <c r="AL1311" s="142"/>
    </row>
    <row r="1312" ht="20.25" customHeight="1">
      <c r="A1312" s="155" t="str">
        <f>IFERROR(__xludf.DUMMYFUNCTION("""COMPUTED_VALUE"""),"Dallen")</f>
        <v>Dallen</v>
      </c>
      <c r="B1312" s="150" t="str">
        <f>IFERROR(__xludf.DUMMYFUNCTION("""COMPUTED_VALUE"""),"Boulder")</f>
        <v>Boulder</v>
      </c>
      <c r="C1312" s="149" t="str">
        <f>IFERROR(__xludf.DUMMYFUNCTION("""COMPUTED_VALUE"""),"CO")</f>
        <v>CO</v>
      </c>
      <c r="D1312" s="149" t="str">
        <f>IFERROR(__xludf.DUMMYFUNCTION("""COMPUTED_VALUE"""),"USA")</f>
        <v>USA</v>
      </c>
      <c r="E1312" s="156">
        <f>IFERROR(__xludf.DUMMYFUNCTION("""COMPUTED_VALUE"""),43867.0)</f>
        <v>43867</v>
      </c>
      <c r="F1312" s="129">
        <f>IFERROR(__xludf.DUMMYFUNCTION("""COMPUTED_VALUE"""),43889.0)</f>
        <v>43889</v>
      </c>
      <c r="G1312" s="154"/>
      <c r="H1312" s="131">
        <f>IFERROR(__xludf.DUMMYFUNCTION("""COMPUTED_VALUE"""),663426.0)</f>
        <v>663426</v>
      </c>
      <c r="I1312" s="132"/>
      <c r="J1312" s="129">
        <f>IFERROR(__xludf.DUMMYFUNCTION("""COMPUTED_VALUE"""),43895.0)</f>
        <v>43895</v>
      </c>
      <c r="K1312" s="133">
        <f>IFERROR(__xludf.DUMMYFUNCTION("""COMPUTED_VALUE"""),22.0)</f>
        <v>22</v>
      </c>
      <c r="L1312" s="133">
        <f>IFERROR(__xludf.DUMMYFUNCTION("""COMPUTED_VALUE"""),6.0)</f>
        <v>6</v>
      </c>
      <c r="M1312" s="133">
        <f>IFERROR(__xludf.DUMMYFUNCTION("""COMPUTED_VALUE"""),28.0)</f>
        <v>28</v>
      </c>
      <c r="N1312" s="152" t="str">
        <f>IFERROR(__xludf.DUMMYFUNCTION("""COMPUTED_VALUE"""),"Model 3 LR AWD")</f>
        <v>Model 3 LR AWD</v>
      </c>
      <c r="O1312" s="152" t="str">
        <f>IFERROR(__xludf.DUMMYFUNCTION("""COMPUTED_VALUE"""),"Midnight Silver Metallic")</f>
        <v>Midnight Silver Metallic</v>
      </c>
      <c r="P1312" s="153" t="str">
        <f>IFERROR(__xludf.DUMMYFUNCTION("""COMPUTED_VALUE"""),"18 inch Aero")</f>
        <v>18 inch Aero</v>
      </c>
      <c r="Q1312" s="152" t="str">
        <f>IFERROR(__xludf.DUMMYFUNCTION("""COMPUTED_VALUE"""),"Black seats")</f>
        <v>Black seats</v>
      </c>
      <c r="R1312" s="150" t="str">
        <f>IFERROR(__xludf.DUMMYFUNCTION("""COMPUTED_VALUE"""),"Autopilot")</f>
        <v>Autopilot</v>
      </c>
      <c r="S1312" s="150"/>
      <c r="T1312" s="145"/>
      <c r="U1312" s="145"/>
      <c r="V1312" s="136"/>
      <c r="W1312" s="136"/>
      <c r="X1312" s="137" t="str">
        <f>IFERROR(__xludf.DUMMYFUNCTION("""COMPUTED_VALUE"""),"Very Good")</f>
        <v>Very Good</v>
      </c>
      <c r="Y1312" s="138" t="str">
        <f>IFERROR(__xludf.DUMMYFUNCTION("""COMPUTED_VALUE"""),"Very Good")</f>
        <v>Very Good</v>
      </c>
      <c r="Z1312" s="138" t="str">
        <f>IFERROR(__xludf.DUMMYFUNCTION("""COMPUTED_VALUE"""),"Very Good")</f>
        <v>Very Good</v>
      </c>
      <c r="AA1312" s="138" t="str">
        <f>IFERROR(__xludf.DUMMYFUNCTION("""COMPUTED_VALUE"""),"Fair")</f>
        <v>Fair</v>
      </c>
      <c r="AB1312" s="138" t="str">
        <f>IFERROR(__xludf.DUMMYFUNCTION("""COMPUTED_VALUE"""),"Poor")</f>
        <v>Poor</v>
      </c>
      <c r="AC1312" s="139"/>
      <c r="AD1312" s="139"/>
      <c r="AE1312" s="139"/>
      <c r="AF1312" s="140"/>
      <c r="AG1312" s="136" t="str">
        <f>IFERROR(__xludf.DUMMYFUNCTION("""COMPUTED_VALUE"""),"2/24/2020 received txt that delivery will be in 2-6 weeks. ")</f>
        <v>2/24/2020 received txt that delivery will be in 2-6 weeks. </v>
      </c>
      <c r="AH1312" s="157">
        <f>IFERROR(__xludf.DUMMYFUNCTION("""COMPUTED_VALUE"""),43895.907288912036)</f>
        <v>43895.90729</v>
      </c>
      <c r="AI1312" s="138"/>
      <c r="AJ1312" s="138"/>
      <c r="AK1312" s="138"/>
      <c r="AL1312" s="142"/>
    </row>
    <row r="1313" ht="20.25" customHeight="1">
      <c r="A1313" s="155" t="str">
        <f>IFERROR(__xludf.DUMMYFUNCTION("""COMPUTED_VALUE"""),"doubledz")</f>
        <v>doubledz</v>
      </c>
      <c r="B1313" s="149" t="str">
        <f>IFERROR(__xludf.DUMMYFUNCTION("""COMPUTED_VALUE"""),"Devon")</f>
        <v>Devon</v>
      </c>
      <c r="C1313" s="149" t="str">
        <f>IFERROR(__xludf.DUMMYFUNCTION("""COMPUTED_VALUE"""),"PA")</f>
        <v>PA</v>
      </c>
      <c r="D1313" s="149" t="str">
        <f>IFERROR(__xludf.DUMMYFUNCTION("""COMPUTED_VALUE"""),"USA")</f>
        <v>USA</v>
      </c>
      <c r="E1313" s="156">
        <f>IFERROR(__xludf.DUMMYFUNCTION("""COMPUTED_VALUE"""),43867.0)</f>
        <v>43867</v>
      </c>
      <c r="F1313" s="129">
        <f>IFERROR(__xludf.DUMMYFUNCTION("""COMPUTED_VALUE"""),43890.0)</f>
        <v>43890</v>
      </c>
      <c r="G1313" s="154"/>
      <c r="H1313" s="131">
        <f>IFERROR(__xludf.DUMMYFUNCTION("""COMPUTED_VALUE"""),659013.0)</f>
        <v>659013</v>
      </c>
      <c r="I1313" s="132" t="str">
        <f>IFERROR(__xludf.DUMMYFUNCTION("""COMPUTED_VALUE"""),"02/20")</f>
        <v>02/20</v>
      </c>
      <c r="J1313" s="129">
        <f>IFERROR(__xludf.DUMMYFUNCTION("""COMPUTED_VALUE"""),43906.0)</f>
        <v>43906</v>
      </c>
      <c r="K1313" s="133">
        <f>IFERROR(__xludf.DUMMYFUNCTION("""COMPUTED_VALUE"""),23.0)</f>
        <v>23</v>
      </c>
      <c r="L1313" s="133">
        <f>IFERROR(__xludf.DUMMYFUNCTION("""COMPUTED_VALUE"""),16.0)</f>
        <v>16</v>
      </c>
      <c r="M1313" s="133">
        <f>IFERROR(__xludf.DUMMYFUNCTION("""COMPUTED_VALUE"""),39.0)</f>
        <v>39</v>
      </c>
      <c r="N1313" s="152" t="str">
        <f>IFERROR(__xludf.DUMMYFUNCTION("""COMPUTED_VALUE"""),"Model 3 SR")</f>
        <v>Model 3 SR</v>
      </c>
      <c r="O1313" s="152" t="str">
        <f>IFERROR(__xludf.DUMMYFUNCTION("""COMPUTED_VALUE"""),"Pearl White Multi-Coat")</f>
        <v>Pearl White Multi-Coat</v>
      </c>
      <c r="P1313" s="153" t="str">
        <f>IFERROR(__xludf.DUMMYFUNCTION("""COMPUTED_VALUE"""),"18 inch Aero")</f>
        <v>18 inch Aero</v>
      </c>
      <c r="Q1313" s="152" t="str">
        <f>IFERROR(__xludf.DUMMYFUNCTION("""COMPUTED_VALUE"""),"Black seats")</f>
        <v>Black seats</v>
      </c>
      <c r="R1313" s="150"/>
      <c r="S1313" s="150"/>
      <c r="T1313" s="136"/>
      <c r="U1313" s="136"/>
      <c r="V1313" s="136"/>
      <c r="W1313" s="136"/>
      <c r="X1313" s="137" t="str">
        <f>IFERROR(__xludf.DUMMYFUNCTION("""COMPUTED_VALUE"""),"Excellent")</f>
        <v>Excellent</v>
      </c>
      <c r="Y1313" s="138" t="str">
        <f>IFERROR(__xludf.DUMMYFUNCTION("""COMPUTED_VALUE"""),"Excellent")</f>
        <v>Excellent</v>
      </c>
      <c r="Z1313" s="138" t="str">
        <f>IFERROR(__xludf.DUMMYFUNCTION("""COMPUTED_VALUE"""),"Excellent")</f>
        <v>Excellent</v>
      </c>
      <c r="AA1313" s="138" t="str">
        <f>IFERROR(__xludf.DUMMYFUNCTION("""COMPUTED_VALUE"""),"Very Good")</f>
        <v>Very Good</v>
      </c>
      <c r="AB1313" s="138" t="str">
        <f>IFERROR(__xludf.DUMMYFUNCTION("""COMPUTED_VALUE"""),"Excellent")</f>
        <v>Excellent</v>
      </c>
      <c r="AC1313" s="139"/>
      <c r="AD1313" s="139"/>
      <c r="AE1313" s="139"/>
      <c r="AF1313" s="140"/>
      <c r="AG1313" s="136"/>
      <c r="AH1313" s="157">
        <f>IFERROR(__xludf.DUMMYFUNCTION("""COMPUTED_VALUE"""),43907.70741640046)</f>
        <v>43907.70742</v>
      </c>
      <c r="AI1313" s="138"/>
      <c r="AJ1313" s="138"/>
      <c r="AK1313" s="138"/>
      <c r="AL1313" s="142"/>
    </row>
    <row r="1314" ht="20.25" customHeight="1">
      <c r="A1314" s="155" t="str">
        <f>IFERROR(__xludf.DUMMYFUNCTION("""COMPUTED_VALUE"""),"forthecross99")</f>
        <v>forthecross99</v>
      </c>
      <c r="B1314" s="149" t="str">
        <f>IFERROR(__xludf.DUMMYFUNCTION("""COMPUTED_VALUE"""),"Palo Alto")</f>
        <v>Palo Alto</v>
      </c>
      <c r="C1314" s="149" t="str">
        <f>IFERROR(__xludf.DUMMYFUNCTION("""COMPUTED_VALUE"""),"CA")</f>
        <v>CA</v>
      </c>
      <c r="D1314" s="149" t="str">
        <f>IFERROR(__xludf.DUMMYFUNCTION("""COMPUTED_VALUE"""),"USA")</f>
        <v>USA</v>
      </c>
      <c r="E1314" s="156">
        <f>IFERROR(__xludf.DUMMYFUNCTION("""COMPUTED_VALUE"""),43867.0)</f>
        <v>43867</v>
      </c>
      <c r="F1314" s="129">
        <f>IFERROR(__xludf.DUMMYFUNCTION("""COMPUTED_VALUE"""),43894.0)</f>
        <v>43894</v>
      </c>
      <c r="G1314" s="154"/>
      <c r="H1314" s="131">
        <f>IFERROR(__xludf.DUMMYFUNCTION("""COMPUTED_VALUE"""),666873.0)</f>
        <v>666873</v>
      </c>
      <c r="I1314" s="132"/>
      <c r="J1314" s="129">
        <f>IFERROR(__xludf.DUMMYFUNCTION("""COMPUTED_VALUE"""),43897.0)</f>
        <v>43897</v>
      </c>
      <c r="K1314" s="133">
        <f>IFERROR(__xludf.DUMMYFUNCTION("""COMPUTED_VALUE"""),27.0)</f>
        <v>27</v>
      </c>
      <c r="L1314" s="133">
        <f>IFERROR(__xludf.DUMMYFUNCTION("""COMPUTED_VALUE"""),3.0)</f>
        <v>3</v>
      </c>
      <c r="M1314" s="133">
        <f>IFERROR(__xludf.DUMMYFUNCTION("""COMPUTED_VALUE"""),30.0)</f>
        <v>30</v>
      </c>
      <c r="N1314" s="152" t="str">
        <f>IFERROR(__xludf.DUMMYFUNCTION("""COMPUTED_VALUE"""),"Model 3 LR AWD")</f>
        <v>Model 3 LR AWD</v>
      </c>
      <c r="O1314" s="152" t="str">
        <f>IFERROR(__xludf.DUMMYFUNCTION("""COMPUTED_VALUE"""),"Red Multi-Coat")</f>
        <v>Red Multi-Coat</v>
      </c>
      <c r="P1314" s="153" t="str">
        <f>IFERROR(__xludf.DUMMYFUNCTION("""COMPUTED_VALUE"""),"19 inch Sport")</f>
        <v>19 inch Sport</v>
      </c>
      <c r="Q1314" s="152" t="str">
        <f>IFERROR(__xludf.DUMMYFUNCTION("""COMPUTED_VALUE"""),"Black seats")</f>
        <v>Black seats</v>
      </c>
      <c r="R1314" s="150" t="str">
        <f>IFERROR(__xludf.DUMMYFUNCTION("""COMPUTED_VALUE"""),"Autopilot")</f>
        <v>Autopilot</v>
      </c>
      <c r="S1314" s="150"/>
      <c r="T1314" s="136"/>
      <c r="U1314" s="136"/>
      <c r="V1314" s="136"/>
      <c r="W1314" s="136"/>
      <c r="X1314" s="158" t="str">
        <f>IFERROR(__xludf.DUMMYFUNCTION("""COMPUTED_VALUE"""),"Very Good")</f>
        <v>Very Good</v>
      </c>
      <c r="Y1314" s="138" t="str">
        <f>IFERROR(__xludf.DUMMYFUNCTION("""COMPUTED_VALUE"""),"Excellent")</f>
        <v>Excellent</v>
      </c>
      <c r="Z1314" s="138" t="str">
        <f>IFERROR(__xludf.DUMMYFUNCTION("""COMPUTED_VALUE"""),"Excellent")</f>
        <v>Excellent</v>
      </c>
      <c r="AA1314" s="138" t="str">
        <f>IFERROR(__xludf.DUMMYFUNCTION("""COMPUTED_VALUE"""),"Excellent")</f>
        <v>Excellent</v>
      </c>
      <c r="AB1314" s="138" t="str">
        <f>IFERROR(__xludf.DUMMYFUNCTION("""COMPUTED_VALUE"""),"Excellent")</f>
        <v>Excellent</v>
      </c>
      <c r="AC1314" s="139"/>
      <c r="AD1314" s="139"/>
      <c r="AE1314" s="139"/>
      <c r="AF1314" s="140"/>
      <c r="AG1314" s="136" t="str">
        <f>IFERROR(__xludf.DUMMYFUNCTION("""COMPUTED_VALUE"""),"On config date, was told 5 to 7 weeks delivery est.")</f>
        <v>On config date, was told 5 to 7 weeks delivery est.</v>
      </c>
      <c r="AH1314" s="157">
        <f>IFERROR(__xludf.DUMMYFUNCTION("""COMPUTED_VALUE"""),43898.56397909723)</f>
        <v>43898.56398</v>
      </c>
      <c r="AI1314" s="138"/>
      <c r="AJ1314" s="138"/>
      <c r="AK1314" s="138"/>
      <c r="AL1314" s="142"/>
    </row>
    <row r="1315" ht="20.25" customHeight="1">
      <c r="A1315" s="155" t="str">
        <f>IFERROR(__xludf.DUMMYFUNCTION("""COMPUTED_VALUE"""),"slowjim360")</f>
        <v>slowjim360</v>
      </c>
      <c r="B1315" s="150" t="str">
        <f>IFERROR(__xludf.DUMMYFUNCTION("""COMPUTED_VALUE"""),"Seattle")</f>
        <v>Seattle</v>
      </c>
      <c r="C1315" s="149" t="str">
        <f>IFERROR(__xludf.DUMMYFUNCTION("""COMPUTED_VALUE"""),"WA")</f>
        <v>WA</v>
      </c>
      <c r="D1315" s="149" t="str">
        <f>IFERROR(__xludf.DUMMYFUNCTION("""COMPUTED_VALUE"""),"USA")</f>
        <v>USA</v>
      </c>
      <c r="E1315" s="156">
        <f>IFERROR(__xludf.DUMMYFUNCTION("""COMPUTED_VALUE"""),43866.0)</f>
        <v>43866</v>
      </c>
      <c r="F1315" s="129">
        <f>IFERROR(__xludf.DUMMYFUNCTION("""COMPUTED_VALUE"""),43892.0)</f>
        <v>43892</v>
      </c>
      <c r="G1315" s="154"/>
      <c r="H1315" s="131">
        <f>IFERROR(__xludf.DUMMYFUNCTION("""COMPUTED_VALUE"""),659335.0)</f>
        <v>659335</v>
      </c>
      <c r="I1315" s="132"/>
      <c r="J1315" s="129">
        <f>IFERROR(__xludf.DUMMYFUNCTION("""COMPUTED_VALUE"""),43896.0)</f>
        <v>43896</v>
      </c>
      <c r="K1315" s="133">
        <f>IFERROR(__xludf.DUMMYFUNCTION("""COMPUTED_VALUE"""),26.0)</f>
        <v>26</v>
      </c>
      <c r="L1315" s="133">
        <f>IFERROR(__xludf.DUMMYFUNCTION("""COMPUTED_VALUE"""),4.0)</f>
        <v>4</v>
      </c>
      <c r="M1315" s="133">
        <f>IFERROR(__xludf.DUMMYFUNCTION("""COMPUTED_VALUE"""),30.0)</f>
        <v>30</v>
      </c>
      <c r="N1315" s="152" t="str">
        <f>IFERROR(__xludf.DUMMYFUNCTION("""COMPUTED_VALUE"""),"Model 3 SR+")</f>
        <v>Model 3 SR+</v>
      </c>
      <c r="O1315" s="152" t="str">
        <f>IFERROR(__xludf.DUMMYFUNCTION("""COMPUTED_VALUE"""),"Pearl White Multi-Coat")</f>
        <v>Pearl White Multi-Coat</v>
      </c>
      <c r="P1315" s="153" t="str">
        <f>IFERROR(__xludf.DUMMYFUNCTION("""COMPUTED_VALUE"""),"18 inch Aero")</f>
        <v>18 inch Aero</v>
      </c>
      <c r="Q1315" s="152" t="str">
        <f>IFERROR(__xludf.DUMMYFUNCTION("""COMPUTED_VALUE"""),"Black seats")</f>
        <v>Black seats</v>
      </c>
      <c r="R1315" s="150" t="str">
        <f>IFERROR(__xludf.DUMMYFUNCTION("""COMPUTED_VALUE"""),"Autopilot")</f>
        <v>Autopilot</v>
      </c>
      <c r="S1315" s="150"/>
      <c r="T1315" s="136"/>
      <c r="U1315" s="136"/>
      <c r="V1315" s="136"/>
      <c r="W1315" s="136"/>
      <c r="X1315" s="137" t="str">
        <f>IFERROR(__xludf.DUMMYFUNCTION("""COMPUTED_VALUE"""),"Very Good")</f>
        <v>Very Good</v>
      </c>
      <c r="Y1315" s="138" t="str">
        <f>IFERROR(__xludf.DUMMYFUNCTION("""COMPUTED_VALUE"""),"Very Good")</f>
        <v>Very Good</v>
      </c>
      <c r="Z1315" s="138" t="str">
        <f>IFERROR(__xludf.DUMMYFUNCTION("""COMPUTED_VALUE"""),"Very Good")</f>
        <v>Very Good</v>
      </c>
      <c r="AA1315" s="138" t="str">
        <f>IFERROR(__xludf.DUMMYFUNCTION("""COMPUTED_VALUE"""),"Very Good")</f>
        <v>Very Good</v>
      </c>
      <c r="AB1315" s="138" t="str">
        <f>IFERROR(__xludf.DUMMYFUNCTION("""COMPUTED_VALUE"""),"Very Good")</f>
        <v>Very Good</v>
      </c>
      <c r="AC1315" s="139"/>
      <c r="AD1315" s="139"/>
      <c r="AE1315" s="139"/>
      <c r="AF1315" s="140"/>
      <c r="AG1315" s="136"/>
      <c r="AH1315" s="157">
        <f>IFERROR(__xludf.DUMMYFUNCTION("""COMPUTED_VALUE"""),43897.658542418976)</f>
        <v>43897.65854</v>
      </c>
      <c r="AI1315" s="138"/>
      <c r="AJ1315" s="138"/>
      <c r="AK1315" s="138"/>
      <c r="AL1315" s="142"/>
    </row>
    <row r="1316" ht="20.25" customHeight="1">
      <c r="A1316" s="155" t="str">
        <f>IFERROR(__xludf.DUMMYFUNCTION("""COMPUTED_VALUE"""),"Feard")</f>
        <v>Feard</v>
      </c>
      <c r="B1316" s="149" t="str">
        <f>IFERROR(__xludf.DUMMYFUNCTION("""COMPUTED_VALUE"""),"Austin ")</f>
        <v>Austin </v>
      </c>
      <c r="C1316" s="149" t="str">
        <f>IFERROR(__xludf.DUMMYFUNCTION("""COMPUTED_VALUE"""),"TX")</f>
        <v>TX</v>
      </c>
      <c r="D1316" s="149" t="str">
        <f>IFERROR(__xludf.DUMMYFUNCTION("""COMPUTED_VALUE"""),"USA")</f>
        <v>USA</v>
      </c>
      <c r="E1316" s="156">
        <f>IFERROR(__xludf.DUMMYFUNCTION("""COMPUTED_VALUE"""),43865.0)</f>
        <v>43865</v>
      </c>
      <c r="F1316" s="129">
        <f>IFERROR(__xludf.DUMMYFUNCTION("""COMPUTED_VALUE"""),43879.0)</f>
        <v>43879</v>
      </c>
      <c r="G1316" s="154"/>
      <c r="H1316" s="131">
        <f>IFERROR(__xludf.DUMMYFUNCTION("""COMPUTED_VALUE"""),615624.0)</f>
        <v>615624</v>
      </c>
      <c r="I1316" s="132"/>
      <c r="J1316" s="129">
        <f>IFERROR(__xludf.DUMMYFUNCTION("""COMPUTED_VALUE"""),43889.0)</f>
        <v>43889</v>
      </c>
      <c r="K1316" s="133">
        <f>IFERROR(__xludf.DUMMYFUNCTION("""COMPUTED_VALUE"""),14.0)</f>
        <v>14</v>
      </c>
      <c r="L1316" s="133">
        <f>IFERROR(__xludf.DUMMYFUNCTION("""COMPUTED_VALUE"""),10.0)</f>
        <v>10</v>
      </c>
      <c r="M1316" s="133">
        <f>IFERROR(__xludf.DUMMYFUNCTION("""COMPUTED_VALUE"""),24.0)</f>
        <v>24</v>
      </c>
      <c r="N1316" s="152" t="str">
        <f>IFERROR(__xludf.DUMMYFUNCTION("""COMPUTED_VALUE"""),"Model 3 SR+")</f>
        <v>Model 3 SR+</v>
      </c>
      <c r="O1316" s="152" t="str">
        <f>IFERROR(__xludf.DUMMYFUNCTION("""COMPUTED_VALUE"""),"Pearl White Multi-Coat")</f>
        <v>Pearl White Multi-Coat</v>
      </c>
      <c r="P1316" s="153" t="str">
        <f>IFERROR(__xludf.DUMMYFUNCTION("""COMPUTED_VALUE"""),"18 inch Aero")</f>
        <v>18 inch Aero</v>
      </c>
      <c r="Q1316" s="152" t="str">
        <f>IFERROR(__xludf.DUMMYFUNCTION("""COMPUTED_VALUE"""),"White seats")</f>
        <v>White seats</v>
      </c>
      <c r="R1316" s="150" t="str">
        <f>IFERROR(__xludf.DUMMYFUNCTION("""COMPUTED_VALUE"""),"Autopilot")</f>
        <v>Autopilot</v>
      </c>
      <c r="S1316" s="150"/>
      <c r="T1316" s="136"/>
      <c r="U1316" s="136"/>
      <c r="V1316" s="136"/>
      <c r="W1316" s="136"/>
      <c r="X1316" s="137" t="str">
        <f>IFERROR(__xludf.DUMMYFUNCTION("""COMPUTED_VALUE"""),"Excellent")</f>
        <v>Excellent</v>
      </c>
      <c r="Y1316" s="138" t="str">
        <f>IFERROR(__xludf.DUMMYFUNCTION("""COMPUTED_VALUE"""),"Excellent")</f>
        <v>Excellent</v>
      </c>
      <c r="Z1316" s="138" t="str">
        <f>IFERROR(__xludf.DUMMYFUNCTION("""COMPUTED_VALUE"""),"Excellent")</f>
        <v>Excellent</v>
      </c>
      <c r="AA1316" s="138" t="str">
        <f>IFERROR(__xludf.DUMMYFUNCTION("""COMPUTED_VALUE"""),"Excellent")</f>
        <v>Excellent</v>
      </c>
      <c r="AB1316" s="138" t="str">
        <f>IFERROR(__xludf.DUMMYFUNCTION("""COMPUTED_VALUE"""),"Excellent")</f>
        <v>Excellent</v>
      </c>
      <c r="AC1316" s="139">
        <f>IFERROR(__xludf.DUMMYFUNCTION("""COMPUTED_VALUE"""),0.0)</f>
        <v>0</v>
      </c>
      <c r="AD1316" s="139"/>
      <c r="AE1316" s="139"/>
      <c r="AF1316" s="140"/>
      <c r="AG1316" s="136"/>
      <c r="AH1316" s="157">
        <f>IFERROR(__xludf.DUMMYFUNCTION("""COMPUTED_VALUE"""),43890.25070538195)</f>
        <v>43890.25071</v>
      </c>
      <c r="AI1316" s="138"/>
      <c r="AJ1316" s="138"/>
      <c r="AK1316" s="138"/>
      <c r="AL1316" s="142"/>
    </row>
    <row r="1317" ht="20.25" customHeight="1">
      <c r="A1317" s="155" t="str">
        <f>IFERROR(__xludf.DUMMYFUNCTION("""COMPUTED_VALUE"""),"MustangGT")</f>
        <v>MustangGT</v>
      </c>
      <c r="B1317" s="149" t="str">
        <f>IFERROR(__xludf.DUMMYFUNCTION("""COMPUTED_VALUE"""),"Turlock")</f>
        <v>Turlock</v>
      </c>
      <c r="C1317" s="149" t="str">
        <f>IFERROR(__xludf.DUMMYFUNCTION("""COMPUTED_VALUE"""),"CA")</f>
        <v>CA</v>
      </c>
      <c r="D1317" s="149" t="str">
        <f>IFERROR(__xludf.DUMMYFUNCTION("""COMPUTED_VALUE"""),"USA")</f>
        <v>USA</v>
      </c>
      <c r="E1317" s="156">
        <f>IFERROR(__xludf.DUMMYFUNCTION("""COMPUTED_VALUE"""),43865.0)</f>
        <v>43865</v>
      </c>
      <c r="F1317" s="129">
        <f>IFERROR(__xludf.DUMMYFUNCTION("""COMPUTED_VALUE"""),43892.0)</f>
        <v>43892</v>
      </c>
      <c r="G1317" s="154"/>
      <c r="H1317" s="131">
        <f>IFERROR(__xludf.DUMMYFUNCTION("""COMPUTED_VALUE"""),641555.0)</f>
        <v>641555</v>
      </c>
      <c r="I1317" s="132"/>
      <c r="J1317" s="129">
        <f>IFERROR(__xludf.DUMMYFUNCTION("""COMPUTED_VALUE"""),43896.0)</f>
        <v>43896</v>
      </c>
      <c r="K1317" s="133">
        <f>IFERROR(__xludf.DUMMYFUNCTION("""COMPUTED_VALUE"""),27.0)</f>
        <v>27</v>
      </c>
      <c r="L1317" s="133">
        <f>IFERROR(__xludf.DUMMYFUNCTION("""COMPUTED_VALUE"""),4.0)</f>
        <v>4</v>
      </c>
      <c r="M1317" s="133">
        <f>IFERROR(__xludf.DUMMYFUNCTION("""COMPUTED_VALUE"""),31.0)</f>
        <v>31</v>
      </c>
      <c r="N1317" s="152" t="str">
        <f>IFERROR(__xludf.DUMMYFUNCTION("""COMPUTED_VALUE"""),"Model 3 Performance")</f>
        <v>Model 3 Performance</v>
      </c>
      <c r="O1317" s="152" t="str">
        <f>IFERROR(__xludf.DUMMYFUNCTION("""COMPUTED_VALUE"""),"Pearl White Multi-Coat")</f>
        <v>Pearl White Multi-Coat</v>
      </c>
      <c r="P1317" s="153" t="str">
        <f>IFERROR(__xludf.DUMMYFUNCTION("""COMPUTED_VALUE"""),"20 inch Sport")</f>
        <v>20 inch Sport</v>
      </c>
      <c r="Q1317" s="152" t="str">
        <f>IFERROR(__xludf.DUMMYFUNCTION("""COMPUTED_VALUE"""),"Black seats")</f>
        <v>Black seats</v>
      </c>
      <c r="R1317" s="150" t="str">
        <f>IFERROR(__xludf.DUMMYFUNCTION("""COMPUTED_VALUE"""),"Autopilot")</f>
        <v>Autopilot</v>
      </c>
      <c r="S1317" s="150"/>
      <c r="T1317" s="136"/>
      <c r="U1317" s="136"/>
      <c r="V1317" s="136"/>
      <c r="W1317" s="136"/>
      <c r="X1317" s="137" t="str">
        <f>IFERROR(__xludf.DUMMYFUNCTION("""COMPUTED_VALUE"""),"Very Good")</f>
        <v>Very Good</v>
      </c>
      <c r="Y1317" s="138" t="str">
        <f>IFERROR(__xludf.DUMMYFUNCTION("""COMPUTED_VALUE"""),"Very Good")</f>
        <v>Very Good</v>
      </c>
      <c r="Z1317" s="138" t="str">
        <f>IFERROR(__xludf.DUMMYFUNCTION("""COMPUTED_VALUE"""),"Fair")</f>
        <v>Fair</v>
      </c>
      <c r="AA1317" s="138" t="str">
        <f>IFERROR(__xludf.DUMMYFUNCTION("""COMPUTED_VALUE"""),"Good")</f>
        <v>Good</v>
      </c>
      <c r="AB1317" s="138" t="str">
        <f>IFERROR(__xludf.DUMMYFUNCTION("""COMPUTED_VALUE"""),"Very Good")</f>
        <v>Very Good</v>
      </c>
      <c r="AC1317" s="139">
        <f>IFERROR(__xludf.DUMMYFUNCTION("""COMPUTED_VALUE"""),3.0)</f>
        <v>3</v>
      </c>
      <c r="AD1317" s="139">
        <f>IFERROR(__xludf.DUMMYFUNCTION("""COMPUTED_VALUE"""),0.0)</f>
        <v>0</v>
      </c>
      <c r="AE1317" s="139">
        <f>IFERROR(__xludf.DUMMYFUNCTION("""COMPUTED_VALUE"""),0.0)</f>
        <v>0</v>
      </c>
      <c r="AF1317" s="140"/>
      <c r="AG1317" s="136" t="str">
        <f>IFERROR(__xludf.DUMMYFUNCTION("""COMPUTED_VALUE"""),"The total of 3 paint and interior issues at the delivery center while I waited. ")</f>
        <v>The total of 3 paint and interior issues at the delivery center while I waited. </v>
      </c>
      <c r="AH1317" s="157">
        <f>IFERROR(__xludf.DUMMYFUNCTION("""COMPUTED_VALUE"""),43897.473857083336)</f>
        <v>43897.47386</v>
      </c>
      <c r="AI1317" s="138"/>
      <c r="AJ1317" s="138"/>
      <c r="AK1317" s="138"/>
      <c r="AL1317" s="142"/>
    </row>
    <row r="1318" ht="20.25" customHeight="1">
      <c r="A1318" s="155" t="str">
        <f>IFERROR(__xludf.DUMMYFUNCTION("""COMPUTED_VALUE"""),"schmluss")</f>
        <v>schmluss</v>
      </c>
      <c r="B1318" s="149" t="str">
        <f>IFERROR(__xludf.DUMMYFUNCTION("""COMPUTED_VALUE"""),"Redondo Beach")</f>
        <v>Redondo Beach</v>
      </c>
      <c r="C1318" s="149" t="str">
        <f>IFERROR(__xludf.DUMMYFUNCTION("""COMPUTED_VALUE"""),"CA")</f>
        <v>CA</v>
      </c>
      <c r="D1318" s="149" t="str">
        <f>IFERROR(__xludf.DUMMYFUNCTION("""COMPUTED_VALUE"""),"USA")</f>
        <v>USA</v>
      </c>
      <c r="E1318" s="156">
        <f>IFERROR(__xludf.DUMMYFUNCTION("""COMPUTED_VALUE"""),43865.0)</f>
        <v>43865</v>
      </c>
      <c r="F1318" s="129">
        <f>IFERROR(__xludf.DUMMYFUNCTION("""COMPUTED_VALUE"""),43891.0)</f>
        <v>43891</v>
      </c>
      <c r="G1318" s="154"/>
      <c r="H1318" s="131">
        <f>IFERROR(__xludf.DUMMYFUNCTION("""COMPUTED_VALUE"""),658862.0)</f>
        <v>658862</v>
      </c>
      <c r="I1318" s="144"/>
      <c r="J1318" s="129">
        <f>IFERROR(__xludf.DUMMYFUNCTION("""COMPUTED_VALUE"""),43893.0)</f>
        <v>43893</v>
      </c>
      <c r="K1318" s="133">
        <f>IFERROR(__xludf.DUMMYFUNCTION("""COMPUTED_VALUE"""),26.0)</f>
        <v>26</v>
      </c>
      <c r="L1318" s="133">
        <f>IFERROR(__xludf.DUMMYFUNCTION("""COMPUTED_VALUE"""),2.0)</f>
        <v>2</v>
      </c>
      <c r="M1318" s="133">
        <f>IFERROR(__xludf.DUMMYFUNCTION("""COMPUTED_VALUE"""),28.0)</f>
        <v>28</v>
      </c>
      <c r="N1318" s="152" t="str">
        <f>IFERROR(__xludf.DUMMYFUNCTION("""COMPUTED_VALUE"""),"Model 3 SR+")</f>
        <v>Model 3 SR+</v>
      </c>
      <c r="O1318" s="152" t="str">
        <f>IFERROR(__xludf.DUMMYFUNCTION("""COMPUTED_VALUE"""),"Pearl White Multi-Coat")</f>
        <v>Pearl White Multi-Coat</v>
      </c>
      <c r="P1318" s="153" t="str">
        <f>IFERROR(__xludf.DUMMYFUNCTION("""COMPUTED_VALUE"""),"18 inch Aero")</f>
        <v>18 inch Aero</v>
      </c>
      <c r="Q1318" s="152" t="str">
        <f>IFERROR(__xludf.DUMMYFUNCTION("""COMPUTED_VALUE"""),"Black seats")</f>
        <v>Black seats</v>
      </c>
      <c r="R1318" s="149" t="str">
        <f>IFERROR(__xludf.DUMMYFUNCTION("""COMPUTED_VALUE"""),"Autopilot")</f>
        <v>Autopilot</v>
      </c>
      <c r="S1318" s="149"/>
      <c r="T1318" s="145"/>
      <c r="U1318" s="145"/>
      <c r="V1318" s="145"/>
      <c r="W1318" s="145"/>
      <c r="X1318" s="137" t="str">
        <f>IFERROR(__xludf.DUMMYFUNCTION("""COMPUTED_VALUE"""),"Very Good")</f>
        <v>Very Good</v>
      </c>
      <c r="Y1318" s="138" t="str">
        <f>IFERROR(__xludf.DUMMYFUNCTION("""COMPUTED_VALUE"""),"Excellent")</f>
        <v>Excellent</v>
      </c>
      <c r="Z1318" s="138" t="str">
        <f>IFERROR(__xludf.DUMMYFUNCTION("""COMPUTED_VALUE"""),"Very Good")</f>
        <v>Very Good</v>
      </c>
      <c r="AA1318" s="138" t="str">
        <f>IFERROR(__xludf.DUMMYFUNCTION("""COMPUTED_VALUE"""),"Very Good")</f>
        <v>Very Good</v>
      </c>
      <c r="AB1318" s="138" t="str">
        <f>IFERROR(__xludf.DUMMYFUNCTION("""COMPUTED_VALUE"""),"Excellent")</f>
        <v>Excellent</v>
      </c>
      <c r="AC1318" s="139">
        <f>IFERROR(__xludf.DUMMYFUNCTION("""COMPUTED_VALUE"""),1.0)</f>
        <v>1</v>
      </c>
      <c r="AD1318" s="139">
        <f>IFERROR(__xludf.DUMMYFUNCTION("""COMPUTED_VALUE"""),1.0)</f>
        <v>1</v>
      </c>
      <c r="AE1318" s="139">
        <f>IFERROR(__xludf.DUMMYFUNCTION("""COMPUTED_VALUE"""),0.0)</f>
        <v>0</v>
      </c>
      <c r="AF1318" s="140"/>
      <c r="AG1318" s="145"/>
      <c r="AH1318" s="157">
        <f>IFERROR(__xludf.DUMMYFUNCTION("""COMPUTED_VALUE"""),43925.91609409722)</f>
        <v>43925.91609</v>
      </c>
      <c r="AI1318" s="138"/>
      <c r="AJ1318" s="138"/>
      <c r="AK1318" s="138"/>
      <c r="AL1318" s="142"/>
    </row>
    <row r="1319" ht="20.25" customHeight="1">
      <c r="A1319" s="155" t="str">
        <f>IFERROR(__xludf.DUMMYFUNCTION("""COMPUTED_VALUE"""),"bvarianlvr")</f>
        <v>bvarianlvr</v>
      </c>
      <c r="B1319" s="149" t="str">
        <f>IFERROR(__xludf.DUMMYFUNCTION("""COMPUTED_VALUE"""),"Alexandria")</f>
        <v>Alexandria</v>
      </c>
      <c r="C1319" s="149" t="str">
        <f>IFERROR(__xludf.DUMMYFUNCTION("""COMPUTED_VALUE"""),"VA")</f>
        <v>VA</v>
      </c>
      <c r="D1319" s="149" t="str">
        <f>IFERROR(__xludf.DUMMYFUNCTION("""COMPUTED_VALUE"""),"USA")</f>
        <v>USA</v>
      </c>
      <c r="E1319" s="156">
        <f>IFERROR(__xludf.DUMMYFUNCTION("""COMPUTED_VALUE"""),43864.0)</f>
        <v>43864</v>
      </c>
      <c r="F1319" s="129">
        <f>IFERROR(__xludf.DUMMYFUNCTION("""COMPUTED_VALUE"""),43902.0)</f>
        <v>43902</v>
      </c>
      <c r="G1319" s="154"/>
      <c r="H1319" s="131">
        <f>IFERROR(__xludf.DUMMYFUNCTION("""COMPUTED_VALUE"""),650550.0)</f>
        <v>650550</v>
      </c>
      <c r="I1319" s="132" t="str">
        <f>IFERROR(__xludf.DUMMYFUNCTION("""COMPUTED_VALUE"""),"03/20")</f>
        <v>03/20</v>
      </c>
      <c r="J1319" s="129">
        <f>IFERROR(__xludf.DUMMYFUNCTION("""COMPUTED_VALUE"""),43904.0)</f>
        <v>43904</v>
      </c>
      <c r="K1319" s="133">
        <f>IFERROR(__xludf.DUMMYFUNCTION("""COMPUTED_VALUE"""),38.0)</f>
        <v>38</v>
      </c>
      <c r="L1319" s="133">
        <f>IFERROR(__xludf.DUMMYFUNCTION("""COMPUTED_VALUE"""),2.0)</f>
        <v>2</v>
      </c>
      <c r="M1319" s="133">
        <f>IFERROR(__xludf.DUMMYFUNCTION("""COMPUTED_VALUE"""),40.0)</f>
        <v>40</v>
      </c>
      <c r="N1319" s="152" t="str">
        <f>IFERROR(__xludf.DUMMYFUNCTION("""COMPUTED_VALUE"""),"Model 3 LR AWD")</f>
        <v>Model 3 LR AWD</v>
      </c>
      <c r="O1319" s="152" t="str">
        <f>IFERROR(__xludf.DUMMYFUNCTION("""COMPUTED_VALUE"""),"Pearl White Multi-Coat")</f>
        <v>Pearl White Multi-Coat</v>
      </c>
      <c r="P1319" s="153" t="str">
        <f>IFERROR(__xludf.DUMMYFUNCTION("""COMPUTED_VALUE"""),"18 inch Aero")</f>
        <v>18 inch Aero</v>
      </c>
      <c r="Q1319" s="152" t="str">
        <f>IFERROR(__xludf.DUMMYFUNCTION("""COMPUTED_VALUE"""),"Black seats")</f>
        <v>Black seats</v>
      </c>
      <c r="R1319" s="150" t="str">
        <f>IFERROR(__xludf.DUMMYFUNCTION("""COMPUTED_VALUE"""),"Full Self-Driving")</f>
        <v>Full Self-Driving</v>
      </c>
      <c r="S1319" s="150"/>
      <c r="T1319" s="136"/>
      <c r="U1319" s="136"/>
      <c r="V1319" s="136"/>
      <c r="W1319" s="145"/>
      <c r="X1319" s="137" t="str">
        <f>IFERROR(__xludf.DUMMYFUNCTION("""COMPUTED_VALUE"""),"Excellent")</f>
        <v>Excellent</v>
      </c>
      <c r="Y1319" s="138" t="str">
        <f>IFERROR(__xludf.DUMMYFUNCTION("""COMPUTED_VALUE"""),"Excellent")</f>
        <v>Excellent</v>
      </c>
      <c r="Z1319" s="138" t="str">
        <f>IFERROR(__xludf.DUMMYFUNCTION("""COMPUTED_VALUE"""),"Excellent")</f>
        <v>Excellent</v>
      </c>
      <c r="AA1319" s="138" t="str">
        <f>IFERROR(__xludf.DUMMYFUNCTION("""COMPUTED_VALUE"""),"Good")</f>
        <v>Good</v>
      </c>
      <c r="AB1319" s="138" t="str">
        <f>IFERROR(__xludf.DUMMYFUNCTION("""COMPUTED_VALUE"""),"Good")</f>
        <v>Good</v>
      </c>
      <c r="AC1319" s="139">
        <f>IFERROR(__xludf.DUMMYFUNCTION("""COMPUTED_VALUE"""),0.0)</f>
        <v>0</v>
      </c>
      <c r="AD1319" s="139">
        <f>IFERROR(__xludf.DUMMYFUNCTION("""COMPUTED_VALUE"""),0.0)</f>
        <v>0</v>
      </c>
      <c r="AE1319" s="139">
        <f>IFERROR(__xludf.DUMMYFUNCTION("""COMPUTED_VALUE"""),0.0)</f>
        <v>0</v>
      </c>
      <c r="AF1319" s="140"/>
      <c r="AG1319" s="145" t="str">
        <f>IFERROR(__xludf.DUMMYFUNCTION("""COMPUTED_VALUE"""),"03/03/2020 - vehicle left factory. no vin; 04/28/2020 - excellent experience! pandemic prevented commuting but otherwise, great car.")</f>
        <v>03/03/2020 - vehicle left factory. no vin; 04/28/2020 - excellent experience! pandemic prevented commuting but otherwise, great car.</v>
      </c>
      <c r="AH1319" s="157">
        <f>IFERROR(__xludf.DUMMYFUNCTION("""COMPUTED_VALUE"""),43949.17126600694)</f>
        <v>43949.17127</v>
      </c>
      <c r="AI1319" s="138"/>
      <c r="AJ1319" s="138"/>
      <c r="AK1319" s="138"/>
      <c r="AL1319" s="142"/>
    </row>
    <row r="1320" ht="20.25" customHeight="1">
      <c r="A1320" s="155" t="str">
        <f>IFERROR(__xludf.DUMMYFUNCTION("""COMPUTED_VALUE"""),"Monk3y")</f>
        <v>Monk3y</v>
      </c>
      <c r="B1320" s="159" t="str">
        <f>IFERROR(__xludf.DUMMYFUNCTION("""COMPUTED_VALUE"""),"Plymouth")</f>
        <v>Plymouth</v>
      </c>
      <c r="C1320" s="159" t="str">
        <f>IFERROR(__xludf.DUMMYFUNCTION("""COMPUTED_VALUE"""),"CA")</f>
        <v>CA</v>
      </c>
      <c r="D1320" s="159" t="str">
        <f>IFERROR(__xludf.DUMMYFUNCTION("""COMPUTED_VALUE"""),"USA")</f>
        <v>USA</v>
      </c>
      <c r="E1320" s="156">
        <f>IFERROR(__xludf.DUMMYFUNCTION("""COMPUTED_VALUE"""),43864.0)</f>
        <v>43864</v>
      </c>
      <c r="F1320" s="129">
        <f>IFERROR(__xludf.DUMMYFUNCTION("""COMPUTED_VALUE"""),43885.0)</f>
        <v>43885</v>
      </c>
      <c r="G1320" s="154"/>
      <c r="H1320" s="131">
        <f>IFERROR(__xludf.DUMMYFUNCTION("""COMPUTED_VALUE"""),638421.0)</f>
        <v>638421</v>
      </c>
      <c r="I1320" s="160"/>
      <c r="J1320" s="129">
        <f>IFERROR(__xludf.DUMMYFUNCTION("""COMPUTED_VALUE"""),43887.0)</f>
        <v>43887</v>
      </c>
      <c r="K1320" s="133">
        <f>IFERROR(__xludf.DUMMYFUNCTION("""COMPUTED_VALUE"""),21.0)</f>
        <v>21</v>
      </c>
      <c r="L1320" s="133">
        <f>IFERROR(__xludf.DUMMYFUNCTION("""COMPUTED_VALUE"""),2.0)</f>
        <v>2</v>
      </c>
      <c r="M1320" s="133">
        <f>IFERROR(__xludf.DUMMYFUNCTION("""COMPUTED_VALUE"""),23.0)</f>
        <v>23</v>
      </c>
      <c r="N1320" s="152" t="str">
        <f>IFERROR(__xludf.DUMMYFUNCTION("""COMPUTED_VALUE"""),"Model 3 LR AWD")</f>
        <v>Model 3 LR AWD</v>
      </c>
      <c r="O1320" s="152" t="str">
        <f>IFERROR(__xludf.DUMMYFUNCTION("""COMPUTED_VALUE"""),"Pearl White Multi-Coat")</f>
        <v>Pearl White Multi-Coat</v>
      </c>
      <c r="P1320" s="153" t="str">
        <f>IFERROR(__xludf.DUMMYFUNCTION("""COMPUTED_VALUE"""),"19 inch Sport")</f>
        <v>19 inch Sport</v>
      </c>
      <c r="Q1320" s="152" t="str">
        <f>IFERROR(__xludf.DUMMYFUNCTION("""COMPUTED_VALUE"""),"Black seats")</f>
        <v>Black seats</v>
      </c>
      <c r="R1320" s="159" t="str">
        <f>IFERROR(__xludf.DUMMYFUNCTION("""COMPUTED_VALUE"""),"Autopilot")</f>
        <v>Autopilot</v>
      </c>
      <c r="S1320" s="159"/>
      <c r="T1320" s="161"/>
      <c r="U1320" s="161"/>
      <c r="V1320" s="161"/>
      <c r="W1320" s="161"/>
      <c r="X1320" s="137" t="str">
        <f>IFERROR(__xludf.DUMMYFUNCTION("""COMPUTED_VALUE"""),"Excellent")</f>
        <v>Excellent</v>
      </c>
      <c r="Y1320" s="138" t="str">
        <f>IFERROR(__xludf.DUMMYFUNCTION("""COMPUTED_VALUE"""),"Excellent")</f>
        <v>Excellent</v>
      </c>
      <c r="Z1320" s="138" t="str">
        <f>IFERROR(__xludf.DUMMYFUNCTION("""COMPUTED_VALUE"""),"Excellent")</f>
        <v>Excellent</v>
      </c>
      <c r="AA1320" s="138" t="str">
        <f>IFERROR(__xludf.DUMMYFUNCTION("""COMPUTED_VALUE"""),"Excellent")</f>
        <v>Excellent</v>
      </c>
      <c r="AB1320" s="138" t="str">
        <f>IFERROR(__xludf.DUMMYFUNCTION("""COMPUTED_VALUE"""),"Excellent")</f>
        <v>Excellent</v>
      </c>
      <c r="AC1320" s="139"/>
      <c r="AD1320" s="139"/>
      <c r="AE1320" s="139"/>
      <c r="AF1320" s="140"/>
      <c r="AG1320" s="161" t="str">
        <f>IFERROR(__xludf.DUMMYFUNCTION("""COMPUTED_VALUE"""),"2/24/20: VIN displayed in Source Code. Tesla called, said I could pickup on 2/26/2020")</f>
        <v>2/24/20: VIN displayed in Source Code. Tesla called, said I could pickup on 2/26/2020</v>
      </c>
      <c r="AH1320" s="157">
        <f>IFERROR(__xludf.DUMMYFUNCTION("""COMPUTED_VALUE"""),43889.88450936343)</f>
        <v>43889.88451</v>
      </c>
      <c r="AI1320" s="138"/>
      <c r="AJ1320" s="138"/>
      <c r="AK1320" s="138"/>
      <c r="AL1320" s="142"/>
    </row>
    <row r="1321" ht="20.25" customHeight="1">
      <c r="A1321" s="155" t="str">
        <f>IFERROR(__xludf.DUMMYFUNCTION("""COMPUTED_VALUE"""),"TravisRauh")</f>
        <v>TravisRauh</v>
      </c>
      <c r="B1321" s="149" t="str">
        <f>IFERROR(__xludf.DUMMYFUNCTION("""COMPUTED_VALUE"""),"Sterling")</f>
        <v>Sterling</v>
      </c>
      <c r="C1321" s="149" t="str">
        <f>IFERROR(__xludf.DUMMYFUNCTION("""COMPUTED_VALUE"""),"MA")</f>
        <v>MA</v>
      </c>
      <c r="D1321" s="149" t="str">
        <f>IFERROR(__xludf.DUMMYFUNCTION("""COMPUTED_VALUE"""),"USA")</f>
        <v>USA</v>
      </c>
      <c r="E1321" s="156">
        <f>IFERROR(__xludf.DUMMYFUNCTION("""COMPUTED_VALUE"""),43864.0)</f>
        <v>43864</v>
      </c>
      <c r="F1321" s="129">
        <f>IFERROR(__xludf.DUMMYFUNCTION("""COMPUTED_VALUE"""),43885.0)</f>
        <v>43885</v>
      </c>
      <c r="G1321" s="154"/>
      <c r="H1321" s="131">
        <f>IFERROR(__xludf.DUMMYFUNCTION("""COMPUTED_VALUE"""),649555.0)</f>
        <v>649555</v>
      </c>
      <c r="I1321" s="144"/>
      <c r="J1321" s="129">
        <f>IFERROR(__xludf.DUMMYFUNCTION("""COMPUTED_VALUE"""),43904.0)</f>
        <v>43904</v>
      </c>
      <c r="K1321" s="133">
        <f>IFERROR(__xludf.DUMMYFUNCTION("""COMPUTED_VALUE"""),21.0)</f>
        <v>21</v>
      </c>
      <c r="L1321" s="133">
        <f>IFERROR(__xludf.DUMMYFUNCTION("""COMPUTED_VALUE"""),19.0)</f>
        <v>19</v>
      </c>
      <c r="M1321" s="133">
        <f>IFERROR(__xludf.DUMMYFUNCTION("""COMPUTED_VALUE"""),40.0)</f>
        <v>40</v>
      </c>
      <c r="N1321" s="152" t="str">
        <f>IFERROR(__xludf.DUMMYFUNCTION("""COMPUTED_VALUE"""),"Model 3 LR AWD")</f>
        <v>Model 3 LR AWD</v>
      </c>
      <c r="O1321" s="152" t="str">
        <f>IFERROR(__xludf.DUMMYFUNCTION("""COMPUTED_VALUE"""),"Midnight Silver Metallic")</f>
        <v>Midnight Silver Metallic</v>
      </c>
      <c r="P1321" s="153" t="str">
        <f>IFERROR(__xludf.DUMMYFUNCTION("""COMPUTED_VALUE"""),"18 inch Aero")</f>
        <v>18 inch Aero</v>
      </c>
      <c r="Q1321" s="152" t="str">
        <f>IFERROR(__xludf.DUMMYFUNCTION("""COMPUTED_VALUE"""),"Black seats")</f>
        <v>Black seats</v>
      </c>
      <c r="R1321" s="149" t="str">
        <f>IFERROR(__xludf.DUMMYFUNCTION("""COMPUTED_VALUE"""),"Autopilot")</f>
        <v>Autopilot</v>
      </c>
      <c r="S1321" s="149"/>
      <c r="T1321" s="145"/>
      <c r="U1321" s="145"/>
      <c r="V1321" s="145"/>
      <c r="W1321" s="145"/>
      <c r="X1321" s="137" t="str">
        <f>IFERROR(__xludf.DUMMYFUNCTION("""COMPUTED_VALUE"""),"Excellent")</f>
        <v>Excellent</v>
      </c>
      <c r="Y1321" s="138" t="str">
        <f>IFERROR(__xludf.DUMMYFUNCTION("""COMPUTED_VALUE"""),"Excellent")</f>
        <v>Excellent</v>
      </c>
      <c r="Z1321" s="138" t="str">
        <f>IFERROR(__xludf.DUMMYFUNCTION("""COMPUTED_VALUE"""),"Excellent")</f>
        <v>Excellent</v>
      </c>
      <c r="AA1321" s="138" t="str">
        <f>IFERROR(__xludf.DUMMYFUNCTION("""COMPUTED_VALUE"""),"Very Good")</f>
        <v>Very Good</v>
      </c>
      <c r="AB1321" s="138" t="str">
        <f>IFERROR(__xludf.DUMMYFUNCTION("""COMPUTED_VALUE"""),"Excellent")</f>
        <v>Excellent</v>
      </c>
      <c r="AC1321" s="139">
        <f>IFERROR(__xludf.DUMMYFUNCTION("""COMPUTED_VALUE"""),2.0)</f>
        <v>2</v>
      </c>
      <c r="AD1321" s="139">
        <f>IFERROR(__xludf.DUMMYFUNCTION("""COMPUTED_VALUE"""),1.0)</f>
        <v>1</v>
      </c>
      <c r="AE1321" s="139">
        <f>IFERROR(__xludf.DUMMYFUNCTION("""COMPUTED_VALUE"""),0.0)</f>
        <v>0</v>
      </c>
      <c r="AF1321" s="140"/>
      <c r="AG1321" s="145"/>
      <c r="AH1321" s="157">
        <f>IFERROR(__xludf.DUMMYFUNCTION("""COMPUTED_VALUE"""),43922.36749886574)</f>
        <v>43922.3675</v>
      </c>
      <c r="AI1321" s="138"/>
      <c r="AJ1321" s="138"/>
      <c r="AK1321" s="138"/>
      <c r="AL1321" s="142"/>
    </row>
    <row r="1322" ht="20.25" customHeight="1">
      <c r="A1322" s="155" t="str">
        <f>IFERROR(__xludf.DUMMYFUNCTION("""COMPUTED_VALUE"""),"CanCPAx2")</f>
        <v>CanCPAx2</v>
      </c>
      <c r="B1322" s="149" t="str">
        <f>IFERROR(__xludf.DUMMYFUNCTION("""COMPUTED_VALUE"""),"Halton Hills")</f>
        <v>Halton Hills</v>
      </c>
      <c r="C1322" s="149" t="str">
        <f>IFERROR(__xludf.DUMMYFUNCTION("""COMPUTED_VALUE"""),"ON")</f>
        <v>ON</v>
      </c>
      <c r="D1322" s="149" t="str">
        <f>IFERROR(__xludf.DUMMYFUNCTION("""COMPUTED_VALUE"""),"Canada")</f>
        <v>Canada</v>
      </c>
      <c r="E1322" s="156">
        <f>IFERROR(__xludf.DUMMYFUNCTION("""COMPUTED_VALUE"""),43863.0)</f>
        <v>43863</v>
      </c>
      <c r="F1322" s="129">
        <f>IFERROR(__xludf.DUMMYFUNCTION("""COMPUTED_VALUE"""),43883.0)</f>
        <v>43883</v>
      </c>
      <c r="G1322" s="154"/>
      <c r="H1322" s="131">
        <f>IFERROR(__xludf.DUMMYFUNCTION("""COMPUTED_VALUE"""),669987.0)</f>
        <v>669987</v>
      </c>
      <c r="I1322" s="132" t="str">
        <f>IFERROR(__xludf.DUMMYFUNCTION("""COMPUTED_VALUE"""),"02/20")</f>
        <v>02/20</v>
      </c>
      <c r="J1322" s="129">
        <f>IFERROR(__xludf.DUMMYFUNCTION("""COMPUTED_VALUE"""),43897.0)</f>
        <v>43897</v>
      </c>
      <c r="K1322" s="133">
        <f>IFERROR(__xludf.DUMMYFUNCTION("""COMPUTED_VALUE"""),20.0)</f>
        <v>20</v>
      </c>
      <c r="L1322" s="133">
        <f>IFERROR(__xludf.DUMMYFUNCTION("""COMPUTED_VALUE"""),14.0)</f>
        <v>14</v>
      </c>
      <c r="M1322" s="133">
        <f>IFERROR(__xludf.DUMMYFUNCTION("""COMPUTED_VALUE"""),34.0)</f>
        <v>34</v>
      </c>
      <c r="N1322" s="152" t="str">
        <f>IFERROR(__xludf.DUMMYFUNCTION("""COMPUTED_VALUE"""),"Model 3 SR+")</f>
        <v>Model 3 SR+</v>
      </c>
      <c r="O1322" s="152" t="str">
        <f>IFERROR(__xludf.DUMMYFUNCTION("""COMPUTED_VALUE"""),"Pearl White Multi-Coat")</f>
        <v>Pearl White Multi-Coat</v>
      </c>
      <c r="P1322" s="153" t="str">
        <f>IFERROR(__xludf.DUMMYFUNCTION("""COMPUTED_VALUE"""),"18 inch Aero")</f>
        <v>18 inch Aero</v>
      </c>
      <c r="Q1322" s="152" t="str">
        <f>IFERROR(__xludf.DUMMYFUNCTION("""COMPUTED_VALUE"""),"Black seats")</f>
        <v>Black seats</v>
      </c>
      <c r="R1322" s="150" t="str">
        <f>IFERROR(__xludf.DUMMYFUNCTION("""COMPUTED_VALUE"""),"Autopilot")</f>
        <v>Autopilot</v>
      </c>
      <c r="S1322" s="150"/>
      <c r="T1322" s="136"/>
      <c r="U1322" s="136"/>
      <c r="V1322" s="136"/>
      <c r="W1322" s="136"/>
      <c r="X1322" s="137" t="str">
        <f>IFERROR(__xludf.DUMMYFUNCTION("""COMPUTED_VALUE"""),"Very Good")</f>
        <v>Very Good</v>
      </c>
      <c r="Y1322" s="138" t="str">
        <f>IFERROR(__xludf.DUMMYFUNCTION("""COMPUTED_VALUE"""),"Very Good")</f>
        <v>Very Good</v>
      </c>
      <c r="Z1322" s="138" t="str">
        <f>IFERROR(__xludf.DUMMYFUNCTION("""COMPUTED_VALUE"""),"Very Good")</f>
        <v>Very Good</v>
      </c>
      <c r="AA1322" s="138" t="str">
        <f>IFERROR(__xludf.DUMMYFUNCTION("""COMPUTED_VALUE"""),"Very Good")</f>
        <v>Very Good</v>
      </c>
      <c r="AB1322" s="138" t="str">
        <f>IFERROR(__xludf.DUMMYFUNCTION("""COMPUTED_VALUE"""),"Very Good")</f>
        <v>Very Good</v>
      </c>
      <c r="AC1322" s="139"/>
      <c r="AD1322" s="139"/>
      <c r="AE1322" s="139"/>
      <c r="AF1322" s="140"/>
      <c r="AG1322" s="136"/>
      <c r="AH1322" s="157">
        <f>IFERROR(__xludf.DUMMYFUNCTION("""COMPUTED_VALUE"""),43901.49090971064)</f>
        <v>43901.49091</v>
      </c>
      <c r="AI1322" s="138"/>
      <c r="AJ1322" s="138"/>
      <c r="AK1322" s="138"/>
      <c r="AL1322" s="142"/>
    </row>
    <row r="1323" ht="20.25" customHeight="1">
      <c r="A1323" s="155" t="str">
        <f>IFERROR(__xludf.DUMMYFUNCTION("""COMPUTED_VALUE"""),"HexCoder")</f>
        <v>HexCoder</v>
      </c>
      <c r="B1323" s="150" t="str">
        <f>IFERROR(__xludf.DUMMYFUNCTION("""COMPUTED_VALUE"""),"Torrance, CA")</f>
        <v>Torrance, CA</v>
      </c>
      <c r="C1323" s="149" t="str">
        <f>IFERROR(__xludf.DUMMYFUNCTION("""COMPUTED_VALUE"""),"CA")</f>
        <v>CA</v>
      </c>
      <c r="D1323" s="149" t="str">
        <f>IFERROR(__xludf.DUMMYFUNCTION("""COMPUTED_VALUE"""),"USA")</f>
        <v>USA</v>
      </c>
      <c r="E1323" s="156">
        <f>IFERROR(__xludf.DUMMYFUNCTION("""COMPUTED_VALUE"""),43863.0)</f>
        <v>43863</v>
      </c>
      <c r="F1323" s="129">
        <f>IFERROR(__xludf.DUMMYFUNCTION("""COMPUTED_VALUE"""),43887.0)</f>
        <v>43887</v>
      </c>
      <c r="G1323" s="154"/>
      <c r="H1323" s="131"/>
      <c r="I1323" s="132"/>
      <c r="J1323" s="129">
        <f>IFERROR(__xludf.DUMMYFUNCTION("""COMPUTED_VALUE"""),43890.0)</f>
        <v>43890</v>
      </c>
      <c r="K1323" s="133">
        <f>IFERROR(__xludf.DUMMYFUNCTION("""COMPUTED_VALUE"""),24.0)</f>
        <v>24</v>
      </c>
      <c r="L1323" s="133">
        <f>IFERROR(__xludf.DUMMYFUNCTION("""COMPUTED_VALUE"""),3.0)</f>
        <v>3</v>
      </c>
      <c r="M1323" s="133">
        <f>IFERROR(__xludf.DUMMYFUNCTION("""COMPUTED_VALUE"""),27.0)</f>
        <v>27</v>
      </c>
      <c r="N1323" s="152" t="str">
        <f>IFERROR(__xludf.DUMMYFUNCTION("""COMPUTED_VALUE"""),"Model 3 SR+")</f>
        <v>Model 3 SR+</v>
      </c>
      <c r="O1323" s="152" t="str">
        <f>IFERROR(__xludf.DUMMYFUNCTION("""COMPUTED_VALUE"""),"Solid Black")</f>
        <v>Solid Black</v>
      </c>
      <c r="P1323" s="153" t="str">
        <f>IFERROR(__xludf.DUMMYFUNCTION("""COMPUTED_VALUE"""),"19 inch Sport")</f>
        <v>19 inch Sport</v>
      </c>
      <c r="Q1323" s="152" t="str">
        <f>IFERROR(__xludf.DUMMYFUNCTION("""COMPUTED_VALUE"""),"Black seats")</f>
        <v>Black seats</v>
      </c>
      <c r="R1323" s="150" t="str">
        <f>IFERROR(__xludf.DUMMYFUNCTION("""COMPUTED_VALUE"""),"Autopilot")</f>
        <v>Autopilot</v>
      </c>
      <c r="S1323" s="150"/>
      <c r="T1323" s="136"/>
      <c r="U1323" s="136"/>
      <c r="V1323" s="136"/>
      <c r="W1323" s="136"/>
      <c r="X1323" s="137" t="str">
        <f>IFERROR(__xludf.DUMMYFUNCTION("""COMPUTED_VALUE"""),"Excellent")</f>
        <v>Excellent</v>
      </c>
      <c r="Y1323" s="138" t="str">
        <f>IFERROR(__xludf.DUMMYFUNCTION("""COMPUTED_VALUE"""),"Excellent")</f>
        <v>Excellent</v>
      </c>
      <c r="Z1323" s="138" t="str">
        <f>IFERROR(__xludf.DUMMYFUNCTION("""COMPUTED_VALUE"""),"Excellent")</f>
        <v>Excellent</v>
      </c>
      <c r="AA1323" s="138" t="str">
        <f>IFERROR(__xludf.DUMMYFUNCTION("""COMPUTED_VALUE"""),"Excellent")</f>
        <v>Excellent</v>
      </c>
      <c r="AB1323" s="138" t="str">
        <f>IFERROR(__xludf.DUMMYFUNCTION("""COMPUTED_VALUE"""),"Excellent")</f>
        <v>Excellent</v>
      </c>
      <c r="AC1323" s="139"/>
      <c r="AD1323" s="139"/>
      <c r="AE1323" s="139"/>
      <c r="AF1323" s="140"/>
      <c r="AG1323" s="136"/>
      <c r="AH1323" s="157">
        <f>IFERROR(__xludf.DUMMYFUNCTION("""COMPUTED_VALUE"""),43891.64525951389)</f>
        <v>43891.64526</v>
      </c>
      <c r="AI1323" s="138"/>
      <c r="AJ1323" s="138"/>
      <c r="AK1323" s="138"/>
      <c r="AL1323" s="142"/>
    </row>
    <row r="1324" ht="20.25" customHeight="1">
      <c r="A1324" s="155" t="str">
        <f>IFERROR(__xludf.DUMMYFUNCTION("""COMPUTED_VALUE"""),"ohutchie")</f>
        <v>ohutchie</v>
      </c>
      <c r="B1324" s="149" t="str">
        <f>IFERROR(__xludf.DUMMYFUNCTION("""COMPUTED_VALUE"""),"Concord")</f>
        <v>Concord</v>
      </c>
      <c r="C1324" s="149" t="str">
        <f>IFERROR(__xludf.DUMMYFUNCTION("""COMPUTED_VALUE"""),"MA")</f>
        <v>MA</v>
      </c>
      <c r="D1324" s="149" t="str">
        <f>IFERROR(__xludf.DUMMYFUNCTION("""COMPUTED_VALUE"""),"USA")</f>
        <v>USA</v>
      </c>
      <c r="E1324" s="156">
        <f>IFERROR(__xludf.DUMMYFUNCTION("""COMPUTED_VALUE"""),43863.0)</f>
        <v>43863</v>
      </c>
      <c r="F1324" s="129">
        <f>IFERROR(__xludf.DUMMYFUNCTION("""COMPUTED_VALUE"""),43892.0)</f>
        <v>43892</v>
      </c>
      <c r="G1324" s="154"/>
      <c r="H1324" s="131">
        <f>IFERROR(__xludf.DUMMYFUNCTION("""COMPUTED_VALUE"""),659455.0)</f>
        <v>659455</v>
      </c>
      <c r="I1324" s="132" t="str">
        <f>IFERROR(__xludf.DUMMYFUNCTION("""COMPUTED_VALUE"""),"03/20")</f>
        <v>03/20</v>
      </c>
      <c r="J1324" s="129">
        <f>IFERROR(__xludf.DUMMYFUNCTION("""COMPUTED_VALUE"""),43913.0)</f>
        <v>43913</v>
      </c>
      <c r="K1324" s="133">
        <f>IFERROR(__xludf.DUMMYFUNCTION("""COMPUTED_VALUE"""),29.0)</f>
        <v>29</v>
      </c>
      <c r="L1324" s="133">
        <f>IFERROR(__xludf.DUMMYFUNCTION("""COMPUTED_VALUE"""),21.0)</f>
        <v>21</v>
      </c>
      <c r="M1324" s="133">
        <f>IFERROR(__xludf.DUMMYFUNCTION("""COMPUTED_VALUE"""),50.0)</f>
        <v>50</v>
      </c>
      <c r="N1324" s="152" t="str">
        <f>IFERROR(__xludf.DUMMYFUNCTION("""COMPUTED_VALUE"""),"Model 3 SR")</f>
        <v>Model 3 SR</v>
      </c>
      <c r="O1324" s="152" t="str">
        <f>IFERROR(__xludf.DUMMYFUNCTION("""COMPUTED_VALUE"""),"Pearl White Multi-Coat")</f>
        <v>Pearl White Multi-Coat</v>
      </c>
      <c r="P1324" s="153" t="str">
        <f>IFERROR(__xludf.DUMMYFUNCTION("""COMPUTED_VALUE"""),"18 inch Aero")</f>
        <v>18 inch Aero</v>
      </c>
      <c r="Q1324" s="152" t="str">
        <f>IFERROR(__xludf.DUMMYFUNCTION("""COMPUTED_VALUE"""),"Black seats")</f>
        <v>Black seats</v>
      </c>
      <c r="R1324" s="150"/>
      <c r="S1324" s="150"/>
      <c r="T1324" s="136"/>
      <c r="U1324" s="136"/>
      <c r="V1324" s="136"/>
      <c r="W1324" s="136"/>
      <c r="X1324" s="137" t="str">
        <f>IFERROR(__xludf.DUMMYFUNCTION("""COMPUTED_VALUE"""),"Good")</f>
        <v>Good</v>
      </c>
      <c r="Y1324" s="138" t="str">
        <f>IFERROR(__xludf.DUMMYFUNCTION("""COMPUTED_VALUE"""),"Very Good")</f>
        <v>Very Good</v>
      </c>
      <c r="Z1324" s="138" t="str">
        <f>IFERROR(__xludf.DUMMYFUNCTION("""COMPUTED_VALUE"""),"Excellent")</f>
        <v>Excellent</v>
      </c>
      <c r="AA1324" s="138" t="str">
        <f>IFERROR(__xludf.DUMMYFUNCTION("""COMPUTED_VALUE"""),"Very Good")</f>
        <v>Very Good</v>
      </c>
      <c r="AB1324" s="138" t="str">
        <f>IFERROR(__xludf.DUMMYFUNCTION("""COMPUTED_VALUE"""),"Excellent")</f>
        <v>Excellent</v>
      </c>
      <c r="AC1324" s="139">
        <f>IFERROR(__xludf.DUMMYFUNCTION("""COMPUTED_VALUE"""),0.0)</f>
        <v>0</v>
      </c>
      <c r="AD1324" s="139">
        <f>IFERROR(__xludf.DUMMYFUNCTION("""COMPUTED_VALUE"""),0.0)</f>
        <v>0</v>
      </c>
      <c r="AE1324" s="139">
        <f>IFERROR(__xludf.DUMMYFUNCTION("""COMPUTED_VALUE"""),0.0)</f>
        <v>0</v>
      </c>
      <c r="AF1324" s="140"/>
      <c r="AG1324" s="136" t="str">
        <f>IFERROR(__xludf.DUMMYFUNCTION("""COMPUTED_VALUE"""),"Fantastic car! 190 miles highway range, 240 miles city")</f>
        <v>Fantastic car! 190 miles highway range, 240 miles city</v>
      </c>
      <c r="AH1324" s="157">
        <f>IFERROR(__xludf.DUMMYFUNCTION("""COMPUTED_VALUE"""),43922.42379277778)</f>
        <v>43922.42379</v>
      </c>
      <c r="AI1324" s="138"/>
      <c r="AJ1324" s="138"/>
      <c r="AK1324" s="138"/>
      <c r="AL1324" s="142"/>
    </row>
    <row r="1325" ht="20.25" customHeight="1">
      <c r="A1325" s="155" t="str">
        <f>IFERROR(__xludf.DUMMYFUNCTION("""COMPUTED_VALUE"""),"plutonic")</f>
        <v>plutonic</v>
      </c>
      <c r="B1325" s="149" t="str">
        <f>IFERROR(__xludf.DUMMYFUNCTION("""COMPUTED_VALUE"""),"Vancouver")</f>
        <v>Vancouver</v>
      </c>
      <c r="C1325" s="149" t="str">
        <f>IFERROR(__xludf.DUMMYFUNCTION("""COMPUTED_VALUE"""),"BC")</f>
        <v>BC</v>
      </c>
      <c r="D1325" s="149" t="str">
        <f>IFERROR(__xludf.DUMMYFUNCTION("""COMPUTED_VALUE"""),"Canada")</f>
        <v>Canada</v>
      </c>
      <c r="E1325" s="156">
        <f>IFERROR(__xludf.DUMMYFUNCTION("""COMPUTED_VALUE"""),43863.0)</f>
        <v>43863</v>
      </c>
      <c r="F1325" s="129">
        <f>IFERROR(__xludf.DUMMYFUNCTION("""COMPUTED_VALUE"""),43889.0)</f>
        <v>43889</v>
      </c>
      <c r="G1325" s="154"/>
      <c r="H1325" s="131">
        <f>IFERROR(__xludf.DUMMYFUNCTION("""COMPUTED_VALUE"""),703837.0)</f>
        <v>703837</v>
      </c>
      <c r="I1325" s="144"/>
      <c r="J1325" s="129">
        <f>IFERROR(__xludf.DUMMYFUNCTION("""COMPUTED_VALUE"""),43893.0)</f>
        <v>43893</v>
      </c>
      <c r="K1325" s="133">
        <f>IFERROR(__xludf.DUMMYFUNCTION("""COMPUTED_VALUE"""),26.0)</f>
        <v>26</v>
      </c>
      <c r="L1325" s="133">
        <f>IFERROR(__xludf.DUMMYFUNCTION("""COMPUTED_VALUE"""),4.0)</f>
        <v>4</v>
      </c>
      <c r="M1325" s="133">
        <f>IFERROR(__xludf.DUMMYFUNCTION("""COMPUTED_VALUE"""),30.0)</f>
        <v>30</v>
      </c>
      <c r="N1325" s="152" t="str">
        <f>IFERROR(__xludf.DUMMYFUNCTION("""COMPUTED_VALUE"""),"Model 3 SR+")</f>
        <v>Model 3 SR+</v>
      </c>
      <c r="O1325" s="152" t="str">
        <f>IFERROR(__xludf.DUMMYFUNCTION("""COMPUTED_VALUE"""),"Midnight Silver Metallic")</f>
        <v>Midnight Silver Metallic</v>
      </c>
      <c r="P1325" s="153" t="str">
        <f>IFERROR(__xludf.DUMMYFUNCTION("""COMPUTED_VALUE"""),"18 inch Aero")</f>
        <v>18 inch Aero</v>
      </c>
      <c r="Q1325" s="152" t="str">
        <f>IFERROR(__xludf.DUMMYFUNCTION("""COMPUTED_VALUE"""),"Black seats")</f>
        <v>Black seats</v>
      </c>
      <c r="R1325" s="149" t="str">
        <f>IFERROR(__xludf.DUMMYFUNCTION("""COMPUTED_VALUE"""),"Autopilot")</f>
        <v>Autopilot</v>
      </c>
      <c r="S1325" s="149"/>
      <c r="T1325" s="145"/>
      <c r="U1325" s="145"/>
      <c r="V1325" s="145"/>
      <c r="W1325" s="145"/>
      <c r="X1325" s="137" t="str">
        <f>IFERROR(__xludf.DUMMYFUNCTION("""COMPUTED_VALUE"""),"Good")</f>
        <v>Good</v>
      </c>
      <c r="Y1325" s="138" t="str">
        <f>IFERROR(__xludf.DUMMYFUNCTION("""COMPUTED_VALUE"""),"Very Good")</f>
        <v>Very Good</v>
      </c>
      <c r="Z1325" s="138" t="str">
        <f>IFERROR(__xludf.DUMMYFUNCTION("""COMPUTED_VALUE"""),"Good")</f>
        <v>Good</v>
      </c>
      <c r="AA1325" s="138" t="str">
        <f>IFERROR(__xludf.DUMMYFUNCTION("""COMPUTED_VALUE"""),"Good")</f>
        <v>Good</v>
      </c>
      <c r="AB1325" s="138" t="str">
        <f>IFERROR(__xludf.DUMMYFUNCTION("""COMPUTED_VALUE"""),"Excellent")</f>
        <v>Excellent</v>
      </c>
      <c r="AC1325" s="139"/>
      <c r="AD1325" s="139"/>
      <c r="AE1325" s="139"/>
      <c r="AF1325" s="140"/>
      <c r="AG1325" s="145" t="str">
        <f>IFERROR(__xludf.DUMMYFUNCTION("""COMPUTED_VALUE"""),"2/28 VIN in source code, called for delivery March 1")</f>
        <v>2/28 VIN in source code, called for delivery March 1</v>
      </c>
      <c r="AH1325" s="157">
        <f>IFERROR(__xludf.DUMMYFUNCTION("""COMPUTED_VALUE"""),43893.80092820602)</f>
        <v>43893.80093</v>
      </c>
      <c r="AI1325" s="138"/>
      <c r="AJ1325" s="138"/>
      <c r="AK1325" s="138"/>
      <c r="AL1325" s="142"/>
    </row>
    <row r="1326" ht="20.25" customHeight="1">
      <c r="A1326" s="155" t="str">
        <f>IFERROR(__xludf.DUMMYFUNCTION("""COMPUTED_VALUE"""),"TheSocey")</f>
        <v>TheSocey</v>
      </c>
      <c r="B1326" s="149" t="str">
        <f>IFERROR(__xludf.DUMMYFUNCTION("""COMPUTED_VALUE"""),"Sonora")</f>
        <v>Sonora</v>
      </c>
      <c r="C1326" s="149" t="str">
        <f>IFERROR(__xludf.DUMMYFUNCTION("""COMPUTED_VALUE"""),"CA")</f>
        <v>CA</v>
      </c>
      <c r="D1326" s="149" t="str">
        <f>IFERROR(__xludf.DUMMYFUNCTION("""COMPUTED_VALUE"""),"USA")</f>
        <v>USA</v>
      </c>
      <c r="E1326" s="156">
        <f>IFERROR(__xludf.DUMMYFUNCTION("""COMPUTED_VALUE"""),43863.0)</f>
        <v>43863</v>
      </c>
      <c r="F1326" s="129">
        <f>IFERROR(__xludf.DUMMYFUNCTION("""COMPUTED_VALUE"""),43885.0)</f>
        <v>43885</v>
      </c>
      <c r="G1326" s="154"/>
      <c r="H1326" s="131">
        <f>IFERROR(__xludf.DUMMYFUNCTION("""COMPUTED_VALUE"""),638653.0)</f>
        <v>638653</v>
      </c>
      <c r="I1326" s="132"/>
      <c r="J1326" s="129">
        <f>IFERROR(__xludf.DUMMYFUNCTION("""COMPUTED_VALUE"""),43886.0)</f>
        <v>43886</v>
      </c>
      <c r="K1326" s="133">
        <f>IFERROR(__xludf.DUMMYFUNCTION("""COMPUTED_VALUE"""),22.0)</f>
        <v>22</v>
      </c>
      <c r="L1326" s="133">
        <f>IFERROR(__xludf.DUMMYFUNCTION("""COMPUTED_VALUE"""),1.0)</f>
        <v>1</v>
      </c>
      <c r="M1326" s="133">
        <f>IFERROR(__xludf.DUMMYFUNCTION("""COMPUTED_VALUE"""),23.0)</f>
        <v>23</v>
      </c>
      <c r="N1326" s="152" t="str">
        <f>IFERROR(__xludf.DUMMYFUNCTION("""COMPUTED_VALUE"""),"Model 3 LR AWD")</f>
        <v>Model 3 LR AWD</v>
      </c>
      <c r="O1326" s="152" t="str">
        <f>IFERROR(__xludf.DUMMYFUNCTION("""COMPUTED_VALUE"""),"Pearl White Multi-Coat")</f>
        <v>Pearl White Multi-Coat</v>
      </c>
      <c r="P1326" s="153" t="str">
        <f>IFERROR(__xludf.DUMMYFUNCTION("""COMPUTED_VALUE"""),"19 inch Sport")</f>
        <v>19 inch Sport</v>
      </c>
      <c r="Q1326" s="152" t="str">
        <f>IFERROR(__xludf.DUMMYFUNCTION("""COMPUTED_VALUE"""),"Black seats")</f>
        <v>Black seats</v>
      </c>
      <c r="R1326" s="150" t="str">
        <f>IFERROR(__xludf.DUMMYFUNCTION("""COMPUTED_VALUE"""),"Autopilot")</f>
        <v>Autopilot</v>
      </c>
      <c r="S1326" s="150"/>
      <c r="T1326" s="136"/>
      <c r="U1326" s="136"/>
      <c r="V1326" s="136"/>
      <c r="W1326" s="136"/>
      <c r="X1326" s="137" t="str">
        <f>IFERROR(__xludf.DUMMYFUNCTION("""COMPUTED_VALUE"""),"Excellent")</f>
        <v>Excellent</v>
      </c>
      <c r="Y1326" s="138" t="str">
        <f>IFERROR(__xludf.DUMMYFUNCTION("""COMPUTED_VALUE"""),"Excellent")</f>
        <v>Excellent</v>
      </c>
      <c r="Z1326" s="138" t="str">
        <f>IFERROR(__xludf.DUMMYFUNCTION("""COMPUTED_VALUE"""),"Excellent")</f>
        <v>Excellent</v>
      </c>
      <c r="AA1326" s="138" t="str">
        <f>IFERROR(__xludf.DUMMYFUNCTION("""COMPUTED_VALUE"""),"Poor")</f>
        <v>Poor</v>
      </c>
      <c r="AB1326" s="138" t="str">
        <f>IFERROR(__xludf.DUMMYFUNCTION("""COMPUTED_VALUE"""),"Very Good")</f>
        <v>Very Good</v>
      </c>
      <c r="AC1326" s="139">
        <f>IFERROR(__xludf.DUMMYFUNCTION("""COMPUTED_VALUE"""),1.0)</f>
        <v>1</v>
      </c>
      <c r="AD1326" s="139"/>
      <c r="AE1326" s="139">
        <f>IFERROR(__xludf.DUMMYFUNCTION("""COMPUTED_VALUE"""),18.0)</f>
        <v>18</v>
      </c>
      <c r="AF1326" s="140"/>
      <c r="AG1326" s="136" t="str">
        <f>IFERROR(__xludf.DUMMYFUNCTION("""COMPUTED_VALUE"""),"Battery Conversion System Failed 8 days into ownership")</f>
        <v>Battery Conversion System Failed 8 days into ownership</v>
      </c>
      <c r="AH1326" s="157">
        <f>IFERROR(__xludf.DUMMYFUNCTION("""COMPUTED_VALUE"""),43917.33403372685)</f>
        <v>43917.33403</v>
      </c>
      <c r="AI1326" s="138"/>
      <c r="AJ1326" s="138"/>
      <c r="AK1326" s="138"/>
      <c r="AL1326" s="142"/>
    </row>
    <row r="1327" ht="20.25" customHeight="1">
      <c r="A1327" s="155" t="str">
        <f>IFERROR(__xludf.DUMMYFUNCTION("""COMPUTED_VALUE"""),"fiddlerwoaroof")</f>
        <v>fiddlerwoaroof</v>
      </c>
      <c r="B1327" s="149" t="str">
        <f>IFERROR(__xludf.DUMMYFUNCTION("""COMPUTED_VALUE"""),"Ventura")</f>
        <v>Ventura</v>
      </c>
      <c r="C1327" s="149" t="str">
        <f>IFERROR(__xludf.DUMMYFUNCTION("""COMPUTED_VALUE"""),"CA")</f>
        <v>CA</v>
      </c>
      <c r="D1327" s="149" t="str">
        <f>IFERROR(__xludf.DUMMYFUNCTION("""COMPUTED_VALUE"""),"USA")</f>
        <v>USA</v>
      </c>
      <c r="E1327" s="156">
        <f>IFERROR(__xludf.DUMMYFUNCTION("""COMPUTED_VALUE"""),43862.0)</f>
        <v>43862</v>
      </c>
      <c r="F1327" s="129">
        <f>IFERROR(__xludf.DUMMYFUNCTION("""COMPUTED_VALUE"""),43886.0)</f>
        <v>43886</v>
      </c>
      <c r="G1327" s="154"/>
      <c r="H1327" s="131">
        <f>IFERROR(__xludf.DUMMYFUNCTION("""COMPUTED_VALUE"""),650955.0)</f>
        <v>650955</v>
      </c>
      <c r="I1327" s="144"/>
      <c r="J1327" s="129">
        <f>IFERROR(__xludf.DUMMYFUNCTION("""COMPUTED_VALUE"""),43887.0)</f>
        <v>43887</v>
      </c>
      <c r="K1327" s="133">
        <f>IFERROR(__xludf.DUMMYFUNCTION("""COMPUTED_VALUE"""),24.0)</f>
        <v>24</v>
      </c>
      <c r="L1327" s="133">
        <f>IFERROR(__xludf.DUMMYFUNCTION("""COMPUTED_VALUE"""),1.0)</f>
        <v>1</v>
      </c>
      <c r="M1327" s="133">
        <f>IFERROR(__xludf.DUMMYFUNCTION("""COMPUTED_VALUE"""),25.0)</f>
        <v>25</v>
      </c>
      <c r="N1327" s="152" t="str">
        <f>IFERROR(__xludf.DUMMYFUNCTION("""COMPUTED_VALUE"""),"Model 3 LR AWD")</f>
        <v>Model 3 LR AWD</v>
      </c>
      <c r="O1327" s="152" t="str">
        <f>IFERROR(__xludf.DUMMYFUNCTION("""COMPUTED_VALUE"""),"Midnight Silver Metallic")</f>
        <v>Midnight Silver Metallic</v>
      </c>
      <c r="P1327" s="153" t="str">
        <f>IFERROR(__xludf.DUMMYFUNCTION("""COMPUTED_VALUE"""),"19 inch Sport")</f>
        <v>19 inch Sport</v>
      </c>
      <c r="Q1327" s="152" t="str">
        <f>IFERROR(__xludf.DUMMYFUNCTION("""COMPUTED_VALUE"""),"Black seats")</f>
        <v>Black seats</v>
      </c>
      <c r="R1327" s="149" t="str">
        <f>IFERROR(__xludf.DUMMYFUNCTION("""COMPUTED_VALUE"""),"Autopilot")</f>
        <v>Autopilot</v>
      </c>
      <c r="S1327" s="149"/>
      <c r="T1327" s="145"/>
      <c r="U1327" s="145"/>
      <c r="V1327" s="145"/>
      <c r="W1327" s="145"/>
      <c r="X1327" s="137" t="str">
        <f>IFERROR(__xludf.DUMMYFUNCTION("""COMPUTED_VALUE"""),"Excellent")</f>
        <v>Excellent</v>
      </c>
      <c r="Y1327" s="138" t="str">
        <f>IFERROR(__xludf.DUMMYFUNCTION("""COMPUTED_VALUE"""),"Excellent")</f>
        <v>Excellent</v>
      </c>
      <c r="Z1327" s="138" t="str">
        <f>IFERROR(__xludf.DUMMYFUNCTION("""COMPUTED_VALUE"""),"Excellent")</f>
        <v>Excellent</v>
      </c>
      <c r="AA1327" s="138" t="str">
        <f>IFERROR(__xludf.DUMMYFUNCTION("""COMPUTED_VALUE"""),"Excellent")</f>
        <v>Excellent</v>
      </c>
      <c r="AB1327" s="138" t="str">
        <f>IFERROR(__xludf.DUMMYFUNCTION("""COMPUTED_VALUE"""),"Excellent")</f>
        <v>Excellent</v>
      </c>
      <c r="AC1327" s="139"/>
      <c r="AD1327" s="139"/>
      <c r="AE1327" s="139"/>
      <c r="AF1327" s="140"/>
      <c r="AG1327" s="145"/>
      <c r="AH1327" s="157">
        <f>IFERROR(__xludf.DUMMYFUNCTION("""COMPUTED_VALUE"""),43888.01374498843)</f>
        <v>43888.01374</v>
      </c>
      <c r="AI1327" s="138"/>
      <c r="AJ1327" s="138"/>
      <c r="AK1327" s="138"/>
      <c r="AL1327" s="142"/>
    </row>
    <row r="1328" ht="20.25" customHeight="1">
      <c r="A1328" s="155" t="str">
        <f>IFERROR(__xludf.DUMMYFUNCTION("""COMPUTED_VALUE"""),"jerkstore")</f>
        <v>jerkstore</v>
      </c>
      <c r="B1328" s="149"/>
      <c r="C1328" s="149" t="str">
        <f>IFERROR(__xludf.DUMMYFUNCTION("""COMPUTED_VALUE"""),"CO")</f>
        <v>CO</v>
      </c>
      <c r="D1328" s="149" t="str">
        <f>IFERROR(__xludf.DUMMYFUNCTION("""COMPUTED_VALUE"""),"USA")</f>
        <v>USA</v>
      </c>
      <c r="E1328" s="156">
        <f>IFERROR(__xludf.DUMMYFUNCTION("""COMPUTED_VALUE"""),43862.0)</f>
        <v>43862</v>
      </c>
      <c r="F1328" s="129">
        <f>IFERROR(__xludf.DUMMYFUNCTION("""COMPUTED_VALUE"""),43889.0)</f>
        <v>43889</v>
      </c>
      <c r="G1328" s="154"/>
      <c r="H1328" s="131">
        <f>IFERROR(__xludf.DUMMYFUNCTION("""COMPUTED_VALUE"""),640113.0)</f>
        <v>640113</v>
      </c>
      <c r="I1328" s="144"/>
      <c r="J1328" s="129">
        <f>IFERROR(__xludf.DUMMYFUNCTION("""COMPUTED_VALUE"""),43895.0)</f>
        <v>43895</v>
      </c>
      <c r="K1328" s="133">
        <f>IFERROR(__xludf.DUMMYFUNCTION("""COMPUTED_VALUE"""),27.0)</f>
        <v>27</v>
      </c>
      <c r="L1328" s="133">
        <f>IFERROR(__xludf.DUMMYFUNCTION("""COMPUTED_VALUE"""),6.0)</f>
        <v>6</v>
      </c>
      <c r="M1328" s="133">
        <f>IFERROR(__xludf.DUMMYFUNCTION("""COMPUTED_VALUE"""),33.0)</f>
        <v>33</v>
      </c>
      <c r="N1328" s="152" t="str">
        <f>IFERROR(__xludf.DUMMYFUNCTION("""COMPUTED_VALUE"""),"Model 3 LR AWD")</f>
        <v>Model 3 LR AWD</v>
      </c>
      <c r="O1328" s="152" t="str">
        <f>IFERROR(__xludf.DUMMYFUNCTION("""COMPUTED_VALUE"""),"Midnight Silver Metallic")</f>
        <v>Midnight Silver Metallic</v>
      </c>
      <c r="P1328" s="153" t="str">
        <f>IFERROR(__xludf.DUMMYFUNCTION("""COMPUTED_VALUE"""),"19 inch Sport")</f>
        <v>19 inch Sport</v>
      </c>
      <c r="Q1328" s="152" t="str">
        <f>IFERROR(__xludf.DUMMYFUNCTION("""COMPUTED_VALUE"""),"White seats")</f>
        <v>White seats</v>
      </c>
      <c r="R1328" s="149" t="str">
        <f>IFERROR(__xludf.DUMMYFUNCTION("""COMPUTED_VALUE"""),"Autopilot")</f>
        <v>Autopilot</v>
      </c>
      <c r="S1328" s="149"/>
      <c r="T1328" s="145"/>
      <c r="U1328" s="145"/>
      <c r="V1328" s="136"/>
      <c r="W1328" s="136"/>
      <c r="X1328" s="137" t="str">
        <f>IFERROR(__xludf.DUMMYFUNCTION("""COMPUTED_VALUE"""),"Excellent")</f>
        <v>Excellent</v>
      </c>
      <c r="Y1328" s="138" t="str">
        <f>IFERROR(__xludf.DUMMYFUNCTION("""COMPUTED_VALUE"""),"Very Good")</f>
        <v>Very Good</v>
      </c>
      <c r="Z1328" s="138" t="str">
        <f>IFERROR(__xludf.DUMMYFUNCTION("""COMPUTED_VALUE"""),"Excellent")</f>
        <v>Excellent</v>
      </c>
      <c r="AA1328" s="138" t="str">
        <f>IFERROR(__xludf.DUMMYFUNCTION("""COMPUTED_VALUE"""),"Excellent")</f>
        <v>Excellent</v>
      </c>
      <c r="AB1328" s="138" t="str">
        <f>IFERROR(__xludf.DUMMYFUNCTION("""COMPUTED_VALUE"""),"Excellent")</f>
        <v>Excellent</v>
      </c>
      <c r="AC1328" s="139"/>
      <c r="AD1328" s="139"/>
      <c r="AE1328" s="139"/>
      <c r="AF1328" s="140"/>
      <c r="AG1328" s="136"/>
      <c r="AH1328" s="157">
        <f>IFERROR(__xludf.DUMMYFUNCTION("""COMPUTED_VALUE"""),43896.320964513885)</f>
        <v>43896.32096</v>
      </c>
      <c r="AI1328" s="138"/>
      <c r="AJ1328" s="138"/>
      <c r="AK1328" s="138"/>
      <c r="AL1328" s="142"/>
    </row>
    <row r="1329" ht="20.25" customHeight="1">
      <c r="A1329" s="155" t="str">
        <f>IFERROR(__xludf.DUMMYFUNCTION("""COMPUTED_VALUE"""),"jslazzara")</f>
        <v>jslazzara</v>
      </c>
      <c r="B1329" s="149" t="str">
        <f>IFERROR(__xludf.DUMMYFUNCTION("""COMPUTED_VALUE"""),"Pleasanton")</f>
        <v>Pleasanton</v>
      </c>
      <c r="C1329" s="149" t="str">
        <f>IFERROR(__xludf.DUMMYFUNCTION("""COMPUTED_VALUE"""),"CA")</f>
        <v>CA</v>
      </c>
      <c r="D1329" s="149" t="str">
        <f>IFERROR(__xludf.DUMMYFUNCTION("""COMPUTED_VALUE"""),"USA")</f>
        <v>USA</v>
      </c>
      <c r="E1329" s="156">
        <f>IFERROR(__xludf.DUMMYFUNCTION("""COMPUTED_VALUE"""),43862.0)</f>
        <v>43862</v>
      </c>
      <c r="F1329" s="129">
        <f>IFERROR(__xludf.DUMMYFUNCTION("""COMPUTED_VALUE"""),43890.0)</f>
        <v>43890</v>
      </c>
      <c r="G1329" s="154"/>
      <c r="H1329" s="131"/>
      <c r="I1329" s="132"/>
      <c r="J1329" s="129">
        <f>IFERROR(__xludf.DUMMYFUNCTION("""COMPUTED_VALUE"""),43892.0)</f>
        <v>43892</v>
      </c>
      <c r="K1329" s="133">
        <f>IFERROR(__xludf.DUMMYFUNCTION("""COMPUTED_VALUE"""),28.0)</f>
        <v>28</v>
      </c>
      <c r="L1329" s="133">
        <f>IFERROR(__xludf.DUMMYFUNCTION("""COMPUTED_VALUE"""),2.0)</f>
        <v>2</v>
      </c>
      <c r="M1329" s="133">
        <f>IFERROR(__xludf.DUMMYFUNCTION("""COMPUTED_VALUE"""),30.0)</f>
        <v>30</v>
      </c>
      <c r="N1329" s="152" t="str">
        <f>IFERROR(__xludf.DUMMYFUNCTION("""COMPUTED_VALUE"""),"Model 3 SR+")</f>
        <v>Model 3 SR+</v>
      </c>
      <c r="O1329" s="152" t="str">
        <f>IFERROR(__xludf.DUMMYFUNCTION("""COMPUTED_VALUE"""),"Pearl White Multi-Coat")</f>
        <v>Pearl White Multi-Coat</v>
      </c>
      <c r="P1329" s="153" t="str">
        <f>IFERROR(__xludf.DUMMYFUNCTION("""COMPUTED_VALUE"""),"18 inch Aero")</f>
        <v>18 inch Aero</v>
      </c>
      <c r="Q1329" s="152" t="str">
        <f>IFERROR(__xludf.DUMMYFUNCTION("""COMPUTED_VALUE"""),"Black seats")</f>
        <v>Black seats</v>
      </c>
      <c r="R1329" s="150" t="str">
        <f>IFERROR(__xludf.DUMMYFUNCTION("""COMPUTED_VALUE"""),"Autopilot")</f>
        <v>Autopilot</v>
      </c>
      <c r="S1329" s="150"/>
      <c r="T1329" s="136"/>
      <c r="U1329" s="136"/>
      <c r="V1329" s="136"/>
      <c r="W1329" s="136"/>
      <c r="X1329" s="137" t="str">
        <f>IFERROR(__xludf.DUMMYFUNCTION("""COMPUTED_VALUE"""),"Excellent")</f>
        <v>Excellent</v>
      </c>
      <c r="Y1329" s="138" t="str">
        <f>IFERROR(__xludf.DUMMYFUNCTION("""COMPUTED_VALUE"""),"Excellent")</f>
        <v>Excellent</v>
      </c>
      <c r="Z1329" s="138" t="str">
        <f>IFERROR(__xludf.DUMMYFUNCTION("""COMPUTED_VALUE"""),"Excellent")</f>
        <v>Excellent</v>
      </c>
      <c r="AA1329" s="138" t="str">
        <f>IFERROR(__xludf.DUMMYFUNCTION("""COMPUTED_VALUE"""),"Fair")</f>
        <v>Fair</v>
      </c>
      <c r="AB1329" s="138" t="str">
        <f>IFERROR(__xludf.DUMMYFUNCTION("""COMPUTED_VALUE"""),"Very Good")</f>
        <v>Very Good</v>
      </c>
      <c r="AC1329" s="139">
        <f>IFERROR(__xludf.DUMMYFUNCTION("""COMPUTED_VALUE"""),0.0)</f>
        <v>0</v>
      </c>
      <c r="AD1329" s="139">
        <f>IFERROR(__xludf.DUMMYFUNCTION("""COMPUTED_VALUE"""),0.0)</f>
        <v>0</v>
      </c>
      <c r="AE1329" s="139">
        <f>IFERROR(__xludf.DUMMYFUNCTION("""COMPUTED_VALUE"""),0.0)</f>
        <v>0</v>
      </c>
      <c r="AF1329" s="140"/>
      <c r="AG1329" s="136"/>
      <c r="AH1329" s="157">
        <f>IFERROR(__xludf.DUMMYFUNCTION("""COMPUTED_VALUE"""),43905.73137898149)</f>
        <v>43905.73138</v>
      </c>
      <c r="AI1329" s="138"/>
      <c r="AJ1329" s="138"/>
      <c r="AK1329" s="138"/>
      <c r="AL1329" s="142"/>
    </row>
    <row r="1330" ht="20.25" customHeight="1">
      <c r="A1330" s="155" t="str">
        <f>IFERROR(__xludf.DUMMYFUNCTION("""COMPUTED_VALUE"""),"scorcherdarkly")</f>
        <v>scorcherdarkly</v>
      </c>
      <c r="B1330" s="149" t="str">
        <f>IFERROR(__xludf.DUMMYFUNCTION("""COMPUTED_VALUE"""),"Kansas City")</f>
        <v>Kansas City</v>
      </c>
      <c r="C1330" s="149" t="str">
        <f>IFERROR(__xludf.DUMMYFUNCTION("""COMPUTED_VALUE"""),"MO")</f>
        <v>MO</v>
      </c>
      <c r="D1330" s="149" t="str">
        <f>IFERROR(__xludf.DUMMYFUNCTION("""COMPUTED_VALUE"""),"USA")</f>
        <v>USA</v>
      </c>
      <c r="E1330" s="156">
        <f>IFERROR(__xludf.DUMMYFUNCTION("""COMPUTED_VALUE"""),43862.0)</f>
        <v>43862</v>
      </c>
      <c r="F1330" s="129">
        <f>IFERROR(__xludf.DUMMYFUNCTION("""COMPUTED_VALUE"""),43885.0)</f>
        <v>43885</v>
      </c>
      <c r="G1330" s="154"/>
      <c r="H1330" s="131">
        <f>IFERROR(__xludf.DUMMYFUNCTION("""COMPUTED_VALUE"""),636039.0)</f>
        <v>636039</v>
      </c>
      <c r="I1330" s="144" t="str">
        <f>IFERROR(__xludf.DUMMYFUNCTION("""COMPUTED_VALUE"""),"02/20")</f>
        <v>02/20</v>
      </c>
      <c r="J1330" s="129">
        <f>IFERROR(__xludf.DUMMYFUNCTION("""COMPUTED_VALUE"""),43901.0)</f>
        <v>43901</v>
      </c>
      <c r="K1330" s="133">
        <f>IFERROR(__xludf.DUMMYFUNCTION("""COMPUTED_VALUE"""),23.0)</f>
        <v>23</v>
      </c>
      <c r="L1330" s="133">
        <f>IFERROR(__xludf.DUMMYFUNCTION("""COMPUTED_VALUE"""),16.0)</f>
        <v>16</v>
      </c>
      <c r="M1330" s="133">
        <f>IFERROR(__xludf.DUMMYFUNCTION("""COMPUTED_VALUE"""),39.0)</f>
        <v>39</v>
      </c>
      <c r="N1330" s="152" t="str">
        <f>IFERROR(__xludf.DUMMYFUNCTION("""COMPUTED_VALUE"""),"Model 3 LR AWD")</f>
        <v>Model 3 LR AWD</v>
      </c>
      <c r="O1330" s="152" t="str">
        <f>IFERROR(__xludf.DUMMYFUNCTION("""COMPUTED_VALUE"""),"Red Multi-Coat")</f>
        <v>Red Multi-Coat</v>
      </c>
      <c r="P1330" s="153" t="str">
        <f>IFERROR(__xludf.DUMMYFUNCTION("""COMPUTED_VALUE"""),"18 inch Aero")</f>
        <v>18 inch Aero</v>
      </c>
      <c r="Q1330" s="152" t="str">
        <f>IFERROR(__xludf.DUMMYFUNCTION("""COMPUTED_VALUE"""),"Black seats")</f>
        <v>Black seats</v>
      </c>
      <c r="R1330" s="149" t="str">
        <f>IFERROR(__xludf.DUMMYFUNCTION("""COMPUTED_VALUE"""),"Autopilot")</f>
        <v>Autopilot</v>
      </c>
      <c r="S1330" s="149"/>
      <c r="T1330" s="145"/>
      <c r="U1330" s="145"/>
      <c r="V1330" s="145"/>
      <c r="W1330" s="145"/>
      <c r="X1330" s="137" t="str">
        <f>IFERROR(__xludf.DUMMYFUNCTION("""COMPUTED_VALUE"""),"Excellent")</f>
        <v>Excellent</v>
      </c>
      <c r="Y1330" s="138" t="str">
        <f>IFERROR(__xludf.DUMMYFUNCTION("""COMPUTED_VALUE"""),"Very Good")</f>
        <v>Very Good</v>
      </c>
      <c r="Z1330" s="138" t="str">
        <f>IFERROR(__xludf.DUMMYFUNCTION("""COMPUTED_VALUE"""),"Very Good")</f>
        <v>Very Good</v>
      </c>
      <c r="AA1330" s="138" t="str">
        <f>IFERROR(__xludf.DUMMYFUNCTION("""COMPUTED_VALUE"""),"Excellent")</f>
        <v>Excellent</v>
      </c>
      <c r="AB1330" s="138" t="str">
        <f>IFERROR(__xludf.DUMMYFUNCTION("""COMPUTED_VALUE"""),"Excellent")</f>
        <v>Excellent</v>
      </c>
      <c r="AC1330" s="139"/>
      <c r="AD1330" s="139"/>
      <c r="AE1330" s="139"/>
      <c r="AF1330" s="140"/>
      <c r="AG1330" s="145" t="str">
        <f>IFERROR(__xludf.DUMMYFUNCTION("""COMPUTED_VALUE"""),"Delivery delayed from 3/9/20 to 3/11/20 after the train got stuck in Chicago.")</f>
        <v>Delivery delayed from 3/9/20 to 3/11/20 after the train got stuck in Chicago.</v>
      </c>
      <c r="AH1330" s="157">
        <f>IFERROR(__xludf.DUMMYFUNCTION("""COMPUTED_VALUE"""),43903.91633262731)</f>
        <v>43903.91633</v>
      </c>
      <c r="AI1330" s="138"/>
      <c r="AJ1330" s="138"/>
      <c r="AK1330" s="138"/>
      <c r="AL1330" s="142"/>
    </row>
    <row r="1331" ht="20.25" customHeight="1">
      <c r="A1331" s="155" t="str">
        <f>IFERROR(__xludf.DUMMYFUNCTION("""COMPUTED_VALUE"""),"scottee28")</f>
        <v>scottee28</v>
      </c>
      <c r="B1331" s="149" t="str">
        <f>IFERROR(__xludf.DUMMYFUNCTION("""COMPUTED_VALUE"""),"Midway City")</f>
        <v>Midway City</v>
      </c>
      <c r="C1331" s="149" t="str">
        <f>IFERROR(__xludf.DUMMYFUNCTION("""COMPUTED_VALUE"""),"CA")</f>
        <v>CA</v>
      </c>
      <c r="D1331" s="149" t="str">
        <f>IFERROR(__xludf.DUMMYFUNCTION("""COMPUTED_VALUE"""),"USA")</f>
        <v>USA</v>
      </c>
      <c r="E1331" s="156">
        <f>IFERROR(__xludf.DUMMYFUNCTION("""COMPUTED_VALUE"""),43862.0)</f>
        <v>43862</v>
      </c>
      <c r="F1331" s="129">
        <f>IFERROR(__xludf.DUMMYFUNCTION("""COMPUTED_VALUE"""),43910.0)</f>
        <v>43910</v>
      </c>
      <c r="G1331" s="154"/>
      <c r="H1331" s="131"/>
      <c r="I1331" s="144" t="str">
        <f>IFERROR(__xludf.DUMMYFUNCTION("""COMPUTED_VALUE"""),"03/20")</f>
        <v>03/20</v>
      </c>
      <c r="J1331" s="129">
        <f>IFERROR(__xludf.DUMMYFUNCTION("""COMPUTED_VALUE"""),43912.0)</f>
        <v>43912</v>
      </c>
      <c r="K1331" s="133">
        <f>IFERROR(__xludf.DUMMYFUNCTION("""COMPUTED_VALUE"""),48.0)</f>
        <v>48</v>
      </c>
      <c r="L1331" s="133">
        <f>IFERROR(__xludf.DUMMYFUNCTION("""COMPUTED_VALUE"""),2.0)</f>
        <v>2</v>
      </c>
      <c r="M1331" s="133">
        <f>IFERROR(__xludf.DUMMYFUNCTION("""COMPUTED_VALUE"""),50.0)</f>
        <v>50</v>
      </c>
      <c r="N1331" s="152" t="str">
        <f>IFERROR(__xludf.DUMMYFUNCTION("""COMPUTED_VALUE"""),"Model 3 LR AWD")</f>
        <v>Model 3 LR AWD</v>
      </c>
      <c r="O1331" s="152" t="str">
        <f>IFERROR(__xludf.DUMMYFUNCTION("""COMPUTED_VALUE"""),"Red Multi-Coat")</f>
        <v>Red Multi-Coat</v>
      </c>
      <c r="P1331" s="153" t="str">
        <f>IFERROR(__xludf.DUMMYFUNCTION("""COMPUTED_VALUE"""),"19 inch Sport")</f>
        <v>19 inch Sport</v>
      </c>
      <c r="Q1331" s="152" t="str">
        <f>IFERROR(__xludf.DUMMYFUNCTION("""COMPUTED_VALUE"""),"White seats")</f>
        <v>White seats</v>
      </c>
      <c r="R1331" s="149" t="str">
        <f>IFERROR(__xludf.DUMMYFUNCTION("""COMPUTED_VALUE"""),"Full Self-Driving")</f>
        <v>Full Self-Driving</v>
      </c>
      <c r="S1331" s="149"/>
      <c r="T1331" s="145"/>
      <c r="U1331" s="145"/>
      <c r="V1331" s="145"/>
      <c r="W1331" s="136"/>
      <c r="X1331" s="137" t="str">
        <f>IFERROR(__xludf.DUMMYFUNCTION("""COMPUTED_VALUE"""),"Good")</f>
        <v>Good</v>
      </c>
      <c r="Y1331" s="138" t="str">
        <f>IFERROR(__xludf.DUMMYFUNCTION("""COMPUTED_VALUE"""),"Fair")</f>
        <v>Fair</v>
      </c>
      <c r="Z1331" s="138" t="str">
        <f>IFERROR(__xludf.DUMMYFUNCTION("""COMPUTED_VALUE"""),"Fair")</f>
        <v>Fair</v>
      </c>
      <c r="AA1331" s="138" t="str">
        <f>IFERROR(__xludf.DUMMYFUNCTION("""COMPUTED_VALUE"""),"Fair")</f>
        <v>Fair</v>
      </c>
      <c r="AB1331" s="138" t="str">
        <f>IFERROR(__xludf.DUMMYFUNCTION("""COMPUTED_VALUE"""),"Good")</f>
        <v>Good</v>
      </c>
      <c r="AC1331" s="139">
        <f>IFERROR(__xludf.DUMMYFUNCTION("""COMPUTED_VALUE"""),4.0)</f>
        <v>4</v>
      </c>
      <c r="AD1331" s="139">
        <f>IFERROR(__xludf.DUMMYFUNCTION("""COMPUTED_VALUE"""),1.0)</f>
        <v>1</v>
      </c>
      <c r="AE1331" s="139"/>
      <c r="AF1331" s="140"/>
      <c r="AG1331" s="136" t="str">
        <f>IFERROR(__xludf.DUMMYFUNCTION("""COMPUTED_VALUE"""),"Red Paint Upgrade had two paint chips on hood, White Dash Trim on Dash is damaged, Dealer Prep was bad, White Seats had marks, Black plastics were not wiped down")</f>
        <v>Red Paint Upgrade had two paint chips on hood, White Dash Trim on Dash is damaged, Dealer Prep was bad, White Seats had marks, Black plastics were not wiped down</v>
      </c>
      <c r="AH1331" s="157">
        <f>IFERROR(__xludf.DUMMYFUNCTION("""COMPUTED_VALUE"""),43913.43626253472)</f>
        <v>43913.43626</v>
      </c>
      <c r="AI1331" s="138"/>
      <c r="AJ1331" s="138"/>
      <c r="AK1331" s="138"/>
      <c r="AL1331" s="142"/>
    </row>
    <row r="1332" ht="20.25" customHeight="1">
      <c r="A1332" s="155" t="str">
        <f>IFERROR(__xludf.DUMMYFUNCTION("""COMPUTED_VALUE"""),"flb46169")</f>
        <v>flb46169</v>
      </c>
      <c r="B1332" s="149" t="str">
        <f>IFERROR(__xludf.DUMMYFUNCTION("""COMPUTED_VALUE"""),"Orlando")</f>
        <v>Orlando</v>
      </c>
      <c r="C1332" s="149" t="str">
        <f>IFERROR(__xludf.DUMMYFUNCTION("""COMPUTED_VALUE"""),"FL")</f>
        <v>FL</v>
      </c>
      <c r="D1332" s="149" t="str">
        <f>IFERROR(__xludf.DUMMYFUNCTION("""COMPUTED_VALUE"""),"USA")</f>
        <v>USA</v>
      </c>
      <c r="E1332" s="156">
        <f>IFERROR(__xludf.DUMMYFUNCTION("""COMPUTED_VALUE"""),43861.0)</f>
        <v>43861</v>
      </c>
      <c r="F1332" s="129">
        <f>IFERROR(__xludf.DUMMYFUNCTION("""COMPUTED_VALUE"""),43897.0)</f>
        <v>43897</v>
      </c>
      <c r="G1332" s="154"/>
      <c r="H1332" s="131">
        <f>IFERROR(__xludf.DUMMYFUNCTION("""COMPUTED_VALUE"""),669355.0)</f>
        <v>669355</v>
      </c>
      <c r="I1332" s="144" t="str">
        <f>IFERROR(__xludf.DUMMYFUNCTION("""COMPUTED_VALUE"""),"03/20")</f>
        <v>03/20</v>
      </c>
      <c r="J1332" s="129">
        <f>IFERROR(__xludf.DUMMYFUNCTION("""COMPUTED_VALUE"""),43910.0)</f>
        <v>43910</v>
      </c>
      <c r="K1332" s="133">
        <f>IFERROR(__xludf.DUMMYFUNCTION("""COMPUTED_VALUE"""),36.0)</f>
        <v>36</v>
      </c>
      <c r="L1332" s="133">
        <f>IFERROR(__xludf.DUMMYFUNCTION("""COMPUTED_VALUE"""),13.0)</f>
        <v>13</v>
      </c>
      <c r="M1332" s="133">
        <f>IFERROR(__xludf.DUMMYFUNCTION("""COMPUTED_VALUE"""),49.0)</f>
        <v>49</v>
      </c>
      <c r="N1332" s="152" t="str">
        <f>IFERROR(__xludf.DUMMYFUNCTION("""COMPUTED_VALUE"""),"Model 3 Performance")</f>
        <v>Model 3 Performance</v>
      </c>
      <c r="O1332" s="152" t="str">
        <f>IFERROR(__xludf.DUMMYFUNCTION("""COMPUTED_VALUE"""),"Red Multi-Coat")</f>
        <v>Red Multi-Coat</v>
      </c>
      <c r="P1332" s="153" t="str">
        <f>IFERROR(__xludf.DUMMYFUNCTION("""COMPUTED_VALUE"""),"20 inch Sport")</f>
        <v>20 inch Sport</v>
      </c>
      <c r="Q1332" s="152" t="str">
        <f>IFERROR(__xludf.DUMMYFUNCTION("""COMPUTED_VALUE"""),"Black seats")</f>
        <v>Black seats</v>
      </c>
      <c r="R1332" s="149" t="str">
        <f>IFERROR(__xludf.DUMMYFUNCTION("""COMPUTED_VALUE"""),"Autopilot")</f>
        <v>Autopilot</v>
      </c>
      <c r="S1332" s="149"/>
      <c r="T1332" s="145"/>
      <c r="U1332" s="145"/>
      <c r="V1332" s="145"/>
      <c r="W1332" s="145"/>
      <c r="X1332" s="137" t="str">
        <f>IFERROR(__xludf.DUMMYFUNCTION("""COMPUTED_VALUE"""),"Excellent")</f>
        <v>Excellent</v>
      </c>
      <c r="Y1332" s="138" t="str">
        <f>IFERROR(__xludf.DUMMYFUNCTION("""COMPUTED_VALUE"""),"Excellent")</f>
        <v>Excellent</v>
      </c>
      <c r="Z1332" s="138" t="str">
        <f>IFERROR(__xludf.DUMMYFUNCTION("""COMPUTED_VALUE"""),"Good")</f>
        <v>Good</v>
      </c>
      <c r="AA1332" s="138" t="str">
        <f>IFERROR(__xludf.DUMMYFUNCTION("""COMPUTED_VALUE"""),"Good")</f>
        <v>Good</v>
      </c>
      <c r="AB1332" s="138" t="str">
        <f>IFERROR(__xludf.DUMMYFUNCTION("""COMPUTED_VALUE"""),"Good")</f>
        <v>Good</v>
      </c>
      <c r="AC1332" s="139">
        <f>IFERROR(__xludf.DUMMYFUNCTION("""COMPUTED_VALUE"""),3.0)</f>
        <v>3</v>
      </c>
      <c r="AD1332" s="139">
        <f>IFERROR(__xludf.DUMMYFUNCTION("""COMPUTED_VALUE"""),0.0)</f>
        <v>0</v>
      </c>
      <c r="AE1332" s="139">
        <f>IFERROR(__xludf.DUMMYFUNCTION("""COMPUTED_VALUE"""),0.0)</f>
        <v>0</v>
      </c>
      <c r="AF1332" s="140"/>
      <c r="AG1332" s="145"/>
      <c r="AH1332" s="157">
        <f>IFERROR(__xludf.DUMMYFUNCTION("""COMPUTED_VALUE"""),43978.49674165509)</f>
        <v>43978.49674</v>
      </c>
      <c r="AI1332" s="138"/>
      <c r="AJ1332" s="138"/>
      <c r="AK1332" s="138"/>
      <c r="AL1332" s="142"/>
    </row>
    <row r="1333" ht="20.25" customHeight="1">
      <c r="A1333" s="155" t="str">
        <f>IFERROR(__xludf.DUMMYFUNCTION("""COMPUTED_VALUE"""),"Ravire")</f>
        <v>Ravire</v>
      </c>
      <c r="B1333" s="149" t="str">
        <f>IFERROR(__xludf.DUMMYFUNCTION("""COMPUTED_VALUE"""),"Rancho Cucamonga")</f>
        <v>Rancho Cucamonga</v>
      </c>
      <c r="C1333" s="149" t="str">
        <f>IFERROR(__xludf.DUMMYFUNCTION("""COMPUTED_VALUE"""),"CA")</f>
        <v>CA</v>
      </c>
      <c r="D1333" s="149" t="str">
        <f>IFERROR(__xludf.DUMMYFUNCTION("""COMPUTED_VALUE"""),"USA")</f>
        <v>USA</v>
      </c>
      <c r="E1333" s="156">
        <f>IFERROR(__xludf.DUMMYFUNCTION("""COMPUTED_VALUE"""),43861.0)</f>
        <v>43861</v>
      </c>
      <c r="F1333" s="129">
        <f>IFERROR(__xludf.DUMMYFUNCTION("""COMPUTED_VALUE"""),43904.0)</f>
        <v>43904</v>
      </c>
      <c r="G1333" s="154"/>
      <c r="H1333" s="131">
        <f>IFERROR(__xludf.DUMMYFUNCTION("""COMPUTED_VALUE"""),720055.0)</f>
        <v>720055</v>
      </c>
      <c r="I1333" s="132"/>
      <c r="J1333" s="129">
        <f>IFERROR(__xludf.DUMMYFUNCTION("""COMPUTED_VALUE"""),43905.0)</f>
        <v>43905</v>
      </c>
      <c r="K1333" s="133">
        <f>IFERROR(__xludf.DUMMYFUNCTION("""COMPUTED_VALUE"""),43.0)</f>
        <v>43</v>
      </c>
      <c r="L1333" s="133">
        <f>IFERROR(__xludf.DUMMYFUNCTION("""COMPUTED_VALUE"""),1.0)</f>
        <v>1</v>
      </c>
      <c r="M1333" s="133">
        <f>IFERROR(__xludf.DUMMYFUNCTION("""COMPUTED_VALUE"""),44.0)</f>
        <v>44</v>
      </c>
      <c r="N1333" s="152" t="str">
        <f>IFERROR(__xludf.DUMMYFUNCTION("""COMPUTED_VALUE"""),"Model 3 LR AWD")</f>
        <v>Model 3 LR AWD</v>
      </c>
      <c r="O1333" s="152" t="str">
        <f>IFERROR(__xludf.DUMMYFUNCTION("""COMPUTED_VALUE"""),"Pearl White Multi-Coat")</f>
        <v>Pearl White Multi-Coat</v>
      </c>
      <c r="P1333" s="153" t="str">
        <f>IFERROR(__xludf.DUMMYFUNCTION("""COMPUTED_VALUE"""),"18 inch Aero")</f>
        <v>18 inch Aero</v>
      </c>
      <c r="Q1333" s="152" t="str">
        <f>IFERROR(__xludf.DUMMYFUNCTION("""COMPUTED_VALUE"""),"White seats")</f>
        <v>White seats</v>
      </c>
      <c r="R1333" s="150" t="str">
        <f>IFERROR(__xludf.DUMMYFUNCTION("""COMPUTED_VALUE"""),"Autopilot")</f>
        <v>Autopilot</v>
      </c>
      <c r="S1333" s="150"/>
      <c r="T1333" s="136"/>
      <c r="U1333" s="136"/>
      <c r="V1333" s="136"/>
      <c r="W1333" s="136"/>
      <c r="X1333" s="137" t="str">
        <f>IFERROR(__xludf.DUMMYFUNCTION("""COMPUTED_VALUE"""),"Excellent")</f>
        <v>Excellent</v>
      </c>
      <c r="Y1333" s="138" t="str">
        <f>IFERROR(__xludf.DUMMYFUNCTION("""COMPUTED_VALUE"""),"Excellent")</f>
        <v>Excellent</v>
      </c>
      <c r="Z1333" s="138" t="str">
        <f>IFERROR(__xludf.DUMMYFUNCTION("""COMPUTED_VALUE"""),"Excellent")</f>
        <v>Excellent</v>
      </c>
      <c r="AA1333" s="138" t="str">
        <f>IFERROR(__xludf.DUMMYFUNCTION("""COMPUTED_VALUE"""),"Poor")</f>
        <v>Poor</v>
      </c>
      <c r="AB1333" s="138" t="str">
        <f>IFERROR(__xludf.DUMMYFUNCTION("""COMPUTED_VALUE"""),"Excellent")</f>
        <v>Excellent</v>
      </c>
      <c r="AC1333" s="139"/>
      <c r="AD1333" s="139"/>
      <c r="AE1333" s="139"/>
      <c r="AF1333" s="140"/>
      <c r="AG1333" s="136" t="str">
        <f>IFERROR(__xludf.DUMMYFUNCTION("""COMPUTED_VALUE"""),"Found identical build in inventory, called and got matched to VIN")</f>
        <v>Found identical build in inventory, called and got matched to VIN</v>
      </c>
      <c r="AH1333" s="157">
        <f>IFERROR(__xludf.DUMMYFUNCTION("""COMPUTED_VALUE"""),43905.8941925463)</f>
        <v>43905.89419</v>
      </c>
      <c r="AI1333" s="138"/>
      <c r="AJ1333" s="138"/>
      <c r="AK1333" s="138"/>
      <c r="AL1333" s="142"/>
    </row>
    <row r="1334" ht="20.25" customHeight="1">
      <c r="A1334" s="155" t="str">
        <f>IFERROR(__xludf.DUMMYFUNCTION("""COMPUTED_VALUE"""),"superbyte")</f>
        <v>superbyte</v>
      </c>
      <c r="B1334" s="149" t="str">
        <f>IFERROR(__xludf.DUMMYFUNCTION("""COMPUTED_VALUE"""),"phoenixville")</f>
        <v>phoenixville</v>
      </c>
      <c r="C1334" s="149" t="str">
        <f>IFERROR(__xludf.DUMMYFUNCTION("""COMPUTED_VALUE"""),"PA")</f>
        <v>PA</v>
      </c>
      <c r="D1334" s="149" t="str">
        <f>IFERROR(__xludf.DUMMYFUNCTION("""COMPUTED_VALUE"""),"USA")</f>
        <v>USA</v>
      </c>
      <c r="E1334" s="156">
        <f>IFERROR(__xludf.DUMMYFUNCTION("""COMPUTED_VALUE"""),43861.0)</f>
        <v>43861</v>
      </c>
      <c r="F1334" s="129">
        <f>IFERROR(__xludf.DUMMYFUNCTION("""COMPUTED_VALUE"""),43883.0)</f>
        <v>43883</v>
      </c>
      <c r="G1334" s="154"/>
      <c r="H1334" s="131">
        <f>IFERROR(__xludf.DUMMYFUNCTION("""COMPUTED_VALUE"""),644357.0)</f>
        <v>644357</v>
      </c>
      <c r="I1334" s="144"/>
      <c r="J1334" s="129">
        <f>IFERROR(__xludf.DUMMYFUNCTION("""COMPUTED_VALUE"""),43908.0)</f>
        <v>43908</v>
      </c>
      <c r="K1334" s="133">
        <f>IFERROR(__xludf.DUMMYFUNCTION("""COMPUTED_VALUE"""),22.0)</f>
        <v>22</v>
      </c>
      <c r="L1334" s="133">
        <f>IFERROR(__xludf.DUMMYFUNCTION("""COMPUTED_VALUE"""),25.0)</f>
        <v>25</v>
      </c>
      <c r="M1334" s="133">
        <f>IFERROR(__xludf.DUMMYFUNCTION("""COMPUTED_VALUE"""),47.0)</f>
        <v>47</v>
      </c>
      <c r="N1334" s="152" t="str">
        <f>IFERROR(__xludf.DUMMYFUNCTION("""COMPUTED_VALUE"""),"Model 3 SR+")</f>
        <v>Model 3 SR+</v>
      </c>
      <c r="O1334" s="152" t="str">
        <f>IFERROR(__xludf.DUMMYFUNCTION("""COMPUTED_VALUE"""),"Midnight Silver Metallic")</f>
        <v>Midnight Silver Metallic</v>
      </c>
      <c r="P1334" s="153" t="str">
        <f>IFERROR(__xludf.DUMMYFUNCTION("""COMPUTED_VALUE"""),"18 inch Aero")</f>
        <v>18 inch Aero</v>
      </c>
      <c r="Q1334" s="152" t="str">
        <f>IFERROR(__xludf.DUMMYFUNCTION("""COMPUTED_VALUE"""),"Black seats")</f>
        <v>Black seats</v>
      </c>
      <c r="R1334" s="149" t="str">
        <f>IFERROR(__xludf.DUMMYFUNCTION("""COMPUTED_VALUE"""),"Autopilot")</f>
        <v>Autopilot</v>
      </c>
      <c r="S1334" s="149"/>
      <c r="T1334" s="145"/>
      <c r="U1334" s="145"/>
      <c r="V1334" s="145"/>
      <c r="W1334" s="136"/>
      <c r="X1334" s="137" t="str">
        <f>IFERROR(__xludf.DUMMYFUNCTION("""COMPUTED_VALUE"""),"Very Good")</f>
        <v>Very Good</v>
      </c>
      <c r="Y1334" s="138" t="str">
        <f>IFERROR(__xludf.DUMMYFUNCTION("""COMPUTED_VALUE"""),"Very Good")</f>
        <v>Very Good</v>
      </c>
      <c r="Z1334" s="138" t="str">
        <f>IFERROR(__xludf.DUMMYFUNCTION("""COMPUTED_VALUE"""),"Excellent")</f>
        <v>Excellent</v>
      </c>
      <c r="AA1334" s="138" t="str">
        <f>IFERROR(__xludf.DUMMYFUNCTION("""COMPUTED_VALUE"""),"Fair")</f>
        <v>Fair</v>
      </c>
      <c r="AB1334" s="138" t="str">
        <f>IFERROR(__xludf.DUMMYFUNCTION("""COMPUTED_VALUE"""),"Poor")</f>
        <v>Poor</v>
      </c>
      <c r="AC1334" s="139">
        <f>IFERROR(__xludf.DUMMYFUNCTION("""COMPUTED_VALUE"""),1.0)</f>
        <v>1</v>
      </c>
      <c r="AD1334" s="139"/>
      <c r="AE1334" s="139"/>
      <c r="AF1334" s="140"/>
      <c r="AG1334" s="136" t="str">
        <f>IFERROR(__xludf.DUMMYFUNCTION("""COMPUTED_VALUE"""),"Front bumper had a defect so they replaced before delivery. Annoyed that they didn't give me some form of compensation for getting delayed 5 times")</f>
        <v>Front bumper had a defect so they replaced before delivery. Annoyed that they didn't give me some form of compensation for getting delayed 5 times</v>
      </c>
      <c r="AH1334" s="157">
        <f>IFERROR(__xludf.DUMMYFUNCTION("""COMPUTED_VALUE"""),43908.76338337963)</f>
        <v>43908.76338</v>
      </c>
      <c r="AI1334" s="138"/>
      <c r="AJ1334" s="138"/>
      <c r="AK1334" s="138"/>
      <c r="AL1334" s="142"/>
    </row>
    <row r="1335" ht="20.25" customHeight="1">
      <c r="A1335" s="155" t="str">
        <f>IFERROR(__xludf.DUMMYFUNCTION("""COMPUTED_VALUE"""),"cajunpanda")</f>
        <v>cajunpanda</v>
      </c>
      <c r="B1335" s="149" t="str">
        <f>IFERROR(__xludf.DUMMYFUNCTION("""COMPUTED_VALUE"""),"Omaha")</f>
        <v>Omaha</v>
      </c>
      <c r="C1335" s="149" t="str">
        <f>IFERROR(__xludf.DUMMYFUNCTION("""COMPUTED_VALUE"""),"NE")</f>
        <v>NE</v>
      </c>
      <c r="D1335" s="149" t="str">
        <f>IFERROR(__xludf.DUMMYFUNCTION("""COMPUTED_VALUE"""),"USA")</f>
        <v>USA</v>
      </c>
      <c r="E1335" s="156">
        <f>IFERROR(__xludf.DUMMYFUNCTION("""COMPUTED_VALUE"""),43860.0)</f>
        <v>43860</v>
      </c>
      <c r="F1335" s="129">
        <f>IFERROR(__xludf.DUMMYFUNCTION("""COMPUTED_VALUE"""),43892.0)</f>
        <v>43892</v>
      </c>
      <c r="G1335" s="154"/>
      <c r="H1335" s="131">
        <f>IFERROR(__xludf.DUMMYFUNCTION("""COMPUTED_VALUE"""),641655.0)</f>
        <v>641655</v>
      </c>
      <c r="I1335" s="144" t="str">
        <f>IFERROR(__xludf.DUMMYFUNCTION("""COMPUTED_VALUE"""),"02/20")</f>
        <v>02/20</v>
      </c>
      <c r="J1335" s="129">
        <f>IFERROR(__xludf.DUMMYFUNCTION("""COMPUTED_VALUE"""),43902.0)</f>
        <v>43902</v>
      </c>
      <c r="K1335" s="133">
        <f>IFERROR(__xludf.DUMMYFUNCTION("""COMPUTED_VALUE"""),32.0)</f>
        <v>32</v>
      </c>
      <c r="L1335" s="133">
        <f>IFERROR(__xludf.DUMMYFUNCTION("""COMPUTED_VALUE"""),10.0)</f>
        <v>10</v>
      </c>
      <c r="M1335" s="133">
        <f>IFERROR(__xludf.DUMMYFUNCTION("""COMPUTED_VALUE"""),42.0)</f>
        <v>42</v>
      </c>
      <c r="N1335" s="152" t="str">
        <f>IFERROR(__xludf.DUMMYFUNCTION("""COMPUTED_VALUE"""),"Model 3 Performance")</f>
        <v>Model 3 Performance</v>
      </c>
      <c r="O1335" s="152" t="str">
        <f>IFERROR(__xludf.DUMMYFUNCTION("""COMPUTED_VALUE"""),"Solid Black")</f>
        <v>Solid Black</v>
      </c>
      <c r="P1335" s="153" t="str">
        <f>IFERROR(__xludf.DUMMYFUNCTION("""COMPUTED_VALUE"""),"20 inch Sport")</f>
        <v>20 inch Sport</v>
      </c>
      <c r="Q1335" s="152" t="str">
        <f>IFERROR(__xludf.DUMMYFUNCTION("""COMPUTED_VALUE"""),"White seats")</f>
        <v>White seats</v>
      </c>
      <c r="R1335" s="149" t="str">
        <f>IFERROR(__xludf.DUMMYFUNCTION("""COMPUTED_VALUE"""),"Full Self-Driving")</f>
        <v>Full Self-Driving</v>
      </c>
      <c r="S1335" s="149"/>
      <c r="T1335" s="145"/>
      <c r="U1335" s="145"/>
      <c r="V1335" s="145"/>
      <c r="W1335" s="145"/>
      <c r="X1335" s="137" t="str">
        <f>IFERROR(__xludf.DUMMYFUNCTION("""COMPUTED_VALUE"""),"Excellent")</f>
        <v>Excellent</v>
      </c>
      <c r="Y1335" s="138" t="str">
        <f>IFERROR(__xludf.DUMMYFUNCTION("""COMPUTED_VALUE"""),"Excellent")</f>
        <v>Excellent</v>
      </c>
      <c r="Z1335" s="138" t="str">
        <f>IFERROR(__xludf.DUMMYFUNCTION("""COMPUTED_VALUE"""),"Excellent")</f>
        <v>Excellent</v>
      </c>
      <c r="AA1335" s="138" t="str">
        <f>IFERROR(__xludf.DUMMYFUNCTION("""COMPUTED_VALUE"""),"Fair")</f>
        <v>Fair</v>
      </c>
      <c r="AB1335" s="138" t="str">
        <f>IFERROR(__xludf.DUMMYFUNCTION("""COMPUTED_VALUE"""),"Good")</f>
        <v>Good</v>
      </c>
      <c r="AC1335" s="139"/>
      <c r="AD1335" s="139"/>
      <c r="AE1335" s="139"/>
      <c r="AF1335" s="140"/>
      <c r="AG1335" s="145"/>
      <c r="AH1335" s="157">
        <f>IFERROR(__xludf.DUMMYFUNCTION("""COMPUTED_VALUE"""),43907.31577016204)</f>
        <v>43907.31577</v>
      </c>
      <c r="AI1335" s="138"/>
      <c r="AJ1335" s="138"/>
      <c r="AK1335" s="138"/>
      <c r="AL1335" s="142"/>
    </row>
    <row r="1336" ht="20.25" customHeight="1">
      <c r="A1336" s="155" t="str">
        <f>IFERROR(__xludf.DUMMYFUNCTION("""COMPUTED_VALUE"""),"DJPoisson")</f>
        <v>DJPoisson</v>
      </c>
      <c r="B1336" s="149" t="str">
        <f>IFERROR(__xludf.DUMMYFUNCTION("""COMPUTED_VALUE"""),"Atlanta")</f>
        <v>Atlanta</v>
      </c>
      <c r="C1336" s="149" t="str">
        <f>IFERROR(__xludf.DUMMYFUNCTION("""COMPUTED_VALUE"""),"GA")</f>
        <v>GA</v>
      </c>
      <c r="D1336" s="149" t="str">
        <f>IFERROR(__xludf.DUMMYFUNCTION("""COMPUTED_VALUE"""),"USA")</f>
        <v>USA</v>
      </c>
      <c r="E1336" s="156">
        <f>IFERROR(__xludf.DUMMYFUNCTION("""COMPUTED_VALUE"""),43860.0)</f>
        <v>43860</v>
      </c>
      <c r="F1336" s="129">
        <f>IFERROR(__xludf.DUMMYFUNCTION("""COMPUTED_VALUE"""),43890.0)</f>
        <v>43890</v>
      </c>
      <c r="G1336" s="154"/>
      <c r="H1336" s="131">
        <f>IFERROR(__xludf.DUMMYFUNCTION("""COMPUTED_VALUE"""),641503.0)</f>
        <v>641503</v>
      </c>
      <c r="I1336" s="144"/>
      <c r="J1336" s="129">
        <f>IFERROR(__xludf.DUMMYFUNCTION("""COMPUTED_VALUE"""),43905.0)</f>
        <v>43905</v>
      </c>
      <c r="K1336" s="133">
        <f>IFERROR(__xludf.DUMMYFUNCTION("""COMPUTED_VALUE"""),30.0)</f>
        <v>30</v>
      </c>
      <c r="L1336" s="133">
        <f>IFERROR(__xludf.DUMMYFUNCTION("""COMPUTED_VALUE"""),15.0)</f>
        <v>15</v>
      </c>
      <c r="M1336" s="133">
        <f>IFERROR(__xludf.DUMMYFUNCTION("""COMPUTED_VALUE"""),45.0)</f>
        <v>45</v>
      </c>
      <c r="N1336" s="152" t="str">
        <f>IFERROR(__xludf.DUMMYFUNCTION("""COMPUTED_VALUE"""),"Model 3 Performance")</f>
        <v>Model 3 Performance</v>
      </c>
      <c r="O1336" s="152" t="str">
        <f>IFERROR(__xludf.DUMMYFUNCTION("""COMPUTED_VALUE"""),"Pearl White Multi-Coat")</f>
        <v>Pearl White Multi-Coat</v>
      </c>
      <c r="P1336" s="153" t="str">
        <f>IFERROR(__xludf.DUMMYFUNCTION("""COMPUTED_VALUE"""),"20 inch Sport")</f>
        <v>20 inch Sport</v>
      </c>
      <c r="Q1336" s="152" t="str">
        <f>IFERROR(__xludf.DUMMYFUNCTION("""COMPUTED_VALUE"""),"Black seats")</f>
        <v>Black seats</v>
      </c>
      <c r="R1336" s="149" t="str">
        <f>IFERROR(__xludf.DUMMYFUNCTION("""COMPUTED_VALUE"""),"Full Self-Driving")</f>
        <v>Full Self-Driving</v>
      </c>
      <c r="S1336" s="149"/>
      <c r="T1336" s="145"/>
      <c r="U1336" s="145"/>
      <c r="V1336" s="145"/>
      <c r="W1336" s="136"/>
      <c r="X1336" s="137" t="str">
        <f>IFERROR(__xludf.DUMMYFUNCTION("""COMPUTED_VALUE"""),"Excellent")</f>
        <v>Excellent</v>
      </c>
      <c r="Y1336" s="138" t="str">
        <f>IFERROR(__xludf.DUMMYFUNCTION("""COMPUTED_VALUE"""),"Excellent")</f>
        <v>Excellent</v>
      </c>
      <c r="Z1336" s="138" t="str">
        <f>IFERROR(__xludf.DUMMYFUNCTION("""COMPUTED_VALUE"""),"Excellent")</f>
        <v>Excellent</v>
      </c>
      <c r="AA1336" s="138" t="str">
        <f>IFERROR(__xludf.DUMMYFUNCTION("""COMPUTED_VALUE"""),"Poor")</f>
        <v>Poor</v>
      </c>
      <c r="AB1336" s="138" t="str">
        <f>IFERROR(__xludf.DUMMYFUNCTION("""COMPUTED_VALUE"""),"Excellent")</f>
        <v>Excellent</v>
      </c>
      <c r="AC1336" s="139"/>
      <c r="AD1336" s="139"/>
      <c r="AE1336" s="139"/>
      <c r="AF1336" s="140"/>
      <c r="AG1336" s="136"/>
      <c r="AH1336" s="157">
        <f>IFERROR(__xludf.DUMMYFUNCTION("""COMPUTED_VALUE"""),43906.413348842594)</f>
        <v>43906.41335</v>
      </c>
      <c r="AI1336" s="138"/>
      <c r="AJ1336" s="138"/>
      <c r="AK1336" s="138"/>
      <c r="AL1336" s="142"/>
    </row>
    <row r="1337" ht="20.25" customHeight="1">
      <c r="A1337" s="155" t="str">
        <f>IFERROR(__xludf.DUMMYFUNCTION("""COMPUTED_VALUE"""),"leonine0")</f>
        <v>leonine0</v>
      </c>
      <c r="B1337" s="149" t="str">
        <f>IFERROR(__xludf.DUMMYFUNCTION("""COMPUTED_VALUE"""),"Santa Clara")</f>
        <v>Santa Clara</v>
      </c>
      <c r="C1337" s="149" t="str">
        <f>IFERROR(__xludf.DUMMYFUNCTION("""COMPUTED_VALUE"""),"CA")</f>
        <v>CA</v>
      </c>
      <c r="D1337" s="149" t="str">
        <f>IFERROR(__xludf.DUMMYFUNCTION("""COMPUTED_VALUE"""),"USA")</f>
        <v>USA</v>
      </c>
      <c r="E1337" s="156">
        <f>IFERROR(__xludf.DUMMYFUNCTION("""COMPUTED_VALUE"""),43860.0)</f>
        <v>43860</v>
      </c>
      <c r="F1337" s="129">
        <f>IFERROR(__xludf.DUMMYFUNCTION("""COMPUTED_VALUE"""),43883.0)</f>
        <v>43883</v>
      </c>
      <c r="G1337" s="154"/>
      <c r="H1337" s="131"/>
      <c r="I1337" s="144"/>
      <c r="J1337" s="129">
        <f>IFERROR(__xludf.DUMMYFUNCTION("""COMPUTED_VALUE"""),43884.0)</f>
        <v>43884</v>
      </c>
      <c r="K1337" s="133">
        <f>IFERROR(__xludf.DUMMYFUNCTION("""COMPUTED_VALUE"""),23.0)</f>
        <v>23</v>
      </c>
      <c r="L1337" s="133">
        <f>IFERROR(__xludf.DUMMYFUNCTION("""COMPUTED_VALUE"""),1.0)</f>
        <v>1</v>
      </c>
      <c r="M1337" s="133">
        <f>IFERROR(__xludf.DUMMYFUNCTION("""COMPUTED_VALUE"""),24.0)</f>
        <v>24</v>
      </c>
      <c r="N1337" s="152" t="str">
        <f>IFERROR(__xludf.DUMMYFUNCTION("""COMPUTED_VALUE"""),"Model 3 SR")</f>
        <v>Model 3 SR</v>
      </c>
      <c r="O1337" s="152" t="str">
        <f>IFERROR(__xludf.DUMMYFUNCTION("""COMPUTED_VALUE"""),"Midnight Silver Metallic")</f>
        <v>Midnight Silver Metallic</v>
      </c>
      <c r="P1337" s="153" t="str">
        <f>IFERROR(__xludf.DUMMYFUNCTION("""COMPUTED_VALUE"""),"18 inch Aero")</f>
        <v>18 inch Aero</v>
      </c>
      <c r="Q1337" s="152" t="str">
        <f>IFERROR(__xludf.DUMMYFUNCTION("""COMPUTED_VALUE"""),"Black seats")</f>
        <v>Black seats</v>
      </c>
      <c r="R1337" s="149"/>
      <c r="S1337" s="149"/>
      <c r="T1337" s="145"/>
      <c r="U1337" s="145"/>
      <c r="V1337" s="145"/>
      <c r="W1337" s="145"/>
      <c r="X1337" s="137"/>
      <c r="Y1337" s="138"/>
      <c r="Z1337" s="138"/>
      <c r="AA1337" s="138" t="str">
        <f>IFERROR(__xludf.DUMMYFUNCTION("""COMPUTED_VALUE"""),"Very Good")</f>
        <v>Very Good</v>
      </c>
      <c r="AB1337" s="138" t="str">
        <f>IFERROR(__xludf.DUMMYFUNCTION("""COMPUTED_VALUE"""),"Very Good")</f>
        <v>Very Good</v>
      </c>
      <c r="AC1337" s="139">
        <f>IFERROR(__xludf.DUMMYFUNCTION("""COMPUTED_VALUE"""),0.0)</f>
        <v>0</v>
      </c>
      <c r="AD1337" s="139"/>
      <c r="AE1337" s="139"/>
      <c r="AF1337" s="140"/>
      <c r="AG1337" s="136"/>
      <c r="AH1337" s="157">
        <f>IFERROR(__xludf.DUMMYFUNCTION("""COMPUTED_VALUE"""),43885.52576015046)</f>
        <v>43885.52576</v>
      </c>
      <c r="AI1337" s="138"/>
      <c r="AJ1337" s="138"/>
      <c r="AK1337" s="138"/>
      <c r="AL1337" s="142"/>
    </row>
    <row r="1338" ht="20.25" customHeight="1">
      <c r="A1338" s="155" t="str">
        <f>IFERROR(__xludf.DUMMYFUNCTION("""COMPUTED_VALUE"""),"SpartanZim")</f>
        <v>SpartanZim</v>
      </c>
      <c r="B1338" s="149" t="str">
        <f>IFERROR(__xludf.DUMMYFUNCTION("""COMPUTED_VALUE"""),"Youngstown")</f>
        <v>Youngstown</v>
      </c>
      <c r="C1338" s="149" t="str">
        <f>IFERROR(__xludf.DUMMYFUNCTION("""COMPUTED_VALUE"""),"OH")</f>
        <v>OH</v>
      </c>
      <c r="D1338" s="149" t="str">
        <f>IFERROR(__xludf.DUMMYFUNCTION("""COMPUTED_VALUE"""),"USA")</f>
        <v>USA</v>
      </c>
      <c r="E1338" s="156">
        <f>IFERROR(__xludf.DUMMYFUNCTION("""COMPUTED_VALUE"""),43860.0)</f>
        <v>43860</v>
      </c>
      <c r="F1338" s="129">
        <f>IFERROR(__xludf.DUMMYFUNCTION("""COMPUTED_VALUE"""),43885.0)</f>
        <v>43885</v>
      </c>
      <c r="G1338" s="154"/>
      <c r="H1338" s="131"/>
      <c r="I1338" s="144"/>
      <c r="J1338" s="129">
        <f>IFERROR(__xludf.DUMMYFUNCTION("""COMPUTED_VALUE"""),43899.0)</f>
        <v>43899</v>
      </c>
      <c r="K1338" s="133">
        <f>IFERROR(__xludf.DUMMYFUNCTION("""COMPUTED_VALUE"""),25.0)</f>
        <v>25</v>
      </c>
      <c r="L1338" s="133">
        <f>IFERROR(__xludf.DUMMYFUNCTION("""COMPUTED_VALUE"""),14.0)</f>
        <v>14</v>
      </c>
      <c r="M1338" s="133">
        <f>IFERROR(__xludf.DUMMYFUNCTION("""COMPUTED_VALUE"""),39.0)</f>
        <v>39</v>
      </c>
      <c r="N1338" s="152" t="str">
        <f>IFERROR(__xludf.DUMMYFUNCTION("""COMPUTED_VALUE"""),"Model 3 LR AWD")</f>
        <v>Model 3 LR AWD</v>
      </c>
      <c r="O1338" s="152" t="str">
        <f>IFERROR(__xludf.DUMMYFUNCTION("""COMPUTED_VALUE"""),"Red Multi-Coat")</f>
        <v>Red Multi-Coat</v>
      </c>
      <c r="P1338" s="153" t="str">
        <f>IFERROR(__xludf.DUMMYFUNCTION("""COMPUTED_VALUE"""),"18 inch Aero")</f>
        <v>18 inch Aero</v>
      </c>
      <c r="Q1338" s="152" t="str">
        <f>IFERROR(__xludf.DUMMYFUNCTION("""COMPUTED_VALUE"""),"Black seats")</f>
        <v>Black seats</v>
      </c>
      <c r="R1338" s="149" t="str">
        <f>IFERROR(__xludf.DUMMYFUNCTION("""COMPUTED_VALUE"""),"Autopilot")</f>
        <v>Autopilot</v>
      </c>
      <c r="S1338" s="149"/>
      <c r="T1338" s="145"/>
      <c r="U1338" s="145"/>
      <c r="V1338" s="145"/>
      <c r="W1338" s="145"/>
      <c r="X1338" s="137" t="str">
        <f>IFERROR(__xludf.DUMMYFUNCTION("""COMPUTED_VALUE"""),"Very Good")</f>
        <v>Very Good</v>
      </c>
      <c r="Y1338" s="138" t="str">
        <f>IFERROR(__xludf.DUMMYFUNCTION("""COMPUTED_VALUE"""),"Excellent")</f>
        <v>Excellent</v>
      </c>
      <c r="Z1338" s="138" t="str">
        <f>IFERROR(__xludf.DUMMYFUNCTION("""COMPUTED_VALUE"""),"Excellent")</f>
        <v>Excellent</v>
      </c>
      <c r="AA1338" s="138" t="str">
        <f>IFERROR(__xludf.DUMMYFUNCTION("""COMPUTED_VALUE"""),"Very Good")</f>
        <v>Very Good</v>
      </c>
      <c r="AB1338" s="138" t="str">
        <f>IFERROR(__xludf.DUMMYFUNCTION("""COMPUTED_VALUE"""),"Excellent")</f>
        <v>Excellent</v>
      </c>
      <c r="AC1338" s="139"/>
      <c r="AD1338" s="139"/>
      <c r="AE1338" s="139"/>
      <c r="AF1338" s="140"/>
      <c r="AG1338" s="145"/>
      <c r="AH1338" s="157">
        <f>IFERROR(__xludf.DUMMYFUNCTION("""COMPUTED_VALUE"""),43901.35995155093)</f>
        <v>43901.35995</v>
      </c>
      <c r="AI1338" s="138"/>
      <c r="AJ1338" s="138"/>
      <c r="AK1338" s="138"/>
      <c r="AL1338" s="142"/>
    </row>
    <row r="1339" ht="20.25" customHeight="1">
      <c r="A1339" s="155" t="str">
        <f>IFERROR(__xludf.DUMMYFUNCTION("""COMPUTED_VALUE"""),"vdeshpande89")</f>
        <v>vdeshpande89</v>
      </c>
      <c r="B1339" s="149" t="str">
        <f>IFERROR(__xludf.DUMMYFUNCTION("""COMPUTED_VALUE"""),"San Jose")</f>
        <v>San Jose</v>
      </c>
      <c r="C1339" s="149" t="str">
        <f>IFERROR(__xludf.DUMMYFUNCTION("""COMPUTED_VALUE"""),"CA")</f>
        <v>CA</v>
      </c>
      <c r="D1339" s="149" t="str">
        <f>IFERROR(__xludf.DUMMYFUNCTION("""COMPUTED_VALUE"""),"USA")</f>
        <v>USA</v>
      </c>
      <c r="E1339" s="156">
        <f>IFERROR(__xludf.DUMMYFUNCTION("""COMPUTED_VALUE"""),43860.0)</f>
        <v>43860</v>
      </c>
      <c r="F1339" s="129">
        <f>IFERROR(__xludf.DUMMYFUNCTION("""COMPUTED_VALUE"""),43900.0)</f>
        <v>43900</v>
      </c>
      <c r="G1339" s="154"/>
      <c r="H1339" s="131">
        <f>IFERROR(__xludf.DUMMYFUNCTION("""COMPUTED_VALUE"""),664355.0)</f>
        <v>664355</v>
      </c>
      <c r="I1339" s="144"/>
      <c r="J1339" s="129">
        <f>IFERROR(__xludf.DUMMYFUNCTION("""COMPUTED_VALUE"""),43905.0)</f>
        <v>43905</v>
      </c>
      <c r="K1339" s="133">
        <f>IFERROR(__xludf.DUMMYFUNCTION("""COMPUTED_VALUE"""),40.0)</f>
        <v>40</v>
      </c>
      <c r="L1339" s="133">
        <f>IFERROR(__xludf.DUMMYFUNCTION("""COMPUTED_VALUE"""),5.0)</f>
        <v>5</v>
      </c>
      <c r="M1339" s="133">
        <f>IFERROR(__xludf.DUMMYFUNCTION("""COMPUTED_VALUE"""),45.0)</f>
        <v>45</v>
      </c>
      <c r="N1339" s="152" t="str">
        <f>IFERROR(__xludf.DUMMYFUNCTION("""COMPUTED_VALUE"""),"Model 3 LR AWD")</f>
        <v>Model 3 LR AWD</v>
      </c>
      <c r="O1339" s="152" t="str">
        <f>IFERROR(__xludf.DUMMYFUNCTION("""COMPUTED_VALUE"""),"Red Multi-Coat")</f>
        <v>Red Multi-Coat</v>
      </c>
      <c r="P1339" s="153" t="str">
        <f>IFERROR(__xludf.DUMMYFUNCTION("""COMPUTED_VALUE"""),"18 inch Aero")</f>
        <v>18 inch Aero</v>
      </c>
      <c r="Q1339" s="152" t="str">
        <f>IFERROR(__xludf.DUMMYFUNCTION("""COMPUTED_VALUE"""),"Black seats")</f>
        <v>Black seats</v>
      </c>
      <c r="R1339" s="149" t="str">
        <f>IFERROR(__xludf.DUMMYFUNCTION("""COMPUTED_VALUE"""),"Autopilot")</f>
        <v>Autopilot</v>
      </c>
      <c r="S1339" s="149"/>
      <c r="T1339" s="145"/>
      <c r="U1339" s="145"/>
      <c r="V1339" s="145"/>
      <c r="W1339" s="136"/>
      <c r="X1339" s="137" t="str">
        <f>IFERROR(__xludf.DUMMYFUNCTION("""COMPUTED_VALUE"""),"Good")</f>
        <v>Good</v>
      </c>
      <c r="Y1339" s="138" t="str">
        <f>IFERROR(__xludf.DUMMYFUNCTION("""COMPUTED_VALUE"""),"Very Good")</f>
        <v>Very Good</v>
      </c>
      <c r="Z1339" s="138" t="str">
        <f>IFERROR(__xludf.DUMMYFUNCTION("""COMPUTED_VALUE"""),"Poor")</f>
        <v>Poor</v>
      </c>
      <c r="AA1339" s="138" t="str">
        <f>IFERROR(__xludf.DUMMYFUNCTION("""COMPUTED_VALUE"""),"Good")</f>
        <v>Good</v>
      </c>
      <c r="AB1339" s="138" t="str">
        <f>IFERROR(__xludf.DUMMYFUNCTION("""COMPUTED_VALUE"""),"Fair")</f>
        <v>Fair</v>
      </c>
      <c r="AC1339" s="139">
        <f>IFERROR(__xludf.DUMMYFUNCTION("""COMPUTED_VALUE"""),4.0)</f>
        <v>4</v>
      </c>
      <c r="AD1339" s="139"/>
      <c r="AE1339" s="139"/>
      <c r="AF1339" s="140"/>
      <c r="AG1339" s="136"/>
      <c r="AH1339" s="157">
        <f>IFERROR(__xludf.DUMMYFUNCTION("""COMPUTED_VALUE"""),43907.61387974537)</f>
        <v>43907.61388</v>
      </c>
      <c r="AI1339" s="138"/>
      <c r="AJ1339" s="138"/>
      <c r="AK1339" s="138"/>
      <c r="AL1339" s="142"/>
    </row>
    <row r="1340" ht="20.25" customHeight="1">
      <c r="A1340" s="155" t="str">
        <f>IFERROR(__xludf.DUMMYFUNCTION("""COMPUTED_VALUE"""),"ZoomZoomin")</f>
        <v>ZoomZoomin</v>
      </c>
      <c r="B1340" s="149" t="str">
        <f>IFERROR(__xludf.DUMMYFUNCTION("""COMPUTED_VALUE"""),"Winter Haven")</f>
        <v>Winter Haven</v>
      </c>
      <c r="C1340" s="149" t="str">
        <f>IFERROR(__xludf.DUMMYFUNCTION("""COMPUTED_VALUE"""),"FL")</f>
        <v>FL</v>
      </c>
      <c r="D1340" s="149" t="str">
        <f>IFERROR(__xludf.DUMMYFUNCTION("""COMPUTED_VALUE"""),"USA")</f>
        <v>USA</v>
      </c>
      <c r="E1340" s="156">
        <f>IFERROR(__xludf.DUMMYFUNCTION("""COMPUTED_VALUE"""),43860.0)</f>
        <v>43860</v>
      </c>
      <c r="F1340" s="129">
        <f>IFERROR(__xludf.DUMMYFUNCTION("""COMPUTED_VALUE"""),43882.0)</f>
        <v>43882</v>
      </c>
      <c r="G1340" s="154"/>
      <c r="H1340" s="131">
        <f>IFERROR(__xludf.DUMMYFUNCTION("""COMPUTED_VALUE"""),644255.0)</f>
        <v>644255</v>
      </c>
      <c r="I1340" s="144"/>
      <c r="J1340" s="129">
        <f>IFERROR(__xludf.DUMMYFUNCTION("""COMPUTED_VALUE"""),43897.0)</f>
        <v>43897</v>
      </c>
      <c r="K1340" s="133">
        <f>IFERROR(__xludf.DUMMYFUNCTION("""COMPUTED_VALUE"""),22.0)</f>
        <v>22</v>
      </c>
      <c r="L1340" s="133">
        <f>IFERROR(__xludf.DUMMYFUNCTION("""COMPUTED_VALUE"""),15.0)</f>
        <v>15</v>
      </c>
      <c r="M1340" s="133">
        <f>IFERROR(__xludf.DUMMYFUNCTION("""COMPUTED_VALUE"""),37.0)</f>
        <v>37</v>
      </c>
      <c r="N1340" s="152" t="str">
        <f>IFERROR(__xludf.DUMMYFUNCTION("""COMPUTED_VALUE"""),"Model 3 SR+")</f>
        <v>Model 3 SR+</v>
      </c>
      <c r="O1340" s="152" t="str">
        <f>IFERROR(__xludf.DUMMYFUNCTION("""COMPUTED_VALUE"""),"Midnight Silver Metallic")</f>
        <v>Midnight Silver Metallic</v>
      </c>
      <c r="P1340" s="153" t="str">
        <f>IFERROR(__xludf.DUMMYFUNCTION("""COMPUTED_VALUE"""),"18 inch Aero")</f>
        <v>18 inch Aero</v>
      </c>
      <c r="Q1340" s="152" t="str">
        <f>IFERROR(__xludf.DUMMYFUNCTION("""COMPUTED_VALUE"""),"Black seats")</f>
        <v>Black seats</v>
      </c>
      <c r="R1340" s="149" t="str">
        <f>IFERROR(__xludf.DUMMYFUNCTION("""COMPUTED_VALUE"""),"Autopilot")</f>
        <v>Autopilot</v>
      </c>
      <c r="S1340" s="149"/>
      <c r="T1340" s="145"/>
      <c r="U1340" s="145"/>
      <c r="V1340" s="145"/>
      <c r="W1340" s="136"/>
      <c r="X1340" s="151" t="str">
        <f>IFERROR(__xludf.DUMMYFUNCTION("""COMPUTED_VALUE"""),"Excellent")</f>
        <v>Excellent</v>
      </c>
      <c r="Y1340" s="138" t="str">
        <f>IFERROR(__xludf.DUMMYFUNCTION("""COMPUTED_VALUE"""),"Excellent")</f>
        <v>Excellent</v>
      </c>
      <c r="Z1340" s="138" t="str">
        <f>IFERROR(__xludf.DUMMYFUNCTION("""COMPUTED_VALUE"""),"Excellent")</f>
        <v>Excellent</v>
      </c>
      <c r="AA1340" s="138" t="str">
        <f>IFERROR(__xludf.DUMMYFUNCTION("""COMPUTED_VALUE"""),"Good")</f>
        <v>Good</v>
      </c>
      <c r="AB1340" s="138" t="str">
        <f>IFERROR(__xludf.DUMMYFUNCTION("""COMPUTED_VALUE"""),"Good")</f>
        <v>Good</v>
      </c>
      <c r="AC1340" s="139"/>
      <c r="AD1340" s="139"/>
      <c r="AE1340" s="139"/>
      <c r="AF1340" s="140"/>
      <c r="AG1340" s="136" t="str">
        <f>IFERROR(__xludf.DUMMYFUNCTION("""COMPUTED_VALUE"""),"Got delivery on 3/7, hour &amp; 1/2 wait on “paperwork”")</f>
        <v>Got delivery on 3/7, hour &amp; 1/2 wait on “paperwork”</v>
      </c>
      <c r="AH1340" s="157">
        <f>IFERROR(__xludf.DUMMYFUNCTION("""COMPUTED_VALUE"""),43900.620074513885)</f>
        <v>43900.62007</v>
      </c>
      <c r="AI1340" s="138"/>
      <c r="AJ1340" s="138"/>
      <c r="AK1340" s="138"/>
      <c r="AL1340" s="142"/>
    </row>
    <row r="1341" ht="20.25" customHeight="1">
      <c r="A1341" s="155" t="str">
        <f>IFERROR(__xludf.DUMMYFUNCTION("""COMPUTED_VALUE"""),"CantLetMyWifeKnow")</f>
        <v>CantLetMyWifeKnow</v>
      </c>
      <c r="B1341" s="149" t="str">
        <f>IFERROR(__xludf.DUMMYFUNCTION("""COMPUTED_VALUE"""),"Taipei, Taiwan.")</f>
        <v>Taipei, Taiwan.</v>
      </c>
      <c r="C1341" s="149"/>
      <c r="D1341" s="149" t="str">
        <f>IFERROR(__xludf.DUMMYFUNCTION("""COMPUTED_VALUE"""),"Other (include country together with city)")</f>
        <v>Other (include country together with city)</v>
      </c>
      <c r="E1341" s="156">
        <f>IFERROR(__xludf.DUMMYFUNCTION("""COMPUTED_VALUE"""),43858.0)</f>
        <v>43858</v>
      </c>
      <c r="F1341" s="129">
        <f>IFERROR(__xludf.DUMMYFUNCTION("""COMPUTED_VALUE"""),43866.0)</f>
        <v>43866</v>
      </c>
      <c r="G1341" s="154"/>
      <c r="H1341" s="131">
        <f>IFERROR(__xludf.DUMMYFUNCTION("""COMPUTED_VALUE"""),699275.0)</f>
        <v>699275</v>
      </c>
      <c r="I1341" s="144" t="str">
        <f>IFERROR(__xludf.DUMMYFUNCTION("""COMPUTED_VALUE"""),"01/20")</f>
        <v>01/20</v>
      </c>
      <c r="J1341" s="129">
        <f>IFERROR(__xludf.DUMMYFUNCTION("""COMPUTED_VALUE"""),43908.0)</f>
        <v>43908</v>
      </c>
      <c r="K1341" s="133">
        <f>IFERROR(__xludf.DUMMYFUNCTION("""COMPUTED_VALUE"""),8.0)</f>
        <v>8</v>
      </c>
      <c r="L1341" s="133">
        <f>IFERROR(__xludf.DUMMYFUNCTION("""COMPUTED_VALUE"""),42.0)</f>
        <v>42</v>
      </c>
      <c r="M1341" s="133">
        <f>IFERROR(__xludf.DUMMYFUNCTION("""COMPUTED_VALUE"""),50.0)</f>
        <v>50</v>
      </c>
      <c r="N1341" s="152" t="str">
        <f>IFERROR(__xludf.DUMMYFUNCTION("""COMPUTED_VALUE"""),"Model 3 LR")</f>
        <v>Model 3 LR</v>
      </c>
      <c r="O1341" s="152" t="str">
        <f>IFERROR(__xludf.DUMMYFUNCTION("""COMPUTED_VALUE"""),"Pearl White Multi-Coat")</f>
        <v>Pearl White Multi-Coat</v>
      </c>
      <c r="P1341" s="153" t="str">
        <f>IFERROR(__xludf.DUMMYFUNCTION("""COMPUTED_VALUE"""),"18 inch Aero")</f>
        <v>18 inch Aero</v>
      </c>
      <c r="Q1341" s="152" t="str">
        <f>IFERROR(__xludf.DUMMYFUNCTION("""COMPUTED_VALUE"""),"Black seats")</f>
        <v>Black seats</v>
      </c>
      <c r="R1341" s="149" t="str">
        <f>IFERROR(__xludf.DUMMYFUNCTION("""COMPUTED_VALUE"""),"Full Self-Driving")</f>
        <v>Full Self-Driving</v>
      </c>
      <c r="S1341" s="149"/>
      <c r="T1341" s="145"/>
      <c r="U1341" s="145"/>
      <c r="V1341" s="145"/>
      <c r="W1341" s="145"/>
      <c r="X1341" s="137" t="str">
        <f>IFERROR(__xludf.DUMMYFUNCTION("""COMPUTED_VALUE"""),"Very Good")</f>
        <v>Very Good</v>
      </c>
      <c r="Y1341" s="138" t="str">
        <f>IFERROR(__xludf.DUMMYFUNCTION("""COMPUTED_VALUE"""),"Excellent")</f>
        <v>Excellent</v>
      </c>
      <c r="Z1341" s="138" t="str">
        <f>IFERROR(__xludf.DUMMYFUNCTION("""COMPUTED_VALUE"""),"Excellent")</f>
        <v>Excellent</v>
      </c>
      <c r="AA1341" s="138" t="str">
        <f>IFERROR(__xludf.DUMMYFUNCTION("""COMPUTED_VALUE"""),"Excellent")</f>
        <v>Excellent</v>
      </c>
      <c r="AB1341" s="138" t="str">
        <f>IFERROR(__xludf.DUMMYFUNCTION("""COMPUTED_VALUE"""),"Excellent")</f>
        <v>Excellent</v>
      </c>
      <c r="AC1341" s="139"/>
      <c r="AD1341" s="139"/>
      <c r="AE1341" s="139"/>
      <c r="AF1341" s="140"/>
      <c r="AG1341" s="145" t="str">
        <f>IFERROR(__xludf.DUMMYFUNCTION("""COMPUTED_VALUE"""),"VIN appears in the source code of finalize webpage. Got contacted saying will be delivered in mid-Feb ~ March. Confirmed will deliver at 18th March Today (18 Feb)")</f>
        <v>VIN appears in the source code of finalize webpage. Got contacted saying will be delivered in mid-Feb ~ March. Confirmed will deliver at 18th March Today (18 Feb)</v>
      </c>
      <c r="AH1341" s="157">
        <f>IFERROR(__xludf.DUMMYFUNCTION("""COMPUTED_VALUE"""),43909.900836851855)</f>
        <v>43909.90084</v>
      </c>
      <c r="AI1341" s="138"/>
      <c r="AJ1341" s="138"/>
      <c r="AK1341" s="138"/>
      <c r="AL1341" s="142"/>
    </row>
    <row r="1342" ht="20.25" customHeight="1">
      <c r="A1342" s="155" t="str">
        <f>IFERROR(__xludf.DUMMYFUNCTION("""COMPUTED_VALUE"""),"hellocar")</f>
        <v>hellocar</v>
      </c>
      <c r="B1342" s="149" t="str">
        <f>IFERROR(__xludf.DUMMYFUNCTION("""COMPUTED_VALUE"""),"New York City")</f>
        <v>New York City</v>
      </c>
      <c r="C1342" s="149" t="str">
        <f>IFERROR(__xludf.DUMMYFUNCTION("""COMPUTED_VALUE"""),"NY")</f>
        <v>NY</v>
      </c>
      <c r="D1342" s="149" t="str">
        <f>IFERROR(__xludf.DUMMYFUNCTION("""COMPUTED_VALUE"""),"USA")</f>
        <v>USA</v>
      </c>
      <c r="E1342" s="156">
        <f>IFERROR(__xludf.DUMMYFUNCTION("""COMPUTED_VALUE"""),43858.0)</f>
        <v>43858</v>
      </c>
      <c r="F1342" s="129">
        <f>IFERROR(__xludf.DUMMYFUNCTION("""COMPUTED_VALUE"""),43885.0)</f>
        <v>43885</v>
      </c>
      <c r="G1342" s="154"/>
      <c r="H1342" s="131">
        <f>IFERROR(__xludf.DUMMYFUNCTION("""COMPUTED_VALUE"""),635955.0)</f>
        <v>635955</v>
      </c>
      <c r="I1342" s="144" t="str">
        <f>IFERROR(__xludf.DUMMYFUNCTION("""COMPUTED_VALUE"""),"02/20")</f>
        <v>02/20</v>
      </c>
      <c r="J1342" s="129">
        <f>IFERROR(__xludf.DUMMYFUNCTION("""COMPUTED_VALUE"""),43902.0)</f>
        <v>43902</v>
      </c>
      <c r="K1342" s="133">
        <f>IFERROR(__xludf.DUMMYFUNCTION("""COMPUTED_VALUE"""),27.0)</f>
        <v>27</v>
      </c>
      <c r="L1342" s="133">
        <f>IFERROR(__xludf.DUMMYFUNCTION("""COMPUTED_VALUE"""),17.0)</f>
        <v>17</v>
      </c>
      <c r="M1342" s="133">
        <f>IFERROR(__xludf.DUMMYFUNCTION("""COMPUTED_VALUE"""),44.0)</f>
        <v>44</v>
      </c>
      <c r="N1342" s="152" t="str">
        <f>IFERROR(__xludf.DUMMYFUNCTION("""COMPUTED_VALUE"""),"Model 3 LR AWD")</f>
        <v>Model 3 LR AWD</v>
      </c>
      <c r="O1342" s="152" t="str">
        <f>IFERROR(__xludf.DUMMYFUNCTION("""COMPUTED_VALUE"""),"Red Multi-Coat")</f>
        <v>Red Multi-Coat</v>
      </c>
      <c r="P1342" s="153" t="str">
        <f>IFERROR(__xludf.DUMMYFUNCTION("""COMPUTED_VALUE"""),"18 inch Aero")</f>
        <v>18 inch Aero</v>
      </c>
      <c r="Q1342" s="152" t="str">
        <f>IFERROR(__xludf.DUMMYFUNCTION("""COMPUTED_VALUE"""),"Black seats")</f>
        <v>Black seats</v>
      </c>
      <c r="R1342" s="149" t="str">
        <f>IFERROR(__xludf.DUMMYFUNCTION("""COMPUTED_VALUE"""),"Autopilot")</f>
        <v>Autopilot</v>
      </c>
      <c r="S1342" s="149"/>
      <c r="T1342" s="145"/>
      <c r="U1342" s="145"/>
      <c r="V1342" s="145"/>
      <c r="W1342" s="136"/>
      <c r="X1342" s="137" t="str">
        <f>IFERROR(__xludf.DUMMYFUNCTION("""COMPUTED_VALUE"""),"Excellent")</f>
        <v>Excellent</v>
      </c>
      <c r="Y1342" s="138" t="str">
        <f>IFERROR(__xludf.DUMMYFUNCTION("""COMPUTED_VALUE"""),"Excellent")</f>
        <v>Excellent</v>
      </c>
      <c r="Z1342" s="138" t="str">
        <f>IFERROR(__xludf.DUMMYFUNCTION("""COMPUTED_VALUE"""),"Very Good")</f>
        <v>Very Good</v>
      </c>
      <c r="AA1342" s="138" t="str">
        <f>IFERROR(__xludf.DUMMYFUNCTION("""COMPUTED_VALUE"""),"Good")</f>
        <v>Good</v>
      </c>
      <c r="AB1342" s="138" t="str">
        <f>IFERROR(__xludf.DUMMYFUNCTION("""COMPUTED_VALUE"""),"Excellent")</f>
        <v>Excellent</v>
      </c>
      <c r="AC1342" s="139">
        <f>IFERROR(__xludf.DUMMYFUNCTION("""COMPUTED_VALUE"""),2.0)</f>
        <v>2</v>
      </c>
      <c r="AD1342" s="139">
        <f>IFERROR(__xludf.DUMMYFUNCTION("""COMPUTED_VALUE"""),0.0)</f>
        <v>0</v>
      </c>
      <c r="AE1342" s="139">
        <f>IFERROR(__xludf.DUMMYFUNCTION("""COMPUTED_VALUE"""),0.0)</f>
        <v>0</v>
      </c>
      <c r="AF1342" s="140"/>
      <c r="AG1342" s="145"/>
      <c r="AH1342" s="157">
        <f>IFERROR(__xludf.DUMMYFUNCTION("""COMPUTED_VALUE"""),43909.588151805554)</f>
        <v>43909.58815</v>
      </c>
      <c r="AI1342" s="138"/>
      <c r="AJ1342" s="138"/>
      <c r="AK1342" s="138"/>
      <c r="AL1342" s="142"/>
    </row>
    <row r="1343" ht="20.25" customHeight="1">
      <c r="A1343" s="155" t="str">
        <f>IFERROR(__xludf.DUMMYFUNCTION("""COMPUTED_VALUE"""),"Wardenclyffe")</f>
        <v>Wardenclyffe</v>
      </c>
      <c r="B1343" s="150" t="str">
        <f>IFERROR(__xludf.DUMMYFUNCTION("""COMPUTED_VALUE"""),"Fresno")</f>
        <v>Fresno</v>
      </c>
      <c r="C1343" s="149" t="str">
        <f>IFERROR(__xludf.DUMMYFUNCTION("""COMPUTED_VALUE"""),"CA")</f>
        <v>CA</v>
      </c>
      <c r="D1343" s="149" t="str">
        <f>IFERROR(__xludf.DUMMYFUNCTION("""COMPUTED_VALUE"""),"USA")</f>
        <v>USA</v>
      </c>
      <c r="E1343" s="156">
        <f>IFERROR(__xludf.DUMMYFUNCTION("""COMPUTED_VALUE"""),43858.0)</f>
        <v>43858</v>
      </c>
      <c r="F1343" s="129">
        <f>IFERROR(__xludf.DUMMYFUNCTION("""COMPUTED_VALUE"""),43881.0)</f>
        <v>43881</v>
      </c>
      <c r="G1343" s="154"/>
      <c r="H1343" s="131">
        <f>IFERROR(__xludf.DUMMYFUNCTION("""COMPUTED_VALUE"""),642655.0)</f>
        <v>642655</v>
      </c>
      <c r="I1343" s="132"/>
      <c r="J1343" s="129">
        <f>IFERROR(__xludf.DUMMYFUNCTION("""COMPUTED_VALUE"""),43886.0)</f>
        <v>43886</v>
      </c>
      <c r="K1343" s="133">
        <f>IFERROR(__xludf.DUMMYFUNCTION("""COMPUTED_VALUE"""),23.0)</f>
        <v>23</v>
      </c>
      <c r="L1343" s="133">
        <f>IFERROR(__xludf.DUMMYFUNCTION("""COMPUTED_VALUE"""),5.0)</f>
        <v>5</v>
      </c>
      <c r="M1343" s="133">
        <f>IFERROR(__xludf.DUMMYFUNCTION("""COMPUTED_VALUE"""),28.0)</f>
        <v>28</v>
      </c>
      <c r="N1343" s="152" t="str">
        <f>IFERROR(__xludf.DUMMYFUNCTION("""COMPUTED_VALUE"""),"Model 3 SR+")</f>
        <v>Model 3 SR+</v>
      </c>
      <c r="O1343" s="152" t="str">
        <f>IFERROR(__xludf.DUMMYFUNCTION("""COMPUTED_VALUE"""),"Pearl White Multi-Coat")</f>
        <v>Pearl White Multi-Coat</v>
      </c>
      <c r="P1343" s="153" t="str">
        <f>IFERROR(__xludf.DUMMYFUNCTION("""COMPUTED_VALUE"""),"18 inch Aero")</f>
        <v>18 inch Aero</v>
      </c>
      <c r="Q1343" s="152" t="str">
        <f>IFERROR(__xludf.DUMMYFUNCTION("""COMPUTED_VALUE"""),"Black seats")</f>
        <v>Black seats</v>
      </c>
      <c r="R1343" s="150" t="str">
        <f>IFERROR(__xludf.DUMMYFUNCTION("""COMPUTED_VALUE"""),"Autopilot")</f>
        <v>Autopilot</v>
      </c>
      <c r="S1343" s="150"/>
      <c r="T1343" s="136"/>
      <c r="U1343" s="136"/>
      <c r="V1343" s="136"/>
      <c r="W1343" s="136"/>
      <c r="X1343" s="137" t="str">
        <f>IFERROR(__xludf.DUMMYFUNCTION("""COMPUTED_VALUE"""),"Excellent")</f>
        <v>Excellent</v>
      </c>
      <c r="Y1343" s="138" t="str">
        <f>IFERROR(__xludf.DUMMYFUNCTION("""COMPUTED_VALUE"""),"Excellent")</f>
        <v>Excellent</v>
      </c>
      <c r="Z1343" s="138" t="str">
        <f>IFERROR(__xludf.DUMMYFUNCTION("""COMPUTED_VALUE"""),"Excellent")</f>
        <v>Excellent</v>
      </c>
      <c r="AA1343" s="138" t="str">
        <f>IFERROR(__xludf.DUMMYFUNCTION("""COMPUTED_VALUE"""),"Poor")</f>
        <v>Poor</v>
      </c>
      <c r="AB1343" s="138" t="str">
        <f>IFERROR(__xludf.DUMMYFUNCTION("""COMPUTED_VALUE"""),"Good")</f>
        <v>Good</v>
      </c>
      <c r="AC1343" s="139"/>
      <c r="AD1343" s="139"/>
      <c r="AE1343" s="139"/>
      <c r="AF1343" s="140"/>
      <c r="AG1343" s="136" t="str">
        <f>IFERROR(__xludf.DUMMYFUNCTION("""COMPUTED_VALUE"""),"2/25 - picked up and drive 190 miles, slight pull to the right, which has lessened.  2/20 - VIN is in Source Code &amp; payment request.  Received a 2/6 text notification saying 2-5 weeks, got another text 2/13 saying the same thing")</f>
        <v>2/25 - picked up and drive 190 miles, slight pull to the right, which has lessened.  2/20 - VIN is in Source Code &amp; payment request.  Received a 2/6 text notification saying 2-5 weeks, got another text 2/13 saying the same thing</v>
      </c>
      <c r="AH1343" s="157">
        <f>IFERROR(__xludf.DUMMYFUNCTION("""COMPUTED_VALUE"""),43887.52628831018)</f>
        <v>43887.52629</v>
      </c>
      <c r="AI1343" s="138"/>
      <c r="AJ1343" s="138"/>
      <c r="AK1343" s="138"/>
      <c r="AL1343" s="142"/>
    </row>
    <row r="1344" ht="20.25" customHeight="1">
      <c r="A1344" s="155" t="str">
        <f>IFERROR(__xludf.DUMMYFUNCTION("""COMPUTED_VALUE"""),"WMHome")</f>
        <v>WMHome</v>
      </c>
      <c r="B1344" s="150" t="str">
        <f>IFERROR(__xludf.DUMMYFUNCTION("""COMPUTED_VALUE"""),"NE NJ")</f>
        <v>NE NJ</v>
      </c>
      <c r="C1344" s="149" t="str">
        <f>IFERROR(__xludf.DUMMYFUNCTION("""COMPUTED_VALUE"""),"NJ")</f>
        <v>NJ</v>
      </c>
      <c r="D1344" s="149" t="str">
        <f>IFERROR(__xludf.DUMMYFUNCTION("""COMPUTED_VALUE"""),"USA")</f>
        <v>USA</v>
      </c>
      <c r="E1344" s="156">
        <f>IFERROR(__xludf.DUMMYFUNCTION("""COMPUTED_VALUE"""),43858.0)</f>
        <v>43858</v>
      </c>
      <c r="F1344" s="129">
        <f>IFERROR(__xludf.DUMMYFUNCTION("""COMPUTED_VALUE"""),43881.0)</f>
        <v>43881</v>
      </c>
      <c r="G1344" s="154"/>
      <c r="H1344" s="131">
        <f>IFERROR(__xludf.DUMMYFUNCTION("""COMPUTED_VALUE"""),646255.0)</f>
        <v>646255</v>
      </c>
      <c r="I1344" s="144"/>
      <c r="J1344" s="129">
        <f>IFERROR(__xludf.DUMMYFUNCTION("""COMPUTED_VALUE"""),43894.0)</f>
        <v>43894</v>
      </c>
      <c r="K1344" s="133">
        <f>IFERROR(__xludf.DUMMYFUNCTION("""COMPUTED_VALUE"""),23.0)</f>
        <v>23</v>
      </c>
      <c r="L1344" s="133">
        <f>IFERROR(__xludf.DUMMYFUNCTION("""COMPUTED_VALUE"""),13.0)</f>
        <v>13</v>
      </c>
      <c r="M1344" s="133">
        <f>IFERROR(__xludf.DUMMYFUNCTION("""COMPUTED_VALUE"""),36.0)</f>
        <v>36</v>
      </c>
      <c r="N1344" s="152" t="str">
        <f>IFERROR(__xludf.DUMMYFUNCTION("""COMPUTED_VALUE"""),"Model 3 LR AWD")</f>
        <v>Model 3 LR AWD</v>
      </c>
      <c r="O1344" s="152" t="str">
        <f>IFERROR(__xludf.DUMMYFUNCTION("""COMPUTED_VALUE"""),"Midnight Silver Metallic")</f>
        <v>Midnight Silver Metallic</v>
      </c>
      <c r="P1344" s="153" t="str">
        <f>IFERROR(__xludf.DUMMYFUNCTION("""COMPUTED_VALUE"""),"18 inch Aero")</f>
        <v>18 inch Aero</v>
      </c>
      <c r="Q1344" s="152" t="str">
        <f>IFERROR(__xludf.DUMMYFUNCTION("""COMPUTED_VALUE"""),"Black seats")</f>
        <v>Black seats</v>
      </c>
      <c r="R1344" s="149" t="str">
        <f>IFERROR(__xludf.DUMMYFUNCTION("""COMPUTED_VALUE"""),"Autopilot")</f>
        <v>Autopilot</v>
      </c>
      <c r="S1344" s="149"/>
      <c r="T1344" s="145"/>
      <c r="U1344" s="145"/>
      <c r="V1344" s="145"/>
      <c r="W1344" s="136"/>
      <c r="X1344" s="137" t="str">
        <f>IFERROR(__xludf.DUMMYFUNCTION("""COMPUTED_VALUE"""),"Excellent")</f>
        <v>Excellent</v>
      </c>
      <c r="Y1344" s="138" t="str">
        <f>IFERROR(__xludf.DUMMYFUNCTION("""COMPUTED_VALUE"""),"Excellent")</f>
        <v>Excellent</v>
      </c>
      <c r="Z1344" s="138" t="str">
        <f>IFERROR(__xludf.DUMMYFUNCTION("""COMPUTED_VALUE"""),"Excellent")</f>
        <v>Excellent</v>
      </c>
      <c r="AA1344" s="138" t="str">
        <f>IFERROR(__xludf.DUMMYFUNCTION("""COMPUTED_VALUE"""),"Excellent")</f>
        <v>Excellent</v>
      </c>
      <c r="AB1344" s="138" t="str">
        <f>IFERROR(__xludf.DUMMYFUNCTION("""COMPUTED_VALUE"""),"Excellent")</f>
        <v>Excellent</v>
      </c>
      <c r="AC1344" s="139"/>
      <c r="AD1344" s="139"/>
      <c r="AE1344" s="139"/>
      <c r="AF1344" s="140"/>
      <c r="AG1344" s="136" t="str">
        <f>IFERROR(__xludf.DUMMYFUNCTION("""COMPUTED_VALUE"""),"VIN in source on Feb 20, scheduling delivery same morning, called 2 days earlier than scheduled")</f>
        <v>VIN in source on Feb 20, scheduling delivery same morning, called 2 days earlier than scheduled</v>
      </c>
      <c r="AH1344" s="157">
        <f>IFERROR(__xludf.DUMMYFUNCTION("""COMPUTED_VALUE"""),43895.10285929398)</f>
        <v>43895.10286</v>
      </c>
      <c r="AI1344" s="138"/>
      <c r="AJ1344" s="138"/>
      <c r="AK1344" s="138"/>
      <c r="AL1344" s="142"/>
    </row>
    <row r="1345" ht="20.25" customHeight="1">
      <c r="A1345" s="155" t="str">
        <f>IFERROR(__xludf.DUMMYFUNCTION("""COMPUTED_VALUE"""),"WaitingForTesla")</f>
        <v>WaitingForTesla</v>
      </c>
      <c r="B1345" s="149" t="str">
        <f>IFERROR(__xludf.DUMMYFUNCTION("""COMPUTED_VALUE"""),"Bellevue")</f>
        <v>Bellevue</v>
      </c>
      <c r="C1345" s="149" t="str">
        <f>IFERROR(__xludf.DUMMYFUNCTION("""COMPUTED_VALUE"""),"WA")</f>
        <v>WA</v>
      </c>
      <c r="D1345" s="149" t="str">
        <f>IFERROR(__xludf.DUMMYFUNCTION("""COMPUTED_VALUE"""),"USA")</f>
        <v>USA</v>
      </c>
      <c r="E1345" s="156">
        <f>IFERROR(__xludf.DUMMYFUNCTION("""COMPUTED_VALUE"""),43857.0)</f>
        <v>43857</v>
      </c>
      <c r="F1345" s="129">
        <f>IFERROR(__xludf.DUMMYFUNCTION("""COMPUTED_VALUE"""),43890.0)</f>
        <v>43890</v>
      </c>
      <c r="G1345" s="154"/>
      <c r="H1345" s="131">
        <f>IFERROR(__xludf.DUMMYFUNCTION("""COMPUTED_VALUE"""),641455.0)</f>
        <v>641455</v>
      </c>
      <c r="I1345" s="132" t="str">
        <f>IFERROR(__xludf.DUMMYFUNCTION("""COMPUTED_VALUE"""),"02/20")</f>
        <v>02/20</v>
      </c>
      <c r="J1345" s="129">
        <f>IFERROR(__xludf.DUMMYFUNCTION("""COMPUTED_VALUE"""),43894.0)</f>
        <v>43894</v>
      </c>
      <c r="K1345" s="133">
        <f>IFERROR(__xludf.DUMMYFUNCTION("""COMPUTED_VALUE"""),33.0)</f>
        <v>33</v>
      </c>
      <c r="L1345" s="133">
        <f>IFERROR(__xludf.DUMMYFUNCTION("""COMPUTED_VALUE"""),4.0)</f>
        <v>4</v>
      </c>
      <c r="M1345" s="133">
        <f>IFERROR(__xludf.DUMMYFUNCTION("""COMPUTED_VALUE"""),37.0)</f>
        <v>37</v>
      </c>
      <c r="N1345" s="152" t="str">
        <f>IFERROR(__xludf.DUMMYFUNCTION("""COMPUTED_VALUE"""),"Model 3 Performance")</f>
        <v>Model 3 Performance</v>
      </c>
      <c r="O1345" s="152" t="str">
        <f>IFERROR(__xludf.DUMMYFUNCTION("""COMPUTED_VALUE"""),"Pearl White Multi-Coat")</f>
        <v>Pearl White Multi-Coat</v>
      </c>
      <c r="P1345" s="153" t="str">
        <f>IFERROR(__xludf.DUMMYFUNCTION("""COMPUTED_VALUE"""),"20 inch Sport")</f>
        <v>20 inch Sport</v>
      </c>
      <c r="Q1345" s="152" t="str">
        <f>IFERROR(__xludf.DUMMYFUNCTION("""COMPUTED_VALUE"""),"Black seats")</f>
        <v>Black seats</v>
      </c>
      <c r="R1345" s="150" t="str">
        <f>IFERROR(__xludf.DUMMYFUNCTION("""COMPUTED_VALUE"""),"Autopilot")</f>
        <v>Autopilot</v>
      </c>
      <c r="S1345" s="150"/>
      <c r="T1345" s="136"/>
      <c r="U1345" s="136"/>
      <c r="V1345" s="136"/>
      <c r="W1345" s="136"/>
      <c r="X1345" s="137" t="str">
        <f>IFERROR(__xludf.DUMMYFUNCTION("""COMPUTED_VALUE"""),"Very Good")</f>
        <v>Very Good</v>
      </c>
      <c r="Y1345" s="138" t="str">
        <f>IFERROR(__xludf.DUMMYFUNCTION("""COMPUTED_VALUE"""),"Very Good")</f>
        <v>Very Good</v>
      </c>
      <c r="Z1345" s="138" t="str">
        <f>IFERROR(__xludf.DUMMYFUNCTION("""COMPUTED_VALUE"""),"Very Good")</f>
        <v>Very Good</v>
      </c>
      <c r="AA1345" s="138" t="str">
        <f>IFERROR(__xludf.DUMMYFUNCTION("""COMPUTED_VALUE"""),"Fair")</f>
        <v>Fair</v>
      </c>
      <c r="AB1345" s="138" t="str">
        <f>IFERROR(__xludf.DUMMYFUNCTION("""COMPUTED_VALUE"""),"Excellent")</f>
        <v>Excellent</v>
      </c>
      <c r="AC1345" s="139">
        <f>IFERROR(__xludf.DUMMYFUNCTION("""COMPUTED_VALUE"""),0.0)</f>
        <v>0</v>
      </c>
      <c r="AD1345" s="139">
        <f>IFERROR(__xludf.DUMMYFUNCTION("""COMPUTED_VALUE"""),0.0)</f>
        <v>0</v>
      </c>
      <c r="AE1345" s="139">
        <f>IFERROR(__xludf.DUMMYFUNCTION("""COMPUTED_VALUE"""),0.0)</f>
        <v>0</v>
      </c>
      <c r="AF1345" s="140"/>
      <c r="AG1345" s="136"/>
      <c r="AH1345" s="157">
        <f>IFERROR(__xludf.DUMMYFUNCTION("""COMPUTED_VALUE"""),43927.54406094907)</f>
        <v>43927.54406</v>
      </c>
      <c r="AI1345" s="138"/>
      <c r="AJ1345" s="138"/>
      <c r="AK1345" s="138"/>
      <c r="AL1345" s="142"/>
    </row>
    <row r="1346" ht="20.25" customHeight="1">
      <c r="A1346" s="155" t="str">
        <f>IFERROR(__xludf.DUMMYFUNCTION("""COMPUTED_VALUE"""),"CLLACAB ")</f>
        <v>CLLACAB </v>
      </c>
      <c r="B1346" s="149" t="str">
        <f>IFERROR(__xludf.DUMMYFUNCTION("""COMPUTED_VALUE"""),"Las Vegas ")</f>
        <v>Las Vegas </v>
      </c>
      <c r="C1346" s="149" t="str">
        <f>IFERROR(__xludf.DUMMYFUNCTION("""COMPUTED_VALUE"""),"NV")</f>
        <v>NV</v>
      </c>
      <c r="D1346" s="149" t="str">
        <f>IFERROR(__xludf.DUMMYFUNCTION("""COMPUTED_VALUE"""),"USA")</f>
        <v>USA</v>
      </c>
      <c r="E1346" s="156">
        <f>IFERROR(__xludf.DUMMYFUNCTION("""COMPUTED_VALUE"""),43856.0)</f>
        <v>43856</v>
      </c>
      <c r="F1346" s="129">
        <f>IFERROR(__xludf.DUMMYFUNCTION("""COMPUTED_VALUE"""),43897.0)</f>
        <v>43897</v>
      </c>
      <c r="G1346" s="154"/>
      <c r="H1346" s="131">
        <f>IFERROR(__xludf.DUMMYFUNCTION("""COMPUTED_VALUE"""),669326.0)</f>
        <v>669326</v>
      </c>
      <c r="I1346" s="144"/>
      <c r="J1346" s="129">
        <f>IFERROR(__xludf.DUMMYFUNCTION("""COMPUTED_VALUE"""),43901.0)</f>
        <v>43901</v>
      </c>
      <c r="K1346" s="133">
        <f>IFERROR(__xludf.DUMMYFUNCTION("""COMPUTED_VALUE"""),41.0)</f>
        <v>41</v>
      </c>
      <c r="L1346" s="133">
        <f>IFERROR(__xludf.DUMMYFUNCTION("""COMPUTED_VALUE"""),4.0)</f>
        <v>4</v>
      </c>
      <c r="M1346" s="133">
        <f>IFERROR(__xludf.DUMMYFUNCTION("""COMPUTED_VALUE"""),45.0)</f>
        <v>45</v>
      </c>
      <c r="N1346" s="152" t="str">
        <f>IFERROR(__xludf.DUMMYFUNCTION("""COMPUTED_VALUE"""),"Model 3 Performance")</f>
        <v>Model 3 Performance</v>
      </c>
      <c r="O1346" s="152" t="str">
        <f>IFERROR(__xludf.DUMMYFUNCTION("""COMPUTED_VALUE"""),"Red Multi-Coat")</f>
        <v>Red Multi-Coat</v>
      </c>
      <c r="P1346" s="153" t="str">
        <f>IFERROR(__xludf.DUMMYFUNCTION("""COMPUTED_VALUE"""),"20 inch Sport")</f>
        <v>20 inch Sport</v>
      </c>
      <c r="Q1346" s="152" t="str">
        <f>IFERROR(__xludf.DUMMYFUNCTION("""COMPUTED_VALUE"""),"Black seats")</f>
        <v>Black seats</v>
      </c>
      <c r="R1346" s="149" t="str">
        <f>IFERROR(__xludf.DUMMYFUNCTION("""COMPUTED_VALUE"""),"Autopilot")</f>
        <v>Autopilot</v>
      </c>
      <c r="S1346" s="149"/>
      <c r="T1346" s="145"/>
      <c r="U1346" s="145"/>
      <c r="V1346" s="145"/>
      <c r="W1346" s="145"/>
      <c r="X1346" s="137" t="str">
        <f>IFERROR(__xludf.DUMMYFUNCTION("""COMPUTED_VALUE"""),"Excellent")</f>
        <v>Excellent</v>
      </c>
      <c r="Y1346" s="138" t="str">
        <f>IFERROR(__xludf.DUMMYFUNCTION("""COMPUTED_VALUE"""),"Excellent")</f>
        <v>Excellent</v>
      </c>
      <c r="Z1346" s="138" t="str">
        <f>IFERROR(__xludf.DUMMYFUNCTION("""COMPUTED_VALUE"""),"Very Good")</f>
        <v>Very Good</v>
      </c>
      <c r="AA1346" s="138" t="str">
        <f>IFERROR(__xludf.DUMMYFUNCTION("""COMPUTED_VALUE"""),"Very Good")</f>
        <v>Very Good</v>
      </c>
      <c r="AB1346" s="138" t="str">
        <f>IFERROR(__xludf.DUMMYFUNCTION("""COMPUTED_VALUE"""),"Excellent")</f>
        <v>Excellent</v>
      </c>
      <c r="AC1346" s="139">
        <f>IFERROR(__xludf.DUMMYFUNCTION("""COMPUTED_VALUE"""),1.0)</f>
        <v>1</v>
      </c>
      <c r="AD1346" s="139"/>
      <c r="AE1346" s="139"/>
      <c r="AF1346" s="140"/>
      <c r="AG1346" s="145"/>
      <c r="AH1346" s="157">
        <f>IFERROR(__xludf.DUMMYFUNCTION("""COMPUTED_VALUE"""),43907.292683761574)</f>
        <v>43907.29268</v>
      </c>
      <c r="AI1346" s="138"/>
      <c r="AJ1346" s="138"/>
      <c r="AK1346" s="138"/>
      <c r="AL1346" s="142"/>
    </row>
    <row r="1347" ht="20.25" customHeight="1">
      <c r="A1347" s="155" t="str">
        <f>IFERROR(__xludf.DUMMYFUNCTION("""COMPUTED_VALUE"""),"poolevault")</f>
        <v>poolevault</v>
      </c>
      <c r="B1347" s="149" t="str">
        <f>IFERROR(__xludf.DUMMYFUNCTION("""COMPUTED_VALUE"""),"Sammamish")</f>
        <v>Sammamish</v>
      </c>
      <c r="C1347" s="149" t="str">
        <f>IFERROR(__xludf.DUMMYFUNCTION("""COMPUTED_VALUE"""),"WA")</f>
        <v>WA</v>
      </c>
      <c r="D1347" s="149" t="str">
        <f>IFERROR(__xludf.DUMMYFUNCTION("""COMPUTED_VALUE"""),"USA")</f>
        <v>USA</v>
      </c>
      <c r="E1347" s="156">
        <f>IFERROR(__xludf.DUMMYFUNCTION("""COMPUTED_VALUE"""),43856.0)</f>
        <v>43856</v>
      </c>
      <c r="F1347" s="129">
        <f>IFERROR(__xludf.DUMMYFUNCTION("""COMPUTED_VALUE"""),43887.0)</f>
        <v>43887</v>
      </c>
      <c r="G1347" s="154"/>
      <c r="H1347" s="131"/>
      <c r="I1347" s="144" t="str">
        <f>IFERROR(__xludf.DUMMYFUNCTION("""COMPUTED_VALUE"""),"02/20")</f>
        <v>02/20</v>
      </c>
      <c r="J1347" s="129">
        <f>IFERROR(__xludf.DUMMYFUNCTION("""COMPUTED_VALUE"""),43894.0)</f>
        <v>43894</v>
      </c>
      <c r="K1347" s="133">
        <f>IFERROR(__xludf.DUMMYFUNCTION("""COMPUTED_VALUE"""),31.0)</f>
        <v>31</v>
      </c>
      <c r="L1347" s="133">
        <f>IFERROR(__xludf.DUMMYFUNCTION("""COMPUTED_VALUE"""),7.0)</f>
        <v>7</v>
      </c>
      <c r="M1347" s="133">
        <f>IFERROR(__xludf.DUMMYFUNCTION("""COMPUTED_VALUE"""),38.0)</f>
        <v>38</v>
      </c>
      <c r="N1347" s="152" t="str">
        <f>IFERROR(__xludf.DUMMYFUNCTION("""COMPUTED_VALUE"""),"Model 3 LR AWD")</f>
        <v>Model 3 LR AWD</v>
      </c>
      <c r="O1347" s="152" t="str">
        <f>IFERROR(__xludf.DUMMYFUNCTION("""COMPUTED_VALUE"""),"Midnight Silver Metallic")</f>
        <v>Midnight Silver Metallic</v>
      </c>
      <c r="P1347" s="153" t="str">
        <f>IFERROR(__xludf.DUMMYFUNCTION("""COMPUTED_VALUE"""),"18 inch Aero")</f>
        <v>18 inch Aero</v>
      </c>
      <c r="Q1347" s="152" t="str">
        <f>IFERROR(__xludf.DUMMYFUNCTION("""COMPUTED_VALUE"""),"Black seats")</f>
        <v>Black seats</v>
      </c>
      <c r="R1347" s="149" t="str">
        <f>IFERROR(__xludf.DUMMYFUNCTION("""COMPUTED_VALUE"""),"Autopilot")</f>
        <v>Autopilot</v>
      </c>
      <c r="S1347" s="149"/>
      <c r="T1347" s="145"/>
      <c r="U1347" s="145"/>
      <c r="V1347" s="145"/>
      <c r="W1347" s="145"/>
      <c r="X1347" s="137" t="str">
        <f>IFERROR(__xludf.DUMMYFUNCTION("""COMPUTED_VALUE"""),"Excellent")</f>
        <v>Excellent</v>
      </c>
      <c r="Y1347" s="138" t="str">
        <f>IFERROR(__xludf.DUMMYFUNCTION("""COMPUTED_VALUE"""),"Excellent")</f>
        <v>Excellent</v>
      </c>
      <c r="Z1347" s="138" t="str">
        <f>IFERROR(__xludf.DUMMYFUNCTION("""COMPUTED_VALUE"""),"Excellent")</f>
        <v>Excellent</v>
      </c>
      <c r="AA1347" s="138" t="str">
        <f>IFERROR(__xludf.DUMMYFUNCTION("""COMPUTED_VALUE"""),"Very Good")</f>
        <v>Very Good</v>
      </c>
      <c r="AB1347" s="138" t="str">
        <f>IFERROR(__xludf.DUMMYFUNCTION("""COMPUTED_VALUE"""),"Excellent")</f>
        <v>Excellent</v>
      </c>
      <c r="AC1347" s="139"/>
      <c r="AD1347" s="139"/>
      <c r="AE1347" s="139"/>
      <c r="AF1347" s="140"/>
      <c r="AG1347" s="145" t="str">
        <f>IFERROR(__xludf.DUMMYFUNCTION("""COMPUTED_VALUE"""),"2/7 text 2-6 weeks. 2/14 text 2-5 weeks.")</f>
        <v>2/7 text 2-6 weeks. 2/14 text 2-5 weeks.</v>
      </c>
      <c r="AH1347" s="157">
        <f>IFERROR(__xludf.DUMMYFUNCTION("""COMPUTED_VALUE"""),43901.53165037037)</f>
        <v>43901.53165</v>
      </c>
      <c r="AI1347" s="138"/>
      <c r="AJ1347" s="138"/>
      <c r="AK1347" s="138"/>
      <c r="AL1347" s="142"/>
    </row>
    <row r="1348" ht="20.25" customHeight="1">
      <c r="A1348" s="155" t="str">
        <f>IFERROR(__xludf.DUMMYFUNCTION("""COMPUTED_VALUE"""),"adamy80")</f>
        <v>adamy80</v>
      </c>
      <c r="B1348" s="159" t="str">
        <f>IFERROR(__xludf.DUMMYFUNCTION("""COMPUTED_VALUE"""),"Indianapolis")</f>
        <v>Indianapolis</v>
      </c>
      <c r="C1348" s="159" t="str">
        <f>IFERROR(__xludf.DUMMYFUNCTION("""COMPUTED_VALUE"""),"IN")</f>
        <v>IN</v>
      </c>
      <c r="D1348" s="159" t="str">
        <f>IFERROR(__xludf.DUMMYFUNCTION("""COMPUTED_VALUE"""),"USA")</f>
        <v>USA</v>
      </c>
      <c r="E1348" s="156">
        <f>IFERROR(__xludf.DUMMYFUNCTION("""COMPUTED_VALUE"""),43855.0)</f>
        <v>43855</v>
      </c>
      <c r="F1348" s="129">
        <f>IFERROR(__xludf.DUMMYFUNCTION("""COMPUTED_VALUE"""),43897.0)</f>
        <v>43897</v>
      </c>
      <c r="G1348" s="154"/>
      <c r="H1348" s="131">
        <f>IFERROR(__xludf.DUMMYFUNCTION("""COMPUTED_VALUE"""),713044.0)</f>
        <v>713044</v>
      </c>
      <c r="I1348" s="160" t="str">
        <f>IFERROR(__xludf.DUMMYFUNCTION("""COMPUTED_VALUE"""),"03/20")</f>
        <v>03/20</v>
      </c>
      <c r="J1348" s="129">
        <f>IFERROR(__xludf.DUMMYFUNCTION("""COMPUTED_VALUE"""),43915.0)</f>
        <v>43915</v>
      </c>
      <c r="K1348" s="133">
        <f>IFERROR(__xludf.DUMMYFUNCTION("""COMPUTED_VALUE"""),42.0)</f>
        <v>42</v>
      </c>
      <c r="L1348" s="133">
        <f>IFERROR(__xludf.DUMMYFUNCTION("""COMPUTED_VALUE"""),18.0)</f>
        <v>18</v>
      </c>
      <c r="M1348" s="133">
        <f>IFERROR(__xludf.DUMMYFUNCTION("""COMPUTED_VALUE"""),60.0)</f>
        <v>60</v>
      </c>
      <c r="N1348" s="152" t="str">
        <f>IFERROR(__xludf.DUMMYFUNCTION("""COMPUTED_VALUE"""),"Model 3 Performance")</f>
        <v>Model 3 Performance</v>
      </c>
      <c r="O1348" s="152" t="str">
        <f>IFERROR(__xludf.DUMMYFUNCTION("""COMPUTED_VALUE"""),"Solid Black")</f>
        <v>Solid Black</v>
      </c>
      <c r="P1348" s="153" t="str">
        <f>IFERROR(__xludf.DUMMYFUNCTION("""COMPUTED_VALUE"""),"20 inch Sport")</f>
        <v>20 inch Sport</v>
      </c>
      <c r="Q1348" s="152" t="str">
        <f>IFERROR(__xludf.DUMMYFUNCTION("""COMPUTED_VALUE"""),"Black seats")</f>
        <v>Black seats</v>
      </c>
      <c r="R1348" s="159" t="str">
        <f>IFERROR(__xludf.DUMMYFUNCTION("""COMPUTED_VALUE"""),"Autopilot")</f>
        <v>Autopilot</v>
      </c>
      <c r="S1348" s="159"/>
      <c r="T1348" s="161"/>
      <c r="U1348" s="161"/>
      <c r="V1348" s="161"/>
      <c r="W1348" s="161"/>
      <c r="X1348" s="137" t="str">
        <f>IFERROR(__xludf.DUMMYFUNCTION("""COMPUTED_VALUE"""),"Excellent")</f>
        <v>Excellent</v>
      </c>
      <c r="Y1348" s="138" t="str">
        <f>IFERROR(__xludf.DUMMYFUNCTION("""COMPUTED_VALUE"""),"Excellent")</f>
        <v>Excellent</v>
      </c>
      <c r="Z1348" s="138" t="str">
        <f>IFERROR(__xludf.DUMMYFUNCTION("""COMPUTED_VALUE"""),"Very Good")</f>
        <v>Very Good</v>
      </c>
      <c r="AA1348" s="138" t="str">
        <f>IFERROR(__xludf.DUMMYFUNCTION("""COMPUTED_VALUE"""),"Excellent")</f>
        <v>Excellent</v>
      </c>
      <c r="AB1348" s="138" t="str">
        <f>IFERROR(__xludf.DUMMYFUNCTION("""COMPUTED_VALUE"""),"Excellent")</f>
        <v>Excellent</v>
      </c>
      <c r="AC1348" s="139">
        <f>IFERROR(__xludf.DUMMYFUNCTION("""COMPUTED_VALUE"""),1.0)</f>
        <v>1</v>
      </c>
      <c r="AD1348" s="139">
        <f>IFERROR(__xludf.DUMMYFUNCTION("""COMPUTED_VALUE"""),1.0)</f>
        <v>1</v>
      </c>
      <c r="AE1348" s="139"/>
      <c r="AF1348" s="140"/>
      <c r="AG1348" s="161"/>
      <c r="AH1348" s="157">
        <f>IFERROR(__xludf.DUMMYFUNCTION("""COMPUTED_VALUE"""),43915.85976015046)</f>
        <v>43915.85976</v>
      </c>
      <c r="AI1348" s="138"/>
      <c r="AJ1348" s="138"/>
      <c r="AK1348" s="138"/>
      <c r="AL1348" s="142"/>
    </row>
    <row r="1349" ht="20.25" customHeight="1">
      <c r="A1349" s="155" t="str">
        <f>IFERROR(__xludf.DUMMYFUNCTION("""COMPUTED_VALUE"""),"ALTesla")</f>
        <v>ALTesla</v>
      </c>
      <c r="B1349" s="149"/>
      <c r="C1349" s="149" t="str">
        <f>IFERROR(__xludf.DUMMYFUNCTION("""COMPUTED_VALUE"""),"AL")</f>
        <v>AL</v>
      </c>
      <c r="D1349" s="149" t="str">
        <f>IFERROR(__xludf.DUMMYFUNCTION("""COMPUTED_VALUE"""),"USA")</f>
        <v>USA</v>
      </c>
      <c r="E1349" s="156">
        <f>IFERROR(__xludf.DUMMYFUNCTION("""COMPUTED_VALUE"""),43854.0)</f>
        <v>43854</v>
      </c>
      <c r="F1349" s="129">
        <f>IFERROR(__xludf.DUMMYFUNCTION("""COMPUTED_VALUE"""),43859.0)</f>
        <v>43859</v>
      </c>
      <c r="G1349" s="154"/>
      <c r="H1349" s="131">
        <f>IFERROR(__xludf.DUMMYFUNCTION("""COMPUTED_VALUE"""),639455.0)</f>
        <v>639455</v>
      </c>
      <c r="I1349" s="144"/>
      <c r="J1349" s="129">
        <f>IFERROR(__xludf.DUMMYFUNCTION("""COMPUTED_VALUE"""),43862.0)</f>
        <v>43862</v>
      </c>
      <c r="K1349" s="133">
        <f>IFERROR(__xludf.DUMMYFUNCTION("""COMPUTED_VALUE"""),5.0)</f>
        <v>5</v>
      </c>
      <c r="L1349" s="133">
        <f>IFERROR(__xludf.DUMMYFUNCTION("""COMPUTED_VALUE"""),3.0)</f>
        <v>3</v>
      </c>
      <c r="M1349" s="133">
        <f>IFERROR(__xludf.DUMMYFUNCTION("""COMPUTED_VALUE"""),8.0)</f>
        <v>8</v>
      </c>
      <c r="N1349" s="152" t="str">
        <f>IFERROR(__xludf.DUMMYFUNCTION("""COMPUTED_VALUE"""),"Model 3 LR AWD")</f>
        <v>Model 3 LR AWD</v>
      </c>
      <c r="O1349" s="152" t="str">
        <f>IFERROR(__xludf.DUMMYFUNCTION("""COMPUTED_VALUE"""),"Midnight Silver Metallic")</f>
        <v>Midnight Silver Metallic</v>
      </c>
      <c r="P1349" s="153" t="str">
        <f>IFERROR(__xludf.DUMMYFUNCTION("""COMPUTED_VALUE"""),"18 inch Aero")</f>
        <v>18 inch Aero</v>
      </c>
      <c r="Q1349" s="152" t="str">
        <f>IFERROR(__xludf.DUMMYFUNCTION("""COMPUTED_VALUE"""),"White seats")</f>
        <v>White seats</v>
      </c>
      <c r="R1349" s="149" t="str">
        <f>IFERROR(__xludf.DUMMYFUNCTION("""COMPUTED_VALUE"""),"Full Self-Driving")</f>
        <v>Full Self-Driving</v>
      </c>
      <c r="S1349" s="149"/>
      <c r="T1349" s="145"/>
      <c r="U1349" s="145"/>
      <c r="V1349" s="145"/>
      <c r="W1349" s="136"/>
      <c r="X1349" s="137" t="str">
        <f>IFERROR(__xludf.DUMMYFUNCTION("""COMPUTED_VALUE"""),"Excellent")</f>
        <v>Excellent</v>
      </c>
      <c r="Y1349" s="138" t="str">
        <f>IFERROR(__xludf.DUMMYFUNCTION("""COMPUTED_VALUE"""),"Excellent")</f>
        <v>Excellent</v>
      </c>
      <c r="Z1349" s="138" t="str">
        <f>IFERROR(__xludf.DUMMYFUNCTION("""COMPUTED_VALUE"""),"Very Good")</f>
        <v>Very Good</v>
      </c>
      <c r="AA1349" s="138" t="str">
        <f>IFERROR(__xludf.DUMMYFUNCTION("""COMPUTED_VALUE"""),"Excellent")</f>
        <v>Excellent</v>
      </c>
      <c r="AB1349" s="138" t="str">
        <f>IFERROR(__xludf.DUMMYFUNCTION("""COMPUTED_VALUE"""),"Fair")</f>
        <v>Fair</v>
      </c>
      <c r="AC1349" s="139">
        <f>IFERROR(__xludf.DUMMYFUNCTION("""COMPUTED_VALUE"""),3.0)</f>
        <v>3</v>
      </c>
      <c r="AD1349" s="139"/>
      <c r="AE1349" s="139"/>
      <c r="AF1349" s="140"/>
      <c r="AG1349" s="136" t="str">
        <f>IFERROR(__xludf.DUMMYFUNCTION("""COMPUTED_VALUE"""),"received email 1/29 AM that car would soon be ready for delivery, completed financing and received VIN 30 minutes later along with notification it would be available for pickup on 2/1")</f>
        <v>received email 1/29 AM that car would soon be ready for delivery, completed financing and received VIN 30 minutes later along with notification it would be available for pickup on 2/1</v>
      </c>
      <c r="AH1349" s="157">
        <f>IFERROR(__xludf.DUMMYFUNCTION("""COMPUTED_VALUE"""),43862.8535734375)</f>
        <v>43862.85357</v>
      </c>
      <c r="AI1349" s="138"/>
      <c r="AJ1349" s="138"/>
      <c r="AK1349" s="138"/>
      <c r="AL1349" s="142"/>
    </row>
    <row r="1350" ht="20.25" customHeight="1">
      <c r="A1350" s="155" t="str">
        <f>IFERROR(__xludf.DUMMYFUNCTION("""COMPUTED_VALUE"""),"Knoxx")</f>
        <v>Knoxx</v>
      </c>
      <c r="B1350" s="149"/>
      <c r="C1350" s="149" t="str">
        <f>IFERROR(__xludf.DUMMYFUNCTION("""COMPUTED_VALUE"""),"NJ")</f>
        <v>NJ</v>
      </c>
      <c r="D1350" s="149" t="str">
        <f>IFERROR(__xludf.DUMMYFUNCTION("""COMPUTED_VALUE"""),"USA")</f>
        <v>USA</v>
      </c>
      <c r="E1350" s="156">
        <f>IFERROR(__xludf.DUMMYFUNCTION("""COMPUTED_VALUE"""),43854.0)</f>
        <v>43854</v>
      </c>
      <c r="F1350" s="129">
        <f>IFERROR(__xludf.DUMMYFUNCTION("""COMPUTED_VALUE"""),43882.0)</f>
        <v>43882</v>
      </c>
      <c r="G1350" s="154"/>
      <c r="H1350" s="131">
        <f>IFERROR(__xludf.DUMMYFUNCTION("""COMPUTED_VALUE"""),647806.0)</f>
        <v>647806</v>
      </c>
      <c r="I1350" s="144"/>
      <c r="J1350" s="129">
        <f>IFERROR(__xludf.DUMMYFUNCTION("""COMPUTED_VALUE"""),43897.0)</f>
        <v>43897</v>
      </c>
      <c r="K1350" s="133">
        <f>IFERROR(__xludf.DUMMYFUNCTION("""COMPUTED_VALUE"""),28.0)</f>
        <v>28</v>
      </c>
      <c r="L1350" s="133">
        <f>IFERROR(__xludf.DUMMYFUNCTION("""COMPUTED_VALUE"""),15.0)</f>
        <v>15</v>
      </c>
      <c r="M1350" s="133">
        <f>IFERROR(__xludf.DUMMYFUNCTION("""COMPUTED_VALUE"""),43.0)</f>
        <v>43</v>
      </c>
      <c r="N1350" s="152" t="str">
        <f>IFERROR(__xludf.DUMMYFUNCTION("""COMPUTED_VALUE"""),"Model 3 LR AWD")</f>
        <v>Model 3 LR AWD</v>
      </c>
      <c r="O1350" s="152" t="str">
        <f>IFERROR(__xludf.DUMMYFUNCTION("""COMPUTED_VALUE"""),"Solid Black")</f>
        <v>Solid Black</v>
      </c>
      <c r="P1350" s="153" t="str">
        <f>IFERROR(__xludf.DUMMYFUNCTION("""COMPUTED_VALUE"""),"19 inch Sport")</f>
        <v>19 inch Sport</v>
      </c>
      <c r="Q1350" s="152" t="str">
        <f>IFERROR(__xludf.DUMMYFUNCTION("""COMPUTED_VALUE"""),"Black seats")</f>
        <v>Black seats</v>
      </c>
      <c r="R1350" s="149" t="str">
        <f>IFERROR(__xludf.DUMMYFUNCTION("""COMPUTED_VALUE"""),"Autopilot")</f>
        <v>Autopilot</v>
      </c>
      <c r="S1350" s="149"/>
      <c r="T1350" s="145"/>
      <c r="U1350" s="145"/>
      <c r="V1350" s="145"/>
      <c r="W1350" s="136"/>
      <c r="X1350" s="137" t="str">
        <f>IFERROR(__xludf.DUMMYFUNCTION("""COMPUTED_VALUE"""),"Very Good")</f>
        <v>Very Good</v>
      </c>
      <c r="Y1350" s="138" t="str">
        <f>IFERROR(__xludf.DUMMYFUNCTION("""COMPUTED_VALUE"""),"Excellent")</f>
        <v>Excellent</v>
      </c>
      <c r="Z1350" s="138" t="str">
        <f>IFERROR(__xludf.DUMMYFUNCTION("""COMPUTED_VALUE"""),"Good")</f>
        <v>Good</v>
      </c>
      <c r="AA1350" s="138" t="str">
        <f>IFERROR(__xludf.DUMMYFUNCTION("""COMPUTED_VALUE"""),"Excellent")</f>
        <v>Excellent</v>
      </c>
      <c r="AB1350" s="138" t="str">
        <f>IFERROR(__xludf.DUMMYFUNCTION("""COMPUTED_VALUE"""),"Excellent")</f>
        <v>Excellent</v>
      </c>
      <c r="AC1350" s="139"/>
      <c r="AD1350" s="139"/>
      <c r="AE1350" s="139"/>
      <c r="AF1350" s="140"/>
      <c r="AG1350" s="136"/>
      <c r="AH1350" s="157">
        <f>IFERROR(__xludf.DUMMYFUNCTION("""COMPUTED_VALUE"""),43899.62273553241)</f>
        <v>43899.62274</v>
      </c>
      <c r="AI1350" s="138"/>
      <c r="AJ1350" s="138"/>
      <c r="AK1350" s="138"/>
      <c r="AL1350" s="142"/>
    </row>
    <row r="1351" ht="20.25" customHeight="1">
      <c r="A1351" s="155" t="str">
        <f>IFERROR(__xludf.DUMMYFUNCTION("""COMPUTED_VALUE"""),"skierjs")</f>
        <v>skierjs</v>
      </c>
      <c r="B1351" s="149" t="str">
        <f>IFERROR(__xludf.DUMMYFUNCTION("""COMPUTED_VALUE"""),"Saskatoon")</f>
        <v>Saskatoon</v>
      </c>
      <c r="C1351" s="149" t="str">
        <f>IFERROR(__xludf.DUMMYFUNCTION("""COMPUTED_VALUE"""),"SK")</f>
        <v>SK</v>
      </c>
      <c r="D1351" s="149" t="str">
        <f>IFERROR(__xludf.DUMMYFUNCTION("""COMPUTED_VALUE"""),"Canada")</f>
        <v>Canada</v>
      </c>
      <c r="E1351" s="156">
        <f>IFERROR(__xludf.DUMMYFUNCTION("""COMPUTED_VALUE"""),43854.0)</f>
        <v>43854</v>
      </c>
      <c r="F1351" s="129">
        <f>IFERROR(__xludf.DUMMYFUNCTION("""COMPUTED_VALUE"""),43896.0)</f>
        <v>43896</v>
      </c>
      <c r="G1351" s="154"/>
      <c r="H1351" s="131">
        <f>IFERROR(__xludf.DUMMYFUNCTION("""COMPUTED_VALUE"""),721295.0)</f>
        <v>721295</v>
      </c>
      <c r="I1351" s="144" t="str">
        <f>IFERROR(__xludf.DUMMYFUNCTION("""COMPUTED_VALUE"""),"03/20")</f>
        <v>03/20</v>
      </c>
      <c r="J1351" s="129">
        <f>IFERROR(__xludf.DUMMYFUNCTION("""COMPUTED_VALUE"""),43921.0)</f>
        <v>43921</v>
      </c>
      <c r="K1351" s="133">
        <f>IFERROR(__xludf.DUMMYFUNCTION("""COMPUTED_VALUE"""),42.0)</f>
        <v>42</v>
      </c>
      <c r="L1351" s="133">
        <f>IFERROR(__xludf.DUMMYFUNCTION("""COMPUTED_VALUE"""),25.0)</f>
        <v>25</v>
      </c>
      <c r="M1351" s="133">
        <f>IFERROR(__xludf.DUMMYFUNCTION("""COMPUTED_VALUE"""),67.0)</f>
        <v>67</v>
      </c>
      <c r="N1351" s="152" t="str">
        <f>IFERROR(__xludf.DUMMYFUNCTION("""COMPUTED_VALUE"""),"Model 3 Performance")</f>
        <v>Model 3 Performance</v>
      </c>
      <c r="O1351" s="152" t="str">
        <f>IFERROR(__xludf.DUMMYFUNCTION("""COMPUTED_VALUE"""),"Red Multi-Coat")</f>
        <v>Red Multi-Coat</v>
      </c>
      <c r="P1351" s="153" t="str">
        <f>IFERROR(__xludf.DUMMYFUNCTION("""COMPUTED_VALUE"""),"20 inch Sport")</f>
        <v>20 inch Sport</v>
      </c>
      <c r="Q1351" s="152" t="str">
        <f>IFERROR(__xludf.DUMMYFUNCTION("""COMPUTED_VALUE"""),"Black seats")</f>
        <v>Black seats</v>
      </c>
      <c r="R1351" s="149" t="str">
        <f>IFERROR(__xludf.DUMMYFUNCTION("""COMPUTED_VALUE"""),"Autopilot")</f>
        <v>Autopilot</v>
      </c>
      <c r="S1351" s="149"/>
      <c r="T1351" s="145"/>
      <c r="U1351" s="145"/>
      <c r="V1351" s="145"/>
      <c r="W1351" s="136"/>
      <c r="X1351" s="137" t="str">
        <f>IFERROR(__xludf.DUMMYFUNCTION("""COMPUTED_VALUE"""),"Very Good")</f>
        <v>Very Good</v>
      </c>
      <c r="Y1351" s="138" t="str">
        <f>IFERROR(__xludf.DUMMYFUNCTION("""COMPUTED_VALUE"""),"Very Good")</f>
        <v>Very Good</v>
      </c>
      <c r="Z1351" s="138" t="str">
        <f>IFERROR(__xludf.DUMMYFUNCTION("""COMPUTED_VALUE"""),"Very Good")</f>
        <v>Very Good</v>
      </c>
      <c r="AA1351" s="138" t="str">
        <f>IFERROR(__xludf.DUMMYFUNCTION("""COMPUTED_VALUE"""),"Good")</f>
        <v>Good</v>
      </c>
      <c r="AB1351" s="138" t="str">
        <f>IFERROR(__xludf.DUMMYFUNCTION("""COMPUTED_VALUE"""),"Very Good")</f>
        <v>Very Good</v>
      </c>
      <c r="AC1351" s="139"/>
      <c r="AD1351" s="139"/>
      <c r="AE1351" s="139"/>
      <c r="AF1351" s="140"/>
      <c r="AG1351" s="136" t="str">
        <f>IFERROR(__xludf.DUMMYFUNCTION("""COMPUTED_VALUE"""),"Received 1st VIN on Mar 6th, Vehicle failed inspection, received a new VIN on March 25 ")</f>
        <v>Received 1st VIN on Mar 6th, Vehicle failed inspection, received a new VIN on March 25 </v>
      </c>
      <c r="AH1351" s="157">
        <f>IFERROR(__xludf.DUMMYFUNCTION("""COMPUTED_VALUE"""),43922.434329247684)</f>
        <v>43922.43433</v>
      </c>
      <c r="AI1351" s="138"/>
      <c r="AJ1351" s="138"/>
      <c r="AK1351" s="138"/>
      <c r="AL1351" s="142"/>
    </row>
    <row r="1352" ht="20.25" customHeight="1">
      <c r="A1352" s="155" t="str">
        <f>IFERROR(__xludf.DUMMYFUNCTION("""COMPUTED_VALUE"""),"BOUNCER")</f>
        <v>BOUNCER</v>
      </c>
      <c r="B1352" s="149" t="str">
        <f>IFERROR(__xludf.DUMMYFUNCTION("""COMPUTED_VALUE"""),"San Diego")</f>
        <v>San Diego</v>
      </c>
      <c r="C1352" s="149" t="str">
        <f>IFERROR(__xludf.DUMMYFUNCTION("""COMPUTED_VALUE"""),"CA")</f>
        <v>CA</v>
      </c>
      <c r="D1352" s="149" t="str">
        <f>IFERROR(__xludf.DUMMYFUNCTION("""COMPUTED_VALUE"""),"USA")</f>
        <v>USA</v>
      </c>
      <c r="E1352" s="156">
        <f>IFERROR(__xludf.DUMMYFUNCTION("""COMPUTED_VALUE"""),43853.0)</f>
        <v>43853</v>
      </c>
      <c r="F1352" s="129">
        <f>IFERROR(__xludf.DUMMYFUNCTION("""COMPUTED_VALUE"""),43900.0)</f>
        <v>43900</v>
      </c>
      <c r="G1352" s="154"/>
      <c r="H1352" s="131">
        <f>IFERROR(__xludf.DUMMYFUNCTION("""COMPUTED_VALUE"""),669444.0)</f>
        <v>669444</v>
      </c>
      <c r="I1352" s="144" t="str">
        <f>IFERROR(__xludf.DUMMYFUNCTION("""COMPUTED_VALUE"""),"03/20")</f>
        <v>03/20</v>
      </c>
      <c r="J1352" s="129">
        <f>IFERROR(__xludf.DUMMYFUNCTION("""COMPUTED_VALUE"""),43903.0)</f>
        <v>43903</v>
      </c>
      <c r="K1352" s="133">
        <f>IFERROR(__xludf.DUMMYFUNCTION("""COMPUTED_VALUE"""),47.0)</f>
        <v>47</v>
      </c>
      <c r="L1352" s="133">
        <f>IFERROR(__xludf.DUMMYFUNCTION("""COMPUTED_VALUE"""),3.0)</f>
        <v>3</v>
      </c>
      <c r="M1352" s="133">
        <f>IFERROR(__xludf.DUMMYFUNCTION("""COMPUTED_VALUE"""),50.0)</f>
        <v>50</v>
      </c>
      <c r="N1352" s="152" t="str">
        <f>IFERROR(__xludf.DUMMYFUNCTION("""COMPUTED_VALUE"""),"Model 3 Performance")</f>
        <v>Model 3 Performance</v>
      </c>
      <c r="O1352" s="152" t="str">
        <f>IFERROR(__xludf.DUMMYFUNCTION("""COMPUTED_VALUE"""),"Deep Blue Metallic")</f>
        <v>Deep Blue Metallic</v>
      </c>
      <c r="P1352" s="153" t="str">
        <f>IFERROR(__xludf.DUMMYFUNCTION("""COMPUTED_VALUE"""),"20 inch Sport")</f>
        <v>20 inch Sport</v>
      </c>
      <c r="Q1352" s="152" t="str">
        <f>IFERROR(__xludf.DUMMYFUNCTION("""COMPUTED_VALUE"""),"Black seats")</f>
        <v>Black seats</v>
      </c>
      <c r="R1352" s="149" t="str">
        <f>IFERROR(__xludf.DUMMYFUNCTION("""COMPUTED_VALUE"""),"Full Self-Driving")</f>
        <v>Full Self-Driving</v>
      </c>
      <c r="S1352" s="149"/>
      <c r="T1352" s="145"/>
      <c r="U1352" s="145"/>
      <c r="V1352" s="145"/>
      <c r="W1352" s="136"/>
      <c r="X1352" s="137" t="str">
        <f>IFERROR(__xludf.DUMMYFUNCTION("""COMPUTED_VALUE"""),"Very Good")</f>
        <v>Very Good</v>
      </c>
      <c r="Y1352" s="138" t="str">
        <f>IFERROR(__xludf.DUMMYFUNCTION("""COMPUTED_VALUE"""),"Excellent")</f>
        <v>Excellent</v>
      </c>
      <c r="Z1352" s="138" t="str">
        <f>IFERROR(__xludf.DUMMYFUNCTION("""COMPUTED_VALUE"""),"Very Good")</f>
        <v>Very Good</v>
      </c>
      <c r="AA1352" s="138" t="str">
        <f>IFERROR(__xludf.DUMMYFUNCTION("""COMPUTED_VALUE"""),"Fair")</f>
        <v>Fair</v>
      </c>
      <c r="AB1352" s="138" t="str">
        <f>IFERROR(__xludf.DUMMYFUNCTION("""COMPUTED_VALUE"""),"Very Good")</f>
        <v>Very Good</v>
      </c>
      <c r="AC1352" s="139">
        <f>IFERROR(__xludf.DUMMYFUNCTION("""COMPUTED_VALUE"""),0.0)</f>
        <v>0</v>
      </c>
      <c r="AD1352" s="139">
        <f>IFERROR(__xludf.DUMMYFUNCTION("""COMPUTED_VALUE"""),0.0)</f>
        <v>0</v>
      </c>
      <c r="AE1352" s="139">
        <f>IFERROR(__xludf.DUMMYFUNCTION("""COMPUTED_VALUE"""),0.0)</f>
        <v>0</v>
      </c>
      <c r="AF1352" s="140"/>
      <c r="AG1352" s="136"/>
      <c r="AH1352" s="157">
        <f>IFERROR(__xludf.DUMMYFUNCTION("""COMPUTED_VALUE"""),43933.56042246528)</f>
        <v>43933.56042</v>
      </c>
      <c r="AI1352" s="138"/>
      <c r="AJ1352" s="138"/>
      <c r="AK1352" s="138"/>
      <c r="AL1352" s="142"/>
    </row>
    <row r="1353" ht="20.25" customHeight="1">
      <c r="A1353" s="155" t="str">
        <f>IFERROR(__xludf.DUMMYFUNCTION("""COMPUTED_VALUE"""),"Brianwong")</f>
        <v>Brianwong</v>
      </c>
      <c r="B1353" s="149" t="str">
        <f>IFERROR(__xludf.DUMMYFUNCTION("""COMPUTED_VALUE"""),"Hong Kong")</f>
        <v>Hong Kong</v>
      </c>
      <c r="C1353" s="149"/>
      <c r="D1353" s="149" t="str">
        <f>IFERROR(__xludf.DUMMYFUNCTION("""COMPUTED_VALUE"""),"China")</f>
        <v>China</v>
      </c>
      <c r="E1353" s="156">
        <f>IFERROR(__xludf.DUMMYFUNCTION("""COMPUTED_VALUE"""),43853.0)</f>
        <v>43853</v>
      </c>
      <c r="F1353" s="129">
        <f>IFERROR(__xludf.DUMMYFUNCTION("""COMPUTED_VALUE"""),43854.0)</f>
        <v>43854</v>
      </c>
      <c r="G1353" s="154"/>
      <c r="H1353" s="131">
        <f>IFERROR(__xludf.DUMMYFUNCTION("""COMPUTED_VALUE"""),695755.0)</f>
        <v>695755</v>
      </c>
      <c r="I1353" s="144" t="str">
        <f>IFERROR(__xludf.DUMMYFUNCTION("""COMPUTED_VALUE"""),"11/19")</f>
        <v>11/19</v>
      </c>
      <c r="J1353" s="129">
        <f>IFERROR(__xludf.DUMMYFUNCTION("""COMPUTED_VALUE"""),43878.0)</f>
        <v>43878</v>
      </c>
      <c r="K1353" s="133">
        <f>IFERROR(__xludf.DUMMYFUNCTION("""COMPUTED_VALUE"""),1.0)</f>
        <v>1</v>
      </c>
      <c r="L1353" s="133">
        <f>IFERROR(__xludf.DUMMYFUNCTION("""COMPUTED_VALUE"""),24.0)</f>
        <v>24</v>
      </c>
      <c r="M1353" s="133">
        <f>IFERROR(__xludf.DUMMYFUNCTION("""COMPUTED_VALUE"""),25.0)</f>
        <v>25</v>
      </c>
      <c r="N1353" s="152" t="str">
        <f>IFERROR(__xludf.DUMMYFUNCTION("""COMPUTED_VALUE"""),"Model 3 Performance")</f>
        <v>Model 3 Performance</v>
      </c>
      <c r="O1353" s="152" t="str">
        <f>IFERROR(__xludf.DUMMYFUNCTION("""COMPUTED_VALUE"""),"Pearl White Multi-Coat")</f>
        <v>Pearl White Multi-Coat</v>
      </c>
      <c r="P1353" s="153" t="str">
        <f>IFERROR(__xludf.DUMMYFUNCTION("""COMPUTED_VALUE"""),"20 inch Sport")</f>
        <v>20 inch Sport</v>
      </c>
      <c r="Q1353" s="152" t="str">
        <f>IFERROR(__xludf.DUMMYFUNCTION("""COMPUTED_VALUE"""),"Black seats")</f>
        <v>Black seats</v>
      </c>
      <c r="R1353" s="149" t="str">
        <f>IFERROR(__xludf.DUMMYFUNCTION("""COMPUTED_VALUE"""),"Autopilot")</f>
        <v>Autopilot</v>
      </c>
      <c r="S1353" s="149"/>
      <c r="T1353" s="145"/>
      <c r="U1353" s="145"/>
      <c r="V1353" s="145"/>
      <c r="W1353" s="136"/>
      <c r="X1353" s="137" t="str">
        <f>IFERROR(__xludf.DUMMYFUNCTION("""COMPUTED_VALUE"""),"Very Good")</f>
        <v>Very Good</v>
      </c>
      <c r="Y1353" s="138" t="str">
        <f>IFERROR(__xludf.DUMMYFUNCTION("""COMPUTED_VALUE"""),"Very Good")</f>
        <v>Very Good</v>
      </c>
      <c r="Z1353" s="138" t="str">
        <f>IFERROR(__xludf.DUMMYFUNCTION("""COMPUTED_VALUE"""),"Excellent")</f>
        <v>Excellent</v>
      </c>
      <c r="AA1353" s="138" t="str">
        <f>IFERROR(__xludf.DUMMYFUNCTION("""COMPUTED_VALUE"""),"Poor")</f>
        <v>Poor</v>
      </c>
      <c r="AB1353" s="138" t="str">
        <f>IFERROR(__xludf.DUMMYFUNCTION("""COMPUTED_VALUE"""),"Fair")</f>
        <v>Fair</v>
      </c>
      <c r="AC1353" s="139">
        <f>IFERROR(__xludf.DUMMYFUNCTION("""COMPUTED_VALUE"""),0.0)</f>
        <v>0</v>
      </c>
      <c r="AD1353" s="139">
        <f>IFERROR(__xludf.DUMMYFUNCTION("""COMPUTED_VALUE"""),0.0)</f>
        <v>0</v>
      </c>
      <c r="AE1353" s="139">
        <f>IFERROR(__xludf.DUMMYFUNCTION("""COMPUTED_VALUE"""),0.0)</f>
        <v>0</v>
      </c>
      <c r="AF1353" s="140"/>
      <c r="AG1353" s="136"/>
      <c r="AH1353" s="157">
        <f>IFERROR(__xludf.DUMMYFUNCTION("""COMPUTED_VALUE"""),43900.95354650463)</f>
        <v>43900.95355</v>
      </c>
      <c r="AI1353" s="138"/>
      <c r="AJ1353" s="138"/>
      <c r="AK1353" s="138"/>
      <c r="AL1353" s="142"/>
    </row>
    <row r="1354" ht="20.25" customHeight="1">
      <c r="A1354" s="155" t="str">
        <f>IFERROR(__xludf.DUMMYFUNCTION("""COMPUTED_VALUE"""),"IceBreakerG")</f>
        <v>IceBreakerG</v>
      </c>
      <c r="B1354" s="149" t="str">
        <f>IFERROR(__xludf.DUMMYFUNCTION("""COMPUTED_VALUE"""),"Memphis")</f>
        <v>Memphis</v>
      </c>
      <c r="C1354" s="149" t="str">
        <f>IFERROR(__xludf.DUMMYFUNCTION("""COMPUTED_VALUE"""),"TN")</f>
        <v>TN</v>
      </c>
      <c r="D1354" s="149" t="str">
        <f>IFERROR(__xludf.DUMMYFUNCTION("""COMPUTED_VALUE"""),"USA")</f>
        <v>USA</v>
      </c>
      <c r="E1354" s="156">
        <f>IFERROR(__xludf.DUMMYFUNCTION("""COMPUTED_VALUE"""),43853.0)</f>
        <v>43853</v>
      </c>
      <c r="F1354" s="129">
        <f>IFERROR(__xludf.DUMMYFUNCTION("""COMPUTED_VALUE"""),43900.0)</f>
        <v>43900</v>
      </c>
      <c r="G1354" s="154"/>
      <c r="H1354" s="131">
        <f>IFERROR(__xludf.DUMMYFUNCTION("""COMPUTED_VALUE"""),641833.0)</f>
        <v>641833</v>
      </c>
      <c r="I1354" s="144" t="str">
        <f>IFERROR(__xludf.DUMMYFUNCTION("""COMPUTED_VALUE"""),"03/20")</f>
        <v>03/20</v>
      </c>
      <c r="J1354" s="129">
        <f>IFERROR(__xludf.DUMMYFUNCTION("""COMPUTED_VALUE"""),43911.0)</f>
        <v>43911</v>
      </c>
      <c r="K1354" s="133">
        <f>IFERROR(__xludf.DUMMYFUNCTION("""COMPUTED_VALUE"""),47.0)</f>
        <v>47</v>
      </c>
      <c r="L1354" s="133">
        <f>IFERROR(__xludf.DUMMYFUNCTION("""COMPUTED_VALUE"""),11.0)</f>
        <v>11</v>
      </c>
      <c r="M1354" s="133">
        <f>IFERROR(__xludf.DUMMYFUNCTION("""COMPUTED_VALUE"""),58.0)</f>
        <v>58</v>
      </c>
      <c r="N1354" s="152" t="str">
        <f>IFERROR(__xludf.DUMMYFUNCTION("""COMPUTED_VALUE"""),"Model 3 Performance")</f>
        <v>Model 3 Performance</v>
      </c>
      <c r="O1354" s="152" t="str">
        <f>IFERROR(__xludf.DUMMYFUNCTION("""COMPUTED_VALUE"""),"Red Multi-Coat")</f>
        <v>Red Multi-Coat</v>
      </c>
      <c r="P1354" s="153" t="str">
        <f>IFERROR(__xludf.DUMMYFUNCTION("""COMPUTED_VALUE"""),"20 inch Sport")</f>
        <v>20 inch Sport</v>
      </c>
      <c r="Q1354" s="152" t="str">
        <f>IFERROR(__xludf.DUMMYFUNCTION("""COMPUTED_VALUE"""),"White seats")</f>
        <v>White seats</v>
      </c>
      <c r="R1354" s="149" t="str">
        <f>IFERROR(__xludf.DUMMYFUNCTION("""COMPUTED_VALUE"""),"Autopilot")</f>
        <v>Autopilot</v>
      </c>
      <c r="S1354" s="149"/>
      <c r="T1354" s="145"/>
      <c r="U1354" s="145"/>
      <c r="V1354" s="145"/>
      <c r="W1354" s="136"/>
      <c r="X1354" s="137" t="str">
        <f>IFERROR(__xludf.DUMMYFUNCTION("""COMPUTED_VALUE"""),"Very Good")</f>
        <v>Very Good</v>
      </c>
      <c r="Y1354" s="138" t="str">
        <f>IFERROR(__xludf.DUMMYFUNCTION("""COMPUTED_VALUE"""),"Excellent")</f>
        <v>Excellent</v>
      </c>
      <c r="Z1354" s="138" t="str">
        <f>IFERROR(__xludf.DUMMYFUNCTION("""COMPUTED_VALUE"""),"Very Good")</f>
        <v>Very Good</v>
      </c>
      <c r="AA1354" s="138" t="str">
        <f>IFERROR(__xludf.DUMMYFUNCTION("""COMPUTED_VALUE"""),"Good")</f>
        <v>Good</v>
      </c>
      <c r="AB1354" s="138" t="str">
        <f>IFERROR(__xludf.DUMMYFUNCTION("""COMPUTED_VALUE"""),"Very Good")</f>
        <v>Very Good</v>
      </c>
      <c r="AC1354" s="139">
        <f>IFERROR(__xludf.DUMMYFUNCTION("""COMPUTED_VALUE"""),2.0)</f>
        <v>2</v>
      </c>
      <c r="AD1354" s="139">
        <f>IFERROR(__xludf.DUMMYFUNCTION("""COMPUTED_VALUE"""),1.0)</f>
        <v>1</v>
      </c>
      <c r="AE1354" s="139">
        <f>IFERROR(__xludf.DUMMYFUNCTION("""COMPUTED_VALUE"""),0.0)</f>
        <v>0</v>
      </c>
      <c r="AF1354" s="140"/>
      <c r="AG1354" s="136" t="str">
        <f>IFERROR(__xludf.DUMMYFUNCTION("""COMPUTED_VALUE"""),"2/13/2020 - Delivery timing update is 3-6 weeks, 2/24/2020, Delivery timing update is 4-6 weeks, 3/10/2020 received VIN, 3/12/2020 was able to schedule delivery")</f>
        <v>2/13/2020 - Delivery timing update is 3-6 weeks, 2/24/2020, Delivery timing update is 4-6 weeks, 3/10/2020 received VIN, 3/12/2020 was able to schedule delivery</v>
      </c>
      <c r="AH1354" s="157">
        <f>IFERROR(__xludf.DUMMYFUNCTION("""COMPUTED_VALUE"""),43913.52237229167)</f>
        <v>43913.52237</v>
      </c>
      <c r="AI1354" s="138"/>
      <c r="AJ1354" s="138"/>
      <c r="AK1354" s="138"/>
      <c r="AL1354" s="142"/>
    </row>
    <row r="1355" ht="20.25" customHeight="1">
      <c r="A1355" s="155" t="str">
        <f>IFERROR(__xludf.DUMMYFUNCTION("""COMPUTED_VALUE"""),"Jas0nWhite")</f>
        <v>Jas0nWhite</v>
      </c>
      <c r="B1355" s="149" t="str">
        <f>IFERROR(__xludf.DUMMYFUNCTION("""COMPUTED_VALUE"""),"Roanoke")</f>
        <v>Roanoke</v>
      </c>
      <c r="C1355" s="149" t="str">
        <f>IFERROR(__xludf.DUMMYFUNCTION("""COMPUTED_VALUE"""),"VA")</f>
        <v>VA</v>
      </c>
      <c r="D1355" s="149" t="str">
        <f>IFERROR(__xludf.DUMMYFUNCTION("""COMPUTED_VALUE"""),"USA")</f>
        <v>USA</v>
      </c>
      <c r="E1355" s="156">
        <f>IFERROR(__xludf.DUMMYFUNCTION("""COMPUTED_VALUE"""),43853.0)</f>
        <v>43853</v>
      </c>
      <c r="F1355" s="129">
        <f>IFERROR(__xludf.DUMMYFUNCTION("""COMPUTED_VALUE"""),43900.0)</f>
        <v>43900</v>
      </c>
      <c r="G1355" s="154"/>
      <c r="H1355" s="131">
        <f>IFERROR(__xludf.DUMMYFUNCTION("""COMPUTED_VALUE"""),669639.0)</f>
        <v>669639</v>
      </c>
      <c r="I1355" s="144" t="str">
        <f>IFERROR(__xludf.DUMMYFUNCTION("""COMPUTED_VALUE"""),"03/20")</f>
        <v>03/20</v>
      </c>
      <c r="J1355" s="129">
        <f>IFERROR(__xludf.DUMMYFUNCTION("""COMPUTED_VALUE"""),43915.0)</f>
        <v>43915</v>
      </c>
      <c r="K1355" s="133">
        <f>IFERROR(__xludf.DUMMYFUNCTION("""COMPUTED_VALUE"""),47.0)</f>
        <v>47</v>
      </c>
      <c r="L1355" s="133">
        <f>IFERROR(__xludf.DUMMYFUNCTION("""COMPUTED_VALUE"""),15.0)</f>
        <v>15</v>
      </c>
      <c r="M1355" s="133">
        <f>IFERROR(__xludf.DUMMYFUNCTION("""COMPUTED_VALUE"""),62.0)</f>
        <v>62</v>
      </c>
      <c r="N1355" s="152" t="str">
        <f>IFERROR(__xludf.DUMMYFUNCTION("""COMPUTED_VALUE"""),"Model 3 Performance")</f>
        <v>Model 3 Performance</v>
      </c>
      <c r="O1355" s="152" t="str">
        <f>IFERROR(__xludf.DUMMYFUNCTION("""COMPUTED_VALUE"""),"Deep Blue Metallic")</f>
        <v>Deep Blue Metallic</v>
      </c>
      <c r="P1355" s="153" t="str">
        <f>IFERROR(__xludf.DUMMYFUNCTION("""COMPUTED_VALUE"""),"20 inch Sport")</f>
        <v>20 inch Sport</v>
      </c>
      <c r="Q1355" s="152" t="str">
        <f>IFERROR(__xludf.DUMMYFUNCTION("""COMPUTED_VALUE"""),"White seats")</f>
        <v>White seats</v>
      </c>
      <c r="R1355" s="149" t="str">
        <f>IFERROR(__xludf.DUMMYFUNCTION("""COMPUTED_VALUE"""),"Full Self-Driving")</f>
        <v>Full Self-Driving</v>
      </c>
      <c r="S1355" s="149"/>
      <c r="T1355" s="145"/>
      <c r="U1355" s="145"/>
      <c r="V1355" s="145"/>
      <c r="W1355" s="136"/>
      <c r="X1355" s="137" t="str">
        <f>IFERROR(__xludf.DUMMYFUNCTION("""COMPUTED_VALUE"""),"Very Good")</f>
        <v>Very Good</v>
      </c>
      <c r="Y1355" s="138" t="str">
        <f>IFERROR(__xludf.DUMMYFUNCTION("""COMPUTED_VALUE"""),"Excellent")</f>
        <v>Excellent</v>
      </c>
      <c r="Z1355" s="138" t="str">
        <f>IFERROR(__xludf.DUMMYFUNCTION("""COMPUTED_VALUE"""),"Excellent")</f>
        <v>Excellent</v>
      </c>
      <c r="AA1355" s="138" t="str">
        <f>IFERROR(__xludf.DUMMYFUNCTION("""COMPUTED_VALUE"""),"Very Good")</f>
        <v>Very Good</v>
      </c>
      <c r="AB1355" s="138" t="str">
        <f>IFERROR(__xludf.DUMMYFUNCTION("""COMPUTED_VALUE"""),"Excellent")</f>
        <v>Excellent</v>
      </c>
      <c r="AC1355" s="139"/>
      <c r="AD1355" s="139"/>
      <c r="AE1355" s="139"/>
      <c r="AF1355" s="140"/>
      <c r="AG1355" s="136"/>
      <c r="AH1355" s="157">
        <f>IFERROR(__xludf.DUMMYFUNCTION("""COMPUTED_VALUE"""),43919.536296631944)</f>
        <v>43919.5363</v>
      </c>
      <c r="AI1355" s="138"/>
      <c r="AJ1355" s="138"/>
      <c r="AK1355" s="138"/>
      <c r="AL1355" s="142"/>
    </row>
    <row r="1356" ht="20.25" customHeight="1">
      <c r="A1356" s="155" t="str">
        <f>IFERROR(__xludf.DUMMYFUNCTION("""COMPUTED_VALUE"""),"Ollyb15")</f>
        <v>Ollyb15</v>
      </c>
      <c r="B1356" s="149" t="str">
        <f>IFERROR(__xludf.DUMMYFUNCTION("""COMPUTED_VALUE"""),"Lexington")</f>
        <v>Lexington</v>
      </c>
      <c r="C1356" s="149" t="str">
        <f>IFERROR(__xludf.DUMMYFUNCTION("""COMPUTED_VALUE"""),"KY")</f>
        <v>KY</v>
      </c>
      <c r="D1356" s="149" t="str">
        <f>IFERROR(__xludf.DUMMYFUNCTION("""COMPUTED_VALUE"""),"USA")</f>
        <v>USA</v>
      </c>
      <c r="E1356" s="156">
        <f>IFERROR(__xludf.DUMMYFUNCTION("""COMPUTED_VALUE"""),43853.0)</f>
        <v>43853</v>
      </c>
      <c r="F1356" s="129">
        <f>IFERROR(__xludf.DUMMYFUNCTION("""COMPUTED_VALUE"""),43867.0)</f>
        <v>43867</v>
      </c>
      <c r="G1356" s="154"/>
      <c r="H1356" s="131">
        <f>IFERROR(__xludf.DUMMYFUNCTION("""COMPUTED_VALUE"""),195655.0)</f>
        <v>195655</v>
      </c>
      <c r="I1356" s="144"/>
      <c r="J1356" s="129">
        <f>IFERROR(__xludf.DUMMYFUNCTION("""COMPUTED_VALUE"""),43870.0)</f>
        <v>43870</v>
      </c>
      <c r="K1356" s="133">
        <f>IFERROR(__xludf.DUMMYFUNCTION("""COMPUTED_VALUE"""),14.0)</f>
        <v>14</v>
      </c>
      <c r="L1356" s="133">
        <f>IFERROR(__xludf.DUMMYFUNCTION("""COMPUTED_VALUE"""),3.0)</f>
        <v>3</v>
      </c>
      <c r="M1356" s="133">
        <f>IFERROR(__xludf.DUMMYFUNCTION("""COMPUTED_VALUE"""),17.0)</f>
        <v>17</v>
      </c>
      <c r="N1356" s="152" t="str">
        <f>IFERROR(__xludf.DUMMYFUNCTION("""COMPUTED_VALUE"""),"Model 3 Performance")</f>
        <v>Model 3 Performance</v>
      </c>
      <c r="O1356" s="152" t="str">
        <f>IFERROR(__xludf.DUMMYFUNCTION("""COMPUTED_VALUE"""),"Pearl White Multi-Coat")</f>
        <v>Pearl White Multi-Coat</v>
      </c>
      <c r="P1356" s="153" t="str">
        <f>IFERROR(__xludf.DUMMYFUNCTION("""COMPUTED_VALUE"""),"20 inch Sport")</f>
        <v>20 inch Sport</v>
      </c>
      <c r="Q1356" s="152" t="str">
        <f>IFERROR(__xludf.DUMMYFUNCTION("""COMPUTED_VALUE"""),"White seats")</f>
        <v>White seats</v>
      </c>
      <c r="R1356" s="149" t="str">
        <f>IFERROR(__xludf.DUMMYFUNCTION("""COMPUTED_VALUE"""),"Full Self-Driving")</f>
        <v>Full Self-Driving</v>
      </c>
      <c r="S1356" s="149"/>
      <c r="T1356" s="145"/>
      <c r="U1356" s="145"/>
      <c r="V1356" s="145"/>
      <c r="W1356" s="136"/>
      <c r="X1356" s="137" t="str">
        <f>IFERROR(__xludf.DUMMYFUNCTION("""COMPUTED_VALUE"""),"Good")</f>
        <v>Good</v>
      </c>
      <c r="Y1356" s="138" t="str">
        <f>IFERROR(__xludf.DUMMYFUNCTION("""COMPUTED_VALUE"""),"Excellent")</f>
        <v>Excellent</v>
      </c>
      <c r="Z1356" s="138" t="str">
        <f>IFERROR(__xludf.DUMMYFUNCTION("""COMPUTED_VALUE"""),"Very Good")</f>
        <v>Very Good</v>
      </c>
      <c r="AA1356" s="138" t="str">
        <f>IFERROR(__xludf.DUMMYFUNCTION("""COMPUTED_VALUE"""),"Excellent")</f>
        <v>Excellent</v>
      </c>
      <c r="AB1356" s="138" t="str">
        <f>IFERROR(__xludf.DUMMYFUNCTION("""COMPUTED_VALUE"""),"Excellent")</f>
        <v>Excellent</v>
      </c>
      <c r="AC1356" s="139">
        <f>IFERROR(__xludf.DUMMYFUNCTION("""COMPUTED_VALUE"""),0.0)</f>
        <v>0</v>
      </c>
      <c r="AD1356" s="139"/>
      <c r="AE1356" s="139"/>
      <c r="AF1356" s="140"/>
      <c r="AG1356" s="136"/>
      <c r="AH1356" s="157">
        <f>IFERROR(__xludf.DUMMYFUNCTION("""COMPUTED_VALUE"""),43871.7779690625)</f>
        <v>43871.77797</v>
      </c>
      <c r="AI1356" s="138"/>
      <c r="AJ1356" s="138"/>
      <c r="AK1356" s="138"/>
      <c r="AL1356" s="142"/>
    </row>
    <row r="1357" ht="20.25" customHeight="1">
      <c r="A1357" s="155" t="str">
        <f>IFERROR(__xludf.DUMMYFUNCTION("""COMPUTED_VALUE"""),"nubsmagee")</f>
        <v>nubsmagee</v>
      </c>
      <c r="B1357" s="149" t="str">
        <f>IFERROR(__xludf.DUMMYFUNCTION("""COMPUTED_VALUE"""),"Santa Clarita")</f>
        <v>Santa Clarita</v>
      </c>
      <c r="C1357" s="149" t="str">
        <f>IFERROR(__xludf.DUMMYFUNCTION("""COMPUTED_VALUE"""),"CA")</f>
        <v>CA</v>
      </c>
      <c r="D1357" s="149" t="str">
        <f>IFERROR(__xludf.DUMMYFUNCTION("""COMPUTED_VALUE"""),"USA")</f>
        <v>USA</v>
      </c>
      <c r="E1357" s="156">
        <f>IFERROR(__xludf.DUMMYFUNCTION("""COMPUTED_VALUE"""),43852.0)</f>
        <v>43852</v>
      </c>
      <c r="F1357" s="129">
        <f>IFERROR(__xludf.DUMMYFUNCTION("""COMPUTED_VALUE"""),43883.0)</f>
        <v>43883</v>
      </c>
      <c r="G1357" s="154"/>
      <c r="H1357" s="131">
        <f>IFERROR(__xludf.DUMMYFUNCTION("""COMPUTED_VALUE"""),630655.0)</f>
        <v>630655</v>
      </c>
      <c r="I1357" s="144"/>
      <c r="J1357" s="129">
        <f>IFERROR(__xludf.DUMMYFUNCTION("""COMPUTED_VALUE"""),43888.0)</f>
        <v>43888</v>
      </c>
      <c r="K1357" s="133">
        <f>IFERROR(__xludf.DUMMYFUNCTION("""COMPUTED_VALUE"""),31.0)</f>
        <v>31</v>
      </c>
      <c r="L1357" s="133">
        <f>IFERROR(__xludf.DUMMYFUNCTION("""COMPUTED_VALUE"""),5.0)</f>
        <v>5</v>
      </c>
      <c r="M1357" s="133">
        <f>IFERROR(__xludf.DUMMYFUNCTION("""COMPUTED_VALUE"""),36.0)</f>
        <v>36</v>
      </c>
      <c r="N1357" s="152" t="str">
        <f>IFERROR(__xludf.DUMMYFUNCTION("""COMPUTED_VALUE"""),"Model 3 SR+")</f>
        <v>Model 3 SR+</v>
      </c>
      <c r="O1357" s="152" t="str">
        <f>IFERROR(__xludf.DUMMYFUNCTION("""COMPUTED_VALUE"""),"Midnight Silver Metallic")</f>
        <v>Midnight Silver Metallic</v>
      </c>
      <c r="P1357" s="153" t="str">
        <f>IFERROR(__xludf.DUMMYFUNCTION("""COMPUTED_VALUE"""),"18 inch Aero")</f>
        <v>18 inch Aero</v>
      </c>
      <c r="Q1357" s="152" t="str">
        <f>IFERROR(__xludf.DUMMYFUNCTION("""COMPUTED_VALUE"""),"Black seats")</f>
        <v>Black seats</v>
      </c>
      <c r="R1357" s="149" t="str">
        <f>IFERROR(__xludf.DUMMYFUNCTION("""COMPUTED_VALUE"""),"Autopilot")</f>
        <v>Autopilot</v>
      </c>
      <c r="S1357" s="149"/>
      <c r="T1357" s="145"/>
      <c r="U1357" s="145"/>
      <c r="V1357" s="145"/>
      <c r="W1357" s="136"/>
      <c r="X1357" s="137" t="str">
        <f>IFERROR(__xludf.DUMMYFUNCTION("""COMPUTED_VALUE"""),"Very Good")</f>
        <v>Very Good</v>
      </c>
      <c r="Y1357" s="138" t="str">
        <f>IFERROR(__xludf.DUMMYFUNCTION("""COMPUTED_VALUE"""),"Excellent")</f>
        <v>Excellent</v>
      </c>
      <c r="Z1357" s="138" t="str">
        <f>IFERROR(__xludf.DUMMYFUNCTION("""COMPUTED_VALUE"""),"Excellent")</f>
        <v>Excellent</v>
      </c>
      <c r="AA1357" s="138" t="str">
        <f>IFERROR(__xludf.DUMMYFUNCTION("""COMPUTED_VALUE"""),"Very Good")</f>
        <v>Very Good</v>
      </c>
      <c r="AB1357" s="138" t="str">
        <f>IFERROR(__xludf.DUMMYFUNCTION("""COMPUTED_VALUE"""),"Very Good")</f>
        <v>Very Good</v>
      </c>
      <c r="AC1357" s="139">
        <f>IFERROR(__xludf.DUMMYFUNCTION("""COMPUTED_VALUE"""),1.0)</f>
        <v>1</v>
      </c>
      <c r="AD1357" s="139">
        <f>IFERROR(__xludf.DUMMYFUNCTION("""COMPUTED_VALUE"""),1.0)</f>
        <v>1</v>
      </c>
      <c r="AE1357" s="139">
        <f>IFERROR(__xludf.DUMMYFUNCTION("""COMPUTED_VALUE"""),0.0)</f>
        <v>0</v>
      </c>
      <c r="AF1357" s="140"/>
      <c r="AG1357" s="136" t="str">
        <f>IFERROR(__xludf.DUMMYFUNCTION("""COMPUTED_VALUE"""),"Opening action for glove box lost cushioning on day 5 of ownership, opened violently - Door sticker says 02/2020")</f>
        <v>Opening action for glove box lost cushioning on day 5 of ownership, opened violently - Door sticker says 02/2020</v>
      </c>
      <c r="AH1357" s="157">
        <f>IFERROR(__xludf.DUMMYFUNCTION("""COMPUTED_VALUE"""),43899.46784787037)</f>
        <v>43899.46785</v>
      </c>
      <c r="AI1357" s="138"/>
      <c r="AJ1357" s="138"/>
      <c r="AK1357" s="138"/>
      <c r="AL1357" s="142"/>
    </row>
    <row r="1358" ht="20.25" customHeight="1">
      <c r="A1358" s="155" t="str">
        <f>IFERROR(__xludf.DUMMYFUNCTION("""COMPUTED_VALUE"""),"Jackalope")</f>
        <v>Jackalope</v>
      </c>
      <c r="B1358" s="149" t="str">
        <f>IFERROR(__xludf.DUMMYFUNCTION("""COMPUTED_VALUE"""),"Princeton")</f>
        <v>Princeton</v>
      </c>
      <c r="C1358" s="149" t="str">
        <f>IFERROR(__xludf.DUMMYFUNCTION("""COMPUTED_VALUE"""),"NJ")</f>
        <v>NJ</v>
      </c>
      <c r="D1358" s="149" t="str">
        <f>IFERROR(__xludf.DUMMYFUNCTION("""COMPUTED_VALUE"""),"USA")</f>
        <v>USA</v>
      </c>
      <c r="E1358" s="156">
        <f>IFERROR(__xludf.DUMMYFUNCTION("""COMPUTED_VALUE"""),43850.0)</f>
        <v>43850</v>
      </c>
      <c r="F1358" s="129">
        <f>IFERROR(__xludf.DUMMYFUNCTION("""COMPUTED_VALUE"""),43866.0)</f>
        <v>43866</v>
      </c>
      <c r="G1358" s="154"/>
      <c r="H1358" s="131"/>
      <c r="I1358" s="144"/>
      <c r="J1358" s="129">
        <f>IFERROR(__xludf.DUMMYFUNCTION("""COMPUTED_VALUE"""),43872.0)</f>
        <v>43872</v>
      </c>
      <c r="K1358" s="133">
        <f>IFERROR(__xludf.DUMMYFUNCTION("""COMPUTED_VALUE"""),16.0)</f>
        <v>16</v>
      </c>
      <c r="L1358" s="133">
        <f>IFERROR(__xludf.DUMMYFUNCTION("""COMPUTED_VALUE"""),6.0)</f>
        <v>6</v>
      </c>
      <c r="M1358" s="133">
        <f>IFERROR(__xludf.DUMMYFUNCTION("""COMPUTED_VALUE"""),22.0)</f>
        <v>22</v>
      </c>
      <c r="N1358" s="152" t="str">
        <f>IFERROR(__xludf.DUMMYFUNCTION("""COMPUTED_VALUE"""),"Model 3 LR AWD")</f>
        <v>Model 3 LR AWD</v>
      </c>
      <c r="O1358" s="152" t="str">
        <f>IFERROR(__xludf.DUMMYFUNCTION("""COMPUTED_VALUE"""),"Midnight Silver Metallic")</f>
        <v>Midnight Silver Metallic</v>
      </c>
      <c r="P1358" s="153" t="str">
        <f>IFERROR(__xludf.DUMMYFUNCTION("""COMPUTED_VALUE"""),"19 inch Sport")</f>
        <v>19 inch Sport</v>
      </c>
      <c r="Q1358" s="152" t="str">
        <f>IFERROR(__xludf.DUMMYFUNCTION("""COMPUTED_VALUE"""),"Black seats")</f>
        <v>Black seats</v>
      </c>
      <c r="R1358" s="149" t="str">
        <f>IFERROR(__xludf.DUMMYFUNCTION("""COMPUTED_VALUE"""),"Autopilot")</f>
        <v>Autopilot</v>
      </c>
      <c r="S1358" s="149"/>
      <c r="T1358" s="145"/>
      <c r="U1358" s="145"/>
      <c r="V1358" s="145"/>
      <c r="W1358" s="136"/>
      <c r="X1358" s="137" t="str">
        <f>IFERROR(__xludf.DUMMYFUNCTION("""COMPUTED_VALUE"""),"Very Good")</f>
        <v>Very Good</v>
      </c>
      <c r="Y1358" s="138" t="str">
        <f>IFERROR(__xludf.DUMMYFUNCTION("""COMPUTED_VALUE"""),"Excellent")</f>
        <v>Excellent</v>
      </c>
      <c r="Z1358" s="138" t="str">
        <f>IFERROR(__xludf.DUMMYFUNCTION("""COMPUTED_VALUE"""),"Excellent")</f>
        <v>Excellent</v>
      </c>
      <c r="AA1358" s="138" t="str">
        <f>IFERROR(__xludf.DUMMYFUNCTION("""COMPUTED_VALUE"""),"Excellent")</f>
        <v>Excellent</v>
      </c>
      <c r="AB1358" s="138" t="str">
        <f>IFERROR(__xludf.DUMMYFUNCTION("""COMPUTED_VALUE"""),"Excellent")</f>
        <v>Excellent</v>
      </c>
      <c r="AC1358" s="139"/>
      <c r="AD1358" s="139"/>
      <c r="AE1358" s="139"/>
      <c r="AF1358" s="140"/>
      <c r="AG1358" s="136"/>
      <c r="AH1358" s="157">
        <f>IFERROR(__xludf.DUMMYFUNCTION("""COMPUTED_VALUE"""),43875.453316851854)</f>
        <v>43875.45332</v>
      </c>
      <c r="AI1358" s="138"/>
      <c r="AJ1358" s="138"/>
      <c r="AK1358" s="138"/>
      <c r="AL1358" s="142"/>
    </row>
    <row r="1359" ht="20.25" customHeight="1">
      <c r="A1359" s="155" t="str">
        <f>IFERROR(__xludf.DUMMYFUNCTION("""COMPUTED_VALUE"""),"JD383")</f>
        <v>JD383</v>
      </c>
      <c r="B1359" s="149" t="str">
        <f>IFERROR(__xludf.DUMMYFUNCTION("""COMPUTED_VALUE"""),"Seattle")</f>
        <v>Seattle</v>
      </c>
      <c r="C1359" s="149" t="str">
        <f>IFERROR(__xludf.DUMMYFUNCTION("""COMPUTED_VALUE"""),"WA")</f>
        <v>WA</v>
      </c>
      <c r="D1359" s="149" t="str">
        <f>IFERROR(__xludf.DUMMYFUNCTION("""COMPUTED_VALUE"""),"USA")</f>
        <v>USA</v>
      </c>
      <c r="E1359" s="156">
        <f>IFERROR(__xludf.DUMMYFUNCTION("""COMPUTED_VALUE"""),43850.0)</f>
        <v>43850</v>
      </c>
      <c r="F1359" s="129">
        <f>IFERROR(__xludf.DUMMYFUNCTION("""COMPUTED_VALUE"""),43887.0)</f>
        <v>43887</v>
      </c>
      <c r="G1359" s="154"/>
      <c r="H1359" s="131">
        <f>IFERROR(__xludf.DUMMYFUNCTION("""COMPUTED_VALUE"""),637155.0)</f>
        <v>637155</v>
      </c>
      <c r="I1359" s="144"/>
      <c r="J1359" s="129">
        <f>IFERROR(__xludf.DUMMYFUNCTION("""COMPUTED_VALUE"""),43891.0)</f>
        <v>43891</v>
      </c>
      <c r="K1359" s="133">
        <f>IFERROR(__xludf.DUMMYFUNCTION("""COMPUTED_VALUE"""),37.0)</f>
        <v>37</v>
      </c>
      <c r="L1359" s="133">
        <f>IFERROR(__xludf.DUMMYFUNCTION("""COMPUTED_VALUE"""),4.0)</f>
        <v>4</v>
      </c>
      <c r="M1359" s="133">
        <f>IFERROR(__xludf.DUMMYFUNCTION("""COMPUTED_VALUE"""),41.0)</f>
        <v>41</v>
      </c>
      <c r="N1359" s="152" t="str">
        <f>IFERROR(__xludf.DUMMYFUNCTION("""COMPUTED_VALUE"""),"Model 3 LR AWD")</f>
        <v>Model 3 LR AWD</v>
      </c>
      <c r="O1359" s="152" t="str">
        <f>IFERROR(__xludf.DUMMYFUNCTION("""COMPUTED_VALUE"""),"Pearl White Multi-Coat")</f>
        <v>Pearl White Multi-Coat</v>
      </c>
      <c r="P1359" s="153" t="str">
        <f>IFERROR(__xludf.DUMMYFUNCTION("""COMPUTED_VALUE"""),"18 inch Aero")</f>
        <v>18 inch Aero</v>
      </c>
      <c r="Q1359" s="152" t="str">
        <f>IFERROR(__xludf.DUMMYFUNCTION("""COMPUTED_VALUE"""),"Black seats")</f>
        <v>Black seats</v>
      </c>
      <c r="R1359" s="149" t="str">
        <f>IFERROR(__xludf.DUMMYFUNCTION("""COMPUTED_VALUE"""),"Autopilot")</f>
        <v>Autopilot</v>
      </c>
      <c r="S1359" s="149"/>
      <c r="T1359" s="145"/>
      <c r="U1359" s="145"/>
      <c r="V1359" s="145"/>
      <c r="W1359" s="136"/>
      <c r="X1359" s="137" t="str">
        <f>IFERROR(__xludf.DUMMYFUNCTION("""COMPUTED_VALUE"""),"Very Good")</f>
        <v>Very Good</v>
      </c>
      <c r="Y1359" s="138" t="str">
        <f>IFERROR(__xludf.DUMMYFUNCTION("""COMPUTED_VALUE"""),"Very Good")</f>
        <v>Very Good</v>
      </c>
      <c r="Z1359" s="138" t="str">
        <f>IFERROR(__xludf.DUMMYFUNCTION("""COMPUTED_VALUE"""),"Excellent")</f>
        <v>Excellent</v>
      </c>
      <c r="AA1359" s="138" t="str">
        <f>IFERROR(__xludf.DUMMYFUNCTION("""COMPUTED_VALUE"""),"Excellent")</f>
        <v>Excellent</v>
      </c>
      <c r="AB1359" s="138" t="str">
        <f>IFERROR(__xludf.DUMMYFUNCTION("""COMPUTED_VALUE"""),"Excellent")</f>
        <v>Excellent</v>
      </c>
      <c r="AC1359" s="139"/>
      <c r="AD1359" s="139"/>
      <c r="AE1359" s="139"/>
      <c r="AF1359" s="140"/>
      <c r="AG1359" s="136"/>
      <c r="AH1359" s="157">
        <f>IFERROR(__xludf.DUMMYFUNCTION("""COMPUTED_VALUE"""),43894.234582928235)</f>
        <v>43894.23458</v>
      </c>
      <c r="AI1359" s="138"/>
      <c r="AJ1359" s="138"/>
      <c r="AK1359" s="138"/>
      <c r="AL1359" s="142"/>
    </row>
    <row r="1360" ht="20.25" customHeight="1">
      <c r="A1360" s="155" t="str">
        <f>IFERROR(__xludf.DUMMYFUNCTION("""COMPUTED_VALUE"""),"Mantlepiece01")</f>
        <v>Mantlepiece01</v>
      </c>
      <c r="B1360" s="149" t="str">
        <f>IFERROR(__xludf.DUMMYFUNCTION("""COMPUTED_VALUE"""),"Redditch")</f>
        <v>Redditch</v>
      </c>
      <c r="C1360" s="149"/>
      <c r="D1360" s="149" t="str">
        <f>IFERROR(__xludf.DUMMYFUNCTION("""COMPUTED_VALUE"""),"United Kingdom")</f>
        <v>United Kingdom</v>
      </c>
      <c r="E1360" s="156">
        <f>IFERROR(__xludf.DUMMYFUNCTION("""COMPUTED_VALUE"""),43850.0)</f>
        <v>43850</v>
      </c>
      <c r="F1360" s="129">
        <f>IFERROR(__xludf.DUMMYFUNCTION("""COMPUTED_VALUE"""),43873.0)</f>
        <v>43873</v>
      </c>
      <c r="G1360" s="154"/>
      <c r="H1360" s="131">
        <f>IFERROR(__xludf.DUMMYFUNCTION("""COMPUTED_VALUE"""),702088.0)</f>
        <v>702088</v>
      </c>
      <c r="I1360" s="144" t="str">
        <f>IFERROR(__xludf.DUMMYFUNCTION("""COMPUTED_VALUE"""),"03/20")</f>
        <v>03/20</v>
      </c>
      <c r="J1360" s="129">
        <f>IFERROR(__xludf.DUMMYFUNCTION("""COMPUTED_VALUE"""),43910.0)</f>
        <v>43910</v>
      </c>
      <c r="K1360" s="133">
        <f>IFERROR(__xludf.DUMMYFUNCTION("""COMPUTED_VALUE"""),23.0)</f>
        <v>23</v>
      </c>
      <c r="L1360" s="133">
        <f>IFERROR(__xludf.DUMMYFUNCTION("""COMPUTED_VALUE"""),37.0)</f>
        <v>37</v>
      </c>
      <c r="M1360" s="133">
        <f>IFERROR(__xludf.DUMMYFUNCTION("""COMPUTED_VALUE"""),60.0)</f>
        <v>60</v>
      </c>
      <c r="N1360" s="152" t="str">
        <f>IFERROR(__xludf.DUMMYFUNCTION("""COMPUTED_VALUE"""),"Model 3 LR AWD")</f>
        <v>Model 3 LR AWD</v>
      </c>
      <c r="O1360" s="152" t="str">
        <f>IFERROR(__xludf.DUMMYFUNCTION("""COMPUTED_VALUE"""),"Midnight Silver Metallic")</f>
        <v>Midnight Silver Metallic</v>
      </c>
      <c r="P1360" s="153" t="str">
        <f>IFERROR(__xludf.DUMMYFUNCTION("""COMPUTED_VALUE"""),"18 inch Aero")</f>
        <v>18 inch Aero</v>
      </c>
      <c r="Q1360" s="152" t="str">
        <f>IFERROR(__xludf.DUMMYFUNCTION("""COMPUTED_VALUE"""),"Black seats")</f>
        <v>Black seats</v>
      </c>
      <c r="R1360" s="149" t="str">
        <f>IFERROR(__xludf.DUMMYFUNCTION("""COMPUTED_VALUE"""),"Autopilot")</f>
        <v>Autopilot</v>
      </c>
      <c r="S1360" s="149"/>
      <c r="T1360" s="145"/>
      <c r="U1360" s="145"/>
      <c r="V1360" s="145"/>
      <c r="W1360" s="136"/>
      <c r="X1360" s="137" t="str">
        <f>IFERROR(__xludf.DUMMYFUNCTION("""COMPUTED_VALUE"""),"Very Good")</f>
        <v>Very Good</v>
      </c>
      <c r="Y1360" s="138" t="str">
        <f>IFERROR(__xludf.DUMMYFUNCTION("""COMPUTED_VALUE"""),"Excellent")</f>
        <v>Excellent</v>
      </c>
      <c r="Z1360" s="138" t="str">
        <f>IFERROR(__xludf.DUMMYFUNCTION("""COMPUTED_VALUE"""),"Fair")</f>
        <v>Fair</v>
      </c>
      <c r="AA1360" s="138" t="str">
        <f>IFERROR(__xludf.DUMMYFUNCTION("""COMPUTED_VALUE"""),"Excellent")</f>
        <v>Excellent</v>
      </c>
      <c r="AB1360" s="138" t="str">
        <f>IFERROR(__xludf.DUMMYFUNCTION("""COMPUTED_VALUE"""),"Very Good")</f>
        <v>Very Good</v>
      </c>
      <c r="AC1360" s="139">
        <f>IFERROR(__xludf.DUMMYFUNCTION("""COMPUTED_VALUE"""),4.0)</f>
        <v>4</v>
      </c>
      <c r="AD1360" s="139">
        <f>IFERROR(__xludf.DUMMYFUNCTION("""COMPUTED_VALUE"""),1.0)</f>
        <v>1</v>
      </c>
      <c r="AE1360" s="139">
        <f>IFERROR(__xludf.DUMMYFUNCTION("""COMPUTED_VALUE"""),1.0)</f>
        <v>1</v>
      </c>
      <c r="AF1360" s="140"/>
      <c r="AG1360" s="136"/>
      <c r="AH1360" s="157">
        <f>IFERROR(__xludf.DUMMYFUNCTION("""COMPUTED_VALUE"""),43929.54003231481)</f>
        <v>43929.54003</v>
      </c>
      <c r="AI1360" s="138"/>
      <c r="AJ1360" s="138"/>
      <c r="AK1360" s="138"/>
      <c r="AL1360" s="142"/>
    </row>
    <row r="1361" ht="20.25" customHeight="1">
      <c r="A1361" s="155" t="str">
        <f>IFERROR(__xludf.DUMMYFUNCTION("""COMPUTED_VALUE"""),"that_HMMWV_guy")</f>
        <v>that_HMMWV_guy</v>
      </c>
      <c r="B1361" s="149" t="str">
        <f>IFERROR(__xludf.DUMMYFUNCTION("""COMPUTED_VALUE"""),"Somerset")</f>
        <v>Somerset</v>
      </c>
      <c r="C1361" s="149" t="str">
        <f>IFERROR(__xludf.DUMMYFUNCTION("""COMPUTED_VALUE"""),"KY")</f>
        <v>KY</v>
      </c>
      <c r="D1361" s="149" t="str">
        <f>IFERROR(__xludf.DUMMYFUNCTION("""COMPUTED_VALUE"""),"USA")</f>
        <v>USA</v>
      </c>
      <c r="E1361" s="156">
        <f>IFERROR(__xludf.DUMMYFUNCTION("""COMPUTED_VALUE"""),43850.0)</f>
        <v>43850</v>
      </c>
      <c r="F1361" s="129">
        <f>IFERROR(__xludf.DUMMYFUNCTION("""COMPUTED_VALUE"""),43887.0)</f>
        <v>43887</v>
      </c>
      <c r="G1361" s="154"/>
      <c r="H1361" s="131">
        <f>IFERROR(__xludf.DUMMYFUNCTION("""COMPUTED_VALUE"""),639695.0)</f>
        <v>639695</v>
      </c>
      <c r="I1361" s="144" t="str">
        <f>IFERROR(__xludf.DUMMYFUNCTION("""COMPUTED_VALUE"""),"02/20")</f>
        <v>02/20</v>
      </c>
      <c r="J1361" s="129">
        <f>IFERROR(__xludf.DUMMYFUNCTION("""COMPUTED_VALUE"""),43902.0)</f>
        <v>43902</v>
      </c>
      <c r="K1361" s="133">
        <f>IFERROR(__xludf.DUMMYFUNCTION("""COMPUTED_VALUE"""),37.0)</f>
        <v>37</v>
      </c>
      <c r="L1361" s="133">
        <f>IFERROR(__xludf.DUMMYFUNCTION("""COMPUTED_VALUE"""),15.0)</f>
        <v>15</v>
      </c>
      <c r="M1361" s="133">
        <f>IFERROR(__xludf.DUMMYFUNCTION("""COMPUTED_VALUE"""),52.0)</f>
        <v>52</v>
      </c>
      <c r="N1361" s="152" t="str">
        <f>IFERROR(__xludf.DUMMYFUNCTION("""COMPUTED_VALUE"""),"Model 3 LR AWD")</f>
        <v>Model 3 LR AWD</v>
      </c>
      <c r="O1361" s="152" t="str">
        <f>IFERROR(__xludf.DUMMYFUNCTION("""COMPUTED_VALUE"""),"Pearl White Multi-Coat")</f>
        <v>Pearl White Multi-Coat</v>
      </c>
      <c r="P1361" s="153" t="str">
        <f>IFERROR(__xludf.DUMMYFUNCTION("""COMPUTED_VALUE"""),"18 inch Aero")</f>
        <v>18 inch Aero</v>
      </c>
      <c r="Q1361" s="152" t="str">
        <f>IFERROR(__xludf.DUMMYFUNCTION("""COMPUTED_VALUE"""),"White seats")</f>
        <v>White seats</v>
      </c>
      <c r="R1361" s="149" t="str">
        <f>IFERROR(__xludf.DUMMYFUNCTION("""COMPUTED_VALUE"""),"Autopilot")</f>
        <v>Autopilot</v>
      </c>
      <c r="S1361" s="149"/>
      <c r="T1361" s="145"/>
      <c r="U1361" s="145"/>
      <c r="V1361" s="145"/>
      <c r="W1361" s="136"/>
      <c r="X1361" s="137" t="str">
        <f>IFERROR(__xludf.DUMMYFUNCTION("""COMPUTED_VALUE"""),"Excellent")</f>
        <v>Excellent</v>
      </c>
      <c r="Y1361" s="138" t="str">
        <f>IFERROR(__xludf.DUMMYFUNCTION("""COMPUTED_VALUE"""),"Good")</f>
        <v>Good</v>
      </c>
      <c r="Z1361" s="138" t="str">
        <f>IFERROR(__xludf.DUMMYFUNCTION("""COMPUTED_VALUE"""),"Excellent")</f>
        <v>Excellent</v>
      </c>
      <c r="AA1361" s="138" t="str">
        <f>IFERROR(__xludf.DUMMYFUNCTION("""COMPUTED_VALUE"""),"Fair")</f>
        <v>Fair</v>
      </c>
      <c r="AB1361" s="138" t="str">
        <f>IFERROR(__xludf.DUMMYFUNCTION("""COMPUTED_VALUE"""),"Very Good")</f>
        <v>Very Good</v>
      </c>
      <c r="AC1361" s="139">
        <f>IFERROR(__xludf.DUMMYFUNCTION("""COMPUTED_VALUE"""),2.0)</f>
        <v>2</v>
      </c>
      <c r="AD1361" s="139"/>
      <c r="AE1361" s="139"/>
      <c r="AF1361" s="140"/>
      <c r="AG1361" s="136" t="str">
        <f>IFERROR(__xludf.DUMMYFUNCTION("""COMPUTED_VALUE"""),"Original delivery estimate was 7-10 weeks, but I received a text on 1/23 saying 5-10 week delivery estimate. ")</f>
        <v>Original delivery estimate was 7-10 weeks, but I received a text on 1/23 saying 5-10 week delivery estimate. </v>
      </c>
      <c r="AH1361" s="157">
        <f>IFERROR(__xludf.DUMMYFUNCTION("""COMPUTED_VALUE"""),43905.35121185185)</f>
        <v>43905.35121</v>
      </c>
      <c r="AI1361" s="138"/>
      <c r="AJ1361" s="138"/>
      <c r="AK1361" s="138"/>
      <c r="AL1361" s="142"/>
    </row>
    <row r="1362" ht="20.25" customHeight="1">
      <c r="A1362" s="155" t="str">
        <f>IFERROR(__xludf.DUMMYFUNCTION("""COMPUTED_VALUE"""),"callendurst")</f>
        <v>callendurst</v>
      </c>
      <c r="B1362" s="149" t="str">
        <f>IFERROR(__xludf.DUMMYFUNCTION("""COMPUTED_VALUE"""),"Naples")</f>
        <v>Naples</v>
      </c>
      <c r="C1362" s="149" t="str">
        <f>IFERROR(__xludf.DUMMYFUNCTION("""COMPUTED_VALUE"""),"FL")</f>
        <v>FL</v>
      </c>
      <c r="D1362" s="149" t="str">
        <f>IFERROR(__xludf.DUMMYFUNCTION("""COMPUTED_VALUE"""),"USA")</f>
        <v>USA</v>
      </c>
      <c r="E1362" s="156">
        <f>IFERROR(__xludf.DUMMYFUNCTION("""COMPUTED_VALUE"""),43849.0)</f>
        <v>43849</v>
      </c>
      <c r="F1362" s="129">
        <f>IFERROR(__xludf.DUMMYFUNCTION("""COMPUTED_VALUE"""),43888.0)</f>
        <v>43888</v>
      </c>
      <c r="G1362" s="154"/>
      <c r="H1362" s="131">
        <f>IFERROR(__xludf.DUMMYFUNCTION("""COMPUTED_VALUE"""),662829.0)</f>
        <v>662829</v>
      </c>
      <c r="I1362" s="144"/>
      <c r="J1362" s="129">
        <f>IFERROR(__xludf.DUMMYFUNCTION("""COMPUTED_VALUE"""),43907.0)</f>
        <v>43907</v>
      </c>
      <c r="K1362" s="133">
        <f>IFERROR(__xludf.DUMMYFUNCTION("""COMPUTED_VALUE"""),39.0)</f>
        <v>39</v>
      </c>
      <c r="L1362" s="133">
        <f>IFERROR(__xludf.DUMMYFUNCTION("""COMPUTED_VALUE"""),19.0)</f>
        <v>19</v>
      </c>
      <c r="M1362" s="133">
        <f>IFERROR(__xludf.DUMMYFUNCTION("""COMPUTED_VALUE"""),58.0)</f>
        <v>58</v>
      </c>
      <c r="N1362" s="152" t="str">
        <f>IFERROR(__xludf.DUMMYFUNCTION("""COMPUTED_VALUE"""),"Model 3 LR AWD")</f>
        <v>Model 3 LR AWD</v>
      </c>
      <c r="O1362" s="152" t="str">
        <f>IFERROR(__xludf.DUMMYFUNCTION("""COMPUTED_VALUE"""),"Solid Black")</f>
        <v>Solid Black</v>
      </c>
      <c r="P1362" s="153" t="str">
        <f>IFERROR(__xludf.DUMMYFUNCTION("""COMPUTED_VALUE"""),"18 inch Aero")</f>
        <v>18 inch Aero</v>
      </c>
      <c r="Q1362" s="152" t="str">
        <f>IFERROR(__xludf.DUMMYFUNCTION("""COMPUTED_VALUE"""),"Black seats")</f>
        <v>Black seats</v>
      </c>
      <c r="R1362" s="149" t="str">
        <f>IFERROR(__xludf.DUMMYFUNCTION("""COMPUTED_VALUE"""),"Full Self-Driving")</f>
        <v>Full Self-Driving</v>
      </c>
      <c r="S1362" s="149"/>
      <c r="T1362" s="145"/>
      <c r="U1362" s="145"/>
      <c r="V1362" s="145"/>
      <c r="W1362" s="136"/>
      <c r="X1362" s="137" t="str">
        <f>IFERROR(__xludf.DUMMYFUNCTION("""COMPUTED_VALUE"""),"Excellent")</f>
        <v>Excellent</v>
      </c>
      <c r="Y1362" s="138" t="str">
        <f>IFERROR(__xludf.DUMMYFUNCTION("""COMPUTED_VALUE"""),"Very Good")</f>
        <v>Very Good</v>
      </c>
      <c r="Z1362" s="138" t="str">
        <f>IFERROR(__xludf.DUMMYFUNCTION("""COMPUTED_VALUE"""),"Excellent")</f>
        <v>Excellent</v>
      </c>
      <c r="AA1362" s="138" t="str">
        <f>IFERROR(__xludf.DUMMYFUNCTION("""COMPUTED_VALUE"""),"Good")</f>
        <v>Good</v>
      </c>
      <c r="AB1362" s="138" t="str">
        <f>IFERROR(__xludf.DUMMYFUNCTION("""COMPUTED_VALUE"""),"Excellent")</f>
        <v>Excellent</v>
      </c>
      <c r="AC1362" s="139"/>
      <c r="AD1362" s="139"/>
      <c r="AE1362" s="139"/>
      <c r="AF1362" s="140"/>
      <c r="AG1362" s="136"/>
      <c r="AH1362" s="157">
        <f>IFERROR(__xludf.DUMMYFUNCTION("""COMPUTED_VALUE"""),43906.57158510416)</f>
        <v>43906.57159</v>
      </c>
      <c r="AI1362" s="138"/>
      <c r="AJ1362" s="138"/>
      <c r="AK1362" s="138"/>
      <c r="AL1362" s="142"/>
    </row>
    <row r="1363" ht="20.25" customHeight="1">
      <c r="A1363" s="155" t="str">
        <f>IFERROR(__xludf.DUMMYFUNCTION("""COMPUTED_VALUE"""),"RichBB")</f>
        <v>RichBB</v>
      </c>
      <c r="B1363" s="149" t="str">
        <f>IFERROR(__xludf.DUMMYFUNCTION("""COMPUTED_VALUE"""),"Montreal")</f>
        <v>Montreal</v>
      </c>
      <c r="C1363" s="149" t="str">
        <f>IFERROR(__xludf.DUMMYFUNCTION("""COMPUTED_VALUE"""),"QC")</f>
        <v>QC</v>
      </c>
      <c r="D1363" s="149" t="str">
        <f>IFERROR(__xludf.DUMMYFUNCTION("""COMPUTED_VALUE"""),"Canada")</f>
        <v>Canada</v>
      </c>
      <c r="E1363" s="156">
        <f>IFERROR(__xludf.DUMMYFUNCTION("""COMPUTED_VALUE"""),43849.0)</f>
        <v>43849</v>
      </c>
      <c r="F1363" s="129">
        <f>IFERROR(__xludf.DUMMYFUNCTION("""COMPUTED_VALUE"""),43877.0)</f>
        <v>43877</v>
      </c>
      <c r="G1363" s="154"/>
      <c r="H1363" s="131">
        <f>IFERROR(__xludf.DUMMYFUNCTION("""COMPUTED_VALUE"""),642955.0)</f>
        <v>642955</v>
      </c>
      <c r="I1363" s="144"/>
      <c r="J1363" s="129">
        <f>IFERROR(__xludf.DUMMYFUNCTION("""COMPUTED_VALUE"""),43890.0)</f>
        <v>43890</v>
      </c>
      <c r="K1363" s="133">
        <f>IFERROR(__xludf.DUMMYFUNCTION("""COMPUTED_VALUE"""),28.0)</f>
        <v>28</v>
      </c>
      <c r="L1363" s="133">
        <f>IFERROR(__xludf.DUMMYFUNCTION("""COMPUTED_VALUE"""),13.0)</f>
        <v>13</v>
      </c>
      <c r="M1363" s="133">
        <f>IFERROR(__xludf.DUMMYFUNCTION("""COMPUTED_VALUE"""),41.0)</f>
        <v>41</v>
      </c>
      <c r="N1363" s="152" t="str">
        <f>IFERROR(__xludf.DUMMYFUNCTION("""COMPUTED_VALUE"""),"Model 3 LR AWD")</f>
        <v>Model 3 LR AWD</v>
      </c>
      <c r="O1363" s="152" t="str">
        <f>IFERROR(__xludf.DUMMYFUNCTION("""COMPUTED_VALUE"""),"Solid Black")</f>
        <v>Solid Black</v>
      </c>
      <c r="P1363" s="153" t="str">
        <f>IFERROR(__xludf.DUMMYFUNCTION("""COMPUTED_VALUE"""),"18 inch Aero")</f>
        <v>18 inch Aero</v>
      </c>
      <c r="Q1363" s="152" t="str">
        <f>IFERROR(__xludf.DUMMYFUNCTION("""COMPUTED_VALUE"""),"Black seats")</f>
        <v>Black seats</v>
      </c>
      <c r="R1363" s="149" t="str">
        <f>IFERROR(__xludf.DUMMYFUNCTION("""COMPUTED_VALUE"""),"Autopilot")</f>
        <v>Autopilot</v>
      </c>
      <c r="S1363" s="149"/>
      <c r="T1363" s="145"/>
      <c r="U1363" s="145"/>
      <c r="V1363" s="145"/>
      <c r="W1363" s="136"/>
      <c r="X1363" s="137" t="str">
        <f>IFERROR(__xludf.DUMMYFUNCTION("""COMPUTED_VALUE"""),"Very Good")</f>
        <v>Very Good</v>
      </c>
      <c r="Y1363" s="138" t="str">
        <f>IFERROR(__xludf.DUMMYFUNCTION("""COMPUTED_VALUE"""),"Very Good")</f>
        <v>Very Good</v>
      </c>
      <c r="Z1363" s="138" t="str">
        <f>IFERROR(__xludf.DUMMYFUNCTION("""COMPUTED_VALUE"""),"Poor")</f>
        <v>Poor</v>
      </c>
      <c r="AA1363" s="138" t="str">
        <f>IFERROR(__xludf.DUMMYFUNCTION("""COMPUTED_VALUE"""),"Fair")</f>
        <v>Fair</v>
      </c>
      <c r="AB1363" s="138" t="str">
        <f>IFERROR(__xludf.DUMMYFUNCTION("""COMPUTED_VALUE"""),"Fair")</f>
        <v>Fair</v>
      </c>
      <c r="AC1363" s="139"/>
      <c r="AD1363" s="139"/>
      <c r="AE1363" s="139"/>
      <c r="AF1363" s="140"/>
      <c r="AG1363" s="136" t="str">
        <f>IFERROR(__xludf.DUMMYFUNCTION("""COMPUTED_VALUE"""),"Some minor scratches on the paint at delivery. All the cars had some. ALL OF THEM. Check your car and get it fixed people! Appt moved to Feb 29 from Mar 3. Can't say no to that! Appt scheduled on feb 18. Vin found in source code on feb 16;Text message on "&amp;"Jan 23 saying delivery would be in 4-8 weeks")</f>
        <v>Some minor scratches on the paint at delivery. All the cars had some. ALL OF THEM. Check your car and get it fixed people! Appt moved to Feb 29 from Mar 3. Can't say no to that! Appt scheduled on feb 18. Vin found in source code on feb 16;Text message on Jan 23 saying delivery would be in 4-8 weeks</v>
      </c>
      <c r="AH1363" s="157">
        <f>IFERROR(__xludf.DUMMYFUNCTION("""COMPUTED_VALUE"""),43892.4098396875)</f>
        <v>43892.40984</v>
      </c>
      <c r="AI1363" s="138"/>
      <c r="AJ1363" s="138"/>
      <c r="AK1363" s="138"/>
      <c r="AL1363" s="142"/>
    </row>
    <row r="1364" ht="20.25" customHeight="1">
      <c r="A1364" s="155" t="str">
        <f>IFERROR(__xludf.DUMMYFUNCTION("""COMPUTED_VALUE"""),"AZEV")</f>
        <v>AZEV</v>
      </c>
      <c r="B1364" s="149" t="str">
        <f>IFERROR(__xludf.DUMMYFUNCTION("""COMPUTED_VALUE"""),"Phoenix")</f>
        <v>Phoenix</v>
      </c>
      <c r="C1364" s="149" t="str">
        <f>IFERROR(__xludf.DUMMYFUNCTION("""COMPUTED_VALUE"""),"AZ")</f>
        <v>AZ</v>
      </c>
      <c r="D1364" s="149" t="str">
        <f>IFERROR(__xludf.DUMMYFUNCTION("""COMPUTED_VALUE"""),"USA")</f>
        <v>USA</v>
      </c>
      <c r="E1364" s="156">
        <f>IFERROR(__xludf.DUMMYFUNCTION("""COMPUTED_VALUE"""),43848.0)</f>
        <v>43848</v>
      </c>
      <c r="F1364" s="129">
        <f>IFERROR(__xludf.DUMMYFUNCTION("""COMPUTED_VALUE"""),43886.0)</f>
        <v>43886</v>
      </c>
      <c r="G1364" s="154"/>
      <c r="H1364" s="131">
        <f>IFERROR(__xludf.DUMMYFUNCTION("""COMPUTED_VALUE"""),651255.0)</f>
        <v>651255</v>
      </c>
      <c r="I1364" s="144" t="str">
        <f>IFERROR(__xludf.DUMMYFUNCTION("""COMPUTED_VALUE"""),"02/20")</f>
        <v>02/20</v>
      </c>
      <c r="J1364" s="129">
        <f>IFERROR(__xludf.DUMMYFUNCTION("""COMPUTED_VALUE"""),43888.0)</f>
        <v>43888</v>
      </c>
      <c r="K1364" s="133">
        <f>IFERROR(__xludf.DUMMYFUNCTION("""COMPUTED_VALUE"""),38.0)</f>
        <v>38</v>
      </c>
      <c r="L1364" s="133">
        <f>IFERROR(__xludf.DUMMYFUNCTION("""COMPUTED_VALUE"""),2.0)</f>
        <v>2</v>
      </c>
      <c r="M1364" s="133">
        <f>IFERROR(__xludf.DUMMYFUNCTION("""COMPUTED_VALUE"""),40.0)</f>
        <v>40</v>
      </c>
      <c r="N1364" s="152" t="str">
        <f>IFERROR(__xludf.DUMMYFUNCTION("""COMPUTED_VALUE"""),"Model 3 LR AWD")</f>
        <v>Model 3 LR AWD</v>
      </c>
      <c r="O1364" s="152" t="str">
        <f>IFERROR(__xludf.DUMMYFUNCTION("""COMPUTED_VALUE"""),"Pearl White Multi-Coat")</f>
        <v>Pearl White Multi-Coat</v>
      </c>
      <c r="P1364" s="153" t="str">
        <f>IFERROR(__xludf.DUMMYFUNCTION("""COMPUTED_VALUE"""),"19 inch Sport")</f>
        <v>19 inch Sport</v>
      </c>
      <c r="Q1364" s="152" t="str">
        <f>IFERROR(__xludf.DUMMYFUNCTION("""COMPUTED_VALUE"""),"Black seats")</f>
        <v>Black seats</v>
      </c>
      <c r="R1364" s="149" t="str">
        <f>IFERROR(__xludf.DUMMYFUNCTION("""COMPUTED_VALUE"""),"Full Self-Driving")</f>
        <v>Full Self-Driving</v>
      </c>
      <c r="S1364" s="149"/>
      <c r="T1364" s="145"/>
      <c r="U1364" s="145"/>
      <c r="V1364" s="145"/>
      <c r="W1364" s="136"/>
      <c r="X1364" s="137" t="str">
        <f>IFERROR(__xludf.DUMMYFUNCTION("""COMPUTED_VALUE"""),"Good")</f>
        <v>Good</v>
      </c>
      <c r="Y1364" s="138" t="str">
        <f>IFERROR(__xludf.DUMMYFUNCTION("""COMPUTED_VALUE"""),"Excellent")</f>
        <v>Excellent</v>
      </c>
      <c r="Z1364" s="138" t="str">
        <f>IFERROR(__xludf.DUMMYFUNCTION("""COMPUTED_VALUE"""),"Fair")</f>
        <v>Fair</v>
      </c>
      <c r="AA1364" s="138" t="str">
        <f>IFERROR(__xludf.DUMMYFUNCTION("""COMPUTED_VALUE"""),"Very Good")</f>
        <v>Very Good</v>
      </c>
      <c r="AB1364" s="138" t="str">
        <f>IFERROR(__xludf.DUMMYFUNCTION("""COMPUTED_VALUE"""),"Poor")</f>
        <v>Poor</v>
      </c>
      <c r="AC1364" s="139">
        <f>IFERROR(__xludf.DUMMYFUNCTION("""COMPUTED_VALUE"""),2.0)</f>
        <v>2</v>
      </c>
      <c r="AD1364" s="139">
        <f>IFERROR(__xludf.DUMMYFUNCTION("""COMPUTED_VALUE"""),1.0)</f>
        <v>1</v>
      </c>
      <c r="AE1364" s="139">
        <f>IFERROR(__xludf.DUMMYFUNCTION("""COMPUTED_VALUE"""),7.0)</f>
        <v>7</v>
      </c>
      <c r="AF1364" s="140"/>
      <c r="AG1364" s="136" t="str">
        <f>IFERROR(__xludf.DUMMYFUNCTION("""COMPUTED_VALUE"""),"Text 1/24: DD=4-8w; Text 2/6: DD=2-5w; Text 2/13: DD=2-4w. Call to SA 2/21: 1-2w. Text 2/25 to sched delivery, and VIN appeared in source code same day 2/25")</f>
        <v>Text 1/24: DD=4-8w; Text 2/6: DD=2-5w; Text 2/13: DD=2-4w. Call to SA 2/21: 1-2w. Text 2/25 to sched delivery, and VIN appeared in source code same day 2/25</v>
      </c>
      <c r="AH1364" s="157">
        <f>IFERROR(__xludf.DUMMYFUNCTION("""COMPUTED_VALUE"""),43932.62726061342)</f>
        <v>43932.62726</v>
      </c>
      <c r="AI1364" s="138"/>
      <c r="AJ1364" s="138"/>
      <c r="AK1364" s="138"/>
      <c r="AL1364" s="142"/>
    </row>
    <row r="1365" ht="20.25" customHeight="1">
      <c r="A1365" s="155" t="str">
        <f>IFERROR(__xludf.DUMMYFUNCTION("""COMPUTED_VALUE"""),"Garuda")</f>
        <v>Garuda</v>
      </c>
      <c r="B1365" s="149" t="str">
        <f>IFERROR(__xludf.DUMMYFUNCTION("""COMPUTED_VALUE"""),"Houston")</f>
        <v>Houston</v>
      </c>
      <c r="C1365" s="149" t="str">
        <f>IFERROR(__xludf.DUMMYFUNCTION("""COMPUTED_VALUE"""),"TX")</f>
        <v>TX</v>
      </c>
      <c r="D1365" s="149" t="str">
        <f>IFERROR(__xludf.DUMMYFUNCTION("""COMPUTED_VALUE"""),"USA")</f>
        <v>USA</v>
      </c>
      <c r="E1365" s="156">
        <f>IFERROR(__xludf.DUMMYFUNCTION("""COMPUTED_VALUE"""),43848.0)</f>
        <v>43848</v>
      </c>
      <c r="F1365" s="129">
        <f>IFERROR(__xludf.DUMMYFUNCTION("""COMPUTED_VALUE"""),43893.0)</f>
        <v>43893</v>
      </c>
      <c r="G1365" s="154"/>
      <c r="H1365" s="131">
        <f>IFERROR(__xludf.DUMMYFUNCTION("""COMPUTED_VALUE"""),668942.0)</f>
        <v>668942</v>
      </c>
      <c r="I1365" s="144"/>
      <c r="J1365" s="129">
        <f>IFERROR(__xludf.DUMMYFUNCTION("""COMPUTED_VALUE"""),43908.0)</f>
        <v>43908</v>
      </c>
      <c r="K1365" s="133">
        <f>IFERROR(__xludf.DUMMYFUNCTION("""COMPUTED_VALUE"""),45.0)</f>
        <v>45</v>
      </c>
      <c r="L1365" s="133">
        <f>IFERROR(__xludf.DUMMYFUNCTION("""COMPUTED_VALUE"""),15.0)</f>
        <v>15</v>
      </c>
      <c r="M1365" s="133">
        <f>IFERROR(__xludf.DUMMYFUNCTION("""COMPUTED_VALUE"""),60.0)</f>
        <v>60</v>
      </c>
      <c r="N1365" s="152" t="str">
        <f>IFERROR(__xludf.DUMMYFUNCTION("""COMPUTED_VALUE"""),"Model 3 LR AWD")</f>
        <v>Model 3 LR AWD</v>
      </c>
      <c r="O1365" s="152" t="str">
        <f>IFERROR(__xludf.DUMMYFUNCTION("""COMPUTED_VALUE"""),"Red Multi-Coat")</f>
        <v>Red Multi-Coat</v>
      </c>
      <c r="P1365" s="153" t="str">
        <f>IFERROR(__xludf.DUMMYFUNCTION("""COMPUTED_VALUE"""),"19 inch Sport")</f>
        <v>19 inch Sport</v>
      </c>
      <c r="Q1365" s="152" t="str">
        <f>IFERROR(__xludf.DUMMYFUNCTION("""COMPUTED_VALUE"""),"White seats")</f>
        <v>White seats</v>
      </c>
      <c r="R1365" s="149" t="str">
        <f>IFERROR(__xludf.DUMMYFUNCTION("""COMPUTED_VALUE"""),"Autopilot")</f>
        <v>Autopilot</v>
      </c>
      <c r="S1365" s="149"/>
      <c r="T1365" s="145"/>
      <c r="U1365" s="145"/>
      <c r="V1365" s="145"/>
      <c r="W1365" s="136"/>
      <c r="X1365" s="137" t="str">
        <f>IFERROR(__xludf.DUMMYFUNCTION("""COMPUTED_VALUE"""),"Excellent")</f>
        <v>Excellent</v>
      </c>
      <c r="Y1365" s="138" t="str">
        <f>IFERROR(__xludf.DUMMYFUNCTION("""COMPUTED_VALUE"""),"Excellent")</f>
        <v>Excellent</v>
      </c>
      <c r="Z1365" s="138" t="str">
        <f>IFERROR(__xludf.DUMMYFUNCTION("""COMPUTED_VALUE"""),"Excellent")</f>
        <v>Excellent</v>
      </c>
      <c r="AA1365" s="138" t="str">
        <f>IFERROR(__xludf.DUMMYFUNCTION("""COMPUTED_VALUE"""),"Excellent")</f>
        <v>Excellent</v>
      </c>
      <c r="AB1365" s="138" t="str">
        <f>IFERROR(__xludf.DUMMYFUNCTION("""COMPUTED_VALUE"""),"Excellent")</f>
        <v>Excellent</v>
      </c>
      <c r="AC1365" s="139"/>
      <c r="AD1365" s="139"/>
      <c r="AE1365" s="139"/>
      <c r="AF1365" s="140"/>
      <c r="AG1365" s="136" t="str">
        <f>IFERROR(__xludf.DUMMYFUNCTION("""COMPUTED_VALUE"""),"VIN in source and MVPA showed up together on 3/3")</f>
        <v>VIN in source and MVPA showed up together on 3/3</v>
      </c>
      <c r="AH1365" s="157">
        <f>IFERROR(__xludf.DUMMYFUNCTION("""COMPUTED_VALUE"""),43910.88111684028)</f>
        <v>43910.88112</v>
      </c>
      <c r="AI1365" s="138"/>
      <c r="AJ1365" s="138"/>
      <c r="AK1365" s="138"/>
      <c r="AL1365" s="142"/>
    </row>
    <row r="1366" ht="20.25" customHeight="1">
      <c r="A1366" s="155" t="str">
        <f>IFERROR(__xludf.DUMMYFUNCTION("""COMPUTED_VALUE"""),"Snowie")</f>
        <v>Snowie</v>
      </c>
      <c r="B1366" s="149" t="str">
        <f>IFERROR(__xludf.DUMMYFUNCTION("""COMPUTED_VALUE"""),"Toronto")</f>
        <v>Toronto</v>
      </c>
      <c r="C1366" s="149" t="str">
        <f>IFERROR(__xludf.DUMMYFUNCTION("""COMPUTED_VALUE"""),"ON")</f>
        <v>ON</v>
      </c>
      <c r="D1366" s="149" t="str">
        <f>IFERROR(__xludf.DUMMYFUNCTION("""COMPUTED_VALUE"""),"Canada")</f>
        <v>Canada</v>
      </c>
      <c r="E1366" s="156">
        <f>IFERROR(__xludf.DUMMYFUNCTION("""COMPUTED_VALUE"""),43848.0)</f>
        <v>43848</v>
      </c>
      <c r="F1366" s="129">
        <f>IFERROR(__xludf.DUMMYFUNCTION("""COMPUTED_VALUE"""),43849.0)</f>
        <v>43849</v>
      </c>
      <c r="G1366" s="154"/>
      <c r="H1366" s="131">
        <f>IFERROR(__xludf.DUMMYFUNCTION("""COMPUTED_VALUE"""),642933.0)</f>
        <v>642933</v>
      </c>
      <c r="I1366" s="144" t="str">
        <f>IFERROR(__xludf.DUMMYFUNCTION("""COMPUTED_VALUE"""),"12/19")</f>
        <v>12/19</v>
      </c>
      <c r="J1366" s="129">
        <f>IFERROR(__xludf.DUMMYFUNCTION("""COMPUTED_VALUE"""),43855.0)</f>
        <v>43855</v>
      </c>
      <c r="K1366" s="133">
        <f>IFERROR(__xludf.DUMMYFUNCTION("""COMPUTED_VALUE"""),1.0)</f>
        <v>1</v>
      </c>
      <c r="L1366" s="133">
        <f>IFERROR(__xludf.DUMMYFUNCTION("""COMPUTED_VALUE"""),6.0)</f>
        <v>6</v>
      </c>
      <c r="M1366" s="133">
        <f>IFERROR(__xludf.DUMMYFUNCTION("""COMPUTED_VALUE"""),7.0)</f>
        <v>7</v>
      </c>
      <c r="N1366" s="152" t="str">
        <f>IFERROR(__xludf.DUMMYFUNCTION("""COMPUTED_VALUE"""),"Model 3 LR AWD")</f>
        <v>Model 3 LR AWD</v>
      </c>
      <c r="O1366" s="152" t="str">
        <f>IFERROR(__xludf.DUMMYFUNCTION("""COMPUTED_VALUE"""),"Pearl White Multi-Coat")</f>
        <v>Pearl White Multi-Coat</v>
      </c>
      <c r="P1366" s="153" t="str">
        <f>IFERROR(__xludf.DUMMYFUNCTION("""COMPUTED_VALUE"""),"18 inch Aero")</f>
        <v>18 inch Aero</v>
      </c>
      <c r="Q1366" s="152" t="str">
        <f>IFERROR(__xludf.DUMMYFUNCTION("""COMPUTED_VALUE"""),"Black seats")</f>
        <v>Black seats</v>
      </c>
      <c r="R1366" s="149" t="str">
        <f>IFERROR(__xludf.DUMMYFUNCTION("""COMPUTED_VALUE"""),"Autopilot")</f>
        <v>Autopilot</v>
      </c>
      <c r="S1366" s="149"/>
      <c r="T1366" s="145"/>
      <c r="U1366" s="145"/>
      <c r="V1366" s="145"/>
      <c r="W1366" s="136"/>
      <c r="X1366" s="137" t="str">
        <f>IFERROR(__xludf.DUMMYFUNCTION("""COMPUTED_VALUE"""),"Good")</f>
        <v>Good</v>
      </c>
      <c r="Y1366" s="138" t="str">
        <f>IFERROR(__xludf.DUMMYFUNCTION("""COMPUTED_VALUE"""),"Very Good")</f>
        <v>Very Good</v>
      </c>
      <c r="Z1366" s="138" t="str">
        <f>IFERROR(__xludf.DUMMYFUNCTION("""COMPUTED_VALUE"""),"Very Good")</f>
        <v>Very Good</v>
      </c>
      <c r="AA1366" s="138" t="str">
        <f>IFERROR(__xludf.DUMMYFUNCTION("""COMPUTED_VALUE"""),"Very Good")</f>
        <v>Very Good</v>
      </c>
      <c r="AB1366" s="138" t="str">
        <f>IFERROR(__xludf.DUMMYFUNCTION("""COMPUTED_VALUE"""),"Excellent")</f>
        <v>Excellent</v>
      </c>
      <c r="AC1366" s="139">
        <f>IFERROR(__xludf.DUMMYFUNCTION("""COMPUTED_VALUE"""),4.0)</f>
        <v>4</v>
      </c>
      <c r="AD1366" s="139"/>
      <c r="AE1366" s="139"/>
      <c r="AF1366" s="140"/>
      <c r="AG1366" s="136"/>
      <c r="AH1366" s="157">
        <f>IFERROR(__xludf.DUMMYFUNCTION("""COMPUTED_VALUE"""),43855.91135335648)</f>
        <v>43855.91135</v>
      </c>
      <c r="AI1366" s="138"/>
      <c r="AJ1366" s="138"/>
      <c r="AK1366" s="138"/>
      <c r="AL1366" s="142"/>
    </row>
    <row r="1367" ht="20.25" customHeight="1">
      <c r="A1367" s="155" t="str">
        <f>IFERROR(__xludf.DUMMYFUNCTION("""COMPUTED_VALUE"""),"tcpilot")</f>
        <v>tcpilot</v>
      </c>
      <c r="B1367" s="149" t="str">
        <f>IFERROR(__xludf.DUMMYFUNCTION("""COMPUTED_VALUE"""),"Los Altos")</f>
        <v>Los Altos</v>
      </c>
      <c r="C1367" s="149" t="str">
        <f>IFERROR(__xludf.DUMMYFUNCTION("""COMPUTED_VALUE"""),"CA")</f>
        <v>CA</v>
      </c>
      <c r="D1367" s="149" t="str">
        <f>IFERROR(__xludf.DUMMYFUNCTION("""COMPUTED_VALUE"""),"USA")</f>
        <v>USA</v>
      </c>
      <c r="E1367" s="156">
        <f>IFERROR(__xludf.DUMMYFUNCTION("""COMPUTED_VALUE"""),43848.0)</f>
        <v>43848</v>
      </c>
      <c r="F1367" s="129">
        <f>IFERROR(__xludf.DUMMYFUNCTION("""COMPUTED_VALUE"""),43890.0)</f>
        <v>43890</v>
      </c>
      <c r="G1367" s="154"/>
      <c r="H1367" s="131">
        <f>IFERROR(__xludf.DUMMYFUNCTION("""COMPUTED_VALUE"""),641440.0)</f>
        <v>641440</v>
      </c>
      <c r="I1367" s="144"/>
      <c r="J1367" s="129">
        <f>IFERROR(__xludf.DUMMYFUNCTION("""COMPUTED_VALUE"""),43893.0)</f>
        <v>43893</v>
      </c>
      <c r="K1367" s="133">
        <f>IFERROR(__xludf.DUMMYFUNCTION("""COMPUTED_VALUE"""),42.0)</f>
        <v>42</v>
      </c>
      <c r="L1367" s="133">
        <f>IFERROR(__xludf.DUMMYFUNCTION("""COMPUTED_VALUE"""),3.0)</f>
        <v>3</v>
      </c>
      <c r="M1367" s="133">
        <f>IFERROR(__xludf.DUMMYFUNCTION("""COMPUTED_VALUE"""),45.0)</f>
        <v>45</v>
      </c>
      <c r="N1367" s="152" t="str">
        <f>IFERROR(__xludf.DUMMYFUNCTION("""COMPUTED_VALUE"""),"Model 3 Performance")</f>
        <v>Model 3 Performance</v>
      </c>
      <c r="O1367" s="152" t="str">
        <f>IFERROR(__xludf.DUMMYFUNCTION("""COMPUTED_VALUE"""),"Pearl White Multi-Coat")</f>
        <v>Pearl White Multi-Coat</v>
      </c>
      <c r="P1367" s="153" t="str">
        <f>IFERROR(__xludf.DUMMYFUNCTION("""COMPUTED_VALUE"""),"20 inch Sport")</f>
        <v>20 inch Sport</v>
      </c>
      <c r="Q1367" s="152" t="str">
        <f>IFERROR(__xludf.DUMMYFUNCTION("""COMPUTED_VALUE"""),"Black seats")</f>
        <v>Black seats</v>
      </c>
      <c r="R1367" s="149" t="str">
        <f>IFERROR(__xludf.DUMMYFUNCTION("""COMPUTED_VALUE"""),"Full Self-Driving")</f>
        <v>Full Self-Driving</v>
      </c>
      <c r="S1367" s="149"/>
      <c r="T1367" s="145"/>
      <c r="U1367" s="145"/>
      <c r="V1367" s="145"/>
      <c r="W1367" s="136"/>
      <c r="X1367" s="137" t="str">
        <f>IFERROR(__xludf.DUMMYFUNCTION("""COMPUTED_VALUE"""),"Very Good")</f>
        <v>Very Good</v>
      </c>
      <c r="Y1367" s="138" t="str">
        <f>IFERROR(__xludf.DUMMYFUNCTION("""COMPUTED_VALUE"""),"Excellent")</f>
        <v>Excellent</v>
      </c>
      <c r="Z1367" s="138" t="str">
        <f>IFERROR(__xludf.DUMMYFUNCTION("""COMPUTED_VALUE"""),"Excellent")</f>
        <v>Excellent</v>
      </c>
      <c r="AA1367" s="138" t="str">
        <f>IFERROR(__xludf.DUMMYFUNCTION("""COMPUTED_VALUE"""),"Excellent")</f>
        <v>Excellent</v>
      </c>
      <c r="AB1367" s="138" t="str">
        <f>IFERROR(__xludf.DUMMYFUNCTION("""COMPUTED_VALUE"""),"Excellent")</f>
        <v>Excellent</v>
      </c>
      <c r="AC1367" s="139"/>
      <c r="AD1367" s="139"/>
      <c r="AE1367" s="139"/>
      <c r="AF1367" s="140"/>
      <c r="AG1367" s="136" t="str">
        <f>IFERROR(__xludf.DUMMYFUNCTION("""COMPUTED_VALUE"""),"Text received 2/24/20 - build date within 2 weeks")</f>
        <v>Text received 2/24/20 - build date within 2 weeks</v>
      </c>
      <c r="AH1367" s="157">
        <f>IFERROR(__xludf.DUMMYFUNCTION("""COMPUTED_VALUE"""),43893.48204241898)</f>
        <v>43893.48204</v>
      </c>
      <c r="AI1367" s="138"/>
      <c r="AJ1367" s="138"/>
      <c r="AK1367" s="138"/>
      <c r="AL1367" s="142"/>
    </row>
    <row r="1368" ht="20.25" customHeight="1">
      <c r="A1368" s="155" t="str">
        <f>IFERROR(__xludf.DUMMYFUNCTION("""COMPUTED_VALUE"""),"BoilerSim")</f>
        <v>BoilerSim</v>
      </c>
      <c r="B1368" s="149" t="str">
        <f>IFERROR(__xludf.DUMMYFUNCTION("""COMPUTED_VALUE"""),"Orlando")</f>
        <v>Orlando</v>
      </c>
      <c r="C1368" s="149" t="str">
        <f>IFERROR(__xludf.DUMMYFUNCTION("""COMPUTED_VALUE"""),"FL")</f>
        <v>FL</v>
      </c>
      <c r="D1368" s="149" t="str">
        <f>IFERROR(__xludf.DUMMYFUNCTION("""COMPUTED_VALUE"""),"USA")</f>
        <v>USA</v>
      </c>
      <c r="E1368" s="156">
        <f>IFERROR(__xludf.DUMMYFUNCTION("""COMPUTED_VALUE"""),43847.0)</f>
        <v>43847</v>
      </c>
      <c r="F1368" s="129">
        <f>IFERROR(__xludf.DUMMYFUNCTION("""COMPUTED_VALUE"""),43890.0)</f>
        <v>43890</v>
      </c>
      <c r="G1368" s="154"/>
      <c r="H1368" s="131">
        <f>IFERROR(__xludf.DUMMYFUNCTION("""COMPUTED_VALUE"""),669555.0)</f>
        <v>669555</v>
      </c>
      <c r="I1368" s="144" t="str">
        <f>IFERROR(__xludf.DUMMYFUNCTION("""COMPUTED_VALUE"""),"02/20")</f>
        <v>02/20</v>
      </c>
      <c r="J1368" s="129">
        <f>IFERROR(__xludf.DUMMYFUNCTION("""COMPUTED_VALUE"""),43907.0)</f>
        <v>43907</v>
      </c>
      <c r="K1368" s="133">
        <f>IFERROR(__xludf.DUMMYFUNCTION("""COMPUTED_VALUE"""),43.0)</f>
        <v>43</v>
      </c>
      <c r="L1368" s="133">
        <f>IFERROR(__xludf.DUMMYFUNCTION("""COMPUTED_VALUE"""),17.0)</f>
        <v>17</v>
      </c>
      <c r="M1368" s="133">
        <f>IFERROR(__xludf.DUMMYFUNCTION("""COMPUTED_VALUE"""),60.0)</f>
        <v>60</v>
      </c>
      <c r="N1368" s="152" t="str">
        <f>IFERROR(__xludf.DUMMYFUNCTION("""COMPUTED_VALUE"""),"Model 3 Performance")</f>
        <v>Model 3 Performance</v>
      </c>
      <c r="O1368" s="152" t="str">
        <f>IFERROR(__xludf.DUMMYFUNCTION("""COMPUTED_VALUE"""),"Midnight Silver Metallic")</f>
        <v>Midnight Silver Metallic</v>
      </c>
      <c r="P1368" s="153" t="str">
        <f>IFERROR(__xludf.DUMMYFUNCTION("""COMPUTED_VALUE"""),"20 inch Sport")</f>
        <v>20 inch Sport</v>
      </c>
      <c r="Q1368" s="152" t="str">
        <f>IFERROR(__xludf.DUMMYFUNCTION("""COMPUTED_VALUE"""),"White seats")</f>
        <v>White seats</v>
      </c>
      <c r="R1368" s="149" t="str">
        <f>IFERROR(__xludf.DUMMYFUNCTION("""COMPUTED_VALUE"""),"Full Self-Driving")</f>
        <v>Full Self-Driving</v>
      </c>
      <c r="S1368" s="149"/>
      <c r="T1368" s="145"/>
      <c r="U1368" s="145"/>
      <c r="V1368" s="145"/>
      <c r="W1368" s="136"/>
      <c r="X1368" s="137" t="str">
        <f>IFERROR(__xludf.DUMMYFUNCTION("""COMPUTED_VALUE"""),"Fair")</f>
        <v>Fair</v>
      </c>
      <c r="Y1368" s="138" t="str">
        <f>IFERROR(__xludf.DUMMYFUNCTION("""COMPUTED_VALUE"""),"Very Good")</f>
        <v>Very Good</v>
      </c>
      <c r="Z1368" s="138" t="str">
        <f>IFERROR(__xludf.DUMMYFUNCTION("""COMPUTED_VALUE"""),"Excellent")</f>
        <v>Excellent</v>
      </c>
      <c r="AA1368" s="138" t="str">
        <f>IFERROR(__xludf.DUMMYFUNCTION("""COMPUTED_VALUE"""),"Good")</f>
        <v>Good</v>
      </c>
      <c r="AB1368" s="138" t="str">
        <f>IFERROR(__xludf.DUMMYFUNCTION("""COMPUTED_VALUE"""),"Good")</f>
        <v>Good</v>
      </c>
      <c r="AC1368" s="139"/>
      <c r="AD1368" s="139"/>
      <c r="AE1368" s="139"/>
      <c r="AF1368" s="140"/>
      <c r="AG1368" s="136"/>
      <c r="AH1368" s="157">
        <f>IFERROR(__xludf.DUMMYFUNCTION("""COMPUTED_VALUE"""),43907.83237561342)</f>
        <v>43907.83238</v>
      </c>
      <c r="AI1368" s="138"/>
      <c r="AJ1368" s="138"/>
      <c r="AK1368" s="138"/>
      <c r="AL1368" s="142"/>
    </row>
    <row r="1369" ht="20.25" customHeight="1">
      <c r="A1369" s="155" t="str">
        <f>IFERROR(__xludf.DUMMYFUNCTION("""COMPUTED_VALUE"""),"loho ")</f>
        <v>loho </v>
      </c>
      <c r="B1369" s="149" t="str">
        <f>IFERROR(__xludf.DUMMYFUNCTION("""COMPUTED_VALUE"""),"Santa Clara")</f>
        <v>Santa Clara</v>
      </c>
      <c r="C1369" s="149" t="str">
        <f>IFERROR(__xludf.DUMMYFUNCTION("""COMPUTED_VALUE"""),"CA")</f>
        <v>CA</v>
      </c>
      <c r="D1369" s="149" t="str">
        <f>IFERROR(__xludf.DUMMYFUNCTION("""COMPUTED_VALUE"""),"USA")</f>
        <v>USA</v>
      </c>
      <c r="E1369" s="156">
        <f>IFERROR(__xludf.DUMMYFUNCTION("""COMPUTED_VALUE"""),43847.0)</f>
        <v>43847</v>
      </c>
      <c r="F1369" s="129">
        <f>IFERROR(__xludf.DUMMYFUNCTION("""COMPUTED_VALUE"""),43900.0)</f>
        <v>43900</v>
      </c>
      <c r="G1369" s="154"/>
      <c r="H1369" s="131">
        <f>IFERROR(__xludf.DUMMYFUNCTION("""COMPUTED_VALUE"""),712755.0)</f>
        <v>712755</v>
      </c>
      <c r="I1369" s="144"/>
      <c r="J1369" s="129">
        <f>IFERROR(__xludf.DUMMYFUNCTION("""COMPUTED_VALUE"""),43902.0)</f>
        <v>43902</v>
      </c>
      <c r="K1369" s="133">
        <f>IFERROR(__xludf.DUMMYFUNCTION("""COMPUTED_VALUE"""),53.0)</f>
        <v>53</v>
      </c>
      <c r="L1369" s="133">
        <f>IFERROR(__xludf.DUMMYFUNCTION("""COMPUTED_VALUE"""),2.0)</f>
        <v>2</v>
      </c>
      <c r="M1369" s="133">
        <f>IFERROR(__xludf.DUMMYFUNCTION("""COMPUTED_VALUE"""),55.0)</f>
        <v>55</v>
      </c>
      <c r="N1369" s="152" t="str">
        <f>IFERROR(__xludf.DUMMYFUNCTION("""COMPUTED_VALUE"""),"Model 3 LR AWD")</f>
        <v>Model 3 LR AWD</v>
      </c>
      <c r="O1369" s="152" t="str">
        <f>IFERROR(__xludf.DUMMYFUNCTION("""COMPUTED_VALUE"""),"Pearl White Multi-Coat")</f>
        <v>Pearl White Multi-Coat</v>
      </c>
      <c r="P1369" s="153" t="str">
        <f>IFERROR(__xludf.DUMMYFUNCTION("""COMPUTED_VALUE"""),"18 inch Aero")</f>
        <v>18 inch Aero</v>
      </c>
      <c r="Q1369" s="152" t="str">
        <f>IFERROR(__xludf.DUMMYFUNCTION("""COMPUTED_VALUE"""),"White seats")</f>
        <v>White seats</v>
      </c>
      <c r="R1369" s="149" t="str">
        <f>IFERROR(__xludf.DUMMYFUNCTION("""COMPUTED_VALUE"""),"Full Self-Driving")</f>
        <v>Full Self-Driving</v>
      </c>
      <c r="S1369" s="149"/>
      <c r="T1369" s="145"/>
      <c r="U1369" s="145"/>
      <c r="V1369" s="145"/>
      <c r="W1369" s="136"/>
      <c r="X1369" s="137" t="str">
        <f>IFERROR(__xludf.DUMMYFUNCTION("""COMPUTED_VALUE"""),"Excellent")</f>
        <v>Excellent</v>
      </c>
      <c r="Y1369" s="138" t="str">
        <f>IFERROR(__xludf.DUMMYFUNCTION("""COMPUTED_VALUE"""),"Excellent")</f>
        <v>Excellent</v>
      </c>
      <c r="Z1369" s="138" t="str">
        <f>IFERROR(__xludf.DUMMYFUNCTION("""COMPUTED_VALUE"""),"Very Good")</f>
        <v>Very Good</v>
      </c>
      <c r="AA1369" s="138" t="str">
        <f>IFERROR(__xludf.DUMMYFUNCTION("""COMPUTED_VALUE"""),"Good")</f>
        <v>Good</v>
      </c>
      <c r="AB1369" s="138" t="str">
        <f>IFERROR(__xludf.DUMMYFUNCTION("""COMPUTED_VALUE"""),"Very Good")</f>
        <v>Very Good</v>
      </c>
      <c r="AC1369" s="139">
        <f>IFERROR(__xludf.DUMMYFUNCTION("""COMPUTED_VALUE"""),0.0)</f>
        <v>0</v>
      </c>
      <c r="AD1369" s="139">
        <f>IFERROR(__xludf.DUMMYFUNCTION("""COMPUTED_VALUE"""),0.0)</f>
        <v>0</v>
      </c>
      <c r="AE1369" s="139">
        <f>IFERROR(__xludf.DUMMYFUNCTION("""COMPUTED_VALUE"""),0.0)</f>
        <v>0</v>
      </c>
      <c r="AF1369" s="140"/>
      <c r="AG1369" s="136"/>
      <c r="AH1369" s="157">
        <f>IFERROR(__xludf.DUMMYFUNCTION("""COMPUTED_VALUE"""),43903.945325243054)</f>
        <v>43903.94533</v>
      </c>
      <c r="AI1369" s="138"/>
      <c r="AJ1369" s="138"/>
      <c r="AK1369" s="138"/>
      <c r="AL1369" s="142"/>
    </row>
    <row r="1370" ht="20.25" customHeight="1">
      <c r="A1370" s="155" t="str">
        <f>IFERROR(__xludf.DUMMYFUNCTION("""COMPUTED_VALUE"""),"tyson82225")</f>
        <v>tyson82225</v>
      </c>
      <c r="B1370" s="149" t="str">
        <f>IFERROR(__xludf.DUMMYFUNCTION("""COMPUTED_VALUE"""),"Ottawa")</f>
        <v>Ottawa</v>
      </c>
      <c r="C1370" s="149" t="str">
        <f>IFERROR(__xludf.DUMMYFUNCTION("""COMPUTED_VALUE"""),"ON")</f>
        <v>ON</v>
      </c>
      <c r="D1370" s="149" t="str">
        <f>IFERROR(__xludf.DUMMYFUNCTION("""COMPUTED_VALUE"""),"Canada")</f>
        <v>Canada</v>
      </c>
      <c r="E1370" s="156">
        <f>IFERROR(__xludf.DUMMYFUNCTION("""COMPUTED_VALUE"""),43847.0)</f>
        <v>43847</v>
      </c>
      <c r="F1370" s="129">
        <f>IFERROR(__xludf.DUMMYFUNCTION("""COMPUTED_VALUE"""),43882.0)</f>
        <v>43882</v>
      </c>
      <c r="G1370" s="154"/>
      <c r="H1370" s="131">
        <f>IFERROR(__xludf.DUMMYFUNCTION("""COMPUTED_VALUE"""),669983.0)</f>
        <v>669983</v>
      </c>
      <c r="I1370" s="144"/>
      <c r="J1370" s="129">
        <f>IFERROR(__xludf.DUMMYFUNCTION("""COMPUTED_VALUE"""),43902.0)</f>
        <v>43902</v>
      </c>
      <c r="K1370" s="133">
        <f>IFERROR(__xludf.DUMMYFUNCTION("""COMPUTED_VALUE"""),35.0)</f>
        <v>35</v>
      </c>
      <c r="L1370" s="133">
        <f>IFERROR(__xludf.DUMMYFUNCTION("""COMPUTED_VALUE"""),20.0)</f>
        <v>20</v>
      </c>
      <c r="M1370" s="133">
        <f>IFERROR(__xludf.DUMMYFUNCTION("""COMPUTED_VALUE"""),55.0)</f>
        <v>55</v>
      </c>
      <c r="N1370" s="152" t="str">
        <f>IFERROR(__xludf.DUMMYFUNCTION("""COMPUTED_VALUE"""),"Model 3 SR+")</f>
        <v>Model 3 SR+</v>
      </c>
      <c r="O1370" s="152" t="str">
        <f>IFERROR(__xludf.DUMMYFUNCTION("""COMPUTED_VALUE"""),"Pearl White Multi-Coat")</f>
        <v>Pearl White Multi-Coat</v>
      </c>
      <c r="P1370" s="153" t="str">
        <f>IFERROR(__xludf.DUMMYFUNCTION("""COMPUTED_VALUE"""),"18 inch Aero")</f>
        <v>18 inch Aero</v>
      </c>
      <c r="Q1370" s="152" t="str">
        <f>IFERROR(__xludf.DUMMYFUNCTION("""COMPUTED_VALUE"""),"Black seats")</f>
        <v>Black seats</v>
      </c>
      <c r="R1370" s="149" t="str">
        <f>IFERROR(__xludf.DUMMYFUNCTION("""COMPUTED_VALUE"""),"Autopilot")</f>
        <v>Autopilot</v>
      </c>
      <c r="S1370" s="149"/>
      <c r="T1370" s="145"/>
      <c r="U1370" s="145"/>
      <c r="V1370" s="145"/>
      <c r="W1370" s="136"/>
      <c r="X1370" s="137" t="str">
        <f>IFERROR(__xludf.DUMMYFUNCTION("""COMPUTED_VALUE"""),"Very Good")</f>
        <v>Very Good</v>
      </c>
      <c r="Y1370" s="138" t="str">
        <f>IFERROR(__xludf.DUMMYFUNCTION("""COMPUTED_VALUE"""),"Excellent")</f>
        <v>Excellent</v>
      </c>
      <c r="Z1370" s="138" t="str">
        <f>IFERROR(__xludf.DUMMYFUNCTION("""COMPUTED_VALUE"""),"Excellent")</f>
        <v>Excellent</v>
      </c>
      <c r="AA1370" s="138" t="str">
        <f>IFERROR(__xludf.DUMMYFUNCTION("""COMPUTED_VALUE"""),"Good")</f>
        <v>Good</v>
      </c>
      <c r="AB1370" s="138" t="str">
        <f>IFERROR(__xludf.DUMMYFUNCTION("""COMPUTED_VALUE"""),"Excellent")</f>
        <v>Excellent</v>
      </c>
      <c r="AC1370" s="139">
        <f>IFERROR(__xludf.DUMMYFUNCTION("""COMPUTED_VALUE"""),1.0)</f>
        <v>1</v>
      </c>
      <c r="AD1370" s="139">
        <f>IFERROR(__xludf.DUMMYFUNCTION("""COMPUTED_VALUE"""),1.0)</f>
        <v>1</v>
      </c>
      <c r="AE1370" s="139">
        <f>IFERROR(__xludf.DUMMYFUNCTION("""COMPUTED_VALUE"""),0.0)</f>
        <v>0</v>
      </c>
      <c r="AF1370" s="140"/>
      <c r="AG1370" s="136"/>
      <c r="AH1370" s="157">
        <f>IFERROR(__xludf.DUMMYFUNCTION("""COMPUTED_VALUE"""),43908.30098153935)</f>
        <v>43908.30098</v>
      </c>
      <c r="AI1370" s="138"/>
      <c r="AJ1370" s="138"/>
      <c r="AK1370" s="138"/>
      <c r="AL1370" s="142"/>
    </row>
    <row r="1371" ht="20.25" customHeight="1">
      <c r="A1371" s="155" t="str">
        <f>IFERROR(__xludf.DUMMYFUNCTION("""COMPUTED_VALUE"""),"maxQdeltaV")</f>
        <v>maxQdeltaV</v>
      </c>
      <c r="B1371" s="149" t="str">
        <f>IFERROR(__xludf.DUMMYFUNCTION("""COMPUTED_VALUE"""),"Charlotte")</f>
        <v>Charlotte</v>
      </c>
      <c r="C1371" s="149" t="str">
        <f>IFERROR(__xludf.DUMMYFUNCTION("""COMPUTED_VALUE"""),"NC")</f>
        <v>NC</v>
      </c>
      <c r="D1371" s="149" t="str">
        <f>IFERROR(__xludf.DUMMYFUNCTION("""COMPUTED_VALUE"""),"USA")</f>
        <v>USA</v>
      </c>
      <c r="E1371" s="156">
        <f>IFERROR(__xludf.DUMMYFUNCTION("""COMPUTED_VALUE"""),43846.0)</f>
        <v>43846</v>
      </c>
      <c r="F1371" s="129">
        <f>IFERROR(__xludf.DUMMYFUNCTION("""COMPUTED_VALUE"""),43863.0)</f>
        <v>43863</v>
      </c>
      <c r="G1371" s="154"/>
      <c r="H1371" s="131">
        <f>IFERROR(__xludf.DUMMYFUNCTION("""COMPUTED_VALUE"""),636775.0)</f>
        <v>636775</v>
      </c>
      <c r="I1371" s="144"/>
      <c r="J1371" s="129">
        <f>IFERROR(__xludf.DUMMYFUNCTION("""COMPUTED_VALUE"""),43867.0)</f>
        <v>43867</v>
      </c>
      <c r="K1371" s="133">
        <f>IFERROR(__xludf.DUMMYFUNCTION("""COMPUTED_VALUE"""),17.0)</f>
        <v>17</v>
      </c>
      <c r="L1371" s="133">
        <f>IFERROR(__xludf.DUMMYFUNCTION("""COMPUTED_VALUE"""),4.0)</f>
        <v>4</v>
      </c>
      <c r="M1371" s="133">
        <f>IFERROR(__xludf.DUMMYFUNCTION("""COMPUTED_VALUE"""),21.0)</f>
        <v>21</v>
      </c>
      <c r="N1371" s="152" t="str">
        <f>IFERROR(__xludf.DUMMYFUNCTION("""COMPUTED_VALUE"""),"Model 3 LR AWD")</f>
        <v>Model 3 LR AWD</v>
      </c>
      <c r="O1371" s="152" t="str">
        <f>IFERROR(__xludf.DUMMYFUNCTION("""COMPUTED_VALUE"""),"Pearl White Multi-Coat")</f>
        <v>Pearl White Multi-Coat</v>
      </c>
      <c r="P1371" s="153" t="str">
        <f>IFERROR(__xludf.DUMMYFUNCTION("""COMPUTED_VALUE"""),"18 inch Aero")</f>
        <v>18 inch Aero</v>
      </c>
      <c r="Q1371" s="152" t="str">
        <f>IFERROR(__xludf.DUMMYFUNCTION("""COMPUTED_VALUE"""),"Black seats")</f>
        <v>Black seats</v>
      </c>
      <c r="R1371" s="149" t="str">
        <f>IFERROR(__xludf.DUMMYFUNCTION("""COMPUTED_VALUE"""),"Full Self-Driving")</f>
        <v>Full Self-Driving</v>
      </c>
      <c r="S1371" s="149" t="str">
        <f>IFERROR(__xludf.DUMMYFUNCTION("""COMPUTED_VALUE"""),"Loan")</f>
        <v>Loan</v>
      </c>
      <c r="T1371" s="145" t="str">
        <f>IFERROR(__xludf.DUMMYFUNCTION("""COMPUTED_VALUE"""),"Model 3 will be my first car!")</f>
        <v>Model 3 will be my first car!</v>
      </c>
      <c r="U1371" s="145"/>
      <c r="V1371" s="145"/>
      <c r="W1371" s="136"/>
      <c r="X1371" s="137"/>
      <c r="Y1371" s="138"/>
      <c r="Z1371" s="138"/>
      <c r="AA1371" s="138"/>
      <c r="AB1371" s="138"/>
      <c r="AC1371" s="139"/>
      <c r="AD1371" s="139"/>
      <c r="AE1371" s="139"/>
      <c r="AF1371" s="140"/>
      <c r="AG1371" s="136" t="str">
        <f>IFERROR(__xludf.DUMMYFUNCTION("""COMPUTED_VALUE"""),"Text on 2/2 to schedule delivery /// Text on 1/23 - 2-6 weeks estimated delivery")</f>
        <v>Text on 2/2 to schedule delivery /// Text on 1/23 - 2-6 weeks estimated delivery</v>
      </c>
      <c r="AH1371" s="157">
        <f>IFERROR(__xludf.DUMMYFUNCTION("""COMPUTED_VALUE"""),44439.31282453704)</f>
        <v>44439.31282</v>
      </c>
      <c r="AI1371" s="138"/>
      <c r="AJ1371" s="138"/>
      <c r="AK1371" s="138"/>
      <c r="AL1371" s="142"/>
    </row>
    <row r="1372" ht="20.25" customHeight="1">
      <c r="A1372" s="155" t="str">
        <f>IFERROR(__xludf.DUMMYFUNCTION("""COMPUTED_VALUE"""),"mbbQNX")</f>
        <v>mbbQNX</v>
      </c>
      <c r="B1372" s="149" t="str">
        <f>IFERROR(__xludf.DUMMYFUNCTION("""COMPUTED_VALUE"""),"Ottawa")</f>
        <v>Ottawa</v>
      </c>
      <c r="C1372" s="149" t="str">
        <f>IFERROR(__xludf.DUMMYFUNCTION("""COMPUTED_VALUE"""),"ON")</f>
        <v>ON</v>
      </c>
      <c r="D1372" s="149" t="str">
        <f>IFERROR(__xludf.DUMMYFUNCTION("""COMPUTED_VALUE"""),"Canada")</f>
        <v>Canada</v>
      </c>
      <c r="E1372" s="156">
        <f>IFERROR(__xludf.DUMMYFUNCTION("""COMPUTED_VALUE"""),43846.0)</f>
        <v>43846</v>
      </c>
      <c r="F1372" s="129">
        <f>IFERROR(__xludf.DUMMYFUNCTION("""COMPUTED_VALUE"""),43882.0)</f>
        <v>43882</v>
      </c>
      <c r="G1372" s="154"/>
      <c r="H1372" s="131">
        <f>IFERROR(__xludf.DUMMYFUNCTION("""COMPUTED_VALUE"""),625253.0)</f>
        <v>625253</v>
      </c>
      <c r="I1372" s="144" t="str">
        <f>IFERROR(__xludf.DUMMYFUNCTION("""COMPUTED_VALUE"""),"12/19")</f>
        <v>12/19</v>
      </c>
      <c r="J1372" s="129">
        <f>IFERROR(__xludf.DUMMYFUNCTION("""COMPUTED_VALUE"""),43900.0)</f>
        <v>43900</v>
      </c>
      <c r="K1372" s="133">
        <f>IFERROR(__xludf.DUMMYFUNCTION("""COMPUTED_VALUE"""),36.0)</f>
        <v>36</v>
      </c>
      <c r="L1372" s="133">
        <f>IFERROR(__xludf.DUMMYFUNCTION("""COMPUTED_VALUE"""),18.0)</f>
        <v>18</v>
      </c>
      <c r="M1372" s="133">
        <f>IFERROR(__xludf.DUMMYFUNCTION("""COMPUTED_VALUE"""),54.0)</f>
        <v>54</v>
      </c>
      <c r="N1372" s="152" t="str">
        <f>IFERROR(__xludf.DUMMYFUNCTION("""COMPUTED_VALUE"""),"Model 3 SR+")</f>
        <v>Model 3 SR+</v>
      </c>
      <c r="O1372" s="152" t="str">
        <f>IFERROR(__xludf.DUMMYFUNCTION("""COMPUTED_VALUE"""),"Solid Black")</f>
        <v>Solid Black</v>
      </c>
      <c r="P1372" s="153" t="str">
        <f>IFERROR(__xludf.DUMMYFUNCTION("""COMPUTED_VALUE"""),"18 inch Aero")</f>
        <v>18 inch Aero</v>
      </c>
      <c r="Q1372" s="152" t="str">
        <f>IFERROR(__xludf.DUMMYFUNCTION("""COMPUTED_VALUE"""),"Black seats")</f>
        <v>Black seats</v>
      </c>
      <c r="R1372" s="149" t="str">
        <f>IFERROR(__xludf.DUMMYFUNCTION("""COMPUTED_VALUE"""),"Autopilot")</f>
        <v>Autopilot</v>
      </c>
      <c r="S1372" s="149"/>
      <c r="T1372" s="145"/>
      <c r="U1372" s="145"/>
      <c r="V1372" s="145"/>
      <c r="W1372" s="136"/>
      <c r="X1372" s="137" t="str">
        <f>IFERROR(__xludf.DUMMYFUNCTION("""COMPUTED_VALUE"""),"Excellent")</f>
        <v>Excellent</v>
      </c>
      <c r="Y1372" s="138" t="str">
        <f>IFERROR(__xludf.DUMMYFUNCTION("""COMPUTED_VALUE"""),"Excellent")</f>
        <v>Excellent</v>
      </c>
      <c r="Z1372" s="138" t="str">
        <f>IFERROR(__xludf.DUMMYFUNCTION("""COMPUTED_VALUE"""),"Excellent")</f>
        <v>Excellent</v>
      </c>
      <c r="AA1372" s="138" t="str">
        <f>IFERROR(__xludf.DUMMYFUNCTION("""COMPUTED_VALUE"""),"Very Good")</f>
        <v>Very Good</v>
      </c>
      <c r="AB1372" s="138" t="str">
        <f>IFERROR(__xludf.DUMMYFUNCTION("""COMPUTED_VALUE"""),"Good")</f>
        <v>Good</v>
      </c>
      <c r="AC1372" s="139">
        <f>IFERROR(__xludf.DUMMYFUNCTION("""COMPUTED_VALUE"""),0.0)</f>
        <v>0</v>
      </c>
      <c r="AD1372" s="139">
        <f>IFERROR(__xludf.DUMMYFUNCTION("""COMPUTED_VALUE"""),0.0)</f>
        <v>0</v>
      </c>
      <c r="AE1372" s="139"/>
      <c r="AF1372" s="140"/>
      <c r="AG1372" s="136"/>
      <c r="AH1372" s="157">
        <f>IFERROR(__xludf.DUMMYFUNCTION("""COMPUTED_VALUE"""),43900.77969525463)</f>
        <v>43900.7797</v>
      </c>
      <c r="AI1372" s="138"/>
      <c r="AJ1372" s="138"/>
      <c r="AK1372" s="138"/>
      <c r="AL1372" s="142"/>
    </row>
    <row r="1373" ht="20.25" customHeight="1">
      <c r="A1373" s="155" t="str">
        <f>IFERROR(__xludf.DUMMYFUNCTION("""COMPUTED_VALUE"""),"S3XYmontreal")</f>
        <v>S3XYmontreal</v>
      </c>
      <c r="B1373" s="149" t="str">
        <f>IFERROR(__xludf.DUMMYFUNCTION("""COMPUTED_VALUE"""),"Montreal")</f>
        <v>Montreal</v>
      </c>
      <c r="C1373" s="149" t="str">
        <f>IFERROR(__xludf.DUMMYFUNCTION("""COMPUTED_VALUE"""),"QC")</f>
        <v>QC</v>
      </c>
      <c r="D1373" s="149" t="str">
        <f>IFERROR(__xludf.DUMMYFUNCTION("""COMPUTED_VALUE"""),"Canada")</f>
        <v>Canada</v>
      </c>
      <c r="E1373" s="156">
        <f>IFERROR(__xludf.DUMMYFUNCTION("""COMPUTED_VALUE"""),43846.0)</f>
        <v>43846</v>
      </c>
      <c r="F1373" s="129">
        <f>IFERROR(__xludf.DUMMYFUNCTION("""COMPUTED_VALUE"""),43856.0)</f>
        <v>43856</v>
      </c>
      <c r="G1373" s="154"/>
      <c r="H1373" s="131">
        <f>IFERROR(__xludf.DUMMYFUNCTION("""COMPUTED_VALUE"""),648022.0)</f>
        <v>648022</v>
      </c>
      <c r="I1373" s="144" t="str">
        <f>IFERROR(__xludf.DUMMYFUNCTION("""COMPUTED_VALUE"""),"12/19")</f>
        <v>12/19</v>
      </c>
      <c r="J1373" s="129">
        <f>IFERROR(__xludf.DUMMYFUNCTION("""COMPUTED_VALUE"""),43864.0)</f>
        <v>43864</v>
      </c>
      <c r="K1373" s="133">
        <f>IFERROR(__xludf.DUMMYFUNCTION("""COMPUTED_VALUE"""),10.0)</f>
        <v>10</v>
      </c>
      <c r="L1373" s="133">
        <f>IFERROR(__xludf.DUMMYFUNCTION("""COMPUTED_VALUE"""),8.0)</f>
        <v>8</v>
      </c>
      <c r="M1373" s="133">
        <f>IFERROR(__xludf.DUMMYFUNCTION("""COMPUTED_VALUE"""),18.0)</f>
        <v>18</v>
      </c>
      <c r="N1373" s="152" t="str">
        <f>IFERROR(__xludf.DUMMYFUNCTION("""COMPUTED_VALUE"""),"Model 3 SR+")</f>
        <v>Model 3 SR+</v>
      </c>
      <c r="O1373" s="152" t="str">
        <f>IFERROR(__xludf.DUMMYFUNCTION("""COMPUTED_VALUE"""),"Pearl White Multi-Coat")</f>
        <v>Pearl White Multi-Coat</v>
      </c>
      <c r="P1373" s="153" t="str">
        <f>IFERROR(__xludf.DUMMYFUNCTION("""COMPUTED_VALUE"""),"19 inch Sport")</f>
        <v>19 inch Sport</v>
      </c>
      <c r="Q1373" s="152" t="str">
        <f>IFERROR(__xludf.DUMMYFUNCTION("""COMPUTED_VALUE"""),"Black seats")</f>
        <v>Black seats</v>
      </c>
      <c r="R1373" s="149" t="str">
        <f>IFERROR(__xludf.DUMMYFUNCTION("""COMPUTED_VALUE"""),"Autopilot")</f>
        <v>Autopilot</v>
      </c>
      <c r="S1373" s="149"/>
      <c r="T1373" s="145"/>
      <c r="U1373" s="145"/>
      <c r="V1373" s="145"/>
      <c r="W1373" s="136"/>
      <c r="X1373" s="137" t="str">
        <f>IFERROR(__xludf.DUMMYFUNCTION("""COMPUTED_VALUE"""),"Excellent")</f>
        <v>Excellent</v>
      </c>
      <c r="Y1373" s="138" t="str">
        <f>IFERROR(__xludf.DUMMYFUNCTION("""COMPUTED_VALUE"""),"Excellent")</f>
        <v>Excellent</v>
      </c>
      <c r="Z1373" s="138" t="str">
        <f>IFERROR(__xludf.DUMMYFUNCTION("""COMPUTED_VALUE"""),"Poor")</f>
        <v>Poor</v>
      </c>
      <c r="AA1373" s="138" t="str">
        <f>IFERROR(__xludf.DUMMYFUNCTION("""COMPUTED_VALUE"""),"Very Good")</f>
        <v>Very Good</v>
      </c>
      <c r="AB1373" s="138" t="str">
        <f>IFERROR(__xludf.DUMMYFUNCTION("""COMPUTED_VALUE"""),"Very Good")</f>
        <v>Very Good</v>
      </c>
      <c r="AC1373" s="139">
        <f>IFERROR(__xludf.DUMMYFUNCTION("""COMPUTED_VALUE"""),1.0)</f>
        <v>1</v>
      </c>
      <c r="AD1373" s="139"/>
      <c r="AE1373" s="139"/>
      <c r="AF1373" s="140"/>
      <c r="AG1373" s="136"/>
      <c r="AH1373" s="157">
        <f>IFERROR(__xludf.DUMMYFUNCTION("""COMPUTED_VALUE"""),43868.51293319445)</f>
        <v>43868.51293</v>
      </c>
      <c r="AI1373" s="138"/>
      <c r="AJ1373" s="138"/>
      <c r="AK1373" s="138"/>
      <c r="AL1373" s="142"/>
    </row>
    <row r="1374" ht="20.25" customHeight="1">
      <c r="A1374" s="155" t="str">
        <f>IFERROR(__xludf.DUMMYFUNCTION("""COMPUTED_VALUE"""),"trescomas")</f>
        <v>trescomas</v>
      </c>
      <c r="B1374" s="149" t="str">
        <f>IFERROR(__xludf.DUMMYFUNCTION("""COMPUTED_VALUE"""),"SF")</f>
        <v>SF</v>
      </c>
      <c r="C1374" s="149" t="str">
        <f>IFERROR(__xludf.DUMMYFUNCTION("""COMPUTED_VALUE"""),"CA")</f>
        <v>CA</v>
      </c>
      <c r="D1374" s="149" t="str">
        <f>IFERROR(__xludf.DUMMYFUNCTION("""COMPUTED_VALUE"""),"USA")</f>
        <v>USA</v>
      </c>
      <c r="E1374" s="156">
        <f>IFERROR(__xludf.DUMMYFUNCTION("""COMPUTED_VALUE"""),43846.0)</f>
        <v>43846</v>
      </c>
      <c r="F1374" s="129">
        <f>IFERROR(__xludf.DUMMYFUNCTION("""COMPUTED_VALUE"""),43885.0)</f>
        <v>43885</v>
      </c>
      <c r="G1374" s="154"/>
      <c r="H1374" s="131">
        <f>IFERROR(__xludf.DUMMYFUNCTION("""COMPUTED_VALUE"""),636935.0)</f>
        <v>636935</v>
      </c>
      <c r="I1374" s="144"/>
      <c r="J1374" s="129">
        <f>IFERROR(__xludf.DUMMYFUNCTION("""COMPUTED_VALUE"""),43888.0)</f>
        <v>43888</v>
      </c>
      <c r="K1374" s="133">
        <f>IFERROR(__xludf.DUMMYFUNCTION("""COMPUTED_VALUE"""),39.0)</f>
        <v>39</v>
      </c>
      <c r="L1374" s="133">
        <f>IFERROR(__xludf.DUMMYFUNCTION("""COMPUTED_VALUE"""),3.0)</f>
        <v>3</v>
      </c>
      <c r="M1374" s="133">
        <f>IFERROR(__xludf.DUMMYFUNCTION("""COMPUTED_VALUE"""),42.0)</f>
        <v>42</v>
      </c>
      <c r="N1374" s="152" t="str">
        <f>IFERROR(__xludf.DUMMYFUNCTION("""COMPUTED_VALUE"""),"Model 3 LR AWD")</f>
        <v>Model 3 LR AWD</v>
      </c>
      <c r="O1374" s="152" t="str">
        <f>IFERROR(__xludf.DUMMYFUNCTION("""COMPUTED_VALUE"""),"Pearl White Multi-Coat")</f>
        <v>Pearl White Multi-Coat</v>
      </c>
      <c r="P1374" s="153" t="str">
        <f>IFERROR(__xludf.DUMMYFUNCTION("""COMPUTED_VALUE"""),"18 inch Aero")</f>
        <v>18 inch Aero</v>
      </c>
      <c r="Q1374" s="152" t="str">
        <f>IFERROR(__xludf.DUMMYFUNCTION("""COMPUTED_VALUE"""),"Black seats")</f>
        <v>Black seats</v>
      </c>
      <c r="R1374" s="149" t="str">
        <f>IFERROR(__xludf.DUMMYFUNCTION("""COMPUTED_VALUE"""),"Autopilot")</f>
        <v>Autopilot</v>
      </c>
      <c r="S1374" s="149"/>
      <c r="T1374" s="145"/>
      <c r="U1374" s="145"/>
      <c r="V1374" s="145"/>
      <c r="W1374" s="136"/>
      <c r="X1374" s="137" t="str">
        <f>IFERROR(__xludf.DUMMYFUNCTION("""COMPUTED_VALUE"""),"Very Good")</f>
        <v>Very Good</v>
      </c>
      <c r="Y1374" s="138" t="str">
        <f>IFERROR(__xludf.DUMMYFUNCTION("""COMPUTED_VALUE"""),"Very Good")</f>
        <v>Very Good</v>
      </c>
      <c r="Z1374" s="138" t="str">
        <f>IFERROR(__xludf.DUMMYFUNCTION("""COMPUTED_VALUE"""),"Very Good")</f>
        <v>Very Good</v>
      </c>
      <c r="AA1374" s="138" t="str">
        <f>IFERROR(__xludf.DUMMYFUNCTION("""COMPUTED_VALUE"""),"Very Good")</f>
        <v>Very Good</v>
      </c>
      <c r="AB1374" s="138" t="str">
        <f>IFERROR(__xludf.DUMMYFUNCTION("""COMPUTED_VALUE"""),"Very Good")</f>
        <v>Very Good</v>
      </c>
      <c r="AC1374" s="139"/>
      <c r="AD1374" s="139"/>
      <c r="AE1374" s="139"/>
      <c r="AF1374" s="140"/>
      <c r="AG1374" s="136" t="str">
        <f>IFERROR(__xludf.DUMMYFUNCTION("""COMPUTED_VALUE"""),"Text on 1/24 - Estimated delivery in 1-5 weeks.")</f>
        <v>Text on 1/24 - Estimated delivery in 1-5 weeks.</v>
      </c>
      <c r="AH1374" s="157">
        <f>IFERROR(__xludf.DUMMYFUNCTION("""COMPUTED_VALUE"""),43888.68282960648)</f>
        <v>43888.68283</v>
      </c>
      <c r="AI1374" s="138"/>
      <c r="AJ1374" s="138"/>
      <c r="AK1374" s="138"/>
      <c r="AL1374" s="142"/>
    </row>
    <row r="1375" ht="20.25" customHeight="1">
      <c r="A1375" s="155" t="str">
        <f>IFERROR(__xludf.DUMMYFUNCTION("""COMPUTED_VALUE"""),"wendy1969")</f>
        <v>wendy1969</v>
      </c>
      <c r="B1375" s="149" t="str">
        <f>IFERROR(__xludf.DUMMYFUNCTION("""COMPUTED_VALUE"""),"Redondo Beach")</f>
        <v>Redondo Beach</v>
      </c>
      <c r="C1375" s="149" t="str">
        <f>IFERROR(__xludf.DUMMYFUNCTION("""COMPUTED_VALUE"""),"CA")</f>
        <v>CA</v>
      </c>
      <c r="D1375" s="149" t="str">
        <f>IFERROR(__xludf.DUMMYFUNCTION("""COMPUTED_VALUE"""),"USA")</f>
        <v>USA</v>
      </c>
      <c r="E1375" s="156">
        <f>IFERROR(__xludf.DUMMYFUNCTION("""COMPUTED_VALUE"""),43845.0)</f>
        <v>43845</v>
      </c>
      <c r="F1375" s="129">
        <f>IFERROR(__xludf.DUMMYFUNCTION("""COMPUTED_VALUE"""),43882.0)</f>
        <v>43882</v>
      </c>
      <c r="G1375" s="154"/>
      <c r="H1375" s="131">
        <f>IFERROR(__xludf.DUMMYFUNCTION("""COMPUTED_VALUE"""),639547.0)</f>
        <v>639547</v>
      </c>
      <c r="I1375" s="144"/>
      <c r="J1375" s="129">
        <f>IFERROR(__xludf.DUMMYFUNCTION("""COMPUTED_VALUE"""),43884.0)</f>
        <v>43884</v>
      </c>
      <c r="K1375" s="133">
        <f>IFERROR(__xludf.DUMMYFUNCTION("""COMPUTED_VALUE"""),37.0)</f>
        <v>37</v>
      </c>
      <c r="L1375" s="133">
        <f>IFERROR(__xludf.DUMMYFUNCTION("""COMPUTED_VALUE"""),2.0)</f>
        <v>2</v>
      </c>
      <c r="M1375" s="133">
        <f>IFERROR(__xludf.DUMMYFUNCTION("""COMPUTED_VALUE"""),39.0)</f>
        <v>39</v>
      </c>
      <c r="N1375" s="152" t="str">
        <f>IFERROR(__xludf.DUMMYFUNCTION("""COMPUTED_VALUE"""),"Model 3 LR AWD")</f>
        <v>Model 3 LR AWD</v>
      </c>
      <c r="O1375" s="152" t="str">
        <f>IFERROR(__xludf.DUMMYFUNCTION("""COMPUTED_VALUE"""),"Pearl White Multi-Coat")</f>
        <v>Pearl White Multi-Coat</v>
      </c>
      <c r="P1375" s="153" t="str">
        <f>IFERROR(__xludf.DUMMYFUNCTION("""COMPUTED_VALUE"""),"18 inch Aero")</f>
        <v>18 inch Aero</v>
      </c>
      <c r="Q1375" s="152" t="str">
        <f>IFERROR(__xludf.DUMMYFUNCTION("""COMPUTED_VALUE"""),"White seats")</f>
        <v>White seats</v>
      </c>
      <c r="R1375" s="149" t="str">
        <f>IFERROR(__xludf.DUMMYFUNCTION("""COMPUTED_VALUE"""),"Autopilot")</f>
        <v>Autopilot</v>
      </c>
      <c r="S1375" s="149"/>
      <c r="T1375" s="145"/>
      <c r="U1375" s="145"/>
      <c r="V1375" s="145"/>
      <c r="W1375" s="136"/>
      <c r="X1375" s="137" t="str">
        <f>IFERROR(__xludf.DUMMYFUNCTION("""COMPUTED_VALUE"""),"Excellent")</f>
        <v>Excellent</v>
      </c>
      <c r="Y1375" s="138" t="str">
        <f>IFERROR(__xludf.DUMMYFUNCTION("""COMPUTED_VALUE"""),"Excellent")</f>
        <v>Excellent</v>
      </c>
      <c r="Z1375" s="138" t="str">
        <f>IFERROR(__xludf.DUMMYFUNCTION("""COMPUTED_VALUE"""),"Excellent")</f>
        <v>Excellent</v>
      </c>
      <c r="AA1375" s="138" t="str">
        <f>IFERROR(__xludf.DUMMYFUNCTION("""COMPUTED_VALUE"""),"Fair")</f>
        <v>Fair</v>
      </c>
      <c r="AB1375" s="138" t="str">
        <f>IFERROR(__xludf.DUMMYFUNCTION("""COMPUTED_VALUE"""),"Excellent")</f>
        <v>Excellent</v>
      </c>
      <c r="AC1375" s="139"/>
      <c r="AD1375" s="139"/>
      <c r="AE1375" s="139"/>
      <c r="AF1375" s="140"/>
      <c r="AG1375" s="136"/>
      <c r="AH1375" s="157">
        <f>IFERROR(__xludf.DUMMYFUNCTION("""COMPUTED_VALUE"""),43885.60772487269)</f>
        <v>43885.60772</v>
      </c>
      <c r="AI1375" s="138"/>
      <c r="AJ1375" s="138"/>
      <c r="AK1375" s="138"/>
      <c r="AL1375" s="142"/>
    </row>
    <row r="1376" ht="20.25" customHeight="1">
      <c r="A1376" s="155" t="str">
        <f>IFERROR(__xludf.DUMMYFUNCTION("""COMPUTED_VALUE"""),"baronlf")</f>
        <v>baronlf</v>
      </c>
      <c r="B1376" s="149" t="str">
        <f>IFERROR(__xludf.DUMMYFUNCTION("""COMPUTED_VALUE"""),"Miami")</f>
        <v>Miami</v>
      </c>
      <c r="C1376" s="149" t="str">
        <f>IFERROR(__xludf.DUMMYFUNCTION("""COMPUTED_VALUE"""),"FL")</f>
        <v>FL</v>
      </c>
      <c r="D1376" s="149" t="str">
        <f>IFERROR(__xludf.DUMMYFUNCTION("""COMPUTED_VALUE"""),"USA")</f>
        <v>USA</v>
      </c>
      <c r="E1376" s="156">
        <f>IFERROR(__xludf.DUMMYFUNCTION("""COMPUTED_VALUE"""),43844.0)</f>
        <v>43844</v>
      </c>
      <c r="F1376" s="129">
        <f>IFERROR(__xludf.DUMMYFUNCTION("""COMPUTED_VALUE"""),43878.0)</f>
        <v>43878</v>
      </c>
      <c r="G1376" s="154"/>
      <c r="H1376" s="131">
        <f>IFERROR(__xludf.DUMMYFUNCTION("""COMPUTED_VALUE"""),631090.0)</f>
        <v>631090</v>
      </c>
      <c r="I1376" s="144"/>
      <c r="J1376" s="129">
        <f>IFERROR(__xludf.DUMMYFUNCTION("""COMPUTED_VALUE"""),43889.0)</f>
        <v>43889</v>
      </c>
      <c r="K1376" s="133">
        <f>IFERROR(__xludf.DUMMYFUNCTION("""COMPUTED_VALUE"""),34.0)</f>
        <v>34</v>
      </c>
      <c r="L1376" s="133">
        <f>IFERROR(__xludf.DUMMYFUNCTION("""COMPUTED_VALUE"""),11.0)</f>
        <v>11</v>
      </c>
      <c r="M1376" s="133">
        <f>IFERROR(__xludf.DUMMYFUNCTION("""COMPUTED_VALUE"""),45.0)</f>
        <v>45</v>
      </c>
      <c r="N1376" s="152" t="str">
        <f>IFERROR(__xludf.DUMMYFUNCTION("""COMPUTED_VALUE"""),"Model 3 SR+")</f>
        <v>Model 3 SR+</v>
      </c>
      <c r="O1376" s="152" t="str">
        <f>IFERROR(__xludf.DUMMYFUNCTION("""COMPUTED_VALUE"""),"Deep Blue Metallic")</f>
        <v>Deep Blue Metallic</v>
      </c>
      <c r="P1376" s="153" t="str">
        <f>IFERROR(__xludf.DUMMYFUNCTION("""COMPUTED_VALUE"""),"18 inch Aero")</f>
        <v>18 inch Aero</v>
      </c>
      <c r="Q1376" s="152" t="str">
        <f>IFERROR(__xludf.DUMMYFUNCTION("""COMPUTED_VALUE"""),"Black seats")</f>
        <v>Black seats</v>
      </c>
      <c r="R1376" s="149" t="str">
        <f>IFERROR(__xludf.DUMMYFUNCTION("""COMPUTED_VALUE"""),"Autopilot")</f>
        <v>Autopilot</v>
      </c>
      <c r="S1376" s="149"/>
      <c r="T1376" s="145"/>
      <c r="U1376" s="145"/>
      <c r="V1376" s="145"/>
      <c r="W1376" s="136"/>
      <c r="X1376" s="137" t="str">
        <f>IFERROR(__xludf.DUMMYFUNCTION("""COMPUTED_VALUE"""),"Excellent")</f>
        <v>Excellent</v>
      </c>
      <c r="Y1376" s="138" t="str">
        <f>IFERROR(__xludf.DUMMYFUNCTION("""COMPUTED_VALUE"""),"Excellent")</f>
        <v>Excellent</v>
      </c>
      <c r="Z1376" s="138" t="str">
        <f>IFERROR(__xludf.DUMMYFUNCTION("""COMPUTED_VALUE"""),"Excellent")</f>
        <v>Excellent</v>
      </c>
      <c r="AA1376" s="138" t="str">
        <f>IFERROR(__xludf.DUMMYFUNCTION("""COMPUTED_VALUE"""),"Excellent")</f>
        <v>Excellent</v>
      </c>
      <c r="AB1376" s="138" t="str">
        <f>IFERROR(__xludf.DUMMYFUNCTION("""COMPUTED_VALUE"""),"Good")</f>
        <v>Good</v>
      </c>
      <c r="AC1376" s="139">
        <f>IFERROR(__xludf.DUMMYFUNCTION("""COMPUTED_VALUE"""),0.0)</f>
        <v>0</v>
      </c>
      <c r="AD1376" s="139"/>
      <c r="AE1376" s="139"/>
      <c r="AF1376" s="140"/>
      <c r="AG1376" s="136" t="str">
        <f>IFERROR(__xludf.DUMMYFUNCTION("""COMPUTED_VALUE"""),"Delivered 2/28/20")</f>
        <v>Delivered 2/28/20</v>
      </c>
      <c r="AH1376" s="157">
        <f>IFERROR(__xludf.DUMMYFUNCTION("""COMPUTED_VALUE"""),43890.47559108796)</f>
        <v>43890.47559</v>
      </c>
      <c r="AI1376" s="138"/>
      <c r="AJ1376" s="138"/>
      <c r="AK1376" s="138"/>
      <c r="AL1376" s="142"/>
    </row>
    <row r="1377" ht="20.25" customHeight="1">
      <c r="A1377" s="155" t="str">
        <f>IFERROR(__xludf.DUMMYFUNCTION("""COMPUTED_VALUE"""),"BlueSteel24")</f>
        <v>BlueSteel24</v>
      </c>
      <c r="B1377" s="149" t="str">
        <f>IFERROR(__xludf.DUMMYFUNCTION("""COMPUTED_VALUE"""),"PDX Area")</f>
        <v>PDX Area</v>
      </c>
      <c r="C1377" s="149" t="str">
        <f>IFERROR(__xludf.DUMMYFUNCTION("""COMPUTED_VALUE"""),"WA")</f>
        <v>WA</v>
      </c>
      <c r="D1377" s="149" t="str">
        <f>IFERROR(__xludf.DUMMYFUNCTION("""COMPUTED_VALUE"""),"USA")</f>
        <v>USA</v>
      </c>
      <c r="E1377" s="156">
        <f>IFERROR(__xludf.DUMMYFUNCTION("""COMPUTED_VALUE"""),43842.0)</f>
        <v>43842</v>
      </c>
      <c r="F1377" s="129">
        <f>IFERROR(__xludf.DUMMYFUNCTION("""COMPUTED_VALUE"""),43890.0)</f>
        <v>43890</v>
      </c>
      <c r="G1377" s="154"/>
      <c r="H1377" s="131">
        <f>IFERROR(__xludf.DUMMYFUNCTION("""COMPUTED_VALUE"""),647082.0)</f>
        <v>647082</v>
      </c>
      <c r="I1377" s="144"/>
      <c r="J1377" s="129">
        <f>IFERROR(__xludf.DUMMYFUNCTION("""COMPUTED_VALUE"""),43894.0)</f>
        <v>43894</v>
      </c>
      <c r="K1377" s="133">
        <f>IFERROR(__xludf.DUMMYFUNCTION("""COMPUTED_VALUE"""),48.0)</f>
        <v>48</v>
      </c>
      <c r="L1377" s="133">
        <f>IFERROR(__xludf.DUMMYFUNCTION("""COMPUTED_VALUE"""),4.0)</f>
        <v>4</v>
      </c>
      <c r="M1377" s="133">
        <f>IFERROR(__xludf.DUMMYFUNCTION("""COMPUTED_VALUE"""),52.0)</f>
        <v>52</v>
      </c>
      <c r="N1377" s="152" t="str">
        <f>IFERROR(__xludf.DUMMYFUNCTION("""COMPUTED_VALUE"""),"Model 3 Performance")</f>
        <v>Model 3 Performance</v>
      </c>
      <c r="O1377" s="152" t="str">
        <f>IFERROR(__xludf.DUMMYFUNCTION("""COMPUTED_VALUE"""),"Deep Blue Metallic")</f>
        <v>Deep Blue Metallic</v>
      </c>
      <c r="P1377" s="153" t="str">
        <f>IFERROR(__xludf.DUMMYFUNCTION("""COMPUTED_VALUE"""),"20 inch Sport")</f>
        <v>20 inch Sport</v>
      </c>
      <c r="Q1377" s="152" t="str">
        <f>IFERROR(__xludf.DUMMYFUNCTION("""COMPUTED_VALUE"""),"Black seats")</f>
        <v>Black seats</v>
      </c>
      <c r="R1377" s="149" t="str">
        <f>IFERROR(__xludf.DUMMYFUNCTION("""COMPUTED_VALUE"""),"Full Self-Driving")</f>
        <v>Full Self-Driving</v>
      </c>
      <c r="S1377" s="149"/>
      <c r="T1377" s="145"/>
      <c r="U1377" s="145"/>
      <c r="V1377" s="145"/>
      <c r="W1377" s="136"/>
      <c r="X1377" s="137" t="str">
        <f>IFERROR(__xludf.DUMMYFUNCTION("""COMPUTED_VALUE"""),"Excellent")</f>
        <v>Excellent</v>
      </c>
      <c r="Y1377" s="138" t="str">
        <f>IFERROR(__xludf.DUMMYFUNCTION("""COMPUTED_VALUE"""),"Excellent")</f>
        <v>Excellent</v>
      </c>
      <c r="Z1377" s="138" t="str">
        <f>IFERROR(__xludf.DUMMYFUNCTION("""COMPUTED_VALUE"""),"Excellent")</f>
        <v>Excellent</v>
      </c>
      <c r="AA1377" s="138" t="str">
        <f>IFERROR(__xludf.DUMMYFUNCTION("""COMPUTED_VALUE"""),"Good")</f>
        <v>Good</v>
      </c>
      <c r="AB1377" s="138" t="str">
        <f>IFERROR(__xludf.DUMMYFUNCTION("""COMPUTED_VALUE"""),"Excellent")</f>
        <v>Excellent</v>
      </c>
      <c r="AC1377" s="139"/>
      <c r="AD1377" s="139"/>
      <c r="AE1377" s="139"/>
      <c r="AF1377" s="140"/>
      <c r="AG1377" s="136" t="str">
        <f>IFERROR(__xludf.DUMMYFUNCTION("""COMPUTED_VALUE"""),"Picked up on 3/4!! 2/30 - Scheduled delivery -- 2/29 - VIN in source --- 2/24 text: 2-5 weeks --- 2/6 text: 4-7 weeks --- 1/23 text: 4-10 weeks")</f>
        <v>Picked up on 3/4!! 2/30 - Scheduled delivery -- 2/29 - VIN in source --- 2/24 text: 2-5 weeks --- 2/6 text: 4-7 weeks --- 1/23 text: 4-10 weeks</v>
      </c>
      <c r="AH1377" s="157">
        <f>IFERROR(__xludf.DUMMYFUNCTION("""COMPUTED_VALUE"""),43894.86278260416)</f>
        <v>43894.86278</v>
      </c>
      <c r="AI1377" s="138"/>
      <c r="AJ1377" s="138"/>
      <c r="AK1377" s="138"/>
      <c r="AL1377" s="142"/>
    </row>
    <row r="1378" ht="20.25" customHeight="1">
      <c r="A1378" s="155" t="str">
        <f>IFERROR(__xludf.DUMMYFUNCTION("""COMPUTED_VALUE"""),"dreamgt")</f>
        <v>dreamgt</v>
      </c>
      <c r="B1378" s="149" t="str">
        <f>IFERROR(__xludf.DUMMYFUNCTION("""COMPUTED_VALUE"""),"Los Angeles")</f>
        <v>Los Angeles</v>
      </c>
      <c r="C1378" s="149" t="str">
        <f>IFERROR(__xludf.DUMMYFUNCTION("""COMPUTED_VALUE"""),"CA")</f>
        <v>CA</v>
      </c>
      <c r="D1378" s="149" t="str">
        <f>IFERROR(__xludf.DUMMYFUNCTION("""COMPUTED_VALUE"""),"USA")</f>
        <v>USA</v>
      </c>
      <c r="E1378" s="156">
        <f>IFERROR(__xludf.DUMMYFUNCTION("""COMPUTED_VALUE"""),43842.0)</f>
        <v>43842</v>
      </c>
      <c r="F1378" s="129">
        <f>IFERROR(__xludf.DUMMYFUNCTION("""COMPUTED_VALUE"""),43850.0)</f>
        <v>43850</v>
      </c>
      <c r="G1378" s="154"/>
      <c r="H1378" s="131">
        <f>IFERROR(__xludf.DUMMYFUNCTION("""COMPUTED_VALUE"""),646985.0)</f>
        <v>646985</v>
      </c>
      <c r="I1378" s="144"/>
      <c r="J1378" s="129">
        <f>IFERROR(__xludf.DUMMYFUNCTION("""COMPUTED_VALUE"""),43851.0)</f>
        <v>43851</v>
      </c>
      <c r="K1378" s="133">
        <f>IFERROR(__xludf.DUMMYFUNCTION("""COMPUTED_VALUE"""),8.0)</f>
        <v>8</v>
      </c>
      <c r="L1378" s="133">
        <f>IFERROR(__xludf.DUMMYFUNCTION("""COMPUTED_VALUE"""),1.0)</f>
        <v>1</v>
      </c>
      <c r="M1378" s="133">
        <f>IFERROR(__xludf.DUMMYFUNCTION("""COMPUTED_VALUE"""),9.0)</f>
        <v>9</v>
      </c>
      <c r="N1378" s="152" t="str">
        <f>IFERROR(__xludf.DUMMYFUNCTION("""COMPUTED_VALUE"""),"Model 3 Performance")</f>
        <v>Model 3 Performance</v>
      </c>
      <c r="O1378" s="152" t="str">
        <f>IFERROR(__xludf.DUMMYFUNCTION("""COMPUTED_VALUE"""),"Pearl White Multi-Coat")</f>
        <v>Pearl White Multi-Coat</v>
      </c>
      <c r="P1378" s="153" t="str">
        <f>IFERROR(__xludf.DUMMYFUNCTION("""COMPUTED_VALUE"""),"20 inch Sport")</f>
        <v>20 inch Sport</v>
      </c>
      <c r="Q1378" s="152" t="str">
        <f>IFERROR(__xludf.DUMMYFUNCTION("""COMPUTED_VALUE"""),"Black seats")</f>
        <v>Black seats</v>
      </c>
      <c r="R1378" s="149" t="str">
        <f>IFERROR(__xludf.DUMMYFUNCTION("""COMPUTED_VALUE"""),"Autopilot")</f>
        <v>Autopilot</v>
      </c>
      <c r="S1378" s="149"/>
      <c r="T1378" s="145"/>
      <c r="U1378" s="145"/>
      <c r="V1378" s="145"/>
      <c r="W1378" s="136"/>
      <c r="X1378" s="137" t="str">
        <f>IFERROR(__xludf.DUMMYFUNCTION("""COMPUTED_VALUE"""),"Very Good")</f>
        <v>Very Good</v>
      </c>
      <c r="Y1378" s="138" t="str">
        <f>IFERROR(__xludf.DUMMYFUNCTION("""COMPUTED_VALUE"""),"Excellent")</f>
        <v>Excellent</v>
      </c>
      <c r="Z1378" s="138" t="str">
        <f>IFERROR(__xludf.DUMMYFUNCTION("""COMPUTED_VALUE"""),"Excellent")</f>
        <v>Excellent</v>
      </c>
      <c r="AA1378" s="138" t="str">
        <f>IFERROR(__xludf.DUMMYFUNCTION("""COMPUTED_VALUE"""),"Excellent")</f>
        <v>Excellent</v>
      </c>
      <c r="AB1378" s="138" t="str">
        <f>IFERROR(__xludf.DUMMYFUNCTION("""COMPUTED_VALUE"""),"Excellent")</f>
        <v>Excellent</v>
      </c>
      <c r="AC1378" s="139"/>
      <c r="AD1378" s="139"/>
      <c r="AE1378" s="139"/>
      <c r="AF1378" s="140"/>
      <c r="AG1378" s="136" t="str">
        <f>IFERROR(__xludf.DUMMYFUNCTION("""COMPUTED_VALUE"""),"Original recipient decided to forgo delivery on 1-18, I was matched a couple of days later with delivery scheduled for 1/23. I called a SA and asked if I could pick up the car 1/21 instead. Burbank location reached out to me a few hours later to pickup fo"&amp;"r 3:30pm on 1/21.")</f>
        <v>Original recipient decided to forgo delivery on 1-18, I was matched a couple of days later with delivery scheduled for 1/23. I called a SA and asked if I could pick up the car 1/21 instead. Burbank location reached out to me a few hours later to pickup for 3:30pm on 1/21.</v>
      </c>
      <c r="AH1378" s="157">
        <f>IFERROR(__xludf.DUMMYFUNCTION("""COMPUTED_VALUE"""),43852.48482221065)</f>
        <v>43852.48482</v>
      </c>
      <c r="AI1378" s="138"/>
      <c r="AJ1378" s="138"/>
      <c r="AK1378" s="138"/>
      <c r="AL1378" s="142"/>
    </row>
    <row r="1379" ht="20.25" customHeight="1">
      <c r="A1379" s="155" t="str">
        <f>IFERROR(__xludf.DUMMYFUNCTION("""COMPUTED_VALUE"""),"Mintyish")</f>
        <v>Mintyish</v>
      </c>
      <c r="B1379" s="149" t="str">
        <f>IFERROR(__xludf.DUMMYFUNCTION("""COMPUTED_VALUE"""),"Auckland, New Zealand")</f>
        <v>Auckland, New Zealand</v>
      </c>
      <c r="C1379" s="149"/>
      <c r="D1379" s="149" t="str">
        <f>IFERROR(__xludf.DUMMYFUNCTION("""COMPUTED_VALUE"""),"Other (include country together with city)")</f>
        <v>Other (include country together with city)</v>
      </c>
      <c r="E1379" s="156">
        <f>IFERROR(__xludf.DUMMYFUNCTION("""COMPUTED_VALUE"""),43842.0)</f>
        <v>43842</v>
      </c>
      <c r="F1379" s="129">
        <f>IFERROR(__xludf.DUMMYFUNCTION("""COMPUTED_VALUE"""),43844.0)</f>
        <v>43844</v>
      </c>
      <c r="G1379" s="154"/>
      <c r="H1379" s="131">
        <f>IFERROR(__xludf.DUMMYFUNCTION("""COMPUTED_VALUE"""),589816.0)</f>
        <v>589816</v>
      </c>
      <c r="I1379" s="144" t="str">
        <f>IFERROR(__xludf.DUMMYFUNCTION("""COMPUTED_VALUE"""),"10/19")</f>
        <v>10/19</v>
      </c>
      <c r="J1379" s="129">
        <f>IFERROR(__xludf.DUMMYFUNCTION("""COMPUTED_VALUE"""),43851.0)</f>
        <v>43851</v>
      </c>
      <c r="K1379" s="133">
        <f>IFERROR(__xludf.DUMMYFUNCTION("""COMPUTED_VALUE"""),2.0)</f>
        <v>2</v>
      </c>
      <c r="L1379" s="133">
        <f>IFERROR(__xludf.DUMMYFUNCTION("""COMPUTED_VALUE"""),7.0)</f>
        <v>7</v>
      </c>
      <c r="M1379" s="133">
        <f>IFERROR(__xludf.DUMMYFUNCTION("""COMPUTED_VALUE"""),9.0)</f>
        <v>9</v>
      </c>
      <c r="N1379" s="152" t="str">
        <f>IFERROR(__xludf.DUMMYFUNCTION("""COMPUTED_VALUE"""),"Model 3 SR+")</f>
        <v>Model 3 SR+</v>
      </c>
      <c r="O1379" s="152" t="str">
        <f>IFERROR(__xludf.DUMMYFUNCTION("""COMPUTED_VALUE"""),"Midnight Silver Metallic")</f>
        <v>Midnight Silver Metallic</v>
      </c>
      <c r="P1379" s="153" t="str">
        <f>IFERROR(__xludf.DUMMYFUNCTION("""COMPUTED_VALUE"""),"18 inch Aero")</f>
        <v>18 inch Aero</v>
      </c>
      <c r="Q1379" s="152" t="str">
        <f>IFERROR(__xludf.DUMMYFUNCTION("""COMPUTED_VALUE"""),"Black seats")</f>
        <v>Black seats</v>
      </c>
      <c r="R1379" s="149" t="str">
        <f>IFERROR(__xludf.DUMMYFUNCTION("""COMPUTED_VALUE"""),"Autopilot")</f>
        <v>Autopilot</v>
      </c>
      <c r="S1379" s="149"/>
      <c r="T1379" s="145"/>
      <c r="U1379" s="145"/>
      <c r="V1379" s="145"/>
      <c r="W1379" s="136"/>
      <c r="X1379" s="137" t="str">
        <f>IFERROR(__xludf.DUMMYFUNCTION("""COMPUTED_VALUE"""),"Very Good")</f>
        <v>Very Good</v>
      </c>
      <c r="Y1379" s="138" t="str">
        <f>IFERROR(__xludf.DUMMYFUNCTION("""COMPUTED_VALUE"""),"Very Good")</f>
        <v>Very Good</v>
      </c>
      <c r="Z1379" s="138" t="str">
        <f>IFERROR(__xludf.DUMMYFUNCTION("""COMPUTED_VALUE"""),"Good")</f>
        <v>Good</v>
      </c>
      <c r="AA1379" s="138" t="str">
        <f>IFERROR(__xludf.DUMMYFUNCTION("""COMPUTED_VALUE"""),"Very Good")</f>
        <v>Very Good</v>
      </c>
      <c r="AB1379" s="138" t="str">
        <f>IFERROR(__xludf.DUMMYFUNCTION("""COMPUTED_VALUE"""),"Very Good")</f>
        <v>Very Good</v>
      </c>
      <c r="AC1379" s="139">
        <f>IFERROR(__xludf.DUMMYFUNCTION("""COMPUTED_VALUE"""),4.0)</f>
        <v>4</v>
      </c>
      <c r="AD1379" s="139">
        <f>IFERROR(__xludf.DUMMYFUNCTION("""COMPUTED_VALUE"""),1.0)</f>
        <v>1</v>
      </c>
      <c r="AE1379" s="139">
        <f>IFERROR(__xludf.DUMMYFUNCTION("""COMPUTED_VALUE"""),0.0)</f>
        <v>0</v>
      </c>
      <c r="AF1379" s="140"/>
      <c r="AG1379" s="136"/>
      <c r="AH1379" s="157">
        <f>IFERROR(__xludf.DUMMYFUNCTION("""COMPUTED_VALUE"""),43850.816394710644)</f>
        <v>43850.81639</v>
      </c>
      <c r="AI1379" s="138"/>
      <c r="AJ1379" s="138"/>
      <c r="AK1379" s="138"/>
      <c r="AL1379" s="142"/>
    </row>
    <row r="1380" ht="20.25" customHeight="1">
      <c r="A1380" s="155" t="str">
        <f>IFERROR(__xludf.DUMMYFUNCTION("""COMPUTED_VALUE"""),"outdoordawg")</f>
        <v>outdoordawg</v>
      </c>
      <c r="B1380" s="149" t="str">
        <f>IFERROR(__xludf.DUMMYFUNCTION("""COMPUTED_VALUE"""),"Central TX")</f>
        <v>Central TX</v>
      </c>
      <c r="C1380" s="149" t="str">
        <f>IFERROR(__xludf.DUMMYFUNCTION("""COMPUTED_VALUE"""),"TX")</f>
        <v>TX</v>
      </c>
      <c r="D1380" s="149" t="str">
        <f>IFERROR(__xludf.DUMMYFUNCTION("""COMPUTED_VALUE"""),"USA")</f>
        <v>USA</v>
      </c>
      <c r="E1380" s="156">
        <f>IFERROR(__xludf.DUMMYFUNCTION("""COMPUTED_VALUE"""),43842.0)</f>
        <v>43842</v>
      </c>
      <c r="F1380" s="129">
        <f>IFERROR(__xludf.DUMMYFUNCTION("""COMPUTED_VALUE"""),43885.0)</f>
        <v>43885</v>
      </c>
      <c r="G1380" s="154"/>
      <c r="H1380" s="131"/>
      <c r="I1380" s="144"/>
      <c r="J1380" s="129">
        <f>IFERROR(__xludf.DUMMYFUNCTION("""COMPUTED_VALUE"""),43899.0)</f>
        <v>43899</v>
      </c>
      <c r="K1380" s="133">
        <f>IFERROR(__xludf.DUMMYFUNCTION("""COMPUTED_VALUE"""),43.0)</f>
        <v>43</v>
      </c>
      <c r="L1380" s="133">
        <f>IFERROR(__xludf.DUMMYFUNCTION("""COMPUTED_VALUE"""),14.0)</f>
        <v>14</v>
      </c>
      <c r="M1380" s="133">
        <f>IFERROR(__xludf.DUMMYFUNCTION("""COMPUTED_VALUE"""),57.0)</f>
        <v>57</v>
      </c>
      <c r="N1380" s="152" t="str">
        <f>IFERROR(__xludf.DUMMYFUNCTION("""COMPUTED_VALUE"""),"Model 3 LR AWD")</f>
        <v>Model 3 LR AWD</v>
      </c>
      <c r="O1380" s="152" t="str">
        <f>IFERROR(__xludf.DUMMYFUNCTION("""COMPUTED_VALUE"""),"Pearl White Multi-Coat")</f>
        <v>Pearl White Multi-Coat</v>
      </c>
      <c r="P1380" s="153" t="str">
        <f>IFERROR(__xludf.DUMMYFUNCTION("""COMPUTED_VALUE"""),"18 inch Aero")</f>
        <v>18 inch Aero</v>
      </c>
      <c r="Q1380" s="152" t="str">
        <f>IFERROR(__xludf.DUMMYFUNCTION("""COMPUTED_VALUE"""),"Black seats")</f>
        <v>Black seats</v>
      </c>
      <c r="R1380" s="149" t="str">
        <f>IFERROR(__xludf.DUMMYFUNCTION("""COMPUTED_VALUE"""),"Full Self-Driving")</f>
        <v>Full Self-Driving</v>
      </c>
      <c r="S1380" s="149"/>
      <c r="T1380" s="145"/>
      <c r="U1380" s="145"/>
      <c r="V1380" s="145"/>
      <c r="W1380" s="136"/>
      <c r="X1380" s="137" t="str">
        <f>IFERROR(__xludf.DUMMYFUNCTION("""COMPUTED_VALUE"""),"Good")</f>
        <v>Good</v>
      </c>
      <c r="Y1380" s="138" t="str">
        <f>IFERROR(__xludf.DUMMYFUNCTION("""COMPUTED_VALUE"""),"Good")</f>
        <v>Good</v>
      </c>
      <c r="Z1380" s="138" t="str">
        <f>IFERROR(__xludf.DUMMYFUNCTION("""COMPUTED_VALUE"""),"Good")</f>
        <v>Good</v>
      </c>
      <c r="AA1380" s="138" t="str">
        <f>IFERROR(__xludf.DUMMYFUNCTION("""COMPUTED_VALUE"""),"Poor")</f>
        <v>Poor</v>
      </c>
      <c r="AB1380" s="138" t="str">
        <f>IFERROR(__xludf.DUMMYFUNCTION("""COMPUTED_VALUE"""),"Fair")</f>
        <v>Fair</v>
      </c>
      <c r="AC1380" s="139"/>
      <c r="AD1380" s="139"/>
      <c r="AE1380" s="139"/>
      <c r="AF1380" s="140"/>
      <c r="AG1380" s="136" t="str">
        <f>IFERROR(__xludf.DUMMYFUNCTION("""COMPUTED_VALUE"""),"Took delivery")</f>
        <v>Took delivery</v>
      </c>
      <c r="AH1380" s="157">
        <f>IFERROR(__xludf.DUMMYFUNCTION("""COMPUTED_VALUE"""),43899.6195881713)</f>
        <v>43899.61959</v>
      </c>
      <c r="AI1380" s="138"/>
      <c r="AJ1380" s="138"/>
      <c r="AK1380" s="138"/>
      <c r="AL1380" s="142"/>
    </row>
    <row r="1381" ht="20.25" customHeight="1">
      <c r="A1381" s="155" t="str">
        <f>IFERROR(__xludf.DUMMYFUNCTION("""COMPUTED_VALUE"""),"Yvette5107")</f>
        <v>Yvette5107</v>
      </c>
      <c r="B1381" s="149" t="str">
        <f>IFERROR(__xludf.DUMMYFUNCTION("""COMPUTED_VALUE"""),"Rancho Cucamonga")</f>
        <v>Rancho Cucamonga</v>
      </c>
      <c r="C1381" s="149" t="str">
        <f>IFERROR(__xludf.DUMMYFUNCTION("""COMPUTED_VALUE"""),"CA")</f>
        <v>CA</v>
      </c>
      <c r="D1381" s="149" t="str">
        <f>IFERROR(__xludf.DUMMYFUNCTION("""COMPUTED_VALUE"""),"USA")</f>
        <v>USA</v>
      </c>
      <c r="E1381" s="156">
        <f>IFERROR(__xludf.DUMMYFUNCTION("""COMPUTED_VALUE"""),43842.0)</f>
        <v>43842</v>
      </c>
      <c r="F1381" s="129">
        <f>IFERROR(__xludf.DUMMYFUNCTION("""COMPUTED_VALUE"""),43842.0)</f>
        <v>43842</v>
      </c>
      <c r="G1381" s="154"/>
      <c r="H1381" s="131"/>
      <c r="I1381" s="144"/>
      <c r="J1381" s="129">
        <f>IFERROR(__xludf.DUMMYFUNCTION("""COMPUTED_VALUE"""),43845.0)</f>
        <v>43845</v>
      </c>
      <c r="K1381" s="133">
        <f>IFERROR(__xludf.DUMMYFUNCTION("""COMPUTED_VALUE"""),0.0)</f>
        <v>0</v>
      </c>
      <c r="L1381" s="133">
        <f>IFERROR(__xludf.DUMMYFUNCTION("""COMPUTED_VALUE"""),3.0)</f>
        <v>3</v>
      </c>
      <c r="M1381" s="133">
        <f>IFERROR(__xludf.DUMMYFUNCTION("""COMPUTED_VALUE"""),3.0)</f>
        <v>3</v>
      </c>
      <c r="N1381" s="152" t="str">
        <f>IFERROR(__xludf.DUMMYFUNCTION("""COMPUTED_VALUE"""),"Model 3 LR AWD")</f>
        <v>Model 3 LR AWD</v>
      </c>
      <c r="O1381" s="152" t="str">
        <f>IFERROR(__xludf.DUMMYFUNCTION("""COMPUTED_VALUE"""),"Pearl White Multi-Coat")</f>
        <v>Pearl White Multi-Coat</v>
      </c>
      <c r="P1381" s="153" t="str">
        <f>IFERROR(__xludf.DUMMYFUNCTION("""COMPUTED_VALUE"""),"18 inch Aero")</f>
        <v>18 inch Aero</v>
      </c>
      <c r="Q1381" s="152" t="str">
        <f>IFERROR(__xludf.DUMMYFUNCTION("""COMPUTED_VALUE"""),"Black seats")</f>
        <v>Black seats</v>
      </c>
      <c r="R1381" s="149" t="str">
        <f>IFERROR(__xludf.DUMMYFUNCTION("""COMPUTED_VALUE"""),"Autopilot")</f>
        <v>Autopilot</v>
      </c>
      <c r="S1381" s="149"/>
      <c r="T1381" s="145"/>
      <c r="U1381" s="145"/>
      <c r="V1381" s="145"/>
      <c r="W1381" s="136"/>
      <c r="X1381" s="137" t="str">
        <f>IFERROR(__xludf.DUMMYFUNCTION("""COMPUTED_VALUE"""),"Excellent")</f>
        <v>Excellent</v>
      </c>
      <c r="Y1381" s="138" t="str">
        <f>IFERROR(__xludf.DUMMYFUNCTION("""COMPUTED_VALUE"""),"Excellent")</f>
        <v>Excellent</v>
      </c>
      <c r="Z1381" s="138" t="str">
        <f>IFERROR(__xludf.DUMMYFUNCTION("""COMPUTED_VALUE"""),"Excellent")</f>
        <v>Excellent</v>
      </c>
      <c r="AA1381" s="138" t="str">
        <f>IFERROR(__xludf.DUMMYFUNCTION("""COMPUTED_VALUE"""),"Excellent")</f>
        <v>Excellent</v>
      </c>
      <c r="AB1381" s="138" t="str">
        <f>IFERROR(__xludf.DUMMYFUNCTION("""COMPUTED_VALUE"""),"Excellent")</f>
        <v>Excellent</v>
      </c>
      <c r="AC1381" s="139">
        <f>IFERROR(__xludf.DUMMYFUNCTION("""COMPUTED_VALUE"""),0.0)</f>
        <v>0</v>
      </c>
      <c r="AD1381" s="139">
        <f>IFERROR(__xludf.DUMMYFUNCTION("""COMPUTED_VALUE"""),0.0)</f>
        <v>0</v>
      </c>
      <c r="AE1381" s="139">
        <f>IFERROR(__xludf.DUMMYFUNCTION("""COMPUTED_VALUE"""),0.0)</f>
        <v>0</v>
      </c>
      <c r="AF1381" s="140"/>
      <c r="AG1381" s="136"/>
      <c r="AH1381" s="157">
        <f>IFERROR(__xludf.DUMMYFUNCTION("""COMPUTED_VALUE"""),43906.31693638889)</f>
        <v>43906.31694</v>
      </c>
      <c r="AI1381" s="138"/>
      <c r="AJ1381" s="138"/>
      <c r="AK1381" s="138"/>
      <c r="AL1381" s="142"/>
    </row>
    <row r="1382" ht="20.25" customHeight="1">
      <c r="A1382" s="155" t="str">
        <f>IFERROR(__xludf.DUMMYFUNCTION("""COMPUTED_VALUE"""),"AAAPTY")</f>
        <v>AAAPTY</v>
      </c>
      <c r="B1382" s="149" t="str">
        <f>IFERROR(__xludf.DUMMYFUNCTION("""COMPUTED_VALUE"""),"Tampa")</f>
        <v>Tampa</v>
      </c>
      <c r="C1382" s="149" t="str">
        <f>IFERROR(__xludf.DUMMYFUNCTION("""COMPUTED_VALUE"""),"FL")</f>
        <v>FL</v>
      </c>
      <c r="D1382" s="149" t="str">
        <f>IFERROR(__xludf.DUMMYFUNCTION("""COMPUTED_VALUE"""),"USA")</f>
        <v>USA</v>
      </c>
      <c r="E1382" s="156">
        <f>IFERROR(__xludf.DUMMYFUNCTION("""COMPUTED_VALUE"""),43841.0)</f>
        <v>43841</v>
      </c>
      <c r="F1382" s="129"/>
      <c r="G1382" s="154"/>
      <c r="H1382" s="131"/>
      <c r="I1382" s="144"/>
      <c r="J1382" s="129">
        <f>IFERROR(__xludf.DUMMYFUNCTION("""COMPUTED_VALUE"""),43890.0)</f>
        <v>43890</v>
      </c>
      <c r="K1382" s="133"/>
      <c r="L1382" s="133"/>
      <c r="M1382" s="133">
        <f>IFERROR(__xludf.DUMMYFUNCTION("""COMPUTED_VALUE"""),49.0)</f>
        <v>49</v>
      </c>
      <c r="N1382" s="152" t="str">
        <f>IFERROR(__xludf.DUMMYFUNCTION("""COMPUTED_VALUE"""),"Model 3 LR AWD")</f>
        <v>Model 3 LR AWD</v>
      </c>
      <c r="O1382" s="152" t="str">
        <f>IFERROR(__xludf.DUMMYFUNCTION("""COMPUTED_VALUE"""),"Deep Blue Metallic")</f>
        <v>Deep Blue Metallic</v>
      </c>
      <c r="P1382" s="153" t="str">
        <f>IFERROR(__xludf.DUMMYFUNCTION("""COMPUTED_VALUE"""),"18 inch Aero")</f>
        <v>18 inch Aero</v>
      </c>
      <c r="Q1382" s="152" t="str">
        <f>IFERROR(__xludf.DUMMYFUNCTION("""COMPUTED_VALUE"""),"Black seats")</f>
        <v>Black seats</v>
      </c>
      <c r="R1382" s="149" t="str">
        <f>IFERROR(__xludf.DUMMYFUNCTION("""COMPUTED_VALUE"""),"Autopilot")</f>
        <v>Autopilot</v>
      </c>
      <c r="S1382" s="149"/>
      <c r="T1382" s="145"/>
      <c r="U1382" s="145"/>
      <c r="V1382" s="145"/>
      <c r="W1382" s="136"/>
      <c r="X1382" s="137" t="str">
        <f>IFERROR(__xludf.DUMMYFUNCTION("""COMPUTED_VALUE"""),"Good")</f>
        <v>Good</v>
      </c>
      <c r="Y1382" s="138" t="str">
        <f>IFERROR(__xludf.DUMMYFUNCTION("""COMPUTED_VALUE"""),"Good")</f>
        <v>Good</v>
      </c>
      <c r="Z1382" s="138" t="str">
        <f>IFERROR(__xludf.DUMMYFUNCTION("""COMPUTED_VALUE"""),"Good")</f>
        <v>Good</v>
      </c>
      <c r="AA1382" s="138" t="str">
        <f>IFERROR(__xludf.DUMMYFUNCTION("""COMPUTED_VALUE"""),"Good")</f>
        <v>Good</v>
      </c>
      <c r="AB1382" s="138" t="str">
        <f>IFERROR(__xludf.DUMMYFUNCTION("""COMPUTED_VALUE"""),"Good")</f>
        <v>Good</v>
      </c>
      <c r="AC1382" s="139"/>
      <c r="AD1382" s="139"/>
      <c r="AE1382" s="139"/>
      <c r="AF1382" s="140"/>
      <c r="AG1382" s="136" t="str">
        <f>IFERROR(__xludf.DUMMYFUNCTION("""COMPUTED_VALUE"""),"Didn't get VIN information just notification of delivery schedule")</f>
        <v>Didn't get VIN information just notification of delivery schedule</v>
      </c>
      <c r="AH1382" s="157">
        <f>IFERROR(__xludf.DUMMYFUNCTION("""COMPUTED_VALUE"""),43891.76274646991)</f>
        <v>43891.76275</v>
      </c>
      <c r="AI1382" s="138"/>
      <c r="AJ1382" s="138"/>
      <c r="AK1382" s="138"/>
      <c r="AL1382" s="142"/>
    </row>
    <row r="1383" ht="20.25" customHeight="1">
      <c r="A1383" s="155" t="str">
        <f>IFERROR(__xludf.DUMMYFUNCTION("""COMPUTED_VALUE"""),"bigt4203")</f>
        <v>bigt4203</v>
      </c>
      <c r="B1383" s="149" t="str">
        <f>IFERROR(__xludf.DUMMYFUNCTION("""COMPUTED_VALUE"""),"Oak Harbor")</f>
        <v>Oak Harbor</v>
      </c>
      <c r="C1383" s="149" t="str">
        <f>IFERROR(__xludf.DUMMYFUNCTION("""COMPUTED_VALUE"""),"WA")</f>
        <v>WA</v>
      </c>
      <c r="D1383" s="149" t="str">
        <f>IFERROR(__xludf.DUMMYFUNCTION("""COMPUTED_VALUE"""),"USA")</f>
        <v>USA</v>
      </c>
      <c r="E1383" s="156">
        <f>IFERROR(__xludf.DUMMYFUNCTION("""COMPUTED_VALUE"""),43841.0)</f>
        <v>43841</v>
      </c>
      <c r="F1383" s="129">
        <f>IFERROR(__xludf.DUMMYFUNCTION("""COMPUTED_VALUE"""),43890.0)</f>
        <v>43890</v>
      </c>
      <c r="G1383" s="154"/>
      <c r="H1383" s="131">
        <f>IFERROR(__xludf.DUMMYFUNCTION("""COMPUTED_VALUE"""),641434.0)</f>
        <v>641434</v>
      </c>
      <c r="I1383" s="144"/>
      <c r="J1383" s="129">
        <f>IFERROR(__xludf.DUMMYFUNCTION("""COMPUTED_VALUE"""),43893.0)</f>
        <v>43893</v>
      </c>
      <c r="K1383" s="133">
        <f>IFERROR(__xludf.DUMMYFUNCTION("""COMPUTED_VALUE"""),49.0)</f>
        <v>49</v>
      </c>
      <c r="L1383" s="133">
        <f>IFERROR(__xludf.DUMMYFUNCTION("""COMPUTED_VALUE"""),3.0)</f>
        <v>3</v>
      </c>
      <c r="M1383" s="133">
        <f>IFERROR(__xludf.DUMMYFUNCTION("""COMPUTED_VALUE"""),52.0)</f>
        <v>52</v>
      </c>
      <c r="N1383" s="152" t="str">
        <f>IFERROR(__xludf.DUMMYFUNCTION("""COMPUTED_VALUE"""),"Model 3 Performance")</f>
        <v>Model 3 Performance</v>
      </c>
      <c r="O1383" s="152" t="str">
        <f>IFERROR(__xludf.DUMMYFUNCTION("""COMPUTED_VALUE"""),"Pearl White Multi-Coat")</f>
        <v>Pearl White Multi-Coat</v>
      </c>
      <c r="P1383" s="153" t="str">
        <f>IFERROR(__xludf.DUMMYFUNCTION("""COMPUTED_VALUE"""),"20 inch Sport")</f>
        <v>20 inch Sport</v>
      </c>
      <c r="Q1383" s="152" t="str">
        <f>IFERROR(__xludf.DUMMYFUNCTION("""COMPUTED_VALUE"""),"Black seats")</f>
        <v>Black seats</v>
      </c>
      <c r="R1383" s="149" t="str">
        <f>IFERROR(__xludf.DUMMYFUNCTION("""COMPUTED_VALUE"""),"Autopilot")</f>
        <v>Autopilot</v>
      </c>
      <c r="S1383" s="149"/>
      <c r="T1383" s="145"/>
      <c r="U1383" s="145"/>
      <c r="V1383" s="145"/>
      <c r="W1383" s="136"/>
      <c r="X1383" s="137" t="str">
        <f>IFERROR(__xludf.DUMMYFUNCTION("""COMPUTED_VALUE"""),"Excellent")</f>
        <v>Excellent</v>
      </c>
      <c r="Y1383" s="138" t="str">
        <f>IFERROR(__xludf.DUMMYFUNCTION("""COMPUTED_VALUE"""),"Very Good")</f>
        <v>Very Good</v>
      </c>
      <c r="Z1383" s="138" t="str">
        <f>IFERROR(__xludf.DUMMYFUNCTION("""COMPUTED_VALUE"""),"Excellent")</f>
        <v>Excellent</v>
      </c>
      <c r="AA1383" s="138" t="str">
        <f>IFERROR(__xludf.DUMMYFUNCTION("""COMPUTED_VALUE"""),"Fair")</f>
        <v>Fair</v>
      </c>
      <c r="AB1383" s="138" t="str">
        <f>IFERROR(__xludf.DUMMYFUNCTION("""COMPUTED_VALUE"""),"Excellent")</f>
        <v>Excellent</v>
      </c>
      <c r="AC1383" s="139">
        <f>IFERROR(__xludf.DUMMYFUNCTION("""COMPUTED_VALUE"""),1.0)</f>
        <v>1</v>
      </c>
      <c r="AD1383" s="139">
        <f>IFERROR(__xludf.DUMMYFUNCTION("""COMPUTED_VALUE"""),0.0)</f>
        <v>0</v>
      </c>
      <c r="AE1383" s="139">
        <f>IFERROR(__xludf.DUMMYFUNCTION("""COMPUTED_VALUE"""),0.0)</f>
        <v>0</v>
      </c>
      <c r="AF1383" s="140"/>
      <c r="AG1383" s="136" t="str">
        <f>IFERROR(__xludf.DUMMYFUNCTION("""COMPUTED_VALUE"""),"My SA was awesome, answered any questions I had.")</f>
        <v>My SA was awesome, answered any questions I had.</v>
      </c>
      <c r="AH1383" s="157">
        <f>IFERROR(__xludf.DUMMYFUNCTION("""COMPUTED_VALUE"""),43895.82241864583)</f>
        <v>43895.82242</v>
      </c>
      <c r="AI1383" s="138"/>
      <c r="AJ1383" s="138"/>
      <c r="AK1383" s="138"/>
      <c r="AL1383" s="142"/>
    </row>
    <row r="1384" ht="20.25" customHeight="1">
      <c r="A1384" s="155" t="str">
        <f>IFERROR(__xludf.DUMMYFUNCTION("""COMPUTED_VALUE"""),"Civrock")</f>
        <v>Civrock</v>
      </c>
      <c r="B1384" s="149" t="str">
        <f>IFERROR(__xludf.DUMMYFUNCTION("""COMPUTED_VALUE"""),"Wilkesboro")</f>
        <v>Wilkesboro</v>
      </c>
      <c r="C1384" s="149" t="str">
        <f>IFERROR(__xludf.DUMMYFUNCTION("""COMPUTED_VALUE"""),"NC")</f>
        <v>NC</v>
      </c>
      <c r="D1384" s="149" t="str">
        <f>IFERROR(__xludf.DUMMYFUNCTION("""COMPUTED_VALUE"""),"USA")</f>
        <v>USA</v>
      </c>
      <c r="E1384" s="156">
        <f>IFERROR(__xludf.DUMMYFUNCTION("""COMPUTED_VALUE"""),43841.0)</f>
        <v>43841</v>
      </c>
      <c r="F1384" s="129">
        <f>IFERROR(__xludf.DUMMYFUNCTION("""COMPUTED_VALUE"""),43844.0)</f>
        <v>43844</v>
      </c>
      <c r="G1384" s="154"/>
      <c r="H1384" s="131">
        <f>IFERROR(__xludf.DUMMYFUNCTION("""COMPUTED_VALUE"""),635655.0)</f>
        <v>635655</v>
      </c>
      <c r="I1384" s="144" t="str">
        <f>IFERROR(__xludf.DUMMYFUNCTION("""COMPUTED_VALUE"""),"12/19")</f>
        <v>12/19</v>
      </c>
      <c r="J1384" s="129">
        <f>IFERROR(__xludf.DUMMYFUNCTION("""COMPUTED_VALUE"""),43862.0)</f>
        <v>43862</v>
      </c>
      <c r="K1384" s="133">
        <f>IFERROR(__xludf.DUMMYFUNCTION("""COMPUTED_VALUE"""),3.0)</f>
        <v>3</v>
      </c>
      <c r="L1384" s="133">
        <f>IFERROR(__xludf.DUMMYFUNCTION("""COMPUTED_VALUE"""),18.0)</f>
        <v>18</v>
      </c>
      <c r="M1384" s="133">
        <f>IFERROR(__xludf.DUMMYFUNCTION("""COMPUTED_VALUE"""),21.0)</f>
        <v>21</v>
      </c>
      <c r="N1384" s="152" t="str">
        <f>IFERROR(__xludf.DUMMYFUNCTION("""COMPUTED_VALUE"""),"Model 3 LR AWD")</f>
        <v>Model 3 LR AWD</v>
      </c>
      <c r="O1384" s="152" t="str">
        <f>IFERROR(__xludf.DUMMYFUNCTION("""COMPUTED_VALUE"""),"Midnight Silver Metallic")</f>
        <v>Midnight Silver Metallic</v>
      </c>
      <c r="P1384" s="153" t="str">
        <f>IFERROR(__xludf.DUMMYFUNCTION("""COMPUTED_VALUE"""),"18 inch Aero")</f>
        <v>18 inch Aero</v>
      </c>
      <c r="Q1384" s="152" t="str">
        <f>IFERROR(__xludf.DUMMYFUNCTION("""COMPUTED_VALUE"""),"Black seats")</f>
        <v>Black seats</v>
      </c>
      <c r="R1384" s="149" t="str">
        <f>IFERROR(__xludf.DUMMYFUNCTION("""COMPUTED_VALUE"""),"Full Self-Driving")</f>
        <v>Full Self-Driving</v>
      </c>
      <c r="S1384" s="149"/>
      <c r="T1384" s="145"/>
      <c r="U1384" s="145"/>
      <c r="V1384" s="145"/>
      <c r="W1384" s="136"/>
      <c r="X1384" s="137" t="str">
        <f>IFERROR(__xludf.DUMMYFUNCTION("""COMPUTED_VALUE"""),"Excellent")</f>
        <v>Excellent</v>
      </c>
      <c r="Y1384" s="138" t="str">
        <f>IFERROR(__xludf.DUMMYFUNCTION("""COMPUTED_VALUE"""),"Excellent")</f>
        <v>Excellent</v>
      </c>
      <c r="Z1384" s="138" t="str">
        <f>IFERROR(__xludf.DUMMYFUNCTION("""COMPUTED_VALUE"""),"Excellent")</f>
        <v>Excellent</v>
      </c>
      <c r="AA1384" s="138" t="str">
        <f>IFERROR(__xludf.DUMMYFUNCTION("""COMPUTED_VALUE"""),"Excellent")</f>
        <v>Excellent</v>
      </c>
      <c r="AB1384" s="138" t="str">
        <f>IFERROR(__xludf.DUMMYFUNCTION("""COMPUTED_VALUE"""),"Excellent")</f>
        <v>Excellent</v>
      </c>
      <c r="AC1384" s="139"/>
      <c r="AD1384" s="139"/>
      <c r="AE1384" s="139"/>
      <c r="AF1384" s="140"/>
      <c r="AG1384" s="136" t="str">
        <f>IFERROR(__xludf.DUMMYFUNCTION("""COMPUTED_VALUE"""),"(Feb 1) Took delivery today, door frame sticker shows 1/20 but not an option on this spreadsheet. Everything looks great. (Jan 14) Tesla advisor located M3 matching my order, expected in ""2 weeks or less"" instead of ""4-7 weeks."" WOW!")</f>
        <v>(Feb 1) Took delivery today, door frame sticker shows 1/20 but not an option on this spreadsheet. Everything looks great. (Jan 14) Tesla advisor located M3 matching my order, expected in "2 weeks or less" instead of "4-7 weeks." WOW!</v>
      </c>
      <c r="AH1384" s="157">
        <f>IFERROR(__xludf.DUMMYFUNCTION("""COMPUTED_VALUE"""),43862.719705960655)</f>
        <v>43862.71971</v>
      </c>
      <c r="AI1384" s="138"/>
      <c r="AJ1384" s="138"/>
      <c r="AK1384" s="138"/>
      <c r="AL1384" s="142"/>
    </row>
    <row r="1385" ht="20.25" customHeight="1">
      <c r="A1385" s="155" t="str">
        <f>IFERROR(__xludf.DUMMYFUNCTION("""COMPUTED_VALUE"""),"cpverne")</f>
        <v>cpverne</v>
      </c>
      <c r="B1385" s="149" t="str">
        <f>IFERROR(__xludf.DUMMYFUNCTION("""COMPUTED_VALUE"""),"Raleigh")</f>
        <v>Raleigh</v>
      </c>
      <c r="C1385" s="149" t="str">
        <f>IFERROR(__xludf.DUMMYFUNCTION("""COMPUTED_VALUE"""),"NC")</f>
        <v>NC</v>
      </c>
      <c r="D1385" s="149" t="str">
        <f>IFERROR(__xludf.DUMMYFUNCTION("""COMPUTED_VALUE"""),"USA")</f>
        <v>USA</v>
      </c>
      <c r="E1385" s="156">
        <f>IFERROR(__xludf.DUMMYFUNCTION("""COMPUTED_VALUE"""),43841.0)</f>
        <v>43841</v>
      </c>
      <c r="F1385" s="129"/>
      <c r="G1385" s="154"/>
      <c r="H1385" s="131">
        <f>IFERROR(__xludf.DUMMYFUNCTION("""COMPUTED_VALUE"""),637740.0)</f>
        <v>637740</v>
      </c>
      <c r="I1385" s="144"/>
      <c r="J1385" s="129">
        <f>IFERROR(__xludf.DUMMYFUNCTION("""COMPUTED_VALUE"""),43904.0)</f>
        <v>43904</v>
      </c>
      <c r="K1385" s="133"/>
      <c r="L1385" s="133"/>
      <c r="M1385" s="133">
        <f>IFERROR(__xludf.DUMMYFUNCTION("""COMPUTED_VALUE"""),63.0)</f>
        <v>63</v>
      </c>
      <c r="N1385" s="152" t="str">
        <f>IFERROR(__xludf.DUMMYFUNCTION("""COMPUTED_VALUE"""),"Model 3 LR AWD")</f>
        <v>Model 3 LR AWD</v>
      </c>
      <c r="O1385" s="152" t="str">
        <f>IFERROR(__xludf.DUMMYFUNCTION("""COMPUTED_VALUE"""),"Pearl White Multi-Coat")</f>
        <v>Pearl White Multi-Coat</v>
      </c>
      <c r="P1385" s="153" t="str">
        <f>IFERROR(__xludf.DUMMYFUNCTION("""COMPUTED_VALUE"""),"18 inch Aero")</f>
        <v>18 inch Aero</v>
      </c>
      <c r="Q1385" s="152" t="str">
        <f>IFERROR(__xludf.DUMMYFUNCTION("""COMPUTED_VALUE"""),"Black seats")</f>
        <v>Black seats</v>
      </c>
      <c r="R1385" s="149" t="str">
        <f>IFERROR(__xludf.DUMMYFUNCTION("""COMPUTED_VALUE"""),"Autopilot")</f>
        <v>Autopilot</v>
      </c>
      <c r="S1385" s="149"/>
      <c r="T1385" s="145"/>
      <c r="U1385" s="145"/>
      <c r="V1385" s="145"/>
      <c r="W1385" s="136"/>
      <c r="X1385" s="137" t="str">
        <f>IFERROR(__xludf.DUMMYFUNCTION("""COMPUTED_VALUE"""),"Excellent")</f>
        <v>Excellent</v>
      </c>
      <c r="Y1385" s="138" t="str">
        <f>IFERROR(__xludf.DUMMYFUNCTION("""COMPUTED_VALUE"""),"Very Good")</f>
        <v>Very Good</v>
      </c>
      <c r="Z1385" s="138" t="str">
        <f>IFERROR(__xludf.DUMMYFUNCTION("""COMPUTED_VALUE"""),"Very Good")</f>
        <v>Very Good</v>
      </c>
      <c r="AA1385" s="138" t="str">
        <f>IFERROR(__xludf.DUMMYFUNCTION("""COMPUTED_VALUE"""),"Good")</f>
        <v>Good</v>
      </c>
      <c r="AB1385" s="138" t="str">
        <f>IFERROR(__xludf.DUMMYFUNCTION("""COMPUTED_VALUE"""),"Good")</f>
        <v>Good</v>
      </c>
      <c r="AC1385" s="139">
        <f>IFERROR(__xludf.DUMMYFUNCTION("""COMPUTED_VALUE"""),1.0)</f>
        <v>1</v>
      </c>
      <c r="AD1385" s="139"/>
      <c r="AE1385" s="139"/>
      <c r="AF1385" s="140"/>
      <c r="AG1385" s="136" t="str">
        <f>IFERROR(__xludf.DUMMYFUNCTION("""COMPUTED_VALUE"""),"Delivered 3/14.. Pi Day!")</f>
        <v>Delivered 3/14.. Pi Day!</v>
      </c>
      <c r="AH1385" s="157">
        <f>IFERROR(__xludf.DUMMYFUNCTION("""COMPUTED_VALUE"""),43906.59128083334)</f>
        <v>43906.59128</v>
      </c>
      <c r="AI1385" s="138"/>
      <c r="AJ1385" s="138"/>
      <c r="AK1385" s="138"/>
      <c r="AL1385" s="142"/>
    </row>
    <row r="1386" ht="20.25" customHeight="1">
      <c r="A1386" s="155" t="str">
        <f>IFERROR(__xludf.DUMMYFUNCTION("""COMPUTED_VALUE"""),"sparkz")</f>
        <v>sparkz</v>
      </c>
      <c r="B1386" s="149"/>
      <c r="C1386" s="149" t="str">
        <f>IFERROR(__xludf.DUMMYFUNCTION("""COMPUTED_VALUE"""),"CA")</f>
        <v>CA</v>
      </c>
      <c r="D1386" s="149" t="str">
        <f>IFERROR(__xludf.DUMMYFUNCTION("""COMPUTED_VALUE"""),"USA")</f>
        <v>USA</v>
      </c>
      <c r="E1386" s="156">
        <f>IFERROR(__xludf.DUMMYFUNCTION("""COMPUTED_VALUE"""),43841.0)</f>
        <v>43841</v>
      </c>
      <c r="F1386" s="129">
        <f>IFERROR(__xludf.DUMMYFUNCTION("""COMPUTED_VALUE"""),43889.0)</f>
        <v>43889</v>
      </c>
      <c r="G1386" s="154"/>
      <c r="H1386" s="131">
        <f>IFERROR(__xludf.DUMMYFUNCTION("""COMPUTED_VALUE"""),634655.0)</f>
        <v>634655</v>
      </c>
      <c r="I1386" s="144"/>
      <c r="J1386" s="129">
        <f>IFERROR(__xludf.DUMMYFUNCTION("""COMPUTED_VALUE"""),43891.0)</f>
        <v>43891</v>
      </c>
      <c r="K1386" s="133">
        <f>IFERROR(__xludf.DUMMYFUNCTION("""COMPUTED_VALUE"""),48.0)</f>
        <v>48</v>
      </c>
      <c r="L1386" s="133">
        <f>IFERROR(__xludf.DUMMYFUNCTION("""COMPUTED_VALUE"""),2.0)</f>
        <v>2</v>
      </c>
      <c r="M1386" s="133">
        <f>IFERROR(__xludf.DUMMYFUNCTION("""COMPUTED_VALUE"""),50.0)</f>
        <v>50</v>
      </c>
      <c r="N1386" s="152" t="str">
        <f>IFERROR(__xludf.DUMMYFUNCTION("""COMPUTED_VALUE"""),"Model 3 SR+")</f>
        <v>Model 3 SR+</v>
      </c>
      <c r="O1386" s="152" t="str">
        <f>IFERROR(__xludf.DUMMYFUNCTION("""COMPUTED_VALUE"""),"Pearl White Multi-Coat")</f>
        <v>Pearl White Multi-Coat</v>
      </c>
      <c r="P1386" s="153" t="str">
        <f>IFERROR(__xludf.DUMMYFUNCTION("""COMPUTED_VALUE"""),"18 inch Aero")</f>
        <v>18 inch Aero</v>
      </c>
      <c r="Q1386" s="152" t="str">
        <f>IFERROR(__xludf.DUMMYFUNCTION("""COMPUTED_VALUE"""),"White seats")</f>
        <v>White seats</v>
      </c>
      <c r="R1386" s="149" t="str">
        <f>IFERROR(__xludf.DUMMYFUNCTION("""COMPUTED_VALUE"""),"Full Self-Driving")</f>
        <v>Full Self-Driving</v>
      </c>
      <c r="S1386" s="149"/>
      <c r="T1386" s="145"/>
      <c r="U1386" s="145"/>
      <c r="V1386" s="145"/>
      <c r="W1386" s="136"/>
      <c r="X1386" s="137" t="str">
        <f>IFERROR(__xludf.DUMMYFUNCTION("""COMPUTED_VALUE"""),"Excellent")</f>
        <v>Excellent</v>
      </c>
      <c r="Y1386" s="138" t="str">
        <f>IFERROR(__xludf.DUMMYFUNCTION("""COMPUTED_VALUE"""),"Excellent")</f>
        <v>Excellent</v>
      </c>
      <c r="Z1386" s="138" t="str">
        <f>IFERROR(__xludf.DUMMYFUNCTION("""COMPUTED_VALUE"""),"Excellent")</f>
        <v>Excellent</v>
      </c>
      <c r="AA1386" s="138" t="str">
        <f>IFERROR(__xludf.DUMMYFUNCTION("""COMPUTED_VALUE"""),"Good")</f>
        <v>Good</v>
      </c>
      <c r="AB1386" s="138" t="str">
        <f>IFERROR(__xludf.DUMMYFUNCTION("""COMPUTED_VALUE"""),"Excellent")</f>
        <v>Excellent</v>
      </c>
      <c r="AC1386" s="139"/>
      <c r="AD1386" s="139"/>
      <c r="AE1386" s="139"/>
      <c r="AF1386" s="140"/>
      <c r="AG1386" s="136" t="str">
        <f>IFERROR(__xludf.DUMMYFUNCTION("""COMPUTED_VALUE"""),"Matched early on 02/28. Picked up 03/31/2020")</f>
        <v>Matched early on 02/28. Picked up 03/31/2020</v>
      </c>
      <c r="AH1386" s="157">
        <f>IFERROR(__xludf.DUMMYFUNCTION("""COMPUTED_VALUE"""),43892.2986762963)</f>
        <v>43892.29868</v>
      </c>
      <c r="AI1386" s="138"/>
      <c r="AJ1386" s="138"/>
      <c r="AK1386" s="138"/>
      <c r="AL1386" s="142"/>
    </row>
    <row r="1387" ht="20.25" customHeight="1">
      <c r="A1387" s="155" t="str">
        <f>IFERROR(__xludf.DUMMYFUNCTION("""COMPUTED_VALUE"""),"unicus76")</f>
        <v>unicus76</v>
      </c>
      <c r="B1387" s="149" t="str">
        <f>IFERROR(__xludf.DUMMYFUNCTION("""COMPUTED_VALUE"""),"Cupertino")</f>
        <v>Cupertino</v>
      </c>
      <c r="C1387" s="149" t="str">
        <f>IFERROR(__xludf.DUMMYFUNCTION("""COMPUTED_VALUE"""),"CA")</f>
        <v>CA</v>
      </c>
      <c r="D1387" s="149" t="str">
        <f>IFERROR(__xludf.DUMMYFUNCTION("""COMPUTED_VALUE"""),"USA")</f>
        <v>USA</v>
      </c>
      <c r="E1387" s="156">
        <f>IFERROR(__xludf.DUMMYFUNCTION("""COMPUTED_VALUE"""),43841.0)</f>
        <v>43841</v>
      </c>
      <c r="F1387" s="129">
        <f>IFERROR(__xludf.DUMMYFUNCTION("""COMPUTED_VALUE"""),43890.0)</f>
        <v>43890</v>
      </c>
      <c r="G1387" s="154"/>
      <c r="H1387" s="131">
        <f>IFERROR(__xludf.DUMMYFUNCTION("""COMPUTED_VALUE"""),669289.0)</f>
        <v>669289</v>
      </c>
      <c r="I1387" s="144"/>
      <c r="J1387" s="129">
        <f>IFERROR(__xludf.DUMMYFUNCTION("""COMPUTED_VALUE"""),43893.0)</f>
        <v>43893</v>
      </c>
      <c r="K1387" s="133">
        <f>IFERROR(__xludf.DUMMYFUNCTION("""COMPUTED_VALUE"""),49.0)</f>
        <v>49</v>
      </c>
      <c r="L1387" s="133">
        <f>IFERROR(__xludf.DUMMYFUNCTION("""COMPUTED_VALUE"""),3.0)</f>
        <v>3</v>
      </c>
      <c r="M1387" s="133">
        <f>IFERROR(__xludf.DUMMYFUNCTION("""COMPUTED_VALUE"""),52.0)</f>
        <v>52</v>
      </c>
      <c r="N1387" s="152" t="str">
        <f>IFERROR(__xludf.DUMMYFUNCTION("""COMPUTED_VALUE"""),"Model 3 Performance")</f>
        <v>Model 3 Performance</v>
      </c>
      <c r="O1387" s="152" t="str">
        <f>IFERROR(__xludf.DUMMYFUNCTION("""COMPUTED_VALUE"""),"Red Multi-Coat")</f>
        <v>Red Multi-Coat</v>
      </c>
      <c r="P1387" s="153" t="str">
        <f>IFERROR(__xludf.DUMMYFUNCTION("""COMPUTED_VALUE"""),"20 inch Sport")</f>
        <v>20 inch Sport</v>
      </c>
      <c r="Q1387" s="152" t="str">
        <f>IFERROR(__xludf.DUMMYFUNCTION("""COMPUTED_VALUE"""),"Black seats")</f>
        <v>Black seats</v>
      </c>
      <c r="R1387" s="149" t="str">
        <f>IFERROR(__xludf.DUMMYFUNCTION("""COMPUTED_VALUE"""),"Full Self-Driving")</f>
        <v>Full Self-Driving</v>
      </c>
      <c r="S1387" s="149"/>
      <c r="T1387" s="145"/>
      <c r="U1387" s="145"/>
      <c r="V1387" s="145"/>
      <c r="W1387" s="136"/>
      <c r="X1387" s="137" t="str">
        <f>IFERROR(__xludf.DUMMYFUNCTION("""COMPUTED_VALUE"""),"Excellent")</f>
        <v>Excellent</v>
      </c>
      <c r="Y1387" s="138" t="str">
        <f>IFERROR(__xludf.DUMMYFUNCTION("""COMPUTED_VALUE"""),"Excellent")</f>
        <v>Excellent</v>
      </c>
      <c r="Z1387" s="138" t="str">
        <f>IFERROR(__xludf.DUMMYFUNCTION("""COMPUTED_VALUE"""),"Excellent")</f>
        <v>Excellent</v>
      </c>
      <c r="AA1387" s="138" t="str">
        <f>IFERROR(__xludf.DUMMYFUNCTION("""COMPUTED_VALUE"""),"Fair")</f>
        <v>Fair</v>
      </c>
      <c r="AB1387" s="138" t="str">
        <f>IFERROR(__xludf.DUMMYFUNCTION("""COMPUTED_VALUE"""),"Very Good")</f>
        <v>Very Good</v>
      </c>
      <c r="AC1387" s="139">
        <f>IFERROR(__xludf.DUMMYFUNCTION("""COMPUTED_VALUE"""),0.0)</f>
        <v>0</v>
      </c>
      <c r="AD1387" s="139">
        <f>IFERROR(__xludf.DUMMYFUNCTION("""COMPUTED_VALUE"""),0.0)</f>
        <v>0</v>
      </c>
      <c r="AE1387" s="139">
        <f>IFERROR(__xludf.DUMMYFUNCTION("""COMPUTED_VALUE"""),0.0)</f>
        <v>0</v>
      </c>
      <c r="AF1387" s="140"/>
      <c r="AG1387" s="136"/>
      <c r="AH1387" s="157">
        <f>IFERROR(__xludf.DUMMYFUNCTION("""COMPUTED_VALUE"""),43896.37544627315)</f>
        <v>43896.37545</v>
      </c>
      <c r="AI1387" s="138"/>
      <c r="AJ1387" s="138"/>
      <c r="AK1387" s="138"/>
      <c r="AL1387" s="142"/>
    </row>
    <row r="1388" ht="20.25" customHeight="1">
      <c r="A1388" s="155" t="str">
        <f>IFERROR(__xludf.DUMMYFUNCTION("""COMPUTED_VALUE"""),"Jack!")</f>
        <v>Jack!</v>
      </c>
      <c r="B1388" s="149" t="str">
        <f>IFERROR(__xludf.DUMMYFUNCTION("""COMPUTED_VALUE"""),"Columbus")</f>
        <v>Columbus</v>
      </c>
      <c r="C1388" s="149" t="str">
        <f>IFERROR(__xludf.DUMMYFUNCTION("""COMPUTED_VALUE"""),"OH")</f>
        <v>OH</v>
      </c>
      <c r="D1388" s="149" t="str">
        <f>IFERROR(__xludf.DUMMYFUNCTION("""COMPUTED_VALUE"""),"USA")</f>
        <v>USA</v>
      </c>
      <c r="E1388" s="156">
        <f>IFERROR(__xludf.DUMMYFUNCTION("""COMPUTED_VALUE"""),43840.0)</f>
        <v>43840</v>
      </c>
      <c r="F1388" s="129">
        <f>IFERROR(__xludf.DUMMYFUNCTION("""COMPUTED_VALUE"""),43856.0)</f>
        <v>43856</v>
      </c>
      <c r="G1388" s="154"/>
      <c r="H1388" s="131">
        <f>IFERROR(__xludf.DUMMYFUNCTION("""COMPUTED_VALUE"""),639503.0)</f>
        <v>639503</v>
      </c>
      <c r="I1388" s="144"/>
      <c r="J1388" s="129">
        <f>IFERROR(__xludf.DUMMYFUNCTION("""COMPUTED_VALUE"""),43875.0)</f>
        <v>43875</v>
      </c>
      <c r="K1388" s="133">
        <f>IFERROR(__xludf.DUMMYFUNCTION("""COMPUTED_VALUE"""),16.0)</f>
        <v>16</v>
      </c>
      <c r="L1388" s="133">
        <f>IFERROR(__xludf.DUMMYFUNCTION("""COMPUTED_VALUE"""),19.0)</f>
        <v>19</v>
      </c>
      <c r="M1388" s="133">
        <f>IFERROR(__xludf.DUMMYFUNCTION("""COMPUTED_VALUE"""),35.0)</f>
        <v>35</v>
      </c>
      <c r="N1388" s="152" t="str">
        <f>IFERROR(__xludf.DUMMYFUNCTION("""COMPUTED_VALUE"""),"Model 3 LR AWD")</f>
        <v>Model 3 LR AWD</v>
      </c>
      <c r="O1388" s="152" t="str">
        <f>IFERROR(__xludf.DUMMYFUNCTION("""COMPUTED_VALUE"""),"Pearl White Multi-Coat")</f>
        <v>Pearl White Multi-Coat</v>
      </c>
      <c r="P1388" s="153" t="str">
        <f>IFERROR(__xludf.DUMMYFUNCTION("""COMPUTED_VALUE"""),"18 inch Aero")</f>
        <v>18 inch Aero</v>
      </c>
      <c r="Q1388" s="152" t="str">
        <f>IFERROR(__xludf.DUMMYFUNCTION("""COMPUTED_VALUE"""),"White seats")</f>
        <v>White seats</v>
      </c>
      <c r="R1388" s="149" t="str">
        <f>IFERROR(__xludf.DUMMYFUNCTION("""COMPUTED_VALUE"""),"Autopilot")</f>
        <v>Autopilot</v>
      </c>
      <c r="S1388" s="149"/>
      <c r="T1388" s="145"/>
      <c r="U1388" s="145"/>
      <c r="V1388" s="145"/>
      <c r="W1388" s="136"/>
      <c r="X1388" s="137" t="str">
        <f>IFERROR(__xludf.DUMMYFUNCTION("""COMPUTED_VALUE"""),"Excellent")</f>
        <v>Excellent</v>
      </c>
      <c r="Y1388" s="138" t="str">
        <f>IFERROR(__xludf.DUMMYFUNCTION("""COMPUTED_VALUE"""),"Excellent")</f>
        <v>Excellent</v>
      </c>
      <c r="Z1388" s="138" t="str">
        <f>IFERROR(__xludf.DUMMYFUNCTION("""COMPUTED_VALUE"""),"Excellent")</f>
        <v>Excellent</v>
      </c>
      <c r="AA1388" s="138" t="str">
        <f>IFERROR(__xludf.DUMMYFUNCTION("""COMPUTED_VALUE"""),"Excellent")</f>
        <v>Excellent</v>
      </c>
      <c r="AB1388" s="138" t="str">
        <f>IFERROR(__xludf.DUMMYFUNCTION("""COMPUTED_VALUE"""),"Excellent")</f>
        <v>Excellent</v>
      </c>
      <c r="AC1388" s="139">
        <f>IFERROR(__xludf.DUMMYFUNCTION("""COMPUTED_VALUE"""),0.0)</f>
        <v>0</v>
      </c>
      <c r="AD1388" s="139">
        <f>IFERROR(__xludf.DUMMYFUNCTION("""COMPUTED_VALUE"""),0.0)</f>
        <v>0</v>
      </c>
      <c r="AE1388" s="139">
        <f>IFERROR(__xludf.DUMMYFUNCTION("""COMPUTED_VALUE"""),0.0)</f>
        <v>0</v>
      </c>
      <c r="AF1388" s="140"/>
      <c r="AG1388" s="136" t="str">
        <f>IFERROR(__xludf.DUMMYFUNCTION("""COMPUTED_VALUE"""),"VIN in Source Code 1/26. Delivery appt. for 2/12. Ready on 2/11, I postponed to 2/14.")</f>
        <v>VIN in Source Code 1/26. Delivery appt. for 2/12. Ready on 2/11, I postponed to 2/14.</v>
      </c>
      <c r="AH1388" s="157">
        <f>IFERROR(__xludf.DUMMYFUNCTION("""COMPUTED_VALUE"""),43879.42601136574)</f>
        <v>43879.42601</v>
      </c>
      <c r="AI1388" s="138"/>
      <c r="AJ1388" s="138"/>
      <c r="AK1388" s="138"/>
      <c r="AL1388" s="142"/>
    </row>
    <row r="1389" ht="20.25" customHeight="1">
      <c r="A1389" s="155" t="str">
        <f>IFERROR(__xludf.DUMMYFUNCTION("""COMPUTED_VALUE"""),"Technological")</f>
        <v>Technological</v>
      </c>
      <c r="B1389" s="149" t="str">
        <f>IFERROR(__xludf.DUMMYFUNCTION("""COMPUTED_VALUE"""),"Abbotsford")</f>
        <v>Abbotsford</v>
      </c>
      <c r="C1389" s="149" t="str">
        <f>IFERROR(__xludf.DUMMYFUNCTION("""COMPUTED_VALUE"""),"BC")</f>
        <v>BC</v>
      </c>
      <c r="D1389" s="149" t="str">
        <f>IFERROR(__xludf.DUMMYFUNCTION("""COMPUTED_VALUE"""),"Canada")</f>
        <v>Canada</v>
      </c>
      <c r="E1389" s="156">
        <f>IFERROR(__xludf.DUMMYFUNCTION("""COMPUTED_VALUE"""),43840.0)</f>
        <v>43840</v>
      </c>
      <c r="F1389" s="129">
        <f>IFERROR(__xludf.DUMMYFUNCTION("""COMPUTED_VALUE"""),43874.0)</f>
        <v>43874</v>
      </c>
      <c r="G1389" s="154"/>
      <c r="H1389" s="131">
        <f>IFERROR(__xludf.DUMMYFUNCTION("""COMPUTED_VALUE"""),643675.0)</f>
        <v>643675</v>
      </c>
      <c r="I1389" s="144" t="str">
        <f>IFERROR(__xludf.DUMMYFUNCTION("""COMPUTED_VALUE"""),"12/19")</f>
        <v>12/19</v>
      </c>
      <c r="J1389" s="129">
        <f>IFERROR(__xludf.DUMMYFUNCTION("""COMPUTED_VALUE"""),43877.0)</f>
        <v>43877</v>
      </c>
      <c r="K1389" s="133">
        <f>IFERROR(__xludf.DUMMYFUNCTION("""COMPUTED_VALUE"""),34.0)</f>
        <v>34</v>
      </c>
      <c r="L1389" s="133">
        <f>IFERROR(__xludf.DUMMYFUNCTION("""COMPUTED_VALUE"""),3.0)</f>
        <v>3</v>
      </c>
      <c r="M1389" s="133">
        <f>IFERROR(__xludf.DUMMYFUNCTION("""COMPUTED_VALUE"""),37.0)</f>
        <v>37</v>
      </c>
      <c r="N1389" s="152" t="str">
        <f>IFERROR(__xludf.DUMMYFUNCTION("""COMPUTED_VALUE"""),"Model 3 Performance")</f>
        <v>Model 3 Performance</v>
      </c>
      <c r="O1389" s="152" t="str">
        <f>IFERROR(__xludf.DUMMYFUNCTION("""COMPUTED_VALUE"""),"Deep Blue Metallic")</f>
        <v>Deep Blue Metallic</v>
      </c>
      <c r="P1389" s="153" t="str">
        <f>IFERROR(__xludf.DUMMYFUNCTION("""COMPUTED_VALUE"""),"20 inch Sport")</f>
        <v>20 inch Sport</v>
      </c>
      <c r="Q1389" s="152" t="str">
        <f>IFERROR(__xludf.DUMMYFUNCTION("""COMPUTED_VALUE"""),"Black seats")</f>
        <v>Black seats</v>
      </c>
      <c r="R1389" s="149" t="str">
        <f>IFERROR(__xludf.DUMMYFUNCTION("""COMPUTED_VALUE"""),"Full Self-Driving")</f>
        <v>Full Self-Driving</v>
      </c>
      <c r="S1389" s="149"/>
      <c r="T1389" s="145"/>
      <c r="U1389" s="145"/>
      <c r="V1389" s="145"/>
      <c r="W1389" s="136"/>
      <c r="X1389" s="137" t="str">
        <f>IFERROR(__xludf.DUMMYFUNCTION("""COMPUTED_VALUE"""),"Excellent")</f>
        <v>Excellent</v>
      </c>
      <c r="Y1389" s="138" t="str">
        <f>IFERROR(__xludf.DUMMYFUNCTION("""COMPUTED_VALUE"""),"Good")</f>
        <v>Good</v>
      </c>
      <c r="Z1389" s="138" t="str">
        <f>IFERROR(__xludf.DUMMYFUNCTION("""COMPUTED_VALUE"""),"Very Good")</f>
        <v>Very Good</v>
      </c>
      <c r="AA1389" s="138" t="str">
        <f>IFERROR(__xludf.DUMMYFUNCTION("""COMPUTED_VALUE"""),"Good")</f>
        <v>Good</v>
      </c>
      <c r="AB1389" s="138" t="str">
        <f>IFERROR(__xludf.DUMMYFUNCTION("""COMPUTED_VALUE"""),"Very Good")</f>
        <v>Very Good</v>
      </c>
      <c r="AC1389" s="139">
        <f>IFERROR(__xludf.DUMMYFUNCTION("""COMPUTED_VALUE"""),0.0)</f>
        <v>0</v>
      </c>
      <c r="AD1389" s="139">
        <f>IFERROR(__xludf.DUMMYFUNCTION("""COMPUTED_VALUE"""),1.0)</f>
        <v>1</v>
      </c>
      <c r="AE1389" s="139">
        <f>IFERROR(__xludf.DUMMYFUNCTION("""COMPUTED_VALUE"""),0.0)</f>
        <v>0</v>
      </c>
      <c r="AF1389" s="140"/>
      <c r="AG1389" s="136" t="str">
        <f>IFERROR(__xludf.DUMMYFUNCTION("""COMPUTED_VALUE"""),"Original order was due mid march. On Feb 13th I noticed a Deep Blue Metallic Performance showing in inventory and emailed my SA to swap. Still waiting confirmation but order switched same say and page populated with hidden VIN within an hour of my convers"&amp;"ation. ")</f>
        <v>Original order was due mid march. On Feb 13th I noticed a Deep Blue Metallic Performance showing in inventory and emailed my SA to swap. Still waiting confirmation but order switched same say and page populated with hidden VIN within an hour of my conversation. </v>
      </c>
      <c r="AH1389" s="157">
        <f>IFERROR(__xludf.DUMMYFUNCTION("""COMPUTED_VALUE"""),43895.44909230324)</f>
        <v>43895.44909</v>
      </c>
      <c r="AI1389" s="138"/>
      <c r="AJ1389" s="138"/>
      <c r="AK1389" s="138"/>
      <c r="AL1389" s="142"/>
    </row>
    <row r="1390" ht="20.25" customHeight="1">
      <c r="A1390" s="155" t="str">
        <f>IFERROR(__xludf.DUMMYFUNCTION("""COMPUTED_VALUE"""),"ckeelen")</f>
        <v>ckeelen</v>
      </c>
      <c r="B1390" s="149" t="str">
        <f>IFERROR(__xludf.DUMMYFUNCTION("""COMPUTED_VALUE"""),"Tehachapi")</f>
        <v>Tehachapi</v>
      </c>
      <c r="C1390" s="149" t="str">
        <f>IFERROR(__xludf.DUMMYFUNCTION("""COMPUTED_VALUE"""),"CA")</f>
        <v>CA</v>
      </c>
      <c r="D1390" s="149" t="str">
        <f>IFERROR(__xludf.DUMMYFUNCTION("""COMPUTED_VALUE"""),"USA")</f>
        <v>USA</v>
      </c>
      <c r="E1390" s="156">
        <f>IFERROR(__xludf.DUMMYFUNCTION("""COMPUTED_VALUE"""),43839.0)</f>
        <v>43839</v>
      </c>
      <c r="F1390" s="129">
        <f>IFERROR(__xludf.DUMMYFUNCTION("""COMPUTED_VALUE"""),43881.0)</f>
        <v>43881</v>
      </c>
      <c r="G1390" s="154"/>
      <c r="H1390" s="131">
        <f>IFERROR(__xludf.DUMMYFUNCTION("""COMPUTED_VALUE"""),642374.0)</f>
        <v>642374</v>
      </c>
      <c r="I1390" s="144"/>
      <c r="J1390" s="129">
        <f>IFERROR(__xludf.DUMMYFUNCTION("""COMPUTED_VALUE"""),43886.0)</f>
        <v>43886</v>
      </c>
      <c r="K1390" s="133">
        <f>IFERROR(__xludf.DUMMYFUNCTION("""COMPUTED_VALUE"""),42.0)</f>
        <v>42</v>
      </c>
      <c r="L1390" s="133">
        <f>IFERROR(__xludf.DUMMYFUNCTION("""COMPUTED_VALUE"""),5.0)</f>
        <v>5</v>
      </c>
      <c r="M1390" s="133">
        <f>IFERROR(__xludf.DUMMYFUNCTION("""COMPUTED_VALUE"""),47.0)</f>
        <v>47</v>
      </c>
      <c r="N1390" s="152" t="str">
        <f>IFERROR(__xludf.DUMMYFUNCTION("""COMPUTED_VALUE"""),"Model 3 SR+")</f>
        <v>Model 3 SR+</v>
      </c>
      <c r="O1390" s="152" t="str">
        <f>IFERROR(__xludf.DUMMYFUNCTION("""COMPUTED_VALUE"""),"Midnight Silver Metallic")</f>
        <v>Midnight Silver Metallic</v>
      </c>
      <c r="P1390" s="153" t="str">
        <f>IFERROR(__xludf.DUMMYFUNCTION("""COMPUTED_VALUE"""),"18 inch Aero")</f>
        <v>18 inch Aero</v>
      </c>
      <c r="Q1390" s="152" t="str">
        <f>IFERROR(__xludf.DUMMYFUNCTION("""COMPUTED_VALUE"""),"Black seats")</f>
        <v>Black seats</v>
      </c>
      <c r="R1390" s="149" t="str">
        <f>IFERROR(__xludf.DUMMYFUNCTION("""COMPUTED_VALUE"""),"Autopilot")</f>
        <v>Autopilot</v>
      </c>
      <c r="S1390" s="149"/>
      <c r="T1390" s="145"/>
      <c r="U1390" s="145"/>
      <c r="V1390" s="145"/>
      <c r="W1390" s="136"/>
      <c r="X1390" s="137" t="str">
        <f>IFERROR(__xludf.DUMMYFUNCTION("""COMPUTED_VALUE"""),"Excellent")</f>
        <v>Excellent</v>
      </c>
      <c r="Y1390" s="138" t="str">
        <f>IFERROR(__xludf.DUMMYFUNCTION("""COMPUTED_VALUE"""),"Excellent")</f>
        <v>Excellent</v>
      </c>
      <c r="Z1390" s="138" t="str">
        <f>IFERROR(__xludf.DUMMYFUNCTION("""COMPUTED_VALUE"""),"Good")</f>
        <v>Good</v>
      </c>
      <c r="AA1390" s="138" t="str">
        <f>IFERROR(__xludf.DUMMYFUNCTION("""COMPUTED_VALUE"""),"Excellent")</f>
        <v>Excellent</v>
      </c>
      <c r="AB1390" s="138" t="str">
        <f>IFERROR(__xludf.DUMMYFUNCTION("""COMPUTED_VALUE"""),"Excellent")</f>
        <v>Excellent</v>
      </c>
      <c r="AC1390" s="139">
        <f>IFERROR(__xludf.DUMMYFUNCTION("""COMPUTED_VALUE"""),2.0)</f>
        <v>2</v>
      </c>
      <c r="AD1390" s="139">
        <f>IFERROR(__xludf.DUMMYFUNCTION("""COMPUTED_VALUE"""),1.0)</f>
        <v>1</v>
      </c>
      <c r="AE1390" s="139"/>
      <c r="AF1390" s="140"/>
      <c r="AG1390" s="136" t="str">
        <f>IFERROR(__xludf.DUMMYFUNCTION("""COMPUTED_VALUE"""),"Found a gouge in the passenger side window during my walkthrough")</f>
        <v>Found a gouge in the passenger side window during my walkthrough</v>
      </c>
      <c r="AH1390" s="157">
        <f>IFERROR(__xludf.DUMMYFUNCTION("""COMPUTED_VALUE"""),43892.36732557871)</f>
        <v>43892.36733</v>
      </c>
      <c r="AI1390" s="138"/>
      <c r="AJ1390" s="138"/>
      <c r="AK1390" s="138"/>
      <c r="AL1390" s="142"/>
    </row>
    <row r="1391" ht="20.25" customHeight="1">
      <c r="A1391" s="155" t="str">
        <f>IFERROR(__xludf.DUMMYFUNCTION("""COMPUTED_VALUE"""),"craigdolson80")</f>
        <v>craigdolson80</v>
      </c>
      <c r="B1391" s="149" t="str">
        <f>IFERROR(__xludf.DUMMYFUNCTION("""COMPUTED_VALUE"""),"Loves Park")</f>
        <v>Loves Park</v>
      </c>
      <c r="C1391" s="149" t="str">
        <f>IFERROR(__xludf.DUMMYFUNCTION("""COMPUTED_VALUE"""),"IL")</f>
        <v>IL</v>
      </c>
      <c r="D1391" s="149" t="str">
        <f>IFERROR(__xludf.DUMMYFUNCTION("""COMPUTED_VALUE"""),"USA")</f>
        <v>USA</v>
      </c>
      <c r="E1391" s="156">
        <f>IFERROR(__xludf.DUMMYFUNCTION("""COMPUTED_VALUE"""),43839.0)</f>
        <v>43839</v>
      </c>
      <c r="F1391" s="129">
        <f>IFERROR(__xludf.DUMMYFUNCTION("""COMPUTED_VALUE"""),43857.0)</f>
        <v>43857</v>
      </c>
      <c r="G1391" s="154"/>
      <c r="H1391" s="131">
        <f>IFERROR(__xludf.DUMMYFUNCTION("""COMPUTED_VALUE"""),628555.0)</f>
        <v>628555</v>
      </c>
      <c r="I1391" s="144"/>
      <c r="J1391" s="129">
        <f>IFERROR(__xludf.DUMMYFUNCTION("""COMPUTED_VALUE"""),43871.0)</f>
        <v>43871</v>
      </c>
      <c r="K1391" s="133">
        <f>IFERROR(__xludf.DUMMYFUNCTION("""COMPUTED_VALUE"""),18.0)</f>
        <v>18</v>
      </c>
      <c r="L1391" s="133">
        <f>IFERROR(__xludf.DUMMYFUNCTION("""COMPUTED_VALUE"""),14.0)</f>
        <v>14</v>
      </c>
      <c r="M1391" s="133">
        <f>IFERROR(__xludf.DUMMYFUNCTION("""COMPUTED_VALUE"""),32.0)</f>
        <v>32</v>
      </c>
      <c r="N1391" s="152" t="str">
        <f>IFERROR(__xludf.DUMMYFUNCTION("""COMPUTED_VALUE"""),"Model 3 LR AWD")</f>
        <v>Model 3 LR AWD</v>
      </c>
      <c r="O1391" s="152" t="str">
        <f>IFERROR(__xludf.DUMMYFUNCTION("""COMPUTED_VALUE"""),"Pearl White Multi-Coat")</f>
        <v>Pearl White Multi-Coat</v>
      </c>
      <c r="P1391" s="153" t="str">
        <f>IFERROR(__xludf.DUMMYFUNCTION("""COMPUTED_VALUE"""),"19 inch Sport")</f>
        <v>19 inch Sport</v>
      </c>
      <c r="Q1391" s="152" t="str">
        <f>IFERROR(__xludf.DUMMYFUNCTION("""COMPUTED_VALUE"""),"Black seats")</f>
        <v>Black seats</v>
      </c>
      <c r="R1391" s="149" t="str">
        <f>IFERROR(__xludf.DUMMYFUNCTION("""COMPUTED_VALUE"""),"Autopilot")</f>
        <v>Autopilot</v>
      </c>
      <c r="S1391" s="149"/>
      <c r="T1391" s="145"/>
      <c r="U1391" s="145"/>
      <c r="V1391" s="145"/>
      <c r="W1391" s="136"/>
      <c r="X1391" s="137" t="str">
        <f>IFERROR(__xludf.DUMMYFUNCTION("""COMPUTED_VALUE"""),"Very Good")</f>
        <v>Very Good</v>
      </c>
      <c r="Y1391" s="138" t="str">
        <f>IFERROR(__xludf.DUMMYFUNCTION("""COMPUTED_VALUE"""),"Excellent")</f>
        <v>Excellent</v>
      </c>
      <c r="Z1391" s="138" t="str">
        <f>IFERROR(__xludf.DUMMYFUNCTION("""COMPUTED_VALUE"""),"Excellent")</f>
        <v>Excellent</v>
      </c>
      <c r="AA1391" s="138" t="str">
        <f>IFERROR(__xludf.DUMMYFUNCTION("""COMPUTED_VALUE"""),"Very Good")</f>
        <v>Very Good</v>
      </c>
      <c r="AB1391" s="138" t="str">
        <f>IFERROR(__xludf.DUMMYFUNCTION("""COMPUTED_VALUE"""),"Excellent")</f>
        <v>Excellent</v>
      </c>
      <c r="AC1391" s="139"/>
      <c r="AD1391" s="139"/>
      <c r="AE1391" s="139"/>
      <c r="AF1391" s="140"/>
      <c r="AG1391" s="136" t="str">
        <f>IFERROR(__xludf.DUMMYFUNCTION("""COMPUTED_VALUE"""),"Text message received on 1/23. Estimated delivery 1-6 weeks. New txt on 1/29 to schedule appointment for pickup on 2/10")</f>
        <v>Text message received on 1/23. Estimated delivery 1-6 weeks. New txt on 1/29 to schedule appointment for pickup on 2/10</v>
      </c>
      <c r="AH1391" s="157">
        <f>IFERROR(__xludf.DUMMYFUNCTION("""COMPUTED_VALUE"""),43870.27791693287)</f>
        <v>43870.27792</v>
      </c>
      <c r="AI1391" s="138"/>
      <c r="AJ1391" s="138"/>
      <c r="AK1391" s="138"/>
      <c r="AL1391" s="142"/>
    </row>
    <row r="1392" ht="20.25" customHeight="1">
      <c r="A1392" s="155" t="str">
        <f>IFERROR(__xludf.DUMMYFUNCTION("""COMPUTED_VALUE"""),"originalzaphod")</f>
        <v>originalzaphod</v>
      </c>
      <c r="B1392" s="149" t="str">
        <f>IFERROR(__xludf.DUMMYFUNCTION("""COMPUTED_VALUE"""),"Dublin, Ireland")</f>
        <v>Dublin, Ireland</v>
      </c>
      <c r="C1392" s="149"/>
      <c r="D1392" s="149" t="str">
        <f>IFERROR(__xludf.DUMMYFUNCTION("""COMPUTED_VALUE"""),"Other (include country together with city)")</f>
        <v>Other (include country together with city)</v>
      </c>
      <c r="E1392" s="156">
        <f>IFERROR(__xludf.DUMMYFUNCTION("""COMPUTED_VALUE"""),43839.0)</f>
        <v>43839</v>
      </c>
      <c r="F1392" s="129">
        <f>IFERROR(__xludf.DUMMYFUNCTION("""COMPUTED_VALUE"""),43846.0)</f>
        <v>43846</v>
      </c>
      <c r="G1392" s="154"/>
      <c r="H1392" s="131">
        <f>IFERROR(__xludf.DUMMYFUNCTION("""COMPUTED_VALUE"""),582955.0)</f>
        <v>582955</v>
      </c>
      <c r="I1392" s="144"/>
      <c r="J1392" s="129">
        <f>IFERROR(__xludf.DUMMYFUNCTION("""COMPUTED_VALUE"""),43873.0)</f>
        <v>43873</v>
      </c>
      <c r="K1392" s="133">
        <f>IFERROR(__xludf.DUMMYFUNCTION("""COMPUTED_VALUE"""),7.0)</f>
        <v>7</v>
      </c>
      <c r="L1392" s="133">
        <f>IFERROR(__xludf.DUMMYFUNCTION("""COMPUTED_VALUE"""),27.0)</f>
        <v>27</v>
      </c>
      <c r="M1392" s="133">
        <f>IFERROR(__xludf.DUMMYFUNCTION("""COMPUTED_VALUE"""),34.0)</f>
        <v>34</v>
      </c>
      <c r="N1392" s="152" t="str">
        <f>IFERROR(__xludf.DUMMYFUNCTION("""COMPUTED_VALUE"""),"Model 3 Performance")</f>
        <v>Model 3 Performance</v>
      </c>
      <c r="O1392" s="152" t="str">
        <f>IFERROR(__xludf.DUMMYFUNCTION("""COMPUTED_VALUE"""),"Pearl White Multi-Coat")</f>
        <v>Pearl White Multi-Coat</v>
      </c>
      <c r="P1392" s="153" t="str">
        <f>IFERROR(__xludf.DUMMYFUNCTION("""COMPUTED_VALUE"""),"20 inch Sport")</f>
        <v>20 inch Sport</v>
      </c>
      <c r="Q1392" s="152" t="str">
        <f>IFERROR(__xludf.DUMMYFUNCTION("""COMPUTED_VALUE"""),"Black seats")</f>
        <v>Black seats</v>
      </c>
      <c r="R1392" s="149" t="str">
        <f>IFERROR(__xludf.DUMMYFUNCTION("""COMPUTED_VALUE"""),"Autopilot")</f>
        <v>Autopilot</v>
      </c>
      <c r="S1392" s="149"/>
      <c r="T1392" s="145"/>
      <c r="U1392" s="145"/>
      <c r="V1392" s="145"/>
      <c r="W1392" s="136"/>
      <c r="X1392" s="137" t="str">
        <f>IFERROR(__xludf.DUMMYFUNCTION("""COMPUTED_VALUE"""),"Very Good")</f>
        <v>Very Good</v>
      </c>
      <c r="Y1392" s="138" t="str">
        <f>IFERROR(__xludf.DUMMYFUNCTION("""COMPUTED_VALUE"""),"Good")</f>
        <v>Good</v>
      </c>
      <c r="Z1392" s="138" t="str">
        <f>IFERROR(__xludf.DUMMYFUNCTION("""COMPUTED_VALUE"""),"Very Good")</f>
        <v>Very Good</v>
      </c>
      <c r="AA1392" s="138" t="str">
        <f>IFERROR(__xludf.DUMMYFUNCTION("""COMPUTED_VALUE"""),"Very Good")</f>
        <v>Very Good</v>
      </c>
      <c r="AB1392" s="138" t="str">
        <f>IFERROR(__xludf.DUMMYFUNCTION("""COMPUTED_VALUE"""),"Very Good")</f>
        <v>Very Good</v>
      </c>
      <c r="AC1392" s="139">
        <f>IFERROR(__xludf.DUMMYFUNCTION("""COMPUTED_VALUE"""),2.0)</f>
        <v>2</v>
      </c>
      <c r="AD1392" s="139">
        <f>IFERROR(__xludf.DUMMYFUNCTION("""COMPUTED_VALUE"""),1.0)</f>
        <v>1</v>
      </c>
      <c r="AE1392" s="139"/>
      <c r="AF1392" s="140"/>
      <c r="AG1392" s="136"/>
      <c r="AH1392" s="157">
        <f>IFERROR(__xludf.DUMMYFUNCTION("""COMPUTED_VALUE"""),43887.52420305556)</f>
        <v>43887.5242</v>
      </c>
      <c r="AI1392" s="138"/>
      <c r="AJ1392" s="138"/>
      <c r="AK1392" s="138"/>
      <c r="AL1392" s="142"/>
    </row>
    <row r="1393" ht="20.25" customHeight="1">
      <c r="A1393" s="155" t="str">
        <f>IFERROR(__xludf.DUMMYFUNCTION("""COMPUTED_VALUE"""),"PhiREflY")</f>
        <v>PhiREflY</v>
      </c>
      <c r="B1393" s="149" t="str">
        <f>IFERROR(__xludf.DUMMYFUNCTION("""COMPUTED_VALUE"""),"Mason")</f>
        <v>Mason</v>
      </c>
      <c r="C1393" s="149" t="str">
        <f>IFERROR(__xludf.DUMMYFUNCTION("""COMPUTED_VALUE"""),"OH")</f>
        <v>OH</v>
      </c>
      <c r="D1393" s="149" t="str">
        <f>IFERROR(__xludf.DUMMYFUNCTION("""COMPUTED_VALUE"""),"USA")</f>
        <v>USA</v>
      </c>
      <c r="E1393" s="156">
        <f>IFERROR(__xludf.DUMMYFUNCTION("""COMPUTED_VALUE"""),43839.0)</f>
        <v>43839</v>
      </c>
      <c r="F1393" s="129">
        <f>IFERROR(__xludf.DUMMYFUNCTION("""COMPUTED_VALUE"""),43863.0)</f>
        <v>43863</v>
      </c>
      <c r="G1393" s="154"/>
      <c r="H1393" s="131">
        <f>IFERROR(__xludf.DUMMYFUNCTION("""COMPUTED_VALUE"""),636829.0)</f>
        <v>636829</v>
      </c>
      <c r="I1393" s="144"/>
      <c r="J1393" s="129">
        <f>IFERROR(__xludf.DUMMYFUNCTION("""COMPUTED_VALUE"""),43870.0)</f>
        <v>43870</v>
      </c>
      <c r="K1393" s="133">
        <f>IFERROR(__xludf.DUMMYFUNCTION("""COMPUTED_VALUE"""),24.0)</f>
        <v>24</v>
      </c>
      <c r="L1393" s="133">
        <f>IFERROR(__xludf.DUMMYFUNCTION("""COMPUTED_VALUE"""),7.0)</f>
        <v>7</v>
      </c>
      <c r="M1393" s="133">
        <f>IFERROR(__xludf.DUMMYFUNCTION("""COMPUTED_VALUE"""),31.0)</f>
        <v>31</v>
      </c>
      <c r="N1393" s="152" t="str">
        <f>IFERROR(__xludf.DUMMYFUNCTION("""COMPUTED_VALUE"""),"Model 3 LR AWD")</f>
        <v>Model 3 LR AWD</v>
      </c>
      <c r="O1393" s="152" t="str">
        <f>IFERROR(__xludf.DUMMYFUNCTION("""COMPUTED_VALUE"""),"Pearl White Multi-Coat")</f>
        <v>Pearl White Multi-Coat</v>
      </c>
      <c r="P1393" s="153" t="str">
        <f>IFERROR(__xludf.DUMMYFUNCTION("""COMPUTED_VALUE"""),"18 inch Aero")</f>
        <v>18 inch Aero</v>
      </c>
      <c r="Q1393" s="152" t="str">
        <f>IFERROR(__xludf.DUMMYFUNCTION("""COMPUTED_VALUE"""),"Black seats")</f>
        <v>Black seats</v>
      </c>
      <c r="R1393" s="149" t="str">
        <f>IFERROR(__xludf.DUMMYFUNCTION("""COMPUTED_VALUE"""),"Autopilot")</f>
        <v>Autopilot</v>
      </c>
      <c r="S1393" s="149"/>
      <c r="T1393" s="145"/>
      <c r="U1393" s="145"/>
      <c r="V1393" s="145"/>
      <c r="W1393" s="136"/>
      <c r="X1393" s="137" t="str">
        <f>IFERROR(__xludf.DUMMYFUNCTION("""COMPUTED_VALUE"""),"Excellent")</f>
        <v>Excellent</v>
      </c>
      <c r="Y1393" s="138" t="str">
        <f>IFERROR(__xludf.DUMMYFUNCTION("""COMPUTED_VALUE"""),"Very Good")</f>
        <v>Very Good</v>
      </c>
      <c r="Z1393" s="138" t="str">
        <f>IFERROR(__xludf.DUMMYFUNCTION("""COMPUTED_VALUE"""),"Excellent")</f>
        <v>Excellent</v>
      </c>
      <c r="AA1393" s="138" t="str">
        <f>IFERROR(__xludf.DUMMYFUNCTION("""COMPUTED_VALUE"""),"Good")</f>
        <v>Good</v>
      </c>
      <c r="AB1393" s="138" t="str">
        <f>IFERROR(__xludf.DUMMYFUNCTION("""COMPUTED_VALUE"""),"Excellent")</f>
        <v>Excellent</v>
      </c>
      <c r="AC1393" s="139">
        <f>IFERROR(__xludf.DUMMYFUNCTION("""COMPUTED_VALUE"""),1.0)</f>
        <v>1</v>
      </c>
      <c r="AD1393" s="139"/>
      <c r="AE1393" s="139"/>
      <c r="AF1393" s="140"/>
      <c r="AG1393" s="136"/>
      <c r="AH1393" s="157">
        <f>IFERROR(__xludf.DUMMYFUNCTION("""COMPUTED_VALUE"""),43870.79936568287)</f>
        <v>43870.79937</v>
      </c>
      <c r="AI1393" s="138"/>
      <c r="AJ1393" s="138"/>
      <c r="AK1393" s="138"/>
      <c r="AL1393" s="142"/>
    </row>
    <row r="1394" ht="20.25" customHeight="1">
      <c r="A1394" s="155" t="str">
        <f>IFERROR(__xludf.DUMMYFUNCTION("""COMPUTED_VALUE"""),"Westaust")</f>
        <v>Westaust</v>
      </c>
      <c r="B1394" s="149" t="str">
        <f>IFERROR(__xludf.DUMMYFUNCTION("""COMPUTED_VALUE"""),"Montreal")</f>
        <v>Montreal</v>
      </c>
      <c r="C1394" s="149" t="str">
        <f>IFERROR(__xludf.DUMMYFUNCTION("""COMPUTED_VALUE"""),"QC")</f>
        <v>QC</v>
      </c>
      <c r="D1394" s="149" t="str">
        <f>IFERROR(__xludf.DUMMYFUNCTION("""COMPUTED_VALUE"""),"Canada")</f>
        <v>Canada</v>
      </c>
      <c r="E1394" s="156">
        <f>IFERROR(__xludf.DUMMYFUNCTION("""COMPUTED_VALUE"""),43839.0)</f>
        <v>43839</v>
      </c>
      <c r="F1394" s="129">
        <f>IFERROR(__xludf.DUMMYFUNCTION("""COMPUTED_VALUE"""),43889.0)</f>
        <v>43889</v>
      </c>
      <c r="G1394" s="154"/>
      <c r="H1394" s="131">
        <f>IFERROR(__xludf.DUMMYFUNCTION("""COMPUTED_VALUE"""),704155.0)</f>
        <v>704155</v>
      </c>
      <c r="I1394" s="144" t="str">
        <f>IFERROR(__xludf.DUMMYFUNCTION("""COMPUTED_VALUE"""),"02/20")</f>
        <v>02/20</v>
      </c>
      <c r="J1394" s="129">
        <f>IFERROR(__xludf.DUMMYFUNCTION("""COMPUTED_VALUE"""),43906.0)</f>
        <v>43906</v>
      </c>
      <c r="K1394" s="133">
        <f>IFERROR(__xludf.DUMMYFUNCTION("""COMPUTED_VALUE"""),50.0)</f>
        <v>50</v>
      </c>
      <c r="L1394" s="133">
        <f>IFERROR(__xludf.DUMMYFUNCTION("""COMPUTED_VALUE"""),17.0)</f>
        <v>17</v>
      </c>
      <c r="M1394" s="133">
        <f>IFERROR(__xludf.DUMMYFUNCTION("""COMPUTED_VALUE"""),67.0)</f>
        <v>67</v>
      </c>
      <c r="N1394" s="152" t="str">
        <f>IFERROR(__xludf.DUMMYFUNCTION("""COMPUTED_VALUE"""),"Model 3 SR+")</f>
        <v>Model 3 SR+</v>
      </c>
      <c r="O1394" s="152" t="str">
        <f>IFERROR(__xludf.DUMMYFUNCTION("""COMPUTED_VALUE"""),"Pearl White Multi-Coat")</f>
        <v>Pearl White Multi-Coat</v>
      </c>
      <c r="P1394" s="153" t="str">
        <f>IFERROR(__xludf.DUMMYFUNCTION("""COMPUTED_VALUE"""),"18 inch Aero")</f>
        <v>18 inch Aero</v>
      </c>
      <c r="Q1394" s="152" t="str">
        <f>IFERROR(__xludf.DUMMYFUNCTION("""COMPUTED_VALUE"""),"Black seats")</f>
        <v>Black seats</v>
      </c>
      <c r="R1394" s="149" t="str">
        <f>IFERROR(__xludf.DUMMYFUNCTION("""COMPUTED_VALUE"""),"Autopilot")</f>
        <v>Autopilot</v>
      </c>
      <c r="S1394" s="149"/>
      <c r="T1394" s="145"/>
      <c r="U1394" s="145"/>
      <c r="V1394" s="145"/>
      <c r="W1394" s="136"/>
      <c r="X1394" s="137" t="str">
        <f>IFERROR(__xludf.DUMMYFUNCTION("""COMPUTED_VALUE"""),"Excellent")</f>
        <v>Excellent</v>
      </c>
      <c r="Y1394" s="138" t="str">
        <f>IFERROR(__xludf.DUMMYFUNCTION("""COMPUTED_VALUE"""),"Excellent")</f>
        <v>Excellent</v>
      </c>
      <c r="Z1394" s="138" t="str">
        <f>IFERROR(__xludf.DUMMYFUNCTION("""COMPUTED_VALUE"""),"Excellent")</f>
        <v>Excellent</v>
      </c>
      <c r="AA1394" s="138" t="str">
        <f>IFERROR(__xludf.DUMMYFUNCTION("""COMPUTED_VALUE"""),"Very Good")</f>
        <v>Very Good</v>
      </c>
      <c r="AB1394" s="138" t="str">
        <f>IFERROR(__xludf.DUMMYFUNCTION("""COMPUTED_VALUE"""),"Excellent")</f>
        <v>Excellent</v>
      </c>
      <c r="AC1394" s="139">
        <f>IFERROR(__xludf.DUMMYFUNCTION("""COMPUTED_VALUE"""),0.0)</f>
        <v>0</v>
      </c>
      <c r="AD1394" s="139">
        <f>IFERROR(__xludf.DUMMYFUNCTION("""COMPUTED_VALUE"""),0.0)</f>
        <v>0</v>
      </c>
      <c r="AE1394" s="139">
        <f>IFERROR(__xludf.DUMMYFUNCTION("""COMPUTED_VALUE"""),0.0)</f>
        <v>0</v>
      </c>
      <c r="AF1394" s="140"/>
      <c r="AG1394" s="136"/>
      <c r="AH1394" s="157">
        <f>IFERROR(__xludf.DUMMYFUNCTION("""COMPUTED_VALUE"""),44125.46156560185)</f>
        <v>44125.46157</v>
      </c>
      <c r="AI1394" s="138"/>
      <c r="AJ1394" s="138"/>
      <c r="AK1394" s="138"/>
      <c r="AL1394" s="142"/>
    </row>
    <row r="1395" ht="20.25" customHeight="1">
      <c r="A1395" s="155" t="str">
        <f>IFERROR(__xludf.DUMMYFUNCTION("""COMPUTED_VALUE"""),"Beto")</f>
        <v>Beto</v>
      </c>
      <c r="B1395" s="149" t="str">
        <f>IFERROR(__xludf.DUMMYFUNCTION("""COMPUTED_VALUE"""),"Buena Park")</f>
        <v>Buena Park</v>
      </c>
      <c r="C1395" s="149" t="str">
        <f>IFERROR(__xludf.DUMMYFUNCTION("""COMPUTED_VALUE"""),"CA")</f>
        <v>CA</v>
      </c>
      <c r="D1395" s="149" t="str">
        <f>IFERROR(__xludf.DUMMYFUNCTION("""COMPUTED_VALUE"""),"USA")</f>
        <v>USA</v>
      </c>
      <c r="E1395" s="156">
        <f>IFERROR(__xludf.DUMMYFUNCTION("""COMPUTED_VALUE"""),43838.0)</f>
        <v>43838</v>
      </c>
      <c r="F1395" s="129">
        <f>IFERROR(__xludf.DUMMYFUNCTION("""COMPUTED_VALUE"""),43846.0)</f>
        <v>43846</v>
      </c>
      <c r="G1395" s="154"/>
      <c r="H1395" s="131">
        <f>IFERROR(__xludf.DUMMYFUNCTION("""COMPUTED_VALUE"""),635701.0)</f>
        <v>635701</v>
      </c>
      <c r="I1395" s="144"/>
      <c r="J1395" s="129">
        <f>IFERROR(__xludf.DUMMYFUNCTION("""COMPUTED_VALUE"""),43854.0)</f>
        <v>43854</v>
      </c>
      <c r="K1395" s="133">
        <f>IFERROR(__xludf.DUMMYFUNCTION("""COMPUTED_VALUE"""),8.0)</f>
        <v>8</v>
      </c>
      <c r="L1395" s="133">
        <f>IFERROR(__xludf.DUMMYFUNCTION("""COMPUTED_VALUE"""),8.0)</f>
        <v>8</v>
      </c>
      <c r="M1395" s="133">
        <f>IFERROR(__xludf.DUMMYFUNCTION("""COMPUTED_VALUE"""),16.0)</f>
        <v>16</v>
      </c>
      <c r="N1395" s="152" t="str">
        <f>IFERROR(__xludf.DUMMYFUNCTION("""COMPUTED_VALUE"""),"Model 3 LR AWD")</f>
        <v>Model 3 LR AWD</v>
      </c>
      <c r="O1395" s="152" t="str">
        <f>IFERROR(__xludf.DUMMYFUNCTION("""COMPUTED_VALUE"""),"Midnight Silver Metallic")</f>
        <v>Midnight Silver Metallic</v>
      </c>
      <c r="P1395" s="153" t="str">
        <f>IFERROR(__xludf.DUMMYFUNCTION("""COMPUTED_VALUE"""),"18 inch Aero")</f>
        <v>18 inch Aero</v>
      </c>
      <c r="Q1395" s="152" t="str">
        <f>IFERROR(__xludf.DUMMYFUNCTION("""COMPUTED_VALUE"""),"Black seats")</f>
        <v>Black seats</v>
      </c>
      <c r="R1395" s="149" t="str">
        <f>IFERROR(__xludf.DUMMYFUNCTION("""COMPUTED_VALUE"""),"Autopilot")</f>
        <v>Autopilot</v>
      </c>
      <c r="S1395" s="149"/>
      <c r="T1395" s="145"/>
      <c r="U1395" s="145"/>
      <c r="V1395" s="145"/>
      <c r="W1395" s="136"/>
      <c r="X1395" s="137"/>
      <c r="Y1395" s="138"/>
      <c r="Z1395" s="138"/>
      <c r="AA1395" s="138"/>
      <c r="AB1395" s="138"/>
      <c r="AC1395" s="139">
        <f>IFERROR(__xludf.DUMMYFUNCTION("""COMPUTED_VALUE"""),1.0)</f>
        <v>1</v>
      </c>
      <c r="AD1395" s="139"/>
      <c r="AE1395" s="139"/>
      <c r="AF1395" s="140"/>
      <c r="AG1395" s="136" t="str">
        <f>IFERROR(__xludf.DUMMYFUNCTION("""COMPUTED_VALUE"""),"Keep delaying delivery due to chipped windshield repair, no clue when it’ll come on. ")</f>
        <v>Keep delaying delivery due to chipped windshield repair, no clue when it’ll come on. </v>
      </c>
      <c r="AH1395" s="157">
        <f>IFERROR(__xludf.DUMMYFUNCTION("""COMPUTED_VALUE"""),43849.85949422453)</f>
        <v>43849.85949</v>
      </c>
      <c r="AI1395" s="138"/>
      <c r="AJ1395" s="138"/>
      <c r="AK1395" s="138"/>
      <c r="AL1395" s="142"/>
    </row>
    <row r="1396" ht="20.25" customHeight="1">
      <c r="A1396" s="155" t="str">
        <f>IFERROR(__xludf.DUMMYFUNCTION("""COMPUTED_VALUE"""),"kevjwils")</f>
        <v>kevjwils</v>
      </c>
      <c r="B1396" s="149" t="str">
        <f>IFERROR(__xludf.DUMMYFUNCTION("""COMPUTED_VALUE"""),"Vancouver")</f>
        <v>Vancouver</v>
      </c>
      <c r="C1396" s="149" t="str">
        <f>IFERROR(__xludf.DUMMYFUNCTION("""COMPUTED_VALUE"""),"BC")</f>
        <v>BC</v>
      </c>
      <c r="D1396" s="149" t="str">
        <f>IFERROR(__xludf.DUMMYFUNCTION("""COMPUTED_VALUE"""),"Canada")</f>
        <v>Canada</v>
      </c>
      <c r="E1396" s="156">
        <f>IFERROR(__xludf.DUMMYFUNCTION("""COMPUTED_VALUE"""),43838.0)</f>
        <v>43838</v>
      </c>
      <c r="F1396" s="129">
        <f>IFERROR(__xludf.DUMMYFUNCTION("""COMPUTED_VALUE"""),43881.0)</f>
        <v>43881</v>
      </c>
      <c r="G1396" s="154"/>
      <c r="H1396" s="131">
        <f>IFERROR(__xludf.DUMMYFUNCTION("""COMPUTED_VALUE"""),703150.0)</f>
        <v>703150</v>
      </c>
      <c r="I1396" s="144" t="str">
        <f>IFERROR(__xludf.DUMMYFUNCTION("""COMPUTED_VALUE"""),"01/20")</f>
        <v>01/20</v>
      </c>
      <c r="J1396" s="129">
        <f>IFERROR(__xludf.DUMMYFUNCTION("""COMPUTED_VALUE"""),43886.0)</f>
        <v>43886</v>
      </c>
      <c r="K1396" s="133">
        <f>IFERROR(__xludf.DUMMYFUNCTION("""COMPUTED_VALUE"""),43.0)</f>
        <v>43</v>
      </c>
      <c r="L1396" s="133">
        <f>IFERROR(__xludf.DUMMYFUNCTION("""COMPUTED_VALUE"""),5.0)</f>
        <v>5</v>
      </c>
      <c r="M1396" s="133">
        <f>IFERROR(__xludf.DUMMYFUNCTION("""COMPUTED_VALUE"""),48.0)</f>
        <v>48</v>
      </c>
      <c r="N1396" s="152" t="str">
        <f>IFERROR(__xludf.DUMMYFUNCTION("""COMPUTED_VALUE"""),"Model 3 SR+")</f>
        <v>Model 3 SR+</v>
      </c>
      <c r="O1396" s="152" t="str">
        <f>IFERROR(__xludf.DUMMYFUNCTION("""COMPUTED_VALUE"""),"Midnight Silver Metallic")</f>
        <v>Midnight Silver Metallic</v>
      </c>
      <c r="P1396" s="153" t="str">
        <f>IFERROR(__xludf.DUMMYFUNCTION("""COMPUTED_VALUE"""),"18 inch Aero")</f>
        <v>18 inch Aero</v>
      </c>
      <c r="Q1396" s="152" t="str">
        <f>IFERROR(__xludf.DUMMYFUNCTION("""COMPUTED_VALUE"""),"Black seats")</f>
        <v>Black seats</v>
      </c>
      <c r="R1396" s="149" t="str">
        <f>IFERROR(__xludf.DUMMYFUNCTION("""COMPUTED_VALUE"""),"Autopilot")</f>
        <v>Autopilot</v>
      </c>
      <c r="S1396" s="149"/>
      <c r="T1396" s="145"/>
      <c r="U1396" s="145"/>
      <c r="V1396" s="145"/>
      <c r="W1396" s="136"/>
      <c r="X1396" s="137" t="str">
        <f>IFERROR(__xludf.DUMMYFUNCTION("""COMPUTED_VALUE"""),"Excellent")</f>
        <v>Excellent</v>
      </c>
      <c r="Y1396" s="138" t="str">
        <f>IFERROR(__xludf.DUMMYFUNCTION("""COMPUTED_VALUE"""),"Excellent")</f>
        <v>Excellent</v>
      </c>
      <c r="Z1396" s="138" t="str">
        <f>IFERROR(__xludf.DUMMYFUNCTION("""COMPUTED_VALUE"""),"Excellent")</f>
        <v>Excellent</v>
      </c>
      <c r="AA1396" s="138" t="str">
        <f>IFERROR(__xludf.DUMMYFUNCTION("""COMPUTED_VALUE"""),"Excellent")</f>
        <v>Excellent</v>
      </c>
      <c r="AB1396" s="138" t="str">
        <f>IFERROR(__xludf.DUMMYFUNCTION("""COMPUTED_VALUE"""),"Very Good")</f>
        <v>Very Good</v>
      </c>
      <c r="AC1396" s="139">
        <f>IFERROR(__xludf.DUMMYFUNCTION("""COMPUTED_VALUE"""),0.0)</f>
        <v>0</v>
      </c>
      <c r="AD1396" s="139">
        <f>IFERROR(__xludf.DUMMYFUNCTION("""COMPUTED_VALUE"""),0.0)</f>
        <v>0</v>
      </c>
      <c r="AE1396" s="139">
        <f>IFERROR(__xludf.DUMMYFUNCTION("""COMPUTED_VALUE"""),0.0)</f>
        <v>0</v>
      </c>
      <c r="AF1396" s="140"/>
      <c r="AG1396" s="136" t="str">
        <f>IFERROR(__xludf.DUMMYFUNCTION("""COMPUTED_VALUE"""),"Received text update - Feb 13: 2-4 weeks for delivery. VIN in source on Feb 20, Delivery Appointment confirmed same day on website")</f>
        <v>Received text update - Feb 13: 2-4 weeks for delivery. VIN in source on Feb 20, Delivery Appointment confirmed same day on website</v>
      </c>
      <c r="AH1396" s="157">
        <f>IFERROR(__xludf.DUMMYFUNCTION("""COMPUTED_VALUE"""),43933.51636636574)</f>
        <v>43933.51637</v>
      </c>
      <c r="AI1396" s="138"/>
      <c r="AJ1396" s="138"/>
      <c r="AK1396" s="138"/>
      <c r="AL1396" s="142"/>
    </row>
    <row r="1397" ht="20.25" customHeight="1">
      <c r="A1397" s="155" t="str">
        <f>IFERROR(__xludf.DUMMYFUNCTION("""COMPUTED_VALUE"""),"Mchesnoff")</f>
        <v>Mchesnoff</v>
      </c>
      <c r="B1397" s="149" t="str">
        <f>IFERROR(__xludf.DUMMYFUNCTION("""COMPUTED_VALUE"""),"Los Angeles")</f>
        <v>Los Angeles</v>
      </c>
      <c r="C1397" s="149" t="str">
        <f>IFERROR(__xludf.DUMMYFUNCTION("""COMPUTED_VALUE"""),"CA")</f>
        <v>CA</v>
      </c>
      <c r="D1397" s="149" t="str">
        <f>IFERROR(__xludf.DUMMYFUNCTION("""COMPUTED_VALUE"""),"USA")</f>
        <v>USA</v>
      </c>
      <c r="E1397" s="156">
        <f>IFERROR(__xludf.DUMMYFUNCTION("""COMPUTED_VALUE"""),43838.0)</f>
        <v>43838</v>
      </c>
      <c r="F1397" s="129">
        <f>IFERROR(__xludf.DUMMYFUNCTION("""COMPUTED_VALUE"""),43850.0)</f>
        <v>43850</v>
      </c>
      <c r="G1397" s="154"/>
      <c r="H1397" s="131">
        <f>IFERROR(__xludf.DUMMYFUNCTION("""COMPUTED_VALUE"""),601355.0)</f>
        <v>601355</v>
      </c>
      <c r="I1397" s="144" t="str">
        <f>IFERROR(__xludf.DUMMYFUNCTION("""COMPUTED_VALUE"""),"11/19")</f>
        <v>11/19</v>
      </c>
      <c r="J1397" s="129">
        <f>IFERROR(__xludf.DUMMYFUNCTION("""COMPUTED_VALUE"""),43853.0)</f>
        <v>43853</v>
      </c>
      <c r="K1397" s="133">
        <f>IFERROR(__xludf.DUMMYFUNCTION("""COMPUTED_VALUE"""),12.0)</f>
        <v>12</v>
      </c>
      <c r="L1397" s="133">
        <f>IFERROR(__xludf.DUMMYFUNCTION("""COMPUTED_VALUE"""),3.0)</f>
        <v>3</v>
      </c>
      <c r="M1397" s="133">
        <f>IFERROR(__xludf.DUMMYFUNCTION("""COMPUTED_VALUE"""),15.0)</f>
        <v>15</v>
      </c>
      <c r="N1397" s="152" t="str">
        <f>IFERROR(__xludf.DUMMYFUNCTION("""COMPUTED_VALUE"""),"Model 3 LR AWD")</f>
        <v>Model 3 LR AWD</v>
      </c>
      <c r="O1397" s="152" t="str">
        <f>IFERROR(__xludf.DUMMYFUNCTION("""COMPUTED_VALUE"""),"Solid Black")</f>
        <v>Solid Black</v>
      </c>
      <c r="P1397" s="153" t="str">
        <f>IFERROR(__xludf.DUMMYFUNCTION("""COMPUTED_VALUE"""),"18 inch Aero")</f>
        <v>18 inch Aero</v>
      </c>
      <c r="Q1397" s="152" t="str">
        <f>IFERROR(__xludf.DUMMYFUNCTION("""COMPUTED_VALUE"""),"Black seats")</f>
        <v>Black seats</v>
      </c>
      <c r="R1397" s="149" t="str">
        <f>IFERROR(__xludf.DUMMYFUNCTION("""COMPUTED_VALUE"""),"Autopilot")</f>
        <v>Autopilot</v>
      </c>
      <c r="S1397" s="149"/>
      <c r="T1397" s="145"/>
      <c r="U1397" s="145"/>
      <c r="V1397" s="145"/>
      <c r="W1397" s="136"/>
      <c r="X1397" s="137" t="str">
        <f>IFERROR(__xludf.DUMMYFUNCTION("""COMPUTED_VALUE"""),"Good")</f>
        <v>Good</v>
      </c>
      <c r="Y1397" s="138" t="str">
        <f>IFERROR(__xludf.DUMMYFUNCTION("""COMPUTED_VALUE"""),"Good")</f>
        <v>Good</v>
      </c>
      <c r="Z1397" s="138" t="str">
        <f>IFERROR(__xludf.DUMMYFUNCTION("""COMPUTED_VALUE"""),"Good")</f>
        <v>Good</v>
      </c>
      <c r="AA1397" s="138" t="str">
        <f>IFERROR(__xludf.DUMMYFUNCTION("""COMPUTED_VALUE"""),"Poor")</f>
        <v>Poor</v>
      </c>
      <c r="AB1397" s="138" t="str">
        <f>IFERROR(__xludf.DUMMYFUNCTION("""COMPUTED_VALUE"""),"Very Good")</f>
        <v>Very Good</v>
      </c>
      <c r="AC1397" s="139">
        <f>IFERROR(__xludf.DUMMYFUNCTION("""COMPUTED_VALUE"""),2.0)</f>
        <v>2</v>
      </c>
      <c r="AD1397" s="139"/>
      <c r="AE1397" s="139"/>
      <c r="AF1397" s="140"/>
      <c r="AG1397" s="136" t="str">
        <f>IFERROR(__xludf.DUMMYFUNCTION("""COMPUTED_VALUE"""),"Got Matched to a P3D-")</f>
        <v>Got Matched to a P3D-</v>
      </c>
      <c r="AH1397" s="157">
        <f>IFERROR(__xludf.DUMMYFUNCTION("""COMPUTED_VALUE"""),43865.903690856474)</f>
        <v>43865.90369</v>
      </c>
      <c r="AI1397" s="138"/>
      <c r="AJ1397" s="138"/>
      <c r="AK1397" s="138"/>
      <c r="AL1397" s="142"/>
    </row>
    <row r="1398" ht="20.25" customHeight="1">
      <c r="A1398" s="155" t="str">
        <f>IFERROR(__xludf.DUMMYFUNCTION("""COMPUTED_VALUE"""),"Model3 White AWD LR")</f>
        <v>Model3 White AWD LR</v>
      </c>
      <c r="B1398" s="149" t="str">
        <f>IFERROR(__xludf.DUMMYFUNCTION("""COMPUTED_VALUE"""),"Salt Lake City")</f>
        <v>Salt Lake City</v>
      </c>
      <c r="C1398" s="149" t="str">
        <f>IFERROR(__xludf.DUMMYFUNCTION("""COMPUTED_VALUE"""),"UT")</f>
        <v>UT</v>
      </c>
      <c r="D1398" s="149" t="str">
        <f>IFERROR(__xludf.DUMMYFUNCTION("""COMPUTED_VALUE"""),"USA")</f>
        <v>USA</v>
      </c>
      <c r="E1398" s="156">
        <f>IFERROR(__xludf.DUMMYFUNCTION("""COMPUTED_VALUE"""),43838.0)</f>
        <v>43838</v>
      </c>
      <c r="F1398" s="129">
        <f>IFERROR(__xludf.DUMMYFUNCTION("""COMPUTED_VALUE"""),43848.0)</f>
        <v>43848</v>
      </c>
      <c r="G1398" s="154"/>
      <c r="H1398" s="131"/>
      <c r="I1398" s="144"/>
      <c r="J1398" s="129">
        <f>IFERROR(__xludf.DUMMYFUNCTION("""COMPUTED_VALUE"""),43848.0)</f>
        <v>43848</v>
      </c>
      <c r="K1398" s="133">
        <f>IFERROR(__xludf.DUMMYFUNCTION("""COMPUTED_VALUE"""),10.0)</f>
        <v>10</v>
      </c>
      <c r="L1398" s="133">
        <f>IFERROR(__xludf.DUMMYFUNCTION("""COMPUTED_VALUE"""),0.0)</f>
        <v>0</v>
      </c>
      <c r="M1398" s="133">
        <f>IFERROR(__xludf.DUMMYFUNCTION("""COMPUTED_VALUE"""),10.0)</f>
        <v>10</v>
      </c>
      <c r="N1398" s="152" t="str">
        <f>IFERROR(__xludf.DUMMYFUNCTION("""COMPUTED_VALUE"""),"Model 3 LR AWD")</f>
        <v>Model 3 LR AWD</v>
      </c>
      <c r="O1398" s="152" t="str">
        <f>IFERROR(__xludf.DUMMYFUNCTION("""COMPUTED_VALUE"""),"Pearl White Multi-Coat")</f>
        <v>Pearl White Multi-Coat</v>
      </c>
      <c r="P1398" s="153" t="str">
        <f>IFERROR(__xludf.DUMMYFUNCTION("""COMPUTED_VALUE"""),"18 inch Aero")</f>
        <v>18 inch Aero</v>
      </c>
      <c r="Q1398" s="152" t="str">
        <f>IFERROR(__xludf.DUMMYFUNCTION("""COMPUTED_VALUE"""),"Black seats")</f>
        <v>Black seats</v>
      </c>
      <c r="R1398" s="149" t="str">
        <f>IFERROR(__xludf.DUMMYFUNCTION("""COMPUTED_VALUE"""),"Autopilot")</f>
        <v>Autopilot</v>
      </c>
      <c r="S1398" s="149"/>
      <c r="T1398" s="145"/>
      <c r="U1398" s="145"/>
      <c r="V1398" s="145"/>
      <c r="W1398" s="136"/>
      <c r="X1398" s="137" t="str">
        <f>IFERROR(__xludf.DUMMYFUNCTION("""COMPUTED_VALUE"""),"Fair")</f>
        <v>Fair</v>
      </c>
      <c r="Y1398" s="138" t="str">
        <f>IFERROR(__xludf.DUMMYFUNCTION("""COMPUTED_VALUE"""),"Fair")</f>
        <v>Fair</v>
      </c>
      <c r="Z1398" s="138" t="str">
        <f>IFERROR(__xludf.DUMMYFUNCTION("""COMPUTED_VALUE"""),"Fair")</f>
        <v>Fair</v>
      </c>
      <c r="AA1398" s="138" t="str">
        <f>IFERROR(__xludf.DUMMYFUNCTION("""COMPUTED_VALUE"""),"Fair")</f>
        <v>Fair</v>
      </c>
      <c r="AB1398" s="138" t="str">
        <f>IFERROR(__xludf.DUMMYFUNCTION("""COMPUTED_VALUE"""),"Very Good")</f>
        <v>Very Good</v>
      </c>
      <c r="AC1398" s="139"/>
      <c r="AD1398" s="139"/>
      <c r="AE1398" s="139"/>
      <c r="AF1398" s="140"/>
      <c r="AG1398" s="136" t="str">
        <f>IFERROR(__xludf.DUMMYFUNCTION("""COMPUTED_VALUE"""),"The car was meant for someone else who could not take delivery so they gave it to me. ")</f>
        <v>The car was meant for someone else who could not take delivery so they gave it to me. </v>
      </c>
      <c r="AH1398" s="157">
        <f>IFERROR(__xludf.DUMMYFUNCTION("""COMPUTED_VALUE"""),43849.4949987963)</f>
        <v>43849.495</v>
      </c>
      <c r="AI1398" s="138"/>
      <c r="AJ1398" s="138"/>
      <c r="AK1398" s="138"/>
      <c r="AL1398" s="142"/>
    </row>
    <row r="1399" ht="20.25" customHeight="1">
      <c r="A1399" s="155" t="str">
        <f>IFERROR(__xludf.DUMMYFUNCTION("""COMPUTED_VALUE"""),"RedCad")</f>
        <v>RedCad</v>
      </c>
      <c r="B1399" s="149"/>
      <c r="C1399" s="149" t="str">
        <f>IFERROR(__xludf.DUMMYFUNCTION("""COMPUTED_VALUE"""),"OH")</f>
        <v>OH</v>
      </c>
      <c r="D1399" s="149" t="str">
        <f>IFERROR(__xludf.DUMMYFUNCTION("""COMPUTED_VALUE"""),"USA")</f>
        <v>USA</v>
      </c>
      <c r="E1399" s="156">
        <f>IFERROR(__xludf.DUMMYFUNCTION("""COMPUTED_VALUE"""),43838.0)</f>
        <v>43838</v>
      </c>
      <c r="F1399" s="129">
        <f>IFERROR(__xludf.DUMMYFUNCTION("""COMPUTED_VALUE"""),43852.0)</f>
        <v>43852</v>
      </c>
      <c r="G1399" s="154"/>
      <c r="H1399" s="131">
        <f>IFERROR(__xludf.DUMMYFUNCTION("""COMPUTED_VALUE"""),635755.0)</f>
        <v>635755</v>
      </c>
      <c r="I1399" s="144"/>
      <c r="J1399" s="129">
        <f>IFERROR(__xludf.DUMMYFUNCTION("""COMPUTED_VALUE"""),43855.0)</f>
        <v>43855</v>
      </c>
      <c r="K1399" s="133">
        <f>IFERROR(__xludf.DUMMYFUNCTION("""COMPUTED_VALUE"""),14.0)</f>
        <v>14</v>
      </c>
      <c r="L1399" s="133">
        <f>IFERROR(__xludf.DUMMYFUNCTION("""COMPUTED_VALUE"""),3.0)</f>
        <v>3</v>
      </c>
      <c r="M1399" s="133">
        <f>IFERROR(__xludf.DUMMYFUNCTION("""COMPUTED_VALUE"""),17.0)</f>
        <v>17</v>
      </c>
      <c r="N1399" s="152" t="str">
        <f>IFERROR(__xludf.DUMMYFUNCTION("""COMPUTED_VALUE"""),"Model 3 LR AWD")</f>
        <v>Model 3 LR AWD</v>
      </c>
      <c r="O1399" s="152" t="str">
        <f>IFERROR(__xludf.DUMMYFUNCTION("""COMPUTED_VALUE"""),"Midnight Silver Metallic")</f>
        <v>Midnight Silver Metallic</v>
      </c>
      <c r="P1399" s="153" t="str">
        <f>IFERROR(__xludf.DUMMYFUNCTION("""COMPUTED_VALUE"""),"18 inch Aero")</f>
        <v>18 inch Aero</v>
      </c>
      <c r="Q1399" s="152" t="str">
        <f>IFERROR(__xludf.DUMMYFUNCTION("""COMPUTED_VALUE"""),"Black seats")</f>
        <v>Black seats</v>
      </c>
      <c r="R1399" s="149" t="str">
        <f>IFERROR(__xludf.DUMMYFUNCTION("""COMPUTED_VALUE"""),"Autopilot")</f>
        <v>Autopilot</v>
      </c>
      <c r="S1399" s="149"/>
      <c r="T1399" s="145"/>
      <c r="U1399" s="145"/>
      <c r="V1399" s="145"/>
      <c r="W1399" s="136"/>
      <c r="X1399" s="137" t="str">
        <f>IFERROR(__xludf.DUMMYFUNCTION("""COMPUTED_VALUE"""),"Excellent")</f>
        <v>Excellent</v>
      </c>
      <c r="Y1399" s="138" t="str">
        <f>IFERROR(__xludf.DUMMYFUNCTION("""COMPUTED_VALUE"""),"Excellent")</f>
        <v>Excellent</v>
      </c>
      <c r="Z1399" s="138" t="str">
        <f>IFERROR(__xludf.DUMMYFUNCTION("""COMPUTED_VALUE"""),"Excellent")</f>
        <v>Excellent</v>
      </c>
      <c r="AA1399" s="138" t="str">
        <f>IFERROR(__xludf.DUMMYFUNCTION("""COMPUTED_VALUE"""),"Excellent")</f>
        <v>Excellent</v>
      </c>
      <c r="AB1399" s="138" t="str">
        <f>IFERROR(__xludf.DUMMYFUNCTION("""COMPUTED_VALUE"""),"Excellent")</f>
        <v>Excellent</v>
      </c>
      <c r="AC1399" s="139"/>
      <c r="AD1399" s="139"/>
      <c r="AE1399" s="139"/>
      <c r="AF1399" s="140"/>
      <c r="AG1399" s="136"/>
      <c r="AH1399" s="157">
        <f>IFERROR(__xludf.DUMMYFUNCTION("""COMPUTED_VALUE"""),43857.45874449074)</f>
        <v>43857.45874</v>
      </c>
      <c r="AI1399" s="138"/>
      <c r="AJ1399" s="138"/>
      <c r="AK1399" s="138"/>
      <c r="AL1399" s="142"/>
    </row>
    <row r="1400" ht="20.25" customHeight="1">
      <c r="A1400" s="155" t="str">
        <f>IFERROR(__xludf.DUMMYFUNCTION("""COMPUTED_VALUE"""),"skiwhe")</f>
        <v>skiwhe</v>
      </c>
      <c r="B1400" s="149" t="str">
        <f>IFERROR(__xludf.DUMMYFUNCTION("""COMPUTED_VALUE"""),"San Antonio")</f>
        <v>San Antonio</v>
      </c>
      <c r="C1400" s="149" t="str">
        <f>IFERROR(__xludf.DUMMYFUNCTION("""COMPUTED_VALUE"""),"TX")</f>
        <v>TX</v>
      </c>
      <c r="D1400" s="149" t="str">
        <f>IFERROR(__xludf.DUMMYFUNCTION("""COMPUTED_VALUE"""),"USA")</f>
        <v>USA</v>
      </c>
      <c r="E1400" s="156">
        <f>IFERROR(__xludf.DUMMYFUNCTION("""COMPUTED_VALUE"""),43838.0)</f>
        <v>43838</v>
      </c>
      <c r="F1400" s="129">
        <f>IFERROR(__xludf.DUMMYFUNCTION("""COMPUTED_VALUE"""),43858.0)</f>
        <v>43858</v>
      </c>
      <c r="G1400" s="154"/>
      <c r="H1400" s="131">
        <f>IFERROR(__xludf.DUMMYFUNCTION("""COMPUTED_VALUE"""),630055.0)</f>
        <v>630055</v>
      </c>
      <c r="I1400" s="144" t="str">
        <f>IFERROR(__xludf.DUMMYFUNCTION("""COMPUTED_VALUE"""),"05/19")</f>
        <v>05/19</v>
      </c>
      <c r="J1400" s="129">
        <f>IFERROR(__xludf.DUMMYFUNCTION("""COMPUTED_VALUE"""),43865.0)</f>
        <v>43865</v>
      </c>
      <c r="K1400" s="133">
        <f>IFERROR(__xludf.DUMMYFUNCTION("""COMPUTED_VALUE"""),20.0)</f>
        <v>20</v>
      </c>
      <c r="L1400" s="133">
        <f>IFERROR(__xludf.DUMMYFUNCTION("""COMPUTED_VALUE"""),7.0)</f>
        <v>7</v>
      </c>
      <c r="M1400" s="133">
        <f>IFERROR(__xludf.DUMMYFUNCTION("""COMPUTED_VALUE"""),27.0)</f>
        <v>27</v>
      </c>
      <c r="N1400" s="152" t="str">
        <f>IFERROR(__xludf.DUMMYFUNCTION("""COMPUTED_VALUE"""),"Model 3 SR+")</f>
        <v>Model 3 SR+</v>
      </c>
      <c r="O1400" s="152" t="str">
        <f>IFERROR(__xludf.DUMMYFUNCTION("""COMPUTED_VALUE"""),"Solid Black")</f>
        <v>Solid Black</v>
      </c>
      <c r="P1400" s="153" t="str">
        <f>IFERROR(__xludf.DUMMYFUNCTION("""COMPUTED_VALUE"""),"18 inch Aero")</f>
        <v>18 inch Aero</v>
      </c>
      <c r="Q1400" s="152" t="str">
        <f>IFERROR(__xludf.DUMMYFUNCTION("""COMPUTED_VALUE"""),"Black seats")</f>
        <v>Black seats</v>
      </c>
      <c r="R1400" s="149" t="str">
        <f>IFERROR(__xludf.DUMMYFUNCTION("""COMPUTED_VALUE"""),"Full Self-Driving")</f>
        <v>Full Self-Driving</v>
      </c>
      <c r="S1400" s="149"/>
      <c r="T1400" s="145"/>
      <c r="U1400" s="145"/>
      <c r="V1400" s="145"/>
      <c r="W1400" s="136"/>
      <c r="X1400" s="137" t="str">
        <f>IFERROR(__xludf.DUMMYFUNCTION("""COMPUTED_VALUE"""),"Excellent")</f>
        <v>Excellent</v>
      </c>
      <c r="Y1400" s="138" t="str">
        <f>IFERROR(__xludf.DUMMYFUNCTION("""COMPUTED_VALUE"""),"Excellent")</f>
        <v>Excellent</v>
      </c>
      <c r="Z1400" s="138" t="str">
        <f>IFERROR(__xludf.DUMMYFUNCTION("""COMPUTED_VALUE"""),"Very Good")</f>
        <v>Very Good</v>
      </c>
      <c r="AA1400" s="138" t="str">
        <f>IFERROR(__xludf.DUMMYFUNCTION("""COMPUTED_VALUE"""),"Very Good")</f>
        <v>Very Good</v>
      </c>
      <c r="AB1400" s="138" t="str">
        <f>IFERROR(__xludf.DUMMYFUNCTION("""COMPUTED_VALUE"""),"Good")</f>
        <v>Good</v>
      </c>
      <c r="AC1400" s="139"/>
      <c r="AD1400" s="139"/>
      <c r="AE1400" s="139"/>
      <c r="AF1400" s="140"/>
      <c r="AG1400" s="136"/>
      <c r="AH1400" s="157">
        <f>IFERROR(__xludf.DUMMYFUNCTION("""COMPUTED_VALUE"""),43870.30151789352)</f>
        <v>43870.30152</v>
      </c>
      <c r="AI1400" s="138"/>
      <c r="AJ1400" s="138"/>
      <c r="AK1400" s="138"/>
      <c r="AL1400" s="142"/>
    </row>
    <row r="1401" ht="20.25" customHeight="1">
      <c r="A1401" s="155" t="str">
        <f>IFERROR(__xludf.DUMMYFUNCTION("""COMPUTED_VALUE"""),"huss_bus")</f>
        <v>huss_bus</v>
      </c>
      <c r="B1401" s="149" t="str">
        <f>IFERROR(__xludf.DUMMYFUNCTION("""COMPUTED_VALUE"""),"STL")</f>
        <v>STL</v>
      </c>
      <c r="C1401" s="149" t="str">
        <f>IFERROR(__xludf.DUMMYFUNCTION("""COMPUTED_VALUE"""),"MO")</f>
        <v>MO</v>
      </c>
      <c r="D1401" s="149" t="str">
        <f>IFERROR(__xludf.DUMMYFUNCTION("""COMPUTED_VALUE"""),"USA")</f>
        <v>USA</v>
      </c>
      <c r="E1401" s="156">
        <f>IFERROR(__xludf.DUMMYFUNCTION("""COMPUTED_VALUE"""),43836.0)</f>
        <v>43836</v>
      </c>
      <c r="F1401" s="129">
        <f>IFERROR(__xludf.DUMMYFUNCTION("""COMPUTED_VALUE"""),43851.0)</f>
        <v>43851</v>
      </c>
      <c r="G1401" s="154"/>
      <c r="H1401" s="131">
        <f>IFERROR(__xludf.DUMMYFUNCTION("""COMPUTED_VALUE"""),631079.0)</f>
        <v>631079</v>
      </c>
      <c r="I1401" s="144"/>
      <c r="J1401" s="129">
        <f>IFERROR(__xludf.DUMMYFUNCTION("""COMPUTED_VALUE"""),43865.0)</f>
        <v>43865</v>
      </c>
      <c r="K1401" s="133">
        <f>IFERROR(__xludf.DUMMYFUNCTION("""COMPUTED_VALUE"""),15.0)</f>
        <v>15</v>
      </c>
      <c r="L1401" s="133">
        <f>IFERROR(__xludf.DUMMYFUNCTION("""COMPUTED_VALUE"""),14.0)</f>
        <v>14</v>
      </c>
      <c r="M1401" s="133">
        <f>IFERROR(__xludf.DUMMYFUNCTION("""COMPUTED_VALUE"""),29.0)</f>
        <v>29</v>
      </c>
      <c r="N1401" s="152" t="str">
        <f>IFERROR(__xludf.DUMMYFUNCTION("""COMPUTED_VALUE"""),"Model 3 SR")</f>
        <v>Model 3 SR</v>
      </c>
      <c r="O1401" s="152" t="str">
        <f>IFERROR(__xludf.DUMMYFUNCTION("""COMPUTED_VALUE"""),"Deep Blue Metallic")</f>
        <v>Deep Blue Metallic</v>
      </c>
      <c r="P1401" s="153" t="str">
        <f>IFERROR(__xludf.DUMMYFUNCTION("""COMPUTED_VALUE"""),"18 inch Aero")</f>
        <v>18 inch Aero</v>
      </c>
      <c r="Q1401" s="152" t="str">
        <f>IFERROR(__xludf.DUMMYFUNCTION("""COMPUTED_VALUE"""),"Black seats")</f>
        <v>Black seats</v>
      </c>
      <c r="R1401" s="149" t="str">
        <f>IFERROR(__xludf.DUMMYFUNCTION("""COMPUTED_VALUE"""),"Autopilot")</f>
        <v>Autopilot</v>
      </c>
      <c r="S1401" s="149"/>
      <c r="T1401" s="145"/>
      <c r="U1401" s="145"/>
      <c r="V1401" s="145"/>
      <c r="W1401" s="136"/>
      <c r="X1401" s="137" t="str">
        <f>IFERROR(__xludf.DUMMYFUNCTION("""COMPUTED_VALUE"""),"Excellent")</f>
        <v>Excellent</v>
      </c>
      <c r="Y1401" s="138" t="str">
        <f>IFERROR(__xludf.DUMMYFUNCTION("""COMPUTED_VALUE"""),"Excellent")</f>
        <v>Excellent</v>
      </c>
      <c r="Z1401" s="138" t="str">
        <f>IFERROR(__xludf.DUMMYFUNCTION("""COMPUTED_VALUE"""),"Excellent")</f>
        <v>Excellent</v>
      </c>
      <c r="AA1401" s="138" t="str">
        <f>IFERROR(__xludf.DUMMYFUNCTION("""COMPUTED_VALUE"""),"Good")</f>
        <v>Good</v>
      </c>
      <c r="AB1401" s="138" t="str">
        <f>IFERROR(__xludf.DUMMYFUNCTION("""COMPUTED_VALUE"""),"Excellent")</f>
        <v>Excellent</v>
      </c>
      <c r="AC1401" s="139"/>
      <c r="AD1401" s="139"/>
      <c r="AE1401" s="139"/>
      <c r="AF1401" s="140"/>
      <c r="AG1401" s="136" t="str">
        <f>IFERROR(__xludf.DUMMYFUNCTION("""COMPUTED_VALUE"""),"found vin in source code day before getting delivery notification. all before officially seeing the vin. officially saw vin the week of delivery")</f>
        <v>found vin in source code day before getting delivery notification. all before officially seeing the vin. officially saw vin the week of delivery</v>
      </c>
      <c r="AH1401" s="157">
        <f>IFERROR(__xludf.DUMMYFUNCTION("""COMPUTED_VALUE"""),43865.844707337965)</f>
        <v>43865.84471</v>
      </c>
      <c r="AI1401" s="138"/>
      <c r="AJ1401" s="138"/>
      <c r="AK1401" s="138"/>
      <c r="AL1401" s="142"/>
    </row>
    <row r="1402" ht="20.25" customHeight="1">
      <c r="A1402" s="155" t="str">
        <f>IFERROR(__xludf.DUMMYFUNCTION("""COMPUTED_VALUE"""),"mbb")</f>
        <v>mbb</v>
      </c>
      <c r="B1402" s="149"/>
      <c r="C1402" s="149" t="str">
        <f>IFERROR(__xludf.DUMMYFUNCTION("""COMPUTED_VALUE"""),"TX")</f>
        <v>TX</v>
      </c>
      <c r="D1402" s="149" t="str">
        <f>IFERROR(__xludf.DUMMYFUNCTION("""COMPUTED_VALUE"""),"USA")</f>
        <v>USA</v>
      </c>
      <c r="E1402" s="156">
        <f>IFERROR(__xludf.DUMMYFUNCTION("""COMPUTED_VALUE"""),43836.0)</f>
        <v>43836</v>
      </c>
      <c r="F1402" s="129">
        <f>IFERROR(__xludf.DUMMYFUNCTION("""COMPUTED_VALUE"""),43838.0)</f>
        <v>43838</v>
      </c>
      <c r="G1402" s="154"/>
      <c r="H1402" s="131">
        <f>IFERROR(__xludf.DUMMYFUNCTION("""COMPUTED_VALUE"""),647655.0)</f>
        <v>647655</v>
      </c>
      <c r="I1402" s="144"/>
      <c r="J1402" s="129">
        <f>IFERROR(__xludf.DUMMYFUNCTION("""COMPUTED_VALUE"""),43848.0)</f>
        <v>43848</v>
      </c>
      <c r="K1402" s="133">
        <f>IFERROR(__xludf.DUMMYFUNCTION("""COMPUTED_VALUE"""),2.0)</f>
        <v>2</v>
      </c>
      <c r="L1402" s="133">
        <f>IFERROR(__xludf.DUMMYFUNCTION("""COMPUTED_VALUE"""),10.0)</f>
        <v>10</v>
      </c>
      <c r="M1402" s="133">
        <f>IFERROR(__xludf.DUMMYFUNCTION("""COMPUTED_VALUE"""),12.0)</f>
        <v>12</v>
      </c>
      <c r="N1402" s="152" t="str">
        <f>IFERROR(__xludf.DUMMYFUNCTION("""COMPUTED_VALUE"""),"Model 3 LR AWD")</f>
        <v>Model 3 LR AWD</v>
      </c>
      <c r="O1402" s="152" t="str">
        <f>IFERROR(__xludf.DUMMYFUNCTION("""COMPUTED_VALUE"""),"Pearl White Multi-Coat")</f>
        <v>Pearl White Multi-Coat</v>
      </c>
      <c r="P1402" s="153" t="str">
        <f>IFERROR(__xludf.DUMMYFUNCTION("""COMPUTED_VALUE"""),"18 inch Aero")</f>
        <v>18 inch Aero</v>
      </c>
      <c r="Q1402" s="152" t="str">
        <f>IFERROR(__xludf.DUMMYFUNCTION("""COMPUTED_VALUE"""),"Black seats")</f>
        <v>Black seats</v>
      </c>
      <c r="R1402" s="149" t="str">
        <f>IFERROR(__xludf.DUMMYFUNCTION("""COMPUTED_VALUE"""),"Full Self-Driving")</f>
        <v>Full Self-Driving</v>
      </c>
      <c r="S1402" s="149"/>
      <c r="T1402" s="145"/>
      <c r="U1402" s="145"/>
      <c r="V1402" s="145"/>
      <c r="W1402" s="136"/>
      <c r="X1402" s="137" t="str">
        <f>IFERROR(__xludf.DUMMYFUNCTION("""COMPUTED_VALUE"""),"Excellent")</f>
        <v>Excellent</v>
      </c>
      <c r="Y1402" s="138" t="str">
        <f>IFERROR(__xludf.DUMMYFUNCTION("""COMPUTED_VALUE"""),"Excellent")</f>
        <v>Excellent</v>
      </c>
      <c r="Z1402" s="138" t="str">
        <f>IFERROR(__xludf.DUMMYFUNCTION("""COMPUTED_VALUE"""),"Excellent")</f>
        <v>Excellent</v>
      </c>
      <c r="AA1402" s="138" t="str">
        <f>IFERROR(__xludf.DUMMYFUNCTION("""COMPUTED_VALUE"""),"Excellent")</f>
        <v>Excellent</v>
      </c>
      <c r="AB1402" s="138" t="str">
        <f>IFERROR(__xludf.DUMMYFUNCTION("""COMPUTED_VALUE"""),"Excellent")</f>
        <v>Excellent</v>
      </c>
      <c r="AC1402" s="139">
        <f>IFERROR(__xludf.DUMMYFUNCTION("""COMPUTED_VALUE"""),0.0)</f>
        <v>0</v>
      </c>
      <c r="AD1402" s="139">
        <f>IFERROR(__xludf.DUMMYFUNCTION("""COMPUTED_VALUE"""),0.0)</f>
        <v>0</v>
      </c>
      <c r="AE1402" s="139">
        <f>IFERROR(__xludf.DUMMYFUNCTION("""COMPUTED_VALUE"""),0.0)</f>
        <v>0</v>
      </c>
      <c r="AF1402" s="140"/>
      <c r="AG1402" s="136" t="str">
        <f>IFERROR(__xludf.DUMMYFUNCTION("""COMPUTED_VALUE"""),"Much better experience than expected during delivery, and car was nearly flawless. Only some orange peel on the frunk, which doesn't bother me. ")</f>
        <v>Much better experience than expected during delivery, and car was nearly flawless. Only some orange peel on the frunk, which doesn't bother me. </v>
      </c>
      <c r="AH1402" s="157">
        <f>IFERROR(__xludf.DUMMYFUNCTION("""COMPUTED_VALUE"""),43849.554152523146)</f>
        <v>43849.55415</v>
      </c>
      <c r="AI1402" s="138"/>
      <c r="AJ1402" s="138"/>
      <c r="AK1402" s="138"/>
      <c r="AL1402" s="142"/>
    </row>
    <row r="1403" ht="20.25" customHeight="1">
      <c r="A1403" s="155" t="str">
        <f>IFERROR(__xludf.DUMMYFUNCTION("""COMPUTED_VALUE"""),"buttdrunk")</f>
        <v>buttdrunk</v>
      </c>
      <c r="B1403" s="149" t="str">
        <f>IFERROR(__xludf.DUMMYFUNCTION("""COMPUTED_VALUE"""),"Fullerton")</f>
        <v>Fullerton</v>
      </c>
      <c r="C1403" s="149" t="str">
        <f>IFERROR(__xludf.DUMMYFUNCTION("""COMPUTED_VALUE"""),"CA")</f>
        <v>CA</v>
      </c>
      <c r="D1403" s="149" t="str">
        <f>IFERROR(__xludf.DUMMYFUNCTION("""COMPUTED_VALUE"""),"USA")</f>
        <v>USA</v>
      </c>
      <c r="E1403" s="156">
        <f>IFERROR(__xludf.DUMMYFUNCTION("""COMPUTED_VALUE"""),43835.0)</f>
        <v>43835</v>
      </c>
      <c r="F1403" s="129">
        <f>IFERROR(__xludf.DUMMYFUNCTION("""COMPUTED_VALUE"""),43881.0)</f>
        <v>43881</v>
      </c>
      <c r="G1403" s="154"/>
      <c r="H1403" s="131">
        <f>IFERROR(__xludf.DUMMYFUNCTION("""COMPUTED_VALUE"""),669876.0)</f>
        <v>669876</v>
      </c>
      <c r="I1403" s="144"/>
      <c r="J1403" s="129">
        <f>IFERROR(__xludf.DUMMYFUNCTION("""COMPUTED_VALUE"""),43884.0)</f>
        <v>43884</v>
      </c>
      <c r="K1403" s="133">
        <f>IFERROR(__xludf.DUMMYFUNCTION("""COMPUTED_VALUE"""),46.0)</f>
        <v>46</v>
      </c>
      <c r="L1403" s="133">
        <f>IFERROR(__xludf.DUMMYFUNCTION("""COMPUTED_VALUE"""),3.0)</f>
        <v>3</v>
      </c>
      <c r="M1403" s="133">
        <f>IFERROR(__xludf.DUMMYFUNCTION("""COMPUTED_VALUE"""),49.0)</f>
        <v>49</v>
      </c>
      <c r="N1403" s="152" t="str">
        <f>IFERROR(__xludf.DUMMYFUNCTION("""COMPUTED_VALUE"""),"Model 3 SR+")</f>
        <v>Model 3 SR+</v>
      </c>
      <c r="O1403" s="152" t="str">
        <f>IFERROR(__xludf.DUMMYFUNCTION("""COMPUTED_VALUE"""),"Pearl White Multi-Coat")</f>
        <v>Pearl White Multi-Coat</v>
      </c>
      <c r="P1403" s="153" t="str">
        <f>IFERROR(__xludf.DUMMYFUNCTION("""COMPUTED_VALUE"""),"18 inch Aero")</f>
        <v>18 inch Aero</v>
      </c>
      <c r="Q1403" s="152" t="str">
        <f>IFERROR(__xludf.DUMMYFUNCTION("""COMPUTED_VALUE"""),"Black seats")</f>
        <v>Black seats</v>
      </c>
      <c r="R1403" s="149" t="str">
        <f>IFERROR(__xludf.DUMMYFUNCTION("""COMPUTED_VALUE"""),"Autopilot")</f>
        <v>Autopilot</v>
      </c>
      <c r="S1403" s="149"/>
      <c r="T1403" s="145"/>
      <c r="U1403" s="145"/>
      <c r="V1403" s="145"/>
      <c r="W1403" s="136"/>
      <c r="X1403" s="137" t="str">
        <f>IFERROR(__xludf.DUMMYFUNCTION("""COMPUTED_VALUE"""),"Very Good")</f>
        <v>Very Good</v>
      </c>
      <c r="Y1403" s="138" t="str">
        <f>IFERROR(__xludf.DUMMYFUNCTION("""COMPUTED_VALUE"""),"Very Good")</f>
        <v>Very Good</v>
      </c>
      <c r="Z1403" s="138" t="str">
        <f>IFERROR(__xludf.DUMMYFUNCTION("""COMPUTED_VALUE"""),"Very Good")</f>
        <v>Very Good</v>
      </c>
      <c r="AA1403" s="138" t="str">
        <f>IFERROR(__xludf.DUMMYFUNCTION("""COMPUTED_VALUE"""),"Fair")</f>
        <v>Fair</v>
      </c>
      <c r="AB1403" s="138" t="str">
        <f>IFERROR(__xludf.DUMMYFUNCTION("""COMPUTED_VALUE"""),"Fair")</f>
        <v>Fair</v>
      </c>
      <c r="AC1403" s="139">
        <f>IFERROR(__xludf.DUMMYFUNCTION("""COMPUTED_VALUE"""),1.0)</f>
        <v>1</v>
      </c>
      <c r="AD1403" s="139"/>
      <c r="AE1403" s="139"/>
      <c r="AF1403" s="140"/>
      <c r="AG1403" s="136" t="str">
        <f>IFERROR(__xludf.DUMMYFUNCTION("""COMPUTED_VALUE"""),"Quality assurance was lacking on delivery.  It looked like one of the service guys sat in the car and failed to clean up after himself.  Very disappointing for such an expensive car.")</f>
        <v>Quality assurance was lacking on delivery.  It looked like one of the service guys sat in the car and failed to clean up after himself.  Very disappointing for such an expensive car.</v>
      </c>
      <c r="AH1403" s="157">
        <f>IFERROR(__xludf.DUMMYFUNCTION("""COMPUTED_VALUE"""),43896.5778571412)</f>
        <v>43896.57786</v>
      </c>
      <c r="AI1403" s="138"/>
      <c r="AJ1403" s="138"/>
      <c r="AK1403" s="138"/>
      <c r="AL1403" s="142"/>
    </row>
    <row r="1404" ht="20.25" customHeight="1">
      <c r="A1404" s="155" t="str">
        <f>IFERROR(__xludf.DUMMYFUNCTION("""COMPUTED_VALUE"""),"wolv_in_socal")</f>
        <v>wolv_in_socal</v>
      </c>
      <c r="B1404" s="149" t="str">
        <f>IFERROR(__xludf.DUMMYFUNCTION("""COMPUTED_VALUE"""),"Monrovia")</f>
        <v>Monrovia</v>
      </c>
      <c r="C1404" s="149" t="str">
        <f>IFERROR(__xludf.DUMMYFUNCTION("""COMPUTED_VALUE"""),"CA")</f>
        <v>CA</v>
      </c>
      <c r="D1404" s="149" t="str">
        <f>IFERROR(__xludf.DUMMYFUNCTION("""COMPUTED_VALUE"""),"USA")</f>
        <v>USA</v>
      </c>
      <c r="E1404" s="156">
        <f>IFERROR(__xludf.DUMMYFUNCTION("""COMPUTED_VALUE"""),43835.0)</f>
        <v>43835</v>
      </c>
      <c r="F1404" s="129">
        <f>IFERROR(__xludf.DUMMYFUNCTION("""COMPUTED_VALUE"""),43845.0)</f>
        <v>43845</v>
      </c>
      <c r="G1404" s="154"/>
      <c r="H1404" s="131"/>
      <c r="I1404" s="144"/>
      <c r="J1404" s="129">
        <f>IFERROR(__xludf.DUMMYFUNCTION("""COMPUTED_VALUE"""),43846.0)</f>
        <v>43846</v>
      </c>
      <c r="K1404" s="133">
        <f>IFERROR(__xludf.DUMMYFUNCTION("""COMPUTED_VALUE"""),10.0)</f>
        <v>10</v>
      </c>
      <c r="L1404" s="133">
        <f>IFERROR(__xludf.DUMMYFUNCTION("""COMPUTED_VALUE"""),1.0)</f>
        <v>1</v>
      </c>
      <c r="M1404" s="133">
        <f>IFERROR(__xludf.DUMMYFUNCTION("""COMPUTED_VALUE"""),11.0)</f>
        <v>11</v>
      </c>
      <c r="N1404" s="152" t="str">
        <f>IFERROR(__xludf.DUMMYFUNCTION("""COMPUTED_VALUE"""),"Model 3 LR AWD")</f>
        <v>Model 3 LR AWD</v>
      </c>
      <c r="O1404" s="152" t="str">
        <f>IFERROR(__xludf.DUMMYFUNCTION("""COMPUTED_VALUE"""),"Deep Blue Metallic")</f>
        <v>Deep Blue Metallic</v>
      </c>
      <c r="P1404" s="153" t="str">
        <f>IFERROR(__xludf.DUMMYFUNCTION("""COMPUTED_VALUE"""),"18 inch Aero")</f>
        <v>18 inch Aero</v>
      </c>
      <c r="Q1404" s="152" t="str">
        <f>IFERROR(__xludf.DUMMYFUNCTION("""COMPUTED_VALUE"""),"Black seats")</f>
        <v>Black seats</v>
      </c>
      <c r="R1404" s="149" t="str">
        <f>IFERROR(__xludf.DUMMYFUNCTION("""COMPUTED_VALUE"""),"Autopilot")</f>
        <v>Autopilot</v>
      </c>
      <c r="S1404" s="149"/>
      <c r="T1404" s="145"/>
      <c r="U1404" s="145"/>
      <c r="V1404" s="145"/>
      <c r="W1404" s="136"/>
      <c r="X1404" s="137" t="str">
        <f>IFERROR(__xludf.DUMMYFUNCTION("""COMPUTED_VALUE"""),"Excellent")</f>
        <v>Excellent</v>
      </c>
      <c r="Y1404" s="138" t="str">
        <f>IFERROR(__xludf.DUMMYFUNCTION("""COMPUTED_VALUE"""),"Excellent")</f>
        <v>Excellent</v>
      </c>
      <c r="Z1404" s="138" t="str">
        <f>IFERROR(__xludf.DUMMYFUNCTION("""COMPUTED_VALUE"""),"Excellent")</f>
        <v>Excellent</v>
      </c>
      <c r="AA1404" s="138" t="str">
        <f>IFERROR(__xludf.DUMMYFUNCTION("""COMPUTED_VALUE"""),"Good")</f>
        <v>Good</v>
      </c>
      <c r="AB1404" s="138" t="str">
        <f>IFERROR(__xludf.DUMMYFUNCTION("""COMPUTED_VALUE"""),"Excellent")</f>
        <v>Excellent</v>
      </c>
      <c r="AC1404" s="139"/>
      <c r="AD1404" s="139"/>
      <c r="AE1404" s="139"/>
      <c r="AF1404" s="140"/>
      <c r="AG1404" s="136" t="str">
        <f>IFERROR(__xludf.DUMMYFUNCTION("""COMPUTED_VALUE"""),"Upgraded to LR AWD on 1/11/20")</f>
        <v>Upgraded to LR AWD on 1/11/20</v>
      </c>
      <c r="AH1404" s="157">
        <f>IFERROR(__xludf.DUMMYFUNCTION("""COMPUTED_VALUE"""),43847.40216533565)</f>
        <v>43847.40217</v>
      </c>
      <c r="AI1404" s="138"/>
      <c r="AJ1404" s="138"/>
      <c r="AK1404" s="138"/>
      <c r="AL1404" s="142"/>
    </row>
    <row r="1405" ht="20.25" customHeight="1">
      <c r="A1405" s="155" t="str">
        <f>IFERROR(__xludf.DUMMYFUNCTION("""COMPUTED_VALUE"""),"astro")</f>
        <v>astro</v>
      </c>
      <c r="B1405" s="149" t="str">
        <f>IFERROR(__xludf.DUMMYFUNCTION("""COMPUTED_VALUE"""),"Houston")</f>
        <v>Houston</v>
      </c>
      <c r="C1405" s="149" t="str">
        <f>IFERROR(__xludf.DUMMYFUNCTION("""COMPUTED_VALUE"""),"TX")</f>
        <v>TX</v>
      </c>
      <c r="D1405" s="149" t="str">
        <f>IFERROR(__xludf.DUMMYFUNCTION("""COMPUTED_VALUE"""),"USA")</f>
        <v>USA</v>
      </c>
      <c r="E1405" s="156">
        <f>IFERROR(__xludf.DUMMYFUNCTION("""COMPUTED_VALUE"""),43833.0)</f>
        <v>43833</v>
      </c>
      <c r="F1405" s="129">
        <f>IFERROR(__xludf.DUMMYFUNCTION("""COMPUTED_VALUE"""),43881.0)</f>
        <v>43881</v>
      </c>
      <c r="G1405" s="154"/>
      <c r="H1405" s="131">
        <f>IFERROR(__xludf.DUMMYFUNCTION("""COMPUTED_VALUE"""),646055.0)</f>
        <v>646055</v>
      </c>
      <c r="I1405" s="144"/>
      <c r="J1405" s="129">
        <f>IFERROR(__xludf.DUMMYFUNCTION("""COMPUTED_VALUE"""),43888.0)</f>
        <v>43888</v>
      </c>
      <c r="K1405" s="133">
        <f>IFERROR(__xludf.DUMMYFUNCTION("""COMPUTED_VALUE"""),48.0)</f>
        <v>48</v>
      </c>
      <c r="L1405" s="133">
        <f>IFERROR(__xludf.DUMMYFUNCTION("""COMPUTED_VALUE"""),7.0)</f>
        <v>7</v>
      </c>
      <c r="M1405" s="133">
        <f>IFERROR(__xludf.DUMMYFUNCTION("""COMPUTED_VALUE"""),55.0)</f>
        <v>55</v>
      </c>
      <c r="N1405" s="152" t="str">
        <f>IFERROR(__xludf.DUMMYFUNCTION("""COMPUTED_VALUE"""),"Model 3 LR AWD")</f>
        <v>Model 3 LR AWD</v>
      </c>
      <c r="O1405" s="152" t="str">
        <f>IFERROR(__xludf.DUMMYFUNCTION("""COMPUTED_VALUE"""),"Midnight Silver Metallic")</f>
        <v>Midnight Silver Metallic</v>
      </c>
      <c r="P1405" s="153" t="str">
        <f>IFERROR(__xludf.DUMMYFUNCTION("""COMPUTED_VALUE"""),"18 inch Aero")</f>
        <v>18 inch Aero</v>
      </c>
      <c r="Q1405" s="152" t="str">
        <f>IFERROR(__xludf.DUMMYFUNCTION("""COMPUTED_VALUE"""),"Black seats")</f>
        <v>Black seats</v>
      </c>
      <c r="R1405" s="149" t="str">
        <f>IFERROR(__xludf.DUMMYFUNCTION("""COMPUTED_VALUE"""),"Full Self-Driving")</f>
        <v>Full Self-Driving</v>
      </c>
      <c r="S1405" s="149"/>
      <c r="T1405" s="145"/>
      <c r="U1405" s="145"/>
      <c r="V1405" s="145"/>
      <c r="W1405" s="136"/>
      <c r="X1405" s="137" t="str">
        <f>IFERROR(__xludf.DUMMYFUNCTION("""COMPUTED_VALUE"""),"Excellent")</f>
        <v>Excellent</v>
      </c>
      <c r="Y1405" s="138" t="str">
        <f>IFERROR(__xludf.DUMMYFUNCTION("""COMPUTED_VALUE"""),"Excellent")</f>
        <v>Excellent</v>
      </c>
      <c r="Z1405" s="138" t="str">
        <f>IFERROR(__xludf.DUMMYFUNCTION("""COMPUTED_VALUE"""),"Excellent")</f>
        <v>Excellent</v>
      </c>
      <c r="AA1405" s="138" t="str">
        <f>IFERROR(__xludf.DUMMYFUNCTION("""COMPUTED_VALUE"""),"Excellent")</f>
        <v>Excellent</v>
      </c>
      <c r="AB1405" s="138" t="str">
        <f>IFERROR(__xludf.DUMMYFUNCTION("""COMPUTED_VALUE"""),"Excellent")</f>
        <v>Excellent</v>
      </c>
      <c r="AC1405" s="139">
        <f>IFERROR(__xludf.DUMMYFUNCTION("""COMPUTED_VALUE"""),0.0)</f>
        <v>0</v>
      </c>
      <c r="AD1405" s="139">
        <f>IFERROR(__xludf.DUMMYFUNCTION("""COMPUTED_VALUE"""),0.0)</f>
        <v>0</v>
      </c>
      <c r="AE1405" s="139">
        <f>IFERROR(__xludf.DUMMYFUNCTION("""COMPUTED_VALUE"""),0.0)</f>
        <v>0</v>
      </c>
      <c r="AF1405" s="140"/>
      <c r="AG1405" s="136"/>
      <c r="AH1405" s="157">
        <f>IFERROR(__xludf.DUMMYFUNCTION("""COMPUTED_VALUE"""),43898.55495796296)</f>
        <v>43898.55496</v>
      </c>
      <c r="AI1405" s="138"/>
      <c r="AJ1405" s="138"/>
      <c r="AK1405" s="138"/>
      <c r="AL1405" s="142"/>
    </row>
    <row r="1406" ht="20.25" customHeight="1">
      <c r="A1406" s="155" t="str">
        <f>IFERROR(__xludf.DUMMYFUNCTION("""COMPUTED_VALUE"""),"chinanderm")</f>
        <v>chinanderm</v>
      </c>
      <c r="B1406" s="149" t="str">
        <f>IFERROR(__xludf.DUMMYFUNCTION("""COMPUTED_VALUE"""),"North Liberty")</f>
        <v>North Liberty</v>
      </c>
      <c r="C1406" s="149" t="str">
        <f>IFERROR(__xludf.DUMMYFUNCTION("""COMPUTED_VALUE"""),"IA")</f>
        <v>IA</v>
      </c>
      <c r="D1406" s="149" t="str">
        <f>IFERROR(__xludf.DUMMYFUNCTION("""COMPUTED_VALUE"""),"USA")</f>
        <v>USA</v>
      </c>
      <c r="E1406" s="156">
        <f>IFERROR(__xludf.DUMMYFUNCTION("""COMPUTED_VALUE"""),43833.0)</f>
        <v>43833</v>
      </c>
      <c r="F1406" s="129">
        <f>IFERROR(__xludf.DUMMYFUNCTION("""COMPUTED_VALUE"""),43881.0)</f>
        <v>43881</v>
      </c>
      <c r="G1406" s="154"/>
      <c r="H1406" s="131">
        <f>IFERROR(__xludf.DUMMYFUNCTION("""COMPUTED_VALUE"""),637155.0)</f>
        <v>637155</v>
      </c>
      <c r="I1406" s="144" t="str">
        <f>IFERROR(__xludf.DUMMYFUNCTION("""COMPUTED_VALUE"""),"02/20")</f>
        <v>02/20</v>
      </c>
      <c r="J1406" s="129">
        <f>IFERROR(__xludf.DUMMYFUNCTION("""COMPUTED_VALUE"""),43896.0)</f>
        <v>43896</v>
      </c>
      <c r="K1406" s="133">
        <f>IFERROR(__xludf.DUMMYFUNCTION("""COMPUTED_VALUE"""),48.0)</f>
        <v>48</v>
      </c>
      <c r="L1406" s="133">
        <f>IFERROR(__xludf.DUMMYFUNCTION("""COMPUTED_VALUE"""),15.0)</f>
        <v>15</v>
      </c>
      <c r="M1406" s="133">
        <f>IFERROR(__xludf.DUMMYFUNCTION("""COMPUTED_VALUE"""),63.0)</f>
        <v>63</v>
      </c>
      <c r="N1406" s="152" t="str">
        <f>IFERROR(__xludf.DUMMYFUNCTION("""COMPUTED_VALUE"""),"Model 3 LR AWD")</f>
        <v>Model 3 LR AWD</v>
      </c>
      <c r="O1406" s="152" t="str">
        <f>IFERROR(__xludf.DUMMYFUNCTION("""COMPUTED_VALUE"""),"Pearl White Multi-Coat")</f>
        <v>Pearl White Multi-Coat</v>
      </c>
      <c r="P1406" s="153" t="str">
        <f>IFERROR(__xludf.DUMMYFUNCTION("""COMPUTED_VALUE"""),"18 inch Aero")</f>
        <v>18 inch Aero</v>
      </c>
      <c r="Q1406" s="152" t="str">
        <f>IFERROR(__xludf.DUMMYFUNCTION("""COMPUTED_VALUE"""),"Black seats")</f>
        <v>Black seats</v>
      </c>
      <c r="R1406" s="149" t="str">
        <f>IFERROR(__xludf.DUMMYFUNCTION("""COMPUTED_VALUE"""),"Autopilot")</f>
        <v>Autopilot</v>
      </c>
      <c r="S1406" s="149"/>
      <c r="T1406" s="145"/>
      <c r="U1406" s="145"/>
      <c r="V1406" s="145"/>
      <c r="W1406" s="136"/>
      <c r="X1406" s="137" t="str">
        <f>IFERROR(__xludf.DUMMYFUNCTION("""COMPUTED_VALUE"""),"Excellent")</f>
        <v>Excellent</v>
      </c>
      <c r="Y1406" s="138" t="str">
        <f>IFERROR(__xludf.DUMMYFUNCTION("""COMPUTED_VALUE"""),"Excellent")</f>
        <v>Excellent</v>
      </c>
      <c r="Z1406" s="138" t="str">
        <f>IFERROR(__xludf.DUMMYFUNCTION("""COMPUTED_VALUE"""),"Excellent")</f>
        <v>Excellent</v>
      </c>
      <c r="AA1406" s="138" t="str">
        <f>IFERROR(__xludf.DUMMYFUNCTION("""COMPUTED_VALUE"""),"Poor")</f>
        <v>Poor</v>
      </c>
      <c r="AB1406" s="138" t="str">
        <f>IFERROR(__xludf.DUMMYFUNCTION("""COMPUTED_VALUE"""),"Excellent")</f>
        <v>Excellent</v>
      </c>
      <c r="AC1406" s="139"/>
      <c r="AD1406" s="139">
        <f>IFERROR(__xludf.DUMMYFUNCTION("""COMPUTED_VALUE"""),1.0)</f>
        <v>1</v>
      </c>
      <c r="AE1406" s="139"/>
      <c r="AF1406" s="140"/>
      <c r="AG1406" s="136"/>
      <c r="AH1406" s="157">
        <f>IFERROR(__xludf.DUMMYFUNCTION("""COMPUTED_VALUE"""),43903.54979255787)</f>
        <v>43903.54979</v>
      </c>
      <c r="AI1406" s="138"/>
      <c r="AJ1406" s="138"/>
      <c r="AK1406" s="138"/>
      <c r="AL1406" s="142"/>
    </row>
    <row r="1407" ht="20.25" customHeight="1">
      <c r="A1407" s="155" t="str">
        <f>IFERROR(__xludf.DUMMYFUNCTION("""COMPUTED_VALUE"""),"cybersp78")</f>
        <v>cybersp78</v>
      </c>
      <c r="B1407" s="149" t="str">
        <f>IFERROR(__xludf.DUMMYFUNCTION("""COMPUTED_VALUE"""),"Columbus")</f>
        <v>Columbus</v>
      </c>
      <c r="C1407" s="149" t="str">
        <f>IFERROR(__xludf.DUMMYFUNCTION("""COMPUTED_VALUE"""),"OH")</f>
        <v>OH</v>
      </c>
      <c r="D1407" s="149" t="str">
        <f>IFERROR(__xludf.DUMMYFUNCTION("""COMPUTED_VALUE"""),"USA")</f>
        <v>USA</v>
      </c>
      <c r="E1407" s="156">
        <f>IFERROR(__xludf.DUMMYFUNCTION("""COMPUTED_VALUE"""),43833.0)</f>
        <v>43833</v>
      </c>
      <c r="F1407" s="129">
        <f>IFERROR(__xludf.DUMMYFUNCTION("""COMPUTED_VALUE"""),43854.0)</f>
        <v>43854</v>
      </c>
      <c r="G1407" s="154"/>
      <c r="H1407" s="131">
        <f>IFERROR(__xludf.DUMMYFUNCTION("""COMPUTED_VALUE"""),635137.0)</f>
        <v>635137</v>
      </c>
      <c r="I1407" s="144"/>
      <c r="J1407" s="129">
        <f>IFERROR(__xludf.DUMMYFUNCTION("""COMPUTED_VALUE"""),43857.0)</f>
        <v>43857</v>
      </c>
      <c r="K1407" s="133">
        <f>IFERROR(__xludf.DUMMYFUNCTION("""COMPUTED_VALUE"""),21.0)</f>
        <v>21</v>
      </c>
      <c r="L1407" s="133">
        <f>IFERROR(__xludf.DUMMYFUNCTION("""COMPUTED_VALUE"""),3.0)</f>
        <v>3</v>
      </c>
      <c r="M1407" s="133">
        <f>IFERROR(__xludf.DUMMYFUNCTION("""COMPUTED_VALUE"""),24.0)</f>
        <v>24</v>
      </c>
      <c r="N1407" s="152" t="str">
        <f>IFERROR(__xludf.DUMMYFUNCTION("""COMPUTED_VALUE"""),"Model 3 LR AWD")</f>
        <v>Model 3 LR AWD</v>
      </c>
      <c r="O1407" s="152" t="str">
        <f>IFERROR(__xludf.DUMMYFUNCTION("""COMPUTED_VALUE"""),"Solid Black")</f>
        <v>Solid Black</v>
      </c>
      <c r="P1407" s="153" t="str">
        <f>IFERROR(__xludf.DUMMYFUNCTION("""COMPUTED_VALUE"""),"18 inch Aero")</f>
        <v>18 inch Aero</v>
      </c>
      <c r="Q1407" s="152" t="str">
        <f>IFERROR(__xludf.DUMMYFUNCTION("""COMPUTED_VALUE"""),"Black seats")</f>
        <v>Black seats</v>
      </c>
      <c r="R1407" s="149" t="str">
        <f>IFERROR(__xludf.DUMMYFUNCTION("""COMPUTED_VALUE"""),"Full Self-Driving")</f>
        <v>Full Self-Driving</v>
      </c>
      <c r="S1407" s="149"/>
      <c r="T1407" s="145"/>
      <c r="U1407" s="145"/>
      <c r="V1407" s="145"/>
      <c r="W1407" s="136"/>
      <c r="X1407" s="137" t="str">
        <f>IFERROR(__xludf.DUMMYFUNCTION("""COMPUTED_VALUE"""),"Excellent")</f>
        <v>Excellent</v>
      </c>
      <c r="Y1407" s="138" t="str">
        <f>IFERROR(__xludf.DUMMYFUNCTION("""COMPUTED_VALUE"""),"Excellent")</f>
        <v>Excellent</v>
      </c>
      <c r="Z1407" s="138" t="str">
        <f>IFERROR(__xludf.DUMMYFUNCTION("""COMPUTED_VALUE"""),"Excellent")</f>
        <v>Excellent</v>
      </c>
      <c r="AA1407" s="138" t="str">
        <f>IFERROR(__xludf.DUMMYFUNCTION("""COMPUTED_VALUE"""),"Fair")</f>
        <v>Fair</v>
      </c>
      <c r="AB1407" s="138" t="str">
        <f>IFERROR(__xludf.DUMMYFUNCTION("""COMPUTED_VALUE"""),"Fair")</f>
        <v>Fair</v>
      </c>
      <c r="AC1407" s="139"/>
      <c r="AD1407" s="139"/>
      <c r="AE1407" s="139"/>
      <c r="AF1407" s="140"/>
      <c r="AG1407" s="136"/>
      <c r="AH1407" s="157">
        <f>IFERROR(__xludf.DUMMYFUNCTION("""COMPUTED_VALUE"""),43859.60400326389)</f>
        <v>43859.604</v>
      </c>
      <c r="AI1407" s="138"/>
      <c r="AJ1407" s="138"/>
      <c r="AK1407" s="138"/>
      <c r="AL1407" s="142"/>
    </row>
    <row r="1408" ht="20.25" customHeight="1">
      <c r="A1408" s="155" t="str">
        <f>IFERROR(__xludf.DUMMYFUNCTION("""COMPUTED_VALUE"""),"Drubby82")</f>
        <v>Drubby82</v>
      </c>
      <c r="B1408" s="149" t="str">
        <f>IFERROR(__xludf.DUMMYFUNCTION("""COMPUTED_VALUE"""),"Cullman")</f>
        <v>Cullman</v>
      </c>
      <c r="C1408" s="149" t="str">
        <f>IFERROR(__xludf.DUMMYFUNCTION("""COMPUTED_VALUE"""),"AL")</f>
        <v>AL</v>
      </c>
      <c r="D1408" s="149" t="str">
        <f>IFERROR(__xludf.DUMMYFUNCTION("""COMPUTED_VALUE"""),"USA")</f>
        <v>USA</v>
      </c>
      <c r="E1408" s="156">
        <f>IFERROR(__xludf.DUMMYFUNCTION("""COMPUTED_VALUE"""),43833.0)</f>
        <v>43833</v>
      </c>
      <c r="F1408" s="129">
        <f>IFERROR(__xludf.DUMMYFUNCTION("""COMPUTED_VALUE"""),43857.0)</f>
        <v>43857</v>
      </c>
      <c r="G1408" s="154"/>
      <c r="H1408" s="131">
        <f>IFERROR(__xludf.DUMMYFUNCTION("""COMPUTED_VALUE"""),628455.0)</f>
        <v>628455</v>
      </c>
      <c r="I1408" s="144"/>
      <c r="J1408" s="129">
        <f>IFERROR(__xludf.DUMMYFUNCTION("""COMPUTED_VALUE"""),43870.0)</f>
        <v>43870</v>
      </c>
      <c r="K1408" s="133">
        <f>IFERROR(__xludf.DUMMYFUNCTION("""COMPUTED_VALUE"""),24.0)</f>
        <v>24</v>
      </c>
      <c r="L1408" s="133">
        <f>IFERROR(__xludf.DUMMYFUNCTION("""COMPUTED_VALUE"""),13.0)</f>
        <v>13</v>
      </c>
      <c r="M1408" s="133">
        <f>IFERROR(__xludf.DUMMYFUNCTION("""COMPUTED_VALUE"""),37.0)</f>
        <v>37</v>
      </c>
      <c r="N1408" s="152" t="str">
        <f>IFERROR(__xludf.DUMMYFUNCTION("""COMPUTED_VALUE"""),"Model 3 LR AWD")</f>
        <v>Model 3 LR AWD</v>
      </c>
      <c r="O1408" s="152" t="str">
        <f>IFERROR(__xludf.DUMMYFUNCTION("""COMPUTED_VALUE"""),"Pearl White Multi-Coat")</f>
        <v>Pearl White Multi-Coat</v>
      </c>
      <c r="P1408" s="153" t="str">
        <f>IFERROR(__xludf.DUMMYFUNCTION("""COMPUTED_VALUE"""),"19 inch Sport")</f>
        <v>19 inch Sport</v>
      </c>
      <c r="Q1408" s="152" t="str">
        <f>IFERROR(__xludf.DUMMYFUNCTION("""COMPUTED_VALUE"""),"Black seats")</f>
        <v>Black seats</v>
      </c>
      <c r="R1408" s="149" t="str">
        <f>IFERROR(__xludf.DUMMYFUNCTION("""COMPUTED_VALUE"""),"Full Self-Driving")</f>
        <v>Full Self-Driving</v>
      </c>
      <c r="S1408" s="149"/>
      <c r="T1408" s="145"/>
      <c r="U1408" s="145"/>
      <c r="V1408" s="145"/>
      <c r="W1408" s="136"/>
      <c r="X1408" s="137" t="str">
        <f>IFERROR(__xludf.DUMMYFUNCTION("""COMPUTED_VALUE"""),"Very Good")</f>
        <v>Very Good</v>
      </c>
      <c r="Y1408" s="138" t="str">
        <f>IFERROR(__xludf.DUMMYFUNCTION("""COMPUTED_VALUE"""),"Excellent")</f>
        <v>Excellent</v>
      </c>
      <c r="Z1408" s="138" t="str">
        <f>IFERROR(__xludf.DUMMYFUNCTION("""COMPUTED_VALUE"""),"Excellent")</f>
        <v>Excellent</v>
      </c>
      <c r="AA1408" s="138" t="str">
        <f>IFERROR(__xludf.DUMMYFUNCTION("""COMPUTED_VALUE"""),"Excellent")</f>
        <v>Excellent</v>
      </c>
      <c r="AB1408" s="138" t="str">
        <f>IFERROR(__xludf.DUMMYFUNCTION("""COMPUTED_VALUE"""),"Excellent")</f>
        <v>Excellent</v>
      </c>
      <c r="AC1408" s="139">
        <f>IFERROR(__xludf.DUMMYFUNCTION("""COMPUTED_VALUE"""),0.0)</f>
        <v>0</v>
      </c>
      <c r="AD1408" s="139">
        <f>IFERROR(__xludf.DUMMYFUNCTION("""COMPUTED_VALUE"""),0.0)</f>
        <v>0</v>
      </c>
      <c r="AE1408" s="139">
        <f>IFERROR(__xludf.DUMMYFUNCTION("""COMPUTED_VALUE"""),0.0)</f>
        <v>0</v>
      </c>
      <c r="AF1408" s="140"/>
      <c r="AG1408" s="136"/>
      <c r="AH1408" s="157">
        <f>IFERROR(__xludf.DUMMYFUNCTION("""COMPUTED_VALUE"""),43892.5104574537)</f>
        <v>43892.51046</v>
      </c>
      <c r="AI1408" s="138"/>
      <c r="AJ1408" s="138"/>
      <c r="AK1408" s="138"/>
      <c r="AL1408" s="142"/>
    </row>
    <row r="1409" ht="20.25" customHeight="1">
      <c r="A1409" s="155" t="str">
        <f>IFERROR(__xludf.DUMMYFUNCTION("""COMPUTED_VALUE"""),"Jeeperrs")</f>
        <v>Jeeperrs</v>
      </c>
      <c r="B1409" s="149" t="str">
        <f>IFERROR(__xludf.DUMMYFUNCTION("""COMPUTED_VALUE"""),"Oklahoma City")</f>
        <v>Oklahoma City</v>
      </c>
      <c r="C1409" s="149" t="str">
        <f>IFERROR(__xludf.DUMMYFUNCTION("""COMPUTED_VALUE"""),"OK")</f>
        <v>OK</v>
      </c>
      <c r="D1409" s="149" t="str">
        <f>IFERROR(__xludf.DUMMYFUNCTION("""COMPUTED_VALUE"""),"USA")</f>
        <v>USA</v>
      </c>
      <c r="E1409" s="156">
        <f>IFERROR(__xludf.DUMMYFUNCTION("""COMPUTED_VALUE"""),43833.0)</f>
        <v>43833</v>
      </c>
      <c r="F1409" s="129">
        <f>IFERROR(__xludf.DUMMYFUNCTION("""COMPUTED_VALUE"""),43857.0)</f>
        <v>43857</v>
      </c>
      <c r="G1409" s="154"/>
      <c r="H1409" s="131">
        <f>IFERROR(__xludf.DUMMYFUNCTION("""COMPUTED_VALUE"""),641358.0)</f>
        <v>641358</v>
      </c>
      <c r="I1409" s="144" t="str">
        <f>IFERROR(__xludf.DUMMYFUNCTION("""COMPUTED_VALUE"""),"01/20")</f>
        <v>01/20</v>
      </c>
      <c r="J1409" s="129">
        <f>IFERROR(__xludf.DUMMYFUNCTION("""COMPUTED_VALUE"""),43871.0)</f>
        <v>43871</v>
      </c>
      <c r="K1409" s="133">
        <f>IFERROR(__xludf.DUMMYFUNCTION("""COMPUTED_VALUE"""),24.0)</f>
        <v>24</v>
      </c>
      <c r="L1409" s="133">
        <f>IFERROR(__xludf.DUMMYFUNCTION("""COMPUTED_VALUE"""),14.0)</f>
        <v>14</v>
      </c>
      <c r="M1409" s="133">
        <f>IFERROR(__xludf.DUMMYFUNCTION("""COMPUTED_VALUE"""),38.0)</f>
        <v>38</v>
      </c>
      <c r="N1409" s="152" t="str">
        <f>IFERROR(__xludf.DUMMYFUNCTION("""COMPUTED_VALUE"""),"Model 3 Performance")</f>
        <v>Model 3 Performance</v>
      </c>
      <c r="O1409" s="152" t="str">
        <f>IFERROR(__xludf.DUMMYFUNCTION("""COMPUTED_VALUE"""),"Pearl White Multi-Coat")</f>
        <v>Pearl White Multi-Coat</v>
      </c>
      <c r="P1409" s="153" t="str">
        <f>IFERROR(__xludf.DUMMYFUNCTION("""COMPUTED_VALUE"""),"20 inch Sport")</f>
        <v>20 inch Sport</v>
      </c>
      <c r="Q1409" s="152" t="str">
        <f>IFERROR(__xludf.DUMMYFUNCTION("""COMPUTED_VALUE"""),"Black seats")</f>
        <v>Black seats</v>
      </c>
      <c r="R1409" s="149" t="str">
        <f>IFERROR(__xludf.DUMMYFUNCTION("""COMPUTED_VALUE"""),"Autopilot")</f>
        <v>Autopilot</v>
      </c>
      <c r="S1409" s="149"/>
      <c r="T1409" s="145"/>
      <c r="U1409" s="145"/>
      <c r="V1409" s="145"/>
      <c r="W1409" s="136"/>
      <c r="X1409" s="137" t="str">
        <f>IFERROR(__xludf.DUMMYFUNCTION("""COMPUTED_VALUE"""),"Excellent")</f>
        <v>Excellent</v>
      </c>
      <c r="Y1409" s="138" t="str">
        <f>IFERROR(__xludf.DUMMYFUNCTION("""COMPUTED_VALUE"""),"Excellent")</f>
        <v>Excellent</v>
      </c>
      <c r="Z1409" s="138" t="str">
        <f>IFERROR(__xludf.DUMMYFUNCTION("""COMPUTED_VALUE"""),"Excellent")</f>
        <v>Excellent</v>
      </c>
      <c r="AA1409" s="138" t="str">
        <f>IFERROR(__xludf.DUMMYFUNCTION("""COMPUTED_VALUE"""),"Very Good")</f>
        <v>Very Good</v>
      </c>
      <c r="AB1409" s="138" t="str">
        <f>IFERROR(__xludf.DUMMYFUNCTION("""COMPUTED_VALUE"""),"Very Good")</f>
        <v>Very Good</v>
      </c>
      <c r="AC1409" s="139">
        <f>IFERROR(__xludf.DUMMYFUNCTION("""COMPUTED_VALUE"""),0.0)</f>
        <v>0</v>
      </c>
      <c r="AD1409" s="139">
        <f>IFERROR(__xludf.DUMMYFUNCTION("""COMPUTED_VALUE"""),0.0)</f>
        <v>0</v>
      </c>
      <c r="AE1409" s="139">
        <f>IFERROR(__xludf.DUMMYFUNCTION("""COMPUTED_VALUE"""),0.0)</f>
        <v>0</v>
      </c>
      <c r="AF1409" s="140"/>
      <c r="AG1409" s="136"/>
      <c r="AH1409" s="157">
        <f>IFERROR(__xludf.DUMMYFUNCTION("""COMPUTED_VALUE"""),43901.4064865625)</f>
        <v>43901.40649</v>
      </c>
      <c r="AI1409" s="138"/>
      <c r="AJ1409" s="138"/>
      <c r="AK1409" s="138"/>
      <c r="AL1409" s="142"/>
    </row>
    <row r="1410" ht="20.25" customHeight="1">
      <c r="A1410" s="155" t="str">
        <f>IFERROR(__xludf.DUMMYFUNCTION("""COMPUTED_VALUE"""),"Bubbatech")</f>
        <v>Bubbatech</v>
      </c>
      <c r="B1410" s="149" t="str">
        <f>IFERROR(__xludf.DUMMYFUNCTION("""COMPUTED_VALUE"""),"Birmingham ")</f>
        <v>Birmingham </v>
      </c>
      <c r="C1410" s="149" t="str">
        <f>IFERROR(__xludf.DUMMYFUNCTION("""COMPUTED_VALUE"""),"AL")</f>
        <v>AL</v>
      </c>
      <c r="D1410" s="149" t="str">
        <f>IFERROR(__xludf.DUMMYFUNCTION("""COMPUTED_VALUE"""),"USA")</f>
        <v>USA</v>
      </c>
      <c r="E1410" s="156">
        <f>IFERROR(__xludf.DUMMYFUNCTION("""COMPUTED_VALUE"""),43832.0)</f>
        <v>43832</v>
      </c>
      <c r="F1410" s="129">
        <f>IFERROR(__xludf.DUMMYFUNCTION("""COMPUTED_VALUE"""),43854.0)</f>
        <v>43854</v>
      </c>
      <c r="G1410" s="154"/>
      <c r="H1410" s="131">
        <f>IFERROR(__xludf.DUMMYFUNCTION("""COMPUTED_VALUE"""),635955.0)</f>
        <v>635955</v>
      </c>
      <c r="I1410" s="144"/>
      <c r="J1410" s="129">
        <f>IFERROR(__xludf.DUMMYFUNCTION("""COMPUTED_VALUE"""),43857.0)</f>
        <v>43857</v>
      </c>
      <c r="K1410" s="133">
        <f>IFERROR(__xludf.DUMMYFUNCTION("""COMPUTED_VALUE"""),22.0)</f>
        <v>22</v>
      </c>
      <c r="L1410" s="133">
        <f>IFERROR(__xludf.DUMMYFUNCTION("""COMPUTED_VALUE"""),3.0)</f>
        <v>3</v>
      </c>
      <c r="M1410" s="133">
        <f>IFERROR(__xludf.DUMMYFUNCTION("""COMPUTED_VALUE"""),25.0)</f>
        <v>25</v>
      </c>
      <c r="N1410" s="152" t="str">
        <f>IFERROR(__xludf.DUMMYFUNCTION("""COMPUTED_VALUE"""),"Model 3 LR AWD")</f>
        <v>Model 3 LR AWD</v>
      </c>
      <c r="O1410" s="152" t="str">
        <f>IFERROR(__xludf.DUMMYFUNCTION("""COMPUTED_VALUE"""),"Pearl White Multi-Coat")</f>
        <v>Pearl White Multi-Coat</v>
      </c>
      <c r="P1410" s="153" t="str">
        <f>IFERROR(__xludf.DUMMYFUNCTION("""COMPUTED_VALUE"""),"18 inch Aero")</f>
        <v>18 inch Aero</v>
      </c>
      <c r="Q1410" s="152" t="str">
        <f>IFERROR(__xludf.DUMMYFUNCTION("""COMPUTED_VALUE"""),"Black seats")</f>
        <v>Black seats</v>
      </c>
      <c r="R1410" s="149" t="str">
        <f>IFERROR(__xludf.DUMMYFUNCTION("""COMPUTED_VALUE"""),"Autopilot")</f>
        <v>Autopilot</v>
      </c>
      <c r="S1410" s="149"/>
      <c r="T1410" s="145"/>
      <c r="U1410" s="145"/>
      <c r="V1410" s="145"/>
      <c r="W1410" s="136"/>
      <c r="X1410" s="137" t="str">
        <f>IFERROR(__xludf.DUMMYFUNCTION("""COMPUTED_VALUE"""),"Excellent")</f>
        <v>Excellent</v>
      </c>
      <c r="Y1410" s="138" t="str">
        <f>IFERROR(__xludf.DUMMYFUNCTION("""COMPUTED_VALUE"""),"Excellent")</f>
        <v>Excellent</v>
      </c>
      <c r="Z1410" s="138" t="str">
        <f>IFERROR(__xludf.DUMMYFUNCTION("""COMPUTED_VALUE"""),"Excellent")</f>
        <v>Excellent</v>
      </c>
      <c r="AA1410" s="138" t="str">
        <f>IFERROR(__xludf.DUMMYFUNCTION("""COMPUTED_VALUE"""),"Excellent")</f>
        <v>Excellent</v>
      </c>
      <c r="AB1410" s="138" t="str">
        <f>IFERROR(__xludf.DUMMYFUNCTION("""COMPUTED_VALUE"""),"Excellent")</f>
        <v>Excellent</v>
      </c>
      <c r="AC1410" s="139">
        <f>IFERROR(__xludf.DUMMYFUNCTION("""COMPUTED_VALUE"""),0.0)</f>
        <v>0</v>
      </c>
      <c r="AD1410" s="139">
        <f>IFERROR(__xludf.DUMMYFUNCTION("""COMPUTED_VALUE"""),0.0)</f>
        <v>0</v>
      </c>
      <c r="AE1410" s="139">
        <f>IFERROR(__xludf.DUMMYFUNCTION("""COMPUTED_VALUE"""),0.0)</f>
        <v>0</v>
      </c>
      <c r="AF1410" s="140"/>
      <c r="AG1410" s="136" t="str">
        <f>IFERROR(__xludf.DUMMYFUNCTION("""COMPUTED_VALUE"""),"Flawless. No problems of any kind found.")</f>
        <v>Flawless. No problems of any kind found.</v>
      </c>
      <c r="AH1410" s="157">
        <f>IFERROR(__xludf.DUMMYFUNCTION("""COMPUTED_VALUE"""),43894.4905898611)</f>
        <v>43894.49059</v>
      </c>
      <c r="AI1410" s="138"/>
      <c r="AJ1410" s="138"/>
      <c r="AK1410" s="138"/>
      <c r="AL1410" s="142"/>
    </row>
    <row r="1411" ht="20.25" customHeight="1">
      <c r="A1411" s="155" t="str">
        <f>IFERROR(__xludf.DUMMYFUNCTION("""COMPUTED_VALUE"""),"Charlos214")</f>
        <v>Charlos214</v>
      </c>
      <c r="B1411" s="149" t="str">
        <f>IFERROR(__xludf.DUMMYFUNCTION("""COMPUTED_VALUE"""),"Dallas")</f>
        <v>Dallas</v>
      </c>
      <c r="C1411" s="149" t="str">
        <f>IFERROR(__xludf.DUMMYFUNCTION("""COMPUTED_VALUE"""),"TX")</f>
        <v>TX</v>
      </c>
      <c r="D1411" s="149" t="str">
        <f>IFERROR(__xludf.DUMMYFUNCTION("""COMPUTED_VALUE"""),"USA")</f>
        <v>USA</v>
      </c>
      <c r="E1411" s="156">
        <f>IFERROR(__xludf.DUMMYFUNCTION("""COMPUTED_VALUE"""),43832.0)</f>
        <v>43832</v>
      </c>
      <c r="F1411" s="129">
        <f>IFERROR(__xludf.DUMMYFUNCTION("""COMPUTED_VALUE"""),43900.0)</f>
        <v>43900</v>
      </c>
      <c r="G1411" s="154"/>
      <c r="H1411" s="131">
        <f>IFERROR(__xludf.DUMMYFUNCTION("""COMPUTED_VALUE"""),713126.0)</f>
        <v>713126</v>
      </c>
      <c r="I1411" s="144"/>
      <c r="J1411" s="129">
        <f>IFERROR(__xludf.DUMMYFUNCTION("""COMPUTED_VALUE"""),43916.0)</f>
        <v>43916</v>
      </c>
      <c r="K1411" s="133">
        <f>IFERROR(__xludf.DUMMYFUNCTION("""COMPUTED_VALUE"""),68.0)</f>
        <v>68</v>
      </c>
      <c r="L1411" s="133">
        <f>IFERROR(__xludf.DUMMYFUNCTION("""COMPUTED_VALUE"""),16.0)</f>
        <v>16</v>
      </c>
      <c r="M1411" s="133">
        <f>IFERROR(__xludf.DUMMYFUNCTION("""COMPUTED_VALUE"""),84.0)</f>
        <v>84</v>
      </c>
      <c r="N1411" s="152" t="str">
        <f>IFERROR(__xludf.DUMMYFUNCTION("""COMPUTED_VALUE"""),"Model 3 Performance")</f>
        <v>Model 3 Performance</v>
      </c>
      <c r="O1411" s="152" t="str">
        <f>IFERROR(__xludf.DUMMYFUNCTION("""COMPUTED_VALUE"""),"Solid Black")</f>
        <v>Solid Black</v>
      </c>
      <c r="P1411" s="153" t="str">
        <f>IFERROR(__xludf.DUMMYFUNCTION("""COMPUTED_VALUE"""),"20 inch Sport")</f>
        <v>20 inch Sport</v>
      </c>
      <c r="Q1411" s="152" t="str">
        <f>IFERROR(__xludf.DUMMYFUNCTION("""COMPUTED_VALUE"""),"Black seats")</f>
        <v>Black seats</v>
      </c>
      <c r="R1411" s="149" t="str">
        <f>IFERROR(__xludf.DUMMYFUNCTION("""COMPUTED_VALUE"""),"Autopilot")</f>
        <v>Autopilot</v>
      </c>
      <c r="S1411" s="149"/>
      <c r="T1411" s="145"/>
      <c r="U1411" s="145"/>
      <c r="V1411" s="145"/>
      <c r="W1411" s="136"/>
      <c r="X1411" s="137" t="str">
        <f>IFERROR(__xludf.DUMMYFUNCTION("""COMPUTED_VALUE"""),"Excellent")</f>
        <v>Excellent</v>
      </c>
      <c r="Y1411" s="138" t="str">
        <f>IFERROR(__xludf.DUMMYFUNCTION("""COMPUTED_VALUE"""),"Excellent")</f>
        <v>Excellent</v>
      </c>
      <c r="Z1411" s="138" t="str">
        <f>IFERROR(__xludf.DUMMYFUNCTION("""COMPUTED_VALUE"""),"Excellent")</f>
        <v>Excellent</v>
      </c>
      <c r="AA1411" s="138" t="str">
        <f>IFERROR(__xludf.DUMMYFUNCTION("""COMPUTED_VALUE"""),"Excellent")</f>
        <v>Excellent</v>
      </c>
      <c r="AB1411" s="138" t="str">
        <f>IFERROR(__xludf.DUMMYFUNCTION("""COMPUTED_VALUE"""),"Excellent")</f>
        <v>Excellent</v>
      </c>
      <c r="AC1411" s="139"/>
      <c r="AD1411" s="139"/>
      <c r="AE1411" s="139"/>
      <c r="AF1411" s="140"/>
      <c r="AG1411" s="136"/>
      <c r="AH1411" s="157">
        <f>IFERROR(__xludf.DUMMYFUNCTION("""COMPUTED_VALUE"""),43915.75590045139)</f>
        <v>43915.7559</v>
      </c>
      <c r="AI1411" s="138"/>
      <c r="AJ1411" s="138"/>
      <c r="AK1411" s="138"/>
      <c r="AL1411" s="142"/>
    </row>
    <row r="1412" ht="20.25" customHeight="1">
      <c r="A1412" s="155" t="str">
        <f>IFERROR(__xludf.DUMMYFUNCTION("""COMPUTED_VALUE"""),"Thomas")</f>
        <v>Thomas</v>
      </c>
      <c r="B1412" s="149" t="str">
        <f>IFERROR(__xludf.DUMMYFUNCTION("""COMPUTED_VALUE"""),"Phoenix")</f>
        <v>Phoenix</v>
      </c>
      <c r="C1412" s="149" t="str">
        <f>IFERROR(__xludf.DUMMYFUNCTION("""COMPUTED_VALUE"""),"AZ")</f>
        <v>AZ</v>
      </c>
      <c r="D1412" s="149" t="str">
        <f>IFERROR(__xludf.DUMMYFUNCTION("""COMPUTED_VALUE"""),"USA")</f>
        <v>USA</v>
      </c>
      <c r="E1412" s="156">
        <f>IFERROR(__xludf.DUMMYFUNCTION("""COMPUTED_VALUE"""),43832.0)</f>
        <v>43832</v>
      </c>
      <c r="F1412" s="129">
        <f>IFERROR(__xludf.DUMMYFUNCTION("""COMPUTED_VALUE"""),43845.0)</f>
        <v>43845</v>
      </c>
      <c r="G1412" s="154"/>
      <c r="H1412" s="131"/>
      <c r="I1412" s="144" t="str">
        <f>IFERROR(__xludf.DUMMYFUNCTION("""COMPUTED_VALUE"""),"12/19")</f>
        <v>12/19</v>
      </c>
      <c r="J1412" s="129">
        <f>IFERROR(__xludf.DUMMYFUNCTION("""COMPUTED_VALUE"""),43852.0)</f>
        <v>43852</v>
      </c>
      <c r="K1412" s="133">
        <f>IFERROR(__xludf.DUMMYFUNCTION("""COMPUTED_VALUE"""),13.0)</f>
        <v>13</v>
      </c>
      <c r="L1412" s="133">
        <f>IFERROR(__xludf.DUMMYFUNCTION("""COMPUTED_VALUE"""),7.0)</f>
        <v>7</v>
      </c>
      <c r="M1412" s="133">
        <f>IFERROR(__xludf.DUMMYFUNCTION("""COMPUTED_VALUE"""),20.0)</f>
        <v>20</v>
      </c>
      <c r="N1412" s="152" t="str">
        <f>IFERROR(__xludf.DUMMYFUNCTION("""COMPUTED_VALUE"""),"Model 3 LR AWD")</f>
        <v>Model 3 LR AWD</v>
      </c>
      <c r="O1412" s="152" t="str">
        <f>IFERROR(__xludf.DUMMYFUNCTION("""COMPUTED_VALUE"""),"Pearl White Multi-Coat")</f>
        <v>Pearl White Multi-Coat</v>
      </c>
      <c r="P1412" s="153" t="str">
        <f>IFERROR(__xludf.DUMMYFUNCTION("""COMPUTED_VALUE"""),"18 inch Aero")</f>
        <v>18 inch Aero</v>
      </c>
      <c r="Q1412" s="152" t="str">
        <f>IFERROR(__xludf.DUMMYFUNCTION("""COMPUTED_VALUE"""),"White seats")</f>
        <v>White seats</v>
      </c>
      <c r="R1412" s="149" t="str">
        <f>IFERROR(__xludf.DUMMYFUNCTION("""COMPUTED_VALUE"""),"Autopilot")</f>
        <v>Autopilot</v>
      </c>
      <c r="S1412" s="149"/>
      <c r="T1412" s="145"/>
      <c r="U1412" s="145"/>
      <c r="V1412" s="145"/>
      <c r="W1412" s="136"/>
      <c r="X1412" s="137" t="str">
        <f>IFERROR(__xludf.DUMMYFUNCTION("""COMPUTED_VALUE"""),"Excellent")</f>
        <v>Excellent</v>
      </c>
      <c r="Y1412" s="138" t="str">
        <f>IFERROR(__xludf.DUMMYFUNCTION("""COMPUTED_VALUE"""),"Excellent")</f>
        <v>Excellent</v>
      </c>
      <c r="Z1412" s="138" t="str">
        <f>IFERROR(__xludf.DUMMYFUNCTION("""COMPUTED_VALUE"""),"Excellent")</f>
        <v>Excellent</v>
      </c>
      <c r="AA1412" s="138" t="str">
        <f>IFERROR(__xludf.DUMMYFUNCTION("""COMPUTED_VALUE"""),"Excellent")</f>
        <v>Excellent</v>
      </c>
      <c r="AB1412" s="138" t="str">
        <f>IFERROR(__xludf.DUMMYFUNCTION("""COMPUTED_VALUE"""),"Excellent")</f>
        <v>Excellent</v>
      </c>
      <c r="AC1412" s="139">
        <f>IFERROR(__xludf.DUMMYFUNCTION("""COMPUTED_VALUE"""),1.0)</f>
        <v>1</v>
      </c>
      <c r="AD1412" s="139">
        <f>IFERROR(__xludf.DUMMYFUNCTION("""COMPUTED_VALUE"""),1.0)</f>
        <v>1</v>
      </c>
      <c r="AE1412" s="139">
        <f>IFERROR(__xludf.DUMMYFUNCTION("""COMPUTED_VALUE"""),1.0)</f>
        <v>1</v>
      </c>
      <c r="AF1412" s="140"/>
      <c r="AG1412" s="136"/>
      <c r="AH1412" s="157">
        <f>IFERROR(__xludf.DUMMYFUNCTION("""COMPUTED_VALUE"""),43854.35282400463)</f>
        <v>43854.35282</v>
      </c>
      <c r="AI1412" s="138"/>
      <c r="AJ1412" s="138"/>
      <c r="AK1412" s="138"/>
      <c r="AL1412" s="142"/>
    </row>
    <row r="1413" ht="20.25" customHeight="1">
      <c r="A1413" s="155" t="str">
        <f>IFERROR(__xludf.DUMMYFUNCTION("""COMPUTED_VALUE"""),"AutoXer")</f>
        <v>AutoXer</v>
      </c>
      <c r="B1413" s="149" t="str">
        <f>IFERROR(__xludf.DUMMYFUNCTION("""COMPUTED_VALUE"""),"Winnipeg")</f>
        <v>Winnipeg</v>
      </c>
      <c r="C1413" s="149" t="str">
        <f>IFERROR(__xludf.DUMMYFUNCTION("""COMPUTED_VALUE"""),"MB")</f>
        <v>MB</v>
      </c>
      <c r="D1413" s="149" t="str">
        <f>IFERROR(__xludf.DUMMYFUNCTION("""COMPUTED_VALUE"""),"Canada")</f>
        <v>Canada</v>
      </c>
      <c r="E1413" s="156">
        <f>IFERROR(__xludf.DUMMYFUNCTION("""COMPUTED_VALUE"""),43829.0)</f>
        <v>43829</v>
      </c>
      <c r="F1413" s="129">
        <f>IFERROR(__xludf.DUMMYFUNCTION("""COMPUTED_VALUE"""),43890.0)</f>
        <v>43890</v>
      </c>
      <c r="G1413" s="154"/>
      <c r="H1413" s="131">
        <f>IFERROR(__xludf.DUMMYFUNCTION("""COMPUTED_VALUE"""),643614.0)</f>
        <v>643614</v>
      </c>
      <c r="I1413" s="144"/>
      <c r="J1413" s="129">
        <f>IFERROR(__xludf.DUMMYFUNCTION("""COMPUTED_VALUE"""),43904.0)</f>
        <v>43904</v>
      </c>
      <c r="K1413" s="133">
        <f>IFERROR(__xludf.DUMMYFUNCTION("""COMPUTED_VALUE"""),61.0)</f>
        <v>61</v>
      </c>
      <c r="L1413" s="133">
        <f>IFERROR(__xludf.DUMMYFUNCTION("""COMPUTED_VALUE"""),14.0)</f>
        <v>14</v>
      </c>
      <c r="M1413" s="133">
        <f>IFERROR(__xludf.DUMMYFUNCTION("""COMPUTED_VALUE"""),75.0)</f>
        <v>75</v>
      </c>
      <c r="N1413" s="152" t="str">
        <f>IFERROR(__xludf.DUMMYFUNCTION("""COMPUTED_VALUE"""),"Model 3 Performance")</f>
        <v>Model 3 Performance</v>
      </c>
      <c r="O1413" s="152" t="str">
        <f>IFERROR(__xludf.DUMMYFUNCTION("""COMPUTED_VALUE"""),"Pearl White Multi-Coat")</f>
        <v>Pearl White Multi-Coat</v>
      </c>
      <c r="P1413" s="153" t="str">
        <f>IFERROR(__xludf.DUMMYFUNCTION("""COMPUTED_VALUE"""),"20 inch Sport")</f>
        <v>20 inch Sport</v>
      </c>
      <c r="Q1413" s="152" t="str">
        <f>IFERROR(__xludf.DUMMYFUNCTION("""COMPUTED_VALUE"""),"White seats")</f>
        <v>White seats</v>
      </c>
      <c r="R1413" s="149" t="str">
        <f>IFERROR(__xludf.DUMMYFUNCTION("""COMPUTED_VALUE"""),"Autopilot")</f>
        <v>Autopilot</v>
      </c>
      <c r="S1413" s="149"/>
      <c r="T1413" s="145"/>
      <c r="U1413" s="145"/>
      <c r="V1413" s="145"/>
      <c r="W1413" s="136"/>
      <c r="X1413" s="137" t="str">
        <f>IFERROR(__xludf.DUMMYFUNCTION("""COMPUTED_VALUE"""),"Very Good")</f>
        <v>Very Good</v>
      </c>
      <c r="Y1413" s="138" t="str">
        <f>IFERROR(__xludf.DUMMYFUNCTION("""COMPUTED_VALUE"""),"Very Good")</f>
        <v>Very Good</v>
      </c>
      <c r="Z1413" s="138" t="str">
        <f>IFERROR(__xludf.DUMMYFUNCTION("""COMPUTED_VALUE"""),"Good")</f>
        <v>Good</v>
      </c>
      <c r="AA1413" s="138" t="str">
        <f>IFERROR(__xludf.DUMMYFUNCTION("""COMPUTED_VALUE"""),"Excellent")</f>
        <v>Excellent</v>
      </c>
      <c r="AB1413" s="138" t="str">
        <f>IFERROR(__xludf.DUMMYFUNCTION("""COMPUTED_VALUE"""),"Excellent")</f>
        <v>Excellent</v>
      </c>
      <c r="AC1413" s="139">
        <f>IFERROR(__xludf.DUMMYFUNCTION("""COMPUTED_VALUE"""),1.0)</f>
        <v>1</v>
      </c>
      <c r="AD1413" s="139">
        <f>IFERROR(__xludf.DUMMYFUNCTION("""COMPUTED_VALUE"""),1.0)</f>
        <v>1</v>
      </c>
      <c r="AE1413" s="139">
        <f>IFERROR(__xludf.DUMMYFUNCTION("""COMPUTED_VALUE"""),0.0)</f>
        <v>0</v>
      </c>
      <c r="AF1413" s="140"/>
      <c r="AG1413" s="136" t="str">
        <f>IFERROR(__xludf.DUMMYFUNCTION("""COMPUTED_VALUE"""),"One 2"" scratch on front bumper")</f>
        <v>One 2" scratch on front bumper</v>
      </c>
      <c r="AH1413" s="157">
        <f>IFERROR(__xludf.DUMMYFUNCTION("""COMPUTED_VALUE"""),43917.45668707176)</f>
        <v>43917.45669</v>
      </c>
      <c r="AI1413" s="138"/>
      <c r="AJ1413" s="138"/>
      <c r="AK1413" s="138"/>
      <c r="AL1413" s="142"/>
    </row>
    <row r="1414" ht="20.25" customHeight="1">
      <c r="A1414" s="155" t="str">
        <f>IFERROR(__xludf.DUMMYFUNCTION("""COMPUTED_VALUE"""),"ImTheBA")</f>
        <v>ImTheBA</v>
      </c>
      <c r="B1414" s="149" t="str">
        <f>IFERROR(__xludf.DUMMYFUNCTION("""COMPUTED_VALUE"""),"Orange County")</f>
        <v>Orange County</v>
      </c>
      <c r="C1414" s="149" t="str">
        <f>IFERROR(__xludf.DUMMYFUNCTION("""COMPUTED_VALUE"""),"CA")</f>
        <v>CA</v>
      </c>
      <c r="D1414" s="149" t="str">
        <f>IFERROR(__xludf.DUMMYFUNCTION("""COMPUTED_VALUE"""),"USA")</f>
        <v>USA</v>
      </c>
      <c r="E1414" s="156">
        <f>IFERROR(__xludf.DUMMYFUNCTION("""COMPUTED_VALUE"""),43829.0)</f>
        <v>43829</v>
      </c>
      <c r="F1414" s="129">
        <f>IFERROR(__xludf.DUMMYFUNCTION("""COMPUTED_VALUE"""),43865.0)</f>
        <v>43865</v>
      </c>
      <c r="G1414" s="154"/>
      <c r="H1414" s="131">
        <f>IFERROR(__xludf.DUMMYFUNCTION("""COMPUTED_VALUE"""),648055.0)</f>
        <v>648055</v>
      </c>
      <c r="I1414" s="144"/>
      <c r="J1414" s="129">
        <f>IFERROR(__xludf.DUMMYFUNCTION("""COMPUTED_VALUE"""),43868.0)</f>
        <v>43868</v>
      </c>
      <c r="K1414" s="133">
        <f>IFERROR(__xludf.DUMMYFUNCTION("""COMPUTED_VALUE"""),36.0)</f>
        <v>36</v>
      </c>
      <c r="L1414" s="133">
        <f>IFERROR(__xludf.DUMMYFUNCTION("""COMPUTED_VALUE"""),3.0)</f>
        <v>3</v>
      </c>
      <c r="M1414" s="133">
        <f>IFERROR(__xludf.DUMMYFUNCTION("""COMPUTED_VALUE"""),39.0)</f>
        <v>39</v>
      </c>
      <c r="N1414" s="152" t="str">
        <f>IFERROR(__xludf.DUMMYFUNCTION("""COMPUTED_VALUE"""),"Model 3 LR AWD")</f>
        <v>Model 3 LR AWD</v>
      </c>
      <c r="O1414" s="152" t="str">
        <f>IFERROR(__xludf.DUMMYFUNCTION("""COMPUTED_VALUE"""),"Deep Blue Metallic")</f>
        <v>Deep Blue Metallic</v>
      </c>
      <c r="P1414" s="153" t="str">
        <f>IFERROR(__xludf.DUMMYFUNCTION("""COMPUTED_VALUE"""),"19 inch Sport")</f>
        <v>19 inch Sport</v>
      </c>
      <c r="Q1414" s="152" t="str">
        <f>IFERROR(__xludf.DUMMYFUNCTION("""COMPUTED_VALUE"""),"Black seats")</f>
        <v>Black seats</v>
      </c>
      <c r="R1414" s="149" t="str">
        <f>IFERROR(__xludf.DUMMYFUNCTION("""COMPUTED_VALUE"""),"Full Self-Driving")</f>
        <v>Full Self-Driving</v>
      </c>
      <c r="S1414" s="149"/>
      <c r="T1414" s="145"/>
      <c r="U1414" s="145"/>
      <c r="V1414" s="145"/>
      <c r="W1414" s="136"/>
      <c r="X1414" s="137" t="str">
        <f>IFERROR(__xludf.DUMMYFUNCTION("""COMPUTED_VALUE"""),"Excellent")</f>
        <v>Excellent</v>
      </c>
      <c r="Y1414" s="138" t="str">
        <f>IFERROR(__xludf.DUMMYFUNCTION("""COMPUTED_VALUE"""),"Excellent")</f>
        <v>Excellent</v>
      </c>
      <c r="Z1414" s="138" t="str">
        <f>IFERROR(__xludf.DUMMYFUNCTION("""COMPUTED_VALUE"""),"Excellent")</f>
        <v>Excellent</v>
      </c>
      <c r="AA1414" s="138" t="str">
        <f>IFERROR(__xludf.DUMMYFUNCTION("""COMPUTED_VALUE"""),"Excellent")</f>
        <v>Excellent</v>
      </c>
      <c r="AB1414" s="138" t="str">
        <f>IFERROR(__xludf.DUMMYFUNCTION("""COMPUTED_VALUE"""),"Excellent")</f>
        <v>Excellent</v>
      </c>
      <c r="AC1414" s="139"/>
      <c r="AD1414" s="139"/>
      <c r="AE1414" s="139"/>
      <c r="AF1414" s="140"/>
      <c r="AG1414" s="136"/>
      <c r="AH1414" s="157">
        <f>IFERROR(__xludf.DUMMYFUNCTION("""COMPUTED_VALUE"""),43868.49203891204)</f>
        <v>43868.49204</v>
      </c>
      <c r="AI1414" s="138"/>
      <c r="AJ1414" s="138"/>
      <c r="AK1414" s="138"/>
      <c r="AL1414" s="142"/>
    </row>
    <row r="1415" ht="20.25" customHeight="1">
      <c r="A1415" s="155" t="str">
        <f>IFERROR(__xludf.DUMMYFUNCTION("""COMPUTED_VALUE"""),"jac91")</f>
        <v>jac91</v>
      </c>
      <c r="B1415" s="149" t="str">
        <f>IFERROR(__xludf.DUMMYFUNCTION("""COMPUTED_VALUE"""),"Sherbrooke")</f>
        <v>Sherbrooke</v>
      </c>
      <c r="C1415" s="149" t="str">
        <f>IFERROR(__xludf.DUMMYFUNCTION("""COMPUTED_VALUE"""),"QC")</f>
        <v>QC</v>
      </c>
      <c r="D1415" s="149" t="str">
        <f>IFERROR(__xludf.DUMMYFUNCTION("""COMPUTED_VALUE"""),"Canada")</f>
        <v>Canada</v>
      </c>
      <c r="E1415" s="156">
        <f>IFERROR(__xludf.DUMMYFUNCTION("""COMPUTED_VALUE"""),43829.0)</f>
        <v>43829</v>
      </c>
      <c r="F1415" s="129">
        <f>IFERROR(__xludf.DUMMYFUNCTION("""COMPUTED_VALUE"""),43881.0)</f>
        <v>43881</v>
      </c>
      <c r="G1415" s="154"/>
      <c r="H1415" s="131">
        <f>IFERROR(__xludf.DUMMYFUNCTION("""COMPUTED_VALUE"""),625432.0)</f>
        <v>625432</v>
      </c>
      <c r="I1415" s="144"/>
      <c r="J1415" s="129">
        <f>IFERROR(__xludf.DUMMYFUNCTION("""COMPUTED_VALUE"""),43897.0)</f>
        <v>43897</v>
      </c>
      <c r="K1415" s="133">
        <f>IFERROR(__xludf.DUMMYFUNCTION("""COMPUTED_VALUE"""),52.0)</f>
        <v>52</v>
      </c>
      <c r="L1415" s="133">
        <f>IFERROR(__xludf.DUMMYFUNCTION("""COMPUTED_VALUE"""),16.0)</f>
        <v>16</v>
      </c>
      <c r="M1415" s="133">
        <f>IFERROR(__xludf.DUMMYFUNCTION("""COMPUTED_VALUE"""),68.0)</f>
        <v>68</v>
      </c>
      <c r="N1415" s="152" t="str">
        <f>IFERROR(__xludf.DUMMYFUNCTION("""COMPUTED_VALUE"""),"Model 3 SR+")</f>
        <v>Model 3 SR+</v>
      </c>
      <c r="O1415" s="152" t="str">
        <f>IFERROR(__xludf.DUMMYFUNCTION("""COMPUTED_VALUE"""),"Deep Blue Metallic")</f>
        <v>Deep Blue Metallic</v>
      </c>
      <c r="P1415" s="153" t="str">
        <f>IFERROR(__xludf.DUMMYFUNCTION("""COMPUTED_VALUE"""),"18 inch Aero")</f>
        <v>18 inch Aero</v>
      </c>
      <c r="Q1415" s="152" t="str">
        <f>IFERROR(__xludf.DUMMYFUNCTION("""COMPUTED_VALUE"""),"Black seats")</f>
        <v>Black seats</v>
      </c>
      <c r="R1415" s="149" t="str">
        <f>IFERROR(__xludf.DUMMYFUNCTION("""COMPUTED_VALUE"""),"Autopilot")</f>
        <v>Autopilot</v>
      </c>
      <c r="S1415" s="149"/>
      <c r="T1415" s="145"/>
      <c r="U1415" s="145"/>
      <c r="V1415" s="145"/>
      <c r="W1415" s="136"/>
      <c r="X1415" s="137" t="str">
        <f>IFERROR(__xludf.DUMMYFUNCTION("""COMPUTED_VALUE"""),"Very Good")</f>
        <v>Very Good</v>
      </c>
      <c r="Y1415" s="138" t="str">
        <f>IFERROR(__xludf.DUMMYFUNCTION("""COMPUTED_VALUE"""),"Excellent")</f>
        <v>Excellent</v>
      </c>
      <c r="Z1415" s="138" t="str">
        <f>IFERROR(__xludf.DUMMYFUNCTION("""COMPUTED_VALUE"""),"Very Good")</f>
        <v>Very Good</v>
      </c>
      <c r="AA1415" s="138" t="str">
        <f>IFERROR(__xludf.DUMMYFUNCTION("""COMPUTED_VALUE"""),"Excellent")</f>
        <v>Excellent</v>
      </c>
      <c r="AB1415" s="138" t="str">
        <f>IFERROR(__xludf.DUMMYFUNCTION("""COMPUTED_VALUE"""),"Excellent")</f>
        <v>Excellent</v>
      </c>
      <c r="AC1415" s="139">
        <f>IFERROR(__xludf.DUMMYFUNCTION("""COMPUTED_VALUE"""),0.0)</f>
        <v>0</v>
      </c>
      <c r="AD1415" s="139">
        <f>IFERROR(__xludf.DUMMYFUNCTION("""COMPUTED_VALUE"""),0.0)</f>
        <v>0</v>
      </c>
      <c r="AE1415" s="139">
        <f>IFERROR(__xludf.DUMMYFUNCTION("""COMPUTED_VALUE"""),0.0)</f>
        <v>0</v>
      </c>
      <c r="AF1415" s="140"/>
      <c r="AG1415" s="136"/>
      <c r="AH1415" s="157">
        <f>IFERROR(__xludf.DUMMYFUNCTION("""COMPUTED_VALUE"""),43899.28021026621)</f>
        <v>43899.28021</v>
      </c>
      <c r="AI1415" s="138"/>
      <c r="AJ1415" s="138"/>
      <c r="AK1415" s="138"/>
      <c r="AL1415" s="142"/>
    </row>
    <row r="1416" ht="20.25" customHeight="1">
      <c r="A1416" s="155" t="str">
        <f>IFERROR(__xludf.DUMMYFUNCTION("""COMPUTED_VALUE"""),"Thaack99 ")</f>
        <v>Thaack99 </v>
      </c>
      <c r="B1416" s="149" t="str">
        <f>IFERROR(__xludf.DUMMYFUNCTION("""COMPUTED_VALUE"""),"Redlands")</f>
        <v>Redlands</v>
      </c>
      <c r="C1416" s="149" t="str">
        <f>IFERROR(__xludf.DUMMYFUNCTION("""COMPUTED_VALUE"""),"CA")</f>
        <v>CA</v>
      </c>
      <c r="D1416" s="149" t="str">
        <f>IFERROR(__xludf.DUMMYFUNCTION("""COMPUTED_VALUE"""),"USA")</f>
        <v>USA</v>
      </c>
      <c r="E1416" s="156">
        <f>IFERROR(__xludf.DUMMYFUNCTION("""COMPUTED_VALUE"""),43829.0)</f>
        <v>43829</v>
      </c>
      <c r="F1416" s="129">
        <f>IFERROR(__xludf.DUMMYFUNCTION("""COMPUTED_VALUE"""),43882.0)</f>
        <v>43882</v>
      </c>
      <c r="G1416" s="154"/>
      <c r="H1416" s="131">
        <f>IFERROR(__xludf.DUMMYFUNCTION("""COMPUTED_VALUE"""),669870.0)</f>
        <v>669870</v>
      </c>
      <c r="I1416" s="144"/>
      <c r="J1416" s="129">
        <f>IFERROR(__xludf.DUMMYFUNCTION("""COMPUTED_VALUE"""),43881.0)</f>
        <v>43881</v>
      </c>
      <c r="K1416" s="133">
        <f>IFERROR(__xludf.DUMMYFUNCTION("""COMPUTED_VALUE"""),53.0)</f>
        <v>53</v>
      </c>
      <c r="L1416" s="133"/>
      <c r="M1416" s="133">
        <f>IFERROR(__xludf.DUMMYFUNCTION("""COMPUTED_VALUE"""),52.0)</f>
        <v>52</v>
      </c>
      <c r="N1416" s="152" t="str">
        <f>IFERROR(__xludf.DUMMYFUNCTION("""COMPUTED_VALUE"""),"Model 3 SR+")</f>
        <v>Model 3 SR+</v>
      </c>
      <c r="O1416" s="152" t="str">
        <f>IFERROR(__xludf.DUMMYFUNCTION("""COMPUTED_VALUE"""),"Pearl White Multi-Coat")</f>
        <v>Pearl White Multi-Coat</v>
      </c>
      <c r="P1416" s="153" t="str">
        <f>IFERROR(__xludf.DUMMYFUNCTION("""COMPUTED_VALUE"""),"18 inch Aero")</f>
        <v>18 inch Aero</v>
      </c>
      <c r="Q1416" s="152" t="str">
        <f>IFERROR(__xludf.DUMMYFUNCTION("""COMPUTED_VALUE"""),"Black seats")</f>
        <v>Black seats</v>
      </c>
      <c r="R1416" s="149" t="str">
        <f>IFERROR(__xludf.DUMMYFUNCTION("""COMPUTED_VALUE"""),"Autopilot")</f>
        <v>Autopilot</v>
      </c>
      <c r="S1416" s="149"/>
      <c r="T1416" s="145"/>
      <c r="U1416" s="145"/>
      <c r="V1416" s="145"/>
      <c r="W1416" s="136"/>
      <c r="X1416" s="137" t="str">
        <f>IFERROR(__xludf.DUMMYFUNCTION("""COMPUTED_VALUE"""),"Excellent")</f>
        <v>Excellent</v>
      </c>
      <c r="Y1416" s="138" t="str">
        <f>IFERROR(__xludf.DUMMYFUNCTION("""COMPUTED_VALUE"""),"Excellent")</f>
        <v>Excellent</v>
      </c>
      <c r="Z1416" s="138" t="str">
        <f>IFERROR(__xludf.DUMMYFUNCTION("""COMPUTED_VALUE"""),"Excellent")</f>
        <v>Excellent</v>
      </c>
      <c r="AA1416" s="138" t="str">
        <f>IFERROR(__xludf.DUMMYFUNCTION("""COMPUTED_VALUE"""),"Excellent")</f>
        <v>Excellent</v>
      </c>
      <c r="AB1416" s="138" t="str">
        <f>IFERROR(__xludf.DUMMYFUNCTION("""COMPUTED_VALUE"""),"Excellent")</f>
        <v>Excellent</v>
      </c>
      <c r="AC1416" s="139"/>
      <c r="AD1416" s="139"/>
      <c r="AE1416" s="139"/>
      <c r="AF1416" s="140"/>
      <c r="AG1416" s="136"/>
      <c r="AH1416" s="157">
        <f>IFERROR(__xludf.DUMMYFUNCTION("""COMPUTED_VALUE"""),43907.331232372686)</f>
        <v>43907.33123</v>
      </c>
      <c r="AI1416" s="138"/>
      <c r="AJ1416" s="138"/>
      <c r="AK1416" s="138"/>
      <c r="AL1416" s="142"/>
    </row>
    <row r="1417" ht="20.25" customHeight="1">
      <c r="A1417" s="155" t="str">
        <f>IFERROR(__xludf.DUMMYFUNCTION("""COMPUTED_VALUE"""),"cateslamodel3")</f>
        <v>cateslamodel3</v>
      </c>
      <c r="B1417" s="149" t="str">
        <f>IFERROR(__xludf.DUMMYFUNCTION("""COMPUTED_VALUE"""),"Los Angeles")</f>
        <v>Los Angeles</v>
      </c>
      <c r="C1417" s="149" t="str">
        <f>IFERROR(__xludf.DUMMYFUNCTION("""COMPUTED_VALUE"""),"CA")</f>
        <v>CA</v>
      </c>
      <c r="D1417" s="149" t="str">
        <f>IFERROR(__xludf.DUMMYFUNCTION("""COMPUTED_VALUE"""),"USA")</f>
        <v>USA</v>
      </c>
      <c r="E1417" s="156">
        <f>IFERROR(__xludf.DUMMYFUNCTION("""COMPUTED_VALUE"""),43828.0)</f>
        <v>43828</v>
      </c>
      <c r="F1417" s="129">
        <f>IFERROR(__xludf.DUMMYFUNCTION("""COMPUTED_VALUE"""),43828.0)</f>
        <v>43828</v>
      </c>
      <c r="G1417" s="154"/>
      <c r="H1417" s="131">
        <f>IFERROR(__xludf.DUMMYFUNCTION("""COMPUTED_VALUE"""),648055.0)</f>
        <v>648055</v>
      </c>
      <c r="I1417" s="144" t="str">
        <f>IFERROR(__xludf.DUMMYFUNCTION("""COMPUTED_VALUE"""),"12/19")</f>
        <v>12/19</v>
      </c>
      <c r="J1417" s="129">
        <f>IFERROR(__xludf.DUMMYFUNCTION("""COMPUTED_VALUE"""),43830.0)</f>
        <v>43830</v>
      </c>
      <c r="K1417" s="133">
        <f>IFERROR(__xludf.DUMMYFUNCTION("""COMPUTED_VALUE"""),0.0)</f>
        <v>0</v>
      </c>
      <c r="L1417" s="133">
        <f>IFERROR(__xludf.DUMMYFUNCTION("""COMPUTED_VALUE"""),2.0)</f>
        <v>2</v>
      </c>
      <c r="M1417" s="133">
        <f>IFERROR(__xludf.DUMMYFUNCTION("""COMPUTED_VALUE"""),2.0)</f>
        <v>2</v>
      </c>
      <c r="N1417" s="152" t="str">
        <f>IFERROR(__xludf.DUMMYFUNCTION("""COMPUTED_VALUE"""),"Model 3 Performance")</f>
        <v>Model 3 Performance</v>
      </c>
      <c r="O1417" s="152" t="str">
        <f>IFERROR(__xludf.DUMMYFUNCTION("""COMPUTED_VALUE"""),"Pearl White Multi-Coat")</f>
        <v>Pearl White Multi-Coat</v>
      </c>
      <c r="P1417" s="153" t="str">
        <f>IFERROR(__xludf.DUMMYFUNCTION("""COMPUTED_VALUE"""),"20 inch Sport")</f>
        <v>20 inch Sport</v>
      </c>
      <c r="Q1417" s="152" t="str">
        <f>IFERROR(__xludf.DUMMYFUNCTION("""COMPUTED_VALUE"""),"Black seats")</f>
        <v>Black seats</v>
      </c>
      <c r="R1417" s="149" t="str">
        <f>IFERROR(__xludf.DUMMYFUNCTION("""COMPUTED_VALUE"""),"Full Self-Driving")</f>
        <v>Full Self-Driving</v>
      </c>
      <c r="S1417" s="149"/>
      <c r="T1417" s="145"/>
      <c r="U1417" s="145"/>
      <c r="V1417" s="145"/>
      <c r="W1417" s="136"/>
      <c r="X1417" s="137" t="str">
        <f>IFERROR(__xludf.DUMMYFUNCTION("""COMPUTED_VALUE"""),"Excellent")</f>
        <v>Excellent</v>
      </c>
      <c r="Y1417" s="138" t="str">
        <f>IFERROR(__xludf.DUMMYFUNCTION("""COMPUTED_VALUE"""),"Excellent")</f>
        <v>Excellent</v>
      </c>
      <c r="Z1417" s="138" t="str">
        <f>IFERROR(__xludf.DUMMYFUNCTION("""COMPUTED_VALUE"""),"Excellent")</f>
        <v>Excellent</v>
      </c>
      <c r="AA1417" s="138" t="str">
        <f>IFERROR(__xludf.DUMMYFUNCTION("""COMPUTED_VALUE"""),"Excellent")</f>
        <v>Excellent</v>
      </c>
      <c r="AB1417" s="138" t="str">
        <f>IFERROR(__xludf.DUMMYFUNCTION("""COMPUTED_VALUE"""),"Excellent")</f>
        <v>Excellent</v>
      </c>
      <c r="AC1417" s="139">
        <f>IFERROR(__xludf.DUMMYFUNCTION("""COMPUTED_VALUE"""),1.0)</f>
        <v>1</v>
      </c>
      <c r="AD1417" s="139"/>
      <c r="AE1417" s="139"/>
      <c r="AF1417" s="140"/>
      <c r="AG1417" s="136"/>
      <c r="AH1417" s="157">
        <f>IFERROR(__xludf.DUMMYFUNCTION("""COMPUTED_VALUE"""),43970.89369653935)</f>
        <v>43970.8937</v>
      </c>
      <c r="AI1417" s="138"/>
      <c r="AJ1417" s="138"/>
      <c r="AK1417" s="138"/>
      <c r="AL1417" s="142"/>
    </row>
    <row r="1418" ht="20.25" customHeight="1">
      <c r="A1418" s="155" t="str">
        <f>IFERROR(__xludf.DUMMYFUNCTION("""COMPUTED_VALUE"""),"topscrt")</f>
        <v>topscrt</v>
      </c>
      <c r="B1418" s="149" t="str">
        <f>IFERROR(__xludf.DUMMYFUNCTION("""COMPUTED_VALUE"""),"Charleston")</f>
        <v>Charleston</v>
      </c>
      <c r="C1418" s="149" t="str">
        <f>IFERROR(__xludf.DUMMYFUNCTION("""COMPUTED_VALUE"""),"SC")</f>
        <v>SC</v>
      </c>
      <c r="D1418" s="149" t="str">
        <f>IFERROR(__xludf.DUMMYFUNCTION("""COMPUTED_VALUE"""),"USA")</f>
        <v>USA</v>
      </c>
      <c r="E1418" s="156">
        <f>IFERROR(__xludf.DUMMYFUNCTION("""COMPUTED_VALUE"""),43827.0)</f>
        <v>43827</v>
      </c>
      <c r="F1418" s="129">
        <f>IFERROR(__xludf.DUMMYFUNCTION("""COMPUTED_VALUE"""),43836.0)</f>
        <v>43836</v>
      </c>
      <c r="G1418" s="154"/>
      <c r="H1418" s="131">
        <f>IFERROR(__xludf.DUMMYFUNCTION("""COMPUTED_VALUE"""),637695.0)</f>
        <v>637695</v>
      </c>
      <c r="I1418" s="144"/>
      <c r="J1418" s="129">
        <f>IFERROR(__xludf.DUMMYFUNCTION("""COMPUTED_VALUE"""),43853.0)</f>
        <v>43853</v>
      </c>
      <c r="K1418" s="133">
        <f>IFERROR(__xludf.DUMMYFUNCTION("""COMPUTED_VALUE"""),9.0)</f>
        <v>9</v>
      </c>
      <c r="L1418" s="133">
        <f>IFERROR(__xludf.DUMMYFUNCTION("""COMPUTED_VALUE"""),17.0)</f>
        <v>17</v>
      </c>
      <c r="M1418" s="133">
        <f>IFERROR(__xludf.DUMMYFUNCTION("""COMPUTED_VALUE"""),26.0)</f>
        <v>26</v>
      </c>
      <c r="N1418" s="152" t="str">
        <f>IFERROR(__xludf.DUMMYFUNCTION("""COMPUTED_VALUE"""),"Model 3 LR AWD")</f>
        <v>Model 3 LR AWD</v>
      </c>
      <c r="O1418" s="152" t="str">
        <f>IFERROR(__xludf.DUMMYFUNCTION("""COMPUTED_VALUE"""),"Pearl White Multi-Coat")</f>
        <v>Pearl White Multi-Coat</v>
      </c>
      <c r="P1418" s="153" t="str">
        <f>IFERROR(__xludf.DUMMYFUNCTION("""COMPUTED_VALUE"""),"18 inch Aero")</f>
        <v>18 inch Aero</v>
      </c>
      <c r="Q1418" s="152" t="str">
        <f>IFERROR(__xludf.DUMMYFUNCTION("""COMPUTED_VALUE"""),"Black seats")</f>
        <v>Black seats</v>
      </c>
      <c r="R1418" s="149" t="str">
        <f>IFERROR(__xludf.DUMMYFUNCTION("""COMPUTED_VALUE"""),"Autopilot")</f>
        <v>Autopilot</v>
      </c>
      <c r="S1418" s="149"/>
      <c r="T1418" s="145"/>
      <c r="U1418" s="145"/>
      <c r="V1418" s="145"/>
      <c r="W1418" s="136"/>
      <c r="X1418" s="137" t="str">
        <f>IFERROR(__xludf.DUMMYFUNCTION("""COMPUTED_VALUE"""),"Excellent")</f>
        <v>Excellent</v>
      </c>
      <c r="Y1418" s="138" t="str">
        <f>IFERROR(__xludf.DUMMYFUNCTION("""COMPUTED_VALUE"""),"Excellent")</f>
        <v>Excellent</v>
      </c>
      <c r="Z1418" s="138" t="str">
        <f>IFERROR(__xludf.DUMMYFUNCTION("""COMPUTED_VALUE"""),"Very Good")</f>
        <v>Very Good</v>
      </c>
      <c r="AA1418" s="138" t="str">
        <f>IFERROR(__xludf.DUMMYFUNCTION("""COMPUTED_VALUE"""),"Very Good")</f>
        <v>Very Good</v>
      </c>
      <c r="AB1418" s="138" t="str">
        <f>IFERROR(__xludf.DUMMYFUNCTION("""COMPUTED_VALUE"""),"Excellent")</f>
        <v>Excellent</v>
      </c>
      <c r="AC1418" s="139">
        <f>IFERROR(__xludf.DUMMYFUNCTION("""COMPUTED_VALUE"""),1.0)</f>
        <v>1</v>
      </c>
      <c r="AD1418" s="139">
        <f>IFERROR(__xludf.DUMMYFUNCTION("""COMPUTED_VALUE"""),0.0)</f>
        <v>0</v>
      </c>
      <c r="AE1418" s="139">
        <f>IFERROR(__xludf.DUMMYFUNCTION("""COMPUTED_VALUE"""),0.0)</f>
        <v>0</v>
      </c>
      <c r="AF1418" s="140"/>
      <c r="AG1418" s="136" t="str">
        <f>IFERROR(__xludf.DUMMYFUNCTION("""COMPUTED_VALUE"""),"Vehicle ready for pickup 19 Jan 2020")</f>
        <v>Vehicle ready for pickup 19 Jan 2020</v>
      </c>
      <c r="AH1418" s="157">
        <f>IFERROR(__xludf.DUMMYFUNCTION("""COMPUTED_VALUE"""),43856.297140891205)</f>
        <v>43856.29714</v>
      </c>
      <c r="AI1418" s="138"/>
      <c r="AJ1418" s="138"/>
      <c r="AK1418" s="138"/>
      <c r="AL1418" s="142"/>
    </row>
    <row r="1419" ht="20.25" customHeight="1">
      <c r="A1419" s="155" t="str">
        <f>IFERROR(__xludf.DUMMYFUNCTION("""COMPUTED_VALUE"""),"Bkfarrell")</f>
        <v>Bkfarrell</v>
      </c>
      <c r="B1419" s="149" t="str">
        <f>IFERROR(__xludf.DUMMYFUNCTION("""COMPUTED_VALUE"""),"Northern VA")</f>
        <v>Northern VA</v>
      </c>
      <c r="C1419" s="149" t="str">
        <f>IFERROR(__xludf.DUMMYFUNCTION("""COMPUTED_VALUE"""),"VA")</f>
        <v>VA</v>
      </c>
      <c r="D1419" s="149" t="str">
        <f>IFERROR(__xludf.DUMMYFUNCTION("""COMPUTED_VALUE"""),"USA")</f>
        <v>USA</v>
      </c>
      <c r="E1419" s="156">
        <f>IFERROR(__xludf.DUMMYFUNCTION("""COMPUTED_VALUE"""),43826.0)</f>
        <v>43826</v>
      </c>
      <c r="F1419" s="129">
        <f>IFERROR(__xludf.DUMMYFUNCTION("""COMPUTED_VALUE"""),43859.0)</f>
        <v>43859</v>
      </c>
      <c r="G1419" s="154"/>
      <c r="H1419" s="131">
        <f>IFERROR(__xludf.DUMMYFUNCTION("""COMPUTED_VALUE"""),639497.0)</f>
        <v>639497</v>
      </c>
      <c r="I1419" s="144"/>
      <c r="J1419" s="129">
        <f>IFERROR(__xludf.DUMMYFUNCTION("""COMPUTED_VALUE"""),43872.0)</f>
        <v>43872</v>
      </c>
      <c r="K1419" s="133">
        <f>IFERROR(__xludf.DUMMYFUNCTION("""COMPUTED_VALUE"""),33.0)</f>
        <v>33</v>
      </c>
      <c r="L1419" s="133">
        <f>IFERROR(__xludf.DUMMYFUNCTION("""COMPUTED_VALUE"""),13.0)</f>
        <v>13</v>
      </c>
      <c r="M1419" s="133">
        <f>IFERROR(__xludf.DUMMYFUNCTION("""COMPUTED_VALUE"""),46.0)</f>
        <v>46</v>
      </c>
      <c r="N1419" s="152" t="str">
        <f>IFERROR(__xludf.DUMMYFUNCTION("""COMPUTED_VALUE"""),"Model 3 LR AWD")</f>
        <v>Model 3 LR AWD</v>
      </c>
      <c r="O1419" s="152" t="str">
        <f>IFERROR(__xludf.DUMMYFUNCTION("""COMPUTED_VALUE"""),"Pearl White Multi-Coat")</f>
        <v>Pearl White Multi-Coat</v>
      </c>
      <c r="P1419" s="153" t="str">
        <f>IFERROR(__xludf.DUMMYFUNCTION("""COMPUTED_VALUE"""),"18 inch Aero")</f>
        <v>18 inch Aero</v>
      </c>
      <c r="Q1419" s="152" t="str">
        <f>IFERROR(__xludf.DUMMYFUNCTION("""COMPUTED_VALUE"""),"White seats")</f>
        <v>White seats</v>
      </c>
      <c r="R1419" s="149" t="str">
        <f>IFERROR(__xludf.DUMMYFUNCTION("""COMPUTED_VALUE"""),"Full Self-Driving")</f>
        <v>Full Self-Driving</v>
      </c>
      <c r="S1419" s="149"/>
      <c r="T1419" s="145"/>
      <c r="U1419" s="145"/>
      <c r="V1419" s="145"/>
      <c r="W1419" s="136"/>
      <c r="X1419" s="137" t="str">
        <f>IFERROR(__xludf.DUMMYFUNCTION("""COMPUTED_VALUE"""),"Very Good")</f>
        <v>Very Good</v>
      </c>
      <c r="Y1419" s="138" t="str">
        <f>IFERROR(__xludf.DUMMYFUNCTION("""COMPUTED_VALUE"""),"Very Good")</f>
        <v>Very Good</v>
      </c>
      <c r="Z1419" s="138" t="str">
        <f>IFERROR(__xludf.DUMMYFUNCTION("""COMPUTED_VALUE"""),"Very Good")</f>
        <v>Very Good</v>
      </c>
      <c r="AA1419" s="138" t="str">
        <f>IFERROR(__xludf.DUMMYFUNCTION("""COMPUTED_VALUE"""),"Poor")</f>
        <v>Poor</v>
      </c>
      <c r="AB1419" s="138" t="str">
        <f>IFERROR(__xludf.DUMMYFUNCTION("""COMPUTED_VALUE"""),"Very Good")</f>
        <v>Very Good</v>
      </c>
      <c r="AC1419" s="139"/>
      <c r="AD1419" s="139"/>
      <c r="AE1419" s="139"/>
      <c r="AF1419" s="140"/>
      <c r="AG1419" s="136" t="str">
        <f>IFERROR(__xludf.DUMMYFUNCTION("""COMPUTED_VALUE"""),"Just got my scheduled date and official VIN")</f>
        <v>Just got my scheduled date and official VIN</v>
      </c>
      <c r="AH1419" s="157">
        <f>IFERROR(__xludf.DUMMYFUNCTION("""COMPUTED_VALUE"""),43859.33716633102)</f>
        <v>43859.33717</v>
      </c>
      <c r="AI1419" s="138"/>
      <c r="AJ1419" s="138"/>
      <c r="AK1419" s="138"/>
      <c r="AL1419" s="142"/>
    </row>
    <row r="1420" ht="20.25" customHeight="1">
      <c r="A1420" s="155" t="str">
        <f>IFERROR(__xludf.DUMMYFUNCTION("""COMPUTED_VALUE"""),"fritzner")</f>
        <v>fritzner</v>
      </c>
      <c r="B1420" s="149" t="str">
        <f>IFERROR(__xludf.DUMMYFUNCTION("""COMPUTED_VALUE"""),"Pittsburgh")</f>
        <v>Pittsburgh</v>
      </c>
      <c r="C1420" s="149" t="str">
        <f>IFERROR(__xludf.DUMMYFUNCTION("""COMPUTED_VALUE"""),"PA")</f>
        <v>PA</v>
      </c>
      <c r="D1420" s="149" t="str">
        <f>IFERROR(__xludf.DUMMYFUNCTION("""COMPUTED_VALUE"""),"USA")</f>
        <v>USA</v>
      </c>
      <c r="E1420" s="156">
        <f>IFERROR(__xludf.DUMMYFUNCTION("""COMPUTED_VALUE"""),43826.0)</f>
        <v>43826</v>
      </c>
      <c r="F1420" s="129">
        <f>IFERROR(__xludf.DUMMYFUNCTION("""COMPUTED_VALUE"""),43826.0)</f>
        <v>43826</v>
      </c>
      <c r="G1420" s="154"/>
      <c r="H1420" s="131">
        <f>IFERROR(__xludf.DUMMYFUNCTION("""COMPUTED_VALUE"""),612565.0)</f>
        <v>612565</v>
      </c>
      <c r="I1420" s="144" t="str">
        <f>IFERROR(__xludf.DUMMYFUNCTION("""COMPUTED_VALUE"""),"01/20")</f>
        <v>01/20</v>
      </c>
      <c r="J1420" s="129">
        <f>IFERROR(__xludf.DUMMYFUNCTION("""COMPUTED_VALUE"""),43829.0)</f>
        <v>43829</v>
      </c>
      <c r="K1420" s="133">
        <f>IFERROR(__xludf.DUMMYFUNCTION("""COMPUTED_VALUE"""),0.0)</f>
        <v>0</v>
      </c>
      <c r="L1420" s="133">
        <f>IFERROR(__xludf.DUMMYFUNCTION("""COMPUTED_VALUE"""),3.0)</f>
        <v>3</v>
      </c>
      <c r="M1420" s="133">
        <f>IFERROR(__xludf.DUMMYFUNCTION("""COMPUTED_VALUE"""),3.0)</f>
        <v>3</v>
      </c>
      <c r="N1420" s="152" t="str">
        <f>IFERROR(__xludf.DUMMYFUNCTION("""COMPUTED_VALUE"""),"Model 3 SR")</f>
        <v>Model 3 SR</v>
      </c>
      <c r="O1420" s="152" t="str">
        <f>IFERROR(__xludf.DUMMYFUNCTION("""COMPUTED_VALUE"""),"Pearl White Multi-Coat")</f>
        <v>Pearl White Multi-Coat</v>
      </c>
      <c r="P1420" s="153" t="str">
        <f>IFERROR(__xludf.DUMMYFUNCTION("""COMPUTED_VALUE"""),"18 inch Aero")</f>
        <v>18 inch Aero</v>
      </c>
      <c r="Q1420" s="152" t="str">
        <f>IFERROR(__xludf.DUMMYFUNCTION("""COMPUTED_VALUE"""),"Black seats")</f>
        <v>Black seats</v>
      </c>
      <c r="R1420" s="149"/>
      <c r="S1420" s="149"/>
      <c r="T1420" s="145"/>
      <c r="U1420" s="145"/>
      <c r="V1420" s="145"/>
      <c r="W1420" s="136"/>
      <c r="X1420" s="137" t="str">
        <f>IFERROR(__xludf.DUMMYFUNCTION("""COMPUTED_VALUE"""),"Excellent")</f>
        <v>Excellent</v>
      </c>
      <c r="Y1420" s="138" t="str">
        <f>IFERROR(__xludf.DUMMYFUNCTION("""COMPUTED_VALUE"""),"Excellent")</f>
        <v>Excellent</v>
      </c>
      <c r="Z1420" s="138" t="str">
        <f>IFERROR(__xludf.DUMMYFUNCTION("""COMPUTED_VALUE"""),"Excellent")</f>
        <v>Excellent</v>
      </c>
      <c r="AA1420" s="138" t="str">
        <f>IFERROR(__xludf.DUMMYFUNCTION("""COMPUTED_VALUE"""),"Excellent")</f>
        <v>Excellent</v>
      </c>
      <c r="AB1420" s="138" t="str">
        <f>IFERROR(__xludf.DUMMYFUNCTION("""COMPUTED_VALUE"""),"Excellent")</f>
        <v>Excellent</v>
      </c>
      <c r="AC1420" s="139">
        <f>IFERROR(__xludf.DUMMYFUNCTION("""COMPUTED_VALUE"""),0.0)</f>
        <v>0</v>
      </c>
      <c r="AD1420" s="139">
        <f>IFERROR(__xludf.DUMMYFUNCTION("""COMPUTED_VALUE"""),0.0)</f>
        <v>0</v>
      </c>
      <c r="AE1420" s="139">
        <f>IFERROR(__xludf.DUMMYFUNCTION("""COMPUTED_VALUE"""),0.0)</f>
        <v>0</v>
      </c>
      <c r="AF1420" s="140"/>
      <c r="AG1420" s="136"/>
      <c r="AH1420" s="157">
        <f>IFERROR(__xludf.DUMMYFUNCTION("""COMPUTED_VALUE"""),44102.557946099536)</f>
        <v>44102.55795</v>
      </c>
      <c r="AI1420" s="138"/>
      <c r="AJ1420" s="138"/>
      <c r="AK1420" s="138"/>
      <c r="AL1420" s="142"/>
    </row>
    <row r="1421" ht="20.25" customHeight="1">
      <c r="A1421" s="155" t="str">
        <f>IFERROR(__xludf.DUMMYFUNCTION("""COMPUTED_VALUE"""),"CodeMan123")</f>
        <v>CodeMan123</v>
      </c>
      <c r="B1421" s="149" t="str">
        <f>IFERROR(__xludf.DUMMYFUNCTION("""COMPUTED_VALUE"""),"Salt Lake City")</f>
        <v>Salt Lake City</v>
      </c>
      <c r="C1421" s="149" t="str">
        <f>IFERROR(__xludf.DUMMYFUNCTION("""COMPUTED_VALUE"""),"UT")</f>
        <v>UT</v>
      </c>
      <c r="D1421" s="149" t="str">
        <f>IFERROR(__xludf.DUMMYFUNCTION("""COMPUTED_VALUE"""),"USA")</f>
        <v>USA</v>
      </c>
      <c r="E1421" s="156">
        <f>IFERROR(__xludf.DUMMYFUNCTION("""COMPUTED_VALUE"""),43824.0)</f>
        <v>43824</v>
      </c>
      <c r="F1421" s="129">
        <f>IFERROR(__xludf.DUMMYFUNCTION("""COMPUTED_VALUE"""),43904.0)</f>
        <v>43904</v>
      </c>
      <c r="G1421" s="154"/>
      <c r="H1421" s="131">
        <f>IFERROR(__xludf.DUMMYFUNCTION("""COMPUTED_VALUE"""),641858.0)</f>
        <v>641858</v>
      </c>
      <c r="I1421" s="144"/>
      <c r="J1421" s="129">
        <f>IFERROR(__xludf.DUMMYFUNCTION("""COMPUTED_VALUE"""),43908.0)</f>
        <v>43908</v>
      </c>
      <c r="K1421" s="133">
        <f>IFERROR(__xludf.DUMMYFUNCTION("""COMPUTED_VALUE"""),80.0)</f>
        <v>80</v>
      </c>
      <c r="L1421" s="133">
        <f>IFERROR(__xludf.DUMMYFUNCTION("""COMPUTED_VALUE"""),4.0)</f>
        <v>4</v>
      </c>
      <c r="M1421" s="133">
        <f>IFERROR(__xludf.DUMMYFUNCTION("""COMPUTED_VALUE"""),84.0)</f>
        <v>84</v>
      </c>
      <c r="N1421" s="152" t="str">
        <f>IFERROR(__xludf.DUMMYFUNCTION("""COMPUTED_VALUE"""),"Model 3 Performance")</f>
        <v>Model 3 Performance</v>
      </c>
      <c r="O1421" s="152" t="str">
        <f>IFERROR(__xludf.DUMMYFUNCTION("""COMPUTED_VALUE"""),"Red Multi-Coat")</f>
        <v>Red Multi-Coat</v>
      </c>
      <c r="P1421" s="153" t="str">
        <f>IFERROR(__xludf.DUMMYFUNCTION("""COMPUTED_VALUE"""),"20 inch Sport")</f>
        <v>20 inch Sport</v>
      </c>
      <c r="Q1421" s="152" t="str">
        <f>IFERROR(__xludf.DUMMYFUNCTION("""COMPUTED_VALUE"""),"White seats")</f>
        <v>White seats</v>
      </c>
      <c r="R1421" s="149" t="str">
        <f>IFERROR(__xludf.DUMMYFUNCTION("""COMPUTED_VALUE"""),"Full Self-Driving")</f>
        <v>Full Self-Driving</v>
      </c>
      <c r="S1421" s="149"/>
      <c r="T1421" s="145"/>
      <c r="U1421" s="145"/>
      <c r="V1421" s="145"/>
      <c r="W1421" s="136"/>
      <c r="X1421" s="137" t="str">
        <f>IFERROR(__xludf.DUMMYFUNCTION("""COMPUTED_VALUE"""),"Excellent")</f>
        <v>Excellent</v>
      </c>
      <c r="Y1421" s="138" t="str">
        <f>IFERROR(__xludf.DUMMYFUNCTION("""COMPUTED_VALUE"""),"Excellent")</f>
        <v>Excellent</v>
      </c>
      <c r="Z1421" s="138" t="str">
        <f>IFERROR(__xludf.DUMMYFUNCTION("""COMPUTED_VALUE"""),"Excellent")</f>
        <v>Excellent</v>
      </c>
      <c r="AA1421" s="138" t="str">
        <f>IFERROR(__xludf.DUMMYFUNCTION("""COMPUTED_VALUE"""),"Excellent")</f>
        <v>Excellent</v>
      </c>
      <c r="AB1421" s="138" t="str">
        <f>IFERROR(__xludf.DUMMYFUNCTION("""COMPUTED_VALUE"""),"Excellent")</f>
        <v>Excellent</v>
      </c>
      <c r="AC1421" s="139"/>
      <c r="AD1421" s="139"/>
      <c r="AE1421" s="139"/>
      <c r="AF1421" s="140"/>
      <c r="AG1421" s="136" t="str">
        <f>IFERROR(__xludf.DUMMYFUNCTION("""COMPUTED_VALUE"""),"TXT 3/9 delivery 2-3 weeks from today. TXT 2/24 delivery 2-5 weeks. TXT 2/6 estimated delivery 4-7 weeks from today (not happy about that). Rep says it will be a lot sooner. TXT on 1/23 changing delivery estimate to 5-9 weeks. Originally 4-7 weeks.")</f>
        <v>TXT 3/9 delivery 2-3 weeks from today. TXT 2/24 delivery 2-5 weeks. TXT 2/6 estimated delivery 4-7 weeks from today (not happy about that). Rep says it will be a lot sooner. TXT on 1/23 changing delivery estimate to 5-9 weeks. Originally 4-7 weeks.</v>
      </c>
      <c r="AH1421" s="157">
        <f>IFERROR(__xludf.DUMMYFUNCTION("""COMPUTED_VALUE"""),43909.63741142362)</f>
        <v>43909.63741</v>
      </c>
      <c r="AI1421" s="138"/>
      <c r="AJ1421" s="138"/>
      <c r="AK1421" s="138"/>
      <c r="AL1421" s="142"/>
    </row>
    <row r="1422" ht="20.25" customHeight="1">
      <c r="A1422" s="155" t="str">
        <f>IFERROR(__xludf.DUMMYFUNCTION("""COMPUTED_VALUE"""),"boink717")</f>
        <v>boink717</v>
      </c>
      <c r="B1422" s="149" t="str">
        <f>IFERROR(__xludf.DUMMYFUNCTION("""COMPUTED_VALUE"""),"Los Angeles")</f>
        <v>Los Angeles</v>
      </c>
      <c r="C1422" s="149" t="str">
        <f>IFERROR(__xludf.DUMMYFUNCTION("""COMPUTED_VALUE"""),"CA")</f>
        <v>CA</v>
      </c>
      <c r="D1422" s="149" t="str">
        <f>IFERROR(__xludf.DUMMYFUNCTION("""COMPUTED_VALUE"""),"USA")</f>
        <v>USA</v>
      </c>
      <c r="E1422" s="156">
        <f>IFERROR(__xludf.DUMMYFUNCTION("""COMPUTED_VALUE"""),43823.0)</f>
        <v>43823</v>
      </c>
      <c r="F1422" s="129">
        <f>IFERROR(__xludf.DUMMYFUNCTION("""COMPUTED_VALUE"""),43893.0)</f>
        <v>43893</v>
      </c>
      <c r="G1422" s="154"/>
      <c r="H1422" s="131">
        <f>IFERROR(__xludf.DUMMYFUNCTION("""COMPUTED_VALUE"""),651255.0)</f>
        <v>651255</v>
      </c>
      <c r="I1422" s="144" t="str">
        <f>IFERROR(__xludf.DUMMYFUNCTION("""COMPUTED_VALUE"""),"03/20")</f>
        <v>03/20</v>
      </c>
      <c r="J1422" s="129">
        <f>IFERROR(__xludf.DUMMYFUNCTION("""COMPUTED_VALUE"""),43896.0)</f>
        <v>43896</v>
      </c>
      <c r="K1422" s="133">
        <f>IFERROR(__xludf.DUMMYFUNCTION("""COMPUTED_VALUE"""),70.0)</f>
        <v>70</v>
      </c>
      <c r="L1422" s="133">
        <f>IFERROR(__xludf.DUMMYFUNCTION("""COMPUTED_VALUE"""),3.0)</f>
        <v>3</v>
      </c>
      <c r="M1422" s="133">
        <f>IFERROR(__xludf.DUMMYFUNCTION("""COMPUTED_VALUE"""),73.0)</f>
        <v>73</v>
      </c>
      <c r="N1422" s="152" t="str">
        <f>IFERROR(__xludf.DUMMYFUNCTION("""COMPUTED_VALUE"""),"Model 3 LR AWD")</f>
        <v>Model 3 LR AWD</v>
      </c>
      <c r="O1422" s="152" t="str">
        <f>IFERROR(__xludf.DUMMYFUNCTION("""COMPUTED_VALUE"""),"Pearl White Multi-Coat")</f>
        <v>Pearl White Multi-Coat</v>
      </c>
      <c r="P1422" s="153" t="str">
        <f>IFERROR(__xludf.DUMMYFUNCTION("""COMPUTED_VALUE"""),"19 inch Sport")</f>
        <v>19 inch Sport</v>
      </c>
      <c r="Q1422" s="152" t="str">
        <f>IFERROR(__xludf.DUMMYFUNCTION("""COMPUTED_VALUE"""),"Black seats")</f>
        <v>Black seats</v>
      </c>
      <c r="R1422" s="149" t="str">
        <f>IFERROR(__xludf.DUMMYFUNCTION("""COMPUTED_VALUE"""),"Autopilot")</f>
        <v>Autopilot</v>
      </c>
      <c r="S1422" s="149"/>
      <c r="T1422" s="145"/>
      <c r="U1422" s="145"/>
      <c r="V1422" s="145"/>
      <c r="W1422" s="136"/>
      <c r="X1422" s="137" t="str">
        <f>IFERROR(__xludf.DUMMYFUNCTION("""COMPUTED_VALUE"""),"Excellent")</f>
        <v>Excellent</v>
      </c>
      <c r="Y1422" s="138" t="str">
        <f>IFERROR(__xludf.DUMMYFUNCTION("""COMPUTED_VALUE"""),"Excellent")</f>
        <v>Excellent</v>
      </c>
      <c r="Z1422" s="138" t="str">
        <f>IFERROR(__xludf.DUMMYFUNCTION("""COMPUTED_VALUE"""),"Excellent")</f>
        <v>Excellent</v>
      </c>
      <c r="AA1422" s="138" t="str">
        <f>IFERROR(__xludf.DUMMYFUNCTION("""COMPUTED_VALUE"""),"Excellent")</f>
        <v>Excellent</v>
      </c>
      <c r="AB1422" s="138" t="str">
        <f>IFERROR(__xludf.DUMMYFUNCTION("""COMPUTED_VALUE"""),"Excellent")</f>
        <v>Excellent</v>
      </c>
      <c r="AC1422" s="139"/>
      <c r="AD1422" s="139"/>
      <c r="AE1422" s="139"/>
      <c r="AF1422" s="140"/>
      <c r="AG1422" s="136" t="str">
        <f>IFERROR(__xludf.DUMMYFUNCTION("""COMPUTED_VALUE"""),"Modified order on 1/5 to 19' Sport Wheels")</f>
        <v>Modified order on 1/5 to 19' Sport Wheels</v>
      </c>
      <c r="AH1422" s="157">
        <f>IFERROR(__xludf.DUMMYFUNCTION("""COMPUTED_VALUE"""),43901.58538355324)</f>
        <v>43901.58538</v>
      </c>
      <c r="AI1422" s="138"/>
      <c r="AJ1422" s="138"/>
      <c r="AK1422" s="138"/>
      <c r="AL1422" s="142"/>
    </row>
    <row r="1423" ht="20.25" customHeight="1">
      <c r="A1423" s="155" t="str">
        <f>IFERROR(__xludf.DUMMYFUNCTION("""COMPUTED_VALUE"""),"JakeMoore")</f>
        <v>JakeMoore</v>
      </c>
      <c r="B1423" s="149" t="str">
        <f>IFERROR(__xludf.DUMMYFUNCTION("""COMPUTED_VALUE"""),"Costa Mesa")</f>
        <v>Costa Mesa</v>
      </c>
      <c r="C1423" s="149" t="str">
        <f>IFERROR(__xludf.DUMMYFUNCTION("""COMPUTED_VALUE"""),"CA")</f>
        <v>CA</v>
      </c>
      <c r="D1423" s="149" t="str">
        <f>IFERROR(__xludf.DUMMYFUNCTION("""COMPUTED_VALUE"""),"USA")</f>
        <v>USA</v>
      </c>
      <c r="E1423" s="156">
        <f>IFERROR(__xludf.DUMMYFUNCTION("""COMPUTED_VALUE"""),43821.0)</f>
        <v>43821</v>
      </c>
      <c r="F1423" s="129">
        <f>IFERROR(__xludf.DUMMYFUNCTION("""COMPUTED_VALUE"""),43826.0)</f>
        <v>43826</v>
      </c>
      <c r="G1423" s="154"/>
      <c r="H1423" s="131"/>
      <c r="I1423" s="144"/>
      <c r="J1423" s="129">
        <f>IFERROR(__xludf.DUMMYFUNCTION("""COMPUTED_VALUE"""),43859.0)</f>
        <v>43859</v>
      </c>
      <c r="K1423" s="133">
        <f>IFERROR(__xludf.DUMMYFUNCTION("""COMPUTED_VALUE"""),5.0)</f>
        <v>5</v>
      </c>
      <c r="L1423" s="133">
        <f>IFERROR(__xludf.DUMMYFUNCTION("""COMPUTED_VALUE"""),33.0)</f>
        <v>33</v>
      </c>
      <c r="M1423" s="133">
        <f>IFERROR(__xludf.DUMMYFUNCTION("""COMPUTED_VALUE"""),38.0)</f>
        <v>38</v>
      </c>
      <c r="N1423" s="152" t="str">
        <f>IFERROR(__xludf.DUMMYFUNCTION("""COMPUTED_VALUE"""),"Model 3 SR+")</f>
        <v>Model 3 SR+</v>
      </c>
      <c r="O1423" s="152" t="str">
        <f>IFERROR(__xludf.DUMMYFUNCTION("""COMPUTED_VALUE"""),"Red Multi-Coat")</f>
        <v>Red Multi-Coat</v>
      </c>
      <c r="P1423" s="153" t="str">
        <f>IFERROR(__xludf.DUMMYFUNCTION("""COMPUTED_VALUE"""),"18 inch Aero")</f>
        <v>18 inch Aero</v>
      </c>
      <c r="Q1423" s="152" t="str">
        <f>IFERROR(__xludf.DUMMYFUNCTION("""COMPUTED_VALUE"""),"Black seats")</f>
        <v>Black seats</v>
      </c>
      <c r="R1423" s="149" t="str">
        <f>IFERROR(__xludf.DUMMYFUNCTION("""COMPUTED_VALUE"""),"Full Self-Driving")</f>
        <v>Full Self-Driving</v>
      </c>
      <c r="S1423" s="149"/>
      <c r="T1423" s="145"/>
      <c r="U1423" s="145"/>
      <c r="V1423" s="145"/>
      <c r="W1423" s="136"/>
      <c r="X1423" s="137" t="str">
        <f>IFERROR(__xludf.DUMMYFUNCTION("""COMPUTED_VALUE"""),"Excellent")</f>
        <v>Excellent</v>
      </c>
      <c r="Y1423" s="138" t="str">
        <f>IFERROR(__xludf.DUMMYFUNCTION("""COMPUTED_VALUE"""),"Very Good")</f>
        <v>Very Good</v>
      </c>
      <c r="Z1423" s="138" t="str">
        <f>IFERROR(__xludf.DUMMYFUNCTION("""COMPUTED_VALUE"""),"Good")</f>
        <v>Good</v>
      </c>
      <c r="AA1423" s="138" t="str">
        <f>IFERROR(__xludf.DUMMYFUNCTION("""COMPUTED_VALUE"""),"Fair")</f>
        <v>Fair</v>
      </c>
      <c r="AB1423" s="138" t="str">
        <f>IFERROR(__xludf.DUMMYFUNCTION("""COMPUTED_VALUE"""),"Excellent")</f>
        <v>Excellent</v>
      </c>
      <c r="AC1423" s="139">
        <f>IFERROR(__xludf.DUMMYFUNCTION("""COMPUTED_VALUE"""),0.0)</f>
        <v>0</v>
      </c>
      <c r="AD1423" s="139">
        <f>IFERROR(__xludf.DUMMYFUNCTION("""COMPUTED_VALUE"""),0.0)</f>
        <v>0</v>
      </c>
      <c r="AE1423" s="139">
        <f>IFERROR(__xludf.DUMMYFUNCTION("""COMPUTED_VALUE"""),0.0)</f>
        <v>0</v>
      </c>
      <c r="AF1423" s="140"/>
      <c r="AG1423" s="136" t="str">
        <f>IFERROR(__xludf.DUMMYFUNCTION("""COMPUTED_VALUE"""),"Got delivery text on 12/24 for delivery on 12/27. Just called DC and they said my date will probably be pushed back. No MVPA/VIN on 12/26.")</f>
        <v>Got delivery text on 12/24 for delivery on 12/27. Just called DC and they said my date will probably be pushed back. No MVPA/VIN on 12/26.</v>
      </c>
      <c r="AH1423" s="157">
        <f>IFERROR(__xludf.DUMMYFUNCTION("""COMPUTED_VALUE"""),43833.478354699066)</f>
        <v>43833.47835</v>
      </c>
      <c r="AI1423" s="138"/>
      <c r="AJ1423" s="138"/>
      <c r="AK1423" s="138"/>
      <c r="AL1423" s="142"/>
    </row>
    <row r="1424" ht="20.25" customHeight="1">
      <c r="A1424" s="155" t="str">
        <f>IFERROR(__xludf.DUMMYFUNCTION("""COMPUTED_VALUE"""),"Guitar_Dude")</f>
        <v>Guitar_Dude</v>
      </c>
      <c r="B1424" s="149" t="str">
        <f>IFERROR(__xludf.DUMMYFUNCTION("""COMPUTED_VALUE"""),"Houston")</f>
        <v>Houston</v>
      </c>
      <c r="C1424" s="149" t="str">
        <f>IFERROR(__xludf.DUMMYFUNCTION("""COMPUTED_VALUE"""),"TX")</f>
        <v>TX</v>
      </c>
      <c r="D1424" s="149" t="str">
        <f>IFERROR(__xludf.DUMMYFUNCTION("""COMPUTED_VALUE"""),"USA")</f>
        <v>USA</v>
      </c>
      <c r="E1424" s="156">
        <f>IFERROR(__xludf.DUMMYFUNCTION("""COMPUTED_VALUE"""),43818.0)</f>
        <v>43818</v>
      </c>
      <c r="F1424" s="129">
        <f>IFERROR(__xludf.DUMMYFUNCTION("""COMPUTED_VALUE"""),43827.0)</f>
        <v>43827</v>
      </c>
      <c r="G1424" s="154"/>
      <c r="H1424" s="131"/>
      <c r="I1424" s="144" t="str">
        <f>IFERROR(__xludf.DUMMYFUNCTION("""COMPUTED_VALUE"""),"12/19")</f>
        <v>12/19</v>
      </c>
      <c r="J1424" s="129">
        <f>IFERROR(__xludf.DUMMYFUNCTION("""COMPUTED_VALUE"""),43830.0)</f>
        <v>43830</v>
      </c>
      <c r="K1424" s="133">
        <f>IFERROR(__xludf.DUMMYFUNCTION("""COMPUTED_VALUE"""),9.0)</f>
        <v>9</v>
      </c>
      <c r="L1424" s="133">
        <f>IFERROR(__xludf.DUMMYFUNCTION("""COMPUTED_VALUE"""),3.0)</f>
        <v>3</v>
      </c>
      <c r="M1424" s="133">
        <f>IFERROR(__xludf.DUMMYFUNCTION("""COMPUTED_VALUE"""),12.0)</f>
        <v>12</v>
      </c>
      <c r="N1424" s="152" t="str">
        <f>IFERROR(__xludf.DUMMYFUNCTION("""COMPUTED_VALUE"""),"Model 3 SR+")</f>
        <v>Model 3 SR+</v>
      </c>
      <c r="O1424" s="152" t="str">
        <f>IFERROR(__xludf.DUMMYFUNCTION("""COMPUTED_VALUE"""),"Pearl White Multi-Coat")</f>
        <v>Pearl White Multi-Coat</v>
      </c>
      <c r="P1424" s="153" t="str">
        <f>IFERROR(__xludf.DUMMYFUNCTION("""COMPUTED_VALUE"""),"19 inch Sport")</f>
        <v>19 inch Sport</v>
      </c>
      <c r="Q1424" s="152" t="str">
        <f>IFERROR(__xludf.DUMMYFUNCTION("""COMPUTED_VALUE"""),"Black seats")</f>
        <v>Black seats</v>
      </c>
      <c r="R1424" s="149" t="str">
        <f>IFERROR(__xludf.DUMMYFUNCTION("""COMPUTED_VALUE"""),"Autopilot")</f>
        <v>Autopilot</v>
      </c>
      <c r="S1424" s="149"/>
      <c r="T1424" s="145"/>
      <c r="U1424" s="145"/>
      <c r="V1424" s="145"/>
      <c r="W1424" s="136"/>
      <c r="X1424" s="137" t="str">
        <f>IFERROR(__xludf.DUMMYFUNCTION("""COMPUTED_VALUE"""),"Good")</f>
        <v>Good</v>
      </c>
      <c r="Y1424" s="138" t="str">
        <f>IFERROR(__xludf.DUMMYFUNCTION("""COMPUTED_VALUE"""),"Very Good")</f>
        <v>Very Good</v>
      </c>
      <c r="Z1424" s="138" t="str">
        <f>IFERROR(__xludf.DUMMYFUNCTION("""COMPUTED_VALUE"""),"Very Good")</f>
        <v>Very Good</v>
      </c>
      <c r="AA1424" s="138" t="str">
        <f>IFERROR(__xludf.DUMMYFUNCTION("""COMPUTED_VALUE"""),"Good")</f>
        <v>Good</v>
      </c>
      <c r="AB1424" s="138" t="str">
        <f>IFERROR(__xludf.DUMMYFUNCTION("""COMPUTED_VALUE"""),"Fair")</f>
        <v>Fair</v>
      </c>
      <c r="AC1424" s="139">
        <f>IFERROR(__xludf.DUMMYFUNCTION("""COMPUTED_VALUE"""),0.0)</f>
        <v>0</v>
      </c>
      <c r="AD1424" s="139"/>
      <c r="AE1424" s="139"/>
      <c r="AF1424" s="140"/>
      <c r="AG1424" s="136"/>
      <c r="AH1424" s="157">
        <f>IFERROR(__xludf.DUMMYFUNCTION("""COMPUTED_VALUE"""),43831.75331238426)</f>
        <v>43831.75331</v>
      </c>
      <c r="AI1424" s="138"/>
      <c r="AJ1424" s="138"/>
      <c r="AK1424" s="138"/>
      <c r="AL1424" s="142"/>
    </row>
    <row r="1425" ht="20.25" customHeight="1">
      <c r="A1425" s="155" t="str">
        <f>IFERROR(__xludf.DUMMYFUNCTION("""COMPUTED_VALUE"""),"jxpresto")</f>
        <v>jxpresto</v>
      </c>
      <c r="B1425" s="149" t="str">
        <f>IFERROR(__xludf.DUMMYFUNCTION("""COMPUTED_VALUE"""),"Phoenix")</f>
        <v>Phoenix</v>
      </c>
      <c r="C1425" s="149" t="str">
        <f>IFERROR(__xludf.DUMMYFUNCTION("""COMPUTED_VALUE"""),"AZ")</f>
        <v>AZ</v>
      </c>
      <c r="D1425" s="149" t="str">
        <f>IFERROR(__xludf.DUMMYFUNCTION("""COMPUTED_VALUE"""),"USA")</f>
        <v>USA</v>
      </c>
      <c r="E1425" s="156">
        <f>IFERROR(__xludf.DUMMYFUNCTION("""COMPUTED_VALUE"""),43816.0)</f>
        <v>43816</v>
      </c>
      <c r="F1425" s="129">
        <f>IFERROR(__xludf.DUMMYFUNCTION("""COMPUTED_VALUE"""),43818.0)</f>
        <v>43818</v>
      </c>
      <c r="G1425" s="154"/>
      <c r="H1425" s="131">
        <f>IFERROR(__xludf.DUMMYFUNCTION("""COMPUTED_VALUE"""),624131.0)</f>
        <v>624131</v>
      </c>
      <c r="I1425" s="144"/>
      <c r="J1425" s="129">
        <f>IFERROR(__xludf.DUMMYFUNCTION("""COMPUTED_VALUE"""),43819.0)</f>
        <v>43819</v>
      </c>
      <c r="K1425" s="133">
        <f>IFERROR(__xludf.DUMMYFUNCTION("""COMPUTED_VALUE"""),2.0)</f>
        <v>2</v>
      </c>
      <c r="L1425" s="133">
        <f>IFERROR(__xludf.DUMMYFUNCTION("""COMPUTED_VALUE"""),1.0)</f>
        <v>1</v>
      </c>
      <c r="M1425" s="133">
        <f>IFERROR(__xludf.DUMMYFUNCTION("""COMPUTED_VALUE"""),3.0)</f>
        <v>3</v>
      </c>
      <c r="N1425" s="152" t="str">
        <f>IFERROR(__xludf.DUMMYFUNCTION("""COMPUTED_VALUE"""),"Model 3 Performance")</f>
        <v>Model 3 Performance</v>
      </c>
      <c r="O1425" s="152" t="str">
        <f>IFERROR(__xludf.DUMMYFUNCTION("""COMPUTED_VALUE"""),"Pearl White Multi-Coat")</f>
        <v>Pearl White Multi-Coat</v>
      </c>
      <c r="P1425" s="153" t="str">
        <f>IFERROR(__xludf.DUMMYFUNCTION("""COMPUTED_VALUE"""),"20 inch Sport")</f>
        <v>20 inch Sport</v>
      </c>
      <c r="Q1425" s="152" t="str">
        <f>IFERROR(__xludf.DUMMYFUNCTION("""COMPUTED_VALUE"""),"Black seats")</f>
        <v>Black seats</v>
      </c>
      <c r="R1425" s="149" t="str">
        <f>IFERROR(__xludf.DUMMYFUNCTION("""COMPUTED_VALUE"""),"Autopilot")</f>
        <v>Autopilot</v>
      </c>
      <c r="S1425" s="149"/>
      <c r="T1425" s="145"/>
      <c r="U1425" s="145"/>
      <c r="V1425" s="145"/>
      <c r="W1425" s="136"/>
      <c r="X1425" s="137" t="str">
        <f>IFERROR(__xludf.DUMMYFUNCTION("""COMPUTED_VALUE"""),"Very Good")</f>
        <v>Very Good</v>
      </c>
      <c r="Y1425" s="138" t="str">
        <f>IFERROR(__xludf.DUMMYFUNCTION("""COMPUTED_VALUE"""),"Very Good")</f>
        <v>Very Good</v>
      </c>
      <c r="Z1425" s="138" t="str">
        <f>IFERROR(__xludf.DUMMYFUNCTION("""COMPUTED_VALUE"""),"Very Good")</f>
        <v>Very Good</v>
      </c>
      <c r="AA1425" s="138" t="str">
        <f>IFERROR(__xludf.DUMMYFUNCTION("""COMPUTED_VALUE"""),"Very Good")</f>
        <v>Very Good</v>
      </c>
      <c r="AB1425" s="138" t="str">
        <f>IFERROR(__xludf.DUMMYFUNCTION("""COMPUTED_VALUE"""),"Good")</f>
        <v>Good</v>
      </c>
      <c r="AC1425" s="139"/>
      <c r="AD1425" s="139"/>
      <c r="AE1425" s="139"/>
      <c r="AF1425" s="140"/>
      <c r="AG1425" s="136"/>
      <c r="AH1425" s="157">
        <f>IFERROR(__xludf.DUMMYFUNCTION("""COMPUTED_VALUE"""),43822.446096099535)</f>
        <v>43822.4461</v>
      </c>
      <c r="AI1425" s="138"/>
      <c r="AJ1425" s="138"/>
      <c r="AK1425" s="138"/>
      <c r="AL1425" s="142"/>
    </row>
    <row r="1426" ht="20.25" customHeight="1">
      <c r="A1426" s="155" t="str">
        <f>IFERROR(__xludf.DUMMYFUNCTION("""COMPUTED_VALUE"""),"JG ")</f>
        <v>JG </v>
      </c>
      <c r="B1426" s="149" t="str">
        <f>IFERROR(__xludf.DUMMYFUNCTION("""COMPUTED_VALUE"""),"Luxembourg")</f>
        <v>Luxembourg</v>
      </c>
      <c r="C1426" s="149"/>
      <c r="D1426" s="149" t="str">
        <f>IFERROR(__xludf.DUMMYFUNCTION("""COMPUTED_VALUE"""),"Other (include country together with city)")</f>
        <v>Other (include country together with city)</v>
      </c>
      <c r="E1426" s="156">
        <f>IFERROR(__xludf.DUMMYFUNCTION("""COMPUTED_VALUE"""),43813.0)</f>
        <v>43813</v>
      </c>
      <c r="F1426" s="129">
        <f>IFERROR(__xludf.DUMMYFUNCTION("""COMPUTED_VALUE"""),43866.0)</f>
        <v>43866</v>
      </c>
      <c r="G1426" s="154"/>
      <c r="H1426" s="131">
        <f>IFERROR(__xludf.DUMMYFUNCTION("""COMPUTED_VALUE"""),652986.0)</f>
        <v>652986</v>
      </c>
      <c r="I1426" s="144"/>
      <c r="J1426" s="129">
        <f>IFERROR(__xludf.DUMMYFUNCTION("""COMPUTED_VALUE"""),43895.0)</f>
        <v>43895</v>
      </c>
      <c r="K1426" s="133">
        <f>IFERROR(__xludf.DUMMYFUNCTION("""COMPUTED_VALUE"""),53.0)</f>
        <v>53</v>
      </c>
      <c r="L1426" s="133">
        <f>IFERROR(__xludf.DUMMYFUNCTION("""COMPUTED_VALUE"""),29.0)</f>
        <v>29</v>
      </c>
      <c r="M1426" s="133">
        <f>IFERROR(__xludf.DUMMYFUNCTION("""COMPUTED_VALUE"""),82.0)</f>
        <v>82</v>
      </c>
      <c r="N1426" s="152" t="str">
        <f>IFERROR(__xludf.DUMMYFUNCTION("""COMPUTED_VALUE"""),"Model 3 Performance")</f>
        <v>Model 3 Performance</v>
      </c>
      <c r="O1426" s="152" t="str">
        <f>IFERROR(__xludf.DUMMYFUNCTION("""COMPUTED_VALUE"""),"Deep Blue Metallic")</f>
        <v>Deep Blue Metallic</v>
      </c>
      <c r="P1426" s="153" t="str">
        <f>IFERROR(__xludf.DUMMYFUNCTION("""COMPUTED_VALUE"""),"20 inch Sport")</f>
        <v>20 inch Sport</v>
      </c>
      <c r="Q1426" s="152" t="str">
        <f>IFERROR(__xludf.DUMMYFUNCTION("""COMPUTED_VALUE"""),"White seats")</f>
        <v>White seats</v>
      </c>
      <c r="R1426" s="149" t="str">
        <f>IFERROR(__xludf.DUMMYFUNCTION("""COMPUTED_VALUE"""),"Full Self-Driving")</f>
        <v>Full Self-Driving</v>
      </c>
      <c r="S1426" s="149"/>
      <c r="T1426" s="145"/>
      <c r="U1426" s="145"/>
      <c r="V1426" s="145"/>
      <c r="W1426" s="136"/>
      <c r="X1426" s="137" t="str">
        <f>IFERROR(__xludf.DUMMYFUNCTION("""COMPUTED_VALUE"""),"Excellent")</f>
        <v>Excellent</v>
      </c>
      <c r="Y1426" s="138" t="str">
        <f>IFERROR(__xludf.DUMMYFUNCTION("""COMPUTED_VALUE"""),"Very Good")</f>
        <v>Very Good</v>
      </c>
      <c r="Z1426" s="138" t="str">
        <f>IFERROR(__xludf.DUMMYFUNCTION("""COMPUTED_VALUE"""),"Very Good")</f>
        <v>Very Good</v>
      </c>
      <c r="AA1426" s="138" t="str">
        <f>IFERROR(__xludf.DUMMYFUNCTION("""COMPUTED_VALUE"""),"Excellent")</f>
        <v>Excellent</v>
      </c>
      <c r="AB1426" s="138" t="str">
        <f>IFERROR(__xludf.DUMMYFUNCTION("""COMPUTED_VALUE"""),"Excellent")</f>
        <v>Excellent</v>
      </c>
      <c r="AC1426" s="139">
        <f>IFERROR(__xludf.DUMMYFUNCTION("""COMPUTED_VALUE"""),3.0)</f>
        <v>3</v>
      </c>
      <c r="AD1426" s="139">
        <f>IFERROR(__xludf.DUMMYFUNCTION("""COMPUTED_VALUE"""),1.0)</f>
        <v>1</v>
      </c>
      <c r="AE1426" s="139"/>
      <c r="AF1426" s="140"/>
      <c r="AG1426" s="136"/>
      <c r="AH1426" s="157">
        <f>IFERROR(__xludf.DUMMYFUNCTION("""COMPUTED_VALUE"""),43895.45427879629)</f>
        <v>43895.45428</v>
      </c>
      <c r="AI1426" s="138"/>
      <c r="AJ1426" s="138"/>
      <c r="AK1426" s="138"/>
      <c r="AL1426" s="142"/>
    </row>
    <row r="1427" ht="20.25" customHeight="1">
      <c r="A1427" s="155" t="str">
        <f>IFERROR(__xludf.DUMMYFUNCTION("""COMPUTED_VALUE"""),"amvinson")</f>
        <v>amvinson</v>
      </c>
      <c r="B1427" s="149" t="str">
        <f>IFERROR(__xludf.DUMMYFUNCTION("""COMPUTED_VALUE"""),"Orlando")</f>
        <v>Orlando</v>
      </c>
      <c r="C1427" s="149" t="str">
        <f>IFERROR(__xludf.DUMMYFUNCTION("""COMPUTED_VALUE"""),"FL")</f>
        <v>FL</v>
      </c>
      <c r="D1427" s="149" t="str">
        <f>IFERROR(__xludf.DUMMYFUNCTION("""COMPUTED_VALUE"""),"USA")</f>
        <v>USA</v>
      </c>
      <c r="E1427" s="156">
        <f>IFERROR(__xludf.DUMMYFUNCTION("""COMPUTED_VALUE"""),43812.0)</f>
        <v>43812</v>
      </c>
      <c r="F1427" s="129">
        <f>IFERROR(__xludf.DUMMYFUNCTION("""COMPUTED_VALUE"""),43812.0)</f>
        <v>43812</v>
      </c>
      <c r="G1427" s="154"/>
      <c r="H1427" s="131">
        <f>IFERROR(__xludf.DUMMYFUNCTION("""COMPUTED_VALUE"""),601897.0)</f>
        <v>601897</v>
      </c>
      <c r="I1427" s="144" t="str">
        <f>IFERROR(__xludf.DUMMYFUNCTION("""COMPUTED_VALUE"""),"11/19")</f>
        <v>11/19</v>
      </c>
      <c r="J1427" s="129">
        <f>IFERROR(__xludf.DUMMYFUNCTION("""COMPUTED_VALUE"""),43818.0)</f>
        <v>43818</v>
      </c>
      <c r="K1427" s="133">
        <f>IFERROR(__xludf.DUMMYFUNCTION("""COMPUTED_VALUE"""),0.0)</f>
        <v>0</v>
      </c>
      <c r="L1427" s="133">
        <f>IFERROR(__xludf.DUMMYFUNCTION("""COMPUTED_VALUE"""),6.0)</f>
        <v>6</v>
      </c>
      <c r="M1427" s="133">
        <f>IFERROR(__xludf.DUMMYFUNCTION("""COMPUTED_VALUE"""),6.0)</f>
        <v>6</v>
      </c>
      <c r="N1427" s="152" t="str">
        <f>IFERROR(__xludf.DUMMYFUNCTION("""COMPUTED_VALUE"""),"Model 3 Performance")</f>
        <v>Model 3 Performance</v>
      </c>
      <c r="O1427" s="152" t="str">
        <f>IFERROR(__xludf.DUMMYFUNCTION("""COMPUTED_VALUE"""),"Red Multi-Coat")</f>
        <v>Red Multi-Coat</v>
      </c>
      <c r="P1427" s="153" t="str">
        <f>IFERROR(__xludf.DUMMYFUNCTION("""COMPUTED_VALUE"""),"18 inch Aero")</f>
        <v>18 inch Aero</v>
      </c>
      <c r="Q1427" s="152" t="str">
        <f>IFERROR(__xludf.DUMMYFUNCTION("""COMPUTED_VALUE"""),"Black seats")</f>
        <v>Black seats</v>
      </c>
      <c r="R1427" s="149" t="str">
        <f>IFERROR(__xludf.DUMMYFUNCTION("""COMPUTED_VALUE"""),"Autopilot")</f>
        <v>Autopilot</v>
      </c>
      <c r="S1427" s="149"/>
      <c r="T1427" s="145"/>
      <c r="U1427" s="145"/>
      <c r="V1427" s="145"/>
      <c r="W1427" s="136"/>
      <c r="X1427" s="137" t="str">
        <f>IFERROR(__xludf.DUMMYFUNCTION("""COMPUTED_VALUE"""),"Very Good")</f>
        <v>Very Good</v>
      </c>
      <c r="Y1427" s="138" t="str">
        <f>IFERROR(__xludf.DUMMYFUNCTION("""COMPUTED_VALUE"""),"Excellent")</f>
        <v>Excellent</v>
      </c>
      <c r="Z1427" s="138" t="str">
        <f>IFERROR(__xludf.DUMMYFUNCTION("""COMPUTED_VALUE"""),"Very Good")</f>
        <v>Very Good</v>
      </c>
      <c r="AA1427" s="138" t="str">
        <f>IFERROR(__xludf.DUMMYFUNCTION("""COMPUTED_VALUE"""),"Excellent")</f>
        <v>Excellent</v>
      </c>
      <c r="AB1427" s="138" t="str">
        <f>IFERROR(__xludf.DUMMYFUNCTION("""COMPUTED_VALUE"""),"Very Good")</f>
        <v>Very Good</v>
      </c>
      <c r="AC1427" s="139">
        <f>IFERROR(__xludf.DUMMYFUNCTION("""COMPUTED_VALUE"""),2.0)</f>
        <v>2</v>
      </c>
      <c r="AD1427" s="139">
        <f>IFERROR(__xludf.DUMMYFUNCTION("""COMPUTED_VALUE"""),0.0)</f>
        <v>0</v>
      </c>
      <c r="AE1427" s="139">
        <f>IFERROR(__xludf.DUMMYFUNCTION("""COMPUTED_VALUE"""),0.0)</f>
        <v>0</v>
      </c>
      <c r="AF1427" s="140"/>
      <c r="AG1427" s="136"/>
      <c r="AH1427" s="157">
        <f>IFERROR(__xludf.DUMMYFUNCTION("""COMPUTED_VALUE"""),43846.802583125005)</f>
        <v>43846.80258</v>
      </c>
      <c r="AI1427" s="138"/>
      <c r="AJ1427" s="138"/>
      <c r="AK1427" s="138"/>
      <c r="AL1427" s="142"/>
    </row>
    <row r="1428" ht="20.25" customHeight="1">
      <c r="A1428" s="155" t="str">
        <f>IFERROR(__xludf.DUMMYFUNCTION("""COMPUTED_VALUE"""),"PurdueGuy")</f>
        <v>PurdueGuy</v>
      </c>
      <c r="B1428" s="149" t="str">
        <f>IFERROR(__xludf.DUMMYFUNCTION("""COMPUTED_VALUE"""),"Los Angeles")</f>
        <v>Los Angeles</v>
      </c>
      <c r="C1428" s="149" t="str">
        <f>IFERROR(__xludf.DUMMYFUNCTION("""COMPUTED_VALUE"""),"CA")</f>
        <v>CA</v>
      </c>
      <c r="D1428" s="149" t="str">
        <f>IFERROR(__xludf.DUMMYFUNCTION("""COMPUTED_VALUE"""),"USA")</f>
        <v>USA</v>
      </c>
      <c r="E1428" s="156">
        <f>IFERROR(__xludf.DUMMYFUNCTION("""COMPUTED_VALUE"""),43812.0)</f>
        <v>43812</v>
      </c>
      <c r="F1428" s="129">
        <f>IFERROR(__xludf.DUMMYFUNCTION("""COMPUTED_VALUE"""),43826.0)</f>
        <v>43826</v>
      </c>
      <c r="G1428" s="154"/>
      <c r="H1428" s="131">
        <f>IFERROR(__xludf.DUMMYFUNCTION("""COMPUTED_VALUE"""),649855.0)</f>
        <v>649855</v>
      </c>
      <c r="I1428" s="144"/>
      <c r="J1428" s="129">
        <f>IFERROR(__xludf.DUMMYFUNCTION("""COMPUTED_VALUE"""),43828.0)</f>
        <v>43828</v>
      </c>
      <c r="K1428" s="133">
        <f>IFERROR(__xludf.DUMMYFUNCTION("""COMPUTED_VALUE"""),14.0)</f>
        <v>14</v>
      </c>
      <c r="L1428" s="133">
        <f>IFERROR(__xludf.DUMMYFUNCTION("""COMPUTED_VALUE"""),2.0)</f>
        <v>2</v>
      </c>
      <c r="M1428" s="133">
        <f>IFERROR(__xludf.DUMMYFUNCTION("""COMPUTED_VALUE"""),16.0)</f>
        <v>16</v>
      </c>
      <c r="N1428" s="152" t="str">
        <f>IFERROR(__xludf.DUMMYFUNCTION("""COMPUTED_VALUE"""),"Model 3 LR AWD")</f>
        <v>Model 3 LR AWD</v>
      </c>
      <c r="O1428" s="152" t="str">
        <f>IFERROR(__xludf.DUMMYFUNCTION("""COMPUTED_VALUE"""),"Deep Blue Metallic")</f>
        <v>Deep Blue Metallic</v>
      </c>
      <c r="P1428" s="153" t="str">
        <f>IFERROR(__xludf.DUMMYFUNCTION("""COMPUTED_VALUE"""),"18 inch Aero")</f>
        <v>18 inch Aero</v>
      </c>
      <c r="Q1428" s="152" t="str">
        <f>IFERROR(__xludf.DUMMYFUNCTION("""COMPUTED_VALUE"""),"Black seats")</f>
        <v>Black seats</v>
      </c>
      <c r="R1428" s="149" t="str">
        <f>IFERROR(__xludf.DUMMYFUNCTION("""COMPUTED_VALUE"""),"Autopilot")</f>
        <v>Autopilot</v>
      </c>
      <c r="S1428" s="149"/>
      <c r="T1428" s="145"/>
      <c r="U1428" s="145"/>
      <c r="V1428" s="145"/>
      <c r="W1428" s="136"/>
      <c r="X1428" s="137"/>
      <c r="Y1428" s="138"/>
      <c r="Z1428" s="138"/>
      <c r="AA1428" s="138" t="str">
        <f>IFERROR(__xludf.DUMMYFUNCTION("""COMPUTED_VALUE"""),"Fair")</f>
        <v>Fair</v>
      </c>
      <c r="AB1428" s="138"/>
      <c r="AC1428" s="139"/>
      <c r="AD1428" s="139"/>
      <c r="AE1428" s="139"/>
      <c r="AF1428" s="140"/>
      <c r="AG1428" s="136"/>
      <c r="AH1428" s="157">
        <f>IFERROR(__xludf.DUMMYFUNCTION("""COMPUTED_VALUE"""),43829.02345061342)</f>
        <v>43829.02345</v>
      </c>
      <c r="AI1428" s="138"/>
      <c r="AJ1428" s="138"/>
      <c r="AK1428" s="138"/>
      <c r="AL1428" s="142"/>
    </row>
    <row r="1429" ht="20.25" customHeight="1">
      <c r="A1429" s="155" t="str">
        <f>IFERROR(__xludf.DUMMYFUNCTION("""COMPUTED_VALUE"""),"Anthony99994")</f>
        <v>Anthony99994</v>
      </c>
      <c r="B1429" s="149" t="str">
        <f>IFERROR(__xludf.DUMMYFUNCTION("""COMPUTED_VALUE"""),"Phoenix")</f>
        <v>Phoenix</v>
      </c>
      <c r="C1429" s="149" t="str">
        <f>IFERROR(__xludf.DUMMYFUNCTION("""COMPUTED_VALUE"""),"AZ")</f>
        <v>AZ</v>
      </c>
      <c r="D1429" s="149" t="str">
        <f>IFERROR(__xludf.DUMMYFUNCTION("""COMPUTED_VALUE"""),"USA")</f>
        <v>USA</v>
      </c>
      <c r="E1429" s="156">
        <f>IFERROR(__xludf.DUMMYFUNCTION("""COMPUTED_VALUE"""),43807.0)</f>
        <v>43807</v>
      </c>
      <c r="F1429" s="129">
        <f>IFERROR(__xludf.DUMMYFUNCTION("""COMPUTED_VALUE"""),43818.0)</f>
        <v>43818</v>
      </c>
      <c r="G1429" s="154"/>
      <c r="H1429" s="131">
        <f>IFERROR(__xludf.DUMMYFUNCTION("""COMPUTED_VALUE"""),613555.0)</f>
        <v>613555</v>
      </c>
      <c r="I1429" s="144" t="str">
        <f>IFERROR(__xludf.DUMMYFUNCTION("""COMPUTED_VALUE"""),"12/19")</f>
        <v>12/19</v>
      </c>
      <c r="J1429" s="129">
        <f>IFERROR(__xludf.DUMMYFUNCTION("""COMPUTED_VALUE"""),43825.0)</f>
        <v>43825</v>
      </c>
      <c r="K1429" s="133">
        <f>IFERROR(__xludf.DUMMYFUNCTION("""COMPUTED_VALUE"""),11.0)</f>
        <v>11</v>
      </c>
      <c r="L1429" s="133">
        <f>IFERROR(__xludf.DUMMYFUNCTION("""COMPUTED_VALUE"""),7.0)</f>
        <v>7</v>
      </c>
      <c r="M1429" s="133">
        <f>IFERROR(__xludf.DUMMYFUNCTION("""COMPUTED_VALUE"""),18.0)</f>
        <v>18</v>
      </c>
      <c r="N1429" s="152" t="str">
        <f>IFERROR(__xludf.DUMMYFUNCTION("""COMPUTED_VALUE"""),"Model 3 SR+")</f>
        <v>Model 3 SR+</v>
      </c>
      <c r="O1429" s="152" t="str">
        <f>IFERROR(__xludf.DUMMYFUNCTION("""COMPUTED_VALUE"""),"Pearl White Multi-Coat")</f>
        <v>Pearl White Multi-Coat</v>
      </c>
      <c r="P1429" s="153" t="str">
        <f>IFERROR(__xludf.DUMMYFUNCTION("""COMPUTED_VALUE"""),"18 inch Aero")</f>
        <v>18 inch Aero</v>
      </c>
      <c r="Q1429" s="152" t="str">
        <f>IFERROR(__xludf.DUMMYFUNCTION("""COMPUTED_VALUE"""),"Black seats")</f>
        <v>Black seats</v>
      </c>
      <c r="R1429" s="149" t="str">
        <f>IFERROR(__xludf.DUMMYFUNCTION("""COMPUTED_VALUE"""),"Autopilot")</f>
        <v>Autopilot</v>
      </c>
      <c r="S1429" s="149"/>
      <c r="T1429" s="145"/>
      <c r="U1429" s="145"/>
      <c r="V1429" s="145"/>
      <c r="W1429" s="136"/>
      <c r="X1429" s="137" t="str">
        <f>IFERROR(__xludf.DUMMYFUNCTION("""COMPUTED_VALUE"""),"Very Good")</f>
        <v>Very Good</v>
      </c>
      <c r="Y1429" s="138" t="str">
        <f>IFERROR(__xludf.DUMMYFUNCTION("""COMPUTED_VALUE"""),"Very Good")</f>
        <v>Very Good</v>
      </c>
      <c r="Z1429" s="138" t="str">
        <f>IFERROR(__xludf.DUMMYFUNCTION("""COMPUTED_VALUE"""),"Excellent")</f>
        <v>Excellent</v>
      </c>
      <c r="AA1429" s="138" t="str">
        <f>IFERROR(__xludf.DUMMYFUNCTION("""COMPUTED_VALUE"""),"Fair")</f>
        <v>Fair</v>
      </c>
      <c r="AB1429" s="138" t="str">
        <f>IFERROR(__xludf.DUMMYFUNCTION("""COMPUTED_VALUE"""),"Good")</f>
        <v>Good</v>
      </c>
      <c r="AC1429" s="139"/>
      <c r="AD1429" s="139"/>
      <c r="AE1429" s="139"/>
      <c r="AF1429" s="140"/>
      <c r="AG1429" s="136" t="str">
        <f>IFERROR(__xludf.DUMMYFUNCTION("""COMPUTED_VALUE"""),"VIN in source on 12/10; Out of town during scheduled delivery on 12/23, rescheduled for 12/26")</f>
        <v>VIN in source on 12/10; Out of town during scheduled delivery on 12/23, rescheduled for 12/26</v>
      </c>
      <c r="AH1429" s="157">
        <f>IFERROR(__xludf.DUMMYFUNCTION("""COMPUTED_VALUE"""),43830.29743344907)</f>
        <v>43830.29743</v>
      </c>
      <c r="AI1429" s="138"/>
      <c r="AJ1429" s="138"/>
      <c r="AK1429" s="138"/>
      <c r="AL1429" s="142"/>
    </row>
    <row r="1430" ht="20.25" customHeight="1">
      <c r="A1430" s="155" t="str">
        <f>IFERROR(__xludf.DUMMYFUNCTION("""COMPUTED_VALUE"""),"BrewerGlyph")</f>
        <v>BrewerGlyph</v>
      </c>
      <c r="B1430" s="149"/>
      <c r="C1430" s="149" t="str">
        <f>IFERROR(__xludf.DUMMYFUNCTION("""COMPUTED_VALUE"""),"NH")</f>
        <v>NH</v>
      </c>
      <c r="D1430" s="149" t="str">
        <f>IFERROR(__xludf.DUMMYFUNCTION("""COMPUTED_VALUE"""),"USA")</f>
        <v>USA</v>
      </c>
      <c r="E1430" s="156">
        <f>IFERROR(__xludf.DUMMYFUNCTION("""COMPUTED_VALUE"""),43807.0)</f>
        <v>43807</v>
      </c>
      <c r="F1430" s="129">
        <f>IFERROR(__xludf.DUMMYFUNCTION("""COMPUTED_VALUE"""),43864.0)</f>
        <v>43864</v>
      </c>
      <c r="G1430" s="154"/>
      <c r="H1430" s="131">
        <f>IFERROR(__xludf.DUMMYFUNCTION("""COMPUTED_VALUE"""),640255.0)</f>
        <v>640255</v>
      </c>
      <c r="I1430" s="144"/>
      <c r="J1430" s="129">
        <f>IFERROR(__xludf.DUMMYFUNCTION("""COMPUTED_VALUE"""),43880.0)</f>
        <v>43880</v>
      </c>
      <c r="K1430" s="133">
        <f>IFERROR(__xludf.DUMMYFUNCTION("""COMPUTED_VALUE"""),57.0)</f>
        <v>57</v>
      </c>
      <c r="L1430" s="133">
        <f>IFERROR(__xludf.DUMMYFUNCTION("""COMPUTED_VALUE"""),16.0)</f>
        <v>16</v>
      </c>
      <c r="M1430" s="133">
        <f>IFERROR(__xludf.DUMMYFUNCTION("""COMPUTED_VALUE"""),73.0)</f>
        <v>73</v>
      </c>
      <c r="N1430" s="152" t="str">
        <f>IFERROR(__xludf.DUMMYFUNCTION("""COMPUTED_VALUE"""),"Model 3 LR AWD")</f>
        <v>Model 3 LR AWD</v>
      </c>
      <c r="O1430" s="152" t="str">
        <f>IFERROR(__xludf.DUMMYFUNCTION("""COMPUTED_VALUE"""),"Deep Blue Metallic")</f>
        <v>Deep Blue Metallic</v>
      </c>
      <c r="P1430" s="153" t="str">
        <f>IFERROR(__xludf.DUMMYFUNCTION("""COMPUTED_VALUE"""),"19 inch Sport")</f>
        <v>19 inch Sport</v>
      </c>
      <c r="Q1430" s="152" t="str">
        <f>IFERROR(__xludf.DUMMYFUNCTION("""COMPUTED_VALUE"""),"White seats")</f>
        <v>White seats</v>
      </c>
      <c r="R1430" s="149" t="str">
        <f>IFERROR(__xludf.DUMMYFUNCTION("""COMPUTED_VALUE"""),"Autopilot")</f>
        <v>Autopilot</v>
      </c>
      <c r="S1430" s="149"/>
      <c r="T1430" s="145"/>
      <c r="U1430" s="145"/>
      <c r="V1430" s="145"/>
      <c r="W1430" s="136"/>
      <c r="X1430" s="137"/>
      <c r="Y1430" s="138"/>
      <c r="Z1430" s="138"/>
      <c r="AA1430" s="138" t="str">
        <f>IFERROR(__xludf.DUMMYFUNCTION("""COMPUTED_VALUE"""),"Poor")</f>
        <v>Poor</v>
      </c>
      <c r="AB1430" s="138"/>
      <c r="AC1430" s="139"/>
      <c r="AD1430" s="139"/>
      <c r="AE1430" s="139"/>
      <c r="AF1430" s="140"/>
      <c r="AG1430" s="136" t="str">
        <f>IFERROR(__xludf.DUMMYFUNCTION("""COMPUTED_VALUE"""),"Original estimate was 2-3 weeks from order date, TXT on 1/23/2019 indicates it is now 3-8 weeks out, VIN in source 2/3/2020, Delivery TXT 2/11/2020, VIN visible 2/13/2020")</f>
        <v>Original estimate was 2-3 weeks from order date, TXT on 1/23/2019 indicates it is now 3-8 weeks out, VIN in source 2/3/2020, Delivery TXT 2/11/2020, VIN visible 2/13/2020</v>
      </c>
      <c r="AH1430" s="157">
        <f>IFERROR(__xludf.DUMMYFUNCTION("""COMPUTED_VALUE"""),43874.18789373843)</f>
        <v>43874.18789</v>
      </c>
      <c r="AI1430" s="138"/>
      <c r="AJ1430" s="138"/>
      <c r="AK1430" s="138"/>
      <c r="AL1430" s="142"/>
    </row>
    <row r="1431" ht="20.25" customHeight="1">
      <c r="A1431" s="155" t="str">
        <f>IFERROR(__xludf.DUMMYFUNCTION("""COMPUTED_VALUE"""),"C1215")</f>
        <v>C1215</v>
      </c>
      <c r="B1431" s="149" t="str">
        <f>IFERROR(__xludf.DUMMYFUNCTION("""COMPUTED_VALUE"""),"San Francisco")</f>
        <v>San Francisco</v>
      </c>
      <c r="C1431" s="149" t="str">
        <f>IFERROR(__xludf.DUMMYFUNCTION("""COMPUTED_VALUE"""),"CA")</f>
        <v>CA</v>
      </c>
      <c r="D1431" s="149" t="str">
        <f>IFERROR(__xludf.DUMMYFUNCTION("""COMPUTED_VALUE"""),"USA")</f>
        <v>USA</v>
      </c>
      <c r="E1431" s="156">
        <f>IFERROR(__xludf.DUMMYFUNCTION("""COMPUTED_VALUE"""),43807.0)</f>
        <v>43807</v>
      </c>
      <c r="F1431" s="129">
        <f>IFERROR(__xludf.DUMMYFUNCTION("""COMPUTED_VALUE"""),43818.0)</f>
        <v>43818</v>
      </c>
      <c r="G1431" s="154"/>
      <c r="H1431" s="131">
        <f>IFERROR(__xludf.DUMMYFUNCTION("""COMPUTED_VALUE"""),613228.0)</f>
        <v>613228</v>
      </c>
      <c r="I1431" s="144"/>
      <c r="J1431" s="129">
        <f>IFERROR(__xludf.DUMMYFUNCTION("""COMPUTED_VALUE"""),43821.0)</f>
        <v>43821</v>
      </c>
      <c r="K1431" s="133">
        <f>IFERROR(__xludf.DUMMYFUNCTION("""COMPUTED_VALUE"""),11.0)</f>
        <v>11</v>
      </c>
      <c r="L1431" s="133">
        <f>IFERROR(__xludf.DUMMYFUNCTION("""COMPUTED_VALUE"""),3.0)</f>
        <v>3</v>
      </c>
      <c r="M1431" s="133">
        <f>IFERROR(__xludf.DUMMYFUNCTION("""COMPUTED_VALUE"""),14.0)</f>
        <v>14</v>
      </c>
      <c r="N1431" s="152" t="str">
        <f>IFERROR(__xludf.DUMMYFUNCTION("""COMPUTED_VALUE"""),"Model 3 SR+")</f>
        <v>Model 3 SR+</v>
      </c>
      <c r="O1431" s="152" t="str">
        <f>IFERROR(__xludf.DUMMYFUNCTION("""COMPUTED_VALUE"""),"Pearl White Multi-Coat")</f>
        <v>Pearl White Multi-Coat</v>
      </c>
      <c r="P1431" s="153" t="str">
        <f>IFERROR(__xludf.DUMMYFUNCTION("""COMPUTED_VALUE"""),"18 inch Aero")</f>
        <v>18 inch Aero</v>
      </c>
      <c r="Q1431" s="152" t="str">
        <f>IFERROR(__xludf.DUMMYFUNCTION("""COMPUTED_VALUE"""),"Black seats")</f>
        <v>Black seats</v>
      </c>
      <c r="R1431" s="149" t="str">
        <f>IFERROR(__xludf.DUMMYFUNCTION("""COMPUTED_VALUE"""),"Full Self-Driving")</f>
        <v>Full Self-Driving</v>
      </c>
      <c r="S1431" s="149"/>
      <c r="T1431" s="145"/>
      <c r="U1431" s="145"/>
      <c r="V1431" s="145"/>
      <c r="W1431" s="136"/>
      <c r="X1431" s="137" t="str">
        <f>IFERROR(__xludf.DUMMYFUNCTION("""COMPUTED_VALUE"""),"Fair")</f>
        <v>Fair</v>
      </c>
      <c r="Y1431" s="138" t="str">
        <f>IFERROR(__xludf.DUMMYFUNCTION("""COMPUTED_VALUE"""),"Poor")</f>
        <v>Poor</v>
      </c>
      <c r="Z1431" s="138" t="str">
        <f>IFERROR(__xludf.DUMMYFUNCTION("""COMPUTED_VALUE"""),"Very Good")</f>
        <v>Very Good</v>
      </c>
      <c r="AA1431" s="138" t="str">
        <f>IFERROR(__xludf.DUMMYFUNCTION("""COMPUTED_VALUE"""),"Very Good")</f>
        <v>Very Good</v>
      </c>
      <c r="AB1431" s="138" t="str">
        <f>IFERROR(__xludf.DUMMYFUNCTION("""COMPUTED_VALUE"""),"Very Good")</f>
        <v>Very Good</v>
      </c>
      <c r="AC1431" s="139">
        <f>IFERROR(__xludf.DUMMYFUNCTION("""COMPUTED_VALUE"""),2.0)</f>
        <v>2</v>
      </c>
      <c r="AD1431" s="139">
        <f>IFERROR(__xludf.DUMMYFUNCTION("""COMPUTED_VALUE"""),1.0)</f>
        <v>1</v>
      </c>
      <c r="AE1431" s="139"/>
      <c r="AF1431" s="140"/>
      <c r="AG1431" s="136"/>
      <c r="AH1431" s="157">
        <f>IFERROR(__xludf.DUMMYFUNCTION("""COMPUTED_VALUE"""),43824.61301153935)</f>
        <v>43824.61301</v>
      </c>
      <c r="AI1431" s="138"/>
      <c r="AJ1431" s="138"/>
      <c r="AK1431" s="138"/>
      <c r="AL1431" s="142"/>
    </row>
    <row r="1432" ht="20.25" customHeight="1">
      <c r="A1432" s="155" t="str">
        <f>IFERROR(__xludf.DUMMYFUNCTION("""COMPUTED_VALUE"""),"ixs0792")</f>
        <v>ixs0792</v>
      </c>
      <c r="B1432" s="149" t="str">
        <f>IFERROR(__xludf.DUMMYFUNCTION("""COMPUTED_VALUE"""),"Buffalo")</f>
        <v>Buffalo</v>
      </c>
      <c r="C1432" s="149" t="str">
        <f>IFERROR(__xludf.DUMMYFUNCTION("""COMPUTED_VALUE"""),"NY")</f>
        <v>NY</v>
      </c>
      <c r="D1432" s="149" t="str">
        <f>IFERROR(__xludf.DUMMYFUNCTION("""COMPUTED_VALUE"""),"USA")</f>
        <v>USA</v>
      </c>
      <c r="E1432" s="156">
        <f>IFERROR(__xludf.DUMMYFUNCTION("""COMPUTED_VALUE"""),43807.0)</f>
        <v>43807</v>
      </c>
      <c r="F1432" s="129">
        <f>IFERROR(__xludf.DUMMYFUNCTION("""COMPUTED_VALUE"""),43811.0)</f>
        <v>43811</v>
      </c>
      <c r="G1432" s="154"/>
      <c r="H1432" s="131">
        <f>IFERROR(__xludf.DUMMYFUNCTION("""COMPUTED_VALUE"""),616865.0)</f>
        <v>616865</v>
      </c>
      <c r="I1432" s="144"/>
      <c r="J1432" s="129">
        <f>IFERROR(__xludf.DUMMYFUNCTION("""COMPUTED_VALUE"""),43827.0)</f>
        <v>43827</v>
      </c>
      <c r="K1432" s="133">
        <f>IFERROR(__xludf.DUMMYFUNCTION("""COMPUTED_VALUE"""),4.0)</f>
        <v>4</v>
      </c>
      <c r="L1432" s="133">
        <f>IFERROR(__xludf.DUMMYFUNCTION("""COMPUTED_VALUE"""),16.0)</f>
        <v>16</v>
      </c>
      <c r="M1432" s="133">
        <f>IFERROR(__xludf.DUMMYFUNCTION("""COMPUTED_VALUE"""),20.0)</f>
        <v>20</v>
      </c>
      <c r="N1432" s="152" t="str">
        <f>IFERROR(__xludf.DUMMYFUNCTION("""COMPUTED_VALUE"""),"Model 3 LR AWD")</f>
        <v>Model 3 LR AWD</v>
      </c>
      <c r="O1432" s="152" t="str">
        <f>IFERROR(__xludf.DUMMYFUNCTION("""COMPUTED_VALUE"""),"Midnight Silver Metallic")</f>
        <v>Midnight Silver Metallic</v>
      </c>
      <c r="P1432" s="153" t="str">
        <f>IFERROR(__xludf.DUMMYFUNCTION("""COMPUTED_VALUE"""),"18 inch Aero")</f>
        <v>18 inch Aero</v>
      </c>
      <c r="Q1432" s="152" t="str">
        <f>IFERROR(__xludf.DUMMYFUNCTION("""COMPUTED_VALUE"""),"Black seats")</f>
        <v>Black seats</v>
      </c>
      <c r="R1432" s="149" t="str">
        <f>IFERROR(__xludf.DUMMYFUNCTION("""COMPUTED_VALUE"""),"Full Self-Driving")</f>
        <v>Full Self-Driving</v>
      </c>
      <c r="S1432" s="149"/>
      <c r="T1432" s="145"/>
      <c r="U1432" s="145"/>
      <c r="V1432" s="145"/>
      <c r="W1432" s="136"/>
      <c r="X1432" s="137" t="str">
        <f>IFERROR(__xludf.DUMMYFUNCTION("""COMPUTED_VALUE"""),"Very Good")</f>
        <v>Very Good</v>
      </c>
      <c r="Y1432" s="138" t="str">
        <f>IFERROR(__xludf.DUMMYFUNCTION("""COMPUTED_VALUE"""),"Excellent")</f>
        <v>Excellent</v>
      </c>
      <c r="Z1432" s="138" t="str">
        <f>IFERROR(__xludf.DUMMYFUNCTION("""COMPUTED_VALUE"""),"Excellent")</f>
        <v>Excellent</v>
      </c>
      <c r="AA1432" s="138" t="str">
        <f>IFERROR(__xludf.DUMMYFUNCTION("""COMPUTED_VALUE"""),"Fair")</f>
        <v>Fair</v>
      </c>
      <c r="AB1432" s="138" t="str">
        <f>IFERROR(__xludf.DUMMYFUNCTION("""COMPUTED_VALUE"""),"Good")</f>
        <v>Good</v>
      </c>
      <c r="AC1432" s="139"/>
      <c r="AD1432" s="139"/>
      <c r="AE1432" s="139"/>
      <c r="AF1432" s="140"/>
      <c r="AG1432" s="136"/>
      <c r="AH1432" s="157">
        <f>IFERROR(__xludf.DUMMYFUNCTION("""COMPUTED_VALUE"""),43832.78913452546)</f>
        <v>43832.78913</v>
      </c>
      <c r="AI1432" s="138"/>
      <c r="AJ1432" s="138"/>
      <c r="AK1432" s="138"/>
      <c r="AL1432" s="142"/>
    </row>
    <row r="1433" ht="20.25" customHeight="1">
      <c r="A1433" s="155" t="str">
        <f>IFERROR(__xludf.DUMMYFUNCTION("""COMPUTED_VALUE"""),"resetjet")</f>
        <v>resetjet</v>
      </c>
      <c r="B1433" s="149" t="str">
        <f>IFERROR(__xludf.DUMMYFUNCTION("""COMPUTED_VALUE"""),"Atlanta")</f>
        <v>Atlanta</v>
      </c>
      <c r="C1433" s="149" t="str">
        <f>IFERROR(__xludf.DUMMYFUNCTION("""COMPUTED_VALUE"""),"GA")</f>
        <v>GA</v>
      </c>
      <c r="D1433" s="149" t="str">
        <f>IFERROR(__xludf.DUMMYFUNCTION("""COMPUTED_VALUE"""),"USA")</f>
        <v>USA</v>
      </c>
      <c r="E1433" s="156">
        <f>IFERROR(__xludf.DUMMYFUNCTION("""COMPUTED_VALUE"""),43807.0)</f>
        <v>43807</v>
      </c>
      <c r="F1433" s="129">
        <f>IFERROR(__xludf.DUMMYFUNCTION("""COMPUTED_VALUE"""),43820.0)</f>
        <v>43820</v>
      </c>
      <c r="G1433" s="154"/>
      <c r="H1433" s="131">
        <f>IFERROR(__xludf.DUMMYFUNCTION("""COMPUTED_VALUE"""),618444.0)</f>
        <v>618444</v>
      </c>
      <c r="I1433" s="144"/>
      <c r="J1433" s="129">
        <f>IFERROR(__xludf.DUMMYFUNCTION("""COMPUTED_VALUE"""),43822.0)</f>
        <v>43822</v>
      </c>
      <c r="K1433" s="133">
        <f>IFERROR(__xludf.DUMMYFUNCTION("""COMPUTED_VALUE"""),13.0)</f>
        <v>13</v>
      </c>
      <c r="L1433" s="133">
        <f>IFERROR(__xludf.DUMMYFUNCTION("""COMPUTED_VALUE"""),2.0)</f>
        <v>2</v>
      </c>
      <c r="M1433" s="133">
        <f>IFERROR(__xludf.DUMMYFUNCTION("""COMPUTED_VALUE"""),15.0)</f>
        <v>15</v>
      </c>
      <c r="N1433" s="152" t="str">
        <f>IFERROR(__xludf.DUMMYFUNCTION("""COMPUTED_VALUE"""),"Model 3 LR AWD")</f>
        <v>Model 3 LR AWD</v>
      </c>
      <c r="O1433" s="152" t="str">
        <f>IFERROR(__xludf.DUMMYFUNCTION("""COMPUTED_VALUE"""),"Pearl White Multi-Coat")</f>
        <v>Pearl White Multi-Coat</v>
      </c>
      <c r="P1433" s="153" t="str">
        <f>IFERROR(__xludf.DUMMYFUNCTION("""COMPUTED_VALUE"""),"18 inch Aero")</f>
        <v>18 inch Aero</v>
      </c>
      <c r="Q1433" s="152" t="str">
        <f>IFERROR(__xludf.DUMMYFUNCTION("""COMPUTED_VALUE"""),"Black seats")</f>
        <v>Black seats</v>
      </c>
      <c r="R1433" s="149" t="str">
        <f>IFERROR(__xludf.DUMMYFUNCTION("""COMPUTED_VALUE"""),"Full Self-Driving")</f>
        <v>Full Self-Driving</v>
      </c>
      <c r="S1433" s="149"/>
      <c r="T1433" s="145"/>
      <c r="U1433" s="145"/>
      <c r="V1433" s="145"/>
      <c r="W1433" s="136"/>
      <c r="X1433" s="137" t="str">
        <f>IFERROR(__xludf.DUMMYFUNCTION("""COMPUTED_VALUE"""),"Excellent")</f>
        <v>Excellent</v>
      </c>
      <c r="Y1433" s="138" t="str">
        <f>IFERROR(__xludf.DUMMYFUNCTION("""COMPUTED_VALUE"""),"Excellent")</f>
        <v>Excellent</v>
      </c>
      <c r="Z1433" s="138" t="str">
        <f>IFERROR(__xludf.DUMMYFUNCTION("""COMPUTED_VALUE"""),"Excellent")</f>
        <v>Excellent</v>
      </c>
      <c r="AA1433" s="138" t="str">
        <f>IFERROR(__xludf.DUMMYFUNCTION("""COMPUTED_VALUE"""),"Good")</f>
        <v>Good</v>
      </c>
      <c r="AB1433" s="138" t="str">
        <f>IFERROR(__xludf.DUMMYFUNCTION("""COMPUTED_VALUE"""),"Poor")</f>
        <v>Poor</v>
      </c>
      <c r="AC1433" s="139"/>
      <c r="AD1433" s="139"/>
      <c r="AE1433" s="139"/>
      <c r="AF1433" s="140"/>
      <c r="AG1433" s="136"/>
      <c r="AH1433" s="157">
        <f>IFERROR(__xludf.DUMMYFUNCTION("""COMPUTED_VALUE"""),43829.23457877315)</f>
        <v>43829.23458</v>
      </c>
      <c r="AI1433" s="138"/>
      <c r="AJ1433" s="138"/>
      <c r="AK1433" s="138"/>
      <c r="AL1433" s="142"/>
    </row>
    <row r="1434" ht="20.25" customHeight="1">
      <c r="A1434" s="155" t="str">
        <f>IFERROR(__xludf.DUMMYFUNCTION("""COMPUTED_VALUE"""),"Ryanide")</f>
        <v>Ryanide</v>
      </c>
      <c r="B1434" s="149" t="str">
        <f>IFERROR(__xludf.DUMMYFUNCTION("""COMPUTED_VALUE"""),"Los Angeles")</f>
        <v>Los Angeles</v>
      </c>
      <c r="C1434" s="149" t="str">
        <f>IFERROR(__xludf.DUMMYFUNCTION("""COMPUTED_VALUE"""),"CA")</f>
        <v>CA</v>
      </c>
      <c r="D1434" s="149" t="str">
        <f>IFERROR(__xludf.DUMMYFUNCTION("""COMPUTED_VALUE"""),"USA")</f>
        <v>USA</v>
      </c>
      <c r="E1434" s="156">
        <f>IFERROR(__xludf.DUMMYFUNCTION("""COMPUTED_VALUE"""),43807.0)</f>
        <v>43807</v>
      </c>
      <c r="F1434" s="129">
        <f>IFERROR(__xludf.DUMMYFUNCTION("""COMPUTED_VALUE"""),43822.0)</f>
        <v>43822</v>
      </c>
      <c r="G1434" s="154"/>
      <c r="H1434" s="131"/>
      <c r="I1434" s="144" t="str">
        <f>IFERROR(__xludf.DUMMYFUNCTION("""COMPUTED_VALUE"""),"12/19")</f>
        <v>12/19</v>
      </c>
      <c r="J1434" s="129">
        <f>IFERROR(__xludf.DUMMYFUNCTION("""COMPUTED_VALUE"""),43829.0)</f>
        <v>43829</v>
      </c>
      <c r="K1434" s="133">
        <f>IFERROR(__xludf.DUMMYFUNCTION("""COMPUTED_VALUE"""),15.0)</f>
        <v>15</v>
      </c>
      <c r="L1434" s="133">
        <f>IFERROR(__xludf.DUMMYFUNCTION("""COMPUTED_VALUE"""),7.0)</f>
        <v>7</v>
      </c>
      <c r="M1434" s="133">
        <f>IFERROR(__xludf.DUMMYFUNCTION("""COMPUTED_VALUE"""),22.0)</f>
        <v>22</v>
      </c>
      <c r="N1434" s="152" t="str">
        <f>IFERROR(__xludf.DUMMYFUNCTION("""COMPUTED_VALUE"""),"Model 3 Performance")</f>
        <v>Model 3 Performance</v>
      </c>
      <c r="O1434" s="152" t="str">
        <f>IFERROR(__xludf.DUMMYFUNCTION("""COMPUTED_VALUE"""),"Pearl White Multi-Coat")</f>
        <v>Pearl White Multi-Coat</v>
      </c>
      <c r="P1434" s="153" t="str">
        <f>IFERROR(__xludf.DUMMYFUNCTION("""COMPUTED_VALUE"""),"20 inch Sport")</f>
        <v>20 inch Sport</v>
      </c>
      <c r="Q1434" s="152" t="str">
        <f>IFERROR(__xludf.DUMMYFUNCTION("""COMPUTED_VALUE"""),"Black seats")</f>
        <v>Black seats</v>
      </c>
      <c r="R1434" s="149" t="str">
        <f>IFERROR(__xludf.DUMMYFUNCTION("""COMPUTED_VALUE"""),"Autopilot")</f>
        <v>Autopilot</v>
      </c>
      <c r="S1434" s="149"/>
      <c r="T1434" s="145"/>
      <c r="U1434" s="145"/>
      <c r="V1434" s="145"/>
      <c r="W1434" s="136"/>
      <c r="X1434" s="137" t="str">
        <f>IFERROR(__xludf.DUMMYFUNCTION("""COMPUTED_VALUE"""),"Very Good")</f>
        <v>Very Good</v>
      </c>
      <c r="Y1434" s="138" t="str">
        <f>IFERROR(__xludf.DUMMYFUNCTION("""COMPUTED_VALUE"""),"Very Good")</f>
        <v>Very Good</v>
      </c>
      <c r="Z1434" s="138" t="str">
        <f>IFERROR(__xludf.DUMMYFUNCTION("""COMPUTED_VALUE"""),"Excellent")</f>
        <v>Excellent</v>
      </c>
      <c r="AA1434" s="138" t="str">
        <f>IFERROR(__xludf.DUMMYFUNCTION("""COMPUTED_VALUE"""),"Very Good")</f>
        <v>Very Good</v>
      </c>
      <c r="AB1434" s="138" t="str">
        <f>IFERROR(__xludf.DUMMYFUNCTION("""COMPUTED_VALUE"""),"Good")</f>
        <v>Good</v>
      </c>
      <c r="AC1434" s="139">
        <f>IFERROR(__xludf.DUMMYFUNCTION("""COMPUTED_VALUE"""),2.0)</f>
        <v>2</v>
      </c>
      <c r="AD1434" s="139"/>
      <c r="AE1434" s="139"/>
      <c r="AF1434" s="140"/>
      <c r="AG1434" s="136"/>
      <c r="AH1434" s="157">
        <f>IFERROR(__xludf.DUMMYFUNCTION("""COMPUTED_VALUE"""),43829.892939398145)</f>
        <v>43829.89294</v>
      </c>
      <c r="AI1434" s="138"/>
      <c r="AJ1434" s="138"/>
      <c r="AK1434" s="138"/>
      <c r="AL1434" s="142"/>
    </row>
    <row r="1435" ht="20.25" customHeight="1">
      <c r="A1435" s="155" t="str">
        <f>IFERROR(__xludf.DUMMYFUNCTION("""COMPUTED_VALUE"""),"Venom21")</f>
        <v>Venom21</v>
      </c>
      <c r="B1435" s="149" t="str">
        <f>IFERROR(__xludf.DUMMYFUNCTION("""COMPUTED_VALUE"""),"Calgary")</f>
        <v>Calgary</v>
      </c>
      <c r="C1435" s="149" t="str">
        <f>IFERROR(__xludf.DUMMYFUNCTION("""COMPUTED_VALUE"""),"AB")</f>
        <v>AB</v>
      </c>
      <c r="D1435" s="149" t="str">
        <f>IFERROR(__xludf.DUMMYFUNCTION("""COMPUTED_VALUE"""),"Canada")</f>
        <v>Canada</v>
      </c>
      <c r="E1435" s="156">
        <f>IFERROR(__xludf.DUMMYFUNCTION("""COMPUTED_VALUE"""),43807.0)</f>
        <v>43807</v>
      </c>
      <c r="F1435" s="129"/>
      <c r="G1435" s="154"/>
      <c r="H1435" s="131">
        <f>IFERROR(__xludf.DUMMYFUNCTION("""COMPUTED_VALUE"""),626254.0)</f>
        <v>626254</v>
      </c>
      <c r="I1435" s="144"/>
      <c r="J1435" s="129">
        <f>IFERROR(__xludf.DUMMYFUNCTION("""COMPUTED_VALUE"""),43840.0)</f>
        <v>43840</v>
      </c>
      <c r="K1435" s="133"/>
      <c r="L1435" s="133"/>
      <c r="M1435" s="133">
        <f>IFERROR(__xludf.DUMMYFUNCTION("""COMPUTED_VALUE"""),33.0)</f>
        <v>33</v>
      </c>
      <c r="N1435" s="152" t="str">
        <f>IFERROR(__xludf.DUMMYFUNCTION("""COMPUTED_VALUE"""),"Model 3 LR AWD")</f>
        <v>Model 3 LR AWD</v>
      </c>
      <c r="O1435" s="152" t="str">
        <f>IFERROR(__xludf.DUMMYFUNCTION("""COMPUTED_VALUE"""),"Solid Black")</f>
        <v>Solid Black</v>
      </c>
      <c r="P1435" s="153" t="str">
        <f>IFERROR(__xludf.DUMMYFUNCTION("""COMPUTED_VALUE"""),"18 inch Aero")</f>
        <v>18 inch Aero</v>
      </c>
      <c r="Q1435" s="152" t="str">
        <f>IFERROR(__xludf.DUMMYFUNCTION("""COMPUTED_VALUE"""),"Black seats")</f>
        <v>Black seats</v>
      </c>
      <c r="R1435" s="149" t="str">
        <f>IFERROR(__xludf.DUMMYFUNCTION("""COMPUTED_VALUE"""),"Full Self-Driving")</f>
        <v>Full Self-Driving</v>
      </c>
      <c r="S1435" s="149"/>
      <c r="T1435" s="145"/>
      <c r="U1435" s="145"/>
      <c r="V1435" s="145"/>
      <c r="W1435" s="136"/>
      <c r="X1435" s="137"/>
      <c r="Y1435" s="138"/>
      <c r="Z1435" s="138"/>
      <c r="AA1435" s="138"/>
      <c r="AB1435" s="138" t="str">
        <f>IFERROR(__xludf.DUMMYFUNCTION("""COMPUTED_VALUE"""),"Fair")</f>
        <v>Fair</v>
      </c>
      <c r="AC1435" s="139"/>
      <c r="AD1435" s="139"/>
      <c r="AE1435" s="139"/>
      <c r="AF1435" s="140"/>
      <c r="AG1435" s="136"/>
      <c r="AH1435" s="157">
        <f>IFERROR(__xludf.DUMMYFUNCTION("""COMPUTED_VALUE"""),43835.369423460645)</f>
        <v>43835.36942</v>
      </c>
      <c r="AI1435" s="138"/>
      <c r="AJ1435" s="138"/>
      <c r="AK1435" s="138"/>
      <c r="AL1435" s="142"/>
    </row>
    <row r="1436" ht="20.25" customHeight="1">
      <c r="A1436" s="155" t="str">
        <f>IFERROR(__xludf.DUMMYFUNCTION("""COMPUTED_VALUE"""),"mlatorre323")</f>
        <v>mlatorre323</v>
      </c>
      <c r="B1436" s="149" t="str">
        <f>IFERROR(__xludf.DUMMYFUNCTION("""COMPUTED_VALUE"""),"Columbus")</f>
        <v>Columbus</v>
      </c>
      <c r="C1436" s="149" t="str">
        <f>IFERROR(__xludf.DUMMYFUNCTION("""COMPUTED_VALUE"""),"OH")</f>
        <v>OH</v>
      </c>
      <c r="D1436" s="149" t="str">
        <f>IFERROR(__xludf.DUMMYFUNCTION("""COMPUTED_VALUE"""),"USA")</f>
        <v>USA</v>
      </c>
      <c r="E1436" s="156">
        <f>IFERROR(__xludf.DUMMYFUNCTION("""COMPUTED_VALUE"""),43806.0)</f>
        <v>43806</v>
      </c>
      <c r="F1436" s="129">
        <f>IFERROR(__xludf.DUMMYFUNCTION("""COMPUTED_VALUE"""),43811.0)</f>
        <v>43811</v>
      </c>
      <c r="G1436" s="154"/>
      <c r="H1436" s="131">
        <f>IFERROR(__xludf.DUMMYFUNCTION("""COMPUTED_VALUE"""),627255.0)</f>
        <v>627255</v>
      </c>
      <c r="I1436" s="144"/>
      <c r="J1436" s="129">
        <f>IFERROR(__xludf.DUMMYFUNCTION("""COMPUTED_VALUE"""),43815.0)</f>
        <v>43815</v>
      </c>
      <c r="K1436" s="133">
        <f>IFERROR(__xludf.DUMMYFUNCTION("""COMPUTED_VALUE"""),5.0)</f>
        <v>5</v>
      </c>
      <c r="L1436" s="133">
        <f>IFERROR(__xludf.DUMMYFUNCTION("""COMPUTED_VALUE"""),4.0)</f>
        <v>4</v>
      </c>
      <c r="M1436" s="133">
        <f>IFERROR(__xludf.DUMMYFUNCTION("""COMPUTED_VALUE"""),9.0)</f>
        <v>9</v>
      </c>
      <c r="N1436" s="152" t="str">
        <f>IFERROR(__xludf.DUMMYFUNCTION("""COMPUTED_VALUE"""),"Model 3 LR AWD")</f>
        <v>Model 3 LR AWD</v>
      </c>
      <c r="O1436" s="152" t="str">
        <f>IFERROR(__xludf.DUMMYFUNCTION("""COMPUTED_VALUE"""),"Midnight Silver Metallic")</f>
        <v>Midnight Silver Metallic</v>
      </c>
      <c r="P1436" s="153" t="str">
        <f>IFERROR(__xludf.DUMMYFUNCTION("""COMPUTED_VALUE"""),"19 inch Sport")</f>
        <v>19 inch Sport</v>
      </c>
      <c r="Q1436" s="152" t="str">
        <f>IFERROR(__xludf.DUMMYFUNCTION("""COMPUTED_VALUE"""),"Black seats")</f>
        <v>Black seats</v>
      </c>
      <c r="R1436" s="149" t="str">
        <f>IFERROR(__xludf.DUMMYFUNCTION("""COMPUTED_VALUE"""),"Full Self-Driving")</f>
        <v>Full Self-Driving</v>
      </c>
      <c r="S1436" s="149"/>
      <c r="T1436" s="145"/>
      <c r="U1436" s="145"/>
      <c r="V1436" s="145"/>
      <c r="W1436" s="136"/>
      <c r="X1436" s="137" t="str">
        <f>IFERROR(__xludf.DUMMYFUNCTION("""COMPUTED_VALUE"""),"Very Good")</f>
        <v>Very Good</v>
      </c>
      <c r="Y1436" s="138" t="str">
        <f>IFERROR(__xludf.DUMMYFUNCTION("""COMPUTED_VALUE"""),"Excellent")</f>
        <v>Excellent</v>
      </c>
      <c r="Z1436" s="138" t="str">
        <f>IFERROR(__xludf.DUMMYFUNCTION("""COMPUTED_VALUE"""),"Very Good")</f>
        <v>Very Good</v>
      </c>
      <c r="AA1436" s="138" t="str">
        <f>IFERROR(__xludf.DUMMYFUNCTION("""COMPUTED_VALUE"""),"Very Good")</f>
        <v>Very Good</v>
      </c>
      <c r="AB1436" s="138" t="str">
        <f>IFERROR(__xludf.DUMMYFUNCTION("""COMPUTED_VALUE"""),"Very Good")</f>
        <v>Very Good</v>
      </c>
      <c r="AC1436" s="139">
        <f>IFERROR(__xludf.DUMMYFUNCTION("""COMPUTED_VALUE"""),0.0)</f>
        <v>0</v>
      </c>
      <c r="AD1436" s="139">
        <f>IFERROR(__xludf.DUMMYFUNCTION("""COMPUTED_VALUE"""),0.0)</f>
        <v>0</v>
      </c>
      <c r="AE1436" s="139">
        <f>IFERROR(__xludf.DUMMYFUNCTION("""COMPUTED_VALUE"""),0.0)</f>
        <v>0</v>
      </c>
      <c r="AF1436" s="140"/>
      <c r="AG1436" s="136"/>
      <c r="AH1436" s="157">
        <f>IFERROR(__xludf.DUMMYFUNCTION("""COMPUTED_VALUE"""),43872.24619027777)</f>
        <v>43872.24619</v>
      </c>
      <c r="AI1436" s="138"/>
      <c r="AJ1436" s="138"/>
      <c r="AK1436" s="138"/>
      <c r="AL1436" s="142"/>
    </row>
    <row r="1437" ht="20.25" customHeight="1">
      <c r="A1437" s="155" t="str">
        <f>IFERROR(__xludf.DUMMYFUNCTION("""COMPUTED_VALUE"""),"ajcarpenter")</f>
        <v>ajcarpenter</v>
      </c>
      <c r="B1437" s="149" t="str">
        <f>IFERROR(__xludf.DUMMYFUNCTION("""COMPUTED_VALUE"""),"London")</f>
        <v>London</v>
      </c>
      <c r="C1437" s="149"/>
      <c r="D1437" s="149" t="str">
        <f>IFERROR(__xludf.DUMMYFUNCTION("""COMPUTED_VALUE"""),"United Kingdom")</f>
        <v>United Kingdom</v>
      </c>
      <c r="E1437" s="156">
        <f>IFERROR(__xludf.DUMMYFUNCTION("""COMPUTED_VALUE"""),43805.0)</f>
        <v>43805</v>
      </c>
      <c r="F1437" s="129">
        <f>IFERROR(__xludf.DUMMYFUNCTION("""COMPUTED_VALUE"""),43850.0)</f>
        <v>43850</v>
      </c>
      <c r="G1437" s="154"/>
      <c r="H1437" s="131">
        <f>IFERROR(__xludf.DUMMYFUNCTION("""COMPUTED_VALUE"""),610955.0)</f>
        <v>610955</v>
      </c>
      <c r="I1437" s="144"/>
      <c r="J1437" s="129">
        <f>IFERROR(__xludf.DUMMYFUNCTION("""COMPUTED_VALUE"""),43879.0)</f>
        <v>43879</v>
      </c>
      <c r="K1437" s="133">
        <f>IFERROR(__xludf.DUMMYFUNCTION("""COMPUTED_VALUE"""),45.0)</f>
        <v>45</v>
      </c>
      <c r="L1437" s="133">
        <f>IFERROR(__xludf.DUMMYFUNCTION("""COMPUTED_VALUE"""),29.0)</f>
        <v>29</v>
      </c>
      <c r="M1437" s="133">
        <f>IFERROR(__xludf.DUMMYFUNCTION("""COMPUTED_VALUE"""),74.0)</f>
        <v>74</v>
      </c>
      <c r="N1437" s="152" t="str">
        <f>IFERROR(__xludf.DUMMYFUNCTION("""COMPUTED_VALUE"""),"Model 3 LR AWD")</f>
        <v>Model 3 LR AWD</v>
      </c>
      <c r="O1437" s="152" t="str">
        <f>IFERROR(__xludf.DUMMYFUNCTION("""COMPUTED_VALUE"""),"Midnight Silver Metallic")</f>
        <v>Midnight Silver Metallic</v>
      </c>
      <c r="P1437" s="153" t="str">
        <f>IFERROR(__xludf.DUMMYFUNCTION("""COMPUTED_VALUE"""),"18 inch Aero")</f>
        <v>18 inch Aero</v>
      </c>
      <c r="Q1437" s="152" t="str">
        <f>IFERROR(__xludf.DUMMYFUNCTION("""COMPUTED_VALUE"""),"Black seats")</f>
        <v>Black seats</v>
      </c>
      <c r="R1437" s="149" t="str">
        <f>IFERROR(__xludf.DUMMYFUNCTION("""COMPUTED_VALUE"""),"Autopilot")</f>
        <v>Autopilot</v>
      </c>
      <c r="S1437" s="149"/>
      <c r="T1437" s="145"/>
      <c r="U1437" s="145"/>
      <c r="V1437" s="145"/>
      <c r="W1437" s="136"/>
      <c r="X1437" s="137" t="str">
        <f>IFERROR(__xludf.DUMMYFUNCTION("""COMPUTED_VALUE"""),"Very Good")</f>
        <v>Very Good</v>
      </c>
      <c r="Y1437" s="138" t="str">
        <f>IFERROR(__xludf.DUMMYFUNCTION("""COMPUTED_VALUE"""),"Very Good")</f>
        <v>Very Good</v>
      </c>
      <c r="Z1437" s="138" t="str">
        <f>IFERROR(__xludf.DUMMYFUNCTION("""COMPUTED_VALUE"""),"Excellent")</f>
        <v>Excellent</v>
      </c>
      <c r="AA1437" s="138" t="str">
        <f>IFERROR(__xludf.DUMMYFUNCTION("""COMPUTED_VALUE"""),"Fair")</f>
        <v>Fair</v>
      </c>
      <c r="AB1437" s="138" t="str">
        <f>IFERROR(__xludf.DUMMYFUNCTION("""COMPUTED_VALUE"""),"Very Good")</f>
        <v>Very Good</v>
      </c>
      <c r="AC1437" s="139">
        <f>IFERROR(__xludf.DUMMYFUNCTION("""COMPUTED_VALUE"""),0.0)</f>
        <v>0</v>
      </c>
      <c r="AD1437" s="139">
        <f>IFERROR(__xludf.DUMMYFUNCTION("""COMPUTED_VALUE"""),0.0)</f>
        <v>0</v>
      </c>
      <c r="AE1437" s="139">
        <f>IFERROR(__xludf.DUMMYFUNCTION("""COMPUTED_VALUE"""),0.0)</f>
        <v>0</v>
      </c>
      <c r="AF1437" s="140"/>
      <c r="AG1437" s="136"/>
      <c r="AH1437" s="157">
        <f>IFERROR(__xludf.DUMMYFUNCTION("""COMPUTED_VALUE"""),43890.65322104167)</f>
        <v>43890.65322</v>
      </c>
      <c r="AI1437" s="138"/>
      <c r="AJ1437" s="138"/>
      <c r="AK1437" s="138"/>
      <c r="AL1437" s="142"/>
    </row>
    <row r="1438" ht="20.25" customHeight="1">
      <c r="A1438" s="155" t="str">
        <f>IFERROR(__xludf.DUMMYFUNCTION("""COMPUTED_VALUE"""),"Gvs")</f>
        <v>Gvs</v>
      </c>
      <c r="B1438" s="149" t="str">
        <f>IFERROR(__xludf.DUMMYFUNCTION("""COMPUTED_VALUE"""),"Houston")</f>
        <v>Houston</v>
      </c>
      <c r="C1438" s="149" t="str">
        <f>IFERROR(__xludf.DUMMYFUNCTION("""COMPUTED_VALUE"""),"TX")</f>
        <v>TX</v>
      </c>
      <c r="D1438" s="149" t="str">
        <f>IFERROR(__xludf.DUMMYFUNCTION("""COMPUTED_VALUE"""),"USA")</f>
        <v>USA</v>
      </c>
      <c r="E1438" s="156">
        <f>IFERROR(__xludf.DUMMYFUNCTION("""COMPUTED_VALUE"""),43805.0)</f>
        <v>43805</v>
      </c>
      <c r="F1438" s="129">
        <f>IFERROR(__xludf.DUMMYFUNCTION("""COMPUTED_VALUE"""),43822.0)</f>
        <v>43822</v>
      </c>
      <c r="G1438" s="154"/>
      <c r="H1438" s="131">
        <f>IFERROR(__xludf.DUMMYFUNCTION("""COMPUTED_VALUE"""),639057.0)</f>
        <v>639057</v>
      </c>
      <c r="I1438" s="144" t="str">
        <f>IFERROR(__xludf.DUMMYFUNCTION("""COMPUTED_VALUE"""),"12/19")</f>
        <v>12/19</v>
      </c>
      <c r="J1438" s="129">
        <f>IFERROR(__xludf.DUMMYFUNCTION("""COMPUTED_VALUE"""),43826.0)</f>
        <v>43826</v>
      </c>
      <c r="K1438" s="133">
        <f>IFERROR(__xludf.DUMMYFUNCTION("""COMPUTED_VALUE"""),17.0)</f>
        <v>17</v>
      </c>
      <c r="L1438" s="133">
        <f>IFERROR(__xludf.DUMMYFUNCTION("""COMPUTED_VALUE"""),4.0)</f>
        <v>4</v>
      </c>
      <c r="M1438" s="133">
        <f>IFERROR(__xludf.DUMMYFUNCTION("""COMPUTED_VALUE"""),21.0)</f>
        <v>21</v>
      </c>
      <c r="N1438" s="152" t="str">
        <f>IFERROR(__xludf.DUMMYFUNCTION("""COMPUTED_VALUE"""),"Model 3 LR AWD")</f>
        <v>Model 3 LR AWD</v>
      </c>
      <c r="O1438" s="152" t="str">
        <f>IFERROR(__xludf.DUMMYFUNCTION("""COMPUTED_VALUE"""),"Midnight Silver Metallic")</f>
        <v>Midnight Silver Metallic</v>
      </c>
      <c r="P1438" s="153" t="str">
        <f>IFERROR(__xludf.DUMMYFUNCTION("""COMPUTED_VALUE"""),"19 inch Sport")</f>
        <v>19 inch Sport</v>
      </c>
      <c r="Q1438" s="152" t="str">
        <f>IFERROR(__xludf.DUMMYFUNCTION("""COMPUTED_VALUE"""),"White seats")</f>
        <v>White seats</v>
      </c>
      <c r="R1438" s="149" t="str">
        <f>IFERROR(__xludf.DUMMYFUNCTION("""COMPUTED_VALUE"""),"Autopilot")</f>
        <v>Autopilot</v>
      </c>
      <c r="S1438" s="149"/>
      <c r="T1438" s="145"/>
      <c r="U1438" s="145"/>
      <c r="V1438" s="145"/>
      <c r="W1438" s="136"/>
      <c r="X1438" s="137" t="str">
        <f>IFERROR(__xludf.DUMMYFUNCTION("""COMPUTED_VALUE"""),"Very Good")</f>
        <v>Very Good</v>
      </c>
      <c r="Y1438" s="138" t="str">
        <f>IFERROR(__xludf.DUMMYFUNCTION("""COMPUTED_VALUE"""),"Excellent")</f>
        <v>Excellent</v>
      </c>
      <c r="Z1438" s="138" t="str">
        <f>IFERROR(__xludf.DUMMYFUNCTION("""COMPUTED_VALUE"""),"Excellent")</f>
        <v>Excellent</v>
      </c>
      <c r="AA1438" s="138" t="str">
        <f>IFERROR(__xludf.DUMMYFUNCTION("""COMPUTED_VALUE"""),"Excellent")</f>
        <v>Excellent</v>
      </c>
      <c r="AB1438" s="138" t="str">
        <f>IFERROR(__xludf.DUMMYFUNCTION("""COMPUTED_VALUE"""),"Excellent")</f>
        <v>Excellent</v>
      </c>
      <c r="AC1438" s="139">
        <f>IFERROR(__xludf.DUMMYFUNCTION("""COMPUTED_VALUE"""),1.0)</f>
        <v>1</v>
      </c>
      <c r="AD1438" s="139">
        <f>IFERROR(__xludf.DUMMYFUNCTION("""COMPUTED_VALUE"""),1.0)</f>
        <v>1</v>
      </c>
      <c r="AE1438" s="139">
        <f>IFERROR(__xludf.DUMMYFUNCTION("""COMPUTED_VALUE"""),0.0)</f>
        <v>0</v>
      </c>
      <c r="AF1438" s="140"/>
      <c r="AG1438" s="136"/>
      <c r="AH1438" s="157">
        <f>IFERROR(__xludf.DUMMYFUNCTION("""COMPUTED_VALUE"""),43827.173524004626)</f>
        <v>43827.17352</v>
      </c>
      <c r="AI1438" s="138"/>
      <c r="AJ1438" s="138"/>
      <c r="AK1438" s="138"/>
      <c r="AL1438" s="142"/>
    </row>
    <row r="1439" ht="20.25" customHeight="1">
      <c r="A1439" s="155" t="str">
        <f>IFERROR(__xludf.DUMMYFUNCTION("""COMPUTED_VALUE"""),"kolyant")</f>
        <v>kolyant</v>
      </c>
      <c r="B1439" s="149" t="str">
        <f>IFERROR(__xludf.DUMMYFUNCTION("""COMPUTED_VALUE"""),"Foster City")</f>
        <v>Foster City</v>
      </c>
      <c r="C1439" s="149" t="str">
        <f>IFERROR(__xludf.DUMMYFUNCTION("""COMPUTED_VALUE"""),"CA")</f>
        <v>CA</v>
      </c>
      <c r="D1439" s="149" t="str">
        <f>IFERROR(__xludf.DUMMYFUNCTION("""COMPUTED_VALUE"""),"USA")</f>
        <v>USA</v>
      </c>
      <c r="E1439" s="156">
        <f>IFERROR(__xludf.DUMMYFUNCTION("""COMPUTED_VALUE"""),43805.0)</f>
        <v>43805</v>
      </c>
      <c r="F1439" s="129">
        <f>IFERROR(__xludf.DUMMYFUNCTION("""COMPUTED_VALUE"""),43805.0)</f>
        <v>43805</v>
      </c>
      <c r="G1439" s="154"/>
      <c r="H1439" s="131">
        <f>IFERROR(__xludf.DUMMYFUNCTION("""COMPUTED_VALUE"""),627655.0)</f>
        <v>627655</v>
      </c>
      <c r="I1439" s="144"/>
      <c r="J1439" s="129">
        <f>IFERROR(__xludf.DUMMYFUNCTION("""COMPUTED_VALUE"""),43811.0)</f>
        <v>43811</v>
      </c>
      <c r="K1439" s="133">
        <f>IFERROR(__xludf.DUMMYFUNCTION("""COMPUTED_VALUE"""),0.0)</f>
        <v>0</v>
      </c>
      <c r="L1439" s="133">
        <f>IFERROR(__xludf.DUMMYFUNCTION("""COMPUTED_VALUE"""),6.0)</f>
        <v>6</v>
      </c>
      <c r="M1439" s="133">
        <f>IFERROR(__xludf.DUMMYFUNCTION("""COMPUTED_VALUE"""),6.0)</f>
        <v>6</v>
      </c>
      <c r="N1439" s="152" t="str">
        <f>IFERROR(__xludf.DUMMYFUNCTION("""COMPUTED_VALUE"""),"Model 3 Performance")</f>
        <v>Model 3 Performance</v>
      </c>
      <c r="O1439" s="152" t="str">
        <f>IFERROR(__xludf.DUMMYFUNCTION("""COMPUTED_VALUE"""),"Pearl White Multi-Coat")</f>
        <v>Pearl White Multi-Coat</v>
      </c>
      <c r="P1439" s="153" t="str">
        <f>IFERROR(__xludf.DUMMYFUNCTION("""COMPUTED_VALUE"""),"19 inch Sport")</f>
        <v>19 inch Sport</v>
      </c>
      <c r="Q1439" s="152" t="str">
        <f>IFERROR(__xludf.DUMMYFUNCTION("""COMPUTED_VALUE"""),"Black seats")</f>
        <v>Black seats</v>
      </c>
      <c r="R1439" s="149" t="str">
        <f>IFERROR(__xludf.DUMMYFUNCTION("""COMPUTED_VALUE"""),"Autopilot")</f>
        <v>Autopilot</v>
      </c>
      <c r="S1439" s="149"/>
      <c r="T1439" s="145"/>
      <c r="U1439" s="145"/>
      <c r="V1439" s="145"/>
      <c r="W1439" s="136"/>
      <c r="X1439" s="137" t="str">
        <f>IFERROR(__xludf.DUMMYFUNCTION("""COMPUTED_VALUE"""),"Very Good")</f>
        <v>Very Good</v>
      </c>
      <c r="Y1439" s="138" t="str">
        <f>IFERROR(__xludf.DUMMYFUNCTION("""COMPUTED_VALUE"""),"Excellent")</f>
        <v>Excellent</v>
      </c>
      <c r="Z1439" s="138" t="str">
        <f>IFERROR(__xludf.DUMMYFUNCTION("""COMPUTED_VALUE"""),"Very Good")</f>
        <v>Very Good</v>
      </c>
      <c r="AA1439" s="138" t="str">
        <f>IFERROR(__xludf.DUMMYFUNCTION("""COMPUTED_VALUE"""),"Excellent")</f>
        <v>Excellent</v>
      </c>
      <c r="AB1439" s="138" t="str">
        <f>IFERROR(__xludf.DUMMYFUNCTION("""COMPUTED_VALUE"""),"Good")</f>
        <v>Good</v>
      </c>
      <c r="AC1439" s="139"/>
      <c r="AD1439" s="139"/>
      <c r="AE1439" s="139"/>
      <c r="AF1439" s="140"/>
      <c r="AG1439" s="136" t="str">
        <f>IFERROR(__xludf.DUMMYFUNCTION("""COMPUTED_VALUE"""),"Switched to Stealth on 12/06/2019, original order on 10/13")</f>
        <v>Switched to Stealth on 12/06/2019, original order on 10/13</v>
      </c>
      <c r="AH1439" s="157">
        <f>IFERROR(__xludf.DUMMYFUNCTION("""COMPUTED_VALUE"""),43812.80501074074)</f>
        <v>43812.80501</v>
      </c>
      <c r="AI1439" s="138"/>
      <c r="AJ1439" s="138"/>
      <c r="AK1439" s="138"/>
      <c r="AL1439" s="142"/>
    </row>
    <row r="1440" ht="20.25" customHeight="1">
      <c r="A1440" s="155" t="str">
        <f>IFERROR(__xludf.DUMMYFUNCTION("""COMPUTED_VALUE"""),"personthing")</f>
        <v>personthing</v>
      </c>
      <c r="B1440" s="149" t="str">
        <f>IFERROR(__xludf.DUMMYFUNCTION("""COMPUTED_VALUE"""),"Minneapolis")</f>
        <v>Minneapolis</v>
      </c>
      <c r="C1440" s="149" t="str">
        <f>IFERROR(__xludf.DUMMYFUNCTION("""COMPUTED_VALUE"""),"MN")</f>
        <v>MN</v>
      </c>
      <c r="D1440" s="149" t="str">
        <f>IFERROR(__xludf.DUMMYFUNCTION("""COMPUTED_VALUE"""),"USA")</f>
        <v>USA</v>
      </c>
      <c r="E1440" s="156">
        <f>IFERROR(__xludf.DUMMYFUNCTION("""COMPUTED_VALUE"""),43805.0)</f>
        <v>43805</v>
      </c>
      <c r="F1440" s="129">
        <f>IFERROR(__xludf.DUMMYFUNCTION("""COMPUTED_VALUE"""),43810.0)</f>
        <v>43810</v>
      </c>
      <c r="G1440" s="154"/>
      <c r="H1440" s="131">
        <f>IFERROR(__xludf.DUMMYFUNCTION("""COMPUTED_VALUE"""),602005.0)</f>
        <v>602005</v>
      </c>
      <c r="I1440" s="144"/>
      <c r="J1440" s="129">
        <f>IFERROR(__xludf.DUMMYFUNCTION("""COMPUTED_VALUE"""),43817.0)</f>
        <v>43817</v>
      </c>
      <c r="K1440" s="133">
        <f>IFERROR(__xludf.DUMMYFUNCTION("""COMPUTED_VALUE"""),5.0)</f>
        <v>5</v>
      </c>
      <c r="L1440" s="133">
        <f>IFERROR(__xludf.DUMMYFUNCTION("""COMPUTED_VALUE"""),7.0)</f>
        <v>7</v>
      </c>
      <c r="M1440" s="133">
        <f>IFERROR(__xludf.DUMMYFUNCTION("""COMPUTED_VALUE"""),12.0)</f>
        <v>12</v>
      </c>
      <c r="N1440" s="152" t="str">
        <f>IFERROR(__xludf.DUMMYFUNCTION("""COMPUTED_VALUE"""),"Model 3 Performance")</f>
        <v>Model 3 Performance</v>
      </c>
      <c r="O1440" s="152" t="str">
        <f>IFERROR(__xludf.DUMMYFUNCTION("""COMPUTED_VALUE"""),"Midnight Silver Metallic")</f>
        <v>Midnight Silver Metallic</v>
      </c>
      <c r="P1440" s="153" t="str">
        <f>IFERROR(__xludf.DUMMYFUNCTION("""COMPUTED_VALUE"""),"18 inch Aero")</f>
        <v>18 inch Aero</v>
      </c>
      <c r="Q1440" s="152" t="str">
        <f>IFERROR(__xludf.DUMMYFUNCTION("""COMPUTED_VALUE"""),"Black seats")</f>
        <v>Black seats</v>
      </c>
      <c r="R1440" s="149" t="str">
        <f>IFERROR(__xludf.DUMMYFUNCTION("""COMPUTED_VALUE"""),"Autopilot")</f>
        <v>Autopilot</v>
      </c>
      <c r="S1440" s="149"/>
      <c r="T1440" s="145"/>
      <c r="U1440" s="145"/>
      <c r="V1440" s="145"/>
      <c r="W1440" s="136"/>
      <c r="X1440" s="137" t="str">
        <f>IFERROR(__xludf.DUMMYFUNCTION("""COMPUTED_VALUE"""),"Very Good")</f>
        <v>Very Good</v>
      </c>
      <c r="Y1440" s="138" t="str">
        <f>IFERROR(__xludf.DUMMYFUNCTION("""COMPUTED_VALUE"""),"Excellent")</f>
        <v>Excellent</v>
      </c>
      <c r="Z1440" s="138" t="str">
        <f>IFERROR(__xludf.DUMMYFUNCTION("""COMPUTED_VALUE"""),"Excellent")</f>
        <v>Excellent</v>
      </c>
      <c r="AA1440" s="138" t="str">
        <f>IFERROR(__xludf.DUMMYFUNCTION("""COMPUTED_VALUE"""),"Very Good")</f>
        <v>Very Good</v>
      </c>
      <c r="AB1440" s="138" t="str">
        <f>IFERROR(__xludf.DUMMYFUNCTION("""COMPUTED_VALUE"""),"Excellent")</f>
        <v>Excellent</v>
      </c>
      <c r="AC1440" s="139"/>
      <c r="AD1440" s="139"/>
      <c r="AE1440" s="139"/>
      <c r="AF1440" s="140"/>
      <c r="AG1440" s="136"/>
      <c r="AH1440" s="157">
        <f>IFERROR(__xludf.DUMMYFUNCTION("""COMPUTED_VALUE"""),43817.83512173611)</f>
        <v>43817.83512</v>
      </c>
      <c r="AI1440" s="138"/>
      <c r="AJ1440" s="138"/>
      <c r="AK1440" s="138"/>
      <c r="AL1440" s="142"/>
    </row>
    <row r="1441" ht="20.25" customHeight="1">
      <c r="A1441" s="155" t="str">
        <f>IFERROR(__xludf.DUMMYFUNCTION("""COMPUTED_VALUE"""),"indiana1")</f>
        <v>indiana1</v>
      </c>
      <c r="B1441" s="149" t="str">
        <f>IFERROR(__xludf.DUMMYFUNCTION("""COMPUTED_VALUE"""),"Indianapolis")</f>
        <v>Indianapolis</v>
      </c>
      <c r="C1441" s="149" t="str">
        <f>IFERROR(__xludf.DUMMYFUNCTION("""COMPUTED_VALUE"""),"IN")</f>
        <v>IN</v>
      </c>
      <c r="D1441" s="149" t="str">
        <f>IFERROR(__xludf.DUMMYFUNCTION("""COMPUTED_VALUE"""),"USA")</f>
        <v>USA</v>
      </c>
      <c r="E1441" s="156">
        <f>IFERROR(__xludf.DUMMYFUNCTION("""COMPUTED_VALUE"""),43804.0)</f>
        <v>43804</v>
      </c>
      <c r="F1441" s="129">
        <f>IFERROR(__xludf.DUMMYFUNCTION("""COMPUTED_VALUE"""),43827.0)</f>
        <v>43827</v>
      </c>
      <c r="G1441" s="154"/>
      <c r="H1441" s="131"/>
      <c r="I1441" s="144"/>
      <c r="J1441" s="129">
        <f>IFERROR(__xludf.DUMMYFUNCTION("""COMPUTED_VALUE"""),43848.0)</f>
        <v>43848</v>
      </c>
      <c r="K1441" s="133">
        <f>IFERROR(__xludf.DUMMYFUNCTION("""COMPUTED_VALUE"""),23.0)</f>
        <v>23</v>
      </c>
      <c r="L1441" s="133">
        <f>IFERROR(__xludf.DUMMYFUNCTION("""COMPUTED_VALUE"""),21.0)</f>
        <v>21</v>
      </c>
      <c r="M1441" s="133">
        <f>IFERROR(__xludf.DUMMYFUNCTION("""COMPUTED_VALUE"""),44.0)</f>
        <v>44</v>
      </c>
      <c r="N1441" s="152" t="str">
        <f>IFERROR(__xludf.DUMMYFUNCTION("""COMPUTED_VALUE"""),"Model 3 LR AWD")</f>
        <v>Model 3 LR AWD</v>
      </c>
      <c r="O1441" s="152" t="str">
        <f>IFERROR(__xludf.DUMMYFUNCTION("""COMPUTED_VALUE"""),"Red Multi-Coat")</f>
        <v>Red Multi-Coat</v>
      </c>
      <c r="P1441" s="153" t="str">
        <f>IFERROR(__xludf.DUMMYFUNCTION("""COMPUTED_VALUE"""),"18 inch Aero")</f>
        <v>18 inch Aero</v>
      </c>
      <c r="Q1441" s="152" t="str">
        <f>IFERROR(__xludf.DUMMYFUNCTION("""COMPUTED_VALUE"""),"Black seats")</f>
        <v>Black seats</v>
      </c>
      <c r="R1441" s="149" t="str">
        <f>IFERROR(__xludf.DUMMYFUNCTION("""COMPUTED_VALUE"""),"Full Self-Driving")</f>
        <v>Full Self-Driving</v>
      </c>
      <c r="S1441" s="149"/>
      <c r="T1441" s="145"/>
      <c r="U1441" s="145"/>
      <c r="V1441" s="145"/>
      <c r="W1441" s="136"/>
      <c r="X1441" s="137" t="str">
        <f>IFERROR(__xludf.DUMMYFUNCTION("""COMPUTED_VALUE"""),"Good")</f>
        <v>Good</v>
      </c>
      <c r="Y1441" s="138" t="str">
        <f>IFERROR(__xludf.DUMMYFUNCTION("""COMPUTED_VALUE"""),"Excellent")</f>
        <v>Excellent</v>
      </c>
      <c r="Z1441" s="138" t="str">
        <f>IFERROR(__xludf.DUMMYFUNCTION("""COMPUTED_VALUE"""),"Excellent")</f>
        <v>Excellent</v>
      </c>
      <c r="AA1441" s="138" t="str">
        <f>IFERROR(__xludf.DUMMYFUNCTION("""COMPUTED_VALUE"""),"Fair")</f>
        <v>Fair</v>
      </c>
      <c r="AB1441" s="138" t="str">
        <f>IFERROR(__xludf.DUMMYFUNCTION("""COMPUTED_VALUE"""),"Very Good")</f>
        <v>Very Good</v>
      </c>
      <c r="AC1441" s="139"/>
      <c r="AD1441" s="139"/>
      <c r="AE1441" s="139"/>
      <c r="AF1441" s="140"/>
      <c r="AG1441" s="136" t="str">
        <f>IFERROR(__xludf.DUMMYFUNCTION("""COMPUTED_VALUE"""),"Original pick scheduled Jan 4, on Jan 3 changed to Jan 25 and VIN disappeared from the web page, but still shows in source code. VIN changed on Dec 29 but now shows on the page. Originally VIN was taken from page source on Dec 28. Jan 17 got a call my car"&amp;" was in and I could pick it up Jan 18")</f>
        <v>Original pick scheduled Jan 4, on Jan 3 changed to Jan 25 and VIN disappeared from the web page, but still shows in source code. VIN changed on Dec 29 but now shows on the page. Originally VIN was taken from page source on Dec 28. Jan 17 got a call my car was in and I could pick it up Jan 18</v>
      </c>
      <c r="AH1441" s="157">
        <f>IFERROR(__xludf.DUMMYFUNCTION("""COMPUTED_VALUE"""),43859.49564321759)</f>
        <v>43859.49564</v>
      </c>
      <c r="AI1441" s="138"/>
      <c r="AJ1441" s="138"/>
      <c r="AK1441" s="138"/>
      <c r="AL1441" s="142"/>
    </row>
    <row r="1442" ht="20.25" customHeight="1">
      <c r="A1442" s="155" t="str">
        <f>IFERROR(__xludf.DUMMYFUNCTION("""COMPUTED_VALUE"""),"tablan")</f>
        <v>tablan</v>
      </c>
      <c r="B1442" s="149" t="str">
        <f>IFERROR(__xludf.DUMMYFUNCTION("""COMPUTED_VALUE"""),"Mesa")</f>
        <v>Mesa</v>
      </c>
      <c r="C1442" s="149" t="str">
        <f>IFERROR(__xludf.DUMMYFUNCTION("""COMPUTED_VALUE"""),"AZ")</f>
        <v>AZ</v>
      </c>
      <c r="D1442" s="149" t="str">
        <f>IFERROR(__xludf.DUMMYFUNCTION("""COMPUTED_VALUE"""),"USA")</f>
        <v>USA</v>
      </c>
      <c r="E1442" s="156">
        <f>IFERROR(__xludf.DUMMYFUNCTION("""COMPUTED_VALUE"""),43804.0)</f>
        <v>43804</v>
      </c>
      <c r="F1442" s="129">
        <f>IFERROR(__xludf.DUMMYFUNCTION("""COMPUTED_VALUE"""),43815.0)</f>
        <v>43815</v>
      </c>
      <c r="G1442" s="154"/>
      <c r="H1442" s="131">
        <f>IFERROR(__xludf.DUMMYFUNCTION("""COMPUTED_VALUE"""),619608.0)</f>
        <v>619608</v>
      </c>
      <c r="I1442" s="144" t="str">
        <f>IFERROR(__xludf.DUMMYFUNCTION("""COMPUTED_VALUE"""),"12/19")</f>
        <v>12/19</v>
      </c>
      <c r="J1442" s="129">
        <f>IFERROR(__xludf.DUMMYFUNCTION("""COMPUTED_VALUE"""),43820.0)</f>
        <v>43820</v>
      </c>
      <c r="K1442" s="133">
        <f>IFERROR(__xludf.DUMMYFUNCTION("""COMPUTED_VALUE"""),11.0)</f>
        <v>11</v>
      </c>
      <c r="L1442" s="133">
        <f>IFERROR(__xludf.DUMMYFUNCTION("""COMPUTED_VALUE"""),5.0)</f>
        <v>5</v>
      </c>
      <c r="M1442" s="133">
        <f>IFERROR(__xludf.DUMMYFUNCTION("""COMPUTED_VALUE"""),16.0)</f>
        <v>16</v>
      </c>
      <c r="N1442" s="152" t="str">
        <f>IFERROR(__xludf.DUMMYFUNCTION("""COMPUTED_VALUE"""),"Model 3 LR AWD")</f>
        <v>Model 3 LR AWD</v>
      </c>
      <c r="O1442" s="152" t="str">
        <f>IFERROR(__xludf.DUMMYFUNCTION("""COMPUTED_VALUE"""),"Pearl White Multi-Coat")</f>
        <v>Pearl White Multi-Coat</v>
      </c>
      <c r="P1442" s="153" t="str">
        <f>IFERROR(__xludf.DUMMYFUNCTION("""COMPUTED_VALUE"""),"18 inch Aero")</f>
        <v>18 inch Aero</v>
      </c>
      <c r="Q1442" s="152" t="str">
        <f>IFERROR(__xludf.DUMMYFUNCTION("""COMPUTED_VALUE"""),"Black seats")</f>
        <v>Black seats</v>
      </c>
      <c r="R1442" s="149" t="str">
        <f>IFERROR(__xludf.DUMMYFUNCTION("""COMPUTED_VALUE"""),"Full Self-Driving")</f>
        <v>Full Self-Driving</v>
      </c>
      <c r="S1442" s="149"/>
      <c r="T1442" s="145"/>
      <c r="U1442" s="145"/>
      <c r="V1442" s="145"/>
      <c r="W1442" s="136"/>
      <c r="X1442" s="137" t="str">
        <f>IFERROR(__xludf.DUMMYFUNCTION("""COMPUTED_VALUE"""),"Excellent")</f>
        <v>Excellent</v>
      </c>
      <c r="Y1442" s="138" t="str">
        <f>IFERROR(__xludf.DUMMYFUNCTION("""COMPUTED_VALUE"""),"Excellent")</f>
        <v>Excellent</v>
      </c>
      <c r="Z1442" s="138" t="str">
        <f>IFERROR(__xludf.DUMMYFUNCTION("""COMPUTED_VALUE"""),"Excellent")</f>
        <v>Excellent</v>
      </c>
      <c r="AA1442" s="138" t="str">
        <f>IFERROR(__xludf.DUMMYFUNCTION("""COMPUTED_VALUE"""),"Fair")</f>
        <v>Fair</v>
      </c>
      <c r="AB1442" s="138" t="str">
        <f>IFERROR(__xludf.DUMMYFUNCTION("""COMPUTED_VALUE"""),"Very Good")</f>
        <v>Very Good</v>
      </c>
      <c r="AC1442" s="139">
        <f>IFERROR(__xludf.DUMMYFUNCTION("""COMPUTED_VALUE"""),0.0)</f>
        <v>0</v>
      </c>
      <c r="AD1442" s="139">
        <f>IFERROR(__xludf.DUMMYFUNCTION("""COMPUTED_VALUE"""),0.0)</f>
        <v>0</v>
      </c>
      <c r="AE1442" s="139">
        <f>IFERROR(__xludf.DUMMYFUNCTION("""COMPUTED_VALUE"""),0.0)</f>
        <v>0</v>
      </c>
      <c r="AF1442" s="140"/>
      <c r="AG1442" s="136"/>
      <c r="AH1442" s="157">
        <f>IFERROR(__xludf.DUMMYFUNCTION("""COMPUTED_VALUE"""),43848.75486731482)</f>
        <v>43848.75487</v>
      </c>
      <c r="AI1442" s="138"/>
      <c r="AJ1442" s="138"/>
      <c r="AK1442" s="138"/>
      <c r="AL1442" s="142"/>
    </row>
    <row r="1443" ht="20.25" customHeight="1">
      <c r="A1443" s="155" t="str">
        <f>IFERROR(__xludf.DUMMYFUNCTION("""COMPUTED_VALUE"""),"turanga")</f>
        <v>turanga</v>
      </c>
      <c r="B1443" s="149" t="str">
        <f>IFERROR(__xludf.DUMMYFUNCTION("""COMPUTED_VALUE"""),"Homedale")</f>
        <v>Homedale</v>
      </c>
      <c r="C1443" s="149" t="str">
        <f>IFERROR(__xludf.DUMMYFUNCTION("""COMPUTED_VALUE"""),"ID")</f>
        <v>ID</v>
      </c>
      <c r="D1443" s="149" t="str">
        <f>IFERROR(__xludf.DUMMYFUNCTION("""COMPUTED_VALUE"""),"USA")</f>
        <v>USA</v>
      </c>
      <c r="E1443" s="156">
        <f>IFERROR(__xludf.DUMMYFUNCTION("""COMPUTED_VALUE"""),43804.0)</f>
        <v>43804</v>
      </c>
      <c r="F1443" s="129">
        <f>IFERROR(__xludf.DUMMYFUNCTION("""COMPUTED_VALUE"""),43814.0)</f>
        <v>43814</v>
      </c>
      <c r="G1443" s="154"/>
      <c r="H1443" s="131">
        <f>IFERROR(__xludf.DUMMYFUNCTION("""COMPUTED_VALUE"""),639055.0)</f>
        <v>639055</v>
      </c>
      <c r="I1443" s="144" t="str">
        <f>IFERROR(__xludf.DUMMYFUNCTION("""COMPUTED_VALUE"""),"12/19")</f>
        <v>12/19</v>
      </c>
      <c r="J1443" s="129">
        <f>IFERROR(__xludf.DUMMYFUNCTION("""COMPUTED_VALUE"""),43814.0)</f>
        <v>43814</v>
      </c>
      <c r="K1443" s="133">
        <f>IFERROR(__xludf.DUMMYFUNCTION("""COMPUTED_VALUE"""),10.0)</f>
        <v>10</v>
      </c>
      <c r="L1443" s="133">
        <f>IFERROR(__xludf.DUMMYFUNCTION("""COMPUTED_VALUE"""),0.0)</f>
        <v>0</v>
      </c>
      <c r="M1443" s="133">
        <f>IFERROR(__xludf.DUMMYFUNCTION("""COMPUTED_VALUE"""),10.0)</f>
        <v>10</v>
      </c>
      <c r="N1443" s="152" t="str">
        <f>IFERROR(__xludf.DUMMYFUNCTION("""COMPUTED_VALUE"""),"Model 3 LR AWD")</f>
        <v>Model 3 LR AWD</v>
      </c>
      <c r="O1443" s="152" t="str">
        <f>IFERROR(__xludf.DUMMYFUNCTION("""COMPUTED_VALUE"""),"Midnight Silver Metallic")</f>
        <v>Midnight Silver Metallic</v>
      </c>
      <c r="P1443" s="153" t="str">
        <f>IFERROR(__xludf.DUMMYFUNCTION("""COMPUTED_VALUE"""),"18 inch Aero")</f>
        <v>18 inch Aero</v>
      </c>
      <c r="Q1443" s="152" t="str">
        <f>IFERROR(__xludf.DUMMYFUNCTION("""COMPUTED_VALUE"""),"White seats")</f>
        <v>White seats</v>
      </c>
      <c r="R1443" s="149" t="str">
        <f>IFERROR(__xludf.DUMMYFUNCTION("""COMPUTED_VALUE"""),"Autopilot")</f>
        <v>Autopilot</v>
      </c>
      <c r="S1443" s="149"/>
      <c r="T1443" s="145"/>
      <c r="U1443" s="145"/>
      <c r="V1443" s="145"/>
      <c r="W1443" s="136"/>
      <c r="X1443" s="137" t="str">
        <f>IFERROR(__xludf.DUMMYFUNCTION("""COMPUTED_VALUE"""),"Very Good")</f>
        <v>Very Good</v>
      </c>
      <c r="Y1443" s="138" t="str">
        <f>IFERROR(__xludf.DUMMYFUNCTION("""COMPUTED_VALUE"""),"Very Good")</f>
        <v>Very Good</v>
      </c>
      <c r="Z1443" s="138" t="str">
        <f>IFERROR(__xludf.DUMMYFUNCTION("""COMPUTED_VALUE"""),"Excellent")</f>
        <v>Excellent</v>
      </c>
      <c r="AA1443" s="138" t="str">
        <f>IFERROR(__xludf.DUMMYFUNCTION("""COMPUTED_VALUE"""),"Good")</f>
        <v>Good</v>
      </c>
      <c r="AB1443" s="138" t="str">
        <f>IFERROR(__xludf.DUMMYFUNCTION("""COMPUTED_VALUE"""),"Good")</f>
        <v>Good</v>
      </c>
      <c r="AC1443" s="139">
        <f>IFERROR(__xludf.DUMMYFUNCTION("""COMPUTED_VALUE"""),2.0)</f>
        <v>2</v>
      </c>
      <c r="AD1443" s="139">
        <f>IFERROR(__xludf.DUMMYFUNCTION("""COMPUTED_VALUE"""),1.0)</f>
        <v>1</v>
      </c>
      <c r="AE1443" s="139">
        <f>IFERROR(__xludf.DUMMYFUNCTION("""COMPUTED_VALUE"""),0.0)</f>
        <v>0</v>
      </c>
      <c r="AF1443" s="140"/>
      <c r="AG1443" s="136"/>
      <c r="AH1443" s="157">
        <f>IFERROR(__xludf.DUMMYFUNCTION("""COMPUTED_VALUE"""),43818.30750037036)</f>
        <v>43818.3075</v>
      </c>
      <c r="AI1443" s="138"/>
      <c r="AJ1443" s="138"/>
      <c r="AK1443" s="138"/>
      <c r="AL1443" s="142"/>
    </row>
    <row r="1444" ht="20.25" customHeight="1">
      <c r="A1444" s="155" t="str">
        <f>IFERROR(__xludf.DUMMYFUNCTION("""COMPUTED_VALUE"""),"Adeian")</f>
        <v>Adeian</v>
      </c>
      <c r="B1444" s="149" t="str">
        <f>IFERROR(__xludf.DUMMYFUNCTION("""COMPUTED_VALUE"""),"Denver")</f>
        <v>Denver</v>
      </c>
      <c r="C1444" s="149" t="str">
        <f>IFERROR(__xludf.DUMMYFUNCTION("""COMPUTED_VALUE"""),"CO")</f>
        <v>CO</v>
      </c>
      <c r="D1444" s="149" t="str">
        <f>IFERROR(__xludf.DUMMYFUNCTION("""COMPUTED_VALUE"""),"USA")</f>
        <v>USA</v>
      </c>
      <c r="E1444" s="156">
        <f>IFERROR(__xludf.DUMMYFUNCTION("""COMPUTED_VALUE"""),43803.0)</f>
        <v>43803</v>
      </c>
      <c r="F1444" s="129">
        <f>IFERROR(__xludf.DUMMYFUNCTION("""COMPUTED_VALUE"""),43817.0)</f>
        <v>43817</v>
      </c>
      <c r="G1444" s="154"/>
      <c r="H1444" s="131"/>
      <c r="I1444" s="144" t="str">
        <f>IFERROR(__xludf.DUMMYFUNCTION("""COMPUTED_VALUE"""),"12/19")</f>
        <v>12/19</v>
      </c>
      <c r="J1444" s="129">
        <f>IFERROR(__xludf.DUMMYFUNCTION("""COMPUTED_VALUE"""),43825.0)</f>
        <v>43825</v>
      </c>
      <c r="K1444" s="133">
        <f>IFERROR(__xludf.DUMMYFUNCTION("""COMPUTED_VALUE"""),14.0)</f>
        <v>14</v>
      </c>
      <c r="L1444" s="133">
        <f>IFERROR(__xludf.DUMMYFUNCTION("""COMPUTED_VALUE"""),8.0)</f>
        <v>8</v>
      </c>
      <c r="M1444" s="133">
        <f>IFERROR(__xludf.DUMMYFUNCTION("""COMPUTED_VALUE"""),22.0)</f>
        <v>22</v>
      </c>
      <c r="N1444" s="152" t="str">
        <f>IFERROR(__xludf.DUMMYFUNCTION("""COMPUTED_VALUE"""),"Model 3 LR AWD")</f>
        <v>Model 3 LR AWD</v>
      </c>
      <c r="O1444" s="152" t="str">
        <f>IFERROR(__xludf.DUMMYFUNCTION("""COMPUTED_VALUE"""),"Deep Blue Metallic")</f>
        <v>Deep Blue Metallic</v>
      </c>
      <c r="P1444" s="153" t="str">
        <f>IFERROR(__xludf.DUMMYFUNCTION("""COMPUTED_VALUE"""),"18 inch Aero")</f>
        <v>18 inch Aero</v>
      </c>
      <c r="Q1444" s="152" t="str">
        <f>IFERROR(__xludf.DUMMYFUNCTION("""COMPUTED_VALUE"""),"Black seats")</f>
        <v>Black seats</v>
      </c>
      <c r="R1444" s="149" t="str">
        <f>IFERROR(__xludf.DUMMYFUNCTION("""COMPUTED_VALUE"""),"Full Self-Driving")</f>
        <v>Full Self-Driving</v>
      </c>
      <c r="S1444" s="149"/>
      <c r="T1444" s="145"/>
      <c r="U1444" s="145"/>
      <c r="V1444" s="145"/>
      <c r="W1444" s="136"/>
      <c r="X1444" s="137" t="str">
        <f>IFERROR(__xludf.DUMMYFUNCTION("""COMPUTED_VALUE"""),"Very Good")</f>
        <v>Very Good</v>
      </c>
      <c r="Y1444" s="138" t="str">
        <f>IFERROR(__xludf.DUMMYFUNCTION("""COMPUTED_VALUE"""),"Very Good")</f>
        <v>Very Good</v>
      </c>
      <c r="Z1444" s="138" t="str">
        <f>IFERROR(__xludf.DUMMYFUNCTION("""COMPUTED_VALUE"""),"Very Good")</f>
        <v>Very Good</v>
      </c>
      <c r="AA1444" s="138" t="str">
        <f>IFERROR(__xludf.DUMMYFUNCTION("""COMPUTED_VALUE"""),"Fair")</f>
        <v>Fair</v>
      </c>
      <c r="AB1444" s="138" t="str">
        <f>IFERROR(__xludf.DUMMYFUNCTION("""COMPUTED_VALUE"""),"Good")</f>
        <v>Good</v>
      </c>
      <c r="AC1444" s="139"/>
      <c r="AD1444" s="139"/>
      <c r="AE1444" s="139"/>
      <c r="AF1444" s="140"/>
      <c r="AG1444" s="136"/>
      <c r="AH1444" s="157">
        <f>IFERROR(__xludf.DUMMYFUNCTION("""COMPUTED_VALUE"""),43831.44939944445)</f>
        <v>43831.4494</v>
      </c>
      <c r="AI1444" s="138"/>
      <c r="AJ1444" s="138"/>
      <c r="AK1444" s="138"/>
      <c r="AL1444" s="142"/>
    </row>
    <row r="1445" ht="20.25" customHeight="1">
      <c r="A1445" s="155" t="str">
        <f>IFERROR(__xludf.DUMMYFUNCTION("""COMPUTED_VALUE"""),"cx")</f>
        <v>cx</v>
      </c>
      <c r="B1445" s="149" t="str">
        <f>IFERROR(__xludf.DUMMYFUNCTION("""COMPUTED_VALUE"""),"Vancouver")</f>
        <v>Vancouver</v>
      </c>
      <c r="C1445" s="149" t="str">
        <f>IFERROR(__xludf.DUMMYFUNCTION("""COMPUTED_VALUE"""),"BC")</f>
        <v>BC</v>
      </c>
      <c r="D1445" s="149" t="str">
        <f>IFERROR(__xludf.DUMMYFUNCTION("""COMPUTED_VALUE"""),"Canada")</f>
        <v>Canada</v>
      </c>
      <c r="E1445" s="156">
        <f>IFERROR(__xludf.DUMMYFUNCTION("""COMPUTED_VALUE"""),43803.0)</f>
        <v>43803</v>
      </c>
      <c r="F1445" s="129">
        <f>IFERROR(__xludf.DUMMYFUNCTION("""COMPUTED_VALUE"""),43820.0)</f>
        <v>43820</v>
      </c>
      <c r="G1445" s="154"/>
      <c r="H1445" s="131">
        <f>IFERROR(__xludf.DUMMYFUNCTION("""COMPUTED_VALUE"""),604055.0)</f>
        <v>604055</v>
      </c>
      <c r="I1445" s="144"/>
      <c r="J1445" s="129">
        <f>IFERROR(__xludf.DUMMYFUNCTION("""COMPUTED_VALUE"""),43826.0)</f>
        <v>43826</v>
      </c>
      <c r="K1445" s="133">
        <f>IFERROR(__xludf.DUMMYFUNCTION("""COMPUTED_VALUE"""),17.0)</f>
        <v>17</v>
      </c>
      <c r="L1445" s="133">
        <f>IFERROR(__xludf.DUMMYFUNCTION("""COMPUTED_VALUE"""),6.0)</f>
        <v>6</v>
      </c>
      <c r="M1445" s="133">
        <f>IFERROR(__xludf.DUMMYFUNCTION("""COMPUTED_VALUE"""),23.0)</f>
        <v>23</v>
      </c>
      <c r="N1445" s="152" t="str">
        <f>IFERROR(__xludf.DUMMYFUNCTION("""COMPUTED_VALUE"""),"Model 3 SR+")</f>
        <v>Model 3 SR+</v>
      </c>
      <c r="O1445" s="152" t="str">
        <f>IFERROR(__xludf.DUMMYFUNCTION("""COMPUTED_VALUE"""),"Pearl White Multi-Coat")</f>
        <v>Pearl White Multi-Coat</v>
      </c>
      <c r="P1445" s="153" t="str">
        <f>IFERROR(__xludf.DUMMYFUNCTION("""COMPUTED_VALUE"""),"18 inch Aero")</f>
        <v>18 inch Aero</v>
      </c>
      <c r="Q1445" s="152" t="str">
        <f>IFERROR(__xludf.DUMMYFUNCTION("""COMPUTED_VALUE"""),"White seats")</f>
        <v>White seats</v>
      </c>
      <c r="R1445" s="149" t="str">
        <f>IFERROR(__xludf.DUMMYFUNCTION("""COMPUTED_VALUE"""),"Autopilot")</f>
        <v>Autopilot</v>
      </c>
      <c r="S1445" s="149"/>
      <c r="T1445" s="145"/>
      <c r="U1445" s="145"/>
      <c r="V1445" s="145"/>
      <c r="W1445" s="136"/>
      <c r="X1445" s="137" t="str">
        <f>IFERROR(__xludf.DUMMYFUNCTION("""COMPUTED_VALUE"""),"Excellent")</f>
        <v>Excellent</v>
      </c>
      <c r="Y1445" s="138" t="str">
        <f>IFERROR(__xludf.DUMMYFUNCTION("""COMPUTED_VALUE"""),"Excellent")</f>
        <v>Excellent</v>
      </c>
      <c r="Z1445" s="138" t="str">
        <f>IFERROR(__xludf.DUMMYFUNCTION("""COMPUTED_VALUE"""),"Excellent")</f>
        <v>Excellent</v>
      </c>
      <c r="AA1445" s="138" t="str">
        <f>IFERROR(__xludf.DUMMYFUNCTION("""COMPUTED_VALUE"""),"Excellent")</f>
        <v>Excellent</v>
      </c>
      <c r="AB1445" s="138" t="str">
        <f>IFERROR(__xludf.DUMMYFUNCTION("""COMPUTED_VALUE"""),"Excellent")</f>
        <v>Excellent</v>
      </c>
      <c r="AC1445" s="139"/>
      <c r="AD1445" s="139"/>
      <c r="AE1445" s="139"/>
      <c r="AF1445" s="140"/>
      <c r="AG1445" s="136" t="str">
        <f>IFERROR(__xludf.DUMMYFUNCTION("""COMPUTED_VALUE"""),"vin found in source")</f>
        <v>vin found in source</v>
      </c>
      <c r="AH1445" s="157">
        <f>IFERROR(__xludf.DUMMYFUNCTION("""COMPUTED_VALUE"""),43833.591948622685)</f>
        <v>43833.59195</v>
      </c>
      <c r="AI1445" s="138"/>
      <c r="AJ1445" s="138"/>
      <c r="AK1445" s="138"/>
      <c r="AL1445" s="142"/>
    </row>
    <row r="1446" ht="20.25" customHeight="1">
      <c r="A1446" s="155" t="str">
        <f>IFERROR(__xludf.DUMMYFUNCTION("""COMPUTED_VALUE"""),"lkmad")</f>
        <v>lkmad</v>
      </c>
      <c r="B1446" s="149" t="str">
        <f>IFERROR(__xludf.DUMMYFUNCTION("""COMPUTED_VALUE"""),"Sacramento")</f>
        <v>Sacramento</v>
      </c>
      <c r="C1446" s="149" t="str">
        <f>IFERROR(__xludf.DUMMYFUNCTION("""COMPUTED_VALUE"""),"CA")</f>
        <v>CA</v>
      </c>
      <c r="D1446" s="149" t="str">
        <f>IFERROR(__xludf.DUMMYFUNCTION("""COMPUTED_VALUE"""),"USA")</f>
        <v>USA</v>
      </c>
      <c r="E1446" s="156">
        <f>IFERROR(__xludf.DUMMYFUNCTION("""COMPUTED_VALUE"""),43803.0)</f>
        <v>43803</v>
      </c>
      <c r="F1446" s="129">
        <f>IFERROR(__xludf.DUMMYFUNCTION("""COMPUTED_VALUE"""),43829.0)</f>
        <v>43829</v>
      </c>
      <c r="G1446" s="154"/>
      <c r="H1446" s="131">
        <f>IFERROR(__xludf.DUMMYFUNCTION("""COMPUTED_VALUE"""),644875.0)</f>
        <v>644875</v>
      </c>
      <c r="I1446" s="144"/>
      <c r="J1446" s="129">
        <f>IFERROR(__xludf.DUMMYFUNCTION("""COMPUTED_VALUE"""),43830.0)</f>
        <v>43830</v>
      </c>
      <c r="K1446" s="133">
        <f>IFERROR(__xludf.DUMMYFUNCTION("""COMPUTED_VALUE"""),26.0)</f>
        <v>26</v>
      </c>
      <c r="L1446" s="133">
        <f>IFERROR(__xludf.DUMMYFUNCTION("""COMPUTED_VALUE"""),1.0)</f>
        <v>1</v>
      </c>
      <c r="M1446" s="133">
        <f>IFERROR(__xludf.DUMMYFUNCTION("""COMPUTED_VALUE"""),27.0)</f>
        <v>27</v>
      </c>
      <c r="N1446" s="152" t="str">
        <f>IFERROR(__xludf.DUMMYFUNCTION("""COMPUTED_VALUE"""),"Model 3 SR+")</f>
        <v>Model 3 SR+</v>
      </c>
      <c r="O1446" s="152" t="str">
        <f>IFERROR(__xludf.DUMMYFUNCTION("""COMPUTED_VALUE"""),"Pearl White Multi-Coat")</f>
        <v>Pearl White Multi-Coat</v>
      </c>
      <c r="P1446" s="153" t="str">
        <f>IFERROR(__xludf.DUMMYFUNCTION("""COMPUTED_VALUE"""),"18 inch Aero")</f>
        <v>18 inch Aero</v>
      </c>
      <c r="Q1446" s="152" t="str">
        <f>IFERROR(__xludf.DUMMYFUNCTION("""COMPUTED_VALUE"""),"Black seats")</f>
        <v>Black seats</v>
      </c>
      <c r="R1446" s="149" t="str">
        <f>IFERROR(__xludf.DUMMYFUNCTION("""COMPUTED_VALUE"""),"Full Self-Driving")</f>
        <v>Full Self-Driving</v>
      </c>
      <c r="S1446" s="149"/>
      <c r="T1446" s="145"/>
      <c r="U1446" s="145"/>
      <c r="V1446" s="145"/>
      <c r="W1446" s="136"/>
      <c r="X1446" s="137" t="str">
        <f>IFERROR(__xludf.DUMMYFUNCTION("""COMPUTED_VALUE"""),"Excellent")</f>
        <v>Excellent</v>
      </c>
      <c r="Y1446" s="138" t="str">
        <f>IFERROR(__xludf.DUMMYFUNCTION("""COMPUTED_VALUE"""),"Excellent")</f>
        <v>Excellent</v>
      </c>
      <c r="Z1446" s="138" t="str">
        <f>IFERROR(__xludf.DUMMYFUNCTION("""COMPUTED_VALUE"""),"Good")</f>
        <v>Good</v>
      </c>
      <c r="AA1446" s="138" t="str">
        <f>IFERROR(__xludf.DUMMYFUNCTION("""COMPUTED_VALUE"""),"Good")</f>
        <v>Good</v>
      </c>
      <c r="AB1446" s="138" t="str">
        <f>IFERROR(__xludf.DUMMYFUNCTION("""COMPUTED_VALUE"""),"Good")</f>
        <v>Good</v>
      </c>
      <c r="AC1446" s="139">
        <f>IFERROR(__xludf.DUMMYFUNCTION("""COMPUTED_VALUE"""),1.0)</f>
        <v>1</v>
      </c>
      <c r="AD1446" s="139"/>
      <c r="AE1446" s="139"/>
      <c r="AF1446" s="140"/>
      <c r="AG1446" s="136" t="str">
        <f>IFERROR(__xludf.DUMMYFUNCTION("""COMPUTED_VALUE"""),"Matched to 1 VIN then changed when sure deal identified rather than the possible delivery before 12/31 VIN I first received. Took delivery at 8 pm - 2 scrapes/dents on lower front bumper that were ID'd and photgraphed for service. A few adhesive marks rem"&amp;"oved. Good experience at the end. ")</f>
        <v>Matched to 1 VIN then changed when sure deal identified rather than the possible delivery before 12/31 VIN I first received. Took delivery at 8 pm - 2 scrapes/dents on lower front bumper that were ID'd and photgraphed for service. A few adhesive marks removed. Good experience at the end. </v>
      </c>
      <c r="AH1446" s="157">
        <f>IFERROR(__xludf.DUMMYFUNCTION("""COMPUTED_VALUE"""),43830.46137648148)</f>
        <v>43830.46138</v>
      </c>
      <c r="AI1446" s="138"/>
      <c r="AJ1446" s="138"/>
      <c r="AK1446" s="138"/>
      <c r="AL1446" s="142"/>
    </row>
    <row r="1447" ht="20.25" customHeight="1">
      <c r="A1447" s="155" t="str">
        <f>IFERROR(__xludf.DUMMYFUNCTION("""COMPUTED_VALUE"""),"smithc21")</f>
        <v>smithc21</v>
      </c>
      <c r="B1447" s="149" t="str">
        <f>IFERROR(__xludf.DUMMYFUNCTION("""COMPUTED_VALUE"""),"Laguna Niguel")</f>
        <v>Laguna Niguel</v>
      </c>
      <c r="C1447" s="149" t="str">
        <f>IFERROR(__xludf.DUMMYFUNCTION("""COMPUTED_VALUE"""),"CA")</f>
        <v>CA</v>
      </c>
      <c r="D1447" s="149" t="str">
        <f>IFERROR(__xludf.DUMMYFUNCTION("""COMPUTED_VALUE"""),"USA")</f>
        <v>USA</v>
      </c>
      <c r="E1447" s="156">
        <f>IFERROR(__xludf.DUMMYFUNCTION("""COMPUTED_VALUE"""),43803.0)</f>
        <v>43803</v>
      </c>
      <c r="F1447" s="129">
        <f>IFERROR(__xludf.DUMMYFUNCTION("""COMPUTED_VALUE"""),43803.0)</f>
        <v>43803</v>
      </c>
      <c r="G1447" s="154"/>
      <c r="H1447" s="131">
        <f>IFERROR(__xludf.DUMMYFUNCTION("""COMPUTED_VALUE"""),627652.0)</f>
        <v>627652</v>
      </c>
      <c r="I1447" s="144"/>
      <c r="J1447" s="129">
        <f>IFERROR(__xludf.DUMMYFUNCTION("""COMPUTED_VALUE"""),43811.0)</f>
        <v>43811</v>
      </c>
      <c r="K1447" s="133">
        <f>IFERROR(__xludf.DUMMYFUNCTION("""COMPUTED_VALUE"""),0.0)</f>
        <v>0</v>
      </c>
      <c r="L1447" s="133">
        <f>IFERROR(__xludf.DUMMYFUNCTION("""COMPUTED_VALUE"""),8.0)</f>
        <v>8</v>
      </c>
      <c r="M1447" s="133">
        <f>IFERROR(__xludf.DUMMYFUNCTION("""COMPUTED_VALUE"""),8.0)</f>
        <v>8</v>
      </c>
      <c r="N1447" s="152" t="str">
        <f>IFERROR(__xludf.DUMMYFUNCTION("""COMPUTED_VALUE"""),"Model 3 Performance")</f>
        <v>Model 3 Performance</v>
      </c>
      <c r="O1447" s="152" t="str">
        <f>IFERROR(__xludf.DUMMYFUNCTION("""COMPUTED_VALUE"""),"Pearl White Multi-Coat")</f>
        <v>Pearl White Multi-Coat</v>
      </c>
      <c r="P1447" s="153" t="str">
        <f>IFERROR(__xludf.DUMMYFUNCTION("""COMPUTED_VALUE"""),"19 inch Sport")</f>
        <v>19 inch Sport</v>
      </c>
      <c r="Q1447" s="152" t="str">
        <f>IFERROR(__xludf.DUMMYFUNCTION("""COMPUTED_VALUE"""),"Black seats")</f>
        <v>Black seats</v>
      </c>
      <c r="R1447" s="149" t="str">
        <f>IFERROR(__xludf.DUMMYFUNCTION("""COMPUTED_VALUE"""),"Autopilot")</f>
        <v>Autopilot</v>
      </c>
      <c r="S1447" s="149"/>
      <c r="T1447" s="145"/>
      <c r="U1447" s="145"/>
      <c r="V1447" s="145"/>
      <c r="W1447" s="136"/>
      <c r="X1447" s="137" t="str">
        <f>IFERROR(__xludf.DUMMYFUNCTION("""COMPUTED_VALUE"""),"Very Good")</f>
        <v>Very Good</v>
      </c>
      <c r="Y1447" s="138" t="str">
        <f>IFERROR(__xludf.DUMMYFUNCTION("""COMPUTED_VALUE"""),"Very Good")</f>
        <v>Very Good</v>
      </c>
      <c r="Z1447" s="138" t="str">
        <f>IFERROR(__xludf.DUMMYFUNCTION("""COMPUTED_VALUE"""),"Good")</f>
        <v>Good</v>
      </c>
      <c r="AA1447" s="138" t="str">
        <f>IFERROR(__xludf.DUMMYFUNCTION("""COMPUTED_VALUE"""),"Very Good")</f>
        <v>Very Good</v>
      </c>
      <c r="AB1447" s="138" t="str">
        <f>IFERROR(__xludf.DUMMYFUNCTION("""COMPUTED_VALUE"""),"Very Good")</f>
        <v>Very Good</v>
      </c>
      <c r="AC1447" s="139">
        <f>IFERROR(__xludf.DUMMYFUNCTION("""COMPUTED_VALUE"""),1.0)</f>
        <v>1</v>
      </c>
      <c r="AD1447" s="139">
        <f>IFERROR(__xludf.DUMMYFUNCTION("""COMPUTED_VALUE"""),0.0)</f>
        <v>0</v>
      </c>
      <c r="AE1447" s="139">
        <f>IFERROR(__xludf.DUMMYFUNCTION("""COMPUTED_VALUE"""),0.0)</f>
        <v>0</v>
      </c>
      <c r="AF1447" s="140"/>
      <c r="AG1447" s="136" t="str">
        <f>IFERROR(__xludf.DUMMYFUNCTION("""COMPUTED_VALUE"""),"Switched to Model 3 Sleeper, Still waiting for second 3, VIN in source code")</f>
        <v>Switched to Model 3 Sleeper, Still waiting for second 3, VIN in source code</v>
      </c>
      <c r="AH1447" s="157">
        <f>IFERROR(__xludf.DUMMYFUNCTION("""COMPUTED_VALUE"""),43814.72862241898)</f>
        <v>43814.72862</v>
      </c>
      <c r="AI1447" s="138"/>
      <c r="AJ1447" s="138"/>
      <c r="AK1447" s="138"/>
      <c r="AL1447" s="142"/>
    </row>
    <row r="1448" ht="20.25" customHeight="1">
      <c r="A1448" s="155" t="str">
        <f>IFERROR(__xludf.DUMMYFUNCTION("""COMPUTED_VALUE"""),"TeslaRod")</f>
        <v>TeslaRod</v>
      </c>
      <c r="B1448" s="149" t="str">
        <f>IFERROR(__xludf.DUMMYFUNCTION("""COMPUTED_VALUE"""),"Bellingham")</f>
        <v>Bellingham</v>
      </c>
      <c r="C1448" s="149" t="str">
        <f>IFERROR(__xludf.DUMMYFUNCTION("""COMPUTED_VALUE"""),"WA")</f>
        <v>WA</v>
      </c>
      <c r="D1448" s="149" t="str">
        <f>IFERROR(__xludf.DUMMYFUNCTION("""COMPUTED_VALUE"""),"USA")</f>
        <v>USA</v>
      </c>
      <c r="E1448" s="156">
        <f>IFERROR(__xludf.DUMMYFUNCTION("""COMPUTED_VALUE"""),43803.0)</f>
        <v>43803</v>
      </c>
      <c r="F1448" s="129">
        <f>IFERROR(__xludf.DUMMYFUNCTION("""COMPUTED_VALUE"""),43814.0)</f>
        <v>43814</v>
      </c>
      <c r="G1448" s="154"/>
      <c r="H1448" s="131">
        <f>IFERROR(__xludf.DUMMYFUNCTION("""COMPUTED_VALUE"""),624592.0)</f>
        <v>624592</v>
      </c>
      <c r="I1448" s="144" t="str">
        <f>IFERROR(__xludf.DUMMYFUNCTION("""COMPUTED_VALUE"""),"12/19")</f>
        <v>12/19</v>
      </c>
      <c r="J1448" s="129">
        <f>IFERROR(__xludf.DUMMYFUNCTION("""COMPUTED_VALUE"""),43818.0)</f>
        <v>43818</v>
      </c>
      <c r="K1448" s="133">
        <f>IFERROR(__xludf.DUMMYFUNCTION("""COMPUTED_VALUE"""),11.0)</f>
        <v>11</v>
      </c>
      <c r="L1448" s="133">
        <f>IFERROR(__xludf.DUMMYFUNCTION("""COMPUTED_VALUE"""),4.0)</f>
        <v>4</v>
      </c>
      <c r="M1448" s="133">
        <f>IFERROR(__xludf.DUMMYFUNCTION("""COMPUTED_VALUE"""),15.0)</f>
        <v>15</v>
      </c>
      <c r="N1448" s="152" t="str">
        <f>IFERROR(__xludf.DUMMYFUNCTION("""COMPUTED_VALUE"""),"Model 3 Performance")</f>
        <v>Model 3 Performance</v>
      </c>
      <c r="O1448" s="152" t="str">
        <f>IFERROR(__xludf.DUMMYFUNCTION("""COMPUTED_VALUE"""),"Deep Blue Metallic")</f>
        <v>Deep Blue Metallic</v>
      </c>
      <c r="P1448" s="153" t="str">
        <f>IFERROR(__xludf.DUMMYFUNCTION("""COMPUTED_VALUE"""),"20 inch Sport")</f>
        <v>20 inch Sport</v>
      </c>
      <c r="Q1448" s="152" t="str">
        <f>IFERROR(__xludf.DUMMYFUNCTION("""COMPUTED_VALUE"""),"White seats")</f>
        <v>White seats</v>
      </c>
      <c r="R1448" s="149" t="str">
        <f>IFERROR(__xludf.DUMMYFUNCTION("""COMPUTED_VALUE"""),"Full Self-Driving")</f>
        <v>Full Self-Driving</v>
      </c>
      <c r="S1448" s="149"/>
      <c r="T1448" s="145"/>
      <c r="U1448" s="145"/>
      <c r="V1448" s="145"/>
      <c r="W1448" s="136"/>
      <c r="X1448" s="137" t="str">
        <f>IFERROR(__xludf.DUMMYFUNCTION("""COMPUTED_VALUE"""),"Excellent")</f>
        <v>Excellent</v>
      </c>
      <c r="Y1448" s="138" t="str">
        <f>IFERROR(__xludf.DUMMYFUNCTION("""COMPUTED_VALUE"""),"Excellent")</f>
        <v>Excellent</v>
      </c>
      <c r="Z1448" s="138" t="str">
        <f>IFERROR(__xludf.DUMMYFUNCTION("""COMPUTED_VALUE"""),"Excellent")</f>
        <v>Excellent</v>
      </c>
      <c r="AA1448" s="138" t="str">
        <f>IFERROR(__xludf.DUMMYFUNCTION("""COMPUTED_VALUE"""),"Excellent")</f>
        <v>Excellent</v>
      </c>
      <c r="AB1448" s="138" t="str">
        <f>IFERROR(__xludf.DUMMYFUNCTION("""COMPUTED_VALUE"""),"Excellent")</f>
        <v>Excellent</v>
      </c>
      <c r="AC1448" s="139">
        <f>IFERROR(__xludf.DUMMYFUNCTION("""COMPUTED_VALUE"""),1.0)</f>
        <v>1</v>
      </c>
      <c r="AD1448" s="139">
        <f>IFERROR(__xludf.DUMMYFUNCTION("""COMPUTED_VALUE"""),0.0)</f>
        <v>0</v>
      </c>
      <c r="AE1448" s="139"/>
      <c r="AF1448" s="140"/>
      <c r="AG1448" s="136"/>
      <c r="AH1448" s="157">
        <f>IFERROR(__xludf.DUMMYFUNCTION("""COMPUTED_VALUE"""),43836.883568530095)</f>
        <v>43836.88357</v>
      </c>
      <c r="AI1448" s="138"/>
      <c r="AJ1448" s="138"/>
      <c r="AK1448" s="138"/>
      <c r="AL1448" s="142"/>
    </row>
    <row r="1449" ht="20.25" customHeight="1">
      <c r="A1449" s="155" t="str">
        <f>IFERROR(__xludf.DUMMYFUNCTION("""COMPUTED_VALUE"""),"TeslaTime!")</f>
        <v>TeslaTime!</v>
      </c>
      <c r="B1449" s="149" t="str">
        <f>IFERROR(__xludf.DUMMYFUNCTION("""COMPUTED_VALUE"""),"Tracy")</f>
        <v>Tracy</v>
      </c>
      <c r="C1449" s="149" t="str">
        <f>IFERROR(__xludf.DUMMYFUNCTION("""COMPUTED_VALUE"""),"CA")</f>
        <v>CA</v>
      </c>
      <c r="D1449" s="149" t="str">
        <f>IFERROR(__xludf.DUMMYFUNCTION("""COMPUTED_VALUE"""),"USA")</f>
        <v>USA</v>
      </c>
      <c r="E1449" s="156">
        <f>IFERROR(__xludf.DUMMYFUNCTION("""COMPUTED_VALUE"""),43803.0)</f>
        <v>43803</v>
      </c>
      <c r="F1449" s="129">
        <f>IFERROR(__xludf.DUMMYFUNCTION("""COMPUTED_VALUE"""),43822.0)</f>
        <v>43822</v>
      </c>
      <c r="G1449" s="154"/>
      <c r="H1449" s="131">
        <f>IFERROR(__xludf.DUMMYFUNCTION("""COMPUTED_VALUE"""),641355.0)</f>
        <v>641355</v>
      </c>
      <c r="I1449" s="144" t="str">
        <f>IFERROR(__xludf.DUMMYFUNCTION("""COMPUTED_VALUE"""),"12/19")</f>
        <v>12/19</v>
      </c>
      <c r="J1449" s="129">
        <f>IFERROR(__xludf.DUMMYFUNCTION("""COMPUTED_VALUE"""),43825.0)</f>
        <v>43825</v>
      </c>
      <c r="K1449" s="133">
        <f>IFERROR(__xludf.DUMMYFUNCTION("""COMPUTED_VALUE"""),19.0)</f>
        <v>19</v>
      </c>
      <c r="L1449" s="133">
        <f>IFERROR(__xludf.DUMMYFUNCTION("""COMPUTED_VALUE"""),3.0)</f>
        <v>3</v>
      </c>
      <c r="M1449" s="133">
        <f>IFERROR(__xludf.DUMMYFUNCTION("""COMPUTED_VALUE"""),22.0)</f>
        <v>22</v>
      </c>
      <c r="N1449" s="152" t="str">
        <f>IFERROR(__xludf.DUMMYFUNCTION("""COMPUTED_VALUE"""),"Model 3 Performance")</f>
        <v>Model 3 Performance</v>
      </c>
      <c r="O1449" s="152" t="str">
        <f>IFERROR(__xludf.DUMMYFUNCTION("""COMPUTED_VALUE"""),"Pearl White Multi-Coat")</f>
        <v>Pearl White Multi-Coat</v>
      </c>
      <c r="P1449" s="153" t="str">
        <f>IFERROR(__xludf.DUMMYFUNCTION("""COMPUTED_VALUE"""),"20 inch Sport")</f>
        <v>20 inch Sport</v>
      </c>
      <c r="Q1449" s="152" t="str">
        <f>IFERROR(__xludf.DUMMYFUNCTION("""COMPUTED_VALUE"""),"Black seats")</f>
        <v>Black seats</v>
      </c>
      <c r="R1449" s="149" t="str">
        <f>IFERROR(__xludf.DUMMYFUNCTION("""COMPUTED_VALUE"""),"Autopilot")</f>
        <v>Autopilot</v>
      </c>
      <c r="S1449" s="149"/>
      <c r="T1449" s="145"/>
      <c r="U1449" s="145"/>
      <c r="V1449" s="145"/>
      <c r="W1449" s="136"/>
      <c r="X1449" s="137" t="str">
        <f>IFERROR(__xludf.DUMMYFUNCTION("""COMPUTED_VALUE"""),"Very Good")</f>
        <v>Very Good</v>
      </c>
      <c r="Y1449" s="138" t="str">
        <f>IFERROR(__xludf.DUMMYFUNCTION("""COMPUTED_VALUE"""),"Excellent")</f>
        <v>Excellent</v>
      </c>
      <c r="Z1449" s="138" t="str">
        <f>IFERROR(__xludf.DUMMYFUNCTION("""COMPUTED_VALUE"""),"Very Good")</f>
        <v>Very Good</v>
      </c>
      <c r="AA1449" s="138" t="str">
        <f>IFERROR(__xludf.DUMMYFUNCTION("""COMPUTED_VALUE"""),"Good")</f>
        <v>Good</v>
      </c>
      <c r="AB1449" s="138" t="str">
        <f>IFERROR(__xludf.DUMMYFUNCTION("""COMPUTED_VALUE"""),"Excellent")</f>
        <v>Excellent</v>
      </c>
      <c r="AC1449" s="139">
        <f>IFERROR(__xludf.DUMMYFUNCTION("""COMPUTED_VALUE"""),0.0)</f>
        <v>0</v>
      </c>
      <c r="AD1449" s="139">
        <f>IFERROR(__xludf.DUMMYFUNCTION("""COMPUTED_VALUE"""),0.0)</f>
        <v>0</v>
      </c>
      <c r="AE1449" s="139">
        <f>IFERROR(__xludf.DUMMYFUNCTION("""COMPUTED_VALUE"""),0.0)</f>
        <v>0</v>
      </c>
      <c r="AF1449" s="140"/>
      <c r="AG1449" s="136"/>
      <c r="AH1449" s="157">
        <f>IFERROR(__xludf.DUMMYFUNCTION("""COMPUTED_VALUE"""),43870.744532916666)</f>
        <v>43870.74453</v>
      </c>
      <c r="AI1449" s="138"/>
      <c r="AJ1449" s="138"/>
      <c r="AK1449" s="138"/>
      <c r="AL1449" s="142"/>
    </row>
    <row r="1450" ht="20.25" customHeight="1">
      <c r="A1450" s="155" t="str">
        <f>IFERROR(__xludf.DUMMYFUNCTION("""COMPUTED_VALUE"""),"Teslinator")</f>
        <v>Teslinator</v>
      </c>
      <c r="B1450" s="149" t="str">
        <f>IFERROR(__xludf.DUMMYFUNCTION("""COMPUTED_VALUE"""),"Portland")</f>
        <v>Portland</v>
      </c>
      <c r="C1450" s="149" t="str">
        <f>IFERROR(__xludf.DUMMYFUNCTION("""COMPUTED_VALUE"""),"OR")</f>
        <v>OR</v>
      </c>
      <c r="D1450" s="149" t="str">
        <f>IFERROR(__xludf.DUMMYFUNCTION("""COMPUTED_VALUE"""),"USA")</f>
        <v>USA</v>
      </c>
      <c r="E1450" s="156">
        <f>IFERROR(__xludf.DUMMYFUNCTION("""COMPUTED_VALUE"""),43803.0)</f>
        <v>43803</v>
      </c>
      <c r="F1450" s="129">
        <f>IFERROR(__xludf.DUMMYFUNCTION("""COMPUTED_VALUE"""),43815.0)</f>
        <v>43815</v>
      </c>
      <c r="G1450" s="154"/>
      <c r="H1450" s="131">
        <f>IFERROR(__xludf.DUMMYFUNCTION("""COMPUTED_VALUE"""),624595.0)</f>
        <v>624595</v>
      </c>
      <c r="I1450" s="144" t="str">
        <f>IFERROR(__xludf.DUMMYFUNCTION("""COMPUTED_VALUE"""),"12/19")</f>
        <v>12/19</v>
      </c>
      <c r="J1450" s="129">
        <f>IFERROR(__xludf.DUMMYFUNCTION("""COMPUTED_VALUE"""),43818.0)</f>
        <v>43818</v>
      </c>
      <c r="K1450" s="133">
        <f>IFERROR(__xludf.DUMMYFUNCTION("""COMPUTED_VALUE"""),12.0)</f>
        <v>12</v>
      </c>
      <c r="L1450" s="133">
        <f>IFERROR(__xludf.DUMMYFUNCTION("""COMPUTED_VALUE"""),3.0)</f>
        <v>3</v>
      </c>
      <c r="M1450" s="133">
        <f>IFERROR(__xludf.DUMMYFUNCTION("""COMPUTED_VALUE"""),15.0)</f>
        <v>15</v>
      </c>
      <c r="N1450" s="152" t="str">
        <f>IFERROR(__xludf.DUMMYFUNCTION("""COMPUTED_VALUE"""),"Model 3 Performance")</f>
        <v>Model 3 Performance</v>
      </c>
      <c r="O1450" s="152" t="str">
        <f>IFERROR(__xludf.DUMMYFUNCTION("""COMPUTED_VALUE"""),"Deep Blue Metallic")</f>
        <v>Deep Blue Metallic</v>
      </c>
      <c r="P1450" s="153" t="str">
        <f>IFERROR(__xludf.DUMMYFUNCTION("""COMPUTED_VALUE"""),"20 inch Sport")</f>
        <v>20 inch Sport</v>
      </c>
      <c r="Q1450" s="152" t="str">
        <f>IFERROR(__xludf.DUMMYFUNCTION("""COMPUTED_VALUE"""),"White seats")</f>
        <v>White seats</v>
      </c>
      <c r="R1450" s="149" t="str">
        <f>IFERROR(__xludf.DUMMYFUNCTION("""COMPUTED_VALUE"""),"Full Self-Driving")</f>
        <v>Full Self-Driving</v>
      </c>
      <c r="S1450" s="149"/>
      <c r="T1450" s="145"/>
      <c r="U1450" s="145"/>
      <c r="V1450" s="145"/>
      <c r="W1450" s="136"/>
      <c r="X1450" s="137" t="str">
        <f>IFERROR(__xludf.DUMMYFUNCTION("""COMPUTED_VALUE"""),"Excellent")</f>
        <v>Excellent</v>
      </c>
      <c r="Y1450" s="138" t="str">
        <f>IFERROR(__xludf.DUMMYFUNCTION("""COMPUTED_VALUE"""),"Excellent")</f>
        <v>Excellent</v>
      </c>
      <c r="Z1450" s="138" t="str">
        <f>IFERROR(__xludf.DUMMYFUNCTION("""COMPUTED_VALUE"""),"Very Good")</f>
        <v>Very Good</v>
      </c>
      <c r="AA1450" s="138" t="str">
        <f>IFERROR(__xludf.DUMMYFUNCTION("""COMPUTED_VALUE"""),"Excellent")</f>
        <v>Excellent</v>
      </c>
      <c r="AB1450" s="138" t="str">
        <f>IFERROR(__xludf.DUMMYFUNCTION("""COMPUTED_VALUE"""),"Excellent")</f>
        <v>Excellent</v>
      </c>
      <c r="AC1450" s="139">
        <f>IFERROR(__xludf.DUMMYFUNCTION("""COMPUTED_VALUE"""),0.0)</f>
        <v>0</v>
      </c>
      <c r="AD1450" s="139">
        <f>IFERROR(__xludf.DUMMYFUNCTION("""COMPUTED_VALUE"""),1.0)</f>
        <v>1</v>
      </c>
      <c r="AE1450" s="139">
        <f>IFERROR(__xludf.DUMMYFUNCTION("""COMPUTED_VALUE"""),0.0)</f>
        <v>0</v>
      </c>
      <c r="AF1450" s="140"/>
      <c r="AG1450" s="136"/>
      <c r="AH1450" s="157">
        <f>IFERROR(__xludf.DUMMYFUNCTION("""COMPUTED_VALUE"""),43843.42862368056)</f>
        <v>43843.42862</v>
      </c>
      <c r="AI1450" s="138"/>
      <c r="AJ1450" s="138"/>
      <c r="AK1450" s="138"/>
      <c r="AL1450" s="142"/>
    </row>
    <row r="1451" ht="20.25" customHeight="1">
      <c r="A1451" s="155" t="str">
        <f>IFERROR(__xludf.DUMMYFUNCTION("""COMPUTED_VALUE"""),"VAA123")</f>
        <v>VAA123</v>
      </c>
      <c r="B1451" s="149" t="str">
        <f>IFERROR(__xludf.DUMMYFUNCTION("""COMPUTED_VALUE"""),"Simi Valley")</f>
        <v>Simi Valley</v>
      </c>
      <c r="C1451" s="149" t="str">
        <f>IFERROR(__xludf.DUMMYFUNCTION("""COMPUTED_VALUE"""),"CA")</f>
        <v>CA</v>
      </c>
      <c r="D1451" s="149" t="str">
        <f>IFERROR(__xludf.DUMMYFUNCTION("""COMPUTED_VALUE"""),"USA")</f>
        <v>USA</v>
      </c>
      <c r="E1451" s="156">
        <f>IFERROR(__xludf.DUMMYFUNCTION("""COMPUTED_VALUE"""),43803.0)</f>
        <v>43803</v>
      </c>
      <c r="F1451" s="129">
        <f>IFERROR(__xludf.DUMMYFUNCTION("""COMPUTED_VALUE"""),43815.0)</f>
        <v>43815</v>
      </c>
      <c r="G1451" s="154"/>
      <c r="H1451" s="131">
        <f>IFERROR(__xludf.DUMMYFUNCTION("""COMPUTED_VALUE"""),619555.0)</f>
        <v>619555</v>
      </c>
      <c r="I1451" s="144" t="str">
        <f>IFERROR(__xludf.DUMMYFUNCTION("""COMPUTED_VALUE"""),"12/19")</f>
        <v>12/19</v>
      </c>
      <c r="J1451" s="129">
        <f>IFERROR(__xludf.DUMMYFUNCTION("""COMPUTED_VALUE"""),43822.0)</f>
        <v>43822</v>
      </c>
      <c r="K1451" s="133">
        <f>IFERROR(__xludf.DUMMYFUNCTION("""COMPUTED_VALUE"""),12.0)</f>
        <v>12</v>
      </c>
      <c r="L1451" s="133">
        <f>IFERROR(__xludf.DUMMYFUNCTION("""COMPUTED_VALUE"""),7.0)</f>
        <v>7</v>
      </c>
      <c r="M1451" s="133">
        <f>IFERROR(__xludf.DUMMYFUNCTION("""COMPUTED_VALUE"""),19.0)</f>
        <v>19</v>
      </c>
      <c r="N1451" s="152" t="str">
        <f>IFERROR(__xludf.DUMMYFUNCTION("""COMPUTED_VALUE"""),"Model 3 LR AWD")</f>
        <v>Model 3 LR AWD</v>
      </c>
      <c r="O1451" s="152" t="str">
        <f>IFERROR(__xludf.DUMMYFUNCTION("""COMPUTED_VALUE"""),"Pearl White Multi-Coat")</f>
        <v>Pearl White Multi-Coat</v>
      </c>
      <c r="P1451" s="153" t="str">
        <f>IFERROR(__xludf.DUMMYFUNCTION("""COMPUTED_VALUE"""),"18 inch Aero")</f>
        <v>18 inch Aero</v>
      </c>
      <c r="Q1451" s="152" t="str">
        <f>IFERROR(__xludf.DUMMYFUNCTION("""COMPUTED_VALUE"""),"Black seats")</f>
        <v>Black seats</v>
      </c>
      <c r="R1451" s="149" t="str">
        <f>IFERROR(__xludf.DUMMYFUNCTION("""COMPUTED_VALUE"""),"Full Self-Driving")</f>
        <v>Full Self-Driving</v>
      </c>
      <c r="S1451" s="149"/>
      <c r="T1451" s="145"/>
      <c r="U1451" s="145"/>
      <c r="V1451" s="145"/>
      <c r="W1451" s="136"/>
      <c r="X1451" s="137" t="str">
        <f>IFERROR(__xludf.DUMMYFUNCTION("""COMPUTED_VALUE"""),"Excellent")</f>
        <v>Excellent</v>
      </c>
      <c r="Y1451" s="138" t="str">
        <f>IFERROR(__xludf.DUMMYFUNCTION("""COMPUTED_VALUE"""),"Excellent")</f>
        <v>Excellent</v>
      </c>
      <c r="Z1451" s="138" t="str">
        <f>IFERROR(__xludf.DUMMYFUNCTION("""COMPUTED_VALUE"""),"Excellent")</f>
        <v>Excellent</v>
      </c>
      <c r="AA1451" s="138" t="str">
        <f>IFERROR(__xludf.DUMMYFUNCTION("""COMPUTED_VALUE"""),"Excellent")</f>
        <v>Excellent</v>
      </c>
      <c r="AB1451" s="138" t="str">
        <f>IFERROR(__xludf.DUMMYFUNCTION("""COMPUTED_VALUE"""),"Excellent")</f>
        <v>Excellent</v>
      </c>
      <c r="AC1451" s="139"/>
      <c r="AD1451" s="139"/>
      <c r="AE1451" s="139"/>
      <c r="AF1451" s="140"/>
      <c r="AG1451" s="136"/>
      <c r="AH1451" s="157">
        <f>IFERROR(__xludf.DUMMYFUNCTION("""COMPUTED_VALUE"""),43823.55397951389)</f>
        <v>43823.55398</v>
      </c>
      <c r="AI1451" s="138"/>
      <c r="AJ1451" s="138"/>
      <c r="AK1451" s="138"/>
      <c r="AL1451" s="142"/>
    </row>
    <row r="1452" ht="20.25" customHeight="1">
      <c r="A1452" s="155" t="str">
        <f>IFERROR(__xludf.DUMMYFUNCTION("""COMPUTED_VALUE"""),"kinger")</f>
        <v>kinger</v>
      </c>
      <c r="B1452" s="149" t="str">
        <f>IFERROR(__xludf.DUMMYFUNCTION("""COMPUTED_VALUE"""),"Raleigh ")</f>
        <v>Raleigh </v>
      </c>
      <c r="C1452" s="149" t="str">
        <f>IFERROR(__xludf.DUMMYFUNCTION("""COMPUTED_VALUE"""),"NC")</f>
        <v>NC</v>
      </c>
      <c r="D1452" s="149" t="str">
        <f>IFERROR(__xludf.DUMMYFUNCTION("""COMPUTED_VALUE"""),"USA")</f>
        <v>USA</v>
      </c>
      <c r="E1452" s="156">
        <f>IFERROR(__xludf.DUMMYFUNCTION("""COMPUTED_VALUE"""),43802.0)</f>
        <v>43802</v>
      </c>
      <c r="F1452" s="129">
        <f>IFERROR(__xludf.DUMMYFUNCTION("""COMPUTED_VALUE"""),42736.0)</f>
        <v>42736</v>
      </c>
      <c r="G1452" s="154"/>
      <c r="H1452" s="131">
        <f>IFERROR(__xludf.DUMMYFUNCTION("""COMPUTED_VALUE"""),611955.0)</f>
        <v>611955</v>
      </c>
      <c r="I1452" s="144"/>
      <c r="J1452" s="129">
        <f>IFERROR(__xludf.DUMMYFUNCTION("""COMPUTED_VALUE"""),43820.0)</f>
        <v>43820</v>
      </c>
      <c r="K1452" s="133"/>
      <c r="L1452" s="133"/>
      <c r="M1452" s="133">
        <f>IFERROR(__xludf.DUMMYFUNCTION("""COMPUTED_VALUE"""),18.0)</f>
        <v>18</v>
      </c>
      <c r="N1452" s="152" t="str">
        <f>IFERROR(__xludf.DUMMYFUNCTION("""COMPUTED_VALUE"""),"Model 3 SR+")</f>
        <v>Model 3 SR+</v>
      </c>
      <c r="O1452" s="152" t="str">
        <f>IFERROR(__xludf.DUMMYFUNCTION("""COMPUTED_VALUE"""),"Deep Blue Metallic")</f>
        <v>Deep Blue Metallic</v>
      </c>
      <c r="P1452" s="153" t="str">
        <f>IFERROR(__xludf.DUMMYFUNCTION("""COMPUTED_VALUE"""),"18 inch Aero")</f>
        <v>18 inch Aero</v>
      </c>
      <c r="Q1452" s="152" t="str">
        <f>IFERROR(__xludf.DUMMYFUNCTION("""COMPUTED_VALUE"""),"Black seats")</f>
        <v>Black seats</v>
      </c>
      <c r="R1452" s="149" t="str">
        <f>IFERROR(__xludf.DUMMYFUNCTION("""COMPUTED_VALUE"""),"Autopilot")</f>
        <v>Autopilot</v>
      </c>
      <c r="S1452" s="149"/>
      <c r="T1452" s="145"/>
      <c r="U1452" s="145"/>
      <c r="V1452" s="145"/>
      <c r="W1452" s="136"/>
      <c r="X1452" s="137" t="str">
        <f>IFERROR(__xludf.DUMMYFUNCTION("""COMPUTED_VALUE"""),"Excellent")</f>
        <v>Excellent</v>
      </c>
      <c r="Y1452" s="138" t="str">
        <f>IFERROR(__xludf.DUMMYFUNCTION("""COMPUTED_VALUE"""),"Excellent")</f>
        <v>Excellent</v>
      </c>
      <c r="Z1452" s="138" t="str">
        <f>IFERROR(__xludf.DUMMYFUNCTION("""COMPUTED_VALUE"""),"Excellent")</f>
        <v>Excellent</v>
      </c>
      <c r="AA1452" s="138" t="str">
        <f>IFERROR(__xludf.DUMMYFUNCTION("""COMPUTED_VALUE"""),"Poor")</f>
        <v>Poor</v>
      </c>
      <c r="AB1452" s="138" t="str">
        <f>IFERROR(__xludf.DUMMYFUNCTION("""COMPUTED_VALUE"""),"Very Good")</f>
        <v>Very Good</v>
      </c>
      <c r="AC1452" s="139"/>
      <c r="AD1452" s="139"/>
      <c r="AE1452" s="139"/>
      <c r="AF1452" s="140"/>
      <c r="AG1452" s="136" t="str">
        <f>IFERROR(__xludf.DUMMYFUNCTION("""COMPUTED_VALUE"""),"Was provided VIN on 12/7 but later taken away due to corporate transport limits of 250 miles")</f>
        <v>Was provided VIN on 12/7 but later taken away due to corporate transport limits of 250 miles</v>
      </c>
      <c r="AH1452" s="157">
        <f>IFERROR(__xludf.DUMMYFUNCTION("""COMPUTED_VALUE"""),43822.29431024305)</f>
        <v>43822.29431</v>
      </c>
      <c r="AI1452" s="138"/>
      <c r="AJ1452" s="138"/>
      <c r="AK1452" s="138"/>
      <c r="AL1452" s="142"/>
    </row>
    <row r="1453" ht="20.25" customHeight="1">
      <c r="A1453" s="155" t="str">
        <f>IFERROR(__xludf.DUMMYFUNCTION("""COMPUTED_VALUE"""),"nicolag")</f>
        <v>nicolag</v>
      </c>
      <c r="B1453" s="149" t="str">
        <f>IFERROR(__xludf.DUMMYFUNCTION("""COMPUTED_VALUE"""),"Long Island")</f>
        <v>Long Island</v>
      </c>
      <c r="C1453" s="149" t="str">
        <f>IFERROR(__xludf.DUMMYFUNCTION("""COMPUTED_VALUE"""),"NY")</f>
        <v>NY</v>
      </c>
      <c r="D1453" s="149" t="str">
        <f>IFERROR(__xludf.DUMMYFUNCTION("""COMPUTED_VALUE"""),"USA")</f>
        <v>USA</v>
      </c>
      <c r="E1453" s="156">
        <f>IFERROR(__xludf.DUMMYFUNCTION("""COMPUTED_VALUE"""),43801.0)</f>
        <v>43801</v>
      </c>
      <c r="F1453" s="129">
        <f>IFERROR(__xludf.DUMMYFUNCTION("""COMPUTED_VALUE"""),43805.0)</f>
        <v>43805</v>
      </c>
      <c r="G1453" s="154"/>
      <c r="H1453" s="131">
        <f>IFERROR(__xludf.DUMMYFUNCTION("""COMPUTED_VALUE"""),618955.0)</f>
        <v>618955</v>
      </c>
      <c r="I1453" s="144" t="str">
        <f>IFERROR(__xludf.DUMMYFUNCTION("""COMPUTED_VALUE"""),"12/19")</f>
        <v>12/19</v>
      </c>
      <c r="J1453" s="129">
        <f>IFERROR(__xludf.DUMMYFUNCTION("""COMPUTED_VALUE"""),43822.0)</f>
        <v>43822</v>
      </c>
      <c r="K1453" s="133">
        <f>IFERROR(__xludf.DUMMYFUNCTION("""COMPUTED_VALUE"""),4.0)</f>
        <v>4</v>
      </c>
      <c r="L1453" s="133">
        <f>IFERROR(__xludf.DUMMYFUNCTION("""COMPUTED_VALUE"""),17.0)</f>
        <v>17</v>
      </c>
      <c r="M1453" s="133">
        <f>IFERROR(__xludf.DUMMYFUNCTION("""COMPUTED_VALUE"""),21.0)</f>
        <v>21</v>
      </c>
      <c r="N1453" s="152" t="str">
        <f>IFERROR(__xludf.DUMMYFUNCTION("""COMPUTED_VALUE"""),"Model 3 LR AWD")</f>
        <v>Model 3 LR AWD</v>
      </c>
      <c r="O1453" s="152"/>
      <c r="P1453" s="153" t="str">
        <f>IFERROR(__xludf.DUMMYFUNCTION("""COMPUTED_VALUE"""),"18 inch Aero")</f>
        <v>18 inch Aero</v>
      </c>
      <c r="Q1453" s="152"/>
      <c r="R1453" s="149" t="str">
        <f>IFERROR(__xludf.DUMMYFUNCTION("""COMPUTED_VALUE"""),"Autopilot")</f>
        <v>Autopilot</v>
      </c>
      <c r="S1453" s="149"/>
      <c r="T1453" s="145"/>
      <c r="U1453" s="145"/>
      <c r="V1453" s="145"/>
      <c r="W1453" s="136"/>
      <c r="X1453" s="137" t="str">
        <f>IFERROR(__xludf.DUMMYFUNCTION("""COMPUTED_VALUE"""),"Very Good")</f>
        <v>Very Good</v>
      </c>
      <c r="Y1453" s="138" t="str">
        <f>IFERROR(__xludf.DUMMYFUNCTION("""COMPUTED_VALUE"""),"Excellent")</f>
        <v>Excellent</v>
      </c>
      <c r="Z1453" s="138" t="str">
        <f>IFERROR(__xludf.DUMMYFUNCTION("""COMPUTED_VALUE"""),"Excellent")</f>
        <v>Excellent</v>
      </c>
      <c r="AA1453" s="138" t="str">
        <f>IFERROR(__xludf.DUMMYFUNCTION("""COMPUTED_VALUE"""),"Very Good")</f>
        <v>Very Good</v>
      </c>
      <c r="AB1453" s="138" t="str">
        <f>IFERROR(__xludf.DUMMYFUNCTION("""COMPUTED_VALUE"""),"Very Good")</f>
        <v>Very Good</v>
      </c>
      <c r="AC1453" s="139"/>
      <c r="AD1453" s="139"/>
      <c r="AE1453" s="139"/>
      <c r="AF1453" s="140"/>
      <c r="AG1453" s="136"/>
      <c r="AH1453" s="157">
        <f>IFERROR(__xludf.DUMMYFUNCTION("""COMPUTED_VALUE"""),43827.60002756944)</f>
        <v>43827.60003</v>
      </c>
      <c r="AI1453" s="138"/>
      <c r="AJ1453" s="138"/>
      <c r="AK1453" s="138"/>
      <c r="AL1453" s="142"/>
    </row>
    <row r="1454" ht="20.25" customHeight="1">
      <c r="A1454" s="155" t="str">
        <f>IFERROR(__xludf.DUMMYFUNCTION("""COMPUTED_VALUE"""),"ocjosh")</f>
        <v>ocjosh</v>
      </c>
      <c r="B1454" s="149" t="str">
        <f>IFERROR(__xludf.DUMMYFUNCTION("""COMPUTED_VALUE"""),"Anaheim")</f>
        <v>Anaheim</v>
      </c>
      <c r="C1454" s="149" t="str">
        <f>IFERROR(__xludf.DUMMYFUNCTION("""COMPUTED_VALUE"""),"CA")</f>
        <v>CA</v>
      </c>
      <c r="D1454" s="149" t="str">
        <f>IFERROR(__xludf.DUMMYFUNCTION("""COMPUTED_VALUE"""),"USA")</f>
        <v>USA</v>
      </c>
      <c r="E1454" s="156">
        <f>IFERROR(__xludf.DUMMYFUNCTION("""COMPUTED_VALUE"""),43801.0)</f>
        <v>43801</v>
      </c>
      <c r="F1454" s="129">
        <f>IFERROR(__xludf.DUMMYFUNCTION("""COMPUTED_VALUE"""),43826.0)</f>
        <v>43826</v>
      </c>
      <c r="G1454" s="154"/>
      <c r="H1454" s="131"/>
      <c r="I1454" s="144" t="str">
        <f>IFERROR(__xludf.DUMMYFUNCTION("""COMPUTED_VALUE"""),"12/19")</f>
        <v>12/19</v>
      </c>
      <c r="J1454" s="129">
        <f>IFERROR(__xludf.DUMMYFUNCTION("""COMPUTED_VALUE"""),43829.0)</f>
        <v>43829</v>
      </c>
      <c r="K1454" s="133">
        <f>IFERROR(__xludf.DUMMYFUNCTION("""COMPUTED_VALUE"""),25.0)</f>
        <v>25</v>
      </c>
      <c r="L1454" s="133">
        <f>IFERROR(__xludf.DUMMYFUNCTION("""COMPUTED_VALUE"""),3.0)</f>
        <v>3</v>
      </c>
      <c r="M1454" s="133">
        <f>IFERROR(__xludf.DUMMYFUNCTION("""COMPUTED_VALUE"""),28.0)</f>
        <v>28</v>
      </c>
      <c r="N1454" s="152" t="str">
        <f>IFERROR(__xludf.DUMMYFUNCTION("""COMPUTED_VALUE"""),"Model 3 LR AWD")</f>
        <v>Model 3 LR AWD</v>
      </c>
      <c r="O1454" s="152" t="str">
        <f>IFERROR(__xludf.DUMMYFUNCTION("""COMPUTED_VALUE"""),"Pearl White Multi-Coat")</f>
        <v>Pearl White Multi-Coat</v>
      </c>
      <c r="P1454" s="153" t="str">
        <f>IFERROR(__xludf.DUMMYFUNCTION("""COMPUTED_VALUE"""),"19 inch Sport")</f>
        <v>19 inch Sport</v>
      </c>
      <c r="Q1454" s="152" t="str">
        <f>IFERROR(__xludf.DUMMYFUNCTION("""COMPUTED_VALUE"""),"Black seats")</f>
        <v>Black seats</v>
      </c>
      <c r="R1454" s="149" t="str">
        <f>IFERROR(__xludf.DUMMYFUNCTION("""COMPUTED_VALUE"""),"Autopilot")</f>
        <v>Autopilot</v>
      </c>
      <c r="S1454" s="149"/>
      <c r="T1454" s="145"/>
      <c r="U1454" s="145"/>
      <c r="V1454" s="145"/>
      <c r="W1454" s="136"/>
      <c r="X1454" s="137" t="str">
        <f>IFERROR(__xludf.DUMMYFUNCTION("""COMPUTED_VALUE"""),"Good")</f>
        <v>Good</v>
      </c>
      <c r="Y1454" s="138" t="str">
        <f>IFERROR(__xludf.DUMMYFUNCTION("""COMPUTED_VALUE"""),"Very Good")</f>
        <v>Very Good</v>
      </c>
      <c r="Z1454" s="138" t="str">
        <f>IFERROR(__xludf.DUMMYFUNCTION("""COMPUTED_VALUE"""),"Fair")</f>
        <v>Fair</v>
      </c>
      <c r="AA1454" s="138" t="str">
        <f>IFERROR(__xludf.DUMMYFUNCTION("""COMPUTED_VALUE"""),"Poor")</f>
        <v>Poor</v>
      </c>
      <c r="AB1454" s="138" t="str">
        <f>IFERROR(__xludf.DUMMYFUNCTION("""COMPUTED_VALUE"""),"Good")</f>
        <v>Good</v>
      </c>
      <c r="AC1454" s="139"/>
      <c r="AD1454" s="139"/>
      <c r="AE1454" s="139"/>
      <c r="AF1454" s="140"/>
      <c r="AG1454" s="136"/>
      <c r="AH1454" s="157">
        <f>IFERROR(__xludf.DUMMYFUNCTION("""COMPUTED_VALUE"""),43830.881288888886)</f>
        <v>43830.88129</v>
      </c>
      <c r="AI1454" s="138"/>
      <c r="AJ1454" s="138"/>
      <c r="AK1454" s="138"/>
      <c r="AL1454" s="142"/>
    </row>
    <row r="1455" ht="20.25" customHeight="1">
      <c r="A1455" s="155" t="str">
        <f>IFERROR(__xludf.DUMMYFUNCTION("""COMPUTED_VALUE"""),"sm1th")</f>
        <v>sm1th</v>
      </c>
      <c r="B1455" s="149" t="str">
        <f>IFERROR(__xludf.DUMMYFUNCTION("""COMPUTED_VALUE"""),"San Jose")</f>
        <v>San Jose</v>
      </c>
      <c r="C1455" s="149" t="str">
        <f>IFERROR(__xludf.DUMMYFUNCTION("""COMPUTED_VALUE"""),"CA")</f>
        <v>CA</v>
      </c>
      <c r="D1455" s="149" t="str">
        <f>IFERROR(__xludf.DUMMYFUNCTION("""COMPUTED_VALUE"""),"USA")</f>
        <v>USA</v>
      </c>
      <c r="E1455" s="156">
        <f>IFERROR(__xludf.DUMMYFUNCTION("""COMPUTED_VALUE"""),43801.0)</f>
        <v>43801</v>
      </c>
      <c r="F1455" s="129">
        <f>IFERROR(__xludf.DUMMYFUNCTION("""COMPUTED_VALUE"""),43823.0)</f>
        <v>43823</v>
      </c>
      <c r="G1455" s="154"/>
      <c r="H1455" s="131">
        <f>IFERROR(__xludf.DUMMYFUNCTION("""COMPUTED_VALUE"""),640755.0)</f>
        <v>640755</v>
      </c>
      <c r="I1455" s="144"/>
      <c r="J1455" s="129">
        <f>IFERROR(__xludf.DUMMYFUNCTION("""COMPUTED_VALUE"""),43825.0)</f>
        <v>43825</v>
      </c>
      <c r="K1455" s="133">
        <f>IFERROR(__xludf.DUMMYFUNCTION("""COMPUTED_VALUE"""),22.0)</f>
        <v>22</v>
      </c>
      <c r="L1455" s="133">
        <f>IFERROR(__xludf.DUMMYFUNCTION("""COMPUTED_VALUE"""),2.0)</f>
        <v>2</v>
      </c>
      <c r="M1455" s="133">
        <f>IFERROR(__xludf.DUMMYFUNCTION("""COMPUTED_VALUE"""),24.0)</f>
        <v>24</v>
      </c>
      <c r="N1455" s="152" t="str">
        <f>IFERROR(__xludf.DUMMYFUNCTION("""COMPUTED_VALUE"""),"Model 3 Performance")</f>
        <v>Model 3 Performance</v>
      </c>
      <c r="O1455" s="152" t="str">
        <f>IFERROR(__xludf.DUMMYFUNCTION("""COMPUTED_VALUE"""),"Solid Black")</f>
        <v>Solid Black</v>
      </c>
      <c r="P1455" s="153" t="str">
        <f>IFERROR(__xludf.DUMMYFUNCTION("""COMPUTED_VALUE"""),"20 inch Sport")</f>
        <v>20 inch Sport</v>
      </c>
      <c r="Q1455" s="152" t="str">
        <f>IFERROR(__xludf.DUMMYFUNCTION("""COMPUTED_VALUE"""),"Black seats")</f>
        <v>Black seats</v>
      </c>
      <c r="R1455" s="149" t="str">
        <f>IFERROR(__xludf.DUMMYFUNCTION("""COMPUTED_VALUE"""),"Autopilot")</f>
        <v>Autopilot</v>
      </c>
      <c r="S1455" s="149"/>
      <c r="T1455" s="145"/>
      <c r="U1455" s="145"/>
      <c r="V1455" s="145"/>
      <c r="W1455" s="136"/>
      <c r="X1455" s="137" t="str">
        <f>IFERROR(__xludf.DUMMYFUNCTION("""COMPUTED_VALUE"""),"Good")</f>
        <v>Good</v>
      </c>
      <c r="Y1455" s="138" t="str">
        <f>IFERROR(__xludf.DUMMYFUNCTION("""COMPUTED_VALUE"""),"Good")</f>
        <v>Good</v>
      </c>
      <c r="Z1455" s="138" t="str">
        <f>IFERROR(__xludf.DUMMYFUNCTION("""COMPUTED_VALUE"""),"Poor")</f>
        <v>Poor</v>
      </c>
      <c r="AA1455" s="138" t="str">
        <f>IFERROR(__xludf.DUMMYFUNCTION("""COMPUTED_VALUE"""),"Good")</f>
        <v>Good</v>
      </c>
      <c r="AB1455" s="138" t="str">
        <f>IFERROR(__xludf.DUMMYFUNCTION("""COMPUTED_VALUE"""),"Good")</f>
        <v>Good</v>
      </c>
      <c r="AC1455" s="139">
        <f>IFERROR(__xludf.DUMMYFUNCTION("""COMPUTED_VALUE"""),3.0)</f>
        <v>3</v>
      </c>
      <c r="AD1455" s="139"/>
      <c r="AE1455" s="139"/>
      <c r="AF1455" s="140"/>
      <c r="AG1455" s="136"/>
      <c r="AH1455" s="157">
        <f>IFERROR(__xludf.DUMMYFUNCTION("""COMPUTED_VALUE"""),43829.560264328706)</f>
        <v>43829.56026</v>
      </c>
      <c r="AI1455" s="138"/>
      <c r="AJ1455" s="138"/>
      <c r="AK1455" s="138"/>
      <c r="AL1455" s="142"/>
    </row>
    <row r="1456" ht="20.25" customHeight="1">
      <c r="A1456" s="155" t="str">
        <f>IFERROR(__xludf.DUMMYFUNCTION("""COMPUTED_VALUE"""),"CleanPl8r")</f>
        <v>CleanPl8r</v>
      </c>
      <c r="B1456" s="149" t="str">
        <f>IFERROR(__xludf.DUMMYFUNCTION("""COMPUTED_VALUE"""),"Hilliard")</f>
        <v>Hilliard</v>
      </c>
      <c r="C1456" s="149" t="str">
        <f>IFERROR(__xludf.DUMMYFUNCTION("""COMPUTED_VALUE"""),"OH")</f>
        <v>OH</v>
      </c>
      <c r="D1456" s="149" t="str">
        <f>IFERROR(__xludf.DUMMYFUNCTION("""COMPUTED_VALUE"""),"USA")</f>
        <v>USA</v>
      </c>
      <c r="E1456" s="156">
        <f>IFERROR(__xludf.DUMMYFUNCTION("""COMPUTED_VALUE"""),43800.0)</f>
        <v>43800</v>
      </c>
      <c r="F1456" s="129">
        <f>IFERROR(__xludf.DUMMYFUNCTION("""COMPUTED_VALUE"""),43804.0)</f>
        <v>43804</v>
      </c>
      <c r="G1456" s="154"/>
      <c r="H1456" s="131">
        <f>IFERROR(__xludf.DUMMYFUNCTION("""COMPUTED_VALUE"""),617455.0)</f>
        <v>617455</v>
      </c>
      <c r="I1456" s="144" t="str">
        <f>IFERROR(__xludf.DUMMYFUNCTION("""COMPUTED_VALUE"""),"12/19")</f>
        <v>12/19</v>
      </c>
      <c r="J1456" s="129">
        <f>IFERROR(__xludf.DUMMYFUNCTION("""COMPUTED_VALUE"""),43825.0)</f>
        <v>43825</v>
      </c>
      <c r="K1456" s="133">
        <f>IFERROR(__xludf.DUMMYFUNCTION("""COMPUTED_VALUE"""),4.0)</f>
        <v>4</v>
      </c>
      <c r="L1456" s="133">
        <f>IFERROR(__xludf.DUMMYFUNCTION("""COMPUTED_VALUE"""),21.0)</f>
        <v>21</v>
      </c>
      <c r="M1456" s="133">
        <f>IFERROR(__xludf.DUMMYFUNCTION("""COMPUTED_VALUE"""),25.0)</f>
        <v>25</v>
      </c>
      <c r="N1456" s="152" t="str">
        <f>IFERROR(__xludf.DUMMYFUNCTION("""COMPUTED_VALUE"""),"Model 3 LR AWD")</f>
        <v>Model 3 LR AWD</v>
      </c>
      <c r="O1456" s="152" t="str">
        <f>IFERROR(__xludf.DUMMYFUNCTION("""COMPUTED_VALUE"""),"Deep Blue Metallic")</f>
        <v>Deep Blue Metallic</v>
      </c>
      <c r="P1456" s="153" t="str">
        <f>IFERROR(__xludf.DUMMYFUNCTION("""COMPUTED_VALUE"""),"18 inch Aero")</f>
        <v>18 inch Aero</v>
      </c>
      <c r="Q1456" s="152" t="str">
        <f>IFERROR(__xludf.DUMMYFUNCTION("""COMPUTED_VALUE"""),"Black seats")</f>
        <v>Black seats</v>
      </c>
      <c r="R1456" s="149" t="str">
        <f>IFERROR(__xludf.DUMMYFUNCTION("""COMPUTED_VALUE"""),"Full Self-Driving")</f>
        <v>Full Self-Driving</v>
      </c>
      <c r="S1456" s="149"/>
      <c r="T1456" s="145"/>
      <c r="U1456" s="145"/>
      <c r="V1456" s="145"/>
      <c r="W1456" s="136"/>
      <c r="X1456" s="137" t="str">
        <f>IFERROR(__xludf.DUMMYFUNCTION("""COMPUTED_VALUE"""),"Excellent")</f>
        <v>Excellent</v>
      </c>
      <c r="Y1456" s="138" t="str">
        <f>IFERROR(__xludf.DUMMYFUNCTION("""COMPUTED_VALUE"""),"Excellent")</f>
        <v>Excellent</v>
      </c>
      <c r="Z1456" s="138" t="str">
        <f>IFERROR(__xludf.DUMMYFUNCTION("""COMPUTED_VALUE"""),"Very Good")</f>
        <v>Very Good</v>
      </c>
      <c r="AA1456" s="138" t="str">
        <f>IFERROR(__xludf.DUMMYFUNCTION("""COMPUTED_VALUE"""),"Excellent")</f>
        <v>Excellent</v>
      </c>
      <c r="AB1456" s="138" t="str">
        <f>IFERROR(__xludf.DUMMYFUNCTION("""COMPUTED_VALUE"""),"Excellent")</f>
        <v>Excellent</v>
      </c>
      <c r="AC1456" s="139">
        <f>IFERROR(__xludf.DUMMYFUNCTION("""COMPUTED_VALUE"""),0.0)</f>
        <v>0</v>
      </c>
      <c r="AD1456" s="139">
        <f>IFERROR(__xludf.DUMMYFUNCTION("""COMPUTED_VALUE"""),0.0)</f>
        <v>0</v>
      </c>
      <c r="AE1456" s="139">
        <f>IFERROR(__xludf.DUMMYFUNCTION("""COMPUTED_VALUE"""),0.0)</f>
        <v>0</v>
      </c>
      <c r="AF1456" s="140"/>
      <c r="AG1456" s="136" t="str">
        <f>IFERROR(__xludf.DUMMYFUNCTION("""COMPUTED_VALUE"""),"Delivery was delayed from 12/23 to 12/26 due to transportation issue.")</f>
        <v>Delivery was delayed from 12/23 to 12/26 due to transportation issue.</v>
      </c>
      <c r="AH1456" s="157">
        <f>IFERROR(__xludf.DUMMYFUNCTION("""COMPUTED_VALUE"""),43857.56916013889)</f>
        <v>43857.56916</v>
      </c>
      <c r="AI1456" s="138"/>
      <c r="AJ1456" s="138"/>
      <c r="AK1456" s="138"/>
      <c r="AL1456" s="142"/>
    </row>
    <row r="1457" ht="20.25" customHeight="1">
      <c r="A1457" s="155" t="str">
        <f>IFERROR(__xludf.DUMMYFUNCTION("""COMPUTED_VALUE"""),"GarZ")</f>
        <v>GarZ</v>
      </c>
      <c r="B1457" s="149" t="str">
        <f>IFERROR(__xludf.DUMMYFUNCTION("""COMPUTED_VALUE"""),"San Diego")</f>
        <v>San Diego</v>
      </c>
      <c r="C1457" s="149" t="str">
        <f>IFERROR(__xludf.DUMMYFUNCTION("""COMPUTED_VALUE"""),"CA")</f>
        <v>CA</v>
      </c>
      <c r="D1457" s="149" t="str">
        <f>IFERROR(__xludf.DUMMYFUNCTION("""COMPUTED_VALUE"""),"USA")</f>
        <v>USA</v>
      </c>
      <c r="E1457" s="156">
        <f>IFERROR(__xludf.DUMMYFUNCTION("""COMPUTED_VALUE"""),43800.0)</f>
        <v>43800</v>
      </c>
      <c r="F1457" s="129">
        <f>IFERROR(__xludf.DUMMYFUNCTION("""COMPUTED_VALUE"""),43822.0)</f>
        <v>43822</v>
      </c>
      <c r="G1457" s="154"/>
      <c r="H1457" s="131">
        <f>IFERROR(__xludf.DUMMYFUNCTION("""COMPUTED_VALUE"""),640555.0)</f>
        <v>640555</v>
      </c>
      <c r="I1457" s="144"/>
      <c r="J1457" s="129">
        <f>IFERROR(__xludf.DUMMYFUNCTION("""COMPUTED_VALUE"""),43830.0)</f>
        <v>43830</v>
      </c>
      <c r="K1457" s="133">
        <f>IFERROR(__xludf.DUMMYFUNCTION("""COMPUTED_VALUE"""),22.0)</f>
        <v>22</v>
      </c>
      <c r="L1457" s="133">
        <f>IFERROR(__xludf.DUMMYFUNCTION("""COMPUTED_VALUE"""),8.0)</f>
        <v>8</v>
      </c>
      <c r="M1457" s="133">
        <f>IFERROR(__xludf.DUMMYFUNCTION("""COMPUTED_VALUE"""),30.0)</f>
        <v>30</v>
      </c>
      <c r="N1457" s="152" t="str">
        <f>IFERROR(__xludf.DUMMYFUNCTION("""COMPUTED_VALUE"""),"Model 3 LR AWD")</f>
        <v>Model 3 LR AWD</v>
      </c>
      <c r="O1457" s="152" t="str">
        <f>IFERROR(__xludf.DUMMYFUNCTION("""COMPUTED_VALUE"""),"Pearl White Multi-Coat")</f>
        <v>Pearl White Multi-Coat</v>
      </c>
      <c r="P1457" s="153" t="str">
        <f>IFERROR(__xludf.DUMMYFUNCTION("""COMPUTED_VALUE"""),"19 inch Sport")</f>
        <v>19 inch Sport</v>
      </c>
      <c r="Q1457" s="152" t="str">
        <f>IFERROR(__xludf.DUMMYFUNCTION("""COMPUTED_VALUE"""),"White seats")</f>
        <v>White seats</v>
      </c>
      <c r="R1457" s="149" t="str">
        <f>IFERROR(__xludf.DUMMYFUNCTION("""COMPUTED_VALUE"""),"Autopilot")</f>
        <v>Autopilot</v>
      </c>
      <c r="S1457" s="149"/>
      <c r="T1457" s="145"/>
      <c r="U1457" s="145"/>
      <c r="V1457" s="145"/>
      <c r="W1457" s="136"/>
      <c r="X1457" s="137" t="str">
        <f>IFERROR(__xludf.DUMMYFUNCTION("""COMPUTED_VALUE"""),"Very Good")</f>
        <v>Very Good</v>
      </c>
      <c r="Y1457" s="138" t="str">
        <f>IFERROR(__xludf.DUMMYFUNCTION("""COMPUTED_VALUE"""),"Very Good")</f>
        <v>Very Good</v>
      </c>
      <c r="Z1457" s="138" t="str">
        <f>IFERROR(__xludf.DUMMYFUNCTION("""COMPUTED_VALUE"""),"Very Good")</f>
        <v>Very Good</v>
      </c>
      <c r="AA1457" s="138" t="str">
        <f>IFERROR(__xludf.DUMMYFUNCTION("""COMPUTED_VALUE"""),"Very Good")</f>
        <v>Very Good</v>
      </c>
      <c r="AB1457" s="138" t="str">
        <f>IFERROR(__xludf.DUMMYFUNCTION("""COMPUTED_VALUE"""),"Good")</f>
        <v>Good</v>
      </c>
      <c r="AC1457" s="139">
        <f>IFERROR(__xludf.DUMMYFUNCTION("""COMPUTED_VALUE"""),4.0)</f>
        <v>4</v>
      </c>
      <c r="AD1457" s="139">
        <f>IFERROR(__xludf.DUMMYFUNCTION("""COMPUTED_VALUE"""),1.0)</f>
        <v>1</v>
      </c>
      <c r="AE1457" s="139"/>
      <c r="AF1457" s="140"/>
      <c r="AG1457" s="136"/>
      <c r="AH1457" s="157">
        <f>IFERROR(__xludf.DUMMYFUNCTION("""COMPUTED_VALUE"""),43838.57163142361)</f>
        <v>43838.57163</v>
      </c>
      <c r="AI1457" s="138"/>
      <c r="AJ1457" s="138"/>
      <c r="AK1457" s="138"/>
      <c r="AL1457" s="142"/>
    </row>
    <row r="1458" ht="20.25" customHeight="1">
      <c r="A1458" s="155" t="str">
        <f>IFERROR(__xludf.DUMMYFUNCTION("""COMPUTED_VALUE"""),"imPatientZero")</f>
        <v>imPatientZero</v>
      </c>
      <c r="B1458" s="149" t="str">
        <f>IFERROR(__xludf.DUMMYFUNCTION("""COMPUTED_VALUE"""),"Denver")</f>
        <v>Denver</v>
      </c>
      <c r="C1458" s="149" t="str">
        <f>IFERROR(__xludf.DUMMYFUNCTION("""COMPUTED_VALUE"""),"CO")</f>
        <v>CO</v>
      </c>
      <c r="D1458" s="149" t="str">
        <f>IFERROR(__xludf.DUMMYFUNCTION("""COMPUTED_VALUE"""),"USA")</f>
        <v>USA</v>
      </c>
      <c r="E1458" s="156">
        <f>IFERROR(__xludf.DUMMYFUNCTION("""COMPUTED_VALUE"""),43800.0)</f>
        <v>43800</v>
      </c>
      <c r="F1458" s="129">
        <f>IFERROR(__xludf.DUMMYFUNCTION("""COMPUTED_VALUE"""),43815.0)</f>
        <v>43815</v>
      </c>
      <c r="G1458" s="154"/>
      <c r="H1458" s="131">
        <f>IFERROR(__xludf.DUMMYFUNCTION("""COMPUTED_VALUE"""),635255.0)</f>
        <v>635255</v>
      </c>
      <c r="I1458" s="144"/>
      <c r="J1458" s="129">
        <f>IFERROR(__xludf.DUMMYFUNCTION("""COMPUTED_VALUE"""),43822.0)</f>
        <v>43822</v>
      </c>
      <c r="K1458" s="133">
        <f>IFERROR(__xludf.DUMMYFUNCTION("""COMPUTED_VALUE"""),15.0)</f>
        <v>15</v>
      </c>
      <c r="L1458" s="133">
        <f>IFERROR(__xludf.DUMMYFUNCTION("""COMPUTED_VALUE"""),7.0)</f>
        <v>7</v>
      </c>
      <c r="M1458" s="133">
        <f>IFERROR(__xludf.DUMMYFUNCTION("""COMPUTED_VALUE"""),22.0)</f>
        <v>22</v>
      </c>
      <c r="N1458" s="152" t="str">
        <f>IFERROR(__xludf.DUMMYFUNCTION("""COMPUTED_VALUE"""),"Model 3 LR AWD")</f>
        <v>Model 3 LR AWD</v>
      </c>
      <c r="O1458" s="152" t="str">
        <f>IFERROR(__xludf.DUMMYFUNCTION("""COMPUTED_VALUE"""),"Midnight Silver Metallic")</f>
        <v>Midnight Silver Metallic</v>
      </c>
      <c r="P1458" s="153" t="str">
        <f>IFERROR(__xludf.DUMMYFUNCTION("""COMPUTED_VALUE"""),"18 inch Aero")</f>
        <v>18 inch Aero</v>
      </c>
      <c r="Q1458" s="152" t="str">
        <f>IFERROR(__xludf.DUMMYFUNCTION("""COMPUTED_VALUE"""),"Black seats")</f>
        <v>Black seats</v>
      </c>
      <c r="R1458" s="149" t="str">
        <f>IFERROR(__xludf.DUMMYFUNCTION("""COMPUTED_VALUE"""),"Full Self-Driving")</f>
        <v>Full Self-Driving</v>
      </c>
      <c r="S1458" s="149"/>
      <c r="T1458" s="145"/>
      <c r="U1458" s="145"/>
      <c r="V1458" s="145"/>
      <c r="W1458" s="136"/>
      <c r="X1458" s="137" t="str">
        <f>IFERROR(__xludf.DUMMYFUNCTION("""COMPUTED_VALUE"""),"Excellent")</f>
        <v>Excellent</v>
      </c>
      <c r="Y1458" s="138" t="str">
        <f>IFERROR(__xludf.DUMMYFUNCTION("""COMPUTED_VALUE"""),"Excellent")</f>
        <v>Excellent</v>
      </c>
      <c r="Z1458" s="138" t="str">
        <f>IFERROR(__xludf.DUMMYFUNCTION("""COMPUTED_VALUE"""),"Very Good")</f>
        <v>Very Good</v>
      </c>
      <c r="AA1458" s="138" t="str">
        <f>IFERROR(__xludf.DUMMYFUNCTION("""COMPUTED_VALUE"""),"Good")</f>
        <v>Good</v>
      </c>
      <c r="AB1458" s="138" t="str">
        <f>IFERROR(__xludf.DUMMYFUNCTION("""COMPUTED_VALUE"""),"Very Good")</f>
        <v>Very Good</v>
      </c>
      <c r="AC1458" s="139"/>
      <c r="AD1458" s="139"/>
      <c r="AE1458" s="139"/>
      <c r="AF1458" s="140"/>
      <c r="AG1458" s="136" t="str">
        <f>IFERROR(__xludf.DUMMYFUNCTION("""COMPUTED_VALUE"""),"Got contacted 1 day after VIN in source")</f>
        <v>Got contacted 1 day after VIN in source</v>
      </c>
      <c r="AH1458" s="157">
        <f>IFERROR(__xludf.DUMMYFUNCTION("""COMPUTED_VALUE"""),43820.80976664352)</f>
        <v>43820.80977</v>
      </c>
      <c r="AI1458" s="138"/>
      <c r="AJ1458" s="138"/>
      <c r="AK1458" s="138"/>
      <c r="AL1458" s="142"/>
    </row>
    <row r="1459" ht="20.25" customHeight="1">
      <c r="A1459" s="155" t="str">
        <f>IFERROR(__xludf.DUMMYFUNCTION("""COMPUTED_VALUE"""),"Mexzilian")</f>
        <v>Mexzilian</v>
      </c>
      <c r="B1459" s="149" t="str">
        <f>IFERROR(__xludf.DUMMYFUNCTION("""COMPUTED_VALUE"""),"Los Angeles")</f>
        <v>Los Angeles</v>
      </c>
      <c r="C1459" s="149" t="str">
        <f>IFERROR(__xludf.DUMMYFUNCTION("""COMPUTED_VALUE"""),"CA")</f>
        <v>CA</v>
      </c>
      <c r="D1459" s="149" t="str">
        <f>IFERROR(__xludf.DUMMYFUNCTION("""COMPUTED_VALUE"""),"USA")</f>
        <v>USA</v>
      </c>
      <c r="E1459" s="156">
        <f>IFERROR(__xludf.DUMMYFUNCTION("""COMPUTED_VALUE"""),43800.0)</f>
        <v>43800</v>
      </c>
      <c r="F1459" s="129">
        <f>IFERROR(__xludf.DUMMYFUNCTION("""COMPUTED_VALUE"""),43825.0)</f>
        <v>43825</v>
      </c>
      <c r="G1459" s="154"/>
      <c r="H1459" s="131">
        <f>IFERROR(__xludf.DUMMYFUNCTION("""COMPUTED_VALUE"""),649579.0)</f>
        <v>649579</v>
      </c>
      <c r="I1459" s="144"/>
      <c r="J1459" s="129">
        <f>IFERROR(__xludf.DUMMYFUNCTION("""COMPUTED_VALUE"""),43829.0)</f>
        <v>43829</v>
      </c>
      <c r="K1459" s="133">
        <f>IFERROR(__xludf.DUMMYFUNCTION("""COMPUTED_VALUE"""),25.0)</f>
        <v>25</v>
      </c>
      <c r="L1459" s="133">
        <f>IFERROR(__xludf.DUMMYFUNCTION("""COMPUTED_VALUE"""),4.0)</f>
        <v>4</v>
      </c>
      <c r="M1459" s="133">
        <f>IFERROR(__xludf.DUMMYFUNCTION("""COMPUTED_VALUE"""),29.0)</f>
        <v>29</v>
      </c>
      <c r="N1459" s="152" t="str">
        <f>IFERROR(__xludf.DUMMYFUNCTION("""COMPUTED_VALUE"""),"Model 3 LR AWD")</f>
        <v>Model 3 LR AWD</v>
      </c>
      <c r="O1459" s="152" t="str">
        <f>IFERROR(__xludf.DUMMYFUNCTION("""COMPUTED_VALUE"""),"Midnight Silver Metallic")</f>
        <v>Midnight Silver Metallic</v>
      </c>
      <c r="P1459" s="153" t="str">
        <f>IFERROR(__xludf.DUMMYFUNCTION("""COMPUTED_VALUE"""),"18 inch Aero")</f>
        <v>18 inch Aero</v>
      </c>
      <c r="Q1459" s="152" t="str">
        <f>IFERROR(__xludf.DUMMYFUNCTION("""COMPUTED_VALUE"""),"Black seats")</f>
        <v>Black seats</v>
      </c>
      <c r="R1459" s="149" t="str">
        <f>IFERROR(__xludf.DUMMYFUNCTION("""COMPUTED_VALUE"""),"Autopilot")</f>
        <v>Autopilot</v>
      </c>
      <c r="S1459" s="149"/>
      <c r="T1459" s="145"/>
      <c r="U1459" s="145"/>
      <c r="V1459" s="145"/>
      <c r="W1459" s="136"/>
      <c r="X1459" s="137" t="str">
        <f>IFERROR(__xludf.DUMMYFUNCTION("""COMPUTED_VALUE"""),"Very Good")</f>
        <v>Very Good</v>
      </c>
      <c r="Y1459" s="138" t="str">
        <f>IFERROR(__xludf.DUMMYFUNCTION("""COMPUTED_VALUE"""),"Very Good")</f>
        <v>Very Good</v>
      </c>
      <c r="Z1459" s="138" t="str">
        <f>IFERROR(__xludf.DUMMYFUNCTION("""COMPUTED_VALUE"""),"Fair")</f>
        <v>Fair</v>
      </c>
      <c r="AA1459" s="138" t="str">
        <f>IFERROR(__xludf.DUMMYFUNCTION("""COMPUTED_VALUE"""),"Poor")</f>
        <v>Poor</v>
      </c>
      <c r="AB1459" s="138" t="str">
        <f>IFERROR(__xludf.DUMMYFUNCTION("""COMPUTED_VALUE"""),"Good")</f>
        <v>Good</v>
      </c>
      <c r="AC1459" s="139">
        <f>IFERROR(__xludf.DUMMYFUNCTION("""COMPUTED_VALUE"""),1.0)</f>
        <v>1</v>
      </c>
      <c r="AD1459" s="139"/>
      <c r="AE1459" s="139"/>
      <c r="AF1459" s="140"/>
      <c r="AG1459" s="136"/>
      <c r="AH1459" s="157">
        <f>IFERROR(__xludf.DUMMYFUNCTION("""COMPUTED_VALUE"""),43830.32949369213)</f>
        <v>43830.32949</v>
      </c>
      <c r="AI1459" s="138"/>
      <c r="AJ1459" s="138"/>
      <c r="AK1459" s="138"/>
      <c r="AL1459" s="142"/>
    </row>
    <row r="1460" ht="20.25" customHeight="1">
      <c r="A1460" s="155" t="str">
        <f>IFERROR(__xludf.DUMMYFUNCTION("""COMPUTED_VALUE"""),"Murrayq")</f>
        <v>Murrayq</v>
      </c>
      <c r="B1460" s="149" t="str">
        <f>IFERROR(__xludf.DUMMYFUNCTION("""COMPUTED_VALUE"""),"Longwood, ")</f>
        <v>Longwood, </v>
      </c>
      <c r="C1460" s="149" t="str">
        <f>IFERROR(__xludf.DUMMYFUNCTION("""COMPUTED_VALUE"""),"FL")</f>
        <v>FL</v>
      </c>
      <c r="D1460" s="149" t="str">
        <f>IFERROR(__xludf.DUMMYFUNCTION("""COMPUTED_VALUE"""),"USA")</f>
        <v>USA</v>
      </c>
      <c r="E1460" s="156">
        <f>IFERROR(__xludf.DUMMYFUNCTION("""COMPUTED_VALUE"""),43800.0)</f>
        <v>43800</v>
      </c>
      <c r="F1460" s="129">
        <f>IFERROR(__xludf.DUMMYFUNCTION("""COMPUTED_VALUE"""),43806.0)</f>
        <v>43806</v>
      </c>
      <c r="G1460" s="154"/>
      <c r="H1460" s="131">
        <f>IFERROR(__xludf.DUMMYFUNCTION("""COMPUTED_VALUE"""),621055.0)</f>
        <v>621055</v>
      </c>
      <c r="I1460" s="144" t="str">
        <f>IFERROR(__xludf.DUMMYFUNCTION("""COMPUTED_VALUE"""),"12/19")</f>
        <v>12/19</v>
      </c>
      <c r="J1460" s="129">
        <f>IFERROR(__xludf.DUMMYFUNCTION("""COMPUTED_VALUE"""),43815.0)</f>
        <v>43815</v>
      </c>
      <c r="K1460" s="133">
        <f>IFERROR(__xludf.DUMMYFUNCTION("""COMPUTED_VALUE"""),6.0)</f>
        <v>6</v>
      </c>
      <c r="L1460" s="133">
        <f>IFERROR(__xludf.DUMMYFUNCTION("""COMPUTED_VALUE"""),9.0)</f>
        <v>9</v>
      </c>
      <c r="M1460" s="133">
        <f>IFERROR(__xludf.DUMMYFUNCTION("""COMPUTED_VALUE"""),15.0)</f>
        <v>15</v>
      </c>
      <c r="N1460" s="152" t="str">
        <f>IFERROR(__xludf.DUMMYFUNCTION("""COMPUTED_VALUE"""),"Model 3 SR+")</f>
        <v>Model 3 SR+</v>
      </c>
      <c r="O1460" s="152" t="str">
        <f>IFERROR(__xludf.DUMMYFUNCTION("""COMPUTED_VALUE"""),"Pearl White Multi-Coat")</f>
        <v>Pearl White Multi-Coat</v>
      </c>
      <c r="P1460" s="153" t="str">
        <f>IFERROR(__xludf.DUMMYFUNCTION("""COMPUTED_VALUE"""),"19 inch Sport")</f>
        <v>19 inch Sport</v>
      </c>
      <c r="Q1460" s="152" t="str">
        <f>IFERROR(__xludf.DUMMYFUNCTION("""COMPUTED_VALUE"""),"Black seats")</f>
        <v>Black seats</v>
      </c>
      <c r="R1460" s="149" t="str">
        <f>IFERROR(__xludf.DUMMYFUNCTION("""COMPUTED_VALUE"""),"Autopilot")</f>
        <v>Autopilot</v>
      </c>
      <c r="S1460" s="149"/>
      <c r="T1460" s="145"/>
      <c r="U1460" s="145"/>
      <c r="V1460" s="145"/>
      <c r="W1460" s="136"/>
      <c r="X1460" s="137" t="str">
        <f>IFERROR(__xludf.DUMMYFUNCTION("""COMPUTED_VALUE"""),"Excellent")</f>
        <v>Excellent</v>
      </c>
      <c r="Y1460" s="138" t="str">
        <f>IFERROR(__xludf.DUMMYFUNCTION("""COMPUTED_VALUE"""),"Excellent")</f>
        <v>Excellent</v>
      </c>
      <c r="Z1460" s="138" t="str">
        <f>IFERROR(__xludf.DUMMYFUNCTION("""COMPUTED_VALUE"""),"Excellent")</f>
        <v>Excellent</v>
      </c>
      <c r="AA1460" s="138" t="str">
        <f>IFERROR(__xludf.DUMMYFUNCTION("""COMPUTED_VALUE"""),"Poor")</f>
        <v>Poor</v>
      </c>
      <c r="AB1460" s="138" t="str">
        <f>IFERROR(__xludf.DUMMYFUNCTION("""COMPUTED_VALUE"""),"Excellent")</f>
        <v>Excellent</v>
      </c>
      <c r="AC1460" s="139"/>
      <c r="AD1460" s="139"/>
      <c r="AE1460" s="139"/>
      <c r="AF1460" s="140"/>
      <c r="AG1460" s="136"/>
      <c r="AH1460" s="157">
        <f>IFERROR(__xludf.DUMMYFUNCTION("""COMPUTED_VALUE"""),43816.26711159722)</f>
        <v>43816.26711</v>
      </c>
      <c r="AI1460" s="138"/>
      <c r="AJ1460" s="138"/>
      <c r="AK1460" s="138"/>
      <c r="AL1460" s="142"/>
    </row>
    <row r="1461" ht="20.25" customHeight="1">
      <c r="A1461" s="155" t="str">
        <f>IFERROR(__xludf.DUMMYFUNCTION("""COMPUTED_VALUE"""),"Sxgt ")</f>
        <v>Sxgt </v>
      </c>
      <c r="B1461" s="149" t="str">
        <f>IFERROR(__xludf.DUMMYFUNCTION("""COMPUTED_VALUE"""),"Cornelius")</f>
        <v>Cornelius</v>
      </c>
      <c r="C1461" s="149" t="str">
        <f>IFERROR(__xludf.DUMMYFUNCTION("""COMPUTED_VALUE"""),"NC")</f>
        <v>NC</v>
      </c>
      <c r="D1461" s="149" t="str">
        <f>IFERROR(__xludf.DUMMYFUNCTION("""COMPUTED_VALUE"""),"USA")</f>
        <v>USA</v>
      </c>
      <c r="E1461" s="156">
        <f>IFERROR(__xludf.DUMMYFUNCTION("""COMPUTED_VALUE"""),43800.0)</f>
        <v>43800</v>
      </c>
      <c r="F1461" s="129">
        <f>IFERROR(__xludf.DUMMYFUNCTION("""COMPUTED_VALUE"""),43808.0)</f>
        <v>43808</v>
      </c>
      <c r="G1461" s="154"/>
      <c r="H1461" s="131">
        <f>IFERROR(__xludf.DUMMYFUNCTION("""COMPUTED_VALUE"""),624860.0)</f>
        <v>624860</v>
      </c>
      <c r="I1461" s="144"/>
      <c r="J1461" s="129">
        <f>IFERROR(__xludf.DUMMYFUNCTION("""COMPUTED_VALUE"""),43815.0)</f>
        <v>43815</v>
      </c>
      <c r="K1461" s="133">
        <f>IFERROR(__xludf.DUMMYFUNCTION("""COMPUTED_VALUE"""),8.0)</f>
        <v>8</v>
      </c>
      <c r="L1461" s="133">
        <f>IFERROR(__xludf.DUMMYFUNCTION("""COMPUTED_VALUE"""),7.0)</f>
        <v>7</v>
      </c>
      <c r="M1461" s="133">
        <f>IFERROR(__xludf.DUMMYFUNCTION("""COMPUTED_VALUE"""),15.0)</f>
        <v>15</v>
      </c>
      <c r="N1461" s="152" t="str">
        <f>IFERROR(__xludf.DUMMYFUNCTION("""COMPUTED_VALUE"""),"Model 3 Performance")</f>
        <v>Model 3 Performance</v>
      </c>
      <c r="O1461" s="152" t="str">
        <f>IFERROR(__xludf.DUMMYFUNCTION("""COMPUTED_VALUE"""),"Pearl White Multi-Coat")</f>
        <v>Pearl White Multi-Coat</v>
      </c>
      <c r="P1461" s="153" t="str">
        <f>IFERROR(__xludf.DUMMYFUNCTION("""COMPUTED_VALUE"""),"20 inch Sport")</f>
        <v>20 inch Sport</v>
      </c>
      <c r="Q1461" s="152" t="str">
        <f>IFERROR(__xludf.DUMMYFUNCTION("""COMPUTED_VALUE"""),"White seats")</f>
        <v>White seats</v>
      </c>
      <c r="R1461" s="149" t="str">
        <f>IFERROR(__xludf.DUMMYFUNCTION("""COMPUTED_VALUE"""),"Autopilot")</f>
        <v>Autopilot</v>
      </c>
      <c r="S1461" s="149"/>
      <c r="T1461" s="145"/>
      <c r="U1461" s="145"/>
      <c r="V1461" s="145"/>
      <c r="W1461" s="136"/>
      <c r="X1461" s="137" t="str">
        <f>IFERROR(__xludf.DUMMYFUNCTION("""COMPUTED_VALUE"""),"Excellent")</f>
        <v>Excellent</v>
      </c>
      <c r="Y1461" s="138" t="str">
        <f>IFERROR(__xludf.DUMMYFUNCTION("""COMPUTED_VALUE"""),"Excellent")</f>
        <v>Excellent</v>
      </c>
      <c r="Z1461" s="138" t="str">
        <f>IFERROR(__xludf.DUMMYFUNCTION("""COMPUTED_VALUE"""),"Excellent")</f>
        <v>Excellent</v>
      </c>
      <c r="AA1461" s="138" t="str">
        <f>IFERROR(__xludf.DUMMYFUNCTION("""COMPUTED_VALUE"""),"Poor")</f>
        <v>Poor</v>
      </c>
      <c r="AB1461" s="138" t="str">
        <f>IFERROR(__xludf.DUMMYFUNCTION("""COMPUTED_VALUE"""),"Fair")</f>
        <v>Fair</v>
      </c>
      <c r="AC1461" s="139"/>
      <c r="AD1461" s="139"/>
      <c r="AE1461" s="139"/>
      <c r="AF1461" s="140"/>
      <c r="AG1461" s="136"/>
      <c r="AH1461" s="157">
        <f>IFERROR(__xludf.DUMMYFUNCTION("""COMPUTED_VALUE"""),43819.290155613424)</f>
        <v>43819.29016</v>
      </c>
      <c r="AI1461" s="138"/>
      <c r="AJ1461" s="138"/>
      <c r="AK1461" s="138"/>
      <c r="AL1461" s="142"/>
    </row>
    <row r="1462" ht="20.25" customHeight="1">
      <c r="A1462" s="155" t="str">
        <f>IFERROR(__xludf.DUMMYFUNCTION("""COMPUTED_VALUE"""),"CellarRat")</f>
        <v>CellarRat</v>
      </c>
      <c r="B1462" s="149" t="str">
        <f>IFERROR(__xludf.DUMMYFUNCTION("""COMPUTED_VALUE"""),"Renton")</f>
        <v>Renton</v>
      </c>
      <c r="C1462" s="149" t="str">
        <f>IFERROR(__xludf.DUMMYFUNCTION("""COMPUTED_VALUE"""),"WA")</f>
        <v>WA</v>
      </c>
      <c r="D1462" s="149" t="str">
        <f>IFERROR(__xludf.DUMMYFUNCTION("""COMPUTED_VALUE"""),"USA")</f>
        <v>USA</v>
      </c>
      <c r="E1462" s="156">
        <f>IFERROR(__xludf.DUMMYFUNCTION("""COMPUTED_VALUE"""),43799.0)</f>
        <v>43799</v>
      </c>
      <c r="F1462" s="129">
        <f>IFERROR(__xludf.DUMMYFUNCTION("""COMPUTED_VALUE"""),43799.0)</f>
        <v>43799</v>
      </c>
      <c r="G1462" s="154"/>
      <c r="H1462" s="131">
        <f>IFERROR(__xludf.DUMMYFUNCTION("""COMPUTED_VALUE"""),627584.0)</f>
        <v>627584</v>
      </c>
      <c r="I1462" s="144" t="str">
        <f>IFERROR(__xludf.DUMMYFUNCTION("""COMPUTED_VALUE"""),"12/19")</f>
        <v>12/19</v>
      </c>
      <c r="J1462" s="129">
        <f>IFERROR(__xludf.DUMMYFUNCTION("""COMPUTED_VALUE"""),43813.0)</f>
        <v>43813</v>
      </c>
      <c r="K1462" s="133">
        <f>IFERROR(__xludf.DUMMYFUNCTION("""COMPUTED_VALUE"""),0.0)</f>
        <v>0</v>
      </c>
      <c r="L1462" s="133">
        <f>IFERROR(__xludf.DUMMYFUNCTION("""COMPUTED_VALUE"""),14.0)</f>
        <v>14</v>
      </c>
      <c r="M1462" s="133">
        <f>IFERROR(__xludf.DUMMYFUNCTION("""COMPUTED_VALUE"""),14.0)</f>
        <v>14</v>
      </c>
      <c r="N1462" s="152" t="str">
        <f>IFERROR(__xludf.DUMMYFUNCTION("""COMPUTED_VALUE"""),"Model 3 Performance")</f>
        <v>Model 3 Performance</v>
      </c>
      <c r="O1462" s="152" t="str">
        <f>IFERROR(__xludf.DUMMYFUNCTION("""COMPUTED_VALUE"""),"Pearl White Multi-Coat")</f>
        <v>Pearl White Multi-Coat</v>
      </c>
      <c r="P1462" s="153" t="str">
        <f>IFERROR(__xludf.DUMMYFUNCTION("""COMPUTED_VALUE"""),"19 inch Sport")</f>
        <v>19 inch Sport</v>
      </c>
      <c r="Q1462" s="152" t="str">
        <f>IFERROR(__xludf.DUMMYFUNCTION("""COMPUTED_VALUE"""),"Black seats")</f>
        <v>Black seats</v>
      </c>
      <c r="R1462" s="149" t="str">
        <f>IFERROR(__xludf.DUMMYFUNCTION("""COMPUTED_VALUE"""),"Full Self-Driving")</f>
        <v>Full Self-Driving</v>
      </c>
      <c r="S1462" s="149"/>
      <c r="T1462" s="145"/>
      <c r="U1462" s="145"/>
      <c r="V1462" s="145"/>
      <c r="W1462" s="136"/>
      <c r="X1462" s="137" t="str">
        <f>IFERROR(__xludf.DUMMYFUNCTION("""COMPUTED_VALUE"""),"Excellent")</f>
        <v>Excellent</v>
      </c>
      <c r="Y1462" s="138" t="str">
        <f>IFERROR(__xludf.DUMMYFUNCTION("""COMPUTED_VALUE"""),"Excellent")</f>
        <v>Excellent</v>
      </c>
      <c r="Z1462" s="138" t="str">
        <f>IFERROR(__xludf.DUMMYFUNCTION("""COMPUTED_VALUE"""),"Excellent")</f>
        <v>Excellent</v>
      </c>
      <c r="AA1462" s="138" t="str">
        <f>IFERROR(__xludf.DUMMYFUNCTION("""COMPUTED_VALUE"""),"Fair")</f>
        <v>Fair</v>
      </c>
      <c r="AB1462" s="138" t="str">
        <f>IFERROR(__xludf.DUMMYFUNCTION("""COMPUTED_VALUE"""),"Excellent")</f>
        <v>Excellent</v>
      </c>
      <c r="AC1462" s="139"/>
      <c r="AD1462" s="139"/>
      <c r="AE1462" s="139"/>
      <c r="AF1462" s="140"/>
      <c r="AG1462" s="136" t="str">
        <f>IFERROR(__xludf.DUMMYFUNCTION("""COMPUTED_VALUE"""),"Model 3 LRAWD Performance")</f>
        <v>Model 3 LRAWD Performance</v>
      </c>
      <c r="AH1462" s="157">
        <f>IFERROR(__xludf.DUMMYFUNCTION("""COMPUTED_VALUE"""),43815.369046354164)</f>
        <v>43815.36905</v>
      </c>
      <c r="AI1462" s="138"/>
      <c r="AJ1462" s="138"/>
      <c r="AK1462" s="138"/>
      <c r="AL1462" s="142"/>
    </row>
    <row r="1463" ht="20.25" customHeight="1">
      <c r="A1463" s="155" t="str">
        <f>IFERROR(__xludf.DUMMYFUNCTION("""COMPUTED_VALUE"""),"justinlindh")</f>
        <v>justinlindh</v>
      </c>
      <c r="B1463" s="149" t="str">
        <f>IFERROR(__xludf.DUMMYFUNCTION("""COMPUTED_VALUE"""),"Billings")</f>
        <v>Billings</v>
      </c>
      <c r="C1463" s="149" t="str">
        <f>IFERROR(__xludf.DUMMYFUNCTION("""COMPUTED_VALUE"""),"MT")</f>
        <v>MT</v>
      </c>
      <c r="D1463" s="149" t="str">
        <f>IFERROR(__xludf.DUMMYFUNCTION("""COMPUTED_VALUE"""),"USA")</f>
        <v>USA</v>
      </c>
      <c r="E1463" s="156">
        <f>IFERROR(__xludf.DUMMYFUNCTION("""COMPUTED_VALUE"""),43799.0)</f>
        <v>43799</v>
      </c>
      <c r="F1463" s="129">
        <f>IFERROR(__xludf.DUMMYFUNCTION("""COMPUTED_VALUE"""),43809.0)</f>
        <v>43809</v>
      </c>
      <c r="G1463" s="154"/>
      <c r="H1463" s="131">
        <f>IFERROR(__xludf.DUMMYFUNCTION("""COMPUTED_VALUE"""),628612.0)</f>
        <v>628612</v>
      </c>
      <c r="I1463" s="144"/>
      <c r="J1463" s="129">
        <f>IFERROR(__xludf.DUMMYFUNCTION("""COMPUTED_VALUE"""),43816.0)</f>
        <v>43816</v>
      </c>
      <c r="K1463" s="133">
        <f>IFERROR(__xludf.DUMMYFUNCTION("""COMPUTED_VALUE"""),10.0)</f>
        <v>10</v>
      </c>
      <c r="L1463" s="133">
        <f>IFERROR(__xludf.DUMMYFUNCTION("""COMPUTED_VALUE"""),7.0)</f>
        <v>7</v>
      </c>
      <c r="M1463" s="133">
        <f>IFERROR(__xludf.DUMMYFUNCTION("""COMPUTED_VALUE"""),17.0)</f>
        <v>17</v>
      </c>
      <c r="N1463" s="152" t="str">
        <f>IFERROR(__xludf.DUMMYFUNCTION("""COMPUTED_VALUE"""),"Model 3 LR AWD")</f>
        <v>Model 3 LR AWD</v>
      </c>
      <c r="O1463" s="152" t="str">
        <f>IFERROR(__xludf.DUMMYFUNCTION("""COMPUTED_VALUE"""),"Deep Blue Metallic")</f>
        <v>Deep Blue Metallic</v>
      </c>
      <c r="P1463" s="153" t="str">
        <f>IFERROR(__xludf.DUMMYFUNCTION("""COMPUTED_VALUE"""),"18 inch Aero")</f>
        <v>18 inch Aero</v>
      </c>
      <c r="Q1463" s="152" t="str">
        <f>IFERROR(__xludf.DUMMYFUNCTION("""COMPUTED_VALUE"""),"White seats")</f>
        <v>White seats</v>
      </c>
      <c r="R1463" s="149" t="str">
        <f>IFERROR(__xludf.DUMMYFUNCTION("""COMPUTED_VALUE"""),"Full Self-Driving")</f>
        <v>Full Self-Driving</v>
      </c>
      <c r="S1463" s="149"/>
      <c r="T1463" s="145"/>
      <c r="U1463" s="145"/>
      <c r="V1463" s="145"/>
      <c r="W1463" s="136"/>
      <c r="X1463" s="137" t="str">
        <f>IFERROR(__xludf.DUMMYFUNCTION("""COMPUTED_VALUE"""),"Excellent")</f>
        <v>Excellent</v>
      </c>
      <c r="Y1463" s="138" t="str">
        <f>IFERROR(__xludf.DUMMYFUNCTION("""COMPUTED_VALUE"""),"Excellent")</f>
        <v>Excellent</v>
      </c>
      <c r="Z1463" s="138" t="str">
        <f>IFERROR(__xludf.DUMMYFUNCTION("""COMPUTED_VALUE"""),"Excellent")</f>
        <v>Excellent</v>
      </c>
      <c r="AA1463" s="138" t="str">
        <f>IFERROR(__xludf.DUMMYFUNCTION("""COMPUTED_VALUE"""),"Poor")</f>
        <v>Poor</v>
      </c>
      <c r="AB1463" s="138" t="str">
        <f>IFERROR(__xludf.DUMMYFUNCTION("""COMPUTED_VALUE"""),"Excellent")</f>
        <v>Excellent</v>
      </c>
      <c r="AC1463" s="139"/>
      <c r="AD1463" s="139"/>
      <c r="AE1463" s="139"/>
      <c r="AF1463" s="140"/>
      <c r="AG1463" s="136"/>
      <c r="AH1463" s="157">
        <f>IFERROR(__xludf.DUMMYFUNCTION("""COMPUTED_VALUE"""),43816.77754836805)</f>
        <v>43816.77755</v>
      </c>
      <c r="AI1463" s="138"/>
      <c r="AJ1463" s="138"/>
      <c r="AK1463" s="138"/>
      <c r="AL1463" s="142"/>
    </row>
    <row r="1464" ht="20.25" customHeight="1">
      <c r="A1464" s="155" t="str">
        <f>IFERROR(__xludf.DUMMYFUNCTION("""COMPUTED_VALUE"""),"LittleMonster")</f>
        <v>LittleMonster</v>
      </c>
      <c r="B1464" s="149" t="str">
        <f>IFERROR(__xludf.DUMMYFUNCTION("""COMPUTED_VALUE"""),"Los Angeles")</f>
        <v>Los Angeles</v>
      </c>
      <c r="C1464" s="149" t="str">
        <f>IFERROR(__xludf.DUMMYFUNCTION("""COMPUTED_VALUE"""),"CA")</f>
        <v>CA</v>
      </c>
      <c r="D1464" s="149" t="str">
        <f>IFERROR(__xludf.DUMMYFUNCTION("""COMPUTED_VALUE"""),"USA")</f>
        <v>USA</v>
      </c>
      <c r="E1464" s="156">
        <f>IFERROR(__xludf.DUMMYFUNCTION("""COMPUTED_VALUE"""),43799.0)</f>
        <v>43799</v>
      </c>
      <c r="F1464" s="129">
        <f>IFERROR(__xludf.DUMMYFUNCTION("""COMPUTED_VALUE"""),43826.0)</f>
        <v>43826</v>
      </c>
      <c r="G1464" s="154"/>
      <c r="H1464" s="131"/>
      <c r="I1464" s="144"/>
      <c r="J1464" s="129">
        <f>IFERROR(__xludf.DUMMYFUNCTION("""COMPUTED_VALUE"""),43829.0)</f>
        <v>43829</v>
      </c>
      <c r="K1464" s="133">
        <f>IFERROR(__xludf.DUMMYFUNCTION("""COMPUTED_VALUE"""),27.0)</f>
        <v>27</v>
      </c>
      <c r="L1464" s="133">
        <f>IFERROR(__xludf.DUMMYFUNCTION("""COMPUTED_VALUE"""),3.0)</f>
        <v>3</v>
      </c>
      <c r="M1464" s="133">
        <f>IFERROR(__xludf.DUMMYFUNCTION("""COMPUTED_VALUE"""),30.0)</f>
        <v>30</v>
      </c>
      <c r="N1464" s="152" t="str">
        <f>IFERROR(__xludf.DUMMYFUNCTION("""COMPUTED_VALUE"""),"Model 3 LR AWD")</f>
        <v>Model 3 LR AWD</v>
      </c>
      <c r="O1464" s="152" t="str">
        <f>IFERROR(__xludf.DUMMYFUNCTION("""COMPUTED_VALUE"""),"Midnight Silver Metallic")</f>
        <v>Midnight Silver Metallic</v>
      </c>
      <c r="P1464" s="153" t="str">
        <f>IFERROR(__xludf.DUMMYFUNCTION("""COMPUTED_VALUE"""),"18 inch Aero")</f>
        <v>18 inch Aero</v>
      </c>
      <c r="Q1464" s="152" t="str">
        <f>IFERROR(__xludf.DUMMYFUNCTION("""COMPUTED_VALUE"""),"Black seats")</f>
        <v>Black seats</v>
      </c>
      <c r="R1464" s="149" t="str">
        <f>IFERROR(__xludf.DUMMYFUNCTION("""COMPUTED_VALUE"""),"Autopilot")</f>
        <v>Autopilot</v>
      </c>
      <c r="S1464" s="149"/>
      <c r="T1464" s="145"/>
      <c r="U1464" s="145"/>
      <c r="V1464" s="145"/>
      <c r="W1464" s="136"/>
      <c r="X1464" s="137" t="str">
        <f>IFERROR(__xludf.DUMMYFUNCTION("""COMPUTED_VALUE"""),"Excellent")</f>
        <v>Excellent</v>
      </c>
      <c r="Y1464" s="138" t="str">
        <f>IFERROR(__xludf.DUMMYFUNCTION("""COMPUTED_VALUE"""),"Very Good")</f>
        <v>Very Good</v>
      </c>
      <c r="Z1464" s="138" t="str">
        <f>IFERROR(__xludf.DUMMYFUNCTION("""COMPUTED_VALUE"""),"Very Good")</f>
        <v>Very Good</v>
      </c>
      <c r="AA1464" s="138" t="str">
        <f>IFERROR(__xludf.DUMMYFUNCTION("""COMPUTED_VALUE"""),"Poor")</f>
        <v>Poor</v>
      </c>
      <c r="AB1464" s="138" t="str">
        <f>IFERROR(__xludf.DUMMYFUNCTION("""COMPUTED_VALUE"""),"Excellent")</f>
        <v>Excellent</v>
      </c>
      <c r="AC1464" s="139">
        <f>IFERROR(__xludf.DUMMYFUNCTION("""COMPUTED_VALUE"""),1.0)</f>
        <v>1</v>
      </c>
      <c r="AD1464" s="139"/>
      <c r="AE1464" s="139"/>
      <c r="AF1464" s="140"/>
      <c r="AG1464" s="136"/>
      <c r="AH1464" s="157">
        <f>IFERROR(__xludf.DUMMYFUNCTION("""COMPUTED_VALUE"""),43832.071640752314)</f>
        <v>43832.07164</v>
      </c>
      <c r="AI1464" s="138"/>
      <c r="AJ1464" s="138"/>
      <c r="AK1464" s="138"/>
      <c r="AL1464" s="142"/>
    </row>
    <row r="1465" ht="20.25" customHeight="1">
      <c r="A1465" s="155" t="str">
        <f>IFERROR(__xludf.DUMMYFUNCTION("""COMPUTED_VALUE"""),"srankin1826")</f>
        <v>srankin1826</v>
      </c>
      <c r="B1465" s="149" t="str">
        <f>IFERROR(__xludf.DUMMYFUNCTION("""COMPUTED_VALUE"""),"Phoenix")</f>
        <v>Phoenix</v>
      </c>
      <c r="C1465" s="149" t="str">
        <f>IFERROR(__xludf.DUMMYFUNCTION("""COMPUTED_VALUE"""),"AZ")</f>
        <v>AZ</v>
      </c>
      <c r="D1465" s="149" t="str">
        <f>IFERROR(__xludf.DUMMYFUNCTION("""COMPUTED_VALUE"""),"USA")</f>
        <v>USA</v>
      </c>
      <c r="E1465" s="156">
        <f>IFERROR(__xludf.DUMMYFUNCTION("""COMPUTED_VALUE"""),43799.0)</f>
        <v>43799</v>
      </c>
      <c r="F1465" s="129">
        <f>IFERROR(__xludf.DUMMYFUNCTION("""COMPUTED_VALUE"""),43825.0)</f>
        <v>43825</v>
      </c>
      <c r="G1465" s="154"/>
      <c r="H1465" s="131">
        <f>IFERROR(__xludf.DUMMYFUNCTION("""COMPUTED_VALUE"""),650016.0)</f>
        <v>650016</v>
      </c>
      <c r="I1465" s="144"/>
      <c r="J1465" s="129">
        <f>IFERROR(__xludf.DUMMYFUNCTION("""COMPUTED_VALUE"""),43829.0)</f>
        <v>43829</v>
      </c>
      <c r="K1465" s="133">
        <f>IFERROR(__xludf.DUMMYFUNCTION("""COMPUTED_VALUE"""),26.0)</f>
        <v>26</v>
      </c>
      <c r="L1465" s="133">
        <f>IFERROR(__xludf.DUMMYFUNCTION("""COMPUTED_VALUE"""),4.0)</f>
        <v>4</v>
      </c>
      <c r="M1465" s="133">
        <f>IFERROR(__xludf.DUMMYFUNCTION("""COMPUTED_VALUE"""),30.0)</f>
        <v>30</v>
      </c>
      <c r="N1465" s="152" t="str">
        <f>IFERROR(__xludf.DUMMYFUNCTION("""COMPUTED_VALUE"""),"Model 3 LR AWD")</f>
        <v>Model 3 LR AWD</v>
      </c>
      <c r="O1465" s="152" t="str">
        <f>IFERROR(__xludf.DUMMYFUNCTION("""COMPUTED_VALUE"""),"Pearl White Multi-Coat")</f>
        <v>Pearl White Multi-Coat</v>
      </c>
      <c r="P1465" s="153" t="str">
        <f>IFERROR(__xludf.DUMMYFUNCTION("""COMPUTED_VALUE"""),"18 inch Aero")</f>
        <v>18 inch Aero</v>
      </c>
      <c r="Q1465" s="152" t="str">
        <f>IFERROR(__xludf.DUMMYFUNCTION("""COMPUTED_VALUE"""),"Black seats")</f>
        <v>Black seats</v>
      </c>
      <c r="R1465" s="149" t="str">
        <f>IFERROR(__xludf.DUMMYFUNCTION("""COMPUTED_VALUE"""),"Autopilot")</f>
        <v>Autopilot</v>
      </c>
      <c r="S1465" s="149"/>
      <c r="T1465" s="145"/>
      <c r="U1465" s="145"/>
      <c r="V1465" s="145"/>
      <c r="W1465" s="136"/>
      <c r="X1465" s="137" t="str">
        <f>IFERROR(__xludf.DUMMYFUNCTION("""COMPUTED_VALUE"""),"Good")</f>
        <v>Good</v>
      </c>
      <c r="Y1465" s="138" t="str">
        <f>IFERROR(__xludf.DUMMYFUNCTION("""COMPUTED_VALUE"""),"Very Good")</f>
        <v>Very Good</v>
      </c>
      <c r="Z1465" s="138" t="str">
        <f>IFERROR(__xludf.DUMMYFUNCTION("""COMPUTED_VALUE"""),"Very Good")</f>
        <v>Very Good</v>
      </c>
      <c r="AA1465" s="138" t="str">
        <f>IFERROR(__xludf.DUMMYFUNCTION("""COMPUTED_VALUE"""),"Fair")</f>
        <v>Fair</v>
      </c>
      <c r="AB1465" s="138" t="str">
        <f>IFERROR(__xludf.DUMMYFUNCTION("""COMPUTED_VALUE"""),"Very Good")</f>
        <v>Very Good</v>
      </c>
      <c r="AC1465" s="139"/>
      <c r="AD1465" s="139"/>
      <c r="AE1465" s="139"/>
      <c r="AF1465" s="140"/>
      <c r="AG1465" s="136"/>
      <c r="AH1465" s="157">
        <f>IFERROR(__xludf.DUMMYFUNCTION("""COMPUTED_VALUE"""),43831.57959521991)</f>
        <v>43831.5796</v>
      </c>
      <c r="AI1465" s="138"/>
      <c r="AJ1465" s="138"/>
      <c r="AK1465" s="138"/>
      <c r="AL1465" s="142"/>
    </row>
    <row r="1466" ht="20.25" customHeight="1">
      <c r="A1466" s="155" t="str">
        <f>IFERROR(__xludf.DUMMYFUNCTION("""COMPUTED_VALUE"""),"gblinckmann")</f>
        <v>gblinckmann</v>
      </c>
      <c r="B1466" s="149" t="str">
        <f>IFERROR(__xludf.DUMMYFUNCTION("""COMPUTED_VALUE"""),"Schenectady")</f>
        <v>Schenectady</v>
      </c>
      <c r="C1466" s="149" t="str">
        <f>IFERROR(__xludf.DUMMYFUNCTION("""COMPUTED_VALUE"""),"NY")</f>
        <v>NY</v>
      </c>
      <c r="D1466" s="149" t="str">
        <f>IFERROR(__xludf.DUMMYFUNCTION("""COMPUTED_VALUE"""),"USA")</f>
        <v>USA</v>
      </c>
      <c r="E1466" s="156">
        <f>IFERROR(__xludf.DUMMYFUNCTION("""COMPUTED_VALUE"""),43798.0)</f>
        <v>43798</v>
      </c>
      <c r="F1466" s="129">
        <f>IFERROR(__xludf.DUMMYFUNCTION("""COMPUTED_VALUE"""),43811.0)</f>
        <v>43811</v>
      </c>
      <c r="G1466" s="154"/>
      <c r="H1466" s="131">
        <f>IFERROR(__xludf.DUMMYFUNCTION("""COMPUTED_VALUE"""),617555.0)</f>
        <v>617555</v>
      </c>
      <c r="I1466" s="144" t="str">
        <f>IFERROR(__xludf.DUMMYFUNCTION("""COMPUTED_VALUE"""),"12/19")</f>
        <v>12/19</v>
      </c>
      <c r="J1466" s="129">
        <f>IFERROR(__xludf.DUMMYFUNCTION("""COMPUTED_VALUE"""),44187.0)</f>
        <v>44187</v>
      </c>
      <c r="K1466" s="133">
        <f>IFERROR(__xludf.DUMMYFUNCTION("""COMPUTED_VALUE"""),13.0)</f>
        <v>13</v>
      </c>
      <c r="L1466" s="133">
        <f>IFERROR(__xludf.DUMMYFUNCTION("""COMPUTED_VALUE"""),376.0)</f>
        <v>376</v>
      </c>
      <c r="M1466" s="133">
        <f>IFERROR(__xludf.DUMMYFUNCTION("""COMPUTED_VALUE"""),389.0)</f>
        <v>389</v>
      </c>
      <c r="N1466" s="152" t="str">
        <f>IFERROR(__xludf.DUMMYFUNCTION("""COMPUTED_VALUE"""),"Model 3 LR AWD")</f>
        <v>Model 3 LR AWD</v>
      </c>
      <c r="O1466" s="152" t="str">
        <f>IFERROR(__xludf.DUMMYFUNCTION("""COMPUTED_VALUE"""),"Deep Blue Metallic")</f>
        <v>Deep Blue Metallic</v>
      </c>
      <c r="P1466" s="153" t="str">
        <f>IFERROR(__xludf.DUMMYFUNCTION("""COMPUTED_VALUE"""),"18 inch Aero")</f>
        <v>18 inch Aero</v>
      </c>
      <c r="Q1466" s="152" t="str">
        <f>IFERROR(__xludf.DUMMYFUNCTION("""COMPUTED_VALUE"""),"Black seats")</f>
        <v>Black seats</v>
      </c>
      <c r="R1466" s="149" t="str">
        <f>IFERROR(__xludf.DUMMYFUNCTION("""COMPUTED_VALUE"""),"Autopilot")</f>
        <v>Autopilot</v>
      </c>
      <c r="S1466" s="149"/>
      <c r="T1466" s="145"/>
      <c r="U1466" s="145"/>
      <c r="V1466" s="145"/>
      <c r="W1466" s="136"/>
      <c r="X1466" s="137" t="str">
        <f>IFERROR(__xludf.DUMMYFUNCTION("""COMPUTED_VALUE"""),"Fair")</f>
        <v>Fair</v>
      </c>
      <c r="Y1466" s="138" t="str">
        <f>IFERROR(__xludf.DUMMYFUNCTION("""COMPUTED_VALUE"""),"Excellent")</f>
        <v>Excellent</v>
      </c>
      <c r="Z1466" s="138" t="str">
        <f>IFERROR(__xludf.DUMMYFUNCTION("""COMPUTED_VALUE"""),"Excellent")</f>
        <v>Excellent</v>
      </c>
      <c r="AA1466" s="138" t="str">
        <f>IFERROR(__xludf.DUMMYFUNCTION("""COMPUTED_VALUE"""),"Poor")</f>
        <v>Poor</v>
      </c>
      <c r="AB1466" s="138" t="str">
        <f>IFERROR(__xludf.DUMMYFUNCTION("""COMPUTED_VALUE"""),"Poor")</f>
        <v>Poor</v>
      </c>
      <c r="AC1466" s="139"/>
      <c r="AD1466" s="139"/>
      <c r="AE1466" s="139"/>
      <c r="AF1466" s="140"/>
      <c r="AG1466" s="136"/>
      <c r="AH1466" s="157">
        <f>IFERROR(__xludf.DUMMYFUNCTION("""COMPUTED_VALUE"""),43833.56612880786)</f>
        <v>43833.56613</v>
      </c>
      <c r="AI1466" s="138"/>
      <c r="AJ1466" s="138"/>
      <c r="AK1466" s="138"/>
      <c r="AL1466" s="142"/>
    </row>
    <row r="1467" ht="20.25" customHeight="1">
      <c r="A1467" s="155" t="str">
        <f>IFERROR(__xludf.DUMMYFUNCTION("""COMPUTED_VALUE"""),"Jayk82")</f>
        <v>Jayk82</v>
      </c>
      <c r="B1467" s="149" t="str">
        <f>IFERROR(__xludf.DUMMYFUNCTION("""COMPUTED_VALUE"""),"Houston")</f>
        <v>Houston</v>
      </c>
      <c r="C1467" s="149" t="str">
        <f>IFERROR(__xludf.DUMMYFUNCTION("""COMPUTED_VALUE"""),"TX")</f>
        <v>TX</v>
      </c>
      <c r="D1467" s="149" t="str">
        <f>IFERROR(__xludf.DUMMYFUNCTION("""COMPUTED_VALUE"""),"USA")</f>
        <v>USA</v>
      </c>
      <c r="E1467" s="156">
        <f>IFERROR(__xludf.DUMMYFUNCTION("""COMPUTED_VALUE"""),43798.0)</f>
        <v>43798</v>
      </c>
      <c r="F1467" s="129">
        <f>IFERROR(__xludf.DUMMYFUNCTION("""COMPUTED_VALUE"""),43812.0)</f>
        <v>43812</v>
      </c>
      <c r="G1467" s="154"/>
      <c r="H1467" s="131">
        <f>IFERROR(__xludf.DUMMYFUNCTION("""COMPUTED_VALUE"""),619255.0)</f>
        <v>619255</v>
      </c>
      <c r="I1467" s="144" t="str">
        <f>IFERROR(__xludf.DUMMYFUNCTION("""COMPUTED_VALUE"""),"12/19")</f>
        <v>12/19</v>
      </c>
      <c r="J1467" s="129">
        <f>IFERROR(__xludf.DUMMYFUNCTION("""COMPUTED_VALUE"""),43820.0)</f>
        <v>43820</v>
      </c>
      <c r="K1467" s="133">
        <f>IFERROR(__xludf.DUMMYFUNCTION("""COMPUTED_VALUE"""),14.0)</f>
        <v>14</v>
      </c>
      <c r="L1467" s="133">
        <f>IFERROR(__xludf.DUMMYFUNCTION("""COMPUTED_VALUE"""),8.0)</f>
        <v>8</v>
      </c>
      <c r="M1467" s="133">
        <f>IFERROR(__xludf.DUMMYFUNCTION("""COMPUTED_VALUE"""),22.0)</f>
        <v>22</v>
      </c>
      <c r="N1467" s="152" t="str">
        <f>IFERROR(__xludf.DUMMYFUNCTION("""COMPUTED_VALUE"""),"Model 3 LR AWD")</f>
        <v>Model 3 LR AWD</v>
      </c>
      <c r="O1467" s="152" t="str">
        <f>IFERROR(__xludf.DUMMYFUNCTION("""COMPUTED_VALUE"""),"Pearl White Multi-Coat")</f>
        <v>Pearl White Multi-Coat</v>
      </c>
      <c r="P1467" s="153" t="str">
        <f>IFERROR(__xludf.DUMMYFUNCTION("""COMPUTED_VALUE"""),"18 inch Aero")</f>
        <v>18 inch Aero</v>
      </c>
      <c r="Q1467" s="152" t="str">
        <f>IFERROR(__xludf.DUMMYFUNCTION("""COMPUTED_VALUE"""),"Black seats")</f>
        <v>Black seats</v>
      </c>
      <c r="R1467" s="149" t="str">
        <f>IFERROR(__xludf.DUMMYFUNCTION("""COMPUTED_VALUE"""),"Autopilot")</f>
        <v>Autopilot</v>
      </c>
      <c r="S1467" s="149"/>
      <c r="T1467" s="145"/>
      <c r="U1467" s="145"/>
      <c r="V1467" s="145"/>
      <c r="W1467" s="136"/>
      <c r="X1467" s="137" t="str">
        <f>IFERROR(__xludf.DUMMYFUNCTION("""COMPUTED_VALUE"""),"Excellent")</f>
        <v>Excellent</v>
      </c>
      <c r="Y1467" s="138" t="str">
        <f>IFERROR(__xludf.DUMMYFUNCTION("""COMPUTED_VALUE"""),"Excellent")</f>
        <v>Excellent</v>
      </c>
      <c r="Z1467" s="138" t="str">
        <f>IFERROR(__xludf.DUMMYFUNCTION("""COMPUTED_VALUE"""),"Excellent")</f>
        <v>Excellent</v>
      </c>
      <c r="AA1467" s="138" t="str">
        <f>IFERROR(__xludf.DUMMYFUNCTION("""COMPUTED_VALUE"""),"Fair")</f>
        <v>Fair</v>
      </c>
      <c r="AB1467" s="138" t="str">
        <f>IFERROR(__xludf.DUMMYFUNCTION("""COMPUTED_VALUE"""),"Excellent")</f>
        <v>Excellent</v>
      </c>
      <c r="AC1467" s="139"/>
      <c r="AD1467" s="139"/>
      <c r="AE1467" s="139"/>
      <c r="AF1467" s="140"/>
      <c r="AG1467" s="136" t="str">
        <f>IFERROR(__xludf.DUMMYFUNCTION("""COMPUTED_VALUE"""),"VIN found in Source Code 12/13")</f>
        <v>VIN found in Source Code 12/13</v>
      </c>
      <c r="AH1467" s="157">
        <f>IFERROR(__xludf.DUMMYFUNCTION("""COMPUTED_VALUE"""),43822.62675015046)</f>
        <v>43822.62675</v>
      </c>
      <c r="AI1467" s="138"/>
      <c r="AJ1467" s="138"/>
      <c r="AK1467" s="138"/>
      <c r="AL1467" s="142"/>
    </row>
    <row r="1468" ht="20.25" customHeight="1">
      <c r="A1468" s="155" t="str">
        <f>IFERROR(__xludf.DUMMYFUNCTION("""COMPUTED_VALUE"""),"rmchrger")</f>
        <v>rmchrger</v>
      </c>
      <c r="B1468" s="149" t="str">
        <f>IFERROR(__xludf.DUMMYFUNCTION("""COMPUTED_VALUE"""),"Seattle")</f>
        <v>Seattle</v>
      </c>
      <c r="C1468" s="149" t="str">
        <f>IFERROR(__xludf.DUMMYFUNCTION("""COMPUTED_VALUE"""),"WA")</f>
        <v>WA</v>
      </c>
      <c r="D1468" s="149" t="str">
        <f>IFERROR(__xludf.DUMMYFUNCTION("""COMPUTED_VALUE"""),"USA")</f>
        <v>USA</v>
      </c>
      <c r="E1468" s="156">
        <f>IFERROR(__xludf.DUMMYFUNCTION("""COMPUTED_VALUE"""),43798.0)</f>
        <v>43798</v>
      </c>
      <c r="F1468" s="129">
        <f>IFERROR(__xludf.DUMMYFUNCTION("""COMPUTED_VALUE"""),43798.0)</f>
        <v>43798</v>
      </c>
      <c r="G1468" s="154"/>
      <c r="H1468" s="131">
        <f>IFERROR(__xludf.DUMMYFUNCTION("""COMPUTED_VALUE"""),627344.0)</f>
        <v>627344</v>
      </c>
      <c r="I1468" s="144" t="str">
        <f>IFERROR(__xludf.DUMMYFUNCTION("""COMPUTED_VALUE"""),"12/19")</f>
        <v>12/19</v>
      </c>
      <c r="J1468" s="129">
        <f>IFERROR(__xludf.DUMMYFUNCTION("""COMPUTED_VALUE"""),43814.0)</f>
        <v>43814</v>
      </c>
      <c r="K1468" s="133">
        <f>IFERROR(__xludf.DUMMYFUNCTION("""COMPUTED_VALUE"""),0.0)</f>
        <v>0</v>
      </c>
      <c r="L1468" s="133">
        <f>IFERROR(__xludf.DUMMYFUNCTION("""COMPUTED_VALUE"""),16.0)</f>
        <v>16</v>
      </c>
      <c r="M1468" s="133">
        <f>IFERROR(__xludf.DUMMYFUNCTION("""COMPUTED_VALUE"""),16.0)</f>
        <v>16</v>
      </c>
      <c r="N1468" s="152" t="str">
        <f>IFERROR(__xludf.DUMMYFUNCTION("""COMPUTED_VALUE"""),"Model 3 Performance")</f>
        <v>Model 3 Performance</v>
      </c>
      <c r="O1468" s="152" t="str">
        <f>IFERROR(__xludf.DUMMYFUNCTION("""COMPUTED_VALUE"""),"Solid Black")</f>
        <v>Solid Black</v>
      </c>
      <c r="P1468" s="153" t="str">
        <f>IFERROR(__xludf.DUMMYFUNCTION("""COMPUTED_VALUE"""),"19 inch Sport")</f>
        <v>19 inch Sport</v>
      </c>
      <c r="Q1468" s="152" t="str">
        <f>IFERROR(__xludf.DUMMYFUNCTION("""COMPUTED_VALUE"""),"Black seats")</f>
        <v>Black seats</v>
      </c>
      <c r="R1468" s="149" t="str">
        <f>IFERROR(__xludf.DUMMYFUNCTION("""COMPUTED_VALUE"""),"Autopilot")</f>
        <v>Autopilot</v>
      </c>
      <c r="S1468" s="149"/>
      <c r="T1468" s="145"/>
      <c r="U1468" s="145"/>
      <c r="V1468" s="145"/>
      <c r="W1468" s="136"/>
      <c r="X1468" s="137" t="str">
        <f>IFERROR(__xludf.DUMMYFUNCTION("""COMPUTED_VALUE"""),"Excellent")</f>
        <v>Excellent</v>
      </c>
      <c r="Y1468" s="138" t="str">
        <f>IFERROR(__xludf.DUMMYFUNCTION("""COMPUTED_VALUE"""),"Excellent")</f>
        <v>Excellent</v>
      </c>
      <c r="Z1468" s="138" t="str">
        <f>IFERROR(__xludf.DUMMYFUNCTION("""COMPUTED_VALUE"""),"Very Good")</f>
        <v>Very Good</v>
      </c>
      <c r="AA1468" s="138" t="str">
        <f>IFERROR(__xludf.DUMMYFUNCTION("""COMPUTED_VALUE"""),"Very Good")</f>
        <v>Very Good</v>
      </c>
      <c r="AB1468" s="138" t="str">
        <f>IFERROR(__xludf.DUMMYFUNCTION("""COMPUTED_VALUE"""),"Excellent")</f>
        <v>Excellent</v>
      </c>
      <c r="AC1468" s="139">
        <f>IFERROR(__xludf.DUMMYFUNCTION("""COMPUTED_VALUE"""),3.0)</f>
        <v>3</v>
      </c>
      <c r="AD1468" s="139">
        <f>IFERROR(__xludf.DUMMYFUNCTION("""COMPUTED_VALUE"""),1.0)</f>
        <v>1</v>
      </c>
      <c r="AE1468" s="139"/>
      <c r="AF1468" s="140"/>
      <c r="AG1468" s="136" t="str">
        <f>IFERROR(__xludf.DUMMYFUNCTION("""COMPUTED_VALUE"""),"Stealth, SA sent VIN 627092 on 11-29 on 12-09 changed to 627344.")</f>
        <v>Stealth, SA sent VIN 627092 on 11-29 on 12-09 changed to 627344.</v>
      </c>
      <c r="AH1468" s="157">
        <f>IFERROR(__xludf.DUMMYFUNCTION("""COMPUTED_VALUE"""),43817.75669390046)</f>
        <v>43817.75669</v>
      </c>
      <c r="AI1468" s="138"/>
      <c r="AJ1468" s="138"/>
      <c r="AK1468" s="138"/>
      <c r="AL1468" s="142"/>
    </row>
    <row r="1469" ht="20.25" customHeight="1">
      <c r="A1469" s="155" t="str">
        <f>IFERROR(__xludf.DUMMYFUNCTION("""COMPUTED_VALUE"""),"billimek")</f>
        <v>billimek</v>
      </c>
      <c r="B1469" s="149" t="str">
        <f>IFERROR(__xludf.DUMMYFUNCTION("""COMPUTED_VALUE"""),"Atlanta")</f>
        <v>Atlanta</v>
      </c>
      <c r="C1469" s="149" t="str">
        <f>IFERROR(__xludf.DUMMYFUNCTION("""COMPUTED_VALUE"""),"GA")</f>
        <v>GA</v>
      </c>
      <c r="D1469" s="149" t="str">
        <f>IFERROR(__xludf.DUMMYFUNCTION("""COMPUTED_VALUE"""),"USA")</f>
        <v>USA</v>
      </c>
      <c r="E1469" s="156">
        <f>IFERROR(__xludf.DUMMYFUNCTION("""COMPUTED_VALUE"""),43796.0)</f>
        <v>43796</v>
      </c>
      <c r="F1469" s="129">
        <f>IFERROR(__xludf.DUMMYFUNCTION("""COMPUTED_VALUE"""),43805.0)</f>
        <v>43805</v>
      </c>
      <c r="G1469" s="154"/>
      <c r="H1469" s="131">
        <f>IFERROR(__xludf.DUMMYFUNCTION("""COMPUTED_VALUE"""),620031.0)</f>
        <v>620031</v>
      </c>
      <c r="I1469" s="144"/>
      <c r="J1469" s="129">
        <f>IFERROR(__xludf.DUMMYFUNCTION("""COMPUTED_VALUE"""),43814.0)</f>
        <v>43814</v>
      </c>
      <c r="K1469" s="133">
        <f>IFERROR(__xludf.DUMMYFUNCTION("""COMPUTED_VALUE"""),9.0)</f>
        <v>9</v>
      </c>
      <c r="L1469" s="133">
        <f>IFERROR(__xludf.DUMMYFUNCTION("""COMPUTED_VALUE"""),9.0)</f>
        <v>9</v>
      </c>
      <c r="M1469" s="133">
        <f>IFERROR(__xludf.DUMMYFUNCTION("""COMPUTED_VALUE"""),18.0)</f>
        <v>18</v>
      </c>
      <c r="N1469" s="152" t="str">
        <f>IFERROR(__xludf.DUMMYFUNCTION("""COMPUTED_VALUE"""),"Model 3 LR AWD")</f>
        <v>Model 3 LR AWD</v>
      </c>
      <c r="O1469" s="152" t="str">
        <f>IFERROR(__xludf.DUMMYFUNCTION("""COMPUTED_VALUE"""),"Midnight Silver Metallic")</f>
        <v>Midnight Silver Metallic</v>
      </c>
      <c r="P1469" s="153" t="str">
        <f>IFERROR(__xludf.DUMMYFUNCTION("""COMPUTED_VALUE"""),"19 inch Sport")</f>
        <v>19 inch Sport</v>
      </c>
      <c r="Q1469" s="152" t="str">
        <f>IFERROR(__xludf.DUMMYFUNCTION("""COMPUTED_VALUE"""),"Black seats")</f>
        <v>Black seats</v>
      </c>
      <c r="R1469" s="149" t="str">
        <f>IFERROR(__xludf.DUMMYFUNCTION("""COMPUTED_VALUE"""),"Autopilot")</f>
        <v>Autopilot</v>
      </c>
      <c r="S1469" s="149"/>
      <c r="T1469" s="145"/>
      <c r="U1469" s="145"/>
      <c r="V1469" s="145"/>
      <c r="W1469" s="136"/>
      <c r="X1469" s="137" t="str">
        <f>IFERROR(__xludf.DUMMYFUNCTION("""COMPUTED_VALUE"""),"Very Good")</f>
        <v>Very Good</v>
      </c>
      <c r="Y1469" s="138" t="str">
        <f>IFERROR(__xludf.DUMMYFUNCTION("""COMPUTED_VALUE"""),"Excellent")</f>
        <v>Excellent</v>
      </c>
      <c r="Z1469" s="138" t="str">
        <f>IFERROR(__xludf.DUMMYFUNCTION("""COMPUTED_VALUE"""),"Very Good")</f>
        <v>Very Good</v>
      </c>
      <c r="AA1469" s="138" t="str">
        <f>IFERROR(__xludf.DUMMYFUNCTION("""COMPUTED_VALUE"""),"Good")</f>
        <v>Good</v>
      </c>
      <c r="AB1469" s="138" t="str">
        <f>IFERROR(__xludf.DUMMYFUNCTION("""COMPUTED_VALUE"""),"Very Good")</f>
        <v>Very Good</v>
      </c>
      <c r="AC1469" s="139"/>
      <c r="AD1469" s="139"/>
      <c r="AE1469" s="139"/>
      <c r="AF1469" s="140"/>
      <c r="AG1469" s="136" t="str">
        <f>IFERROR(__xludf.DUMMYFUNCTION("""COMPUTED_VALUE"""),"Originally ordered SR+/White on 2019-11-13 but changed to LR AWD/MSM")</f>
        <v>Originally ordered SR+/White on 2019-11-13 but changed to LR AWD/MSM</v>
      </c>
      <c r="AH1469" s="157">
        <f>IFERROR(__xludf.DUMMYFUNCTION("""COMPUTED_VALUE"""),43810.77224574074)</f>
        <v>43810.77225</v>
      </c>
      <c r="AI1469" s="138"/>
      <c r="AJ1469" s="138"/>
      <c r="AK1469" s="138"/>
      <c r="AL1469" s="142"/>
    </row>
    <row r="1470" ht="20.25" customHeight="1">
      <c r="A1470" s="155" t="str">
        <f>IFERROR(__xludf.DUMMYFUNCTION("""COMPUTED_VALUE"""),"KOAZ")</f>
        <v>KOAZ</v>
      </c>
      <c r="B1470" s="149" t="str">
        <f>IFERROR(__xludf.DUMMYFUNCTION("""COMPUTED_VALUE"""),"Phoenix")</f>
        <v>Phoenix</v>
      </c>
      <c r="C1470" s="149" t="str">
        <f>IFERROR(__xludf.DUMMYFUNCTION("""COMPUTED_VALUE"""),"AZ")</f>
        <v>AZ</v>
      </c>
      <c r="D1470" s="149" t="str">
        <f>IFERROR(__xludf.DUMMYFUNCTION("""COMPUTED_VALUE"""),"USA")</f>
        <v>USA</v>
      </c>
      <c r="E1470" s="156">
        <f>IFERROR(__xludf.DUMMYFUNCTION("""COMPUTED_VALUE"""),43796.0)</f>
        <v>43796</v>
      </c>
      <c r="F1470" s="129">
        <f>IFERROR(__xludf.DUMMYFUNCTION("""COMPUTED_VALUE"""),43808.0)</f>
        <v>43808</v>
      </c>
      <c r="G1470" s="154"/>
      <c r="H1470" s="131">
        <f>IFERROR(__xludf.DUMMYFUNCTION("""COMPUTED_VALUE"""),597146.0)</f>
        <v>597146</v>
      </c>
      <c r="I1470" s="144" t="str">
        <f>IFERROR(__xludf.DUMMYFUNCTION("""COMPUTED_VALUE"""),"12/19")</f>
        <v>12/19</v>
      </c>
      <c r="J1470" s="129">
        <f>IFERROR(__xludf.DUMMYFUNCTION("""COMPUTED_VALUE"""),43810.0)</f>
        <v>43810</v>
      </c>
      <c r="K1470" s="133">
        <f>IFERROR(__xludf.DUMMYFUNCTION("""COMPUTED_VALUE"""),12.0)</f>
        <v>12</v>
      </c>
      <c r="L1470" s="133">
        <f>IFERROR(__xludf.DUMMYFUNCTION("""COMPUTED_VALUE"""),2.0)</f>
        <v>2</v>
      </c>
      <c r="M1470" s="133">
        <f>IFERROR(__xludf.DUMMYFUNCTION("""COMPUTED_VALUE"""),14.0)</f>
        <v>14</v>
      </c>
      <c r="N1470" s="152" t="str">
        <f>IFERROR(__xludf.DUMMYFUNCTION("""COMPUTED_VALUE"""),"Model 3 SR+")</f>
        <v>Model 3 SR+</v>
      </c>
      <c r="O1470" s="152" t="str">
        <f>IFERROR(__xludf.DUMMYFUNCTION("""COMPUTED_VALUE"""),"Midnight Silver Metallic")</f>
        <v>Midnight Silver Metallic</v>
      </c>
      <c r="P1470" s="153" t="str">
        <f>IFERROR(__xludf.DUMMYFUNCTION("""COMPUTED_VALUE"""),"18 inch Aero")</f>
        <v>18 inch Aero</v>
      </c>
      <c r="Q1470" s="152" t="str">
        <f>IFERROR(__xludf.DUMMYFUNCTION("""COMPUTED_VALUE"""),"Black seats")</f>
        <v>Black seats</v>
      </c>
      <c r="R1470" s="149" t="str">
        <f>IFERROR(__xludf.DUMMYFUNCTION("""COMPUTED_VALUE"""),"Autopilot")</f>
        <v>Autopilot</v>
      </c>
      <c r="S1470" s="149"/>
      <c r="T1470" s="145"/>
      <c r="U1470" s="145"/>
      <c r="V1470" s="145"/>
      <c r="W1470" s="136"/>
      <c r="X1470" s="137" t="str">
        <f>IFERROR(__xludf.DUMMYFUNCTION("""COMPUTED_VALUE"""),"Excellent")</f>
        <v>Excellent</v>
      </c>
      <c r="Y1470" s="138" t="str">
        <f>IFERROR(__xludf.DUMMYFUNCTION("""COMPUTED_VALUE"""),"Excellent")</f>
        <v>Excellent</v>
      </c>
      <c r="Z1470" s="138" t="str">
        <f>IFERROR(__xludf.DUMMYFUNCTION("""COMPUTED_VALUE"""),"Excellent")</f>
        <v>Excellent</v>
      </c>
      <c r="AA1470" s="138" t="str">
        <f>IFERROR(__xludf.DUMMYFUNCTION("""COMPUTED_VALUE"""),"Very Good")</f>
        <v>Very Good</v>
      </c>
      <c r="AB1470" s="138" t="str">
        <f>IFERROR(__xludf.DUMMYFUNCTION("""COMPUTED_VALUE"""),"Excellent")</f>
        <v>Excellent</v>
      </c>
      <c r="AC1470" s="139">
        <f>IFERROR(__xludf.DUMMYFUNCTION("""COMPUTED_VALUE"""),0.0)</f>
        <v>0</v>
      </c>
      <c r="AD1470" s="139"/>
      <c r="AE1470" s="139"/>
      <c r="AF1470" s="140"/>
      <c r="AG1470" s="136" t="str">
        <f>IFERROR(__xludf.DUMMYFUNCTION("""COMPUTED_VALUE"""),"Windshield cracked with rock on day 11 - Service Center rejected appointment because they're ""too busy"" and send me to a local repair company instead.")</f>
        <v>Windshield cracked with rock on day 11 - Service Center rejected appointment because they're "too busy" and send me to a local repair company instead.</v>
      </c>
      <c r="AH1470" s="157">
        <f>IFERROR(__xludf.DUMMYFUNCTION("""COMPUTED_VALUE"""),43823.391020891206)</f>
        <v>43823.39102</v>
      </c>
      <c r="AI1470" s="138"/>
      <c r="AJ1470" s="138"/>
      <c r="AK1470" s="138"/>
      <c r="AL1470" s="142"/>
    </row>
    <row r="1471" ht="20.25" customHeight="1">
      <c r="A1471" s="155" t="str">
        <f>IFERROR(__xludf.DUMMYFUNCTION("""COMPUTED_VALUE"""),"Mast3rm1nd")</f>
        <v>Mast3rm1nd</v>
      </c>
      <c r="B1471" s="149"/>
      <c r="C1471" s="149" t="str">
        <f>IFERROR(__xludf.DUMMYFUNCTION("""COMPUTED_VALUE"""),"FL")</f>
        <v>FL</v>
      </c>
      <c r="D1471" s="149" t="str">
        <f>IFERROR(__xludf.DUMMYFUNCTION("""COMPUTED_VALUE"""),"USA")</f>
        <v>USA</v>
      </c>
      <c r="E1471" s="156">
        <f>IFERROR(__xludf.DUMMYFUNCTION("""COMPUTED_VALUE"""),43796.0)</f>
        <v>43796</v>
      </c>
      <c r="F1471" s="129">
        <f>IFERROR(__xludf.DUMMYFUNCTION("""COMPUTED_VALUE"""),43809.0)</f>
        <v>43809</v>
      </c>
      <c r="G1471" s="154"/>
      <c r="H1471" s="131">
        <f>IFERROR(__xludf.DUMMYFUNCTION("""COMPUTED_VALUE"""),602355.0)</f>
        <v>602355</v>
      </c>
      <c r="I1471" s="144"/>
      <c r="J1471" s="129">
        <f>IFERROR(__xludf.DUMMYFUNCTION("""COMPUTED_VALUE"""),43816.0)</f>
        <v>43816</v>
      </c>
      <c r="K1471" s="133">
        <f>IFERROR(__xludf.DUMMYFUNCTION("""COMPUTED_VALUE"""),13.0)</f>
        <v>13</v>
      </c>
      <c r="L1471" s="133">
        <f>IFERROR(__xludf.DUMMYFUNCTION("""COMPUTED_VALUE"""),7.0)</f>
        <v>7</v>
      </c>
      <c r="M1471" s="133">
        <f>IFERROR(__xludf.DUMMYFUNCTION("""COMPUTED_VALUE"""),20.0)</f>
        <v>20</v>
      </c>
      <c r="N1471" s="152" t="str">
        <f>IFERROR(__xludf.DUMMYFUNCTION("""COMPUTED_VALUE"""),"Model 3 Performance")</f>
        <v>Model 3 Performance</v>
      </c>
      <c r="O1471" s="152" t="str">
        <f>IFERROR(__xludf.DUMMYFUNCTION("""COMPUTED_VALUE"""),"Deep Blue Metallic")</f>
        <v>Deep Blue Metallic</v>
      </c>
      <c r="P1471" s="153" t="str">
        <f>IFERROR(__xludf.DUMMYFUNCTION("""COMPUTED_VALUE"""),"18 inch Aero")</f>
        <v>18 inch Aero</v>
      </c>
      <c r="Q1471" s="152" t="str">
        <f>IFERROR(__xludf.DUMMYFUNCTION("""COMPUTED_VALUE"""),"Black seats")</f>
        <v>Black seats</v>
      </c>
      <c r="R1471" s="149" t="str">
        <f>IFERROR(__xludf.DUMMYFUNCTION("""COMPUTED_VALUE"""),"Autopilot")</f>
        <v>Autopilot</v>
      </c>
      <c r="S1471" s="149"/>
      <c r="T1471" s="145"/>
      <c r="U1471" s="145"/>
      <c r="V1471" s="145"/>
      <c r="W1471" s="136"/>
      <c r="X1471" s="137"/>
      <c r="Y1471" s="138"/>
      <c r="Z1471" s="138"/>
      <c r="AA1471" s="138" t="str">
        <f>IFERROR(__xludf.DUMMYFUNCTION("""COMPUTED_VALUE"""),"Good")</f>
        <v>Good</v>
      </c>
      <c r="AB1471" s="138"/>
      <c r="AC1471" s="139"/>
      <c r="AD1471" s="139"/>
      <c r="AE1471" s="139"/>
      <c r="AF1471" s="140"/>
      <c r="AG1471" s="136" t="str">
        <f>IFERROR(__xludf.DUMMYFUNCTION("""COMPUTED_VALUE"""),"VIN found in source 12/10; Tesla called to confirm delivery on 12/16 and offered to move me up to 12/17 which I accepted")</f>
        <v>VIN found in source 12/10; Tesla called to confirm delivery on 12/16 and offered to move me up to 12/17 which I accepted</v>
      </c>
      <c r="AH1471" s="157">
        <f>IFERROR(__xludf.DUMMYFUNCTION("""COMPUTED_VALUE"""),43815.76068651621)</f>
        <v>43815.76069</v>
      </c>
      <c r="AI1471" s="138"/>
      <c r="AJ1471" s="138"/>
      <c r="AK1471" s="138"/>
      <c r="AL1471" s="142"/>
    </row>
    <row r="1472" ht="20.25" customHeight="1">
      <c r="A1472" s="155" t="str">
        <f>IFERROR(__xludf.DUMMYFUNCTION("""COMPUTED_VALUE"""),"Random2512")</f>
        <v>Random2512</v>
      </c>
      <c r="B1472" s="149" t="str">
        <f>IFERROR(__xludf.DUMMYFUNCTION("""COMPUTED_VALUE"""),"Santa Barbara")</f>
        <v>Santa Barbara</v>
      </c>
      <c r="C1472" s="149" t="str">
        <f>IFERROR(__xludf.DUMMYFUNCTION("""COMPUTED_VALUE"""),"CA")</f>
        <v>CA</v>
      </c>
      <c r="D1472" s="149" t="str">
        <f>IFERROR(__xludf.DUMMYFUNCTION("""COMPUTED_VALUE"""),"USA")</f>
        <v>USA</v>
      </c>
      <c r="E1472" s="156">
        <f>IFERROR(__xludf.DUMMYFUNCTION("""COMPUTED_VALUE"""),43796.0)</f>
        <v>43796</v>
      </c>
      <c r="F1472" s="129">
        <f>IFERROR(__xludf.DUMMYFUNCTION("""COMPUTED_VALUE"""),43826.0)</f>
        <v>43826</v>
      </c>
      <c r="G1472" s="154"/>
      <c r="H1472" s="131">
        <f>IFERROR(__xludf.DUMMYFUNCTION("""COMPUTED_VALUE"""),650355.0)</f>
        <v>650355</v>
      </c>
      <c r="I1472" s="144"/>
      <c r="J1472" s="129">
        <f>IFERROR(__xludf.DUMMYFUNCTION("""COMPUTED_VALUE"""),43830.0)</f>
        <v>43830</v>
      </c>
      <c r="K1472" s="133">
        <f>IFERROR(__xludf.DUMMYFUNCTION("""COMPUTED_VALUE"""),30.0)</f>
        <v>30</v>
      </c>
      <c r="L1472" s="133">
        <f>IFERROR(__xludf.DUMMYFUNCTION("""COMPUTED_VALUE"""),4.0)</f>
        <v>4</v>
      </c>
      <c r="M1472" s="133">
        <f>IFERROR(__xludf.DUMMYFUNCTION("""COMPUTED_VALUE"""),34.0)</f>
        <v>34</v>
      </c>
      <c r="N1472" s="152" t="str">
        <f>IFERROR(__xludf.DUMMYFUNCTION("""COMPUTED_VALUE"""),"Model 3 LR AWD")</f>
        <v>Model 3 LR AWD</v>
      </c>
      <c r="O1472" s="152" t="str">
        <f>IFERROR(__xludf.DUMMYFUNCTION("""COMPUTED_VALUE"""),"Pearl White Multi-Coat")</f>
        <v>Pearl White Multi-Coat</v>
      </c>
      <c r="P1472" s="153" t="str">
        <f>IFERROR(__xludf.DUMMYFUNCTION("""COMPUTED_VALUE"""),"18 inch Aero")</f>
        <v>18 inch Aero</v>
      </c>
      <c r="Q1472" s="152" t="str">
        <f>IFERROR(__xludf.DUMMYFUNCTION("""COMPUTED_VALUE"""),"Black seats")</f>
        <v>Black seats</v>
      </c>
      <c r="R1472" s="149" t="str">
        <f>IFERROR(__xludf.DUMMYFUNCTION("""COMPUTED_VALUE"""),"Autopilot")</f>
        <v>Autopilot</v>
      </c>
      <c r="S1472" s="149"/>
      <c r="T1472" s="145"/>
      <c r="U1472" s="145"/>
      <c r="V1472" s="145"/>
      <c r="W1472" s="136"/>
      <c r="X1472" s="137" t="str">
        <f>IFERROR(__xludf.DUMMYFUNCTION("""COMPUTED_VALUE"""),"Excellent")</f>
        <v>Excellent</v>
      </c>
      <c r="Y1472" s="138" t="str">
        <f>IFERROR(__xludf.DUMMYFUNCTION("""COMPUTED_VALUE"""),"Excellent")</f>
        <v>Excellent</v>
      </c>
      <c r="Z1472" s="138" t="str">
        <f>IFERROR(__xludf.DUMMYFUNCTION("""COMPUTED_VALUE"""),"Excellent")</f>
        <v>Excellent</v>
      </c>
      <c r="AA1472" s="138" t="str">
        <f>IFERROR(__xludf.DUMMYFUNCTION("""COMPUTED_VALUE"""),"Poor")</f>
        <v>Poor</v>
      </c>
      <c r="AB1472" s="138" t="str">
        <f>IFERROR(__xludf.DUMMYFUNCTION("""COMPUTED_VALUE"""),"Good")</f>
        <v>Good</v>
      </c>
      <c r="AC1472" s="139"/>
      <c r="AD1472" s="139"/>
      <c r="AE1472" s="139"/>
      <c r="AF1472" s="140"/>
      <c r="AG1472" s="136"/>
      <c r="AH1472" s="157">
        <f>IFERROR(__xludf.DUMMYFUNCTION("""COMPUTED_VALUE"""),43832.22302771991)</f>
        <v>43832.22303</v>
      </c>
      <c r="AI1472" s="138"/>
      <c r="AJ1472" s="138"/>
      <c r="AK1472" s="138"/>
      <c r="AL1472" s="142"/>
    </row>
    <row r="1473" ht="20.25" customHeight="1">
      <c r="A1473" s="155" t="str">
        <f>IFERROR(__xludf.DUMMYFUNCTION("""COMPUTED_VALUE"""),"rhorwitz")</f>
        <v>rhorwitz</v>
      </c>
      <c r="B1473" s="149" t="str">
        <f>IFERROR(__xludf.DUMMYFUNCTION("""COMPUTED_VALUE"""),"Ventura")</f>
        <v>Ventura</v>
      </c>
      <c r="C1473" s="149" t="str">
        <f>IFERROR(__xludf.DUMMYFUNCTION("""COMPUTED_VALUE"""),"CA")</f>
        <v>CA</v>
      </c>
      <c r="D1473" s="149" t="str">
        <f>IFERROR(__xludf.DUMMYFUNCTION("""COMPUTED_VALUE"""),"USA")</f>
        <v>USA</v>
      </c>
      <c r="E1473" s="156">
        <f>IFERROR(__xludf.DUMMYFUNCTION("""COMPUTED_VALUE"""),43796.0)</f>
        <v>43796</v>
      </c>
      <c r="F1473" s="129">
        <f>IFERROR(__xludf.DUMMYFUNCTION("""COMPUTED_VALUE"""),43850.0)</f>
        <v>43850</v>
      </c>
      <c r="G1473" s="154"/>
      <c r="H1473" s="131">
        <f>IFERROR(__xludf.DUMMYFUNCTION("""COMPUTED_VALUE"""),632231.0)</f>
        <v>632231</v>
      </c>
      <c r="I1473" s="144" t="str">
        <f>IFERROR(__xludf.DUMMYFUNCTION("""COMPUTED_VALUE"""),"12/19")</f>
        <v>12/19</v>
      </c>
      <c r="J1473" s="129">
        <f>IFERROR(__xludf.DUMMYFUNCTION("""COMPUTED_VALUE"""),43853.0)</f>
        <v>43853</v>
      </c>
      <c r="K1473" s="133">
        <f>IFERROR(__xludf.DUMMYFUNCTION("""COMPUTED_VALUE"""),54.0)</f>
        <v>54</v>
      </c>
      <c r="L1473" s="133">
        <f>IFERROR(__xludf.DUMMYFUNCTION("""COMPUTED_VALUE"""),3.0)</f>
        <v>3</v>
      </c>
      <c r="M1473" s="133">
        <f>IFERROR(__xludf.DUMMYFUNCTION("""COMPUTED_VALUE"""),57.0)</f>
        <v>57</v>
      </c>
      <c r="N1473" s="152" t="str">
        <f>IFERROR(__xludf.DUMMYFUNCTION("""COMPUTED_VALUE"""),"Model 3 SR+")</f>
        <v>Model 3 SR+</v>
      </c>
      <c r="O1473" s="152" t="str">
        <f>IFERROR(__xludf.DUMMYFUNCTION("""COMPUTED_VALUE"""),"Pearl White Multi-Coat")</f>
        <v>Pearl White Multi-Coat</v>
      </c>
      <c r="P1473" s="153" t="str">
        <f>IFERROR(__xludf.DUMMYFUNCTION("""COMPUTED_VALUE"""),"18 inch Aero")</f>
        <v>18 inch Aero</v>
      </c>
      <c r="Q1473" s="152" t="str">
        <f>IFERROR(__xludf.DUMMYFUNCTION("""COMPUTED_VALUE"""),"Black seats")</f>
        <v>Black seats</v>
      </c>
      <c r="R1473" s="149" t="str">
        <f>IFERROR(__xludf.DUMMYFUNCTION("""COMPUTED_VALUE"""),"Autopilot")</f>
        <v>Autopilot</v>
      </c>
      <c r="S1473" s="149"/>
      <c r="T1473" s="145"/>
      <c r="U1473" s="145"/>
      <c r="V1473" s="145"/>
      <c r="W1473" s="136"/>
      <c r="X1473" s="137" t="str">
        <f>IFERROR(__xludf.DUMMYFUNCTION("""COMPUTED_VALUE"""),"Excellent")</f>
        <v>Excellent</v>
      </c>
      <c r="Y1473" s="138" t="str">
        <f>IFERROR(__xludf.DUMMYFUNCTION("""COMPUTED_VALUE"""),"Excellent")</f>
        <v>Excellent</v>
      </c>
      <c r="Z1473" s="138" t="str">
        <f>IFERROR(__xludf.DUMMYFUNCTION("""COMPUTED_VALUE"""),"Excellent")</f>
        <v>Excellent</v>
      </c>
      <c r="AA1473" s="138" t="str">
        <f>IFERROR(__xludf.DUMMYFUNCTION("""COMPUTED_VALUE"""),"Poor")</f>
        <v>Poor</v>
      </c>
      <c r="AB1473" s="138" t="str">
        <f>IFERROR(__xludf.DUMMYFUNCTION("""COMPUTED_VALUE"""),"Excellent")</f>
        <v>Excellent</v>
      </c>
      <c r="AC1473" s="139">
        <f>IFERROR(__xludf.DUMMYFUNCTION("""COMPUTED_VALUE"""),0.0)</f>
        <v>0</v>
      </c>
      <c r="AD1473" s="139"/>
      <c r="AE1473" s="139">
        <f>IFERROR(__xludf.DUMMYFUNCTION("""COMPUTED_VALUE"""),0.0)</f>
        <v>0</v>
      </c>
      <c r="AF1473" s="140"/>
      <c r="AG1473" s="136"/>
      <c r="AH1473" s="157">
        <f>IFERROR(__xludf.DUMMYFUNCTION("""COMPUTED_VALUE"""),43853.6638992824)</f>
        <v>43853.6639</v>
      </c>
      <c r="AI1473" s="138"/>
      <c r="AJ1473" s="138"/>
      <c r="AK1473" s="138"/>
      <c r="AL1473" s="142"/>
    </row>
    <row r="1474" ht="20.25" customHeight="1">
      <c r="A1474" s="155" t="str">
        <f>IFERROR(__xludf.DUMMYFUNCTION("""COMPUTED_VALUE"""),"Anker")</f>
        <v>Anker</v>
      </c>
      <c r="B1474" s="149"/>
      <c r="C1474" s="149" t="str">
        <f>IFERROR(__xludf.DUMMYFUNCTION("""COMPUTED_VALUE"""),"MD")</f>
        <v>MD</v>
      </c>
      <c r="D1474" s="149" t="str">
        <f>IFERROR(__xludf.DUMMYFUNCTION("""COMPUTED_VALUE"""),"USA")</f>
        <v>USA</v>
      </c>
      <c r="E1474" s="156">
        <f>IFERROR(__xludf.DUMMYFUNCTION("""COMPUTED_VALUE"""),43795.0)</f>
        <v>43795</v>
      </c>
      <c r="F1474" s="129">
        <f>IFERROR(__xludf.DUMMYFUNCTION("""COMPUTED_VALUE"""),43805.0)</f>
        <v>43805</v>
      </c>
      <c r="G1474" s="154"/>
      <c r="H1474" s="131">
        <f>IFERROR(__xludf.DUMMYFUNCTION("""COMPUTED_VALUE"""),598255.0)</f>
        <v>598255</v>
      </c>
      <c r="I1474" s="144" t="str">
        <f>IFERROR(__xludf.DUMMYFUNCTION("""COMPUTED_VALUE"""),"12/19")</f>
        <v>12/19</v>
      </c>
      <c r="J1474" s="129">
        <f>IFERROR(__xludf.DUMMYFUNCTION("""COMPUTED_VALUE"""),43812.0)</f>
        <v>43812</v>
      </c>
      <c r="K1474" s="133">
        <f>IFERROR(__xludf.DUMMYFUNCTION("""COMPUTED_VALUE"""),10.0)</f>
        <v>10</v>
      </c>
      <c r="L1474" s="133">
        <f>IFERROR(__xludf.DUMMYFUNCTION("""COMPUTED_VALUE"""),7.0)</f>
        <v>7</v>
      </c>
      <c r="M1474" s="133">
        <f>IFERROR(__xludf.DUMMYFUNCTION("""COMPUTED_VALUE"""),17.0)</f>
        <v>17</v>
      </c>
      <c r="N1474" s="152" t="str">
        <f>IFERROR(__xludf.DUMMYFUNCTION("""COMPUTED_VALUE"""),"Model 3 SR+")</f>
        <v>Model 3 SR+</v>
      </c>
      <c r="O1474" s="152" t="str">
        <f>IFERROR(__xludf.DUMMYFUNCTION("""COMPUTED_VALUE"""),"Pearl White Multi-Coat")</f>
        <v>Pearl White Multi-Coat</v>
      </c>
      <c r="P1474" s="153" t="str">
        <f>IFERROR(__xludf.DUMMYFUNCTION("""COMPUTED_VALUE"""),"18 inch Aero")</f>
        <v>18 inch Aero</v>
      </c>
      <c r="Q1474" s="152" t="str">
        <f>IFERROR(__xludf.DUMMYFUNCTION("""COMPUTED_VALUE"""),"Black seats")</f>
        <v>Black seats</v>
      </c>
      <c r="R1474" s="149" t="str">
        <f>IFERROR(__xludf.DUMMYFUNCTION("""COMPUTED_VALUE"""),"Autopilot")</f>
        <v>Autopilot</v>
      </c>
      <c r="S1474" s="149"/>
      <c r="T1474" s="145"/>
      <c r="U1474" s="145"/>
      <c r="V1474" s="145"/>
      <c r="W1474" s="136"/>
      <c r="X1474" s="137" t="str">
        <f>IFERROR(__xludf.DUMMYFUNCTION("""COMPUTED_VALUE"""),"Very Good")</f>
        <v>Very Good</v>
      </c>
      <c r="Y1474" s="138" t="str">
        <f>IFERROR(__xludf.DUMMYFUNCTION("""COMPUTED_VALUE"""),"Very Good")</f>
        <v>Very Good</v>
      </c>
      <c r="Z1474" s="138" t="str">
        <f>IFERROR(__xludf.DUMMYFUNCTION("""COMPUTED_VALUE"""),"Very Good")</f>
        <v>Very Good</v>
      </c>
      <c r="AA1474" s="138" t="str">
        <f>IFERROR(__xludf.DUMMYFUNCTION("""COMPUTED_VALUE"""),"Very Good")</f>
        <v>Very Good</v>
      </c>
      <c r="AB1474" s="138" t="str">
        <f>IFERROR(__xludf.DUMMYFUNCTION("""COMPUTED_VALUE"""),"Very Good")</f>
        <v>Very Good</v>
      </c>
      <c r="AC1474" s="139"/>
      <c r="AD1474" s="139"/>
      <c r="AE1474" s="139"/>
      <c r="AF1474" s="140"/>
      <c r="AG1474" s="136"/>
      <c r="AH1474" s="157">
        <f>IFERROR(__xludf.DUMMYFUNCTION("""COMPUTED_VALUE"""),43824.73627203704)</f>
        <v>43824.73627</v>
      </c>
      <c r="AI1474" s="138"/>
      <c r="AJ1474" s="138"/>
      <c r="AK1474" s="138"/>
      <c r="AL1474" s="142"/>
    </row>
    <row r="1475" ht="20.25" customHeight="1">
      <c r="A1475" s="155" t="str">
        <f>IFERROR(__xludf.DUMMYFUNCTION("""COMPUTED_VALUE"""),"cbattlew")</f>
        <v>cbattlew</v>
      </c>
      <c r="B1475" s="149" t="str">
        <f>IFERROR(__xludf.DUMMYFUNCTION("""COMPUTED_VALUE"""),"Dedham")</f>
        <v>Dedham</v>
      </c>
      <c r="C1475" s="149" t="str">
        <f>IFERROR(__xludf.DUMMYFUNCTION("""COMPUTED_VALUE"""),"MA")</f>
        <v>MA</v>
      </c>
      <c r="D1475" s="149" t="str">
        <f>IFERROR(__xludf.DUMMYFUNCTION("""COMPUTED_VALUE"""),"USA")</f>
        <v>USA</v>
      </c>
      <c r="E1475" s="156">
        <f>IFERROR(__xludf.DUMMYFUNCTION("""COMPUTED_VALUE"""),43795.0)</f>
        <v>43795</v>
      </c>
      <c r="F1475" s="129">
        <f>IFERROR(__xludf.DUMMYFUNCTION("""COMPUTED_VALUE"""),43806.0)</f>
        <v>43806</v>
      </c>
      <c r="G1475" s="154"/>
      <c r="H1475" s="131">
        <f>IFERROR(__xludf.DUMMYFUNCTION("""COMPUTED_VALUE"""),606757.0)</f>
        <v>606757</v>
      </c>
      <c r="I1475" s="144"/>
      <c r="J1475" s="129">
        <f>IFERROR(__xludf.DUMMYFUNCTION("""COMPUTED_VALUE"""),43821.0)</f>
        <v>43821</v>
      </c>
      <c r="K1475" s="133">
        <f>IFERROR(__xludf.DUMMYFUNCTION("""COMPUTED_VALUE"""),11.0)</f>
        <v>11</v>
      </c>
      <c r="L1475" s="133">
        <f>IFERROR(__xludf.DUMMYFUNCTION("""COMPUTED_VALUE"""),15.0)</f>
        <v>15</v>
      </c>
      <c r="M1475" s="133">
        <f>IFERROR(__xludf.DUMMYFUNCTION("""COMPUTED_VALUE"""),26.0)</f>
        <v>26</v>
      </c>
      <c r="N1475" s="152" t="str">
        <f>IFERROR(__xludf.DUMMYFUNCTION("""COMPUTED_VALUE"""),"Model 3 SR+")</f>
        <v>Model 3 SR+</v>
      </c>
      <c r="O1475" s="152" t="str">
        <f>IFERROR(__xludf.DUMMYFUNCTION("""COMPUTED_VALUE"""),"Solid Black")</f>
        <v>Solid Black</v>
      </c>
      <c r="P1475" s="153" t="str">
        <f>IFERROR(__xludf.DUMMYFUNCTION("""COMPUTED_VALUE"""),"18 inch Aero")</f>
        <v>18 inch Aero</v>
      </c>
      <c r="Q1475" s="152" t="str">
        <f>IFERROR(__xludf.DUMMYFUNCTION("""COMPUTED_VALUE"""),"White seats")</f>
        <v>White seats</v>
      </c>
      <c r="R1475" s="149" t="str">
        <f>IFERROR(__xludf.DUMMYFUNCTION("""COMPUTED_VALUE"""),"Autopilot")</f>
        <v>Autopilot</v>
      </c>
      <c r="S1475" s="149"/>
      <c r="T1475" s="145"/>
      <c r="U1475" s="145"/>
      <c r="V1475" s="145"/>
      <c r="W1475" s="136"/>
      <c r="X1475" s="137" t="str">
        <f>IFERROR(__xludf.DUMMYFUNCTION("""COMPUTED_VALUE"""),"Excellent")</f>
        <v>Excellent</v>
      </c>
      <c r="Y1475" s="138" t="str">
        <f>IFERROR(__xludf.DUMMYFUNCTION("""COMPUTED_VALUE"""),"Very Good")</f>
        <v>Very Good</v>
      </c>
      <c r="Z1475" s="138" t="str">
        <f>IFERROR(__xludf.DUMMYFUNCTION("""COMPUTED_VALUE"""),"Very Good")</f>
        <v>Very Good</v>
      </c>
      <c r="AA1475" s="138" t="str">
        <f>IFERROR(__xludf.DUMMYFUNCTION("""COMPUTED_VALUE"""),"Excellent")</f>
        <v>Excellent</v>
      </c>
      <c r="AB1475" s="138" t="str">
        <f>IFERROR(__xludf.DUMMYFUNCTION("""COMPUTED_VALUE"""),"Excellent")</f>
        <v>Excellent</v>
      </c>
      <c r="AC1475" s="139"/>
      <c r="AD1475" s="139"/>
      <c r="AE1475" s="139"/>
      <c r="AF1475" s="140"/>
      <c r="AG1475" s="136"/>
      <c r="AH1475" s="157">
        <f>IFERROR(__xludf.DUMMYFUNCTION("""COMPUTED_VALUE"""),43828.61728550926)</f>
        <v>43828.61729</v>
      </c>
      <c r="AI1475" s="138"/>
      <c r="AJ1475" s="138"/>
      <c r="AK1475" s="138"/>
      <c r="AL1475" s="142"/>
    </row>
    <row r="1476" ht="20.25" customHeight="1">
      <c r="A1476" s="155" t="str">
        <f>IFERROR(__xludf.DUMMYFUNCTION("""COMPUTED_VALUE"""),"MadisonTeslaFan")</f>
        <v>MadisonTeslaFan</v>
      </c>
      <c r="B1476" s="149" t="str">
        <f>IFERROR(__xludf.DUMMYFUNCTION("""COMPUTED_VALUE"""),"Madison")</f>
        <v>Madison</v>
      </c>
      <c r="C1476" s="149" t="str">
        <f>IFERROR(__xludf.DUMMYFUNCTION("""COMPUTED_VALUE"""),"WI")</f>
        <v>WI</v>
      </c>
      <c r="D1476" s="149" t="str">
        <f>IFERROR(__xludf.DUMMYFUNCTION("""COMPUTED_VALUE"""),"USA")</f>
        <v>USA</v>
      </c>
      <c r="E1476" s="156">
        <f>IFERROR(__xludf.DUMMYFUNCTION("""COMPUTED_VALUE"""),43795.0)</f>
        <v>43795</v>
      </c>
      <c r="F1476" s="129">
        <f>IFERROR(__xludf.DUMMYFUNCTION("""COMPUTED_VALUE"""),43803.0)</f>
        <v>43803</v>
      </c>
      <c r="G1476" s="154"/>
      <c r="H1476" s="131">
        <f>IFERROR(__xludf.DUMMYFUNCTION("""COMPUTED_VALUE"""),616723.0)</f>
        <v>616723</v>
      </c>
      <c r="I1476" s="144"/>
      <c r="J1476" s="129">
        <f>IFERROR(__xludf.DUMMYFUNCTION("""COMPUTED_VALUE"""),43819.0)</f>
        <v>43819</v>
      </c>
      <c r="K1476" s="133">
        <f>IFERROR(__xludf.DUMMYFUNCTION("""COMPUTED_VALUE"""),8.0)</f>
        <v>8</v>
      </c>
      <c r="L1476" s="133">
        <f>IFERROR(__xludf.DUMMYFUNCTION("""COMPUTED_VALUE"""),16.0)</f>
        <v>16</v>
      </c>
      <c r="M1476" s="133">
        <f>IFERROR(__xludf.DUMMYFUNCTION("""COMPUTED_VALUE"""),24.0)</f>
        <v>24</v>
      </c>
      <c r="N1476" s="152" t="str">
        <f>IFERROR(__xludf.DUMMYFUNCTION("""COMPUTED_VALUE"""),"Model 3 LR AWD")</f>
        <v>Model 3 LR AWD</v>
      </c>
      <c r="O1476" s="152" t="str">
        <f>IFERROR(__xludf.DUMMYFUNCTION("""COMPUTED_VALUE"""),"Midnight Silver Metallic")</f>
        <v>Midnight Silver Metallic</v>
      </c>
      <c r="P1476" s="153" t="str">
        <f>IFERROR(__xludf.DUMMYFUNCTION("""COMPUTED_VALUE"""),"18 inch Aero")</f>
        <v>18 inch Aero</v>
      </c>
      <c r="Q1476" s="152" t="str">
        <f>IFERROR(__xludf.DUMMYFUNCTION("""COMPUTED_VALUE"""),"Black seats")</f>
        <v>Black seats</v>
      </c>
      <c r="R1476" s="149" t="str">
        <f>IFERROR(__xludf.DUMMYFUNCTION("""COMPUTED_VALUE"""),"Autopilot")</f>
        <v>Autopilot</v>
      </c>
      <c r="S1476" s="149"/>
      <c r="T1476" s="145"/>
      <c r="U1476" s="145"/>
      <c r="V1476" s="145"/>
      <c r="W1476" s="136"/>
      <c r="X1476" s="137" t="str">
        <f>IFERROR(__xludf.DUMMYFUNCTION("""COMPUTED_VALUE"""),"Excellent")</f>
        <v>Excellent</v>
      </c>
      <c r="Y1476" s="138" t="str">
        <f>IFERROR(__xludf.DUMMYFUNCTION("""COMPUTED_VALUE"""),"Very Good")</f>
        <v>Very Good</v>
      </c>
      <c r="Z1476" s="138" t="str">
        <f>IFERROR(__xludf.DUMMYFUNCTION("""COMPUTED_VALUE"""),"Excellent")</f>
        <v>Excellent</v>
      </c>
      <c r="AA1476" s="138" t="str">
        <f>IFERROR(__xludf.DUMMYFUNCTION("""COMPUTED_VALUE"""),"Fair")</f>
        <v>Fair</v>
      </c>
      <c r="AB1476" s="138" t="str">
        <f>IFERROR(__xludf.DUMMYFUNCTION("""COMPUTED_VALUE"""),"Very Good")</f>
        <v>Very Good</v>
      </c>
      <c r="AC1476" s="139">
        <f>IFERROR(__xludf.DUMMYFUNCTION("""COMPUTED_VALUE"""),0.0)</f>
        <v>0</v>
      </c>
      <c r="AD1476" s="139">
        <f>IFERROR(__xludf.DUMMYFUNCTION("""COMPUTED_VALUE"""),0.0)</f>
        <v>0</v>
      </c>
      <c r="AE1476" s="139">
        <f>IFERROR(__xludf.DUMMYFUNCTION("""COMPUTED_VALUE"""),0.0)</f>
        <v>0</v>
      </c>
      <c r="AF1476" s="140"/>
      <c r="AG1476" s="136" t="str">
        <f>IFERROR(__xludf.DUMMYFUNCTION("""COMPUTED_VALUE"""),"VIN found in source code.  Vehicle flawless at delivery.")</f>
        <v>VIN found in source code.  Vehicle flawless at delivery.</v>
      </c>
      <c r="AH1476" s="157">
        <f>IFERROR(__xludf.DUMMYFUNCTION("""COMPUTED_VALUE"""),43822.354295879624)</f>
        <v>43822.3543</v>
      </c>
      <c r="AI1476" s="138"/>
      <c r="AJ1476" s="138"/>
      <c r="AK1476" s="138"/>
      <c r="AL1476" s="142"/>
    </row>
    <row r="1477" ht="20.25" customHeight="1">
      <c r="A1477" s="155" t="str">
        <f>IFERROR(__xludf.DUMMYFUNCTION("""COMPUTED_VALUE"""),"RUN-TMC")</f>
        <v>RUN-TMC</v>
      </c>
      <c r="B1477" s="149" t="str">
        <f>IFERROR(__xludf.DUMMYFUNCTION("""COMPUTED_VALUE"""),"Provo")</f>
        <v>Provo</v>
      </c>
      <c r="C1477" s="149" t="str">
        <f>IFERROR(__xludf.DUMMYFUNCTION("""COMPUTED_VALUE"""),"UT")</f>
        <v>UT</v>
      </c>
      <c r="D1477" s="149" t="str">
        <f>IFERROR(__xludf.DUMMYFUNCTION("""COMPUTED_VALUE"""),"USA")</f>
        <v>USA</v>
      </c>
      <c r="E1477" s="156">
        <f>IFERROR(__xludf.DUMMYFUNCTION("""COMPUTED_VALUE"""),43795.0)</f>
        <v>43795</v>
      </c>
      <c r="F1477" s="129">
        <f>IFERROR(__xludf.DUMMYFUNCTION("""COMPUTED_VALUE"""),43817.0)</f>
        <v>43817</v>
      </c>
      <c r="G1477" s="154"/>
      <c r="H1477" s="131">
        <f>IFERROR(__xludf.DUMMYFUNCTION("""COMPUTED_VALUE"""),619855.0)</f>
        <v>619855</v>
      </c>
      <c r="I1477" s="144" t="str">
        <f>IFERROR(__xludf.DUMMYFUNCTION("""COMPUTED_VALUE"""),"12/19")</f>
        <v>12/19</v>
      </c>
      <c r="J1477" s="129">
        <f>IFERROR(__xludf.DUMMYFUNCTION("""COMPUTED_VALUE"""),43819.0)</f>
        <v>43819</v>
      </c>
      <c r="K1477" s="133">
        <f>IFERROR(__xludf.DUMMYFUNCTION("""COMPUTED_VALUE"""),22.0)</f>
        <v>22</v>
      </c>
      <c r="L1477" s="133">
        <f>IFERROR(__xludf.DUMMYFUNCTION("""COMPUTED_VALUE"""),2.0)</f>
        <v>2</v>
      </c>
      <c r="M1477" s="133">
        <f>IFERROR(__xludf.DUMMYFUNCTION("""COMPUTED_VALUE"""),24.0)</f>
        <v>24</v>
      </c>
      <c r="N1477" s="152" t="str">
        <f>IFERROR(__xludf.DUMMYFUNCTION("""COMPUTED_VALUE"""),"Model 3 LR AWD")</f>
        <v>Model 3 LR AWD</v>
      </c>
      <c r="O1477" s="152" t="str">
        <f>IFERROR(__xludf.DUMMYFUNCTION("""COMPUTED_VALUE"""),"Pearl White Multi-Coat")</f>
        <v>Pearl White Multi-Coat</v>
      </c>
      <c r="P1477" s="153" t="str">
        <f>IFERROR(__xludf.DUMMYFUNCTION("""COMPUTED_VALUE"""),"18 inch Aero")</f>
        <v>18 inch Aero</v>
      </c>
      <c r="Q1477" s="152" t="str">
        <f>IFERROR(__xludf.DUMMYFUNCTION("""COMPUTED_VALUE"""),"Black seats")</f>
        <v>Black seats</v>
      </c>
      <c r="R1477" s="149" t="str">
        <f>IFERROR(__xludf.DUMMYFUNCTION("""COMPUTED_VALUE"""),"Autopilot")</f>
        <v>Autopilot</v>
      </c>
      <c r="S1477" s="149"/>
      <c r="T1477" s="145"/>
      <c r="U1477" s="145"/>
      <c r="V1477" s="145"/>
      <c r="W1477" s="136"/>
      <c r="X1477" s="137" t="str">
        <f>IFERROR(__xludf.DUMMYFUNCTION("""COMPUTED_VALUE"""),"Excellent")</f>
        <v>Excellent</v>
      </c>
      <c r="Y1477" s="138" t="str">
        <f>IFERROR(__xludf.DUMMYFUNCTION("""COMPUTED_VALUE"""),"Excellent")</f>
        <v>Excellent</v>
      </c>
      <c r="Z1477" s="138" t="str">
        <f>IFERROR(__xludf.DUMMYFUNCTION("""COMPUTED_VALUE"""),"Excellent")</f>
        <v>Excellent</v>
      </c>
      <c r="AA1477" s="138" t="str">
        <f>IFERROR(__xludf.DUMMYFUNCTION("""COMPUTED_VALUE"""),"Good")</f>
        <v>Good</v>
      </c>
      <c r="AB1477" s="138" t="str">
        <f>IFERROR(__xludf.DUMMYFUNCTION("""COMPUTED_VALUE"""),"Good")</f>
        <v>Good</v>
      </c>
      <c r="AC1477" s="139"/>
      <c r="AD1477" s="139"/>
      <c r="AE1477" s="139"/>
      <c r="AF1477" s="140"/>
      <c r="AG1477" s="136"/>
      <c r="AH1477" s="157">
        <f>IFERROR(__xludf.DUMMYFUNCTION("""COMPUTED_VALUE"""),43820.45953189815)</f>
        <v>43820.45953</v>
      </c>
      <c r="AI1477" s="138"/>
      <c r="AJ1477" s="138"/>
      <c r="AK1477" s="138"/>
      <c r="AL1477" s="142"/>
    </row>
    <row r="1478" ht="20.25" customHeight="1">
      <c r="A1478" s="155" t="str">
        <f>IFERROR(__xludf.DUMMYFUNCTION("""COMPUTED_VALUE"""),"jwc")</f>
        <v>jwc</v>
      </c>
      <c r="B1478" s="149" t="str">
        <f>IFERROR(__xludf.DUMMYFUNCTION("""COMPUTED_VALUE"""),"Seattle")</f>
        <v>Seattle</v>
      </c>
      <c r="C1478" s="149" t="str">
        <f>IFERROR(__xludf.DUMMYFUNCTION("""COMPUTED_VALUE"""),"WA")</f>
        <v>WA</v>
      </c>
      <c r="D1478" s="149" t="str">
        <f>IFERROR(__xludf.DUMMYFUNCTION("""COMPUTED_VALUE"""),"USA")</f>
        <v>USA</v>
      </c>
      <c r="E1478" s="156">
        <f>IFERROR(__xludf.DUMMYFUNCTION("""COMPUTED_VALUE"""),43794.0)</f>
        <v>43794</v>
      </c>
      <c r="F1478" s="129">
        <f>IFERROR(__xludf.DUMMYFUNCTION("""COMPUTED_VALUE"""),43824.0)</f>
        <v>43824</v>
      </c>
      <c r="G1478" s="154"/>
      <c r="H1478" s="131">
        <f>IFERROR(__xludf.DUMMYFUNCTION("""COMPUTED_VALUE"""),647697.0)</f>
        <v>647697</v>
      </c>
      <c r="I1478" s="144" t="str">
        <f>IFERROR(__xludf.DUMMYFUNCTION("""COMPUTED_VALUE"""),"12/19")</f>
        <v>12/19</v>
      </c>
      <c r="J1478" s="129">
        <f>IFERROR(__xludf.DUMMYFUNCTION("""COMPUTED_VALUE"""),43828.0)</f>
        <v>43828</v>
      </c>
      <c r="K1478" s="133">
        <f>IFERROR(__xludf.DUMMYFUNCTION("""COMPUTED_VALUE"""),30.0)</f>
        <v>30</v>
      </c>
      <c r="L1478" s="133">
        <f>IFERROR(__xludf.DUMMYFUNCTION("""COMPUTED_VALUE"""),4.0)</f>
        <v>4</v>
      </c>
      <c r="M1478" s="133">
        <f>IFERROR(__xludf.DUMMYFUNCTION("""COMPUTED_VALUE"""),34.0)</f>
        <v>34</v>
      </c>
      <c r="N1478" s="152" t="str">
        <f>IFERROR(__xludf.DUMMYFUNCTION("""COMPUTED_VALUE"""),"Model 3 LR AWD")</f>
        <v>Model 3 LR AWD</v>
      </c>
      <c r="O1478" s="152" t="str">
        <f>IFERROR(__xludf.DUMMYFUNCTION("""COMPUTED_VALUE"""),"Deep Blue Metallic")</f>
        <v>Deep Blue Metallic</v>
      </c>
      <c r="P1478" s="153" t="str">
        <f>IFERROR(__xludf.DUMMYFUNCTION("""COMPUTED_VALUE"""),"18 inch Aero")</f>
        <v>18 inch Aero</v>
      </c>
      <c r="Q1478" s="152" t="str">
        <f>IFERROR(__xludf.DUMMYFUNCTION("""COMPUTED_VALUE"""),"Black seats")</f>
        <v>Black seats</v>
      </c>
      <c r="R1478" s="149" t="str">
        <f>IFERROR(__xludf.DUMMYFUNCTION("""COMPUTED_VALUE"""),"Autopilot")</f>
        <v>Autopilot</v>
      </c>
      <c r="S1478" s="149"/>
      <c r="T1478" s="145"/>
      <c r="U1478" s="145"/>
      <c r="V1478" s="145"/>
      <c r="W1478" s="136"/>
      <c r="X1478" s="137" t="str">
        <f>IFERROR(__xludf.DUMMYFUNCTION("""COMPUTED_VALUE"""),"Excellent")</f>
        <v>Excellent</v>
      </c>
      <c r="Y1478" s="138" t="str">
        <f>IFERROR(__xludf.DUMMYFUNCTION("""COMPUTED_VALUE"""),"Excellent")</f>
        <v>Excellent</v>
      </c>
      <c r="Z1478" s="138" t="str">
        <f>IFERROR(__xludf.DUMMYFUNCTION("""COMPUTED_VALUE"""),"Good")</f>
        <v>Good</v>
      </c>
      <c r="AA1478" s="138" t="str">
        <f>IFERROR(__xludf.DUMMYFUNCTION("""COMPUTED_VALUE"""),"Fair")</f>
        <v>Fair</v>
      </c>
      <c r="AB1478" s="138" t="str">
        <f>IFERROR(__xludf.DUMMYFUNCTION("""COMPUTED_VALUE"""),"Very Good")</f>
        <v>Very Good</v>
      </c>
      <c r="AC1478" s="139">
        <f>IFERROR(__xludf.DUMMYFUNCTION("""COMPUTED_VALUE"""),1.0)</f>
        <v>1</v>
      </c>
      <c r="AD1478" s="139"/>
      <c r="AE1478" s="139"/>
      <c r="AF1478" s="140"/>
      <c r="AG1478" s="136" t="str">
        <f>IFERROR(__xludf.DUMMYFUNCTION("""COMPUTED_VALUE"""),"Delivery pushed back from 12/28 on 12/26.")</f>
        <v>Delivery pushed back from 12/28 on 12/26.</v>
      </c>
      <c r="AH1478" s="157">
        <f>IFERROR(__xludf.DUMMYFUNCTION("""COMPUTED_VALUE"""),43828.88875907407)</f>
        <v>43828.88876</v>
      </c>
      <c r="AI1478" s="138"/>
      <c r="AJ1478" s="138"/>
      <c r="AK1478" s="138"/>
      <c r="AL1478" s="142"/>
    </row>
    <row r="1479" ht="20.25" customHeight="1">
      <c r="A1479" s="155" t="str">
        <f>IFERROR(__xludf.DUMMYFUNCTION("""COMPUTED_VALUE"""),"duedter")</f>
        <v>duedter</v>
      </c>
      <c r="B1479" s="149" t="str">
        <f>IFERROR(__xludf.DUMMYFUNCTION("""COMPUTED_VALUE"""),"Tempe")</f>
        <v>Tempe</v>
      </c>
      <c r="C1479" s="149" t="str">
        <f>IFERROR(__xludf.DUMMYFUNCTION("""COMPUTED_VALUE"""),"AZ")</f>
        <v>AZ</v>
      </c>
      <c r="D1479" s="149" t="str">
        <f>IFERROR(__xludf.DUMMYFUNCTION("""COMPUTED_VALUE"""),"USA")</f>
        <v>USA</v>
      </c>
      <c r="E1479" s="156">
        <f>IFERROR(__xludf.DUMMYFUNCTION("""COMPUTED_VALUE"""),43793.0)</f>
        <v>43793</v>
      </c>
      <c r="F1479" s="129">
        <f>IFERROR(__xludf.DUMMYFUNCTION("""COMPUTED_VALUE"""),43814.0)</f>
        <v>43814</v>
      </c>
      <c r="G1479" s="154"/>
      <c r="H1479" s="131">
        <f>IFERROR(__xludf.DUMMYFUNCTION("""COMPUTED_VALUE"""),616855.0)</f>
        <v>616855</v>
      </c>
      <c r="I1479" s="144"/>
      <c r="J1479" s="129">
        <f>IFERROR(__xludf.DUMMYFUNCTION("""COMPUTED_VALUE"""),43817.0)</f>
        <v>43817</v>
      </c>
      <c r="K1479" s="133">
        <f>IFERROR(__xludf.DUMMYFUNCTION("""COMPUTED_VALUE"""),21.0)</f>
        <v>21</v>
      </c>
      <c r="L1479" s="133">
        <f>IFERROR(__xludf.DUMMYFUNCTION("""COMPUTED_VALUE"""),3.0)</f>
        <v>3</v>
      </c>
      <c r="M1479" s="133">
        <f>IFERROR(__xludf.DUMMYFUNCTION("""COMPUTED_VALUE"""),24.0)</f>
        <v>24</v>
      </c>
      <c r="N1479" s="152" t="str">
        <f>IFERROR(__xludf.DUMMYFUNCTION("""COMPUTED_VALUE"""),"Model 3 LR AWD")</f>
        <v>Model 3 LR AWD</v>
      </c>
      <c r="O1479" s="152" t="str">
        <f>IFERROR(__xludf.DUMMYFUNCTION("""COMPUTED_VALUE"""),"Midnight Silver Metallic")</f>
        <v>Midnight Silver Metallic</v>
      </c>
      <c r="P1479" s="153" t="str">
        <f>IFERROR(__xludf.DUMMYFUNCTION("""COMPUTED_VALUE"""),"18 inch Aero")</f>
        <v>18 inch Aero</v>
      </c>
      <c r="Q1479" s="152" t="str">
        <f>IFERROR(__xludf.DUMMYFUNCTION("""COMPUTED_VALUE"""),"Black seats")</f>
        <v>Black seats</v>
      </c>
      <c r="R1479" s="149" t="str">
        <f>IFERROR(__xludf.DUMMYFUNCTION("""COMPUTED_VALUE"""),"Full Self-Driving")</f>
        <v>Full Self-Driving</v>
      </c>
      <c r="S1479" s="149"/>
      <c r="T1479" s="145"/>
      <c r="U1479" s="145"/>
      <c r="V1479" s="145"/>
      <c r="W1479" s="136"/>
      <c r="X1479" s="137" t="str">
        <f>IFERROR(__xludf.DUMMYFUNCTION("""COMPUTED_VALUE"""),"Good")</f>
        <v>Good</v>
      </c>
      <c r="Y1479" s="138" t="str">
        <f>IFERROR(__xludf.DUMMYFUNCTION("""COMPUTED_VALUE"""),"Very Good")</f>
        <v>Very Good</v>
      </c>
      <c r="Z1479" s="138" t="str">
        <f>IFERROR(__xludf.DUMMYFUNCTION("""COMPUTED_VALUE"""),"Fair")</f>
        <v>Fair</v>
      </c>
      <c r="AA1479" s="138" t="str">
        <f>IFERROR(__xludf.DUMMYFUNCTION("""COMPUTED_VALUE"""),"Fair")</f>
        <v>Fair</v>
      </c>
      <c r="AB1479" s="138" t="str">
        <f>IFERROR(__xludf.DUMMYFUNCTION("""COMPUTED_VALUE"""),"Excellent")</f>
        <v>Excellent</v>
      </c>
      <c r="AC1479" s="139"/>
      <c r="AD1479" s="139"/>
      <c r="AE1479" s="139"/>
      <c r="AF1479" s="140"/>
      <c r="AG1479" s="136"/>
      <c r="AH1479" s="157">
        <f>IFERROR(__xludf.DUMMYFUNCTION("""COMPUTED_VALUE"""),43822.271846574076)</f>
        <v>43822.27185</v>
      </c>
      <c r="AI1479" s="138"/>
      <c r="AJ1479" s="138"/>
      <c r="AK1479" s="138"/>
      <c r="AL1479" s="142"/>
    </row>
    <row r="1480" ht="20.25" customHeight="1">
      <c r="A1480" s="155" t="str">
        <f>IFERROR(__xludf.DUMMYFUNCTION("""COMPUTED_VALUE"""),"jipvk")</f>
        <v>jipvk</v>
      </c>
      <c r="B1480" s="149" t="str">
        <f>IFERROR(__xludf.DUMMYFUNCTION("""COMPUTED_VALUE"""),"Zürich")</f>
        <v>Zürich</v>
      </c>
      <c r="C1480" s="149"/>
      <c r="D1480" s="149" t="str">
        <f>IFERROR(__xludf.DUMMYFUNCTION("""COMPUTED_VALUE"""),"Switzerland")</f>
        <v>Switzerland</v>
      </c>
      <c r="E1480" s="156">
        <f>IFERROR(__xludf.DUMMYFUNCTION("""COMPUTED_VALUE"""),43793.0)</f>
        <v>43793</v>
      </c>
      <c r="F1480" s="129">
        <f>IFERROR(__xludf.DUMMYFUNCTION("""COMPUTED_VALUE"""),43793.0)</f>
        <v>43793</v>
      </c>
      <c r="G1480" s="154"/>
      <c r="H1480" s="131">
        <f>IFERROR(__xludf.DUMMYFUNCTION("""COMPUTED_VALUE"""),579041.0)</f>
        <v>579041</v>
      </c>
      <c r="I1480" s="144"/>
      <c r="J1480" s="129">
        <f>IFERROR(__xludf.DUMMYFUNCTION("""COMPUTED_VALUE"""),43816.0)</f>
        <v>43816</v>
      </c>
      <c r="K1480" s="133">
        <f>IFERROR(__xludf.DUMMYFUNCTION("""COMPUTED_VALUE"""),0.0)</f>
        <v>0</v>
      </c>
      <c r="L1480" s="133">
        <f>IFERROR(__xludf.DUMMYFUNCTION("""COMPUTED_VALUE"""),23.0)</f>
        <v>23</v>
      </c>
      <c r="M1480" s="133">
        <f>IFERROR(__xludf.DUMMYFUNCTION("""COMPUTED_VALUE"""),23.0)</f>
        <v>23</v>
      </c>
      <c r="N1480" s="152" t="str">
        <f>IFERROR(__xludf.DUMMYFUNCTION("""COMPUTED_VALUE"""),"Model 3 Performance")</f>
        <v>Model 3 Performance</v>
      </c>
      <c r="O1480" s="152" t="str">
        <f>IFERROR(__xludf.DUMMYFUNCTION("""COMPUTED_VALUE"""),"Pearl White Multi-Coat")</f>
        <v>Pearl White Multi-Coat</v>
      </c>
      <c r="P1480" s="153" t="str">
        <f>IFERROR(__xludf.DUMMYFUNCTION("""COMPUTED_VALUE"""),"20 inch Sport")</f>
        <v>20 inch Sport</v>
      </c>
      <c r="Q1480" s="152" t="str">
        <f>IFERROR(__xludf.DUMMYFUNCTION("""COMPUTED_VALUE"""),"White seats")</f>
        <v>White seats</v>
      </c>
      <c r="R1480" s="149" t="str">
        <f>IFERROR(__xludf.DUMMYFUNCTION("""COMPUTED_VALUE"""),"Full Self-Driving")</f>
        <v>Full Self-Driving</v>
      </c>
      <c r="S1480" s="149"/>
      <c r="T1480" s="145"/>
      <c r="U1480" s="145"/>
      <c r="V1480" s="145"/>
      <c r="W1480" s="136"/>
      <c r="X1480" s="137" t="str">
        <f>IFERROR(__xludf.DUMMYFUNCTION("""COMPUTED_VALUE"""),"Poor")</f>
        <v>Poor</v>
      </c>
      <c r="Y1480" s="138" t="str">
        <f>IFERROR(__xludf.DUMMYFUNCTION("""COMPUTED_VALUE"""),"Good")</f>
        <v>Good</v>
      </c>
      <c r="Z1480" s="138" t="str">
        <f>IFERROR(__xludf.DUMMYFUNCTION("""COMPUTED_VALUE"""),"Good")</f>
        <v>Good</v>
      </c>
      <c r="AA1480" s="138" t="str">
        <f>IFERROR(__xludf.DUMMYFUNCTION("""COMPUTED_VALUE"""),"Fair")</f>
        <v>Fair</v>
      </c>
      <c r="AB1480" s="138" t="str">
        <f>IFERROR(__xludf.DUMMYFUNCTION("""COMPUTED_VALUE"""),"Poor")</f>
        <v>Poor</v>
      </c>
      <c r="AC1480" s="139">
        <f>IFERROR(__xludf.DUMMYFUNCTION("""COMPUTED_VALUE"""),5.0)</f>
        <v>5</v>
      </c>
      <c r="AD1480" s="139">
        <f>IFERROR(__xludf.DUMMYFUNCTION("""COMPUTED_VALUE"""),2.0)</f>
        <v>2</v>
      </c>
      <c r="AE1480" s="139">
        <f>IFERROR(__xludf.DUMMYFUNCTION("""COMPUTED_VALUE"""),0.0)</f>
        <v>0</v>
      </c>
      <c r="AF1480" s="140"/>
      <c r="AG1480" s="136"/>
      <c r="AH1480" s="157">
        <f>IFERROR(__xludf.DUMMYFUNCTION("""COMPUTED_VALUE"""),43830.175711909724)</f>
        <v>43830.17571</v>
      </c>
      <c r="AI1480" s="138"/>
      <c r="AJ1480" s="138"/>
      <c r="AK1480" s="138"/>
      <c r="AL1480" s="142"/>
    </row>
    <row r="1481" ht="20.25" customHeight="1">
      <c r="A1481" s="155" t="str">
        <f>IFERROR(__xludf.DUMMYFUNCTION("""COMPUTED_VALUE"""),"ash1057")</f>
        <v>ash1057</v>
      </c>
      <c r="B1481" s="149" t="str">
        <f>IFERROR(__xludf.DUMMYFUNCTION("""COMPUTED_VALUE"""),"Anaheim")</f>
        <v>Anaheim</v>
      </c>
      <c r="C1481" s="149" t="str">
        <f>IFERROR(__xludf.DUMMYFUNCTION("""COMPUTED_VALUE"""),"CA")</f>
        <v>CA</v>
      </c>
      <c r="D1481" s="149" t="str">
        <f>IFERROR(__xludf.DUMMYFUNCTION("""COMPUTED_VALUE"""),"USA")</f>
        <v>USA</v>
      </c>
      <c r="E1481" s="156">
        <f>IFERROR(__xludf.DUMMYFUNCTION("""COMPUTED_VALUE"""),43792.0)</f>
        <v>43792</v>
      </c>
      <c r="F1481" s="129">
        <f>IFERROR(__xludf.DUMMYFUNCTION("""COMPUTED_VALUE"""),43826.0)</f>
        <v>43826</v>
      </c>
      <c r="G1481" s="154"/>
      <c r="H1481" s="131">
        <f>IFERROR(__xludf.DUMMYFUNCTION("""COMPUTED_VALUE"""),650155.0)</f>
        <v>650155</v>
      </c>
      <c r="I1481" s="144" t="str">
        <f>IFERROR(__xludf.DUMMYFUNCTION("""COMPUTED_VALUE"""),"12/19")</f>
        <v>12/19</v>
      </c>
      <c r="J1481" s="129">
        <f>IFERROR(__xludf.DUMMYFUNCTION("""COMPUTED_VALUE"""),43828.0)</f>
        <v>43828</v>
      </c>
      <c r="K1481" s="133">
        <f>IFERROR(__xludf.DUMMYFUNCTION("""COMPUTED_VALUE"""),34.0)</f>
        <v>34</v>
      </c>
      <c r="L1481" s="133">
        <f>IFERROR(__xludf.DUMMYFUNCTION("""COMPUTED_VALUE"""),2.0)</f>
        <v>2</v>
      </c>
      <c r="M1481" s="133">
        <f>IFERROR(__xludf.DUMMYFUNCTION("""COMPUTED_VALUE"""),36.0)</f>
        <v>36</v>
      </c>
      <c r="N1481" s="152" t="str">
        <f>IFERROR(__xludf.DUMMYFUNCTION("""COMPUTED_VALUE"""),"Model 3 LR AWD")</f>
        <v>Model 3 LR AWD</v>
      </c>
      <c r="O1481" s="152" t="str">
        <f>IFERROR(__xludf.DUMMYFUNCTION("""COMPUTED_VALUE"""),"Pearl White Multi-Coat")</f>
        <v>Pearl White Multi-Coat</v>
      </c>
      <c r="P1481" s="153" t="str">
        <f>IFERROR(__xludf.DUMMYFUNCTION("""COMPUTED_VALUE"""),"18 inch Aero")</f>
        <v>18 inch Aero</v>
      </c>
      <c r="Q1481" s="152" t="str">
        <f>IFERROR(__xludf.DUMMYFUNCTION("""COMPUTED_VALUE"""),"Black seats")</f>
        <v>Black seats</v>
      </c>
      <c r="R1481" s="149" t="str">
        <f>IFERROR(__xludf.DUMMYFUNCTION("""COMPUTED_VALUE"""),"Autopilot")</f>
        <v>Autopilot</v>
      </c>
      <c r="S1481" s="149"/>
      <c r="T1481" s="145"/>
      <c r="U1481" s="145"/>
      <c r="V1481" s="145"/>
      <c r="W1481" s="136"/>
      <c r="X1481" s="137" t="str">
        <f>IFERROR(__xludf.DUMMYFUNCTION("""COMPUTED_VALUE"""),"Very Good")</f>
        <v>Very Good</v>
      </c>
      <c r="Y1481" s="138" t="str">
        <f>IFERROR(__xludf.DUMMYFUNCTION("""COMPUTED_VALUE"""),"Very Good")</f>
        <v>Very Good</v>
      </c>
      <c r="Z1481" s="138" t="str">
        <f>IFERROR(__xludf.DUMMYFUNCTION("""COMPUTED_VALUE"""),"Very Good")</f>
        <v>Very Good</v>
      </c>
      <c r="AA1481" s="138" t="str">
        <f>IFERROR(__xludf.DUMMYFUNCTION("""COMPUTED_VALUE"""),"Fair")</f>
        <v>Fair</v>
      </c>
      <c r="AB1481" s="138" t="str">
        <f>IFERROR(__xludf.DUMMYFUNCTION("""COMPUTED_VALUE"""),"Good")</f>
        <v>Good</v>
      </c>
      <c r="AC1481" s="139"/>
      <c r="AD1481" s="139"/>
      <c r="AE1481" s="139"/>
      <c r="AF1481" s="140"/>
      <c r="AG1481" s="136"/>
      <c r="AH1481" s="157">
        <f>IFERROR(__xludf.DUMMYFUNCTION("""COMPUTED_VALUE"""),43833.62096539352)</f>
        <v>43833.62097</v>
      </c>
      <c r="AI1481" s="138"/>
      <c r="AJ1481" s="138"/>
      <c r="AK1481" s="138"/>
      <c r="AL1481" s="142"/>
    </row>
    <row r="1482" ht="20.25" customHeight="1">
      <c r="A1482" s="155" t="str">
        <f>IFERROR(__xludf.DUMMYFUNCTION("""COMPUTED_VALUE"""),"chughes3")</f>
        <v>chughes3</v>
      </c>
      <c r="B1482" s="149" t="str">
        <f>IFERROR(__xludf.DUMMYFUNCTION("""COMPUTED_VALUE"""),"Seattle")</f>
        <v>Seattle</v>
      </c>
      <c r="C1482" s="149" t="str">
        <f>IFERROR(__xludf.DUMMYFUNCTION("""COMPUTED_VALUE"""),"WA")</f>
        <v>WA</v>
      </c>
      <c r="D1482" s="149" t="str">
        <f>IFERROR(__xludf.DUMMYFUNCTION("""COMPUTED_VALUE"""),"USA")</f>
        <v>USA</v>
      </c>
      <c r="E1482" s="156">
        <f>IFERROR(__xludf.DUMMYFUNCTION("""COMPUTED_VALUE"""),43792.0)</f>
        <v>43792</v>
      </c>
      <c r="F1482" s="129">
        <f>IFERROR(__xludf.DUMMYFUNCTION("""COMPUTED_VALUE"""),43816.0)</f>
        <v>43816</v>
      </c>
      <c r="G1482" s="154"/>
      <c r="H1482" s="131">
        <f>IFERROR(__xludf.DUMMYFUNCTION("""COMPUTED_VALUE"""),635211.0)</f>
        <v>635211</v>
      </c>
      <c r="I1482" s="144"/>
      <c r="J1482" s="129">
        <f>IFERROR(__xludf.DUMMYFUNCTION("""COMPUTED_VALUE"""),43820.0)</f>
        <v>43820</v>
      </c>
      <c r="K1482" s="133">
        <f>IFERROR(__xludf.DUMMYFUNCTION("""COMPUTED_VALUE"""),24.0)</f>
        <v>24</v>
      </c>
      <c r="L1482" s="133">
        <f>IFERROR(__xludf.DUMMYFUNCTION("""COMPUTED_VALUE"""),4.0)</f>
        <v>4</v>
      </c>
      <c r="M1482" s="133">
        <f>IFERROR(__xludf.DUMMYFUNCTION("""COMPUTED_VALUE"""),28.0)</f>
        <v>28</v>
      </c>
      <c r="N1482" s="152" t="str">
        <f>IFERROR(__xludf.DUMMYFUNCTION("""COMPUTED_VALUE"""),"Model 3 LR AWD")</f>
        <v>Model 3 LR AWD</v>
      </c>
      <c r="O1482" s="152" t="str">
        <f>IFERROR(__xludf.DUMMYFUNCTION("""COMPUTED_VALUE"""),"Midnight Silver Metallic")</f>
        <v>Midnight Silver Metallic</v>
      </c>
      <c r="P1482" s="153" t="str">
        <f>IFERROR(__xludf.DUMMYFUNCTION("""COMPUTED_VALUE"""),"18 inch Aero")</f>
        <v>18 inch Aero</v>
      </c>
      <c r="Q1482" s="152" t="str">
        <f>IFERROR(__xludf.DUMMYFUNCTION("""COMPUTED_VALUE"""),"Black seats")</f>
        <v>Black seats</v>
      </c>
      <c r="R1482" s="149" t="str">
        <f>IFERROR(__xludf.DUMMYFUNCTION("""COMPUTED_VALUE"""),"Full Self-Driving")</f>
        <v>Full Self-Driving</v>
      </c>
      <c r="S1482" s="149"/>
      <c r="T1482" s="145"/>
      <c r="U1482" s="145"/>
      <c r="V1482" s="145"/>
      <c r="W1482" s="136"/>
      <c r="X1482" s="137" t="str">
        <f>IFERROR(__xludf.DUMMYFUNCTION("""COMPUTED_VALUE"""),"Very Good")</f>
        <v>Very Good</v>
      </c>
      <c r="Y1482" s="138" t="str">
        <f>IFERROR(__xludf.DUMMYFUNCTION("""COMPUTED_VALUE"""),"Very Good")</f>
        <v>Very Good</v>
      </c>
      <c r="Z1482" s="138" t="str">
        <f>IFERROR(__xludf.DUMMYFUNCTION("""COMPUTED_VALUE"""),"Very Good")</f>
        <v>Very Good</v>
      </c>
      <c r="AA1482" s="138" t="str">
        <f>IFERROR(__xludf.DUMMYFUNCTION("""COMPUTED_VALUE"""),"Very Good")</f>
        <v>Very Good</v>
      </c>
      <c r="AB1482" s="138" t="str">
        <f>IFERROR(__xludf.DUMMYFUNCTION("""COMPUTED_VALUE"""),"Very Good")</f>
        <v>Very Good</v>
      </c>
      <c r="AC1482" s="139">
        <f>IFERROR(__xludf.DUMMYFUNCTION("""COMPUTED_VALUE"""),0.0)</f>
        <v>0</v>
      </c>
      <c r="AD1482" s="139">
        <f>IFERROR(__xludf.DUMMYFUNCTION("""COMPUTED_VALUE"""),0.0)</f>
        <v>0</v>
      </c>
      <c r="AE1482" s="139">
        <f>IFERROR(__xludf.DUMMYFUNCTION("""COMPUTED_VALUE"""),0.0)</f>
        <v>0</v>
      </c>
      <c r="AF1482" s="140"/>
      <c r="AG1482" s="136" t="str">
        <f>IFERROR(__xludf.DUMMYFUNCTION("""COMPUTED_VALUE"""),"Vin in source")</f>
        <v>Vin in source</v>
      </c>
      <c r="AH1482" s="157">
        <f>IFERROR(__xludf.DUMMYFUNCTION("""COMPUTED_VALUE"""),43836.6324778125)</f>
        <v>43836.63248</v>
      </c>
      <c r="AI1482" s="138"/>
      <c r="AJ1482" s="138"/>
      <c r="AK1482" s="138"/>
      <c r="AL1482" s="142"/>
    </row>
    <row r="1483" ht="20.25" customHeight="1">
      <c r="A1483" s="155" t="str">
        <f>IFERROR(__xludf.DUMMYFUNCTION("""COMPUTED_VALUE"""),"2020Reset")</f>
        <v>2020Reset</v>
      </c>
      <c r="B1483" s="149" t="str">
        <f>IFERROR(__xludf.DUMMYFUNCTION("""COMPUTED_VALUE"""),"San Diego")</f>
        <v>San Diego</v>
      </c>
      <c r="C1483" s="149" t="str">
        <f>IFERROR(__xludf.DUMMYFUNCTION("""COMPUTED_VALUE"""),"CA")</f>
        <v>CA</v>
      </c>
      <c r="D1483" s="149" t="str">
        <f>IFERROR(__xludf.DUMMYFUNCTION("""COMPUTED_VALUE"""),"USA")</f>
        <v>USA</v>
      </c>
      <c r="E1483" s="156">
        <f>IFERROR(__xludf.DUMMYFUNCTION("""COMPUTED_VALUE"""),43791.0)</f>
        <v>43791</v>
      </c>
      <c r="F1483" s="129">
        <f>IFERROR(__xludf.DUMMYFUNCTION("""COMPUTED_VALUE"""),43792.0)</f>
        <v>43792</v>
      </c>
      <c r="G1483" s="154"/>
      <c r="H1483" s="131">
        <f>IFERROR(__xludf.DUMMYFUNCTION("""COMPUTED_VALUE"""),601647.0)</f>
        <v>601647</v>
      </c>
      <c r="I1483" s="144" t="str">
        <f>IFERROR(__xludf.DUMMYFUNCTION("""COMPUTED_VALUE"""),"11/19")</f>
        <v>11/19</v>
      </c>
      <c r="J1483" s="129">
        <f>IFERROR(__xludf.DUMMYFUNCTION("""COMPUTED_VALUE"""),43799.0)</f>
        <v>43799</v>
      </c>
      <c r="K1483" s="133">
        <f>IFERROR(__xludf.DUMMYFUNCTION("""COMPUTED_VALUE"""),1.0)</f>
        <v>1</v>
      </c>
      <c r="L1483" s="133">
        <f>IFERROR(__xludf.DUMMYFUNCTION("""COMPUTED_VALUE"""),7.0)</f>
        <v>7</v>
      </c>
      <c r="M1483" s="133">
        <f>IFERROR(__xludf.DUMMYFUNCTION("""COMPUTED_VALUE"""),8.0)</f>
        <v>8</v>
      </c>
      <c r="N1483" s="152" t="str">
        <f>IFERROR(__xludf.DUMMYFUNCTION("""COMPUTED_VALUE"""),"Model 3 Performance")</f>
        <v>Model 3 Performance</v>
      </c>
      <c r="O1483" s="152" t="str">
        <f>IFERROR(__xludf.DUMMYFUNCTION("""COMPUTED_VALUE"""),"Midnight Silver Metallic")</f>
        <v>Midnight Silver Metallic</v>
      </c>
      <c r="P1483" s="153" t="str">
        <f>IFERROR(__xludf.DUMMYFUNCTION("""COMPUTED_VALUE"""),"18 inch Aero")</f>
        <v>18 inch Aero</v>
      </c>
      <c r="Q1483" s="152" t="str">
        <f>IFERROR(__xludf.DUMMYFUNCTION("""COMPUTED_VALUE"""),"Black seats")</f>
        <v>Black seats</v>
      </c>
      <c r="R1483" s="149" t="str">
        <f>IFERROR(__xludf.DUMMYFUNCTION("""COMPUTED_VALUE"""),"Full Self-Driving")</f>
        <v>Full Self-Driving</v>
      </c>
      <c r="S1483" s="149"/>
      <c r="T1483" s="145"/>
      <c r="U1483" s="145"/>
      <c r="V1483" s="145"/>
      <c r="W1483" s="136"/>
      <c r="X1483" s="137" t="str">
        <f>IFERROR(__xludf.DUMMYFUNCTION("""COMPUTED_VALUE"""),"Excellent")</f>
        <v>Excellent</v>
      </c>
      <c r="Y1483" s="138" t="str">
        <f>IFERROR(__xludf.DUMMYFUNCTION("""COMPUTED_VALUE"""),"Excellent")</f>
        <v>Excellent</v>
      </c>
      <c r="Z1483" s="138" t="str">
        <f>IFERROR(__xludf.DUMMYFUNCTION("""COMPUTED_VALUE"""),"Excellent")</f>
        <v>Excellent</v>
      </c>
      <c r="AA1483" s="138" t="str">
        <f>IFERROR(__xludf.DUMMYFUNCTION("""COMPUTED_VALUE"""),"Good")</f>
        <v>Good</v>
      </c>
      <c r="AB1483" s="138" t="str">
        <f>IFERROR(__xludf.DUMMYFUNCTION("""COMPUTED_VALUE"""),"Very Good")</f>
        <v>Very Good</v>
      </c>
      <c r="AC1483" s="139"/>
      <c r="AD1483" s="139"/>
      <c r="AE1483" s="139"/>
      <c r="AF1483" s="140"/>
      <c r="AG1483" s="136"/>
      <c r="AH1483" s="157">
        <f>IFERROR(__xludf.DUMMYFUNCTION("""COMPUTED_VALUE"""),43803.413523090276)</f>
        <v>43803.41352</v>
      </c>
      <c r="AI1483" s="138"/>
      <c r="AJ1483" s="138"/>
      <c r="AK1483" s="138"/>
      <c r="AL1483" s="142"/>
    </row>
    <row r="1484" ht="20.25" customHeight="1">
      <c r="A1484" s="155" t="str">
        <f>IFERROR(__xludf.DUMMYFUNCTION("""COMPUTED_VALUE"""),"djsincla")</f>
        <v>djsincla</v>
      </c>
      <c r="B1484" s="149" t="str">
        <f>IFERROR(__xludf.DUMMYFUNCTION("""COMPUTED_VALUE"""),"Redondo Beach, CA")</f>
        <v>Redondo Beach, CA</v>
      </c>
      <c r="C1484" s="149" t="str">
        <f>IFERROR(__xludf.DUMMYFUNCTION("""COMPUTED_VALUE"""),"CA")</f>
        <v>CA</v>
      </c>
      <c r="D1484" s="149" t="str">
        <f>IFERROR(__xludf.DUMMYFUNCTION("""COMPUTED_VALUE"""),"USA")</f>
        <v>USA</v>
      </c>
      <c r="E1484" s="156">
        <f>IFERROR(__xludf.DUMMYFUNCTION("""COMPUTED_VALUE"""),43791.0)</f>
        <v>43791</v>
      </c>
      <c r="F1484" s="129">
        <f>IFERROR(__xludf.DUMMYFUNCTION("""COMPUTED_VALUE"""),43796.0)</f>
        <v>43796</v>
      </c>
      <c r="G1484" s="154"/>
      <c r="H1484" s="131">
        <f>IFERROR(__xludf.DUMMYFUNCTION("""COMPUTED_VALUE"""),602455.0)</f>
        <v>602455</v>
      </c>
      <c r="I1484" s="144" t="str">
        <f>IFERROR(__xludf.DUMMYFUNCTION("""COMPUTED_VALUE"""),"11/19")</f>
        <v>11/19</v>
      </c>
      <c r="J1484" s="129">
        <f>IFERROR(__xludf.DUMMYFUNCTION("""COMPUTED_VALUE"""),43799.0)</f>
        <v>43799</v>
      </c>
      <c r="K1484" s="133">
        <f>IFERROR(__xludf.DUMMYFUNCTION("""COMPUTED_VALUE"""),5.0)</f>
        <v>5</v>
      </c>
      <c r="L1484" s="133">
        <f>IFERROR(__xludf.DUMMYFUNCTION("""COMPUTED_VALUE"""),3.0)</f>
        <v>3</v>
      </c>
      <c r="M1484" s="133">
        <f>IFERROR(__xludf.DUMMYFUNCTION("""COMPUTED_VALUE"""),8.0)</f>
        <v>8</v>
      </c>
      <c r="N1484" s="152" t="str">
        <f>IFERROR(__xludf.DUMMYFUNCTION("""COMPUTED_VALUE"""),"Model 3 Performance")</f>
        <v>Model 3 Performance</v>
      </c>
      <c r="O1484" s="152" t="str">
        <f>IFERROR(__xludf.DUMMYFUNCTION("""COMPUTED_VALUE"""),"Pearl White Multi-Coat")</f>
        <v>Pearl White Multi-Coat</v>
      </c>
      <c r="P1484" s="153" t="str">
        <f>IFERROR(__xludf.DUMMYFUNCTION("""COMPUTED_VALUE"""),"18 inch Aero")</f>
        <v>18 inch Aero</v>
      </c>
      <c r="Q1484" s="152" t="str">
        <f>IFERROR(__xludf.DUMMYFUNCTION("""COMPUTED_VALUE"""),"Black seats")</f>
        <v>Black seats</v>
      </c>
      <c r="R1484" s="149" t="str">
        <f>IFERROR(__xludf.DUMMYFUNCTION("""COMPUTED_VALUE"""),"Autopilot")</f>
        <v>Autopilot</v>
      </c>
      <c r="S1484" s="149"/>
      <c r="T1484" s="145"/>
      <c r="U1484" s="145"/>
      <c r="V1484" s="145"/>
      <c r="W1484" s="136"/>
      <c r="X1484" s="137" t="str">
        <f>IFERROR(__xludf.DUMMYFUNCTION("""COMPUTED_VALUE"""),"Excellent")</f>
        <v>Excellent</v>
      </c>
      <c r="Y1484" s="138" t="str">
        <f>IFERROR(__xludf.DUMMYFUNCTION("""COMPUTED_VALUE"""),"Excellent")</f>
        <v>Excellent</v>
      </c>
      <c r="Z1484" s="138" t="str">
        <f>IFERROR(__xludf.DUMMYFUNCTION("""COMPUTED_VALUE"""),"Excellent")</f>
        <v>Excellent</v>
      </c>
      <c r="AA1484" s="138" t="str">
        <f>IFERROR(__xludf.DUMMYFUNCTION("""COMPUTED_VALUE"""),"Excellent")</f>
        <v>Excellent</v>
      </c>
      <c r="AB1484" s="138" t="str">
        <f>IFERROR(__xludf.DUMMYFUNCTION("""COMPUTED_VALUE"""),"Excellent")</f>
        <v>Excellent</v>
      </c>
      <c r="AC1484" s="139">
        <f>IFERROR(__xludf.DUMMYFUNCTION("""COMPUTED_VALUE"""),0.0)</f>
        <v>0</v>
      </c>
      <c r="AD1484" s="139">
        <f>IFERROR(__xludf.DUMMYFUNCTION("""COMPUTED_VALUE"""),0.0)</f>
        <v>0</v>
      </c>
      <c r="AE1484" s="139">
        <f>IFERROR(__xludf.DUMMYFUNCTION("""COMPUTED_VALUE"""),0.0)</f>
        <v>0</v>
      </c>
      <c r="AF1484" s="140"/>
      <c r="AG1484" s="136"/>
      <c r="AH1484" s="157">
        <f>IFERROR(__xludf.DUMMYFUNCTION("""COMPUTED_VALUE"""),43799.81595392361)</f>
        <v>43799.81595</v>
      </c>
      <c r="AI1484" s="138"/>
      <c r="AJ1484" s="138"/>
      <c r="AK1484" s="138"/>
      <c r="AL1484" s="142"/>
    </row>
    <row r="1485" ht="20.25" customHeight="1">
      <c r="A1485" s="155" t="str">
        <f>IFERROR(__xludf.DUMMYFUNCTION("""COMPUTED_VALUE"""),"lethargicus")</f>
        <v>lethargicus</v>
      </c>
      <c r="B1485" s="149" t="str">
        <f>IFERROR(__xludf.DUMMYFUNCTION("""COMPUTED_VALUE"""),"Ellicott City")</f>
        <v>Ellicott City</v>
      </c>
      <c r="C1485" s="149" t="str">
        <f>IFERROR(__xludf.DUMMYFUNCTION("""COMPUTED_VALUE"""),"MD")</f>
        <v>MD</v>
      </c>
      <c r="D1485" s="149" t="str">
        <f>IFERROR(__xludf.DUMMYFUNCTION("""COMPUTED_VALUE"""),"USA")</f>
        <v>USA</v>
      </c>
      <c r="E1485" s="156">
        <f>IFERROR(__xludf.DUMMYFUNCTION("""COMPUTED_VALUE"""),43791.0)</f>
        <v>43791</v>
      </c>
      <c r="F1485" s="129">
        <f>IFERROR(__xludf.DUMMYFUNCTION("""COMPUTED_VALUE"""),43813.0)</f>
        <v>43813</v>
      </c>
      <c r="G1485" s="154"/>
      <c r="H1485" s="131">
        <f>IFERROR(__xludf.DUMMYFUNCTION("""COMPUTED_VALUE"""),617397.0)</f>
        <v>617397</v>
      </c>
      <c r="I1485" s="144"/>
      <c r="J1485" s="129">
        <f>IFERROR(__xludf.DUMMYFUNCTION("""COMPUTED_VALUE"""),43820.0)</f>
        <v>43820</v>
      </c>
      <c r="K1485" s="133">
        <f>IFERROR(__xludf.DUMMYFUNCTION("""COMPUTED_VALUE"""),22.0)</f>
        <v>22</v>
      </c>
      <c r="L1485" s="133">
        <f>IFERROR(__xludf.DUMMYFUNCTION("""COMPUTED_VALUE"""),7.0)</f>
        <v>7</v>
      </c>
      <c r="M1485" s="133">
        <f>IFERROR(__xludf.DUMMYFUNCTION("""COMPUTED_VALUE"""),29.0)</f>
        <v>29</v>
      </c>
      <c r="N1485" s="152" t="str">
        <f>IFERROR(__xludf.DUMMYFUNCTION("""COMPUTED_VALUE"""),"Model 3 LR AWD")</f>
        <v>Model 3 LR AWD</v>
      </c>
      <c r="O1485" s="152" t="str">
        <f>IFERROR(__xludf.DUMMYFUNCTION("""COMPUTED_VALUE"""),"Deep Blue Metallic")</f>
        <v>Deep Blue Metallic</v>
      </c>
      <c r="P1485" s="153" t="str">
        <f>IFERROR(__xludf.DUMMYFUNCTION("""COMPUTED_VALUE"""),"18 inch Aero")</f>
        <v>18 inch Aero</v>
      </c>
      <c r="Q1485" s="152" t="str">
        <f>IFERROR(__xludf.DUMMYFUNCTION("""COMPUTED_VALUE"""),"Black seats")</f>
        <v>Black seats</v>
      </c>
      <c r="R1485" s="149" t="str">
        <f>IFERROR(__xludf.DUMMYFUNCTION("""COMPUTED_VALUE"""),"Full Self-Driving")</f>
        <v>Full Self-Driving</v>
      </c>
      <c r="S1485" s="149"/>
      <c r="T1485" s="145"/>
      <c r="U1485" s="145"/>
      <c r="V1485" s="145"/>
      <c r="W1485" s="136"/>
      <c r="X1485" s="137" t="str">
        <f>IFERROR(__xludf.DUMMYFUNCTION("""COMPUTED_VALUE"""),"Excellent")</f>
        <v>Excellent</v>
      </c>
      <c r="Y1485" s="138" t="str">
        <f>IFERROR(__xludf.DUMMYFUNCTION("""COMPUTED_VALUE"""),"Excellent")</f>
        <v>Excellent</v>
      </c>
      <c r="Z1485" s="138" t="str">
        <f>IFERROR(__xludf.DUMMYFUNCTION("""COMPUTED_VALUE"""),"Excellent")</f>
        <v>Excellent</v>
      </c>
      <c r="AA1485" s="138" t="str">
        <f>IFERROR(__xludf.DUMMYFUNCTION("""COMPUTED_VALUE"""),"Poor")</f>
        <v>Poor</v>
      </c>
      <c r="AB1485" s="138" t="str">
        <f>IFERROR(__xludf.DUMMYFUNCTION("""COMPUTED_VALUE"""),"Excellent")</f>
        <v>Excellent</v>
      </c>
      <c r="AC1485" s="139"/>
      <c r="AD1485" s="139"/>
      <c r="AE1485" s="139"/>
      <c r="AF1485" s="140"/>
      <c r="AG1485" s="136"/>
      <c r="AH1485" s="157">
        <f>IFERROR(__xludf.DUMMYFUNCTION("""COMPUTED_VALUE"""),43820.45070584491)</f>
        <v>43820.45071</v>
      </c>
      <c r="AI1485" s="138"/>
      <c r="AJ1485" s="138"/>
      <c r="AK1485" s="138"/>
      <c r="AL1485" s="142"/>
    </row>
    <row r="1486" ht="20.25" customHeight="1">
      <c r="A1486" s="155" t="str">
        <f>IFERROR(__xludf.DUMMYFUNCTION("""COMPUTED_VALUE"""),"DaveAMoore")</f>
        <v>DaveAMoore</v>
      </c>
      <c r="B1486" s="149" t="str">
        <f>IFERROR(__xludf.DUMMYFUNCTION("""COMPUTED_VALUE"""),"Kitchener")</f>
        <v>Kitchener</v>
      </c>
      <c r="C1486" s="149" t="str">
        <f>IFERROR(__xludf.DUMMYFUNCTION("""COMPUTED_VALUE"""),"ON")</f>
        <v>ON</v>
      </c>
      <c r="D1486" s="149" t="str">
        <f>IFERROR(__xludf.DUMMYFUNCTION("""COMPUTED_VALUE"""),"Canada")</f>
        <v>Canada</v>
      </c>
      <c r="E1486" s="156">
        <f>IFERROR(__xludf.DUMMYFUNCTION("""COMPUTED_VALUE"""),43790.0)</f>
        <v>43790</v>
      </c>
      <c r="F1486" s="129">
        <f>IFERROR(__xludf.DUMMYFUNCTION("""COMPUTED_VALUE"""),43803.0)</f>
        <v>43803</v>
      </c>
      <c r="G1486" s="154"/>
      <c r="H1486" s="131">
        <f>IFERROR(__xludf.DUMMYFUNCTION("""COMPUTED_VALUE"""),626296.0)</f>
        <v>626296</v>
      </c>
      <c r="I1486" s="144" t="str">
        <f>IFERROR(__xludf.DUMMYFUNCTION("""COMPUTED_VALUE"""),"12/19")</f>
        <v>12/19</v>
      </c>
      <c r="J1486" s="129">
        <f>IFERROR(__xludf.DUMMYFUNCTION("""COMPUTED_VALUE"""),43816.0)</f>
        <v>43816</v>
      </c>
      <c r="K1486" s="133">
        <f>IFERROR(__xludf.DUMMYFUNCTION("""COMPUTED_VALUE"""),13.0)</f>
        <v>13</v>
      </c>
      <c r="L1486" s="133">
        <f>IFERROR(__xludf.DUMMYFUNCTION("""COMPUTED_VALUE"""),13.0)</f>
        <v>13</v>
      </c>
      <c r="M1486" s="133">
        <f>IFERROR(__xludf.DUMMYFUNCTION("""COMPUTED_VALUE"""),26.0)</f>
        <v>26</v>
      </c>
      <c r="N1486" s="152" t="str">
        <f>IFERROR(__xludf.DUMMYFUNCTION("""COMPUTED_VALUE"""),"Model 3 LR AWD")</f>
        <v>Model 3 LR AWD</v>
      </c>
      <c r="O1486" s="152" t="str">
        <f>IFERROR(__xludf.DUMMYFUNCTION("""COMPUTED_VALUE"""),"Midnight Silver Metallic")</f>
        <v>Midnight Silver Metallic</v>
      </c>
      <c r="P1486" s="153" t="str">
        <f>IFERROR(__xludf.DUMMYFUNCTION("""COMPUTED_VALUE"""),"18 inch Aero")</f>
        <v>18 inch Aero</v>
      </c>
      <c r="Q1486" s="152" t="str">
        <f>IFERROR(__xludf.DUMMYFUNCTION("""COMPUTED_VALUE"""),"Black seats")</f>
        <v>Black seats</v>
      </c>
      <c r="R1486" s="149" t="str">
        <f>IFERROR(__xludf.DUMMYFUNCTION("""COMPUTED_VALUE"""),"Full Self-Driving")</f>
        <v>Full Self-Driving</v>
      </c>
      <c r="S1486" s="149"/>
      <c r="T1486" s="145"/>
      <c r="U1486" s="145"/>
      <c r="V1486" s="145"/>
      <c r="W1486" s="136"/>
      <c r="X1486" s="137" t="str">
        <f>IFERROR(__xludf.DUMMYFUNCTION("""COMPUTED_VALUE"""),"Very Good")</f>
        <v>Very Good</v>
      </c>
      <c r="Y1486" s="138" t="str">
        <f>IFERROR(__xludf.DUMMYFUNCTION("""COMPUTED_VALUE"""),"Excellent")</f>
        <v>Excellent</v>
      </c>
      <c r="Z1486" s="138" t="str">
        <f>IFERROR(__xludf.DUMMYFUNCTION("""COMPUTED_VALUE"""),"Very Good")</f>
        <v>Very Good</v>
      </c>
      <c r="AA1486" s="138" t="str">
        <f>IFERROR(__xludf.DUMMYFUNCTION("""COMPUTED_VALUE"""),"Poor")</f>
        <v>Poor</v>
      </c>
      <c r="AB1486" s="138" t="str">
        <f>IFERROR(__xludf.DUMMYFUNCTION("""COMPUTED_VALUE"""),"Poor")</f>
        <v>Poor</v>
      </c>
      <c r="AC1486" s="139"/>
      <c r="AD1486" s="139"/>
      <c r="AE1486" s="139"/>
      <c r="AF1486" s="140"/>
      <c r="AG1486" s="136" t="str">
        <f>IFERROR(__xludf.DUMMYFUNCTION("""COMPUTED_VALUE"""),"Found VIN in page source.")</f>
        <v>Found VIN in page source.</v>
      </c>
      <c r="AH1486" s="157">
        <f>IFERROR(__xludf.DUMMYFUNCTION("""COMPUTED_VALUE"""),43816.634431446764)</f>
        <v>43816.63443</v>
      </c>
      <c r="AI1486" s="138"/>
      <c r="AJ1486" s="138"/>
      <c r="AK1486" s="138"/>
      <c r="AL1486" s="142"/>
    </row>
    <row r="1487" ht="20.25" customHeight="1">
      <c r="A1487" s="155" t="str">
        <f>IFERROR(__xludf.DUMMYFUNCTION("""COMPUTED_VALUE"""),"Solmors")</f>
        <v>Solmors</v>
      </c>
      <c r="B1487" s="149" t="str">
        <f>IFERROR(__xludf.DUMMYFUNCTION("""COMPUTED_VALUE"""),"Coeur d'Alene")</f>
        <v>Coeur d'Alene</v>
      </c>
      <c r="C1487" s="149" t="str">
        <f>IFERROR(__xludf.DUMMYFUNCTION("""COMPUTED_VALUE"""),"ID")</f>
        <v>ID</v>
      </c>
      <c r="D1487" s="149" t="str">
        <f>IFERROR(__xludf.DUMMYFUNCTION("""COMPUTED_VALUE"""),"USA")</f>
        <v>USA</v>
      </c>
      <c r="E1487" s="156">
        <f>IFERROR(__xludf.DUMMYFUNCTION("""COMPUTED_VALUE"""),43790.0)</f>
        <v>43790</v>
      </c>
      <c r="F1487" s="129">
        <f>IFERROR(__xludf.DUMMYFUNCTION("""COMPUTED_VALUE"""),43790.0)</f>
        <v>43790</v>
      </c>
      <c r="G1487" s="154"/>
      <c r="H1487" s="131">
        <f>IFERROR(__xludf.DUMMYFUNCTION("""COMPUTED_VALUE"""),602626.0)</f>
        <v>602626</v>
      </c>
      <c r="I1487" s="144"/>
      <c r="J1487" s="129">
        <f>IFERROR(__xludf.DUMMYFUNCTION("""COMPUTED_VALUE"""),43806.0)</f>
        <v>43806</v>
      </c>
      <c r="K1487" s="133">
        <f>IFERROR(__xludf.DUMMYFUNCTION("""COMPUTED_VALUE"""),0.0)</f>
        <v>0</v>
      </c>
      <c r="L1487" s="133">
        <f>IFERROR(__xludf.DUMMYFUNCTION("""COMPUTED_VALUE"""),16.0)</f>
        <v>16</v>
      </c>
      <c r="M1487" s="133">
        <f>IFERROR(__xludf.DUMMYFUNCTION("""COMPUTED_VALUE"""),16.0)</f>
        <v>16</v>
      </c>
      <c r="N1487" s="152" t="str">
        <f>IFERROR(__xludf.DUMMYFUNCTION("""COMPUTED_VALUE"""),"Model 3 Performance")</f>
        <v>Model 3 Performance</v>
      </c>
      <c r="O1487" s="152" t="str">
        <f>IFERROR(__xludf.DUMMYFUNCTION("""COMPUTED_VALUE"""),"Pearl White Multi-Coat")</f>
        <v>Pearl White Multi-Coat</v>
      </c>
      <c r="P1487" s="153" t="str">
        <f>IFERROR(__xludf.DUMMYFUNCTION("""COMPUTED_VALUE"""),"18 inch Aero")</f>
        <v>18 inch Aero</v>
      </c>
      <c r="Q1487" s="152" t="str">
        <f>IFERROR(__xludf.DUMMYFUNCTION("""COMPUTED_VALUE"""),"Black seats")</f>
        <v>Black seats</v>
      </c>
      <c r="R1487" s="149" t="str">
        <f>IFERROR(__xludf.DUMMYFUNCTION("""COMPUTED_VALUE"""),"Full Self-Driving")</f>
        <v>Full Self-Driving</v>
      </c>
      <c r="S1487" s="149"/>
      <c r="T1487" s="145"/>
      <c r="U1487" s="145"/>
      <c r="V1487" s="145"/>
      <c r="W1487" s="136"/>
      <c r="X1487" s="137" t="str">
        <f>IFERROR(__xludf.DUMMYFUNCTION("""COMPUTED_VALUE"""),"Very Good")</f>
        <v>Very Good</v>
      </c>
      <c r="Y1487" s="138" t="str">
        <f>IFERROR(__xludf.DUMMYFUNCTION("""COMPUTED_VALUE"""),"Excellent")</f>
        <v>Excellent</v>
      </c>
      <c r="Z1487" s="138" t="str">
        <f>IFERROR(__xludf.DUMMYFUNCTION("""COMPUTED_VALUE"""),"Excellent")</f>
        <v>Excellent</v>
      </c>
      <c r="AA1487" s="138" t="str">
        <f>IFERROR(__xludf.DUMMYFUNCTION("""COMPUTED_VALUE"""),"Good")</f>
        <v>Good</v>
      </c>
      <c r="AB1487" s="138" t="str">
        <f>IFERROR(__xludf.DUMMYFUNCTION("""COMPUTED_VALUE"""),"Very Good")</f>
        <v>Very Good</v>
      </c>
      <c r="AC1487" s="139"/>
      <c r="AD1487" s="139"/>
      <c r="AE1487" s="139"/>
      <c r="AF1487" s="140"/>
      <c r="AG1487" s="136" t="str">
        <f>IFERROR(__xludf.DUMMYFUNCTION("""COMPUTED_VALUE"""),"Swapped my order to Stealth from P3D+ on 11/21/2019, original order was 10/17/2019")</f>
        <v>Swapped my order to Stealth from P3D+ on 11/21/2019, original order was 10/17/2019</v>
      </c>
      <c r="AH1487" s="157">
        <f>IFERROR(__xludf.DUMMYFUNCTION("""COMPUTED_VALUE"""),43806.5827765625)</f>
        <v>43806.58278</v>
      </c>
      <c r="AI1487" s="138"/>
      <c r="AJ1487" s="138"/>
      <c r="AK1487" s="138"/>
      <c r="AL1487" s="142"/>
    </row>
    <row r="1488" ht="20.25" customHeight="1">
      <c r="A1488" s="155" t="str">
        <f>IFERROR(__xludf.DUMMYFUNCTION("""COMPUTED_VALUE"""),"TorukMakto")</f>
        <v>TorukMakto</v>
      </c>
      <c r="B1488" s="149" t="str">
        <f>IFERROR(__xludf.DUMMYFUNCTION("""COMPUTED_VALUE"""),"Downingtown")</f>
        <v>Downingtown</v>
      </c>
      <c r="C1488" s="149" t="str">
        <f>IFERROR(__xludf.DUMMYFUNCTION("""COMPUTED_VALUE"""),"PA")</f>
        <v>PA</v>
      </c>
      <c r="D1488" s="149" t="str">
        <f>IFERROR(__xludf.DUMMYFUNCTION("""COMPUTED_VALUE"""),"USA")</f>
        <v>USA</v>
      </c>
      <c r="E1488" s="156">
        <f>IFERROR(__xludf.DUMMYFUNCTION("""COMPUTED_VALUE"""),43790.0)</f>
        <v>43790</v>
      </c>
      <c r="F1488" s="129">
        <f>IFERROR(__xludf.DUMMYFUNCTION("""COMPUTED_VALUE"""),43807.0)</f>
        <v>43807</v>
      </c>
      <c r="G1488" s="154"/>
      <c r="H1488" s="131"/>
      <c r="I1488" s="144"/>
      <c r="J1488" s="129">
        <f>IFERROR(__xludf.DUMMYFUNCTION("""COMPUTED_VALUE"""),43829.0)</f>
        <v>43829</v>
      </c>
      <c r="K1488" s="133">
        <f>IFERROR(__xludf.DUMMYFUNCTION("""COMPUTED_VALUE"""),17.0)</f>
        <v>17</v>
      </c>
      <c r="L1488" s="133">
        <f>IFERROR(__xludf.DUMMYFUNCTION("""COMPUTED_VALUE"""),22.0)</f>
        <v>22</v>
      </c>
      <c r="M1488" s="133">
        <f>IFERROR(__xludf.DUMMYFUNCTION("""COMPUTED_VALUE"""),39.0)</f>
        <v>39</v>
      </c>
      <c r="N1488" s="152" t="str">
        <f>IFERROR(__xludf.DUMMYFUNCTION("""COMPUTED_VALUE"""),"Model 3 Performance")</f>
        <v>Model 3 Performance</v>
      </c>
      <c r="O1488" s="152" t="str">
        <f>IFERROR(__xludf.DUMMYFUNCTION("""COMPUTED_VALUE"""),"Solid Black")</f>
        <v>Solid Black</v>
      </c>
      <c r="P1488" s="153" t="str">
        <f>IFERROR(__xludf.DUMMYFUNCTION("""COMPUTED_VALUE"""),"20 inch Sport")</f>
        <v>20 inch Sport</v>
      </c>
      <c r="Q1488" s="152" t="str">
        <f>IFERROR(__xludf.DUMMYFUNCTION("""COMPUTED_VALUE"""),"White seats")</f>
        <v>White seats</v>
      </c>
      <c r="R1488" s="149" t="str">
        <f>IFERROR(__xludf.DUMMYFUNCTION("""COMPUTED_VALUE"""),"Full Self-Driving")</f>
        <v>Full Self-Driving</v>
      </c>
      <c r="S1488" s="149"/>
      <c r="T1488" s="145"/>
      <c r="U1488" s="145"/>
      <c r="V1488" s="145"/>
      <c r="W1488" s="136"/>
      <c r="X1488" s="137" t="str">
        <f>IFERROR(__xludf.DUMMYFUNCTION("""COMPUTED_VALUE"""),"Excellent")</f>
        <v>Excellent</v>
      </c>
      <c r="Y1488" s="138" t="str">
        <f>IFERROR(__xludf.DUMMYFUNCTION("""COMPUTED_VALUE"""),"Excellent")</f>
        <v>Excellent</v>
      </c>
      <c r="Z1488" s="138" t="str">
        <f>IFERROR(__xludf.DUMMYFUNCTION("""COMPUTED_VALUE"""),"Excellent")</f>
        <v>Excellent</v>
      </c>
      <c r="AA1488" s="138" t="str">
        <f>IFERROR(__xludf.DUMMYFUNCTION("""COMPUTED_VALUE"""),"Good")</f>
        <v>Good</v>
      </c>
      <c r="AB1488" s="138" t="str">
        <f>IFERROR(__xludf.DUMMYFUNCTION("""COMPUTED_VALUE"""),"Excellent")</f>
        <v>Excellent</v>
      </c>
      <c r="AC1488" s="139"/>
      <c r="AD1488" s="139"/>
      <c r="AE1488" s="139"/>
      <c r="AF1488" s="140"/>
      <c r="AG1488" s="136"/>
      <c r="AH1488" s="157">
        <f>IFERROR(__xludf.DUMMYFUNCTION("""COMPUTED_VALUE"""),43831.418000219914)</f>
        <v>43831.418</v>
      </c>
      <c r="AI1488" s="138"/>
      <c r="AJ1488" s="138"/>
      <c r="AK1488" s="138"/>
      <c r="AL1488" s="142"/>
    </row>
    <row r="1489" ht="20.25" customHeight="1">
      <c r="A1489" s="155" t="str">
        <f>IFERROR(__xludf.DUMMYFUNCTION("""COMPUTED_VALUE"""),"VV1975")</f>
        <v>VV1975</v>
      </c>
      <c r="B1489" s="149" t="str">
        <f>IFERROR(__xludf.DUMMYFUNCTION("""COMPUTED_VALUE"""),"North Jersey")</f>
        <v>North Jersey</v>
      </c>
      <c r="C1489" s="149" t="str">
        <f>IFERROR(__xludf.DUMMYFUNCTION("""COMPUTED_VALUE"""),"NJ")</f>
        <v>NJ</v>
      </c>
      <c r="D1489" s="149" t="str">
        <f>IFERROR(__xludf.DUMMYFUNCTION("""COMPUTED_VALUE"""),"USA")</f>
        <v>USA</v>
      </c>
      <c r="E1489" s="156">
        <f>IFERROR(__xludf.DUMMYFUNCTION("""COMPUTED_VALUE"""),43790.0)</f>
        <v>43790</v>
      </c>
      <c r="F1489" s="129">
        <f>IFERROR(__xludf.DUMMYFUNCTION("""COMPUTED_VALUE"""),43804.0)</f>
        <v>43804</v>
      </c>
      <c r="G1489" s="154"/>
      <c r="H1489" s="131">
        <f>IFERROR(__xludf.DUMMYFUNCTION("""COMPUTED_VALUE"""),601655.0)</f>
        <v>601655</v>
      </c>
      <c r="I1489" s="144" t="str">
        <f>IFERROR(__xludf.DUMMYFUNCTION("""COMPUTED_VALUE"""),"12/19")</f>
        <v>12/19</v>
      </c>
      <c r="J1489" s="129">
        <f>IFERROR(__xludf.DUMMYFUNCTION("""COMPUTED_VALUE"""),43816.0)</f>
        <v>43816</v>
      </c>
      <c r="K1489" s="133">
        <f>IFERROR(__xludf.DUMMYFUNCTION("""COMPUTED_VALUE"""),14.0)</f>
        <v>14</v>
      </c>
      <c r="L1489" s="133">
        <f>IFERROR(__xludf.DUMMYFUNCTION("""COMPUTED_VALUE"""),12.0)</f>
        <v>12</v>
      </c>
      <c r="M1489" s="133">
        <f>IFERROR(__xludf.DUMMYFUNCTION("""COMPUTED_VALUE"""),26.0)</f>
        <v>26</v>
      </c>
      <c r="N1489" s="152" t="str">
        <f>IFERROR(__xludf.DUMMYFUNCTION("""COMPUTED_VALUE"""),"Model 3 Performance")</f>
        <v>Model 3 Performance</v>
      </c>
      <c r="O1489" s="152" t="str">
        <f>IFERROR(__xludf.DUMMYFUNCTION("""COMPUTED_VALUE"""),"Midnight Silver Metallic")</f>
        <v>Midnight Silver Metallic</v>
      </c>
      <c r="P1489" s="153" t="str">
        <f>IFERROR(__xludf.DUMMYFUNCTION("""COMPUTED_VALUE"""),"18 inch Aero")</f>
        <v>18 inch Aero</v>
      </c>
      <c r="Q1489" s="152" t="str">
        <f>IFERROR(__xludf.DUMMYFUNCTION("""COMPUTED_VALUE"""),"Black seats")</f>
        <v>Black seats</v>
      </c>
      <c r="R1489" s="149" t="str">
        <f>IFERROR(__xludf.DUMMYFUNCTION("""COMPUTED_VALUE"""),"Autopilot")</f>
        <v>Autopilot</v>
      </c>
      <c r="S1489" s="149"/>
      <c r="T1489" s="145"/>
      <c r="U1489" s="145"/>
      <c r="V1489" s="145"/>
      <c r="W1489" s="136"/>
      <c r="X1489" s="137" t="str">
        <f>IFERROR(__xludf.DUMMYFUNCTION("""COMPUTED_VALUE"""),"Poor")</f>
        <v>Poor</v>
      </c>
      <c r="Y1489" s="138" t="str">
        <f>IFERROR(__xludf.DUMMYFUNCTION("""COMPUTED_VALUE"""),"Excellent")</f>
        <v>Excellent</v>
      </c>
      <c r="Z1489" s="138" t="str">
        <f>IFERROR(__xludf.DUMMYFUNCTION("""COMPUTED_VALUE"""),"Excellent")</f>
        <v>Excellent</v>
      </c>
      <c r="AA1489" s="138" t="str">
        <f>IFERROR(__xludf.DUMMYFUNCTION("""COMPUTED_VALUE"""),"Excellent")</f>
        <v>Excellent</v>
      </c>
      <c r="AB1489" s="138" t="str">
        <f>IFERROR(__xludf.DUMMYFUNCTION("""COMPUTED_VALUE"""),"Very Good")</f>
        <v>Very Good</v>
      </c>
      <c r="AC1489" s="139">
        <f>IFERROR(__xludf.DUMMYFUNCTION("""COMPUTED_VALUE"""),1.0)</f>
        <v>1</v>
      </c>
      <c r="AD1489" s="139">
        <f>IFERROR(__xludf.DUMMYFUNCTION("""COMPUTED_VALUE"""),1.0)</f>
        <v>1</v>
      </c>
      <c r="AE1489" s="139">
        <f>IFERROR(__xludf.DUMMYFUNCTION("""COMPUTED_VALUE"""),0.0)</f>
        <v>0</v>
      </c>
      <c r="AF1489" s="140"/>
      <c r="AG1489" s="136" t="str">
        <f>IFERROR(__xludf.DUMMYFUNCTION("""COMPUTED_VALUE"""),"12/5 found vin through source 12/3 Switched out from LR AWD to Stealth Performance")</f>
        <v>12/5 found vin through source 12/3 Switched out from LR AWD to Stealth Performance</v>
      </c>
      <c r="AH1489" s="157">
        <f>IFERROR(__xludf.DUMMYFUNCTION("""COMPUTED_VALUE"""),43850.84220459491)</f>
        <v>43850.8422</v>
      </c>
      <c r="AI1489" s="138"/>
      <c r="AJ1489" s="138"/>
      <c r="AK1489" s="138"/>
      <c r="AL1489" s="142"/>
    </row>
    <row r="1490" ht="20.25" customHeight="1">
      <c r="A1490" s="155" t="str">
        <f>IFERROR(__xludf.DUMMYFUNCTION("""COMPUTED_VALUE"""),"Zextraterrestrial")</f>
        <v>Zextraterrestrial</v>
      </c>
      <c r="B1490" s="149" t="str">
        <f>IFERROR(__xludf.DUMMYFUNCTION("""COMPUTED_VALUE"""),"Eureka")</f>
        <v>Eureka</v>
      </c>
      <c r="C1490" s="149" t="str">
        <f>IFERROR(__xludf.DUMMYFUNCTION("""COMPUTED_VALUE"""),"CA")</f>
        <v>CA</v>
      </c>
      <c r="D1490" s="149" t="str">
        <f>IFERROR(__xludf.DUMMYFUNCTION("""COMPUTED_VALUE"""),"USA")</f>
        <v>USA</v>
      </c>
      <c r="E1490" s="156">
        <f>IFERROR(__xludf.DUMMYFUNCTION("""COMPUTED_VALUE"""),43790.0)</f>
        <v>43790</v>
      </c>
      <c r="F1490" s="129">
        <f>IFERROR(__xludf.DUMMYFUNCTION("""COMPUTED_VALUE"""),43794.0)</f>
        <v>43794</v>
      </c>
      <c r="G1490" s="154"/>
      <c r="H1490" s="131">
        <f>IFERROR(__xludf.DUMMYFUNCTION("""COMPUTED_VALUE"""),601612.0)</f>
        <v>601612</v>
      </c>
      <c r="I1490" s="144" t="str">
        <f>IFERROR(__xludf.DUMMYFUNCTION("""COMPUTED_VALUE"""),"11/19")</f>
        <v>11/19</v>
      </c>
      <c r="J1490" s="129">
        <f>IFERROR(__xludf.DUMMYFUNCTION("""COMPUTED_VALUE"""),43798.0)</f>
        <v>43798</v>
      </c>
      <c r="K1490" s="133">
        <f>IFERROR(__xludf.DUMMYFUNCTION("""COMPUTED_VALUE"""),4.0)</f>
        <v>4</v>
      </c>
      <c r="L1490" s="133">
        <f>IFERROR(__xludf.DUMMYFUNCTION("""COMPUTED_VALUE"""),4.0)</f>
        <v>4</v>
      </c>
      <c r="M1490" s="133">
        <f>IFERROR(__xludf.DUMMYFUNCTION("""COMPUTED_VALUE"""),8.0)</f>
        <v>8</v>
      </c>
      <c r="N1490" s="152" t="str">
        <f>IFERROR(__xludf.DUMMYFUNCTION("""COMPUTED_VALUE"""),"Model 3 Performance")</f>
        <v>Model 3 Performance</v>
      </c>
      <c r="O1490" s="152" t="str">
        <f>IFERROR(__xludf.DUMMYFUNCTION("""COMPUTED_VALUE"""),"Pearl White Multi-Coat")</f>
        <v>Pearl White Multi-Coat</v>
      </c>
      <c r="P1490" s="153" t="str">
        <f>IFERROR(__xludf.DUMMYFUNCTION("""COMPUTED_VALUE"""),"18 inch Aero")</f>
        <v>18 inch Aero</v>
      </c>
      <c r="Q1490" s="152" t="str">
        <f>IFERROR(__xludf.DUMMYFUNCTION("""COMPUTED_VALUE"""),"Black seats")</f>
        <v>Black seats</v>
      </c>
      <c r="R1490" s="149" t="str">
        <f>IFERROR(__xludf.DUMMYFUNCTION("""COMPUTED_VALUE"""),"Full Self-Driving")</f>
        <v>Full Self-Driving</v>
      </c>
      <c r="S1490" s="149"/>
      <c r="T1490" s="145"/>
      <c r="U1490" s="145"/>
      <c r="V1490" s="145"/>
      <c r="W1490" s="136"/>
      <c r="X1490" s="137" t="str">
        <f>IFERROR(__xludf.DUMMYFUNCTION("""COMPUTED_VALUE"""),"Excellent")</f>
        <v>Excellent</v>
      </c>
      <c r="Y1490" s="138" t="str">
        <f>IFERROR(__xludf.DUMMYFUNCTION("""COMPUTED_VALUE"""),"Excellent")</f>
        <v>Excellent</v>
      </c>
      <c r="Z1490" s="138" t="str">
        <f>IFERROR(__xludf.DUMMYFUNCTION("""COMPUTED_VALUE"""),"Excellent")</f>
        <v>Excellent</v>
      </c>
      <c r="AA1490" s="138" t="str">
        <f>IFERROR(__xludf.DUMMYFUNCTION("""COMPUTED_VALUE"""),"Excellent")</f>
        <v>Excellent</v>
      </c>
      <c r="AB1490" s="138" t="str">
        <f>IFERROR(__xludf.DUMMYFUNCTION("""COMPUTED_VALUE"""),"Excellent")</f>
        <v>Excellent</v>
      </c>
      <c r="AC1490" s="139"/>
      <c r="AD1490" s="139"/>
      <c r="AE1490" s="139"/>
      <c r="AF1490" s="140"/>
      <c r="AG1490" s="136"/>
      <c r="AH1490" s="157">
        <f>IFERROR(__xludf.DUMMYFUNCTION("""COMPUTED_VALUE"""),43799.727695312504)</f>
        <v>43799.7277</v>
      </c>
      <c r="AI1490" s="138"/>
      <c r="AJ1490" s="138"/>
      <c r="AK1490" s="138"/>
      <c r="AL1490" s="142"/>
    </row>
    <row r="1491" ht="20.25" customHeight="1">
      <c r="A1491" s="155" t="str">
        <f>IFERROR(__xludf.DUMMYFUNCTION("""COMPUTED_VALUE"""),"dadawinsk")</f>
        <v>dadawinsk</v>
      </c>
      <c r="B1491" s="149" t="str">
        <f>IFERROR(__xludf.DUMMYFUNCTION("""COMPUTED_VALUE"""),"Gloucester")</f>
        <v>Gloucester</v>
      </c>
      <c r="C1491" s="149"/>
      <c r="D1491" s="149" t="str">
        <f>IFERROR(__xludf.DUMMYFUNCTION("""COMPUTED_VALUE"""),"United Kingdom")</f>
        <v>United Kingdom</v>
      </c>
      <c r="E1491" s="156">
        <f>IFERROR(__xludf.DUMMYFUNCTION("""COMPUTED_VALUE"""),43789.0)</f>
        <v>43789</v>
      </c>
      <c r="F1491" s="129">
        <f>IFERROR(__xludf.DUMMYFUNCTION("""COMPUTED_VALUE"""),43794.0)</f>
        <v>43794</v>
      </c>
      <c r="G1491" s="154"/>
      <c r="H1491" s="131">
        <f>IFERROR(__xludf.DUMMYFUNCTION("""COMPUTED_VALUE"""),573655.0)</f>
        <v>573655</v>
      </c>
      <c r="I1491" s="144"/>
      <c r="J1491" s="129">
        <f>IFERROR(__xludf.DUMMYFUNCTION("""COMPUTED_VALUE"""),43819.0)</f>
        <v>43819</v>
      </c>
      <c r="K1491" s="133">
        <f>IFERROR(__xludf.DUMMYFUNCTION("""COMPUTED_VALUE"""),5.0)</f>
        <v>5</v>
      </c>
      <c r="L1491" s="133">
        <f>IFERROR(__xludf.DUMMYFUNCTION("""COMPUTED_VALUE"""),25.0)</f>
        <v>25</v>
      </c>
      <c r="M1491" s="133">
        <f>IFERROR(__xludf.DUMMYFUNCTION("""COMPUTED_VALUE"""),30.0)</f>
        <v>30</v>
      </c>
      <c r="N1491" s="152" t="str">
        <f>IFERROR(__xludf.DUMMYFUNCTION("""COMPUTED_VALUE"""),"Model 3 LR AWD")</f>
        <v>Model 3 LR AWD</v>
      </c>
      <c r="O1491" s="152" t="str">
        <f>IFERROR(__xludf.DUMMYFUNCTION("""COMPUTED_VALUE"""),"Deep Blue Metallic")</f>
        <v>Deep Blue Metallic</v>
      </c>
      <c r="P1491" s="153" t="str">
        <f>IFERROR(__xludf.DUMMYFUNCTION("""COMPUTED_VALUE"""),"18 inch Aero")</f>
        <v>18 inch Aero</v>
      </c>
      <c r="Q1491" s="152" t="str">
        <f>IFERROR(__xludf.DUMMYFUNCTION("""COMPUTED_VALUE"""),"Black seats")</f>
        <v>Black seats</v>
      </c>
      <c r="R1491" s="149" t="str">
        <f>IFERROR(__xludf.DUMMYFUNCTION("""COMPUTED_VALUE"""),"Autopilot")</f>
        <v>Autopilot</v>
      </c>
      <c r="S1491" s="149"/>
      <c r="T1491" s="145"/>
      <c r="U1491" s="145"/>
      <c r="V1491" s="145"/>
      <c r="W1491" s="136"/>
      <c r="X1491" s="137" t="str">
        <f>IFERROR(__xludf.DUMMYFUNCTION("""COMPUTED_VALUE"""),"Very Good")</f>
        <v>Very Good</v>
      </c>
      <c r="Y1491" s="138" t="str">
        <f>IFERROR(__xludf.DUMMYFUNCTION("""COMPUTED_VALUE"""),"Good")</f>
        <v>Good</v>
      </c>
      <c r="Z1491" s="138" t="str">
        <f>IFERROR(__xludf.DUMMYFUNCTION("""COMPUTED_VALUE"""),"Good")</f>
        <v>Good</v>
      </c>
      <c r="AA1491" s="138" t="str">
        <f>IFERROR(__xludf.DUMMYFUNCTION("""COMPUTED_VALUE"""),"Very Good")</f>
        <v>Very Good</v>
      </c>
      <c r="AB1491" s="138" t="str">
        <f>IFERROR(__xludf.DUMMYFUNCTION("""COMPUTED_VALUE"""),"Very Good")</f>
        <v>Very Good</v>
      </c>
      <c r="AC1491" s="139"/>
      <c r="AD1491" s="139"/>
      <c r="AE1491" s="139"/>
      <c r="AF1491" s="140"/>
      <c r="AG1491" s="136"/>
      <c r="AH1491" s="157">
        <f>IFERROR(__xludf.DUMMYFUNCTION("""COMPUTED_VALUE"""),43832.31385324074)</f>
        <v>43832.31385</v>
      </c>
      <c r="AI1491" s="138"/>
      <c r="AJ1491" s="138"/>
      <c r="AK1491" s="138"/>
      <c r="AL1491" s="142"/>
    </row>
    <row r="1492" ht="20.25" customHeight="1">
      <c r="A1492" s="155" t="str">
        <f>IFERROR(__xludf.DUMMYFUNCTION("""COMPUTED_VALUE"""),"DKM3D")</f>
        <v>DKM3D</v>
      </c>
      <c r="B1492" s="149" t="str">
        <f>IFERROR(__xludf.DUMMYFUNCTION("""COMPUTED_VALUE"""),"Bay Area")</f>
        <v>Bay Area</v>
      </c>
      <c r="C1492" s="149" t="str">
        <f>IFERROR(__xludf.DUMMYFUNCTION("""COMPUTED_VALUE"""),"CA")</f>
        <v>CA</v>
      </c>
      <c r="D1492" s="149" t="str">
        <f>IFERROR(__xludf.DUMMYFUNCTION("""COMPUTED_VALUE"""),"USA")</f>
        <v>USA</v>
      </c>
      <c r="E1492" s="156">
        <f>IFERROR(__xludf.DUMMYFUNCTION("""COMPUTED_VALUE"""),43789.0)</f>
        <v>43789</v>
      </c>
      <c r="F1492" s="129">
        <f>IFERROR(__xludf.DUMMYFUNCTION("""COMPUTED_VALUE"""),43790.0)</f>
        <v>43790</v>
      </c>
      <c r="G1492" s="154"/>
      <c r="H1492" s="131">
        <f>IFERROR(__xludf.DUMMYFUNCTION("""COMPUTED_VALUE"""),602207.0)</f>
        <v>602207</v>
      </c>
      <c r="I1492" s="144"/>
      <c r="J1492" s="129">
        <f>IFERROR(__xludf.DUMMYFUNCTION("""COMPUTED_VALUE"""),43800.0)</f>
        <v>43800</v>
      </c>
      <c r="K1492" s="133">
        <f>IFERROR(__xludf.DUMMYFUNCTION("""COMPUTED_VALUE"""),1.0)</f>
        <v>1</v>
      </c>
      <c r="L1492" s="133">
        <f>IFERROR(__xludf.DUMMYFUNCTION("""COMPUTED_VALUE"""),10.0)</f>
        <v>10</v>
      </c>
      <c r="M1492" s="133">
        <f>IFERROR(__xludf.DUMMYFUNCTION("""COMPUTED_VALUE"""),11.0)</f>
        <v>11</v>
      </c>
      <c r="N1492" s="152" t="str">
        <f>IFERROR(__xludf.DUMMYFUNCTION("""COMPUTED_VALUE"""),"Model 3 Performance")</f>
        <v>Model 3 Performance</v>
      </c>
      <c r="O1492" s="152" t="str">
        <f>IFERROR(__xludf.DUMMYFUNCTION("""COMPUTED_VALUE"""),"Deep Blue Metallic")</f>
        <v>Deep Blue Metallic</v>
      </c>
      <c r="P1492" s="153" t="str">
        <f>IFERROR(__xludf.DUMMYFUNCTION("""COMPUTED_VALUE"""),"18 inch Aero")</f>
        <v>18 inch Aero</v>
      </c>
      <c r="Q1492" s="152" t="str">
        <f>IFERROR(__xludf.DUMMYFUNCTION("""COMPUTED_VALUE"""),"Black seats")</f>
        <v>Black seats</v>
      </c>
      <c r="R1492" s="149" t="str">
        <f>IFERROR(__xludf.DUMMYFUNCTION("""COMPUTED_VALUE"""),"Full Self-Driving")</f>
        <v>Full Self-Driving</v>
      </c>
      <c r="S1492" s="149"/>
      <c r="T1492" s="145"/>
      <c r="U1492" s="145"/>
      <c r="V1492" s="145"/>
      <c r="W1492" s="136"/>
      <c r="X1492" s="137" t="str">
        <f>IFERROR(__xludf.DUMMYFUNCTION("""COMPUTED_VALUE"""),"Good")</f>
        <v>Good</v>
      </c>
      <c r="Y1492" s="138" t="str">
        <f>IFERROR(__xludf.DUMMYFUNCTION("""COMPUTED_VALUE"""),"Very Good")</f>
        <v>Very Good</v>
      </c>
      <c r="Z1492" s="138" t="str">
        <f>IFERROR(__xludf.DUMMYFUNCTION("""COMPUTED_VALUE"""),"Very Good")</f>
        <v>Very Good</v>
      </c>
      <c r="AA1492" s="138" t="str">
        <f>IFERROR(__xludf.DUMMYFUNCTION("""COMPUTED_VALUE"""),"Very Good")</f>
        <v>Very Good</v>
      </c>
      <c r="AB1492" s="138" t="str">
        <f>IFERROR(__xludf.DUMMYFUNCTION("""COMPUTED_VALUE"""),"Excellent")</f>
        <v>Excellent</v>
      </c>
      <c r="AC1492" s="139">
        <f>IFERROR(__xludf.DUMMYFUNCTION("""COMPUTED_VALUE"""),1.0)</f>
        <v>1</v>
      </c>
      <c r="AD1492" s="139"/>
      <c r="AE1492" s="139">
        <f>IFERROR(__xludf.DUMMYFUNCTION("""COMPUTED_VALUE"""),0.0)</f>
        <v>0</v>
      </c>
      <c r="AF1492" s="140"/>
      <c r="AG1492" s="136" t="str">
        <f>IFERROR(__xludf.DUMMYFUNCTION("""COMPUTED_VALUE"""),"Ordered LR AWD on 10/31, Changed to Stealth performance 11/20")</f>
        <v>Ordered LR AWD on 10/31, Changed to Stealth performance 11/20</v>
      </c>
      <c r="AH1492" s="157">
        <f>IFERROR(__xludf.DUMMYFUNCTION("""COMPUTED_VALUE"""),43836.57560820602)</f>
        <v>43836.57561</v>
      </c>
      <c r="AI1492" s="138"/>
      <c r="AJ1492" s="138"/>
      <c r="AK1492" s="138"/>
      <c r="AL1492" s="142"/>
    </row>
    <row r="1493" ht="20.25" customHeight="1">
      <c r="A1493" s="155" t="str">
        <f>IFERROR(__xludf.DUMMYFUNCTION("""COMPUTED_VALUE"""),"jessejanderson")</f>
        <v>jessejanderson</v>
      </c>
      <c r="B1493" s="149" t="str">
        <f>IFERROR(__xludf.DUMMYFUNCTION("""COMPUTED_VALUE"""),"Puyallup")</f>
        <v>Puyallup</v>
      </c>
      <c r="C1493" s="149" t="str">
        <f>IFERROR(__xludf.DUMMYFUNCTION("""COMPUTED_VALUE"""),"WA")</f>
        <v>WA</v>
      </c>
      <c r="D1493" s="149" t="str">
        <f>IFERROR(__xludf.DUMMYFUNCTION("""COMPUTED_VALUE"""),"USA")</f>
        <v>USA</v>
      </c>
      <c r="E1493" s="156">
        <f>IFERROR(__xludf.DUMMYFUNCTION("""COMPUTED_VALUE"""),43789.0)</f>
        <v>43789</v>
      </c>
      <c r="F1493" s="129">
        <f>IFERROR(__xludf.DUMMYFUNCTION("""COMPUTED_VALUE"""),43806.0)</f>
        <v>43806</v>
      </c>
      <c r="G1493" s="154"/>
      <c r="H1493" s="131">
        <f>IFERROR(__xludf.DUMMYFUNCTION("""COMPUTED_VALUE"""),611355.0)</f>
        <v>611355</v>
      </c>
      <c r="I1493" s="144"/>
      <c r="J1493" s="129">
        <f>IFERROR(__xludf.DUMMYFUNCTION("""COMPUTED_VALUE"""),43811.0)</f>
        <v>43811</v>
      </c>
      <c r="K1493" s="133">
        <f>IFERROR(__xludf.DUMMYFUNCTION("""COMPUTED_VALUE"""),17.0)</f>
        <v>17</v>
      </c>
      <c r="L1493" s="133">
        <f>IFERROR(__xludf.DUMMYFUNCTION("""COMPUTED_VALUE"""),5.0)</f>
        <v>5</v>
      </c>
      <c r="M1493" s="133">
        <f>IFERROR(__xludf.DUMMYFUNCTION("""COMPUTED_VALUE"""),22.0)</f>
        <v>22</v>
      </c>
      <c r="N1493" s="152" t="str">
        <f>IFERROR(__xludf.DUMMYFUNCTION("""COMPUTED_VALUE"""),"Model 3 SR+")</f>
        <v>Model 3 SR+</v>
      </c>
      <c r="O1493" s="152" t="str">
        <f>IFERROR(__xludf.DUMMYFUNCTION("""COMPUTED_VALUE"""),"Midnight Silver Metallic")</f>
        <v>Midnight Silver Metallic</v>
      </c>
      <c r="P1493" s="153" t="str">
        <f>IFERROR(__xludf.DUMMYFUNCTION("""COMPUTED_VALUE"""),"18 inch Aero")</f>
        <v>18 inch Aero</v>
      </c>
      <c r="Q1493" s="152" t="str">
        <f>IFERROR(__xludf.DUMMYFUNCTION("""COMPUTED_VALUE"""),"Black seats")</f>
        <v>Black seats</v>
      </c>
      <c r="R1493" s="149" t="str">
        <f>IFERROR(__xludf.DUMMYFUNCTION("""COMPUTED_VALUE"""),"Autopilot")</f>
        <v>Autopilot</v>
      </c>
      <c r="S1493" s="149"/>
      <c r="T1493" s="145"/>
      <c r="U1493" s="145"/>
      <c r="V1493" s="145"/>
      <c r="W1493" s="136"/>
      <c r="X1493" s="137" t="str">
        <f>IFERROR(__xludf.DUMMYFUNCTION("""COMPUTED_VALUE"""),"Very Good")</f>
        <v>Very Good</v>
      </c>
      <c r="Y1493" s="138" t="str">
        <f>IFERROR(__xludf.DUMMYFUNCTION("""COMPUTED_VALUE"""),"Very Good")</f>
        <v>Very Good</v>
      </c>
      <c r="Z1493" s="138" t="str">
        <f>IFERROR(__xludf.DUMMYFUNCTION("""COMPUTED_VALUE"""),"Good")</f>
        <v>Good</v>
      </c>
      <c r="AA1493" s="138" t="str">
        <f>IFERROR(__xludf.DUMMYFUNCTION("""COMPUTED_VALUE"""),"Fair")</f>
        <v>Fair</v>
      </c>
      <c r="AB1493" s="138" t="str">
        <f>IFERROR(__xludf.DUMMYFUNCTION("""COMPUTED_VALUE"""),"Good")</f>
        <v>Good</v>
      </c>
      <c r="AC1493" s="139"/>
      <c r="AD1493" s="139"/>
      <c r="AE1493" s="139"/>
      <c r="AF1493" s="140"/>
      <c r="AG1493" s="136"/>
      <c r="AH1493" s="157">
        <f>IFERROR(__xludf.DUMMYFUNCTION("""COMPUTED_VALUE"""),43811.626253159724)</f>
        <v>43811.62625</v>
      </c>
      <c r="AI1493" s="138"/>
      <c r="AJ1493" s="138"/>
      <c r="AK1493" s="138"/>
      <c r="AL1493" s="142"/>
    </row>
    <row r="1494" ht="20.25" customHeight="1">
      <c r="A1494" s="155" t="str">
        <f>IFERROR(__xludf.DUMMYFUNCTION("""COMPUTED_VALUE"""),"marshpaw")</f>
        <v>marshpaw</v>
      </c>
      <c r="B1494" s="149" t="str">
        <f>IFERROR(__xludf.DUMMYFUNCTION("""COMPUTED_VALUE"""),"Bay Area")</f>
        <v>Bay Area</v>
      </c>
      <c r="C1494" s="149" t="str">
        <f>IFERROR(__xludf.DUMMYFUNCTION("""COMPUTED_VALUE"""),"CA")</f>
        <v>CA</v>
      </c>
      <c r="D1494" s="149" t="str">
        <f>IFERROR(__xludf.DUMMYFUNCTION("""COMPUTED_VALUE"""),"USA")</f>
        <v>USA</v>
      </c>
      <c r="E1494" s="156">
        <f>IFERROR(__xludf.DUMMYFUNCTION("""COMPUTED_VALUE"""),43789.0)</f>
        <v>43789</v>
      </c>
      <c r="F1494" s="129">
        <f>IFERROR(__xludf.DUMMYFUNCTION("""COMPUTED_VALUE"""),43818.0)</f>
        <v>43818</v>
      </c>
      <c r="G1494" s="154"/>
      <c r="H1494" s="131">
        <f>IFERROR(__xludf.DUMMYFUNCTION("""COMPUTED_VALUE"""),628343.0)</f>
        <v>628343</v>
      </c>
      <c r="I1494" s="144"/>
      <c r="J1494" s="129">
        <f>IFERROR(__xludf.DUMMYFUNCTION("""COMPUTED_VALUE"""),43823.0)</f>
        <v>43823</v>
      </c>
      <c r="K1494" s="133">
        <f>IFERROR(__xludf.DUMMYFUNCTION("""COMPUTED_VALUE"""),29.0)</f>
        <v>29</v>
      </c>
      <c r="L1494" s="133">
        <f>IFERROR(__xludf.DUMMYFUNCTION("""COMPUTED_VALUE"""),5.0)</f>
        <v>5</v>
      </c>
      <c r="M1494" s="133">
        <f>IFERROR(__xludf.DUMMYFUNCTION("""COMPUTED_VALUE"""),34.0)</f>
        <v>34</v>
      </c>
      <c r="N1494" s="152" t="str">
        <f>IFERROR(__xludf.DUMMYFUNCTION("""COMPUTED_VALUE"""),"Model 3 LR AWD")</f>
        <v>Model 3 LR AWD</v>
      </c>
      <c r="O1494" s="152" t="str">
        <f>IFERROR(__xludf.DUMMYFUNCTION("""COMPUTED_VALUE"""),"Deep Blue Metallic")</f>
        <v>Deep Blue Metallic</v>
      </c>
      <c r="P1494" s="153" t="str">
        <f>IFERROR(__xludf.DUMMYFUNCTION("""COMPUTED_VALUE"""),"19 inch Sport")</f>
        <v>19 inch Sport</v>
      </c>
      <c r="Q1494" s="152" t="str">
        <f>IFERROR(__xludf.DUMMYFUNCTION("""COMPUTED_VALUE"""),"Black seats")</f>
        <v>Black seats</v>
      </c>
      <c r="R1494" s="149" t="str">
        <f>IFERROR(__xludf.DUMMYFUNCTION("""COMPUTED_VALUE"""),"Full Self-Driving")</f>
        <v>Full Self-Driving</v>
      </c>
      <c r="S1494" s="149"/>
      <c r="T1494" s="145"/>
      <c r="U1494" s="145"/>
      <c r="V1494" s="145"/>
      <c r="W1494" s="136"/>
      <c r="X1494" s="137" t="str">
        <f>IFERROR(__xludf.DUMMYFUNCTION("""COMPUTED_VALUE"""),"Excellent")</f>
        <v>Excellent</v>
      </c>
      <c r="Y1494" s="138" t="str">
        <f>IFERROR(__xludf.DUMMYFUNCTION("""COMPUTED_VALUE"""),"Excellent")</f>
        <v>Excellent</v>
      </c>
      <c r="Z1494" s="138" t="str">
        <f>IFERROR(__xludf.DUMMYFUNCTION("""COMPUTED_VALUE"""),"Excellent")</f>
        <v>Excellent</v>
      </c>
      <c r="AA1494" s="138" t="str">
        <f>IFERROR(__xludf.DUMMYFUNCTION("""COMPUTED_VALUE"""),"Very Good")</f>
        <v>Very Good</v>
      </c>
      <c r="AB1494" s="138" t="str">
        <f>IFERROR(__xludf.DUMMYFUNCTION("""COMPUTED_VALUE"""),"Good")</f>
        <v>Good</v>
      </c>
      <c r="AC1494" s="139">
        <f>IFERROR(__xludf.DUMMYFUNCTION("""COMPUTED_VALUE"""),4.0)</f>
        <v>4</v>
      </c>
      <c r="AD1494" s="139"/>
      <c r="AE1494" s="139"/>
      <c r="AF1494" s="140"/>
      <c r="AG1494" s="136"/>
      <c r="AH1494" s="157">
        <f>IFERROR(__xludf.DUMMYFUNCTION("""COMPUTED_VALUE"""),43823.57197440972)</f>
        <v>43823.57197</v>
      </c>
      <c r="AI1494" s="138"/>
      <c r="AJ1494" s="138"/>
      <c r="AK1494" s="138"/>
      <c r="AL1494" s="142"/>
    </row>
    <row r="1495" ht="20.25" customHeight="1">
      <c r="A1495" s="155" t="str">
        <f>IFERROR(__xludf.DUMMYFUNCTION("""COMPUTED_VALUE"""),"MobbsThree")</f>
        <v>MobbsThree</v>
      </c>
      <c r="B1495" s="149" t="str">
        <f>IFERROR(__xludf.DUMMYFUNCTION("""COMPUTED_VALUE"""),"Bay Area")</f>
        <v>Bay Area</v>
      </c>
      <c r="C1495" s="149" t="str">
        <f>IFERROR(__xludf.DUMMYFUNCTION("""COMPUTED_VALUE"""),"CA")</f>
        <v>CA</v>
      </c>
      <c r="D1495" s="149" t="str">
        <f>IFERROR(__xludf.DUMMYFUNCTION("""COMPUTED_VALUE"""),"USA")</f>
        <v>USA</v>
      </c>
      <c r="E1495" s="156">
        <f>IFERROR(__xludf.DUMMYFUNCTION("""COMPUTED_VALUE"""),43789.0)</f>
        <v>43789</v>
      </c>
      <c r="F1495" s="129">
        <f>IFERROR(__xludf.DUMMYFUNCTION("""COMPUTED_VALUE"""),43794.0)</f>
        <v>43794</v>
      </c>
      <c r="G1495" s="154"/>
      <c r="H1495" s="131">
        <f>IFERROR(__xludf.DUMMYFUNCTION("""COMPUTED_VALUE"""),627455.0)</f>
        <v>627455</v>
      </c>
      <c r="I1495" s="144"/>
      <c r="J1495" s="129">
        <f>IFERROR(__xludf.DUMMYFUNCTION("""COMPUTED_VALUE"""),43798.0)</f>
        <v>43798</v>
      </c>
      <c r="K1495" s="133">
        <f>IFERROR(__xludf.DUMMYFUNCTION("""COMPUTED_VALUE"""),5.0)</f>
        <v>5</v>
      </c>
      <c r="L1495" s="133">
        <f>IFERROR(__xludf.DUMMYFUNCTION("""COMPUTED_VALUE"""),4.0)</f>
        <v>4</v>
      </c>
      <c r="M1495" s="133">
        <f>IFERROR(__xludf.DUMMYFUNCTION("""COMPUTED_VALUE"""),9.0)</f>
        <v>9</v>
      </c>
      <c r="N1495" s="152" t="str">
        <f>IFERROR(__xludf.DUMMYFUNCTION("""COMPUTED_VALUE"""),"Model 3 Performance")</f>
        <v>Model 3 Performance</v>
      </c>
      <c r="O1495" s="152" t="str">
        <f>IFERROR(__xludf.DUMMYFUNCTION("""COMPUTED_VALUE"""),"Pearl White Multi-Coat")</f>
        <v>Pearl White Multi-Coat</v>
      </c>
      <c r="P1495" s="153" t="str">
        <f>IFERROR(__xludf.DUMMYFUNCTION("""COMPUTED_VALUE"""),"19 inch Sport")</f>
        <v>19 inch Sport</v>
      </c>
      <c r="Q1495" s="152" t="str">
        <f>IFERROR(__xludf.DUMMYFUNCTION("""COMPUTED_VALUE"""),"Black seats")</f>
        <v>Black seats</v>
      </c>
      <c r="R1495" s="149" t="str">
        <f>IFERROR(__xludf.DUMMYFUNCTION("""COMPUTED_VALUE"""),"Full Self-Driving")</f>
        <v>Full Self-Driving</v>
      </c>
      <c r="S1495" s="149"/>
      <c r="T1495" s="145"/>
      <c r="U1495" s="145"/>
      <c r="V1495" s="145"/>
      <c r="W1495" s="136"/>
      <c r="X1495" s="137" t="str">
        <f>IFERROR(__xludf.DUMMYFUNCTION("""COMPUTED_VALUE"""),"Excellent")</f>
        <v>Excellent</v>
      </c>
      <c r="Y1495" s="138" t="str">
        <f>IFERROR(__xludf.DUMMYFUNCTION("""COMPUTED_VALUE"""),"Excellent")</f>
        <v>Excellent</v>
      </c>
      <c r="Z1495" s="138" t="str">
        <f>IFERROR(__xludf.DUMMYFUNCTION("""COMPUTED_VALUE"""),"Excellent")</f>
        <v>Excellent</v>
      </c>
      <c r="AA1495" s="138" t="str">
        <f>IFERROR(__xludf.DUMMYFUNCTION("""COMPUTED_VALUE"""),"Very Good")</f>
        <v>Very Good</v>
      </c>
      <c r="AB1495" s="138" t="str">
        <f>IFERROR(__xludf.DUMMYFUNCTION("""COMPUTED_VALUE"""),"Excellent")</f>
        <v>Excellent</v>
      </c>
      <c r="AC1495" s="139">
        <f>IFERROR(__xludf.DUMMYFUNCTION("""COMPUTED_VALUE"""),0.0)</f>
        <v>0</v>
      </c>
      <c r="AD1495" s="139">
        <f>IFERROR(__xludf.DUMMYFUNCTION("""COMPUTED_VALUE"""),1.0)</f>
        <v>1</v>
      </c>
      <c r="AE1495" s="139">
        <f>IFERROR(__xludf.DUMMYFUNCTION("""COMPUTED_VALUE"""),0.0)</f>
        <v>0</v>
      </c>
      <c r="AF1495" s="140"/>
      <c r="AG1495" s="136" t="str">
        <f>IFERROR(__xludf.DUMMYFUNCTION("""COMPUTED_VALUE"""),"Easy delivery on 11/29. Flat tire repair at service center on 12/12 was a quick in and out. ")</f>
        <v>Easy delivery on 11/29. Flat tire repair at service center on 12/12 was a quick in and out. </v>
      </c>
      <c r="AH1495" s="157">
        <f>IFERROR(__xludf.DUMMYFUNCTION("""COMPUTED_VALUE"""),43821.68104966435)</f>
        <v>43821.68105</v>
      </c>
      <c r="AI1495" s="138"/>
      <c r="AJ1495" s="138"/>
      <c r="AK1495" s="138"/>
      <c r="AL1495" s="142"/>
    </row>
    <row r="1496" ht="20.25" customHeight="1">
      <c r="A1496" s="155" t="str">
        <f>IFERROR(__xludf.DUMMYFUNCTION("""COMPUTED_VALUE"""),"OverEZPZ")</f>
        <v>OverEZPZ</v>
      </c>
      <c r="B1496" s="149" t="str">
        <f>IFERROR(__xludf.DUMMYFUNCTION("""COMPUTED_VALUE"""),"Berkeley")</f>
        <v>Berkeley</v>
      </c>
      <c r="C1496" s="149" t="str">
        <f>IFERROR(__xludf.DUMMYFUNCTION("""COMPUTED_VALUE"""),"CA")</f>
        <v>CA</v>
      </c>
      <c r="D1496" s="149" t="str">
        <f>IFERROR(__xludf.DUMMYFUNCTION("""COMPUTED_VALUE"""),"USA")</f>
        <v>USA</v>
      </c>
      <c r="E1496" s="156">
        <f>IFERROR(__xludf.DUMMYFUNCTION("""COMPUTED_VALUE"""),43789.0)</f>
        <v>43789</v>
      </c>
      <c r="F1496" s="129">
        <f>IFERROR(__xludf.DUMMYFUNCTION("""COMPUTED_VALUE"""),43789.0)</f>
        <v>43789</v>
      </c>
      <c r="G1496" s="154"/>
      <c r="H1496" s="131">
        <f>IFERROR(__xludf.DUMMYFUNCTION("""COMPUTED_VALUE"""),627555.0)</f>
        <v>627555</v>
      </c>
      <c r="I1496" s="144"/>
      <c r="J1496" s="129">
        <f>IFERROR(__xludf.DUMMYFUNCTION("""COMPUTED_VALUE"""),43798.0)</f>
        <v>43798</v>
      </c>
      <c r="K1496" s="133">
        <f>IFERROR(__xludf.DUMMYFUNCTION("""COMPUTED_VALUE"""),0.0)</f>
        <v>0</v>
      </c>
      <c r="L1496" s="133">
        <f>IFERROR(__xludf.DUMMYFUNCTION("""COMPUTED_VALUE"""),9.0)</f>
        <v>9</v>
      </c>
      <c r="M1496" s="133">
        <f>IFERROR(__xludf.DUMMYFUNCTION("""COMPUTED_VALUE"""),9.0)</f>
        <v>9</v>
      </c>
      <c r="N1496" s="152" t="str">
        <f>IFERROR(__xludf.DUMMYFUNCTION("""COMPUTED_VALUE"""),"Model 3 Performance")</f>
        <v>Model 3 Performance</v>
      </c>
      <c r="O1496" s="152" t="str">
        <f>IFERROR(__xludf.DUMMYFUNCTION("""COMPUTED_VALUE"""),"Pearl White Multi-Coat")</f>
        <v>Pearl White Multi-Coat</v>
      </c>
      <c r="P1496" s="153" t="str">
        <f>IFERROR(__xludf.DUMMYFUNCTION("""COMPUTED_VALUE"""),"19 inch Sport")</f>
        <v>19 inch Sport</v>
      </c>
      <c r="Q1496" s="152" t="str">
        <f>IFERROR(__xludf.DUMMYFUNCTION("""COMPUTED_VALUE"""),"Black seats")</f>
        <v>Black seats</v>
      </c>
      <c r="R1496" s="149" t="str">
        <f>IFERROR(__xludf.DUMMYFUNCTION("""COMPUTED_VALUE"""),"Autopilot")</f>
        <v>Autopilot</v>
      </c>
      <c r="S1496" s="149"/>
      <c r="T1496" s="145"/>
      <c r="U1496" s="145"/>
      <c r="V1496" s="145"/>
      <c r="W1496" s="136"/>
      <c r="X1496" s="137" t="str">
        <f>IFERROR(__xludf.DUMMYFUNCTION("""COMPUTED_VALUE"""),"Very Good")</f>
        <v>Very Good</v>
      </c>
      <c r="Y1496" s="138" t="str">
        <f>IFERROR(__xludf.DUMMYFUNCTION("""COMPUTED_VALUE"""),"Excellent")</f>
        <v>Excellent</v>
      </c>
      <c r="Z1496" s="138" t="str">
        <f>IFERROR(__xludf.DUMMYFUNCTION("""COMPUTED_VALUE"""),"Excellent")</f>
        <v>Excellent</v>
      </c>
      <c r="AA1496" s="138" t="str">
        <f>IFERROR(__xludf.DUMMYFUNCTION("""COMPUTED_VALUE"""),"Poor")</f>
        <v>Poor</v>
      </c>
      <c r="AB1496" s="138" t="str">
        <f>IFERROR(__xludf.DUMMYFUNCTION("""COMPUTED_VALUE"""),"Excellent")</f>
        <v>Excellent</v>
      </c>
      <c r="AC1496" s="139"/>
      <c r="AD1496" s="139"/>
      <c r="AE1496" s="139"/>
      <c r="AF1496" s="140"/>
      <c r="AG1496" s="136" t="str">
        <f>IFERROR(__xludf.DUMMYFUNCTION("""COMPUTED_VALUE"""),"Ordered LR AWD on 10/3; modified order to Performance trim on 10/18; modified order to Stealth on 11/20/19. VIN found in source.")</f>
        <v>Ordered LR AWD on 10/3; modified order to Performance trim on 10/18; modified order to Stealth on 11/20/19. VIN found in source.</v>
      </c>
      <c r="AH1496" s="157">
        <f>IFERROR(__xludf.DUMMYFUNCTION("""COMPUTED_VALUE"""),43798.694505011576)</f>
        <v>43798.69451</v>
      </c>
      <c r="AI1496" s="138"/>
      <c r="AJ1496" s="138"/>
      <c r="AK1496" s="138"/>
      <c r="AL1496" s="142"/>
    </row>
    <row r="1497" ht="20.25" customHeight="1">
      <c r="A1497" s="155" t="str">
        <f>IFERROR(__xludf.DUMMYFUNCTION("""COMPUTED_VALUE"""),"Zorrobazz")</f>
        <v>Zorrobazz</v>
      </c>
      <c r="B1497" s="149" t="str">
        <f>IFERROR(__xludf.DUMMYFUNCTION("""COMPUTED_VALUE"""),"Drammen ")</f>
        <v>Drammen </v>
      </c>
      <c r="C1497" s="149"/>
      <c r="D1497" s="149" t="str">
        <f>IFERROR(__xludf.DUMMYFUNCTION("""COMPUTED_VALUE"""),"Norway")</f>
        <v>Norway</v>
      </c>
      <c r="E1497" s="156">
        <f>IFERROR(__xludf.DUMMYFUNCTION("""COMPUTED_VALUE"""),43789.0)</f>
        <v>43789</v>
      </c>
      <c r="F1497" s="129">
        <f>IFERROR(__xludf.DUMMYFUNCTION("""COMPUTED_VALUE"""),43813.0)</f>
        <v>43813</v>
      </c>
      <c r="G1497" s="154"/>
      <c r="H1497" s="131">
        <f>IFERROR(__xludf.DUMMYFUNCTION("""COMPUTED_VALUE"""),579955.0)</f>
        <v>579955</v>
      </c>
      <c r="I1497" s="144"/>
      <c r="J1497" s="129">
        <f>IFERROR(__xludf.DUMMYFUNCTION("""COMPUTED_VALUE"""),43815.0)</f>
        <v>43815</v>
      </c>
      <c r="K1497" s="133">
        <f>IFERROR(__xludf.DUMMYFUNCTION("""COMPUTED_VALUE"""),24.0)</f>
        <v>24</v>
      </c>
      <c r="L1497" s="133">
        <f>IFERROR(__xludf.DUMMYFUNCTION("""COMPUTED_VALUE"""),2.0)</f>
        <v>2</v>
      </c>
      <c r="M1497" s="133">
        <f>IFERROR(__xludf.DUMMYFUNCTION("""COMPUTED_VALUE"""),26.0)</f>
        <v>26</v>
      </c>
      <c r="N1497" s="152" t="str">
        <f>IFERROR(__xludf.DUMMYFUNCTION("""COMPUTED_VALUE"""),"Model 3 Performance")</f>
        <v>Model 3 Performance</v>
      </c>
      <c r="O1497" s="152" t="str">
        <f>IFERROR(__xludf.DUMMYFUNCTION("""COMPUTED_VALUE"""),"Midnight Silver Metallic")</f>
        <v>Midnight Silver Metallic</v>
      </c>
      <c r="P1497" s="153" t="str">
        <f>IFERROR(__xludf.DUMMYFUNCTION("""COMPUTED_VALUE"""),"20 inch Sport")</f>
        <v>20 inch Sport</v>
      </c>
      <c r="Q1497" s="152" t="str">
        <f>IFERROR(__xludf.DUMMYFUNCTION("""COMPUTED_VALUE"""),"Black seats")</f>
        <v>Black seats</v>
      </c>
      <c r="R1497" s="149" t="str">
        <f>IFERROR(__xludf.DUMMYFUNCTION("""COMPUTED_VALUE"""),"Full Self-Driving")</f>
        <v>Full Self-Driving</v>
      </c>
      <c r="S1497" s="149"/>
      <c r="T1497" s="145"/>
      <c r="U1497" s="145"/>
      <c r="V1497" s="145"/>
      <c r="W1497" s="136"/>
      <c r="X1497" s="137" t="str">
        <f>IFERROR(__xludf.DUMMYFUNCTION("""COMPUTED_VALUE"""),"Very Good")</f>
        <v>Very Good</v>
      </c>
      <c r="Y1497" s="138" t="str">
        <f>IFERROR(__xludf.DUMMYFUNCTION("""COMPUTED_VALUE"""),"Very Good")</f>
        <v>Very Good</v>
      </c>
      <c r="Z1497" s="138" t="str">
        <f>IFERROR(__xludf.DUMMYFUNCTION("""COMPUTED_VALUE"""),"Very Good")</f>
        <v>Very Good</v>
      </c>
      <c r="AA1497" s="138" t="str">
        <f>IFERROR(__xludf.DUMMYFUNCTION("""COMPUTED_VALUE"""),"Good")</f>
        <v>Good</v>
      </c>
      <c r="AB1497" s="138" t="str">
        <f>IFERROR(__xludf.DUMMYFUNCTION("""COMPUTED_VALUE"""),"Good")</f>
        <v>Good</v>
      </c>
      <c r="AC1497" s="139">
        <f>IFERROR(__xludf.DUMMYFUNCTION("""COMPUTED_VALUE"""),0.0)</f>
        <v>0</v>
      </c>
      <c r="AD1497" s="139">
        <f>IFERROR(__xludf.DUMMYFUNCTION("""COMPUTED_VALUE"""),0.0)</f>
        <v>0</v>
      </c>
      <c r="AE1497" s="139"/>
      <c r="AF1497" s="140"/>
      <c r="AG1497" s="136"/>
      <c r="AH1497" s="157">
        <f>IFERROR(__xludf.DUMMYFUNCTION("""COMPUTED_VALUE"""),43828.909993761576)</f>
        <v>43828.90999</v>
      </c>
      <c r="AI1497" s="138"/>
      <c r="AJ1497" s="138"/>
      <c r="AK1497" s="138"/>
      <c r="AL1497" s="142"/>
    </row>
    <row r="1498" ht="20.25" customHeight="1">
      <c r="A1498" s="155" t="str">
        <f>IFERROR(__xludf.DUMMYFUNCTION("""COMPUTED_VALUE"""),"c77m")</f>
        <v>c77m</v>
      </c>
      <c r="B1498" s="149" t="str">
        <f>IFERROR(__xludf.DUMMYFUNCTION("""COMPUTED_VALUE"""),"Washington")</f>
        <v>Washington</v>
      </c>
      <c r="C1498" s="149" t="str">
        <f>IFERROR(__xludf.DUMMYFUNCTION("""COMPUTED_VALUE"""),"DC")</f>
        <v>DC</v>
      </c>
      <c r="D1498" s="149" t="str">
        <f>IFERROR(__xludf.DUMMYFUNCTION("""COMPUTED_VALUE"""),"USA")</f>
        <v>USA</v>
      </c>
      <c r="E1498" s="156">
        <f>IFERROR(__xludf.DUMMYFUNCTION("""COMPUTED_VALUE"""),43788.0)</f>
        <v>43788</v>
      </c>
      <c r="F1498" s="129">
        <f>IFERROR(__xludf.DUMMYFUNCTION("""COMPUTED_VALUE"""),43802.0)</f>
        <v>43802</v>
      </c>
      <c r="G1498" s="154"/>
      <c r="H1498" s="131">
        <f>IFERROR(__xludf.DUMMYFUNCTION("""COMPUTED_VALUE"""),627255.0)</f>
        <v>627255</v>
      </c>
      <c r="I1498" s="144"/>
      <c r="J1498" s="129">
        <f>IFERROR(__xludf.DUMMYFUNCTION("""COMPUTED_VALUE"""),43816.0)</f>
        <v>43816</v>
      </c>
      <c r="K1498" s="133">
        <f>IFERROR(__xludf.DUMMYFUNCTION("""COMPUTED_VALUE"""),14.0)</f>
        <v>14</v>
      </c>
      <c r="L1498" s="133">
        <f>IFERROR(__xludf.DUMMYFUNCTION("""COMPUTED_VALUE"""),14.0)</f>
        <v>14</v>
      </c>
      <c r="M1498" s="133">
        <f>IFERROR(__xludf.DUMMYFUNCTION("""COMPUTED_VALUE"""),28.0)</f>
        <v>28</v>
      </c>
      <c r="N1498" s="152" t="str">
        <f>IFERROR(__xludf.DUMMYFUNCTION("""COMPUTED_VALUE"""),"Model 3 LR AWD")</f>
        <v>Model 3 LR AWD</v>
      </c>
      <c r="O1498" s="152" t="str">
        <f>IFERROR(__xludf.DUMMYFUNCTION("""COMPUTED_VALUE"""),"Midnight Silver Metallic")</f>
        <v>Midnight Silver Metallic</v>
      </c>
      <c r="P1498" s="153" t="str">
        <f>IFERROR(__xludf.DUMMYFUNCTION("""COMPUTED_VALUE"""),"19 inch Sport")</f>
        <v>19 inch Sport</v>
      </c>
      <c r="Q1498" s="152" t="str">
        <f>IFERROR(__xludf.DUMMYFUNCTION("""COMPUTED_VALUE"""),"Black seats")</f>
        <v>Black seats</v>
      </c>
      <c r="R1498" s="149" t="str">
        <f>IFERROR(__xludf.DUMMYFUNCTION("""COMPUTED_VALUE"""),"Autopilot")</f>
        <v>Autopilot</v>
      </c>
      <c r="S1498" s="149"/>
      <c r="T1498" s="145"/>
      <c r="U1498" s="145"/>
      <c r="V1498" s="145"/>
      <c r="W1498" s="136"/>
      <c r="X1498" s="137" t="str">
        <f>IFERROR(__xludf.DUMMYFUNCTION("""COMPUTED_VALUE"""),"Very Good")</f>
        <v>Very Good</v>
      </c>
      <c r="Y1498" s="138" t="str">
        <f>IFERROR(__xludf.DUMMYFUNCTION("""COMPUTED_VALUE"""),"Excellent")</f>
        <v>Excellent</v>
      </c>
      <c r="Z1498" s="138" t="str">
        <f>IFERROR(__xludf.DUMMYFUNCTION("""COMPUTED_VALUE"""),"Very Good")</f>
        <v>Very Good</v>
      </c>
      <c r="AA1498" s="138" t="str">
        <f>IFERROR(__xludf.DUMMYFUNCTION("""COMPUTED_VALUE"""),"Poor")</f>
        <v>Poor</v>
      </c>
      <c r="AB1498" s="138" t="str">
        <f>IFERROR(__xludf.DUMMYFUNCTION("""COMPUTED_VALUE"""),"Good")</f>
        <v>Good</v>
      </c>
      <c r="AC1498" s="139"/>
      <c r="AD1498" s="139"/>
      <c r="AE1498" s="139"/>
      <c r="AF1498" s="140"/>
      <c r="AG1498" s="136" t="str">
        <f>IFERROR(__xludf.DUMMYFUNCTION("""COMPUTED_VALUE"""),"Ordered 11/19 ; changed to stealth 12/3 ; delivered 12/17")</f>
        <v>Ordered 11/19 ; changed to stealth 12/3 ; delivered 12/17</v>
      </c>
      <c r="AH1498" s="157">
        <f>IFERROR(__xludf.DUMMYFUNCTION("""COMPUTED_VALUE"""),43818.379494479166)</f>
        <v>43818.37949</v>
      </c>
      <c r="AI1498" s="138"/>
      <c r="AJ1498" s="138"/>
      <c r="AK1498" s="138"/>
      <c r="AL1498" s="142"/>
    </row>
    <row r="1499" ht="20.25" customHeight="1">
      <c r="A1499" s="155" t="str">
        <f>IFERROR(__xludf.DUMMYFUNCTION("""COMPUTED_VALUE"""),"m34m")</f>
        <v>m34m</v>
      </c>
      <c r="B1499" s="149" t="str">
        <f>IFERROR(__xludf.DUMMYFUNCTION("""COMPUTED_VALUE"""),"Seattle")</f>
        <v>Seattle</v>
      </c>
      <c r="C1499" s="149" t="str">
        <f>IFERROR(__xludf.DUMMYFUNCTION("""COMPUTED_VALUE"""),"WA")</f>
        <v>WA</v>
      </c>
      <c r="D1499" s="149" t="str">
        <f>IFERROR(__xludf.DUMMYFUNCTION("""COMPUTED_VALUE"""),"USA")</f>
        <v>USA</v>
      </c>
      <c r="E1499" s="156">
        <f>IFERROR(__xludf.DUMMYFUNCTION("""COMPUTED_VALUE"""),43788.0)</f>
        <v>43788</v>
      </c>
      <c r="F1499" s="129">
        <f>IFERROR(__xludf.DUMMYFUNCTION("""COMPUTED_VALUE"""),43815.0)</f>
        <v>43815</v>
      </c>
      <c r="G1499" s="154"/>
      <c r="H1499" s="131"/>
      <c r="I1499" s="144"/>
      <c r="J1499" s="129">
        <f>IFERROR(__xludf.DUMMYFUNCTION("""COMPUTED_VALUE"""),43819.0)</f>
        <v>43819</v>
      </c>
      <c r="K1499" s="133">
        <f>IFERROR(__xludf.DUMMYFUNCTION("""COMPUTED_VALUE"""),27.0)</f>
        <v>27</v>
      </c>
      <c r="L1499" s="133">
        <f>IFERROR(__xludf.DUMMYFUNCTION("""COMPUTED_VALUE"""),4.0)</f>
        <v>4</v>
      </c>
      <c r="M1499" s="133">
        <f>IFERROR(__xludf.DUMMYFUNCTION("""COMPUTED_VALUE"""),31.0)</f>
        <v>31</v>
      </c>
      <c r="N1499" s="152" t="str">
        <f>IFERROR(__xludf.DUMMYFUNCTION("""COMPUTED_VALUE"""),"Model 3 LR AWD")</f>
        <v>Model 3 LR AWD</v>
      </c>
      <c r="O1499" s="152" t="str">
        <f>IFERROR(__xludf.DUMMYFUNCTION("""COMPUTED_VALUE"""),"Midnight Silver Metallic")</f>
        <v>Midnight Silver Metallic</v>
      </c>
      <c r="P1499" s="153" t="str">
        <f>IFERROR(__xludf.DUMMYFUNCTION("""COMPUTED_VALUE"""),"19 inch Sport")</f>
        <v>19 inch Sport</v>
      </c>
      <c r="Q1499" s="152" t="str">
        <f>IFERROR(__xludf.DUMMYFUNCTION("""COMPUTED_VALUE"""),"Black seats")</f>
        <v>Black seats</v>
      </c>
      <c r="R1499" s="149" t="str">
        <f>IFERROR(__xludf.DUMMYFUNCTION("""COMPUTED_VALUE"""),"Full Self-Driving")</f>
        <v>Full Self-Driving</v>
      </c>
      <c r="S1499" s="149"/>
      <c r="T1499" s="145"/>
      <c r="U1499" s="145"/>
      <c r="V1499" s="145"/>
      <c r="W1499" s="136"/>
      <c r="X1499" s="137" t="str">
        <f>IFERROR(__xludf.DUMMYFUNCTION("""COMPUTED_VALUE"""),"Very Good")</f>
        <v>Very Good</v>
      </c>
      <c r="Y1499" s="138" t="str">
        <f>IFERROR(__xludf.DUMMYFUNCTION("""COMPUTED_VALUE"""),"Very Good")</f>
        <v>Very Good</v>
      </c>
      <c r="Z1499" s="138" t="str">
        <f>IFERROR(__xludf.DUMMYFUNCTION("""COMPUTED_VALUE"""),"Very Good")</f>
        <v>Very Good</v>
      </c>
      <c r="AA1499" s="138" t="str">
        <f>IFERROR(__xludf.DUMMYFUNCTION("""COMPUTED_VALUE"""),"Poor")</f>
        <v>Poor</v>
      </c>
      <c r="AB1499" s="138" t="str">
        <f>IFERROR(__xludf.DUMMYFUNCTION("""COMPUTED_VALUE"""),"Fair")</f>
        <v>Fair</v>
      </c>
      <c r="AC1499" s="139"/>
      <c r="AD1499" s="139">
        <f>IFERROR(__xludf.DUMMYFUNCTION("""COMPUTED_VALUE"""),1.0)</f>
        <v>1</v>
      </c>
      <c r="AE1499" s="139"/>
      <c r="AF1499" s="140"/>
      <c r="AG1499" s="136"/>
      <c r="AH1499" s="157">
        <f>IFERROR(__xludf.DUMMYFUNCTION("""COMPUTED_VALUE"""),43829.45643439815)</f>
        <v>43829.45643</v>
      </c>
      <c r="AI1499" s="138"/>
      <c r="AJ1499" s="138"/>
      <c r="AK1499" s="138"/>
      <c r="AL1499" s="142"/>
    </row>
    <row r="1500" ht="20.25" customHeight="1">
      <c r="A1500" s="155" t="str">
        <f>IFERROR(__xludf.DUMMYFUNCTION("""COMPUTED_VALUE"""),"AZFrosty")</f>
        <v>AZFrosty</v>
      </c>
      <c r="B1500" s="149" t="str">
        <f>IFERROR(__xludf.DUMMYFUNCTION("""COMPUTED_VALUE"""),"Buckeye")</f>
        <v>Buckeye</v>
      </c>
      <c r="C1500" s="149" t="str">
        <f>IFERROR(__xludf.DUMMYFUNCTION("""COMPUTED_VALUE"""),"AZ")</f>
        <v>AZ</v>
      </c>
      <c r="D1500" s="149" t="str">
        <f>IFERROR(__xludf.DUMMYFUNCTION("""COMPUTED_VALUE"""),"USA")</f>
        <v>USA</v>
      </c>
      <c r="E1500" s="156">
        <f>IFERROR(__xludf.DUMMYFUNCTION("""COMPUTED_VALUE"""),43787.0)</f>
        <v>43787</v>
      </c>
      <c r="F1500" s="129">
        <f>IFERROR(__xludf.DUMMYFUNCTION("""COMPUTED_VALUE"""),43818.0)</f>
        <v>43818</v>
      </c>
      <c r="G1500" s="154"/>
      <c r="H1500" s="131">
        <f>IFERROR(__xludf.DUMMYFUNCTION("""COMPUTED_VALUE"""),629055.0)</f>
        <v>629055</v>
      </c>
      <c r="I1500" s="144"/>
      <c r="J1500" s="129">
        <f>IFERROR(__xludf.DUMMYFUNCTION("""COMPUTED_VALUE"""),43825.0)</f>
        <v>43825</v>
      </c>
      <c r="K1500" s="133">
        <f>IFERROR(__xludf.DUMMYFUNCTION("""COMPUTED_VALUE"""),31.0)</f>
        <v>31</v>
      </c>
      <c r="L1500" s="133">
        <f>IFERROR(__xludf.DUMMYFUNCTION("""COMPUTED_VALUE"""),7.0)</f>
        <v>7</v>
      </c>
      <c r="M1500" s="133">
        <f>IFERROR(__xludf.DUMMYFUNCTION("""COMPUTED_VALUE"""),38.0)</f>
        <v>38</v>
      </c>
      <c r="N1500" s="152" t="str">
        <f>IFERROR(__xludf.DUMMYFUNCTION("""COMPUTED_VALUE"""),"Model 3 LR AWD")</f>
        <v>Model 3 LR AWD</v>
      </c>
      <c r="O1500" s="152" t="str">
        <f>IFERROR(__xludf.DUMMYFUNCTION("""COMPUTED_VALUE"""),"Pearl White Multi-Coat")</f>
        <v>Pearl White Multi-Coat</v>
      </c>
      <c r="P1500" s="153" t="str">
        <f>IFERROR(__xludf.DUMMYFUNCTION("""COMPUTED_VALUE"""),"18 inch Aero")</f>
        <v>18 inch Aero</v>
      </c>
      <c r="Q1500" s="152" t="str">
        <f>IFERROR(__xludf.DUMMYFUNCTION("""COMPUTED_VALUE"""),"Black seats")</f>
        <v>Black seats</v>
      </c>
      <c r="R1500" s="149" t="str">
        <f>IFERROR(__xludf.DUMMYFUNCTION("""COMPUTED_VALUE"""),"Full Self-Driving")</f>
        <v>Full Self-Driving</v>
      </c>
      <c r="S1500" s="149"/>
      <c r="T1500" s="145"/>
      <c r="U1500" s="145"/>
      <c r="V1500" s="145"/>
      <c r="W1500" s="136"/>
      <c r="X1500" s="137" t="str">
        <f>IFERROR(__xludf.DUMMYFUNCTION("""COMPUTED_VALUE"""),"Very Good")</f>
        <v>Very Good</v>
      </c>
      <c r="Y1500" s="138" t="str">
        <f>IFERROR(__xludf.DUMMYFUNCTION("""COMPUTED_VALUE"""),"Very Good")</f>
        <v>Very Good</v>
      </c>
      <c r="Z1500" s="138" t="str">
        <f>IFERROR(__xludf.DUMMYFUNCTION("""COMPUTED_VALUE"""),"Very Good")</f>
        <v>Very Good</v>
      </c>
      <c r="AA1500" s="138" t="str">
        <f>IFERROR(__xludf.DUMMYFUNCTION("""COMPUTED_VALUE"""),"Good")</f>
        <v>Good</v>
      </c>
      <c r="AB1500" s="138" t="str">
        <f>IFERROR(__xludf.DUMMYFUNCTION("""COMPUTED_VALUE"""),"Good")</f>
        <v>Good</v>
      </c>
      <c r="AC1500" s="139">
        <f>IFERROR(__xludf.DUMMYFUNCTION("""COMPUTED_VALUE"""),0.0)</f>
        <v>0</v>
      </c>
      <c r="AD1500" s="139"/>
      <c r="AE1500" s="139"/>
      <c r="AF1500" s="140"/>
      <c r="AG1500" s="136"/>
      <c r="AH1500" s="157">
        <f>IFERROR(__xludf.DUMMYFUNCTION("""COMPUTED_VALUE"""),43822.792566365744)</f>
        <v>43822.79257</v>
      </c>
      <c r="AI1500" s="138"/>
      <c r="AJ1500" s="138"/>
      <c r="AK1500" s="138"/>
      <c r="AL1500" s="142"/>
    </row>
    <row r="1501" ht="20.25" customHeight="1">
      <c r="A1501" s="155" t="str">
        <f>IFERROR(__xludf.DUMMYFUNCTION("""COMPUTED_VALUE"""),"erikjohns")</f>
        <v>erikjohns</v>
      </c>
      <c r="B1501" s="149" t="str">
        <f>IFERROR(__xludf.DUMMYFUNCTION("""COMPUTED_VALUE"""),"Portland")</f>
        <v>Portland</v>
      </c>
      <c r="C1501" s="149" t="str">
        <f>IFERROR(__xludf.DUMMYFUNCTION("""COMPUTED_VALUE"""),"OR")</f>
        <v>OR</v>
      </c>
      <c r="D1501" s="149" t="str">
        <f>IFERROR(__xludf.DUMMYFUNCTION("""COMPUTED_VALUE"""),"USA")</f>
        <v>USA</v>
      </c>
      <c r="E1501" s="156">
        <f>IFERROR(__xludf.DUMMYFUNCTION("""COMPUTED_VALUE"""),43786.0)</f>
        <v>43786</v>
      </c>
      <c r="F1501" s="129">
        <f>IFERROR(__xludf.DUMMYFUNCTION("""COMPUTED_VALUE"""),43807.0)</f>
        <v>43807</v>
      </c>
      <c r="G1501" s="154"/>
      <c r="H1501" s="131">
        <f>IFERROR(__xludf.DUMMYFUNCTION("""COMPUTED_VALUE"""),612944.0)</f>
        <v>612944</v>
      </c>
      <c r="I1501" s="144" t="str">
        <f>IFERROR(__xludf.DUMMYFUNCTION("""COMPUTED_VALUE"""),"12/19")</f>
        <v>12/19</v>
      </c>
      <c r="J1501" s="129">
        <f>IFERROR(__xludf.DUMMYFUNCTION("""COMPUTED_VALUE"""),43812.0)</f>
        <v>43812</v>
      </c>
      <c r="K1501" s="133">
        <f>IFERROR(__xludf.DUMMYFUNCTION("""COMPUTED_VALUE"""),21.0)</f>
        <v>21</v>
      </c>
      <c r="L1501" s="133">
        <f>IFERROR(__xludf.DUMMYFUNCTION("""COMPUTED_VALUE"""),5.0)</f>
        <v>5</v>
      </c>
      <c r="M1501" s="133">
        <f>IFERROR(__xludf.DUMMYFUNCTION("""COMPUTED_VALUE"""),26.0)</f>
        <v>26</v>
      </c>
      <c r="N1501" s="152" t="str">
        <f>IFERROR(__xludf.DUMMYFUNCTION("""COMPUTED_VALUE"""),"Model 3 SR+")</f>
        <v>Model 3 SR+</v>
      </c>
      <c r="O1501" s="152" t="str">
        <f>IFERROR(__xludf.DUMMYFUNCTION("""COMPUTED_VALUE"""),"Pearl White Multi-Coat")</f>
        <v>Pearl White Multi-Coat</v>
      </c>
      <c r="P1501" s="153" t="str">
        <f>IFERROR(__xludf.DUMMYFUNCTION("""COMPUTED_VALUE"""),"18 inch Aero")</f>
        <v>18 inch Aero</v>
      </c>
      <c r="Q1501" s="152" t="str">
        <f>IFERROR(__xludf.DUMMYFUNCTION("""COMPUTED_VALUE"""),"Black seats")</f>
        <v>Black seats</v>
      </c>
      <c r="R1501" s="149" t="str">
        <f>IFERROR(__xludf.DUMMYFUNCTION("""COMPUTED_VALUE"""),"Autopilot")</f>
        <v>Autopilot</v>
      </c>
      <c r="S1501" s="149"/>
      <c r="T1501" s="145"/>
      <c r="U1501" s="145"/>
      <c r="V1501" s="145"/>
      <c r="W1501" s="136"/>
      <c r="X1501" s="137" t="str">
        <f>IFERROR(__xludf.DUMMYFUNCTION("""COMPUTED_VALUE"""),"Excellent")</f>
        <v>Excellent</v>
      </c>
      <c r="Y1501" s="138" t="str">
        <f>IFERROR(__xludf.DUMMYFUNCTION("""COMPUTED_VALUE"""),"Excellent")</f>
        <v>Excellent</v>
      </c>
      <c r="Z1501" s="138" t="str">
        <f>IFERROR(__xludf.DUMMYFUNCTION("""COMPUTED_VALUE"""),"Excellent")</f>
        <v>Excellent</v>
      </c>
      <c r="AA1501" s="138" t="str">
        <f>IFERROR(__xludf.DUMMYFUNCTION("""COMPUTED_VALUE"""),"Very Good")</f>
        <v>Very Good</v>
      </c>
      <c r="AB1501" s="138" t="str">
        <f>IFERROR(__xludf.DUMMYFUNCTION("""COMPUTED_VALUE"""),"Fair")</f>
        <v>Fair</v>
      </c>
      <c r="AC1501" s="139"/>
      <c r="AD1501" s="139"/>
      <c r="AE1501" s="139"/>
      <c r="AF1501" s="140"/>
      <c r="AG1501" s="136"/>
      <c r="AH1501" s="157">
        <f>IFERROR(__xludf.DUMMYFUNCTION("""COMPUTED_VALUE"""),43812.66605763889)</f>
        <v>43812.66606</v>
      </c>
      <c r="AI1501" s="138"/>
      <c r="AJ1501" s="138"/>
      <c r="AK1501" s="138"/>
      <c r="AL1501" s="142"/>
    </row>
    <row r="1502" ht="20.25" customHeight="1">
      <c r="A1502" s="155" t="str">
        <f>IFERROR(__xludf.DUMMYFUNCTION("""COMPUTED_VALUE"""),"krank")</f>
        <v>krank</v>
      </c>
      <c r="B1502" s="149" t="str">
        <f>IFERROR(__xludf.DUMMYFUNCTION("""COMPUTED_VALUE"""),"Fremont")</f>
        <v>Fremont</v>
      </c>
      <c r="C1502" s="149" t="str">
        <f>IFERROR(__xludf.DUMMYFUNCTION("""COMPUTED_VALUE"""),"CA")</f>
        <v>CA</v>
      </c>
      <c r="D1502" s="149" t="str">
        <f>IFERROR(__xludf.DUMMYFUNCTION("""COMPUTED_VALUE"""),"USA")</f>
        <v>USA</v>
      </c>
      <c r="E1502" s="156">
        <f>IFERROR(__xludf.DUMMYFUNCTION("""COMPUTED_VALUE"""),43786.0)</f>
        <v>43786</v>
      </c>
      <c r="F1502" s="129">
        <f>IFERROR(__xludf.DUMMYFUNCTION("""COMPUTED_VALUE"""),43819.0)</f>
        <v>43819</v>
      </c>
      <c r="G1502" s="154"/>
      <c r="H1502" s="131"/>
      <c r="I1502" s="144"/>
      <c r="J1502" s="129">
        <f>IFERROR(__xludf.DUMMYFUNCTION("""COMPUTED_VALUE"""),43820.0)</f>
        <v>43820</v>
      </c>
      <c r="K1502" s="133">
        <f>IFERROR(__xludf.DUMMYFUNCTION("""COMPUTED_VALUE"""),33.0)</f>
        <v>33</v>
      </c>
      <c r="L1502" s="133">
        <f>IFERROR(__xludf.DUMMYFUNCTION("""COMPUTED_VALUE"""),1.0)</f>
        <v>1</v>
      </c>
      <c r="M1502" s="133">
        <f>IFERROR(__xludf.DUMMYFUNCTION("""COMPUTED_VALUE"""),34.0)</f>
        <v>34</v>
      </c>
      <c r="N1502" s="152" t="str">
        <f>IFERROR(__xludf.DUMMYFUNCTION("""COMPUTED_VALUE"""),"Model 3 SR+")</f>
        <v>Model 3 SR+</v>
      </c>
      <c r="O1502" s="152" t="str">
        <f>IFERROR(__xludf.DUMMYFUNCTION("""COMPUTED_VALUE"""),"Deep Blue Metallic")</f>
        <v>Deep Blue Metallic</v>
      </c>
      <c r="P1502" s="153" t="str">
        <f>IFERROR(__xludf.DUMMYFUNCTION("""COMPUTED_VALUE"""),"18 inch Aero")</f>
        <v>18 inch Aero</v>
      </c>
      <c r="Q1502" s="152" t="str">
        <f>IFERROR(__xludf.DUMMYFUNCTION("""COMPUTED_VALUE"""),"Black seats")</f>
        <v>Black seats</v>
      </c>
      <c r="R1502" s="149" t="str">
        <f>IFERROR(__xludf.DUMMYFUNCTION("""COMPUTED_VALUE"""),"Autopilot")</f>
        <v>Autopilot</v>
      </c>
      <c r="S1502" s="149"/>
      <c r="T1502" s="145"/>
      <c r="U1502" s="145"/>
      <c r="V1502" s="145"/>
      <c r="W1502" s="136"/>
      <c r="X1502" s="137" t="str">
        <f>IFERROR(__xludf.DUMMYFUNCTION("""COMPUTED_VALUE"""),"Very Good")</f>
        <v>Very Good</v>
      </c>
      <c r="Y1502" s="138" t="str">
        <f>IFERROR(__xludf.DUMMYFUNCTION("""COMPUTED_VALUE"""),"Very Good")</f>
        <v>Very Good</v>
      </c>
      <c r="Z1502" s="138" t="str">
        <f>IFERROR(__xludf.DUMMYFUNCTION("""COMPUTED_VALUE"""),"Poor")</f>
        <v>Poor</v>
      </c>
      <c r="AA1502" s="138" t="str">
        <f>IFERROR(__xludf.DUMMYFUNCTION("""COMPUTED_VALUE"""),"Good")</f>
        <v>Good</v>
      </c>
      <c r="AB1502" s="138" t="str">
        <f>IFERROR(__xludf.DUMMYFUNCTION("""COMPUTED_VALUE"""),"Good")</f>
        <v>Good</v>
      </c>
      <c r="AC1502" s="139">
        <f>IFERROR(__xludf.DUMMYFUNCTION("""COMPUTED_VALUE"""),2.0)</f>
        <v>2</v>
      </c>
      <c r="AD1502" s="139"/>
      <c r="AE1502" s="139"/>
      <c r="AF1502" s="140"/>
      <c r="AG1502" s="136"/>
      <c r="AH1502" s="157">
        <f>IFERROR(__xludf.DUMMYFUNCTION("""COMPUTED_VALUE"""),43825.54600560185)</f>
        <v>43825.54601</v>
      </c>
      <c r="AI1502" s="138"/>
      <c r="AJ1502" s="138"/>
      <c r="AK1502" s="138"/>
      <c r="AL1502" s="142"/>
    </row>
    <row r="1503" ht="20.25" customHeight="1">
      <c r="A1503" s="155" t="str">
        <f>IFERROR(__xludf.DUMMYFUNCTION("""COMPUTED_VALUE"""),"Fifffff")</f>
        <v>Fifffff</v>
      </c>
      <c r="B1503" s="149" t="str">
        <f>IFERROR(__xludf.DUMMYFUNCTION("""COMPUTED_VALUE"""),"Phoenix")</f>
        <v>Phoenix</v>
      </c>
      <c r="C1503" s="149" t="str">
        <f>IFERROR(__xludf.DUMMYFUNCTION("""COMPUTED_VALUE"""),"AZ")</f>
        <v>AZ</v>
      </c>
      <c r="D1503" s="149" t="str">
        <f>IFERROR(__xludf.DUMMYFUNCTION("""COMPUTED_VALUE"""),"USA")</f>
        <v>USA</v>
      </c>
      <c r="E1503" s="156">
        <f>IFERROR(__xludf.DUMMYFUNCTION("""COMPUTED_VALUE"""),43785.0)</f>
        <v>43785</v>
      </c>
      <c r="F1503" s="129">
        <f>IFERROR(__xludf.DUMMYFUNCTION("""COMPUTED_VALUE"""),43794.0)</f>
        <v>43794</v>
      </c>
      <c r="G1503" s="154"/>
      <c r="H1503" s="131">
        <f>IFERROR(__xludf.DUMMYFUNCTION("""COMPUTED_VALUE"""),591155.0)</f>
        <v>591155</v>
      </c>
      <c r="I1503" s="144"/>
      <c r="J1503" s="129">
        <f>IFERROR(__xludf.DUMMYFUNCTION("""COMPUTED_VALUE"""),43799.0)</f>
        <v>43799</v>
      </c>
      <c r="K1503" s="133">
        <f>IFERROR(__xludf.DUMMYFUNCTION("""COMPUTED_VALUE"""),9.0)</f>
        <v>9</v>
      </c>
      <c r="L1503" s="133">
        <f>IFERROR(__xludf.DUMMYFUNCTION("""COMPUTED_VALUE"""),5.0)</f>
        <v>5</v>
      </c>
      <c r="M1503" s="133">
        <f>IFERROR(__xludf.DUMMYFUNCTION("""COMPUTED_VALUE"""),14.0)</f>
        <v>14</v>
      </c>
      <c r="N1503" s="152" t="str">
        <f>IFERROR(__xludf.DUMMYFUNCTION("""COMPUTED_VALUE"""),"Model 3 SR+")</f>
        <v>Model 3 SR+</v>
      </c>
      <c r="O1503" s="152" t="str">
        <f>IFERROR(__xludf.DUMMYFUNCTION("""COMPUTED_VALUE"""),"Pearl White Multi-Coat")</f>
        <v>Pearl White Multi-Coat</v>
      </c>
      <c r="P1503" s="153" t="str">
        <f>IFERROR(__xludf.DUMMYFUNCTION("""COMPUTED_VALUE"""),"18 inch Aero")</f>
        <v>18 inch Aero</v>
      </c>
      <c r="Q1503" s="152" t="str">
        <f>IFERROR(__xludf.DUMMYFUNCTION("""COMPUTED_VALUE"""),"White seats")</f>
        <v>White seats</v>
      </c>
      <c r="R1503" s="149" t="str">
        <f>IFERROR(__xludf.DUMMYFUNCTION("""COMPUTED_VALUE"""),"Autopilot")</f>
        <v>Autopilot</v>
      </c>
      <c r="S1503" s="149"/>
      <c r="T1503" s="145"/>
      <c r="U1503" s="145"/>
      <c r="V1503" s="145"/>
      <c r="W1503" s="136"/>
      <c r="X1503" s="137"/>
      <c r="Y1503" s="138" t="str">
        <f>IFERROR(__xludf.DUMMYFUNCTION("""COMPUTED_VALUE"""),"Good")</f>
        <v>Good</v>
      </c>
      <c r="Z1503" s="138" t="str">
        <f>IFERROR(__xludf.DUMMYFUNCTION("""COMPUTED_VALUE"""),"Good")</f>
        <v>Good</v>
      </c>
      <c r="AA1503" s="138" t="str">
        <f>IFERROR(__xludf.DUMMYFUNCTION("""COMPUTED_VALUE"""),"Good")</f>
        <v>Good</v>
      </c>
      <c r="AB1503" s="138" t="str">
        <f>IFERROR(__xludf.DUMMYFUNCTION("""COMPUTED_VALUE"""),"Fair")</f>
        <v>Fair</v>
      </c>
      <c r="AC1503" s="139"/>
      <c r="AD1503" s="139"/>
      <c r="AE1503" s="139"/>
      <c r="AF1503" s="140"/>
      <c r="AG1503" s="136" t="str">
        <f>IFERROR(__xludf.DUMMYFUNCTION("""COMPUTED_VALUE"""),"Found vin in source code")</f>
        <v>Found vin in source code</v>
      </c>
      <c r="AH1503" s="157">
        <f>IFERROR(__xludf.DUMMYFUNCTION("""COMPUTED_VALUE"""),43801.28624549768)</f>
        <v>43801.28625</v>
      </c>
      <c r="AI1503" s="138"/>
      <c r="AJ1503" s="138"/>
      <c r="AK1503" s="138"/>
      <c r="AL1503" s="142"/>
    </row>
    <row r="1504" ht="20.25" customHeight="1">
      <c r="A1504" s="155" t="str">
        <f>IFERROR(__xludf.DUMMYFUNCTION("""COMPUTED_VALUE"""),"jgarand")</f>
        <v>jgarand</v>
      </c>
      <c r="B1504" s="149" t="str">
        <f>IFERROR(__xludf.DUMMYFUNCTION("""COMPUTED_VALUE"""),"Bellevue")</f>
        <v>Bellevue</v>
      </c>
      <c r="C1504" s="149" t="str">
        <f>IFERROR(__xludf.DUMMYFUNCTION("""COMPUTED_VALUE"""),"WA")</f>
        <v>WA</v>
      </c>
      <c r="D1504" s="149" t="str">
        <f>IFERROR(__xludf.DUMMYFUNCTION("""COMPUTED_VALUE"""),"USA")</f>
        <v>USA</v>
      </c>
      <c r="E1504" s="156">
        <f>IFERROR(__xludf.DUMMYFUNCTION("""COMPUTED_VALUE"""),43785.0)</f>
        <v>43785</v>
      </c>
      <c r="F1504" s="129">
        <f>IFERROR(__xludf.DUMMYFUNCTION("""COMPUTED_VALUE"""),43816.0)</f>
        <v>43816</v>
      </c>
      <c r="G1504" s="154"/>
      <c r="H1504" s="131">
        <f>IFERROR(__xludf.DUMMYFUNCTION("""COMPUTED_VALUE"""),635203.0)</f>
        <v>635203</v>
      </c>
      <c r="I1504" s="144"/>
      <c r="J1504" s="129">
        <f>IFERROR(__xludf.DUMMYFUNCTION("""COMPUTED_VALUE"""),43825.0)</f>
        <v>43825</v>
      </c>
      <c r="K1504" s="133">
        <f>IFERROR(__xludf.DUMMYFUNCTION("""COMPUTED_VALUE"""),31.0)</f>
        <v>31</v>
      </c>
      <c r="L1504" s="133">
        <f>IFERROR(__xludf.DUMMYFUNCTION("""COMPUTED_VALUE"""),9.0)</f>
        <v>9</v>
      </c>
      <c r="M1504" s="133">
        <f>IFERROR(__xludf.DUMMYFUNCTION("""COMPUTED_VALUE"""),40.0)</f>
        <v>40</v>
      </c>
      <c r="N1504" s="152" t="str">
        <f>IFERROR(__xludf.DUMMYFUNCTION("""COMPUTED_VALUE"""),"Model 3 LR AWD")</f>
        <v>Model 3 LR AWD</v>
      </c>
      <c r="O1504" s="152" t="str">
        <f>IFERROR(__xludf.DUMMYFUNCTION("""COMPUTED_VALUE"""),"Midnight Silver Metallic")</f>
        <v>Midnight Silver Metallic</v>
      </c>
      <c r="P1504" s="153" t="str">
        <f>IFERROR(__xludf.DUMMYFUNCTION("""COMPUTED_VALUE"""),"18 inch Aero")</f>
        <v>18 inch Aero</v>
      </c>
      <c r="Q1504" s="152" t="str">
        <f>IFERROR(__xludf.DUMMYFUNCTION("""COMPUTED_VALUE"""),"Black seats")</f>
        <v>Black seats</v>
      </c>
      <c r="R1504" s="149" t="str">
        <f>IFERROR(__xludf.DUMMYFUNCTION("""COMPUTED_VALUE"""),"Full Self-Driving")</f>
        <v>Full Self-Driving</v>
      </c>
      <c r="S1504" s="149"/>
      <c r="T1504" s="145"/>
      <c r="U1504" s="145"/>
      <c r="V1504" s="145"/>
      <c r="W1504" s="136"/>
      <c r="X1504" s="137" t="str">
        <f>IFERROR(__xludf.DUMMYFUNCTION("""COMPUTED_VALUE"""),"Good")</f>
        <v>Good</v>
      </c>
      <c r="Y1504" s="138" t="str">
        <f>IFERROR(__xludf.DUMMYFUNCTION("""COMPUTED_VALUE"""),"Good")</f>
        <v>Good</v>
      </c>
      <c r="Z1504" s="138" t="str">
        <f>IFERROR(__xludf.DUMMYFUNCTION("""COMPUTED_VALUE"""),"Good")</f>
        <v>Good</v>
      </c>
      <c r="AA1504" s="138" t="str">
        <f>IFERROR(__xludf.DUMMYFUNCTION("""COMPUTED_VALUE"""),"Fair")</f>
        <v>Fair</v>
      </c>
      <c r="AB1504" s="138" t="str">
        <f>IFERROR(__xludf.DUMMYFUNCTION("""COMPUTED_VALUE"""),"Fair")</f>
        <v>Fair</v>
      </c>
      <c r="AC1504" s="139">
        <f>IFERROR(__xludf.DUMMYFUNCTION("""COMPUTED_VALUE"""),1.0)</f>
        <v>1</v>
      </c>
      <c r="AD1504" s="139">
        <f>IFERROR(__xludf.DUMMYFUNCTION("""COMPUTED_VALUE"""),1.0)</f>
        <v>1</v>
      </c>
      <c r="AE1504" s="139">
        <f>IFERROR(__xludf.DUMMYFUNCTION("""COMPUTED_VALUE"""),0.0)</f>
        <v>0</v>
      </c>
      <c r="AF1504" s="140"/>
      <c r="AG1504" s="136" t="str">
        <f>IFERROR(__xludf.DUMMYFUNCTION("""COMPUTED_VALUE"""),"VIN found in Source code. Could have taken delivery as early as 12/21 but wife was out of town and on the title.")</f>
        <v>VIN found in Source code. Could have taken delivery as early as 12/21 but wife was out of town and on the title.</v>
      </c>
      <c r="AH1504" s="157">
        <f>IFERROR(__xludf.DUMMYFUNCTION("""COMPUTED_VALUE"""),43849.44819902778)</f>
        <v>43849.4482</v>
      </c>
      <c r="AI1504" s="138"/>
      <c r="AJ1504" s="138"/>
      <c r="AK1504" s="138"/>
      <c r="AL1504" s="142"/>
    </row>
    <row r="1505" ht="20.25" customHeight="1">
      <c r="A1505" s="155" t="str">
        <f>IFERROR(__xludf.DUMMYFUNCTION("""COMPUTED_VALUE"""),"bmt1012")</f>
        <v>bmt1012</v>
      </c>
      <c r="B1505" s="149" t="str">
        <f>IFERROR(__xludf.DUMMYFUNCTION("""COMPUTED_VALUE"""),"Santa Clara, CA")</f>
        <v>Santa Clara, CA</v>
      </c>
      <c r="C1505" s="149" t="str">
        <f>IFERROR(__xludf.DUMMYFUNCTION("""COMPUTED_VALUE"""),"CA")</f>
        <v>CA</v>
      </c>
      <c r="D1505" s="149" t="str">
        <f>IFERROR(__xludf.DUMMYFUNCTION("""COMPUTED_VALUE"""),"USA")</f>
        <v>USA</v>
      </c>
      <c r="E1505" s="156">
        <f>IFERROR(__xludf.DUMMYFUNCTION("""COMPUTED_VALUE"""),43784.0)</f>
        <v>43784</v>
      </c>
      <c r="F1505" s="129">
        <f>IFERROR(__xludf.DUMMYFUNCTION("""COMPUTED_VALUE"""),43824.0)</f>
        <v>43824</v>
      </c>
      <c r="G1505" s="154"/>
      <c r="H1505" s="131"/>
      <c r="I1505" s="144" t="str">
        <f>IFERROR(__xludf.DUMMYFUNCTION("""COMPUTED_VALUE"""),"12/19")</f>
        <v>12/19</v>
      </c>
      <c r="J1505" s="129">
        <f>IFERROR(__xludf.DUMMYFUNCTION("""COMPUTED_VALUE"""),43830.0)</f>
        <v>43830</v>
      </c>
      <c r="K1505" s="133">
        <f>IFERROR(__xludf.DUMMYFUNCTION("""COMPUTED_VALUE"""),40.0)</f>
        <v>40</v>
      </c>
      <c r="L1505" s="133">
        <f>IFERROR(__xludf.DUMMYFUNCTION("""COMPUTED_VALUE"""),6.0)</f>
        <v>6</v>
      </c>
      <c r="M1505" s="133">
        <f>IFERROR(__xludf.DUMMYFUNCTION("""COMPUTED_VALUE"""),46.0)</f>
        <v>46</v>
      </c>
      <c r="N1505" s="152" t="str">
        <f>IFERROR(__xludf.DUMMYFUNCTION("""COMPUTED_VALUE"""),"Model 3 SR")</f>
        <v>Model 3 SR</v>
      </c>
      <c r="O1505" s="152" t="str">
        <f>IFERROR(__xludf.DUMMYFUNCTION("""COMPUTED_VALUE"""),"Pearl White Multi-Coat")</f>
        <v>Pearl White Multi-Coat</v>
      </c>
      <c r="P1505" s="153" t="str">
        <f>IFERROR(__xludf.DUMMYFUNCTION("""COMPUTED_VALUE"""),"18 inch Aero")</f>
        <v>18 inch Aero</v>
      </c>
      <c r="Q1505" s="152" t="str">
        <f>IFERROR(__xludf.DUMMYFUNCTION("""COMPUTED_VALUE"""),"Black seats")</f>
        <v>Black seats</v>
      </c>
      <c r="R1505" s="149"/>
      <c r="S1505" s="149"/>
      <c r="T1505" s="145"/>
      <c r="U1505" s="145"/>
      <c r="V1505" s="145"/>
      <c r="W1505" s="136"/>
      <c r="X1505" s="137" t="str">
        <f>IFERROR(__xludf.DUMMYFUNCTION("""COMPUTED_VALUE"""),"Good")</f>
        <v>Good</v>
      </c>
      <c r="Y1505" s="138" t="str">
        <f>IFERROR(__xludf.DUMMYFUNCTION("""COMPUTED_VALUE"""),"Very Good")</f>
        <v>Very Good</v>
      </c>
      <c r="Z1505" s="138" t="str">
        <f>IFERROR(__xludf.DUMMYFUNCTION("""COMPUTED_VALUE"""),"Very Good")</f>
        <v>Very Good</v>
      </c>
      <c r="AA1505" s="138" t="str">
        <f>IFERROR(__xludf.DUMMYFUNCTION("""COMPUTED_VALUE"""),"Poor")</f>
        <v>Poor</v>
      </c>
      <c r="AB1505" s="138" t="str">
        <f>IFERROR(__xludf.DUMMYFUNCTION("""COMPUTED_VALUE"""),"Fair")</f>
        <v>Fair</v>
      </c>
      <c r="AC1505" s="139">
        <f>IFERROR(__xludf.DUMMYFUNCTION("""COMPUTED_VALUE"""),1.0)</f>
        <v>1</v>
      </c>
      <c r="AD1505" s="139">
        <f>IFERROR(__xludf.DUMMYFUNCTION("""COMPUTED_VALUE"""),1.0)</f>
        <v>1</v>
      </c>
      <c r="AE1505" s="139">
        <f>IFERROR(__xludf.DUMMYFUNCTION("""COMPUTED_VALUE"""),0.0)</f>
        <v>0</v>
      </c>
      <c r="AF1505" s="140"/>
      <c r="AG1505" s="136"/>
      <c r="AH1505" s="157">
        <f>IFERROR(__xludf.DUMMYFUNCTION("""COMPUTED_VALUE"""),43842.86144104167)</f>
        <v>43842.86144</v>
      </c>
      <c r="AI1505" s="138"/>
      <c r="AJ1505" s="138"/>
      <c r="AK1505" s="138"/>
      <c r="AL1505" s="142"/>
    </row>
    <row r="1506" ht="20.25" customHeight="1">
      <c r="A1506" s="155" t="str">
        <f>IFERROR(__xludf.DUMMYFUNCTION("""COMPUTED_VALUE"""),"yorbalinda206")</f>
        <v>yorbalinda206</v>
      </c>
      <c r="B1506" s="149"/>
      <c r="C1506" s="149" t="str">
        <f>IFERROR(__xludf.DUMMYFUNCTION("""COMPUTED_VALUE"""),"CA")</f>
        <v>CA</v>
      </c>
      <c r="D1506" s="149" t="str">
        <f>IFERROR(__xludf.DUMMYFUNCTION("""COMPUTED_VALUE"""),"USA")</f>
        <v>USA</v>
      </c>
      <c r="E1506" s="156">
        <f>IFERROR(__xludf.DUMMYFUNCTION("""COMPUTED_VALUE"""),43784.0)</f>
        <v>43784</v>
      </c>
      <c r="F1506" s="129">
        <f>IFERROR(__xludf.DUMMYFUNCTION("""COMPUTED_VALUE"""),43814.0)</f>
        <v>43814</v>
      </c>
      <c r="G1506" s="154"/>
      <c r="H1506" s="131">
        <f>IFERROR(__xludf.DUMMYFUNCTION("""COMPUTED_VALUE"""),617055.0)</f>
        <v>617055</v>
      </c>
      <c r="I1506" s="144" t="str">
        <f>IFERROR(__xludf.DUMMYFUNCTION("""COMPUTED_VALUE"""),"12/19")</f>
        <v>12/19</v>
      </c>
      <c r="J1506" s="129">
        <f>IFERROR(__xludf.DUMMYFUNCTION("""COMPUTED_VALUE"""),43821.0)</f>
        <v>43821</v>
      </c>
      <c r="K1506" s="133">
        <f>IFERROR(__xludf.DUMMYFUNCTION("""COMPUTED_VALUE"""),30.0)</f>
        <v>30</v>
      </c>
      <c r="L1506" s="133">
        <f>IFERROR(__xludf.DUMMYFUNCTION("""COMPUTED_VALUE"""),7.0)</f>
        <v>7</v>
      </c>
      <c r="M1506" s="133">
        <f>IFERROR(__xludf.DUMMYFUNCTION("""COMPUTED_VALUE"""),37.0)</f>
        <v>37</v>
      </c>
      <c r="N1506" s="152" t="str">
        <f>IFERROR(__xludf.DUMMYFUNCTION("""COMPUTED_VALUE"""),"Model 3 LR AWD")</f>
        <v>Model 3 LR AWD</v>
      </c>
      <c r="O1506" s="152" t="str">
        <f>IFERROR(__xludf.DUMMYFUNCTION("""COMPUTED_VALUE"""),"Red Multi-Coat")</f>
        <v>Red Multi-Coat</v>
      </c>
      <c r="P1506" s="153" t="str">
        <f>IFERROR(__xludf.DUMMYFUNCTION("""COMPUTED_VALUE"""),"18 inch Aero")</f>
        <v>18 inch Aero</v>
      </c>
      <c r="Q1506" s="152" t="str">
        <f>IFERROR(__xludf.DUMMYFUNCTION("""COMPUTED_VALUE"""),"Black seats")</f>
        <v>Black seats</v>
      </c>
      <c r="R1506" s="149" t="str">
        <f>IFERROR(__xludf.DUMMYFUNCTION("""COMPUTED_VALUE"""),"Full Self-Driving")</f>
        <v>Full Self-Driving</v>
      </c>
      <c r="S1506" s="149"/>
      <c r="T1506" s="145"/>
      <c r="U1506" s="145"/>
      <c r="V1506" s="145"/>
      <c r="W1506" s="136"/>
      <c r="X1506" s="137" t="str">
        <f>IFERROR(__xludf.DUMMYFUNCTION("""COMPUTED_VALUE"""),"Excellent")</f>
        <v>Excellent</v>
      </c>
      <c r="Y1506" s="138" t="str">
        <f>IFERROR(__xludf.DUMMYFUNCTION("""COMPUTED_VALUE"""),"Excellent")</f>
        <v>Excellent</v>
      </c>
      <c r="Z1506" s="138" t="str">
        <f>IFERROR(__xludf.DUMMYFUNCTION("""COMPUTED_VALUE"""),"Very Good")</f>
        <v>Very Good</v>
      </c>
      <c r="AA1506" s="138" t="str">
        <f>IFERROR(__xludf.DUMMYFUNCTION("""COMPUTED_VALUE"""),"Excellent")</f>
        <v>Excellent</v>
      </c>
      <c r="AB1506" s="138" t="str">
        <f>IFERROR(__xludf.DUMMYFUNCTION("""COMPUTED_VALUE"""),"Excellent")</f>
        <v>Excellent</v>
      </c>
      <c r="AC1506" s="139">
        <f>IFERROR(__xludf.DUMMYFUNCTION("""COMPUTED_VALUE"""),2.0)</f>
        <v>2</v>
      </c>
      <c r="AD1506" s="139">
        <f>IFERROR(__xludf.DUMMYFUNCTION("""COMPUTED_VALUE"""),0.0)</f>
        <v>0</v>
      </c>
      <c r="AE1506" s="139">
        <f>IFERROR(__xludf.DUMMYFUNCTION("""COMPUTED_VALUE"""),0.0)</f>
        <v>0</v>
      </c>
      <c r="AF1506" s="140"/>
      <c r="AG1506" s="136"/>
      <c r="AH1506" s="157">
        <f>IFERROR(__xludf.DUMMYFUNCTION("""COMPUTED_VALUE"""),43829.46707309028)</f>
        <v>43829.46707</v>
      </c>
      <c r="AI1506" s="138"/>
      <c r="AJ1506" s="138"/>
      <c r="AK1506" s="138"/>
      <c r="AL1506" s="142"/>
    </row>
    <row r="1507" ht="20.25" customHeight="1">
      <c r="A1507" s="155" t="str">
        <f>IFERROR(__xludf.DUMMYFUNCTION("""COMPUTED_VALUE"""),"pile_of_salt")</f>
        <v>pile_of_salt</v>
      </c>
      <c r="B1507" s="149" t="str">
        <f>IFERROR(__xludf.DUMMYFUNCTION("""COMPUTED_VALUE"""),"Bratislava Slovakia")</f>
        <v>Bratislava Slovakia</v>
      </c>
      <c r="C1507" s="149"/>
      <c r="D1507" s="149" t="str">
        <f>IFERROR(__xludf.DUMMYFUNCTION("""COMPUTED_VALUE"""),"Other (include country together with city)")</f>
        <v>Other (include country together with city)</v>
      </c>
      <c r="E1507" s="156">
        <f>IFERROR(__xludf.DUMMYFUNCTION("""COMPUTED_VALUE"""),43782.0)</f>
        <v>43782</v>
      </c>
      <c r="F1507" s="129">
        <f>IFERROR(__xludf.DUMMYFUNCTION("""COMPUTED_VALUE"""),43872.0)</f>
        <v>43872</v>
      </c>
      <c r="G1507" s="154"/>
      <c r="H1507" s="131">
        <f>IFERROR(__xludf.DUMMYFUNCTION("""COMPUTED_VALUE"""),674455.0)</f>
        <v>674455</v>
      </c>
      <c r="I1507" s="144"/>
      <c r="J1507" s="129">
        <f>IFERROR(__xludf.DUMMYFUNCTION("""COMPUTED_VALUE"""),43896.0)</f>
        <v>43896</v>
      </c>
      <c r="K1507" s="133">
        <f>IFERROR(__xludf.DUMMYFUNCTION("""COMPUTED_VALUE"""),90.0)</f>
        <v>90</v>
      </c>
      <c r="L1507" s="133">
        <f>IFERROR(__xludf.DUMMYFUNCTION("""COMPUTED_VALUE"""),24.0)</f>
        <v>24</v>
      </c>
      <c r="M1507" s="133">
        <f>IFERROR(__xludf.DUMMYFUNCTION("""COMPUTED_VALUE"""),114.0)</f>
        <v>114</v>
      </c>
      <c r="N1507" s="152" t="str">
        <f>IFERROR(__xludf.DUMMYFUNCTION("""COMPUTED_VALUE"""),"Model 3 LR AWD")</f>
        <v>Model 3 LR AWD</v>
      </c>
      <c r="O1507" s="152" t="str">
        <f>IFERROR(__xludf.DUMMYFUNCTION("""COMPUTED_VALUE"""),"Pearl White Multi-Coat")</f>
        <v>Pearl White Multi-Coat</v>
      </c>
      <c r="P1507" s="153" t="str">
        <f>IFERROR(__xludf.DUMMYFUNCTION("""COMPUTED_VALUE"""),"18 inch Aero")</f>
        <v>18 inch Aero</v>
      </c>
      <c r="Q1507" s="152" t="str">
        <f>IFERROR(__xludf.DUMMYFUNCTION("""COMPUTED_VALUE"""),"Black seats")</f>
        <v>Black seats</v>
      </c>
      <c r="R1507" s="149" t="str">
        <f>IFERROR(__xludf.DUMMYFUNCTION("""COMPUTED_VALUE"""),"Autopilot")</f>
        <v>Autopilot</v>
      </c>
      <c r="S1507" s="149"/>
      <c r="T1507" s="145"/>
      <c r="U1507" s="145"/>
      <c r="V1507" s="145"/>
      <c r="W1507" s="136"/>
      <c r="X1507" s="137" t="str">
        <f>IFERROR(__xludf.DUMMYFUNCTION("""COMPUTED_VALUE"""),"Very Good")</f>
        <v>Very Good</v>
      </c>
      <c r="Y1507" s="138" t="str">
        <f>IFERROR(__xludf.DUMMYFUNCTION("""COMPUTED_VALUE"""),"Excellent")</f>
        <v>Excellent</v>
      </c>
      <c r="Z1507" s="138" t="str">
        <f>IFERROR(__xludf.DUMMYFUNCTION("""COMPUTED_VALUE"""),"Excellent")</f>
        <v>Excellent</v>
      </c>
      <c r="AA1507" s="138" t="str">
        <f>IFERROR(__xludf.DUMMYFUNCTION("""COMPUTED_VALUE"""),"Fair")</f>
        <v>Fair</v>
      </c>
      <c r="AB1507" s="138" t="str">
        <f>IFERROR(__xludf.DUMMYFUNCTION("""COMPUTED_VALUE"""),"Fair")</f>
        <v>Fair</v>
      </c>
      <c r="AC1507" s="139">
        <f>IFERROR(__xludf.DUMMYFUNCTION("""COMPUTED_VALUE"""),0.0)</f>
        <v>0</v>
      </c>
      <c r="AD1507" s="139"/>
      <c r="AE1507" s="139"/>
      <c r="AF1507" s="140"/>
      <c r="AG1507" s="136" t="str">
        <f>IFERROR(__xludf.DUMMYFUNCTION("""COMPUTED_VALUE"""),"head light changed in warranty after 10k km")</f>
        <v>head light changed in warranty after 10k km</v>
      </c>
      <c r="AH1507" s="157">
        <f>IFERROR(__xludf.DUMMYFUNCTION("""COMPUTED_VALUE"""),44116.02423758103)</f>
        <v>44116.02424</v>
      </c>
      <c r="AI1507" s="138"/>
      <c r="AJ1507" s="138"/>
      <c r="AK1507" s="138"/>
      <c r="AL1507" s="142"/>
    </row>
    <row r="1508" ht="20.25" customHeight="1">
      <c r="A1508" s="155" t="str">
        <f>IFERROR(__xludf.DUMMYFUNCTION("""COMPUTED_VALUE"""),"samchopps")</f>
        <v>samchopps</v>
      </c>
      <c r="B1508" s="149" t="str">
        <f>IFERROR(__xludf.DUMMYFUNCTION("""COMPUTED_VALUE"""),"Bay Area")</f>
        <v>Bay Area</v>
      </c>
      <c r="C1508" s="149" t="str">
        <f>IFERROR(__xludf.DUMMYFUNCTION("""COMPUTED_VALUE"""),"CA")</f>
        <v>CA</v>
      </c>
      <c r="D1508" s="149" t="str">
        <f>IFERROR(__xludf.DUMMYFUNCTION("""COMPUTED_VALUE"""),"USA")</f>
        <v>USA</v>
      </c>
      <c r="E1508" s="156">
        <f>IFERROR(__xludf.DUMMYFUNCTION("""COMPUTED_VALUE"""),43782.0)</f>
        <v>43782</v>
      </c>
      <c r="F1508" s="129">
        <f>IFERROR(__xludf.DUMMYFUNCTION("""COMPUTED_VALUE"""),43795.0)</f>
        <v>43795</v>
      </c>
      <c r="G1508" s="154"/>
      <c r="H1508" s="131">
        <f>IFERROR(__xludf.DUMMYFUNCTION("""COMPUTED_VALUE"""),627355.0)</f>
        <v>627355</v>
      </c>
      <c r="I1508" s="144" t="str">
        <f>IFERROR(__xludf.DUMMYFUNCTION("""COMPUTED_VALUE"""),"11/19")</f>
        <v>11/19</v>
      </c>
      <c r="J1508" s="129">
        <f>IFERROR(__xludf.DUMMYFUNCTION("""COMPUTED_VALUE"""),43800.0)</f>
        <v>43800</v>
      </c>
      <c r="K1508" s="133">
        <f>IFERROR(__xludf.DUMMYFUNCTION("""COMPUTED_VALUE"""),13.0)</f>
        <v>13</v>
      </c>
      <c r="L1508" s="133">
        <f>IFERROR(__xludf.DUMMYFUNCTION("""COMPUTED_VALUE"""),5.0)</f>
        <v>5</v>
      </c>
      <c r="M1508" s="133">
        <f>IFERROR(__xludf.DUMMYFUNCTION("""COMPUTED_VALUE"""),18.0)</f>
        <v>18</v>
      </c>
      <c r="N1508" s="152" t="str">
        <f>IFERROR(__xludf.DUMMYFUNCTION("""COMPUTED_VALUE"""),"Model 3 Performance")</f>
        <v>Model 3 Performance</v>
      </c>
      <c r="O1508" s="152" t="str">
        <f>IFERROR(__xludf.DUMMYFUNCTION("""COMPUTED_VALUE"""),"Deep Blue Metallic")</f>
        <v>Deep Blue Metallic</v>
      </c>
      <c r="P1508" s="153" t="str">
        <f>IFERROR(__xludf.DUMMYFUNCTION("""COMPUTED_VALUE"""),"19 inch Sport")</f>
        <v>19 inch Sport</v>
      </c>
      <c r="Q1508" s="152" t="str">
        <f>IFERROR(__xludf.DUMMYFUNCTION("""COMPUTED_VALUE"""),"Black seats")</f>
        <v>Black seats</v>
      </c>
      <c r="R1508" s="149" t="str">
        <f>IFERROR(__xludf.DUMMYFUNCTION("""COMPUTED_VALUE"""),"Full Self-Driving")</f>
        <v>Full Self-Driving</v>
      </c>
      <c r="S1508" s="149"/>
      <c r="T1508" s="145"/>
      <c r="U1508" s="145"/>
      <c r="V1508" s="145"/>
      <c r="W1508" s="136"/>
      <c r="X1508" s="137" t="str">
        <f>IFERROR(__xludf.DUMMYFUNCTION("""COMPUTED_VALUE"""),"Very Good")</f>
        <v>Very Good</v>
      </c>
      <c r="Y1508" s="138" t="str">
        <f>IFERROR(__xludf.DUMMYFUNCTION("""COMPUTED_VALUE"""),"Excellent")</f>
        <v>Excellent</v>
      </c>
      <c r="Z1508" s="138" t="str">
        <f>IFERROR(__xludf.DUMMYFUNCTION("""COMPUTED_VALUE"""),"Very Good")</f>
        <v>Very Good</v>
      </c>
      <c r="AA1508" s="138" t="str">
        <f>IFERROR(__xludf.DUMMYFUNCTION("""COMPUTED_VALUE"""),"Good")</f>
        <v>Good</v>
      </c>
      <c r="AB1508" s="138" t="str">
        <f>IFERROR(__xludf.DUMMYFUNCTION("""COMPUTED_VALUE"""),"Good")</f>
        <v>Good</v>
      </c>
      <c r="AC1508" s="139"/>
      <c r="AD1508" s="139"/>
      <c r="AE1508" s="139"/>
      <c r="AF1508" s="140"/>
      <c r="AG1508" s="136" t="str">
        <f>IFERROR(__xludf.DUMMYFUNCTION("""COMPUTED_VALUE"""),"upgraded from LRAWD to stealth on 11/24.  missing two wheel caps on delivery")</f>
        <v>upgraded from LRAWD to stealth on 11/24.  missing two wheel caps on delivery</v>
      </c>
      <c r="AH1508" s="157">
        <f>IFERROR(__xludf.DUMMYFUNCTION("""COMPUTED_VALUE"""),43801.46368283565)</f>
        <v>43801.46368</v>
      </c>
      <c r="AI1508" s="138"/>
      <c r="AJ1508" s="138"/>
      <c r="AK1508" s="138"/>
      <c r="AL1508" s="142"/>
    </row>
    <row r="1509" ht="20.25" customHeight="1">
      <c r="A1509" s="155" t="str">
        <f>IFERROR(__xludf.DUMMYFUNCTION("""COMPUTED_VALUE"""),"Sioux Ya Ya")</f>
        <v>Sioux Ya Ya</v>
      </c>
      <c r="B1509" s="149" t="str">
        <f>IFERROR(__xludf.DUMMYFUNCTION("""COMPUTED_VALUE"""),"Bellevue")</f>
        <v>Bellevue</v>
      </c>
      <c r="C1509" s="149" t="str">
        <f>IFERROR(__xludf.DUMMYFUNCTION("""COMPUTED_VALUE"""),"WA")</f>
        <v>WA</v>
      </c>
      <c r="D1509" s="149" t="str">
        <f>IFERROR(__xludf.DUMMYFUNCTION("""COMPUTED_VALUE"""),"USA")</f>
        <v>USA</v>
      </c>
      <c r="E1509" s="156">
        <f>IFERROR(__xludf.DUMMYFUNCTION("""COMPUTED_VALUE"""),43782.0)</f>
        <v>43782</v>
      </c>
      <c r="F1509" s="129">
        <f>IFERROR(__xludf.DUMMYFUNCTION("""COMPUTED_VALUE"""),43806.0)</f>
        <v>43806</v>
      </c>
      <c r="G1509" s="154"/>
      <c r="H1509" s="131">
        <f>IFERROR(__xludf.DUMMYFUNCTION("""COMPUTED_VALUE"""),61555.0)</f>
        <v>61555</v>
      </c>
      <c r="I1509" s="144"/>
      <c r="J1509" s="129">
        <f>IFERROR(__xludf.DUMMYFUNCTION("""COMPUTED_VALUE"""),43809.0)</f>
        <v>43809</v>
      </c>
      <c r="K1509" s="133">
        <f>IFERROR(__xludf.DUMMYFUNCTION("""COMPUTED_VALUE"""),24.0)</f>
        <v>24</v>
      </c>
      <c r="L1509" s="133">
        <f>IFERROR(__xludf.DUMMYFUNCTION("""COMPUTED_VALUE"""),3.0)</f>
        <v>3</v>
      </c>
      <c r="M1509" s="133">
        <f>IFERROR(__xludf.DUMMYFUNCTION("""COMPUTED_VALUE"""),27.0)</f>
        <v>27</v>
      </c>
      <c r="N1509" s="152" t="str">
        <f>IFERROR(__xludf.DUMMYFUNCTION("""COMPUTED_VALUE"""),"Model 3 SR+")</f>
        <v>Model 3 SR+</v>
      </c>
      <c r="O1509" s="152" t="str">
        <f>IFERROR(__xludf.DUMMYFUNCTION("""COMPUTED_VALUE"""),"Deep Blue Metallic")</f>
        <v>Deep Blue Metallic</v>
      </c>
      <c r="P1509" s="153" t="str">
        <f>IFERROR(__xludf.DUMMYFUNCTION("""COMPUTED_VALUE"""),"18 inch Aero")</f>
        <v>18 inch Aero</v>
      </c>
      <c r="Q1509" s="152" t="str">
        <f>IFERROR(__xludf.DUMMYFUNCTION("""COMPUTED_VALUE"""),"White seats")</f>
        <v>White seats</v>
      </c>
      <c r="R1509" s="149" t="str">
        <f>IFERROR(__xludf.DUMMYFUNCTION("""COMPUTED_VALUE"""),"Autopilot")</f>
        <v>Autopilot</v>
      </c>
      <c r="S1509" s="149"/>
      <c r="T1509" s="145"/>
      <c r="U1509" s="145"/>
      <c r="V1509" s="145"/>
      <c r="W1509" s="136"/>
      <c r="X1509" s="137" t="str">
        <f>IFERROR(__xludf.DUMMYFUNCTION("""COMPUTED_VALUE"""),"Fair")</f>
        <v>Fair</v>
      </c>
      <c r="Y1509" s="138" t="str">
        <f>IFERROR(__xludf.DUMMYFUNCTION("""COMPUTED_VALUE"""),"Fair")</f>
        <v>Fair</v>
      </c>
      <c r="Z1509" s="138" t="str">
        <f>IFERROR(__xludf.DUMMYFUNCTION("""COMPUTED_VALUE"""),"Excellent")</f>
        <v>Excellent</v>
      </c>
      <c r="AA1509" s="138" t="str">
        <f>IFERROR(__xludf.DUMMYFUNCTION("""COMPUTED_VALUE"""),"Good")</f>
        <v>Good</v>
      </c>
      <c r="AB1509" s="138" t="str">
        <f>IFERROR(__xludf.DUMMYFUNCTION("""COMPUTED_VALUE"""),"Fair")</f>
        <v>Fair</v>
      </c>
      <c r="AC1509" s="139">
        <f>IFERROR(__xludf.DUMMYFUNCTION("""COMPUTED_VALUE"""),7.0)</f>
        <v>7</v>
      </c>
      <c r="AD1509" s="139"/>
      <c r="AE1509" s="139"/>
      <c r="AF1509" s="140"/>
      <c r="AG1509" s="136"/>
      <c r="AH1509" s="157">
        <f>IFERROR(__xludf.DUMMYFUNCTION("""COMPUTED_VALUE"""),43810.54523832176)</f>
        <v>43810.54524</v>
      </c>
      <c r="AI1509" s="138"/>
      <c r="AJ1509" s="138"/>
      <c r="AK1509" s="138"/>
      <c r="AL1509" s="142"/>
    </row>
    <row r="1510" ht="20.25" customHeight="1">
      <c r="A1510" s="155" t="str">
        <f>IFERROR(__xludf.DUMMYFUNCTION("""COMPUTED_VALUE"""),"Hoololly")</f>
        <v>Hoololly</v>
      </c>
      <c r="B1510" s="149" t="str">
        <f>IFERROR(__xludf.DUMMYFUNCTION("""COMPUTED_VALUE"""),"Nashville")</f>
        <v>Nashville</v>
      </c>
      <c r="C1510" s="149" t="str">
        <f>IFERROR(__xludf.DUMMYFUNCTION("""COMPUTED_VALUE"""),"TN")</f>
        <v>TN</v>
      </c>
      <c r="D1510" s="149" t="str">
        <f>IFERROR(__xludf.DUMMYFUNCTION("""COMPUTED_VALUE"""),"USA")</f>
        <v>USA</v>
      </c>
      <c r="E1510" s="156">
        <f>IFERROR(__xludf.DUMMYFUNCTION("""COMPUTED_VALUE"""),43781.0)</f>
        <v>43781</v>
      </c>
      <c r="F1510" s="129">
        <f>IFERROR(__xludf.DUMMYFUNCTION("""COMPUTED_VALUE"""),43790.0)</f>
        <v>43790</v>
      </c>
      <c r="G1510" s="154"/>
      <c r="H1510" s="131">
        <f>IFERROR(__xludf.DUMMYFUNCTION("""COMPUTED_VALUE"""),586855.0)</f>
        <v>586855</v>
      </c>
      <c r="I1510" s="144"/>
      <c r="J1510" s="129">
        <f>IFERROR(__xludf.DUMMYFUNCTION("""COMPUTED_VALUE"""),43796.0)</f>
        <v>43796</v>
      </c>
      <c r="K1510" s="133">
        <f>IFERROR(__xludf.DUMMYFUNCTION("""COMPUTED_VALUE"""),9.0)</f>
        <v>9</v>
      </c>
      <c r="L1510" s="133">
        <f>IFERROR(__xludf.DUMMYFUNCTION("""COMPUTED_VALUE"""),6.0)</f>
        <v>6</v>
      </c>
      <c r="M1510" s="133">
        <f>IFERROR(__xludf.DUMMYFUNCTION("""COMPUTED_VALUE"""),15.0)</f>
        <v>15</v>
      </c>
      <c r="N1510" s="152" t="str">
        <f>IFERROR(__xludf.DUMMYFUNCTION("""COMPUTED_VALUE"""),"Model 3 LR AWD")</f>
        <v>Model 3 LR AWD</v>
      </c>
      <c r="O1510" s="152" t="str">
        <f>IFERROR(__xludf.DUMMYFUNCTION("""COMPUTED_VALUE"""),"Deep Blue Metallic")</f>
        <v>Deep Blue Metallic</v>
      </c>
      <c r="P1510" s="153" t="str">
        <f>IFERROR(__xludf.DUMMYFUNCTION("""COMPUTED_VALUE"""),"19 inch Sport")</f>
        <v>19 inch Sport</v>
      </c>
      <c r="Q1510" s="152" t="str">
        <f>IFERROR(__xludf.DUMMYFUNCTION("""COMPUTED_VALUE"""),"Black seats")</f>
        <v>Black seats</v>
      </c>
      <c r="R1510" s="149" t="str">
        <f>IFERROR(__xludf.DUMMYFUNCTION("""COMPUTED_VALUE"""),"Full Self-Driving")</f>
        <v>Full Self-Driving</v>
      </c>
      <c r="S1510" s="149"/>
      <c r="T1510" s="145"/>
      <c r="U1510" s="145"/>
      <c r="V1510" s="145"/>
      <c r="W1510" s="136"/>
      <c r="X1510" s="137" t="str">
        <f>IFERROR(__xludf.DUMMYFUNCTION("""COMPUTED_VALUE"""),"Excellent")</f>
        <v>Excellent</v>
      </c>
      <c r="Y1510" s="138" t="str">
        <f>IFERROR(__xludf.DUMMYFUNCTION("""COMPUTED_VALUE"""),"Excellent")</f>
        <v>Excellent</v>
      </c>
      <c r="Z1510" s="138" t="str">
        <f>IFERROR(__xludf.DUMMYFUNCTION("""COMPUTED_VALUE"""),"Excellent")</f>
        <v>Excellent</v>
      </c>
      <c r="AA1510" s="138" t="str">
        <f>IFERROR(__xludf.DUMMYFUNCTION("""COMPUTED_VALUE"""),"Excellent")</f>
        <v>Excellent</v>
      </c>
      <c r="AB1510" s="138" t="str">
        <f>IFERROR(__xludf.DUMMYFUNCTION("""COMPUTED_VALUE"""),"Excellent")</f>
        <v>Excellent</v>
      </c>
      <c r="AC1510" s="139"/>
      <c r="AD1510" s="139"/>
      <c r="AE1510" s="139"/>
      <c r="AF1510" s="140"/>
      <c r="AG1510" s="136" t="str">
        <f>IFERROR(__xludf.DUMMYFUNCTION("""COMPUTED_VALUE"""),"Upgraded original config to stealth by calling SA 11/21.  Matched immediately to inventory available in Pittsburgh, which they shipped. Delivery originally scheduled for 12/1, was able to pick up 11/27.")</f>
        <v>Upgraded original config to stealth by calling SA 11/21.  Matched immediately to inventory available in Pittsburgh, which they shipped. Delivery originally scheduled for 12/1, was able to pick up 11/27.</v>
      </c>
      <c r="AH1510" s="157">
        <f>IFERROR(__xludf.DUMMYFUNCTION("""COMPUTED_VALUE"""),43799.650631736105)</f>
        <v>43799.65063</v>
      </c>
      <c r="AI1510" s="138"/>
      <c r="AJ1510" s="138"/>
      <c r="AK1510" s="138"/>
      <c r="AL1510" s="142"/>
    </row>
    <row r="1511" ht="20.25" customHeight="1">
      <c r="A1511" s="155" t="str">
        <f>IFERROR(__xludf.DUMMYFUNCTION("""COMPUTED_VALUE"""),"Eve")</f>
        <v>Eve</v>
      </c>
      <c r="B1511" s="149" t="str">
        <f>IFERROR(__xludf.DUMMYFUNCTION("""COMPUTED_VALUE"""),"Tallahassee, FL")</f>
        <v>Tallahassee, FL</v>
      </c>
      <c r="C1511" s="149" t="str">
        <f>IFERROR(__xludf.DUMMYFUNCTION("""COMPUTED_VALUE"""),"FL")</f>
        <v>FL</v>
      </c>
      <c r="D1511" s="149" t="str">
        <f>IFERROR(__xludf.DUMMYFUNCTION("""COMPUTED_VALUE"""),"USA")</f>
        <v>USA</v>
      </c>
      <c r="E1511" s="156">
        <f>IFERROR(__xludf.DUMMYFUNCTION("""COMPUTED_VALUE"""),43780.0)</f>
        <v>43780</v>
      </c>
      <c r="F1511" s="129">
        <f>IFERROR(__xludf.DUMMYFUNCTION("""COMPUTED_VALUE"""),43805.0)</f>
        <v>43805</v>
      </c>
      <c r="G1511" s="154"/>
      <c r="H1511" s="131">
        <f>IFERROR(__xludf.DUMMYFUNCTION("""COMPUTED_VALUE"""),607055.0)</f>
        <v>607055</v>
      </c>
      <c r="I1511" s="144" t="str">
        <f>IFERROR(__xludf.DUMMYFUNCTION("""COMPUTED_VALUE"""),"12/19")</f>
        <v>12/19</v>
      </c>
      <c r="J1511" s="129">
        <f>IFERROR(__xludf.DUMMYFUNCTION("""COMPUTED_VALUE"""),43813.0)</f>
        <v>43813</v>
      </c>
      <c r="K1511" s="133">
        <f>IFERROR(__xludf.DUMMYFUNCTION("""COMPUTED_VALUE"""),25.0)</f>
        <v>25</v>
      </c>
      <c r="L1511" s="133">
        <f>IFERROR(__xludf.DUMMYFUNCTION("""COMPUTED_VALUE"""),8.0)</f>
        <v>8</v>
      </c>
      <c r="M1511" s="133">
        <f>IFERROR(__xludf.DUMMYFUNCTION("""COMPUTED_VALUE"""),33.0)</f>
        <v>33</v>
      </c>
      <c r="N1511" s="152" t="str">
        <f>IFERROR(__xludf.DUMMYFUNCTION("""COMPUTED_VALUE"""),"Model 3 LR AWD")</f>
        <v>Model 3 LR AWD</v>
      </c>
      <c r="O1511" s="152" t="str">
        <f>IFERROR(__xludf.DUMMYFUNCTION("""COMPUTED_VALUE"""),"Pearl White Multi-Coat")</f>
        <v>Pearl White Multi-Coat</v>
      </c>
      <c r="P1511" s="153" t="str">
        <f>IFERROR(__xludf.DUMMYFUNCTION("""COMPUTED_VALUE"""),"18 inch Aero")</f>
        <v>18 inch Aero</v>
      </c>
      <c r="Q1511" s="152" t="str">
        <f>IFERROR(__xludf.DUMMYFUNCTION("""COMPUTED_VALUE"""),"White seats")</f>
        <v>White seats</v>
      </c>
      <c r="R1511" s="149" t="str">
        <f>IFERROR(__xludf.DUMMYFUNCTION("""COMPUTED_VALUE"""),"Full Self-Driving")</f>
        <v>Full Self-Driving</v>
      </c>
      <c r="S1511" s="149"/>
      <c r="T1511" s="145"/>
      <c r="U1511" s="145"/>
      <c r="V1511" s="145"/>
      <c r="W1511" s="136"/>
      <c r="X1511" s="137" t="str">
        <f>IFERROR(__xludf.DUMMYFUNCTION("""COMPUTED_VALUE"""),"Excellent")</f>
        <v>Excellent</v>
      </c>
      <c r="Y1511" s="138" t="str">
        <f>IFERROR(__xludf.DUMMYFUNCTION("""COMPUTED_VALUE"""),"Very Good")</f>
        <v>Very Good</v>
      </c>
      <c r="Z1511" s="138" t="str">
        <f>IFERROR(__xludf.DUMMYFUNCTION("""COMPUTED_VALUE"""),"Excellent")</f>
        <v>Excellent</v>
      </c>
      <c r="AA1511" s="138" t="str">
        <f>IFERROR(__xludf.DUMMYFUNCTION("""COMPUTED_VALUE"""),"Good")</f>
        <v>Good</v>
      </c>
      <c r="AB1511" s="138" t="str">
        <f>IFERROR(__xludf.DUMMYFUNCTION("""COMPUTED_VALUE"""),"Excellent")</f>
        <v>Excellent</v>
      </c>
      <c r="AC1511" s="139">
        <f>IFERROR(__xludf.DUMMYFUNCTION("""COMPUTED_VALUE"""),4.0)</f>
        <v>4</v>
      </c>
      <c r="AD1511" s="139">
        <f>IFERROR(__xludf.DUMMYFUNCTION("""COMPUTED_VALUE"""),1.0)</f>
        <v>1</v>
      </c>
      <c r="AE1511" s="139">
        <f>IFERROR(__xludf.DUMMYFUNCTION("""COMPUTED_VALUE"""),2.0)</f>
        <v>2</v>
      </c>
      <c r="AF1511" s="140"/>
      <c r="AG1511" s="136" t="str">
        <f>IFERROR(__xludf.DUMMYFUNCTION("""COMPUTED_VALUE"""),"Had to have the back glass replaced due to stress crack")</f>
        <v>Had to have the back glass replaced due to stress crack</v>
      </c>
      <c r="AH1511" s="157">
        <f>IFERROR(__xludf.DUMMYFUNCTION("""COMPUTED_VALUE"""),43836.21735358796)</f>
        <v>43836.21735</v>
      </c>
      <c r="AI1511" s="138"/>
      <c r="AJ1511" s="138"/>
      <c r="AK1511" s="138"/>
      <c r="AL1511" s="142"/>
    </row>
    <row r="1512" ht="20.25" customHeight="1">
      <c r="A1512" s="155" t="str">
        <f>IFERROR(__xludf.DUMMYFUNCTION("""COMPUTED_VALUE"""),"rbailey64bit")</f>
        <v>rbailey64bit</v>
      </c>
      <c r="B1512" s="149" t="str">
        <f>IFERROR(__xludf.DUMMYFUNCTION("""COMPUTED_VALUE"""),"Bow")</f>
        <v>Bow</v>
      </c>
      <c r="C1512" s="149" t="str">
        <f>IFERROR(__xludf.DUMMYFUNCTION("""COMPUTED_VALUE"""),"NH")</f>
        <v>NH</v>
      </c>
      <c r="D1512" s="149" t="str">
        <f>IFERROR(__xludf.DUMMYFUNCTION("""COMPUTED_VALUE"""),"USA")</f>
        <v>USA</v>
      </c>
      <c r="E1512" s="156">
        <f>IFERROR(__xludf.DUMMYFUNCTION("""COMPUTED_VALUE"""),43780.0)</f>
        <v>43780</v>
      </c>
      <c r="F1512" s="129">
        <f>IFERROR(__xludf.DUMMYFUNCTION("""COMPUTED_VALUE"""),43807.0)</f>
        <v>43807</v>
      </c>
      <c r="G1512" s="154"/>
      <c r="H1512" s="131">
        <f>IFERROR(__xludf.DUMMYFUNCTION("""COMPUTED_VALUE"""),607085.0)</f>
        <v>607085</v>
      </c>
      <c r="I1512" s="144"/>
      <c r="J1512" s="129">
        <f>IFERROR(__xludf.DUMMYFUNCTION("""COMPUTED_VALUE"""),43823.0)</f>
        <v>43823</v>
      </c>
      <c r="K1512" s="133">
        <f>IFERROR(__xludf.DUMMYFUNCTION("""COMPUTED_VALUE"""),27.0)</f>
        <v>27</v>
      </c>
      <c r="L1512" s="133">
        <f>IFERROR(__xludf.DUMMYFUNCTION("""COMPUTED_VALUE"""),16.0)</f>
        <v>16</v>
      </c>
      <c r="M1512" s="133">
        <f>IFERROR(__xludf.DUMMYFUNCTION("""COMPUTED_VALUE"""),43.0)</f>
        <v>43</v>
      </c>
      <c r="N1512" s="152" t="str">
        <f>IFERROR(__xludf.DUMMYFUNCTION("""COMPUTED_VALUE"""),"Model 3 LR AWD")</f>
        <v>Model 3 LR AWD</v>
      </c>
      <c r="O1512" s="152" t="str">
        <f>IFERROR(__xludf.DUMMYFUNCTION("""COMPUTED_VALUE"""),"Pearl White Multi-Coat")</f>
        <v>Pearl White Multi-Coat</v>
      </c>
      <c r="P1512" s="153" t="str">
        <f>IFERROR(__xludf.DUMMYFUNCTION("""COMPUTED_VALUE"""),"18 inch Aero")</f>
        <v>18 inch Aero</v>
      </c>
      <c r="Q1512" s="152" t="str">
        <f>IFERROR(__xludf.DUMMYFUNCTION("""COMPUTED_VALUE"""),"White seats")</f>
        <v>White seats</v>
      </c>
      <c r="R1512" s="149" t="str">
        <f>IFERROR(__xludf.DUMMYFUNCTION("""COMPUTED_VALUE"""),"Full Self-Driving")</f>
        <v>Full Self-Driving</v>
      </c>
      <c r="S1512" s="149"/>
      <c r="T1512" s="145"/>
      <c r="U1512" s="145"/>
      <c r="V1512" s="145"/>
      <c r="W1512" s="136"/>
      <c r="X1512" s="137" t="str">
        <f>IFERROR(__xludf.DUMMYFUNCTION("""COMPUTED_VALUE"""),"Excellent")</f>
        <v>Excellent</v>
      </c>
      <c r="Y1512" s="138" t="str">
        <f>IFERROR(__xludf.DUMMYFUNCTION("""COMPUTED_VALUE"""),"Excellent")</f>
        <v>Excellent</v>
      </c>
      <c r="Z1512" s="138" t="str">
        <f>IFERROR(__xludf.DUMMYFUNCTION("""COMPUTED_VALUE"""),"Excellent")</f>
        <v>Excellent</v>
      </c>
      <c r="AA1512" s="138" t="str">
        <f>IFERROR(__xludf.DUMMYFUNCTION("""COMPUTED_VALUE"""),"Fair")</f>
        <v>Fair</v>
      </c>
      <c r="AB1512" s="138" t="str">
        <f>IFERROR(__xludf.DUMMYFUNCTION("""COMPUTED_VALUE"""),"Very Good")</f>
        <v>Very Good</v>
      </c>
      <c r="AC1512" s="139"/>
      <c r="AD1512" s="139"/>
      <c r="AE1512" s="139"/>
      <c r="AF1512" s="140"/>
      <c r="AG1512" s="136" t="str">
        <f>IFERROR(__xludf.DUMMYFUNCTION("""COMPUTED_VALUE"""),"biggest issue was communication between Alliant Credit Union and Tesla")</f>
        <v>biggest issue was communication between Alliant Credit Union and Tesla</v>
      </c>
      <c r="AH1512" s="157">
        <f>IFERROR(__xludf.DUMMYFUNCTION("""COMPUTED_VALUE"""),43826.589480254625)</f>
        <v>43826.58948</v>
      </c>
      <c r="AI1512" s="138"/>
      <c r="AJ1512" s="138"/>
      <c r="AK1512" s="138"/>
      <c r="AL1512" s="142"/>
    </row>
    <row r="1513" ht="20.25" customHeight="1">
      <c r="A1513" s="155" t="str">
        <f>IFERROR(__xludf.DUMMYFUNCTION("""COMPUTED_VALUE"""),"vkp-m3")</f>
        <v>vkp-m3</v>
      </c>
      <c r="B1513" s="149" t="str">
        <f>IFERROR(__xludf.DUMMYFUNCTION("""COMPUTED_VALUE"""),"Natick")</f>
        <v>Natick</v>
      </c>
      <c r="C1513" s="149" t="str">
        <f>IFERROR(__xludf.DUMMYFUNCTION("""COMPUTED_VALUE"""),"MA")</f>
        <v>MA</v>
      </c>
      <c r="D1513" s="149" t="str">
        <f>IFERROR(__xludf.DUMMYFUNCTION("""COMPUTED_VALUE"""),"USA")</f>
        <v>USA</v>
      </c>
      <c r="E1513" s="156">
        <f>IFERROR(__xludf.DUMMYFUNCTION("""COMPUTED_VALUE"""),43780.0)</f>
        <v>43780</v>
      </c>
      <c r="F1513" s="129">
        <f>IFERROR(__xludf.DUMMYFUNCTION("""COMPUTED_VALUE"""),43800.0)</f>
        <v>43800</v>
      </c>
      <c r="G1513" s="154"/>
      <c r="H1513" s="131"/>
      <c r="I1513" s="144" t="str">
        <f>IFERROR(__xludf.DUMMYFUNCTION("""COMPUTED_VALUE"""),"12/19")</f>
        <v>12/19</v>
      </c>
      <c r="J1513" s="129">
        <f>IFERROR(__xludf.DUMMYFUNCTION("""COMPUTED_VALUE"""),43817.0)</f>
        <v>43817</v>
      </c>
      <c r="K1513" s="133">
        <f>IFERROR(__xludf.DUMMYFUNCTION("""COMPUTED_VALUE"""),20.0)</f>
        <v>20</v>
      </c>
      <c r="L1513" s="133">
        <f>IFERROR(__xludf.DUMMYFUNCTION("""COMPUTED_VALUE"""),17.0)</f>
        <v>17</v>
      </c>
      <c r="M1513" s="133">
        <f>IFERROR(__xludf.DUMMYFUNCTION("""COMPUTED_VALUE"""),37.0)</f>
        <v>37</v>
      </c>
      <c r="N1513" s="152" t="str">
        <f>IFERROR(__xludf.DUMMYFUNCTION("""COMPUTED_VALUE"""),"Model 3 LR AWD")</f>
        <v>Model 3 LR AWD</v>
      </c>
      <c r="O1513" s="152" t="str">
        <f>IFERROR(__xludf.DUMMYFUNCTION("""COMPUTED_VALUE"""),"Midnight Silver Metallic")</f>
        <v>Midnight Silver Metallic</v>
      </c>
      <c r="P1513" s="153" t="str">
        <f>IFERROR(__xludf.DUMMYFUNCTION("""COMPUTED_VALUE"""),"19 inch Sport")</f>
        <v>19 inch Sport</v>
      </c>
      <c r="Q1513" s="152" t="str">
        <f>IFERROR(__xludf.DUMMYFUNCTION("""COMPUTED_VALUE"""),"White seats")</f>
        <v>White seats</v>
      </c>
      <c r="R1513" s="149" t="str">
        <f>IFERROR(__xludf.DUMMYFUNCTION("""COMPUTED_VALUE"""),"Autopilot")</f>
        <v>Autopilot</v>
      </c>
      <c r="S1513" s="149"/>
      <c r="T1513" s="145"/>
      <c r="U1513" s="145"/>
      <c r="V1513" s="145"/>
      <c r="W1513" s="136"/>
      <c r="X1513" s="137" t="str">
        <f>IFERROR(__xludf.DUMMYFUNCTION("""COMPUTED_VALUE"""),"Excellent")</f>
        <v>Excellent</v>
      </c>
      <c r="Y1513" s="138" t="str">
        <f>IFERROR(__xludf.DUMMYFUNCTION("""COMPUTED_VALUE"""),"Excellent")</f>
        <v>Excellent</v>
      </c>
      <c r="Z1513" s="138" t="str">
        <f>IFERROR(__xludf.DUMMYFUNCTION("""COMPUTED_VALUE"""),"Fair")</f>
        <v>Fair</v>
      </c>
      <c r="AA1513" s="138" t="str">
        <f>IFERROR(__xludf.DUMMYFUNCTION("""COMPUTED_VALUE"""),"Poor")</f>
        <v>Poor</v>
      </c>
      <c r="AB1513" s="138" t="str">
        <f>IFERROR(__xludf.DUMMYFUNCTION("""COMPUTED_VALUE"""),"Poor")</f>
        <v>Poor</v>
      </c>
      <c r="AC1513" s="139">
        <f>IFERROR(__xludf.DUMMYFUNCTION("""COMPUTED_VALUE"""),2.0)</f>
        <v>2</v>
      </c>
      <c r="AD1513" s="139">
        <f>IFERROR(__xludf.DUMMYFUNCTION("""COMPUTED_VALUE"""),1.0)</f>
        <v>1</v>
      </c>
      <c r="AE1513" s="139">
        <f>IFERROR(__xludf.DUMMYFUNCTION("""COMPUTED_VALUE"""),0.0)</f>
        <v>0</v>
      </c>
      <c r="AF1513" s="140"/>
      <c r="AG1513" s="136"/>
      <c r="AH1513" s="157">
        <f>IFERROR(__xludf.DUMMYFUNCTION("""COMPUTED_VALUE"""),43827.89061100694)</f>
        <v>43827.89061</v>
      </c>
      <c r="AI1513" s="138"/>
      <c r="AJ1513" s="138"/>
      <c r="AK1513" s="138"/>
      <c r="AL1513" s="142"/>
    </row>
    <row r="1514" ht="20.25" customHeight="1">
      <c r="A1514" s="155" t="str">
        <f>IFERROR(__xludf.DUMMYFUNCTION("""COMPUTED_VALUE"""),"Bee_Wry")</f>
        <v>Bee_Wry</v>
      </c>
      <c r="B1514" s="149" t="str">
        <f>IFERROR(__xludf.DUMMYFUNCTION("""COMPUTED_VALUE"""),"Seattle")</f>
        <v>Seattle</v>
      </c>
      <c r="C1514" s="149" t="str">
        <f>IFERROR(__xludf.DUMMYFUNCTION("""COMPUTED_VALUE"""),"WA")</f>
        <v>WA</v>
      </c>
      <c r="D1514" s="149" t="str">
        <f>IFERROR(__xludf.DUMMYFUNCTION("""COMPUTED_VALUE"""),"USA")</f>
        <v>USA</v>
      </c>
      <c r="E1514" s="156">
        <f>IFERROR(__xludf.DUMMYFUNCTION("""COMPUTED_VALUE"""),43779.0)</f>
        <v>43779</v>
      </c>
      <c r="F1514" s="129">
        <f>IFERROR(__xludf.DUMMYFUNCTION("""COMPUTED_VALUE"""),43808.0)</f>
        <v>43808</v>
      </c>
      <c r="G1514" s="154"/>
      <c r="H1514" s="131">
        <f>IFERROR(__xludf.DUMMYFUNCTION("""COMPUTED_VALUE"""),612355.0)</f>
        <v>612355</v>
      </c>
      <c r="I1514" s="144"/>
      <c r="J1514" s="129">
        <f>IFERROR(__xludf.DUMMYFUNCTION("""COMPUTED_VALUE"""),44176.0)</f>
        <v>44176</v>
      </c>
      <c r="K1514" s="133">
        <f>IFERROR(__xludf.DUMMYFUNCTION("""COMPUTED_VALUE"""),29.0)</f>
        <v>29</v>
      </c>
      <c r="L1514" s="133">
        <f>IFERROR(__xludf.DUMMYFUNCTION("""COMPUTED_VALUE"""),368.0)</f>
        <v>368</v>
      </c>
      <c r="M1514" s="133">
        <f>IFERROR(__xludf.DUMMYFUNCTION("""COMPUTED_VALUE"""),397.0)</f>
        <v>397</v>
      </c>
      <c r="N1514" s="152" t="str">
        <f>IFERROR(__xludf.DUMMYFUNCTION("""COMPUTED_VALUE"""),"Model 3 SR+")</f>
        <v>Model 3 SR+</v>
      </c>
      <c r="O1514" s="152" t="str">
        <f>IFERROR(__xludf.DUMMYFUNCTION("""COMPUTED_VALUE"""),"Pearl White Multi-Coat")</f>
        <v>Pearl White Multi-Coat</v>
      </c>
      <c r="P1514" s="153" t="str">
        <f>IFERROR(__xludf.DUMMYFUNCTION("""COMPUTED_VALUE"""),"18 inch Aero")</f>
        <v>18 inch Aero</v>
      </c>
      <c r="Q1514" s="152" t="str">
        <f>IFERROR(__xludf.DUMMYFUNCTION("""COMPUTED_VALUE"""),"Black seats")</f>
        <v>Black seats</v>
      </c>
      <c r="R1514" s="149" t="str">
        <f>IFERROR(__xludf.DUMMYFUNCTION("""COMPUTED_VALUE"""),"Autopilot")</f>
        <v>Autopilot</v>
      </c>
      <c r="S1514" s="149"/>
      <c r="T1514" s="145"/>
      <c r="U1514" s="145"/>
      <c r="V1514" s="145"/>
      <c r="W1514" s="136"/>
      <c r="X1514" s="137" t="str">
        <f>IFERROR(__xludf.DUMMYFUNCTION("""COMPUTED_VALUE"""),"Excellent")</f>
        <v>Excellent</v>
      </c>
      <c r="Y1514" s="138" t="str">
        <f>IFERROR(__xludf.DUMMYFUNCTION("""COMPUTED_VALUE"""),"Excellent")</f>
        <v>Excellent</v>
      </c>
      <c r="Z1514" s="138" t="str">
        <f>IFERROR(__xludf.DUMMYFUNCTION("""COMPUTED_VALUE"""),"Excellent")</f>
        <v>Excellent</v>
      </c>
      <c r="AA1514" s="138" t="str">
        <f>IFERROR(__xludf.DUMMYFUNCTION("""COMPUTED_VALUE"""),"Very Good")</f>
        <v>Very Good</v>
      </c>
      <c r="AB1514" s="138" t="str">
        <f>IFERROR(__xludf.DUMMYFUNCTION("""COMPUTED_VALUE"""),"Very Good")</f>
        <v>Very Good</v>
      </c>
      <c r="AC1514" s="139">
        <f>IFERROR(__xludf.DUMMYFUNCTION("""COMPUTED_VALUE"""),0.0)</f>
        <v>0</v>
      </c>
      <c r="AD1514" s="139">
        <f>IFERROR(__xludf.DUMMYFUNCTION("""COMPUTED_VALUE"""),0.0)</f>
        <v>0</v>
      </c>
      <c r="AE1514" s="139">
        <f>IFERROR(__xludf.DUMMYFUNCTION("""COMPUTED_VALUE"""),0.0)</f>
        <v>0</v>
      </c>
      <c r="AF1514" s="140"/>
      <c r="AG1514" s="136" t="str">
        <f>IFERROR(__xludf.DUMMYFUNCTION("""COMPUTED_VALUE"""),"VIN found in source")</f>
        <v>VIN found in source</v>
      </c>
      <c r="AH1514" s="157">
        <f>IFERROR(__xludf.DUMMYFUNCTION("""COMPUTED_VALUE"""),43865.5914347338)</f>
        <v>43865.59143</v>
      </c>
      <c r="AI1514" s="138"/>
      <c r="AJ1514" s="138"/>
      <c r="AK1514" s="138"/>
      <c r="AL1514" s="142"/>
    </row>
    <row r="1515" ht="20.25" customHeight="1">
      <c r="A1515" s="155" t="str">
        <f>IFERROR(__xludf.DUMMYFUNCTION("""COMPUTED_VALUE"""),"bjwinkel")</f>
        <v>bjwinkel</v>
      </c>
      <c r="B1515" s="149" t="str">
        <f>IFERROR(__xludf.DUMMYFUNCTION("""COMPUTED_VALUE"""),"Calgary")</f>
        <v>Calgary</v>
      </c>
      <c r="C1515" s="149" t="str">
        <f>IFERROR(__xludf.DUMMYFUNCTION("""COMPUTED_VALUE"""),"AB")</f>
        <v>AB</v>
      </c>
      <c r="D1515" s="149" t="str">
        <f>IFERROR(__xludf.DUMMYFUNCTION("""COMPUTED_VALUE"""),"Canada")</f>
        <v>Canada</v>
      </c>
      <c r="E1515" s="156">
        <f>IFERROR(__xludf.DUMMYFUNCTION("""COMPUTED_VALUE"""),43779.0)</f>
        <v>43779</v>
      </c>
      <c r="F1515" s="129">
        <f>IFERROR(__xludf.DUMMYFUNCTION("""COMPUTED_VALUE"""),43821.0)</f>
        <v>43821</v>
      </c>
      <c r="G1515" s="154"/>
      <c r="H1515" s="131">
        <f>IFERROR(__xludf.DUMMYFUNCTION("""COMPUTED_VALUE"""),643555.0)</f>
        <v>643555</v>
      </c>
      <c r="I1515" s="144" t="str">
        <f>IFERROR(__xludf.DUMMYFUNCTION("""COMPUTED_VALUE"""),"12/19")</f>
        <v>12/19</v>
      </c>
      <c r="J1515" s="129">
        <f>IFERROR(__xludf.DUMMYFUNCTION("""COMPUTED_VALUE"""),43826.0)</f>
        <v>43826</v>
      </c>
      <c r="K1515" s="133">
        <f>IFERROR(__xludf.DUMMYFUNCTION("""COMPUTED_VALUE"""),42.0)</f>
        <v>42</v>
      </c>
      <c r="L1515" s="133">
        <f>IFERROR(__xludf.DUMMYFUNCTION("""COMPUTED_VALUE"""),5.0)</f>
        <v>5</v>
      </c>
      <c r="M1515" s="133">
        <f>IFERROR(__xludf.DUMMYFUNCTION("""COMPUTED_VALUE"""),47.0)</f>
        <v>47</v>
      </c>
      <c r="N1515" s="152" t="str">
        <f>IFERROR(__xludf.DUMMYFUNCTION("""COMPUTED_VALUE"""),"Model 3 Performance")</f>
        <v>Model 3 Performance</v>
      </c>
      <c r="O1515" s="152" t="str">
        <f>IFERROR(__xludf.DUMMYFUNCTION("""COMPUTED_VALUE"""),"Midnight Silver Metallic")</f>
        <v>Midnight Silver Metallic</v>
      </c>
      <c r="P1515" s="153" t="str">
        <f>IFERROR(__xludf.DUMMYFUNCTION("""COMPUTED_VALUE"""),"20 inch Sport")</f>
        <v>20 inch Sport</v>
      </c>
      <c r="Q1515" s="152" t="str">
        <f>IFERROR(__xludf.DUMMYFUNCTION("""COMPUTED_VALUE"""),"Black seats")</f>
        <v>Black seats</v>
      </c>
      <c r="R1515" s="149" t="str">
        <f>IFERROR(__xludf.DUMMYFUNCTION("""COMPUTED_VALUE"""),"Autopilot")</f>
        <v>Autopilot</v>
      </c>
      <c r="S1515" s="149"/>
      <c r="T1515" s="145"/>
      <c r="U1515" s="145"/>
      <c r="V1515" s="145"/>
      <c r="W1515" s="136"/>
      <c r="X1515" s="137" t="str">
        <f>IFERROR(__xludf.DUMMYFUNCTION("""COMPUTED_VALUE"""),"Very Good")</f>
        <v>Very Good</v>
      </c>
      <c r="Y1515" s="138" t="str">
        <f>IFERROR(__xludf.DUMMYFUNCTION("""COMPUTED_VALUE"""),"Very Good")</f>
        <v>Very Good</v>
      </c>
      <c r="Z1515" s="138" t="str">
        <f>IFERROR(__xludf.DUMMYFUNCTION("""COMPUTED_VALUE"""),"Good")</f>
        <v>Good</v>
      </c>
      <c r="AA1515" s="138" t="str">
        <f>IFERROR(__xludf.DUMMYFUNCTION("""COMPUTED_VALUE"""),"Good")</f>
        <v>Good</v>
      </c>
      <c r="AB1515" s="138" t="str">
        <f>IFERROR(__xludf.DUMMYFUNCTION("""COMPUTED_VALUE"""),"Very Good")</f>
        <v>Very Good</v>
      </c>
      <c r="AC1515" s="139"/>
      <c r="AD1515" s="139"/>
      <c r="AE1515" s="139"/>
      <c r="AF1515" s="140"/>
      <c r="AG1515" s="136"/>
      <c r="AH1515" s="157">
        <f>IFERROR(__xludf.DUMMYFUNCTION("""COMPUTED_VALUE"""),43836.500101446756)</f>
        <v>43836.5001</v>
      </c>
      <c r="AI1515" s="138"/>
      <c r="AJ1515" s="138"/>
      <c r="AK1515" s="138"/>
      <c r="AL1515" s="142"/>
    </row>
    <row r="1516" ht="20.25" customHeight="1">
      <c r="A1516" s="155" t="str">
        <f>IFERROR(__xludf.DUMMYFUNCTION("""COMPUTED_VALUE"""),"JohnNsandiego")</f>
        <v>JohnNsandiego</v>
      </c>
      <c r="B1516" s="149" t="str">
        <f>IFERROR(__xludf.DUMMYFUNCTION("""COMPUTED_VALUE"""),"San Diego")</f>
        <v>San Diego</v>
      </c>
      <c r="C1516" s="149" t="str">
        <f>IFERROR(__xludf.DUMMYFUNCTION("""COMPUTED_VALUE"""),"CA")</f>
        <v>CA</v>
      </c>
      <c r="D1516" s="149" t="str">
        <f>IFERROR(__xludf.DUMMYFUNCTION("""COMPUTED_VALUE"""),"USA")</f>
        <v>USA</v>
      </c>
      <c r="E1516" s="156">
        <f>IFERROR(__xludf.DUMMYFUNCTION("""COMPUTED_VALUE"""),43779.0)</f>
        <v>43779</v>
      </c>
      <c r="F1516" s="129">
        <f>IFERROR(__xludf.DUMMYFUNCTION("""COMPUTED_VALUE"""),43818.0)</f>
        <v>43818</v>
      </c>
      <c r="G1516" s="154"/>
      <c r="H1516" s="131">
        <f>IFERROR(__xludf.DUMMYFUNCTION("""COMPUTED_VALUE"""),638155.0)</f>
        <v>638155</v>
      </c>
      <c r="I1516" s="144" t="str">
        <f>IFERROR(__xludf.DUMMYFUNCTION("""COMPUTED_VALUE"""),"12/19")</f>
        <v>12/19</v>
      </c>
      <c r="J1516" s="129">
        <f>IFERROR(__xludf.DUMMYFUNCTION("""COMPUTED_VALUE"""),43823.0)</f>
        <v>43823</v>
      </c>
      <c r="K1516" s="133">
        <f>IFERROR(__xludf.DUMMYFUNCTION("""COMPUTED_VALUE"""),39.0)</f>
        <v>39</v>
      </c>
      <c r="L1516" s="133">
        <f>IFERROR(__xludf.DUMMYFUNCTION("""COMPUTED_VALUE"""),5.0)</f>
        <v>5</v>
      </c>
      <c r="M1516" s="133">
        <f>IFERROR(__xludf.DUMMYFUNCTION("""COMPUTED_VALUE"""),44.0)</f>
        <v>44</v>
      </c>
      <c r="N1516" s="152" t="str">
        <f>IFERROR(__xludf.DUMMYFUNCTION("""COMPUTED_VALUE"""),"Model 3 LR AWD")</f>
        <v>Model 3 LR AWD</v>
      </c>
      <c r="O1516" s="152" t="str">
        <f>IFERROR(__xludf.DUMMYFUNCTION("""COMPUTED_VALUE"""),"Red Multi-Coat")</f>
        <v>Red Multi-Coat</v>
      </c>
      <c r="P1516" s="153" t="str">
        <f>IFERROR(__xludf.DUMMYFUNCTION("""COMPUTED_VALUE"""),"19 inch Sport")</f>
        <v>19 inch Sport</v>
      </c>
      <c r="Q1516" s="152" t="str">
        <f>IFERROR(__xludf.DUMMYFUNCTION("""COMPUTED_VALUE"""),"Black seats")</f>
        <v>Black seats</v>
      </c>
      <c r="R1516" s="149" t="str">
        <f>IFERROR(__xludf.DUMMYFUNCTION("""COMPUTED_VALUE"""),"Full Self-Driving")</f>
        <v>Full Self-Driving</v>
      </c>
      <c r="S1516" s="149"/>
      <c r="T1516" s="145"/>
      <c r="U1516" s="145"/>
      <c r="V1516" s="145"/>
      <c r="W1516" s="136"/>
      <c r="X1516" s="137" t="str">
        <f>IFERROR(__xludf.DUMMYFUNCTION("""COMPUTED_VALUE"""),"Excellent")</f>
        <v>Excellent</v>
      </c>
      <c r="Y1516" s="138" t="str">
        <f>IFERROR(__xludf.DUMMYFUNCTION("""COMPUTED_VALUE"""),"Excellent")</f>
        <v>Excellent</v>
      </c>
      <c r="Z1516" s="138" t="str">
        <f>IFERROR(__xludf.DUMMYFUNCTION("""COMPUTED_VALUE"""),"Very Good")</f>
        <v>Very Good</v>
      </c>
      <c r="AA1516" s="138" t="str">
        <f>IFERROR(__xludf.DUMMYFUNCTION("""COMPUTED_VALUE"""),"Excellent")</f>
        <v>Excellent</v>
      </c>
      <c r="AB1516" s="138" t="str">
        <f>IFERROR(__xludf.DUMMYFUNCTION("""COMPUTED_VALUE"""),"Very Good")</f>
        <v>Very Good</v>
      </c>
      <c r="AC1516" s="139">
        <f>IFERROR(__xludf.DUMMYFUNCTION("""COMPUTED_VALUE"""),1.0)</f>
        <v>1</v>
      </c>
      <c r="AD1516" s="139"/>
      <c r="AE1516" s="139"/>
      <c r="AF1516" s="140"/>
      <c r="AG1516" s="136" t="str">
        <f>IFERROR(__xludf.DUMMYFUNCTION("""COMPUTED_VALUE"""),"Smooth Christmas eve delivery, we were the last ones out just after 5pm")</f>
        <v>Smooth Christmas eve delivery, we were the last ones out just after 5pm</v>
      </c>
      <c r="AH1516" s="157">
        <f>IFERROR(__xludf.DUMMYFUNCTION("""COMPUTED_VALUE"""),43828.98748070602)</f>
        <v>43828.98748</v>
      </c>
      <c r="AI1516" s="138"/>
      <c r="AJ1516" s="138"/>
      <c r="AK1516" s="138"/>
      <c r="AL1516" s="142"/>
    </row>
    <row r="1517" ht="20.25" customHeight="1">
      <c r="A1517" s="155" t="str">
        <f>IFERROR(__xludf.DUMMYFUNCTION("""COMPUTED_VALUE"""),"toastermm")</f>
        <v>toastermm</v>
      </c>
      <c r="B1517" s="149" t="str">
        <f>IFERROR(__xludf.DUMMYFUNCTION("""COMPUTED_VALUE"""),"Seattle")</f>
        <v>Seattle</v>
      </c>
      <c r="C1517" s="149" t="str">
        <f>IFERROR(__xludf.DUMMYFUNCTION("""COMPUTED_VALUE"""),"WA")</f>
        <v>WA</v>
      </c>
      <c r="D1517" s="149" t="str">
        <f>IFERROR(__xludf.DUMMYFUNCTION("""COMPUTED_VALUE"""),"USA")</f>
        <v>USA</v>
      </c>
      <c r="E1517" s="156">
        <f>IFERROR(__xludf.DUMMYFUNCTION("""COMPUTED_VALUE"""),43779.0)</f>
        <v>43779</v>
      </c>
      <c r="F1517" s="129">
        <f>IFERROR(__xludf.DUMMYFUNCTION("""COMPUTED_VALUE"""),43809.0)</f>
        <v>43809</v>
      </c>
      <c r="G1517" s="154"/>
      <c r="H1517" s="131"/>
      <c r="I1517" s="144"/>
      <c r="J1517" s="129">
        <f>IFERROR(__xludf.DUMMYFUNCTION("""COMPUTED_VALUE"""),43810.0)</f>
        <v>43810</v>
      </c>
      <c r="K1517" s="133">
        <f>IFERROR(__xludf.DUMMYFUNCTION("""COMPUTED_VALUE"""),30.0)</f>
        <v>30</v>
      </c>
      <c r="L1517" s="133">
        <f>IFERROR(__xludf.DUMMYFUNCTION("""COMPUTED_VALUE"""),1.0)</f>
        <v>1</v>
      </c>
      <c r="M1517" s="133">
        <f>IFERROR(__xludf.DUMMYFUNCTION("""COMPUTED_VALUE"""),31.0)</f>
        <v>31</v>
      </c>
      <c r="N1517" s="152" t="str">
        <f>IFERROR(__xludf.DUMMYFUNCTION("""COMPUTED_VALUE"""),"Model 3 SR")</f>
        <v>Model 3 SR</v>
      </c>
      <c r="O1517" s="152" t="str">
        <f>IFERROR(__xludf.DUMMYFUNCTION("""COMPUTED_VALUE"""),"Pearl White Multi-Coat")</f>
        <v>Pearl White Multi-Coat</v>
      </c>
      <c r="P1517" s="153" t="str">
        <f>IFERROR(__xludf.DUMMYFUNCTION("""COMPUTED_VALUE"""),"18 inch Aero")</f>
        <v>18 inch Aero</v>
      </c>
      <c r="Q1517" s="152" t="str">
        <f>IFERROR(__xludf.DUMMYFUNCTION("""COMPUTED_VALUE"""),"Black seats")</f>
        <v>Black seats</v>
      </c>
      <c r="R1517" s="149" t="str">
        <f>IFERROR(__xludf.DUMMYFUNCTION("""COMPUTED_VALUE"""),"Autopilot")</f>
        <v>Autopilot</v>
      </c>
      <c r="S1517" s="149"/>
      <c r="T1517" s="145"/>
      <c r="U1517" s="145"/>
      <c r="V1517" s="145"/>
      <c r="W1517" s="136"/>
      <c r="X1517" s="137" t="str">
        <f>IFERROR(__xludf.DUMMYFUNCTION("""COMPUTED_VALUE"""),"Very Good")</f>
        <v>Very Good</v>
      </c>
      <c r="Y1517" s="138" t="str">
        <f>IFERROR(__xludf.DUMMYFUNCTION("""COMPUTED_VALUE"""),"Excellent")</f>
        <v>Excellent</v>
      </c>
      <c r="Z1517" s="138" t="str">
        <f>IFERROR(__xludf.DUMMYFUNCTION("""COMPUTED_VALUE"""),"Excellent")</f>
        <v>Excellent</v>
      </c>
      <c r="AA1517" s="138" t="str">
        <f>IFERROR(__xludf.DUMMYFUNCTION("""COMPUTED_VALUE"""),"Fair")</f>
        <v>Fair</v>
      </c>
      <c r="AB1517" s="138" t="str">
        <f>IFERROR(__xludf.DUMMYFUNCTION("""COMPUTED_VALUE"""),"Poor")</f>
        <v>Poor</v>
      </c>
      <c r="AC1517" s="139"/>
      <c r="AD1517" s="139"/>
      <c r="AE1517" s="139"/>
      <c r="AF1517" s="140"/>
      <c r="AG1517" s="136"/>
      <c r="AH1517" s="157">
        <f>IFERROR(__xludf.DUMMYFUNCTION("""COMPUTED_VALUE"""),43814.429648923615)</f>
        <v>43814.42965</v>
      </c>
      <c r="AI1517" s="138"/>
      <c r="AJ1517" s="138"/>
      <c r="AK1517" s="138"/>
      <c r="AL1517" s="142"/>
    </row>
    <row r="1518" ht="20.25" customHeight="1">
      <c r="A1518" s="155" t="str">
        <f>IFERROR(__xludf.DUMMYFUNCTION("""COMPUTED_VALUE"""),"Gaizen")</f>
        <v>Gaizen</v>
      </c>
      <c r="B1518" s="149" t="str">
        <f>IFERROR(__xludf.DUMMYFUNCTION("""COMPUTED_VALUE"""),"Dallas")</f>
        <v>Dallas</v>
      </c>
      <c r="C1518" s="149" t="str">
        <f>IFERROR(__xludf.DUMMYFUNCTION("""COMPUTED_VALUE"""),"TX")</f>
        <v>TX</v>
      </c>
      <c r="D1518" s="149" t="str">
        <f>IFERROR(__xludf.DUMMYFUNCTION("""COMPUTED_VALUE"""),"USA")</f>
        <v>USA</v>
      </c>
      <c r="E1518" s="156">
        <f>IFERROR(__xludf.DUMMYFUNCTION("""COMPUTED_VALUE"""),43778.0)</f>
        <v>43778</v>
      </c>
      <c r="F1518" s="129">
        <f>IFERROR(__xludf.DUMMYFUNCTION("""COMPUTED_VALUE"""),43789.0)</f>
        <v>43789</v>
      </c>
      <c r="G1518" s="154"/>
      <c r="H1518" s="131">
        <f>IFERROR(__xludf.DUMMYFUNCTION("""COMPUTED_VALUE"""),602255.0)</f>
        <v>602255</v>
      </c>
      <c r="I1518" s="144"/>
      <c r="J1518" s="129">
        <f>IFERROR(__xludf.DUMMYFUNCTION("""COMPUTED_VALUE"""),43810.0)</f>
        <v>43810</v>
      </c>
      <c r="K1518" s="133">
        <f>IFERROR(__xludf.DUMMYFUNCTION("""COMPUTED_VALUE"""),11.0)</f>
        <v>11</v>
      </c>
      <c r="L1518" s="133">
        <f>IFERROR(__xludf.DUMMYFUNCTION("""COMPUTED_VALUE"""),21.0)</f>
        <v>21</v>
      </c>
      <c r="M1518" s="133">
        <f>IFERROR(__xludf.DUMMYFUNCTION("""COMPUTED_VALUE"""),32.0)</f>
        <v>32</v>
      </c>
      <c r="N1518" s="152" t="str">
        <f>IFERROR(__xludf.DUMMYFUNCTION("""COMPUTED_VALUE"""),"Model 3 Performance")</f>
        <v>Model 3 Performance</v>
      </c>
      <c r="O1518" s="152" t="str">
        <f>IFERROR(__xludf.DUMMYFUNCTION("""COMPUTED_VALUE"""),"Deep Blue Metallic")</f>
        <v>Deep Blue Metallic</v>
      </c>
      <c r="P1518" s="153" t="str">
        <f>IFERROR(__xludf.DUMMYFUNCTION("""COMPUTED_VALUE"""),"18 inch Aero")</f>
        <v>18 inch Aero</v>
      </c>
      <c r="Q1518" s="152" t="str">
        <f>IFERROR(__xludf.DUMMYFUNCTION("""COMPUTED_VALUE"""),"Black seats")</f>
        <v>Black seats</v>
      </c>
      <c r="R1518" s="149" t="str">
        <f>IFERROR(__xludf.DUMMYFUNCTION("""COMPUTED_VALUE"""),"Autopilot")</f>
        <v>Autopilot</v>
      </c>
      <c r="S1518" s="149"/>
      <c r="T1518" s="145"/>
      <c r="U1518" s="145"/>
      <c r="V1518" s="145"/>
      <c r="W1518" s="136"/>
      <c r="X1518" s="137" t="str">
        <f>IFERROR(__xludf.DUMMYFUNCTION("""COMPUTED_VALUE"""),"Excellent")</f>
        <v>Excellent</v>
      </c>
      <c r="Y1518" s="138" t="str">
        <f>IFERROR(__xludf.DUMMYFUNCTION("""COMPUTED_VALUE"""),"Excellent")</f>
        <v>Excellent</v>
      </c>
      <c r="Z1518" s="138" t="str">
        <f>IFERROR(__xludf.DUMMYFUNCTION("""COMPUTED_VALUE"""),"Very Good")</f>
        <v>Very Good</v>
      </c>
      <c r="AA1518" s="138" t="str">
        <f>IFERROR(__xludf.DUMMYFUNCTION("""COMPUTED_VALUE"""),"Fair")</f>
        <v>Fair</v>
      </c>
      <c r="AB1518" s="138" t="str">
        <f>IFERROR(__xludf.DUMMYFUNCTION("""COMPUTED_VALUE"""),"Good")</f>
        <v>Good</v>
      </c>
      <c r="AC1518" s="139"/>
      <c r="AD1518" s="139"/>
      <c r="AE1518" s="139"/>
      <c r="AF1518" s="140"/>
      <c r="AG1518" s="136" t="str">
        <f>IFERROR(__xludf.DUMMYFUNCTION("""COMPUTED_VALUE"""),"Changed from an AWD to a Stealth")</f>
        <v>Changed from an AWD to a Stealth</v>
      </c>
      <c r="AH1518" s="157">
        <f>IFERROR(__xludf.DUMMYFUNCTION("""COMPUTED_VALUE"""),43810.846402476855)</f>
        <v>43810.8464</v>
      </c>
      <c r="AI1518" s="138"/>
      <c r="AJ1518" s="138"/>
      <c r="AK1518" s="138"/>
      <c r="AL1518" s="142"/>
    </row>
    <row r="1519" ht="20.25" customHeight="1">
      <c r="A1519" s="155" t="str">
        <f>IFERROR(__xludf.DUMMYFUNCTION("""COMPUTED_VALUE"""),"jacob_p94")</f>
        <v>jacob_p94</v>
      </c>
      <c r="B1519" s="149" t="str">
        <f>IFERROR(__xludf.DUMMYFUNCTION("""COMPUTED_VALUE"""),"Medford")</f>
        <v>Medford</v>
      </c>
      <c r="C1519" s="149" t="str">
        <f>IFERROR(__xludf.DUMMYFUNCTION("""COMPUTED_VALUE"""),"NJ")</f>
        <v>NJ</v>
      </c>
      <c r="D1519" s="149" t="str">
        <f>IFERROR(__xludf.DUMMYFUNCTION("""COMPUTED_VALUE"""),"USA")</f>
        <v>USA</v>
      </c>
      <c r="E1519" s="156">
        <f>IFERROR(__xludf.DUMMYFUNCTION("""COMPUTED_VALUE"""),43778.0)</f>
        <v>43778</v>
      </c>
      <c r="F1519" s="129">
        <f>IFERROR(__xludf.DUMMYFUNCTION("""COMPUTED_VALUE"""),43799.0)</f>
        <v>43799</v>
      </c>
      <c r="G1519" s="154"/>
      <c r="H1519" s="131">
        <f>IFERROR(__xludf.DUMMYFUNCTION("""COMPUTED_VALUE"""),597808.0)</f>
        <v>597808</v>
      </c>
      <c r="I1519" s="144"/>
      <c r="J1519" s="129">
        <f>IFERROR(__xludf.DUMMYFUNCTION("""COMPUTED_VALUE"""),43812.0)</f>
        <v>43812</v>
      </c>
      <c r="K1519" s="133">
        <f>IFERROR(__xludf.DUMMYFUNCTION("""COMPUTED_VALUE"""),21.0)</f>
        <v>21</v>
      </c>
      <c r="L1519" s="133">
        <f>IFERROR(__xludf.DUMMYFUNCTION("""COMPUTED_VALUE"""),13.0)</f>
        <v>13</v>
      </c>
      <c r="M1519" s="133">
        <f>IFERROR(__xludf.DUMMYFUNCTION("""COMPUTED_VALUE"""),34.0)</f>
        <v>34</v>
      </c>
      <c r="N1519" s="152" t="str">
        <f>IFERROR(__xludf.DUMMYFUNCTION("""COMPUTED_VALUE"""),"Model 3 SR+")</f>
        <v>Model 3 SR+</v>
      </c>
      <c r="O1519" s="152" t="str">
        <f>IFERROR(__xludf.DUMMYFUNCTION("""COMPUTED_VALUE"""),"Pearl White Multi-Coat")</f>
        <v>Pearl White Multi-Coat</v>
      </c>
      <c r="P1519" s="153" t="str">
        <f>IFERROR(__xludf.DUMMYFUNCTION("""COMPUTED_VALUE"""),"18 inch Aero")</f>
        <v>18 inch Aero</v>
      </c>
      <c r="Q1519" s="152" t="str">
        <f>IFERROR(__xludf.DUMMYFUNCTION("""COMPUTED_VALUE"""),"Black seats")</f>
        <v>Black seats</v>
      </c>
      <c r="R1519" s="149" t="str">
        <f>IFERROR(__xludf.DUMMYFUNCTION("""COMPUTED_VALUE"""),"Full Self-Driving")</f>
        <v>Full Self-Driving</v>
      </c>
      <c r="S1519" s="149"/>
      <c r="T1519" s="145"/>
      <c r="U1519" s="145"/>
      <c r="V1519" s="145"/>
      <c r="W1519" s="136"/>
      <c r="X1519" s="137" t="str">
        <f>IFERROR(__xludf.DUMMYFUNCTION("""COMPUTED_VALUE"""),"Excellent")</f>
        <v>Excellent</v>
      </c>
      <c r="Y1519" s="138" t="str">
        <f>IFERROR(__xludf.DUMMYFUNCTION("""COMPUTED_VALUE"""),"Excellent")</f>
        <v>Excellent</v>
      </c>
      <c r="Z1519" s="138" t="str">
        <f>IFERROR(__xludf.DUMMYFUNCTION("""COMPUTED_VALUE"""),"Excellent")</f>
        <v>Excellent</v>
      </c>
      <c r="AA1519" s="138" t="str">
        <f>IFERROR(__xludf.DUMMYFUNCTION("""COMPUTED_VALUE"""),"Excellent")</f>
        <v>Excellent</v>
      </c>
      <c r="AB1519" s="138" t="str">
        <f>IFERROR(__xludf.DUMMYFUNCTION("""COMPUTED_VALUE"""),"Excellent")</f>
        <v>Excellent</v>
      </c>
      <c r="AC1519" s="139"/>
      <c r="AD1519" s="139"/>
      <c r="AE1519" s="139"/>
      <c r="AF1519" s="140"/>
      <c r="AG1519" s="136"/>
      <c r="AH1519" s="157">
        <f>IFERROR(__xludf.DUMMYFUNCTION("""COMPUTED_VALUE"""),43812.621055173615)</f>
        <v>43812.62106</v>
      </c>
      <c r="AI1519" s="138"/>
      <c r="AJ1519" s="138"/>
      <c r="AK1519" s="138"/>
      <c r="AL1519" s="142"/>
    </row>
    <row r="1520" ht="20.25" customHeight="1">
      <c r="A1520" s="155" t="str">
        <f>IFERROR(__xludf.DUMMYFUNCTION("""COMPUTED_VALUE"""),"lukeleleT")</f>
        <v>lukeleleT</v>
      </c>
      <c r="B1520" s="149" t="str">
        <f>IFERROR(__xludf.DUMMYFUNCTION("""COMPUTED_VALUE"""),"Redwood City")</f>
        <v>Redwood City</v>
      </c>
      <c r="C1520" s="149" t="str">
        <f>IFERROR(__xludf.DUMMYFUNCTION("""COMPUTED_VALUE"""),"CA")</f>
        <v>CA</v>
      </c>
      <c r="D1520" s="149" t="str">
        <f>IFERROR(__xludf.DUMMYFUNCTION("""COMPUTED_VALUE"""),"USA")</f>
        <v>USA</v>
      </c>
      <c r="E1520" s="156">
        <f>IFERROR(__xludf.DUMMYFUNCTION("""COMPUTED_VALUE"""),43778.0)</f>
        <v>43778</v>
      </c>
      <c r="F1520" s="129">
        <f>IFERROR(__xludf.DUMMYFUNCTION("""COMPUTED_VALUE"""),43801.0)</f>
        <v>43801</v>
      </c>
      <c r="G1520" s="154"/>
      <c r="H1520" s="131">
        <f>IFERROR(__xludf.DUMMYFUNCTION("""COMPUTED_VALUE"""),602664.0)</f>
        <v>602664</v>
      </c>
      <c r="I1520" s="144"/>
      <c r="J1520" s="129">
        <f>IFERROR(__xludf.DUMMYFUNCTION("""COMPUTED_VALUE"""),43810.0)</f>
        <v>43810</v>
      </c>
      <c r="K1520" s="133">
        <f>IFERROR(__xludf.DUMMYFUNCTION("""COMPUTED_VALUE"""),23.0)</f>
        <v>23</v>
      </c>
      <c r="L1520" s="133">
        <f>IFERROR(__xludf.DUMMYFUNCTION("""COMPUTED_VALUE"""),9.0)</f>
        <v>9</v>
      </c>
      <c r="M1520" s="133">
        <f>IFERROR(__xludf.DUMMYFUNCTION("""COMPUTED_VALUE"""),32.0)</f>
        <v>32</v>
      </c>
      <c r="N1520" s="152" t="str">
        <f>IFERROR(__xludf.DUMMYFUNCTION("""COMPUTED_VALUE"""),"Model 3 Performance")</f>
        <v>Model 3 Performance</v>
      </c>
      <c r="O1520" s="152" t="str">
        <f>IFERROR(__xludf.DUMMYFUNCTION("""COMPUTED_VALUE"""),"Pearl White Multi-Coat")</f>
        <v>Pearl White Multi-Coat</v>
      </c>
      <c r="P1520" s="153" t="str">
        <f>IFERROR(__xludf.DUMMYFUNCTION("""COMPUTED_VALUE"""),"18 inch Aero")</f>
        <v>18 inch Aero</v>
      </c>
      <c r="Q1520" s="152" t="str">
        <f>IFERROR(__xludf.DUMMYFUNCTION("""COMPUTED_VALUE"""),"Black seats")</f>
        <v>Black seats</v>
      </c>
      <c r="R1520" s="149" t="str">
        <f>IFERROR(__xludf.DUMMYFUNCTION("""COMPUTED_VALUE"""),"Autopilot")</f>
        <v>Autopilot</v>
      </c>
      <c r="S1520" s="149"/>
      <c r="T1520" s="145"/>
      <c r="U1520" s="145"/>
      <c r="V1520" s="145"/>
      <c r="W1520" s="136"/>
      <c r="X1520" s="137" t="str">
        <f>IFERROR(__xludf.DUMMYFUNCTION("""COMPUTED_VALUE"""),"Excellent")</f>
        <v>Excellent</v>
      </c>
      <c r="Y1520" s="138" t="str">
        <f>IFERROR(__xludf.DUMMYFUNCTION("""COMPUTED_VALUE"""),"Excellent")</f>
        <v>Excellent</v>
      </c>
      <c r="Z1520" s="138" t="str">
        <f>IFERROR(__xludf.DUMMYFUNCTION("""COMPUTED_VALUE"""),"Very Good")</f>
        <v>Very Good</v>
      </c>
      <c r="AA1520" s="138" t="str">
        <f>IFERROR(__xludf.DUMMYFUNCTION("""COMPUTED_VALUE"""),"Fair")</f>
        <v>Fair</v>
      </c>
      <c r="AB1520" s="138" t="str">
        <f>IFERROR(__xludf.DUMMYFUNCTION("""COMPUTED_VALUE"""),"Excellent")</f>
        <v>Excellent</v>
      </c>
      <c r="AC1520" s="139"/>
      <c r="AD1520" s="139"/>
      <c r="AE1520" s="139"/>
      <c r="AF1520" s="140"/>
      <c r="AG1520" s="136" t="str">
        <f>IFERROR(__xludf.DUMMYFUNCTION("""COMPUTED_VALUE"""),"Ordered SR+ on 11/09. Switched to Stealth on 12/02")</f>
        <v>Ordered SR+ on 11/09. Switched to Stealth on 12/02</v>
      </c>
      <c r="AH1520" s="157">
        <f>IFERROR(__xludf.DUMMYFUNCTION("""COMPUTED_VALUE"""),43810.768678541666)</f>
        <v>43810.76868</v>
      </c>
      <c r="AI1520" s="138"/>
      <c r="AJ1520" s="138"/>
      <c r="AK1520" s="138"/>
      <c r="AL1520" s="142"/>
    </row>
    <row r="1521" ht="20.25" customHeight="1">
      <c r="A1521" s="155" t="str">
        <f>IFERROR(__xludf.DUMMYFUNCTION("""COMPUTED_VALUE"""),"TTesla")</f>
        <v>TTesla</v>
      </c>
      <c r="B1521" s="149" t="str">
        <f>IFERROR(__xludf.DUMMYFUNCTION("""COMPUTED_VALUE"""),"Denver")</f>
        <v>Denver</v>
      </c>
      <c r="C1521" s="149" t="str">
        <f>IFERROR(__xludf.DUMMYFUNCTION("""COMPUTED_VALUE"""),"CO")</f>
        <v>CO</v>
      </c>
      <c r="D1521" s="149" t="str">
        <f>IFERROR(__xludf.DUMMYFUNCTION("""COMPUTED_VALUE"""),"USA")</f>
        <v>USA</v>
      </c>
      <c r="E1521" s="156">
        <f>IFERROR(__xludf.DUMMYFUNCTION("""COMPUTED_VALUE"""),43778.0)</f>
        <v>43778</v>
      </c>
      <c r="F1521" s="129">
        <f>IFERROR(__xludf.DUMMYFUNCTION("""COMPUTED_VALUE"""),43823.0)</f>
        <v>43823</v>
      </c>
      <c r="G1521" s="154"/>
      <c r="H1521" s="131">
        <f>IFERROR(__xludf.DUMMYFUNCTION("""COMPUTED_VALUE"""),639355.0)</f>
        <v>639355</v>
      </c>
      <c r="I1521" s="144" t="str">
        <f>IFERROR(__xludf.DUMMYFUNCTION("""COMPUTED_VALUE"""),"12/19")</f>
        <v>12/19</v>
      </c>
      <c r="J1521" s="129">
        <f>IFERROR(__xludf.DUMMYFUNCTION("""COMPUTED_VALUE"""),43829.0)</f>
        <v>43829</v>
      </c>
      <c r="K1521" s="133">
        <f>IFERROR(__xludf.DUMMYFUNCTION("""COMPUTED_VALUE"""),45.0)</f>
        <v>45</v>
      </c>
      <c r="L1521" s="133">
        <f>IFERROR(__xludf.DUMMYFUNCTION("""COMPUTED_VALUE"""),6.0)</f>
        <v>6</v>
      </c>
      <c r="M1521" s="133">
        <f>IFERROR(__xludf.DUMMYFUNCTION("""COMPUTED_VALUE"""),51.0)</f>
        <v>51</v>
      </c>
      <c r="N1521" s="152" t="str">
        <f>IFERROR(__xludf.DUMMYFUNCTION("""COMPUTED_VALUE"""),"Model 3 LR AWD")</f>
        <v>Model 3 LR AWD</v>
      </c>
      <c r="O1521" s="152" t="str">
        <f>IFERROR(__xludf.DUMMYFUNCTION("""COMPUTED_VALUE"""),"Deep Blue Metallic")</f>
        <v>Deep Blue Metallic</v>
      </c>
      <c r="P1521" s="153" t="str">
        <f>IFERROR(__xludf.DUMMYFUNCTION("""COMPUTED_VALUE"""),"18 inch Aero")</f>
        <v>18 inch Aero</v>
      </c>
      <c r="Q1521" s="152" t="str">
        <f>IFERROR(__xludf.DUMMYFUNCTION("""COMPUTED_VALUE"""),"White seats")</f>
        <v>White seats</v>
      </c>
      <c r="R1521" s="149" t="str">
        <f>IFERROR(__xludf.DUMMYFUNCTION("""COMPUTED_VALUE"""),"Autopilot")</f>
        <v>Autopilot</v>
      </c>
      <c r="S1521" s="149"/>
      <c r="T1521" s="145"/>
      <c r="U1521" s="145"/>
      <c r="V1521" s="145"/>
      <c r="W1521" s="136"/>
      <c r="X1521" s="137" t="str">
        <f>IFERROR(__xludf.DUMMYFUNCTION("""COMPUTED_VALUE"""),"Excellent")</f>
        <v>Excellent</v>
      </c>
      <c r="Y1521" s="138" t="str">
        <f>IFERROR(__xludf.DUMMYFUNCTION("""COMPUTED_VALUE"""),"Excellent")</f>
        <v>Excellent</v>
      </c>
      <c r="Z1521" s="138" t="str">
        <f>IFERROR(__xludf.DUMMYFUNCTION("""COMPUTED_VALUE"""),"Excellent")</f>
        <v>Excellent</v>
      </c>
      <c r="AA1521" s="138" t="str">
        <f>IFERROR(__xludf.DUMMYFUNCTION("""COMPUTED_VALUE"""),"Poor")</f>
        <v>Poor</v>
      </c>
      <c r="AB1521" s="138" t="str">
        <f>IFERROR(__xludf.DUMMYFUNCTION("""COMPUTED_VALUE"""),"Excellent")</f>
        <v>Excellent</v>
      </c>
      <c r="AC1521" s="139"/>
      <c r="AD1521" s="139"/>
      <c r="AE1521" s="139"/>
      <c r="AF1521" s="140"/>
      <c r="AG1521" s="136"/>
      <c r="AH1521" s="157">
        <f>IFERROR(__xludf.DUMMYFUNCTION("""COMPUTED_VALUE"""),43829.65826429399)</f>
        <v>43829.65826</v>
      </c>
      <c r="AI1521" s="138"/>
      <c r="AJ1521" s="138"/>
      <c r="AK1521" s="138"/>
      <c r="AL1521" s="142"/>
    </row>
    <row r="1522" ht="20.25" customHeight="1">
      <c r="A1522" s="155" t="str">
        <f>IFERROR(__xludf.DUMMYFUNCTION("""COMPUTED_VALUE"""),"Clh79")</f>
        <v>Clh79</v>
      </c>
      <c r="B1522" s="149" t="str">
        <f>IFERROR(__xludf.DUMMYFUNCTION("""COMPUTED_VALUE"""),"San Dimas")</f>
        <v>San Dimas</v>
      </c>
      <c r="C1522" s="149" t="str">
        <f>IFERROR(__xludf.DUMMYFUNCTION("""COMPUTED_VALUE"""),"CA")</f>
        <v>CA</v>
      </c>
      <c r="D1522" s="149" t="str">
        <f>IFERROR(__xludf.DUMMYFUNCTION("""COMPUTED_VALUE"""),"USA")</f>
        <v>USA</v>
      </c>
      <c r="E1522" s="156">
        <f>IFERROR(__xludf.DUMMYFUNCTION("""COMPUTED_VALUE"""),43777.0)</f>
        <v>43777</v>
      </c>
      <c r="F1522" s="129">
        <f>IFERROR(__xludf.DUMMYFUNCTION("""COMPUTED_VALUE"""),43823.0)</f>
        <v>43823</v>
      </c>
      <c r="G1522" s="154"/>
      <c r="H1522" s="131">
        <f>IFERROR(__xludf.DUMMYFUNCTION("""COMPUTED_VALUE"""),651455.0)</f>
        <v>651455</v>
      </c>
      <c r="I1522" s="144"/>
      <c r="J1522" s="129">
        <f>IFERROR(__xludf.DUMMYFUNCTION("""COMPUTED_VALUE"""),43825.0)</f>
        <v>43825</v>
      </c>
      <c r="K1522" s="133">
        <f>IFERROR(__xludf.DUMMYFUNCTION("""COMPUTED_VALUE"""),46.0)</f>
        <v>46</v>
      </c>
      <c r="L1522" s="133">
        <f>IFERROR(__xludf.DUMMYFUNCTION("""COMPUTED_VALUE"""),2.0)</f>
        <v>2</v>
      </c>
      <c r="M1522" s="133">
        <f>IFERROR(__xludf.DUMMYFUNCTION("""COMPUTED_VALUE"""),48.0)</f>
        <v>48</v>
      </c>
      <c r="N1522" s="152" t="str">
        <f>IFERROR(__xludf.DUMMYFUNCTION("""COMPUTED_VALUE"""),"Model 3 LR AWD")</f>
        <v>Model 3 LR AWD</v>
      </c>
      <c r="O1522" s="152" t="str">
        <f>IFERROR(__xludf.DUMMYFUNCTION("""COMPUTED_VALUE"""),"Pearl White Multi-Coat")</f>
        <v>Pearl White Multi-Coat</v>
      </c>
      <c r="P1522" s="153" t="str">
        <f>IFERROR(__xludf.DUMMYFUNCTION("""COMPUTED_VALUE"""),"18 inch Aero")</f>
        <v>18 inch Aero</v>
      </c>
      <c r="Q1522" s="152" t="str">
        <f>IFERROR(__xludf.DUMMYFUNCTION("""COMPUTED_VALUE"""),"White seats")</f>
        <v>White seats</v>
      </c>
      <c r="R1522" s="149" t="str">
        <f>IFERROR(__xludf.DUMMYFUNCTION("""COMPUTED_VALUE"""),"Full Self-Driving")</f>
        <v>Full Self-Driving</v>
      </c>
      <c r="S1522" s="149"/>
      <c r="T1522" s="145"/>
      <c r="U1522" s="145"/>
      <c r="V1522" s="145"/>
      <c r="W1522" s="136"/>
      <c r="X1522" s="137" t="str">
        <f>IFERROR(__xludf.DUMMYFUNCTION("""COMPUTED_VALUE"""),"Good")</f>
        <v>Good</v>
      </c>
      <c r="Y1522" s="138" t="str">
        <f>IFERROR(__xludf.DUMMYFUNCTION("""COMPUTED_VALUE"""),"Very Good")</f>
        <v>Very Good</v>
      </c>
      <c r="Z1522" s="138" t="str">
        <f>IFERROR(__xludf.DUMMYFUNCTION("""COMPUTED_VALUE"""),"Excellent")</f>
        <v>Excellent</v>
      </c>
      <c r="AA1522" s="138" t="str">
        <f>IFERROR(__xludf.DUMMYFUNCTION("""COMPUTED_VALUE"""),"Good")</f>
        <v>Good</v>
      </c>
      <c r="AB1522" s="138" t="str">
        <f>IFERROR(__xludf.DUMMYFUNCTION("""COMPUTED_VALUE"""),"Very Good")</f>
        <v>Very Good</v>
      </c>
      <c r="AC1522" s="139"/>
      <c r="AD1522" s="139"/>
      <c r="AE1522" s="139"/>
      <c r="AF1522" s="140"/>
      <c r="AG1522" s="136" t="str">
        <f>IFERROR(__xludf.DUMMYFUNCTION("""COMPUTED_VALUE"""),"Changed config 11/27")</f>
        <v>Changed config 11/27</v>
      </c>
      <c r="AH1522" s="157">
        <f>IFERROR(__xludf.DUMMYFUNCTION("""COMPUTED_VALUE"""),43833.31029864583)</f>
        <v>43833.3103</v>
      </c>
      <c r="AI1522" s="138"/>
      <c r="AJ1522" s="138"/>
      <c r="AK1522" s="138"/>
      <c r="AL1522" s="142"/>
    </row>
    <row r="1523" ht="20.25" customHeight="1">
      <c r="A1523" s="155" t="str">
        <f>IFERROR(__xludf.DUMMYFUNCTION("""COMPUTED_VALUE"""),"lyncea")</f>
        <v>lyncea</v>
      </c>
      <c r="B1523" s="149" t="str">
        <f>IFERROR(__xludf.DUMMYFUNCTION("""COMPUTED_VALUE"""),"Las Vegas")</f>
        <v>Las Vegas</v>
      </c>
      <c r="C1523" s="149" t="str">
        <f>IFERROR(__xludf.DUMMYFUNCTION("""COMPUTED_VALUE"""),"NV")</f>
        <v>NV</v>
      </c>
      <c r="D1523" s="149" t="str">
        <f>IFERROR(__xludf.DUMMYFUNCTION("""COMPUTED_VALUE"""),"USA")</f>
        <v>USA</v>
      </c>
      <c r="E1523" s="156">
        <f>IFERROR(__xludf.DUMMYFUNCTION("""COMPUTED_VALUE"""),43777.0)</f>
        <v>43777</v>
      </c>
      <c r="F1523" s="129">
        <f>IFERROR(__xludf.DUMMYFUNCTION("""COMPUTED_VALUE"""),43809.0)</f>
        <v>43809</v>
      </c>
      <c r="G1523" s="154"/>
      <c r="H1523" s="131">
        <f>IFERROR(__xludf.DUMMYFUNCTION("""COMPUTED_VALUE"""),613155.0)</f>
        <v>613155</v>
      </c>
      <c r="I1523" s="144"/>
      <c r="J1523" s="129">
        <f>IFERROR(__xludf.DUMMYFUNCTION("""COMPUTED_VALUE"""),43812.0)</f>
        <v>43812</v>
      </c>
      <c r="K1523" s="133">
        <f>IFERROR(__xludf.DUMMYFUNCTION("""COMPUTED_VALUE"""),32.0)</f>
        <v>32</v>
      </c>
      <c r="L1523" s="133">
        <f>IFERROR(__xludf.DUMMYFUNCTION("""COMPUTED_VALUE"""),3.0)</f>
        <v>3</v>
      </c>
      <c r="M1523" s="133">
        <f>IFERROR(__xludf.DUMMYFUNCTION("""COMPUTED_VALUE"""),35.0)</f>
        <v>35</v>
      </c>
      <c r="N1523" s="152" t="str">
        <f>IFERROR(__xludf.DUMMYFUNCTION("""COMPUTED_VALUE"""),"Model 3 SR+")</f>
        <v>Model 3 SR+</v>
      </c>
      <c r="O1523" s="152" t="str">
        <f>IFERROR(__xludf.DUMMYFUNCTION("""COMPUTED_VALUE"""),"Pearl White Multi-Coat")</f>
        <v>Pearl White Multi-Coat</v>
      </c>
      <c r="P1523" s="153" t="str">
        <f>IFERROR(__xludf.DUMMYFUNCTION("""COMPUTED_VALUE"""),"18 inch Aero")</f>
        <v>18 inch Aero</v>
      </c>
      <c r="Q1523" s="152" t="str">
        <f>IFERROR(__xludf.DUMMYFUNCTION("""COMPUTED_VALUE"""),"Black seats")</f>
        <v>Black seats</v>
      </c>
      <c r="R1523" s="149" t="str">
        <f>IFERROR(__xludf.DUMMYFUNCTION("""COMPUTED_VALUE"""),"Full Self-Driving")</f>
        <v>Full Self-Driving</v>
      </c>
      <c r="S1523" s="149"/>
      <c r="T1523" s="145"/>
      <c r="U1523" s="145"/>
      <c r="V1523" s="145"/>
      <c r="W1523" s="136"/>
      <c r="X1523" s="137" t="str">
        <f>IFERROR(__xludf.DUMMYFUNCTION("""COMPUTED_VALUE"""),"Good")</f>
        <v>Good</v>
      </c>
      <c r="Y1523" s="138" t="str">
        <f>IFERROR(__xludf.DUMMYFUNCTION("""COMPUTED_VALUE"""),"Excellent")</f>
        <v>Excellent</v>
      </c>
      <c r="Z1523" s="138" t="str">
        <f>IFERROR(__xludf.DUMMYFUNCTION("""COMPUTED_VALUE"""),"Excellent")</f>
        <v>Excellent</v>
      </c>
      <c r="AA1523" s="138" t="str">
        <f>IFERROR(__xludf.DUMMYFUNCTION("""COMPUTED_VALUE"""),"Excellent")</f>
        <v>Excellent</v>
      </c>
      <c r="AB1523" s="138" t="str">
        <f>IFERROR(__xludf.DUMMYFUNCTION("""COMPUTED_VALUE"""),"Excellent")</f>
        <v>Excellent</v>
      </c>
      <c r="AC1523" s="139">
        <f>IFERROR(__xludf.DUMMYFUNCTION("""COMPUTED_VALUE"""),6.0)</f>
        <v>6</v>
      </c>
      <c r="AD1523" s="139">
        <f>IFERROR(__xludf.DUMMYFUNCTION("""COMPUTED_VALUE"""),1.0)</f>
        <v>1</v>
      </c>
      <c r="AE1523" s="139"/>
      <c r="AF1523" s="140"/>
      <c r="AG1523" s="136" t="str">
        <f>IFERROR(__xludf.DUMMYFUNCTION("""COMPUTED_VALUE"""),"VIN in source 12/10. Called for delivery on 12/12 12/12.")</f>
        <v>VIN in source 12/10. Called for delivery on 12/12 12/12.</v>
      </c>
      <c r="AH1523" s="157">
        <f>IFERROR(__xludf.DUMMYFUNCTION("""COMPUTED_VALUE"""),43825.75468910879)</f>
        <v>43825.75469</v>
      </c>
      <c r="AI1523" s="138"/>
      <c r="AJ1523" s="138"/>
      <c r="AK1523" s="138"/>
      <c r="AL1523" s="142"/>
    </row>
    <row r="1524" ht="20.25" customHeight="1">
      <c r="A1524" s="155" t="str">
        <f>IFERROR(__xludf.DUMMYFUNCTION("""COMPUTED_VALUE"""),"Muleskinner")</f>
        <v>Muleskinner</v>
      </c>
      <c r="B1524" s="149" t="str">
        <f>IFERROR(__xludf.DUMMYFUNCTION("""COMPUTED_VALUE"""),"Chicago")</f>
        <v>Chicago</v>
      </c>
      <c r="C1524" s="149" t="str">
        <f>IFERROR(__xludf.DUMMYFUNCTION("""COMPUTED_VALUE"""),"IL")</f>
        <v>IL</v>
      </c>
      <c r="D1524" s="149" t="str">
        <f>IFERROR(__xludf.DUMMYFUNCTION("""COMPUTED_VALUE"""),"USA")</f>
        <v>USA</v>
      </c>
      <c r="E1524" s="156">
        <f>IFERROR(__xludf.DUMMYFUNCTION("""COMPUTED_VALUE"""),43777.0)</f>
        <v>43777</v>
      </c>
      <c r="F1524" s="129">
        <f>IFERROR(__xludf.DUMMYFUNCTION("""COMPUTED_VALUE"""),43800.0)</f>
        <v>43800</v>
      </c>
      <c r="G1524" s="154"/>
      <c r="H1524" s="131">
        <f>IFERROR(__xludf.DUMMYFUNCTION("""COMPUTED_VALUE"""),621844.0)</f>
        <v>621844</v>
      </c>
      <c r="I1524" s="144"/>
      <c r="J1524" s="129">
        <f>IFERROR(__xludf.DUMMYFUNCTION("""COMPUTED_VALUE"""),43813.0)</f>
        <v>43813</v>
      </c>
      <c r="K1524" s="133">
        <f>IFERROR(__xludf.DUMMYFUNCTION("""COMPUTED_VALUE"""),23.0)</f>
        <v>23</v>
      </c>
      <c r="L1524" s="133">
        <f>IFERROR(__xludf.DUMMYFUNCTION("""COMPUTED_VALUE"""),13.0)</f>
        <v>13</v>
      </c>
      <c r="M1524" s="133">
        <f>IFERROR(__xludf.DUMMYFUNCTION("""COMPUTED_VALUE"""),36.0)</f>
        <v>36</v>
      </c>
      <c r="N1524" s="152" t="str">
        <f>IFERROR(__xludf.DUMMYFUNCTION("""COMPUTED_VALUE"""),"Model 3 LR AWD")</f>
        <v>Model 3 LR AWD</v>
      </c>
      <c r="O1524" s="152" t="str">
        <f>IFERROR(__xludf.DUMMYFUNCTION("""COMPUTED_VALUE"""),"Midnight Silver Metallic")</f>
        <v>Midnight Silver Metallic</v>
      </c>
      <c r="P1524" s="153" t="str">
        <f>IFERROR(__xludf.DUMMYFUNCTION("""COMPUTED_VALUE"""),"18 inch Aero")</f>
        <v>18 inch Aero</v>
      </c>
      <c r="Q1524" s="152" t="str">
        <f>IFERROR(__xludf.DUMMYFUNCTION("""COMPUTED_VALUE"""),"White seats")</f>
        <v>White seats</v>
      </c>
      <c r="R1524" s="149" t="str">
        <f>IFERROR(__xludf.DUMMYFUNCTION("""COMPUTED_VALUE"""),"Full Self-Driving")</f>
        <v>Full Self-Driving</v>
      </c>
      <c r="S1524" s="149"/>
      <c r="T1524" s="145"/>
      <c r="U1524" s="145"/>
      <c r="V1524" s="145"/>
      <c r="W1524" s="136"/>
      <c r="X1524" s="137" t="str">
        <f>IFERROR(__xludf.DUMMYFUNCTION("""COMPUTED_VALUE"""),"Excellent")</f>
        <v>Excellent</v>
      </c>
      <c r="Y1524" s="138" t="str">
        <f>IFERROR(__xludf.DUMMYFUNCTION("""COMPUTED_VALUE"""),"Excellent")</f>
        <v>Excellent</v>
      </c>
      <c r="Z1524" s="138" t="str">
        <f>IFERROR(__xludf.DUMMYFUNCTION("""COMPUTED_VALUE"""),"Excellent")</f>
        <v>Excellent</v>
      </c>
      <c r="AA1524" s="138" t="str">
        <f>IFERROR(__xludf.DUMMYFUNCTION("""COMPUTED_VALUE"""),"Fair")</f>
        <v>Fair</v>
      </c>
      <c r="AB1524" s="138" t="str">
        <f>IFERROR(__xludf.DUMMYFUNCTION("""COMPUTED_VALUE"""),"Very Good")</f>
        <v>Very Good</v>
      </c>
      <c r="AC1524" s="139"/>
      <c r="AD1524" s="139"/>
      <c r="AE1524" s="139"/>
      <c r="AF1524" s="140"/>
      <c r="AG1524" s="136"/>
      <c r="AH1524" s="157">
        <f>IFERROR(__xludf.DUMMYFUNCTION("""COMPUTED_VALUE"""),43816.2372012963)</f>
        <v>43816.2372</v>
      </c>
      <c r="AI1524" s="138"/>
      <c r="AJ1524" s="138"/>
      <c r="AK1524" s="138"/>
      <c r="AL1524" s="142"/>
    </row>
    <row r="1525" ht="20.25" customHeight="1">
      <c r="A1525" s="155" t="str">
        <f>IFERROR(__xludf.DUMMYFUNCTION("""COMPUTED_VALUE"""),"DiggieC")</f>
        <v>DiggieC</v>
      </c>
      <c r="B1525" s="149" t="str">
        <f>IFERROR(__xludf.DUMMYFUNCTION("""COMPUTED_VALUE"""),"Austin")</f>
        <v>Austin</v>
      </c>
      <c r="C1525" s="149" t="str">
        <f>IFERROR(__xludf.DUMMYFUNCTION("""COMPUTED_VALUE"""),"TX")</f>
        <v>TX</v>
      </c>
      <c r="D1525" s="149" t="str">
        <f>IFERROR(__xludf.DUMMYFUNCTION("""COMPUTED_VALUE"""),"USA")</f>
        <v>USA</v>
      </c>
      <c r="E1525" s="156">
        <f>IFERROR(__xludf.DUMMYFUNCTION("""COMPUTED_VALUE"""),43776.0)</f>
        <v>43776</v>
      </c>
      <c r="F1525" s="129">
        <f>IFERROR(__xludf.DUMMYFUNCTION("""COMPUTED_VALUE"""),43808.0)</f>
        <v>43808</v>
      </c>
      <c r="G1525" s="154"/>
      <c r="H1525" s="131">
        <f>IFERROR(__xludf.DUMMYFUNCTION("""COMPUTED_VALUE"""),624055.0)</f>
        <v>624055</v>
      </c>
      <c r="I1525" s="144"/>
      <c r="J1525" s="129">
        <f>IFERROR(__xludf.DUMMYFUNCTION("""COMPUTED_VALUE"""),43825.0)</f>
        <v>43825</v>
      </c>
      <c r="K1525" s="133">
        <f>IFERROR(__xludf.DUMMYFUNCTION("""COMPUTED_VALUE"""),32.0)</f>
        <v>32</v>
      </c>
      <c r="L1525" s="133">
        <f>IFERROR(__xludf.DUMMYFUNCTION("""COMPUTED_VALUE"""),17.0)</f>
        <v>17</v>
      </c>
      <c r="M1525" s="133">
        <f>IFERROR(__xludf.DUMMYFUNCTION("""COMPUTED_VALUE"""),49.0)</f>
        <v>49</v>
      </c>
      <c r="N1525" s="152" t="str">
        <f>IFERROR(__xludf.DUMMYFUNCTION("""COMPUTED_VALUE"""),"Model 3 Performance")</f>
        <v>Model 3 Performance</v>
      </c>
      <c r="O1525" s="152" t="str">
        <f>IFERROR(__xludf.DUMMYFUNCTION("""COMPUTED_VALUE"""),"Pearl White Multi-Coat")</f>
        <v>Pearl White Multi-Coat</v>
      </c>
      <c r="P1525" s="153" t="str">
        <f>IFERROR(__xludf.DUMMYFUNCTION("""COMPUTED_VALUE"""),"20 inch Sport")</f>
        <v>20 inch Sport</v>
      </c>
      <c r="Q1525" s="152" t="str">
        <f>IFERROR(__xludf.DUMMYFUNCTION("""COMPUTED_VALUE"""),"Black seats")</f>
        <v>Black seats</v>
      </c>
      <c r="R1525" s="149" t="str">
        <f>IFERROR(__xludf.DUMMYFUNCTION("""COMPUTED_VALUE"""),"Full Self-Driving")</f>
        <v>Full Self-Driving</v>
      </c>
      <c r="S1525" s="149"/>
      <c r="T1525" s="145"/>
      <c r="U1525" s="145"/>
      <c r="V1525" s="145"/>
      <c r="W1525" s="136"/>
      <c r="X1525" s="137" t="str">
        <f>IFERROR(__xludf.DUMMYFUNCTION("""COMPUTED_VALUE"""),"Excellent")</f>
        <v>Excellent</v>
      </c>
      <c r="Y1525" s="138" t="str">
        <f>IFERROR(__xludf.DUMMYFUNCTION("""COMPUTED_VALUE"""),"Excellent")</f>
        <v>Excellent</v>
      </c>
      <c r="Z1525" s="138" t="str">
        <f>IFERROR(__xludf.DUMMYFUNCTION("""COMPUTED_VALUE"""),"Excellent")</f>
        <v>Excellent</v>
      </c>
      <c r="AA1525" s="138" t="str">
        <f>IFERROR(__xludf.DUMMYFUNCTION("""COMPUTED_VALUE"""),"Very Good")</f>
        <v>Very Good</v>
      </c>
      <c r="AB1525" s="138" t="str">
        <f>IFERROR(__xludf.DUMMYFUNCTION("""COMPUTED_VALUE"""),"Excellent")</f>
        <v>Excellent</v>
      </c>
      <c r="AC1525" s="139"/>
      <c r="AD1525" s="139"/>
      <c r="AE1525" s="139"/>
      <c r="AF1525" s="140"/>
      <c r="AG1525" s="136"/>
      <c r="AH1525" s="157">
        <f>IFERROR(__xludf.DUMMYFUNCTION("""COMPUTED_VALUE"""),43815.68310387732)</f>
        <v>43815.6831</v>
      </c>
      <c r="AI1525" s="138"/>
      <c r="AJ1525" s="138"/>
      <c r="AK1525" s="138"/>
      <c r="AL1525" s="142"/>
    </row>
    <row r="1526" ht="20.25" customHeight="1">
      <c r="A1526" s="155" t="str">
        <f>IFERROR(__xludf.DUMMYFUNCTION("""COMPUTED_VALUE"""),"MiltTDdriver")</f>
        <v>MiltTDdriver</v>
      </c>
      <c r="B1526" s="149" t="str">
        <f>IFERROR(__xludf.DUMMYFUNCTION("""COMPUTED_VALUE"""),"Boston")</f>
        <v>Boston</v>
      </c>
      <c r="C1526" s="149" t="str">
        <f>IFERROR(__xludf.DUMMYFUNCTION("""COMPUTED_VALUE"""),"MA")</f>
        <v>MA</v>
      </c>
      <c r="D1526" s="149" t="str">
        <f>IFERROR(__xludf.DUMMYFUNCTION("""COMPUTED_VALUE"""),"USA")</f>
        <v>USA</v>
      </c>
      <c r="E1526" s="156">
        <f>IFERROR(__xludf.DUMMYFUNCTION("""COMPUTED_VALUE"""),43776.0)</f>
        <v>43776</v>
      </c>
      <c r="F1526" s="129">
        <f>IFERROR(__xludf.DUMMYFUNCTION("""COMPUTED_VALUE"""),43795.0)</f>
        <v>43795</v>
      </c>
      <c r="G1526" s="154"/>
      <c r="H1526" s="131">
        <f>IFERROR(__xludf.DUMMYFUNCTION("""COMPUTED_VALUE"""),620342.0)</f>
        <v>620342</v>
      </c>
      <c r="I1526" s="144"/>
      <c r="J1526" s="129">
        <f>IFERROR(__xludf.DUMMYFUNCTION("""COMPUTED_VALUE"""),43815.0)</f>
        <v>43815</v>
      </c>
      <c r="K1526" s="133">
        <f>IFERROR(__xludf.DUMMYFUNCTION("""COMPUTED_VALUE"""),19.0)</f>
        <v>19</v>
      </c>
      <c r="L1526" s="133">
        <f>IFERROR(__xludf.DUMMYFUNCTION("""COMPUTED_VALUE"""),20.0)</f>
        <v>20</v>
      </c>
      <c r="M1526" s="133">
        <f>IFERROR(__xludf.DUMMYFUNCTION("""COMPUTED_VALUE"""),39.0)</f>
        <v>39</v>
      </c>
      <c r="N1526" s="152" t="str">
        <f>IFERROR(__xludf.DUMMYFUNCTION("""COMPUTED_VALUE"""),"Model 3 LR AWD")</f>
        <v>Model 3 LR AWD</v>
      </c>
      <c r="O1526" s="152" t="str">
        <f>IFERROR(__xludf.DUMMYFUNCTION("""COMPUTED_VALUE"""),"Red Multi-Coat")</f>
        <v>Red Multi-Coat</v>
      </c>
      <c r="P1526" s="153" t="str">
        <f>IFERROR(__xludf.DUMMYFUNCTION("""COMPUTED_VALUE"""),"19 inch Sport")</f>
        <v>19 inch Sport</v>
      </c>
      <c r="Q1526" s="152" t="str">
        <f>IFERROR(__xludf.DUMMYFUNCTION("""COMPUTED_VALUE"""),"Black seats")</f>
        <v>Black seats</v>
      </c>
      <c r="R1526" s="149" t="str">
        <f>IFERROR(__xludf.DUMMYFUNCTION("""COMPUTED_VALUE"""),"Autopilot")</f>
        <v>Autopilot</v>
      </c>
      <c r="S1526" s="149"/>
      <c r="T1526" s="145"/>
      <c r="U1526" s="145"/>
      <c r="V1526" s="145"/>
      <c r="W1526" s="136"/>
      <c r="X1526" s="137" t="str">
        <f>IFERROR(__xludf.DUMMYFUNCTION("""COMPUTED_VALUE"""),"Good")</f>
        <v>Good</v>
      </c>
      <c r="Y1526" s="138" t="str">
        <f>IFERROR(__xludf.DUMMYFUNCTION("""COMPUTED_VALUE"""),"Excellent")</f>
        <v>Excellent</v>
      </c>
      <c r="Z1526" s="138" t="str">
        <f>IFERROR(__xludf.DUMMYFUNCTION("""COMPUTED_VALUE"""),"Excellent")</f>
        <v>Excellent</v>
      </c>
      <c r="AA1526" s="138" t="str">
        <f>IFERROR(__xludf.DUMMYFUNCTION("""COMPUTED_VALUE"""),"Poor")</f>
        <v>Poor</v>
      </c>
      <c r="AB1526" s="138" t="str">
        <f>IFERROR(__xludf.DUMMYFUNCTION("""COMPUTED_VALUE"""),"Very Good")</f>
        <v>Very Good</v>
      </c>
      <c r="AC1526" s="139"/>
      <c r="AD1526" s="139"/>
      <c r="AE1526" s="139"/>
      <c r="AF1526" s="140"/>
      <c r="AG1526" s="136" t="str">
        <f>IFERROR(__xludf.DUMMYFUNCTION("""COMPUTED_VALUE"""),"Original order 11/2/19; modified configuration to drop FSD on 11/7/2019; Shipping 12/6/19, supposed to get week later.")</f>
        <v>Original order 11/2/19; modified configuration to drop FSD on 11/7/2019; Shipping 12/6/19, supposed to get week later.</v>
      </c>
      <c r="AH1526" s="157">
        <f>IFERROR(__xludf.DUMMYFUNCTION("""COMPUTED_VALUE"""),43817.53826774305)</f>
        <v>43817.53827</v>
      </c>
      <c r="AI1526" s="138"/>
      <c r="AJ1526" s="138"/>
      <c r="AK1526" s="138"/>
      <c r="AL1526" s="142"/>
    </row>
    <row r="1527" ht="20.25" customHeight="1">
      <c r="A1527" s="155" t="str">
        <f>IFERROR(__xludf.DUMMYFUNCTION("""COMPUTED_VALUE"""),"mthomas87")</f>
        <v>mthomas87</v>
      </c>
      <c r="B1527" s="149" t="str">
        <f>IFERROR(__xludf.DUMMYFUNCTION("""COMPUTED_VALUE"""),"Viera")</f>
        <v>Viera</v>
      </c>
      <c r="C1527" s="149" t="str">
        <f>IFERROR(__xludf.DUMMYFUNCTION("""COMPUTED_VALUE"""),"FL")</f>
        <v>FL</v>
      </c>
      <c r="D1527" s="149" t="str">
        <f>IFERROR(__xludf.DUMMYFUNCTION("""COMPUTED_VALUE"""),"USA")</f>
        <v>USA</v>
      </c>
      <c r="E1527" s="156">
        <f>IFERROR(__xludf.DUMMYFUNCTION("""COMPUTED_VALUE"""),43775.0)</f>
        <v>43775</v>
      </c>
      <c r="F1527" s="129">
        <f>IFERROR(__xludf.DUMMYFUNCTION("""COMPUTED_VALUE"""),43803.0)</f>
        <v>43803</v>
      </c>
      <c r="G1527" s="154"/>
      <c r="H1527" s="131">
        <f>IFERROR(__xludf.DUMMYFUNCTION("""COMPUTED_VALUE"""),616455.0)</f>
        <v>616455</v>
      </c>
      <c r="I1527" s="144" t="str">
        <f>IFERROR(__xludf.DUMMYFUNCTION("""COMPUTED_VALUE"""),"12/19")</f>
        <v>12/19</v>
      </c>
      <c r="J1527" s="129">
        <f>IFERROR(__xludf.DUMMYFUNCTION("""COMPUTED_VALUE"""),43810.0)</f>
        <v>43810</v>
      </c>
      <c r="K1527" s="133">
        <f>IFERROR(__xludf.DUMMYFUNCTION("""COMPUTED_VALUE"""),28.0)</f>
        <v>28</v>
      </c>
      <c r="L1527" s="133">
        <f>IFERROR(__xludf.DUMMYFUNCTION("""COMPUTED_VALUE"""),7.0)</f>
        <v>7</v>
      </c>
      <c r="M1527" s="133">
        <f>IFERROR(__xludf.DUMMYFUNCTION("""COMPUTED_VALUE"""),35.0)</f>
        <v>35</v>
      </c>
      <c r="N1527" s="152" t="str">
        <f>IFERROR(__xludf.DUMMYFUNCTION("""COMPUTED_VALUE"""),"Model 3 LR AWD")</f>
        <v>Model 3 LR AWD</v>
      </c>
      <c r="O1527" s="152" t="str">
        <f>IFERROR(__xludf.DUMMYFUNCTION("""COMPUTED_VALUE"""),"Midnight Silver Metallic")</f>
        <v>Midnight Silver Metallic</v>
      </c>
      <c r="P1527" s="153" t="str">
        <f>IFERROR(__xludf.DUMMYFUNCTION("""COMPUTED_VALUE"""),"18 inch Aero")</f>
        <v>18 inch Aero</v>
      </c>
      <c r="Q1527" s="152" t="str">
        <f>IFERROR(__xludf.DUMMYFUNCTION("""COMPUTED_VALUE"""),"Black seats")</f>
        <v>Black seats</v>
      </c>
      <c r="R1527" s="149" t="str">
        <f>IFERROR(__xludf.DUMMYFUNCTION("""COMPUTED_VALUE"""),"Autopilot")</f>
        <v>Autopilot</v>
      </c>
      <c r="S1527" s="149"/>
      <c r="T1527" s="145"/>
      <c r="U1527" s="145"/>
      <c r="V1527" s="145"/>
      <c r="W1527" s="136"/>
      <c r="X1527" s="137" t="str">
        <f>IFERROR(__xludf.DUMMYFUNCTION("""COMPUTED_VALUE"""),"Excellent")</f>
        <v>Excellent</v>
      </c>
      <c r="Y1527" s="138" t="str">
        <f>IFERROR(__xludf.DUMMYFUNCTION("""COMPUTED_VALUE"""),"Excellent")</f>
        <v>Excellent</v>
      </c>
      <c r="Z1527" s="138" t="str">
        <f>IFERROR(__xludf.DUMMYFUNCTION("""COMPUTED_VALUE"""),"Excellent")</f>
        <v>Excellent</v>
      </c>
      <c r="AA1527" s="138" t="str">
        <f>IFERROR(__xludf.DUMMYFUNCTION("""COMPUTED_VALUE"""),"Fair")</f>
        <v>Fair</v>
      </c>
      <c r="AB1527" s="138" t="str">
        <f>IFERROR(__xludf.DUMMYFUNCTION("""COMPUTED_VALUE"""),"Good")</f>
        <v>Good</v>
      </c>
      <c r="AC1527" s="139">
        <f>IFERROR(__xludf.DUMMYFUNCTION("""COMPUTED_VALUE"""),1.0)</f>
        <v>1</v>
      </c>
      <c r="AD1527" s="139">
        <f>IFERROR(__xludf.DUMMYFUNCTION("""COMPUTED_VALUE"""),1.0)</f>
        <v>1</v>
      </c>
      <c r="AE1527" s="139">
        <f>IFERROR(__xludf.DUMMYFUNCTION("""COMPUTED_VALUE"""),0.0)</f>
        <v>0</v>
      </c>
      <c r="AF1527" s="140"/>
      <c r="AG1527" s="136" t="str">
        <f>IFERROR(__xludf.DUMMYFUNCTION("""COMPUTED_VALUE"""),"UMC was faulty and required a replacement on day 2")</f>
        <v>UMC was faulty and required a replacement on day 2</v>
      </c>
      <c r="AH1527" s="157">
        <f>IFERROR(__xludf.DUMMYFUNCTION("""COMPUTED_VALUE"""),43817.42228842593)</f>
        <v>43817.42229</v>
      </c>
      <c r="AI1527" s="138"/>
      <c r="AJ1527" s="138"/>
      <c r="AK1527" s="138"/>
      <c r="AL1527" s="142"/>
    </row>
    <row r="1528" ht="20.25" customHeight="1">
      <c r="A1528" s="155" t="str">
        <f>IFERROR(__xludf.DUMMYFUNCTION("""COMPUTED_VALUE"""),"mtlove")</f>
        <v>mtlove</v>
      </c>
      <c r="B1528" s="149" t="str">
        <f>IFERROR(__xludf.DUMMYFUNCTION("""COMPUTED_VALUE"""),"Blackwood")</f>
        <v>Blackwood</v>
      </c>
      <c r="C1528" s="149" t="str">
        <f>IFERROR(__xludf.DUMMYFUNCTION("""COMPUTED_VALUE"""),"NJ")</f>
        <v>NJ</v>
      </c>
      <c r="D1528" s="149" t="str">
        <f>IFERROR(__xludf.DUMMYFUNCTION("""COMPUTED_VALUE"""),"USA")</f>
        <v>USA</v>
      </c>
      <c r="E1528" s="156">
        <f>IFERROR(__xludf.DUMMYFUNCTION("""COMPUTED_VALUE"""),43775.0)</f>
        <v>43775</v>
      </c>
      <c r="F1528" s="129">
        <f>IFERROR(__xludf.DUMMYFUNCTION("""COMPUTED_VALUE"""),43803.0)</f>
        <v>43803</v>
      </c>
      <c r="G1528" s="154"/>
      <c r="H1528" s="131">
        <f>IFERROR(__xludf.DUMMYFUNCTION("""COMPUTED_VALUE"""),603155.0)</f>
        <v>603155</v>
      </c>
      <c r="I1528" s="144" t="str">
        <f>IFERROR(__xludf.DUMMYFUNCTION("""COMPUTED_VALUE"""),"12/19")</f>
        <v>12/19</v>
      </c>
      <c r="J1528" s="129">
        <f>IFERROR(__xludf.DUMMYFUNCTION("""COMPUTED_VALUE"""),43819.0)</f>
        <v>43819</v>
      </c>
      <c r="K1528" s="133">
        <f>IFERROR(__xludf.DUMMYFUNCTION("""COMPUTED_VALUE"""),28.0)</f>
        <v>28</v>
      </c>
      <c r="L1528" s="133">
        <f>IFERROR(__xludf.DUMMYFUNCTION("""COMPUTED_VALUE"""),16.0)</f>
        <v>16</v>
      </c>
      <c r="M1528" s="133">
        <f>IFERROR(__xludf.DUMMYFUNCTION("""COMPUTED_VALUE"""),44.0)</f>
        <v>44</v>
      </c>
      <c r="N1528" s="152" t="str">
        <f>IFERROR(__xludf.DUMMYFUNCTION("""COMPUTED_VALUE"""),"Model 3 Performance")</f>
        <v>Model 3 Performance</v>
      </c>
      <c r="O1528" s="152" t="str">
        <f>IFERROR(__xludf.DUMMYFUNCTION("""COMPUTED_VALUE"""),"Deep Blue Metallic")</f>
        <v>Deep Blue Metallic</v>
      </c>
      <c r="P1528" s="153" t="str">
        <f>IFERROR(__xludf.DUMMYFUNCTION("""COMPUTED_VALUE"""),"20 inch Sport")</f>
        <v>20 inch Sport</v>
      </c>
      <c r="Q1528" s="152" t="str">
        <f>IFERROR(__xludf.DUMMYFUNCTION("""COMPUTED_VALUE"""),"Black seats")</f>
        <v>Black seats</v>
      </c>
      <c r="R1528" s="149" t="str">
        <f>IFERROR(__xludf.DUMMYFUNCTION("""COMPUTED_VALUE"""),"Full Self-Driving")</f>
        <v>Full Self-Driving</v>
      </c>
      <c r="S1528" s="149"/>
      <c r="T1528" s="145"/>
      <c r="U1528" s="145"/>
      <c r="V1528" s="145"/>
      <c r="W1528" s="136"/>
      <c r="X1528" s="137" t="str">
        <f>IFERROR(__xludf.DUMMYFUNCTION("""COMPUTED_VALUE"""),"Fair")</f>
        <v>Fair</v>
      </c>
      <c r="Y1528" s="138" t="str">
        <f>IFERROR(__xludf.DUMMYFUNCTION("""COMPUTED_VALUE"""),"Very Good")</f>
        <v>Very Good</v>
      </c>
      <c r="Z1528" s="138" t="str">
        <f>IFERROR(__xludf.DUMMYFUNCTION("""COMPUTED_VALUE"""),"Very Good")</f>
        <v>Very Good</v>
      </c>
      <c r="AA1528" s="138" t="str">
        <f>IFERROR(__xludf.DUMMYFUNCTION("""COMPUTED_VALUE"""),"Poor")</f>
        <v>Poor</v>
      </c>
      <c r="AB1528" s="138" t="str">
        <f>IFERROR(__xludf.DUMMYFUNCTION("""COMPUTED_VALUE"""),"Good")</f>
        <v>Good</v>
      </c>
      <c r="AC1528" s="139">
        <f>IFERROR(__xludf.DUMMYFUNCTION("""COMPUTED_VALUE"""),2.0)</f>
        <v>2</v>
      </c>
      <c r="AD1528" s="139"/>
      <c r="AE1528" s="139"/>
      <c r="AF1528" s="140"/>
      <c r="AG1528" s="136"/>
      <c r="AH1528" s="157">
        <f>IFERROR(__xludf.DUMMYFUNCTION("""COMPUTED_VALUE"""),43819.70866671296)</f>
        <v>43819.70867</v>
      </c>
      <c r="AI1528" s="138"/>
      <c r="AJ1528" s="138"/>
      <c r="AK1528" s="138"/>
      <c r="AL1528" s="142"/>
    </row>
    <row r="1529" ht="20.25" customHeight="1">
      <c r="A1529" s="155" t="str">
        <f>IFERROR(__xludf.DUMMYFUNCTION("""COMPUTED_VALUE"""),"kshah")</f>
        <v>kshah</v>
      </c>
      <c r="B1529" s="149"/>
      <c r="C1529" s="149" t="str">
        <f>IFERROR(__xludf.DUMMYFUNCTION("""COMPUTED_VALUE"""),"CA")</f>
        <v>CA</v>
      </c>
      <c r="D1529" s="149" t="str">
        <f>IFERROR(__xludf.DUMMYFUNCTION("""COMPUTED_VALUE"""),"USA")</f>
        <v>USA</v>
      </c>
      <c r="E1529" s="156">
        <f>IFERROR(__xludf.DUMMYFUNCTION("""COMPUTED_VALUE"""),43774.0)</f>
        <v>43774</v>
      </c>
      <c r="F1529" s="129">
        <f>IFERROR(__xludf.DUMMYFUNCTION("""COMPUTED_VALUE"""),43804.0)</f>
        <v>43804</v>
      </c>
      <c r="G1529" s="154"/>
      <c r="H1529" s="131">
        <f>IFERROR(__xludf.DUMMYFUNCTION("""COMPUTED_VALUE"""),601955.0)</f>
        <v>601955</v>
      </c>
      <c r="I1529" s="144" t="str">
        <f>IFERROR(__xludf.DUMMYFUNCTION("""COMPUTED_VALUE"""),"11/19")</f>
        <v>11/19</v>
      </c>
      <c r="J1529" s="129">
        <f>IFERROR(__xludf.DUMMYFUNCTION("""COMPUTED_VALUE"""),43807.0)</f>
        <v>43807</v>
      </c>
      <c r="K1529" s="133">
        <f>IFERROR(__xludf.DUMMYFUNCTION("""COMPUTED_VALUE"""),30.0)</f>
        <v>30</v>
      </c>
      <c r="L1529" s="133">
        <f>IFERROR(__xludf.DUMMYFUNCTION("""COMPUTED_VALUE"""),3.0)</f>
        <v>3</v>
      </c>
      <c r="M1529" s="133">
        <f>IFERROR(__xludf.DUMMYFUNCTION("""COMPUTED_VALUE"""),33.0)</f>
        <v>33</v>
      </c>
      <c r="N1529" s="152" t="str">
        <f>IFERROR(__xludf.DUMMYFUNCTION("""COMPUTED_VALUE"""),"Model 3 LR AWD")</f>
        <v>Model 3 LR AWD</v>
      </c>
      <c r="O1529" s="152" t="str">
        <f>IFERROR(__xludf.DUMMYFUNCTION("""COMPUTED_VALUE"""),"Red Multi-Coat")</f>
        <v>Red Multi-Coat</v>
      </c>
      <c r="P1529" s="153" t="str">
        <f>IFERROR(__xludf.DUMMYFUNCTION("""COMPUTED_VALUE"""),"18 inch Aero")</f>
        <v>18 inch Aero</v>
      </c>
      <c r="Q1529" s="152" t="str">
        <f>IFERROR(__xludf.DUMMYFUNCTION("""COMPUTED_VALUE"""),"Black seats")</f>
        <v>Black seats</v>
      </c>
      <c r="R1529" s="149" t="str">
        <f>IFERROR(__xludf.DUMMYFUNCTION("""COMPUTED_VALUE"""),"Full Self-Driving")</f>
        <v>Full Self-Driving</v>
      </c>
      <c r="S1529" s="149"/>
      <c r="T1529" s="145"/>
      <c r="U1529" s="145"/>
      <c r="V1529" s="145"/>
      <c r="W1529" s="136"/>
      <c r="X1529" s="137" t="str">
        <f>IFERROR(__xludf.DUMMYFUNCTION("""COMPUTED_VALUE"""),"Excellent")</f>
        <v>Excellent</v>
      </c>
      <c r="Y1529" s="138" t="str">
        <f>IFERROR(__xludf.DUMMYFUNCTION("""COMPUTED_VALUE"""),"Excellent")</f>
        <v>Excellent</v>
      </c>
      <c r="Z1529" s="138" t="str">
        <f>IFERROR(__xludf.DUMMYFUNCTION("""COMPUTED_VALUE"""),"Excellent")</f>
        <v>Excellent</v>
      </c>
      <c r="AA1529" s="138" t="str">
        <f>IFERROR(__xludf.DUMMYFUNCTION("""COMPUTED_VALUE"""),"Excellent")</f>
        <v>Excellent</v>
      </c>
      <c r="AB1529" s="138" t="str">
        <f>IFERROR(__xludf.DUMMYFUNCTION("""COMPUTED_VALUE"""),"Excellent")</f>
        <v>Excellent</v>
      </c>
      <c r="AC1529" s="139"/>
      <c r="AD1529" s="139"/>
      <c r="AE1529" s="139"/>
      <c r="AF1529" s="140"/>
      <c r="AG1529" s="136" t="str">
        <f>IFERROR(__xludf.DUMMYFUNCTION("""COMPUTED_VALUE"""),"Changed order to Stealth on 12/05")</f>
        <v>Changed order to Stealth on 12/05</v>
      </c>
      <c r="AH1529" s="157">
        <f>IFERROR(__xludf.DUMMYFUNCTION("""COMPUTED_VALUE"""),43807.95099399306)</f>
        <v>43807.95099</v>
      </c>
      <c r="AI1529" s="138"/>
      <c r="AJ1529" s="138"/>
      <c r="AK1529" s="138"/>
      <c r="AL1529" s="142"/>
    </row>
    <row r="1530" ht="20.25" customHeight="1">
      <c r="A1530" s="155" t="str">
        <f>IFERROR(__xludf.DUMMYFUNCTION("""COMPUTED_VALUE"""),"Rhaebus")</f>
        <v>Rhaebus</v>
      </c>
      <c r="B1530" s="149" t="str">
        <f>IFERROR(__xludf.DUMMYFUNCTION("""COMPUTED_VALUE"""),"Jacksonville")</f>
        <v>Jacksonville</v>
      </c>
      <c r="C1530" s="149" t="str">
        <f>IFERROR(__xludf.DUMMYFUNCTION("""COMPUTED_VALUE"""),"FL")</f>
        <v>FL</v>
      </c>
      <c r="D1530" s="149" t="str">
        <f>IFERROR(__xludf.DUMMYFUNCTION("""COMPUTED_VALUE"""),"USA")</f>
        <v>USA</v>
      </c>
      <c r="E1530" s="156">
        <f>IFERROR(__xludf.DUMMYFUNCTION("""COMPUTED_VALUE"""),43773.0)</f>
        <v>43773</v>
      </c>
      <c r="F1530" s="129">
        <f>IFERROR(__xludf.DUMMYFUNCTION("""COMPUTED_VALUE"""),43799.0)</f>
        <v>43799</v>
      </c>
      <c r="G1530" s="154"/>
      <c r="H1530" s="131">
        <f>IFERROR(__xludf.DUMMYFUNCTION("""COMPUTED_VALUE"""),616365.0)</f>
        <v>616365</v>
      </c>
      <c r="I1530" s="144"/>
      <c r="J1530" s="129">
        <f>IFERROR(__xludf.DUMMYFUNCTION("""COMPUTED_VALUE"""),43807.0)</f>
        <v>43807</v>
      </c>
      <c r="K1530" s="133">
        <f>IFERROR(__xludf.DUMMYFUNCTION("""COMPUTED_VALUE"""),26.0)</f>
        <v>26</v>
      </c>
      <c r="L1530" s="133">
        <f>IFERROR(__xludf.DUMMYFUNCTION("""COMPUTED_VALUE"""),8.0)</f>
        <v>8</v>
      </c>
      <c r="M1530" s="133">
        <f>IFERROR(__xludf.DUMMYFUNCTION("""COMPUTED_VALUE"""),34.0)</f>
        <v>34</v>
      </c>
      <c r="N1530" s="152" t="str">
        <f>IFERROR(__xludf.DUMMYFUNCTION("""COMPUTED_VALUE"""),"Model 3 LR AWD")</f>
        <v>Model 3 LR AWD</v>
      </c>
      <c r="O1530" s="152" t="str">
        <f>IFERROR(__xludf.DUMMYFUNCTION("""COMPUTED_VALUE"""),"Midnight Silver Metallic")</f>
        <v>Midnight Silver Metallic</v>
      </c>
      <c r="P1530" s="153" t="str">
        <f>IFERROR(__xludf.DUMMYFUNCTION("""COMPUTED_VALUE"""),"18 inch Aero")</f>
        <v>18 inch Aero</v>
      </c>
      <c r="Q1530" s="152" t="str">
        <f>IFERROR(__xludf.DUMMYFUNCTION("""COMPUTED_VALUE"""),"Black seats")</f>
        <v>Black seats</v>
      </c>
      <c r="R1530" s="149" t="str">
        <f>IFERROR(__xludf.DUMMYFUNCTION("""COMPUTED_VALUE"""),"Autopilot")</f>
        <v>Autopilot</v>
      </c>
      <c r="S1530" s="149"/>
      <c r="T1530" s="145"/>
      <c r="U1530" s="145"/>
      <c r="V1530" s="145"/>
      <c r="W1530" s="136"/>
      <c r="X1530" s="137" t="str">
        <f>IFERROR(__xludf.DUMMYFUNCTION("""COMPUTED_VALUE"""),"Good")</f>
        <v>Good</v>
      </c>
      <c r="Y1530" s="138" t="str">
        <f>IFERROR(__xludf.DUMMYFUNCTION("""COMPUTED_VALUE"""),"Very Good")</f>
        <v>Very Good</v>
      </c>
      <c r="Z1530" s="138" t="str">
        <f>IFERROR(__xludf.DUMMYFUNCTION("""COMPUTED_VALUE"""),"Excellent")</f>
        <v>Excellent</v>
      </c>
      <c r="AA1530" s="138" t="str">
        <f>IFERROR(__xludf.DUMMYFUNCTION("""COMPUTED_VALUE"""),"Very Good")</f>
        <v>Very Good</v>
      </c>
      <c r="AB1530" s="138" t="str">
        <f>IFERROR(__xludf.DUMMYFUNCTION("""COMPUTED_VALUE"""),"Very Good")</f>
        <v>Very Good</v>
      </c>
      <c r="AC1530" s="139"/>
      <c r="AD1530" s="139"/>
      <c r="AE1530" s="139"/>
      <c r="AF1530" s="140"/>
      <c r="AG1530" s="136" t="str">
        <f>IFERROR(__xludf.DUMMYFUNCTION("""COMPUTED_VALUE"""),"Delivered 8DEC19 as scheduled")</f>
        <v>Delivered 8DEC19 as scheduled</v>
      </c>
      <c r="AH1530" s="157">
        <f>IFERROR(__xludf.DUMMYFUNCTION("""COMPUTED_VALUE"""),43810.86676899306)</f>
        <v>43810.86677</v>
      </c>
      <c r="AI1530" s="138"/>
      <c r="AJ1530" s="138"/>
      <c r="AK1530" s="138"/>
      <c r="AL1530" s="142"/>
    </row>
    <row r="1531" ht="20.25" customHeight="1">
      <c r="A1531" s="155" t="str">
        <f>IFERROR(__xludf.DUMMYFUNCTION("""COMPUTED_VALUE"""),"GREYSTEED")</f>
        <v>GREYSTEED</v>
      </c>
      <c r="B1531" s="149" t="str">
        <f>IFERROR(__xludf.DUMMYFUNCTION("""COMPUTED_VALUE"""),"Arnold")</f>
        <v>Arnold</v>
      </c>
      <c r="C1531" s="149" t="str">
        <f>IFERROR(__xludf.DUMMYFUNCTION("""COMPUTED_VALUE"""),"MD")</f>
        <v>MD</v>
      </c>
      <c r="D1531" s="149" t="str">
        <f>IFERROR(__xludf.DUMMYFUNCTION("""COMPUTED_VALUE"""),"USA")</f>
        <v>USA</v>
      </c>
      <c r="E1531" s="156">
        <f>IFERROR(__xludf.DUMMYFUNCTION("""COMPUTED_VALUE"""),43772.0)</f>
        <v>43772</v>
      </c>
      <c r="F1531" s="129">
        <f>IFERROR(__xludf.DUMMYFUNCTION("""COMPUTED_VALUE"""),43799.0)</f>
        <v>43799</v>
      </c>
      <c r="G1531" s="154"/>
      <c r="H1531" s="131">
        <f>IFERROR(__xludf.DUMMYFUNCTION("""COMPUTED_VALUE"""),616311.0)</f>
        <v>616311</v>
      </c>
      <c r="I1531" s="144" t="str">
        <f>IFERROR(__xludf.DUMMYFUNCTION("""COMPUTED_VALUE"""),"11/19")</f>
        <v>11/19</v>
      </c>
      <c r="J1531" s="129">
        <f>IFERROR(__xludf.DUMMYFUNCTION("""COMPUTED_VALUE"""),43812.0)</f>
        <v>43812</v>
      </c>
      <c r="K1531" s="133">
        <f>IFERROR(__xludf.DUMMYFUNCTION("""COMPUTED_VALUE"""),27.0)</f>
        <v>27</v>
      </c>
      <c r="L1531" s="133">
        <f>IFERROR(__xludf.DUMMYFUNCTION("""COMPUTED_VALUE"""),13.0)</f>
        <v>13</v>
      </c>
      <c r="M1531" s="133">
        <f>IFERROR(__xludf.DUMMYFUNCTION("""COMPUTED_VALUE"""),40.0)</f>
        <v>40</v>
      </c>
      <c r="N1531" s="152" t="str">
        <f>IFERROR(__xludf.DUMMYFUNCTION("""COMPUTED_VALUE"""),"Model 3 LR AWD")</f>
        <v>Model 3 LR AWD</v>
      </c>
      <c r="O1531" s="152" t="str">
        <f>IFERROR(__xludf.DUMMYFUNCTION("""COMPUTED_VALUE"""),"Midnight Silver Metallic")</f>
        <v>Midnight Silver Metallic</v>
      </c>
      <c r="P1531" s="153" t="str">
        <f>IFERROR(__xludf.DUMMYFUNCTION("""COMPUTED_VALUE"""),"18 inch Aero")</f>
        <v>18 inch Aero</v>
      </c>
      <c r="Q1531" s="152" t="str">
        <f>IFERROR(__xludf.DUMMYFUNCTION("""COMPUTED_VALUE"""),"Black seats")</f>
        <v>Black seats</v>
      </c>
      <c r="R1531" s="149" t="str">
        <f>IFERROR(__xludf.DUMMYFUNCTION("""COMPUTED_VALUE"""),"Full Self-Driving")</f>
        <v>Full Self-Driving</v>
      </c>
      <c r="S1531" s="149"/>
      <c r="T1531" s="145"/>
      <c r="U1531" s="145"/>
      <c r="V1531" s="145"/>
      <c r="W1531" s="136"/>
      <c r="X1531" s="137" t="str">
        <f>IFERROR(__xludf.DUMMYFUNCTION("""COMPUTED_VALUE"""),"Excellent")</f>
        <v>Excellent</v>
      </c>
      <c r="Y1531" s="138" t="str">
        <f>IFERROR(__xludf.DUMMYFUNCTION("""COMPUTED_VALUE"""),"Excellent")</f>
        <v>Excellent</v>
      </c>
      <c r="Z1531" s="138" t="str">
        <f>IFERROR(__xludf.DUMMYFUNCTION("""COMPUTED_VALUE"""),"Excellent")</f>
        <v>Excellent</v>
      </c>
      <c r="AA1531" s="138" t="str">
        <f>IFERROR(__xludf.DUMMYFUNCTION("""COMPUTED_VALUE"""),"Very Good")</f>
        <v>Very Good</v>
      </c>
      <c r="AB1531" s="138" t="str">
        <f>IFERROR(__xludf.DUMMYFUNCTION("""COMPUTED_VALUE"""),"Good")</f>
        <v>Good</v>
      </c>
      <c r="AC1531" s="139">
        <f>IFERROR(__xludf.DUMMYFUNCTION("""COMPUTED_VALUE"""),1.0)</f>
        <v>1</v>
      </c>
      <c r="AD1531" s="139">
        <f>IFERROR(__xludf.DUMMYFUNCTION("""COMPUTED_VALUE"""),1.0)</f>
        <v>1</v>
      </c>
      <c r="AE1531" s="139">
        <f>IFERROR(__xludf.DUMMYFUNCTION("""COMPUTED_VALUE"""),1.0)</f>
        <v>1</v>
      </c>
      <c r="AF1531" s="140"/>
      <c r="AG1531" s="136" t="str">
        <f>IFERROR(__xludf.DUMMYFUNCTION("""COMPUTED_VALUE"""),"VIN in source code.")</f>
        <v>VIN in source code.</v>
      </c>
      <c r="AH1531" s="157">
        <f>IFERROR(__xludf.DUMMYFUNCTION("""COMPUTED_VALUE"""),43829.87650484954)</f>
        <v>43829.8765</v>
      </c>
      <c r="AI1531" s="138"/>
      <c r="AJ1531" s="138"/>
      <c r="AK1531" s="138"/>
      <c r="AL1531" s="142"/>
    </row>
    <row r="1532" ht="20.25" customHeight="1">
      <c r="A1532" s="155" t="str">
        <f>IFERROR(__xludf.DUMMYFUNCTION("""COMPUTED_VALUE"""),"KleanKar")</f>
        <v>KleanKar</v>
      </c>
      <c r="B1532" s="149" t="str">
        <f>IFERROR(__xludf.DUMMYFUNCTION("""COMPUTED_VALUE"""),"Sunnyvale")</f>
        <v>Sunnyvale</v>
      </c>
      <c r="C1532" s="149" t="str">
        <f>IFERROR(__xludf.DUMMYFUNCTION("""COMPUTED_VALUE"""),"CA")</f>
        <v>CA</v>
      </c>
      <c r="D1532" s="149" t="str">
        <f>IFERROR(__xludf.DUMMYFUNCTION("""COMPUTED_VALUE"""),"USA")</f>
        <v>USA</v>
      </c>
      <c r="E1532" s="156">
        <f>IFERROR(__xludf.DUMMYFUNCTION("""COMPUTED_VALUE"""),43772.0)</f>
        <v>43772</v>
      </c>
      <c r="F1532" s="129">
        <f>IFERROR(__xludf.DUMMYFUNCTION("""COMPUTED_VALUE"""),43821.0)</f>
        <v>43821</v>
      </c>
      <c r="G1532" s="154"/>
      <c r="H1532" s="131">
        <f>IFERROR(__xludf.DUMMYFUNCTION("""COMPUTED_VALUE"""),633950.0)</f>
        <v>633950</v>
      </c>
      <c r="I1532" s="144"/>
      <c r="J1532" s="129">
        <f>IFERROR(__xludf.DUMMYFUNCTION("""COMPUTED_VALUE"""),43822.0)</f>
        <v>43822</v>
      </c>
      <c r="K1532" s="133">
        <f>IFERROR(__xludf.DUMMYFUNCTION("""COMPUTED_VALUE"""),49.0)</f>
        <v>49</v>
      </c>
      <c r="L1532" s="133">
        <f>IFERROR(__xludf.DUMMYFUNCTION("""COMPUTED_VALUE"""),1.0)</f>
        <v>1</v>
      </c>
      <c r="M1532" s="133">
        <f>IFERROR(__xludf.DUMMYFUNCTION("""COMPUTED_VALUE"""),50.0)</f>
        <v>50</v>
      </c>
      <c r="N1532" s="152" t="str">
        <f>IFERROR(__xludf.DUMMYFUNCTION("""COMPUTED_VALUE"""),"Model 3 SR")</f>
        <v>Model 3 SR</v>
      </c>
      <c r="O1532" s="152" t="str">
        <f>IFERROR(__xludf.DUMMYFUNCTION("""COMPUTED_VALUE"""),"Deep Blue Metallic")</f>
        <v>Deep Blue Metallic</v>
      </c>
      <c r="P1532" s="153" t="str">
        <f>IFERROR(__xludf.DUMMYFUNCTION("""COMPUTED_VALUE"""),"19 inch Sport")</f>
        <v>19 inch Sport</v>
      </c>
      <c r="Q1532" s="152" t="str">
        <f>IFERROR(__xludf.DUMMYFUNCTION("""COMPUTED_VALUE"""),"Black seats")</f>
        <v>Black seats</v>
      </c>
      <c r="R1532" s="149" t="str">
        <f>IFERROR(__xludf.DUMMYFUNCTION("""COMPUTED_VALUE"""),"Full Self-Driving")</f>
        <v>Full Self-Driving</v>
      </c>
      <c r="S1532" s="149"/>
      <c r="T1532" s="145"/>
      <c r="U1532" s="145"/>
      <c r="V1532" s="145"/>
      <c r="W1532" s="136"/>
      <c r="X1532" s="137" t="str">
        <f>IFERROR(__xludf.DUMMYFUNCTION("""COMPUTED_VALUE"""),"Good")</f>
        <v>Good</v>
      </c>
      <c r="Y1532" s="138" t="str">
        <f>IFERROR(__xludf.DUMMYFUNCTION("""COMPUTED_VALUE"""),"Very Good")</f>
        <v>Very Good</v>
      </c>
      <c r="Z1532" s="138" t="str">
        <f>IFERROR(__xludf.DUMMYFUNCTION("""COMPUTED_VALUE"""),"Very Good")</f>
        <v>Very Good</v>
      </c>
      <c r="AA1532" s="138" t="str">
        <f>IFERROR(__xludf.DUMMYFUNCTION("""COMPUTED_VALUE"""),"Good")</f>
        <v>Good</v>
      </c>
      <c r="AB1532" s="138" t="str">
        <f>IFERROR(__xludf.DUMMYFUNCTION("""COMPUTED_VALUE"""),"Very Good")</f>
        <v>Very Good</v>
      </c>
      <c r="AC1532" s="139"/>
      <c r="AD1532" s="139"/>
      <c r="AE1532" s="139"/>
      <c r="AF1532" s="140"/>
      <c r="AG1532" s="136"/>
      <c r="AH1532" s="157">
        <f>IFERROR(__xludf.DUMMYFUNCTION("""COMPUTED_VALUE"""),43823.9307033912)</f>
        <v>43823.9307</v>
      </c>
      <c r="AI1532" s="138"/>
      <c r="AJ1532" s="138"/>
      <c r="AK1532" s="138"/>
      <c r="AL1532" s="142"/>
    </row>
    <row r="1533" ht="20.25" customHeight="1">
      <c r="A1533" s="155" t="str">
        <f>IFERROR(__xludf.DUMMYFUNCTION("""COMPUTED_VALUE"""),"rtrypilot")</f>
        <v>rtrypilot</v>
      </c>
      <c r="B1533" s="149" t="str">
        <f>IFERROR(__xludf.DUMMYFUNCTION("""COMPUTED_VALUE"""),"Puget Sound")</f>
        <v>Puget Sound</v>
      </c>
      <c r="C1533" s="149" t="str">
        <f>IFERROR(__xludf.DUMMYFUNCTION("""COMPUTED_VALUE"""),"WA")</f>
        <v>WA</v>
      </c>
      <c r="D1533" s="149" t="str">
        <f>IFERROR(__xludf.DUMMYFUNCTION("""COMPUTED_VALUE"""),"USA")</f>
        <v>USA</v>
      </c>
      <c r="E1533" s="156">
        <f>IFERROR(__xludf.DUMMYFUNCTION("""COMPUTED_VALUE"""),43772.0)</f>
        <v>43772</v>
      </c>
      <c r="F1533" s="129">
        <f>IFERROR(__xludf.DUMMYFUNCTION("""COMPUTED_VALUE"""),43795.0)</f>
        <v>43795</v>
      </c>
      <c r="G1533" s="154"/>
      <c r="H1533" s="131">
        <f>IFERROR(__xludf.DUMMYFUNCTION("""COMPUTED_VALUE"""),601555.0)</f>
        <v>601555</v>
      </c>
      <c r="I1533" s="144" t="str">
        <f>IFERROR(__xludf.DUMMYFUNCTION("""COMPUTED_VALUE"""),"11/19")</f>
        <v>11/19</v>
      </c>
      <c r="J1533" s="129">
        <f>IFERROR(__xludf.DUMMYFUNCTION("""COMPUTED_VALUE"""),43798.0)</f>
        <v>43798</v>
      </c>
      <c r="K1533" s="133">
        <f>IFERROR(__xludf.DUMMYFUNCTION("""COMPUTED_VALUE"""),23.0)</f>
        <v>23</v>
      </c>
      <c r="L1533" s="133">
        <f>IFERROR(__xludf.DUMMYFUNCTION("""COMPUTED_VALUE"""),3.0)</f>
        <v>3</v>
      </c>
      <c r="M1533" s="133">
        <f>IFERROR(__xludf.DUMMYFUNCTION("""COMPUTED_VALUE"""),26.0)</f>
        <v>26</v>
      </c>
      <c r="N1533" s="152" t="str">
        <f>IFERROR(__xludf.DUMMYFUNCTION("""COMPUTED_VALUE"""),"Model 3 LR AWD")</f>
        <v>Model 3 LR AWD</v>
      </c>
      <c r="O1533" s="152" t="str">
        <f>IFERROR(__xludf.DUMMYFUNCTION("""COMPUTED_VALUE"""),"Midnight Silver Metallic")</f>
        <v>Midnight Silver Metallic</v>
      </c>
      <c r="P1533" s="153" t="str">
        <f>IFERROR(__xludf.DUMMYFUNCTION("""COMPUTED_VALUE"""),"18 inch Aero")</f>
        <v>18 inch Aero</v>
      </c>
      <c r="Q1533" s="152" t="str">
        <f>IFERROR(__xludf.DUMMYFUNCTION("""COMPUTED_VALUE"""),"Black seats")</f>
        <v>Black seats</v>
      </c>
      <c r="R1533" s="149" t="str">
        <f>IFERROR(__xludf.DUMMYFUNCTION("""COMPUTED_VALUE"""),"Autopilot")</f>
        <v>Autopilot</v>
      </c>
      <c r="S1533" s="149"/>
      <c r="T1533" s="145"/>
      <c r="U1533" s="145"/>
      <c r="V1533" s="145"/>
      <c r="W1533" s="136"/>
      <c r="X1533" s="137" t="str">
        <f>IFERROR(__xludf.DUMMYFUNCTION("""COMPUTED_VALUE"""),"Excellent")</f>
        <v>Excellent</v>
      </c>
      <c r="Y1533" s="138" t="str">
        <f>IFERROR(__xludf.DUMMYFUNCTION("""COMPUTED_VALUE"""),"Excellent")</f>
        <v>Excellent</v>
      </c>
      <c r="Z1533" s="138" t="str">
        <f>IFERROR(__xludf.DUMMYFUNCTION("""COMPUTED_VALUE"""),"Very Good")</f>
        <v>Very Good</v>
      </c>
      <c r="AA1533" s="138" t="str">
        <f>IFERROR(__xludf.DUMMYFUNCTION("""COMPUTED_VALUE"""),"Very Good")</f>
        <v>Very Good</v>
      </c>
      <c r="AB1533" s="138" t="str">
        <f>IFERROR(__xludf.DUMMYFUNCTION("""COMPUTED_VALUE"""),"Very Good")</f>
        <v>Very Good</v>
      </c>
      <c r="AC1533" s="139">
        <f>IFERROR(__xludf.DUMMYFUNCTION("""COMPUTED_VALUE"""),1.0)</f>
        <v>1</v>
      </c>
      <c r="AD1533" s="139"/>
      <c r="AE1533" s="139"/>
      <c r="AF1533" s="140"/>
      <c r="AG1533" s="136" t="str">
        <f>IFERROR(__xludf.DUMMYFUNCTION("""COMPUTED_VALUE"""),"Original order on 11/3 (Pearl White, 18"" Aero &amp; Black Interior); updated config in 11/7 to Midnight Silver Metallic. Updated configuration on 11/20 to sleeper with the same int/ext color &amp; aero wheels.")</f>
        <v>Original order on 11/3 (Pearl White, 18" Aero &amp; Black Interior); updated config in 11/7 to Midnight Silver Metallic. Updated configuration on 11/20 to sleeper with the same int/ext color &amp; aero wheels.</v>
      </c>
      <c r="AH1533" s="157">
        <f>IFERROR(__xludf.DUMMYFUNCTION("""COMPUTED_VALUE"""),43807.38663795139)</f>
        <v>43807.38664</v>
      </c>
      <c r="AI1533" s="138"/>
      <c r="AJ1533" s="138"/>
      <c r="AK1533" s="138"/>
      <c r="AL1533" s="142"/>
    </row>
    <row r="1534" ht="20.25" customHeight="1">
      <c r="A1534" s="155" t="str">
        <f>IFERROR(__xludf.DUMMYFUNCTION("""COMPUTED_VALUE"""),"shawngregory")</f>
        <v>shawngregory</v>
      </c>
      <c r="B1534" s="149" t="str">
        <f>IFERROR(__xludf.DUMMYFUNCTION("""COMPUTED_VALUE"""),"Arlington")</f>
        <v>Arlington</v>
      </c>
      <c r="C1534" s="149" t="str">
        <f>IFERROR(__xludf.DUMMYFUNCTION("""COMPUTED_VALUE"""),"TX")</f>
        <v>TX</v>
      </c>
      <c r="D1534" s="149" t="str">
        <f>IFERROR(__xludf.DUMMYFUNCTION("""COMPUTED_VALUE"""),"USA")</f>
        <v>USA</v>
      </c>
      <c r="E1534" s="156">
        <f>IFERROR(__xludf.DUMMYFUNCTION("""COMPUTED_VALUE"""),43772.0)</f>
        <v>43772</v>
      </c>
      <c r="F1534" s="129">
        <f>IFERROR(__xludf.DUMMYFUNCTION("""COMPUTED_VALUE"""),43804.0)</f>
        <v>43804</v>
      </c>
      <c r="G1534" s="154"/>
      <c r="H1534" s="131">
        <f>IFERROR(__xludf.DUMMYFUNCTION("""COMPUTED_VALUE"""),618662.0)</f>
        <v>618662</v>
      </c>
      <c r="I1534" s="144" t="str">
        <f>IFERROR(__xludf.DUMMYFUNCTION("""COMPUTED_VALUE"""),"11/19")</f>
        <v>11/19</v>
      </c>
      <c r="J1534" s="129">
        <f>IFERROR(__xludf.DUMMYFUNCTION("""COMPUTED_VALUE"""),43816.0)</f>
        <v>43816</v>
      </c>
      <c r="K1534" s="133">
        <f>IFERROR(__xludf.DUMMYFUNCTION("""COMPUTED_VALUE"""),32.0)</f>
        <v>32</v>
      </c>
      <c r="L1534" s="133">
        <f>IFERROR(__xludf.DUMMYFUNCTION("""COMPUTED_VALUE"""),12.0)</f>
        <v>12</v>
      </c>
      <c r="M1534" s="133">
        <f>IFERROR(__xludf.DUMMYFUNCTION("""COMPUTED_VALUE"""),44.0)</f>
        <v>44</v>
      </c>
      <c r="N1534" s="152" t="str">
        <f>IFERROR(__xludf.DUMMYFUNCTION("""COMPUTED_VALUE"""),"Model 3 LR AWD")</f>
        <v>Model 3 LR AWD</v>
      </c>
      <c r="O1534" s="152" t="str">
        <f>IFERROR(__xludf.DUMMYFUNCTION("""COMPUTED_VALUE"""),"Pearl White Multi-Coat")</f>
        <v>Pearl White Multi-Coat</v>
      </c>
      <c r="P1534" s="153" t="str">
        <f>IFERROR(__xludf.DUMMYFUNCTION("""COMPUTED_VALUE"""),"18 inch Aero")</f>
        <v>18 inch Aero</v>
      </c>
      <c r="Q1534" s="152" t="str">
        <f>IFERROR(__xludf.DUMMYFUNCTION("""COMPUTED_VALUE"""),"Black seats")</f>
        <v>Black seats</v>
      </c>
      <c r="R1534" s="149" t="str">
        <f>IFERROR(__xludf.DUMMYFUNCTION("""COMPUTED_VALUE"""),"Full Self-Driving")</f>
        <v>Full Self-Driving</v>
      </c>
      <c r="S1534" s="149"/>
      <c r="T1534" s="145"/>
      <c r="U1534" s="145"/>
      <c r="V1534" s="145"/>
      <c r="W1534" s="136"/>
      <c r="X1534" s="137" t="str">
        <f>IFERROR(__xludf.DUMMYFUNCTION("""COMPUTED_VALUE"""),"Excellent")</f>
        <v>Excellent</v>
      </c>
      <c r="Y1534" s="138" t="str">
        <f>IFERROR(__xludf.DUMMYFUNCTION("""COMPUTED_VALUE"""),"Excellent")</f>
        <v>Excellent</v>
      </c>
      <c r="Z1534" s="138" t="str">
        <f>IFERROR(__xludf.DUMMYFUNCTION("""COMPUTED_VALUE"""),"Excellent")</f>
        <v>Excellent</v>
      </c>
      <c r="AA1534" s="138" t="str">
        <f>IFERROR(__xludf.DUMMYFUNCTION("""COMPUTED_VALUE"""),"Excellent")</f>
        <v>Excellent</v>
      </c>
      <c r="AB1534" s="138" t="str">
        <f>IFERROR(__xludf.DUMMYFUNCTION("""COMPUTED_VALUE"""),"Good")</f>
        <v>Good</v>
      </c>
      <c r="AC1534" s="139">
        <f>IFERROR(__xludf.DUMMYFUNCTION("""COMPUTED_VALUE"""),0.0)</f>
        <v>0</v>
      </c>
      <c r="AD1534" s="139">
        <f>IFERROR(__xludf.DUMMYFUNCTION("""COMPUTED_VALUE"""),0.0)</f>
        <v>0</v>
      </c>
      <c r="AE1534" s="139">
        <f>IFERROR(__xludf.DUMMYFUNCTION("""COMPUTED_VALUE"""),0.0)</f>
        <v>0</v>
      </c>
      <c r="AF1534" s="140"/>
      <c r="AG1534" s="136"/>
      <c r="AH1534" s="157">
        <f>IFERROR(__xludf.DUMMYFUNCTION("""COMPUTED_VALUE"""),43825.89372980324)</f>
        <v>43825.89373</v>
      </c>
      <c r="AI1534" s="138"/>
      <c r="AJ1534" s="138"/>
      <c r="AK1534" s="138"/>
      <c r="AL1534" s="142"/>
    </row>
    <row r="1535" ht="20.25" customHeight="1">
      <c r="A1535" s="155" t="str">
        <f>IFERROR(__xludf.DUMMYFUNCTION("""COMPUTED_VALUE"""),"taguilar")</f>
        <v>taguilar</v>
      </c>
      <c r="B1535" s="149" t="str">
        <f>IFERROR(__xludf.DUMMYFUNCTION("""COMPUTED_VALUE"""),"Playa Del Rey")</f>
        <v>Playa Del Rey</v>
      </c>
      <c r="C1535" s="149" t="str">
        <f>IFERROR(__xludf.DUMMYFUNCTION("""COMPUTED_VALUE"""),"CA")</f>
        <v>CA</v>
      </c>
      <c r="D1535" s="149" t="str">
        <f>IFERROR(__xludf.DUMMYFUNCTION("""COMPUTED_VALUE"""),"USA")</f>
        <v>USA</v>
      </c>
      <c r="E1535" s="156">
        <f>IFERROR(__xludf.DUMMYFUNCTION("""COMPUTED_VALUE"""),43772.0)</f>
        <v>43772</v>
      </c>
      <c r="F1535" s="129">
        <f>IFERROR(__xludf.DUMMYFUNCTION("""COMPUTED_VALUE"""),43820.0)</f>
        <v>43820</v>
      </c>
      <c r="G1535" s="154"/>
      <c r="H1535" s="131"/>
      <c r="I1535" s="144"/>
      <c r="J1535" s="129">
        <f>IFERROR(__xludf.DUMMYFUNCTION("""COMPUTED_VALUE"""),43833.0)</f>
        <v>43833</v>
      </c>
      <c r="K1535" s="133">
        <f>IFERROR(__xludf.DUMMYFUNCTION("""COMPUTED_VALUE"""),48.0)</f>
        <v>48</v>
      </c>
      <c r="L1535" s="133">
        <f>IFERROR(__xludf.DUMMYFUNCTION("""COMPUTED_VALUE"""),13.0)</f>
        <v>13</v>
      </c>
      <c r="M1535" s="133">
        <f>IFERROR(__xludf.DUMMYFUNCTION("""COMPUTED_VALUE"""),61.0)</f>
        <v>61</v>
      </c>
      <c r="N1535" s="152" t="str">
        <f>IFERROR(__xludf.DUMMYFUNCTION("""COMPUTED_VALUE"""),"Model 3 LR AWD")</f>
        <v>Model 3 LR AWD</v>
      </c>
      <c r="O1535" s="152" t="str">
        <f>IFERROR(__xludf.DUMMYFUNCTION("""COMPUTED_VALUE"""),"Midnight Silver Metallic")</f>
        <v>Midnight Silver Metallic</v>
      </c>
      <c r="P1535" s="153" t="str">
        <f>IFERROR(__xludf.DUMMYFUNCTION("""COMPUTED_VALUE"""),"19 inch Sport")</f>
        <v>19 inch Sport</v>
      </c>
      <c r="Q1535" s="152" t="str">
        <f>IFERROR(__xludf.DUMMYFUNCTION("""COMPUTED_VALUE"""),"Black seats")</f>
        <v>Black seats</v>
      </c>
      <c r="R1535" s="149" t="str">
        <f>IFERROR(__xludf.DUMMYFUNCTION("""COMPUTED_VALUE"""),"Autopilot")</f>
        <v>Autopilot</v>
      </c>
      <c r="S1535" s="149"/>
      <c r="T1535" s="145"/>
      <c r="U1535" s="145"/>
      <c r="V1535" s="145"/>
      <c r="W1535" s="136"/>
      <c r="X1535" s="137" t="str">
        <f>IFERROR(__xludf.DUMMYFUNCTION("""COMPUTED_VALUE"""),"Very Good")</f>
        <v>Very Good</v>
      </c>
      <c r="Y1535" s="138" t="str">
        <f>IFERROR(__xludf.DUMMYFUNCTION("""COMPUTED_VALUE"""),"Excellent")</f>
        <v>Excellent</v>
      </c>
      <c r="Z1535" s="138" t="str">
        <f>IFERROR(__xludf.DUMMYFUNCTION("""COMPUTED_VALUE"""),"Very Good")</f>
        <v>Very Good</v>
      </c>
      <c r="AA1535" s="138" t="str">
        <f>IFERROR(__xludf.DUMMYFUNCTION("""COMPUTED_VALUE"""),"Poor")</f>
        <v>Poor</v>
      </c>
      <c r="AB1535" s="138" t="str">
        <f>IFERROR(__xludf.DUMMYFUNCTION("""COMPUTED_VALUE"""),"Good")</f>
        <v>Good</v>
      </c>
      <c r="AC1535" s="139"/>
      <c r="AD1535" s="139"/>
      <c r="AE1535" s="139"/>
      <c r="AF1535" s="140"/>
      <c r="AG1535" s="136"/>
      <c r="AH1535" s="157">
        <f>IFERROR(__xludf.DUMMYFUNCTION("""COMPUTED_VALUE"""),43836.64957186343)</f>
        <v>43836.64957</v>
      </c>
      <c r="AI1535" s="138"/>
      <c r="AJ1535" s="138"/>
      <c r="AK1535" s="138"/>
      <c r="AL1535" s="142"/>
    </row>
    <row r="1536" ht="20.25" customHeight="1">
      <c r="A1536" s="155" t="str">
        <f>IFERROR(__xludf.DUMMYFUNCTION("""COMPUTED_VALUE"""),"a901")</f>
        <v>a901</v>
      </c>
      <c r="B1536" s="149" t="str">
        <f>IFERROR(__xludf.DUMMYFUNCTION("""COMPUTED_VALUE"""),"Austin")</f>
        <v>Austin</v>
      </c>
      <c r="C1536" s="149" t="str">
        <f>IFERROR(__xludf.DUMMYFUNCTION("""COMPUTED_VALUE"""),"TX")</f>
        <v>TX</v>
      </c>
      <c r="D1536" s="149" t="str">
        <f>IFERROR(__xludf.DUMMYFUNCTION("""COMPUTED_VALUE"""),"USA")</f>
        <v>USA</v>
      </c>
      <c r="E1536" s="156">
        <f>IFERROR(__xludf.DUMMYFUNCTION("""COMPUTED_VALUE"""),43771.0)</f>
        <v>43771</v>
      </c>
      <c r="F1536" s="129">
        <f>IFERROR(__xludf.DUMMYFUNCTION("""COMPUTED_VALUE"""),43806.0)</f>
        <v>43806</v>
      </c>
      <c r="G1536" s="154"/>
      <c r="H1536" s="131">
        <f>IFERROR(__xludf.DUMMYFUNCTION("""COMPUTED_VALUE"""),620905.0)</f>
        <v>620905</v>
      </c>
      <c r="I1536" s="144" t="str">
        <f>IFERROR(__xludf.DUMMYFUNCTION("""COMPUTED_VALUE"""),"12/19")</f>
        <v>12/19</v>
      </c>
      <c r="J1536" s="129">
        <f>IFERROR(__xludf.DUMMYFUNCTION("""COMPUTED_VALUE"""),43816.0)</f>
        <v>43816</v>
      </c>
      <c r="K1536" s="133">
        <f>IFERROR(__xludf.DUMMYFUNCTION("""COMPUTED_VALUE"""),35.0)</f>
        <v>35</v>
      </c>
      <c r="L1536" s="133">
        <f>IFERROR(__xludf.DUMMYFUNCTION("""COMPUTED_VALUE"""),10.0)</f>
        <v>10</v>
      </c>
      <c r="M1536" s="133">
        <f>IFERROR(__xludf.DUMMYFUNCTION("""COMPUTED_VALUE"""),45.0)</f>
        <v>45</v>
      </c>
      <c r="N1536" s="152" t="str">
        <f>IFERROR(__xludf.DUMMYFUNCTION("""COMPUTED_VALUE"""),"Model 3 LR AWD")</f>
        <v>Model 3 LR AWD</v>
      </c>
      <c r="O1536" s="152" t="str">
        <f>IFERROR(__xludf.DUMMYFUNCTION("""COMPUTED_VALUE"""),"Pearl White Multi-Coat")</f>
        <v>Pearl White Multi-Coat</v>
      </c>
      <c r="P1536" s="153" t="str">
        <f>IFERROR(__xludf.DUMMYFUNCTION("""COMPUTED_VALUE"""),"19 inch Sport")</f>
        <v>19 inch Sport</v>
      </c>
      <c r="Q1536" s="152" t="str">
        <f>IFERROR(__xludf.DUMMYFUNCTION("""COMPUTED_VALUE"""),"Black seats")</f>
        <v>Black seats</v>
      </c>
      <c r="R1536" s="149" t="str">
        <f>IFERROR(__xludf.DUMMYFUNCTION("""COMPUTED_VALUE"""),"Full Self-Driving")</f>
        <v>Full Self-Driving</v>
      </c>
      <c r="S1536" s="149"/>
      <c r="T1536" s="145"/>
      <c r="U1536" s="145"/>
      <c r="V1536" s="145"/>
      <c r="W1536" s="136"/>
      <c r="X1536" s="137" t="str">
        <f>IFERROR(__xludf.DUMMYFUNCTION("""COMPUTED_VALUE"""),"Excellent")</f>
        <v>Excellent</v>
      </c>
      <c r="Y1536" s="138" t="str">
        <f>IFERROR(__xludf.DUMMYFUNCTION("""COMPUTED_VALUE"""),"Excellent")</f>
        <v>Excellent</v>
      </c>
      <c r="Z1536" s="138" t="str">
        <f>IFERROR(__xludf.DUMMYFUNCTION("""COMPUTED_VALUE"""),"Excellent")</f>
        <v>Excellent</v>
      </c>
      <c r="AA1536" s="138" t="str">
        <f>IFERROR(__xludf.DUMMYFUNCTION("""COMPUTED_VALUE"""),"Good")</f>
        <v>Good</v>
      </c>
      <c r="AB1536" s="138" t="str">
        <f>IFERROR(__xludf.DUMMYFUNCTION("""COMPUTED_VALUE"""),"Excellent")</f>
        <v>Excellent</v>
      </c>
      <c r="AC1536" s="139">
        <f>IFERROR(__xludf.DUMMYFUNCTION("""COMPUTED_VALUE"""),0.0)</f>
        <v>0</v>
      </c>
      <c r="AD1536" s="139">
        <f>IFERROR(__xludf.DUMMYFUNCTION("""COMPUTED_VALUE"""),0.0)</f>
        <v>0</v>
      </c>
      <c r="AE1536" s="139">
        <f>IFERROR(__xludf.DUMMYFUNCTION("""COMPUTED_VALUE"""),0.0)</f>
        <v>0</v>
      </c>
      <c r="AF1536" s="140"/>
      <c r="AG1536" s="136"/>
      <c r="AH1536" s="157">
        <f>IFERROR(__xludf.DUMMYFUNCTION("""COMPUTED_VALUE"""),43822.50182403935)</f>
        <v>43822.50182</v>
      </c>
      <c r="AI1536" s="138"/>
      <c r="AJ1536" s="138"/>
      <c r="AK1536" s="138"/>
      <c r="AL1536" s="142"/>
    </row>
    <row r="1537" ht="20.25" customHeight="1">
      <c r="A1537" s="155" t="str">
        <f>IFERROR(__xludf.DUMMYFUNCTION("""COMPUTED_VALUE"""),"ApolloLA")</f>
        <v>ApolloLA</v>
      </c>
      <c r="B1537" s="149" t="str">
        <f>IFERROR(__xludf.DUMMYFUNCTION("""COMPUTED_VALUE"""),"Baton Rouge")</f>
        <v>Baton Rouge</v>
      </c>
      <c r="C1537" s="149" t="str">
        <f>IFERROR(__xludf.DUMMYFUNCTION("""COMPUTED_VALUE"""),"LA")</f>
        <v>LA</v>
      </c>
      <c r="D1537" s="149" t="str">
        <f>IFERROR(__xludf.DUMMYFUNCTION("""COMPUTED_VALUE"""),"USA")</f>
        <v>USA</v>
      </c>
      <c r="E1537" s="156">
        <f>IFERROR(__xludf.DUMMYFUNCTION("""COMPUTED_VALUE"""),43771.0)</f>
        <v>43771</v>
      </c>
      <c r="F1537" s="129">
        <f>IFERROR(__xludf.DUMMYFUNCTION("""COMPUTED_VALUE"""),43812.0)</f>
        <v>43812</v>
      </c>
      <c r="G1537" s="154"/>
      <c r="H1537" s="131"/>
      <c r="I1537" s="144"/>
      <c r="J1537" s="129">
        <f>IFERROR(__xludf.DUMMYFUNCTION("""COMPUTED_VALUE"""),43817.0)</f>
        <v>43817</v>
      </c>
      <c r="K1537" s="133">
        <f>IFERROR(__xludf.DUMMYFUNCTION("""COMPUTED_VALUE"""),41.0)</f>
        <v>41</v>
      </c>
      <c r="L1537" s="133">
        <f>IFERROR(__xludf.DUMMYFUNCTION("""COMPUTED_VALUE"""),5.0)</f>
        <v>5</v>
      </c>
      <c r="M1537" s="133">
        <f>IFERROR(__xludf.DUMMYFUNCTION("""COMPUTED_VALUE"""),46.0)</f>
        <v>46</v>
      </c>
      <c r="N1537" s="152" t="str">
        <f>IFERROR(__xludf.DUMMYFUNCTION("""COMPUTED_VALUE"""),"Model 3 Performance")</f>
        <v>Model 3 Performance</v>
      </c>
      <c r="O1537" s="152" t="str">
        <f>IFERROR(__xludf.DUMMYFUNCTION("""COMPUTED_VALUE"""),"Pearl White Multi-Coat")</f>
        <v>Pearl White Multi-Coat</v>
      </c>
      <c r="P1537" s="153" t="str">
        <f>IFERROR(__xludf.DUMMYFUNCTION("""COMPUTED_VALUE"""),"20 inch Sport")</f>
        <v>20 inch Sport</v>
      </c>
      <c r="Q1537" s="152" t="str">
        <f>IFERROR(__xludf.DUMMYFUNCTION("""COMPUTED_VALUE"""),"White seats")</f>
        <v>White seats</v>
      </c>
      <c r="R1537" s="149" t="str">
        <f>IFERROR(__xludf.DUMMYFUNCTION("""COMPUTED_VALUE"""),"Full Self-Driving")</f>
        <v>Full Self-Driving</v>
      </c>
      <c r="S1537" s="149"/>
      <c r="T1537" s="145"/>
      <c r="U1537" s="145"/>
      <c r="V1537" s="145"/>
      <c r="W1537" s="136"/>
      <c r="X1537" s="137" t="str">
        <f>IFERROR(__xludf.DUMMYFUNCTION("""COMPUTED_VALUE"""),"Excellent")</f>
        <v>Excellent</v>
      </c>
      <c r="Y1537" s="138" t="str">
        <f>IFERROR(__xludf.DUMMYFUNCTION("""COMPUTED_VALUE"""),"Excellent")</f>
        <v>Excellent</v>
      </c>
      <c r="Z1537" s="138" t="str">
        <f>IFERROR(__xludf.DUMMYFUNCTION("""COMPUTED_VALUE"""),"Excellent")</f>
        <v>Excellent</v>
      </c>
      <c r="AA1537" s="138" t="str">
        <f>IFERROR(__xludf.DUMMYFUNCTION("""COMPUTED_VALUE"""),"Fair")</f>
        <v>Fair</v>
      </c>
      <c r="AB1537" s="138" t="str">
        <f>IFERROR(__xludf.DUMMYFUNCTION("""COMPUTED_VALUE"""),"Very Good")</f>
        <v>Very Good</v>
      </c>
      <c r="AC1537" s="139"/>
      <c r="AD1537" s="139"/>
      <c r="AE1537" s="139"/>
      <c r="AF1537" s="140"/>
      <c r="AG1537" s="136"/>
      <c r="AH1537" s="157">
        <f>IFERROR(__xludf.DUMMYFUNCTION("""COMPUTED_VALUE"""),43818.330235671296)</f>
        <v>43818.33024</v>
      </c>
      <c r="AI1537" s="138"/>
      <c r="AJ1537" s="138"/>
      <c r="AK1537" s="138"/>
      <c r="AL1537" s="142"/>
    </row>
    <row r="1538" ht="20.25" customHeight="1">
      <c r="A1538" s="155" t="str">
        <f>IFERROR(__xludf.DUMMYFUNCTION("""COMPUTED_VALUE"""),"Goclimbarock14")</f>
        <v>Goclimbarock14</v>
      </c>
      <c r="B1538" s="149" t="str">
        <f>IFERROR(__xludf.DUMMYFUNCTION("""COMPUTED_VALUE"""),"Los Angeles")</f>
        <v>Los Angeles</v>
      </c>
      <c r="C1538" s="149" t="str">
        <f>IFERROR(__xludf.DUMMYFUNCTION("""COMPUTED_VALUE"""),"CA")</f>
        <v>CA</v>
      </c>
      <c r="D1538" s="149" t="str">
        <f>IFERROR(__xludf.DUMMYFUNCTION("""COMPUTED_VALUE"""),"USA")</f>
        <v>USA</v>
      </c>
      <c r="E1538" s="156">
        <f>IFERROR(__xludf.DUMMYFUNCTION("""COMPUTED_VALUE"""),43771.0)</f>
        <v>43771</v>
      </c>
      <c r="F1538" s="129">
        <f>IFERROR(__xludf.DUMMYFUNCTION("""COMPUTED_VALUE"""),43817.0)</f>
        <v>43817</v>
      </c>
      <c r="G1538" s="154"/>
      <c r="H1538" s="131">
        <f>IFERROR(__xludf.DUMMYFUNCTION("""COMPUTED_VALUE"""),630355.0)</f>
        <v>630355</v>
      </c>
      <c r="I1538" s="144" t="str">
        <f>IFERROR(__xludf.DUMMYFUNCTION("""COMPUTED_VALUE"""),"12/19")</f>
        <v>12/19</v>
      </c>
      <c r="J1538" s="129">
        <f>IFERROR(__xludf.DUMMYFUNCTION("""COMPUTED_VALUE"""),43820.0)</f>
        <v>43820</v>
      </c>
      <c r="K1538" s="133">
        <f>IFERROR(__xludf.DUMMYFUNCTION("""COMPUTED_VALUE"""),46.0)</f>
        <v>46</v>
      </c>
      <c r="L1538" s="133">
        <f>IFERROR(__xludf.DUMMYFUNCTION("""COMPUTED_VALUE"""),3.0)</f>
        <v>3</v>
      </c>
      <c r="M1538" s="133">
        <f>IFERROR(__xludf.DUMMYFUNCTION("""COMPUTED_VALUE"""),49.0)</f>
        <v>49</v>
      </c>
      <c r="N1538" s="152" t="str">
        <f>IFERROR(__xludf.DUMMYFUNCTION("""COMPUTED_VALUE"""),"Model 3 SR+")</f>
        <v>Model 3 SR+</v>
      </c>
      <c r="O1538" s="152" t="str">
        <f>IFERROR(__xludf.DUMMYFUNCTION("""COMPUTED_VALUE"""),"Midnight Silver Metallic")</f>
        <v>Midnight Silver Metallic</v>
      </c>
      <c r="P1538" s="153" t="str">
        <f>IFERROR(__xludf.DUMMYFUNCTION("""COMPUTED_VALUE"""),"18 inch Aero")</f>
        <v>18 inch Aero</v>
      </c>
      <c r="Q1538" s="152" t="str">
        <f>IFERROR(__xludf.DUMMYFUNCTION("""COMPUTED_VALUE"""),"Black seats")</f>
        <v>Black seats</v>
      </c>
      <c r="R1538" s="149" t="str">
        <f>IFERROR(__xludf.DUMMYFUNCTION("""COMPUTED_VALUE"""),"Autopilot")</f>
        <v>Autopilot</v>
      </c>
      <c r="S1538" s="149"/>
      <c r="T1538" s="145"/>
      <c r="U1538" s="145"/>
      <c r="V1538" s="145"/>
      <c r="W1538" s="136"/>
      <c r="X1538" s="137" t="str">
        <f>IFERROR(__xludf.DUMMYFUNCTION("""COMPUTED_VALUE"""),"Very Good")</f>
        <v>Very Good</v>
      </c>
      <c r="Y1538" s="138" t="str">
        <f>IFERROR(__xludf.DUMMYFUNCTION("""COMPUTED_VALUE"""),"Excellent")</f>
        <v>Excellent</v>
      </c>
      <c r="Z1538" s="138" t="str">
        <f>IFERROR(__xludf.DUMMYFUNCTION("""COMPUTED_VALUE"""),"Excellent")</f>
        <v>Excellent</v>
      </c>
      <c r="AA1538" s="138" t="str">
        <f>IFERROR(__xludf.DUMMYFUNCTION("""COMPUTED_VALUE"""),"Good")</f>
        <v>Good</v>
      </c>
      <c r="AB1538" s="138" t="str">
        <f>IFERROR(__xludf.DUMMYFUNCTION("""COMPUTED_VALUE"""),"Good")</f>
        <v>Good</v>
      </c>
      <c r="AC1538" s="139">
        <f>IFERROR(__xludf.DUMMYFUNCTION("""COMPUTED_VALUE"""),1.0)</f>
        <v>1</v>
      </c>
      <c r="AD1538" s="139">
        <f>IFERROR(__xludf.DUMMYFUNCTION("""COMPUTED_VALUE"""),1.0)</f>
        <v>1</v>
      </c>
      <c r="AE1538" s="139">
        <f>IFERROR(__xludf.DUMMYFUNCTION("""COMPUTED_VALUE"""),1.0)</f>
        <v>1</v>
      </c>
      <c r="AF1538" s="140"/>
      <c r="AG1538" s="136"/>
      <c r="AH1538" s="157">
        <f>IFERROR(__xludf.DUMMYFUNCTION("""COMPUTED_VALUE"""),43825.33101452546)</f>
        <v>43825.33101</v>
      </c>
      <c r="AI1538" s="138"/>
      <c r="AJ1538" s="138"/>
      <c r="AK1538" s="138"/>
      <c r="AL1538" s="142"/>
    </row>
    <row r="1539" ht="20.25" customHeight="1">
      <c r="A1539" s="155" t="str">
        <f>IFERROR(__xludf.DUMMYFUNCTION("""COMPUTED_VALUE"""),"GtiMart")</f>
        <v>GtiMart</v>
      </c>
      <c r="B1539" s="149" t="str">
        <f>IFERROR(__xludf.DUMMYFUNCTION("""COMPUTED_VALUE"""),"Quebec City")</f>
        <v>Quebec City</v>
      </c>
      <c r="C1539" s="149" t="str">
        <f>IFERROR(__xludf.DUMMYFUNCTION("""COMPUTED_VALUE"""),"QC")</f>
        <v>QC</v>
      </c>
      <c r="D1539" s="149" t="str">
        <f>IFERROR(__xludf.DUMMYFUNCTION("""COMPUTED_VALUE"""),"Canada")</f>
        <v>Canada</v>
      </c>
      <c r="E1539" s="156">
        <f>IFERROR(__xludf.DUMMYFUNCTION("""COMPUTED_VALUE"""),43770.0)</f>
        <v>43770</v>
      </c>
      <c r="F1539" s="129">
        <f>IFERROR(__xludf.DUMMYFUNCTION("""COMPUTED_VALUE"""),43797.0)</f>
        <v>43797</v>
      </c>
      <c r="G1539" s="154"/>
      <c r="H1539" s="131"/>
      <c r="I1539" s="144"/>
      <c r="J1539" s="129">
        <f>IFERROR(__xludf.DUMMYFUNCTION("""COMPUTED_VALUE"""),43817.0)</f>
        <v>43817</v>
      </c>
      <c r="K1539" s="133">
        <f>IFERROR(__xludf.DUMMYFUNCTION("""COMPUTED_VALUE"""),27.0)</f>
        <v>27</v>
      </c>
      <c r="L1539" s="133">
        <f>IFERROR(__xludf.DUMMYFUNCTION("""COMPUTED_VALUE"""),20.0)</f>
        <v>20</v>
      </c>
      <c r="M1539" s="133">
        <f>IFERROR(__xludf.DUMMYFUNCTION("""COMPUTED_VALUE"""),47.0)</f>
        <v>47</v>
      </c>
      <c r="N1539" s="152" t="str">
        <f>IFERROR(__xludf.DUMMYFUNCTION("""COMPUTED_VALUE"""),"Model 3 LR AWD")</f>
        <v>Model 3 LR AWD</v>
      </c>
      <c r="O1539" s="152" t="str">
        <f>IFERROR(__xludf.DUMMYFUNCTION("""COMPUTED_VALUE"""),"Solid Black")</f>
        <v>Solid Black</v>
      </c>
      <c r="P1539" s="153" t="str">
        <f>IFERROR(__xludf.DUMMYFUNCTION("""COMPUTED_VALUE"""),"18 inch Aero")</f>
        <v>18 inch Aero</v>
      </c>
      <c r="Q1539" s="152" t="str">
        <f>IFERROR(__xludf.DUMMYFUNCTION("""COMPUTED_VALUE"""),"Black seats")</f>
        <v>Black seats</v>
      </c>
      <c r="R1539" s="149" t="str">
        <f>IFERROR(__xludf.DUMMYFUNCTION("""COMPUTED_VALUE"""),"Autopilot")</f>
        <v>Autopilot</v>
      </c>
      <c r="S1539" s="149"/>
      <c r="T1539" s="145"/>
      <c r="U1539" s="145"/>
      <c r="V1539" s="145"/>
      <c r="W1539" s="136"/>
      <c r="X1539" s="137" t="str">
        <f>IFERROR(__xludf.DUMMYFUNCTION("""COMPUTED_VALUE"""),"Excellent")</f>
        <v>Excellent</v>
      </c>
      <c r="Y1539" s="138" t="str">
        <f>IFERROR(__xludf.DUMMYFUNCTION("""COMPUTED_VALUE"""),"Excellent")</f>
        <v>Excellent</v>
      </c>
      <c r="Z1539" s="138" t="str">
        <f>IFERROR(__xludf.DUMMYFUNCTION("""COMPUTED_VALUE"""),"Very Good")</f>
        <v>Very Good</v>
      </c>
      <c r="AA1539" s="138" t="str">
        <f>IFERROR(__xludf.DUMMYFUNCTION("""COMPUTED_VALUE"""),"Good")</f>
        <v>Good</v>
      </c>
      <c r="AB1539" s="138" t="str">
        <f>IFERROR(__xludf.DUMMYFUNCTION("""COMPUTED_VALUE"""),"Good")</f>
        <v>Good</v>
      </c>
      <c r="AC1539" s="139"/>
      <c r="AD1539" s="139"/>
      <c r="AE1539" s="139"/>
      <c r="AF1539" s="140"/>
      <c r="AG1539" s="136"/>
      <c r="AH1539" s="157">
        <f>IFERROR(__xludf.DUMMYFUNCTION("""COMPUTED_VALUE"""),43817.83117012731)</f>
        <v>43817.83117</v>
      </c>
      <c r="AI1539" s="138"/>
      <c r="AJ1539" s="138"/>
      <c r="AK1539" s="138"/>
      <c r="AL1539" s="142"/>
    </row>
    <row r="1540" ht="20.25" customHeight="1">
      <c r="A1540" s="155" t="str">
        <f>IFERROR(__xludf.DUMMYFUNCTION("""COMPUTED_VALUE"""),"huangm777")</f>
        <v>huangm777</v>
      </c>
      <c r="B1540" s="149" t="str">
        <f>IFERROR(__xludf.DUMMYFUNCTION("""COMPUTED_VALUE"""),"Chino")</f>
        <v>Chino</v>
      </c>
      <c r="C1540" s="149" t="str">
        <f>IFERROR(__xludf.DUMMYFUNCTION("""COMPUTED_VALUE"""),"CA")</f>
        <v>CA</v>
      </c>
      <c r="D1540" s="149" t="str">
        <f>IFERROR(__xludf.DUMMYFUNCTION("""COMPUTED_VALUE"""),"USA")</f>
        <v>USA</v>
      </c>
      <c r="E1540" s="156">
        <f>IFERROR(__xludf.DUMMYFUNCTION("""COMPUTED_VALUE"""),43770.0)</f>
        <v>43770</v>
      </c>
      <c r="F1540" s="129">
        <f>IFERROR(__xludf.DUMMYFUNCTION("""COMPUTED_VALUE"""),43806.0)</f>
        <v>43806</v>
      </c>
      <c r="G1540" s="154"/>
      <c r="H1540" s="131">
        <f>IFERROR(__xludf.DUMMYFUNCTION("""COMPUTED_VALUE"""),601955.0)</f>
        <v>601955</v>
      </c>
      <c r="I1540" s="144" t="str">
        <f>IFERROR(__xludf.DUMMYFUNCTION("""COMPUTED_VALUE"""),"11/19")</f>
        <v>11/19</v>
      </c>
      <c r="J1540" s="129">
        <f>IFERROR(__xludf.DUMMYFUNCTION("""COMPUTED_VALUE"""),43813.0)</f>
        <v>43813</v>
      </c>
      <c r="K1540" s="133">
        <f>IFERROR(__xludf.DUMMYFUNCTION("""COMPUTED_VALUE"""),36.0)</f>
        <v>36</v>
      </c>
      <c r="L1540" s="133">
        <f>IFERROR(__xludf.DUMMYFUNCTION("""COMPUTED_VALUE"""),7.0)</f>
        <v>7</v>
      </c>
      <c r="M1540" s="133">
        <f>IFERROR(__xludf.DUMMYFUNCTION("""COMPUTED_VALUE"""),43.0)</f>
        <v>43</v>
      </c>
      <c r="N1540" s="152" t="str">
        <f>IFERROR(__xludf.DUMMYFUNCTION("""COMPUTED_VALUE"""),"Model 3 Performance")</f>
        <v>Model 3 Performance</v>
      </c>
      <c r="O1540" s="152" t="str">
        <f>IFERROR(__xludf.DUMMYFUNCTION("""COMPUTED_VALUE"""),"Red Multi-Coat")</f>
        <v>Red Multi-Coat</v>
      </c>
      <c r="P1540" s="153" t="str">
        <f>IFERROR(__xludf.DUMMYFUNCTION("""COMPUTED_VALUE"""),"18 inch Aero")</f>
        <v>18 inch Aero</v>
      </c>
      <c r="Q1540" s="152" t="str">
        <f>IFERROR(__xludf.DUMMYFUNCTION("""COMPUTED_VALUE"""),"Black seats")</f>
        <v>Black seats</v>
      </c>
      <c r="R1540" s="149" t="str">
        <f>IFERROR(__xludf.DUMMYFUNCTION("""COMPUTED_VALUE"""),"Autopilot")</f>
        <v>Autopilot</v>
      </c>
      <c r="S1540" s="149"/>
      <c r="T1540" s="145"/>
      <c r="U1540" s="145"/>
      <c r="V1540" s="145"/>
      <c r="W1540" s="136"/>
      <c r="X1540" s="137" t="str">
        <f>IFERROR(__xludf.DUMMYFUNCTION("""COMPUTED_VALUE"""),"Excellent")</f>
        <v>Excellent</v>
      </c>
      <c r="Y1540" s="138" t="str">
        <f>IFERROR(__xludf.DUMMYFUNCTION("""COMPUTED_VALUE"""),"Excellent")</f>
        <v>Excellent</v>
      </c>
      <c r="Z1540" s="138" t="str">
        <f>IFERROR(__xludf.DUMMYFUNCTION("""COMPUTED_VALUE"""),"Excellent")</f>
        <v>Excellent</v>
      </c>
      <c r="AA1540" s="138" t="str">
        <f>IFERROR(__xludf.DUMMYFUNCTION("""COMPUTED_VALUE"""),"Very Good")</f>
        <v>Very Good</v>
      </c>
      <c r="AB1540" s="138" t="str">
        <f>IFERROR(__xludf.DUMMYFUNCTION("""COMPUTED_VALUE"""),"Excellent")</f>
        <v>Excellent</v>
      </c>
      <c r="AC1540" s="139">
        <f>IFERROR(__xludf.DUMMYFUNCTION("""COMPUTED_VALUE"""),0.0)</f>
        <v>0</v>
      </c>
      <c r="AD1540" s="139">
        <f>IFERROR(__xludf.DUMMYFUNCTION("""COMPUTED_VALUE"""),0.0)</f>
        <v>0</v>
      </c>
      <c r="AE1540" s="139">
        <f>IFERROR(__xludf.DUMMYFUNCTION("""COMPUTED_VALUE"""),0.0)</f>
        <v>0</v>
      </c>
      <c r="AF1540" s="140"/>
      <c r="AG1540" s="136" t="str">
        <f>IFERROR(__xludf.DUMMYFUNCTION("""COMPUTED_VALUE"""),"Changed on 12/7 to P3D-, was already available at Marina Del Rey. Will have it delivered to Buena Park on 12/14.")</f>
        <v>Changed on 12/7 to P3D-, was already available at Marina Del Rey. Will have it delivered to Buena Park on 12/14.</v>
      </c>
      <c r="AH1540" s="157">
        <f>IFERROR(__xludf.DUMMYFUNCTION("""COMPUTED_VALUE"""),43847.641982465284)</f>
        <v>43847.64198</v>
      </c>
      <c r="AI1540" s="138"/>
      <c r="AJ1540" s="138"/>
      <c r="AK1540" s="138"/>
      <c r="AL1540" s="142"/>
    </row>
    <row r="1541" ht="20.25" customHeight="1">
      <c r="A1541" s="155" t="str">
        <f>IFERROR(__xludf.DUMMYFUNCTION("""COMPUTED_VALUE"""),"jackgopack4")</f>
        <v>jackgopack4</v>
      </c>
      <c r="B1541" s="149" t="str">
        <f>IFERROR(__xludf.DUMMYFUNCTION("""COMPUTED_VALUE"""),"OKC")</f>
        <v>OKC</v>
      </c>
      <c r="C1541" s="149" t="str">
        <f>IFERROR(__xludf.DUMMYFUNCTION("""COMPUTED_VALUE"""),"OK")</f>
        <v>OK</v>
      </c>
      <c r="D1541" s="149" t="str">
        <f>IFERROR(__xludf.DUMMYFUNCTION("""COMPUTED_VALUE"""),"USA")</f>
        <v>USA</v>
      </c>
      <c r="E1541" s="156">
        <f>IFERROR(__xludf.DUMMYFUNCTION("""COMPUTED_VALUE"""),43770.0)</f>
        <v>43770</v>
      </c>
      <c r="F1541" s="129">
        <f>IFERROR(__xludf.DUMMYFUNCTION("""COMPUTED_VALUE"""),43799.0)</f>
        <v>43799</v>
      </c>
      <c r="G1541" s="154"/>
      <c r="H1541" s="131">
        <f>IFERROR(__xludf.DUMMYFUNCTION("""COMPUTED_VALUE"""),597055.0)</f>
        <v>597055</v>
      </c>
      <c r="I1541" s="144" t="str">
        <f>IFERROR(__xludf.DUMMYFUNCTION("""COMPUTED_VALUE"""),"11/19")</f>
        <v>11/19</v>
      </c>
      <c r="J1541" s="129">
        <f>IFERROR(__xludf.DUMMYFUNCTION("""COMPUTED_VALUE"""),43811.0)</f>
        <v>43811</v>
      </c>
      <c r="K1541" s="133">
        <f>IFERROR(__xludf.DUMMYFUNCTION("""COMPUTED_VALUE"""),29.0)</f>
        <v>29</v>
      </c>
      <c r="L1541" s="133">
        <f>IFERROR(__xludf.DUMMYFUNCTION("""COMPUTED_VALUE"""),12.0)</f>
        <v>12</v>
      </c>
      <c r="M1541" s="133">
        <f>IFERROR(__xludf.DUMMYFUNCTION("""COMPUTED_VALUE"""),41.0)</f>
        <v>41</v>
      </c>
      <c r="N1541" s="152" t="str">
        <f>IFERROR(__xludf.DUMMYFUNCTION("""COMPUTED_VALUE"""),"Model 3 SR+")</f>
        <v>Model 3 SR+</v>
      </c>
      <c r="O1541" s="152" t="str">
        <f>IFERROR(__xludf.DUMMYFUNCTION("""COMPUTED_VALUE"""),"Midnight Silver Metallic")</f>
        <v>Midnight Silver Metallic</v>
      </c>
      <c r="P1541" s="153" t="str">
        <f>IFERROR(__xludf.DUMMYFUNCTION("""COMPUTED_VALUE"""),"18 inch Aero")</f>
        <v>18 inch Aero</v>
      </c>
      <c r="Q1541" s="152" t="str">
        <f>IFERROR(__xludf.DUMMYFUNCTION("""COMPUTED_VALUE"""),"Black seats")</f>
        <v>Black seats</v>
      </c>
      <c r="R1541" s="149" t="str">
        <f>IFERROR(__xludf.DUMMYFUNCTION("""COMPUTED_VALUE"""),"Full Self-Driving")</f>
        <v>Full Self-Driving</v>
      </c>
      <c r="S1541" s="149"/>
      <c r="T1541" s="145"/>
      <c r="U1541" s="145"/>
      <c r="V1541" s="145"/>
      <c r="W1541" s="136"/>
      <c r="X1541" s="137" t="str">
        <f>IFERROR(__xludf.DUMMYFUNCTION("""COMPUTED_VALUE"""),"Fair")</f>
        <v>Fair</v>
      </c>
      <c r="Y1541" s="138" t="str">
        <f>IFERROR(__xludf.DUMMYFUNCTION("""COMPUTED_VALUE"""),"Good")</f>
        <v>Good</v>
      </c>
      <c r="Z1541" s="138" t="str">
        <f>IFERROR(__xludf.DUMMYFUNCTION("""COMPUTED_VALUE"""),"Very Good")</f>
        <v>Very Good</v>
      </c>
      <c r="AA1541" s="138" t="str">
        <f>IFERROR(__xludf.DUMMYFUNCTION("""COMPUTED_VALUE"""),"Poor")</f>
        <v>Poor</v>
      </c>
      <c r="AB1541" s="138" t="str">
        <f>IFERROR(__xludf.DUMMYFUNCTION("""COMPUTED_VALUE"""),"Poor")</f>
        <v>Poor</v>
      </c>
      <c r="AC1541" s="139"/>
      <c r="AD1541" s="139"/>
      <c r="AE1541" s="139"/>
      <c r="AF1541" s="140"/>
      <c r="AG1541" s="136" t="str">
        <f>IFERROR(__xludf.DUMMYFUNCTION("""COMPUTED_VALUE"""),"Horrible communication from Tesla. Carrier delivery company (TFI Transport) were the ones who made it work. Tesla emailed me in the afternoon saying delivery was scheduled for tomorrow, but got a call from TFI later that day asking to deliver to a truck s"&amp;"top (not my house) at 10pm that night. Since I was not home, they agreed to deliver and drive it into my assigned parking spot. However, this was no thanks to my Tesla delivery specialist (Joshua) and all in me to arrange while I was over 1,000 miles away"&amp;" for work.  No paperwork to register and drive three weeks after delivery. Unsatisfactory. ")</f>
        <v>Horrible communication from Tesla. Carrier delivery company (TFI Transport) were the ones who made it work. Tesla emailed me in the afternoon saying delivery was scheduled for tomorrow, but got a call from TFI later that day asking to deliver to a truck stop (not my house) at 10pm that night. Since I was not home, they agreed to deliver and drive it into my assigned parking spot. However, this was no thanks to my Tesla delivery specialist (Joshua) and all in me to arrange while I was over 1,000 miles away for work.  No paperwork to register and drive three weeks after delivery. Unsatisfactory. </v>
      </c>
      <c r="AH1541" s="157">
        <f>IFERROR(__xludf.DUMMYFUNCTION("""COMPUTED_VALUE"""),43831.70338688658)</f>
        <v>43831.70339</v>
      </c>
      <c r="AI1541" s="138"/>
      <c r="AJ1541" s="138"/>
      <c r="AK1541" s="138"/>
      <c r="AL1541" s="142"/>
    </row>
    <row r="1542" ht="20.25" customHeight="1">
      <c r="A1542" s="155" t="str">
        <f>IFERROR(__xludf.DUMMYFUNCTION("""COMPUTED_VALUE"""),"twitter007")</f>
        <v>twitter007</v>
      </c>
      <c r="B1542" s="149" t="str">
        <f>IFERROR(__xludf.DUMMYFUNCTION("""COMPUTED_VALUE"""),"Fremont")</f>
        <v>Fremont</v>
      </c>
      <c r="C1542" s="149" t="str">
        <f>IFERROR(__xludf.DUMMYFUNCTION("""COMPUTED_VALUE"""),"CA")</f>
        <v>CA</v>
      </c>
      <c r="D1542" s="149" t="str">
        <f>IFERROR(__xludf.DUMMYFUNCTION("""COMPUTED_VALUE"""),"USA")</f>
        <v>USA</v>
      </c>
      <c r="E1542" s="156">
        <f>IFERROR(__xludf.DUMMYFUNCTION("""COMPUTED_VALUE"""),43770.0)</f>
        <v>43770</v>
      </c>
      <c r="F1542" s="129">
        <f>IFERROR(__xludf.DUMMYFUNCTION("""COMPUTED_VALUE"""),43826.0)</f>
        <v>43826</v>
      </c>
      <c r="G1542" s="154"/>
      <c r="H1542" s="131">
        <f>IFERROR(__xludf.DUMMYFUNCTION("""COMPUTED_VALUE"""),615455.0)</f>
        <v>615455</v>
      </c>
      <c r="I1542" s="144" t="str">
        <f>IFERROR(__xludf.DUMMYFUNCTION("""COMPUTED_VALUE"""),"12/19")</f>
        <v>12/19</v>
      </c>
      <c r="J1542" s="129">
        <f>IFERROR(__xludf.DUMMYFUNCTION("""COMPUTED_VALUE"""),43826.0)</f>
        <v>43826</v>
      </c>
      <c r="K1542" s="133">
        <f>IFERROR(__xludf.DUMMYFUNCTION("""COMPUTED_VALUE"""),56.0)</f>
        <v>56</v>
      </c>
      <c r="L1542" s="133">
        <f>IFERROR(__xludf.DUMMYFUNCTION("""COMPUTED_VALUE"""),0.0)</f>
        <v>0</v>
      </c>
      <c r="M1542" s="133">
        <f>IFERROR(__xludf.DUMMYFUNCTION("""COMPUTED_VALUE"""),56.0)</f>
        <v>56</v>
      </c>
      <c r="N1542" s="152" t="str">
        <f>IFERROR(__xludf.DUMMYFUNCTION("""COMPUTED_VALUE"""),"Model 3 SR+")</f>
        <v>Model 3 SR+</v>
      </c>
      <c r="O1542" s="152" t="str">
        <f>IFERROR(__xludf.DUMMYFUNCTION("""COMPUTED_VALUE"""),"Pearl White Multi-Coat")</f>
        <v>Pearl White Multi-Coat</v>
      </c>
      <c r="P1542" s="153" t="str">
        <f>IFERROR(__xludf.DUMMYFUNCTION("""COMPUTED_VALUE"""),"18 inch Aero")</f>
        <v>18 inch Aero</v>
      </c>
      <c r="Q1542" s="152" t="str">
        <f>IFERROR(__xludf.DUMMYFUNCTION("""COMPUTED_VALUE"""),"White seats")</f>
        <v>White seats</v>
      </c>
      <c r="R1542" s="149" t="str">
        <f>IFERROR(__xludf.DUMMYFUNCTION("""COMPUTED_VALUE"""),"Autopilot")</f>
        <v>Autopilot</v>
      </c>
      <c r="S1542" s="149"/>
      <c r="T1542" s="145"/>
      <c r="U1542" s="145"/>
      <c r="V1542" s="145"/>
      <c r="W1542" s="136"/>
      <c r="X1542" s="137" t="str">
        <f>IFERROR(__xludf.DUMMYFUNCTION("""COMPUTED_VALUE"""),"Good")</f>
        <v>Good</v>
      </c>
      <c r="Y1542" s="138" t="str">
        <f>IFERROR(__xludf.DUMMYFUNCTION("""COMPUTED_VALUE"""),"Very Good")</f>
        <v>Very Good</v>
      </c>
      <c r="Z1542" s="138" t="str">
        <f>IFERROR(__xludf.DUMMYFUNCTION("""COMPUTED_VALUE"""),"Very Good")</f>
        <v>Very Good</v>
      </c>
      <c r="AA1542" s="138" t="str">
        <f>IFERROR(__xludf.DUMMYFUNCTION("""COMPUTED_VALUE"""),"Good")</f>
        <v>Good</v>
      </c>
      <c r="AB1542" s="138" t="str">
        <f>IFERROR(__xludf.DUMMYFUNCTION("""COMPUTED_VALUE"""),"Very Good")</f>
        <v>Very Good</v>
      </c>
      <c r="AC1542" s="139"/>
      <c r="AD1542" s="139"/>
      <c r="AE1542" s="139"/>
      <c r="AF1542" s="140"/>
      <c r="AG1542" s="136"/>
      <c r="AH1542" s="157">
        <f>IFERROR(__xludf.DUMMYFUNCTION("""COMPUTED_VALUE"""),43828.78350756944)</f>
        <v>43828.78351</v>
      </c>
      <c r="AI1542" s="138"/>
      <c r="AJ1542" s="138"/>
      <c r="AK1542" s="138"/>
      <c r="AL1542" s="142"/>
    </row>
    <row r="1543" ht="20.25" customHeight="1">
      <c r="A1543" s="155" t="str">
        <f>IFERROR(__xludf.DUMMYFUNCTION("""COMPUTED_VALUE"""),"WatcherXP")</f>
        <v>WatcherXP</v>
      </c>
      <c r="B1543" s="149" t="str">
        <f>IFERROR(__xludf.DUMMYFUNCTION("""COMPUTED_VALUE"""),"Manteca")</f>
        <v>Manteca</v>
      </c>
      <c r="C1543" s="149" t="str">
        <f>IFERROR(__xludf.DUMMYFUNCTION("""COMPUTED_VALUE"""),"CA")</f>
        <v>CA</v>
      </c>
      <c r="D1543" s="149" t="str">
        <f>IFERROR(__xludf.DUMMYFUNCTION("""COMPUTED_VALUE"""),"USA")</f>
        <v>USA</v>
      </c>
      <c r="E1543" s="156">
        <f>IFERROR(__xludf.DUMMYFUNCTION("""COMPUTED_VALUE"""),43770.0)</f>
        <v>43770</v>
      </c>
      <c r="F1543" s="129">
        <f>IFERROR(__xludf.DUMMYFUNCTION("""COMPUTED_VALUE"""),43818.0)</f>
        <v>43818</v>
      </c>
      <c r="G1543" s="154"/>
      <c r="H1543" s="131">
        <f>IFERROR(__xludf.DUMMYFUNCTION("""COMPUTED_VALUE"""),630939.0)</f>
        <v>630939</v>
      </c>
      <c r="I1543" s="144"/>
      <c r="J1543" s="129">
        <f>IFERROR(__xludf.DUMMYFUNCTION("""COMPUTED_VALUE"""),43820.0)</f>
        <v>43820</v>
      </c>
      <c r="K1543" s="133">
        <f>IFERROR(__xludf.DUMMYFUNCTION("""COMPUTED_VALUE"""),48.0)</f>
        <v>48</v>
      </c>
      <c r="L1543" s="133">
        <f>IFERROR(__xludf.DUMMYFUNCTION("""COMPUTED_VALUE"""),2.0)</f>
        <v>2</v>
      </c>
      <c r="M1543" s="133">
        <f>IFERROR(__xludf.DUMMYFUNCTION("""COMPUTED_VALUE"""),50.0)</f>
        <v>50</v>
      </c>
      <c r="N1543" s="152" t="str">
        <f>IFERROR(__xludf.DUMMYFUNCTION("""COMPUTED_VALUE"""),"Model 3 SR+")</f>
        <v>Model 3 SR+</v>
      </c>
      <c r="O1543" s="152" t="str">
        <f>IFERROR(__xludf.DUMMYFUNCTION("""COMPUTED_VALUE"""),"Deep Blue Metallic")</f>
        <v>Deep Blue Metallic</v>
      </c>
      <c r="P1543" s="153" t="str">
        <f>IFERROR(__xludf.DUMMYFUNCTION("""COMPUTED_VALUE"""),"18 inch Aero")</f>
        <v>18 inch Aero</v>
      </c>
      <c r="Q1543" s="152" t="str">
        <f>IFERROR(__xludf.DUMMYFUNCTION("""COMPUTED_VALUE"""),"Black seats")</f>
        <v>Black seats</v>
      </c>
      <c r="R1543" s="149" t="str">
        <f>IFERROR(__xludf.DUMMYFUNCTION("""COMPUTED_VALUE"""),"Autopilot")</f>
        <v>Autopilot</v>
      </c>
      <c r="S1543" s="149"/>
      <c r="T1543" s="145"/>
      <c r="U1543" s="145"/>
      <c r="V1543" s="145"/>
      <c r="W1543" s="136"/>
      <c r="X1543" s="137" t="str">
        <f>IFERROR(__xludf.DUMMYFUNCTION("""COMPUTED_VALUE"""),"Very Good")</f>
        <v>Very Good</v>
      </c>
      <c r="Y1543" s="138" t="str">
        <f>IFERROR(__xludf.DUMMYFUNCTION("""COMPUTED_VALUE"""),"Very Good")</f>
        <v>Very Good</v>
      </c>
      <c r="Z1543" s="138" t="str">
        <f>IFERROR(__xludf.DUMMYFUNCTION("""COMPUTED_VALUE"""),"Very Good")</f>
        <v>Very Good</v>
      </c>
      <c r="AA1543" s="138" t="str">
        <f>IFERROR(__xludf.DUMMYFUNCTION("""COMPUTED_VALUE"""),"Poor")</f>
        <v>Poor</v>
      </c>
      <c r="AB1543" s="138" t="str">
        <f>IFERROR(__xludf.DUMMYFUNCTION("""COMPUTED_VALUE"""),"Poor")</f>
        <v>Poor</v>
      </c>
      <c r="AC1543" s="139">
        <f>IFERROR(__xludf.DUMMYFUNCTION("""COMPUTED_VALUE"""),1.0)</f>
        <v>1</v>
      </c>
      <c r="AD1543" s="139"/>
      <c r="AE1543" s="139"/>
      <c r="AF1543" s="140"/>
      <c r="AG1543" s="136" t="str">
        <f>IFERROR(__xludf.DUMMYFUNCTION("""COMPUTED_VALUE"""),"VIn in source 12/19, on page 12/20, delivery scheduled for 12/21")</f>
        <v>VIn in source 12/19, on page 12/20, delivery scheduled for 12/21</v>
      </c>
      <c r="AH1543" s="157">
        <f>IFERROR(__xludf.DUMMYFUNCTION("""COMPUTED_VALUE"""),43820.90607491898)</f>
        <v>43820.90607</v>
      </c>
      <c r="AI1543" s="138"/>
      <c r="AJ1543" s="138"/>
      <c r="AK1543" s="138"/>
      <c r="AL1543" s="142"/>
    </row>
    <row r="1544" ht="20.25" customHeight="1">
      <c r="A1544" s="155" t="str">
        <f>IFERROR(__xludf.DUMMYFUNCTION("""COMPUTED_VALUE"""),"ArtificialSugar")</f>
        <v>ArtificialSugar</v>
      </c>
      <c r="B1544" s="149" t="str">
        <f>IFERROR(__xludf.DUMMYFUNCTION("""COMPUTED_VALUE"""),"Boise")</f>
        <v>Boise</v>
      </c>
      <c r="C1544" s="149" t="str">
        <f>IFERROR(__xludf.DUMMYFUNCTION("""COMPUTED_VALUE"""),"ID")</f>
        <v>ID</v>
      </c>
      <c r="D1544" s="149" t="str">
        <f>IFERROR(__xludf.DUMMYFUNCTION("""COMPUTED_VALUE"""),"USA")</f>
        <v>USA</v>
      </c>
      <c r="E1544" s="156">
        <f>IFERROR(__xludf.DUMMYFUNCTION("""COMPUTED_VALUE"""),43769.0)</f>
        <v>43769</v>
      </c>
      <c r="F1544" s="129">
        <f>IFERROR(__xludf.DUMMYFUNCTION("""COMPUTED_VALUE"""),43817.0)</f>
        <v>43817</v>
      </c>
      <c r="G1544" s="154"/>
      <c r="H1544" s="131">
        <f>IFERROR(__xludf.DUMMYFUNCTION("""COMPUTED_VALUE"""),628172.0)</f>
        <v>628172</v>
      </c>
      <c r="I1544" s="144"/>
      <c r="J1544" s="129">
        <f>IFERROR(__xludf.DUMMYFUNCTION("""COMPUTED_VALUE"""),43822.0)</f>
        <v>43822</v>
      </c>
      <c r="K1544" s="133">
        <f>IFERROR(__xludf.DUMMYFUNCTION("""COMPUTED_VALUE"""),48.0)</f>
        <v>48</v>
      </c>
      <c r="L1544" s="133">
        <f>IFERROR(__xludf.DUMMYFUNCTION("""COMPUTED_VALUE"""),5.0)</f>
        <v>5</v>
      </c>
      <c r="M1544" s="133">
        <f>IFERROR(__xludf.DUMMYFUNCTION("""COMPUTED_VALUE"""),53.0)</f>
        <v>53</v>
      </c>
      <c r="N1544" s="152" t="str">
        <f>IFERROR(__xludf.DUMMYFUNCTION("""COMPUTED_VALUE"""),"Model 3 LR AWD")</f>
        <v>Model 3 LR AWD</v>
      </c>
      <c r="O1544" s="152" t="str">
        <f>IFERROR(__xludf.DUMMYFUNCTION("""COMPUTED_VALUE"""),"Pearl White Multi-Coat")</f>
        <v>Pearl White Multi-Coat</v>
      </c>
      <c r="P1544" s="153" t="str">
        <f>IFERROR(__xludf.DUMMYFUNCTION("""COMPUTED_VALUE"""),"18 inch Aero")</f>
        <v>18 inch Aero</v>
      </c>
      <c r="Q1544" s="152" t="str">
        <f>IFERROR(__xludf.DUMMYFUNCTION("""COMPUTED_VALUE"""),"Black seats")</f>
        <v>Black seats</v>
      </c>
      <c r="R1544" s="149" t="str">
        <f>IFERROR(__xludf.DUMMYFUNCTION("""COMPUTED_VALUE"""),"Full Self-Driving")</f>
        <v>Full Self-Driving</v>
      </c>
      <c r="S1544" s="149"/>
      <c r="T1544" s="145"/>
      <c r="U1544" s="145"/>
      <c r="V1544" s="145"/>
      <c r="W1544" s="136"/>
      <c r="X1544" s="137"/>
      <c r="Y1544" s="138"/>
      <c r="Z1544" s="138"/>
      <c r="AA1544" s="138" t="str">
        <f>IFERROR(__xludf.DUMMYFUNCTION("""COMPUTED_VALUE"""),"Poor")</f>
        <v>Poor</v>
      </c>
      <c r="AB1544" s="138"/>
      <c r="AC1544" s="139"/>
      <c r="AD1544" s="139"/>
      <c r="AE1544" s="139"/>
      <c r="AF1544" s="140"/>
      <c r="AG1544" s="136"/>
      <c r="AH1544" s="157">
        <f>IFERROR(__xludf.DUMMYFUNCTION("""COMPUTED_VALUE"""),43818.5649044213)</f>
        <v>43818.5649</v>
      </c>
      <c r="AI1544" s="138"/>
      <c r="AJ1544" s="138"/>
      <c r="AK1544" s="138"/>
      <c r="AL1544" s="142"/>
    </row>
    <row r="1545" ht="20.25" customHeight="1">
      <c r="A1545" s="155" t="str">
        <f>IFERROR(__xludf.DUMMYFUNCTION("""COMPUTED_VALUE"""),"teslamike")</f>
        <v>teslamike</v>
      </c>
      <c r="B1545" s="149" t="str">
        <f>IFERROR(__xludf.DUMMYFUNCTION("""COMPUTED_VALUE"""),"Charlotte")</f>
        <v>Charlotte</v>
      </c>
      <c r="C1545" s="149" t="str">
        <f>IFERROR(__xludf.DUMMYFUNCTION("""COMPUTED_VALUE"""),"NC")</f>
        <v>NC</v>
      </c>
      <c r="D1545" s="149" t="str">
        <f>IFERROR(__xludf.DUMMYFUNCTION("""COMPUTED_VALUE"""),"USA")</f>
        <v>USA</v>
      </c>
      <c r="E1545" s="156">
        <f>IFERROR(__xludf.DUMMYFUNCTION("""COMPUTED_VALUE"""),43769.0)</f>
        <v>43769</v>
      </c>
      <c r="F1545" s="129">
        <f>IFERROR(__xludf.DUMMYFUNCTION("""COMPUTED_VALUE"""),43805.0)</f>
        <v>43805</v>
      </c>
      <c r="G1545" s="154"/>
      <c r="H1545" s="131">
        <f>IFERROR(__xludf.DUMMYFUNCTION("""COMPUTED_VALUE"""),607089.0)</f>
        <v>607089</v>
      </c>
      <c r="I1545" s="144" t="str">
        <f>IFERROR(__xludf.DUMMYFUNCTION("""COMPUTED_VALUE"""),"12/19")</f>
        <v>12/19</v>
      </c>
      <c r="J1545" s="129">
        <f>IFERROR(__xludf.DUMMYFUNCTION("""COMPUTED_VALUE"""),43828.0)</f>
        <v>43828</v>
      </c>
      <c r="K1545" s="133">
        <f>IFERROR(__xludf.DUMMYFUNCTION("""COMPUTED_VALUE"""),36.0)</f>
        <v>36</v>
      </c>
      <c r="L1545" s="133">
        <f>IFERROR(__xludf.DUMMYFUNCTION("""COMPUTED_VALUE"""),23.0)</f>
        <v>23</v>
      </c>
      <c r="M1545" s="133">
        <f>IFERROR(__xludf.DUMMYFUNCTION("""COMPUTED_VALUE"""),59.0)</f>
        <v>59</v>
      </c>
      <c r="N1545" s="152" t="str">
        <f>IFERROR(__xludf.DUMMYFUNCTION("""COMPUTED_VALUE"""),"Model 3 LR AWD")</f>
        <v>Model 3 LR AWD</v>
      </c>
      <c r="O1545" s="152" t="str">
        <f>IFERROR(__xludf.DUMMYFUNCTION("""COMPUTED_VALUE"""),"Pearl White Multi-Coat")</f>
        <v>Pearl White Multi-Coat</v>
      </c>
      <c r="P1545" s="153" t="str">
        <f>IFERROR(__xludf.DUMMYFUNCTION("""COMPUTED_VALUE"""),"18 inch Aero")</f>
        <v>18 inch Aero</v>
      </c>
      <c r="Q1545" s="152" t="str">
        <f>IFERROR(__xludf.DUMMYFUNCTION("""COMPUTED_VALUE"""),"White seats")</f>
        <v>White seats</v>
      </c>
      <c r="R1545" s="149" t="str">
        <f>IFERROR(__xludf.DUMMYFUNCTION("""COMPUTED_VALUE"""),"Autopilot")</f>
        <v>Autopilot</v>
      </c>
      <c r="S1545" s="149"/>
      <c r="T1545" s="145"/>
      <c r="U1545" s="145"/>
      <c r="V1545" s="145"/>
      <c r="W1545" s="136"/>
      <c r="X1545" s="137" t="str">
        <f>IFERROR(__xludf.DUMMYFUNCTION("""COMPUTED_VALUE"""),"Excellent")</f>
        <v>Excellent</v>
      </c>
      <c r="Y1545" s="138" t="str">
        <f>IFERROR(__xludf.DUMMYFUNCTION("""COMPUTED_VALUE"""),"Excellent")</f>
        <v>Excellent</v>
      </c>
      <c r="Z1545" s="138" t="str">
        <f>IFERROR(__xludf.DUMMYFUNCTION("""COMPUTED_VALUE"""),"Excellent")</f>
        <v>Excellent</v>
      </c>
      <c r="AA1545" s="138" t="str">
        <f>IFERROR(__xludf.DUMMYFUNCTION("""COMPUTED_VALUE"""),"Fair")</f>
        <v>Fair</v>
      </c>
      <c r="AB1545" s="138" t="str">
        <f>IFERROR(__xludf.DUMMYFUNCTION("""COMPUTED_VALUE"""),"Fair")</f>
        <v>Fair</v>
      </c>
      <c r="AC1545" s="139">
        <f>IFERROR(__xludf.DUMMYFUNCTION("""COMPUTED_VALUE"""),0.0)</f>
        <v>0</v>
      </c>
      <c r="AD1545" s="139">
        <f>IFERROR(__xludf.DUMMYFUNCTION("""COMPUTED_VALUE"""),1.0)</f>
        <v>1</v>
      </c>
      <c r="AE1545" s="139">
        <f>IFERROR(__xludf.DUMMYFUNCTION("""COMPUTED_VALUE"""),0.0)</f>
        <v>0</v>
      </c>
      <c r="AF1545" s="140"/>
      <c r="AG1545" s="136"/>
      <c r="AH1545" s="157">
        <f>IFERROR(__xludf.DUMMYFUNCTION("""COMPUTED_VALUE"""),43858.561216469905)</f>
        <v>43858.56122</v>
      </c>
      <c r="AI1545" s="138"/>
      <c r="AJ1545" s="138"/>
      <c r="AK1545" s="138"/>
      <c r="AL1545" s="142"/>
    </row>
    <row r="1546" ht="20.25" customHeight="1">
      <c r="A1546" s="155" t="str">
        <f>IFERROR(__xludf.DUMMYFUNCTION("""COMPUTED_VALUE"""),"TScats")</f>
        <v>TScats</v>
      </c>
      <c r="B1546" s="149" t="str">
        <f>IFERROR(__xludf.DUMMYFUNCTION("""COMPUTED_VALUE"""),"Los Gatos")</f>
        <v>Los Gatos</v>
      </c>
      <c r="C1546" s="149" t="str">
        <f>IFERROR(__xludf.DUMMYFUNCTION("""COMPUTED_VALUE"""),"CA")</f>
        <v>CA</v>
      </c>
      <c r="D1546" s="149" t="str">
        <f>IFERROR(__xludf.DUMMYFUNCTION("""COMPUTED_VALUE"""),"USA")</f>
        <v>USA</v>
      </c>
      <c r="E1546" s="156">
        <f>IFERROR(__xludf.DUMMYFUNCTION("""COMPUTED_VALUE"""),43769.0)</f>
        <v>43769</v>
      </c>
      <c r="F1546" s="129">
        <f>IFERROR(__xludf.DUMMYFUNCTION("""COMPUTED_VALUE"""),43799.0)</f>
        <v>43799</v>
      </c>
      <c r="G1546" s="154"/>
      <c r="H1546" s="131">
        <f>IFERROR(__xludf.DUMMYFUNCTION("""COMPUTED_VALUE"""),122155.0)</f>
        <v>122155</v>
      </c>
      <c r="I1546" s="144" t="str">
        <f>IFERROR(__xludf.DUMMYFUNCTION("""COMPUTED_VALUE"""),"11/18")</f>
        <v>11/18</v>
      </c>
      <c r="J1546" s="129">
        <f>IFERROR(__xludf.DUMMYFUNCTION("""COMPUTED_VALUE"""),43800.0)</f>
        <v>43800</v>
      </c>
      <c r="K1546" s="133">
        <f>IFERROR(__xludf.DUMMYFUNCTION("""COMPUTED_VALUE"""),30.0)</f>
        <v>30</v>
      </c>
      <c r="L1546" s="133">
        <f>IFERROR(__xludf.DUMMYFUNCTION("""COMPUTED_VALUE"""),1.0)</f>
        <v>1</v>
      </c>
      <c r="M1546" s="133">
        <f>IFERROR(__xludf.DUMMYFUNCTION("""COMPUTED_VALUE"""),31.0)</f>
        <v>31</v>
      </c>
      <c r="N1546" s="152" t="str">
        <f>IFERROR(__xludf.DUMMYFUNCTION("""COMPUTED_VALUE"""),"Model 3 LR AWD")</f>
        <v>Model 3 LR AWD</v>
      </c>
      <c r="O1546" s="152" t="str">
        <f>IFERROR(__xludf.DUMMYFUNCTION("""COMPUTED_VALUE"""),"Deep Blue Metallic")</f>
        <v>Deep Blue Metallic</v>
      </c>
      <c r="P1546" s="153" t="str">
        <f>IFERROR(__xludf.DUMMYFUNCTION("""COMPUTED_VALUE"""),"18 inch Aero")</f>
        <v>18 inch Aero</v>
      </c>
      <c r="Q1546" s="152" t="str">
        <f>IFERROR(__xludf.DUMMYFUNCTION("""COMPUTED_VALUE"""),"White seats")</f>
        <v>White seats</v>
      </c>
      <c r="R1546" s="149" t="str">
        <f>IFERROR(__xludf.DUMMYFUNCTION("""COMPUTED_VALUE"""),"Enhanced Autopilot")</f>
        <v>Enhanced Autopilot</v>
      </c>
      <c r="S1546" s="149"/>
      <c r="T1546" s="145"/>
      <c r="U1546" s="145"/>
      <c r="V1546" s="145"/>
      <c r="W1546" s="136"/>
      <c r="X1546" s="137" t="str">
        <f>IFERROR(__xludf.DUMMYFUNCTION("""COMPUTED_VALUE"""),"Excellent")</f>
        <v>Excellent</v>
      </c>
      <c r="Y1546" s="138" t="str">
        <f>IFERROR(__xludf.DUMMYFUNCTION("""COMPUTED_VALUE"""),"Excellent")</f>
        <v>Excellent</v>
      </c>
      <c r="Z1546" s="138" t="str">
        <f>IFERROR(__xludf.DUMMYFUNCTION("""COMPUTED_VALUE"""),"Excellent")</f>
        <v>Excellent</v>
      </c>
      <c r="AA1546" s="138" t="str">
        <f>IFERROR(__xludf.DUMMYFUNCTION("""COMPUTED_VALUE"""),"Poor")</f>
        <v>Poor</v>
      </c>
      <c r="AB1546" s="138" t="str">
        <f>IFERROR(__xludf.DUMMYFUNCTION("""COMPUTED_VALUE"""),"Excellent")</f>
        <v>Excellent</v>
      </c>
      <c r="AC1546" s="139">
        <f>IFERROR(__xludf.DUMMYFUNCTION("""COMPUTED_VALUE"""),0.0)</f>
        <v>0</v>
      </c>
      <c r="AD1546" s="139">
        <f>IFERROR(__xludf.DUMMYFUNCTION("""COMPUTED_VALUE"""),0.0)</f>
        <v>0</v>
      </c>
      <c r="AE1546" s="139">
        <f>IFERROR(__xludf.DUMMYFUNCTION("""COMPUTED_VALUE"""),0.0)</f>
        <v>0</v>
      </c>
      <c r="AF1546" s="140"/>
      <c r="AG1546" s="136"/>
      <c r="AH1546" s="157">
        <f>IFERROR(__xludf.DUMMYFUNCTION("""COMPUTED_VALUE"""),43473.38849547454)</f>
        <v>43473.3885</v>
      </c>
      <c r="AI1546" s="138"/>
      <c r="AJ1546" s="138"/>
      <c r="AK1546" s="138"/>
      <c r="AL1546" s="142"/>
    </row>
    <row r="1547" ht="20.25" customHeight="1">
      <c r="A1547" s="155" t="str">
        <f>IFERROR(__xludf.DUMMYFUNCTION("""COMPUTED_VALUE"""),"tttt")</f>
        <v>tttt</v>
      </c>
      <c r="B1547" s="149" t="str">
        <f>IFERROR(__xludf.DUMMYFUNCTION("""COMPUTED_VALUE"""),"Long Island")</f>
        <v>Long Island</v>
      </c>
      <c r="C1547" s="149" t="str">
        <f>IFERROR(__xludf.DUMMYFUNCTION("""COMPUTED_VALUE"""),"NY")</f>
        <v>NY</v>
      </c>
      <c r="D1547" s="149" t="str">
        <f>IFERROR(__xludf.DUMMYFUNCTION("""COMPUTED_VALUE"""),"USA")</f>
        <v>USA</v>
      </c>
      <c r="E1547" s="156">
        <f>IFERROR(__xludf.DUMMYFUNCTION("""COMPUTED_VALUE"""),43769.0)</f>
        <v>43769</v>
      </c>
      <c r="F1547" s="129">
        <f>IFERROR(__xludf.DUMMYFUNCTION("""COMPUTED_VALUE"""),43808.0)</f>
        <v>43808</v>
      </c>
      <c r="G1547" s="154"/>
      <c r="H1547" s="131">
        <f>IFERROR(__xludf.DUMMYFUNCTION("""COMPUTED_VALUE"""),623982.0)</f>
        <v>623982</v>
      </c>
      <c r="I1547" s="144"/>
      <c r="J1547" s="129">
        <f>IFERROR(__xludf.DUMMYFUNCTION("""COMPUTED_VALUE"""),43826.0)</f>
        <v>43826</v>
      </c>
      <c r="K1547" s="133">
        <f>IFERROR(__xludf.DUMMYFUNCTION("""COMPUTED_VALUE"""),39.0)</f>
        <v>39</v>
      </c>
      <c r="L1547" s="133">
        <f>IFERROR(__xludf.DUMMYFUNCTION("""COMPUTED_VALUE"""),18.0)</f>
        <v>18</v>
      </c>
      <c r="M1547" s="133">
        <f>IFERROR(__xludf.DUMMYFUNCTION("""COMPUTED_VALUE"""),57.0)</f>
        <v>57</v>
      </c>
      <c r="N1547" s="152" t="str">
        <f>IFERROR(__xludf.DUMMYFUNCTION("""COMPUTED_VALUE"""),"Model 3 Performance")</f>
        <v>Model 3 Performance</v>
      </c>
      <c r="O1547" s="152" t="str">
        <f>IFERROR(__xludf.DUMMYFUNCTION("""COMPUTED_VALUE"""),"Pearl White Multi-Coat")</f>
        <v>Pearl White Multi-Coat</v>
      </c>
      <c r="P1547" s="153" t="str">
        <f>IFERROR(__xludf.DUMMYFUNCTION("""COMPUTED_VALUE"""),"20 inch Sport")</f>
        <v>20 inch Sport</v>
      </c>
      <c r="Q1547" s="152" t="str">
        <f>IFERROR(__xludf.DUMMYFUNCTION("""COMPUTED_VALUE"""),"Black seats")</f>
        <v>Black seats</v>
      </c>
      <c r="R1547" s="149" t="str">
        <f>IFERROR(__xludf.DUMMYFUNCTION("""COMPUTED_VALUE"""),"Autopilot")</f>
        <v>Autopilot</v>
      </c>
      <c r="S1547" s="149"/>
      <c r="T1547" s="145"/>
      <c r="U1547" s="145"/>
      <c r="V1547" s="145"/>
      <c r="W1547" s="136"/>
      <c r="X1547" s="137" t="str">
        <f>IFERROR(__xludf.DUMMYFUNCTION("""COMPUTED_VALUE"""),"Good")</f>
        <v>Good</v>
      </c>
      <c r="Y1547" s="138" t="str">
        <f>IFERROR(__xludf.DUMMYFUNCTION("""COMPUTED_VALUE"""),"Good")</f>
        <v>Good</v>
      </c>
      <c r="Z1547" s="138" t="str">
        <f>IFERROR(__xludf.DUMMYFUNCTION("""COMPUTED_VALUE"""),"Good")</f>
        <v>Good</v>
      </c>
      <c r="AA1547" s="138" t="str">
        <f>IFERROR(__xludf.DUMMYFUNCTION("""COMPUTED_VALUE"""),"Fair")</f>
        <v>Fair</v>
      </c>
      <c r="AB1547" s="138" t="str">
        <f>IFERROR(__xludf.DUMMYFUNCTION("""COMPUTED_VALUE"""),"Very Good")</f>
        <v>Very Good</v>
      </c>
      <c r="AC1547" s="139"/>
      <c r="AD1547" s="139"/>
      <c r="AE1547" s="139"/>
      <c r="AF1547" s="140"/>
      <c r="AG1547" s="136"/>
      <c r="AH1547" s="157">
        <f>IFERROR(__xludf.DUMMYFUNCTION("""COMPUTED_VALUE"""),43826.46905049769)</f>
        <v>43826.46905</v>
      </c>
      <c r="AI1547" s="138"/>
      <c r="AJ1547" s="138"/>
      <c r="AK1547" s="138"/>
      <c r="AL1547" s="142"/>
    </row>
    <row r="1548" ht="20.25" customHeight="1">
      <c r="A1548" s="155" t="str">
        <f>IFERROR(__xludf.DUMMYFUNCTION("""COMPUTED_VALUE"""),"voxelman")</f>
        <v>voxelman</v>
      </c>
      <c r="B1548" s="149" t="str">
        <f>IFERROR(__xludf.DUMMYFUNCTION("""COMPUTED_VALUE"""),"Fairfield")</f>
        <v>Fairfield</v>
      </c>
      <c r="C1548" s="149" t="str">
        <f>IFERROR(__xludf.DUMMYFUNCTION("""COMPUTED_VALUE"""),"IA")</f>
        <v>IA</v>
      </c>
      <c r="D1548" s="149" t="str">
        <f>IFERROR(__xludf.DUMMYFUNCTION("""COMPUTED_VALUE"""),"USA")</f>
        <v>USA</v>
      </c>
      <c r="E1548" s="156">
        <f>IFERROR(__xludf.DUMMYFUNCTION("""COMPUTED_VALUE"""),43769.0)</f>
        <v>43769</v>
      </c>
      <c r="F1548" s="129">
        <f>IFERROR(__xludf.DUMMYFUNCTION("""COMPUTED_VALUE"""),43803.0)</f>
        <v>43803</v>
      </c>
      <c r="G1548" s="154"/>
      <c r="H1548" s="131">
        <f>IFERROR(__xludf.DUMMYFUNCTION("""COMPUTED_VALUE"""),513758.0)</f>
        <v>513758</v>
      </c>
      <c r="I1548" s="144" t="str">
        <f>IFERROR(__xludf.DUMMYFUNCTION("""COMPUTED_VALUE"""),"12/19")</f>
        <v>12/19</v>
      </c>
      <c r="J1548" s="129">
        <f>IFERROR(__xludf.DUMMYFUNCTION("""COMPUTED_VALUE"""),43817.0)</f>
        <v>43817</v>
      </c>
      <c r="K1548" s="133">
        <f>IFERROR(__xludf.DUMMYFUNCTION("""COMPUTED_VALUE"""),34.0)</f>
        <v>34</v>
      </c>
      <c r="L1548" s="133">
        <f>IFERROR(__xludf.DUMMYFUNCTION("""COMPUTED_VALUE"""),14.0)</f>
        <v>14</v>
      </c>
      <c r="M1548" s="133">
        <f>IFERROR(__xludf.DUMMYFUNCTION("""COMPUTED_VALUE"""),48.0)</f>
        <v>48</v>
      </c>
      <c r="N1548" s="152" t="str">
        <f>IFERROR(__xludf.DUMMYFUNCTION("""COMPUTED_VALUE"""),"Model 3 LR AWD")</f>
        <v>Model 3 LR AWD</v>
      </c>
      <c r="O1548" s="152" t="str">
        <f>IFERROR(__xludf.DUMMYFUNCTION("""COMPUTED_VALUE"""),"Pearl White Multi-Coat")</f>
        <v>Pearl White Multi-Coat</v>
      </c>
      <c r="P1548" s="153" t="str">
        <f>IFERROR(__xludf.DUMMYFUNCTION("""COMPUTED_VALUE"""),"19 inch Sport")</f>
        <v>19 inch Sport</v>
      </c>
      <c r="Q1548" s="152" t="str">
        <f>IFERROR(__xludf.DUMMYFUNCTION("""COMPUTED_VALUE"""),"White seats")</f>
        <v>White seats</v>
      </c>
      <c r="R1548" s="149" t="str">
        <f>IFERROR(__xludf.DUMMYFUNCTION("""COMPUTED_VALUE"""),"Full Self-Driving")</f>
        <v>Full Self-Driving</v>
      </c>
      <c r="S1548" s="149"/>
      <c r="T1548" s="145"/>
      <c r="U1548" s="145"/>
      <c r="V1548" s="145"/>
      <c r="W1548" s="136"/>
      <c r="X1548" s="137" t="str">
        <f>IFERROR(__xludf.DUMMYFUNCTION("""COMPUTED_VALUE"""),"Very Good")</f>
        <v>Very Good</v>
      </c>
      <c r="Y1548" s="138" t="str">
        <f>IFERROR(__xludf.DUMMYFUNCTION("""COMPUTED_VALUE"""),"Excellent")</f>
        <v>Excellent</v>
      </c>
      <c r="Z1548" s="138" t="str">
        <f>IFERROR(__xludf.DUMMYFUNCTION("""COMPUTED_VALUE"""),"Excellent")</f>
        <v>Excellent</v>
      </c>
      <c r="AA1548" s="138" t="str">
        <f>IFERROR(__xludf.DUMMYFUNCTION("""COMPUTED_VALUE"""),"Good")</f>
        <v>Good</v>
      </c>
      <c r="AB1548" s="138" t="str">
        <f>IFERROR(__xludf.DUMMYFUNCTION("""COMPUTED_VALUE"""),"Excellent")</f>
        <v>Excellent</v>
      </c>
      <c r="AC1548" s="139">
        <f>IFERROR(__xludf.DUMMYFUNCTION("""COMPUTED_VALUE"""),0.0)</f>
        <v>0</v>
      </c>
      <c r="AD1548" s="139">
        <f>IFERROR(__xludf.DUMMYFUNCTION("""COMPUTED_VALUE"""),0.0)</f>
        <v>0</v>
      </c>
      <c r="AE1548" s="139">
        <f>IFERROR(__xludf.DUMMYFUNCTION("""COMPUTED_VALUE"""),0.0)</f>
        <v>0</v>
      </c>
      <c r="AF1548" s="140"/>
      <c r="AG1548" s="136"/>
      <c r="AH1548" s="157">
        <f>IFERROR(__xludf.DUMMYFUNCTION("""COMPUTED_VALUE"""),43827.831033333336)</f>
        <v>43827.83103</v>
      </c>
      <c r="AI1548" s="138"/>
      <c r="AJ1548" s="138"/>
      <c r="AK1548" s="138"/>
      <c r="AL1548" s="142"/>
    </row>
    <row r="1549" ht="20.25" customHeight="1">
      <c r="A1549" s="155" t="str">
        <f>IFERROR(__xludf.DUMMYFUNCTION("""COMPUTED_VALUE"""),"zachabney")</f>
        <v>zachabney</v>
      </c>
      <c r="B1549" s="149" t="str">
        <f>IFERROR(__xludf.DUMMYFUNCTION("""COMPUTED_VALUE"""),"Richardson")</f>
        <v>Richardson</v>
      </c>
      <c r="C1549" s="149" t="str">
        <f>IFERROR(__xludf.DUMMYFUNCTION("""COMPUTED_VALUE"""),"TX")</f>
        <v>TX</v>
      </c>
      <c r="D1549" s="149" t="str">
        <f>IFERROR(__xludf.DUMMYFUNCTION("""COMPUTED_VALUE"""),"USA")</f>
        <v>USA</v>
      </c>
      <c r="E1549" s="156">
        <f>IFERROR(__xludf.DUMMYFUNCTION("""COMPUTED_VALUE"""),43769.0)</f>
        <v>43769</v>
      </c>
      <c r="F1549" s="129">
        <f>IFERROR(__xludf.DUMMYFUNCTION("""COMPUTED_VALUE"""),43805.0)</f>
        <v>43805</v>
      </c>
      <c r="G1549" s="154"/>
      <c r="H1549" s="131">
        <f>IFERROR(__xludf.DUMMYFUNCTION("""COMPUTED_VALUE"""),601172.0)</f>
        <v>601172</v>
      </c>
      <c r="I1549" s="144"/>
      <c r="J1549" s="129">
        <f>IFERROR(__xludf.DUMMYFUNCTION("""COMPUTED_VALUE"""),43821.0)</f>
        <v>43821</v>
      </c>
      <c r="K1549" s="133">
        <f>IFERROR(__xludf.DUMMYFUNCTION("""COMPUTED_VALUE"""),36.0)</f>
        <v>36</v>
      </c>
      <c r="L1549" s="133">
        <f>IFERROR(__xludf.DUMMYFUNCTION("""COMPUTED_VALUE"""),16.0)</f>
        <v>16</v>
      </c>
      <c r="M1549" s="133">
        <f>IFERROR(__xludf.DUMMYFUNCTION("""COMPUTED_VALUE"""),52.0)</f>
        <v>52</v>
      </c>
      <c r="N1549" s="152" t="str">
        <f>IFERROR(__xludf.DUMMYFUNCTION("""COMPUTED_VALUE"""),"Model 3 LR AWD")</f>
        <v>Model 3 LR AWD</v>
      </c>
      <c r="O1549" s="152" t="str">
        <f>IFERROR(__xludf.DUMMYFUNCTION("""COMPUTED_VALUE"""),"Deep Blue Metallic")</f>
        <v>Deep Blue Metallic</v>
      </c>
      <c r="P1549" s="153" t="str">
        <f>IFERROR(__xludf.DUMMYFUNCTION("""COMPUTED_VALUE"""),"19 inch Sport")</f>
        <v>19 inch Sport</v>
      </c>
      <c r="Q1549" s="152" t="str">
        <f>IFERROR(__xludf.DUMMYFUNCTION("""COMPUTED_VALUE"""),"White seats")</f>
        <v>White seats</v>
      </c>
      <c r="R1549" s="149" t="str">
        <f>IFERROR(__xludf.DUMMYFUNCTION("""COMPUTED_VALUE"""),"Full Self-Driving")</f>
        <v>Full Self-Driving</v>
      </c>
      <c r="S1549" s="149"/>
      <c r="T1549" s="145"/>
      <c r="U1549" s="145"/>
      <c r="V1549" s="145"/>
      <c r="W1549" s="136"/>
      <c r="X1549" s="137" t="str">
        <f>IFERROR(__xludf.DUMMYFUNCTION("""COMPUTED_VALUE"""),"Excellent")</f>
        <v>Excellent</v>
      </c>
      <c r="Y1549" s="138" t="str">
        <f>IFERROR(__xludf.DUMMYFUNCTION("""COMPUTED_VALUE"""),"Excellent")</f>
        <v>Excellent</v>
      </c>
      <c r="Z1549" s="138" t="str">
        <f>IFERROR(__xludf.DUMMYFUNCTION("""COMPUTED_VALUE"""),"Excellent")</f>
        <v>Excellent</v>
      </c>
      <c r="AA1549" s="138" t="str">
        <f>IFERROR(__xludf.DUMMYFUNCTION("""COMPUTED_VALUE"""),"Fair")</f>
        <v>Fair</v>
      </c>
      <c r="AB1549" s="138" t="str">
        <f>IFERROR(__xludf.DUMMYFUNCTION("""COMPUTED_VALUE"""),"Good")</f>
        <v>Good</v>
      </c>
      <c r="AC1549" s="139"/>
      <c r="AD1549" s="139"/>
      <c r="AE1549" s="139"/>
      <c r="AF1549" s="140"/>
      <c r="AG1549" s="136" t="str">
        <f>IFERROR(__xludf.DUMMYFUNCTION("""COMPUTED_VALUE"""),"vin in source code 12/6. ")</f>
        <v>vin in source code 12/6. </v>
      </c>
      <c r="AH1549" s="157">
        <f>IFERROR(__xludf.DUMMYFUNCTION("""COMPUTED_VALUE"""),43821.92075931713)</f>
        <v>43821.92076</v>
      </c>
      <c r="AI1549" s="138"/>
      <c r="AJ1549" s="138"/>
      <c r="AK1549" s="138"/>
      <c r="AL1549" s="142"/>
    </row>
    <row r="1550" ht="20.25" customHeight="1">
      <c r="A1550" s="155" t="str">
        <f>IFERROR(__xludf.DUMMYFUNCTION("""COMPUTED_VALUE"""),"candies")</f>
        <v>candies</v>
      </c>
      <c r="B1550" s="149" t="str">
        <f>IFERROR(__xludf.DUMMYFUNCTION("""COMPUTED_VALUE"""),"fremont")</f>
        <v>fremont</v>
      </c>
      <c r="C1550" s="149" t="str">
        <f>IFERROR(__xludf.DUMMYFUNCTION("""COMPUTED_VALUE"""),"CA")</f>
        <v>CA</v>
      </c>
      <c r="D1550" s="149" t="str">
        <f>IFERROR(__xludf.DUMMYFUNCTION("""COMPUTED_VALUE"""),"USA")</f>
        <v>USA</v>
      </c>
      <c r="E1550" s="156">
        <f>IFERROR(__xludf.DUMMYFUNCTION("""COMPUTED_VALUE"""),43768.0)</f>
        <v>43768</v>
      </c>
      <c r="F1550" s="129">
        <f>IFERROR(__xludf.DUMMYFUNCTION("""COMPUTED_VALUE"""),43826.0)</f>
        <v>43826</v>
      </c>
      <c r="G1550" s="154"/>
      <c r="H1550" s="131"/>
      <c r="I1550" s="144"/>
      <c r="J1550" s="129">
        <f>IFERROR(__xludf.DUMMYFUNCTION("""COMPUTED_VALUE"""),43830.0)</f>
        <v>43830</v>
      </c>
      <c r="K1550" s="133">
        <f>IFERROR(__xludf.DUMMYFUNCTION("""COMPUTED_VALUE"""),58.0)</f>
        <v>58</v>
      </c>
      <c r="L1550" s="133">
        <f>IFERROR(__xludf.DUMMYFUNCTION("""COMPUTED_VALUE"""),4.0)</f>
        <v>4</v>
      </c>
      <c r="M1550" s="133">
        <f>IFERROR(__xludf.DUMMYFUNCTION("""COMPUTED_VALUE"""),62.0)</f>
        <v>62</v>
      </c>
      <c r="N1550" s="152" t="str">
        <f>IFERROR(__xludf.DUMMYFUNCTION("""COMPUTED_VALUE"""),"Model 3 SR+")</f>
        <v>Model 3 SR+</v>
      </c>
      <c r="O1550" s="152" t="str">
        <f>IFERROR(__xludf.DUMMYFUNCTION("""COMPUTED_VALUE"""),"Pearl White Multi-Coat")</f>
        <v>Pearl White Multi-Coat</v>
      </c>
      <c r="P1550" s="153" t="str">
        <f>IFERROR(__xludf.DUMMYFUNCTION("""COMPUTED_VALUE"""),"18 inch Aero")</f>
        <v>18 inch Aero</v>
      </c>
      <c r="Q1550" s="152" t="str">
        <f>IFERROR(__xludf.DUMMYFUNCTION("""COMPUTED_VALUE"""),"Black seats")</f>
        <v>Black seats</v>
      </c>
      <c r="R1550" s="149" t="str">
        <f>IFERROR(__xludf.DUMMYFUNCTION("""COMPUTED_VALUE"""),"Autopilot")</f>
        <v>Autopilot</v>
      </c>
      <c r="S1550" s="149"/>
      <c r="T1550" s="145"/>
      <c r="U1550" s="145"/>
      <c r="V1550" s="145"/>
      <c r="W1550" s="136"/>
      <c r="X1550" s="137" t="str">
        <f>IFERROR(__xludf.DUMMYFUNCTION("""COMPUTED_VALUE"""),"Very Good")</f>
        <v>Very Good</v>
      </c>
      <c r="Y1550" s="138" t="str">
        <f>IFERROR(__xludf.DUMMYFUNCTION("""COMPUTED_VALUE"""),"Very Good")</f>
        <v>Very Good</v>
      </c>
      <c r="Z1550" s="138" t="str">
        <f>IFERROR(__xludf.DUMMYFUNCTION("""COMPUTED_VALUE"""),"Excellent")</f>
        <v>Excellent</v>
      </c>
      <c r="AA1550" s="138" t="str">
        <f>IFERROR(__xludf.DUMMYFUNCTION("""COMPUTED_VALUE"""),"Fair")</f>
        <v>Fair</v>
      </c>
      <c r="AB1550" s="138" t="str">
        <f>IFERROR(__xludf.DUMMYFUNCTION("""COMPUTED_VALUE"""),"Excellent")</f>
        <v>Excellent</v>
      </c>
      <c r="AC1550" s="139"/>
      <c r="AD1550" s="139"/>
      <c r="AE1550" s="139"/>
      <c r="AF1550" s="140"/>
      <c r="AG1550" s="136"/>
      <c r="AH1550" s="157">
        <f>IFERROR(__xludf.DUMMYFUNCTION("""COMPUTED_VALUE"""),43830.59931450232)</f>
        <v>43830.59931</v>
      </c>
      <c r="AI1550" s="138"/>
      <c r="AJ1550" s="138"/>
      <c r="AK1550" s="138"/>
      <c r="AL1550" s="142"/>
    </row>
    <row r="1551" ht="20.25" customHeight="1">
      <c r="A1551" s="155" t="str">
        <f>IFERROR(__xludf.DUMMYFUNCTION("""COMPUTED_VALUE"""),"kcoms")</f>
        <v>kcoms</v>
      </c>
      <c r="B1551" s="149" t="str">
        <f>IFERROR(__xludf.DUMMYFUNCTION("""COMPUTED_VALUE"""),"Fairfax")</f>
        <v>Fairfax</v>
      </c>
      <c r="C1551" s="149" t="str">
        <f>IFERROR(__xludf.DUMMYFUNCTION("""COMPUTED_VALUE"""),"VA")</f>
        <v>VA</v>
      </c>
      <c r="D1551" s="149" t="str">
        <f>IFERROR(__xludf.DUMMYFUNCTION("""COMPUTED_VALUE"""),"USA")</f>
        <v>USA</v>
      </c>
      <c r="E1551" s="156">
        <f>IFERROR(__xludf.DUMMYFUNCTION("""COMPUTED_VALUE"""),43768.0)</f>
        <v>43768</v>
      </c>
      <c r="F1551" s="129">
        <f>IFERROR(__xludf.DUMMYFUNCTION("""COMPUTED_VALUE"""),43807.0)</f>
        <v>43807</v>
      </c>
      <c r="G1551" s="154"/>
      <c r="H1551" s="131">
        <f>IFERROR(__xludf.DUMMYFUNCTION("""COMPUTED_VALUE"""),603166.0)</f>
        <v>603166</v>
      </c>
      <c r="I1551" s="144" t="str">
        <f>IFERROR(__xludf.DUMMYFUNCTION("""COMPUTED_VALUE"""),"12/19")</f>
        <v>12/19</v>
      </c>
      <c r="J1551" s="129">
        <f>IFERROR(__xludf.DUMMYFUNCTION("""COMPUTED_VALUE"""),43813.0)</f>
        <v>43813</v>
      </c>
      <c r="K1551" s="133">
        <f>IFERROR(__xludf.DUMMYFUNCTION("""COMPUTED_VALUE"""),39.0)</f>
        <v>39</v>
      </c>
      <c r="L1551" s="133">
        <f>IFERROR(__xludf.DUMMYFUNCTION("""COMPUTED_VALUE"""),6.0)</f>
        <v>6</v>
      </c>
      <c r="M1551" s="133">
        <f>IFERROR(__xludf.DUMMYFUNCTION("""COMPUTED_VALUE"""),45.0)</f>
        <v>45</v>
      </c>
      <c r="N1551" s="152" t="str">
        <f>IFERROR(__xludf.DUMMYFUNCTION("""COMPUTED_VALUE"""),"Model 3 Performance")</f>
        <v>Model 3 Performance</v>
      </c>
      <c r="O1551" s="152" t="str">
        <f>IFERROR(__xludf.DUMMYFUNCTION("""COMPUTED_VALUE"""),"Deep Blue Metallic")</f>
        <v>Deep Blue Metallic</v>
      </c>
      <c r="P1551" s="153" t="str">
        <f>IFERROR(__xludf.DUMMYFUNCTION("""COMPUTED_VALUE"""),"20 inch Sport")</f>
        <v>20 inch Sport</v>
      </c>
      <c r="Q1551" s="152" t="str">
        <f>IFERROR(__xludf.DUMMYFUNCTION("""COMPUTED_VALUE"""),"Black seats")</f>
        <v>Black seats</v>
      </c>
      <c r="R1551" s="149" t="str">
        <f>IFERROR(__xludf.DUMMYFUNCTION("""COMPUTED_VALUE"""),"Full Self-Driving")</f>
        <v>Full Self-Driving</v>
      </c>
      <c r="S1551" s="149"/>
      <c r="T1551" s="145"/>
      <c r="U1551" s="145"/>
      <c r="V1551" s="145"/>
      <c r="W1551" s="136"/>
      <c r="X1551" s="137" t="str">
        <f>IFERROR(__xludf.DUMMYFUNCTION("""COMPUTED_VALUE"""),"Good")</f>
        <v>Good</v>
      </c>
      <c r="Y1551" s="138" t="str">
        <f>IFERROR(__xludf.DUMMYFUNCTION("""COMPUTED_VALUE"""),"Excellent")</f>
        <v>Excellent</v>
      </c>
      <c r="Z1551" s="138" t="str">
        <f>IFERROR(__xludf.DUMMYFUNCTION("""COMPUTED_VALUE"""),"Very Good")</f>
        <v>Very Good</v>
      </c>
      <c r="AA1551" s="138" t="str">
        <f>IFERROR(__xludf.DUMMYFUNCTION("""COMPUTED_VALUE"""),"Poor")</f>
        <v>Poor</v>
      </c>
      <c r="AB1551" s="138" t="str">
        <f>IFERROR(__xludf.DUMMYFUNCTION("""COMPUTED_VALUE"""),"Good")</f>
        <v>Good</v>
      </c>
      <c r="AC1551" s="139">
        <f>IFERROR(__xludf.DUMMYFUNCTION("""COMPUTED_VALUE"""),3.0)</f>
        <v>3</v>
      </c>
      <c r="AD1551" s="139"/>
      <c r="AE1551" s="139"/>
      <c r="AF1551" s="140"/>
      <c r="AG1551" s="136"/>
      <c r="AH1551" s="157">
        <f>IFERROR(__xludf.DUMMYFUNCTION("""COMPUTED_VALUE"""),43815.767197141206)</f>
        <v>43815.7672</v>
      </c>
      <c r="AI1551" s="138"/>
      <c r="AJ1551" s="138"/>
      <c r="AK1551" s="138"/>
      <c r="AL1551" s="142"/>
    </row>
    <row r="1552" ht="20.25" customHeight="1">
      <c r="A1552" s="155" t="str">
        <f>IFERROR(__xludf.DUMMYFUNCTION("""COMPUTED_VALUE"""),"linuxguyInMD")</f>
        <v>linuxguyInMD</v>
      </c>
      <c r="B1552" s="149" t="str">
        <f>IFERROR(__xludf.DUMMYFUNCTION("""COMPUTED_VALUE"""),"Ellicott City")</f>
        <v>Ellicott City</v>
      </c>
      <c r="C1552" s="149" t="str">
        <f>IFERROR(__xludf.DUMMYFUNCTION("""COMPUTED_VALUE"""),"MD")</f>
        <v>MD</v>
      </c>
      <c r="D1552" s="149" t="str">
        <f>IFERROR(__xludf.DUMMYFUNCTION("""COMPUTED_VALUE"""),"USA")</f>
        <v>USA</v>
      </c>
      <c r="E1552" s="156">
        <f>IFERROR(__xludf.DUMMYFUNCTION("""COMPUTED_VALUE"""),43768.0)</f>
        <v>43768</v>
      </c>
      <c r="F1552" s="129">
        <f>IFERROR(__xludf.DUMMYFUNCTION("""COMPUTED_VALUE"""),43800.0)</f>
        <v>43800</v>
      </c>
      <c r="G1552" s="154"/>
      <c r="H1552" s="131">
        <f>IFERROR(__xludf.DUMMYFUNCTION("""COMPUTED_VALUE"""),617206.0)</f>
        <v>617206</v>
      </c>
      <c r="I1552" s="144" t="str">
        <f>IFERROR(__xludf.DUMMYFUNCTION("""COMPUTED_VALUE"""),"11/19")</f>
        <v>11/19</v>
      </c>
      <c r="J1552" s="129">
        <f>IFERROR(__xludf.DUMMYFUNCTION("""COMPUTED_VALUE"""),43808.0)</f>
        <v>43808</v>
      </c>
      <c r="K1552" s="133">
        <f>IFERROR(__xludf.DUMMYFUNCTION("""COMPUTED_VALUE"""),32.0)</f>
        <v>32</v>
      </c>
      <c r="L1552" s="133">
        <f>IFERROR(__xludf.DUMMYFUNCTION("""COMPUTED_VALUE"""),8.0)</f>
        <v>8</v>
      </c>
      <c r="M1552" s="133">
        <f>IFERROR(__xludf.DUMMYFUNCTION("""COMPUTED_VALUE"""),40.0)</f>
        <v>40</v>
      </c>
      <c r="N1552" s="152" t="str">
        <f>IFERROR(__xludf.DUMMYFUNCTION("""COMPUTED_VALUE"""),"Model 3 LR AWD")</f>
        <v>Model 3 LR AWD</v>
      </c>
      <c r="O1552" s="152" t="str">
        <f>IFERROR(__xludf.DUMMYFUNCTION("""COMPUTED_VALUE"""),"Deep Blue Metallic")</f>
        <v>Deep Blue Metallic</v>
      </c>
      <c r="P1552" s="153" t="str">
        <f>IFERROR(__xludf.DUMMYFUNCTION("""COMPUTED_VALUE"""),"18 inch Aero")</f>
        <v>18 inch Aero</v>
      </c>
      <c r="Q1552" s="152" t="str">
        <f>IFERROR(__xludf.DUMMYFUNCTION("""COMPUTED_VALUE"""),"Black seats")</f>
        <v>Black seats</v>
      </c>
      <c r="R1552" s="149" t="str">
        <f>IFERROR(__xludf.DUMMYFUNCTION("""COMPUTED_VALUE"""),"Autopilot")</f>
        <v>Autopilot</v>
      </c>
      <c r="S1552" s="149"/>
      <c r="T1552" s="145"/>
      <c r="U1552" s="145"/>
      <c r="V1552" s="145"/>
      <c r="W1552" s="136"/>
      <c r="X1552" s="137" t="str">
        <f>IFERROR(__xludf.DUMMYFUNCTION("""COMPUTED_VALUE"""),"Very Good")</f>
        <v>Very Good</v>
      </c>
      <c r="Y1552" s="138" t="str">
        <f>IFERROR(__xludf.DUMMYFUNCTION("""COMPUTED_VALUE"""),"Very Good")</f>
        <v>Very Good</v>
      </c>
      <c r="Z1552" s="138" t="str">
        <f>IFERROR(__xludf.DUMMYFUNCTION("""COMPUTED_VALUE"""),"Fair")</f>
        <v>Fair</v>
      </c>
      <c r="AA1552" s="138" t="str">
        <f>IFERROR(__xludf.DUMMYFUNCTION("""COMPUTED_VALUE"""),"Excellent")</f>
        <v>Excellent</v>
      </c>
      <c r="AB1552" s="138" t="str">
        <f>IFERROR(__xludf.DUMMYFUNCTION("""COMPUTED_VALUE"""),"Good")</f>
        <v>Good</v>
      </c>
      <c r="AC1552" s="139">
        <f>IFERROR(__xludf.DUMMYFUNCTION("""COMPUTED_VALUE"""),1.0)</f>
        <v>1</v>
      </c>
      <c r="AD1552" s="139">
        <f>IFERROR(__xludf.DUMMYFUNCTION("""COMPUTED_VALUE"""),1.0)</f>
        <v>1</v>
      </c>
      <c r="AE1552" s="139">
        <f>IFERROR(__xludf.DUMMYFUNCTION("""COMPUTED_VALUE"""),0.0)</f>
        <v>0</v>
      </c>
      <c r="AF1552" s="140"/>
      <c r="AG1552" s="136"/>
      <c r="AH1552" s="157">
        <f>IFERROR(__xludf.DUMMYFUNCTION("""COMPUTED_VALUE"""),43877.40258375)</f>
        <v>43877.40258</v>
      </c>
      <c r="AI1552" s="138"/>
      <c r="AJ1552" s="138"/>
      <c r="AK1552" s="138"/>
      <c r="AL1552" s="142"/>
    </row>
    <row r="1553" ht="20.25" customHeight="1">
      <c r="A1553" s="155" t="str">
        <f>IFERROR(__xludf.DUMMYFUNCTION("""COMPUTED_VALUE"""),"nofo0l")</f>
        <v>nofo0l</v>
      </c>
      <c r="B1553" s="149" t="str">
        <f>IFERROR(__xludf.DUMMYFUNCTION("""COMPUTED_VALUE"""),"Nashville")</f>
        <v>Nashville</v>
      </c>
      <c r="C1553" s="149" t="str">
        <f>IFERROR(__xludf.DUMMYFUNCTION("""COMPUTED_VALUE"""),"TN")</f>
        <v>TN</v>
      </c>
      <c r="D1553" s="149" t="str">
        <f>IFERROR(__xludf.DUMMYFUNCTION("""COMPUTED_VALUE"""),"USA")</f>
        <v>USA</v>
      </c>
      <c r="E1553" s="156">
        <f>IFERROR(__xludf.DUMMYFUNCTION("""COMPUTED_VALUE"""),43768.0)</f>
        <v>43768</v>
      </c>
      <c r="F1553" s="129">
        <f>IFERROR(__xludf.DUMMYFUNCTION("""COMPUTED_VALUE"""),43797.0)</f>
        <v>43797</v>
      </c>
      <c r="G1553" s="154"/>
      <c r="H1553" s="131">
        <f>IFERROR(__xludf.DUMMYFUNCTION("""COMPUTED_VALUE"""),598755.0)</f>
        <v>598755</v>
      </c>
      <c r="I1553" s="144" t="str">
        <f>IFERROR(__xludf.DUMMYFUNCTION("""COMPUTED_VALUE"""),"11/19")</f>
        <v>11/19</v>
      </c>
      <c r="J1553" s="129">
        <f>IFERROR(__xludf.DUMMYFUNCTION("""COMPUTED_VALUE"""),43805.0)</f>
        <v>43805</v>
      </c>
      <c r="K1553" s="133">
        <f>IFERROR(__xludf.DUMMYFUNCTION("""COMPUTED_VALUE"""),29.0)</f>
        <v>29</v>
      </c>
      <c r="L1553" s="133">
        <f>IFERROR(__xludf.DUMMYFUNCTION("""COMPUTED_VALUE"""),8.0)</f>
        <v>8</v>
      </c>
      <c r="M1553" s="133">
        <f>IFERROR(__xludf.DUMMYFUNCTION("""COMPUTED_VALUE"""),37.0)</f>
        <v>37</v>
      </c>
      <c r="N1553" s="152" t="str">
        <f>IFERROR(__xludf.DUMMYFUNCTION("""COMPUTED_VALUE"""),"Model 3 SR+")</f>
        <v>Model 3 SR+</v>
      </c>
      <c r="O1553" s="152" t="str">
        <f>IFERROR(__xludf.DUMMYFUNCTION("""COMPUTED_VALUE"""),"Pearl White Multi-Coat")</f>
        <v>Pearl White Multi-Coat</v>
      </c>
      <c r="P1553" s="153" t="str">
        <f>IFERROR(__xludf.DUMMYFUNCTION("""COMPUTED_VALUE"""),"19 inch Sport")</f>
        <v>19 inch Sport</v>
      </c>
      <c r="Q1553" s="152" t="str">
        <f>IFERROR(__xludf.DUMMYFUNCTION("""COMPUTED_VALUE"""),"Black seats")</f>
        <v>Black seats</v>
      </c>
      <c r="R1553" s="149" t="str">
        <f>IFERROR(__xludf.DUMMYFUNCTION("""COMPUTED_VALUE"""),"Autopilot")</f>
        <v>Autopilot</v>
      </c>
      <c r="S1553" s="149"/>
      <c r="T1553" s="145"/>
      <c r="U1553" s="145"/>
      <c r="V1553" s="145"/>
      <c r="W1553" s="136"/>
      <c r="X1553" s="137" t="str">
        <f>IFERROR(__xludf.DUMMYFUNCTION("""COMPUTED_VALUE"""),"Poor")</f>
        <v>Poor</v>
      </c>
      <c r="Y1553" s="138" t="str">
        <f>IFERROR(__xludf.DUMMYFUNCTION("""COMPUTED_VALUE"""),"Excellent")</f>
        <v>Excellent</v>
      </c>
      <c r="Z1553" s="138" t="str">
        <f>IFERROR(__xludf.DUMMYFUNCTION("""COMPUTED_VALUE"""),"Excellent")</f>
        <v>Excellent</v>
      </c>
      <c r="AA1553" s="138" t="str">
        <f>IFERROR(__xludf.DUMMYFUNCTION("""COMPUTED_VALUE"""),"Very Good")</f>
        <v>Very Good</v>
      </c>
      <c r="AB1553" s="138" t="str">
        <f>IFERROR(__xludf.DUMMYFUNCTION("""COMPUTED_VALUE"""),"Excellent")</f>
        <v>Excellent</v>
      </c>
      <c r="AC1553" s="139">
        <f>IFERROR(__xludf.DUMMYFUNCTION("""COMPUTED_VALUE"""),2.0)</f>
        <v>2</v>
      </c>
      <c r="AD1553" s="139"/>
      <c r="AE1553" s="139"/>
      <c r="AF1553" s="140"/>
      <c r="AG1553" s="136" t="str">
        <f>IFERROR(__xludf.DUMMYFUNCTION("""COMPUTED_VALUE"""),"Had some panel gaps around the rear rubber lining on the rear doors")</f>
        <v>Had some panel gaps around the rear rubber lining on the rear doors</v>
      </c>
      <c r="AH1553" s="157">
        <f>IFERROR(__xludf.DUMMYFUNCTION("""COMPUTED_VALUE"""),43805.352471909726)</f>
        <v>43805.35247</v>
      </c>
      <c r="AI1553" s="138"/>
      <c r="AJ1553" s="138"/>
      <c r="AK1553" s="138"/>
      <c r="AL1553" s="142"/>
    </row>
    <row r="1554" ht="20.25" customHeight="1">
      <c r="A1554" s="155" t="str">
        <f>IFERROR(__xludf.DUMMYFUNCTION("""COMPUTED_VALUE"""),"forcedmodel3srp")</f>
        <v>forcedmodel3srp</v>
      </c>
      <c r="B1554" s="149" t="str">
        <f>IFERROR(__xludf.DUMMYFUNCTION("""COMPUTED_VALUE"""),"Burbank")</f>
        <v>Burbank</v>
      </c>
      <c r="C1554" s="149" t="str">
        <f>IFERROR(__xludf.DUMMYFUNCTION("""COMPUTED_VALUE"""),"CA")</f>
        <v>CA</v>
      </c>
      <c r="D1554" s="149" t="str">
        <f>IFERROR(__xludf.DUMMYFUNCTION("""COMPUTED_VALUE"""),"USA")</f>
        <v>USA</v>
      </c>
      <c r="E1554" s="156">
        <f>IFERROR(__xludf.DUMMYFUNCTION("""COMPUTED_VALUE"""),43767.0)</f>
        <v>43767</v>
      </c>
      <c r="F1554" s="129">
        <f>IFERROR(__xludf.DUMMYFUNCTION("""COMPUTED_VALUE"""),43767.0)</f>
        <v>43767</v>
      </c>
      <c r="G1554" s="154"/>
      <c r="H1554" s="131">
        <f>IFERROR(__xludf.DUMMYFUNCTION("""COMPUTED_VALUE"""),543055.0)</f>
        <v>543055</v>
      </c>
      <c r="I1554" s="144"/>
      <c r="J1554" s="129">
        <f>IFERROR(__xludf.DUMMYFUNCTION("""COMPUTED_VALUE"""),43778.0)</f>
        <v>43778</v>
      </c>
      <c r="K1554" s="133">
        <f>IFERROR(__xludf.DUMMYFUNCTION("""COMPUTED_VALUE"""),0.0)</f>
        <v>0</v>
      </c>
      <c r="L1554" s="133">
        <f>IFERROR(__xludf.DUMMYFUNCTION("""COMPUTED_VALUE"""),11.0)</f>
        <v>11</v>
      </c>
      <c r="M1554" s="133">
        <f>IFERROR(__xludf.DUMMYFUNCTION("""COMPUTED_VALUE"""),11.0)</f>
        <v>11</v>
      </c>
      <c r="N1554" s="152" t="str">
        <f>IFERROR(__xludf.DUMMYFUNCTION("""COMPUTED_VALUE"""),"Model 3 SR+")</f>
        <v>Model 3 SR+</v>
      </c>
      <c r="O1554" s="152" t="str">
        <f>IFERROR(__xludf.DUMMYFUNCTION("""COMPUTED_VALUE"""),"Red Multi-Coat")</f>
        <v>Red Multi-Coat</v>
      </c>
      <c r="P1554" s="153" t="str">
        <f>IFERROR(__xludf.DUMMYFUNCTION("""COMPUTED_VALUE"""),"19 inch Sport")</f>
        <v>19 inch Sport</v>
      </c>
      <c r="Q1554" s="152" t="str">
        <f>IFERROR(__xludf.DUMMYFUNCTION("""COMPUTED_VALUE"""),"White seats")</f>
        <v>White seats</v>
      </c>
      <c r="R1554" s="149" t="str">
        <f>IFERROR(__xludf.DUMMYFUNCTION("""COMPUTED_VALUE"""),"Autopilot")</f>
        <v>Autopilot</v>
      </c>
      <c r="S1554" s="149"/>
      <c r="T1554" s="145"/>
      <c r="U1554" s="145"/>
      <c r="V1554" s="145"/>
      <c r="W1554" s="136"/>
      <c r="X1554" s="137" t="str">
        <f>IFERROR(__xludf.DUMMYFUNCTION("""COMPUTED_VALUE"""),"Very Good")</f>
        <v>Very Good</v>
      </c>
      <c r="Y1554" s="138" t="str">
        <f>IFERROR(__xludf.DUMMYFUNCTION("""COMPUTED_VALUE"""),"Very Good")</f>
        <v>Very Good</v>
      </c>
      <c r="Z1554" s="138" t="str">
        <f>IFERROR(__xludf.DUMMYFUNCTION("""COMPUTED_VALUE"""),"Good")</f>
        <v>Good</v>
      </c>
      <c r="AA1554" s="138" t="str">
        <f>IFERROR(__xludf.DUMMYFUNCTION("""COMPUTED_VALUE"""),"Very Good")</f>
        <v>Very Good</v>
      </c>
      <c r="AB1554" s="138" t="str">
        <f>IFERROR(__xludf.DUMMYFUNCTION("""COMPUTED_VALUE"""),"Excellent")</f>
        <v>Excellent</v>
      </c>
      <c r="AC1554" s="139">
        <f>IFERROR(__xludf.DUMMYFUNCTION("""COMPUTED_VALUE"""),2.0)</f>
        <v>2</v>
      </c>
      <c r="AD1554" s="139"/>
      <c r="AE1554" s="139"/>
      <c r="AF1554" s="140"/>
      <c r="AG1554" s="136" t="str">
        <f>IFERROR(__xludf.DUMMYFUNCTION("""COMPUTED_VALUE"""),"Inventory showed up in San Francisco on 10/29")</f>
        <v>Inventory showed up in San Francisco on 10/29</v>
      </c>
      <c r="AH1554" s="157">
        <f>IFERROR(__xludf.DUMMYFUNCTION("""COMPUTED_VALUE"""),43781.57329112269)</f>
        <v>43781.57329</v>
      </c>
      <c r="AI1554" s="138"/>
      <c r="AJ1554" s="138"/>
      <c r="AK1554" s="138"/>
      <c r="AL1554" s="142"/>
    </row>
    <row r="1555" ht="20.25" customHeight="1">
      <c r="A1555" s="155" t="str">
        <f>IFERROR(__xludf.DUMMYFUNCTION("""COMPUTED_VALUE"""),"ls1t56")</f>
        <v>ls1t56</v>
      </c>
      <c r="B1555" s="149" t="str">
        <f>IFERROR(__xludf.DUMMYFUNCTION("""COMPUTED_VALUE"""),"Princeton")</f>
        <v>Princeton</v>
      </c>
      <c r="C1555" s="149" t="str">
        <f>IFERROR(__xludf.DUMMYFUNCTION("""COMPUTED_VALUE"""),"NJ")</f>
        <v>NJ</v>
      </c>
      <c r="D1555" s="149" t="str">
        <f>IFERROR(__xludf.DUMMYFUNCTION("""COMPUTED_VALUE"""),"USA")</f>
        <v>USA</v>
      </c>
      <c r="E1555" s="156">
        <f>IFERROR(__xludf.DUMMYFUNCTION("""COMPUTED_VALUE"""),43767.0)</f>
        <v>43767</v>
      </c>
      <c r="F1555" s="129">
        <f>IFERROR(__xludf.DUMMYFUNCTION("""COMPUTED_VALUE"""),43791.0)</f>
        <v>43791</v>
      </c>
      <c r="G1555" s="154"/>
      <c r="H1555" s="131">
        <f>IFERROR(__xludf.DUMMYFUNCTION("""COMPUTED_VALUE"""),586931.0)</f>
        <v>586931</v>
      </c>
      <c r="I1555" s="144" t="str">
        <f>IFERROR(__xludf.DUMMYFUNCTION("""COMPUTED_VALUE"""),"10/19")</f>
        <v>10/19</v>
      </c>
      <c r="J1555" s="129">
        <f>IFERROR(__xludf.DUMMYFUNCTION("""COMPUTED_VALUE"""),43792.0)</f>
        <v>43792</v>
      </c>
      <c r="K1555" s="133">
        <f>IFERROR(__xludf.DUMMYFUNCTION("""COMPUTED_VALUE"""),24.0)</f>
        <v>24</v>
      </c>
      <c r="L1555" s="133">
        <f>IFERROR(__xludf.DUMMYFUNCTION("""COMPUTED_VALUE"""),1.0)</f>
        <v>1</v>
      </c>
      <c r="M1555" s="133">
        <f>IFERROR(__xludf.DUMMYFUNCTION("""COMPUTED_VALUE"""),25.0)</f>
        <v>25</v>
      </c>
      <c r="N1555" s="152" t="str">
        <f>IFERROR(__xludf.DUMMYFUNCTION("""COMPUTED_VALUE"""),"Model 3 LR AWD")</f>
        <v>Model 3 LR AWD</v>
      </c>
      <c r="O1555" s="152" t="str">
        <f>IFERROR(__xludf.DUMMYFUNCTION("""COMPUTED_VALUE"""),"Pearl White Multi-Coat")</f>
        <v>Pearl White Multi-Coat</v>
      </c>
      <c r="P1555" s="153" t="str">
        <f>IFERROR(__xludf.DUMMYFUNCTION("""COMPUTED_VALUE"""),"19 inch Sport")</f>
        <v>19 inch Sport</v>
      </c>
      <c r="Q1555" s="152" t="str">
        <f>IFERROR(__xludf.DUMMYFUNCTION("""COMPUTED_VALUE"""),"Black seats")</f>
        <v>Black seats</v>
      </c>
      <c r="R1555" s="149" t="str">
        <f>IFERROR(__xludf.DUMMYFUNCTION("""COMPUTED_VALUE"""),"Full Self-Driving")</f>
        <v>Full Self-Driving</v>
      </c>
      <c r="S1555" s="149"/>
      <c r="T1555" s="145"/>
      <c r="U1555" s="145"/>
      <c r="V1555" s="145"/>
      <c r="W1555" s="136"/>
      <c r="X1555" s="137"/>
      <c r="Y1555" s="138"/>
      <c r="Z1555" s="138"/>
      <c r="AA1555" s="138" t="str">
        <f>IFERROR(__xludf.DUMMYFUNCTION("""COMPUTED_VALUE"""),"Excellent")</f>
        <v>Excellent</v>
      </c>
      <c r="AB1555" s="138" t="str">
        <f>IFERROR(__xludf.DUMMYFUNCTION("""COMPUTED_VALUE"""),"Excellent")</f>
        <v>Excellent</v>
      </c>
      <c r="AC1555" s="139"/>
      <c r="AD1555" s="139"/>
      <c r="AE1555" s="139"/>
      <c r="AF1555" s="140"/>
      <c r="AG1555" s="136" t="str">
        <f>IFERROR(__xludf.DUMMYFUNCTION("""COMPUTED_VALUE"""),"Changed to Stealth Perf. bc SA found one in stock")</f>
        <v>Changed to Stealth Perf. bc SA found one in stock</v>
      </c>
      <c r="AH1555" s="157">
        <f>IFERROR(__xludf.DUMMYFUNCTION("""COMPUTED_VALUE"""),43794.199804421296)</f>
        <v>43794.1998</v>
      </c>
      <c r="AI1555" s="138"/>
      <c r="AJ1555" s="138"/>
      <c r="AK1555" s="138"/>
      <c r="AL1555" s="142"/>
    </row>
    <row r="1556" ht="20.25" customHeight="1">
      <c r="A1556" s="155" t="str">
        <f>IFERROR(__xludf.DUMMYFUNCTION("""COMPUTED_VALUE"""),"rose0529")</f>
        <v>rose0529</v>
      </c>
      <c r="B1556" s="149" t="str">
        <f>IFERROR(__xludf.DUMMYFUNCTION("""COMPUTED_VALUE"""),"Minneapolis")</f>
        <v>Minneapolis</v>
      </c>
      <c r="C1556" s="149" t="str">
        <f>IFERROR(__xludf.DUMMYFUNCTION("""COMPUTED_VALUE"""),"MN")</f>
        <v>MN</v>
      </c>
      <c r="D1556" s="149" t="str">
        <f>IFERROR(__xludf.DUMMYFUNCTION("""COMPUTED_VALUE"""),"USA")</f>
        <v>USA</v>
      </c>
      <c r="E1556" s="156">
        <f>IFERROR(__xludf.DUMMYFUNCTION("""COMPUTED_VALUE"""),43767.0)</f>
        <v>43767</v>
      </c>
      <c r="F1556" s="129">
        <f>IFERROR(__xludf.DUMMYFUNCTION("""COMPUTED_VALUE"""),43789.0)</f>
        <v>43789</v>
      </c>
      <c r="G1556" s="154"/>
      <c r="H1556" s="131">
        <f>IFERROR(__xludf.DUMMYFUNCTION("""COMPUTED_VALUE"""),601295.0)</f>
        <v>601295</v>
      </c>
      <c r="I1556" s="144" t="str">
        <f>IFERROR(__xludf.DUMMYFUNCTION("""COMPUTED_VALUE"""),"11/19")</f>
        <v>11/19</v>
      </c>
      <c r="J1556" s="129">
        <f>IFERROR(__xludf.DUMMYFUNCTION("""COMPUTED_VALUE"""),43811.0)</f>
        <v>43811</v>
      </c>
      <c r="K1556" s="133">
        <f>IFERROR(__xludf.DUMMYFUNCTION("""COMPUTED_VALUE"""),22.0)</f>
        <v>22</v>
      </c>
      <c r="L1556" s="133">
        <f>IFERROR(__xludf.DUMMYFUNCTION("""COMPUTED_VALUE"""),22.0)</f>
        <v>22</v>
      </c>
      <c r="M1556" s="133">
        <f>IFERROR(__xludf.DUMMYFUNCTION("""COMPUTED_VALUE"""),44.0)</f>
        <v>44</v>
      </c>
      <c r="N1556" s="152" t="str">
        <f>IFERROR(__xludf.DUMMYFUNCTION("""COMPUTED_VALUE"""),"Model 3 Performance")</f>
        <v>Model 3 Performance</v>
      </c>
      <c r="O1556" s="152" t="str">
        <f>IFERROR(__xludf.DUMMYFUNCTION("""COMPUTED_VALUE"""),"Solid Black")</f>
        <v>Solid Black</v>
      </c>
      <c r="P1556" s="153" t="str">
        <f>IFERROR(__xludf.DUMMYFUNCTION("""COMPUTED_VALUE"""),"18 inch Aero")</f>
        <v>18 inch Aero</v>
      </c>
      <c r="Q1556" s="152" t="str">
        <f>IFERROR(__xludf.DUMMYFUNCTION("""COMPUTED_VALUE"""),"Black seats")</f>
        <v>Black seats</v>
      </c>
      <c r="R1556" s="149" t="str">
        <f>IFERROR(__xludf.DUMMYFUNCTION("""COMPUTED_VALUE"""),"Autopilot")</f>
        <v>Autopilot</v>
      </c>
      <c r="S1556" s="149"/>
      <c r="T1556" s="145"/>
      <c r="U1556" s="145"/>
      <c r="V1556" s="145"/>
      <c r="W1556" s="136"/>
      <c r="X1556" s="137" t="str">
        <f>IFERROR(__xludf.DUMMYFUNCTION("""COMPUTED_VALUE"""),"Excellent")</f>
        <v>Excellent</v>
      </c>
      <c r="Y1556" s="138" t="str">
        <f>IFERROR(__xludf.DUMMYFUNCTION("""COMPUTED_VALUE"""),"Excellent")</f>
        <v>Excellent</v>
      </c>
      <c r="Z1556" s="138" t="str">
        <f>IFERROR(__xludf.DUMMYFUNCTION("""COMPUTED_VALUE"""),"Excellent")</f>
        <v>Excellent</v>
      </c>
      <c r="AA1556" s="138" t="str">
        <f>IFERROR(__xludf.DUMMYFUNCTION("""COMPUTED_VALUE"""),"Excellent")</f>
        <v>Excellent</v>
      </c>
      <c r="AB1556" s="138" t="str">
        <f>IFERROR(__xludf.DUMMYFUNCTION("""COMPUTED_VALUE"""),"Excellent")</f>
        <v>Excellent</v>
      </c>
      <c r="AC1556" s="139">
        <f>IFERROR(__xludf.DUMMYFUNCTION("""COMPUTED_VALUE"""),0.0)</f>
        <v>0</v>
      </c>
      <c r="AD1556" s="139">
        <f>IFERROR(__xludf.DUMMYFUNCTION("""COMPUTED_VALUE"""),0.0)</f>
        <v>0</v>
      </c>
      <c r="AE1556" s="139">
        <f>IFERROR(__xludf.DUMMYFUNCTION("""COMPUTED_VALUE"""),0.0)</f>
        <v>0</v>
      </c>
      <c r="AF1556" s="140"/>
      <c r="AG1556" s="136" t="str">
        <f>IFERROR(__xludf.DUMMYFUNCTION("""COMPUTED_VALUE"""),"Stealth Performance")</f>
        <v>Stealth Performance</v>
      </c>
      <c r="AH1556" s="157">
        <f>IFERROR(__xludf.DUMMYFUNCTION("""COMPUTED_VALUE"""),43830.22473846065)</f>
        <v>43830.22474</v>
      </c>
      <c r="AI1556" s="138"/>
      <c r="AJ1556" s="138"/>
      <c r="AK1556" s="138"/>
      <c r="AL1556" s="142"/>
    </row>
    <row r="1557" ht="20.25" customHeight="1">
      <c r="A1557" s="155" t="str">
        <f>IFERROR(__xludf.DUMMYFUNCTION("""COMPUTED_VALUE"""),"Wil")</f>
        <v>Wil</v>
      </c>
      <c r="B1557" s="149" t="str">
        <f>IFERROR(__xludf.DUMMYFUNCTION("""COMPUTED_VALUE"""),"East Bay")</f>
        <v>East Bay</v>
      </c>
      <c r="C1557" s="149" t="str">
        <f>IFERROR(__xludf.DUMMYFUNCTION("""COMPUTED_VALUE"""),"CA")</f>
        <v>CA</v>
      </c>
      <c r="D1557" s="149" t="str">
        <f>IFERROR(__xludf.DUMMYFUNCTION("""COMPUTED_VALUE"""),"USA")</f>
        <v>USA</v>
      </c>
      <c r="E1557" s="156">
        <f>IFERROR(__xludf.DUMMYFUNCTION("""COMPUTED_VALUE"""),43767.0)</f>
        <v>43767</v>
      </c>
      <c r="F1557" s="129">
        <f>IFERROR(__xludf.DUMMYFUNCTION("""COMPUTED_VALUE"""),43813.0)</f>
        <v>43813</v>
      </c>
      <c r="G1557" s="154"/>
      <c r="H1557" s="131">
        <f>IFERROR(__xludf.DUMMYFUNCTION("""COMPUTED_VALUE"""),615855.0)</f>
        <v>615855</v>
      </c>
      <c r="I1557" s="144"/>
      <c r="J1557" s="129">
        <f>IFERROR(__xludf.DUMMYFUNCTION("""COMPUTED_VALUE"""),43816.0)</f>
        <v>43816</v>
      </c>
      <c r="K1557" s="133">
        <f>IFERROR(__xludf.DUMMYFUNCTION("""COMPUTED_VALUE"""),46.0)</f>
        <v>46</v>
      </c>
      <c r="L1557" s="133">
        <f>IFERROR(__xludf.DUMMYFUNCTION("""COMPUTED_VALUE"""),3.0)</f>
        <v>3</v>
      </c>
      <c r="M1557" s="133">
        <f>IFERROR(__xludf.DUMMYFUNCTION("""COMPUTED_VALUE"""),49.0)</f>
        <v>49</v>
      </c>
      <c r="N1557" s="152" t="str">
        <f>IFERROR(__xludf.DUMMYFUNCTION("""COMPUTED_VALUE"""),"Model 3 SR+")</f>
        <v>Model 3 SR+</v>
      </c>
      <c r="O1557" s="152" t="str">
        <f>IFERROR(__xludf.DUMMYFUNCTION("""COMPUTED_VALUE"""),"Deep Blue Metallic")</f>
        <v>Deep Blue Metallic</v>
      </c>
      <c r="P1557" s="153" t="str">
        <f>IFERROR(__xludf.DUMMYFUNCTION("""COMPUTED_VALUE"""),"19 inch Sport")</f>
        <v>19 inch Sport</v>
      </c>
      <c r="Q1557" s="152" t="str">
        <f>IFERROR(__xludf.DUMMYFUNCTION("""COMPUTED_VALUE"""),"White seats")</f>
        <v>White seats</v>
      </c>
      <c r="R1557" s="149" t="str">
        <f>IFERROR(__xludf.DUMMYFUNCTION("""COMPUTED_VALUE"""),"Autopilot")</f>
        <v>Autopilot</v>
      </c>
      <c r="S1557" s="149"/>
      <c r="T1557" s="145"/>
      <c r="U1557" s="145"/>
      <c r="V1557" s="145"/>
      <c r="W1557" s="136"/>
      <c r="X1557" s="137" t="str">
        <f>IFERROR(__xludf.DUMMYFUNCTION("""COMPUTED_VALUE"""),"Excellent")</f>
        <v>Excellent</v>
      </c>
      <c r="Y1557" s="138" t="str">
        <f>IFERROR(__xludf.DUMMYFUNCTION("""COMPUTED_VALUE"""),"Excellent")</f>
        <v>Excellent</v>
      </c>
      <c r="Z1557" s="138" t="str">
        <f>IFERROR(__xludf.DUMMYFUNCTION("""COMPUTED_VALUE"""),"Very Good")</f>
        <v>Very Good</v>
      </c>
      <c r="AA1557" s="138" t="str">
        <f>IFERROR(__xludf.DUMMYFUNCTION("""COMPUTED_VALUE"""),"Good")</f>
        <v>Good</v>
      </c>
      <c r="AB1557" s="138" t="str">
        <f>IFERROR(__xludf.DUMMYFUNCTION("""COMPUTED_VALUE"""),"Very Good")</f>
        <v>Very Good</v>
      </c>
      <c r="AC1557" s="139"/>
      <c r="AD1557" s="139"/>
      <c r="AE1557" s="139"/>
      <c r="AF1557" s="140"/>
      <c r="AG1557" s="136"/>
      <c r="AH1557" s="157">
        <f>IFERROR(__xludf.DUMMYFUNCTION("""COMPUTED_VALUE"""),43816.95831543982)</f>
        <v>43816.95832</v>
      </c>
      <c r="AI1557" s="138"/>
      <c r="AJ1557" s="138"/>
      <c r="AK1557" s="138"/>
      <c r="AL1557" s="142"/>
    </row>
    <row r="1558" ht="20.25" customHeight="1">
      <c r="A1558" s="155" t="str">
        <f>IFERROR(__xludf.DUMMYFUNCTION("""COMPUTED_VALUE"""),"wyu177")</f>
        <v>wyu177</v>
      </c>
      <c r="B1558" s="149" t="str">
        <f>IFERROR(__xludf.DUMMYFUNCTION("""COMPUTED_VALUE"""),"Fremont")</f>
        <v>Fremont</v>
      </c>
      <c r="C1558" s="149" t="str">
        <f>IFERROR(__xludf.DUMMYFUNCTION("""COMPUTED_VALUE"""),"CA")</f>
        <v>CA</v>
      </c>
      <c r="D1558" s="149" t="str">
        <f>IFERROR(__xludf.DUMMYFUNCTION("""COMPUTED_VALUE"""),"USA")</f>
        <v>USA</v>
      </c>
      <c r="E1558" s="156">
        <f>IFERROR(__xludf.DUMMYFUNCTION("""COMPUTED_VALUE"""),43767.0)</f>
        <v>43767</v>
      </c>
      <c r="F1558" s="129">
        <f>IFERROR(__xludf.DUMMYFUNCTION("""COMPUTED_VALUE"""),43791.0)</f>
        <v>43791</v>
      </c>
      <c r="G1558" s="154"/>
      <c r="H1558" s="131">
        <f>IFERROR(__xludf.DUMMYFUNCTION("""COMPUTED_VALUE"""),602555.0)</f>
        <v>602555</v>
      </c>
      <c r="I1558" s="144" t="str">
        <f>IFERROR(__xludf.DUMMYFUNCTION("""COMPUTED_VALUE"""),"11/19")</f>
        <v>11/19</v>
      </c>
      <c r="J1558" s="129">
        <f>IFERROR(__xludf.DUMMYFUNCTION("""COMPUTED_VALUE"""),43798.0)</f>
        <v>43798</v>
      </c>
      <c r="K1558" s="133">
        <f>IFERROR(__xludf.DUMMYFUNCTION("""COMPUTED_VALUE"""),24.0)</f>
        <v>24</v>
      </c>
      <c r="L1558" s="133">
        <f>IFERROR(__xludf.DUMMYFUNCTION("""COMPUTED_VALUE"""),7.0)</f>
        <v>7</v>
      </c>
      <c r="M1558" s="133">
        <f>IFERROR(__xludf.DUMMYFUNCTION("""COMPUTED_VALUE"""),31.0)</f>
        <v>31</v>
      </c>
      <c r="N1558" s="152" t="str">
        <f>IFERROR(__xludf.DUMMYFUNCTION("""COMPUTED_VALUE"""),"Model 3 Performance")</f>
        <v>Model 3 Performance</v>
      </c>
      <c r="O1558" s="152" t="str">
        <f>IFERROR(__xludf.DUMMYFUNCTION("""COMPUTED_VALUE"""),"Pearl White Multi-Coat")</f>
        <v>Pearl White Multi-Coat</v>
      </c>
      <c r="P1558" s="153" t="str">
        <f>IFERROR(__xludf.DUMMYFUNCTION("""COMPUTED_VALUE"""),"18 inch Aero")</f>
        <v>18 inch Aero</v>
      </c>
      <c r="Q1558" s="152" t="str">
        <f>IFERROR(__xludf.DUMMYFUNCTION("""COMPUTED_VALUE"""),"Black seats")</f>
        <v>Black seats</v>
      </c>
      <c r="R1558" s="149" t="str">
        <f>IFERROR(__xludf.DUMMYFUNCTION("""COMPUTED_VALUE"""),"Autopilot")</f>
        <v>Autopilot</v>
      </c>
      <c r="S1558" s="149"/>
      <c r="T1558" s="145"/>
      <c r="U1558" s="145"/>
      <c r="V1558" s="145"/>
      <c r="W1558" s="136"/>
      <c r="X1558" s="137" t="str">
        <f>IFERROR(__xludf.DUMMYFUNCTION("""COMPUTED_VALUE"""),"Excellent")</f>
        <v>Excellent</v>
      </c>
      <c r="Y1558" s="138" t="str">
        <f>IFERROR(__xludf.DUMMYFUNCTION("""COMPUTED_VALUE"""),"Excellent")</f>
        <v>Excellent</v>
      </c>
      <c r="Z1558" s="138" t="str">
        <f>IFERROR(__xludf.DUMMYFUNCTION("""COMPUTED_VALUE"""),"Excellent")</f>
        <v>Excellent</v>
      </c>
      <c r="AA1558" s="138" t="str">
        <f>IFERROR(__xludf.DUMMYFUNCTION("""COMPUTED_VALUE"""),"Excellent")</f>
        <v>Excellent</v>
      </c>
      <c r="AB1558" s="138" t="str">
        <f>IFERROR(__xludf.DUMMYFUNCTION("""COMPUTED_VALUE"""),"Excellent")</f>
        <v>Excellent</v>
      </c>
      <c r="AC1558" s="139"/>
      <c r="AD1558" s="139"/>
      <c r="AE1558" s="139"/>
      <c r="AF1558" s="140"/>
      <c r="AG1558" s="136" t="str">
        <f>IFERROR(__xludf.DUMMYFUNCTION("""COMPUTED_VALUE"""),"Order changed from Performance to Performance Stealth on 11/22, vin was revealed via source code ")</f>
        <v>Order changed from Performance to Performance Stealth on 11/22, vin was revealed via source code </v>
      </c>
      <c r="AH1558" s="157">
        <f>IFERROR(__xludf.DUMMYFUNCTION("""COMPUTED_VALUE"""),43798.721671747684)</f>
        <v>43798.72167</v>
      </c>
      <c r="AI1558" s="138"/>
      <c r="AJ1558" s="138"/>
      <c r="AK1558" s="138"/>
      <c r="AL1558" s="142"/>
    </row>
    <row r="1559" ht="20.25" customHeight="1">
      <c r="A1559" s="155" t="str">
        <f>IFERROR(__xludf.DUMMYFUNCTION("""COMPUTED_VALUE"""),"Autovoid")</f>
        <v>Autovoid</v>
      </c>
      <c r="B1559" s="149" t="str">
        <f>IFERROR(__xludf.DUMMYFUNCTION("""COMPUTED_VALUE"""),"Los Angeles")</f>
        <v>Los Angeles</v>
      </c>
      <c r="C1559" s="149" t="str">
        <f>IFERROR(__xludf.DUMMYFUNCTION("""COMPUTED_VALUE"""),"CA")</f>
        <v>CA</v>
      </c>
      <c r="D1559" s="149" t="str">
        <f>IFERROR(__xludf.DUMMYFUNCTION("""COMPUTED_VALUE"""),"USA")</f>
        <v>USA</v>
      </c>
      <c r="E1559" s="156">
        <f>IFERROR(__xludf.DUMMYFUNCTION("""COMPUTED_VALUE"""),43766.0)</f>
        <v>43766</v>
      </c>
      <c r="F1559" s="129">
        <f>IFERROR(__xludf.DUMMYFUNCTION("""COMPUTED_VALUE"""),43820.0)</f>
        <v>43820</v>
      </c>
      <c r="G1559" s="154"/>
      <c r="H1559" s="131">
        <f>IFERROR(__xludf.DUMMYFUNCTION("""COMPUTED_VALUE"""),622833.0)</f>
        <v>622833</v>
      </c>
      <c r="I1559" s="144" t="str">
        <f>IFERROR(__xludf.DUMMYFUNCTION("""COMPUTED_VALUE"""),"12/19")</f>
        <v>12/19</v>
      </c>
      <c r="J1559" s="129">
        <f>IFERROR(__xludf.DUMMYFUNCTION("""COMPUTED_VALUE"""),43823.0)</f>
        <v>43823</v>
      </c>
      <c r="K1559" s="133">
        <f>IFERROR(__xludf.DUMMYFUNCTION("""COMPUTED_VALUE"""),54.0)</f>
        <v>54</v>
      </c>
      <c r="L1559" s="133">
        <f>IFERROR(__xludf.DUMMYFUNCTION("""COMPUTED_VALUE"""),3.0)</f>
        <v>3</v>
      </c>
      <c r="M1559" s="133">
        <f>IFERROR(__xludf.DUMMYFUNCTION("""COMPUTED_VALUE"""),57.0)</f>
        <v>57</v>
      </c>
      <c r="N1559" s="152" t="str">
        <f>IFERROR(__xludf.DUMMYFUNCTION("""COMPUTED_VALUE"""),"Model 3 LR AWD")</f>
        <v>Model 3 LR AWD</v>
      </c>
      <c r="O1559" s="152" t="str">
        <f>IFERROR(__xludf.DUMMYFUNCTION("""COMPUTED_VALUE"""),"Pearl White Multi-Coat")</f>
        <v>Pearl White Multi-Coat</v>
      </c>
      <c r="P1559" s="153" t="str">
        <f>IFERROR(__xludf.DUMMYFUNCTION("""COMPUTED_VALUE"""),"19 inch Sport")</f>
        <v>19 inch Sport</v>
      </c>
      <c r="Q1559" s="152" t="str">
        <f>IFERROR(__xludf.DUMMYFUNCTION("""COMPUTED_VALUE"""),"White seats")</f>
        <v>White seats</v>
      </c>
      <c r="R1559" s="149" t="str">
        <f>IFERROR(__xludf.DUMMYFUNCTION("""COMPUTED_VALUE"""),"Autopilot")</f>
        <v>Autopilot</v>
      </c>
      <c r="S1559" s="149"/>
      <c r="T1559" s="145"/>
      <c r="U1559" s="145"/>
      <c r="V1559" s="145"/>
      <c r="W1559" s="136"/>
      <c r="X1559" s="137" t="str">
        <f>IFERROR(__xludf.DUMMYFUNCTION("""COMPUTED_VALUE"""),"Excellent")</f>
        <v>Excellent</v>
      </c>
      <c r="Y1559" s="138" t="str">
        <f>IFERROR(__xludf.DUMMYFUNCTION("""COMPUTED_VALUE"""),"Excellent")</f>
        <v>Excellent</v>
      </c>
      <c r="Z1559" s="138" t="str">
        <f>IFERROR(__xludf.DUMMYFUNCTION("""COMPUTED_VALUE"""),"Excellent")</f>
        <v>Excellent</v>
      </c>
      <c r="AA1559" s="138" t="str">
        <f>IFERROR(__xludf.DUMMYFUNCTION("""COMPUTED_VALUE"""),"Fair")</f>
        <v>Fair</v>
      </c>
      <c r="AB1559" s="138" t="str">
        <f>IFERROR(__xludf.DUMMYFUNCTION("""COMPUTED_VALUE"""),"Very Good")</f>
        <v>Very Good</v>
      </c>
      <c r="AC1559" s="139"/>
      <c r="AD1559" s="139"/>
      <c r="AE1559" s="139"/>
      <c r="AF1559" s="140"/>
      <c r="AG1559" s="136"/>
      <c r="AH1559" s="157">
        <f>IFERROR(__xludf.DUMMYFUNCTION("""COMPUTED_VALUE"""),43823.57521576389)</f>
        <v>43823.57522</v>
      </c>
      <c r="AI1559" s="138"/>
      <c r="AJ1559" s="138"/>
      <c r="AK1559" s="138"/>
      <c r="AL1559" s="142"/>
    </row>
    <row r="1560" ht="20.25" customHeight="1">
      <c r="A1560" s="155" t="str">
        <f>IFERROR(__xludf.DUMMYFUNCTION("""COMPUTED_VALUE"""),"FFR6288")</f>
        <v>FFR6288</v>
      </c>
      <c r="B1560" s="149" t="str">
        <f>IFERROR(__xludf.DUMMYFUNCTION("""COMPUTED_VALUE"""),"Mesa")</f>
        <v>Mesa</v>
      </c>
      <c r="C1560" s="149" t="str">
        <f>IFERROR(__xludf.DUMMYFUNCTION("""COMPUTED_VALUE"""),"AZ")</f>
        <v>AZ</v>
      </c>
      <c r="D1560" s="149" t="str">
        <f>IFERROR(__xludf.DUMMYFUNCTION("""COMPUTED_VALUE"""),"USA")</f>
        <v>USA</v>
      </c>
      <c r="E1560" s="156">
        <f>IFERROR(__xludf.DUMMYFUNCTION("""COMPUTED_VALUE"""),43766.0)</f>
        <v>43766</v>
      </c>
      <c r="F1560" s="129">
        <f>IFERROR(__xludf.DUMMYFUNCTION("""COMPUTED_VALUE"""),43813.0)</f>
        <v>43813</v>
      </c>
      <c r="G1560" s="154"/>
      <c r="H1560" s="131">
        <f>IFERROR(__xludf.DUMMYFUNCTION("""COMPUTED_VALUE"""),624903.0)</f>
        <v>624903</v>
      </c>
      <c r="I1560" s="144" t="str">
        <f>IFERROR(__xludf.DUMMYFUNCTION("""COMPUTED_VALUE"""),"12/19")</f>
        <v>12/19</v>
      </c>
      <c r="J1560" s="129">
        <f>IFERROR(__xludf.DUMMYFUNCTION("""COMPUTED_VALUE"""),43817.0)</f>
        <v>43817</v>
      </c>
      <c r="K1560" s="133">
        <f>IFERROR(__xludf.DUMMYFUNCTION("""COMPUTED_VALUE"""),47.0)</f>
        <v>47</v>
      </c>
      <c r="L1560" s="133">
        <f>IFERROR(__xludf.DUMMYFUNCTION("""COMPUTED_VALUE"""),4.0)</f>
        <v>4</v>
      </c>
      <c r="M1560" s="133">
        <f>IFERROR(__xludf.DUMMYFUNCTION("""COMPUTED_VALUE"""),51.0)</f>
        <v>51</v>
      </c>
      <c r="N1560" s="152" t="str">
        <f>IFERROR(__xludf.DUMMYFUNCTION("""COMPUTED_VALUE"""),"Model 3 Performance")</f>
        <v>Model 3 Performance</v>
      </c>
      <c r="O1560" s="152" t="str">
        <f>IFERROR(__xludf.DUMMYFUNCTION("""COMPUTED_VALUE"""),"Pearl White Multi-Coat")</f>
        <v>Pearl White Multi-Coat</v>
      </c>
      <c r="P1560" s="153" t="str">
        <f>IFERROR(__xludf.DUMMYFUNCTION("""COMPUTED_VALUE"""),"20 inch Sport")</f>
        <v>20 inch Sport</v>
      </c>
      <c r="Q1560" s="152" t="str">
        <f>IFERROR(__xludf.DUMMYFUNCTION("""COMPUTED_VALUE"""),"White seats")</f>
        <v>White seats</v>
      </c>
      <c r="R1560" s="149" t="str">
        <f>IFERROR(__xludf.DUMMYFUNCTION("""COMPUTED_VALUE"""),"Full Self-Driving")</f>
        <v>Full Self-Driving</v>
      </c>
      <c r="S1560" s="149"/>
      <c r="T1560" s="145"/>
      <c r="U1560" s="145"/>
      <c r="V1560" s="145"/>
      <c r="W1560" s="136"/>
      <c r="X1560" s="137" t="str">
        <f>IFERROR(__xludf.DUMMYFUNCTION("""COMPUTED_VALUE"""),"Very Good")</f>
        <v>Very Good</v>
      </c>
      <c r="Y1560" s="138" t="str">
        <f>IFERROR(__xludf.DUMMYFUNCTION("""COMPUTED_VALUE"""),"Excellent")</f>
        <v>Excellent</v>
      </c>
      <c r="Z1560" s="138" t="str">
        <f>IFERROR(__xludf.DUMMYFUNCTION("""COMPUTED_VALUE"""),"Excellent")</f>
        <v>Excellent</v>
      </c>
      <c r="AA1560" s="138" t="str">
        <f>IFERROR(__xludf.DUMMYFUNCTION("""COMPUTED_VALUE"""),"Poor")</f>
        <v>Poor</v>
      </c>
      <c r="AB1560" s="138" t="str">
        <f>IFERROR(__xludf.DUMMYFUNCTION("""COMPUTED_VALUE"""),"Fair")</f>
        <v>Fair</v>
      </c>
      <c r="AC1560" s="139"/>
      <c r="AD1560" s="139"/>
      <c r="AE1560" s="139"/>
      <c r="AF1560" s="140"/>
      <c r="AG1560" s="136"/>
      <c r="AH1560" s="157">
        <f>IFERROR(__xludf.DUMMYFUNCTION("""COMPUTED_VALUE"""),43818.80679685185)</f>
        <v>43818.8068</v>
      </c>
      <c r="AI1560" s="138"/>
      <c r="AJ1560" s="138"/>
      <c r="AK1560" s="138"/>
      <c r="AL1560" s="142"/>
    </row>
    <row r="1561" ht="20.25" customHeight="1">
      <c r="A1561" s="155" t="str">
        <f>IFERROR(__xludf.DUMMYFUNCTION("""COMPUTED_VALUE"""),"JigLewPuff")</f>
        <v>JigLewPuff</v>
      </c>
      <c r="B1561" s="149" t="str">
        <f>IFERROR(__xludf.DUMMYFUNCTION("""COMPUTED_VALUE"""),"Los Angeles")</f>
        <v>Los Angeles</v>
      </c>
      <c r="C1561" s="149" t="str">
        <f>IFERROR(__xludf.DUMMYFUNCTION("""COMPUTED_VALUE"""),"CA")</f>
        <v>CA</v>
      </c>
      <c r="D1561" s="149" t="str">
        <f>IFERROR(__xludf.DUMMYFUNCTION("""COMPUTED_VALUE"""),"USA")</f>
        <v>USA</v>
      </c>
      <c r="E1561" s="156">
        <f>IFERROR(__xludf.DUMMYFUNCTION("""COMPUTED_VALUE"""),43766.0)</f>
        <v>43766</v>
      </c>
      <c r="F1561" s="129">
        <f>IFERROR(__xludf.DUMMYFUNCTION("""COMPUTED_VALUE"""),43820.0)</f>
        <v>43820</v>
      </c>
      <c r="G1561" s="154"/>
      <c r="H1561" s="131"/>
      <c r="I1561" s="144"/>
      <c r="J1561" s="129">
        <f>IFERROR(__xludf.DUMMYFUNCTION("""COMPUTED_VALUE"""),43822.0)</f>
        <v>43822</v>
      </c>
      <c r="K1561" s="133">
        <f>IFERROR(__xludf.DUMMYFUNCTION("""COMPUTED_VALUE"""),54.0)</f>
        <v>54</v>
      </c>
      <c r="L1561" s="133">
        <f>IFERROR(__xludf.DUMMYFUNCTION("""COMPUTED_VALUE"""),2.0)</f>
        <v>2</v>
      </c>
      <c r="M1561" s="133">
        <f>IFERROR(__xludf.DUMMYFUNCTION("""COMPUTED_VALUE"""),56.0)</f>
        <v>56</v>
      </c>
      <c r="N1561" s="152" t="str">
        <f>IFERROR(__xludf.DUMMYFUNCTION("""COMPUTED_VALUE"""),"Model 3 LR AWD")</f>
        <v>Model 3 LR AWD</v>
      </c>
      <c r="O1561" s="152" t="str">
        <f>IFERROR(__xludf.DUMMYFUNCTION("""COMPUTED_VALUE"""),"Red Multi-Coat")</f>
        <v>Red Multi-Coat</v>
      </c>
      <c r="P1561" s="153" t="str">
        <f>IFERROR(__xludf.DUMMYFUNCTION("""COMPUTED_VALUE"""),"19 inch Sport")</f>
        <v>19 inch Sport</v>
      </c>
      <c r="Q1561" s="152" t="str">
        <f>IFERROR(__xludf.DUMMYFUNCTION("""COMPUTED_VALUE"""),"Black seats")</f>
        <v>Black seats</v>
      </c>
      <c r="R1561" s="149" t="str">
        <f>IFERROR(__xludf.DUMMYFUNCTION("""COMPUTED_VALUE"""),"Autopilot")</f>
        <v>Autopilot</v>
      </c>
      <c r="S1561" s="149"/>
      <c r="T1561" s="145"/>
      <c r="U1561" s="145"/>
      <c r="V1561" s="145"/>
      <c r="W1561" s="136"/>
      <c r="X1561" s="137" t="str">
        <f>IFERROR(__xludf.DUMMYFUNCTION("""COMPUTED_VALUE"""),"Fair")</f>
        <v>Fair</v>
      </c>
      <c r="Y1561" s="138" t="str">
        <f>IFERROR(__xludf.DUMMYFUNCTION("""COMPUTED_VALUE"""),"Excellent")</f>
        <v>Excellent</v>
      </c>
      <c r="Z1561" s="138" t="str">
        <f>IFERROR(__xludf.DUMMYFUNCTION("""COMPUTED_VALUE"""),"Excellent")</f>
        <v>Excellent</v>
      </c>
      <c r="AA1561" s="138" t="str">
        <f>IFERROR(__xludf.DUMMYFUNCTION("""COMPUTED_VALUE"""),"Good")</f>
        <v>Good</v>
      </c>
      <c r="AB1561" s="138" t="str">
        <f>IFERROR(__xludf.DUMMYFUNCTION("""COMPUTED_VALUE"""),"Very Good")</f>
        <v>Very Good</v>
      </c>
      <c r="AC1561" s="139">
        <f>IFERROR(__xludf.DUMMYFUNCTION("""COMPUTED_VALUE"""),1.0)</f>
        <v>1</v>
      </c>
      <c r="AD1561" s="139">
        <f>IFERROR(__xludf.DUMMYFUNCTION("""COMPUTED_VALUE"""),1.0)</f>
        <v>1</v>
      </c>
      <c r="AE1561" s="139"/>
      <c r="AF1561" s="140"/>
      <c r="AG1561" s="136"/>
      <c r="AH1561" s="157">
        <f>IFERROR(__xludf.DUMMYFUNCTION("""COMPUTED_VALUE"""),43825.72833163195)</f>
        <v>43825.72833</v>
      </c>
      <c r="AI1561" s="138"/>
      <c r="AJ1561" s="138"/>
      <c r="AK1561" s="138"/>
      <c r="AL1561" s="142"/>
    </row>
    <row r="1562" ht="20.25" customHeight="1">
      <c r="A1562" s="155" t="str">
        <f>IFERROR(__xludf.DUMMYFUNCTION("""COMPUTED_VALUE"""),"Punjabi510")</f>
        <v>Punjabi510</v>
      </c>
      <c r="B1562" s="149" t="str">
        <f>IFERROR(__xludf.DUMMYFUNCTION("""COMPUTED_VALUE"""),"Bay Area")</f>
        <v>Bay Area</v>
      </c>
      <c r="C1562" s="149" t="str">
        <f>IFERROR(__xludf.DUMMYFUNCTION("""COMPUTED_VALUE"""),"CA")</f>
        <v>CA</v>
      </c>
      <c r="D1562" s="149" t="str">
        <f>IFERROR(__xludf.DUMMYFUNCTION("""COMPUTED_VALUE"""),"USA")</f>
        <v>USA</v>
      </c>
      <c r="E1562" s="156">
        <f>IFERROR(__xludf.DUMMYFUNCTION("""COMPUTED_VALUE"""),43766.0)</f>
        <v>43766</v>
      </c>
      <c r="F1562" s="129">
        <f>IFERROR(__xludf.DUMMYFUNCTION("""COMPUTED_VALUE"""),43822.0)</f>
        <v>43822</v>
      </c>
      <c r="G1562" s="154"/>
      <c r="H1562" s="131">
        <f>IFERROR(__xludf.DUMMYFUNCTION("""COMPUTED_VALUE"""),641960.0)</f>
        <v>641960</v>
      </c>
      <c r="I1562" s="144"/>
      <c r="J1562" s="129">
        <f>IFERROR(__xludf.DUMMYFUNCTION("""COMPUTED_VALUE"""),43823.0)</f>
        <v>43823</v>
      </c>
      <c r="K1562" s="133">
        <f>IFERROR(__xludf.DUMMYFUNCTION("""COMPUTED_VALUE"""),56.0)</f>
        <v>56</v>
      </c>
      <c r="L1562" s="133">
        <f>IFERROR(__xludf.DUMMYFUNCTION("""COMPUTED_VALUE"""),1.0)</f>
        <v>1</v>
      </c>
      <c r="M1562" s="133">
        <f>IFERROR(__xludf.DUMMYFUNCTION("""COMPUTED_VALUE"""),57.0)</f>
        <v>57</v>
      </c>
      <c r="N1562" s="152" t="str">
        <f>IFERROR(__xludf.DUMMYFUNCTION("""COMPUTED_VALUE"""),"Model 3 Performance")</f>
        <v>Model 3 Performance</v>
      </c>
      <c r="O1562" s="152" t="str">
        <f>IFERROR(__xludf.DUMMYFUNCTION("""COMPUTED_VALUE"""),"Pearl White Multi-Coat")</f>
        <v>Pearl White Multi-Coat</v>
      </c>
      <c r="P1562" s="153" t="str">
        <f>IFERROR(__xludf.DUMMYFUNCTION("""COMPUTED_VALUE"""),"20 inch Sport")</f>
        <v>20 inch Sport</v>
      </c>
      <c r="Q1562" s="152" t="str">
        <f>IFERROR(__xludf.DUMMYFUNCTION("""COMPUTED_VALUE"""),"White seats")</f>
        <v>White seats</v>
      </c>
      <c r="R1562" s="149" t="str">
        <f>IFERROR(__xludf.DUMMYFUNCTION("""COMPUTED_VALUE"""),"Autopilot")</f>
        <v>Autopilot</v>
      </c>
      <c r="S1562" s="149"/>
      <c r="T1562" s="145"/>
      <c r="U1562" s="145"/>
      <c r="V1562" s="145"/>
      <c r="W1562" s="136"/>
      <c r="X1562" s="137" t="str">
        <f>IFERROR(__xludf.DUMMYFUNCTION("""COMPUTED_VALUE"""),"Very Good")</f>
        <v>Very Good</v>
      </c>
      <c r="Y1562" s="138" t="str">
        <f>IFERROR(__xludf.DUMMYFUNCTION("""COMPUTED_VALUE"""),"Excellent")</f>
        <v>Excellent</v>
      </c>
      <c r="Z1562" s="138" t="str">
        <f>IFERROR(__xludf.DUMMYFUNCTION("""COMPUTED_VALUE"""),"Excellent")</f>
        <v>Excellent</v>
      </c>
      <c r="AA1562" s="138" t="str">
        <f>IFERROR(__xludf.DUMMYFUNCTION("""COMPUTED_VALUE"""),"Excellent")</f>
        <v>Excellent</v>
      </c>
      <c r="AB1562" s="138" t="str">
        <f>IFERROR(__xludf.DUMMYFUNCTION("""COMPUTED_VALUE"""),"Excellent")</f>
        <v>Excellent</v>
      </c>
      <c r="AC1562" s="139"/>
      <c r="AD1562" s="139"/>
      <c r="AE1562" s="139"/>
      <c r="AF1562" s="140"/>
      <c r="AG1562" s="136" t="str">
        <f>IFERROR(__xludf.DUMMYFUNCTION("""COMPUTED_VALUE"""),"I was able to convince the delivery hub to give me my car two days earlier since it was ready and I was ready with everything to pick it up. ")</f>
        <v>I was able to convince the delivery hub to give me my car two days earlier since it was ready and I was ready with everything to pick it up. </v>
      </c>
      <c r="AH1562" s="157">
        <f>IFERROR(__xludf.DUMMYFUNCTION("""COMPUTED_VALUE"""),43825.35673600694)</f>
        <v>43825.35674</v>
      </c>
      <c r="AI1562" s="138"/>
      <c r="AJ1562" s="138"/>
      <c r="AK1562" s="138"/>
      <c r="AL1562" s="142"/>
    </row>
    <row r="1563" ht="20.25" customHeight="1">
      <c r="A1563" s="155" t="str">
        <f>IFERROR(__xludf.DUMMYFUNCTION("""COMPUTED_VALUE"""),"SGM1980")</f>
        <v>SGM1980</v>
      </c>
      <c r="B1563" s="149" t="str">
        <f>IFERROR(__xludf.DUMMYFUNCTION("""COMPUTED_VALUE"""),"Raleigh")</f>
        <v>Raleigh</v>
      </c>
      <c r="C1563" s="149" t="str">
        <f>IFERROR(__xludf.DUMMYFUNCTION("""COMPUTED_VALUE"""),"NC")</f>
        <v>NC</v>
      </c>
      <c r="D1563" s="149" t="str">
        <f>IFERROR(__xludf.DUMMYFUNCTION("""COMPUTED_VALUE"""),"USA")</f>
        <v>USA</v>
      </c>
      <c r="E1563" s="156">
        <f>IFERROR(__xludf.DUMMYFUNCTION("""COMPUTED_VALUE"""),43766.0)</f>
        <v>43766</v>
      </c>
      <c r="F1563" s="129">
        <f>IFERROR(__xludf.DUMMYFUNCTION("""COMPUTED_VALUE"""),43803.0)</f>
        <v>43803</v>
      </c>
      <c r="G1563" s="154"/>
      <c r="H1563" s="131">
        <f>IFERROR(__xludf.DUMMYFUNCTION("""COMPUTED_VALUE"""),618355.0)</f>
        <v>618355</v>
      </c>
      <c r="I1563" s="144"/>
      <c r="J1563" s="129">
        <f>IFERROR(__xludf.DUMMYFUNCTION("""COMPUTED_VALUE"""),43807.0)</f>
        <v>43807</v>
      </c>
      <c r="K1563" s="133">
        <f>IFERROR(__xludf.DUMMYFUNCTION("""COMPUTED_VALUE"""),37.0)</f>
        <v>37</v>
      </c>
      <c r="L1563" s="133">
        <f>IFERROR(__xludf.DUMMYFUNCTION("""COMPUTED_VALUE"""),4.0)</f>
        <v>4</v>
      </c>
      <c r="M1563" s="133">
        <f>IFERROR(__xludf.DUMMYFUNCTION("""COMPUTED_VALUE"""),41.0)</f>
        <v>41</v>
      </c>
      <c r="N1563" s="152" t="str">
        <f>IFERROR(__xludf.DUMMYFUNCTION("""COMPUTED_VALUE"""),"Model 3 LR AWD")</f>
        <v>Model 3 LR AWD</v>
      </c>
      <c r="O1563" s="152" t="str">
        <f>IFERROR(__xludf.DUMMYFUNCTION("""COMPUTED_VALUE"""),"Pearl White Multi-Coat")</f>
        <v>Pearl White Multi-Coat</v>
      </c>
      <c r="P1563" s="153" t="str">
        <f>IFERROR(__xludf.DUMMYFUNCTION("""COMPUTED_VALUE"""),"18 inch Aero")</f>
        <v>18 inch Aero</v>
      </c>
      <c r="Q1563" s="152" t="str">
        <f>IFERROR(__xludf.DUMMYFUNCTION("""COMPUTED_VALUE"""),"Black seats")</f>
        <v>Black seats</v>
      </c>
      <c r="R1563" s="149" t="str">
        <f>IFERROR(__xludf.DUMMYFUNCTION("""COMPUTED_VALUE"""),"Autopilot")</f>
        <v>Autopilot</v>
      </c>
      <c r="S1563" s="149"/>
      <c r="T1563" s="145"/>
      <c r="U1563" s="145"/>
      <c r="V1563" s="145"/>
      <c r="W1563" s="136"/>
      <c r="X1563" s="137" t="str">
        <f>IFERROR(__xludf.DUMMYFUNCTION("""COMPUTED_VALUE"""),"Excellent")</f>
        <v>Excellent</v>
      </c>
      <c r="Y1563" s="138" t="str">
        <f>IFERROR(__xludf.DUMMYFUNCTION("""COMPUTED_VALUE"""),"Excellent")</f>
        <v>Excellent</v>
      </c>
      <c r="Z1563" s="138" t="str">
        <f>IFERROR(__xludf.DUMMYFUNCTION("""COMPUTED_VALUE"""),"Excellent")</f>
        <v>Excellent</v>
      </c>
      <c r="AA1563" s="138" t="str">
        <f>IFERROR(__xludf.DUMMYFUNCTION("""COMPUTED_VALUE"""),"Poor")</f>
        <v>Poor</v>
      </c>
      <c r="AB1563" s="138" t="str">
        <f>IFERROR(__xludf.DUMMYFUNCTION("""COMPUTED_VALUE"""),"Very Good")</f>
        <v>Very Good</v>
      </c>
      <c r="AC1563" s="139"/>
      <c r="AD1563" s="139"/>
      <c r="AE1563" s="139"/>
      <c r="AF1563" s="140"/>
      <c r="AG1563" s="136"/>
      <c r="AH1563" s="157">
        <f>IFERROR(__xludf.DUMMYFUNCTION("""COMPUTED_VALUE"""),43808.29611211805)</f>
        <v>43808.29611</v>
      </c>
      <c r="AI1563" s="138"/>
      <c r="AJ1563" s="138"/>
      <c r="AK1563" s="138"/>
      <c r="AL1563" s="142"/>
    </row>
    <row r="1564" ht="20.25" customHeight="1">
      <c r="A1564" s="155" t="str">
        <f>IFERROR(__xludf.DUMMYFUNCTION("""COMPUTED_VALUE"""),"TWilson")</f>
        <v>TWilson</v>
      </c>
      <c r="B1564" s="149" t="str">
        <f>IFERROR(__xludf.DUMMYFUNCTION("""COMPUTED_VALUE"""),"Pittsburgh")</f>
        <v>Pittsburgh</v>
      </c>
      <c r="C1564" s="149" t="str">
        <f>IFERROR(__xludf.DUMMYFUNCTION("""COMPUTED_VALUE"""),"PA")</f>
        <v>PA</v>
      </c>
      <c r="D1564" s="149" t="str">
        <f>IFERROR(__xludf.DUMMYFUNCTION("""COMPUTED_VALUE"""),"USA")</f>
        <v>USA</v>
      </c>
      <c r="E1564" s="156">
        <f>IFERROR(__xludf.DUMMYFUNCTION("""COMPUTED_VALUE"""),43766.0)</f>
        <v>43766</v>
      </c>
      <c r="F1564" s="129"/>
      <c r="G1564" s="154"/>
      <c r="H1564" s="131">
        <f>IFERROR(__xludf.DUMMYFUNCTION("""COMPUTED_VALUE"""),601055.0)</f>
        <v>601055</v>
      </c>
      <c r="I1564" s="144"/>
      <c r="J1564" s="129">
        <f>IFERROR(__xludf.DUMMYFUNCTION("""COMPUTED_VALUE"""),43816.0)</f>
        <v>43816</v>
      </c>
      <c r="K1564" s="133"/>
      <c r="L1564" s="133"/>
      <c r="M1564" s="133">
        <f>IFERROR(__xludf.DUMMYFUNCTION("""COMPUTED_VALUE"""),50.0)</f>
        <v>50</v>
      </c>
      <c r="N1564" s="152" t="str">
        <f>IFERROR(__xludf.DUMMYFUNCTION("""COMPUTED_VALUE"""),"Model 3 LR AWD")</f>
        <v>Model 3 LR AWD</v>
      </c>
      <c r="O1564" s="152" t="str">
        <f>IFERROR(__xludf.DUMMYFUNCTION("""COMPUTED_VALUE"""),"Midnight Silver Metallic")</f>
        <v>Midnight Silver Metallic</v>
      </c>
      <c r="P1564" s="153" t="str">
        <f>IFERROR(__xludf.DUMMYFUNCTION("""COMPUTED_VALUE"""),"18 inch Aero")</f>
        <v>18 inch Aero</v>
      </c>
      <c r="Q1564" s="152" t="str">
        <f>IFERROR(__xludf.DUMMYFUNCTION("""COMPUTED_VALUE"""),"White seats")</f>
        <v>White seats</v>
      </c>
      <c r="R1564" s="149" t="str">
        <f>IFERROR(__xludf.DUMMYFUNCTION("""COMPUTED_VALUE"""),"Full Self-Driving")</f>
        <v>Full Self-Driving</v>
      </c>
      <c r="S1564" s="149"/>
      <c r="T1564" s="145"/>
      <c r="U1564" s="145"/>
      <c r="V1564" s="145"/>
      <c r="W1564" s="136"/>
      <c r="X1564" s="137" t="str">
        <f>IFERROR(__xludf.DUMMYFUNCTION("""COMPUTED_VALUE"""),"Excellent")</f>
        <v>Excellent</v>
      </c>
      <c r="Y1564" s="138" t="str">
        <f>IFERROR(__xludf.DUMMYFUNCTION("""COMPUTED_VALUE"""),"Excellent")</f>
        <v>Excellent</v>
      </c>
      <c r="Z1564" s="138" t="str">
        <f>IFERROR(__xludf.DUMMYFUNCTION("""COMPUTED_VALUE"""),"Excellent")</f>
        <v>Excellent</v>
      </c>
      <c r="AA1564" s="138" t="str">
        <f>IFERROR(__xludf.DUMMYFUNCTION("""COMPUTED_VALUE"""),"Very Good")</f>
        <v>Very Good</v>
      </c>
      <c r="AB1564" s="138" t="str">
        <f>IFERROR(__xludf.DUMMYFUNCTION("""COMPUTED_VALUE"""),"Excellent")</f>
        <v>Excellent</v>
      </c>
      <c r="AC1564" s="139"/>
      <c r="AD1564" s="139"/>
      <c r="AE1564" s="139"/>
      <c r="AF1564" s="140"/>
      <c r="AG1564" s="136" t="str">
        <f>IFERROR(__xludf.DUMMYFUNCTION("""COMPUTED_VALUE"""),"VIN in source Dec. 1")</f>
        <v>VIN in source Dec. 1</v>
      </c>
      <c r="AH1564" s="157">
        <f>IFERROR(__xludf.DUMMYFUNCTION("""COMPUTED_VALUE"""),43817.56127633102)</f>
        <v>43817.56128</v>
      </c>
      <c r="AI1564" s="138"/>
      <c r="AJ1564" s="138"/>
      <c r="AK1564" s="138"/>
      <c r="AL1564" s="142"/>
    </row>
    <row r="1565" ht="20.25" customHeight="1">
      <c r="A1565" s="155" t="str">
        <f>IFERROR(__xludf.DUMMYFUNCTION("""COMPUTED_VALUE"""),"mikesanders")</f>
        <v>mikesanders</v>
      </c>
      <c r="B1565" s="149"/>
      <c r="C1565" s="149"/>
      <c r="D1565" s="149" t="str">
        <f>IFERROR(__xludf.DUMMYFUNCTION("""COMPUTED_VALUE"""),"Belgium")</f>
        <v>Belgium</v>
      </c>
      <c r="E1565" s="156">
        <f>IFERROR(__xludf.DUMMYFUNCTION("""COMPUTED_VALUE"""),43765.0)</f>
        <v>43765</v>
      </c>
      <c r="F1565" s="129">
        <f>IFERROR(__xludf.DUMMYFUNCTION("""COMPUTED_VALUE"""),43797.0)</f>
        <v>43797</v>
      </c>
      <c r="G1565" s="154"/>
      <c r="H1565" s="131"/>
      <c r="I1565" s="144"/>
      <c r="J1565" s="129">
        <f>IFERROR(__xludf.DUMMYFUNCTION("""COMPUTED_VALUE"""),43813.0)</f>
        <v>43813</v>
      </c>
      <c r="K1565" s="133">
        <f>IFERROR(__xludf.DUMMYFUNCTION("""COMPUTED_VALUE"""),32.0)</f>
        <v>32</v>
      </c>
      <c r="L1565" s="133">
        <f>IFERROR(__xludf.DUMMYFUNCTION("""COMPUTED_VALUE"""),16.0)</f>
        <v>16</v>
      </c>
      <c r="M1565" s="133">
        <f>IFERROR(__xludf.DUMMYFUNCTION("""COMPUTED_VALUE"""),48.0)</f>
        <v>48</v>
      </c>
      <c r="N1565" s="152" t="str">
        <f>IFERROR(__xludf.DUMMYFUNCTION("""COMPUTED_VALUE"""),"Model 3 LR AWD")</f>
        <v>Model 3 LR AWD</v>
      </c>
      <c r="O1565" s="152" t="str">
        <f>IFERROR(__xludf.DUMMYFUNCTION("""COMPUTED_VALUE"""),"Pearl White Multi-Coat")</f>
        <v>Pearl White Multi-Coat</v>
      </c>
      <c r="P1565" s="153" t="str">
        <f>IFERROR(__xludf.DUMMYFUNCTION("""COMPUTED_VALUE"""),"18 inch Aero")</f>
        <v>18 inch Aero</v>
      </c>
      <c r="Q1565" s="152" t="str">
        <f>IFERROR(__xludf.DUMMYFUNCTION("""COMPUTED_VALUE"""),"Black seats")</f>
        <v>Black seats</v>
      </c>
      <c r="R1565" s="149" t="str">
        <f>IFERROR(__xludf.DUMMYFUNCTION("""COMPUTED_VALUE"""),"Autopilot")</f>
        <v>Autopilot</v>
      </c>
      <c r="S1565" s="149"/>
      <c r="T1565" s="145"/>
      <c r="U1565" s="145"/>
      <c r="V1565" s="145"/>
      <c r="W1565" s="136"/>
      <c r="X1565" s="137" t="str">
        <f>IFERROR(__xludf.DUMMYFUNCTION("""COMPUTED_VALUE"""),"Fair")</f>
        <v>Fair</v>
      </c>
      <c r="Y1565" s="138" t="str">
        <f>IFERROR(__xludf.DUMMYFUNCTION("""COMPUTED_VALUE"""),"Very Good")</f>
        <v>Very Good</v>
      </c>
      <c r="Z1565" s="138" t="str">
        <f>IFERROR(__xludf.DUMMYFUNCTION("""COMPUTED_VALUE"""),"Good")</f>
        <v>Good</v>
      </c>
      <c r="AA1565" s="138" t="str">
        <f>IFERROR(__xludf.DUMMYFUNCTION("""COMPUTED_VALUE"""),"Good")</f>
        <v>Good</v>
      </c>
      <c r="AB1565" s="138" t="str">
        <f>IFERROR(__xludf.DUMMYFUNCTION("""COMPUTED_VALUE"""),"Very Good")</f>
        <v>Very Good</v>
      </c>
      <c r="AC1565" s="139"/>
      <c r="AD1565" s="139"/>
      <c r="AE1565" s="139"/>
      <c r="AF1565" s="140"/>
      <c r="AG1565" s="136"/>
      <c r="AH1565" s="157">
        <f>IFERROR(__xludf.DUMMYFUNCTION("""COMPUTED_VALUE"""),43825.3308625)</f>
        <v>43825.33086</v>
      </c>
      <c r="AI1565" s="138"/>
      <c r="AJ1565" s="138"/>
      <c r="AK1565" s="138"/>
      <c r="AL1565" s="142"/>
    </row>
    <row r="1566" ht="20.25" customHeight="1">
      <c r="A1566" s="155" t="str">
        <f>IFERROR(__xludf.DUMMYFUNCTION("""COMPUTED_VALUE"""),"SCsocal")</f>
        <v>SCsocal</v>
      </c>
      <c r="B1566" s="149" t="str">
        <f>IFERROR(__xludf.DUMMYFUNCTION("""COMPUTED_VALUE"""),"Buena Park")</f>
        <v>Buena Park</v>
      </c>
      <c r="C1566" s="149" t="str">
        <f>IFERROR(__xludf.DUMMYFUNCTION("""COMPUTED_VALUE"""),"CA")</f>
        <v>CA</v>
      </c>
      <c r="D1566" s="149" t="str">
        <f>IFERROR(__xludf.DUMMYFUNCTION("""COMPUTED_VALUE"""),"USA")</f>
        <v>USA</v>
      </c>
      <c r="E1566" s="156">
        <f>IFERROR(__xludf.DUMMYFUNCTION("""COMPUTED_VALUE"""),43765.0)</f>
        <v>43765</v>
      </c>
      <c r="F1566" s="129">
        <f>IFERROR(__xludf.DUMMYFUNCTION("""COMPUTED_VALUE"""),43819.0)</f>
        <v>43819</v>
      </c>
      <c r="G1566" s="154"/>
      <c r="H1566" s="131">
        <f>IFERROR(__xludf.DUMMYFUNCTION("""COMPUTED_VALUE"""),638069.0)</f>
        <v>638069</v>
      </c>
      <c r="I1566" s="144"/>
      <c r="J1566" s="129">
        <f>IFERROR(__xludf.DUMMYFUNCTION("""COMPUTED_VALUE"""),43822.0)</f>
        <v>43822</v>
      </c>
      <c r="K1566" s="133">
        <f>IFERROR(__xludf.DUMMYFUNCTION("""COMPUTED_VALUE"""),54.0)</f>
        <v>54</v>
      </c>
      <c r="L1566" s="133">
        <f>IFERROR(__xludf.DUMMYFUNCTION("""COMPUTED_VALUE"""),3.0)</f>
        <v>3</v>
      </c>
      <c r="M1566" s="133">
        <f>IFERROR(__xludf.DUMMYFUNCTION("""COMPUTED_VALUE"""),57.0)</f>
        <v>57</v>
      </c>
      <c r="N1566" s="152" t="str">
        <f>IFERROR(__xludf.DUMMYFUNCTION("""COMPUTED_VALUE"""),"Model 3 LR AWD")</f>
        <v>Model 3 LR AWD</v>
      </c>
      <c r="O1566" s="152" t="str">
        <f>IFERROR(__xludf.DUMMYFUNCTION("""COMPUTED_VALUE"""),"Midnight Silver Metallic")</f>
        <v>Midnight Silver Metallic</v>
      </c>
      <c r="P1566" s="153" t="str">
        <f>IFERROR(__xludf.DUMMYFUNCTION("""COMPUTED_VALUE"""),"19 inch Sport")</f>
        <v>19 inch Sport</v>
      </c>
      <c r="Q1566" s="152" t="str">
        <f>IFERROR(__xludf.DUMMYFUNCTION("""COMPUTED_VALUE"""),"Black seats")</f>
        <v>Black seats</v>
      </c>
      <c r="R1566" s="149" t="str">
        <f>IFERROR(__xludf.DUMMYFUNCTION("""COMPUTED_VALUE"""),"Autopilot")</f>
        <v>Autopilot</v>
      </c>
      <c r="S1566" s="149"/>
      <c r="T1566" s="145"/>
      <c r="U1566" s="145"/>
      <c r="V1566" s="145"/>
      <c r="W1566" s="136"/>
      <c r="X1566" s="137" t="str">
        <f>IFERROR(__xludf.DUMMYFUNCTION("""COMPUTED_VALUE"""),"Excellent")</f>
        <v>Excellent</v>
      </c>
      <c r="Y1566" s="138" t="str">
        <f>IFERROR(__xludf.DUMMYFUNCTION("""COMPUTED_VALUE"""),"Excellent")</f>
        <v>Excellent</v>
      </c>
      <c r="Z1566" s="138" t="str">
        <f>IFERROR(__xludf.DUMMYFUNCTION("""COMPUTED_VALUE"""),"Excellent")</f>
        <v>Excellent</v>
      </c>
      <c r="AA1566" s="138" t="str">
        <f>IFERROR(__xludf.DUMMYFUNCTION("""COMPUTED_VALUE"""),"Excellent")</f>
        <v>Excellent</v>
      </c>
      <c r="AB1566" s="138" t="str">
        <f>IFERROR(__xludf.DUMMYFUNCTION("""COMPUTED_VALUE"""),"Excellent")</f>
        <v>Excellent</v>
      </c>
      <c r="AC1566" s="139"/>
      <c r="AD1566" s="139"/>
      <c r="AE1566" s="139"/>
      <c r="AF1566" s="140"/>
      <c r="AG1566" s="136"/>
      <c r="AH1566" s="157">
        <f>IFERROR(__xludf.DUMMYFUNCTION("""COMPUTED_VALUE"""),43842.91227364583)</f>
        <v>43842.91227</v>
      </c>
      <c r="AI1566" s="138"/>
      <c r="AJ1566" s="138"/>
      <c r="AK1566" s="138"/>
      <c r="AL1566" s="142"/>
    </row>
    <row r="1567" ht="20.25" customHeight="1">
      <c r="A1567" s="155" t="str">
        <f>IFERROR(__xludf.DUMMYFUNCTION("""COMPUTED_VALUE"""),"Terwyn82")</f>
        <v>Terwyn82</v>
      </c>
      <c r="B1567" s="149" t="str">
        <f>IFERROR(__xludf.DUMMYFUNCTION("""COMPUTED_VALUE"""),"Los Angeles")</f>
        <v>Los Angeles</v>
      </c>
      <c r="C1567" s="149" t="str">
        <f>IFERROR(__xludf.DUMMYFUNCTION("""COMPUTED_VALUE"""),"CA")</f>
        <v>CA</v>
      </c>
      <c r="D1567" s="149" t="str">
        <f>IFERROR(__xludf.DUMMYFUNCTION("""COMPUTED_VALUE"""),"USA")</f>
        <v>USA</v>
      </c>
      <c r="E1567" s="156">
        <f>IFERROR(__xludf.DUMMYFUNCTION("""COMPUTED_VALUE"""),43765.0)</f>
        <v>43765</v>
      </c>
      <c r="F1567" s="129">
        <f>IFERROR(__xludf.DUMMYFUNCTION("""COMPUTED_VALUE"""),43802.0)</f>
        <v>43802</v>
      </c>
      <c r="G1567" s="154"/>
      <c r="H1567" s="131">
        <f>IFERROR(__xludf.DUMMYFUNCTION("""COMPUTED_VALUE"""),602655.0)</f>
        <v>602655</v>
      </c>
      <c r="I1567" s="144" t="str">
        <f>IFERROR(__xludf.DUMMYFUNCTION("""COMPUTED_VALUE"""),"12/19")</f>
        <v>12/19</v>
      </c>
      <c r="J1567" s="129">
        <f>IFERROR(__xludf.DUMMYFUNCTION("""COMPUTED_VALUE"""),43813.0)</f>
        <v>43813</v>
      </c>
      <c r="K1567" s="133">
        <f>IFERROR(__xludf.DUMMYFUNCTION("""COMPUTED_VALUE"""),37.0)</f>
        <v>37</v>
      </c>
      <c r="L1567" s="133">
        <f>IFERROR(__xludf.DUMMYFUNCTION("""COMPUTED_VALUE"""),11.0)</f>
        <v>11</v>
      </c>
      <c r="M1567" s="133">
        <f>IFERROR(__xludf.DUMMYFUNCTION("""COMPUTED_VALUE"""),48.0)</f>
        <v>48</v>
      </c>
      <c r="N1567" s="152" t="str">
        <f>IFERROR(__xludf.DUMMYFUNCTION("""COMPUTED_VALUE"""),"Model 3 Performance")</f>
        <v>Model 3 Performance</v>
      </c>
      <c r="O1567" s="152" t="str">
        <f>IFERROR(__xludf.DUMMYFUNCTION("""COMPUTED_VALUE"""),"Pearl White Multi-Coat")</f>
        <v>Pearl White Multi-Coat</v>
      </c>
      <c r="P1567" s="153" t="str">
        <f>IFERROR(__xludf.DUMMYFUNCTION("""COMPUTED_VALUE"""),"18 inch Aero")</f>
        <v>18 inch Aero</v>
      </c>
      <c r="Q1567" s="152" t="str">
        <f>IFERROR(__xludf.DUMMYFUNCTION("""COMPUTED_VALUE"""),"Black seats")</f>
        <v>Black seats</v>
      </c>
      <c r="R1567" s="149" t="str">
        <f>IFERROR(__xludf.DUMMYFUNCTION("""COMPUTED_VALUE"""),"Full Self-Driving")</f>
        <v>Full Self-Driving</v>
      </c>
      <c r="S1567" s="149"/>
      <c r="T1567" s="145"/>
      <c r="U1567" s="145"/>
      <c r="V1567" s="145"/>
      <c r="W1567" s="136"/>
      <c r="X1567" s="137" t="str">
        <f>IFERROR(__xludf.DUMMYFUNCTION("""COMPUTED_VALUE"""),"Excellent")</f>
        <v>Excellent</v>
      </c>
      <c r="Y1567" s="138" t="str">
        <f>IFERROR(__xludf.DUMMYFUNCTION("""COMPUTED_VALUE"""),"Excellent")</f>
        <v>Excellent</v>
      </c>
      <c r="Z1567" s="138" t="str">
        <f>IFERROR(__xludf.DUMMYFUNCTION("""COMPUTED_VALUE"""),"Very Good")</f>
        <v>Very Good</v>
      </c>
      <c r="AA1567" s="138" t="str">
        <f>IFERROR(__xludf.DUMMYFUNCTION("""COMPUTED_VALUE"""),"Very Good")</f>
        <v>Very Good</v>
      </c>
      <c r="AB1567" s="138" t="str">
        <f>IFERROR(__xludf.DUMMYFUNCTION("""COMPUTED_VALUE"""),"Excellent")</f>
        <v>Excellent</v>
      </c>
      <c r="AC1567" s="139">
        <f>IFERROR(__xludf.DUMMYFUNCTION("""COMPUTED_VALUE"""),1.0)</f>
        <v>1</v>
      </c>
      <c r="AD1567" s="139"/>
      <c r="AE1567" s="139"/>
      <c r="AF1567" s="140"/>
      <c r="AG1567" s="136"/>
      <c r="AH1567" s="157">
        <f>IFERROR(__xludf.DUMMYFUNCTION("""COMPUTED_VALUE"""),43821.74676978009)</f>
        <v>43821.74677</v>
      </c>
      <c r="AI1567" s="138"/>
      <c r="AJ1567" s="138"/>
      <c r="AK1567" s="138"/>
      <c r="AL1567" s="142"/>
    </row>
    <row r="1568" ht="20.25" customHeight="1">
      <c r="A1568" s="155" t="str">
        <f>IFERROR(__xludf.DUMMYFUNCTION("""COMPUTED_VALUE"""),"TeslaVA")</f>
        <v>TeslaVA</v>
      </c>
      <c r="B1568" s="149" t="str">
        <f>IFERROR(__xludf.DUMMYFUNCTION("""COMPUTED_VALUE"""),"Charlottesville")</f>
        <v>Charlottesville</v>
      </c>
      <c r="C1568" s="149" t="str">
        <f>IFERROR(__xludf.DUMMYFUNCTION("""COMPUTED_VALUE"""),"VA")</f>
        <v>VA</v>
      </c>
      <c r="D1568" s="149" t="str">
        <f>IFERROR(__xludf.DUMMYFUNCTION("""COMPUTED_VALUE"""),"USA")</f>
        <v>USA</v>
      </c>
      <c r="E1568" s="156">
        <f>IFERROR(__xludf.DUMMYFUNCTION("""COMPUTED_VALUE"""),43765.0)</f>
        <v>43765</v>
      </c>
      <c r="F1568" s="129">
        <f>IFERROR(__xludf.DUMMYFUNCTION("""COMPUTED_VALUE"""),43790.0)</f>
        <v>43790</v>
      </c>
      <c r="G1568" s="154"/>
      <c r="H1568" s="131">
        <f>IFERROR(__xludf.DUMMYFUNCTION("""COMPUTED_VALUE"""),495955.0)</f>
        <v>495955</v>
      </c>
      <c r="I1568" s="144" t="str">
        <f>IFERROR(__xludf.DUMMYFUNCTION("""COMPUTED_VALUE"""),"11/19")</f>
        <v>11/19</v>
      </c>
      <c r="J1568" s="129">
        <f>IFERROR(__xludf.DUMMYFUNCTION("""COMPUTED_VALUE"""),43805.0)</f>
        <v>43805</v>
      </c>
      <c r="K1568" s="133">
        <f>IFERROR(__xludf.DUMMYFUNCTION("""COMPUTED_VALUE"""),25.0)</f>
        <v>25</v>
      </c>
      <c r="L1568" s="133">
        <f>IFERROR(__xludf.DUMMYFUNCTION("""COMPUTED_VALUE"""),15.0)</f>
        <v>15</v>
      </c>
      <c r="M1568" s="133">
        <f>IFERROR(__xludf.DUMMYFUNCTION("""COMPUTED_VALUE"""),40.0)</f>
        <v>40</v>
      </c>
      <c r="N1568" s="152" t="str">
        <f>IFERROR(__xludf.DUMMYFUNCTION("""COMPUTED_VALUE"""),"Model 3 SR+")</f>
        <v>Model 3 SR+</v>
      </c>
      <c r="O1568" s="152" t="str">
        <f>IFERROR(__xludf.DUMMYFUNCTION("""COMPUTED_VALUE"""),"Midnight Silver Metallic")</f>
        <v>Midnight Silver Metallic</v>
      </c>
      <c r="P1568" s="153" t="str">
        <f>IFERROR(__xludf.DUMMYFUNCTION("""COMPUTED_VALUE"""),"18 inch Aero")</f>
        <v>18 inch Aero</v>
      </c>
      <c r="Q1568" s="152" t="str">
        <f>IFERROR(__xludf.DUMMYFUNCTION("""COMPUTED_VALUE"""),"Black seats")</f>
        <v>Black seats</v>
      </c>
      <c r="R1568" s="149" t="str">
        <f>IFERROR(__xludf.DUMMYFUNCTION("""COMPUTED_VALUE"""),"Full Self-Driving")</f>
        <v>Full Self-Driving</v>
      </c>
      <c r="S1568" s="149"/>
      <c r="T1568" s="145"/>
      <c r="U1568" s="145"/>
      <c r="V1568" s="145"/>
      <c r="W1568" s="136"/>
      <c r="X1568" s="137" t="str">
        <f>IFERROR(__xludf.DUMMYFUNCTION("""COMPUTED_VALUE"""),"Excellent")</f>
        <v>Excellent</v>
      </c>
      <c r="Y1568" s="138" t="str">
        <f>IFERROR(__xludf.DUMMYFUNCTION("""COMPUTED_VALUE"""),"Excellent")</f>
        <v>Excellent</v>
      </c>
      <c r="Z1568" s="138" t="str">
        <f>IFERROR(__xludf.DUMMYFUNCTION("""COMPUTED_VALUE"""),"Excellent")</f>
        <v>Excellent</v>
      </c>
      <c r="AA1568" s="138" t="str">
        <f>IFERROR(__xludf.DUMMYFUNCTION("""COMPUTED_VALUE"""),"Fair")</f>
        <v>Fair</v>
      </c>
      <c r="AB1568" s="138" t="str">
        <f>IFERROR(__xludf.DUMMYFUNCTION("""COMPUTED_VALUE"""),"Very Good")</f>
        <v>Very Good</v>
      </c>
      <c r="AC1568" s="139"/>
      <c r="AD1568" s="139"/>
      <c r="AE1568" s="139"/>
      <c r="AF1568" s="140"/>
      <c r="AG1568" s="136" t="str">
        <f>IFERROR(__xludf.DUMMYFUNCTION("""COMPUTED_VALUE"""),"So far so good am loving my Model 3!")</f>
        <v>So far so good am loving my Model 3!</v>
      </c>
      <c r="AH1568" s="157">
        <f>IFERROR(__xludf.DUMMYFUNCTION("""COMPUTED_VALUE"""),43812.70892975694)</f>
        <v>43812.70893</v>
      </c>
      <c r="AI1568" s="138"/>
      <c r="AJ1568" s="138"/>
      <c r="AK1568" s="138"/>
      <c r="AL1568" s="142"/>
    </row>
    <row r="1569" ht="20.25" customHeight="1">
      <c r="A1569" s="155" t="str">
        <f>IFERROR(__xludf.DUMMYFUNCTION("""COMPUTED_VALUE"""),"Cardville")</f>
        <v>Cardville</v>
      </c>
      <c r="B1569" s="149" t="str">
        <f>IFERROR(__xludf.DUMMYFUNCTION("""COMPUTED_VALUE"""),"SoCal")</f>
        <v>SoCal</v>
      </c>
      <c r="C1569" s="149" t="str">
        <f>IFERROR(__xludf.DUMMYFUNCTION("""COMPUTED_VALUE"""),"CA")</f>
        <v>CA</v>
      </c>
      <c r="D1569" s="149" t="str">
        <f>IFERROR(__xludf.DUMMYFUNCTION("""COMPUTED_VALUE"""),"USA")</f>
        <v>USA</v>
      </c>
      <c r="E1569" s="156">
        <f>IFERROR(__xludf.DUMMYFUNCTION("""COMPUTED_VALUE"""),43764.0)</f>
        <v>43764</v>
      </c>
      <c r="F1569" s="129">
        <f>IFERROR(__xludf.DUMMYFUNCTION("""COMPUTED_VALUE"""),43815.0)</f>
        <v>43815</v>
      </c>
      <c r="G1569" s="154"/>
      <c r="H1569" s="131"/>
      <c r="I1569" s="144"/>
      <c r="J1569" s="129">
        <f>IFERROR(__xludf.DUMMYFUNCTION("""COMPUTED_VALUE"""),43818.0)</f>
        <v>43818</v>
      </c>
      <c r="K1569" s="133">
        <f>IFERROR(__xludf.DUMMYFUNCTION("""COMPUTED_VALUE"""),51.0)</f>
        <v>51</v>
      </c>
      <c r="L1569" s="133">
        <f>IFERROR(__xludf.DUMMYFUNCTION("""COMPUTED_VALUE"""),3.0)</f>
        <v>3</v>
      </c>
      <c r="M1569" s="133">
        <f>IFERROR(__xludf.DUMMYFUNCTION("""COMPUTED_VALUE"""),54.0)</f>
        <v>54</v>
      </c>
      <c r="N1569" s="152" t="str">
        <f>IFERROR(__xludf.DUMMYFUNCTION("""COMPUTED_VALUE"""),"Model 3 LR AWD")</f>
        <v>Model 3 LR AWD</v>
      </c>
      <c r="O1569" s="152" t="str">
        <f>IFERROR(__xludf.DUMMYFUNCTION("""COMPUTED_VALUE"""),"Red Multi-Coat")</f>
        <v>Red Multi-Coat</v>
      </c>
      <c r="P1569" s="153" t="str">
        <f>IFERROR(__xludf.DUMMYFUNCTION("""COMPUTED_VALUE"""),"19 inch Sport")</f>
        <v>19 inch Sport</v>
      </c>
      <c r="Q1569" s="152" t="str">
        <f>IFERROR(__xludf.DUMMYFUNCTION("""COMPUTED_VALUE"""),"Black seats")</f>
        <v>Black seats</v>
      </c>
      <c r="R1569" s="149" t="str">
        <f>IFERROR(__xludf.DUMMYFUNCTION("""COMPUTED_VALUE"""),"Full Self-Driving")</f>
        <v>Full Self-Driving</v>
      </c>
      <c r="S1569" s="149"/>
      <c r="T1569" s="145"/>
      <c r="U1569" s="145"/>
      <c r="V1569" s="145"/>
      <c r="W1569" s="136"/>
      <c r="X1569" s="137" t="str">
        <f>IFERROR(__xludf.DUMMYFUNCTION("""COMPUTED_VALUE"""),"Excellent")</f>
        <v>Excellent</v>
      </c>
      <c r="Y1569" s="138" t="str">
        <f>IFERROR(__xludf.DUMMYFUNCTION("""COMPUTED_VALUE"""),"Excellent")</f>
        <v>Excellent</v>
      </c>
      <c r="Z1569" s="138" t="str">
        <f>IFERROR(__xludf.DUMMYFUNCTION("""COMPUTED_VALUE"""),"Excellent")</f>
        <v>Excellent</v>
      </c>
      <c r="AA1569" s="138" t="str">
        <f>IFERROR(__xludf.DUMMYFUNCTION("""COMPUTED_VALUE"""),"Good")</f>
        <v>Good</v>
      </c>
      <c r="AB1569" s="138" t="str">
        <f>IFERROR(__xludf.DUMMYFUNCTION("""COMPUTED_VALUE"""),"Excellent")</f>
        <v>Excellent</v>
      </c>
      <c r="AC1569" s="139"/>
      <c r="AD1569" s="139"/>
      <c r="AE1569" s="139"/>
      <c r="AF1569" s="140"/>
      <c r="AG1569" s="136"/>
      <c r="AH1569" s="157">
        <f>IFERROR(__xludf.DUMMYFUNCTION("""COMPUTED_VALUE"""),43822.45117939815)</f>
        <v>43822.45118</v>
      </c>
      <c r="AI1569" s="138"/>
      <c r="AJ1569" s="138"/>
      <c r="AK1569" s="138"/>
      <c r="AL1569" s="142"/>
    </row>
    <row r="1570" ht="20.25" customHeight="1">
      <c r="A1570" s="155" t="str">
        <f>IFERROR(__xludf.DUMMYFUNCTION("""COMPUTED_VALUE"""),"houey")</f>
        <v>houey</v>
      </c>
      <c r="B1570" s="149" t="str">
        <f>IFERROR(__xludf.DUMMYFUNCTION("""COMPUTED_VALUE"""),"salina")</f>
        <v>salina</v>
      </c>
      <c r="C1570" s="149" t="str">
        <f>IFERROR(__xludf.DUMMYFUNCTION("""COMPUTED_VALUE"""),"KS")</f>
        <v>KS</v>
      </c>
      <c r="D1570" s="149" t="str">
        <f>IFERROR(__xludf.DUMMYFUNCTION("""COMPUTED_VALUE"""),"USA")</f>
        <v>USA</v>
      </c>
      <c r="E1570" s="156">
        <f>IFERROR(__xludf.DUMMYFUNCTION("""COMPUTED_VALUE"""),43764.0)</f>
        <v>43764</v>
      </c>
      <c r="F1570" s="129">
        <f>IFERROR(__xludf.DUMMYFUNCTION("""COMPUTED_VALUE"""),43800.0)</f>
        <v>43800</v>
      </c>
      <c r="G1570" s="154"/>
      <c r="H1570" s="131">
        <f>IFERROR(__xludf.DUMMYFUNCTION("""COMPUTED_VALUE"""),617792.0)</f>
        <v>617792</v>
      </c>
      <c r="I1570" s="144"/>
      <c r="J1570" s="129">
        <f>IFERROR(__xludf.DUMMYFUNCTION("""COMPUTED_VALUE"""),43812.0)</f>
        <v>43812</v>
      </c>
      <c r="K1570" s="133">
        <f>IFERROR(__xludf.DUMMYFUNCTION("""COMPUTED_VALUE"""),36.0)</f>
        <v>36</v>
      </c>
      <c r="L1570" s="133">
        <f>IFERROR(__xludf.DUMMYFUNCTION("""COMPUTED_VALUE"""),12.0)</f>
        <v>12</v>
      </c>
      <c r="M1570" s="133">
        <f>IFERROR(__xludf.DUMMYFUNCTION("""COMPUTED_VALUE"""),48.0)</f>
        <v>48</v>
      </c>
      <c r="N1570" s="152" t="str">
        <f>IFERROR(__xludf.DUMMYFUNCTION("""COMPUTED_VALUE"""),"Model 3 LR AWD")</f>
        <v>Model 3 LR AWD</v>
      </c>
      <c r="O1570" s="152" t="str">
        <f>IFERROR(__xludf.DUMMYFUNCTION("""COMPUTED_VALUE"""),"Pearl White Multi-Coat")</f>
        <v>Pearl White Multi-Coat</v>
      </c>
      <c r="P1570" s="153" t="str">
        <f>IFERROR(__xludf.DUMMYFUNCTION("""COMPUTED_VALUE"""),"18 inch Aero")</f>
        <v>18 inch Aero</v>
      </c>
      <c r="Q1570" s="152" t="str">
        <f>IFERROR(__xludf.DUMMYFUNCTION("""COMPUTED_VALUE"""),"Black seats")</f>
        <v>Black seats</v>
      </c>
      <c r="R1570" s="149" t="str">
        <f>IFERROR(__xludf.DUMMYFUNCTION("""COMPUTED_VALUE"""),"Autopilot")</f>
        <v>Autopilot</v>
      </c>
      <c r="S1570" s="149"/>
      <c r="T1570" s="145"/>
      <c r="U1570" s="145"/>
      <c r="V1570" s="145"/>
      <c r="W1570" s="136"/>
      <c r="X1570" s="137" t="str">
        <f>IFERROR(__xludf.DUMMYFUNCTION("""COMPUTED_VALUE"""),"Excellent")</f>
        <v>Excellent</v>
      </c>
      <c r="Y1570" s="138" t="str">
        <f>IFERROR(__xludf.DUMMYFUNCTION("""COMPUTED_VALUE"""),"Excellent")</f>
        <v>Excellent</v>
      </c>
      <c r="Z1570" s="138" t="str">
        <f>IFERROR(__xludf.DUMMYFUNCTION("""COMPUTED_VALUE"""),"Good")</f>
        <v>Good</v>
      </c>
      <c r="AA1570" s="138" t="str">
        <f>IFERROR(__xludf.DUMMYFUNCTION("""COMPUTED_VALUE"""),"Excellent")</f>
        <v>Excellent</v>
      </c>
      <c r="AB1570" s="138" t="str">
        <f>IFERROR(__xludf.DUMMYFUNCTION("""COMPUTED_VALUE"""),"Excellent")</f>
        <v>Excellent</v>
      </c>
      <c r="AC1570" s="139">
        <f>IFERROR(__xludf.DUMMYFUNCTION("""COMPUTED_VALUE"""),0.0)</f>
        <v>0</v>
      </c>
      <c r="AD1570" s="139"/>
      <c r="AE1570" s="139"/>
      <c r="AF1570" s="140"/>
      <c r="AG1570" s="136"/>
      <c r="AH1570" s="157">
        <f>IFERROR(__xludf.DUMMYFUNCTION("""COMPUTED_VALUE"""),43814.43947435186)</f>
        <v>43814.43947</v>
      </c>
      <c r="AI1570" s="138"/>
      <c r="AJ1570" s="138"/>
      <c r="AK1570" s="138"/>
      <c r="AL1570" s="142"/>
    </row>
    <row r="1571" ht="20.25" customHeight="1">
      <c r="A1571" s="155" t="str">
        <f>IFERROR(__xludf.DUMMYFUNCTION("""COMPUTED_VALUE"""),"Jserrano")</f>
        <v>Jserrano</v>
      </c>
      <c r="B1571" s="149" t="str">
        <f>IFERROR(__xludf.DUMMYFUNCTION("""COMPUTED_VALUE"""),"Pasadena")</f>
        <v>Pasadena</v>
      </c>
      <c r="C1571" s="149" t="str">
        <f>IFERROR(__xludf.DUMMYFUNCTION("""COMPUTED_VALUE"""),"CA")</f>
        <v>CA</v>
      </c>
      <c r="D1571" s="149" t="str">
        <f>IFERROR(__xludf.DUMMYFUNCTION("""COMPUTED_VALUE"""),"USA")</f>
        <v>USA</v>
      </c>
      <c r="E1571" s="156">
        <f>IFERROR(__xludf.DUMMYFUNCTION("""COMPUTED_VALUE"""),43764.0)</f>
        <v>43764</v>
      </c>
      <c r="F1571" s="129">
        <f>IFERROR(__xludf.DUMMYFUNCTION("""COMPUTED_VALUE"""),43825.0)</f>
        <v>43825</v>
      </c>
      <c r="G1571" s="154"/>
      <c r="H1571" s="131"/>
      <c r="I1571" s="144"/>
      <c r="J1571" s="129">
        <f>IFERROR(__xludf.DUMMYFUNCTION("""COMPUTED_VALUE"""),43825.0)</f>
        <v>43825</v>
      </c>
      <c r="K1571" s="133">
        <f>IFERROR(__xludf.DUMMYFUNCTION("""COMPUTED_VALUE"""),61.0)</f>
        <v>61</v>
      </c>
      <c r="L1571" s="133">
        <f>IFERROR(__xludf.DUMMYFUNCTION("""COMPUTED_VALUE"""),0.0)</f>
        <v>0</v>
      </c>
      <c r="M1571" s="133">
        <f>IFERROR(__xludf.DUMMYFUNCTION("""COMPUTED_VALUE"""),61.0)</f>
        <v>61</v>
      </c>
      <c r="N1571" s="152" t="str">
        <f>IFERROR(__xludf.DUMMYFUNCTION("""COMPUTED_VALUE"""),"Model 3 SR+")</f>
        <v>Model 3 SR+</v>
      </c>
      <c r="O1571" s="152" t="str">
        <f>IFERROR(__xludf.DUMMYFUNCTION("""COMPUTED_VALUE"""),"Pearl White Multi-Coat")</f>
        <v>Pearl White Multi-Coat</v>
      </c>
      <c r="P1571" s="153" t="str">
        <f>IFERROR(__xludf.DUMMYFUNCTION("""COMPUTED_VALUE"""),"18 inch Aero")</f>
        <v>18 inch Aero</v>
      </c>
      <c r="Q1571" s="152" t="str">
        <f>IFERROR(__xludf.DUMMYFUNCTION("""COMPUTED_VALUE"""),"Black seats")</f>
        <v>Black seats</v>
      </c>
      <c r="R1571" s="149" t="str">
        <f>IFERROR(__xludf.DUMMYFUNCTION("""COMPUTED_VALUE"""),"Autopilot")</f>
        <v>Autopilot</v>
      </c>
      <c r="S1571" s="149"/>
      <c r="T1571" s="145"/>
      <c r="U1571" s="145"/>
      <c r="V1571" s="145"/>
      <c r="W1571" s="136"/>
      <c r="X1571" s="137" t="str">
        <f>IFERROR(__xludf.DUMMYFUNCTION("""COMPUTED_VALUE"""),"Fair")</f>
        <v>Fair</v>
      </c>
      <c r="Y1571" s="138" t="str">
        <f>IFERROR(__xludf.DUMMYFUNCTION("""COMPUTED_VALUE"""),"Fair")</f>
        <v>Fair</v>
      </c>
      <c r="Z1571" s="138" t="str">
        <f>IFERROR(__xludf.DUMMYFUNCTION("""COMPUTED_VALUE"""),"Good")</f>
        <v>Good</v>
      </c>
      <c r="AA1571" s="138" t="str">
        <f>IFERROR(__xludf.DUMMYFUNCTION("""COMPUTED_VALUE"""),"Poor")</f>
        <v>Poor</v>
      </c>
      <c r="AB1571" s="138" t="str">
        <f>IFERROR(__xludf.DUMMYFUNCTION("""COMPUTED_VALUE"""),"Good")</f>
        <v>Good</v>
      </c>
      <c r="AC1571" s="139">
        <f>IFERROR(__xludf.DUMMYFUNCTION("""COMPUTED_VALUE"""),1.0)</f>
        <v>1</v>
      </c>
      <c r="AD1571" s="139"/>
      <c r="AE1571" s="139"/>
      <c r="AF1571" s="140"/>
      <c r="AG1571" s="136"/>
      <c r="AH1571" s="157">
        <f>IFERROR(__xludf.DUMMYFUNCTION("""COMPUTED_VALUE"""),43830.40694981482)</f>
        <v>43830.40695</v>
      </c>
      <c r="AI1571" s="138"/>
      <c r="AJ1571" s="138"/>
      <c r="AK1571" s="138"/>
      <c r="AL1571" s="142"/>
    </row>
    <row r="1572" ht="20.25" customHeight="1">
      <c r="A1572" s="155" t="str">
        <f>IFERROR(__xludf.DUMMYFUNCTION("""COMPUTED_VALUE"""),"kenobe")</f>
        <v>kenobe</v>
      </c>
      <c r="B1572" s="149" t="str">
        <f>IFERROR(__xludf.DUMMYFUNCTION("""COMPUTED_VALUE"""),"san diego")</f>
        <v>san diego</v>
      </c>
      <c r="C1572" s="149" t="str">
        <f>IFERROR(__xludf.DUMMYFUNCTION("""COMPUTED_VALUE"""),"CA")</f>
        <v>CA</v>
      </c>
      <c r="D1572" s="149" t="str">
        <f>IFERROR(__xludf.DUMMYFUNCTION("""COMPUTED_VALUE"""),"USA")</f>
        <v>USA</v>
      </c>
      <c r="E1572" s="156">
        <f>IFERROR(__xludf.DUMMYFUNCTION("""COMPUTED_VALUE"""),43764.0)</f>
        <v>43764</v>
      </c>
      <c r="F1572" s="129">
        <f>IFERROR(__xludf.DUMMYFUNCTION("""COMPUTED_VALUE"""),43818.0)</f>
        <v>43818</v>
      </c>
      <c r="G1572" s="154"/>
      <c r="H1572" s="131"/>
      <c r="I1572" s="144"/>
      <c r="J1572" s="129">
        <f>IFERROR(__xludf.DUMMYFUNCTION("""COMPUTED_VALUE"""),43819.0)</f>
        <v>43819</v>
      </c>
      <c r="K1572" s="133">
        <f>IFERROR(__xludf.DUMMYFUNCTION("""COMPUTED_VALUE"""),54.0)</f>
        <v>54</v>
      </c>
      <c r="L1572" s="133">
        <f>IFERROR(__xludf.DUMMYFUNCTION("""COMPUTED_VALUE"""),1.0)</f>
        <v>1</v>
      </c>
      <c r="M1572" s="133">
        <f>IFERROR(__xludf.DUMMYFUNCTION("""COMPUTED_VALUE"""),55.0)</f>
        <v>55</v>
      </c>
      <c r="N1572" s="152" t="str">
        <f>IFERROR(__xludf.DUMMYFUNCTION("""COMPUTED_VALUE"""),"Model 3 SR+")</f>
        <v>Model 3 SR+</v>
      </c>
      <c r="O1572" s="152" t="str">
        <f>IFERROR(__xludf.DUMMYFUNCTION("""COMPUTED_VALUE"""),"Midnight Silver Metallic")</f>
        <v>Midnight Silver Metallic</v>
      </c>
      <c r="P1572" s="153" t="str">
        <f>IFERROR(__xludf.DUMMYFUNCTION("""COMPUTED_VALUE"""),"18 inch Aero")</f>
        <v>18 inch Aero</v>
      </c>
      <c r="Q1572" s="152" t="str">
        <f>IFERROR(__xludf.DUMMYFUNCTION("""COMPUTED_VALUE"""),"Black seats")</f>
        <v>Black seats</v>
      </c>
      <c r="R1572" s="149" t="str">
        <f>IFERROR(__xludf.DUMMYFUNCTION("""COMPUTED_VALUE"""),"Autopilot")</f>
        <v>Autopilot</v>
      </c>
      <c r="S1572" s="149"/>
      <c r="T1572" s="145"/>
      <c r="U1572" s="145"/>
      <c r="V1572" s="145"/>
      <c r="W1572" s="136"/>
      <c r="X1572" s="137" t="str">
        <f>IFERROR(__xludf.DUMMYFUNCTION("""COMPUTED_VALUE"""),"Good")</f>
        <v>Good</v>
      </c>
      <c r="Y1572" s="138" t="str">
        <f>IFERROR(__xludf.DUMMYFUNCTION("""COMPUTED_VALUE"""),"Very Good")</f>
        <v>Very Good</v>
      </c>
      <c r="Z1572" s="138"/>
      <c r="AA1572" s="138" t="str">
        <f>IFERROR(__xludf.DUMMYFUNCTION("""COMPUTED_VALUE"""),"Good")</f>
        <v>Good</v>
      </c>
      <c r="AB1572" s="138" t="str">
        <f>IFERROR(__xludf.DUMMYFUNCTION("""COMPUTED_VALUE"""),"Good")</f>
        <v>Good</v>
      </c>
      <c r="AC1572" s="139">
        <f>IFERROR(__xludf.DUMMYFUNCTION("""COMPUTED_VALUE"""),2.0)</f>
        <v>2</v>
      </c>
      <c r="AD1572" s="139"/>
      <c r="AE1572" s="139"/>
      <c r="AF1572" s="140"/>
      <c r="AG1572" s="136"/>
      <c r="AH1572" s="157">
        <f>IFERROR(__xludf.DUMMYFUNCTION("""COMPUTED_VALUE"""),43820.62665618055)</f>
        <v>43820.62666</v>
      </c>
      <c r="AI1572" s="138"/>
      <c r="AJ1572" s="138"/>
      <c r="AK1572" s="138"/>
      <c r="AL1572" s="142"/>
    </row>
    <row r="1573" ht="20.25" customHeight="1">
      <c r="A1573" s="155" t="str">
        <f>IFERROR(__xludf.DUMMYFUNCTION("""COMPUTED_VALUE"""),"Mr. T")</f>
        <v>Mr. T</v>
      </c>
      <c r="B1573" s="149" t="str">
        <f>IFERROR(__xludf.DUMMYFUNCTION("""COMPUTED_VALUE"""),"Herriman")</f>
        <v>Herriman</v>
      </c>
      <c r="C1573" s="149" t="str">
        <f>IFERROR(__xludf.DUMMYFUNCTION("""COMPUTED_VALUE"""),"UT")</f>
        <v>UT</v>
      </c>
      <c r="D1573" s="149" t="str">
        <f>IFERROR(__xludf.DUMMYFUNCTION("""COMPUTED_VALUE"""),"USA")</f>
        <v>USA</v>
      </c>
      <c r="E1573" s="156">
        <f>IFERROR(__xludf.DUMMYFUNCTION("""COMPUTED_VALUE"""),43764.0)</f>
        <v>43764</v>
      </c>
      <c r="F1573" s="129">
        <f>IFERROR(__xludf.DUMMYFUNCTION("""COMPUTED_VALUE"""),43817.0)</f>
        <v>43817</v>
      </c>
      <c r="G1573" s="154"/>
      <c r="H1573" s="131">
        <f>IFERROR(__xludf.DUMMYFUNCTION("""COMPUTED_VALUE"""),600055.0)</f>
        <v>600055</v>
      </c>
      <c r="I1573" s="144"/>
      <c r="J1573" s="129">
        <f>IFERROR(__xludf.DUMMYFUNCTION("""COMPUTED_VALUE"""),43819.0)</f>
        <v>43819</v>
      </c>
      <c r="K1573" s="133">
        <f>IFERROR(__xludf.DUMMYFUNCTION("""COMPUTED_VALUE"""),53.0)</f>
        <v>53</v>
      </c>
      <c r="L1573" s="133">
        <f>IFERROR(__xludf.DUMMYFUNCTION("""COMPUTED_VALUE"""),2.0)</f>
        <v>2</v>
      </c>
      <c r="M1573" s="133">
        <f>IFERROR(__xludf.DUMMYFUNCTION("""COMPUTED_VALUE"""),55.0)</f>
        <v>55</v>
      </c>
      <c r="N1573" s="152" t="str">
        <f>IFERROR(__xludf.DUMMYFUNCTION("""COMPUTED_VALUE"""),"Model 3 LR AWD")</f>
        <v>Model 3 LR AWD</v>
      </c>
      <c r="O1573" s="152" t="str">
        <f>IFERROR(__xludf.DUMMYFUNCTION("""COMPUTED_VALUE"""),"Solid Black")</f>
        <v>Solid Black</v>
      </c>
      <c r="P1573" s="153" t="str">
        <f>IFERROR(__xludf.DUMMYFUNCTION("""COMPUTED_VALUE"""),"18 inch Aero")</f>
        <v>18 inch Aero</v>
      </c>
      <c r="Q1573" s="152" t="str">
        <f>IFERROR(__xludf.DUMMYFUNCTION("""COMPUTED_VALUE"""),"Black seats")</f>
        <v>Black seats</v>
      </c>
      <c r="R1573" s="149" t="str">
        <f>IFERROR(__xludf.DUMMYFUNCTION("""COMPUTED_VALUE"""),"Autopilot")</f>
        <v>Autopilot</v>
      </c>
      <c r="S1573" s="149"/>
      <c r="T1573" s="145"/>
      <c r="U1573" s="145"/>
      <c r="V1573" s="145"/>
      <c r="W1573" s="136"/>
      <c r="X1573" s="137" t="str">
        <f>IFERROR(__xludf.DUMMYFUNCTION("""COMPUTED_VALUE"""),"Good")</f>
        <v>Good</v>
      </c>
      <c r="Y1573" s="138" t="str">
        <f>IFERROR(__xludf.DUMMYFUNCTION("""COMPUTED_VALUE"""),"Excellent")</f>
        <v>Excellent</v>
      </c>
      <c r="Z1573" s="138" t="str">
        <f>IFERROR(__xludf.DUMMYFUNCTION("""COMPUTED_VALUE"""),"Fair")</f>
        <v>Fair</v>
      </c>
      <c r="AA1573" s="138" t="str">
        <f>IFERROR(__xludf.DUMMYFUNCTION("""COMPUTED_VALUE"""),"Fair")</f>
        <v>Fair</v>
      </c>
      <c r="AB1573" s="138" t="str">
        <f>IFERROR(__xludf.DUMMYFUNCTION("""COMPUTED_VALUE"""),"Very Good")</f>
        <v>Very Good</v>
      </c>
      <c r="AC1573" s="139">
        <f>IFERROR(__xludf.DUMMYFUNCTION("""COMPUTED_VALUE"""),1.0)</f>
        <v>1</v>
      </c>
      <c r="AD1573" s="139">
        <f>IFERROR(__xludf.DUMMYFUNCTION("""COMPUTED_VALUE"""),1.0)</f>
        <v>1</v>
      </c>
      <c r="AE1573" s="139">
        <f>IFERROR(__xludf.DUMMYFUNCTION("""COMPUTED_VALUE"""),0.0)</f>
        <v>0</v>
      </c>
      <c r="AF1573" s="140"/>
      <c r="AG1573" s="136" t="str">
        <f>IFERROR(__xludf.DUMMYFUNCTION("""COMPUTED_VALUE"""),"Found VIN in source code")</f>
        <v>Found VIN in source code</v>
      </c>
      <c r="AH1573" s="157">
        <f>IFERROR(__xludf.DUMMYFUNCTION("""COMPUTED_VALUE"""),43819.88475238426)</f>
        <v>43819.88475</v>
      </c>
      <c r="AI1573" s="138"/>
      <c r="AJ1573" s="138"/>
      <c r="AK1573" s="138"/>
      <c r="AL1573" s="142"/>
    </row>
    <row r="1574" ht="20.25" customHeight="1">
      <c r="A1574" s="155" t="str">
        <f>IFERROR(__xludf.DUMMYFUNCTION("""COMPUTED_VALUE"""),"Spamyuk")</f>
        <v>Spamyuk</v>
      </c>
      <c r="B1574" s="149" t="str">
        <f>IFERROR(__xludf.DUMMYFUNCTION("""COMPUTED_VALUE"""),"San Jose")</f>
        <v>San Jose</v>
      </c>
      <c r="C1574" s="149" t="str">
        <f>IFERROR(__xludf.DUMMYFUNCTION("""COMPUTED_VALUE"""),"CA")</f>
        <v>CA</v>
      </c>
      <c r="D1574" s="149" t="str">
        <f>IFERROR(__xludf.DUMMYFUNCTION("""COMPUTED_VALUE"""),"USA")</f>
        <v>USA</v>
      </c>
      <c r="E1574" s="156">
        <f>IFERROR(__xludf.DUMMYFUNCTION("""COMPUTED_VALUE"""),43764.0)</f>
        <v>43764</v>
      </c>
      <c r="F1574" s="129">
        <f>IFERROR(__xludf.DUMMYFUNCTION("""COMPUTED_VALUE"""),43823.0)</f>
        <v>43823</v>
      </c>
      <c r="G1574" s="154"/>
      <c r="H1574" s="131">
        <f>IFERROR(__xludf.DUMMYFUNCTION("""COMPUTED_VALUE"""),640755.0)</f>
        <v>640755</v>
      </c>
      <c r="I1574" s="144"/>
      <c r="J1574" s="129">
        <f>IFERROR(__xludf.DUMMYFUNCTION("""COMPUTED_VALUE"""),43826.0)</f>
        <v>43826</v>
      </c>
      <c r="K1574" s="133">
        <f>IFERROR(__xludf.DUMMYFUNCTION("""COMPUTED_VALUE"""),59.0)</f>
        <v>59</v>
      </c>
      <c r="L1574" s="133">
        <f>IFERROR(__xludf.DUMMYFUNCTION("""COMPUTED_VALUE"""),3.0)</f>
        <v>3</v>
      </c>
      <c r="M1574" s="133">
        <f>IFERROR(__xludf.DUMMYFUNCTION("""COMPUTED_VALUE"""),62.0)</f>
        <v>62</v>
      </c>
      <c r="N1574" s="152" t="str">
        <f>IFERROR(__xludf.DUMMYFUNCTION("""COMPUTED_VALUE"""),"Model 3 Performance")</f>
        <v>Model 3 Performance</v>
      </c>
      <c r="O1574" s="152" t="str">
        <f>IFERROR(__xludf.DUMMYFUNCTION("""COMPUTED_VALUE"""),"Solid Black")</f>
        <v>Solid Black</v>
      </c>
      <c r="P1574" s="153" t="str">
        <f>IFERROR(__xludf.DUMMYFUNCTION("""COMPUTED_VALUE"""),"20 inch Sport")</f>
        <v>20 inch Sport</v>
      </c>
      <c r="Q1574" s="152" t="str">
        <f>IFERROR(__xludf.DUMMYFUNCTION("""COMPUTED_VALUE"""),"Black seats")</f>
        <v>Black seats</v>
      </c>
      <c r="R1574" s="149" t="str">
        <f>IFERROR(__xludf.DUMMYFUNCTION("""COMPUTED_VALUE"""),"Full Self-Driving")</f>
        <v>Full Self-Driving</v>
      </c>
      <c r="S1574" s="149"/>
      <c r="T1574" s="145"/>
      <c r="U1574" s="145"/>
      <c r="V1574" s="145"/>
      <c r="W1574" s="136"/>
      <c r="X1574" s="137" t="str">
        <f>IFERROR(__xludf.DUMMYFUNCTION("""COMPUTED_VALUE"""),"Very Good")</f>
        <v>Very Good</v>
      </c>
      <c r="Y1574" s="138" t="str">
        <f>IFERROR(__xludf.DUMMYFUNCTION("""COMPUTED_VALUE"""),"Very Good")</f>
        <v>Very Good</v>
      </c>
      <c r="Z1574" s="138" t="str">
        <f>IFERROR(__xludf.DUMMYFUNCTION("""COMPUTED_VALUE"""),"Very Good")</f>
        <v>Very Good</v>
      </c>
      <c r="AA1574" s="138" t="str">
        <f>IFERROR(__xludf.DUMMYFUNCTION("""COMPUTED_VALUE"""),"Good")</f>
        <v>Good</v>
      </c>
      <c r="AB1574" s="138" t="str">
        <f>IFERROR(__xludf.DUMMYFUNCTION("""COMPUTED_VALUE"""),"Very Good")</f>
        <v>Very Good</v>
      </c>
      <c r="AC1574" s="139"/>
      <c r="AD1574" s="139"/>
      <c r="AE1574" s="139"/>
      <c r="AF1574" s="140"/>
      <c r="AG1574" s="136"/>
      <c r="AH1574" s="157">
        <f>IFERROR(__xludf.DUMMYFUNCTION("""COMPUTED_VALUE"""),43832.58796451389)</f>
        <v>43832.58796</v>
      </c>
      <c r="AI1574" s="138"/>
      <c r="AJ1574" s="138"/>
      <c r="AK1574" s="138"/>
      <c r="AL1574" s="142"/>
    </row>
    <row r="1575" ht="20.25" customHeight="1">
      <c r="A1575" s="155" t="str">
        <f>IFERROR(__xludf.DUMMYFUNCTION("""COMPUTED_VALUE"""),"steveb944")</f>
        <v>steveb944</v>
      </c>
      <c r="B1575" s="149" t="str">
        <f>IFERROR(__xludf.DUMMYFUNCTION("""COMPUTED_VALUE"""),"Davie")</f>
        <v>Davie</v>
      </c>
      <c r="C1575" s="149" t="str">
        <f>IFERROR(__xludf.DUMMYFUNCTION("""COMPUTED_VALUE"""),"FL")</f>
        <v>FL</v>
      </c>
      <c r="D1575" s="149" t="str">
        <f>IFERROR(__xludf.DUMMYFUNCTION("""COMPUTED_VALUE"""),"USA")</f>
        <v>USA</v>
      </c>
      <c r="E1575" s="156">
        <f>IFERROR(__xludf.DUMMYFUNCTION("""COMPUTED_VALUE"""),43764.0)</f>
        <v>43764</v>
      </c>
      <c r="F1575" s="129">
        <f>IFERROR(__xludf.DUMMYFUNCTION("""COMPUTED_VALUE"""),43800.0)</f>
        <v>43800</v>
      </c>
      <c r="G1575" s="154"/>
      <c r="H1575" s="131"/>
      <c r="I1575" s="144" t="str">
        <f>IFERROR(__xludf.DUMMYFUNCTION("""COMPUTED_VALUE"""),"11/19")</f>
        <v>11/19</v>
      </c>
      <c r="J1575" s="129">
        <f>IFERROR(__xludf.DUMMYFUNCTION("""COMPUTED_VALUE"""),43807.0)</f>
        <v>43807</v>
      </c>
      <c r="K1575" s="133">
        <f>IFERROR(__xludf.DUMMYFUNCTION("""COMPUTED_VALUE"""),36.0)</f>
        <v>36</v>
      </c>
      <c r="L1575" s="133">
        <f>IFERROR(__xludf.DUMMYFUNCTION("""COMPUTED_VALUE"""),7.0)</f>
        <v>7</v>
      </c>
      <c r="M1575" s="133">
        <f>IFERROR(__xludf.DUMMYFUNCTION("""COMPUTED_VALUE"""),43.0)</f>
        <v>43</v>
      </c>
      <c r="N1575" s="152" t="str">
        <f>IFERROR(__xludf.DUMMYFUNCTION("""COMPUTED_VALUE"""),"Model 3 LR AWD")</f>
        <v>Model 3 LR AWD</v>
      </c>
      <c r="O1575" s="152" t="str">
        <f>IFERROR(__xludf.DUMMYFUNCTION("""COMPUTED_VALUE"""),"Pearl White Multi-Coat")</f>
        <v>Pearl White Multi-Coat</v>
      </c>
      <c r="P1575" s="153" t="str">
        <f>IFERROR(__xludf.DUMMYFUNCTION("""COMPUTED_VALUE"""),"18 inch Aero")</f>
        <v>18 inch Aero</v>
      </c>
      <c r="Q1575" s="152" t="str">
        <f>IFERROR(__xludf.DUMMYFUNCTION("""COMPUTED_VALUE"""),"Black seats")</f>
        <v>Black seats</v>
      </c>
      <c r="R1575" s="149" t="str">
        <f>IFERROR(__xludf.DUMMYFUNCTION("""COMPUTED_VALUE"""),"Autopilot")</f>
        <v>Autopilot</v>
      </c>
      <c r="S1575" s="149"/>
      <c r="T1575" s="145"/>
      <c r="U1575" s="145"/>
      <c r="V1575" s="145"/>
      <c r="W1575" s="136"/>
      <c r="X1575" s="137" t="str">
        <f>IFERROR(__xludf.DUMMYFUNCTION("""COMPUTED_VALUE"""),"Excellent")</f>
        <v>Excellent</v>
      </c>
      <c r="Y1575" s="138" t="str">
        <f>IFERROR(__xludf.DUMMYFUNCTION("""COMPUTED_VALUE"""),"Very Good")</f>
        <v>Very Good</v>
      </c>
      <c r="Z1575" s="138" t="str">
        <f>IFERROR(__xludf.DUMMYFUNCTION("""COMPUTED_VALUE"""),"Excellent")</f>
        <v>Excellent</v>
      </c>
      <c r="AA1575" s="138" t="str">
        <f>IFERROR(__xludf.DUMMYFUNCTION("""COMPUTED_VALUE"""),"Excellent")</f>
        <v>Excellent</v>
      </c>
      <c r="AB1575" s="138" t="str">
        <f>IFERROR(__xludf.DUMMYFUNCTION("""COMPUTED_VALUE"""),"Excellent")</f>
        <v>Excellent</v>
      </c>
      <c r="AC1575" s="139">
        <f>IFERROR(__xludf.DUMMYFUNCTION("""COMPUTED_VALUE"""),1.0)</f>
        <v>1</v>
      </c>
      <c r="AD1575" s="139">
        <f>IFERROR(__xludf.DUMMYFUNCTION("""COMPUTED_VALUE"""),0.0)</f>
        <v>0</v>
      </c>
      <c r="AE1575" s="139">
        <f>IFERROR(__xludf.DUMMYFUNCTION("""COMPUTED_VALUE"""),0.0)</f>
        <v>0</v>
      </c>
      <c r="AF1575" s="140"/>
      <c r="AG1575" s="136" t="str">
        <f>IFERROR(__xludf.DUMMYFUNCTION("""COMPUTED_VALUE"""),"Only defect, fixed on pickup, air filter panel loose")</f>
        <v>Only defect, fixed on pickup, air filter panel loose</v>
      </c>
      <c r="AH1575" s="157">
        <f>IFERROR(__xludf.DUMMYFUNCTION("""COMPUTED_VALUE"""),43807.63974788194)</f>
        <v>43807.63975</v>
      </c>
      <c r="AI1575" s="138"/>
      <c r="AJ1575" s="138"/>
      <c r="AK1575" s="138"/>
      <c r="AL1575" s="142"/>
    </row>
    <row r="1576" ht="20.25" customHeight="1">
      <c r="A1576" s="155" t="str">
        <f>IFERROR(__xludf.DUMMYFUNCTION("""COMPUTED_VALUE"""),"waiting4godot")</f>
        <v>waiting4godot</v>
      </c>
      <c r="B1576" s="149" t="str">
        <f>IFERROR(__xludf.DUMMYFUNCTION("""COMPUTED_VALUE"""),"SF Bay Area")</f>
        <v>SF Bay Area</v>
      </c>
      <c r="C1576" s="149" t="str">
        <f>IFERROR(__xludf.DUMMYFUNCTION("""COMPUTED_VALUE"""),"CA")</f>
        <v>CA</v>
      </c>
      <c r="D1576" s="149" t="str">
        <f>IFERROR(__xludf.DUMMYFUNCTION("""COMPUTED_VALUE"""),"USA")</f>
        <v>USA</v>
      </c>
      <c r="E1576" s="156">
        <f>IFERROR(__xludf.DUMMYFUNCTION("""COMPUTED_VALUE"""),43764.0)</f>
        <v>43764</v>
      </c>
      <c r="F1576" s="129">
        <f>IFERROR(__xludf.DUMMYFUNCTION("""COMPUTED_VALUE"""),43812.0)</f>
        <v>43812</v>
      </c>
      <c r="G1576" s="154"/>
      <c r="H1576" s="131"/>
      <c r="I1576" s="144"/>
      <c r="J1576" s="129">
        <f>IFERROR(__xludf.DUMMYFUNCTION("""COMPUTED_VALUE"""),43814.0)</f>
        <v>43814</v>
      </c>
      <c r="K1576" s="133">
        <f>IFERROR(__xludf.DUMMYFUNCTION("""COMPUTED_VALUE"""),48.0)</f>
        <v>48</v>
      </c>
      <c r="L1576" s="133">
        <f>IFERROR(__xludf.DUMMYFUNCTION("""COMPUTED_VALUE"""),2.0)</f>
        <v>2</v>
      </c>
      <c r="M1576" s="133">
        <f>IFERROR(__xludf.DUMMYFUNCTION("""COMPUTED_VALUE"""),50.0)</f>
        <v>50</v>
      </c>
      <c r="N1576" s="152" t="str">
        <f>IFERROR(__xludf.DUMMYFUNCTION("""COMPUTED_VALUE"""),"Model 3 LR AWD")</f>
        <v>Model 3 LR AWD</v>
      </c>
      <c r="O1576" s="152" t="str">
        <f>IFERROR(__xludf.DUMMYFUNCTION("""COMPUTED_VALUE"""),"Pearl White Multi-Coat")</f>
        <v>Pearl White Multi-Coat</v>
      </c>
      <c r="P1576" s="153" t="str">
        <f>IFERROR(__xludf.DUMMYFUNCTION("""COMPUTED_VALUE"""),"18 inch Aero")</f>
        <v>18 inch Aero</v>
      </c>
      <c r="Q1576" s="152" t="str">
        <f>IFERROR(__xludf.DUMMYFUNCTION("""COMPUTED_VALUE"""),"Black seats")</f>
        <v>Black seats</v>
      </c>
      <c r="R1576" s="149" t="str">
        <f>IFERROR(__xludf.DUMMYFUNCTION("""COMPUTED_VALUE"""),"Full Self-Driving")</f>
        <v>Full Self-Driving</v>
      </c>
      <c r="S1576" s="149"/>
      <c r="T1576" s="145"/>
      <c r="U1576" s="145"/>
      <c r="V1576" s="145"/>
      <c r="W1576" s="136"/>
      <c r="X1576" s="137"/>
      <c r="Y1576" s="138"/>
      <c r="Z1576" s="138"/>
      <c r="AA1576" s="138" t="str">
        <f>IFERROR(__xludf.DUMMYFUNCTION("""COMPUTED_VALUE"""),"Good")</f>
        <v>Good</v>
      </c>
      <c r="AB1576" s="138"/>
      <c r="AC1576" s="139"/>
      <c r="AD1576" s="139"/>
      <c r="AE1576" s="139"/>
      <c r="AF1576" s="140"/>
      <c r="AG1576" s="136"/>
      <c r="AH1576" s="157">
        <f>IFERROR(__xludf.DUMMYFUNCTION("""COMPUTED_VALUE"""),43813.36981825231)</f>
        <v>43813.36982</v>
      </c>
      <c r="AI1576" s="138"/>
      <c r="AJ1576" s="138"/>
      <c r="AK1576" s="138"/>
      <c r="AL1576" s="142"/>
    </row>
    <row r="1577" ht="20.25" customHeight="1">
      <c r="A1577" s="155" t="str">
        <f>IFERROR(__xludf.DUMMYFUNCTION("""COMPUTED_VALUE"""),"DWalk")</f>
        <v>DWalk</v>
      </c>
      <c r="B1577" s="149" t="str">
        <f>IFERROR(__xludf.DUMMYFUNCTION("""COMPUTED_VALUE"""),"Oakland")</f>
        <v>Oakland</v>
      </c>
      <c r="C1577" s="149" t="str">
        <f>IFERROR(__xludf.DUMMYFUNCTION("""COMPUTED_VALUE"""),"CA")</f>
        <v>CA</v>
      </c>
      <c r="D1577" s="149" t="str">
        <f>IFERROR(__xludf.DUMMYFUNCTION("""COMPUTED_VALUE"""),"USA")</f>
        <v>USA</v>
      </c>
      <c r="E1577" s="156">
        <f>IFERROR(__xludf.DUMMYFUNCTION("""COMPUTED_VALUE"""),43763.0)</f>
        <v>43763</v>
      </c>
      <c r="F1577" s="129">
        <f>IFERROR(__xludf.DUMMYFUNCTION("""COMPUTED_VALUE"""),43803.0)</f>
        <v>43803</v>
      </c>
      <c r="G1577" s="154"/>
      <c r="H1577" s="131">
        <f>IFERROR(__xludf.DUMMYFUNCTION("""COMPUTED_VALUE"""),599251.0)</f>
        <v>599251</v>
      </c>
      <c r="I1577" s="144"/>
      <c r="J1577" s="129">
        <f>IFERROR(__xludf.DUMMYFUNCTION("""COMPUTED_VALUE"""),43591.0)</f>
        <v>43591</v>
      </c>
      <c r="K1577" s="133">
        <f>IFERROR(__xludf.DUMMYFUNCTION("""COMPUTED_VALUE"""),40.0)</f>
        <v>40</v>
      </c>
      <c r="L1577" s="133"/>
      <c r="M1577" s="133"/>
      <c r="N1577" s="152" t="str">
        <f>IFERROR(__xludf.DUMMYFUNCTION("""COMPUTED_VALUE"""),"Model 3 SR+")</f>
        <v>Model 3 SR+</v>
      </c>
      <c r="O1577" s="152" t="str">
        <f>IFERROR(__xludf.DUMMYFUNCTION("""COMPUTED_VALUE"""),"Deep Blue Metallic")</f>
        <v>Deep Blue Metallic</v>
      </c>
      <c r="P1577" s="153" t="str">
        <f>IFERROR(__xludf.DUMMYFUNCTION("""COMPUTED_VALUE"""),"19 inch Sport")</f>
        <v>19 inch Sport</v>
      </c>
      <c r="Q1577" s="152" t="str">
        <f>IFERROR(__xludf.DUMMYFUNCTION("""COMPUTED_VALUE"""),"White seats")</f>
        <v>White seats</v>
      </c>
      <c r="R1577" s="149" t="str">
        <f>IFERROR(__xludf.DUMMYFUNCTION("""COMPUTED_VALUE"""),"Full Self-Driving")</f>
        <v>Full Self-Driving</v>
      </c>
      <c r="S1577" s="149"/>
      <c r="T1577" s="145"/>
      <c r="U1577" s="145"/>
      <c r="V1577" s="145"/>
      <c r="W1577" s="136"/>
      <c r="X1577" s="137" t="str">
        <f>IFERROR(__xludf.DUMMYFUNCTION("""COMPUTED_VALUE"""),"Excellent")</f>
        <v>Excellent</v>
      </c>
      <c r="Y1577" s="138" t="str">
        <f>IFERROR(__xludf.DUMMYFUNCTION("""COMPUTED_VALUE"""),"Excellent")</f>
        <v>Excellent</v>
      </c>
      <c r="Z1577" s="138" t="str">
        <f>IFERROR(__xludf.DUMMYFUNCTION("""COMPUTED_VALUE"""),"Poor")</f>
        <v>Poor</v>
      </c>
      <c r="AA1577" s="138" t="str">
        <f>IFERROR(__xludf.DUMMYFUNCTION("""COMPUTED_VALUE"""),"Very Good")</f>
        <v>Very Good</v>
      </c>
      <c r="AB1577" s="138" t="str">
        <f>IFERROR(__xludf.DUMMYFUNCTION("""COMPUTED_VALUE"""),"Good")</f>
        <v>Good</v>
      </c>
      <c r="AC1577" s="139">
        <f>IFERROR(__xludf.DUMMYFUNCTION("""COMPUTED_VALUE"""),7.0)</f>
        <v>7</v>
      </c>
      <c r="AD1577" s="139">
        <f>IFERROR(__xludf.DUMMYFUNCTION("""COMPUTED_VALUE"""),1.0)</f>
        <v>1</v>
      </c>
      <c r="AE1577" s="139">
        <f>IFERROR(__xludf.DUMMYFUNCTION("""COMPUTED_VALUE"""),15.0)</f>
        <v>15</v>
      </c>
      <c r="AF1577" s="140"/>
      <c r="AG1577" s="136"/>
      <c r="AH1577" s="157">
        <f>IFERROR(__xludf.DUMMYFUNCTION("""COMPUTED_VALUE"""),43838.2980138426)</f>
        <v>43838.29801</v>
      </c>
      <c r="AI1577" s="138"/>
      <c r="AJ1577" s="138"/>
      <c r="AK1577" s="138"/>
      <c r="AL1577" s="142"/>
    </row>
    <row r="1578" ht="20.25" customHeight="1">
      <c r="A1578" s="155" t="str">
        <f>IFERROR(__xludf.DUMMYFUNCTION("""COMPUTED_VALUE"""),"habeeb")</f>
        <v>habeeb</v>
      </c>
      <c r="B1578" s="149" t="str">
        <f>IFERROR(__xludf.DUMMYFUNCTION("""COMPUTED_VALUE"""),"Seattle")</f>
        <v>Seattle</v>
      </c>
      <c r="C1578" s="149" t="str">
        <f>IFERROR(__xludf.DUMMYFUNCTION("""COMPUTED_VALUE"""),"WA")</f>
        <v>WA</v>
      </c>
      <c r="D1578" s="149" t="str">
        <f>IFERROR(__xludf.DUMMYFUNCTION("""COMPUTED_VALUE"""),"USA")</f>
        <v>USA</v>
      </c>
      <c r="E1578" s="156">
        <f>IFERROR(__xludf.DUMMYFUNCTION("""COMPUTED_VALUE"""),43763.0)</f>
        <v>43763</v>
      </c>
      <c r="F1578" s="129">
        <f>IFERROR(__xludf.DUMMYFUNCTION("""COMPUTED_VALUE"""),43815.0)</f>
        <v>43815</v>
      </c>
      <c r="G1578" s="154"/>
      <c r="H1578" s="131">
        <f>IFERROR(__xludf.DUMMYFUNCTION("""COMPUTED_VALUE"""),619455.0)</f>
        <v>619455</v>
      </c>
      <c r="I1578" s="144"/>
      <c r="J1578" s="129">
        <f>IFERROR(__xludf.DUMMYFUNCTION("""COMPUTED_VALUE"""),43821.0)</f>
        <v>43821</v>
      </c>
      <c r="K1578" s="133">
        <f>IFERROR(__xludf.DUMMYFUNCTION("""COMPUTED_VALUE"""),52.0)</f>
        <v>52</v>
      </c>
      <c r="L1578" s="133">
        <f>IFERROR(__xludf.DUMMYFUNCTION("""COMPUTED_VALUE"""),6.0)</f>
        <v>6</v>
      </c>
      <c r="M1578" s="133">
        <f>IFERROR(__xludf.DUMMYFUNCTION("""COMPUTED_VALUE"""),58.0)</f>
        <v>58</v>
      </c>
      <c r="N1578" s="152" t="str">
        <f>IFERROR(__xludf.DUMMYFUNCTION("""COMPUTED_VALUE"""),"Model 3 LR AWD")</f>
        <v>Model 3 LR AWD</v>
      </c>
      <c r="O1578" s="152" t="str">
        <f>IFERROR(__xludf.DUMMYFUNCTION("""COMPUTED_VALUE"""),"Pearl White Multi-Coat")</f>
        <v>Pearl White Multi-Coat</v>
      </c>
      <c r="P1578" s="153" t="str">
        <f>IFERROR(__xludf.DUMMYFUNCTION("""COMPUTED_VALUE"""),"18 inch Aero")</f>
        <v>18 inch Aero</v>
      </c>
      <c r="Q1578" s="152" t="str">
        <f>IFERROR(__xludf.DUMMYFUNCTION("""COMPUTED_VALUE"""),"Black seats")</f>
        <v>Black seats</v>
      </c>
      <c r="R1578" s="149" t="str">
        <f>IFERROR(__xludf.DUMMYFUNCTION("""COMPUTED_VALUE"""),"Autopilot")</f>
        <v>Autopilot</v>
      </c>
      <c r="S1578" s="149"/>
      <c r="T1578" s="145"/>
      <c r="U1578" s="145"/>
      <c r="V1578" s="145"/>
      <c r="W1578" s="136"/>
      <c r="X1578" s="137" t="str">
        <f>IFERROR(__xludf.DUMMYFUNCTION("""COMPUTED_VALUE"""),"Good")</f>
        <v>Good</v>
      </c>
      <c r="Y1578" s="138" t="str">
        <f>IFERROR(__xludf.DUMMYFUNCTION("""COMPUTED_VALUE"""),"Excellent")</f>
        <v>Excellent</v>
      </c>
      <c r="Z1578" s="138" t="str">
        <f>IFERROR(__xludf.DUMMYFUNCTION("""COMPUTED_VALUE"""),"Very Good")</f>
        <v>Very Good</v>
      </c>
      <c r="AA1578" s="138" t="str">
        <f>IFERROR(__xludf.DUMMYFUNCTION("""COMPUTED_VALUE"""),"Fair")</f>
        <v>Fair</v>
      </c>
      <c r="AB1578" s="138" t="str">
        <f>IFERROR(__xludf.DUMMYFUNCTION("""COMPUTED_VALUE"""),"Good")</f>
        <v>Good</v>
      </c>
      <c r="AC1578" s="139"/>
      <c r="AD1578" s="139"/>
      <c r="AE1578" s="139"/>
      <c r="AF1578" s="140"/>
      <c r="AG1578" s="136"/>
      <c r="AH1578" s="157">
        <f>IFERROR(__xludf.DUMMYFUNCTION("""COMPUTED_VALUE"""),43822.54818837963)</f>
        <v>43822.54819</v>
      </c>
      <c r="AI1578" s="138"/>
      <c r="AJ1578" s="138"/>
      <c r="AK1578" s="138"/>
      <c r="AL1578" s="142"/>
    </row>
    <row r="1579" ht="20.25" customHeight="1">
      <c r="A1579" s="155" t="str">
        <f>IFERROR(__xludf.DUMMYFUNCTION("""COMPUTED_VALUE"""),"jtblackm3p")</f>
        <v>jtblackm3p</v>
      </c>
      <c r="B1579" s="149" t="str">
        <f>IFERROR(__xludf.DUMMYFUNCTION("""COMPUTED_VALUE"""),"Seattle")</f>
        <v>Seattle</v>
      </c>
      <c r="C1579" s="149" t="str">
        <f>IFERROR(__xludf.DUMMYFUNCTION("""COMPUTED_VALUE"""),"WA")</f>
        <v>WA</v>
      </c>
      <c r="D1579" s="149" t="str">
        <f>IFERROR(__xludf.DUMMYFUNCTION("""COMPUTED_VALUE"""),"USA")</f>
        <v>USA</v>
      </c>
      <c r="E1579" s="156">
        <f>IFERROR(__xludf.DUMMYFUNCTION("""COMPUTED_VALUE"""),43763.0)</f>
        <v>43763</v>
      </c>
      <c r="F1579" s="129">
        <f>IFERROR(__xludf.DUMMYFUNCTION("""COMPUTED_VALUE"""),43801.0)</f>
        <v>43801</v>
      </c>
      <c r="G1579" s="154"/>
      <c r="H1579" s="131">
        <f>IFERROR(__xludf.DUMMYFUNCTION("""COMPUTED_VALUE"""),603325.0)</f>
        <v>603325</v>
      </c>
      <c r="I1579" s="144"/>
      <c r="J1579" s="129">
        <f>IFERROR(__xludf.DUMMYFUNCTION("""COMPUTED_VALUE"""),43807.0)</f>
        <v>43807</v>
      </c>
      <c r="K1579" s="133">
        <f>IFERROR(__xludf.DUMMYFUNCTION("""COMPUTED_VALUE"""),38.0)</f>
        <v>38</v>
      </c>
      <c r="L1579" s="133">
        <f>IFERROR(__xludf.DUMMYFUNCTION("""COMPUTED_VALUE"""),6.0)</f>
        <v>6</v>
      </c>
      <c r="M1579" s="133">
        <f>IFERROR(__xludf.DUMMYFUNCTION("""COMPUTED_VALUE"""),44.0)</f>
        <v>44</v>
      </c>
      <c r="N1579" s="152" t="str">
        <f>IFERROR(__xludf.DUMMYFUNCTION("""COMPUTED_VALUE"""),"Model 3 Performance")</f>
        <v>Model 3 Performance</v>
      </c>
      <c r="O1579" s="152" t="str">
        <f>IFERROR(__xludf.DUMMYFUNCTION("""COMPUTED_VALUE"""),"Solid Black")</f>
        <v>Solid Black</v>
      </c>
      <c r="P1579" s="153" t="str">
        <f>IFERROR(__xludf.DUMMYFUNCTION("""COMPUTED_VALUE"""),"20 inch Sport")</f>
        <v>20 inch Sport</v>
      </c>
      <c r="Q1579" s="152" t="str">
        <f>IFERROR(__xludf.DUMMYFUNCTION("""COMPUTED_VALUE"""),"White seats")</f>
        <v>White seats</v>
      </c>
      <c r="R1579" s="149" t="str">
        <f>IFERROR(__xludf.DUMMYFUNCTION("""COMPUTED_VALUE"""),"Full Self-Driving")</f>
        <v>Full Self-Driving</v>
      </c>
      <c r="S1579" s="149"/>
      <c r="T1579" s="145"/>
      <c r="U1579" s="145"/>
      <c r="V1579" s="145"/>
      <c r="W1579" s="136"/>
      <c r="X1579" s="137" t="str">
        <f>IFERROR(__xludf.DUMMYFUNCTION("""COMPUTED_VALUE"""),"Excellent")</f>
        <v>Excellent</v>
      </c>
      <c r="Y1579" s="138" t="str">
        <f>IFERROR(__xludf.DUMMYFUNCTION("""COMPUTED_VALUE"""),"Excellent")</f>
        <v>Excellent</v>
      </c>
      <c r="Z1579" s="138" t="str">
        <f>IFERROR(__xludf.DUMMYFUNCTION("""COMPUTED_VALUE"""),"Excellent")</f>
        <v>Excellent</v>
      </c>
      <c r="AA1579" s="138" t="str">
        <f>IFERROR(__xludf.DUMMYFUNCTION("""COMPUTED_VALUE"""),"Fair")</f>
        <v>Fair</v>
      </c>
      <c r="AB1579" s="138" t="str">
        <f>IFERROR(__xludf.DUMMYFUNCTION("""COMPUTED_VALUE"""),"Very Good")</f>
        <v>Very Good</v>
      </c>
      <c r="AC1579" s="139"/>
      <c r="AD1579" s="139"/>
      <c r="AE1579" s="139"/>
      <c r="AF1579" s="140"/>
      <c r="AG1579" s="136" t="str">
        <f>IFERROR(__xludf.DUMMYFUNCTION("""COMPUTED_VALUE"""),"Found VIN in source code 12/2")</f>
        <v>Found VIN in source code 12/2</v>
      </c>
      <c r="AH1579" s="157">
        <f>IFERROR(__xludf.DUMMYFUNCTION("""COMPUTED_VALUE"""),43806.050527164356)</f>
        <v>43806.05053</v>
      </c>
      <c r="AI1579" s="138"/>
      <c r="AJ1579" s="138"/>
      <c r="AK1579" s="138"/>
      <c r="AL1579" s="142"/>
    </row>
    <row r="1580" ht="20.25" customHeight="1">
      <c r="A1580" s="155" t="str">
        <f>IFERROR(__xludf.DUMMYFUNCTION("""COMPUTED_VALUE"""),"Kenadak")</f>
        <v>Kenadak</v>
      </c>
      <c r="B1580" s="149" t="str">
        <f>IFERROR(__xludf.DUMMYFUNCTION("""COMPUTED_VALUE"""),"Atlanta")</f>
        <v>Atlanta</v>
      </c>
      <c r="C1580" s="149" t="str">
        <f>IFERROR(__xludf.DUMMYFUNCTION("""COMPUTED_VALUE"""),"GA")</f>
        <v>GA</v>
      </c>
      <c r="D1580" s="149" t="str">
        <f>IFERROR(__xludf.DUMMYFUNCTION("""COMPUTED_VALUE"""),"USA")</f>
        <v>USA</v>
      </c>
      <c r="E1580" s="156">
        <f>IFERROR(__xludf.DUMMYFUNCTION("""COMPUTED_VALUE"""),43763.0)</f>
        <v>43763</v>
      </c>
      <c r="F1580" s="129">
        <f>IFERROR(__xludf.DUMMYFUNCTION("""COMPUTED_VALUE"""),43787.0)</f>
        <v>43787</v>
      </c>
      <c r="G1580" s="154"/>
      <c r="H1580" s="131">
        <f>IFERROR(__xludf.DUMMYFUNCTION("""COMPUTED_VALUE"""),525455.0)</f>
        <v>525455</v>
      </c>
      <c r="I1580" s="144" t="str">
        <f>IFERROR(__xludf.DUMMYFUNCTION("""COMPUTED_VALUE"""),"10/19")</f>
        <v>10/19</v>
      </c>
      <c r="J1580" s="129">
        <f>IFERROR(__xludf.DUMMYFUNCTION("""COMPUTED_VALUE"""),43789.0)</f>
        <v>43789</v>
      </c>
      <c r="K1580" s="133">
        <f>IFERROR(__xludf.DUMMYFUNCTION("""COMPUTED_VALUE"""),24.0)</f>
        <v>24</v>
      </c>
      <c r="L1580" s="133">
        <f>IFERROR(__xludf.DUMMYFUNCTION("""COMPUTED_VALUE"""),2.0)</f>
        <v>2</v>
      </c>
      <c r="M1580" s="133">
        <f>IFERROR(__xludf.DUMMYFUNCTION("""COMPUTED_VALUE"""),26.0)</f>
        <v>26</v>
      </c>
      <c r="N1580" s="152" t="str">
        <f>IFERROR(__xludf.DUMMYFUNCTION("""COMPUTED_VALUE"""),"Model 3 LR AWD")</f>
        <v>Model 3 LR AWD</v>
      </c>
      <c r="O1580" s="152" t="str">
        <f>IFERROR(__xludf.DUMMYFUNCTION("""COMPUTED_VALUE"""),"Pearl White Multi-Coat")</f>
        <v>Pearl White Multi-Coat</v>
      </c>
      <c r="P1580" s="153" t="str">
        <f>IFERROR(__xludf.DUMMYFUNCTION("""COMPUTED_VALUE"""),"18 inch Aero")</f>
        <v>18 inch Aero</v>
      </c>
      <c r="Q1580" s="152" t="str">
        <f>IFERROR(__xludf.DUMMYFUNCTION("""COMPUTED_VALUE"""),"White seats")</f>
        <v>White seats</v>
      </c>
      <c r="R1580" s="149" t="str">
        <f>IFERROR(__xludf.DUMMYFUNCTION("""COMPUTED_VALUE"""),"Full Self-Driving")</f>
        <v>Full Self-Driving</v>
      </c>
      <c r="S1580" s="149"/>
      <c r="T1580" s="145"/>
      <c r="U1580" s="145"/>
      <c r="V1580" s="145"/>
      <c r="W1580" s="136"/>
      <c r="X1580" s="137" t="str">
        <f>IFERROR(__xludf.DUMMYFUNCTION("""COMPUTED_VALUE"""),"Excellent")</f>
        <v>Excellent</v>
      </c>
      <c r="Y1580" s="138" t="str">
        <f>IFERROR(__xludf.DUMMYFUNCTION("""COMPUTED_VALUE"""),"Excellent")</f>
        <v>Excellent</v>
      </c>
      <c r="Z1580" s="138" t="str">
        <f>IFERROR(__xludf.DUMMYFUNCTION("""COMPUTED_VALUE"""),"Excellent")</f>
        <v>Excellent</v>
      </c>
      <c r="AA1580" s="138" t="str">
        <f>IFERROR(__xludf.DUMMYFUNCTION("""COMPUTED_VALUE"""),"Poor")</f>
        <v>Poor</v>
      </c>
      <c r="AB1580" s="138" t="str">
        <f>IFERROR(__xludf.DUMMYFUNCTION("""COMPUTED_VALUE"""),"Very Good")</f>
        <v>Very Good</v>
      </c>
      <c r="AC1580" s="139">
        <f>IFERROR(__xludf.DUMMYFUNCTION("""COMPUTED_VALUE"""),0.0)</f>
        <v>0</v>
      </c>
      <c r="AD1580" s="139">
        <f>IFERROR(__xludf.DUMMYFUNCTION("""COMPUTED_VALUE"""),0.0)</f>
        <v>0</v>
      </c>
      <c r="AE1580" s="139">
        <f>IFERROR(__xludf.DUMMYFUNCTION("""COMPUTED_VALUE"""),0.0)</f>
        <v>0</v>
      </c>
      <c r="AF1580" s="140"/>
      <c r="AG1580" s="136"/>
      <c r="AH1580" s="157">
        <f>IFERROR(__xludf.DUMMYFUNCTION("""COMPUTED_VALUE"""),43821.47918401621)</f>
        <v>43821.47918</v>
      </c>
      <c r="AI1580" s="138"/>
      <c r="AJ1580" s="138"/>
      <c r="AK1580" s="138"/>
      <c r="AL1580" s="142"/>
    </row>
    <row r="1581" ht="20.25" customHeight="1">
      <c r="A1581" s="155" t="str">
        <f>IFERROR(__xludf.DUMMYFUNCTION("""COMPUTED_VALUE"""),"seb_SD")</f>
        <v>seb_SD</v>
      </c>
      <c r="B1581" s="149" t="str">
        <f>IFERROR(__xludf.DUMMYFUNCTION("""COMPUTED_VALUE"""),"San Diego")</f>
        <v>San Diego</v>
      </c>
      <c r="C1581" s="149" t="str">
        <f>IFERROR(__xludf.DUMMYFUNCTION("""COMPUTED_VALUE"""),"CA")</f>
        <v>CA</v>
      </c>
      <c r="D1581" s="149" t="str">
        <f>IFERROR(__xludf.DUMMYFUNCTION("""COMPUTED_VALUE"""),"USA")</f>
        <v>USA</v>
      </c>
      <c r="E1581" s="156">
        <f>IFERROR(__xludf.DUMMYFUNCTION("""COMPUTED_VALUE"""),43763.0)</f>
        <v>43763</v>
      </c>
      <c r="F1581" s="129">
        <f>IFERROR(__xludf.DUMMYFUNCTION("""COMPUTED_VALUE"""),43823.0)</f>
        <v>43823</v>
      </c>
      <c r="G1581" s="154"/>
      <c r="H1581" s="131">
        <f>IFERROR(__xludf.DUMMYFUNCTION("""COMPUTED_VALUE"""),651655.0)</f>
        <v>651655</v>
      </c>
      <c r="I1581" s="144"/>
      <c r="J1581" s="129">
        <f>IFERROR(__xludf.DUMMYFUNCTION("""COMPUTED_VALUE"""),43826.0)</f>
        <v>43826</v>
      </c>
      <c r="K1581" s="133">
        <f>IFERROR(__xludf.DUMMYFUNCTION("""COMPUTED_VALUE"""),60.0)</f>
        <v>60</v>
      </c>
      <c r="L1581" s="133">
        <f>IFERROR(__xludf.DUMMYFUNCTION("""COMPUTED_VALUE"""),3.0)</f>
        <v>3</v>
      </c>
      <c r="M1581" s="133">
        <f>IFERROR(__xludf.DUMMYFUNCTION("""COMPUTED_VALUE"""),63.0)</f>
        <v>63</v>
      </c>
      <c r="N1581" s="152" t="str">
        <f>IFERROR(__xludf.DUMMYFUNCTION("""COMPUTED_VALUE"""),"Model 3 LR AWD")</f>
        <v>Model 3 LR AWD</v>
      </c>
      <c r="O1581" s="152" t="str">
        <f>IFERROR(__xludf.DUMMYFUNCTION("""COMPUTED_VALUE"""),"Pearl White Multi-Coat")</f>
        <v>Pearl White Multi-Coat</v>
      </c>
      <c r="P1581" s="153" t="str">
        <f>IFERROR(__xludf.DUMMYFUNCTION("""COMPUTED_VALUE"""),"18 inch Aero")</f>
        <v>18 inch Aero</v>
      </c>
      <c r="Q1581" s="152" t="str">
        <f>IFERROR(__xludf.DUMMYFUNCTION("""COMPUTED_VALUE"""),"White seats")</f>
        <v>White seats</v>
      </c>
      <c r="R1581" s="149" t="str">
        <f>IFERROR(__xludf.DUMMYFUNCTION("""COMPUTED_VALUE"""),"Full Self-Driving")</f>
        <v>Full Self-Driving</v>
      </c>
      <c r="S1581" s="149"/>
      <c r="T1581" s="145"/>
      <c r="U1581" s="145"/>
      <c r="V1581" s="145"/>
      <c r="W1581" s="136"/>
      <c r="X1581" s="137" t="str">
        <f>IFERROR(__xludf.DUMMYFUNCTION("""COMPUTED_VALUE"""),"Excellent")</f>
        <v>Excellent</v>
      </c>
      <c r="Y1581" s="138" t="str">
        <f>IFERROR(__xludf.DUMMYFUNCTION("""COMPUTED_VALUE"""),"Excellent")</f>
        <v>Excellent</v>
      </c>
      <c r="Z1581" s="138" t="str">
        <f>IFERROR(__xludf.DUMMYFUNCTION("""COMPUTED_VALUE"""),"Excellent")</f>
        <v>Excellent</v>
      </c>
      <c r="AA1581" s="138" t="str">
        <f>IFERROR(__xludf.DUMMYFUNCTION("""COMPUTED_VALUE"""),"Good")</f>
        <v>Good</v>
      </c>
      <c r="AB1581" s="138" t="str">
        <f>IFERROR(__xludf.DUMMYFUNCTION("""COMPUTED_VALUE"""),"Excellent")</f>
        <v>Excellent</v>
      </c>
      <c r="AC1581" s="139"/>
      <c r="AD1581" s="139"/>
      <c r="AE1581" s="139"/>
      <c r="AF1581" s="140"/>
      <c r="AG1581" s="136" t="str">
        <f>IFERROR(__xludf.DUMMYFUNCTION("""COMPUTED_VALUE"""),"Scheduled delivery date postponed by a day due to winter storm in I5")</f>
        <v>Scheduled delivery date postponed by a day due to winter storm in I5</v>
      </c>
      <c r="AH1581" s="157">
        <f>IFERROR(__xludf.DUMMYFUNCTION("""COMPUTED_VALUE"""),43829.40872054399)</f>
        <v>43829.40872</v>
      </c>
      <c r="AI1581" s="138"/>
      <c r="AJ1581" s="138"/>
      <c r="AK1581" s="138"/>
      <c r="AL1581" s="142"/>
    </row>
    <row r="1582" ht="20.25" customHeight="1">
      <c r="A1582" s="155" t="str">
        <f>IFERROR(__xludf.DUMMYFUNCTION("""COMPUTED_VALUE"""),"*adam")</f>
        <v>*adam</v>
      </c>
      <c r="B1582" s="149"/>
      <c r="C1582" s="149"/>
      <c r="D1582" s="149" t="str">
        <f>IFERROR(__xludf.DUMMYFUNCTION("""COMPUTED_VALUE"""),"United Kingdom")</f>
        <v>United Kingdom</v>
      </c>
      <c r="E1582" s="156">
        <f>IFERROR(__xludf.DUMMYFUNCTION("""COMPUTED_VALUE"""),43762.0)</f>
        <v>43762</v>
      </c>
      <c r="F1582" s="129"/>
      <c r="G1582" s="154"/>
      <c r="H1582" s="131">
        <f>IFERROR(__xludf.DUMMYFUNCTION("""COMPUTED_VALUE"""),490422.0)</f>
        <v>490422</v>
      </c>
      <c r="I1582" s="144"/>
      <c r="J1582" s="129">
        <f>IFERROR(__xludf.DUMMYFUNCTION("""COMPUTED_VALUE"""),43796.0)</f>
        <v>43796</v>
      </c>
      <c r="K1582" s="133"/>
      <c r="L1582" s="133"/>
      <c r="M1582" s="133">
        <f>IFERROR(__xludf.DUMMYFUNCTION("""COMPUTED_VALUE"""),34.0)</f>
        <v>34</v>
      </c>
      <c r="N1582" s="152" t="str">
        <f>IFERROR(__xludf.DUMMYFUNCTION("""COMPUTED_VALUE"""),"Model 3 SR+")</f>
        <v>Model 3 SR+</v>
      </c>
      <c r="O1582" s="152" t="str">
        <f>IFERROR(__xludf.DUMMYFUNCTION("""COMPUTED_VALUE"""),"Pearl White Multi-Coat")</f>
        <v>Pearl White Multi-Coat</v>
      </c>
      <c r="P1582" s="153" t="str">
        <f>IFERROR(__xludf.DUMMYFUNCTION("""COMPUTED_VALUE"""),"18 inch Aero")</f>
        <v>18 inch Aero</v>
      </c>
      <c r="Q1582" s="152" t="str">
        <f>IFERROR(__xludf.DUMMYFUNCTION("""COMPUTED_VALUE"""),"Black seats")</f>
        <v>Black seats</v>
      </c>
      <c r="R1582" s="149" t="str">
        <f>IFERROR(__xludf.DUMMYFUNCTION("""COMPUTED_VALUE"""),"Autopilot")</f>
        <v>Autopilot</v>
      </c>
      <c r="S1582" s="149"/>
      <c r="T1582" s="145"/>
      <c r="U1582" s="145"/>
      <c r="V1582" s="145"/>
      <c r="W1582" s="136"/>
      <c r="X1582" s="137" t="str">
        <f>IFERROR(__xludf.DUMMYFUNCTION("""COMPUTED_VALUE"""),"Good")</f>
        <v>Good</v>
      </c>
      <c r="Y1582" s="138" t="str">
        <f>IFERROR(__xludf.DUMMYFUNCTION("""COMPUTED_VALUE"""),"Excellent")</f>
        <v>Excellent</v>
      </c>
      <c r="Z1582" s="138" t="str">
        <f>IFERROR(__xludf.DUMMYFUNCTION("""COMPUTED_VALUE"""),"Fair")</f>
        <v>Fair</v>
      </c>
      <c r="AA1582" s="138" t="str">
        <f>IFERROR(__xludf.DUMMYFUNCTION("""COMPUTED_VALUE"""),"Good")</f>
        <v>Good</v>
      </c>
      <c r="AB1582" s="138" t="str">
        <f>IFERROR(__xludf.DUMMYFUNCTION("""COMPUTED_VALUE"""),"Fair")</f>
        <v>Fair</v>
      </c>
      <c r="AC1582" s="139">
        <f>IFERROR(__xludf.DUMMYFUNCTION("""COMPUTED_VALUE"""),1.0)</f>
        <v>1</v>
      </c>
      <c r="AD1582" s="139">
        <f>IFERROR(__xludf.DUMMYFUNCTION("""COMPUTED_VALUE"""),1.0)</f>
        <v>1</v>
      </c>
      <c r="AE1582" s="139">
        <f>IFERROR(__xludf.DUMMYFUNCTION("""COMPUTED_VALUE"""),1.0)</f>
        <v>1</v>
      </c>
      <c r="AF1582" s="140"/>
      <c r="AG1582" s="136" t="str">
        <f>IFERROR(__xludf.DUMMYFUNCTION("""COMPUTED_VALUE"""),"Dent on wing")</f>
        <v>Dent on wing</v>
      </c>
      <c r="AH1582" s="157">
        <f>IFERROR(__xludf.DUMMYFUNCTION("""COMPUTED_VALUE"""),43823.25700945602)</f>
        <v>43823.25701</v>
      </c>
      <c r="AI1582" s="138"/>
      <c r="AJ1582" s="138"/>
      <c r="AK1582" s="138"/>
      <c r="AL1582" s="142"/>
    </row>
    <row r="1583" ht="20.25" customHeight="1">
      <c r="A1583" s="155" t="str">
        <f>IFERROR(__xludf.DUMMYFUNCTION("""COMPUTED_VALUE"""),"46chevy")</f>
        <v>46chevy</v>
      </c>
      <c r="B1583" s="149" t="str">
        <f>IFERROR(__xludf.DUMMYFUNCTION("""COMPUTED_VALUE"""),"Oconomowoc ")</f>
        <v>Oconomowoc </v>
      </c>
      <c r="C1583" s="149" t="str">
        <f>IFERROR(__xludf.DUMMYFUNCTION("""COMPUTED_VALUE"""),"WI")</f>
        <v>WI</v>
      </c>
      <c r="D1583" s="149" t="str">
        <f>IFERROR(__xludf.DUMMYFUNCTION("""COMPUTED_VALUE"""),"USA")</f>
        <v>USA</v>
      </c>
      <c r="E1583" s="156">
        <f>IFERROR(__xludf.DUMMYFUNCTION("""COMPUTED_VALUE"""),43762.0)</f>
        <v>43762</v>
      </c>
      <c r="F1583" s="129">
        <f>IFERROR(__xludf.DUMMYFUNCTION("""COMPUTED_VALUE"""),43807.0)</f>
        <v>43807</v>
      </c>
      <c r="G1583" s="154"/>
      <c r="H1583" s="131">
        <f>IFERROR(__xludf.DUMMYFUNCTION("""COMPUTED_VALUE"""),623455.0)</f>
        <v>623455</v>
      </c>
      <c r="I1583" s="144" t="str">
        <f>IFERROR(__xludf.DUMMYFUNCTION("""COMPUTED_VALUE"""),"12/19")</f>
        <v>12/19</v>
      </c>
      <c r="J1583" s="129">
        <f>IFERROR(__xludf.DUMMYFUNCTION("""COMPUTED_VALUE"""),43822.0)</f>
        <v>43822</v>
      </c>
      <c r="K1583" s="133">
        <f>IFERROR(__xludf.DUMMYFUNCTION("""COMPUTED_VALUE"""),45.0)</f>
        <v>45</v>
      </c>
      <c r="L1583" s="133">
        <f>IFERROR(__xludf.DUMMYFUNCTION("""COMPUTED_VALUE"""),15.0)</f>
        <v>15</v>
      </c>
      <c r="M1583" s="133">
        <f>IFERROR(__xludf.DUMMYFUNCTION("""COMPUTED_VALUE"""),60.0)</f>
        <v>60</v>
      </c>
      <c r="N1583" s="152" t="str">
        <f>IFERROR(__xludf.DUMMYFUNCTION("""COMPUTED_VALUE"""),"Model 3 Performance")</f>
        <v>Model 3 Performance</v>
      </c>
      <c r="O1583" s="152" t="str">
        <f>IFERROR(__xludf.DUMMYFUNCTION("""COMPUTED_VALUE"""),"Solid Black")</f>
        <v>Solid Black</v>
      </c>
      <c r="P1583" s="153" t="str">
        <f>IFERROR(__xludf.DUMMYFUNCTION("""COMPUTED_VALUE"""),"20 inch Sport")</f>
        <v>20 inch Sport</v>
      </c>
      <c r="Q1583" s="152" t="str">
        <f>IFERROR(__xludf.DUMMYFUNCTION("""COMPUTED_VALUE"""),"Black seats")</f>
        <v>Black seats</v>
      </c>
      <c r="R1583" s="149" t="str">
        <f>IFERROR(__xludf.DUMMYFUNCTION("""COMPUTED_VALUE"""),"Autopilot")</f>
        <v>Autopilot</v>
      </c>
      <c r="S1583" s="149"/>
      <c r="T1583" s="145"/>
      <c r="U1583" s="145"/>
      <c r="V1583" s="145"/>
      <c r="W1583" s="136"/>
      <c r="X1583" s="137" t="str">
        <f>IFERROR(__xludf.DUMMYFUNCTION("""COMPUTED_VALUE"""),"Very Good")</f>
        <v>Very Good</v>
      </c>
      <c r="Y1583" s="138" t="str">
        <f>IFERROR(__xludf.DUMMYFUNCTION("""COMPUTED_VALUE"""),"Fair")</f>
        <v>Fair</v>
      </c>
      <c r="Z1583" s="138" t="str">
        <f>IFERROR(__xludf.DUMMYFUNCTION("""COMPUTED_VALUE"""),"Very Good")</f>
        <v>Very Good</v>
      </c>
      <c r="AA1583" s="138" t="str">
        <f>IFERROR(__xludf.DUMMYFUNCTION("""COMPUTED_VALUE"""),"Poor")</f>
        <v>Poor</v>
      </c>
      <c r="AB1583" s="138" t="str">
        <f>IFERROR(__xludf.DUMMYFUNCTION("""COMPUTED_VALUE"""),"Fair")</f>
        <v>Fair</v>
      </c>
      <c r="AC1583" s="139">
        <f>IFERROR(__xludf.DUMMYFUNCTION("""COMPUTED_VALUE"""),1.0)</f>
        <v>1</v>
      </c>
      <c r="AD1583" s="139"/>
      <c r="AE1583" s="139"/>
      <c r="AF1583" s="140"/>
      <c r="AG1583" s="136" t="str">
        <f>IFERROR(__xludf.DUMMYFUNCTION("""COMPUTED_VALUE"""),"Center console side panel has bubbles in it. Needs to be replaced. Noted at delivery ")</f>
        <v>Center console side panel has bubbles in it. Needs to be replaced. Noted at delivery </v>
      </c>
      <c r="AH1583" s="157">
        <f>IFERROR(__xludf.DUMMYFUNCTION("""COMPUTED_VALUE"""),43822.80250314815)</f>
        <v>43822.8025</v>
      </c>
      <c r="AI1583" s="138"/>
      <c r="AJ1583" s="138"/>
      <c r="AK1583" s="138"/>
      <c r="AL1583" s="142"/>
    </row>
    <row r="1584" ht="20.25" customHeight="1">
      <c r="A1584" s="155" t="str">
        <f>IFERROR(__xludf.DUMMYFUNCTION("""COMPUTED_VALUE"""),"copacetic")</f>
        <v>copacetic</v>
      </c>
      <c r="B1584" s="149" t="str">
        <f>IFERROR(__xludf.DUMMYFUNCTION("""COMPUTED_VALUE"""),"Asheville")</f>
        <v>Asheville</v>
      </c>
      <c r="C1584" s="149" t="str">
        <f>IFERROR(__xludf.DUMMYFUNCTION("""COMPUTED_VALUE"""),"NC")</f>
        <v>NC</v>
      </c>
      <c r="D1584" s="149" t="str">
        <f>IFERROR(__xludf.DUMMYFUNCTION("""COMPUTED_VALUE"""),"USA")</f>
        <v>USA</v>
      </c>
      <c r="E1584" s="156">
        <f>IFERROR(__xludf.DUMMYFUNCTION("""COMPUTED_VALUE"""),43762.0)</f>
        <v>43762</v>
      </c>
      <c r="F1584" s="129">
        <f>IFERROR(__xludf.DUMMYFUNCTION("""COMPUTED_VALUE"""),43801.0)</f>
        <v>43801</v>
      </c>
      <c r="G1584" s="154"/>
      <c r="H1584" s="131">
        <f>IFERROR(__xludf.DUMMYFUNCTION("""COMPUTED_VALUE"""),616315.0)</f>
        <v>616315</v>
      </c>
      <c r="I1584" s="144"/>
      <c r="J1584" s="129">
        <f>IFERROR(__xludf.DUMMYFUNCTION("""COMPUTED_VALUE"""),43817.0)</f>
        <v>43817</v>
      </c>
      <c r="K1584" s="133">
        <f>IFERROR(__xludf.DUMMYFUNCTION("""COMPUTED_VALUE"""),39.0)</f>
        <v>39</v>
      </c>
      <c r="L1584" s="133">
        <f>IFERROR(__xludf.DUMMYFUNCTION("""COMPUTED_VALUE"""),16.0)</f>
        <v>16</v>
      </c>
      <c r="M1584" s="133">
        <f>IFERROR(__xludf.DUMMYFUNCTION("""COMPUTED_VALUE"""),55.0)</f>
        <v>55</v>
      </c>
      <c r="N1584" s="152" t="str">
        <f>IFERROR(__xludf.DUMMYFUNCTION("""COMPUTED_VALUE"""),"Model 3 LR AWD")</f>
        <v>Model 3 LR AWD</v>
      </c>
      <c r="O1584" s="152" t="str">
        <f>IFERROR(__xludf.DUMMYFUNCTION("""COMPUTED_VALUE"""),"Midnight Silver Metallic")</f>
        <v>Midnight Silver Metallic</v>
      </c>
      <c r="P1584" s="153" t="str">
        <f>IFERROR(__xludf.DUMMYFUNCTION("""COMPUTED_VALUE"""),"18 inch Aero")</f>
        <v>18 inch Aero</v>
      </c>
      <c r="Q1584" s="152" t="str">
        <f>IFERROR(__xludf.DUMMYFUNCTION("""COMPUTED_VALUE"""),"Black seats")</f>
        <v>Black seats</v>
      </c>
      <c r="R1584" s="149" t="str">
        <f>IFERROR(__xludf.DUMMYFUNCTION("""COMPUTED_VALUE"""),"Autopilot")</f>
        <v>Autopilot</v>
      </c>
      <c r="S1584" s="149"/>
      <c r="T1584" s="145"/>
      <c r="U1584" s="145"/>
      <c r="V1584" s="145"/>
      <c r="W1584" s="136"/>
      <c r="X1584" s="137" t="str">
        <f>IFERROR(__xludf.DUMMYFUNCTION("""COMPUTED_VALUE"""),"Very Good")</f>
        <v>Very Good</v>
      </c>
      <c r="Y1584" s="138" t="str">
        <f>IFERROR(__xludf.DUMMYFUNCTION("""COMPUTED_VALUE"""),"Excellent")</f>
        <v>Excellent</v>
      </c>
      <c r="Z1584" s="138" t="str">
        <f>IFERROR(__xludf.DUMMYFUNCTION("""COMPUTED_VALUE"""),"Excellent")</f>
        <v>Excellent</v>
      </c>
      <c r="AA1584" s="138" t="str">
        <f>IFERROR(__xludf.DUMMYFUNCTION("""COMPUTED_VALUE"""),"Poor")</f>
        <v>Poor</v>
      </c>
      <c r="AB1584" s="138" t="str">
        <f>IFERROR(__xludf.DUMMYFUNCTION("""COMPUTED_VALUE"""),"Poor")</f>
        <v>Poor</v>
      </c>
      <c r="AC1584" s="139"/>
      <c r="AD1584" s="139"/>
      <c r="AE1584" s="139"/>
      <c r="AF1584" s="140"/>
      <c r="AG1584" s="136"/>
      <c r="AH1584" s="157">
        <f>IFERROR(__xludf.DUMMYFUNCTION("""COMPUTED_VALUE"""),43818.23377618056)</f>
        <v>43818.23378</v>
      </c>
      <c r="AI1584" s="138"/>
      <c r="AJ1584" s="138"/>
      <c r="AK1584" s="138"/>
      <c r="AL1584" s="142"/>
    </row>
    <row r="1585" ht="20.25" customHeight="1">
      <c r="A1585" s="155" t="str">
        <f>IFERROR(__xludf.DUMMYFUNCTION("""COMPUTED_VALUE"""),"dhbax")</f>
        <v>dhbax</v>
      </c>
      <c r="B1585" s="149" t="str">
        <f>IFERROR(__xludf.DUMMYFUNCTION("""COMPUTED_VALUE"""),"Portland")</f>
        <v>Portland</v>
      </c>
      <c r="C1585" s="149" t="str">
        <f>IFERROR(__xludf.DUMMYFUNCTION("""COMPUTED_VALUE"""),"OR")</f>
        <v>OR</v>
      </c>
      <c r="D1585" s="149" t="str">
        <f>IFERROR(__xludf.DUMMYFUNCTION("""COMPUTED_VALUE"""),"USA")</f>
        <v>USA</v>
      </c>
      <c r="E1585" s="156">
        <f>IFERROR(__xludf.DUMMYFUNCTION("""COMPUTED_VALUE"""),43762.0)</f>
        <v>43762</v>
      </c>
      <c r="F1585" s="129">
        <f>IFERROR(__xludf.DUMMYFUNCTION("""COMPUTED_VALUE"""),43811.0)</f>
        <v>43811</v>
      </c>
      <c r="G1585" s="154"/>
      <c r="H1585" s="131">
        <f>IFERROR(__xludf.DUMMYFUNCTION("""COMPUTED_VALUE"""),627967.0)</f>
        <v>627967</v>
      </c>
      <c r="I1585" s="144" t="str">
        <f>IFERROR(__xludf.DUMMYFUNCTION("""COMPUTED_VALUE"""),"12/19")</f>
        <v>12/19</v>
      </c>
      <c r="J1585" s="129">
        <f>IFERROR(__xludf.DUMMYFUNCTION("""COMPUTED_VALUE"""),43816.0)</f>
        <v>43816</v>
      </c>
      <c r="K1585" s="133">
        <f>IFERROR(__xludf.DUMMYFUNCTION("""COMPUTED_VALUE"""),49.0)</f>
        <v>49</v>
      </c>
      <c r="L1585" s="133">
        <f>IFERROR(__xludf.DUMMYFUNCTION("""COMPUTED_VALUE"""),5.0)</f>
        <v>5</v>
      </c>
      <c r="M1585" s="133">
        <f>IFERROR(__xludf.DUMMYFUNCTION("""COMPUTED_VALUE"""),54.0)</f>
        <v>54</v>
      </c>
      <c r="N1585" s="152" t="str">
        <f>IFERROR(__xludf.DUMMYFUNCTION("""COMPUTED_VALUE"""),"Model 3 LR AWD")</f>
        <v>Model 3 LR AWD</v>
      </c>
      <c r="O1585" s="152" t="str">
        <f>IFERROR(__xludf.DUMMYFUNCTION("""COMPUTED_VALUE"""),"Deep Blue Metallic")</f>
        <v>Deep Blue Metallic</v>
      </c>
      <c r="P1585" s="153" t="str">
        <f>IFERROR(__xludf.DUMMYFUNCTION("""COMPUTED_VALUE"""),"18 inch Aero")</f>
        <v>18 inch Aero</v>
      </c>
      <c r="Q1585" s="152" t="str">
        <f>IFERROR(__xludf.DUMMYFUNCTION("""COMPUTED_VALUE"""),"Black seats")</f>
        <v>Black seats</v>
      </c>
      <c r="R1585" s="149" t="str">
        <f>IFERROR(__xludf.DUMMYFUNCTION("""COMPUTED_VALUE"""),"Full Self-Driving")</f>
        <v>Full Self-Driving</v>
      </c>
      <c r="S1585" s="149"/>
      <c r="T1585" s="145"/>
      <c r="U1585" s="145"/>
      <c r="V1585" s="145"/>
      <c r="W1585" s="136"/>
      <c r="X1585" s="137" t="str">
        <f>IFERROR(__xludf.DUMMYFUNCTION("""COMPUTED_VALUE"""),"Excellent")</f>
        <v>Excellent</v>
      </c>
      <c r="Y1585" s="138" t="str">
        <f>IFERROR(__xludf.DUMMYFUNCTION("""COMPUTED_VALUE"""),"Excellent")</f>
        <v>Excellent</v>
      </c>
      <c r="Z1585" s="138" t="str">
        <f>IFERROR(__xludf.DUMMYFUNCTION("""COMPUTED_VALUE"""),"Excellent")</f>
        <v>Excellent</v>
      </c>
      <c r="AA1585" s="138" t="str">
        <f>IFERROR(__xludf.DUMMYFUNCTION("""COMPUTED_VALUE"""),"Good")</f>
        <v>Good</v>
      </c>
      <c r="AB1585" s="138" t="str">
        <f>IFERROR(__xludf.DUMMYFUNCTION("""COMPUTED_VALUE"""),"Fair")</f>
        <v>Fair</v>
      </c>
      <c r="AC1585" s="139">
        <f>IFERROR(__xludf.DUMMYFUNCTION("""COMPUTED_VALUE"""),1.0)</f>
        <v>1</v>
      </c>
      <c r="AD1585" s="139">
        <f>IFERROR(__xludf.DUMMYFUNCTION("""COMPUTED_VALUE"""),1.0)</f>
        <v>1</v>
      </c>
      <c r="AE1585" s="139">
        <f>IFERROR(__xludf.DUMMYFUNCTION("""COMPUTED_VALUE"""),0.0)</f>
        <v>0</v>
      </c>
      <c r="AF1585" s="140"/>
      <c r="AG1585" s="136"/>
      <c r="AH1585" s="157">
        <f>IFERROR(__xludf.DUMMYFUNCTION("""COMPUTED_VALUE"""),43820.48818015046)</f>
        <v>43820.48818</v>
      </c>
      <c r="AI1585" s="138"/>
      <c r="AJ1585" s="138"/>
      <c r="AK1585" s="138"/>
      <c r="AL1585" s="142"/>
    </row>
    <row r="1586" ht="20.25" customHeight="1">
      <c r="A1586" s="155" t="str">
        <f>IFERROR(__xludf.DUMMYFUNCTION("""COMPUTED_VALUE"""),"djf")</f>
        <v>djf</v>
      </c>
      <c r="B1586" s="149" t="str">
        <f>IFERROR(__xludf.DUMMYFUNCTION("""COMPUTED_VALUE"""),"Santa Rosa")</f>
        <v>Santa Rosa</v>
      </c>
      <c r="C1586" s="149" t="str">
        <f>IFERROR(__xludf.DUMMYFUNCTION("""COMPUTED_VALUE"""),"CA")</f>
        <v>CA</v>
      </c>
      <c r="D1586" s="149" t="str">
        <f>IFERROR(__xludf.DUMMYFUNCTION("""COMPUTED_VALUE"""),"USA")</f>
        <v>USA</v>
      </c>
      <c r="E1586" s="156">
        <f>IFERROR(__xludf.DUMMYFUNCTION("""COMPUTED_VALUE"""),43762.0)</f>
        <v>43762</v>
      </c>
      <c r="F1586" s="129">
        <f>IFERROR(__xludf.DUMMYFUNCTION("""COMPUTED_VALUE"""),43799.0)</f>
        <v>43799</v>
      </c>
      <c r="G1586" s="154"/>
      <c r="H1586" s="131">
        <f>IFERROR(__xludf.DUMMYFUNCTION("""COMPUTED_VALUE"""),627388.0)</f>
        <v>627388</v>
      </c>
      <c r="I1586" s="144" t="str">
        <f>IFERROR(__xludf.DUMMYFUNCTION("""COMPUTED_VALUE"""),"11/19")</f>
        <v>11/19</v>
      </c>
      <c r="J1586" s="129">
        <f>IFERROR(__xludf.DUMMYFUNCTION("""COMPUTED_VALUE"""),43803.0)</f>
        <v>43803</v>
      </c>
      <c r="K1586" s="133">
        <f>IFERROR(__xludf.DUMMYFUNCTION("""COMPUTED_VALUE"""),37.0)</f>
        <v>37</v>
      </c>
      <c r="L1586" s="133">
        <f>IFERROR(__xludf.DUMMYFUNCTION("""COMPUTED_VALUE"""),4.0)</f>
        <v>4</v>
      </c>
      <c r="M1586" s="133">
        <f>IFERROR(__xludf.DUMMYFUNCTION("""COMPUTED_VALUE"""),41.0)</f>
        <v>41</v>
      </c>
      <c r="N1586" s="152" t="str">
        <f>IFERROR(__xludf.DUMMYFUNCTION("""COMPUTED_VALUE"""),"Model 3 Performance")</f>
        <v>Model 3 Performance</v>
      </c>
      <c r="O1586" s="152" t="str">
        <f>IFERROR(__xludf.DUMMYFUNCTION("""COMPUTED_VALUE"""),"Deep Blue Metallic")</f>
        <v>Deep Blue Metallic</v>
      </c>
      <c r="P1586" s="153" t="str">
        <f>IFERROR(__xludf.DUMMYFUNCTION("""COMPUTED_VALUE"""),"19 inch Sport")</f>
        <v>19 inch Sport</v>
      </c>
      <c r="Q1586" s="152" t="str">
        <f>IFERROR(__xludf.DUMMYFUNCTION("""COMPUTED_VALUE"""),"Black seats")</f>
        <v>Black seats</v>
      </c>
      <c r="R1586" s="149" t="str">
        <f>IFERROR(__xludf.DUMMYFUNCTION("""COMPUTED_VALUE"""),"Autopilot")</f>
        <v>Autopilot</v>
      </c>
      <c r="S1586" s="149"/>
      <c r="T1586" s="145"/>
      <c r="U1586" s="145"/>
      <c r="V1586" s="145"/>
      <c r="W1586" s="136"/>
      <c r="X1586" s="137" t="str">
        <f>IFERROR(__xludf.DUMMYFUNCTION("""COMPUTED_VALUE"""),"Excellent")</f>
        <v>Excellent</v>
      </c>
      <c r="Y1586" s="138" t="str">
        <f>IFERROR(__xludf.DUMMYFUNCTION("""COMPUTED_VALUE"""),"Excellent")</f>
        <v>Excellent</v>
      </c>
      <c r="Z1586" s="138" t="str">
        <f>IFERROR(__xludf.DUMMYFUNCTION("""COMPUTED_VALUE"""),"Excellent")</f>
        <v>Excellent</v>
      </c>
      <c r="AA1586" s="138" t="str">
        <f>IFERROR(__xludf.DUMMYFUNCTION("""COMPUTED_VALUE"""),"Excellent")</f>
        <v>Excellent</v>
      </c>
      <c r="AB1586" s="138" t="str">
        <f>IFERROR(__xludf.DUMMYFUNCTION("""COMPUTED_VALUE"""),"Excellent")</f>
        <v>Excellent</v>
      </c>
      <c r="AC1586" s="139"/>
      <c r="AD1586" s="139"/>
      <c r="AE1586" s="139"/>
      <c r="AF1586" s="140"/>
      <c r="AG1586" s="136" t="str">
        <f>IFERROR(__xludf.DUMMYFUNCTION("""COMPUTED_VALUE"""),"Upgraded from AWD to Stealth Performance")</f>
        <v>Upgraded from AWD to Stealth Performance</v>
      </c>
      <c r="AH1586" s="157">
        <f>IFERROR(__xludf.DUMMYFUNCTION("""COMPUTED_VALUE"""),43804.73773644676)</f>
        <v>43804.73774</v>
      </c>
      <c r="AI1586" s="138"/>
      <c r="AJ1586" s="138"/>
      <c r="AK1586" s="138"/>
      <c r="AL1586" s="142"/>
    </row>
    <row r="1587" ht="20.25" customHeight="1">
      <c r="A1587" s="155" t="str">
        <f>IFERROR(__xludf.DUMMYFUNCTION("""COMPUTED_VALUE"""),"JazzCat")</f>
        <v>JazzCat</v>
      </c>
      <c r="B1587" s="149" t="str">
        <f>IFERROR(__xludf.DUMMYFUNCTION("""COMPUTED_VALUE"""),"Los Angeles")</f>
        <v>Los Angeles</v>
      </c>
      <c r="C1587" s="149" t="str">
        <f>IFERROR(__xludf.DUMMYFUNCTION("""COMPUTED_VALUE"""),"CA")</f>
        <v>CA</v>
      </c>
      <c r="D1587" s="149" t="str">
        <f>IFERROR(__xludf.DUMMYFUNCTION("""COMPUTED_VALUE"""),"USA")</f>
        <v>USA</v>
      </c>
      <c r="E1587" s="156">
        <f>IFERROR(__xludf.DUMMYFUNCTION("""COMPUTED_VALUE"""),43762.0)</f>
        <v>43762</v>
      </c>
      <c r="F1587" s="129">
        <f>IFERROR(__xludf.DUMMYFUNCTION("""COMPUTED_VALUE"""),43809.0)</f>
        <v>43809</v>
      </c>
      <c r="G1587" s="154"/>
      <c r="H1587" s="131">
        <f>IFERROR(__xludf.DUMMYFUNCTION("""COMPUTED_VALUE"""),475919.0)</f>
        <v>475919</v>
      </c>
      <c r="I1587" s="144"/>
      <c r="J1587" s="129">
        <f>IFERROR(__xludf.DUMMYFUNCTION("""COMPUTED_VALUE"""),43813.0)</f>
        <v>43813</v>
      </c>
      <c r="K1587" s="133">
        <f>IFERROR(__xludf.DUMMYFUNCTION("""COMPUTED_VALUE"""),47.0)</f>
        <v>47</v>
      </c>
      <c r="L1587" s="133">
        <f>IFERROR(__xludf.DUMMYFUNCTION("""COMPUTED_VALUE"""),4.0)</f>
        <v>4</v>
      </c>
      <c r="M1587" s="133">
        <f>IFERROR(__xludf.DUMMYFUNCTION("""COMPUTED_VALUE"""),51.0)</f>
        <v>51</v>
      </c>
      <c r="N1587" s="152" t="str">
        <f>IFERROR(__xludf.DUMMYFUNCTION("""COMPUTED_VALUE"""),"Model 3 SR+")</f>
        <v>Model 3 SR+</v>
      </c>
      <c r="O1587" s="152" t="str">
        <f>IFERROR(__xludf.DUMMYFUNCTION("""COMPUTED_VALUE"""),"Midnight Silver Metallic")</f>
        <v>Midnight Silver Metallic</v>
      </c>
      <c r="P1587" s="153" t="str">
        <f>IFERROR(__xludf.DUMMYFUNCTION("""COMPUTED_VALUE"""),"19 inch Sport")</f>
        <v>19 inch Sport</v>
      </c>
      <c r="Q1587" s="152" t="str">
        <f>IFERROR(__xludf.DUMMYFUNCTION("""COMPUTED_VALUE"""),"Black seats")</f>
        <v>Black seats</v>
      </c>
      <c r="R1587" s="149" t="str">
        <f>IFERROR(__xludf.DUMMYFUNCTION("""COMPUTED_VALUE"""),"Full Self-Driving")</f>
        <v>Full Self-Driving</v>
      </c>
      <c r="S1587" s="149"/>
      <c r="T1587" s="145"/>
      <c r="U1587" s="145"/>
      <c r="V1587" s="145"/>
      <c r="W1587" s="136"/>
      <c r="X1587" s="137" t="str">
        <f>IFERROR(__xludf.DUMMYFUNCTION("""COMPUTED_VALUE"""),"Very Good")</f>
        <v>Very Good</v>
      </c>
      <c r="Y1587" s="138" t="str">
        <f>IFERROR(__xludf.DUMMYFUNCTION("""COMPUTED_VALUE"""),"Very Good")</f>
        <v>Very Good</v>
      </c>
      <c r="Z1587" s="138" t="str">
        <f>IFERROR(__xludf.DUMMYFUNCTION("""COMPUTED_VALUE"""),"Good")</f>
        <v>Good</v>
      </c>
      <c r="AA1587" s="138" t="str">
        <f>IFERROR(__xludf.DUMMYFUNCTION("""COMPUTED_VALUE"""),"Very Good")</f>
        <v>Very Good</v>
      </c>
      <c r="AB1587" s="138" t="str">
        <f>IFERROR(__xludf.DUMMYFUNCTION("""COMPUTED_VALUE"""),"Very Good")</f>
        <v>Very Good</v>
      </c>
      <c r="AC1587" s="139">
        <f>IFERROR(__xludf.DUMMYFUNCTION("""COMPUTED_VALUE"""),1.0)</f>
        <v>1</v>
      </c>
      <c r="AD1587" s="139"/>
      <c r="AE1587" s="139"/>
      <c r="AF1587" s="140"/>
      <c r="AG1587" s="136" t="str">
        <f>IFERROR(__xludf.DUMMYFUNCTION("""COMPUTED_VALUE"""),"originally ordered SR+ with 18"" on 10/24 - talked with delivery and sales on 12/10 to notify of upcoming trip, and desire to get delivery before.  offered a SR+ with 19"" wheels from showroom floor, 240 miles on odometer.  took delivery 12/14 - one small"&amp;" paint bubble on rear bumper, due biil assigned so just need to have repaired")</f>
        <v>originally ordered SR+ with 18" on 10/24 - talked with delivery and sales on 12/10 to notify of upcoming trip, and desire to get delivery before.  offered a SR+ with 19" wheels from showroom floor, 240 miles on odometer.  took delivery 12/14 - one small paint bubble on rear bumper, due biil assigned so just need to have repaired</v>
      </c>
      <c r="AH1587" s="157">
        <f>IFERROR(__xludf.DUMMYFUNCTION("""COMPUTED_VALUE"""),43815.30423913195)</f>
        <v>43815.30424</v>
      </c>
      <c r="AI1587" s="138"/>
      <c r="AJ1587" s="138"/>
      <c r="AK1587" s="138"/>
      <c r="AL1587" s="142"/>
    </row>
    <row r="1588" ht="20.25" customHeight="1">
      <c r="A1588" s="155" t="str">
        <f>IFERROR(__xludf.DUMMYFUNCTION("""COMPUTED_VALUE"""),"afeudale")</f>
        <v>afeudale</v>
      </c>
      <c r="B1588" s="149" t="str">
        <f>IFERROR(__xludf.DUMMYFUNCTION("""COMPUTED_VALUE"""),"Toronto")</f>
        <v>Toronto</v>
      </c>
      <c r="C1588" s="149" t="str">
        <f>IFERROR(__xludf.DUMMYFUNCTION("""COMPUTED_VALUE"""),"ON")</f>
        <v>ON</v>
      </c>
      <c r="D1588" s="149" t="str">
        <f>IFERROR(__xludf.DUMMYFUNCTION("""COMPUTED_VALUE"""),"Canada")</f>
        <v>Canada</v>
      </c>
      <c r="E1588" s="156">
        <f>IFERROR(__xludf.DUMMYFUNCTION("""COMPUTED_VALUE"""),43761.0)</f>
        <v>43761</v>
      </c>
      <c r="F1588" s="129">
        <f>IFERROR(__xludf.DUMMYFUNCTION("""COMPUTED_VALUE"""),43788.0)</f>
        <v>43788</v>
      </c>
      <c r="G1588" s="154"/>
      <c r="H1588" s="131">
        <f>IFERROR(__xludf.DUMMYFUNCTION("""COMPUTED_VALUE"""),529455.0)</f>
        <v>529455</v>
      </c>
      <c r="I1588" s="144"/>
      <c r="J1588" s="129">
        <f>IFERROR(__xludf.DUMMYFUNCTION("""COMPUTED_VALUE"""),43804.0)</f>
        <v>43804</v>
      </c>
      <c r="K1588" s="133">
        <f>IFERROR(__xludf.DUMMYFUNCTION("""COMPUTED_VALUE"""),27.0)</f>
        <v>27</v>
      </c>
      <c r="L1588" s="133">
        <f>IFERROR(__xludf.DUMMYFUNCTION("""COMPUTED_VALUE"""),16.0)</f>
        <v>16</v>
      </c>
      <c r="M1588" s="133">
        <f>IFERROR(__xludf.DUMMYFUNCTION("""COMPUTED_VALUE"""),43.0)</f>
        <v>43</v>
      </c>
      <c r="N1588" s="152" t="str">
        <f>IFERROR(__xludf.DUMMYFUNCTION("""COMPUTED_VALUE"""),"Model 3 SR+")</f>
        <v>Model 3 SR+</v>
      </c>
      <c r="O1588" s="152" t="str">
        <f>IFERROR(__xludf.DUMMYFUNCTION("""COMPUTED_VALUE"""),"Pearl White Multi-Coat")</f>
        <v>Pearl White Multi-Coat</v>
      </c>
      <c r="P1588" s="153" t="str">
        <f>IFERROR(__xludf.DUMMYFUNCTION("""COMPUTED_VALUE"""),"18 inch Aero")</f>
        <v>18 inch Aero</v>
      </c>
      <c r="Q1588" s="152" t="str">
        <f>IFERROR(__xludf.DUMMYFUNCTION("""COMPUTED_VALUE"""),"Black seats")</f>
        <v>Black seats</v>
      </c>
      <c r="R1588" s="149" t="str">
        <f>IFERROR(__xludf.DUMMYFUNCTION("""COMPUTED_VALUE"""),"Autopilot")</f>
        <v>Autopilot</v>
      </c>
      <c r="S1588" s="149"/>
      <c r="T1588" s="145"/>
      <c r="U1588" s="145"/>
      <c r="V1588" s="145"/>
      <c r="W1588" s="136"/>
      <c r="X1588" s="137" t="str">
        <f>IFERROR(__xludf.DUMMYFUNCTION("""COMPUTED_VALUE"""),"Good")</f>
        <v>Good</v>
      </c>
      <c r="Y1588" s="138" t="str">
        <f>IFERROR(__xludf.DUMMYFUNCTION("""COMPUTED_VALUE"""),"Very Good")</f>
        <v>Very Good</v>
      </c>
      <c r="Z1588" s="138" t="str">
        <f>IFERROR(__xludf.DUMMYFUNCTION("""COMPUTED_VALUE"""),"Excellent")</f>
        <v>Excellent</v>
      </c>
      <c r="AA1588" s="138" t="str">
        <f>IFERROR(__xludf.DUMMYFUNCTION("""COMPUTED_VALUE"""),"Poor")</f>
        <v>Poor</v>
      </c>
      <c r="AB1588" s="138" t="str">
        <f>IFERROR(__xludf.DUMMYFUNCTION("""COMPUTED_VALUE"""),"Poor")</f>
        <v>Poor</v>
      </c>
      <c r="AC1588" s="139"/>
      <c r="AD1588" s="139"/>
      <c r="AE1588" s="139"/>
      <c r="AF1588" s="140"/>
      <c r="AG1588" s="136" t="str">
        <f>IFERROR(__xludf.DUMMYFUNCTION("""COMPUTED_VALUE"""),"Scheduling was a nightmare.  Originally scheduled for Dec 6, but when SA called, said we could come on the 4th to pickup - yay!  Showed up on the 4th, car not ready :(  They paid for Uber back home and Uber back to pickup the next day.  But what a waste o"&amp;"f time.  SA kept apologizing for messing up.")</f>
        <v>Scheduling was a nightmare.  Originally scheduled for Dec 6, but when SA called, said we could come on the 4th to pickup - yay!  Showed up on the 4th, car not ready :(  They paid for Uber back home and Uber back to pickup the next day.  But what a waste of time.  SA kept apologizing for messing up.</v>
      </c>
      <c r="AH1588" s="157">
        <f>IFERROR(__xludf.DUMMYFUNCTION("""COMPUTED_VALUE"""),43807.76319736111)</f>
        <v>43807.7632</v>
      </c>
      <c r="AI1588" s="138"/>
      <c r="AJ1588" s="138"/>
      <c r="AK1588" s="138"/>
      <c r="AL1588" s="142"/>
    </row>
    <row r="1589" ht="20.25" customHeight="1">
      <c r="A1589" s="155" t="str">
        <f>IFERROR(__xludf.DUMMYFUNCTION("""COMPUTED_VALUE"""),"dogface")</f>
        <v>dogface</v>
      </c>
      <c r="B1589" s="149" t="str">
        <f>IFERROR(__xludf.DUMMYFUNCTION("""COMPUTED_VALUE"""),"SFBAY")</f>
        <v>SFBAY</v>
      </c>
      <c r="C1589" s="149" t="str">
        <f>IFERROR(__xludf.DUMMYFUNCTION("""COMPUTED_VALUE"""),"CA")</f>
        <v>CA</v>
      </c>
      <c r="D1589" s="149" t="str">
        <f>IFERROR(__xludf.DUMMYFUNCTION("""COMPUTED_VALUE"""),"USA")</f>
        <v>USA</v>
      </c>
      <c r="E1589" s="156">
        <f>IFERROR(__xludf.DUMMYFUNCTION("""COMPUTED_VALUE"""),43761.0)</f>
        <v>43761</v>
      </c>
      <c r="F1589" s="129">
        <f>IFERROR(__xludf.DUMMYFUNCTION("""COMPUTED_VALUE"""),43795.0)</f>
        <v>43795</v>
      </c>
      <c r="G1589" s="154"/>
      <c r="H1589" s="131">
        <f>IFERROR(__xludf.DUMMYFUNCTION("""COMPUTED_VALUE"""),627493.0)</f>
        <v>627493</v>
      </c>
      <c r="I1589" s="144"/>
      <c r="J1589" s="129">
        <f>IFERROR(__xludf.DUMMYFUNCTION("""COMPUTED_VALUE"""),43798.0)</f>
        <v>43798</v>
      </c>
      <c r="K1589" s="133">
        <f>IFERROR(__xludf.DUMMYFUNCTION("""COMPUTED_VALUE"""),34.0)</f>
        <v>34</v>
      </c>
      <c r="L1589" s="133">
        <f>IFERROR(__xludf.DUMMYFUNCTION("""COMPUTED_VALUE"""),3.0)</f>
        <v>3</v>
      </c>
      <c r="M1589" s="133">
        <f>IFERROR(__xludf.DUMMYFUNCTION("""COMPUTED_VALUE"""),37.0)</f>
        <v>37</v>
      </c>
      <c r="N1589" s="152" t="str">
        <f>IFERROR(__xludf.DUMMYFUNCTION("""COMPUTED_VALUE"""),"Model 3 Performance")</f>
        <v>Model 3 Performance</v>
      </c>
      <c r="O1589" s="152" t="str">
        <f>IFERROR(__xludf.DUMMYFUNCTION("""COMPUTED_VALUE"""),"Pearl White Multi-Coat")</f>
        <v>Pearl White Multi-Coat</v>
      </c>
      <c r="P1589" s="153" t="str">
        <f>IFERROR(__xludf.DUMMYFUNCTION("""COMPUTED_VALUE"""),"19 inch Sport")</f>
        <v>19 inch Sport</v>
      </c>
      <c r="Q1589" s="152" t="str">
        <f>IFERROR(__xludf.DUMMYFUNCTION("""COMPUTED_VALUE"""),"Black seats")</f>
        <v>Black seats</v>
      </c>
      <c r="R1589" s="149" t="str">
        <f>IFERROR(__xludf.DUMMYFUNCTION("""COMPUTED_VALUE"""),"Autopilot")</f>
        <v>Autopilot</v>
      </c>
      <c r="S1589" s="149"/>
      <c r="T1589" s="145"/>
      <c r="U1589" s="145"/>
      <c r="V1589" s="145"/>
      <c r="W1589" s="136"/>
      <c r="X1589" s="137" t="str">
        <f>IFERROR(__xludf.DUMMYFUNCTION("""COMPUTED_VALUE"""),"Fair")</f>
        <v>Fair</v>
      </c>
      <c r="Y1589" s="138" t="str">
        <f>IFERROR(__xludf.DUMMYFUNCTION("""COMPUTED_VALUE"""),"Excellent")</f>
        <v>Excellent</v>
      </c>
      <c r="Z1589" s="138"/>
      <c r="AA1589" s="138" t="str">
        <f>IFERROR(__xludf.DUMMYFUNCTION("""COMPUTED_VALUE"""),"Excellent")</f>
        <v>Excellent</v>
      </c>
      <c r="AB1589" s="138" t="str">
        <f>IFERROR(__xludf.DUMMYFUNCTION("""COMPUTED_VALUE"""),"Excellent")</f>
        <v>Excellent</v>
      </c>
      <c r="AC1589" s="139"/>
      <c r="AD1589" s="139"/>
      <c r="AE1589" s="139"/>
      <c r="AF1589" s="140"/>
      <c r="AG1589" s="136" t="str">
        <f>IFERROR(__xludf.DUMMYFUNCTION("""COMPUTED_VALUE"""),"changed LRAWD order to stealth 11/25 - sourcecode shows MY2020")</f>
        <v>changed LRAWD order to stealth 11/25 - sourcecode shows MY2020</v>
      </c>
      <c r="AH1589" s="157">
        <f>IFERROR(__xludf.DUMMYFUNCTION("""COMPUTED_VALUE"""),43799.01877650463)</f>
        <v>43799.01878</v>
      </c>
      <c r="AI1589" s="138"/>
      <c r="AJ1589" s="138"/>
      <c r="AK1589" s="138"/>
      <c r="AL1589" s="142"/>
    </row>
    <row r="1590" ht="20.25" customHeight="1">
      <c r="A1590" s="155" t="str">
        <f>IFERROR(__xludf.DUMMYFUNCTION("""COMPUTED_VALUE"""),"Muertes")</f>
        <v>Muertes</v>
      </c>
      <c r="B1590" s="149" t="str">
        <f>IFERROR(__xludf.DUMMYFUNCTION("""COMPUTED_VALUE"""),"Houston")</f>
        <v>Houston</v>
      </c>
      <c r="C1590" s="149" t="str">
        <f>IFERROR(__xludf.DUMMYFUNCTION("""COMPUTED_VALUE"""),"TX")</f>
        <v>TX</v>
      </c>
      <c r="D1590" s="149" t="str">
        <f>IFERROR(__xludf.DUMMYFUNCTION("""COMPUTED_VALUE"""),"USA")</f>
        <v>USA</v>
      </c>
      <c r="E1590" s="156">
        <f>IFERROR(__xludf.DUMMYFUNCTION("""COMPUTED_VALUE"""),43761.0)</f>
        <v>43761</v>
      </c>
      <c r="F1590" s="129">
        <f>IFERROR(__xludf.DUMMYFUNCTION("""COMPUTED_VALUE"""),43788.0)</f>
        <v>43788</v>
      </c>
      <c r="G1590" s="154"/>
      <c r="H1590" s="131">
        <f>IFERROR(__xludf.DUMMYFUNCTION("""COMPUTED_VALUE"""),519655.0)</f>
        <v>519655</v>
      </c>
      <c r="I1590" s="144" t="str">
        <f>IFERROR(__xludf.DUMMYFUNCTION("""COMPUTED_VALUE"""),"11/19")</f>
        <v>11/19</v>
      </c>
      <c r="J1590" s="129">
        <f>IFERROR(__xludf.DUMMYFUNCTION("""COMPUTED_VALUE"""),43803.0)</f>
        <v>43803</v>
      </c>
      <c r="K1590" s="133">
        <f>IFERROR(__xludf.DUMMYFUNCTION("""COMPUTED_VALUE"""),27.0)</f>
        <v>27</v>
      </c>
      <c r="L1590" s="133">
        <f>IFERROR(__xludf.DUMMYFUNCTION("""COMPUTED_VALUE"""),15.0)</f>
        <v>15</v>
      </c>
      <c r="M1590" s="133">
        <f>IFERROR(__xludf.DUMMYFUNCTION("""COMPUTED_VALUE"""),42.0)</f>
        <v>42</v>
      </c>
      <c r="N1590" s="152" t="str">
        <f>IFERROR(__xludf.DUMMYFUNCTION("""COMPUTED_VALUE"""),"Model 3 SR+")</f>
        <v>Model 3 SR+</v>
      </c>
      <c r="O1590" s="152" t="str">
        <f>IFERROR(__xludf.DUMMYFUNCTION("""COMPUTED_VALUE"""),"Deep Blue Metallic")</f>
        <v>Deep Blue Metallic</v>
      </c>
      <c r="P1590" s="153" t="str">
        <f>IFERROR(__xludf.DUMMYFUNCTION("""COMPUTED_VALUE"""),"18 inch Aero")</f>
        <v>18 inch Aero</v>
      </c>
      <c r="Q1590" s="152" t="str">
        <f>IFERROR(__xludf.DUMMYFUNCTION("""COMPUTED_VALUE"""),"White seats")</f>
        <v>White seats</v>
      </c>
      <c r="R1590" s="149" t="str">
        <f>IFERROR(__xludf.DUMMYFUNCTION("""COMPUTED_VALUE"""),"Autopilot")</f>
        <v>Autopilot</v>
      </c>
      <c r="S1590" s="149"/>
      <c r="T1590" s="145"/>
      <c r="U1590" s="145"/>
      <c r="V1590" s="145"/>
      <c r="W1590" s="136"/>
      <c r="X1590" s="137" t="str">
        <f>IFERROR(__xludf.DUMMYFUNCTION("""COMPUTED_VALUE"""),"Excellent")</f>
        <v>Excellent</v>
      </c>
      <c r="Y1590" s="138" t="str">
        <f>IFERROR(__xludf.DUMMYFUNCTION("""COMPUTED_VALUE"""),"Excellent")</f>
        <v>Excellent</v>
      </c>
      <c r="Z1590" s="138" t="str">
        <f>IFERROR(__xludf.DUMMYFUNCTION("""COMPUTED_VALUE"""),"Very Good")</f>
        <v>Very Good</v>
      </c>
      <c r="AA1590" s="138" t="str">
        <f>IFERROR(__xludf.DUMMYFUNCTION("""COMPUTED_VALUE"""),"Good")</f>
        <v>Good</v>
      </c>
      <c r="AB1590" s="138" t="str">
        <f>IFERROR(__xludf.DUMMYFUNCTION("""COMPUTED_VALUE"""),"Very Good")</f>
        <v>Very Good</v>
      </c>
      <c r="AC1590" s="139">
        <f>IFERROR(__xludf.DUMMYFUNCTION("""COMPUTED_VALUE"""),2.0)</f>
        <v>2</v>
      </c>
      <c r="AD1590" s="139">
        <f>IFERROR(__xludf.DUMMYFUNCTION("""COMPUTED_VALUE"""),1.0)</f>
        <v>1</v>
      </c>
      <c r="AE1590" s="139">
        <f>IFERROR(__xludf.DUMMYFUNCTION("""COMPUTED_VALUE"""),0.0)</f>
        <v>0</v>
      </c>
      <c r="AF1590" s="140"/>
      <c r="AG1590" s="136"/>
      <c r="AH1590" s="157">
        <f>IFERROR(__xludf.DUMMYFUNCTION("""COMPUTED_VALUE"""),43805.63114849538)</f>
        <v>43805.63115</v>
      </c>
      <c r="AI1590" s="138"/>
      <c r="AJ1590" s="138"/>
      <c r="AK1590" s="138"/>
      <c r="AL1590" s="142"/>
    </row>
    <row r="1591" ht="20.25" customHeight="1">
      <c r="A1591" s="155" t="str">
        <f>IFERROR(__xludf.DUMMYFUNCTION("""COMPUTED_VALUE"""),"BURFlyer")</f>
        <v>BURFlyer</v>
      </c>
      <c r="B1591" s="149"/>
      <c r="C1591" s="149" t="str">
        <f>IFERROR(__xludf.DUMMYFUNCTION("""COMPUTED_VALUE"""),"CA")</f>
        <v>CA</v>
      </c>
      <c r="D1591" s="149" t="str">
        <f>IFERROR(__xludf.DUMMYFUNCTION("""COMPUTED_VALUE"""),"USA")</f>
        <v>USA</v>
      </c>
      <c r="E1591" s="156">
        <f>IFERROR(__xludf.DUMMYFUNCTION("""COMPUTED_VALUE"""),43760.0)</f>
        <v>43760</v>
      </c>
      <c r="F1591" s="129">
        <f>IFERROR(__xludf.DUMMYFUNCTION("""COMPUTED_VALUE"""),43796.0)</f>
        <v>43796</v>
      </c>
      <c r="G1591" s="154"/>
      <c r="H1591" s="131">
        <f>IFERROR(__xludf.DUMMYFUNCTION("""COMPUTED_VALUE"""),619855.0)</f>
        <v>619855</v>
      </c>
      <c r="I1591" s="144"/>
      <c r="J1591" s="129">
        <f>IFERROR(__xludf.DUMMYFUNCTION("""COMPUTED_VALUE"""),43806.0)</f>
        <v>43806</v>
      </c>
      <c r="K1591" s="133">
        <f>IFERROR(__xludf.DUMMYFUNCTION("""COMPUTED_VALUE"""),36.0)</f>
        <v>36</v>
      </c>
      <c r="L1591" s="133">
        <f>IFERROR(__xludf.DUMMYFUNCTION("""COMPUTED_VALUE"""),10.0)</f>
        <v>10</v>
      </c>
      <c r="M1591" s="133">
        <f>IFERROR(__xludf.DUMMYFUNCTION("""COMPUTED_VALUE"""),46.0)</f>
        <v>46</v>
      </c>
      <c r="N1591" s="152" t="str">
        <f>IFERROR(__xludf.DUMMYFUNCTION("""COMPUTED_VALUE"""),"Model 3 LR AWD")</f>
        <v>Model 3 LR AWD</v>
      </c>
      <c r="O1591" s="152" t="str">
        <f>IFERROR(__xludf.DUMMYFUNCTION("""COMPUTED_VALUE"""),"Midnight Silver Metallic")</f>
        <v>Midnight Silver Metallic</v>
      </c>
      <c r="P1591" s="153" t="str">
        <f>IFERROR(__xludf.DUMMYFUNCTION("""COMPUTED_VALUE"""),"19 inch Sport")</f>
        <v>19 inch Sport</v>
      </c>
      <c r="Q1591" s="152" t="str">
        <f>IFERROR(__xludf.DUMMYFUNCTION("""COMPUTED_VALUE"""),"Black seats")</f>
        <v>Black seats</v>
      </c>
      <c r="R1591" s="149" t="str">
        <f>IFERROR(__xludf.DUMMYFUNCTION("""COMPUTED_VALUE"""),"Autopilot")</f>
        <v>Autopilot</v>
      </c>
      <c r="S1591" s="149"/>
      <c r="T1591" s="145"/>
      <c r="U1591" s="145"/>
      <c r="V1591" s="145"/>
      <c r="W1591" s="136"/>
      <c r="X1591" s="137" t="str">
        <f>IFERROR(__xludf.DUMMYFUNCTION("""COMPUTED_VALUE"""),"Very Good")</f>
        <v>Very Good</v>
      </c>
      <c r="Y1591" s="138" t="str">
        <f>IFERROR(__xludf.DUMMYFUNCTION("""COMPUTED_VALUE"""),"Very Good")</f>
        <v>Very Good</v>
      </c>
      <c r="Z1591" s="138" t="str">
        <f>IFERROR(__xludf.DUMMYFUNCTION("""COMPUTED_VALUE"""),"Good")</f>
        <v>Good</v>
      </c>
      <c r="AA1591" s="138" t="str">
        <f>IFERROR(__xludf.DUMMYFUNCTION("""COMPUTED_VALUE"""),"Very Good")</f>
        <v>Very Good</v>
      </c>
      <c r="AB1591" s="138" t="str">
        <f>IFERROR(__xludf.DUMMYFUNCTION("""COMPUTED_VALUE"""),"Excellent")</f>
        <v>Excellent</v>
      </c>
      <c r="AC1591" s="139">
        <f>IFERROR(__xludf.DUMMYFUNCTION("""COMPUTED_VALUE"""),2.0)</f>
        <v>2</v>
      </c>
      <c r="AD1591" s="139">
        <f>IFERROR(__xludf.DUMMYFUNCTION("""COMPUTED_VALUE"""),1.0)</f>
        <v>1</v>
      </c>
      <c r="AE1591" s="139"/>
      <c r="AF1591" s="140"/>
      <c r="AG1591" s="136"/>
      <c r="AH1591" s="157">
        <f>IFERROR(__xludf.DUMMYFUNCTION("""COMPUTED_VALUE"""),43807.449953553245)</f>
        <v>43807.44995</v>
      </c>
      <c r="AI1591" s="138"/>
      <c r="AJ1591" s="138"/>
      <c r="AK1591" s="138"/>
      <c r="AL1591" s="142"/>
    </row>
    <row r="1592" ht="20.25" customHeight="1">
      <c r="A1592" s="155" t="str">
        <f>IFERROR(__xludf.DUMMYFUNCTION("""COMPUTED_VALUE"""),"Dakza")</f>
        <v>Dakza</v>
      </c>
      <c r="B1592" s="149" t="str">
        <f>IFERROR(__xludf.DUMMYFUNCTION("""COMPUTED_VALUE"""),"Tucson")</f>
        <v>Tucson</v>
      </c>
      <c r="C1592" s="149" t="str">
        <f>IFERROR(__xludf.DUMMYFUNCTION("""COMPUTED_VALUE"""),"AZ")</f>
        <v>AZ</v>
      </c>
      <c r="D1592" s="149" t="str">
        <f>IFERROR(__xludf.DUMMYFUNCTION("""COMPUTED_VALUE"""),"USA")</f>
        <v>USA</v>
      </c>
      <c r="E1592" s="156">
        <f>IFERROR(__xludf.DUMMYFUNCTION("""COMPUTED_VALUE"""),43760.0)</f>
        <v>43760</v>
      </c>
      <c r="F1592" s="129">
        <f>IFERROR(__xludf.DUMMYFUNCTION("""COMPUTED_VALUE"""),43794.0)</f>
        <v>43794</v>
      </c>
      <c r="G1592" s="154"/>
      <c r="H1592" s="131">
        <f>IFERROR(__xludf.DUMMYFUNCTION("""COMPUTED_VALUE"""),606510.0)</f>
        <v>606510</v>
      </c>
      <c r="I1592" s="144"/>
      <c r="J1592" s="129">
        <f>IFERROR(__xludf.DUMMYFUNCTION("""COMPUTED_VALUE"""),43802.0)</f>
        <v>43802</v>
      </c>
      <c r="K1592" s="133">
        <f>IFERROR(__xludf.DUMMYFUNCTION("""COMPUTED_VALUE"""),34.0)</f>
        <v>34</v>
      </c>
      <c r="L1592" s="133">
        <f>IFERROR(__xludf.DUMMYFUNCTION("""COMPUTED_VALUE"""),8.0)</f>
        <v>8</v>
      </c>
      <c r="M1592" s="133">
        <f>IFERROR(__xludf.DUMMYFUNCTION("""COMPUTED_VALUE"""),42.0)</f>
        <v>42</v>
      </c>
      <c r="N1592" s="152" t="str">
        <f>IFERROR(__xludf.DUMMYFUNCTION("""COMPUTED_VALUE"""),"Model 3 SR+")</f>
        <v>Model 3 SR+</v>
      </c>
      <c r="O1592" s="152" t="str">
        <f>IFERROR(__xludf.DUMMYFUNCTION("""COMPUTED_VALUE"""),"Red Multi-Coat")</f>
        <v>Red Multi-Coat</v>
      </c>
      <c r="P1592" s="153" t="str">
        <f>IFERROR(__xludf.DUMMYFUNCTION("""COMPUTED_VALUE"""),"18 inch Aero")</f>
        <v>18 inch Aero</v>
      </c>
      <c r="Q1592" s="152" t="str">
        <f>IFERROR(__xludf.DUMMYFUNCTION("""COMPUTED_VALUE"""),"Black seats")</f>
        <v>Black seats</v>
      </c>
      <c r="R1592" s="149" t="str">
        <f>IFERROR(__xludf.DUMMYFUNCTION("""COMPUTED_VALUE"""),"Full Self-Driving")</f>
        <v>Full Self-Driving</v>
      </c>
      <c r="S1592" s="149"/>
      <c r="T1592" s="145"/>
      <c r="U1592" s="145"/>
      <c r="V1592" s="145"/>
      <c r="W1592" s="136"/>
      <c r="X1592" s="137" t="str">
        <f>IFERROR(__xludf.DUMMYFUNCTION("""COMPUTED_VALUE"""),"Very Good")</f>
        <v>Very Good</v>
      </c>
      <c r="Y1592" s="138" t="str">
        <f>IFERROR(__xludf.DUMMYFUNCTION("""COMPUTED_VALUE"""),"Excellent")</f>
        <v>Excellent</v>
      </c>
      <c r="Z1592" s="138" t="str">
        <f>IFERROR(__xludf.DUMMYFUNCTION("""COMPUTED_VALUE"""),"Excellent")</f>
        <v>Excellent</v>
      </c>
      <c r="AA1592" s="138" t="str">
        <f>IFERROR(__xludf.DUMMYFUNCTION("""COMPUTED_VALUE"""),"Very Good")</f>
        <v>Very Good</v>
      </c>
      <c r="AB1592" s="138" t="str">
        <f>IFERROR(__xludf.DUMMYFUNCTION("""COMPUTED_VALUE"""),"Very Good")</f>
        <v>Very Good</v>
      </c>
      <c r="AC1592" s="139">
        <f>IFERROR(__xludf.DUMMYFUNCTION("""COMPUTED_VALUE"""),1.0)</f>
        <v>1</v>
      </c>
      <c r="AD1592" s="139"/>
      <c r="AE1592" s="139"/>
      <c r="AF1592" s="140"/>
      <c r="AG1592" s="136" t="str">
        <f>IFERROR(__xludf.DUMMYFUNCTION("""COMPUTED_VALUE"""),"Picked up car on 11/29")</f>
        <v>Picked up car on 11/29</v>
      </c>
      <c r="AH1592" s="157">
        <f>IFERROR(__xludf.DUMMYFUNCTION("""COMPUTED_VALUE"""),43799.20292233796)</f>
        <v>43799.20292</v>
      </c>
      <c r="AI1592" s="138"/>
      <c r="AJ1592" s="138"/>
      <c r="AK1592" s="138"/>
      <c r="AL1592" s="142"/>
    </row>
    <row r="1593" ht="20.25" customHeight="1">
      <c r="A1593" s="155" t="str">
        <f>IFERROR(__xludf.DUMMYFUNCTION("""COMPUTED_VALUE"""),"rogerrabbit")</f>
        <v>rogerrabbit</v>
      </c>
      <c r="B1593" s="149" t="str">
        <f>IFERROR(__xludf.DUMMYFUNCTION("""COMPUTED_VALUE"""),"Orlando")</f>
        <v>Orlando</v>
      </c>
      <c r="C1593" s="149" t="str">
        <f>IFERROR(__xludf.DUMMYFUNCTION("""COMPUTED_VALUE"""),"FL")</f>
        <v>FL</v>
      </c>
      <c r="D1593" s="149" t="str">
        <f>IFERROR(__xludf.DUMMYFUNCTION("""COMPUTED_VALUE"""),"USA")</f>
        <v>USA</v>
      </c>
      <c r="E1593" s="156">
        <f>IFERROR(__xludf.DUMMYFUNCTION("""COMPUTED_VALUE"""),43760.0)</f>
        <v>43760</v>
      </c>
      <c r="F1593" s="129">
        <f>IFERROR(__xludf.DUMMYFUNCTION("""COMPUTED_VALUE"""),43800.0)</f>
        <v>43800</v>
      </c>
      <c r="G1593" s="154"/>
      <c r="H1593" s="131">
        <f>IFERROR(__xludf.DUMMYFUNCTION("""COMPUTED_VALUE"""),617255.0)</f>
        <v>617255</v>
      </c>
      <c r="I1593" s="144"/>
      <c r="J1593" s="129">
        <f>IFERROR(__xludf.DUMMYFUNCTION("""COMPUTED_VALUE"""),43806.0)</f>
        <v>43806</v>
      </c>
      <c r="K1593" s="133">
        <f>IFERROR(__xludf.DUMMYFUNCTION("""COMPUTED_VALUE"""),40.0)</f>
        <v>40</v>
      </c>
      <c r="L1593" s="133">
        <f>IFERROR(__xludf.DUMMYFUNCTION("""COMPUTED_VALUE"""),6.0)</f>
        <v>6</v>
      </c>
      <c r="M1593" s="133">
        <f>IFERROR(__xludf.DUMMYFUNCTION("""COMPUTED_VALUE"""),46.0)</f>
        <v>46</v>
      </c>
      <c r="N1593" s="152" t="str">
        <f>IFERROR(__xludf.DUMMYFUNCTION("""COMPUTED_VALUE"""),"Model 3 LR AWD")</f>
        <v>Model 3 LR AWD</v>
      </c>
      <c r="O1593" s="152" t="str">
        <f>IFERROR(__xludf.DUMMYFUNCTION("""COMPUTED_VALUE"""),"Deep Blue Metallic")</f>
        <v>Deep Blue Metallic</v>
      </c>
      <c r="P1593" s="153" t="str">
        <f>IFERROR(__xludf.DUMMYFUNCTION("""COMPUTED_VALUE"""),"18 inch Aero")</f>
        <v>18 inch Aero</v>
      </c>
      <c r="Q1593" s="152" t="str">
        <f>IFERROR(__xludf.DUMMYFUNCTION("""COMPUTED_VALUE"""),"Black seats")</f>
        <v>Black seats</v>
      </c>
      <c r="R1593" s="149" t="str">
        <f>IFERROR(__xludf.DUMMYFUNCTION("""COMPUTED_VALUE"""),"Full Self-Driving")</f>
        <v>Full Self-Driving</v>
      </c>
      <c r="S1593" s="149"/>
      <c r="T1593" s="145"/>
      <c r="U1593" s="145"/>
      <c r="V1593" s="145"/>
      <c r="W1593" s="136"/>
      <c r="X1593" s="137" t="str">
        <f>IFERROR(__xludf.DUMMYFUNCTION("""COMPUTED_VALUE"""),"Excellent")</f>
        <v>Excellent</v>
      </c>
      <c r="Y1593" s="138" t="str">
        <f>IFERROR(__xludf.DUMMYFUNCTION("""COMPUTED_VALUE"""),"Very Good")</f>
        <v>Very Good</v>
      </c>
      <c r="Z1593" s="138" t="str">
        <f>IFERROR(__xludf.DUMMYFUNCTION("""COMPUTED_VALUE"""),"Excellent")</f>
        <v>Excellent</v>
      </c>
      <c r="AA1593" s="138" t="str">
        <f>IFERROR(__xludf.DUMMYFUNCTION("""COMPUTED_VALUE"""),"Very Good")</f>
        <v>Very Good</v>
      </c>
      <c r="AB1593" s="138" t="str">
        <f>IFERROR(__xludf.DUMMYFUNCTION("""COMPUTED_VALUE"""),"Good")</f>
        <v>Good</v>
      </c>
      <c r="AC1593" s="139"/>
      <c r="AD1593" s="139"/>
      <c r="AE1593" s="139"/>
      <c r="AF1593" s="140"/>
      <c r="AG1593" s="136"/>
      <c r="AH1593" s="157">
        <f>IFERROR(__xludf.DUMMYFUNCTION("""COMPUTED_VALUE"""),43806.84000417824)</f>
        <v>43806.84</v>
      </c>
      <c r="AI1593" s="138"/>
      <c r="AJ1593" s="138"/>
      <c r="AK1593" s="138"/>
      <c r="AL1593" s="142"/>
    </row>
    <row r="1594" ht="20.25" customHeight="1">
      <c r="A1594" s="155" t="str">
        <f>IFERROR(__xludf.DUMMYFUNCTION("""COMPUTED_VALUE"""),"tren01t")</f>
        <v>tren01t</v>
      </c>
      <c r="B1594" s="149" t="str">
        <f>IFERROR(__xludf.DUMMYFUNCTION("""COMPUTED_VALUE"""),"Moreno Valley")</f>
        <v>Moreno Valley</v>
      </c>
      <c r="C1594" s="149" t="str">
        <f>IFERROR(__xludf.DUMMYFUNCTION("""COMPUTED_VALUE"""),"CA")</f>
        <v>CA</v>
      </c>
      <c r="D1594" s="149" t="str">
        <f>IFERROR(__xludf.DUMMYFUNCTION("""COMPUTED_VALUE"""),"USA")</f>
        <v>USA</v>
      </c>
      <c r="E1594" s="156">
        <f>IFERROR(__xludf.DUMMYFUNCTION("""COMPUTED_VALUE"""),43760.0)</f>
        <v>43760</v>
      </c>
      <c r="F1594" s="129">
        <f>IFERROR(__xludf.DUMMYFUNCTION("""COMPUTED_VALUE"""),43794.0)</f>
        <v>43794</v>
      </c>
      <c r="G1594" s="154"/>
      <c r="H1594" s="131">
        <f>IFERROR(__xludf.DUMMYFUNCTION("""COMPUTED_VALUE"""),590575.0)</f>
        <v>590575</v>
      </c>
      <c r="I1594" s="144"/>
      <c r="J1594" s="129">
        <f>IFERROR(__xludf.DUMMYFUNCTION("""COMPUTED_VALUE"""),43803.0)</f>
        <v>43803</v>
      </c>
      <c r="K1594" s="133">
        <f>IFERROR(__xludf.DUMMYFUNCTION("""COMPUTED_VALUE"""),34.0)</f>
        <v>34</v>
      </c>
      <c r="L1594" s="133">
        <f>IFERROR(__xludf.DUMMYFUNCTION("""COMPUTED_VALUE"""),9.0)</f>
        <v>9</v>
      </c>
      <c r="M1594" s="133">
        <f>IFERROR(__xludf.DUMMYFUNCTION("""COMPUTED_VALUE"""),43.0)</f>
        <v>43</v>
      </c>
      <c r="N1594" s="152" t="str">
        <f>IFERROR(__xludf.DUMMYFUNCTION("""COMPUTED_VALUE"""),"Model 3 SR+")</f>
        <v>Model 3 SR+</v>
      </c>
      <c r="O1594" s="152" t="str">
        <f>IFERROR(__xludf.DUMMYFUNCTION("""COMPUTED_VALUE"""),"Pearl White Multi-Coat")</f>
        <v>Pearl White Multi-Coat</v>
      </c>
      <c r="P1594" s="153" t="str">
        <f>IFERROR(__xludf.DUMMYFUNCTION("""COMPUTED_VALUE"""),"18 inch Aero")</f>
        <v>18 inch Aero</v>
      </c>
      <c r="Q1594" s="152" t="str">
        <f>IFERROR(__xludf.DUMMYFUNCTION("""COMPUTED_VALUE"""),"Black seats")</f>
        <v>Black seats</v>
      </c>
      <c r="R1594" s="149" t="str">
        <f>IFERROR(__xludf.DUMMYFUNCTION("""COMPUTED_VALUE"""),"Autopilot")</f>
        <v>Autopilot</v>
      </c>
      <c r="S1594" s="149"/>
      <c r="T1594" s="145"/>
      <c r="U1594" s="145"/>
      <c r="V1594" s="145"/>
      <c r="W1594" s="136"/>
      <c r="X1594" s="137" t="str">
        <f>IFERROR(__xludf.DUMMYFUNCTION("""COMPUTED_VALUE"""),"Excellent")</f>
        <v>Excellent</v>
      </c>
      <c r="Y1594" s="138" t="str">
        <f>IFERROR(__xludf.DUMMYFUNCTION("""COMPUTED_VALUE"""),"Very Good")</f>
        <v>Very Good</v>
      </c>
      <c r="Z1594" s="138" t="str">
        <f>IFERROR(__xludf.DUMMYFUNCTION("""COMPUTED_VALUE"""),"Very Good")</f>
        <v>Very Good</v>
      </c>
      <c r="AA1594" s="138" t="str">
        <f>IFERROR(__xludf.DUMMYFUNCTION("""COMPUTED_VALUE"""),"Very Good")</f>
        <v>Very Good</v>
      </c>
      <c r="AB1594" s="138" t="str">
        <f>IFERROR(__xludf.DUMMYFUNCTION("""COMPUTED_VALUE"""),"Fair")</f>
        <v>Fair</v>
      </c>
      <c r="AC1594" s="139"/>
      <c r="AD1594" s="139"/>
      <c r="AE1594" s="139"/>
      <c r="AF1594" s="140"/>
      <c r="AG1594" s="136" t="str">
        <f>IFERROR(__xludf.DUMMYFUNCTION("""COMPUTED_VALUE"""),"Source code VIN as of 11/25/19")</f>
        <v>Source code VIN as of 11/25/19</v>
      </c>
      <c r="AH1594" s="157">
        <f>IFERROR(__xludf.DUMMYFUNCTION("""COMPUTED_VALUE"""),43803.29981899306)</f>
        <v>43803.29982</v>
      </c>
      <c r="AI1594" s="138"/>
      <c r="AJ1594" s="138"/>
      <c r="AK1594" s="138"/>
      <c r="AL1594" s="142"/>
    </row>
    <row r="1595" ht="20.25" customHeight="1">
      <c r="A1595" s="155" t="str">
        <f>IFERROR(__xludf.DUMMYFUNCTION("""COMPUTED_VALUE"""),"ValXp")</f>
        <v>ValXp</v>
      </c>
      <c r="B1595" s="149" t="str">
        <f>IFERROR(__xludf.DUMMYFUNCTION("""COMPUTED_VALUE"""),"Denver")</f>
        <v>Denver</v>
      </c>
      <c r="C1595" s="149" t="str">
        <f>IFERROR(__xludf.DUMMYFUNCTION("""COMPUTED_VALUE"""),"CO")</f>
        <v>CO</v>
      </c>
      <c r="D1595" s="149" t="str">
        <f>IFERROR(__xludf.DUMMYFUNCTION("""COMPUTED_VALUE"""),"USA")</f>
        <v>USA</v>
      </c>
      <c r="E1595" s="156">
        <f>IFERROR(__xludf.DUMMYFUNCTION("""COMPUTED_VALUE"""),43760.0)</f>
        <v>43760</v>
      </c>
      <c r="F1595" s="129">
        <f>IFERROR(__xludf.DUMMYFUNCTION("""COMPUTED_VALUE"""),43789.0)</f>
        <v>43789</v>
      </c>
      <c r="G1595" s="154"/>
      <c r="H1595" s="131">
        <f>IFERROR(__xludf.DUMMYFUNCTION("""COMPUTED_VALUE"""),602570.0)</f>
        <v>602570</v>
      </c>
      <c r="I1595" s="144" t="str">
        <f>IFERROR(__xludf.DUMMYFUNCTION("""COMPUTED_VALUE"""),"11/19")</f>
        <v>11/19</v>
      </c>
      <c r="J1595" s="129">
        <f>IFERROR(__xludf.DUMMYFUNCTION("""COMPUTED_VALUE"""),43802.0)</f>
        <v>43802</v>
      </c>
      <c r="K1595" s="133">
        <f>IFERROR(__xludf.DUMMYFUNCTION("""COMPUTED_VALUE"""),29.0)</f>
        <v>29</v>
      </c>
      <c r="L1595" s="133">
        <f>IFERROR(__xludf.DUMMYFUNCTION("""COMPUTED_VALUE"""),13.0)</f>
        <v>13</v>
      </c>
      <c r="M1595" s="133">
        <f>IFERROR(__xludf.DUMMYFUNCTION("""COMPUTED_VALUE"""),42.0)</f>
        <v>42</v>
      </c>
      <c r="N1595" s="152" t="str">
        <f>IFERROR(__xludf.DUMMYFUNCTION("""COMPUTED_VALUE"""),"Model 3 Performance")</f>
        <v>Model 3 Performance</v>
      </c>
      <c r="O1595" s="152" t="str">
        <f>IFERROR(__xludf.DUMMYFUNCTION("""COMPUTED_VALUE"""),"Pearl White Multi-Coat")</f>
        <v>Pearl White Multi-Coat</v>
      </c>
      <c r="P1595" s="153" t="str">
        <f>IFERROR(__xludf.DUMMYFUNCTION("""COMPUTED_VALUE"""),"18 inch Aero")</f>
        <v>18 inch Aero</v>
      </c>
      <c r="Q1595" s="152" t="str">
        <f>IFERROR(__xludf.DUMMYFUNCTION("""COMPUTED_VALUE"""),"Black seats")</f>
        <v>Black seats</v>
      </c>
      <c r="R1595" s="149" t="str">
        <f>IFERROR(__xludf.DUMMYFUNCTION("""COMPUTED_VALUE"""),"Full Self-Driving")</f>
        <v>Full Self-Driving</v>
      </c>
      <c r="S1595" s="149"/>
      <c r="T1595" s="145"/>
      <c r="U1595" s="145"/>
      <c r="V1595" s="145"/>
      <c r="W1595" s="136"/>
      <c r="X1595" s="137" t="str">
        <f>IFERROR(__xludf.DUMMYFUNCTION("""COMPUTED_VALUE"""),"Good")</f>
        <v>Good</v>
      </c>
      <c r="Y1595" s="138" t="str">
        <f>IFERROR(__xludf.DUMMYFUNCTION("""COMPUTED_VALUE"""),"Excellent")</f>
        <v>Excellent</v>
      </c>
      <c r="Z1595" s="138" t="str">
        <f>IFERROR(__xludf.DUMMYFUNCTION("""COMPUTED_VALUE"""),"Excellent")</f>
        <v>Excellent</v>
      </c>
      <c r="AA1595" s="138" t="str">
        <f>IFERROR(__xludf.DUMMYFUNCTION("""COMPUTED_VALUE"""),"Good")</f>
        <v>Good</v>
      </c>
      <c r="AB1595" s="138" t="str">
        <f>IFERROR(__xludf.DUMMYFUNCTION("""COMPUTED_VALUE"""),"Excellent")</f>
        <v>Excellent</v>
      </c>
      <c r="AC1595" s="139">
        <f>IFERROR(__xludf.DUMMYFUNCTION("""COMPUTED_VALUE"""),1.0)</f>
        <v>1</v>
      </c>
      <c r="AD1595" s="139">
        <f>IFERROR(__xludf.DUMMYFUNCTION("""COMPUTED_VALUE"""),1.0)</f>
        <v>1</v>
      </c>
      <c r="AE1595" s="139"/>
      <c r="AF1595" s="140"/>
      <c r="AG1595" s="136" t="str">
        <f>IFERROR(__xludf.DUMMYFUNCTION("""COMPUTED_VALUE"""),"Originally SR+. Changed to LR AWD on 11/7. Got stealth on 11/20. Added FSD. Estimated delivery around 12/5. ")</f>
        <v>Originally SR+. Changed to LR AWD on 11/7. Got stealth on 11/20. Added FSD. Estimated delivery around 12/5. </v>
      </c>
      <c r="AH1595" s="157">
        <f>IFERROR(__xludf.DUMMYFUNCTION("""COMPUTED_VALUE"""),43803.36866864583)</f>
        <v>43803.36867</v>
      </c>
      <c r="AI1595" s="138"/>
      <c r="AJ1595" s="138"/>
      <c r="AK1595" s="138"/>
      <c r="AL1595" s="142"/>
    </row>
    <row r="1596" ht="20.25" customHeight="1">
      <c r="A1596" s="155" t="str">
        <f>IFERROR(__xludf.DUMMYFUNCTION("""COMPUTED_VALUE"""),"lilsteens")</f>
        <v>lilsteens</v>
      </c>
      <c r="B1596" s="149" t="str">
        <f>IFERROR(__xludf.DUMMYFUNCTION("""COMPUTED_VALUE"""),"Santa Barbara")</f>
        <v>Santa Barbara</v>
      </c>
      <c r="C1596" s="149" t="str">
        <f>IFERROR(__xludf.DUMMYFUNCTION("""COMPUTED_VALUE"""),"CA")</f>
        <v>CA</v>
      </c>
      <c r="D1596" s="149" t="str">
        <f>IFERROR(__xludf.DUMMYFUNCTION("""COMPUTED_VALUE"""),"USA")</f>
        <v>USA</v>
      </c>
      <c r="E1596" s="156">
        <f>IFERROR(__xludf.DUMMYFUNCTION("""COMPUTED_VALUE"""),43759.0)</f>
        <v>43759</v>
      </c>
      <c r="F1596" s="129">
        <f>IFERROR(__xludf.DUMMYFUNCTION("""COMPUTED_VALUE"""),43798.0)</f>
        <v>43798</v>
      </c>
      <c r="G1596" s="154"/>
      <c r="H1596" s="131"/>
      <c r="I1596" s="144"/>
      <c r="J1596" s="129">
        <f>IFERROR(__xludf.DUMMYFUNCTION("""COMPUTED_VALUE"""),43800.0)</f>
        <v>43800</v>
      </c>
      <c r="K1596" s="133">
        <f>IFERROR(__xludf.DUMMYFUNCTION("""COMPUTED_VALUE"""),39.0)</f>
        <v>39</v>
      </c>
      <c r="L1596" s="133">
        <f>IFERROR(__xludf.DUMMYFUNCTION("""COMPUTED_VALUE"""),2.0)</f>
        <v>2</v>
      </c>
      <c r="M1596" s="133">
        <f>IFERROR(__xludf.DUMMYFUNCTION("""COMPUTED_VALUE"""),41.0)</f>
        <v>41</v>
      </c>
      <c r="N1596" s="152" t="str">
        <f>IFERROR(__xludf.DUMMYFUNCTION("""COMPUTED_VALUE"""),"Model 3 SR+")</f>
        <v>Model 3 SR+</v>
      </c>
      <c r="O1596" s="152" t="str">
        <f>IFERROR(__xludf.DUMMYFUNCTION("""COMPUTED_VALUE"""),"Pearl White Multi-Coat")</f>
        <v>Pearl White Multi-Coat</v>
      </c>
      <c r="P1596" s="153" t="str">
        <f>IFERROR(__xludf.DUMMYFUNCTION("""COMPUTED_VALUE"""),"18 inch Aero")</f>
        <v>18 inch Aero</v>
      </c>
      <c r="Q1596" s="152" t="str">
        <f>IFERROR(__xludf.DUMMYFUNCTION("""COMPUTED_VALUE"""),"White seats")</f>
        <v>White seats</v>
      </c>
      <c r="R1596" s="149" t="str">
        <f>IFERROR(__xludf.DUMMYFUNCTION("""COMPUTED_VALUE"""),"Autopilot")</f>
        <v>Autopilot</v>
      </c>
      <c r="S1596" s="149"/>
      <c r="T1596" s="145"/>
      <c r="U1596" s="145"/>
      <c r="V1596" s="145"/>
      <c r="W1596" s="136"/>
      <c r="X1596" s="137" t="str">
        <f>IFERROR(__xludf.DUMMYFUNCTION("""COMPUTED_VALUE"""),"Fair")</f>
        <v>Fair</v>
      </c>
      <c r="Y1596" s="138" t="str">
        <f>IFERROR(__xludf.DUMMYFUNCTION("""COMPUTED_VALUE"""),"Good")</f>
        <v>Good</v>
      </c>
      <c r="Z1596" s="138" t="str">
        <f>IFERROR(__xludf.DUMMYFUNCTION("""COMPUTED_VALUE"""),"Excellent")</f>
        <v>Excellent</v>
      </c>
      <c r="AA1596" s="138" t="str">
        <f>IFERROR(__xludf.DUMMYFUNCTION("""COMPUTED_VALUE"""),"Excellent")</f>
        <v>Excellent</v>
      </c>
      <c r="AB1596" s="138" t="str">
        <f>IFERROR(__xludf.DUMMYFUNCTION("""COMPUTED_VALUE"""),"Excellent")</f>
        <v>Excellent</v>
      </c>
      <c r="AC1596" s="139">
        <f>IFERROR(__xludf.DUMMYFUNCTION("""COMPUTED_VALUE"""),2.0)</f>
        <v>2</v>
      </c>
      <c r="AD1596" s="139">
        <f>IFERROR(__xludf.DUMMYFUNCTION("""COMPUTED_VALUE"""),0.0)</f>
        <v>0</v>
      </c>
      <c r="AE1596" s="139">
        <f>IFERROR(__xludf.DUMMYFUNCTION("""COMPUTED_VALUE"""),0.0)</f>
        <v>0</v>
      </c>
      <c r="AF1596" s="140"/>
      <c r="AG1596" s="136"/>
      <c r="AH1596" s="157">
        <f>IFERROR(__xludf.DUMMYFUNCTION("""COMPUTED_VALUE"""),43808.61464017361)</f>
        <v>43808.61464</v>
      </c>
      <c r="AI1596" s="138"/>
      <c r="AJ1596" s="138"/>
      <c r="AK1596" s="138"/>
      <c r="AL1596" s="142"/>
    </row>
    <row r="1597" ht="20.25" customHeight="1">
      <c r="A1597" s="155" t="str">
        <f>IFERROR(__xludf.DUMMYFUNCTION("""COMPUTED_VALUE"""),"ej10")</f>
        <v>ej10</v>
      </c>
      <c r="B1597" s="149" t="str">
        <f>IFERROR(__xludf.DUMMYFUNCTION("""COMPUTED_VALUE"""),"Santa Barbara")</f>
        <v>Santa Barbara</v>
      </c>
      <c r="C1597" s="149" t="str">
        <f>IFERROR(__xludf.DUMMYFUNCTION("""COMPUTED_VALUE"""),"CA")</f>
        <v>CA</v>
      </c>
      <c r="D1597" s="149" t="str">
        <f>IFERROR(__xludf.DUMMYFUNCTION("""COMPUTED_VALUE"""),"USA")</f>
        <v>USA</v>
      </c>
      <c r="E1597" s="156">
        <f>IFERROR(__xludf.DUMMYFUNCTION("""COMPUTED_VALUE"""),43758.0)</f>
        <v>43758</v>
      </c>
      <c r="F1597" s="129">
        <f>IFERROR(__xludf.DUMMYFUNCTION("""COMPUTED_VALUE"""),43795.0)</f>
        <v>43795</v>
      </c>
      <c r="G1597" s="154"/>
      <c r="H1597" s="131">
        <f>IFERROR(__xludf.DUMMYFUNCTION("""COMPUTED_VALUE"""),599355.0)</f>
        <v>599355</v>
      </c>
      <c r="I1597" s="144"/>
      <c r="J1597" s="129">
        <f>IFERROR(__xludf.DUMMYFUNCTION("""COMPUTED_VALUE"""),43802.0)</f>
        <v>43802</v>
      </c>
      <c r="K1597" s="133">
        <f>IFERROR(__xludf.DUMMYFUNCTION("""COMPUTED_VALUE"""),37.0)</f>
        <v>37</v>
      </c>
      <c r="L1597" s="133">
        <f>IFERROR(__xludf.DUMMYFUNCTION("""COMPUTED_VALUE"""),7.0)</f>
        <v>7</v>
      </c>
      <c r="M1597" s="133">
        <f>IFERROR(__xludf.DUMMYFUNCTION("""COMPUTED_VALUE"""),44.0)</f>
        <v>44</v>
      </c>
      <c r="N1597" s="152" t="str">
        <f>IFERROR(__xludf.DUMMYFUNCTION("""COMPUTED_VALUE"""),"Model 3 SR+")</f>
        <v>Model 3 SR+</v>
      </c>
      <c r="O1597" s="152" t="str">
        <f>IFERROR(__xludf.DUMMYFUNCTION("""COMPUTED_VALUE"""),"Pearl White Multi-Coat")</f>
        <v>Pearl White Multi-Coat</v>
      </c>
      <c r="P1597" s="153" t="str">
        <f>IFERROR(__xludf.DUMMYFUNCTION("""COMPUTED_VALUE"""),"19 inch Sport")</f>
        <v>19 inch Sport</v>
      </c>
      <c r="Q1597" s="152" t="str">
        <f>IFERROR(__xludf.DUMMYFUNCTION("""COMPUTED_VALUE"""),"White seats")</f>
        <v>White seats</v>
      </c>
      <c r="R1597" s="149" t="str">
        <f>IFERROR(__xludf.DUMMYFUNCTION("""COMPUTED_VALUE"""),"Autopilot")</f>
        <v>Autopilot</v>
      </c>
      <c r="S1597" s="149"/>
      <c r="T1597" s="145"/>
      <c r="U1597" s="145"/>
      <c r="V1597" s="145"/>
      <c r="W1597" s="136"/>
      <c r="X1597" s="137" t="str">
        <f>IFERROR(__xludf.DUMMYFUNCTION("""COMPUTED_VALUE"""),"Excellent")</f>
        <v>Excellent</v>
      </c>
      <c r="Y1597" s="138" t="str">
        <f>IFERROR(__xludf.DUMMYFUNCTION("""COMPUTED_VALUE"""),"Excellent")</f>
        <v>Excellent</v>
      </c>
      <c r="Z1597" s="138" t="str">
        <f>IFERROR(__xludf.DUMMYFUNCTION("""COMPUTED_VALUE"""),"Excellent")</f>
        <v>Excellent</v>
      </c>
      <c r="AA1597" s="138" t="str">
        <f>IFERROR(__xludf.DUMMYFUNCTION("""COMPUTED_VALUE"""),"Excellent")</f>
        <v>Excellent</v>
      </c>
      <c r="AB1597" s="138" t="str">
        <f>IFERROR(__xludf.DUMMYFUNCTION("""COMPUTED_VALUE"""),"Excellent")</f>
        <v>Excellent</v>
      </c>
      <c r="AC1597" s="139">
        <f>IFERROR(__xludf.DUMMYFUNCTION("""COMPUTED_VALUE"""),0.0)</f>
        <v>0</v>
      </c>
      <c r="AD1597" s="139"/>
      <c r="AE1597" s="139"/>
      <c r="AF1597" s="140"/>
      <c r="AG1597" s="136"/>
      <c r="AH1597" s="157">
        <f>IFERROR(__xludf.DUMMYFUNCTION("""COMPUTED_VALUE"""),43803.40720403936)</f>
        <v>43803.4072</v>
      </c>
      <c r="AI1597" s="138"/>
      <c r="AJ1597" s="138"/>
      <c r="AK1597" s="138"/>
      <c r="AL1597" s="142"/>
    </row>
    <row r="1598" ht="20.25" customHeight="1">
      <c r="A1598" s="155" t="str">
        <f>IFERROR(__xludf.DUMMYFUNCTION("""COMPUTED_VALUE"""),"LindaMason")</f>
        <v>LindaMason</v>
      </c>
      <c r="B1598" s="149" t="str">
        <f>IFERROR(__xludf.DUMMYFUNCTION("""COMPUTED_VALUE"""),"Los Angeles")</f>
        <v>Los Angeles</v>
      </c>
      <c r="C1598" s="149" t="str">
        <f>IFERROR(__xludf.DUMMYFUNCTION("""COMPUTED_VALUE"""),"CA")</f>
        <v>CA</v>
      </c>
      <c r="D1598" s="149" t="str">
        <f>IFERROR(__xludf.DUMMYFUNCTION("""COMPUTED_VALUE"""),"USA")</f>
        <v>USA</v>
      </c>
      <c r="E1598" s="156">
        <f>IFERROR(__xludf.DUMMYFUNCTION("""COMPUTED_VALUE"""),43758.0)</f>
        <v>43758</v>
      </c>
      <c r="F1598" s="129">
        <f>IFERROR(__xludf.DUMMYFUNCTION("""COMPUTED_VALUE"""),43805.0)</f>
        <v>43805</v>
      </c>
      <c r="G1598" s="154"/>
      <c r="H1598" s="131">
        <f>IFERROR(__xludf.DUMMYFUNCTION("""COMPUTED_VALUE"""),615055.0)</f>
        <v>615055</v>
      </c>
      <c r="I1598" s="144"/>
      <c r="J1598" s="129">
        <f>IFERROR(__xludf.DUMMYFUNCTION("""COMPUTED_VALUE"""),43807.0)</f>
        <v>43807</v>
      </c>
      <c r="K1598" s="133">
        <f>IFERROR(__xludf.DUMMYFUNCTION("""COMPUTED_VALUE"""),47.0)</f>
        <v>47</v>
      </c>
      <c r="L1598" s="133">
        <f>IFERROR(__xludf.DUMMYFUNCTION("""COMPUTED_VALUE"""),2.0)</f>
        <v>2</v>
      </c>
      <c r="M1598" s="133">
        <f>IFERROR(__xludf.DUMMYFUNCTION("""COMPUTED_VALUE"""),49.0)</f>
        <v>49</v>
      </c>
      <c r="N1598" s="152" t="str">
        <f>IFERROR(__xludf.DUMMYFUNCTION("""COMPUTED_VALUE"""),"Model 3 SR+")</f>
        <v>Model 3 SR+</v>
      </c>
      <c r="O1598" s="152" t="str">
        <f>IFERROR(__xludf.DUMMYFUNCTION("""COMPUTED_VALUE"""),"Deep Blue Metallic")</f>
        <v>Deep Blue Metallic</v>
      </c>
      <c r="P1598" s="153" t="str">
        <f>IFERROR(__xludf.DUMMYFUNCTION("""COMPUTED_VALUE"""),"18 inch Aero")</f>
        <v>18 inch Aero</v>
      </c>
      <c r="Q1598" s="152" t="str">
        <f>IFERROR(__xludf.DUMMYFUNCTION("""COMPUTED_VALUE"""),"White seats")</f>
        <v>White seats</v>
      </c>
      <c r="R1598" s="149" t="str">
        <f>IFERROR(__xludf.DUMMYFUNCTION("""COMPUTED_VALUE"""),"Autopilot")</f>
        <v>Autopilot</v>
      </c>
      <c r="S1598" s="149"/>
      <c r="T1598" s="145"/>
      <c r="U1598" s="145"/>
      <c r="V1598" s="145"/>
      <c r="W1598" s="136"/>
      <c r="X1598" s="137" t="str">
        <f>IFERROR(__xludf.DUMMYFUNCTION("""COMPUTED_VALUE"""),"Excellent")</f>
        <v>Excellent</v>
      </c>
      <c r="Y1598" s="138" t="str">
        <f>IFERROR(__xludf.DUMMYFUNCTION("""COMPUTED_VALUE"""),"Poor")</f>
        <v>Poor</v>
      </c>
      <c r="Z1598" s="138" t="str">
        <f>IFERROR(__xludf.DUMMYFUNCTION("""COMPUTED_VALUE"""),"Good")</f>
        <v>Good</v>
      </c>
      <c r="AA1598" s="138" t="str">
        <f>IFERROR(__xludf.DUMMYFUNCTION("""COMPUTED_VALUE"""),"Poor")</f>
        <v>Poor</v>
      </c>
      <c r="AB1598" s="138" t="str">
        <f>IFERROR(__xludf.DUMMYFUNCTION("""COMPUTED_VALUE"""),"Poor")</f>
        <v>Poor</v>
      </c>
      <c r="AC1598" s="139">
        <f>IFERROR(__xludf.DUMMYFUNCTION("""COMPUTED_VALUE"""),4.0)</f>
        <v>4</v>
      </c>
      <c r="AD1598" s="139">
        <f>IFERROR(__xludf.DUMMYFUNCTION("""COMPUTED_VALUE"""),3.0)</f>
        <v>3</v>
      </c>
      <c r="AE1598" s="139">
        <f>IFERROR(__xludf.DUMMYFUNCTION("""COMPUTED_VALUE"""),3.0)</f>
        <v>3</v>
      </c>
      <c r="AF1598" s="140"/>
      <c r="AG1598" s="136" t="str">
        <f>IFERROR(__xludf.DUMMYFUNCTION("""COMPUTED_VALUE"""),"Delivery consisted of signing paperwork, making payment, then told to go outside, use the app to honk the horn and leave. No assistance with going over the car until after waiting 20 minutes I demanded someone help with the vehicle flaws")</f>
        <v>Delivery consisted of signing paperwork, making payment, then told to go outside, use the app to honk the horn and leave. No assistance with going over the car until after waiting 20 minutes I demanded someone help with the vehicle flaws</v>
      </c>
      <c r="AH1598" s="157">
        <f>IFERROR(__xludf.DUMMYFUNCTION("""COMPUTED_VALUE"""),43815.90641613426)</f>
        <v>43815.90642</v>
      </c>
      <c r="AI1598" s="138"/>
      <c r="AJ1598" s="138"/>
      <c r="AK1598" s="138"/>
      <c r="AL1598" s="142"/>
    </row>
    <row r="1599" ht="20.25" customHeight="1">
      <c r="A1599" s="155" t="str">
        <f>IFERROR(__xludf.DUMMYFUNCTION("""COMPUTED_VALUE"""),"Monsterzero")</f>
        <v>Monsterzero</v>
      </c>
      <c r="B1599" s="149" t="str">
        <f>IFERROR(__xludf.DUMMYFUNCTION("""COMPUTED_VALUE"""),"Bay Area")</f>
        <v>Bay Area</v>
      </c>
      <c r="C1599" s="149" t="str">
        <f>IFERROR(__xludf.DUMMYFUNCTION("""COMPUTED_VALUE"""),"CA")</f>
        <v>CA</v>
      </c>
      <c r="D1599" s="149" t="str">
        <f>IFERROR(__xludf.DUMMYFUNCTION("""COMPUTED_VALUE"""),"USA")</f>
        <v>USA</v>
      </c>
      <c r="E1599" s="156">
        <f>IFERROR(__xludf.DUMMYFUNCTION("""COMPUTED_VALUE"""),43758.0)</f>
        <v>43758</v>
      </c>
      <c r="F1599" s="129">
        <f>IFERROR(__xludf.DUMMYFUNCTION("""COMPUTED_VALUE"""),43811.0)</f>
        <v>43811</v>
      </c>
      <c r="G1599" s="154"/>
      <c r="H1599" s="131">
        <f>IFERROR(__xludf.DUMMYFUNCTION("""COMPUTED_VALUE"""),630757.0)</f>
        <v>630757</v>
      </c>
      <c r="I1599" s="144"/>
      <c r="J1599" s="129">
        <f>IFERROR(__xludf.DUMMYFUNCTION("""COMPUTED_VALUE"""),43814.0)</f>
        <v>43814</v>
      </c>
      <c r="K1599" s="133">
        <f>IFERROR(__xludf.DUMMYFUNCTION("""COMPUTED_VALUE"""),53.0)</f>
        <v>53</v>
      </c>
      <c r="L1599" s="133">
        <f>IFERROR(__xludf.DUMMYFUNCTION("""COMPUTED_VALUE"""),3.0)</f>
        <v>3</v>
      </c>
      <c r="M1599" s="133">
        <f>IFERROR(__xludf.DUMMYFUNCTION("""COMPUTED_VALUE"""),56.0)</f>
        <v>56</v>
      </c>
      <c r="N1599" s="152" t="str">
        <f>IFERROR(__xludf.DUMMYFUNCTION("""COMPUTED_VALUE"""),"Model 3 SR+")</f>
        <v>Model 3 SR+</v>
      </c>
      <c r="O1599" s="152" t="str">
        <f>IFERROR(__xludf.DUMMYFUNCTION("""COMPUTED_VALUE"""),"Red Multi-Coat")</f>
        <v>Red Multi-Coat</v>
      </c>
      <c r="P1599" s="153" t="str">
        <f>IFERROR(__xludf.DUMMYFUNCTION("""COMPUTED_VALUE"""),"18 inch Aero")</f>
        <v>18 inch Aero</v>
      </c>
      <c r="Q1599" s="152" t="str">
        <f>IFERROR(__xludf.DUMMYFUNCTION("""COMPUTED_VALUE"""),"Black seats")</f>
        <v>Black seats</v>
      </c>
      <c r="R1599" s="149" t="str">
        <f>IFERROR(__xludf.DUMMYFUNCTION("""COMPUTED_VALUE"""),"Full Self-Driving")</f>
        <v>Full Self-Driving</v>
      </c>
      <c r="S1599" s="149"/>
      <c r="T1599" s="145"/>
      <c r="U1599" s="145"/>
      <c r="V1599" s="145"/>
      <c r="W1599" s="136"/>
      <c r="X1599" s="137" t="str">
        <f>IFERROR(__xludf.DUMMYFUNCTION("""COMPUTED_VALUE"""),"Very Good")</f>
        <v>Very Good</v>
      </c>
      <c r="Y1599" s="138" t="str">
        <f>IFERROR(__xludf.DUMMYFUNCTION("""COMPUTED_VALUE"""),"Excellent")</f>
        <v>Excellent</v>
      </c>
      <c r="Z1599" s="138" t="str">
        <f>IFERROR(__xludf.DUMMYFUNCTION("""COMPUTED_VALUE"""),"Very Good")</f>
        <v>Very Good</v>
      </c>
      <c r="AA1599" s="138" t="str">
        <f>IFERROR(__xludf.DUMMYFUNCTION("""COMPUTED_VALUE"""),"Very Good")</f>
        <v>Very Good</v>
      </c>
      <c r="AB1599" s="138" t="str">
        <f>IFERROR(__xludf.DUMMYFUNCTION("""COMPUTED_VALUE"""),"Excellent")</f>
        <v>Excellent</v>
      </c>
      <c r="AC1599" s="139"/>
      <c r="AD1599" s="139"/>
      <c r="AE1599" s="139"/>
      <c r="AF1599" s="140"/>
      <c r="AG1599" s="136" t="str">
        <f>IFERROR(__xludf.DUMMYFUNCTION("""COMPUTED_VALUE"""),"Scheduled delivery was 12/15. Was able to pick up car on 12/13")</f>
        <v>Scheduled delivery was 12/15. Was able to pick up car on 12/13</v>
      </c>
      <c r="AH1599" s="157">
        <f>IFERROR(__xludf.DUMMYFUNCTION("""COMPUTED_VALUE"""),43816.270492766205)</f>
        <v>43816.27049</v>
      </c>
      <c r="AI1599" s="138"/>
      <c r="AJ1599" s="138"/>
      <c r="AK1599" s="138"/>
      <c r="AL1599" s="142"/>
    </row>
    <row r="1600" ht="20.25" customHeight="1">
      <c r="A1600" s="155" t="str">
        <f>IFERROR(__xludf.DUMMYFUNCTION("""COMPUTED_VALUE"""),"sp0097")</f>
        <v>sp0097</v>
      </c>
      <c r="B1600" s="149" t="str">
        <f>IFERROR(__xludf.DUMMYFUNCTION("""COMPUTED_VALUE"""),"Folsom")</f>
        <v>Folsom</v>
      </c>
      <c r="C1600" s="149" t="str">
        <f>IFERROR(__xludf.DUMMYFUNCTION("""COMPUTED_VALUE"""),"CA")</f>
        <v>CA</v>
      </c>
      <c r="D1600" s="149" t="str">
        <f>IFERROR(__xludf.DUMMYFUNCTION("""COMPUTED_VALUE"""),"USA")</f>
        <v>USA</v>
      </c>
      <c r="E1600" s="156">
        <f>IFERROR(__xludf.DUMMYFUNCTION("""COMPUTED_VALUE"""),43758.0)</f>
        <v>43758</v>
      </c>
      <c r="F1600" s="129">
        <f>IFERROR(__xludf.DUMMYFUNCTION("""COMPUTED_VALUE"""),43810.0)</f>
        <v>43810</v>
      </c>
      <c r="G1600" s="154"/>
      <c r="H1600" s="131"/>
      <c r="I1600" s="144"/>
      <c r="J1600" s="129">
        <f>IFERROR(__xludf.DUMMYFUNCTION("""COMPUTED_VALUE"""),43812.0)</f>
        <v>43812</v>
      </c>
      <c r="K1600" s="133">
        <f>IFERROR(__xludf.DUMMYFUNCTION("""COMPUTED_VALUE"""),52.0)</f>
        <v>52</v>
      </c>
      <c r="L1600" s="133">
        <f>IFERROR(__xludf.DUMMYFUNCTION("""COMPUTED_VALUE"""),2.0)</f>
        <v>2</v>
      </c>
      <c r="M1600" s="133">
        <f>IFERROR(__xludf.DUMMYFUNCTION("""COMPUTED_VALUE"""),54.0)</f>
        <v>54</v>
      </c>
      <c r="N1600" s="152" t="str">
        <f>IFERROR(__xludf.DUMMYFUNCTION("""COMPUTED_VALUE"""),"Model 3 SR+")</f>
        <v>Model 3 SR+</v>
      </c>
      <c r="O1600" s="152" t="str">
        <f>IFERROR(__xludf.DUMMYFUNCTION("""COMPUTED_VALUE"""),"Pearl White Multi-Coat")</f>
        <v>Pearl White Multi-Coat</v>
      </c>
      <c r="P1600" s="153" t="str">
        <f>IFERROR(__xludf.DUMMYFUNCTION("""COMPUTED_VALUE"""),"18 inch Aero")</f>
        <v>18 inch Aero</v>
      </c>
      <c r="Q1600" s="152" t="str">
        <f>IFERROR(__xludf.DUMMYFUNCTION("""COMPUTED_VALUE"""),"Black seats")</f>
        <v>Black seats</v>
      </c>
      <c r="R1600" s="149" t="str">
        <f>IFERROR(__xludf.DUMMYFUNCTION("""COMPUTED_VALUE"""),"Full Self-Driving")</f>
        <v>Full Self-Driving</v>
      </c>
      <c r="S1600" s="149"/>
      <c r="T1600" s="145"/>
      <c r="U1600" s="145"/>
      <c r="V1600" s="145"/>
      <c r="W1600" s="136"/>
      <c r="X1600" s="137" t="str">
        <f>IFERROR(__xludf.DUMMYFUNCTION("""COMPUTED_VALUE"""),"Very Good")</f>
        <v>Very Good</v>
      </c>
      <c r="Y1600" s="138" t="str">
        <f>IFERROR(__xludf.DUMMYFUNCTION("""COMPUTED_VALUE"""),"Very Good")</f>
        <v>Very Good</v>
      </c>
      <c r="Z1600" s="138" t="str">
        <f>IFERROR(__xludf.DUMMYFUNCTION("""COMPUTED_VALUE"""),"Very Good")</f>
        <v>Very Good</v>
      </c>
      <c r="AA1600" s="138" t="str">
        <f>IFERROR(__xludf.DUMMYFUNCTION("""COMPUTED_VALUE"""),"Very Good")</f>
        <v>Very Good</v>
      </c>
      <c r="AB1600" s="138" t="str">
        <f>IFERROR(__xludf.DUMMYFUNCTION("""COMPUTED_VALUE"""),"Very Good")</f>
        <v>Very Good</v>
      </c>
      <c r="AC1600" s="139">
        <f>IFERROR(__xludf.DUMMYFUNCTION("""COMPUTED_VALUE"""),0.0)</f>
        <v>0</v>
      </c>
      <c r="AD1600" s="139"/>
      <c r="AE1600" s="139"/>
      <c r="AF1600" s="140"/>
      <c r="AG1600" s="136"/>
      <c r="AH1600" s="157">
        <f>IFERROR(__xludf.DUMMYFUNCTION("""COMPUTED_VALUE"""),43814.876049942126)</f>
        <v>43814.87605</v>
      </c>
      <c r="AI1600" s="138"/>
      <c r="AJ1600" s="138"/>
      <c r="AK1600" s="138"/>
      <c r="AL1600" s="142"/>
    </row>
    <row r="1601" ht="20.25" customHeight="1">
      <c r="A1601" s="155" t="str">
        <f>IFERROR(__xludf.DUMMYFUNCTION("""COMPUTED_VALUE"""),"whiteM3SRplus")</f>
        <v>whiteM3SRplus</v>
      </c>
      <c r="B1601" s="149" t="str">
        <f>IFERROR(__xludf.DUMMYFUNCTION("""COMPUTED_VALUE"""),"San Juan Bautista")</f>
        <v>San Juan Bautista</v>
      </c>
      <c r="C1601" s="149" t="str">
        <f>IFERROR(__xludf.DUMMYFUNCTION("""COMPUTED_VALUE"""),"CA")</f>
        <v>CA</v>
      </c>
      <c r="D1601" s="149" t="str">
        <f>IFERROR(__xludf.DUMMYFUNCTION("""COMPUTED_VALUE"""),"USA")</f>
        <v>USA</v>
      </c>
      <c r="E1601" s="156">
        <f>IFERROR(__xludf.DUMMYFUNCTION("""COMPUTED_VALUE"""),43758.0)</f>
        <v>43758</v>
      </c>
      <c r="F1601" s="129">
        <f>IFERROR(__xludf.DUMMYFUNCTION("""COMPUTED_VALUE"""),43794.0)</f>
        <v>43794</v>
      </c>
      <c r="G1601" s="154"/>
      <c r="H1601" s="131">
        <f>IFERROR(__xludf.DUMMYFUNCTION("""COMPUTED_VALUE"""),599026.0)</f>
        <v>599026</v>
      </c>
      <c r="I1601" s="144"/>
      <c r="J1601" s="129">
        <f>IFERROR(__xludf.DUMMYFUNCTION("""COMPUTED_VALUE"""),43799.0)</f>
        <v>43799</v>
      </c>
      <c r="K1601" s="133">
        <f>IFERROR(__xludf.DUMMYFUNCTION("""COMPUTED_VALUE"""),36.0)</f>
        <v>36</v>
      </c>
      <c r="L1601" s="133">
        <f>IFERROR(__xludf.DUMMYFUNCTION("""COMPUTED_VALUE"""),5.0)</f>
        <v>5</v>
      </c>
      <c r="M1601" s="133">
        <f>IFERROR(__xludf.DUMMYFUNCTION("""COMPUTED_VALUE"""),41.0)</f>
        <v>41</v>
      </c>
      <c r="N1601" s="152" t="str">
        <f>IFERROR(__xludf.DUMMYFUNCTION("""COMPUTED_VALUE"""),"Model 3 SR+")</f>
        <v>Model 3 SR+</v>
      </c>
      <c r="O1601" s="152" t="str">
        <f>IFERROR(__xludf.DUMMYFUNCTION("""COMPUTED_VALUE"""),"Pearl White Multi-Coat")</f>
        <v>Pearl White Multi-Coat</v>
      </c>
      <c r="P1601" s="153" t="str">
        <f>IFERROR(__xludf.DUMMYFUNCTION("""COMPUTED_VALUE"""),"18 inch Aero")</f>
        <v>18 inch Aero</v>
      </c>
      <c r="Q1601" s="152" t="str">
        <f>IFERROR(__xludf.DUMMYFUNCTION("""COMPUTED_VALUE"""),"White seats")</f>
        <v>White seats</v>
      </c>
      <c r="R1601" s="149" t="str">
        <f>IFERROR(__xludf.DUMMYFUNCTION("""COMPUTED_VALUE"""),"Full Self-Driving")</f>
        <v>Full Self-Driving</v>
      </c>
      <c r="S1601" s="149"/>
      <c r="T1601" s="145"/>
      <c r="U1601" s="145"/>
      <c r="V1601" s="145"/>
      <c r="W1601" s="136"/>
      <c r="X1601" s="137" t="str">
        <f>IFERROR(__xludf.DUMMYFUNCTION("""COMPUTED_VALUE"""),"Good")</f>
        <v>Good</v>
      </c>
      <c r="Y1601" s="138" t="str">
        <f>IFERROR(__xludf.DUMMYFUNCTION("""COMPUTED_VALUE"""),"Very Good")</f>
        <v>Very Good</v>
      </c>
      <c r="Z1601" s="138" t="str">
        <f>IFERROR(__xludf.DUMMYFUNCTION("""COMPUTED_VALUE"""),"Excellent")</f>
        <v>Excellent</v>
      </c>
      <c r="AA1601" s="138" t="str">
        <f>IFERROR(__xludf.DUMMYFUNCTION("""COMPUTED_VALUE"""),"Excellent")</f>
        <v>Excellent</v>
      </c>
      <c r="AB1601" s="138" t="str">
        <f>IFERROR(__xludf.DUMMYFUNCTION("""COMPUTED_VALUE"""),"Excellent")</f>
        <v>Excellent</v>
      </c>
      <c r="AC1601" s="139">
        <f>IFERROR(__xludf.DUMMYFUNCTION("""COMPUTED_VALUE"""),1.0)</f>
        <v>1</v>
      </c>
      <c r="AD1601" s="139">
        <f>IFERROR(__xludf.DUMMYFUNCTION("""COMPUTED_VALUE"""),1.0)</f>
        <v>1</v>
      </c>
      <c r="AE1601" s="139">
        <f>IFERROR(__xludf.DUMMYFUNCTION("""COMPUTED_VALUE"""),0.0)</f>
        <v>0</v>
      </c>
      <c r="AF1601" s="140"/>
      <c r="AG1601" s="136"/>
      <c r="AH1601" s="157">
        <f>IFERROR(__xludf.DUMMYFUNCTION("""COMPUTED_VALUE"""),43807.246750625)</f>
        <v>43807.24675</v>
      </c>
      <c r="AI1601" s="138"/>
      <c r="AJ1601" s="138"/>
      <c r="AK1601" s="138"/>
      <c r="AL1601" s="142"/>
    </row>
    <row r="1602" ht="20.25" customHeight="1">
      <c r="A1602" s="155" t="str">
        <f>IFERROR(__xludf.DUMMYFUNCTION("""COMPUTED_VALUE"""),"f5f5f5")</f>
        <v>f5f5f5</v>
      </c>
      <c r="B1602" s="149" t="str">
        <f>IFERROR(__xludf.DUMMYFUNCTION("""COMPUTED_VALUE"""),"Paramus")</f>
        <v>Paramus</v>
      </c>
      <c r="C1602" s="149" t="str">
        <f>IFERROR(__xludf.DUMMYFUNCTION("""COMPUTED_VALUE"""),"NJ")</f>
        <v>NJ</v>
      </c>
      <c r="D1602" s="149" t="str">
        <f>IFERROR(__xludf.DUMMYFUNCTION("""COMPUTED_VALUE"""),"USA")</f>
        <v>USA</v>
      </c>
      <c r="E1602" s="156">
        <f>IFERROR(__xludf.DUMMYFUNCTION("""COMPUTED_VALUE"""),43757.0)</f>
        <v>43757</v>
      </c>
      <c r="F1602" s="129">
        <f>IFERROR(__xludf.DUMMYFUNCTION("""COMPUTED_VALUE"""),43797.0)</f>
        <v>43797</v>
      </c>
      <c r="G1602" s="154"/>
      <c r="H1602" s="131"/>
      <c r="I1602" s="144"/>
      <c r="J1602" s="129">
        <f>IFERROR(__xludf.DUMMYFUNCTION("""COMPUTED_VALUE"""),43809.0)</f>
        <v>43809</v>
      </c>
      <c r="K1602" s="133">
        <f>IFERROR(__xludf.DUMMYFUNCTION("""COMPUTED_VALUE"""),40.0)</f>
        <v>40</v>
      </c>
      <c r="L1602" s="133">
        <f>IFERROR(__xludf.DUMMYFUNCTION("""COMPUTED_VALUE"""),12.0)</f>
        <v>12</v>
      </c>
      <c r="M1602" s="133">
        <f>IFERROR(__xludf.DUMMYFUNCTION("""COMPUTED_VALUE"""),52.0)</f>
        <v>52</v>
      </c>
      <c r="N1602" s="152" t="str">
        <f>IFERROR(__xludf.DUMMYFUNCTION("""COMPUTED_VALUE"""),"Model 3 LR AWD")</f>
        <v>Model 3 LR AWD</v>
      </c>
      <c r="O1602" s="152" t="str">
        <f>IFERROR(__xludf.DUMMYFUNCTION("""COMPUTED_VALUE"""),"Pearl White Multi-Coat")</f>
        <v>Pearl White Multi-Coat</v>
      </c>
      <c r="P1602" s="153" t="str">
        <f>IFERROR(__xludf.DUMMYFUNCTION("""COMPUTED_VALUE"""),"18 inch Aero")</f>
        <v>18 inch Aero</v>
      </c>
      <c r="Q1602" s="152" t="str">
        <f>IFERROR(__xludf.DUMMYFUNCTION("""COMPUTED_VALUE"""),"Black seats")</f>
        <v>Black seats</v>
      </c>
      <c r="R1602" s="149" t="str">
        <f>IFERROR(__xludf.DUMMYFUNCTION("""COMPUTED_VALUE"""),"Autopilot")</f>
        <v>Autopilot</v>
      </c>
      <c r="S1602" s="149"/>
      <c r="T1602" s="145"/>
      <c r="U1602" s="145"/>
      <c r="V1602" s="145"/>
      <c r="W1602" s="136"/>
      <c r="X1602" s="137" t="str">
        <f>IFERROR(__xludf.DUMMYFUNCTION("""COMPUTED_VALUE"""),"Very Good")</f>
        <v>Very Good</v>
      </c>
      <c r="Y1602" s="138" t="str">
        <f>IFERROR(__xludf.DUMMYFUNCTION("""COMPUTED_VALUE"""),"Excellent")</f>
        <v>Excellent</v>
      </c>
      <c r="Z1602" s="138" t="str">
        <f>IFERROR(__xludf.DUMMYFUNCTION("""COMPUTED_VALUE"""),"Excellent")</f>
        <v>Excellent</v>
      </c>
      <c r="AA1602" s="138" t="str">
        <f>IFERROR(__xludf.DUMMYFUNCTION("""COMPUTED_VALUE"""),"Fair")</f>
        <v>Fair</v>
      </c>
      <c r="AB1602" s="138" t="str">
        <f>IFERROR(__xludf.DUMMYFUNCTION("""COMPUTED_VALUE"""),"Excellent")</f>
        <v>Excellent</v>
      </c>
      <c r="AC1602" s="139"/>
      <c r="AD1602" s="139"/>
      <c r="AE1602" s="139"/>
      <c r="AF1602" s="140"/>
      <c r="AG1602" s="136" t="str">
        <f>IFERROR(__xludf.DUMMYFUNCTION("""COMPUTED_VALUE"""),"originally scheduled delivery 12/16, contacted to pick up early.  Flawless car at delivery save one stain on headliner, they cleaned on the spot.")</f>
        <v>originally scheduled delivery 12/16, contacted to pick up early.  Flawless car at delivery save one stain on headliner, they cleaned on the spot.</v>
      </c>
      <c r="AH1602" s="157">
        <f>IFERROR(__xludf.DUMMYFUNCTION("""COMPUTED_VALUE"""),43809.91858628472)</f>
        <v>43809.91859</v>
      </c>
      <c r="AI1602" s="138"/>
      <c r="AJ1602" s="138"/>
      <c r="AK1602" s="138"/>
      <c r="AL1602" s="142"/>
    </row>
    <row r="1603" ht="20.25" customHeight="1">
      <c r="A1603" s="155" t="str">
        <f>IFERROR(__xludf.DUMMYFUNCTION("""COMPUTED_VALUE"""),"Genstov")</f>
        <v>Genstov</v>
      </c>
      <c r="B1603" s="149" t="str">
        <f>IFERROR(__xludf.DUMMYFUNCTION("""COMPUTED_VALUE"""),"Sun Valley")</f>
        <v>Sun Valley</v>
      </c>
      <c r="C1603" s="149" t="str">
        <f>IFERROR(__xludf.DUMMYFUNCTION("""COMPUTED_VALUE"""),"ID")</f>
        <v>ID</v>
      </c>
      <c r="D1603" s="149" t="str">
        <f>IFERROR(__xludf.DUMMYFUNCTION("""COMPUTED_VALUE"""),"USA")</f>
        <v>USA</v>
      </c>
      <c r="E1603" s="156">
        <f>IFERROR(__xludf.DUMMYFUNCTION("""COMPUTED_VALUE"""),43757.0)</f>
        <v>43757</v>
      </c>
      <c r="F1603" s="129">
        <f>IFERROR(__xludf.DUMMYFUNCTION("""COMPUTED_VALUE"""),43799.0)</f>
        <v>43799</v>
      </c>
      <c r="G1603" s="154"/>
      <c r="H1603" s="131">
        <f>IFERROR(__xludf.DUMMYFUNCTION("""COMPUTED_VALUE"""),606909.0)</f>
        <v>606909</v>
      </c>
      <c r="I1603" s="144"/>
      <c r="J1603" s="129">
        <f>IFERROR(__xludf.DUMMYFUNCTION("""COMPUTED_VALUE"""),43805.0)</f>
        <v>43805</v>
      </c>
      <c r="K1603" s="133">
        <f>IFERROR(__xludf.DUMMYFUNCTION("""COMPUTED_VALUE"""),42.0)</f>
        <v>42</v>
      </c>
      <c r="L1603" s="133">
        <f>IFERROR(__xludf.DUMMYFUNCTION("""COMPUTED_VALUE"""),6.0)</f>
        <v>6</v>
      </c>
      <c r="M1603" s="133">
        <f>IFERROR(__xludf.DUMMYFUNCTION("""COMPUTED_VALUE"""),48.0)</f>
        <v>48</v>
      </c>
      <c r="N1603" s="152" t="str">
        <f>IFERROR(__xludf.DUMMYFUNCTION("""COMPUTED_VALUE"""),"Model 3 LR AWD")</f>
        <v>Model 3 LR AWD</v>
      </c>
      <c r="O1603" s="152" t="str">
        <f>IFERROR(__xludf.DUMMYFUNCTION("""COMPUTED_VALUE"""),"Pearl White Multi-Coat")</f>
        <v>Pearl White Multi-Coat</v>
      </c>
      <c r="P1603" s="153" t="str">
        <f>IFERROR(__xludf.DUMMYFUNCTION("""COMPUTED_VALUE"""),"18 inch Aero")</f>
        <v>18 inch Aero</v>
      </c>
      <c r="Q1603" s="152" t="str">
        <f>IFERROR(__xludf.DUMMYFUNCTION("""COMPUTED_VALUE"""),"White seats")</f>
        <v>White seats</v>
      </c>
      <c r="R1603" s="149" t="str">
        <f>IFERROR(__xludf.DUMMYFUNCTION("""COMPUTED_VALUE"""),"Autopilot")</f>
        <v>Autopilot</v>
      </c>
      <c r="S1603" s="149"/>
      <c r="T1603" s="145"/>
      <c r="U1603" s="145"/>
      <c r="V1603" s="145"/>
      <c r="W1603" s="136"/>
      <c r="X1603" s="137" t="str">
        <f>IFERROR(__xludf.DUMMYFUNCTION("""COMPUTED_VALUE"""),"Excellent")</f>
        <v>Excellent</v>
      </c>
      <c r="Y1603" s="138" t="str">
        <f>IFERROR(__xludf.DUMMYFUNCTION("""COMPUTED_VALUE"""),"Excellent")</f>
        <v>Excellent</v>
      </c>
      <c r="Z1603" s="138" t="str">
        <f>IFERROR(__xludf.DUMMYFUNCTION("""COMPUTED_VALUE"""),"Excellent")</f>
        <v>Excellent</v>
      </c>
      <c r="AA1603" s="138" t="str">
        <f>IFERROR(__xludf.DUMMYFUNCTION("""COMPUTED_VALUE"""),"Fair")</f>
        <v>Fair</v>
      </c>
      <c r="AB1603" s="138" t="str">
        <f>IFERROR(__xludf.DUMMYFUNCTION("""COMPUTED_VALUE"""),"Very Good")</f>
        <v>Very Good</v>
      </c>
      <c r="AC1603" s="139"/>
      <c r="AD1603" s="139"/>
      <c r="AE1603" s="139"/>
      <c r="AF1603" s="140"/>
      <c r="AG1603" s="136" t="str">
        <f>IFERROR(__xludf.DUMMYFUNCTION("""COMPUTED_VALUE"""),"Found VIN in source code!!!! Did not know delivery date until 1 hour before delivery, from the transport company who called me and arranged for a place to drop off.")</f>
        <v>Found VIN in source code!!!! Did not know delivery date until 1 hour before delivery, from the transport company who called me and arranged for a place to drop off.</v>
      </c>
      <c r="AH1603" s="157">
        <f>IFERROR(__xludf.DUMMYFUNCTION("""COMPUTED_VALUE"""),43805.667550844904)</f>
        <v>43805.66755</v>
      </c>
      <c r="AI1603" s="138"/>
      <c r="AJ1603" s="138"/>
      <c r="AK1603" s="138"/>
      <c r="AL1603" s="142"/>
    </row>
    <row r="1604" ht="20.25" customHeight="1">
      <c r="A1604" s="155" t="str">
        <f>IFERROR(__xludf.DUMMYFUNCTION("""COMPUTED_VALUE"""),"Hockeyjon")</f>
        <v>Hockeyjon</v>
      </c>
      <c r="B1604" s="149" t="str">
        <f>IFERROR(__xludf.DUMMYFUNCTION("""COMPUTED_VALUE"""),"Los Angeles")</f>
        <v>Los Angeles</v>
      </c>
      <c r="C1604" s="149" t="str">
        <f>IFERROR(__xludf.DUMMYFUNCTION("""COMPUTED_VALUE"""),"CA")</f>
        <v>CA</v>
      </c>
      <c r="D1604" s="149" t="str">
        <f>IFERROR(__xludf.DUMMYFUNCTION("""COMPUTED_VALUE"""),"USA")</f>
        <v>USA</v>
      </c>
      <c r="E1604" s="156">
        <f>IFERROR(__xludf.DUMMYFUNCTION("""COMPUTED_VALUE"""),43757.0)</f>
        <v>43757</v>
      </c>
      <c r="F1604" s="129">
        <f>IFERROR(__xludf.DUMMYFUNCTION("""COMPUTED_VALUE"""),43796.0)</f>
        <v>43796</v>
      </c>
      <c r="G1604" s="154"/>
      <c r="H1604" s="131">
        <f>IFERROR(__xludf.DUMMYFUNCTION("""COMPUTED_VALUE"""),597255.0)</f>
        <v>597255</v>
      </c>
      <c r="I1604" s="144"/>
      <c r="J1604" s="129">
        <f>IFERROR(__xludf.DUMMYFUNCTION("""COMPUTED_VALUE"""),43802.0)</f>
        <v>43802</v>
      </c>
      <c r="K1604" s="133">
        <f>IFERROR(__xludf.DUMMYFUNCTION("""COMPUTED_VALUE"""),39.0)</f>
        <v>39</v>
      </c>
      <c r="L1604" s="133">
        <f>IFERROR(__xludf.DUMMYFUNCTION("""COMPUTED_VALUE"""),6.0)</f>
        <v>6</v>
      </c>
      <c r="M1604" s="133">
        <f>IFERROR(__xludf.DUMMYFUNCTION("""COMPUTED_VALUE"""),45.0)</f>
        <v>45</v>
      </c>
      <c r="N1604" s="152" t="str">
        <f>IFERROR(__xludf.DUMMYFUNCTION("""COMPUTED_VALUE"""),"Model 3 SR+")</f>
        <v>Model 3 SR+</v>
      </c>
      <c r="O1604" s="152" t="str">
        <f>IFERROR(__xludf.DUMMYFUNCTION("""COMPUTED_VALUE"""),"Deep Blue Metallic")</f>
        <v>Deep Blue Metallic</v>
      </c>
      <c r="P1604" s="153" t="str">
        <f>IFERROR(__xludf.DUMMYFUNCTION("""COMPUTED_VALUE"""),"18 inch Aero")</f>
        <v>18 inch Aero</v>
      </c>
      <c r="Q1604" s="152" t="str">
        <f>IFERROR(__xludf.DUMMYFUNCTION("""COMPUTED_VALUE"""),"Black seats")</f>
        <v>Black seats</v>
      </c>
      <c r="R1604" s="149" t="str">
        <f>IFERROR(__xludf.DUMMYFUNCTION("""COMPUTED_VALUE"""),"Autopilot")</f>
        <v>Autopilot</v>
      </c>
      <c r="S1604" s="149"/>
      <c r="T1604" s="145"/>
      <c r="U1604" s="145"/>
      <c r="V1604" s="145"/>
      <c r="W1604" s="136"/>
      <c r="X1604" s="137" t="str">
        <f>IFERROR(__xludf.DUMMYFUNCTION("""COMPUTED_VALUE"""),"Excellent")</f>
        <v>Excellent</v>
      </c>
      <c r="Y1604" s="138" t="str">
        <f>IFERROR(__xludf.DUMMYFUNCTION("""COMPUTED_VALUE"""),"Excellent")</f>
        <v>Excellent</v>
      </c>
      <c r="Z1604" s="138" t="str">
        <f>IFERROR(__xludf.DUMMYFUNCTION("""COMPUTED_VALUE"""),"Excellent")</f>
        <v>Excellent</v>
      </c>
      <c r="AA1604" s="138" t="str">
        <f>IFERROR(__xludf.DUMMYFUNCTION("""COMPUTED_VALUE"""),"Poor")</f>
        <v>Poor</v>
      </c>
      <c r="AB1604" s="138" t="str">
        <f>IFERROR(__xludf.DUMMYFUNCTION("""COMPUTED_VALUE"""),"Excellent")</f>
        <v>Excellent</v>
      </c>
      <c r="AC1604" s="139"/>
      <c r="AD1604" s="139"/>
      <c r="AE1604" s="139"/>
      <c r="AF1604" s="140"/>
      <c r="AG1604" s="136"/>
      <c r="AH1604" s="157">
        <f>IFERROR(__xludf.DUMMYFUNCTION("""COMPUTED_VALUE"""),43803.639007708334)</f>
        <v>43803.63901</v>
      </c>
      <c r="AI1604" s="138"/>
      <c r="AJ1604" s="138"/>
      <c r="AK1604" s="138"/>
      <c r="AL1604" s="142"/>
    </row>
    <row r="1605" ht="20.25" customHeight="1">
      <c r="A1605" s="155" t="str">
        <f>IFERROR(__xludf.DUMMYFUNCTION("""COMPUTED_VALUE"""),"Mmitrani")</f>
        <v>Mmitrani</v>
      </c>
      <c r="B1605" s="149" t="str">
        <f>IFERROR(__xludf.DUMMYFUNCTION("""COMPUTED_VALUE"""),"PEMBROKE PINES")</f>
        <v>PEMBROKE PINES</v>
      </c>
      <c r="C1605" s="149" t="str">
        <f>IFERROR(__xludf.DUMMYFUNCTION("""COMPUTED_VALUE"""),"FL")</f>
        <v>FL</v>
      </c>
      <c r="D1605" s="149" t="str">
        <f>IFERROR(__xludf.DUMMYFUNCTION("""COMPUTED_VALUE"""),"USA")</f>
        <v>USA</v>
      </c>
      <c r="E1605" s="156">
        <f>IFERROR(__xludf.DUMMYFUNCTION("""COMPUTED_VALUE"""),43757.0)</f>
        <v>43757</v>
      </c>
      <c r="F1605" s="129">
        <f>IFERROR(__xludf.DUMMYFUNCTION("""COMPUTED_VALUE"""),43791.0)</f>
        <v>43791</v>
      </c>
      <c r="G1605" s="154"/>
      <c r="H1605" s="131">
        <f>IFERROR(__xludf.DUMMYFUNCTION("""COMPUTED_VALUE"""),590955.0)</f>
        <v>590955</v>
      </c>
      <c r="I1605" s="144"/>
      <c r="J1605" s="129">
        <f>IFERROR(__xludf.DUMMYFUNCTION("""COMPUTED_VALUE"""),43809.0)</f>
        <v>43809</v>
      </c>
      <c r="K1605" s="133">
        <f>IFERROR(__xludf.DUMMYFUNCTION("""COMPUTED_VALUE"""),34.0)</f>
        <v>34</v>
      </c>
      <c r="L1605" s="133">
        <f>IFERROR(__xludf.DUMMYFUNCTION("""COMPUTED_VALUE"""),18.0)</f>
        <v>18</v>
      </c>
      <c r="M1605" s="133">
        <f>IFERROR(__xludf.DUMMYFUNCTION("""COMPUTED_VALUE"""),52.0)</f>
        <v>52</v>
      </c>
      <c r="N1605" s="152" t="str">
        <f>IFERROR(__xludf.DUMMYFUNCTION("""COMPUTED_VALUE"""),"Model 3 SR+")</f>
        <v>Model 3 SR+</v>
      </c>
      <c r="O1605" s="152" t="str">
        <f>IFERROR(__xludf.DUMMYFUNCTION("""COMPUTED_VALUE"""),"Pearl White Multi-Coat")</f>
        <v>Pearl White Multi-Coat</v>
      </c>
      <c r="P1605" s="153" t="str">
        <f>IFERROR(__xludf.DUMMYFUNCTION("""COMPUTED_VALUE"""),"19 inch Sport")</f>
        <v>19 inch Sport</v>
      </c>
      <c r="Q1605" s="152" t="str">
        <f>IFERROR(__xludf.DUMMYFUNCTION("""COMPUTED_VALUE"""),"Black seats")</f>
        <v>Black seats</v>
      </c>
      <c r="R1605" s="149" t="str">
        <f>IFERROR(__xludf.DUMMYFUNCTION("""COMPUTED_VALUE"""),"Autopilot")</f>
        <v>Autopilot</v>
      </c>
      <c r="S1605" s="149"/>
      <c r="T1605" s="145"/>
      <c r="U1605" s="145"/>
      <c r="V1605" s="145"/>
      <c r="W1605" s="136"/>
      <c r="X1605" s="137" t="str">
        <f>IFERROR(__xludf.DUMMYFUNCTION("""COMPUTED_VALUE"""),"Excellent")</f>
        <v>Excellent</v>
      </c>
      <c r="Y1605" s="138" t="str">
        <f>IFERROR(__xludf.DUMMYFUNCTION("""COMPUTED_VALUE"""),"Excellent")</f>
        <v>Excellent</v>
      </c>
      <c r="Z1605" s="138" t="str">
        <f>IFERROR(__xludf.DUMMYFUNCTION("""COMPUTED_VALUE"""),"Excellent")</f>
        <v>Excellent</v>
      </c>
      <c r="AA1605" s="138" t="str">
        <f>IFERROR(__xludf.DUMMYFUNCTION("""COMPUTED_VALUE"""),"Excellent")</f>
        <v>Excellent</v>
      </c>
      <c r="AB1605" s="138" t="str">
        <f>IFERROR(__xludf.DUMMYFUNCTION("""COMPUTED_VALUE"""),"Very Good")</f>
        <v>Very Good</v>
      </c>
      <c r="AC1605" s="139">
        <f>IFERROR(__xludf.DUMMYFUNCTION("""COMPUTED_VALUE"""),1.0)</f>
        <v>1</v>
      </c>
      <c r="AD1605" s="139"/>
      <c r="AE1605" s="139"/>
      <c r="AF1605" s="140"/>
      <c r="AG1605" s="136" t="str">
        <f>IFERROR(__xludf.DUMMYFUNCTION("""COMPUTED_VALUE"""),"11/23 Deliver date set for 12/11. VIN assigned on 11/22")</f>
        <v>11/23 Deliver date set for 12/11. VIN assigned on 11/22</v>
      </c>
      <c r="AH1605" s="157">
        <f>IFERROR(__xludf.DUMMYFUNCTION("""COMPUTED_VALUE"""),43809.732581053235)</f>
        <v>43809.73258</v>
      </c>
      <c r="AI1605" s="138"/>
      <c r="AJ1605" s="138"/>
      <c r="AK1605" s="138"/>
      <c r="AL1605" s="142"/>
    </row>
    <row r="1606" ht="20.25" customHeight="1">
      <c r="A1606" s="155" t="str">
        <f>IFERROR(__xludf.DUMMYFUNCTION("""COMPUTED_VALUE"""),"Paul_AZ")</f>
        <v>Paul_AZ</v>
      </c>
      <c r="B1606" s="149" t="str">
        <f>IFERROR(__xludf.DUMMYFUNCTION("""COMPUTED_VALUE"""),"Scottsdale")</f>
        <v>Scottsdale</v>
      </c>
      <c r="C1606" s="149" t="str">
        <f>IFERROR(__xludf.DUMMYFUNCTION("""COMPUTED_VALUE"""),"AZ")</f>
        <v>AZ</v>
      </c>
      <c r="D1606" s="149" t="str">
        <f>IFERROR(__xludf.DUMMYFUNCTION("""COMPUTED_VALUE"""),"USA")</f>
        <v>USA</v>
      </c>
      <c r="E1606" s="156">
        <f>IFERROR(__xludf.DUMMYFUNCTION("""COMPUTED_VALUE"""),43757.0)</f>
        <v>43757</v>
      </c>
      <c r="F1606" s="129">
        <f>IFERROR(__xludf.DUMMYFUNCTION("""COMPUTED_VALUE"""),43792.0)</f>
        <v>43792</v>
      </c>
      <c r="G1606" s="154"/>
      <c r="H1606" s="131">
        <f>IFERROR(__xludf.DUMMYFUNCTION("""COMPUTED_VALUE"""),627455.0)</f>
        <v>627455</v>
      </c>
      <c r="I1606" s="144" t="str">
        <f>IFERROR(__xludf.DUMMYFUNCTION("""COMPUTED_VALUE"""),"11/19")</f>
        <v>11/19</v>
      </c>
      <c r="J1606" s="129">
        <f>IFERROR(__xludf.DUMMYFUNCTION("""COMPUTED_VALUE"""),43799.0)</f>
        <v>43799</v>
      </c>
      <c r="K1606" s="133">
        <f>IFERROR(__xludf.DUMMYFUNCTION("""COMPUTED_VALUE"""),35.0)</f>
        <v>35</v>
      </c>
      <c r="L1606" s="133">
        <f>IFERROR(__xludf.DUMMYFUNCTION("""COMPUTED_VALUE"""),7.0)</f>
        <v>7</v>
      </c>
      <c r="M1606" s="133">
        <f>IFERROR(__xludf.DUMMYFUNCTION("""COMPUTED_VALUE"""),42.0)</f>
        <v>42</v>
      </c>
      <c r="N1606" s="152" t="str">
        <f>IFERROR(__xludf.DUMMYFUNCTION("""COMPUTED_VALUE"""),"Model 3 LR AWD")</f>
        <v>Model 3 LR AWD</v>
      </c>
      <c r="O1606" s="152" t="str">
        <f>IFERROR(__xludf.DUMMYFUNCTION("""COMPUTED_VALUE"""),"Pearl White Multi-Coat")</f>
        <v>Pearl White Multi-Coat</v>
      </c>
      <c r="P1606" s="153" t="str">
        <f>IFERROR(__xludf.DUMMYFUNCTION("""COMPUTED_VALUE"""),"19 inch Sport")</f>
        <v>19 inch Sport</v>
      </c>
      <c r="Q1606" s="152" t="str">
        <f>IFERROR(__xludf.DUMMYFUNCTION("""COMPUTED_VALUE"""),"Black seats")</f>
        <v>Black seats</v>
      </c>
      <c r="R1606" s="149" t="str">
        <f>IFERROR(__xludf.DUMMYFUNCTION("""COMPUTED_VALUE"""),"Autopilot")</f>
        <v>Autopilot</v>
      </c>
      <c r="S1606" s="149"/>
      <c r="T1606" s="145"/>
      <c r="U1606" s="145"/>
      <c r="V1606" s="145"/>
      <c r="W1606" s="136"/>
      <c r="X1606" s="137" t="str">
        <f>IFERROR(__xludf.DUMMYFUNCTION("""COMPUTED_VALUE"""),"Excellent")</f>
        <v>Excellent</v>
      </c>
      <c r="Y1606" s="138" t="str">
        <f>IFERROR(__xludf.DUMMYFUNCTION("""COMPUTED_VALUE"""),"Excellent")</f>
        <v>Excellent</v>
      </c>
      <c r="Z1606" s="138" t="str">
        <f>IFERROR(__xludf.DUMMYFUNCTION("""COMPUTED_VALUE"""),"Excellent")</f>
        <v>Excellent</v>
      </c>
      <c r="AA1606" s="138" t="str">
        <f>IFERROR(__xludf.DUMMYFUNCTION("""COMPUTED_VALUE"""),"Fair")</f>
        <v>Fair</v>
      </c>
      <c r="AB1606" s="138" t="str">
        <f>IFERROR(__xludf.DUMMYFUNCTION("""COMPUTED_VALUE"""),"Very Good")</f>
        <v>Very Good</v>
      </c>
      <c r="AC1606" s="139">
        <f>IFERROR(__xludf.DUMMYFUNCTION("""COMPUTED_VALUE"""),0.0)</f>
        <v>0</v>
      </c>
      <c r="AD1606" s="139">
        <f>IFERROR(__xludf.DUMMYFUNCTION("""COMPUTED_VALUE"""),0.0)</f>
        <v>0</v>
      </c>
      <c r="AE1606" s="139">
        <f>IFERROR(__xludf.DUMMYFUNCTION("""COMPUTED_VALUE"""),0.0)</f>
        <v>0</v>
      </c>
      <c r="AF1606" s="140"/>
      <c r="AG1606" s="136" t="str">
        <f>IFERROR(__xludf.DUMMYFUNCTION("""COMPUTED_VALUE"""),"SA was useless, called a different SA and upgraded to Sleeper model, 7 days later picked up the car. ")</f>
        <v>SA was useless, called a different SA and upgraded to Sleeper model, 7 days later picked up the car. </v>
      </c>
      <c r="AH1606" s="157">
        <f>IFERROR(__xludf.DUMMYFUNCTION("""COMPUTED_VALUE"""),43802.67552866898)</f>
        <v>43802.67553</v>
      </c>
      <c r="AI1606" s="138"/>
      <c r="AJ1606" s="138"/>
      <c r="AK1606" s="138"/>
      <c r="AL1606" s="142"/>
    </row>
    <row r="1607" ht="20.25" customHeight="1">
      <c r="A1607" s="155" t="str">
        <f>IFERROR(__xludf.DUMMYFUNCTION("""COMPUTED_VALUE"""),"Sully")</f>
        <v>Sully</v>
      </c>
      <c r="B1607" s="149" t="str">
        <f>IFERROR(__xludf.DUMMYFUNCTION("""COMPUTED_VALUE"""),"Templeton")</f>
        <v>Templeton</v>
      </c>
      <c r="C1607" s="149" t="str">
        <f>IFERROR(__xludf.DUMMYFUNCTION("""COMPUTED_VALUE"""),"CA")</f>
        <v>CA</v>
      </c>
      <c r="D1607" s="149" t="str">
        <f>IFERROR(__xludf.DUMMYFUNCTION("""COMPUTED_VALUE"""),"USA")</f>
        <v>USA</v>
      </c>
      <c r="E1607" s="156">
        <f>IFERROR(__xludf.DUMMYFUNCTION("""COMPUTED_VALUE"""),43757.0)</f>
        <v>43757</v>
      </c>
      <c r="F1607" s="129">
        <f>IFERROR(__xludf.DUMMYFUNCTION("""COMPUTED_VALUE"""),43797.0)</f>
        <v>43797</v>
      </c>
      <c r="G1607" s="154"/>
      <c r="H1607" s="131">
        <f>IFERROR(__xludf.DUMMYFUNCTION("""COMPUTED_VALUE"""),600501.0)</f>
        <v>600501</v>
      </c>
      <c r="I1607" s="144"/>
      <c r="J1607" s="129">
        <f>IFERROR(__xludf.DUMMYFUNCTION("""COMPUTED_VALUE"""),43808.0)</f>
        <v>43808</v>
      </c>
      <c r="K1607" s="133">
        <f>IFERROR(__xludf.DUMMYFUNCTION("""COMPUTED_VALUE"""),40.0)</f>
        <v>40</v>
      </c>
      <c r="L1607" s="133">
        <f>IFERROR(__xludf.DUMMYFUNCTION("""COMPUTED_VALUE"""),11.0)</f>
        <v>11</v>
      </c>
      <c r="M1607" s="133">
        <f>IFERROR(__xludf.DUMMYFUNCTION("""COMPUTED_VALUE"""),51.0)</f>
        <v>51</v>
      </c>
      <c r="N1607" s="152" t="str">
        <f>IFERROR(__xludf.DUMMYFUNCTION("""COMPUTED_VALUE"""),"Model 3 LR AWD")</f>
        <v>Model 3 LR AWD</v>
      </c>
      <c r="O1607" s="152" t="str">
        <f>IFERROR(__xludf.DUMMYFUNCTION("""COMPUTED_VALUE"""),"Solid Black")</f>
        <v>Solid Black</v>
      </c>
      <c r="P1607" s="153" t="str">
        <f>IFERROR(__xludf.DUMMYFUNCTION("""COMPUTED_VALUE"""),"19 inch Sport")</f>
        <v>19 inch Sport</v>
      </c>
      <c r="Q1607" s="152" t="str">
        <f>IFERROR(__xludf.DUMMYFUNCTION("""COMPUTED_VALUE"""),"Black seats")</f>
        <v>Black seats</v>
      </c>
      <c r="R1607" s="149" t="str">
        <f>IFERROR(__xludf.DUMMYFUNCTION("""COMPUTED_VALUE"""),"Autopilot")</f>
        <v>Autopilot</v>
      </c>
      <c r="S1607" s="149"/>
      <c r="T1607" s="145"/>
      <c r="U1607" s="145"/>
      <c r="V1607" s="145"/>
      <c r="W1607" s="136"/>
      <c r="X1607" s="137" t="str">
        <f>IFERROR(__xludf.DUMMYFUNCTION("""COMPUTED_VALUE"""),"Excellent")</f>
        <v>Excellent</v>
      </c>
      <c r="Y1607" s="138" t="str">
        <f>IFERROR(__xludf.DUMMYFUNCTION("""COMPUTED_VALUE"""),"Excellent")</f>
        <v>Excellent</v>
      </c>
      <c r="Z1607" s="138" t="str">
        <f>IFERROR(__xludf.DUMMYFUNCTION("""COMPUTED_VALUE"""),"Excellent")</f>
        <v>Excellent</v>
      </c>
      <c r="AA1607" s="138" t="str">
        <f>IFERROR(__xludf.DUMMYFUNCTION("""COMPUTED_VALUE"""),"Excellent")</f>
        <v>Excellent</v>
      </c>
      <c r="AB1607" s="138" t="str">
        <f>IFERROR(__xludf.DUMMYFUNCTION("""COMPUTED_VALUE"""),"Excellent")</f>
        <v>Excellent</v>
      </c>
      <c r="AC1607" s="139"/>
      <c r="AD1607" s="139"/>
      <c r="AE1607" s="139"/>
      <c r="AF1607" s="140"/>
      <c r="AG1607" s="136"/>
      <c r="AH1607" s="157">
        <f>IFERROR(__xludf.DUMMYFUNCTION("""COMPUTED_VALUE"""),43809.65615369213)</f>
        <v>43809.65615</v>
      </c>
      <c r="AI1607" s="138"/>
      <c r="AJ1607" s="138"/>
      <c r="AK1607" s="138"/>
      <c r="AL1607" s="142"/>
    </row>
    <row r="1608" ht="20.25" customHeight="1">
      <c r="A1608" s="155" t="str">
        <f>IFERROR(__xludf.DUMMYFUNCTION("""COMPUTED_VALUE"""),"t0xic")</f>
        <v>t0xic</v>
      </c>
      <c r="B1608" s="149" t="str">
        <f>IFERROR(__xludf.DUMMYFUNCTION("""COMPUTED_VALUE"""),"San Diego")</f>
        <v>San Diego</v>
      </c>
      <c r="C1608" s="149" t="str">
        <f>IFERROR(__xludf.DUMMYFUNCTION("""COMPUTED_VALUE"""),"CA")</f>
        <v>CA</v>
      </c>
      <c r="D1608" s="149" t="str">
        <f>IFERROR(__xludf.DUMMYFUNCTION("""COMPUTED_VALUE"""),"USA")</f>
        <v>USA</v>
      </c>
      <c r="E1608" s="156">
        <f>IFERROR(__xludf.DUMMYFUNCTION("""COMPUTED_VALUE"""),43757.0)</f>
        <v>43757</v>
      </c>
      <c r="F1608" s="129">
        <f>IFERROR(__xludf.DUMMYFUNCTION("""COMPUTED_VALUE"""),43813.0)</f>
        <v>43813</v>
      </c>
      <c r="G1608" s="154"/>
      <c r="H1608" s="131">
        <f>IFERROR(__xludf.DUMMYFUNCTION("""COMPUTED_VALUE"""),627955.0)</f>
        <v>627955</v>
      </c>
      <c r="I1608" s="144"/>
      <c r="J1608" s="129">
        <f>IFERROR(__xludf.DUMMYFUNCTION("""COMPUTED_VALUE"""),43816.0)</f>
        <v>43816</v>
      </c>
      <c r="K1608" s="133">
        <f>IFERROR(__xludf.DUMMYFUNCTION("""COMPUTED_VALUE"""),56.0)</f>
        <v>56</v>
      </c>
      <c r="L1608" s="133">
        <f>IFERROR(__xludf.DUMMYFUNCTION("""COMPUTED_VALUE"""),3.0)</f>
        <v>3</v>
      </c>
      <c r="M1608" s="133">
        <f>IFERROR(__xludf.DUMMYFUNCTION("""COMPUTED_VALUE"""),59.0)</f>
        <v>59</v>
      </c>
      <c r="N1608" s="152" t="str">
        <f>IFERROR(__xludf.DUMMYFUNCTION("""COMPUTED_VALUE"""),"Model 3 LR AWD")</f>
        <v>Model 3 LR AWD</v>
      </c>
      <c r="O1608" s="152" t="str">
        <f>IFERROR(__xludf.DUMMYFUNCTION("""COMPUTED_VALUE"""),"Deep Blue Metallic")</f>
        <v>Deep Blue Metallic</v>
      </c>
      <c r="P1608" s="153" t="str">
        <f>IFERROR(__xludf.DUMMYFUNCTION("""COMPUTED_VALUE"""),"18 inch Aero")</f>
        <v>18 inch Aero</v>
      </c>
      <c r="Q1608" s="152" t="str">
        <f>IFERROR(__xludf.DUMMYFUNCTION("""COMPUTED_VALUE"""),"Black seats")</f>
        <v>Black seats</v>
      </c>
      <c r="R1608" s="149" t="str">
        <f>IFERROR(__xludf.DUMMYFUNCTION("""COMPUTED_VALUE"""),"Autopilot")</f>
        <v>Autopilot</v>
      </c>
      <c r="S1608" s="149"/>
      <c r="T1608" s="145"/>
      <c r="U1608" s="145"/>
      <c r="V1608" s="145"/>
      <c r="W1608" s="136"/>
      <c r="X1608" s="137" t="str">
        <f>IFERROR(__xludf.DUMMYFUNCTION("""COMPUTED_VALUE"""),"Excellent")</f>
        <v>Excellent</v>
      </c>
      <c r="Y1608" s="138" t="str">
        <f>IFERROR(__xludf.DUMMYFUNCTION("""COMPUTED_VALUE"""),"Excellent")</f>
        <v>Excellent</v>
      </c>
      <c r="Z1608" s="138" t="str">
        <f>IFERROR(__xludf.DUMMYFUNCTION("""COMPUTED_VALUE"""),"Very Good")</f>
        <v>Very Good</v>
      </c>
      <c r="AA1608" s="138" t="str">
        <f>IFERROR(__xludf.DUMMYFUNCTION("""COMPUTED_VALUE"""),"Very Good")</f>
        <v>Very Good</v>
      </c>
      <c r="AB1608" s="138" t="str">
        <f>IFERROR(__xludf.DUMMYFUNCTION("""COMPUTED_VALUE"""),"Excellent")</f>
        <v>Excellent</v>
      </c>
      <c r="AC1608" s="139">
        <f>IFERROR(__xludf.DUMMYFUNCTION("""COMPUTED_VALUE"""),0.0)</f>
        <v>0</v>
      </c>
      <c r="AD1608" s="139">
        <f>IFERROR(__xludf.DUMMYFUNCTION("""COMPUTED_VALUE"""),1.0)</f>
        <v>1</v>
      </c>
      <c r="AE1608" s="139"/>
      <c r="AF1608" s="140"/>
      <c r="AG1608" s="136" t="str">
        <f>IFERROR(__xludf.DUMMYFUNCTION("""COMPUTED_VALUE"""),"Delivery specialist contacted me 11/29 5:30pm to make sure profile is filled out, Called 12/09 and Delivery Specialist said there is a ""large shipment"" coming into carlsbad EOW (12/13). VIN found in source (12/13)")</f>
        <v>Delivery specialist contacted me 11/29 5:30pm to make sure profile is filled out, Called 12/09 and Delivery Specialist said there is a "large shipment" coming into carlsbad EOW (12/13). VIN found in source (12/13)</v>
      </c>
      <c r="AH1608" s="157">
        <f>IFERROR(__xludf.DUMMYFUNCTION("""COMPUTED_VALUE"""),43817.90127549769)</f>
        <v>43817.90128</v>
      </c>
      <c r="AI1608" s="138"/>
      <c r="AJ1608" s="138"/>
      <c r="AK1608" s="138"/>
      <c r="AL1608" s="142"/>
    </row>
    <row r="1609" ht="20.25" customHeight="1">
      <c r="A1609" s="155" t="str">
        <f>IFERROR(__xludf.DUMMYFUNCTION("""COMPUTED_VALUE"""),"w1n78")</f>
        <v>w1n78</v>
      </c>
      <c r="B1609" s="149" t="str">
        <f>IFERROR(__xludf.DUMMYFUNCTION("""COMPUTED_VALUE"""),"Los Angeles")</f>
        <v>Los Angeles</v>
      </c>
      <c r="C1609" s="149" t="str">
        <f>IFERROR(__xludf.DUMMYFUNCTION("""COMPUTED_VALUE"""),"CA")</f>
        <v>CA</v>
      </c>
      <c r="D1609" s="149" t="str">
        <f>IFERROR(__xludf.DUMMYFUNCTION("""COMPUTED_VALUE"""),"USA")</f>
        <v>USA</v>
      </c>
      <c r="E1609" s="156">
        <f>IFERROR(__xludf.DUMMYFUNCTION("""COMPUTED_VALUE"""),43757.0)</f>
        <v>43757</v>
      </c>
      <c r="F1609" s="129">
        <f>IFERROR(__xludf.DUMMYFUNCTION("""COMPUTED_VALUE"""),43820.0)</f>
        <v>43820</v>
      </c>
      <c r="G1609" s="154"/>
      <c r="H1609" s="131">
        <f>IFERROR(__xludf.DUMMYFUNCTION("""COMPUTED_VALUE"""),622855.0)</f>
        <v>622855</v>
      </c>
      <c r="I1609" s="144"/>
      <c r="J1609" s="129">
        <f>IFERROR(__xludf.DUMMYFUNCTION("""COMPUTED_VALUE"""),43822.0)</f>
        <v>43822</v>
      </c>
      <c r="K1609" s="133">
        <f>IFERROR(__xludf.DUMMYFUNCTION("""COMPUTED_VALUE"""),63.0)</f>
        <v>63</v>
      </c>
      <c r="L1609" s="133">
        <f>IFERROR(__xludf.DUMMYFUNCTION("""COMPUTED_VALUE"""),2.0)</f>
        <v>2</v>
      </c>
      <c r="M1609" s="133">
        <f>IFERROR(__xludf.DUMMYFUNCTION("""COMPUTED_VALUE"""),65.0)</f>
        <v>65</v>
      </c>
      <c r="N1609" s="152" t="str">
        <f>IFERROR(__xludf.DUMMYFUNCTION("""COMPUTED_VALUE"""),"Model 3 LR AWD")</f>
        <v>Model 3 LR AWD</v>
      </c>
      <c r="O1609" s="152" t="str">
        <f>IFERROR(__xludf.DUMMYFUNCTION("""COMPUTED_VALUE"""),"Pearl White Multi-Coat")</f>
        <v>Pearl White Multi-Coat</v>
      </c>
      <c r="P1609" s="153" t="str">
        <f>IFERROR(__xludf.DUMMYFUNCTION("""COMPUTED_VALUE"""),"19 inch Sport")</f>
        <v>19 inch Sport</v>
      </c>
      <c r="Q1609" s="152" t="str">
        <f>IFERROR(__xludf.DUMMYFUNCTION("""COMPUTED_VALUE"""),"White seats")</f>
        <v>White seats</v>
      </c>
      <c r="R1609" s="149" t="str">
        <f>IFERROR(__xludf.DUMMYFUNCTION("""COMPUTED_VALUE"""),"Full Self-Driving")</f>
        <v>Full Self-Driving</v>
      </c>
      <c r="S1609" s="149"/>
      <c r="T1609" s="145"/>
      <c r="U1609" s="145"/>
      <c r="V1609" s="145"/>
      <c r="W1609" s="136"/>
      <c r="X1609" s="137" t="str">
        <f>IFERROR(__xludf.DUMMYFUNCTION("""COMPUTED_VALUE"""),"Fair")</f>
        <v>Fair</v>
      </c>
      <c r="Y1609" s="138" t="str">
        <f>IFERROR(__xludf.DUMMYFUNCTION("""COMPUTED_VALUE"""),"Excellent")</f>
        <v>Excellent</v>
      </c>
      <c r="Z1609" s="138" t="str">
        <f>IFERROR(__xludf.DUMMYFUNCTION("""COMPUTED_VALUE"""),"Excellent")</f>
        <v>Excellent</v>
      </c>
      <c r="AA1609" s="138" t="str">
        <f>IFERROR(__xludf.DUMMYFUNCTION("""COMPUTED_VALUE"""),"Fair")</f>
        <v>Fair</v>
      </c>
      <c r="AB1609" s="138" t="str">
        <f>IFERROR(__xludf.DUMMYFUNCTION("""COMPUTED_VALUE"""),"Good")</f>
        <v>Good</v>
      </c>
      <c r="AC1609" s="139"/>
      <c r="AD1609" s="139"/>
      <c r="AE1609" s="139"/>
      <c r="AF1609" s="140"/>
      <c r="AG1609" s="136" t="str">
        <f>IFERROR(__xludf.DUMMYFUNCTION("""COMPUTED_VALUE"""),"passenger, rear door gap/alignment issue. taking it to service center to get it looked at.")</f>
        <v>passenger, rear door gap/alignment issue. taking it to service center to get it looked at.</v>
      </c>
      <c r="AH1609" s="157">
        <f>IFERROR(__xludf.DUMMYFUNCTION("""COMPUTED_VALUE"""),43823.02015217593)</f>
        <v>43823.02015</v>
      </c>
      <c r="AI1609" s="138"/>
      <c r="AJ1609" s="138"/>
      <c r="AK1609" s="138"/>
      <c r="AL1609" s="142"/>
    </row>
    <row r="1610" ht="20.25" customHeight="1">
      <c r="A1610" s="155" t="str">
        <f>IFERROR(__xludf.DUMMYFUNCTION("""COMPUTED_VALUE"""),"dillpickle")</f>
        <v>dillpickle</v>
      </c>
      <c r="B1610" s="149" t="str">
        <f>IFERROR(__xludf.DUMMYFUNCTION("""COMPUTED_VALUE"""),"San Diego")</f>
        <v>San Diego</v>
      </c>
      <c r="C1610" s="149" t="str">
        <f>IFERROR(__xludf.DUMMYFUNCTION("""COMPUTED_VALUE"""),"CA")</f>
        <v>CA</v>
      </c>
      <c r="D1610" s="149" t="str">
        <f>IFERROR(__xludf.DUMMYFUNCTION("""COMPUTED_VALUE"""),"USA")</f>
        <v>USA</v>
      </c>
      <c r="E1610" s="156">
        <f>IFERROR(__xludf.DUMMYFUNCTION("""COMPUTED_VALUE"""),43756.0)</f>
        <v>43756</v>
      </c>
      <c r="F1610" s="129">
        <f>IFERROR(__xludf.DUMMYFUNCTION("""COMPUTED_VALUE"""),43817.0)</f>
        <v>43817</v>
      </c>
      <c r="G1610" s="154"/>
      <c r="H1610" s="131">
        <f>IFERROR(__xludf.DUMMYFUNCTION("""COMPUTED_VALUE"""),619755.0)</f>
        <v>619755</v>
      </c>
      <c r="I1610" s="144" t="str">
        <f>IFERROR(__xludf.DUMMYFUNCTION("""COMPUTED_VALUE"""),"12/19")</f>
        <v>12/19</v>
      </c>
      <c r="J1610" s="129">
        <f>IFERROR(__xludf.DUMMYFUNCTION("""COMPUTED_VALUE"""),43820.0)</f>
        <v>43820</v>
      </c>
      <c r="K1610" s="133">
        <f>IFERROR(__xludf.DUMMYFUNCTION("""COMPUTED_VALUE"""),61.0)</f>
        <v>61</v>
      </c>
      <c r="L1610" s="133">
        <f>IFERROR(__xludf.DUMMYFUNCTION("""COMPUTED_VALUE"""),3.0)</f>
        <v>3</v>
      </c>
      <c r="M1610" s="133">
        <f>IFERROR(__xludf.DUMMYFUNCTION("""COMPUTED_VALUE"""),64.0)</f>
        <v>64</v>
      </c>
      <c r="N1610" s="152" t="str">
        <f>IFERROR(__xludf.DUMMYFUNCTION("""COMPUTED_VALUE"""),"Model 3 LR AWD")</f>
        <v>Model 3 LR AWD</v>
      </c>
      <c r="O1610" s="152" t="str">
        <f>IFERROR(__xludf.DUMMYFUNCTION("""COMPUTED_VALUE"""),"Pearl White Multi-Coat")</f>
        <v>Pearl White Multi-Coat</v>
      </c>
      <c r="P1610" s="153" t="str">
        <f>IFERROR(__xludf.DUMMYFUNCTION("""COMPUTED_VALUE"""),"18 inch Aero")</f>
        <v>18 inch Aero</v>
      </c>
      <c r="Q1610" s="152" t="str">
        <f>IFERROR(__xludf.DUMMYFUNCTION("""COMPUTED_VALUE"""),"Black seats")</f>
        <v>Black seats</v>
      </c>
      <c r="R1610" s="149" t="str">
        <f>IFERROR(__xludf.DUMMYFUNCTION("""COMPUTED_VALUE"""),"Autopilot")</f>
        <v>Autopilot</v>
      </c>
      <c r="S1610" s="149"/>
      <c r="T1610" s="145"/>
      <c r="U1610" s="145"/>
      <c r="V1610" s="145"/>
      <c r="W1610" s="136"/>
      <c r="X1610" s="137" t="str">
        <f>IFERROR(__xludf.DUMMYFUNCTION("""COMPUTED_VALUE"""),"Very Good")</f>
        <v>Very Good</v>
      </c>
      <c r="Y1610" s="138" t="str">
        <f>IFERROR(__xludf.DUMMYFUNCTION("""COMPUTED_VALUE"""),"Very Good")</f>
        <v>Very Good</v>
      </c>
      <c r="Z1610" s="138" t="str">
        <f>IFERROR(__xludf.DUMMYFUNCTION("""COMPUTED_VALUE"""),"Fair")</f>
        <v>Fair</v>
      </c>
      <c r="AA1610" s="138" t="str">
        <f>IFERROR(__xludf.DUMMYFUNCTION("""COMPUTED_VALUE"""),"Excellent")</f>
        <v>Excellent</v>
      </c>
      <c r="AB1610" s="138" t="str">
        <f>IFERROR(__xludf.DUMMYFUNCTION("""COMPUTED_VALUE"""),"Excellent")</f>
        <v>Excellent</v>
      </c>
      <c r="AC1610" s="139">
        <f>IFERROR(__xludf.DUMMYFUNCTION("""COMPUTED_VALUE"""),1.0)</f>
        <v>1</v>
      </c>
      <c r="AD1610" s="139">
        <f>IFERROR(__xludf.DUMMYFUNCTION("""COMPUTED_VALUE"""),1.0)</f>
        <v>1</v>
      </c>
      <c r="AE1610" s="139"/>
      <c r="AF1610" s="140"/>
      <c r="AG1610" s="136"/>
      <c r="AH1610" s="157">
        <f>IFERROR(__xludf.DUMMYFUNCTION("""COMPUTED_VALUE"""),43821.894165694444)</f>
        <v>43821.89417</v>
      </c>
      <c r="AI1610" s="138"/>
      <c r="AJ1610" s="138"/>
      <c r="AK1610" s="138"/>
      <c r="AL1610" s="142"/>
    </row>
    <row r="1611" ht="20.25" customHeight="1">
      <c r="A1611" s="155" t="str">
        <f>IFERROR(__xludf.DUMMYFUNCTION("""COMPUTED_VALUE"""),"dryland")</f>
        <v>dryland</v>
      </c>
      <c r="B1611" s="149" t="str">
        <f>IFERROR(__xludf.DUMMYFUNCTION("""COMPUTED_VALUE"""),"Raleigh")</f>
        <v>Raleigh</v>
      </c>
      <c r="C1611" s="149" t="str">
        <f>IFERROR(__xludf.DUMMYFUNCTION("""COMPUTED_VALUE"""),"NC")</f>
        <v>NC</v>
      </c>
      <c r="D1611" s="149" t="str">
        <f>IFERROR(__xludf.DUMMYFUNCTION("""COMPUTED_VALUE"""),"USA")</f>
        <v>USA</v>
      </c>
      <c r="E1611" s="156">
        <f>IFERROR(__xludf.DUMMYFUNCTION("""COMPUTED_VALUE"""),43756.0)</f>
        <v>43756</v>
      </c>
      <c r="F1611" s="129">
        <f>IFERROR(__xludf.DUMMYFUNCTION("""COMPUTED_VALUE"""),43757.0)</f>
        <v>43757</v>
      </c>
      <c r="G1611" s="154"/>
      <c r="H1611" s="131">
        <f>IFERROR(__xludf.DUMMYFUNCTION("""COMPUTED_VALUE"""),472565.0)</f>
        <v>472565</v>
      </c>
      <c r="I1611" s="144" t="str">
        <f>IFERROR(__xludf.DUMMYFUNCTION("""COMPUTED_VALUE"""),"08/19")</f>
        <v>08/19</v>
      </c>
      <c r="J1611" s="129">
        <f>IFERROR(__xludf.DUMMYFUNCTION("""COMPUTED_VALUE"""),43767.0)</f>
        <v>43767</v>
      </c>
      <c r="K1611" s="133">
        <f>IFERROR(__xludf.DUMMYFUNCTION("""COMPUTED_VALUE"""),1.0)</f>
        <v>1</v>
      </c>
      <c r="L1611" s="133">
        <f>IFERROR(__xludf.DUMMYFUNCTION("""COMPUTED_VALUE"""),10.0)</f>
        <v>10</v>
      </c>
      <c r="M1611" s="133">
        <f>IFERROR(__xludf.DUMMYFUNCTION("""COMPUTED_VALUE"""),11.0)</f>
        <v>11</v>
      </c>
      <c r="N1611" s="152" t="str">
        <f>IFERROR(__xludf.DUMMYFUNCTION("""COMPUTED_VALUE"""),"Model 3 SR+")</f>
        <v>Model 3 SR+</v>
      </c>
      <c r="O1611" s="152" t="str">
        <f>IFERROR(__xludf.DUMMYFUNCTION("""COMPUTED_VALUE"""),"Pearl White Multi-Coat")</f>
        <v>Pearl White Multi-Coat</v>
      </c>
      <c r="P1611" s="153" t="str">
        <f>IFERROR(__xludf.DUMMYFUNCTION("""COMPUTED_VALUE"""),"19 inch Sport")</f>
        <v>19 inch Sport</v>
      </c>
      <c r="Q1611" s="152" t="str">
        <f>IFERROR(__xludf.DUMMYFUNCTION("""COMPUTED_VALUE"""),"Black seats")</f>
        <v>Black seats</v>
      </c>
      <c r="R1611" s="149" t="str">
        <f>IFERROR(__xludf.DUMMYFUNCTION("""COMPUTED_VALUE"""),"Autopilot")</f>
        <v>Autopilot</v>
      </c>
      <c r="S1611" s="149"/>
      <c r="T1611" s="145"/>
      <c r="U1611" s="145"/>
      <c r="V1611" s="145"/>
      <c r="W1611" s="136"/>
      <c r="X1611" s="137" t="str">
        <f>IFERROR(__xludf.DUMMYFUNCTION("""COMPUTED_VALUE"""),"Excellent")</f>
        <v>Excellent</v>
      </c>
      <c r="Y1611" s="138" t="str">
        <f>IFERROR(__xludf.DUMMYFUNCTION("""COMPUTED_VALUE"""),"Very Good")</f>
        <v>Very Good</v>
      </c>
      <c r="Z1611" s="138" t="str">
        <f>IFERROR(__xludf.DUMMYFUNCTION("""COMPUTED_VALUE"""),"Very Good")</f>
        <v>Very Good</v>
      </c>
      <c r="AA1611" s="138" t="str">
        <f>IFERROR(__xludf.DUMMYFUNCTION("""COMPUTED_VALUE"""),"Fair")</f>
        <v>Fair</v>
      </c>
      <c r="AB1611" s="138" t="str">
        <f>IFERROR(__xludf.DUMMYFUNCTION("""COMPUTED_VALUE"""),"Excellent")</f>
        <v>Excellent</v>
      </c>
      <c r="AC1611" s="139"/>
      <c r="AD1611" s="139"/>
      <c r="AE1611" s="139"/>
      <c r="AF1611" s="140"/>
      <c r="AG1611" s="136" t="str">
        <f>IFERROR(__xludf.DUMMYFUNCTION("""COMPUTED_VALUE"""),"Found exact config in inventory. Called local delivery center and had it assigned to me. 10/20 update: spoke with delivery advisor. Said the car should be in on Friday. Said I could pick up on Saturday. Agreed. Update 10/25: Delivery date rescheduled due "&amp;"to scratched rim during transportation.")</f>
        <v>Found exact config in inventory. Called local delivery center and had it assigned to me. 10/20 update: spoke with delivery advisor. Said the car should be in on Friday. Said I could pick up on Saturday. Agreed. Update 10/25: Delivery date rescheduled due to scratched rim during transportation.</v>
      </c>
      <c r="AH1611" s="157">
        <f>IFERROR(__xludf.DUMMYFUNCTION("""COMPUTED_VALUE"""),43768.7699074537)</f>
        <v>43768.76991</v>
      </c>
      <c r="AI1611" s="138"/>
      <c r="AJ1611" s="138"/>
      <c r="AK1611" s="138"/>
      <c r="AL1611" s="142"/>
    </row>
    <row r="1612" ht="20.25" customHeight="1">
      <c r="A1612" s="155" t="str">
        <f>IFERROR(__xludf.DUMMYFUNCTION("""COMPUTED_VALUE"""),"JeremyE")</f>
        <v>JeremyE</v>
      </c>
      <c r="B1612" s="149" t="str">
        <f>IFERROR(__xludf.DUMMYFUNCTION("""COMPUTED_VALUE"""),"Northglenn")</f>
        <v>Northglenn</v>
      </c>
      <c r="C1612" s="149" t="str">
        <f>IFERROR(__xludf.DUMMYFUNCTION("""COMPUTED_VALUE"""),"CO")</f>
        <v>CO</v>
      </c>
      <c r="D1612" s="149" t="str">
        <f>IFERROR(__xludf.DUMMYFUNCTION("""COMPUTED_VALUE"""),"USA")</f>
        <v>USA</v>
      </c>
      <c r="E1612" s="156">
        <f>IFERROR(__xludf.DUMMYFUNCTION("""COMPUTED_VALUE"""),43756.0)</f>
        <v>43756</v>
      </c>
      <c r="F1612" s="129">
        <f>IFERROR(__xludf.DUMMYFUNCTION("""COMPUTED_VALUE"""),43785.0)</f>
        <v>43785</v>
      </c>
      <c r="G1612" s="154"/>
      <c r="H1612" s="131">
        <f>IFERROR(__xludf.DUMMYFUNCTION("""COMPUTED_VALUE"""),586719.0)</f>
        <v>586719</v>
      </c>
      <c r="I1612" s="144"/>
      <c r="J1612" s="129">
        <f>IFERROR(__xludf.DUMMYFUNCTION("""COMPUTED_VALUE"""),43792.0)</f>
        <v>43792</v>
      </c>
      <c r="K1612" s="133">
        <f>IFERROR(__xludf.DUMMYFUNCTION("""COMPUTED_VALUE"""),29.0)</f>
        <v>29</v>
      </c>
      <c r="L1612" s="133">
        <f>IFERROR(__xludf.DUMMYFUNCTION("""COMPUTED_VALUE"""),7.0)</f>
        <v>7</v>
      </c>
      <c r="M1612" s="133">
        <f>IFERROR(__xludf.DUMMYFUNCTION("""COMPUTED_VALUE"""),36.0)</f>
        <v>36</v>
      </c>
      <c r="N1612" s="152" t="str">
        <f>IFERROR(__xludf.DUMMYFUNCTION("""COMPUTED_VALUE"""),"Model 3 Performance")</f>
        <v>Model 3 Performance</v>
      </c>
      <c r="O1612" s="152" t="str">
        <f>IFERROR(__xludf.DUMMYFUNCTION("""COMPUTED_VALUE"""),"Midnight Silver Metallic")</f>
        <v>Midnight Silver Metallic</v>
      </c>
      <c r="P1612" s="153" t="str">
        <f>IFERROR(__xludf.DUMMYFUNCTION("""COMPUTED_VALUE"""),"19 inch Sport")</f>
        <v>19 inch Sport</v>
      </c>
      <c r="Q1612" s="152" t="str">
        <f>IFERROR(__xludf.DUMMYFUNCTION("""COMPUTED_VALUE"""),"Black seats")</f>
        <v>Black seats</v>
      </c>
      <c r="R1612" s="149" t="str">
        <f>IFERROR(__xludf.DUMMYFUNCTION("""COMPUTED_VALUE"""),"Autopilot")</f>
        <v>Autopilot</v>
      </c>
      <c r="S1612" s="149"/>
      <c r="T1612" s="145"/>
      <c r="U1612" s="145"/>
      <c r="V1612" s="145"/>
      <c r="W1612" s="136"/>
      <c r="X1612" s="137" t="str">
        <f>IFERROR(__xludf.DUMMYFUNCTION("""COMPUTED_VALUE"""),"Excellent")</f>
        <v>Excellent</v>
      </c>
      <c r="Y1612" s="138" t="str">
        <f>IFERROR(__xludf.DUMMYFUNCTION("""COMPUTED_VALUE"""),"Excellent")</f>
        <v>Excellent</v>
      </c>
      <c r="Z1612" s="138" t="str">
        <f>IFERROR(__xludf.DUMMYFUNCTION("""COMPUTED_VALUE"""),"Excellent")</f>
        <v>Excellent</v>
      </c>
      <c r="AA1612" s="138" t="str">
        <f>IFERROR(__xludf.DUMMYFUNCTION("""COMPUTED_VALUE"""),"Good")</f>
        <v>Good</v>
      </c>
      <c r="AB1612" s="138" t="str">
        <f>IFERROR(__xludf.DUMMYFUNCTION("""COMPUTED_VALUE"""),"Excellent")</f>
        <v>Excellent</v>
      </c>
      <c r="AC1612" s="139"/>
      <c r="AD1612" s="139"/>
      <c r="AE1612" s="139"/>
      <c r="AF1612" s="140"/>
      <c r="AG1612" s="136"/>
      <c r="AH1612" s="157">
        <f>IFERROR(__xludf.DUMMYFUNCTION("""COMPUTED_VALUE"""),43795.91433376157)</f>
        <v>43795.91433</v>
      </c>
      <c r="AI1612" s="138"/>
      <c r="AJ1612" s="138"/>
      <c r="AK1612" s="138"/>
      <c r="AL1612" s="142"/>
    </row>
    <row r="1613" ht="20.25" customHeight="1">
      <c r="A1613" s="155" t="str">
        <f>IFERROR(__xludf.DUMMYFUNCTION("""COMPUTED_VALUE"""),"sdr007")</f>
        <v>sdr007</v>
      </c>
      <c r="B1613" s="149" t="str">
        <f>IFERROR(__xludf.DUMMYFUNCTION("""COMPUTED_VALUE"""),"charlotte")</f>
        <v>charlotte</v>
      </c>
      <c r="C1613" s="149" t="str">
        <f>IFERROR(__xludf.DUMMYFUNCTION("""COMPUTED_VALUE"""),"NC")</f>
        <v>NC</v>
      </c>
      <c r="D1613" s="149" t="str">
        <f>IFERROR(__xludf.DUMMYFUNCTION("""COMPUTED_VALUE"""),"USA")</f>
        <v>USA</v>
      </c>
      <c r="E1613" s="156">
        <f>IFERROR(__xludf.DUMMYFUNCTION("""COMPUTED_VALUE"""),43756.0)</f>
        <v>43756</v>
      </c>
      <c r="F1613" s="129">
        <f>IFERROR(__xludf.DUMMYFUNCTION("""COMPUTED_VALUE"""),43777.0)</f>
        <v>43777</v>
      </c>
      <c r="G1613" s="154"/>
      <c r="H1613" s="131">
        <f>IFERROR(__xludf.DUMMYFUNCTION("""COMPUTED_VALUE"""),504255.0)</f>
        <v>504255</v>
      </c>
      <c r="I1613" s="144"/>
      <c r="J1613" s="129">
        <f>IFERROR(__xludf.DUMMYFUNCTION("""COMPUTED_VALUE"""),43785.0)</f>
        <v>43785</v>
      </c>
      <c r="K1613" s="133">
        <f>IFERROR(__xludf.DUMMYFUNCTION("""COMPUTED_VALUE"""),21.0)</f>
        <v>21</v>
      </c>
      <c r="L1613" s="133">
        <f>IFERROR(__xludf.DUMMYFUNCTION("""COMPUTED_VALUE"""),8.0)</f>
        <v>8</v>
      </c>
      <c r="M1613" s="133">
        <f>IFERROR(__xludf.DUMMYFUNCTION("""COMPUTED_VALUE"""),29.0)</f>
        <v>29</v>
      </c>
      <c r="N1613" s="152" t="str">
        <f>IFERROR(__xludf.DUMMYFUNCTION("""COMPUTED_VALUE"""),"Model 3 SR+")</f>
        <v>Model 3 SR+</v>
      </c>
      <c r="O1613" s="152" t="str">
        <f>IFERROR(__xludf.DUMMYFUNCTION("""COMPUTED_VALUE"""),"Pearl White Multi-Coat")</f>
        <v>Pearl White Multi-Coat</v>
      </c>
      <c r="P1613" s="153" t="str">
        <f>IFERROR(__xludf.DUMMYFUNCTION("""COMPUTED_VALUE"""),"18 inch Aero")</f>
        <v>18 inch Aero</v>
      </c>
      <c r="Q1613" s="152" t="str">
        <f>IFERROR(__xludf.DUMMYFUNCTION("""COMPUTED_VALUE"""),"Black seats")</f>
        <v>Black seats</v>
      </c>
      <c r="R1613" s="149" t="str">
        <f>IFERROR(__xludf.DUMMYFUNCTION("""COMPUTED_VALUE"""),"Autopilot")</f>
        <v>Autopilot</v>
      </c>
      <c r="S1613" s="149"/>
      <c r="T1613" s="145"/>
      <c r="U1613" s="145"/>
      <c r="V1613" s="145"/>
      <c r="W1613" s="136"/>
      <c r="X1613" s="137" t="str">
        <f>IFERROR(__xludf.DUMMYFUNCTION("""COMPUTED_VALUE"""),"Good")</f>
        <v>Good</v>
      </c>
      <c r="Y1613" s="138" t="str">
        <f>IFERROR(__xludf.DUMMYFUNCTION("""COMPUTED_VALUE"""),"Excellent")</f>
        <v>Excellent</v>
      </c>
      <c r="Z1613" s="138" t="str">
        <f>IFERROR(__xludf.DUMMYFUNCTION("""COMPUTED_VALUE"""),"Excellent")</f>
        <v>Excellent</v>
      </c>
      <c r="AA1613" s="138" t="str">
        <f>IFERROR(__xludf.DUMMYFUNCTION("""COMPUTED_VALUE"""),"Excellent")</f>
        <v>Excellent</v>
      </c>
      <c r="AB1613" s="138" t="str">
        <f>IFERROR(__xludf.DUMMYFUNCTION("""COMPUTED_VALUE"""),"Excellent")</f>
        <v>Excellent</v>
      </c>
      <c r="AC1613" s="139"/>
      <c r="AD1613" s="139"/>
      <c r="AE1613" s="139"/>
      <c r="AF1613" s="140"/>
      <c r="AG1613" s="136" t="str">
        <f>IFERROR(__xludf.DUMMYFUNCTION("""COMPUTED_VALUE"""),"Delivery date moved to 11/18 from 11/14 due to car unavailability. Delivered on 11/16")</f>
        <v>Delivery date moved to 11/18 from 11/14 due to car unavailability. Delivered on 11/16</v>
      </c>
      <c r="AH1613" s="157">
        <f>IFERROR(__xludf.DUMMYFUNCTION("""COMPUTED_VALUE"""),43787.336200694444)</f>
        <v>43787.3362</v>
      </c>
      <c r="AI1613" s="138"/>
      <c r="AJ1613" s="138"/>
      <c r="AK1613" s="138"/>
      <c r="AL1613" s="142"/>
    </row>
    <row r="1614" ht="20.25" customHeight="1">
      <c r="A1614" s="155" t="str">
        <f>IFERROR(__xludf.DUMMYFUNCTION("""COMPUTED_VALUE"""),"tomcatt1")</f>
        <v>tomcatt1</v>
      </c>
      <c r="B1614" s="149" t="str">
        <f>IFERROR(__xludf.DUMMYFUNCTION("""COMPUTED_VALUE"""),"Honea Path")</f>
        <v>Honea Path</v>
      </c>
      <c r="C1614" s="149" t="str">
        <f>IFERROR(__xludf.DUMMYFUNCTION("""COMPUTED_VALUE"""),"SC")</f>
        <v>SC</v>
      </c>
      <c r="D1614" s="149" t="str">
        <f>IFERROR(__xludf.DUMMYFUNCTION("""COMPUTED_VALUE"""),"USA")</f>
        <v>USA</v>
      </c>
      <c r="E1614" s="156">
        <f>IFERROR(__xludf.DUMMYFUNCTION("""COMPUTED_VALUE"""),43756.0)</f>
        <v>43756</v>
      </c>
      <c r="F1614" s="129">
        <f>IFERROR(__xludf.DUMMYFUNCTION("""COMPUTED_VALUE"""),43774.0)</f>
        <v>43774</v>
      </c>
      <c r="G1614" s="154"/>
      <c r="H1614" s="131">
        <f>IFERROR(__xludf.DUMMYFUNCTION("""COMPUTED_VALUE"""),495555.0)</f>
        <v>495555</v>
      </c>
      <c r="I1614" s="144" t="str">
        <f>IFERROR(__xludf.DUMMYFUNCTION("""COMPUTED_VALUE"""),"10/19")</f>
        <v>10/19</v>
      </c>
      <c r="J1614" s="129">
        <f>IFERROR(__xludf.DUMMYFUNCTION("""COMPUTED_VALUE"""),43792.0)</f>
        <v>43792</v>
      </c>
      <c r="K1614" s="133">
        <f>IFERROR(__xludf.DUMMYFUNCTION("""COMPUTED_VALUE"""),18.0)</f>
        <v>18</v>
      </c>
      <c r="L1614" s="133">
        <f>IFERROR(__xludf.DUMMYFUNCTION("""COMPUTED_VALUE"""),18.0)</f>
        <v>18</v>
      </c>
      <c r="M1614" s="133">
        <f>IFERROR(__xludf.DUMMYFUNCTION("""COMPUTED_VALUE"""),36.0)</f>
        <v>36</v>
      </c>
      <c r="N1614" s="152" t="str">
        <f>IFERROR(__xludf.DUMMYFUNCTION("""COMPUTED_VALUE"""),"Model 3 SR+")</f>
        <v>Model 3 SR+</v>
      </c>
      <c r="O1614" s="152" t="str">
        <f>IFERROR(__xludf.DUMMYFUNCTION("""COMPUTED_VALUE"""),"Midnight Silver Metallic")</f>
        <v>Midnight Silver Metallic</v>
      </c>
      <c r="P1614" s="153" t="str">
        <f>IFERROR(__xludf.DUMMYFUNCTION("""COMPUTED_VALUE"""),"18 inch Aero")</f>
        <v>18 inch Aero</v>
      </c>
      <c r="Q1614" s="152" t="str">
        <f>IFERROR(__xludf.DUMMYFUNCTION("""COMPUTED_VALUE"""),"Black seats")</f>
        <v>Black seats</v>
      </c>
      <c r="R1614" s="149" t="str">
        <f>IFERROR(__xludf.DUMMYFUNCTION("""COMPUTED_VALUE"""),"Autopilot")</f>
        <v>Autopilot</v>
      </c>
      <c r="S1614" s="149"/>
      <c r="T1614" s="145"/>
      <c r="U1614" s="145"/>
      <c r="V1614" s="145"/>
      <c r="W1614" s="136"/>
      <c r="X1614" s="137" t="str">
        <f>IFERROR(__xludf.DUMMYFUNCTION("""COMPUTED_VALUE"""),"Excellent")</f>
        <v>Excellent</v>
      </c>
      <c r="Y1614" s="138" t="str">
        <f>IFERROR(__xludf.DUMMYFUNCTION("""COMPUTED_VALUE"""),"Excellent")</f>
        <v>Excellent</v>
      </c>
      <c r="Z1614" s="138" t="str">
        <f>IFERROR(__xludf.DUMMYFUNCTION("""COMPUTED_VALUE"""),"Excellent")</f>
        <v>Excellent</v>
      </c>
      <c r="AA1614" s="138" t="str">
        <f>IFERROR(__xludf.DUMMYFUNCTION("""COMPUTED_VALUE"""),"Fair")</f>
        <v>Fair</v>
      </c>
      <c r="AB1614" s="138" t="str">
        <f>IFERROR(__xludf.DUMMYFUNCTION("""COMPUTED_VALUE"""),"Very Good")</f>
        <v>Very Good</v>
      </c>
      <c r="AC1614" s="139">
        <f>IFERROR(__xludf.DUMMYFUNCTION("""COMPUTED_VALUE"""),2.0)</f>
        <v>2</v>
      </c>
      <c r="AD1614" s="139">
        <f>IFERROR(__xludf.DUMMYFUNCTION("""COMPUTED_VALUE"""),1.0)</f>
        <v>1</v>
      </c>
      <c r="AE1614" s="139">
        <f>IFERROR(__xludf.DUMMYFUNCTION("""COMPUTED_VALUE"""),1.0)</f>
        <v>1</v>
      </c>
      <c r="AF1614" s="140"/>
      <c r="AG1614" s="136" t="str">
        <f>IFERROR(__xludf.DUMMYFUNCTION("""COMPUTED_VALUE"""),"Original delivery date was set to Nov 15, but was changed the day before by Tesla to a new date of Nov 21 - The reason that was given was that a door interior needed to be repainted. Update on 11/20....delivery date changed to 11/23. Delivery on 11/23. MC"&amp;"U inoperative.")</f>
        <v>Original delivery date was set to Nov 15, but was changed the day before by Tesla to a new date of Nov 21 - The reason that was given was that a door interior needed to be repainted. Update on 11/20....delivery date changed to 11/23. Delivery on 11/23. MCU inoperative.</v>
      </c>
      <c r="AH1614" s="157">
        <f>IFERROR(__xludf.DUMMYFUNCTION("""COMPUTED_VALUE"""),43823.854260451386)</f>
        <v>43823.85426</v>
      </c>
      <c r="AI1614" s="138"/>
      <c r="AJ1614" s="138"/>
      <c r="AK1614" s="138"/>
      <c r="AL1614" s="142"/>
    </row>
    <row r="1615" ht="20.25" customHeight="1">
      <c r="A1615" s="155" t="str">
        <f>IFERROR(__xludf.DUMMYFUNCTION("""COMPUTED_VALUE"""),"daytonadweller")</f>
        <v>daytonadweller</v>
      </c>
      <c r="B1615" s="149" t="str">
        <f>IFERROR(__xludf.DUMMYFUNCTION("""COMPUTED_VALUE"""),"Denver")</f>
        <v>Denver</v>
      </c>
      <c r="C1615" s="149" t="str">
        <f>IFERROR(__xludf.DUMMYFUNCTION("""COMPUTED_VALUE"""),"CO")</f>
        <v>CO</v>
      </c>
      <c r="D1615" s="149" t="str">
        <f>IFERROR(__xludf.DUMMYFUNCTION("""COMPUTED_VALUE"""),"USA")</f>
        <v>USA</v>
      </c>
      <c r="E1615" s="156">
        <f>IFERROR(__xludf.DUMMYFUNCTION("""COMPUTED_VALUE"""),43755.0)</f>
        <v>43755</v>
      </c>
      <c r="F1615" s="129">
        <f>IFERROR(__xludf.DUMMYFUNCTION("""COMPUTED_VALUE"""),43807.0)</f>
        <v>43807</v>
      </c>
      <c r="G1615" s="154"/>
      <c r="H1615" s="131">
        <f>IFERROR(__xludf.DUMMYFUNCTION("""COMPUTED_VALUE"""),624013.0)</f>
        <v>624013</v>
      </c>
      <c r="I1615" s="144" t="str">
        <f>IFERROR(__xludf.DUMMYFUNCTION("""COMPUTED_VALUE"""),"12/19")</f>
        <v>12/19</v>
      </c>
      <c r="J1615" s="129">
        <f>IFERROR(__xludf.DUMMYFUNCTION("""COMPUTED_VALUE"""),43813.0)</f>
        <v>43813</v>
      </c>
      <c r="K1615" s="133">
        <f>IFERROR(__xludf.DUMMYFUNCTION("""COMPUTED_VALUE"""),52.0)</f>
        <v>52</v>
      </c>
      <c r="L1615" s="133">
        <f>IFERROR(__xludf.DUMMYFUNCTION("""COMPUTED_VALUE"""),6.0)</f>
        <v>6</v>
      </c>
      <c r="M1615" s="133">
        <f>IFERROR(__xludf.DUMMYFUNCTION("""COMPUTED_VALUE"""),58.0)</f>
        <v>58</v>
      </c>
      <c r="N1615" s="152" t="str">
        <f>IFERROR(__xludf.DUMMYFUNCTION("""COMPUTED_VALUE"""),"Model 3 Performance")</f>
        <v>Model 3 Performance</v>
      </c>
      <c r="O1615" s="152" t="str">
        <f>IFERROR(__xludf.DUMMYFUNCTION("""COMPUTED_VALUE"""),"Pearl White Multi-Coat")</f>
        <v>Pearl White Multi-Coat</v>
      </c>
      <c r="P1615" s="153" t="str">
        <f>IFERROR(__xludf.DUMMYFUNCTION("""COMPUTED_VALUE"""),"20 inch Sport")</f>
        <v>20 inch Sport</v>
      </c>
      <c r="Q1615" s="152" t="str">
        <f>IFERROR(__xludf.DUMMYFUNCTION("""COMPUTED_VALUE"""),"Black seats")</f>
        <v>Black seats</v>
      </c>
      <c r="R1615" s="149" t="str">
        <f>IFERROR(__xludf.DUMMYFUNCTION("""COMPUTED_VALUE"""),"Full Self-Driving")</f>
        <v>Full Self-Driving</v>
      </c>
      <c r="S1615" s="149"/>
      <c r="T1615" s="145"/>
      <c r="U1615" s="145"/>
      <c r="V1615" s="145"/>
      <c r="W1615" s="136"/>
      <c r="X1615" s="137" t="str">
        <f>IFERROR(__xludf.DUMMYFUNCTION("""COMPUTED_VALUE"""),"Very Good")</f>
        <v>Very Good</v>
      </c>
      <c r="Y1615" s="138" t="str">
        <f>IFERROR(__xludf.DUMMYFUNCTION("""COMPUTED_VALUE"""),"Excellent")</f>
        <v>Excellent</v>
      </c>
      <c r="Z1615" s="138" t="str">
        <f>IFERROR(__xludf.DUMMYFUNCTION("""COMPUTED_VALUE"""),"Very Good")</f>
        <v>Very Good</v>
      </c>
      <c r="AA1615" s="138" t="str">
        <f>IFERROR(__xludf.DUMMYFUNCTION("""COMPUTED_VALUE"""),"Poor")</f>
        <v>Poor</v>
      </c>
      <c r="AB1615" s="138" t="str">
        <f>IFERROR(__xludf.DUMMYFUNCTION("""COMPUTED_VALUE"""),"Excellent")</f>
        <v>Excellent</v>
      </c>
      <c r="AC1615" s="139">
        <f>IFERROR(__xludf.DUMMYFUNCTION("""COMPUTED_VALUE"""),3.0)</f>
        <v>3</v>
      </c>
      <c r="AD1615" s="139"/>
      <c r="AE1615" s="139"/>
      <c r="AF1615" s="140"/>
      <c r="AG1615" s="136"/>
      <c r="AH1615" s="157">
        <f>IFERROR(__xludf.DUMMYFUNCTION("""COMPUTED_VALUE"""),43817.33158706019)</f>
        <v>43817.33159</v>
      </c>
      <c r="AI1615" s="138"/>
      <c r="AJ1615" s="138"/>
      <c r="AK1615" s="138"/>
      <c r="AL1615" s="142"/>
    </row>
    <row r="1616" ht="20.25" customHeight="1">
      <c r="A1616" s="155" t="str">
        <f>IFERROR(__xludf.DUMMYFUNCTION("""COMPUTED_VALUE"""),"dw")</f>
        <v>dw</v>
      </c>
      <c r="B1616" s="149" t="str">
        <f>IFERROR(__xludf.DUMMYFUNCTION("""COMPUTED_VALUE"""),"San Jose")</f>
        <v>San Jose</v>
      </c>
      <c r="C1616" s="149" t="str">
        <f>IFERROR(__xludf.DUMMYFUNCTION("""COMPUTED_VALUE"""),"CA")</f>
        <v>CA</v>
      </c>
      <c r="D1616" s="149" t="str">
        <f>IFERROR(__xludf.DUMMYFUNCTION("""COMPUTED_VALUE"""),"USA")</f>
        <v>USA</v>
      </c>
      <c r="E1616" s="156">
        <f>IFERROR(__xludf.DUMMYFUNCTION("""COMPUTED_VALUE"""),43755.0)</f>
        <v>43755</v>
      </c>
      <c r="F1616" s="129">
        <f>IFERROR(__xludf.DUMMYFUNCTION("""COMPUTED_VALUE"""),43812.0)</f>
        <v>43812</v>
      </c>
      <c r="G1616" s="154"/>
      <c r="H1616" s="131">
        <f>IFERROR(__xludf.DUMMYFUNCTION("""COMPUTED_VALUE"""),619155.0)</f>
        <v>619155</v>
      </c>
      <c r="I1616" s="144"/>
      <c r="J1616" s="129">
        <f>IFERROR(__xludf.DUMMYFUNCTION("""COMPUTED_VALUE"""),43812.0)</f>
        <v>43812</v>
      </c>
      <c r="K1616" s="133">
        <f>IFERROR(__xludf.DUMMYFUNCTION("""COMPUTED_VALUE"""),57.0)</f>
        <v>57</v>
      </c>
      <c r="L1616" s="133">
        <f>IFERROR(__xludf.DUMMYFUNCTION("""COMPUTED_VALUE"""),0.0)</f>
        <v>0</v>
      </c>
      <c r="M1616" s="133">
        <f>IFERROR(__xludf.DUMMYFUNCTION("""COMPUTED_VALUE"""),57.0)</f>
        <v>57</v>
      </c>
      <c r="N1616" s="152" t="str">
        <f>IFERROR(__xludf.DUMMYFUNCTION("""COMPUTED_VALUE"""),"Model 3 LR AWD")</f>
        <v>Model 3 LR AWD</v>
      </c>
      <c r="O1616" s="152" t="str">
        <f>IFERROR(__xludf.DUMMYFUNCTION("""COMPUTED_VALUE"""),"Pearl White Multi-Coat")</f>
        <v>Pearl White Multi-Coat</v>
      </c>
      <c r="P1616" s="153" t="str">
        <f>IFERROR(__xludf.DUMMYFUNCTION("""COMPUTED_VALUE"""),"18 inch Aero")</f>
        <v>18 inch Aero</v>
      </c>
      <c r="Q1616" s="152" t="str">
        <f>IFERROR(__xludf.DUMMYFUNCTION("""COMPUTED_VALUE"""),"Black seats")</f>
        <v>Black seats</v>
      </c>
      <c r="R1616" s="149" t="str">
        <f>IFERROR(__xludf.DUMMYFUNCTION("""COMPUTED_VALUE"""),"Full Self-Driving")</f>
        <v>Full Self-Driving</v>
      </c>
      <c r="S1616" s="149"/>
      <c r="T1616" s="145"/>
      <c r="U1616" s="145"/>
      <c r="V1616" s="145"/>
      <c r="W1616" s="136"/>
      <c r="X1616" s="137" t="str">
        <f>IFERROR(__xludf.DUMMYFUNCTION("""COMPUTED_VALUE"""),"Fair")</f>
        <v>Fair</v>
      </c>
      <c r="Y1616" s="138" t="str">
        <f>IFERROR(__xludf.DUMMYFUNCTION("""COMPUTED_VALUE"""),"Good")</f>
        <v>Good</v>
      </c>
      <c r="Z1616" s="138" t="str">
        <f>IFERROR(__xludf.DUMMYFUNCTION("""COMPUTED_VALUE"""),"Excellent")</f>
        <v>Excellent</v>
      </c>
      <c r="AA1616" s="138" t="str">
        <f>IFERROR(__xludf.DUMMYFUNCTION("""COMPUTED_VALUE"""),"Excellent")</f>
        <v>Excellent</v>
      </c>
      <c r="AB1616" s="138" t="str">
        <f>IFERROR(__xludf.DUMMYFUNCTION("""COMPUTED_VALUE"""),"Excellent")</f>
        <v>Excellent</v>
      </c>
      <c r="AC1616" s="139">
        <f>IFERROR(__xludf.DUMMYFUNCTION("""COMPUTED_VALUE"""),0.0)</f>
        <v>0</v>
      </c>
      <c r="AD1616" s="139">
        <f>IFERROR(__xludf.DUMMYFUNCTION("""COMPUTED_VALUE"""),0.0)</f>
        <v>0</v>
      </c>
      <c r="AE1616" s="139"/>
      <c r="AF1616" s="140"/>
      <c r="AG1616" s="136" t="str">
        <f>IFERROR(__xludf.DUMMYFUNCTION("""COMPUTED_VALUE"""),"Found VIN in source code the morning of 12/13/2019. MVPA is avaliable to download from Tesla account. The CU wired the funding 1 hour after sending the MVPA and received the phone call form Tesla on 4:30 PM saying the car is finished production. I request"&amp;" to pick up the car immediately at Fremont and got approved. 6:30 pm got the car.")</f>
        <v>Found VIN in source code the morning of 12/13/2019. MVPA is avaliable to download from Tesla account. The CU wired the funding 1 hour after sending the MVPA and received the phone call form Tesla on 4:30 PM saying the car is finished production. I request to pick up the car immediately at Fremont and got approved. 6:30 pm got the car.</v>
      </c>
      <c r="AH1616" s="157">
        <f>IFERROR(__xludf.DUMMYFUNCTION("""COMPUTED_VALUE"""),43816.675968668984)</f>
        <v>43816.67597</v>
      </c>
      <c r="AI1616" s="138"/>
      <c r="AJ1616" s="138"/>
      <c r="AK1616" s="138"/>
      <c r="AL1616" s="142"/>
    </row>
    <row r="1617" ht="20.25" customHeight="1">
      <c r="A1617" s="155" t="str">
        <f>IFERROR(__xludf.DUMMYFUNCTION("""COMPUTED_VALUE"""),"IAmFleX")</f>
        <v>IAmFleX</v>
      </c>
      <c r="B1617" s="149" t="str">
        <f>IFERROR(__xludf.DUMMYFUNCTION("""COMPUTED_VALUE"""),"Raleigh")</f>
        <v>Raleigh</v>
      </c>
      <c r="C1617" s="149" t="str">
        <f>IFERROR(__xludf.DUMMYFUNCTION("""COMPUTED_VALUE"""),"NC")</f>
        <v>NC</v>
      </c>
      <c r="D1617" s="149" t="str">
        <f>IFERROR(__xludf.DUMMYFUNCTION("""COMPUTED_VALUE"""),"USA")</f>
        <v>USA</v>
      </c>
      <c r="E1617" s="156">
        <f>IFERROR(__xludf.DUMMYFUNCTION("""COMPUTED_VALUE"""),43755.0)</f>
        <v>43755</v>
      </c>
      <c r="F1617" s="129">
        <f>IFERROR(__xludf.DUMMYFUNCTION("""COMPUTED_VALUE"""),43767.0)</f>
        <v>43767</v>
      </c>
      <c r="G1617" s="154"/>
      <c r="H1617" s="131">
        <f>IFERROR(__xludf.DUMMYFUNCTION("""COMPUTED_VALUE"""),512265.0)</f>
        <v>512265</v>
      </c>
      <c r="I1617" s="144"/>
      <c r="J1617" s="129">
        <f>IFERROR(__xludf.DUMMYFUNCTION("""COMPUTED_VALUE"""),43778.0)</f>
        <v>43778</v>
      </c>
      <c r="K1617" s="133">
        <f>IFERROR(__xludf.DUMMYFUNCTION("""COMPUTED_VALUE"""),12.0)</f>
        <v>12</v>
      </c>
      <c r="L1617" s="133">
        <f>IFERROR(__xludf.DUMMYFUNCTION("""COMPUTED_VALUE"""),11.0)</f>
        <v>11</v>
      </c>
      <c r="M1617" s="133">
        <f>IFERROR(__xludf.DUMMYFUNCTION("""COMPUTED_VALUE"""),23.0)</f>
        <v>23</v>
      </c>
      <c r="N1617" s="152" t="str">
        <f>IFERROR(__xludf.DUMMYFUNCTION("""COMPUTED_VALUE"""),"Model 3 LR AWD")</f>
        <v>Model 3 LR AWD</v>
      </c>
      <c r="O1617" s="152" t="str">
        <f>IFERROR(__xludf.DUMMYFUNCTION("""COMPUTED_VALUE"""),"Pearl White Multi-Coat")</f>
        <v>Pearl White Multi-Coat</v>
      </c>
      <c r="P1617" s="153" t="str">
        <f>IFERROR(__xludf.DUMMYFUNCTION("""COMPUTED_VALUE"""),"19 inch Sport")</f>
        <v>19 inch Sport</v>
      </c>
      <c r="Q1617" s="152" t="str">
        <f>IFERROR(__xludf.DUMMYFUNCTION("""COMPUTED_VALUE"""),"Black seats")</f>
        <v>Black seats</v>
      </c>
      <c r="R1617" s="149" t="str">
        <f>IFERROR(__xludf.DUMMYFUNCTION("""COMPUTED_VALUE"""),"Autopilot")</f>
        <v>Autopilot</v>
      </c>
      <c r="S1617" s="149"/>
      <c r="T1617" s="145"/>
      <c r="U1617" s="145"/>
      <c r="V1617" s="145"/>
      <c r="W1617" s="136"/>
      <c r="X1617" s="137" t="str">
        <f>IFERROR(__xludf.DUMMYFUNCTION("""COMPUTED_VALUE"""),"Excellent")</f>
        <v>Excellent</v>
      </c>
      <c r="Y1617" s="138" t="str">
        <f>IFERROR(__xludf.DUMMYFUNCTION("""COMPUTED_VALUE"""),"Excellent")</f>
        <v>Excellent</v>
      </c>
      <c r="Z1617" s="138" t="str">
        <f>IFERROR(__xludf.DUMMYFUNCTION("""COMPUTED_VALUE"""),"Excellent")</f>
        <v>Excellent</v>
      </c>
      <c r="AA1617" s="138" t="str">
        <f>IFERROR(__xludf.DUMMYFUNCTION("""COMPUTED_VALUE"""),"Good")</f>
        <v>Good</v>
      </c>
      <c r="AB1617" s="138" t="str">
        <f>IFERROR(__xludf.DUMMYFUNCTION("""COMPUTED_VALUE"""),"Very Good")</f>
        <v>Very Good</v>
      </c>
      <c r="AC1617" s="139"/>
      <c r="AD1617" s="139"/>
      <c r="AE1617" s="139"/>
      <c r="AF1617" s="140"/>
      <c r="AG1617" s="136" t="str">
        <f>IFERROR(__xludf.DUMMYFUNCTION("""COMPUTED_VALUE"""),"Found VIN in source code. Delivery date changed car stuck in transit")</f>
        <v>Found VIN in source code. Delivery date changed car stuck in transit</v>
      </c>
      <c r="AH1617" s="157">
        <f>IFERROR(__xludf.DUMMYFUNCTION("""COMPUTED_VALUE"""),43780.24995582176)</f>
        <v>43780.24996</v>
      </c>
      <c r="AI1617" s="138"/>
      <c r="AJ1617" s="138"/>
      <c r="AK1617" s="138"/>
      <c r="AL1617" s="142"/>
    </row>
    <row r="1618" ht="20.25" customHeight="1">
      <c r="A1618" s="155" t="str">
        <f>IFERROR(__xludf.DUMMYFUNCTION("""COMPUTED_VALUE"""),"Jes2885")</f>
        <v>Jes2885</v>
      </c>
      <c r="B1618" s="149" t="str">
        <f>IFERROR(__xludf.DUMMYFUNCTION("""COMPUTED_VALUE"""),"Raleigh")</f>
        <v>Raleigh</v>
      </c>
      <c r="C1618" s="149" t="str">
        <f>IFERROR(__xludf.DUMMYFUNCTION("""COMPUTED_VALUE"""),"NC")</f>
        <v>NC</v>
      </c>
      <c r="D1618" s="149" t="str">
        <f>IFERROR(__xludf.DUMMYFUNCTION("""COMPUTED_VALUE"""),"USA")</f>
        <v>USA</v>
      </c>
      <c r="E1618" s="156">
        <f>IFERROR(__xludf.DUMMYFUNCTION("""COMPUTED_VALUE"""),43755.0)</f>
        <v>43755</v>
      </c>
      <c r="F1618" s="129">
        <f>IFERROR(__xludf.DUMMYFUNCTION("""COMPUTED_VALUE"""),43767.0)</f>
        <v>43767</v>
      </c>
      <c r="G1618" s="154"/>
      <c r="H1618" s="131">
        <f>IFERROR(__xludf.DUMMYFUNCTION("""COMPUTED_VALUE"""),539992.0)</f>
        <v>539992</v>
      </c>
      <c r="I1618" s="144"/>
      <c r="J1618" s="129">
        <f>IFERROR(__xludf.DUMMYFUNCTION("""COMPUTED_VALUE"""),43771.0)</f>
        <v>43771</v>
      </c>
      <c r="K1618" s="133">
        <f>IFERROR(__xludf.DUMMYFUNCTION("""COMPUTED_VALUE"""),12.0)</f>
        <v>12</v>
      </c>
      <c r="L1618" s="133">
        <f>IFERROR(__xludf.DUMMYFUNCTION("""COMPUTED_VALUE"""),4.0)</f>
        <v>4</v>
      </c>
      <c r="M1618" s="133">
        <f>IFERROR(__xludf.DUMMYFUNCTION("""COMPUTED_VALUE"""),16.0)</f>
        <v>16</v>
      </c>
      <c r="N1618" s="152" t="str">
        <f>IFERROR(__xludf.DUMMYFUNCTION("""COMPUTED_VALUE"""),"Model 3 LR AWD")</f>
        <v>Model 3 LR AWD</v>
      </c>
      <c r="O1618" s="152" t="str">
        <f>IFERROR(__xludf.DUMMYFUNCTION("""COMPUTED_VALUE"""),"Deep Blue Metallic")</f>
        <v>Deep Blue Metallic</v>
      </c>
      <c r="P1618" s="153" t="str">
        <f>IFERROR(__xludf.DUMMYFUNCTION("""COMPUTED_VALUE"""),"19 inch Sport")</f>
        <v>19 inch Sport</v>
      </c>
      <c r="Q1618" s="152" t="str">
        <f>IFERROR(__xludf.DUMMYFUNCTION("""COMPUTED_VALUE"""),"White seats")</f>
        <v>White seats</v>
      </c>
      <c r="R1618" s="149" t="str">
        <f>IFERROR(__xludf.DUMMYFUNCTION("""COMPUTED_VALUE"""),"Autopilot")</f>
        <v>Autopilot</v>
      </c>
      <c r="S1618" s="149"/>
      <c r="T1618" s="145"/>
      <c r="U1618" s="145"/>
      <c r="V1618" s="145"/>
      <c r="W1618" s="136"/>
      <c r="X1618" s="137" t="str">
        <f>IFERROR(__xludf.DUMMYFUNCTION("""COMPUTED_VALUE"""),"Very Good")</f>
        <v>Very Good</v>
      </c>
      <c r="Y1618" s="138" t="str">
        <f>IFERROR(__xludf.DUMMYFUNCTION("""COMPUTED_VALUE"""),"Very Good")</f>
        <v>Very Good</v>
      </c>
      <c r="Z1618" s="138" t="str">
        <f>IFERROR(__xludf.DUMMYFUNCTION("""COMPUTED_VALUE"""),"Excellent")</f>
        <v>Excellent</v>
      </c>
      <c r="AA1618" s="138" t="str">
        <f>IFERROR(__xludf.DUMMYFUNCTION("""COMPUTED_VALUE"""),"Good")</f>
        <v>Good</v>
      </c>
      <c r="AB1618" s="138" t="str">
        <f>IFERROR(__xludf.DUMMYFUNCTION("""COMPUTED_VALUE"""),"Excellent")</f>
        <v>Excellent</v>
      </c>
      <c r="AC1618" s="139">
        <f>IFERROR(__xludf.DUMMYFUNCTION("""COMPUTED_VALUE"""),0.0)</f>
        <v>0</v>
      </c>
      <c r="AD1618" s="139">
        <f>IFERROR(__xludf.DUMMYFUNCTION("""COMPUTED_VALUE"""),0.0)</f>
        <v>0</v>
      </c>
      <c r="AE1618" s="139">
        <f>IFERROR(__xludf.DUMMYFUNCTION("""COMPUTED_VALUE"""),0.0)</f>
        <v>0</v>
      </c>
      <c r="AF1618" s="140"/>
      <c r="AG1618" s="136" t="str">
        <f>IFERROR(__xludf.DUMMYFUNCTION("""COMPUTED_VALUE"""),"VIN in Source Code 10/29; delivery confirmation same day")</f>
        <v>VIN in Source Code 10/29; delivery confirmation same day</v>
      </c>
      <c r="AH1618" s="157">
        <f>IFERROR(__xludf.DUMMYFUNCTION("""COMPUTED_VALUE"""),43802.23903320602)</f>
        <v>43802.23903</v>
      </c>
      <c r="AI1618" s="138"/>
      <c r="AJ1618" s="138"/>
      <c r="AK1618" s="138"/>
      <c r="AL1618" s="142"/>
    </row>
    <row r="1619" ht="20.25" customHeight="1">
      <c r="A1619" s="155" t="str">
        <f>IFERROR(__xludf.DUMMYFUNCTION("""COMPUTED_VALUE"""),"mattdf23")</f>
        <v>mattdf23</v>
      </c>
      <c r="B1619" s="149" t="str">
        <f>IFERROR(__xludf.DUMMYFUNCTION("""COMPUTED_VALUE"""),"Houston")</f>
        <v>Houston</v>
      </c>
      <c r="C1619" s="149" t="str">
        <f>IFERROR(__xludf.DUMMYFUNCTION("""COMPUTED_VALUE"""),"TX")</f>
        <v>TX</v>
      </c>
      <c r="D1619" s="149" t="str">
        <f>IFERROR(__xludf.DUMMYFUNCTION("""COMPUTED_VALUE"""),"USA")</f>
        <v>USA</v>
      </c>
      <c r="E1619" s="156">
        <f>IFERROR(__xludf.DUMMYFUNCTION("""COMPUTED_VALUE"""),43755.0)</f>
        <v>43755</v>
      </c>
      <c r="F1619" s="129">
        <f>IFERROR(__xludf.DUMMYFUNCTION("""COMPUTED_VALUE"""),43770.0)</f>
        <v>43770</v>
      </c>
      <c r="G1619" s="154"/>
      <c r="H1619" s="131">
        <f>IFERROR(__xludf.DUMMYFUNCTION("""COMPUTED_VALUE"""),477503.0)</f>
        <v>477503</v>
      </c>
      <c r="I1619" s="144" t="str">
        <f>IFERROR(__xludf.DUMMYFUNCTION("""COMPUTED_VALUE"""),"09/19")</f>
        <v>09/19</v>
      </c>
      <c r="J1619" s="129">
        <f>IFERROR(__xludf.DUMMYFUNCTION("""COMPUTED_VALUE"""),43784.0)</f>
        <v>43784</v>
      </c>
      <c r="K1619" s="133">
        <f>IFERROR(__xludf.DUMMYFUNCTION("""COMPUTED_VALUE"""),15.0)</f>
        <v>15</v>
      </c>
      <c r="L1619" s="133">
        <f>IFERROR(__xludf.DUMMYFUNCTION("""COMPUTED_VALUE"""),14.0)</f>
        <v>14</v>
      </c>
      <c r="M1619" s="133">
        <f>IFERROR(__xludf.DUMMYFUNCTION("""COMPUTED_VALUE"""),29.0)</f>
        <v>29</v>
      </c>
      <c r="N1619" s="152" t="str">
        <f>IFERROR(__xludf.DUMMYFUNCTION("""COMPUTED_VALUE"""),"Model 3 LR AWD")</f>
        <v>Model 3 LR AWD</v>
      </c>
      <c r="O1619" s="152" t="str">
        <f>IFERROR(__xludf.DUMMYFUNCTION("""COMPUTED_VALUE"""),"Deep Blue Metallic")</f>
        <v>Deep Blue Metallic</v>
      </c>
      <c r="P1619" s="153" t="str">
        <f>IFERROR(__xludf.DUMMYFUNCTION("""COMPUTED_VALUE"""),"18 inch Aero")</f>
        <v>18 inch Aero</v>
      </c>
      <c r="Q1619" s="152" t="str">
        <f>IFERROR(__xludf.DUMMYFUNCTION("""COMPUTED_VALUE"""),"White seats")</f>
        <v>White seats</v>
      </c>
      <c r="R1619" s="149" t="str">
        <f>IFERROR(__xludf.DUMMYFUNCTION("""COMPUTED_VALUE"""),"Full Self-Driving")</f>
        <v>Full Self-Driving</v>
      </c>
      <c r="S1619" s="149"/>
      <c r="T1619" s="145"/>
      <c r="U1619" s="145"/>
      <c r="V1619" s="145"/>
      <c r="W1619" s="136"/>
      <c r="X1619" s="137" t="str">
        <f>IFERROR(__xludf.DUMMYFUNCTION("""COMPUTED_VALUE"""),"Excellent")</f>
        <v>Excellent</v>
      </c>
      <c r="Y1619" s="138" t="str">
        <f>IFERROR(__xludf.DUMMYFUNCTION("""COMPUTED_VALUE"""),"Excellent")</f>
        <v>Excellent</v>
      </c>
      <c r="Z1619" s="138" t="str">
        <f>IFERROR(__xludf.DUMMYFUNCTION("""COMPUTED_VALUE"""),"Excellent")</f>
        <v>Excellent</v>
      </c>
      <c r="AA1619" s="138" t="str">
        <f>IFERROR(__xludf.DUMMYFUNCTION("""COMPUTED_VALUE"""),"Good")</f>
        <v>Good</v>
      </c>
      <c r="AB1619" s="138" t="str">
        <f>IFERROR(__xludf.DUMMYFUNCTION("""COMPUTED_VALUE"""),"Very Good")</f>
        <v>Very Good</v>
      </c>
      <c r="AC1619" s="139"/>
      <c r="AD1619" s="139"/>
      <c r="AE1619" s="139"/>
      <c r="AF1619" s="140"/>
      <c r="AG1619" s="136"/>
      <c r="AH1619" s="157">
        <f>IFERROR(__xludf.DUMMYFUNCTION("""COMPUTED_VALUE"""),43788.45900596065)</f>
        <v>43788.45901</v>
      </c>
      <c r="AI1619" s="138"/>
      <c r="AJ1619" s="138"/>
      <c r="AK1619" s="138"/>
      <c r="AL1619" s="142"/>
    </row>
    <row r="1620" ht="20.25" customHeight="1">
      <c r="A1620" s="155" t="str">
        <f>IFERROR(__xludf.DUMMYFUNCTION("""COMPUTED_VALUE"""),"MIAM3")</f>
        <v>MIAM3</v>
      </c>
      <c r="B1620" s="149" t="str">
        <f>IFERROR(__xludf.DUMMYFUNCTION("""COMPUTED_VALUE"""),"Miami")</f>
        <v>Miami</v>
      </c>
      <c r="C1620" s="149" t="str">
        <f>IFERROR(__xludf.DUMMYFUNCTION("""COMPUTED_VALUE"""),"FL")</f>
        <v>FL</v>
      </c>
      <c r="D1620" s="149" t="str">
        <f>IFERROR(__xludf.DUMMYFUNCTION("""COMPUTED_VALUE"""),"USA")</f>
        <v>USA</v>
      </c>
      <c r="E1620" s="156">
        <f>IFERROR(__xludf.DUMMYFUNCTION("""COMPUTED_VALUE"""),43755.0)</f>
        <v>43755</v>
      </c>
      <c r="F1620" s="129">
        <f>IFERROR(__xludf.DUMMYFUNCTION("""COMPUTED_VALUE"""),43773.0)</f>
        <v>43773</v>
      </c>
      <c r="G1620" s="154"/>
      <c r="H1620" s="131">
        <f>IFERROR(__xludf.DUMMYFUNCTION("""COMPUTED_VALUE"""),589229.0)</f>
        <v>589229</v>
      </c>
      <c r="I1620" s="144"/>
      <c r="J1620" s="129">
        <f>IFERROR(__xludf.DUMMYFUNCTION("""COMPUTED_VALUE"""),43785.0)</f>
        <v>43785</v>
      </c>
      <c r="K1620" s="133">
        <f>IFERROR(__xludf.DUMMYFUNCTION("""COMPUTED_VALUE"""),18.0)</f>
        <v>18</v>
      </c>
      <c r="L1620" s="133">
        <f>IFERROR(__xludf.DUMMYFUNCTION("""COMPUTED_VALUE"""),12.0)</f>
        <v>12</v>
      </c>
      <c r="M1620" s="133">
        <f>IFERROR(__xludf.DUMMYFUNCTION("""COMPUTED_VALUE"""),30.0)</f>
        <v>30</v>
      </c>
      <c r="N1620" s="152" t="str">
        <f>IFERROR(__xludf.DUMMYFUNCTION("""COMPUTED_VALUE"""),"Model 3 LR AWD")</f>
        <v>Model 3 LR AWD</v>
      </c>
      <c r="O1620" s="152" t="str">
        <f>IFERROR(__xludf.DUMMYFUNCTION("""COMPUTED_VALUE"""),"Pearl White Multi-Coat")</f>
        <v>Pearl White Multi-Coat</v>
      </c>
      <c r="P1620" s="153" t="str">
        <f>IFERROR(__xludf.DUMMYFUNCTION("""COMPUTED_VALUE"""),"18 inch Aero")</f>
        <v>18 inch Aero</v>
      </c>
      <c r="Q1620" s="152" t="str">
        <f>IFERROR(__xludf.DUMMYFUNCTION("""COMPUTED_VALUE"""),"Black seats")</f>
        <v>Black seats</v>
      </c>
      <c r="R1620" s="149" t="str">
        <f>IFERROR(__xludf.DUMMYFUNCTION("""COMPUTED_VALUE"""),"Full Self-Driving")</f>
        <v>Full Self-Driving</v>
      </c>
      <c r="S1620" s="149"/>
      <c r="T1620" s="145"/>
      <c r="U1620" s="145"/>
      <c r="V1620" s="145"/>
      <c r="W1620" s="136"/>
      <c r="X1620" s="137" t="str">
        <f>IFERROR(__xludf.DUMMYFUNCTION("""COMPUTED_VALUE"""),"Excellent")</f>
        <v>Excellent</v>
      </c>
      <c r="Y1620" s="138" t="str">
        <f>IFERROR(__xludf.DUMMYFUNCTION("""COMPUTED_VALUE"""),"Excellent")</f>
        <v>Excellent</v>
      </c>
      <c r="Z1620" s="138" t="str">
        <f>IFERROR(__xludf.DUMMYFUNCTION("""COMPUTED_VALUE"""),"Excellent")</f>
        <v>Excellent</v>
      </c>
      <c r="AA1620" s="138" t="str">
        <f>IFERROR(__xludf.DUMMYFUNCTION("""COMPUTED_VALUE"""),"Excellent")</f>
        <v>Excellent</v>
      </c>
      <c r="AB1620" s="138" t="str">
        <f>IFERROR(__xludf.DUMMYFUNCTION("""COMPUTED_VALUE"""),"Excellent")</f>
        <v>Excellent</v>
      </c>
      <c r="AC1620" s="139">
        <f>IFERROR(__xludf.DUMMYFUNCTION("""COMPUTED_VALUE"""),1.0)</f>
        <v>1</v>
      </c>
      <c r="AD1620" s="139"/>
      <c r="AE1620" s="139">
        <f>IFERROR(__xludf.DUMMYFUNCTION("""COMPUTED_VALUE"""),1.0)</f>
        <v>1</v>
      </c>
      <c r="AF1620" s="140"/>
      <c r="AG1620" s="136" t="str">
        <f>IFERROR(__xludf.DUMMYFUNCTION("""COMPUTED_VALUE"""),"Rear heat stack dead on arrival to local service center before delivery")</f>
        <v>Rear heat stack dead on arrival to local service center before delivery</v>
      </c>
      <c r="AH1620" s="157">
        <f>IFERROR(__xludf.DUMMYFUNCTION("""COMPUTED_VALUE"""),43785.595941099535)</f>
        <v>43785.59594</v>
      </c>
      <c r="AI1620" s="138"/>
      <c r="AJ1620" s="138"/>
      <c r="AK1620" s="138"/>
      <c r="AL1620" s="142"/>
    </row>
    <row r="1621" ht="20.25" customHeight="1">
      <c r="A1621" s="155" t="str">
        <f>IFERROR(__xludf.DUMMYFUNCTION("""COMPUTED_VALUE"""),"MonkeyC")</f>
        <v>MonkeyC</v>
      </c>
      <c r="B1621" s="149" t="str">
        <f>IFERROR(__xludf.DUMMYFUNCTION("""COMPUTED_VALUE"""),"Colonie")</f>
        <v>Colonie</v>
      </c>
      <c r="C1621" s="149" t="str">
        <f>IFERROR(__xludf.DUMMYFUNCTION("""COMPUTED_VALUE"""),"NY")</f>
        <v>NY</v>
      </c>
      <c r="D1621" s="149" t="str">
        <f>IFERROR(__xludf.DUMMYFUNCTION("""COMPUTED_VALUE"""),"USA")</f>
        <v>USA</v>
      </c>
      <c r="E1621" s="156">
        <f>IFERROR(__xludf.DUMMYFUNCTION("""COMPUTED_VALUE"""),43755.0)</f>
        <v>43755</v>
      </c>
      <c r="F1621" s="129">
        <f>IFERROR(__xludf.DUMMYFUNCTION("""COMPUTED_VALUE"""),43795.0)</f>
        <v>43795</v>
      </c>
      <c r="G1621" s="154"/>
      <c r="H1621" s="131">
        <f>IFERROR(__xludf.DUMMYFUNCTION("""COMPUTED_VALUE"""),617134.0)</f>
        <v>617134</v>
      </c>
      <c r="I1621" s="144" t="str">
        <f>IFERROR(__xludf.DUMMYFUNCTION("""COMPUTED_VALUE"""),"11/19")</f>
        <v>11/19</v>
      </c>
      <c r="J1621" s="129">
        <f>IFERROR(__xludf.DUMMYFUNCTION("""COMPUTED_VALUE"""),43811.0)</f>
        <v>43811</v>
      </c>
      <c r="K1621" s="133">
        <f>IFERROR(__xludf.DUMMYFUNCTION("""COMPUTED_VALUE"""),40.0)</f>
        <v>40</v>
      </c>
      <c r="L1621" s="133">
        <f>IFERROR(__xludf.DUMMYFUNCTION("""COMPUTED_VALUE"""),16.0)</f>
        <v>16</v>
      </c>
      <c r="M1621" s="133">
        <f>IFERROR(__xludf.DUMMYFUNCTION("""COMPUTED_VALUE"""),56.0)</f>
        <v>56</v>
      </c>
      <c r="N1621" s="152" t="str">
        <f>IFERROR(__xludf.DUMMYFUNCTION("""COMPUTED_VALUE"""),"Model 3 LR AWD")</f>
        <v>Model 3 LR AWD</v>
      </c>
      <c r="O1621" s="152" t="str">
        <f>IFERROR(__xludf.DUMMYFUNCTION("""COMPUTED_VALUE"""),"Deep Blue Metallic")</f>
        <v>Deep Blue Metallic</v>
      </c>
      <c r="P1621" s="153" t="str">
        <f>IFERROR(__xludf.DUMMYFUNCTION("""COMPUTED_VALUE"""),"18 inch Aero")</f>
        <v>18 inch Aero</v>
      </c>
      <c r="Q1621" s="152" t="str">
        <f>IFERROR(__xludf.DUMMYFUNCTION("""COMPUTED_VALUE"""),"Black seats")</f>
        <v>Black seats</v>
      </c>
      <c r="R1621" s="149" t="str">
        <f>IFERROR(__xludf.DUMMYFUNCTION("""COMPUTED_VALUE"""),"Full Self-Driving")</f>
        <v>Full Self-Driving</v>
      </c>
      <c r="S1621" s="149"/>
      <c r="T1621" s="145"/>
      <c r="U1621" s="145"/>
      <c r="V1621" s="145"/>
      <c r="W1621" s="136"/>
      <c r="X1621" s="137" t="str">
        <f>IFERROR(__xludf.DUMMYFUNCTION("""COMPUTED_VALUE"""),"Excellent")</f>
        <v>Excellent</v>
      </c>
      <c r="Y1621" s="138" t="str">
        <f>IFERROR(__xludf.DUMMYFUNCTION("""COMPUTED_VALUE"""),"Excellent")</f>
        <v>Excellent</v>
      </c>
      <c r="Z1621" s="138" t="str">
        <f>IFERROR(__xludf.DUMMYFUNCTION("""COMPUTED_VALUE"""),"Excellent")</f>
        <v>Excellent</v>
      </c>
      <c r="AA1621" s="138" t="str">
        <f>IFERROR(__xludf.DUMMYFUNCTION("""COMPUTED_VALUE"""),"Poor")</f>
        <v>Poor</v>
      </c>
      <c r="AB1621" s="138" t="str">
        <f>IFERROR(__xludf.DUMMYFUNCTION("""COMPUTED_VALUE"""),"Good")</f>
        <v>Good</v>
      </c>
      <c r="AC1621" s="139">
        <f>IFERROR(__xludf.DUMMYFUNCTION("""COMPUTED_VALUE"""),5.0)</f>
        <v>5</v>
      </c>
      <c r="AD1621" s="139">
        <f>IFERROR(__xludf.DUMMYFUNCTION("""COMPUTED_VALUE"""),2.0)</f>
        <v>2</v>
      </c>
      <c r="AE1621" s="139">
        <f>IFERROR(__xludf.DUMMYFUNCTION("""COMPUTED_VALUE"""),1.0)</f>
        <v>1</v>
      </c>
      <c r="AF1621" s="140"/>
      <c r="AG1621" s="136"/>
      <c r="AH1621" s="157">
        <f>IFERROR(__xludf.DUMMYFUNCTION("""COMPUTED_VALUE"""),43850.324937314814)</f>
        <v>43850.32494</v>
      </c>
      <c r="AI1621" s="138"/>
      <c r="AJ1621" s="138"/>
      <c r="AK1621" s="138"/>
      <c r="AL1621" s="142"/>
    </row>
    <row r="1622" ht="20.25" customHeight="1">
      <c r="A1622" s="155" t="str">
        <f>IFERROR(__xludf.DUMMYFUNCTION("""COMPUTED_VALUE"""),"nathanm")</f>
        <v>nathanm</v>
      </c>
      <c r="B1622" s="149" t="str">
        <f>IFERROR(__xludf.DUMMYFUNCTION("""COMPUTED_VALUE"""),"Irvine")</f>
        <v>Irvine</v>
      </c>
      <c r="C1622" s="149" t="str">
        <f>IFERROR(__xludf.DUMMYFUNCTION("""COMPUTED_VALUE"""),"CA")</f>
        <v>CA</v>
      </c>
      <c r="D1622" s="149" t="str">
        <f>IFERROR(__xludf.DUMMYFUNCTION("""COMPUTED_VALUE"""),"USA")</f>
        <v>USA</v>
      </c>
      <c r="E1622" s="156">
        <f>IFERROR(__xludf.DUMMYFUNCTION("""COMPUTED_VALUE"""),43755.0)</f>
        <v>43755</v>
      </c>
      <c r="F1622" s="129">
        <f>IFERROR(__xludf.DUMMYFUNCTION("""COMPUTED_VALUE"""),43808.0)</f>
        <v>43808</v>
      </c>
      <c r="G1622" s="154"/>
      <c r="H1622" s="131">
        <f>IFERROR(__xludf.DUMMYFUNCTION("""COMPUTED_VALUE"""),611255.0)</f>
        <v>611255</v>
      </c>
      <c r="I1622" s="144" t="str">
        <f>IFERROR(__xludf.DUMMYFUNCTION("""COMPUTED_VALUE"""),"11/19")</f>
        <v>11/19</v>
      </c>
      <c r="J1622" s="129">
        <f>IFERROR(__xludf.DUMMYFUNCTION("""COMPUTED_VALUE"""),43816.0)</f>
        <v>43816</v>
      </c>
      <c r="K1622" s="133">
        <f>IFERROR(__xludf.DUMMYFUNCTION("""COMPUTED_VALUE"""),53.0)</f>
        <v>53</v>
      </c>
      <c r="L1622" s="133">
        <f>IFERROR(__xludf.DUMMYFUNCTION("""COMPUTED_VALUE"""),8.0)</f>
        <v>8</v>
      </c>
      <c r="M1622" s="133">
        <f>IFERROR(__xludf.DUMMYFUNCTION("""COMPUTED_VALUE"""),61.0)</f>
        <v>61</v>
      </c>
      <c r="N1622" s="152" t="str">
        <f>IFERROR(__xludf.DUMMYFUNCTION("""COMPUTED_VALUE"""),"Model 3 SR+")</f>
        <v>Model 3 SR+</v>
      </c>
      <c r="O1622" s="152" t="str">
        <f>IFERROR(__xludf.DUMMYFUNCTION("""COMPUTED_VALUE"""),"Solid Black")</f>
        <v>Solid Black</v>
      </c>
      <c r="P1622" s="153" t="str">
        <f>IFERROR(__xludf.DUMMYFUNCTION("""COMPUTED_VALUE"""),"18 inch Aero")</f>
        <v>18 inch Aero</v>
      </c>
      <c r="Q1622" s="152" t="str">
        <f>IFERROR(__xludf.DUMMYFUNCTION("""COMPUTED_VALUE"""),"Black seats")</f>
        <v>Black seats</v>
      </c>
      <c r="R1622" s="149" t="str">
        <f>IFERROR(__xludf.DUMMYFUNCTION("""COMPUTED_VALUE"""),"Autopilot")</f>
        <v>Autopilot</v>
      </c>
      <c r="S1622" s="149"/>
      <c r="T1622" s="145"/>
      <c r="U1622" s="145"/>
      <c r="V1622" s="145"/>
      <c r="W1622" s="136"/>
      <c r="X1622" s="137" t="str">
        <f>IFERROR(__xludf.DUMMYFUNCTION("""COMPUTED_VALUE"""),"Excellent")</f>
        <v>Excellent</v>
      </c>
      <c r="Y1622" s="138" t="str">
        <f>IFERROR(__xludf.DUMMYFUNCTION("""COMPUTED_VALUE"""),"Excellent")</f>
        <v>Excellent</v>
      </c>
      <c r="Z1622" s="138" t="str">
        <f>IFERROR(__xludf.DUMMYFUNCTION("""COMPUTED_VALUE"""),"Very Good")</f>
        <v>Very Good</v>
      </c>
      <c r="AA1622" s="138" t="str">
        <f>IFERROR(__xludf.DUMMYFUNCTION("""COMPUTED_VALUE"""),"Fair")</f>
        <v>Fair</v>
      </c>
      <c r="AB1622" s="138" t="str">
        <f>IFERROR(__xludf.DUMMYFUNCTION("""COMPUTED_VALUE"""),"Good")</f>
        <v>Good</v>
      </c>
      <c r="AC1622" s="139">
        <f>IFERROR(__xludf.DUMMYFUNCTION("""COMPUTED_VALUE"""),1.0)</f>
        <v>1</v>
      </c>
      <c r="AD1622" s="139"/>
      <c r="AE1622" s="139"/>
      <c r="AF1622" s="140"/>
      <c r="AG1622" s="136" t="str">
        <f>IFERROR(__xludf.DUMMYFUNCTION("""COMPUTED_VALUE"""),"Original delivery date 12/14. Delayed due to paint issues they needed to fix.")</f>
        <v>Original delivery date 12/14. Delayed due to paint issues they needed to fix.</v>
      </c>
      <c r="AH1622" s="157">
        <f>IFERROR(__xludf.DUMMYFUNCTION("""COMPUTED_VALUE"""),43816.9469184375)</f>
        <v>43816.94692</v>
      </c>
      <c r="AI1622" s="138"/>
      <c r="AJ1622" s="138"/>
      <c r="AK1622" s="138"/>
      <c r="AL1622" s="142"/>
    </row>
    <row r="1623" ht="20.25" customHeight="1">
      <c r="A1623" s="155" t="str">
        <f>IFERROR(__xludf.DUMMYFUNCTION("""COMPUTED_VALUE"""),"BradMBSC")</f>
        <v>BradMBSC</v>
      </c>
      <c r="B1623" s="149" t="str">
        <f>IFERROR(__xludf.DUMMYFUNCTION("""COMPUTED_VALUE"""),"Myrtle Beach")</f>
        <v>Myrtle Beach</v>
      </c>
      <c r="C1623" s="149" t="str">
        <f>IFERROR(__xludf.DUMMYFUNCTION("""COMPUTED_VALUE"""),"SC")</f>
        <v>SC</v>
      </c>
      <c r="D1623" s="149" t="str">
        <f>IFERROR(__xludf.DUMMYFUNCTION("""COMPUTED_VALUE"""),"USA")</f>
        <v>USA</v>
      </c>
      <c r="E1623" s="156">
        <f>IFERROR(__xludf.DUMMYFUNCTION("""COMPUTED_VALUE"""),43754.0)</f>
        <v>43754</v>
      </c>
      <c r="F1623" s="129">
        <f>IFERROR(__xludf.DUMMYFUNCTION("""COMPUTED_VALUE"""),43768.0)</f>
        <v>43768</v>
      </c>
      <c r="G1623" s="154"/>
      <c r="H1623" s="131">
        <f>IFERROR(__xludf.DUMMYFUNCTION("""COMPUTED_VALUE"""),535255.0)</f>
        <v>535255</v>
      </c>
      <c r="I1623" s="144"/>
      <c r="J1623" s="129">
        <f>IFERROR(__xludf.DUMMYFUNCTION("""COMPUTED_VALUE"""),43775.0)</f>
        <v>43775</v>
      </c>
      <c r="K1623" s="133">
        <f>IFERROR(__xludf.DUMMYFUNCTION("""COMPUTED_VALUE"""),14.0)</f>
        <v>14</v>
      </c>
      <c r="L1623" s="133">
        <f>IFERROR(__xludf.DUMMYFUNCTION("""COMPUTED_VALUE"""),7.0)</f>
        <v>7</v>
      </c>
      <c r="M1623" s="133">
        <f>IFERROR(__xludf.DUMMYFUNCTION("""COMPUTED_VALUE"""),21.0)</f>
        <v>21</v>
      </c>
      <c r="N1623" s="152" t="str">
        <f>IFERROR(__xludf.DUMMYFUNCTION("""COMPUTED_VALUE"""),"Model 3 LR AWD")</f>
        <v>Model 3 LR AWD</v>
      </c>
      <c r="O1623" s="152" t="str">
        <f>IFERROR(__xludf.DUMMYFUNCTION("""COMPUTED_VALUE"""),"Deep Blue Metallic")</f>
        <v>Deep Blue Metallic</v>
      </c>
      <c r="P1623" s="153" t="str">
        <f>IFERROR(__xludf.DUMMYFUNCTION("""COMPUTED_VALUE"""),"18 inch Aero")</f>
        <v>18 inch Aero</v>
      </c>
      <c r="Q1623" s="152" t="str">
        <f>IFERROR(__xludf.DUMMYFUNCTION("""COMPUTED_VALUE"""),"White seats")</f>
        <v>White seats</v>
      </c>
      <c r="R1623" s="149" t="str">
        <f>IFERROR(__xludf.DUMMYFUNCTION("""COMPUTED_VALUE"""),"Autopilot")</f>
        <v>Autopilot</v>
      </c>
      <c r="S1623" s="149"/>
      <c r="T1623" s="145"/>
      <c r="U1623" s="145"/>
      <c r="V1623" s="145"/>
      <c r="W1623" s="136"/>
      <c r="X1623" s="137" t="str">
        <f>IFERROR(__xludf.DUMMYFUNCTION("""COMPUTED_VALUE"""),"Excellent")</f>
        <v>Excellent</v>
      </c>
      <c r="Y1623" s="138" t="str">
        <f>IFERROR(__xludf.DUMMYFUNCTION("""COMPUTED_VALUE"""),"Excellent")</f>
        <v>Excellent</v>
      </c>
      <c r="Z1623" s="138" t="str">
        <f>IFERROR(__xludf.DUMMYFUNCTION("""COMPUTED_VALUE"""),"Excellent")</f>
        <v>Excellent</v>
      </c>
      <c r="AA1623" s="138" t="str">
        <f>IFERROR(__xludf.DUMMYFUNCTION("""COMPUTED_VALUE"""),"Excellent")</f>
        <v>Excellent</v>
      </c>
      <c r="AB1623" s="138" t="str">
        <f>IFERROR(__xludf.DUMMYFUNCTION("""COMPUTED_VALUE"""),"Excellent")</f>
        <v>Excellent</v>
      </c>
      <c r="AC1623" s="139"/>
      <c r="AD1623" s="139"/>
      <c r="AE1623" s="139"/>
      <c r="AF1623" s="140"/>
      <c r="AG1623" s="136" t="str">
        <f>IFERROR(__xludf.DUMMYFUNCTION("""COMPUTED_VALUE"""),"VIN on website Oct 31 (found in source code Oct 30).")</f>
        <v>VIN on website Oct 31 (found in source code Oct 30).</v>
      </c>
      <c r="AH1623" s="157">
        <f>IFERROR(__xludf.DUMMYFUNCTION("""COMPUTED_VALUE"""),43776.249738206025)</f>
        <v>43776.24974</v>
      </c>
      <c r="AI1623" s="138"/>
      <c r="AJ1623" s="138"/>
      <c r="AK1623" s="138"/>
      <c r="AL1623" s="142"/>
    </row>
    <row r="1624" ht="20.25" customHeight="1">
      <c r="A1624" s="155" t="str">
        <f>IFERROR(__xludf.DUMMYFUNCTION("""COMPUTED_VALUE"""),"chenango")</f>
        <v>chenango</v>
      </c>
      <c r="B1624" s="149" t="str">
        <f>IFERROR(__xludf.DUMMYFUNCTION("""COMPUTED_VALUE"""),"Raleigh")</f>
        <v>Raleigh</v>
      </c>
      <c r="C1624" s="149" t="str">
        <f>IFERROR(__xludf.DUMMYFUNCTION("""COMPUTED_VALUE"""),"NC")</f>
        <v>NC</v>
      </c>
      <c r="D1624" s="149" t="str">
        <f>IFERROR(__xludf.DUMMYFUNCTION("""COMPUTED_VALUE"""),"USA")</f>
        <v>USA</v>
      </c>
      <c r="E1624" s="156">
        <f>IFERROR(__xludf.DUMMYFUNCTION("""COMPUTED_VALUE"""),43754.0)</f>
        <v>43754</v>
      </c>
      <c r="F1624" s="129">
        <f>IFERROR(__xludf.DUMMYFUNCTION("""COMPUTED_VALUE"""),43787.0)</f>
        <v>43787</v>
      </c>
      <c r="G1624" s="154"/>
      <c r="H1624" s="131">
        <f>IFERROR(__xludf.DUMMYFUNCTION("""COMPUTED_VALUE"""),504636.0)</f>
        <v>504636</v>
      </c>
      <c r="I1624" s="144"/>
      <c r="J1624" s="129">
        <f>IFERROR(__xludf.DUMMYFUNCTION("""COMPUTED_VALUE"""),43804.0)</f>
        <v>43804</v>
      </c>
      <c r="K1624" s="133">
        <f>IFERROR(__xludf.DUMMYFUNCTION("""COMPUTED_VALUE"""),33.0)</f>
        <v>33</v>
      </c>
      <c r="L1624" s="133">
        <f>IFERROR(__xludf.DUMMYFUNCTION("""COMPUTED_VALUE"""),17.0)</f>
        <v>17</v>
      </c>
      <c r="M1624" s="133">
        <f>IFERROR(__xludf.DUMMYFUNCTION("""COMPUTED_VALUE"""),50.0)</f>
        <v>50</v>
      </c>
      <c r="N1624" s="152" t="str">
        <f>IFERROR(__xludf.DUMMYFUNCTION("""COMPUTED_VALUE"""),"Model 3 SR+")</f>
        <v>Model 3 SR+</v>
      </c>
      <c r="O1624" s="152" t="str">
        <f>IFERROR(__xludf.DUMMYFUNCTION("""COMPUTED_VALUE"""),"Pearl White Multi-Coat")</f>
        <v>Pearl White Multi-Coat</v>
      </c>
      <c r="P1624" s="153" t="str">
        <f>IFERROR(__xludf.DUMMYFUNCTION("""COMPUTED_VALUE"""),"18 inch Aero")</f>
        <v>18 inch Aero</v>
      </c>
      <c r="Q1624" s="152" t="str">
        <f>IFERROR(__xludf.DUMMYFUNCTION("""COMPUTED_VALUE"""),"Black seats")</f>
        <v>Black seats</v>
      </c>
      <c r="R1624" s="149" t="str">
        <f>IFERROR(__xludf.DUMMYFUNCTION("""COMPUTED_VALUE"""),"Autopilot")</f>
        <v>Autopilot</v>
      </c>
      <c r="S1624" s="149"/>
      <c r="T1624" s="145"/>
      <c r="U1624" s="145"/>
      <c r="V1624" s="145"/>
      <c r="W1624" s="136"/>
      <c r="X1624" s="137" t="str">
        <f>IFERROR(__xludf.DUMMYFUNCTION("""COMPUTED_VALUE"""),"Excellent")</f>
        <v>Excellent</v>
      </c>
      <c r="Y1624" s="138" t="str">
        <f>IFERROR(__xludf.DUMMYFUNCTION("""COMPUTED_VALUE"""),"Excellent")</f>
        <v>Excellent</v>
      </c>
      <c r="Z1624" s="138" t="str">
        <f>IFERROR(__xludf.DUMMYFUNCTION("""COMPUTED_VALUE"""),"Excellent")</f>
        <v>Excellent</v>
      </c>
      <c r="AA1624" s="138" t="str">
        <f>IFERROR(__xludf.DUMMYFUNCTION("""COMPUTED_VALUE"""),"Fair")</f>
        <v>Fair</v>
      </c>
      <c r="AB1624" s="138" t="str">
        <f>IFERROR(__xludf.DUMMYFUNCTION("""COMPUTED_VALUE"""),"Excellent")</f>
        <v>Excellent</v>
      </c>
      <c r="AC1624" s="139"/>
      <c r="AD1624" s="139"/>
      <c r="AE1624" s="139"/>
      <c r="AF1624" s="140"/>
      <c r="AG1624" s="136"/>
      <c r="AH1624" s="157">
        <f>IFERROR(__xludf.DUMMYFUNCTION("""COMPUTED_VALUE"""),43814.66312917824)</f>
        <v>43814.66313</v>
      </c>
      <c r="AI1624" s="138"/>
      <c r="AJ1624" s="138"/>
      <c r="AK1624" s="138"/>
      <c r="AL1624" s="142"/>
    </row>
    <row r="1625" ht="20.25" customHeight="1">
      <c r="A1625" s="155" t="str">
        <f>IFERROR(__xludf.DUMMYFUNCTION("""COMPUTED_VALUE"""),"dkramos73")</f>
        <v>dkramos73</v>
      </c>
      <c r="B1625" s="149" t="str">
        <f>IFERROR(__xludf.DUMMYFUNCTION("""COMPUTED_VALUE"""),"Nolensville")</f>
        <v>Nolensville</v>
      </c>
      <c r="C1625" s="149" t="str">
        <f>IFERROR(__xludf.DUMMYFUNCTION("""COMPUTED_VALUE"""),"TN")</f>
        <v>TN</v>
      </c>
      <c r="D1625" s="149" t="str">
        <f>IFERROR(__xludf.DUMMYFUNCTION("""COMPUTED_VALUE"""),"USA")</f>
        <v>USA</v>
      </c>
      <c r="E1625" s="156">
        <f>IFERROR(__xludf.DUMMYFUNCTION("""COMPUTED_VALUE"""),43754.0)</f>
        <v>43754</v>
      </c>
      <c r="F1625" s="129">
        <f>IFERROR(__xludf.DUMMYFUNCTION("""COMPUTED_VALUE"""),43800.0)</f>
        <v>43800</v>
      </c>
      <c r="G1625" s="154"/>
      <c r="H1625" s="131">
        <f>IFERROR(__xludf.DUMMYFUNCTION("""COMPUTED_VALUE"""),603435.0)</f>
        <v>603435</v>
      </c>
      <c r="I1625" s="144" t="str">
        <f>IFERROR(__xludf.DUMMYFUNCTION("""COMPUTED_VALUE"""),"09/19")</f>
        <v>09/19</v>
      </c>
      <c r="J1625" s="129">
        <f>IFERROR(__xludf.DUMMYFUNCTION("""COMPUTED_VALUE"""),43817.0)</f>
        <v>43817</v>
      </c>
      <c r="K1625" s="133">
        <f>IFERROR(__xludf.DUMMYFUNCTION("""COMPUTED_VALUE"""),46.0)</f>
        <v>46</v>
      </c>
      <c r="L1625" s="133">
        <f>IFERROR(__xludf.DUMMYFUNCTION("""COMPUTED_VALUE"""),17.0)</f>
        <v>17</v>
      </c>
      <c r="M1625" s="133">
        <f>IFERROR(__xludf.DUMMYFUNCTION("""COMPUTED_VALUE"""),63.0)</f>
        <v>63</v>
      </c>
      <c r="N1625" s="152" t="str">
        <f>IFERROR(__xludf.DUMMYFUNCTION("""COMPUTED_VALUE"""),"Model 3 Performance")</f>
        <v>Model 3 Performance</v>
      </c>
      <c r="O1625" s="152" t="str">
        <f>IFERROR(__xludf.DUMMYFUNCTION("""COMPUTED_VALUE"""),"Red Multi-Coat")</f>
        <v>Red Multi-Coat</v>
      </c>
      <c r="P1625" s="153" t="str">
        <f>IFERROR(__xludf.DUMMYFUNCTION("""COMPUTED_VALUE"""),"20 inch Sport")</f>
        <v>20 inch Sport</v>
      </c>
      <c r="Q1625" s="152" t="str">
        <f>IFERROR(__xludf.DUMMYFUNCTION("""COMPUTED_VALUE"""),"White seats")</f>
        <v>White seats</v>
      </c>
      <c r="R1625" s="149" t="str">
        <f>IFERROR(__xludf.DUMMYFUNCTION("""COMPUTED_VALUE"""),"Full Self-Driving")</f>
        <v>Full Self-Driving</v>
      </c>
      <c r="S1625" s="149"/>
      <c r="T1625" s="145"/>
      <c r="U1625" s="145"/>
      <c r="V1625" s="145"/>
      <c r="W1625" s="136"/>
      <c r="X1625" s="137"/>
      <c r="Y1625" s="138"/>
      <c r="Z1625" s="138"/>
      <c r="AA1625" s="138" t="str">
        <f>IFERROR(__xludf.DUMMYFUNCTION("""COMPUTED_VALUE"""),"Poor")</f>
        <v>Poor</v>
      </c>
      <c r="AB1625" s="138"/>
      <c r="AC1625" s="139"/>
      <c r="AD1625" s="139"/>
      <c r="AE1625" s="139"/>
      <c r="AF1625" s="140"/>
      <c r="AG1625" s="136" t="str">
        <f>IFERROR(__xludf.DUMMYFUNCTION("""COMPUTED_VALUE"""),"Received an email from Tesla on 11/17 inviting me to an orientation session for my new vehicle. They did not provide a delivery date but did say my VIN would be assigned shortly and that delivery is expected before the end of the year. 11/25 - Attended Mo"&amp;"del 3 orientation yesterday at the dealership. The sales manager informed me that I should expect a VIN to be issued by Dec 9th with delivery estimated a week and a half later.")</f>
        <v>Received an email from Tesla on 11/17 inviting me to an orientation session for my new vehicle. They did not provide a delivery date but did say my VIN would be assigned shortly and that delivery is expected before the end of the year. 11/25 - Attended Model 3 orientation yesterday at the dealership. The sales manager informed me that I should expect a VIN to be issued by Dec 9th with delivery estimated a week and a half later.</v>
      </c>
      <c r="AH1625" s="157">
        <f>IFERROR(__xludf.DUMMYFUNCTION("""COMPUTED_VALUE"""),43811.46212049769)</f>
        <v>43811.46212</v>
      </c>
      <c r="AI1625" s="138"/>
      <c r="AJ1625" s="138"/>
      <c r="AK1625" s="138"/>
      <c r="AL1625" s="142"/>
    </row>
    <row r="1626" ht="20.25" customHeight="1">
      <c r="A1626" s="155" t="str">
        <f>IFERROR(__xludf.DUMMYFUNCTION("""COMPUTED_VALUE"""),"alexc")</f>
        <v>alexc</v>
      </c>
      <c r="B1626" s="149" t="str">
        <f>IFERROR(__xludf.DUMMYFUNCTION("""COMPUTED_VALUE"""),"boston")</f>
        <v>boston</v>
      </c>
      <c r="C1626" s="149" t="str">
        <f>IFERROR(__xludf.DUMMYFUNCTION("""COMPUTED_VALUE"""),"MA")</f>
        <v>MA</v>
      </c>
      <c r="D1626" s="149" t="str">
        <f>IFERROR(__xludf.DUMMYFUNCTION("""COMPUTED_VALUE"""),"USA")</f>
        <v>USA</v>
      </c>
      <c r="E1626" s="156">
        <f>IFERROR(__xludf.DUMMYFUNCTION("""COMPUTED_VALUE"""),43753.0)</f>
        <v>43753</v>
      </c>
      <c r="F1626" s="129">
        <f>IFERROR(__xludf.DUMMYFUNCTION("""COMPUTED_VALUE"""),43766.0)</f>
        <v>43766</v>
      </c>
      <c r="G1626" s="154"/>
      <c r="H1626" s="131">
        <f>IFERROR(__xludf.DUMMYFUNCTION("""COMPUTED_VALUE"""),535062.0)</f>
        <v>535062</v>
      </c>
      <c r="I1626" s="144"/>
      <c r="J1626" s="129">
        <f>IFERROR(__xludf.DUMMYFUNCTION("""COMPUTED_VALUE"""),43775.0)</f>
        <v>43775</v>
      </c>
      <c r="K1626" s="133">
        <f>IFERROR(__xludf.DUMMYFUNCTION("""COMPUTED_VALUE"""),13.0)</f>
        <v>13</v>
      </c>
      <c r="L1626" s="133">
        <f>IFERROR(__xludf.DUMMYFUNCTION("""COMPUTED_VALUE"""),9.0)</f>
        <v>9</v>
      </c>
      <c r="M1626" s="133">
        <f>IFERROR(__xludf.DUMMYFUNCTION("""COMPUTED_VALUE"""),22.0)</f>
        <v>22</v>
      </c>
      <c r="N1626" s="152" t="str">
        <f>IFERROR(__xludf.DUMMYFUNCTION("""COMPUTED_VALUE"""),"Model 3 LR AWD")</f>
        <v>Model 3 LR AWD</v>
      </c>
      <c r="O1626" s="152" t="str">
        <f>IFERROR(__xludf.DUMMYFUNCTION("""COMPUTED_VALUE"""),"Deep Blue Metallic")</f>
        <v>Deep Blue Metallic</v>
      </c>
      <c r="P1626" s="153" t="str">
        <f>IFERROR(__xludf.DUMMYFUNCTION("""COMPUTED_VALUE"""),"18 inch Aero")</f>
        <v>18 inch Aero</v>
      </c>
      <c r="Q1626" s="152" t="str">
        <f>IFERROR(__xludf.DUMMYFUNCTION("""COMPUTED_VALUE"""),"Black seats")</f>
        <v>Black seats</v>
      </c>
      <c r="R1626" s="149" t="str">
        <f>IFERROR(__xludf.DUMMYFUNCTION("""COMPUTED_VALUE"""),"Full Self-Driving")</f>
        <v>Full Self-Driving</v>
      </c>
      <c r="S1626" s="149"/>
      <c r="T1626" s="145"/>
      <c r="U1626" s="145"/>
      <c r="V1626" s="145"/>
      <c r="W1626" s="136"/>
      <c r="X1626" s="137" t="str">
        <f>IFERROR(__xludf.DUMMYFUNCTION("""COMPUTED_VALUE"""),"Very Good")</f>
        <v>Very Good</v>
      </c>
      <c r="Y1626" s="138" t="str">
        <f>IFERROR(__xludf.DUMMYFUNCTION("""COMPUTED_VALUE"""),"Very Good")</f>
        <v>Very Good</v>
      </c>
      <c r="Z1626" s="138" t="str">
        <f>IFERROR(__xludf.DUMMYFUNCTION("""COMPUTED_VALUE"""),"Very Good")</f>
        <v>Very Good</v>
      </c>
      <c r="AA1626" s="138" t="str">
        <f>IFERROR(__xludf.DUMMYFUNCTION("""COMPUTED_VALUE"""),"Fair")</f>
        <v>Fair</v>
      </c>
      <c r="AB1626" s="138" t="str">
        <f>IFERROR(__xludf.DUMMYFUNCTION("""COMPUTED_VALUE"""),"Fair")</f>
        <v>Fair</v>
      </c>
      <c r="AC1626" s="139"/>
      <c r="AD1626" s="139"/>
      <c r="AE1626" s="139"/>
      <c r="AF1626" s="140"/>
      <c r="AG1626" s="136" t="str">
        <f>IFERROR(__xludf.DUMMYFUNCTION("""COMPUTED_VALUE"""),"Configured 10/15, OA contacted 11/2, schedule delivery 11/5")</f>
        <v>Configured 10/15, OA contacted 11/2, schedule delivery 11/5</v>
      </c>
      <c r="AH1626" s="157">
        <f>IFERROR(__xludf.DUMMYFUNCTION("""COMPUTED_VALUE"""),43775.62805127315)</f>
        <v>43775.62805</v>
      </c>
      <c r="AI1626" s="138"/>
      <c r="AJ1626" s="138"/>
      <c r="AK1626" s="138"/>
      <c r="AL1626" s="142"/>
    </row>
    <row r="1627" ht="20.25" customHeight="1">
      <c r="A1627" s="155" t="str">
        <f>IFERROR(__xludf.DUMMYFUNCTION("""COMPUTED_VALUE"""),"KHarg")</f>
        <v>KHarg</v>
      </c>
      <c r="B1627" s="149" t="str">
        <f>IFERROR(__xludf.DUMMYFUNCTION("""COMPUTED_VALUE"""),"Fresno")</f>
        <v>Fresno</v>
      </c>
      <c r="C1627" s="149" t="str">
        <f>IFERROR(__xludf.DUMMYFUNCTION("""COMPUTED_VALUE"""),"CA")</f>
        <v>CA</v>
      </c>
      <c r="D1627" s="149" t="str">
        <f>IFERROR(__xludf.DUMMYFUNCTION("""COMPUTED_VALUE"""),"USA")</f>
        <v>USA</v>
      </c>
      <c r="E1627" s="156">
        <f>IFERROR(__xludf.DUMMYFUNCTION("""COMPUTED_VALUE"""),43753.0)</f>
        <v>43753</v>
      </c>
      <c r="F1627" s="129">
        <f>IFERROR(__xludf.DUMMYFUNCTION("""COMPUTED_VALUE"""),43816.0)</f>
        <v>43816</v>
      </c>
      <c r="G1627" s="154"/>
      <c r="H1627" s="131">
        <f>IFERROR(__xludf.DUMMYFUNCTION("""COMPUTED_VALUE"""),613735.0)</f>
        <v>613735</v>
      </c>
      <c r="I1627" s="144" t="str">
        <f>IFERROR(__xludf.DUMMYFUNCTION("""COMPUTED_VALUE"""),"12/19")</f>
        <v>12/19</v>
      </c>
      <c r="J1627" s="129">
        <f>IFERROR(__xludf.DUMMYFUNCTION("""COMPUTED_VALUE"""),43819.0)</f>
        <v>43819</v>
      </c>
      <c r="K1627" s="133">
        <f>IFERROR(__xludf.DUMMYFUNCTION("""COMPUTED_VALUE"""),63.0)</f>
        <v>63</v>
      </c>
      <c r="L1627" s="133">
        <f>IFERROR(__xludf.DUMMYFUNCTION("""COMPUTED_VALUE"""),3.0)</f>
        <v>3</v>
      </c>
      <c r="M1627" s="133">
        <f>IFERROR(__xludf.DUMMYFUNCTION("""COMPUTED_VALUE"""),66.0)</f>
        <v>66</v>
      </c>
      <c r="N1627" s="152" t="str">
        <f>IFERROR(__xludf.DUMMYFUNCTION("""COMPUTED_VALUE"""),"Model 3 SR+")</f>
        <v>Model 3 SR+</v>
      </c>
      <c r="O1627" s="152" t="str">
        <f>IFERROR(__xludf.DUMMYFUNCTION("""COMPUTED_VALUE"""),"Pearl White Multi-Coat")</f>
        <v>Pearl White Multi-Coat</v>
      </c>
      <c r="P1627" s="153" t="str">
        <f>IFERROR(__xludf.DUMMYFUNCTION("""COMPUTED_VALUE"""),"18 inch Aero")</f>
        <v>18 inch Aero</v>
      </c>
      <c r="Q1627" s="152" t="str">
        <f>IFERROR(__xludf.DUMMYFUNCTION("""COMPUTED_VALUE"""),"Black seats")</f>
        <v>Black seats</v>
      </c>
      <c r="R1627" s="149" t="str">
        <f>IFERROR(__xludf.DUMMYFUNCTION("""COMPUTED_VALUE"""),"Full Self-Driving")</f>
        <v>Full Self-Driving</v>
      </c>
      <c r="S1627" s="149"/>
      <c r="T1627" s="145"/>
      <c r="U1627" s="145"/>
      <c r="V1627" s="145"/>
      <c r="W1627" s="136"/>
      <c r="X1627" s="137" t="str">
        <f>IFERROR(__xludf.DUMMYFUNCTION("""COMPUTED_VALUE"""),"Excellent")</f>
        <v>Excellent</v>
      </c>
      <c r="Y1627" s="138" t="str">
        <f>IFERROR(__xludf.DUMMYFUNCTION("""COMPUTED_VALUE"""),"Excellent")</f>
        <v>Excellent</v>
      </c>
      <c r="Z1627" s="138" t="str">
        <f>IFERROR(__xludf.DUMMYFUNCTION("""COMPUTED_VALUE"""),"Excellent")</f>
        <v>Excellent</v>
      </c>
      <c r="AA1627" s="138" t="str">
        <f>IFERROR(__xludf.DUMMYFUNCTION("""COMPUTED_VALUE"""),"Poor")</f>
        <v>Poor</v>
      </c>
      <c r="AB1627" s="138" t="str">
        <f>IFERROR(__xludf.DUMMYFUNCTION("""COMPUTED_VALUE"""),"Excellent")</f>
        <v>Excellent</v>
      </c>
      <c r="AC1627" s="139"/>
      <c r="AD1627" s="139"/>
      <c r="AE1627" s="139"/>
      <c r="AF1627" s="140"/>
      <c r="AG1627" s="136"/>
      <c r="AH1627" s="157">
        <f>IFERROR(__xludf.DUMMYFUNCTION("""COMPUTED_VALUE"""),43821.43840976852)</f>
        <v>43821.43841</v>
      </c>
      <c r="AI1627" s="138"/>
      <c r="AJ1627" s="138"/>
      <c r="AK1627" s="138"/>
      <c r="AL1627" s="142"/>
    </row>
    <row r="1628" ht="20.25" customHeight="1">
      <c r="A1628" s="155" t="str">
        <f>IFERROR(__xludf.DUMMYFUNCTION("""COMPUTED_VALUE"""),"LoboKittyMan")</f>
        <v>LoboKittyMan</v>
      </c>
      <c r="B1628" s="149" t="str">
        <f>IFERROR(__xludf.DUMMYFUNCTION("""COMPUTED_VALUE"""),"Long Beach")</f>
        <v>Long Beach</v>
      </c>
      <c r="C1628" s="149" t="str">
        <f>IFERROR(__xludf.DUMMYFUNCTION("""COMPUTED_VALUE"""),"CA")</f>
        <v>CA</v>
      </c>
      <c r="D1628" s="149" t="str">
        <f>IFERROR(__xludf.DUMMYFUNCTION("""COMPUTED_VALUE"""),"USA")</f>
        <v>USA</v>
      </c>
      <c r="E1628" s="156">
        <f>IFERROR(__xludf.DUMMYFUNCTION("""COMPUTED_VALUE"""),43753.0)</f>
        <v>43753</v>
      </c>
      <c r="F1628" s="129">
        <f>IFERROR(__xludf.DUMMYFUNCTION("""COMPUTED_VALUE"""),43824.0)</f>
        <v>43824</v>
      </c>
      <c r="G1628" s="154"/>
      <c r="H1628" s="131">
        <f>IFERROR(__xludf.DUMMYFUNCTION("""COMPUTED_VALUE"""),651455.0)</f>
        <v>651455</v>
      </c>
      <c r="I1628" s="144"/>
      <c r="J1628" s="129">
        <f>IFERROR(__xludf.DUMMYFUNCTION("""COMPUTED_VALUE"""),43825.0)</f>
        <v>43825</v>
      </c>
      <c r="K1628" s="133">
        <f>IFERROR(__xludf.DUMMYFUNCTION("""COMPUTED_VALUE"""),71.0)</f>
        <v>71</v>
      </c>
      <c r="L1628" s="133">
        <f>IFERROR(__xludf.DUMMYFUNCTION("""COMPUTED_VALUE"""),1.0)</f>
        <v>1</v>
      </c>
      <c r="M1628" s="133">
        <f>IFERROR(__xludf.DUMMYFUNCTION("""COMPUTED_VALUE"""),72.0)</f>
        <v>72</v>
      </c>
      <c r="N1628" s="152" t="str">
        <f>IFERROR(__xludf.DUMMYFUNCTION("""COMPUTED_VALUE"""),"Model 3 LR AWD")</f>
        <v>Model 3 LR AWD</v>
      </c>
      <c r="O1628" s="152" t="str">
        <f>IFERROR(__xludf.DUMMYFUNCTION("""COMPUTED_VALUE"""),"Pearl White Multi-Coat")</f>
        <v>Pearl White Multi-Coat</v>
      </c>
      <c r="P1628" s="153" t="str">
        <f>IFERROR(__xludf.DUMMYFUNCTION("""COMPUTED_VALUE"""),"18 inch Aero")</f>
        <v>18 inch Aero</v>
      </c>
      <c r="Q1628" s="152" t="str">
        <f>IFERROR(__xludf.DUMMYFUNCTION("""COMPUTED_VALUE"""),"White seats")</f>
        <v>White seats</v>
      </c>
      <c r="R1628" s="149" t="str">
        <f>IFERROR(__xludf.DUMMYFUNCTION("""COMPUTED_VALUE"""),"Autopilot")</f>
        <v>Autopilot</v>
      </c>
      <c r="S1628" s="149"/>
      <c r="T1628" s="145"/>
      <c r="U1628" s="145"/>
      <c r="V1628" s="145"/>
      <c r="W1628" s="136"/>
      <c r="X1628" s="137" t="str">
        <f>IFERROR(__xludf.DUMMYFUNCTION("""COMPUTED_VALUE"""),"Very Good")</f>
        <v>Very Good</v>
      </c>
      <c r="Y1628" s="138" t="str">
        <f>IFERROR(__xludf.DUMMYFUNCTION("""COMPUTED_VALUE"""),"Very Good")</f>
        <v>Very Good</v>
      </c>
      <c r="Z1628" s="138" t="str">
        <f>IFERROR(__xludf.DUMMYFUNCTION("""COMPUTED_VALUE"""),"Excellent")</f>
        <v>Excellent</v>
      </c>
      <c r="AA1628" s="138" t="str">
        <f>IFERROR(__xludf.DUMMYFUNCTION("""COMPUTED_VALUE"""),"Fair")</f>
        <v>Fair</v>
      </c>
      <c r="AB1628" s="138" t="str">
        <f>IFERROR(__xludf.DUMMYFUNCTION("""COMPUTED_VALUE"""),"Very Good")</f>
        <v>Very Good</v>
      </c>
      <c r="AC1628" s="139"/>
      <c r="AD1628" s="139"/>
      <c r="AE1628" s="139"/>
      <c r="AF1628" s="140"/>
      <c r="AG1628" s="136"/>
      <c r="AH1628" s="157">
        <f>IFERROR(__xludf.DUMMYFUNCTION("""COMPUTED_VALUE"""),43825.71127517361)</f>
        <v>43825.71128</v>
      </c>
      <c r="AI1628" s="138"/>
      <c r="AJ1628" s="138"/>
      <c r="AK1628" s="138"/>
      <c r="AL1628" s="142"/>
    </row>
    <row r="1629" ht="20.25" customHeight="1">
      <c r="A1629" s="155" t="str">
        <f>IFERROR(__xludf.DUMMYFUNCTION("""COMPUTED_VALUE"""),"Sto_")</f>
        <v>Sto_</v>
      </c>
      <c r="B1629" s="149" t="str">
        <f>IFERROR(__xludf.DUMMYFUNCTION("""COMPUTED_VALUE"""),"Salt Lake City")</f>
        <v>Salt Lake City</v>
      </c>
      <c r="C1629" s="149" t="str">
        <f>IFERROR(__xludf.DUMMYFUNCTION("""COMPUTED_VALUE"""),"UT")</f>
        <v>UT</v>
      </c>
      <c r="D1629" s="149" t="str">
        <f>IFERROR(__xludf.DUMMYFUNCTION("""COMPUTED_VALUE"""),"USA")</f>
        <v>USA</v>
      </c>
      <c r="E1629" s="156">
        <f>IFERROR(__xludf.DUMMYFUNCTION("""COMPUTED_VALUE"""),43753.0)</f>
        <v>43753</v>
      </c>
      <c r="F1629" s="129">
        <f>IFERROR(__xludf.DUMMYFUNCTION("""COMPUTED_VALUE"""),43813.0)</f>
        <v>43813</v>
      </c>
      <c r="G1629" s="154"/>
      <c r="H1629" s="131">
        <f>IFERROR(__xludf.DUMMYFUNCTION("""COMPUTED_VALUE"""),624889.0)</f>
        <v>624889</v>
      </c>
      <c r="I1629" s="144"/>
      <c r="J1629" s="129">
        <f>IFERROR(__xludf.DUMMYFUNCTION("""COMPUTED_VALUE"""),43816.0)</f>
        <v>43816</v>
      </c>
      <c r="K1629" s="133">
        <f>IFERROR(__xludf.DUMMYFUNCTION("""COMPUTED_VALUE"""),60.0)</f>
        <v>60</v>
      </c>
      <c r="L1629" s="133">
        <f>IFERROR(__xludf.DUMMYFUNCTION("""COMPUTED_VALUE"""),3.0)</f>
        <v>3</v>
      </c>
      <c r="M1629" s="133">
        <f>IFERROR(__xludf.DUMMYFUNCTION("""COMPUTED_VALUE"""),63.0)</f>
        <v>63</v>
      </c>
      <c r="N1629" s="152" t="str">
        <f>IFERROR(__xludf.DUMMYFUNCTION("""COMPUTED_VALUE"""),"Model 3 Performance")</f>
        <v>Model 3 Performance</v>
      </c>
      <c r="O1629" s="152" t="str">
        <f>IFERROR(__xludf.DUMMYFUNCTION("""COMPUTED_VALUE"""),"Pearl White Multi-Coat")</f>
        <v>Pearl White Multi-Coat</v>
      </c>
      <c r="P1629" s="153" t="str">
        <f>IFERROR(__xludf.DUMMYFUNCTION("""COMPUTED_VALUE"""),"20 inch Sport")</f>
        <v>20 inch Sport</v>
      </c>
      <c r="Q1629" s="152" t="str">
        <f>IFERROR(__xludf.DUMMYFUNCTION("""COMPUTED_VALUE"""),"White seats")</f>
        <v>White seats</v>
      </c>
      <c r="R1629" s="149" t="str">
        <f>IFERROR(__xludf.DUMMYFUNCTION("""COMPUTED_VALUE"""),"Full Self-Driving")</f>
        <v>Full Self-Driving</v>
      </c>
      <c r="S1629" s="149"/>
      <c r="T1629" s="145"/>
      <c r="U1629" s="145"/>
      <c r="V1629" s="145"/>
      <c r="W1629" s="136"/>
      <c r="X1629" s="137" t="str">
        <f>IFERROR(__xludf.DUMMYFUNCTION("""COMPUTED_VALUE"""),"Very Good")</f>
        <v>Very Good</v>
      </c>
      <c r="Y1629" s="138" t="str">
        <f>IFERROR(__xludf.DUMMYFUNCTION("""COMPUTED_VALUE"""),"Good")</f>
        <v>Good</v>
      </c>
      <c r="Z1629" s="138" t="str">
        <f>IFERROR(__xludf.DUMMYFUNCTION("""COMPUTED_VALUE"""),"Very Good")</f>
        <v>Very Good</v>
      </c>
      <c r="AA1629" s="138" t="str">
        <f>IFERROR(__xludf.DUMMYFUNCTION("""COMPUTED_VALUE"""),"Fair")</f>
        <v>Fair</v>
      </c>
      <c r="AB1629" s="138" t="str">
        <f>IFERROR(__xludf.DUMMYFUNCTION("""COMPUTED_VALUE"""),"Good")</f>
        <v>Good</v>
      </c>
      <c r="AC1629" s="139">
        <f>IFERROR(__xludf.DUMMYFUNCTION("""COMPUTED_VALUE"""),1.0)</f>
        <v>1</v>
      </c>
      <c r="AD1629" s="139">
        <f>IFERROR(__xludf.DUMMYFUNCTION("""COMPUTED_VALUE"""),0.0)</f>
        <v>0</v>
      </c>
      <c r="AE1629" s="139">
        <f>IFERROR(__xludf.DUMMYFUNCTION("""COMPUTED_VALUE"""),0.0)</f>
        <v>0</v>
      </c>
      <c r="AF1629" s="140"/>
      <c r="AG1629" s="136"/>
      <c r="AH1629" s="157">
        <f>IFERROR(__xludf.DUMMYFUNCTION("""COMPUTED_VALUE"""),43832.36458376157)</f>
        <v>43832.36458</v>
      </c>
      <c r="AI1629" s="138"/>
      <c r="AJ1629" s="138"/>
      <c r="AK1629" s="138"/>
      <c r="AL1629" s="142"/>
    </row>
    <row r="1630" ht="20.25" customHeight="1">
      <c r="A1630" s="155" t="str">
        <f>IFERROR(__xludf.DUMMYFUNCTION("""COMPUTED_VALUE"""),"archbish99")</f>
        <v>archbish99</v>
      </c>
      <c r="B1630" s="149" t="str">
        <f>IFERROR(__xludf.DUMMYFUNCTION("""COMPUTED_VALUE"""),"Cincinnati")</f>
        <v>Cincinnati</v>
      </c>
      <c r="C1630" s="149" t="str">
        <f>IFERROR(__xludf.DUMMYFUNCTION("""COMPUTED_VALUE"""),"OH")</f>
        <v>OH</v>
      </c>
      <c r="D1630" s="149" t="str">
        <f>IFERROR(__xludf.DUMMYFUNCTION("""COMPUTED_VALUE"""),"USA")</f>
        <v>USA</v>
      </c>
      <c r="E1630" s="156">
        <f>IFERROR(__xludf.DUMMYFUNCTION("""COMPUTED_VALUE"""),43752.0)</f>
        <v>43752</v>
      </c>
      <c r="F1630" s="129">
        <f>IFERROR(__xludf.DUMMYFUNCTION("""COMPUTED_VALUE"""),43759.0)</f>
        <v>43759</v>
      </c>
      <c r="G1630" s="154"/>
      <c r="H1630" s="131">
        <f>IFERROR(__xludf.DUMMYFUNCTION("""COMPUTED_VALUE"""),539565.0)</f>
        <v>539565</v>
      </c>
      <c r="I1630" s="144" t="str">
        <f>IFERROR(__xludf.DUMMYFUNCTION("""COMPUTED_VALUE"""),"10/19")</f>
        <v>10/19</v>
      </c>
      <c r="J1630" s="129">
        <f>IFERROR(__xludf.DUMMYFUNCTION("""COMPUTED_VALUE"""),43776.0)</f>
        <v>43776</v>
      </c>
      <c r="K1630" s="133">
        <f>IFERROR(__xludf.DUMMYFUNCTION("""COMPUTED_VALUE"""),7.0)</f>
        <v>7</v>
      </c>
      <c r="L1630" s="133">
        <f>IFERROR(__xludf.DUMMYFUNCTION("""COMPUTED_VALUE"""),17.0)</f>
        <v>17</v>
      </c>
      <c r="M1630" s="133">
        <f>IFERROR(__xludf.DUMMYFUNCTION("""COMPUTED_VALUE"""),24.0)</f>
        <v>24</v>
      </c>
      <c r="N1630" s="152" t="str">
        <f>IFERROR(__xludf.DUMMYFUNCTION("""COMPUTED_VALUE"""),"Model 3 LR AWD")</f>
        <v>Model 3 LR AWD</v>
      </c>
      <c r="O1630" s="152" t="str">
        <f>IFERROR(__xludf.DUMMYFUNCTION("""COMPUTED_VALUE"""),"Red Multi-Coat")</f>
        <v>Red Multi-Coat</v>
      </c>
      <c r="P1630" s="153" t="str">
        <f>IFERROR(__xludf.DUMMYFUNCTION("""COMPUTED_VALUE"""),"18 inch Aero")</f>
        <v>18 inch Aero</v>
      </c>
      <c r="Q1630" s="152" t="str">
        <f>IFERROR(__xludf.DUMMYFUNCTION("""COMPUTED_VALUE"""),"White seats")</f>
        <v>White seats</v>
      </c>
      <c r="R1630" s="149" t="str">
        <f>IFERROR(__xludf.DUMMYFUNCTION("""COMPUTED_VALUE"""),"Full Self-Driving")</f>
        <v>Full Self-Driving</v>
      </c>
      <c r="S1630" s="149"/>
      <c r="T1630" s="145"/>
      <c r="U1630" s="145"/>
      <c r="V1630" s="145"/>
      <c r="W1630" s="136"/>
      <c r="X1630" s="137" t="str">
        <f>IFERROR(__xludf.DUMMYFUNCTION("""COMPUTED_VALUE"""),"Good")</f>
        <v>Good</v>
      </c>
      <c r="Y1630" s="138" t="str">
        <f>IFERROR(__xludf.DUMMYFUNCTION("""COMPUTED_VALUE"""),"Excellent")</f>
        <v>Excellent</v>
      </c>
      <c r="Z1630" s="138" t="str">
        <f>IFERROR(__xludf.DUMMYFUNCTION("""COMPUTED_VALUE"""),"Excellent")</f>
        <v>Excellent</v>
      </c>
      <c r="AA1630" s="138" t="str">
        <f>IFERROR(__xludf.DUMMYFUNCTION("""COMPUTED_VALUE"""),"Very Good")</f>
        <v>Very Good</v>
      </c>
      <c r="AB1630" s="138" t="str">
        <f>IFERROR(__xludf.DUMMYFUNCTION("""COMPUTED_VALUE"""),"Very Good")</f>
        <v>Very Good</v>
      </c>
      <c r="AC1630" s="139">
        <f>IFERROR(__xludf.DUMMYFUNCTION("""COMPUTED_VALUE"""),2.0)</f>
        <v>2</v>
      </c>
      <c r="AD1630" s="139">
        <f>IFERROR(__xludf.DUMMYFUNCTION("""COMPUTED_VALUE"""),0.0)</f>
        <v>0</v>
      </c>
      <c r="AE1630" s="139">
        <f>IFERROR(__xludf.DUMMYFUNCTION("""COMPUTED_VALUE"""),0.0)</f>
        <v>0</v>
      </c>
      <c r="AF1630" s="140"/>
      <c r="AG1630" s="136" t="str">
        <f>IFERROR(__xludf.DUMMYFUNCTION("""COMPUTED_VALUE"""),"Minor panel gaps that Tesla refused to fix when I inquired during delivery. Will try again the first time I need service for something else. ")</f>
        <v>Minor panel gaps that Tesla refused to fix when I inquired during delivery. Will try again the first time I need service for something else. </v>
      </c>
      <c r="AH1630" s="157">
        <f>IFERROR(__xludf.DUMMYFUNCTION("""COMPUTED_VALUE"""),43799.39503640047)</f>
        <v>43799.39504</v>
      </c>
      <c r="AI1630" s="138"/>
      <c r="AJ1630" s="138"/>
      <c r="AK1630" s="138"/>
      <c r="AL1630" s="142"/>
    </row>
    <row r="1631" ht="20.25" customHeight="1">
      <c r="A1631" s="155" t="str">
        <f>IFERROR(__xludf.DUMMYFUNCTION("""COMPUTED_VALUE"""),"d-8")</f>
        <v>d-8</v>
      </c>
      <c r="B1631" s="149" t="str">
        <f>IFERROR(__xludf.DUMMYFUNCTION("""COMPUTED_VALUE"""),"Mountain View")</f>
        <v>Mountain View</v>
      </c>
      <c r="C1631" s="149" t="str">
        <f>IFERROR(__xludf.DUMMYFUNCTION("""COMPUTED_VALUE"""),"CA")</f>
        <v>CA</v>
      </c>
      <c r="D1631" s="149" t="str">
        <f>IFERROR(__xludf.DUMMYFUNCTION("""COMPUTED_VALUE"""),"USA")</f>
        <v>USA</v>
      </c>
      <c r="E1631" s="156">
        <f>IFERROR(__xludf.DUMMYFUNCTION("""COMPUTED_VALUE"""),43752.0)</f>
        <v>43752</v>
      </c>
      <c r="F1631" s="129">
        <f>IFERROR(__xludf.DUMMYFUNCTION("""COMPUTED_VALUE"""),43816.0)</f>
        <v>43816</v>
      </c>
      <c r="G1631" s="154"/>
      <c r="H1631" s="131">
        <f>IFERROR(__xludf.DUMMYFUNCTION("""COMPUTED_VALUE"""),613455.0)</f>
        <v>613455</v>
      </c>
      <c r="I1631" s="144" t="str">
        <f>IFERROR(__xludf.DUMMYFUNCTION("""COMPUTED_VALUE"""),"12/19")</f>
        <v>12/19</v>
      </c>
      <c r="J1631" s="129">
        <f>IFERROR(__xludf.DUMMYFUNCTION("""COMPUTED_VALUE"""),43820.0)</f>
        <v>43820</v>
      </c>
      <c r="K1631" s="133">
        <f>IFERROR(__xludf.DUMMYFUNCTION("""COMPUTED_VALUE"""),64.0)</f>
        <v>64</v>
      </c>
      <c r="L1631" s="133">
        <f>IFERROR(__xludf.DUMMYFUNCTION("""COMPUTED_VALUE"""),4.0)</f>
        <v>4</v>
      </c>
      <c r="M1631" s="133">
        <f>IFERROR(__xludf.DUMMYFUNCTION("""COMPUTED_VALUE"""),68.0)</f>
        <v>68</v>
      </c>
      <c r="N1631" s="152" t="str">
        <f>IFERROR(__xludf.DUMMYFUNCTION("""COMPUTED_VALUE"""),"Model 3 SR+")</f>
        <v>Model 3 SR+</v>
      </c>
      <c r="O1631" s="152" t="str">
        <f>IFERROR(__xludf.DUMMYFUNCTION("""COMPUTED_VALUE"""),"Pearl White Multi-Coat")</f>
        <v>Pearl White Multi-Coat</v>
      </c>
      <c r="P1631" s="153" t="str">
        <f>IFERROR(__xludf.DUMMYFUNCTION("""COMPUTED_VALUE"""),"18 inch Aero")</f>
        <v>18 inch Aero</v>
      </c>
      <c r="Q1631" s="152" t="str">
        <f>IFERROR(__xludf.DUMMYFUNCTION("""COMPUTED_VALUE"""),"Black seats")</f>
        <v>Black seats</v>
      </c>
      <c r="R1631" s="149" t="str">
        <f>IFERROR(__xludf.DUMMYFUNCTION("""COMPUTED_VALUE"""),"Autopilot")</f>
        <v>Autopilot</v>
      </c>
      <c r="S1631" s="149"/>
      <c r="T1631" s="145"/>
      <c r="U1631" s="145"/>
      <c r="V1631" s="145"/>
      <c r="W1631" s="136"/>
      <c r="X1631" s="137" t="str">
        <f>IFERROR(__xludf.DUMMYFUNCTION("""COMPUTED_VALUE"""),"Excellent")</f>
        <v>Excellent</v>
      </c>
      <c r="Y1631" s="138" t="str">
        <f>IFERROR(__xludf.DUMMYFUNCTION("""COMPUTED_VALUE"""),"Excellent")</f>
        <v>Excellent</v>
      </c>
      <c r="Z1631" s="138" t="str">
        <f>IFERROR(__xludf.DUMMYFUNCTION("""COMPUTED_VALUE"""),"Excellent")</f>
        <v>Excellent</v>
      </c>
      <c r="AA1631" s="138" t="str">
        <f>IFERROR(__xludf.DUMMYFUNCTION("""COMPUTED_VALUE"""),"Poor")</f>
        <v>Poor</v>
      </c>
      <c r="AB1631" s="138" t="str">
        <f>IFERROR(__xludf.DUMMYFUNCTION("""COMPUTED_VALUE"""),"Good")</f>
        <v>Good</v>
      </c>
      <c r="AC1631" s="139"/>
      <c r="AD1631" s="139"/>
      <c r="AE1631" s="139"/>
      <c r="AF1631" s="140"/>
      <c r="AG1631" s="136"/>
      <c r="AH1631" s="157">
        <f>IFERROR(__xludf.DUMMYFUNCTION("""COMPUTED_VALUE"""),43822.61390289352)</f>
        <v>43822.6139</v>
      </c>
      <c r="AI1631" s="138"/>
      <c r="AJ1631" s="138"/>
      <c r="AK1631" s="138"/>
      <c r="AL1631" s="142"/>
    </row>
    <row r="1632" ht="20.25" customHeight="1">
      <c r="A1632" s="155" t="str">
        <f>IFERROR(__xludf.DUMMYFUNCTION("""COMPUTED_VALUE"""),"Marashka")</f>
        <v>Marashka</v>
      </c>
      <c r="B1632" s="149" t="str">
        <f>IFERROR(__xludf.DUMMYFUNCTION("""COMPUTED_VALUE"""),"Las Vegas")</f>
        <v>Las Vegas</v>
      </c>
      <c r="C1632" s="149" t="str">
        <f>IFERROR(__xludf.DUMMYFUNCTION("""COMPUTED_VALUE"""),"NV")</f>
        <v>NV</v>
      </c>
      <c r="D1632" s="149" t="str">
        <f>IFERROR(__xludf.DUMMYFUNCTION("""COMPUTED_VALUE"""),"USA")</f>
        <v>USA</v>
      </c>
      <c r="E1632" s="156">
        <f>IFERROR(__xludf.DUMMYFUNCTION("""COMPUTED_VALUE"""),43752.0)</f>
        <v>43752</v>
      </c>
      <c r="F1632" s="129">
        <f>IFERROR(__xludf.DUMMYFUNCTION("""COMPUTED_VALUE"""),43807.0)</f>
        <v>43807</v>
      </c>
      <c r="G1632" s="154"/>
      <c r="H1632" s="131">
        <f>IFERROR(__xludf.DUMMYFUNCTION("""COMPUTED_VALUE"""),623996.0)</f>
        <v>623996</v>
      </c>
      <c r="I1632" s="144"/>
      <c r="J1632" s="129">
        <f>IFERROR(__xludf.DUMMYFUNCTION("""COMPUTED_VALUE"""),43812.0)</f>
        <v>43812</v>
      </c>
      <c r="K1632" s="133">
        <f>IFERROR(__xludf.DUMMYFUNCTION("""COMPUTED_VALUE"""),55.0)</f>
        <v>55</v>
      </c>
      <c r="L1632" s="133">
        <f>IFERROR(__xludf.DUMMYFUNCTION("""COMPUTED_VALUE"""),5.0)</f>
        <v>5</v>
      </c>
      <c r="M1632" s="133">
        <f>IFERROR(__xludf.DUMMYFUNCTION("""COMPUTED_VALUE"""),60.0)</f>
        <v>60</v>
      </c>
      <c r="N1632" s="152" t="str">
        <f>IFERROR(__xludf.DUMMYFUNCTION("""COMPUTED_VALUE"""),"Model 3 Performance")</f>
        <v>Model 3 Performance</v>
      </c>
      <c r="O1632" s="152" t="str">
        <f>IFERROR(__xludf.DUMMYFUNCTION("""COMPUTED_VALUE"""),"Pearl White Multi-Coat")</f>
        <v>Pearl White Multi-Coat</v>
      </c>
      <c r="P1632" s="153" t="str">
        <f>IFERROR(__xludf.DUMMYFUNCTION("""COMPUTED_VALUE"""),"20 inch Sport")</f>
        <v>20 inch Sport</v>
      </c>
      <c r="Q1632" s="152" t="str">
        <f>IFERROR(__xludf.DUMMYFUNCTION("""COMPUTED_VALUE"""),"Black seats")</f>
        <v>Black seats</v>
      </c>
      <c r="R1632" s="149" t="str">
        <f>IFERROR(__xludf.DUMMYFUNCTION("""COMPUTED_VALUE"""),"Autopilot")</f>
        <v>Autopilot</v>
      </c>
      <c r="S1632" s="149"/>
      <c r="T1632" s="145"/>
      <c r="U1632" s="145"/>
      <c r="V1632" s="145"/>
      <c r="W1632" s="136"/>
      <c r="X1632" s="137" t="str">
        <f>IFERROR(__xludf.DUMMYFUNCTION("""COMPUTED_VALUE"""),"Excellent")</f>
        <v>Excellent</v>
      </c>
      <c r="Y1632" s="138" t="str">
        <f>IFERROR(__xludf.DUMMYFUNCTION("""COMPUTED_VALUE"""),"Very Good")</f>
        <v>Very Good</v>
      </c>
      <c r="Z1632" s="138" t="str">
        <f>IFERROR(__xludf.DUMMYFUNCTION("""COMPUTED_VALUE"""),"Fair")</f>
        <v>Fair</v>
      </c>
      <c r="AA1632" s="138" t="str">
        <f>IFERROR(__xludf.DUMMYFUNCTION("""COMPUTED_VALUE"""),"Excellent")</f>
        <v>Excellent</v>
      </c>
      <c r="AB1632" s="138" t="str">
        <f>IFERROR(__xludf.DUMMYFUNCTION("""COMPUTED_VALUE"""),"Excellent")</f>
        <v>Excellent</v>
      </c>
      <c r="AC1632" s="139">
        <f>IFERROR(__xludf.DUMMYFUNCTION("""COMPUTED_VALUE"""),5.0)</f>
        <v>5</v>
      </c>
      <c r="AD1632" s="139">
        <f>IFERROR(__xludf.DUMMYFUNCTION("""COMPUTED_VALUE"""),1.0)</f>
        <v>1</v>
      </c>
      <c r="AE1632" s="139">
        <f>IFERROR(__xludf.DUMMYFUNCTION("""COMPUTED_VALUE"""),4.0)</f>
        <v>4</v>
      </c>
      <c r="AF1632" s="140"/>
      <c r="AG1632" s="136"/>
      <c r="AH1632" s="157">
        <f>IFERROR(__xludf.DUMMYFUNCTION("""COMPUTED_VALUE"""),43819.81077443287)</f>
        <v>43819.81077</v>
      </c>
      <c r="AI1632" s="138"/>
      <c r="AJ1632" s="138"/>
      <c r="AK1632" s="138"/>
      <c r="AL1632" s="142"/>
    </row>
    <row r="1633" ht="20.25" customHeight="1">
      <c r="A1633" s="155" t="str">
        <f>IFERROR(__xludf.DUMMYFUNCTION("""COMPUTED_VALUE"""),"dogwiz")</f>
        <v>dogwiz</v>
      </c>
      <c r="B1633" s="149" t="str">
        <f>IFERROR(__xludf.DUMMYFUNCTION("""COMPUTED_VALUE"""),"Nashville")</f>
        <v>Nashville</v>
      </c>
      <c r="C1633" s="149" t="str">
        <f>IFERROR(__xludf.DUMMYFUNCTION("""COMPUTED_VALUE"""),"TN")</f>
        <v>TN</v>
      </c>
      <c r="D1633" s="149" t="str">
        <f>IFERROR(__xludf.DUMMYFUNCTION("""COMPUTED_VALUE"""),"USA")</f>
        <v>USA</v>
      </c>
      <c r="E1633" s="156">
        <f>IFERROR(__xludf.DUMMYFUNCTION("""COMPUTED_VALUE"""),43751.0)</f>
        <v>43751</v>
      </c>
      <c r="F1633" s="129">
        <f>IFERROR(__xludf.DUMMYFUNCTION("""COMPUTED_VALUE"""),43804.0)</f>
        <v>43804</v>
      </c>
      <c r="G1633" s="154"/>
      <c r="H1633" s="131">
        <f>IFERROR(__xludf.DUMMYFUNCTION("""COMPUTED_VALUE"""),623655.0)</f>
        <v>623655</v>
      </c>
      <c r="I1633" s="144"/>
      <c r="J1633" s="129">
        <f>IFERROR(__xludf.DUMMYFUNCTION("""COMPUTED_VALUE"""),43811.0)</f>
        <v>43811</v>
      </c>
      <c r="K1633" s="133">
        <f>IFERROR(__xludf.DUMMYFUNCTION("""COMPUTED_VALUE"""),53.0)</f>
        <v>53</v>
      </c>
      <c r="L1633" s="133">
        <f>IFERROR(__xludf.DUMMYFUNCTION("""COMPUTED_VALUE"""),7.0)</f>
        <v>7</v>
      </c>
      <c r="M1633" s="133">
        <f>IFERROR(__xludf.DUMMYFUNCTION("""COMPUTED_VALUE"""),60.0)</f>
        <v>60</v>
      </c>
      <c r="N1633" s="152" t="str">
        <f>IFERROR(__xludf.DUMMYFUNCTION("""COMPUTED_VALUE"""),"Model 3 Performance")</f>
        <v>Model 3 Performance</v>
      </c>
      <c r="O1633" s="152" t="str">
        <f>IFERROR(__xludf.DUMMYFUNCTION("""COMPUTED_VALUE"""),"Midnight Silver Metallic")</f>
        <v>Midnight Silver Metallic</v>
      </c>
      <c r="P1633" s="153" t="str">
        <f>IFERROR(__xludf.DUMMYFUNCTION("""COMPUTED_VALUE"""),"20 inch Sport")</f>
        <v>20 inch Sport</v>
      </c>
      <c r="Q1633" s="152" t="str">
        <f>IFERROR(__xludf.DUMMYFUNCTION("""COMPUTED_VALUE"""),"Black seats")</f>
        <v>Black seats</v>
      </c>
      <c r="R1633" s="149" t="str">
        <f>IFERROR(__xludf.DUMMYFUNCTION("""COMPUTED_VALUE"""),"Full Self-Driving")</f>
        <v>Full Self-Driving</v>
      </c>
      <c r="S1633" s="149"/>
      <c r="T1633" s="145"/>
      <c r="U1633" s="145"/>
      <c r="V1633" s="145"/>
      <c r="W1633" s="136"/>
      <c r="X1633" s="137" t="str">
        <f>IFERROR(__xludf.DUMMYFUNCTION("""COMPUTED_VALUE"""),"Excellent")</f>
        <v>Excellent</v>
      </c>
      <c r="Y1633" s="138" t="str">
        <f>IFERROR(__xludf.DUMMYFUNCTION("""COMPUTED_VALUE"""),"Excellent")</f>
        <v>Excellent</v>
      </c>
      <c r="Z1633" s="138" t="str">
        <f>IFERROR(__xludf.DUMMYFUNCTION("""COMPUTED_VALUE"""),"Excellent")</f>
        <v>Excellent</v>
      </c>
      <c r="AA1633" s="138" t="str">
        <f>IFERROR(__xludf.DUMMYFUNCTION("""COMPUTED_VALUE"""),"Fair")</f>
        <v>Fair</v>
      </c>
      <c r="AB1633" s="138" t="str">
        <f>IFERROR(__xludf.DUMMYFUNCTION("""COMPUTED_VALUE"""),"Very Good")</f>
        <v>Very Good</v>
      </c>
      <c r="AC1633" s="139"/>
      <c r="AD1633" s="139"/>
      <c r="AE1633" s="139"/>
      <c r="AF1633" s="140"/>
      <c r="AG1633" s="136"/>
      <c r="AH1633" s="157">
        <f>IFERROR(__xludf.DUMMYFUNCTION("""COMPUTED_VALUE"""),43812.93245960648)</f>
        <v>43812.93246</v>
      </c>
      <c r="AI1633" s="138"/>
      <c r="AJ1633" s="138"/>
      <c r="AK1633" s="138"/>
      <c r="AL1633" s="142"/>
    </row>
    <row r="1634" ht="20.25" customHeight="1">
      <c r="A1634" s="155" t="str">
        <f>IFERROR(__xludf.DUMMYFUNCTION("""COMPUTED_VALUE"""),"FLGator")</f>
        <v>FLGator</v>
      </c>
      <c r="B1634" s="149" t="str">
        <f>IFERROR(__xludf.DUMMYFUNCTION("""COMPUTED_VALUE"""),"Orlando")</f>
        <v>Orlando</v>
      </c>
      <c r="C1634" s="149" t="str">
        <f>IFERROR(__xludf.DUMMYFUNCTION("""COMPUTED_VALUE"""),"FL")</f>
        <v>FL</v>
      </c>
      <c r="D1634" s="149" t="str">
        <f>IFERROR(__xludf.DUMMYFUNCTION("""COMPUTED_VALUE"""),"USA")</f>
        <v>USA</v>
      </c>
      <c r="E1634" s="156">
        <f>IFERROR(__xludf.DUMMYFUNCTION("""COMPUTED_VALUE"""),43751.0)</f>
        <v>43751</v>
      </c>
      <c r="F1634" s="129">
        <f>IFERROR(__xludf.DUMMYFUNCTION("""COMPUTED_VALUE"""),43788.0)</f>
        <v>43788</v>
      </c>
      <c r="G1634" s="154"/>
      <c r="H1634" s="131">
        <f>IFERROR(__xludf.DUMMYFUNCTION("""COMPUTED_VALUE"""),504355.0)</f>
        <v>504355</v>
      </c>
      <c r="I1634" s="144" t="str">
        <f>IFERROR(__xludf.DUMMYFUNCTION("""COMPUTED_VALUE"""),"11/19")</f>
        <v>11/19</v>
      </c>
      <c r="J1634" s="129">
        <f>IFERROR(__xludf.DUMMYFUNCTION("""COMPUTED_VALUE"""),43799.0)</f>
        <v>43799</v>
      </c>
      <c r="K1634" s="133">
        <f>IFERROR(__xludf.DUMMYFUNCTION("""COMPUTED_VALUE"""),37.0)</f>
        <v>37</v>
      </c>
      <c r="L1634" s="133">
        <f>IFERROR(__xludf.DUMMYFUNCTION("""COMPUTED_VALUE"""),11.0)</f>
        <v>11</v>
      </c>
      <c r="M1634" s="133">
        <f>IFERROR(__xludf.DUMMYFUNCTION("""COMPUTED_VALUE"""),48.0)</f>
        <v>48</v>
      </c>
      <c r="N1634" s="152" t="str">
        <f>IFERROR(__xludf.DUMMYFUNCTION("""COMPUTED_VALUE"""),"Model 3 SR+")</f>
        <v>Model 3 SR+</v>
      </c>
      <c r="O1634" s="152" t="str">
        <f>IFERROR(__xludf.DUMMYFUNCTION("""COMPUTED_VALUE"""),"Pearl White Multi-Coat")</f>
        <v>Pearl White Multi-Coat</v>
      </c>
      <c r="P1634" s="153" t="str">
        <f>IFERROR(__xludf.DUMMYFUNCTION("""COMPUTED_VALUE"""),"18 inch Aero")</f>
        <v>18 inch Aero</v>
      </c>
      <c r="Q1634" s="152" t="str">
        <f>IFERROR(__xludf.DUMMYFUNCTION("""COMPUTED_VALUE"""),"Black seats")</f>
        <v>Black seats</v>
      </c>
      <c r="R1634" s="149" t="str">
        <f>IFERROR(__xludf.DUMMYFUNCTION("""COMPUTED_VALUE"""),"Autopilot")</f>
        <v>Autopilot</v>
      </c>
      <c r="S1634" s="149"/>
      <c r="T1634" s="145"/>
      <c r="U1634" s="145"/>
      <c r="V1634" s="145"/>
      <c r="W1634" s="136"/>
      <c r="X1634" s="137" t="str">
        <f>IFERROR(__xludf.DUMMYFUNCTION("""COMPUTED_VALUE"""),"Very Good")</f>
        <v>Very Good</v>
      </c>
      <c r="Y1634" s="138" t="str">
        <f>IFERROR(__xludf.DUMMYFUNCTION("""COMPUTED_VALUE"""),"Excellent")</f>
        <v>Excellent</v>
      </c>
      <c r="Z1634" s="138" t="str">
        <f>IFERROR(__xludf.DUMMYFUNCTION("""COMPUTED_VALUE"""),"Very Good")</f>
        <v>Very Good</v>
      </c>
      <c r="AA1634" s="138" t="str">
        <f>IFERROR(__xludf.DUMMYFUNCTION("""COMPUTED_VALUE"""),"Good")</f>
        <v>Good</v>
      </c>
      <c r="AB1634" s="138" t="str">
        <f>IFERROR(__xludf.DUMMYFUNCTION("""COMPUTED_VALUE"""),"Good")</f>
        <v>Good</v>
      </c>
      <c r="AC1634" s="139"/>
      <c r="AD1634" s="139"/>
      <c r="AE1634" s="139"/>
      <c r="AF1634" s="140"/>
      <c r="AG1634" s="136"/>
      <c r="AH1634" s="157">
        <f>IFERROR(__xludf.DUMMYFUNCTION("""COMPUTED_VALUE"""),43805.76008413194)</f>
        <v>43805.76008</v>
      </c>
      <c r="AI1634" s="138"/>
      <c r="AJ1634" s="138"/>
      <c r="AK1634" s="138"/>
      <c r="AL1634" s="142"/>
    </row>
    <row r="1635" ht="20.25" customHeight="1">
      <c r="A1635" s="155" t="str">
        <f>IFERROR(__xludf.DUMMYFUNCTION("""COMPUTED_VALUE"""),"iringem")</f>
        <v>iringem</v>
      </c>
      <c r="B1635" s="149" t="str">
        <f>IFERROR(__xludf.DUMMYFUNCTION("""COMPUTED_VALUE"""),"Richmond")</f>
        <v>Richmond</v>
      </c>
      <c r="C1635" s="149" t="str">
        <f>IFERROR(__xludf.DUMMYFUNCTION("""COMPUTED_VALUE"""),"VA")</f>
        <v>VA</v>
      </c>
      <c r="D1635" s="149" t="str">
        <f>IFERROR(__xludf.DUMMYFUNCTION("""COMPUTED_VALUE"""),"USA")</f>
        <v>USA</v>
      </c>
      <c r="E1635" s="156">
        <f>IFERROR(__xludf.DUMMYFUNCTION("""COMPUTED_VALUE"""),43751.0)</f>
        <v>43751</v>
      </c>
      <c r="F1635" s="129">
        <f>IFERROR(__xludf.DUMMYFUNCTION("""COMPUTED_VALUE"""),43802.0)</f>
        <v>43802</v>
      </c>
      <c r="G1635" s="154"/>
      <c r="H1635" s="131">
        <f>IFERROR(__xludf.DUMMYFUNCTION("""COMPUTED_VALUE"""),602993.0)</f>
        <v>602993</v>
      </c>
      <c r="I1635" s="144"/>
      <c r="J1635" s="129">
        <f>IFERROR(__xludf.DUMMYFUNCTION("""COMPUTED_VALUE"""),43810.0)</f>
        <v>43810</v>
      </c>
      <c r="K1635" s="133">
        <f>IFERROR(__xludf.DUMMYFUNCTION("""COMPUTED_VALUE"""),51.0)</f>
        <v>51</v>
      </c>
      <c r="L1635" s="133">
        <f>IFERROR(__xludf.DUMMYFUNCTION("""COMPUTED_VALUE"""),8.0)</f>
        <v>8</v>
      </c>
      <c r="M1635" s="133">
        <f>IFERROR(__xludf.DUMMYFUNCTION("""COMPUTED_VALUE"""),59.0)</f>
        <v>59</v>
      </c>
      <c r="N1635" s="152" t="str">
        <f>IFERROR(__xludf.DUMMYFUNCTION("""COMPUTED_VALUE"""),"Model 3 Performance")</f>
        <v>Model 3 Performance</v>
      </c>
      <c r="O1635" s="152" t="str">
        <f>IFERROR(__xludf.DUMMYFUNCTION("""COMPUTED_VALUE"""),"Red Multi-Coat")</f>
        <v>Red Multi-Coat</v>
      </c>
      <c r="P1635" s="153" t="str">
        <f>IFERROR(__xludf.DUMMYFUNCTION("""COMPUTED_VALUE"""),"20 inch Sport")</f>
        <v>20 inch Sport</v>
      </c>
      <c r="Q1635" s="152" t="str">
        <f>IFERROR(__xludf.DUMMYFUNCTION("""COMPUTED_VALUE"""),"Black seats")</f>
        <v>Black seats</v>
      </c>
      <c r="R1635" s="149" t="str">
        <f>IFERROR(__xludf.DUMMYFUNCTION("""COMPUTED_VALUE"""),"Autopilot")</f>
        <v>Autopilot</v>
      </c>
      <c r="S1635" s="149"/>
      <c r="T1635" s="145"/>
      <c r="U1635" s="145"/>
      <c r="V1635" s="145"/>
      <c r="W1635" s="136"/>
      <c r="X1635" s="137" t="str">
        <f>IFERROR(__xludf.DUMMYFUNCTION("""COMPUTED_VALUE"""),"Very Good")</f>
        <v>Very Good</v>
      </c>
      <c r="Y1635" s="138" t="str">
        <f>IFERROR(__xludf.DUMMYFUNCTION("""COMPUTED_VALUE"""),"Excellent")</f>
        <v>Excellent</v>
      </c>
      <c r="Z1635" s="138" t="str">
        <f>IFERROR(__xludf.DUMMYFUNCTION("""COMPUTED_VALUE"""),"Good")</f>
        <v>Good</v>
      </c>
      <c r="AA1635" s="138" t="str">
        <f>IFERROR(__xludf.DUMMYFUNCTION("""COMPUTED_VALUE"""),"Fair")</f>
        <v>Fair</v>
      </c>
      <c r="AB1635" s="138" t="str">
        <f>IFERROR(__xludf.DUMMYFUNCTION("""COMPUTED_VALUE"""),"Fair")</f>
        <v>Fair</v>
      </c>
      <c r="AC1635" s="139"/>
      <c r="AD1635" s="139">
        <f>IFERROR(__xludf.DUMMYFUNCTION("""COMPUTED_VALUE"""),0.0)</f>
        <v>0</v>
      </c>
      <c r="AE1635" s="139">
        <f>IFERROR(__xludf.DUMMYFUNCTION("""COMPUTED_VALUE"""),0.0)</f>
        <v>0</v>
      </c>
      <c r="AF1635" s="140"/>
      <c r="AG1635" s="136" t="str">
        <f>IFERROR(__xludf.DUMMYFUNCTION("""COMPUTED_VALUE"""),"This car was up to the fit and finish standards of BMW and Mercedes.")</f>
        <v>This car was up to the fit and finish standards of BMW and Mercedes.</v>
      </c>
      <c r="AH1635" s="157">
        <f>IFERROR(__xludf.DUMMYFUNCTION("""COMPUTED_VALUE"""),43823.42691454861)</f>
        <v>43823.42691</v>
      </c>
      <c r="AI1635" s="138"/>
      <c r="AJ1635" s="138"/>
      <c r="AK1635" s="138"/>
      <c r="AL1635" s="142"/>
    </row>
    <row r="1636" ht="20.25" customHeight="1">
      <c r="A1636" s="155" t="str">
        <f>IFERROR(__xludf.DUMMYFUNCTION("""COMPUTED_VALUE"""),"limmy")</f>
        <v>limmy</v>
      </c>
      <c r="B1636" s="149" t="str">
        <f>IFERROR(__xludf.DUMMYFUNCTION("""COMPUTED_VALUE"""),"Huntington Beach")</f>
        <v>Huntington Beach</v>
      </c>
      <c r="C1636" s="149" t="str">
        <f>IFERROR(__xludf.DUMMYFUNCTION("""COMPUTED_VALUE"""),"CA")</f>
        <v>CA</v>
      </c>
      <c r="D1636" s="149" t="str">
        <f>IFERROR(__xludf.DUMMYFUNCTION("""COMPUTED_VALUE"""),"USA")</f>
        <v>USA</v>
      </c>
      <c r="E1636" s="156">
        <f>IFERROR(__xludf.DUMMYFUNCTION("""COMPUTED_VALUE"""),43751.0)</f>
        <v>43751</v>
      </c>
      <c r="F1636" s="129">
        <f>IFERROR(__xludf.DUMMYFUNCTION("""COMPUTED_VALUE"""),43814.0)</f>
        <v>43814</v>
      </c>
      <c r="G1636" s="154"/>
      <c r="H1636" s="131">
        <f>IFERROR(__xludf.DUMMYFUNCTION("""COMPUTED_VALUE"""),616896.0)</f>
        <v>616896</v>
      </c>
      <c r="I1636" s="144"/>
      <c r="J1636" s="129">
        <f>IFERROR(__xludf.DUMMYFUNCTION("""COMPUTED_VALUE"""),43814.0)</f>
        <v>43814</v>
      </c>
      <c r="K1636" s="133">
        <f>IFERROR(__xludf.DUMMYFUNCTION("""COMPUTED_VALUE"""),63.0)</f>
        <v>63</v>
      </c>
      <c r="L1636" s="133">
        <f>IFERROR(__xludf.DUMMYFUNCTION("""COMPUTED_VALUE"""),0.0)</f>
        <v>0</v>
      </c>
      <c r="M1636" s="133">
        <f>IFERROR(__xludf.DUMMYFUNCTION("""COMPUTED_VALUE"""),63.0)</f>
        <v>63</v>
      </c>
      <c r="N1636" s="152" t="str">
        <f>IFERROR(__xludf.DUMMYFUNCTION("""COMPUTED_VALUE"""),"Model 3 LR AWD")</f>
        <v>Model 3 LR AWD</v>
      </c>
      <c r="O1636" s="152" t="str">
        <f>IFERROR(__xludf.DUMMYFUNCTION("""COMPUTED_VALUE"""),"Midnight Silver Metallic")</f>
        <v>Midnight Silver Metallic</v>
      </c>
      <c r="P1636" s="153" t="str">
        <f>IFERROR(__xludf.DUMMYFUNCTION("""COMPUTED_VALUE"""),"18 inch Aero")</f>
        <v>18 inch Aero</v>
      </c>
      <c r="Q1636" s="152" t="str">
        <f>IFERROR(__xludf.DUMMYFUNCTION("""COMPUTED_VALUE"""),"Black seats")</f>
        <v>Black seats</v>
      </c>
      <c r="R1636" s="149" t="str">
        <f>IFERROR(__xludf.DUMMYFUNCTION("""COMPUTED_VALUE"""),"Full Self-Driving")</f>
        <v>Full Self-Driving</v>
      </c>
      <c r="S1636" s="149"/>
      <c r="T1636" s="145"/>
      <c r="U1636" s="145"/>
      <c r="V1636" s="145"/>
      <c r="W1636" s="136"/>
      <c r="X1636" s="137" t="str">
        <f>IFERROR(__xludf.DUMMYFUNCTION("""COMPUTED_VALUE"""),"Excellent")</f>
        <v>Excellent</v>
      </c>
      <c r="Y1636" s="138" t="str">
        <f>IFERROR(__xludf.DUMMYFUNCTION("""COMPUTED_VALUE"""),"Excellent")</f>
        <v>Excellent</v>
      </c>
      <c r="Z1636" s="138" t="str">
        <f>IFERROR(__xludf.DUMMYFUNCTION("""COMPUTED_VALUE"""),"Excellent")</f>
        <v>Excellent</v>
      </c>
      <c r="AA1636" s="138" t="str">
        <f>IFERROR(__xludf.DUMMYFUNCTION("""COMPUTED_VALUE"""),"Good")</f>
        <v>Good</v>
      </c>
      <c r="AB1636" s="138" t="str">
        <f>IFERROR(__xludf.DUMMYFUNCTION("""COMPUTED_VALUE"""),"Excellent")</f>
        <v>Excellent</v>
      </c>
      <c r="AC1636" s="139"/>
      <c r="AD1636" s="139"/>
      <c r="AE1636" s="139"/>
      <c r="AF1636" s="140"/>
      <c r="AG1636" s="136"/>
      <c r="AH1636" s="157">
        <f>IFERROR(__xludf.DUMMYFUNCTION("""COMPUTED_VALUE"""),43814.89208356482)</f>
        <v>43814.89208</v>
      </c>
      <c r="AI1636" s="138"/>
      <c r="AJ1636" s="138"/>
      <c r="AK1636" s="138"/>
      <c r="AL1636" s="142"/>
    </row>
    <row r="1637" ht="20.25" customHeight="1">
      <c r="A1637" s="155" t="str">
        <f>IFERROR(__xludf.DUMMYFUNCTION("""COMPUTED_VALUE"""),"nuggettttzzzzz")</f>
        <v>nuggettttzzzzz</v>
      </c>
      <c r="B1637" s="149" t="str">
        <f>IFERROR(__xludf.DUMMYFUNCTION("""COMPUTED_VALUE"""),"Los Angeles")</f>
        <v>Los Angeles</v>
      </c>
      <c r="C1637" s="149" t="str">
        <f>IFERROR(__xludf.DUMMYFUNCTION("""COMPUTED_VALUE"""),"CA")</f>
        <v>CA</v>
      </c>
      <c r="D1637" s="149" t="str">
        <f>IFERROR(__xludf.DUMMYFUNCTION("""COMPUTED_VALUE"""),"USA")</f>
        <v>USA</v>
      </c>
      <c r="E1637" s="156">
        <f>IFERROR(__xludf.DUMMYFUNCTION("""COMPUTED_VALUE"""),43751.0)</f>
        <v>43751</v>
      </c>
      <c r="F1637" s="129">
        <f>IFERROR(__xludf.DUMMYFUNCTION("""COMPUTED_VALUE"""),43825.0)</f>
        <v>43825</v>
      </c>
      <c r="G1637" s="154"/>
      <c r="H1637" s="131">
        <f>IFERROR(__xludf.DUMMYFUNCTION("""COMPUTED_VALUE"""),651455.0)</f>
        <v>651455</v>
      </c>
      <c r="I1637" s="144" t="str">
        <f>IFERROR(__xludf.DUMMYFUNCTION("""COMPUTED_VALUE"""),"12/19")</f>
        <v>12/19</v>
      </c>
      <c r="J1637" s="129">
        <f>IFERROR(__xludf.DUMMYFUNCTION("""COMPUTED_VALUE"""),43835.0)</f>
        <v>43835</v>
      </c>
      <c r="K1637" s="133">
        <f>IFERROR(__xludf.DUMMYFUNCTION("""COMPUTED_VALUE"""),74.0)</f>
        <v>74</v>
      </c>
      <c r="L1637" s="133">
        <f>IFERROR(__xludf.DUMMYFUNCTION("""COMPUTED_VALUE"""),10.0)</f>
        <v>10</v>
      </c>
      <c r="M1637" s="133">
        <f>IFERROR(__xludf.DUMMYFUNCTION("""COMPUTED_VALUE"""),84.0)</f>
        <v>84</v>
      </c>
      <c r="N1637" s="152" t="str">
        <f>IFERROR(__xludf.DUMMYFUNCTION("""COMPUTED_VALUE"""),"Model 3 LR AWD")</f>
        <v>Model 3 LR AWD</v>
      </c>
      <c r="O1637" s="152" t="str">
        <f>IFERROR(__xludf.DUMMYFUNCTION("""COMPUTED_VALUE"""),"Red Multi-Coat")</f>
        <v>Red Multi-Coat</v>
      </c>
      <c r="P1637" s="153" t="str">
        <f>IFERROR(__xludf.DUMMYFUNCTION("""COMPUTED_VALUE"""),"18 inch Aero")</f>
        <v>18 inch Aero</v>
      </c>
      <c r="Q1637" s="152" t="str">
        <f>IFERROR(__xludf.DUMMYFUNCTION("""COMPUTED_VALUE"""),"White seats")</f>
        <v>White seats</v>
      </c>
      <c r="R1637" s="149" t="str">
        <f>IFERROR(__xludf.DUMMYFUNCTION("""COMPUTED_VALUE"""),"Full Self-Driving")</f>
        <v>Full Self-Driving</v>
      </c>
      <c r="S1637" s="149"/>
      <c r="T1637" s="145"/>
      <c r="U1637" s="145"/>
      <c r="V1637" s="145"/>
      <c r="W1637" s="136"/>
      <c r="X1637" s="137" t="str">
        <f>IFERROR(__xludf.DUMMYFUNCTION("""COMPUTED_VALUE"""),"Good")</f>
        <v>Good</v>
      </c>
      <c r="Y1637" s="138" t="str">
        <f>IFERROR(__xludf.DUMMYFUNCTION("""COMPUTED_VALUE"""),"Excellent")</f>
        <v>Excellent</v>
      </c>
      <c r="Z1637" s="138" t="str">
        <f>IFERROR(__xludf.DUMMYFUNCTION("""COMPUTED_VALUE"""),"Fair")</f>
        <v>Fair</v>
      </c>
      <c r="AA1637" s="138" t="str">
        <f>IFERROR(__xludf.DUMMYFUNCTION("""COMPUTED_VALUE"""),"Poor")</f>
        <v>Poor</v>
      </c>
      <c r="AB1637" s="138" t="str">
        <f>IFERROR(__xludf.DUMMYFUNCTION("""COMPUTED_VALUE"""),"Good")</f>
        <v>Good</v>
      </c>
      <c r="AC1637" s="139">
        <f>IFERROR(__xludf.DUMMYFUNCTION("""COMPUTED_VALUE"""),4.0)</f>
        <v>4</v>
      </c>
      <c r="AD1637" s="139"/>
      <c r="AE1637" s="139"/>
      <c r="AF1637" s="140"/>
      <c r="AG1637" s="136"/>
      <c r="AH1637" s="157">
        <f>IFERROR(__xludf.DUMMYFUNCTION("""COMPUTED_VALUE"""),43836.41811355324)</f>
        <v>43836.41811</v>
      </c>
      <c r="AI1637" s="138"/>
      <c r="AJ1637" s="138"/>
      <c r="AK1637" s="138"/>
      <c r="AL1637" s="142"/>
    </row>
    <row r="1638" ht="20.25" customHeight="1">
      <c r="A1638" s="155" t="str">
        <f>IFERROR(__xludf.DUMMYFUNCTION("""COMPUTED_VALUE"""),"DCJoe")</f>
        <v>DCJoe</v>
      </c>
      <c r="B1638" s="149" t="str">
        <f>IFERROR(__xludf.DUMMYFUNCTION("""COMPUTED_VALUE"""),"Washington")</f>
        <v>Washington</v>
      </c>
      <c r="C1638" s="149" t="str">
        <f>IFERROR(__xludf.DUMMYFUNCTION("""COMPUTED_VALUE"""),"DC")</f>
        <v>DC</v>
      </c>
      <c r="D1638" s="149" t="str">
        <f>IFERROR(__xludf.DUMMYFUNCTION("""COMPUTED_VALUE"""),"USA")</f>
        <v>USA</v>
      </c>
      <c r="E1638" s="156">
        <f>IFERROR(__xludf.DUMMYFUNCTION("""COMPUTED_VALUE"""),43750.0)</f>
        <v>43750</v>
      </c>
      <c r="F1638" s="129">
        <f>IFERROR(__xludf.DUMMYFUNCTION("""COMPUTED_VALUE"""),43801.0)</f>
        <v>43801</v>
      </c>
      <c r="G1638" s="154"/>
      <c r="H1638" s="131">
        <f>IFERROR(__xludf.DUMMYFUNCTION("""COMPUTED_VALUE"""),621955.0)</f>
        <v>621955</v>
      </c>
      <c r="I1638" s="144"/>
      <c r="J1638" s="129">
        <f>IFERROR(__xludf.DUMMYFUNCTION("""COMPUTED_VALUE"""),43819.0)</f>
        <v>43819</v>
      </c>
      <c r="K1638" s="133">
        <f>IFERROR(__xludf.DUMMYFUNCTION("""COMPUTED_VALUE"""),51.0)</f>
        <v>51</v>
      </c>
      <c r="L1638" s="133">
        <f>IFERROR(__xludf.DUMMYFUNCTION("""COMPUTED_VALUE"""),18.0)</f>
        <v>18</v>
      </c>
      <c r="M1638" s="133">
        <f>IFERROR(__xludf.DUMMYFUNCTION("""COMPUTED_VALUE"""),69.0)</f>
        <v>69</v>
      </c>
      <c r="N1638" s="152" t="str">
        <f>IFERROR(__xludf.DUMMYFUNCTION("""COMPUTED_VALUE"""),"Model 3 LR AWD")</f>
        <v>Model 3 LR AWD</v>
      </c>
      <c r="O1638" s="152" t="str">
        <f>IFERROR(__xludf.DUMMYFUNCTION("""COMPUTED_VALUE"""),"Deep Blue Metallic")</f>
        <v>Deep Blue Metallic</v>
      </c>
      <c r="P1638" s="153" t="str">
        <f>IFERROR(__xludf.DUMMYFUNCTION("""COMPUTED_VALUE"""),"18 inch Aero")</f>
        <v>18 inch Aero</v>
      </c>
      <c r="Q1638" s="152" t="str">
        <f>IFERROR(__xludf.DUMMYFUNCTION("""COMPUTED_VALUE"""),"White seats")</f>
        <v>White seats</v>
      </c>
      <c r="R1638" s="149" t="str">
        <f>IFERROR(__xludf.DUMMYFUNCTION("""COMPUTED_VALUE"""),"Full Self-Driving")</f>
        <v>Full Self-Driving</v>
      </c>
      <c r="S1638" s="149"/>
      <c r="T1638" s="145"/>
      <c r="U1638" s="145"/>
      <c r="V1638" s="145"/>
      <c r="W1638" s="136"/>
      <c r="X1638" s="137" t="str">
        <f>IFERROR(__xludf.DUMMYFUNCTION("""COMPUTED_VALUE"""),"Excellent")</f>
        <v>Excellent</v>
      </c>
      <c r="Y1638" s="138" t="str">
        <f>IFERROR(__xludf.DUMMYFUNCTION("""COMPUTED_VALUE"""),"Excellent")</f>
        <v>Excellent</v>
      </c>
      <c r="Z1638" s="138" t="str">
        <f>IFERROR(__xludf.DUMMYFUNCTION("""COMPUTED_VALUE"""),"Excellent")</f>
        <v>Excellent</v>
      </c>
      <c r="AA1638" s="138" t="str">
        <f>IFERROR(__xludf.DUMMYFUNCTION("""COMPUTED_VALUE"""),"Excellent")</f>
        <v>Excellent</v>
      </c>
      <c r="AB1638" s="138" t="str">
        <f>IFERROR(__xludf.DUMMYFUNCTION("""COMPUTED_VALUE"""),"Excellent")</f>
        <v>Excellent</v>
      </c>
      <c r="AC1638" s="139">
        <f>IFERROR(__xludf.DUMMYFUNCTION("""COMPUTED_VALUE"""),0.0)</f>
        <v>0</v>
      </c>
      <c r="AD1638" s="139">
        <f>IFERROR(__xludf.DUMMYFUNCTION("""COMPUTED_VALUE"""),0.0)</f>
        <v>0</v>
      </c>
      <c r="AE1638" s="139">
        <f>IFERROR(__xludf.DUMMYFUNCTION("""COMPUTED_VALUE"""),0.0)</f>
        <v>0</v>
      </c>
      <c r="AF1638" s="140"/>
      <c r="AG1638" s="136"/>
      <c r="AH1638" s="157">
        <f>IFERROR(__xludf.DUMMYFUNCTION("""COMPUTED_VALUE"""),43820.95240596065)</f>
        <v>43820.95241</v>
      </c>
      <c r="AI1638" s="138"/>
      <c r="AJ1638" s="138"/>
      <c r="AK1638" s="138"/>
      <c r="AL1638" s="142"/>
    </row>
    <row r="1639" ht="20.25" customHeight="1">
      <c r="A1639" s="155" t="str">
        <f>IFERROR(__xludf.DUMMYFUNCTION("""COMPUTED_VALUE"""),"elperrofumando")</f>
        <v>elperrofumando</v>
      </c>
      <c r="B1639" s="149" t="str">
        <f>IFERROR(__xludf.DUMMYFUNCTION("""COMPUTED_VALUE"""),"Cherry Hill")</f>
        <v>Cherry Hill</v>
      </c>
      <c r="C1639" s="149" t="str">
        <f>IFERROR(__xludf.DUMMYFUNCTION("""COMPUTED_VALUE"""),"NJ")</f>
        <v>NJ</v>
      </c>
      <c r="D1639" s="149" t="str">
        <f>IFERROR(__xludf.DUMMYFUNCTION("""COMPUTED_VALUE"""),"USA")</f>
        <v>USA</v>
      </c>
      <c r="E1639" s="156">
        <f>IFERROR(__xludf.DUMMYFUNCTION("""COMPUTED_VALUE"""),43750.0)</f>
        <v>43750</v>
      </c>
      <c r="F1639" s="129">
        <f>IFERROR(__xludf.DUMMYFUNCTION("""COMPUTED_VALUE"""),43802.0)</f>
        <v>43802</v>
      </c>
      <c r="G1639" s="154"/>
      <c r="H1639" s="131">
        <f>IFERROR(__xludf.DUMMYFUNCTION("""COMPUTED_VALUE"""),602914.0)</f>
        <v>602914</v>
      </c>
      <c r="I1639" s="144" t="str">
        <f>IFERROR(__xludf.DUMMYFUNCTION("""COMPUTED_VALUE"""),"12/19")</f>
        <v>12/19</v>
      </c>
      <c r="J1639" s="129">
        <f>IFERROR(__xludf.DUMMYFUNCTION("""COMPUTED_VALUE"""),43819.0)</f>
        <v>43819</v>
      </c>
      <c r="K1639" s="133">
        <f>IFERROR(__xludf.DUMMYFUNCTION("""COMPUTED_VALUE"""),52.0)</f>
        <v>52</v>
      </c>
      <c r="L1639" s="133">
        <f>IFERROR(__xludf.DUMMYFUNCTION("""COMPUTED_VALUE"""),17.0)</f>
        <v>17</v>
      </c>
      <c r="M1639" s="133">
        <f>IFERROR(__xludf.DUMMYFUNCTION("""COMPUTED_VALUE"""),69.0)</f>
        <v>69</v>
      </c>
      <c r="N1639" s="152" t="str">
        <f>IFERROR(__xludf.DUMMYFUNCTION("""COMPUTED_VALUE"""),"Model 3 Performance")</f>
        <v>Model 3 Performance</v>
      </c>
      <c r="O1639" s="152" t="str">
        <f>IFERROR(__xludf.DUMMYFUNCTION("""COMPUTED_VALUE"""),"Midnight Silver Metallic")</f>
        <v>Midnight Silver Metallic</v>
      </c>
      <c r="P1639" s="153" t="str">
        <f>IFERROR(__xludf.DUMMYFUNCTION("""COMPUTED_VALUE"""),"20 inch Sport")</f>
        <v>20 inch Sport</v>
      </c>
      <c r="Q1639" s="152" t="str">
        <f>IFERROR(__xludf.DUMMYFUNCTION("""COMPUTED_VALUE"""),"Black seats")</f>
        <v>Black seats</v>
      </c>
      <c r="R1639" s="149" t="str">
        <f>IFERROR(__xludf.DUMMYFUNCTION("""COMPUTED_VALUE"""),"Full Self-Driving")</f>
        <v>Full Self-Driving</v>
      </c>
      <c r="S1639" s="149"/>
      <c r="T1639" s="145"/>
      <c r="U1639" s="145"/>
      <c r="V1639" s="145"/>
      <c r="W1639" s="136"/>
      <c r="X1639" s="137" t="str">
        <f>IFERROR(__xludf.DUMMYFUNCTION("""COMPUTED_VALUE"""),"Very Good")</f>
        <v>Very Good</v>
      </c>
      <c r="Y1639" s="138" t="str">
        <f>IFERROR(__xludf.DUMMYFUNCTION("""COMPUTED_VALUE"""),"Excellent")</f>
        <v>Excellent</v>
      </c>
      <c r="Z1639" s="138" t="str">
        <f>IFERROR(__xludf.DUMMYFUNCTION("""COMPUTED_VALUE"""),"Very Good")</f>
        <v>Very Good</v>
      </c>
      <c r="AA1639" s="138" t="str">
        <f>IFERROR(__xludf.DUMMYFUNCTION("""COMPUTED_VALUE"""),"Excellent")</f>
        <v>Excellent</v>
      </c>
      <c r="AB1639" s="138" t="str">
        <f>IFERROR(__xludf.DUMMYFUNCTION("""COMPUTED_VALUE"""),"Excellent")</f>
        <v>Excellent</v>
      </c>
      <c r="AC1639" s="139"/>
      <c r="AD1639" s="139"/>
      <c r="AE1639" s="139"/>
      <c r="AF1639" s="140"/>
      <c r="AG1639" s="136"/>
      <c r="AH1639" s="157">
        <f>IFERROR(__xludf.DUMMYFUNCTION("""COMPUTED_VALUE"""),43820.0763941551)</f>
        <v>43820.07639</v>
      </c>
      <c r="AI1639" s="138"/>
      <c r="AJ1639" s="138"/>
      <c r="AK1639" s="138"/>
      <c r="AL1639" s="142"/>
    </row>
    <row r="1640" ht="20.25" customHeight="1">
      <c r="A1640" s="155" t="str">
        <f>IFERROR(__xludf.DUMMYFUNCTION("""COMPUTED_VALUE"""),"MrMustard")</f>
        <v>MrMustard</v>
      </c>
      <c r="B1640" s="149"/>
      <c r="C1640" s="149" t="str">
        <f>IFERROR(__xludf.DUMMYFUNCTION("""COMPUTED_VALUE"""),"TN")</f>
        <v>TN</v>
      </c>
      <c r="D1640" s="149" t="str">
        <f>IFERROR(__xludf.DUMMYFUNCTION("""COMPUTED_VALUE"""),"USA")</f>
        <v>USA</v>
      </c>
      <c r="E1640" s="156">
        <f>IFERROR(__xludf.DUMMYFUNCTION("""COMPUTED_VALUE"""),43750.0)</f>
        <v>43750</v>
      </c>
      <c r="F1640" s="129">
        <f>IFERROR(__xludf.DUMMYFUNCTION("""COMPUTED_VALUE"""),43767.0)</f>
        <v>43767</v>
      </c>
      <c r="G1640" s="154"/>
      <c r="H1640" s="131">
        <f>IFERROR(__xludf.DUMMYFUNCTION("""COMPUTED_VALUE"""),476255.0)</f>
        <v>476255</v>
      </c>
      <c r="I1640" s="144" t="str">
        <f>IFERROR(__xludf.DUMMYFUNCTION("""COMPUTED_VALUE"""),"11/19")</f>
        <v>11/19</v>
      </c>
      <c r="J1640" s="129">
        <f>IFERROR(__xludf.DUMMYFUNCTION("""COMPUTED_VALUE"""),43789.0)</f>
        <v>43789</v>
      </c>
      <c r="K1640" s="133">
        <f>IFERROR(__xludf.DUMMYFUNCTION("""COMPUTED_VALUE"""),17.0)</f>
        <v>17</v>
      </c>
      <c r="L1640" s="133">
        <f>IFERROR(__xludf.DUMMYFUNCTION("""COMPUTED_VALUE"""),22.0)</f>
        <v>22</v>
      </c>
      <c r="M1640" s="133">
        <f>IFERROR(__xludf.DUMMYFUNCTION("""COMPUTED_VALUE"""),39.0)</f>
        <v>39</v>
      </c>
      <c r="N1640" s="152" t="str">
        <f>IFERROR(__xludf.DUMMYFUNCTION("""COMPUTED_VALUE"""),"Model 3 SR+")</f>
        <v>Model 3 SR+</v>
      </c>
      <c r="O1640" s="152" t="str">
        <f>IFERROR(__xludf.DUMMYFUNCTION("""COMPUTED_VALUE"""),"Deep Blue Metallic")</f>
        <v>Deep Blue Metallic</v>
      </c>
      <c r="P1640" s="153" t="str">
        <f>IFERROR(__xludf.DUMMYFUNCTION("""COMPUTED_VALUE"""),"18 inch Aero")</f>
        <v>18 inch Aero</v>
      </c>
      <c r="Q1640" s="152" t="str">
        <f>IFERROR(__xludf.DUMMYFUNCTION("""COMPUTED_VALUE"""),"Black seats")</f>
        <v>Black seats</v>
      </c>
      <c r="R1640" s="149" t="str">
        <f>IFERROR(__xludf.DUMMYFUNCTION("""COMPUTED_VALUE"""),"Full Self-Driving")</f>
        <v>Full Self-Driving</v>
      </c>
      <c r="S1640" s="149"/>
      <c r="T1640" s="145"/>
      <c r="U1640" s="145"/>
      <c r="V1640" s="145"/>
      <c r="W1640" s="136"/>
      <c r="X1640" s="137" t="str">
        <f>IFERROR(__xludf.DUMMYFUNCTION("""COMPUTED_VALUE"""),"Good")</f>
        <v>Good</v>
      </c>
      <c r="Y1640" s="138" t="str">
        <f>IFERROR(__xludf.DUMMYFUNCTION("""COMPUTED_VALUE"""),"Excellent")</f>
        <v>Excellent</v>
      </c>
      <c r="Z1640" s="138" t="str">
        <f>IFERROR(__xludf.DUMMYFUNCTION("""COMPUTED_VALUE"""),"Excellent")</f>
        <v>Excellent</v>
      </c>
      <c r="AA1640" s="138" t="str">
        <f>IFERROR(__xludf.DUMMYFUNCTION("""COMPUTED_VALUE"""),"Poor")</f>
        <v>Poor</v>
      </c>
      <c r="AB1640" s="138" t="str">
        <f>IFERROR(__xludf.DUMMYFUNCTION("""COMPUTED_VALUE"""),"Fair")</f>
        <v>Fair</v>
      </c>
      <c r="AC1640" s="139">
        <f>IFERROR(__xludf.DUMMYFUNCTION("""COMPUTED_VALUE"""),1.0)</f>
        <v>1</v>
      </c>
      <c r="AD1640" s="139">
        <f>IFERROR(__xludf.DUMMYFUNCTION("""COMPUTED_VALUE"""),1.0)</f>
        <v>1</v>
      </c>
      <c r="AE1640" s="139">
        <f>IFERROR(__xludf.DUMMYFUNCTION("""COMPUTED_VALUE"""),0.0)</f>
        <v>0</v>
      </c>
      <c r="AF1640" s="140"/>
      <c r="AG1640" s="136" t="str">
        <f>IFERROR(__xludf.DUMMYFUNCTION("""COMPUTED_VALUE"""),"Delivery date got bumped at the last minute, was original Nov. 4th, then Nov. 8th and now we're looking at Nov. 24th... finally picked it up on Nov. 20th")</f>
        <v>Delivery date got bumped at the last minute, was original Nov. 4th, then Nov. 8th and now we're looking at Nov. 24th... finally picked it up on Nov. 20th</v>
      </c>
      <c r="AH1640" s="157">
        <f>IFERROR(__xludf.DUMMYFUNCTION("""COMPUTED_VALUE"""),43834.85052868056)</f>
        <v>43834.85053</v>
      </c>
      <c r="AI1640" s="138"/>
      <c r="AJ1640" s="138"/>
      <c r="AK1640" s="138"/>
      <c r="AL1640" s="142"/>
    </row>
    <row r="1641" ht="20.25" customHeight="1">
      <c r="A1641" s="155" t="str">
        <f>IFERROR(__xludf.DUMMYFUNCTION("""COMPUTED_VALUE"""),"Pharmerdav")</f>
        <v>Pharmerdav</v>
      </c>
      <c r="B1641" s="149" t="str">
        <f>IFERROR(__xludf.DUMMYFUNCTION("""COMPUTED_VALUE"""),"Clovis")</f>
        <v>Clovis</v>
      </c>
      <c r="C1641" s="149" t="str">
        <f>IFERROR(__xludf.DUMMYFUNCTION("""COMPUTED_VALUE"""),"CA")</f>
        <v>CA</v>
      </c>
      <c r="D1641" s="149" t="str">
        <f>IFERROR(__xludf.DUMMYFUNCTION("""COMPUTED_VALUE"""),"USA")</f>
        <v>USA</v>
      </c>
      <c r="E1641" s="156">
        <f>IFERROR(__xludf.DUMMYFUNCTION("""COMPUTED_VALUE"""),43750.0)</f>
        <v>43750</v>
      </c>
      <c r="F1641" s="129">
        <f>IFERROR(__xludf.DUMMYFUNCTION("""COMPUTED_VALUE"""),43791.0)</f>
        <v>43791</v>
      </c>
      <c r="G1641" s="154"/>
      <c r="H1641" s="131">
        <f>IFERROR(__xludf.DUMMYFUNCTION("""COMPUTED_VALUE"""),590980.0)</f>
        <v>590980</v>
      </c>
      <c r="I1641" s="144"/>
      <c r="J1641" s="129">
        <f>IFERROR(__xludf.DUMMYFUNCTION("""COMPUTED_VALUE"""),43796.0)</f>
        <v>43796</v>
      </c>
      <c r="K1641" s="133">
        <f>IFERROR(__xludf.DUMMYFUNCTION("""COMPUTED_VALUE"""),41.0)</f>
        <v>41</v>
      </c>
      <c r="L1641" s="133">
        <f>IFERROR(__xludf.DUMMYFUNCTION("""COMPUTED_VALUE"""),5.0)</f>
        <v>5</v>
      </c>
      <c r="M1641" s="133">
        <f>IFERROR(__xludf.DUMMYFUNCTION("""COMPUTED_VALUE"""),46.0)</f>
        <v>46</v>
      </c>
      <c r="N1641" s="152" t="str">
        <f>IFERROR(__xludf.DUMMYFUNCTION("""COMPUTED_VALUE"""),"Model 3 SR+")</f>
        <v>Model 3 SR+</v>
      </c>
      <c r="O1641" s="152" t="str">
        <f>IFERROR(__xludf.DUMMYFUNCTION("""COMPUTED_VALUE"""),"Pearl White Multi-Coat")</f>
        <v>Pearl White Multi-Coat</v>
      </c>
      <c r="P1641" s="153" t="str">
        <f>IFERROR(__xludf.DUMMYFUNCTION("""COMPUTED_VALUE"""),"19 inch Sport")</f>
        <v>19 inch Sport</v>
      </c>
      <c r="Q1641" s="152" t="str">
        <f>IFERROR(__xludf.DUMMYFUNCTION("""COMPUTED_VALUE"""),"Black seats")</f>
        <v>Black seats</v>
      </c>
      <c r="R1641" s="149" t="str">
        <f>IFERROR(__xludf.DUMMYFUNCTION("""COMPUTED_VALUE"""),"Autopilot")</f>
        <v>Autopilot</v>
      </c>
      <c r="S1641" s="149"/>
      <c r="T1641" s="145"/>
      <c r="U1641" s="145"/>
      <c r="V1641" s="145"/>
      <c r="W1641" s="136"/>
      <c r="X1641" s="137" t="str">
        <f>IFERROR(__xludf.DUMMYFUNCTION("""COMPUTED_VALUE"""),"Very Good")</f>
        <v>Very Good</v>
      </c>
      <c r="Y1641" s="138" t="str">
        <f>IFERROR(__xludf.DUMMYFUNCTION("""COMPUTED_VALUE"""),"Excellent")</f>
        <v>Excellent</v>
      </c>
      <c r="Z1641" s="138" t="str">
        <f>IFERROR(__xludf.DUMMYFUNCTION("""COMPUTED_VALUE"""),"Very Good")</f>
        <v>Very Good</v>
      </c>
      <c r="AA1641" s="138" t="str">
        <f>IFERROR(__xludf.DUMMYFUNCTION("""COMPUTED_VALUE"""),"Very Good")</f>
        <v>Very Good</v>
      </c>
      <c r="AB1641" s="138" t="str">
        <f>IFERROR(__xludf.DUMMYFUNCTION("""COMPUTED_VALUE"""),"Very Good")</f>
        <v>Very Good</v>
      </c>
      <c r="AC1641" s="139">
        <f>IFERROR(__xludf.DUMMYFUNCTION("""COMPUTED_VALUE"""),1.0)</f>
        <v>1</v>
      </c>
      <c r="AD1641" s="139"/>
      <c r="AE1641" s="139"/>
      <c r="AF1641" s="140"/>
      <c r="AG1641" s="136" t="str">
        <f>IFERROR(__xludf.DUMMYFUNCTION("""COMPUTED_VALUE"""),"Got a text saying the M3 will be done and expected delivery to be between 11/22 - 11/30")</f>
        <v>Got a text saying the M3 will be done and expected delivery to be between 11/22 - 11/30</v>
      </c>
      <c r="AH1641" s="157">
        <f>IFERROR(__xludf.DUMMYFUNCTION("""COMPUTED_VALUE"""),43797.7839640625)</f>
        <v>43797.78396</v>
      </c>
      <c r="AI1641" s="138"/>
      <c r="AJ1641" s="138"/>
      <c r="AK1641" s="138"/>
      <c r="AL1641" s="142"/>
    </row>
    <row r="1642" ht="20.25" customHeight="1">
      <c r="A1642" s="155" t="str">
        <f>IFERROR(__xludf.DUMMYFUNCTION("""COMPUTED_VALUE"""),"spazmonkey")</f>
        <v>spazmonkey</v>
      </c>
      <c r="B1642" s="149" t="str">
        <f>IFERROR(__xludf.DUMMYFUNCTION("""COMPUTED_VALUE"""),"Los Angeles")</f>
        <v>Los Angeles</v>
      </c>
      <c r="C1642" s="149" t="str">
        <f>IFERROR(__xludf.DUMMYFUNCTION("""COMPUTED_VALUE"""),"CA")</f>
        <v>CA</v>
      </c>
      <c r="D1642" s="149" t="str">
        <f>IFERROR(__xludf.DUMMYFUNCTION("""COMPUTED_VALUE"""),"USA")</f>
        <v>USA</v>
      </c>
      <c r="E1642" s="156">
        <f>IFERROR(__xludf.DUMMYFUNCTION("""COMPUTED_VALUE"""),43750.0)</f>
        <v>43750</v>
      </c>
      <c r="F1642" s="129">
        <f>IFERROR(__xludf.DUMMYFUNCTION("""COMPUTED_VALUE"""),43812.0)</f>
        <v>43812</v>
      </c>
      <c r="G1642" s="154"/>
      <c r="H1642" s="131">
        <f>IFERROR(__xludf.DUMMYFUNCTION("""COMPUTED_VALUE"""),618855.0)</f>
        <v>618855</v>
      </c>
      <c r="I1642" s="144" t="str">
        <f>IFERROR(__xludf.DUMMYFUNCTION("""COMPUTED_VALUE"""),"12/19")</f>
        <v>12/19</v>
      </c>
      <c r="J1642" s="129">
        <f>IFERROR(__xludf.DUMMYFUNCTION("""COMPUTED_VALUE"""),43814.0)</f>
        <v>43814</v>
      </c>
      <c r="K1642" s="133">
        <f>IFERROR(__xludf.DUMMYFUNCTION("""COMPUTED_VALUE"""),62.0)</f>
        <v>62</v>
      </c>
      <c r="L1642" s="133">
        <f>IFERROR(__xludf.DUMMYFUNCTION("""COMPUTED_VALUE"""),2.0)</f>
        <v>2</v>
      </c>
      <c r="M1642" s="133">
        <f>IFERROR(__xludf.DUMMYFUNCTION("""COMPUTED_VALUE"""),64.0)</f>
        <v>64</v>
      </c>
      <c r="N1642" s="152" t="str">
        <f>IFERROR(__xludf.DUMMYFUNCTION("""COMPUTED_VALUE"""),"Model 3 LR AWD")</f>
        <v>Model 3 LR AWD</v>
      </c>
      <c r="O1642" s="152" t="str">
        <f>IFERROR(__xludf.DUMMYFUNCTION("""COMPUTED_VALUE"""),"Pearl White Multi-Coat")</f>
        <v>Pearl White Multi-Coat</v>
      </c>
      <c r="P1642" s="153" t="str">
        <f>IFERROR(__xludf.DUMMYFUNCTION("""COMPUTED_VALUE"""),"18 inch Aero")</f>
        <v>18 inch Aero</v>
      </c>
      <c r="Q1642" s="152" t="str">
        <f>IFERROR(__xludf.DUMMYFUNCTION("""COMPUTED_VALUE"""),"Black seats")</f>
        <v>Black seats</v>
      </c>
      <c r="R1642" s="149" t="str">
        <f>IFERROR(__xludf.DUMMYFUNCTION("""COMPUTED_VALUE"""),"Full Self-Driving")</f>
        <v>Full Self-Driving</v>
      </c>
      <c r="S1642" s="149"/>
      <c r="T1642" s="145"/>
      <c r="U1642" s="145"/>
      <c r="V1642" s="145"/>
      <c r="W1642" s="136"/>
      <c r="X1642" s="137" t="str">
        <f>IFERROR(__xludf.DUMMYFUNCTION("""COMPUTED_VALUE"""),"Good")</f>
        <v>Good</v>
      </c>
      <c r="Y1642" s="138" t="str">
        <f>IFERROR(__xludf.DUMMYFUNCTION("""COMPUTED_VALUE"""),"Good")</f>
        <v>Good</v>
      </c>
      <c r="Z1642" s="138" t="str">
        <f>IFERROR(__xludf.DUMMYFUNCTION("""COMPUTED_VALUE"""),"Good")</f>
        <v>Good</v>
      </c>
      <c r="AA1642" s="138" t="str">
        <f>IFERROR(__xludf.DUMMYFUNCTION("""COMPUTED_VALUE"""),"Poor")</f>
        <v>Poor</v>
      </c>
      <c r="AB1642" s="138" t="str">
        <f>IFERROR(__xludf.DUMMYFUNCTION("""COMPUTED_VALUE"""),"Very Good")</f>
        <v>Very Good</v>
      </c>
      <c r="AC1642" s="139"/>
      <c r="AD1642" s="139"/>
      <c r="AE1642" s="139"/>
      <c r="AF1642" s="140"/>
      <c r="AG1642" s="136" t="str">
        <f>IFERROR(__xludf.DUMMYFUNCTION("""COMPUTED_VALUE"""),"Plastic film stuck under some trim and gaskets not fully seated in numerous locations.")</f>
        <v>Plastic film stuck under some trim and gaskets not fully seated in numerous locations.</v>
      </c>
      <c r="AH1642" s="157">
        <f>IFERROR(__xludf.DUMMYFUNCTION("""COMPUTED_VALUE"""),43834.684794479166)</f>
        <v>43834.68479</v>
      </c>
      <c r="AI1642" s="138"/>
      <c r="AJ1642" s="138"/>
      <c r="AK1642" s="138"/>
      <c r="AL1642" s="142"/>
    </row>
    <row r="1643" ht="20.25" customHeight="1">
      <c r="A1643" s="155" t="str">
        <f>IFERROR(__xludf.DUMMYFUNCTION("""COMPUTED_VALUE"""),"TydalForce")</f>
        <v>TydalForce</v>
      </c>
      <c r="B1643" s="149" t="str">
        <f>IFERROR(__xludf.DUMMYFUNCTION("""COMPUTED_VALUE"""),"West Chester, PA")</f>
        <v>West Chester, PA</v>
      </c>
      <c r="C1643" s="149" t="str">
        <f>IFERROR(__xludf.DUMMYFUNCTION("""COMPUTED_VALUE"""),"PA")</f>
        <v>PA</v>
      </c>
      <c r="D1643" s="149" t="str">
        <f>IFERROR(__xludf.DUMMYFUNCTION("""COMPUTED_VALUE"""),"USA")</f>
        <v>USA</v>
      </c>
      <c r="E1643" s="156">
        <f>IFERROR(__xludf.DUMMYFUNCTION("""COMPUTED_VALUE"""),43750.0)</f>
        <v>43750</v>
      </c>
      <c r="F1643" s="129">
        <f>IFERROR(__xludf.DUMMYFUNCTION("""COMPUTED_VALUE"""),43800.0)</f>
        <v>43800</v>
      </c>
      <c r="G1643" s="154"/>
      <c r="H1643" s="131">
        <f>IFERROR(__xludf.DUMMYFUNCTION("""COMPUTED_VALUE"""),600930.0)</f>
        <v>600930</v>
      </c>
      <c r="I1643" s="144" t="str">
        <f>IFERROR(__xludf.DUMMYFUNCTION("""COMPUTED_VALUE"""),"12/19")</f>
        <v>12/19</v>
      </c>
      <c r="J1643" s="129">
        <f>IFERROR(__xludf.DUMMYFUNCTION("""COMPUTED_VALUE"""),43813.0)</f>
        <v>43813</v>
      </c>
      <c r="K1643" s="133">
        <f>IFERROR(__xludf.DUMMYFUNCTION("""COMPUTED_VALUE"""),50.0)</f>
        <v>50</v>
      </c>
      <c r="L1643" s="133">
        <f>IFERROR(__xludf.DUMMYFUNCTION("""COMPUTED_VALUE"""),13.0)</f>
        <v>13</v>
      </c>
      <c r="M1643" s="133">
        <f>IFERROR(__xludf.DUMMYFUNCTION("""COMPUTED_VALUE"""),63.0)</f>
        <v>63</v>
      </c>
      <c r="N1643" s="152" t="str">
        <f>IFERROR(__xludf.DUMMYFUNCTION("""COMPUTED_VALUE"""),"Model 3 LR AWD")</f>
        <v>Model 3 LR AWD</v>
      </c>
      <c r="O1643" s="152" t="str">
        <f>IFERROR(__xludf.DUMMYFUNCTION("""COMPUTED_VALUE"""),"Solid Black")</f>
        <v>Solid Black</v>
      </c>
      <c r="P1643" s="153" t="str">
        <f>IFERROR(__xludf.DUMMYFUNCTION("""COMPUTED_VALUE"""),"18 inch Aero")</f>
        <v>18 inch Aero</v>
      </c>
      <c r="Q1643" s="152" t="str">
        <f>IFERROR(__xludf.DUMMYFUNCTION("""COMPUTED_VALUE"""),"White seats")</f>
        <v>White seats</v>
      </c>
      <c r="R1643" s="149" t="str">
        <f>IFERROR(__xludf.DUMMYFUNCTION("""COMPUTED_VALUE"""),"Autopilot")</f>
        <v>Autopilot</v>
      </c>
      <c r="S1643" s="149"/>
      <c r="T1643" s="145"/>
      <c r="U1643" s="145"/>
      <c r="V1643" s="145"/>
      <c r="W1643" s="136"/>
      <c r="X1643" s="137" t="str">
        <f>IFERROR(__xludf.DUMMYFUNCTION("""COMPUTED_VALUE"""),"Excellent")</f>
        <v>Excellent</v>
      </c>
      <c r="Y1643" s="138" t="str">
        <f>IFERROR(__xludf.DUMMYFUNCTION("""COMPUTED_VALUE"""),"Excellent")</f>
        <v>Excellent</v>
      </c>
      <c r="Z1643" s="138" t="str">
        <f>IFERROR(__xludf.DUMMYFUNCTION("""COMPUTED_VALUE"""),"Excellent")</f>
        <v>Excellent</v>
      </c>
      <c r="AA1643" s="138" t="str">
        <f>IFERROR(__xludf.DUMMYFUNCTION("""COMPUTED_VALUE"""),"Very Good")</f>
        <v>Very Good</v>
      </c>
      <c r="AB1643" s="138" t="str">
        <f>IFERROR(__xludf.DUMMYFUNCTION("""COMPUTED_VALUE"""),"Excellent")</f>
        <v>Excellent</v>
      </c>
      <c r="AC1643" s="139">
        <f>IFERROR(__xludf.DUMMYFUNCTION("""COMPUTED_VALUE"""),0.0)</f>
        <v>0</v>
      </c>
      <c r="AD1643" s="139">
        <f>IFERROR(__xludf.DUMMYFUNCTION("""COMPUTED_VALUE"""),0.0)</f>
        <v>0</v>
      </c>
      <c r="AE1643" s="139">
        <f>IFERROR(__xludf.DUMMYFUNCTION("""COMPUTED_VALUE"""),0.0)</f>
        <v>0</v>
      </c>
      <c r="AF1643" s="140"/>
      <c r="AG1643" s="136" t="str">
        <f>IFERROR(__xludf.DUMMYFUNCTION("""COMPUTED_VALUE"""),"VIN in Source Code 1 Dec; on Manage page 11 Dec. Delivery originally 18 Dec but upped to the 14th")</f>
        <v>VIN in Source Code 1 Dec; on Manage page 11 Dec. Delivery originally 18 Dec but upped to the 14th</v>
      </c>
      <c r="AH1643" s="157">
        <f>IFERROR(__xludf.DUMMYFUNCTION("""COMPUTED_VALUE"""),43845.1338924537)</f>
        <v>43845.13389</v>
      </c>
      <c r="AI1643" s="138"/>
      <c r="AJ1643" s="138"/>
      <c r="AK1643" s="138"/>
      <c r="AL1643" s="142"/>
    </row>
    <row r="1644" ht="20.25" customHeight="1">
      <c r="A1644" s="155" t="str">
        <f>IFERROR(__xludf.DUMMYFUNCTION("""COMPUTED_VALUE"""),"WhatToDoWithHands")</f>
        <v>WhatToDoWithHands</v>
      </c>
      <c r="B1644" s="149" t="str">
        <f>IFERROR(__xludf.DUMMYFUNCTION("""COMPUTED_VALUE"""),"West Palm Beach")</f>
        <v>West Palm Beach</v>
      </c>
      <c r="C1644" s="149" t="str">
        <f>IFERROR(__xludf.DUMMYFUNCTION("""COMPUTED_VALUE"""),"FL")</f>
        <v>FL</v>
      </c>
      <c r="D1644" s="149" t="str">
        <f>IFERROR(__xludf.DUMMYFUNCTION("""COMPUTED_VALUE"""),"USA")</f>
        <v>USA</v>
      </c>
      <c r="E1644" s="156">
        <f>IFERROR(__xludf.DUMMYFUNCTION("""COMPUTED_VALUE"""),43750.0)</f>
        <v>43750</v>
      </c>
      <c r="F1644" s="129">
        <f>IFERROR(__xludf.DUMMYFUNCTION("""COMPUTED_VALUE"""),43793.0)</f>
        <v>43793</v>
      </c>
      <c r="G1644" s="154"/>
      <c r="H1644" s="131">
        <f>IFERROR(__xludf.DUMMYFUNCTION("""COMPUTED_VALUE"""),509855.0)</f>
        <v>509855</v>
      </c>
      <c r="I1644" s="144"/>
      <c r="J1644" s="129">
        <f>IFERROR(__xludf.DUMMYFUNCTION("""COMPUTED_VALUE"""),43813.0)</f>
        <v>43813</v>
      </c>
      <c r="K1644" s="133">
        <f>IFERROR(__xludf.DUMMYFUNCTION("""COMPUTED_VALUE"""),43.0)</f>
        <v>43</v>
      </c>
      <c r="L1644" s="133">
        <f>IFERROR(__xludf.DUMMYFUNCTION("""COMPUTED_VALUE"""),20.0)</f>
        <v>20</v>
      </c>
      <c r="M1644" s="133">
        <f>IFERROR(__xludf.DUMMYFUNCTION("""COMPUTED_VALUE"""),63.0)</f>
        <v>63</v>
      </c>
      <c r="N1644" s="152" t="str">
        <f>IFERROR(__xludf.DUMMYFUNCTION("""COMPUTED_VALUE"""),"Model 3 SR+")</f>
        <v>Model 3 SR+</v>
      </c>
      <c r="O1644" s="152" t="str">
        <f>IFERROR(__xludf.DUMMYFUNCTION("""COMPUTED_VALUE"""),"Pearl White Multi-Coat")</f>
        <v>Pearl White Multi-Coat</v>
      </c>
      <c r="P1644" s="153" t="str">
        <f>IFERROR(__xludf.DUMMYFUNCTION("""COMPUTED_VALUE"""),"19 inch Sport")</f>
        <v>19 inch Sport</v>
      </c>
      <c r="Q1644" s="152" t="str">
        <f>IFERROR(__xludf.DUMMYFUNCTION("""COMPUTED_VALUE"""),"White seats")</f>
        <v>White seats</v>
      </c>
      <c r="R1644" s="149" t="str">
        <f>IFERROR(__xludf.DUMMYFUNCTION("""COMPUTED_VALUE"""),"Autopilot")</f>
        <v>Autopilot</v>
      </c>
      <c r="S1644" s="149"/>
      <c r="T1644" s="145"/>
      <c r="U1644" s="145"/>
      <c r="V1644" s="145"/>
      <c r="W1644" s="136"/>
      <c r="X1644" s="137" t="str">
        <f>IFERROR(__xludf.DUMMYFUNCTION("""COMPUTED_VALUE"""),"Very Good")</f>
        <v>Very Good</v>
      </c>
      <c r="Y1644" s="138" t="str">
        <f>IFERROR(__xludf.DUMMYFUNCTION("""COMPUTED_VALUE"""),"Excellent")</f>
        <v>Excellent</v>
      </c>
      <c r="Z1644" s="138" t="str">
        <f>IFERROR(__xludf.DUMMYFUNCTION("""COMPUTED_VALUE"""),"Very Good")</f>
        <v>Very Good</v>
      </c>
      <c r="AA1644" s="138" t="str">
        <f>IFERROR(__xludf.DUMMYFUNCTION("""COMPUTED_VALUE"""),"Good")</f>
        <v>Good</v>
      </c>
      <c r="AB1644" s="138" t="str">
        <f>IFERROR(__xludf.DUMMYFUNCTION("""COMPUTED_VALUE"""),"Excellent")</f>
        <v>Excellent</v>
      </c>
      <c r="AC1644" s="139">
        <f>IFERROR(__xludf.DUMMYFUNCTION("""COMPUTED_VALUE"""),0.0)</f>
        <v>0</v>
      </c>
      <c r="AD1644" s="139">
        <f>IFERROR(__xludf.DUMMYFUNCTION("""COMPUTED_VALUE"""),0.0)</f>
        <v>0</v>
      </c>
      <c r="AE1644" s="139">
        <f>IFERROR(__xludf.DUMMYFUNCTION("""COMPUTED_VALUE"""),0.0)</f>
        <v>0</v>
      </c>
      <c r="AF1644" s="140"/>
      <c r="AG1644" s="136" t="str">
        <f>IFERROR(__xludf.DUMMYFUNCTION("""COMPUTED_VALUE"""),"Amazing delivery Experience")</f>
        <v>Amazing delivery Experience</v>
      </c>
      <c r="AH1644" s="157">
        <f>IFERROR(__xludf.DUMMYFUNCTION("""COMPUTED_VALUE"""),43819.238461817135)</f>
        <v>43819.23846</v>
      </c>
      <c r="AI1644" s="138"/>
      <c r="AJ1644" s="138"/>
      <c r="AK1644" s="138"/>
      <c r="AL1644" s="142"/>
    </row>
    <row r="1645" ht="20.25" customHeight="1">
      <c r="A1645" s="155" t="str">
        <f>IFERROR(__xludf.DUMMYFUNCTION("""COMPUTED_VALUE"""),"Csami")</f>
        <v>Csami</v>
      </c>
      <c r="B1645" s="149" t="str">
        <f>IFERROR(__xludf.DUMMYFUNCTION("""COMPUTED_VALUE"""),"Los Angeles")</f>
        <v>Los Angeles</v>
      </c>
      <c r="C1645" s="149" t="str">
        <f>IFERROR(__xludf.DUMMYFUNCTION("""COMPUTED_VALUE"""),"CA")</f>
        <v>CA</v>
      </c>
      <c r="D1645" s="149" t="str">
        <f>IFERROR(__xludf.DUMMYFUNCTION("""COMPUTED_VALUE"""),"USA")</f>
        <v>USA</v>
      </c>
      <c r="E1645" s="156">
        <f>IFERROR(__xludf.DUMMYFUNCTION("""COMPUTED_VALUE"""),43749.0)</f>
        <v>43749</v>
      </c>
      <c r="F1645" s="129">
        <f>IFERROR(__xludf.DUMMYFUNCTION("""COMPUTED_VALUE"""),43815.0)</f>
        <v>43815</v>
      </c>
      <c r="G1645" s="154"/>
      <c r="H1645" s="131">
        <f>IFERROR(__xludf.DUMMYFUNCTION("""COMPUTED_VALUE"""),613355.0)</f>
        <v>613355</v>
      </c>
      <c r="I1645" s="144" t="str">
        <f>IFERROR(__xludf.DUMMYFUNCTION("""COMPUTED_VALUE"""),"12/19")</f>
        <v>12/19</v>
      </c>
      <c r="J1645" s="129">
        <f>IFERROR(__xludf.DUMMYFUNCTION("""COMPUTED_VALUE"""),43818.0)</f>
        <v>43818</v>
      </c>
      <c r="K1645" s="133">
        <f>IFERROR(__xludf.DUMMYFUNCTION("""COMPUTED_VALUE"""),66.0)</f>
        <v>66</v>
      </c>
      <c r="L1645" s="133">
        <f>IFERROR(__xludf.DUMMYFUNCTION("""COMPUTED_VALUE"""),3.0)</f>
        <v>3</v>
      </c>
      <c r="M1645" s="133">
        <f>IFERROR(__xludf.DUMMYFUNCTION("""COMPUTED_VALUE"""),69.0)</f>
        <v>69</v>
      </c>
      <c r="N1645" s="152" t="str">
        <f>IFERROR(__xludf.DUMMYFUNCTION("""COMPUTED_VALUE"""),"Model 3 SR+")</f>
        <v>Model 3 SR+</v>
      </c>
      <c r="O1645" s="152" t="str">
        <f>IFERROR(__xludf.DUMMYFUNCTION("""COMPUTED_VALUE"""),"Pearl White Multi-Coat")</f>
        <v>Pearl White Multi-Coat</v>
      </c>
      <c r="P1645" s="153" t="str">
        <f>IFERROR(__xludf.DUMMYFUNCTION("""COMPUTED_VALUE"""),"18 inch Aero")</f>
        <v>18 inch Aero</v>
      </c>
      <c r="Q1645" s="152" t="str">
        <f>IFERROR(__xludf.DUMMYFUNCTION("""COMPUTED_VALUE"""),"Black seats")</f>
        <v>Black seats</v>
      </c>
      <c r="R1645" s="149" t="str">
        <f>IFERROR(__xludf.DUMMYFUNCTION("""COMPUTED_VALUE"""),"Autopilot")</f>
        <v>Autopilot</v>
      </c>
      <c r="S1645" s="149"/>
      <c r="T1645" s="145"/>
      <c r="U1645" s="145"/>
      <c r="V1645" s="145"/>
      <c r="W1645" s="136"/>
      <c r="X1645" s="137" t="str">
        <f>IFERROR(__xludf.DUMMYFUNCTION("""COMPUTED_VALUE"""),"Very Good")</f>
        <v>Very Good</v>
      </c>
      <c r="Y1645" s="138" t="str">
        <f>IFERROR(__xludf.DUMMYFUNCTION("""COMPUTED_VALUE"""),"Very Good")</f>
        <v>Very Good</v>
      </c>
      <c r="Z1645" s="138" t="str">
        <f>IFERROR(__xludf.DUMMYFUNCTION("""COMPUTED_VALUE"""),"Excellent")</f>
        <v>Excellent</v>
      </c>
      <c r="AA1645" s="138" t="str">
        <f>IFERROR(__xludf.DUMMYFUNCTION("""COMPUTED_VALUE"""),"Fair")</f>
        <v>Fair</v>
      </c>
      <c r="AB1645" s="138" t="str">
        <f>IFERROR(__xludf.DUMMYFUNCTION("""COMPUTED_VALUE"""),"Good")</f>
        <v>Good</v>
      </c>
      <c r="AC1645" s="139"/>
      <c r="AD1645" s="139"/>
      <c r="AE1645" s="139"/>
      <c r="AF1645" s="140"/>
      <c r="AG1645" s="136"/>
      <c r="AH1645" s="157">
        <f>IFERROR(__xludf.DUMMYFUNCTION("""COMPUTED_VALUE"""),43820.022131736114)</f>
        <v>43820.02213</v>
      </c>
      <c r="AI1645" s="138"/>
      <c r="AJ1645" s="138"/>
      <c r="AK1645" s="138"/>
      <c r="AL1645" s="142"/>
    </row>
    <row r="1646" ht="20.25" customHeight="1">
      <c r="A1646" s="155" t="str">
        <f>IFERROR(__xludf.DUMMYFUNCTION("""COMPUTED_VALUE"""),"SergTheTower")</f>
        <v>SergTheTower</v>
      </c>
      <c r="B1646" s="149" t="str">
        <f>IFERROR(__xludf.DUMMYFUNCTION("""COMPUTED_VALUE"""),"Denver")</f>
        <v>Denver</v>
      </c>
      <c r="C1646" s="149" t="str">
        <f>IFERROR(__xludf.DUMMYFUNCTION("""COMPUTED_VALUE"""),"CO")</f>
        <v>CO</v>
      </c>
      <c r="D1646" s="149" t="str">
        <f>IFERROR(__xludf.DUMMYFUNCTION("""COMPUTED_VALUE"""),"USA")</f>
        <v>USA</v>
      </c>
      <c r="E1646" s="156">
        <f>IFERROR(__xludf.DUMMYFUNCTION("""COMPUTED_VALUE"""),43749.0)</f>
        <v>43749</v>
      </c>
      <c r="F1646" s="129">
        <f>IFERROR(__xludf.DUMMYFUNCTION("""COMPUTED_VALUE"""),43802.0)</f>
        <v>43802</v>
      </c>
      <c r="G1646" s="154"/>
      <c r="H1646" s="131"/>
      <c r="I1646" s="144"/>
      <c r="J1646" s="129">
        <f>IFERROR(__xludf.DUMMYFUNCTION("""COMPUTED_VALUE"""),43805.0)</f>
        <v>43805</v>
      </c>
      <c r="K1646" s="133">
        <f>IFERROR(__xludf.DUMMYFUNCTION("""COMPUTED_VALUE"""),53.0)</f>
        <v>53</v>
      </c>
      <c r="L1646" s="133">
        <f>IFERROR(__xludf.DUMMYFUNCTION("""COMPUTED_VALUE"""),3.0)</f>
        <v>3</v>
      </c>
      <c r="M1646" s="133">
        <f>IFERROR(__xludf.DUMMYFUNCTION("""COMPUTED_VALUE"""),56.0)</f>
        <v>56</v>
      </c>
      <c r="N1646" s="152" t="str">
        <f>IFERROR(__xludf.DUMMYFUNCTION("""COMPUTED_VALUE"""),"Model 3 Performance")</f>
        <v>Model 3 Performance</v>
      </c>
      <c r="O1646" s="152" t="str">
        <f>IFERROR(__xludf.DUMMYFUNCTION("""COMPUTED_VALUE"""),"Midnight Silver Metallic")</f>
        <v>Midnight Silver Metallic</v>
      </c>
      <c r="P1646" s="153" t="str">
        <f>IFERROR(__xludf.DUMMYFUNCTION("""COMPUTED_VALUE"""),"20 inch Sport")</f>
        <v>20 inch Sport</v>
      </c>
      <c r="Q1646" s="152" t="str">
        <f>IFERROR(__xludf.DUMMYFUNCTION("""COMPUTED_VALUE"""),"White seats")</f>
        <v>White seats</v>
      </c>
      <c r="R1646" s="149" t="str">
        <f>IFERROR(__xludf.DUMMYFUNCTION("""COMPUTED_VALUE"""),"Full Self-Driving")</f>
        <v>Full Self-Driving</v>
      </c>
      <c r="S1646" s="149"/>
      <c r="T1646" s="145"/>
      <c r="U1646" s="145"/>
      <c r="V1646" s="145"/>
      <c r="W1646" s="136"/>
      <c r="X1646" s="137" t="str">
        <f>IFERROR(__xludf.DUMMYFUNCTION("""COMPUTED_VALUE"""),"Excellent")</f>
        <v>Excellent</v>
      </c>
      <c r="Y1646" s="138" t="str">
        <f>IFERROR(__xludf.DUMMYFUNCTION("""COMPUTED_VALUE"""),"Excellent")</f>
        <v>Excellent</v>
      </c>
      <c r="Z1646" s="138" t="str">
        <f>IFERROR(__xludf.DUMMYFUNCTION("""COMPUTED_VALUE"""),"Good")</f>
        <v>Good</v>
      </c>
      <c r="AA1646" s="138" t="str">
        <f>IFERROR(__xludf.DUMMYFUNCTION("""COMPUTED_VALUE"""),"Excellent")</f>
        <v>Excellent</v>
      </c>
      <c r="AB1646" s="138" t="str">
        <f>IFERROR(__xludf.DUMMYFUNCTION("""COMPUTED_VALUE"""),"Good")</f>
        <v>Good</v>
      </c>
      <c r="AC1646" s="139"/>
      <c r="AD1646" s="139"/>
      <c r="AE1646" s="139"/>
      <c r="AF1646" s="140"/>
      <c r="AG1646" s="136"/>
      <c r="AH1646" s="157">
        <f>IFERROR(__xludf.DUMMYFUNCTION("""COMPUTED_VALUE"""),43810.885138136575)</f>
        <v>43810.88514</v>
      </c>
      <c r="AI1646" s="138"/>
      <c r="AJ1646" s="138"/>
      <c r="AK1646" s="138"/>
      <c r="AL1646" s="142"/>
    </row>
    <row r="1647" ht="20.25" customHeight="1">
      <c r="A1647" s="155" t="str">
        <f>IFERROR(__xludf.DUMMYFUNCTION("""COMPUTED_VALUE"""),"stewy001")</f>
        <v>stewy001</v>
      </c>
      <c r="B1647" s="149" t="str">
        <f>IFERROR(__xludf.DUMMYFUNCTION("""COMPUTED_VALUE"""),"Seattle")</f>
        <v>Seattle</v>
      </c>
      <c r="C1647" s="149" t="str">
        <f>IFERROR(__xludf.DUMMYFUNCTION("""COMPUTED_VALUE"""),"WA")</f>
        <v>WA</v>
      </c>
      <c r="D1647" s="149" t="str">
        <f>IFERROR(__xludf.DUMMYFUNCTION("""COMPUTED_VALUE"""),"USA")</f>
        <v>USA</v>
      </c>
      <c r="E1647" s="156">
        <f>IFERROR(__xludf.DUMMYFUNCTION("""COMPUTED_VALUE"""),43749.0)</f>
        <v>43749</v>
      </c>
      <c r="F1647" s="129">
        <f>IFERROR(__xludf.DUMMYFUNCTION("""COMPUTED_VALUE"""),43805.0)</f>
        <v>43805</v>
      </c>
      <c r="G1647" s="154"/>
      <c r="H1647" s="131">
        <f>IFERROR(__xludf.DUMMYFUNCTION("""COMPUTED_VALUE"""),620955.0)</f>
        <v>620955</v>
      </c>
      <c r="I1647" s="144"/>
      <c r="J1647" s="129">
        <f>IFERROR(__xludf.DUMMYFUNCTION("""COMPUTED_VALUE"""),43809.0)</f>
        <v>43809</v>
      </c>
      <c r="K1647" s="133">
        <f>IFERROR(__xludf.DUMMYFUNCTION("""COMPUTED_VALUE"""),56.0)</f>
        <v>56</v>
      </c>
      <c r="L1647" s="133">
        <f>IFERROR(__xludf.DUMMYFUNCTION("""COMPUTED_VALUE"""),4.0)</f>
        <v>4</v>
      </c>
      <c r="M1647" s="133">
        <f>IFERROR(__xludf.DUMMYFUNCTION("""COMPUTED_VALUE"""),60.0)</f>
        <v>60</v>
      </c>
      <c r="N1647" s="152" t="str">
        <f>IFERROR(__xludf.DUMMYFUNCTION("""COMPUTED_VALUE"""),"Model 3 LR AWD")</f>
        <v>Model 3 LR AWD</v>
      </c>
      <c r="O1647" s="152" t="str">
        <f>IFERROR(__xludf.DUMMYFUNCTION("""COMPUTED_VALUE"""),"Pearl White Multi-Coat")</f>
        <v>Pearl White Multi-Coat</v>
      </c>
      <c r="P1647" s="153" t="str">
        <f>IFERROR(__xludf.DUMMYFUNCTION("""COMPUTED_VALUE"""),"19 inch Sport")</f>
        <v>19 inch Sport</v>
      </c>
      <c r="Q1647" s="152" t="str">
        <f>IFERROR(__xludf.DUMMYFUNCTION("""COMPUTED_VALUE"""),"Black seats")</f>
        <v>Black seats</v>
      </c>
      <c r="R1647" s="149" t="str">
        <f>IFERROR(__xludf.DUMMYFUNCTION("""COMPUTED_VALUE"""),"Autopilot")</f>
        <v>Autopilot</v>
      </c>
      <c r="S1647" s="149"/>
      <c r="T1647" s="145"/>
      <c r="U1647" s="145"/>
      <c r="V1647" s="145"/>
      <c r="W1647" s="136"/>
      <c r="X1647" s="137" t="str">
        <f>IFERROR(__xludf.DUMMYFUNCTION("""COMPUTED_VALUE"""),"Good")</f>
        <v>Good</v>
      </c>
      <c r="Y1647" s="138" t="str">
        <f>IFERROR(__xludf.DUMMYFUNCTION("""COMPUTED_VALUE"""),"Poor")</f>
        <v>Poor</v>
      </c>
      <c r="Z1647" s="138" t="str">
        <f>IFERROR(__xludf.DUMMYFUNCTION("""COMPUTED_VALUE"""),"Very Good")</f>
        <v>Very Good</v>
      </c>
      <c r="AA1647" s="138" t="str">
        <f>IFERROR(__xludf.DUMMYFUNCTION("""COMPUTED_VALUE"""),"Excellent")</f>
        <v>Excellent</v>
      </c>
      <c r="AB1647" s="138" t="str">
        <f>IFERROR(__xludf.DUMMYFUNCTION("""COMPUTED_VALUE"""),"Excellent")</f>
        <v>Excellent</v>
      </c>
      <c r="AC1647" s="139">
        <f>IFERROR(__xludf.DUMMYFUNCTION("""COMPUTED_VALUE"""),3.0)</f>
        <v>3</v>
      </c>
      <c r="AD1647" s="139"/>
      <c r="AE1647" s="139"/>
      <c r="AF1647" s="140"/>
      <c r="AG1647" s="136"/>
      <c r="AH1647" s="157">
        <f>IFERROR(__xludf.DUMMYFUNCTION("""COMPUTED_VALUE"""),43809.553201145834)</f>
        <v>43809.5532</v>
      </c>
      <c r="AI1647" s="138"/>
      <c r="AJ1647" s="138"/>
      <c r="AK1647" s="138"/>
      <c r="AL1647" s="142"/>
    </row>
    <row r="1648" ht="20.25" customHeight="1">
      <c r="A1648" s="155" t="str">
        <f>IFERROR(__xludf.DUMMYFUNCTION("""COMPUTED_VALUE"""),"VandalSibs")</f>
        <v>VandalSibs</v>
      </c>
      <c r="B1648" s="149"/>
      <c r="C1648" s="149" t="str">
        <f>IFERROR(__xludf.DUMMYFUNCTION("""COMPUTED_VALUE"""),"WA")</f>
        <v>WA</v>
      </c>
      <c r="D1648" s="149" t="str">
        <f>IFERROR(__xludf.DUMMYFUNCTION("""COMPUTED_VALUE"""),"USA")</f>
        <v>USA</v>
      </c>
      <c r="E1648" s="156">
        <f>IFERROR(__xludf.DUMMYFUNCTION("""COMPUTED_VALUE"""),43749.0)</f>
        <v>43749</v>
      </c>
      <c r="F1648" s="129">
        <f>IFERROR(__xludf.DUMMYFUNCTION("""COMPUTED_VALUE"""),43784.0)</f>
        <v>43784</v>
      </c>
      <c r="G1648" s="154"/>
      <c r="H1648" s="131">
        <f>IFERROR(__xludf.DUMMYFUNCTION("""COMPUTED_VALUE"""),476337.0)</f>
        <v>476337</v>
      </c>
      <c r="I1648" s="144" t="str">
        <f>IFERROR(__xludf.DUMMYFUNCTION("""COMPUTED_VALUE"""),"11/19")</f>
        <v>11/19</v>
      </c>
      <c r="J1648" s="129">
        <f>IFERROR(__xludf.DUMMYFUNCTION("""COMPUTED_VALUE"""),43791.0)</f>
        <v>43791</v>
      </c>
      <c r="K1648" s="133">
        <f>IFERROR(__xludf.DUMMYFUNCTION("""COMPUTED_VALUE"""),35.0)</f>
        <v>35</v>
      </c>
      <c r="L1648" s="133">
        <f>IFERROR(__xludf.DUMMYFUNCTION("""COMPUTED_VALUE"""),7.0)</f>
        <v>7</v>
      </c>
      <c r="M1648" s="133">
        <f>IFERROR(__xludf.DUMMYFUNCTION("""COMPUTED_VALUE"""),42.0)</f>
        <v>42</v>
      </c>
      <c r="N1648" s="152" t="str">
        <f>IFERROR(__xludf.DUMMYFUNCTION("""COMPUTED_VALUE"""),"Model 3 SR+")</f>
        <v>Model 3 SR+</v>
      </c>
      <c r="O1648" s="152" t="str">
        <f>IFERROR(__xludf.DUMMYFUNCTION("""COMPUTED_VALUE"""),"Deep Blue Metallic")</f>
        <v>Deep Blue Metallic</v>
      </c>
      <c r="P1648" s="153" t="str">
        <f>IFERROR(__xludf.DUMMYFUNCTION("""COMPUTED_VALUE"""),"18 inch Aero")</f>
        <v>18 inch Aero</v>
      </c>
      <c r="Q1648" s="152" t="str">
        <f>IFERROR(__xludf.DUMMYFUNCTION("""COMPUTED_VALUE"""),"Black seats")</f>
        <v>Black seats</v>
      </c>
      <c r="R1648" s="149" t="str">
        <f>IFERROR(__xludf.DUMMYFUNCTION("""COMPUTED_VALUE"""),"Autopilot")</f>
        <v>Autopilot</v>
      </c>
      <c r="S1648" s="149"/>
      <c r="T1648" s="145"/>
      <c r="U1648" s="145"/>
      <c r="V1648" s="145"/>
      <c r="W1648" s="136"/>
      <c r="X1648" s="137" t="str">
        <f>IFERROR(__xludf.DUMMYFUNCTION("""COMPUTED_VALUE"""),"Very Good")</f>
        <v>Very Good</v>
      </c>
      <c r="Y1648" s="138" t="str">
        <f>IFERROR(__xludf.DUMMYFUNCTION("""COMPUTED_VALUE"""),"Excellent")</f>
        <v>Excellent</v>
      </c>
      <c r="Z1648" s="138" t="str">
        <f>IFERROR(__xludf.DUMMYFUNCTION("""COMPUTED_VALUE"""),"Very Good")</f>
        <v>Very Good</v>
      </c>
      <c r="AA1648" s="138" t="str">
        <f>IFERROR(__xludf.DUMMYFUNCTION("""COMPUTED_VALUE"""),"Good")</f>
        <v>Good</v>
      </c>
      <c r="AB1648" s="138" t="str">
        <f>IFERROR(__xludf.DUMMYFUNCTION("""COMPUTED_VALUE"""),"Very Good")</f>
        <v>Very Good</v>
      </c>
      <c r="AC1648" s="139">
        <f>IFERROR(__xludf.DUMMYFUNCTION("""COMPUTED_VALUE"""),0.0)</f>
        <v>0</v>
      </c>
      <c r="AD1648" s="139">
        <f>IFERROR(__xludf.DUMMYFUNCTION("""COMPUTED_VALUE"""),0.0)</f>
        <v>0</v>
      </c>
      <c r="AE1648" s="139">
        <f>IFERROR(__xludf.DUMMYFUNCTION("""COMPUTED_VALUE"""),0.0)</f>
        <v>0</v>
      </c>
      <c r="AF1648" s="140"/>
      <c r="AG1648" s="136" t="str">
        <f>IFERROR(__xludf.DUMMYFUNCTION("""COMPUTED_VALUE"""),"Pickup went awesomely!")</f>
        <v>Pickup went awesomely!</v>
      </c>
      <c r="AH1648" s="157">
        <f>IFERROR(__xludf.DUMMYFUNCTION("""COMPUTED_VALUE"""),43809.49763159722)</f>
        <v>43809.49763</v>
      </c>
      <c r="AI1648" s="138"/>
      <c r="AJ1648" s="138"/>
      <c r="AK1648" s="138"/>
      <c r="AL1648" s="142"/>
    </row>
    <row r="1649" ht="20.25" customHeight="1">
      <c r="A1649" s="155" t="str">
        <f>IFERROR(__xludf.DUMMYFUNCTION("""COMPUTED_VALUE"""),"chris3g")</f>
        <v>chris3g</v>
      </c>
      <c r="B1649" s="149"/>
      <c r="C1649" s="149" t="str">
        <f>IFERROR(__xludf.DUMMYFUNCTION("""COMPUTED_VALUE"""),"NJ")</f>
        <v>NJ</v>
      </c>
      <c r="D1649" s="149" t="str">
        <f>IFERROR(__xludf.DUMMYFUNCTION("""COMPUTED_VALUE"""),"USA")</f>
        <v>USA</v>
      </c>
      <c r="E1649" s="156">
        <f>IFERROR(__xludf.DUMMYFUNCTION("""COMPUTED_VALUE"""),43748.0)</f>
        <v>43748</v>
      </c>
      <c r="F1649" s="129">
        <f>IFERROR(__xludf.DUMMYFUNCTION("""COMPUTED_VALUE"""),43774.0)</f>
        <v>43774</v>
      </c>
      <c r="G1649" s="154"/>
      <c r="H1649" s="131">
        <f>IFERROR(__xludf.DUMMYFUNCTION("""COMPUTED_VALUE"""),586964.0)</f>
        <v>586964</v>
      </c>
      <c r="I1649" s="144" t="str">
        <f>IFERROR(__xludf.DUMMYFUNCTION("""COMPUTED_VALUE"""),"10/19")</f>
        <v>10/19</v>
      </c>
      <c r="J1649" s="129">
        <f>IFERROR(__xludf.DUMMYFUNCTION("""COMPUTED_VALUE"""),43777.0)</f>
        <v>43777</v>
      </c>
      <c r="K1649" s="133">
        <f>IFERROR(__xludf.DUMMYFUNCTION("""COMPUTED_VALUE"""),26.0)</f>
        <v>26</v>
      </c>
      <c r="L1649" s="133">
        <f>IFERROR(__xludf.DUMMYFUNCTION("""COMPUTED_VALUE"""),3.0)</f>
        <v>3</v>
      </c>
      <c r="M1649" s="133">
        <f>IFERROR(__xludf.DUMMYFUNCTION("""COMPUTED_VALUE"""),29.0)</f>
        <v>29</v>
      </c>
      <c r="N1649" s="152" t="str">
        <f>IFERROR(__xludf.DUMMYFUNCTION("""COMPUTED_VALUE"""),"Model 3 Performance")</f>
        <v>Model 3 Performance</v>
      </c>
      <c r="O1649" s="152" t="str">
        <f>IFERROR(__xludf.DUMMYFUNCTION("""COMPUTED_VALUE"""),"Pearl White Multi-Coat")</f>
        <v>Pearl White Multi-Coat</v>
      </c>
      <c r="P1649" s="153" t="str">
        <f>IFERROR(__xludf.DUMMYFUNCTION("""COMPUTED_VALUE"""),"19 inch Sport")</f>
        <v>19 inch Sport</v>
      </c>
      <c r="Q1649" s="152" t="str">
        <f>IFERROR(__xludf.DUMMYFUNCTION("""COMPUTED_VALUE"""),"Black seats")</f>
        <v>Black seats</v>
      </c>
      <c r="R1649" s="149" t="str">
        <f>IFERROR(__xludf.DUMMYFUNCTION("""COMPUTED_VALUE"""),"Autopilot")</f>
        <v>Autopilot</v>
      </c>
      <c r="S1649" s="149"/>
      <c r="T1649" s="145"/>
      <c r="U1649" s="145"/>
      <c r="V1649" s="145"/>
      <c r="W1649" s="136"/>
      <c r="X1649" s="137" t="str">
        <f>IFERROR(__xludf.DUMMYFUNCTION("""COMPUTED_VALUE"""),"Excellent")</f>
        <v>Excellent</v>
      </c>
      <c r="Y1649" s="138" t="str">
        <f>IFERROR(__xludf.DUMMYFUNCTION("""COMPUTED_VALUE"""),"Very Good")</f>
        <v>Very Good</v>
      </c>
      <c r="Z1649" s="138" t="str">
        <f>IFERROR(__xludf.DUMMYFUNCTION("""COMPUTED_VALUE"""),"Very Good")</f>
        <v>Very Good</v>
      </c>
      <c r="AA1649" s="138" t="str">
        <f>IFERROR(__xludf.DUMMYFUNCTION("""COMPUTED_VALUE"""),"Good")</f>
        <v>Good</v>
      </c>
      <c r="AB1649" s="138" t="str">
        <f>IFERROR(__xludf.DUMMYFUNCTION("""COMPUTED_VALUE"""),"Very Good")</f>
        <v>Very Good</v>
      </c>
      <c r="AC1649" s="139"/>
      <c r="AD1649" s="139"/>
      <c r="AE1649" s="139"/>
      <c r="AF1649" s="140"/>
      <c r="AG1649" s="136" t="str">
        <f>IFERROR(__xludf.DUMMYFUNCTION("""COMPUTED_VALUE"""),"switched order to inventory p3d-")</f>
        <v>switched order to inventory p3d-</v>
      </c>
      <c r="AH1649" s="157">
        <f>IFERROR(__xludf.DUMMYFUNCTION("""COMPUTED_VALUE"""),43778.35509351852)</f>
        <v>43778.35509</v>
      </c>
      <c r="AI1649" s="138"/>
      <c r="AJ1649" s="138"/>
      <c r="AK1649" s="138"/>
      <c r="AL1649" s="142"/>
    </row>
    <row r="1650" ht="20.25" customHeight="1">
      <c r="A1650" s="155" t="str">
        <f>IFERROR(__xludf.DUMMYFUNCTION("""COMPUTED_VALUE"""),"CRYPTICPHILDZ")</f>
        <v>CRYPTICPHILDZ</v>
      </c>
      <c r="B1650" s="149" t="str">
        <f>IFERROR(__xludf.DUMMYFUNCTION("""COMPUTED_VALUE"""),"DENVER")</f>
        <v>DENVER</v>
      </c>
      <c r="C1650" s="149" t="str">
        <f>IFERROR(__xludf.DUMMYFUNCTION("""COMPUTED_VALUE"""),"CO")</f>
        <v>CO</v>
      </c>
      <c r="D1650" s="149" t="str">
        <f>IFERROR(__xludf.DUMMYFUNCTION("""COMPUTED_VALUE"""),"USA")</f>
        <v>USA</v>
      </c>
      <c r="E1650" s="156">
        <f>IFERROR(__xludf.DUMMYFUNCTION("""COMPUTED_VALUE"""),43748.0)</f>
        <v>43748</v>
      </c>
      <c r="F1650" s="129">
        <f>IFERROR(__xludf.DUMMYFUNCTION("""COMPUTED_VALUE"""),43756.0)</f>
        <v>43756</v>
      </c>
      <c r="G1650" s="154"/>
      <c r="H1650" s="131">
        <f>IFERROR(__xludf.DUMMYFUNCTION("""COMPUTED_VALUE"""),508015.0)</f>
        <v>508015</v>
      </c>
      <c r="I1650" s="144" t="str">
        <f>IFERROR(__xludf.DUMMYFUNCTION("""COMPUTED_VALUE"""),"09/19")</f>
        <v>09/19</v>
      </c>
      <c r="J1650" s="129">
        <f>IFERROR(__xludf.DUMMYFUNCTION("""COMPUTED_VALUE"""),43769.0)</f>
        <v>43769</v>
      </c>
      <c r="K1650" s="133">
        <f>IFERROR(__xludf.DUMMYFUNCTION("""COMPUTED_VALUE"""),8.0)</f>
        <v>8</v>
      </c>
      <c r="L1650" s="133">
        <f>IFERROR(__xludf.DUMMYFUNCTION("""COMPUTED_VALUE"""),13.0)</f>
        <v>13</v>
      </c>
      <c r="M1650" s="133">
        <f>IFERROR(__xludf.DUMMYFUNCTION("""COMPUTED_VALUE"""),21.0)</f>
        <v>21</v>
      </c>
      <c r="N1650" s="152" t="str">
        <f>IFERROR(__xludf.DUMMYFUNCTION("""COMPUTED_VALUE"""),"Model 3 SR+")</f>
        <v>Model 3 SR+</v>
      </c>
      <c r="O1650" s="152" t="str">
        <f>IFERROR(__xludf.DUMMYFUNCTION("""COMPUTED_VALUE"""),"Pearl White Multi-Coat")</f>
        <v>Pearl White Multi-Coat</v>
      </c>
      <c r="P1650" s="153" t="str">
        <f>IFERROR(__xludf.DUMMYFUNCTION("""COMPUTED_VALUE"""),"19 inch Sport")</f>
        <v>19 inch Sport</v>
      </c>
      <c r="Q1650" s="152" t="str">
        <f>IFERROR(__xludf.DUMMYFUNCTION("""COMPUTED_VALUE"""),"Black seats")</f>
        <v>Black seats</v>
      </c>
      <c r="R1650" s="149" t="str">
        <f>IFERROR(__xludf.DUMMYFUNCTION("""COMPUTED_VALUE"""),"Autopilot")</f>
        <v>Autopilot</v>
      </c>
      <c r="S1650" s="149"/>
      <c r="T1650" s="145"/>
      <c r="U1650" s="145"/>
      <c r="V1650" s="145"/>
      <c r="W1650" s="136"/>
      <c r="X1650" s="137" t="str">
        <f>IFERROR(__xludf.DUMMYFUNCTION("""COMPUTED_VALUE"""),"Good")</f>
        <v>Good</v>
      </c>
      <c r="Y1650" s="138" t="str">
        <f>IFERROR(__xludf.DUMMYFUNCTION("""COMPUTED_VALUE"""),"Very Good")</f>
        <v>Very Good</v>
      </c>
      <c r="Z1650" s="138" t="str">
        <f>IFERROR(__xludf.DUMMYFUNCTION("""COMPUTED_VALUE"""),"Very Good")</f>
        <v>Very Good</v>
      </c>
      <c r="AA1650" s="138" t="str">
        <f>IFERROR(__xludf.DUMMYFUNCTION("""COMPUTED_VALUE"""),"Excellent")</f>
        <v>Excellent</v>
      </c>
      <c r="AB1650" s="138" t="str">
        <f>IFERROR(__xludf.DUMMYFUNCTION("""COMPUTED_VALUE"""),"Good")</f>
        <v>Good</v>
      </c>
      <c r="AC1650" s="139">
        <f>IFERROR(__xludf.DUMMYFUNCTION("""COMPUTED_VALUE"""),3.0)</f>
        <v>3</v>
      </c>
      <c r="AD1650" s="139">
        <f>IFERROR(__xludf.DUMMYFUNCTION("""COMPUTED_VALUE"""),0.0)</f>
        <v>0</v>
      </c>
      <c r="AE1650" s="139">
        <f>IFERROR(__xludf.DUMMYFUNCTION("""COMPUTED_VALUE"""),0.0)</f>
        <v>0</v>
      </c>
      <c r="AF1650" s="140"/>
      <c r="AG1650" s="136" t="str">
        <f>IFERROR(__xludf.DUMMYFUNCTION("""COMPUTED_VALUE"""),"VIN In Source Code, Advisor Confirmed")</f>
        <v>VIN In Source Code, Advisor Confirmed</v>
      </c>
      <c r="AH1650" s="157">
        <f>IFERROR(__xludf.DUMMYFUNCTION("""COMPUTED_VALUE"""),43773.36000734954)</f>
        <v>43773.36001</v>
      </c>
      <c r="AI1650" s="138"/>
      <c r="AJ1650" s="138"/>
      <c r="AK1650" s="138"/>
      <c r="AL1650" s="142"/>
    </row>
    <row r="1651" ht="20.25" customHeight="1">
      <c r="A1651" s="155" t="str">
        <f>IFERROR(__xludf.DUMMYFUNCTION("""COMPUTED_VALUE"""),"Foody")</f>
        <v>Foody</v>
      </c>
      <c r="B1651" s="149"/>
      <c r="C1651" s="149"/>
      <c r="D1651" s="149" t="str">
        <f>IFERROR(__xludf.DUMMYFUNCTION("""COMPUTED_VALUE"""),"Netherlands")</f>
        <v>Netherlands</v>
      </c>
      <c r="E1651" s="156">
        <f>IFERROR(__xludf.DUMMYFUNCTION("""COMPUTED_VALUE"""),43748.0)</f>
        <v>43748</v>
      </c>
      <c r="F1651" s="129">
        <f>IFERROR(__xludf.DUMMYFUNCTION("""COMPUTED_VALUE"""),43762.0)</f>
        <v>43762</v>
      </c>
      <c r="G1651" s="154"/>
      <c r="H1651" s="131">
        <f>IFERROR(__xludf.DUMMYFUNCTION("""COMPUTED_VALUE"""),543493.0)</f>
        <v>543493</v>
      </c>
      <c r="I1651" s="144"/>
      <c r="J1651" s="129">
        <f>IFERROR(__xludf.DUMMYFUNCTION("""COMPUTED_VALUE"""),43798.0)</f>
        <v>43798</v>
      </c>
      <c r="K1651" s="133">
        <f>IFERROR(__xludf.DUMMYFUNCTION("""COMPUTED_VALUE"""),14.0)</f>
        <v>14</v>
      </c>
      <c r="L1651" s="133">
        <f>IFERROR(__xludf.DUMMYFUNCTION("""COMPUTED_VALUE"""),36.0)</f>
        <v>36</v>
      </c>
      <c r="M1651" s="133">
        <f>IFERROR(__xludf.DUMMYFUNCTION("""COMPUTED_VALUE"""),50.0)</f>
        <v>50</v>
      </c>
      <c r="N1651" s="152" t="str">
        <f>IFERROR(__xludf.DUMMYFUNCTION("""COMPUTED_VALUE"""),"Model 3 LR AWD")</f>
        <v>Model 3 LR AWD</v>
      </c>
      <c r="O1651" s="152" t="str">
        <f>IFERROR(__xludf.DUMMYFUNCTION("""COMPUTED_VALUE"""),"Midnight Silver Metallic")</f>
        <v>Midnight Silver Metallic</v>
      </c>
      <c r="P1651" s="153" t="str">
        <f>IFERROR(__xludf.DUMMYFUNCTION("""COMPUTED_VALUE"""),"18 inch Aero")</f>
        <v>18 inch Aero</v>
      </c>
      <c r="Q1651" s="152" t="str">
        <f>IFERROR(__xludf.DUMMYFUNCTION("""COMPUTED_VALUE"""),"Black seats")</f>
        <v>Black seats</v>
      </c>
      <c r="R1651" s="149" t="str">
        <f>IFERROR(__xludf.DUMMYFUNCTION("""COMPUTED_VALUE"""),"Autopilot")</f>
        <v>Autopilot</v>
      </c>
      <c r="S1651" s="149"/>
      <c r="T1651" s="145"/>
      <c r="U1651" s="145"/>
      <c r="V1651" s="145"/>
      <c r="W1651" s="136"/>
      <c r="X1651" s="137" t="str">
        <f>IFERROR(__xludf.DUMMYFUNCTION("""COMPUTED_VALUE"""),"Very Good")</f>
        <v>Very Good</v>
      </c>
      <c r="Y1651" s="138" t="str">
        <f>IFERROR(__xludf.DUMMYFUNCTION("""COMPUTED_VALUE"""),"Very Good")</f>
        <v>Very Good</v>
      </c>
      <c r="Z1651" s="138" t="str">
        <f>IFERROR(__xludf.DUMMYFUNCTION("""COMPUTED_VALUE"""),"Very Good")</f>
        <v>Very Good</v>
      </c>
      <c r="AA1651" s="138" t="str">
        <f>IFERROR(__xludf.DUMMYFUNCTION("""COMPUTED_VALUE"""),"Good")</f>
        <v>Good</v>
      </c>
      <c r="AB1651" s="138" t="str">
        <f>IFERROR(__xludf.DUMMYFUNCTION("""COMPUTED_VALUE"""),"Good")</f>
        <v>Good</v>
      </c>
      <c r="AC1651" s="139">
        <f>IFERROR(__xludf.DUMMYFUNCTION("""COMPUTED_VALUE"""),4.0)</f>
        <v>4</v>
      </c>
      <c r="AD1651" s="139">
        <f>IFERROR(__xludf.DUMMYFUNCTION("""COMPUTED_VALUE"""),2.0)</f>
        <v>2</v>
      </c>
      <c r="AE1651" s="139">
        <f>IFERROR(__xludf.DUMMYFUNCTION("""COMPUTED_VALUE"""),4.0)</f>
        <v>4</v>
      </c>
      <c r="AF1651" s="140"/>
      <c r="AG1651" s="136"/>
      <c r="AH1651" s="157">
        <f>IFERROR(__xludf.DUMMYFUNCTION("""COMPUTED_VALUE"""),43814.005509664355)</f>
        <v>43814.00551</v>
      </c>
      <c r="AI1651" s="138"/>
      <c r="AJ1651" s="138"/>
      <c r="AK1651" s="138"/>
      <c r="AL1651" s="142"/>
    </row>
    <row r="1652" ht="20.25" customHeight="1">
      <c r="A1652" s="155" t="str">
        <f>IFERROR(__xludf.DUMMYFUNCTION("""COMPUTED_VALUE"""),"sdm3")</f>
        <v>sdm3</v>
      </c>
      <c r="B1652" s="149" t="str">
        <f>IFERROR(__xludf.DUMMYFUNCTION("""COMPUTED_VALUE"""),"Sioux Falls")</f>
        <v>Sioux Falls</v>
      </c>
      <c r="C1652" s="149" t="str">
        <f>IFERROR(__xludf.DUMMYFUNCTION("""COMPUTED_VALUE"""),"SD")</f>
        <v>SD</v>
      </c>
      <c r="D1652" s="149" t="str">
        <f>IFERROR(__xludf.DUMMYFUNCTION("""COMPUTED_VALUE"""),"USA")</f>
        <v>USA</v>
      </c>
      <c r="E1652" s="156">
        <f>IFERROR(__xludf.DUMMYFUNCTION("""COMPUTED_VALUE"""),43748.0)</f>
        <v>43748</v>
      </c>
      <c r="F1652" s="129">
        <f>IFERROR(__xludf.DUMMYFUNCTION("""COMPUTED_VALUE"""),43748.0)</f>
        <v>43748</v>
      </c>
      <c r="G1652" s="154"/>
      <c r="H1652" s="131">
        <f>IFERROR(__xludf.DUMMYFUNCTION("""COMPUTED_VALUE"""),510355.0)</f>
        <v>510355</v>
      </c>
      <c r="I1652" s="144"/>
      <c r="J1652" s="129">
        <f>IFERROR(__xludf.DUMMYFUNCTION("""COMPUTED_VALUE"""),43761.0)</f>
        <v>43761</v>
      </c>
      <c r="K1652" s="133">
        <f>IFERROR(__xludf.DUMMYFUNCTION("""COMPUTED_VALUE"""),0.0)</f>
        <v>0</v>
      </c>
      <c r="L1652" s="133">
        <f>IFERROR(__xludf.DUMMYFUNCTION("""COMPUTED_VALUE"""),13.0)</f>
        <v>13</v>
      </c>
      <c r="M1652" s="133">
        <f>IFERROR(__xludf.DUMMYFUNCTION("""COMPUTED_VALUE"""),13.0)</f>
        <v>13</v>
      </c>
      <c r="N1652" s="152" t="str">
        <f>IFERROR(__xludf.DUMMYFUNCTION("""COMPUTED_VALUE"""),"Model 3 LR AWD")</f>
        <v>Model 3 LR AWD</v>
      </c>
      <c r="O1652" s="152" t="str">
        <f>IFERROR(__xludf.DUMMYFUNCTION("""COMPUTED_VALUE"""),"Midnight Silver Metallic")</f>
        <v>Midnight Silver Metallic</v>
      </c>
      <c r="P1652" s="153" t="str">
        <f>IFERROR(__xludf.DUMMYFUNCTION("""COMPUTED_VALUE"""),"18 inch Aero")</f>
        <v>18 inch Aero</v>
      </c>
      <c r="Q1652" s="152" t="str">
        <f>IFERROR(__xludf.DUMMYFUNCTION("""COMPUTED_VALUE"""),"Black seats")</f>
        <v>Black seats</v>
      </c>
      <c r="R1652" s="149" t="str">
        <f>IFERROR(__xludf.DUMMYFUNCTION("""COMPUTED_VALUE"""),"Full Self-Driving")</f>
        <v>Full Self-Driving</v>
      </c>
      <c r="S1652" s="149"/>
      <c r="T1652" s="145"/>
      <c r="U1652" s="145"/>
      <c r="V1652" s="145"/>
      <c r="W1652" s="136"/>
      <c r="X1652" s="137" t="str">
        <f>IFERROR(__xludf.DUMMYFUNCTION("""COMPUTED_VALUE"""),"Excellent")</f>
        <v>Excellent</v>
      </c>
      <c r="Y1652" s="138" t="str">
        <f>IFERROR(__xludf.DUMMYFUNCTION("""COMPUTED_VALUE"""),"Excellent")</f>
        <v>Excellent</v>
      </c>
      <c r="Z1652" s="138" t="str">
        <f>IFERROR(__xludf.DUMMYFUNCTION("""COMPUTED_VALUE"""),"Excellent")</f>
        <v>Excellent</v>
      </c>
      <c r="AA1652" s="138" t="str">
        <f>IFERROR(__xludf.DUMMYFUNCTION("""COMPUTED_VALUE"""),"Excellent")</f>
        <v>Excellent</v>
      </c>
      <c r="AB1652" s="138" t="str">
        <f>IFERROR(__xludf.DUMMYFUNCTION("""COMPUTED_VALUE"""),"Excellent")</f>
        <v>Excellent</v>
      </c>
      <c r="AC1652" s="139"/>
      <c r="AD1652" s="139"/>
      <c r="AE1652" s="139"/>
      <c r="AF1652" s="140"/>
      <c r="AG1652" s="136" t="str">
        <f>IFERROR(__xludf.DUMMYFUNCTION("""COMPUTED_VALUE"""),"Original delivery date was 10/30. Delivered 7 days sooner. Went through checklist. All looking good.")</f>
        <v>Original delivery date was 10/30. Delivered 7 days sooner. Went through checklist. All looking good.</v>
      </c>
      <c r="AH1652" s="157">
        <f>IFERROR(__xludf.DUMMYFUNCTION("""COMPUTED_VALUE"""),43761.40214515046)</f>
        <v>43761.40215</v>
      </c>
      <c r="AI1652" s="138"/>
      <c r="AJ1652" s="138"/>
      <c r="AK1652" s="138"/>
      <c r="AL1652" s="142"/>
    </row>
    <row r="1653" ht="20.25" customHeight="1">
      <c r="A1653" s="155" t="str">
        <f>IFERROR(__xludf.DUMMYFUNCTION("""COMPUTED_VALUE"""),"tiguidou")</f>
        <v>tiguidou</v>
      </c>
      <c r="B1653" s="149"/>
      <c r="C1653" s="149" t="str">
        <f>IFERROR(__xludf.DUMMYFUNCTION("""COMPUTED_VALUE"""),"QC")</f>
        <v>QC</v>
      </c>
      <c r="D1653" s="149" t="str">
        <f>IFERROR(__xludf.DUMMYFUNCTION("""COMPUTED_VALUE"""),"Canada")</f>
        <v>Canada</v>
      </c>
      <c r="E1653" s="156">
        <f>IFERROR(__xludf.DUMMYFUNCTION("""COMPUTED_VALUE"""),43748.0)</f>
        <v>43748</v>
      </c>
      <c r="F1653" s="129">
        <f>IFERROR(__xludf.DUMMYFUNCTION("""COMPUTED_VALUE"""),43780.0)</f>
        <v>43780</v>
      </c>
      <c r="G1653" s="154"/>
      <c r="H1653" s="131">
        <f>IFERROR(__xludf.DUMMYFUNCTION("""COMPUTED_VALUE"""),604255.0)</f>
        <v>604255</v>
      </c>
      <c r="I1653" s="144"/>
      <c r="J1653" s="129">
        <f>IFERROR(__xludf.DUMMYFUNCTION("""COMPUTED_VALUE"""),43798.0)</f>
        <v>43798</v>
      </c>
      <c r="K1653" s="133">
        <f>IFERROR(__xludf.DUMMYFUNCTION("""COMPUTED_VALUE"""),32.0)</f>
        <v>32</v>
      </c>
      <c r="L1653" s="133">
        <f>IFERROR(__xludf.DUMMYFUNCTION("""COMPUTED_VALUE"""),18.0)</f>
        <v>18</v>
      </c>
      <c r="M1653" s="133">
        <f>IFERROR(__xludf.DUMMYFUNCTION("""COMPUTED_VALUE"""),50.0)</f>
        <v>50</v>
      </c>
      <c r="N1653" s="152" t="str">
        <f>IFERROR(__xludf.DUMMYFUNCTION("""COMPUTED_VALUE"""),"Model 3 SR+")</f>
        <v>Model 3 SR+</v>
      </c>
      <c r="O1653" s="152" t="str">
        <f>IFERROR(__xludf.DUMMYFUNCTION("""COMPUTED_VALUE"""),"Red Multi-Coat")</f>
        <v>Red Multi-Coat</v>
      </c>
      <c r="P1653" s="153" t="str">
        <f>IFERROR(__xludf.DUMMYFUNCTION("""COMPUTED_VALUE"""),"18 inch Aero")</f>
        <v>18 inch Aero</v>
      </c>
      <c r="Q1653" s="152" t="str">
        <f>IFERROR(__xludf.DUMMYFUNCTION("""COMPUTED_VALUE"""),"White seats")</f>
        <v>White seats</v>
      </c>
      <c r="R1653" s="149" t="str">
        <f>IFERROR(__xludf.DUMMYFUNCTION("""COMPUTED_VALUE"""),"Full Self-Driving")</f>
        <v>Full Self-Driving</v>
      </c>
      <c r="S1653" s="149"/>
      <c r="T1653" s="145"/>
      <c r="U1653" s="145"/>
      <c r="V1653" s="145"/>
      <c r="W1653" s="136"/>
      <c r="X1653" s="137" t="str">
        <f>IFERROR(__xludf.DUMMYFUNCTION("""COMPUTED_VALUE"""),"Very Good")</f>
        <v>Very Good</v>
      </c>
      <c r="Y1653" s="138" t="str">
        <f>IFERROR(__xludf.DUMMYFUNCTION("""COMPUTED_VALUE"""),"Excellent")</f>
        <v>Excellent</v>
      </c>
      <c r="Z1653" s="138" t="str">
        <f>IFERROR(__xludf.DUMMYFUNCTION("""COMPUTED_VALUE"""),"Excellent")</f>
        <v>Excellent</v>
      </c>
      <c r="AA1653" s="138" t="str">
        <f>IFERROR(__xludf.DUMMYFUNCTION("""COMPUTED_VALUE"""),"Good")</f>
        <v>Good</v>
      </c>
      <c r="AB1653" s="138" t="str">
        <f>IFERROR(__xludf.DUMMYFUNCTION("""COMPUTED_VALUE"""),"Good")</f>
        <v>Good</v>
      </c>
      <c r="AC1653" s="139">
        <f>IFERROR(__xludf.DUMMYFUNCTION("""COMPUTED_VALUE"""),0.0)</f>
        <v>0</v>
      </c>
      <c r="AD1653" s="139">
        <f>IFERROR(__xludf.DUMMYFUNCTION("""COMPUTED_VALUE"""),1.0)</f>
        <v>1</v>
      </c>
      <c r="AE1653" s="139">
        <f>IFERROR(__xludf.DUMMYFUNCTION("""COMPUTED_VALUE"""),0.0)</f>
        <v>0</v>
      </c>
      <c r="AF1653" s="140"/>
      <c r="AG1653" s="136" t="str">
        <f>IFERROR(__xludf.DUMMYFUNCTION("""COMPUTED_VALUE"""),"vin in source 2019-11-11, delivery date of 11-27 given on 2019-11-14. changed several times before confirming 28th. pre-delivery inspection found paint faults which were fixed and delivery was scheduled for the 29th.")</f>
        <v>vin in source 2019-11-11, delivery date of 11-27 given on 2019-11-14. changed several times before confirming 28th. pre-delivery inspection found paint faults which were fixed and delivery was scheduled for the 29th.</v>
      </c>
      <c r="AH1653" s="157">
        <f>IFERROR(__xludf.DUMMYFUNCTION("""COMPUTED_VALUE"""),43819.188719618054)</f>
        <v>43819.18872</v>
      </c>
      <c r="AI1653" s="138"/>
      <c r="AJ1653" s="138"/>
      <c r="AK1653" s="138"/>
      <c r="AL1653" s="142"/>
    </row>
    <row r="1654" ht="20.25" customHeight="1">
      <c r="A1654" s="155" t="str">
        <f>IFERROR(__xludf.DUMMYFUNCTION("""COMPUTED_VALUE"""),"zieg")</f>
        <v>zieg</v>
      </c>
      <c r="B1654" s="149" t="str">
        <f>IFERROR(__xludf.DUMMYFUNCTION("""COMPUTED_VALUE"""),"San Francisco")</f>
        <v>San Francisco</v>
      </c>
      <c r="C1654" s="149" t="str">
        <f>IFERROR(__xludf.DUMMYFUNCTION("""COMPUTED_VALUE"""),"CA")</f>
        <v>CA</v>
      </c>
      <c r="D1654" s="149" t="str">
        <f>IFERROR(__xludf.DUMMYFUNCTION("""COMPUTED_VALUE"""),"USA")</f>
        <v>USA</v>
      </c>
      <c r="E1654" s="156">
        <f>IFERROR(__xludf.DUMMYFUNCTION("""COMPUTED_VALUE"""),43748.0)</f>
        <v>43748</v>
      </c>
      <c r="F1654" s="129">
        <f>IFERROR(__xludf.DUMMYFUNCTION("""COMPUTED_VALUE"""),43790.0)</f>
        <v>43790</v>
      </c>
      <c r="G1654" s="154"/>
      <c r="H1654" s="131">
        <f>IFERROR(__xludf.DUMMYFUNCTION("""COMPUTED_VALUE"""),627555.0)</f>
        <v>627555</v>
      </c>
      <c r="I1654" s="144"/>
      <c r="J1654" s="129">
        <f>IFERROR(__xludf.DUMMYFUNCTION("""COMPUTED_VALUE"""),43801.0)</f>
        <v>43801</v>
      </c>
      <c r="K1654" s="133">
        <f>IFERROR(__xludf.DUMMYFUNCTION("""COMPUTED_VALUE"""),42.0)</f>
        <v>42</v>
      </c>
      <c r="L1654" s="133">
        <f>IFERROR(__xludf.DUMMYFUNCTION("""COMPUTED_VALUE"""),11.0)</f>
        <v>11</v>
      </c>
      <c r="M1654" s="133">
        <f>IFERROR(__xludf.DUMMYFUNCTION("""COMPUTED_VALUE"""),53.0)</f>
        <v>53</v>
      </c>
      <c r="N1654" s="152" t="str">
        <f>IFERROR(__xludf.DUMMYFUNCTION("""COMPUTED_VALUE"""),"Model 3 Performance")</f>
        <v>Model 3 Performance</v>
      </c>
      <c r="O1654" s="152" t="str">
        <f>IFERROR(__xludf.DUMMYFUNCTION("""COMPUTED_VALUE"""),"Pearl White Multi-Coat")</f>
        <v>Pearl White Multi-Coat</v>
      </c>
      <c r="P1654" s="153" t="str">
        <f>IFERROR(__xludf.DUMMYFUNCTION("""COMPUTED_VALUE"""),"19 inch Sport")</f>
        <v>19 inch Sport</v>
      </c>
      <c r="Q1654" s="152" t="str">
        <f>IFERROR(__xludf.DUMMYFUNCTION("""COMPUTED_VALUE"""),"Black seats")</f>
        <v>Black seats</v>
      </c>
      <c r="R1654" s="149" t="str">
        <f>IFERROR(__xludf.DUMMYFUNCTION("""COMPUTED_VALUE"""),"Full Self-Driving")</f>
        <v>Full Self-Driving</v>
      </c>
      <c r="S1654" s="149"/>
      <c r="T1654" s="145"/>
      <c r="U1654" s="145"/>
      <c r="V1654" s="145"/>
      <c r="W1654" s="136"/>
      <c r="X1654" s="137" t="str">
        <f>IFERROR(__xludf.DUMMYFUNCTION("""COMPUTED_VALUE"""),"Good")</f>
        <v>Good</v>
      </c>
      <c r="Y1654" s="138" t="str">
        <f>IFERROR(__xludf.DUMMYFUNCTION("""COMPUTED_VALUE"""),"Excellent")</f>
        <v>Excellent</v>
      </c>
      <c r="Z1654" s="138" t="str">
        <f>IFERROR(__xludf.DUMMYFUNCTION("""COMPUTED_VALUE"""),"Excellent")</f>
        <v>Excellent</v>
      </c>
      <c r="AA1654" s="138" t="str">
        <f>IFERROR(__xludf.DUMMYFUNCTION("""COMPUTED_VALUE"""),"Poor")</f>
        <v>Poor</v>
      </c>
      <c r="AB1654" s="138" t="str">
        <f>IFERROR(__xludf.DUMMYFUNCTION("""COMPUTED_VALUE"""),"Very Good")</f>
        <v>Very Good</v>
      </c>
      <c r="AC1654" s="139">
        <f>IFERROR(__xludf.DUMMYFUNCTION("""COMPUTED_VALUE"""),1.0)</f>
        <v>1</v>
      </c>
      <c r="AD1654" s="139">
        <f>IFERROR(__xludf.DUMMYFUNCTION("""COMPUTED_VALUE"""),1.0)</f>
        <v>1</v>
      </c>
      <c r="AE1654" s="139"/>
      <c r="AF1654" s="140"/>
      <c r="AG1654" s="136" t="str">
        <f>IFERROR(__xludf.DUMMYFUNCTION("""COMPUTED_VALUE"""),"Switched to Stealth Performance on 11/21 and got VIN right away")</f>
        <v>Switched to Stealth Performance on 11/21 and got VIN right away</v>
      </c>
      <c r="AH1654" s="157">
        <f>IFERROR(__xludf.DUMMYFUNCTION("""COMPUTED_VALUE"""),43801.90272694444)</f>
        <v>43801.90273</v>
      </c>
      <c r="AI1654" s="138"/>
      <c r="AJ1654" s="138"/>
      <c r="AK1654" s="138"/>
      <c r="AL1654" s="142"/>
    </row>
    <row r="1655" ht="20.25" customHeight="1">
      <c r="A1655" s="155" t="str">
        <f>IFERROR(__xludf.DUMMYFUNCTION("""COMPUTED_VALUE"""),"CDupuis")</f>
        <v>CDupuis</v>
      </c>
      <c r="B1655" s="149" t="str">
        <f>IFERROR(__xludf.DUMMYFUNCTION("""COMPUTED_VALUE"""),"Montreal")</f>
        <v>Montreal</v>
      </c>
      <c r="C1655" s="149" t="str">
        <f>IFERROR(__xludf.DUMMYFUNCTION("""COMPUTED_VALUE"""),"QC")</f>
        <v>QC</v>
      </c>
      <c r="D1655" s="149" t="str">
        <f>IFERROR(__xludf.DUMMYFUNCTION("""COMPUTED_VALUE"""),"Canada")</f>
        <v>Canada</v>
      </c>
      <c r="E1655" s="156">
        <f>IFERROR(__xludf.DUMMYFUNCTION("""COMPUTED_VALUE"""),43747.0)</f>
        <v>43747</v>
      </c>
      <c r="F1655" s="129">
        <f>IFERROR(__xludf.DUMMYFUNCTION("""COMPUTED_VALUE"""),43795.0)</f>
        <v>43795</v>
      </c>
      <c r="G1655" s="154"/>
      <c r="H1655" s="131">
        <f>IFERROR(__xludf.DUMMYFUNCTION("""COMPUTED_VALUE"""),626355.0)</f>
        <v>626355</v>
      </c>
      <c r="I1655" s="144" t="str">
        <f>IFERROR(__xludf.DUMMYFUNCTION("""COMPUTED_VALUE"""),"11/19")</f>
        <v>11/19</v>
      </c>
      <c r="J1655" s="129">
        <f>IFERROR(__xludf.DUMMYFUNCTION("""COMPUTED_VALUE"""),43810.0)</f>
        <v>43810</v>
      </c>
      <c r="K1655" s="133">
        <f>IFERROR(__xludf.DUMMYFUNCTION("""COMPUTED_VALUE"""),48.0)</f>
        <v>48</v>
      </c>
      <c r="L1655" s="133">
        <f>IFERROR(__xludf.DUMMYFUNCTION("""COMPUTED_VALUE"""),15.0)</f>
        <v>15</v>
      </c>
      <c r="M1655" s="133">
        <f>IFERROR(__xludf.DUMMYFUNCTION("""COMPUTED_VALUE"""),63.0)</f>
        <v>63</v>
      </c>
      <c r="N1655" s="152" t="str">
        <f>IFERROR(__xludf.DUMMYFUNCTION("""COMPUTED_VALUE"""),"Model 3 LR AWD")</f>
        <v>Model 3 LR AWD</v>
      </c>
      <c r="O1655" s="152" t="str">
        <f>IFERROR(__xludf.DUMMYFUNCTION("""COMPUTED_VALUE"""),"Deep Blue Metallic")</f>
        <v>Deep Blue Metallic</v>
      </c>
      <c r="P1655" s="153" t="str">
        <f>IFERROR(__xludf.DUMMYFUNCTION("""COMPUTED_VALUE"""),"18 inch Aero")</f>
        <v>18 inch Aero</v>
      </c>
      <c r="Q1655" s="152" t="str">
        <f>IFERROR(__xludf.DUMMYFUNCTION("""COMPUTED_VALUE"""),"Black seats")</f>
        <v>Black seats</v>
      </c>
      <c r="R1655" s="149" t="str">
        <f>IFERROR(__xludf.DUMMYFUNCTION("""COMPUTED_VALUE"""),"Full Self-Driving")</f>
        <v>Full Self-Driving</v>
      </c>
      <c r="S1655" s="149"/>
      <c r="T1655" s="145"/>
      <c r="U1655" s="145"/>
      <c r="V1655" s="145"/>
      <c r="W1655" s="136"/>
      <c r="X1655" s="137" t="str">
        <f>IFERROR(__xludf.DUMMYFUNCTION("""COMPUTED_VALUE"""),"Excellent")</f>
        <v>Excellent</v>
      </c>
      <c r="Y1655" s="138" t="str">
        <f>IFERROR(__xludf.DUMMYFUNCTION("""COMPUTED_VALUE"""),"Excellent")</f>
        <v>Excellent</v>
      </c>
      <c r="Z1655" s="138" t="str">
        <f>IFERROR(__xludf.DUMMYFUNCTION("""COMPUTED_VALUE"""),"Good")</f>
        <v>Good</v>
      </c>
      <c r="AA1655" s="138" t="str">
        <f>IFERROR(__xludf.DUMMYFUNCTION("""COMPUTED_VALUE"""),"Excellent")</f>
        <v>Excellent</v>
      </c>
      <c r="AB1655" s="138" t="str">
        <f>IFERROR(__xludf.DUMMYFUNCTION("""COMPUTED_VALUE"""),"Excellent")</f>
        <v>Excellent</v>
      </c>
      <c r="AC1655" s="139"/>
      <c r="AD1655" s="139"/>
      <c r="AE1655" s="139"/>
      <c r="AF1655" s="140"/>
      <c r="AG1655" s="136" t="str">
        <f>IFERROR(__xludf.DUMMYFUNCTION("""COMPUTED_VALUE"""),"1 rattle, 4 dents to be repaired")</f>
        <v>1 rattle, 4 dents to be repaired</v>
      </c>
      <c r="AH1655" s="157">
        <f>IFERROR(__xludf.DUMMYFUNCTION("""COMPUTED_VALUE"""),43814.25832023148)</f>
        <v>43814.25832</v>
      </c>
      <c r="AI1655" s="138"/>
      <c r="AJ1655" s="138"/>
      <c r="AK1655" s="138"/>
      <c r="AL1655" s="142"/>
    </row>
    <row r="1656" ht="20.25" customHeight="1">
      <c r="A1656" s="155" t="str">
        <f>IFERROR(__xludf.DUMMYFUNCTION("""COMPUTED_VALUE"""),"griznj")</f>
        <v>griznj</v>
      </c>
      <c r="B1656" s="149"/>
      <c r="C1656" s="149" t="str">
        <f>IFERROR(__xludf.DUMMYFUNCTION("""COMPUTED_VALUE"""),"NJ")</f>
        <v>NJ</v>
      </c>
      <c r="D1656" s="149" t="str">
        <f>IFERROR(__xludf.DUMMYFUNCTION("""COMPUTED_VALUE"""),"USA")</f>
        <v>USA</v>
      </c>
      <c r="E1656" s="156">
        <f>IFERROR(__xludf.DUMMYFUNCTION("""COMPUTED_VALUE"""),43747.0)</f>
        <v>43747</v>
      </c>
      <c r="F1656" s="129">
        <f>IFERROR(__xludf.DUMMYFUNCTION("""COMPUTED_VALUE"""),43759.0)</f>
        <v>43759</v>
      </c>
      <c r="G1656" s="154"/>
      <c r="H1656" s="131">
        <f>IFERROR(__xludf.DUMMYFUNCTION("""COMPUTED_VALUE"""),481396.0)</f>
        <v>481396</v>
      </c>
      <c r="I1656" s="144" t="str">
        <f>IFERROR(__xludf.DUMMYFUNCTION("""COMPUTED_VALUE"""),"09/19")</f>
        <v>09/19</v>
      </c>
      <c r="J1656" s="129">
        <f>IFERROR(__xludf.DUMMYFUNCTION("""COMPUTED_VALUE"""),43771.0)</f>
        <v>43771</v>
      </c>
      <c r="K1656" s="133">
        <f>IFERROR(__xludf.DUMMYFUNCTION("""COMPUTED_VALUE"""),12.0)</f>
        <v>12</v>
      </c>
      <c r="L1656" s="133">
        <f>IFERROR(__xludf.DUMMYFUNCTION("""COMPUTED_VALUE"""),12.0)</f>
        <v>12</v>
      </c>
      <c r="M1656" s="133">
        <f>IFERROR(__xludf.DUMMYFUNCTION("""COMPUTED_VALUE"""),24.0)</f>
        <v>24</v>
      </c>
      <c r="N1656" s="152" t="str">
        <f>IFERROR(__xludf.DUMMYFUNCTION("""COMPUTED_VALUE"""),"Model 3 LR AWD")</f>
        <v>Model 3 LR AWD</v>
      </c>
      <c r="O1656" s="152" t="str">
        <f>IFERROR(__xludf.DUMMYFUNCTION("""COMPUTED_VALUE"""),"Deep Blue Metallic")</f>
        <v>Deep Blue Metallic</v>
      </c>
      <c r="P1656" s="153" t="str">
        <f>IFERROR(__xludf.DUMMYFUNCTION("""COMPUTED_VALUE"""),"19 inch Sport")</f>
        <v>19 inch Sport</v>
      </c>
      <c r="Q1656" s="152" t="str">
        <f>IFERROR(__xludf.DUMMYFUNCTION("""COMPUTED_VALUE"""),"Black seats")</f>
        <v>Black seats</v>
      </c>
      <c r="R1656" s="149" t="str">
        <f>IFERROR(__xludf.DUMMYFUNCTION("""COMPUTED_VALUE"""),"Autopilot")</f>
        <v>Autopilot</v>
      </c>
      <c r="S1656" s="149"/>
      <c r="T1656" s="145"/>
      <c r="U1656" s="145"/>
      <c r="V1656" s="145"/>
      <c r="W1656" s="136"/>
      <c r="X1656" s="137" t="str">
        <f>IFERROR(__xludf.DUMMYFUNCTION("""COMPUTED_VALUE"""),"Very Good")</f>
        <v>Very Good</v>
      </c>
      <c r="Y1656" s="138" t="str">
        <f>IFERROR(__xludf.DUMMYFUNCTION("""COMPUTED_VALUE"""),"Very Good")</f>
        <v>Very Good</v>
      </c>
      <c r="Z1656" s="138" t="str">
        <f>IFERROR(__xludf.DUMMYFUNCTION("""COMPUTED_VALUE"""),"Very Good")</f>
        <v>Very Good</v>
      </c>
      <c r="AA1656" s="138" t="str">
        <f>IFERROR(__xludf.DUMMYFUNCTION("""COMPUTED_VALUE"""),"Excellent")</f>
        <v>Excellent</v>
      </c>
      <c r="AB1656" s="138" t="str">
        <f>IFERROR(__xludf.DUMMYFUNCTION("""COMPUTED_VALUE"""),"Excellent")</f>
        <v>Excellent</v>
      </c>
      <c r="AC1656" s="139"/>
      <c r="AD1656" s="139"/>
      <c r="AE1656" s="139"/>
      <c r="AF1656" s="140"/>
      <c r="AG1656" s="136"/>
      <c r="AH1656" s="157">
        <f>IFERROR(__xludf.DUMMYFUNCTION("""COMPUTED_VALUE"""),43771.77079570602)</f>
        <v>43771.7708</v>
      </c>
      <c r="AI1656" s="138"/>
      <c r="AJ1656" s="138"/>
      <c r="AK1656" s="138"/>
      <c r="AL1656" s="142"/>
    </row>
    <row r="1657" ht="20.25" customHeight="1">
      <c r="A1657" s="155" t="str">
        <f>IFERROR(__xludf.DUMMYFUNCTION("""COMPUTED_VALUE"""),"harryph")</f>
        <v>harryph</v>
      </c>
      <c r="B1657" s="149" t="str">
        <f>IFERROR(__xludf.DUMMYFUNCTION("""COMPUTED_VALUE"""),"Albany")</f>
        <v>Albany</v>
      </c>
      <c r="C1657" s="149" t="str">
        <f>IFERROR(__xludf.DUMMYFUNCTION("""COMPUTED_VALUE"""),"CA")</f>
        <v>CA</v>
      </c>
      <c r="D1657" s="149" t="str">
        <f>IFERROR(__xludf.DUMMYFUNCTION("""COMPUTED_VALUE"""),"USA")</f>
        <v>USA</v>
      </c>
      <c r="E1657" s="156">
        <f>IFERROR(__xludf.DUMMYFUNCTION("""COMPUTED_VALUE"""),43747.0)</f>
        <v>43747</v>
      </c>
      <c r="F1657" s="129">
        <f>IFERROR(__xludf.DUMMYFUNCTION("""COMPUTED_VALUE"""),43813.0)</f>
        <v>43813</v>
      </c>
      <c r="G1657" s="154"/>
      <c r="H1657" s="131">
        <f>IFERROR(__xludf.DUMMYFUNCTION("""COMPUTED_VALUE"""),624055.0)</f>
        <v>624055</v>
      </c>
      <c r="I1657" s="144"/>
      <c r="J1657" s="129">
        <f>IFERROR(__xludf.DUMMYFUNCTION("""COMPUTED_VALUE"""),43814.0)</f>
        <v>43814</v>
      </c>
      <c r="K1657" s="133">
        <f>IFERROR(__xludf.DUMMYFUNCTION("""COMPUTED_VALUE"""),66.0)</f>
        <v>66</v>
      </c>
      <c r="L1657" s="133">
        <f>IFERROR(__xludf.DUMMYFUNCTION("""COMPUTED_VALUE"""),1.0)</f>
        <v>1</v>
      </c>
      <c r="M1657" s="133">
        <f>IFERROR(__xludf.DUMMYFUNCTION("""COMPUTED_VALUE"""),67.0)</f>
        <v>67</v>
      </c>
      <c r="N1657" s="152" t="str">
        <f>IFERROR(__xludf.DUMMYFUNCTION("""COMPUTED_VALUE"""),"Model 3 Performance")</f>
        <v>Model 3 Performance</v>
      </c>
      <c r="O1657" s="152" t="str">
        <f>IFERROR(__xludf.DUMMYFUNCTION("""COMPUTED_VALUE"""),"Pearl White Multi-Coat")</f>
        <v>Pearl White Multi-Coat</v>
      </c>
      <c r="P1657" s="153" t="str">
        <f>IFERROR(__xludf.DUMMYFUNCTION("""COMPUTED_VALUE"""),"20 inch Sport")</f>
        <v>20 inch Sport</v>
      </c>
      <c r="Q1657" s="152" t="str">
        <f>IFERROR(__xludf.DUMMYFUNCTION("""COMPUTED_VALUE"""),"Black seats")</f>
        <v>Black seats</v>
      </c>
      <c r="R1657" s="149" t="str">
        <f>IFERROR(__xludf.DUMMYFUNCTION("""COMPUTED_VALUE"""),"Full Self-Driving")</f>
        <v>Full Self-Driving</v>
      </c>
      <c r="S1657" s="149"/>
      <c r="T1657" s="145"/>
      <c r="U1657" s="145"/>
      <c r="V1657" s="145"/>
      <c r="W1657" s="136"/>
      <c r="X1657" s="137" t="str">
        <f>IFERROR(__xludf.DUMMYFUNCTION("""COMPUTED_VALUE"""),"Excellent")</f>
        <v>Excellent</v>
      </c>
      <c r="Y1657" s="138" t="str">
        <f>IFERROR(__xludf.DUMMYFUNCTION("""COMPUTED_VALUE"""),"Good")</f>
        <v>Good</v>
      </c>
      <c r="Z1657" s="138" t="str">
        <f>IFERROR(__xludf.DUMMYFUNCTION("""COMPUTED_VALUE"""),"Very Good")</f>
        <v>Very Good</v>
      </c>
      <c r="AA1657" s="138" t="str">
        <f>IFERROR(__xludf.DUMMYFUNCTION("""COMPUTED_VALUE"""),"Excellent")</f>
        <v>Excellent</v>
      </c>
      <c r="AB1657" s="138" t="str">
        <f>IFERROR(__xludf.DUMMYFUNCTION("""COMPUTED_VALUE"""),"Very Good")</f>
        <v>Very Good</v>
      </c>
      <c r="AC1657" s="139"/>
      <c r="AD1657" s="139"/>
      <c r="AE1657" s="139"/>
      <c r="AF1657" s="140"/>
      <c r="AG1657" s="136"/>
      <c r="AH1657" s="157">
        <f>IFERROR(__xludf.DUMMYFUNCTION("""COMPUTED_VALUE"""),43814.77387075231)</f>
        <v>43814.77387</v>
      </c>
      <c r="AI1657" s="138"/>
      <c r="AJ1657" s="138"/>
      <c r="AK1657" s="138"/>
      <c r="AL1657" s="142"/>
    </row>
    <row r="1658" ht="20.25" customHeight="1">
      <c r="A1658" s="155" t="str">
        <f>IFERROR(__xludf.DUMMYFUNCTION("""COMPUTED_VALUE"""),"KendoNagasaki ")</f>
        <v>KendoNagasaki </v>
      </c>
      <c r="B1658" s="149" t="str">
        <f>IFERROR(__xludf.DUMMYFUNCTION("""COMPUTED_VALUE"""),"Edinburgh")</f>
        <v>Edinburgh</v>
      </c>
      <c r="C1658" s="149"/>
      <c r="D1658" s="149" t="str">
        <f>IFERROR(__xludf.DUMMYFUNCTION("""COMPUTED_VALUE"""),"United Kingdom")</f>
        <v>United Kingdom</v>
      </c>
      <c r="E1658" s="156">
        <f>IFERROR(__xludf.DUMMYFUNCTION("""COMPUTED_VALUE"""),43747.0)</f>
        <v>43747</v>
      </c>
      <c r="F1658" s="129">
        <f>IFERROR(__xludf.DUMMYFUNCTION("""COMPUTED_VALUE"""),43801.0)</f>
        <v>43801</v>
      </c>
      <c r="G1658" s="154"/>
      <c r="H1658" s="131">
        <f>IFERROR(__xludf.DUMMYFUNCTION("""COMPUTED_VALUE"""),572255.0)</f>
        <v>572255</v>
      </c>
      <c r="I1658" s="144"/>
      <c r="J1658" s="129">
        <f>IFERROR(__xludf.DUMMYFUNCTION("""COMPUTED_VALUE"""),43818.0)</f>
        <v>43818</v>
      </c>
      <c r="K1658" s="133">
        <f>IFERROR(__xludf.DUMMYFUNCTION("""COMPUTED_VALUE"""),54.0)</f>
        <v>54</v>
      </c>
      <c r="L1658" s="133">
        <f>IFERROR(__xludf.DUMMYFUNCTION("""COMPUTED_VALUE"""),17.0)</f>
        <v>17</v>
      </c>
      <c r="M1658" s="133">
        <f>IFERROR(__xludf.DUMMYFUNCTION("""COMPUTED_VALUE"""),71.0)</f>
        <v>71</v>
      </c>
      <c r="N1658" s="152" t="str">
        <f>IFERROR(__xludf.DUMMYFUNCTION("""COMPUTED_VALUE"""),"Model 3 SR+")</f>
        <v>Model 3 SR+</v>
      </c>
      <c r="O1658" s="152" t="str">
        <f>IFERROR(__xludf.DUMMYFUNCTION("""COMPUTED_VALUE"""),"Deep Blue Metallic")</f>
        <v>Deep Blue Metallic</v>
      </c>
      <c r="P1658" s="153" t="str">
        <f>IFERROR(__xludf.DUMMYFUNCTION("""COMPUTED_VALUE"""),"18 inch Aero")</f>
        <v>18 inch Aero</v>
      </c>
      <c r="Q1658" s="152" t="str">
        <f>IFERROR(__xludf.DUMMYFUNCTION("""COMPUTED_VALUE"""),"Black seats")</f>
        <v>Black seats</v>
      </c>
      <c r="R1658" s="149" t="str">
        <f>IFERROR(__xludf.DUMMYFUNCTION("""COMPUTED_VALUE"""),"Autopilot")</f>
        <v>Autopilot</v>
      </c>
      <c r="S1658" s="149"/>
      <c r="T1658" s="145"/>
      <c r="U1658" s="145"/>
      <c r="V1658" s="145"/>
      <c r="W1658" s="136"/>
      <c r="X1658" s="137" t="str">
        <f>IFERROR(__xludf.DUMMYFUNCTION("""COMPUTED_VALUE"""),"Very Good")</f>
        <v>Very Good</v>
      </c>
      <c r="Y1658" s="138" t="str">
        <f>IFERROR(__xludf.DUMMYFUNCTION("""COMPUTED_VALUE"""),"Excellent")</f>
        <v>Excellent</v>
      </c>
      <c r="Z1658" s="138" t="str">
        <f>IFERROR(__xludf.DUMMYFUNCTION("""COMPUTED_VALUE"""),"Very Good")</f>
        <v>Very Good</v>
      </c>
      <c r="AA1658" s="138" t="str">
        <f>IFERROR(__xludf.DUMMYFUNCTION("""COMPUTED_VALUE"""),"Poor")</f>
        <v>Poor</v>
      </c>
      <c r="AB1658" s="138" t="str">
        <f>IFERROR(__xludf.DUMMYFUNCTION("""COMPUTED_VALUE"""),"Very Good")</f>
        <v>Very Good</v>
      </c>
      <c r="AC1658" s="139">
        <f>IFERROR(__xludf.DUMMYFUNCTION("""COMPUTED_VALUE"""),1.0)</f>
        <v>1</v>
      </c>
      <c r="AD1658" s="139"/>
      <c r="AE1658" s="139"/>
      <c r="AF1658" s="140"/>
      <c r="AG1658" s="136"/>
      <c r="AH1658" s="157">
        <f>IFERROR(__xludf.DUMMYFUNCTION("""COMPUTED_VALUE"""),43823.56234304398)</f>
        <v>43823.56234</v>
      </c>
      <c r="AI1658" s="138"/>
      <c r="AJ1658" s="138"/>
      <c r="AK1658" s="138"/>
      <c r="AL1658" s="142"/>
    </row>
    <row r="1659" ht="20.25" customHeight="1">
      <c r="A1659" s="155" t="str">
        <f>IFERROR(__xludf.DUMMYFUNCTION("""COMPUTED_VALUE"""),"PSJ")</f>
        <v>PSJ</v>
      </c>
      <c r="B1659" s="149"/>
      <c r="C1659" s="149" t="str">
        <f>IFERROR(__xludf.DUMMYFUNCTION("""COMPUTED_VALUE"""),"TX")</f>
        <v>TX</v>
      </c>
      <c r="D1659" s="149" t="str">
        <f>IFERROR(__xludf.DUMMYFUNCTION("""COMPUTED_VALUE"""),"USA")</f>
        <v>USA</v>
      </c>
      <c r="E1659" s="156">
        <f>IFERROR(__xludf.DUMMYFUNCTION("""COMPUTED_VALUE"""),43747.0)</f>
        <v>43747</v>
      </c>
      <c r="F1659" s="129">
        <f>IFERROR(__xludf.DUMMYFUNCTION("""COMPUTED_VALUE"""),43787.0)</f>
        <v>43787</v>
      </c>
      <c r="G1659" s="154"/>
      <c r="H1659" s="131">
        <f>IFERROR(__xludf.DUMMYFUNCTION("""COMPUTED_VALUE"""),504555.0)</f>
        <v>504555</v>
      </c>
      <c r="I1659" s="144"/>
      <c r="J1659" s="129">
        <f>IFERROR(__xludf.DUMMYFUNCTION("""COMPUTED_VALUE"""),43804.0)</f>
        <v>43804</v>
      </c>
      <c r="K1659" s="133">
        <f>IFERROR(__xludf.DUMMYFUNCTION("""COMPUTED_VALUE"""),40.0)</f>
        <v>40</v>
      </c>
      <c r="L1659" s="133">
        <f>IFERROR(__xludf.DUMMYFUNCTION("""COMPUTED_VALUE"""),17.0)</f>
        <v>17</v>
      </c>
      <c r="M1659" s="133">
        <f>IFERROR(__xludf.DUMMYFUNCTION("""COMPUTED_VALUE"""),57.0)</f>
        <v>57</v>
      </c>
      <c r="N1659" s="152" t="str">
        <f>IFERROR(__xludf.DUMMYFUNCTION("""COMPUTED_VALUE"""),"Model 3 SR+")</f>
        <v>Model 3 SR+</v>
      </c>
      <c r="O1659" s="152" t="str">
        <f>IFERROR(__xludf.DUMMYFUNCTION("""COMPUTED_VALUE"""),"Pearl White Multi-Coat")</f>
        <v>Pearl White Multi-Coat</v>
      </c>
      <c r="P1659" s="153" t="str">
        <f>IFERROR(__xludf.DUMMYFUNCTION("""COMPUTED_VALUE"""),"18 inch Aero")</f>
        <v>18 inch Aero</v>
      </c>
      <c r="Q1659" s="152" t="str">
        <f>IFERROR(__xludf.DUMMYFUNCTION("""COMPUTED_VALUE"""),"Black seats")</f>
        <v>Black seats</v>
      </c>
      <c r="R1659" s="149" t="str">
        <f>IFERROR(__xludf.DUMMYFUNCTION("""COMPUTED_VALUE"""),"Full Self-Driving")</f>
        <v>Full Self-Driving</v>
      </c>
      <c r="S1659" s="149"/>
      <c r="T1659" s="145"/>
      <c r="U1659" s="145"/>
      <c r="V1659" s="145"/>
      <c r="W1659" s="136"/>
      <c r="X1659" s="137" t="str">
        <f>IFERROR(__xludf.DUMMYFUNCTION("""COMPUTED_VALUE"""),"Very Good")</f>
        <v>Very Good</v>
      </c>
      <c r="Y1659" s="138" t="str">
        <f>IFERROR(__xludf.DUMMYFUNCTION("""COMPUTED_VALUE"""),"Very Good")</f>
        <v>Very Good</v>
      </c>
      <c r="Z1659" s="138" t="str">
        <f>IFERROR(__xludf.DUMMYFUNCTION("""COMPUTED_VALUE"""),"Very Good")</f>
        <v>Very Good</v>
      </c>
      <c r="AA1659" s="138" t="str">
        <f>IFERROR(__xludf.DUMMYFUNCTION("""COMPUTED_VALUE"""),"Poor")</f>
        <v>Poor</v>
      </c>
      <c r="AB1659" s="138" t="str">
        <f>IFERROR(__xludf.DUMMYFUNCTION("""COMPUTED_VALUE"""),"Fair")</f>
        <v>Fair</v>
      </c>
      <c r="AC1659" s="139"/>
      <c r="AD1659" s="139"/>
      <c r="AE1659" s="139"/>
      <c r="AF1659" s="140"/>
      <c r="AG1659" s="136"/>
      <c r="AH1659" s="157">
        <f>IFERROR(__xludf.DUMMYFUNCTION("""COMPUTED_VALUE"""),43806.26569516204)</f>
        <v>43806.2657</v>
      </c>
      <c r="AI1659" s="138"/>
      <c r="AJ1659" s="138"/>
      <c r="AK1659" s="138"/>
      <c r="AL1659" s="142"/>
    </row>
    <row r="1660" ht="20.25" customHeight="1">
      <c r="A1660" s="155" t="str">
        <f>IFERROR(__xludf.DUMMYFUNCTION("""COMPUTED_VALUE"""),"The Hindenburg")</f>
        <v>The Hindenburg</v>
      </c>
      <c r="B1660" s="149" t="str">
        <f>IFERROR(__xludf.DUMMYFUNCTION("""COMPUTED_VALUE"""),"St. Louis")</f>
        <v>St. Louis</v>
      </c>
      <c r="C1660" s="149" t="str">
        <f>IFERROR(__xludf.DUMMYFUNCTION("""COMPUTED_VALUE"""),"MO")</f>
        <v>MO</v>
      </c>
      <c r="D1660" s="149" t="str">
        <f>IFERROR(__xludf.DUMMYFUNCTION("""COMPUTED_VALUE"""),"USA")</f>
        <v>USA</v>
      </c>
      <c r="E1660" s="156">
        <f>IFERROR(__xludf.DUMMYFUNCTION("""COMPUTED_VALUE"""),43747.0)</f>
        <v>43747</v>
      </c>
      <c r="F1660" s="129">
        <f>IFERROR(__xludf.DUMMYFUNCTION("""COMPUTED_VALUE"""),43766.0)</f>
        <v>43766</v>
      </c>
      <c r="G1660" s="154"/>
      <c r="H1660" s="131">
        <f>IFERROR(__xludf.DUMMYFUNCTION("""COMPUTED_VALUE"""),476248.0)</f>
        <v>476248</v>
      </c>
      <c r="I1660" s="144" t="str">
        <f>IFERROR(__xludf.DUMMYFUNCTION("""COMPUTED_VALUE"""),"10/19")</f>
        <v>10/19</v>
      </c>
      <c r="J1660" s="129">
        <f>IFERROR(__xludf.DUMMYFUNCTION("""COMPUTED_VALUE"""),43781.0)</f>
        <v>43781</v>
      </c>
      <c r="K1660" s="133">
        <f>IFERROR(__xludf.DUMMYFUNCTION("""COMPUTED_VALUE"""),19.0)</f>
        <v>19</v>
      </c>
      <c r="L1660" s="133">
        <f>IFERROR(__xludf.DUMMYFUNCTION("""COMPUTED_VALUE"""),15.0)</f>
        <v>15</v>
      </c>
      <c r="M1660" s="133">
        <f>IFERROR(__xludf.DUMMYFUNCTION("""COMPUTED_VALUE"""),34.0)</f>
        <v>34</v>
      </c>
      <c r="N1660" s="152" t="str">
        <f>IFERROR(__xludf.DUMMYFUNCTION("""COMPUTED_VALUE"""),"Model 3 SR+")</f>
        <v>Model 3 SR+</v>
      </c>
      <c r="O1660" s="152" t="str">
        <f>IFERROR(__xludf.DUMMYFUNCTION("""COMPUTED_VALUE"""),"Deep Blue Metallic")</f>
        <v>Deep Blue Metallic</v>
      </c>
      <c r="P1660" s="153" t="str">
        <f>IFERROR(__xludf.DUMMYFUNCTION("""COMPUTED_VALUE"""),"18 inch Aero")</f>
        <v>18 inch Aero</v>
      </c>
      <c r="Q1660" s="152" t="str">
        <f>IFERROR(__xludf.DUMMYFUNCTION("""COMPUTED_VALUE"""),"Black seats")</f>
        <v>Black seats</v>
      </c>
      <c r="R1660" s="149" t="str">
        <f>IFERROR(__xludf.DUMMYFUNCTION("""COMPUTED_VALUE"""),"Autopilot")</f>
        <v>Autopilot</v>
      </c>
      <c r="S1660" s="149"/>
      <c r="T1660" s="145"/>
      <c r="U1660" s="145"/>
      <c r="V1660" s="145"/>
      <c r="W1660" s="136"/>
      <c r="X1660" s="137" t="str">
        <f>IFERROR(__xludf.DUMMYFUNCTION("""COMPUTED_VALUE"""),"Very Good")</f>
        <v>Very Good</v>
      </c>
      <c r="Y1660" s="138" t="str">
        <f>IFERROR(__xludf.DUMMYFUNCTION("""COMPUTED_VALUE"""),"Excellent")</f>
        <v>Excellent</v>
      </c>
      <c r="Z1660" s="138" t="str">
        <f>IFERROR(__xludf.DUMMYFUNCTION("""COMPUTED_VALUE"""),"Excellent")</f>
        <v>Excellent</v>
      </c>
      <c r="AA1660" s="138" t="str">
        <f>IFERROR(__xludf.DUMMYFUNCTION("""COMPUTED_VALUE"""),"Very Good")</f>
        <v>Very Good</v>
      </c>
      <c r="AB1660" s="138" t="str">
        <f>IFERROR(__xludf.DUMMYFUNCTION("""COMPUTED_VALUE"""),"Very Good")</f>
        <v>Very Good</v>
      </c>
      <c r="AC1660" s="139">
        <f>IFERROR(__xludf.DUMMYFUNCTION("""COMPUTED_VALUE"""),1.0)</f>
        <v>1</v>
      </c>
      <c r="AD1660" s="139">
        <f>IFERROR(__xludf.DUMMYFUNCTION("""COMPUTED_VALUE"""),1.0)</f>
        <v>1</v>
      </c>
      <c r="AE1660" s="139">
        <f>IFERROR(__xludf.DUMMYFUNCTION("""COMPUTED_VALUE"""),0.0)</f>
        <v>0</v>
      </c>
      <c r="AF1660" s="140"/>
      <c r="AG1660" s="136" t="str">
        <f>IFERROR(__xludf.DUMMYFUNCTION("""COMPUTED_VALUE"""),"Got home and mobile charger is defective. Tesla mobile service brought new one to the house next day.")</f>
        <v>Got home and mobile charger is defective. Tesla mobile service brought new one to the house next day.</v>
      </c>
      <c r="AH1660" s="157">
        <f>IFERROR(__xludf.DUMMYFUNCTION("""COMPUTED_VALUE"""),43785.47905695602)</f>
        <v>43785.47906</v>
      </c>
      <c r="AI1660" s="138"/>
      <c r="AJ1660" s="138"/>
      <c r="AK1660" s="138"/>
      <c r="AL1660" s="142"/>
    </row>
    <row r="1661" ht="20.25" customHeight="1">
      <c r="A1661" s="155" t="str">
        <f>IFERROR(__xludf.DUMMYFUNCTION("""COMPUTED_VALUE"""),"hi2010")</f>
        <v>hi2010</v>
      </c>
      <c r="B1661" s="149"/>
      <c r="C1661" s="149" t="str">
        <f>IFERROR(__xludf.DUMMYFUNCTION("""COMPUTED_VALUE"""),"TX")</f>
        <v>TX</v>
      </c>
      <c r="D1661" s="149" t="str">
        <f>IFERROR(__xludf.DUMMYFUNCTION("""COMPUTED_VALUE"""),"USA")</f>
        <v>USA</v>
      </c>
      <c r="E1661" s="156">
        <f>IFERROR(__xludf.DUMMYFUNCTION("""COMPUTED_VALUE"""),43746.0)</f>
        <v>43746</v>
      </c>
      <c r="F1661" s="129">
        <f>IFERROR(__xludf.DUMMYFUNCTION("""COMPUTED_VALUE"""),43759.0)</f>
        <v>43759</v>
      </c>
      <c r="G1661" s="154"/>
      <c r="H1661" s="131">
        <f>IFERROR(__xludf.DUMMYFUNCTION("""COMPUTED_VALUE"""),512251.0)</f>
        <v>512251</v>
      </c>
      <c r="I1661" s="144" t="str">
        <f>IFERROR(__xludf.DUMMYFUNCTION("""COMPUTED_VALUE"""),"10/19")</f>
        <v>10/19</v>
      </c>
      <c r="J1661" s="129">
        <f>IFERROR(__xludf.DUMMYFUNCTION("""COMPUTED_VALUE"""),43790.0)</f>
        <v>43790</v>
      </c>
      <c r="K1661" s="133">
        <f>IFERROR(__xludf.DUMMYFUNCTION("""COMPUTED_VALUE"""),13.0)</f>
        <v>13</v>
      </c>
      <c r="L1661" s="133">
        <f>IFERROR(__xludf.DUMMYFUNCTION("""COMPUTED_VALUE"""),31.0)</f>
        <v>31</v>
      </c>
      <c r="M1661" s="133">
        <f>IFERROR(__xludf.DUMMYFUNCTION("""COMPUTED_VALUE"""),44.0)</f>
        <v>44</v>
      </c>
      <c r="N1661" s="152" t="str">
        <f>IFERROR(__xludf.DUMMYFUNCTION("""COMPUTED_VALUE"""),"Model 3 LR AWD")</f>
        <v>Model 3 LR AWD</v>
      </c>
      <c r="O1661" s="152" t="str">
        <f>IFERROR(__xludf.DUMMYFUNCTION("""COMPUTED_VALUE"""),"Pearl White Multi-Coat")</f>
        <v>Pearl White Multi-Coat</v>
      </c>
      <c r="P1661" s="153" t="str">
        <f>IFERROR(__xludf.DUMMYFUNCTION("""COMPUTED_VALUE"""),"19 inch Sport")</f>
        <v>19 inch Sport</v>
      </c>
      <c r="Q1661" s="152" t="str">
        <f>IFERROR(__xludf.DUMMYFUNCTION("""COMPUTED_VALUE"""),"Black seats")</f>
        <v>Black seats</v>
      </c>
      <c r="R1661" s="149" t="str">
        <f>IFERROR(__xludf.DUMMYFUNCTION("""COMPUTED_VALUE"""),"Full Self-Driving")</f>
        <v>Full Self-Driving</v>
      </c>
      <c r="S1661" s="149"/>
      <c r="T1661" s="145"/>
      <c r="U1661" s="145"/>
      <c r="V1661" s="145"/>
      <c r="W1661" s="136"/>
      <c r="X1661" s="137" t="str">
        <f>IFERROR(__xludf.DUMMYFUNCTION("""COMPUTED_VALUE"""),"Very Good")</f>
        <v>Very Good</v>
      </c>
      <c r="Y1661" s="138" t="str">
        <f>IFERROR(__xludf.DUMMYFUNCTION("""COMPUTED_VALUE"""),"Very Good")</f>
        <v>Very Good</v>
      </c>
      <c r="Z1661" s="138" t="str">
        <f>IFERROR(__xludf.DUMMYFUNCTION("""COMPUTED_VALUE"""),"Excellent")</f>
        <v>Excellent</v>
      </c>
      <c r="AA1661" s="138" t="str">
        <f>IFERROR(__xludf.DUMMYFUNCTION("""COMPUTED_VALUE"""),"Excellent")</f>
        <v>Excellent</v>
      </c>
      <c r="AB1661" s="138" t="str">
        <f>IFERROR(__xludf.DUMMYFUNCTION("""COMPUTED_VALUE"""),"Excellent")</f>
        <v>Excellent</v>
      </c>
      <c r="AC1661" s="139">
        <f>IFERROR(__xludf.DUMMYFUNCTION("""COMPUTED_VALUE"""),3.0)</f>
        <v>3</v>
      </c>
      <c r="AD1661" s="139">
        <f>IFERROR(__xludf.DUMMYFUNCTION("""COMPUTED_VALUE"""),0.0)</f>
        <v>0</v>
      </c>
      <c r="AE1661" s="139">
        <f>IFERROR(__xludf.DUMMYFUNCTION("""COMPUTED_VALUE"""),0.0)</f>
        <v>0</v>
      </c>
      <c r="AF1661" s="140"/>
      <c r="AG1661" s="136" t="str">
        <f>IFERROR(__xludf.DUMMYFUNCTION("""COMPUTED_VALUE"""),"10/21 VIN in source code; 11/4 Make Payment button and MVPA form popped up on account with VIN matching in source code; 11/5 DS called and vehicle should arrive in DC by next week; 11/9 Account updated with Delivery Appointment date for 11/15; 11/15 Arriv"&amp;"ed in DC waiting for third party carrier to provide delivery date; 11/18 Delivery date scheduled 11/21; 11/20 Got Model 3 and now waiting for my Tesla account to update")</f>
        <v>10/21 VIN in source code; 11/4 Make Payment button and MVPA form popped up on account with VIN matching in source code; 11/5 DS called and vehicle should arrive in DC by next week; 11/9 Account updated with Delivery Appointment date for 11/15; 11/15 Arrived in DC waiting for third party carrier to provide delivery date; 11/18 Delivery date scheduled 11/21; 11/20 Got Model 3 and now waiting for my Tesla account to update</v>
      </c>
      <c r="AH1661" s="157">
        <f>IFERROR(__xludf.DUMMYFUNCTION("""COMPUTED_VALUE"""),43791.51484371528)</f>
        <v>43791.51484</v>
      </c>
      <c r="AI1661" s="138"/>
      <c r="AJ1661" s="138"/>
      <c r="AK1661" s="138"/>
      <c r="AL1661" s="142"/>
    </row>
    <row r="1662" ht="20.25" customHeight="1">
      <c r="A1662" s="155" t="str">
        <f>IFERROR(__xludf.DUMMYFUNCTION("""COMPUTED_VALUE"""),"merkman")</f>
        <v>merkman</v>
      </c>
      <c r="B1662" s="149" t="str">
        <f>IFERROR(__xludf.DUMMYFUNCTION("""COMPUTED_VALUE"""),"Brookfield")</f>
        <v>Brookfield</v>
      </c>
      <c r="C1662" s="149" t="str">
        <f>IFERROR(__xludf.DUMMYFUNCTION("""COMPUTED_VALUE"""),"WI")</f>
        <v>WI</v>
      </c>
      <c r="D1662" s="149" t="str">
        <f>IFERROR(__xludf.DUMMYFUNCTION("""COMPUTED_VALUE"""),"USA")</f>
        <v>USA</v>
      </c>
      <c r="E1662" s="156">
        <f>IFERROR(__xludf.DUMMYFUNCTION("""COMPUTED_VALUE"""),43746.0)</f>
        <v>43746</v>
      </c>
      <c r="F1662" s="129">
        <f>IFERROR(__xludf.DUMMYFUNCTION("""COMPUTED_VALUE"""),43782.0)</f>
        <v>43782</v>
      </c>
      <c r="G1662" s="154"/>
      <c r="H1662" s="131"/>
      <c r="I1662" s="144" t="str">
        <f>IFERROR(__xludf.DUMMYFUNCTION("""COMPUTED_VALUE"""),"10/19")</f>
        <v>10/19</v>
      </c>
      <c r="J1662" s="129">
        <f>IFERROR(__xludf.DUMMYFUNCTION("""COMPUTED_VALUE"""),43784.0)</f>
        <v>43784</v>
      </c>
      <c r="K1662" s="133">
        <f>IFERROR(__xludf.DUMMYFUNCTION("""COMPUTED_VALUE"""),36.0)</f>
        <v>36</v>
      </c>
      <c r="L1662" s="133">
        <f>IFERROR(__xludf.DUMMYFUNCTION("""COMPUTED_VALUE"""),2.0)</f>
        <v>2</v>
      </c>
      <c r="M1662" s="133">
        <f>IFERROR(__xludf.DUMMYFUNCTION("""COMPUTED_VALUE"""),38.0)</f>
        <v>38</v>
      </c>
      <c r="N1662" s="152" t="str">
        <f>IFERROR(__xludf.DUMMYFUNCTION("""COMPUTED_VALUE"""),"Model 3 Performance")</f>
        <v>Model 3 Performance</v>
      </c>
      <c r="O1662" s="152" t="str">
        <f>IFERROR(__xludf.DUMMYFUNCTION("""COMPUTED_VALUE"""),"Red Multi-Coat")</f>
        <v>Red Multi-Coat</v>
      </c>
      <c r="P1662" s="153" t="str">
        <f>IFERROR(__xludf.DUMMYFUNCTION("""COMPUTED_VALUE"""),"18 inch Aero")</f>
        <v>18 inch Aero</v>
      </c>
      <c r="Q1662" s="152" t="str">
        <f>IFERROR(__xludf.DUMMYFUNCTION("""COMPUTED_VALUE"""),"Black seats")</f>
        <v>Black seats</v>
      </c>
      <c r="R1662" s="149" t="str">
        <f>IFERROR(__xludf.DUMMYFUNCTION("""COMPUTED_VALUE"""),"Full Self-Driving")</f>
        <v>Full Self-Driving</v>
      </c>
      <c r="S1662" s="149"/>
      <c r="T1662" s="145"/>
      <c r="U1662" s="145"/>
      <c r="V1662" s="145"/>
      <c r="W1662" s="136"/>
      <c r="X1662" s="137" t="str">
        <f>IFERROR(__xludf.DUMMYFUNCTION("""COMPUTED_VALUE"""),"Excellent")</f>
        <v>Excellent</v>
      </c>
      <c r="Y1662" s="138" t="str">
        <f>IFERROR(__xludf.DUMMYFUNCTION("""COMPUTED_VALUE"""),"Excellent")</f>
        <v>Excellent</v>
      </c>
      <c r="Z1662" s="138" t="str">
        <f>IFERROR(__xludf.DUMMYFUNCTION("""COMPUTED_VALUE"""),"Excellent")</f>
        <v>Excellent</v>
      </c>
      <c r="AA1662" s="138" t="str">
        <f>IFERROR(__xludf.DUMMYFUNCTION("""COMPUTED_VALUE"""),"Excellent")</f>
        <v>Excellent</v>
      </c>
      <c r="AB1662" s="138" t="str">
        <f>IFERROR(__xludf.DUMMYFUNCTION("""COMPUTED_VALUE"""),"Excellent")</f>
        <v>Excellent</v>
      </c>
      <c r="AC1662" s="139">
        <f>IFERROR(__xludf.DUMMYFUNCTION("""COMPUTED_VALUE"""),1.0)</f>
        <v>1</v>
      </c>
      <c r="AD1662" s="139">
        <f>IFERROR(__xludf.DUMMYFUNCTION("""COMPUTED_VALUE"""),2.0)</f>
        <v>2</v>
      </c>
      <c r="AE1662" s="139"/>
      <c r="AF1662" s="140"/>
      <c r="AG1662" s="136"/>
      <c r="AH1662" s="157">
        <f>IFERROR(__xludf.DUMMYFUNCTION("""COMPUTED_VALUE"""),43894.64787197916)</f>
        <v>43894.64787</v>
      </c>
      <c r="AI1662" s="138"/>
      <c r="AJ1662" s="138"/>
      <c r="AK1662" s="138"/>
      <c r="AL1662" s="142"/>
    </row>
    <row r="1663" ht="20.25" customHeight="1">
      <c r="A1663" s="155" t="str">
        <f>IFERROR(__xludf.DUMMYFUNCTION("""COMPUTED_VALUE"""),"SinNC")</f>
        <v>SinNC</v>
      </c>
      <c r="B1663" s="149" t="str">
        <f>IFERROR(__xludf.DUMMYFUNCTION("""COMPUTED_VALUE"""),"Raleigh ")</f>
        <v>Raleigh </v>
      </c>
      <c r="C1663" s="149" t="str">
        <f>IFERROR(__xludf.DUMMYFUNCTION("""COMPUTED_VALUE"""),"NC")</f>
        <v>NC</v>
      </c>
      <c r="D1663" s="149" t="str">
        <f>IFERROR(__xludf.DUMMYFUNCTION("""COMPUTED_VALUE"""),"USA")</f>
        <v>USA</v>
      </c>
      <c r="E1663" s="156">
        <f>IFERROR(__xludf.DUMMYFUNCTION("""COMPUTED_VALUE"""),43746.0)</f>
        <v>43746</v>
      </c>
      <c r="F1663" s="129">
        <f>IFERROR(__xludf.DUMMYFUNCTION("""COMPUTED_VALUE"""),43801.0)</f>
        <v>43801</v>
      </c>
      <c r="G1663" s="154"/>
      <c r="H1663" s="131">
        <f>IFERROR(__xludf.DUMMYFUNCTION("""COMPUTED_VALUE"""),602909.0)</f>
        <v>602909</v>
      </c>
      <c r="I1663" s="144"/>
      <c r="J1663" s="129">
        <f>IFERROR(__xludf.DUMMYFUNCTION("""COMPUTED_VALUE"""),43807.0)</f>
        <v>43807</v>
      </c>
      <c r="K1663" s="133">
        <f>IFERROR(__xludf.DUMMYFUNCTION("""COMPUTED_VALUE"""),55.0)</f>
        <v>55</v>
      </c>
      <c r="L1663" s="133">
        <f>IFERROR(__xludf.DUMMYFUNCTION("""COMPUTED_VALUE"""),6.0)</f>
        <v>6</v>
      </c>
      <c r="M1663" s="133">
        <f>IFERROR(__xludf.DUMMYFUNCTION("""COMPUTED_VALUE"""),61.0)</f>
        <v>61</v>
      </c>
      <c r="N1663" s="152" t="str">
        <f>IFERROR(__xludf.DUMMYFUNCTION("""COMPUTED_VALUE"""),"Model 3 Performance")</f>
        <v>Model 3 Performance</v>
      </c>
      <c r="O1663" s="152" t="str">
        <f>IFERROR(__xludf.DUMMYFUNCTION("""COMPUTED_VALUE"""),"Midnight Silver Metallic")</f>
        <v>Midnight Silver Metallic</v>
      </c>
      <c r="P1663" s="153" t="str">
        <f>IFERROR(__xludf.DUMMYFUNCTION("""COMPUTED_VALUE"""),"20 inch Sport")</f>
        <v>20 inch Sport</v>
      </c>
      <c r="Q1663" s="152" t="str">
        <f>IFERROR(__xludf.DUMMYFUNCTION("""COMPUTED_VALUE"""),"Black seats")</f>
        <v>Black seats</v>
      </c>
      <c r="R1663" s="149" t="str">
        <f>IFERROR(__xludf.DUMMYFUNCTION("""COMPUTED_VALUE"""),"Full Self-Driving")</f>
        <v>Full Self-Driving</v>
      </c>
      <c r="S1663" s="149"/>
      <c r="T1663" s="145"/>
      <c r="U1663" s="145"/>
      <c r="V1663" s="145"/>
      <c r="W1663" s="136"/>
      <c r="X1663" s="137" t="str">
        <f>IFERROR(__xludf.DUMMYFUNCTION("""COMPUTED_VALUE"""),"Excellent")</f>
        <v>Excellent</v>
      </c>
      <c r="Y1663" s="138" t="str">
        <f>IFERROR(__xludf.DUMMYFUNCTION("""COMPUTED_VALUE"""),"Excellent")</f>
        <v>Excellent</v>
      </c>
      <c r="Z1663" s="138" t="str">
        <f>IFERROR(__xludf.DUMMYFUNCTION("""COMPUTED_VALUE"""),"Excellent")</f>
        <v>Excellent</v>
      </c>
      <c r="AA1663" s="138" t="str">
        <f>IFERROR(__xludf.DUMMYFUNCTION("""COMPUTED_VALUE"""),"Fair")</f>
        <v>Fair</v>
      </c>
      <c r="AB1663" s="138" t="str">
        <f>IFERROR(__xludf.DUMMYFUNCTION("""COMPUTED_VALUE"""),"Excellent")</f>
        <v>Excellent</v>
      </c>
      <c r="AC1663" s="139">
        <f>IFERROR(__xludf.DUMMYFUNCTION("""COMPUTED_VALUE"""),0.0)</f>
        <v>0</v>
      </c>
      <c r="AD1663" s="139"/>
      <c r="AE1663" s="139"/>
      <c r="AF1663" s="140"/>
      <c r="AG1663" s="136" t="str">
        <f>IFERROR(__xludf.DUMMYFUNCTION("""COMPUTED_VALUE"""),"VIN from source code")</f>
        <v>VIN from source code</v>
      </c>
      <c r="AH1663" s="157">
        <f>IFERROR(__xludf.DUMMYFUNCTION("""COMPUTED_VALUE"""),43808.37919659723)</f>
        <v>43808.3792</v>
      </c>
      <c r="AI1663" s="138"/>
      <c r="AJ1663" s="138"/>
      <c r="AK1663" s="138"/>
      <c r="AL1663" s="142"/>
    </row>
    <row r="1664" ht="20.25" customHeight="1">
      <c r="A1664" s="155" t="str">
        <f>IFERROR(__xludf.DUMMYFUNCTION("""COMPUTED_VALUE"""),"_dr4k3")</f>
        <v>_dr4k3</v>
      </c>
      <c r="B1664" s="149" t="str">
        <f>IFERROR(__xludf.DUMMYFUNCTION("""COMPUTED_VALUE"""),"Prague, Czech Republic")</f>
        <v>Prague, Czech Republic</v>
      </c>
      <c r="C1664" s="149"/>
      <c r="D1664" s="149" t="str">
        <f>IFERROR(__xludf.DUMMYFUNCTION("""COMPUTED_VALUE"""),"Other (include country together with city)")</f>
        <v>Other (include country together with city)</v>
      </c>
      <c r="E1664" s="156">
        <f>IFERROR(__xludf.DUMMYFUNCTION("""COMPUTED_VALUE"""),43745.0)</f>
        <v>43745</v>
      </c>
      <c r="F1664" s="129">
        <f>IFERROR(__xludf.DUMMYFUNCTION("""COMPUTED_VALUE"""),43889.0)</f>
        <v>43889</v>
      </c>
      <c r="G1664" s="154"/>
      <c r="H1664" s="131">
        <f>IFERROR(__xludf.DUMMYFUNCTION("""COMPUTED_VALUE"""),674355.0)</f>
        <v>674355</v>
      </c>
      <c r="I1664" s="144"/>
      <c r="J1664" s="129">
        <f>IFERROR(__xludf.DUMMYFUNCTION("""COMPUTED_VALUE"""),43895.0)</f>
        <v>43895</v>
      </c>
      <c r="K1664" s="133">
        <f>IFERROR(__xludf.DUMMYFUNCTION("""COMPUTED_VALUE"""),144.0)</f>
        <v>144</v>
      </c>
      <c r="L1664" s="133">
        <f>IFERROR(__xludf.DUMMYFUNCTION("""COMPUTED_VALUE"""),6.0)</f>
        <v>6</v>
      </c>
      <c r="M1664" s="133">
        <f>IFERROR(__xludf.DUMMYFUNCTION("""COMPUTED_VALUE"""),150.0)</f>
        <v>150</v>
      </c>
      <c r="N1664" s="152" t="str">
        <f>IFERROR(__xludf.DUMMYFUNCTION("""COMPUTED_VALUE"""),"Model 3 LR AWD")</f>
        <v>Model 3 LR AWD</v>
      </c>
      <c r="O1664" s="152" t="str">
        <f>IFERROR(__xludf.DUMMYFUNCTION("""COMPUTED_VALUE"""),"Deep Blue Metallic")</f>
        <v>Deep Blue Metallic</v>
      </c>
      <c r="P1664" s="153" t="str">
        <f>IFERROR(__xludf.DUMMYFUNCTION("""COMPUTED_VALUE"""),"18 inch Aero")</f>
        <v>18 inch Aero</v>
      </c>
      <c r="Q1664" s="152" t="str">
        <f>IFERROR(__xludf.DUMMYFUNCTION("""COMPUTED_VALUE"""),"Black seats")</f>
        <v>Black seats</v>
      </c>
      <c r="R1664" s="149" t="str">
        <f>IFERROR(__xludf.DUMMYFUNCTION("""COMPUTED_VALUE"""),"Autopilot")</f>
        <v>Autopilot</v>
      </c>
      <c r="S1664" s="149"/>
      <c r="T1664" s="145"/>
      <c r="U1664" s="145"/>
      <c r="V1664" s="145"/>
      <c r="W1664" s="145"/>
      <c r="X1664" s="137" t="str">
        <f>IFERROR(__xludf.DUMMYFUNCTION("""COMPUTED_VALUE"""),"Excellent")</f>
        <v>Excellent</v>
      </c>
      <c r="Y1664" s="138" t="str">
        <f>IFERROR(__xludf.DUMMYFUNCTION("""COMPUTED_VALUE"""),"Excellent")</f>
        <v>Excellent</v>
      </c>
      <c r="Z1664" s="138" t="str">
        <f>IFERROR(__xludf.DUMMYFUNCTION("""COMPUTED_VALUE"""),"Excellent")</f>
        <v>Excellent</v>
      </c>
      <c r="AA1664" s="138" t="str">
        <f>IFERROR(__xludf.DUMMYFUNCTION("""COMPUTED_VALUE"""),"Fair")</f>
        <v>Fair</v>
      </c>
      <c r="AB1664" s="138" t="str">
        <f>IFERROR(__xludf.DUMMYFUNCTION("""COMPUTED_VALUE"""),"Good")</f>
        <v>Good</v>
      </c>
      <c r="AC1664" s="139"/>
      <c r="AD1664" s="139"/>
      <c r="AE1664" s="139"/>
      <c r="AF1664" s="140"/>
      <c r="AG1664" s="145"/>
      <c r="AH1664" s="157">
        <f>IFERROR(__xludf.DUMMYFUNCTION("""COMPUTED_VALUE"""),43896.276094733796)</f>
        <v>43896.27609</v>
      </c>
      <c r="AI1664" s="138"/>
      <c r="AJ1664" s="138"/>
      <c r="AK1664" s="138"/>
      <c r="AL1664" s="142"/>
    </row>
    <row r="1665" ht="20.25" customHeight="1">
      <c r="A1665" s="155" t="str">
        <f>IFERROR(__xludf.DUMMYFUNCTION("""COMPUTED_VALUE"""),"shootstesla")</f>
        <v>shootstesla</v>
      </c>
      <c r="B1665" s="150" t="str">
        <f>IFERROR(__xludf.DUMMYFUNCTION("""COMPUTED_VALUE"""),"Morristown")</f>
        <v>Morristown</v>
      </c>
      <c r="C1665" s="150" t="str">
        <f>IFERROR(__xludf.DUMMYFUNCTION("""COMPUTED_VALUE"""),"NJ")</f>
        <v>NJ</v>
      </c>
      <c r="D1665" s="150" t="str">
        <f>IFERROR(__xludf.DUMMYFUNCTION("""COMPUTED_VALUE"""),"USA")</f>
        <v>USA</v>
      </c>
      <c r="E1665" s="156">
        <f>IFERROR(__xludf.DUMMYFUNCTION("""COMPUTED_VALUE"""),43745.0)</f>
        <v>43745</v>
      </c>
      <c r="F1665" s="129">
        <f>IFERROR(__xludf.DUMMYFUNCTION("""COMPUTED_VALUE"""),43770.0)</f>
        <v>43770</v>
      </c>
      <c r="G1665" s="154"/>
      <c r="H1665" s="131">
        <f>IFERROR(__xludf.DUMMYFUNCTION("""COMPUTED_VALUE"""),521455.0)</f>
        <v>521455</v>
      </c>
      <c r="I1665" s="132"/>
      <c r="J1665" s="129">
        <f>IFERROR(__xludf.DUMMYFUNCTION("""COMPUTED_VALUE"""),43782.0)</f>
        <v>43782</v>
      </c>
      <c r="K1665" s="133">
        <f>IFERROR(__xludf.DUMMYFUNCTION("""COMPUTED_VALUE"""),25.0)</f>
        <v>25</v>
      </c>
      <c r="L1665" s="133">
        <f>IFERROR(__xludf.DUMMYFUNCTION("""COMPUTED_VALUE"""),12.0)</f>
        <v>12</v>
      </c>
      <c r="M1665" s="133">
        <f>IFERROR(__xludf.DUMMYFUNCTION("""COMPUTED_VALUE"""),37.0)</f>
        <v>37</v>
      </c>
      <c r="N1665" s="152" t="str">
        <f>IFERROR(__xludf.DUMMYFUNCTION("""COMPUTED_VALUE"""),"Model 3 LR AWD")</f>
        <v>Model 3 LR AWD</v>
      </c>
      <c r="O1665" s="152" t="str">
        <f>IFERROR(__xludf.DUMMYFUNCTION("""COMPUTED_VALUE"""),"Solid Black")</f>
        <v>Solid Black</v>
      </c>
      <c r="P1665" s="153" t="str">
        <f>IFERROR(__xludf.DUMMYFUNCTION("""COMPUTED_VALUE"""),"18 inch Aero")</f>
        <v>18 inch Aero</v>
      </c>
      <c r="Q1665" s="152" t="str">
        <f>IFERROR(__xludf.DUMMYFUNCTION("""COMPUTED_VALUE"""),"Black seats")</f>
        <v>Black seats</v>
      </c>
      <c r="R1665" s="150" t="str">
        <f>IFERROR(__xludf.DUMMYFUNCTION("""COMPUTED_VALUE"""),"Full Self-Driving")</f>
        <v>Full Self-Driving</v>
      </c>
      <c r="S1665" s="150"/>
      <c r="T1665" s="136"/>
      <c r="U1665" s="136"/>
      <c r="V1665" s="136"/>
      <c r="W1665" s="136"/>
      <c r="X1665" s="137" t="str">
        <f>IFERROR(__xludf.DUMMYFUNCTION("""COMPUTED_VALUE"""),"Excellent")</f>
        <v>Excellent</v>
      </c>
      <c r="Y1665" s="138" t="str">
        <f>IFERROR(__xludf.DUMMYFUNCTION("""COMPUTED_VALUE"""),"Excellent")</f>
        <v>Excellent</v>
      </c>
      <c r="Z1665" s="138" t="str">
        <f>IFERROR(__xludf.DUMMYFUNCTION("""COMPUTED_VALUE"""),"Excellent")</f>
        <v>Excellent</v>
      </c>
      <c r="AA1665" s="138" t="str">
        <f>IFERROR(__xludf.DUMMYFUNCTION("""COMPUTED_VALUE"""),"Excellent")</f>
        <v>Excellent</v>
      </c>
      <c r="AB1665" s="138" t="str">
        <f>IFERROR(__xludf.DUMMYFUNCTION("""COMPUTED_VALUE"""),"Very Good")</f>
        <v>Very Good</v>
      </c>
      <c r="AC1665" s="139"/>
      <c r="AD1665" s="139"/>
      <c r="AE1665" s="139"/>
      <c r="AF1665" s="140"/>
      <c r="AG1665" s="136"/>
      <c r="AH1665" s="157">
        <f>IFERROR(__xludf.DUMMYFUNCTION("""COMPUTED_VALUE"""),43782.58570831019)</f>
        <v>43782.58571</v>
      </c>
      <c r="AI1665" s="138"/>
      <c r="AJ1665" s="138"/>
      <c r="AK1665" s="138"/>
      <c r="AL1665" s="142"/>
    </row>
    <row r="1666" ht="20.25" customHeight="1">
      <c r="A1666" s="155" t="str">
        <f>IFERROR(__xludf.DUMMYFUNCTION("""COMPUTED_VALUE"""),"arcece")</f>
        <v>arcece</v>
      </c>
      <c r="B1666" s="149" t="str">
        <f>IFERROR(__xludf.DUMMYFUNCTION("""COMPUTED_VALUE"""),"Hummelstown")</f>
        <v>Hummelstown</v>
      </c>
      <c r="C1666" s="149" t="str">
        <f>IFERROR(__xludf.DUMMYFUNCTION("""COMPUTED_VALUE"""),"PA")</f>
        <v>PA</v>
      </c>
      <c r="D1666" s="149" t="str">
        <f>IFERROR(__xludf.DUMMYFUNCTION("""COMPUTED_VALUE"""),"USA")</f>
        <v>USA</v>
      </c>
      <c r="E1666" s="156">
        <f>IFERROR(__xludf.DUMMYFUNCTION("""COMPUTED_VALUE"""),43744.0)</f>
        <v>43744</v>
      </c>
      <c r="F1666" s="129">
        <f>IFERROR(__xludf.DUMMYFUNCTION("""COMPUTED_VALUE"""),43771.0)</f>
        <v>43771</v>
      </c>
      <c r="G1666" s="154"/>
      <c r="H1666" s="131">
        <f>IFERROR(__xludf.DUMMYFUNCTION("""COMPUTED_VALUE"""),520792.0)</f>
        <v>520792</v>
      </c>
      <c r="I1666" s="144" t="str">
        <f>IFERROR(__xludf.DUMMYFUNCTION("""COMPUTED_VALUE"""),"09/19")</f>
        <v>09/19</v>
      </c>
      <c r="J1666" s="129">
        <f>IFERROR(__xludf.DUMMYFUNCTION("""COMPUTED_VALUE"""),43774.0)</f>
        <v>43774</v>
      </c>
      <c r="K1666" s="133">
        <f>IFERROR(__xludf.DUMMYFUNCTION("""COMPUTED_VALUE"""),27.0)</f>
        <v>27</v>
      </c>
      <c r="L1666" s="133">
        <f>IFERROR(__xludf.DUMMYFUNCTION("""COMPUTED_VALUE"""),3.0)</f>
        <v>3</v>
      </c>
      <c r="M1666" s="133">
        <f>IFERROR(__xludf.DUMMYFUNCTION("""COMPUTED_VALUE"""),30.0)</f>
        <v>30</v>
      </c>
      <c r="N1666" s="152" t="str">
        <f>IFERROR(__xludf.DUMMYFUNCTION("""COMPUTED_VALUE"""),"Model 3 LR AWD")</f>
        <v>Model 3 LR AWD</v>
      </c>
      <c r="O1666" s="152" t="str">
        <f>IFERROR(__xludf.DUMMYFUNCTION("""COMPUTED_VALUE"""),"Red Multi-Coat")</f>
        <v>Red Multi-Coat</v>
      </c>
      <c r="P1666" s="153" t="str">
        <f>IFERROR(__xludf.DUMMYFUNCTION("""COMPUTED_VALUE"""),"18 inch Aero")</f>
        <v>18 inch Aero</v>
      </c>
      <c r="Q1666" s="152" t="str">
        <f>IFERROR(__xludf.DUMMYFUNCTION("""COMPUTED_VALUE"""),"Black seats")</f>
        <v>Black seats</v>
      </c>
      <c r="R1666" s="149" t="str">
        <f>IFERROR(__xludf.DUMMYFUNCTION("""COMPUTED_VALUE"""),"Autopilot")</f>
        <v>Autopilot</v>
      </c>
      <c r="S1666" s="149"/>
      <c r="T1666" s="145"/>
      <c r="U1666" s="145"/>
      <c r="V1666" s="145"/>
      <c r="W1666" s="145"/>
      <c r="X1666" s="137" t="str">
        <f>IFERROR(__xludf.DUMMYFUNCTION("""COMPUTED_VALUE"""),"Excellent")</f>
        <v>Excellent</v>
      </c>
      <c r="Y1666" s="138" t="str">
        <f>IFERROR(__xludf.DUMMYFUNCTION("""COMPUTED_VALUE"""),"Very Good")</f>
        <v>Very Good</v>
      </c>
      <c r="Z1666" s="138" t="str">
        <f>IFERROR(__xludf.DUMMYFUNCTION("""COMPUTED_VALUE"""),"Very Good")</f>
        <v>Very Good</v>
      </c>
      <c r="AA1666" s="138" t="str">
        <f>IFERROR(__xludf.DUMMYFUNCTION("""COMPUTED_VALUE"""),"Very Good")</f>
        <v>Very Good</v>
      </c>
      <c r="AB1666" s="138" t="str">
        <f>IFERROR(__xludf.DUMMYFUNCTION("""COMPUTED_VALUE"""),"Good")</f>
        <v>Good</v>
      </c>
      <c r="AC1666" s="139">
        <f>IFERROR(__xludf.DUMMYFUNCTION("""COMPUTED_VALUE"""),1.0)</f>
        <v>1</v>
      </c>
      <c r="AD1666" s="139"/>
      <c r="AE1666" s="139"/>
      <c r="AF1666" s="140"/>
      <c r="AG1666" s="145" t="str">
        <f>IFERROR(__xludf.DUMMYFUNCTION("""COMPUTED_VALUE"""),"date built was 10/19, I couldn't select that")</f>
        <v>date built was 10/19, I couldn't select that</v>
      </c>
      <c r="AH1666" s="157">
        <f>IFERROR(__xludf.DUMMYFUNCTION("""COMPUTED_VALUE"""),43774.69234616898)</f>
        <v>43774.69235</v>
      </c>
      <c r="AI1666" s="138"/>
      <c r="AJ1666" s="138"/>
      <c r="AK1666" s="138"/>
      <c r="AL1666" s="142"/>
    </row>
    <row r="1667" ht="20.25" customHeight="1">
      <c r="A1667" s="155" t="str">
        <f>IFERROR(__xludf.DUMMYFUNCTION("""COMPUTED_VALUE"""),"bjcarlton")</f>
        <v>bjcarlton</v>
      </c>
      <c r="B1667" s="149" t="str">
        <f>IFERROR(__xludf.DUMMYFUNCTION("""COMPUTED_VALUE"""),"El Cajon")</f>
        <v>El Cajon</v>
      </c>
      <c r="C1667" s="149" t="str">
        <f>IFERROR(__xludf.DUMMYFUNCTION("""COMPUTED_VALUE"""),"CA")</f>
        <v>CA</v>
      </c>
      <c r="D1667" s="149" t="str">
        <f>IFERROR(__xludf.DUMMYFUNCTION("""COMPUTED_VALUE"""),"USA")</f>
        <v>USA</v>
      </c>
      <c r="E1667" s="156">
        <f>IFERROR(__xludf.DUMMYFUNCTION("""COMPUTED_VALUE"""),43744.0)</f>
        <v>43744</v>
      </c>
      <c r="F1667" s="129">
        <f>IFERROR(__xludf.DUMMYFUNCTION("""COMPUTED_VALUE"""),43828.0)</f>
        <v>43828</v>
      </c>
      <c r="G1667" s="154"/>
      <c r="H1667" s="131">
        <f>IFERROR(__xludf.DUMMYFUNCTION("""COMPUTED_VALUE"""),651655.0)</f>
        <v>651655</v>
      </c>
      <c r="I1667" s="144" t="str">
        <f>IFERROR(__xludf.DUMMYFUNCTION("""COMPUTED_VALUE"""),"12/19")</f>
        <v>12/19</v>
      </c>
      <c r="J1667" s="129">
        <f>IFERROR(__xludf.DUMMYFUNCTION("""COMPUTED_VALUE"""),43828.0)</f>
        <v>43828</v>
      </c>
      <c r="K1667" s="133">
        <f>IFERROR(__xludf.DUMMYFUNCTION("""COMPUTED_VALUE"""),84.0)</f>
        <v>84</v>
      </c>
      <c r="L1667" s="133">
        <f>IFERROR(__xludf.DUMMYFUNCTION("""COMPUTED_VALUE"""),0.0)</f>
        <v>0</v>
      </c>
      <c r="M1667" s="133">
        <f>IFERROR(__xludf.DUMMYFUNCTION("""COMPUTED_VALUE"""),84.0)</f>
        <v>84</v>
      </c>
      <c r="N1667" s="152" t="str">
        <f>IFERROR(__xludf.DUMMYFUNCTION("""COMPUTED_VALUE"""),"Model 3 LR AWD")</f>
        <v>Model 3 LR AWD</v>
      </c>
      <c r="O1667" s="152" t="str">
        <f>IFERROR(__xludf.DUMMYFUNCTION("""COMPUTED_VALUE"""),"Pearl White Multi-Coat")</f>
        <v>Pearl White Multi-Coat</v>
      </c>
      <c r="P1667" s="153" t="str">
        <f>IFERROR(__xludf.DUMMYFUNCTION("""COMPUTED_VALUE"""),"18 inch Aero")</f>
        <v>18 inch Aero</v>
      </c>
      <c r="Q1667" s="152" t="str">
        <f>IFERROR(__xludf.DUMMYFUNCTION("""COMPUTED_VALUE"""),"White seats")</f>
        <v>White seats</v>
      </c>
      <c r="R1667" s="149" t="str">
        <f>IFERROR(__xludf.DUMMYFUNCTION("""COMPUTED_VALUE"""),"Autopilot")</f>
        <v>Autopilot</v>
      </c>
      <c r="S1667" s="149"/>
      <c r="T1667" s="145"/>
      <c r="U1667" s="145"/>
      <c r="V1667" s="145"/>
      <c r="W1667" s="136"/>
      <c r="X1667" s="137" t="str">
        <f>IFERROR(__xludf.DUMMYFUNCTION("""COMPUTED_VALUE"""),"Excellent")</f>
        <v>Excellent</v>
      </c>
      <c r="Y1667" s="138" t="str">
        <f>IFERROR(__xludf.DUMMYFUNCTION("""COMPUTED_VALUE"""),"Excellent")</f>
        <v>Excellent</v>
      </c>
      <c r="Z1667" s="138" t="str">
        <f>IFERROR(__xludf.DUMMYFUNCTION("""COMPUTED_VALUE"""),"Excellent")</f>
        <v>Excellent</v>
      </c>
      <c r="AA1667" s="138" t="str">
        <f>IFERROR(__xludf.DUMMYFUNCTION("""COMPUTED_VALUE"""),"Fair")</f>
        <v>Fair</v>
      </c>
      <c r="AB1667" s="138" t="str">
        <f>IFERROR(__xludf.DUMMYFUNCTION("""COMPUTED_VALUE"""),"Excellent")</f>
        <v>Excellent</v>
      </c>
      <c r="AC1667" s="139">
        <f>IFERROR(__xludf.DUMMYFUNCTION("""COMPUTED_VALUE"""),1.0)</f>
        <v>1</v>
      </c>
      <c r="AD1667" s="139">
        <f>IFERROR(__xludf.DUMMYFUNCTION("""COMPUTED_VALUE"""),1.0)</f>
        <v>1</v>
      </c>
      <c r="AE1667" s="139">
        <f>IFERROR(__xludf.DUMMYFUNCTION("""COMPUTED_VALUE"""),0.0)</f>
        <v>0</v>
      </c>
      <c r="AF1667" s="140"/>
      <c r="AG1667" s="136" t="str">
        <f>IFERROR(__xludf.DUMMYFUNCTION("""COMPUTED_VALUE"""),"Order website promised two weeks. Hah.")</f>
        <v>Order website promised two weeks. Hah.</v>
      </c>
      <c r="AH1667" s="157">
        <f>IFERROR(__xludf.DUMMYFUNCTION("""COMPUTED_VALUE"""),43860.415604155096)</f>
        <v>43860.4156</v>
      </c>
      <c r="AI1667" s="138"/>
      <c r="AJ1667" s="138"/>
      <c r="AK1667" s="138"/>
      <c r="AL1667" s="142"/>
    </row>
    <row r="1668" ht="20.25" customHeight="1">
      <c r="A1668" s="155" t="str">
        <f>IFERROR(__xludf.DUMMYFUNCTION("""COMPUTED_VALUE"""),"Chris3652")</f>
        <v>Chris3652</v>
      </c>
      <c r="B1668" s="149" t="str">
        <f>IFERROR(__xludf.DUMMYFUNCTION("""COMPUTED_VALUE"""),"Owings Mills")</f>
        <v>Owings Mills</v>
      </c>
      <c r="C1668" s="149" t="str">
        <f>IFERROR(__xludf.DUMMYFUNCTION("""COMPUTED_VALUE"""),"MD")</f>
        <v>MD</v>
      </c>
      <c r="D1668" s="149" t="str">
        <f>IFERROR(__xludf.DUMMYFUNCTION("""COMPUTED_VALUE"""),"USA")</f>
        <v>USA</v>
      </c>
      <c r="E1668" s="156">
        <f>IFERROR(__xludf.DUMMYFUNCTION("""COMPUTED_VALUE"""),43744.0)</f>
        <v>43744</v>
      </c>
      <c r="F1668" s="129">
        <f>IFERROR(__xludf.DUMMYFUNCTION("""COMPUTED_VALUE"""),43801.0)</f>
        <v>43801</v>
      </c>
      <c r="G1668" s="154"/>
      <c r="H1668" s="131">
        <f>IFERROR(__xludf.DUMMYFUNCTION("""COMPUTED_VALUE"""),602805.0)</f>
        <v>602805</v>
      </c>
      <c r="I1668" s="144"/>
      <c r="J1668" s="129">
        <f>IFERROR(__xludf.DUMMYFUNCTION("""COMPUTED_VALUE"""),43805.0)</f>
        <v>43805</v>
      </c>
      <c r="K1668" s="133">
        <f>IFERROR(__xludf.DUMMYFUNCTION("""COMPUTED_VALUE"""),57.0)</f>
        <v>57</v>
      </c>
      <c r="L1668" s="133">
        <f>IFERROR(__xludf.DUMMYFUNCTION("""COMPUTED_VALUE"""),4.0)</f>
        <v>4</v>
      </c>
      <c r="M1668" s="133">
        <f>IFERROR(__xludf.DUMMYFUNCTION("""COMPUTED_VALUE"""),61.0)</f>
        <v>61</v>
      </c>
      <c r="N1668" s="152" t="str">
        <f>IFERROR(__xludf.DUMMYFUNCTION("""COMPUTED_VALUE"""),"Model 3 Performance")</f>
        <v>Model 3 Performance</v>
      </c>
      <c r="O1668" s="152" t="str">
        <f>IFERROR(__xludf.DUMMYFUNCTION("""COMPUTED_VALUE"""),"Solid Black")</f>
        <v>Solid Black</v>
      </c>
      <c r="P1668" s="153" t="str">
        <f>IFERROR(__xludf.DUMMYFUNCTION("""COMPUTED_VALUE"""),"20 inch Sport")</f>
        <v>20 inch Sport</v>
      </c>
      <c r="Q1668" s="152" t="str">
        <f>IFERROR(__xludf.DUMMYFUNCTION("""COMPUTED_VALUE"""),"Black seats")</f>
        <v>Black seats</v>
      </c>
      <c r="R1668" s="149" t="str">
        <f>IFERROR(__xludf.DUMMYFUNCTION("""COMPUTED_VALUE"""),"Full Self-Driving")</f>
        <v>Full Self-Driving</v>
      </c>
      <c r="S1668" s="149"/>
      <c r="T1668" s="145"/>
      <c r="U1668" s="145"/>
      <c r="V1668" s="145"/>
      <c r="W1668" s="136"/>
      <c r="X1668" s="137" t="str">
        <f>IFERROR(__xludf.DUMMYFUNCTION("""COMPUTED_VALUE"""),"Excellent")</f>
        <v>Excellent</v>
      </c>
      <c r="Y1668" s="138" t="str">
        <f>IFERROR(__xludf.DUMMYFUNCTION("""COMPUTED_VALUE"""),"Good")</f>
        <v>Good</v>
      </c>
      <c r="Z1668" s="138" t="str">
        <f>IFERROR(__xludf.DUMMYFUNCTION("""COMPUTED_VALUE"""),"Excellent")</f>
        <v>Excellent</v>
      </c>
      <c r="AA1668" s="138" t="str">
        <f>IFERROR(__xludf.DUMMYFUNCTION("""COMPUTED_VALUE"""),"Very Good")</f>
        <v>Very Good</v>
      </c>
      <c r="AB1668" s="138" t="str">
        <f>IFERROR(__xludf.DUMMYFUNCTION("""COMPUTED_VALUE"""),"Excellent")</f>
        <v>Excellent</v>
      </c>
      <c r="AC1668" s="139">
        <f>IFERROR(__xludf.DUMMYFUNCTION("""COMPUTED_VALUE"""),3.0)</f>
        <v>3</v>
      </c>
      <c r="AD1668" s="139">
        <f>IFERROR(__xludf.DUMMYFUNCTION("""COMPUTED_VALUE"""),1.0)</f>
        <v>1</v>
      </c>
      <c r="AE1668" s="139"/>
      <c r="AF1668" s="140"/>
      <c r="AG1668" s="136" t="str">
        <f>IFERROR(__xludf.DUMMYFUNCTION("""COMPUTED_VALUE"""),"Missing frunk clips, gouged front passenger seat, interior panel above window falling off.. rear passenger ")</f>
        <v>Missing frunk clips, gouged front passenger seat, interior panel above window falling off.. rear passenger </v>
      </c>
      <c r="AH1668" s="157">
        <f>IFERROR(__xludf.DUMMYFUNCTION("""COMPUTED_VALUE"""),43807.763564259265)</f>
        <v>43807.76356</v>
      </c>
      <c r="AI1668" s="138"/>
      <c r="AJ1668" s="138"/>
      <c r="AK1668" s="138"/>
      <c r="AL1668" s="142"/>
    </row>
    <row r="1669" ht="20.25" customHeight="1">
      <c r="A1669" s="155" t="str">
        <f>IFERROR(__xludf.DUMMYFUNCTION("""COMPUTED_VALUE"""),"Jenova944")</f>
        <v>Jenova944</v>
      </c>
      <c r="B1669" s="149" t="str">
        <f>IFERROR(__xludf.DUMMYFUNCTION("""COMPUTED_VALUE"""),"Royal Leamington Spa")</f>
        <v>Royal Leamington Spa</v>
      </c>
      <c r="C1669" s="149"/>
      <c r="D1669" s="149" t="str">
        <f>IFERROR(__xludf.DUMMYFUNCTION("""COMPUTED_VALUE"""),"United Kingdom")</f>
        <v>United Kingdom</v>
      </c>
      <c r="E1669" s="156">
        <f>IFERROR(__xludf.DUMMYFUNCTION("""COMPUTED_VALUE"""),43744.0)</f>
        <v>43744</v>
      </c>
      <c r="F1669" s="129">
        <f>IFERROR(__xludf.DUMMYFUNCTION("""COMPUTED_VALUE"""),43794.0)</f>
        <v>43794</v>
      </c>
      <c r="G1669" s="154"/>
      <c r="H1669" s="131">
        <f>IFERROR(__xludf.DUMMYFUNCTION("""COMPUTED_VALUE"""),537253.0)</f>
        <v>537253</v>
      </c>
      <c r="I1669" s="132"/>
      <c r="J1669" s="129">
        <f>IFERROR(__xludf.DUMMYFUNCTION("""COMPUTED_VALUE"""),43808.0)</f>
        <v>43808</v>
      </c>
      <c r="K1669" s="133">
        <f>IFERROR(__xludf.DUMMYFUNCTION("""COMPUTED_VALUE"""),50.0)</f>
        <v>50</v>
      </c>
      <c r="L1669" s="133">
        <f>IFERROR(__xludf.DUMMYFUNCTION("""COMPUTED_VALUE"""),14.0)</f>
        <v>14</v>
      </c>
      <c r="M1669" s="133">
        <f>IFERROR(__xludf.DUMMYFUNCTION("""COMPUTED_VALUE"""),64.0)</f>
        <v>64</v>
      </c>
      <c r="N1669" s="152" t="str">
        <f>IFERROR(__xludf.DUMMYFUNCTION("""COMPUTED_VALUE"""),"Model 3 SR+")</f>
        <v>Model 3 SR+</v>
      </c>
      <c r="O1669" s="152" t="str">
        <f>IFERROR(__xludf.DUMMYFUNCTION("""COMPUTED_VALUE"""),"Midnight Silver Metallic")</f>
        <v>Midnight Silver Metallic</v>
      </c>
      <c r="P1669" s="153" t="str">
        <f>IFERROR(__xludf.DUMMYFUNCTION("""COMPUTED_VALUE"""),"18 inch Aero")</f>
        <v>18 inch Aero</v>
      </c>
      <c r="Q1669" s="152" t="str">
        <f>IFERROR(__xludf.DUMMYFUNCTION("""COMPUTED_VALUE"""),"Black seats")</f>
        <v>Black seats</v>
      </c>
      <c r="R1669" s="150" t="str">
        <f>IFERROR(__xludf.DUMMYFUNCTION("""COMPUTED_VALUE"""),"Autopilot")</f>
        <v>Autopilot</v>
      </c>
      <c r="S1669" s="150"/>
      <c r="T1669" s="136"/>
      <c r="U1669" s="136"/>
      <c r="V1669" s="136"/>
      <c r="W1669" s="136"/>
      <c r="X1669" s="137" t="str">
        <f>IFERROR(__xludf.DUMMYFUNCTION("""COMPUTED_VALUE"""),"Excellent")</f>
        <v>Excellent</v>
      </c>
      <c r="Y1669" s="138" t="str">
        <f>IFERROR(__xludf.DUMMYFUNCTION("""COMPUTED_VALUE"""),"Excellent")</f>
        <v>Excellent</v>
      </c>
      <c r="Z1669" s="138" t="str">
        <f>IFERROR(__xludf.DUMMYFUNCTION("""COMPUTED_VALUE"""),"Very Good")</f>
        <v>Very Good</v>
      </c>
      <c r="AA1669" s="138" t="str">
        <f>IFERROR(__xludf.DUMMYFUNCTION("""COMPUTED_VALUE"""),"Fair")</f>
        <v>Fair</v>
      </c>
      <c r="AB1669" s="138" t="str">
        <f>IFERROR(__xludf.DUMMYFUNCTION("""COMPUTED_VALUE"""),"Very Good")</f>
        <v>Very Good</v>
      </c>
      <c r="AC1669" s="139">
        <f>IFERROR(__xludf.DUMMYFUNCTION("""COMPUTED_VALUE"""),1.0)</f>
        <v>1</v>
      </c>
      <c r="AD1669" s="139"/>
      <c r="AE1669" s="139"/>
      <c r="AF1669" s="140"/>
      <c r="AG1669" s="136"/>
      <c r="AH1669" s="157">
        <f>IFERROR(__xludf.DUMMYFUNCTION("""COMPUTED_VALUE"""),43808.61320920139)</f>
        <v>43808.61321</v>
      </c>
      <c r="AI1669" s="138"/>
      <c r="AJ1669" s="138"/>
      <c r="AK1669" s="138"/>
      <c r="AL1669" s="142"/>
    </row>
    <row r="1670" ht="20.25" customHeight="1">
      <c r="A1670" s="155" t="str">
        <f>IFERROR(__xludf.DUMMYFUNCTION("""COMPUTED_VALUE"""),"tarballqc")</f>
        <v>tarballqc</v>
      </c>
      <c r="B1670" s="149" t="str">
        <f>IFERROR(__xludf.DUMMYFUNCTION("""COMPUTED_VALUE"""),"Montreal")</f>
        <v>Montreal</v>
      </c>
      <c r="C1670" s="149" t="str">
        <f>IFERROR(__xludf.DUMMYFUNCTION("""COMPUTED_VALUE"""),"QC")</f>
        <v>QC</v>
      </c>
      <c r="D1670" s="149" t="str">
        <f>IFERROR(__xludf.DUMMYFUNCTION("""COMPUTED_VALUE"""),"Canada")</f>
        <v>Canada</v>
      </c>
      <c r="E1670" s="156">
        <f>IFERROR(__xludf.DUMMYFUNCTION("""COMPUTED_VALUE"""),43744.0)</f>
        <v>43744</v>
      </c>
      <c r="F1670" s="129">
        <f>IFERROR(__xludf.DUMMYFUNCTION("""COMPUTED_VALUE"""),43775.0)</f>
        <v>43775</v>
      </c>
      <c r="G1670" s="154"/>
      <c r="H1670" s="131">
        <f>IFERROR(__xludf.DUMMYFUNCTION("""COMPUTED_VALUE"""),517655.0)</f>
        <v>517655</v>
      </c>
      <c r="I1670" s="144"/>
      <c r="J1670" s="129">
        <f>IFERROR(__xludf.DUMMYFUNCTION("""COMPUTED_VALUE"""),43784.0)</f>
        <v>43784</v>
      </c>
      <c r="K1670" s="133">
        <f>IFERROR(__xludf.DUMMYFUNCTION("""COMPUTED_VALUE"""),31.0)</f>
        <v>31</v>
      </c>
      <c r="L1670" s="133">
        <f>IFERROR(__xludf.DUMMYFUNCTION("""COMPUTED_VALUE"""),9.0)</f>
        <v>9</v>
      </c>
      <c r="M1670" s="133">
        <f>IFERROR(__xludf.DUMMYFUNCTION("""COMPUTED_VALUE"""),40.0)</f>
        <v>40</v>
      </c>
      <c r="N1670" s="152" t="str">
        <f>IFERROR(__xludf.DUMMYFUNCTION("""COMPUTED_VALUE"""),"Model 3 LR AWD")</f>
        <v>Model 3 LR AWD</v>
      </c>
      <c r="O1670" s="152" t="str">
        <f>IFERROR(__xludf.DUMMYFUNCTION("""COMPUTED_VALUE"""),"Pearl White Multi-Coat")</f>
        <v>Pearl White Multi-Coat</v>
      </c>
      <c r="P1670" s="153" t="str">
        <f>IFERROR(__xludf.DUMMYFUNCTION("""COMPUTED_VALUE"""),"18 inch Aero")</f>
        <v>18 inch Aero</v>
      </c>
      <c r="Q1670" s="152" t="str">
        <f>IFERROR(__xludf.DUMMYFUNCTION("""COMPUTED_VALUE"""),"White seats")</f>
        <v>White seats</v>
      </c>
      <c r="R1670" s="149" t="str">
        <f>IFERROR(__xludf.DUMMYFUNCTION("""COMPUTED_VALUE"""),"Autopilot")</f>
        <v>Autopilot</v>
      </c>
      <c r="S1670" s="149"/>
      <c r="T1670" s="145"/>
      <c r="U1670" s="145"/>
      <c r="V1670" s="145"/>
      <c r="W1670" s="136"/>
      <c r="X1670" s="151" t="str">
        <f>IFERROR(__xludf.DUMMYFUNCTION("""COMPUTED_VALUE"""),"Excellent")</f>
        <v>Excellent</v>
      </c>
      <c r="Y1670" s="138" t="str">
        <f>IFERROR(__xludf.DUMMYFUNCTION("""COMPUTED_VALUE"""),"Excellent")</f>
        <v>Excellent</v>
      </c>
      <c r="Z1670" s="138" t="str">
        <f>IFERROR(__xludf.DUMMYFUNCTION("""COMPUTED_VALUE"""),"Very Good")</f>
        <v>Very Good</v>
      </c>
      <c r="AA1670" s="138" t="str">
        <f>IFERROR(__xludf.DUMMYFUNCTION("""COMPUTED_VALUE"""),"Fair")</f>
        <v>Fair</v>
      </c>
      <c r="AB1670" s="138" t="str">
        <f>IFERROR(__xludf.DUMMYFUNCTION("""COMPUTED_VALUE"""),"Excellent")</f>
        <v>Excellent</v>
      </c>
      <c r="AC1670" s="139"/>
      <c r="AD1670" s="139"/>
      <c r="AE1670" s="139"/>
      <c r="AF1670" s="140"/>
      <c r="AG1670" s="136" t="str">
        <f>IFERROR(__xludf.DUMMYFUNCTION("""COMPUTED_VALUE"""),"Ordered SR+ on oct 6th. One month later, still no vin. Decided to buy a LR AWD that was in inventory. Delivery next week.")</f>
        <v>Ordered SR+ on oct 6th. One month later, still no vin. Decided to buy a LR AWD that was in inventory. Delivery next week.</v>
      </c>
      <c r="AH1670" s="157">
        <f>IFERROR(__xludf.DUMMYFUNCTION("""COMPUTED_VALUE"""),43785.50437615741)</f>
        <v>43785.50438</v>
      </c>
      <c r="AI1670" s="138"/>
      <c r="AJ1670" s="138"/>
      <c r="AK1670" s="138"/>
      <c r="AL1670" s="142"/>
    </row>
    <row r="1671" ht="20.25" customHeight="1">
      <c r="A1671" s="155" t="str">
        <f>IFERROR(__xludf.DUMMYFUNCTION("""COMPUTED_VALUE"""),"brycedb74")</f>
        <v>brycedb74</v>
      </c>
      <c r="B1671" s="149" t="str">
        <f>IFERROR(__xludf.DUMMYFUNCTION("""COMPUTED_VALUE"""),"Mesa")</f>
        <v>Mesa</v>
      </c>
      <c r="C1671" s="149" t="str">
        <f>IFERROR(__xludf.DUMMYFUNCTION("""COMPUTED_VALUE"""),"AZ")</f>
        <v>AZ</v>
      </c>
      <c r="D1671" s="149" t="str">
        <f>IFERROR(__xludf.DUMMYFUNCTION("""COMPUTED_VALUE"""),"USA")</f>
        <v>USA</v>
      </c>
      <c r="E1671" s="156">
        <f>IFERROR(__xludf.DUMMYFUNCTION("""COMPUTED_VALUE"""),43743.0)</f>
        <v>43743</v>
      </c>
      <c r="F1671" s="129">
        <f>IFERROR(__xludf.DUMMYFUNCTION("""COMPUTED_VALUE"""),43787.0)</f>
        <v>43787</v>
      </c>
      <c r="G1671" s="154"/>
      <c r="H1671" s="131">
        <f>IFERROR(__xludf.DUMMYFUNCTION("""COMPUTED_VALUE"""),591125.0)</f>
        <v>591125</v>
      </c>
      <c r="I1671" s="144"/>
      <c r="J1671" s="129">
        <f>IFERROR(__xludf.DUMMYFUNCTION("""COMPUTED_VALUE"""),43792.0)</f>
        <v>43792</v>
      </c>
      <c r="K1671" s="133">
        <f>IFERROR(__xludf.DUMMYFUNCTION("""COMPUTED_VALUE"""),44.0)</f>
        <v>44</v>
      </c>
      <c r="L1671" s="133">
        <f>IFERROR(__xludf.DUMMYFUNCTION("""COMPUTED_VALUE"""),5.0)</f>
        <v>5</v>
      </c>
      <c r="M1671" s="133">
        <f>IFERROR(__xludf.DUMMYFUNCTION("""COMPUTED_VALUE"""),49.0)</f>
        <v>49</v>
      </c>
      <c r="N1671" s="152" t="str">
        <f>IFERROR(__xludf.DUMMYFUNCTION("""COMPUTED_VALUE"""),"Model 3 SR+")</f>
        <v>Model 3 SR+</v>
      </c>
      <c r="O1671" s="152" t="str">
        <f>IFERROR(__xludf.DUMMYFUNCTION("""COMPUTED_VALUE"""),"Pearl White Multi-Coat")</f>
        <v>Pearl White Multi-Coat</v>
      </c>
      <c r="P1671" s="153" t="str">
        <f>IFERROR(__xludf.DUMMYFUNCTION("""COMPUTED_VALUE"""),"18 inch Aero")</f>
        <v>18 inch Aero</v>
      </c>
      <c r="Q1671" s="152" t="str">
        <f>IFERROR(__xludf.DUMMYFUNCTION("""COMPUTED_VALUE"""),"White seats")</f>
        <v>White seats</v>
      </c>
      <c r="R1671" s="149" t="str">
        <f>IFERROR(__xludf.DUMMYFUNCTION("""COMPUTED_VALUE"""),"Full Self-Driving")</f>
        <v>Full Self-Driving</v>
      </c>
      <c r="S1671" s="149"/>
      <c r="T1671" s="145"/>
      <c r="U1671" s="145"/>
      <c r="V1671" s="145"/>
      <c r="W1671" s="145"/>
      <c r="X1671" s="137" t="str">
        <f>IFERROR(__xludf.DUMMYFUNCTION("""COMPUTED_VALUE"""),"Good")</f>
        <v>Good</v>
      </c>
      <c r="Y1671" s="138" t="str">
        <f>IFERROR(__xludf.DUMMYFUNCTION("""COMPUTED_VALUE"""),"Very Good")</f>
        <v>Very Good</v>
      </c>
      <c r="Z1671" s="138" t="str">
        <f>IFERROR(__xludf.DUMMYFUNCTION("""COMPUTED_VALUE"""),"Very Good")</f>
        <v>Very Good</v>
      </c>
      <c r="AA1671" s="138" t="str">
        <f>IFERROR(__xludf.DUMMYFUNCTION("""COMPUTED_VALUE"""),"Poor")</f>
        <v>Poor</v>
      </c>
      <c r="AB1671" s="138" t="str">
        <f>IFERROR(__xludf.DUMMYFUNCTION("""COMPUTED_VALUE"""),"Good")</f>
        <v>Good</v>
      </c>
      <c r="AC1671" s="139">
        <f>IFERROR(__xludf.DUMMYFUNCTION("""COMPUTED_VALUE"""),2.0)</f>
        <v>2</v>
      </c>
      <c r="AD1671" s="139"/>
      <c r="AE1671" s="139"/>
      <c r="AF1671" s="140"/>
      <c r="AG1671" s="145" t="str">
        <f>IFERROR(__xludf.DUMMYFUNCTION("""COMPUTED_VALUE"""),"Delivered 3 days early on 11/20, but with defective window and mirror, and old version software (v9, not v10 which is a HUGE update).")</f>
        <v>Delivered 3 days early on 11/20, but with defective window and mirror, and old version software (v9, not v10 which is a HUGE update).</v>
      </c>
      <c r="AH1671" s="157">
        <f>IFERROR(__xludf.DUMMYFUNCTION("""COMPUTED_VALUE"""),43792.499078796296)</f>
        <v>43792.49908</v>
      </c>
      <c r="AI1671" s="138"/>
      <c r="AJ1671" s="138"/>
      <c r="AK1671" s="138"/>
      <c r="AL1671" s="142"/>
    </row>
    <row r="1672" ht="20.25" customHeight="1">
      <c r="A1672" s="155" t="str">
        <f>IFERROR(__xludf.DUMMYFUNCTION("""COMPUTED_VALUE"""),"Kmann1994")</f>
        <v>Kmann1994</v>
      </c>
      <c r="B1672" s="149" t="str">
        <f>IFERROR(__xludf.DUMMYFUNCTION("""COMPUTED_VALUE"""),"Phoenix")</f>
        <v>Phoenix</v>
      </c>
      <c r="C1672" s="149" t="str">
        <f>IFERROR(__xludf.DUMMYFUNCTION("""COMPUTED_VALUE"""),"AZ")</f>
        <v>AZ</v>
      </c>
      <c r="D1672" s="149" t="str">
        <f>IFERROR(__xludf.DUMMYFUNCTION("""COMPUTED_VALUE"""),"USA")</f>
        <v>USA</v>
      </c>
      <c r="E1672" s="156">
        <f>IFERROR(__xludf.DUMMYFUNCTION("""COMPUTED_VALUE"""),43743.0)</f>
        <v>43743</v>
      </c>
      <c r="F1672" s="129">
        <f>IFERROR(__xludf.DUMMYFUNCTION("""COMPUTED_VALUE"""),43789.0)</f>
        <v>43789</v>
      </c>
      <c r="G1672" s="154"/>
      <c r="H1672" s="131">
        <f>IFERROR(__xludf.DUMMYFUNCTION("""COMPUTED_VALUE"""),627560.0)</f>
        <v>627560</v>
      </c>
      <c r="I1672" s="132" t="str">
        <f>IFERROR(__xludf.DUMMYFUNCTION("""COMPUTED_VALUE"""),"11/19")</f>
        <v>11/19</v>
      </c>
      <c r="J1672" s="129">
        <f>IFERROR(__xludf.DUMMYFUNCTION("""COMPUTED_VALUE"""),43800.0)</f>
        <v>43800</v>
      </c>
      <c r="K1672" s="133">
        <f>IFERROR(__xludf.DUMMYFUNCTION("""COMPUTED_VALUE"""),46.0)</f>
        <v>46</v>
      </c>
      <c r="L1672" s="133">
        <f>IFERROR(__xludf.DUMMYFUNCTION("""COMPUTED_VALUE"""),11.0)</f>
        <v>11</v>
      </c>
      <c r="M1672" s="133">
        <f>IFERROR(__xludf.DUMMYFUNCTION("""COMPUTED_VALUE"""),57.0)</f>
        <v>57</v>
      </c>
      <c r="N1672" s="152" t="str">
        <f>IFERROR(__xludf.DUMMYFUNCTION("""COMPUTED_VALUE"""),"Model 3 Performance")</f>
        <v>Model 3 Performance</v>
      </c>
      <c r="O1672" s="152" t="str">
        <f>IFERROR(__xludf.DUMMYFUNCTION("""COMPUTED_VALUE"""),"Pearl White Multi-Coat")</f>
        <v>Pearl White Multi-Coat</v>
      </c>
      <c r="P1672" s="153" t="str">
        <f>IFERROR(__xludf.DUMMYFUNCTION("""COMPUTED_VALUE"""),"19 inch Sport")</f>
        <v>19 inch Sport</v>
      </c>
      <c r="Q1672" s="152" t="str">
        <f>IFERROR(__xludf.DUMMYFUNCTION("""COMPUTED_VALUE"""),"Black seats")</f>
        <v>Black seats</v>
      </c>
      <c r="R1672" s="150" t="str">
        <f>IFERROR(__xludf.DUMMYFUNCTION("""COMPUTED_VALUE"""),"Full Self-Driving")</f>
        <v>Full Self-Driving</v>
      </c>
      <c r="S1672" s="150"/>
      <c r="T1672" s="136"/>
      <c r="U1672" s="136"/>
      <c r="V1672" s="136"/>
      <c r="W1672" s="136"/>
      <c r="X1672" s="137" t="str">
        <f>IFERROR(__xludf.DUMMYFUNCTION("""COMPUTED_VALUE"""),"Excellent")</f>
        <v>Excellent</v>
      </c>
      <c r="Y1672" s="138" t="str">
        <f>IFERROR(__xludf.DUMMYFUNCTION("""COMPUTED_VALUE"""),"Excellent")</f>
        <v>Excellent</v>
      </c>
      <c r="Z1672" s="138" t="str">
        <f>IFERROR(__xludf.DUMMYFUNCTION("""COMPUTED_VALUE"""),"Excellent")</f>
        <v>Excellent</v>
      </c>
      <c r="AA1672" s="138" t="str">
        <f>IFERROR(__xludf.DUMMYFUNCTION("""COMPUTED_VALUE"""),"Good")</f>
        <v>Good</v>
      </c>
      <c r="AB1672" s="138" t="str">
        <f>IFERROR(__xludf.DUMMYFUNCTION("""COMPUTED_VALUE"""),"Excellent")</f>
        <v>Excellent</v>
      </c>
      <c r="AC1672" s="139">
        <f>IFERROR(__xludf.DUMMYFUNCTION("""COMPUTED_VALUE"""),2.0)</f>
        <v>2</v>
      </c>
      <c r="AD1672" s="139">
        <f>IFERROR(__xludf.DUMMYFUNCTION("""COMPUTED_VALUE"""),1.0)</f>
        <v>1</v>
      </c>
      <c r="AE1672" s="139">
        <f>IFERROR(__xludf.DUMMYFUNCTION("""COMPUTED_VALUE"""),0.0)</f>
        <v>0</v>
      </c>
      <c r="AF1672" s="140"/>
      <c r="AG1672" s="136" t="str">
        <f>IFERROR(__xludf.DUMMYFUNCTION("""COMPUTED_VALUE"""),"Switched to Stealth Performance on Nov 20, got VIN right away in source code. Waiting for delivery text.")</f>
        <v>Switched to Stealth Performance on Nov 20, got VIN right away in source code. Waiting for delivery text.</v>
      </c>
      <c r="AH1672" s="157">
        <f>IFERROR(__xludf.DUMMYFUNCTION("""COMPUTED_VALUE"""),43803.33694660879)</f>
        <v>43803.33695</v>
      </c>
      <c r="AI1672" s="138"/>
      <c r="AJ1672" s="138"/>
      <c r="AK1672" s="138"/>
      <c r="AL1672" s="142"/>
    </row>
    <row r="1673" ht="20.25" customHeight="1">
      <c r="A1673" s="155" t="str">
        <f>IFERROR(__xludf.DUMMYFUNCTION("""COMPUTED_VALUE"""),"RJM668")</f>
        <v>RJM668</v>
      </c>
      <c r="B1673" s="149" t="str">
        <f>IFERROR(__xludf.DUMMYFUNCTION("""COMPUTED_VALUE"""),"Albany Area")</f>
        <v>Albany Area</v>
      </c>
      <c r="C1673" s="149" t="str">
        <f>IFERROR(__xludf.DUMMYFUNCTION("""COMPUTED_VALUE"""),"NY")</f>
        <v>NY</v>
      </c>
      <c r="D1673" s="149" t="str">
        <f>IFERROR(__xludf.DUMMYFUNCTION("""COMPUTED_VALUE"""),"USA")</f>
        <v>USA</v>
      </c>
      <c r="E1673" s="156">
        <f>IFERROR(__xludf.DUMMYFUNCTION("""COMPUTED_VALUE"""),43743.0)</f>
        <v>43743</v>
      </c>
      <c r="F1673" s="129">
        <f>IFERROR(__xludf.DUMMYFUNCTION("""COMPUTED_VALUE"""),43804.0)</f>
        <v>43804</v>
      </c>
      <c r="G1673" s="154"/>
      <c r="H1673" s="131">
        <f>IFERROR(__xludf.DUMMYFUNCTION("""COMPUTED_VALUE"""),603055.0)</f>
        <v>603055</v>
      </c>
      <c r="I1673" s="144"/>
      <c r="J1673" s="129">
        <f>IFERROR(__xludf.DUMMYFUNCTION("""COMPUTED_VALUE"""),43819.0)</f>
        <v>43819</v>
      </c>
      <c r="K1673" s="133">
        <f>IFERROR(__xludf.DUMMYFUNCTION("""COMPUTED_VALUE"""),61.0)</f>
        <v>61</v>
      </c>
      <c r="L1673" s="133">
        <f>IFERROR(__xludf.DUMMYFUNCTION("""COMPUTED_VALUE"""),15.0)</f>
        <v>15</v>
      </c>
      <c r="M1673" s="133">
        <f>IFERROR(__xludf.DUMMYFUNCTION("""COMPUTED_VALUE"""),76.0)</f>
        <v>76</v>
      </c>
      <c r="N1673" s="152" t="str">
        <f>IFERROR(__xludf.DUMMYFUNCTION("""COMPUTED_VALUE"""),"Model 3 Performance")</f>
        <v>Model 3 Performance</v>
      </c>
      <c r="O1673" s="152" t="str">
        <f>IFERROR(__xludf.DUMMYFUNCTION("""COMPUTED_VALUE"""),"Deep Blue Metallic")</f>
        <v>Deep Blue Metallic</v>
      </c>
      <c r="P1673" s="153" t="str">
        <f>IFERROR(__xludf.DUMMYFUNCTION("""COMPUTED_VALUE"""),"20 inch Sport")</f>
        <v>20 inch Sport</v>
      </c>
      <c r="Q1673" s="152" t="str">
        <f>IFERROR(__xludf.DUMMYFUNCTION("""COMPUTED_VALUE"""),"Black seats")</f>
        <v>Black seats</v>
      </c>
      <c r="R1673" s="149" t="str">
        <f>IFERROR(__xludf.DUMMYFUNCTION("""COMPUTED_VALUE"""),"Full Self-Driving")</f>
        <v>Full Self-Driving</v>
      </c>
      <c r="S1673" s="149"/>
      <c r="T1673" s="145"/>
      <c r="U1673" s="145"/>
      <c r="V1673" s="145"/>
      <c r="W1673" s="145"/>
      <c r="X1673" s="137" t="str">
        <f>IFERROR(__xludf.DUMMYFUNCTION("""COMPUTED_VALUE"""),"Excellent")</f>
        <v>Excellent</v>
      </c>
      <c r="Y1673" s="138" t="str">
        <f>IFERROR(__xludf.DUMMYFUNCTION("""COMPUTED_VALUE"""),"Excellent")</f>
        <v>Excellent</v>
      </c>
      <c r="Z1673" s="138" t="str">
        <f>IFERROR(__xludf.DUMMYFUNCTION("""COMPUTED_VALUE"""),"Excellent")</f>
        <v>Excellent</v>
      </c>
      <c r="AA1673" s="138" t="str">
        <f>IFERROR(__xludf.DUMMYFUNCTION("""COMPUTED_VALUE"""),"Fair")</f>
        <v>Fair</v>
      </c>
      <c r="AB1673" s="138" t="str">
        <f>IFERROR(__xludf.DUMMYFUNCTION("""COMPUTED_VALUE"""),"Poor")</f>
        <v>Poor</v>
      </c>
      <c r="AC1673" s="139"/>
      <c r="AD1673" s="139"/>
      <c r="AE1673" s="139"/>
      <c r="AF1673" s="140"/>
      <c r="AG1673" s="145" t="str">
        <f>IFERROR(__xludf.DUMMYFUNCTION("""COMPUTED_VALUE"""),"I do not believe the vehicle was prep'd.  Just unloaded and turned over to me and after 11wks I just wanted to get out of there in one piece. ")</f>
        <v>I do not believe the vehicle was prep'd.  Just unloaded and turned over to me and after 11wks I just wanted to get out of there in one piece. </v>
      </c>
      <c r="AH1673" s="157">
        <f>IFERROR(__xludf.DUMMYFUNCTION("""COMPUTED_VALUE"""),43823.51798350695)</f>
        <v>43823.51798</v>
      </c>
      <c r="AI1673" s="138"/>
      <c r="AJ1673" s="138"/>
      <c r="AK1673" s="138"/>
      <c r="AL1673" s="142"/>
    </row>
    <row r="1674" ht="20.25" customHeight="1">
      <c r="A1674" s="155" t="str">
        <f>IFERROR(__xludf.DUMMYFUNCTION("""COMPUTED_VALUE"""),"Schertz sr+")</f>
        <v>Schertz sr+</v>
      </c>
      <c r="B1674" s="149" t="str">
        <f>IFERROR(__xludf.DUMMYFUNCTION("""COMPUTED_VALUE"""),"San Antonio ")</f>
        <v>San Antonio </v>
      </c>
      <c r="C1674" s="149" t="str">
        <f>IFERROR(__xludf.DUMMYFUNCTION("""COMPUTED_VALUE"""),"TX")</f>
        <v>TX</v>
      </c>
      <c r="D1674" s="149" t="str">
        <f>IFERROR(__xludf.DUMMYFUNCTION("""COMPUTED_VALUE"""),"USA")</f>
        <v>USA</v>
      </c>
      <c r="E1674" s="156">
        <f>IFERROR(__xludf.DUMMYFUNCTION("""COMPUTED_VALUE"""),43743.0)</f>
        <v>43743</v>
      </c>
      <c r="F1674" s="129">
        <f>IFERROR(__xludf.DUMMYFUNCTION("""COMPUTED_VALUE"""),43773.0)</f>
        <v>43773</v>
      </c>
      <c r="G1674" s="154"/>
      <c r="H1674" s="131">
        <f>IFERROR(__xludf.DUMMYFUNCTION("""COMPUTED_VALUE"""),504525.0)</f>
        <v>504525</v>
      </c>
      <c r="I1674" s="144" t="str">
        <f>IFERROR(__xludf.DUMMYFUNCTION("""COMPUTED_VALUE"""),"11/19")</f>
        <v>11/19</v>
      </c>
      <c r="J1674" s="129">
        <f>IFERROR(__xludf.DUMMYFUNCTION("""COMPUTED_VALUE"""),43785.0)</f>
        <v>43785</v>
      </c>
      <c r="K1674" s="133">
        <f>IFERROR(__xludf.DUMMYFUNCTION("""COMPUTED_VALUE"""),30.0)</f>
        <v>30</v>
      </c>
      <c r="L1674" s="133">
        <f>IFERROR(__xludf.DUMMYFUNCTION("""COMPUTED_VALUE"""),12.0)</f>
        <v>12</v>
      </c>
      <c r="M1674" s="133">
        <f>IFERROR(__xludf.DUMMYFUNCTION("""COMPUTED_VALUE"""),42.0)</f>
        <v>42</v>
      </c>
      <c r="N1674" s="152" t="str">
        <f>IFERROR(__xludf.DUMMYFUNCTION("""COMPUTED_VALUE"""),"Model 3 SR+")</f>
        <v>Model 3 SR+</v>
      </c>
      <c r="O1674" s="152" t="str">
        <f>IFERROR(__xludf.DUMMYFUNCTION("""COMPUTED_VALUE"""),"Pearl White Multi-Coat")</f>
        <v>Pearl White Multi-Coat</v>
      </c>
      <c r="P1674" s="153" t="str">
        <f>IFERROR(__xludf.DUMMYFUNCTION("""COMPUTED_VALUE"""),"18 inch Aero")</f>
        <v>18 inch Aero</v>
      </c>
      <c r="Q1674" s="152" t="str">
        <f>IFERROR(__xludf.DUMMYFUNCTION("""COMPUTED_VALUE"""),"Black seats")</f>
        <v>Black seats</v>
      </c>
      <c r="R1674" s="149" t="str">
        <f>IFERROR(__xludf.DUMMYFUNCTION("""COMPUTED_VALUE"""),"Full Self-Driving")</f>
        <v>Full Self-Driving</v>
      </c>
      <c r="S1674" s="149"/>
      <c r="T1674" s="145"/>
      <c r="U1674" s="145"/>
      <c r="V1674" s="145"/>
      <c r="W1674" s="136"/>
      <c r="X1674" s="137" t="str">
        <f>IFERROR(__xludf.DUMMYFUNCTION("""COMPUTED_VALUE"""),"Excellent")</f>
        <v>Excellent</v>
      </c>
      <c r="Y1674" s="138" t="str">
        <f>IFERROR(__xludf.DUMMYFUNCTION("""COMPUTED_VALUE"""),"Excellent")</f>
        <v>Excellent</v>
      </c>
      <c r="Z1674" s="138" t="str">
        <f>IFERROR(__xludf.DUMMYFUNCTION("""COMPUTED_VALUE"""),"Excellent")</f>
        <v>Excellent</v>
      </c>
      <c r="AA1674" s="138" t="str">
        <f>IFERROR(__xludf.DUMMYFUNCTION("""COMPUTED_VALUE"""),"Excellent")</f>
        <v>Excellent</v>
      </c>
      <c r="AB1674" s="138" t="str">
        <f>IFERROR(__xludf.DUMMYFUNCTION("""COMPUTED_VALUE"""),"Excellent")</f>
        <v>Excellent</v>
      </c>
      <c r="AC1674" s="139"/>
      <c r="AD1674" s="139"/>
      <c r="AE1674" s="139"/>
      <c r="AF1674" s="140"/>
      <c r="AG1674" s="136" t="str">
        <f>IFERROR(__xludf.DUMMYFUNCTION("""COMPUTED_VALUE"""),"Found vin in source code at 10:30 pm.  Delivery 9 days ahead of scheduled date. ")</f>
        <v>Found vin in source code at 10:30 pm.  Delivery 9 days ahead of scheduled date. </v>
      </c>
      <c r="AH1674" s="157">
        <f>IFERROR(__xludf.DUMMYFUNCTION("""COMPUTED_VALUE"""),43785.412506747685)</f>
        <v>43785.41251</v>
      </c>
      <c r="AI1674" s="138"/>
      <c r="AJ1674" s="138"/>
      <c r="AK1674" s="138"/>
      <c r="AL1674" s="142"/>
    </row>
    <row r="1675" ht="20.25" customHeight="1">
      <c r="A1675" s="155" t="str">
        <f>IFERROR(__xludf.DUMMYFUNCTION("""COMPUTED_VALUE"""),"Bellanova")</f>
        <v>Bellanova</v>
      </c>
      <c r="B1675" s="149" t="str">
        <f>IFERROR(__xludf.DUMMYFUNCTION("""COMPUTED_VALUE"""),"Dallas")</f>
        <v>Dallas</v>
      </c>
      <c r="C1675" s="149" t="str">
        <f>IFERROR(__xludf.DUMMYFUNCTION("""COMPUTED_VALUE"""),"TX")</f>
        <v>TX</v>
      </c>
      <c r="D1675" s="149" t="str">
        <f>IFERROR(__xludf.DUMMYFUNCTION("""COMPUTED_VALUE"""),"USA")</f>
        <v>USA</v>
      </c>
      <c r="E1675" s="156">
        <f>IFERROR(__xludf.DUMMYFUNCTION("""COMPUTED_VALUE"""),43742.0)</f>
        <v>43742</v>
      </c>
      <c r="F1675" s="129">
        <f>IFERROR(__xludf.DUMMYFUNCTION("""COMPUTED_VALUE"""),43774.0)</f>
        <v>43774</v>
      </c>
      <c r="G1675" s="154"/>
      <c r="H1675" s="131">
        <f>IFERROR(__xludf.DUMMYFUNCTION("""COMPUTED_VALUE"""),495866.0)</f>
        <v>495866</v>
      </c>
      <c r="I1675" s="132"/>
      <c r="J1675" s="129">
        <f>IFERROR(__xludf.DUMMYFUNCTION("""COMPUTED_VALUE"""),43788.0)</f>
        <v>43788</v>
      </c>
      <c r="K1675" s="133">
        <f>IFERROR(__xludf.DUMMYFUNCTION("""COMPUTED_VALUE"""),32.0)</f>
        <v>32</v>
      </c>
      <c r="L1675" s="133">
        <f>IFERROR(__xludf.DUMMYFUNCTION("""COMPUTED_VALUE"""),14.0)</f>
        <v>14</v>
      </c>
      <c r="M1675" s="133">
        <f>IFERROR(__xludf.DUMMYFUNCTION("""COMPUTED_VALUE"""),46.0)</f>
        <v>46</v>
      </c>
      <c r="N1675" s="152" t="str">
        <f>IFERROR(__xludf.DUMMYFUNCTION("""COMPUTED_VALUE"""),"Model 3 SR+")</f>
        <v>Model 3 SR+</v>
      </c>
      <c r="O1675" s="152" t="str">
        <f>IFERROR(__xludf.DUMMYFUNCTION("""COMPUTED_VALUE"""),"Midnight Silver Metallic")</f>
        <v>Midnight Silver Metallic</v>
      </c>
      <c r="P1675" s="153" t="str">
        <f>IFERROR(__xludf.DUMMYFUNCTION("""COMPUTED_VALUE"""),"18 inch Aero")</f>
        <v>18 inch Aero</v>
      </c>
      <c r="Q1675" s="152" t="str">
        <f>IFERROR(__xludf.DUMMYFUNCTION("""COMPUTED_VALUE"""),"Black seats")</f>
        <v>Black seats</v>
      </c>
      <c r="R1675" s="150" t="str">
        <f>IFERROR(__xludf.DUMMYFUNCTION("""COMPUTED_VALUE"""),"Autopilot")</f>
        <v>Autopilot</v>
      </c>
      <c r="S1675" s="150"/>
      <c r="T1675" s="136"/>
      <c r="U1675" s="136"/>
      <c r="V1675" s="136"/>
      <c r="W1675" s="136"/>
      <c r="X1675" s="137" t="str">
        <f>IFERROR(__xludf.DUMMYFUNCTION("""COMPUTED_VALUE"""),"Excellent")</f>
        <v>Excellent</v>
      </c>
      <c r="Y1675" s="138" t="str">
        <f>IFERROR(__xludf.DUMMYFUNCTION("""COMPUTED_VALUE"""),"Excellent")</f>
        <v>Excellent</v>
      </c>
      <c r="Z1675" s="138" t="str">
        <f>IFERROR(__xludf.DUMMYFUNCTION("""COMPUTED_VALUE"""),"Excellent")</f>
        <v>Excellent</v>
      </c>
      <c r="AA1675" s="138" t="str">
        <f>IFERROR(__xludf.DUMMYFUNCTION("""COMPUTED_VALUE"""),"Fair")</f>
        <v>Fair</v>
      </c>
      <c r="AB1675" s="138" t="str">
        <f>IFERROR(__xludf.DUMMYFUNCTION("""COMPUTED_VALUE"""),"Good")</f>
        <v>Good</v>
      </c>
      <c r="AC1675" s="139"/>
      <c r="AD1675" s="139"/>
      <c r="AE1675" s="139"/>
      <c r="AF1675" s="140"/>
      <c r="AG1675" s="136" t="str">
        <f>IFERROR(__xludf.DUMMYFUNCTION("""COMPUTED_VALUE"""),"Found VIN in source code")</f>
        <v>Found VIN in source code</v>
      </c>
      <c r="AH1675" s="157">
        <f>IFERROR(__xludf.DUMMYFUNCTION("""COMPUTED_VALUE"""),43788.567718321756)</f>
        <v>43788.56772</v>
      </c>
      <c r="AI1675" s="138"/>
      <c r="AJ1675" s="138"/>
      <c r="AK1675" s="138"/>
      <c r="AL1675" s="142"/>
    </row>
    <row r="1676" ht="20.25" customHeight="1">
      <c r="A1676" s="155" t="str">
        <f>IFERROR(__xludf.DUMMYFUNCTION("""COMPUTED_VALUE"""),"Gryliade9")</f>
        <v>Gryliade9</v>
      </c>
      <c r="B1676" s="149" t="str">
        <f>IFERROR(__xludf.DUMMYFUNCTION("""COMPUTED_VALUE"""),"Frankfort")</f>
        <v>Frankfort</v>
      </c>
      <c r="C1676" s="149" t="str">
        <f>IFERROR(__xludf.DUMMYFUNCTION("""COMPUTED_VALUE"""),"IL")</f>
        <v>IL</v>
      </c>
      <c r="D1676" s="149" t="str">
        <f>IFERROR(__xludf.DUMMYFUNCTION("""COMPUTED_VALUE"""),"USA")</f>
        <v>USA</v>
      </c>
      <c r="E1676" s="156">
        <f>IFERROR(__xludf.DUMMYFUNCTION("""COMPUTED_VALUE"""),43742.0)</f>
        <v>43742</v>
      </c>
      <c r="F1676" s="129">
        <f>IFERROR(__xludf.DUMMYFUNCTION("""COMPUTED_VALUE"""),43766.0)</f>
        <v>43766</v>
      </c>
      <c r="G1676" s="154"/>
      <c r="H1676" s="131">
        <f>IFERROR(__xludf.DUMMYFUNCTION("""COMPUTED_VALUE"""),513562.0)</f>
        <v>513562</v>
      </c>
      <c r="I1676" s="132"/>
      <c r="J1676" s="129">
        <f>IFERROR(__xludf.DUMMYFUNCTION("""COMPUTED_VALUE"""),43770.0)</f>
        <v>43770</v>
      </c>
      <c r="K1676" s="133">
        <f>IFERROR(__xludf.DUMMYFUNCTION("""COMPUTED_VALUE"""),24.0)</f>
        <v>24</v>
      </c>
      <c r="L1676" s="133">
        <f>IFERROR(__xludf.DUMMYFUNCTION("""COMPUTED_VALUE"""),4.0)</f>
        <v>4</v>
      </c>
      <c r="M1676" s="133">
        <f>IFERROR(__xludf.DUMMYFUNCTION("""COMPUTED_VALUE"""),28.0)</f>
        <v>28</v>
      </c>
      <c r="N1676" s="152" t="str">
        <f>IFERROR(__xludf.DUMMYFUNCTION("""COMPUTED_VALUE"""),"Model 3 LR AWD")</f>
        <v>Model 3 LR AWD</v>
      </c>
      <c r="O1676" s="152" t="str">
        <f>IFERROR(__xludf.DUMMYFUNCTION("""COMPUTED_VALUE"""),"Pearl White Multi-Coat")</f>
        <v>Pearl White Multi-Coat</v>
      </c>
      <c r="P1676" s="153" t="str">
        <f>IFERROR(__xludf.DUMMYFUNCTION("""COMPUTED_VALUE"""),"19 inch Sport")</f>
        <v>19 inch Sport</v>
      </c>
      <c r="Q1676" s="152" t="str">
        <f>IFERROR(__xludf.DUMMYFUNCTION("""COMPUTED_VALUE"""),"White seats")</f>
        <v>White seats</v>
      </c>
      <c r="R1676" s="150" t="str">
        <f>IFERROR(__xludf.DUMMYFUNCTION("""COMPUTED_VALUE"""),"Full Self-Driving")</f>
        <v>Full Self-Driving</v>
      </c>
      <c r="S1676" s="150"/>
      <c r="T1676" s="136"/>
      <c r="U1676" s="136"/>
      <c r="V1676" s="136"/>
      <c r="W1676" s="136"/>
      <c r="X1676" s="137" t="str">
        <f>IFERROR(__xludf.DUMMYFUNCTION("""COMPUTED_VALUE"""),"Excellent")</f>
        <v>Excellent</v>
      </c>
      <c r="Y1676" s="138" t="str">
        <f>IFERROR(__xludf.DUMMYFUNCTION("""COMPUTED_VALUE"""),"Excellent")</f>
        <v>Excellent</v>
      </c>
      <c r="Z1676" s="138" t="str">
        <f>IFERROR(__xludf.DUMMYFUNCTION("""COMPUTED_VALUE"""),"Very Good")</f>
        <v>Very Good</v>
      </c>
      <c r="AA1676" s="138" t="str">
        <f>IFERROR(__xludf.DUMMYFUNCTION("""COMPUTED_VALUE"""),"Good")</f>
        <v>Good</v>
      </c>
      <c r="AB1676" s="138" t="str">
        <f>IFERROR(__xludf.DUMMYFUNCTION("""COMPUTED_VALUE"""),"Excellent")</f>
        <v>Excellent</v>
      </c>
      <c r="AC1676" s="139">
        <f>IFERROR(__xludf.DUMMYFUNCTION("""COMPUTED_VALUE"""),1.0)</f>
        <v>1</v>
      </c>
      <c r="AD1676" s="139"/>
      <c r="AE1676" s="139"/>
      <c r="AF1676" s="140"/>
      <c r="AG1676" s="136"/>
      <c r="AH1676" s="157">
        <f>IFERROR(__xludf.DUMMYFUNCTION("""COMPUTED_VALUE"""),43776.56943458333)</f>
        <v>43776.56943</v>
      </c>
      <c r="AI1676" s="138"/>
      <c r="AJ1676" s="138"/>
      <c r="AK1676" s="138"/>
      <c r="AL1676" s="142"/>
    </row>
    <row r="1677" ht="20.25" customHeight="1">
      <c r="A1677" s="155" t="str">
        <f>IFERROR(__xludf.DUMMYFUNCTION("""COMPUTED_VALUE"""),"ppopek")</f>
        <v>ppopek</v>
      </c>
      <c r="B1677" s="149" t="str">
        <f>IFERROR(__xludf.DUMMYFUNCTION("""COMPUTED_VALUE"""),"Boston")</f>
        <v>Boston</v>
      </c>
      <c r="C1677" s="149" t="str">
        <f>IFERROR(__xludf.DUMMYFUNCTION("""COMPUTED_VALUE"""),"MA")</f>
        <v>MA</v>
      </c>
      <c r="D1677" s="149" t="str">
        <f>IFERROR(__xludf.DUMMYFUNCTION("""COMPUTED_VALUE"""),"USA")</f>
        <v>USA</v>
      </c>
      <c r="E1677" s="156">
        <f>IFERROR(__xludf.DUMMYFUNCTION("""COMPUTED_VALUE"""),43742.0)</f>
        <v>43742</v>
      </c>
      <c r="F1677" s="129">
        <f>IFERROR(__xludf.DUMMYFUNCTION("""COMPUTED_VALUE"""),43768.0)</f>
        <v>43768</v>
      </c>
      <c r="G1677" s="154"/>
      <c r="H1677" s="131">
        <f>IFERROR(__xludf.DUMMYFUNCTION("""COMPUTED_VALUE"""),476255.0)</f>
        <v>476255</v>
      </c>
      <c r="I1677" s="144"/>
      <c r="J1677" s="129">
        <f>IFERROR(__xludf.DUMMYFUNCTION("""COMPUTED_VALUE"""),43784.0)</f>
        <v>43784</v>
      </c>
      <c r="K1677" s="133">
        <f>IFERROR(__xludf.DUMMYFUNCTION("""COMPUTED_VALUE"""),26.0)</f>
        <v>26</v>
      </c>
      <c r="L1677" s="133">
        <f>IFERROR(__xludf.DUMMYFUNCTION("""COMPUTED_VALUE"""),16.0)</f>
        <v>16</v>
      </c>
      <c r="M1677" s="133">
        <f>IFERROR(__xludf.DUMMYFUNCTION("""COMPUTED_VALUE"""),42.0)</f>
        <v>42</v>
      </c>
      <c r="N1677" s="152" t="str">
        <f>IFERROR(__xludf.DUMMYFUNCTION("""COMPUTED_VALUE"""),"Model 3 SR+")</f>
        <v>Model 3 SR+</v>
      </c>
      <c r="O1677" s="152" t="str">
        <f>IFERROR(__xludf.DUMMYFUNCTION("""COMPUTED_VALUE"""),"Deep Blue Metallic")</f>
        <v>Deep Blue Metallic</v>
      </c>
      <c r="P1677" s="153" t="str">
        <f>IFERROR(__xludf.DUMMYFUNCTION("""COMPUTED_VALUE"""),"18 inch Aero")</f>
        <v>18 inch Aero</v>
      </c>
      <c r="Q1677" s="152" t="str">
        <f>IFERROR(__xludf.DUMMYFUNCTION("""COMPUTED_VALUE"""),"Black seats")</f>
        <v>Black seats</v>
      </c>
      <c r="R1677" s="149" t="str">
        <f>IFERROR(__xludf.DUMMYFUNCTION("""COMPUTED_VALUE"""),"Autopilot")</f>
        <v>Autopilot</v>
      </c>
      <c r="S1677" s="149"/>
      <c r="T1677" s="145"/>
      <c r="U1677" s="145"/>
      <c r="V1677" s="145"/>
      <c r="W1677" s="136"/>
      <c r="X1677" s="137" t="str">
        <f>IFERROR(__xludf.DUMMYFUNCTION("""COMPUTED_VALUE"""),"Excellent")</f>
        <v>Excellent</v>
      </c>
      <c r="Y1677" s="138" t="str">
        <f>IFERROR(__xludf.DUMMYFUNCTION("""COMPUTED_VALUE"""),"Excellent")</f>
        <v>Excellent</v>
      </c>
      <c r="Z1677" s="138" t="str">
        <f>IFERROR(__xludf.DUMMYFUNCTION("""COMPUTED_VALUE"""),"Excellent")</f>
        <v>Excellent</v>
      </c>
      <c r="AA1677" s="138" t="str">
        <f>IFERROR(__xludf.DUMMYFUNCTION("""COMPUTED_VALUE"""),"Good")</f>
        <v>Good</v>
      </c>
      <c r="AB1677" s="138" t="str">
        <f>IFERROR(__xludf.DUMMYFUNCTION("""COMPUTED_VALUE"""),"Good")</f>
        <v>Good</v>
      </c>
      <c r="AC1677" s="139">
        <f>IFERROR(__xludf.DUMMYFUNCTION("""COMPUTED_VALUE"""),0.0)</f>
        <v>0</v>
      </c>
      <c r="AD1677" s="139">
        <f>IFERROR(__xludf.DUMMYFUNCTION("""COMPUTED_VALUE"""),0.0)</f>
        <v>0</v>
      </c>
      <c r="AE1677" s="139">
        <f>IFERROR(__xludf.DUMMYFUNCTION("""COMPUTED_VALUE"""),0.0)</f>
        <v>0</v>
      </c>
      <c r="AF1677" s="140"/>
      <c r="AG1677" s="136" t="str">
        <f>IFERROR(__xludf.DUMMYFUNCTION("""COMPUTED_VALUE"""),"Texted VIN before it showed up in Account")</f>
        <v>Texted VIN before it showed up in Account</v>
      </c>
      <c r="AH1677" s="157">
        <f>IFERROR(__xludf.DUMMYFUNCTION("""COMPUTED_VALUE"""),43808.484027858794)</f>
        <v>43808.48403</v>
      </c>
      <c r="AI1677" s="138"/>
      <c r="AJ1677" s="138"/>
      <c r="AK1677" s="138"/>
      <c r="AL1677" s="142"/>
    </row>
    <row r="1678" ht="20.25" customHeight="1">
      <c r="A1678" s="155" t="str">
        <f>IFERROR(__xludf.DUMMYFUNCTION("""COMPUTED_VALUE"""),"luagh45")</f>
        <v>luagh45</v>
      </c>
      <c r="B1678" s="149" t="str">
        <f>IFERROR(__xludf.DUMMYFUNCTION("""COMPUTED_VALUE"""),"Portland")</f>
        <v>Portland</v>
      </c>
      <c r="C1678" s="149" t="str">
        <f>IFERROR(__xludf.DUMMYFUNCTION("""COMPUTED_VALUE"""),"OR")</f>
        <v>OR</v>
      </c>
      <c r="D1678" s="149" t="str">
        <f>IFERROR(__xludf.DUMMYFUNCTION("""COMPUTED_VALUE"""),"USA")</f>
        <v>USA</v>
      </c>
      <c r="E1678" s="156">
        <f>IFERROR(__xludf.DUMMYFUNCTION("""COMPUTED_VALUE"""),43741.0)</f>
        <v>43741</v>
      </c>
      <c r="F1678" s="129"/>
      <c r="G1678" s="154"/>
      <c r="H1678" s="131"/>
      <c r="I1678" s="132"/>
      <c r="J1678" s="129">
        <f>IFERROR(__xludf.DUMMYFUNCTION("""COMPUTED_VALUE"""),43803.0)</f>
        <v>43803</v>
      </c>
      <c r="K1678" s="133"/>
      <c r="L1678" s="133"/>
      <c r="M1678" s="133">
        <f>IFERROR(__xludf.DUMMYFUNCTION("""COMPUTED_VALUE"""),62.0)</f>
        <v>62</v>
      </c>
      <c r="N1678" s="152" t="str">
        <f>IFERROR(__xludf.DUMMYFUNCTION("""COMPUTED_VALUE"""),"Model 3 SR+")</f>
        <v>Model 3 SR+</v>
      </c>
      <c r="O1678" s="152" t="str">
        <f>IFERROR(__xludf.DUMMYFUNCTION("""COMPUTED_VALUE"""),"Midnight Silver Metallic")</f>
        <v>Midnight Silver Metallic</v>
      </c>
      <c r="P1678" s="153" t="str">
        <f>IFERROR(__xludf.DUMMYFUNCTION("""COMPUTED_VALUE"""),"18 inch")</f>
        <v>18 inch</v>
      </c>
      <c r="Q1678" s="152" t="str">
        <f>IFERROR(__xludf.DUMMYFUNCTION("""COMPUTED_VALUE"""),"All Black")</f>
        <v>All Black</v>
      </c>
      <c r="R1678" s="150" t="str">
        <f>IFERROR(__xludf.DUMMYFUNCTION("""COMPUTED_VALUE"""),"Full Self-Driving")</f>
        <v>Full Self-Driving</v>
      </c>
      <c r="S1678" s="150" t="str">
        <f>IFERROR(__xludf.DUMMYFUNCTION("""COMPUTED_VALUE"""),"Loan")</f>
        <v>Loan</v>
      </c>
      <c r="T1678" s="136" t="str">
        <f>IFERROR(__xludf.DUMMYFUNCTION("""COMPUTED_VALUE"""),"Nissan Leaf")</f>
        <v>Nissan Leaf</v>
      </c>
      <c r="U1678" s="136" t="str">
        <f>IFERROR(__xludf.DUMMYFUNCTION("""COMPUTED_VALUE"""),"Range")</f>
        <v>Range</v>
      </c>
      <c r="V1678" s="136" t="str">
        <f>IFERROR(__xludf.DUMMYFUNCTION("""COMPUTED_VALUE"""),"HomeLink")</f>
        <v>HomeLink</v>
      </c>
      <c r="W1678" s="136"/>
      <c r="X1678" s="137" t="str">
        <f>IFERROR(__xludf.DUMMYFUNCTION("""COMPUTED_VALUE"""),"Good")</f>
        <v>Good</v>
      </c>
      <c r="Y1678" s="138" t="str">
        <f>IFERROR(__xludf.DUMMYFUNCTION("""COMPUTED_VALUE"""),"Excellent")</f>
        <v>Excellent</v>
      </c>
      <c r="Z1678" s="138" t="str">
        <f>IFERROR(__xludf.DUMMYFUNCTION("""COMPUTED_VALUE"""),"Excellent")</f>
        <v>Excellent</v>
      </c>
      <c r="AA1678" s="138" t="str">
        <f>IFERROR(__xludf.DUMMYFUNCTION("""COMPUTED_VALUE"""),"Very Good")</f>
        <v>Very Good</v>
      </c>
      <c r="AB1678" s="138" t="str">
        <f>IFERROR(__xludf.DUMMYFUNCTION("""COMPUTED_VALUE"""),"Excellent")</f>
        <v>Excellent</v>
      </c>
      <c r="AC1678" s="139">
        <f>IFERROR(__xludf.DUMMYFUNCTION("""COMPUTED_VALUE"""),1.0)</f>
        <v>1</v>
      </c>
      <c r="AD1678" s="139">
        <f>IFERROR(__xludf.DUMMYFUNCTION("""COMPUTED_VALUE"""),0.0)</f>
        <v>0</v>
      </c>
      <c r="AE1678" s="139">
        <f>IFERROR(__xludf.DUMMYFUNCTION("""COMPUTED_VALUE"""),0.0)</f>
        <v>0</v>
      </c>
      <c r="AF1678" s="140" t="str">
        <f>IFERROR(__xludf.DUMMYFUNCTION("""COMPUTED_VALUE"""),"No. I took delivery of the first car Tesla was able to deliver.")</f>
        <v>No. I took delivery of the first car Tesla was able to deliver.</v>
      </c>
      <c r="AG1678" s="136"/>
      <c r="AH1678" s="157">
        <f>IFERROR(__xludf.DUMMYFUNCTION("""COMPUTED_VALUE"""),44299.55472984954)</f>
        <v>44299.55473</v>
      </c>
      <c r="AI1678" s="138"/>
      <c r="AJ1678" s="138"/>
      <c r="AK1678" s="138"/>
      <c r="AL1678" s="142"/>
    </row>
    <row r="1679" ht="20.25" customHeight="1">
      <c r="A1679" s="155" t="str">
        <f>IFERROR(__xludf.DUMMYFUNCTION("""COMPUTED_VALUE"""),"Snake")</f>
        <v>Snake</v>
      </c>
      <c r="B1679" s="149" t="str">
        <f>IFERROR(__xludf.DUMMYFUNCTION("""COMPUTED_VALUE"""),"Tampa")</f>
        <v>Tampa</v>
      </c>
      <c r="C1679" s="149" t="str">
        <f>IFERROR(__xludf.DUMMYFUNCTION("""COMPUTED_VALUE"""),"FL")</f>
        <v>FL</v>
      </c>
      <c r="D1679" s="149" t="str">
        <f>IFERROR(__xludf.DUMMYFUNCTION("""COMPUTED_VALUE"""),"USA")</f>
        <v>USA</v>
      </c>
      <c r="E1679" s="156">
        <f>IFERROR(__xludf.DUMMYFUNCTION("""COMPUTED_VALUE"""),43741.0)</f>
        <v>43741</v>
      </c>
      <c r="F1679" s="129">
        <f>IFERROR(__xludf.DUMMYFUNCTION("""COMPUTED_VALUE"""),43801.0)</f>
        <v>43801</v>
      </c>
      <c r="G1679" s="154"/>
      <c r="H1679" s="131">
        <f>IFERROR(__xludf.DUMMYFUNCTION("""COMPUTED_VALUE"""),603202.0)</f>
        <v>603202</v>
      </c>
      <c r="I1679" s="132"/>
      <c r="J1679" s="129">
        <f>IFERROR(__xludf.DUMMYFUNCTION("""COMPUTED_VALUE"""),43820.0)</f>
        <v>43820</v>
      </c>
      <c r="K1679" s="133">
        <f>IFERROR(__xludf.DUMMYFUNCTION("""COMPUTED_VALUE"""),60.0)</f>
        <v>60</v>
      </c>
      <c r="L1679" s="133">
        <f>IFERROR(__xludf.DUMMYFUNCTION("""COMPUTED_VALUE"""),19.0)</f>
        <v>19</v>
      </c>
      <c r="M1679" s="133">
        <f>IFERROR(__xludf.DUMMYFUNCTION("""COMPUTED_VALUE"""),79.0)</f>
        <v>79</v>
      </c>
      <c r="N1679" s="152" t="str">
        <f>IFERROR(__xludf.DUMMYFUNCTION("""COMPUTED_VALUE"""),"Model 3 Performance")</f>
        <v>Model 3 Performance</v>
      </c>
      <c r="O1679" s="152" t="str">
        <f>IFERROR(__xludf.DUMMYFUNCTION("""COMPUTED_VALUE"""),"Pearl White Multi-Coat")</f>
        <v>Pearl White Multi-Coat</v>
      </c>
      <c r="P1679" s="153" t="str">
        <f>IFERROR(__xludf.DUMMYFUNCTION("""COMPUTED_VALUE"""),"20 inch Sport")</f>
        <v>20 inch Sport</v>
      </c>
      <c r="Q1679" s="152" t="str">
        <f>IFERROR(__xludf.DUMMYFUNCTION("""COMPUTED_VALUE"""),"Black seats")</f>
        <v>Black seats</v>
      </c>
      <c r="R1679" s="150" t="str">
        <f>IFERROR(__xludf.DUMMYFUNCTION("""COMPUTED_VALUE"""),"Full Self-Driving")</f>
        <v>Full Self-Driving</v>
      </c>
      <c r="S1679" s="150"/>
      <c r="T1679" s="136"/>
      <c r="U1679" s="136"/>
      <c r="V1679" s="136"/>
      <c r="W1679" s="136"/>
      <c r="X1679" s="137" t="str">
        <f>IFERROR(__xludf.DUMMYFUNCTION("""COMPUTED_VALUE"""),"Very Good")</f>
        <v>Very Good</v>
      </c>
      <c r="Y1679" s="138" t="str">
        <f>IFERROR(__xludf.DUMMYFUNCTION("""COMPUTED_VALUE"""),"Excellent")</f>
        <v>Excellent</v>
      </c>
      <c r="Z1679" s="138" t="str">
        <f>IFERROR(__xludf.DUMMYFUNCTION("""COMPUTED_VALUE"""),"Very Good")</f>
        <v>Very Good</v>
      </c>
      <c r="AA1679" s="138" t="str">
        <f>IFERROR(__xludf.DUMMYFUNCTION("""COMPUTED_VALUE"""),"Good")</f>
        <v>Good</v>
      </c>
      <c r="AB1679" s="138" t="str">
        <f>IFERROR(__xludf.DUMMYFUNCTION("""COMPUTED_VALUE"""),"Excellent")</f>
        <v>Excellent</v>
      </c>
      <c r="AC1679" s="139"/>
      <c r="AD1679" s="139"/>
      <c r="AE1679" s="139"/>
      <c r="AF1679" s="140"/>
      <c r="AG1679" s="136"/>
      <c r="AH1679" s="157">
        <f>IFERROR(__xludf.DUMMYFUNCTION("""COMPUTED_VALUE"""),43820.643456585654)</f>
        <v>43820.64346</v>
      </c>
      <c r="AI1679" s="138"/>
      <c r="AJ1679" s="138"/>
      <c r="AK1679" s="138"/>
      <c r="AL1679" s="142"/>
    </row>
    <row r="1680" ht="20.25" customHeight="1">
      <c r="A1680" s="155" t="str">
        <f>IFERROR(__xludf.DUMMYFUNCTION("""COMPUTED_VALUE"""),"Someguy4747")</f>
        <v>Someguy4747</v>
      </c>
      <c r="B1680" s="149" t="str">
        <f>IFERROR(__xludf.DUMMYFUNCTION("""COMPUTED_VALUE"""),"Albuquerque")</f>
        <v>Albuquerque</v>
      </c>
      <c r="C1680" s="149" t="str">
        <f>IFERROR(__xludf.DUMMYFUNCTION("""COMPUTED_VALUE"""),"NM")</f>
        <v>NM</v>
      </c>
      <c r="D1680" s="149" t="str">
        <f>IFERROR(__xludf.DUMMYFUNCTION("""COMPUTED_VALUE"""),"USA")</f>
        <v>USA</v>
      </c>
      <c r="E1680" s="156">
        <f>IFERROR(__xludf.DUMMYFUNCTION("""COMPUTED_VALUE"""),43741.0)</f>
        <v>43741</v>
      </c>
      <c r="F1680" s="129">
        <f>IFERROR(__xludf.DUMMYFUNCTION("""COMPUTED_VALUE"""),43766.0)</f>
        <v>43766</v>
      </c>
      <c r="G1680" s="154"/>
      <c r="H1680" s="131">
        <f>IFERROR(__xludf.DUMMYFUNCTION("""COMPUTED_VALUE"""),520928.0)</f>
        <v>520928</v>
      </c>
      <c r="I1680" s="144" t="str">
        <f>IFERROR(__xludf.DUMMYFUNCTION("""COMPUTED_VALUE"""),"10/19")</f>
        <v>10/19</v>
      </c>
      <c r="J1680" s="129">
        <f>IFERROR(__xludf.DUMMYFUNCTION("""COMPUTED_VALUE"""),43775.0)</f>
        <v>43775</v>
      </c>
      <c r="K1680" s="133">
        <f>IFERROR(__xludf.DUMMYFUNCTION("""COMPUTED_VALUE"""),25.0)</f>
        <v>25</v>
      </c>
      <c r="L1680" s="133">
        <f>IFERROR(__xludf.DUMMYFUNCTION("""COMPUTED_VALUE"""),9.0)</f>
        <v>9</v>
      </c>
      <c r="M1680" s="133">
        <f>IFERROR(__xludf.DUMMYFUNCTION("""COMPUTED_VALUE"""),34.0)</f>
        <v>34</v>
      </c>
      <c r="N1680" s="152" t="str">
        <f>IFERROR(__xludf.DUMMYFUNCTION("""COMPUTED_VALUE"""),"Model 3 LR AWD")</f>
        <v>Model 3 LR AWD</v>
      </c>
      <c r="O1680" s="152" t="str">
        <f>IFERROR(__xludf.DUMMYFUNCTION("""COMPUTED_VALUE"""),"Pearl White Multi-Coat")</f>
        <v>Pearl White Multi-Coat</v>
      </c>
      <c r="P1680" s="153" t="str">
        <f>IFERROR(__xludf.DUMMYFUNCTION("""COMPUTED_VALUE"""),"18 inch Aero")</f>
        <v>18 inch Aero</v>
      </c>
      <c r="Q1680" s="152" t="str">
        <f>IFERROR(__xludf.DUMMYFUNCTION("""COMPUTED_VALUE"""),"Black seats")</f>
        <v>Black seats</v>
      </c>
      <c r="R1680" s="149" t="str">
        <f>IFERROR(__xludf.DUMMYFUNCTION("""COMPUTED_VALUE"""),"Autopilot")</f>
        <v>Autopilot</v>
      </c>
      <c r="S1680" s="149"/>
      <c r="T1680" s="145"/>
      <c r="U1680" s="145"/>
      <c r="V1680" s="145"/>
      <c r="W1680" s="136"/>
      <c r="X1680" s="137" t="str">
        <f>IFERROR(__xludf.DUMMYFUNCTION("""COMPUTED_VALUE"""),"Excellent")</f>
        <v>Excellent</v>
      </c>
      <c r="Y1680" s="138" t="str">
        <f>IFERROR(__xludf.DUMMYFUNCTION("""COMPUTED_VALUE"""),"Excellent")</f>
        <v>Excellent</v>
      </c>
      <c r="Z1680" s="138" t="str">
        <f>IFERROR(__xludf.DUMMYFUNCTION("""COMPUTED_VALUE"""),"Excellent")</f>
        <v>Excellent</v>
      </c>
      <c r="AA1680" s="138" t="str">
        <f>IFERROR(__xludf.DUMMYFUNCTION("""COMPUTED_VALUE"""),"Fair")</f>
        <v>Fair</v>
      </c>
      <c r="AB1680" s="138"/>
      <c r="AC1680" s="139"/>
      <c r="AD1680" s="139"/>
      <c r="AE1680" s="139"/>
      <c r="AF1680" s="140"/>
      <c r="AG1680" s="136"/>
      <c r="AH1680" s="157">
        <f>IFERROR(__xludf.DUMMYFUNCTION("""COMPUTED_VALUE"""),43782.90611608796)</f>
        <v>43782.90612</v>
      </c>
      <c r="AI1680" s="138"/>
      <c r="AJ1680" s="138"/>
      <c r="AK1680" s="138"/>
      <c r="AL1680" s="142"/>
    </row>
    <row r="1681" ht="20.25" customHeight="1">
      <c r="A1681" s="155" t="str">
        <f>IFERROR(__xludf.DUMMYFUNCTION("""COMPUTED_VALUE"""),"Joe85sti")</f>
        <v>Joe85sti</v>
      </c>
      <c r="B1681" s="149" t="str">
        <f>IFERROR(__xludf.DUMMYFUNCTION("""COMPUTED_VALUE"""),"Worcester")</f>
        <v>Worcester</v>
      </c>
      <c r="C1681" s="149" t="str">
        <f>IFERROR(__xludf.DUMMYFUNCTION("""COMPUTED_VALUE"""),"MA")</f>
        <v>MA</v>
      </c>
      <c r="D1681" s="149" t="str">
        <f>IFERROR(__xludf.DUMMYFUNCTION("""COMPUTED_VALUE"""),"USA")</f>
        <v>USA</v>
      </c>
      <c r="E1681" s="156">
        <f>IFERROR(__xludf.DUMMYFUNCTION("""COMPUTED_VALUE"""),43740.0)</f>
        <v>43740</v>
      </c>
      <c r="F1681" s="129">
        <f>IFERROR(__xludf.DUMMYFUNCTION("""COMPUTED_VALUE"""),43801.0)</f>
        <v>43801</v>
      </c>
      <c r="G1681" s="154"/>
      <c r="H1681" s="131">
        <f>IFERROR(__xludf.DUMMYFUNCTION("""COMPUTED_VALUE"""),603201.0)</f>
        <v>603201</v>
      </c>
      <c r="I1681" s="144" t="str">
        <f>IFERROR(__xludf.DUMMYFUNCTION("""COMPUTED_VALUE"""),"12/19")</f>
        <v>12/19</v>
      </c>
      <c r="J1681" s="129">
        <f>IFERROR(__xludf.DUMMYFUNCTION("""COMPUTED_VALUE"""),43815.0)</f>
        <v>43815</v>
      </c>
      <c r="K1681" s="133">
        <f>IFERROR(__xludf.DUMMYFUNCTION("""COMPUTED_VALUE"""),61.0)</f>
        <v>61</v>
      </c>
      <c r="L1681" s="133">
        <f>IFERROR(__xludf.DUMMYFUNCTION("""COMPUTED_VALUE"""),14.0)</f>
        <v>14</v>
      </c>
      <c r="M1681" s="133">
        <f>IFERROR(__xludf.DUMMYFUNCTION("""COMPUTED_VALUE"""),75.0)</f>
        <v>75</v>
      </c>
      <c r="N1681" s="152" t="str">
        <f>IFERROR(__xludf.DUMMYFUNCTION("""COMPUTED_VALUE"""),"Model 3 Performance")</f>
        <v>Model 3 Performance</v>
      </c>
      <c r="O1681" s="152" t="str">
        <f>IFERROR(__xludf.DUMMYFUNCTION("""COMPUTED_VALUE"""),"Pearl White Multi-Coat")</f>
        <v>Pearl White Multi-Coat</v>
      </c>
      <c r="P1681" s="153" t="str">
        <f>IFERROR(__xludf.DUMMYFUNCTION("""COMPUTED_VALUE"""),"20 inch Sport")</f>
        <v>20 inch Sport</v>
      </c>
      <c r="Q1681" s="152" t="str">
        <f>IFERROR(__xludf.DUMMYFUNCTION("""COMPUTED_VALUE"""),"Black seats")</f>
        <v>Black seats</v>
      </c>
      <c r="R1681" s="149" t="str">
        <f>IFERROR(__xludf.DUMMYFUNCTION("""COMPUTED_VALUE"""),"Full Self-Driving")</f>
        <v>Full Self-Driving</v>
      </c>
      <c r="S1681" s="149"/>
      <c r="T1681" s="145"/>
      <c r="U1681" s="145"/>
      <c r="V1681" s="145"/>
      <c r="W1681" s="145"/>
      <c r="X1681" s="137" t="str">
        <f>IFERROR(__xludf.DUMMYFUNCTION("""COMPUTED_VALUE"""),"Excellent")</f>
        <v>Excellent</v>
      </c>
      <c r="Y1681" s="138" t="str">
        <f>IFERROR(__xludf.DUMMYFUNCTION("""COMPUTED_VALUE"""),"Excellent")</f>
        <v>Excellent</v>
      </c>
      <c r="Z1681" s="138" t="str">
        <f>IFERROR(__xludf.DUMMYFUNCTION("""COMPUTED_VALUE"""),"Excellent")</f>
        <v>Excellent</v>
      </c>
      <c r="AA1681" s="138" t="str">
        <f>IFERROR(__xludf.DUMMYFUNCTION("""COMPUTED_VALUE"""),"Excellent")</f>
        <v>Excellent</v>
      </c>
      <c r="AB1681" s="138" t="str">
        <f>IFERROR(__xludf.DUMMYFUNCTION("""COMPUTED_VALUE"""),"Excellent")</f>
        <v>Excellent</v>
      </c>
      <c r="AC1681" s="139"/>
      <c r="AD1681" s="139"/>
      <c r="AE1681" s="139"/>
      <c r="AF1681" s="140"/>
      <c r="AG1681" s="145"/>
      <c r="AH1681" s="157">
        <f>IFERROR(__xludf.DUMMYFUNCTION("""COMPUTED_VALUE"""),43819.7744039699)</f>
        <v>43819.7744</v>
      </c>
      <c r="AI1681" s="138"/>
      <c r="AJ1681" s="138"/>
      <c r="AK1681" s="138"/>
      <c r="AL1681" s="142"/>
    </row>
    <row r="1682" ht="20.25" customHeight="1">
      <c r="A1682" s="155" t="str">
        <f>IFERROR(__xludf.DUMMYFUNCTION("""COMPUTED_VALUE"""),"payce")</f>
        <v>payce</v>
      </c>
      <c r="B1682" s="149" t="str">
        <f>IFERROR(__xludf.DUMMYFUNCTION("""COMPUTED_VALUE"""),"Montreal")</f>
        <v>Montreal</v>
      </c>
      <c r="C1682" s="149" t="str">
        <f>IFERROR(__xludf.DUMMYFUNCTION("""COMPUTED_VALUE"""),"QC")</f>
        <v>QC</v>
      </c>
      <c r="D1682" s="149" t="str">
        <f>IFERROR(__xludf.DUMMYFUNCTION("""COMPUTED_VALUE"""),"Canada")</f>
        <v>Canada</v>
      </c>
      <c r="E1682" s="156">
        <f>IFERROR(__xludf.DUMMYFUNCTION("""COMPUTED_VALUE"""),43738.0)</f>
        <v>43738</v>
      </c>
      <c r="F1682" s="129">
        <f>IFERROR(__xludf.DUMMYFUNCTION("""COMPUTED_VALUE"""),43781.0)</f>
        <v>43781</v>
      </c>
      <c r="G1682" s="154"/>
      <c r="H1682" s="131">
        <f>IFERROR(__xludf.DUMMYFUNCTION("""COMPUTED_VALUE"""),603907.0)</f>
        <v>603907</v>
      </c>
      <c r="I1682" s="132"/>
      <c r="J1682" s="129">
        <f>IFERROR(__xludf.DUMMYFUNCTION("""COMPUTED_VALUE"""),43799.0)</f>
        <v>43799</v>
      </c>
      <c r="K1682" s="133">
        <f>IFERROR(__xludf.DUMMYFUNCTION("""COMPUTED_VALUE"""),43.0)</f>
        <v>43</v>
      </c>
      <c r="L1682" s="133">
        <f>IFERROR(__xludf.DUMMYFUNCTION("""COMPUTED_VALUE"""),18.0)</f>
        <v>18</v>
      </c>
      <c r="M1682" s="133">
        <f>IFERROR(__xludf.DUMMYFUNCTION("""COMPUTED_VALUE"""),61.0)</f>
        <v>61</v>
      </c>
      <c r="N1682" s="152" t="str">
        <f>IFERROR(__xludf.DUMMYFUNCTION("""COMPUTED_VALUE"""),"Model 3 SR+")</f>
        <v>Model 3 SR+</v>
      </c>
      <c r="O1682" s="152" t="str">
        <f>IFERROR(__xludf.DUMMYFUNCTION("""COMPUTED_VALUE"""),"Solid Black")</f>
        <v>Solid Black</v>
      </c>
      <c r="P1682" s="153" t="str">
        <f>IFERROR(__xludf.DUMMYFUNCTION("""COMPUTED_VALUE"""),"19 inch Sport")</f>
        <v>19 inch Sport</v>
      </c>
      <c r="Q1682" s="152" t="str">
        <f>IFERROR(__xludf.DUMMYFUNCTION("""COMPUTED_VALUE"""),"Black seats")</f>
        <v>Black seats</v>
      </c>
      <c r="R1682" s="150" t="str">
        <f>IFERROR(__xludf.DUMMYFUNCTION("""COMPUTED_VALUE"""),"Autopilot")</f>
        <v>Autopilot</v>
      </c>
      <c r="S1682" s="150"/>
      <c r="T1682" s="136"/>
      <c r="U1682" s="136"/>
      <c r="V1682" s="136"/>
      <c r="W1682" s="136"/>
      <c r="X1682" s="137" t="str">
        <f>IFERROR(__xludf.DUMMYFUNCTION("""COMPUTED_VALUE"""),"Poor")</f>
        <v>Poor</v>
      </c>
      <c r="Y1682" s="138" t="str">
        <f>IFERROR(__xludf.DUMMYFUNCTION("""COMPUTED_VALUE"""),"Good")</f>
        <v>Good</v>
      </c>
      <c r="Z1682" s="138" t="str">
        <f>IFERROR(__xludf.DUMMYFUNCTION("""COMPUTED_VALUE"""),"Good")</f>
        <v>Good</v>
      </c>
      <c r="AA1682" s="138" t="str">
        <f>IFERROR(__xludf.DUMMYFUNCTION("""COMPUTED_VALUE"""),"Poor")</f>
        <v>Poor</v>
      </c>
      <c r="AB1682" s="138" t="str">
        <f>IFERROR(__xludf.DUMMYFUNCTION("""COMPUTED_VALUE"""),"Very Good")</f>
        <v>Very Good</v>
      </c>
      <c r="AC1682" s="139">
        <f>IFERROR(__xludf.DUMMYFUNCTION("""COMPUTED_VALUE"""),4.0)</f>
        <v>4</v>
      </c>
      <c r="AD1682" s="139">
        <f>IFERROR(__xludf.DUMMYFUNCTION("""COMPUTED_VALUE"""),2.0)</f>
        <v>2</v>
      </c>
      <c r="AE1682" s="139">
        <f>IFERROR(__xludf.DUMMYFUNCTION("""COMPUTED_VALUE"""),2.0)</f>
        <v>2</v>
      </c>
      <c r="AF1682" s="140"/>
      <c r="AG1682" s="136"/>
      <c r="AH1682" s="157">
        <f>IFERROR(__xludf.DUMMYFUNCTION("""COMPUTED_VALUE"""),43822.19258700232)</f>
        <v>43822.19259</v>
      </c>
      <c r="AI1682" s="138"/>
      <c r="AJ1682" s="138"/>
      <c r="AK1682" s="138"/>
      <c r="AL1682" s="142"/>
    </row>
    <row r="1683" ht="20.25" customHeight="1">
      <c r="A1683" s="155" t="str">
        <f>IFERROR(__xludf.DUMMYFUNCTION("""COMPUTED_VALUE"""),"rtshefe")</f>
        <v>rtshefe</v>
      </c>
      <c r="B1683" s="149" t="str">
        <f>IFERROR(__xludf.DUMMYFUNCTION("""COMPUTED_VALUE"""),"Raleigh")</f>
        <v>Raleigh</v>
      </c>
      <c r="C1683" s="149" t="str">
        <f>IFERROR(__xludf.DUMMYFUNCTION("""COMPUTED_VALUE"""),"NC")</f>
        <v>NC</v>
      </c>
      <c r="D1683" s="149" t="str">
        <f>IFERROR(__xludf.DUMMYFUNCTION("""COMPUTED_VALUE"""),"USA")</f>
        <v>USA</v>
      </c>
      <c r="E1683" s="156">
        <f>IFERROR(__xludf.DUMMYFUNCTION("""COMPUTED_VALUE"""),43737.0)</f>
        <v>43737</v>
      </c>
      <c r="F1683" s="129">
        <f>IFERROR(__xludf.DUMMYFUNCTION("""COMPUTED_VALUE"""),43800.0)</f>
        <v>43800</v>
      </c>
      <c r="G1683" s="154"/>
      <c r="H1683" s="131">
        <f>IFERROR(__xludf.DUMMYFUNCTION("""COMPUTED_VALUE"""),603589.0)</f>
        <v>603589</v>
      </c>
      <c r="I1683" s="144"/>
      <c r="J1683" s="129">
        <f>IFERROR(__xludf.DUMMYFUNCTION("""COMPUTED_VALUE"""),43815.0)</f>
        <v>43815</v>
      </c>
      <c r="K1683" s="133">
        <f>IFERROR(__xludf.DUMMYFUNCTION("""COMPUTED_VALUE"""),63.0)</f>
        <v>63</v>
      </c>
      <c r="L1683" s="133">
        <f>IFERROR(__xludf.DUMMYFUNCTION("""COMPUTED_VALUE"""),15.0)</f>
        <v>15</v>
      </c>
      <c r="M1683" s="133">
        <f>IFERROR(__xludf.DUMMYFUNCTION("""COMPUTED_VALUE"""),78.0)</f>
        <v>78</v>
      </c>
      <c r="N1683" s="152" t="str">
        <f>IFERROR(__xludf.DUMMYFUNCTION("""COMPUTED_VALUE"""),"Model 3 Performance")</f>
        <v>Model 3 Performance</v>
      </c>
      <c r="O1683" s="152" t="str">
        <f>IFERROR(__xludf.DUMMYFUNCTION("""COMPUTED_VALUE"""),"Pearl White Multi-Coat")</f>
        <v>Pearl White Multi-Coat</v>
      </c>
      <c r="P1683" s="153" t="str">
        <f>IFERROR(__xludf.DUMMYFUNCTION("""COMPUTED_VALUE"""),"20 inch Sport")</f>
        <v>20 inch Sport</v>
      </c>
      <c r="Q1683" s="152" t="str">
        <f>IFERROR(__xludf.DUMMYFUNCTION("""COMPUTED_VALUE"""),"White seats")</f>
        <v>White seats</v>
      </c>
      <c r="R1683" s="149" t="str">
        <f>IFERROR(__xludf.DUMMYFUNCTION("""COMPUTED_VALUE"""),"Full Self-Driving")</f>
        <v>Full Self-Driving</v>
      </c>
      <c r="S1683" s="149"/>
      <c r="T1683" s="145"/>
      <c r="U1683" s="145"/>
      <c r="V1683" s="145"/>
      <c r="W1683" s="145"/>
      <c r="X1683" s="137" t="str">
        <f>IFERROR(__xludf.DUMMYFUNCTION("""COMPUTED_VALUE"""),"Good")</f>
        <v>Good</v>
      </c>
      <c r="Y1683" s="138" t="str">
        <f>IFERROR(__xludf.DUMMYFUNCTION("""COMPUTED_VALUE"""),"Good")</f>
        <v>Good</v>
      </c>
      <c r="Z1683" s="138" t="str">
        <f>IFERROR(__xludf.DUMMYFUNCTION("""COMPUTED_VALUE"""),"Good")</f>
        <v>Good</v>
      </c>
      <c r="AA1683" s="138" t="str">
        <f>IFERROR(__xludf.DUMMYFUNCTION("""COMPUTED_VALUE"""),"Fair")</f>
        <v>Fair</v>
      </c>
      <c r="AB1683" s="138" t="str">
        <f>IFERROR(__xludf.DUMMYFUNCTION("""COMPUTED_VALUE"""),"Very Good")</f>
        <v>Very Good</v>
      </c>
      <c r="AC1683" s="139"/>
      <c r="AD1683" s="139"/>
      <c r="AE1683" s="139"/>
      <c r="AF1683" s="140"/>
      <c r="AG1683" s="145"/>
      <c r="AH1683" s="157">
        <f>IFERROR(__xludf.DUMMYFUNCTION("""COMPUTED_VALUE"""),43815.32175045139)</f>
        <v>43815.32175</v>
      </c>
      <c r="AI1683" s="138"/>
      <c r="AJ1683" s="138"/>
      <c r="AK1683" s="138"/>
      <c r="AL1683" s="142"/>
    </row>
    <row r="1684" ht="20.25" customHeight="1">
      <c r="A1684" s="155" t="str">
        <f>IFERROR(__xludf.DUMMYFUNCTION("""COMPUTED_VALUE"""),"SkavM3")</f>
        <v>SkavM3</v>
      </c>
      <c r="B1684" s="149" t="str">
        <f>IFERROR(__xludf.DUMMYFUNCTION("""COMPUTED_VALUE"""),"Milpitas")</f>
        <v>Milpitas</v>
      </c>
      <c r="C1684" s="149" t="str">
        <f>IFERROR(__xludf.DUMMYFUNCTION("""COMPUTED_VALUE"""),"CA")</f>
        <v>CA</v>
      </c>
      <c r="D1684" s="149" t="str">
        <f>IFERROR(__xludf.DUMMYFUNCTION("""COMPUTED_VALUE"""),"USA")</f>
        <v>USA</v>
      </c>
      <c r="E1684" s="156">
        <f>IFERROR(__xludf.DUMMYFUNCTION("""COMPUTED_VALUE"""),43737.0)</f>
        <v>43737</v>
      </c>
      <c r="F1684" s="129">
        <f>IFERROR(__xludf.DUMMYFUNCTION("""COMPUTED_VALUE"""),43787.0)</f>
        <v>43787</v>
      </c>
      <c r="G1684" s="154"/>
      <c r="H1684" s="131">
        <f>IFERROR(__xludf.DUMMYFUNCTION("""COMPUTED_VALUE"""),504758.0)</f>
        <v>504758</v>
      </c>
      <c r="I1684" s="144"/>
      <c r="J1684" s="129">
        <f>IFERROR(__xludf.DUMMYFUNCTION("""COMPUTED_VALUE"""),43789.0)</f>
        <v>43789</v>
      </c>
      <c r="K1684" s="133">
        <f>IFERROR(__xludf.DUMMYFUNCTION("""COMPUTED_VALUE"""),50.0)</f>
        <v>50</v>
      </c>
      <c r="L1684" s="133">
        <f>IFERROR(__xludf.DUMMYFUNCTION("""COMPUTED_VALUE"""),2.0)</f>
        <v>2</v>
      </c>
      <c r="M1684" s="133">
        <f>IFERROR(__xludf.DUMMYFUNCTION("""COMPUTED_VALUE"""),52.0)</f>
        <v>52</v>
      </c>
      <c r="N1684" s="152" t="str">
        <f>IFERROR(__xludf.DUMMYFUNCTION("""COMPUTED_VALUE"""),"Model 3 SR+")</f>
        <v>Model 3 SR+</v>
      </c>
      <c r="O1684" s="152" t="str">
        <f>IFERROR(__xludf.DUMMYFUNCTION("""COMPUTED_VALUE"""),"Pearl White Multi-Coat")</f>
        <v>Pearl White Multi-Coat</v>
      </c>
      <c r="P1684" s="153" t="str">
        <f>IFERROR(__xludf.DUMMYFUNCTION("""COMPUTED_VALUE"""),"18 inch Aero")</f>
        <v>18 inch Aero</v>
      </c>
      <c r="Q1684" s="152" t="str">
        <f>IFERROR(__xludf.DUMMYFUNCTION("""COMPUTED_VALUE"""),"Black seats")</f>
        <v>Black seats</v>
      </c>
      <c r="R1684" s="149" t="str">
        <f>IFERROR(__xludf.DUMMYFUNCTION("""COMPUTED_VALUE"""),"Autopilot")</f>
        <v>Autopilot</v>
      </c>
      <c r="S1684" s="149"/>
      <c r="T1684" s="145"/>
      <c r="U1684" s="145"/>
      <c r="V1684" s="145"/>
      <c r="W1684" s="145"/>
      <c r="X1684" s="137" t="str">
        <f>IFERROR(__xludf.DUMMYFUNCTION("""COMPUTED_VALUE"""),"Good")</f>
        <v>Good</v>
      </c>
      <c r="Y1684" s="138" t="str">
        <f>IFERROR(__xludf.DUMMYFUNCTION("""COMPUTED_VALUE"""),"Excellent")</f>
        <v>Excellent</v>
      </c>
      <c r="Z1684" s="138" t="str">
        <f>IFERROR(__xludf.DUMMYFUNCTION("""COMPUTED_VALUE"""),"Good")</f>
        <v>Good</v>
      </c>
      <c r="AA1684" s="138" t="str">
        <f>IFERROR(__xludf.DUMMYFUNCTION("""COMPUTED_VALUE"""),"Poor")</f>
        <v>Poor</v>
      </c>
      <c r="AB1684" s="138" t="str">
        <f>IFERROR(__xludf.DUMMYFUNCTION("""COMPUTED_VALUE"""),"Very Good")</f>
        <v>Very Good</v>
      </c>
      <c r="AC1684" s="139"/>
      <c r="AD1684" s="139"/>
      <c r="AE1684" s="139"/>
      <c r="AF1684" s="140"/>
      <c r="AG1684" s="145"/>
      <c r="AH1684" s="157">
        <f>IFERROR(__xludf.DUMMYFUNCTION("""COMPUTED_VALUE"""),43794.36117721065)</f>
        <v>43794.36118</v>
      </c>
      <c r="AI1684" s="138"/>
      <c r="AJ1684" s="138"/>
      <c r="AK1684" s="138"/>
      <c r="AL1684" s="142"/>
    </row>
    <row r="1685" ht="20.25" customHeight="1">
      <c r="A1685" s="155" t="str">
        <f>IFERROR(__xludf.DUMMYFUNCTION("""COMPUTED_VALUE"""),"aledesma")</f>
        <v>aledesma</v>
      </c>
      <c r="B1685" s="149" t="str">
        <f>IFERROR(__xludf.DUMMYFUNCTION("""COMPUTED_VALUE"""),"Plano")</f>
        <v>Plano</v>
      </c>
      <c r="C1685" s="149" t="str">
        <f>IFERROR(__xludf.DUMMYFUNCTION("""COMPUTED_VALUE"""),"TX")</f>
        <v>TX</v>
      </c>
      <c r="D1685" s="149" t="str">
        <f>IFERROR(__xludf.DUMMYFUNCTION("""COMPUTED_VALUE"""),"USA")</f>
        <v>USA</v>
      </c>
      <c r="E1685" s="156">
        <f>IFERROR(__xludf.DUMMYFUNCTION("""COMPUTED_VALUE"""),43736.0)</f>
        <v>43736</v>
      </c>
      <c r="F1685" s="129">
        <f>IFERROR(__xludf.DUMMYFUNCTION("""COMPUTED_VALUE"""),43801.0)</f>
        <v>43801</v>
      </c>
      <c r="G1685" s="154"/>
      <c r="H1685" s="131">
        <f>IFERROR(__xludf.DUMMYFUNCTION("""COMPUTED_VALUE"""),603455.0)</f>
        <v>603455</v>
      </c>
      <c r="I1685" s="132" t="str">
        <f>IFERROR(__xludf.DUMMYFUNCTION("""COMPUTED_VALUE"""),"12/19")</f>
        <v>12/19</v>
      </c>
      <c r="J1685" s="129">
        <f>IFERROR(__xludf.DUMMYFUNCTION("""COMPUTED_VALUE"""),43816.0)</f>
        <v>43816</v>
      </c>
      <c r="K1685" s="133">
        <f>IFERROR(__xludf.DUMMYFUNCTION("""COMPUTED_VALUE"""),65.0)</f>
        <v>65</v>
      </c>
      <c r="L1685" s="133">
        <f>IFERROR(__xludf.DUMMYFUNCTION("""COMPUTED_VALUE"""),15.0)</f>
        <v>15</v>
      </c>
      <c r="M1685" s="133">
        <f>IFERROR(__xludf.DUMMYFUNCTION("""COMPUTED_VALUE"""),80.0)</f>
        <v>80</v>
      </c>
      <c r="N1685" s="152" t="str">
        <f>IFERROR(__xludf.DUMMYFUNCTION("""COMPUTED_VALUE"""),"Model 3 Performance")</f>
        <v>Model 3 Performance</v>
      </c>
      <c r="O1685" s="152" t="str">
        <f>IFERROR(__xludf.DUMMYFUNCTION("""COMPUTED_VALUE"""),"Midnight Silver Metallic")</f>
        <v>Midnight Silver Metallic</v>
      </c>
      <c r="P1685" s="153" t="str">
        <f>IFERROR(__xludf.DUMMYFUNCTION("""COMPUTED_VALUE"""),"20 inch Sport")</f>
        <v>20 inch Sport</v>
      </c>
      <c r="Q1685" s="152" t="str">
        <f>IFERROR(__xludf.DUMMYFUNCTION("""COMPUTED_VALUE"""),"White seats")</f>
        <v>White seats</v>
      </c>
      <c r="R1685" s="150" t="str">
        <f>IFERROR(__xludf.DUMMYFUNCTION("""COMPUTED_VALUE"""),"Full Self-Driving")</f>
        <v>Full Self-Driving</v>
      </c>
      <c r="S1685" s="150"/>
      <c r="T1685" s="136"/>
      <c r="U1685" s="136"/>
      <c r="V1685" s="136"/>
      <c r="W1685" s="136"/>
      <c r="X1685" s="137" t="str">
        <f>IFERROR(__xludf.DUMMYFUNCTION("""COMPUTED_VALUE"""),"Excellent")</f>
        <v>Excellent</v>
      </c>
      <c r="Y1685" s="138" t="str">
        <f>IFERROR(__xludf.DUMMYFUNCTION("""COMPUTED_VALUE"""),"Excellent")</f>
        <v>Excellent</v>
      </c>
      <c r="Z1685" s="138" t="str">
        <f>IFERROR(__xludf.DUMMYFUNCTION("""COMPUTED_VALUE"""),"Excellent")</f>
        <v>Excellent</v>
      </c>
      <c r="AA1685" s="138" t="str">
        <f>IFERROR(__xludf.DUMMYFUNCTION("""COMPUTED_VALUE"""),"Good")</f>
        <v>Good</v>
      </c>
      <c r="AB1685" s="138" t="str">
        <f>IFERROR(__xludf.DUMMYFUNCTION("""COMPUTED_VALUE"""),"Very Good")</f>
        <v>Very Good</v>
      </c>
      <c r="AC1685" s="139">
        <f>IFERROR(__xludf.DUMMYFUNCTION("""COMPUTED_VALUE"""),0.0)</f>
        <v>0</v>
      </c>
      <c r="AD1685" s="139">
        <f>IFERROR(__xludf.DUMMYFUNCTION("""COMPUTED_VALUE"""),0.0)</f>
        <v>0</v>
      </c>
      <c r="AE1685" s="139">
        <f>IFERROR(__xludf.DUMMYFUNCTION("""COMPUTED_VALUE"""),0.0)</f>
        <v>0</v>
      </c>
      <c r="AF1685" s="140"/>
      <c r="AG1685" s="136" t="str">
        <f>IFERROR(__xludf.DUMMYFUNCTION("""COMPUTED_VALUE"""),"2019/12/02 VIN in source")</f>
        <v>2019/12/02 VIN in source</v>
      </c>
      <c r="AH1685" s="157">
        <f>IFERROR(__xludf.DUMMYFUNCTION("""COMPUTED_VALUE"""),43822.44247959491)</f>
        <v>43822.44248</v>
      </c>
      <c r="AI1685" s="138"/>
      <c r="AJ1685" s="138"/>
      <c r="AK1685" s="138"/>
      <c r="AL1685" s="142"/>
    </row>
    <row r="1686" ht="20.25" customHeight="1">
      <c r="A1686" s="155" t="str">
        <f>IFERROR(__xludf.DUMMYFUNCTION("""COMPUTED_VALUE"""),"Daedelous")</f>
        <v>Daedelous</v>
      </c>
      <c r="B1686" s="149" t="str">
        <f>IFERROR(__xludf.DUMMYFUNCTION("""COMPUTED_VALUE"""),"Sterling")</f>
        <v>Sterling</v>
      </c>
      <c r="C1686" s="149" t="str">
        <f>IFERROR(__xludf.DUMMYFUNCTION("""COMPUTED_VALUE"""),"VA")</f>
        <v>VA</v>
      </c>
      <c r="D1686" s="149" t="str">
        <f>IFERROR(__xludf.DUMMYFUNCTION("""COMPUTED_VALUE"""),"USA")</f>
        <v>USA</v>
      </c>
      <c r="E1686" s="156">
        <f>IFERROR(__xludf.DUMMYFUNCTION("""COMPUTED_VALUE"""),43736.0)</f>
        <v>43736</v>
      </c>
      <c r="F1686" s="129">
        <f>IFERROR(__xludf.DUMMYFUNCTION("""COMPUTED_VALUE"""),43759.0)</f>
        <v>43759</v>
      </c>
      <c r="G1686" s="154"/>
      <c r="H1686" s="131">
        <f>IFERROR(__xludf.DUMMYFUNCTION("""COMPUTED_VALUE"""),535282.0)</f>
        <v>535282</v>
      </c>
      <c r="I1686" s="144" t="str">
        <f>IFERROR(__xludf.DUMMYFUNCTION("""COMPUTED_VALUE"""),"10/19")</f>
        <v>10/19</v>
      </c>
      <c r="J1686" s="129">
        <f>IFERROR(__xludf.DUMMYFUNCTION("""COMPUTED_VALUE"""),43775.0)</f>
        <v>43775</v>
      </c>
      <c r="K1686" s="133">
        <f>IFERROR(__xludf.DUMMYFUNCTION("""COMPUTED_VALUE"""),23.0)</f>
        <v>23</v>
      </c>
      <c r="L1686" s="133">
        <f>IFERROR(__xludf.DUMMYFUNCTION("""COMPUTED_VALUE"""),16.0)</f>
        <v>16</v>
      </c>
      <c r="M1686" s="133">
        <f>IFERROR(__xludf.DUMMYFUNCTION("""COMPUTED_VALUE"""),39.0)</f>
        <v>39</v>
      </c>
      <c r="N1686" s="152" t="str">
        <f>IFERROR(__xludf.DUMMYFUNCTION("""COMPUTED_VALUE"""),"Model 3 LR AWD")</f>
        <v>Model 3 LR AWD</v>
      </c>
      <c r="O1686" s="152" t="str">
        <f>IFERROR(__xludf.DUMMYFUNCTION("""COMPUTED_VALUE"""),"Red Multi-Coat")</f>
        <v>Red Multi-Coat</v>
      </c>
      <c r="P1686" s="153" t="str">
        <f>IFERROR(__xludf.DUMMYFUNCTION("""COMPUTED_VALUE"""),"18 inch Aero")</f>
        <v>18 inch Aero</v>
      </c>
      <c r="Q1686" s="152" t="str">
        <f>IFERROR(__xludf.DUMMYFUNCTION("""COMPUTED_VALUE"""),"White seats")</f>
        <v>White seats</v>
      </c>
      <c r="R1686" s="149" t="str">
        <f>IFERROR(__xludf.DUMMYFUNCTION("""COMPUTED_VALUE"""),"Full Self-Driving")</f>
        <v>Full Self-Driving</v>
      </c>
      <c r="S1686" s="149"/>
      <c r="T1686" s="145"/>
      <c r="U1686" s="145"/>
      <c r="V1686" s="145"/>
      <c r="W1686" s="145"/>
      <c r="X1686" s="137" t="str">
        <f>IFERROR(__xludf.DUMMYFUNCTION("""COMPUTED_VALUE"""),"Very Good")</f>
        <v>Very Good</v>
      </c>
      <c r="Y1686" s="138" t="str">
        <f>IFERROR(__xludf.DUMMYFUNCTION("""COMPUTED_VALUE"""),"Excellent")</f>
        <v>Excellent</v>
      </c>
      <c r="Z1686" s="138" t="str">
        <f>IFERROR(__xludf.DUMMYFUNCTION("""COMPUTED_VALUE"""),"Fair")</f>
        <v>Fair</v>
      </c>
      <c r="AA1686" s="138" t="str">
        <f>IFERROR(__xludf.DUMMYFUNCTION("""COMPUTED_VALUE"""),"Fair")</f>
        <v>Fair</v>
      </c>
      <c r="AB1686" s="138" t="str">
        <f>IFERROR(__xludf.DUMMYFUNCTION("""COMPUTED_VALUE"""),"Excellent")</f>
        <v>Excellent</v>
      </c>
      <c r="AC1686" s="139">
        <f>IFERROR(__xludf.DUMMYFUNCTION("""COMPUTED_VALUE"""),0.0)</f>
        <v>0</v>
      </c>
      <c r="AD1686" s="139">
        <f>IFERROR(__xludf.DUMMYFUNCTION("""COMPUTED_VALUE"""),0.0)</f>
        <v>0</v>
      </c>
      <c r="AE1686" s="139">
        <f>IFERROR(__xludf.DUMMYFUNCTION("""COMPUTED_VALUE"""),0.0)</f>
        <v>0</v>
      </c>
      <c r="AF1686" s="140"/>
      <c r="AG1686" s="145"/>
      <c r="AH1686" s="157">
        <f>IFERROR(__xludf.DUMMYFUNCTION("""COMPUTED_VALUE"""),43777.60658332176)</f>
        <v>43777.60658</v>
      </c>
      <c r="AI1686" s="138"/>
      <c r="AJ1686" s="138"/>
      <c r="AK1686" s="138"/>
      <c r="AL1686" s="142"/>
    </row>
    <row r="1687" ht="20.25" customHeight="1">
      <c r="A1687" s="155" t="str">
        <f>IFERROR(__xludf.DUMMYFUNCTION("""COMPUTED_VALUE"""),"bidgly")</f>
        <v>bidgly</v>
      </c>
      <c r="B1687" s="149" t="str">
        <f>IFERROR(__xludf.DUMMYFUNCTION("""COMPUTED_VALUE"""),"Menlo Park")</f>
        <v>Menlo Park</v>
      </c>
      <c r="C1687" s="149" t="str">
        <f>IFERROR(__xludf.DUMMYFUNCTION("""COMPUTED_VALUE"""),"CA")</f>
        <v>CA</v>
      </c>
      <c r="D1687" s="149" t="str">
        <f>IFERROR(__xludf.DUMMYFUNCTION("""COMPUTED_VALUE"""),"USA")</f>
        <v>USA</v>
      </c>
      <c r="E1687" s="156">
        <f>IFERROR(__xludf.DUMMYFUNCTION("""COMPUTED_VALUE"""),43733.0)</f>
        <v>43733</v>
      </c>
      <c r="F1687" s="129">
        <f>IFERROR(__xludf.DUMMYFUNCTION("""COMPUTED_VALUE"""),43734.0)</f>
        <v>43734</v>
      </c>
      <c r="G1687" s="154"/>
      <c r="H1687" s="131">
        <f>IFERROR(__xludf.DUMMYFUNCTION("""COMPUTED_VALUE"""),497855.0)</f>
        <v>497855</v>
      </c>
      <c r="I1687" s="132"/>
      <c r="J1687" s="129">
        <f>IFERROR(__xludf.DUMMYFUNCTION("""COMPUTED_VALUE"""),43734.0)</f>
        <v>43734</v>
      </c>
      <c r="K1687" s="133">
        <f>IFERROR(__xludf.DUMMYFUNCTION("""COMPUTED_VALUE"""),1.0)</f>
        <v>1</v>
      </c>
      <c r="L1687" s="133">
        <f>IFERROR(__xludf.DUMMYFUNCTION("""COMPUTED_VALUE"""),0.0)</f>
        <v>0</v>
      </c>
      <c r="M1687" s="133">
        <f>IFERROR(__xludf.DUMMYFUNCTION("""COMPUTED_VALUE"""),1.0)</f>
        <v>1</v>
      </c>
      <c r="N1687" s="152" t="str">
        <f>IFERROR(__xludf.DUMMYFUNCTION("""COMPUTED_VALUE"""),"Model 3 LR AWD")</f>
        <v>Model 3 LR AWD</v>
      </c>
      <c r="O1687" s="152" t="str">
        <f>IFERROR(__xludf.DUMMYFUNCTION("""COMPUTED_VALUE"""),"Deep Blue Metallic")</f>
        <v>Deep Blue Metallic</v>
      </c>
      <c r="P1687" s="153" t="str">
        <f>IFERROR(__xludf.DUMMYFUNCTION("""COMPUTED_VALUE"""),"19 inch Sport")</f>
        <v>19 inch Sport</v>
      </c>
      <c r="Q1687" s="152" t="str">
        <f>IFERROR(__xludf.DUMMYFUNCTION("""COMPUTED_VALUE"""),"Black seats")</f>
        <v>Black seats</v>
      </c>
      <c r="R1687" s="150" t="str">
        <f>IFERROR(__xludf.DUMMYFUNCTION("""COMPUTED_VALUE"""),"Full Self-Driving")</f>
        <v>Full Self-Driving</v>
      </c>
      <c r="S1687" s="150"/>
      <c r="T1687" s="136"/>
      <c r="U1687" s="136"/>
      <c r="V1687" s="136"/>
      <c r="W1687" s="136"/>
      <c r="X1687" s="137" t="str">
        <f>IFERROR(__xludf.DUMMYFUNCTION("""COMPUTED_VALUE"""),"Excellent")</f>
        <v>Excellent</v>
      </c>
      <c r="Y1687" s="138" t="str">
        <f>IFERROR(__xludf.DUMMYFUNCTION("""COMPUTED_VALUE"""),"Excellent")</f>
        <v>Excellent</v>
      </c>
      <c r="Z1687" s="138" t="str">
        <f>IFERROR(__xludf.DUMMYFUNCTION("""COMPUTED_VALUE"""),"Excellent")</f>
        <v>Excellent</v>
      </c>
      <c r="AA1687" s="138" t="str">
        <f>IFERROR(__xludf.DUMMYFUNCTION("""COMPUTED_VALUE"""),"Excellent")</f>
        <v>Excellent</v>
      </c>
      <c r="AB1687" s="138" t="str">
        <f>IFERROR(__xludf.DUMMYFUNCTION("""COMPUTED_VALUE"""),"Good")</f>
        <v>Good</v>
      </c>
      <c r="AC1687" s="139">
        <f>IFERROR(__xludf.DUMMYFUNCTION("""COMPUTED_VALUE"""),0.0)</f>
        <v>0</v>
      </c>
      <c r="AD1687" s="139">
        <f>IFERROR(__xludf.DUMMYFUNCTION("""COMPUTED_VALUE"""),0.0)</f>
        <v>0</v>
      </c>
      <c r="AE1687" s="139">
        <f>IFERROR(__xludf.DUMMYFUNCTION("""COMPUTED_VALUE"""),0.0)</f>
        <v>0</v>
      </c>
      <c r="AF1687" s="140"/>
      <c r="AG1687" s="136"/>
      <c r="AH1687" s="157">
        <f>IFERROR(__xludf.DUMMYFUNCTION("""COMPUTED_VALUE"""),43825.939534756944)</f>
        <v>43825.93953</v>
      </c>
      <c r="AI1687" s="138"/>
      <c r="AJ1687" s="138"/>
      <c r="AK1687" s="138"/>
      <c r="AL1687" s="142"/>
    </row>
    <row r="1688" ht="20.25" customHeight="1">
      <c r="A1688" s="155" t="str">
        <f>IFERROR(__xludf.DUMMYFUNCTION("""COMPUTED_VALUE"""),"MMcKay")</f>
        <v>MMcKay</v>
      </c>
      <c r="B1688" s="149"/>
      <c r="C1688" s="149" t="str">
        <f>IFERROR(__xludf.DUMMYFUNCTION("""COMPUTED_VALUE"""),"FL")</f>
        <v>FL</v>
      </c>
      <c r="D1688" s="149" t="str">
        <f>IFERROR(__xludf.DUMMYFUNCTION("""COMPUTED_VALUE"""),"USA")</f>
        <v>USA</v>
      </c>
      <c r="E1688" s="156">
        <f>IFERROR(__xludf.DUMMYFUNCTION("""COMPUTED_VALUE"""),43731.0)</f>
        <v>43731</v>
      </c>
      <c r="F1688" s="129">
        <f>IFERROR(__xludf.DUMMYFUNCTION("""COMPUTED_VALUE"""),43732.0)</f>
        <v>43732</v>
      </c>
      <c r="G1688" s="154"/>
      <c r="H1688" s="131">
        <f>IFERROR(__xludf.DUMMYFUNCTION("""COMPUTED_VALUE"""),525355.0)</f>
        <v>525355</v>
      </c>
      <c r="I1688" s="144" t="str">
        <f>IFERROR(__xludf.DUMMYFUNCTION("""COMPUTED_VALUE"""),"09/19")</f>
        <v>09/19</v>
      </c>
      <c r="J1688" s="129">
        <f>IFERROR(__xludf.DUMMYFUNCTION("""COMPUTED_VALUE"""),43740.0)</f>
        <v>43740</v>
      </c>
      <c r="K1688" s="133">
        <f>IFERROR(__xludf.DUMMYFUNCTION("""COMPUTED_VALUE"""),1.0)</f>
        <v>1</v>
      </c>
      <c r="L1688" s="133">
        <f>IFERROR(__xludf.DUMMYFUNCTION("""COMPUTED_VALUE"""),8.0)</f>
        <v>8</v>
      </c>
      <c r="M1688" s="133">
        <f>IFERROR(__xludf.DUMMYFUNCTION("""COMPUTED_VALUE"""),9.0)</f>
        <v>9</v>
      </c>
      <c r="N1688" s="152" t="str">
        <f>IFERROR(__xludf.DUMMYFUNCTION("""COMPUTED_VALUE"""),"Model 3 LR AWD")</f>
        <v>Model 3 LR AWD</v>
      </c>
      <c r="O1688" s="152" t="str">
        <f>IFERROR(__xludf.DUMMYFUNCTION("""COMPUTED_VALUE"""),"Midnight Silver Metallic")</f>
        <v>Midnight Silver Metallic</v>
      </c>
      <c r="P1688" s="153" t="str">
        <f>IFERROR(__xludf.DUMMYFUNCTION("""COMPUTED_VALUE"""),"19 inch Sport")</f>
        <v>19 inch Sport</v>
      </c>
      <c r="Q1688" s="152" t="str">
        <f>IFERROR(__xludf.DUMMYFUNCTION("""COMPUTED_VALUE"""),"Black seats")</f>
        <v>Black seats</v>
      </c>
      <c r="R1688" s="149" t="str">
        <f>IFERROR(__xludf.DUMMYFUNCTION("""COMPUTED_VALUE"""),"Full Self-Driving")</f>
        <v>Full Self-Driving</v>
      </c>
      <c r="S1688" s="149"/>
      <c r="T1688" s="145"/>
      <c r="U1688" s="145"/>
      <c r="V1688" s="145"/>
      <c r="W1688" s="145"/>
      <c r="X1688" s="137" t="str">
        <f>IFERROR(__xludf.DUMMYFUNCTION("""COMPUTED_VALUE"""),"Excellent")</f>
        <v>Excellent</v>
      </c>
      <c r="Y1688" s="138" t="str">
        <f>IFERROR(__xludf.DUMMYFUNCTION("""COMPUTED_VALUE"""),"Excellent")</f>
        <v>Excellent</v>
      </c>
      <c r="Z1688" s="138" t="str">
        <f>IFERROR(__xludf.DUMMYFUNCTION("""COMPUTED_VALUE"""),"Excellent")</f>
        <v>Excellent</v>
      </c>
      <c r="AA1688" s="138" t="str">
        <f>IFERROR(__xludf.DUMMYFUNCTION("""COMPUTED_VALUE"""),"Very Good")</f>
        <v>Very Good</v>
      </c>
      <c r="AB1688" s="138" t="str">
        <f>IFERROR(__xludf.DUMMYFUNCTION("""COMPUTED_VALUE"""),"Excellent")</f>
        <v>Excellent</v>
      </c>
      <c r="AC1688" s="139"/>
      <c r="AD1688" s="139"/>
      <c r="AE1688" s="139"/>
      <c r="AF1688" s="140"/>
      <c r="AG1688" s="145" t="str">
        <f>IFERROR(__xludf.DUMMYFUNCTION("""COMPUTED_VALUE"""),"VIN Discovered in Tesla Website Source code")</f>
        <v>VIN Discovered in Tesla Website Source code</v>
      </c>
      <c r="AH1688" s="157">
        <f>IFERROR(__xludf.DUMMYFUNCTION("""COMPUTED_VALUE"""),43739.42731746528)</f>
        <v>43739.42732</v>
      </c>
      <c r="AI1688" s="138"/>
      <c r="AJ1688" s="138"/>
      <c r="AK1688" s="138"/>
      <c r="AL1688" s="142"/>
    </row>
    <row r="1689" ht="20.25" customHeight="1">
      <c r="A1689" s="155" t="str">
        <f>IFERROR(__xludf.DUMMYFUNCTION("""COMPUTED_VALUE"""),"metaclass")</f>
        <v>metaclass</v>
      </c>
      <c r="B1689" s="149" t="str">
        <f>IFERROR(__xludf.DUMMYFUNCTION("""COMPUTED_VALUE"""),"San Jose")</f>
        <v>San Jose</v>
      </c>
      <c r="C1689" s="149" t="str">
        <f>IFERROR(__xludf.DUMMYFUNCTION("""COMPUTED_VALUE"""),"CA")</f>
        <v>CA</v>
      </c>
      <c r="D1689" s="149" t="str">
        <f>IFERROR(__xludf.DUMMYFUNCTION("""COMPUTED_VALUE"""),"USA")</f>
        <v>USA</v>
      </c>
      <c r="E1689" s="156">
        <f>IFERROR(__xludf.DUMMYFUNCTION("""COMPUTED_VALUE"""),43728.0)</f>
        <v>43728</v>
      </c>
      <c r="F1689" s="129">
        <f>IFERROR(__xludf.DUMMYFUNCTION("""COMPUTED_VALUE"""),43734.0)</f>
        <v>43734</v>
      </c>
      <c r="G1689" s="154"/>
      <c r="H1689" s="131">
        <f>IFERROR(__xludf.DUMMYFUNCTION("""COMPUTED_VALUE"""),485855.0)</f>
        <v>485855</v>
      </c>
      <c r="I1689" s="132" t="str">
        <f>IFERROR(__xludf.DUMMYFUNCTION("""COMPUTED_VALUE"""),"09/19")</f>
        <v>09/19</v>
      </c>
      <c r="J1689" s="129">
        <f>IFERROR(__xludf.DUMMYFUNCTION("""COMPUTED_VALUE"""),43736.0)</f>
        <v>43736</v>
      </c>
      <c r="K1689" s="133">
        <f>IFERROR(__xludf.DUMMYFUNCTION("""COMPUTED_VALUE"""),6.0)</f>
        <v>6</v>
      </c>
      <c r="L1689" s="133">
        <f>IFERROR(__xludf.DUMMYFUNCTION("""COMPUTED_VALUE"""),2.0)</f>
        <v>2</v>
      </c>
      <c r="M1689" s="133">
        <f>IFERROR(__xludf.DUMMYFUNCTION("""COMPUTED_VALUE"""),8.0)</f>
        <v>8</v>
      </c>
      <c r="N1689" s="152" t="str">
        <f>IFERROR(__xludf.DUMMYFUNCTION("""COMPUTED_VALUE"""),"Model 3 SR+")</f>
        <v>Model 3 SR+</v>
      </c>
      <c r="O1689" s="152" t="str">
        <f>IFERROR(__xludf.DUMMYFUNCTION("""COMPUTED_VALUE"""),"Pearl White Multi-Coat")</f>
        <v>Pearl White Multi-Coat</v>
      </c>
      <c r="P1689" s="153" t="str">
        <f>IFERROR(__xludf.DUMMYFUNCTION("""COMPUTED_VALUE"""),"18 inch Aero")</f>
        <v>18 inch Aero</v>
      </c>
      <c r="Q1689" s="152" t="str">
        <f>IFERROR(__xludf.DUMMYFUNCTION("""COMPUTED_VALUE"""),"Black seats")</f>
        <v>Black seats</v>
      </c>
      <c r="R1689" s="150" t="str">
        <f>IFERROR(__xludf.DUMMYFUNCTION("""COMPUTED_VALUE"""),"Autopilot")</f>
        <v>Autopilot</v>
      </c>
      <c r="S1689" s="150"/>
      <c r="T1689" s="136"/>
      <c r="U1689" s="136"/>
      <c r="V1689" s="136"/>
      <c r="W1689" s="136"/>
      <c r="X1689" s="137" t="str">
        <f>IFERROR(__xludf.DUMMYFUNCTION("""COMPUTED_VALUE"""),"Very Good")</f>
        <v>Very Good</v>
      </c>
      <c r="Y1689" s="138" t="str">
        <f>IFERROR(__xludf.DUMMYFUNCTION("""COMPUTED_VALUE"""),"Excellent")</f>
        <v>Excellent</v>
      </c>
      <c r="Z1689" s="138" t="str">
        <f>IFERROR(__xludf.DUMMYFUNCTION("""COMPUTED_VALUE"""),"Excellent")</f>
        <v>Excellent</v>
      </c>
      <c r="AA1689" s="138" t="str">
        <f>IFERROR(__xludf.DUMMYFUNCTION("""COMPUTED_VALUE"""),"Excellent")</f>
        <v>Excellent</v>
      </c>
      <c r="AB1689" s="138" t="str">
        <f>IFERROR(__xludf.DUMMYFUNCTION("""COMPUTED_VALUE"""),"Excellent")</f>
        <v>Excellent</v>
      </c>
      <c r="AC1689" s="139"/>
      <c r="AD1689" s="139"/>
      <c r="AE1689" s="139"/>
      <c r="AF1689" s="140"/>
      <c r="AG1689" s="136"/>
      <c r="AH1689" s="157">
        <f>IFERROR(__xludf.DUMMYFUNCTION("""COMPUTED_VALUE"""),43740.57259777778)</f>
        <v>43740.5726</v>
      </c>
      <c r="AI1689" s="138"/>
      <c r="AJ1689" s="138"/>
      <c r="AK1689" s="138"/>
      <c r="AL1689" s="142"/>
    </row>
    <row r="1690" ht="20.25" customHeight="1">
      <c r="A1690" s="155" t="str">
        <f>IFERROR(__xludf.DUMMYFUNCTION("""COMPUTED_VALUE"""),"nsblue")</f>
        <v>nsblue</v>
      </c>
      <c r="B1690" s="150" t="str">
        <f>IFERROR(__xludf.DUMMYFUNCTION("""COMPUTED_VALUE"""),"Yarmouth")</f>
        <v>Yarmouth</v>
      </c>
      <c r="C1690" s="149" t="str">
        <f>IFERROR(__xludf.DUMMYFUNCTION("""COMPUTED_VALUE"""),"NS")</f>
        <v>NS</v>
      </c>
      <c r="D1690" s="149" t="str">
        <f>IFERROR(__xludf.DUMMYFUNCTION("""COMPUTED_VALUE"""),"Canada")</f>
        <v>Canada</v>
      </c>
      <c r="E1690" s="156">
        <f>IFERROR(__xludf.DUMMYFUNCTION("""COMPUTED_VALUE"""),43728.0)</f>
        <v>43728</v>
      </c>
      <c r="F1690" s="129">
        <f>IFERROR(__xludf.DUMMYFUNCTION("""COMPUTED_VALUE"""),43759.0)</f>
        <v>43759</v>
      </c>
      <c r="G1690" s="154"/>
      <c r="H1690" s="131">
        <f>IFERROR(__xludf.DUMMYFUNCTION("""COMPUTED_VALUE"""),522535.0)</f>
        <v>522535</v>
      </c>
      <c r="I1690" s="144" t="str">
        <f>IFERROR(__xludf.DUMMYFUNCTION("""COMPUTED_VALUE"""),"10/19")</f>
        <v>10/19</v>
      </c>
      <c r="J1690" s="129">
        <f>IFERROR(__xludf.DUMMYFUNCTION("""COMPUTED_VALUE"""),43781.0)</f>
        <v>43781</v>
      </c>
      <c r="K1690" s="133">
        <f>IFERROR(__xludf.DUMMYFUNCTION("""COMPUTED_VALUE"""),31.0)</f>
        <v>31</v>
      </c>
      <c r="L1690" s="133">
        <f>IFERROR(__xludf.DUMMYFUNCTION("""COMPUTED_VALUE"""),22.0)</f>
        <v>22</v>
      </c>
      <c r="M1690" s="133">
        <f>IFERROR(__xludf.DUMMYFUNCTION("""COMPUTED_VALUE"""),53.0)</f>
        <v>53</v>
      </c>
      <c r="N1690" s="152" t="str">
        <f>IFERROR(__xludf.DUMMYFUNCTION("""COMPUTED_VALUE"""),"Model 3 LR AWD")</f>
        <v>Model 3 LR AWD</v>
      </c>
      <c r="O1690" s="152" t="str">
        <f>IFERROR(__xludf.DUMMYFUNCTION("""COMPUTED_VALUE"""),"Midnight Silver Metallic")</f>
        <v>Midnight Silver Metallic</v>
      </c>
      <c r="P1690" s="153" t="str">
        <f>IFERROR(__xludf.DUMMYFUNCTION("""COMPUTED_VALUE"""),"18 inch Aero")</f>
        <v>18 inch Aero</v>
      </c>
      <c r="Q1690" s="152" t="str">
        <f>IFERROR(__xludf.DUMMYFUNCTION("""COMPUTED_VALUE"""),"Black seats")</f>
        <v>Black seats</v>
      </c>
      <c r="R1690" s="149" t="str">
        <f>IFERROR(__xludf.DUMMYFUNCTION("""COMPUTED_VALUE"""),"Full Self-Driving")</f>
        <v>Full Self-Driving</v>
      </c>
      <c r="S1690" s="149"/>
      <c r="T1690" s="145"/>
      <c r="U1690" s="145"/>
      <c r="V1690" s="136"/>
      <c r="W1690" s="136"/>
      <c r="X1690" s="137" t="str">
        <f>IFERROR(__xludf.DUMMYFUNCTION("""COMPUTED_VALUE"""),"Very Good")</f>
        <v>Very Good</v>
      </c>
      <c r="Y1690" s="138" t="str">
        <f>IFERROR(__xludf.DUMMYFUNCTION("""COMPUTED_VALUE"""),"Excellent")</f>
        <v>Excellent</v>
      </c>
      <c r="Z1690" s="138" t="str">
        <f>IFERROR(__xludf.DUMMYFUNCTION("""COMPUTED_VALUE"""),"Excellent")</f>
        <v>Excellent</v>
      </c>
      <c r="AA1690" s="138" t="str">
        <f>IFERROR(__xludf.DUMMYFUNCTION("""COMPUTED_VALUE"""),"Excellent")</f>
        <v>Excellent</v>
      </c>
      <c r="AB1690" s="138" t="str">
        <f>IFERROR(__xludf.DUMMYFUNCTION("""COMPUTED_VALUE"""),"Excellent")</f>
        <v>Excellent</v>
      </c>
      <c r="AC1690" s="139"/>
      <c r="AD1690" s="139"/>
      <c r="AE1690" s="139"/>
      <c r="AF1690" s="140"/>
      <c r="AG1690" s="136" t="str">
        <f>IFERROR(__xludf.DUMMYFUNCTION("""COMPUTED_VALUE"""),"VIN from Source Code")</f>
        <v>VIN from Source Code</v>
      </c>
      <c r="AH1690" s="157">
        <f>IFERROR(__xludf.DUMMYFUNCTION("""COMPUTED_VALUE"""),43781.697856226856)</f>
        <v>43781.69786</v>
      </c>
      <c r="AI1690" s="138"/>
      <c r="AJ1690" s="138"/>
      <c r="AK1690" s="138"/>
      <c r="AL1690" s="142"/>
    </row>
    <row r="1691" ht="20.25" customHeight="1">
      <c r="A1691" s="155" t="str">
        <f>IFERROR(__xludf.DUMMYFUNCTION("""COMPUTED_VALUE"""),"devaughn")</f>
        <v>devaughn</v>
      </c>
      <c r="B1691" s="150" t="str">
        <f>IFERROR(__xludf.DUMMYFUNCTION("""COMPUTED_VALUE"""),"Los Angeles")</f>
        <v>Los Angeles</v>
      </c>
      <c r="C1691" s="150" t="str">
        <f>IFERROR(__xludf.DUMMYFUNCTION("""COMPUTED_VALUE"""),"CA")</f>
        <v>CA</v>
      </c>
      <c r="D1691" s="150" t="str">
        <f>IFERROR(__xludf.DUMMYFUNCTION("""COMPUTED_VALUE"""),"USA")</f>
        <v>USA</v>
      </c>
      <c r="E1691" s="156">
        <f>IFERROR(__xludf.DUMMYFUNCTION("""COMPUTED_VALUE"""),43727.0)</f>
        <v>43727</v>
      </c>
      <c r="F1691" s="129">
        <f>IFERROR(__xludf.DUMMYFUNCTION("""COMPUTED_VALUE"""),43730.0)</f>
        <v>43730</v>
      </c>
      <c r="G1691" s="154"/>
      <c r="H1691" s="131">
        <f>IFERROR(__xludf.DUMMYFUNCTION("""COMPUTED_VALUE"""),517855.0)</f>
        <v>517855</v>
      </c>
      <c r="I1691" s="132" t="str">
        <f>IFERROR(__xludf.DUMMYFUNCTION("""COMPUTED_VALUE"""),"09/19")</f>
        <v>09/19</v>
      </c>
      <c r="J1691" s="129">
        <f>IFERROR(__xludf.DUMMYFUNCTION("""COMPUTED_VALUE"""),43733.0)</f>
        <v>43733</v>
      </c>
      <c r="K1691" s="133">
        <f>IFERROR(__xludf.DUMMYFUNCTION("""COMPUTED_VALUE"""),3.0)</f>
        <v>3</v>
      </c>
      <c r="L1691" s="133">
        <f>IFERROR(__xludf.DUMMYFUNCTION("""COMPUTED_VALUE"""),3.0)</f>
        <v>3</v>
      </c>
      <c r="M1691" s="133">
        <f>IFERROR(__xludf.DUMMYFUNCTION("""COMPUTED_VALUE"""),6.0)</f>
        <v>6</v>
      </c>
      <c r="N1691" s="152" t="str">
        <f>IFERROR(__xludf.DUMMYFUNCTION("""COMPUTED_VALUE"""),"Model 3 LR AWD")</f>
        <v>Model 3 LR AWD</v>
      </c>
      <c r="O1691" s="152" t="str">
        <f>IFERROR(__xludf.DUMMYFUNCTION("""COMPUTED_VALUE"""),"Deep Blue Metallic")</f>
        <v>Deep Blue Metallic</v>
      </c>
      <c r="P1691" s="153" t="str">
        <f>IFERROR(__xludf.DUMMYFUNCTION("""COMPUTED_VALUE"""),"19 inch Sport")</f>
        <v>19 inch Sport</v>
      </c>
      <c r="Q1691" s="152" t="str">
        <f>IFERROR(__xludf.DUMMYFUNCTION("""COMPUTED_VALUE"""),"White seats")</f>
        <v>White seats</v>
      </c>
      <c r="R1691" s="150" t="str">
        <f>IFERROR(__xludf.DUMMYFUNCTION("""COMPUTED_VALUE"""),"Full Self-Driving")</f>
        <v>Full Self-Driving</v>
      </c>
      <c r="S1691" s="150"/>
      <c r="T1691" s="145"/>
      <c r="U1691" s="145"/>
      <c r="V1691" s="136"/>
      <c r="W1691" s="136"/>
      <c r="X1691" s="137" t="str">
        <f>IFERROR(__xludf.DUMMYFUNCTION("""COMPUTED_VALUE"""),"Excellent")</f>
        <v>Excellent</v>
      </c>
      <c r="Y1691" s="138" t="str">
        <f>IFERROR(__xludf.DUMMYFUNCTION("""COMPUTED_VALUE"""),"Excellent")</f>
        <v>Excellent</v>
      </c>
      <c r="Z1691" s="138" t="str">
        <f>IFERROR(__xludf.DUMMYFUNCTION("""COMPUTED_VALUE"""),"Very Good")</f>
        <v>Very Good</v>
      </c>
      <c r="AA1691" s="138" t="str">
        <f>IFERROR(__xludf.DUMMYFUNCTION("""COMPUTED_VALUE"""),"Excellent")</f>
        <v>Excellent</v>
      </c>
      <c r="AB1691" s="138" t="str">
        <f>IFERROR(__xludf.DUMMYFUNCTION("""COMPUTED_VALUE"""),"Excellent")</f>
        <v>Excellent</v>
      </c>
      <c r="AC1691" s="139">
        <f>IFERROR(__xludf.DUMMYFUNCTION("""COMPUTED_VALUE"""),0.0)</f>
        <v>0</v>
      </c>
      <c r="AD1691" s="139">
        <f>IFERROR(__xludf.DUMMYFUNCTION("""COMPUTED_VALUE"""),0.0)</f>
        <v>0</v>
      </c>
      <c r="AE1691" s="139">
        <f>IFERROR(__xludf.DUMMYFUNCTION("""COMPUTED_VALUE"""),0.0)</f>
        <v>0</v>
      </c>
      <c r="AF1691" s="140"/>
      <c r="AG1691" s="136"/>
      <c r="AH1691" s="157">
        <f>IFERROR(__xludf.DUMMYFUNCTION("""COMPUTED_VALUE"""),43740.29177003472)</f>
        <v>43740.29177</v>
      </c>
      <c r="AI1691" s="138"/>
      <c r="AJ1691" s="138"/>
      <c r="AK1691" s="138"/>
      <c r="AL1691" s="142"/>
    </row>
    <row r="1692" ht="20.25" customHeight="1">
      <c r="A1692" s="155" t="str">
        <f>IFERROR(__xludf.DUMMYFUNCTION("""COMPUTED_VALUE"""),"whzkds")</f>
        <v>whzkds</v>
      </c>
      <c r="B1692" s="149" t="str">
        <f>IFERROR(__xludf.DUMMYFUNCTION("""COMPUTED_VALUE"""),"Portland")</f>
        <v>Portland</v>
      </c>
      <c r="C1692" s="149" t="str">
        <f>IFERROR(__xludf.DUMMYFUNCTION("""COMPUTED_VALUE"""),"OR")</f>
        <v>OR</v>
      </c>
      <c r="D1692" s="149" t="str">
        <f>IFERROR(__xludf.DUMMYFUNCTION("""COMPUTED_VALUE"""),"USA")</f>
        <v>USA</v>
      </c>
      <c r="E1692" s="156">
        <f>IFERROR(__xludf.DUMMYFUNCTION("""COMPUTED_VALUE"""),43726.0)</f>
        <v>43726</v>
      </c>
      <c r="F1692" s="129">
        <f>IFERROR(__xludf.DUMMYFUNCTION("""COMPUTED_VALUE"""),43729.0)</f>
        <v>43729</v>
      </c>
      <c r="G1692" s="154"/>
      <c r="H1692" s="131">
        <f>IFERROR(__xludf.DUMMYFUNCTION("""COMPUTED_VALUE"""),529655.0)</f>
        <v>529655</v>
      </c>
      <c r="I1692" s="132"/>
      <c r="J1692" s="129">
        <f>IFERROR(__xludf.DUMMYFUNCTION("""COMPUTED_VALUE"""),43734.0)</f>
        <v>43734</v>
      </c>
      <c r="K1692" s="133">
        <f>IFERROR(__xludf.DUMMYFUNCTION("""COMPUTED_VALUE"""),3.0)</f>
        <v>3</v>
      </c>
      <c r="L1692" s="133">
        <f>IFERROR(__xludf.DUMMYFUNCTION("""COMPUTED_VALUE"""),5.0)</f>
        <v>5</v>
      </c>
      <c r="M1692" s="133">
        <f>IFERROR(__xludf.DUMMYFUNCTION("""COMPUTED_VALUE"""),8.0)</f>
        <v>8</v>
      </c>
      <c r="N1692" s="152" t="str">
        <f>IFERROR(__xludf.DUMMYFUNCTION("""COMPUTED_VALUE"""),"Model 3 Performance")</f>
        <v>Model 3 Performance</v>
      </c>
      <c r="O1692" s="152" t="str">
        <f>IFERROR(__xludf.DUMMYFUNCTION("""COMPUTED_VALUE"""),"Midnight Silver Metallic")</f>
        <v>Midnight Silver Metallic</v>
      </c>
      <c r="P1692" s="153" t="str">
        <f>IFERROR(__xludf.DUMMYFUNCTION("""COMPUTED_VALUE"""),"20 inch Sport")</f>
        <v>20 inch Sport</v>
      </c>
      <c r="Q1692" s="152" t="str">
        <f>IFERROR(__xludf.DUMMYFUNCTION("""COMPUTED_VALUE"""),"White seats")</f>
        <v>White seats</v>
      </c>
      <c r="R1692" s="150" t="str">
        <f>IFERROR(__xludf.DUMMYFUNCTION("""COMPUTED_VALUE"""),"Full Self-Driving")</f>
        <v>Full Self-Driving</v>
      </c>
      <c r="S1692" s="150"/>
      <c r="T1692" s="136"/>
      <c r="U1692" s="136"/>
      <c r="V1692" s="136"/>
      <c r="W1692" s="136"/>
      <c r="X1692" s="137" t="str">
        <f>IFERROR(__xludf.DUMMYFUNCTION("""COMPUTED_VALUE"""),"Excellent")</f>
        <v>Excellent</v>
      </c>
      <c r="Y1692" s="138" t="str">
        <f>IFERROR(__xludf.DUMMYFUNCTION("""COMPUTED_VALUE"""),"Very Good")</f>
        <v>Very Good</v>
      </c>
      <c r="Z1692" s="138" t="str">
        <f>IFERROR(__xludf.DUMMYFUNCTION("""COMPUTED_VALUE"""),"Very Good")</f>
        <v>Very Good</v>
      </c>
      <c r="AA1692" s="138" t="str">
        <f>IFERROR(__xludf.DUMMYFUNCTION("""COMPUTED_VALUE"""),"Excellent")</f>
        <v>Excellent</v>
      </c>
      <c r="AB1692" s="138" t="str">
        <f>IFERROR(__xludf.DUMMYFUNCTION("""COMPUTED_VALUE"""),"Excellent")</f>
        <v>Excellent</v>
      </c>
      <c r="AC1692" s="139">
        <f>IFERROR(__xludf.DUMMYFUNCTION("""COMPUTED_VALUE"""),2.0)</f>
        <v>2</v>
      </c>
      <c r="AD1692" s="139"/>
      <c r="AE1692" s="139"/>
      <c r="AF1692" s="140"/>
      <c r="AG1692" s="136"/>
      <c r="AH1692" s="157">
        <f>IFERROR(__xludf.DUMMYFUNCTION("""COMPUTED_VALUE"""),43735.3485418287)</f>
        <v>43735.34854</v>
      </c>
      <c r="AI1692" s="138"/>
      <c r="AJ1692" s="138"/>
      <c r="AK1692" s="138"/>
      <c r="AL1692" s="142"/>
    </row>
    <row r="1693" ht="20.25" customHeight="1">
      <c r="A1693" s="155" t="str">
        <f>IFERROR(__xludf.DUMMYFUNCTION("""COMPUTED_VALUE"""),"sstdk")</f>
        <v>sstdk</v>
      </c>
      <c r="B1693" s="149" t="str">
        <f>IFERROR(__xludf.DUMMYFUNCTION("""COMPUTED_VALUE"""),"Copenhagen, Denmark")</f>
        <v>Copenhagen, Denmark</v>
      </c>
      <c r="C1693" s="149"/>
      <c r="D1693" s="149" t="str">
        <f>IFERROR(__xludf.DUMMYFUNCTION("""COMPUTED_VALUE"""),"Other (include country together with city)")</f>
        <v>Other (include country together with city)</v>
      </c>
      <c r="E1693" s="156">
        <f>IFERROR(__xludf.DUMMYFUNCTION("""COMPUTED_VALUE"""),43724.0)</f>
        <v>43724</v>
      </c>
      <c r="F1693" s="129">
        <f>IFERROR(__xludf.DUMMYFUNCTION("""COMPUTED_VALUE"""),43732.0)</f>
        <v>43732</v>
      </c>
      <c r="G1693" s="154"/>
      <c r="H1693" s="131"/>
      <c r="I1693" s="144"/>
      <c r="J1693" s="129">
        <f>IFERROR(__xludf.DUMMYFUNCTION("""COMPUTED_VALUE"""),43735.0)</f>
        <v>43735</v>
      </c>
      <c r="K1693" s="133">
        <f>IFERROR(__xludf.DUMMYFUNCTION("""COMPUTED_VALUE"""),8.0)</f>
        <v>8</v>
      </c>
      <c r="L1693" s="133">
        <f>IFERROR(__xludf.DUMMYFUNCTION("""COMPUTED_VALUE"""),3.0)</f>
        <v>3</v>
      </c>
      <c r="M1693" s="133">
        <f>IFERROR(__xludf.DUMMYFUNCTION("""COMPUTED_VALUE"""),11.0)</f>
        <v>11</v>
      </c>
      <c r="N1693" s="152" t="str">
        <f>IFERROR(__xludf.DUMMYFUNCTION("""COMPUTED_VALUE"""),"Model 3 SR+")</f>
        <v>Model 3 SR+</v>
      </c>
      <c r="O1693" s="152" t="str">
        <f>IFERROR(__xludf.DUMMYFUNCTION("""COMPUTED_VALUE"""),"Deep Blue Metallic")</f>
        <v>Deep Blue Metallic</v>
      </c>
      <c r="P1693" s="153" t="str">
        <f>IFERROR(__xludf.DUMMYFUNCTION("""COMPUTED_VALUE"""),"19 inch Sport")</f>
        <v>19 inch Sport</v>
      </c>
      <c r="Q1693" s="152" t="str">
        <f>IFERROR(__xludf.DUMMYFUNCTION("""COMPUTED_VALUE"""),"White seats")</f>
        <v>White seats</v>
      </c>
      <c r="R1693" s="149" t="str">
        <f>IFERROR(__xludf.DUMMYFUNCTION("""COMPUTED_VALUE"""),"Autopilot")</f>
        <v>Autopilot</v>
      </c>
      <c r="S1693" s="149"/>
      <c r="T1693" s="145"/>
      <c r="U1693" s="145"/>
      <c r="V1693" s="145"/>
      <c r="W1693" s="145"/>
      <c r="X1693" s="137" t="str">
        <f>IFERROR(__xludf.DUMMYFUNCTION("""COMPUTED_VALUE"""),"Very Good")</f>
        <v>Very Good</v>
      </c>
      <c r="Y1693" s="138" t="str">
        <f>IFERROR(__xludf.DUMMYFUNCTION("""COMPUTED_VALUE"""),"Excellent")</f>
        <v>Excellent</v>
      </c>
      <c r="Z1693" s="138" t="str">
        <f>IFERROR(__xludf.DUMMYFUNCTION("""COMPUTED_VALUE"""),"Excellent")</f>
        <v>Excellent</v>
      </c>
      <c r="AA1693" s="138" t="str">
        <f>IFERROR(__xludf.DUMMYFUNCTION("""COMPUTED_VALUE"""),"Excellent")</f>
        <v>Excellent</v>
      </c>
      <c r="AB1693" s="138" t="str">
        <f>IFERROR(__xludf.DUMMYFUNCTION("""COMPUTED_VALUE"""),"Excellent")</f>
        <v>Excellent</v>
      </c>
      <c r="AC1693" s="139"/>
      <c r="AD1693" s="139"/>
      <c r="AE1693" s="139"/>
      <c r="AF1693" s="140"/>
      <c r="AG1693" s="145" t="str">
        <f>IFERROR(__xludf.DUMMYFUNCTION("""COMPUTED_VALUE"""),"Inventory car")</f>
        <v>Inventory car</v>
      </c>
      <c r="AH1693" s="157">
        <f>IFERROR(__xludf.DUMMYFUNCTION("""COMPUTED_VALUE"""),43737.56030685185)</f>
        <v>43737.56031</v>
      </c>
      <c r="AI1693" s="138"/>
      <c r="AJ1693" s="138"/>
      <c r="AK1693" s="138"/>
      <c r="AL1693" s="142"/>
    </row>
    <row r="1694" ht="20.25" customHeight="1">
      <c r="A1694" s="155" t="str">
        <f>IFERROR(__xludf.DUMMYFUNCTION("""COMPUTED_VALUE"""),"pbuyyala")</f>
        <v>pbuyyala</v>
      </c>
      <c r="B1694" s="149" t="str">
        <f>IFERROR(__xludf.DUMMYFUNCTION("""COMPUTED_VALUE"""),"Los Angeles")</f>
        <v>Los Angeles</v>
      </c>
      <c r="C1694" s="149" t="str">
        <f>IFERROR(__xludf.DUMMYFUNCTION("""COMPUTED_VALUE"""),"CA")</f>
        <v>CA</v>
      </c>
      <c r="D1694" s="149" t="str">
        <f>IFERROR(__xludf.DUMMYFUNCTION("""COMPUTED_VALUE"""),"USA")</f>
        <v>USA</v>
      </c>
      <c r="E1694" s="156">
        <f>IFERROR(__xludf.DUMMYFUNCTION("""COMPUTED_VALUE"""),43723.0)</f>
        <v>43723</v>
      </c>
      <c r="F1694" s="129">
        <f>IFERROR(__xludf.DUMMYFUNCTION("""COMPUTED_VALUE"""),43723.0)</f>
        <v>43723</v>
      </c>
      <c r="G1694" s="154"/>
      <c r="H1694" s="131">
        <f>IFERROR(__xludf.DUMMYFUNCTION("""COMPUTED_VALUE"""),530003.0)</f>
        <v>530003</v>
      </c>
      <c r="I1694" s="144"/>
      <c r="J1694" s="129">
        <f>IFERROR(__xludf.DUMMYFUNCTION("""COMPUTED_VALUE"""),43730.0)</f>
        <v>43730</v>
      </c>
      <c r="K1694" s="133">
        <f>IFERROR(__xludf.DUMMYFUNCTION("""COMPUTED_VALUE"""),0.0)</f>
        <v>0</v>
      </c>
      <c r="L1694" s="133">
        <f>IFERROR(__xludf.DUMMYFUNCTION("""COMPUTED_VALUE"""),7.0)</f>
        <v>7</v>
      </c>
      <c r="M1694" s="133">
        <f>IFERROR(__xludf.DUMMYFUNCTION("""COMPUTED_VALUE"""),7.0)</f>
        <v>7</v>
      </c>
      <c r="N1694" s="152" t="str">
        <f>IFERROR(__xludf.DUMMYFUNCTION("""COMPUTED_VALUE"""),"Model 3 Performance")</f>
        <v>Model 3 Performance</v>
      </c>
      <c r="O1694" s="152" t="str">
        <f>IFERROR(__xludf.DUMMYFUNCTION("""COMPUTED_VALUE"""),"Red Multi-Coat")</f>
        <v>Red Multi-Coat</v>
      </c>
      <c r="P1694" s="153" t="str">
        <f>IFERROR(__xludf.DUMMYFUNCTION("""COMPUTED_VALUE"""),"19 inch Sport")</f>
        <v>19 inch Sport</v>
      </c>
      <c r="Q1694" s="152" t="str">
        <f>IFERROR(__xludf.DUMMYFUNCTION("""COMPUTED_VALUE"""),"Black seats")</f>
        <v>Black seats</v>
      </c>
      <c r="R1694" s="149" t="str">
        <f>IFERROR(__xludf.DUMMYFUNCTION("""COMPUTED_VALUE"""),"Full Self-Driving")</f>
        <v>Full Self-Driving</v>
      </c>
      <c r="S1694" s="149"/>
      <c r="T1694" s="136"/>
      <c r="U1694" s="136"/>
      <c r="V1694" s="136"/>
      <c r="W1694" s="136"/>
      <c r="X1694" s="137" t="str">
        <f>IFERROR(__xludf.DUMMYFUNCTION("""COMPUTED_VALUE"""),"Excellent")</f>
        <v>Excellent</v>
      </c>
      <c r="Y1694" s="138" t="str">
        <f>IFERROR(__xludf.DUMMYFUNCTION("""COMPUTED_VALUE"""),"Excellent")</f>
        <v>Excellent</v>
      </c>
      <c r="Z1694" s="138" t="str">
        <f>IFERROR(__xludf.DUMMYFUNCTION("""COMPUTED_VALUE"""),"Excellent")</f>
        <v>Excellent</v>
      </c>
      <c r="AA1694" s="138" t="str">
        <f>IFERROR(__xludf.DUMMYFUNCTION("""COMPUTED_VALUE"""),"Good")</f>
        <v>Good</v>
      </c>
      <c r="AB1694" s="138" t="str">
        <f>IFERROR(__xludf.DUMMYFUNCTION("""COMPUTED_VALUE"""),"Excellent")</f>
        <v>Excellent</v>
      </c>
      <c r="AC1694" s="139">
        <f>IFERROR(__xludf.DUMMYFUNCTION("""COMPUTED_VALUE"""),0.0)</f>
        <v>0</v>
      </c>
      <c r="AD1694" s="139">
        <f>IFERROR(__xludf.DUMMYFUNCTION("""COMPUTED_VALUE"""),0.0)</f>
        <v>0</v>
      </c>
      <c r="AE1694" s="139">
        <f>IFERROR(__xludf.DUMMYFUNCTION("""COMPUTED_VALUE"""),0.0)</f>
        <v>0</v>
      </c>
      <c r="AF1694" s="140"/>
      <c r="AG1694" s="136"/>
      <c r="AH1694" s="157">
        <f>IFERROR(__xludf.DUMMYFUNCTION("""COMPUTED_VALUE"""),43733.56371743056)</f>
        <v>43733.56372</v>
      </c>
      <c r="AI1694" s="138"/>
      <c r="AJ1694" s="138"/>
      <c r="AK1694" s="138"/>
      <c r="AL1694" s="142"/>
    </row>
    <row r="1695" ht="20.25" customHeight="1">
      <c r="A1695" s="155" t="str">
        <f>IFERROR(__xludf.DUMMYFUNCTION("""COMPUTED_VALUE"""),"Dark Matter - VA")</f>
        <v>Dark Matter - VA</v>
      </c>
      <c r="B1695" s="149" t="str">
        <f>IFERROR(__xludf.DUMMYFUNCTION("""COMPUTED_VALUE"""),"Waynesboro")</f>
        <v>Waynesboro</v>
      </c>
      <c r="C1695" s="149" t="str">
        <f>IFERROR(__xludf.DUMMYFUNCTION("""COMPUTED_VALUE"""),"VA")</f>
        <v>VA</v>
      </c>
      <c r="D1695" s="149" t="str">
        <f>IFERROR(__xludf.DUMMYFUNCTION("""COMPUTED_VALUE"""),"USA")</f>
        <v>USA</v>
      </c>
      <c r="E1695" s="156">
        <f>IFERROR(__xludf.DUMMYFUNCTION("""COMPUTED_VALUE"""),43721.0)</f>
        <v>43721</v>
      </c>
      <c r="F1695" s="129">
        <f>IFERROR(__xludf.DUMMYFUNCTION("""COMPUTED_VALUE"""),43721.0)</f>
        <v>43721</v>
      </c>
      <c r="G1695" s="154"/>
      <c r="H1695" s="131">
        <f>IFERROR(__xludf.DUMMYFUNCTION("""COMPUTED_VALUE"""),432305.0)</f>
        <v>432305</v>
      </c>
      <c r="I1695" s="144" t="str">
        <f>IFERROR(__xludf.DUMMYFUNCTION("""COMPUTED_VALUE"""),"08/19")</f>
        <v>08/19</v>
      </c>
      <c r="J1695" s="129">
        <f>IFERROR(__xludf.DUMMYFUNCTION("""COMPUTED_VALUE"""),43729.0)</f>
        <v>43729</v>
      </c>
      <c r="K1695" s="133">
        <f>IFERROR(__xludf.DUMMYFUNCTION("""COMPUTED_VALUE"""),0.0)</f>
        <v>0</v>
      </c>
      <c r="L1695" s="133">
        <f>IFERROR(__xludf.DUMMYFUNCTION("""COMPUTED_VALUE"""),8.0)</f>
        <v>8</v>
      </c>
      <c r="M1695" s="133">
        <f>IFERROR(__xludf.DUMMYFUNCTION("""COMPUTED_VALUE"""),8.0)</f>
        <v>8</v>
      </c>
      <c r="N1695" s="152" t="str">
        <f>IFERROR(__xludf.DUMMYFUNCTION("""COMPUTED_VALUE"""),"Model 3 Performance")</f>
        <v>Model 3 Performance</v>
      </c>
      <c r="O1695" s="152" t="str">
        <f>IFERROR(__xludf.DUMMYFUNCTION("""COMPUTED_VALUE"""),"Solid Black")</f>
        <v>Solid Black</v>
      </c>
      <c r="P1695" s="153" t="str">
        <f>IFERROR(__xludf.DUMMYFUNCTION("""COMPUTED_VALUE"""),"18 inch Aero")</f>
        <v>18 inch Aero</v>
      </c>
      <c r="Q1695" s="152" t="str">
        <f>IFERROR(__xludf.DUMMYFUNCTION("""COMPUTED_VALUE"""),"Black seats")</f>
        <v>Black seats</v>
      </c>
      <c r="R1695" s="149" t="str">
        <f>IFERROR(__xludf.DUMMYFUNCTION("""COMPUTED_VALUE"""),"Full Self-Driving")</f>
        <v>Full Self-Driving</v>
      </c>
      <c r="S1695" s="149"/>
      <c r="T1695" s="145"/>
      <c r="U1695" s="145"/>
      <c r="V1695" s="136"/>
      <c r="W1695" s="145"/>
      <c r="X1695" s="137" t="str">
        <f>IFERROR(__xludf.DUMMYFUNCTION("""COMPUTED_VALUE"""),"Excellent")</f>
        <v>Excellent</v>
      </c>
      <c r="Y1695" s="138" t="str">
        <f>IFERROR(__xludf.DUMMYFUNCTION("""COMPUTED_VALUE"""),"Very Good")</f>
        <v>Very Good</v>
      </c>
      <c r="Z1695" s="138" t="str">
        <f>IFERROR(__xludf.DUMMYFUNCTION("""COMPUTED_VALUE"""),"Fair")</f>
        <v>Fair</v>
      </c>
      <c r="AA1695" s="138" t="str">
        <f>IFERROR(__xludf.DUMMYFUNCTION("""COMPUTED_VALUE"""),"Excellent")</f>
        <v>Excellent</v>
      </c>
      <c r="AB1695" s="138" t="str">
        <f>IFERROR(__xludf.DUMMYFUNCTION("""COMPUTED_VALUE"""),"Very Good")</f>
        <v>Very Good</v>
      </c>
      <c r="AC1695" s="139">
        <f>IFERROR(__xludf.DUMMYFUNCTION("""COMPUTED_VALUE"""),4.0)</f>
        <v>4</v>
      </c>
      <c r="AD1695" s="139">
        <f>IFERROR(__xludf.DUMMYFUNCTION("""COMPUTED_VALUE"""),2.0)</f>
        <v>2</v>
      </c>
      <c r="AE1695" s="139">
        <f>IFERROR(__xludf.DUMMYFUNCTION("""COMPUTED_VALUE"""),0.0)</f>
        <v>0</v>
      </c>
      <c r="AF1695" s="140"/>
      <c r="AG1695" s="145"/>
      <c r="AH1695" s="157">
        <f>IFERROR(__xludf.DUMMYFUNCTION("""COMPUTED_VALUE"""),43956.685415925924)</f>
        <v>43956.68542</v>
      </c>
      <c r="AI1695" s="138"/>
      <c r="AJ1695" s="138"/>
      <c r="AK1695" s="138"/>
      <c r="AL1695" s="142"/>
    </row>
    <row r="1696" ht="20.25" customHeight="1">
      <c r="A1696" s="155" t="str">
        <f>IFERROR(__xludf.DUMMYFUNCTION("""COMPUTED_VALUE"""),"clegg")</f>
        <v>clegg</v>
      </c>
      <c r="B1696" s="149" t="str">
        <f>IFERROR(__xludf.DUMMYFUNCTION("""COMPUTED_VALUE"""),"Nelson")</f>
        <v>Nelson</v>
      </c>
      <c r="C1696" s="149" t="str">
        <f>IFERROR(__xludf.DUMMYFUNCTION("""COMPUTED_VALUE"""),"BC")</f>
        <v>BC</v>
      </c>
      <c r="D1696" s="149" t="str">
        <f>IFERROR(__xludf.DUMMYFUNCTION("""COMPUTED_VALUE"""),"Canada")</f>
        <v>Canada</v>
      </c>
      <c r="E1696" s="156">
        <f>IFERROR(__xludf.DUMMYFUNCTION("""COMPUTED_VALUE"""),43720.0)</f>
        <v>43720</v>
      </c>
      <c r="F1696" s="129">
        <f>IFERROR(__xludf.DUMMYFUNCTION("""COMPUTED_VALUE"""),43721.0)</f>
        <v>43721</v>
      </c>
      <c r="G1696" s="154"/>
      <c r="H1696" s="131">
        <f>IFERROR(__xludf.DUMMYFUNCTION("""COMPUTED_VALUE"""),517918.0)</f>
        <v>517918</v>
      </c>
      <c r="I1696" s="144" t="str">
        <f>IFERROR(__xludf.DUMMYFUNCTION("""COMPUTED_VALUE"""),"09/19")</f>
        <v>09/19</v>
      </c>
      <c r="J1696" s="129">
        <f>IFERROR(__xludf.DUMMYFUNCTION("""COMPUTED_VALUE"""),43728.0)</f>
        <v>43728</v>
      </c>
      <c r="K1696" s="133">
        <f>IFERROR(__xludf.DUMMYFUNCTION("""COMPUTED_VALUE"""),1.0)</f>
        <v>1</v>
      </c>
      <c r="L1696" s="133">
        <f>IFERROR(__xludf.DUMMYFUNCTION("""COMPUTED_VALUE"""),7.0)</f>
        <v>7</v>
      </c>
      <c r="M1696" s="133">
        <f>IFERROR(__xludf.DUMMYFUNCTION("""COMPUTED_VALUE"""),8.0)</f>
        <v>8</v>
      </c>
      <c r="N1696" s="152" t="str">
        <f>IFERROR(__xludf.DUMMYFUNCTION("""COMPUTED_VALUE"""),"Model 3 SR+")</f>
        <v>Model 3 SR+</v>
      </c>
      <c r="O1696" s="152" t="str">
        <f>IFERROR(__xludf.DUMMYFUNCTION("""COMPUTED_VALUE"""),"Pearl White Multi-Coat")</f>
        <v>Pearl White Multi-Coat</v>
      </c>
      <c r="P1696" s="153" t="str">
        <f>IFERROR(__xludf.DUMMYFUNCTION("""COMPUTED_VALUE"""),"18 inch Aero")</f>
        <v>18 inch Aero</v>
      </c>
      <c r="Q1696" s="152" t="str">
        <f>IFERROR(__xludf.DUMMYFUNCTION("""COMPUTED_VALUE"""),"Black seats")</f>
        <v>Black seats</v>
      </c>
      <c r="R1696" s="149" t="str">
        <f>IFERROR(__xludf.DUMMYFUNCTION("""COMPUTED_VALUE"""),"Autopilot")</f>
        <v>Autopilot</v>
      </c>
      <c r="S1696" s="149"/>
      <c r="T1696" s="145"/>
      <c r="U1696" s="145"/>
      <c r="V1696" s="145"/>
      <c r="W1696" s="136"/>
      <c r="X1696" s="137" t="str">
        <f>IFERROR(__xludf.DUMMYFUNCTION("""COMPUTED_VALUE"""),"Excellent")</f>
        <v>Excellent</v>
      </c>
      <c r="Y1696" s="138" t="str">
        <f>IFERROR(__xludf.DUMMYFUNCTION("""COMPUTED_VALUE"""),"Excellent")</f>
        <v>Excellent</v>
      </c>
      <c r="Z1696" s="138" t="str">
        <f>IFERROR(__xludf.DUMMYFUNCTION("""COMPUTED_VALUE"""),"Excellent")</f>
        <v>Excellent</v>
      </c>
      <c r="AA1696" s="138" t="str">
        <f>IFERROR(__xludf.DUMMYFUNCTION("""COMPUTED_VALUE"""),"Good")</f>
        <v>Good</v>
      </c>
      <c r="AB1696" s="138" t="str">
        <f>IFERROR(__xludf.DUMMYFUNCTION("""COMPUTED_VALUE"""),"Excellent")</f>
        <v>Excellent</v>
      </c>
      <c r="AC1696" s="139">
        <f>IFERROR(__xludf.DUMMYFUNCTION("""COMPUTED_VALUE"""),1.0)</f>
        <v>1</v>
      </c>
      <c r="AD1696" s="139"/>
      <c r="AE1696" s="139"/>
      <c r="AF1696" s="140"/>
      <c r="AG1696" s="136"/>
      <c r="AH1696" s="157">
        <f>IFERROR(__xludf.DUMMYFUNCTION("""COMPUTED_VALUE"""),43736.840887743056)</f>
        <v>43736.84089</v>
      </c>
      <c r="AI1696" s="138"/>
      <c r="AJ1696" s="138"/>
      <c r="AK1696" s="138"/>
      <c r="AL1696" s="142"/>
    </row>
    <row r="1697" ht="20.25" customHeight="1">
      <c r="A1697" s="155" t="str">
        <f>IFERROR(__xludf.DUMMYFUNCTION("""COMPUTED_VALUE"""),"INIKKOR")</f>
        <v>INIKKOR</v>
      </c>
      <c r="B1697" s="149"/>
      <c r="C1697" s="149" t="str">
        <f>IFERROR(__xludf.DUMMYFUNCTION("""COMPUTED_VALUE"""),"NH")</f>
        <v>NH</v>
      </c>
      <c r="D1697" s="149" t="str">
        <f>IFERROR(__xludf.DUMMYFUNCTION("""COMPUTED_VALUE"""),"USA")</f>
        <v>USA</v>
      </c>
      <c r="E1697" s="156">
        <f>IFERROR(__xludf.DUMMYFUNCTION("""COMPUTED_VALUE"""),43720.0)</f>
        <v>43720</v>
      </c>
      <c r="F1697" s="129">
        <f>IFERROR(__xludf.DUMMYFUNCTION("""COMPUTED_VALUE"""),43725.0)</f>
        <v>43725</v>
      </c>
      <c r="G1697" s="154"/>
      <c r="H1697" s="131">
        <f>IFERROR(__xludf.DUMMYFUNCTION("""COMPUTED_VALUE"""),530202.0)</f>
        <v>530202</v>
      </c>
      <c r="I1697" s="144" t="str">
        <f>IFERROR(__xludf.DUMMYFUNCTION("""COMPUTED_VALUE"""),"09/19")</f>
        <v>09/19</v>
      </c>
      <c r="J1697" s="129">
        <f>IFERROR(__xludf.DUMMYFUNCTION("""COMPUTED_VALUE"""),43738.0)</f>
        <v>43738</v>
      </c>
      <c r="K1697" s="133">
        <f>IFERROR(__xludf.DUMMYFUNCTION("""COMPUTED_VALUE"""),5.0)</f>
        <v>5</v>
      </c>
      <c r="L1697" s="133">
        <f>IFERROR(__xludf.DUMMYFUNCTION("""COMPUTED_VALUE"""),13.0)</f>
        <v>13</v>
      </c>
      <c r="M1697" s="133">
        <f>IFERROR(__xludf.DUMMYFUNCTION("""COMPUTED_VALUE"""),18.0)</f>
        <v>18</v>
      </c>
      <c r="N1697" s="152" t="str">
        <f>IFERROR(__xludf.DUMMYFUNCTION("""COMPUTED_VALUE"""),"Model 3 Performance")</f>
        <v>Model 3 Performance</v>
      </c>
      <c r="O1697" s="152" t="str">
        <f>IFERROR(__xludf.DUMMYFUNCTION("""COMPUTED_VALUE"""),"Pearl White Multi-Coat")</f>
        <v>Pearl White Multi-Coat</v>
      </c>
      <c r="P1697" s="153" t="str">
        <f>IFERROR(__xludf.DUMMYFUNCTION("""COMPUTED_VALUE"""),"19 inch Sport")</f>
        <v>19 inch Sport</v>
      </c>
      <c r="Q1697" s="152" t="str">
        <f>IFERROR(__xludf.DUMMYFUNCTION("""COMPUTED_VALUE"""),"Black seats")</f>
        <v>Black seats</v>
      </c>
      <c r="R1697" s="149" t="str">
        <f>IFERROR(__xludf.DUMMYFUNCTION("""COMPUTED_VALUE"""),"Autopilot")</f>
        <v>Autopilot</v>
      </c>
      <c r="S1697" s="149"/>
      <c r="T1697" s="145"/>
      <c r="U1697" s="145"/>
      <c r="V1697" s="145"/>
      <c r="W1697" s="145"/>
      <c r="X1697" s="137" t="str">
        <f>IFERROR(__xludf.DUMMYFUNCTION("""COMPUTED_VALUE"""),"Excellent")</f>
        <v>Excellent</v>
      </c>
      <c r="Y1697" s="138" t="str">
        <f>IFERROR(__xludf.DUMMYFUNCTION("""COMPUTED_VALUE"""),"Excellent")</f>
        <v>Excellent</v>
      </c>
      <c r="Z1697" s="138" t="str">
        <f>IFERROR(__xludf.DUMMYFUNCTION("""COMPUTED_VALUE"""),"Excellent")</f>
        <v>Excellent</v>
      </c>
      <c r="AA1697" s="138" t="str">
        <f>IFERROR(__xludf.DUMMYFUNCTION("""COMPUTED_VALUE"""),"Fair")</f>
        <v>Fair</v>
      </c>
      <c r="AB1697" s="138" t="str">
        <f>IFERROR(__xludf.DUMMYFUNCTION("""COMPUTED_VALUE"""),"Fair")</f>
        <v>Fair</v>
      </c>
      <c r="AC1697" s="139">
        <f>IFERROR(__xludf.DUMMYFUNCTION("""COMPUTED_VALUE"""),1.0)</f>
        <v>1</v>
      </c>
      <c r="AD1697" s="139">
        <f>IFERROR(__xludf.DUMMYFUNCTION("""COMPUTED_VALUE"""),2.0)</f>
        <v>2</v>
      </c>
      <c r="AE1697" s="139">
        <f>IFERROR(__xludf.DUMMYFUNCTION("""COMPUTED_VALUE"""),0.0)</f>
        <v>0</v>
      </c>
      <c r="AF1697" s="140"/>
      <c r="AG1697" s="145" t="str">
        <f>IFERROR(__xludf.DUMMYFUNCTION("""COMPUTED_VALUE"""),"19"" road force on one tire was 18lb.  yellow")</f>
        <v>19" road force on one tire was 18lb.  yellow</v>
      </c>
      <c r="AH1697" s="157">
        <f>IFERROR(__xludf.DUMMYFUNCTION("""COMPUTED_VALUE"""),43764.846062986115)</f>
        <v>43764.84606</v>
      </c>
      <c r="AI1697" s="138"/>
      <c r="AJ1697" s="138"/>
      <c r="AK1697" s="138"/>
      <c r="AL1697" s="142"/>
    </row>
    <row r="1698" ht="20.25" customHeight="1">
      <c r="A1698" s="155" t="str">
        <f>IFERROR(__xludf.DUMMYFUNCTION("""COMPUTED_VALUE"""),"Jerry G")</f>
        <v>Jerry G</v>
      </c>
      <c r="B1698" s="149" t="str">
        <f>IFERROR(__xludf.DUMMYFUNCTION("""COMPUTED_VALUE"""),"Toronto")</f>
        <v>Toronto</v>
      </c>
      <c r="C1698" s="149" t="str">
        <f>IFERROR(__xludf.DUMMYFUNCTION("""COMPUTED_VALUE"""),"ON")</f>
        <v>ON</v>
      </c>
      <c r="D1698" s="149" t="str">
        <f>IFERROR(__xludf.DUMMYFUNCTION("""COMPUTED_VALUE"""),"Canada")</f>
        <v>Canada</v>
      </c>
      <c r="E1698" s="156">
        <f>IFERROR(__xludf.DUMMYFUNCTION("""COMPUTED_VALUE"""),43720.0)</f>
        <v>43720</v>
      </c>
      <c r="F1698" s="129">
        <f>IFERROR(__xludf.DUMMYFUNCTION("""COMPUTED_VALUE"""),43720.0)</f>
        <v>43720</v>
      </c>
      <c r="G1698" s="154"/>
      <c r="H1698" s="131">
        <f>IFERROR(__xludf.DUMMYFUNCTION("""COMPUTED_VALUE"""),415191.0)</f>
        <v>415191</v>
      </c>
      <c r="I1698" s="132" t="str">
        <f>IFERROR(__xludf.DUMMYFUNCTION("""COMPUTED_VALUE"""),"09/19")</f>
        <v>09/19</v>
      </c>
      <c r="J1698" s="129">
        <f>IFERROR(__xludf.DUMMYFUNCTION("""COMPUTED_VALUE"""),43725.0)</f>
        <v>43725</v>
      </c>
      <c r="K1698" s="133">
        <f>IFERROR(__xludf.DUMMYFUNCTION("""COMPUTED_VALUE"""),0.0)</f>
        <v>0</v>
      </c>
      <c r="L1698" s="133">
        <f>IFERROR(__xludf.DUMMYFUNCTION("""COMPUTED_VALUE"""),5.0)</f>
        <v>5</v>
      </c>
      <c r="M1698" s="133">
        <f>IFERROR(__xludf.DUMMYFUNCTION("""COMPUTED_VALUE"""),5.0)</f>
        <v>5</v>
      </c>
      <c r="N1698" s="152" t="str">
        <f>IFERROR(__xludf.DUMMYFUNCTION("""COMPUTED_VALUE"""),"Model 3 LR AWD")</f>
        <v>Model 3 LR AWD</v>
      </c>
      <c r="O1698" s="152" t="str">
        <f>IFERROR(__xludf.DUMMYFUNCTION("""COMPUTED_VALUE"""),"Pearl White Multi-Coat")</f>
        <v>Pearl White Multi-Coat</v>
      </c>
      <c r="P1698" s="153" t="str">
        <f>IFERROR(__xludf.DUMMYFUNCTION("""COMPUTED_VALUE"""),"19 inch Sport")</f>
        <v>19 inch Sport</v>
      </c>
      <c r="Q1698" s="152" t="str">
        <f>IFERROR(__xludf.DUMMYFUNCTION("""COMPUTED_VALUE"""),"Black seats")</f>
        <v>Black seats</v>
      </c>
      <c r="R1698" s="150" t="str">
        <f>IFERROR(__xludf.DUMMYFUNCTION("""COMPUTED_VALUE"""),"Full Self-Driving")</f>
        <v>Full Self-Driving</v>
      </c>
      <c r="S1698" s="150"/>
      <c r="T1698" s="136"/>
      <c r="U1698" s="136"/>
      <c r="V1698" s="136"/>
      <c r="W1698" s="136"/>
      <c r="X1698" s="137" t="str">
        <f>IFERROR(__xludf.DUMMYFUNCTION("""COMPUTED_VALUE"""),"Excellent")</f>
        <v>Excellent</v>
      </c>
      <c r="Y1698" s="138" t="str">
        <f>IFERROR(__xludf.DUMMYFUNCTION("""COMPUTED_VALUE"""),"Excellent")</f>
        <v>Excellent</v>
      </c>
      <c r="Z1698" s="138" t="str">
        <f>IFERROR(__xludf.DUMMYFUNCTION("""COMPUTED_VALUE"""),"Excellent")</f>
        <v>Excellent</v>
      </c>
      <c r="AA1698" s="138" t="str">
        <f>IFERROR(__xludf.DUMMYFUNCTION("""COMPUTED_VALUE"""),"Excellent")</f>
        <v>Excellent</v>
      </c>
      <c r="AB1698" s="138" t="str">
        <f>IFERROR(__xludf.DUMMYFUNCTION("""COMPUTED_VALUE"""),"Excellent")</f>
        <v>Excellent</v>
      </c>
      <c r="AC1698" s="139">
        <f>IFERROR(__xludf.DUMMYFUNCTION("""COMPUTED_VALUE"""),0.0)</f>
        <v>0</v>
      </c>
      <c r="AD1698" s="139">
        <f>IFERROR(__xludf.DUMMYFUNCTION("""COMPUTED_VALUE"""),0.0)</f>
        <v>0</v>
      </c>
      <c r="AE1698" s="139">
        <f>IFERROR(__xludf.DUMMYFUNCTION("""COMPUTED_VALUE"""),0.0)</f>
        <v>0</v>
      </c>
      <c r="AF1698" s="140"/>
      <c r="AG1698" s="136" t="str">
        <f>IFERROR(__xludf.DUMMYFUNCTION("""COMPUTED_VALUE"""),"Extremely satisfied, no concerns whatsoever!")</f>
        <v>Extremely satisfied, no concerns whatsoever!</v>
      </c>
      <c r="AH1698" s="157">
        <f>IFERROR(__xludf.DUMMYFUNCTION("""COMPUTED_VALUE"""),43851.73146173611)</f>
        <v>43851.73146</v>
      </c>
      <c r="AI1698" s="138"/>
      <c r="AJ1698" s="138"/>
      <c r="AK1698" s="138"/>
      <c r="AL1698" s="142"/>
    </row>
    <row r="1699" ht="20.25" customHeight="1">
      <c r="A1699" s="155" t="str">
        <f>IFERROR(__xludf.DUMMYFUNCTION("""COMPUTED_VALUE"""),"mattster98")</f>
        <v>mattster98</v>
      </c>
      <c r="B1699" s="149" t="str">
        <f>IFERROR(__xludf.DUMMYFUNCTION("""COMPUTED_VALUE"""),"Atlanta")</f>
        <v>Atlanta</v>
      </c>
      <c r="C1699" s="149" t="str">
        <f>IFERROR(__xludf.DUMMYFUNCTION("""COMPUTED_VALUE"""),"GA")</f>
        <v>GA</v>
      </c>
      <c r="D1699" s="149" t="str">
        <f>IFERROR(__xludf.DUMMYFUNCTION("""COMPUTED_VALUE"""),"USA")</f>
        <v>USA</v>
      </c>
      <c r="E1699" s="156">
        <f>IFERROR(__xludf.DUMMYFUNCTION("""COMPUTED_VALUE"""),43718.0)</f>
        <v>43718</v>
      </c>
      <c r="F1699" s="129">
        <f>IFERROR(__xludf.DUMMYFUNCTION("""COMPUTED_VALUE"""),43719.0)</f>
        <v>43719</v>
      </c>
      <c r="G1699" s="154"/>
      <c r="H1699" s="131">
        <f>IFERROR(__xludf.DUMMYFUNCTION("""COMPUTED_VALUE"""),454755.0)</f>
        <v>454755</v>
      </c>
      <c r="I1699" s="144"/>
      <c r="J1699" s="129">
        <f>IFERROR(__xludf.DUMMYFUNCTION("""COMPUTED_VALUE"""),43725.0)</f>
        <v>43725</v>
      </c>
      <c r="K1699" s="133">
        <f>IFERROR(__xludf.DUMMYFUNCTION("""COMPUTED_VALUE"""),1.0)</f>
        <v>1</v>
      </c>
      <c r="L1699" s="133">
        <f>IFERROR(__xludf.DUMMYFUNCTION("""COMPUTED_VALUE"""),6.0)</f>
        <v>6</v>
      </c>
      <c r="M1699" s="133">
        <f>IFERROR(__xludf.DUMMYFUNCTION("""COMPUTED_VALUE"""),7.0)</f>
        <v>7</v>
      </c>
      <c r="N1699" s="152" t="str">
        <f>IFERROR(__xludf.DUMMYFUNCTION("""COMPUTED_VALUE"""),"Model 3 LR AWD")</f>
        <v>Model 3 LR AWD</v>
      </c>
      <c r="O1699" s="152" t="str">
        <f>IFERROR(__xludf.DUMMYFUNCTION("""COMPUTED_VALUE"""),"Pearl White Multi-Coat")</f>
        <v>Pearl White Multi-Coat</v>
      </c>
      <c r="P1699" s="153" t="str">
        <f>IFERROR(__xludf.DUMMYFUNCTION("""COMPUTED_VALUE"""),"19 inch Sport")</f>
        <v>19 inch Sport</v>
      </c>
      <c r="Q1699" s="152" t="str">
        <f>IFERROR(__xludf.DUMMYFUNCTION("""COMPUTED_VALUE"""),"White seats")</f>
        <v>White seats</v>
      </c>
      <c r="R1699" s="149" t="str">
        <f>IFERROR(__xludf.DUMMYFUNCTION("""COMPUTED_VALUE"""),"Full Self-Driving")</f>
        <v>Full Self-Driving</v>
      </c>
      <c r="S1699" s="149"/>
      <c r="T1699" s="145"/>
      <c r="U1699" s="145"/>
      <c r="V1699" s="145"/>
      <c r="W1699" s="136"/>
      <c r="X1699" s="137" t="str">
        <f>IFERROR(__xludf.DUMMYFUNCTION("""COMPUTED_VALUE"""),"Excellent")</f>
        <v>Excellent</v>
      </c>
      <c r="Y1699" s="138" t="str">
        <f>IFERROR(__xludf.DUMMYFUNCTION("""COMPUTED_VALUE"""),"Excellent")</f>
        <v>Excellent</v>
      </c>
      <c r="Z1699" s="138" t="str">
        <f>IFERROR(__xludf.DUMMYFUNCTION("""COMPUTED_VALUE"""),"Excellent")</f>
        <v>Excellent</v>
      </c>
      <c r="AA1699" s="138" t="str">
        <f>IFERROR(__xludf.DUMMYFUNCTION("""COMPUTED_VALUE"""),"Very Good")</f>
        <v>Very Good</v>
      </c>
      <c r="AB1699" s="138" t="str">
        <f>IFERROR(__xludf.DUMMYFUNCTION("""COMPUTED_VALUE"""),"Excellent")</f>
        <v>Excellent</v>
      </c>
      <c r="AC1699" s="139"/>
      <c r="AD1699" s="139"/>
      <c r="AE1699" s="139"/>
      <c r="AF1699" s="140"/>
      <c r="AG1699" s="136"/>
      <c r="AH1699" s="157">
        <f>IFERROR(__xludf.DUMMYFUNCTION("""COMPUTED_VALUE"""),43726.29789432871)</f>
        <v>43726.29789</v>
      </c>
      <c r="AI1699" s="138"/>
      <c r="AJ1699" s="138"/>
      <c r="AK1699" s="138"/>
      <c r="AL1699" s="142"/>
    </row>
    <row r="1700" ht="20.25" customHeight="1">
      <c r="A1700" s="155" t="str">
        <f>IFERROR(__xludf.DUMMYFUNCTION("""COMPUTED_VALUE"""),"Brraap")</f>
        <v>Brraap</v>
      </c>
      <c r="B1700" s="149" t="str">
        <f>IFERROR(__xludf.DUMMYFUNCTION("""COMPUTED_VALUE"""),"Denver")</f>
        <v>Denver</v>
      </c>
      <c r="C1700" s="149" t="str">
        <f>IFERROR(__xludf.DUMMYFUNCTION("""COMPUTED_VALUE"""),"CO")</f>
        <v>CO</v>
      </c>
      <c r="D1700" s="149" t="str">
        <f>IFERROR(__xludf.DUMMYFUNCTION("""COMPUTED_VALUE"""),"USA")</f>
        <v>USA</v>
      </c>
      <c r="E1700" s="156">
        <f>IFERROR(__xludf.DUMMYFUNCTION("""COMPUTED_VALUE"""),43717.0)</f>
        <v>43717</v>
      </c>
      <c r="F1700" s="129">
        <f>IFERROR(__xludf.DUMMYFUNCTION("""COMPUTED_VALUE"""),43729.0)</f>
        <v>43729</v>
      </c>
      <c r="G1700" s="154"/>
      <c r="H1700" s="131">
        <f>IFERROR(__xludf.DUMMYFUNCTION("""COMPUTED_VALUE"""),514014.0)</f>
        <v>514014</v>
      </c>
      <c r="I1700" s="144"/>
      <c r="J1700" s="129">
        <f>IFERROR(__xludf.DUMMYFUNCTION("""COMPUTED_VALUE"""),43733.0)</f>
        <v>43733</v>
      </c>
      <c r="K1700" s="133">
        <f>IFERROR(__xludf.DUMMYFUNCTION("""COMPUTED_VALUE"""),12.0)</f>
        <v>12</v>
      </c>
      <c r="L1700" s="133">
        <f>IFERROR(__xludf.DUMMYFUNCTION("""COMPUTED_VALUE"""),4.0)</f>
        <v>4</v>
      </c>
      <c r="M1700" s="133">
        <f>IFERROR(__xludf.DUMMYFUNCTION("""COMPUTED_VALUE"""),16.0)</f>
        <v>16</v>
      </c>
      <c r="N1700" s="152" t="str">
        <f>IFERROR(__xludf.DUMMYFUNCTION("""COMPUTED_VALUE"""),"Model 3 Performance")</f>
        <v>Model 3 Performance</v>
      </c>
      <c r="O1700" s="152" t="str">
        <f>IFERROR(__xludf.DUMMYFUNCTION("""COMPUTED_VALUE"""),"Pearl White Multi-Coat")</f>
        <v>Pearl White Multi-Coat</v>
      </c>
      <c r="P1700" s="153" t="str">
        <f>IFERROR(__xludf.DUMMYFUNCTION("""COMPUTED_VALUE"""),"20 inch Sport")</f>
        <v>20 inch Sport</v>
      </c>
      <c r="Q1700" s="152" t="str">
        <f>IFERROR(__xludf.DUMMYFUNCTION("""COMPUTED_VALUE"""),"Black seats")</f>
        <v>Black seats</v>
      </c>
      <c r="R1700" s="149" t="str">
        <f>IFERROR(__xludf.DUMMYFUNCTION("""COMPUTED_VALUE"""),"Autopilot")</f>
        <v>Autopilot</v>
      </c>
      <c r="S1700" s="149"/>
      <c r="T1700" s="145"/>
      <c r="U1700" s="145"/>
      <c r="V1700" s="145"/>
      <c r="W1700" s="145"/>
      <c r="X1700" s="137" t="str">
        <f>IFERROR(__xludf.DUMMYFUNCTION("""COMPUTED_VALUE"""),"Very Good")</f>
        <v>Very Good</v>
      </c>
      <c r="Y1700" s="138" t="str">
        <f>IFERROR(__xludf.DUMMYFUNCTION("""COMPUTED_VALUE"""),"Excellent")</f>
        <v>Excellent</v>
      </c>
      <c r="Z1700" s="138" t="str">
        <f>IFERROR(__xludf.DUMMYFUNCTION("""COMPUTED_VALUE"""),"Excellent")</f>
        <v>Excellent</v>
      </c>
      <c r="AA1700" s="138" t="str">
        <f>IFERROR(__xludf.DUMMYFUNCTION("""COMPUTED_VALUE"""),"Good")</f>
        <v>Good</v>
      </c>
      <c r="AB1700" s="138" t="str">
        <f>IFERROR(__xludf.DUMMYFUNCTION("""COMPUTED_VALUE"""),"Good")</f>
        <v>Good</v>
      </c>
      <c r="AC1700" s="139"/>
      <c r="AD1700" s="139"/>
      <c r="AE1700" s="139"/>
      <c r="AF1700" s="140"/>
      <c r="AG1700" s="145"/>
      <c r="AH1700" s="157">
        <f>IFERROR(__xludf.DUMMYFUNCTION("""COMPUTED_VALUE"""),43736.796388981486)</f>
        <v>43736.79639</v>
      </c>
      <c r="AI1700" s="138"/>
      <c r="AJ1700" s="138"/>
      <c r="AK1700" s="138"/>
      <c r="AL1700" s="142"/>
    </row>
    <row r="1701" ht="20.25" customHeight="1">
      <c r="A1701" s="155" t="str">
        <f>IFERROR(__xludf.DUMMYFUNCTION("""COMPUTED_VALUE"""),"Oliveris")</f>
        <v>Oliveris</v>
      </c>
      <c r="B1701" s="150" t="str">
        <f>IFERROR(__xludf.DUMMYFUNCTION("""COMPUTED_VALUE"""),"Boise")</f>
        <v>Boise</v>
      </c>
      <c r="C1701" s="150" t="str">
        <f>IFERROR(__xludf.DUMMYFUNCTION("""COMPUTED_VALUE"""),"ID")</f>
        <v>ID</v>
      </c>
      <c r="D1701" s="150" t="str">
        <f>IFERROR(__xludf.DUMMYFUNCTION("""COMPUTED_VALUE"""),"USA")</f>
        <v>USA</v>
      </c>
      <c r="E1701" s="156">
        <f>IFERROR(__xludf.DUMMYFUNCTION("""COMPUTED_VALUE"""),43717.0)</f>
        <v>43717</v>
      </c>
      <c r="F1701" s="129">
        <f>IFERROR(__xludf.DUMMYFUNCTION("""COMPUTED_VALUE"""),43718.0)</f>
        <v>43718</v>
      </c>
      <c r="G1701" s="154"/>
      <c r="H1701" s="131">
        <f>IFERROR(__xludf.DUMMYFUNCTION("""COMPUTED_VALUE"""),454381.0)</f>
        <v>454381</v>
      </c>
      <c r="I1701" s="132"/>
      <c r="J1701" s="129">
        <f>IFERROR(__xludf.DUMMYFUNCTION("""COMPUTED_VALUE"""),43725.0)</f>
        <v>43725</v>
      </c>
      <c r="K1701" s="133">
        <f>IFERROR(__xludf.DUMMYFUNCTION("""COMPUTED_VALUE"""),1.0)</f>
        <v>1</v>
      </c>
      <c r="L1701" s="133">
        <f>IFERROR(__xludf.DUMMYFUNCTION("""COMPUTED_VALUE"""),7.0)</f>
        <v>7</v>
      </c>
      <c r="M1701" s="133">
        <f>IFERROR(__xludf.DUMMYFUNCTION("""COMPUTED_VALUE"""),8.0)</f>
        <v>8</v>
      </c>
      <c r="N1701" s="152" t="str">
        <f>IFERROR(__xludf.DUMMYFUNCTION("""COMPUTED_VALUE"""),"Model 3 LR AWD")</f>
        <v>Model 3 LR AWD</v>
      </c>
      <c r="O1701" s="152" t="str">
        <f>IFERROR(__xludf.DUMMYFUNCTION("""COMPUTED_VALUE"""),"Deep Blue Metallic")</f>
        <v>Deep Blue Metallic</v>
      </c>
      <c r="P1701" s="153" t="str">
        <f>IFERROR(__xludf.DUMMYFUNCTION("""COMPUTED_VALUE"""),"18 inch Aero")</f>
        <v>18 inch Aero</v>
      </c>
      <c r="Q1701" s="152" t="str">
        <f>IFERROR(__xludf.DUMMYFUNCTION("""COMPUTED_VALUE"""),"White seats")</f>
        <v>White seats</v>
      </c>
      <c r="R1701" s="150" t="str">
        <f>IFERROR(__xludf.DUMMYFUNCTION("""COMPUTED_VALUE"""),"Autopilot")</f>
        <v>Autopilot</v>
      </c>
      <c r="S1701" s="150"/>
      <c r="T1701" s="136"/>
      <c r="U1701" s="136"/>
      <c r="V1701" s="136"/>
      <c r="W1701" s="136"/>
      <c r="X1701" s="137" t="str">
        <f>IFERROR(__xludf.DUMMYFUNCTION("""COMPUTED_VALUE"""),"Very Good")</f>
        <v>Very Good</v>
      </c>
      <c r="Y1701" s="138" t="str">
        <f>IFERROR(__xludf.DUMMYFUNCTION("""COMPUTED_VALUE"""),"Good")</f>
        <v>Good</v>
      </c>
      <c r="Z1701" s="138" t="str">
        <f>IFERROR(__xludf.DUMMYFUNCTION("""COMPUTED_VALUE"""),"Excellent")</f>
        <v>Excellent</v>
      </c>
      <c r="AA1701" s="138" t="str">
        <f>IFERROR(__xludf.DUMMYFUNCTION("""COMPUTED_VALUE"""),"Poor")</f>
        <v>Poor</v>
      </c>
      <c r="AB1701" s="138" t="str">
        <f>IFERROR(__xludf.DUMMYFUNCTION("""COMPUTED_VALUE"""),"Good")</f>
        <v>Good</v>
      </c>
      <c r="AC1701" s="139"/>
      <c r="AD1701" s="139"/>
      <c r="AE1701" s="139"/>
      <c r="AF1701" s="140"/>
      <c r="AG1701" s="136" t="str">
        <f>IFERROR(__xludf.DUMMYFUNCTION("""COMPUTED_VALUE"""),"Delivery date was never communicated to me. They called when they were an hour away from my home to let me know it was being delivered. ")</f>
        <v>Delivery date was never communicated to me. They called when they were an hour away from my home to let me know it was being delivered. </v>
      </c>
      <c r="AH1701" s="157">
        <f>IFERROR(__xludf.DUMMYFUNCTION("""COMPUTED_VALUE"""),43728.753603055564)</f>
        <v>43728.7536</v>
      </c>
      <c r="AI1701" s="138"/>
      <c r="AJ1701" s="138"/>
      <c r="AK1701" s="138"/>
      <c r="AL1701" s="142"/>
    </row>
    <row r="1702" ht="20.25" customHeight="1">
      <c r="A1702" s="155" t="str">
        <f>IFERROR(__xludf.DUMMYFUNCTION("""COMPUTED_VALUE"""),"CAHE4KA")</f>
        <v>CAHE4KA</v>
      </c>
      <c r="B1702" s="149" t="str">
        <f>IFERROR(__xludf.DUMMYFUNCTION("""COMPUTED_VALUE"""),"Newport Beach")</f>
        <v>Newport Beach</v>
      </c>
      <c r="C1702" s="149" t="str">
        <f>IFERROR(__xludf.DUMMYFUNCTION("""COMPUTED_VALUE"""),"CA")</f>
        <v>CA</v>
      </c>
      <c r="D1702" s="149" t="str">
        <f>IFERROR(__xludf.DUMMYFUNCTION("""COMPUTED_VALUE"""),"USA")</f>
        <v>USA</v>
      </c>
      <c r="E1702" s="156">
        <f>IFERROR(__xludf.DUMMYFUNCTION("""COMPUTED_VALUE"""),43716.0)</f>
        <v>43716</v>
      </c>
      <c r="F1702" s="129">
        <f>IFERROR(__xludf.DUMMYFUNCTION("""COMPUTED_VALUE"""),43720.0)</f>
        <v>43720</v>
      </c>
      <c r="G1702" s="154"/>
      <c r="H1702" s="131">
        <f>IFERROR(__xludf.DUMMYFUNCTION("""COMPUTED_VALUE"""),485055.0)</f>
        <v>485055</v>
      </c>
      <c r="I1702" s="132" t="str">
        <f>IFERROR(__xludf.DUMMYFUNCTION("""COMPUTED_VALUE"""),"09/19")</f>
        <v>09/19</v>
      </c>
      <c r="J1702" s="129">
        <f>IFERROR(__xludf.DUMMYFUNCTION("""COMPUTED_VALUE"""),43722.0)</f>
        <v>43722</v>
      </c>
      <c r="K1702" s="133">
        <f>IFERROR(__xludf.DUMMYFUNCTION("""COMPUTED_VALUE"""),4.0)</f>
        <v>4</v>
      </c>
      <c r="L1702" s="133">
        <f>IFERROR(__xludf.DUMMYFUNCTION("""COMPUTED_VALUE"""),2.0)</f>
        <v>2</v>
      </c>
      <c r="M1702" s="133">
        <f>IFERROR(__xludf.DUMMYFUNCTION("""COMPUTED_VALUE"""),6.0)</f>
        <v>6</v>
      </c>
      <c r="N1702" s="152" t="str">
        <f>IFERROR(__xludf.DUMMYFUNCTION("""COMPUTED_VALUE"""),"Model 3 SR+")</f>
        <v>Model 3 SR+</v>
      </c>
      <c r="O1702" s="152" t="str">
        <f>IFERROR(__xludf.DUMMYFUNCTION("""COMPUTED_VALUE"""),"Pearl White Multi-Coat")</f>
        <v>Pearl White Multi-Coat</v>
      </c>
      <c r="P1702" s="153" t="str">
        <f>IFERROR(__xludf.DUMMYFUNCTION("""COMPUTED_VALUE"""),"18 inch Aero")</f>
        <v>18 inch Aero</v>
      </c>
      <c r="Q1702" s="152" t="str">
        <f>IFERROR(__xludf.DUMMYFUNCTION("""COMPUTED_VALUE"""),"Black seats")</f>
        <v>Black seats</v>
      </c>
      <c r="R1702" s="150" t="str">
        <f>IFERROR(__xludf.DUMMYFUNCTION("""COMPUTED_VALUE"""),"Autopilot")</f>
        <v>Autopilot</v>
      </c>
      <c r="S1702" s="150"/>
      <c r="T1702" s="136"/>
      <c r="U1702" s="136"/>
      <c r="V1702" s="136"/>
      <c r="W1702" s="136"/>
      <c r="X1702" s="137" t="str">
        <f>IFERROR(__xludf.DUMMYFUNCTION("""COMPUTED_VALUE"""),"Very Good")</f>
        <v>Very Good</v>
      </c>
      <c r="Y1702" s="138" t="str">
        <f>IFERROR(__xludf.DUMMYFUNCTION("""COMPUTED_VALUE"""),"Good")</f>
        <v>Good</v>
      </c>
      <c r="Z1702" s="138" t="str">
        <f>IFERROR(__xludf.DUMMYFUNCTION("""COMPUTED_VALUE"""),"Very Good")</f>
        <v>Very Good</v>
      </c>
      <c r="AA1702" s="138" t="str">
        <f>IFERROR(__xludf.DUMMYFUNCTION("""COMPUTED_VALUE"""),"Excellent")</f>
        <v>Excellent</v>
      </c>
      <c r="AB1702" s="138" t="str">
        <f>IFERROR(__xludf.DUMMYFUNCTION("""COMPUTED_VALUE"""),"Excellent")</f>
        <v>Excellent</v>
      </c>
      <c r="AC1702" s="139"/>
      <c r="AD1702" s="139"/>
      <c r="AE1702" s="139"/>
      <c r="AF1702" s="140"/>
      <c r="AG1702" s="136"/>
      <c r="AH1702" s="157">
        <f>IFERROR(__xludf.DUMMYFUNCTION("""COMPUTED_VALUE"""),43730.96123648148)</f>
        <v>43730.96124</v>
      </c>
      <c r="AI1702" s="138"/>
      <c r="AJ1702" s="138"/>
      <c r="AK1702" s="138"/>
      <c r="AL1702" s="142"/>
    </row>
    <row r="1703" ht="20.25" customHeight="1">
      <c r="A1703" s="155" t="str">
        <f>IFERROR(__xludf.DUMMYFUNCTION("""COMPUTED_VALUE"""),"BillsFirstTesla")</f>
        <v>BillsFirstTesla</v>
      </c>
      <c r="B1703" s="149" t="str">
        <f>IFERROR(__xludf.DUMMYFUNCTION("""COMPUTED_VALUE"""),"Baltimore")</f>
        <v>Baltimore</v>
      </c>
      <c r="C1703" s="149" t="str">
        <f>IFERROR(__xludf.DUMMYFUNCTION("""COMPUTED_VALUE"""),"MD")</f>
        <v>MD</v>
      </c>
      <c r="D1703" s="149" t="str">
        <f>IFERROR(__xludf.DUMMYFUNCTION("""COMPUTED_VALUE"""),"USA")</f>
        <v>USA</v>
      </c>
      <c r="E1703" s="156">
        <f>IFERROR(__xludf.DUMMYFUNCTION("""COMPUTED_VALUE"""),43715.0)</f>
        <v>43715</v>
      </c>
      <c r="F1703" s="129">
        <f>IFERROR(__xludf.DUMMYFUNCTION("""COMPUTED_VALUE"""),43719.0)</f>
        <v>43719</v>
      </c>
      <c r="G1703" s="154"/>
      <c r="H1703" s="131">
        <f>IFERROR(__xludf.DUMMYFUNCTION("""COMPUTED_VALUE"""),493651.0)</f>
        <v>493651</v>
      </c>
      <c r="I1703" s="144" t="str">
        <f>IFERROR(__xludf.DUMMYFUNCTION("""COMPUTED_VALUE"""),"09/19")</f>
        <v>09/19</v>
      </c>
      <c r="J1703" s="129">
        <f>IFERROR(__xludf.DUMMYFUNCTION("""COMPUTED_VALUE"""),43721.0)</f>
        <v>43721</v>
      </c>
      <c r="K1703" s="133">
        <f>IFERROR(__xludf.DUMMYFUNCTION("""COMPUTED_VALUE"""),4.0)</f>
        <v>4</v>
      </c>
      <c r="L1703" s="133">
        <f>IFERROR(__xludf.DUMMYFUNCTION("""COMPUTED_VALUE"""),2.0)</f>
        <v>2</v>
      </c>
      <c r="M1703" s="133">
        <f>IFERROR(__xludf.DUMMYFUNCTION("""COMPUTED_VALUE"""),6.0)</f>
        <v>6</v>
      </c>
      <c r="N1703" s="152" t="str">
        <f>IFERROR(__xludf.DUMMYFUNCTION("""COMPUTED_VALUE"""),"Model 3 LR AWD")</f>
        <v>Model 3 LR AWD</v>
      </c>
      <c r="O1703" s="152" t="str">
        <f>IFERROR(__xludf.DUMMYFUNCTION("""COMPUTED_VALUE"""),"Pearl White Multi-Coat")</f>
        <v>Pearl White Multi-Coat</v>
      </c>
      <c r="P1703" s="153" t="str">
        <f>IFERROR(__xludf.DUMMYFUNCTION("""COMPUTED_VALUE"""),"18 inch Aero")</f>
        <v>18 inch Aero</v>
      </c>
      <c r="Q1703" s="152" t="str">
        <f>IFERROR(__xludf.DUMMYFUNCTION("""COMPUTED_VALUE"""),"Black seats")</f>
        <v>Black seats</v>
      </c>
      <c r="R1703" s="149" t="str">
        <f>IFERROR(__xludf.DUMMYFUNCTION("""COMPUTED_VALUE"""),"Autopilot")</f>
        <v>Autopilot</v>
      </c>
      <c r="S1703" s="149"/>
      <c r="T1703" s="145"/>
      <c r="U1703" s="145"/>
      <c r="V1703" s="145"/>
      <c r="W1703" s="145"/>
      <c r="X1703" s="137" t="str">
        <f>IFERROR(__xludf.DUMMYFUNCTION("""COMPUTED_VALUE"""),"Very Good")</f>
        <v>Very Good</v>
      </c>
      <c r="Y1703" s="138" t="str">
        <f>IFERROR(__xludf.DUMMYFUNCTION("""COMPUTED_VALUE"""),"Excellent")</f>
        <v>Excellent</v>
      </c>
      <c r="Z1703" s="138" t="str">
        <f>IFERROR(__xludf.DUMMYFUNCTION("""COMPUTED_VALUE"""),"Very Good")</f>
        <v>Very Good</v>
      </c>
      <c r="AA1703" s="138" t="str">
        <f>IFERROR(__xludf.DUMMYFUNCTION("""COMPUTED_VALUE"""),"Fair")</f>
        <v>Fair</v>
      </c>
      <c r="AB1703" s="138" t="str">
        <f>IFERROR(__xludf.DUMMYFUNCTION("""COMPUTED_VALUE"""),"Good")</f>
        <v>Good</v>
      </c>
      <c r="AC1703" s="139"/>
      <c r="AD1703" s="139"/>
      <c r="AE1703" s="139"/>
      <c r="AF1703" s="140"/>
      <c r="AG1703" s="145"/>
      <c r="AH1703" s="157">
        <f>IFERROR(__xludf.DUMMYFUNCTION("""COMPUTED_VALUE"""),43721.887902546296)</f>
        <v>43721.8879</v>
      </c>
      <c r="AI1703" s="138"/>
      <c r="AJ1703" s="138"/>
      <c r="AK1703" s="138"/>
      <c r="AL1703" s="142"/>
    </row>
    <row r="1704" ht="20.25" customHeight="1">
      <c r="A1704" s="155" t="str">
        <f>IFERROR(__xludf.DUMMYFUNCTION("""COMPUTED_VALUE"""),"SK360")</f>
        <v>SK360</v>
      </c>
      <c r="B1704" s="149" t="str">
        <f>IFERROR(__xludf.DUMMYFUNCTION("""COMPUTED_VALUE"""),"Pittsburgh")</f>
        <v>Pittsburgh</v>
      </c>
      <c r="C1704" s="149" t="str">
        <f>IFERROR(__xludf.DUMMYFUNCTION("""COMPUTED_VALUE"""),"PA")</f>
        <v>PA</v>
      </c>
      <c r="D1704" s="149" t="str">
        <f>IFERROR(__xludf.DUMMYFUNCTION("""COMPUTED_VALUE"""),"USA")</f>
        <v>USA</v>
      </c>
      <c r="E1704" s="156">
        <f>IFERROR(__xludf.DUMMYFUNCTION("""COMPUTED_VALUE"""),43715.0)</f>
        <v>43715</v>
      </c>
      <c r="F1704" s="129">
        <f>IFERROR(__xludf.DUMMYFUNCTION("""COMPUTED_VALUE"""),43726.0)</f>
        <v>43726</v>
      </c>
      <c r="G1704" s="154"/>
      <c r="H1704" s="131">
        <f>IFERROR(__xludf.DUMMYFUNCTION("""COMPUTED_VALUE"""),449515.0)</f>
        <v>449515</v>
      </c>
      <c r="I1704" s="144" t="str">
        <f>IFERROR(__xludf.DUMMYFUNCTION("""COMPUTED_VALUE"""),"09/19")</f>
        <v>09/19</v>
      </c>
      <c r="J1704" s="129">
        <f>IFERROR(__xludf.DUMMYFUNCTION("""COMPUTED_VALUE"""),43735.0)</f>
        <v>43735</v>
      </c>
      <c r="K1704" s="133">
        <f>IFERROR(__xludf.DUMMYFUNCTION("""COMPUTED_VALUE"""),11.0)</f>
        <v>11</v>
      </c>
      <c r="L1704" s="133">
        <f>IFERROR(__xludf.DUMMYFUNCTION("""COMPUTED_VALUE"""),9.0)</f>
        <v>9</v>
      </c>
      <c r="M1704" s="133">
        <f>IFERROR(__xludf.DUMMYFUNCTION("""COMPUTED_VALUE"""),20.0)</f>
        <v>20</v>
      </c>
      <c r="N1704" s="152" t="str">
        <f>IFERROR(__xludf.DUMMYFUNCTION("""COMPUTED_VALUE"""),"Model 3 Performance")</f>
        <v>Model 3 Performance</v>
      </c>
      <c r="O1704" s="152" t="str">
        <f>IFERROR(__xludf.DUMMYFUNCTION("""COMPUTED_VALUE"""),"Deep Blue Metallic")</f>
        <v>Deep Blue Metallic</v>
      </c>
      <c r="P1704" s="153" t="str">
        <f>IFERROR(__xludf.DUMMYFUNCTION("""COMPUTED_VALUE"""),"20 inch Sport")</f>
        <v>20 inch Sport</v>
      </c>
      <c r="Q1704" s="152" t="str">
        <f>IFERROR(__xludf.DUMMYFUNCTION("""COMPUTED_VALUE"""),"Black seats")</f>
        <v>Black seats</v>
      </c>
      <c r="R1704" s="149" t="str">
        <f>IFERROR(__xludf.DUMMYFUNCTION("""COMPUTED_VALUE"""),"Full Self-Driving")</f>
        <v>Full Self-Driving</v>
      </c>
      <c r="S1704" s="149"/>
      <c r="T1704" s="145"/>
      <c r="U1704" s="145"/>
      <c r="V1704" s="145"/>
      <c r="W1704" s="145"/>
      <c r="X1704" s="137" t="str">
        <f>IFERROR(__xludf.DUMMYFUNCTION("""COMPUTED_VALUE"""),"Excellent")</f>
        <v>Excellent</v>
      </c>
      <c r="Y1704" s="138" t="str">
        <f>IFERROR(__xludf.DUMMYFUNCTION("""COMPUTED_VALUE"""),"Excellent")</f>
        <v>Excellent</v>
      </c>
      <c r="Z1704" s="138" t="str">
        <f>IFERROR(__xludf.DUMMYFUNCTION("""COMPUTED_VALUE"""),"Very Good")</f>
        <v>Very Good</v>
      </c>
      <c r="AA1704" s="138" t="str">
        <f>IFERROR(__xludf.DUMMYFUNCTION("""COMPUTED_VALUE"""),"Excellent")</f>
        <v>Excellent</v>
      </c>
      <c r="AB1704" s="138" t="str">
        <f>IFERROR(__xludf.DUMMYFUNCTION("""COMPUTED_VALUE"""),"Excellent")</f>
        <v>Excellent</v>
      </c>
      <c r="AC1704" s="139">
        <f>IFERROR(__xludf.DUMMYFUNCTION("""COMPUTED_VALUE"""),1.0)</f>
        <v>1</v>
      </c>
      <c r="AD1704" s="139">
        <f>IFERROR(__xludf.DUMMYFUNCTION("""COMPUTED_VALUE"""),1.0)</f>
        <v>1</v>
      </c>
      <c r="AE1704" s="139">
        <f>IFERROR(__xludf.DUMMYFUNCTION("""COMPUTED_VALUE"""),1.0)</f>
        <v>1</v>
      </c>
      <c r="AF1704" s="140"/>
      <c r="AG1704" s="145"/>
      <c r="AH1704" s="157">
        <f>IFERROR(__xludf.DUMMYFUNCTION("""COMPUTED_VALUE"""),43777.66339925926)</f>
        <v>43777.6634</v>
      </c>
      <c r="AI1704" s="138"/>
      <c r="AJ1704" s="138"/>
      <c r="AK1704" s="138"/>
      <c r="AL1704" s="142"/>
    </row>
    <row r="1705" ht="20.25" customHeight="1">
      <c r="A1705" s="155" t="str">
        <f>IFERROR(__xludf.DUMMYFUNCTION("""COMPUTED_VALUE"""),"p1l0t3")</f>
        <v>p1l0t3</v>
      </c>
      <c r="B1705" s="149" t="str">
        <f>IFERROR(__xludf.DUMMYFUNCTION("""COMPUTED_VALUE"""),"Quebec City")</f>
        <v>Quebec City</v>
      </c>
      <c r="C1705" s="149" t="str">
        <f>IFERROR(__xludf.DUMMYFUNCTION("""COMPUTED_VALUE"""),"QC")</f>
        <v>QC</v>
      </c>
      <c r="D1705" s="149" t="str">
        <f>IFERROR(__xludf.DUMMYFUNCTION("""COMPUTED_VALUE"""),"Canada")</f>
        <v>Canada</v>
      </c>
      <c r="E1705" s="156">
        <f>IFERROR(__xludf.DUMMYFUNCTION("""COMPUTED_VALUE"""),43714.0)</f>
        <v>43714</v>
      </c>
      <c r="F1705" s="129">
        <f>IFERROR(__xludf.DUMMYFUNCTION("""COMPUTED_VALUE"""),43768.0)</f>
        <v>43768</v>
      </c>
      <c r="G1705" s="154"/>
      <c r="H1705" s="131">
        <f>IFERROR(__xludf.DUMMYFUNCTION("""COMPUTED_VALUE"""),529133.0)</f>
        <v>529133</v>
      </c>
      <c r="I1705" s="144"/>
      <c r="J1705" s="129">
        <f>IFERROR(__xludf.DUMMYFUNCTION("""COMPUTED_VALUE"""),43798.0)</f>
        <v>43798</v>
      </c>
      <c r="K1705" s="133">
        <f>IFERROR(__xludf.DUMMYFUNCTION("""COMPUTED_VALUE"""),54.0)</f>
        <v>54</v>
      </c>
      <c r="L1705" s="133">
        <f>IFERROR(__xludf.DUMMYFUNCTION("""COMPUTED_VALUE"""),30.0)</f>
        <v>30</v>
      </c>
      <c r="M1705" s="133">
        <f>IFERROR(__xludf.DUMMYFUNCTION("""COMPUTED_VALUE"""),84.0)</f>
        <v>84</v>
      </c>
      <c r="N1705" s="152" t="str">
        <f>IFERROR(__xludf.DUMMYFUNCTION("""COMPUTED_VALUE"""),"Model 3 SR+")</f>
        <v>Model 3 SR+</v>
      </c>
      <c r="O1705" s="152" t="str">
        <f>IFERROR(__xludf.DUMMYFUNCTION("""COMPUTED_VALUE"""),"Deep Blue Metallic")</f>
        <v>Deep Blue Metallic</v>
      </c>
      <c r="P1705" s="153" t="str">
        <f>IFERROR(__xludf.DUMMYFUNCTION("""COMPUTED_VALUE"""),"18 inch Aero")</f>
        <v>18 inch Aero</v>
      </c>
      <c r="Q1705" s="152" t="str">
        <f>IFERROR(__xludf.DUMMYFUNCTION("""COMPUTED_VALUE"""),"Black seats")</f>
        <v>Black seats</v>
      </c>
      <c r="R1705" s="149" t="str">
        <f>IFERROR(__xludf.DUMMYFUNCTION("""COMPUTED_VALUE"""),"Autopilot")</f>
        <v>Autopilot</v>
      </c>
      <c r="S1705" s="149"/>
      <c r="T1705" s="145"/>
      <c r="U1705" s="145"/>
      <c r="V1705" s="145"/>
      <c r="W1705" s="136"/>
      <c r="X1705" s="137" t="str">
        <f>IFERROR(__xludf.DUMMYFUNCTION("""COMPUTED_VALUE"""),"Very Good")</f>
        <v>Very Good</v>
      </c>
      <c r="Y1705" s="138" t="str">
        <f>IFERROR(__xludf.DUMMYFUNCTION("""COMPUTED_VALUE"""),"Very Good")</f>
        <v>Very Good</v>
      </c>
      <c r="Z1705" s="138" t="str">
        <f>IFERROR(__xludf.DUMMYFUNCTION("""COMPUTED_VALUE"""),"Very Good")</f>
        <v>Very Good</v>
      </c>
      <c r="AA1705" s="138" t="str">
        <f>IFERROR(__xludf.DUMMYFUNCTION("""COMPUTED_VALUE"""),"Good")</f>
        <v>Good</v>
      </c>
      <c r="AB1705" s="138" t="str">
        <f>IFERROR(__xludf.DUMMYFUNCTION("""COMPUTED_VALUE"""),"Good")</f>
        <v>Good</v>
      </c>
      <c r="AC1705" s="139"/>
      <c r="AD1705" s="139"/>
      <c r="AE1705" s="139"/>
      <c r="AF1705" s="140"/>
      <c r="AG1705" s="136"/>
      <c r="AH1705" s="157">
        <f>IFERROR(__xludf.DUMMYFUNCTION("""COMPUTED_VALUE"""),43794.28520825232)</f>
        <v>43794.28521</v>
      </c>
      <c r="AI1705" s="138"/>
      <c r="AJ1705" s="138"/>
      <c r="AK1705" s="138"/>
      <c r="AL1705" s="142"/>
    </row>
    <row r="1706" ht="20.25" customHeight="1">
      <c r="A1706" s="155" t="str">
        <f>IFERROR(__xludf.DUMMYFUNCTION("""COMPUTED_VALUE"""),"Brian")</f>
        <v>Brian</v>
      </c>
      <c r="B1706" s="149" t="str">
        <f>IFERROR(__xludf.DUMMYFUNCTION("""COMPUTED_VALUE"""),"Burbank")</f>
        <v>Burbank</v>
      </c>
      <c r="C1706" s="149" t="str">
        <f>IFERROR(__xludf.DUMMYFUNCTION("""COMPUTED_VALUE"""),"CA")</f>
        <v>CA</v>
      </c>
      <c r="D1706" s="149" t="str">
        <f>IFERROR(__xludf.DUMMYFUNCTION("""COMPUTED_VALUE"""),"USA")</f>
        <v>USA</v>
      </c>
      <c r="E1706" s="156">
        <f>IFERROR(__xludf.DUMMYFUNCTION("""COMPUTED_VALUE"""),43713.0)</f>
        <v>43713</v>
      </c>
      <c r="F1706" s="129">
        <f>IFERROR(__xludf.DUMMYFUNCTION("""COMPUTED_VALUE"""),43731.0)</f>
        <v>43731</v>
      </c>
      <c r="G1706" s="154"/>
      <c r="H1706" s="131">
        <f>IFERROR(__xludf.DUMMYFUNCTION("""COMPUTED_VALUE"""),498017.0)</f>
        <v>498017</v>
      </c>
      <c r="I1706" s="132" t="str">
        <f>IFERROR(__xludf.DUMMYFUNCTION("""COMPUTED_VALUE"""),"09/19")</f>
        <v>09/19</v>
      </c>
      <c r="J1706" s="129">
        <f>IFERROR(__xludf.DUMMYFUNCTION("""COMPUTED_VALUE"""),43733.0)</f>
        <v>43733</v>
      </c>
      <c r="K1706" s="133">
        <f>IFERROR(__xludf.DUMMYFUNCTION("""COMPUTED_VALUE"""),18.0)</f>
        <v>18</v>
      </c>
      <c r="L1706" s="133">
        <f>IFERROR(__xludf.DUMMYFUNCTION("""COMPUTED_VALUE"""),2.0)</f>
        <v>2</v>
      </c>
      <c r="M1706" s="133">
        <f>IFERROR(__xludf.DUMMYFUNCTION("""COMPUTED_VALUE"""),20.0)</f>
        <v>20</v>
      </c>
      <c r="N1706" s="152" t="str">
        <f>IFERROR(__xludf.DUMMYFUNCTION("""COMPUTED_VALUE"""),"Model 3 Performance")</f>
        <v>Model 3 Performance</v>
      </c>
      <c r="O1706" s="152" t="str">
        <f>IFERROR(__xludf.DUMMYFUNCTION("""COMPUTED_VALUE"""),"Deep Blue Metallic")</f>
        <v>Deep Blue Metallic</v>
      </c>
      <c r="P1706" s="153" t="str">
        <f>IFERROR(__xludf.DUMMYFUNCTION("""COMPUTED_VALUE"""),"20 inch Sport")</f>
        <v>20 inch Sport</v>
      </c>
      <c r="Q1706" s="152" t="str">
        <f>IFERROR(__xludf.DUMMYFUNCTION("""COMPUTED_VALUE"""),"White seats")</f>
        <v>White seats</v>
      </c>
      <c r="R1706" s="150" t="str">
        <f>IFERROR(__xludf.DUMMYFUNCTION("""COMPUTED_VALUE"""),"Autopilot")</f>
        <v>Autopilot</v>
      </c>
      <c r="S1706" s="150"/>
      <c r="T1706" s="136"/>
      <c r="U1706" s="136"/>
      <c r="V1706" s="136"/>
      <c r="W1706" s="136"/>
      <c r="X1706" s="137" t="str">
        <f>IFERROR(__xludf.DUMMYFUNCTION("""COMPUTED_VALUE"""),"Excellent")</f>
        <v>Excellent</v>
      </c>
      <c r="Y1706" s="138" t="str">
        <f>IFERROR(__xludf.DUMMYFUNCTION("""COMPUTED_VALUE"""),"Excellent")</f>
        <v>Excellent</v>
      </c>
      <c r="Z1706" s="138" t="str">
        <f>IFERROR(__xludf.DUMMYFUNCTION("""COMPUTED_VALUE"""),"Good")</f>
        <v>Good</v>
      </c>
      <c r="AA1706" s="138" t="str">
        <f>IFERROR(__xludf.DUMMYFUNCTION("""COMPUTED_VALUE"""),"Poor")</f>
        <v>Poor</v>
      </c>
      <c r="AB1706" s="138" t="str">
        <f>IFERROR(__xludf.DUMMYFUNCTION("""COMPUTED_VALUE"""),"Fair")</f>
        <v>Fair</v>
      </c>
      <c r="AC1706" s="139">
        <f>IFERROR(__xludf.DUMMYFUNCTION("""COMPUTED_VALUE"""),2.0)</f>
        <v>2</v>
      </c>
      <c r="AD1706" s="139"/>
      <c r="AE1706" s="139"/>
      <c r="AF1706" s="140"/>
      <c r="AG1706" s="136" t="str">
        <f>IFERROR(__xludf.DUMMYFUNCTION("""COMPUTED_VALUE"""),"VIN found in source code - text sent with link to schedule delivery, no actual delivery link on reservation page")</f>
        <v>VIN found in source code - text sent with link to schedule delivery, no actual delivery link on reservation page</v>
      </c>
      <c r="AH1706" s="157">
        <f>IFERROR(__xludf.DUMMYFUNCTION("""COMPUTED_VALUE"""),43738.880248124995)</f>
        <v>43738.88025</v>
      </c>
      <c r="AI1706" s="138"/>
      <c r="AJ1706" s="138"/>
      <c r="AK1706" s="138"/>
      <c r="AL1706" s="142"/>
    </row>
    <row r="1707" ht="20.25" customHeight="1">
      <c r="A1707" s="155" t="str">
        <f>IFERROR(__xludf.DUMMYFUNCTION("""COMPUTED_VALUE"""),"mindfreeze")</f>
        <v>mindfreeze</v>
      </c>
      <c r="B1707" s="149" t="str">
        <f>IFERROR(__xludf.DUMMYFUNCTION("""COMPUTED_VALUE"""),"Berlin")</f>
        <v>Berlin</v>
      </c>
      <c r="C1707" s="149"/>
      <c r="D1707" s="149" t="str">
        <f>IFERROR(__xludf.DUMMYFUNCTION("""COMPUTED_VALUE"""),"Germany")</f>
        <v>Germany</v>
      </c>
      <c r="E1707" s="156">
        <f>IFERROR(__xludf.DUMMYFUNCTION("""COMPUTED_VALUE"""),43713.0)</f>
        <v>43713</v>
      </c>
      <c r="F1707" s="129">
        <f>IFERROR(__xludf.DUMMYFUNCTION("""COMPUTED_VALUE"""),43796.0)</f>
        <v>43796</v>
      </c>
      <c r="G1707" s="154"/>
      <c r="H1707" s="131">
        <f>IFERROR(__xludf.DUMMYFUNCTION("""COMPUTED_VALUE"""),571214.0)</f>
        <v>571214</v>
      </c>
      <c r="I1707" s="144"/>
      <c r="J1707" s="129">
        <f>IFERROR(__xludf.DUMMYFUNCTION("""COMPUTED_VALUE"""),43818.0)</f>
        <v>43818</v>
      </c>
      <c r="K1707" s="133">
        <f>IFERROR(__xludf.DUMMYFUNCTION("""COMPUTED_VALUE"""),83.0)</f>
        <v>83</v>
      </c>
      <c r="L1707" s="133">
        <f>IFERROR(__xludf.DUMMYFUNCTION("""COMPUTED_VALUE"""),22.0)</f>
        <v>22</v>
      </c>
      <c r="M1707" s="133">
        <f>IFERROR(__xludf.DUMMYFUNCTION("""COMPUTED_VALUE"""),105.0)</f>
        <v>105</v>
      </c>
      <c r="N1707" s="152" t="str">
        <f>IFERROR(__xludf.DUMMYFUNCTION("""COMPUTED_VALUE"""),"Model 3 LR AWD")</f>
        <v>Model 3 LR AWD</v>
      </c>
      <c r="O1707" s="152" t="str">
        <f>IFERROR(__xludf.DUMMYFUNCTION("""COMPUTED_VALUE"""),"Pearl White Multi-Coat")</f>
        <v>Pearl White Multi-Coat</v>
      </c>
      <c r="P1707" s="153" t="str">
        <f>IFERROR(__xludf.DUMMYFUNCTION("""COMPUTED_VALUE"""),"18 inch Aero")</f>
        <v>18 inch Aero</v>
      </c>
      <c r="Q1707" s="152" t="str">
        <f>IFERROR(__xludf.DUMMYFUNCTION("""COMPUTED_VALUE"""),"White seats")</f>
        <v>White seats</v>
      </c>
      <c r="R1707" s="149" t="str">
        <f>IFERROR(__xludf.DUMMYFUNCTION("""COMPUTED_VALUE"""),"Autopilot")</f>
        <v>Autopilot</v>
      </c>
      <c r="S1707" s="149"/>
      <c r="T1707" s="145"/>
      <c r="U1707" s="145"/>
      <c r="V1707" s="145"/>
      <c r="W1707" s="136"/>
      <c r="X1707" s="137" t="str">
        <f>IFERROR(__xludf.DUMMYFUNCTION("""COMPUTED_VALUE"""),"Very Good")</f>
        <v>Very Good</v>
      </c>
      <c r="Y1707" s="138" t="str">
        <f>IFERROR(__xludf.DUMMYFUNCTION("""COMPUTED_VALUE"""),"Very Good")</f>
        <v>Very Good</v>
      </c>
      <c r="Z1707" s="138" t="str">
        <f>IFERROR(__xludf.DUMMYFUNCTION("""COMPUTED_VALUE"""),"Very Good")</f>
        <v>Very Good</v>
      </c>
      <c r="AA1707" s="138" t="str">
        <f>IFERROR(__xludf.DUMMYFUNCTION("""COMPUTED_VALUE"""),"Poor")</f>
        <v>Poor</v>
      </c>
      <c r="AB1707" s="138" t="str">
        <f>IFERROR(__xludf.DUMMYFUNCTION("""COMPUTED_VALUE"""),"Excellent")</f>
        <v>Excellent</v>
      </c>
      <c r="AC1707" s="139">
        <f>IFERROR(__xludf.DUMMYFUNCTION("""COMPUTED_VALUE"""),0.0)</f>
        <v>0</v>
      </c>
      <c r="AD1707" s="139">
        <f>IFERROR(__xludf.DUMMYFUNCTION("""COMPUTED_VALUE"""),0.0)</f>
        <v>0</v>
      </c>
      <c r="AE1707" s="139">
        <f>IFERROR(__xludf.DUMMYFUNCTION("""COMPUTED_VALUE"""),0.0)</f>
        <v>0</v>
      </c>
      <c r="AF1707" s="140"/>
      <c r="AG1707" s="136"/>
      <c r="AH1707" s="157">
        <f>IFERROR(__xludf.DUMMYFUNCTION("""COMPUTED_VALUE"""),43838.0420633912)</f>
        <v>43838.04206</v>
      </c>
      <c r="AI1707" s="138"/>
      <c r="AJ1707" s="138"/>
      <c r="AK1707" s="138"/>
      <c r="AL1707" s="142"/>
    </row>
    <row r="1708" ht="20.25" customHeight="1">
      <c r="A1708" s="155" t="str">
        <f>IFERROR(__xludf.DUMMYFUNCTION("""COMPUTED_VALUE"""),"ihearthiking")</f>
        <v>ihearthiking</v>
      </c>
      <c r="B1708" s="149" t="str">
        <f>IFERROR(__xludf.DUMMYFUNCTION("""COMPUTED_VALUE"""),"Erie")</f>
        <v>Erie</v>
      </c>
      <c r="C1708" s="149" t="str">
        <f>IFERROR(__xludf.DUMMYFUNCTION("""COMPUTED_VALUE"""),"CO")</f>
        <v>CO</v>
      </c>
      <c r="D1708" s="149" t="str">
        <f>IFERROR(__xludf.DUMMYFUNCTION("""COMPUTED_VALUE"""),"USA")</f>
        <v>USA</v>
      </c>
      <c r="E1708" s="156">
        <f>IFERROR(__xludf.DUMMYFUNCTION("""COMPUTED_VALUE"""),43712.0)</f>
        <v>43712</v>
      </c>
      <c r="F1708" s="129">
        <f>IFERROR(__xludf.DUMMYFUNCTION("""COMPUTED_VALUE"""),43800.0)</f>
        <v>43800</v>
      </c>
      <c r="G1708" s="154"/>
      <c r="H1708" s="131">
        <f>IFERROR(__xludf.DUMMYFUNCTION("""COMPUTED_VALUE"""),603568.0)</f>
        <v>603568</v>
      </c>
      <c r="I1708" s="144"/>
      <c r="J1708" s="129">
        <f>IFERROR(__xludf.DUMMYFUNCTION("""COMPUTED_VALUE"""),43804.0)</f>
        <v>43804</v>
      </c>
      <c r="K1708" s="133">
        <f>IFERROR(__xludf.DUMMYFUNCTION("""COMPUTED_VALUE"""),88.0)</f>
        <v>88</v>
      </c>
      <c r="L1708" s="133">
        <f>IFERROR(__xludf.DUMMYFUNCTION("""COMPUTED_VALUE"""),4.0)</f>
        <v>4</v>
      </c>
      <c r="M1708" s="133">
        <f>IFERROR(__xludf.DUMMYFUNCTION("""COMPUTED_VALUE"""),92.0)</f>
        <v>92</v>
      </c>
      <c r="N1708" s="152" t="str">
        <f>IFERROR(__xludf.DUMMYFUNCTION("""COMPUTED_VALUE"""),"Model 3 Performance")</f>
        <v>Model 3 Performance</v>
      </c>
      <c r="O1708" s="152" t="str">
        <f>IFERROR(__xludf.DUMMYFUNCTION("""COMPUTED_VALUE"""),"Pearl White Multi-Coat")</f>
        <v>Pearl White Multi-Coat</v>
      </c>
      <c r="P1708" s="153" t="str">
        <f>IFERROR(__xludf.DUMMYFUNCTION("""COMPUTED_VALUE"""),"20 inch Sport")</f>
        <v>20 inch Sport</v>
      </c>
      <c r="Q1708" s="152" t="str">
        <f>IFERROR(__xludf.DUMMYFUNCTION("""COMPUTED_VALUE"""),"White seats")</f>
        <v>White seats</v>
      </c>
      <c r="R1708" s="149" t="str">
        <f>IFERROR(__xludf.DUMMYFUNCTION("""COMPUTED_VALUE"""),"Full Self-Driving")</f>
        <v>Full Self-Driving</v>
      </c>
      <c r="S1708" s="149"/>
      <c r="T1708" s="145"/>
      <c r="U1708" s="145"/>
      <c r="V1708" s="145"/>
      <c r="W1708" s="145"/>
      <c r="X1708" s="137" t="str">
        <f>IFERROR(__xludf.DUMMYFUNCTION("""COMPUTED_VALUE"""),"Fair")</f>
        <v>Fair</v>
      </c>
      <c r="Y1708" s="138" t="str">
        <f>IFERROR(__xludf.DUMMYFUNCTION("""COMPUTED_VALUE"""),"Good")</f>
        <v>Good</v>
      </c>
      <c r="Z1708" s="138" t="str">
        <f>IFERROR(__xludf.DUMMYFUNCTION("""COMPUTED_VALUE"""),"Very Good")</f>
        <v>Very Good</v>
      </c>
      <c r="AA1708" s="138" t="str">
        <f>IFERROR(__xludf.DUMMYFUNCTION("""COMPUTED_VALUE"""),"Poor")</f>
        <v>Poor</v>
      </c>
      <c r="AB1708" s="138" t="str">
        <f>IFERROR(__xludf.DUMMYFUNCTION("""COMPUTED_VALUE"""),"Poor")</f>
        <v>Poor</v>
      </c>
      <c r="AC1708" s="139">
        <f>IFERROR(__xludf.DUMMYFUNCTION("""COMPUTED_VALUE"""),0.0)</f>
        <v>0</v>
      </c>
      <c r="AD1708" s="139"/>
      <c r="AE1708" s="139"/>
      <c r="AF1708" s="140"/>
      <c r="AG1708" s="145" t="str">
        <f>IFERROR(__xludf.DUMMYFUNCTION("""COMPUTED_VALUE"""),"12/2: Received delivery scheduling email. 12/1: Found VIN in source code. 11/21: Told by Tesla rep that vehicles will be delivered in the last 2 weeks of December. 10/11: told by Tesla representative that no vehicle will be produced until December '19. ")</f>
        <v>12/2: Received delivery scheduling email. 12/1: Found VIN in source code. 11/21: Told by Tesla rep that vehicles will be delivered in the last 2 weeks of December. 10/11: told by Tesla representative that no vehicle will be produced until December '19. </v>
      </c>
      <c r="AH1708" s="157">
        <f>IFERROR(__xludf.DUMMYFUNCTION("""COMPUTED_VALUE"""),43817.42367346065)</f>
        <v>43817.42367</v>
      </c>
      <c r="AI1708" s="138"/>
      <c r="AJ1708" s="138"/>
      <c r="AK1708" s="138"/>
      <c r="AL1708" s="142"/>
    </row>
    <row r="1709" ht="20.25" customHeight="1">
      <c r="A1709" s="155" t="str">
        <f>IFERROR(__xludf.DUMMYFUNCTION("""COMPUTED_VALUE"""),"JustinM")</f>
        <v>JustinM</v>
      </c>
      <c r="B1709" s="149" t="str">
        <f>IFERROR(__xludf.DUMMYFUNCTION("""COMPUTED_VALUE"""),"Fremont")</f>
        <v>Fremont</v>
      </c>
      <c r="C1709" s="149" t="str">
        <f>IFERROR(__xludf.DUMMYFUNCTION("""COMPUTED_VALUE"""),"CA")</f>
        <v>CA</v>
      </c>
      <c r="D1709" s="149" t="str">
        <f>IFERROR(__xludf.DUMMYFUNCTION("""COMPUTED_VALUE"""),"USA")</f>
        <v>USA</v>
      </c>
      <c r="E1709" s="156">
        <f>IFERROR(__xludf.DUMMYFUNCTION("""COMPUTED_VALUE"""),43712.0)</f>
        <v>43712</v>
      </c>
      <c r="F1709" s="129">
        <f>IFERROR(__xludf.DUMMYFUNCTION("""COMPUTED_VALUE"""),43719.0)</f>
        <v>43719</v>
      </c>
      <c r="G1709" s="154"/>
      <c r="H1709" s="131">
        <f>IFERROR(__xludf.DUMMYFUNCTION("""COMPUTED_VALUE"""),454385.0)</f>
        <v>454385</v>
      </c>
      <c r="I1709" s="144" t="str">
        <f>IFERROR(__xludf.DUMMYFUNCTION("""COMPUTED_VALUE"""),"09/19")</f>
        <v>09/19</v>
      </c>
      <c r="J1709" s="129">
        <f>IFERROR(__xludf.DUMMYFUNCTION("""COMPUTED_VALUE"""),43724.0)</f>
        <v>43724</v>
      </c>
      <c r="K1709" s="133">
        <f>IFERROR(__xludf.DUMMYFUNCTION("""COMPUTED_VALUE"""),7.0)</f>
        <v>7</v>
      </c>
      <c r="L1709" s="133">
        <f>IFERROR(__xludf.DUMMYFUNCTION("""COMPUTED_VALUE"""),5.0)</f>
        <v>5</v>
      </c>
      <c r="M1709" s="133">
        <f>IFERROR(__xludf.DUMMYFUNCTION("""COMPUTED_VALUE"""),12.0)</f>
        <v>12</v>
      </c>
      <c r="N1709" s="152" t="str">
        <f>IFERROR(__xludf.DUMMYFUNCTION("""COMPUTED_VALUE"""),"Model 3 LR AWD")</f>
        <v>Model 3 LR AWD</v>
      </c>
      <c r="O1709" s="152" t="str">
        <f>IFERROR(__xludf.DUMMYFUNCTION("""COMPUTED_VALUE"""),"Deep Blue Metallic")</f>
        <v>Deep Blue Metallic</v>
      </c>
      <c r="P1709" s="153" t="str">
        <f>IFERROR(__xludf.DUMMYFUNCTION("""COMPUTED_VALUE"""),"18 inch Aero")</f>
        <v>18 inch Aero</v>
      </c>
      <c r="Q1709" s="152" t="str">
        <f>IFERROR(__xludf.DUMMYFUNCTION("""COMPUTED_VALUE"""),"White seats")</f>
        <v>White seats</v>
      </c>
      <c r="R1709" s="149" t="str">
        <f>IFERROR(__xludf.DUMMYFUNCTION("""COMPUTED_VALUE"""),"Full Self-Driving")</f>
        <v>Full Self-Driving</v>
      </c>
      <c r="S1709" s="149"/>
      <c r="T1709" s="145"/>
      <c r="U1709" s="145"/>
      <c r="V1709" s="145"/>
      <c r="W1709" s="145"/>
      <c r="X1709" s="137" t="str">
        <f>IFERROR(__xludf.DUMMYFUNCTION("""COMPUTED_VALUE"""),"Excellent")</f>
        <v>Excellent</v>
      </c>
      <c r="Y1709" s="138" t="str">
        <f>IFERROR(__xludf.DUMMYFUNCTION("""COMPUTED_VALUE"""),"Excellent")</f>
        <v>Excellent</v>
      </c>
      <c r="Z1709" s="138" t="str">
        <f>IFERROR(__xludf.DUMMYFUNCTION("""COMPUTED_VALUE"""),"Very Good")</f>
        <v>Very Good</v>
      </c>
      <c r="AA1709" s="138" t="str">
        <f>IFERROR(__xludf.DUMMYFUNCTION("""COMPUTED_VALUE"""),"Good")</f>
        <v>Good</v>
      </c>
      <c r="AB1709" s="138" t="str">
        <f>IFERROR(__xludf.DUMMYFUNCTION("""COMPUTED_VALUE"""),"Fair")</f>
        <v>Fair</v>
      </c>
      <c r="AC1709" s="139">
        <f>IFERROR(__xludf.DUMMYFUNCTION("""COMPUTED_VALUE"""),1.0)</f>
        <v>1</v>
      </c>
      <c r="AD1709" s="139">
        <f>IFERROR(__xludf.DUMMYFUNCTION("""COMPUTED_VALUE"""),1.0)</f>
        <v>1</v>
      </c>
      <c r="AE1709" s="139">
        <f>IFERROR(__xludf.DUMMYFUNCTION("""COMPUTED_VALUE"""),0.0)</f>
        <v>0</v>
      </c>
      <c r="AF1709" s="140"/>
      <c r="AG1709" s="145"/>
      <c r="AH1709" s="157">
        <f>IFERROR(__xludf.DUMMYFUNCTION("""COMPUTED_VALUE"""),43768.67774121528)</f>
        <v>43768.67774</v>
      </c>
      <c r="AI1709" s="138"/>
      <c r="AJ1709" s="138"/>
      <c r="AK1709" s="138"/>
      <c r="AL1709" s="142"/>
    </row>
    <row r="1710" ht="20.25" customHeight="1">
      <c r="A1710" s="155" t="str">
        <f>IFERROR(__xludf.DUMMYFUNCTION("""COMPUTED_VALUE"""),"Sam1")</f>
        <v>Sam1</v>
      </c>
      <c r="B1710" s="149"/>
      <c r="C1710" s="149" t="str">
        <f>IFERROR(__xludf.DUMMYFUNCTION("""COMPUTED_VALUE"""),"NV")</f>
        <v>NV</v>
      </c>
      <c r="D1710" s="149" t="str">
        <f>IFERROR(__xludf.DUMMYFUNCTION("""COMPUTED_VALUE"""),"USA")</f>
        <v>USA</v>
      </c>
      <c r="E1710" s="156">
        <f>IFERROR(__xludf.DUMMYFUNCTION("""COMPUTED_VALUE"""),43710.0)</f>
        <v>43710</v>
      </c>
      <c r="F1710" s="129">
        <f>IFERROR(__xludf.DUMMYFUNCTION("""COMPUTED_VALUE"""),43724.0)</f>
        <v>43724</v>
      </c>
      <c r="G1710" s="154"/>
      <c r="H1710" s="131"/>
      <c r="I1710" s="132"/>
      <c r="J1710" s="129">
        <f>IFERROR(__xludf.DUMMYFUNCTION("""COMPUTED_VALUE"""),43724.0)</f>
        <v>43724</v>
      </c>
      <c r="K1710" s="133">
        <f>IFERROR(__xludf.DUMMYFUNCTION("""COMPUTED_VALUE"""),14.0)</f>
        <v>14</v>
      </c>
      <c r="L1710" s="133">
        <f>IFERROR(__xludf.DUMMYFUNCTION("""COMPUTED_VALUE"""),0.0)</f>
        <v>0</v>
      </c>
      <c r="M1710" s="133">
        <f>IFERROR(__xludf.DUMMYFUNCTION("""COMPUTED_VALUE"""),14.0)</f>
        <v>14</v>
      </c>
      <c r="N1710" s="152" t="str">
        <f>IFERROR(__xludf.DUMMYFUNCTION("""COMPUTED_VALUE"""),"Model 3 Performance")</f>
        <v>Model 3 Performance</v>
      </c>
      <c r="O1710" s="152" t="str">
        <f>IFERROR(__xludf.DUMMYFUNCTION("""COMPUTED_VALUE"""),"Pearl White Multi-Coat")</f>
        <v>Pearl White Multi-Coat</v>
      </c>
      <c r="P1710" s="153" t="str">
        <f>IFERROR(__xludf.DUMMYFUNCTION("""COMPUTED_VALUE"""),"19 inch Sport")</f>
        <v>19 inch Sport</v>
      </c>
      <c r="Q1710" s="152" t="str">
        <f>IFERROR(__xludf.DUMMYFUNCTION("""COMPUTED_VALUE"""),"Black seats")</f>
        <v>Black seats</v>
      </c>
      <c r="R1710" s="150" t="str">
        <f>IFERROR(__xludf.DUMMYFUNCTION("""COMPUTED_VALUE"""),"Full Self-Driving")</f>
        <v>Full Self-Driving</v>
      </c>
      <c r="S1710" s="150"/>
      <c r="T1710" s="136"/>
      <c r="U1710" s="136"/>
      <c r="V1710" s="136"/>
      <c r="W1710" s="136"/>
      <c r="X1710" s="137" t="str">
        <f>IFERROR(__xludf.DUMMYFUNCTION("""COMPUTED_VALUE"""),"Excellent")</f>
        <v>Excellent</v>
      </c>
      <c r="Y1710" s="138" t="str">
        <f>IFERROR(__xludf.DUMMYFUNCTION("""COMPUTED_VALUE"""),"Excellent")</f>
        <v>Excellent</v>
      </c>
      <c r="Z1710" s="138" t="str">
        <f>IFERROR(__xludf.DUMMYFUNCTION("""COMPUTED_VALUE"""),"Excellent")</f>
        <v>Excellent</v>
      </c>
      <c r="AA1710" s="138" t="str">
        <f>IFERROR(__xludf.DUMMYFUNCTION("""COMPUTED_VALUE"""),"Good")</f>
        <v>Good</v>
      </c>
      <c r="AB1710" s="138" t="str">
        <f>IFERROR(__xludf.DUMMYFUNCTION("""COMPUTED_VALUE"""),"Excellent")</f>
        <v>Excellent</v>
      </c>
      <c r="AC1710" s="139"/>
      <c r="AD1710" s="139"/>
      <c r="AE1710" s="139"/>
      <c r="AF1710" s="140"/>
      <c r="AG1710" s="136"/>
      <c r="AH1710" s="157">
        <f>IFERROR(__xludf.DUMMYFUNCTION("""COMPUTED_VALUE"""),43724.81952138888)</f>
        <v>43724.81952</v>
      </c>
      <c r="AI1710" s="138"/>
      <c r="AJ1710" s="138"/>
      <c r="AK1710" s="138"/>
      <c r="AL1710" s="142"/>
    </row>
    <row r="1711" ht="20.25" customHeight="1">
      <c r="A1711" s="155" t="str">
        <f>IFERROR(__xludf.DUMMYFUNCTION("""COMPUTED_VALUE"""),"losthillsguy")</f>
        <v>losthillsguy</v>
      </c>
      <c r="B1711" s="149" t="str">
        <f>IFERROR(__xludf.DUMMYFUNCTION("""COMPUTED_VALUE"""),"San Luis Obispo")</f>
        <v>San Luis Obispo</v>
      </c>
      <c r="C1711" s="149" t="str">
        <f>IFERROR(__xludf.DUMMYFUNCTION("""COMPUTED_VALUE"""),"CA")</f>
        <v>CA</v>
      </c>
      <c r="D1711" s="149" t="str">
        <f>IFERROR(__xludf.DUMMYFUNCTION("""COMPUTED_VALUE"""),"USA")</f>
        <v>USA</v>
      </c>
      <c r="E1711" s="156">
        <f>IFERROR(__xludf.DUMMYFUNCTION("""COMPUTED_VALUE"""),43709.0)</f>
        <v>43709</v>
      </c>
      <c r="F1711" s="129">
        <f>IFERROR(__xludf.DUMMYFUNCTION("""COMPUTED_VALUE"""),43726.0)</f>
        <v>43726</v>
      </c>
      <c r="G1711" s="154"/>
      <c r="H1711" s="131">
        <f>IFERROR(__xludf.DUMMYFUNCTION("""COMPUTED_VALUE"""),496655.0)</f>
        <v>496655</v>
      </c>
      <c r="I1711" s="132"/>
      <c r="J1711" s="129">
        <f>IFERROR(__xludf.DUMMYFUNCTION("""COMPUTED_VALUE"""),43728.0)</f>
        <v>43728</v>
      </c>
      <c r="K1711" s="133">
        <f>IFERROR(__xludf.DUMMYFUNCTION("""COMPUTED_VALUE"""),17.0)</f>
        <v>17</v>
      </c>
      <c r="L1711" s="133">
        <f>IFERROR(__xludf.DUMMYFUNCTION("""COMPUTED_VALUE"""),2.0)</f>
        <v>2</v>
      </c>
      <c r="M1711" s="133">
        <f>IFERROR(__xludf.DUMMYFUNCTION("""COMPUTED_VALUE"""),19.0)</f>
        <v>19</v>
      </c>
      <c r="N1711" s="152" t="str">
        <f>IFERROR(__xludf.DUMMYFUNCTION("""COMPUTED_VALUE"""),"Model 3 LR AWD")</f>
        <v>Model 3 LR AWD</v>
      </c>
      <c r="O1711" s="152" t="str">
        <f>IFERROR(__xludf.DUMMYFUNCTION("""COMPUTED_VALUE"""),"Red Multi-Coat")</f>
        <v>Red Multi-Coat</v>
      </c>
      <c r="P1711" s="153" t="str">
        <f>IFERROR(__xludf.DUMMYFUNCTION("""COMPUTED_VALUE"""),"18 inch Aero")</f>
        <v>18 inch Aero</v>
      </c>
      <c r="Q1711" s="152" t="str">
        <f>IFERROR(__xludf.DUMMYFUNCTION("""COMPUTED_VALUE"""),"Black seats")</f>
        <v>Black seats</v>
      </c>
      <c r="R1711" s="150" t="str">
        <f>IFERROR(__xludf.DUMMYFUNCTION("""COMPUTED_VALUE"""),"Full Self-Driving")</f>
        <v>Full Self-Driving</v>
      </c>
      <c r="S1711" s="150"/>
      <c r="T1711" s="136"/>
      <c r="U1711" s="136"/>
      <c r="V1711" s="136"/>
      <c r="W1711" s="136"/>
      <c r="X1711" s="137" t="str">
        <f>IFERROR(__xludf.DUMMYFUNCTION("""COMPUTED_VALUE"""),"Very Good")</f>
        <v>Very Good</v>
      </c>
      <c r="Y1711" s="138" t="str">
        <f>IFERROR(__xludf.DUMMYFUNCTION("""COMPUTED_VALUE"""),"Very Good")</f>
        <v>Very Good</v>
      </c>
      <c r="Z1711" s="138" t="str">
        <f>IFERROR(__xludf.DUMMYFUNCTION("""COMPUTED_VALUE"""),"Excellent")</f>
        <v>Excellent</v>
      </c>
      <c r="AA1711" s="138" t="str">
        <f>IFERROR(__xludf.DUMMYFUNCTION("""COMPUTED_VALUE"""),"Very Good")</f>
        <v>Very Good</v>
      </c>
      <c r="AB1711" s="138" t="str">
        <f>IFERROR(__xludf.DUMMYFUNCTION("""COMPUTED_VALUE"""),"Very Good")</f>
        <v>Very Good</v>
      </c>
      <c r="AC1711" s="139">
        <f>IFERROR(__xludf.DUMMYFUNCTION("""COMPUTED_VALUE"""),0.0)</f>
        <v>0</v>
      </c>
      <c r="AD1711" s="139"/>
      <c r="AE1711" s="139"/>
      <c r="AF1711" s="140"/>
      <c r="AG1711" s="136"/>
      <c r="AH1711" s="157">
        <f>IFERROR(__xludf.DUMMYFUNCTION("""COMPUTED_VALUE"""),43728.88679214121)</f>
        <v>43728.88679</v>
      </c>
      <c r="AI1711" s="138"/>
      <c r="AJ1711" s="138"/>
      <c r="AK1711" s="138"/>
      <c r="AL1711" s="142"/>
    </row>
    <row r="1712" ht="20.25" customHeight="1">
      <c r="A1712" s="155" t="str">
        <f>IFERROR(__xludf.DUMMYFUNCTION("""COMPUTED_VALUE"""),"Pchima")</f>
        <v>Pchima</v>
      </c>
      <c r="B1712" s="149" t="str">
        <f>IFERROR(__xludf.DUMMYFUNCTION("""COMPUTED_VALUE"""),"Yuba City")</f>
        <v>Yuba City</v>
      </c>
      <c r="C1712" s="149" t="str">
        <f>IFERROR(__xludf.DUMMYFUNCTION("""COMPUTED_VALUE"""),"CA")</f>
        <v>CA</v>
      </c>
      <c r="D1712" s="149" t="str">
        <f>IFERROR(__xludf.DUMMYFUNCTION("""COMPUTED_VALUE"""),"USA")</f>
        <v>USA</v>
      </c>
      <c r="E1712" s="156">
        <f>IFERROR(__xludf.DUMMYFUNCTION("""COMPUTED_VALUE"""),43709.0)</f>
        <v>43709</v>
      </c>
      <c r="F1712" s="129">
        <f>IFERROR(__xludf.DUMMYFUNCTION("""COMPUTED_VALUE"""),43732.0)</f>
        <v>43732</v>
      </c>
      <c r="G1712" s="154"/>
      <c r="H1712" s="131">
        <f>IFERROR(__xludf.DUMMYFUNCTION("""COMPUTED_VALUE"""),514655.0)</f>
        <v>514655</v>
      </c>
      <c r="I1712" s="144" t="str">
        <f>IFERROR(__xludf.DUMMYFUNCTION("""COMPUTED_VALUE"""),"09/19")</f>
        <v>09/19</v>
      </c>
      <c r="J1712" s="129">
        <f>IFERROR(__xludf.DUMMYFUNCTION("""COMPUTED_VALUE"""),43737.0)</f>
        <v>43737</v>
      </c>
      <c r="K1712" s="133">
        <f>IFERROR(__xludf.DUMMYFUNCTION("""COMPUTED_VALUE"""),23.0)</f>
        <v>23</v>
      </c>
      <c r="L1712" s="133">
        <f>IFERROR(__xludf.DUMMYFUNCTION("""COMPUTED_VALUE"""),5.0)</f>
        <v>5</v>
      </c>
      <c r="M1712" s="133">
        <f>IFERROR(__xludf.DUMMYFUNCTION("""COMPUTED_VALUE"""),28.0)</f>
        <v>28</v>
      </c>
      <c r="N1712" s="152" t="str">
        <f>IFERROR(__xludf.DUMMYFUNCTION("""COMPUTED_VALUE"""),"Model 3 Performance")</f>
        <v>Model 3 Performance</v>
      </c>
      <c r="O1712" s="152" t="str">
        <f>IFERROR(__xludf.DUMMYFUNCTION("""COMPUTED_VALUE"""),"Pearl White Multi-Coat")</f>
        <v>Pearl White Multi-Coat</v>
      </c>
      <c r="P1712" s="153" t="str">
        <f>IFERROR(__xludf.DUMMYFUNCTION("""COMPUTED_VALUE"""),"20 inch Sport")</f>
        <v>20 inch Sport</v>
      </c>
      <c r="Q1712" s="152" t="str">
        <f>IFERROR(__xludf.DUMMYFUNCTION("""COMPUTED_VALUE"""),"White seats")</f>
        <v>White seats</v>
      </c>
      <c r="R1712" s="149" t="str">
        <f>IFERROR(__xludf.DUMMYFUNCTION("""COMPUTED_VALUE"""),"Autopilot")</f>
        <v>Autopilot</v>
      </c>
      <c r="S1712" s="149"/>
      <c r="T1712" s="145"/>
      <c r="U1712" s="145"/>
      <c r="V1712" s="145"/>
      <c r="W1712" s="136"/>
      <c r="X1712" s="137" t="str">
        <f>IFERROR(__xludf.DUMMYFUNCTION("""COMPUTED_VALUE"""),"Very Good")</f>
        <v>Very Good</v>
      </c>
      <c r="Y1712" s="138" t="str">
        <f>IFERROR(__xludf.DUMMYFUNCTION("""COMPUTED_VALUE"""),"Excellent")</f>
        <v>Excellent</v>
      </c>
      <c r="Z1712" s="138" t="str">
        <f>IFERROR(__xludf.DUMMYFUNCTION("""COMPUTED_VALUE"""),"Excellent")</f>
        <v>Excellent</v>
      </c>
      <c r="AA1712" s="138" t="str">
        <f>IFERROR(__xludf.DUMMYFUNCTION("""COMPUTED_VALUE"""),"Good")</f>
        <v>Good</v>
      </c>
      <c r="AB1712" s="138" t="str">
        <f>IFERROR(__xludf.DUMMYFUNCTION("""COMPUTED_VALUE"""),"Excellent")</f>
        <v>Excellent</v>
      </c>
      <c r="AC1712" s="139">
        <f>IFERROR(__xludf.DUMMYFUNCTION("""COMPUTED_VALUE"""),2.0)</f>
        <v>2</v>
      </c>
      <c r="AD1712" s="139">
        <f>IFERROR(__xludf.DUMMYFUNCTION("""COMPUTED_VALUE"""),2.0)</f>
        <v>2</v>
      </c>
      <c r="AE1712" s="139">
        <f>IFERROR(__xludf.DUMMYFUNCTION("""COMPUTED_VALUE"""),0.0)</f>
        <v>0</v>
      </c>
      <c r="AF1712" s="140"/>
      <c r="AG1712" s="136"/>
      <c r="AH1712" s="157">
        <f>IFERROR(__xludf.DUMMYFUNCTION("""COMPUTED_VALUE"""),43774.62758246528)</f>
        <v>43774.62758</v>
      </c>
      <c r="AI1712" s="138"/>
      <c r="AJ1712" s="138"/>
      <c r="AK1712" s="138"/>
      <c r="AL1712" s="142"/>
    </row>
    <row r="1713" ht="20.25" customHeight="1">
      <c r="A1713" s="155" t="str">
        <f>IFERROR(__xludf.DUMMYFUNCTION("""COMPUTED_VALUE"""),"TexInFla")</f>
        <v>TexInFla</v>
      </c>
      <c r="B1713" s="149" t="str">
        <f>IFERROR(__xludf.DUMMYFUNCTION("""COMPUTED_VALUE"""),"Gainesville")</f>
        <v>Gainesville</v>
      </c>
      <c r="C1713" s="149" t="str">
        <f>IFERROR(__xludf.DUMMYFUNCTION("""COMPUTED_VALUE"""),"FL")</f>
        <v>FL</v>
      </c>
      <c r="D1713" s="149" t="str">
        <f>IFERROR(__xludf.DUMMYFUNCTION("""COMPUTED_VALUE"""),"USA")</f>
        <v>USA</v>
      </c>
      <c r="E1713" s="156">
        <f>IFERROR(__xludf.DUMMYFUNCTION("""COMPUTED_VALUE"""),43709.0)</f>
        <v>43709</v>
      </c>
      <c r="F1713" s="129">
        <f>IFERROR(__xludf.DUMMYFUNCTION("""COMPUTED_VALUE"""),43718.0)</f>
        <v>43718</v>
      </c>
      <c r="G1713" s="154"/>
      <c r="H1713" s="131">
        <f>IFERROR(__xludf.DUMMYFUNCTION("""COMPUTED_VALUE"""),450948.0)</f>
        <v>450948</v>
      </c>
      <c r="I1713" s="132" t="str">
        <f>IFERROR(__xludf.DUMMYFUNCTION("""COMPUTED_VALUE"""),"09/19")</f>
        <v>09/19</v>
      </c>
      <c r="J1713" s="129">
        <f>IFERROR(__xludf.DUMMYFUNCTION("""COMPUTED_VALUE"""),43725.0)</f>
        <v>43725</v>
      </c>
      <c r="K1713" s="133">
        <f>IFERROR(__xludf.DUMMYFUNCTION("""COMPUTED_VALUE"""),9.0)</f>
        <v>9</v>
      </c>
      <c r="L1713" s="133">
        <f>IFERROR(__xludf.DUMMYFUNCTION("""COMPUTED_VALUE"""),7.0)</f>
        <v>7</v>
      </c>
      <c r="M1713" s="133">
        <f>IFERROR(__xludf.DUMMYFUNCTION("""COMPUTED_VALUE"""),16.0)</f>
        <v>16</v>
      </c>
      <c r="N1713" s="152" t="str">
        <f>IFERROR(__xludf.DUMMYFUNCTION("""COMPUTED_VALUE"""),"Model 3 LR AWD")</f>
        <v>Model 3 LR AWD</v>
      </c>
      <c r="O1713" s="152" t="str">
        <f>IFERROR(__xludf.DUMMYFUNCTION("""COMPUTED_VALUE"""),"Deep Blue Metallic")</f>
        <v>Deep Blue Metallic</v>
      </c>
      <c r="P1713" s="153" t="str">
        <f>IFERROR(__xludf.DUMMYFUNCTION("""COMPUTED_VALUE"""),"19 inch Sport")</f>
        <v>19 inch Sport</v>
      </c>
      <c r="Q1713" s="152" t="str">
        <f>IFERROR(__xludf.DUMMYFUNCTION("""COMPUTED_VALUE"""),"White seats")</f>
        <v>White seats</v>
      </c>
      <c r="R1713" s="150" t="str">
        <f>IFERROR(__xludf.DUMMYFUNCTION("""COMPUTED_VALUE"""),"Full Self-Driving")</f>
        <v>Full Self-Driving</v>
      </c>
      <c r="S1713" s="150"/>
      <c r="T1713" s="136"/>
      <c r="U1713" s="136"/>
      <c r="V1713" s="145"/>
      <c r="W1713" s="136"/>
      <c r="X1713" s="137" t="str">
        <f>IFERROR(__xludf.DUMMYFUNCTION("""COMPUTED_VALUE"""),"Excellent")</f>
        <v>Excellent</v>
      </c>
      <c r="Y1713" s="138" t="str">
        <f>IFERROR(__xludf.DUMMYFUNCTION("""COMPUTED_VALUE"""),"Excellent")</f>
        <v>Excellent</v>
      </c>
      <c r="Z1713" s="138" t="str">
        <f>IFERROR(__xludf.DUMMYFUNCTION("""COMPUTED_VALUE"""),"Excellent")</f>
        <v>Excellent</v>
      </c>
      <c r="AA1713" s="138" t="str">
        <f>IFERROR(__xludf.DUMMYFUNCTION("""COMPUTED_VALUE"""),"Good")</f>
        <v>Good</v>
      </c>
      <c r="AB1713" s="138" t="str">
        <f>IFERROR(__xludf.DUMMYFUNCTION("""COMPUTED_VALUE"""),"Very Good")</f>
        <v>Very Good</v>
      </c>
      <c r="AC1713" s="139">
        <f>IFERROR(__xludf.DUMMYFUNCTION("""COMPUTED_VALUE"""),0.0)</f>
        <v>0</v>
      </c>
      <c r="AD1713" s="139">
        <f>IFERROR(__xludf.DUMMYFUNCTION("""COMPUTED_VALUE"""),1.0)</f>
        <v>1</v>
      </c>
      <c r="AE1713" s="139">
        <f>IFERROR(__xludf.DUMMYFUNCTION("""COMPUTED_VALUE"""),0.0)</f>
        <v>0</v>
      </c>
      <c r="AF1713" s="140"/>
      <c r="AG1713" s="136" t="str">
        <f>IFERROR(__xludf.DUMMYFUNCTION("""COMPUTED_VALUE"""),"Best car I've ever owned!")</f>
        <v>Best car I've ever owned!</v>
      </c>
      <c r="AH1713" s="157">
        <f>IFERROR(__xludf.DUMMYFUNCTION("""COMPUTED_VALUE"""),43749.27261508102)</f>
        <v>43749.27262</v>
      </c>
      <c r="AI1713" s="138"/>
      <c r="AJ1713" s="138"/>
      <c r="AK1713" s="138"/>
      <c r="AL1713" s="142"/>
    </row>
    <row r="1714" ht="20.25" customHeight="1">
      <c r="A1714" s="155" t="str">
        <f>IFERROR(__xludf.DUMMYFUNCTION("""COMPUTED_VALUE"""),"blackmesa6001")</f>
        <v>blackmesa6001</v>
      </c>
      <c r="B1714" s="149" t="str">
        <f>IFERROR(__xludf.DUMMYFUNCTION("""COMPUTED_VALUE"""),"Bay Area")</f>
        <v>Bay Area</v>
      </c>
      <c r="C1714" s="149" t="str">
        <f>IFERROR(__xludf.DUMMYFUNCTION("""COMPUTED_VALUE"""),"CA")</f>
        <v>CA</v>
      </c>
      <c r="D1714" s="149" t="str">
        <f>IFERROR(__xludf.DUMMYFUNCTION("""COMPUTED_VALUE"""),"USA")</f>
        <v>USA</v>
      </c>
      <c r="E1714" s="156">
        <f>IFERROR(__xludf.DUMMYFUNCTION("""COMPUTED_VALUE"""),43708.0)</f>
        <v>43708</v>
      </c>
      <c r="F1714" s="129">
        <f>IFERROR(__xludf.DUMMYFUNCTION("""COMPUTED_VALUE"""),43728.0)</f>
        <v>43728</v>
      </c>
      <c r="G1714" s="154"/>
      <c r="H1714" s="131">
        <f>IFERROR(__xludf.DUMMYFUNCTION("""COMPUTED_VALUE"""),511555.0)</f>
        <v>511555</v>
      </c>
      <c r="I1714" s="144"/>
      <c r="J1714" s="129">
        <f>IFERROR(__xludf.DUMMYFUNCTION("""COMPUTED_VALUE"""),43729.0)</f>
        <v>43729</v>
      </c>
      <c r="K1714" s="133">
        <f>IFERROR(__xludf.DUMMYFUNCTION("""COMPUTED_VALUE"""),20.0)</f>
        <v>20</v>
      </c>
      <c r="L1714" s="133">
        <f>IFERROR(__xludf.DUMMYFUNCTION("""COMPUTED_VALUE"""),1.0)</f>
        <v>1</v>
      </c>
      <c r="M1714" s="133">
        <f>IFERROR(__xludf.DUMMYFUNCTION("""COMPUTED_VALUE"""),21.0)</f>
        <v>21</v>
      </c>
      <c r="N1714" s="152" t="str">
        <f>IFERROR(__xludf.DUMMYFUNCTION("""COMPUTED_VALUE"""),"Model 3 LR AWD")</f>
        <v>Model 3 LR AWD</v>
      </c>
      <c r="O1714" s="152" t="str">
        <f>IFERROR(__xludf.DUMMYFUNCTION("""COMPUTED_VALUE"""),"Pearl White Multi-Coat")</f>
        <v>Pearl White Multi-Coat</v>
      </c>
      <c r="P1714" s="153" t="str">
        <f>IFERROR(__xludf.DUMMYFUNCTION("""COMPUTED_VALUE"""),"18 inch Aero")</f>
        <v>18 inch Aero</v>
      </c>
      <c r="Q1714" s="152" t="str">
        <f>IFERROR(__xludf.DUMMYFUNCTION("""COMPUTED_VALUE"""),"Black seats")</f>
        <v>Black seats</v>
      </c>
      <c r="R1714" s="149" t="str">
        <f>IFERROR(__xludf.DUMMYFUNCTION("""COMPUTED_VALUE"""),"Autopilot")</f>
        <v>Autopilot</v>
      </c>
      <c r="S1714" s="149"/>
      <c r="T1714" s="145"/>
      <c r="U1714" s="145"/>
      <c r="V1714" s="145"/>
      <c r="W1714" s="145"/>
      <c r="X1714" s="137"/>
      <c r="Y1714" s="138"/>
      <c r="Z1714" s="138"/>
      <c r="AA1714" s="138" t="str">
        <f>IFERROR(__xludf.DUMMYFUNCTION("""COMPUTED_VALUE"""),"Excellent")</f>
        <v>Excellent</v>
      </c>
      <c r="AB1714" s="138"/>
      <c r="AC1714" s="139"/>
      <c r="AD1714" s="139"/>
      <c r="AE1714" s="139"/>
      <c r="AF1714" s="140"/>
      <c r="AG1714" s="145"/>
      <c r="AH1714" s="157">
        <f>IFERROR(__xludf.DUMMYFUNCTION("""COMPUTED_VALUE"""),43728.96304015046)</f>
        <v>43728.96304</v>
      </c>
      <c r="AI1714" s="138"/>
      <c r="AJ1714" s="138"/>
      <c r="AK1714" s="138"/>
      <c r="AL1714" s="142"/>
    </row>
    <row r="1715" ht="20.25" customHeight="1">
      <c r="A1715" s="155" t="str">
        <f>IFERROR(__xludf.DUMMYFUNCTION("""COMPUTED_VALUE"""),"moltenfire")</f>
        <v>moltenfire</v>
      </c>
      <c r="B1715" s="149" t="str">
        <f>IFERROR(__xludf.DUMMYFUNCTION("""COMPUTED_VALUE"""),"Toronto")</f>
        <v>Toronto</v>
      </c>
      <c r="C1715" s="149" t="str">
        <f>IFERROR(__xludf.DUMMYFUNCTION("""COMPUTED_VALUE"""),"ON")</f>
        <v>ON</v>
      </c>
      <c r="D1715" s="149" t="str">
        <f>IFERROR(__xludf.DUMMYFUNCTION("""COMPUTED_VALUE"""),"Canada")</f>
        <v>Canada</v>
      </c>
      <c r="E1715" s="156">
        <f>IFERROR(__xludf.DUMMYFUNCTION("""COMPUTED_VALUE"""),43708.0)</f>
        <v>43708</v>
      </c>
      <c r="F1715" s="129">
        <f>IFERROR(__xludf.DUMMYFUNCTION("""COMPUTED_VALUE"""),43731.0)</f>
        <v>43731</v>
      </c>
      <c r="G1715" s="154"/>
      <c r="H1715" s="131">
        <f>IFERROR(__xludf.DUMMYFUNCTION("""COMPUTED_VALUE"""),487855.0)</f>
        <v>487855</v>
      </c>
      <c r="I1715" s="132"/>
      <c r="J1715" s="129">
        <f>IFERROR(__xludf.DUMMYFUNCTION("""COMPUTED_VALUE"""),43735.0)</f>
        <v>43735</v>
      </c>
      <c r="K1715" s="133">
        <f>IFERROR(__xludf.DUMMYFUNCTION("""COMPUTED_VALUE"""),23.0)</f>
        <v>23</v>
      </c>
      <c r="L1715" s="133">
        <f>IFERROR(__xludf.DUMMYFUNCTION("""COMPUTED_VALUE"""),4.0)</f>
        <v>4</v>
      </c>
      <c r="M1715" s="133">
        <f>IFERROR(__xludf.DUMMYFUNCTION("""COMPUTED_VALUE"""),27.0)</f>
        <v>27</v>
      </c>
      <c r="N1715" s="152" t="str">
        <f>IFERROR(__xludf.DUMMYFUNCTION("""COMPUTED_VALUE"""),"Model 3 Performance")</f>
        <v>Model 3 Performance</v>
      </c>
      <c r="O1715" s="152" t="str">
        <f>IFERROR(__xludf.DUMMYFUNCTION("""COMPUTED_VALUE"""),"Pearl White Multi-Coat")</f>
        <v>Pearl White Multi-Coat</v>
      </c>
      <c r="P1715" s="153" t="str">
        <f>IFERROR(__xludf.DUMMYFUNCTION("""COMPUTED_VALUE"""),"20 inch Sport")</f>
        <v>20 inch Sport</v>
      </c>
      <c r="Q1715" s="152" t="str">
        <f>IFERROR(__xludf.DUMMYFUNCTION("""COMPUTED_VALUE"""),"Black seats")</f>
        <v>Black seats</v>
      </c>
      <c r="R1715" s="150" t="str">
        <f>IFERROR(__xludf.DUMMYFUNCTION("""COMPUTED_VALUE"""),"Autopilot")</f>
        <v>Autopilot</v>
      </c>
      <c r="S1715" s="150"/>
      <c r="T1715" s="136"/>
      <c r="U1715" s="136"/>
      <c r="V1715" s="136"/>
      <c r="W1715" s="136"/>
      <c r="X1715" s="137" t="str">
        <f>IFERROR(__xludf.DUMMYFUNCTION("""COMPUTED_VALUE"""),"Very Good")</f>
        <v>Very Good</v>
      </c>
      <c r="Y1715" s="138" t="str">
        <f>IFERROR(__xludf.DUMMYFUNCTION("""COMPUTED_VALUE"""),"Very Good")</f>
        <v>Very Good</v>
      </c>
      <c r="Z1715" s="138" t="str">
        <f>IFERROR(__xludf.DUMMYFUNCTION("""COMPUTED_VALUE"""),"Excellent")</f>
        <v>Excellent</v>
      </c>
      <c r="AA1715" s="138" t="str">
        <f>IFERROR(__xludf.DUMMYFUNCTION("""COMPUTED_VALUE"""),"Very Good")</f>
        <v>Very Good</v>
      </c>
      <c r="AB1715" s="138" t="str">
        <f>IFERROR(__xludf.DUMMYFUNCTION("""COMPUTED_VALUE"""),"Excellent")</f>
        <v>Excellent</v>
      </c>
      <c r="AC1715" s="139"/>
      <c r="AD1715" s="139"/>
      <c r="AE1715" s="139"/>
      <c r="AF1715" s="140"/>
      <c r="AG1715" s="136" t="str">
        <f>IFERROR(__xludf.DUMMYFUNCTION("""COMPUTED_VALUE"""),"Had 397606 Sept 10 but was old VIN and removed Sept 19; new VIN Sept 23")</f>
        <v>Had 397606 Sept 10 but was old VIN and removed Sept 19; new VIN Sept 23</v>
      </c>
      <c r="AH1715" s="157">
        <f>IFERROR(__xludf.DUMMYFUNCTION("""COMPUTED_VALUE"""),43736.86126763889)</f>
        <v>43736.86127</v>
      </c>
      <c r="AI1715" s="138"/>
      <c r="AJ1715" s="138"/>
      <c r="AK1715" s="138"/>
      <c r="AL1715" s="142"/>
    </row>
    <row r="1716" ht="20.25" customHeight="1">
      <c r="A1716" s="155" t="str">
        <f>IFERROR(__xludf.DUMMYFUNCTION("""COMPUTED_VALUE"""),"RAP")</f>
        <v>RAP</v>
      </c>
      <c r="B1716" s="149" t="str">
        <f>IFERROR(__xludf.DUMMYFUNCTION("""COMPUTED_VALUE"""),"Chicago")</f>
        <v>Chicago</v>
      </c>
      <c r="C1716" s="149" t="str">
        <f>IFERROR(__xludf.DUMMYFUNCTION("""COMPUTED_VALUE"""),"IL")</f>
        <v>IL</v>
      </c>
      <c r="D1716" s="149" t="str">
        <f>IFERROR(__xludf.DUMMYFUNCTION("""COMPUTED_VALUE"""),"USA")</f>
        <v>USA</v>
      </c>
      <c r="E1716" s="156">
        <f>IFERROR(__xludf.DUMMYFUNCTION("""COMPUTED_VALUE"""),43707.0)</f>
        <v>43707</v>
      </c>
      <c r="F1716" s="129">
        <f>IFERROR(__xludf.DUMMYFUNCTION("""COMPUTED_VALUE"""),43724.0)</f>
        <v>43724</v>
      </c>
      <c r="G1716" s="154"/>
      <c r="H1716" s="131">
        <f>IFERROR(__xludf.DUMMYFUNCTION("""COMPUTED_VALUE"""),477655.0)</f>
        <v>477655</v>
      </c>
      <c r="I1716" s="132"/>
      <c r="J1716" s="129">
        <f>IFERROR(__xludf.DUMMYFUNCTION("""COMPUTED_VALUE"""),43735.0)</f>
        <v>43735</v>
      </c>
      <c r="K1716" s="133">
        <f>IFERROR(__xludf.DUMMYFUNCTION("""COMPUTED_VALUE"""),17.0)</f>
        <v>17</v>
      </c>
      <c r="L1716" s="133">
        <f>IFERROR(__xludf.DUMMYFUNCTION("""COMPUTED_VALUE"""),11.0)</f>
        <v>11</v>
      </c>
      <c r="M1716" s="133">
        <f>IFERROR(__xludf.DUMMYFUNCTION("""COMPUTED_VALUE"""),28.0)</f>
        <v>28</v>
      </c>
      <c r="N1716" s="152" t="str">
        <f>IFERROR(__xludf.DUMMYFUNCTION("""COMPUTED_VALUE"""),"Model 3 Performance")</f>
        <v>Model 3 Performance</v>
      </c>
      <c r="O1716" s="152" t="str">
        <f>IFERROR(__xludf.DUMMYFUNCTION("""COMPUTED_VALUE"""),"Deep Blue Metallic")</f>
        <v>Deep Blue Metallic</v>
      </c>
      <c r="P1716" s="153" t="str">
        <f>IFERROR(__xludf.DUMMYFUNCTION("""COMPUTED_VALUE"""),"20 inch Sport")</f>
        <v>20 inch Sport</v>
      </c>
      <c r="Q1716" s="152" t="str">
        <f>IFERROR(__xludf.DUMMYFUNCTION("""COMPUTED_VALUE"""),"White seats")</f>
        <v>White seats</v>
      </c>
      <c r="R1716" s="150" t="str">
        <f>IFERROR(__xludf.DUMMYFUNCTION("""COMPUTED_VALUE"""),"Full Self-Driving")</f>
        <v>Full Self-Driving</v>
      </c>
      <c r="S1716" s="150"/>
      <c r="T1716" s="136"/>
      <c r="U1716" s="136"/>
      <c r="V1716" s="136"/>
      <c r="W1716" s="136"/>
      <c r="X1716" s="137" t="str">
        <f>IFERROR(__xludf.DUMMYFUNCTION("""COMPUTED_VALUE"""),"Very Good")</f>
        <v>Very Good</v>
      </c>
      <c r="Y1716" s="138" t="str">
        <f>IFERROR(__xludf.DUMMYFUNCTION("""COMPUTED_VALUE"""),"Excellent")</f>
        <v>Excellent</v>
      </c>
      <c r="Z1716" s="138" t="str">
        <f>IFERROR(__xludf.DUMMYFUNCTION("""COMPUTED_VALUE"""),"Poor")</f>
        <v>Poor</v>
      </c>
      <c r="AA1716" s="138" t="str">
        <f>IFERROR(__xludf.DUMMYFUNCTION("""COMPUTED_VALUE"""),"Excellent")</f>
        <v>Excellent</v>
      </c>
      <c r="AB1716" s="138" t="str">
        <f>IFERROR(__xludf.DUMMYFUNCTION("""COMPUTED_VALUE"""),"Good")</f>
        <v>Good</v>
      </c>
      <c r="AC1716" s="139">
        <f>IFERROR(__xludf.DUMMYFUNCTION("""COMPUTED_VALUE"""),1.0)</f>
        <v>1</v>
      </c>
      <c r="AD1716" s="139"/>
      <c r="AE1716" s="139">
        <f>IFERROR(__xludf.DUMMYFUNCTION("""COMPUTED_VALUE"""),1.0)</f>
        <v>1</v>
      </c>
      <c r="AF1716" s="140"/>
      <c r="AG1716" s="136" t="str">
        <f>IFERROR(__xludf.DUMMYFUNCTION("""COMPUTED_VALUE"""),"VIN in source 9/16. Also added FSD earlier in the day. Delivery offered 9/24. Took delivery 9/27--large crack in sunroof found. Repaired next day.")</f>
        <v>VIN in source 9/16. Also added FSD earlier in the day. Delivery offered 9/24. Took delivery 9/27--large crack in sunroof found. Repaired next day.</v>
      </c>
      <c r="AH1716" s="157">
        <f>IFERROR(__xludf.DUMMYFUNCTION("""COMPUTED_VALUE"""),43736.23850559028)</f>
        <v>43736.23851</v>
      </c>
      <c r="AI1716" s="138"/>
      <c r="AJ1716" s="138"/>
      <c r="AK1716" s="138"/>
      <c r="AL1716" s="142"/>
    </row>
    <row r="1717" ht="20.25" customHeight="1">
      <c r="A1717" s="155" t="str">
        <f>IFERROR(__xludf.DUMMYFUNCTION("""COMPUTED_VALUE"""),"adamjg")</f>
        <v>adamjg</v>
      </c>
      <c r="B1717" s="149" t="str">
        <f>IFERROR(__xludf.DUMMYFUNCTION("""COMPUTED_VALUE"""),"Houston")</f>
        <v>Houston</v>
      </c>
      <c r="C1717" s="149" t="str">
        <f>IFERROR(__xludf.DUMMYFUNCTION("""COMPUTED_VALUE"""),"TX")</f>
        <v>TX</v>
      </c>
      <c r="D1717" s="149" t="str">
        <f>IFERROR(__xludf.DUMMYFUNCTION("""COMPUTED_VALUE"""),"USA")</f>
        <v>USA</v>
      </c>
      <c r="E1717" s="156">
        <f>IFERROR(__xludf.DUMMYFUNCTION("""COMPUTED_VALUE"""),43706.0)</f>
        <v>43706</v>
      </c>
      <c r="F1717" s="129">
        <f>IFERROR(__xludf.DUMMYFUNCTION("""COMPUTED_VALUE"""),43718.0)</f>
        <v>43718</v>
      </c>
      <c r="G1717" s="154"/>
      <c r="H1717" s="131">
        <f>IFERROR(__xludf.DUMMYFUNCTION("""COMPUTED_VALUE"""),441355.0)</f>
        <v>441355</v>
      </c>
      <c r="I1717" s="144"/>
      <c r="J1717" s="129">
        <f>IFERROR(__xludf.DUMMYFUNCTION("""COMPUTED_VALUE"""),43728.0)</f>
        <v>43728</v>
      </c>
      <c r="K1717" s="133">
        <f>IFERROR(__xludf.DUMMYFUNCTION("""COMPUTED_VALUE"""),12.0)</f>
        <v>12</v>
      </c>
      <c r="L1717" s="133">
        <f>IFERROR(__xludf.DUMMYFUNCTION("""COMPUTED_VALUE"""),10.0)</f>
        <v>10</v>
      </c>
      <c r="M1717" s="133">
        <f>IFERROR(__xludf.DUMMYFUNCTION("""COMPUTED_VALUE"""),22.0)</f>
        <v>22</v>
      </c>
      <c r="N1717" s="152" t="str">
        <f>IFERROR(__xludf.DUMMYFUNCTION("""COMPUTED_VALUE"""),"Model 3 SR+")</f>
        <v>Model 3 SR+</v>
      </c>
      <c r="O1717" s="152" t="str">
        <f>IFERROR(__xludf.DUMMYFUNCTION("""COMPUTED_VALUE"""),"Deep Blue Metallic")</f>
        <v>Deep Blue Metallic</v>
      </c>
      <c r="P1717" s="153" t="str">
        <f>IFERROR(__xludf.DUMMYFUNCTION("""COMPUTED_VALUE"""),"19 inch Sport")</f>
        <v>19 inch Sport</v>
      </c>
      <c r="Q1717" s="152" t="str">
        <f>IFERROR(__xludf.DUMMYFUNCTION("""COMPUTED_VALUE"""),"Black seats")</f>
        <v>Black seats</v>
      </c>
      <c r="R1717" s="149" t="str">
        <f>IFERROR(__xludf.DUMMYFUNCTION("""COMPUTED_VALUE"""),"Autopilot")</f>
        <v>Autopilot</v>
      </c>
      <c r="S1717" s="149"/>
      <c r="T1717" s="145"/>
      <c r="U1717" s="145"/>
      <c r="V1717" s="145"/>
      <c r="W1717" s="136"/>
      <c r="X1717" s="162" t="str">
        <f>IFERROR(__xludf.DUMMYFUNCTION("""COMPUTED_VALUE"""),"Very Good")</f>
        <v>Very Good</v>
      </c>
      <c r="Y1717" s="138" t="str">
        <f>IFERROR(__xludf.DUMMYFUNCTION("""COMPUTED_VALUE"""),"Excellent")</f>
        <v>Excellent</v>
      </c>
      <c r="Z1717" s="138" t="str">
        <f>IFERROR(__xludf.DUMMYFUNCTION("""COMPUTED_VALUE"""),"Excellent")</f>
        <v>Excellent</v>
      </c>
      <c r="AA1717" s="138" t="str">
        <f>IFERROR(__xludf.DUMMYFUNCTION("""COMPUTED_VALUE"""),"Very Good")</f>
        <v>Very Good</v>
      </c>
      <c r="AB1717" s="138" t="str">
        <f>IFERROR(__xludf.DUMMYFUNCTION("""COMPUTED_VALUE"""),"Excellent")</f>
        <v>Excellent</v>
      </c>
      <c r="AC1717" s="139"/>
      <c r="AD1717" s="139"/>
      <c r="AE1717" s="139"/>
      <c r="AF1717" s="140"/>
      <c r="AG1717" s="136"/>
      <c r="AH1717" s="157">
        <f>IFERROR(__xludf.DUMMYFUNCTION("""COMPUTED_VALUE"""),43741.429609317136)</f>
        <v>43741.42961</v>
      </c>
      <c r="AI1717" s="138"/>
      <c r="AJ1717" s="138"/>
      <c r="AK1717" s="138"/>
      <c r="AL1717" s="142"/>
    </row>
    <row r="1718" ht="20.25" customHeight="1">
      <c r="A1718" s="155" t="str">
        <f>IFERROR(__xludf.DUMMYFUNCTION("""COMPUTED_VALUE"""),"chewyc")</f>
        <v>chewyc</v>
      </c>
      <c r="B1718" s="149" t="str">
        <f>IFERROR(__xludf.DUMMYFUNCTION("""COMPUTED_VALUE"""),"Los Angeles")</f>
        <v>Los Angeles</v>
      </c>
      <c r="C1718" s="149" t="str">
        <f>IFERROR(__xludf.DUMMYFUNCTION("""COMPUTED_VALUE"""),"CA")</f>
        <v>CA</v>
      </c>
      <c r="D1718" s="149" t="str">
        <f>IFERROR(__xludf.DUMMYFUNCTION("""COMPUTED_VALUE"""),"USA")</f>
        <v>USA</v>
      </c>
      <c r="E1718" s="156">
        <f>IFERROR(__xludf.DUMMYFUNCTION("""COMPUTED_VALUE"""),43706.0)</f>
        <v>43706</v>
      </c>
      <c r="F1718" s="129">
        <f>IFERROR(__xludf.DUMMYFUNCTION("""COMPUTED_VALUE"""),43730.0)</f>
        <v>43730</v>
      </c>
      <c r="G1718" s="154"/>
      <c r="H1718" s="131">
        <f>IFERROR(__xludf.DUMMYFUNCTION("""COMPUTED_VALUE"""),441600.0)</f>
        <v>441600</v>
      </c>
      <c r="I1718" s="144" t="str">
        <f>IFERROR(__xludf.DUMMYFUNCTION("""COMPUTED_VALUE"""),"09/19")</f>
        <v>09/19</v>
      </c>
      <c r="J1718" s="129">
        <f>IFERROR(__xludf.DUMMYFUNCTION("""COMPUTED_VALUE"""),43732.0)</f>
        <v>43732</v>
      </c>
      <c r="K1718" s="133">
        <f>IFERROR(__xludf.DUMMYFUNCTION("""COMPUTED_VALUE"""),24.0)</f>
        <v>24</v>
      </c>
      <c r="L1718" s="133">
        <f>IFERROR(__xludf.DUMMYFUNCTION("""COMPUTED_VALUE"""),2.0)</f>
        <v>2</v>
      </c>
      <c r="M1718" s="133">
        <f>IFERROR(__xludf.DUMMYFUNCTION("""COMPUTED_VALUE"""),26.0)</f>
        <v>26</v>
      </c>
      <c r="N1718" s="152" t="str">
        <f>IFERROR(__xludf.DUMMYFUNCTION("""COMPUTED_VALUE"""),"Model 3 Performance")</f>
        <v>Model 3 Performance</v>
      </c>
      <c r="O1718" s="152" t="str">
        <f>IFERROR(__xludf.DUMMYFUNCTION("""COMPUTED_VALUE"""),"Solid Black")</f>
        <v>Solid Black</v>
      </c>
      <c r="P1718" s="153" t="str">
        <f>IFERROR(__xludf.DUMMYFUNCTION("""COMPUTED_VALUE"""),"20 inch Sport")</f>
        <v>20 inch Sport</v>
      </c>
      <c r="Q1718" s="152" t="str">
        <f>IFERROR(__xludf.DUMMYFUNCTION("""COMPUTED_VALUE"""),"Black seats")</f>
        <v>Black seats</v>
      </c>
      <c r="R1718" s="149" t="str">
        <f>IFERROR(__xludf.DUMMYFUNCTION("""COMPUTED_VALUE"""),"Autopilot")</f>
        <v>Autopilot</v>
      </c>
      <c r="S1718" s="149"/>
      <c r="T1718" s="145"/>
      <c r="U1718" s="145"/>
      <c r="V1718" s="145"/>
      <c r="W1718" s="145"/>
      <c r="X1718" s="137" t="str">
        <f>IFERROR(__xludf.DUMMYFUNCTION("""COMPUTED_VALUE"""),"Very Good")</f>
        <v>Very Good</v>
      </c>
      <c r="Y1718" s="138" t="str">
        <f>IFERROR(__xludf.DUMMYFUNCTION("""COMPUTED_VALUE"""),"Excellent")</f>
        <v>Excellent</v>
      </c>
      <c r="Z1718" s="138" t="str">
        <f>IFERROR(__xludf.DUMMYFUNCTION("""COMPUTED_VALUE"""),"Very Good")</f>
        <v>Very Good</v>
      </c>
      <c r="AA1718" s="138" t="str">
        <f>IFERROR(__xludf.DUMMYFUNCTION("""COMPUTED_VALUE"""),"Excellent")</f>
        <v>Excellent</v>
      </c>
      <c r="AB1718" s="138" t="str">
        <f>IFERROR(__xludf.DUMMYFUNCTION("""COMPUTED_VALUE"""),"Excellent")</f>
        <v>Excellent</v>
      </c>
      <c r="AC1718" s="139">
        <f>IFERROR(__xludf.DUMMYFUNCTION("""COMPUTED_VALUE"""),2.0)</f>
        <v>2</v>
      </c>
      <c r="AD1718" s="139">
        <f>IFERROR(__xludf.DUMMYFUNCTION("""COMPUTED_VALUE"""),1.0)</f>
        <v>1</v>
      </c>
      <c r="AE1718" s="139"/>
      <c r="AF1718" s="140"/>
      <c r="AG1718" s="145"/>
      <c r="AH1718" s="157">
        <f>IFERROR(__xludf.DUMMYFUNCTION("""COMPUTED_VALUE"""),43734.38217085648)</f>
        <v>43734.38217</v>
      </c>
      <c r="AI1718" s="138"/>
      <c r="AJ1718" s="138"/>
      <c r="AK1718" s="138"/>
      <c r="AL1718" s="142"/>
    </row>
    <row r="1719" ht="20.25" customHeight="1">
      <c r="A1719" s="155" t="str">
        <f>IFERROR(__xludf.DUMMYFUNCTION("""COMPUTED_VALUE"""),"Temporalis")</f>
        <v>Temporalis</v>
      </c>
      <c r="B1719" s="149" t="str">
        <f>IFERROR(__xludf.DUMMYFUNCTION("""COMPUTED_VALUE"""),"Bellevue")</f>
        <v>Bellevue</v>
      </c>
      <c r="C1719" s="149" t="str">
        <f>IFERROR(__xludf.DUMMYFUNCTION("""COMPUTED_VALUE"""),"WA")</f>
        <v>WA</v>
      </c>
      <c r="D1719" s="149" t="str">
        <f>IFERROR(__xludf.DUMMYFUNCTION("""COMPUTED_VALUE"""),"USA")</f>
        <v>USA</v>
      </c>
      <c r="E1719" s="156">
        <f>IFERROR(__xludf.DUMMYFUNCTION("""COMPUTED_VALUE"""),43705.0)</f>
        <v>43705</v>
      </c>
      <c r="F1719" s="129">
        <f>IFERROR(__xludf.DUMMYFUNCTION("""COMPUTED_VALUE"""),43714.0)</f>
        <v>43714</v>
      </c>
      <c r="G1719" s="154"/>
      <c r="H1719" s="131">
        <f>IFERROR(__xludf.DUMMYFUNCTION("""COMPUTED_VALUE"""),421655.0)</f>
        <v>421655</v>
      </c>
      <c r="I1719" s="144" t="str">
        <f>IFERROR(__xludf.DUMMYFUNCTION("""COMPUTED_VALUE"""),"06/19")</f>
        <v>06/19</v>
      </c>
      <c r="J1719" s="129">
        <f>IFERROR(__xludf.DUMMYFUNCTION("""COMPUTED_VALUE"""),43720.0)</f>
        <v>43720</v>
      </c>
      <c r="K1719" s="133">
        <f>IFERROR(__xludf.DUMMYFUNCTION("""COMPUTED_VALUE"""),9.0)</f>
        <v>9</v>
      </c>
      <c r="L1719" s="133">
        <f>IFERROR(__xludf.DUMMYFUNCTION("""COMPUTED_VALUE"""),6.0)</f>
        <v>6</v>
      </c>
      <c r="M1719" s="133">
        <f>IFERROR(__xludf.DUMMYFUNCTION("""COMPUTED_VALUE"""),15.0)</f>
        <v>15</v>
      </c>
      <c r="N1719" s="152" t="str">
        <f>IFERROR(__xludf.DUMMYFUNCTION("""COMPUTED_VALUE"""),"Model 3 LR AWD")</f>
        <v>Model 3 LR AWD</v>
      </c>
      <c r="O1719" s="152" t="str">
        <f>IFERROR(__xludf.DUMMYFUNCTION("""COMPUTED_VALUE"""),"Pearl White Multi-Coat")</f>
        <v>Pearl White Multi-Coat</v>
      </c>
      <c r="P1719" s="153" t="str">
        <f>IFERROR(__xludf.DUMMYFUNCTION("""COMPUTED_VALUE"""),"18 inch Aero")</f>
        <v>18 inch Aero</v>
      </c>
      <c r="Q1719" s="152" t="str">
        <f>IFERROR(__xludf.DUMMYFUNCTION("""COMPUTED_VALUE"""),"White seats")</f>
        <v>White seats</v>
      </c>
      <c r="R1719" s="149" t="str">
        <f>IFERROR(__xludf.DUMMYFUNCTION("""COMPUTED_VALUE"""),"Full Self-Driving")</f>
        <v>Full Self-Driving</v>
      </c>
      <c r="S1719" s="149"/>
      <c r="T1719" s="145"/>
      <c r="U1719" s="145"/>
      <c r="V1719" s="145"/>
      <c r="W1719" s="145"/>
      <c r="X1719" s="137" t="str">
        <f>IFERROR(__xludf.DUMMYFUNCTION("""COMPUTED_VALUE"""),"Very Good")</f>
        <v>Very Good</v>
      </c>
      <c r="Y1719" s="138" t="str">
        <f>IFERROR(__xludf.DUMMYFUNCTION("""COMPUTED_VALUE"""),"Excellent")</f>
        <v>Excellent</v>
      </c>
      <c r="Z1719" s="138" t="str">
        <f>IFERROR(__xludf.DUMMYFUNCTION("""COMPUTED_VALUE"""),"Excellent")</f>
        <v>Excellent</v>
      </c>
      <c r="AA1719" s="138" t="str">
        <f>IFERROR(__xludf.DUMMYFUNCTION("""COMPUTED_VALUE"""),"Poor")</f>
        <v>Poor</v>
      </c>
      <c r="AB1719" s="138" t="str">
        <f>IFERROR(__xludf.DUMMYFUNCTION("""COMPUTED_VALUE"""),"Excellent")</f>
        <v>Excellent</v>
      </c>
      <c r="AC1719" s="139"/>
      <c r="AD1719" s="139"/>
      <c r="AE1719" s="139"/>
      <c r="AF1719" s="140"/>
      <c r="AG1719" s="145" t="str">
        <f>IFERROR(__xludf.DUMMYFUNCTION("""COMPUTED_VALUE"""),"Matched to inventory vehicle")</f>
        <v>Matched to inventory vehicle</v>
      </c>
      <c r="AH1719" s="157">
        <f>IFERROR(__xludf.DUMMYFUNCTION("""COMPUTED_VALUE"""),43721.59629925926)</f>
        <v>43721.5963</v>
      </c>
      <c r="AI1719" s="138"/>
      <c r="AJ1719" s="138"/>
      <c r="AK1719" s="138"/>
      <c r="AL1719" s="142"/>
    </row>
    <row r="1720" ht="20.25" customHeight="1">
      <c r="A1720" s="155" t="str">
        <f>IFERROR(__xludf.DUMMYFUNCTION("""COMPUTED_VALUE"""),"tillerty")</f>
        <v>tillerty</v>
      </c>
      <c r="B1720" s="149" t="str">
        <f>IFERROR(__xludf.DUMMYFUNCTION("""COMPUTED_VALUE"""),"San Diego")</f>
        <v>San Diego</v>
      </c>
      <c r="C1720" s="149" t="str">
        <f>IFERROR(__xludf.DUMMYFUNCTION("""COMPUTED_VALUE"""),"CA")</f>
        <v>CA</v>
      </c>
      <c r="D1720" s="149" t="str">
        <f>IFERROR(__xludf.DUMMYFUNCTION("""COMPUTED_VALUE"""),"USA")</f>
        <v>USA</v>
      </c>
      <c r="E1720" s="156">
        <f>IFERROR(__xludf.DUMMYFUNCTION("""COMPUTED_VALUE"""),43705.0)</f>
        <v>43705</v>
      </c>
      <c r="F1720" s="129">
        <f>IFERROR(__xludf.DUMMYFUNCTION("""COMPUTED_VALUE"""),43715.0)</f>
        <v>43715</v>
      </c>
      <c r="G1720" s="154"/>
      <c r="H1720" s="131">
        <f>IFERROR(__xludf.DUMMYFUNCTION("""COMPUTED_VALUE"""),469955.0)</f>
        <v>469955</v>
      </c>
      <c r="I1720" s="132"/>
      <c r="J1720" s="129">
        <f>IFERROR(__xludf.DUMMYFUNCTION("""COMPUTED_VALUE"""),43715.0)</f>
        <v>43715</v>
      </c>
      <c r="K1720" s="133">
        <f>IFERROR(__xludf.DUMMYFUNCTION("""COMPUTED_VALUE"""),10.0)</f>
        <v>10</v>
      </c>
      <c r="L1720" s="133">
        <f>IFERROR(__xludf.DUMMYFUNCTION("""COMPUTED_VALUE"""),0.0)</f>
        <v>0</v>
      </c>
      <c r="M1720" s="133">
        <f>IFERROR(__xludf.DUMMYFUNCTION("""COMPUTED_VALUE"""),10.0)</f>
        <v>10</v>
      </c>
      <c r="N1720" s="152" t="str">
        <f>IFERROR(__xludf.DUMMYFUNCTION("""COMPUTED_VALUE"""),"Model 3 LR AWD")</f>
        <v>Model 3 LR AWD</v>
      </c>
      <c r="O1720" s="152" t="str">
        <f>IFERROR(__xludf.DUMMYFUNCTION("""COMPUTED_VALUE"""),"Deep Blue Metallic")</f>
        <v>Deep Blue Metallic</v>
      </c>
      <c r="P1720" s="153" t="str">
        <f>IFERROR(__xludf.DUMMYFUNCTION("""COMPUTED_VALUE"""),"18 inch Aero")</f>
        <v>18 inch Aero</v>
      </c>
      <c r="Q1720" s="152" t="str">
        <f>IFERROR(__xludf.DUMMYFUNCTION("""COMPUTED_VALUE"""),"White seats")</f>
        <v>White seats</v>
      </c>
      <c r="R1720" s="150" t="str">
        <f>IFERROR(__xludf.DUMMYFUNCTION("""COMPUTED_VALUE"""),"Autopilot")</f>
        <v>Autopilot</v>
      </c>
      <c r="S1720" s="150"/>
      <c r="T1720" s="136"/>
      <c r="U1720" s="136"/>
      <c r="V1720" s="136"/>
      <c r="W1720" s="136"/>
      <c r="X1720" s="137" t="str">
        <f>IFERROR(__xludf.DUMMYFUNCTION("""COMPUTED_VALUE"""),"Very Good")</f>
        <v>Very Good</v>
      </c>
      <c r="Y1720" s="138" t="str">
        <f>IFERROR(__xludf.DUMMYFUNCTION("""COMPUTED_VALUE"""),"Excellent")</f>
        <v>Excellent</v>
      </c>
      <c r="Z1720" s="138" t="str">
        <f>IFERROR(__xludf.DUMMYFUNCTION("""COMPUTED_VALUE"""),"Very Good")</f>
        <v>Very Good</v>
      </c>
      <c r="AA1720" s="138" t="str">
        <f>IFERROR(__xludf.DUMMYFUNCTION("""COMPUTED_VALUE"""),"Very Good")</f>
        <v>Very Good</v>
      </c>
      <c r="AB1720" s="138" t="str">
        <f>IFERROR(__xludf.DUMMYFUNCTION("""COMPUTED_VALUE"""),"Very Good")</f>
        <v>Very Good</v>
      </c>
      <c r="AC1720" s="139">
        <f>IFERROR(__xludf.DUMMYFUNCTION("""COMPUTED_VALUE"""),5.0)</f>
        <v>5</v>
      </c>
      <c r="AD1720" s="139">
        <f>IFERROR(__xludf.DUMMYFUNCTION("""COMPUTED_VALUE"""),1.0)</f>
        <v>1</v>
      </c>
      <c r="AE1720" s="139">
        <f>IFERROR(__xludf.DUMMYFUNCTION("""COMPUTED_VALUE"""),3.0)</f>
        <v>3</v>
      </c>
      <c r="AF1720" s="140"/>
      <c r="AG1720" s="136" t="str">
        <f>IFERROR(__xludf.DUMMYFUNCTION("""COMPUTED_VALUE"""),"Da found car in inventory")</f>
        <v>Da found car in inventory</v>
      </c>
      <c r="AH1720" s="157">
        <f>IFERROR(__xludf.DUMMYFUNCTION("""COMPUTED_VALUE"""),43730.98421884259)</f>
        <v>43730.98422</v>
      </c>
      <c r="AI1720" s="138"/>
      <c r="AJ1720" s="138"/>
      <c r="AK1720" s="138"/>
      <c r="AL1720" s="142"/>
    </row>
    <row r="1721" ht="20.25" customHeight="1">
      <c r="A1721" s="155" t="str">
        <f>IFERROR(__xludf.DUMMYFUNCTION("""COMPUTED_VALUE"""),"photonphil")</f>
        <v>photonphil</v>
      </c>
      <c r="B1721" s="149" t="str">
        <f>IFERROR(__xludf.DUMMYFUNCTION("""COMPUTED_VALUE"""),"SF Bay Area")</f>
        <v>SF Bay Area</v>
      </c>
      <c r="C1721" s="149" t="str">
        <f>IFERROR(__xludf.DUMMYFUNCTION("""COMPUTED_VALUE"""),"CA")</f>
        <v>CA</v>
      </c>
      <c r="D1721" s="149" t="str">
        <f>IFERROR(__xludf.DUMMYFUNCTION("""COMPUTED_VALUE"""),"USA")</f>
        <v>USA</v>
      </c>
      <c r="E1721" s="156">
        <f>IFERROR(__xludf.DUMMYFUNCTION("""COMPUTED_VALUE"""),43704.0)</f>
        <v>43704</v>
      </c>
      <c r="F1721" s="129">
        <f>IFERROR(__xludf.DUMMYFUNCTION("""COMPUTED_VALUE"""),43726.0)</f>
        <v>43726</v>
      </c>
      <c r="G1721" s="154"/>
      <c r="H1721" s="131">
        <f>IFERROR(__xludf.DUMMYFUNCTION("""COMPUTED_VALUE"""),447655.0)</f>
        <v>447655</v>
      </c>
      <c r="I1721" s="144" t="str">
        <f>IFERROR(__xludf.DUMMYFUNCTION("""COMPUTED_VALUE"""),"09/19")</f>
        <v>09/19</v>
      </c>
      <c r="J1721" s="129">
        <f>IFERROR(__xludf.DUMMYFUNCTION("""COMPUTED_VALUE"""),43729.0)</f>
        <v>43729</v>
      </c>
      <c r="K1721" s="133">
        <f>IFERROR(__xludf.DUMMYFUNCTION("""COMPUTED_VALUE"""),22.0)</f>
        <v>22</v>
      </c>
      <c r="L1721" s="133">
        <f>IFERROR(__xludf.DUMMYFUNCTION("""COMPUTED_VALUE"""),3.0)</f>
        <v>3</v>
      </c>
      <c r="M1721" s="133">
        <f>IFERROR(__xludf.DUMMYFUNCTION("""COMPUTED_VALUE"""),25.0)</f>
        <v>25</v>
      </c>
      <c r="N1721" s="152" t="str">
        <f>IFERROR(__xludf.DUMMYFUNCTION("""COMPUTED_VALUE"""),"Model 3 Performance")</f>
        <v>Model 3 Performance</v>
      </c>
      <c r="O1721" s="152" t="str">
        <f>IFERROR(__xludf.DUMMYFUNCTION("""COMPUTED_VALUE"""),"Midnight Silver Metallic")</f>
        <v>Midnight Silver Metallic</v>
      </c>
      <c r="P1721" s="153" t="str">
        <f>IFERROR(__xludf.DUMMYFUNCTION("""COMPUTED_VALUE"""),"20 inch Sport")</f>
        <v>20 inch Sport</v>
      </c>
      <c r="Q1721" s="152" t="str">
        <f>IFERROR(__xludf.DUMMYFUNCTION("""COMPUTED_VALUE"""),"White seats")</f>
        <v>White seats</v>
      </c>
      <c r="R1721" s="149" t="str">
        <f>IFERROR(__xludf.DUMMYFUNCTION("""COMPUTED_VALUE"""),"Full Self-Driving")</f>
        <v>Full Self-Driving</v>
      </c>
      <c r="S1721" s="149"/>
      <c r="T1721" s="145"/>
      <c r="U1721" s="145"/>
      <c r="V1721" s="145"/>
      <c r="W1721" s="136"/>
      <c r="X1721" s="151" t="str">
        <f>IFERROR(__xludf.DUMMYFUNCTION("""COMPUTED_VALUE"""),"Good")</f>
        <v>Good</v>
      </c>
      <c r="Y1721" s="138" t="str">
        <f>IFERROR(__xludf.DUMMYFUNCTION("""COMPUTED_VALUE"""),"Very Good")</f>
        <v>Very Good</v>
      </c>
      <c r="Z1721" s="138" t="str">
        <f>IFERROR(__xludf.DUMMYFUNCTION("""COMPUTED_VALUE"""),"Good")</f>
        <v>Good</v>
      </c>
      <c r="AA1721" s="138" t="str">
        <f>IFERROR(__xludf.DUMMYFUNCTION("""COMPUTED_VALUE"""),"Fair")</f>
        <v>Fair</v>
      </c>
      <c r="AB1721" s="138" t="str">
        <f>IFERROR(__xludf.DUMMYFUNCTION("""COMPUTED_VALUE"""),"Fair")</f>
        <v>Fair</v>
      </c>
      <c r="AC1721" s="139">
        <f>IFERROR(__xludf.DUMMYFUNCTION("""COMPUTED_VALUE"""),2.0)</f>
        <v>2</v>
      </c>
      <c r="AD1721" s="139"/>
      <c r="AE1721" s="139"/>
      <c r="AF1721" s="140"/>
      <c r="AG1721" s="136"/>
      <c r="AH1721" s="157">
        <f>IFERROR(__xludf.DUMMYFUNCTION("""COMPUTED_VALUE"""),43728.95012018518)</f>
        <v>43728.95012</v>
      </c>
      <c r="AI1721" s="138"/>
      <c r="AJ1721" s="138"/>
      <c r="AK1721" s="138"/>
      <c r="AL1721" s="142"/>
    </row>
    <row r="1722" ht="20.25" customHeight="1">
      <c r="A1722" s="155" t="str">
        <f>IFERROR(__xludf.DUMMYFUNCTION("""COMPUTED_VALUE"""),"KGreb")</f>
        <v>KGreb</v>
      </c>
      <c r="B1722" s="149" t="str">
        <f>IFERROR(__xludf.DUMMYFUNCTION("""COMPUTED_VALUE"""),"Houston")</f>
        <v>Houston</v>
      </c>
      <c r="C1722" s="149" t="str">
        <f>IFERROR(__xludf.DUMMYFUNCTION("""COMPUTED_VALUE"""),"TX")</f>
        <v>TX</v>
      </c>
      <c r="D1722" s="149" t="str">
        <f>IFERROR(__xludf.DUMMYFUNCTION("""COMPUTED_VALUE"""),"USA")</f>
        <v>USA</v>
      </c>
      <c r="E1722" s="156">
        <f>IFERROR(__xludf.DUMMYFUNCTION("""COMPUTED_VALUE"""),43703.0)</f>
        <v>43703</v>
      </c>
      <c r="F1722" s="129">
        <f>IFERROR(__xludf.DUMMYFUNCTION("""COMPUTED_VALUE"""),43726.0)</f>
        <v>43726</v>
      </c>
      <c r="G1722" s="154"/>
      <c r="H1722" s="131">
        <f>IFERROR(__xludf.DUMMYFUNCTION("""COMPUTED_VALUE"""),487037.0)</f>
        <v>487037</v>
      </c>
      <c r="I1722" s="132"/>
      <c r="J1722" s="129">
        <f>IFERROR(__xludf.DUMMYFUNCTION("""COMPUTED_VALUE"""),43735.0)</f>
        <v>43735</v>
      </c>
      <c r="K1722" s="133">
        <f>IFERROR(__xludf.DUMMYFUNCTION("""COMPUTED_VALUE"""),23.0)</f>
        <v>23</v>
      </c>
      <c r="L1722" s="133">
        <f>IFERROR(__xludf.DUMMYFUNCTION("""COMPUTED_VALUE"""),9.0)</f>
        <v>9</v>
      </c>
      <c r="M1722" s="133">
        <f>IFERROR(__xludf.DUMMYFUNCTION("""COMPUTED_VALUE"""),32.0)</f>
        <v>32</v>
      </c>
      <c r="N1722" s="152" t="str">
        <f>IFERROR(__xludf.DUMMYFUNCTION("""COMPUTED_VALUE"""),"Model 3 Performance")</f>
        <v>Model 3 Performance</v>
      </c>
      <c r="O1722" s="152" t="str">
        <f>IFERROR(__xludf.DUMMYFUNCTION("""COMPUTED_VALUE"""),"Pearl White Multi-Coat")</f>
        <v>Pearl White Multi-Coat</v>
      </c>
      <c r="P1722" s="153" t="str">
        <f>IFERROR(__xludf.DUMMYFUNCTION("""COMPUTED_VALUE"""),"20 inch Sport")</f>
        <v>20 inch Sport</v>
      </c>
      <c r="Q1722" s="152" t="str">
        <f>IFERROR(__xludf.DUMMYFUNCTION("""COMPUTED_VALUE"""),"Black seats")</f>
        <v>Black seats</v>
      </c>
      <c r="R1722" s="150" t="str">
        <f>IFERROR(__xludf.DUMMYFUNCTION("""COMPUTED_VALUE"""),"Full Self-Driving")</f>
        <v>Full Self-Driving</v>
      </c>
      <c r="S1722" s="150"/>
      <c r="T1722" s="145"/>
      <c r="U1722" s="145"/>
      <c r="V1722" s="145"/>
      <c r="W1722" s="136"/>
      <c r="X1722" s="137" t="str">
        <f>IFERROR(__xludf.DUMMYFUNCTION("""COMPUTED_VALUE"""),"Very Good")</f>
        <v>Very Good</v>
      </c>
      <c r="Y1722" s="138" t="str">
        <f>IFERROR(__xludf.DUMMYFUNCTION("""COMPUTED_VALUE"""),"Very Good")</f>
        <v>Very Good</v>
      </c>
      <c r="Z1722" s="138" t="str">
        <f>IFERROR(__xludf.DUMMYFUNCTION("""COMPUTED_VALUE"""),"Very Good")</f>
        <v>Very Good</v>
      </c>
      <c r="AA1722" s="138" t="str">
        <f>IFERROR(__xludf.DUMMYFUNCTION("""COMPUTED_VALUE"""),"Poor")</f>
        <v>Poor</v>
      </c>
      <c r="AB1722" s="138" t="str">
        <f>IFERROR(__xludf.DUMMYFUNCTION("""COMPUTED_VALUE"""),"Good")</f>
        <v>Good</v>
      </c>
      <c r="AC1722" s="139">
        <f>IFERROR(__xludf.DUMMYFUNCTION("""COMPUTED_VALUE"""),1.0)</f>
        <v>1</v>
      </c>
      <c r="AD1722" s="139">
        <f>IFERROR(__xludf.DUMMYFUNCTION("""COMPUTED_VALUE"""),1.0)</f>
        <v>1</v>
      </c>
      <c r="AE1722" s="139">
        <f>IFERROR(__xludf.DUMMYFUNCTION("""COMPUTED_VALUE"""),1.0)</f>
        <v>1</v>
      </c>
      <c r="AF1722" s="140"/>
      <c r="AG1722" s="136" t="str">
        <f>IFERROR(__xludf.DUMMYFUNCTION("""COMPUTED_VALUE"""),"A/C failed within 50 miles of delivery")</f>
        <v>A/C failed within 50 miles of delivery</v>
      </c>
      <c r="AH1722" s="157">
        <f>IFERROR(__xludf.DUMMYFUNCTION("""COMPUTED_VALUE"""),43735.757974016204)</f>
        <v>43735.75797</v>
      </c>
      <c r="AI1722" s="138"/>
      <c r="AJ1722" s="138"/>
      <c r="AK1722" s="138"/>
      <c r="AL1722" s="142"/>
    </row>
    <row r="1723" ht="20.25" customHeight="1">
      <c r="A1723" s="155" t="str">
        <f>IFERROR(__xludf.DUMMYFUNCTION("""COMPUTED_VALUE"""),"Tremiata")</f>
        <v>Tremiata</v>
      </c>
      <c r="B1723" s="149" t="str">
        <f>IFERROR(__xludf.DUMMYFUNCTION("""COMPUTED_VALUE"""),"Bartow")</f>
        <v>Bartow</v>
      </c>
      <c r="C1723" s="149" t="str">
        <f>IFERROR(__xludf.DUMMYFUNCTION("""COMPUTED_VALUE"""),"FL")</f>
        <v>FL</v>
      </c>
      <c r="D1723" s="149" t="str">
        <f>IFERROR(__xludf.DUMMYFUNCTION("""COMPUTED_VALUE"""),"USA")</f>
        <v>USA</v>
      </c>
      <c r="E1723" s="156">
        <f>IFERROR(__xludf.DUMMYFUNCTION("""COMPUTED_VALUE"""),43703.0)</f>
        <v>43703</v>
      </c>
      <c r="F1723" s="129">
        <f>IFERROR(__xludf.DUMMYFUNCTION("""COMPUTED_VALUE"""),43704.0)</f>
        <v>43704</v>
      </c>
      <c r="G1723" s="154"/>
      <c r="H1723" s="131">
        <f>IFERROR(__xludf.DUMMYFUNCTION("""COMPUTED_VALUE"""),483155.0)</f>
        <v>483155</v>
      </c>
      <c r="I1723" s="132" t="str">
        <f>IFERROR(__xludf.DUMMYFUNCTION("""COMPUTED_VALUE"""),"08/19")</f>
        <v>08/19</v>
      </c>
      <c r="J1723" s="129">
        <f>IFERROR(__xludf.DUMMYFUNCTION("""COMPUTED_VALUE"""),43722.0)</f>
        <v>43722</v>
      </c>
      <c r="K1723" s="133">
        <f>IFERROR(__xludf.DUMMYFUNCTION("""COMPUTED_VALUE"""),1.0)</f>
        <v>1</v>
      </c>
      <c r="L1723" s="133">
        <f>IFERROR(__xludf.DUMMYFUNCTION("""COMPUTED_VALUE"""),18.0)</f>
        <v>18</v>
      </c>
      <c r="M1723" s="133">
        <f>IFERROR(__xludf.DUMMYFUNCTION("""COMPUTED_VALUE"""),19.0)</f>
        <v>19</v>
      </c>
      <c r="N1723" s="152" t="str">
        <f>IFERROR(__xludf.DUMMYFUNCTION("""COMPUTED_VALUE"""),"Model 3 SR+")</f>
        <v>Model 3 SR+</v>
      </c>
      <c r="O1723" s="152" t="str">
        <f>IFERROR(__xludf.DUMMYFUNCTION("""COMPUTED_VALUE"""),"Pearl White Multi-Coat")</f>
        <v>Pearl White Multi-Coat</v>
      </c>
      <c r="P1723" s="153" t="str">
        <f>IFERROR(__xludf.DUMMYFUNCTION("""COMPUTED_VALUE"""),"18 inch Aero")</f>
        <v>18 inch Aero</v>
      </c>
      <c r="Q1723" s="152" t="str">
        <f>IFERROR(__xludf.DUMMYFUNCTION("""COMPUTED_VALUE"""),"Black seats")</f>
        <v>Black seats</v>
      </c>
      <c r="R1723" s="150" t="str">
        <f>IFERROR(__xludf.DUMMYFUNCTION("""COMPUTED_VALUE"""),"Autopilot")</f>
        <v>Autopilot</v>
      </c>
      <c r="S1723" s="150"/>
      <c r="T1723" s="136"/>
      <c r="U1723" s="136"/>
      <c r="V1723" s="136"/>
      <c r="W1723" s="136"/>
      <c r="X1723" s="137" t="str">
        <f>IFERROR(__xludf.DUMMYFUNCTION("""COMPUTED_VALUE"""),"Excellent")</f>
        <v>Excellent</v>
      </c>
      <c r="Y1723" s="138" t="str">
        <f>IFERROR(__xludf.DUMMYFUNCTION("""COMPUTED_VALUE"""),"Excellent")</f>
        <v>Excellent</v>
      </c>
      <c r="Z1723" s="138" t="str">
        <f>IFERROR(__xludf.DUMMYFUNCTION("""COMPUTED_VALUE"""),"Excellent")</f>
        <v>Excellent</v>
      </c>
      <c r="AA1723" s="138" t="str">
        <f>IFERROR(__xludf.DUMMYFUNCTION("""COMPUTED_VALUE"""),"Good")</f>
        <v>Good</v>
      </c>
      <c r="AB1723" s="138" t="str">
        <f>IFERROR(__xludf.DUMMYFUNCTION("""COMPUTED_VALUE"""),"Good")</f>
        <v>Good</v>
      </c>
      <c r="AC1723" s="139"/>
      <c r="AD1723" s="139"/>
      <c r="AE1723" s="139"/>
      <c r="AF1723" s="140"/>
      <c r="AG1723" s="136"/>
      <c r="AH1723" s="157">
        <f>IFERROR(__xludf.DUMMYFUNCTION("""COMPUTED_VALUE"""),43727.5336753588)</f>
        <v>43727.53368</v>
      </c>
      <c r="AI1723" s="138"/>
      <c r="AJ1723" s="138"/>
      <c r="AK1723" s="138"/>
      <c r="AL1723" s="142"/>
    </row>
    <row r="1724" ht="20.25" customHeight="1">
      <c r="A1724" s="155" t="str">
        <f>IFERROR(__xludf.DUMMYFUNCTION("""COMPUTED_VALUE"""),"zblaster")</f>
        <v>zblaster</v>
      </c>
      <c r="B1724" s="149" t="str">
        <f>IFERROR(__xludf.DUMMYFUNCTION("""COMPUTED_VALUE"""),"Bay Area")</f>
        <v>Bay Area</v>
      </c>
      <c r="C1724" s="149" t="str">
        <f>IFERROR(__xludf.DUMMYFUNCTION("""COMPUTED_VALUE"""),"CA")</f>
        <v>CA</v>
      </c>
      <c r="D1724" s="149" t="str">
        <f>IFERROR(__xludf.DUMMYFUNCTION("""COMPUTED_VALUE"""),"USA")</f>
        <v>USA</v>
      </c>
      <c r="E1724" s="156">
        <f>IFERROR(__xludf.DUMMYFUNCTION("""COMPUTED_VALUE"""),43702.0)</f>
        <v>43702</v>
      </c>
      <c r="F1724" s="129">
        <f>IFERROR(__xludf.DUMMYFUNCTION("""COMPUTED_VALUE"""),43720.0)</f>
        <v>43720</v>
      </c>
      <c r="G1724" s="154"/>
      <c r="H1724" s="131">
        <f>IFERROR(__xludf.DUMMYFUNCTION("""COMPUTED_VALUE"""),482355.0)</f>
        <v>482355</v>
      </c>
      <c r="I1724" s="144"/>
      <c r="J1724" s="129">
        <f>IFERROR(__xludf.DUMMYFUNCTION("""COMPUTED_VALUE"""),43722.0)</f>
        <v>43722</v>
      </c>
      <c r="K1724" s="133">
        <f>IFERROR(__xludf.DUMMYFUNCTION("""COMPUTED_VALUE"""),18.0)</f>
        <v>18</v>
      </c>
      <c r="L1724" s="133">
        <f>IFERROR(__xludf.DUMMYFUNCTION("""COMPUTED_VALUE"""),2.0)</f>
        <v>2</v>
      </c>
      <c r="M1724" s="133">
        <f>IFERROR(__xludf.DUMMYFUNCTION("""COMPUTED_VALUE"""),20.0)</f>
        <v>20</v>
      </c>
      <c r="N1724" s="152" t="str">
        <f>IFERROR(__xludf.DUMMYFUNCTION("""COMPUTED_VALUE"""),"Model 3 LR AWD")</f>
        <v>Model 3 LR AWD</v>
      </c>
      <c r="O1724" s="152" t="str">
        <f>IFERROR(__xludf.DUMMYFUNCTION("""COMPUTED_VALUE"""),"Deep Blue Metallic")</f>
        <v>Deep Blue Metallic</v>
      </c>
      <c r="P1724" s="153" t="str">
        <f>IFERROR(__xludf.DUMMYFUNCTION("""COMPUTED_VALUE"""),"18 inch Aero")</f>
        <v>18 inch Aero</v>
      </c>
      <c r="Q1724" s="152" t="str">
        <f>IFERROR(__xludf.DUMMYFUNCTION("""COMPUTED_VALUE"""),"White seats")</f>
        <v>White seats</v>
      </c>
      <c r="R1724" s="149" t="str">
        <f>IFERROR(__xludf.DUMMYFUNCTION("""COMPUTED_VALUE"""),"Autopilot")</f>
        <v>Autopilot</v>
      </c>
      <c r="S1724" s="149"/>
      <c r="T1724" s="145"/>
      <c r="U1724" s="145"/>
      <c r="V1724" s="145"/>
      <c r="W1724" s="136"/>
      <c r="X1724" s="151" t="str">
        <f>IFERROR(__xludf.DUMMYFUNCTION("""COMPUTED_VALUE"""),"Very Good")</f>
        <v>Very Good</v>
      </c>
      <c r="Y1724" s="138" t="str">
        <f>IFERROR(__xludf.DUMMYFUNCTION("""COMPUTED_VALUE"""),"Good")</f>
        <v>Good</v>
      </c>
      <c r="Z1724" s="138" t="str">
        <f>IFERROR(__xludf.DUMMYFUNCTION("""COMPUTED_VALUE"""),"Fair")</f>
        <v>Fair</v>
      </c>
      <c r="AA1724" s="138" t="str">
        <f>IFERROR(__xludf.DUMMYFUNCTION("""COMPUTED_VALUE"""),"Fair")</f>
        <v>Fair</v>
      </c>
      <c r="AB1724" s="138" t="str">
        <f>IFERROR(__xludf.DUMMYFUNCTION("""COMPUTED_VALUE"""),"Very Good")</f>
        <v>Very Good</v>
      </c>
      <c r="AC1724" s="139"/>
      <c r="AD1724" s="139"/>
      <c r="AE1724" s="139"/>
      <c r="AF1724" s="140"/>
      <c r="AG1724" s="136" t="str">
        <f>IFERROR(__xludf.DUMMYFUNCTION("""COMPUTED_VALUE"""),"Called the showroom to ask for what was in inventory. Found my build un-matched. Had him match it. Dirty Car. Tiny Dent.")</f>
        <v>Called the showroom to ask for what was in inventory. Found my build un-matched. Had him match it. Dirty Car. Tiny Dent.</v>
      </c>
      <c r="AH1724" s="157">
        <f>IFERROR(__xludf.DUMMYFUNCTION("""COMPUTED_VALUE"""),43724.34811762731)</f>
        <v>43724.34812</v>
      </c>
      <c r="AI1724" s="138"/>
      <c r="AJ1724" s="138"/>
      <c r="AK1724" s="138"/>
      <c r="AL1724" s="142"/>
    </row>
    <row r="1725" ht="20.25" customHeight="1">
      <c r="A1725" s="155" t="str">
        <f>IFERROR(__xludf.DUMMYFUNCTION("""COMPUTED_VALUE"""),"bruinj26")</f>
        <v>bruinj26</v>
      </c>
      <c r="B1725" s="149" t="str">
        <f>IFERROR(__xludf.DUMMYFUNCTION("""COMPUTED_VALUE"""),"Vacaville")</f>
        <v>Vacaville</v>
      </c>
      <c r="C1725" s="149" t="str">
        <f>IFERROR(__xludf.DUMMYFUNCTION("""COMPUTED_VALUE"""),"CA")</f>
        <v>CA</v>
      </c>
      <c r="D1725" s="149" t="str">
        <f>IFERROR(__xludf.DUMMYFUNCTION("""COMPUTED_VALUE"""),"USA")</f>
        <v>USA</v>
      </c>
      <c r="E1725" s="156">
        <f>IFERROR(__xludf.DUMMYFUNCTION("""COMPUTED_VALUE"""),43701.0)</f>
        <v>43701</v>
      </c>
      <c r="F1725" s="129">
        <f>IFERROR(__xludf.DUMMYFUNCTION("""COMPUTED_VALUE"""),43725.0)</f>
        <v>43725</v>
      </c>
      <c r="G1725" s="154"/>
      <c r="H1725" s="131">
        <f>IFERROR(__xludf.DUMMYFUNCTION("""COMPUTED_VALUE"""),482288.0)</f>
        <v>482288</v>
      </c>
      <c r="I1725" s="144"/>
      <c r="J1725" s="129">
        <f>IFERROR(__xludf.DUMMYFUNCTION("""COMPUTED_VALUE"""),43726.0)</f>
        <v>43726</v>
      </c>
      <c r="K1725" s="133">
        <f>IFERROR(__xludf.DUMMYFUNCTION("""COMPUTED_VALUE"""),24.0)</f>
        <v>24</v>
      </c>
      <c r="L1725" s="133">
        <f>IFERROR(__xludf.DUMMYFUNCTION("""COMPUTED_VALUE"""),1.0)</f>
        <v>1</v>
      </c>
      <c r="M1725" s="133">
        <f>IFERROR(__xludf.DUMMYFUNCTION("""COMPUTED_VALUE"""),25.0)</f>
        <v>25</v>
      </c>
      <c r="N1725" s="152" t="str">
        <f>IFERROR(__xludf.DUMMYFUNCTION("""COMPUTED_VALUE"""),"Model 3 LR AWD")</f>
        <v>Model 3 LR AWD</v>
      </c>
      <c r="O1725" s="152" t="str">
        <f>IFERROR(__xludf.DUMMYFUNCTION("""COMPUTED_VALUE"""),"Midnight Silver Metallic")</f>
        <v>Midnight Silver Metallic</v>
      </c>
      <c r="P1725" s="153" t="str">
        <f>IFERROR(__xludf.DUMMYFUNCTION("""COMPUTED_VALUE"""),"18 inch Aero")</f>
        <v>18 inch Aero</v>
      </c>
      <c r="Q1725" s="152" t="str">
        <f>IFERROR(__xludf.DUMMYFUNCTION("""COMPUTED_VALUE"""),"Black seats")</f>
        <v>Black seats</v>
      </c>
      <c r="R1725" s="149" t="str">
        <f>IFERROR(__xludf.DUMMYFUNCTION("""COMPUTED_VALUE"""),"Autopilot")</f>
        <v>Autopilot</v>
      </c>
      <c r="S1725" s="149"/>
      <c r="T1725" s="145"/>
      <c r="U1725" s="145"/>
      <c r="V1725" s="145"/>
      <c r="W1725" s="145"/>
      <c r="X1725" s="137" t="str">
        <f>IFERROR(__xludf.DUMMYFUNCTION("""COMPUTED_VALUE"""),"Excellent")</f>
        <v>Excellent</v>
      </c>
      <c r="Y1725" s="138" t="str">
        <f>IFERROR(__xludf.DUMMYFUNCTION("""COMPUTED_VALUE"""),"Excellent")</f>
        <v>Excellent</v>
      </c>
      <c r="Z1725" s="138" t="str">
        <f>IFERROR(__xludf.DUMMYFUNCTION("""COMPUTED_VALUE"""),"Excellent")</f>
        <v>Excellent</v>
      </c>
      <c r="AA1725" s="138" t="str">
        <f>IFERROR(__xludf.DUMMYFUNCTION("""COMPUTED_VALUE"""),"Very Good")</f>
        <v>Very Good</v>
      </c>
      <c r="AB1725" s="138" t="str">
        <f>IFERROR(__xludf.DUMMYFUNCTION("""COMPUTED_VALUE"""),"Excellent")</f>
        <v>Excellent</v>
      </c>
      <c r="AC1725" s="139"/>
      <c r="AD1725" s="139"/>
      <c r="AE1725" s="139"/>
      <c r="AF1725" s="140"/>
      <c r="AG1725" s="145"/>
      <c r="AH1725" s="157">
        <f>IFERROR(__xludf.DUMMYFUNCTION("""COMPUTED_VALUE"""),43726.983946886576)</f>
        <v>43726.98395</v>
      </c>
      <c r="AI1725" s="138"/>
      <c r="AJ1725" s="138"/>
      <c r="AK1725" s="138"/>
      <c r="AL1725" s="142"/>
    </row>
    <row r="1726" ht="20.25" customHeight="1">
      <c r="A1726" s="155" t="str">
        <f>IFERROR(__xludf.DUMMYFUNCTION("""COMPUTED_VALUE"""),"DrBranca")</f>
        <v>DrBranca</v>
      </c>
      <c r="B1726" s="149"/>
      <c r="C1726" s="149" t="str">
        <f>IFERROR(__xludf.DUMMYFUNCTION("""COMPUTED_VALUE"""),"UT")</f>
        <v>UT</v>
      </c>
      <c r="D1726" s="149" t="str">
        <f>IFERROR(__xludf.DUMMYFUNCTION("""COMPUTED_VALUE"""),"USA")</f>
        <v>USA</v>
      </c>
      <c r="E1726" s="156">
        <f>IFERROR(__xludf.DUMMYFUNCTION("""COMPUTED_VALUE"""),43701.0)</f>
        <v>43701</v>
      </c>
      <c r="F1726" s="129">
        <f>IFERROR(__xludf.DUMMYFUNCTION("""COMPUTED_VALUE"""),43730.0)</f>
        <v>43730</v>
      </c>
      <c r="G1726" s="154"/>
      <c r="H1726" s="131">
        <f>IFERROR(__xludf.DUMMYFUNCTION("""COMPUTED_VALUE"""),477655.0)</f>
        <v>477655</v>
      </c>
      <c r="I1726" s="132" t="str">
        <f>IFERROR(__xludf.DUMMYFUNCTION("""COMPUTED_VALUE"""),"09/19")</f>
        <v>09/19</v>
      </c>
      <c r="J1726" s="129">
        <f>IFERROR(__xludf.DUMMYFUNCTION("""COMPUTED_VALUE"""),43733.0)</f>
        <v>43733</v>
      </c>
      <c r="K1726" s="133">
        <f>IFERROR(__xludf.DUMMYFUNCTION("""COMPUTED_VALUE"""),29.0)</f>
        <v>29</v>
      </c>
      <c r="L1726" s="133">
        <f>IFERROR(__xludf.DUMMYFUNCTION("""COMPUTED_VALUE"""),3.0)</f>
        <v>3</v>
      </c>
      <c r="M1726" s="133">
        <f>IFERROR(__xludf.DUMMYFUNCTION("""COMPUTED_VALUE"""),32.0)</f>
        <v>32</v>
      </c>
      <c r="N1726" s="152" t="str">
        <f>IFERROR(__xludf.DUMMYFUNCTION("""COMPUTED_VALUE"""),"Model 3 Performance")</f>
        <v>Model 3 Performance</v>
      </c>
      <c r="O1726" s="152" t="str">
        <f>IFERROR(__xludf.DUMMYFUNCTION("""COMPUTED_VALUE"""),"Red Multi-Coat")</f>
        <v>Red Multi-Coat</v>
      </c>
      <c r="P1726" s="153" t="str">
        <f>IFERROR(__xludf.DUMMYFUNCTION("""COMPUTED_VALUE"""),"20 inch Sport")</f>
        <v>20 inch Sport</v>
      </c>
      <c r="Q1726" s="152" t="str">
        <f>IFERROR(__xludf.DUMMYFUNCTION("""COMPUTED_VALUE"""),"White seats")</f>
        <v>White seats</v>
      </c>
      <c r="R1726" s="150" t="str">
        <f>IFERROR(__xludf.DUMMYFUNCTION("""COMPUTED_VALUE"""),"Autopilot")</f>
        <v>Autopilot</v>
      </c>
      <c r="S1726" s="150"/>
      <c r="T1726" s="136"/>
      <c r="U1726" s="136"/>
      <c r="V1726" s="136"/>
      <c r="W1726" s="136"/>
      <c r="X1726" s="137" t="str">
        <f>IFERROR(__xludf.DUMMYFUNCTION("""COMPUTED_VALUE"""),"Good")</f>
        <v>Good</v>
      </c>
      <c r="Y1726" s="138" t="str">
        <f>IFERROR(__xludf.DUMMYFUNCTION("""COMPUTED_VALUE"""),"Very Good")</f>
        <v>Very Good</v>
      </c>
      <c r="Z1726" s="138" t="str">
        <f>IFERROR(__xludf.DUMMYFUNCTION("""COMPUTED_VALUE"""),"Very Good")</f>
        <v>Very Good</v>
      </c>
      <c r="AA1726" s="138" t="str">
        <f>IFERROR(__xludf.DUMMYFUNCTION("""COMPUTED_VALUE"""),"Very Good")</f>
        <v>Very Good</v>
      </c>
      <c r="AB1726" s="138" t="str">
        <f>IFERROR(__xludf.DUMMYFUNCTION("""COMPUTED_VALUE"""),"Good")</f>
        <v>Good</v>
      </c>
      <c r="AC1726" s="139"/>
      <c r="AD1726" s="139"/>
      <c r="AE1726" s="139"/>
      <c r="AF1726" s="140"/>
      <c r="AG1726" s="136" t="str">
        <f>IFERROR(__xludf.DUMMYFUNCTION("""COMPUTED_VALUE"""),"A few minor panel gap issues at pick up. Nothing that should not be easily repairable.")</f>
        <v>A few minor panel gap issues at pick up. Nothing that should not be easily repairable.</v>
      </c>
      <c r="AH1726" s="157">
        <f>IFERROR(__xludf.DUMMYFUNCTION("""COMPUTED_VALUE"""),43733.811765266204)</f>
        <v>43733.81177</v>
      </c>
      <c r="AI1726" s="138"/>
      <c r="AJ1726" s="138"/>
      <c r="AK1726" s="138"/>
      <c r="AL1726" s="142"/>
    </row>
    <row r="1727" ht="20.25" customHeight="1">
      <c r="A1727" s="155" t="str">
        <f>IFERROR(__xludf.DUMMYFUNCTION("""COMPUTED_VALUE"""),"homestead_j")</f>
        <v>homestead_j</v>
      </c>
      <c r="B1727" s="149" t="str">
        <f>IFERROR(__xludf.DUMMYFUNCTION("""COMPUTED_VALUE"""),"Sparks")</f>
        <v>Sparks</v>
      </c>
      <c r="C1727" s="149" t="str">
        <f>IFERROR(__xludf.DUMMYFUNCTION("""COMPUTED_VALUE"""),"NV")</f>
        <v>NV</v>
      </c>
      <c r="D1727" s="149" t="str">
        <f>IFERROR(__xludf.DUMMYFUNCTION("""COMPUTED_VALUE"""),"USA")</f>
        <v>USA</v>
      </c>
      <c r="E1727" s="156">
        <f>IFERROR(__xludf.DUMMYFUNCTION("""COMPUTED_VALUE"""),43701.0)</f>
        <v>43701</v>
      </c>
      <c r="F1727" s="129">
        <f>IFERROR(__xludf.DUMMYFUNCTION("""COMPUTED_VALUE"""),43702.0)</f>
        <v>43702</v>
      </c>
      <c r="G1727" s="154"/>
      <c r="H1727" s="131">
        <f>IFERROR(__xludf.DUMMYFUNCTION("""COMPUTED_VALUE"""),421909.0)</f>
        <v>421909</v>
      </c>
      <c r="I1727" s="132" t="str">
        <f>IFERROR(__xludf.DUMMYFUNCTION("""COMPUTED_VALUE"""),"06/19")</f>
        <v>06/19</v>
      </c>
      <c r="J1727" s="129">
        <f>IFERROR(__xludf.DUMMYFUNCTION("""COMPUTED_VALUE"""),43712.0)</f>
        <v>43712</v>
      </c>
      <c r="K1727" s="133">
        <f>IFERROR(__xludf.DUMMYFUNCTION("""COMPUTED_VALUE"""),1.0)</f>
        <v>1</v>
      </c>
      <c r="L1727" s="133">
        <f>IFERROR(__xludf.DUMMYFUNCTION("""COMPUTED_VALUE"""),10.0)</f>
        <v>10</v>
      </c>
      <c r="M1727" s="133">
        <f>IFERROR(__xludf.DUMMYFUNCTION("""COMPUTED_VALUE"""),11.0)</f>
        <v>11</v>
      </c>
      <c r="N1727" s="152" t="str">
        <f>IFERROR(__xludf.DUMMYFUNCTION("""COMPUTED_VALUE"""),"Model 3 LR AWD")</f>
        <v>Model 3 LR AWD</v>
      </c>
      <c r="O1727" s="152" t="str">
        <f>IFERROR(__xludf.DUMMYFUNCTION("""COMPUTED_VALUE"""),"Solid Black")</f>
        <v>Solid Black</v>
      </c>
      <c r="P1727" s="153" t="str">
        <f>IFERROR(__xludf.DUMMYFUNCTION("""COMPUTED_VALUE"""),"19 inch Sport")</f>
        <v>19 inch Sport</v>
      </c>
      <c r="Q1727" s="152" t="str">
        <f>IFERROR(__xludf.DUMMYFUNCTION("""COMPUTED_VALUE"""),"White seats")</f>
        <v>White seats</v>
      </c>
      <c r="R1727" s="150" t="str">
        <f>IFERROR(__xludf.DUMMYFUNCTION("""COMPUTED_VALUE"""),"Full Self-Driving")</f>
        <v>Full Self-Driving</v>
      </c>
      <c r="S1727" s="150"/>
      <c r="T1727" s="136"/>
      <c r="U1727" s="136"/>
      <c r="V1727" s="136"/>
      <c r="W1727" s="136"/>
      <c r="X1727" s="137" t="str">
        <f>IFERROR(__xludf.DUMMYFUNCTION("""COMPUTED_VALUE"""),"Very Good")</f>
        <v>Very Good</v>
      </c>
      <c r="Y1727" s="138" t="str">
        <f>IFERROR(__xludf.DUMMYFUNCTION("""COMPUTED_VALUE"""),"Excellent")</f>
        <v>Excellent</v>
      </c>
      <c r="Z1727" s="138" t="str">
        <f>IFERROR(__xludf.DUMMYFUNCTION("""COMPUTED_VALUE"""),"Excellent")</f>
        <v>Excellent</v>
      </c>
      <c r="AA1727" s="138" t="str">
        <f>IFERROR(__xludf.DUMMYFUNCTION("""COMPUTED_VALUE"""),"Very Good")</f>
        <v>Very Good</v>
      </c>
      <c r="AB1727" s="138" t="str">
        <f>IFERROR(__xludf.DUMMYFUNCTION("""COMPUTED_VALUE"""),"Excellent")</f>
        <v>Excellent</v>
      </c>
      <c r="AC1727" s="139"/>
      <c r="AD1727" s="139"/>
      <c r="AE1727" s="139"/>
      <c r="AF1727" s="140"/>
      <c r="AG1727" s="136"/>
      <c r="AH1727" s="157">
        <f>IFERROR(__xludf.DUMMYFUNCTION("""COMPUTED_VALUE"""),43717.29537002315)</f>
        <v>43717.29537</v>
      </c>
      <c r="AI1727" s="138"/>
      <c r="AJ1727" s="138"/>
      <c r="AK1727" s="138"/>
      <c r="AL1727" s="142"/>
    </row>
    <row r="1728" ht="20.25" customHeight="1">
      <c r="A1728" s="155" t="str">
        <f>IFERROR(__xludf.DUMMYFUNCTION("""COMPUTED_VALUE"""),"mtt")</f>
        <v>mtt</v>
      </c>
      <c r="B1728" s="159"/>
      <c r="C1728" s="159" t="str">
        <f>IFERROR(__xludf.DUMMYFUNCTION("""COMPUTED_VALUE"""),"CA")</f>
        <v>CA</v>
      </c>
      <c r="D1728" s="159" t="str">
        <f>IFERROR(__xludf.DUMMYFUNCTION("""COMPUTED_VALUE"""),"USA")</f>
        <v>USA</v>
      </c>
      <c r="E1728" s="156">
        <f>IFERROR(__xludf.DUMMYFUNCTION("""COMPUTED_VALUE"""),43701.0)</f>
        <v>43701</v>
      </c>
      <c r="F1728" s="129">
        <f>IFERROR(__xludf.DUMMYFUNCTION("""COMPUTED_VALUE"""),43726.0)</f>
        <v>43726</v>
      </c>
      <c r="G1728" s="154"/>
      <c r="H1728" s="131"/>
      <c r="I1728" s="160"/>
      <c r="J1728" s="129">
        <f>IFERROR(__xludf.DUMMYFUNCTION("""COMPUTED_VALUE"""),43729.0)</f>
        <v>43729</v>
      </c>
      <c r="K1728" s="133">
        <f>IFERROR(__xludf.DUMMYFUNCTION("""COMPUTED_VALUE"""),25.0)</f>
        <v>25</v>
      </c>
      <c r="L1728" s="133">
        <f>IFERROR(__xludf.DUMMYFUNCTION("""COMPUTED_VALUE"""),3.0)</f>
        <v>3</v>
      </c>
      <c r="M1728" s="133">
        <f>IFERROR(__xludf.DUMMYFUNCTION("""COMPUTED_VALUE"""),28.0)</f>
        <v>28</v>
      </c>
      <c r="N1728" s="152" t="str">
        <f>IFERROR(__xludf.DUMMYFUNCTION("""COMPUTED_VALUE"""),"Model 3 LR AWD")</f>
        <v>Model 3 LR AWD</v>
      </c>
      <c r="O1728" s="152" t="str">
        <f>IFERROR(__xludf.DUMMYFUNCTION("""COMPUTED_VALUE"""),"Pearl White Multi-Coat")</f>
        <v>Pearl White Multi-Coat</v>
      </c>
      <c r="P1728" s="153" t="str">
        <f>IFERROR(__xludf.DUMMYFUNCTION("""COMPUTED_VALUE"""),"18 inch Aero")</f>
        <v>18 inch Aero</v>
      </c>
      <c r="Q1728" s="152" t="str">
        <f>IFERROR(__xludf.DUMMYFUNCTION("""COMPUTED_VALUE"""),"Black seats")</f>
        <v>Black seats</v>
      </c>
      <c r="R1728" s="159" t="str">
        <f>IFERROR(__xludf.DUMMYFUNCTION("""COMPUTED_VALUE"""),"Autopilot")</f>
        <v>Autopilot</v>
      </c>
      <c r="S1728" s="159"/>
      <c r="T1728" s="161"/>
      <c r="U1728" s="161"/>
      <c r="V1728" s="161"/>
      <c r="W1728" s="161"/>
      <c r="X1728" s="137" t="str">
        <f>IFERROR(__xludf.DUMMYFUNCTION("""COMPUTED_VALUE"""),"Excellent")</f>
        <v>Excellent</v>
      </c>
      <c r="Y1728" s="138" t="str">
        <f>IFERROR(__xludf.DUMMYFUNCTION("""COMPUTED_VALUE"""),"Excellent")</f>
        <v>Excellent</v>
      </c>
      <c r="Z1728" s="138" t="str">
        <f>IFERROR(__xludf.DUMMYFUNCTION("""COMPUTED_VALUE"""),"Excellent")</f>
        <v>Excellent</v>
      </c>
      <c r="AA1728" s="138" t="str">
        <f>IFERROR(__xludf.DUMMYFUNCTION("""COMPUTED_VALUE"""),"Fair")</f>
        <v>Fair</v>
      </c>
      <c r="AB1728" s="138" t="str">
        <f>IFERROR(__xludf.DUMMYFUNCTION("""COMPUTED_VALUE"""),"Good")</f>
        <v>Good</v>
      </c>
      <c r="AC1728" s="139"/>
      <c r="AD1728" s="139"/>
      <c r="AE1728" s="139"/>
      <c r="AF1728" s="140"/>
      <c r="AG1728" s="161"/>
      <c r="AH1728" s="157">
        <f>IFERROR(__xludf.DUMMYFUNCTION("""COMPUTED_VALUE"""),43731.40050574074)</f>
        <v>43731.40051</v>
      </c>
      <c r="AI1728" s="138"/>
      <c r="AJ1728" s="138"/>
      <c r="AK1728" s="138"/>
      <c r="AL1728" s="142"/>
    </row>
    <row r="1729" ht="20.25" customHeight="1">
      <c r="A1729" s="155" t="str">
        <f>IFERROR(__xludf.DUMMYFUNCTION("""COMPUTED_VALUE"""),"randydief")</f>
        <v>randydief</v>
      </c>
      <c r="B1729" s="149" t="str">
        <f>IFERROR(__xludf.DUMMYFUNCTION("""COMPUTED_VALUE"""),"Houston")</f>
        <v>Houston</v>
      </c>
      <c r="C1729" s="149" t="str">
        <f>IFERROR(__xludf.DUMMYFUNCTION("""COMPUTED_VALUE"""),"TX")</f>
        <v>TX</v>
      </c>
      <c r="D1729" s="149" t="str">
        <f>IFERROR(__xludf.DUMMYFUNCTION("""COMPUTED_VALUE"""),"USA")</f>
        <v>USA</v>
      </c>
      <c r="E1729" s="156">
        <f>IFERROR(__xludf.DUMMYFUNCTION("""COMPUTED_VALUE"""),43701.0)</f>
        <v>43701</v>
      </c>
      <c r="F1729" s="129">
        <f>IFERROR(__xludf.DUMMYFUNCTION("""COMPUTED_VALUE"""),43726.0)</f>
        <v>43726</v>
      </c>
      <c r="G1729" s="154"/>
      <c r="H1729" s="131">
        <f>IFERROR(__xludf.DUMMYFUNCTION("""COMPUTED_VALUE"""),441251.0)</f>
        <v>441251</v>
      </c>
      <c r="I1729" s="132" t="str">
        <f>IFERROR(__xludf.DUMMYFUNCTION("""COMPUTED_VALUE"""),"09/19")</f>
        <v>09/19</v>
      </c>
      <c r="J1729" s="129">
        <f>IFERROR(__xludf.DUMMYFUNCTION("""COMPUTED_VALUE"""),43735.0)</f>
        <v>43735</v>
      </c>
      <c r="K1729" s="133">
        <f>IFERROR(__xludf.DUMMYFUNCTION("""COMPUTED_VALUE"""),25.0)</f>
        <v>25</v>
      </c>
      <c r="L1729" s="133">
        <f>IFERROR(__xludf.DUMMYFUNCTION("""COMPUTED_VALUE"""),9.0)</f>
        <v>9</v>
      </c>
      <c r="M1729" s="133">
        <f>IFERROR(__xludf.DUMMYFUNCTION("""COMPUTED_VALUE"""),34.0)</f>
        <v>34</v>
      </c>
      <c r="N1729" s="152" t="str">
        <f>IFERROR(__xludf.DUMMYFUNCTION("""COMPUTED_VALUE"""),"Model 3 Performance")</f>
        <v>Model 3 Performance</v>
      </c>
      <c r="O1729" s="152" t="str">
        <f>IFERROR(__xludf.DUMMYFUNCTION("""COMPUTED_VALUE"""),"Red Multi-Coat")</f>
        <v>Red Multi-Coat</v>
      </c>
      <c r="P1729" s="153" t="str">
        <f>IFERROR(__xludf.DUMMYFUNCTION("""COMPUTED_VALUE"""),"20 inch Sport")</f>
        <v>20 inch Sport</v>
      </c>
      <c r="Q1729" s="152" t="str">
        <f>IFERROR(__xludf.DUMMYFUNCTION("""COMPUTED_VALUE"""),"Black seats")</f>
        <v>Black seats</v>
      </c>
      <c r="R1729" s="150" t="str">
        <f>IFERROR(__xludf.DUMMYFUNCTION("""COMPUTED_VALUE"""),"Full Self-Driving")</f>
        <v>Full Self-Driving</v>
      </c>
      <c r="S1729" s="150"/>
      <c r="T1729" s="136"/>
      <c r="U1729" s="136"/>
      <c r="V1729" s="136"/>
      <c r="W1729" s="136"/>
      <c r="X1729" s="137" t="str">
        <f>IFERROR(__xludf.DUMMYFUNCTION("""COMPUTED_VALUE"""),"Excellent")</f>
        <v>Excellent</v>
      </c>
      <c r="Y1729" s="138" t="str">
        <f>IFERROR(__xludf.DUMMYFUNCTION("""COMPUTED_VALUE"""),"Excellent")</f>
        <v>Excellent</v>
      </c>
      <c r="Z1729" s="138" t="str">
        <f>IFERROR(__xludf.DUMMYFUNCTION("""COMPUTED_VALUE"""),"Excellent")</f>
        <v>Excellent</v>
      </c>
      <c r="AA1729" s="138" t="str">
        <f>IFERROR(__xludf.DUMMYFUNCTION("""COMPUTED_VALUE"""),"Very Good")</f>
        <v>Very Good</v>
      </c>
      <c r="AB1729" s="138" t="str">
        <f>IFERROR(__xludf.DUMMYFUNCTION("""COMPUTED_VALUE"""),"Very Good")</f>
        <v>Very Good</v>
      </c>
      <c r="AC1729" s="139"/>
      <c r="AD1729" s="139"/>
      <c r="AE1729" s="139"/>
      <c r="AF1729" s="140"/>
      <c r="AG1729" s="136" t="str">
        <f>IFERROR(__xludf.DUMMYFUNCTION("""COMPUTED_VALUE"""),"Original delivery date was 9/30/19")</f>
        <v>Original delivery date was 9/30/19</v>
      </c>
      <c r="AH1729" s="157">
        <f>IFERROR(__xludf.DUMMYFUNCTION("""COMPUTED_VALUE"""),43739.684977743054)</f>
        <v>43739.68498</v>
      </c>
      <c r="AI1729" s="138"/>
      <c r="AJ1729" s="138"/>
      <c r="AK1729" s="138"/>
      <c r="AL1729" s="142"/>
    </row>
    <row r="1730" ht="20.25" customHeight="1">
      <c r="A1730" s="155" t="str">
        <f>IFERROR(__xludf.DUMMYFUNCTION("""COMPUTED_VALUE"""),"merlyn64")</f>
        <v>merlyn64</v>
      </c>
      <c r="B1730" s="149" t="str">
        <f>IFERROR(__xludf.DUMMYFUNCTION("""COMPUTED_VALUE"""),"Parry Sound")</f>
        <v>Parry Sound</v>
      </c>
      <c r="C1730" s="149" t="str">
        <f>IFERROR(__xludf.DUMMYFUNCTION("""COMPUTED_VALUE"""),"ON")</f>
        <v>ON</v>
      </c>
      <c r="D1730" s="149" t="str">
        <f>IFERROR(__xludf.DUMMYFUNCTION("""COMPUTED_VALUE"""),"Canada")</f>
        <v>Canada</v>
      </c>
      <c r="E1730" s="156">
        <f>IFERROR(__xludf.DUMMYFUNCTION("""COMPUTED_VALUE"""),43700.0)</f>
        <v>43700</v>
      </c>
      <c r="F1730" s="129">
        <f>IFERROR(__xludf.DUMMYFUNCTION("""COMPUTED_VALUE"""),43719.0)</f>
        <v>43719</v>
      </c>
      <c r="G1730" s="154"/>
      <c r="H1730" s="131">
        <f>IFERROR(__xludf.DUMMYFUNCTION("""COMPUTED_VALUE"""),482035.0)</f>
        <v>482035</v>
      </c>
      <c r="I1730" s="132"/>
      <c r="J1730" s="129">
        <f>IFERROR(__xludf.DUMMYFUNCTION("""COMPUTED_VALUE"""),43734.0)</f>
        <v>43734</v>
      </c>
      <c r="K1730" s="133">
        <f>IFERROR(__xludf.DUMMYFUNCTION("""COMPUTED_VALUE"""),19.0)</f>
        <v>19</v>
      </c>
      <c r="L1730" s="133">
        <f>IFERROR(__xludf.DUMMYFUNCTION("""COMPUTED_VALUE"""),15.0)</f>
        <v>15</v>
      </c>
      <c r="M1730" s="133">
        <f>IFERROR(__xludf.DUMMYFUNCTION("""COMPUTED_VALUE"""),34.0)</f>
        <v>34</v>
      </c>
      <c r="N1730" s="152" t="str">
        <f>IFERROR(__xludf.DUMMYFUNCTION("""COMPUTED_VALUE"""),"Model 3 LR AWD")</f>
        <v>Model 3 LR AWD</v>
      </c>
      <c r="O1730" s="152" t="str">
        <f>IFERROR(__xludf.DUMMYFUNCTION("""COMPUTED_VALUE"""),"Pearl White Multi-Coat")</f>
        <v>Pearl White Multi-Coat</v>
      </c>
      <c r="P1730" s="153" t="str">
        <f>IFERROR(__xludf.DUMMYFUNCTION("""COMPUTED_VALUE"""),"18 inch Aero")</f>
        <v>18 inch Aero</v>
      </c>
      <c r="Q1730" s="152" t="str">
        <f>IFERROR(__xludf.DUMMYFUNCTION("""COMPUTED_VALUE"""),"White seats")</f>
        <v>White seats</v>
      </c>
      <c r="R1730" s="150" t="str">
        <f>IFERROR(__xludf.DUMMYFUNCTION("""COMPUTED_VALUE"""),"Full Self-Driving")</f>
        <v>Full Self-Driving</v>
      </c>
      <c r="S1730" s="150"/>
      <c r="T1730" s="145"/>
      <c r="U1730" s="145"/>
      <c r="V1730" s="145"/>
      <c r="W1730" s="136"/>
      <c r="X1730" s="137" t="str">
        <f>IFERROR(__xludf.DUMMYFUNCTION("""COMPUTED_VALUE"""),"Excellent")</f>
        <v>Excellent</v>
      </c>
      <c r="Y1730" s="138" t="str">
        <f>IFERROR(__xludf.DUMMYFUNCTION("""COMPUTED_VALUE"""),"Excellent")</f>
        <v>Excellent</v>
      </c>
      <c r="Z1730" s="138" t="str">
        <f>IFERROR(__xludf.DUMMYFUNCTION("""COMPUTED_VALUE"""),"Excellent")</f>
        <v>Excellent</v>
      </c>
      <c r="AA1730" s="138" t="str">
        <f>IFERROR(__xludf.DUMMYFUNCTION("""COMPUTED_VALUE"""),"Fair")</f>
        <v>Fair</v>
      </c>
      <c r="AB1730" s="138" t="str">
        <f>IFERROR(__xludf.DUMMYFUNCTION("""COMPUTED_VALUE"""),"Very Good")</f>
        <v>Very Good</v>
      </c>
      <c r="AC1730" s="139"/>
      <c r="AD1730" s="139"/>
      <c r="AE1730" s="139"/>
      <c r="AF1730" s="140"/>
      <c r="AG1730" s="136" t="str">
        <f>IFERROR(__xludf.DUMMYFUNCTION("""COMPUTED_VALUE"""),"VIN in source code - 09.11.18")</f>
        <v>VIN in source code - 09.11.18</v>
      </c>
      <c r="AH1730" s="157">
        <f>IFERROR(__xludf.DUMMYFUNCTION("""COMPUTED_VALUE"""),43738.70336583333)</f>
        <v>43738.70337</v>
      </c>
      <c r="AI1730" s="138"/>
      <c r="AJ1730" s="138"/>
      <c r="AK1730" s="138"/>
      <c r="AL1730" s="142"/>
    </row>
    <row r="1731" ht="20.25" customHeight="1">
      <c r="A1731" s="155" t="str">
        <f>IFERROR(__xludf.DUMMYFUNCTION("""COMPUTED_VALUE"""),"Nebby")</f>
        <v>Nebby</v>
      </c>
      <c r="B1731" s="149" t="str">
        <f>IFERROR(__xludf.DUMMYFUNCTION("""COMPUTED_VALUE"""),"Irvine")</f>
        <v>Irvine</v>
      </c>
      <c r="C1731" s="149" t="str">
        <f>IFERROR(__xludf.DUMMYFUNCTION("""COMPUTED_VALUE"""),"CA")</f>
        <v>CA</v>
      </c>
      <c r="D1731" s="149" t="str">
        <f>IFERROR(__xludf.DUMMYFUNCTION("""COMPUTED_VALUE"""),"USA")</f>
        <v>USA</v>
      </c>
      <c r="E1731" s="156">
        <f>IFERROR(__xludf.DUMMYFUNCTION("""COMPUTED_VALUE"""),43700.0)</f>
        <v>43700</v>
      </c>
      <c r="F1731" s="129">
        <f>IFERROR(__xludf.DUMMYFUNCTION("""COMPUTED_VALUE"""),43731.0)</f>
        <v>43731</v>
      </c>
      <c r="G1731" s="154"/>
      <c r="H1731" s="131">
        <f>IFERROR(__xludf.DUMMYFUNCTION("""COMPUTED_VALUE"""),522507.0)</f>
        <v>522507</v>
      </c>
      <c r="I1731" s="132"/>
      <c r="J1731" s="129">
        <f>IFERROR(__xludf.DUMMYFUNCTION("""COMPUTED_VALUE"""),43733.0)</f>
        <v>43733</v>
      </c>
      <c r="K1731" s="133">
        <f>IFERROR(__xludf.DUMMYFUNCTION("""COMPUTED_VALUE"""),31.0)</f>
        <v>31</v>
      </c>
      <c r="L1731" s="133">
        <f>IFERROR(__xludf.DUMMYFUNCTION("""COMPUTED_VALUE"""),2.0)</f>
        <v>2</v>
      </c>
      <c r="M1731" s="133">
        <f>IFERROR(__xludf.DUMMYFUNCTION("""COMPUTED_VALUE"""),33.0)</f>
        <v>33</v>
      </c>
      <c r="N1731" s="152" t="str">
        <f>IFERROR(__xludf.DUMMYFUNCTION("""COMPUTED_VALUE"""),"Model 3 Performance")</f>
        <v>Model 3 Performance</v>
      </c>
      <c r="O1731" s="152" t="str">
        <f>IFERROR(__xludf.DUMMYFUNCTION("""COMPUTED_VALUE"""),"Deep Blue Metallic")</f>
        <v>Deep Blue Metallic</v>
      </c>
      <c r="P1731" s="153" t="str">
        <f>IFERROR(__xludf.DUMMYFUNCTION("""COMPUTED_VALUE"""),"20 inch Sport")</f>
        <v>20 inch Sport</v>
      </c>
      <c r="Q1731" s="152" t="str">
        <f>IFERROR(__xludf.DUMMYFUNCTION("""COMPUTED_VALUE"""),"White seats")</f>
        <v>White seats</v>
      </c>
      <c r="R1731" s="150" t="str">
        <f>IFERROR(__xludf.DUMMYFUNCTION("""COMPUTED_VALUE"""),"Full Self-Driving")</f>
        <v>Full Self-Driving</v>
      </c>
      <c r="S1731" s="150"/>
      <c r="T1731" s="136"/>
      <c r="U1731" s="136"/>
      <c r="V1731" s="136"/>
      <c r="W1731" s="136"/>
      <c r="X1731" s="137" t="str">
        <f>IFERROR(__xludf.DUMMYFUNCTION("""COMPUTED_VALUE"""),"Excellent")</f>
        <v>Excellent</v>
      </c>
      <c r="Y1731" s="138" t="str">
        <f>IFERROR(__xludf.DUMMYFUNCTION("""COMPUTED_VALUE"""),"Very Good")</f>
        <v>Very Good</v>
      </c>
      <c r="Z1731" s="138" t="str">
        <f>IFERROR(__xludf.DUMMYFUNCTION("""COMPUTED_VALUE"""),"Fair")</f>
        <v>Fair</v>
      </c>
      <c r="AA1731" s="138" t="str">
        <f>IFERROR(__xludf.DUMMYFUNCTION("""COMPUTED_VALUE"""),"Very Good")</f>
        <v>Very Good</v>
      </c>
      <c r="AB1731" s="138" t="str">
        <f>IFERROR(__xludf.DUMMYFUNCTION("""COMPUTED_VALUE"""),"Excellent")</f>
        <v>Excellent</v>
      </c>
      <c r="AC1731" s="139">
        <f>IFERROR(__xludf.DUMMYFUNCTION("""COMPUTED_VALUE"""),7.0)</f>
        <v>7</v>
      </c>
      <c r="AD1731" s="139"/>
      <c r="AE1731" s="139"/>
      <c r="AF1731" s="140"/>
      <c r="AG1731" s="136"/>
      <c r="AH1731" s="157">
        <f>IFERROR(__xludf.DUMMYFUNCTION("""COMPUTED_VALUE"""),43733.73170725694)</f>
        <v>43733.73171</v>
      </c>
      <c r="AI1731" s="138"/>
      <c r="AJ1731" s="138"/>
      <c r="AK1731" s="138"/>
      <c r="AL1731" s="142"/>
    </row>
    <row r="1732" ht="20.25" customHeight="1">
      <c r="A1732" s="155" t="str">
        <f>IFERROR(__xludf.DUMMYFUNCTION("""COMPUTED_VALUE"""),"anakondarh")</f>
        <v>anakondarh</v>
      </c>
      <c r="B1732" s="149" t="str">
        <f>IFERROR(__xludf.DUMMYFUNCTION("""COMPUTED_VALUE"""),"Stavanger")</f>
        <v>Stavanger</v>
      </c>
      <c r="C1732" s="149"/>
      <c r="D1732" s="149" t="str">
        <f>IFERROR(__xludf.DUMMYFUNCTION("""COMPUTED_VALUE"""),"Norway")</f>
        <v>Norway</v>
      </c>
      <c r="E1732" s="156">
        <f>IFERROR(__xludf.DUMMYFUNCTION("""COMPUTED_VALUE"""),43699.0)</f>
        <v>43699</v>
      </c>
      <c r="F1732" s="129">
        <f>IFERROR(__xludf.DUMMYFUNCTION("""COMPUTED_VALUE"""),43772.0)</f>
        <v>43772</v>
      </c>
      <c r="G1732" s="154"/>
      <c r="H1732" s="131">
        <f>IFERROR(__xludf.DUMMYFUNCTION("""COMPUTED_VALUE"""),455955.0)</f>
        <v>455955</v>
      </c>
      <c r="I1732" s="144"/>
      <c r="J1732" s="129">
        <f>IFERROR(__xludf.DUMMYFUNCTION("""COMPUTED_VALUE"""),43780.0)</f>
        <v>43780</v>
      </c>
      <c r="K1732" s="133">
        <f>IFERROR(__xludf.DUMMYFUNCTION("""COMPUTED_VALUE"""),73.0)</f>
        <v>73</v>
      </c>
      <c r="L1732" s="133">
        <f>IFERROR(__xludf.DUMMYFUNCTION("""COMPUTED_VALUE"""),8.0)</f>
        <v>8</v>
      </c>
      <c r="M1732" s="133">
        <f>IFERROR(__xludf.DUMMYFUNCTION("""COMPUTED_VALUE"""),81.0)</f>
        <v>81</v>
      </c>
      <c r="N1732" s="152" t="str">
        <f>IFERROR(__xludf.DUMMYFUNCTION("""COMPUTED_VALUE"""),"Model 3 LR AWD")</f>
        <v>Model 3 LR AWD</v>
      </c>
      <c r="O1732" s="152" t="str">
        <f>IFERROR(__xludf.DUMMYFUNCTION("""COMPUTED_VALUE"""),"Midnight Silver Metallic")</f>
        <v>Midnight Silver Metallic</v>
      </c>
      <c r="P1732" s="153" t="str">
        <f>IFERROR(__xludf.DUMMYFUNCTION("""COMPUTED_VALUE"""),"18 inch Aero")</f>
        <v>18 inch Aero</v>
      </c>
      <c r="Q1732" s="152" t="str">
        <f>IFERROR(__xludf.DUMMYFUNCTION("""COMPUTED_VALUE"""),"Black seats")</f>
        <v>Black seats</v>
      </c>
      <c r="R1732" s="149" t="str">
        <f>IFERROR(__xludf.DUMMYFUNCTION("""COMPUTED_VALUE"""),"Autopilot")</f>
        <v>Autopilot</v>
      </c>
      <c r="S1732" s="149"/>
      <c r="T1732" s="136"/>
      <c r="U1732" s="136"/>
      <c r="V1732" s="145"/>
      <c r="W1732" s="136"/>
      <c r="X1732" s="162" t="str">
        <f>IFERROR(__xludf.DUMMYFUNCTION("""COMPUTED_VALUE"""),"Excellent")</f>
        <v>Excellent</v>
      </c>
      <c r="Y1732" s="138" t="str">
        <f>IFERROR(__xludf.DUMMYFUNCTION("""COMPUTED_VALUE"""),"Excellent")</f>
        <v>Excellent</v>
      </c>
      <c r="Z1732" s="138" t="str">
        <f>IFERROR(__xludf.DUMMYFUNCTION("""COMPUTED_VALUE"""),"Excellent")</f>
        <v>Excellent</v>
      </c>
      <c r="AA1732" s="138" t="str">
        <f>IFERROR(__xludf.DUMMYFUNCTION("""COMPUTED_VALUE"""),"Very Good")</f>
        <v>Very Good</v>
      </c>
      <c r="AB1732" s="138" t="str">
        <f>IFERROR(__xludf.DUMMYFUNCTION("""COMPUTED_VALUE"""),"Excellent")</f>
        <v>Excellent</v>
      </c>
      <c r="AC1732" s="139">
        <f>IFERROR(__xludf.DUMMYFUNCTION("""COMPUTED_VALUE"""),1.0)</f>
        <v>1</v>
      </c>
      <c r="AD1732" s="139">
        <f>IFERROR(__xludf.DUMMYFUNCTION("""COMPUTED_VALUE"""),0.0)</f>
        <v>0</v>
      </c>
      <c r="AE1732" s="139">
        <f>IFERROR(__xludf.DUMMYFUNCTION("""COMPUTED_VALUE"""),0.0)</f>
        <v>0</v>
      </c>
      <c r="AF1732" s="140"/>
      <c r="AG1732" s="136"/>
      <c r="AH1732" s="157">
        <f>IFERROR(__xludf.DUMMYFUNCTION("""COMPUTED_VALUE"""),43781.05958493056)</f>
        <v>43781.05958</v>
      </c>
      <c r="AI1732" s="138"/>
      <c r="AJ1732" s="138"/>
      <c r="AK1732" s="138"/>
      <c r="AL1732" s="142"/>
    </row>
    <row r="1733" ht="20.25" customHeight="1">
      <c r="A1733" s="155" t="str">
        <f>IFERROR(__xludf.DUMMYFUNCTION("""COMPUTED_VALUE"""),"MPLS_lakes")</f>
        <v>MPLS_lakes</v>
      </c>
      <c r="B1733" s="149" t="str">
        <f>IFERROR(__xludf.DUMMYFUNCTION("""COMPUTED_VALUE"""),"Minneapolis")</f>
        <v>Minneapolis</v>
      </c>
      <c r="C1733" s="149" t="str">
        <f>IFERROR(__xludf.DUMMYFUNCTION("""COMPUTED_VALUE"""),"MN")</f>
        <v>MN</v>
      </c>
      <c r="D1733" s="149" t="str">
        <f>IFERROR(__xludf.DUMMYFUNCTION("""COMPUTED_VALUE"""),"USA")</f>
        <v>USA</v>
      </c>
      <c r="E1733" s="156">
        <f>IFERROR(__xludf.DUMMYFUNCTION("""COMPUTED_VALUE"""),43699.0)</f>
        <v>43699</v>
      </c>
      <c r="F1733" s="129">
        <f>IFERROR(__xludf.DUMMYFUNCTION("""COMPUTED_VALUE"""),43725.0)</f>
        <v>43725</v>
      </c>
      <c r="G1733" s="154"/>
      <c r="H1733" s="131">
        <f>IFERROR(__xludf.DUMMYFUNCTION("""COMPUTED_VALUE"""),486999.0)</f>
        <v>486999</v>
      </c>
      <c r="I1733" s="144" t="str">
        <f>IFERROR(__xludf.DUMMYFUNCTION("""COMPUTED_VALUE"""),"09/19")</f>
        <v>09/19</v>
      </c>
      <c r="J1733" s="129">
        <f>IFERROR(__xludf.DUMMYFUNCTION("""COMPUTED_VALUE"""),43732.0)</f>
        <v>43732</v>
      </c>
      <c r="K1733" s="133">
        <f>IFERROR(__xludf.DUMMYFUNCTION("""COMPUTED_VALUE"""),26.0)</f>
        <v>26</v>
      </c>
      <c r="L1733" s="133">
        <f>IFERROR(__xludf.DUMMYFUNCTION("""COMPUTED_VALUE"""),7.0)</f>
        <v>7</v>
      </c>
      <c r="M1733" s="133">
        <f>IFERROR(__xludf.DUMMYFUNCTION("""COMPUTED_VALUE"""),33.0)</f>
        <v>33</v>
      </c>
      <c r="N1733" s="152" t="str">
        <f>IFERROR(__xludf.DUMMYFUNCTION("""COMPUTED_VALUE"""),"Model 3 Performance")</f>
        <v>Model 3 Performance</v>
      </c>
      <c r="O1733" s="152" t="str">
        <f>IFERROR(__xludf.DUMMYFUNCTION("""COMPUTED_VALUE"""),"Pearl White Multi-Coat")</f>
        <v>Pearl White Multi-Coat</v>
      </c>
      <c r="P1733" s="153" t="str">
        <f>IFERROR(__xludf.DUMMYFUNCTION("""COMPUTED_VALUE"""),"20 inch Sport")</f>
        <v>20 inch Sport</v>
      </c>
      <c r="Q1733" s="152" t="str">
        <f>IFERROR(__xludf.DUMMYFUNCTION("""COMPUTED_VALUE"""),"Black seats")</f>
        <v>Black seats</v>
      </c>
      <c r="R1733" s="149" t="str">
        <f>IFERROR(__xludf.DUMMYFUNCTION("""COMPUTED_VALUE"""),"Autopilot")</f>
        <v>Autopilot</v>
      </c>
      <c r="S1733" s="149"/>
      <c r="T1733" s="145"/>
      <c r="U1733" s="145"/>
      <c r="V1733" s="145"/>
      <c r="W1733" s="145"/>
      <c r="X1733" s="137" t="str">
        <f>IFERROR(__xludf.DUMMYFUNCTION("""COMPUTED_VALUE"""),"Excellent")</f>
        <v>Excellent</v>
      </c>
      <c r="Y1733" s="138" t="str">
        <f>IFERROR(__xludf.DUMMYFUNCTION("""COMPUTED_VALUE"""),"Very Good")</f>
        <v>Very Good</v>
      </c>
      <c r="Z1733" s="138" t="str">
        <f>IFERROR(__xludf.DUMMYFUNCTION("""COMPUTED_VALUE"""),"Very Good")</f>
        <v>Very Good</v>
      </c>
      <c r="AA1733" s="138" t="str">
        <f>IFERROR(__xludf.DUMMYFUNCTION("""COMPUTED_VALUE"""),"Very Good")</f>
        <v>Very Good</v>
      </c>
      <c r="AB1733" s="138" t="str">
        <f>IFERROR(__xludf.DUMMYFUNCTION("""COMPUTED_VALUE"""),"Very Good")</f>
        <v>Very Good</v>
      </c>
      <c r="AC1733" s="139">
        <f>IFERROR(__xludf.DUMMYFUNCTION("""COMPUTED_VALUE"""),1.0)</f>
        <v>1</v>
      </c>
      <c r="AD1733" s="139"/>
      <c r="AE1733" s="139"/>
      <c r="AF1733" s="140"/>
      <c r="AG1733" s="145" t="str">
        <f>IFERROR(__xludf.DUMMYFUNCTION("""COMPUTED_VALUE"""),"Delivery taken early, 9/23 | Arrived at Dealer, 9/21 | Delivery Scheduled, 9/24 | VIN in Source Code, 9/17 | Text Received 9/14: Tesla Update � We expect to deliver your Model 3 in the next two weeks and will update you when your delivery appointment is r"&amp;"eady to be scheduled.")</f>
        <v>Delivery taken early, 9/23 | Arrived at Dealer, 9/21 | Delivery Scheduled, 9/24 | VIN in Source Code, 9/17 | Text Received 9/14: Tesla Update � We expect to deliver your Model 3 in the next two weeks and will update you when your delivery appointment is ready to be scheduled.</v>
      </c>
      <c r="AH1733" s="157">
        <f>IFERROR(__xludf.DUMMYFUNCTION("""COMPUTED_VALUE"""),43744.865025023144)</f>
        <v>43744.86503</v>
      </c>
      <c r="AI1733" s="138"/>
      <c r="AJ1733" s="138"/>
      <c r="AK1733" s="138"/>
      <c r="AL1733" s="142"/>
    </row>
    <row r="1734" ht="20.25" customHeight="1">
      <c r="A1734" s="155" t="str">
        <f>IFERROR(__xludf.DUMMYFUNCTION("""COMPUTED_VALUE"""),"DopeGhoti")</f>
        <v>DopeGhoti</v>
      </c>
      <c r="B1734" s="149" t="str">
        <f>IFERROR(__xludf.DUMMYFUNCTION("""COMPUTED_VALUE"""),"Scottsdale")</f>
        <v>Scottsdale</v>
      </c>
      <c r="C1734" s="149" t="str">
        <f>IFERROR(__xludf.DUMMYFUNCTION("""COMPUTED_VALUE"""),"AZ")</f>
        <v>AZ</v>
      </c>
      <c r="D1734" s="149" t="str">
        <f>IFERROR(__xludf.DUMMYFUNCTION("""COMPUTED_VALUE"""),"USA")</f>
        <v>USA</v>
      </c>
      <c r="E1734" s="156">
        <f>IFERROR(__xludf.DUMMYFUNCTION("""COMPUTED_VALUE"""),43698.0)</f>
        <v>43698</v>
      </c>
      <c r="F1734" s="129">
        <f>IFERROR(__xludf.DUMMYFUNCTION("""COMPUTED_VALUE"""),43720.0)</f>
        <v>43720</v>
      </c>
      <c r="G1734" s="154"/>
      <c r="H1734" s="131">
        <f>IFERROR(__xludf.DUMMYFUNCTION("""COMPUTED_VALUE"""),510455.0)</f>
        <v>510455</v>
      </c>
      <c r="I1734" s="144" t="str">
        <f>IFERROR(__xludf.DUMMYFUNCTION("""COMPUTED_VALUE"""),"09/19")</f>
        <v>09/19</v>
      </c>
      <c r="J1734" s="129">
        <f>IFERROR(__xludf.DUMMYFUNCTION("""COMPUTED_VALUE"""),43724.0)</f>
        <v>43724</v>
      </c>
      <c r="K1734" s="133">
        <f>IFERROR(__xludf.DUMMYFUNCTION("""COMPUTED_VALUE"""),22.0)</f>
        <v>22</v>
      </c>
      <c r="L1734" s="133">
        <f>IFERROR(__xludf.DUMMYFUNCTION("""COMPUTED_VALUE"""),4.0)</f>
        <v>4</v>
      </c>
      <c r="M1734" s="133">
        <f>IFERROR(__xludf.DUMMYFUNCTION("""COMPUTED_VALUE"""),26.0)</f>
        <v>26</v>
      </c>
      <c r="N1734" s="152" t="str">
        <f>IFERROR(__xludf.DUMMYFUNCTION("""COMPUTED_VALUE"""),"Model 3 LR AWD")</f>
        <v>Model 3 LR AWD</v>
      </c>
      <c r="O1734" s="152" t="str">
        <f>IFERROR(__xludf.DUMMYFUNCTION("""COMPUTED_VALUE"""),"Pearl White Multi-Coat")</f>
        <v>Pearl White Multi-Coat</v>
      </c>
      <c r="P1734" s="153" t="str">
        <f>IFERROR(__xludf.DUMMYFUNCTION("""COMPUTED_VALUE"""),"18 inch Aero")</f>
        <v>18 inch Aero</v>
      </c>
      <c r="Q1734" s="152" t="str">
        <f>IFERROR(__xludf.DUMMYFUNCTION("""COMPUTED_VALUE"""),"Black seats")</f>
        <v>Black seats</v>
      </c>
      <c r="R1734" s="149" t="str">
        <f>IFERROR(__xludf.DUMMYFUNCTION("""COMPUTED_VALUE"""),"Full Self-Driving")</f>
        <v>Full Self-Driving</v>
      </c>
      <c r="S1734" s="149"/>
      <c r="T1734" s="145"/>
      <c r="U1734" s="145"/>
      <c r="V1734" s="145"/>
      <c r="W1734" s="136"/>
      <c r="X1734" s="137" t="str">
        <f>IFERROR(__xludf.DUMMYFUNCTION("""COMPUTED_VALUE"""),"Good")</f>
        <v>Good</v>
      </c>
      <c r="Y1734" s="138" t="str">
        <f>IFERROR(__xludf.DUMMYFUNCTION("""COMPUTED_VALUE"""),"Very Good")</f>
        <v>Very Good</v>
      </c>
      <c r="Z1734" s="138" t="str">
        <f>IFERROR(__xludf.DUMMYFUNCTION("""COMPUTED_VALUE"""),"Excellent")</f>
        <v>Excellent</v>
      </c>
      <c r="AA1734" s="138" t="str">
        <f>IFERROR(__xludf.DUMMYFUNCTION("""COMPUTED_VALUE"""),"Poor")</f>
        <v>Poor</v>
      </c>
      <c r="AB1734" s="138" t="str">
        <f>IFERROR(__xludf.DUMMYFUNCTION("""COMPUTED_VALUE"""),"Good")</f>
        <v>Good</v>
      </c>
      <c r="AC1734" s="139">
        <f>IFERROR(__xludf.DUMMYFUNCTION("""COMPUTED_VALUE"""),1.0)</f>
        <v>1</v>
      </c>
      <c r="AD1734" s="139">
        <f>IFERROR(__xludf.DUMMYFUNCTION("""COMPUTED_VALUE"""),1.0)</f>
        <v>1</v>
      </c>
      <c r="AE1734" s="139">
        <f>IFERROR(__xludf.DUMMYFUNCTION("""COMPUTED_VALUE"""),0.0)</f>
        <v>0</v>
      </c>
      <c r="AF1734" s="140"/>
      <c r="AG1734" s="136" t="str">
        <f>IFERROR(__xludf.DUMMYFUNCTION("""COMPUTED_VALUE"""),"Had trouble setting up phone-as-key and Summon; steering wheel canted clockwise from center.")</f>
        <v>Had trouble setting up phone-as-key and Summon; steering wheel canted clockwise from center.</v>
      </c>
      <c r="AH1734" s="157">
        <f>IFERROR(__xludf.DUMMYFUNCTION("""COMPUTED_VALUE"""),43751.45154844908)</f>
        <v>43751.45155</v>
      </c>
      <c r="AI1734" s="138"/>
      <c r="AJ1734" s="138"/>
      <c r="AK1734" s="138"/>
      <c r="AL1734" s="142"/>
    </row>
    <row r="1735" ht="20.25" customHeight="1">
      <c r="A1735" s="155" t="str">
        <f>IFERROR(__xludf.DUMMYFUNCTION("""COMPUTED_VALUE"""),"ek00000")</f>
        <v>ek00000</v>
      </c>
      <c r="B1735" s="149" t="str">
        <f>IFERROR(__xludf.DUMMYFUNCTION("""COMPUTED_VALUE"""),"Lake Forest")</f>
        <v>Lake Forest</v>
      </c>
      <c r="C1735" s="149" t="str">
        <f>IFERROR(__xludf.DUMMYFUNCTION("""COMPUTED_VALUE"""),"CA")</f>
        <v>CA</v>
      </c>
      <c r="D1735" s="149" t="str">
        <f>IFERROR(__xludf.DUMMYFUNCTION("""COMPUTED_VALUE"""),"USA")</f>
        <v>USA</v>
      </c>
      <c r="E1735" s="156">
        <f>IFERROR(__xludf.DUMMYFUNCTION("""COMPUTED_VALUE"""),43698.0)</f>
        <v>43698</v>
      </c>
      <c r="F1735" s="129">
        <f>IFERROR(__xludf.DUMMYFUNCTION("""COMPUTED_VALUE"""),43716.0)</f>
        <v>43716</v>
      </c>
      <c r="G1735" s="154"/>
      <c r="H1735" s="131">
        <f>IFERROR(__xludf.DUMMYFUNCTION("""COMPUTED_VALUE"""),485155.0)</f>
        <v>485155</v>
      </c>
      <c r="I1735" s="132"/>
      <c r="J1735" s="129">
        <f>IFERROR(__xludf.DUMMYFUNCTION("""COMPUTED_VALUE"""),43719.0)</f>
        <v>43719</v>
      </c>
      <c r="K1735" s="133">
        <f>IFERROR(__xludf.DUMMYFUNCTION("""COMPUTED_VALUE"""),18.0)</f>
        <v>18</v>
      </c>
      <c r="L1735" s="133">
        <f>IFERROR(__xludf.DUMMYFUNCTION("""COMPUTED_VALUE"""),3.0)</f>
        <v>3</v>
      </c>
      <c r="M1735" s="133">
        <f>IFERROR(__xludf.DUMMYFUNCTION("""COMPUTED_VALUE"""),21.0)</f>
        <v>21</v>
      </c>
      <c r="N1735" s="152" t="str">
        <f>IFERROR(__xludf.DUMMYFUNCTION("""COMPUTED_VALUE"""),"Model 3 SR+")</f>
        <v>Model 3 SR+</v>
      </c>
      <c r="O1735" s="152" t="str">
        <f>IFERROR(__xludf.DUMMYFUNCTION("""COMPUTED_VALUE"""),"Pearl White Multi-Coat")</f>
        <v>Pearl White Multi-Coat</v>
      </c>
      <c r="P1735" s="153" t="str">
        <f>IFERROR(__xludf.DUMMYFUNCTION("""COMPUTED_VALUE"""),"18 inch Aero")</f>
        <v>18 inch Aero</v>
      </c>
      <c r="Q1735" s="152" t="str">
        <f>IFERROR(__xludf.DUMMYFUNCTION("""COMPUTED_VALUE"""),"Black seats")</f>
        <v>Black seats</v>
      </c>
      <c r="R1735" s="150" t="str">
        <f>IFERROR(__xludf.DUMMYFUNCTION("""COMPUTED_VALUE"""),"Autopilot")</f>
        <v>Autopilot</v>
      </c>
      <c r="S1735" s="150"/>
      <c r="T1735" s="136"/>
      <c r="U1735" s="136"/>
      <c r="V1735" s="136"/>
      <c r="W1735" s="136"/>
      <c r="X1735" s="137" t="str">
        <f>IFERROR(__xludf.DUMMYFUNCTION("""COMPUTED_VALUE"""),"Excellent")</f>
        <v>Excellent</v>
      </c>
      <c r="Y1735" s="138" t="str">
        <f>IFERROR(__xludf.DUMMYFUNCTION("""COMPUTED_VALUE"""),"Excellent")</f>
        <v>Excellent</v>
      </c>
      <c r="Z1735" s="138" t="str">
        <f>IFERROR(__xludf.DUMMYFUNCTION("""COMPUTED_VALUE"""),"Excellent")</f>
        <v>Excellent</v>
      </c>
      <c r="AA1735" s="138" t="str">
        <f>IFERROR(__xludf.DUMMYFUNCTION("""COMPUTED_VALUE"""),"Very Good")</f>
        <v>Very Good</v>
      </c>
      <c r="AB1735" s="138" t="str">
        <f>IFERROR(__xludf.DUMMYFUNCTION("""COMPUTED_VALUE"""),"Excellent")</f>
        <v>Excellent</v>
      </c>
      <c r="AC1735" s="139"/>
      <c r="AD1735" s="139"/>
      <c r="AE1735" s="139"/>
      <c r="AF1735" s="140"/>
      <c r="AG1735" s="136"/>
      <c r="AH1735" s="157">
        <f>IFERROR(__xludf.DUMMYFUNCTION("""COMPUTED_VALUE"""),43724.69377917824)</f>
        <v>43724.69378</v>
      </c>
      <c r="AI1735" s="138"/>
      <c r="AJ1735" s="138"/>
      <c r="AK1735" s="138"/>
      <c r="AL1735" s="142"/>
    </row>
    <row r="1736" ht="20.25" customHeight="1">
      <c r="A1736" s="155" t="str">
        <f>IFERROR(__xludf.DUMMYFUNCTION("""COMPUTED_VALUE"""),"Hiron")</f>
        <v>Hiron</v>
      </c>
      <c r="B1736" s="149" t="str">
        <f>IFERROR(__xludf.DUMMYFUNCTION("""COMPUTED_VALUE"""),"San Francisco")</f>
        <v>San Francisco</v>
      </c>
      <c r="C1736" s="149" t="str">
        <f>IFERROR(__xludf.DUMMYFUNCTION("""COMPUTED_VALUE"""),"CA")</f>
        <v>CA</v>
      </c>
      <c r="D1736" s="149" t="str">
        <f>IFERROR(__xludf.DUMMYFUNCTION("""COMPUTED_VALUE"""),"USA")</f>
        <v>USA</v>
      </c>
      <c r="E1736" s="156">
        <f>IFERROR(__xludf.DUMMYFUNCTION("""COMPUTED_VALUE"""),43698.0)</f>
        <v>43698</v>
      </c>
      <c r="F1736" s="129">
        <f>IFERROR(__xludf.DUMMYFUNCTION("""COMPUTED_VALUE"""),43729.0)</f>
        <v>43729</v>
      </c>
      <c r="G1736" s="154"/>
      <c r="H1736" s="131">
        <f>IFERROR(__xludf.DUMMYFUNCTION("""COMPUTED_VALUE"""),513848.0)</f>
        <v>513848</v>
      </c>
      <c r="I1736" s="144"/>
      <c r="J1736" s="129">
        <f>IFERROR(__xludf.DUMMYFUNCTION("""COMPUTED_VALUE"""),43731.0)</f>
        <v>43731</v>
      </c>
      <c r="K1736" s="133">
        <f>IFERROR(__xludf.DUMMYFUNCTION("""COMPUTED_VALUE"""),31.0)</f>
        <v>31</v>
      </c>
      <c r="L1736" s="133">
        <f>IFERROR(__xludf.DUMMYFUNCTION("""COMPUTED_VALUE"""),2.0)</f>
        <v>2</v>
      </c>
      <c r="M1736" s="133">
        <f>IFERROR(__xludf.DUMMYFUNCTION("""COMPUTED_VALUE"""),33.0)</f>
        <v>33</v>
      </c>
      <c r="N1736" s="152" t="str">
        <f>IFERROR(__xludf.DUMMYFUNCTION("""COMPUTED_VALUE"""),"Model 3 Performance")</f>
        <v>Model 3 Performance</v>
      </c>
      <c r="O1736" s="152" t="str">
        <f>IFERROR(__xludf.DUMMYFUNCTION("""COMPUTED_VALUE"""),"Midnight Silver Metallic")</f>
        <v>Midnight Silver Metallic</v>
      </c>
      <c r="P1736" s="153" t="str">
        <f>IFERROR(__xludf.DUMMYFUNCTION("""COMPUTED_VALUE"""),"20 inch Sport")</f>
        <v>20 inch Sport</v>
      </c>
      <c r="Q1736" s="152" t="str">
        <f>IFERROR(__xludf.DUMMYFUNCTION("""COMPUTED_VALUE"""),"Black seats")</f>
        <v>Black seats</v>
      </c>
      <c r="R1736" s="149" t="str">
        <f>IFERROR(__xludf.DUMMYFUNCTION("""COMPUTED_VALUE"""),"Full Self-Driving")</f>
        <v>Full Self-Driving</v>
      </c>
      <c r="S1736" s="149"/>
      <c r="T1736" s="145"/>
      <c r="U1736" s="145"/>
      <c r="V1736" s="145"/>
      <c r="W1736" s="145"/>
      <c r="X1736" s="137" t="str">
        <f>IFERROR(__xludf.DUMMYFUNCTION("""COMPUTED_VALUE"""),"Good")</f>
        <v>Good</v>
      </c>
      <c r="Y1736" s="138" t="str">
        <f>IFERROR(__xludf.DUMMYFUNCTION("""COMPUTED_VALUE"""),"Excellent")</f>
        <v>Excellent</v>
      </c>
      <c r="Z1736" s="138" t="str">
        <f>IFERROR(__xludf.DUMMYFUNCTION("""COMPUTED_VALUE"""),"Good")</f>
        <v>Good</v>
      </c>
      <c r="AA1736" s="138" t="str">
        <f>IFERROR(__xludf.DUMMYFUNCTION("""COMPUTED_VALUE"""),"Good")</f>
        <v>Good</v>
      </c>
      <c r="AB1736" s="138" t="str">
        <f>IFERROR(__xludf.DUMMYFUNCTION("""COMPUTED_VALUE"""),"Very Good")</f>
        <v>Very Good</v>
      </c>
      <c r="AC1736" s="139">
        <f>IFERROR(__xludf.DUMMYFUNCTION("""COMPUTED_VALUE"""),0.0)</f>
        <v>0</v>
      </c>
      <c r="AD1736" s="139">
        <f>IFERROR(__xludf.DUMMYFUNCTION("""COMPUTED_VALUE"""),0.0)</f>
        <v>0</v>
      </c>
      <c r="AE1736" s="139">
        <f>IFERROR(__xludf.DUMMYFUNCTION("""COMPUTED_VALUE"""),0.0)</f>
        <v>0</v>
      </c>
      <c r="AF1736" s="140"/>
      <c r="AG1736" s="145" t="str">
        <f>IFERROR(__xludf.DUMMYFUNCTION("""COMPUTED_VALUE"""),"VIN Found in source code on 9/21/2019. Pickup at Fremont hub.")</f>
        <v>VIN Found in source code on 9/21/2019. Pickup at Fremont hub.</v>
      </c>
      <c r="AH1736" s="157">
        <f>IFERROR(__xludf.DUMMYFUNCTION("""COMPUTED_VALUE"""),43758.9004207176)</f>
        <v>43758.90042</v>
      </c>
      <c r="AI1736" s="138"/>
      <c r="AJ1736" s="138"/>
      <c r="AK1736" s="138"/>
      <c r="AL1736" s="142"/>
    </row>
    <row r="1737" ht="20.25" customHeight="1">
      <c r="A1737" s="155" t="str">
        <f>IFERROR(__xludf.DUMMYFUNCTION("""COMPUTED_VALUE"""),"liantics")</f>
        <v>liantics</v>
      </c>
      <c r="B1737" s="149"/>
      <c r="C1737" s="149" t="str">
        <f>IFERROR(__xludf.DUMMYFUNCTION("""COMPUTED_VALUE"""),"MA")</f>
        <v>MA</v>
      </c>
      <c r="D1737" s="149" t="str">
        <f>IFERROR(__xludf.DUMMYFUNCTION("""COMPUTED_VALUE"""),"USA")</f>
        <v>USA</v>
      </c>
      <c r="E1737" s="156">
        <f>IFERROR(__xludf.DUMMYFUNCTION("""COMPUTED_VALUE"""),43697.0)</f>
        <v>43697</v>
      </c>
      <c r="F1737" s="129">
        <f>IFERROR(__xludf.DUMMYFUNCTION("""COMPUTED_VALUE"""),43704.0)</f>
        <v>43704</v>
      </c>
      <c r="G1737" s="154"/>
      <c r="H1737" s="131">
        <f>IFERROR(__xludf.DUMMYFUNCTION("""COMPUTED_VALUE"""),430855.0)</f>
        <v>430855</v>
      </c>
      <c r="I1737" s="144"/>
      <c r="J1737" s="129">
        <f>IFERROR(__xludf.DUMMYFUNCTION("""COMPUTED_VALUE"""),43708.0)</f>
        <v>43708</v>
      </c>
      <c r="K1737" s="133">
        <f>IFERROR(__xludf.DUMMYFUNCTION("""COMPUTED_VALUE"""),7.0)</f>
        <v>7</v>
      </c>
      <c r="L1737" s="133">
        <f>IFERROR(__xludf.DUMMYFUNCTION("""COMPUTED_VALUE"""),4.0)</f>
        <v>4</v>
      </c>
      <c r="M1737" s="133">
        <f>IFERROR(__xludf.DUMMYFUNCTION("""COMPUTED_VALUE"""),11.0)</f>
        <v>11</v>
      </c>
      <c r="N1737" s="152" t="str">
        <f>IFERROR(__xludf.DUMMYFUNCTION("""COMPUTED_VALUE"""),"Model 3 SR")</f>
        <v>Model 3 SR</v>
      </c>
      <c r="O1737" s="152" t="str">
        <f>IFERROR(__xludf.DUMMYFUNCTION("""COMPUTED_VALUE"""),"Pearl White Multi-Coat")</f>
        <v>Pearl White Multi-Coat</v>
      </c>
      <c r="P1737" s="153" t="str">
        <f>IFERROR(__xludf.DUMMYFUNCTION("""COMPUTED_VALUE"""),"18 inch Aero")</f>
        <v>18 inch Aero</v>
      </c>
      <c r="Q1737" s="152"/>
      <c r="R1737" s="149"/>
      <c r="S1737" s="149"/>
      <c r="T1737" s="145"/>
      <c r="U1737" s="145"/>
      <c r="V1737" s="145"/>
      <c r="W1737" s="136"/>
      <c r="X1737" s="162"/>
      <c r="Y1737" s="138"/>
      <c r="Z1737" s="138"/>
      <c r="AA1737" s="138"/>
      <c r="AB1737" s="138" t="str">
        <f>IFERROR(__xludf.DUMMYFUNCTION("""COMPUTED_VALUE"""),"Fair")</f>
        <v>Fair</v>
      </c>
      <c r="AC1737" s="139"/>
      <c r="AD1737" s="139"/>
      <c r="AE1737" s="139"/>
      <c r="AF1737" s="140"/>
      <c r="AG1737" s="136"/>
      <c r="AH1737" s="157">
        <f>IFERROR(__xludf.DUMMYFUNCTION("""COMPUTED_VALUE"""),43709.948668958335)</f>
        <v>43709.94867</v>
      </c>
      <c r="AI1737" s="138"/>
      <c r="AJ1737" s="138"/>
      <c r="AK1737" s="138"/>
      <c r="AL1737" s="142"/>
    </row>
    <row r="1738" ht="20.25" customHeight="1">
      <c r="A1738" s="155" t="str">
        <f>IFERROR(__xludf.DUMMYFUNCTION("""COMPUTED_VALUE"""),"clb")</f>
        <v>clb</v>
      </c>
      <c r="B1738" s="149" t="str">
        <f>IFERROR(__xludf.DUMMYFUNCTION("""COMPUTED_VALUE"""),"Medina")</f>
        <v>Medina</v>
      </c>
      <c r="C1738" s="149" t="str">
        <f>IFERROR(__xludf.DUMMYFUNCTION("""COMPUTED_VALUE"""),"OH")</f>
        <v>OH</v>
      </c>
      <c r="D1738" s="149" t="str">
        <f>IFERROR(__xludf.DUMMYFUNCTION("""COMPUTED_VALUE"""),"USA")</f>
        <v>USA</v>
      </c>
      <c r="E1738" s="156">
        <f>IFERROR(__xludf.DUMMYFUNCTION("""COMPUTED_VALUE"""),43696.0)</f>
        <v>43696</v>
      </c>
      <c r="F1738" s="129">
        <f>IFERROR(__xludf.DUMMYFUNCTION("""COMPUTED_VALUE"""),43717.0)</f>
        <v>43717</v>
      </c>
      <c r="G1738" s="154"/>
      <c r="H1738" s="131">
        <f>IFERROR(__xludf.DUMMYFUNCTION("""COMPUTED_VALUE"""),454955.0)</f>
        <v>454955</v>
      </c>
      <c r="I1738" s="144" t="str">
        <f>IFERROR(__xludf.DUMMYFUNCTION("""COMPUTED_VALUE"""),"09/19")</f>
        <v>09/19</v>
      </c>
      <c r="J1738" s="129">
        <f>IFERROR(__xludf.DUMMYFUNCTION("""COMPUTED_VALUE"""),43725.0)</f>
        <v>43725</v>
      </c>
      <c r="K1738" s="133">
        <f>IFERROR(__xludf.DUMMYFUNCTION("""COMPUTED_VALUE"""),21.0)</f>
        <v>21</v>
      </c>
      <c r="L1738" s="133">
        <f>IFERROR(__xludf.DUMMYFUNCTION("""COMPUTED_VALUE"""),8.0)</f>
        <v>8</v>
      </c>
      <c r="M1738" s="133">
        <f>IFERROR(__xludf.DUMMYFUNCTION("""COMPUTED_VALUE"""),29.0)</f>
        <v>29</v>
      </c>
      <c r="N1738" s="152" t="str">
        <f>IFERROR(__xludf.DUMMYFUNCTION("""COMPUTED_VALUE"""),"Model 3 Performance")</f>
        <v>Model 3 Performance</v>
      </c>
      <c r="O1738" s="152" t="str">
        <f>IFERROR(__xludf.DUMMYFUNCTION("""COMPUTED_VALUE"""),"Deep Blue Metallic")</f>
        <v>Deep Blue Metallic</v>
      </c>
      <c r="P1738" s="153" t="str">
        <f>IFERROR(__xludf.DUMMYFUNCTION("""COMPUTED_VALUE"""),"20 inch Sport")</f>
        <v>20 inch Sport</v>
      </c>
      <c r="Q1738" s="152" t="str">
        <f>IFERROR(__xludf.DUMMYFUNCTION("""COMPUTED_VALUE"""),"White seats")</f>
        <v>White seats</v>
      </c>
      <c r="R1738" s="149" t="str">
        <f>IFERROR(__xludf.DUMMYFUNCTION("""COMPUTED_VALUE"""),"Full Self-Driving")</f>
        <v>Full Self-Driving</v>
      </c>
      <c r="S1738" s="149"/>
      <c r="T1738" s="145"/>
      <c r="U1738" s="145"/>
      <c r="V1738" s="145"/>
      <c r="W1738" s="145"/>
      <c r="X1738" s="151" t="str">
        <f>IFERROR(__xludf.DUMMYFUNCTION("""COMPUTED_VALUE"""),"Very Good")</f>
        <v>Very Good</v>
      </c>
      <c r="Y1738" s="138" t="str">
        <f>IFERROR(__xludf.DUMMYFUNCTION("""COMPUTED_VALUE"""),"Very Good")</f>
        <v>Very Good</v>
      </c>
      <c r="Z1738" s="138" t="str">
        <f>IFERROR(__xludf.DUMMYFUNCTION("""COMPUTED_VALUE"""),"Very Good")</f>
        <v>Very Good</v>
      </c>
      <c r="AA1738" s="138" t="str">
        <f>IFERROR(__xludf.DUMMYFUNCTION("""COMPUTED_VALUE"""),"Fair")</f>
        <v>Fair</v>
      </c>
      <c r="AB1738" s="138" t="str">
        <f>IFERROR(__xludf.DUMMYFUNCTION("""COMPUTED_VALUE"""),"Very Good")</f>
        <v>Very Good</v>
      </c>
      <c r="AC1738" s="139"/>
      <c r="AD1738" s="139"/>
      <c r="AE1738" s="139"/>
      <c r="AF1738" s="140"/>
      <c r="AG1738" s="145" t="str">
        <f>IFERROR(__xludf.DUMMYFUNCTION("""COMPUTED_VALUE"""),"vin in source 9/9")</f>
        <v>vin in source 9/9</v>
      </c>
      <c r="AH1738" s="157">
        <f>IFERROR(__xludf.DUMMYFUNCTION("""COMPUTED_VALUE"""),43725.554659305555)</f>
        <v>43725.55466</v>
      </c>
      <c r="AI1738" s="138"/>
      <c r="AJ1738" s="138"/>
      <c r="AK1738" s="138"/>
      <c r="AL1738" s="142"/>
    </row>
    <row r="1739" ht="20.25" customHeight="1">
      <c r="A1739" s="155" t="str">
        <f>IFERROR(__xludf.DUMMYFUNCTION("""COMPUTED_VALUE"""),"hclark1")</f>
        <v>hclark1</v>
      </c>
      <c r="B1739" s="149" t="str">
        <f>IFERROR(__xludf.DUMMYFUNCTION("""COMPUTED_VALUE"""),"Orange")</f>
        <v>Orange</v>
      </c>
      <c r="C1739" s="149" t="str">
        <f>IFERROR(__xludf.DUMMYFUNCTION("""COMPUTED_VALUE"""),"CA")</f>
        <v>CA</v>
      </c>
      <c r="D1739" s="149" t="str">
        <f>IFERROR(__xludf.DUMMYFUNCTION("""COMPUTED_VALUE"""),"USA")</f>
        <v>USA</v>
      </c>
      <c r="E1739" s="156">
        <f>IFERROR(__xludf.DUMMYFUNCTION("""COMPUTED_VALUE"""),43696.0)</f>
        <v>43696</v>
      </c>
      <c r="F1739" s="129">
        <f>IFERROR(__xludf.DUMMYFUNCTION("""COMPUTED_VALUE"""),43723.0)</f>
        <v>43723</v>
      </c>
      <c r="G1739" s="154"/>
      <c r="H1739" s="131">
        <f>IFERROR(__xludf.DUMMYFUNCTION("""COMPUTED_VALUE"""),529895.0)</f>
        <v>529895</v>
      </c>
      <c r="I1739" s="144" t="str">
        <f>IFERROR(__xludf.DUMMYFUNCTION("""COMPUTED_VALUE"""),"09/19")</f>
        <v>09/19</v>
      </c>
      <c r="J1739" s="129">
        <f>IFERROR(__xludf.DUMMYFUNCTION("""COMPUTED_VALUE"""),43723.0)</f>
        <v>43723</v>
      </c>
      <c r="K1739" s="133">
        <f>IFERROR(__xludf.DUMMYFUNCTION("""COMPUTED_VALUE"""),27.0)</f>
        <v>27</v>
      </c>
      <c r="L1739" s="133">
        <f>IFERROR(__xludf.DUMMYFUNCTION("""COMPUTED_VALUE"""),0.0)</f>
        <v>0</v>
      </c>
      <c r="M1739" s="133">
        <f>IFERROR(__xludf.DUMMYFUNCTION("""COMPUTED_VALUE"""),27.0)</f>
        <v>27</v>
      </c>
      <c r="N1739" s="152" t="str">
        <f>IFERROR(__xludf.DUMMYFUNCTION("""COMPUTED_VALUE"""),"Model 3 LR")</f>
        <v>Model 3 LR</v>
      </c>
      <c r="O1739" s="152" t="str">
        <f>IFERROR(__xludf.DUMMYFUNCTION("""COMPUTED_VALUE"""),"Pearl White Multi-Coat")</f>
        <v>Pearl White Multi-Coat</v>
      </c>
      <c r="P1739" s="153" t="str">
        <f>IFERROR(__xludf.DUMMYFUNCTION("""COMPUTED_VALUE"""),"19 inch Sport")</f>
        <v>19 inch Sport</v>
      </c>
      <c r="Q1739" s="152" t="str">
        <f>IFERROR(__xludf.DUMMYFUNCTION("""COMPUTED_VALUE"""),"Black seats")</f>
        <v>Black seats</v>
      </c>
      <c r="R1739" s="149" t="str">
        <f>IFERROR(__xludf.DUMMYFUNCTION("""COMPUTED_VALUE"""),"Full Self-Driving")</f>
        <v>Full Self-Driving</v>
      </c>
      <c r="S1739" s="149"/>
      <c r="T1739" s="145"/>
      <c r="U1739" s="145"/>
      <c r="V1739" s="145"/>
      <c r="W1739" s="145"/>
      <c r="X1739" s="137" t="str">
        <f>IFERROR(__xludf.DUMMYFUNCTION("""COMPUTED_VALUE"""),"Excellent")</f>
        <v>Excellent</v>
      </c>
      <c r="Y1739" s="138" t="str">
        <f>IFERROR(__xludf.DUMMYFUNCTION("""COMPUTED_VALUE"""),"Excellent")</f>
        <v>Excellent</v>
      </c>
      <c r="Z1739" s="138" t="str">
        <f>IFERROR(__xludf.DUMMYFUNCTION("""COMPUTED_VALUE"""),"Very Good")</f>
        <v>Very Good</v>
      </c>
      <c r="AA1739" s="138" t="str">
        <f>IFERROR(__xludf.DUMMYFUNCTION("""COMPUTED_VALUE"""),"Poor")</f>
        <v>Poor</v>
      </c>
      <c r="AB1739" s="138" t="str">
        <f>IFERROR(__xludf.DUMMYFUNCTION("""COMPUTED_VALUE"""),"Good")</f>
        <v>Good</v>
      </c>
      <c r="AC1739" s="139">
        <f>IFERROR(__xludf.DUMMYFUNCTION("""COMPUTED_VALUE"""),0.0)</f>
        <v>0</v>
      </c>
      <c r="AD1739" s="139">
        <f>IFERROR(__xludf.DUMMYFUNCTION("""COMPUTED_VALUE"""),0.0)</f>
        <v>0</v>
      </c>
      <c r="AE1739" s="139">
        <f>IFERROR(__xludf.DUMMYFUNCTION("""COMPUTED_VALUE"""),0.0)</f>
        <v>0</v>
      </c>
      <c r="AF1739" s="140"/>
      <c r="AG1739" s="145" t="str">
        <f>IFERROR(__xludf.DUMMYFUNCTION("""COMPUTED_VALUE"""),"Ordered LR AWD but was matched to LR RWD sooner")</f>
        <v>Ordered LR AWD but was matched to LR RWD sooner</v>
      </c>
      <c r="AH1739" s="157">
        <f>IFERROR(__xludf.DUMMYFUNCTION("""COMPUTED_VALUE"""),43725.56429128472)</f>
        <v>43725.56429</v>
      </c>
      <c r="AI1739" s="138"/>
      <c r="AJ1739" s="138"/>
      <c r="AK1739" s="138"/>
      <c r="AL1739" s="142"/>
    </row>
    <row r="1740" ht="20.25" customHeight="1">
      <c r="A1740" s="155" t="str">
        <f>IFERROR(__xludf.DUMMYFUNCTION("""COMPUTED_VALUE"""),"judecop")</f>
        <v>judecop</v>
      </c>
      <c r="B1740" s="149" t="str">
        <f>IFERROR(__xludf.DUMMYFUNCTION("""COMPUTED_VALUE"""),"Pittsburgh")</f>
        <v>Pittsburgh</v>
      </c>
      <c r="C1740" s="149" t="str">
        <f>IFERROR(__xludf.DUMMYFUNCTION("""COMPUTED_VALUE"""),"PA")</f>
        <v>PA</v>
      </c>
      <c r="D1740" s="149" t="str">
        <f>IFERROR(__xludf.DUMMYFUNCTION("""COMPUTED_VALUE"""),"USA")</f>
        <v>USA</v>
      </c>
      <c r="E1740" s="156">
        <f>IFERROR(__xludf.DUMMYFUNCTION("""COMPUTED_VALUE"""),43696.0)</f>
        <v>43696</v>
      </c>
      <c r="F1740" s="129">
        <f>IFERROR(__xludf.DUMMYFUNCTION("""COMPUTED_VALUE"""),43716.0)</f>
        <v>43716</v>
      </c>
      <c r="G1740" s="154"/>
      <c r="H1740" s="131">
        <f>IFERROR(__xludf.DUMMYFUNCTION("""COMPUTED_VALUE"""),470098.0)</f>
        <v>470098</v>
      </c>
      <c r="I1740" s="144" t="str">
        <f>IFERROR(__xludf.DUMMYFUNCTION("""COMPUTED_VALUE"""),"09/19")</f>
        <v>09/19</v>
      </c>
      <c r="J1740" s="129">
        <f>IFERROR(__xludf.DUMMYFUNCTION("""COMPUTED_VALUE"""),43722.0)</f>
        <v>43722</v>
      </c>
      <c r="K1740" s="133">
        <f>IFERROR(__xludf.DUMMYFUNCTION("""COMPUTED_VALUE"""),20.0)</f>
        <v>20</v>
      </c>
      <c r="L1740" s="133">
        <f>IFERROR(__xludf.DUMMYFUNCTION("""COMPUTED_VALUE"""),6.0)</f>
        <v>6</v>
      </c>
      <c r="M1740" s="133">
        <f>IFERROR(__xludf.DUMMYFUNCTION("""COMPUTED_VALUE"""),26.0)</f>
        <v>26</v>
      </c>
      <c r="N1740" s="152" t="str">
        <f>IFERROR(__xludf.DUMMYFUNCTION("""COMPUTED_VALUE"""),"Model 3 Performance")</f>
        <v>Model 3 Performance</v>
      </c>
      <c r="O1740" s="152" t="str">
        <f>IFERROR(__xludf.DUMMYFUNCTION("""COMPUTED_VALUE"""),"Pearl White Multi-Coat")</f>
        <v>Pearl White Multi-Coat</v>
      </c>
      <c r="P1740" s="153" t="str">
        <f>IFERROR(__xludf.DUMMYFUNCTION("""COMPUTED_VALUE"""),"20 inch Sport")</f>
        <v>20 inch Sport</v>
      </c>
      <c r="Q1740" s="152" t="str">
        <f>IFERROR(__xludf.DUMMYFUNCTION("""COMPUTED_VALUE"""),"White seats")</f>
        <v>White seats</v>
      </c>
      <c r="R1740" s="149" t="str">
        <f>IFERROR(__xludf.DUMMYFUNCTION("""COMPUTED_VALUE"""),"Full Self-Driving")</f>
        <v>Full Self-Driving</v>
      </c>
      <c r="S1740" s="149"/>
      <c r="T1740" s="145"/>
      <c r="U1740" s="145"/>
      <c r="V1740" s="145"/>
      <c r="W1740" s="145"/>
      <c r="X1740" s="137" t="str">
        <f>IFERROR(__xludf.DUMMYFUNCTION("""COMPUTED_VALUE"""),"Very Good")</f>
        <v>Very Good</v>
      </c>
      <c r="Y1740" s="138" t="str">
        <f>IFERROR(__xludf.DUMMYFUNCTION("""COMPUTED_VALUE"""),"Excellent")</f>
        <v>Excellent</v>
      </c>
      <c r="Z1740" s="138" t="str">
        <f>IFERROR(__xludf.DUMMYFUNCTION("""COMPUTED_VALUE"""),"Excellent")</f>
        <v>Excellent</v>
      </c>
      <c r="AA1740" s="138" t="str">
        <f>IFERROR(__xludf.DUMMYFUNCTION("""COMPUTED_VALUE"""),"Excellent")</f>
        <v>Excellent</v>
      </c>
      <c r="AB1740" s="138" t="str">
        <f>IFERROR(__xludf.DUMMYFUNCTION("""COMPUTED_VALUE"""),"Excellent")</f>
        <v>Excellent</v>
      </c>
      <c r="AC1740" s="139"/>
      <c r="AD1740" s="139"/>
      <c r="AE1740" s="139"/>
      <c r="AF1740" s="140"/>
      <c r="AG1740" s="145"/>
      <c r="AH1740" s="157">
        <f>IFERROR(__xludf.DUMMYFUNCTION("""COMPUTED_VALUE"""),43741.20860668981)</f>
        <v>43741.20861</v>
      </c>
      <c r="AI1740" s="138"/>
      <c r="AJ1740" s="138"/>
      <c r="AK1740" s="138"/>
      <c r="AL1740" s="142"/>
    </row>
    <row r="1741" ht="20.25" customHeight="1">
      <c r="A1741" s="155" t="str">
        <f>IFERROR(__xludf.DUMMYFUNCTION("""COMPUTED_VALUE"""),"Yeldah")</f>
        <v>Yeldah</v>
      </c>
      <c r="B1741" s="149" t="str">
        <f>IFERROR(__xludf.DUMMYFUNCTION("""COMPUTED_VALUE"""),"SLC")</f>
        <v>SLC</v>
      </c>
      <c r="C1741" s="149" t="str">
        <f>IFERROR(__xludf.DUMMYFUNCTION("""COMPUTED_VALUE"""),"UT")</f>
        <v>UT</v>
      </c>
      <c r="D1741" s="149" t="str">
        <f>IFERROR(__xludf.DUMMYFUNCTION("""COMPUTED_VALUE"""),"USA")</f>
        <v>USA</v>
      </c>
      <c r="E1741" s="156">
        <f>IFERROR(__xludf.DUMMYFUNCTION("""COMPUTED_VALUE"""),43696.0)</f>
        <v>43696</v>
      </c>
      <c r="F1741" s="129">
        <f>IFERROR(__xludf.DUMMYFUNCTION("""COMPUTED_VALUE"""),43720.0)</f>
        <v>43720</v>
      </c>
      <c r="G1741" s="154"/>
      <c r="H1741" s="131">
        <f>IFERROR(__xludf.DUMMYFUNCTION("""COMPUTED_VALUE"""),477555.0)</f>
        <v>477555</v>
      </c>
      <c r="I1741" s="144"/>
      <c r="J1741" s="129">
        <f>IFERROR(__xludf.DUMMYFUNCTION("""COMPUTED_VALUE"""),43721.0)</f>
        <v>43721</v>
      </c>
      <c r="K1741" s="133">
        <f>IFERROR(__xludf.DUMMYFUNCTION("""COMPUTED_VALUE"""),24.0)</f>
        <v>24</v>
      </c>
      <c r="L1741" s="133">
        <f>IFERROR(__xludf.DUMMYFUNCTION("""COMPUTED_VALUE"""),1.0)</f>
        <v>1</v>
      </c>
      <c r="M1741" s="133">
        <f>IFERROR(__xludf.DUMMYFUNCTION("""COMPUTED_VALUE"""),25.0)</f>
        <v>25</v>
      </c>
      <c r="N1741" s="152" t="str">
        <f>IFERROR(__xludf.DUMMYFUNCTION("""COMPUTED_VALUE"""),"Model 3 LR AWD")</f>
        <v>Model 3 LR AWD</v>
      </c>
      <c r="O1741" s="152" t="str">
        <f>IFERROR(__xludf.DUMMYFUNCTION("""COMPUTED_VALUE"""),"Deep Blue Metallic")</f>
        <v>Deep Blue Metallic</v>
      </c>
      <c r="P1741" s="153" t="str">
        <f>IFERROR(__xludf.DUMMYFUNCTION("""COMPUTED_VALUE"""),"18 inch Aero")</f>
        <v>18 inch Aero</v>
      </c>
      <c r="Q1741" s="152" t="str">
        <f>IFERROR(__xludf.DUMMYFUNCTION("""COMPUTED_VALUE"""),"White seats")</f>
        <v>White seats</v>
      </c>
      <c r="R1741" s="149" t="str">
        <f>IFERROR(__xludf.DUMMYFUNCTION("""COMPUTED_VALUE"""),"Autopilot")</f>
        <v>Autopilot</v>
      </c>
      <c r="S1741" s="149"/>
      <c r="T1741" s="145"/>
      <c r="U1741" s="145"/>
      <c r="V1741" s="145"/>
      <c r="W1741" s="145"/>
      <c r="X1741" s="137"/>
      <c r="Y1741" s="138"/>
      <c r="Z1741" s="138"/>
      <c r="AA1741" s="138" t="str">
        <f>IFERROR(__xludf.DUMMYFUNCTION("""COMPUTED_VALUE"""),"Poor")</f>
        <v>Poor</v>
      </c>
      <c r="AB1741" s="138"/>
      <c r="AC1741" s="139"/>
      <c r="AD1741" s="139"/>
      <c r="AE1741" s="139"/>
      <c r="AF1741" s="140"/>
      <c r="AG1741" s="136"/>
      <c r="AH1741" s="157">
        <f>IFERROR(__xludf.DUMMYFUNCTION("""COMPUTED_VALUE"""),43720.47029351852)</f>
        <v>43720.47029</v>
      </c>
      <c r="AI1741" s="138"/>
      <c r="AJ1741" s="138"/>
      <c r="AK1741" s="138"/>
      <c r="AL1741" s="142"/>
    </row>
    <row r="1742" ht="20.25" customHeight="1">
      <c r="A1742" s="155" t="str">
        <f>IFERROR(__xludf.DUMMYFUNCTION("""COMPUTED_VALUE"""),"bonkers818")</f>
        <v>bonkers818</v>
      </c>
      <c r="B1742" s="149" t="str">
        <f>IFERROR(__xludf.DUMMYFUNCTION("""COMPUTED_VALUE"""),"East Brunswick")</f>
        <v>East Brunswick</v>
      </c>
      <c r="C1742" s="149" t="str">
        <f>IFERROR(__xludf.DUMMYFUNCTION("""COMPUTED_VALUE"""),"NJ")</f>
        <v>NJ</v>
      </c>
      <c r="D1742" s="149" t="str">
        <f>IFERROR(__xludf.DUMMYFUNCTION("""COMPUTED_VALUE"""),"USA")</f>
        <v>USA</v>
      </c>
      <c r="E1742" s="156">
        <f>IFERROR(__xludf.DUMMYFUNCTION("""COMPUTED_VALUE"""),43695.0)</f>
        <v>43695</v>
      </c>
      <c r="F1742" s="129">
        <f>IFERROR(__xludf.DUMMYFUNCTION("""COMPUTED_VALUE"""),43703.0)</f>
        <v>43703</v>
      </c>
      <c r="G1742" s="154"/>
      <c r="H1742" s="131">
        <f>IFERROR(__xludf.DUMMYFUNCTION("""COMPUTED_VALUE"""),494455.0)</f>
        <v>494455</v>
      </c>
      <c r="I1742" s="144" t="str">
        <f>IFERROR(__xludf.DUMMYFUNCTION("""COMPUTED_VALUE"""),"08/19")</f>
        <v>08/19</v>
      </c>
      <c r="J1742" s="129">
        <f>IFERROR(__xludf.DUMMYFUNCTION("""COMPUTED_VALUE"""),43715.0)</f>
        <v>43715</v>
      </c>
      <c r="K1742" s="133">
        <f>IFERROR(__xludf.DUMMYFUNCTION("""COMPUTED_VALUE"""),8.0)</f>
        <v>8</v>
      </c>
      <c r="L1742" s="133">
        <f>IFERROR(__xludf.DUMMYFUNCTION("""COMPUTED_VALUE"""),12.0)</f>
        <v>12</v>
      </c>
      <c r="M1742" s="133">
        <f>IFERROR(__xludf.DUMMYFUNCTION("""COMPUTED_VALUE"""),20.0)</f>
        <v>20</v>
      </c>
      <c r="N1742" s="152" t="str">
        <f>IFERROR(__xludf.DUMMYFUNCTION("""COMPUTED_VALUE"""),"Model 3 LR AWD")</f>
        <v>Model 3 LR AWD</v>
      </c>
      <c r="O1742" s="152" t="str">
        <f>IFERROR(__xludf.DUMMYFUNCTION("""COMPUTED_VALUE"""),"Pearl White Multi-Coat")</f>
        <v>Pearl White Multi-Coat</v>
      </c>
      <c r="P1742" s="153" t="str">
        <f>IFERROR(__xludf.DUMMYFUNCTION("""COMPUTED_VALUE"""),"18 inch Aero")</f>
        <v>18 inch Aero</v>
      </c>
      <c r="Q1742" s="152" t="str">
        <f>IFERROR(__xludf.DUMMYFUNCTION("""COMPUTED_VALUE"""),"White seats")</f>
        <v>White seats</v>
      </c>
      <c r="R1742" s="149" t="str">
        <f>IFERROR(__xludf.DUMMYFUNCTION("""COMPUTED_VALUE"""),"Full Self-Driving")</f>
        <v>Full Self-Driving</v>
      </c>
      <c r="S1742" s="149"/>
      <c r="T1742" s="145"/>
      <c r="U1742" s="145"/>
      <c r="V1742" s="145"/>
      <c r="W1742" s="136"/>
      <c r="X1742" s="137" t="str">
        <f>IFERROR(__xludf.DUMMYFUNCTION("""COMPUTED_VALUE"""),"Very Good")</f>
        <v>Very Good</v>
      </c>
      <c r="Y1742" s="138" t="str">
        <f>IFERROR(__xludf.DUMMYFUNCTION("""COMPUTED_VALUE"""),"Very Good")</f>
        <v>Very Good</v>
      </c>
      <c r="Z1742" s="138" t="str">
        <f>IFERROR(__xludf.DUMMYFUNCTION("""COMPUTED_VALUE"""),"Very Good")</f>
        <v>Very Good</v>
      </c>
      <c r="AA1742" s="138" t="str">
        <f>IFERROR(__xludf.DUMMYFUNCTION("""COMPUTED_VALUE"""),"Good")</f>
        <v>Good</v>
      </c>
      <c r="AB1742" s="138" t="str">
        <f>IFERROR(__xludf.DUMMYFUNCTION("""COMPUTED_VALUE"""),"Very Good")</f>
        <v>Very Good</v>
      </c>
      <c r="AC1742" s="139">
        <f>IFERROR(__xludf.DUMMYFUNCTION("""COMPUTED_VALUE"""),2.0)</f>
        <v>2</v>
      </c>
      <c r="AD1742" s="139"/>
      <c r="AE1742" s="139"/>
      <c r="AF1742" s="140"/>
      <c r="AG1742" s="136"/>
      <c r="AH1742" s="157">
        <f>IFERROR(__xludf.DUMMYFUNCTION("""COMPUTED_VALUE"""),43715.72538376157)</f>
        <v>43715.72538</v>
      </c>
      <c r="AI1742" s="138"/>
      <c r="AJ1742" s="138"/>
      <c r="AK1742" s="138"/>
      <c r="AL1742" s="142"/>
    </row>
    <row r="1743" ht="20.25" customHeight="1">
      <c r="A1743" s="155" t="str">
        <f>IFERROR(__xludf.DUMMYFUNCTION("""COMPUTED_VALUE"""),"emptyPromise")</f>
        <v>emptyPromise</v>
      </c>
      <c r="B1743" s="149" t="str">
        <f>IFERROR(__xludf.DUMMYFUNCTION("""COMPUTED_VALUE"""),"Vancouver")</f>
        <v>Vancouver</v>
      </c>
      <c r="C1743" s="149" t="str">
        <f>IFERROR(__xludf.DUMMYFUNCTION("""COMPUTED_VALUE"""),"BC")</f>
        <v>BC</v>
      </c>
      <c r="D1743" s="149" t="str">
        <f>IFERROR(__xludf.DUMMYFUNCTION("""COMPUTED_VALUE"""),"Canada")</f>
        <v>Canada</v>
      </c>
      <c r="E1743" s="156">
        <f>IFERROR(__xludf.DUMMYFUNCTION("""COMPUTED_VALUE"""),43695.0)</f>
        <v>43695</v>
      </c>
      <c r="F1743" s="129">
        <f>IFERROR(__xludf.DUMMYFUNCTION("""COMPUTED_VALUE"""),43713.0)</f>
        <v>43713</v>
      </c>
      <c r="G1743" s="154"/>
      <c r="H1743" s="131">
        <f>IFERROR(__xludf.DUMMYFUNCTION("""COMPUTED_VALUE"""),415106.0)</f>
        <v>415106</v>
      </c>
      <c r="I1743" s="132" t="str">
        <f>IFERROR(__xludf.DUMMYFUNCTION("""COMPUTED_VALUE"""),"09/19")</f>
        <v>09/19</v>
      </c>
      <c r="J1743" s="129">
        <f>IFERROR(__xludf.DUMMYFUNCTION("""COMPUTED_VALUE"""),43722.0)</f>
        <v>43722</v>
      </c>
      <c r="K1743" s="133">
        <f>IFERROR(__xludf.DUMMYFUNCTION("""COMPUTED_VALUE"""),18.0)</f>
        <v>18</v>
      </c>
      <c r="L1743" s="133">
        <f>IFERROR(__xludf.DUMMYFUNCTION("""COMPUTED_VALUE"""),9.0)</f>
        <v>9</v>
      </c>
      <c r="M1743" s="133">
        <f>IFERROR(__xludf.DUMMYFUNCTION("""COMPUTED_VALUE"""),27.0)</f>
        <v>27</v>
      </c>
      <c r="N1743" s="152" t="str">
        <f>IFERROR(__xludf.DUMMYFUNCTION("""COMPUTED_VALUE"""),"Model 3 LR AWD")</f>
        <v>Model 3 LR AWD</v>
      </c>
      <c r="O1743" s="152" t="str">
        <f>IFERROR(__xludf.DUMMYFUNCTION("""COMPUTED_VALUE"""),"Midnight Silver Metallic")</f>
        <v>Midnight Silver Metallic</v>
      </c>
      <c r="P1743" s="153" t="str">
        <f>IFERROR(__xludf.DUMMYFUNCTION("""COMPUTED_VALUE"""),"19 inch Sport")</f>
        <v>19 inch Sport</v>
      </c>
      <c r="Q1743" s="152" t="str">
        <f>IFERROR(__xludf.DUMMYFUNCTION("""COMPUTED_VALUE"""),"Black seats")</f>
        <v>Black seats</v>
      </c>
      <c r="R1743" s="150" t="str">
        <f>IFERROR(__xludf.DUMMYFUNCTION("""COMPUTED_VALUE"""),"Full Self-Driving")</f>
        <v>Full Self-Driving</v>
      </c>
      <c r="S1743" s="150"/>
      <c r="T1743" s="136"/>
      <c r="U1743" s="136"/>
      <c r="V1743" s="136"/>
      <c r="W1743" s="145"/>
      <c r="X1743" s="137" t="str">
        <f>IFERROR(__xludf.DUMMYFUNCTION("""COMPUTED_VALUE"""),"Very Good")</f>
        <v>Very Good</v>
      </c>
      <c r="Y1743" s="138" t="str">
        <f>IFERROR(__xludf.DUMMYFUNCTION("""COMPUTED_VALUE"""),"Good")</f>
        <v>Good</v>
      </c>
      <c r="Z1743" s="138" t="str">
        <f>IFERROR(__xludf.DUMMYFUNCTION("""COMPUTED_VALUE"""),"Very Good")</f>
        <v>Very Good</v>
      </c>
      <c r="AA1743" s="138" t="str">
        <f>IFERROR(__xludf.DUMMYFUNCTION("""COMPUTED_VALUE"""),"Poor")</f>
        <v>Poor</v>
      </c>
      <c r="AB1743" s="138" t="str">
        <f>IFERROR(__xludf.DUMMYFUNCTION("""COMPUTED_VALUE"""),"Fair")</f>
        <v>Fair</v>
      </c>
      <c r="AC1743" s="139"/>
      <c r="AD1743" s="139"/>
      <c r="AE1743" s="139"/>
      <c r="AF1743" s="140"/>
      <c r="AG1743" s="145" t="str">
        <f>IFERROR(__xludf.DUMMYFUNCTION("""COMPUTED_VALUE"""),"Had to find the car myself didn't match with me because it didn't have FSD enabled")</f>
        <v>Had to find the car myself didn't match with me because it didn't have FSD enabled</v>
      </c>
      <c r="AH1743" s="157">
        <f>IFERROR(__xludf.DUMMYFUNCTION("""COMPUTED_VALUE"""),43724.59425780093)</f>
        <v>43724.59426</v>
      </c>
      <c r="AI1743" s="138"/>
      <c r="AJ1743" s="138"/>
      <c r="AK1743" s="138"/>
      <c r="AL1743" s="142"/>
    </row>
    <row r="1744" ht="20.25" customHeight="1">
      <c r="A1744" s="155" t="str">
        <f>IFERROR(__xludf.DUMMYFUNCTION("""COMPUTED_VALUE"""),"Zaphlectric")</f>
        <v>Zaphlectric</v>
      </c>
      <c r="B1744" s="149" t="str">
        <f>IFERROR(__xludf.DUMMYFUNCTION("""COMPUTED_VALUE"""),"Corona")</f>
        <v>Corona</v>
      </c>
      <c r="C1744" s="149" t="str">
        <f>IFERROR(__xludf.DUMMYFUNCTION("""COMPUTED_VALUE"""),"CA")</f>
        <v>CA</v>
      </c>
      <c r="D1744" s="149" t="str">
        <f>IFERROR(__xludf.DUMMYFUNCTION("""COMPUTED_VALUE"""),"USA")</f>
        <v>USA</v>
      </c>
      <c r="E1744" s="156">
        <f>IFERROR(__xludf.DUMMYFUNCTION("""COMPUTED_VALUE"""),43695.0)</f>
        <v>43695</v>
      </c>
      <c r="F1744" s="129">
        <f>IFERROR(__xludf.DUMMYFUNCTION("""COMPUTED_VALUE"""),43729.0)</f>
        <v>43729</v>
      </c>
      <c r="G1744" s="154"/>
      <c r="H1744" s="131">
        <f>IFERROR(__xludf.DUMMYFUNCTION("""COMPUTED_VALUE"""),391555.0)</f>
        <v>391555</v>
      </c>
      <c r="I1744" s="132"/>
      <c r="J1744" s="129">
        <f>IFERROR(__xludf.DUMMYFUNCTION("""COMPUTED_VALUE"""),43730.0)</f>
        <v>43730</v>
      </c>
      <c r="K1744" s="133">
        <f>IFERROR(__xludf.DUMMYFUNCTION("""COMPUTED_VALUE"""),34.0)</f>
        <v>34</v>
      </c>
      <c r="L1744" s="133">
        <f>IFERROR(__xludf.DUMMYFUNCTION("""COMPUTED_VALUE"""),1.0)</f>
        <v>1</v>
      </c>
      <c r="M1744" s="133">
        <f>IFERROR(__xludf.DUMMYFUNCTION("""COMPUTED_VALUE"""),35.0)</f>
        <v>35</v>
      </c>
      <c r="N1744" s="152" t="str">
        <f>IFERROR(__xludf.DUMMYFUNCTION("""COMPUTED_VALUE"""),"Model 3 LR AWD")</f>
        <v>Model 3 LR AWD</v>
      </c>
      <c r="O1744" s="152" t="str">
        <f>IFERROR(__xludf.DUMMYFUNCTION("""COMPUTED_VALUE"""),"Solid Black")</f>
        <v>Solid Black</v>
      </c>
      <c r="P1744" s="153" t="str">
        <f>IFERROR(__xludf.DUMMYFUNCTION("""COMPUTED_VALUE"""),"19 inch Sport")</f>
        <v>19 inch Sport</v>
      </c>
      <c r="Q1744" s="152" t="str">
        <f>IFERROR(__xludf.DUMMYFUNCTION("""COMPUTED_VALUE"""),"White seats")</f>
        <v>White seats</v>
      </c>
      <c r="R1744" s="150" t="str">
        <f>IFERROR(__xludf.DUMMYFUNCTION("""COMPUTED_VALUE"""),"Autopilot")</f>
        <v>Autopilot</v>
      </c>
      <c r="S1744" s="150"/>
      <c r="T1744" s="136"/>
      <c r="U1744" s="136"/>
      <c r="V1744" s="136"/>
      <c r="W1744" s="136"/>
      <c r="X1744" s="137" t="str">
        <f>IFERROR(__xludf.DUMMYFUNCTION("""COMPUTED_VALUE"""),"Excellent")</f>
        <v>Excellent</v>
      </c>
      <c r="Y1744" s="138" t="str">
        <f>IFERROR(__xludf.DUMMYFUNCTION("""COMPUTED_VALUE"""),"Excellent")</f>
        <v>Excellent</v>
      </c>
      <c r="Z1744" s="138" t="str">
        <f>IFERROR(__xludf.DUMMYFUNCTION("""COMPUTED_VALUE"""),"Excellent")</f>
        <v>Excellent</v>
      </c>
      <c r="AA1744" s="138" t="str">
        <f>IFERROR(__xludf.DUMMYFUNCTION("""COMPUTED_VALUE"""),"Excellent")</f>
        <v>Excellent</v>
      </c>
      <c r="AB1744" s="138" t="str">
        <f>IFERROR(__xludf.DUMMYFUNCTION("""COMPUTED_VALUE"""),"Fair")</f>
        <v>Fair</v>
      </c>
      <c r="AC1744" s="139">
        <f>IFERROR(__xludf.DUMMYFUNCTION("""COMPUTED_VALUE"""),0.0)</f>
        <v>0</v>
      </c>
      <c r="AD1744" s="139">
        <f>IFERROR(__xludf.DUMMYFUNCTION("""COMPUTED_VALUE"""),0.0)</f>
        <v>0</v>
      </c>
      <c r="AE1744" s="139"/>
      <c r="AF1744" s="140"/>
      <c r="AG1744" s="136" t="str">
        <f>IFERROR(__xludf.DUMMYFUNCTION("""COMPUTED_VALUE"""),"The renegged on the $1500 19"" wheel comp as I was standing next to the car ready to take delivery. They claimed I'd have to wait for another vehicle just to redo the paperwork. Center tried to compensate with 2 years of SuperChargning, but no way that co"&amp;"mpares dollar for dollar. I feel like I was swindled by a used Buick salesman.")</f>
        <v>The renegged on the $1500 19" wheel comp as I was standing next to the car ready to take delivery. They claimed I'd have to wait for another vehicle just to redo the paperwork. Center tried to compensate with 2 years of SuperChargning, but no way that compares dollar for dollar. I feel like I was swindled by a used Buick salesman.</v>
      </c>
      <c r="AH1744" s="157">
        <f>IFERROR(__xludf.DUMMYFUNCTION("""COMPUTED_VALUE"""),43731.46244976852)</f>
        <v>43731.46245</v>
      </c>
      <c r="AI1744" s="138"/>
      <c r="AJ1744" s="138"/>
      <c r="AK1744" s="138"/>
      <c r="AL1744" s="142"/>
    </row>
    <row r="1745" ht="20.25" customHeight="1">
      <c r="A1745" s="155" t="str">
        <f>IFERROR(__xludf.DUMMYFUNCTION("""COMPUTED_VALUE"""),"Bosscat")</f>
        <v>Bosscat</v>
      </c>
      <c r="B1745" s="149" t="str">
        <f>IFERROR(__xludf.DUMMYFUNCTION("""COMPUTED_VALUE"""),"San Jose")</f>
        <v>San Jose</v>
      </c>
      <c r="C1745" s="149" t="str">
        <f>IFERROR(__xludf.DUMMYFUNCTION("""COMPUTED_VALUE"""),"CA")</f>
        <v>CA</v>
      </c>
      <c r="D1745" s="149" t="str">
        <f>IFERROR(__xludf.DUMMYFUNCTION("""COMPUTED_VALUE"""),"USA")</f>
        <v>USA</v>
      </c>
      <c r="E1745" s="156">
        <f>IFERROR(__xludf.DUMMYFUNCTION("""COMPUTED_VALUE"""),43694.0)</f>
        <v>43694</v>
      </c>
      <c r="F1745" s="129">
        <f>IFERROR(__xludf.DUMMYFUNCTION("""COMPUTED_VALUE"""),43715.0)</f>
        <v>43715</v>
      </c>
      <c r="G1745" s="154"/>
      <c r="H1745" s="131">
        <f>IFERROR(__xludf.DUMMYFUNCTION("""COMPUTED_VALUE"""),452239.0)</f>
        <v>452239</v>
      </c>
      <c r="I1745" s="132" t="str">
        <f>IFERROR(__xludf.DUMMYFUNCTION("""COMPUTED_VALUE"""),"09/19")</f>
        <v>09/19</v>
      </c>
      <c r="J1745" s="129">
        <f>IFERROR(__xludf.DUMMYFUNCTION("""COMPUTED_VALUE"""),43718.0)</f>
        <v>43718</v>
      </c>
      <c r="K1745" s="133">
        <f>IFERROR(__xludf.DUMMYFUNCTION("""COMPUTED_VALUE"""),21.0)</f>
        <v>21</v>
      </c>
      <c r="L1745" s="133">
        <f>IFERROR(__xludf.DUMMYFUNCTION("""COMPUTED_VALUE"""),3.0)</f>
        <v>3</v>
      </c>
      <c r="M1745" s="133">
        <f>IFERROR(__xludf.DUMMYFUNCTION("""COMPUTED_VALUE"""),24.0)</f>
        <v>24</v>
      </c>
      <c r="N1745" s="152" t="str">
        <f>IFERROR(__xludf.DUMMYFUNCTION("""COMPUTED_VALUE"""),"Model 3 LR AWD")</f>
        <v>Model 3 LR AWD</v>
      </c>
      <c r="O1745" s="152" t="str">
        <f>IFERROR(__xludf.DUMMYFUNCTION("""COMPUTED_VALUE"""),"Midnight Silver Metallic")</f>
        <v>Midnight Silver Metallic</v>
      </c>
      <c r="P1745" s="153" t="str">
        <f>IFERROR(__xludf.DUMMYFUNCTION("""COMPUTED_VALUE"""),"18 inch Aero")</f>
        <v>18 inch Aero</v>
      </c>
      <c r="Q1745" s="152" t="str">
        <f>IFERROR(__xludf.DUMMYFUNCTION("""COMPUTED_VALUE"""),"Black seats")</f>
        <v>Black seats</v>
      </c>
      <c r="R1745" s="150" t="str">
        <f>IFERROR(__xludf.DUMMYFUNCTION("""COMPUTED_VALUE"""),"Autopilot")</f>
        <v>Autopilot</v>
      </c>
      <c r="S1745" s="150"/>
      <c r="T1745" s="136"/>
      <c r="U1745" s="136"/>
      <c r="V1745" s="136"/>
      <c r="W1745" s="136"/>
      <c r="X1745" s="137" t="str">
        <f>IFERROR(__xludf.DUMMYFUNCTION("""COMPUTED_VALUE"""),"Very Good")</f>
        <v>Very Good</v>
      </c>
      <c r="Y1745" s="138" t="str">
        <f>IFERROR(__xludf.DUMMYFUNCTION("""COMPUTED_VALUE"""),"Very Good")</f>
        <v>Very Good</v>
      </c>
      <c r="Z1745" s="138" t="str">
        <f>IFERROR(__xludf.DUMMYFUNCTION("""COMPUTED_VALUE"""),"Very Good")</f>
        <v>Very Good</v>
      </c>
      <c r="AA1745" s="138" t="str">
        <f>IFERROR(__xludf.DUMMYFUNCTION("""COMPUTED_VALUE"""),"Good")</f>
        <v>Good</v>
      </c>
      <c r="AB1745" s="138" t="str">
        <f>IFERROR(__xludf.DUMMYFUNCTION("""COMPUTED_VALUE"""),"Fair")</f>
        <v>Fair</v>
      </c>
      <c r="AC1745" s="139"/>
      <c r="AD1745" s="139"/>
      <c r="AE1745" s="139"/>
      <c r="AF1745" s="140"/>
      <c r="AG1745" s="136"/>
      <c r="AH1745" s="157">
        <f>IFERROR(__xludf.DUMMYFUNCTION("""COMPUTED_VALUE"""),43719.38479714121)</f>
        <v>43719.3848</v>
      </c>
      <c r="AI1745" s="138"/>
      <c r="AJ1745" s="138"/>
      <c r="AK1745" s="138"/>
      <c r="AL1745" s="142"/>
    </row>
    <row r="1746" ht="20.25" customHeight="1">
      <c r="A1746" s="155" t="str">
        <f>IFERROR(__xludf.DUMMYFUNCTION("""COMPUTED_VALUE"""),"Kuthedk")</f>
        <v>Kuthedk</v>
      </c>
      <c r="B1746" s="149" t="str">
        <f>IFERROR(__xludf.DUMMYFUNCTION("""COMPUTED_VALUE"""),"Huntsville")</f>
        <v>Huntsville</v>
      </c>
      <c r="C1746" s="149" t="str">
        <f>IFERROR(__xludf.DUMMYFUNCTION("""COMPUTED_VALUE"""),"AL")</f>
        <v>AL</v>
      </c>
      <c r="D1746" s="149" t="str">
        <f>IFERROR(__xludf.DUMMYFUNCTION("""COMPUTED_VALUE"""),"USA")</f>
        <v>USA</v>
      </c>
      <c r="E1746" s="156">
        <f>IFERROR(__xludf.DUMMYFUNCTION("""COMPUTED_VALUE"""),43694.0)</f>
        <v>43694</v>
      </c>
      <c r="F1746" s="129">
        <f>IFERROR(__xludf.DUMMYFUNCTION("""COMPUTED_VALUE"""),43703.0)</f>
        <v>43703</v>
      </c>
      <c r="G1746" s="154"/>
      <c r="H1746" s="131">
        <f>IFERROR(__xludf.DUMMYFUNCTION("""COMPUTED_VALUE"""),437777.0)</f>
        <v>437777</v>
      </c>
      <c r="I1746" s="132" t="str">
        <f>IFERROR(__xludf.DUMMYFUNCTION("""COMPUTED_VALUE"""),"08/19")</f>
        <v>08/19</v>
      </c>
      <c r="J1746" s="129">
        <f>IFERROR(__xludf.DUMMYFUNCTION("""COMPUTED_VALUE"""),43705.0)</f>
        <v>43705</v>
      </c>
      <c r="K1746" s="133">
        <f>IFERROR(__xludf.DUMMYFUNCTION("""COMPUTED_VALUE"""),9.0)</f>
        <v>9</v>
      </c>
      <c r="L1746" s="133">
        <f>IFERROR(__xludf.DUMMYFUNCTION("""COMPUTED_VALUE"""),2.0)</f>
        <v>2</v>
      </c>
      <c r="M1746" s="133">
        <f>IFERROR(__xludf.DUMMYFUNCTION("""COMPUTED_VALUE"""),11.0)</f>
        <v>11</v>
      </c>
      <c r="N1746" s="152" t="str">
        <f>IFERROR(__xludf.DUMMYFUNCTION("""COMPUTED_VALUE"""),"Model 3 LR AWD")</f>
        <v>Model 3 LR AWD</v>
      </c>
      <c r="O1746" s="152" t="str">
        <f>IFERROR(__xludf.DUMMYFUNCTION("""COMPUTED_VALUE"""),"Deep Blue Metallic")</f>
        <v>Deep Blue Metallic</v>
      </c>
      <c r="P1746" s="153" t="str">
        <f>IFERROR(__xludf.DUMMYFUNCTION("""COMPUTED_VALUE"""),"18 inch Aero")</f>
        <v>18 inch Aero</v>
      </c>
      <c r="Q1746" s="152" t="str">
        <f>IFERROR(__xludf.DUMMYFUNCTION("""COMPUTED_VALUE"""),"White seats")</f>
        <v>White seats</v>
      </c>
      <c r="R1746" s="150" t="str">
        <f>IFERROR(__xludf.DUMMYFUNCTION("""COMPUTED_VALUE"""),"Full Self-Driving")</f>
        <v>Full Self-Driving</v>
      </c>
      <c r="S1746" s="150"/>
      <c r="T1746" s="136"/>
      <c r="U1746" s="136"/>
      <c r="V1746" s="136"/>
      <c r="W1746" s="136"/>
      <c r="X1746" s="137" t="str">
        <f>IFERROR(__xludf.DUMMYFUNCTION("""COMPUTED_VALUE"""),"Excellent")</f>
        <v>Excellent</v>
      </c>
      <c r="Y1746" s="138" t="str">
        <f>IFERROR(__xludf.DUMMYFUNCTION("""COMPUTED_VALUE"""),"Good")</f>
        <v>Good</v>
      </c>
      <c r="Z1746" s="138" t="str">
        <f>IFERROR(__xludf.DUMMYFUNCTION("""COMPUTED_VALUE"""),"Very Good")</f>
        <v>Very Good</v>
      </c>
      <c r="AA1746" s="138" t="str">
        <f>IFERROR(__xludf.DUMMYFUNCTION("""COMPUTED_VALUE"""),"Good")</f>
        <v>Good</v>
      </c>
      <c r="AB1746" s="138" t="str">
        <f>IFERROR(__xludf.DUMMYFUNCTION("""COMPUTED_VALUE"""),"Fair")</f>
        <v>Fair</v>
      </c>
      <c r="AC1746" s="139">
        <f>IFERROR(__xludf.DUMMYFUNCTION("""COMPUTED_VALUE"""),2.0)</f>
        <v>2</v>
      </c>
      <c r="AD1746" s="139">
        <f>IFERROR(__xludf.DUMMYFUNCTION("""COMPUTED_VALUE"""),0.0)</f>
        <v>0</v>
      </c>
      <c r="AE1746" s="139">
        <f>IFERROR(__xludf.DUMMYFUNCTION("""COMPUTED_VALUE"""),0.0)</f>
        <v>0</v>
      </c>
      <c r="AF1746" s="140"/>
      <c r="AG1746" s="136"/>
      <c r="AH1746" s="157">
        <f>IFERROR(__xludf.DUMMYFUNCTION("""COMPUTED_VALUE"""),43711.297868587964)</f>
        <v>43711.29787</v>
      </c>
      <c r="AI1746" s="138"/>
      <c r="AJ1746" s="138"/>
      <c r="AK1746" s="138"/>
      <c r="AL1746" s="142"/>
    </row>
    <row r="1747" ht="20.25" customHeight="1">
      <c r="A1747" s="155" t="str">
        <f>IFERROR(__xludf.DUMMYFUNCTION("""COMPUTED_VALUE"""),"Blonde Aries")</f>
        <v>Blonde Aries</v>
      </c>
      <c r="B1747" s="149" t="str">
        <f>IFERROR(__xludf.DUMMYFUNCTION("""COMPUTED_VALUE"""),"Dallas")</f>
        <v>Dallas</v>
      </c>
      <c r="C1747" s="150" t="str">
        <f>IFERROR(__xludf.DUMMYFUNCTION("""COMPUTED_VALUE"""),"TX")</f>
        <v>TX</v>
      </c>
      <c r="D1747" s="150" t="str">
        <f>IFERROR(__xludf.DUMMYFUNCTION("""COMPUTED_VALUE"""),"USA")</f>
        <v>USA</v>
      </c>
      <c r="E1747" s="156">
        <f>IFERROR(__xludf.DUMMYFUNCTION("""COMPUTED_VALUE"""),43693.0)</f>
        <v>43693</v>
      </c>
      <c r="F1747" s="129">
        <f>IFERROR(__xludf.DUMMYFUNCTION("""COMPUTED_VALUE"""),43717.0)</f>
        <v>43717</v>
      </c>
      <c r="G1747" s="154"/>
      <c r="H1747" s="131">
        <f>IFERROR(__xludf.DUMMYFUNCTION("""COMPUTED_VALUE"""),421755.0)</f>
        <v>421755</v>
      </c>
      <c r="I1747" s="144"/>
      <c r="J1747" s="129">
        <f>IFERROR(__xludf.DUMMYFUNCTION("""COMPUTED_VALUE"""),43725.0)</f>
        <v>43725</v>
      </c>
      <c r="K1747" s="133">
        <f>IFERROR(__xludf.DUMMYFUNCTION("""COMPUTED_VALUE"""),24.0)</f>
        <v>24</v>
      </c>
      <c r="L1747" s="133">
        <f>IFERROR(__xludf.DUMMYFUNCTION("""COMPUTED_VALUE"""),8.0)</f>
        <v>8</v>
      </c>
      <c r="M1747" s="133">
        <f>IFERROR(__xludf.DUMMYFUNCTION("""COMPUTED_VALUE"""),32.0)</f>
        <v>32</v>
      </c>
      <c r="N1747" s="152" t="str">
        <f>IFERROR(__xludf.DUMMYFUNCTION("""COMPUTED_VALUE"""),"Model 3 LR AWD")</f>
        <v>Model 3 LR AWD</v>
      </c>
      <c r="O1747" s="152" t="str">
        <f>IFERROR(__xludf.DUMMYFUNCTION("""COMPUTED_VALUE"""),"Red Multi-Coat")</f>
        <v>Red Multi-Coat</v>
      </c>
      <c r="P1747" s="153" t="str">
        <f>IFERROR(__xludf.DUMMYFUNCTION("""COMPUTED_VALUE"""),"19 inch Sport")</f>
        <v>19 inch Sport</v>
      </c>
      <c r="Q1747" s="152" t="str">
        <f>IFERROR(__xludf.DUMMYFUNCTION("""COMPUTED_VALUE"""),"White seats")</f>
        <v>White seats</v>
      </c>
      <c r="R1747" s="149" t="str">
        <f>IFERROR(__xludf.DUMMYFUNCTION("""COMPUTED_VALUE"""),"Full Self-Driving")</f>
        <v>Full Self-Driving</v>
      </c>
      <c r="S1747" s="149"/>
      <c r="T1747" s="145"/>
      <c r="U1747" s="145"/>
      <c r="V1747" s="145"/>
      <c r="W1747" s="145"/>
      <c r="X1747" s="137" t="str">
        <f>IFERROR(__xludf.DUMMYFUNCTION("""COMPUTED_VALUE"""),"Excellent")</f>
        <v>Excellent</v>
      </c>
      <c r="Y1747" s="138" t="str">
        <f>IFERROR(__xludf.DUMMYFUNCTION("""COMPUTED_VALUE"""),"Excellent")</f>
        <v>Excellent</v>
      </c>
      <c r="Z1747" s="138" t="str">
        <f>IFERROR(__xludf.DUMMYFUNCTION("""COMPUTED_VALUE"""),"Excellent")</f>
        <v>Excellent</v>
      </c>
      <c r="AA1747" s="138" t="str">
        <f>IFERROR(__xludf.DUMMYFUNCTION("""COMPUTED_VALUE"""),"Excellent")</f>
        <v>Excellent</v>
      </c>
      <c r="AB1747" s="138" t="str">
        <f>IFERROR(__xludf.DUMMYFUNCTION("""COMPUTED_VALUE"""),"Excellent")</f>
        <v>Excellent</v>
      </c>
      <c r="AC1747" s="139">
        <f>IFERROR(__xludf.DUMMYFUNCTION("""COMPUTED_VALUE"""),0.0)</f>
        <v>0</v>
      </c>
      <c r="AD1747" s="139">
        <f>IFERROR(__xludf.DUMMYFUNCTION("""COMPUTED_VALUE"""),0.0)</f>
        <v>0</v>
      </c>
      <c r="AE1747" s="139">
        <f>IFERROR(__xludf.DUMMYFUNCTION("""COMPUTED_VALUE"""),0.0)</f>
        <v>0</v>
      </c>
      <c r="AF1747" s="140"/>
      <c r="AG1747" s="145"/>
      <c r="AH1747" s="157">
        <f>IFERROR(__xludf.DUMMYFUNCTION("""COMPUTED_VALUE"""),43728.34007708333)</f>
        <v>43728.34008</v>
      </c>
      <c r="AI1747" s="138"/>
      <c r="AJ1747" s="138"/>
      <c r="AK1747" s="138"/>
      <c r="AL1747" s="142"/>
    </row>
    <row r="1748" ht="20.25" customHeight="1">
      <c r="A1748" s="155" t="str">
        <f>IFERROR(__xludf.DUMMYFUNCTION("""COMPUTED_VALUE"""),"c.E.c")</f>
        <v>c.E.c</v>
      </c>
      <c r="B1748" s="150" t="str">
        <f>IFERROR(__xludf.DUMMYFUNCTION("""COMPUTED_VALUE"""),"Avondale")</f>
        <v>Avondale</v>
      </c>
      <c r="C1748" s="150" t="str">
        <f>IFERROR(__xludf.DUMMYFUNCTION("""COMPUTED_VALUE"""),"CO")</f>
        <v>CO</v>
      </c>
      <c r="D1748" s="150" t="str">
        <f>IFERROR(__xludf.DUMMYFUNCTION("""COMPUTED_VALUE"""),"USA")</f>
        <v>USA</v>
      </c>
      <c r="E1748" s="156">
        <f>IFERROR(__xludf.DUMMYFUNCTION("""COMPUTED_VALUE"""),43693.0)</f>
        <v>43693</v>
      </c>
      <c r="F1748" s="129">
        <f>IFERROR(__xludf.DUMMYFUNCTION("""COMPUTED_VALUE"""),43719.0)</f>
        <v>43719</v>
      </c>
      <c r="G1748" s="154"/>
      <c r="H1748" s="131">
        <f>IFERROR(__xludf.DUMMYFUNCTION("""COMPUTED_VALUE"""),512974.0)</f>
        <v>512974</v>
      </c>
      <c r="I1748" s="132"/>
      <c r="J1748" s="129">
        <f>IFERROR(__xludf.DUMMYFUNCTION("""COMPUTED_VALUE"""),43722.0)</f>
        <v>43722</v>
      </c>
      <c r="K1748" s="133">
        <f>IFERROR(__xludf.DUMMYFUNCTION("""COMPUTED_VALUE"""),26.0)</f>
        <v>26</v>
      </c>
      <c r="L1748" s="133">
        <f>IFERROR(__xludf.DUMMYFUNCTION("""COMPUTED_VALUE"""),3.0)</f>
        <v>3</v>
      </c>
      <c r="M1748" s="133">
        <f>IFERROR(__xludf.DUMMYFUNCTION("""COMPUTED_VALUE"""),29.0)</f>
        <v>29</v>
      </c>
      <c r="N1748" s="152" t="str">
        <f>IFERROR(__xludf.DUMMYFUNCTION("""COMPUTED_VALUE"""),"Model 3 LR AWD")</f>
        <v>Model 3 LR AWD</v>
      </c>
      <c r="O1748" s="152" t="str">
        <f>IFERROR(__xludf.DUMMYFUNCTION("""COMPUTED_VALUE"""),"Pearl White Multi-Coat")</f>
        <v>Pearl White Multi-Coat</v>
      </c>
      <c r="P1748" s="153" t="str">
        <f>IFERROR(__xludf.DUMMYFUNCTION("""COMPUTED_VALUE"""),"18 inch Aero")</f>
        <v>18 inch Aero</v>
      </c>
      <c r="Q1748" s="152" t="str">
        <f>IFERROR(__xludf.DUMMYFUNCTION("""COMPUTED_VALUE"""),"White seats")</f>
        <v>White seats</v>
      </c>
      <c r="R1748" s="150" t="str">
        <f>IFERROR(__xludf.DUMMYFUNCTION("""COMPUTED_VALUE"""),"Full Self-Driving")</f>
        <v>Full Self-Driving</v>
      </c>
      <c r="S1748" s="150"/>
      <c r="T1748" s="136"/>
      <c r="U1748" s="136"/>
      <c r="V1748" s="136"/>
      <c r="W1748" s="136"/>
      <c r="X1748" s="137" t="str">
        <f>IFERROR(__xludf.DUMMYFUNCTION("""COMPUTED_VALUE"""),"Excellent")</f>
        <v>Excellent</v>
      </c>
      <c r="Y1748" s="138" t="str">
        <f>IFERROR(__xludf.DUMMYFUNCTION("""COMPUTED_VALUE"""),"Excellent")</f>
        <v>Excellent</v>
      </c>
      <c r="Z1748" s="138" t="str">
        <f>IFERROR(__xludf.DUMMYFUNCTION("""COMPUTED_VALUE"""),"Excellent")</f>
        <v>Excellent</v>
      </c>
      <c r="AA1748" s="138" t="str">
        <f>IFERROR(__xludf.DUMMYFUNCTION("""COMPUTED_VALUE"""),"Good")</f>
        <v>Good</v>
      </c>
      <c r="AB1748" s="138" t="str">
        <f>IFERROR(__xludf.DUMMYFUNCTION("""COMPUTED_VALUE"""),"Good")</f>
        <v>Good</v>
      </c>
      <c r="AC1748" s="139"/>
      <c r="AD1748" s="139"/>
      <c r="AE1748" s="139"/>
      <c r="AF1748" s="140"/>
      <c r="AG1748" s="136" t="str">
        <f>IFERROR(__xludf.DUMMYFUNCTION("""COMPUTED_VALUE"""),"Found VIN in source code 9/11, Recevied call 9/11 with delivery date, delivery day was busy and had nearly 3 hours worth of waiting for them to catch up with appointments.")</f>
        <v>Found VIN in source code 9/11, Recevied call 9/11 with delivery date, delivery day was busy and had nearly 3 hours worth of waiting for them to catch up with appointments.</v>
      </c>
      <c r="AH1748" s="157">
        <f>IFERROR(__xludf.DUMMYFUNCTION("""COMPUTED_VALUE"""),43724.553365798616)</f>
        <v>43724.55337</v>
      </c>
      <c r="AI1748" s="138"/>
      <c r="AJ1748" s="138"/>
      <c r="AK1748" s="138"/>
      <c r="AL1748" s="142"/>
    </row>
    <row r="1749" ht="20.25" customHeight="1">
      <c r="A1749" s="155" t="str">
        <f>IFERROR(__xludf.DUMMYFUNCTION("""COMPUTED_VALUE"""),"DC")</f>
        <v>DC</v>
      </c>
      <c r="B1749" s="149"/>
      <c r="C1749" s="149" t="str">
        <f>IFERROR(__xludf.DUMMYFUNCTION("""COMPUTED_VALUE"""),"PE")</f>
        <v>PE</v>
      </c>
      <c r="D1749" s="149" t="str">
        <f>IFERROR(__xludf.DUMMYFUNCTION("""COMPUTED_VALUE"""),"Canada")</f>
        <v>Canada</v>
      </c>
      <c r="E1749" s="156">
        <f>IFERROR(__xludf.DUMMYFUNCTION("""COMPUTED_VALUE"""),43693.0)</f>
        <v>43693</v>
      </c>
      <c r="F1749" s="129">
        <f>IFERROR(__xludf.DUMMYFUNCTION("""COMPUTED_VALUE"""),43698.0)</f>
        <v>43698</v>
      </c>
      <c r="G1749" s="154"/>
      <c r="H1749" s="131">
        <f>IFERROR(__xludf.DUMMYFUNCTION("""COMPUTED_VALUE"""),480355.0)</f>
        <v>480355</v>
      </c>
      <c r="I1749" s="132" t="str">
        <f>IFERROR(__xludf.DUMMYFUNCTION("""COMPUTED_VALUE"""),"08/19")</f>
        <v>08/19</v>
      </c>
      <c r="J1749" s="129">
        <f>IFERROR(__xludf.DUMMYFUNCTION("""COMPUTED_VALUE"""),43718.0)</f>
        <v>43718</v>
      </c>
      <c r="K1749" s="133">
        <f>IFERROR(__xludf.DUMMYFUNCTION("""COMPUTED_VALUE"""),5.0)</f>
        <v>5</v>
      </c>
      <c r="L1749" s="133">
        <f>IFERROR(__xludf.DUMMYFUNCTION("""COMPUTED_VALUE"""),20.0)</f>
        <v>20</v>
      </c>
      <c r="M1749" s="133">
        <f>IFERROR(__xludf.DUMMYFUNCTION("""COMPUTED_VALUE"""),25.0)</f>
        <v>25</v>
      </c>
      <c r="N1749" s="152" t="str">
        <f>IFERROR(__xludf.DUMMYFUNCTION("""COMPUTED_VALUE"""),"Model 3 SR+")</f>
        <v>Model 3 SR+</v>
      </c>
      <c r="O1749" s="152" t="str">
        <f>IFERROR(__xludf.DUMMYFUNCTION("""COMPUTED_VALUE"""),"Pearl White Multi-Coat")</f>
        <v>Pearl White Multi-Coat</v>
      </c>
      <c r="P1749" s="153" t="str">
        <f>IFERROR(__xludf.DUMMYFUNCTION("""COMPUTED_VALUE"""),"18 inch Aero")</f>
        <v>18 inch Aero</v>
      </c>
      <c r="Q1749" s="152" t="str">
        <f>IFERROR(__xludf.DUMMYFUNCTION("""COMPUTED_VALUE"""),"Black seats")</f>
        <v>Black seats</v>
      </c>
      <c r="R1749" s="150" t="str">
        <f>IFERROR(__xludf.DUMMYFUNCTION("""COMPUTED_VALUE"""),"Autopilot")</f>
        <v>Autopilot</v>
      </c>
      <c r="S1749" s="150"/>
      <c r="T1749" s="136"/>
      <c r="U1749" s="136"/>
      <c r="V1749" s="136"/>
      <c r="W1749" s="136"/>
      <c r="X1749" s="137" t="str">
        <f>IFERROR(__xludf.DUMMYFUNCTION("""COMPUTED_VALUE"""),"Very Good")</f>
        <v>Very Good</v>
      </c>
      <c r="Y1749" s="138" t="str">
        <f>IFERROR(__xludf.DUMMYFUNCTION("""COMPUTED_VALUE"""),"Very Good")</f>
        <v>Very Good</v>
      </c>
      <c r="Z1749" s="138" t="str">
        <f>IFERROR(__xludf.DUMMYFUNCTION("""COMPUTED_VALUE"""),"Very Good")</f>
        <v>Very Good</v>
      </c>
      <c r="AA1749" s="138" t="str">
        <f>IFERROR(__xludf.DUMMYFUNCTION("""COMPUTED_VALUE"""),"Fair")</f>
        <v>Fair</v>
      </c>
      <c r="AB1749" s="138" t="str">
        <f>IFERROR(__xludf.DUMMYFUNCTION("""COMPUTED_VALUE"""),"Fair")</f>
        <v>Fair</v>
      </c>
      <c r="AC1749" s="139"/>
      <c r="AD1749" s="139"/>
      <c r="AE1749" s="139"/>
      <c r="AF1749" s="140"/>
      <c r="AG1749" s="136"/>
      <c r="AH1749" s="157">
        <f>IFERROR(__xludf.DUMMYFUNCTION("""COMPUTED_VALUE"""),43719.279464236104)</f>
        <v>43719.27946</v>
      </c>
      <c r="AI1749" s="138"/>
      <c r="AJ1749" s="138"/>
      <c r="AK1749" s="138"/>
      <c r="AL1749" s="142"/>
    </row>
    <row r="1750" ht="20.25" customHeight="1">
      <c r="A1750" s="155" t="str">
        <f>IFERROR(__xludf.DUMMYFUNCTION("""COMPUTED_VALUE"""),"dhart001")</f>
        <v>dhart001</v>
      </c>
      <c r="B1750" s="149" t="str">
        <f>IFERROR(__xludf.DUMMYFUNCTION("""COMPUTED_VALUE"""),"Bay Area")</f>
        <v>Bay Area</v>
      </c>
      <c r="C1750" s="149" t="str">
        <f>IFERROR(__xludf.DUMMYFUNCTION("""COMPUTED_VALUE"""),"CA")</f>
        <v>CA</v>
      </c>
      <c r="D1750" s="149" t="str">
        <f>IFERROR(__xludf.DUMMYFUNCTION("""COMPUTED_VALUE"""),"USA")</f>
        <v>USA</v>
      </c>
      <c r="E1750" s="156">
        <f>IFERROR(__xludf.DUMMYFUNCTION("""COMPUTED_VALUE"""),43693.0)</f>
        <v>43693</v>
      </c>
      <c r="F1750" s="129">
        <f>IFERROR(__xludf.DUMMYFUNCTION("""COMPUTED_VALUE"""),43730.0)</f>
        <v>43730</v>
      </c>
      <c r="G1750" s="154"/>
      <c r="H1750" s="131">
        <f>IFERROR(__xludf.DUMMYFUNCTION("""COMPUTED_VALUE"""),514452.0)</f>
        <v>514452</v>
      </c>
      <c r="I1750" s="132"/>
      <c r="J1750" s="129">
        <f>IFERROR(__xludf.DUMMYFUNCTION("""COMPUTED_VALUE"""),43733.0)</f>
        <v>43733</v>
      </c>
      <c r="K1750" s="133">
        <f>IFERROR(__xludf.DUMMYFUNCTION("""COMPUTED_VALUE"""),37.0)</f>
        <v>37</v>
      </c>
      <c r="L1750" s="133">
        <f>IFERROR(__xludf.DUMMYFUNCTION("""COMPUTED_VALUE"""),3.0)</f>
        <v>3</v>
      </c>
      <c r="M1750" s="133">
        <f>IFERROR(__xludf.DUMMYFUNCTION("""COMPUTED_VALUE"""),40.0)</f>
        <v>40</v>
      </c>
      <c r="N1750" s="152" t="str">
        <f>IFERROR(__xludf.DUMMYFUNCTION("""COMPUTED_VALUE"""),"Model 3 Performance")</f>
        <v>Model 3 Performance</v>
      </c>
      <c r="O1750" s="152" t="str">
        <f>IFERROR(__xludf.DUMMYFUNCTION("""COMPUTED_VALUE"""),"Pearl White Multi-Coat")</f>
        <v>Pearl White Multi-Coat</v>
      </c>
      <c r="P1750" s="153" t="str">
        <f>IFERROR(__xludf.DUMMYFUNCTION("""COMPUTED_VALUE"""),"20 inch Sport")</f>
        <v>20 inch Sport</v>
      </c>
      <c r="Q1750" s="152" t="str">
        <f>IFERROR(__xludf.DUMMYFUNCTION("""COMPUTED_VALUE"""),"White seats")</f>
        <v>White seats</v>
      </c>
      <c r="R1750" s="150" t="str">
        <f>IFERROR(__xludf.DUMMYFUNCTION("""COMPUTED_VALUE"""),"Full Self-Driving")</f>
        <v>Full Self-Driving</v>
      </c>
      <c r="S1750" s="150"/>
      <c r="T1750" s="145"/>
      <c r="U1750" s="145"/>
      <c r="V1750" s="145"/>
      <c r="W1750" s="145"/>
      <c r="X1750" s="137" t="str">
        <f>IFERROR(__xludf.DUMMYFUNCTION("""COMPUTED_VALUE"""),"Excellent")</f>
        <v>Excellent</v>
      </c>
      <c r="Y1750" s="138" t="str">
        <f>IFERROR(__xludf.DUMMYFUNCTION("""COMPUTED_VALUE"""),"Excellent")</f>
        <v>Excellent</v>
      </c>
      <c r="Z1750" s="138" t="str">
        <f>IFERROR(__xludf.DUMMYFUNCTION("""COMPUTED_VALUE"""),"Excellent")</f>
        <v>Excellent</v>
      </c>
      <c r="AA1750" s="138" t="str">
        <f>IFERROR(__xludf.DUMMYFUNCTION("""COMPUTED_VALUE"""),"Fair")</f>
        <v>Fair</v>
      </c>
      <c r="AB1750" s="138" t="str">
        <f>IFERROR(__xludf.DUMMYFUNCTION("""COMPUTED_VALUE"""),"Excellent")</f>
        <v>Excellent</v>
      </c>
      <c r="AC1750" s="139"/>
      <c r="AD1750" s="139"/>
      <c r="AE1750" s="139"/>
      <c r="AF1750" s="140"/>
      <c r="AG1750" s="136"/>
      <c r="AH1750" s="157">
        <f>IFERROR(__xludf.DUMMYFUNCTION("""COMPUTED_VALUE"""),43734.29531137731)</f>
        <v>43734.29531</v>
      </c>
      <c r="AI1750" s="138"/>
      <c r="AJ1750" s="138"/>
      <c r="AK1750" s="138"/>
      <c r="AL1750" s="142"/>
    </row>
    <row r="1751" ht="20.25" customHeight="1">
      <c r="A1751" s="155" t="str">
        <f>IFERROR(__xludf.DUMMYFUNCTION("""COMPUTED_VALUE"""),"ACofNY")</f>
        <v>ACofNY</v>
      </c>
      <c r="B1751" s="159" t="str">
        <f>IFERROR(__xludf.DUMMYFUNCTION("""COMPUTED_VALUE"""),"Long Island")</f>
        <v>Long Island</v>
      </c>
      <c r="C1751" s="159" t="str">
        <f>IFERROR(__xludf.DUMMYFUNCTION("""COMPUTED_VALUE"""),"NY")</f>
        <v>NY</v>
      </c>
      <c r="D1751" s="159" t="str">
        <f>IFERROR(__xludf.DUMMYFUNCTION("""COMPUTED_VALUE"""),"USA")</f>
        <v>USA</v>
      </c>
      <c r="E1751" s="156">
        <f>IFERROR(__xludf.DUMMYFUNCTION("""COMPUTED_VALUE"""),43692.0)</f>
        <v>43692</v>
      </c>
      <c r="F1751" s="129">
        <f>IFERROR(__xludf.DUMMYFUNCTION("""COMPUTED_VALUE"""),43699.0)</f>
        <v>43699</v>
      </c>
      <c r="G1751" s="154"/>
      <c r="H1751" s="131">
        <f>IFERROR(__xludf.DUMMYFUNCTION("""COMPUTED_VALUE"""),482645.0)</f>
        <v>482645</v>
      </c>
      <c r="I1751" s="160" t="str">
        <f>IFERROR(__xludf.DUMMYFUNCTION("""COMPUTED_VALUE"""),"08/19")</f>
        <v>08/19</v>
      </c>
      <c r="J1751" s="129">
        <f>IFERROR(__xludf.DUMMYFUNCTION("""COMPUTED_VALUE"""),43707.0)</f>
        <v>43707</v>
      </c>
      <c r="K1751" s="133">
        <f>IFERROR(__xludf.DUMMYFUNCTION("""COMPUTED_VALUE"""),7.0)</f>
        <v>7</v>
      </c>
      <c r="L1751" s="133">
        <f>IFERROR(__xludf.DUMMYFUNCTION("""COMPUTED_VALUE"""),8.0)</f>
        <v>8</v>
      </c>
      <c r="M1751" s="133">
        <f>IFERROR(__xludf.DUMMYFUNCTION("""COMPUTED_VALUE"""),15.0)</f>
        <v>15</v>
      </c>
      <c r="N1751" s="152" t="str">
        <f>IFERROR(__xludf.DUMMYFUNCTION("""COMPUTED_VALUE"""),"Model 3 SR+")</f>
        <v>Model 3 SR+</v>
      </c>
      <c r="O1751" s="152" t="str">
        <f>IFERROR(__xludf.DUMMYFUNCTION("""COMPUTED_VALUE"""),"Pearl White Multi-Coat")</f>
        <v>Pearl White Multi-Coat</v>
      </c>
      <c r="P1751" s="153" t="str">
        <f>IFERROR(__xludf.DUMMYFUNCTION("""COMPUTED_VALUE"""),"18 inch Aero")</f>
        <v>18 inch Aero</v>
      </c>
      <c r="Q1751" s="152" t="str">
        <f>IFERROR(__xludf.DUMMYFUNCTION("""COMPUTED_VALUE"""),"Black seats")</f>
        <v>Black seats</v>
      </c>
      <c r="R1751" s="159" t="str">
        <f>IFERROR(__xludf.DUMMYFUNCTION("""COMPUTED_VALUE"""),"Autopilot")</f>
        <v>Autopilot</v>
      </c>
      <c r="S1751" s="159"/>
      <c r="T1751" s="161"/>
      <c r="U1751" s="161"/>
      <c r="V1751" s="161"/>
      <c r="W1751" s="161"/>
      <c r="X1751" s="137" t="str">
        <f>IFERROR(__xludf.DUMMYFUNCTION("""COMPUTED_VALUE"""),"Excellent")</f>
        <v>Excellent</v>
      </c>
      <c r="Y1751" s="138" t="str">
        <f>IFERROR(__xludf.DUMMYFUNCTION("""COMPUTED_VALUE"""),"Excellent")</f>
        <v>Excellent</v>
      </c>
      <c r="Z1751" s="138" t="str">
        <f>IFERROR(__xludf.DUMMYFUNCTION("""COMPUTED_VALUE"""),"Excellent")</f>
        <v>Excellent</v>
      </c>
      <c r="AA1751" s="138" t="str">
        <f>IFERROR(__xludf.DUMMYFUNCTION("""COMPUTED_VALUE"""),"Excellent")</f>
        <v>Excellent</v>
      </c>
      <c r="AB1751" s="138" t="str">
        <f>IFERROR(__xludf.DUMMYFUNCTION("""COMPUTED_VALUE"""),"Excellent")</f>
        <v>Excellent</v>
      </c>
      <c r="AC1751" s="139">
        <f>IFERROR(__xludf.DUMMYFUNCTION("""COMPUTED_VALUE"""),1.0)</f>
        <v>1</v>
      </c>
      <c r="AD1751" s="139">
        <f>IFERROR(__xludf.DUMMYFUNCTION("""COMPUTED_VALUE"""),0.0)</f>
        <v>0</v>
      </c>
      <c r="AE1751" s="139">
        <f>IFERROR(__xludf.DUMMYFUNCTION("""COMPUTED_VALUE"""),0.0)</f>
        <v>0</v>
      </c>
      <c r="AF1751" s="140"/>
      <c r="AG1751" s="161" t="str">
        <f>IFERROR(__xludf.DUMMYFUNCTION("""COMPUTED_VALUE"""),"Just notice front hood has gap")</f>
        <v>Just notice front hood has gap</v>
      </c>
      <c r="AH1751" s="157">
        <f>IFERROR(__xludf.DUMMYFUNCTION("""COMPUTED_VALUE"""),43728.93748833333)</f>
        <v>43728.93749</v>
      </c>
      <c r="AI1751" s="138"/>
      <c r="AJ1751" s="138"/>
      <c r="AK1751" s="138"/>
      <c r="AL1751" s="142"/>
    </row>
    <row r="1752" ht="20.25" customHeight="1">
      <c r="A1752" s="155" t="str">
        <f>IFERROR(__xludf.DUMMYFUNCTION("""COMPUTED_VALUE"""),"cgarcia0458")</f>
        <v>cgarcia0458</v>
      </c>
      <c r="B1752" s="149" t="str">
        <f>IFERROR(__xludf.DUMMYFUNCTION("""COMPUTED_VALUE"""),"Miami")</f>
        <v>Miami</v>
      </c>
      <c r="C1752" s="149" t="str">
        <f>IFERROR(__xludf.DUMMYFUNCTION("""COMPUTED_VALUE"""),"FL")</f>
        <v>FL</v>
      </c>
      <c r="D1752" s="149" t="str">
        <f>IFERROR(__xludf.DUMMYFUNCTION("""COMPUTED_VALUE"""),"USA")</f>
        <v>USA</v>
      </c>
      <c r="E1752" s="156">
        <f>IFERROR(__xludf.DUMMYFUNCTION("""COMPUTED_VALUE"""),43692.0)</f>
        <v>43692</v>
      </c>
      <c r="F1752" s="129">
        <f>IFERROR(__xludf.DUMMYFUNCTION("""COMPUTED_VALUE"""),43715.0)</f>
        <v>43715</v>
      </c>
      <c r="G1752" s="154"/>
      <c r="H1752" s="131">
        <f>IFERROR(__xludf.DUMMYFUNCTION("""COMPUTED_VALUE"""),413710.0)</f>
        <v>413710</v>
      </c>
      <c r="I1752" s="144" t="str">
        <f>IFERROR(__xludf.DUMMYFUNCTION("""COMPUTED_VALUE"""),"09/19")</f>
        <v>09/19</v>
      </c>
      <c r="J1752" s="129">
        <f>IFERROR(__xludf.DUMMYFUNCTION("""COMPUTED_VALUE"""),43722.0)</f>
        <v>43722</v>
      </c>
      <c r="K1752" s="133">
        <f>IFERROR(__xludf.DUMMYFUNCTION("""COMPUTED_VALUE"""),23.0)</f>
        <v>23</v>
      </c>
      <c r="L1752" s="133">
        <f>IFERROR(__xludf.DUMMYFUNCTION("""COMPUTED_VALUE"""),7.0)</f>
        <v>7</v>
      </c>
      <c r="M1752" s="133">
        <f>IFERROR(__xludf.DUMMYFUNCTION("""COMPUTED_VALUE"""),30.0)</f>
        <v>30</v>
      </c>
      <c r="N1752" s="152" t="str">
        <f>IFERROR(__xludf.DUMMYFUNCTION("""COMPUTED_VALUE"""),"Model 3 Performance")</f>
        <v>Model 3 Performance</v>
      </c>
      <c r="O1752" s="152" t="str">
        <f>IFERROR(__xludf.DUMMYFUNCTION("""COMPUTED_VALUE"""),"Solid Black")</f>
        <v>Solid Black</v>
      </c>
      <c r="P1752" s="153" t="str">
        <f>IFERROR(__xludf.DUMMYFUNCTION("""COMPUTED_VALUE"""),"20 inch Sport")</f>
        <v>20 inch Sport</v>
      </c>
      <c r="Q1752" s="152" t="str">
        <f>IFERROR(__xludf.DUMMYFUNCTION("""COMPUTED_VALUE"""),"White seats")</f>
        <v>White seats</v>
      </c>
      <c r="R1752" s="149" t="str">
        <f>IFERROR(__xludf.DUMMYFUNCTION("""COMPUTED_VALUE"""),"Autopilot")</f>
        <v>Autopilot</v>
      </c>
      <c r="S1752" s="149"/>
      <c r="T1752" s="145"/>
      <c r="U1752" s="145"/>
      <c r="V1752" s="145"/>
      <c r="W1752" s="136"/>
      <c r="X1752" s="137" t="str">
        <f>IFERROR(__xludf.DUMMYFUNCTION("""COMPUTED_VALUE"""),"Very Good")</f>
        <v>Very Good</v>
      </c>
      <c r="Y1752" s="138" t="str">
        <f>IFERROR(__xludf.DUMMYFUNCTION("""COMPUTED_VALUE"""),"Excellent")</f>
        <v>Excellent</v>
      </c>
      <c r="Z1752" s="138" t="str">
        <f>IFERROR(__xludf.DUMMYFUNCTION("""COMPUTED_VALUE"""),"Excellent")</f>
        <v>Excellent</v>
      </c>
      <c r="AA1752" s="138" t="str">
        <f>IFERROR(__xludf.DUMMYFUNCTION("""COMPUTED_VALUE"""),"Excellent")</f>
        <v>Excellent</v>
      </c>
      <c r="AB1752" s="138" t="str">
        <f>IFERROR(__xludf.DUMMYFUNCTION("""COMPUTED_VALUE"""),"Excellent")</f>
        <v>Excellent</v>
      </c>
      <c r="AC1752" s="139"/>
      <c r="AD1752" s="139"/>
      <c r="AE1752" s="139"/>
      <c r="AF1752" s="140"/>
      <c r="AG1752" s="136"/>
      <c r="AH1752" s="157">
        <f>IFERROR(__xludf.DUMMYFUNCTION("""COMPUTED_VALUE"""),43724.3176422338)</f>
        <v>43724.31764</v>
      </c>
      <c r="AI1752" s="138"/>
      <c r="AJ1752" s="138"/>
      <c r="AK1752" s="138"/>
      <c r="AL1752" s="142"/>
    </row>
    <row r="1753" ht="20.25" customHeight="1">
      <c r="A1753" s="155" t="str">
        <f>IFERROR(__xludf.DUMMYFUNCTION("""COMPUTED_VALUE"""),"EBG13579")</f>
        <v>EBG13579</v>
      </c>
      <c r="B1753" s="149" t="str">
        <f>IFERROR(__xludf.DUMMYFUNCTION("""COMPUTED_VALUE"""),"Frisco")</f>
        <v>Frisco</v>
      </c>
      <c r="C1753" s="149" t="str">
        <f>IFERROR(__xludf.DUMMYFUNCTION("""COMPUTED_VALUE"""),"TX")</f>
        <v>TX</v>
      </c>
      <c r="D1753" s="149" t="str">
        <f>IFERROR(__xludf.DUMMYFUNCTION("""COMPUTED_VALUE"""),"USA")</f>
        <v>USA</v>
      </c>
      <c r="E1753" s="156">
        <f>IFERROR(__xludf.DUMMYFUNCTION("""COMPUTED_VALUE"""),43692.0)</f>
        <v>43692</v>
      </c>
      <c r="F1753" s="129">
        <f>IFERROR(__xludf.DUMMYFUNCTION("""COMPUTED_VALUE"""),43725.0)</f>
        <v>43725</v>
      </c>
      <c r="G1753" s="154"/>
      <c r="H1753" s="131">
        <f>IFERROR(__xludf.DUMMYFUNCTION("""COMPUTED_VALUE"""),487490.0)</f>
        <v>487490</v>
      </c>
      <c r="I1753" s="144"/>
      <c r="J1753" s="129">
        <f>IFERROR(__xludf.DUMMYFUNCTION("""COMPUTED_VALUE"""),43737.0)</f>
        <v>43737</v>
      </c>
      <c r="K1753" s="133">
        <f>IFERROR(__xludf.DUMMYFUNCTION("""COMPUTED_VALUE"""),33.0)</f>
        <v>33</v>
      </c>
      <c r="L1753" s="133">
        <f>IFERROR(__xludf.DUMMYFUNCTION("""COMPUTED_VALUE"""),12.0)</f>
        <v>12</v>
      </c>
      <c r="M1753" s="133">
        <f>IFERROR(__xludf.DUMMYFUNCTION("""COMPUTED_VALUE"""),45.0)</f>
        <v>45</v>
      </c>
      <c r="N1753" s="152" t="str">
        <f>IFERROR(__xludf.DUMMYFUNCTION("""COMPUTED_VALUE"""),"Model 3 Performance")</f>
        <v>Model 3 Performance</v>
      </c>
      <c r="O1753" s="152" t="str">
        <f>IFERROR(__xludf.DUMMYFUNCTION("""COMPUTED_VALUE"""),"Pearl White Multi-Coat")</f>
        <v>Pearl White Multi-Coat</v>
      </c>
      <c r="P1753" s="153" t="str">
        <f>IFERROR(__xludf.DUMMYFUNCTION("""COMPUTED_VALUE"""),"20 inch Sport")</f>
        <v>20 inch Sport</v>
      </c>
      <c r="Q1753" s="152" t="str">
        <f>IFERROR(__xludf.DUMMYFUNCTION("""COMPUTED_VALUE"""),"White seats")</f>
        <v>White seats</v>
      </c>
      <c r="R1753" s="149" t="str">
        <f>IFERROR(__xludf.DUMMYFUNCTION("""COMPUTED_VALUE"""),"Full Self-Driving")</f>
        <v>Full Self-Driving</v>
      </c>
      <c r="S1753" s="149"/>
      <c r="T1753" s="145"/>
      <c r="U1753" s="145"/>
      <c r="V1753" s="145"/>
      <c r="W1753" s="145"/>
      <c r="X1753" s="137" t="str">
        <f>IFERROR(__xludf.DUMMYFUNCTION("""COMPUTED_VALUE"""),"Excellent")</f>
        <v>Excellent</v>
      </c>
      <c r="Y1753" s="138" t="str">
        <f>IFERROR(__xludf.DUMMYFUNCTION("""COMPUTED_VALUE"""),"Excellent")</f>
        <v>Excellent</v>
      </c>
      <c r="Z1753" s="138" t="str">
        <f>IFERROR(__xludf.DUMMYFUNCTION("""COMPUTED_VALUE"""),"Excellent")</f>
        <v>Excellent</v>
      </c>
      <c r="AA1753" s="138" t="str">
        <f>IFERROR(__xludf.DUMMYFUNCTION("""COMPUTED_VALUE"""),"Good")</f>
        <v>Good</v>
      </c>
      <c r="AB1753" s="138" t="str">
        <f>IFERROR(__xludf.DUMMYFUNCTION("""COMPUTED_VALUE"""),"Excellent")</f>
        <v>Excellent</v>
      </c>
      <c r="AC1753" s="139">
        <f>IFERROR(__xludf.DUMMYFUNCTION("""COMPUTED_VALUE"""),0.0)</f>
        <v>0</v>
      </c>
      <c r="AD1753" s="139"/>
      <c r="AE1753" s="139"/>
      <c r="AF1753" s="140"/>
      <c r="AG1753" s="145"/>
      <c r="AH1753" s="157">
        <f>IFERROR(__xludf.DUMMYFUNCTION("""COMPUTED_VALUE"""),43736.667308923614)</f>
        <v>43736.66731</v>
      </c>
      <c r="AI1753" s="138"/>
      <c r="AJ1753" s="138"/>
      <c r="AK1753" s="138"/>
      <c r="AL1753" s="142"/>
    </row>
    <row r="1754" ht="20.25" customHeight="1">
      <c r="A1754" s="155" t="str">
        <f>IFERROR(__xludf.DUMMYFUNCTION("""COMPUTED_VALUE"""),"itsilyas")</f>
        <v>itsilyas</v>
      </c>
      <c r="B1754" s="149" t="str">
        <f>IFERROR(__xludf.DUMMYFUNCTION("""COMPUTED_VALUE"""),"Lisbon, Portugal")</f>
        <v>Lisbon, Portugal</v>
      </c>
      <c r="C1754" s="149"/>
      <c r="D1754" s="149" t="str">
        <f>IFERROR(__xludf.DUMMYFUNCTION("""COMPUTED_VALUE"""),"Other (include country together with city)")</f>
        <v>Other (include country together with city)</v>
      </c>
      <c r="E1754" s="156">
        <f>IFERROR(__xludf.DUMMYFUNCTION("""COMPUTED_VALUE"""),43692.0)</f>
        <v>43692</v>
      </c>
      <c r="F1754" s="129">
        <f>IFERROR(__xludf.DUMMYFUNCTION("""COMPUTED_VALUE"""),43698.0)</f>
        <v>43698</v>
      </c>
      <c r="G1754" s="154"/>
      <c r="H1754" s="131">
        <f>IFERROR(__xludf.DUMMYFUNCTION("""COMPUTED_VALUE"""),467635.0)</f>
        <v>467635</v>
      </c>
      <c r="I1754" s="144" t="str">
        <f>IFERROR(__xludf.DUMMYFUNCTION("""COMPUTED_VALUE"""),"08/19")</f>
        <v>08/19</v>
      </c>
      <c r="J1754" s="129">
        <f>IFERROR(__xludf.DUMMYFUNCTION("""COMPUTED_VALUE"""),43738.0)</f>
        <v>43738</v>
      </c>
      <c r="K1754" s="133">
        <f>IFERROR(__xludf.DUMMYFUNCTION("""COMPUTED_VALUE"""),6.0)</f>
        <v>6</v>
      </c>
      <c r="L1754" s="133">
        <f>IFERROR(__xludf.DUMMYFUNCTION("""COMPUTED_VALUE"""),40.0)</f>
        <v>40</v>
      </c>
      <c r="M1754" s="133">
        <f>IFERROR(__xludf.DUMMYFUNCTION("""COMPUTED_VALUE"""),46.0)</f>
        <v>46</v>
      </c>
      <c r="N1754" s="152" t="str">
        <f>IFERROR(__xludf.DUMMYFUNCTION("""COMPUTED_VALUE"""),"Model 3 LR AWD")</f>
        <v>Model 3 LR AWD</v>
      </c>
      <c r="O1754" s="152" t="str">
        <f>IFERROR(__xludf.DUMMYFUNCTION("""COMPUTED_VALUE"""),"Pearl White Multi-Coat")</f>
        <v>Pearl White Multi-Coat</v>
      </c>
      <c r="P1754" s="153" t="str">
        <f>IFERROR(__xludf.DUMMYFUNCTION("""COMPUTED_VALUE"""),"18 inch Aero")</f>
        <v>18 inch Aero</v>
      </c>
      <c r="Q1754" s="152" t="str">
        <f>IFERROR(__xludf.DUMMYFUNCTION("""COMPUTED_VALUE"""),"Black seats")</f>
        <v>Black seats</v>
      </c>
      <c r="R1754" s="149" t="str">
        <f>IFERROR(__xludf.DUMMYFUNCTION("""COMPUTED_VALUE"""),"Autopilot")</f>
        <v>Autopilot</v>
      </c>
      <c r="S1754" s="149"/>
      <c r="T1754" s="145"/>
      <c r="U1754" s="145"/>
      <c r="V1754" s="145"/>
      <c r="W1754" s="145"/>
      <c r="X1754" s="137" t="str">
        <f>IFERROR(__xludf.DUMMYFUNCTION("""COMPUTED_VALUE"""),"Very Good")</f>
        <v>Very Good</v>
      </c>
      <c r="Y1754" s="138" t="str">
        <f>IFERROR(__xludf.DUMMYFUNCTION("""COMPUTED_VALUE"""),"Excellent")</f>
        <v>Excellent</v>
      </c>
      <c r="Z1754" s="138" t="str">
        <f>IFERROR(__xludf.DUMMYFUNCTION("""COMPUTED_VALUE"""),"Good")</f>
        <v>Good</v>
      </c>
      <c r="AA1754" s="138" t="str">
        <f>IFERROR(__xludf.DUMMYFUNCTION("""COMPUTED_VALUE"""),"Poor")</f>
        <v>Poor</v>
      </c>
      <c r="AB1754" s="138" t="str">
        <f>IFERROR(__xludf.DUMMYFUNCTION("""COMPUTED_VALUE"""),"Good")</f>
        <v>Good</v>
      </c>
      <c r="AC1754" s="139">
        <f>IFERROR(__xludf.DUMMYFUNCTION("""COMPUTED_VALUE"""),3.0)</f>
        <v>3</v>
      </c>
      <c r="AD1754" s="139">
        <f>IFERROR(__xludf.DUMMYFUNCTION("""COMPUTED_VALUE"""),1.0)</f>
        <v>1</v>
      </c>
      <c r="AE1754" s="139">
        <f>IFERROR(__xludf.DUMMYFUNCTION("""COMPUTED_VALUE"""),1.0)</f>
        <v>1</v>
      </c>
      <c r="AF1754" s="140"/>
      <c r="AG1754" s="145"/>
      <c r="AH1754" s="157">
        <f>IFERROR(__xludf.DUMMYFUNCTION("""COMPUTED_VALUE"""),43766.19403078703)</f>
        <v>43766.19403</v>
      </c>
      <c r="AI1754" s="138"/>
      <c r="AJ1754" s="138"/>
      <c r="AK1754" s="138"/>
      <c r="AL1754" s="142"/>
    </row>
    <row r="1755" ht="20.25" customHeight="1">
      <c r="A1755" s="155" t="str">
        <f>IFERROR(__xludf.DUMMYFUNCTION("""COMPUTED_VALUE"""),"kilbu")</f>
        <v>kilbu</v>
      </c>
      <c r="B1755" s="149" t="str">
        <f>IFERROR(__xludf.DUMMYFUNCTION("""COMPUTED_VALUE"""),"Fort Collins")</f>
        <v>Fort Collins</v>
      </c>
      <c r="C1755" s="149" t="str">
        <f>IFERROR(__xludf.DUMMYFUNCTION("""COMPUTED_VALUE"""),"CO")</f>
        <v>CO</v>
      </c>
      <c r="D1755" s="149" t="str">
        <f>IFERROR(__xludf.DUMMYFUNCTION("""COMPUTED_VALUE"""),"USA")</f>
        <v>USA</v>
      </c>
      <c r="E1755" s="156">
        <f>IFERROR(__xludf.DUMMYFUNCTION("""COMPUTED_VALUE"""),43692.0)</f>
        <v>43692</v>
      </c>
      <c r="F1755" s="129">
        <f>IFERROR(__xludf.DUMMYFUNCTION("""COMPUTED_VALUE"""),43724.0)</f>
        <v>43724</v>
      </c>
      <c r="G1755" s="154"/>
      <c r="H1755" s="131">
        <f>IFERROR(__xludf.DUMMYFUNCTION("""COMPUTED_VALUE"""),447655.0)</f>
        <v>447655</v>
      </c>
      <c r="I1755" s="144" t="str">
        <f>IFERROR(__xludf.DUMMYFUNCTION("""COMPUTED_VALUE"""),"09/19")</f>
        <v>09/19</v>
      </c>
      <c r="J1755" s="129">
        <f>IFERROR(__xludf.DUMMYFUNCTION("""COMPUTED_VALUE"""),43727.0)</f>
        <v>43727</v>
      </c>
      <c r="K1755" s="133">
        <f>IFERROR(__xludf.DUMMYFUNCTION("""COMPUTED_VALUE"""),32.0)</f>
        <v>32</v>
      </c>
      <c r="L1755" s="133">
        <f>IFERROR(__xludf.DUMMYFUNCTION("""COMPUTED_VALUE"""),3.0)</f>
        <v>3</v>
      </c>
      <c r="M1755" s="133">
        <f>IFERROR(__xludf.DUMMYFUNCTION("""COMPUTED_VALUE"""),35.0)</f>
        <v>35</v>
      </c>
      <c r="N1755" s="152" t="str">
        <f>IFERROR(__xludf.DUMMYFUNCTION("""COMPUTED_VALUE"""),"Model 3 Performance")</f>
        <v>Model 3 Performance</v>
      </c>
      <c r="O1755" s="152" t="str">
        <f>IFERROR(__xludf.DUMMYFUNCTION("""COMPUTED_VALUE"""),"Midnight Silver Metallic")</f>
        <v>Midnight Silver Metallic</v>
      </c>
      <c r="P1755" s="153" t="str">
        <f>IFERROR(__xludf.DUMMYFUNCTION("""COMPUTED_VALUE"""),"20 inch Sport")</f>
        <v>20 inch Sport</v>
      </c>
      <c r="Q1755" s="152" t="str">
        <f>IFERROR(__xludf.DUMMYFUNCTION("""COMPUTED_VALUE"""),"White seats")</f>
        <v>White seats</v>
      </c>
      <c r="R1755" s="149" t="str">
        <f>IFERROR(__xludf.DUMMYFUNCTION("""COMPUTED_VALUE"""),"Full Self-Driving")</f>
        <v>Full Self-Driving</v>
      </c>
      <c r="S1755" s="149"/>
      <c r="T1755" s="145"/>
      <c r="U1755" s="145"/>
      <c r="V1755" s="145"/>
      <c r="W1755" s="145"/>
      <c r="X1755" s="137" t="str">
        <f>IFERROR(__xludf.DUMMYFUNCTION("""COMPUTED_VALUE"""),"Excellent")</f>
        <v>Excellent</v>
      </c>
      <c r="Y1755" s="138" t="str">
        <f>IFERROR(__xludf.DUMMYFUNCTION("""COMPUTED_VALUE"""),"Excellent")</f>
        <v>Excellent</v>
      </c>
      <c r="Z1755" s="138" t="str">
        <f>IFERROR(__xludf.DUMMYFUNCTION("""COMPUTED_VALUE"""),"Very Good")</f>
        <v>Very Good</v>
      </c>
      <c r="AA1755" s="138" t="str">
        <f>IFERROR(__xludf.DUMMYFUNCTION("""COMPUTED_VALUE"""),"Fair")</f>
        <v>Fair</v>
      </c>
      <c r="AB1755" s="138" t="str">
        <f>IFERROR(__xludf.DUMMYFUNCTION("""COMPUTED_VALUE"""),"Good")</f>
        <v>Good</v>
      </c>
      <c r="AC1755" s="139">
        <f>IFERROR(__xludf.DUMMYFUNCTION("""COMPUTED_VALUE"""),0.0)</f>
        <v>0</v>
      </c>
      <c r="AD1755" s="139">
        <f>IFERROR(__xludf.DUMMYFUNCTION("""COMPUTED_VALUE"""),0.0)</f>
        <v>0</v>
      </c>
      <c r="AE1755" s="139">
        <f>IFERROR(__xludf.DUMMYFUNCTION("""COMPUTED_VALUE"""),0.0)</f>
        <v>0</v>
      </c>
      <c r="AF1755" s="140"/>
      <c r="AG1755" s="145"/>
      <c r="AH1755" s="157">
        <f>IFERROR(__xludf.DUMMYFUNCTION("""COMPUTED_VALUE"""),43728.35567445602)</f>
        <v>43728.35567</v>
      </c>
      <c r="AI1755" s="138"/>
      <c r="AJ1755" s="138"/>
      <c r="AK1755" s="138"/>
      <c r="AL1755" s="142"/>
    </row>
    <row r="1756" ht="20.25" customHeight="1">
      <c r="A1756" s="155" t="str">
        <f>IFERROR(__xludf.DUMMYFUNCTION("""COMPUTED_VALUE"""),"RAM_86")</f>
        <v>RAM_86</v>
      </c>
      <c r="B1756" s="149" t="str">
        <f>IFERROR(__xludf.DUMMYFUNCTION("""COMPUTED_VALUE"""),"Los Angeles")</f>
        <v>Los Angeles</v>
      </c>
      <c r="C1756" s="149" t="str">
        <f>IFERROR(__xludf.DUMMYFUNCTION("""COMPUTED_VALUE"""),"CA")</f>
        <v>CA</v>
      </c>
      <c r="D1756" s="149" t="str">
        <f>IFERROR(__xludf.DUMMYFUNCTION("""COMPUTED_VALUE"""),"USA")</f>
        <v>USA</v>
      </c>
      <c r="E1756" s="156">
        <f>IFERROR(__xludf.DUMMYFUNCTION("""COMPUTED_VALUE"""),43692.0)</f>
        <v>43692</v>
      </c>
      <c r="F1756" s="129">
        <f>IFERROR(__xludf.DUMMYFUNCTION("""COMPUTED_VALUE"""),43729.0)</f>
        <v>43729</v>
      </c>
      <c r="G1756" s="154"/>
      <c r="H1756" s="131">
        <f>IFERROR(__xludf.DUMMYFUNCTION("""COMPUTED_VALUE"""),487455.0)</f>
        <v>487455</v>
      </c>
      <c r="I1756" s="144" t="str">
        <f>IFERROR(__xludf.DUMMYFUNCTION("""COMPUTED_VALUE"""),"09/19")</f>
        <v>09/19</v>
      </c>
      <c r="J1756" s="129">
        <f>IFERROR(__xludf.DUMMYFUNCTION("""COMPUTED_VALUE"""),43734.0)</f>
        <v>43734</v>
      </c>
      <c r="K1756" s="133">
        <f>IFERROR(__xludf.DUMMYFUNCTION("""COMPUTED_VALUE"""),37.0)</f>
        <v>37</v>
      </c>
      <c r="L1756" s="133">
        <f>IFERROR(__xludf.DUMMYFUNCTION("""COMPUTED_VALUE"""),5.0)</f>
        <v>5</v>
      </c>
      <c r="M1756" s="133">
        <f>IFERROR(__xludf.DUMMYFUNCTION("""COMPUTED_VALUE"""),42.0)</f>
        <v>42</v>
      </c>
      <c r="N1756" s="152" t="str">
        <f>IFERROR(__xludf.DUMMYFUNCTION("""COMPUTED_VALUE"""),"Model 3 Performance")</f>
        <v>Model 3 Performance</v>
      </c>
      <c r="O1756" s="152" t="str">
        <f>IFERROR(__xludf.DUMMYFUNCTION("""COMPUTED_VALUE"""),"Pearl White Multi-Coat")</f>
        <v>Pearl White Multi-Coat</v>
      </c>
      <c r="P1756" s="153" t="str">
        <f>IFERROR(__xludf.DUMMYFUNCTION("""COMPUTED_VALUE"""),"20 inch Sport")</f>
        <v>20 inch Sport</v>
      </c>
      <c r="Q1756" s="152" t="str">
        <f>IFERROR(__xludf.DUMMYFUNCTION("""COMPUTED_VALUE"""),"White seats")</f>
        <v>White seats</v>
      </c>
      <c r="R1756" s="149" t="str">
        <f>IFERROR(__xludf.DUMMYFUNCTION("""COMPUTED_VALUE"""),"Full Self-Driving")</f>
        <v>Full Self-Driving</v>
      </c>
      <c r="S1756" s="149"/>
      <c r="T1756" s="145"/>
      <c r="U1756" s="145"/>
      <c r="V1756" s="145"/>
      <c r="W1756" s="145"/>
      <c r="X1756" s="137" t="str">
        <f>IFERROR(__xludf.DUMMYFUNCTION("""COMPUTED_VALUE"""),"Good")</f>
        <v>Good</v>
      </c>
      <c r="Y1756" s="138" t="str">
        <f>IFERROR(__xludf.DUMMYFUNCTION("""COMPUTED_VALUE"""),"Poor")</f>
        <v>Poor</v>
      </c>
      <c r="Z1756" s="138" t="str">
        <f>IFERROR(__xludf.DUMMYFUNCTION("""COMPUTED_VALUE"""),"Fair")</f>
        <v>Fair</v>
      </c>
      <c r="AA1756" s="138" t="str">
        <f>IFERROR(__xludf.DUMMYFUNCTION("""COMPUTED_VALUE"""),"Good")</f>
        <v>Good</v>
      </c>
      <c r="AB1756" s="138" t="str">
        <f>IFERROR(__xludf.DUMMYFUNCTION("""COMPUTED_VALUE"""),"Fair")</f>
        <v>Fair</v>
      </c>
      <c r="AC1756" s="139">
        <f>IFERROR(__xludf.DUMMYFUNCTION("""COMPUTED_VALUE"""),5.0)</f>
        <v>5</v>
      </c>
      <c r="AD1756" s="139"/>
      <c r="AE1756" s="139"/>
      <c r="AF1756" s="140"/>
      <c r="AG1756" s="145" t="str">
        <f>IFERROR(__xludf.DUMMYFUNCTION("""COMPUTED_VALUE"""),"Found vin in source code on 9/21")</f>
        <v>Found vin in source code on 9/21</v>
      </c>
      <c r="AH1756" s="157">
        <f>IFERROR(__xludf.DUMMYFUNCTION("""COMPUTED_VALUE"""),43735.477555625)</f>
        <v>43735.47756</v>
      </c>
      <c r="AI1756" s="138"/>
      <c r="AJ1756" s="138"/>
      <c r="AK1756" s="138"/>
      <c r="AL1756" s="142"/>
    </row>
    <row r="1757" ht="20.25" customHeight="1">
      <c r="A1757" s="155" t="str">
        <f>IFERROR(__xludf.DUMMYFUNCTION("""COMPUTED_VALUE"""),"FlatIron19")</f>
        <v>FlatIron19</v>
      </c>
      <c r="B1757" s="149" t="str">
        <f>IFERROR(__xludf.DUMMYFUNCTION("""COMPUTED_VALUE"""),"Spokane")</f>
        <v>Spokane</v>
      </c>
      <c r="C1757" s="149" t="str">
        <f>IFERROR(__xludf.DUMMYFUNCTION("""COMPUTED_VALUE"""),"WA")</f>
        <v>WA</v>
      </c>
      <c r="D1757" s="149" t="str">
        <f>IFERROR(__xludf.DUMMYFUNCTION("""COMPUTED_VALUE"""),"USA")</f>
        <v>USA</v>
      </c>
      <c r="E1757" s="156">
        <f>IFERROR(__xludf.DUMMYFUNCTION("""COMPUTED_VALUE"""),43691.0)</f>
        <v>43691</v>
      </c>
      <c r="F1757" s="129">
        <f>IFERROR(__xludf.DUMMYFUNCTION("""COMPUTED_VALUE"""),43729.0)</f>
        <v>43729</v>
      </c>
      <c r="G1757" s="154"/>
      <c r="H1757" s="131">
        <f>IFERROR(__xludf.DUMMYFUNCTION("""COMPUTED_VALUE"""),513448.0)</f>
        <v>513448</v>
      </c>
      <c r="I1757" s="144" t="str">
        <f>IFERROR(__xludf.DUMMYFUNCTION("""COMPUTED_VALUE"""),"09/19")</f>
        <v>09/19</v>
      </c>
      <c r="J1757" s="129">
        <f>IFERROR(__xludf.DUMMYFUNCTION("""COMPUTED_VALUE"""),43736.0)</f>
        <v>43736</v>
      </c>
      <c r="K1757" s="133">
        <f>IFERROR(__xludf.DUMMYFUNCTION("""COMPUTED_VALUE"""),38.0)</f>
        <v>38</v>
      </c>
      <c r="L1757" s="133">
        <f>IFERROR(__xludf.DUMMYFUNCTION("""COMPUTED_VALUE"""),7.0)</f>
        <v>7</v>
      </c>
      <c r="M1757" s="133">
        <f>IFERROR(__xludf.DUMMYFUNCTION("""COMPUTED_VALUE"""),45.0)</f>
        <v>45</v>
      </c>
      <c r="N1757" s="152" t="str">
        <f>IFERROR(__xludf.DUMMYFUNCTION("""COMPUTED_VALUE"""),"Model 3 LR AWD")</f>
        <v>Model 3 LR AWD</v>
      </c>
      <c r="O1757" s="152" t="str">
        <f>IFERROR(__xludf.DUMMYFUNCTION("""COMPUTED_VALUE"""),"Pearl White Multi-Coat")</f>
        <v>Pearl White Multi-Coat</v>
      </c>
      <c r="P1757" s="153" t="str">
        <f>IFERROR(__xludf.DUMMYFUNCTION("""COMPUTED_VALUE"""),"19 inch Sport")</f>
        <v>19 inch Sport</v>
      </c>
      <c r="Q1757" s="152" t="str">
        <f>IFERROR(__xludf.DUMMYFUNCTION("""COMPUTED_VALUE"""),"White seats")</f>
        <v>White seats</v>
      </c>
      <c r="R1757" s="149" t="str">
        <f>IFERROR(__xludf.DUMMYFUNCTION("""COMPUTED_VALUE"""),"Full Self-Driving")</f>
        <v>Full Self-Driving</v>
      </c>
      <c r="S1757" s="149"/>
      <c r="T1757" s="145"/>
      <c r="U1757" s="145"/>
      <c r="V1757" s="145"/>
      <c r="W1757" s="136"/>
      <c r="X1757" s="137" t="str">
        <f>IFERROR(__xludf.DUMMYFUNCTION("""COMPUTED_VALUE"""),"Very Good")</f>
        <v>Very Good</v>
      </c>
      <c r="Y1757" s="138" t="str">
        <f>IFERROR(__xludf.DUMMYFUNCTION("""COMPUTED_VALUE"""),"Excellent")</f>
        <v>Excellent</v>
      </c>
      <c r="Z1757" s="138" t="str">
        <f>IFERROR(__xludf.DUMMYFUNCTION("""COMPUTED_VALUE"""),"Excellent")</f>
        <v>Excellent</v>
      </c>
      <c r="AA1757" s="138" t="str">
        <f>IFERROR(__xludf.DUMMYFUNCTION("""COMPUTED_VALUE"""),"Good")</f>
        <v>Good</v>
      </c>
      <c r="AB1757" s="138" t="str">
        <f>IFERROR(__xludf.DUMMYFUNCTION("""COMPUTED_VALUE"""),"Very Good")</f>
        <v>Very Good</v>
      </c>
      <c r="AC1757" s="139"/>
      <c r="AD1757" s="139"/>
      <c r="AE1757" s="139"/>
      <c r="AF1757" s="140"/>
      <c r="AG1757" s="136"/>
      <c r="AH1757" s="157">
        <f>IFERROR(__xludf.DUMMYFUNCTION("""COMPUTED_VALUE"""),43739.30779962963)</f>
        <v>43739.3078</v>
      </c>
      <c r="AI1757" s="138"/>
      <c r="AJ1757" s="138"/>
      <c r="AK1757" s="138"/>
      <c r="AL1757" s="142"/>
    </row>
    <row r="1758" ht="20.25" customHeight="1">
      <c r="A1758" s="155" t="str">
        <f>IFERROR(__xludf.DUMMYFUNCTION("""COMPUTED_VALUE"""),"NareMnats")</f>
        <v>NareMnats</v>
      </c>
      <c r="B1758" s="149" t="str">
        <f>IFERROR(__xludf.DUMMYFUNCTION("""COMPUTED_VALUE"""),"Los Angeles")</f>
        <v>Los Angeles</v>
      </c>
      <c r="C1758" s="149" t="str">
        <f>IFERROR(__xludf.DUMMYFUNCTION("""COMPUTED_VALUE"""),"CA")</f>
        <v>CA</v>
      </c>
      <c r="D1758" s="149" t="str">
        <f>IFERROR(__xludf.DUMMYFUNCTION("""COMPUTED_VALUE"""),"USA")</f>
        <v>USA</v>
      </c>
      <c r="E1758" s="156">
        <f>IFERROR(__xludf.DUMMYFUNCTION("""COMPUTED_VALUE"""),43691.0)</f>
        <v>43691</v>
      </c>
      <c r="F1758" s="129">
        <f>IFERROR(__xludf.DUMMYFUNCTION("""COMPUTED_VALUE"""),43706.0)</f>
        <v>43706</v>
      </c>
      <c r="G1758" s="154"/>
      <c r="H1758" s="131"/>
      <c r="I1758" s="144"/>
      <c r="J1758" s="129">
        <f>IFERROR(__xludf.DUMMYFUNCTION("""COMPUTED_VALUE"""),43707.0)</f>
        <v>43707</v>
      </c>
      <c r="K1758" s="133">
        <f>IFERROR(__xludf.DUMMYFUNCTION("""COMPUTED_VALUE"""),15.0)</f>
        <v>15</v>
      </c>
      <c r="L1758" s="133">
        <f>IFERROR(__xludf.DUMMYFUNCTION("""COMPUTED_VALUE"""),1.0)</f>
        <v>1</v>
      </c>
      <c r="M1758" s="133">
        <f>IFERROR(__xludf.DUMMYFUNCTION("""COMPUTED_VALUE"""),16.0)</f>
        <v>16</v>
      </c>
      <c r="N1758" s="152" t="str">
        <f>IFERROR(__xludf.DUMMYFUNCTION("""COMPUTED_VALUE"""),"Model 3 SR+")</f>
        <v>Model 3 SR+</v>
      </c>
      <c r="O1758" s="152" t="str">
        <f>IFERROR(__xludf.DUMMYFUNCTION("""COMPUTED_VALUE"""),"Pearl White Multi-Coat")</f>
        <v>Pearl White Multi-Coat</v>
      </c>
      <c r="P1758" s="153" t="str">
        <f>IFERROR(__xludf.DUMMYFUNCTION("""COMPUTED_VALUE"""),"18 inch Aero")</f>
        <v>18 inch Aero</v>
      </c>
      <c r="Q1758" s="152" t="str">
        <f>IFERROR(__xludf.DUMMYFUNCTION("""COMPUTED_VALUE"""),"Black seats")</f>
        <v>Black seats</v>
      </c>
      <c r="R1758" s="149" t="str">
        <f>IFERROR(__xludf.DUMMYFUNCTION("""COMPUTED_VALUE"""),"Autopilot")</f>
        <v>Autopilot</v>
      </c>
      <c r="S1758" s="149"/>
      <c r="T1758" s="145"/>
      <c r="U1758" s="145"/>
      <c r="V1758" s="145"/>
      <c r="W1758" s="136"/>
      <c r="X1758" s="137" t="str">
        <f>IFERROR(__xludf.DUMMYFUNCTION("""COMPUTED_VALUE"""),"Excellent")</f>
        <v>Excellent</v>
      </c>
      <c r="Y1758" s="138" t="str">
        <f>IFERROR(__xludf.DUMMYFUNCTION("""COMPUTED_VALUE"""),"Excellent")</f>
        <v>Excellent</v>
      </c>
      <c r="Z1758" s="138" t="str">
        <f>IFERROR(__xludf.DUMMYFUNCTION("""COMPUTED_VALUE"""),"Very Good")</f>
        <v>Very Good</v>
      </c>
      <c r="AA1758" s="138" t="str">
        <f>IFERROR(__xludf.DUMMYFUNCTION("""COMPUTED_VALUE"""),"Very Good")</f>
        <v>Very Good</v>
      </c>
      <c r="AB1758" s="138" t="str">
        <f>IFERROR(__xludf.DUMMYFUNCTION("""COMPUTED_VALUE"""),"Excellent")</f>
        <v>Excellent</v>
      </c>
      <c r="AC1758" s="139">
        <f>IFERROR(__xludf.DUMMYFUNCTION("""COMPUTED_VALUE"""),1.0)</f>
        <v>1</v>
      </c>
      <c r="AD1758" s="139"/>
      <c r="AE1758" s="139"/>
      <c r="AF1758" s="140"/>
      <c r="AG1758" s="136" t="str">
        <f>IFERROR(__xludf.DUMMYFUNCTION("""COMPUTED_VALUE"""),"Very small paint scratch noticed during delivery that will be fixed once I schedule service.")</f>
        <v>Very small paint scratch noticed during delivery that will be fixed once I schedule service.</v>
      </c>
      <c r="AH1758" s="157">
        <f>IFERROR(__xludf.DUMMYFUNCTION("""COMPUTED_VALUE"""),43708.59275443287)</f>
        <v>43708.59275</v>
      </c>
      <c r="AI1758" s="138"/>
      <c r="AJ1758" s="138"/>
      <c r="AK1758" s="138"/>
      <c r="AL1758" s="142"/>
    </row>
    <row r="1759" ht="20.25" customHeight="1">
      <c r="A1759" s="155" t="str">
        <f>IFERROR(__xludf.DUMMYFUNCTION("""COMPUTED_VALUE"""),"PR")</f>
        <v>PR</v>
      </c>
      <c r="B1759" s="149" t="str">
        <f>IFERROR(__xludf.DUMMYFUNCTION("""COMPUTED_VALUE"""),"Charlottesville")</f>
        <v>Charlottesville</v>
      </c>
      <c r="C1759" s="149" t="str">
        <f>IFERROR(__xludf.DUMMYFUNCTION("""COMPUTED_VALUE"""),"VA")</f>
        <v>VA</v>
      </c>
      <c r="D1759" s="149" t="str">
        <f>IFERROR(__xludf.DUMMYFUNCTION("""COMPUTED_VALUE"""),"USA")</f>
        <v>USA</v>
      </c>
      <c r="E1759" s="156">
        <f>IFERROR(__xludf.DUMMYFUNCTION("""COMPUTED_VALUE"""),43691.0)</f>
        <v>43691</v>
      </c>
      <c r="F1759" s="129">
        <f>IFERROR(__xludf.DUMMYFUNCTION("""COMPUTED_VALUE"""),43719.0)</f>
        <v>43719</v>
      </c>
      <c r="G1759" s="154"/>
      <c r="H1759" s="131">
        <f>IFERROR(__xludf.DUMMYFUNCTION("""COMPUTED_VALUE"""),441355.0)</f>
        <v>441355</v>
      </c>
      <c r="I1759" s="132" t="str">
        <f>IFERROR(__xludf.DUMMYFUNCTION("""COMPUTED_VALUE"""),"09/19")</f>
        <v>09/19</v>
      </c>
      <c r="J1759" s="129">
        <f>IFERROR(__xludf.DUMMYFUNCTION("""COMPUTED_VALUE"""),43727.0)</f>
        <v>43727</v>
      </c>
      <c r="K1759" s="133">
        <f>IFERROR(__xludf.DUMMYFUNCTION("""COMPUTED_VALUE"""),28.0)</f>
        <v>28</v>
      </c>
      <c r="L1759" s="133">
        <f>IFERROR(__xludf.DUMMYFUNCTION("""COMPUTED_VALUE"""),8.0)</f>
        <v>8</v>
      </c>
      <c r="M1759" s="133">
        <f>IFERROR(__xludf.DUMMYFUNCTION("""COMPUTED_VALUE"""),36.0)</f>
        <v>36</v>
      </c>
      <c r="N1759" s="152" t="str">
        <f>IFERROR(__xludf.DUMMYFUNCTION("""COMPUTED_VALUE"""),"Model 3 Performance")</f>
        <v>Model 3 Performance</v>
      </c>
      <c r="O1759" s="152" t="str">
        <f>IFERROR(__xludf.DUMMYFUNCTION("""COMPUTED_VALUE"""),"Midnight Silver Metallic")</f>
        <v>Midnight Silver Metallic</v>
      </c>
      <c r="P1759" s="153" t="str">
        <f>IFERROR(__xludf.DUMMYFUNCTION("""COMPUTED_VALUE"""),"20 inch Sport")</f>
        <v>20 inch Sport</v>
      </c>
      <c r="Q1759" s="152" t="str">
        <f>IFERROR(__xludf.DUMMYFUNCTION("""COMPUTED_VALUE"""),"Black seats")</f>
        <v>Black seats</v>
      </c>
      <c r="R1759" s="150" t="str">
        <f>IFERROR(__xludf.DUMMYFUNCTION("""COMPUTED_VALUE"""),"Full Self-Driving")</f>
        <v>Full Self-Driving</v>
      </c>
      <c r="S1759" s="150"/>
      <c r="T1759" s="136"/>
      <c r="U1759" s="136"/>
      <c r="V1759" s="136"/>
      <c r="W1759" s="136"/>
      <c r="X1759" s="137" t="str">
        <f>IFERROR(__xludf.DUMMYFUNCTION("""COMPUTED_VALUE"""),"Excellent")</f>
        <v>Excellent</v>
      </c>
      <c r="Y1759" s="138" t="str">
        <f>IFERROR(__xludf.DUMMYFUNCTION("""COMPUTED_VALUE"""),"Excellent")</f>
        <v>Excellent</v>
      </c>
      <c r="Z1759" s="138" t="str">
        <f>IFERROR(__xludf.DUMMYFUNCTION("""COMPUTED_VALUE"""),"Very Good")</f>
        <v>Very Good</v>
      </c>
      <c r="AA1759" s="138" t="str">
        <f>IFERROR(__xludf.DUMMYFUNCTION("""COMPUTED_VALUE"""),"Very Good")</f>
        <v>Very Good</v>
      </c>
      <c r="AB1759" s="138" t="str">
        <f>IFERROR(__xludf.DUMMYFUNCTION("""COMPUTED_VALUE"""),"Very Good")</f>
        <v>Very Good</v>
      </c>
      <c r="AC1759" s="139"/>
      <c r="AD1759" s="139"/>
      <c r="AE1759" s="139"/>
      <c r="AF1759" s="140"/>
      <c r="AG1759" s="136"/>
      <c r="AH1759" s="157">
        <f>IFERROR(__xludf.DUMMYFUNCTION("""COMPUTED_VALUE"""),43728.65674041666)</f>
        <v>43728.65674</v>
      </c>
      <c r="AI1759" s="138"/>
      <c r="AJ1759" s="138"/>
      <c r="AK1759" s="138"/>
      <c r="AL1759" s="142"/>
    </row>
    <row r="1760" ht="20.25" customHeight="1">
      <c r="A1760" s="155" t="str">
        <f>IFERROR(__xludf.DUMMYFUNCTION("""COMPUTED_VALUE"""),"yourmother")</f>
        <v>yourmother</v>
      </c>
      <c r="B1760" s="149" t="str">
        <f>IFERROR(__xludf.DUMMYFUNCTION("""COMPUTED_VALUE"""),"Franklin")</f>
        <v>Franklin</v>
      </c>
      <c r="C1760" s="149" t="str">
        <f>IFERROR(__xludf.DUMMYFUNCTION("""COMPUTED_VALUE"""),"TN")</f>
        <v>TN</v>
      </c>
      <c r="D1760" s="149" t="str">
        <f>IFERROR(__xludf.DUMMYFUNCTION("""COMPUTED_VALUE"""),"USA")</f>
        <v>USA</v>
      </c>
      <c r="E1760" s="156">
        <f>IFERROR(__xludf.DUMMYFUNCTION("""COMPUTED_VALUE"""),43691.0)</f>
        <v>43691</v>
      </c>
      <c r="F1760" s="129">
        <f>IFERROR(__xludf.DUMMYFUNCTION("""COMPUTED_VALUE"""),43691.0)</f>
        <v>43691</v>
      </c>
      <c r="G1760" s="154"/>
      <c r="H1760" s="131">
        <f>IFERROR(__xludf.DUMMYFUNCTION("""COMPUTED_VALUE"""),426915.0)</f>
        <v>426915</v>
      </c>
      <c r="I1760" s="144"/>
      <c r="J1760" s="129">
        <f>IFERROR(__xludf.DUMMYFUNCTION("""COMPUTED_VALUE"""),43692.0)</f>
        <v>43692</v>
      </c>
      <c r="K1760" s="133">
        <f>IFERROR(__xludf.DUMMYFUNCTION("""COMPUTED_VALUE"""),0.0)</f>
        <v>0</v>
      </c>
      <c r="L1760" s="133">
        <f>IFERROR(__xludf.DUMMYFUNCTION("""COMPUTED_VALUE"""),1.0)</f>
        <v>1</v>
      </c>
      <c r="M1760" s="133">
        <f>IFERROR(__xludf.DUMMYFUNCTION("""COMPUTED_VALUE"""),1.0)</f>
        <v>1</v>
      </c>
      <c r="N1760" s="152" t="str">
        <f>IFERROR(__xludf.DUMMYFUNCTION("""COMPUTED_VALUE"""),"Model 3 SR+")</f>
        <v>Model 3 SR+</v>
      </c>
      <c r="O1760" s="152" t="str">
        <f>IFERROR(__xludf.DUMMYFUNCTION("""COMPUTED_VALUE"""),"Deep Blue Metallic")</f>
        <v>Deep Blue Metallic</v>
      </c>
      <c r="P1760" s="153" t="str">
        <f>IFERROR(__xludf.DUMMYFUNCTION("""COMPUTED_VALUE"""),"18 inch Aero")</f>
        <v>18 inch Aero</v>
      </c>
      <c r="Q1760" s="152" t="str">
        <f>IFERROR(__xludf.DUMMYFUNCTION("""COMPUTED_VALUE"""),"Black seats")</f>
        <v>Black seats</v>
      </c>
      <c r="R1760" s="149" t="str">
        <f>IFERROR(__xludf.DUMMYFUNCTION("""COMPUTED_VALUE"""),"Autopilot")</f>
        <v>Autopilot</v>
      </c>
      <c r="S1760" s="149"/>
      <c r="T1760" s="145"/>
      <c r="U1760" s="145"/>
      <c r="V1760" s="145"/>
      <c r="W1760" s="136"/>
      <c r="X1760" s="137" t="str">
        <f>IFERROR(__xludf.DUMMYFUNCTION("""COMPUTED_VALUE"""),"Excellent")</f>
        <v>Excellent</v>
      </c>
      <c r="Y1760" s="138" t="str">
        <f>IFERROR(__xludf.DUMMYFUNCTION("""COMPUTED_VALUE"""),"Excellent")</f>
        <v>Excellent</v>
      </c>
      <c r="Z1760" s="138" t="str">
        <f>IFERROR(__xludf.DUMMYFUNCTION("""COMPUTED_VALUE"""),"Excellent")</f>
        <v>Excellent</v>
      </c>
      <c r="AA1760" s="138" t="str">
        <f>IFERROR(__xludf.DUMMYFUNCTION("""COMPUTED_VALUE"""),"Excellent")</f>
        <v>Excellent</v>
      </c>
      <c r="AB1760" s="138" t="str">
        <f>IFERROR(__xludf.DUMMYFUNCTION("""COMPUTED_VALUE"""),"Excellent")</f>
        <v>Excellent</v>
      </c>
      <c r="AC1760" s="139">
        <f>IFERROR(__xludf.DUMMYFUNCTION("""COMPUTED_VALUE"""),0.0)</f>
        <v>0</v>
      </c>
      <c r="AD1760" s="139">
        <f>IFERROR(__xludf.DUMMYFUNCTION("""COMPUTED_VALUE"""),0.0)</f>
        <v>0</v>
      </c>
      <c r="AE1760" s="139">
        <f>IFERROR(__xludf.DUMMYFUNCTION("""COMPUTED_VALUE"""),0.0)</f>
        <v>0</v>
      </c>
      <c r="AF1760" s="140"/>
      <c r="AG1760" s="136" t="str">
        <f>IFERROR(__xludf.DUMMYFUNCTION("""COMPUTED_VALUE"""),"SO far, so good")</f>
        <v>SO far, so good</v>
      </c>
      <c r="AH1760" s="157">
        <f>IFERROR(__xludf.DUMMYFUNCTION("""COMPUTED_VALUE"""),43711.30339606482)</f>
        <v>43711.3034</v>
      </c>
      <c r="AI1760" s="138"/>
      <c r="AJ1760" s="138"/>
      <c r="AK1760" s="138"/>
      <c r="AL1760" s="142"/>
    </row>
    <row r="1761" ht="20.25" customHeight="1">
      <c r="A1761" s="155" t="str">
        <f>IFERROR(__xludf.DUMMYFUNCTION("""COMPUTED_VALUE"""),"autonymous")</f>
        <v>autonymous</v>
      </c>
      <c r="B1761" s="149"/>
      <c r="C1761" s="149" t="str">
        <f>IFERROR(__xludf.DUMMYFUNCTION("""COMPUTED_VALUE"""),"VA")</f>
        <v>VA</v>
      </c>
      <c r="D1761" s="149" t="str">
        <f>IFERROR(__xludf.DUMMYFUNCTION("""COMPUTED_VALUE"""),"USA")</f>
        <v>USA</v>
      </c>
      <c r="E1761" s="156">
        <f>IFERROR(__xludf.DUMMYFUNCTION("""COMPUTED_VALUE"""),43690.0)</f>
        <v>43690</v>
      </c>
      <c r="F1761" s="129">
        <f>IFERROR(__xludf.DUMMYFUNCTION("""COMPUTED_VALUE"""),43718.0)</f>
        <v>43718</v>
      </c>
      <c r="G1761" s="154"/>
      <c r="H1761" s="131">
        <f>IFERROR(__xludf.DUMMYFUNCTION("""COMPUTED_VALUE"""),470055.0)</f>
        <v>470055</v>
      </c>
      <c r="I1761" s="132"/>
      <c r="J1761" s="129">
        <f>IFERROR(__xludf.DUMMYFUNCTION("""COMPUTED_VALUE"""),43725.0)</f>
        <v>43725</v>
      </c>
      <c r="K1761" s="133">
        <f>IFERROR(__xludf.DUMMYFUNCTION("""COMPUTED_VALUE"""),28.0)</f>
        <v>28</v>
      </c>
      <c r="L1761" s="133">
        <f>IFERROR(__xludf.DUMMYFUNCTION("""COMPUTED_VALUE"""),7.0)</f>
        <v>7</v>
      </c>
      <c r="M1761" s="133">
        <f>IFERROR(__xludf.DUMMYFUNCTION("""COMPUTED_VALUE"""),35.0)</f>
        <v>35</v>
      </c>
      <c r="N1761" s="152" t="str">
        <f>IFERROR(__xludf.DUMMYFUNCTION("""COMPUTED_VALUE"""),"Model 3 Performance")</f>
        <v>Model 3 Performance</v>
      </c>
      <c r="O1761" s="152" t="str">
        <f>IFERROR(__xludf.DUMMYFUNCTION("""COMPUTED_VALUE"""),"Pearl White Multi-Coat")</f>
        <v>Pearl White Multi-Coat</v>
      </c>
      <c r="P1761" s="153" t="str">
        <f>IFERROR(__xludf.DUMMYFUNCTION("""COMPUTED_VALUE"""),"20 inch Sport")</f>
        <v>20 inch Sport</v>
      </c>
      <c r="Q1761" s="152" t="str">
        <f>IFERROR(__xludf.DUMMYFUNCTION("""COMPUTED_VALUE"""),"Black seats")</f>
        <v>Black seats</v>
      </c>
      <c r="R1761" s="150" t="str">
        <f>IFERROR(__xludf.DUMMYFUNCTION("""COMPUTED_VALUE"""),"Full Self-Driving")</f>
        <v>Full Self-Driving</v>
      </c>
      <c r="S1761" s="150"/>
      <c r="T1761" s="136"/>
      <c r="U1761" s="136"/>
      <c r="V1761" s="136"/>
      <c r="W1761" s="136"/>
      <c r="X1761" s="137"/>
      <c r="Y1761" s="138"/>
      <c r="Z1761" s="138"/>
      <c r="AA1761" s="138" t="str">
        <f>IFERROR(__xludf.DUMMYFUNCTION("""COMPUTED_VALUE"""),"Poor")</f>
        <v>Poor</v>
      </c>
      <c r="AB1761" s="138"/>
      <c r="AC1761" s="139"/>
      <c r="AD1761" s="139"/>
      <c r="AE1761" s="139"/>
      <c r="AF1761" s="140"/>
      <c r="AG1761" s="136"/>
      <c r="AH1761" s="157">
        <f>IFERROR(__xludf.DUMMYFUNCTION("""COMPUTED_VALUE"""),43719.763991597225)</f>
        <v>43719.76399</v>
      </c>
      <c r="AI1761" s="138"/>
      <c r="AJ1761" s="138"/>
      <c r="AK1761" s="138"/>
      <c r="AL1761" s="142"/>
    </row>
    <row r="1762" ht="20.25" customHeight="1">
      <c r="A1762" s="155" t="str">
        <f>IFERROR(__xludf.DUMMYFUNCTION("""COMPUTED_VALUE"""),"Ed")</f>
        <v>Ed</v>
      </c>
      <c r="B1762" s="149" t="str">
        <f>IFERROR(__xludf.DUMMYFUNCTION("""COMPUTED_VALUE"""),"Livermore")</f>
        <v>Livermore</v>
      </c>
      <c r="C1762" s="149" t="str">
        <f>IFERROR(__xludf.DUMMYFUNCTION("""COMPUTED_VALUE"""),"CA")</f>
        <v>CA</v>
      </c>
      <c r="D1762" s="149" t="str">
        <f>IFERROR(__xludf.DUMMYFUNCTION("""COMPUTED_VALUE"""),"USA")</f>
        <v>USA</v>
      </c>
      <c r="E1762" s="156">
        <f>IFERROR(__xludf.DUMMYFUNCTION("""COMPUTED_VALUE"""),43690.0)</f>
        <v>43690</v>
      </c>
      <c r="F1762" s="129">
        <f>IFERROR(__xludf.DUMMYFUNCTION("""COMPUTED_VALUE"""),43723.0)</f>
        <v>43723</v>
      </c>
      <c r="G1762" s="154"/>
      <c r="H1762" s="131">
        <f>IFERROR(__xludf.DUMMYFUNCTION("""COMPUTED_VALUE"""),530271.0)</f>
        <v>530271</v>
      </c>
      <c r="I1762" s="144"/>
      <c r="J1762" s="129">
        <f>IFERROR(__xludf.DUMMYFUNCTION("""COMPUTED_VALUE"""),43724.0)</f>
        <v>43724</v>
      </c>
      <c r="K1762" s="133">
        <f>IFERROR(__xludf.DUMMYFUNCTION("""COMPUTED_VALUE"""),33.0)</f>
        <v>33</v>
      </c>
      <c r="L1762" s="133">
        <f>IFERROR(__xludf.DUMMYFUNCTION("""COMPUTED_VALUE"""),1.0)</f>
        <v>1</v>
      </c>
      <c r="M1762" s="133">
        <f>IFERROR(__xludf.DUMMYFUNCTION("""COMPUTED_VALUE"""),34.0)</f>
        <v>34</v>
      </c>
      <c r="N1762" s="152" t="str">
        <f>IFERROR(__xludf.DUMMYFUNCTION("""COMPUTED_VALUE"""),"Model 3 Performance")</f>
        <v>Model 3 Performance</v>
      </c>
      <c r="O1762" s="152" t="str">
        <f>IFERROR(__xludf.DUMMYFUNCTION("""COMPUTED_VALUE"""),"Pearl White Multi-Coat")</f>
        <v>Pearl White Multi-Coat</v>
      </c>
      <c r="P1762" s="153" t="str">
        <f>IFERROR(__xludf.DUMMYFUNCTION("""COMPUTED_VALUE"""),"19 inch Sport")</f>
        <v>19 inch Sport</v>
      </c>
      <c r="Q1762" s="152" t="str">
        <f>IFERROR(__xludf.DUMMYFUNCTION("""COMPUTED_VALUE"""),"Black seats")</f>
        <v>Black seats</v>
      </c>
      <c r="R1762" s="149" t="str">
        <f>IFERROR(__xludf.DUMMYFUNCTION("""COMPUTED_VALUE"""),"Full Self-Driving")</f>
        <v>Full Self-Driving</v>
      </c>
      <c r="S1762" s="149"/>
      <c r="T1762" s="145"/>
      <c r="U1762" s="145"/>
      <c r="V1762" s="145"/>
      <c r="W1762" s="136"/>
      <c r="X1762" s="137" t="str">
        <f>IFERROR(__xludf.DUMMYFUNCTION("""COMPUTED_VALUE"""),"Very Good")</f>
        <v>Very Good</v>
      </c>
      <c r="Y1762" s="138" t="str">
        <f>IFERROR(__xludf.DUMMYFUNCTION("""COMPUTED_VALUE"""),"Excellent")</f>
        <v>Excellent</v>
      </c>
      <c r="Z1762" s="138" t="str">
        <f>IFERROR(__xludf.DUMMYFUNCTION("""COMPUTED_VALUE"""),"Excellent")</f>
        <v>Excellent</v>
      </c>
      <c r="AA1762" s="138" t="str">
        <f>IFERROR(__xludf.DUMMYFUNCTION("""COMPUTED_VALUE"""),"Fair")</f>
        <v>Fair</v>
      </c>
      <c r="AB1762" s="138" t="str">
        <f>IFERROR(__xludf.DUMMYFUNCTION("""COMPUTED_VALUE"""),"Fair")</f>
        <v>Fair</v>
      </c>
      <c r="AC1762" s="139"/>
      <c r="AD1762" s="139"/>
      <c r="AE1762" s="139"/>
      <c r="AF1762" s="140"/>
      <c r="AG1762" s="145" t="str">
        <f>IFERROR(__xludf.DUMMYFUNCTION("""COMPUTED_VALUE"""),"Delivery called me on 9/15 and asked if I would take a stealth PM3 with no red calipers In short supply now or CF spoiler or wait 2-3 more weeks, I took the Stealth!")</f>
        <v>Delivery called me on 9/15 and asked if I would take a stealth PM3 with no red calipers In short supply now or CF spoiler or wait 2-3 more weeks, I took the Stealth!</v>
      </c>
      <c r="AH1762" s="157">
        <f>IFERROR(__xludf.DUMMYFUNCTION("""COMPUTED_VALUE"""),43725.81683865741)</f>
        <v>43725.81684</v>
      </c>
      <c r="AI1762" s="138"/>
      <c r="AJ1762" s="138"/>
      <c r="AK1762" s="138"/>
      <c r="AL1762" s="142"/>
    </row>
    <row r="1763" ht="20.25" customHeight="1">
      <c r="A1763" s="155" t="str">
        <f>IFERROR(__xludf.DUMMYFUNCTION("""COMPUTED_VALUE"""),"HelpSlipFrank")</f>
        <v>HelpSlipFrank</v>
      </c>
      <c r="B1763" s="149" t="str">
        <f>IFERROR(__xludf.DUMMYFUNCTION("""COMPUTED_VALUE"""),"Denver")</f>
        <v>Denver</v>
      </c>
      <c r="C1763" s="149" t="str">
        <f>IFERROR(__xludf.DUMMYFUNCTION("""COMPUTED_VALUE"""),"CO")</f>
        <v>CO</v>
      </c>
      <c r="D1763" s="149" t="str">
        <f>IFERROR(__xludf.DUMMYFUNCTION("""COMPUTED_VALUE"""),"USA")</f>
        <v>USA</v>
      </c>
      <c r="E1763" s="156">
        <f>IFERROR(__xludf.DUMMYFUNCTION("""COMPUTED_VALUE"""),43690.0)</f>
        <v>43690</v>
      </c>
      <c r="F1763" s="129">
        <f>IFERROR(__xludf.DUMMYFUNCTION("""COMPUTED_VALUE"""),43728.0)</f>
        <v>43728</v>
      </c>
      <c r="G1763" s="154"/>
      <c r="H1763" s="131">
        <f>IFERROR(__xludf.DUMMYFUNCTION("""COMPUTED_VALUE"""),487255.0)</f>
        <v>487255</v>
      </c>
      <c r="I1763" s="144"/>
      <c r="J1763" s="129">
        <f>IFERROR(__xludf.DUMMYFUNCTION("""COMPUTED_VALUE"""),43731.0)</f>
        <v>43731</v>
      </c>
      <c r="K1763" s="133">
        <f>IFERROR(__xludf.DUMMYFUNCTION("""COMPUTED_VALUE"""),38.0)</f>
        <v>38</v>
      </c>
      <c r="L1763" s="133">
        <f>IFERROR(__xludf.DUMMYFUNCTION("""COMPUTED_VALUE"""),3.0)</f>
        <v>3</v>
      </c>
      <c r="M1763" s="133">
        <f>IFERROR(__xludf.DUMMYFUNCTION("""COMPUTED_VALUE"""),41.0)</f>
        <v>41</v>
      </c>
      <c r="N1763" s="152" t="str">
        <f>IFERROR(__xludf.DUMMYFUNCTION("""COMPUTED_VALUE"""),"Model 3 Performance")</f>
        <v>Model 3 Performance</v>
      </c>
      <c r="O1763" s="152" t="str">
        <f>IFERROR(__xludf.DUMMYFUNCTION("""COMPUTED_VALUE"""),"Pearl White Multi-Coat")</f>
        <v>Pearl White Multi-Coat</v>
      </c>
      <c r="P1763" s="153" t="str">
        <f>IFERROR(__xludf.DUMMYFUNCTION("""COMPUTED_VALUE"""),"20 inch Sport")</f>
        <v>20 inch Sport</v>
      </c>
      <c r="Q1763" s="152" t="str">
        <f>IFERROR(__xludf.DUMMYFUNCTION("""COMPUTED_VALUE"""),"Black seats")</f>
        <v>Black seats</v>
      </c>
      <c r="R1763" s="149" t="str">
        <f>IFERROR(__xludf.DUMMYFUNCTION("""COMPUTED_VALUE"""),"Full Self-Driving")</f>
        <v>Full Self-Driving</v>
      </c>
      <c r="S1763" s="149"/>
      <c r="T1763" s="145"/>
      <c r="U1763" s="145"/>
      <c r="V1763" s="145"/>
      <c r="W1763" s="136"/>
      <c r="X1763" s="158" t="str">
        <f>IFERROR(__xludf.DUMMYFUNCTION("""COMPUTED_VALUE"""),"Fair")</f>
        <v>Fair</v>
      </c>
      <c r="Y1763" s="138" t="str">
        <f>IFERROR(__xludf.DUMMYFUNCTION("""COMPUTED_VALUE"""),"Excellent")</f>
        <v>Excellent</v>
      </c>
      <c r="Z1763" s="138" t="str">
        <f>IFERROR(__xludf.DUMMYFUNCTION("""COMPUTED_VALUE"""),"Very Good")</f>
        <v>Very Good</v>
      </c>
      <c r="AA1763" s="138" t="str">
        <f>IFERROR(__xludf.DUMMYFUNCTION("""COMPUTED_VALUE"""),"Fair")</f>
        <v>Fair</v>
      </c>
      <c r="AB1763" s="138" t="str">
        <f>IFERROR(__xludf.DUMMYFUNCTION("""COMPUTED_VALUE"""),"Very Good")</f>
        <v>Very Good</v>
      </c>
      <c r="AC1763" s="139"/>
      <c r="AD1763" s="139"/>
      <c r="AE1763" s="139"/>
      <c r="AF1763" s="140"/>
      <c r="AG1763" s="136"/>
      <c r="AH1763" s="157">
        <f>IFERROR(__xludf.DUMMYFUNCTION("""COMPUTED_VALUE"""),43732.27796403936)</f>
        <v>43732.27796</v>
      </c>
      <c r="AI1763" s="138"/>
      <c r="AJ1763" s="138"/>
      <c r="AK1763" s="138"/>
      <c r="AL1763" s="142"/>
    </row>
    <row r="1764" ht="20.25" customHeight="1">
      <c r="A1764" s="155" t="str">
        <f>IFERROR(__xludf.DUMMYFUNCTION("""COMPUTED_VALUE"""),"ashovik")</f>
        <v>ashovik</v>
      </c>
      <c r="B1764" s="149" t="str">
        <f>IFERROR(__xludf.DUMMYFUNCTION("""COMPUTED_VALUE"""),"Draper")</f>
        <v>Draper</v>
      </c>
      <c r="C1764" s="149" t="str">
        <f>IFERROR(__xludf.DUMMYFUNCTION("""COMPUTED_VALUE"""),"UT")</f>
        <v>UT</v>
      </c>
      <c r="D1764" s="149" t="str">
        <f>IFERROR(__xludf.DUMMYFUNCTION("""COMPUTED_VALUE"""),"USA")</f>
        <v>USA</v>
      </c>
      <c r="E1764" s="156">
        <f>IFERROR(__xludf.DUMMYFUNCTION("""COMPUTED_VALUE"""),43689.0)</f>
        <v>43689</v>
      </c>
      <c r="F1764" s="129">
        <f>IFERROR(__xludf.DUMMYFUNCTION("""COMPUTED_VALUE"""),43720.0)</f>
        <v>43720</v>
      </c>
      <c r="G1764" s="154"/>
      <c r="H1764" s="131">
        <f>IFERROR(__xludf.DUMMYFUNCTION("""COMPUTED_VALUE"""),481355.0)</f>
        <v>481355</v>
      </c>
      <c r="I1764" s="144"/>
      <c r="J1764" s="129">
        <f>IFERROR(__xludf.DUMMYFUNCTION("""COMPUTED_VALUE"""),43721.0)</f>
        <v>43721</v>
      </c>
      <c r="K1764" s="133">
        <f>IFERROR(__xludf.DUMMYFUNCTION("""COMPUTED_VALUE"""),31.0)</f>
        <v>31</v>
      </c>
      <c r="L1764" s="133">
        <f>IFERROR(__xludf.DUMMYFUNCTION("""COMPUTED_VALUE"""),1.0)</f>
        <v>1</v>
      </c>
      <c r="M1764" s="133">
        <f>IFERROR(__xludf.DUMMYFUNCTION("""COMPUTED_VALUE"""),32.0)</f>
        <v>32</v>
      </c>
      <c r="N1764" s="152" t="str">
        <f>IFERROR(__xludf.DUMMYFUNCTION("""COMPUTED_VALUE"""),"Model 3 LR AWD")</f>
        <v>Model 3 LR AWD</v>
      </c>
      <c r="O1764" s="152" t="str">
        <f>IFERROR(__xludf.DUMMYFUNCTION("""COMPUTED_VALUE"""),"Midnight Silver Metallic")</f>
        <v>Midnight Silver Metallic</v>
      </c>
      <c r="P1764" s="153" t="str">
        <f>IFERROR(__xludf.DUMMYFUNCTION("""COMPUTED_VALUE"""),"18 inch Aero")</f>
        <v>18 inch Aero</v>
      </c>
      <c r="Q1764" s="152" t="str">
        <f>IFERROR(__xludf.DUMMYFUNCTION("""COMPUTED_VALUE"""),"Black seats")</f>
        <v>Black seats</v>
      </c>
      <c r="R1764" s="149" t="str">
        <f>IFERROR(__xludf.DUMMYFUNCTION("""COMPUTED_VALUE"""),"Full Self-Driving")</f>
        <v>Full Self-Driving</v>
      </c>
      <c r="S1764" s="149"/>
      <c r="T1764" s="145"/>
      <c r="U1764" s="145"/>
      <c r="V1764" s="145"/>
      <c r="W1764" s="136"/>
      <c r="X1764" s="137" t="str">
        <f>IFERROR(__xludf.DUMMYFUNCTION("""COMPUTED_VALUE"""),"Excellent")</f>
        <v>Excellent</v>
      </c>
      <c r="Y1764" s="138" t="str">
        <f>IFERROR(__xludf.DUMMYFUNCTION("""COMPUTED_VALUE"""),"Very Good")</f>
        <v>Very Good</v>
      </c>
      <c r="Z1764" s="138" t="str">
        <f>IFERROR(__xludf.DUMMYFUNCTION("""COMPUTED_VALUE"""),"Excellent")</f>
        <v>Excellent</v>
      </c>
      <c r="AA1764" s="138" t="str">
        <f>IFERROR(__xludf.DUMMYFUNCTION("""COMPUTED_VALUE"""),"Excellent")</f>
        <v>Excellent</v>
      </c>
      <c r="AB1764" s="138" t="str">
        <f>IFERROR(__xludf.DUMMYFUNCTION("""COMPUTED_VALUE"""),"Excellent")</f>
        <v>Excellent</v>
      </c>
      <c r="AC1764" s="139"/>
      <c r="AD1764" s="139"/>
      <c r="AE1764" s="139"/>
      <c r="AF1764" s="140"/>
      <c r="AG1764" s="136"/>
      <c r="AH1764" s="157">
        <f>IFERROR(__xludf.DUMMYFUNCTION("""COMPUTED_VALUE"""),43721.61183527778)</f>
        <v>43721.61184</v>
      </c>
      <c r="AI1764" s="138"/>
      <c r="AJ1764" s="138"/>
      <c r="AK1764" s="138"/>
      <c r="AL1764" s="142"/>
    </row>
    <row r="1765" ht="20.25" customHeight="1">
      <c r="A1765" s="155" t="str">
        <f>IFERROR(__xludf.DUMMYFUNCTION("""COMPUTED_VALUE"""),"Gotham")</f>
        <v>Gotham</v>
      </c>
      <c r="B1765" s="149" t="str">
        <f>IFERROR(__xludf.DUMMYFUNCTION("""COMPUTED_VALUE"""),"San Jose")</f>
        <v>San Jose</v>
      </c>
      <c r="C1765" s="149" t="str">
        <f>IFERROR(__xludf.DUMMYFUNCTION("""COMPUTED_VALUE"""),"CA")</f>
        <v>CA</v>
      </c>
      <c r="D1765" s="149" t="str">
        <f>IFERROR(__xludf.DUMMYFUNCTION("""COMPUTED_VALUE"""),"USA")</f>
        <v>USA</v>
      </c>
      <c r="E1765" s="156">
        <f>IFERROR(__xludf.DUMMYFUNCTION("""COMPUTED_VALUE"""),43689.0)</f>
        <v>43689</v>
      </c>
      <c r="F1765" s="129">
        <f>IFERROR(__xludf.DUMMYFUNCTION("""COMPUTED_VALUE"""),43692.0)</f>
        <v>43692</v>
      </c>
      <c r="G1765" s="154"/>
      <c r="H1765" s="131"/>
      <c r="I1765" s="132"/>
      <c r="J1765" s="129">
        <f>IFERROR(__xludf.DUMMYFUNCTION("""COMPUTED_VALUE"""),43693.0)</f>
        <v>43693</v>
      </c>
      <c r="K1765" s="133">
        <f>IFERROR(__xludf.DUMMYFUNCTION("""COMPUTED_VALUE"""),3.0)</f>
        <v>3</v>
      </c>
      <c r="L1765" s="133">
        <f>IFERROR(__xludf.DUMMYFUNCTION("""COMPUTED_VALUE"""),1.0)</f>
        <v>1</v>
      </c>
      <c r="M1765" s="133">
        <f>IFERROR(__xludf.DUMMYFUNCTION("""COMPUTED_VALUE"""),4.0)</f>
        <v>4</v>
      </c>
      <c r="N1765" s="152" t="str">
        <f>IFERROR(__xludf.DUMMYFUNCTION("""COMPUTED_VALUE"""),"Model 3 LR AWD")</f>
        <v>Model 3 LR AWD</v>
      </c>
      <c r="O1765" s="152" t="str">
        <f>IFERROR(__xludf.DUMMYFUNCTION("""COMPUTED_VALUE"""),"Midnight Silver Metallic")</f>
        <v>Midnight Silver Metallic</v>
      </c>
      <c r="P1765" s="153" t="str">
        <f>IFERROR(__xludf.DUMMYFUNCTION("""COMPUTED_VALUE"""),"18 inch Aero")</f>
        <v>18 inch Aero</v>
      </c>
      <c r="Q1765" s="152" t="str">
        <f>IFERROR(__xludf.DUMMYFUNCTION("""COMPUTED_VALUE"""),"Black seats")</f>
        <v>Black seats</v>
      </c>
      <c r="R1765" s="150" t="str">
        <f>IFERROR(__xludf.DUMMYFUNCTION("""COMPUTED_VALUE"""),"Autopilot")</f>
        <v>Autopilot</v>
      </c>
      <c r="S1765" s="150"/>
      <c r="T1765" s="136"/>
      <c r="U1765" s="136"/>
      <c r="V1765" s="136"/>
      <c r="W1765" s="136"/>
      <c r="X1765" s="137" t="str">
        <f>IFERROR(__xludf.DUMMYFUNCTION("""COMPUTED_VALUE"""),"Excellent")</f>
        <v>Excellent</v>
      </c>
      <c r="Y1765" s="138" t="str">
        <f>IFERROR(__xludf.DUMMYFUNCTION("""COMPUTED_VALUE"""),"Excellent")</f>
        <v>Excellent</v>
      </c>
      <c r="Z1765" s="138" t="str">
        <f>IFERROR(__xludf.DUMMYFUNCTION("""COMPUTED_VALUE"""),"Excellent")</f>
        <v>Excellent</v>
      </c>
      <c r="AA1765" s="138" t="str">
        <f>IFERROR(__xludf.DUMMYFUNCTION("""COMPUTED_VALUE"""),"Excellent")</f>
        <v>Excellent</v>
      </c>
      <c r="AB1765" s="138" t="str">
        <f>IFERROR(__xludf.DUMMYFUNCTION("""COMPUTED_VALUE"""),"Excellent")</f>
        <v>Excellent</v>
      </c>
      <c r="AC1765" s="139">
        <f>IFERROR(__xludf.DUMMYFUNCTION("""COMPUTED_VALUE"""),0.0)</f>
        <v>0</v>
      </c>
      <c r="AD1765" s="139">
        <f>IFERROR(__xludf.DUMMYFUNCTION("""COMPUTED_VALUE"""),0.0)</f>
        <v>0</v>
      </c>
      <c r="AE1765" s="139"/>
      <c r="AF1765" s="140"/>
      <c r="AG1765" s="136"/>
      <c r="AH1765" s="157">
        <f>IFERROR(__xludf.DUMMYFUNCTION("""COMPUTED_VALUE"""),43693.66324112269)</f>
        <v>43693.66324</v>
      </c>
      <c r="AI1765" s="138"/>
      <c r="AJ1765" s="138"/>
      <c r="AK1765" s="138"/>
      <c r="AL1765" s="142"/>
    </row>
    <row r="1766" ht="20.25" customHeight="1">
      <c r="A1766" s="155" t="str">
        <f>IFERROR(__xludf.DUMMYFUNCTION("""COMPUTED_VALUE"""),"Theune")</f>
        <v>Theune</v>
      </c>
      <c r="B1766" s="149" t="str">
        <f>IFERROR(__xludf.DUMMYFUNCTION("""COMPUTED_VALUE"""),"Denver")</f>
        <v>Denver</v>
      </c>
      <c r="C1766" s="149" t="str">
        <f>IFERROR(__xludf.DUMMYFUNCTION("""COMPUTED_VALUE"""),"CO")</f>
        <v>CO</v>
      </c>
      <c r="D1766" s="149" t="str">
        <f>IFERROR(__xludf.DUMMYFUNCTION("""COMPUTED_VALUE"""),"USA")</f>
        <v>USA</v>
      </c>
      <c r="E1766" s="156">
        <f>IFERROR(__xludf.DUMMYFUNCTION("""COMPUTED_VALUE"""),43689.0)</f>
        <v>43689</v>
      </c>
      <c r="F1766" s="129">
        <f>IFERROR(__xludf.DUMMYFUNCTION("""COMPUTED_VALUE"""),43724.0)</f>
        <v>43724</v>
      </c>
      <c r="G1766" s="154"/>
      <c r="H1766" s="131"/>
      <c r="I1766" s="144"/>
      <c r="J1766" s="129">
        <f>IFERROR(__xludf.DUMMYFUNCTION("""COMPUTED_VALUE"""),43728.0)</f>
        <v>43728</v>
      </c>
      <c r="K1766" s="133">
        <f>IFERROR(__xludf.DUMMYFUNCTION("""COMPUTED_VALUE"""),35.0)</f>
        <v>35</v>
      </c>
      <c r="L1766" s="133">
        <f>IFERROR(__xludf.DUMMYFUNCTION("""COMPUTED_VALUE"""),4.0)</f>
        <v>4</v>
      </c>
      <c r="M1766" s="133">
        <f>IFERROR(__xludf.DUMMYFUNCTION("""COMPUTED_VALUE"""),39.0)</f>
        <v>39</v>
      </c>
      <c r="N1766" s="152" t="str">
        <f>IFERROR(__xludf.DUMMYFUNCTION("""COMPUTED_VALUE"""),"Model 3 Performance")</f>
        <v>Model 3 Performance</v>
      </c>
      <c r="O1766" s="152" t="str">
        <f>IFERROR(__xludf.DUMMYFUNCTION("""COMPUTED_VALUE"""),"Pearl White Multi-Coat")</f>
        <v>Pearl White Multi-Coat</v>
      </c>
      <c r="P1766" s="153" t="str">
        <f>IFERROR(__xludf.DUMMYFUNCTION("""COMPUTED_VALUE"""),"19 inch Sport")</f>
        <v>19 inch Sport</v>
      </c>
      <c r="Q1766" s="152" t="str">
        <f>IFERROR(__xludf.DUMMYFUNCTION("""COMPUTED_VALUE"""),"Black seats")</f>
        <v>Black seats</v>
      </c>
      <c r="R1766" s="149" t="str">
        <f>IFERROR(__xludf.DUMMYFUNCTION("""COMPUTED_VALUE"""),"Full Self-Driving")</f>
        <v>Full Self-Driving</v>
      </c>
      <c r="S1766" s="149"/>
      <c r="T1766" s="145"/>
      <c r="U1766" s="145"/>
      <c r="V1766" s="145"/>
      <c r="W1766" s="145"/>
      <c r="X1766" s="137" t="str">
        <f>IFERROR(__xludf.DUMMYFUNCTION("""COMPUTED_VALUE"""),"Excellent")</f>
        <v>Excellent</v>
      </c>
      <c r="Y1766" s="138" t="str">
        <f>IFERROR(__xludf.DUMMYFUNCTION("""COMPUTED_VALUE"""),"Excellent")</f>
        <v>Excellent</v>
      </c>
      <c r="Z1766" s="138" t="str">
        <f>IFERROR(__xludf.DUMMYFUNCTION("""COMPUTED_VALUE"""),"Excellent")</f>
        <v>Excellent</v>
      </c>
      <c r="AA1766" s="138" t="str">
        <f>IFERROR(__xludf.DUMMYFUNCTION("""COMPUTED_VALUE"""),"Very Good")</f>
        <v>Very Good</v>
      </c>
      <c r="AB1766" s="138" t="str">
        <f>IFERROR(__xludf.DUMMYFUNCTION("""COMPUTED_VALUE"""),"Excellent")</f>
        <v>Excellent</v>
      </c>
      <c r="AC1766" s="139"/>
      <c r="AD1766" s="139"/>
      <c r="AE1766" s="139"/>
      <c r="AF1766" s="140"/>
      <c r="AG1766" s="145" t="str">
        <f>IFERROR(__xludf.DUMMYFUNCTION("""COMPUTED_VALUE"""),"Got update 9/16 that a P3D- with 19"" wheels was available. Still no VIN in source code, but I have one in email!")</f>
        <v>Got update 9/16 that a P3D- with 19" wheels was available. Still no VIN in source code, but I have one in email!</v>
      </c>
      <c r="AH1766" s="157">
        <f>IFERROR(__xludf.DUMMYFUNCTION("""COMPUTED_VALUE"""),43729.638631273156)</f>
        <v>43729.63863</v>
      </c>
      <c r="AI1766" s="138"/>
      <c r="AJ1766" s="138"/>
      <c r="AK1766" s="138"/>
      <c r="AL1766" s="142"/>
    </row>
    <row r="1767" ht="20.25" customHeight="1">
      <c r="A1767" s="155" t="str">
        <f>IFERROR(__xludf.DUMMYFUNCTION("""COMPUTED_VALUE"""),"bluefin")</f>
        <v>bluefin</v>
      </c>
      <c r="B1767" s="149" t="str">
        <f>IFERROR(__xludf.DUMMYFUNCTION("""COMPUTED_VALUE"""),"Playa Del Rey")</f>
        <v>Playa Del Rey</v>
      </c>
      <c r="C1767" s="149" t="str">
        <f>IFERROR(__xludf.DUMMYFUNCTION("""COMPUTED_VALUE"""),"CA")</f>
        <v>CA</v>
      </c>
      <c r="D1767" s="149" t="str">
        <f>IFERROR(__xludf.DUMMYFUNCTION("""COMPUTED_VALUE"""),"USA")</f>
        <v>USA</v>
      </c>
      <c r="E1767" s="156">
        <f>IFERROR(__xludf.DUMMYFUNCTION("""COMPUTED_VALUE"""),43688.0)</f>
        <v>43688</v>
      </c>
      <c r="F1767" s="129">
        <f>IFERROR(__xludf.DUMMYFUNCTION("""COMPUTED_VALUE"""),43730.0)</f>
        <v>43730</v>
      </c>
      <c r="G1767" s="154"/>
      <c r="H1767" s="131">
        <f>IFERROR(__xludf.DUMMYFUNCTION("""COMPUTED_VALUE"""),498008.0)</f>
        <v>498008</v>
      </c>
      <c r="I1767" s="144"/>
      <c r="J1767" s="129">
        <f>IFERROR(__xludf.DUMMYFUNCTION("""COMPUTED_VALUE"""),43741.0)</f>
        <v>43741</v>
      </c>
      <c r="K1767" s="133">
        <f>IFERROR(__xludf.DUMMYFUNCTION("""COMPUTED_VALUE"""),42.0)</f>
        <v>42</v>
      </c>
      <c r="L1767" s="133">
        <f>IFERROR(__xludf.DUMMYFUNCTION("""COMPUTED_VALUE"""),11.0)</f>
        <v>11</v>
      </c>
      <c r="M1767" s="133">
        <f>IFERROR(__xludf.DUMMYFUNCTION("""COMPUTED_VALUE"""),53.0)</f>
        <v>53</v>
      </c>
      <c r="N1767" s="152" t="str">
        <f>IFERROR(__xludf.DUMMYFUNCTION("""COMPUTED_VALUE"""),"Model 3 Performance")</f>
        <v>Model 3 Performance</v>
      </c>
      <c r="O1767" s="152" t="str">
        <f>IFERROR(__xludf.DUMMYFUNCTION("""COMPUTED_VALUE"""),"Deep Blue Metallic")</f>
        <v>Deep Blue Metallic</v>
      </c>
      <c r="P1767" s="153" t="str">
        <f>IFERROR(__xludf.DUMMYFUNCTION("""COMPUTED_VALUE"""),"20 inch Sport")</f>
        <v>20 inch Sport</v>
      </c>
      <c r="Q1767" s="152" t="str">
        <f>IFERROR(__xludf.DUMMYFUNCTION("""COMPUTED_VALUE"""),"White seats")</f>
        <v>White seats</v>
      </c>
      <c r="R1767" s="149" t="str">
        <f>IFERROR(__xludf.DUMMYFUNCTION("""COMPUTED_VALUE"""),"Full Self-Driving")</f>
        <v>Full Self-Driving</v>
      </c>
      <c r="S1767" s="149"/>
      <c r="T1767" s="145"/>
      <c r="U1767" s="145"/>
      <c r="V1767" s="145"/>
      <c r="W1767" s="145"/>
      <c r="X1767" s="137" t="str">
        <f>IFERROR(__xludf.DUMMYFUNCTION("""COMPUTED_VALUE"""),"Good")</f>
        <v>Good</v>
      </c>
      <c r="Y1767" s="138" t="str">
        <f>IFERROR(__xludf.DUMMYFUNCTION("""COMPUTED_VALUE"""),"Fair")</f>
        <v>Fair</v>
      </c>
      <c r="Z1767" s="138" t="str">
        <f>IFERROR(__xludf.DUMMYFUNCTION("""COMPUTED_VALUE"""),"Good")</f>
        <v>Good</v>
      </c>
      <c r="AA1767" s="138" t="str">
        <f>IFERROR(__xludf.DUMMYFUNCTION("""COMPUTED_VALUE"""),"Fair")</f>
        <v>Fair</v>
      </c>
      <c r="AB1767" s="138" t="str">
        <f>IFERROR(__xludf.DUMMYFUNCTION("""COMPUTED_VALUE"""),"Excellent")</f>
        <v>Excellent</v>
      </c>
      <c r="AC1767" s="139">
        <f>IFERROR(__xludf.DUMMYFUNCTION("""COMPUTED_VALUE"""),1.0)</f>
        <v>1</v>
      </c>
      <c r="AD1767" s="139">
        <f>IFERROR(__xludf.DUMMYFUNCTION("""COMPUTED_VALUE"""),1.0)</f>
        <v>1</v>
      </c>
      <c r="AE1767" s="139"/>
      <c r="AF1767" s="140"/>
      <c r="AG1767" s="145" t="str">
        <f>IFERROR(__xludf.DUMMYFUNCTION("""COMPUTED_VALUE"""),"9/22 VIN in source code, 9/26 text with tentative delivery 9/27 text car is delayed and will not be delivered tomorrow. ")</f>
        <v>9/22 VIN in source code, 9/26 text with tentative delivery 9/27 text car is delayed and will not be delivered tomorrow. </v>
      </c>
      <c r="AH1767" s="157">
        <f>IFERROR(__xludf.DUMMYFUNCTION("""COMPUTED_VALUE"""),43741.88351646991)</f>
        <v>43741.88352</v>
      </c>
      <c r="AI1767" s="138"/>
      <c r="AJ1767" s="138"/>
      <c r="AK1767" s="138"/>
      <c r="AL1767" s="142"/>
    </row>
    <row r="1768" ht="20.25" customHeight="1">
      <c r="A1768" s="155" t="str">
        <f>IFERROR(__xludf.DUMMYFUNCTION("""COMPUTED_VALUE"""),"obriensa24")</f>
        <v>obriensa24</v>
      </c>
      <c r="B1768" s="149" t="str">
        <f>IFERROR(__xludf.DUMMYFUNCTION("""COMPUTED_VALUE"""),"San Diego")</f>
        <v>San Diego</v>
      </c>
      <c r="C1768" s="149" t="str">
        <f>IFERROR(__xludf.DUMMYFUNCTION("""COMPUTED_VALUE"""),"CA")</f>
        <v>CA</v>
      </c>
      <c r="D1768" s="149" t="str">
        <f>IFERROR(__xludf.DUMMYFUNCTION("""COMPUTED_VALUE"""),"USA")</f>
        <v>USA</v>
      </c>
      <c r="E1768" s="156">
        <f>IFERROR(__xludf.DUMMYFUNCTION("""COMPUTED_VALUE"""),43688.0)</f>
        <v>43688</v>
      </c>
      <c r="F1768" s="129">
        <f>IFERROR(__xludf.DUMMYFUNCTION("""COMPUTED_VALUE"""),43712.0)</f>
        <v>43712</v>
      </c>
      <c r="G1768" s="154"/>
      <c r="H1768" s="131">
        <f>IFERROR(__xludf.DUMMYFUNCTION("""COMPUTED_VALUE"""),453594.0)</f>
        <v>453594</v>
      </c>
      <c r="I1768" s="144" t="str">
        <f>IFERROR(__xludf.DUMMYFUNCTION("""COMPUTED_VALUE"""),"09/19")</f>
        <v>09/19</v>
      </c>
      <c r="J1768" s="129">
        <f>IFERROR(__xludf.DUMMYFUNCTION("""COMPUTED_VALUE"""),43715.0)</f>
        <v>43715</v>
      </c>
      <c r="K1768" s="133">
        <f>IFERROR(__xludf.DUMMYFUNCTION("""COMPUTED_VALUE"""),24.0)</f>
        <v>24</v>
      </c>
      <c r="L1768" s="133">
        <f>IFERROR(__xludf.DUMMYFUNCTION("""COMPUTED_VALUE"""),3.0)</f>
        <v>3</v>
      </c>
      <c r="M1768" s="133">
        <f>IFERROR(__xludf.DUMMYFUNCTION("""COMPUTED_VALUE"""),27.0)</f>
        <v>27</v>
      </c>
      <c r="N1768" s="152" t="str">
        <f>IFERROR(__xludf.DUMMYFUNCTION("""COMPUTED_VALUE"""),"Model 3 LR AWD")</f>
        <v>Model 3 LR AWD</v>
      </c>
      <c r="O1768" s="152" t="str">
        <f>IFERROR(__xludf.DUMMYFUNCTION("""COMPUTED_VALUE"""),"Midnight Silver Metallic")</f>
        <v>Midnight Silver Metallic</v>
      </c>
      <c r="P1768" s="153" t="str">
        <f>IFERROR(__xludf.DUMMYFUNCTION("""COMPUTED_VALUE"""),"19 inch Sport")</f>
        <v>19 inch Sport</v>
      </c>
      <c r="Q1768" s="152" t="str">
        <f>IFERROR(__xludf.DUMMYFUNCTION("""COMPUTED_VALUE"""),"Black seats")</f>
        <v>Black seats</v>
      </c>
      <c r="R1768" s="149" t="str">
        <f>IFERROR(__xludf.DUMMYFUNCTION("""COMPUTED_VALUE"""),"Autopilot")</f>
        <v>Autopilot</v>
      </c>
      <c r="S1768" s="149"/>
      <c r="T1768" s="145"/>
      <c r="U1768" s="145"/>
      <c r="V1768" s="145"/>
      <c r="W1768" s="136"/>
      <c r="X1768" s="137" t="str">
        <f>IFERROR(__xludf.DUMMYFUNCTION("""COMPUTED_VALUE"""),"Very Good")</f>
        <v>Very Good</v>
      </c>
      <c r="Y1768" s="138" t="str">
        <f>IFERROR(__xludf.DUMMYFUNCTION("""COMPUTED_VALUE"""),"Very Good")</f>
        <v>Very Good</v>
      </c>
      <c r="Z1768" s="138" t="str">
        <f>IFERROR(__xludf.DUMMYFUNCTION("""COMPUTED_VALUE"""),"Very Good")</f>
        <v>Very Good</v>
      </c>
      <c r="AA1768" s="138" t="str">
        <f>IFERROR(__xludf.DUMMYFUNCTION("""COMPUTED_VALUE"""),"Very Good")</f>
        <v>Very Good</v>
      </c>
      <c r="AB1768" s="138" t="str">
        <f>IFERROR(__xludf.DUMMYFUNCTION("""COMPUTED_VALUE"""),"Fair")</f>
        <v>Fair</v>
      </c>
      <c r="AC1768" s="139">
        <f>IFERROR(__xludf.DUMMYFUNCTION("""COMPUTED_VALUE"""),3.0)</f>
        <v>3</v>
      </c>
      <c r="AD1768" s="139">
        <f>IFERROR(__xludf.DUMMYFUNCTION("""COMPUTED_VALUE"""),2.0)</f>
        <v>2</v>
      </c>
      <c r="AE1768" s="139">
        <f>IFERROR(__xludf.DUMMYFUNCTION("""COMPUTED_VALUE"""),1.0)</f>
        <v>1</v>
      </c>
      <c r="AF1768" s="140"/>
      <c r="AG1768" s="136" t="str">
        <f>IFERROR(__xludf.DUMMYFUNCTION("""COMPUTED_VALUE"""),"Car quality great, a bit dirty inside, few minor issues to address (high speed rattle, squeak over bumps))")</f>
        <v>Car quality great, a bit dirty inside, few minor issues to address (high speed rattle, squeak over bumps))</v>
      </c>
      <c r="AH1768" s="157">
        <f>IFERROR(__xludf.DUMMYFUNCTION("""COMPUTED_VALUE"""),43753.61443918981)</f>
        <v>43753.61444</v>
      </c>
      <c r="AI1768" s="138"/>
      <c r="AJ1768" s="138"/>
      <c r="AK1768" s="138"/>
      <c r="AL1768" s="142"/>
    </row>
    <row r="1769" ht="20.25" customHeight="1">
      <c r="A1769" s="155" t="str">
        <f>IFERROR(__xludf.DUMMYFUNCTION("""COMPUTED_VALUE"""),"stylophile")</f>
        <v>stylophile</v>
      </c>
      <c r="B1769" s="150" t="str">
        <f>IFERROR(__xludf.DUMMYFUNCTION("""COMPUTED_VALUE"""),"Orange County")</f>
        <v>Orange County</v>
      </c>
      <c r="C1769" s="149" t="str">
        <f>IFERROR(__xludf.DUMMYFUNCTION("""COMPUTED_VALUE"""),"CA")</f>
        <v>CA</v>
      </c>
      <c r="D1769" s="149" t="str">
        <f>IFERROR(__xludf.DUMMYFUNCTION("""COMPUTED_VALUE"""),"USA")</f>
        <v>USA</v>
      </c>
      <c r="E1769" s="156">
        <f>IFERROR(__xludf.DUMMYFUNCTION("""COMPUTED_VALUE"""),43688.0)</f>
        <v>43688</v>
      </c>
      <c r="F1769" s="129">
        <f>IFERROR(__xludf.DUMMYFUNCTION("""COMPUTED_VALUE"""),43697.0)</f>
        <v>43697</v>
      </c>
      <c r="G1769" s="154"/>
      <c r="H1769" s="131">
        <f>IFERROR(__xludf.DUMMYFUNCTION("""COMPUTED_VALUE"""),406855.0)</f>
        <v>406855</v>
      </c>
      <c r="I1769" s="132"/>
      <c r="J1769" s="129">
        <f>IFERROR(__xludf.DUMMYFUNCTION("""COMPUTED_VALUE"""),43699.0)</f>
        <v>43699</v>
      </c>
      <c r="K1769" s="133">
        <f>IFERROR(__xludf.DUMMYFUNCTION("""COMPUTED_VALUE"""),9.0)</f>
        <v>9</v>
      </c>
      <c r="L1769" s="133">
        <f>IFERROR(__xludf.DUMMYFUNCTION("""COMPUTED_VALUE"""),2.0)</f>
        <v>2</v>
      </c>
      <c r="M1769" s="133">
        <f>IFERROR(__xludf.DUMMYFUNCTION("""COMPUTED_VALUE"""),11.0)</f>
        <v>11</v>
      </c>
      <c r="N1769" s="152" t="str">
        <f>IFERROR(__xludf.DUMMYFUNCTION("""COMPUTED_VALUE"""),"Model 3 Performance")</f>
        <v>Model 3 Performance</v>
      </c>
      <c r="O1769" s="152" t="str">
        <f>IFERROR(__xludf.DUMMYFUNCTION("""COMPUTED_VALUE"""),"Midnight Silver Metallic")</f>
        <v>Midnight Silver Metallic</v>
      </c>
      <c r="P1769" s="153" t="str">
        <f>IFERROR(__xludf.DUMMYFUNCTION("""COMPUTED_VALUE"""),"19 inch Sport")</f>
        <v>19 inch Sport</v>
      </c>
      <c r="Q1769" s="152" t="str">
        <f>IFERROR(__xludf.DUMMYFUNCTION("""COMPUTED_VALUE"""),"White seats")</f>
        <v>White seats</v>
      </c>
      <c r="R1769" s="150" t="str">
        <f>IFERROR(__xludf.DUMMYFUNCTION("""COMPUTED_VALUE"""),"Autopilot")</f>
        <v>Autopilot</v>
      </c>
      <c r="S1769" s="150"/>
      <c r="T1769" s="136"/>
      <c r="U1769" s="136"/>
      <c r="V1769" s="136"/>
      <c r="W1769" s="136"/>
      <c r="X1769" s="137" t="str">
        <f>IFERROR(__xludf.DUMMYFUNCTION("""COMPUTED_VALUE"""),"Very Good")</f>
        <v>Very Good</v>
      </c>
      <c r="Y1769" s="138" t="str">
        <f>IFERROR(__xludf.DUMMYFUNCTION("""COMPUTED_VALUE"""),"Very Good")</f>
        <v>Very Good</v>
      </c>
      <c r="Z1769" s="138" t="str">
        <f>IFERROR(__xludf.DUMMYFUNCTION("""COMPUTED_VALUE"""),"Very Good")</f>
        <v>Very Good</v>
      </c>
      <c r="AA1769" s="138" t="str">
        <f>IFERROR(__xludf.DUMMYFUNCTION("""COMPUTED_VALUE"""),"Poor")</f>
        <v>Poor</v>
      </c>
      <c r="AB1769" s="138" t="str">
        <f>IFERROR(__xludf.DUMMYFUNCTION("""COMPUTED_VALUE"""),"Good")</f>
        <v>Good</v>
      </c>
      <c r="AC1769" s="139">
        <f>IFERROR(__xludf.DUMMYFUNCTION("""COMPUTED_VALUE"""),3.0)</f>
        <v>3</v>
      </c>
      <c r="AD1769" s="139"/>
      <c r="AE1769" s="139"/>
      <c r="AF1769" s="140"/>
      <c r="AG1769" s="136"/>
      <c r="AH1769" s="157">
        <f>IFERROR(__xludf.DUMMYFUNCTION("""COMPUTED_VALUE"""),43700.356067615736)</f>
        <v>43700.35607</v>
      </c>
      <c r="AI1769" s="138"/>
      <c r="AJ1769" s="138"/>
      <c r="AK1769" s="138"/>
      <c r="AL1769" s="142"/>
    </row>
    <row r="1770" ht="20.25" customHeight="1">
      <c r="A1770" s="155" t="str">
        <f>IFERROR(__xludf.DUMMYFUNCTION("""COMPUTED_VALUE"""),"MrSchmidt")</f>
        <v>MrSchmidt</v>
      </c>
      <c r="B1770" s="159" t="str">
        <f>IFERROR(__xludf.DUMMYFUNCTION("""COMPUTED_VALUE"""),"Palo Alto")</f>
        <v>Palo Alto</v>
      </c>
      <c r="C1770" s="159" t="str">
        <f>IFERROR(__xludf.DUMMYFUNCTION("""COMPUTED_VALUE"""),"CA")</f>
        <v>CA</v>
      </c>
      <c r="D1770" s="159" t="str">
        <f>IFERROR(__xludf.DUMMYFUNCTION("""COMPUTED_VALUE"""),"USA")</f>
        <v>USA</v>
      </c>
      <c r="E1770" s="156">
        <f>IFERROR(__xludf.DUMMYFUNCTION("""COMPUTED_VALUE"""),43687.0)</f>
        <v>43687</v>
      </c>
      <c r="F1770" s="129">
        <f>IFERROR(__xludf.DUMMYFUNCTION("""COMPUTED_VALUE"""),43724.0)</f>
        <v>43724</v>
      </c>
      <c r="G1770" s="154"/>
      <c r="H1770" s="131">
        <f>IFERROR(__xludf.DUMMYFUNCTION("""COMPUTED_VALUE"""),464796.0)</f>
        <v>464796</v>
      </c>
      <c r="I1770" s="160"/>
      <c r="J1770" s="129">
        <f>IFERROR(__xludf.DUMMYFUNCTION("""COMPUTED_VALUE"""),43729.0)</f>
        <v>43729</v>
      </c>
      <c r="K1770" s="133">
        <f>IFERROR(__xludf.DUMMYFUNCTION("""COMPUTED_VALUE"""),37.0)</f>
        <v>37</v>
      </c>
      <c r="L1770" s="133">
        <f>IFERROR(__xludf.DUMMYFUNCTION("""COMPUTED_VALUE"""),5.0)</f>
        <v>5</v>
      </c>
      <c r="M1770" s="133">
        <f>IFERROR(__xludf.DUMMYFUNCTION("""COMPUTED_VALUE"""),42.0)</f>
        <v>42</v>
      </c>
      <c r="N1770" s="152" t="str">
        <f>IFERROR(__xludf.DUMMYFUNCTION("""COMPUTED_VALUE"""),"Model 3 Performance")</f>
        <v>Model 3 Performance</v>
      </c>
      <c r="O1770" s="152" t="str">
        <f>IFERROR(__xludf.DUMMYFUNCTION("""COMPUTED_VALUE"""),"Midnight Silver Metallic")</f>
        <v>Midnight Silver Metallic</v>
      </c>
      <c r="P1770" s="153" t="str">
        <f>IFERROR(__xludf.DUMMYFUNCTION("""COMPUTED_VALUE"""),"20 inch Sport")</f>
        <v>20 inch Sport</v>
      </c>
      <c r="Q1770" s="152" t="str">
        <f>IFERROR(__xludf.DUMMYFUNCTION("""COMPUTED_VALUE"""),"White seats")</f>
        <v>White seats</v>
      </c>
      <c r="R1770" s="159" t="str">
        <f>IFERROR(__xludf.DUMMYFUNCTION("""COMPUTED_VALUE"""),"Full Self-Driving")</f>
        <v>Full Self-Driving</v>
      </c>
      <c r="S1770" s="159"/>
      <c r="T1770" s="161"/>
      <c r="U1770" s="161"/>
      <c r="V1770" s="161"/>
      <c r="W1770" s="161"/>
      <c r="X1770" s="137" t="str">
        <f>IFERROR(__xludf.DUMMYFUNCTION("""COMPUTED_VALUE"""),"Excellent")</f>
        <v>Excellent</v>
      </c>
      <c r="Y1770" s="138" t="str">
        <f>IFERROR(__xludf.DUMMYFUNCTION("""COMPUTED_VALUE"""),"Excellent")</f>
        <v>Excellent</v>
      </c>
      <c r="Z1770" s="138" t="str">
        <f>IFERROR(__xludf.DUMMYFUNCTION("""COMPUTED_VALUE"""),"Excellent")</f>
        <v>Excellent</v>
      </c>
      <c r="AA1770" s="138" t="str">
        <f>IFERROR(__xludf.DUMMYFUNCTION("""COMPUTED_VALUE"""),"Poor")</f>
        <v>Poor</v>
      </c>
      <c r="AB1770" s="138" t="str">
        <f>IFERROR(__xludf.DUMMYFUNCTION("""COMPUTED_VALUE"""),"Excellent")</f>
        <v>Excellent</v>
      </c>
      <c r="AC1770" s="139">
        <f>IFERROR(__xludf.DUMMYFUNCTION("""COMPUTED_VALUE"""),0.0)</f>
        <v>0</v>
      </c>
      <c r="AD1770" s="139"/>
      <c r="AE1770" s="139"/>
      <c r="AF1770" s="140"/>
      <c r="AG1770" s="161"/>
      <c r="AH1770" s="157">
        <f>IFERROR(__xludf.DUMMYFUNCTION("""COMPUTED_VALUE"""),43730.85015302084)</f>
        <v>43730.85015</v>
      </c>
      <c r="AI1770" s="138"/>
      <c r="AJ1770" s="138"/>
      <c r="AK1770" s="138"/>
      <c r="AL1770" s="142"/>
    </row>
    <row r="1771" ht="20.25" customHeight="1">
      <c r="A1771" s="155" t="str">
        <f>IFERROR(__xludf.DUMMYFUNCTION("""COMPUTED_VALUE"""),"guildner")</f>
        <v>guildner</v>
      </c>
      <c r="B1771" s="149" t="str">
        <f>IFERROR(__xludf.DUMMYFUNCTION("""COMPUTED_VALUE"""),"Arvada")</f>
        <v>Arvada</v>
      </c>
      <c r="C1771" s="149" t="str">
        <f>IFERROR(__xludf.DUMMYFUNCTION("""COMPUTED_VALUE"""),"CO")</f>
        <v>CO</v>
      </c>
      <c r="D1771" s="149" t="str">
        <f>IFERROR(__xludf.DUMMYFUNCTION("""COMPUTED_VALUE"""),"USA")</f>
        <v>USA</v>
      </c>
      <c r="E1771" s="156">
        <f>IFERROR(__xludf.DUMMYFUNCTION("""COMPUTED_VALUE"""),43686.0)</f>
        <v>43686</v>
      </c>
      <c r="F1771" s="129">
        <f>IFERROR(__xludf.DUMMYFUNCTION("""COMPUTED_VALUE"""),43724.0)</f>
        <v>43724</v>
      </c>
      <c r="G1771" s="154"/>
      <c r="H1771" s="131">
        <f>IFERROR(__xludf.DUMMYFUNCTION("""COMPUTED_VALUE"""),477655.0)</f>
        <v>477655</v>
      </c>
      <c r="I1771" s="132"/>
      <c r="J1771" s="129">
        <f>IFERROR(__xludf.DUMMYFUNCTION("""COMPUTED_VALUE"""),43728.0)</f>
        <v>43728</v>
      </c>
      <c r="K1771" s="133">
        <f>IFERROR(__xludf.DUMMYFUNCTION("""COMPUTED_VALUE"""),38.0)</f>
        <v>38</v>
      </c>
      <c r="L1771" s="133">
        <f>IFERROR(__xludf.DUMMYFUNCTION("""COMPUTED_VALUE"""),4.0)</f>
        <v>4</v>
      </c>
      <c r="M1771" s="133">
        <f>IFERROR(__xludf.DUMMYFUNCTION("""COMPUTED_VALUE"""),42.0)</f>
        <v>42</v>
      </c>
      <c r="N1771" s="152" t="str">
        <f>IFERROR(__xludf.DUMMYFUNCTION("""COMPUTED_VALUE"""),"Model 3 Performance")</f>
        <v>Model 3 Performance</v>
      </c>
      <c r="O1771" s="152" t="str">
        <f>IFERROR(__xludf.DUMMYFUNCTION("""COMPUTED_VALUE"""),"Deep Blue Metallic")</f>
        <v>Deep Blue Metallic</v>
      </c>
      <c r="P1771" s="153" t="str">
        <f>IFERROR(__xludf.DUMMYFUNCTION("""COMPUTED_VALUE"""),"20 inch Sport")</f>
        <v>20 inch Sport</v>
      </c>
      <c r="Q1771" s="152" t="str">
        <f>IFERROR(__xludf.DUMMYFUNCTION("""COMPUTED_VALUE"""),"White seats")</f>
        <v>White seats</v>
      </c>
      <c r="R1771" s="150" t="str">
        <f>IFERROR(__xludf.DUMMYFUNCTION("""COMPUTED_VALUE"""),"Autopilot")</f>
        <v>Autopilot</v>
      </c>
      <c r="S1771" s="150"/>
      <c r="T1771" s="136"/>
      <c r="U1771" s="136"/>
      <c r="V1771" s="136"/>
      <c r="W1771" s="136"/>
      <c r="X1771" s="137" t="str">
        <f>IFERROR(__xludf.DUMMYFUNCTION("""COMPUTED_VALUE"""),"Excellent")</f>
        <v>Excellent</v>
      </c>
      <c r="Y1771" s="138" t="str">
        <f>IFERROR(__xludf.DUMMYFUNCTION("""COMPUTED_VALUE"""),"Excellent")</f>
        <v>Excellent</v>
      </c>
      <c r="Z1771" s="138" t="str">
        <f>IFERROR(__xludf.DUMMYFUNCTION("""COMPUTED_VALUE"""),"Excellent")</f>
        <v>Excellent</v>
      </c>
      <c r="AA1771" s="138" t="str">
        <f>IFERROR(__xludf.DUMMYFUNCTION("""COMPUTED_VALUE"""),"Fair")</f>
        <v>Fair</v>
      </c>
      <c r="AB1771" s="138" t="str">
        <f>IFERROR(__xludf.DUMMYFUNCTION("""COMPUTED_VALUE"""),"Very Good")</f>
        <v>Very Good</v>
      </c>
      <c r="AC1771" s="139">
        <f>IFERROR(__xludf.DUMMYFUNCTION("""COMPUTED_VALUE"""),1.0)</f>
        <v>1</v>
      </c>
      <c r="AD1771" s="139">
        <f>IFERROR(__xludf.DUMMYFUNCTION("""COMPUTED_VALUE"""),1.0)</f>
        <v>1</v>
      </c>
      <c r="AE1771" s="139">
        <f>IFERROR(__xludf.DUMMYFUNCTION("""COMPUTED_VALUE"""),1.0)</f>
        <v>1</v>
      </c>
      <c r="AF1771" s="140"/>
      <c r="AG1771" s="136" t="str">
        <f>IFERROR(__xludf.DUMMYFUNCTION("""COMPUTED_VALUE"""),"Called August 27th, told most orders are taking 4-5 weeks. Could not give me more information without an assigned VIN. Text on 9/14, delivery in the next 2 weeks. There was a 3 inch scratch in the bottom panel right behind the front right wheel. Service i"&amp;"s scheduled.")</f>
        <v>Called August 27th, told most orders are taking 4-5 weeks. Could not give me more information without an assigned VIN. Text on 9/14, delivery in the next 2 weeks. There was a 3 inch scratch in the bottom panel right behind the front right wheel. Service is scheduled.</v>
      </c>
      <c r="AH1771" s="157">
        <f>IFERROR(__xludf.DUMMYFUNCTION("""COMPUTED_VALUE"""),43732.33601222222)</f>
        <v>43732.33601</v>
      </c>
      <c r="AI1771" s="138"/>
      <c r="AJ1771" s="138"/>
      <c r="AK1771" s="138"/>
      <c r="AL1771" s="142"/>
    </row>
    <row r="1772" ht="20.25" customHeight="1">
      <c r="A1772" s="155" t="str">
        <f>IFERROR(__xludf.DUMMYFUNCTION("""COMPUTED_VALUE"""),"thebuilder")</f>
        <v>thebuilder</v>
      </c>
      <c r="B1772" s="149" t="str">
        <f>IFERROR(__xludf.DUMMYFUNCTION("""COMPUTED_VALUE"""),"Collierville")</f>
        <v>Collierville</v>
      </c>
      <c r="C1772" s="149" t="str">
        <f>IFERROR(__xludf.DUMMYFUNCTION("""COMPUTED_VALUE"""),"TN")</f>
        <v>TN</v>
      </c>
      <c r="D1772" s="149" t="str">
        <f>IFERROR(__xludf.DUMMYFUNCTION("""COMPUTED_VALUE"""),"USA")</f>
        <v>USA</v>
      </c>
      <c r="E1772" s="156">
        <f>IFERROR(__xludf.DUMMYFUNCTION("""COMPUTED_VALUE"""),43686.0)</f>
        <v>43686</v>
      </c>
      <c r="F1772" s="129">
        <f>IFERROR(__xludf.DUMMYFUNCTION("""COMPUTED_VALUE"""),43718.0)</f>
        <v>43718</v>
      </c>
      <c r="G1772" s="154"/>
      <c r="H1772" s="131">
        <f>IFERROR(__xludf.DUMMYFUNCTION("""COMPUTED_VALUE"""),441282.0)</f>
        <v>441282</v>
      </c>
      <c r="I1772" s="132"/>
      <c r="J1772" s="129">
        <f>IFERROR(__xludf.DUMMYFUNCTION("""COMPUTED_VALUE"""),43723.0)</f>
        <v>43723</v>
      </c>
      <c r="K1772" s="133">
        <f>IFERROR(__xludf.DUMMYFUNCTION("""COMPUTED_VALUE"""),32.0)</f>
        <v>32</v>
      </c>
      <c r="L1772" s="133">
        <f>IFERROR(__xludf.DUMMYFUNCTION("""COMPUTED_VALUE"""),5.0)</f>
        <v>5</v>
      </c>
      <c r="M1772" s="133">
        <f>IFERROR(__xludf.DUMMYFUNCTION("""COMPUTED_VALUE"""),37.0)</f>
        <v>37</v>
      </c>
      <c r="N1772" s="152" t="str">
        <f>IFERROR(__xludf.DUMMYFUNCTION("""COMPUTED_VALUE"""),"Model 3 Performance")</f>
        <v>Model 3 Performance</v>
      </c>
      <c r="O1772" s="152" t="str">
        <f>IFERROR(__xludf.DUMMYFUNCTION("""COMPUTED_VALUE"""),"Deep Blue Metallic")</f>
        <v>Deep Blue Metallic</v>
      </c>
      <c r="P1772" s="153" t="str">
        <f>IFERROR(__xludf.DUMMYFUNCTION("""COMPUTED_VALUE"""),"20 inch Sport")</f>
        <v>20 inch Sport</v>
      </c>
      <c r="Q1772" s="152" t="str">
        <f>IFERROR(__xludf.DUMMYFUNCTION("""COMPUTED_VALUE"""),"Black seats")</f>
        <v>Black seats</v>
      </c>
      <c r="R1772" s="150" t="str">
        <f>IFERROR(__xludf.DUMMYFUNCTION("""COMPUTED_VALUE"""),"Full Self-Driving")</f>
        <v>Full Self-Driving</v>
      </c>
      <c r="S1772" s="150"/>
      <c r="T1772" s="136"/>
      <c r="U1772" s="136"/>
      <c r="V1772" s="136"/>
      <c r="W1772" s="136"/>
      <c r="X1772" s="137" t="str">
        <f>IFERROR(__xludf.DUMMYFUNCTION("""COMPUTED_VALUE"""),"Very Good")</f>
        <v>Very Good</v>
      </c>
      <c r="Y1772" s="138" t="str">
        <f>IFERROR(__xludf.DUMMYFUNCTION("""COMPUTED_VALUE"""),"Excellent")</f>
        <v>Excellent</v>
      </c>
      <c r="Z1772" s="138" t="str">
        <f>IFERROR(__xludf.DUMMYFUNCTION("""COMPUTED_VALUE"""),"Very Good")</f>
        <v>Very Good</v>
      </c>
      <c r="AA1772" s="138" t="str">
        <f>IFERROR(__xludf.DUMMYFUNCTION("""COMPUTED_VALUE"""),"Fair")</f>
        <v>Fair</v>
      </c>
      <c r="AB1772" s="138" t="str">
        <f>IFERROR(__xludf.DUMMYFUNCTION("""COMPUTED_VALUE"""),"Very Good")</f>
        <v>Very Good</v>
      </c>
      <c r="AC1772" s="139">
        <f>IFERROR(__xludf.DUMMYFUNCTION("""COMPUTED_VALUE"""),0.0)</f>
        <v>0</v>
      </c>
      <c r="AD1772" s="139">
        <f>IFERROR(__xludf.DUMMYFUNCTION("""COMPUTED_VALUE"""),0.0)</f>
        <v>0</v>
      </c>
      <c r="AE1772" s="139">
        <f>IFERROR(__xludf.DUMMYFUNCTION("""COMPUTED_VALUE"""),0.0)</f>
        <v>0</v>
      </c>
      <c r="AF1772" s="140"/>
      <c r="AG1772" s="136"/>
      <c r="AH1772" s="157">
        <f>IFERROR(__xludf.DUMMYFUNCTION("""COMPUTED_VALUE"""),43739.532306180554)</f>
        <v>43739.53231</v>
      </c>
      <c r="AI1772" s="138"/>
      <c r="AJ1772" s="138"/>
      <c r="AK1772" s="138"/>
      <c r="AL1772" s="142"/>
    </row>
    <row r="1773" ht="20.25" customHeight="1">
      <c r="A1773" s="155" t="str">
        <f>IFERROR(__xludf.DUMMYFUNCTION("""COMPUTED_VALUE"""),"GlennW")</f>
        <v>GlennW</v>
      </c>
      <c r="B1773" s="149" t="str">
        <f>IFERROR(__xludf.DUMMYFUNCTION("""COMPUTED_VALUE"""),"Marietta")</f>
        <v>Marietta</v>
      </c>
      <c r="C1773" s="149" t="str">
        <f>IFERROR(__xludf.DUMMYFUNCTION("""COMPUTED_VALUE"""),"GA")</f>
        <v>GA</v>
      </c>
      <c r="D1773" s="149" t="str">
        <f>IFERROR(__xludf.DUMMYFUNCTION("""COMPUTED_VALUE"""),"USA")</f>
        <v>USA</v>
      </c>
      <c r="E1773" s="156">
        <f>IFERROR(__xludf.DUMMYFUNCTION("""COMPUTED_VALUE"""),43685.0)</f>
        <v>43685</v>
      </c>
      <c r="F1773" s="129">
        <f>IFERROR(__xludf.DUMMYFUNCTION("""COMPUTED_VALUE"""),43716.0)</f>
        <v>43716</v>
      </c>
      <c r="G1773" s="154"/>
      <c r="H1773" s="131">
        <f>IFERROR(__xludf.DUMMYFUNCTION("""COMPUTED_VALUE"""),487355.0)</f>
        <v>487355</v>
      </c>
      <c r="I1773" s="132" t="str">
        <f>IFERROR(__xludf.DUMMYFUNCTION("""COMPUTED_VALUE"""),"09/19")</f>
        <v>09/19</v>
      </c>
      <c r="J1773" s="129">
        <f>IFERROR(__xludf.DUMMYFUNCTION("""COMPUTED_VALUE"""),43725.0)</f>
        <v>43725</v>
      </c>
      <c r="K1773" s="133">
        <f>IFERROR(__xludf.DUMMYFUNCTION("""COMPUTED_VALUE"""),31.0)</f>
        <v>31</v>
      </c>
      <c r="L1773" s="133">
        <f>IFERROR(__xludf.DUMMYFUNCTION("""COMPUTED_VALUE"""),9.0)</f>
        <v>9</v>
      </c>
      <c r="M1773" s="133">
        <f>IFERROR(__xludf.DUMMYFUNCTION("""COMPUTED_VALUE"""),40.0)</f>
        <v>40</v>
      </c>
      <c r="N1773" s="152" t="str">
        <f>IFERROR(__xludf.DUMMYFUNCTION("""COMPUTED_VALUE"""),"Model 3 Performance")</f>
        <v>Model 3 Performance</v>
      </c>
      <c r="O1773" s="152" t="str">
        <f>IFERROR(__xludf.DUMMYFUNCTION("""COMPUTED_VALUE"""),"Pearl White Multi-Coat")</f>
        <v>Pearl White Multi-Coat</v>
      </c>
      <c r="P1773" s="153" t="str">
        <f>IFERROR(__xludf.DUMMYFUNCTION("""COMPUTED_VALUE"""),"20 inch Sport")</f>
        <v>20 inch Sport</v>
      </c>
      <c r="Q1773" s="152" t="str">
        <f>IFERROR(__xludf.DUMMYFUNCTION("""COMPUTED_VALUE"""),"White seats")</f>
        <v>White seats</v>
      </c>
      <c r="R1773" s="150" t="str">
        <f>IFERROR(__xludf.DUMMYFUNCTION("""COMPUTED_VALUE"""),"Autopilot")</f>
        <v>Autopilot</v>
      </c>
      <c r="S1773" s="150"/>
      <c r="T1773" s="136"/>
      <c r="U1773" s="136"/>
      <c r="V1773" s="136"/>
      <c r="W1773" s="136"/>
      <c r="X1773" s="137" t="str">
        <f>IFERROR(__xludf.DUMMYFUNCTION("""COMPUTED_VALUE"""),"Excellent")</f>
        <v>Excellent</v>
      </c>
      <c r="Y1773" s="138" t="str">
        <f>IFERROR(__xludf.DUMMYFUNCTION("""COMPUTED_VALUE"""),"Excellent")</f>
        <v>Excellent</v>
      </c>
      <c r="Z1773" s="138" t="str">
        <f>IFERROR(__xludf.DUMMYFUNCTION("""COMPUTED_VALUE"""),"Excellent")</f>
        <v>Excellent</v>
      </c>
      <c r="AA1773" s="138" t="str">
        <f>IFERROR(__xludf.DUMMYFUNCTION("""COMPUTED_VALUE"""),"Excellent")</f>
        <v>Excellent</v>
      </c>
      <c r="AB1773" s="138" t="str">
        <f>IFERROR(__xludf.DUMMYFUNCTION("""COMPUTED_VALUE"""),"Excellent")</f>
        <v>Excellent</v>
      </c>
      <c r="AC1773" s="139">
        <f>IFERROR(__xludf.DUMMYFUNCTION("""COMPUTED_VALUE"""),0.0)</f>
        <v>0</v>
      </c>
      <c r="AD1773" s="139">
        <f>IFERROR(__xludf.DUMMYFUNCTION("""COMPUTED_VALUE"""),0.0)</f>
        <v>0</v>
      </c>
      <c r="AE1773" s="139">
        <f>IFERROR(__xludf.DUMMYFUNCTION("""COMPUTED_VALUE"""),0.0)</f>
        <v>0</v>
      </c>
      <c r="AF1773" s="140"/>
      <c r="AG1773" s="136" t="str">
        <f>IFERROR(__xludf.DUMMYFUNCTION("""COMPUTED_VALUE"""),"Love my Model 3.")</f>
        <v>Love my Model 3.</v>
      </c>
      <c r="AH1773" s="157">
        <f>IFERROR(__xludf.DUMMYFUNCTION("""COMPUTED_VALUE"""),43725.49345784722)</f>
        <v>43725.49346</v>
      </c>
      <c r="AI1773" s="138"/>
      <c r="AJ1773" s="138"/>
      <c r="AK1773" s="138"/>
      <c r="AL1773" s="142"/>
    </row>
    <row r="1774" ht="20.25" customHeight="1">
      <c r="A1774" s="155" t="str">
        <f>IFERROR(__xludf.DUMMYFUNCTION("""COMPUTED_VALUE"""),"IamSUCK")</f>
        <v>IamSUCK</v>
      </c>
      <c r="B1774" s="149" t="str">
        <f>IFERROR(__xludf.DUMMYFUNCTION("""COMPUTED_VALUE"""),"Santa Clarita")</f>
        <v>Santa Clarita</v>
      </c>
      <c r="C1774" s="149" t="str">
        <f>IFERROR(__xludf.DUMMYFUNCTION("""COMPUTED_VALUE"""),"CA")</f>
        <v>CA</v>
      </c>
      <c r="D1774" s="149" t="str">
        <f>IFERROR(__xludf.DUMMYFUNCTION("""COMPUTED_VALUE"""),"USA")</f>
        <v>USA</v>
      </c>
      <c r="E1774" s="156">
        <f>IFERROR(__xludf.DUMMYFUNCTION("""COMPUTED_VALUE"""),43685.0)</f>
        <v>43685</v>
      </c>
      <c r="F1774" s="129">
        <f>IFERROR(__xludf.DUMMYFUNCTION("""COMPUTED_VALUE"""),43728.0)</f>
        <v>43728</v>
      </c>
      <c r="G1774" s="154"/>
      <c r="H1774" s="131"/>
      <c r="I1774" s="144"/>
      <c r="J1774" s="129">
        <f>IFERROR(__xludf.DUMMYFUNCTION("""COMPUTED_VALUE"""),43738.0)</f>
        <v>43738</v>
      </c>
      <c r="K1774" s="133">
        <f>IFERROR(__xludf.DUMMYFUNCTION("""COMPUTED_VALUE"""),43.0)</f>
        <v>43</v>
      </c>
      <c r="L1774" s="133">
        <f>IFERROR(__xludf.DUMMYFUNCTION("""COMPUTED_VALUE"""),10.0)</f>
        <v>10</v>
      </c>
      <c r="M1774" s="133">
        <f>IFERROR(__xludf.DUMMYFUNCTION("""COMPUTED_VALUE"""),53.0)</f>
        <v>53</v>
      </c>
      <c r="N1774" s="152" t="str">
        <f>IFERROR(__xludf.DUMMYFUNCTION("""COMPUTED_VALUE"""),"Model 3 Performance")</f>
        <v>Model 3 Performance</v>
      </c>
      <c r="O1774" s="152" t="str">
        <f>IFERROR(__xludf.DUMMYFUNCTION("""COMPUTED_VALUE"""),"Midnight Silver Metallic")</f>
        <v>Midnight Silver Metallic</v>
      </c>
      <c r="P1774" s="153" t="str">
        <f>IFERROR(__xludf.DUMMYFUNCTION("""COMPUTED_VALUE"""),"20 inch Sport")</f>
        <v>20 inch Sport</v>
      </c>
      <c r="Q1774" s="152" t="str">
        <f>IFERROR(__xludf.DUMMYFUNCTION("""COMPUTED_VALUE"""),"Black seats")</f>
        <v>Black seats</v>
      </c>
      <c r="R1774" s="149" t="str">
        <f>IFERROR(__xludf.DUMMYFUNCTION("""COMPUTED_VALUE"""),"Autopilot")</f>
        <v>Autopilot</v>
      </c>
      <c r="S1774" s="149"/>
      <c r="T1774" s="145"/>
      <c r="U1774" s="145"/>
      <c r="V1774" s="145"/>
      <c r="W1774" s="145"/>
      <c r="X1774" s="137" t="str">
        <f>IFERROR(__xludf.DUMMYFUNCTION("""COMPUTED_VALUE"""),"Very Good")</f>
        <v>Very Good</v>
      </c>
      <c r="Y1774" s="138" t="str">
        <f>IFERROR(__xludf.DUMMYFUNCTION("""COMPUTED_VALUE"""),"Very Good")</f>
        <v>Very Good</v>
      </c>
      <c r="Z1774" s="138" t="str">
        <f>IFERROR(__xludf.DUMMYFUNCTION("""COMPUTED_VALUE"""),"Very Good")</f>
        <v>Very Good</v>
      </c>
      <c r="AA1774" s="138" t="str">
        <f>IFERROR(__xludf.DUMMYFUNCTION("""COMPUTED_VALUE"""),"Poor")</f>
        <v>Poor</v>
      </c>
      <c r="AB1774" s="138" t="str">
        <f>IFERROR(__xludf.DUMMYFUNCTION("""COMPUTED_VALUE"""),"Fair")</f>
        <v>Fair</v>
      </c>
      <c r="AC1774" s="139"/>
      <c r="AD1774" s="139"/>
      <c r="AE1774" s="139"/>
      <c r="AF1774" s="140"/>
      <c r="AG1774" s="145"/>
      <c r="AH1774" s="157">
        <f>IFERROR(__xludf.DUMMYFUNCTION("""COMPUTED_VALUE"""),43741.320063900464)</f>
        <v>43741.32006</v>
      </c>
      <c r="AI1774" s="138"/>
      <c r="AJ1774" s="138"/>
      <c r="AK1774" s="138"/>
      <c r="AL1774" s="142"/>
    </row>
    <row r="1775" ht="20.25" customHeight="1">
      <c r="A1775" s="155" t="str">
        <f>IFERROR(__xludf.DUMMYFUNCTION("""COMPUTED_VALUE"""),"PatrickM")</f>
        <v>PatrickM</v>
      </c>
      <c r="B1775" s="150" t="str">
        <f>IFERROR(__xludf.DUMMYFUNCTION("""COMPUTED_VALUE"""),"Salt Lake City")</f>
        <v>Salt Lake City</v>
      </c>
      <c r="C1775" s="149" t="str">
        <f>IFERROR(__xludf.DUMMYFUNCTION("""COMPUTED_VALUE"""),"UT")</f>
        <v>UT</v>
      </c>
      <c r="D1775" s="149" t="str">
        <f>IFERROR(__xludf.DUMMYFUNCTION("""COMPUTED_VALUE"""),"USA")</f>
        <v>USA</v>
      </c>
      <c r="E1775" s="156">
        <f>IFERROR(__xludf.DUMMYFUNCTION("""COMPUTED_VALUE"""),43684.0)</f>
        <v>43684</v>
      </c>
      <c r="F1775" s="129">
        <f>IFERROR(__xludf.DUMMYFUNCTION("""COMPUTED_VALUE"""),43726.0)</f>
        <v>43726</v>
      </c>
      <c r="G1775" s="154"/>
      <c r="H1775" s="131"/>
      <c r="I1775" s="132"/>
      <c r="J1775" s="129">
        <f>IFERROR(__xludf.DUMMYFUNCTION("""COMPUTED_VALUE"""),43728.0)</f>
        <v>43728</v>
      </c>
      <c r="K1775" s="133">
        <f>IFERROR(__xludf.DUMMYFUNCTION("""COMPUTED_VALUE"""),42.0)</f>
        <v>42</v>
      </c>
      <c r="L1775" s="133">
        <f>IFERROR(__xludf.DUMMYFUNCTION("""COMPUTED_VALUE"""),2.0)</f>
        <v>2</v>
      </c>
      <c r="M1775" s="133">
        <f>IFERROR(__xludf.DUMMYFUNCTION("""COMPUTED_VALUE"""),44.0)</f>
        <v>44</v>
      </c>
      <c r="N1775" s="152" t="str">
        <f>IFERROR(__xludf.DUMMYFUNCTION("""COMPUTED_VALUE"""),"Model 3 Performance")</f>
        <v>Model 3 Performance</v>
      </c>
      <c r="O1775" s="152" t="str">
        <f>IFERROR(__xludf.DUMMYFUNCTION("""COMPUTED_VALUE"""),"Pearl White Multi-Coat")</f>
        <v>Pearl White Multi-Coat</v>
      </c>
      <c r="P1775" s="153" t="str">
        <f>IFERROR(__xludf.DUMMYFUNCTION("""COMPUTED_VALUE"""),"20 inch Sport")</f>
        <v>20 inch Sport</v>
      </c>
      <c r="Q1775" s="152" t="str">
        <f>IFERROR(__xludf.DUMMYFUNCTION("""COMPUTED_VALUE"""),"Black seats")</f>
        <v>Black seats</v>
      </c>
      <c r="R1775" s="150" t="str">
        <f>IFERROR(__xludf.DUMMYFUNCTION("""COMPUTED_VALUE"""),"Autopilot")</f>
        <v>Autopilot</v>
      </c>
      <c r="S1775" s="150"/>
      <c r="T1775" s="136"/>
      <c r="U1775" s="136"/>
      <c r="V1775" s="136"/>
      <c r="W1775" s="136"/>
      <c r="X1775" s="137" t="str">
        <f>IFERROR(__xludf.DUMMYFUNCTION("""COMPUTED_VALUE"""),"Excellent")</f>
        <v>Excellent</v>
      </c>
      <c r="Y1775" s="138" t="str">
        <f>IFERROR(__xludf.DUMMYFUNCTION("""COMPUTED_VALUE"""),"Excellent")</f>
        <v>Excellent</v>
      </c>
      <c r="Z1775" s="138" t="str">
        <f>IFERROR(__xludf.DUMMYFUNCTION("""COMPUTED_VALUE"""),"Excellent")</f>
        <v>Excellent</v>
      </c>
      <c r="AA1775" s="138" t="str">
        <f>IFERROR(__xludf.DUMMYFUNCTION("""COMPUTED_VALUE"""),"Excellent")</f>
        <v>Excellent</v>
      </c>
      <c r="AB1775" s="138" t="str">
        <f>IFERROR(__xludf.DUMMYFUNCTION("""COMPUTED_VALUE"""),"Excellent")</f>
        <v>Excellent</v>
      </c>
      <c r="AC1775" s="139"/>
      <c r="AD1775" s="139"/>
      <c r="AE1775" s="139"/>
      <c r="AF1775" s="140"/>
      <c r="AG1775" s="136"/>
      <c r="AH1775" s="157">
        <f>IFERROR(__xludf.DUMMYFUNCTION("""COMPUTED_VALUE"""),43728.89636005787)</f>
        <v>43728.89636</v>
      </c>
      <c r="AI1775" s="138"/>
      <c r="AJ1775" s="138"/>
      <c r="AK1775" s="138"/>
      <c r="AL1775" s="142"/>
    </row>
    <row r="1776" ht="20.25" customHeight="1">
      <c r="A1776" s="155" t="str">
        <f>IFERROR(__xludf.DUMMYFUNCTION("""COMPUTED_VALUE"""),"gursky")</f>
        <v>gursky</v>
      </c>
      <c r="B1776" s="149" t="str">
        <f>IFERROR(__xludf.DUMMYFUNCTION("""COMPUTED_VALUE"""),"Edmonton")</f>
        <v>Edmonton</v>
      </c>
      <c r="C1776" s="149" t="str">
        <f>IFERROR(__xludf.DUMMYFUNCTION("""COMPUTED_VALUE"""),"AB")</f>
        <v>AB</v>
      </c>
      <c r="D1776" s="149" t="str">
        <f>IFERROR(__xludf.DUMMYFUNCTION("""COMPUTED_VALUE"""),"Canada")</f>
        <v>Canada</v>
      </c>
      <c r="E1776" s="156">
        <f>IFERROR(__xludf.DUMMYFUNCTION("""COMPUTED_VALUE"""),43683.0)</f>
        <v>43683</v>
      </c>
      <c r="F1776" s="129"/>
      <c r="G1776" s="154"/>
      <c r="H1776" s="131">
        <f>IFERROR(__xludf.DUMMYFUNCTION("""COMPUTED_VALUE"""),429255.0)</f>
        <v>429255</v>
      </c>
      <c r="I1776" s="144"/>
      <c r="J1776" s="129">
        <f>IFERROR(__xludf.DUMMYFUNCTION("""COMPUTED_VALUE"""),43706.0)</f>
        <v>43706</v>
      </c>
      <c r="K1776" s="133"/>
      <c r="L1776" s="133"/>
      <c r="M1776" s="133">
        <f>IFERROR(__xludf.DUMMYFUNCTION("""COMPUTED_VALUE"""),23.0)</f>
        <v>23</v>
      </c>
      <c r="N1776" s="152" t="str">
        <f>IFERROR(__xludf.DUMMYFUNCTION("""COMPUTED_VALUE"""),"Model 3 SR+")</f>
        <v>Model 3 SR+</v>
      </c>
      <c r="O1776" s="152" t="str">
        <f>IFERROR(__xludf.DUMMYFUNCTION("""COMPUTED_VALUE"""),"Pearl White Multi-Coat")</f>
        <v>Pearl White Multi-Coat</v>
      </c>
      <c r="P1776" s="153" t="str">
        <f>IFERROR(__xludf.DUMMYFUNCTION("""COMPUTED_VALUE"""),"18 inch Aero")</f>
        <v>18 inch Aero</v>
      </c>
      <c r="Q1776" s="152" t="str">
        <f>IFERROR(__xludf.DUMMYFUNCTION("""COMPUTED_VALUE"""),"Black seats")</f>
        <v>Black seats</v>
      </c>
      <c r="R1776" s="149" t="str">
        <f>IFERROR(__xludf.DUMMYFUNCTION("""COMPUTED_VALUE"""),"Autopilot")</f>
        <v>Autopilot</v>
      </c>
      <c r="S1776" s="149"/>
      <c r="T1776" s="136"/>
      <c r="U1776" s="136"/>
      <c r="V1776" s="136"/>
      <c r="W1776" s="136"/>
      <c r="X1776" s="137"/>
      <c r="Y1776" s="138"/>
      <c r="Z1776" s="138"/>
      <c r="AA1776" s="138"/>
      <c r="AB1776" s="138"/>
      <c r="AC1776" s="139"/>
      <c r="AD1776" s="139">
        <f>IFERROR(__xludf.DUMMYFUNCTION("""COMPUTED_VALUE"""),0.0)</f>
        <v>0</v>
      </c>
      <c r="AE1776" s="139"/>
      <c r="AF1776" s="140"/>
      <c r="AG1776" s="136"/>
      <c r="AH1776" s="157">
        <f>IFERROR(__xludf.DUMMYFUNCTION("""COMPUTED_VALUE"""),43719.54444991898)</f>
        <v>43719.54445</v>
      </c>
      <c r="AI1776" s="138"/>
      <c r="AJ1776" s="138"/>
      <c r="AK1776" s="138"/>
      <c r="AL1776" s="142"/>
    </row>
    <row r="1777" ht="20.25" customHeight="1">
      <c r="A1777" s="155" t="str">
        <f>IFERROR(__xludf.DUMMYFUNCTION("""COMPUTED_VALUE"""),"Mansonville")</f>
        <v>Mansonville</v>
      </c>
      <c r="B1777" s="149" t="str">
        <f>IFERROR(__xludf.DUMMYFUNCTION("""COMPUTED_VALUE"""),"Toronto")</f>
        <v>Toronto</v>
      </c>
      <c r="C1777" s="149" t="str">
        <f>IFERROR(__xludf.DUMMYFUNCTION("""COMPUTED_VALUE"""),"ON")</f>
        <v>ON</v>
      </c>
      <c r="D1777" s="149" t="str">
        <f>IFERROR(__xludf.DUMMYFUNCTION("""COMPUTED_VALUE"""),"Canada")</f>
        <v>Canada</v>
      </c>
      <c r="E1777" s="156">
        <f>IFERROR(__xludf.DUMMYFUNCTION("""COMPUTED_VALUE"""),43683.0)</f>
        <v>43683</v>
      </c>
      <c r="F1777" s="129">
        <f>IFERROR(__xludf.DUMMYFUNCTION("""COMPUTED_VALUE"""),43715.0)</f>
        <v>43715</v>
      </c>
      <c r="G1777" s="154"/>
      <c r="H1777" s="131">
        <f>IFERROR(__xludf.DUMMYFUNCTION("""COMPUTED_VALUE"""),427555.0)</f>
        <v>427555</v>
      </c>
      <c r="I1777" s="144"/>
      <c r="J1777" s="129">
        <f>IFERROR(__xludf.DUMMYFUNCTION("""COMPUTED_VALUE"""),43732.0)</f>
        <v>43732</v>
      </c>
      <c r="K1777" s="133">
        <f>IFERROR(__xludf.DUMMYFUNCTION("""COMPUTED_VALUE"""),32.0)</f>
        <v>32</v>
      </c>
      <c r="L1777" s="133">
        <f>IFERROR(__xludf.DUMMYFUNCTION("""COMPUTED_VALUE"""),17.0)</f>
        <v>17</v>
      </c>
      <c r="M1777" s="133">
        <f>IFERROR(__xludf.DUMMYFUNCTION("""COMPUTED_VALUE"""),49.0)</f>
        <v>49</v>
      </c>
      <c r="N1777" s="152" t="str">
        <f>IFERROR(__xludf.DUMMYFUNCTION("""COMPUTED_VALUE"""),"Model 3 Performance")</f>
        <v>Model 3 Performance</v>
      </c>
      <c r="O1777" s="152" t="str">
        <f>IFERROR(__xludf.DUMMYFUNCTION("""COMPUTED_VALUE"""),"Pearl White Multi-Coat")</f>
        <v>Pearl White Multi-Coat</v>
      </c>
      <c r="P1777" s="153" t="str">
        <f>IFERROR(__xludf.DUMMYFUNCTION("""COMPUTED_VALUE"""),"20 inch Sport")</f>
        <v>20 inch Sport</v>
      </c>
      <c r="Q1777" s="152" t="str">
        <f>IFERROR(__xludf.DUMMYFUNCTION("""COMPUTED_VALUE"""),"White seats")</f>
        <v>White seats</v>
      </c>
      <c r="R1777" s="149" t="str">
        <f>IFERROR(__xludf.DUMMYFUNCTION("""COMPUTED_VALUE"""),"Full Self-Driving")</f>
        <v>Full Self-Driving</v>
      </c>
      <c r="S1777" s="149"/>
      <c r="T1777" s="145"/>
      <c r="U1777" s="145"/>
      <c r="V1777" s="145"/>
      <c r="W1777" s="136"/>
      <c r="X1777" s="137"/>
      <c r="Y1777" s="138"/>
      <c r="Z1777" s="138"/>
      <c r="AA1777" s="138" t="str">
        <f>IFERROR(__xludf.DUMMYFUNCTION("""COMPUTED_VALUE"""),"Good")</f>
        <v>Good</v>
      </c>
      <c r="AB1777" s="138"/>
      <c r="AC1777" s="139"/>
      <c r="AD1777" s="139"/>
      <c r="AE1777" s="139"/>
      <c r="AF1777" s="140"/>
      <c r="AG1777" s="136"/>
      <c r="AH1777" s="157">
        <f>IFERROR(__xludf.DUMMYFUNCTION("""COMPUTED_VALUE"""),43717.8220539699)</f>
        <v>43717.82205</v>
      </c>
      <c r="AI1777" s="138"/>
      <c r="AJ1777" s="138"/>
      <c r="AK1777" s="138"/>
      <c r="AL1777" s="142"/>
    </row>
    <row r="1778" ht="20.25" customHeight="1">
      <c r="A1778" s="155" t="str">
        <f>IFERROR(__xludf.DUMMYFUNCTION("""COMPUTED_VALUE"""),"BGOOCHY")</f>
        <v>BGOOCHY</v>
      </c>
      <c r="B1778" s="150" t="str">
        <f>IFERROR(__xludf.DUMMYFUNCTION("""COMPUTED_VALUE"""),"Crofton")</f>
        <v>Crofton</v>
      </c>
      <c r="C1778" s="150" t="str">
        <f>IFERROR(__xludf.DUMMYFUNCTION("""COMPUTED_VALUE"""),"MD")</f>
        <v>MD</v>
      </c>
      <c r="D1778" s="150" t="str">
        <f>IFERROR(__xludf.DUMMYFUNCTION("""COMPUTED_VALUE"""),"USA")</f>
        <v>USA</v>
      </c>
      <c r="E1778" s="156">
        <f>IFERROR(__xludf.DUMMYFUNCTION("""COMPUTED_VALUE"""),43682.0)</f>
        <v>43682</v>
      </c>
      <c r="F1778" s="129">
        <f>IFERROR(__xludf.DUMMYFUNCTION("""COMPUTED_VALUE"""),43718.0)</f>
        <v>43718</v>
      </c>
      <c r="G1778" s="154"/>
      <c r="H1778" s="131">
        <f>IFERROR(__xludf.DUMMYFUNCTION("""COMPUTED_VALUE"""),441299.0)</f>
        <v>441299</v>
      </c>
      <c r="I1778" s="132" t="str">
        <f>IFERROR(__xludf.DUMMYFUNCTION("""COMPUTED_VALUE"""),"09/19")</f>
        <v>09/19</v>
      </c>
      <c r="J1778" s="129">
        <f>IFERROR(__xludf.DUMMYFUNCTION("""COMPUTED_VALUE"""),43724.0)</f>
        <v>43724</v>
      </c>
      <c r="K1778" s="133">
        <f>IFERROR(__xludf.DUMMYFUNCTION("""COMPUTED_VALUE"""),36.0)</f>
        <v>36</v>
      </c>
      <c r="L1778" s="133">
        <f>IFERROR(__xludf.DUMMYFUNCTION("""COMPUTED_VALUE"""),6.0)</f>
        <v>6</v>
      </c>
      <c r="M1778" s="133">
        <f>IFERROR(__xludf.DUMMYFUNCTION("""COMPUTED_VALUE"""),42.0)</f>
        <v>42</v>
      </c>
      <c r="N1778" s="152" t="str">
        <f>IFERROR(__xludf.DUMMYFUNCTION("""COMPUTED_VALUE"""),"Model 3 Performance")</f>
        <v>Model 3 Performance</v>
      </c>
      <c r="O1778" s="152" t="str">
        <f>IFERROR(__xludf.DUMMYFUNCTION("""COMPUTED_VALUE"""),"Midnight Silver Metallic")</f>
        <v>Midnight Silver Metallic</v>
      </c>
      <c r="P1778" s="153" t="str">
        <f>IFERROR(__xludf.DUMMYFUNCTION("""COMPUTED_VALUE"""),"20 inch Sport")</f>
        <v>20 inch Sport</v>
      </c>
      <c r="Q1778" s="152" t="str">
        <f>IFERROR(__xludf.DUMMYFUNCTION("""COMPUTED_VALUE"""),"Black seats")</f>
        <v>Black seats</v>
      </c>
      <c r="R1778" s="150" t="str">
        <f>IFERROR(__xludf.DUMMYFUNCTION("""COMPUTED_VALUE"""),"Autopilot")</f>
        <v>Autopilot</v>
      </c>
      <c r="S1778" s="150"/>
      <c r="T1778" s="136"/>
      <c r="U1778" s="136"/>
      <c r="V1778" s="136"/>
      <c r="W1778" s="136"/>
      <c r="X1778" s="137" t="str">
        <f>IFERROR(__xludf.DUMMYFUNCTION("""COMPUTED_VALUE"""),"Very Good")</f>
        <v>Very Good</v>
      </c>
      <c r="Y1778" s="138" t="str">
        <f>IFERROR(__xludf.DUMMYFUNCTION("""COMPUTED_VALUE"""),"Very Good")</f>
        <v>Very Good</v>
      </c>
      <c r="Z1778" s="138" t="str">
        <f>IFERROR(__xludf.DUMMYFUNCTION("""COMPUTED_VALUE"""),"Poor")</f>
        <v>Poor</v>
      </c>
      <c r="AA1778" s="138" t="str">
        <f>IFERROR(__xludf.DUMMYFUNCTION("""COMPUTED_VALUE"""),"Fair")</f>
        <v>Fair</v>
      </c>
      <c r="AB1778" s="138" t="str">
        <f>IFERROR(__xludf.DUMMYFUNCTION("""COMPUTED_VALUE"""),"Fair")</f>
        <v>Fair</v>
      </c>
      <c r="AC1778" s="139">
        <f>IFERROR(__xludf.DUMMYFUNCTION("""COMPUTED_VALUE"""),3.0)</f>
        <v>3</v>
      </c>
      <c r="AD1778" s="139">
        <f>IFERROR(__xludf.DUMMYFUNCTION("""COMPUTED_VALUE"""),1.0)</f>
        <v>1</v>
      </c>
      <c r="AE1778" s="139">
        <f>IFERROR(__xludf.DUMMYFUNCTION("""COMPUTED_VALUE"""),1.0)</f>
        <v>1</v>
      </c>
      <c r="AF1778" s="140"/>
      <c r="AG1778" s="136" t="str">
        <f>IFERROR(__xludf.DUMMYFUNCTION("""COMPUTED_VALUE"""),"Model 3 Performance MSM/Black - delivered with paint drips all along the rear bumper and a front passenger wheel with road rash. Both being replaced by Tesla Rockville service center.")</f>
        <v>Model 3 Performance MSM/Black - delivered with paint drips all along the rear bumper and a front passenger wheel with road rash. Both being replaced by Tesla Rockville service center.</v>
      </c>
      <c r="AH1778" s="157">
        <f>IFERROR(__xludf.DUMMYFUNCTION("""COMPUTED_VALUE"""),43730.17143951389)</f>
        <v>43730.17144</v>
      </c>
      <c r="AI1778" s="138"/>
      <c r="AJ1778" s="138"/>
      <c r="AK1778" s="138"/>
      <c r="AL1778" s="142"/>
    </row>
    <row r="1779" ht="20.25" customHeight="1">
      <c r="A1779" s="155" t="str">
        <f>IFERROR(__xludf.DUMMYFUNCTION("""COMPUTED_VALUE"""),"jboogie")</f>
        <v>jboogie</v>
      </c>
      <c r="B1779" s="149" t="str">
        <f>IFERROR(__xludf.DUMMYFUNCTION("""COMPUTED_VALUE"""),"Houston")</f>
        <v>Houston</v>
      </c>
      <c r="C1779" s="149" t="str">
        <f>IFERROR(__xludf.DUMMYFUNCTION("""COMPUTED_VALUE"""),"TX")</f>
        <v>TX</v>
      </c>
      <c r="D1779" s="149" t="str">
        <f>IFERROR(__xludf.DUMMYFUNCTION("""COMPUTED_VALUE"""),"USA")</f>
        <v>USA</v>
      </c>
      <c r="E1779" s="156">
        <f>IFERROR(__xludf.DUMMYFUNCTION("""COMPUTED_VALUE"""),43681.0)</f>
        <v>43681</v>
      </c>
      <c r="F1779" s="129">
        <f>IFERROR(__xludf.DUMMYFUNCTION("""COMPUTED_VALUE"""),43696.0)</f>
        <v>43696</v>
      </c>
      <c r="G1779" s="154"/>
      <c r="H1779" s="131"/>
      <c r="I1779" s="144"/>
      <c r="J1779" s="129">
        <f>IFERROR(__xludf.DUMMYFUNCTION("""COMPUTED_VALUE"""),43705.0)</f>
        <v>43705</v>
      </c>
      <c r="K1779" s="133">
        <f>IFERROR(__xludf.DUMMYFUNCTION("""COMPUTED_VALUE"""),15.0)</f>
        <v>15</v>
      </c>
      <c r="L1779" s="133">
        <f>IFERROR(__xludf.DUMMYFUNCTION("""COMPUTED_VALUE"""),9.0)</f>
        <v>9</v>
      </c>
      <c r="M1779" s="133">
        <f>IFERROR(__xludf.DUMMYFUNCTION("""COMPUTED_VALUE"""),24.0)</f>
        <v>24</v>
      </c>
      <c r="N1779" s="152" t="str">
        <f>IFERROR(__xludf.DUMMYFUNCTION("""COMPUTED_VALUE"""),"Model 3 SR+")</f>
        <v>Model 3 SR+</v>
      </c>
      <c r="O1779" s="152" t="str">
        <f>IFERROR(__xludf.DUMMYFUNCTION("""COMPUTED_VALUE"""),"Pearl White Multi-Coat")</f>
        <v>Pearl White Multi-Coat</v>
      </c>
      <c r="P1779" s="153" t="str">
        <f>IFERROR(__xludf.DUMMYFUNCTION("""COMPUTED_VALUE"""),"18 inch Aero")</f>
        <v>18 inch Aero</v>
      </c>
      <c r="Q1779" s="152" t="str">
        <f>IFERROR(__xludf.DUMMYFUNCTION("""COMPUTED_VALUE"""),"Black seats")</f>
        <v>Black seats</v>
      </c>
      <c r="R1779" s="149" t="str">
        <f>IFERROR(__xludf.DUMMYFUNCTION("""COMPUTED_VALUE"""),"Full Self-Driving")</f>
        <v>Full Self-Driving</v>
      </c>
      <c r="S1779" s="149"/>
      <c r="T1779" s="145"/>
      <c r="U1779" s="145"/>
      <c r="V1779" s="145"/>
      <c r="W1779" s="136"/>
      <c r="X1779" s="137" t="str">
        <f>IFERROR(__xludf.DUMMYFUNCTION("""COMPUTED_VALUE"""),"Excellent")</f>
        <v>Excellent</v>
      </c>
      <c r="Y1779" s="138" t="str">
        <f>IFERROR(__xludf.DUMMYFUNCTION("""COMPUTED_VALUE"""),"Excellent")</f>
        <v>Excellent</v>
      </c>
      <c r="Z1779" s="138" t="str">
        <f>IFERROR(__xludf.DUMMYFUNCTION("""COMPUTED_VALUE"""),"Excellent")</f>
        <v>Excellent</v>
      </c>
      <c r="AA1779" s="138" t="str">
        <f>IFERROR(__xludf.DUMMYFUNCTION("""COMPUTED_VALUE"""),"Excellent")</f>
        <v>Excellent</v>
      </c>
      <c r="AB1779" s="138" t="str">
        <f>IFERROR(__xludf.DUMMYFUNCTION("""COMPUTED_VALUE"""),"Excellent")</f>
        <v>Excellent</v>
      </c>
      <c r="AC1779" s="139"/>
      <c r="AD1779" s="139"/>
      <c r="AE1779" s="139"/>
      <c r="AF1779" s="140"/>
      <c r="AG1779" s="136"/>
      <c r="AH1779" s="157">
        <f>IFERROR(__xludf.DUMMYFUNCTION("""COMPUTED_VALUE"""),43708.61151890046)</f>
        <v>43708.61152</v>
      </c>
      <c r="AI1779" s="138"/>
      <c r="AJ1779" s="138"/>
      <c r="AK1779" s="138"/>
      <c r="AL1779" s="142"/>
    </row>
    <row r="1780" ht="20.25" customHeight="1">
      <c r="A1780" s="155" t="str">
        <f>IFERROR(__xludf.DUMMYFUNCTION("""COMPUTED_VALUE"""),"bdelrizzo")</f>
        <v>bdelrizzo</v>
      </c>
      <c r="B1780" s="149" t="str">
        <f>IFERROR(__xludf.DUMMYFUNCTION("""COMPUTED_VALUE"""),"Tracy")</f>
        <v>Tracy</v>
      </c>
      <c r="C1780" s="149" t="str">
        <f>IFERROR(__xludf.DUMMYFUNCTION("""COMPUTED_VALUE"""),"CA")</f>
        <v>CA</v>
      </c>
      <c r="D1780" s="149" t="str">
        <f>IFERROR(__xludf.DUMMYFUNCTION("""COMPUTED_VALUE"""),"USA")</f>
        <v>USA</v>
      </c>
      <c r="E1780" s="156">
        <f>IFERROR(__xludf.DUMMYFUNCTION("""COMPUTED_VALUE"""),43680.0)</f>
        <v>43680</v>
      </c>
      <c r="F1780" s="129">
        <f>IFERROR(__xludf.DUMMYFUNCTION("""COMPUTED_VALUE"""),43718.0)</f>
        <v>43718</v>
      </c>
      <c r="G1780" s="154"/>
      <c r="H1780" s="131">
        <f>IFERROR(__xludf.DUMMYFUNCTION("""COMPUTED_VALUE"""),494655.0)</f>
        <v>494655</v>
      </c>
      <c r="I1780" s="132" t="str">
        <f>IFERROR(__xludf.DUMMYFUNCTION("""COMPUTED_VALUE"""),"09/19")</f>
        <v>09/19</v>
      </c>
      <c r="J1780" s="129">
        <f>IFERROR(__xludf.DUMMYFUNCTION("""COMPUTED_VALUE"""),43722.0)</f>
        <v>43722</v>
      </c>
      <c r="K1780" s="133">
        <f>IFERROR(__xludf.DUMMYFUNCTION("""COMPUTED_VALUE"""),38.0)</f>
        <v>38</v>
      </c>
      <c r="L1780" s="133">
        <f>IFERROR(__xludf.DUMMYFUNCTION("""COMPUTED_VALUE"""),4.0)</f>
        <v>4</v>
      </c>
      <c r="M1780" s="133">
        <f>IFERROR(__xludf.DUMMYFUNCTION("""COMPUTED_VALUE"""),42.0)</f>
        <v>42</v>
      </c>
      <c r="N1780" s="152" t="str">
        <f>IFERROR(__xludf.DUMMYFUNCTION("""COMPUTED_VALUE"""),"Model 3 LR AWD")</f>
        <v>Model 3 LR AWD</v>
      </c>
      <c r="O1780" s="152" t="str">
        <f>IFERROR(__xludf.DUMMYFUNCTION("""COMPUTED_VALUE"""),"Pearl White Multi-Coat")</f>
        <v>Pearl White Multi-Coat</v>
      </c>
      <c r="P1780" s="153" t="str">
        <f>IFERROR(__xludf.DUMMYFUNCTION("""COMPUTED_VALUE"""),"18 inch Aero")</f>
        <v>18 inch Aero</v>
      </c>
      <c r="Q1780" s="152" t="str">
        <f>IFERROR(__xludf.DUMMYFUNCTION("""COMPUTED_VALUE"""),"White seats")</f>
        <v>White seats</v>
      </c>
      <c r="R1780" s="150" t="str">
        <f>IFERROR(__xludf.DUMMYFUNCTION("""COMPUTED_VALUE"""),"Full Self-Driving")</f>
        <v>Full Self-Driving</v>
      </c>
      <c r="S1780" s="150"/>
      <c r="T1780" s="145"/>
      <c r="U1780" s="145"/>
      <c r="V1780" s="136"/>
      <c r="W1780" s="136"/>
      <c r="X1780" s="137" t="str">
        <f>IFERROR(__xludf.DUMMYFUNCTION("""COMPUTED_VALUE"""),"Excellent")</f>
        <v>Excellent</v>
      </c>
      <c r="Y1780" s="138" t="str">
        <f>IFERROR(__xludf.DUMMYFUNCTION("""COMPUTED_VALUE"""),"Excellent")</f>
        <v>Excellent</v>
      </c>
      <c r="Z1780" s="138" t="str">
        <f>IFERROR(__xludf.DUMMYFUNCTION("""COMPUTED_VALUE"""),"Excellent")</f>
        <v>Excellent</v>
      </c>
      <c r="AA1780" s="138" t="str">
        <f>IFERROR(__xludf.DUMMYFUNCTION("""COMPUTED_VALUE"""),"Excellent")</f>
        <v>Excellent</v>
      </c>
      <c r="AB1780" s="138" t="str">
        <f>IFERROR(__xludf.DUMMYFUNCTION("""COMPUTED_VALUE"""),"Excellent")</f>
        <v>Excellent</v>
      </c>
      <c r="AC1780" s="139"/>
      <c r="AD1780" s="139"/>
      <c r="AE1780" s="139"/>
      <c r="AF1780" s="140"/>
      <c r="AG1780" s="136" t="str">
        <f>IFERROR(__xludf.DUMMYFUNCTION("""COMPUTED_VALUE"""),"Given the forum comments, I was expecting the worst, but honestly, the car looks amazing. I took it straight from the factory to a detailer for PPF, ceramic, tint and more.")</f>
        <v>Given the forum comments, I was expecting the worst, but honestly, the car looks amazing. I took it straight from the factory to a detailer for PPF, ceramic, tint and more.</v>
      </c>
      <c r="AH1780" s="157">
        <f>IFERROR(__xludf.DUMMYFUNCTION("""COMPUTED_VALUE"""),43723.38710818287)</f>
        <v>43723.38711</v>
      </c>
      <c r="AI1780" s="138"/>
      <c r="AJ1780" s="138"/>
      <c r="AK1780" s="138"/>
      <c r="AL1780" s="142"/>
    </row>
    <row r="1781" ht="20.25" customHeight="1">
      <c r="A1781" s="155" t="str">
        <f>IFERROR(__xludf.DUMMYFUNCTION("""COMPUTED_VALUE"""),"csl")</f>
        <v>csl</v>
      </c>
      <c r="B1781" s="149" t="str">
        <f>IFERROR(__xludf.DUMMYFUNCTION("""COMPUTED_VALUE"""),"tarpon springs")</f>
        <v>tarpon springs</v>
      </c>
      <c r="C1781" s="149" t="str">
        <f>IFERROR(__xludf.DUMMYFUNCTION("""COMPUTED_VALUE"""),"FL")</f>
        <v>FL</v>
      </c>
      <c r="D1781" s="149" t="str">
        <f>IFERROR(__xludf.DUMMYFUNCTION("""COMPUTED_VALUE"""),"USA")</f>
        <v>USA</v>
      </c>
      <c r="E1781" s="156">
        <f>IFERROR(__xludf.DUMMYFUNCTION("""COMPUTED_VALUE"""),43680.0)</f>
        <v>43680</v>
      </c>
      <c r="F1781" s="129">
        <f>IFERROR(__xludf.DUMMYFUNCTION("""COMPUTED_VALUE"""),43716.0)</f>
        <v>43716</v>
      </c>
      <c r="G1781" s="154"/>
      <c r="H1781" s="131">
        <f>IFERROR(__xludf.DUMMYFUNCTION("""COMPUTED_VALUE"""),487341.0)</f>
        <v>487341</v>
      </c>
      <c r="I1781" s="144" t="str">
        <f>IFERROR(__xludf.DUMMYFUNCTION("""COMPUTED_VALUE"""),"09/19")</f>
        <v>09/19</v>
      </c>
      <c r="J1781" s="129">
        <f>IFERROR(__xludf.DUMMYFUNCTION("""COMPUTED_VALUE"""),43723.0)</f>
        <v>43723</v>
      </c>
      <c r="K1781" s="133">
        <f>IFERROR(__xludf.DUMMYFUNCTION("""COMPUTED_VALUE"""),36.0)</f>
        <v>36</v>
      </c>
      <c r="L1781" s="133">
        <f>IFERROR(__xludf.DUMMYFUNCTION("""COMPUTED_VALUE"""),7.0)</f>
        <v>7</v>
      </c>
      <c r="M1781" s="133">
        <f>IFERROR(__xludf.DUMMYFUNCTION("""COMPUTED_VALUE"""),43.0)</f>
        <v>43</v>
      </c>
      <c r="N1781" s="152" t="str">
        <f>IFERROR(__xludf.DUMMYFUNCTION("""COMPUTED_VALUE"""),"Model 3 Performance")</f>
        <v>Model 3 Performance</v>
      </c>
      <c r="O1781" s="152" t="str">
        <f>IFERROR(__xludf.DUMMYFUNCTION("""COMPUTED_VALUE"""),"Pearl White Multi-Coat")</f>
        <v>Pearl White Multi-Coat</v>
      </c>
      <c r="P1781" s="153" t="str">
        <f>IFERROR(__xludf.DUMMYFUNCTION("""COMPUTED_VALUE"""),"20 inch Sport")</f>
        <v>20 inch Sport</v>
      </c>
      <c r="Q1781" s="152" t="str">
        <f>IFERROR(__xludf.DUMMYFUNCTION("""COMPUTED_VALUE"""),"White seats")</f>
        <v>White seats</v>
      </c>
      <c r="R1781" s="149" t="str">
        <f>IFERROR(__xludf.DUMMYFUNCTION("""COMPUTED_VALUE"""),"Full Self-Driving")</f>
        <v>Full Self-Driving</v>
      </c>
      <c r="S1781" s="149"/>
      <c r="T1781" s="145"/>
      <c r="U1781" s="145"/>
      <c r="V1781" s="145"/>
      <c r="W1781" s="136"/>
      <c r="X1781" s="137" t="str">
        <f>IFERROR(__xludf.DUMMYFUNCTION("""COMPUTED_VALUE"""),"Good")</f>
        <v>Good</v>
      </c>
      <c r="Y1781" s="138" t="str">
        <f>IFERROR(__xludf.DUMMYFUNCTION("""COMPUTED_VALUE"""),"Fair")</f>
        <v>Fair</v>
      </c>
      <c r="Z1781" s="138" t="str">
        <f>IFERROR(__xludf.DUMMYFUNCTION("""COMPUTED_VALUE"""),"Good")</f>
        <v>Good</v>
      </c>
      <c r="AA1781" s="138" t="str">
        <f>IFERROR(__xludf.DUMMYFUNCTION("""COMPUTED_VALUE"""),"Poor")</f>
        <v>Poor</v>
      </c>
      <c r="AB1781" s="138" t="str">
        <f>IFERROR(__xludf.DUMMYFUNCTION("""COMPUTED_VALUE"""),"Fair")</f>
        <v>Fair</v>
      </c>
      <c r="AC1781" s="139">
        <f>IFERROR(__xludf.DUMMYFUNCTION("""COMPUTED_VALUE"""),5.0)</f>
        <v>5</v>
      </c>
      <c r="AD1781" s="139">
        <f>IFERROR(__xludf.DUMMYFUNCTION("""COMPUTED_VALUE"""),1.0)</f>
        <v>1</v>
      </c>
      <c r="AE1781" s="139">
        <f>IFERROR(__xludf.DUMMYFUNCTION("""COMPUTED_VALUE"""),1.0)</f>
        <v>1</v>
      </c>
      <c r="AF1781" s="140"/>
      <c r="AG1781" s="136"/>
      <c r="AH1781" s="157">
        <f>IFERROR(__xludf.DUMMYFUNCTION("""COMPUTED_VALUE"""),43747.159452094915)</f>
        <v>43747.15945</v>
      </c>
      <c r="AI1781" s="138"/>
      <c r="AJ1781" s="138"/>
      <c r="AK1781" s="138"/>
      <c r="AL1781" s="142"/>
    </row>
    <row r="1782" ht="20.25" customHeight="1">
      <c r="A1782" s="155" t="str">
        <f>IFERROR(__xludf.DUMMYFUNCTION("""COMPUTED_VALUE"""),"dm")</f>
        <v>dm</v>
      </c>
      <c r="B1782" s="149" t="str">
        <f>IFERROR(__xludf.DUMMYFUNCTION("""COMPUTED_VALUE"""),"Jacksonville, FL")</f>
        <v>Jacksonville, FL</v>
      </c>
      <c r="C1782" s="149" t="str">
        <f>IFERROR(__xludf.DUMMYFUNCTION("""COMPUTED_VALUE"""),"FL")</f>
        <v>FL</v>
      </c>
      <c r="D1782" s="149" t="str">
        <f>IFERROR(__xludf.DUMMYFUNCTION("""COMPUTED_VALUE"""),"USA")</f>
        <v>USA</v>
      </c>
      <c r="E1782" s="156">
        <f>IFERROR(__xludf.DUMMYFUNCTION("""COMPUTED_VALUE"""),43680.0)</f>
        <v>43680</v>
      </c>
      <c r="F1782" s="129">
        <f>IFERROR(__xludf.DUMMYFUNCTION("""COMPUTED_VALUE"""),43718.0)</f>
        <v>43718</v>
      </c>
      <c r="G1782" s="154"/>
      <c r="H1782" s="131">
        <f>IFERROR(__xludf.DUMMYFUNCTION("""COMPUTED_VALUE"""),440784.0)</f>
        <v>440784</v>
      </c>
      <c r="I1782" s="144"/>
      <c r="J1782" s="129">
        <f>IFERROR(__xludf.DUMMYFUNCTION("""COMPUTED_VALUE"""),43725.0)</f>
        <v>43725</v>
      </c>
      <c r="K1782" s="133">
        <f>IFERROR(__xludf.DUMMYFUNCTION("""COMPUTED_VALUE"""),38.0)</f>
        <v>38</v>
      </c>
      <c r="L1782" s="133">
        <f>IFERROR(__xludf.DUMMYFUNCTION("""COMPUTED_VALUE"""),7.0)</f>
        <v>7</v>
      </c>
      <c r="M1782" s="133">
        <f>IFERROR(__xludf.DUMMYFUNCTION("""COMPUTED_VALUE"""),45.0)</f>
        <v>45</v>
      </c>
      <c r="N1782" s="152" t="str">
        <f>IFERROR(__xludf.DUMMYFUNCTION("""COMPUTED_VALUE"""),"Model 3 Performance")</f>
        <v>Model 3 Performance</v>
      </c>
      <c r="O1782" s="152" t="str">
        <f>IFERROR(__xludf.DUMMYFUNCTION("""COMPUTED_VALUE"""),"Red Multi-Coat")</f>
        <v>Red Multi-Coat</v>
      </c>
      <c r="P1782" s="153" t="str">
        <f>IFERROR(__xludf.DUMMYFUNCTION("""COMPUTED_VALUE"""),"20 inch Sport")</f>
        <v>20 inch Sport</v>
      </c>
      <c r="Q1782" s="152" t="str">
        <f>IFERROR(__xludf.DUMMYFUNCTION("""COMPUTED_VALUE"""),"Black seats")</f>
        <v>Black seats</v>
      </c>
      <c r="R1782" s="149" t="str">
        <f>IFERROR(__xludf.DUMMYFUNCTION("""COMPUTED_VALUE"""),"Autopilot")</f>
        <v>Autopilot</v>
      </c>
      <c r="S1782" s="149"/>
      <c r="T1782" s="145"/>
      <c r="U1782" s="145"/>
      <c r="V1782" s="136"/>
      <c r="W1782" s="136"/>
      <c r="X1782" s="137" t="str">
        <f>IFERROR(__xludf.DUMMYFUNCTION("""COMPUTED_VALUE"""),"Good")</f>
        <v>Good</v>
      </c>
      <c r="Y1782" s="138" t="str">
        <f>IFERROR(__xludf.DUMMYFUNCTION("""COMPUTED_VALUE"""),"Very Good")</f>
        <v>Very Good</v>
      </c>
      <c r="Z1782" s="138" t="str">
        <f>IFERROR(__xludf.DUMMYFUNCTION("""COMPUTED_VALUE"""),"Very Good")</f>
        <v>Very Good</v>
      </c>
      <c r="AA1782" s="138" t="str">
        <f>IFERROR(__xludf.DUMMYFUNCTION("""COMPUTED_VALUE"""),"Fair")</f>
        <v>Fair</v>
      </c>
      <c r="AB1782" s="138" t="str">
        <f>IFERROR(__xludf.DUMMYFUNCTION("""COMPUTED_VALUE"""),"Good")</f>
        <v>Good</v>
      </c>
      <c r="AC1782" s="139"/>
      <c r="AD1782" s="139"/>
      <c r="AE1782" s="139"/>
      <c r="AF1782" s="140"/>
      <c r="AG1782" s="136"/>
      <c r="AH1782" s="157">
        <f>IFERROR(__xludf.DUMMYFUNCTION("""COMPUTED_VALUE"""),43726.512269467596)</f>
        <v>43726.51227</v>
      </c>
      <c r="AI1782" s="138"/>
      <c r="AJ1782" s="138"/>
      <c r="AK1782" s="138"/>
      <c r="AL1782" s="142"/>
    </row>
    <row r="1783" ht="20.25" customHeight="1">
      <c r="A1783" s="155" t="str">
        <f>IFERROR(__xludf.DUMMYFUNCTION("""COMPUTED_VALUE"""),"Manhattaninoc ")</f>
        <v>Manhattaninoc </v>
      </c>
      <c r="B1783" s="149" t="str">
        <f>IFERROR(__xludf.DUMMYFUNCTION("""COMPUTED_VALUE"""),"Orange County")</f>
        <v>Orange County</v>
      </c>
      <c r="C1783" s="149" t="str">
        <f>IFERROR(__xludf.DUMMYFUNCTION("""COMPUTED_VALUE"""),"CA")</f>
        <v>CA</v>
      </c>
      <c r="D1783" s="149" t="str">
        <f>IFERROR(__xludf.DUMMYFUNCTION("""COMPUTED_VALUE"""),"USA")</f>
        <v>USA</v>
      </c>
      <c r="E1783" s="156">
        <f>IFERROR(__xludf.DUMMYFUNCTION("""COMPUTED_VALUE"""),43680.0)</f>
        <v>43680</v>
      </c>
      <c r="F1783" s="129">
        <f>IFERROR(__xludf.DUMMYFUNCTION("""COMPUTED_VALUE"""),43689.0)</f>
        <v>43689</v>
      </c>
      <c r="G1783" s="154"/>
      <c r="H1783" s="131">
        <f>IFERROR(__xludf.DUMMYFUNCTION("""COMPUTED_VALUE"""),494755.0)</f>
        <v>494755</v>
      </c>
      <c r="I1783" s="144" t="str">
        <f>IFERROR(__xludf.DUMMYFUNCTION("""COMPUTED_VALUE"""),"08/19")</f>
        <v>08/19</v>
      </c>
      <c r="J1783" s="129">
        <f>IFERROR(__xludf.DUMMYFUNCTION("""COMPUTED_VALUE"""),43690.0)</f>
        <v>43690</v>
      </c>
      <c r="K1783" s="133">
        <f>IFERROR(__xludf.DUMMYFUNCTION("""COMPUTED_VALUE"""),9.0)</f>
        <v>9</v>
      </c>
      <c r="L1783" s="133">
        <f>IFERROR(__xludf.DUMMYFUNCTION("""COMPUTED_VALUE"""),1.0)</f>
        <v>1</v>
      </c>
      <c r="M1783" s="133">
        <f>IFERROR(__xludf.DUMMYFUNCTION("""COMPUTED_VALUE"""),10.0)</f>
        <v>10</v>
      </c>
      <c r="N1783" s="152" t="str">
        <f>IFERROR(__xludf.DUMMYFUNCTION("""COMPUTED_VALUE"""),"Model 3 LR AWD")</f>
        <v>Model 3 LR AWD</v>
      </c>
      <c r="O1783" s="152" t="str">
        <f>IFERROR(__xludf.DUMMYFUNCTION("""COMPUTED_VALUE"""),"Pearl White Multi-Coat")</f>
        <v>Pearl White Multi-Coat</v>
      </c>
      <c r="P1783" s="153" t="str">
        <f>IFERROR(__xludf.DUMMYFUNCTION("""COMPUTED_VALUE"""),"19 inch Sport")</f>
        <v>19 inch Sport</v>
      </c>
      <c r="Q1783" s="152" t="str">
        <f>IFERROR(__xludf.DUMMYFUNCTION("""COMPUTED_VALUE"""),"White seats")</f>
        <v>White seats</v>
      </c>
      <c r="R1783" s="149" t="str">
        <f>IFERROR(__xludf.DUMMYFUNCTION("""COMPUTED_VALUE"""),"Autopilot")</f>
        <v>Autopilot</v>
      </c>
      <c r="S1783" s="149"/>
      <c r="T1783" s="145"/>
      <c r="U1783" s="145"/>
      <c r="V1783" s="145"/>
      <c r="W1783" s="136"/>
      <c r="X1783" s="137" t="str">
        <f>IFERROR(__xludf.DUMMYFUNCTION("""COMPUTED_VALUE"""),"Very Good")</f>
        <v>Very Good</v>
      </c>
      <c r="Y1783" s="138" t="str">
        <f>IFERROR(__xludf.DUMMYFUNCTION("""COMPUTED_VALUE"""),"Excellent")</f>
        <v>Excellent</v>
      </c>
      <c r="Z1783" s="138" t="str">
        <f>IFERROR(__xludf.DUMMYFUNCTION("""COMPUTED_VALUE"""),"Good")</f>
        <v>Good</v>
      </c>
      <c r="AA1783" s="138" t="str">
        <f>IFERROR(__xludf.DUMMYFUNCTION("""COMPUTED_VALUE"""),"Excellent")</f>
        <v>Excellent</v>
      </c>
      <c r="AB1783" s="138" t="str">
        <f>IFERROR(__xludf.DUMMYFUNCTION("""COMPUTED_VALUE"""),"Excellent")</f>
        <v>Excellent</v>
      </c>
      <c r="AC1783" s="139">
        <f>IFERROR(__xludf.DUMMYFUNCTION("""COMPUTED_VALUE"""),3.0)</f>
        <v>3</v>
      </c>
      <c r="AD1783" s="139"/>
      <c r="AE1783" s="139"/>
      <c r="AF1783" s="140"/>
      <c r="AG1783" s="136"/>
      <c r="AH1783" s="157">
        <f>IFERROR(__xludf.DUMMYFUNCTION("""COMPUTED_VALUE"""),43691.30103064815)</f>
        <v>43691.30103</v>
      </c>
      <c r="AI1783" s="138"/>
      <c r="AJ1783" s="138"/>
      <c r="AK1783" s="138"/>
      <c r="AL1783" s="142"/>
    </row>
    <row r="1784" ht="20.25" customHeight="1">
      <c r="A1784" s="155" t="str">
        <f>IFERROR(__xludf.DUMMYFUNCTION("""COMPUTED_VALUE"""),"The Chickening")</f>
        <v>The Chickening</v>
      </c>
      <c r="B1784" s="149" t="str">
        <f>IFERROR(__xludf.DUMMYFUNCTION("""COMPUTED_VALUE"""),"Cerritos")</f>
        <v>Cerritos</v>
      </c>
      <c r="C1784" s="149" t="str">
        <f>IFERROR(__xludf.DUMMYFUNCTION("""COMPUTED_VALUE"""),"CA")</f>
        <v>CA</v>
      </c>
      <c r="D1784" s="149" t="str">
        <f>IFERROR(__xludf.DUMMYFUNCTION("""COMPUTED_VALUE"""),"USA")</f>
        <v>USA</v>
      </c>
      <c r="E1784" s="156">
        <f>IFERROR(__xludf.DUMMYFUNCTION("""COMPUTED_VALUE"""),43680.0)</f>
        <v>43680</v>
      </c>
      <c r="F1784" s="129">
        <f>IFERROR(__xludf.DUMMYFUNCTION("""COMPUTED_VALUE"""),43691.0)</f>
        <v>43691</v>
      </c>
      <c r="G1784" s="154"/>
      <c r="H1784" s="131"/>
      <c r="I1784" s="144"/>
      <c r="J1784" s="129">
        <f>IFERROR(__xludf.DUMMYFUNCTION("""COMPUTED_VALUE"""),43694.0)</f>
        <v>43694</v>
      </c>
      <c r="K1784" s="133">
        <f>IFERROR(__xludf.DUMMYFUNCTION("""COMPUTED_VALUE"""),11.0)</f>
        <v>11</v>
      </c>
      <c r="L1784" s="133">
        <f>IFERROR(__xludf.DUMMYFUNCTION("""COMPUTED_VALUE"""),3.0)</f>
        <v>3</v>
      </c>
      <c r="M1784" s="133">
        <f>IFERROR(__xludf.DUMMYFUNCTION("""COMPUTED_VALUE"""),14.0)</f>
        <v>14</v>
      </c>
      <c r="N1784" s="152" t="str">
        <f>IFERROR(__xludf.DUMMYFUNCTION("""COMPUTED_VALUE"""),"Model 3 LR AWD")</f>
        <v>Model 3 LR AWD</v>
      </c>
      <c r="O1784" s="152" t="str">
        <f>IFERROR(__xludf.DUMMYFUNCTION("""COMPUTED_VALUE"""),"Deep Blue Metallic")</f>
        <v>Deep Blue Metallic</v>
      </c>
      <c r="P1784" s="153" t="str">
        <f>IFERROR(__xludf.DUMMYFUNCTION("""COMPUTED_VALUE"""),"18 inch Aero")</f>
        <v>18 inch Aero</v>
      </c>
      <c r="Q1784" s="152" t="str">
        <f>IFERROR(__xludf.DUMMYFUNCTION("""COMPUTED_VALUE"""),"Black seats")</f>
        <v>Black seats</v>
      </c>
      <c r="R1784" s="149" t="str">
        <f>IFERROR(__xludf.DUMMYFUNCTION("""COMPUTED_VALUE"""),"Full Self-Driving")</f>
        <v>Full Self-Driving</v>
      </c>
      <c r="S1784" s="149"/>
      <c r="T1784" s="145"/>
      <c r="U1784" s="145"/>
      <c r="V1784" s="145"/>
      <c r="W1784" s="145"/>
      <c r="X1784" s="137" t="str">
        <f>IFERROR(__xludf.DUMMYFUNCTION("""COMPUTED_VALUE"""),"Excellent")</f>
        <v>Excellent</v>
      </c>
      <c r="Y1784" s="138" t="str">
        <f>IFERROR(__xludf.DUMMYFUNCTION("""COMPUTED_VALUE"""),"Excellent")</f>
        <v>Excellent</v>
      </c>
      <c r="Z1784" s="138" t="str">
        <f>IFERROR(__xludf.DUMMYFUNCTION("""COMPUTED_VALUE"""),"Very Good")</f>
        <v>Very Good</v>
      </c>
      <c r="AA1784" s="138" t="str">
        <f>IFERROR(__xludf.DUMMYFUNCTION("""COMPUTED_VALUE"""),"Excellent")</f>
        <v>Excellent</v>
      </c>
      <c r="AB1784" s="138" t="str">
        <f>IFERROR(__xludf.DUMMYFUNCTION("""COMPUTED_VALUE"""),"Excellent")</f>
        <v>Excellent</v>
      </c>
      <c r="AC1784" s="139">
        <f>IFERROR(__xludf.DUMMYFUNCTION("""COMPUTED_VALUE"""),0.0)</f>
        <v>0</v>
      </c>
      <c r="AD1784" s="139">
        <f>IFERROR(__xludf.DUMMYFUNCTION("""COMPUTED_VALUE"""),0.0)</f>
        <v>0</v>
      </c>
      <c r="AE1784" s="139">
        <f>IFERROR(__xludf.DUMMYFUNCTION("""COMPUTED_VALUE"""),0.0)</f>
        <v>0</v>
      </c>
      <c r="AF1784" s="140"/>
      <c r="AG1784" s="145"/>
      <c r="AH1784" s="157">
        <f>IFERROR(__xludf.DUMMYFUNCTION("""COMPUTED_VALUE"""),43707.51616045139)</f>
        <v>43707.51616</v>
      </c>
      <c r="AI1784" s="138"/>
      <c r="AJ1784" s="138"/>
      <c r="AK1784" s="138"/>
      <c r="AL1784" s="142"/>
    </row>
    <row r="1785" ht="20.25" customHeight="1">
      <c r="A1785" s="155" t="str">
        <f>IFERROR(__xludf.DUMMYFUNCTION("""COMPUTED_VALUE"""),"Manitoba Keith")</f>
        <v>Manitoba Keith</v>
      </c>
      <c r="B1785" s="149" t="str">
        <f>IFERROR(__xludf.DUMMYFUNCTION("""COMPUTED_VALUE"""),"Brandon")</f>
        <v>Brandon</v>
      </c>
      <c r="C1785" s="149" t="str">
        <f>IFERROR(__xludf.DUMMYFUNCTION("""COMPUTED_VALUE"""),"MB")</f>
        <v>MB</v>
      </c>
      <c r="D1785" s="149" t="str">
        <f>IFERROR(__xludf.DUMMYFUNCTION("""COMPUTED_VALUE"""),"Canada")</f>
        <v>Canada</v>
      </c>
      <c r="E1785" s="156">
        <f>IFERROR(__xludf.DUMMYFUNCTION("""COMPUTED_VALUE"""),43679.0)</f>
        <v>43679</v>
      </c>
      <c r="F1785" s="129">
        <f>IFERROR(__xludf.DUMMYFUNCTION("""COMPUTED_VALUE"""),43695.0)</f>
        <v>43695</v>
      </c>
      <c r="G1785" s="154"/>
      <c r="H1785" s="131">
        <f>IFERROR(__xludf.DUMMYFUNCTION("""COMPUTED_VALUE"""),415055.0)</f>
        <v>415055</v>
      </c>
      <c r="I1785" s="132" t="str">
        <f>IFERROR(__xludf.DUMMYFUNCTION("""COMPUTED_VALUE"""),"08/19")</f>
        <v>08/19</v>
      </c>
      <c r="J1785" s="129">
        <f>IFERROR(__xludf.DUMMYFUNCTION("""COMPUTED_VALUE"""),43713.0)</f>
        <v>43713</v>
      </c>
      <c r="K1785" s="133">
        <f>IFERROR(__xludf.DUMMYFUNCTION("""COMPUTED_VALUE"""),16.0)</f>
        <v>16</v>
      </c>
      <c r="L1785" s="133">
        <f>IFERROR(__xludf.DUMMYFUNCTION("""COMPUTED_VALUE"""),18.0)</f>
        <v>18</v>
      </c>
      <c r="M1785" s="133">
        <f>IFERROR(__xludf.DUMMYFUNCTION("""COMPUTED_VALUE"""),34.0)</f>
        <v>34</v>
      </c>
      <c r="N1785" s="152" t="str">
        <f>IFERROR(__xludf.DUMMYFUNCTION("""COMPUTED_VALUE"""),"Model 3 LR AWD")</f>
        <v>Model 3 LR AWD</v>
      </c>
      <c r="O1785" s="152" t="str">
        <f>IFERROR(__xludf.DUMMYFUNCTION("""COMPUTED_VALUE"""),"Pearl White Multi-Coat")</f>
        <v>Pearl White Multi-Coat</v>
      </c>
      <c r="P1785" s="153" t="str">
        <f>IFERROR(__xludf.DUMMYFUNCTION("""COMPUTED_VALUE"""),"18 inch Aero")</f>
        <v>18 inch Aero</v>
      </c>
      <c r="Q1785" s="152" t="str">
        <f>IFERROR(__xludf.DUMMYFUNCTION("""COMPUTED_VALUE"""),"Black seats")</f>
        <v>Black seats</v>
      </c>
      <c r="R1785" s="150" t="str">
        <f>IFERROR(__xludf.DUMMYFUNCTION("""COMPUTED_VALUE"""),"Full Self-Driving")</f>
        <v>Full Self-Driving</v>
      </c>
      <c r="S1785" s="150"/>
      <c r="T1785" s="136"/>
      <c r="U1785" s="136"/>
      <c r="V1785" s="136"/>
      <c r="W1785" s="136"/>
      <c r="X1785" s="137" t="str">
        <f>IFERROR(__xludf.DUMMYFUNCTION("""COMPUTED_VALUE"""),"Good")</f>
        <v>Good</v>
      </c>
      <c r="Y1785" s="138" t="str">
        <f>IFERROR(__xludf.DUMMYFUNCTION("""COMPUTED_VALUE"""),"Good")</f>
        <v>Good</v>
      </c>
      <c r="Z1785" s="138" t="str">
        <f>IFERROR(__xludf.DUMMYFUNCTION("""COMPUTED_VALUE"""),"Good")</f>
        <v>Good</v>
      </c>
      <c r="AA1785" s="138" t="str">
        <f>IFERROR(__xludf.DUMMYFUNCTION("""COMPUTED_VALUE"""),"Excellent")</f>
        <v>Excellent</v>
      </c>
      <c r="AB1785" s="138" t="str">
        <f>IFERROR(__xludf.DUMMYFUNCTION("""COMPUTED_VALUE"""),"Excellent")</f>
        <v>Excellent</v>
      </c>
      <c r="AC1785" s="139"/>
      <c r="AD1785" s="139"/>
      <c r="AE1785" s="139"/>
      <c r="AF1785" s="140"/>
      <c r="AG1785" s="136" t="str">
        <f>IFERROR(__xludf.DUMMYFUNCTION("""COMPUTED_VALUE"""),"First VIN disappeared this is the second")</f>
        <v>First VIN disappeared this is the second</v>
      </c>
      <c r="AH1785" s="157">
        <f>IFERROR(__xludf.DUMMYFUNCTION("""COMPUTED_VALUE"""),43714.47123274305)</f>
        <v>43714.47123</v>
      </c>
      <c r="AI1785" s="138"/>
      <c r="AJ1785" s="138"/>
      <c r="AK1785" s="138"/>
      <c r="AL1785" s="142"/>
    </row>
    <row r="1786" ht="20.25" customHeight="1">
      <c r="A1786" s="155" t="str">
        <f>IFERROR(__xludf.DUMMYFUNCTION("""COMPUTED_VALUE"""),"bayx650")</f>
        <v>bayx650</v>
      </c>
      <c r="B1786" s="149" t="str">
        <f>IFERROR(__xludf.DUMMYFUNCTION("""COMPUTED_VALUE"""),"San Francisco")</f>
        <v>San Francisco</v>
      </c>
      <c r="C1786" s="149" t="str">
        <f>IFERROR(__xludf.DUMMYFUNCTION("""COMPUTED_VALUE"""),"CA")</f>
        <v>CA</v>
      </c>
      <c r="D1786" s="149" t="str">
        <f>IFERROR(__xludf.DUMMYFUNCTION("""COMPUTED_VALUE"""),"USA")</f>
        <v>USA</v>
      </c>
      <c r="E1786" s="156">
        <f>IFERROR(__xludf.DUMMYFUNCTION("""COMPUTED_VALUE"""),43678.0)</f>
        <v>43678</v>
      </c>
      <c r="F1786" s="129">
        <f>IFERROR(__xludf.DUMMYFUNCTION("""COMPUTED_VALUE"""),43728.0)</f>
        <v>43728</v>
      </c>
      <c r="G1786" s="154"/>
      <c r="H1786" s="131">
        <f>IFERROR(__xludf.DUMMYFUNCTION("""COMPUTED_VALUE"""),517775.0)</f>
        <v>517775</v>
      </c>
      <c r="I1786" s="144"/>
      <c r="J1786" s="129">
        <f>IFERROR(__xludf.DUMMYFUNCTION("""COMPUTED_VALUE"""),43731.0)</f>
        <v>43731</v>
      </c>
      <c r="K1786" s="133">
        <f>IFERROR(__xludf.DUMMYFUNCTION("""COMPUTED_VALUE"""),50.0)</f>
        <v>50</v>
      </c>
      <c r="L1786" s="133">
        <f>IFERROR(__xludf.DUMMYFUNCTION("""COMPUTED_VALUE"""),3.0)</f>
        <v>3</v>
      </c>
      <c r="M1786" s="133">
        <f>IFERROR(__xludf.DUMMYFUNCTION("""COMPUTED_VALUE"""),53.0)</f>
        <v>53</v>
      </c>
      <c r="N1786" s="152" t="str">
        <f>IFERROR(__xludf.DUMMYFUNCTION("""COMPUTED_VALUE"""),"Model 3 LR AWD")</f>
        <v>Model 3 LR AWD</v>
      </c>
      <c r="O1786" s="152" t="str">
        <f>IFERROR(__xludf.DUMMYFUNCTION("""COMPUTED_VALUE"""),"Pearl White Multi-Coat")</f>
        <v>Pearl White Multi-Coat</v>
      </c>
      <c r="P1786" s="153" t="str">
        <f>IFERROR(__xludf.DUMMYFUNCTION("""COMPUTED_VALUE"""),"18 inch Aero")</f>
        <v>18 inch Aero</v>
      </c>
      <c r="Q1786" s="152" t="str">
        <f>IFERROR(__xludf.DUMMYFUNCTION("""COMPUTED_VALUE"""),"White seats")</f>
        <v>White seats</v>
      </c>
      <c r="R1786" s="149" t="str">
        <f>IFERROR(__xludf.DUMMYFUNCTION("""COMPUTED_VALUE"""),"Full Self-Driving")</f>
        <v>Full Self-Driving</v>
      </c>
      <c r="S1786" s="149"/>
      <c r="T1786" s="145"/>
      <c r="U1786" s="145"/>
      <c r="V1786" s="145"/>
      <c r="W1786" s="145"/>
      <c r="X1786" s="137" t="str">
        <f>IFERROR(__xludf.DUMMYFUNCTION("""COMPUTED_VALUE"""),"Excellent")</f>
        <v>Excellent</v>
      </c>
      <c r="Y1786" s="138" t="str">
        <f>IFERROR(__xludf.DUMMYFUNCTION("""COMPUTED_VALUE"""),"Excellent")</f>
        <v>Excellent</v>
      </c>
      <c r="Z1786" s="138" t="str">
        <f>IFERROR(__xludf.DUMMYFUNCTION("""COMPUTED_VALUE"""),"Excellent")</f>
        <v>Excellent</v>
      </c>
      <c r="AA1786" s="138" t="str">
        <f>IFERROR(__xludf.DUMMYFUNCTION("""COMPUTED_VALUE"""),"Poor")</f>
        <v>Poor</v>
      </c>
      <c r="AB1786" s="138" t="str">
        <f>IFERROR(__xludf.DUMMYFUNCTION("""COMPUTED_VALUE"""),"Fair")</f>
        <v>Fair</v>
      </c>
      <c r="AC1786" s="139">
        <f>IFERROR(__xludf.DUMMYFUNCTION("""COMPUTED_VALUE"""),0.0)</f>
        <v>0</v>
      </c>
      <c r="AD1786" s="139"/>
      <c r="AE1786" s="139"/>
      <c r="AF1786" s="140"/>
      <c r="AG1786" s="145" t="str">
        <f>IFERROR(__xludf.DUMMYFUNCTION("""COMPUTED_VALUE"""),"Weird Delivery Experience. Guy drove to my house. Didn't really explain the car features or anything like that. ")</f>
        <v>Weird Delivery Experience. Guy drove to my house. Didn't really explain the car features or anything like that. </v>
      </c>
      <c r="AH1786" s="157">
        <f>IFERROR(__xludf.DUMMYFUNCTION("""COMPUTED_VALUE"""),43739.61481480324)</f>
        <v>43739.61481</v>
      </c>
      <c r="AI1786" s="138"/>
      <c r="AJ1786" s="138"/>
      <c r="AK1786" s="138"/>
      <c r="AL1786" s="142"/>
    </row>
    <row r="1787" ht="20.25" customHeight="1">
      <c r="A1787" s="155" t="str">
        <f>IFERROR(__xludf.DUMMYFUNCTION("""COMPUTED_VALUE"""),"OhioJoe49")</f>
        <v>OhioJoe49</v>
      </c>
      <c r="B1787" s="149" t="str">
        <f>IFERROR(__xludf.DUMMYFUNCTION("""COMPUTED_VALUE"""),"Benicia")</f>
        <v>Benicia</v>
      </c>
      <c r="C1787" s="149" t="str">
        <f>IFERROR(__xludf.DUMMYFUNCTION("""COMPUTED_VALUE"""),"CA")</f>
        <v>CA</v>
      </c>
      <c r="D1787" s="149" t="str">
        <f>IFERROR(__xludf.DUMMYFUNCTION("""COMPUTED_VALUE"""),"USA")</f>
        <v>USA</v>
      </c>
      <c r="E1787" s="156">
        <f>IFERROR(__xludf.DUMMYFUNCTION("""COMPUTED_VALUE"""),43678.0)</f>
        <v>43678</v>
      </c>
      <c r="F1787" s="129">
        <f>IFERROR(__xludf.DUMMYFUNCTION("""COMPUTED_VALUE"""),43718.0)</f>
        <v>43718</v>
      </c>
      <c r="G1787" s="154"/>
      <c r="H1787" s="131">
        <f>IFERROR(__xludf.DUMMYFUNCTION("""COMPUTED_VALUE"""),494655.0)</f>
        <v>494655</v>
      </c>
      <c r="I1787" s="132" t="str">
        <f>IFERROR(__xludf.DUMMYFUNCTION("""COMPUTED_VALUE"""),"09/19")</f>
        <v>09/19</v>
      </c>
      <c r="J1787" s="129">
        <f>IFERROR(__xludf.DUMMYFUNCTION("""COMPUTED_VALUE"""),43719.0)</f>
        <v>43719</v>
      </c>
      <c r="K1787" s="133">
        <f>IFERROR(__xludf.DUMMYFUNCTION("""COMPUTED_VALUE"""),40.0)</f>
        <v>40</v>
      </c>
      <c r="L1787" s="133">
        <f>IFERROR(__xludf.DUMMYFUNCTION("""COMPUTED_VALUE"""),1.0)</f>
        <v>1</v>
      </c>
      <c r="M1787" s="133">
        <f>IFERROR(__xludf.DUMMYFUNCTION("""COMPUTED_VALUE"""),41.0)</f>
        <v>41</v>
      </c>
      <c r="N1787" s="152" t="str">
        <f>IFERROR(__xludf.DUMMYFUNCTION("""COMPUTED_VALUE"""),"Model 3 LR AWD")</f>
        <v>Model 3 LR AWD</v>
      </c>
      <c r="O1787" s="152" t="str">
        <f>IFERROR(__xludf.DUMMYFUNCTION("""COMPUTED_VALUE"""),"Pearl White Multi-Coat")</f>
        <v>Pearl White Multi-Coat</v>
      </c>
      <c r="P1787" s="153" t="str">
        <f>IFERROR(__xludf.DUMMYFUNCTION("""COMPUTED_VALUE"""),"18 inch Aero")</f>
        <v>18 inch Aero</v>
      </c>
      <c r="Q1787" s="152" t="str">
        <f>IFERROR(__xludf.DUMMYFUNCTION("""COMPUTED_VALUE"""),"White seats")</f>
        <v>White seats</v>
      </c>
      <c r="R1787" s="150" t="str">
        <f>IFERROR(__xludf.DUMMYFUNCTION("""COMPUTED_VALUE"""),"Autopilot")</f>
        <v>Autopilot</v>
      </c>
      <c r="S1787" s="150"/>
      <c r="T1787" s="136"/>
      <c r="U1787" s="136"/>
      <c r="V1787" s="136"/>
      <c r="W1787" s="136"/>
      <c r="X1787" s="137" t="str">
        <f>IFERROR(__xludf.DUMMYFUNCTION("""COMPUTED_VALUE"""),"Very Good")</f>
        <v>Very Good</v>
      </c>
      <c r="Y1787" s="138" t="str">
        <f>IFERROR(__xludf.DUMMYFUNCTION("""COMPUTED_VALUE"""),"Very Good")</f>
        <v>Very Good</v>
      </c>
      <c r="Z1787" s="138" t="str">
        <f>IFERROR(__xludf.DUMMYFUNCTION("""COMPUTED_VALUE"""),"Excellent")</f>
        <v>Excellent</v>
      </c>
      <c r="AA1787" s="138" t="str">
        <f>IFERROR(__xludf.DUMMYFUNCTION("""COMPUTED_VALUE"""),"Poor")</f>
        <v>Poor</v>
      </c>
      <c r="AB1787" s="138" t="str">
        <f>IFERROR(__xludf.DUMMYFUNCTION("""COMPUTED_VALUE"""),"Excellent")</f>
        <v>Excellent</v>
      </c>
      <c r="AC1787" s="139"/>
      <c r="AD1787" s="139"/>
      <c r="AE1787" s="139"/>
      <c r="AF1787" s="140"/>
      <c r="AG1787" s="136" t="str">
        <f>IFERROR(__xludf.DUMMYFUNCTION("""COMPUTED_VALUE"""),"Walnut Creek salesperson never contacted us with actual delivery date. No follow up after delivery.  I searched the Source code page, found I had a VIN. Called WC to check if the VIN was 'real'. Was asked when I wanted to pick it up. Set my own delivery d"&amp;"ate!")</f>
        <v>Walnut Creek salesperson never contacted us with actual delivery date. No follow up after delivery.  I searched the Source code page, found I had a VIN. Called WC to check if the VIN was 'real'. Was asked when I wanted to pick it up. Set my own delivery date!</v>
      </c>
      <c r="AH1787" s="157">
        <f>IFERROR(__xludf.DUMMYFUNCTION("""COMPUTED_VALUE"""),43730.64697598379)</f>
        <v>43730.64698</v>
      </c>
      <c r="AI1787" s="138"/>
      <c r="AJ1787" s="138"/>
      <c r="AK1787" s="138"/>
      <c r="AL1787" s="142"/>
    </row>
    <row r="1788" ht="20.25" customHeight="1">
      <c r="A1788" s="155" t="str">
        <f>IFERROR(__xludf.DUMMYFUNCTION("""COMPUTED_VALUE"""),"TrulyGoofy")</f>
        <v>TrulyGoofy</v>
      </c>
      <c r="B1788" s="149" t="str">
        <f>IFERROR(__xludf.DUMMYFUNCTION("""COMPUTED_VALUE"""),"Orange County")</f>
        <v>Orange County</v>
      </c>
      <c r="C1788" s="149" t="str">
        <f>IFERROR(__xludf.DUMMYFUNCTION("""COMPUTED_VALUE"""),"CA")</f>
        <v>CA</v>
      </c>
      <c r="D1788" s="149" t="str">
        <f>IFERROR(__xludf.DUMMYFUNCTION("""COMPUTED_VALUE"""),"USA")</f>
        <v>USA</v>
      </c>
      <c r="E1788" s="156">
        <f>IFERROR(__xludf.DUMMYFUNCTION("""COMPUTED_VALUE"""),43678.0)</f>
        <v>43678</v>
      </c>
      <c r="F1788" s="129">
        <f>IFERROR(__xludf.DUMMYFUNCTION("""COMPUTED_VALUE"""),43682.0)</f>
        <v>43682</v>
      </c>
      <c r="G1788" s="154"/>
      <c r="H1788" s="131"/>
      <c r="I1788" s="144"/>
      <c r="J1788" s="129">
        <f>IFERROR(__xludf.DUMMYFUNCTION("""COMPUTED_VALUE"""),43684.0)</f>
        <v>43684</v>
      </c>
      <c r="K1788" s="133">
        <f>IFERROR(__xludf.DUMMYFUNCTION("""COMPUTED_VALUE"""),4.0)</f>
        <v>4</v>
      </c>
      <c r="L1788" s="133">
        <f>IFERROR(__xludf.DUMMYFUNCTION("""COMPUTED_VALUE"""),2.0)</f>
        <v>2</v>
      </c>
      <c r="M1788" s="133">
        <f>IFERROR(__xludf.DUMMYFUNCTION("""COMPUTED_VALUE"""),6.0)</f>
        <v>6</v>
      </c>
      <c r="N1788" s="152" t="str">
        <f>IFERROR(__xludf.DUMMYFUNCTION("""COMPUTED_VALUE"""),"Model 3 SR+")</f>
        <v>Model 3 SR+</v>
      </c>
      <c r="O1788" s="152" t="str">
        <f>IFERROR(__xludf.DUMMYFUNCTION("""COMPUTED_VALUE"""),"Deep Blue Metallic")</f>
        <v>Deep Blue Metallic</v>
      </c>
      <c r="P1788" s="153" t="str">
        <f>IFERROR(__xludf.DUMMYFUNCTION("""COMPUTED_VALUE"""),"18 inch Aero")</f>
        <v>18 inch Aero</v>
      </c>
      <c r="Q1788" s="152" t="str">
        <f>IFERROR(__xludf.DUMMYFUNCTION("""COMPUTED_VALUE"""),"Black seats")</f>
        <v>Black seats</v>
      </c>
      <c r="R1788" s="149"/>
      <c r="S1788" s="149"/>
      <c r="T1788" s="145"/>
      <c r="U1788" s="145"/>
      <c r="V1788" s="145"/>
      <c r="W1788" s="145"/>
      <c r="X1788" s="137" t="str">
        <f>IFERROR(__xludf.DUMMYFUNCTION("""COMPUTED_VALUE"""),"Excellent")</f>
        <v>Excellent</v>
      </c>
      <c r="Y1788" s="138" t="str">
        <f>IFERROR(__xludf.DUMMYFUNCTION("""COMPUTED_VALUE"""),"Excellent")</f>
        <v>Excellent</v>
      </c>
      <c r="Z1788" s="138" t="str">
        <f>IFERROR(__xludf.DUMMYFUNCTION("""COMPUTED_VALUE"""),"Excellent")</f>
        <v>Excellent</v>
      </c>
      <c r="AA1788" s="138" t="str">
        <f>IFERROR(__xludf.DUMMYFUNCTION("""COMPUTED_VALUE"""),"Very Good")</f>
        <v>Very Good</v>
      </c>
      <c r="AB1788" s="138" t="str">
        <f>IFERROR(__xludf.DUMMYFUNCTION("""COMPUTED_VALUE"""),"Very Good")</f>
        <v>Very Good</v>
      </c>
      <c r="AC1788" s="139">
        <f>IFERROR(__xludf.DUMMYFUNCTION("""COMPUTED_VALUE"""),0.0)</f>
        <v>0</v>
      </c>
      <c r="AD1788" s="139">
        <f>IFERROR(__xludf.DUMMYFUNCTION("""COMPUTED_VALUE"""),0.0)</f>
        <v>0</v>
      </c>
      <c r="AE1788" s="139">
        <f>IFERROR(__xludf.DUMMYFUNCTION("""COMPUTED_VALUE"""),0.0)</f>
        <v>0</v>
      </c>
      <c r="AF1788" s="140"/>
      <c r="AG1788" s="145"/>
      <c r="AH1788" s="157">
        <f>IFERROR(__xludf.DUMMYFUNCTION("""COMPUTED_VALUE"""),43692.576603877314)</f>
        <v>43692.5766</v>
      </c>
      <c r="AI1788" s="138"/>
      <c r="AJ1788" s="138"/>
      <c r="AK1788" s="138"/>
      <c r="AL1788" s="142"/>
    </row>
    <row r="1789" ht="20.25" customHeight="1">
      <c r="A1789" s="155" t="str">
        <f>IFERROR(__xludf.DUMMYFUNCTION("""COMPUTED_VALUE"""),"Apester")</f>
        <v>Apester</v>
      </c>
      <c r="B1789" s="149" t="str">
        <f>IFERROR(__xludf.DUMMYFUNCTION("""COMPUTED_VALUE"""),"Bellevue")</f>
        <v>Bellevue</v>
      </c>
      <c r="C1789" s="149" t="str">
        <f>IFERROR(__xludf.DUMMYFUNCTION("""COMPUTED_VALUE"""),"WA")</f>
        <v>WA</v>
      </c>
      <c r="D1789" s="149" t="str">
        <f>IFERROR(__xludf.DUMMYFUNCTION("""COMPUTED_VALUE"""),"USA")</f>
        <v>USA</v>
      </c>
      <c r="E1789" s="156">
        <f>IFERROR(__xludf.DUMMYFUNCTION("""COMPUTED_VALUE"""),43677.0)</f>
        <v>43677</v>
      </c>
      <c r="F1789" s="129">
        <f>IFERROR(__xludf.DUMMYFUNCTION("""COMPUTED_VALUE"""),43716.0)</f>
        <v>43716</v>
      </c>
      <c r="G1789" s="154"/>
      <c r="H1789" s="131">
        <f>IFERROR(__xludf.DUMMYFUNCTION("""COMPUTED_VALUE"""),493955.0)</f>
        <v>493955</v>
      </c>
      <c r="I1789" s="144" t="str">
        <f>IFERROR(__xludf.DUMMYFUNCTION("""COMPUTED_VALUE"""),"09/19")</f>
        <v>09/19</v>
      </c>
      <c r="J1789" s="129">
        <f>IFERROR(__xludf.DUMMYFUNCTION("""COMPUTED_VALUE"""),43721.0)</f>
        <v>43721</v>
      </c>
      <c r="K1789" s="133">
        <f>IFERROR(__xludf.DUMMYFUNCTION("""COMPUTED_VALUE"""),39.0)</f>
        <v>39</v>
      </c>
      <c r="L1789" s="133">
        <f>IFERROR(__xludf.DUMMYFUNCTION("""COMPUTED_VALUE"""),5.0)</f>
        <v>5</v>
      </c>
      <c r="M1789" s="133">
        <f>IFERROR(__xludf.DUMMYFUNCTION("""COMPUTED_VALUE"""),44.0)</f>
        <v>44</v>
      </c>
      <c r="N1789" s="152" t="str">
        <f>IFERROR(__xludf.DUMMYFUNCTION("""COMPUTED_VALUE"""),"Model 3 LR AWD")</f>
        <v>Model 3 LR AWD</v>
      </c>
      <c r="O1789" s="152" t="str">
        <f>IFERROR(__xludf.DUMMYFUNCTION("""COMPUTED_VALUE"""),"Pearl White Multi-Coat")</f>
        <v>Pearl White Multi-Coat</v>
      </c>
      <c r="P1789" s="153" t="str">
        <f>IFERROR(__xludf.DUMMYFUNCTION("""COMPUTED_VALUE"""),"18 inch Aero")</f>
        <v>18 inch Aero</v>
      </c>
      <c r="Q1789" s="152" t="str">
        <f>IFERROR(__xludf.DUMMYFUNCTION("""COMPUTED_VALUE"""),"Black seats")</f>
        <v>Black seats</v>
      </c>
      <c r="R1789" s="149" t="str">
        <f>IFERROR(__xludf.DUMMYFUNCTION("""COMPUTED_VALUE"""),"Full Self-Driving")</f>
        <v>Full Self-Driving</v>
      </c>
      <c r="S1789" s="149"/>
      <c r="T1789" s="145"/>
      <c r="U1789" s="145"/>
      <c r="V1789" s="145"/>
      <c r="W1789" s="136"/>
      <c r="X1789" s="137" t="str">
        <f>IFERROR(__xludf.DUMMYFUNCTION("""COMPUTED_VALUE"""),"Excellent")</f>
        <v>Excellent</v>
      </c>
      <c r="Y1789" s="138" t="str">
        <f>IFERROR(__xludf.DUMMYFUNCTION("""COMPUTED_VALUE"""),"Excellent")</f>
        <v>Excellent</v>
      </c>
      <c r="Z1789" s="138" t="str">
        <f>IFERROR(__xludf.DUMMYFUNCTION("""COMPUTED_VALUE"""),"Excellent")</f>
        <v>Excellent</v>
      </c>
      <c r="AA1789" s="138" t="str">
        <f>IFERROR(__xludf.DUMMYFUNCTION("""COMPUTED_VALUE"""),"Fair")</f>
        <v>Fair</v>
      </c>
      <c r="AB1789" s="138" t="str">
        <f>IFERROR(__xludf.DUMMYFUNCTION("""COMPUTED_VALUE"""),"Very Good")</f>
        <v>Very Good</v>
      </c>
      <c r="AC1789" s="139">
        <f>IFERROR(__xludf.DUMMYFUNCTION("""COMPUTED_VALUE"""),0.0)</f>
        <v>0</v>
      </c>
      <c r="AD1789" s="139">
        <f>IFERROR(__xludf.DUMMYFUNCTION("""COMPUTED_VALUE"""),0.0)</f>
        <v>0</v>
      </c>
      <c r="AE1789" s="139">
        <f>IFERROR(__xludf.DUMMYFUNCTION("""COMPUTED_VALUE"""),0.0)</f>
        <v>0</v>
      </c>
      <c r="AF1789" s="140"/>
      <c r="AG1789" s="136" t="str">
        <f>IFERROR(__xludf.DUMMYFUNCTION("""COMPUTED_VALUE"""),"Aug 22nd, Initial vehicle was damaged in transit. Back to square one waiting. ")</f>
        <v>Aug 22nd, Initial vehicle was damaged in transit. Back to square one waiting. </v>
      </c>
      <c r="AH1789" s="157">
        <f>IFERROR(__xludf.DUMMYFUNCTION("""COMPUTED_VALUE"""),43806.62956163195)</f>
        <v>43806.62956</v>
      </c>
      <c r="AI1789" s="138"/>
      <c r="AJ1789" s="138"/>
      <c r="AK1789" s="138"/>
      <c r="AL1789" s="142"/>
    </row>
    <row r="1790" ht="20.25" customHeight="1">
      <c r="A1790" s="155" t="str">
        <f>IFERROR(__xludf.DUMMYFUNCTION("""COMPUTED_VALUE"""),"EVRD")</f>
        <v>EVRD</v>
      </c>
      <c r="B1790" s="149" t="str">
        <f>IFERROR(__xludf.DUMMYFUNCTION("""COMPUTED_VALUE"""),"Columbus")</f>
        <v>Columbus</v>
      </c>
      <c r="C1790" s="149" t="str">
        <f>IFERROR(__xludf.DUMMYFUNCTION("""COMPUTED_VALUE"""),"OH")</f>
        <v>OH</v>
      </c>
      <c r="D1790" s="149" t="str">
        <f>IFERROR(__xludf.DUMMYFUNCTION("""COMPUTED_VALUE"""),"USA")</f>
        <v>USA</v>
      </c>
      <c r="E1790" s="156">
        <f>IFERROR(__xludf.DUMMYFUNCTION("""COMPUTED_VALUE"""),43677.0)</f>
        <v>43677</v>
      </c>
      <c r="F1790" s="129">
        <f>IFERROR(__xludf.DUMMYFUNCTION("""COMPUTED_VALUE"""),43694.0)</f>
        <v>43694</v>
      </c>
      <c r="G1790" s="154"/>
      <c r="H1790" s="131">
        <f>IFERROR(__xludf.DUMMYFUNCTION("""COMPUTED_VALUE"""),469955.0)</f>
        <v>469955</v>
      </c>
      <c r="I1790" s="144" t="str">
        <f>IFERROR(__xludf.DUMMYFUNCTION("""COMPUTED_VALUE"""),"08/19")</f>
        <v>08/19</v>
      </c>
      <c r="J1790" s="129">
        <f>IFERROR(__xludf.DUMMYFUNCTION("""COMPUTED_VALUE"""),43700.0)</f>
        <v>43700</v>
      </c>
      <c r="K1790" s="133">
        <f>IFERROR(__xludf.DUMMYFUNCTION("""COMPUTED_VALUE"""),17.0)</f>
        <v>17</v>
      </c>
      <c r="L1790" s="133">
        <f>IFERROR(__xludf.DUMMYFUNCTION("""COMPUTED_VALUE"""),6.0)</f>
        <v>6</v>
      </c>
      <c r="M1790" s="133">
        <f>IFERROR(__xludf.DUMMYFUNCTION("""COMPUTED_VALUE"""),23.0)</f>
        <v>23</v>
      </c>
      <c r="N1790" s="152" t="str">
        <f>IFERROR(__xludf.DUMMYFUNCTION("""COMPUTED_VALUE"""),"Model 3 LR AWD")</f>
        <v>Model 3 LR AWD</v>
      </c>
      <c r="O1790" s="152" t="str">
        <f>IFERROR(__xludf.DUMMYFUNCTION("""COMPUTED_VALUE"""),"Pearl White Multi-Coat")</f>
        <v>Pearl White Multi-Coat</v>
      </c>
      <c r="P1790" s="153" t="str">
        <f>IFERROR(__xludf.DUMMYFUNCTION("""COMPUTED_VALUE"""),"19 inch Sport")</f>
        <v>19 inch Sport</v>
      </c>
      <c r="Q1790" s="152" t="str">
        <f>IFERROR(__xludf.DUMMYFUNCTION("""COMPUTED_VALUE"""),"White seats")</f>
        <v>White seats</v>
      </c>
      <c r="R1790" s="149" t="str">
        <f>IFERROR(__xludf.DUMMYFUNCTION("""COMPUTED_VALUE"""),"Autopilot")</f>
        <v>Autopilot</v>
      </c>
      <c r="S1790" s="149"/>
      <c r="T1790" s="145"/>
      <c r="U1790" s="145"/>
      <c r="V1790" s="145"/>
      <c r="W1790" s="136"/>
      <c r="X1790" s="137" t="str">
        <f>IFERROR(__xludf.DUMMYFUNCTION("""COMPUTED_VALUE"""),"Very Good")</f>
        <v>Very Good</v>
      </c>
      <c r="Y1790" s="138" t="str">
        <f>IFERROR(__xludf.DUMMYFUNCTION("""COMPUTED_VALUE"""),"Excellent")</f>
        <v>Excellent</v>
      </c>
      <c r="Z1790" s="138" t="str">
        <f>IFERROR(__xludf.DUMMYFUNCTION("""COMPUTED_VALUE"""),"Very Good")</f>
        <v>Very Good</v>
      </c>
      <c r="AA1790" s="138" t="str">
        <f>IFERROR(__xludf.DUMMYFUNCTION("""COMPUTED_VALUE"""),"Good")</f>
        <v>Good</v>
      </c>
      <c r="AB1790" s="138" t="str">
        <f>IFERROR(__xludf.DUMMYFUNCTION("""COMPUTED_VALUE"""),"Excellent")</f>
        <v>Excellent</v>
      </c>
      <c r="AC1790" s="139"/>
      <c r="AD1790" s="139"/>
      <c r="AE1790" s="139"/>
      <c r="AF1790" s="140"/>
      <c r="AG1790" s="136"/>
      <c r="AH1790" s="157">
        <f>IFERROR(__xludf.DUMMYFUNCTION("""COMPUTED_VALUE"""),43701.304259108794)</f>
        <v>43701.30426</v>
      </c>
      <c r="AI1790" s="138"/>
      <c r="AJ1790" s="138"/>
      <c r="AK1790" s="138"/>
      <c r="AL1790" s="142"/>
    </row>
    <row r="1791" ht="20.25" customHeight="1">
      <c r="A1791" s="155" t="str">
        <f>IFERROR(__xludf.DUMMYFUNCTION("""COMPUTED_VALUE"""),"JGM3")</f>
        <v>JGM3</v>
      </c>
      <c r="B1791" s="149" t="str">
        <f>IFERROR(__xludf.DUMMYFUNCTION("""COMPUTED_VALUE"""),"Perry Hall")</f>
        <v>Perry Hall</v>
      </c>
      <c r="C1791" s="149" t="str">
        <f>IFERROR(__xludf.DUMMYFUNCTION("""COMPUTED_VALUE"""),"MD")</f>
        <v>MD</v>
      </c>
      <c r="D1791" s="149" t="str">
        <f>IFERROR(__xludf.DUMMYFUNCTION("""COMPUTED_VALUE"""),"USA")</f>
        <v>USA</v>
      </c>
      <c r="E1791" s="156">
        <f>IFERROR(__xludf.DUMMYFUNCTION("""COMPUTED_VALUE"""),43677.0)</f>
        <v>43677</v>
      </c>
      <c r="F1791" s="129">
        <f>IFERROR(__xludf.DUMMYFUNCTION("""COMPUTED_VALUE"""),43695.0)</f>
        <v>43695</v>
      </c>
      <c r="G1791" s="154"/>
      <c r="H1791" s="131">
        <f>IFERROR(__xludf.DUMMYFUNCTION("""COMPUTED_VALUE"""),469255.0)</f>
        <v>469255</v>
      </c>
      <c r="I1791" s="144"/>
      <c r="J1791" s="129">
        <f>IFERROR(__xludf.DUMMYFUNCTION("""COMPUTED_VALUE"""),43703.0)</f>
        <v>43703</v>
      </c>
      <c r="K1791" s="133">
        <f>IFERROR(__xludf.DUMMYFUNCTION("""COMPUTED_VALUE"""),18.0)</f>
        <v>18</v>
      </c>
      <c r="L1791" s="133">
        <f>IFERROR(__xludf.DUMMYFUNCTION("""COMPUTED_VALUE"""),8.0)</f>
        <v>8</v>
      </c>
      <c r="M1791" s="133">
        <f>IFERROR(__xludf.DUMMYFUNCTION("""COMPUTED_VALUE"""),26.0)</f>
        <v>26</v>
      </c>
      <c r="N1791" s="152" t="str">
        <f>IFERROR(__xludf.DUMMYFUNCTION("""COMPUTED_VALUE"""),"Model 3 LR AWD")</f>
        <v>Model 3 LR AWD</v>
      </c>
      <c r="O1791" s="152" t="str">
        <f>IFERROR(__xludf.DUMMYFUNCTION("""COMPUTED_VALUE"""),"Pearl White Multi-Coat")</f>
        <v>Pearl White Multi-Coat</v>
      </c>
      <c r="P1791" s="153" t="str">
        <f>IFERROR(__xludf.DUMMYFUNCTION("""COMPUTED_VALUE"""),"18 inch Aero")</f>
        <v>18 inch Aero</v>
      </c>
      <c r="Q1791" s="152" t="str">
        <f>IFERROR(__xludf.DUMMYFUNCTION("""COMPUTED_VALUE"""),"Black seats")</f>
        <v>Black seats</v>
      </c>
      <c r="R1791" s="149" t="str">
        <f>IFERROR(__xludf.DUMMYFUNCTION("""COMPUTED_VALUE"""),"Full Self-Driving")</f>
        <v>Full Self-Driving</v>
      </c>
      <c r="S1791" s="149"/>
      <c r="T1791" s="145"/>
      <c r="U1791" s="145"/>
      <c r="V1791" s="145"/>
      <c r="W1791" s="145"/>
      <c r="X1791" s="137" t="str">
        <f>IFERROR(__xludf.DUMMYFUNCTION("""COMPUTED_VALUE"""),"Good")</f>
        <v>Good</v>
      </c>
      <c r="Y1791" s="138" t="str">
        <f>IFERROR(__xludf.DUMMYFUNCTION("""COMPUTED_VALUE"""),"Excellent")</f>
        <v>Excellent</v>
      </c>
      <c r="Z1791" s="138" t="str">
        <f>IFERROR(__xludf.DUMMYFUNCTION("""COMPUTED_VALUE"""),"Excellent")</f>
        <v>Excellent</v>
      </c>
      <c r="AA1791" s="138" t="str">
        <f>IFERROR(__xludf.DUMMYFUNCTION("""COMPUTED_VALUE"""),"Excellent")</f>
        <v>Excellent</v>
      </c>
      <c r="AB1791" s="138" t="str">
        <f>IFERROR(__xludf.DUMMYFUNCTION("""COMPUTED_VALUE"""),"Very Good")</f>
        <v>Very Good</v>
      </c>
      <c r="AC1791" s="139"/>
      <c r="AD1791" s="139"/>
      <c r="AE1791" s="139"/>
      <c r="AF1791" s="140"/>
      <c r="AG1791" s="145"/>
      <c r="AH1791" s="157">
        <f>IFERROR(__xludf.DUMMYFUNCTION("""COMPUTED_VALUE"""),43703.382845983804)</f>
        <v>43703.38285</v>
      </c>
      <c r="AI1791" s="138"/>
      <c r="AJ1791" s="138"/>
      <c r="AK1791" s="138"/>
      <c r="AL1791" s="142"/>
    </row>
    <row r="1792" ht="20.25" customHeight="1">
      <c r="A1792" s="155" t="str">
        <f>IFERROR(__xludf.DUMMYFUNCTION("""COMPUTED_VALUE"""),"TheKMAP")</f>
        <v>TheKMAP</v>
      </c>
      <c r="B1792" s="149"/>
      <c r="C1792" s="149" t="str">
        <f>IFERROR(__xludf.DUMMYFUNCTION("""COMPUTED_VALUE"""),"CA")</f>
        <v>CA</v>
      </c>
      <c r="D1792" s="149" t="str">
        <f>IFERROR(__xludf.DUMMYFUNCTION("""COMPUTED_VALUE"""),"USA")</f>
        <v>USA</v>
      </c>
      <c r="E1792" s="156">
        <f>IFERROR(__xludf.DUMMYFUNCTION("""COMPUTED_VALUE"""),43677.0)</f>
        <v>43677</v>
      </c>
      <c r="F1792" s="129">
        <f>IFERROR(__xludf.DUMMYFUNCTION("""COMPUTED_VALUE"""),43733.0)</f>
        <v>43733</v>
      </c>
      <c r="G1792" s="154"/>
      <c r="H1792" s="131">
        <f>IFERROR(__xludf.DUMMYFUNCTION("""COMPUTED_VALUE"""),477655.0)</f>
        <v>477655</v>
      </c>
      <c r="I1792" s="144" t="str">
        <f>IFERROR(__xludf.DUMMYFUNCTION("""COMPUTED_VALUE"""),"09/19")</f>
        <v>09/19</v>
      </c>
      <c r="J1792" s="129">
        <f>IFERROR(__xludf.DUMMYFUNCTION("""COMPUTED_VALUE"""),43734.0)</f>
        <v>43734</v>
      </c>
      <c r="K1792" s="133">
        <f>IFERROR(__xludf.DUMMYFUNCTION("""COMPUTED_VALUE"""),56.0)</f>
        <v>56</v>
      </c>
      <c r="L1792" s="133">
        <f>IFERROR(__xludf.DUMMYFUNCTION("""COMPUTED_VALUE"""),1.0)</f>
        <v>1</v>
      </c>
      <c r="M1792" s="133">
        <f>IFERROR(__xludf.DUMMYFUNCTION("""COMPUTED_VALUE"""),57.0)</f>
        <v>57</v>
      </c>
      <c r="N1792" s="152" t="str">
        <f>IFERROR(__xludf.DUMMYFUNCTION("""COMPUTED_VALUE"""),"Model 3 Performance")</f>
        <v>Model 3 Performance</v>
      </c>
      <c r="O1792" s="152" t="str">
        <f>IFERROR(__xludf.DUMMYFUNCTION("""COMPUTED_VALUE"""),"Red Multi-Coat")</f>
        <v>Red Multi-Coat</v>
      </c>
      <c r="P1792" s="153" t="str">
        <f>IFERROR(__xludf.DUMMYFUNCTION("""COMPUTED_VALUE"""),"20 inch Sport")</f>
        <v>20 inch Sport</v>
      </c>
      <c r="Q1792" s="152" t="str">
        <f>IFERROR(__xludf.DUMMYFUNCTION("""COMPUTED_VALUE"""),"White seats")</f>
        <v>White seats</v>
      </c>
      <c r="R1792" s="149" t="str">
        <f>IFERROR(__xludf.DUMMYFUNCTION("""COMPUTED_VALUE"""),"Full Self-Driving")</f>
        <v>Full Self-Driving</v>
      </c>
      <c r="S1792" s="149"/>
      <c r="T1792" s="145"/>
      <c r="U1792" s="145"/>
      <c r="V1792" s="145"/>
      <c r="W1792" s="136"/>
      <c r="X1792" s="137" t="str">
        <f>IFERROR(__xludf.DUMMYFUNCTION("""COMPUTED_VALUE"""),"Fair")</f>
        <v>Fair</v>
      </c>
      <c r="Y1792" s="138" t="str">
        <f>IFERROR(__xludf.DUMMYFUNCTION("""COMPUTED_VALUE"""),"Good")</f>
        <v>Good</v>
      </c>
      <c r="Z1792" s="138" t="str">
        <f>IFERROR(__xludf.DUMMYFUNCTION("""COMPUTED_VALUE"""),"Good")</f>
        <v>Good</v>
      </c>
      <c r="AA1792" s="138" t="str">
        <f>IFERROR(__xludf.DUMMYFUNCTION("""COMPUTED_VALUE"""),"Poor")</f>
        <v>Poor</v>
      </c>
      <c r="AB1792" s="138" t="str">
        <f>IFERROR(__xludf.DUMMYFUNCTION("""COMPUTED_VALUE"""),"Good")</f>
        <v>Good</v>
      </c>
      <c r="AC1792" s="139"/>
      <c r="AD1792" s="139"/>
      <c r="AE1792" s="139"/>
      <c r="AF1792" s="140"/>
      <c r="AG1792" s="145"/>
      <c r="AH1792" s="157">
        <f>IFERROR(__xludf.DUMMYFUNCTION("""COMPUTED_VALUE"""),43737.5786379051)</f>
        <v>43737.57864</v>
      </c>
      <c r="AI1792" s="138"/>
      <c r="AJ1792" s="138"/>
      <c r="AK1792" s="138"/>
      <c r="AL1792" s="142"/>
    </row>
    <row r="1793" ht="20.25" customHeight="1">
      <c r="A1793" s="155" t="str">
        <f>IFERROR(__xludf.DUMMYFUNCTION("""COMPUTED_VALUE"""),"patbaker82")</f>
        <v>patbaker82</v>
      </c>
      <c r="B1793" s="149" t="str">
        <f>IFERROR(__xludf.DUMMYFUNCTION("""COMPUTED_VALUE"""),"San Diego")</f>
        <v>San Diego</v>
      </c>
      <c r="C1793" s="149" t="str">
        <f>IFERROR(__xludf.DUMMYFUNCTION("""COMPUTED_VALUE"""),"CA")</f>
        <v>CA</v>
      </c>
      <c r="D1793" s="149" t="str">
        <f>IFERROR(__xludf.DUMMYFUNCTION("""COMPUTED_VALUE"""),"USA")</f>
        <v>USA</v>
      </c>
      <c r="E1793" s="156">
        <f>IFERROR(__xludf.DUMMYFUNCTION("""COMPUTED_VALUE"""),43676.0)</f>
        <v>43676</v>
      </c>
      <c r="F1793" s="129">
        <f>IFERROR(__xludf.DUMMYFUNCTION("""COMPUTED_VALUE"""),43679.0)</f>
        <v>43679</v>
      </c>
      <c r="G1793" s="154"/>
      <c r="H1793" s="131">
        <f>IFERROR(__xludf.DUMMYFUNCTION("""COMPUTED_VALUE"""),470055.0)</f>
        <v>470055</v>
      </c>
      <c r="I1793" s="132"/>
      <c r="J1793" s="129">
        <f>IFERROR(__xludf.DUMMYFUNCTION("""COMPUTED_VALUE"""),43685.0)</f>
        <v>43685</v>
      </c>
      <c r="K1793" s="133">
        <f>IFERROR(__xludf.DUMMYFUNCTION("""COMPUTED_VALUE"""),3.0)</f>
        <v>3</v>
      </c>
      <c r="L1793" s="133">
        <f>IFERROR(__xludf.DUMMYFUNCTION("""COMPUTED_VALUE"""),6.0)</f>
        <v>6</v>
      </c>
      <c r="M1793" s="133">
        <f>IFERROR(__xludf.DUMMYFUNCTION("""COMPUTED_VALUE"""),9.0)</f>
        <v>9</v>
      </c>
      <c r="N1793" s="152" t="str">
        <f>IFERROR(__xludf.DUMMYFUNCTION("""COMPUTED_VALUE"""),"Model 3 Performance")</f>
        <v>Model 3 Performance</v>
      </c>
      <c r="O1793" s="152" t="str">
        <f>IFERROR(__xludf.DUMMYFUNCTION("""COMPUTED_VALUE"""),"Red Multi-Coat")</f>
        <v>Red Multi-Coat</v>
      </c>
      <c r="P1793" s="153" t="str">
        <f>IFERROR(__xludf.DUMMYFUNCTION("""COMPUTED_VALUE"""),"20 inch Sport")</f>
        <v>20 inch Sport</v>
      </c>
      <c r="Q1793" s="152" t="str">
        <f>IFERROR(__xludf.DUMMYFUNCTION("""COMPUTED_VALUE"""),"Black seats")</f>
        <v>Black seats</v>
      </c>
      <c r="R1793" s="150" t="str">
        <f>IFERROR(__xludf.DUMMYFUNCTION("""COMPUTED_VALUE"""),"Full Self-Driving")</f>
        <v>Full Self-Driving</v>
      </c>
      <c r="S1793" s="150"/>
      <c r="T1793" s="136"/>
      <c r="U1793" s="136"/>
      <c r="V1793" s="136"/>
      <c r="W1793" s="136"/>
      <c r="X1793" s="137" t="str">
        <f>IFERROR(__xludf.DUMMYFUNCTION("""COMPUTED_VALUE"""),"Excellent")</f>
        <v>Excellent</v>
      </c>
      <c r="Y1793" s="138" t="str">
        <f>IFERROR(__xludf.DUMMYFUNCTION("""COMPUTED_VALUE"""),"Excellent")</f>
        <v>Excellent</v>
      </c>
      <c r="Z1793" s="138" t="str">
        <f>IFERROR(__xludf.DUMMYFUNCTION("""COMPUTED_VALUE"""),"Excellent")</f>
        <v>Excellent</v>
      </c>
      <c r="AA1793" s="138" t="str">
        <f>IFERROR(__xludf.DUMMYFUNCTION("""COMPUTED_VALUE"""),"Excellent")</f>
        <v>Excellent</v>
      </c>
      <c r="AB1793" s="138" t="str">
        <f>IFERROR(__xludf.DUMMYFUNCTION("""COMPUTED_VALUE"""),"Excellent")</f>
        <v>Excellent</v>
      </c>
      <c r="AC1793" s="139">
        <f>IFERROR(__xludf.DUMMYFUNCTION("""COMPUTED_VALUE"""),1.0)</f>
        <v>1</v>
      </c>
      <c r="AD1793" s="139"/>
      <c r="AE1793" s="139"/>
      <c r="AF1793" s="140"/>
      <c r="AG1793" s="136"/>
      <c r="AH1793" s="157">
        <f>IFERROR(__xludf.DUMMYFUNCTION("""COMPUTED_VALUE"""),43686.26587840277)</f>
        <v>43686.26588</v>
      </c>
      <c r="AI1793" s="138"/>
      <c r="AJ1793" s="138"/>
      <c r="AK1793" s="138"/>
      <c r="AL1793" s="142"/>
    </row>
    <row r="1794" ht="20.25" customHeight="1">
      <c r="A1794" s="155" t="str">
        <f>IFERROR(__xludf.DUMMYFUNCTION("""COMPUTED_VALUE"""),"mastervm")</f>
        <v>mastervm</v>
      </c>
      <c r="B1794" s="149" t="str">
        <f>IFERROR(__xludf.DUMMYFUNCTION("""COMPUTED_VALUE"""),"South San Francisco")</f>
        <v>South San Francisco</v>
      </c>
      <c r="C1794" s="149" t="str">
        <f>IFERROR(__xludf.DUMMYFUNCTION("""COMPUTED_VALUE"""),"CA")</f>
        <v>CA</v>
      </c>
      <c r="D1794" s="149" t="str">
        <f>IFERROR(__xludf.DUMMYFUNCTION("""COMPUTED_VALUE"""),"USA")</f>
        <v>USA</v>
      </c>
      <c r="E1794" s="156">
        <f>IFERROR(__xludf.DUMMYFUNCTION("""COMPUTED_VALUE"""),43675.0)</f>
        <v>43675</v>
      </c>
      <c r="F1794" s="129">
        <f>IFERROR(__xludf.DUMMYFUNCTION("""COMPUTED_VALUE"""),43716.0)</f>
        <v>43716</v>
      </c>
      <c r="G1794" s="154"/>
      <c r="H1794" s="131">
        <f>IFERROR(__xludf.DUMMYFUNCTION("""COMPUTED_VALUE"""),454937.0)</f>
        <v>454937</v>
      </c>
      <c r="I1794" s="144" t="str">
        <f>IFERROR(__xludf.DUMMYFUNCTION("""COMPUTED_VALUE"""),"09/19")</f>
        <v>09/19</v>
      </c>
      <c r="J1794" s="129">
        <f>IFERROR(__xludf.DUMMYFUNCTION("""COMPUTED_VALUE"""),43722.0)</f>
        <v>43722</v>
      </c>
      <c r="K1794" s="133">
        <f>IFERROR(__xludf.DUMMYFUNCTION("""COMPUTED_VALUE"""),41.0)</f>
        <v>41</v>
      </c>
      <c r="L1794" s="133">
        <f>IFERROR(__xludf.DUMMYFUNCTION("""COMPUTED_VALUE"""),6.0)</f>
        <v>6</v>
      </c>
      <c r="M1794" s="133">
        <f>IFERROR(__xludf.DUMMYFUNCTION("""COMPUTED_VALUE"""),47.0)</f>
        <v>47</v>
      </c>
      <c r="N1794" s="152" t="str">
        <f>IFERROR(__xludf.DUMMYFUNCTION("""COMPUTED_VALUE"""),"Model 3 Performance")</f>
        <v>Model 3 Performance</v>
      </c>
      <c r="O1794" s="152" t="str">
        <f>IFERROR(__xludf.DUMMYFUNCTION("""COMPUTED_VALUE"""),"Red Multi-Coat")</f>
        <v>Red Multi-Coat</v>
      </c>
      <c r="P1794" s="153" t="str">
        <f>IFERROR(__xludf.DUMMYFUNCTION("""COMPUTED_VALUE"""),"20 inch Sport")</f>
        <v>20 inch Sport</v>
      </c>
      <c r="Q1794" s="152" t="str">
        <f>IFERROR(__xludf.DUMMYFUNCTION("""COMPUTED_VALUE"""),"White seats")</f>
        <v>White seats</v>
      </c>
      <c r="R1794" s="149" t="str">
        <f>IFERROR(__xludf.DUMMYFUNCTION("""COMPUTED_VALUE"""),"Full Self-Driving")</f>
        <v>Full Self-Driving</v>
      </c>
      <c r="S1794" s="149"/>
      <c r="T1794" s="145"/>
      <c r="U1794" s="145"/>
      <c r="V1794" s="145"/>
      <c r="W1794" s="145"/>
      <c r="X1794" s="137" t="str">
        <f>IFERROR(__xludf.DUMMYFUNCTION("""COMPUTED_VALUE"""),"Excellent")</f>
        <v>Excellent</v>
      </c>
      <c r="Y1794" s="138" t="str">
        <f>IFERROR(__xludf.DUMMYFUNCTION("""COMPUTED_VALUE"""),"Excellent")</f>
        <v>Excellent</v>
      </c>
      <c r="Z1794" s="138" t="str">
        <f>IFERROR(__xludf.DUMMYFUNCTION("""COMPUTED_VALUE"""),"Very Good")</f>
        <v>Very Good</v>
      </c>
      <c r="AA1794" s="138" t="str">
        <f>IFERROR(__xludf.DUMMYFUNCTION("""COMPUTED_VALUE"""),"Poor")</f>
        <v>Poor</v>
      </c>
      <c r="AB1794" s="138" t="str">
        <f>IFERROR(__xludf.DUMMYFUNCTION("""COMPUTED_VALUE"""),"Very Good")</f>
        <v>Very Good</v>
      </c>
      <c r="AC1794" s="139">
        <f>IFERROR(__xludf.DUMMYFUNCTION("""COMPUTED_VALUE"""),6.0)</f>
        <v>6</v>
      </c>
      <c r="AD1794" s="139">
        <f>IFERROR(__xludf.DUMMYFUNCTION("""COMPUTED_VALUE"""),1.0)</f>
        <v>1</v>
      </c>
      <c r="AE1794" s="139">
        <f>IFERROR(__xludf.DUMMYFUNCTION("""COMPUTED_VALUE"""),1.0)</f>
        <v>1</v>
      </c>
      <c r="AF1794" s="140"/>
      <c r="AG1794" s="145" t="str">
        <f>IFERROR(__xludf.DUMMYFUNCTION("""COMPUTED_VALUE"""),"Scratch, left rear side panel - topcoat sanded and buffed during delivery. Chip, right rear passenger door - SC fixed. Missing bolt, front passenger door, causes door to not stay open and is scratching joint area - SC fixed, Spoiler lifting - SC replaced,"&amp;" Windshield defect inside passenger-side - SC replaced.")</f>
        <v>Scratch, left rear side panel - topcoat sanded and buffed during delivery. Chip, right rear passenger door - SC fixed. Missing bolt, front passenger door, causes door to not stay open and is scratching joint area - SC fixed, Spoiler lifting - SC replaced, Windshield defect inside passenger-side - SC replaced.</v>
      </c>
      <c r="AH1794" s="157">
        <f>IFERROR(__xludf.DUMMYFUNCTION("""COMPUTED_VALUE"""),43755.3485846875)</f>
        <v>43755.34858</v>
      </c>
      <c r="AI1794" s="138"/>
      <c r="AJ1794" s="138"/>
      <c r="AK1794" s="138"/>
      <c r="AL1794" s="142"/>
    </row>
    <row r="1795" ht="20.25" customHeight="1">
      <c r="A1795" s="155" t="str">
        <f>IFERROR(__xludf.DUMMYFUNCTION("""COMPUTED_VALUE"""),"VPP")</f>
        <v>VPP</v>
      </c>
      <c r="B1795" s="149" t="str">
        <f>IFERROR(__xludf.DUMMYFUNCTION("""COMPUTED_VALUE"""),"Phoenix")</f>
        <v>Phoenix</v>
      </c>
      <c r="C1795" s="149" t="str">
        <f>IFERROR(__xludf.DUMMYFUNCTION("""COMPUTED_VALUE"""),"AZ")</f>
        <v>AZ</v>
      </c>
      <c r="D1795" s="149" t="str">
        <f>IFERROR(__xludf.DUMMYFUNCTION("""COMPUTED_VALUE"""),"USA")</f>
        <v>USA</v>
      </c>
      <c r="E1795" s="156">
        <f>IFERROR(__xludf.DUMMYFUNCTION("""COMPUTED_VALUE"""),43675.0)</f>
        <v>43675</v>
      </c>
      <c r="F1795" s="129">
        <f>IFERROR(__xludf.DUMMYFUNCTION("""COMPUTED_VALUE"""),43724.0)</f>
        <v>43724</v>
      </c>
      <c r="G1795" s="154"/>
      <c r="H1795" s="131"/>
      <c r="I1795" s="144"/>
      <c r="J1795" s="129">
        <f>IFERROR(__xludf.DUMMYFUNCTION("""COMPUTED_VALUE"""),43728.0)</f>
        <v>43728</v>
      </c>
      <c r="K1795" s="133">
        <f>IFERROR(__xludf.DUMMYFUNCTION("""COMPUTED_VALUE"""),49.0)</f>
        <v>49</v>
      </c>
      <c r="L1795" s="133">
        <f>IFERROR(__xludf.DUMMYFUNCTION("""COMPUTED_VALUE"""),4.0)</f>
        <v>4</v>
      </c>
      <c r="M1795" s="133">
        <f>IFERROR(__xludf.DUMMYFUNCTION("""COMPUTED_VALUE"""),53.0)</f>
        <v>53</v>
      </c>
      <c r="N1795" s="152" t="str">
        <f>IFERROR(__xludf.DUMMYFUNCTION("""COMPUTED_VALUE"""),"Model 3 Performance")</f>
        <v>Model 3 Performance</v>
      </c>
      <c r="O1795" s="152" t="str">
        <f>IFERROR(__xludf.DUMMYFUNCTION("""COMPUTED_VALUE"""),"Pearl White Multi-Coat")</f>
        <v>Pearl White Multi-Coat</v>
      </c>
      <c r="P1795" s="153" t="str">
        <f>IFERROR(__xludf.DUMMYFUNCTION("""COMPUTED_VALUE"""),"20 inch Sport")</f>
        <v>20 inch Sport</v>
      </c>
      <c r="Q1795" s="152" t="str">
        <f>IFERROR(__xludf.DUMMYFUNCTION("""COMPUTED_VALUE"""),"White seats")</f>
        <v>White seats</v>
      </c>
      <c r="R1795" s="149" t="str">
        <f>IFERROR(__xludf.DUMMYFUNCTION("""COMPUTED_VALUE"""),"Autopilot")</f>
        <v>Autopilot</v>
      </c>
      <c r="S1795" s="149"/>
      <c r="T1795" s="145"/>
      <c r="U1795" s="145"/>
      <c r="V1795" s="145"/>
      <c r="W1795" s="136"/>
      <c r="X1795" s="137" t="str">
        <f>IFERROR(__xludf.DUMMYFUNCTION("""COMPUTED_VALUE"""),"Excellent")</f>
        <v>Excellent</v>
      </c>
      <c r="Y1795" s="138" t="str">
        <f>IFERROR(__xludf.DUMMYFUNCTION("""COMPUTED_VALUE"""),"Excellent")</f>
        <v>Excellent</v>
      </c>
      <c r="Z1795" s="138" t="str">
        <f>IFERROR(__xludf.DUMMYFUNCTION("""COMPUTED_VALUE"""),"Excellent")</f>
        <v>Excellent</v>
      </c>
      <c r="AA1795" s="138" t="str">
        <f>IFERROR(__xludf.DUMMYFUNCTION("""COMPUTED_VALUE"""),"Poor")</f>
        <v>Poor</v>
      </c>
      <c r="AB1795" s="138" t="str">
        <f>IFERROR(__xludf.DUMMYFUNCTION("""COMPUTED_VALUE"""),"Very Good")</f>
        <v>Very Good</v>
      </c>
      <c r="AC1795" s="139">
        <f>IFERROR(__xludf.DUMMYFUNCTION("""COMPUTED_VALUE"""),1.0)</f>
        <v>1</v>
      </c>
      <c r="AD1795" s="139">
        <f>IFERROR(__xludf.DUMMYFUNCTION("""COMPUTED_VALUE"""),1.0)</f>
        <v>1</v>
      </c>
      <c r="AE1795" s="139"/>
      <c r="AF1795" s="140"/>
      <c r="AG1795" s="136"/>
      <c r="AH1795" s="157">
        <f>IFERROR(__xludf.DUMMYFUNCTION("""COMPUTED_VALUE"""),43733.504672662035)</f>
        <v>43733.50467</v>
      </c>
      <c r="AI1795" s="138"/>
      <c r="AJ1795" s="138"/>
      <c r="AK1795" s="138"/>
      <c r="AL1795" s="142"/>
    </row>
    <row r="1796" ht="20.25" customHeight="1">
      <c r="A1796" s="155" t="str">
        <f>IFERROR(__xludf.DUMMYFUNCTION("""COMPUTED_VALUE"""),"andyc")</f>
        <v>andyc</v>
      </c>
      <c r="B1796" s="149" t="str">
        <f>IFERROR(__xludf.DUMMYFUNCTION("""COMPUTED_VALUE"""),"Roswell")</f>
        <v>Roswell</v>
      </c>
      <c r="C1796" s="149" t="str">
        <f>IFERROR(__xludf.DUMMYFUNCTION("""COMPUTED_VALUE"""),"GA")</f>
        <v>GA</v>
      </c>
      <c r="D1796" s="149" t="str">
        <f>IFERROR(__xludf.DUMMYFUNCTION("""COMPUTED_VALUE"""),"USA")</f>
        <v>USA</v>
      </c>
      <c r="E1796" s="156">
        <f>IFERROR(__xludf.DUMMYFUNCTION("""COMPUTED_VALUE"""),43674.0)</f>
        <v>43674</v>
      </c>
      <c r="F1796" s="129">
        <f>IFERROR(__xludf.DUMMYFUNCTION("""COMPUTED_VALUE"""),43686.0)</f>
        <v>43686</v>
      </c>
      <c r="G1796" s="154"/>
      <c r="H1796" s="131">
        <f>IFERROR(__xludf.DUMMYFUNCTION("""COMPUTED_VALUE"""),455017.0)</f>
        <v>455017</v>
      </c>
      <c r="I1796" s="144" t="str">
        <f>IFERROR(__xludf.DUMMYFUNCTION("""COMPUTED_VALUE"""),"08/19")</f>
        <v>08/19</v>
      </c>
      <c r="J1796" s="129">
        <f>IFERROR(__xludf.DUMMYFUNCTION("""COMPUTED_VALUE"""),43687.0)</f>
        <v>43687</v>
      </c>
      <c r="K1796" s="133">
        <f>IFERROR(__xludf.DUMMYFUNCTION("""COMPUTED_VALUE"""),12.0)</f>
        <v>12</v>
      </c>
      <c r="L1796" s="133">
        <f>IFERROR(__xludf.DUMMYFUNCTION("""COMPUTED_VALUE"""),1.0)</f>
        <v>1</v>
      </c>
      <c r="M1796" s="133">
        <f>IFERROR(__xludf.DUMMYFUNCTION("""COMPUTED_VALUE"""),13.0)</f>
        <v>13</v>
      </c>
      <c r="N1796" s="152" t="str">
        <f>IFERROR(__xludf.DUMMYFUNCTION("""COMPUTED_VALUE"""),"Model 3 Performance")</f>
        <v>Model 3 Performance</v>
      </c>
      <c r="O1796" s="152" t="str">
        <f>IFERROR(__xludf.DUMMYFUNCTION("""COMPUTED_VALUE"""),"Pearl White Multi-Coat")</f>
        <v>Pearl White Multi-Coat</v>
      </c>
      <c r="P1796" s="153" t="str">
        <f>IFERROR(__xludf.DUMMYFUNCTION("""COMPUTED_VALUE"""),"20 inch Sport")</f>
        <v>20 inch Sport</v>
      </c>
      <c r="Q1796" s="152" t="str">
        <f>IFERROR(__xludf.DUMMYFUNCTION("""COMPUTED_VALUE"""),"White seats")</f>
        <v>White seats</v>
      </c>
      <c r="R1796" s="149" t="str">
        <f>IFERROR(__xludf.DUMMYFUNCTION("""COMPUTED_VALUE"""),"Full Self-Driving")</f>
        <v>Full Self-Driving</v>
      </c>
      <c r="S1796" s="149"/>
      <c r="T1796" s="145"/>
      <c r="U1796" s="145"/>
      <c r="V1796" s="145"/>
      <c r="W1796" s="136"/>
      <c r="X1796" s="151" t="str">
        <f>IFERROR(__xludf.DUMMYFUNCTION("""COMPUTED_VALUE"""),"Good")</f>
        <v>Good</v>
      </c>
      <c r="Y1796" s="138" t="str">
        <f>IFERROR(__xludf.DUMMYFUNCTION("""COMPUTED_VALUE"""),"Excellent")</f>
        <v>Excellent</v>
      </c>
      <c r="Z1796" s="138" t="str">
        <f>IFERROR(__xludf.DUMMYFUNCTION("""COMPUTED_VALUE"""),"Very Good")</f>
        <v>Very Good</v>
      </c>
      <c r="AA1796" s="138" t="str">
        <f>IFERROR(__xludf.DUMMYFUNCTION("""COMPUTED_VALUE"""),"Excellent")</f>
        <v>Excellent</v>
      </c>
      <c r="AB1796" s="138" t="str">
        <f>IFERROR(__xludf.DUMMYFUNCTION("""COMPUTED_VALUE"""),"Very Good")</f>
        <v>Very Good</v>
      </c>
      <c r="AC1796" s="139">
        <f>IFERROR(__xludf.DUMMYFUNCTION("""COMPUTED_VALUE"""),1.0)</f>
        <v>1</v>
      </c>
      <c r="AD1796" s="139"/>
      <c r="AE1796" s="139"/>
      <c r="AF1796" s="140"/>
      <c r="AG1796" s="136"/>
      <c r="AH1796" s="157">
        <f>IFERROR(__xludf.DUMMYFUNCTION("""COMPUTED_VALUE"""),43688.21970859954)</f>
        <v>43688.21971</v>
      </c>
      <c r="AI1796" s="138"/>
      <c r="AJ1796" s="138"/>
      <c r="AK1796" s="138"/>
      <c r="AL1796" s="142"/>
    </row>
    <row r="1797" ht="20.25" customHeight="1">
      <c r="A1797" s="155" t="str">
        <f>IFERROR(__xludf.DUMMYFUNCTION("""COMPUTED_VALUE"""),"Mongenel")</f>
        <v>Mongenel</v>
      </c>
      <c r="B1797" s="149" t="str">
        <f>IFERROR(__xludf.DUMMYFUNCTION("""COMPUTED_VALUE"""),"Seattle")</f>
        <v>Seattle</v>
      </c>
      <c r="C1797" s="149" t="str">
        <f>IFERROR(__xludf.DUMMYFUNCTION("""COMPUTED_VALUE"""),"WA")</f>
        <v>WA</v>
      </c>
      <c r="D1797" s="149" t="str">
        <f>IFERROR(__xludf.DUMMYFUNCTION("""COMPUTED_VALUE"""),"USA")</f>
        <v>USA</v>
      </c>
      <c r="E1797" s="156">
        <f>IFERROR(__xludf.DUMMYFUNCTION("""COMPUTED_VALUE"""),43674.0)</f>
        <v>43674</v>
      </c>
      <c r="F1797" s="129">
        <f>IFERROR(__xludf.DUMMYFUNCTION("""COMPUTED_VALUE"""),43724.0)</f>
        <v>43724</v>
      </c>
      <c r="G1797" s="154"/>
      <c r="H1797" s="131">
        <f>IFERROR(__xludf.DUMMYFUNCTION("""COMPUTED_VALUE"""),487555.0)</f>
        <v>487555</v>
      </c>
      <c r="I1797" s="144" t="str">
        <f>IFERROR(__xludf.DUMMYFUNCTION("""COMPUTED_VALUE"""),"09/19")</f>
        <v>09/19</v>
      </c>
      <c r="J1797" s="129">
        <f>IFERROR(__xludf.DUMMYFUNCTION("""COMPUTED_VALUE"""),43728.0)</f>
        <v>43728</v>
      </c>
      <c r="K1797" s="133">
        <f>IFERROR(__xludf.DUMMYFUNCTION("""COMPUTED_VALUE"""),50.0)</f>
        <v>50</v>
      </c>
      <c r="L1797" s="133">
        <f>IFERROR(__xludf.DUMMYFUNCTION("""COMPUTED_VALUE"""),4.0)</f>
        <v>4</v>
      </c>
      <c r="M1797" s="133">
        <f>IFERROR(__xludf.DUMMYFUNCTION("""COMPUTED_VALUE"""),54.0)</f>
        <v>54</v>
      </c>
      <c r="N1797" s="152" t="str">
        <f>IFERROR(__xludf.DUMMYFUNCTION("""COMPUTED_VALUE"""),"Model 3 Performance")</f>
        <v>Model 3 Performance</v>
      </c>
      <c r="O1797" s="152" t="str">
        <f>IFERROR(__xludf.DUMMYFUNCTION("""COMPUTED_VALUE"""),"Pearl White Multi-Coat")</f>
        <v>Pearl White Multi-Coat</v>
      </c>
      <c r="P1797" s="153" t="str">
        <f>IFERROR(__xludf.DUMMYFUNCTION("""COMPUTED_VALUE"""),"20 inch Sport")</f>
        <v>20 inch Sport</v>
      </c>
      <c r="Q1797" s="152" t="str">
        <f>IFERROR(__xludf.DUMMYFUNCTION("""COMPUTED_VALUE"""),"White seats")</f>
        <v>White seats</v>
      </c>
      <c r="R1797" s="149" t="str">
        <f>IFERROR(__xludf.DUMMYFUNCTION("""COMPUTED_VALUE"""),"Full Self-Driving")</f>
        <v>Full Self-Driving</v>
      </c>
      <c r="S1797" s="149"/>
      <c r="T1797" s="145"/>
      <c r="U1797" s="145"/>
      <c r="V1797" s="145"/>
      <c r="W1797" s="136"/>
      <c r="X1797" s="137" t="str">
        <f>IFERROR(__xludf.DUMMYFUNCTION("""COMPUTED_VALUE"""),"Good")</f>
        <v>Good</v>
      </c>
      <c r="Y1797" s="138" t="str">
        <f>IFERROR(__xludf.DUMMYFUNCTION("""COMPUTED_VALUE"""),"Excellent")</f>
        <v>Excellent</v>
      </c>
      <c r="Z1797" s="138" t="str">
        <f>IFERROR(__xludf.DUMMYFUNCTION("""COMPUTED_VALUE"""),"Fair")</f>
        <v>Fair</v>
      </c>
      <c r="AA1797" s="138" t="str">
        <f>IFERROR(__xludf.DUMMYFUNCTION("""COMPUTED_VALUE"""),"Poor")</f>
        <v>Poor</v>
      </c>
      <c r="AB1797" s="138" t="str">
        <f>IFERROR(__xludf.DUMMYFUNCTION("""COMPUTED_VALUE"""),"Fair")</f>
        <v>Fair</v>
      </c>
      <c r="AC1797" s="139">
        <f>IFERROR(__xludf.DUMMYFUNCTION("""COMPUTED_VALUE"""),2.0)</f>
        <v>2</v>
      </c>
      <c r="AD1797" s="139">
        <f>IFERROR(__xludf.DUMMYFUNCTION("""COMPUTED_VALUE"""),0.0)</f>
        <v>0</v>
      </c>
      <c r="AE1797" s="139"/>
      <c r="AF1797" s="140"/>
      <c r="AG1797" s="136" t="str">
        <f>IFERROR(__xludf.DUMMYFUNCTION("""COMPUTED_VALUE"""),"VIN in source after 7 weeks")</f>
        <v>VIN in source after 7 weeks</v>
      </c>
      <c r="AH1797" s="157">
        <f>IFERROR(__xludf.DUMMYFUNCTION("""COMPUTED_VALUE"""),43751.38626630787)</f>
        <v>43751.38627</v>
      </c>
      <c r="AI1797" s="138"/>
      <c r="AJ1797" s="138"/>
      <c r="AK1797" s="138"/>
      <c r="AL1797" s="142"/>
    </row>
    <row r="1798" ht="20.25" customHeight="1">
      <c r="A1798" s="155" t="str">
        <f>IFERROR(__xludf.DUMMYFUNCTION("""COMPUTED_VALUE"""),"Sean")</f>
        <v>Sean</v>
      </c>
      <c r="B1798" s="149" t="str">
        <f>IFERROR(__xludf.DUMMYFUNCTION("""COMPUTED_VALUE"""),"Fremont")</f>
        <v>Fremont</v>
      </c>
      <c r="C1798" s="149" t="str">
        <f>IFERROR(__xludf.DUMMYFUNCTION("""COMPUTED_VALUE"""),"CA")</f>
        <v>CA</v>
      </c>
      <c r="D1798" s="149" t="str">
        <f>IFERROR(__xludf.DUMMYFUNCTION("""COMPUTED_VALUE"""),"USA")</f>
        <v>USA</v>
      </c>
      <c r="E1798" s="156">
        <f>IFERROR(__xludf.DUMMYFUNCTION("""COMPUTED_VALUE"""),43674.0)</f>
        <v>43674</v>
      </c>
      <c r="F1798" s="129">
        <f>IFERROR(__xludf.DUMMYFUNCTION("""COMPUTED_VALUE"""),43728.0)</f>
        <v>43728</v>
      </c>
      <c r="G1798" s="154"/>
      <c r="H1798" s="131">
        <f>IFERROR(__xludf.DUMMYFUNCTION("""COMPUTED_VALUE"""),487255.0)</f>
        <v>487255</v>
      </c>
      <c r="I1798" s="144"/>
      <c r="J1798" s="129">
        <f>IFERROR(__xludf.DUMMYFUNCTION("""COMPUTED_VALUE"""),43729.0)</f>
        <v>43729</v>
      </c>
      <c r="K1798" s="133">
        <f>IFERROR(__xludf.DUMMYFUNCTION("""COMPUTED_VALUE"""),54.0)</f>
        <v>54</v>
      </c>
      <c r="L1798" s="133">
        <f>IFERROR(__xludf.DUMMYFUNCTION("""COMPUTED_VALUE"""),1.0)</f>
        <v>1</v>
      </c>
      <c r="M1798" s="133">
        <f>IFERROR(__xludf.DUMMYFUNCTION("""COMPUTED_VALUE"""),55.0)</f>
        <v>55</v>
      </c>
      <c r="N1798" s="152" t="str">
        <f>IFERROR(__xludf.DUMMYFUNCTION("""COMPUTED_VALUE"""),"Model 3 Performance")</f>
        <v>Model 3 Performance</v>
      </c>
      <c r="O1798" s="152" t="str">
        <f>IFERROR(__xludf.DUMMYFUNCTION("""COMPUTED_VALUE"""),"Pearl White Multi-Coat")</f>
        <v>Pearl White Multi-Coat</v>
      </c>
      <c r="P1798" s="153" t="str">
        <f>IFERROR(__xludf.DUMMYFUNCTION("""COMPUTED_VALUE"""),"20 inch Sport")</f>
        <v>20 inch Sport</v>
      </c>
      <c r="Q1798" s="152" t="str">
        <f>IFERROR(__xludf.DUMMYFUNCTION("""COMPUTED_VALUE"""),"Black seats")</f>
        <v>Black seats</v>
      </c>
      <c r="R1798" s="149" t="str">
        <f>IFERROR(__xludf.DUMMYFUNCTION("""COMPUTED_VALUE"""),"Autopilot")</f>
        <v>Autopilot</v>
      </c>
      <c r="S1798" s="149"/>
      <c r="T1798" s="145"/>
      <c r="U1798" s="145"/>
      <c r="V1798" s="145"/>
      <c r="W1798" s="136"/>
      <c r="X1798" s="137" t="str">
        <f>IFERROR(__xludf.DUMMYFUNCTION("""COMPUTED_VALUE"""),"Good")</f>
        <v>Good</v>
      </c>
      <c r="Y1798" s="138" t="str">
        <f>IFERROR(__xludf.DUMMYFUNCTION("""COMPUTED_VALUE"""),"Excellent")</f>
        <v>Excellent</v>
      </c>
      <c r="Z1798" s="138" t="str">
        <f>IFERROR(__xludf.DUMMYFUNCTION("""COMPUTED_VALUE"""),"Good")</f>
        <v>Good</v>
      </c>
      <c r="AA1798" s="138" t="str">
        <f>IFERROR(__xludf.DUMMYFUNCTION("""COMPUTED_VALUE"""),"Good")</f>
        <v>Good</v>
      </c>
      <c r="AB1798" s="138" t="str">
        <f>IFERROR(__xludf.DUMMYFUNCTION("""COMPUTED_VALUE"""),"Excellent")</f>
        <v>Excellent</v>
      </c>
      <c r="AC1798" s="139">
        <f>IFERROR(__xludf.DUMMYFUNCTION("""COMPUTED_VALUE"""),2.0)</f>
        <v>2</v>
      </c>
      <c r="AD1798" s="139"/>
      <c r="AE1798" s="139"/>
      <c r="AF1798" s="140"/>
      <c r="AG1798" s="136"/>
      <c r="AH1798" s="157">
        <f>IFERROR(__xludf.DUMMYFUNCTION("""COMPUTED_VALUE"""),43729.950810243055)</f>
        <v>43729.95081</v>
      </c>
      <c r="AI1798" s="138"/>
      <c r="AJ1798" s="138"/>
      <c r="AK1798" s="138"/>
      <c r="AL1798" s="142"/>
    </row>
    <row r="1799" ht="20.25" customHeight="1">
      <c r="A1799" s="155" t="str">
        <f>IFERROR(__xludf.DUMMYFUNCTION("""COMPUTED_VALUE"""),"ValidAsian")</f>
        <v>ValidAsian</v>
      </c>
      <c r="B1799" s="149" t="str">
        <f>IFERROR(__xludf.DUMMYFUNCTION("""COMPUTED_VALUE"""),"Thousand Oaks")</f>
        <v>Thousand Oaks</v>
      </c>
      <c r="C1799" s="149" t="str">
        <f>IFERROR(__xludf.DUMMYFUNCTION("""COMPUTED_VALUE"""),"CA")</f>
        <v>CA</v>
      </c>
      <c r="D1799" s="149" t="str">
        <f>IFERROR(__xludf.DUMMYFUNCTION("""COMPUTED_VALUE"""),"USA")</f>
        <v>USA</v>
      </c>
      <c r="E1799" s="156">
        <f>IFERROR(__xludf.DUMMYFUNCTION("""COMPUTED_VALUE"""),43674.0)</f>
        <v>43674</v>
      </c>
      <c r="F1799" s="129">
        <f>IFERROR(__xludf.DUMMYFUNCTION("""COMPUTED_VALUE"""),43689.0)</f>
        <v>43689</v>
      </c>
      <c r="G1799" s="154"/>
      <c r="H1799" s="131">
        <f>IFERROR(__xludf.DUMMYFUNCTION("""COMPUTED_VALUE"""),469351.0)</f>
        <v>469351</v>
      </c>
      <c r="I1799" s="144" t="str">
        <f>IFERROR(__xludf.DUMMYFUNCTION("""COMPUTED_VALUE"""),"08/19")</f>
        <v>08/19</v>
      </c>
      <c r="J1799" s="129">
        <f>IFERROR(__xludf.DUMMYFUNCTION("""COMPUTED_VALUE"""),43691.0)</f>
        <v>43691</v>
      </c>
      <c r="K1799" s="133">
        <f>IFERROR(__xludf.DUMMYFUNCTION("""COMPUTED_VALUE"""),15.0)</f>
        <v>15</v>
      </c>
      <c r="L1799" s="133">
        <f>IFERROR(__xludf.DUMMYFUNCTION("""COMPUTED_VALUE"""),2.0)</f>
        <v>2</v>
      </c>
      <c r="M1799" s="133">
        <f>IFERROR(__xludf.DUMMYFUNCTION("""COMPUTED_VALUE"""),17.0)</f>
        <v>17</v>
      </c>
      <c r="N1799" s="152" t="str">
        <f>IFERROR(__xludf.DUMMYFUNCTION("""COMPUTED_VALUE"""),"Model 3 LR AWD")</f>
        <v>Model 3 LR AWD</v>
      </c>
      <c r="O1799" s="152" t="str">
        <f>IFERROR(__xludf.DUMMYFUNCTION("""COMPUTED_VALUE"""),"Pearl White Multi-Coat")</f>
        <v>Pearl White Multi-Coat</v>
      </c>
      <c r="P1799" s="153" t="str">
        <f>IFERROR(__xludf.DUMMYFUNCTION("""COMPUTED_VALUE"""),"19 inch Sport")</f>
        <v>19 inch Sport</v>
      </c>
      <c r="Q1799" s="152" t="str">
        <f>IFERROR(__xludf.DUMMYFUNCTION("""COMPUTED_VALUE"""),"Black seats")</f>
        <v>Black seats</v>
      </c>
      <c r="R1799" s="149" t="str">
        <f>IFERROR(__xludf.DUMMYFUNCTION("""COMPUTED_VALUE"""),"Autopilot")</f>
        <v>Autopilot</v>
      </c>
      <c r="S1799" s="149"/>
      <c r="T1799" s="145"/>
      <c r="U1799" s="145"/>
      <c r="V1799" s="145"/>
      <c r="W1799" s="136"/>
      <c r="X1799" s="137" t="str">
        <f>IFERROR(__xludf.DUMMYFUNCTION("""COMPUTED_VALUE"""),"Good")</f>
        <v>Good</v>
      </c>
      <c r="Y1799" s="138" t="str">
        <f>IFERROR(__xludf.DUMMYFUNCTION("""COMPUTED_VALUE"""),"Very Good")</f>
        <v>Very Good</v>
      </c>
      <c r="Z1799" s="138" t="str">
        <f>IFERROR(__xludf.DUMMYFUNCTION("""COMPUTED_VALUE"""),"Excellent")</f>
        <v>Excellent</v>
      </c>
      <c r="AA1799" s="138" t="str">
        <f>IFERROR(__xludf.DUMMYFUNCTION("""COMPUTED_VALUE"""),"Good")</f>
        <v>Good</v>
      </c>
      <c r="AB1799" s="138" t="str">
        <f>IFERROR(__xludf.DUMMYFUNCTION("""COMPUTED_VALUE"""),"Good")</f>
        <v>Good</v>
      </c>
      <c r="AC1799" s="139"/>
      <c r="AD1799" s="139"/>
      <c r="AE1799" s="139"/>
      <c r="AF1799" s="140"/>
      <c r="AG1799" s="136"/>
      <c r="AH1799" s="157">
        <f>IFERROR(__xludf.DUMMYFUNCTION("""COMPUTED_VALUE"""),43694.832870081016)</f>
        <v>43694.83287</v>
      </c>
      <c r="AI1799" s="138"/>
      <c r="AJ1799" s="138"/>
      <c r="AK1799" s="138"/>
      <c r="AL1799" s="142"/>
    </row>
    <row r="1800" ht="20.25" customHeight="1">
      <c r="A1800" s="155" t="str">
        <f>IFERROR(__xludf.DUMMYFUNCTION("""COMPUTED_VALUE"""),"cmiamh")</f>
        <v>cmiamh</v>
      </c>
      <c r="B1800" s="149" t="str">
        <f>IFERROR(__xludf.DUMMYFUNCTION("""COMPUTED_VALUE"""),"Atlanta")</f>
        <v>Atlanta</v>
      </c>
      <c r="C1800" s="149" t="str">
        <f>IFERROR(__xludf.DUMMYFUNCTION("""COMPUTED_VALUE"""),"GA")</f>
        <v>GA</v>
      </c>
      <c r="D1800" s="149" t="str">
        <f>IFERROR(__xludf.DUMMYFUNCTION("""COMPUTED_VALUE"""),"USA")</f>
        <v>USA</v>
      </c>
      <c r="E1800" s="156">
        <f>IFERROR(__xludf.DUMMYFUNCTION("""COMPUTED_VALUE"""),43673.0)</f>
        <v>43673</v>
      </c>
      <c r="F1800" s="129">
        <f>IFERROR(__xludf.DUMMYFUNCTION("""COMPUTED_VALUE"""),43684.0)</f>
        <v>43684</v>
      </c>
      <c r="G1800" s="154"/>
      <c r="H1800" s="131">
        <f>IFERROR(__xludf.DUMMYFUNCTION("""COMPUTED_VALUE"""),447537.0)</f>
        <v>447537</v>
      </c>
      <c r="I1800" s="144" t="str">
        <f>IFERROR(__xludf.DUMMYFUNCTION("""COMPUTED_VALUE"""),"08/19")</f>
        <v>08/19</v>
      </c>
      <c r="J1800" s="129">
        <f>IFERROR(__xludf.DUMMYFUNCTION("""COMPUTED_VALUE"""),43691.0)</f>
        <v>43691</v>
      </c>
      <c r="K1800" s="133">
        <f>IFERROR(__xludf.DUMMYFUNCTION("""COMPUTED_VALUE"""),11.0)</f>
        <v>11</v>
      </c>
      <c r="L1800" s="133">
        <f>IFERROR(__xludf.DUMMYFUNCTION("""COMPUTED_VALUE"""),7.0)</f>
        <v>7</v>
      </c>
      <c r="M1800" s="133">
        <f>IFERROR(__xludf.DUMMYFUNCTION("""COMPUTED_VALUE"""),18.0)</f>
        <v>18</v>
      </c>
      <c r="N1800" s="152" t="str">
        <f>IFERROR(__xludf.DUMMYFUNCTION("""COMPUTED_VALUE"""),"Model 3 SR+")</f>
        <v>Model 3 SR+</v>
      </c>
      <c r="O1800" s="152" t="str">
        <f>IFERROR(__xludf.DUMMYFUNCTION("""COMPUTED_VALUE"""),"Pearl White Multi-Coat")</f>
        <v>Pearl White Multi-Coat</v>
      </c>
      <c r="P1800" s="153" t="str">
        <f>IFERROR(__xludf.DUMMYFUNCTION("""COMPUTED_VALUE"""),"18 inch Aero")</f>
        <v>18 inch Aero</v>
      </c>
      <c r="Q1800" s="152" t="str">
        <f>IFERROR(__xludf.DUMMYFUNCTION("""COMPUTED_VALUE"""),"Black seats")</f>
        <v>Black seats</v>
      </c>
      <c r="R1800" s="149" t="str">
        <f>IFERROR(__xludf.DUMMYFUNCTION("""COMPUTED_VALUE"""),"Autopilot")</f>
        <v>Autopilot</v>
      </c>
      <c r="S1800" s="149"/>
      <c r="T1800" s="145"/>
      <c r="U1800" s="145"/>
      <c r="V1800" s="145"/>
      <c r="W1800" s="136"/>
      <c r="X1800" s="137" t="str">
        <f>IFERROR(__xludf.DUMMYFUNCTION("""COMPUTED_VALUE"""),"Excellent")</f>
        <v>Excellent</v>
      </c>
      <c r="Y1800" s="138" t="str">
        <f>IFERROR(__xludf.DUMMYFUNCTION("""COMPUTED_VALUE"""),"Excellent")</f>
        <v>Excellent</v>
      </c>
      <c r="Z1800" s="138" t="str">
        <f>IFERROR(__xludf.DUMMYFUNCTION("""COMPUTED_VALUE"""),"Very Good")</f>
        <v>Very Good</v>
      </c>
      <c r="AA1800" s="138" t="str">
        <f>IFERROR(__xludf.DUMMYFUNCTION("""COMPUTED_VALUE"""),"Excellent")</f>
        <v>Excellent</v>
      </c>
      <c r="AB1800" s="138" t="str">
        <f>IFERROR(__xludf.DUMMYFUNCTION("""COMPUTED_VALUE"""),"Very Good")</f>
        <v>Very Good</v>
      </c>
      <c r="AC1800" s="139">
        <f>IFERROR(__xludf.DUMMYFUNCTION("""COMPUTED_VALUE"""),0.0)</f>
        <v>0</v>
      </c>
      <c r="AD1800" s="139">
        <f>IFERROR(__xludf.DUMMYFUNCTION("""COMPUTED_VALUE"""),0.0)</f>
        <v>0</v>
      </c>
      <c r="AE1800" s="139">
        <f>IFERROR(__xludf.DUMMYFUNCTION("""COMPUTED_VALUE"""),0.0)</f>
        <v>0</v>
      </c>
      <c r="AF1800" s="140"/>
      <c r="AG1800" s="136"/>
      <c r="AH1800" s="157">
        <f>IFERROR(__xludf.DUMMYFUNCTION("""COMPUTED_VALUE"""),43697.76235699074)</f>
        <v>43697.76236</v>
      </c>
      <c r="AI1800" s="138"/>
      <c r="AJ1800" s="138"/>
      <c r="AK1800" s="138"/>
      <c r="AL1800" s="142"/>
    </row>
    <row r="1801" ht="20.25" customHeight="1">
      <c r="A1801" s="155" t="str">
        <f>IFERROR(__xludf.DUMMYFUNCTION("""COMPUTED_VALUE"""),"amped")</f>
        <v>amped</v>
      </c>
      <c r="B1801" s="159"/>
      <c r="C1801" s="159" t="str">
        <f>IFERROR(__xludf.DUMMYFUNCTION("""COMPUTED_VALUE"""),"AZ")</f>
        <v>AZ</v>
      </c>
      <c r="D1801" s="159" t="str">
        <f>IFERROR(__xludf.DUMMYFUNCTION("""COMPUTED_VALUE"""),"USA")</f>
        <v>USA</v>
      </c>
      <c r="E1801" s="156">
        <f>IFERROR(__xludf.DUMMYFUNCTION("""COMPUTED_VALUE"""),43672.0)</f>
        <v>43672</v>
      </c>
      <c r="F1801" s="129">
        <f>IFERROR(__xludf.DUMMYFUNCTION("""COMPUTED_VALUE"""),43673.0)</f>
        <v>43673</v>
      </c>
      <c r="G1801" s="154"/>
      <c r="H1801" s="131">
        <f>IFERROR(__xludf.DUMMYFUNCTION("""COMPUTED_VALUE"""),445155.0)</f>
        <v>445155</v>
      </c>
      <c r="I1801" s="160" t="str">
        <f>IFERROR(__xludf.DUMMYFUNCTION("""COMPUTED_VALUE"""),"07/19")</f>
        <v>07/19</v>
      </c>
      <c r="J1801" s="129">
        <f>IFERROR(__xludf.DUMMYFUNCTION("""COMPUTED_VALUE"""),43678.0)</f>
        <v>43678</v>
      </c>
      <c r="K1801" s="133">
        <f>IFERROR(__xludf.DUMMYFUNCTION("""COMPUTED_VALUE"""),1.0)</f>
        <v>1</v>
      </c>
      <c r="L1801" s="133">
        <f>IFERROR(__xludf.DUMMYFUNCTION("""COMPUTED_VALUE"""),5.0)</f>
        <v>5</v>
      </c>
      <c r="M1801" s="133">
        <f>IFERROR(__xludf.DUMMYFUNCTION("""COMPUTED_VALUE"""),6.0)</f>
        <v>6</v>
      </c>
      <c r="N1801" s="152" t="str">
        <f>IFERROR(__xludf.DUMMYFUNCTION("""COMPUTED_VALUE"""),"Model 3 SR+")</f>
        <v>Model 3 SR+</v>
      </c>
      <c r="O1801" s="152" t="str">
        <f>IFERROR(__xludf.DUMMYFUNCTION("""COMPUTED_VALUE"""),"Pearl White Multi-Coat")</f>
        <v>Pearl White Multi-Coat</v>
      </c>
      <c r="P1801" s="153" t="str">
        <f>IFERROR(__xludf.DUMMYFUNCTION("""COMPUTED_VALUE"""),"19 inch Sport")</f>
        <v>19 inch Sport</v>
      </c>
      <c r="Q1801" s="152" t="str">
        <f>IFERROR(__xludf.DUMMYFUNCTION("""COMPUTED_VALUE"""),"White seats")</f>
        <v>White seats</v>
      </c>
      <c r="R1801" s="159" t="str">
        <f>IFERROR(__xludf.DUMMYFUNCTION("""COMPUTED_VALUE"""),"Autopilot")</f>
        <v>Autopilot</v>
      </c>
      <c r="S1801" s="159"/>
      <c r="T1801" s="161"/>
      <c r="U1801" s="161"/>
      <c r="V1801" s="161"/>
      <c r="W1801" s="161"/>
      <c r="X1801" s="137" t="str">
        <f>IFERROR(__xludf.DUMMYFUNCTION("""COMPUTED_VALUE"""),"Good")</f>
        <v>Good</v>
      </c>
      <c r="Y1801" s="138" t="str">
        <f>IFERROR(__xludf.DUMMYFUNCTION("""COMPUTED_VALUE"""),"Very Good")</f>
        <v>Very Good</v>
      </c>
      <c r="Z1801" s="138" t="str">
        <f>IFERROR(__xludf.DUMMYFUNCTION("""COMPUTED_VALUE"""),"Excellent")</f>
        <v>Excellent</v>
      </c>
      <c r="AA1801" s="138" t="str">
        <f>IFERROR(__xludf.DUMMYFUNCTION("""COMPUTED_VALUE"""),"Good")</f>
        <v>Good</v>
      </c>
      <c r="AB1801" s="138" t="str">
        <f>IFERROR(__xludf.DUMMYFUNCTION("""COMPUTED_VALUE"""),"Very Good")</f>
        <v>Very Good</v>
      </c>
      <c r="AC1801" s="139">
        <f>IFERROR(__xludf.DUMMYFUNCTION("""COMPUTED_VALUE"""),1.0)</f>
        <v>1</v>
      </c>
      <c r="AD1801" s="139">
        <f>IFERROR(__xludf.DUMMYFUNCTION("""COMPUTED_VALUE"""),0.0)</f>
        <v>0</v>
      </c>
      <c r="AE1801" s="139">
        <f>IFERROR(__xludf.DUMMYFUNCTION("""COMPUTED_VALUE"""),0.0)</f>
        <v>0</v>
      </c>
      <c r="AF1801" s="140"/>
      <c r="AG1801" s="161"/>
      <c r="AH1801" s="157">
        <f>IFERROR(__xludf.DUMMYFUNCTION("""COMPUTED_VALUE"""),43692.9378799537)</f>
        <v>43692.93788</v>
      </c>
      <c r="AI1801" s="138"/>
      <c r="AJ1801" s="138"/>
      <c r="AK1801" s="138"/>
      <c r="AL1801" s="142"/>
    </row>
    <row r="1802" ht="20.25" customHeight="1">
      <c r="A1802" s="155" t="str">
        <f>IFERROR(__xludf.DUMMYFUNCTION("""COMPUTED_VALUE"""),"NetworkPIMP")</f>
        <v>NetworkPIMP</v>
      </c>
      <c r="B1802" s="149" t="str">
        <f>IFERROR(__xludf.DUMMYFUNCTION("""COMPUTED_VALUE"""),"Indianapolis")</f>
        <v>Indianapolis</v>
      </c>
      <c r="C1802" s="149" t="str">
        <f>IFERROR(__xludf.DUMMYFUNCTION("""COMPUTED_VALUE"""),"IN")</f>
        <v>IN</v>
      </c>
      <c r="D1802" s="149" t="str">
        <f>IFERROR(__xludf.DUMMYFUNCTION("""COMPUTED_VALUE"""),"USA")</f>
        <v>USA</v>
      </c>
      <c r="E1802" s="156">
        <f>IFERROR(__xludf.DUMMYFUNCTION("""COMPUTED_VALUE"""),43671.0)</f>
        <v>43671</v>
      </c>
      <c r="F1802" s="129">
        <f>IFERROR(__xludf.DUMMYFUNCTION("""COMPUTED_VALUE"""),43684.0)</f>
        <v>43684</v>
      </c>
      <c r="G1802" s="154"/>
      <c r="H1802" s="131">
        <f>IFERROR(__xludf.DUMMYFUNCTION("""COMPUTED_VALUE"""),469653.0)</f>
        <v>469653</v>
      </c>
      <c r="I1802" s="132" t="str">
        <f>IFERROR(__xludf.DUMMYFUNCTION("""COMPUTED_VALUE"""),"08/19")</f>
        <v>08/19</v>
      </c>
      <c r="J1802" s="129">
        <f>IFERROR(__xludf.DUMMYFUNCTION("""COMPUTED_VALUE"""),43692.0)</f>
        <v>43692</v>
      </c>
      <c r="K1802" s="133">
        <f>IFERROR(__xludf.DUMMYFUNCTION("""COMPUTED_VALUE"""),13.0)</f>
        <v>13</v>
      </c>
      <c r="L1802" s="133">
        <f>IFERROR(__xludf.DUMMYFUNCTION("""COMPUTED_VALUE"""),8.0)</f>
        <v>8</v>
      </c>
      <c r="M1802" s="133">
        <f>IFERROR(__xludf.DUMMYFUNCTION("""COMPUTED_VALUE"""),21.0)</f>
        <v>21</v>
      </c>
      <c r="N1802" s="152" t="str">
        <f>IFERROR(__xludf.DUMMYFUNCTION("""COMPUTED_VALUE"""),"Model 3 Performance")</f>
        <v>Model 3 Performance</v>
      </c>
      <c r="O1802" s="152" t="str">
        <f>IFERROR(__xludf.DUMMYFUNCTION("""COMPUTED_VALUE"""),"Midnight Silver Metallic")</f>
        <v>Midnight Silver Metallic</v>
      </c>
      <c r="P1802" s="153" t="str">
        <f>IFERROR(__xludf.DUMMYFUNCTION("""COMPUTED_VALUE"""),"20 inch Sport")</f>
        <v>20 inch Sport</v>
      </c>
      <c r="Q1802" s="152" t="str">
        <f>IFERROR(__xludf.DUMMYFUNCTION("""COMPUTED_VALUE"""),"Black seats")</f>
        <v>Black seats</v>
      </c>
      <c r="R1802" s="150" t="str">
        <f>IFERROR(__xludf.DUMMYFUNCTION("""COMPUTED_VALUE"""),"Full Self-Driving")</f>
        <v>Full Self-Driving</v>
      </c>
      <c r="S1802" s="150"/>
      <c r="T1802" s="136"/>
      <c r="U1802" s="136"/>
      <c r="V1802" s="136"/>
      <c r="W1802" s="136"/>
      <c r="X1802" s="137" t="str">
        <f>IFERROR(__xludf.DUMMYFUNCTION("""COMPUTED_VALUE"""),"Good")</f>
        <v>Good</v>
      </c>
      <c r="Y1802" s="138" t="str">
        <f>IFERROR(__xludf.DUMMYFUNCTION("""COMPUTED_VALUE"""),"Very Good")</f>
        <v>Very Good</v>
      </c>
      <c r="Z1802" s="138" t="str">
        <f>IFERROR(__xludf.DUMMYFUNCTION("""COMPUTED_VALUE"""),"Very Good")</f>
        <v>Very Good</v>
      </c>
      <c r="AA1802" s="138" t="str">
        <f>IFERROR(__xludf.DUMMYFUNCTION("""COMPUTED_VALUE"""),"Fair")</f>
        <v>Fair</v>
      </c>
      <c r="AB1802" s="138" t="str">
        <f>IFERROR(__xludf.DUMMYFUNCTION("""COMPUTED_VALUE"""),"Very Good")</f>
        <v>Very Good</v>
      </c>
      <c r="AC1802" s="139">
        <f>IFERROR(__xludf.DUMMYFUNCTION("""COMPUTED_VALUE"""),1.0)</f>
        <v>1</v>
      </c>
      <c r="AD1802" s="139">
        <f>IFERROR(__xludf.DUMMYFUNCTION("""COMPUTED_VALUE"""),1.0)</f>
        <v>1</v>
      </c>
      <c r="AE1802" s="139">
        <f>IFERROR(__xludf.DUMMYFUNCTION("""COMPUTED_VALUE"""),2.0)</f>
        <v>2</v>
      </c>
      <c r="AF1802" s="140"/>
      <c r="AG1802" s="136" t="str">
        <f>IFERROR(__xludf.DUMMYFUNCTION("""COMPUTED_VALUE"""),"2weeks in and we switched from W/W to MSM/Blk, and got matched inside 24 hours ... w/w gate date was 8/16, so we'll be delivered a day before that. ")</f>
        <v>2weeks in and we switched from W/W to MSM/Blk, and got matched inside 24 hours ... w/w gate date was 8/16, so we'll be delivered a day before that. </v>
      </c>
      <c r="AH1802" s="157">
        <f>IFERROR(__xludf.DUMMYFUNCTION("""COMPUTED_VALUE"""),43702.36439667824)</f>
        <v>43702.3644</v>
      </c>
      <c r="AI1802" s="138"/>
      <c r="AJ1802" s="138"/>
      <c r="AK1802" s="138"/>
      <c r="AL1802" s="142"/>
    </row>
    <row r="1803" ht="20.25" customHeight="1">
      <c r="A1803" s="155" t="str">
        <f>IFERROR(__xludf.DUMMYFUNCTION("""COMPUTED_VALUE"""),"XLR82XS")</f>
        <v>XLR82XS</v>
      </c>
      <c r="B1803" s="149" t="str">
        <f>IFERROR(__xludf.DUMMYFUNCTION("""COMPUTED_VALUE"""),"Naples")</f>
        <v>Naples</v>
      </c>
      <c r="C1803" s="149" t="str">
        <f>IFERROR(__xludf.DUMMYFUNCTION("""COMPUTED_VALUE"""),"FL")</f>
        <v>FL</v>
      </c>
      <c r="D1803" s="149" t="str">
        <f>IFERROR(__xludf.DUMMYFUNCTION("""COMPUTED_VALUE"""),"USA")</f>
        <v>USA</v>
      </c>
      <c r="E1803" s="156">
        <f>IFERROR(__xludf.DUMMYFUNCTION("""COMPUTED_VALUE"""),43671.0)</f>
        <v>43671</v>
      </c>
      <c r="F1803" s="129">
        <f>IFERROR(__xludf.DUMMYFUNCTION("""COMPUTED_VALUE"""),43681.0)</f>
        <v>43681</v>
      </c>
      <c r="G1803" s="154"/>
      <c r="H1803" s="131">
        <f>IFERROR(__xludf.DUMMYFUNCTION("""COMPUTED_VALUE"""),450981.0)</f>
        <v>450981</v>
      </c>
      <c r="I1803" s="144" t="str">
        <f>IFERROR(__xludf.DUMMYFUNCTION("""COMPUTED_VALUE"""),"07/19")</f>
        <v>07/19</v>
      </c>
      <c r="J1803" s="129">
        <f>IFERROR(__xludf.DUMMYFUNCTION("""COMPUTED_VALUE"""),43691.0)</f>
        <v>43691</v>
      </c>
      <c r="K1803" s="133">
        <f>IFERROR(__xludf.DUMMYFUNCTION("""COMPUTED_VALUE"""),10.0)</f>
        <v>10</v>
      </c>
      <c r="L1803" s="133">
        <f>IFERROR(__xludf.DUMMYFUNCTION("""COMPUTED_VALUE"""),10.0)</f>
        <v>10</v>
      </c>
      <c r="M1803" s="133">
        <f>IFERROR(__xludf.DUMMYFUNCTION("""COMPUTED_VALUE"""),20.0)</f>
        <v>20</v>
      </c>
      <c r="N1803" s="152" t="str">
        <f>IFERROR(__xludf.DUMMYFUNCTION("""COMPUTED_VALUE"""),"Model 3 LR AWD")</f>
        <v>Model 3 LR AWD</v>
      </c>
      <c r="O1803" s="152" t="str">
        <f>IFERROR(__xludf.DUMMYFUNCTION("""COMPUTED_VALUE"""),"Pearl White Multi-Coat")</f>
        <v>Pearl White Multi-Coat</v>
      </c>
      <c r="P1803" s="153" t="str">
        <f>IFERROR(__xludf.DUMMYFUNCTION("""COMPUTED_VALUE"""),"19 inch Sport")</f>
        <v>19 inch Sport</v>
      </c>
      <c r="Q1803" s="152" t="str">
        <f>IFERROR(__xludf.DUMMYFUNCTION("""COMPUTED_VALUE"""),"White seats")</f>
        <v>White seats</v>
      </c>
      <c r="R1803" s="149" t="str">
        <f>IFERROR(__xludf.DUMMYFUNCTION("""COMPUTED_VALUE"""),"Autopilot")</f>
        <v>Autopilot</v>
      </c>
      <c r="S1803" s="149"/>
      <c r="T1803" s="145"/>
      <c r="U1803" s="145"/>
      <c r="V1803" s="145"/>
      <c r="W1803" s="136"/>
      <c r="X1803" s="137" t="str">
        <f>IFERROR(__xludf.DUMMYFUNCTION("""COMPUTED_VALUE"""),"Excellent")</f>
        <v>Excellent</v>
      </c>
      <c r="Y1803" s="138" t="str">
        <f>IFERROR(__xludf.DUMMYFUNCTION("""COMPUTED_VALUE"""),"Excellent")</f>
        <v>Excellent</v>
      </c>
      <c r="Z1803" s="138" t="str">
        <f>IFERROR(__xludf.DUMMYFUNCTION("""COMPUTED_VALUE"""),"Very Good")</f>
        <v>Very Good</v>
      </c>
      <c r="AA1803" s="138" t="str">
        <f>IFERROR(__xludf.DUMMYFUNCTION("""COMPUTED_VALUE"""),"Excellent")</f>
        <v>Excellent</v>
      </c>
      <c r="AB1803" s="138" t="str">
        <f>IFERROR(__xludf.DUMMYFUNCTION("""COMPUTED_VALUE"""),"Very Good")</f>
        <v>Very Good</v>
      </c>
      <c r="AC1803" s="139">
        <f>IFERROR(__xludf.DUMMYFUNCTION("""COMPUTED_VALUE"""),5.0)</f>
        <v>5</v>
      </c>
      <c r="AD1803" s="139">
        <f>IFERROR(__xludf.DUMMYFUNCTION("""COMPUTED_VALUE"""),2.0)</f>
        <v>2</v>
      </c>
      <c r="AE1803" s="139">
        <f>IFERROR(__xludf.DUMMYFUNCTION("""COMPUTED_VALUE"""),0.0)</f>
        <v>0</v>
      </c>
      <c r="AF1803" s="140"/>
      <c r="AG1803" s="136" t="str">
        <f>IFERROR(__xludf.DUMMYFUNCTION("""COMPUTED_VALUE"""),"Only paint defects were what looked to be rail fallout on the hood and tops of fenders. Remedied at Tesla before delivery.")</f>
        <v>Only paint defects were what looked to be rail fallout on the hood and tops of fenders. Remedied at Tesla before delivery.</v>
      </c>
      <c r="AH1803" s="157">
        <f>IFERROR(__xludf.DUMMYFUNCTION("""COMPUTED_VALUE"""),43723.341183599536)</f>
        <v>43723.34118</v>
      </c>
      <c r="AI1803" s="138"/>
      <c r="AJ1803" s="138"/>
      <c r="AK1803" s="138"/>
      <c r="AL1803" s="142"/>
    </row>
    <row r="1804" ht="20.25" customHeight="1">
      <c r="A1804" s="155" t="str">
        <f>IFERROR(__xludf.DUMMYFUNCTION("""COMPUTED_VALUE"""),"smithre4")</f>
        <v>smithre4</v>
      </c>
      <c r="B1804" s="149" t="str">
        <f>IFERROR(__xludf.DUMMYFUNCTION("""COMPUTED_VALUE"""),"Bel Air")</f>
        <v>Bel Air</v>
      </c>
      <c r="C1804" s="149" t="str">
        <f>IFERROR(__xludf.DUMMYFUNCTION("""COMPUTED_VALUE"""),"MD")</f>
        <v>MD</v>
      </c>
      <c r="D1804" s="149" t="str">
        <f>IFERROR(__xludf.DUMMYFUNCTION("""COMPUTED_VALUE"""),"USA")</f>
        <v>USA</v>
      </c>
      <c r="E1804" s="156">
        <f>IFERROR(__xludf.DUMMYFUNCTION("""COMPUTED_VALUE"""),43670.0)</f>
        <v>43670</v>
      </c>
      <c r="F1804" s="129">
        <f>IFERROR(__xludf.DUMMYFUNCTION("""COMPUTED_VALUE"""),43680.0)</f>
        <v>43680</v>
      </c>
      <c r="G1804" s="154"/>
      <c r="H1804" s="131">
        <f>IFERROR(__xludf.DUMMYFUNCTION("""COMPUTED_VALUE"""),440388.0)</f>
        <v>440388</v>
      </c>
      <c r="I1804" s="144"/>
      <c r="J1804" s="129">
        <f>IFERROR(__xludf.DUMMYFUNCTION("""COMPUTED_VALUE"""),43687.0)</f>
        <v>43687</v>
      </c>
      <c r="K1804" s="133">
        <f>IFERROR(__xludf.DUMMYFUNCTION("""COMPUTED_VALUE"""),10.0)</f>
        <v>10</v>
      </c>
      <c r="L1804" s="133">
        <f>IFERROR(__xludf.DUMMYFUNCTION("""COMPUTED_VALUE"""),7.0)</f>
        <v>7</v>
      </c>
      <c r="M1804" s="133">
        <f>IFERROR(__xludf.DUMMYFUNCTION("""COMPUTED_VALUE"""),17.0)</f>
        <v>17</v>
      </c>
      <c r="N1804" s="152" t="str">
        <f>IFERROR(__xludf.DUMMYFUNCTION("""COMPUTED_VALUE"""),"Model 3 Performance")</f>
        <v>Model 3 Performance</v>
      </c>
      <c r="O1804" s="152" t="str">
        <f>IFERROR(__xludf.DUMMYFUNCTION("""COMPUTED_VALUE"""),"Red Multi-Coat")</f>
        <v>Red Multi-Coat</v>
      </c>
      <c r="P1804" s="153" t="str">
        <f>IFERROR(__xludf.DUMMYFUNCTION("""COMPUTED_VALUE"""),"20 inch Sport")</f>
        <v>20 inch Sport</v>
      </c>
      <c r="Q1804" s="152" t="str">
        <f>IFERROR(__xludf.DUMMYFUNCTION("""COMPUTED_VALUE"""),"White seats")</f>
        <v>White seats</v>
      </c>
      <c r="R1804" s="149" t="str">
        <f>IFERROR(__xludf.DUMMYFUNCTION("""COMPUTED_VALUE"""),"Autopilot")</f>
        <v>Autopilot</v>
      </c>
      <c r="S1804" s="149"/>
      <c r="T1804" s="145"/>
      <c r="U1804" s="145"/>
      <c r="V1804" s="145"/>
      <c r="W1804" s="145"/>
      <c r="X1804" s="137" t="str">
        <f>IFERROR(__xludf.DUMMYFUNCTION("""COMPUTED_VALUE"""),"Excellent")</f>
        <v>Excellent</v>
      </c>
      <c r="Y1804" s="138" t="str">
        <f>IFERROR(__xludf.DUMMYFUNCTION("""COMPUTED_VALUE"""),"Fair")</f>
        <v>Fair</v>
      </c>
      <c r="Z1804" s="138" t="str">
        <f>IFERROR(__xludf.DUMMYFUNCTION("""COMPUTED_VALUE"""),"Fair")</f>
        <v>Fair</v>
      </c>
      <c r="AA1804" s="138" t="str">
        <f>IFERROR(__xludf.DUMMYFUNCTION("""COMPUTED_VALUE"""),"Good")</f>
        <v>Good</v>
      </c>
      <c r="AB1804" s="138" t="str">
        <f>IFERROR(__xludf.DUMMYFUNCTION("""COMPUTED_VALUE"""),"Good")</f>
        <v>Good</v>
      </c>
      <c r="AC1804" s="139">
        <f>IFERROR(__xludf.DUMMYFUNCTION("""COMPUTED_VALUE"""),3.0)</f>
        <v>3</v>
      </c>
      <c r="AD1804" s="139"/>
      <c r="AE1804" s="139"/>
      <c r="AF1804" s="140"/>
      <c r="AG1804" s="145"/>
      <c r="AH1804" s="157">
        <f>IFERROR(__xludf.DUMMYFUNCTION("""COMPUTED_VALUE"""),43693.37249388889)</f>
        <v>43693.37249</v>
      </c>
      <c r="AI1804" s="138"/>
      <c r="AJ1804" s="138"/>
      <c r="AK1804" s="138"/>
      <c r="AL1804" s="142"/>
    </row>
    <row r="1805" ht="20.25" customHeight="1">
      <c r="A1805" s="155" t="str">
        <f>IFERROR(__xludf.DUMMYFUNCTION("""COMPUTED_VALUE"""),"Sri")</f>
        <v>Sri</v>
      </c>
      <c r="B1805" s="149" t="str">
        <f>IFERROR(__xludf.DUMMYFUNCTION("""COMPUTED_VALUE"""),"Southlake")</f>
        <v>Southlake</v>
      </c>
      <c r="C1805" s="149" t="str">
        <f>IFERROR(__xludf.DUMMYFUNCTION("""COMPUTED_VALUE"""),"TX")</f>
        <v>TX</v>
      </c>
      <c r="D1805" s="149" t="str">
        <f>IFERROR(__xludf.DUMMYFUNCTION("""COMPUTED_VALUE"""),"USA")</f>
        <v>USA</v>
      </c>
      <c r="E1805" s="156">
        <f>IFERROR(__xludf.DUMMYFUNCTION("""COMPUTED_VALUE"""),43670.0)</f>
        <v>43670</v>
      </c>
      <c r="F1805" s="129">
        <f>IFERROR(__xludf.DUMMYFUNCTION("""COMPUTED_VALUE"""),43670.0)</f>
        <v>43670</v>
      </c>
      <c r="G1805" s="154"/>
      <c r="H1805" s="131">
        <f>IFERROR(__xludf.DUMMYFUNCTION("""COMPUTED_VALUE"""),442155.0)</f>
        <v>442155</v>
      </c>
      <c r="I1805" s="132" t="str">
        <f>IFERROR(__xludf.DUMMYFUNCTION("""COMPUTED_VALUE"""),"07/19")</f>
        <v>07/19</v>
      </c>
      <c r="J1805" s="129">
        <f>IFERROR(__xludf.DUMMYFUNCTION("""COMPUTED_VALUE"""),43679.0)</f>
        <v>43679</v>
      </c>
      <c r="K1805" s="133">
        <f>IFERROR(__xludf.DUMMYFUNCTION("""COMPUTED_VALUE"""),0.0)</f>
        <v>0</v>
      </c>
      <c r="L1805" s="133">
        <f>IFERROR(__xludf.DUMMYFUNCTION("""COMPUTED_VALUE"""),9.0)</f>
        <v>9</v>
      </c>
      <c r="M1805" s="133">
        <f>IFERROR(__xludf.DUMMYFUNCTION("""COMPUTED_VALUE"""),9.0)</f>
        <v>9</v>
      </c>
      <c r="N1805" s="152" t="str">
        <f>IFERROR(__xludf.DUMMYFUNCTION("""COMPUTED_VALUE"""),"Model 3 LR AWD")</f>
        <v>Model 3 LR AWD</v>
      </c>
      <c r="O1805" s="152" t="str">
        <f>IFERROR(__xludf.DUMMYFUNCTION("""COMPUTED_VALUE"""),"Deep Blue Metallic")</f>
        <v>Deep Blue Metallic</v>
      </c>
      <c r="P1805" s="153" t="str">
        <f>IFERROR(__xludf.DUMMYFUNCTION("""COMPUTED_VALUE"""),"18 inch Aero")</f>
        <v>18 inch Aero</v>
      </c>
      <c r="Q1805" s="152" t="str">
        <f>IFERROR(__xludf.DUMMYFUNCTION("""COMPUTED_VALUE"""),"Black seats")</f>
        <v>Black seats</v>
      </c>
      <c r="R1805" s="150" t="str">
        <f>IFERROR(__xludf.DUMMYFUNCTION("""COMPUTED_VALUE"""),"Full Self-Driving")</f>
        <v>Full Self-Driving</v>
      </c>
      <c r="S1805" s="150"/>
      <c r="T1805" s="136"/>
      <c r="U1805" s="136"/>
      <c r="V1805" s="136"/>
      <c r="W1805" s="136"/>
      <c r="X1805" s="137" t="str">
        <f>IFERROR(__xludf.DUMMYFUNCTION("""COMPUTED_VALUE"""),"Excellent")</f>
        <v>Excellent</v>
      </c>
      <c r="Y1805" s="138" t="str">
        <f>IFERROR(__xludf.DUMMYFUNCTION("""COMPUTED_VALUE"""),"Excellent")</f>
        <v>Excellent</v>
      </c>
      <c r="Z1805" s="138" t="str">
        <f>IFERROR(__xludf.DUMMYFUNCTION("""COMPUTED_VALUE"""),"Excellent")</f>
        <v>Excellent</v>
      </c>
      <c r="AA1805" s="138" t="str">
        <f>IFERROR(__xludf.DUMMYFUNCTION("""COMPUTED_VALUE"""),"Very Good")</f>
        <v>Very Good</v>
      </c>
      <c r="AB1805" s="138" t="str">
        <f>IFERROR(__xludf.DUMMYFUNCTION("""COMPUTED_VALUE"""),"Excellent")</f>
        <v>Excellent</v>
      </c>
      <c r="AC1805" s="139"/>
      <c r="AD1805" s="139"/>
      <c r="AE1805" s="139"/>
      <c r="AF1805" s="140"/>
      <c r="AG1805" s="136"/>
      <c r="AH1805" s="157">
        <f>IFERROR(__xludf.DUMMYFUNCTION("""COMPUTED_VALUE"""),43682.178789861115)</f>
        <v>43682.17879</v>
      </c>
      <c r="AI1805" s="138"/>
      <c r="AJ1805" s="138"/>
      <c r="AK1805" s="138"/>
      <c r="AL1805" s="142"/>
    </row>
    <row r="1806" ht="20.25" customHeight="1">
      <c r="A1806" s="155" t="str">
        <f>IFERROR(__xludf.DUMMYFUNCTION("""COMPUTED_VALUE"""),"brandx5")</f>
        <v>brandx5</v>
      </c>
      <c r="B1806" s="159" t="str">
        <f>IFERROR(__xludf.DUMMYFUNCTION("""COMPUTED_VALUE"""),"port moody")</f>
        <v>port moody</v>
      </c>
      <c r="C1806" s="159" t="str">
        <f>IFERROR(__xludf.DUMMYFUNCTION("""COMPUTED_VALUE"""),"BC")</f>
        <v>BC</v>
      </c>
      <c r="D1806" s="159" t="str">
        <f>IFERROR(__xludf.DUMMYFUNCTION("""COMPUTED_VALUE"""),"Canada")</f>
        <v>Canada</v>
      </c>
      <c r="E1806" s="156">
        <f>IFERROR(__xludf.DUMMYFUNCTION("""COMPUTED_VALUE"""),43669.0)</f>
        <v>43669</v>
      </c>
      <c r="F1806" s="129">
        <f>IFERROR(__xludf.DUMMYFUNCTION("""COMPUTED_VALUE"""),43687.0)</f>
        <v>43687</v>
      </c>
      <c r="G1806" s="154"/>
      <c r="H1806" s="131">
        <f>IFERROR(__xludf.DUMMYFUNCTION("""COMPUTED_VALUE"""),436655.0)</f>
        <v>436655</v>
      </c>
      <c r="I1806" s="160" t="str">
        <f>IFERROR(__xludf.DUMMYFUNCTION("""COMPUTED_VALUE"""),"08/19")</f>
        <v>08/19</v>
      </c>
      <c r="J1806" s="129">
        <f>IFERROR(__xludf.DUMMYFUNCTION("""COMPUTED_VALUE"""),43701.0)</f>
        <v>43701</v>
      </c>
      <c r="K1806" s="133">
        <f>IFERROR(__xludf.DUMMYFUNCTION("""COMPUTED_VALUE"""),18.0)</f>
        <v>18</v>
      </c>
      <c r="L1806" s="133">
        <f>IFERROR(__xludf.DUMMYFUNCTION("""COMPUTED_VALUE"""),14.0)</f>
        <v>14</v>
      </c>
      <c r="M1806" s="133">
        <f>IFERROR(__xludf.DUMMYFUNCTION("""COMPUTED_VALUE"""),32.0)</f>
        <v>32</v>
      </c>
      <c r="N1806" s="152" t="str">
        <f>IFERROR(__xludf.DUMMYFUNCTION("""COMPUTED_VALUE"""),"Model 3 SR+")</f>
        <v>Model 3 SR+</v>
      </c>
      <c r="O1806" s="152" t="str">
        <f>IFERROR(__xludf.DUMMYFUNCTION("""COMPUTED_VALUE"""),"Pearl White Multi-Coat")</f>
        <v>Pearl White Multi-Coat</v>
      </c>
      <c r="P1806" s="153" t="str">
        <f>IFERROR(__xludf.DUMMYFUNCTION("""COMPUTED_VALUE"""),"18 inch Aero")</f>
        <v>18 inch Aero</v>
      </c>
      <c r="Q1806" s="152" t="str">
        <f>IFERROR(__xludf.DUMMYFUNCTION("""COMPUTED_VALUE"""),"Black seats")</f>
        <v>Black seats</v>
      </c>
      <c r="R1806" s="159" t="str">
        <f>IFERROR(__xludf.DUMMYFUNCTION("""COMPUTED_VALUE"""),"Full Self-Driving")</f>
        <v>Full Self-Driving</v>
      </c>
      <c r="S1806" s="159"/>
      <c r="T1806" s="161"/>
      <c r="U1806" s="161"/>
      <c r="V1806" s="161"/>
      <c r="W1806" s="161"/>
      <c r="X1806" s="162" t="str">
        <f>IFERROR(__xludf.DUMMYFUNCTION("""COMPUTED_VALUE"""),"Good")</f>
        <v>Good</v>
      </c>
      <c r="Y1806" s="138" t="str">
        <f>IFERROR(__xludf.DUMMYFUNCTION("""COMPUTED_VALUE"""),"Very Good")</f>
        <v>Very Good</v>
      </c>
      <c r="Z1806" s="138" t="str">
        <f>IFERROR(__xludf.DUMMYFUNCTION("""COMPUTED_VALUE"""),"Very Good")</f>
        <v>Very Good</v>
      </c>
      <c r="AA1806" s="138" t="str">
        <f>IFERROR(__xludf.DUMMYFUNCTION("""COMPUTED_VALUE"""),"Fair")</f>
        <v>Fair</v>
      </c>
      <c r="AB1806" s="138" t="str">
        <f>IFERROR(__xludf.DUMMYFUNCTION("""COMPUTED_VALUE"""),"Very Good")</f>
        <v>Very Good</v>
      </c>
      <c r="AC1806" s="139">
        <f>IFERROR(__xludf.DUMMYFUNCTION("""COMPUTED_VALUE"""),0.0)</f>
        <v>0</v>
      </c>
      <c r="AD1806" s="139">
        <f>IFERROR(__xludf.DUMMYFUNCTION("""COMPUTED_VALUE"""),0.0)</f>
        <v>0</v>
      </c>
      <c r="AE1806" s="139">
        <f>IFERROR(__xludf.DUMMYFUNCTION("""COMPUTED_VALUE"""),0.0)</f>
        <v>0</v>
      </c>
      <c r="AF1806" s="140"/>
      <c r="AG1806" s="161"/>
      <c r="AH1806" s="157">
        <f>IFERROR(__xludf.DUMMYFUNCTION("""COMPUTED_VALUE"""),43740.789611203705)</f>
        <v>43740.78961</v>
      </c>
      <c r="AI1806" s="138"/>
      <c r="AJ1806" s="138"/>
      <c r="AK1806" s="138"/>
      <c r="AL1806" s="142"/>
    </row>
    <row r="1807" ht="20.25" customHeight="1">
      <c r="A1807" s="155" t="str">
        <f>IFERROR(__xludf.DUMMYFUNCTION("""COMPUTED_VALUE"""),"hunglngn")</f>
        <v>hunglngn</v>
      </c>
      <c r="B1807" s="149" t="str">
        <f>IFERROR(__xludf.DUMMYFUNCTION("""COMPUTED_VALUE"""),"San Jose")</f>
        <v>San Jose</v>
      </c>
      <c r="C1807" s="149" t="str">
        <f>IFERROR(__xludf.DUMMYFUNCTION("""COMPUTED_VALUE"""),"CA")</f>
        <v>CA</v>
      </c>
      <c r="D1807" s="149" t="str">
        <f>IFERROR(__xludf.DUMMYFUNCTION("""COMPUTED_VALUE"""),"USA")</f>
        <v>USA</v>
      </c>
      <c r="E1807" s="156">
        <f>IFERROR(__xludf.DUMMYFUNCTION("""COMPUTED_VALUE"""),43666.0)</f>
        <v>43666</v>
      </c>
      <c r="F1807" s="129">
        <f>IFERROR(__xludf.DUMMYFUNCTION("""COMPUTED_VALUE"""),43679.0)</f>
        <v>43679</v>
      </c>
      <c r="G1807" s="154"/>
      <c r="H1807" s="131">
        <f>IFERROR(__xludf.DUMMYFUNCTION("""COMPUTED_VALUE"""),469701.0)</f>
        <v>469701</v>
      </c>
      <c r="I1807" s="132" t="str">
        <f>IFERROR(__xludf.DUMMYFUNCTION("""COMPUTED_VALUE"""),"08/19")</f>
        <v>08/19</v>
      </c>
      <c r="J1807" s="129">
        <f>IFERROR(__xludf.DUMMYFUNCTION("""COMPUTED_VALUE"""),43683.0)</f>
        <v>43683</v>
      </c>
      <c r="K1807" s="133">
        <f>IFERROR(__xludf.DUMMYFUNCTION("""COMPUTED_VALUE"""),13.0)</f>
        <v>13</v>
      </c>
      <c r="L1807" s="133">
        <f>IFERROR(__xludf.DUMMYFUNCTION("""COMPUTED_VALUE"""),4.0)</f>
        <v>4</v>
      </c>
      <c r="M1807" s="133">
        <f>IFERROR(__xludf.DUMMYFUNCTION("""COMPUTED_VALUE"""),17.0)</f>
        <v>17</v>
      </c>
      <c r="N1807" s="152" t="str">
        <f>IFERROR(__xludf.DUMMYFUNCTION("""COMPUTED_VALUE"""),"Model 3 Performance")</f>
        <v>Model 3 Performance</v>
      </c>
      <c r="O1807" s="152" t="str">
        <f>IFERROR(__xludf.DUMMYFUNCTION("""COMPUTED_VALUE"""),"Pearl White Multi-Coat")</f>
        <v>Pearl White Multi-Coat</v>
      </c>
      <c r="P1807" s="153" t="str">
        <f>IFERROR(__xludf.DUMMYFUNCTION("""COMPUTED_VALUE"""),"20 inch Sport")</f>
        <v>20 inch Sport</v>
      </c>
      <c r="Q1807" s="152" t="str">
        <f>IFERROR(__xludf.DUMMYFUNCTION("""COMPUTED_VALUE"""),"White seats")</f>
        <v>White seats</v>
      </c>
      <c r="R1807" s="150" t="str">
        <f>IFERROR(__xludf.DUMMYFUNCTION("""COMPUTED_VALUE"""),"Autopilot")</f>
        <v>Autopilot</v>
      </c>
      <c r="S1807" s="150"/>
      <c r="T1807" s="136"/>
      <c r="U1807" s="136"/>
      <c r="V1807" s="136"/>
      <c r="W1807" s="136"/>
      <c r="X1807" s="137" t="str">
        <f>IFERROR(__xludf.DUMMYFUNCTION("""COMPUTED_VALUE"""),"Fair")</f>
        <v>Fair</v>
      </c>
      <c r="Y1807" s="138" t="str">
        <f>IFERROR(__xludf.DUMMYFUNCTION("""COMPUTED_VALUE"""),"Good")</f>
        <v>Good</v>
      </c>
      <c r="Z1807" s="138" t="str">
        <f>IFERROR(__xludf.DUMMYFUNCTION("""COMPUTED_VALUE"""),"Very Good")</f>
        <v>Very Good</v>
      </c>
      <c r="AA1807" s="138" t="str">
        <f>IFERROR(__xludf.DUMMYFUNCTION("""COMPUTED_VALUE"""),"Poor")</f>
        <v>Poor</v>
      </c>
      <c r="AB1807" s="138" t="str">
        <f>IFERROR(__xludf.DUMMYFUNCTION("""COMPUTED_VALUE"""),"Poor")</f>
        <v>Poor</v>
      </c>
      <c r="AC1807" s="139">
        <f>IFERROR(__xludf.DUMMYFUNCTION("""COMPUTED_VALUE"""),2.0)</f>
        <v>2</v>
      </c>
      <c r="AD1807" s="139">
        <f>IFERROR(__xludf.DUMMYFUNCTION("""COMPUTED_VALUE"""),1.0)</f>
        <v>1</v>
      </c>
      <c r="AE1807" s="139">
        <f>IFERROR(__xludf.DUMMYFUNCTION("""COMPUTED_VALUE"""),0.0)</f>
        <v>0</v>
      </c>
      <c r="AF1807" s="140"/>
      <c r="AG1807" s="136"/>
      <c r="AH1807" s="157">
        <f>IFERROR(__xludf.DUMMYFUNCTION("""COMPUTED_VALUE"""),43721.668389189814)</f>
        <v>43721.66839</v>
      </c>
      <c r="AI1807" s="138"/>
      <c r="AJ1807" s="138"/>
      <c r="AK1807" s="138"/>
      <c r="AL1807" s="142"/>
    </row>
    <row r="1808" ht="20.25" customHeight="1">
      <c r="A1808" s="155" t="str">
        <f>IFERROR(__xludf.DUMMYFUNCTION("""COMPUTED_VALUE"""),"Smiesguy")</f>
        <v>Smiesguy</v>
      </c>
      <c r="B1808" s="149" t="str">
        <f>IFERROR(__xludf.DUMMYFUNCTION("""COMPUTED_VALUE"""),"Delaware")</f>
        <v>Delaware</v>
      </c>
      <c r="C1808" s="149" t="str">
        <f>IFERROR(__xludf.DUMMYFUNCTION("""COMPUTED_VALUE"""),"OH")</f>
        <v>OH</v>
      </c>
      <c r="D1808" s="149" t="str">
        <f>IFERROR(__xludf.DUMMYFUNCTION("""COMPUTED_VALUE"""),"USA")</f>
        <v>USA</v>
      </c>
      <c r="E1808" s="156">
        <f>IFERROR(__xludf.DUMMYFUNCTION("""COMPUTED_VALUE"""),43666.0)</f>
        <v>43666</v>
      </c>
      <c r="F1808" s="129">
        <f>IFERROR(__xludf.DUMMYFUNCTION("""COMPUTED_VALUE"""),43671.0)</f>
        <v>43671</v>
      </c>
      <c r="G1808" s="154"/>
      <c r="H1808" s="131">
        <f>IFERROR(__xludf.DUMMYFUNCTION("""COMPUTED_VALUE"""),427427.0)</f>
        <v>427427</v>
      </c>
      <c r="I1808" s="132" t="str">
        <f>IFERROR(__xludf.DUMMYFUNCTION("""COMPUTED_VALUE"""),"07/19")</f>
        <v>07/19</v>
      </c>
      <c r="J1808" s="129">
        <f>IFERROR(__xludf.DUMMYFUNCTION("""COMPUTED_VALUE"""),43671.0)</f>
        <v>43671</v>
      </c>
      <c r="K1808" s="133">
        <f>IFERROR(__xludf.DUMMYFUNCTION("""COMPUTED_VALUE"""),5.0)</f>
        <v>5</v>
      </c>
      <c r="L1808" s="133">
        <f>IFERROR(__xludf.DUMMYFUNCTION("""COMPUTED_VALUE"""),0.0)</f>
        <v>0</v>
      </c>
      <c r="M1808" s="133">
        <f>IFERROR(__xludf.DUMMYFUNCTION("""COMPUTED_VALUE"""),5.0)</f>
        <v>5</v>
      </c>
      <c r="N1808" s="152" t="str">
        <f>IFERROR(__xludf.DUMMYFUNCTION("""COMPUTED_VALUE"""),"Model 3 Performance")</f>
        <v>Model 3 Performance</v>
      </c>
      <c r="O1808" s="152" t="str">
        <f>IFERROR(__xludf.DUMMYFUNCTION("""COMPUTED_VALUE"""),"Pearl White Multi-Coat")</f>
        <v>Pearl White Multi-Coat</v>
      </c>
      <c r="P1808" s="153" t="str">
        <f>IFERROR(__xludf.DUMMYFUNCTION("""COMPUTED_VALUE"""),"20 inch Sport")</f>
        <v>20 inch Sport</v>
      </c>
      <c r="Q1808" s="152" t="str">
        <f>IFERROR(__xludf.DUMMYFUNCTION("""COMPUTED_VALUE"""),"Black seats")</f>
        <v>Black seats</v>
      </c>
      <c r="R1808" s="150" t="str">
        <f>IFERROR(__xludf.DUMMYFUNCTION("""COMPUTED_VALUE"""),"Autopilot")</f>
        <v>Autopilot</v>
      </c>
      <c r="S1808" s="150"/>
      <c r="T1808" s="136"/>
      <c r="U1808" s="136"/>
      <c r="V1808" s="136"/>
      <c r="W1808" s="136"/>
      <c r="X1808" s="137" t="str">
        <f>IFERROR(__xludf.DUMMYFUNCTION("""COMPUTED_VALUE"""),"Good")</f>
        <v>Good</v>
      </c>
      <c r="Y1808" s="138" t="str">
        <f>IFERROR(__xludf.DUMMYFUNCTION("""COMPUTED_VALUE"""),"Very Good")</f>
        <v>Very Good</v>
      </c>
      <c r="Z1808" s="138" t="str">
        <f>IFERROR(__xludf.DUMMYFUNCTION("""COMPUTED_VALUE"""),"Very Good")</f>
        <v>Very Good</v>
      </c>
      <c r="AA1808" s="138" t="str">
        <f>IFERROR(__xludf.DUMMYFUNCTION("""COMPUTED_VALUE"""),"Excellent")</f>
        <v>Excellent</v>
      </c>
      <c r="AB1808" s="138" t="str">
        <f>IFERROR(__xludf.DUMMYFUNCTION("""COMPUTED_VALUE"""),"Excellent")</f>
        <v>Excellent</v>
      </c>
      <c r="AC1808" s="139"/>
      <c r="AD1808" s="139"/>
      <c r="AE1808" s="139"/>
      <c r="AF1808" s="140"/>
      <c r="AG1808" s="136"/>
      <c r="AH1808" s="157">
        <f>IFERROR(__xludf.DUMMYFUNCTION("""COMPUTED_VALUE"""),43671.7768018287)</f>
        <v>43671.7768</v>
      </c>
      <c r="AI1808" s="138"/>
      <c r="AJ1808" s="138"/>
      <c r="AK1808" s="138"/>
      <c r="AL1808" s="142"/>
    </row>
    <row r="1809" ht="20.25" customHeight="1">
      <c r="A1809" s="155" t="str">
        <f>IFERROR(__xludf.DUMMYFUNCTION("""COMPUTED_VALUE"""),"chudson")</f>
        <v>chudson</v>
      </c>
      <c r="B1809" s="149" t="str">
        <f>IFERROR(__xludf.DUMMYFUNCTION("""COMPUTED_VALUE"""),"Lynnwood")</f>
        <v>Lynnwood</v>
      </c>
      <c r="C1809" s="149" t="str">
        <f>IFERROR(__xludf.DUMMYFUNCTION("""COMPUTED_VALUE"""),"WA")</f>
        <v>WA</v>
      </c>
      <c r="D1809" s="149" t="str">
        <f>IFERROR(__xludf.DUMMYFUNCTION("""COMPUTED_VALUE"""),"USA")</f>
        <v>USA</v>
      </c>
      <c r="E1809" s="156">
        <f>IFERROR(__xludf.DUMMYFUNCTION("""COMPUTED_VALUE"""),43665.0)</f>
        <v>43665</v>
      </c>
      <c r="F1809" s="129">
        <f>IFERROR(__xludf.DUMMYFUNCTION("""COMPUTED_VALUE"""),43676.0)</f>
        <v>43676</v>
      </c>
      <c r="G1809" s="154"/>
      <c r="H1809" s="131">
        <f>IFERROR(__xludf.DUMMYFUNCTION("""COMPUTED_VALUE"""),435643.0)</f>
        <v>435643</v>
      </c>
      <c r="I1809" s="144" t="str">
        <f>IFERROR(__xludf.DUMMYFUNCTION("""COMPUTED_VALUE"""),"07/19")</f>
        <v>07/19</v>
      </c>
      <c r="J1809" s="129">
        <f>IFERROR(__xludf.DUMMYFUNCTION("""COMPUTED_VALUE"""),43683.0)</f>
        <v>43683</v>
      </c>
      <c r="K1809" s="133">
        <f>IFERROR(__xludf.DUMMYFUNCTION("""COMPUTED_VALUE"""),11.0)</f>
        <v>11</v>
      </c>
      <c r="L1809" s="133">
        <f>IFERROR(__xludf.DUMMYFUNCTION("""COMPUTED_VALUE"""),7.0)</f>
        <v>7</v>
      </c>
      <c r="M1809" s="133">
        <f>IFERROR(__xludf.DUMMYFUNCTION("""COMPUTED_VALUE"""),18.0)</f>
        <v>18</v>
      </c>
      <c r="N1809" s="152" t="str">
        <f>IFERROR(__xludf.DUMMYFUNCTION("""COMPUTED_VALUE"""),"Model 3 SR+")</f>
        <v>Model 3 SR+</v>
      </c>
      <c r="O1809" s="152" t="str">
        <f>IFERROR(__xludf.DUMMYFUNCTION("""COMPUTED_VALUE"""),"Pearl White Multi-Coat")</f>
        <v>Pearl White Multi-Coat</v>
      </c>
      <c r="P1809" s="153" t="str">
        <f>IFERROR(__xludf.DUMMYFUNCTION("""COMPUTED_VALUE"""),"18 inch Aero")</f>
        <v>18 inch Aero</v>
      </c>
      <c r="Q1809" s="152" t="str">
        <f>IFERROR(__xludf.DUMMYFUNCTION("""COMPUTED_VALUE"""),"Black seats")</f>
        <v>Black seats</v>
      </c>
      <c r="R1809" s="149" t="str">
        <f>IFERROR(__xludf.DUMMYFUNCTION("""COMPUTED_VALUE"""),"Autopilot")</f>
        <v>Autopilot</v>
      </c>
      <c r="S1809" s="149"/>
      <c r="T1809" s="145"/>
      <c r="U1809" s="145"/>
      <c r="V1809" s="145"/>
      <c r="W1809" s="145"/>
      <c r="X1809" s="137" t="str">
        <f>IFERROR(__xludf.DUMMYFUNCTION("""COMPUTED_VALUE"""),"Excellent")</f>
        <v>Excellent</v>
      </c>
      <c r="Y1809" s="138" t="str">
        <f>IFERROR(__xludf.DUMMYFUNCTION("""COMPUTED_VALUE"""),"Excellent")</f>
        <v>Excellent</v>
      </c>
      <c r="Z1809" s="138" t="str">
        <f>IFERROR(__xludf.DUMMYFUNCTION("""COMPUTED_VALUE"""),"Excellent")</f>
        <v>Excellent</v>
      </c>
      <c r="AA1809" s="138" t="str">
        <f>IFERROR(__xludf.DUMMYFUNCTION("""COMPUTED_VALUE"""),"Excellent")</f>
        <v>Excellent</v>
      </c>
      <c r="AB1809" s="138" t="str">
        <f>IFERROR(__xludf.DUMMYFUNCTION("""COMPUTED_VALUE"""),"Good")</f>
        <v>Good</v>
      </c>
      <c r="AC1809" s="139">
        <f>IFERROR(__xludf.DUMMYFUNCTION("""COMPUTED_VALUE"""),0.0)</f>
        <v>0</v>
      </c>
      <c r="AD1809" s="139">
        <f>IFERROR(__xludf.DUMMYFUNCTION("""COMPUTED_VALUE"""),0.0)</f>
        <v>0</v>
      </c>
      <c r="AE1809" s="139">
        <f>IFERROR(__xludf.DUMMYFUNCTION("""COMPUTED_VALUE"""),0.0)</f>
        <v>0</v>
      </c>
      <c r="AF1809" s="140"/>
      <c r="AG1809" s="145" t="str">
        <f>IFERROR(__xludf.DUMMYFUNCTION("""COMPUTED_VALUE"""),"Had to bump my original delivery date by 5 days due to new WA state sales tax rebate that started Aug 1st.")</f>
        <v>Had to bump my original delivery date by 5 days due to new WA state sales tax rebate that started Aug 1st.</v>
      </c>
      <c r="AH1809" s="157">
        <f>IFERROR(__xludf.DUMMYFUNCTION("""COMPUTED_VALUE"""),43726.603670624994)</f>
        <v>43726.60367</v>
      </c>
      <c r="AI1809" s="138"/>
      <c r="AJ1809" s="138"/>
      <c r="AK1809" s="138"/>
      <c r="AL1809" s="142"/>
    </row>
    <row r="1810" ht="20.25" customHeight="1">
      <c r="A1810" s="155" t="str">
        <f>IFERROR(__xludf.DUMMYFUNCTION("""COMPUTED_VALUE"""),"ExoWarren")</f>
        <v>ExoWarren</v>
      </c>
      <c r="B1810" s="149" t="str">
        <f>IFERROR(__xludf.DUMMYFUNCTION("""COMPUTED_VALUE"""),"San Jose")</f>
        <v>San Jose</v>
      </c>
      <c r="C1810" s="149" t="str">
        <f>IFERROR(__xludf.DUMMYFUNCTION("""COMPUTED_VALUE"""),"CA")</f>
        <v>CA</v>
      </c>
      <c r="D1810" s="149" t="str">
        <f>IFERROR(__xludf.DUMMYFUNCTION("""COMPUTED_VALUE"""),"USA")</f>
        <v>USA</v>
      </c>
      <c r="E1810" s="156">
        <f>IFERROR(__xludf.DUMMYFUNCTION("""COMPUTED_VALUE"""),43665.0)</f>
        <v>43665</v>
      </c>
      <c r="F1810" s="129">
        <f>IFERROR(__xludf.DUMMYFUNCTION("""COMPUTED_VALUE"""),43670.0)</f>
        <v>43670</v>
      </c>
      <c r="G1810" s="154"/>
      <c r="H1810" s="131">
        <f>IFERROR(__xludf.DUMMYFUNCTION("""COMPUTED_VALUE"""),422055.0)</f>
        <v>422055</v>
      </c>
      <c r="I1810" s="144"/>
      <c r="J1810" s="129">
        <f>IFERROR(__xludf.DUMMYFUNCTION("""COMPUTED_VALUE"""),43671.0)</f>
        <v>43671</v>
      </c>
      <c r="K1810" s="133">
        <f>IFERROR(__xludf.DUMMYFUNCTION("""COMPUTED_VALUE"""),5.0)</f>
        <v>5</v>
      </c>
      <c r="L1810" s="133">
        <f>IFERROR(__xludf.DUMMYFUNCTION("""COMPUTED_VALUE"""),1.0)</f>
        <v>1</v>
      </c>
      <c r="M1810" s="133">
        <f>IFERROR(__xludf.DUMMYFUNCTION("""COMPUTED_VALUE"""),6.0)</f>
        <v>6</v>
      </c>
      <c r="N1810" s="152" t="str">
        <f>IFERROR(__xludf.DUMMYFUNCTION("""COMPUTED_VALUE"""),"Model 3 Performance")</f>
        <v>Model 3 Performance</v>
      </c>
      <c r="O1810" s="152" t="str">
        <f>IFERROR(__xludf.DUMMYFUNCTION("""COMPUTED_VALUE"""),"Red Multi-Coat")</f>
        <v>Red Multi-Coat</v>
      </c>
      <c r="P1810" s="153" t="str">
        <f>IFERROR(__xludf.DUMMYFUNCTION("""COMPUTED_VALUE"""),"20 inch Sport")</f>
        <v>20 inch Sport</v>
      </c>
      <c r="Q1810" s="152" t="str">
        <f>IFERROR(__xludf.DUMMYFUNCTION("""COMPUTED_VALUE"""),"Black seats")</f>
        <v>Black seats</v>
      </c>
      <c r="R1810" s="149" t="str">
        <f>IFERROR(__xludf.DUMMYFUNCTION("""COMPUTED_VALUE"""),"Autopilot")</f>
        <v>Autopilot</v>
      </c>
      <c r="S1810" s="149"/>
      <c r="T1810" s="145"/>
      <c r="U1810" s="145"/>
      <c r="V1810" s="145"/>
      <c r="W1810" s="145"/>
      <c r="X1810" s="137" t="str">
        <f>IFERROR(__xludf.DUMMYFUNCTION("""COMPUTED_VALUE"""),"Very Good")</f>
        <v>Very Good</v>
      </c>
      <c r="Y1810" s="138" t="str">
        <f>IFERROR(__xludf.DUMMYFUNCTION("""COMPUTED_VALUE"""),"Excellent")</f>
        <v>Excellent</v>
      </c>
      <c r="Z1810" s="138" t="str">
        <f>IFERROR(__xludf.DUMMYFUNCTION("""COMPUTED_VALUE"""),"Excellent")</f>
        <v>Excellent</v>
      </c>
      <c r="AA1810" s="138" t="str">
        <f>IFERROR(__xludf.DUMMYFUNCTION("""COMPUTED_VALUE"""),"Good")</f>
        <v>Good</v>
      </c>
      <c r="AB1810" s="138" t="str">
        <f>IFERROR(__xludf.DUMMYFUNCTION("""COMPUTED_VALUE"""),"Very Good")</f>
        <v>Very Good</v>
      </c>
      <c r="AC1810" s="139"/>
      <c r="AD1810" s="139"/>
      <c r="AE1810" s="139"/>
      <c r="AF1810" s="140"/>
      <c r="AG1810" s="145" t="str">
        <f>IFERROR(__xludf.DUMMYFUNCTION("""COMPUTED_VALUE"""),"Switched to inventory car on 7/22")</f>
        <v>Switched to inventory car on 7/22</v>
      </c>
      <c r="AH1810" s="157">
        <f>IFERROR(__xludf.DUMMYFUNCTION("""COMPUTED_VALUE"""),43672.75836516204)</f>
        <v>43672.75837</v>
      </c>
      <c r="AI1810" s="138"/>
      <c r="AJ1810" s="138"/>
      <c r="AK1810" s="138"/>
      <c r="AL1810" s="142"/>
    </row>
    <row r="1811" ht="20.25" customHeight="1">
      <c r="A1811" s="155" t="str">
        <f>IFERROR(__xludf.DUMMYFUNCTION("""COMPUTED_VALUE"""),"mesla")</f>
        <v>mesla</v>
      </c>
      <c r="B1811" s="149" t="str">
        <f>IFERROR(__xludf.DUMMYFUNCTION("""COMPUTED_VALUE"""),"Santa Cruz")</f>
        <v>Santa Cruz</v>
      </c>
      <c r="C1811" s="149" t="str">
        <f>IFERROR(__xludf.DUMMYFUNCTION("""COMPUTED_VALUE"""),"CA")</f>
        <v>CA</v>
      </c>
      <c r="D1811" s="149" t="str">
        <f>IFERROR(__xludf.DUMMYFUNCTION("""COMPUTED_VALUE"""),"USA")</f>
        <v>USA</v>
      </c>
      <c r="E1811" s="156">
        <f>IFERROR(__xludf.DUMMYFUNCTION("""COMPUTED_VALUE"""),43664.0)</f>
        <v>43664</v>
      </c>
      <c r="F1811" s="129">
        <f>IFERROR(__xludf.DUMMYFUNCTION("""COMPUTED_VALUE"""),43665.0)</f>
        <v>43665</v>
      </c>
      <c r="G1811" s="154"/>
      <c r="H1811" s="131">
        <f>IFERROR(__xludf.DUMMYFUNCTION("""COMPUTED_VALUE"""),442255.0)</f>
        <v>442255</v>
      </c>
      <c r="I1811" s="144" t="str">
        <f>IFERROR(__xludf.DUMMYFUNCTION("""COMPUTED_VALUE"""),"07/19")</f>
        <v>07/19</v>
      </c>
      <c r="J1811" s="129">
        <f>IFERROR(__xludf.DUMMYFUNCTION("""COMPUTED_VALUE"""),43669.0)</f>
        <v>43669</v>
      </c>
      <c r="K1811" s="133">
        <f>IFERROR(__xludf.DUMMYFUNCTION("""COMPUTED_VALUE"""),1.0)</f>
        <v>1</v>
      </c>
      <c r="L1811" s="133">
        <f>IFERROR(__xludf.DUMMYFUNCTION("""COMPUTED_VALUE"""),4.0)</f>
        <v>4</v>
      </c>
      <c r="M1811" s="133">
        <f>IFERROR(__xludf.DUMMYFUNCTION("""COMPUTED_VALUE"""),5.0)</f>
        <v>5</v>
      </c>
      <c r="N1811" s="152" t="str">
        <f>IFERROR(__xludf.DUMMYFUNCTION("""COMPUTED_VALUE"""),"Model 3 Performance")</f>
        <v>Model 3 Performance</v>
      </c>
      <c r="O1811" s="152" t="str">
        <f>IFERROR(__xludf.DUMMYFUNCTION("""COMPUTED_VALUE"""),"Pearl White Multi-Coat")</f>
        <v>Pearl White Multi-Coat</v>
      </c>
      <c r="P1811" s="153" t="str">
        <f>IFERROR(__xludf.DUMMYFUNCTION("""COMPUTED_VALUE"""),"18 inch Aero")</f>
        <v>18 inch Aero</v>
      </c>
      <c r="Q1811" s="152" t="str">
        <f>IFERROR(__xludf.DUMMYFUNCTION("""COMPUTED_VALUE"""),"Black seats")</f>
        <v>Black seats</v>
      </c>
      <c r="R1811" s="149" t="str">
        <f>IFERROR(__xludf.DUMMYFUNCTION("""COMPUTED_VALUE"""),"Autopilot")</f>
        <v>Autopilot</v>
      </c>
      <c r="S1811" s="149"/>
      <c r="T1811" s="145"/>
      <c r="U1811" s="145"/>
      <c r="V1811" s="145"/>
      <c r="W1811" s="136"/>
      <c r="X1811" s="137" t="str">
        <f>IFERROR(__xludf.DUMMYFUNCTION("""COMPUTED_VALUE"""),"Very Good")</f>
        <v>Very Good</v>
      </c>
      <c r="Y1811" s="138" t="str">
        <f>IFERROR(__xludf.DUMMYFUNCTION("""COMPUTED_VALUE"""),"Very Good")</f>
        <v>Very Good</v>
      </c>
      <c r="Z1811" s="138" t="str">
        <f>IFERROR(__xludf.DUMMYFUNCTION("""COMPUTED_VALUE"""),"Very Good")</f>
        <v>Very Good</v>
      </c>
      <c r="AA1811" s="138" t="str">
        <f>IFERROR(__xludf.DUMMYFUNCTION("""COMPUTED_VALUE"""),"Very Good")</f>
        <v>Very Good</v>
      </c>
      <c r="AB1811" s="138" t="str">
        <f>IFERROR(__xludf.DUMMYFUNCTION("""COMPUTED_VALUE"""),"Excellent")</f>
        <v>Excellent</v>
      </c>
      <c r="AC1811" s="139">
        <f>IFERROR(__xludf.DUMMYFUNCTION("""COMPUTED_VALUE"""),3.0)</f>
        <v>3</v>
      </c>
      <c r="AD1811" s="139">
        <f>IFERROR(__xludf.DUMMYFUNCTION("""COMPUTED_VALUE"""),1.0)</f>
        <v>1</v>
      </c>
      <c r="AE1811" s="139"/>
      <c r="AF1811" s="140"/>
      <c r="AG1811" s="136" t="str">
        <f>IFERROR(__xludf.DUMMYFUNCTION("""COMPUTED_VALUE"""),"P3D- ""Steath Performance"", with no PUP upgrade")</f>
        <v>P3D- "Steath Performance", with no PUP upgrade</v>
      </c>
      <c r="AH1811" s="157">
        <f>IFERROR(__xludf.DUMMYFUNCTION("""COMPUTED_VALUE"""),43674.49275090278)</f>
        <v>43674.49275</v>
      </c>
      <c r="AI1811" s="138"/>
      <c r="AJ1811" s="138"/>
      <c r="AK1811" s="138"/>
      <c r="AL1811" s="142"/>
    </row>
    <row r="1812" ht="20.25" customHeight="1">
      <c r="A1812" s="155" t="str">
        <f>IFERROR(__xludf.DUMMYFUNCTION("""COMPUTED_VALUE"""),"JasonR67")</f>
        <v>JasonR67</v>
      </c>
      <c r="B1812" s="149" t="str">
        <f>IFERROR(__xludf.DUMMYFUNCTION("""COMPUTED_VALUE"""),"Raleigh")</f>
        <v>Raleigh</v>
      </c>
      <c r="C1812" s="149" t="str">
        <f>IFERROR(__xludf.DUMMYFUNCTION("""COMPUTED_VALUE"""),"NC")</f>
        <v>NC</v>
      </c>
      <c r="D1812" s="149" t="str">
        <f>IFERROR(__xludf.DUMMYFUNCTION("""COMPUTED_VALUE"""),"USA")</f>
        <v>USA</v>
      </c>
      <c r="E1812" s="156">
        <f>IFERROR(__xludf.DUMMYFUNCTION("""COMPUTED_VALUE"""),43663.0)</f>
        <v>43663</v>
      </c>
      <c r="F1812" s="129">
        <f>IFERROR(__xludf.DUMMYFUNCTION("""COMPUTED_VALUE"""),43663.0)</f>
        <v>43663</v>
      </c>
      <c r="G1812" s="154"/>
      <c r="H1812" s="131">
        <f>IFERROR(__xludf.DUMMYFUNCTION("""COMPUTED_VALUE"""),433255.0)</f>
        <v>433255</v>
      </c>
      <c r="I1812" s="144"/>
      <c r="J1812" s="129">
        <f>IFERROR(__xludf.DUMMYFUNCTION("""COMPUTED_VALUE"""),43669.0)</f>
        <v>43669</v>
      </c>
      <c r="K1812" s="133">
        <f>IFERROR(__xludf.DUMMYFUNCTION("""COMPUTED_VALUE"""),0.0)</f>
        <v>0</v>
      </c>
      <c r="L1812" s="133">
        <f>IFERROR(__xludf.DUMMYFUNCTION("""COMPUTED_VALUE"""),6.0)</f>
        <v>6</v>
      </c>
      <c r="M1812" s="133">
        <f>IFERROR(__xludf.DUMMYFUNCTION("""COMPUTED_VALUE"""),6.0)</f>
        <v>6</v>
      </c>
      <c r="N1812" s="152" t="str">
        <f>IFERROR(__xludf.DUMMYFUNCTION("""COMPUTED_VALUE"""),"Model 3 Performance")</f>
        <v>Model 3 Performance</v>
      </c>
      <c r="O1812" s="152" t="str">
        <f>IFERROR(__xludf.DUMMYFUNCTION("""COMPUTED_VALUE"""),"Pearl White Multi-Coat")</f>
        <v>Pearl White Multi-Coat</v>
      </c>
      <c r="P1812" s="153" t="str">
        <f>IFERROR(__xludf.DUMMYFUNCTION("""COMPUTED_VALUE"""),"18 inch Aero")</f>
        <v>18 inch Aero</v>
      </c>
      <c r="Q1812" s="152" t="str">
        <f>IFERROR(__xludf.DUMMYFUNCTION("""COMPUTED_VALUE"""),"Black seats")</f>
        <v>Black seats</v>
      </c>
      <c r="R1812" s="149" t="str">
        <f>IFERROR(__xludf.DUMMYFUNCTION("""COMPUTED_VALUE"""),"Autopilot")</f>
        <v>Autopilot</v>
      </c>
      <c r="S1812" s="149"/>
      <c r="T1812" s="145"/>
      <c r="U1812" s="145"/>
      <c r="V1812" s="145"/>
      <c r="W1812" s="145"/>
      <c r="X1812" s="137" t="str">
        <f>IFERROR(__xludf.DUMMYFUNCTION("""COMPUTED_VALUE"""),"Excellent")</f>
        <v>Excellent</v>
      </c>
      <c r="Y1812" s="138" t="str">
        <f>IFERROR(__xludf.DUMMYFUNCTION("""COMPUTED_VALUE"""),"Excellent")</f>
        <v>Excellent</v>
      </c>
      <c r="Z1812" s="138" t="str">
        <f>IFERROR(__xludf.DUMMYFUNCTION("""COMPUTED_VALUE"""),"Excellent")</f>
        <v>Excellent</v>
      </c>
      <c r="AA1812" s="138" t="str">
        <f>IFERROR(__xludf.DUMMYFUNCTION("""COMPUTED_VALUE"""),"Good")</f>
        <v>Good</v>
      </c>
      <c r="AB1812" s="138" t="str">
        <f>IFERROR(__xludf.DUMMYFUNCTION("""COMPUTED_VALUE"""),"Very Good")</f>
        <v>Very Good</v>
      </c>
      <c r="AC1812" s="139"/>
      <c r="AD1812" s="139"/>
      <c r="AE1812" s="139"/>
      <c r="AF1812" s="140"/>
      <c r="AG1812" s="145" t="str">
        <f>IFERROR(__xludf.DUMMYFUNCTION("""COMPUTED_VALUE"""),"m3p-")</f>
        <v>m3p-</v>
      </c>
      <c r="AH1812" s="157">
        <f>IFERROR(__xludf.DUMMYFUNCTION("""COMPUTED_VALUE"""),43669.58868130787)</f>
        <v>43669.58868</v>
      </c>
      <c r="AI1812" s="138"/>
      <c r="AJ1812" s="138"/>
      <c r="AK1812" s="138"/>
      <c r="AL1812" s="142"/>
    </row>
    <row r="1813" ht="20.25" customHeight="1">
      <c r="A1813" s="155" t="str">
        <f>IFERROR(__xludf.DUMMYFUNCTION("""COMPUTED_VALUE"""),"There Is A Fracture")</f>
        <v>There Is A Fracture</v>
      </c>
      <c r="B1813" s="149" t="str">
        <f>IFERROR(__xludf.DUMMYFUNCTION("""COMPUTED_VALUE"""),"Kansas City")</f>
        <v>Kansas City</v>
      </c>
      <c r="C1813" s="149" t="str">
        <f>IFERROR(__xludf.DUMMYFUNCTION("""COMPUTED_VALUE"""),"MO")</f>
        <v>MO</v>
      </c>
      <c r="D1813" s="149" t="str">
        <f>IFERROR(__xludf.DUMMYFUNCTION("""COMPUTED_VALUE"""),"USA")</f>
        <v>USA</v>
      </c>
      <c r="E1813" s="156">
        <f>IFERROR(__xludf.DUMMYFUNCTION("""COMPUTED_VALUE"""),43663.0)</f>
        <v>43663</v>
      </c>
      <c r="F1813" s="129">
        <f>IFERROR(__xludf.DUMMYFUNCTION("""COMPUTED_VALUE"""),43666.0)</f>
        <v>43666</v>
      </c>
      <c r="G1813" s="154"/>
      <c r="H1813" s="131">
        <f>IFERROR(__xludf.DUMMYFUNCTION("""COMPUTED_VALUE"""),418455.0)</f>
        <v>418455</v>
      </c>
      <c r="I1813" s="144" t="str">
        <f>IFERROR(__xludf.DUMMYFUNCTION("""COMPUTED_VALUE"""),"07/19")</f>
        <v>07/19</v>
      </c>
      <c r="J1813" s="129">
        <f>IFERROR(__xludf.DUMMYFUNCTION("""COMPUTED_VALUE"""),43682.0)</f>
        <v>43682</v>
      </c>
      <c r="K1813" s="133">
        <f>IFERROR(__xludf.DUMMYFUNCTION("""COMPUTED_VALUE"""),3.0)</f>
        <v>3</v>
      </c>
      <c r="L1813" s="133">
        <f>IFERROR(__xludf.DUMMYFUNCTION("""COMPUTED_VALUE"""),16.0)</f>
        <v>16</v>
      </c>
      <c r="M1813" s="133">
        <f>IFERROR(__xludf.DUMMYFUNCTION("""COMPUTED_VALUE"""),19.0)</f>
        <v>19</v>
      </c>
      <c r="N1813" s="152" t="str">
        <f>IFERROR(__xludf.DUMMYFUNCTION("""COMPUTED_VALUE"""),"Model 3 LR AWD")</f>
        <v>Model 3 LR AWD</v>
      </c>
      <c r="O1813" s="152" t="str">
        <f>IFERROR(__xludf.DUMMYFUNCTION("""COMPUTED_VALUE"""),"Midnight Silver Metallic")</f>
        <v>Midnight Silver Metallic</v>
      </c>
      <c r="P1813" s="153" t="str">
        <f>IFERROR(__xludf.DUMMYFUNCTION("""COMPUTED_VALUE"""),"19 inch Sport")</f>
        <v>19 inch Sport</v>
      </c>
      <c r="Q1813" s="152" t="str">
        <f>IFERROR(__xludf.DUMMYFUNCTION("""COMPUTED_VALUE"""),"Black seats")</f>
        <v>Black seats</v>
      </c>
      <c r="R1813" s="149" t="str">
        <f>IFERROR(__xludf.DUMMYFUNCTION("""COMPUTED_VALUE"""),"Full Self-Driving")</f>
        <v>Full Self-Driving</v>
      </c>
      <c r="S1813" s="149"/>
      <c r="T1813" s="145"/>
      <c r="U1813" s="145"/>
      <c r="V1813" s="145"/>
      <c r="W1813" s="136"/>
      <c r="X1813" s="137" t="str">
        <f>IFERROR(__xludf.DUMMYFUNCTION("""COMPUTED_VALUE"""),"Excellent")</f>
        <v>Excellent</v>
      </c>
      <c r="Y1813" s="138" t="str">
        <f>IFERROR(__xludf.DUMMYFUNCTION("""COMPUTED_VALUE"""),"Excellent")</f>
        <v>Excellent</v>
      </c>
      <c r="Z1813" s="138" t="str">
        <f>IFERROR(__xludf.DUMMYFUNCTION("""COMPUTED_VALUE"""),"Excellent")</f>
        <v>Excellent</v>
      </c>
      <c r="AA1813" s="138" t="str">
        <f>IFERROR(__xludf.DUMMYFUNCTION("""COMPUTED_VALUE"""),"Excellent")</f>
        <v>Excellent</v>
      </c>
      <c r="AB1813" s="138" t="str">
        <f>IFERROR(__xludf.DUMMYFUNCTION("""COMPUTED_VALUE"""),"Excellent")</f>
        <v>Excellent</v>
      </c>
      <c r="AC1813" s="139"/>
      <c r="AD1813" s="139"/>
      <c r="AE1813" s="139"/>
      <c r="AF1813" s="140"/>
      <c r="AG1813" s="136"/>
      <c r="AH1813" s="157">
        <f>IFERROR(__xludf.DUMMYFUNCTION("""COMPUTED_VALUE"""),43683.88410476852)</f>
        <v>43683.8841</v>
      </c>
      <c r="AI1813" s="138"/>
      <c r="AJ1813" s="138"/>
      <c r="AK1813" s="138"/>
      <c r="AL1813" s="142"/>
    </row>
    <row r="1814" ht="20.25" customHeight="1">
      <c r="A1814" s="155" t="str">
        <f>IFERROR(__xludf.DUMMYFUNCTION("""COMPUTED_VALUE"""),"Axar")</f>
        <v>Axar</v>
      </c>
      <c r="B1814" s="149" t="str">
        <f>IFERROR(__xludf.DUMMYFUNCTION("""COMPUTED_VALUE"""),"Brampton")</f>
        <v>Brampton</v>
      </c>
      <c r="C1814" s="149" t="str">
        <f>IFERROR(__xludf.DUMMYFUNCTION("""COMPUTED_VALUE"""),"ON")</f>
        <v>ON</v>
      </c>
      <c r="D1814" s="149" t="str">
        <f>IFERROR(__xludf.DUMMYFUNCTION("""COMPUTED_VALUE"""),"Canada")</f>
        <v>Canada</v>
      </c>
      <c r="E1814" s="156">
        <f>IFERROR(__xludf.DUMMYFUNCTION("""COMPUTED_VALUE"""),43662.0)</f>
        <v>43662</v>
      </c>
      <c r="F1814" s="129">
        <f>IFERROR(__xludf.DUMMYFUNCTION("""COMPUTED_VALUE"""),43664.0)</f>
        <v>43664</v>
      </c>
      <c r="G1814" s="154"/>
      <c r="H1814" s="131">
        <f>IFERROR(__xludf.DUMMYFUNCTION("""COMPUTED_VALUE"""),442293.0)</f>
        <v>442293</v>
      </c>
      <c r="I1814" s="144"/>
      <c r="J1814" s="129">
        <f>IFERROR(__xludf.DUMMYFUNCTION("""COMPUTED_VALUE"""),43680.0)</f>
        <v>43680</v>
      </c>
      <c r="K1814" s="133">
        <f>IFERROR(__xludf.DUMMYFUNCTION("""COMPUTED_VALUE"""),2.0)</f>
        <v>2</v>
      </c>
      <c r="L1814" s="133">
        <f>IFERROR(__xludf.DUMMYFUNCTION("""COMPUTED_VALUE"""),16.0)</f>
        <v>16</v>
      </c>
      <c r="M1814" s="133">
        <f>IFERROR(__xludf.DUMMYFUNCTION("""COMPUTED_VALUE"""),18.0)</f>
        <v>18</v>
      </c>
      <c r="N1814" s="152" t="str">
        <f>IFERROR(__xludf.DUMMYFUNCTION("""COMPUTED_VALUE"""),"Model 3 LR AWD")</f>
        <v>Model 3 LR AWD</v>
      </c>
      <c r="O1814" s="152" t="str">
        <f>IFERROR(__xludf.DUMMYFUNCTION("""COMPUTED_VALUE"""),"Pearl White Multi-Coat")</f>
        <v>Pearl White Multi-Coat</v>
      </c>
      <c r="P1814" s="153" t="str">
        <f>IFERROR(__xludf.DUMMYFUNCTION("""COMPUTED_VALUE"""),"18 inch Aero")</f>
        <v>18 inch Aero</v>
      </c>
      <c r="Q1814" s="152" t="str">
        <f>IFERROR(__xludf.DUMMYFUNCTION("""COMPUTED_VALUE"""),"Black seats")</f>
        <v>Black seats</v>
      </c>
      <c r="R1814" s="149" t="str">
        <f>IFERROR(__xludf.DUMMYFUNCTION("""COMPUTED_VALUE"""),"Autopilot")</f>
        <v>Autopilot</v>
      </c>
      <c r="S1814" s="149"/>
      <c r="T1814" s="145"/>
      <c r="U1814" s="145"/>
      <c r="V1814" s="145"/>
      <c r="W1814" s="136"/>
      <c r="X1814" s="137" t="str">
        <f>IFERROR(__xludf.DUMMYFUNCTION("""COMPUTED_VALUE"""),"Fair")</f>
        <v>Fair</v>
      </c>
      <c r="Y1814" s="138" t="str">
        <f>IFERROR(__xludf.DUMMYFUNCTION("""COMPUTED_VALUE"""),"Fair")</f>
        <v>Fair</v>
      </c>
      <c r="Z1814" s="138" t="str">
        <f>IFERROR(__xludf.DUMMYFUNCTION("""COMPUTED_VALUE"""),"Fair")</f>
        <v>Fair</v>
      </c>
      <c r="AA1814" s="138" t="str">
        <f>IFERROR(__xludf.DUMMYFUNCTION("""COMPUTED_VALUE"""),"Excellent")</f>
        <v>Excellent</v>
      </c>
      <c r="AB1814" s="138" t="str">
        <f>IFERROR(__xludf.DUMMYFUNCTION("""COMPUTED_VALUE"""),"Excellent")</f>
        <v>Excellent</v>
      </c>
      <c r="AC1814" s="139">
        <f>IFERROR(__xludf.DUMMYFUNCTION("""COMPUTED_VALUE"""),1.0)</f>
        <v>1</v>
      </c>
      <c r="AD1814" s="139"/>
      <c r="AE1814" s="139"/>
      <c r="AF1814" s="140"/>
      <c r="AG1814" s="136" t="str">
        <f>IFERROR(__xludf.DUMMYFUNCTION("""COMPUTED_VALUE"""),"Delivery bumped up")</f>
        <v>Delivery bumped up</v>
      </c>
      <c r="AH1814" s="157">
        <f>IFERROR(__xludf.DUMMYFUNCTION("""COMPUTED_VALUE"""),43680.641356273154)</f>
        <v>43680.64136</v>
      </c>
      <c r="AI1814" s="138"/>
      <c r="AJ1814" s="138"/>
      <c r="AK1814" s="138"/>
      <c r="AL1814" s="142"/>
    </row>
    <row r="1815" ht="20.25" customHeight="1">
      <c r="A1815" s="155" t="str">
        <f>IFERROR(__xludf.DUMMYFUNCTION("""COMPUTED_VALUE"""),"Godlife")</f>
        <v>Godlife</v>
      </c>
      <c r="B1815" s="149"/>
      <c r="C1815" s="149" t="str">
        <f>IFERROR(__xludf.DUMMYFUNCTION("""COMPUTED_VALUE"""),"CA")</f>
        <v>CA</v>
      </c>
      <c r="D1815" s="149" t="str">
        <f>IFERROR(__xludf.DUMMYFUNCTION("""COMPUTED_VALUE"""),"USA")</f>
        <v>USA</v>
      </c>
      <c r="E1815" s="156">
        <f>IFERROR(__xludf.DUMMYFUNCTION("""COMPUTED_VALUE"""),43662.0)</f>
        <v>43662</v>
      </c>
      <c r="F1815" s="129">
        <f>IFERROR(__xludf.DUMMYFUNCTION("""COMPUTED_VALUE"""),43663.0)</f>
        <v>43663</v>
      </c>
      <c r="G1815" s="154"/>
      <c r="H1815" s="131"/>
      <c r="I1815" s="132" t="str">
        <f>IFERROR(__xludf.DUMMYFUNCTION("""COMPUTED_VALUE"""),"07/19")</f>
        <v>07/19</v>
      </c>
      <c r="J1815" s="129">
        <f>IFERROR(__xludf.DUMMYFUNCTION("""COMPUTED_VALUE"""),43665.0)</f>
        <v>43665</v>
      </c>
      <c r="K1815" s="133">
        <f>IFERROR(__xludf.DUMMYFUNCTION("""COMPUTED_VALUE"""),1.0)</f>
        <v>1</v>
      </c>
      <c r="L1815" s="133">
        <f>IFERROR(__xludf.DUMMYFUNCTION("""COMPUTED_VALUE"""),2.0)</f>
        <v>2</v>
      </c>
      <c r="M1815" s="133">
        <f>IFERROR(__xludf.DUMMYFUNCTION("""COMPUTED_VALUE"""),3.0)</f>
        <v>3</v>
      </c>
      <c r="N1815" s="152" t="str">
        <f>IFERROR(__xludf.DUMMYFUNCTION("""COMPUTED_VALUE"""),"Model 3 LR AWD")</f>
        <v>Model 3 LR AWD</v>
      </c>
      <c r="O1815" s="152" t="str">
        <f>IFERROR(__xludf.DUMMYFUNCTION("""COMPUTED_VALUE"""),"Pearl White Multi-Coat")</f>
        <v>Pearl White Multi-Coat</v>
      </c>
      <c r="P1815" s="153" t="str">
        <f>IFERROR(__xludf.DUMMYFUNCTION("""COMPUTED_VALUE"""),"19 inch Sport")</f>
        <v>19 inch Sport</v>
      </c>
      <c r="Q1815" s="152" t="str">
        <f>IFERROR(__xludf.DUMMYFUNCTION("""COMPUTED_VALUE"""),"Black seats")</f>
        <v>Black seats</v>
      </c>
      <c r="R1815" s="150" t="str">
        <f>IFERROR(__xludf.DUMMYFUNCTION("""COMPUTED_VALUE"""),"Autopilot")</f>
        <v>Autopilot</v>
      </c>
      <c r="S1815" s="150"/>
      <c r="T1815" s="136"/>
      <c r="U1815" s="136"/>
      <c r="V1815" s="136"/>
      <c r="W1815" s="136"/>
      <c r="X1815" s="137" t="str">
        <f>IFERROR(__xludf.DUMMYFUNCTION("""COMPUTED_VALUE"""),"Excellent")</f>
        <v>Excellent</v>
      </c>
      <c r="Y1815" s="138" t="str">
        <f>IFERROR(__xludf.DUMMYFUNCTION("""COMPUTED_VALUE"""),"Excellent")</f>
        <v>Excellent</v>
      </c>
      <c r="Z1815" s="138" t="str">
        <f>IFERROR(__xludf.DUMMYFUNCTION("""COMPUTED_VALUE"""),"Excellent")</f>
        <v>Excellent</v>
      </c>
      <c r="AA1815" s="138" t="str">
        <f>IFERROR(__xludf.DUMMYFUNCTION("""COMPUTED_VALUE"""),"Poor")</f>
        <v>Poor</v>
      </c>
      <c r="AB1815" s="138" t="str">
        <f>IFERROR(__xludf.DUMMYFUNCTION("""COMPUTED_VALUE"""),"Excellent")</f>
        <v>Excellent</v>
      </c>
      <c r="AC1815" s="139"/>
      <c r="AD1815" s="139"/>
      <c r="AE1815" s="139"/>
      <c r="AF1815" s="140"/>
      <c r="AG1815" s="136"/>
      <c r="AH1815" s="157">
        <f>IFERROR(__xludf.DUMMYFUNCTION("""COMPUTED_VALUE"""),43666.302177233796)</f>
        <v>43666.30218</v>
      </c>
      <c r="AI1815" s="138"/>
      <c r="AJ1815" s="138"/>
      <c r="AK1815" s="138"/>
      <c r="AL1815" s="142"/>
    </row>
    <row r="1816" ht="20.25" customHeight="1">
      <c r="A1816" s="155" t="str">
        <f>IFERROR(__xludf.DUMMYFUNCTION("""COMPUTED_VALUE"""),"Troy_D")</f>
        <v>Troy_D</v>
      </c>
      <c r="B1816" s="149" t="str">
        <f>IFERROR(__xludf.DUMMYFUNCTION("""COMPUTED_VALUE"""),"Phoenix")</f>
        <v>Phoenix</v>
      </c>
      <c r="C1816" s="149" t="str">
        <f>IFERROR(__xludf.DUMMYFUNCTION("""COMPUTED_VALUE"""),"AZ")</f>
        <v>AZ</v>
      </c>
      <c r="D1816" s="149" t="str">
        <f>IFERROR(__xludf.DUMMYFUNCTION("""COMPUTED_VALUE"""),"USA")</f>
        <v>USA</v>
      </c>
      <c r="E1816" s="156">
        <f>IFERROR(__xludf.DUMMYFUNCTION("""COMPUTED_VALUE"""),43662.0)</f>
        <v>43662</v>
      </c>
      <c r="F1816" s="129">
        <f>IFERROR(__xludf.DUMMYFUNCTION("""COMPUTED_VALUE"""),43674.0)</f>
        <v>43674</v>
      </c>
      <c r="G1816" s="154"/>
      <c r="H1816" s="131">
        <f>IFERROR(__xludf.DUMMYFUNCTION("""COMPUTED_VALUE"""),442455.0)</f>
        <v>442455</v>
      </c>
      <c r="I1816" s="132" t="str">
        <f>IFERROR(__xludf.DUMMYFUNCTION("""COMPUTED_VALUE"""),"07/19")</f>
        <v>07/19</v>
      </c>
      <c r="J1816" s="129">
        <f>IFERROR(__xludf.DUMMYFUNCTION("""COMPUTED_VALUE"""),43677.0)</f>
        <v>43677</v>
      </c>
      <c r="K1816" s="133">
        <f>IFERROR(__xludf.DUMMYFUNCTION("""COMPUTED_VALUE"""),12.0)</f>
        <v>12</v>
      </c>
      <c r="L1816" s="133">
        <f>IFERROR(__xludf.DUMMYFUNCTION("""COMPUTED_VALUE"""),3.0)</f>
        <v>3</v>
      </c>
      <c r="M1816" s="133">
        <f>IFERROR(__xludf.DUMMYFUNCTION("""COMPUTED_VALUE"""),15.0)</f>
        <v>15</v>
      </c>
      <c r="N1816" s="152" t="str">
        <f>IFERROR(__xludf.DUMMYFUNCTION("""COMPUTED_VALUE"""),"Model 3 Performance")</f>
        <v>Model 3 Performance</v>
      </c>
      <c r="O1816" s="152" t="str">
        <f>IFERROR(__xludf.DUMMYFUNCTION("""COMPUTED_VALUE"""),"Pearl White Multi-Coat")</f>
        <v>Pearl White Multi-Coat</v>
      </c>
      <c r="P1816" s="153" t="str">
        <f>IFERROR(__xludf.DUMMYFUNCTION("""COMPUTED_VALUE"""),"20 inch Sport")</f>
        <v>20 inch Sport</v>
      </c>
      <c r="Q1816" s="152" t="str">
        <f>IFERROR(__xludf.DUMMYFUNCTION("""COMPUTED_VALUE"""),"White seats")</f>
        <v>White seats</v>
      </c>
      <c r="R1816" s="150" t="str">
        <f>IFERROR(__xludf.DUMMYFUNCTION("""COMPUTED_VALUE"""),"Autopilot")</f>
        <v>Autopilot</v>
      </c>
      <c r="S1816" s="150"/>
      <c r="T1816" s="136"/>
      <c r="U1816" s="136"/>
      <c r="V1816" s="136"/>
      <c r="W1816" s="136"/>
      <c r="X1816" s="162" t="str">
        <f>IFERROR(__xludf.DUMMYFUNCTION("""COMPUTED_VALUE"""),"Excellent")</f>
        <v>Excellent</v>
      </c>
      <c r="Y1816" s="138" t="str">
        <f>IFERROR(__xludf.DUMMYFUNCTION("""COMPUTED_VALUE"""),"Very Good")</f>
        <v>Very Good</v>
      </c>
      <c r="Z1816" s="138" t="str">
        <f>IFERROR(__xludf.DUMMYFUNCTION("""COMPUTED_VALUE"""),"Excellent")</f>
        <v>Excellent</v>
      </c>
      <c r="AA1816" s="138" t="str">
        <f>IFERROR(__xludf.DUMMYFUNCTION("""COMPUTED_VALUE"""),"Excellent")</f>
        <v>Excellent</v>
      </c>
      <c r="AB1816" s="138" t="str">
        <f>IFERROR(__xludf.DUMMYFUNCTION("""COMPUTED_VALUE"""),"Fair")</f>
        <v>Fair</v>
      </c>
      <c r="AC1816" s="139">
        <f>IFERROR(__xludf.DUMMYFUNCTION("""COMPUTED_VALUE"""),1.0)</f>
        <v>1</v>
      </c>
      <c r="AD1816" s="139"/>
      <c r="AE1816" s="139"/>
      <c r="AF1816" s="140"/>
      <c r="AG1816" s="136"/>
      <c r="AH1816" s="157">
        <f>IFERROR(__xludf.DUMMYFUNCTION("""COMPUTED_VALUE"""),43677.68533991898)</f>
        <v>43677.68534</v>
      </c>
      <c r="AI1816" s="138"/>
      <c r="AJ1816" s="138"/>
      <c r="AK1816" s="138"/>
      <c r="AL1816" s="142"/>
    </row>
    <row r="1817" ht="20.25" customHeight="1">
      <c r="A1817" s="155" t="str">
        <f>IFERROR(__xludf.DUMMYFUNCTION("""COMPUTED_VALUE"""),"settleddown")</f>
        <v>settleddown</v>
      </c>
      <c r="B1817" s="149" t="str">
        <f>IFERROR(__xludf.DUMMYFUNCTION("""COMPUTED_VALUE"""),"Nashville")</f>
        <v>Nashville</v>
      </c>
      <c r="C1817" s="149" t="str">
        <f>IFERROR(__xludf.DUMMYFUNCTION("""COMPUTED_VALUE"""),"TN")</f>
        <v>TN</v>
      </c>
      <c r="D1817" s="149" t="str">
        <f>IFERROR(__xludf.DUMMYFUNCTION("""COMPUTED_VALUE"""),"USA")</f>
        <v>USA</v>
      </c>
      <c r="E1817" s="156">
        <f>IFERROR(__xludf.DUMMYFUNCTION("""COMPUTED_VALUE"""),43660.0)</f>
        <v>43660</v>
      </c>
      <c r="F1817" s="129">
        <f>IFERROR(__xludf.DUMMYFUNCTION("""COMPUTED_VALUE"""),43666.0)</f>
        <v>43666</v>
      </c>
      <c r="G1817" s="154"/>
      <c r="H1817" s="131">
        <f>IFERROR(__xludf.DUMMYFUNCTION("""COMPUTED_VALUE"""),448177.0)</f>
        <v>448177</v>
      </c>
      <c r="I1817" s="144"/>
      <c r="J1817" s="129">
        <f>IFERROR(__xludf.DUMMYFUNCTION("""COMPUTED_VALUE"""),43672.0)</f>
        <v>43672</v>
      </c>
      <c r="K1817" s="133">
        <f>IFERROR(__xludf.DUMMYFUNCTION("""COMPUTED_VALUE"""),6.0)</f>
        <v>6</v>
      </c>
      <c r="L1817" s="133">
        <f>IFERROR(__xludf.DUMMYFUNCTION("""COMPUTED_VALUE"""),6.0)</f>
        <v>6</v>
      </c>
      <c r="M1817" s="133">
        <f>IFERROR(__xludf.DUMMYFUNCTION("""COMPUTED_VALUE"""),12.0)</f>
        <v>12</v>
      </c>
      <c r="N1817" s="152" t="str">
        <f>IFERROR(__xludf.DUMMYFUNCTION("""COMPUTED_VALUE"""),"Model 3 LR AWD")</f>
        <v>Model 3 LR AWD</v>
      </c>
      <c r="O1817" s="152" t="str">
        <f>IFERROR(__xludf.DUMMYFUNCTION("""COMPUTED_VALUE"""),"Pearl White Multi-Coat")</f>
        <v>Pearl White Multi-Coat</v>
      </c>
      <c r="P1817" s="153" t="str">
        <f>IFERROR(__xludf.DUMMYFUNCTION("""COMPUTED_VALUE"""),"18 inch Aero")</f>
        <v>18 inch Aero</v>
      </c>
      <c r="Q1817" s="152" t="str">
        <f>IFERROR(__xludf.DUMMYFUNCTION("""COMPUTED_VALUE"""),"Black seats")</f>
        <v>Black seats</v>
      </c>
      <c r="R1817" s="149" t="str">
        <f>IFERROR(__xludf.DUMMYFUNCTION("""COMPUTED_VALUE"""),"Autopilot")</f>
        <v>Autopilot</v>
      </c>
      <c r="S1817" s="149"/>
      <c r="T1817" s="145"/>
      <c r="U1817" s="145"/>
      <c r="V1817" s="145"/>
      <c r="W1817" s="145"/>
      <c r="X1817" s="137" t="str">
        <f>IFERROR(__xludf.DUMMYFUNCTION("""COMPUTED_VALUE"""),"Excellent")</f>
        <v>Excellent</v>
      </c>
      <c r="Y1817" s="138" t="str">
        <f>IFERROR(__xludf.DUMMYFUNCTION("""COMPUTED_VALUE"""),"Excellent")</f>
        <v>Excellent</v>
      </c>
      <c r="Z1817" s="138" t="str">
        <f>IFERROR(__xludf.DUMMYFUNCTION("""COMPUTED_VALUE"""),"Very Good")</f>
        <v>Very Good</v>
      </c>
      <c r="AA1817" s="138" t="str">
        <f>IFERROR(__xludf.DUMMYFUNCTION("""COMPUTED_VALUE"""),"Excellent")</f>
        <v>Excellent</v>
      </c>
      <c r="AB1817" s="138" t="str">
        <f>IFERROR(__xludf.DUMMYFUNCTION("""COMPUTED_VALUE"""),"Excellent")</f>
        <v>Excellent</v>
      </c>
      <c r="AC1817" s="139"/>
      <c r="AD1817" s="139"/>
      <c r="AE1817" s="139"/>
      <c r="AF1817" s="140"/>
      <c r="AG1817" s="145" t="str">
        <f>IFERROR(__xludf.DUMMYFUNCTION("""COMPUTED_VALUE"""),"1 nick inside passenger door panel, but otherwise perfect condition")</f>
        <v>1 nick inside passenger door panel, but otherwise perfect condition</v>
      </c>
      <c r="AH1817" s="157">
        <f>IFERROR(__xludf.DUMMYFUNCTION("""COMPUTED_VALUE"""),43674.705762962956)</f>
        <v>43674.70576</v>
      </c>
      <c r="AI1817" s="138"/>
      <c r="AJ1817" s="138"/>
      <c r="AK1817" s="138"/>
      <c r="AL1817" s="142"/>
    </row>
    <row r="1818" ht="20.25" customHeight="1">
      <c r="A1818" s="155" t="str">
        <f>IFERROR(__xludf.DUMMYFUNCTION("""COMPUTED_VALUE"""),"Markman69")</f>
        <v>Markman69</v>
      </c>
      <c r="B1818" s="149" t="str">
        <f>IFERROR(__xludf.DUMMYFUNCTION("""COMPUTED_VALUE"""),"Peyton")</f>
        <v>Peyton</v>
      </c>
      <c r="C1818" s="149" t="str">
        <f>IFERROR(__xludf.DUMMYFUNCTION("""COMPUTED_VALUE"""),"CO")</f>
        <v>CO</v>
      </c>
      <c r="D1818" s="149" t="str">
        <f>IFERROR(__xludf.DUMMYFUNCTION("""COMPUTED_VALUE"""),"USA")</f>
        <v>USA</v>
      </c>
      <c r="E1818" s="156">
        <f>IFERROR(__xludf.DUMMYFUNCTION("""COMPUTED_VALUE"""),43659.0)</f>
        <v>43659</v>
      </c>
      <c r="F1818" s="129">
        <f>IFERROR(__xludf.DUMMYFUNCTION("""COMPUTED_VALUE"""),43663.0)</f>
        <v>43663</v>
      </c>
      <c r="G1818" s="154"/>
      <c r="H1818" s="131">
        <f>IFERROR(__xludf.DUMMYFUNCTION("""COMPUTED_VALUE"""),427414.0)</f>
        <v>427414</v>
      </c>
      <c r="I1818" s="132"/>
      <c r="J1818" s="129">
        <f>IFERROR(__xludf.DUMMYFUNCTION("""COMPUTED_VALUE"""),43673.0)</f>
        <v>43673</v>
      </c>
      <c r="K1818" s="133">
        <f>IFERROR(__xludf.DUMMYFUNCTION("""COMPUTED_VALUE"""),4.0)</f>
        <v>4</v>
      </c>
      <c r="L1818" s="133">
        <f>IFERROR(__xludf.DUMMYFUNCTION("""COMPUTED_VALUE"""),10.0)</f>
        <v>10</v>
      </c>
      <c r="M1818" s="133">
        <f>IFERROR(__xludf.DUMMYFUNCTION("""COMPUTED_VALUE"""),14.0)</f>
        <v>14</v>
      </c>
      <c r="N1818" s="152" t="str">
        <f>IFERROR(__xludf.DUMMYFUNCTION("""COMPUTED_VALUE"""),"Model 3 Performance")</f>
        <v>Model 3 Performance</v>
      </c>
      <c r="O1818" s="152" t="str">
        <f>IFERROR(__xludf.DUMMYFUNCTION("""COMPUTED_VALUE"""),"Pearl White Multi-Coat")</f>
        <v>Pearl White Multi-Coat</v>
      </c>
      <c r="P1818" s="153" t="str">
        <f>IFERROR(__xludf.DUMMYFUNCTION("""COMPUTED_VALUE"""),"20 inch Sport")</f>
        <v>20 inch Sport</v>
      </c>
      <c r="Q1818" s="152" t="str">
        <f>IFERROR(__xludf.DUMMYFUNCTION("""COMPUTED_VALUE"""),"Black seats")</f>
        <v>Black seats</v>
      </c>
      <c r="R1818" s="150" t="str">
        <f>IFERROR(__xludf.DUMMYFUNCTION("""COMPUTED_VALUE"""),"Autopilot")</f>
        <v>Autopilot</v>
      </c>
      <c r="S1818" s="150"/>
      <c r="T1818" s="136"/>
      <c r="U1818" s="136"/>
      <c r="V1818" s="136"/>
      <c r="W1818" s="136"/>
      <c r="X1818" s="137" t="str">
        <f>IFERROR(__xludf.DUMMYFUNCTION("""COMPUTED_VALUE"""),"Excellent")</f>
        <v>Excellent</v>
      </c>
      <c r="Y1818" s="138" t="str">
        <f>IFERROR(__xludf.DUMMYFUNCTION("""COMPUTED_VALUE"""),"Excellent")</f>
        <v>Excellent</v>
      </c>
      <c r="Z1818" s="138" t="str">
        <f>IFERROR(__xludf.DUMMYFUNCTION("""COMPUTED_VALUE"""),"Good")</f>
        <v>Good</v>
      </c>
      <c r="AA1818" s="138" t="str">
        <f>IFERROR(__xludf.DUMMYFUNCTION("""COMPUTED_VALUE"""),"Fair")</f>
        <v>Fair</v>
      </c>
      <c r="AB1818" s="138" t="str">
        <f>IFERROR(__xludf.DUMMYFUNCTION("""COMPUTED_VALUE"""),"Good")</f>
        <v>Good</v>
      </c>
      <c r="AC1818" s="139">
        <f>IFERROR(__xludf.DUMMYFUNCTION("""COMPUTED_VALUE"""),3.0)</f>
        <v>3</v>
      </c>
      <c r="AD1818" s="139"/>
      <c r="AE1818" s="139"/>
      <c r="AF1818" s="140"/>
      <c r="AG1818" s="136"/>
      <c r="AH1818" s="157">
        <f>IFERROR(__xludf.DUMMYFUNCTION("""COMPUTED_VALUE"""),43673.884875601856)</f>
        <v>43673.88488</v>
      </c>
      <c r="AI1818" s="138"/>
      <c r="AJ1818" s="138"/>
      <c r="AK1818" s="138"/>
      <c r="AL1818" s="142"/>
    </row>
    <row r="1819" ht="20.25" customHeight="1">
      <c r="A1819" s="155" t="str">
        <f>IFERROR(__xludf.DUMMYFUNCTION("""COMPUTED_VALUE"""),"soTuesday")</f>
        <v>soTuesday</v>
      </c>
      <c r="B1819" s="150" t="str">
        <f>IFERROR(__xludf.DUMMYFUNCTION("""COMPUTED_VALUE"""),"Meridian")</f>
        <v>Meridian</v>
      </c>
      <c r="C1819" s="150" t="str">
        <f>IFERROR(__xludf.DUMMYFUNCTION("""COMPUTED_VALUE"""),"ID")</f>
        <v>ID</v>
      </c>
      <c r="D1819" s="150" t="str">
        <f>IFERROR(__xludf.DUMMYFUNCTION("""COMPUTED_VALUE"""),"USA")</f>
        <v>USA</v>
      </c>
      <c r="E1819" s="156">
        <f>IFERROR(__xludf.DUMMYFUNCTION("""COMPUTED_VALUE"""),43659.0)</f>
        <v>43659</v>
      </c>
      <c r="F1819" s="129">
        <f>IFERROR(__xludf.DUMMYFUNCTION("""COMPUTED_VALUE"""),43674.0)</f>
        <v>43674</v>
      </c>
      <c r="G1819" s="154"/>
      <c r="H1819" s="131">
        <f>IFERROR(__xludf.DUMMYFUNCTION("""COMPUTED_VALUE"""),450988.0)</f>
        <v>450988</v>
      </c>
      <c r="I1819" s="132" t="str">
        <f>IFERROR(__xludf.DUMMYFUNCTION("""COMPUTED_VALUE"""),"07/19")</f>
        <v>07/19</v>
      </c>
      <c r="J1819" s="129">
        <f>IFERROR(__xludf.DUMMYFUNCTION("""COMPUTED_VALUE"""),43676.0)</f>
        <v>43676</v>
      </c>
      <c r="K1819" s="133">
        <f>IFERROR(__xludf.DUMMYFUNCTION("""COMPUTED_VALUE"""),15.0)</f>
        <v>15</v>
      </c>
      <c r="L1819" s="133">
        <f>IFERROR(__xludf.DUMMYFUNCTION("""COMPUTED_VALUE"""),2.0)</f>
        <v>2</v>
      </c>
      <c r="M1819" s="133">
        <f>IFERROR(__xludf.DUMMYFUNCTION("""COMPUTED_VALUE"""),17.0)</f>
        <v>17</v>
      </c>
      <c r="N1819" s="152" t="str">
        <f>IFERROR(__xludf.DUMMYFUNCTION("""COMPUTED_VALUE"""),"Model 3 LR AWD")</f>
        <v>Model 3 LR AWD</v>
      </c>
      <c r="O1819" s="152" t="str">
        <f>IFERROR(__xludf.DUMMYFUNCTION("""COMPUTED_VALUE"""),"Pearl White Multi-Coat")</f>
        <v>Pearl White Multi-Coat</v>
      </c>
      <c r="P1819" s="153" t="str">
        <f>IFERROR(__xludf.DUMMYFUNCTION("""COMPUTED_VALUE"""),"19 inch Sport")</f>
        <v>19 inch Sport</v>
      </c>
      <c r="Q1819" s="152" t="str">
        <f>IFERROR(__xludf.DUMMYFUNCTION("""COMPUTED_VALUE"""),"White seats")</f>
        <v>White seats</v>
      </c>
      <c r="R1819" s="150" t="str">
        <f>IFERROR(__xludf.DUMMYFUNCTION("""COMPUTED_VALUE"""),"Full Self-Driving")</f>
        <v>Full Self-Driving</v>
      </c>
      <c r="S1819" s="150"/>
      <c r="T1819" s="145"/>
      <c r="U1819" s="145"/>
      <c r="V1819" s="136"/>
      <c r="W1819" s="136"/>
      <c r="X1819" s="137" t="str">
        <f>IFERROR(__xludf.DUMMYFUNCTION("""COMPUTED_VALUE"""),"Excellent")</f>
        <v>Excellent</v>
      </c>
      <c r="Y1819" s="138" t="str">
        <f>IFERROR(__xludf.DUMMYFUNCTION("""COMPUTED_VALUE"""),"Excellent")</f>
        <v>Excellent</v>
      </c>
      <c r="Z1819" s="138" t="str">
        <f>IFERROR(__xludf.DUMMYFUNCTION("""COMPUTED_VALUE"""),"Very Good")</f>
        <v>Very Good</v>
      </c>
      <c r="AA1819" s="138" t="str">
        <f>IFERROR(__xludf.DUMMYFUNCTION("""COMPUTED_VALUE"""),"Fair")</f>
        <v>Fair</v>
      </c>
      <c r="AB1819" s="138" t="str">
        <f>IFERROR(__xludf.DUMMYFUNCTION("""COMPUTED_VALUE"""),"Good")</f>
        <v>Good</v>
      </c>
      <c r="AC1819" s="139"/>
      <c r="AD1819" s="139"/>
      <c r="AE1819" s="139"/>
      <c r="AF1819" s="140"/>
      <c r="AG1819" s="136" t="str">
        <f>IFERROR(__xludf.DUMMYFUNCTION("""COMPUTED_VALUE"""),"VIN in source, Original VIN (and car) were not matched with my config. Went unnoticed until I was there for delivery. They luckily had another that did match my config. But still had to adjust all the peperwork (bank, insurance, etc.) to match the new VIN"&amp;". Fantasic service with it though.")</f>
        <v>VIN in source, Original VIN (and car) were not matched with my config. Went unnoticed until I was there for delivery. They luckily had another that did match my config. But still had to adjust all the peperwork (bank, insurance, etc.) to match the new VIN. Fantasic service with it though.</v>
      </c>
      <c r="AH1819" s="157">
        <f>IFERROR(__xludf.DUMMYFUNCTION("""COMPUTED_VALUE"""),43677.83097754629)</f>
        <v>43677.83098</v>
      </c>
      <c r="AI1819" s="138"/>
      <c r="AJ1819" s="138"/>
      <c r="AK1819" s="138"/>
      <c r="AL1819" s="142"/>
    </row>
    <row r="1820" ht="20.25" customHeight="1">
      <c r="A1820" s="155" t="str">
        <f>IFERROR(__xludf.DUMMYFUNCTION("""COMPUTED_VALUE"""),"techrossm")</f>
        <v>techrossm</v>
      </c>
      <c r="B1820" s="149" t="str">
        <f>IFERROR(__xludf.DUMMYFUNCTION("""COMPUTED_VALUE"""),"Delray Beach")</f>
        <v>Delray Beach</v>
      </c>
      <c r="C1820" s="149" t="str">
        <f>IFERROR(__xludf.DUMMYFUNCTION("""COMPUTED_VALUE"""),"FL")</f>
        <v>FL</v>
      </c>
      <c r="D1820" s="149" t="str">
        <f>IFERROR(__xludf.DUMMYFUNCTION("""COMPUTED_VALUE"""),"USA")</f>
        <v>USA</v>
      </c>
      <c r="E1820" s="156">
        <f>IFERROR(__xludf.DUMMYFUNCTION("""COMPUTED_VALUE"""),43659.0)</f>
        <v>43659</v>
      </c>
      <c r="F1820" s="129">
        <f>IFERROR(__xludf.DUMMYFUNCTION("""COMPUTED_VALUE"""),43669.0)</f>
        <v>43669</v>
      </c>
      <c r="G1820" s="154"/>
      <c r="H1820" s="131">
        <f>IFERROR(__xludf.DUMMYFUNCTION("""COMPUTED_VALUE"""),437255.0)</f>
        <v>437255</v>
      </c>
      <c r="I1820" s="144"/>
      <c r="J1820" s="129">
        <f>IFERROR(__xludf.DUMMYFUNCTION("""COMPUTED_VALUE"""),43676.0)</f>
        <v>43676</v>
      </c>
      <c r="K1820" s="133">
        <f>IFERROR(__xludf.DUMMYFUNCTION("""COMPUTED_VALUE"""),10.0)</f>
        <v>10</v>
      </c>
      <c r="L1820" s="133">
        <f>IFERROR(__xludf.DUMMYFUNCTION("""COMPUTED_VALUE"""),7.0)</f>
        <v>7</v>
      </c>
      <c r="M1820" s="133">
        <f>IFERROR(__xludf.DUMMYFUNCTION("""COMPUTED_VALUE"""),17.0)</f>
        <v>17</v>
      </c>
      <c r="N1820" s="152" t="str">
        <f>IFERROR(__xludf.DUMMYFUNCTION("""COMPUTED_VALUE"""),"Model 3 LR AWD")</f>
        <v>Model 3 LR AWD</v>
      </c>
      <c r="O1820" s="152" t="str">
        <f>IFERROR(__xludf.DUMMYFUNCTION("""COMPUTED_VALUE"""),"Pearl White Multi-Coat")</f>
        <v>Pearl White Multi-Coat</v>
      </c>
      <c r="P1820" s="153" t="str">
        <f>IFERROR(__xludf.DUMMYFUNCTION("""COMPUTED_VALUE"""),"19 inch Sport")</f>
        <v>19 inch Sport</v>
      </c>
      <c r="Q1820" s="152" t="str">
        <f>IFERROR(__xludf.DUMMYFUNCTION("""COMPUTED_VALUE"""),"White seats")</f>
        <v>White seats</v>
      </c>
      <c r="R1820" s="149" t="str">
        <f>IFERROR(__xludf.DUMMYFUNCTION("""COMPUTED_VALUE"""),"Full Self-Driving")</f>
        <v>Full Self-Driving</v>
      </c>
      <c r="S1820" s="149"/>
      <c r="T1820" s="145"/>
      <c r="U1820" s="145"/>
      <c r="V1820" s="145"/>
      <c r="W1820" s="145"/>
      <c r="X1820" s="137" t="str">
        <f>IFERROR(__xludf.DUMMYFUNCTION("""COMPUTED_VALUE"""),"Excellent")</f>
        <v>Excellent</v>
      </c>
      <c r="Y1820" s="138" t="str">
        <f>IFERROR(__xludf.DUMMYFUNCTION("""COMPUTED_VALUE"""),"Excellent")</f>
        <v>Excellent</v>
      </c>
      <c r="Z1820" s="138" t="str">
        <f>IFERROR(__xludf.DUMMYFUNCTION("""COMPUTED_VALUE"""),"Excellent")</f>
        <v>Excellent</v>
      </c>
      <c r="AA1820" s="138" t="str">
        <f>IFERROR(__xludf.DUMMYFUNCTION("""COMPUTED_VALUE"""),"Poor")</f>
        <v>Poor</v>
      </c>
      <c r="AB1820" s="138" t="str">
        <f>IFERROR(__xludf.DUMMYFUNCTION("""COMPUTED_VALUE"""),"Good")</f>
        <v>Good</v>
      </c>
      <c r="AC1820" s="139"/>
      <c r="AD1820" s="139"/>
      <c r="AE1820" s="139"/>
      <c r="AF1820" s="140"/>
      <c r="AG1820" s="145"/>
      <c r="AH1820" s="157">
        <f>IFERROR(__xludf.DUMMYFUNCTION("""COMPUTED_VALUE"""),43679.4784130787)</f>
        <v>43679.47841</v>
      </c>
      <c r="AI1820" s="138"/>
      <c r="AJ1820" s="138"/>
      <c r="AK1820" s="138"/>
      <c r="AL1820" s="142"/>
    </row>
    <row r="1821" ht="20.25" customHeight="1">
      <c r="A1821" s="155" t="str">
        <f>IFERROR(__xludf.DUMMYFUNCTION("""COMPUTED_VALUE"""),"VillainInc")</f>
        <v>VillainInc</v>
      </c>
      <c r="B1821" s="149" t="str">
        <f>IFERROR(__xludf.DUMMYFUNCTION("""COMPUTED_VALUE"""),"Denver")</f>
        <v>Denver</v>
      </c>
      <c r="C1821" s="149" t="str">
        <f>IFERROR(__xludf.DUMMYFUNCTION("""COMPUTED_VALUE"""),"CO")</f>
        <v>CO</v>
      </c>
      <c r="D1821" s="149" t="str">
        <f>IFERROR(__xludf.DUMMYFUNCTION("""COMPUTED_VALUE"""),"USA")</f>
        <v>USA</v>
      </c>
      <c r="E1821" s="156">
        <f>IFERROR(__xludf.DUMMYFUNCTION("""COMPUTED_VALUE"""),43658.0)</f>
        <v>43658</v>
      </c>
      <c r="F1821" s="129">
        <f>IFERROR(__xludf.DUMMYFUNCTION("""COMPUTED_VALUE"""),43672.0)</f>
        <v>43672</v>
      </c>
      <c r="G1821" s="154"/>
      <c r="H1821" s="131">
        <f>IFERROR(__xludf.DUMMYFUNCTION("""COMPUTED_VALUE"""),393439.0)</f>
        <v>393439</v>
      </c>
      <c r="I1821" s="144"/>
      <c r="J1821" s="129">
        <f>IFERROR(__xludf.DUMMYFUNCTION("""COMPUTED_VALUE"""),43677.0)</f>
        <v>43677</v>
      </c>
      <c r="K1821" s="133">
        <f>IFERROR(__xludf.DUMMYFUNCTION("""COMPUTED_VALUE"""),14.0)</f>
        <v>14</v>
      </c>
      <c r="L1821" s="133">
        <f>IFERROR(__xludf.DUMMYFUNCTION("""COMPUTED_VALUE"""),5.0)</f>
        <v>5</v>
      </c>
      <c r="M1821" s="133">
        <f>IFERROR(__xludf.DUMMYFUNCTION("""COMPUTED_VALUE"""),19.0)</f>
        <v>19</v>
      </c>
      <c r="N1821" s="152" t="str">
        <f>IFERROR(__xludf.DUMMYFUNCTION("""COMPUTED_VALUE"""),"Model 3 Performance")</f>
        <v>Model 3 Performance</v>
      </c>
      <c r="O1821" s="152" t="str">
        <f>IFERROR(__xludf.DUMMYFUNCTION("""COMPUTED_VALUE"""),"Midnight Silver Metallic")</f>
        <v>Midnight Silver Metallic</v>
      </c>
      <c r="P1821" s="153" t="str">
        <f>IFERROR(__xludf.DUMMYFUNCTION("""COMPUTED_VALUE"""),"20 inch Sport")</f>
        <v>20 inch Sport</v>
      </c>
      <c r="Q1821" s="152" t="str">
        <f>IFERROR(__xludf.DUMMYFUNCTION("""COMPUTED_VALUE"""),"White seats")</f>
        <v>White seats</v>
      </c>
      <c r="R1821" s="149" t="str">
        <f>IFERROR(__xludf.DUMMYFUNCTION("""COMPUTED_VALUE"""),"Full Self-Driving")</f>
        <v>Full Self-Driving</v>
      </c>
      <c r="S1821" s="149"/>
      <c r="T1821" s="145"/>
      <c r="U1821" s="145"/>
      <c r="V1821" s="145"/>
      <c r="W1821" s="145"/>
      <c r="X1821" s="137" t="str">
        <f>IFERROR(__xludf.DUMMYFUNCTION("""COMPUTED_VALUE"""),"Excellent")</f>
        <v>Excellent</v>
      </c>
      <c r="Y1821" s="138" t="str">
        <f>IFERROR(__xludf.DUMMYFUNCTION("""COMPUTED_VALUE"""),"Excellent")</f>
        <v>Excellent</v>
      </c>
      <c r="Z1821" s="138" t="str">
        <f>IFERROR(__xludf.DUMMYFUNCTION("""COMPUTED_VALUE"""),"Excellent")</f>
        <v>Excellent</v>
      </c>
      <c r="AA1821" s="138" t="str">
        <f>IFERROR(__xludf.DUMMYFUNCTION("""COMPUTED_VALUE"""),"Poor")</f>
        <v>Poor</v>
      </c>
      <c r="AB1821" s="138" t="str">
        <f>IFERROR(__xludf.DUMMYFUNCTION("""COMPUTED_VALUE"""),"Very Good")</f>
        <v>Very Good</v>
      </c>
      <c r="AC1821" s="139"/>
      <c r="AD1821" s="139"/>
      <c r="AE1821" s="139"/>
      <c r="AF1821" s="140"/>
      <c r="AG1821" s="145"/>
      <c r="AH1821" s="157">
        <f>IFERROR(__xludf.DUMMYFUNCTION("""COMPUTED_VALUE"""),43679.37191997685)</f>
        <v>43679.37192</v>
      </c>
      <c r="AI1821" s="138"/>
      <c r="AJ1821" s="138"/>
      <c r="AK1821" s="138"/>
      <c r="AL1821" s="142"/>
    </row>
    <row r="1822" ht="20.25" customHeight="1">
      <c r="A1822" s="155" t="str">
        <f>IFERROR(__xludf.DUMMYFUNCTION("""COMPUTED_VALUE"""),"Bropain")</f>
        <v>Bropain</v>
      </c>
      <c r="B1822" s="149" t="str">
        <f>IFERROR(__xludf.DUMMYFUNCTION("""COMPUTED_VALUE"""),"Chapel Hill")</f>
        <v>Chapel Hill</v>
      </c>
      <c r="C1822" s="149" t="str">
        <f>IFERROR(__xludf.DUMMYFUNCTION("""COMPUTED_VALUE"""),"NC")</f>
        <v>NC</v>
      </c>
      <c r="D1822" s="149" t="str">
        <f>IFERROR(__xludf.DUMMYFUNCTION("""COMPUTED_VALUE"""),"USA")</f>
        <v>USA</v>
      </c>
      <c r="E1822" s="156">
        <f>IFERROR(__xludf.DUMMYFUNCTION("""COMPUTED_VALUE"""),43655.0)</f>
        <v>43655</v>
      </c>
      <c r="F1822" s="129">
        <f>IFERROR(__xludf.DUMMYFUNCTION("""COMPUTED_VALUE"""),43662.0)</f>
        <v>43662</v>
      </c>
      <c r="G1822" s="154"/>
      <c r="H1822" s="131">
        <f>IFERROR(__xludf.DUMMYFUNCTION("""COMPUTED_VALUE"""),432570.0)</f>
        <v>432570</v>
      </c>
      <c r="I1822" s="132" t="str">
        <f>IFERROR(__xludf.DUMMYFUNCTION("""COMPUTED_VALUE"""),"06/19")</f>
        <v>06/19</v>
      </c>
      <c r="J1822" s="129">
        <f>IFERROR(__xludf.DUMMYFUNCTION("""COMPUTED_VALUE"""),43683.0)</f>
        <v>43683</v>
      </c>
      <c r="K1822" s="133">
        <f>IFERROR(__xludf.DUMMYFUNCTION("""COMPUTED_VALUE"""),7.0)</f>
        <v>7</v>
      </c>
      <c r="L1822" s="133">
        <f>IFERROR(__xludf.DUMMYFUNCTION("""COMPUTED_VALUE"""),21.0)</f>
        <v>21</v>
      </c>
      <c r="M1822" s="133">
        <f>IFERROR(__xludf.DUMMYFUNCTION("""COMPUTED_VALUE"""),28.0)</f>
        <v>28</v>
      </c>
      <c r="N1822" s="152" t="str">
        <f>IFERROR(__xludf.DUMMYFUNCTION("""COMPUTED_VALUE"""),"Model 3 LR AWD")</f>
        <v>Model 3 LR AWD</v>
      </c>
      <c r="O1822" s="152" t="str">
        <f>IFERROR(__xludf.DUMMYFUNCTION("""COMPUTED_VALUE"""),"Midnight Silver Metallic")</f>
        <v>Midnight Silver Metallic</v>
      </c>
      <c r="P1822" s="153" t="str">
        <f>IFERROR(__xludf.DUMMYFUNCTION("""COMPUTED_VALUE"""),"18 inch Aero")</f>
        <v>18 inch Aero</v>
      </c>
      <c r="Q1822" s="152" t="str">
        <f>IFERROR(__xludf.DUMMYFUNCTION("""COMPUTED_VALUE"""),"Black seats")</f>
        <v>Black seats</v>
      </c>
      <c r="R1822" s="150" t="str">
        <f>IFERROR(__xludf.DUMMYFUNCTION("""COMPUTED_VALUE"""),"Full Self-Driving")</f>
        <v>Full Self-Driving</v>
      </c>
      <c r="S1822" s="150"/>
      <c r="T1822" s="136"/>
      <c r="U1822" s="136"/>
      <c r="V1822" s="136"/>
      <c r="W1822" s="136"/>
      <c r="X1822" s="137" t="str">
        <f>IFERROR(__xludf.DUMMYFUNCTION("""COMPUTED_VALUE"""),"Good")</f>
        <v>Good</v>
      </c>
      <c r="Y1822" s="138" t="str">
        <f>IFERROR(__xludf.DUMMYFUNCTION("""COMPUTED_VALUE"""),"Very Good")</f>
        <v>Very Good</v>
      </c>
      <c r="Z1822" s="138" t="str">
        <f>IFERROR(__xludf.DUMMYFUNCTION("""COMPUTED_VALUE"""),"Very Good")</f>
        <v>Very Good</v>
      </c>
      <c r="AA1822" s="138" t="str">
        <f>IFERROR(__xludf.DUMMYFUNCTION("""COMPUTED_VALUE"""),"Fair")</f>
        <v>Fair</v>
      </c>
      <c r="AB1822" s="138" t="str">
        <f>IFERROR(__xludf.DUMMYFUNCTION("""COMPUTED_VALUE"""),"Very Good")</f>
        <v>Very Good</v>
      </c>
      <c r="AC1822" s="139"/>
      <c r="AD1822" s="139"/>
      <c r="AE1822" s="139"/>
      <c r="AF1822" s="140"/>
      <c r="AG1822" s="136" t="str">
        <f>IFERROR(__xludf.DUMMYFUNCTION("""COMPUTED_VALUE"""),"VIN in Source Code on July 16, 2019. Delivery schedule July 17th.  VIN on Tesla Account July 23rd.  No word contact by Tesla so called on July 26th.  The car has not shipped and they moved the delivery date to Aug. 7th.  Arrived in Rahleigh on Aug. 3rd.  "&amp;"Delivery scheduled for Aug. 6.")</f>
        <v>VIN in Source Code on July 16, 2019. Delivery schedule July 17th.  VIN on Tesla Account July 23rd.  No word contact by Tesla so called on July 26th.  The car has not shipped and they moved the delivery date to Aug. 7th.  Arrived in Rahleigh on Aug. 3rd.  Delivery scheduled for Aug. 6.</v>
      </c>
      <c r="AH1822" s="157">
        <f>IFERROR(__xludf.DUMMYFUNCTION("""COMPUTED_VALUE"""),43690.31926363426)</f>
        <v>43690.31926</v>
      </c>
      <c r="AI1822" s="138"/>
      <c r="AJ1822" s="138"/>
      <c r="AK1822" s="138"/>
      <c r="AL1822" s="142"/>
    </row>
    <row r="1823" ht="20.25" customHeight="1">
      <c r="A1823" s="155" t="str">
        <f>IFERROR(__xludf.DUMMYFUNCTION("""COMPUTED_VALUE"""),"JoeC")</f>
        <v>JoeC</v>
      </c>
      <c r="B1823" s="149" t="str">
        <f>IFERROR(__xludf.DUMMYFUNCTION("""COMPUTED_VALUE"""),"Leesburg")</f>
        <v>Leesburg</v>
      </c>
      <c r="C1823" s="149" t="str">
        <f>IFERROR(__xludf.DUMMYFUNCTION("""COMPUTED_VALUE"""),"VA")</f>
        <v>VA</v>
      </c>
      <c r="D1823" s="149" t="str">
        <f>IFERROR(__xludf.DUMMYFUNCTION("""COMPUTED_VALUE"""),"USA")</f>
        <v>USA</v>
      </c>
      <c r="E1823" s="156">
        <f>IFERROR(__xludf.DUMMYFUNCTION("""COMPUTED_VALUE"""),43655.0)</f>
        <v>43655</v>
      </c>
      <c r="F1823" s="129">
        <f>IFERROR(__xludf.DUMMYFUNCTION("""COMPUTED_VALUE"""),43657.0)</f>
        <v>43657</v>
      </c>
      <c r="G1823" s="154"/>
      <c r="H1823" s="131">
        <f>IFERROR(__xludf.DUMMYFUNCTION("""COMPUTED_VALUE"""),425596.0)</f>
        <v>425596</v>
      </c>
      <c r="I1823" s="144"/>
      <c r="J1823" s="129">
        <f>IFERROR(__xludf.DUMMYFUNCTION("""COMPUTED_VALUE"""),43661.0)</f>
        <v>43661</v>
      </c>
      <c r="K1823" s="133">
        <f>IFERROR(__xludf.DUMMYFUNCTION("""COMPUTED_VALUE"""),2.0)</f>
        <v>2</v>
      </c>
      <c r="L1823" s="133">
        <f>IFERROR(__xludf.DUMMYFUNCTION("""COMPUTED_VALUE"""),4.0)</f>
        <v>4</v>
      </c>
      <c r="M1823" s="133">
        <f>IFERROR(__xludf.DUMMYFUNCTION("""COMPUTED_VALUE"""),6.0)</f>
        <v>6</v>
      </c>
      <c r="N1823" s="152" t="str">
        <f>IFERROR(__xludf.DUMMYFUNCTION("""COMPUTED_VALUE"""),"Model 3 Performance")</f>
        <v>Model 3 Performance</v>
      </c>
      <c r="O1823" s="152" t="str">
        <f>IFERROR(__xludf.DUMMYFUNCTION("""COMPUTED_VALUE"""),"Pearl White Multi-Coat")</f>
        <v>Pearl White Multi-Coat</v>
      </c>
      <c r="P1823" s="153" t="str">
        <f>IFERROR(__xludf.DUMMYFUNCTION("""COMPUTED_VALUE"""),"20 inch Sport")</f>
        <v>20 inch Sport</v>
      </c>
      <c r="Q1823" s="152" t="str">
        <f>IFERROR(__xludf.DUMMYFUNCTION("""COMPUTED_VALUE"""),"Black seats")</f>
        <v>Black seats</v>
      </c>
      <c r="R1823" s="149" t="str">
        <f>IFERROR(__xludf.DUMMYFUNCTION("""COMPUTED_VALUE"""),"Full Self-Driving")</f>
        <v>Full Self-Driving</v>
      </c>
      <c r="S1823" s="149"/>
      <c r="T1823" s="145"/>
      <c r="U1823" s="145"/>
      <c r="V1823" s="145"/>
      <c r="W1823" s="145"/>
      <c r="X1823" s="137" t="str">
        <f>IFERROR(__xludf.DUMMYFUNCTION("""COMPUTED_VALUE"""),"Fair")</f>
        <v>Fair</v>
      </c>
      <c r="Y1823" s="138" t="str">
        <f>IFERROR(__xludf.DUMMYFUNCTION("""COMPUTED_VALUE"""),"Very Good")</f>
        <v>Very Good</v>
      </c>
      <c r="Z1823" s="138" t="str">
        <f>IFERROR(__xludf.DUMMYFUNCTION("""COMPUTED_VALUE"""),"Excellent")</f>
        <v>Excellent</v>
      </c>
      <c r="AA1823" s="138" t="str">
        <f>IFERROR(__xludf.DUMMYFUNCTION("""COMPUTED_VALUE"""),"Excellent")</f>
        <v>Excellent</v>
      </c>
      <c r="AB1823" s="138" t="str">
        <f>IFERROR(__xludf.DUMMYFUNCTION("""COMPUTED_VALUE"""),"Good")</f>
        <v>Good</v>
      </c>
      <c r="AC1823" s="139">
        <f>IFERROR(__xludf.DUMMYFUNCTION("""COMPUTED_VALUE"""),0.0)</f>
        <v>0</v>
      </c>
      <c r="AD1823" s="139">
        <f>IFERROR(__xludf.DUMMYFUNCTION("""COMPUTED_VALUE"""),0.0)</f>
        <v>0</v>
      </c>
      <c r="AE1823" s="139">
        <f>IFERROR(__xludf.DUMMYFUNCTION("""COMPUTED_VALUE"""),0.0)</f>
        <v>0</v>
      </c>
      <c r="AF1823" s="140"/>
      <c r="AG1823" s="145" t="str">
        <f>IFERROR(__xludf.DUMMYFUNCTION("""COMPUTED_VALUE"""),"Vehicle was returned 7/19/19; due to price drop.")</f>
        <v>Vehicle was returned 7/19/19; due to price drop.</v>
      </c>
      <c r="AH1823" s="157">
        <f>IFERROR(__xludf.DUMMYFUNCTION("""COMPUTED_VALUE"""),43713.317625173615)</f>
        <v>43713.31763</v>
      </c>
      <c r="AI1823" s="138"/>
      <c r="AJ1823" s="138"/>
      <c r="AK1823" s="138"/>
      <c r="AL1823" s="142"/>
    </row>
    <row r="1824" ht="20.25" customHeight="1">
      <c r="A1824" s="155" t="str">
        <f>IFERROR(__xludf.DUMMYFUNCTION("""COMPUTED_VALUE"""),"bmmonahan")</f>
        <v>bmmonahan</v>
      </c>
      <c r="B1824" s="149" t="str">
        <f>IFERROR(__xludf.DUMMYFUNCTION("""COMPUTED_VALUE"""),"Phoenix")</f>
        <v>Phoenix</v>
      </c>
      <c r="C1824" s="149" t="str">
        <f>IFERROR(__xludf.DUMMYFUNCTION("""COMPUTED_VALUE"""),"AZ")</f>
        <v>AZ</v>
      </c>
      <c r="D1824" s="149" t="str">
        <f>IFERROR(__xludf.DUMMYFUNCTION("""COMPUTED_VALUE"""),"USA")</f>
        <v>USA</v>
      </c>
      <c r="E1824" s="156">
        <f>IFERROR(__xludf.DUMMYFUNCTION("""COMPUTED_VALUE"""),43654.0)</f>
        <v>43654</v>
      </c>
      <c r="F1824" s="129">
        <f>IFERROR(__xludf.DUMMYFUNCTION("""COMPUTED_VALUE"""),43669.0)</f>
        <v>43669</v>
      </c>
      <c r="G1824" s="154"/>
      <c r="H1824" s="131">
        <f>IFERROR(__xludf.DUMMYFUNCTION("""COMPUTED_VALUE"""),406855.0)</f>
        <v>406855</v>
      </c>
      <c r="I1824" s="144" t="str">
        <f>IFERROR(__xludf.DUMMYFUNCTION("""COMPUTED_VALUE"""),"06/19")</f>
        <v>06/19</v>
      </c>
      <c r="J1824" s="129">
        <f>IFERROR(__xludf.DUMMYFUNCTION("""COMPUTED_VALUE"""),43677.0)</f>
        <v>43677</v>
      </c>
      <c r="K1824" s="133">
        <f>IFERROR(__xludf.DUMMYFUNCTION("""COMPUTED_VALUE"""),15.0)</f>
        <v>15</v>
      </c>
      <c r="L1824" s="133">
        <f>IFERROR(__xludf.DUMMYFUNCTION("""COMPUTED_VALUE"""),8.0)</f>
        <v>8</v>
      </c>
      <c r="M1824" s="133">
        <f>IFERROR(__xludf.DUMMYFUNCTION("""COMPUTED_VALUE"""),23.0)</f>
        <v>23</v>
      </c>
      <c r="N1824" s="152" t="str">
        <f>IFERROR(__xludf.DUMMYFUNCTION("""COMPUTED_VALUE"""),"Model 3 LR AWD")</f>
        <v>Model 3 LR AWD</v>
      </c>
      <c r="O1824" s="152" t="str">
        <f>IFERROR(__xludf.DUMMYFUNCTION("""COMPUTED_VALUE"""),"Pearl White Multi-Coat")</f>
        <v>Pearl White Multi-Coat</v>
      </c>
      <c r="P1824" s="153" t="str">
        <f>IFERROR(__xludf.DUMMYFUNCTION("""COMPUTED_VALUE"""),"18 inch Aero")</f>
        <v>18 inch Aero</v>
      </c>
      <c r="Q1824" s="152" t="str">
        <f>IFERROR(__xludf.DUMMYFUNCTION("""COMPUTED_VALUE"""),"White seats")</f>
        <v>White seats</v>
      </c>
      <c r="R1824" s="149" t="str">
        <f>IFERROR(__xludf.DUMMYFUNCTION("""COMPUTED_VALUE"""),"Autopilot")</f>
        <v>Autopilot</v>
      </c>
      <c r="S1824" s="149"/>
      <c r="T1824" s="145"/>
      <c r="U1824" s="145"/>
      <c r="V1824" s="145"/>
      <c r="W1824" s="145"/>
      <c r="X1824" s="137" t="str">
        <f>IFERROR(__xludf.DUMMYFUNCTION("""COMPUTED_VALUE"""),"Good")</f>
        <v>Good</v>
      </c>
      <c r="Y1824" s="138" t="str">
        <f>IFERROR(__xludf.DUMMYFUNCTION("""COMPUTED_VALUE"""),"Good")</f>
        <v>Good</v>
      </c>
      <c r="Z1824" s="138" t="str">
        <f>IFERROR(__xludf.DUMMYFUNCTION("""COMPUTED_VALUE"""),"Very Good")</f>
        <v>Very Good</v>
      </c>
      <c r="AA1824" s="138" t="str">
        <f>IFERROR(__xludf.DUMMYFUNCTION("""COMPUTED_VALUE"""),"Very Good")</f>
        <v>Very Good</v>
      </c>
      <c r="AB1824" s="138" t="str">
        <f>IFERROR(__xludf.DUMMYFUNCTION("""COMPUTED_VALUE"""),"Very Good")</f>
        <v>Very Good</v>
      </c>
      <c r="AC1824" s="139">
        <f>IFERROR(__xludf.DUMMYFUNCTION("""COMPUTED_VALUE"""),0.0)</f>
        <v>0</v>
      </c>
      <c r="AD1824" s="139">
        <f>IFERROR(__xludf.DUMMYFUNCTION("""COMPUTED_VALUE"""),1.0)</f>
        <v>1</v>
      </c>
      <c r="AE1824" s="139">
        <f>IFERROR(__xludf.DUMMYFUNCTION("""COMPUTED_VALUE"""),0.0)</f>
        <v>0</v>
      </c>
      <c r="AF1824" s="140"/>
      <c r="AG1824" s="145" t="str">
        <f>IFERROR(__xludf.DUMMYFUNCTION("""COMPUTED_VALUE"""),"No Issues so far.  Although Homelink is not 100%, still some issues to work out. Worried that this is one of the June 2019 models, that were rushed out to meet end of second quarter stats")</f>
        <v>No Issues so far.  Although Homelink is not 100%, still some issues to work out. Worried that this is one of the June 2019 models, that were rushed out to meet end of second quarter stats</v>
      </c>
      <c r="AH1824" s="157">
        <f>IFERROR(__xludf.DUMMYFUNCTION("""COMPUTED_VALUE"""),43707.528601307866)</f>
        <v>43707.5286</v>
      </c>
      <c r="AI1824" s="138"/>
      <c r="AJ1824" s="138"/>
      <c r="AK1824" s="138"/>
      <c r="AL1824" s="142"/>
    </row>
    <row r="1825" ht="20.25" customHeight="1">
      <c r="A1825" s="155" t="str">
        <f>IFERROR(__xludf.DUMMYFUNCTION("""COMPUTED_VALUE"""),"kchau")</f>
        <v>kchau</v>
      </c>
      <c r="B1825" s="149" t="str">
        <f>IFERROR(__xludf.DUMMYFUNCTION("""COMPUTED_VALUE"""),"Seattle")</f>
        <v>Seattle</v>
      </c>
      <c r="C1825" s="149" t="str">
        <f>IFERROR(__xludf.DUMMYFUNCTION("""COMPUTED_VALUE"""),"WA")</f>
        <v>WA</v>
      </c>
      <c r="D1825" s="149" t="str">
        <f>IFERROR(__xludf.DUMMYFUNCTION("""COMPUTED_VALUE"""),"USA")</f>
        <v>USA</v>
      </c>
      <c r="E1825" s="156">
        <f>IFERROR(__xludf.DUMMYFUNCTION("""COMPUTED_VALUE"""),43654.0)</f>
        <v>43654</v>
      </c>
      <c r="F1825" s="129">
        <f>IFERROR(__xludf.DUMMYFUNCTION("""COMPUTED_VALUE"""),43666.0)</f>
        <v>43666</v>
      </c>
      <c r="G1825" s="154"/>
      <c r="H1825" s="131">
        <f>IFERROR(__xludf.DUMMYFUNCTION("""COMPUTED_VALUE"""),437600.0)</f>
        <v>437600</v>
      </c>
      <c r="I1825" s="144" t="str">
        <f>IFERROR(__xludf.DUMMYFUNCTION("""COMPUTED_VALUE"""),"07/19")</f>
        <v>07/19</v>
      </c>
      <c r="J1825" s="129">
        <f>IFERROR(__xludf.DUMMYFUNCTION("""COMPUTED_VALUE"""),43671.0)</f>
        <v>43671</v>
      </c>
      <c r="K1825" s="133">
        <f>IFERROR(__xludf.DUMMYFUNCTION("""COMPUTED_VALUE"""),12.0)</f>
        <v>12</v>
      </c>
      <c r="L1825" s="133">
        <f>IFERROR(__xludf.DUMMYFUNCTION("""COMPUTED_VALUE"""),5.0)</f>
        <v>5</v>
      </c>
      <c r="M1825" s="133">
        <f>IFERROR(__xludf.DUMMYFUNCTION("""COMPUTED_VALUE"""),17.0)</f>
        <v>17</v>
      </c>
      <c r="N1825" s="152" t="str">
        <f>IFERROR(__xludf.DUMMYFUNCTION("""COMPUTED_VALUE"""),"Model 3 LR AWD")</f>
        <v>Model 3 LR AWD</v>
      </c>
      <c r="O1825" s="152" t="str">
        <f>IFERROR(__xludf.DUMMYFUNCTION("""COMPUTED_VALUE"""),"Red Multi-Coat")</f>
        <v>Red Multi-Coat</v>
      </c>
      <c r="P1825" s="153" t="str">
        <f>IFERROR(__xludf.DUMMYFUNCTION("""COMPUTED_VALUE"""),"18 inch Aero")</f>
        <v>18 inch Aero</v>
      </c>
      <c r="Q1825" s="152" t="str">
        <f>IFERROR(__xludf.DUMMYFUNCTION("""COMPUTED_VALUE"""),"White seats")</f>
        <v>White seats</v>
      </c>
      <c r="R1825" s="149" t="str">
        <f>IFERROR(__xludf.DUMMYFUNCTION("""COMPUTED_VALUE"""),"Full Self-Driving")</f>
        <v>Full Self-Driving</v>
      </c>
      <c r="S1825" s="149"/>
      <c r="T1825" s="145"/>
      <c r="U1825" s="145"/>
      <c r="V1825" s="145"/>
      <c r="W1825" s="145"/>
      <c r="X1825" s="137" t="str">
        <f>IFERROR(__xludf.DUMMYFUNCTION("""COMPUTED_VALUE"""),"Very Good")</f>
        <v>Very Good</v>
      </c>
      <c r="Y1825" s="138" t="str">
        <f>IFERROR(__xludf.DUMMYFUNCTION("""COMPUTED_VALUE"""),"Excellent")</f>
        <v>Excellent</v>
      </c>
      <c r="Z1825" s="138" t="str">
        <f>IFERROR(__xludf.DUMMYFUNCTION("""COMPUTED_VALUE"""),"Fair")</f>
        <v>Fair</v>
      </c>
      <c r="AA1825" s="138" t="str">
        <f>IFERROR(__xludf.DUMMYFUNCTION("""COMPUTED_VALUE"""),"Fair")</f>
        <v>Fair</v>
      </c>
      <c r="AB1825" s="138" t="str">
        <f>IFERROR(__xludf.DUMMYFUNCTION("""COMPUTED_VALUE"""),"Good")</f>
        <v>Good</v>
      </c>
      <c r="AC1825" s="139">
        <f>IFERROR(__xludf.DUMMYFUNCTION("""COMPUTED_VALUE"""),5.0)</f>
        <v>5</v>
      </c>
      <c r="AD1825" s="139">
        <f>IFERROR(__xludf.DUMMYFUNCTION("""COMPUTED_VALUE"""),1.0)</f>
        <v>1</v>
      </c>
      <c r="AE1825" s="139"/>
      <c r="AF1825" s="140"/>
      <c r="AG1825" s="145" t="str">
        <f>IFERROR(__xludf.DUMMYFUNCTION("""COMPUTED_VALUE"""),"VIN in Source Code 7/20")</f>
        <v>VIN in Source Code 7/20</v>
      </c>
      <c r="AH1825" s="157">
        <f>IFERROR(__xludf.DUMMYFUNCTION("""COMPUTED_VALUE"""),43678.334922048605)</f>
        <v>43678.33492</v>
      </c>
      <c r="AI1825" s="138"/>
      <c r="AJ1825" s="138"/>
      <c r="AK1825" s="138"/>
      <c r="AL1825" s="142"/>
    </row>
    <row r="1826" ht="20.25" customHeight="1">
      <c r="A1826" s="155" t="str">
        <f>IFERROR(__xludf.DUMMYFUNCTION("""COMPUTED_VALUE"""),"NYCJONES")</f>
        <v>NYCJONES</v>
      </c>
      <c r="B1826" s="149" t="str">
        <f>IFERROR(__xludf.DUMMYFUNCTION("""COMPUTED_VALUE"""),"Wayne")</f>
        <v>Wayne</v>
      </c>
      <c r="C1826" s="149" t="str">
        <f>IFERROR(__xludf.DUMMYFUNCTION("""COMPUTED_VALUE"""),"NJ")</f>
        <v>NJ</v>
      </c>
      <c r="D1826" s="149" t="str">
        <f>IFERROR(__xludf.DUMMYFUNCTION("""COMPUTED_VALUE"""),"USA")</f>
        <v>USA</v>
      </c>
      <c r="E1826" s="156">
        <f>IFERROR(__xludf.DUMMYFUNCTION("""COMPUTED_VALUE"""),43651.0)</f>
        <v>43651</v>
      </c>
      <c r="F1826" s="129">
        <f>IFERROR(__xludf.DUMMYFUNCTION("""COMPUTED_VALUE"""),43665.0)</f>
        <v>43665</v>
      </c>
      <c r="G1826" s="154"/>
      <c r="H1826" s="131">
        <f>IFERROR(__xludf.DUMMYFUNCTION("""COMPUTED_VALUE"""),437723.0)</f>
        <v>437723</v>
      </c>
      <c r="I1826" s="144"/>
      <c r="J1826" s="129">
        <f>IFERROR(__xludf.DUMMYFUNCTION("""COMPUTED_VALUE"""),43666.0)</f>
        <v>43666</v>
      </c>
      <c r="K1826" s="133">
        <f>IFERROR(__xludf.DUMMYFUNCTION("""COMPUTED_VALUE"""),14.0)</f>
        <v>14</v>
      </c>
      <c r="L1826" s="133">
        <f>IFERROR(__xludf.DUMMYFUNCTION("""COMPUTED_VALUE"""),1.0)</f>
        <v>1</v>
      </c>
      <c r="M1826" s="133">
        <f>IFERROR(__xludf.DUMMYFUNCTION("""COMPUTED_VALUE"""),15.0)</f>
        <v>15</v>
      </c>
      <c r="N1826" s="152" t="str">
        <f>IFERROR(__xludf.DUMMYFUNCTION("""COMPUTED_VALUE"""),"Model 3 Performance")</f>
        <v>Model 3 Performance</v>
      </c>
      <c r="O1826" s="152" t="str">
        <f>IFERROR(__xludf.DUMMYFUNCTION("""COMPUTED_VALUE"""),"Pearl White Multi-Coat")</f>
        <v>Pearl White Multi-Coat</v>
      </c>
      <c r="P1826" s="153" t="str">
        <f>IFERROR(__xludf.DUMMYFUNCTION("""COMPUTED_VALUE"""),"19 inch Sport")</f>
        <v>19 inch Sport</v>
      </c>
      <c r="Q1826" s="152" t="str">
        <f>IFERROR(__xludf.DUMMYFUNCTION("""COMPUTED_VALUE"""),"Black seats")</f>
        <v>Black seats</v>
      </c>
      <c r="R1826" s="149" t="str">
        <f>IFERROR(__xludf.DUMMYFUNCTION("""COMPUTED_VALUE"""),"Full Self-Driving")</f>
        <v>Full Self-Driving</v>
      </c>
      <c r="S1826" s="149"/>
      <c r="T1826" s="145"/>
      <c r="U1826" s="145"/>
      <c r="V1826" s="145"/>
      <c r="W1826" s="136"/>
      <c r="X1826" s="158" t="str">
        <f>IFERROR(__xludf.DUMMYFUNCTION("""COMPUTED_VALUE"""),"Excellent")</f>
        <v>Excellent</v>
      </c>
      <c r="Y1826" s="138" t="str">
        <f>IFERROR(__xludf.DUMMYFUNCTION("""COMPUTED_VALUE"""),"Excellent")</f>
        <v>Excellent</v>
      </c>
      <c r="Z1826" s="138" t="str">
        <f>IFERROR(__xludf.DUMMYFUNCTION("""COMPUTED_VALUE"""),"Very Good")</f>
        <v>Very Good</v>
      </c>
      <c r="AA1826" s="138" t="str">
        <f>IFERROR(__xludf.DUMMYFUNCTION("""COMPUTED_VALUE"""),"Excellent")</f>
        <v>Excellent</v>
      </c>
      <c r="AB1826" s="138" t="str">
        <f>IFERROR(__xludf.DUMMYFUNCTION("""COMPUTED_VALUE"""),"Excellent")</f>
        <v>Excellent</v>
      </c>
      <c r="AC1826" s="139"/>
      <c r="AD1826" s="139"/>
      <c r="AE1826" s="139"/>
      <c r="AF1826" s="140"/>
      <c r="AG1826" s="136" t="str">
        <f>IFERROR(__xludf.DUMMYFUNCTION("""COMPUTED_VALUE"""),"7/15:Changed configuration; 7/17:Price Reduction has been reflected on Order; 7/19 Changed Configuration and a vehicle was in the region - took delivery on 7/20/19 - loving it")</f>
        <v>7/15:Changed configuration; 7/17:Price Reduction has been reflected on Order; 7/19 Changed Configuration and a vehicle was in the region - took delivery on 7/20/19 - loving it</v>
      </c>
      <c r="AH1826" s="157">
        <f>IFERROR(__xludf.DUMMYFUNCTION("""COMPUTED_VALUE"""),43668.366494317124)</f>
        <v>43668.36649</v>
      </c>
      <c r="AI1826" s="138"/>
      <c r="AJ1826" s="138"/>
      <c r="AK1826" s="138"/>
      <c r="AL1826" s="142"/>
    </row>
    <row r="1827" ht="20.25" customHeight="1">
      <c r="A1827" s="155" t="str">
        <f>IFERROR(__xludf.DUMMYFUNCTION("""COMPUTED_VALUE"""),"SicEm2014")</f>
        <v>SicEm2014</v>
      </c>
      <c r="B1827" s="149" t="str">
        <f>IFERROR(__xludf.DUMMYFUNCTION("""COMPUTED_VALUE"""),"Houston")</f>
        <v>Houston</v>
      </c>
      <c r="C1827" s="149" t="str">
        <f>IFERROR(__xludf.DUMMYFUNCTION("""COMPUTED_VALUE"""),"TX")</f>
        <v>TX</v>
      </c>
      <c r="D1827" s="149" t="str">
        <f>IFERROR(__xludf.DUMMYFUNCTION("""COMPUTED_VALUE"""),"USA")</f>
        <v>USA</v>
      </c>
      <c r="E1827" s="156">
        <f>IFERROR(__xludf.DUMMYFUNCTION("""COMPUTED_VALUE"""),43651.0)</f>
        <v>43651</v>
      </c>
      <c r="F1827" s="129">
        <f>IFERROR(__xludf.DUMMYFUNCTION("""COMPUTED_VALUE"""),43670.0)</f>
        <v>43670</v>
      </c>
      <c r="G1827" s="154"/>
      <c r="H1827" s="131">
        <f>IFERROR(__xludf.DUMMYFUNCTION("""COMPUTED_VALUE"""),437255.0)</f>
        <v>437255</v>
      </c>
      <c r="I1827" s="144" t="str">
        <f>IFERROR(__xludf.DUMMYFUNCTION("""COMPUTED_VALUE"""),"07/19")</f>
        <v>07/19</v>
      </c>
      <c r="J1827" s="129">
        <f>IFERROR(__xludf.DUMMYFUNCTION("""COMPUTED_VALUE"""),43697.0)</f>
        <v>43697</v>
      </c>
      <c r="K1827" s="133">
        <f>IFERROR(__xludf.DUMMYFUNCTION("""COMPUTED_VALUE"""),19.0)</f>
        <v>19</v>
      </c>
      <c r="L1827" s="133">
        <f>IFERROR(__xludf.DUMMYFUNCTION("""COMPUTED_VALUE"""),27.0)</f>
        <v>27</v>
      </c>
      <c r="M1827" s="133">
        <f>IFERROR(__xludf.DUMMYFUNCTION("""COMPUTED_VALUE"""),46.0)</f>
        <v>46</v>
      </c>
      <c r="N1827" s="152" t="str">
        <f>IFERROR(__xludf.DUMMYFUNCTION("""COMPUTED_VALUE"""),"Model 3 LR AWD")</f>
        <v>Model 3 LR AWD</v>
      </c>
      <c r="O1827" s="152" t="str">
        <f>IFERROR(__xludf.DUMMYFUNCTION("""COMPUTED_VALUE"""),"Pearl White Multi-Coat")</f>
        <v>Pearl White Multi-Coat</v>
      </c>
      <c r="P1827" s="153" t="str">
        <f>IFERROR(__xludf.DUMMYFUNCTION("""COMPUTED_VALUE"""),"18 inch Aero")</f>
        <v>18 inch Aero</v>
      </c>
      <c r="Q1827" s="152" t="str">
        <f>IFERROR(__xludf.DUMMYFUNCTION("""COMPUTED_VALUE"""),"White seats")</f>
        <v>White seats</v>
      </c>
      <c r="R1827" s="149" t="str">
        <f>IFERROR(__xludf.DUMMYFUNCTION("""COMPUTED_VALUE"""),"Full Self-Driving")</f>
        <v>Full Self-Driving</v>
      </c>
      <c r="S1827" s="149"/>
      <c r="T1827" s="145"/>
      <c r="U1827" s="145"/>
      <c r="V1827" s="145"/>
      <c r="W1827" s="145"/>
      <c r="X1827" s="137" t="str">
        <f>IFERROR(__xludf.DUMMYFUNCTION("""COMPUTED_VALUE"""),"Excellent")</f>
        <v>Excellent</v>
      </c>
      <c r="Y1827" s="138" t="str">
        <f>IFERROR(__xludf.DUMMYFUNCTION("""COMPUTED_VALUE"""),"Excellent")</f>
        <v>Excellent</v>
      </c>
      <c r="Z1827" s="138" t="str">
        <f>IFERROR(__xludf.DUMMYFUNCTION("""COMPUTED_VALUE"""),"Excellent")</f>
        <v>Excellent</v>
      </c>
      <c r="AA1827" s="138" t="str">
        <f>IFERROR(__xludf.DUMMYFUNCTION("""COMPUTED_VALUE"""),"Fair")</f>
        <v>Fair</v>
      </c>
      <c r="AB1827" s="138" t="str">
        <f>IFERROR(__xludf.DUMMYFUNCTION("""COMPUTED_VALUE"""),"Very Good")</f>
        <v>Very Good</v>
      </c>
      <c r="AC1827" s="139"/>
      <c r="AD1827" s="139"/>
      <c r="AE1827" s="139"/>
      <c r="AF1827" s="140"/>
      <c r="AG1827" s="145" t="str">
        <f>IFERROR(__xludf.DUMMYFUNCTION("""COMPUTED_VALUE"""),"Delivery date pushed for 2 weeks due to Telsa making errors in paperwork, twice. Received VIN by contacting Delivery Advisor and requesting update for financing purposes.")</f>
        <v>Delivery date pushed for 2 weeks due to Telsa making errors in paperwork, twice. Received VIN by contacting Delivery Advisor and requesting update for financing purposes.</v>
      </c>
      <c r="AH1827" s="157">
        <f>IFERROR(__xludf.DUMMYFUNCTION("""COMPUTED_VALUE"""),43698.29496436343)</f>
        <v>43698.29496</v>
      </c>
      <c r="AI1827" s="138"/>
      <c r="AJ1827" s="138"/>
      <c r="AK1827" s="138"/>
      <c r="AL1827" s="142"/>
    </row>
    <row r="1828" ht="20.25" customHeight="1">
      <c r="A1828" s="155" t="str">
        <f>IFERROR(__xludf.DUMMYFUNCTION("""COMPUTED_VALUE"""),"WilliamQc")</f>
        <v>WilliamQc</v>
      </c>
      <c r="B1828" s="149" t="str">
        <f>IFERROR(__xludf.DUMMYFUNCTION("""COMPUTED_VALUE"""),"Quebec")</f>
        <v>Quebec</v>
      </c>
      <c r="C1828" s="149" t="str">
        <f>IFERROR(__xludf.DUMMYFUNCTION("""COMPUTED_VALUE"""),"QC")</f>
        <v>QC</v>
      </c>
      <c r="D1828" s="149" t="str">
        <f>IFERROR(__xludf.DUMMYFUNCTION("""COMPUTED_VALUE"""),"Canada")</f>
        <v>Canada</v>
      </c>
      <c r="E1828" s="156">
        <f>IFERROR(__xludf.DUMMYFUNCTION("""COMPUTED_VALUE"""),43651.0)</f>
        <v>43651</v>
      </c>
      <c r="F1828" s="129">
        <f>IFERROR(__xludf.DUMMYFUNCTION("""COMPUTED_VALUE"""),43673.0)</f>
        <v>43673</v>
      </c>
      <c r="G1828" s="154"/>
      <c r="H1828" s="131">
        <f>IFERROR(__xludf.DUMMYFUNCTION("""COMPUTED_VALUE"""),454855.0)</f>
        <v>454855</v>
      </c>
      <c r="I1828" s="144"/>
      <c r="J1828" s="129">
        <f>IFERROR(__xludf.DUMMYFUNCTION("""COMPUTED_VALUE"""),43686.0)</f>
        <v>43686</v>
      </c>
      <c r="K1828" s="133">
        <f>IFERROR(__xludf.DUMMYFUNCTION("""COMPUTED_VALUE"""),22.0)</f>
        <v>22</v>
      </c>
      <c r="L1828" s="133">
        <f>IFERROR(__xludf.DUMMYFUNCTION("""COMPUTED_VALUE"""),13.0)</f>
        <v>13</v>
      </c>
      <c r="M1828" s="133">
        <f>IFERROR(__xludf.DUMMYFUNCTION("""COMPUTED_VALUE"""),35.0)</f>
        <v>35</v>
      </c>
      <c r="N1828" s="152" t="str">
        <f>IFERROR(__xludf.DUMMYFUNCTION("""COMPUTED_VALUE"""),"Model 3 Performance")</f>
        <v>Model 3 Performance</v>
      </c>
      <c r="O1828" s="152" t="str">
        <f>IFERROR(__xludf.DUMMYFUNCTION("""COMPUTED_VALUE"""),"Pearl White Multi-Coat")</f>
        <v>Pearl White Multi-Coat</v>
      </c>
      <c r="P1828" s="153" t="str">
        <f>IFERROR(__xludf.DUMMYFUNCTION("""COMPUTED_VALUE"""),"20 inch Sport")</f>
        <v>20 inch Sport</v>
      </c>
      <c r="Q1828" s="152" t="str">
        <f>IFERROR(__xludf.DUMMYFUNCTION("""COMPUTED_VALUE"""),"Black seats")</f>
        <v>Black seats</v>
      </c>
      <c r="R1828" s="149" t="str">
        <f>IFERROR(__xludf.DUMMYFUNCTION("""COMPUTED_VALUE"""),"Full Self-Driving")</f>
        <v>Full Self-Driving</v>
      </c>
      <c r="S1828" s="149"/>
      <c r="T1828" s="145"/>
      <c r="U1828" s="145"/>
      <c r="V1828" s="145"/>
      <c r="W1828" s="136"/>
      <c r="X1828" s="137" t="str">
        <f>IFERROR(__xludf.DUMMYFUNCTION("""COMPUTED_VALUE"""),"Good")</f>
        <v>Good</v>
      </c>
      <c r="Y1828" s="138" t="str">
        <f>IFERROR(__xludf.DUMMYFUNCTION("""COMPUTED_VALUE"""),"Very Good")</f>
        <v>Very Good</v>
      </c>
      <c r="Z1828" s="138" t="str">
        <f>IFERROR(__xludf.DUMMYFUNCTION("""COMPUTED_VALUE"""),"Poor")</f>
        <v>Poor</v>
      </c>
      <c r="AA1828" s="138" t="str">
        <f>IFERROR(__xludf.DUMMYFUNCTION("""COMPUTED_VALUE"""),"Good")</f>
        <v>Good</v>
      </c>
      <c r="AB1828" s="138" t="str">
        <f>IFERROR(__xludf.DUMMYFUNCTION("""COMPUTED_VALUE"""),"Good")</f>
        <v>Good</v>
      </c>
      <c r="AC1828" s="139">
        <f>IFERROR(__xludf.DUMMYFUNCTION("""COMPUTED_VALUE"""),0.0)</f>
        <v>0</v>
      </c>
      <c r="AD1828" s="139"/>
      <c r="AE1828" s="139"/>
      <c r="AF1828" s="140"/>
      <c r="AG1828" s="136" t="str">
        <f>IFERROR(__xludf.DUMMYFUNCTION("""COMPUTED_VALUE"""),"Refuse Delivery")</f>
        <v>Refuse Delivery</v>
      </c>
      <c r="AH1828" s="157">
        <f>IFERROR(__xludf.DUMMYFUNCTION("""COMPUTED_VALUE"""),43689.68791778935)</f>
        <v>43689.68792</v>
      </c>
      <c r="AI1828" s="138"/>
      <c r="AJ1828" s="138"/>
      <c r="AK1828" s="138"/>
      <c r="AL1828" s="142"/>
    </row>
    <row r="1829" ht="20.25" customHeight="1">
      <c r="A1829" s="155" t="str">
        <f>IFERROR(__xludf.DUMMYFUNCTION("""COMPUTED_VALUE"""),"टेस्ला")</f>
        <v>टेस्ला</v>
      </c>
      <c r="B1829" s="149" t="str">
        <f>IFERROR(__xludf.DUMMYFUNCTION("""COMPUTED_VALUE"""),"Ottawa")</f>
        <v>Ottawa</v>
      </c>
      <c r="C1829" s="149" t="str">
        <f>IFERROR(__xludf.DUMMYFUNCTION("""COMPUTED_VALUE"""),"ON")</f>
        <v>ON</v>
      </c>
      <c r="D1829" s="149" t="str">
        <f>IFERROR(__xludf.DUMMYFUNCTION("""COMPUTED_VALUE"""),"Canada")</f>
        <v>Canada</v>
      </c>
      <c r="E1829" s="156">
        <f>IFERROR(__xludf.DUMMYFUNCTION("""COMPUTED_VALUE"""),43651.0)</f>
        <v>43651</v>
      </c>
      <c r="F1829" s="129">
        <f>IFERROR(__xludf.DUMMYFUNCTION("""COMPUTED_VALUE"""),43660.0)</f>
        <v>43660</v>
      </c>
      <c r="G1829" s="154"/>
      <c r="H1829" s="131">
        <f>IFERROR(__xludf.DUMMYFUNCTION("""COMPUTED_VALUE"""),399855.0)</f>
        <v>399855</v>
      </c>
      <c r="I1829" s="144"/>
      <c r="J1829" s="129">
        <f>IFERROR(__xludf.DUMMYFUNCTION("""COMPUTED_VALUE"""),43684.0)</f>
        <v>43684</v>
      </c>
      <c r="K1829" s="133">
        <f>IFERROR(__xludf.DUMMYFUNCTION("""COMPUTED_VALUE"""),9.0)</f>
        <v>9</v>
      </c>
      <c r="L1829" s="133">
        <f>IFERROR(__xludf.DUMMYFUNCTION("""COMPUTED_VALUE"""),24.0)</f>
        <v>24</v>
      </c>
      <c r="M1829" s="133">
        <f>IFERROR(__xludf.DUMMYFUNCTION("""COMPUTED_VALUE"""),33.0)</f>
        <v>33</v>
      </c>
      <c r="N1829" s="152" t="str">
        <f>IFERROR(__xludf.DUMMYFUNCTION("""COMPUTED_VALUE"""),"Model 3 SR+")</f>
        <v>Model 3 SR+</v>
      </c>
      <c r="O1829" s="152" t="str">
        <f>IFERROR(__xludf.DUMMYFUNCTION("""COMPUTED_VALUE"""),"Solid Black")</f>
        <v>Solid Black</v>
      </c>
      <c r="P1829" s="153" t="str">
        <f>IFERROR(__xludf.DUMMYFUNCTION("""COMPUTED_VALUE"""),"18 inch Aero")</f>
        <v>18 inch Aero</v>
      </c>
      <c r="Q1829" s="152" t="str">
        <f>IFERROR(__xludf.DUMMYFUNCTION("""COMPUTED_VALUE"""),"Black seats")</f>
        <v>Black seats</v>
      </c>
      <c r="R1829" s="149" t="str">
        <f>IFERROR(__xludf.DUMMYFUNCTION("""COMPUTED_VALUE"""),"Autopilot")</f>
        <v>Autopilot</v>
      </c>
      <c r="S1829" s="149"/>
      <c r="T1829" s="145"/>
      <c r="U1829" s="145"/>
      <c r="V1829" s="145"/>
      <c r="W1829" s="145"/>
      <c r="X1829" s="137" t="str">
        <f>IFERROR(__xludf.DUMMYFUNCTION("""COMPUTED_VALUE"""),"Excellent")</f>
        <v>Excellent</v>
      </c>
      <c r="Y1829" s="138" t="str">
        <f>IFERROR(__xludf.DUMMYFUNCTION("""COMPUTED_VALUE"""),"Excellent")</f>
        <v>Excellent</v>
      </c>
      <c r="Z1829" s="138" t="str">
        <f>IFERROR(__xludf.DUMMYFUNCTION("""COMPUTED_VALUE"""),"Excellent")</f>
        <v>Excellent</v>
      </c>
      <c r="AA1829" s="138" t="str">
        <f>IFERROR(__xludf.DUMMYFUNCTION("""COMPUTED_VALUE"""),"Poor")</f>
        <v>Poor</v>
      </c>
      <c r="AB1829" s="138" t="str">
        <f>IFERROR(__xludf.DUMMYFUNCTION("""COMPUTED_VALUE"""),"Poor")</f>
        <v>Poor</v>
      </c>
      <c r="AC1829" s="139">
        <f>IFERROR(__xludf.DUMMYFUNCTION("""COMPUTED_VALUE"""),2.0)</f>
        <v>2</v>
      </c>
      <c r="AD1829" s="139"/>
      <c r="AE1829" s="139"/>
      <c r="AF1829" s="140"/>
      <c r="AG1829" s="145"/>
      <c r="AH1829" s="157">
        <f>IFERROR(__xludf.DUMMYFUNCTION("""COMPUTED_VALUE"""),43700.24544225694)</f>
        <v>43700.24544</v>
      </c>
      <c r="AI1829" s="138"/>
      <c r="AJ1829" s="138"/>
      <c r="AK1829" s="138"/>
      <c r="AL1829" s="142"/>
    </row>
    <row r="1830" ht="20.25" customHeight="1">
      <c r="A1830" s="155" t="str">
        <f>IFERROR(__xludf.DUMMYFUNCTION("""COMPUTED_VALUE"""),"0cylinder")</f>
        <v>0cylinder</v>
      </c>
      <c r="B1830" s="149" t="str">
        <f>IFERROR(__xludf.DUMMYFUNCTION("""COMPUTED_VALUE"""),"Vancouver")</f>
        <v>Vancouver</v>
      </c>
      <c r="C1830" s="149" t="str">
        <f>IFERROR(__xludf.DUMMYFUNCTION("""COMPUTED_VALUE"""),"BC")</f>
        <v>BC</v>
      </c>
      <c r="D1830" s="149" t="str">
        <f>IFERROR(__xludf.DUMMYFUNCTION("""COMPUTED_VALUE"""),"Canada")</f>
        <v>Canada</v>
      </c>
      <c r="E1830" s="156">
        <f>IFERROR(__xludf.DUMMYFUNCTION("""COMPUTED_VALUE"""),43648.0)</f>
        <v>43648</v>
      </c>
      <c r="F1830" s="129">
        <f>IFERROR(__xludf.DUMMYFUNCTION("""COMPUTED_VALUE"""),43661.0)</f>
        <v>43661</v>
      </c>
      <c r="G1830" s="154"/>
      <c r="H1830" s="131">
        <f>IFERROR(__xludf.DUMMYFUNCTION("""COMPUTED_VALUE"""),419007.0)</f>
        <v>419007</v>
      </c>
      <c r="I1830" s="132"/>
      <c r="J1830" s="129">
        <f>IFERROR(__xludf.DUMMYFUNCTION("""COMPUTED_VALUE"""),43670.0)</f>
        <v>43670</v>
      </c>
      <c r="K1830" s="133">
        <f>IFERROR(__xludf.DUMMYFUNCTION("""COMPUTED_VALUE"""),13.0)</f>
        <v>13</v>
      </c>
      <c r="L1830" s="133">
        <f>IFERROR(__xludf.DUMMYFUNCTION("""COMPUTED_VALUE"""),9.0)</f>
        <v>9</v>
      </c>
      <c r="M1830" s="133">
        <f>IFERROR(__xludf.DUMMYFUNCTION("""COMPUTED_VALUE"""),22.0)</f>
        <v>22</v>
      </c>
      <c r="N1830" s="152" t="str">
        <f>IFERROR(__xludf.DUMMYFUNCTION("""COMPUTED_VALUE"""),"Model 3 SR+")</f>
        <v>Model 3 SR+</v>
      </c>
      <c r="O1830" s="152" t="str">
        <f>IFERROR(__xludf.DUMMYFUNCTION("""COMPUTED_VALUE"""),"Midnight Silver Metallic")</f>
        <v>Midnight Silver Metallic</v>
      </c>
      <c r="P1830" s="153" t="str">
        <f>IFERROR(__xludf.DUMMYFUNCTION("""COMPUTED_VALUE"""),"18 inch Aero")</f>
        <v>18 inch Aero</v>
      </c>
      <c r="Q1830" s="152" t="str">
        <f>IFERROR(__xludf.DUMMYFUNCTION("""COMPUTED_VALUE"""),"Black seats")</f>
        <v>Black seats</v>
      </c>
      <c r="R1830" s="150" t="str">
        <f>IFERROR(__xludf.DUMMYFUNCTION("""COMPUTED_VALUE"""),"Autopilot")</f>
        <v>Autopilot</v>
      </c>
      <c r="S1830" s="150"/>
      <c r="T1830" s="136"/>
      <c r="U1830" s="136"/>
      <c r="V1830" s="136"/>
      <c r="W1830" s="136"/>
      <c r="X1830" s="137" t="str">
        <f>IFERROR(__xludf.DUMMYFUNCTION("""COMPUTED_VALUE"""),"Excellent")</f>
        <v>Excellent</v>
      </c>
      <c r="Y1830" s="138" t="str">
        <f>IFERROR(__xludf.DUMMYFUNCTION("""COMPUTED_VALUE"""),"Excellent")</f>
        <v>Excellent</v>
      </c>
      <c r="Z1830" s="138" t="str">
        <f>IFERROR(__xludf.DUMMYFUNCTION("""COMPUTED_VALUE"""),"Excellent")</f>
        <v>Excellent</v>
      </c>
      <c r="AA1830" s="138" t="str">
        <f>IFERROR(__xludf.DUMMYFUNCTION("""COMPUTED_VALUE"""),"Fair")</f>
        <v>Fair</v>
      </c>
      <c r="AB1830" s="138" t="str">
        <f>IFERROR(__xludf.DUMMYFUNCTION("""COMPUTED_VALUE"""),"Fair")</f>
        <v>Fair</v>
      </c>
      <c r="AC1830" s="139"/>
      <c r="AD1830" s="139"/>
      <c r="AE1830" s="139"/>
      <c r="AF1830" s="140"/>
      <c r="AG1830" s="136" t="str">
        <f>IFERROR(__xludf.DUMMYFUNCTION("""COMPUTED_VALUE"""),"Vancouver Powell St delivery center is very unattractive")</f>
        <v>Vancouver Powell St delivery center is very unattractive</v>
      </c>
      <c r="AH1830" s="157">
        <f>IFERROR(__xludf.DUMMYFUNCTION("""COMPUTED_VALUE"""),43672.22661576389)</f>
        <v>43672.22662</v>
      </c>
      <c r="AI1830" s="138"/>
      <c r="AJ1830" s="138"/>
      <c r="AK1830" s="138"/>
      <c r="AL1830" s="142"/>
    </row>
    <row r="1831" ht="20.25" customHeight="1">
      <c r="A1831" s="155" t="str">
        <f>IFERROR(__xludf.DUMMYFUNCTION("""COMPUTED_VALUE"""),"bezwick")</f>
        <v>bezwick</v>
      </c>
      <c r="B1831" s="149" t="str">
        <f>IFERROR(__xludf.DUMMYFUNCTION("""COMPUTED_VALUE"""),"Los Angeles")</f>
        <v>Los Angeles</v>
      </c>
      <c r="C1831" s="149" t="str">
        <f>IFERROR(__xludf.DUMMYFUNCTION("""COMPUTED_VALUE"""),"CA")</f>
        <v>CA</v>
      </c>
      <c r="D1831" s="149" t="str">
        <f>IFERROR(__xludf.DUMMYFUNCTION("""COMPUTED_VALUE"""),"USA")</f>
        <v>USA</v>
      </c>
      <c r="E1831" s="156">
        <f>IFERROR(__xludf.DUMMYFUNCTION("""COMPUTED_VALUE"""),43646.0)</f>
        <v>43646</v>
      </c>
      <c r="F1831" s="129">
        <f>IFERROR(__xludf.DUMMYFUNCTION("""COMPUTED_VALUE"""),43653.0)</f>
        <v>43653</v>
      </c>
      <c r="G1831" s="154"/>
      <c r="H1831" s="131"/>
      <c r="I1831" s="132" t="str">
        <f>IFERROR(__xludf.DUMMYFUNCTION("""COMPUTED_VALUE"""),"06/19")</f>
        <v>06/19</v>
      </c>
      <c r="J1831" s="129">
        <f>IFERROR(__xludf.DUMMYFUNCTION("""COMPUTED_VALUE"""),43658.0)</f>
        <v>43658</v>
      </c>
      <c r="K1831" s="133">
        <f>IFERROR(__xludf.DUMMYFUNCTION("""COMPUTED_VALUE"""),7.0)</f>
        <v>7</v>
      </c>
      <c r="L1831" s="133">
        <f>IFERROR(__xludf.DUMMYFUNCTION("""COMPUTED_VALUE"""),5.0)</f>
        <v>5</v>
      </c>
      <c r="M1831" s="133">
        <f>IFERROR(__xludf.DUMMYFUNCTION("""COMPUTED_VALUE"""),12.0)</f>
        <v>12</v>
      </c>
      <c r="N1831" s="152" t="str">
        <f>IFERROR(__xludf.DUMMYFUNCTION("""COMPUTED_VALUE"""),"Model 3 SR+")</f>
        <v>Model 3 SR+</v>
      </c>
      <c r="O1831" s="152" t="str">
        <f>IFERROR(__xludf.DUMMYFUNCTION("""COMPUTED_VALUE"""),"Solid Black")</f>
        <v>Solid Black</v>
      </c>
      <c r="P1831" s="153" t="str">
        <f>IFERROR(__xludf.DUMMYFUNCTION("""COMPUTED_VALUE"""),"18 inch Aero")</f>
        <v>18 inch Aero</v>
      </c>
      <c r="Q1831" s="152" t="str">
        <f>IFERROR(__xludf.DUMMYFUNCTION("""COMPUTED_VALUE"""),"Black seats")</f>
        <v>Black seats</v>
      </c>
      <c r="R1831" s="150" t="str">
        <f>IFERROR(__xludf.DUMMYFUNCTION("""COMPUTED_VALUE"""),"Full Self-Driving")</f>
        <v>Full Self-Driving</v>
      </c>
      <c r="S1831" s="150"/>
      <c r="T1831" s="136"/>
      <c r="U1831" s="136"/>
      <c r="V1831" s="136"/>
      <c r="W1831" s="136"/>
      <c r="X1831" s="137" t="str">
        <f>IFERROR(__xludf.DUMMYFUNCTION("""COMPUTED_VALUE"""),"Very Good")</f>
        <v>Very Good</v>
      </c>
      <c r="Y1831" s="138" t="str">
        <f>IFERROR(__xludf.DUMMYFUNCTION("""COMPUTED_VALUE"""),"Very Good")</f>
        <v>Very Good</v>
      </c>
      <c r="Z1831" s="138" t="str">
        <f>IFERROR(__xludf.DUMMYFUNCTION("""COMPUTED_VALUE"""),"Good")</f>
        <v>Good</v>
      </c>
      <c r="AA1831" s="138" t="str">
        <f>IFERROR(__xludf.DUMMYFUNCTION("""COMPUTED_VALUE"""),"Fair")</f>
        <v>Fair</v>
      </c>
      <c r="AB1831" s="138" t="str">
        <f>IFERROR(__xludf.DUMMYFUNCTION("""COMPUTED_VALUE"""),"Good")</f>
        <v>Good</v>
      </c>
      <c r="AC1831" s="139">
        <f>IFERROR(__xludf.DUMMYFUNCTION("""COMPUTED_VALUE"""),4.0)</f>
        <v>4</v>
      </c>
      <c r="AD1831" s="139"/>
      <c r="AE1831" s="139"/>
      <c r="AF1831" s="140"/>
      <c r="AG1831" s="136" t="str">
        <f>IFERROR(__xludf.DUMMYFUNCTION("""COMPUTED_VALUE"""),"Upon delivery on July 10th, discovered cracked windshield. They rescheduled delivery date for July 12th and repaired the windshield. No major issues on rescheduled delivery date.")</f>
        <v>Upon delivery on July 10th, discovered cracked windshield. They rescheduled delivery date for July 12th and repaired the windshield. No major issues on rescheduled delivery date.</v>
      </c>
      <c r="AH1831" s="157">
        <f>IFERROR(__xludf.DUMMYFUNCTION("""COMPUTED_VALUE"""),43660.489068703704)</f>
        <v>43660.48907</v>
      </c>
      <c r="AI1831" s="138"/>
      <c r="AJ1831" s="138"/>
      <c r="AK1831" s="138"/>
      <c r="AL1831" s="142"/>
    </row>
    <row r="1832" ht="20.25" customHeight="1">
      <c r="A1832" s="155" t="str">
        <f>IFERROR(__xludf.DUMMYFUNCTION("""COMPUTED_VALUE"""),"fuji808")</f>
        <v>fuji808</v>
      </c>
      <c r="B1832" s="149" t="str">
        <f>IFERROR(__xludf.DUMMYFUNCTION("""COMPUTED_VALUE"""),"Honolulu")</f>
        <v>Honolulu</v>
      </c>
      <c r="C1832" s="149" t="str">
        <f>IFERROR(__xludf.DUMMYFUNCTION("""COMPUTED_VALUE"""),"HI")</f>
        <v>HI</v>
      </c>
      <c r="D1832" s="149" t="str">
        <f>IFERROR(__xludf.DUMMYFUNCTION("""COMPUTED_VALUE"""),"USA")</f>
        <v>USA</v>
      </c>
      <c r="E1832" s="156">
        <f>IFERROR(__xludf.DUMMYFUNCTION("""COMPUTED_VALUE"""),43643.0)</f>
        <v>43643</v>
      </c>
      <c r="F1832" s="129">
        <f>IFERROR(__xludf.DUMMYFUNCTION("""COMPUTED_VALUE"""),43662.0)</f>
        <v>43662</v>
      </c>
      <c r="G1832" s="154"/>
      <c r="H1832" s="131">
        <f>IFERROR(__xludf.DUMMYFUNCTION("""COMPUTED_VALUE"""),432160.0)</f>
        <v>432160</v>
      </c>
      <c r="I1832" s="144" t="str">
        <f>IFERROR(__xludf.DUMMYFUNCTION("""COMPUTED_VALUE"""),"07/19")</f>
        <v>07/19</v>
      </c>
      <c r="J1832" s="129">
        <f>IFERROR(__xludf.DUMMYFUNCTION("""COMPUTED_VALUE"""),43677.0)</f>
        <v>43677</v>
      </c>
      <c r="K1832" s="133">
        <f>IFERROR(__xludf.DUMMYFUNCTION("""COMPUTED_VALUE"""),19.0)</f>
        <v>19</v>
      </c>
      <c r="L1832" s="133">
        <f>IFERROR(__xludf.DUMMYFUNCTION("""COMPUTED_VALUE"""),15.0)</f>
        <v>15</v>
      </c>
      <c r="M1832" s="133">
        <f>IFERROR(__xludf.DUMMYFUNCTION("""COMPUTED_VALUE"""),34.0)</f>
        <v>34</v>
      </c>
      <c r="N1832" s="152" t="str">
        <f>IFERROR(__xludf.DUMMYFUNCTION("""COMPUTED_VALUE"""),"Model 3 SR+")</f>
        <v>Model 3 SR+</v>
      </c>
      <c r="O1832" s="152" t="str">
        <f>IFERROR(__xludf.DUMMYFUNCTION("""COMPUTED_VALUE"""),"Pearl White Multi-Coat")</f>
        <v>Pearl White Multi-Coat</v>
      </c>
      <c r="P1832" s="153" t="str">
        <f>IFERROR(__xludf.DUMMYFUNCTION("""COMPUTED_VALUE"""),"19 inch Sport")</f>
        <v>19 inch Sport</v>
      </c>
      <c r="Q1832" s="152" t="str">
        <f>IFERROR(__xludf.DUMMYFUNCTION("""COMPUTED_VALUE"""),"White seats")</f>
        <v>White seats</v>
      </c>
      <c r="R1832" s="149" t="str">
        <f>IFERROR(__xludf.DUMMYFUNCTION("""COMPUTED_VALUE"""),"Full Self-Driving")</f>
        <v>Full Self-Driving</v>
      </c>
      <c r="S1832" s="149"/>
      <c r="T1832" s="145"/>
      <c r="U1832" s="145"/>
      <c r="V1832" s="145"/>
      <c r="W1832" s="136"/>
      <c r="X1832" s="137" t="str">
        <f>IFERROR(__xludf.DUMMYFUNCTION("""COMPUTED_VALUE"""),"Excellent")</f>
        <v>Excellent</v>
      </c>
      <c r="Y1832" s="138" t="str">
        <f>IFERROR(__xludf.DUMMYFUNCTION("""COMPUTED_VALUE"""),"Very Good")</f>
        <v>Very Good</v>
      </c>
      <c r="Z1832" s="138" t="str">
        <f>IFERROR(__xludf.DUMMYFUNCTION("""COMPUTED_VALUE"""),"Excellent")</f>
        <v>Excellent</v>
      </c>
      <c r="AA1832" s="138" t="str">
        <f>IFERROR(__xludf.DUMMYFUNCTION("""COMPUTED_VALUE"""),"Good")</f>
        <v>Good</v>
      </c>
      <c r="AB1832" s="138" t="str">
        <f>IFERROR(__xludf.DUMMYFUNCTION("""COMPUTED_VALUE"""),"Excellent")</f>
        <v>Excellent</v>
      </c>
      <c r="AC1832" s="139">
        <f>IFERROR(__xludf.DUMMYFUNCTION("""COMPUTED_VALUE"""),0.0)</f>
        <v>0</v>
      </c>
      <c r="AD1832" s="139">
        <f>IFERROR(__xludf.DUMMYFUNCTION("""COMPUTED_VALUE"""),0.0)</f>
        <v>0</v>
      </c>
      <c r="AE1832" s="139">
        <f>IFERROR(__xludf.DUMMYFUNCTION("""COMPUTED_VALUE"""),0.0)</f>
        <v>0</v>
      </c>
      <c r="AF1832" s="140"/>
      <c r="AG1832" s="136"/>
      <c r="AH1832" s="157">
        <f>IFERROR(__xludf.DUMMYFUNCTION("""COMPUTED_VALUE"""),43683.90453028935)</f>
        <v>43683.90453</v>
      </c>
      <c r="AI1832" s="138"/>
      <c r="AJ1832" s="138"/>
      <c r="AK1832" s="138"/>
      <c r="AL1832" s="142"/>
    </row>
    <row r="1833" ht="20.25" customHeight="1">
      <c r="A1833" s="155" t="str">
        <f>IFERROR(__xludf.DUMMYFUNCTION("""COMPUTED_VALUE"""),"Zorba")</f>
        <v>Zorba</v>
      </c>
      <c r="B1833" s="149" t="str">
        <f>IFERROR(__xludf.DUMMYFUNCTION("""COMPUTED_VALUE"""),"Loppem")</f>
        <v>Loppem</v>
      </c>
      <c r="C1833" s="149"/>
      <c r="D1833" s="149" t="str">
        <f>IFERROR(__xludf.DUMMYFUNCTION("""COMPUTED_VALUE"""),"Belgium")</f>
        <v>Belgium</v>
      </c>
      <c r="E1833" s="156">
        <f>IFERROR(__xludf.DUMMYFUNCTION("""COMPUTED_VALUE"""),43643.0)</f>
        <v>43643</v>
      </c>
      <c r="F1833" s="129">
        <f>IFERROR(__xludf.DUMMYFUNCTION("""COMPUTED_VALUE"""),43646.0)</f>
        <v>43646</v>
      </c>
      <c r="G1833" s="154"/>
      <c r="H1833" s="131">
        <f>IFERROR(__xludf.DUMMYFUNCTION("""COMPUTED_VALUE"""),364116.0)</f>
        <v>364116</v>
      </c>
      <c r="I1833" s="132"/>
      <c r="J1833" s="129">
        <f>IFERROR(__xludf.DUMMYFUNCTION("""COMPUTED_VALUE"""),43665.0)</f>
        <v>43665</v>
      </c>
      <c r="K1833" s="133">
        <f>IFERROR(__xludf.DUMMYFUNCTION("""COMPUTED_VALUE"""),3.0)</f>
        <v>3</v>
      </c>
      <c r="L1833" s="133">
        <f>IFERROR(__xludf.DUMMYFUNCTION("""COMPUTED_VALUE"""),19.0)</f>
        <v>19</v>
      </c>
      <c r="M1833" s="133">
        <f>IFERROR(__xludf.DUMMYFUNCTION("""COMPUTED_VALUE"""),22.0)</f>
        <v>22</v>
      </c>
      <c r="N1833" s="152" t="str">
        <f>IFERROR(__xludf.DUMMYFUNCTION("""COMPUTED_VALUE"""),"Model 3 LR AWD")</f>
        <v>Model 3 LR AWD</v>
      </c>
      <c r="O1833" s="152" t="str">
        <f>IFERROR(__xludf.DUMMYFUNCTION("""COMPUTED_VALUE"""),"Solid Black")</f>
        <v>Solid Black</v>
      </c>
      <c r="P1833" s="153" t="str">
        <f>IFERROR(__xludf.DUMMYFUNCTION("""COMPUTED_VALUE"""),"19 inch Sport")</f>
        <v>19 inch Sport</v>
      </c>
      <c r="Q1833" s="152" t="str">
        <f>IFERROR(__xludf.DUMMYFUNCTION("""COMPUTED_VALUE"""),"Black seats")</f>
        <v>Black seats</v>
      </c>
      <c r="R1833" s="150" t="str">
        <f>IFERROR(__xludf.DUMMYFUNCTION("""COMPUTED_VALUE"""),"Autopilot")</f>
        <v>Autopilot</v>
      </c>
      <c r="S1833" s="150"/>
      <c r="T1833" s="136"/>
      <c r="U1833" s="136"/>
      <c r="V1833" s="136"/>
      <c r="W1833" s="136"/>
      <c r="X1833" s="137" t="str">
        <f>IFERROR(__xludf.DUMMYFUNCTION("""COMPUTED_VALUE"""),"Excellent")</f>
        <v>Excellent</v>
      </c>
      <c r="Y1833" s="138" t="str">
        <f>IFERROR(__xludf.DUMMYFUNCTION("""COMPUTED_VALUE"""),"Good")</f>
        <v>Good</v>
      </c>
      <c r="Z1833" s="138"/>
      <c r="AA1833" s="138" t="str">
        <f>IFERROR(__xludf.DUMMYFUNCTION("""COMPUTED_VALUE"""),"Good")</f>
        <v>Good</v>
      </c>
      <c r="AB1833" s="138" t="str">
        <f>IFERROR(__xludf.DUMMYFUNCTION("""COMPUTED_VALUE"""),"Excellent")</f>
        <v>Excellent</v>
      </c>
      <c r="AC1833" s="139">
        <f>IFERROR(__xludf.DUMMYFUNCTION("""COMPUTED_VALUE"""),2.0)</f>
        <v>2</v>
      </c>
      <c r="AD1833" s="139">
        <f>IFERROR(__xludf.DUMMYFUNCTION("""COMPUTED_VALUE"""),1.0)</f>
        <v>1</v>
      </c>
      <c r="AE1833" s="139">
        <f>IFERROR(__xludf.DUMMYFUNCTION("""COMPUTED_VALUE"""),0.0)</f>
        <v>0</v>
      </c>
      <c r="AF1833" s="140"/>
      <c r="AG1833" s="136"/>
      <c r="AH1833" s="157">
        <f>IFERROR(__xludf.DUMMYFUNCTION("""COMPUTED_VALUE"""),43665.435068460654)</f>
        <v>43665.43507</v>
      </c>
      <c r="AI1833" s="138"/>
      <c r="AJ1833" s="138"/>
      <c r="AK1833" s="138"/>
      <c r="AL1833" s="142"/>
    </row>
    <row r="1834" ht="20.25" customHeight="1">
      <c r="A1834" s="155" t="str">
        <f>IFERROR(__xludf.DUMMYFUNCTION("""COMPUTED_VALUE"""),"mikemi")</f>
        <v>mikemi</v>
      </c>
      <c r="B1834" s="149" t="str">
        <f>IFERROR(__xludf.DUMMYFUNCTION("""COMPUTED_VALUE"""),"Okemos")</f>
        <v>Okemos</v>
      </c>
      <c r="C1834" s="149" t="str">
        <f>IFERROR(__xludf.DUMMYFUNCTION("""COMPUTED_VALUE"""),"MI")</f>
        <v>MI</v>
      </c>
      <c r="D1834" s="149" t="str">
        <f>IFERROR(__xludf.DUMMYFUNCTION("""COMPUTED_VALUE"""),"USA")</f>
        <v>USA</v>
      </c>
      <c r="E1834" s="156">
        <f>IFERROR(__xludf.DUMMYFUNCTION("""COMPUTED_VALUE"""),43642.0)</f>
        <v>43642</v>
      </c>
      <c r="F1834" s="129">
        <f>IFERROR(__xludf.DUMMYFUNCTION("""COMPUTED_VALUE"""),43651.0)</f>
        <v>43651</v>
      </c>
      <c r="G1834" s="154"/>
      <c r="H1834" s="131">
        <f>IFERROR(__xludf.DUMMYFUNCTION("""COMPUTED_VALUE"""),429483.0)</f>
        <v>429483</v>
      </c>
      <c r="I1834" s="132" t="str">
        <f>IFERROR(__xludf.DUMMYFUNCTION("""COMPUTED_VALUE"""),"07/19")</f>
        <v>07/19</v>
      </c>
      <c r="J1834" s="129">
        <f>IFERROR(__xludf.DUMMYFUNCTION("""COMPUTED_VALUE"""),43657.0)</f>
        <v>43657</v>
      </c>
      <c r="K1834" s="133">
        <f>IFERROR(__xludf.DUMMYFUNCTION("""COMPUTED_VALUE"""),9.0)</f>
        <v>9</v>
      </c>
      <c r="L1834" s="133">
        <f>IFERROR(__xludf.DUMMYFUNCTION("""COMPUTED_VALUE"""),6.0)</f>
        <v>6</v>
      </c>
      <c r="M1834" s="133">
        <f>IFERROR(__xludf.DUMMYFUNCTION("""COMPUTED_VALUE"""),15.0)</f>
        <v>15</v>
      </c>
      <c r="N1834" s="152" t="str">
        <f>IFERROR(__xludf.DUMMYFUNCTION("""COMPUTED_VALUE"""),"Model 3 LR AWD")</f>
        <v>Model 3 LR AWD</v>
      </c>
      <c r="O1834" s="152" t="str">
        <f>IFERROR(__xludf.DUMMYFUNCTION("""COMPUTED_VALUE"""),"Pearl White Multi-Coat")</f>
        <v>Pearl White Multi-Coat</v>
      </c>
      <c r="P1834" s="153" t="str">
        <f>IFERROR(__xludf.DUMMYFUNCTION("""COMPUTED_VALUE"""),"19 inch Sport")</f>
        <v>19 inch Sport</v>
      </c>
      <c r="Q1834" s="152" t="str">
        <f>IFERROR(__xludf.DUMMYFUNCTION("""COMPUTED_VALUE"""),"Black seats")</f>
        <v>Black seats</v>
      </c>
      <c r="R1834" s="150" t="str">
        <f>IFERROR(__xludf.DUMMYFUNCTION("""COMPUTED_VALUE"""),"Full Self-Driving")</f>
        <v>Full Self-Driving</v>
      </c>
      <c r="S1834" s="150"/>
      <c r="T1834" s="136"/>
      <c r="U1834" s="136"/>
      <c r="V1834" s="136"/>
      <c r="W1834" s="136"/>
      <c r="X1834" s="137" t="str">
        <f>IFERROR(__xludf.DUMMYFUNCTION("""COMPUTED_VALUE"""),"Excellent")</f>
        <v>Excellent</v>
      </c>
      <c r="Y1834" s="138" t="str">
        <f>IFERROR(__xludf.DUMMYFUNCTION("""COMPUTED_VALUE"""),"Excellent")</f>
        <v>Excellent</v>
      </c>
      <c r="Z1834" s="138" t="str">
        <f>IFERROR(__xludf.DUMMYFUNCTION("""COMPUTED_VALUE"""),"Excellent")</f>
        <v>Excellent</v>
      </c>
      <c r="AA1834" s="138" t="str">
        <f>IFERROR(__xludf.DUMMYFUNCTION("""COMPUTED_VALUE"""),"Excellent")</f>
        <v>Excellent</v>
      </c>
      <c r="AB1834" s="138" t="str">
        <f>IFERROR(__xludf.DUMMYFUNCTION("""COMPUTED_VALUE"""),"Excellent")</f>
        <v>Excellent</v>
      </c>
      <c r="AC1834" s="139"/>
      <c r="AD1834" s="139"/>
      <c r="AE1834" s="139"/>
      <c r="AF1834" s="140"/>
      <c r="AG1834" s="136"/>
      <c r="AH1834" s="157">
        <f>IFERROR(__xludf.DUMMYFUNCTION("""COMPUTED_VALUE"""),43660.13706909722)</f>
        <v>43660.13707</v>
      </c>
      <c r="AI1834" s="138"/>
      <c r="AJ1834" s="138"/>
      <c r="AK1834" s="138"/>
      <c r="AL1834" s="142"/>
    </row>
    <row r="1835" ht="20.25" customHeight="1">
      <c r="A1835" s="155" t="str">
        <f>IFERROR(__xludf.DUMMYFUNCTION("""COMPUTED_VALUE"""),"Acererak")</f>
        <v>Acererak</v>
      </c>
      <c r="B1835" s="149" t="str">
        <f>IFERROR(__xludf.DUMMYFUNCTION("""COMPUTED_VALUE"""),"Neosho")</f>
        <v>Neosho</v>
      </c>
      <c r="C1835" s="149" t="str">
        <f>IFERROR(__xludf.DUMMYFUNCTION("""COMPUTED_VALUE"""),"MO")</f>
        <v>MO</v>
      </c>
      <c r="D1835" s="149" t="str">
        <f>IFERROR(__xludf.DUMMYFUNCTION("""COMPUTED_VALUE"""),"USA")</f>
        <v>USA</v>
      </c>
      <c r="E1835" s="156">
        <f>IFERROR(__xludf.DUMMYFUNCTION("""COMPUTED_VALUE"""),43641.0)</f>
        <v>43641</v>
      </c>
      <c r="F1835" s="129">
        <f>IFERROR(__xludf.DUMMYFUNCTION("""COMPUTED_VALUE"""),43672.0)</f>
        <v>43672</v>
      </c>
      <c r="G1835" s="154"/>
      <c r="H1835" s="131">
        <f>IFERROR(__xludf.DUMMYFUNCTION("""COMPUTED_VALUE"""),440358.0)</f>
        <v>440358</v>
      </c>
      <c r="I1835" s="144"/>
      <c r="J1835" s="129">
        <f>IFERROR(__xludf.DUMMYFUNCTION("""COMPUTED_VALUE"""),43680.0)</f>
        <v>43680</v>
      </c>
      <c r="K1835" s="133">
        <f>IFERROR(__xludf.DUMMYFUNCTION("""COMPUTED_VALUE"""),31.0)</f>
        <v>31</v>
      </c>
      <c r="L1835" s="133">
        <f>IFERROR(__xludf.DUMMYFUNCTION("""COMPUTED_VALUE"""),8.0)</f>
        <v>8</v>
      </c>
      <c r="M1835" s="133">
        <f>IFERROR(__xludf.DUMMYFUNCTION("""COMPUTED_VALUE"""),39.0)</f>
        <v>39</v>
      </c>
      <c r="N1835" s="152" t="str">
        <f>IFERROR(__xludf.DUMMYFUNCTION("""COMPUTED_VALUE"""),"Model 3 Performance")</f>
        <v>Model 3 Performance</v>
      </c>
      <c r="O1835" s="152" t="str">
        <f>IFERROR(__xludf.DUMMYFUNCTION("""COMPUTED_VALUE"""),"Deep Blue Metallic")</f>
        <v>Deep Blue Metallic</v>
      </c>
      <c r="P1835" s="153" t="str">
        <f>IFERROR(__xludf.DUMMYFUNCTION("""COMPUTED_VALUE"""),"20 inch Sport")</f>
        <v>20 inch Sport</v>
      </c>
      <c r="Q1835" s="152" t="str">
        <f>IFERROR(__xludf.DUMMYFUNCTION("""COMPUTED_VALUE"""),"White seats")</f>
        <v>White seats</v>
      </c>
      <c r="R1835" s="149" t="str">
        <f>IFERROR(__xludf.DUMMYFUNCTION("""COMPUTED_VALUE"""),"Full Self-Driving")</f>
        <v>Full Self-Driving</v>
      </c>
      <c r="S1835" s="149"/>
      <c r="T1835" s="145"/>
      <c r="U1835" s="145"/>
      <c r="V1835" s="145"/>
      <c r="W1835" s="136"/>
      <c r="X1835" s="137" t="str">
        <f>IFERROR(__xludf.DUMMYFUNCTION("""COMPUTED_VALUE"""),"Excellent")</f>
        <v>Excellent</v>
      </c>
      <c r="Y1835" s="138" t="str">
        <f>IFERROR(__xludf.DUMMYFUNCTION("""COMPUTED_VALUE"""),"Excellent")</f>
        <v>Excellent</v>
      </c>
      <c r="Z1835" s="138" t="str">
        <f>IFERROR(__xludf.DUMMYFUNCTION("""COMPUTED_VALUE"""),"Very Good")</f>
        <v>Very Good</v>
      </c>
      <c r="AA1835" s="138" t="str">
        <f>IFERROR(__xludf.DUMMYFUNCTION("""COMPUTED_VALUE"""),"Excellent")</f>
        <v>Excellent</v>
      </c>
      <c r="AB1835" s="138" t="str">
        <f>IFERROR(__xludf.DUMMYFUNCTION("""COMPUTED_VALUE"""),"Excellent")</f>
        <v>Excellent</v>
      </c>
      <c r="AC1835" s="139">
        <f>IFERROR(__xludf.DUMMYFUNCTION("""COMPUTED_VALUE"""),1.0)</f>
        <v>1</v>
      </c>
      <c r="AD1835" s="139">
        <f>IFERROR(__xludf.DUMMYFUNCTION("""COMPUTED_VALUE"""),1.0)</f>
        <v>1</v>
      </c>
      <c r="AE1835" s="139">
        <f>IFERROR(__xludf.DUMMYFUNCTION("""COMPUTED_VALUE"""),3.0)</f>
        <v>3</v>
      </c>
      <c r="AF1835" s="140"/>
      <c r="AG1835" s="136" t="str">
        <f>IFERROR(__xludf.DUMMYFUNCTION("""COMPUTED_VALUE"""),"The called me to tell me they took some sticker off that caused paint damage and asked if I wanted to wait for them to fix or get it fixed later(I went with Veruca Salt) and will bring it back up after the homekit comes in to get both done at same time.")</f>
        <v>The called me to tell me they took some sticker off that caused paint damage and asked if I wanted to wait for them to fix or get it fixed later(I went with Veruca Salt) and will bring it back up after the homekit comes in to get both done at same time.</v>
      </c>
      <c r="AH1835" s="157">
        <f>IFERROR(__xludf.DUMMYFUNCTION("""COMPUTED_VALUE"""),43682.58894858797)</f>
        <v>43682.58895</v>
      </c>
      <c r="AI1835" s="138"/>
      <c r="AJ1835" s="138"/>
      <c r="AK1835" s="138"/>
      <c r="AL1835" s="142"/>
    </row>
    <row r="1836" ht="20.25" customHeight="1">
      <c r="A1836" s="155" t="str">
        <f>IFERROR(__xludf.DUMMYFUNCTION("""COMPUTED_VALUE"""),"Grossie")</f>
        <v>Grossie</v>
      </c>
      <c r="B1836" s="149" t="str">
        <f>IFERROR(__xludf.DUMMYFUNCTION("""COMPUTED_VALUE"""),"Chicago")</f>
        <v>Chicago</v>
      </c>
      <c r="C1836" s="149" t="str">
        <f>IFERROR(__xludf.DUMMYFUNCTION("""COMPUTED_VALUE"""),"IL")</f>
        <v>IL</v>
      </c>
      <c r="D1836" s="149" t="str">
        <f>IFERROR(__xludf.DUMMYFUNCTION("""COMPUTED_VALUE"""),"USA")</f>
        <v>USA</v>
      </c>
      <c r="E1836" s="156">
        <f>IFERROR(__xludf.DUMMYFUNCTION("""COMPUTED_VALUE"""),43640.0)</f>
        <v>43640</v>
      </c>
      <c r="F1836" s="129">
        <f>IFERROR(__xludf.DUMMYFUNCTION("""COMPUTED_VALUE"""),43653.0)</f>
        <v>43653</v>
      </c>
      <c r="G1836" s="154"/>
      <c r="H1836" s="131">
        <f>IFERROR(__xludf.DUMMYFUNCTION("""COMPUTED_VALUE"""),385469.0)</f>
        <v>385469</v>
      </c>
      <c r="I1836" s="132" t="str">
        <f>IFERROR(__xludf.DUMMYFUNCTION("""COMPUTED_VALUE"""),"06/19")</f>
        <v>06/19</v>
      </c>
      <c r="J1836" s="129">
        <f>IFERROR(__xludf.DUMMYFUNCTION("""COMPUTED_VALUE"""),43654.0)</f>
        <v>43654</v>
      </c>
      <c r="K1836" s="133">
        <f>IFERROR(__xludf.DUMMYFUNCTION("""COMPUTED_VALUE"""),13.0)</f>
        <v>13</v>
      </c>
      <c r="L1836" s="133">
        <f>IFERROR(__xludf.DUMMYFUNCTION("""COMPUTED_VALUE"""),1.0)</f>
        <v>1</v>
      </c>
      <c r="M1836" s="133">
        <f>IFERROR(__xludf.DUMMYFUNCTION("""COMPUTED_VALUE"""),14.0)</f>
        <v>14</v>
      </c>
      <c r="N1836" s="152" t="str">
        <f>IFERROR(__xludf.DUMMYFUNCTION("""COMPUTED_VALUE"""),"Model 3 LR AWD")</f>
        <v>Model 3 LR AWD</v>
      </c>
      <c r="O1836" s="152" t="str">
        <f>IFERROR(__xludf.DUMMYFUNCTION("""COMPUTED_VALUE"""),"Solid Black")</f>
        <v>Solid Black</v>
      </c>
      <c r="P1836" s="153" t="str">
        <f>IFERROR(__xludf.DUMMYFUNCTION("""COMPUTED_VALUE"""),"18 inch Aero")</f>
        <v>18 inch Aero</v>
      </c>
      <c r="Q1836" s="152" t="str">
        <f>IFERROR(__xludf.DUMMYFUNCTION("""COMPUTED_VALUE"""),"Black seats")</f>
        <v>Black seats</v>
      </c>
      <c r="R1836" s="150" t="str">
        <f>IFERROR(__xludf.DUMMYFUNCTION("""COMPUTED_VALUE"""),"Autopilot")</f>
        <v>Autopilot</v>
      </c>
      <c r="S1836" s="150"/>
      <c r="T1836" s="136"/>
      <c r="U1836" s="136"/>
      <c r="V1836" s="136"/>
      <c r="W1836" s="136"/>
      <c r="X1836" s="137" t="str">
        <f>IFERROR(__xludf.DUMMYFUNCTION("""COMPUTED_VALUE"""),"Excellent")</f>
        <v>Excellent</v>
      </c>
      <c r="Y1836" s="138" t="str">
        <f>IFERROR(__xludf.DUMMYFUNCTION("""COMPUTED_VALUE"""),"Excellent")</f>
        <v>Excellent</v>
      </c>
      <c r="Z1836" s="138" t="str">
        <f>IFERROR(__xludf.DUMMYFUNCTION("""COMPUTED_VALUE"""),"Excellent")</f>
        <v>Excellent</v>
      </c>
      <c r="AA1836" s="138" t="str">
        <f>IFERROR(__xludf.DUMMYFUNCTION("""COMPUTED_VALUE"""),"Excellent")</f>
        <v>Excellent</v>
      </c>
      <c r="AB1836" s="138" t="str">
        <f>IFERROR(__xludf.DUMMYFUNCTION("""COMPUTED_VALUE"""),"Excellent")</f>
        <v>Excellent</v>
      </c>
      <c r="AC1836" s="139">
        <f>IFERROR(__xludf.DUMMYFUNCTION("""COMPUTED_VALUE"""),0.0)</f>
        <v>0</v>
      </c>
      <c r="AD1836" s="139"/>
      <c r="AE1836" s="139"/>
      <c r="AF1836" s="140"/>
      <c r="AG1836" s="136"/>
      <c r="AH1836" s="157">
        <f>IFERROR(__xludf.DUMMYFUNCTION("""COMPUTED_VALUE"""),43654.76586465277)</f>
        <v>43654.76586</v>
      </c>
      <c r="AI1836" s="138"/>
      <c r="AJ1836" s="138"/>
      <c r="AK1836" s="138"/>
      <c r="AL1836" s="142"/>
    </row>
    <row r="1837" ht="20.25" customHeight="1">
      <c r="A1837" s="155" t="str">
        <f>IFERROR(__xludf.DUMMYFUNCTION("""COMPUTED_VALUE"""),"Greglorious")</f>
        <v>Greglorious</v>
      </c>
      <c r="B1837" s="149" t="str">
        <f>IFERROR(__xludf.DUMMYFUNCTION("""COMPUTED_VALUE"""),"Jacksonville")</f>
        <v>Jacksonville</v>
      </c>
      <c r="C1837" s="149" t="str">
        <f>IFERROR(__xludf.DUMMYFUNCTION("""COMPUTED_VALUE"""),"FL")</f>
        <v>FL</v>
      </c>
      <c r="D1837" s="149" t="str">
        <f>IFERROR(__xludf.DUMMYFUNCTION("""COMPUTED_VALUE"""),"USA")</f>
        <v>USA</v>
      </c>
      <c r="E1837" s="156">
        <f>IFERROR(__xludf.DUMMYFUNCTION("""COMPUTED_VALUE"""),43638.0)</f>
        <v>43638</v>
      </c>
      <c r="F1837" s="129">
        <f>IFERROR(__xludf.DUMMYFUNCTION("""COMPUTED_VALUE"""),43639.0)</f>
        <v>43639</v>
      </c>
      <c r="G1837" s="154"/>
      <c r="H1837" s="131">
        <f>IFERROR(__xludf.DUMMYFUNCTION("""COMPUTED_VALUE"""),406437.0)</f>
        <v>406437</v>
      </c>
      <c r="I1837" s="132" t="str">
        <f>IFERROR(__xludf.DUMMYFUNCTION("""COMPUTED_VALUE"""),"06/19")</f>
        <v>06/19</v>
      </c>
      <c r="J1837" s="129">
        <f>IFERROR(__xludf.DUMMYFUNCTION("""COMPUTED_VALUE"""),43642.0)</f>
        <v>43642</v>
      </c>
      <c r="K1837" s="133">
        <f>IFERROR(__xludf.DUMMYFUNCTION("""COMPUTED_VALUE"""),1.0)</f>
        <v>1</v>
      </c>
      <c r="L1837" s="133">
        <f>IFERROR(__xludf.DUMMYFUNCTION("""COMPUTED_VALUE"""),3.0)</f>
        <v>3</v>
      </c>
      <c r="M1837" s="133">
        <f>IFERROR(__xludf.DUMMYFUNCTION("""COMPUTED_VALUE"""),4.0)</f>
        <v>4</v>
      </c>
      <c r="N1837" s="152" t="str">
        <f>IFERROR(__xludf.DUMMYFUNCTION("""COMPUTED_VALUE"""),"Model 3 SR+")</f>
        <v>Model 3 SR+</v>
      </c>
      <c r="O1837" s="152" t="str">
        <f>IFERROR(__xludf.DUMMYFUNCTION("""COMPUTED_VALUE"""),"Deep Blue Metallic")</f>
        <v>Deep Blue Metallic</v>
      </c>
      <c r="P1837" s="153" t="str">
        <f>IFERROR(__xludf.DUMMYFUNCTION("""COMPUTED_VALUE"""),"18 inch Aero")</f>
        <v>18 inch Aero</v>
      </c>
      <c r="Q1837" s="152" t="str">
        <f>IFERROR(__xludf.DUMMYFUNCTION("""COMPUTED_VALUE"""),"Black seats")</f>
        <v>Black seats</v>
      </c>
      <c r="R1837" s="150" t="str">
        <f>IFERROR(__xludf.DUMMYFUNCTION("""COMPUTED_VALUE"""),"Autopilot")</f>
        <v>Autopilot</v>
      </c>
      <c r="S1837" s="150"/>
      <c r="T1837" s="136"/>
      <c r="U1837" s="136"/>
      <c r="V1837" s="136"/>
      <c r="W1837" s="136"/>
      <c r="X1837" s="137" t="str">
        <f>IFERROR(__xludf.DUMMYFUNCTION("""COMPUTED_VALUE"""),"Excellent")</f>
        <v>Excellent</v>
      </c>
      <c r="Y1837" s="138" t="str">
        <f>IFERROR(__xludf.DUMMYFUNCTION("""COMPUTED_VALUE"""),"Excellent")</f>
        <v>Excellent</v>
      </c>
      <c r="Z1837" s="138" t="str">
        <f>IFERROR(__xludf.DUMMYFUNCTION("""COMPUTED_VALUE"""),"Excellent")</f>
        <v>Excellent</v>
      </c>
      <c r="AA1837" s="138" t="str">
        <f>IFERROR(__xludf.DUMMYFUNCTION("""COMPUTED_VALUE"""),"Excellent")</f>
        <v>Excellent</v>
      </c>
      <c r="AB1837" s="138" t="str">
        <f>IFERROR(__xludf.DUMMYFUNCTION("""COMPUTED_VALUE"""),"Excellent")</f>
        <v>Excellent</v>
      </c>
      <c r="AC1837" s="139">
        <f>IFERROR(__xludf.DUMMYFUNCTION("""COMPUTED_VALUE"""),0.0)</f>
        <v>0</v>
      </c>
      <c r="AD1837" s="139"/>
      <c r="AE1837" s="139"/>
      <c r="AF1837" s="140"/>
      <c r="AG1837" s="136"/>
      <c r="AH1837" s="157">
        <f>IFERROR(__xludf.DUMMYFUNCTION("""COMPUTED_VALUE"""),43667.25576148148)</f>
        <v>43667.25576</v>
      </c>
      <c r="AI1837" s="138"/>
      <c r="AJ1837" s="138"/>
      <c r="AK1837" s="138"/>
      <c r="AL1837" s="142"/>
    </row>
    <row r="1838" ht="20.25" customHeight="1">
      <c r="A1838" s="155" t="str">
        <f>IFERROR(__xludf.DUMMYFUNCTION("""COMPUTED_VALUE"""),"ElonsBro")</f>
        <v>ElonsBro</v>
      </c>
      <c r="B1838" s="149" t="str">
        <f>IFERROR(__xludf.DUMMYFUNCTION("""COMPUTED_VALUE"""),"Denver")</f>
        <v>Denver</v>
      </c>
      <c r="C1838" s="149" t="str">
        <f>IFERROR(__xludf.DUMMYFUNCTION("""COMPUTED_VALUE"""),"CO")</f>
        <v>CO</v>
      </c>
      <c r="D1838" s="149" t="str">
        <f>IFERROR(__xludf.DUMMYFUNCTION("""COMPUTED_VALUE"""),"USA")</f>
        <v>USA</v>
      </c>
      <c r="E1838" s="156">
        <f>IFERROR(__xludf.DUMMYFUNCTION("""COMPUTED_VALUE"""),43637.0)</f>
        <v>43637</v>
      </c>
      <c r="F1838" s="129"/>
      <c r="G1838" s="154"/>
      <c r="H1838" s="131"/>
      <c r="I1838" s="144"/>
      <c r="J1838" s="129">
        <f>IFERROR(__xludf.DUMMYFUNCTION("""COMPUTED_VALUE"""),43644.0)</f>
        <v>43644</v>
      </c>
      <c r="K1838" s="133"/>
      <c r="L1838" s="133"/>
      <c r="M1838" s="133">
        <f>IFERROR(__xludf.DUMMYFUNCTION("""COMPUTED_VALUE"""),7.0)</f>
        <v>7</v>
      </c>
      <c r="N1838" s="152" t="str">
        <f>IFERROR(__xludf.DUMMYFUNCTION("""COMPUTED_VALUE"""),"Model 3 SR+")</f>
        <v>Model 3 SR+</v>
      </c>
      <c r="O1838" s="152" t="str">
        <f>IFERROR(__xludf.DUMMYFUNCTION("""COMPUTED_VALUE"""),"Deep Blue Metallic")</f>
        <v>Deep Blue Metallic</v>
      </c>
      <c r="P1838" s="153" t="str">
        <f>IFERROR(__xludf.DUMMYFUNCTION("""COMPUTED_VALUE"""),"19 inch Sport")</f>
        <v>19 inch Sport</v>
      </c>
      <c r="Q1838" s="152" t="str">
        <f>IFERROR(__xludf.DUMMYFUNCTION("""COMPUTED_VALUE"""),"White seats")</f>
        <v>White seats</v>
      </c>
      <c r="R1838" s="149" t="str">
        <f>IFERROR(__xludf.DUMMYFUNCTION("""COMPUTED_VALUE"""),"Autopilot")</f>
        <v>Autopilot</v>
      </c>
      <c r="S1838" s="149"/>
      <c r="T1838" s="145"/>
      <c r="U1838" s="145"/>
      <c r="V1838" s="145"/>
      <c r="W1838" s="145"/>
      <c r="X1838" s="137" t="str">
        <f>IFERROR(__xludf.DUMMYFUNCTION("""COMPUTED_VALUE"""),"Good")</f>
        <v>Good</v>
      </c>
      <c r="Y1838" s="138" t="str">
        <f>IFERROR(__xludf.DUMMYFUNCTION("""COMPUTED_VALUE"""),"Good")</f>
        <v>Good</v>
      </c>
      <c r="Z1838" s="138" t="str">
        <f>IFERROR(__xludf.DUMMYFUNCTION("""COMPUTED_VALUE"""),"Good")</f>
        <v>Good</v>
      </c>
      <c r="AA1838" s="138" t="str">
        <f>IFERROR(__xludf.DUMMYFUNCTION("""COMPUTED_VALUE"""),"Good")</f>
        <v>Good</v>
      </c>
      <c r="AB1838" s="138"/>
      <c r="AC1838" s="139">
        <f>IFERROR(__xludf.DUMMYFUNCTION("""COMPUTED_VALUE"""),0.0)</f>
        <v>0</v>
      </c>
      <c r="AD1838" s="139"/>
      <c r="AE1838" s="139"/>
      <c r="AF1838" s="140"/>
      <c r="AG1838" s="145"/>
      <c r="AH1838" s="157">
        <f>IFERROR(__xludf.DUMMYFUNCTION("""COMPUTED_VALUE"""),43714.3450641088)</f>
        <v>43714.34506</v>
      </c>
      <c r="AI1838" s="138"/>
      <c r="AJ1838" s="138"/>
      <c r="AK1838" s="138"/>
      <c r="AL1838" s="142"/>
    </row>
    <row r="1839" ht="20.25" customHeight="1">
      <c r="A1839" s="155" t="str">
        <f>IFERROR(__xludf.DUMMYFUNCTION("""COMPUTED_VALUE"""),"electricM3")</f>
        <v>electricM3</v>
      </c>
      <c r="B1839" s="149" t="str">
        <f>IFERROR(__xludf.DUMMYFUNCTION("""COMPUTED_VALUE"""),"Toronto")</f>
        <v>Toronto</v>
      </c>
      <c r="C1839" s="149" t="str">
        <f>IFERROR(__xludf.DUMMYFUNCTION("""COMPUTED_VALUE"""),"ON")</f>
        <v>ON</v>
      </c>
      <c r="D1839" s="149" t="str">
        <f>IFERROR(__xludf.DUMMYFUNCTION("""COMPUTED_VALUE"""),"Canada")</f>
        <v>Canada</v>
      </c>
      <c r="E1839" s="156">
        <f>IFERROR(__xludf.DUMMYFUNCTION("""COMPUTED_VALUE"""),43636.0)</f>
        <v>43636</v>
      </c>
      <c r="F1839" s="129">
        <f>IFERROR(__xludf.DUMMYFUNCTION("""COMPUTED_VALUE"""),43652.0)</f>
        <v>43652</v>
      </c>
      <c r="G1839" s="154"/>
      <c r="H1839" s="131">
        <f>IFERROR(__xludf.DUMMYFUNCTION("""COMPUTED_VALUE"""),421055.0)</f>
        <v>421055</v>
      </c>
      <c r="I1839" s="144" t="str">
        <f>IFERROR(__xludf.DUMMYFUNCTION("""COMPUTED_VALUE"""),"07/19")</f>
        <v>07/19</v>
      </c>
      <c r="J1839" s="129">
        <f>IFERROR(__xludf.DUMMYFUNCTION("""COMPUTED_VALUE"""),43668.0)</f>
        <v>43668</v>
      </c>
      <c r="K1839" s="133">
        <f>IFERROR(__xludf.DUMMYFUNCTION("""COMPUTED_VALUE"""),16.0)</f>
        <v>16</v>
      </c>
      <c r="L1839" s="133">
        <f>IFERROR(__xludf.DUMMYFUNCTION("""COMPUTED_VALUE"""),16.0)</f>
        <v>16</v>
      </c>
      <c r="M1839" s="133">
        <f>IFERROR(__xludf.DUMMYFUNCTION("""COMPUTED_VALUE"""),32.0)</f>
        <v>32</v>
      </c>
      <c r="N1839" s="152" t="str">
        <f>IFERROR(__xludf.DUMMYFUNCTION("""COMPUTED_VALUE"""),"Model 3 SR+")</f>
        <v>Model 3 SR+</v>
      </c>
      <c r="O1839" s="152" t="str">
        <f>IFERROR(__xludf.DUMMYFUNCTION("""COMPUTED_VALUE"""),"Pearl White Multi-Coat")</f>
        <v>Pearl White Multi-Coat</v>
      </c>
      <c r="P1839" s="153" t="str">
        <f>IFERROR(__xludf.DUMMYFUNCTION("""COMPUTED_VALUE"""),"18 inch Aero")</f>
        <v>18 inch Aero</v>
      </c>
      <c r="Q1839" s="152" t="str">
        <f>IFERROR(__xludf.DUMMYFUNCTION("""COMPUTED_VALUE"""),"Black seats")</f>
        <v>Black seats</v>
      </c>
      <c r="R1839" s="149" t="str">
        <f>IFERROR(__xludf.DUMMYFUNCTION("""COMPUTED_VALUE"""),"Autopilot")</f>
        <v>Autopilot</v>
      </c>
      <c r="S1839" s="149"/>
      <c r="T1839" s="145"/>
      <c r="U1839" s="145"/>
      <c r="V1839" s="145"/>
      <c r="W1839" s="145"/>
      <c r="X1839" s="137" t="str">
        <f>IFERROR(__xludf.DUMMYFUNCTION("""COMPUTED_VALUE"""),"Excellent")</f>
        <v>Excellent</v>
      </c>
      <c r="Y1839" s="138" t="str">
        <f>IFERROR(__xludf.DUMMYFUNCTION("""COMPUTED_VALUE"""),"Excellent")</f>
        <v>Excellent</v>
      </c>
      <c r="Z1839" s="138" t="str">
        <f>IFERROR(__xludf.DUMMYFUNCTION("""COMPUTED_VALUE"""),"Excellent")</f>
        <v>Excellent</v>
      </c>
      <c r="AA1839" s="138" t="str">
        <f>IFERROR(__xludf.DUMMYFUNCTION("""COMPUTED_VALUE"""),"Fair")</f>
        <v>Fair</v>
      </c>
      <c r="AB1839" s="138" t="str">
        <f>IFERROR(__xludf.DUMMYFUNCTION("""COMPUTED_VALUE"""),"Very Good")</f>
        <v>Very Good</v>
      </c>
      <c r="AC1839" s="139">
        <f>IFERROR(__xludf.DUMMYFUNCTION("""COMPUTED_VALUE"""),5.0)</f>
        <v>5</v>
      </c>
      <c r="AD1839" s="139"/>
      <c r="AE1839" s="139"/>
      <c r="AF1839" s="140"/>
      <c r="AG1839" s="136"/>
      <c r="AH1839" s="157">
        <f>IFERROR(__xludf.DUMMYFUNCTION("""COMPUTED_VALUE"""),43668.858691608795)</f>
        <v>43668.85869</v>
      </c>
      <c r="AI1839" s="138"/>
      <c r="AJ1839" s="138"/>
      <c r="AK1839" s="138"/>
      <c r="AL1839" s="142"/>
    </row>
    <row r="1840" ht="20.25" customHeight="1">
      <c r="A1840" s="155" t="str">
        <f>IFERROR(__xludf.DUMMYFUNCTION("""COMPUTED_VALUE"""),"Ben")</f>
        <v>Ben</v>
      </c>
      <c r="B1840" s="149" t="str">
        <f>IFERROR(__xludf.DUMMYFUNCTION("""COMPUTED_VALUE"""),"Maui")</f>
        <v>Maui</v>
      </c>
      <c r="C1840" s="149" t="str">
        <f>IFERROR(__xludf.DUMMYFUNCTION("""COMPUTED_VALUE"""),"HI")</f>
        <v>HI</v>
      </c>
      <c r="D1840" s="149" t="str">
        <f>IFERROR(__xludf.DUMMYFUNCTION("""COMPUTED_VALUE"""),"USA")</f>
        <v>USA</v>
      </c>
      <c r="E1840" s="156">
        <f>IFERROR(__xludf.DUMMYFUNCTION("""COMPUTED_VALUE"""),43635.0)</f>
        <v>43635</v>
      </c>
      <c r="F1840" s="129">
        <f>IFERROR(__xludf.DUMMYFUNCTION("""COMPUTED_VALUE"""),43692.0)</f>
        <v>43692</v>
      </c>
      <c r="G1840" s="154"/>
      <c r="H1840" s="131">
        <f>IFERROR(__xludf.DUMMYFUNCTION("""COMPUTED_VALUE"""),421655.0)</f>
        <v>421655</v>
      </c>
      <c r="I1840" s="132"/>
      <c r="J1840" s="129">
        <f>IFERROR(__xludf.DUMMYFUNCTION("""COMPUTED_VALUE"""),43703.0)</f>
        <v>43703</v>
      </c>
      <c r="K1840" s="133">
        <f>IFERROR(__xludf.DUMMYFUNCTION("""COMPUTED_VALUE"""),57.0)</f>
        <v>57</v>
      </c>
      <c r="L1840" s="133">
        <f>IFERROR(__xludf.DUMMYFUNCTION("""COMPUTED_VALUE"""),11.0)</f>
        <v>11</v>
      </c>
      <c r="M1840" s="133">
        <f>IFERROR(__xludf.DUMMYFUNCTION("""COMPUTED_VALUE"""),68.0)</f>
        <v>68</v>
      </c>
      <c r="N1840" s="152" t="str">
        <f>IFERROR(__xludf.DUMMYFUNCTION("""COMPUTED_VALUE"""),"Model 3 LR AWD")</f>
        <v>Model 3 LR AWD</v>
      </c>
      <c r="O1840" s="152" t="str">
        <f>IFERROR(__xludf.DUMMYFUNCTION("""COMPUTED_VALUE"""),"Pearl White Multi-Coat")</f>
        <v>Pearl White Multi-Coat</v>
      </c>
      <c r="P1840" s="153" t="str">
        <f>IFERROR(__xludf.DUMMYFUNCTION("""COMPUTED_VALUE"""),"18 inch Aero")</f>
        <v>18 inch Aero</v>
      </c>
      <c r="Q1840" s="152" t="str">
        <f>IFERROR(__xludf.DUMMYFUNCTION("""COMPUTED_VALUE"""),"White seats")</f>
        <v>White seats</v>
      </c>
      <c r="R1840" s="150" t="str">
        <f>IFERROR(__xludf.DUMMYFUNCTION("""COMPUTED_VALUE"""),"Autopilot")</f>
        <v>Autopilot</v>
      </c>
      <c r="S1840" s="150"/>
      <c r="T1840" s="136"/>
      <c r="U1840" s="136"/>
      <c r="V1840" s="136"/>
      <c r="W1840" s="136"/>
      <c r="X1840" s="137" t="str">
        <f>IFERROR(__xludf.DUMMYFUNCTION("""COMPUTED_VALUE"""),"Good")</f>
        <v>Good</v>
      </c>
      <c r="Y1840" s="138" t="str">
        <f>IFERROR(__xludf.DUMMYFUNCTION("""COMPUTED_VALUE"""),"Very Good")</f>
        <v>Very Good</v>
      </c>
      <c r="Z1840" s="138" t="str">
        <f>IFERROR(__xludf.DUMMYFUNCTION("""COMPUTED_VALUE"""),"Very Good")</f>
        <v>Very Good</v>
      </c>
      <c r="AA1840" s="138" t="str">
        <f>IFERROR(__xludf.DUMMYFUNCTION("""COMPUTED_VALUE"""),"Fair")</f>
        <v>Fair</v>
      </c>
      <c r="AB1840" s="138" t="str">
        <f>IFERROR(__xludf.DUMMYFUNCTION("""COMPUTED_VALUE"""),"Fair")</f>
        <v>Fair</v>
      </c>
      <c r="AC1840" s="139"/>
      <c r="AD1840" s="139"/>
      <c r="AE1840" s="139"/>
      <c r="AF1840" s="140"/>
      <c r="AG1840" s="136"/>
      <c r="AH1840" s="157">
        <f>IFERROR(__xludf.DUMMYFUNCTION("""COMPUTED_VALUE"""),43708.10300996527)</f>
        <v>43708.10301</v>
      </c>
      <c r="AI1840" s="138"/>
      <c r="AJ1840" s="138"/>
      <c r="AK1840" s="138"/>
      <c r="AL1840" s="142"/>
    </row>
    <row r="1841" ht="20.25" customHeight="1">
      <c r="A1841" s="155" t="str">
        <f>IFERROR(__xludf.DUMMYFUNCTION("""COMPUTED_VALUE"""),"scenicroadways")</f>
        <v>scenicroadways</v>
      </c>
      <c r="B1841" s="149" t="str">
        <f>IFERROR(__xludf.DUMMYFUNCTION("""COMPUTED_VALUE"""),"Milwaukee")</f>
        <v>Milwaukee</v>
      </c>
      <c r="C1841" s="149" t="str">
        <f>IFERROR(__xludf.DUMMYFUNCTION("""COMPUTED_VALUE"""),"WI")</f>
        <v>WI</v>
      </c>
      <c r="D1841" s="149" t="str">
        <f>IFERROR(__xludf.DUMMYFUNCTION("""COMPUTED_VALUE"""),"USA")</f>
        <v>USA</v>
      </c>
      <c r="E1841" s="156">
        <f>IFERROR(__xludf.DUMMYFUNCTION("""COMPUTED_VALUE"""),43635.0)</f>
        <v>43635</v>
      </c>
      <c r="F1841" s="129">
        <f>IFERROR(__xludf.DUMMYFUNCTION("""COMPUTED_VALUE"""),44422.0)</f>
        <v>44422</v>
      </c>
      <c r="G1841" s="154" t="str">
        <f>IFERROR(__xludf.DUMMYFUNCTION("""COMPUTED_VALUE"""),"Manage order page (normal text)")</f>
        <v>Manage order page (normal text)</v>
      </c>
      <c r="H1841" s="131"/>
      <c r="I1841" s="132"/>
      <c r="J1841" s="129">
        <f>IFERROR(__xludf.DUMMYFUNCTION("""COMPUTED_VALUE"""),43694.0)</f>
        <v>43694</v>
      </c>
      <c r="K1841" s="133"/>
      <c r="L1841" s="133"/>
      <c r="M1841" s="133">
        <f>IFERROR(__xludf.DUMMYFUNCTION("""COMPUTED_VALUE"""),59.0)</f>
        <v>59</v>
      </c>
      <c r="N1841" s="152" t="str">
        <f>IFERROR(__xludf.DUMMYFUNCTION("""COMPUTED_VALUE"""),"Model 3 LR AWD")</f>
        <v>Model 3 LR AWD</v>
      </c>
      <c r="O1841" s="152" t="str">
        <f>IFERROR(__xludf.DUMMYFUNCTION("""COMPUTED_VALUE"""),"Solid Black")</f>
        <v>Solid Black</v>
      </c>
      <c r="P1841" s="153" t="str">
        <f>IFERROR(__xludf.DUMMYFUNCTION("""COMPUTED_VALUE"""),"18 inch")</f>
        <v>18 inch</v>
      </c>
      <c r="Q1841" s="152" t="str">
        <f>IFERROR(__xludf.DUMMYFUNCTION("""COMPUTED_VALUE"""),"Black and White")</f>
        <v>Black and White</v>
      </c>
      <c r="R1841" s="150" t="str">
        <f>IFERROR(__xludf.DUMMYFUNCTION("""COMPUTED_VALUE"""),"Autopilot included")</f>
        <v>Autopilot included</v>
      </c>
      <c r="S1841" s="150" t="str">
        <f>IFERROR(__xludf.DUMMYFUNCTION("""COMPUTED_VALUE"""),"Loan")</f>
        <v>Loan</v>
      </c>
      <c r="T1841" s="136" t="str">
        <f>IFERROR(__xludf.DUMMYFUNCTION("""COMPUTED_VALUE"""),"Tesla Model 3")</f>
        <v>Tesla Model 3</v>
      </c>
      <c r="U1841" s="136" t="str">
        <f>IFERROR(__xludf.DUMMYFUNCTION("""COMPUTED_VALUE"""),"power")</f>
        <v>power</v>
      </c>
      <c r="V1841" s="136"/>
      <c r="W1841" s="136"/>
      <c r="X1841" s="137"/>
      <c r="Y1841" s="138"/>
      <c r="Z1841" s="138"/>
      <c r="AA1841" s="138"/>
      <c r="AB1841" s="138"/>
      <c r="AC1841" s="139"/>
      <c r="AD1841" s="139"/>
      <c r="AE1841" s="139"/>
      <c r="AF1841" s="140"/>
      <c r="AG1841" s="136"/>
      <c r="AH1841" s="157">
        <f>IFERROR(__xludf.DUMMYFUNCTION("""COMPUTED_VALUE"""),44422.60642678241)</f>
        <v>44422.60643</v>
      </c>
      <c r="AI1841" s="138"/>
      <c r="AJ1841" s="138"/>
      <c r="AK1841" s="138"/>
      <c r="AL1841" s="142"/>
    </row>
    <row r="1842" ht="20.25" customHeight="1">
      <c r="A1842" s="155" t="str">
        <f>IFERROR(__xludf.DUMMYFUNCTION("""COMPUTED_VALUE"""),"danix")</f>
        <v>danix</v>
      </c>
      <c r="B1842" s="149" t="str">
        <f>IFERROR(__xludf.DUMMYFUNCTION("""COMPUTED_VALUE"""),"Alamo")</f>
        <v>Alamo</v>
      </c>
      <c r="C1842" s="149" t="str">
        <f>IFERROR(__xludf.DUMMYFUNCTION("""COMPUTED_VALUE"""),"CA")</f>
        <v>CA</v>
      </c>
      <c r="D1842" s="149" t="str">
        <f>IFERROR(__xludf.DUMMYFUNCTION("""COMPUTED_VALUE"""),"USA")</f>
        <v>USA</v>
      </c>
      <c r="E1842" s="156">
        <f>IFERROR(__xludf.DUMMYFUNCTION("""COMPUTED_VALUE"""),43634.0)</f>
        <v>43634</v>
      </c>
      <c r="F1842" s="129">
        <f>IFERROR(__xludf.DUMMYFUNCTION("""COMPUTED_VALUE"""),43636.0)</f>
        <v>43636</v>
      </c>
      <c r="G1842" s="154"/>
      <c r="H1842" s="131">
        <f>IFERROR(__xludf.DUMMYFUNCTION("""COMPUTED_VALUE"""),401003.0)</f>
        <v>401003</v>
      </c>
      <c r="I1842" s="144" t="str">
        <f>IFERROR(__xludf.DUMMYFUNCTION("""COMPUTED_VALUE"""),"06/19")</f>
        <v>06/19</v>
      </c>
      <c r="J1842" s="129">
        <f>IFERROR(__xludf.DUMMYFUNCTION("""COMPUTED_VALUE"""),43638.0)</f>
        <v>43638</v>
      </c>
      <c r="K1842" s="133">
        <f>IFERROR(__xludf.DUMMYFUNCTION("""COMPUTED_VALUE"""),2.0)</f>
        <v>2</v>
      </c>
      <c r="L1842" s="133">
        <f>IFERROR(__xludf.DUMMYFUNCTION("""COMPUTED_VALUE"""),2.0)</f>
        <v>2</v>
      </c>
      <c r="M1842" s="133">
        <f>IFERROR(__xludf.DUMMYFUNCTION("""COMPUTED_VALUE"""),4.0)</f>
        <v>4</v>
      </c>
      <c r="N1842" s="152" t="str">
        <f>IFERROR(__xludf.DUMMYFUNCTION("""COMPUTED_VALUE"""),"Model 3 SR+")</f>
        <v>Model 3 SR+</v>
      </c>
      <c r="O1842" s="152" t="str">
        <f>IFERROR(__xludf.DUMMYFUNCTION("""COMPUTED_VALUE"""),"Deep Blue Metallic")</f>
        <v>Deep Blue Metallic</v>
      </c>
      <c r="P1842" s="153" t="str">
        <f>IFERROR(__xludf.DUMMYFUNCTION("""COMPUTED_VALUE"""),"18 inch Aero")</f>
        <v>18 inch Aero</v>
      </c>
      <c r="Q1842" s="152" t="str">
        <f>IFERROR(__xludf.DUMMYFUNCTION("""COMPUTED_VALUE"""),"Black seats")</f>
        <v>Black seats</v>
      </c>
      <c r="R1842" s="149" t="str">
        <f>IFERROR(__xludf.DUMMYFUNCTION("""COMPUTED_VALUE"""),"Autopilot")</f>
        <v>Autopilot</v>
      </c>
      <c r="S1842" s="149"/>
      <c r="T1842" s="145"/>
      <c r="U1842" s="145"/>
      <c r="V1842" s="145"/>
      <c r="W1842" s="145"/>
      <c r="X1842" s="137" t="str">
        <f>IFERROR(__xludf.DUMMYFUNCTION("""COMPUTED_VALUE"""),"Excellent")</f>
        <v>Excellent</v>
      </c>
      <c r="Y1842" s="138" t="str">
        <f>IFERROR(__xludf.DUMMYFUNCTION("""COMPUTED_VALUE"""),"Excellent")</f>
        <v>Excellent</v>
      </c>
      <c r="Z1842" s="138" t="str">
        <f>IFERROR(__xludf.DUMMYFUNCTION("""COMPUTED_VALUE"""),"Very Good")</f>
        <v>Very Good</v>
      </c>
      <c r="AA1842" s="138" t="str">
        <f>IFERROR(__xludf.DUMMYFUNCTION("""COMPUTED_VALUE"""),"Very Good")</f>
        <v>Very Good</v>
      </c>
      <c r="AB1842" s="138" t="str">
        <f>IFERROR(__xludf.DUMMYFUNCTION("""COMPUTED_VALUE"""),"Very Good")</f>
        <v>Very Good</v>
      </c>
      <c r="AC1842" s="139"/>
      <c r="AD1842" s="139"/>
      <c r="AE1842" s="139"/>
      <c r="AF1842" s="140"/>
      <c r="AG1842" s="145"/>
      <c r="AH1842" s="157">
        <f>IFERROR(__xludf.DUMMYFUNCTION("""COMPUTED_VALUE"""),43640.470554155094)</f>
        <v>43640.47055</v>
      </c>
      <c r="AI1842" s="138"/>
      <c r="AJ1842" s="138"/>
      <c r="AK1842" s="138"/>
      <c r="AL1842" s="142"/>
    </row>
    <row r="1843" ht="20.25" customHeight="1">
      <c r="A1843" s="155" t="str">
        <f>IFERROR(__xludf.DUMMYFUNCTION("""COMPUTED_VALUE"""),"murty34367")</f>
        <v>murty34367</v>
      </c>
      <c r="B1843" s="149" t="str">
        <f>IFERROR(__xludf.DUMMYFUNCTION("""COMPUTED_VALUE"""),"Omaha")</f>
        <v>Omaha</v>
      </c>
      <c r="C1843" s="149" t="str">
        <f>IFERROR(__xludf.DUMMYFUNCTION("""COMPUTED_VALUE"""),"NE")</f>
        <v>NE</v>
      </c>
      <c r="D1843" s="149" t="str">
        <f>IFERROR(__xludf.DUMMYFUNCTION("""COMPUTED_VALUE"""),"USA")</f>
        <v>USA</v>
      </c>
      <c r="E1843" s="156">
        <f>IFERROR(__xludf.DUMMYFUNCTION("""COMPUTED_VALUE"""),43634.0)</f>
        <v>43634</v>
      </c>
      <c r="F1843" s="129">
        <f>IFERROR(__xludf.DUMMYFUNCTION("""COMPUTED_VALUE"""),43636.0)</f>
        <v>43636</v>
      </c>
      <c r="G1843" s="154"/>
      <c r="H1843" s="131">
        <f>IFERROR(__xludf.DUMMYFUNCTION("""COMPUTED_VALUE"""),411755.0)</f>
        <v>411755</v>
      </c>
      <c r="I1843" s="132"/>
      <c r="J1843" s="129">
        <f>IFERROR(__xludf.DUMMYFUNCTION("""COMPUTED_VALUE"""),43643.0)</f>
        <v>43643</v>
      </c>
      <c r="K1843" s="133">
        <f>IFERROR(__xludf.DUMMYFUNCTION("""COMPUTED_VALUE"""),2.0)</f>
        <v>2</v>
      </c>
      <c r="L1843" s="133">
        <f>IFERROR(__xludf.DUMMYFUNCTION("""COMPUTED_VALUE"""),7.0)</f>
        <v>7</v>
      </c>
      <c r="M1843" s="133">
        <f>IFERROR(__xludf.DUMMYFUNCTION("""COMPUTED_VALUE"""),9.0)</f>
        <v>9</v>
      </c>
      <c r="N1843" s="152" t="str">
        <f>IFERROR(__xludf.DUMMYFUNCTION("""COMPUTED_VALUE"""),"Model 3 SR+")</f>
        <v>Model 3 SR+</v>
      </c>
      <c r="O1843" s="152" t="str">
        <f>IFERROR(__xludf.DUMMYFUNCTION("""COMPUTED_VALUE"""),"Deep Blue Metallic")</f>
        <v>Deep Blue Metallic</v>
      </c>
      <c r="P1843" s="153" t="str">
        <f>IFERROR(__xludf.DUMMYFUNCTION("""COMPUTED_VALUE"""),"18 inch Aero")</f>
        <v>18 inch Aero</v>
      </c>
      <c r="Q1843" s="152" t="str">
        <f>IFERROR(__xludf.DUMMYFUNCTION("""COMPUTED_VALUE"""),"Black seats")</f>
        <v>Black seats</v>
      </c>
      <c r="R1843" s="150" t="str">
        <f>IFERROR(__xludf.DUMMYFUNCTION("""COMPUTED_VALUE"""),"Full Self-Driving")</f>
        <v>Full Self-Driving</v>
      </c>
      <c r="S1843" s="150"/>
      <c r="T1843" s="136"/>
      <c r="U1843" s="136"/>
      <c r="V1843" s="136"/>
      <c r="W1843" s="136"/>
      <c r="X1843" s="137" t="str">
        <f>IFERROR(__xludf.DUMMYFUNCTION("""COMPUTED_VALUE"""),"Excellent")</f>
        <v>Excellent</v>
      </c>
      <c r="Y1843" s="138" t="str">
        <f>IFERROR(__xludf.DUMMYFUNCTION("""COMPUTED_VALUE"""),"Excellent")</f>
        <v>Excellent</v>
      </c>
      <c r="Z1843" s="138" t="str">
        <f>IFERROR(__xludf.DUMMYFUNCTION("""COMPUTED_VALUE"""),"Excellent")</f>
        <v>Excellent</v>
      </c>
      <c r="AA1843" s="138" t="str">
        <f>IFERROR(__xludf.DUMMYFUNCTION("""COMPUTED_VALUE"""),"Excellent")</f>
        <v>Excellent</v>
      </c>
      <c r="AB1843" s="138" t="str">
        <f>IFERROR(__xludf.DUMMYFUNCTION("""COMPUTED_VALUE"""),"Excellent")</f>
        <v>Excellent</v>
      </c>
      <c r="AC1843" s="139"/>
      <c r="AD1843" s="139"/>
      <c r="AE1843" s="139"/>
      <c r="AF1843" s="140"/>
      <c r="AG1843" s="136" t="str">
        <f>IFERROR(__xludf.DUMMYFUNCTION("""COMPUTED_VALUE"""),"My Model 3 was delivered at my house 2 days before the scheduled date")</f>
        <v>My Model 3 was delivered at my house 2 days before the scheduled date</v>
      </c>
      <c r="AH1843" s="157">
        <f>IFERROR(__xludf.DUMMYFUNCTION("""COMPUTED_VALUE"""),43643.59979769676)</f>
        <v>43643.5998</v>
      </c>
      <c r="AI1843" s="138"/>
      <c r="AJ1843" s="138"/>
      <c r="AK1843" s="138"/>
      <c r="AL1843" s="142"/>
    </row>
    <row r="1844" ht="20.25" customHeight="1">
      <c r="A1844" s="155" t="str">
        <f>IFERROR(__xludf.DUMMYFUNCTION("""COMPUTED_VALUE"""),"lancep")</f>
        <v>lancep</v>
      </c>
      <c r="B1844" s="149" t="str">
        <f>IFERROR(__xludf.DUMMYFUNCTION("""COMPUTED_VALUE"""),"Loma Linda")</f>
        <v>Loma Linda</v>
      </c>
      <c r="C1844" s="149" t="str">
        <f>IFERROR(__xludf.DUMMYFUNCTION("""COMPUTED_VALUE"""),"CA")</f>
        <v>CA</v>
      </c>
      <c r="D1844" s="149" t="str">
        <f>IFERROR(__xludf.DUMMYFUNCTION("""COMPUTED_VALUE"""),"USA")</f>
        <v>USA</v>
      </c>
      <c r="E1844" s="156">
        <f>IFERROR(__xludf.DUMMYFUNCTION("""COMPUTED_VALUE"""),43632.0)</f>
        <v>43632</v>
      </c>
      <c r="F1844" s="129">
        <f>IFERROR(__xludf.DUMMYFUNCTION("""COMPUTED_VALUE"""),43635.0)</f>
        <v>43635</v>
      </c>
      <c r="G1844" s="154"/>
      <c r="H1844" s="131">
        <f>IFERROR(__xludf.DUMMYFUNCTION("""COMPUTED_VALUE"""),345074.0)</f>
        <v>345074</v>
      </c>
      <c r="I1844" s="132" t="str">
        <f>IFERROR(__xludf.DUMMYFUNCTION("""COMPUTED_VALUE"""),"06/19")</f>
        <v>06/19</v>
      </c>
      <c r="J1844" s="129">
        <f>IFERROR(__xludf.DUMMYFUNCTION("""COMPUTED_VALUE"""),43637.0)</f>
        <v>43637</v>
      </c>
      <c r="K1844" s="133">
        <f>IFERROR(__xludf.DUMMYFUNCTION("""COMPUTED_VALUE"""),3.0)</f>
        <v>3</v>
      </c>
      <c r="L1844" s="133">
        <f>IFERROR(__xludf.DUMMYFUNCTION("""COMPUTED_VALUE"""),2.0)</f>
        <v>2</v>
      </c>
      <c r="M1844" s="133">
        <f>IFERROR(__xludf.DUMMYFUNCTION("""COMPUTED_VALUE"""),5.0)</f>
        <v>5</v>
      </c>
      <c r="N1844" s="152" t="str">
        <f>IFERROR(__xludf.DUMMYFUNCTION("""COMPUTED_VALUE"""),"Model 3 LR")</f>
        <v>Model 3 LR</v>
      </c>
      <c r="O1844" s="152" t="str">
        <f>IFERROR(__xludf.DUMMYFUNCTION("""COMPUTED_VALUE"""),"Pearl White Multi-Coat")</f>
        <v>Pearl White Multi-Coat</v>
      </c>
      <c r="P1844" s="153" t="str">
        <f>IFERROR(__xludf.DUMMYFUNCTION("""COMPUTED_VALUE"""),"18 inch Aero")</f>
        <v>18 inch Aero</v>
      </c>
      <c r="Q1844" s="152" t="str">
        <f>IFERROR(__xludf.DUMMYFUNCTION("""COMPUTED_VALUE"""),"Black seats")</f>
        <v>Black seats</v>
      </c>
      <c r="R1844" s="150" t="str">
        <f>IFERROR(__xludf.DUMMYFUNCTION("""COMPUTED_VALUE"""),"Autopilot")</f>
        <v>Autopilot</v>
      </c>
      <c r="S1844" s="150"/>
      <c r="T1844" s="136"/>
      <c r="U1844" s="136"/>
      <c r="V1844" s="136"/>
      <c r="W1844" s="136"/>
      <c r="X1844" s="137" t="str">
        <f>IFERROR(__xludf.DUMMYFUNCTION("""COMPUTED_VALUE"""),"Good")</f>
        <v>Good</v>
      </c>
      <c r="Y1844" s="138" t="str">
        <f>IFERROR(__xludf.DUMMYFUNCTION("""COMPUTED_VALUE"""),"Excellent")</f>
        <v>Excellent</v>
      </c>
      <c r="Z1844" s="138" t="str">
        <f>IFERROR(__xludf.DUMMYFUNCTION("""COMPUTED_VALUE"""),"Very Good")</f>
        <v>Very Good</v>
      </c>
      <c r="AA1844" s="138" t="str">
        <f>IFERROR(__xludf.DUMMYFUNCTION("""COMPUTED_VALUE"""),"Excellent")</f>
        <v>Excellent</v>
      </c>
      <c r="AB1844" s="138" t="str">
        <f>IFERROR(__xludf.DUMMYFUNCTION("""COMPUTED_VALUE"""),"Very Good")</f>
        <v>Very Good</v>
      </c>
      <c r="AC1844" s="139">
        <f>IFERROR(__xludf.DUMMYFUNCTION("""COMPUTED_VALUE"""),4.0)</f>
        <v>4</v>
      </c>
      <c r="AD1844" s="139">
        <f>IFERROR(__xludf.DUMMYFUNCTION("""COMPUTED_VALUE"""),0.0)</f>
        <v>0</v>
      </c>
      <c r="AE1844" s="139">
        <f>IFERROR(__xludf.DUMMYFUNCTION("""COMPUTED_VALUE"""),0.0)</f>
        <v>0</v>
      </c>
      <c r="AF1844" s="140"/>
      <c r="AG1844" s="136" t="str">
        <f>IFERROR(__xludf.DUMMYFUNCTION("""COMPUTED_VALUE"""),"Likely one of the last LR RWD models made")</f>
        <v>Likely one of the last LR RWD models made</v>
      </c>
      <c r="AH1844" s="157">
        <f>IFERROR(__xludf.DUMMYFUNCTION("""COMPUTED_VALUE"""),43661.65657559028)</f>
        <v>43661.65658</v>
      </c>
      <c r="AI1844" s="138"/>
      <c r="AJ1844" s="138"/>
      <c r="AK1844" s="138"/>
      <c r="AL1844" s="142"/>
    </row>
    <row r="1845" ht="20.25" customHeight="1">
      <c r="A1845" s="155" t="str">
        <f>IFERROR(__xludf.DUMMYFUNCTION("""COMPUTED_VALUE"""),"m4ngosteen")</f>
        <v>m4ngosteen</v>
      </c>
      <c r="B1845" s="149" t="str">
        <f>IFERROR(__xludf.DUMMYFUNCTION("""COMPUTED_VALUE"""),"Dallas")</f>
        <v>Dallas</v>
      </c>
      <c r="C1845" s="149" t="str">
        <f>IFERROR(__xludf.DUMMYFUNCTION("""COMPUTED_VALUE"""),"TX")</f>
        <v>TX</v>
      </c>
      <c r="D1845" s="149" t="str">
        <f>IFERROR(__xludf.DUMMYFUNCTION("""COMPUTED_VALUE"""),"USA")</f>
        <v>USA</v>
      </c>
      <c r="E1845" s="156">
        <f>IFERROR(__xludf.DUMMYFUNCTION("""COMPUTED_VALUE"""),43632.0)</f>
        <v>43632</v>
      </c>
      <c r="F1845" s="129">
        <f>IFERROR(__xludf.DUMMYFUNCTION("""COMPUTED_VALUE"""),43632.0)</f>
        <v>43632</v>
      </c>
      <c r="G1845" s="154"/>
      <c r="H1845" s="131"/>
      <c r="I1845" s="132"/>
      <c r="J1845" s="129">
        <f>IFERROR(__xludf.DUMMYFUNCTION("""COMPUTED_VALUE"""),43645.0)</f>
        <v>43645</v>
      </c>
      <c r="K1845" s="133">
        <f>IFERROR(__xludf.DUMMYFUNCTION("""COMPUTED_VALUE"""),0.0)</f>
        <v>0</v>
      </c>
      <c r="L1845" s="133">
        <f>IFERROR(__xludf.DUMMYFUNCTION("""COMPUTED_VALUE"""),13.0)</f>
        <v>13</v>
      </c>
      <c r="M1845" s="133">
        <f>IFERROR(__xludf.DUMMYFUNCTION("""COMPUTED_VALUE"""),13.0)</f>
        <v>13</v>
      </c>
      <c r="N1845" s="152" t="str">
        <f>IFERROR(__xludf.DUMMYFUNCTION("""COMPUTED_VALUE"""),"Model 3 SR+")</f>
        <v>Model 3 SR+</v>
      </c>
      <c r="O1845" s="152" t="str">
        <f>IFERROR(__xludf.DUMMYFUNCTION("""COMPUTED_VALUE"""),"Pearl White Multi-Coat")</f>
        <v>Pearl White Multi-Coat</v>
      </c>
      <c r="P1845" s="153" t="str">
        <f>IFERROR(__xludf.DUMMYFUNCTION("""COMPUTED_VALUE"""),"19 inch Sport")</f>
        <v>19 inch Sport</v>
      </c>
      <c r="Q1845" s="152" t="str">
        <f>IFERROR(__xludf.DUMMYFUNCTION("""COMPUTED_VALUE"""),"Black seats")</f>
        <v>Black seats</v>
      </c>
      <c r="R1845" s="150" t="str">
        <f>IFERROR(__xludf.DUMMYFUNCTION("""COMPUTED_VALUE"""),"Autopilot")</f>
        <v>Autopilot</v>
      </c>
      <c r="S1845" s="150"/>
      <c r="T1845" s="136"/>
      <c r="U1845" s="136"/>
      <c r="V1845" s="136"/>
      <c r="W1845" s="136"/>
      <c r="X1845" s="137" t="str">
        <f>IFERROR(__xludf.DUMMYFUNCTION("""COMPUTED_VALUE"""),"Excellent")</f>
        <v>Excellent</v>
      </c>
      <c r="Y1845" s="138" t="str">
        <f>IFERROR(__xludf.DUMMYFUNCTION("""COMPUTED_VALUE"""),"Excellent")</f>
        <v>Excellent</v>
      </c>
      <c r="Z1845" s="138" t="str">
        <f>IFERROR(__xludf.DUMMYFUNCTION("""COMPUTED_VALUE"""),"Very Good")</f>
        <v>Very Good</v>
      </c>
      <c r="AA1845" s="138" t="str">
        <f>IFERROR(__xludf.DUMMYFUNCTION("""COMPUTED_VALUE"""),"Excellent")</f>
        <v>Excellent</v>
      </c>
      <c r="AB1845" s="138" t="str">
        <f>IFERROR(__xludf.DUMMYFUNCTION("""COMPUTED_VALUE"""),"Excellent")</f>
        <v>Excellent</v>
      </c>
      <c r="AC1845" s="139"/>
      <c r="AD1845" s="139"/>
      <c r="AE1845" s="139"/>
      <c r="AF1845" s="140"/>
      <c r="AG1845" s="136"/>
      <c r="AH1845" s="157">
        <f>IFERROR(__xludf.DUMMYFUNCTION("""COMPUTED_VALUE"""),43646.88967655092)</f>
        <v>43646.88968</v>
      </c>
      <c r="AI1845" s="138"/>
      <c r="AJ1845" s="138"/>
      <c r="AK1845" s="138"/>
      <c r="AL1845" s="142"/>
    </row>
    <row r="1846" ht="20.25" customHeight="1">
      <c r="A1846" s="155" t="str">
        <f>IFERROR(__xludf.DUMMYFUNCTION("""COMPUTED_VALUE"""),"Hypn0s")</f>
        <v>Hypn0s</v>
      </c>
      <c r="B1846" s="150" t="str">
        <f>IFERROR(__xludf.DUMMYFUNCTION("""COMPUTED_VALUE"""),"Bay area")</f>
        <v>Bay area</v>
      </c>
      <c r="C1846" s="149" t="str">
        <f>IFERROR(__xludf.DUMMYFUNCTION("""COMPUTED_VALUE"""),"CA")</f>
        <v>CA</v>
      </c>
      <c r="D1846" s="149" t="str">
        <f>IFERROR(__xludf.DUMMYFUNCTION("""COMPUTED_VALUE"""),"USA")</f>
        <v>USA</v>
      </c>
      <c r="E1846" s="156">
        <f>IFERROR(__xludf.DUMMYFUNCTION("""COMPUTED_VALUE"""),43629.0)</f>
        <v>43629</v>
      </c>
      <c r="F1846" s="129">
        <f>IFERROR(__xludf.DUMMYFUNCTION("""COMPUTED_VALUE"""),43641.0)</f>
        <v>43641</v>
      </c>
      <c r="G1846" s="154"/>
      <c r="H1846" s="131">
        <f>IFERROR(__xludf.DUMMYFUNCTION("""COMPUTED_VALUE"""),421555.0)</f>
        <v>421555</v>
      </c>
      <c r="I1846" s="144" t="str">
        <f>IFERROR(__xludf.DUMMYFUNCTION("""COMPUTED_VALUE"""),"06/19")</f>
        <v>06/19</v>
      </c>
      <c r="J1846" s="129">
        <f>IFERROR(__xludf.DUMMYFUNCTION("""COMPUTED_VALUE"""),43642.0)</f>
        <v>43642</v>
      </c>
      <c r="K1846" s="133">
        <f>IFERROR(__xludf.DUMMYFUNCTION("""COMPUTED_VALUE"""),12.0)</f>
        <v>12</v>
      </c>
      <c r="L1846" s="133">
        <f>IFERROR(__xludf.DUMMYFUNCTION("""COMPUTED_VALUE"""),1.0)</f>
        <v>1</v>
      </c>
      <c r="M1846" s="133">
        <f>IFERROR(__xludf.DUMMYFUNCTION("""COMPUTED_VALUE"""),13.0)</f>
        <v>13</v>
      </c>
      <c r="N1846" s="152" t="str">
        <f>IFERROR(__xludf.DUMMYFUNCTION("""COMPUTED_VALUE"""),"Model 3 LR AWD")</f>
        <v>Model 3 LR AWD</v>
      </c>
      <c r="O1846" s="152" t="str">
        <f>IFERROR(__xludf.DUMMYFUNCTION("""COMPUTED_VALUE"""),"Pearl White Multi-Coat")</f>
        <v>Pearl White Multi-Coat</v>
      </c>
      <c r="P1846" s="153" t="str">
        <f>IFERROR(__xludf.DUMMYFUNCTION("""COMPUTED_VALUE"""),"18 inch Aero")</f>
        <v>18 inch Aero</v>
      </c>
      <c r="Q1846" s="152" t="str">
        <f>IFERROR(__xludf.DUMMYFUNCTION("""COMPUTED_VALUE"""),"White seats")</f>
        <v>White seats</v>
      </c>
      <c r="R1846" s="149" t="str">
        <f>IFERROR(__xludf.DUMMYFUNCTION("""COMPUTED_VALUE"""),"Full Self-Driving")</f>
        <v>Full Self-Driving</v>
      </c>
      <c r="S1846" s="149"/>
      <c r="T1846" s="145"/>
      <c r="U1846" s="145"/>
      <c r="V1846" s="145"/>
      <c r="W1846" s="136"/>
      <c r="X1846" s="137" t="str">
        <f>IFERROR(__xludf.DUMMYFUNCTION("""COMPUTED_VALUE"""),"Excellent")</f>
        <v>Excellent</v>
      </c>
      <c r="Y1846" s="138" t="str">
        <f>IFERROR(__xludf.DUMMYFUNCTION("""COMPUTED_VALUE"""),"Excellent")</f>
        <v>Excellent</v>
      </c>
      <c r="Z1846" s="138" t="str">
        <f>IFERROR(__xludf.DUMMYFUNCTION("""COMPUTED_VALUE"""),"Excellent")</f>
        <v>Excellent</v>
      </c>
      <c r="AA1846" s="138" t="str">
        <f>IFERROR(__xludf.DUMMYFUNCTION("""COMPUTED_VALUE"""),"Excellent")</f>
        <v>Excellent</v>
      </c>
      <c r="AB1846" s="138" t="str">
        <f>IFERROR(__xludf.DUMMYFUNCTION("""COMPUTED_VALUE"""),"Excellent")</f>
        <v>Excellent</v>
      </c>
      <c r="AC1846" s="139"/>
      <c r="AD1846" s="139"/>
      <c r="AE1846" s="139"/>
      <c r="AF1846" s="140"/>
      <c r="AG1846" s="136"/>
      <c r="AH1846" s="157">
        <f>IFERROR(__xludf.DUMMYFUNCTION("""COMPUTED_VALUE"""),43643.38789254629)</f>
        <v>43643.38789</v>
      </c>
      <c r="AI1846" s="138"/>
      <c r="AJ1846" s="138"/>
      <c r="AK1846" s="138"/>
      <c r="AL1846" s="142"/>
    </row>
    <row r="1847" ht="20.25" customHeight="1">
      <c r="A1847" s="155" t="str">
        <f>IFERROR(__xludf.DUMMYFUNCTION("""COMPUTED_VALUE"""),"mallocme")</f>
        <v>mallocme</v>
      </c>
      <c r="B1847" s="149" t="str">
        <f>IFERROR(__xludf.DUMMYFUNCTION("""COMPUTED_VALUE"""),"San Antonio")</f>
        <v>San Antonio</v>
      </c>
      <c r="C1847" s="149" t="str">
        <f>IFERROR(__xludf.DUMMYFUNCTION("""COMPUTED_VALUE"""),"TX")</f>
        <v>TX</v>
      </c>
      <c r="D1847" s="149" t="str">
        <f>IFERROR(__xludf.DUMMYFUNCTION("""COMPUTED_VALUE"""),"USA")</f>
        <v>USA</v>
      </c>
      <c r="E1847" s="156">
        <f>IFERROR(__xludf.DUMMYFUNCTION("""COMPUTED_VALUE"""),43628.0)</f>
        <v>43628</v>
      </c>
      <c r="F1847" s="129">
        <f>IFERROR(__xludf.DUMMYFUNCTION("""COMPUTED_VALUE"""),43633.0)</f>
        <v>43633</v>
      </c>
      <c r="G1847" s="154"/>
      <c r="H1847" s="131">
        <f>IFERROR(__xludf.DUMMYFUNCTION("""COMPUTED_VALUE"""),410055.0)</f>
        <v>410055</v>
      </c>
      <c r="I1847" s="132" t="str">
        <f>IFERROR(__xludf.DUMMYFUNCTION("""COMPUTED_VALUE"""),"06/19")</f>
        <v>06/19</v>
      </c>
      <c r="J1847" s="129">
        <f>IFERROR(__xludf.DUMMYFUNCTION("""COMPUTED_VALUE"""),43641.0)</f>
        <v>43641</v>
      </c>
      <c r="K1847" s="133">
        <f>IFERROR(__xludf.DUMMYFUNCTION("""COMPUTED_VALUE"""),5.0)</f>
        <v>5</v>
      </c>
      <c r="L1847" s="133">
        <f>IFERROR(__xludf.DUMMYFUNCTION("""COMPUTED_VALUE"""),8.0)</f>
        <v>8</v>
      </c>
      <c r="M1847" s="133">
        <f>IFERROR(__xludf.DUMMYFUNCTION("""COMPUTED_VALUE"""),13.0)</f>
        <v>13</v>
      </c>
      <c r="N1847" s="152" t="str">
        <f>IFERROR(__xludf.DUMMYFUNCTION("""COMPUTED_VALUE"""),"Model 3 SR+")</f>
        <v>Model 3 SR+</v>
      </c>
      <c r="O1847" s="152" t="str">
        <f>IFERROR(__xludf.DUMMYFUNCTION("""COMPUTED_VALUE"""),"Solid Black")</f>
        <v>Solid Black</v>
      </c>
      <c r="P1847" s="153" t="str">
        <f>IFERROR(__xludf.DUMMYFUNCTION("""COMPUTED_VALUE"""),"18 inch Aero")</f>
        <v>18 inch Aero</v>
      </c>
      <c r="Q1847" s="152" t="str">
        <f>IFERROR(__xludf.DUMMYFUNCTION("""COMPUTED_VALUE"""),"Black seats")</f>
        <v>Black seats</v>
      </c>
      <c r="R1847" s="150" t="str">
        <f>IFERROR(__xludf.DUMMYFUNCTION("""COMPUTED_VALUE"""),"Full Self-Driving")</f>
        <v>Full Self-Driving</v>
      </c>
      <c r="S1847" s="150"/>
      <c r="T1847" s="136"/>
      <c r="U1847" s="136"/>
      <c r="V1847" s="136"/>
      <c r="W1847" s="136"/>
      <c r="X1847" s="137" t="str">
        <f>IFERROR(__xludf.DUMMYFUNCTION("""COMPUTED_VALUE"""),"Excellent")</f>
        <v>Excellent</v>
      </c>
      <c r="Y1847" s="138" t="str">
        <f>IFERROR(__xludf.DUMMYFUNCTION("""COMPUTED_VALUE"""),"Very Good")</f>
        <v>Very Good</v>
      </c>
      <c r="Z1847" s="138" t="str">
        <f>IFERROR(__xludf.DUMMYFUNCTION("""COMPUTED_VALUE"""),"Excellent")</f>
        <v>Excellent</v>
      </c>
      <c r="AA1847" s="138" t="str">
        <f>IFERROR(__xludf.DUMMYFUNCTION("""COMPUTED_VALUE"""),"Excellent")</f>
        <v>Excellent</v>
      </c>
      <c r="AB1847" s="138" t="str">
        <f>IFERROR(__xludf.DUMMYFUNCTION("""COMPUTED_VALUE"""),"Good")</f>
        <v>Good</v>
      </c>
      <c r="AC1847" s="139">
        <f>IFERROR(__xludf.DUMMYFUNCTION("""COMPUTED_VALUE"""),2.0)</f>
        <v>2</v>
      </c>
      <c r="AD1847" s="139">
        <f>IFERROR(__xludf.DUMMYFUNCTION("""COMPUTED_VALUE"""),2.0)</f>
        <v>2</v>
      </c>
      <c r="AE1847" s="139">
        <f>IFERROR(__xludf.DUMMYFUNCTION("""COMPUTED_VALUE"""),1.0)</f>
        <v>1</v>
      </c>
      <c r="AF1847" s="140"/>
      <c r="AG1847" s="136"/>
      <c r="AH1847" s="157">
        <f>IFERROR(__xludf.DUMMYFUNCTION("""COMPUTED_VALUE"""),43740.91697034722)</f>
        <v>43740.91697</v>
      </c>
      <c r="AI1847" s="138"/>
      <c r="AJ1847" s="138"/>
      <c r="AK1847" s="138"/>
      <c r="AL1847" s="142"/>
    </row>
    <row r="1848" ht="20.25" customHeight="1">
      <c r="A1848" s="155" t="str">
        <f>IFERROR(__xludf.DUMMYFUNCTION("""COMPUTED_VALUE"""),"Syed")</f>
        <v>Syed</v>
      </c>
      <c r="B1848" s="149" t="str">
        <f>IFERROR(__xludf.DUMMYFUNCTION("""COMPUTED_VALUE"""),"Lake Forest")</f>
        <v>Lake Forest</v>
      </c>
      <c r="C1848" s="149" t="str">
        <f>IFERROR(__xludf.DUMMYFUNCTION("""COMPUTED_VALUE"""),"CA")</f>
        <v>CA</v>
      </c>
      <c r="D1848" s="149" t="str">
        <f>IFERROR(__xludf.DUMMYFUNCTION("""COMPUTED_VALUE"""),"USA")</f>
        <v>USA</v>
      </c>
      <c r="E1848" s="156">
        <f>IFERROR(__xludf.DUMMYFUNCTION("""COMPUTED_VALUE"""),43625.0)</f>
        <v>43625</v>
      </c>
      <c r="F1848" s="129">
        <f>IFERROR(__xludf.DUMMYFUNCTION("""COMPUTED_VALUE"""),43630.0)</f>
        <v>43630</v>
      </c>
      <c r="G1848" s="154"/>
      <c r="H1848" s="131">
        <f>IFERROR(__xludf.DUMMYFUNCTION("""COMPUTED_VALUE"""),356677.0)</f>
        <v>356677</v>
      </c>
      <c r="I1848" s="132"/>
      <c r="J1848" s="129">
        <f>IFERROR(__xludf.DUMMYFUNCTION("""COMPUTED_VALUE"""),43638.0)</f>
        <v>43638</v>
      </c>
      <c r="K1848" s="133">
        <f>IFERROR(__xludf.DUMMYFUNCTION("""COMPUTED_VALUE"""),5.0)</f>
        <v>5</v>
      </c>
      <c r="L1848" s="133">
        <f>IFERROR(__xludf.DUMMYFUNCTION("""COMPUTED_VALUE"""),8.0)</f>
        <v>8</v>
      </c>
      <c r="M1848" s="133">
        <f>IFERROR(__xludf.DUMMYFUNCTION("""COMPUTED_VALUE"""),13.0)</f>
        <v>13</v>
      </c>
      <c r="N1848" s="152" t="str">
        <f>IFERROR(__xludf.DUMMYFUNCTION("""COMPUTED_VALUE"""),"Model 3 LR")</f>
        <v>Model 3 LR</v>
      </c>
      <c r="O1848" s="152" t="str">
        <f>IFERROR(__xludf.DUMMYFUNCTION("""COMPUTED_VALUE"""),"Deep Blue Metallic")</f>
        <v>Deep Blue Metallic</v>
      </c>
      <c r="P1848" s="153" t="str">
        <f>IFERROR(__xludf.DUMMYFUNCTION("""COMPUTED_VALUE"""),"18 inch Aero")</f>
        <v>18 inch Aero</v>
      </c>
      <c r="Q1848" s="152" t="str">
        <f>IFERROR(__xludf.DUMMYFUNCTION("""COMPUTED_VALUE"""),"Black seats")</f>
        <v>Black seats</v>
      </c>
      <c r="R1848" s="150" t="str">
        <f>IFERROR(__xludf.DUMMYFUNCTION("""COMPUTED_VALUE"""),"Autopilot")</f>
        <v>Autopilot</v>
      </c>
      <c r="S1848" s="150"/>
      <c r="T1848" s="136"/>
      <c r="U1848" s="136"/>
      <c r="V1848" s="136"/>
      <c r="W1848" s="136"/>
      <c r="X1848" s="137" t="str">
        <f>IFERROR(__xludf.DUMMYFUNCTION("""COMPUTED_VALUE"""),"Fair")</f>
        <v>Fair</v>
      </c>
      <c r="Y1848" s="138" t="str">
        <f>IFERROR(__xludf.DUMMYFUNCTION("""COMPUTED_VALUE"""),"Excellent")</f>
        <v>Excellent</v>
      </c>
      <c r="Z1848" s="138" t="str">
        <f>IFERROR(__xludf.DUMMYFUNCTION("""COMPUTED_VALUE"""),"Good")</f>
        <v>Good</v>
      </c>
      <c r="AA1848" s="138" t="str">
        <f>IFERROR(__xludf.DUMMYFUNCTION("""COMPUTED_VALUE"""),"Excellent")</f>
        <v>Excellent</v>
      </c>
      <c r="AB1848" s="138" t="str">
        <f>IFERROR(__xludf.DUMMYFUNCTION("""COMPUTED_VALUE"""),"Very Good")</f>
        <v>Very Good</v>
      </c>
      <c r="AC1848" s="139"/>
      <c r="AD1848" s="139"/>
      <c r="AE1848" s="139"/>
      <c r="AF1848" s="140"/>
      <c r="AG1848" s="136" t="str">
        <f>IFERROR(__xludf.DUMMYFUNCTION("""COMPUTED_VALUE"""),"Originally Ordered SR+")</f>
        <v>Originally Ordered SR+</v>
      </c>
      <c r="AH1848" s="157">
        <f>IFERROR(__xludf.DUMMYFUNCTION("""COMPUTED_VALUE"""),43641.61580226851)</f>
        <v>43641.6158</v>
      </c>
      <c r="AI1848" s="138"/>
      <c r="AJ1848" s="138"/>
      <c r="AK1848" s="138"/>
      <c r="AL1848" s="142"/>
    </row>
    <row r="1849" ht="20.25" customHeight="1">
      <c r="A1849" s="155" t="str">
        <f>IFERROR(__xludf.DUMMYFUNCTION("""COMPUTED_VALUE"""),"waterbottleman")</f>
        <v>waterbottleman</v>
      </c>
      <c r="B1849" s="149" t="str">
        <f>IFERROR(__xludf.DUMMYFUNCTION("""COMPUTED_VALUE"""),"Bentonville")</f>
        <v>Bentonville</v>
      </c>
      <c r="C1849" s="149" t="str">
        <f>IFERROR(__xludf.DUMMYFUNCTION("""COMPUTED_VALUE"""),"AR")</f>
        <v>AR</v>
      </c>
      <c r="D1849" s="149" t="str">
        <f>IFERROR(__xludf.DUMMYFUNCTION("""COMPUTED_VALUE"""),"USA")</f>
        <v>USA</v>
      </c>
      <c r="E1849" s="156">
        <f>IFERROR(__xludf.DUMMYFUNCTION("""COMPUTED_VALUE"""),43625.0)</f>
        <v>43625</v>
      </c>
      <c r="F1849" s="129">
        <f>IFERROR(__xludf.DUMMYFUNCTION("""COMPUTED_VALUE"""),43633.0)</f>
        <v>43633</v>
      </c>
      <c r="G1849" s="154"/>
      <c r="H1849" s="131">
        <f>IFERROR(__xludf.DUMMYFUNCTION("""COMPUTED_VALUE"""),416605.0)</f>
        <v>416605</v>
      </c>
      <c r="I1849" s="144"/>
      <c r="J1849" s="129">
        <f>IFERROR(__xludf.DUMMYFUNCTION("""COMPUTED_VALUE"""),43640.0)</f>
        <v>43640</v>
      </c>
      <c r="K1849" s="133">
        <f>IFERROR(__xludf.DUMMYFUNCTION("""COMPUTED_VALUE"""),8.0)</f>
        <v>8</v>
      </c>
      <c r="L1849" s="133">
        <f>IFERROR(__xludf.DUMMYFUNCTION("""COMPUTED_VALUE"""),7.0)</f>
        <v>7</v>
      </c>
      <c r="M1849" s="133">
        <f>IFERROR(__xludf.DUMMYFUNCTION("""COMPUTED_VALUE"""),15.0)</f>
        <v>15</v>
      </c>
      <c r="N1849" s="152" t="str">
        <f>IFERROR(__xludf.DUMMYFUNCTION("""COMPUTED_VALUE"""),"Model 3 SR+")</f>
        <v>Model 3 SR+</v>
      </c>
      <c r="O1849" s="152" t="str">
        <f>IFERROR(__xludf.DUMMYFUNCTION("""COMPUTED_VALUE"""),"Pearl White Multi-Coat")</f>
        <v>Pearl White Multi-Coat</v>
      </c>
      <c r="P1849" s="153" t="str">
        <f>IFERROR(__xludf.DUMMYFUNCTION("""COMPUTED_VALUE"""),"18 inch Aero")</f>
        <v>18 inch Aero</v>
      </c>
      <c r="Q1849" s="152" t="str">
        <f>IFERROR(__xludf.DUMMYFUNCTION("""COMPUTED_VALUE"""),"Black seats")</f>
        <v>Black seats</v>
      </c>
      <c r="R1849" s="149" t="str">
        <f>IFERROR(__xludf.DUMMYFUNCTION("""COMPUTED_VALUE"""),"Full Self-Driving")</f>
        <v>Full Self-Driving</v>
      </c>
      <c r="S1849" s="149"/>
      <c r="T1849" s="145"/>
      <c r="U1849" s="145"/>
      <c r="V1849" s="145"/>
      <c r="W1849" s="136"/>
      <c r="X1849" s="151" t="str">
        <f>IFERROR(__xludf.DUMMYFUNCTION("""COMPUTED_VALUE"""),"Very Good")</f>
        <v>Very Good</v>
      </c>
      <c r="Y1849" s="138" t="str">
        <f>IFERROR(__xludf.DUMMYFUNCTION("""COMPUTED_VALUE"""),"Excellent")</f>
        <v>Excellent</v>
      </c>
      <c r="Z1849" s="138" t="str">
        <f>IFERROR(__xludf.DUMMYFUNCTION("""COMPUTED_VALUE"""),"Excellent")</f>
        <v>Excellent</v>
      </c>
      <c r="AA1849" s="138" t="str">
        <f>IFERROR(__xludf.DUMMYFUNCTION("""COMPUTED_VALUE"""),"Very Good")</f>
        <v>Very Good</v>
      </c>
      <c r="AB1849" s="138" t="str">
        <f>IFERROR(__xludf.DUMMYFUNCTION("""COMPUTED_VALUE"""),"Very Good")</f>
        <v>Very Good</v>
      </c>
      <c r="AC1849" s="139">
        <f>IFERROR(__xludf.DUMMYFUNCTION("""COMPUTED_VALUE"""),0.0)</f>
        <v>0</v>
      </c>
      <c r="AD1849" s="139">
        <f>IFERROR(__xludf.DUMMYFUNCTION("""COMPUTED_VALUE"""),0.0)</f>
        <v>0</v>
      </c>
      <c r="AE1849" s="139">
        <f>IFERROR(__xludf.DUMMYFUNCTION("""COMPUTED_VALUE"""),0.0)</f>
        <v>0</v>
      </c>
      <c r="AF1849" s="140"/>
      <c r="AG1849" s="136"/>
      <c r="AH1849" s="157">
        <f>IFERROR(__xludf.DUMMYFUNCTION("""COMPUTED_VALUE"""),43642.81136710648)</f>
        <v>43642.81137</v>
      </c>
      <c r="AI1849" s="138"/>
      <c r="AJ1849" s="138"/>
      <c r="AK1849" s="138"/>
      <c r="AL1849" s="142"/>
    </row>
    <row r="1850" ht="20.25" customHeight="1">
      <c r="A1850" s="155" t="str">
        <f>IFERROR(__xludf.DUMMYFUNCTION("""COMPUTED_VALUE"""),"Dirtman16")</f>
        <v>Dirtman16</v>
      </c>
      <c r="B1850" s="150" t="str">
        <f>IFERROR(__xludf.DUMMYFUNCTION("""COMPUTED_VALUE"""),"Madison")</f>
        <v>Madison</v>
      </c>
      <c r="C1850" s="150" t="str">
        <f>IFERROR(__xludf.DUMMYFUNCTION("""COMPUTED_VALUE"""),"AL")</f>
        <v>AL</v>
      </c>
      <c r="D1850" s="150" t="str">
        <f>IFERROR(__xludf.DUMMYFUNCTION("""COMPUTED_VALUE"""),"USA")</f>
        <v>USA</v>
      </c>
      <c r="E1850" s="156">
        <f>IFERROR(__xludf.DUMMYFUNCTION("""COMPUTED_VALUE"""),43624.0)</f>
        <v>43624</v>
      </c>
      <c r="F1850" s="129">
        <f>IFERROR(__xludf.DUMMYFUNCTION("""COMPUTED_VALUE"""),43631.0)</f>
        <v>43631</v>
      </c>
      <c r="G1850" s="154"/>
      <c r="H1850" s="131">
        <f>IFERROR(__xludf.DUMMYFUNCTION("""COMPUTED_VALUE"""),331655.0)</f>
        <v>331655</v>
      </c>
      <c r="I1850" s="132" t="str">
        <f>IFERROR(__xludf.DUMMYFUNCTION("""COMPUTED_VALUE"""),"06/19")</f>
        <v>06/19</v>
      </c>
      <c r="J1850" s="129">
        <f>IFERROR(__xludf.DUMMYFUNCTION("""COMPUTED_VALUE"""),43639.0)</f>
        <v>43639</v>
      </c>
      <c r="K1850" s="133">
        <f>IFERROR(__xludf.DUMMYFUNCTION("""COMPUTED_VALUE"""),7.0)</f>
        <v>7</v>
      </c>
      <c r="L1850" s="133">
        <f>IFERROR(__xludf.DUMMYFUNCTION("""COMPUTED_VALUE"""),8.0)</f>
        <v>8</v>
      </c>
      <c r="M1850" s="133">
        <f>IFERROR(__xludf.DUMMYFUNCTION("""COMPUTED_VALUE"""),15.0)</f>
        <v>15</v>
      </c>
      <c r="N1850" s="152" t="str">
        <f>IFERROR(__xludf.DUMMYFUNCTION("""COMPUTED_VALUE"""),"Model 3 LR")</f>
        <v>Model 3 LR</v>
      </c>
      <c r="O1850" s="152" t="str">
        <f>IFERROR(__xludf.DUMMYFUNCTION("""COMPUTED_VALUE"""),"Pearl White Multi-Coat")</f>
        <v>Pearl White Multi-Coat</v>
      </c>
      <c r="P1850" s="153" t="str">
        <f>IFERROR(__xludf.DUMMYFUNCTION("""COMPUTED_VALUE"""),"18 inch Aero")</f>
        <v>18 inch Aero</v>
      </c>
      <c r="Q1850" s="152" t="str">
        <f>IFERROR(__xludf.DUMMYFUNCTION("""COMPUTED_VALUE"""),"Black seats")</f>
        <v>Black seats</v>
      </c>
      <c r="R1850" s="150" t="str">
        <f>IFERROR(__xludf.DUMMYFUNCTION("""COMPUTED_VALUE"""),"Autopilot")</f>
        <v>Autopilot</v>
      </c>
      <c r="S1850" s="150"/>
      <c r="T1850" s="136"/>
      <c r="U1850" s="136"/>
      <c r="V1850" s="136"/>
      <c r="W1850" s="136"/>
      <c r="X1850" s="137" t="str">
        <f>IFERROR(__xludf.DUMMYFUNCTION("""COMPUTED_VALUE"""),"Very Good")</f>
        <v>Very Good</v>
      </c>
      <c r="Y1850" s="138" t="str">
        <f>IFERROR(__xludf.DUMMYFUNCTION("""COMPUTED_VALUE"""),"Excellent")</f>
        <v>Excellent</v>
      </c>
      <c r="Z1850" s="138" t="str">
        <f>IFERROR(__xludf.DUMMYFUNCTION("""COMPUTED_VALUE"""),"Excellent")</f>
        <v>Excellent</v>
      </c>
      <c r="AA1850" s="138" t="str">
        <f>IFERROR(__xludf.DUMMYFUNCTION("""COMPUTED_VALUE"""),"Very Good")</f>
        <v>Very Good</v>
      </c>
      <c r="AB1850" s="138" t="str">
        <f>IFERROR(__xludf.DUMMYFUNCTION("""COMPUTED_VALUE"""),"Very Good")</f>
        <v>Very Good</v>
      </c>
      <c r="AC1850" s="139">
        <f>IFERROR(__xludf.DUMMYFUNCTION("""COMPUTED_VALUE"""),0.0)</f>
        <v>0</v>
      </c>
      <c r="AD1850" s="139">
        <f>IFERROR(__xludf.DUMMYFUNCTION("""COMPUTED_VALUE"""),0.0)</f>
        <v>0</v>
      </c>
      <c r="AE1850" s="139">
        <f>IFERROR(__xludf.DUMMYFUNCTION("""COMPUTED_VALUE"""),0.0)</f>
        <v>0</v>
      </c>
      <c r="AF1850" s="140"/>
      <c r="AG1850" s="136"/>
      <c r="AH1850" s="157">
        <f>IFERROR(__xludf.DUMMYFUNCTION("""COMPUTED_VALUE"""),43786.52588991898)</f>
        <v>43786.52589</v>
      </c>
      <c r="AI1850" s="138"/>
      <c r="AJ1850" s="138"/>
      <c r="AK1850" s="138"/>
      <c r="AL1850" s="142"/>
    </row>
    <row r="1851" ht="20.25" customHeight="1">
      <c r="A1851" s="155" t="str">
        <f>IFERROR(__xludf.DUMMYFUNCTION("""COMPUTED_VALUE"""),"DJ7676")</f>
        <v>DJ7676</v>
      </c>
      <c r="B1851" s="149" t="str">
        <f>IFERROR(__xludf.DUMMYFUNCTION("""COMPUTED_VALUE"""),"Bloomington")</f>
        <v>Bloomington</v>
      </c>
      <c r="C1851" s="149" t="str">
        <f>IFERROR(__xludf.DUMMYFUNCTION("""COMPUTED_VALUE"""),"IL")</f>
        <v>IL</v>
      </c>
      <c r="D1851" s="149" t="str">
        <f>IFERROR(__xludf.DUMMYFUNCTION("""COMPUTED_VALUE"""),"USA")</f>
        <v>USA</v>
      </c>
      <c r="E1851" s="156">
        <f>IFERROR(__xludf.DUMMYFUNCTION("""COMPUTED_VALUE"""),43624.0)</f>
        <v>43624</v>
      </c>
      <c r="F1851" s="129">
        <f>IFERROR(__xludf.DUMMYFUNCTION("""COMPUTED_VALUE"""),43666.0)</f>
        <v>43666</v>
      </c>
      <c r="G1851" s="154"/>
      <c r="H1851" s="131">
        <f>IFERROR(__xludf.DUMMYFUNCTION("""COMPUTED_VALUE"""),448310.0)</f>
        <v>448310</v>
      </c>
      <c r="I1851" s="144" t="str">
        <f>IFERROR(__xludf.DUMMYFUNCTION("""COMPUTED_VALUE"""),"08/19")</f>
        <v>08/19</v>
      </c>
      <c r="J1851" s="129">
        <f>IFERROR(__xludf.DUMMYFUNCTION("""COMPUTED_VALUE"""),43688.0)</f>
        <v>43688</v>
      </c>
      <c r="K1851" s="133">
        <f>IFERROR(__xludf.DUMMYFUNCTION("""COMPUTED_VALUE"""),42.0)</f>
        <v>42</v>
      </c>
      <c r="L1851" s="133">
        <f>IFERROR(__xludf.DUMMYFUNCTION("""COMPUTED_VALUE"""),22.0)</f>
        <v>22</v>
      </c>
      <c r="M1851" s="133">
        <f>IFERROR(__xludf.DUMMYFUNCTION("""COMPUTED_VALUE"""),64.0)</f>
        <v>64</v>
      </c>
      <c r="N1851" s="152" t="str">
        <f>IFERROR(__xludf.DUMMYFUNCTION("""COMPUTED_VALUE"""),"Model 3 LR AWD")</f>
        <v>Model 3 LR AWD</v>
      </c>
      <c r="O1851" s="152" t="str">
        <f>IFERROR(__xludf.DUMMYFUNCTION("""COMPUTED_VALUE"""),"Pearl White Multi-Coat")</f>
        <v>Pearl White Multi-Coat</v>
      </c>
      <c r="P1851" s="153" t="str">
        <f>IFERROR(__xludf.DUMMYFUNCTION("""COMPUTED_VALUE"""),"19 inch Sport")</f>
        <v>19 inch Sport</v>
      </c>
      <c r="Q1851" s="152" t="str">
        <f>IFERROR(__xludf.DUMMYFUNCTION("""COMPUTED_VALUE"""),"White seats")</f>
        <v>White seats</v>
      </c>
      <c r="R1851" s="149" t="str">
        <f>IFERROR(__xludf.DUMMYFUNCTION("""COMPUTED_VALUE"""),"Autopilot")</f>
        <v>Autopilot</v>
      </c>
      <c r="S1851" s="149"/>
      <c r="T1851" s="145"/>
      <c r="U1851" s="145"/>
      <c r="V1851" s="145"/>
      <c r="W1851" s="145"/>
      <c r="X1851" s="137" t="str">
        <f>IFERROR(__xludf.DUMMYFUNCTION("""COMPUTED_VALUE"""),"Excellent")</f>
        <v>Excellent</v>
      </c>
      <c r="Y1851" s="138" t="str">
        <f>IFERROR(__xludf.DUMMYFUNCTION("""COMPUTED_VALUE"""),"Excellent")</f>
        <v>Excellent</v>
      </c>
      <c r="Z1851" s="138" t="str">
        <f>IFERROR(__xludf.DUMMYFUNCTION("""COMPUTED_VALUE"""),"Excellent")</f>
        <v>Excellent</v>
      </c>
      <c r="AA1851" s="138" t="str">
        <f>IFERROR(__xludf.DUMMYFUNCTION("""COMPUTED_VALUE"""),"Good")</f>
        <v>Good</v>
      </c>
      <c r="AB1851" s="138" t="str">
        <f>IFERROR(__xludf.DUMMYFUNCTION("""COMPUTED_VALUE"""),"Very Good")</f>
        <v>Very Good</v>
      </c>
      <c r="AC1851" s="139">
        <f>IFERROR(__xludf.DUMMYFUNCTION("""COMPUTED_VALUE"""),1.0)</f>
        <v>1</v>
      </c>
      <c r="AD1851" s="139">
        <f>IFERROR(__xludf.DUMMYFUNCTION("""COMPUTED_VALUE"""),1.0)</f>
        <v>1</v>
      </c>
      <c r="AE1851" s="139">
        <f>IFERROR(__xludf.DUMMYFUNCTION("""COMPUTED_VALUE"""),0.0)</f>
        <v>0</v>
      </c>
      <c r="AF1851" s="140"/>
      <c r="AG1851" s="145"/>
      <c r="AH1851" s="157">
        <f>IFERROR(__xludf.DUMMYFUNCTION("""COMPUTED_VALUE"""),43725.47611966435)</f>
        <v>43725.47612</v>
      </c>
      <c r="AI1851" s="138"/>
      <c r="AJ1851" s="138"/>
      <c r="AK1851" s="138"/>
      <c r="AL1851" s="142"/>
    </row>
    <row r="1852" ht="20.25" customHeight="1">
      <c r="A1852" s="155" t="str">
        <f>IFERROR(__xludf.DUMMYFUNCTION("""COMPUTED_VALUE"""),"RL")</f>
        <v>RL</v>
      </c>
      <c r="B1852" s="149"/>
      <c r="C1852" s="149" t="str">
        <f>IFERROR(__xludf.DUMMYFUNCTION("""COMPUTED_VALUE"""),"PA")</f>
        <v>PA</v>
      </c>
      <c r="D1852" s="149" t="str">
        <f>IFERROR(__xludf.DUMMYFUNCTION("""COMPUTED_VALUE"""),"USA")</f>
        <v>USA</v>
      </c>
      <c r="E1852" s="156">
        <f>IFERROR(__xludf.DUMMYFUNCTION("""COMPUTED_VALUE"""),43624.0)</f>
        <v>43624</v>
      </c>
      <c r="F1852" s="129">
        <f>IFERROR(__xludf.DUMMYFUNCTION("""COMPUTED_VALUE"""),43634.0)</f>
        <v>43634</v>
      </c>
      <c r="G1852" s="154"/>
      <c r="H1852" s="131">
        <f>IFERROR(__xludf.DUMMYFUNCTION("""COMPUTED_VALUE"""),396155.0)</f>
        <v>396155</v>
      </c>
      <c r="I1852" s="132"/>
      <c r="J1852" s="129">
        <f>IFERROR(__xludf.DUMMYFUNCTION("""COMPUTED_VALUE"""),43640.0)</f>
        <v>43640</v>
      </c>
      <c r="K1852" s="133">
        <f>IFERROR(__xludf.DUMMYFUNCTION("""COMPUTED_VALUE"""),10.0)</f>
        <v>10</v>
      </c>
      <c r="L1852" s="133">
        <f>IFERROR(__xludf.DUMMYFUNCTION("""COMPUTED_VALUE"""),6.0)</f>
        <v>6</v>
      </c>
      <c r="M1852" s="133">
        <f>IFERROR(__xludf.DUMMYFUNCTION("""COMPUTED_VALUE"""),16.0)</f>
        <v>16</v>
      </c>
      <c r="N1852" s="152" t="str">
        <f>IFERROR(__xludf.DUMMYFUNCTION("""COMPUTED_VALUE"""),"Model 3 SR")</f>
        <v>Model 3 SR</v>
      </c>
      <c r="O1852" s="152" t="str">
        <f>IFERROR(__xludf.DUMMYFUNCTION("""COMPUTED_VALUE"""),"Solid Black")</f>
        <v>Solid Black</v>
      </c>
      <c r="P1852" s="153" t="str">
        <f>IFERROR(__xludf.DUMMYFUNCTION("""COMPUTED_VALUE"""),"18 inch Aero")</f>
        <v>18 inch Aero</v>
      </c>
      <c r="Q1852" s="152" t="str">
        <f>IFERROR(__xludf.DUMMYFUNCTION("""COMPUTED_VALUE"""),"Black seats")</f>
        <v>Black seats</v>
      </c>
      <c r="R1852" s="150" t="str">
        <f>IFERROR(__xludf.DUMMYFUNCTION("""COMPUTED_VALUE"""),"None")</f>
        <v>None</v>
      </c>
      <c r="S1852" s="150"/>
      <c r="T1852" s="136"/>
      <c r="U1852" s="136"/>
      <c r="V1852" s="136"/>
      <c r="W1852" s="136"/>
      <c r="X1852" s="137" t="str">
        <f>IFERROR(__xludf.DUMMYFUNCTION("""COMPUTED_VALUE"""),"Good")</f>
        <v>Good</v>
      </c>
      <c r="Y1852" s="138" t="str">
        <f>IFERROR(__xludf.DUMMYFUNCTION("""COMPUTED_VALUE"""),"Good")</f>
        <v>Good</v>
      </c>
      <c r="Z1852" s="138" t="str">
        <f>IFERROR(__xludf.DUMMYFUNCTION("""COMPUTED_VALUE"""),"Poor")</f>
        <v>Poor</v>
      </c>
      <c r="AA1852" s="138" t="str">
        <f>IFERROR(__xludf.DUMMYFUNCTION("""COMPUTED_VALUE"""),"Good")</f>
        <v>Good</v>
      </c>
      <c r="AB1852" s="138" t="str">
        <f>IFERROR(__xludf.DUMMYFUNCTION("""COMPUTED_VALUE"""),"Fair")</f>
        <v>Fair</v>
      </c>
      <c r="AC1852" s="139">
        <f>IFERROR(__xludf.DUMMYFUNCTION("""COMPUTED_VALUE"""),4.0)</f>
        <v>4</v>
      </c>
      <c r="AD1852" s="139"/>
      <c r="AE1852" s="139"/>
      <c r="AF1852" s="140"/>
      <c r="AG1852" s="136"/>
      <c r="AH1852" s="157">
        <f>IFERROR(__xludf.DUMMYFUNCTION("""COMPUTED_VALUE"""),43644.183297476855)</f>
        <v>43644.1833</v>
      </c>
      <c r="AI1852" s="138"/>
      <c r="AJ1852" s="138"/>
      <c r="AK1852" s="138"/>
      <c r="AL1852" s="142"/>
    </row>
    <row r="1853" ht="20.25" customHeight="1">
      <c r="A1853" s="155" t="str">
        <f>IFERROR(__xludf.DUMMYFUNCTION("""COMPUTED_VALUE"""),"dmungin")</f>
        <v>dmungin</v>
      </c>
      <c r="B1853" s="149" t="str">
        <f>IFERROR(__xludf.DUMMYFUNCTION("""COMPUTED_VALUE"""),"Cincinnati")</f>
        <v>Cincinnati</v>
      </c>
      <c r="C1853" s="149" t="str">
        <f>IFERROR(__xludf.DUMMYFUNCTION("""COMPUTED_VALUE"""),"OH")</f>
        <v>OH</v>
      </c>
      <c r="D1853" s="149" t="str">
        <f>IFERROR(__xludf.DUMMYFUNCTION("""COMPUTED_VALUE"""),"USA")</f>
        <v>USA</v>
      </c>
      <c r="E1853" s="156">
        <f>IFERROR(__xludf.DUMMYFUNCTION("""COMPUTED_VALUE"""),43622.0)</f>
        <v>43622</v>
      </c>
      <c r="F1853" s="129">
        <f>IFERROR(__xludf.DUMMYFUNCTION("""COMPUTED_VALUE"""),43629.0)</f>
        <v>43629</v>
      </c>
      <c r="G1853" s="154"/>
      <c r="H1853" s="131">
        <f>IFERROR(__xludf.DUMMYFUNCTION("""COMPUTED_VALUE"""),386601.0)</f>
        <v>386601</v>
      </c>
      <c r="I1853" s="144"/>
      <c r="J1853" s="129">
        <f>IFERROR(__xludf.DUMMYFUNCTION("""COMPUTED_VALUE"""),43636.0)</f>
        <v>43636</v>
      </c>
      <c r="K1853" s="133">
        <f>IFERROR(__xludf.DUMMYFUNCTION("""COMPUTED_VALUE"""),7.0)</f>
        <v>7</v>
      </c>
      <c r="L1853" s="133">
        <f>IFERROR(__xludf.DUMMYFUNCTION("""COMPUTED_VALUE"""),7.0)</f>
        <v>7</v>
      </c>
      <c r="M1853" s="133">
        <f>IFERROR(__xludf.DUMMYFUNCTION("""COMPUTED_VALUE"""),14.0)</f>
        <v>14</v>
      </c>
      <c r="N1853" s="152" t="str">
        <f>IFERROR(__xludf.DUMMYFUNCTION("""COMPUTED_VALUE"""),"Model 3 LR AWD")</f>
        <v>Model 3 LR AWD</v>
      </c>
      <c r="O1853" s="152" t="str">
        <f>IFERROR(__xludf.DUMMYFUNCTION("""COMPUTED_VALUE"""),"Midnight Silver Metallic")</f>
        <v>Midnight Silver Metallic</v>
      </c>
      <c r="P1853" s="153" t="str">
        <f>IFERROR(__xludf.DUMMYFUNCTION("""COMPUTED_VALUE"""),"18 inch Aero")</f>
        <v>18 inch Aero</v>
      </c>
      <c r="Q1853" s="152" t="str">
        <f>IFERROR(__xludf.DUMMYFUNCTION("""COMPUTED_VALUE"""),"Black seats")</f>
        <v>Black seats</v>
      </c>
      <c r="R1853" s="149" t="str">
        <f>IFERROR(__xludf.DUMMYFUNCTION("""COMPUTED_VALUE"""),"Autopilot")</f>
        <v>Autopilot</v>
      </c>
      <c r="S1853" s="149"/>
      <c r="T1853" s="145"/>
      <c r="U1853" s="145"/>
      <c r="V1853" s="145"/>
      <c r="W1853" s="136"/>
      <c r="X1853" s="137" t="str">
        <f>IFERROR(__xludf.DUMMYFUNCTION("""COMPUTED_VALUE"""),"Good")</f>
        <v>Good</v>
      </c>
      <c r="Y1853" s="138" t="str">
        <f>IFERROR(__xludf.DUMMYFUNCTION("""COMPUTED_VALUE"""),"Excellent")</f>
        <v>Excellent</v>
      </c>
      <c r="Z1853" s="138" t="str">
        <f>IFERROR(__xludf.DUMMYFUNCTION("""COMPUTED_VALUE"""),"Good")</f>
        <v>Good</v>
      </c>
      <c r="AA1853" s="138" t="str">
        <f>IFERROR(__xludf.DUMMYFUNCTION("""COMPUTED_VALUE"""),"Excellent")</f>
        <v>Excellent</v>
      </c>
      <c r="AB1853" s="138" t="str">
        <f>IFERROR(__xludf.DUMMYFUNCTION("""COMPUTED_VALUE"""),"Excellent")</f>
        <v>Excellent</v>
      </c>
      <c r="AC1853" s="139">
        <f>IFERROR(__xludf.DUMMYFUNCTION("""COMPUTED_VALUE"""),1.0)</f>
        <v>1</v>
      </c>
      <c r="AD1853" s="139">
        <f>IFERROR(__xludf.DUMMYFUNCTION("""COMPUTED_VALUE"""),1.0)</f>
        <v>1</v>
      </c>
      <c r="AE1853" s="139">
        <f>IFERROR(__xludf.DUMMYFUNCTION("""COMPUTED_VALUE"""),3.0)</f>
        <v>3</v>
      </c>
      <c r="AF1853" s="140"/>
      <c r="AG1853" s="136"/>
      <c r="AH1853" s="157">
        <f>IFERROR(__xludf.DUMMYFUNCTION("""COMPUTED_VALUE"""),43635.522905590275)</f>
        <v>43635.52291</v>
      </c>
      <c r="AI1853" s="138"/>
      <c r="AJ1853" s="138"/>
      <c r="AK1853" s="138"/>
      <c r="AL1853" s="142"/>
    </row>
    <row r="1854" ht="20.25" customHeight="1">
      <c r="A1854" s="155" t="str">
        <f>IFERROR(__xludf.DUMMYFUNCTION("""COMPUTED_VALUE"""),"drawde")</f>
        <v>drawde</v>
      </c>
      <c r="B1854" s="149" t="str">
        <f>IFERROR(__xludf.DUMMYFUNCTION("""COMPUTED_VALUE"""),"Jersey City")</f>
        <v>Jersey City</v>
      </c>
      <c r="C1854" s="149" t="str">
        <f>IFERROR(__xludf.DUMMYFUNCTION("""COMPUTED_VALUE"""),"NJ")</f>
        <v>NJ</v>
      </c>
      <c r="D1854" s="149" t="str">
        <f>IFERROR(__xludf.DUMMYFUNCTION("""COMPUTED_VALUE"""),"USA")</f>
        <v>USA</v>
      </c>
      <c r="E1854" s="156">
        <f>IFERROR(__xludf.DUMMYFUNCTION("""COMPUTED_VALUE"""),43622.0)</f>
        <v>43622</v>
      </c>
      <c r="F1854" s="129">
        <f>IFERROR(__xludf.DUMMYFUNCTION("""COMPUTED_VALUE"""),43631.0)</f>
        <v>43631</v>
      </c>
      <c r="G1854" s="154"/>
      <c r="H1854" s="131">
        <f>IFERROR(__xludf.DUMMYFUNCTION("""COMPUTED_VALUE"""),407355.0)</f>
        <v>407355</v>
      </c>
      <c r="I1854" s="132" t="str">
        <f>IFERROR(__xludf.DUMMYFUNCTION("""COMPUTED_VALUE"""),"06/19")</f>
        <v>06/19</v>
      </c>
      <c r="J1854" s="129">
        <f>IFERROR(__xludf.DUMMYFUNCTION("""COMPUTED_VALUE"""),43641.0)</f>
        <v>43641</v>
      </c>
      <c r="K1854" s="133">
        <f>IFERROR(__xludf.DUMMYFUNCTION("""COMPUTED_VALUE"""),9.0)</f>
        <v>9</v>
      </c>
      <c r="L1854" s="133">
        <f>IFERROR(__xludf.DUMMYFUNCTION("""COMPUTED_VALUE"""),10.0)</f>
        <v>10</v>
      </c>
      <c r="M1854" s="133">
        <f>IFERROR(__xludf.DUMMYFUNCTION("""COMPUTED_VALUE"""),19.0)</f>
        <v>19</v>
      </c>
      <c r="N1854" s="152" t="str">
        <f>IFERROR(__xludf.DUMMYFUNCTION("""COMPUTED_VALUE"""),"Model 3 Performance")</f>
        <v>Model 3 Performance</v>
      </c>
      <c r="O1854" s="152" t="str">
        <f>IFERROR(__xludf.DUMMYFUNCTION("""COMPUTED_VALUE"""),"Solid Black")</f>
        <v>Solid Black</v>
      </c>
      <c r="P1854" s="153" t="str">
        <f>IFERROR(__xludf.DUMMYFUNCTION("""COMPUTED_VALUE"""),"20 inch Sport")</f>
        <v>20 inch Sport</v>
      </c>
      <c r="Q1854" s="152" t="str">
        <f>IFERROR(__xludf.DUMMYFUNCTION("""COMPUTED_VALUE"""),"White seats")</f>
        <v>White seats</v>
      </c>
      <c r="R1854" s="150" t="str">
        <f>IFERROR(__xludf.DUMMYFUNCTION("""COMPUTED_VALUE"""),"Full Self-Driving")</f>
        <v>Full Self-Driving</v>
      </c>
      <c r="S1854" s="150"/>
      <c r="T1854" s="136"/>
      <c r="U1854" s="136"/>
      <c r="V1854" s="136"/>
      <c r="W1854" s="136"/>
      <c r="X1854" s="137" t="str">
        <f>IFERROR(__xludf.DUMMYFUNCTION("""COMPUTED_VALUE"""),"Very Good")</f>
        <v>Very Good</v>
      </c>
      <c r="Y1854" s="138" t="str">
        <f>IFERROR(__xludf.DUMMYFUNCTION("""COMPUTED_VALUE"""),"Very Good")</f>
        <v>Very Good</v>
      </c>
      <c r="Z1854" s="138" t="str">
        <f>IFERROR(__xludf.DUMMYFUNCTION("""COMPUTED_VALUE"""),"Poor")</f>
        <v>Poor</v>
      </c>
      <c r="AA1854" s="138" t="str">
        <f>IFERROR(__xludf.DUMMYFUNCTION("""COMPUTED_VALUE"""),"Good")</f>
        <v>Good</v>
      </c>
      <c r="AB1854" s="138" t="str">
        <f>IFERROR(__xludf.DUMMYFUNCTION("""COMPUTED_VALUE"""),"Very Good")</f>
        <v>Very Good</v>
      </c>
      <c r="AC1854" s="139"/>
      <c r="AD1854" s="139"/>
      <c r="AE1854" s="139"/>
      <c r="AF1854" s="140"/>
      <c r="AG1854" s="136"/>
      <c r="AH1854" s="157">
        <f>IFERROR(__xludf.DUMMYFUNCTION("""COMPUTED_VALUE"""),43641.7434760301)</f>
        <v>43641.74348</v>
      </c>
      <c r="AI1854" s="138"/>
      <c r="AJ1854" s="138"/>
      <c r="AK1854" s="138"/>
      <c r="AL1854" s="142"/>
    </row>
    <row r="1855" ht="20.25" customHeight="1">
      <c r="A1855" s="155" t="str">
        <f>IFERROR(__xludf.DUMMYFUNCTION("""COMPUTED_VALUE"""),"Time0ut")</f>
        <v>Time0ut</v>
      </c>
      <c r="B1855" s="149" t="str">
        <f>IFERROR(__xludf.DUMMYFUNCTION("""COMPUTED_VALUE"""),"Austin")</f>
        <v>Austin</v>
      </c>
      <c r="C1855" s="149" t="str">
        <f>IFERROR(__xludf.DUMMYFUNCTION("""COMPUTED_VALUE"""),"TX")</f>
        <v>TX</v>
      </c>
      <c r="D1855" s="149" t="str">
        <f>IFERROR(__xludf.DUMMYFUNCTION("""COMPUTED_VALUE"""),"USA")</f>
        <v>USA</v>
      </c>
      <c r="E1855" s="156">
        <f>IFERROR(__xludf.DUMMYFUNCTION("""COMPUTED_VALUE"""),43621.0)</f>
        <v>43621</v>
      </c>
      <c r="F1855" s="129">
        <f>IFERROR(__xludf.DUMMYFUNCTION("""COMPUTED_VALUE"""),43628.0)</f>
        <v>43628</v>
      </c>
      <c r="G1855" s="154"/>
      <c r="H1855" s="131">
        <f>IFERROR(__xludf.DUMMYFUNCTION("""COMPUTED_VALUE"""),391055.0)</f>
        <v>391055</v>
      </c>
      <c r="I1855" s="132"/>
      <c r="J1855" s="129">
        <f>IFERROR(__xludf.DUMMYFUNCTION("""COMPUTED_VALUE"""),43635.0)</f>
        <v>43635</v>
      </c>
      <c r="K1855" s="133">
        <f>IFERROR(__xludf.DUMMYFUNCTION("""COMPUTED_VALUE"""),7.0)</f>
        <v>7</v>
      </c>
      <c r="L1855" s="133">
        <f>IFERROR(__xludf.DUMMYFUNCTION("""COMPUTED_VALUE"""),7.0)</f>
        <v>7</v>
      </c>
      <c r="M1855" s="133">
        <f>IFERROR(__xludf.DUMMYFUNCTION("""COMPUTED_VALUE"""),14.0)</f>
        <v>14</v>
      </c>
      <c r="N1855" s="152" t="str">
        <f>IFERROR(__xludf.DUMMYFUNCTION("""COMPUTED_VALUE"""),"Model 3 LR AWD")</f>
        <v>Model 3 LR AWD</v>
      </c>
      <c r="O1855" s="152" t="str">
        <f>IFERROR(__xludf.DUMMYFUNCTION("""COMPUTED_VALUE"""),"Deep Blue Metallic")</f>
        <v>Deep Blue Metallic</v>
      </c>
      <c r="P1855" s="153" t="str">
        <f>IFERROR(__xludf.DUMMYFUNCTION("""COMPUTED_VALUE"""),"18 inch Aero")</f>
        <v>18 inch Aero</v>
      </c>
      <c r="Q1855" s="152" t="str">
        <f>IFERROR(__xludf.DUMMYFUNCTION("""COMPUTED_VALUE"""),"White seats")</f>
        <v>White seats</v>
      </c>
      <c r="R1855" s="150" t="str">
        <f>IFERROR(__xludf.DUMMYFUNCTION("""COMPUTED_VALUE"""),"Autopilot")</f>
        <v>Autopilot</v>
      </c>
      <c r="S1855" s="150"/>
      <c r="T1855" s="136"/>
      <c r="U1855" s="136"/>
      <c r="V1855" s="136"/>
      <c r="W1855" s="136"/>
      <c r="X1855" s="137" t="str">
        <f>IFERROR(__xludf.DUMMYFUNCTION("""COMPUTED_VALUE"""),"Excellent")</f>
        <v>Excellent</v>
      </c>
      <c r="Y1855" s="138" t="str">
        <f>IFERROR(__xludf.DUMMYFUNCTION("""COMPUTED_VALUE"""),"Excellent")</f>
        <v>Excellent</v>
      </c>
      <c r="Z1855" s="138" t="str">
        <f>IFERROR(__xludf.DUMMYFUNCTION("""COMPUTED_VALUE"""),"Excellent")</f>
        <v>Excellent</v>
      </c>
      <c r="AA1855" s="138" t="str">
        <f>IFERROR(__xludf.DUMMYFUNCTION("""COMPUTED_VALUE"""),"Excellent")</f>
        <v>Excellent</v>
      </c>
      <c r="AB1855" s="138" t="str">
        <f>IFERROR(__xludf.DUMMYFUNCTION("""COMPUTED_VALUE"""),"Excellent")</f>
        <v>Excellent</v>
      </c>
      <c r="AC1855" s="139"/>
      <c r="AD1855" s="139"/>
      <c r="AE1855" s="139"/>
      <c r="AF1855" s="140"/>
      <c r="AG1855" s="136" t="str">
        <f>IFERROR(__xludf.DUMMYFUNCTION("""COMPUTED_VALUE"""),"Included HW3 and Homelink")</f>
        <v>Included HW3 and Homelink</v>
      </c>
      <c r="AH1855" s="157">
        <f>IFERROR(__xludf.DUMMYFUNCTION("""COMPUTED_VALUE"""),43637.194293518514)</f>
        <v>43637.19429</v>
      </c>
      <c r="AI1855" s="138"/>
      <c r="AJ1855" s="138"/>
      <c r="AK1855" s="138"/>
      <c r="AL1855" s="142"/>
    </row>
    <row r="1856" ht="20.25" customHeight="1">
      <c r="A1856" s="155" t="str">
        <f>IFERROR(__xludf.DUMMYFUNCTION("""COMPUTED_VALUE"""),"Zdrone")</f>
        <v>Zdrone</v>
      </c>
      <c r="B1856" s="149" t="str">
        <f>IFERROR(__xludf.DUMMYFUNCTION("""COMPUTED_VALUE"""),"Santa Clarita ")</f>
        <v>Santa Clarita </v>
      </c>
      <c r="C1856" s="149" t="str">
        <f>IFERROR(__xludf.DUMMYFUNCTION("""COMPUTED_VALUE"""),"CA")</f>
        <v>CA</v>
      </c>
      <c r="D1856" s="149" t="str">
        <f>IFERROR(__xludf.DUMMYFUNCTION("""COMPUTED_VALUE"""),"USA")</f>
        <v>USA</v>
      </c>
      <c r="E1856" s="156">
        <f>IFERROR(__xludf.DUMMYFUNCTION("""COMPUTED_VALUE"""),43621.0)</f>
        <v>43621</v>
      </c>
      <c r="F1856" s="129">
        <f>IFERROR(__xludf.DUMMYFUNCTION("""COMPUTED_VALUE"""),43621.0)</f>
        <v>43621</v>
      </c>
      <c r="G1856" s="154"/>
      <c r="H1856" s="131">
        <f>IFERROR(__xludf.DUMMYFUNCTION("""COMPUTED_VALUE"""),387155.0)</f>
        <v>387155</v>
      </c>
      <c r="I1856" s="144" t="str">
        <f>IFERROR(__xludf.DUMMYFUNCTION("""COMPUTED_VALUE"""),"06/19")</f>
        <v>06/19</v>
      </c>
      <c r="J1856" s="129">
        <f>IFERROR(__xludf.DUMMYFUNCTION("""COMPUTED_VALUE"""),43623.0)</f>
        <v>43623</v>
      </c>
      <c r="K1856" s="133">
        <f>IFERROR(__xludf.DUMMYFUNCTION("""COMPUTED_VALUE"""),0.0)</f>
        <v>0</v>
      </c>
      <c r="L1856" s="133">
        <f>IFERROR(__xludf.DUMMYFUNCTION("""COMPUTED_VALUE"""),2.0)</f>
        <v>2</v>
      </c>
      <c r="M1856" s="133">
        <f>IFERROR(__xludf.DUMMYFUNCTION("""COMPUTED_VALUE"""),2.0)</f>
        <v>2</v>
      </c>
      <c r="N1856" s="152" t="str">
        <f>IFERROR(__xludf.DUMMYFUNCTION("""COMPUTED_VALUE"""),"Model 3 LR AWD")</f>
        <v>Model 3 LR AWD</v>
      </c>
      <c r="O1856" s="152" t="str">
        <f>IFERROR(__xludf.DUMMYFUNCTION("""COMPUTED_VALUE"""),"Red Multi-Coat")</f>
        <v>Red Multi-Coat</v>
      </c>
      <c r="P1856" s="153" t="str">
        <f>IFERROR(__xludf.DUMMYFUNCTION("""COMPUTED_VALUE"""),"18 inch Aero")</f>
        <v>18 inch Aero</v>
      </c>
      <c r="Q1856" s="152" t="str">
        <f>IFERROR(__xludf.DUMMYFUNCTION("""COMPUTED_VALUE"""),"Black seats")</f>
        <v>Black seats</v>
      </c>
      <c r="R1856" s="149" t="str">
        <f>IFERROR(__xludf.DUMMYFUNCTION("""COMPUTED_VALUE"""),"Autopilot")</f>
        <v>Autopilot</v>
      </c>
      <c r="S1856" s="149"/>
      <c r="T1856" s="145"/>
      <c r="U1856" s="145"/>
      <c r="V1856" s="145"/>
      <c r="W1856" s="136"/>
      <c r="X1856" s="137" t="str">
        <f>IFERROR(__xludf.DUMMYFUNCTION("""COMPUTED_VALUE"""),"Excellent")</f>
        <v>Excellent</v>
      </c>
      <c r="Y1856" s="138" t="str">
        <f>IFERROR(__xludf.DUMMYFUNCTION("""COMPUTED_VALUE"""),"Excellent")</f>
        <v>Excellent</v>
      </c>
      <c r="Z1856" s="138" t="str">
        <f>IFERROR(__xludf.DUMMYFUNCTION("""COMPUTED_VALUE"""),"Very Good")</f>
        <v>Very Good</v>
      </c>
      <c r="AA1856" s="138" t="str">
        <f>IFERROR(__xludf.DUMMYFUNCTION("""COMPUTED_VALUE"""),"Good")</f>
        <v>Good</v>
      </c>
      <c r="AB1856" s="138" t="str">
        <f>IFERROR(__xludf.DUMMYFUNCTION("""COMPUTED_VALUE"""),"Very Good")</f>
        <v>Very Good</v>
      </c>
      <c r="AC1856" s="139"/>
      <c r="AD1856" s="139"/>
      <c r="AE1856" s="139"/>
      <c r="AF1856" s="140"/>
      <c r="AG1856" s="136"/>
      <c r="AH1856" s="157">
        <f>IFERROR(__xludf.DUMMYFUNCTION("""COMPUTED_VALUE"""),43623.746753900465)</f>
        <v>43623.74675</v>
      </c>
      <c r="AI1856" s="138"/>
      <c r="AJ1856" s="138"/>
      <c r="AK1856" s="138"/>
      <c r="AL1856" s="142"/>
    </row>
    <row r="1857" ht="20.25" customHeight="1">
      <c r="A1857" s="155" t="str">
        <f>IFERROR(__xludf.DUMMYFUNCTION("""COMPUTED_VALUE"""),"FoopedAgain")</f>
        <v>FoopedAgain</v>
      </c>
      <c r="B1857" s="149" t="str">
        <f>IFERROR(__xludf.DUMMYFUNCTION("""COMPUTED_VALUE"""),"Brookfield")</f>
        <v>Brookfield</v>
      </c>
      <c r="C1857" s="149" t="str">
        <f>IFERROR(__xludf.DUMMYFUNCTION("""COMPUTED_VALUE"""),"WI")</f>
        <v>WI</v>
      </c>
      <c r="D1857" s="149" t="str">
        <f>IFERROR(__xludf.DUMMYFUNCTION("""COMPUTED_VALUE"""),"USA")</f>
        <v>USA</v>
      </c>
      <c r="E1857" s="156">
        <f>IFERROR(__xludf.DUMMYFUNCTION("""COMPUTED_VALUE"""),43620.0)</f>
        <v>43620</v>
      </c>
      <c r="F1857" s="129">
        <f>IFERROR(__xludf.DUMMYFUNCTION("""COMPUTED_VALUE"""),43629.0)</f>
        <v>43629</v>
      </c>
      <c r="G1857" s="154"/>
      <c r="H1857" s="131">
        <f>IFERROR(__xludf.DUMMYFUNCTION("""COMPUTED_VALUE"""),395569.0)</f>
        <v>395569</v>
      </c>
      <c r="I1857" s="144" t="str">
        <f>IFERROR(__xludf.DUMMYFUNCTION("""COMPUTED_VALUE"""),"06/19")</f>
        <v>06/19</v>
      </c>
      <c r="J1857" s="129">
        <f>IFERROR(__xludf.DUMMYFUNCTION("""COMPUTED_VALUE"""),43636.0)</f>
        <v>43636</v>
      </c>
      <c r="K1857" s="133">
        <f>IFERROR(__xludf.DUMMYFUNCTION("""COMPUTED_VALUE"""),9.0)</f>
        <v>9</v>
      </c>
      <c r="L1857" s="133">
        <f>IFERROR(__xludf.DUMMYFUNCTION("""COMPUTED_VALUE"""),7.0)</f>
        <v>7</v>
      </c>
      <c r="M1857" s="133">
        <f>IFERROR(__xludf.DUMMYFUNCTION("""COMPUTED_VALUE"""),16.0)</f>
        <v>16</v>
      </c>
      <c r="N1857" s="152" t="str">
        <f>IFERROR(__xludf.DUMMYFUNCTION("""COMPUTED_VALUE"""),"Model 3 SR+")</f>
        <v>Model 3 SR+</v>
      </c>
      <c r="O1857" s="152" t="str">
        <f>IFERROR(__xludf.DUMMYFUNCTION("""COMPUTED_VALUE"""),"Solid Black")</f>
        <v>Solid Black</v>
      </c>
      <c r="P1857" s="153" t="str">
        <f>IFERROR(__xludf.DUMMYFUNCTION("""COMPUTED_VALUE"""),"18 inch Aero")</f>
        <v>18 inch Aero</v>
      </c>
      <c r="Q1857" s="152" t="str">
        <f>IFERROR(__xludf.DUMMYFUNCTION("""COMPUTED_VALUE"""),"Black seats")</f>
        <v>Black seats</v>
      </c>
      <c r="R1857" s="149" t="str">
        <f>IFERROR(__xludf.DUMMYFUNCTION("""COMPUTED_VALUE"""),"Full Self-Driving")</f>
        <v>Full Self-Driving</v>
      </c>
      <c r="S1857" s="149"/>
      <c r="T1857" s="145"/>
      <c r="U1857" s="145"/>
      <c r="V1857" s="145"/>
      <c r="W1857" s="145"/>
      <c r="X1857" s="137" t="str">
        <f>IFERROR(__xludf.DUMMYFUNCTION("""COMPUTED_VALUE"""),"Good")</f>
        <v>Good</v>
      </c>
      <c r="Y1857" s="138" t="str">
        <f>IFERROR(__xludf.DUMMYFUNCTION("""COMPUTED_VALUE"""),"Excellent")</f>
        <v>Excellent</v>
      </c>
      <c r="Z1857" s="138" t="str">
        <f>IFERROR(__xludf.DUMMYFUNCTION("""COMPUTED_VALUE"""),"Very Good")</f>
        <v>Very Good</v>
      </c>
      <c r="AA1857" s="138" t="str">
        <f>IFERROR(__xludf.DUMMYFUNCTION("""COMPUTED_VALUE"""),"Fair")</f>
        <v>Fair</v>
      </c>
      <c r="AB1857" s="138" t="str">
        <f>IFERROR(__xludf.DUMMYFUNCTION("""COMPUTED_VALUE"""),"Fair")</f>
        <v>Fair</v>
      </c>
      <c r="AC1857" s="139"/>
      <c r="AD1857" s="139"/>
      <c r="AE1857" s="139"/>
      <c r="AF1857" s="140"/>
      <c r="AG1857" s="145"/>
      <c r="AH1857" s="157">
        <f>IFERROR(__xludf.DUMMYFUNCTION("""COMPUTED_VALUE"""),43636.358810196754)</f>
        <v>43636.35881</v>
      </c>
      <c r="AI1857" s="138"/>
      <c r="AJ1857" s="138"/>
      <c r="AK1857" s="138"/>
      <c r="AL1857" s="142"/>
    </row>
    <row r="1858" ht="20.25" customHeight="1">
      <c r="A1858" s="155" t="str">
        <f>IFERROR(__xludf.DUMMYFUNCTION("""COMPUTED_VALUE"""),"HE_Pennypacker")</f>
        <v>HE_Pennypacker</v>
      </c>
      <c r="B1858" s="149" t="str">
        <f>IFERROR(__xludf.DUMMYFUNCTION("""COMPUTED_VALUE"""),"Portland")</f>
        <v>Portland</v>
      </c>
      <c r="C1858" s="149" t="str">
        <f>IFERROR(__xludf.DUMMYFUNCTION("""COMPUTED_VALUE"""),"OR")</f>
        <v>OR</v>
      </c>
      <c r="D1858" s="149" t="str">
        <f>IFERROR(__xludf.DUMMYFUNCTION("""COMPUTED_VALUE"""),"USA")</f>
        <v>USA</v>
      </c>
      <c r="E1858" s="156">
        <f>IFERROR(__xludf.DUMMYFUNCTION("""COMPUTED_VALUE"""),43620.0)</f>
        <v>43620</v>
      </c>
      <c r="F1858" s="129">
        <f>IFERROR(__xludf.DUMMYFUNCTION("""COMPUTED_VALUE"""),43626.0)</f>
        <v>43626</v>
      </c>
      <c r="G1858" s="154"/>
      <c r="H1858" s="131">
        <f>IFERROR(__xludf.DUMMYFUNCTION("""COMPUTED_VALUE"""),392055.0)</f>
        <v>392055</v>
      </c>
      <c r="I1858" s="144" t="str">
        <f>IFERROR(__xludf.DUMMYFUNCTION("""COMPUTED_VALUE"""),"06/19")</f>
        <v>06/19</v>
      </c>
      <c r="J1858" s="129">
        <f>IFERROR(__xludf.DUMMYFUNCTION("""COMPUTED_VALUE"""),43634.0)</f>
        <v>43634</v>
      </c>
      <c r="K1858" s="133">
        <f>IFERROR(__xludf.DUMMYFUNCTION("""COMPUTED_VALUE"""),6.0)</f>
        <v>6</v>
      </c>
      <c r="L1858" s="133">
        <f>IFERROR(__xludf.DUMMYFUNCTION("""COMPUTED_VALUE"""),8.0)</f>
        <v>8</v>
      </c>
      <c r="M1858" s="133">
        <f>IFERROR(__xludf.DUMMYFUNCTION("""COMPUTED_VALUE"""),14.0)</f>
        <v>14</v>
      </c>
      <c r="N1858" s="152" t="str">
        <f>IFERROR(__xludf.DUMMYFUNCTION("""COMPUTED_VALUE"""),"Model 3 LR AWD")</f>
        <v>Model 3 LR AWD</v>
      </c>
      <c r="O1858" s="152" t="str">
        <f>IFERROR(__xludf.DUMMYFUNCTION("""COMPUTED_VALUE"""),"Deep Blue Metallic")</f>
        <v>Deep Blue Metallic</v>
      </c>
      <c r="P1858" s="153" t="str">
        <f>IFERROR(__xludf.DUMMYFUNCTION("""COMPUTED_VALUE"""),"19 inch Sport")</f>
        <v>19 inch Sport</v>
      </c>
      <c r="Q1858" s="152" t="str">
        <f>IFERROR(__xludf.DUMMYFUNCTION("""COMPUTED_VALUE"""),"White seats")</f>
        <v>White seats</v>
      </c>
      <c r="R1858" s="149" t="str">
        <f>IFERROR(__xludf.DUMMYFUNCTION("""COMPUTED_VALUE"""),"Full Self-Driving")</f>
        <v>Full Self-Driving</v>
      </c>
      <c r="S1858" s="149"/>
      <c r="T1858" s="145"/>
      <c r="U1858" s="145"/>
      <c r="V1858" s="145"/>
      <c r="W1858" s="145"/>
      <c r="X1858" s="137" t="str">
        <f>IFERROR(__xludf.DUMMYFUNCTION("""COMPUTED_VALUE"""),"Very Good")</f>
        <v>Very Good</v>
      </c>
      <c r="Y1858" s="138" t="str">
        <f>IFERROR(__xludf.DUMMYFUNCTION("""COMPUTED_VALUE"""),"Good")</f>
        <v>Good</v>
      </c>
      <c r="Z1858" s="138" t="str">
        <f>IFERROR(__xludf.DUMMYFUNCTION("""COMPUTED_VALUE"""),"Good")</f>
        <v>Good</v>
      </c>
      <c r="AA1858" s="138" t="str">
        <f>IFERROR(__xludf.DUMMYFUNCTION("""COMPUTED_VALUE"""),"Very Good")</f>
        <v>Very Good</v>
      </c>
      <c r="AB1858" s="138" t="str">
        <f>IFERROR(__xludf.DUMMYFUNCTION("""COMPUTED_VALUE"""),"Excellent")</f>
        <v>Excellent</v>
      </c>
      <c r="AC1858" s="139">
        <f>IFERROR(__xludf.DUMMYFUNCTION("""COMPUTED_VALUE"""),1.0)</f>
        <v>1</v>
      </c>
      <c r="AD1858" s="139">
        <f>IFERROR(__xludf.DUMMYFUNCTION("""COMPUTED_VALUE"""),0.0)</f>
        <v>0</v>
      </c>
      <c r="AE1858" s="139"/>
      <c r="AF1858" s="140"/>
      <c r="AG1858" s="145"/>
      <c r="AH1858" s="157">
        <f>IFERROR(__xludf.DUMMYFUNCTION("""COMPUTED_VALUE"""),43647.73878094907)</f>
        <v>43647.73878</v>
      </c>
      <c r="AI1858" s="138"/>
      <c r="AJ1858" s="138"/>
      <c r="AK1858" s="138"/>
      <c r="AL1858" s="142"/>
    </row>
    <row r="1859" ht="20.25" customHeight="1">
      <c r="A1859" s="155" t="str">
        <f>IFERROR(__xludf.DUMMYFUNCTION("""COMPUTED_VALUE"""),"ReactionShot")</f>
        <v>ReactionShot</v>
      </c>
      <c r="B1859" s="149" t="str">
        <f>IFERROR(__xludf.DUMMYFUNCTION("""COMPUTED_VALUE"""),"Devon")</f>
        <v>Devon</v>
      </c>
      <c r="C1859" s="149" t="str">
        <f>IFERROR(__xludf.DUMMYFUNCTION("""COMPUTED_VALUE"""),"PA")</f>
        <v>PA</v>
      </c>
      <c r="D1859" s="149" t="str">
        <f>IFERROR(__xludf.DUMMYFUNCTION("""COMPUTED_VALUE"""),"USA")</f>
        <v>USA</v>
      </c>
      <c r="E1859" s="156">
        <f>IFERROR(__xludf.DUMMYFUNCTION("""COMPUTED_VALUE"""),43618.0)</f>
        <v>43618</v>
      </c>
      <c r="F1859" s="129">
        <f>IFERROR(__xludf.DUMMYFUNCTION("""COMPUTED_VALUE"""),43628.0)</f>
        <v>43628</v>
      </c>
      <c r="G1859" s="154"/>
      <c r="H1859" s="131">
        <f>IFERROR(__xludf.DUMMYFUNCTION("""COMPUTED_VALUE"""),388855.0)</f>
        <v>388855</v>
      </c>
      <c r="I1859" s="144"/>
      <c r="J1859" s="129">
        <f>IFERROR(__xludf.DUMMYFUNCTION("""COMPUTED_VALUE"""),43633.0)</f>
        <v>43633</v>
      </c>
      <c r="K1859" s="133">
        <f>IFERROR(__xludf.DUMMYFUNCTION("""COMPUTED_VALUE"""),10.0)</f>
        <v>10</v>
      </c>
      <c r="L1859" s="133">
        <f>IFERROR(__xludf.DUMMYFUNCTION("""COMPUTED_VALUE"""),5.0)</f>
        <v>5</v>
      </c>
      <c r="M1859" s="133">
        <f>IFERROR(__xludf.DUMMYFUNCTION("""COMPUTED_VALUE"""),15.0)</f>
        <v>15</v>
      </c>
      <c r="N1859" s="152" t="str">
        <f>IFERROR(__xludf.DUMMYFUNCTION("""COMPUTED_VALUE"""),"Model 3 LR AWD")</f>
        <v>Model 3 LR AWD</v>
      </c>
      <c r="O1859" s="152" t="str">
        <f>IFERROR(__xludf.DUMMYFUNCTION("""COMPUTED_VALUE"""),"Solid Black")</f>
        <v>Solid Black</v>
      </c>
      <c r="P1859" s="153" t="str">
        <f>IFERROR(__xludf.DUMMYFUNCTION("""COMPUTED_VALUE"""),"19 inch Sport")</f>
        <v>19 inch Sport</v>
      </c>
      <c r="Q1859" s="152" t="str">
        <f>IFERROR(__xludf.DUMMYFUNCTION("""COMPUTED_VALUE"""),"Black seats")</f>
        <v>Black seats</v>
      </c>
      <c r="R1859" s="149" t="str">
        <f>IFERROR(__xludf.DUMMYFUNCTION("""COMPUTED_VALUE"""),"Autopilot")</f>
        <v>Autopilot</v>
      </c>
      <c r="S1859" s="149"/>
      <c r="T1859" s="145"/>
      <c r="U1859" s="145"/>
      <c r="V1859" s="145"/>
      <c r="W1859" s="136"/>
      <c r="X1859" s="137" t="str">
        <f>IFERROR(__xludf.DUMMYFUNCTION("""COMPUTED_VALUE"""),"Excellent")</f>
        <v>Excellent</v>
      </c>
      <c r="Y1859" s="138" t="str">
        <f>IFERROR(__xludf.DUMMYFUNCTION("""COMPUTED_VALUE"""),"Excellent")</f>
        <v>Excellent</v>
      </c>
      <c r="Z1859" s="138" t="str">
        <f>IFERROR(__xludf.DUMMYFUNCTION("""COMPUTED_VALUE"""),"Excellent")</f>
        <v>Excellent</v>
      </c>
      <c r="AA1859" s="138" t="str">
        <f>IFERROR(__xludf.DUMMYFUNCTION("""COMPUTED_VALUE"""),"Very Good")</f>
        <v>Very Good</v>
      </c>
      <c r="AB1859" s="138" t="str">
        <f>IFERROR(__xludf.DUMMYFUNCTION("""COMPUTED_VALUE"""),"Excellent")</f>
        <v>Excellent</v>
      </c>
      <c r="AC1859" s="139">
        <f>IFERROR(__xludf.DUMMYFUNCTION("""COMPUTED_VALUE"""),0.0)</f>
        <v>0</v>
      </c>
      <c r="AD1859" s="139">
        <f>IFERROR(__xludf.DUMMYFUNCTION("""COMPUTED_VALUE"""),0.0)</f>
        <v>0</v>
      </c>
      <c r="AE1859" s="139">
        <f>IFERROR(__xludf.DUMMYFUNCTION("""COMPUTED_VALUE"""),0.0)</f>
        <v>0</v>
      </c>
      <c r="AF1859" s="140"/>
      <c r="AG1859" s="136" t="str">
        <f>IFERROR(__xludf.DUMMYFUNCTION("""COMPUTED_VALUE"""),"The only downside I experienced is that I have to take the model 3 to get a state inspection within 14 days.")</f>
        <v>The only downside I experienced is that I have to take the model 3 to get a state inspection within 14 days.</v>
      </c>
      <c r="AH1859" s="157">
        <f>IFERROR(__xludf.DUMMYFUNCTION("""COMPUTED_VALUE"""),43635.33503184027)</f>
        <v>43635.33503</v>
      </c>
      <c r="AI1859" s="138"/>
      <c r="AJ1859" s="138"/>
      <c r="AK1859" s="138"/>
      <c r="AL1859" s="142"/>
    </row>
    <row r="1860" ht="20.25" customHeight="1">
      <c r="A1860" s="155" t="str">
        <f>IFERROR(__xludf.DUMMYFUNCTION("""COMPUTED_VALUE"""),"Zeke")</f>
        <v>Zeke</v>
      </c>
      <c r="B1860" s="149" t="str">
        <f>IFERROR(__xludf.DUMMYFUNCTION("""COMPUTED_VALUE"""),"Portland")</f>
        <v>Portland</v>
      </c>
      <c r="C1860" s="149" t="str">
        <f>IFERROR(__xludf.DUMMYFUNCTION("""COMPUTED_VALUE"""),"OR")</f>
        <v>OR</v>
      </c>
      <c r="D1860" s="149" t="str">
        <f>IFERROR(__xludf.DUMMYFUNCTION("""COMPUTED_VALUE"""),"USA")</f>
        <v>USA</v>
      </c>
      <c r="E1860" s="156">
        <f>IFERROR(__xludf.DUMMYFUNCTION("""COMPUTED_VALUE"""),43617.0)</f>
        <v>43617</v>
      </c>
      <c r="F1860" s="129">
        <f>IFERROR(__xludf.DUMMYFUNCTION("""COMPUTED_VALUE"""),43621.0)</f>
        <v>43621</v>
      </c>
      <c r="G1860" s="154"/>
      <c r="H1860" s="131">
        <f>IFERROR(__xludf.DUMMYFUNCTION("""COMPUTED_VALUE"""),392955.0)</f>
        <v>392955</v>
      </c>
      <c r="I1860" s="132"/>
      <c r="J1860" s="129">
        <f>IFERROR(__xludf.DUMMYFUNCTION("""COMPUTED_VALUE"""),43624.0)</f>
        <v>43624</v>
      </c>
      <c r="K1860" s="133">
        <f>IFERROR(__xludf.DUMMYFUNCTION("""COMPUTED_VALUE"""),4.0)</f>
        <v>4</v>
      </c>
      <c r="L1860" s="133">
        <f>IFERROR(__xludf.DUMMYFUNCTION("""COMPUTED_VALUE"""),3.0)</f>
        <v>3</v>
      </c>
      <c r="M1860" s="133">
        <f>IFERROR(__xludf.DUMMYFUNCTION("""COMPUTED_VALUE"""),7.0)</f>
        <v>7</v>
      </c>
      <c r="N1860" s="152" t="str">
        <f>IFERROR(__xludf.DUMMYFUNCTION("""COMPUTED_VALUE"""),"Model 3 Performance")</f>
        <v>Model 3 Performance</v>
      </c>
      <c r="O1860" s="152" t="str">
        <f>IFERROR(__xludf.DUMMYFUNCTION("""COMPUTED_VALUE"""),"Midnight Silver Metallic")</f>
        <v>Midnight Silver Metallic</v>
      </c>
      <c r="P1860" s="153" t="str">
        <f>IFERROR(__xludf.DUMMYFUNCTION("""COMPUTED_VALUE"""),"20 inch Sport")</f>
        <v>20 inch Sport</v>
      </c>
      <c r="Q1860" s="152" t="str">
        <f>IFERROR(__xludf.DUMMYFUNCTION("""COMPUTED_VALUE"""),"Black seats")</f>
        <v>Black seats</v>
      </c>
      <c r="R1860" s="150" t="str">
        <f>IFERROR(__xludf.DUMMYFUNCTION("""COMPUTED_VALUE"""),"Full Self-Driving")</f>
        <v>Full Self-Driving</v>
      </c>
      <c r="S1860" s="150"/>
      <c r="T1860" s="136"/>
      <c r="U1860" s="136"/>
      <c r="V1860" s="136"/>
      <c r="W1860" s="136"/>
      <c r="X1860" s="137" t="str">
        <f>IFERROR(__xludf.DUMMYFUNCTION("""COMPUTED_VALUE"""),"Excellent")</f>
        <v>Excellent</v>
      </c>
      <c r="Y1860" s="138" t="str">
        <f>IFERROR(__xludf.DUMMYFUNCTION("""COMPUTED_VALUE"""),"Fair")</f>
        <v>Fair</v>
      </c>
      <c r="Z1860" s="138" t="str">
        <f>IFERROR(__xludf.DUMMYFUNCTION("""COMPUTED_VALUE"""),"Excellent")</f>
        <v>Excellent</v>
      </c>
      <c r="AA1860" s="138" t="str">
        <f>IFERROR(__xludf.DUMMYFUNCTION("""COMPUTED_VALUE"""),"Very Good")</f>
        <v>Very Good</v>
      </c>
      <c r="AB1860" s="138" t="str">
        <f>IFERROR(__xludf.DUMMYFUNCTION("""COMPUTED_VALUE"""),"Fair")</f>
        <v>Fair</v>
      </c>
      <c r="AC1860" s="139">
        <f>IFERROR(__xludf.DUMMYFUNCTION("""COMPUTED_VALUE"""),1.0)</f>
        <v>1</v>
      </c>
      <c r="AD1860" s="139">
        <f>IFERROR(__xludf.DUMMYFUNCTION("""COMPUTED_VALUE"""),1.0)</f>
        <v>1</v>
      </c>
      <c r="AE1860" s="139"/>
      <c r="AF1860" s="140"/>
      <c r="AG1860" s="136"/>
      <c r="AH1860" s="157">
        <f>IFERROR(__xludf.DUMMYFUNCTION("""COMPUTED_VALUE"""),43625.48419693287)</f>
        <v>43625.4842</v>
      </c>
      <c r="AI1860" s="138"/>
      <c r="AJ1860" s="138"/>
      <c r="AK1860" s="138"/>
      <c r="AL1860" s="142"/>
    </row>
    <row r="1861" ht="20.25" customHeight="1">
      <c r="A1861" s="155" t="str">
        <f>IFERROR(__xludf.DUMMYFUNCTION("""COMPUTED_VALUE"""),"lampcord")</f>
        <v>lampcord</v>
      </c>
      <c r="B1861" s="149" t="str">
        <f>IFERROR(__xludf.DUMMYFUNCTION("""COMPUTED_VALUE"""),"Fridley")</f>
        <v>Fridley</v>
      </c>
      <c r="C1861" s="149" t="str">
        <f>IFERROR(__xludf.DUMMYFUNCTION("""COMPUTED_VALUE"""),"MN")</f>
        <v>MN</v>
      </c>
      <c r="D1861" s="149" t="str">
        <f>IFERROR(__xludf.DUMMYFUNCTION("""COMPUTED_VALUE"""),"USA")</f>
        <v>USA</v>
      </c>
      <c r="E1861" s="156">
        <f>IFERROR(__xludf.DUMMYFUNCTION("""COMPUTED_VALUE"""),43616.0)</f>
        <v>43616</v>
      </c>
      <c r="F1861" s="129">
        <f>IFERROR(__xludf.DUMMYFUNCTION("""COMPUTED_VALUE"""),43628.0)</f>
        <v>43628</v>
      </c>
      <c r="G1861" s="154"/>
      <c r="H1861" s="131">
        <f>IFERROR(__xludf.DUMMYFUNCTION("""COMPUTED_VALUE"""),391655.0)</f>
        <v>391655</v>
      </c>
      <c r="I1861" s="132" t="str">
        <f>IFERROR(__xludf.DUMMYFUNCTION("""COMPUTED_VALUE"""),"06/19")</f>
        <v>06/19</v>
      </c>
      <c r="J1861" s="129">
        <f>IFERROR(__xludf.DUMMYFUNCTION("""COMPUTED_VALUE"""),43629.0)</f>
        <v>43629</v>
      </c>
      <c r="K1861" s="133">
        <f>IFERROR(__xludf.DUMMYFUNCTION("""COMPUTED_VALUE"""),12.0)</f>
        <v>12</v>
      </c>
      <c r="L1861" s="133">
        <f>IFERROR(__xludf.DUMMYFUNCTION("""COMPUTED_VALUE"""),1.0)</f>
        <v>1</v>
      </c>
      <c r="M1861" s="133">
        <f>IFERROR(__xludf.DUMMYFUNCTION("""COMPUTED_VALUE"""),13.0)</f>
        <v>13</v>
      </c>
      <c r="N1861" s="152" t="str">
        <f>IFERROR(__xludf.DUMMYFUNCTION("""COMPUTED_VALUE"""),"Model 3 LR AWD")</f>
        <v>Model 3 LR AWD</v>
      </c>
      <c r="O1861" s="152" t="str">
        <f>IFERROR(__xludf.DUMMYFUNCTION("""COMPUTED_VALUE"""),"Midnight Silver Metallic")</f>
        <v>Midnight Silver Metallic</v>
      </c>
      <c r="P1861" s="153" t="str">
        <f>IFERROR(__xludf.DUMMYFUNCTION("""COMPUTED_VALUE"""),"19 inch Sport")</f>
        <v>19 inch Sport</v>
      </c>
      <c r="Q1861" s="152" t="str">
        <f>IFERROR(__xludf.DUMMYFUNCTION("""COMPUTED_VALUE"""),"White seats")</f>
        <v>White seats</v>
      </c>
      <c r="R1861" s="150" t="str">
        <f>IFERROR(__xludf.DUMMYFUNCTION("""COMPUTED_VALUE"""),"Autopilot")</f>
        <v>Autopilot</v>
      </c>
      <c r="S1861" s="150"/>
      <c r="T1861" s="136"/>
      <c r="U1861" s="136"/>
      <c r="V1861" s="136"/>
      <c r="W1861" s="136"/>
      <c r="X1861" s="137" t="str">
        <f>IFERROR(__xludf.DUMMYFUNCTION("""COMPUTED_VALUE"""),"Excellent")</f>
        <v>Excellent</v>
      </c>
      <c r="Y1861" s="138" t="str">
        <f>IFERROR(__xludf.DUMMYFUNCTION("""COMPUTED_VALUE"""),"Excellent")</f>
        <v>Excellent</v>
      </c>
      <c r="Z1861" s="138" t="str">
        <f>IFERROR(__xludf.DUMMYFUNCTION("""COMPUTED_VALUE"""),"Excellent")</f>
        <v>Excellent</v>
      </c>
      <c r="AA1861" s="138" t="str">
        <f>IFERROR(__xludf.DUMMYFUNCTION("""COMPUTED_VALUE"""),"Very Good")</f>
        <v>Very Good</v>
      </c>
      <c r="AB1861" s="138" t="str">
        <f>IFERROR(__xludf.DUMMYFUNCTION("""COMPUTED_VALUE"""),"Very Good")</f>
        <v>Very Good</v>
      </c>
      <c r="AC1861" s="139">
        <f>IFERROR(__xludf.DUMMYFUNCTION("""COMPUTED_VALUE"""),0.0)</f>
        <v>0</v>
      </c>
      <c r="AD1861" s="139">
        <f>IFERROR(__xludf.DUMMYFUNCTION("""COMPUTED_VALUE"""),0.0)</f>
        <v>0</v>
      </c>
      <c r="AE1861" s="139">
        <f>IFERROR(__xludf.DUMMYFUNCTION("""COMPUTED_VALUE"""),0.0)</f>
        <v>0</v>
      </c>
      <c r="AF1861" s="140"/>
      <c r="AG1861" s="136" t="str">
        <f>IFERROR(__xludf.DUMMYFUNCTION("""COMPUTED_VALUE"""),"Was SR+ Blue / Blk / 18Aero. Switched to in inventory on 6/10 through salesperson.")</f>
        <v>Was SR+ Blue / Blk / 18Aero. Switched to in inventory on 6/10 through salesperson.</v>
      </c>
      <c r="AH1861" s="157">
        <f>IFERROR(__xludf.DUMMYFUNCTION("""COMPUTED_VALUE"""),43665.85982957175)</f>
        <v>43665.85983</v>
      </c>
      <c r="AI1861" s="138"/>
      <c r="AJ1861" s="138"/>
      <c r="AK1861" s="138"/>
      <c r="AL1861" s="142"/>
    </row>
    <row r="1862" ht="20.25" customHeight="1">
      <c r="A1862" s="155" t="str">
        <f>IFERROR(__xludf.DUMMYFUNCTION("""COMPUTED_VALUE"""),"necessaryevo")</f>
        <v>necessaryevo</v>
      </c>
      <c r="B1862" s="149" t="str">
        <f>IFERROR(__xludf.DUMMYFUNCTION("""COMPUTED_VALUE"""),"Savoy")</f>
        <v>Savoy</v>
      </c>
      <c r="C1862" s="149" t="str">
        <f>IFERROR(__xludf.DUMMYFUNCTION("""COMPUTED_VALUE"""),"IL")</f>
        <v>IL</v>
      </c>
      <c r="D1862" s="149" t="str">
        <f>IFERROR(__xludf.DUMMYFUNCTION("""COMPUTED_VALUE"""),"USA")</f>
        <v>USA</v>
      </c>
      <c r="E1862" s="156">
        <f>IFERROR(__xludf.DUMMYFUNCTION("""COMPUTED_VALUE"""),43616.0)</f>
        <v>43616</v>
      </c>
      <c r="F1862" s="129">
        <f>IFERROR(__xludf.DUMMYFUNCTION("""COMPUTED_VALUE"""),43620.0)</f>
        <v>43620</v>
      </c>
      <c r="G1862" s="154"/>
      <c r="H1862" s="131">
        <f>IFERROR(__xludf.DUMMYFUNCTION("""COMPUTED_VALUE"""),393128.0)</f>
        <v>393128</v>
      </c>
      <c r="I1862" s="144" t="str">
        <f>IFERROR(__xludf.DUMMYFUNCTION("""COMPUTED_VALUE"""),"06/19")</f>
        <v>06/19</v>
      </c>
      <c r="J1862" s="129">
        <f>IFERROR(__xludf.DUMMYFUNCTION("""COMPUTED_VALUE"""),43629.0)</f>
        <v>43629</v>
      </c>
      <c r="K1862" s="133">
        <f>IFERROR(__xludf.DUMMYFUNCTION("""COMPUTED_VALUE"""),4.0)</f>
        <v>4</v>
      </c>
      <c r="L1862" s="133">
        <f>IFERROR(__xludf.DUMMYFUNCTION("""COMPUTED_VALUE"""),9.0)</f>
        <v>9</v>
      </c>
      <c r="M1862" s="133">
        <f>IFERROR(__xludf.DUMMYFUNCTION("""COMPUTED_VALUE"""),13.0)</f>
        <v>13</v>
      </c>
      <c r="N1862" s="152" t="str">
        <f>IFERROR(__xludf.DUMMYFUNCTION("""COMPUTED_VALUE"""),"Model 3 Performance")</f>
        <v>Model 3 Performance</v>
      </c>
      <c r="O1862" s="152" t="str">
        <f>IFERROR(__xludf.DUMMYFUNCTION("""COMPUTED_VALUE"""),"Deep Blue Metallic")</f>
        <v>Deep Blue Metallic</v>
      </c>
      <c r="P1862" s="153" t="str">
        <f>IFERROR(__xludf.DUMMYFUNCTION("""COMPUTED_VALUE"""),"20 inch Sport")</f>
        <v>20 inch Sport</v>
      </c>
      <c r="Q1862" s="152" t="str">
        <f>IFERROR(__xludf.DUMMYFUNCTION("""COMPUTED_VALUE"""),"Black seats")</f>
        <v>Black seats</v>
      </c>
      <c r="R1862" s="149" t="str">
        <f>IFERROR(__xludf.DUMMYFUNCTION("""COMPUTED_VALUE"""),"Autopilot")</f>
        <v>Autopilot</v>
      </c>
      <c r="S1862" s="149"/>
      <c r="T1862" s="145"/>
      <c r="U1862" s="145"/>
      <c r="V1862" s="145"/>
      <c r="W1862" s="145"/>
      <c r="X1862" s="137" t="str">
        <f>IFERROR(__xludf.DUMMYFUNCTION("""COMPUTED_VALUE"""),"Excellent")</f>
        <v>Excellent</v>
      </c>
      <c r="Y1862" s="138" t="str">
        <f>IFERROR(__xludf.DUMMYFUNCTION("""COMPUTED_VALUE"""),"Excellent")</f>
        <v>Excellent</v>
      </c>
      <c r="Z1862" s="138" t="str">
        <f>IFERROR(__xludf.DUMMYFUNCTION("""COMPUTED_VALUE"""),"Very Good")</f>
        <v>Very Good</v>
      </c>
      <c r="AA1862" s="138" t="str">
        <f>IFERROR(__xludf.DUMMYFUNCTION("""COMPUTED_VALUE"""),"Very Good")</f>
        <v>Very Good</v>
      </c>
      <c r="AB1862" s="138" t="str">
        <f>IFERROR(__xludf.DUMMYFUNCTION("""COMPUTED_VALUE"""),"Excellent")</f>
        <v>Excellent</v>
      </c>
      <c r="AC1862" s="139">
        <f>IFERROR(__xludf.DUMMYFUNCTION("""COMPUTED_VALUE"""),2.0)</f>
        <v>2</v>
      </c>
      <c r="AD1862" s="139"/>
      <c r="AE1862" s="139"/>
      <c r="AF1862" s="140"/>
      <c r="AG1862" s="145"/>
      <c r="AH1862" s="157">
        <f>IFERROR(__xludf.DUMMYFUNCTION("""COMPUTED_VALUE"""),43634.33188638889)</f>
        <v>43634.33189</v>
      </c>
      <c r="AI1862" s="138"/>
      <c r="AJ1862" s="138"/>
      <c r="AK1862" s="138"/>
      <c r="AL1862" s="142"/>
    </row>
    <row r="1863" ht="20.25" customHeight="1">
      <c r="A1863" s="155" t="str">
        <f>IFERROR(__xludf.DUMMYFUNCTION("""COMPUTED_VALUE"""),"ScoTesla")</f>
        <v>ScoTesla</v>
      </c>
      <c r="B1863" s="149" t="str">
        <f>IFERROR(__xludf.DUMMYFUNCTION("""COMPUTED_VALUE"""),"MetroWest")</f>
        <v>MetroWest</v>
      </c>
      <c r="C1863" s="149" t="str">
        <f>IFERROR(__xludf.DUMMYFUNCTION("""COMPUTED_VALUE"""),"MA")</f>
        <v>MA</v>
      </c>
      <c r="D1863" s="149" t="str">
        <f>IFERROR(__xludf.DUMMYFUNCTION("""COMPUTED_VALUE"""),"USA")</f>
        <v>USA</v>
      </c>
      <c r="E1863" s="156">
        <f>IFERROR(__xludf.DUMMYFUNCTION("""COMPUTED_VALUE"""),43614.0)</f>
        <v>43614</v>
      </c>
      <c r="F1863" s="129">
        <f>IFERROR(__xludf.DUMMYFUNCTION("""COMPUTED_VALUE"""),43628.0)</f>
        <v>43628</v>
      </c>
      <c r="G1863" s="154"/>
      <c r="H1863" s="131">
        <f>IFERROR(__xludf.DUMMYFUNCTION("""COMPUTED_VALUE"""),407255.0)</f>
        <v>407255</v>
      </c>
      <c r="I1863" s="144" t="str">
        <f>IFERROR(__xludf.DUMMYFUNCTION("""COMPUTED_VALUE"""),"06/19")</f>
        <v>06/19</v>
      </c>
      <c r="J1863" s="129">
        <f>IFERROR(__xludf.DUMMYFUNCTION("""COMPUTED_VALUE"""),43637.0)</f>
        <v>43637</v>
      </c>
      <c r="K1863" s="133">
        <f>IFERROR(__xludf.DUMMYFUNCTION("""COMPUTED_VALUE"""),14.0)</f>
        <v>14</v>
      </c>
      <c r="L1863" s="133">
        <f>IFERROR(__xludf.DUMMYFUNCTION("""COMPUTED_VALUE"""),9.0)</f>
        <v>9</v>
      </c>
      <c r="M1863" s="133">
        <f>IFERROR(__xludf.DUMMYFUNCTION("""COMPUTED_VALUE"""),23.0)</f>
        <v>23</v>
      </c>
      <c r="N1863" s="152" t="str">
        <f>IFERROR(__xludf.DUMMYFUNCTION("""COMPUTED_VALUE"""),"Model 3 LR AWD")</f>
        <v>Model 3 LR AWD</v>
      </c>
      <c r="O1863" s="152" t="str">
        <f>IFERROR(__xludf.DUMMYFUNCTION("""COMPUTED_VALUE"""),"Deep Blue Metallic")</f>
        <v>Deep Blue Metallic</v>
      </c>
      <c r="P1863" s="153" t="str">
        <f>IFERROR(__xludf.DUMMYFUNCTION("""COMPUTED_VALUE"""),"18 inch Aero")</f>
        <v>18 inch Aero</v>
      </c>
      <c r="Q1863" s="152" t="str">
        <f>IFERROR(__xludf.DUMMYFUNCTION("""COMPUTED_VALUE"""),"White seats")</f>
        <v>White seats</v>
      </c>
      <c r="R1863" s="149" t="str">
        <f>IFERROR(__xludf.DUMMYFUNCTION("""COMPUTED_VALUE"""),"Full Self-Driving")</f>
        <v>Full Self-Driving</v>
      </c>
      <c r="S1863" s="149"/>
      <c r="T1863" s="145"/>
      <c r="U1863" s="145"/>
      <c r="V1863" s="145"/>
      <c r="W1863" s="145"/>
      <c r="X1863" s="137" t="str">
        <f>IFERROR(__xludf.DUMMYFUNCTION("""COMPUTED_VALUE"""),"Excellent")</f>
        <v>Excellent</v>
      </c>
      <c r="Y1863" s="138" t="str">
        <f>IFERROR(__xludf.DUMMYFUNCTION("""COMPUTED_VALUE"""),"Excellent")</f>
        <v>Excellent</v>
      </c>
      <c r="Z1863" s="138" t="str">
        <f>IFERROR(__xludf.DUMMYFUNCTION("""COMPUTED_VALUE"""),"Excellent")</f>
        <v>Excellent</v>
      </c>
      <c r="AA1863" s="138" t="str">
        <f>IFERROR(__xludf.DUMMYFUNCTION("""COMPUTED_VALUE"""),"Very Good")</f>
        <v>Very Good</v>
      </c>
      <c r="AB1863" s="138" t="str">
        <f>IFERROR(__xludf.DUMMYFUNCTION("""COMPUTED_VALUE"""),"Very Good")</f>
        <v>Very Good</v>
      </c>
      <c r="AC1863" s="139">
        <f>IFERROR(__xludf.DUMMYFUNCTION("""COMPUTED_VALUE"""),1.0)</f>
        <v>1</v>
      </c>
      <c r="AD1863" s="139"/>
      <c r="AE1863" s="139"/>
      <c r="AF1863" s="140"/>
      <c r="AG1863" s="145"/>
      <c r="AH1863" s="157">
        <f>IFERROR(__xludf.DUMMYFUNCTION("""COMPUTED_VALUE"""),43638.0211259375)</f>
        <v>43638.02113</v>
      </c>
      <c r="AI1863" s="138"/>
      <c r="AJ1863" s="138"/>
      <c r="AK1863" s="138"/>
      <c r="AL1863" s="142"/>
    </row>
    <row r="1864" ht="20.25" customHeight="1">
      <c r="A1864" s="155" t="str">
        <f>IFERROR(__xludf.DUMMYFUNCTION("""COMPUTED_VALUE"""),"llluis")</f>
        <v>llluis</v>
      </c>
      <c r="B1864" s="149" t="str">
        <f>IFERROR(__xludf.DUMMYFUNCTION("""COMPUTED_VALUE"""),"Quebec")</f>
        <v>Quebec</v>
      </c>
      <c r="C1864" s="149" t="str">
        <f>IFERROR(__xludf.DUMMYFUNCTION("""COMPUTED_VALUE"""),"QC")</f>
        <v>QC</v>
      </c>
      <c r="D1864" s="149" t="str">
        <f>IFERROR(__xludf.DUMMYFUNCTION("""COMPUTED_VALUE"""),"Canada")</f>
        <v>Canada</v>
      </c>
      <c r="E1864" s="156">
        <f>IFERROR(__xludf.DUMMYFUNCTION("""COMPUTED_VALUE"""),43613.0)</f>
        <v>43613</v>
      </c>
      <c r="F1864" s="129">
        <f>IFERROR(__xludf.DUMMYFUNCTION("""COMPUTED_VALUE"""),43625.0)</f>
        <v>43625</v>
      </c>
      <c r="G1864" s="154"/>
      <c r="H1864" s="131">
        <f>IFERROR(__xludf.DUMMYFUNCTION("""COMPUTED_VALUE"""),419055.0)</f>
        <v>419055</v>
      </c>
      <c r="I1864" s="144" t="str">
        <f>IFERROR(__xludf.DUMMYFUNCTION("""COMPUTED_VALUE"""),"06/19")</f>
        <v>06/19</v>
      </c>
      <c r="J1864" s="129">
        <f>IFERROR(__xludf.DUMMYFUNCTION("""COMPUTED_VALUE"""),43641.0)</f>
        <v>43641</v>
      </c>
      <c r="K1864" s="133">
        <f>IFERROR(__xludf.DUMMYFUNCTION("""COMPUTED_VALUE"""),12.0)</f>
        <v>12</v>
      </c>
      <c r="L1864" s="133">
        <f>IFERROR(__xludf.DUMMYFUNCTION("""COMPUTED_VALUE"""),16.0)</f>
        <v>16</v>
      </c>
      <c r="M1864" s="133">
        <f>IFERROR(__xludf.DUMMYFUNCTION("""COMPUTED_VALUE"""),28.0)</f>
        <v>28</v>
      </c>
      <c r="N1864" s="152" t="str">
        <f>IFERROR(__xludf.DUMMYFUNCTION("""COMPUTED_VALUE"""),"Model 3 SR+")</f>
        <v>Model 3 SR+</v>
      </c>
      <c r="O1864" s="152" t="str">
        <f>IFERROR(__xludf.DUMMYFUNCTION("""COMPUTED_VALUE"""),"Deep Blue Metallic")</f>
        <v>Deep Blue Metallic</v>
      </c>
      <c r="P1864" s="153" t="str">
        <f>IFERROR(__xludf.DUMMYFUNCTION("""COMPUTED_VALUE"""),"18 inch Aero")</f>
        <v>18 inch Aero</v>
      </c>
      <c r="Q1864" s="152" t="str">
        <f>IFERROR(__xludf.DUMMYFUNCTION("""COMPUTED_VALUE"""),"Black seats")</f>
        <v>Black seats</v>
      </c>
      <c r="R1864" s="149" t="str">
        <f>IFERROR(__xludf.DUMMYFUNCTION("""COMPUTED_VALUE"""),"Full Self-Driving")</f>
        <v>Full Self-Driving</v>
      </c>
      <c r="S1864" s="149"/>
      <c r="T1864" s="145"/>
      <c r="U1864" s="145"/>
      <c r="V1864" s="145"/>
      <c r="W1864" s="136"/>
      <c r="X1864" s="137" t="str">
        <f>IFERROR(__xludf.DUMMYFUNCTION("""COMPUTED_VALUE"""),"Excellent")</f>
        <v>Excellent</v>
      </c>
      <c r="Y1864" s="138" t="str">
        <f>IFERROR(__xludf.DUMMYFUNCTION("""COMPUTED_VALUE"""),"Excellent")</f>
        <v>Excellent</v>
      </c>
      <c r="Z1864" s="138" t="str">
        <f>IFERROR(__xludf.DUMMYFUNCTION("""COMPUTED_VALUE"""),"Very Good")</f>
        <v>Very Good</v>
      </c>
      <c r="AA1864" s="138" t="str">
        <f>IFERROR(__xludf.DUMMYFUNCTION("""COMPUTED_VALUE"""),"Very Good")</f>
        <v>Very Good</v>
      </c>
      <c r="AB1864" s="138" t="str">
        <f>IFERROR(__xludf.DUMMYFUNCTION("""COMPUTED_VALUE"""),"Excellent")</f>
        <v>Excellent</v>
      </c>
      <c r="AC1864" s="139">
        <f>IFERROR(__xludf.DUMMYFUNCTION("""COMPUTED_VALUE"""),1.0)</f>
        <v>1</v>
      </c>
      <c r="AD1864" s="139"/>
      <c r="AE1864" s="139"/>
      <c r="AF1864" s="140"/>
      <c r="AG1864" s="145"/>
      <c r="AH1864" s="157">
        <f>IFERROR(__xludf.DUMMYFUNCTION("""COMPUTED_VALUE"""),43641.86077681713)</f>
        <v>43641.86078</v>
      </c>
      <c r="AI1864" s="138"/>
      <c r="AJ1864" s="138"/>
      <c r="AK1864" s="138"/>
      <c r="AL1864" s="142"/>
    </row>
    <row r="1865" ht="20.25" customHeight="1">
      <c r="A1865" s="155" t="str">
        <f>IFERROR(__xludf.DUMMYFUNCTION("""COMPUTED_VALUE"""),"RedNeB")</f>
        <v>RedNeB</v>
      </c>
      <c r="B1865" s="149"/>
      <c r="C1865" s="149" t="str">
        <f>IFERROR(__xludf.DUMMYFUNCTION("""COMPUTED_VALUE"""),"CT")</f>
        <v>CT</v>
      </c>
      <c r="D1865" s="149" t="str">
        <f>IFERROR(__xludf.DUMMYFUNCTION("""COMPUTED_VALUE"""),"USA")</f>
        <v>USA</v>
      </c>
      <c r="E1865" s="156">
        <f>IFERROR(__xludf.DUMMYFUNCTION("""COMPUTED_VALUE"""),43613.0)</f>
        <v>43613</v>
      </c>
      <c r="F1865" s="129">
        <f>IFERROR(__xludf.DUMMYFUNCTION("""COMPUTED_VALUE"""),43621.0)</f>
        <v>43621</v>
      </c>
      <c r="G1865" s="154"/>
      <c r="H1865" s="131">
        <f>IFERROR(__xludf.DUMMYFUNCTION("""COMPUTED_VALUE"""),388255.0)</f>
        <v>388255</v>
      </c>
      <c r="I1865" s="132" t="str">
        <f>IFERROR(__xludf.DUMMYFUNCTION("""COMPUTED_VALUE"""),"06/19")</f>
        <v>06/19</v>
      </c>
      <c r="J1865" s="129">
        <f>IFERROR(__xludf.DUMMYFUNCTION("""COMPUTED_VALUE"""),43628.0)</f>
        <v>43628</v>
      </c>
      <c r="K1865" s="133">
        <f>IFERROR(__xludf.DUMMYFUNCTION("""COMPUTED_VALUE"""),8.0)</f>
        <v>8</v>
      </c>
      <c r="L1865" s="133">
        <f>IFERROR(__xludf.DUMMYFUNCTION("""COMPUTED_VALUE"""),7.0)</f>
        <v>7</v>
      </c>
      <c r="M1865" s="133">
        <f>IFERROR(__xludf.DUMMYFUNCTION("""COMPUTED_VALUE"""),15.0)</f>
        <v>15</v>
      </c>
      <c r="N1865" s="152" t="str">
        <f>IFERROR(__xludf.DUMMYFUNCTION("""COMPUTED_VALUE"""),"Model 3 LR AWD")</f>
        <v>Model 3 LR AWD</v>
      </c>
      <c r="O1865" s="152" t="str">
        <f>IFERROR(__xludf.DUMMYFUNCTION("""COMPUTED_VALUE"""),"Pearl White Multi-Coat")</f>
        <v>Pearl White Multi-Coat</v>
      </c>
      <c r="P1865" s="153" t="str">
        <f>IFERROR(__xludf.DUMMYFUNCTION("""COMPUTED_VALUE"""),"18 inch Aero")</f>
        <v>18 inch Aero</v>
      </c>
      <c r="Q1865" s="152" t="str">
        <f>IFERROR(__xludf.DUMMYFUNCTION("""COMPUTED_VALUE"""),"Black seats")</f>
        <v>Black seats</v>
      </c>
      <c r="R1865" s="150" t="str">
        <f>IFERROR(__xludf.DUMMYFUNCTION("""COMPUTED_VALUE"""),"Autopilot")</f>
        <v>Autopilot</v>
      </c>
      <c r="S1865" s="150"/>
      <c r="T1865" s="136"/>
      <c r="U1865" s="136"/>
      <c r="V1865" s="136"/>
      <c r="W1865" s="136"/>
      <c r="X1865" s="137" t="str">
        <f>IFERROR(__xludf.DUMMYFUNCTION("""COMPUTED_VALUE"""),"Excellent")</f>
        <v>Excellent</v>
      </c>
      <c r="Y1865" s="138" t="str">
        <f>IFERROR(__xludf.DUMMYFUNCTION("""COMPUTED_VALUE"""),"Excellent")</f>
        <v>Excellent</v>
      </c>
      <c r="Z1865" s="138" t="str">
        <f>IFERROR(__xludf.DUMMYFUNCTION("""COMPUTED_VALUE"""),"Excellent")</f>
        <v>Excellent</v>
      </c>
      <c r="AA1865" s="138" t="str">
        <f>IFERROR(__xludf.DUMMYFUNCTION("""COMPUTED_VALUE"""),"Excellent")</f>
        <v>Excellent</v>
      </c>
      <c r="AB1865" s="138" t="str">
        <f>IFERROR(__xludf.DUMMYFUNCTION("""COMPUTED_VALUE"""),"Excellent")</f>
        <v>Excellent</v>
      </c>
      <c r="AC1865" s="139"/>
      <c r="AD1865" s="139"/>
      <c r="AE1865" s="139"/>
      <c r="AF1865" s="140"/>
      <c r="AG1865" s="136"/>
      <c r="AH1865" s="157">
        <f>IFERROR(__xludf.DUMMYFUNCTION("""COMPUTED_VALUE"""),43629.237417094904)</f>
        <v>43629.23742</v>
      </c>
      <c r="AI1865" s="138"/>
      <c r="AJ1865" s="138"/>
      <c r="AK1865" s="138"/>
      <c r="AL1865" s="142"/>
    </row>
    <row r="1866" ht="20.25" customHeight="1">
      <c r="A1866" s="155" t="str">
        <f>IFERROR(__xludf.DUMMYFUNCTION("""COMPUTED_VALUE"""),"T4zi114")</f>
        <v>T4zi114</v>
      </c>
      <c r="B1866" s="149" t="str">
        <f>IFERROR(__xludf.DUMMYFUNCTION("""COMPUTED_VALUE"""),"Tacoma")</f>
        <v>Tacoma</v>
      </c>
      <c r="C1866" s="149" t="str">
        <f>IFERROR(__xludf.DUMMYFUNCTION("""COMPUTED_VALUE"""),"WA")</f>
        <v>WA</v>
      </c>
      <c r="D1866" s="149" t="str">
        <f>IFERROR(__xludf.DUMMYFUNCTION("""COMPUTED_VALUE"""),"USA")</f>
        <v>USA</v>
      </c>
      <c r="E1866" s="156">
        <f>IFERROR(__xludf.DUMMYFUNCTION("""COMPUTED_VALUE"""),43613.0)</f>
        <v>43613</v>
      </c>
      <c r="F1866" s="129">
        <f>IFERROR(__xludf.DUMMYFUNCTION("""COMPUTED_VALUE"""),43631.0)</f>
        <v>43631</v>
      </c>
      <c r="G1866" s="154"/>
      <c r="H1866" s="131">
        <f>IFERROR(__xludf.DUMMYFUNCTION("""COMPUTED_VALUE"""),322792.0)</f>
        <v>322792</v>
      </c>
      <c r="I1866" s="132" t="str">
        <f>IFERROR(__xludf.DUMMYFUNCTION("""COMPUTED_VALUE"""),"03/19")</f>
        <v>03/19</v>
      </c>
      <c r="J1866" s="129">
        <f>IFERROR(__xludf.DUMMYFUNCTION("""COMPUTED_VALUE"""),43636.0)</f>
        <v>43636</v>
      </c>
      <c r="K1866" s="133">
        <f>IFERROR(__xludf.DUMMYFUNCTION("""COMPUTED_VALUE"""),18.0)</f>
        <v>18</v>
      </c>
      <c r="L1866" s="133">
        <f>IFERROR(__xludf.DUMMYFUNCTION("""COMPUTED_VALUE"""),5.0)</f>
        <v>5</v>
      </c>
      <c r="M1866" s="133">
        <f>IFERROR(__xludf.DUMMYFUNCTION("""COMPUTED_VALUE"""),23.0)</f>
        <v>23</v>
      </c>
      <c r="N1866" s="152" t="str">
        <f>IFERROR(__xludf.DUMMYFUNCTION("""COMPUTED_VALUE"""),"Model 3 LR")</f>
        <v>Model 3 LR</v>
      </c>
      <c r="O1866" s="152" t="str">
        <f>IFERROR(__xludf.DUMMYFUNCTION("""COMPUTED_VALUE"""),"Pearl White Multi-Coat")</f>
        <v>Pearl White Multi-Coat</v>
      </c>
      <c r="P1866" s="153" t="str">
        <f>IFERROR(__xludf.DUMMYFUNCTION("""COMPUTED_VALUE"""),"18 inch Aero")</f>
        <v>18 inch Aero</v>
      </c>
      <c r="Q1866" s="152" t="str">
        <f>IFERROR(__xludf.DUMMYFUNCTION("""COMPUTED_VALUE"""),"White seats")</f>
        <v>White seats</v>
      </c>
      <c r="R1866" s="150" t="str">
        <f>IFERROR(__xludf.DUMMYFUNCTION("""COMPUTED_VALUE"""),"Autopilot")</f>
        <v>Autopilot</v>
      </c>
      <c r="S1866" s="150"/>
      <c r="T1866" s="136"/>
      <c r="U1866" s="136"/>
      <c r="V1866" s="136"/>
      <c r="W1866" s="145"/>
      <c r="X1866" s="137" t="str">
        <f>IFERROR(__xludf.DUMMYFUNCTION("""COMPUTED_VALUE"""),"Excellent")</f>
        <v>Excellent</v>
      </c>
      <c r="Y1866" s="138" t="str">
        <f>IFERROR(__xludf.DUMMYFUNCTION("""COMPUTED_VALUE"""),"Very Good")</f>
        <v>Very Good</v>
      </c>
      <c r="Z1866" s="138" t="str">
        <f>IFERROR(__xludf.DUMMYFUNCTION("""COMPUTED_VALUE"""),"Excellent")</f>
        <v>Excellent</v>
      </c>
      <c r="AA1866" s="138" t="str">
        <f>IFERROR(__xludf.DUMMYFUNCTION("""COMPUTED_VALUE"""),"Good")</f>
        <v>Good</v>
      </c>
      <c r="AB1866" s="138" t="str">
        <f>IFERROR(__xludf.DUMMYFUNCTION("""COMPUTED_VALUE"""),"Very Good")</f>
        <v>Very Good</v>
      </c>
      <c r="AC1866" s="139"/>
      <c r="AD1866" s="139"/>
      <c r="AE1866" s="139"/>
      <c r="AF1866" s="140"/>
      <c r="AG1866" s="145"/>
      <c r="AH1866" s="157">
        <f>IFERROR(__xludf.DUMMYFUNCTION("""COMPUTED_VALUE"""),43649.93235489583)</f>
        <v>43649.93235</v>
      </c>
      <c r="AI1866" s="138"/>
      <c r="AJ1866" s="138"/>
      <c r="AK1866" s="138"/>
      <c r="AL1866" s="142"/>
    </row>
    <row r="1867" ht="20.25" customHeight="1">
      <c r="A1867" s="155" t="str">
        <f>IFERROR(__xludf.DUMMYFUNCTION("""COMPUTED_VALUE"""),"Eugr")</f>
        <v>Eugr</v>
      </c>
      <c r="B1867" s="149" t="str">
        <f>IFERROR(__xludf.DUMMYFUNCTION("""COMPUTED_VALUE"""),"San Diego")</f>
        <v>San Diego</v>
      </c>
      <c r="C1867" s="149" t="str">
        <f>IFERROR(__xludf.DUMMYFUNCTION("""COMPUTED_VALUE"""),"CA")</f>
        <v>CA</v>
      </c>
      <c r="D1867" s="149" t="str">
        <f>IFERROR(__xludf.DUMMYFUNCTION("""COMPUTED_VALUE"""),"USA")</f>
        <v>USA</v>
      </c>
      <c r="E1867" s="156">
        <f>IFERROR(__xludf.DUMMYFUNCTION("""COMPUTED_VALUE"""),43612.0)</f>
        <v>43612</v>
      </c>
      <c r="F1867" s="129">
        <f>IFERROR(__xludf.DUMMYFUNCTION("""COMPUTED_VALUE"""),43620.0)</f>
        <v>43620</v>
      </c>
      <c r="G1867" s="154"/>
      <c r="H1867" s="131">
        <f>IFERROR(__xludf.DUMMYFUNCTION("""COMPUTED_VALUE"""),387555.0)</f>
        <v>387555</v>
      </c>
      <c r="I1867" s="144"/>
      <c r="J1867" s="129">
        <f>IFERROR(__xludf.DUMMYFUNCTION("""COMPUTED_VALUE"""),43624.0)</f>
        <v>43624</v>
      </c>
      <c r="K1867" s="133">
        <f>IFERROR(__xludf.DUMMYFUNCTION("""COMPUTED_VALUE"""),8.0)</f>
        <v>8</v>
      </c>
      <c r="L1867" s="133">
        <f>IFERROR(__xludf.DUMMYFUNCTION("""COMPUTED_VALUE"""),4.0)</f>
        <v>4</v>
      </c>
      <c r="M1867" s="133">
        <f>IFERROR(__xludf.DUMMYFUNCTION("""COMPUTED_VALUE"""),12.0)</f>
        <v>12</v>
      </c>
      <c r="N1867" s="152" t="str">
        <f>IFERROR(__xludf.DUMMYFUNCTION("""COMPUTED_VALUE"""),"Model 3 LR AWD")</f>
        <v>Model 3 LR AWD</v>
      </c>
      <c r="O1867" s="152" t="str">
        <f>IFERROR(__xludf.DUMMYFUNCTION("""COMPUTED_VALUE"""),"Deep Blue Metallic")</f>
        <v>Deep Blue Metallic</v>
      </c>
      <c r="P1867" s="153" t="str">
        <f>IFERROR(__xludf.DUMMYFUNCTION("""COMPUTED_VALUE"""),"18 inch Aero")</f>
        <v>18 inch Aero</v>
      </c>
      <c r="Q1867" s="152" t="str">
        <f>IFERROR(__xludf.DUMMYFUNCTION("""COMPUTED_VALUE"""),"Black seats")</f>
        <v>Black seats</v>
      </c>
      <c r="R1867" s="149" t="str">
        <f>IFERROR(__xludf.DUMMYFUNCTION("""COMPUTED_VALUE"""),"Autopilot")</f>
        <v>Autopilot</v>
      </c>
      <c r="S1867" s="149"/>
      <c r="T1867" s="145"/>
      <c r="U1867" s="145"/>
      <c r="V1867" s="145"/>
      <c r="W1867" s="145"/>
      <c r="X1867" s="151" t="str">
        <f>IFERROR(__xludf.DUMMYFUNCTION("""COMPUTED_VALUE"""),"Good")</f>
        <v>Good</v>
      </c>
      <c r="Y1867" s="138" t="str">
        <f>IFERROR(__xludf.DUMMYFUNCTION("""COMPUTED_VALUE"""),"Very Good")</f>
        <v>Very Good</v>
      </c>
      <c r="Z1867" s="138" t="str">
        <f>IFERROR(__xludf.DUMMYFUNCTION("""COMPUTED_VALUE"""),"Good")</f>
        <v>Good</v>
      </c>
      <c r="AA1867" s="138" t="str">
        <f>IFERROR(__xludf.DUMMYFUNCTION("""COMPUTED_VALUE"""),"Fair")</f>
        <v>Fair</v>
      </c>
      <c r="AB1867" s="138" t="str">
        <f>IFERROR(__xludf.DUMMYFUNCTION("""COMPUTED_VALUE"""),"Fair")</f>
        <v>Fair</v>
      </c>
      <c r="AC1867" s="139">
        <f>IFERROR(__xludf.DUMMYFUNCTION("""COMPUTED_VALUE"""),1.0)</f>
        <v>1</v>
      </c>
      <c r="AD1867" s="139"/>
      <c r="AE1867" s="139"/>
      <c r="AF1867" s="140"/>
      <c r="AG1867" s="145"/>
      <c r="AH1867" s="157">
        <f>IFERROR(__xludf.DUMMYFUNCTION("""COMPUTED_VALUE"""),43627.50744263889)</f>
        <v>43627.50744</v>
      </c>
      <c r="AI1867" s="138"/>
      <c r="AJ1867" s="138"/>
      <c r="AK1867" s="138"/>
      <c r="AL1867" s="142"/>
    </row>
    <row r="1868" ht="20.25" customHeight="1">
      <c r="A1868" s="155" t="str">
        <f>IFERROR(__xludf.DUMMYFUNCTION("""COMPUTED_VALUE"""),"Evan862")</f>
        <v>Evan862</v>
      </c>
      <c r="B1868" s="149" t="str">
        <f>IFERROR(__xludf.DUMMYFUNCTION("""COMPUTED_VALUE"""),"Monterey")</f>
        <v>Monterey</v>
      </c>
      <c r="C1868" s="149" t="str">
        <f>IFERROR(__xludf.DUMMYFUNCTION("""COMPUTED_VALUE"""),"CA")</f>
        <v>CA</v>
      </c>
      <c r="D1868" s="149" t="str">
        <f>IFERROR(__xludf.DUMMYFUNCTION("""COMPUTED_VALUE"""),"USA")</f>
        <v>USA</v>
      </c>
      <c r="E1868" s="156">
        <f>IFERROR(__xludf.DUMMYFUNCTION("""COMPUTED_VALUE"""),43612.0)</f>
        <v>43612</v>
      </c>
      <c r="F1868" s="129">
        <f>IFERROR(__xludf.DUMMYFUNCTION("""COMPUTED_VALUE"""),43628.0)</f>
        <v>43628</v>
      </c>
      <c r="G1868" s="154"/>
      <c r="H1868" s="131">
        <f>IFERROR(__xludf.DUMMYFUNCTION("""COMPUTED_VALUE"""),386555.0)</f>
        <v>386555</v>
      </c>
      <c r="I1868" s="144"/>
      <c r="J1868" s="129">
        <f>IFERROR(__xludf.DUMMYFUNCTION("""COMPUTED_VALUE"""),43631.0)</f>
        <v>43631</v>
      </c>
      <c r="K1868" s="133">
        <f>IFERROR(__xludf.DUMMYFUNCTION("""COMPUTED_VALUE"""),16.0)</f>
        <v>16</v>
      </c>
      <c r="L1868" s="133">
        <f>IFERROR(__xludf.DUMMYFUNCTION("""COMPUTED_VALUE"""),3.0)</f>
        <v>3</v>
      </c>
      <c r="M1868" s="133">
        <f>IFERROR(__xludf.DUMMYFUNCTION("""COMPUTED_VALUE"""),19.0)</f>
        <v>19</v>
      </c>
      <c r="N1868" s="152" t="str">
        <f>IFERROR(__xludf.DUMMYFUNCTION("""COMPUTED_VALUE"""),"Model 3 LR AWD")</f>
        <v>Model 3 LR AWD</v>
      </c>
      <c r="O1868" s="152" t="str">
        <f>IFERROR(__xludf.DUMMYFUNCTION("""COMPUTED_VALUE"""),"Midnight Silver Metallic")</f>
        <v>Midnight Silver Metallic</v>
      </c>
      <c r="P1868" s="153" t="str">
        <f>IFERROR(__xludf.DUMMYFUNCTION("""COMPUTED_VALUE"""),"18 inch Aero")</f>
        <v>18 inch Aero</v>
      </c>
      <c r="Q1868" s="152" t="str">
        <f>IFERROR(__xludf.DUMMYFUNCTION("""COMPUTED_VALUE"""),"Black seats")</f>
        <v>Black seats</v>
      </c>
      <c r="R1868" s="149" t="str">
        <f>IFERROR(__xludf.DUMMYFUNCTION("""COMPUTED_VALUE"""),"Autopilot")</f>
        <v>Autopilot</v>
      </c>
      <c r="S1868" s="149"/>
      <c r="T1868" s="145"/>
      <c r="U1868" s="145"/>
      <c r="V1868" s="145"/>
      <c r="W1868" s="145"/>
      <c r="X1868" s="137" t="str">
        <f>IFERROR(__xludf.DUMMYFUNCTION("""COMPUTED_VALUE"""),"Very Good")</f>
        <v>Very Good</v>
      </c>
      <c r="Y1868" s="138" t="str">
        <f>IFERROR(__xludf.DUMMYFUNCTION("""COMPUTED_VALUE"""),"Excellent")</f>
        <v>Excellent</v>
      </c>
      <c r="Z1868" s="138" t="str">
        <f>IFERROR(__xludf.DUMMYFUNCTION("""COMPUTED_VALUE"""),"Very Good")</f>
        <v>Very Good</v>
      </c>
      <c r="AA1868" s="138" t="str">
        <f>IFERROR(__xludf.DUMMYFUNCTION("""COMPUTED_VALUE"""),"Good")</f>
        <v>Good</v>
      </c>
      <c r="AB1868" s="138" t="str">
        <f>IFERROR(__xludf.DUMMYFUNCTION("""COMPUTED_VALUE"""),"Fair")</f>
        <v>Fair</v>
      </c>
      <c r="AC1868" s="139"/>
      <c r="AD1868" s="139"/>
      <c r="AE1868" s="139"/>
      <c r="AF1868" s="140"/>
      <c r="AG1868" s="145"/>
      <c r="AH1868" s="157">
        <f>IFERROR(__xludf.DUMMYFUNCTION("""COMPUTED_VALUE"""),43633.43613739583)</f>
        <v>43633.43614</v>
      </c>
      <c r="AI1868" s="138"/>
      <c r="AJ1868" s="138"/>
      <c r="AK1868" s="138"/>
      <c r="AL1868" s="142"/>
    </row>
    <row r="1869" ht="20.25" customHeight="1">
      <c r="A1869" s="155" t="str">
        <f>IFERROR(__xludf.DUMMYFUNCTION("""COMPUTED_VALUE"""),"lax1mxb")</f>
        <v>lax1mxb</v>
      </c>
      <c r="B1869" s="149" t="str">
        <f>IFERROR(__xludf.DUMMYFUNCTION("""COMPUTED_VALUE"""),"La Mirada")</f>
        <v>La Mirada</v>
      </c>
      <c r="C1869" s="149" t="str">
        <f>IFERROR(__xludf.DUMMYFUNCTION("""COMPUTED_VALUE"""),"CA")</f>
        <v>CA</v>
      </c>
      <c r="D1869" s="149" t="str">
        <f>IFERROR(__xludf.DUMMYFUNCTION("""COMPUTED_VALUE"""),"USA")</f>
        <v>USA</v>
      </c>
      <c r="E1869" s="156">
        <f>IFERROR(__xludf.DUMMYFUNCTION("""COMPUTED_VALUE"""),43612.0)</f>
        <v>43612</v>
      </c>
      <c r="F1869" s="129">
        <f>IFERROR(__xludf.DUMMYFUNCTION("""COMPUTED_VALUE"""),43630.0)</f>
        <v>43630</v>
      </c>
      <c r="G1869" s="154"/>
      <c r="H1869" s="131">
        <f>IFERROR(__xludf.DUMMYFUNCTION("""COMPUTED_VALUE"""),337755.0)</f>
        <v>337755</v>
      </c>
      <c r="I1869" s="144" t="str">
        <f>IFERROR(__xludf.DUMMYFUNCTION("""COMPUTED_VALUE"""),"06/19")</f>
        <v>06/19</v>
      </c>
      <c r="J1869" s="129">
        <f>IFERROR(__xludf.DUMMYFUNCTION("""COMPUTED_VALUE"""),43634.0)</f>
        <v>43634</v>
      </c>
      <c r="K1869" s="133">
        <f>IFERROR(__xludf.DUMMYFUNCTION("""COMPUTED_VALUE"""),18.0)</f>
        <v>18</v>
      </c>
      <c r="L1869" s="133">
        <f>IFERROR(__xludf.DUMMYFUNCTION("""COMPUTED_VALUE"""),4.0)</f>
        <v>4</v>
      </c>
      <c r="M1869" s="133">
        <f>IFERROR(__xludf.DUMMYFUNCTION("""COMPUTED_VALUE"""),22.0)</f>
        <v>22</v>
      </c>
      <c r="N1869" s="152" t="str">
        <f>IFERROR(__xludf.DUMMYFUNCTION("""COMPUTED_VALUE"""),"Model 3 LR")</f>
        <v>Model 3 LR</v>
      </c>
      <c r="O1869" s="152" t="str">
        <f>IFERROR(__xludf.DUMMYFUNCTION("""COMPUTED_VALUE"""),"Solid Black")</f>
        <v>Solid Black</v>
      </c>
      <c r="P1869" s="153" t="str">
        <f>IFERROR(__xludf.DUMMYFUNCTION("""COMPUTED_VALUE"""),"19 inch Sport")</f>
        <v>19 inch Sport</v>
      </c>
      <c r="Q1869" s="152" t="str">
        <f>IFERROR(__xludf.DUMMYFUNCTION("""COMPUTED_VALUE"""),"Black seats")</f>
        <v>Black seats</v>
      </c>
      <c r="R1869" s="149" t="str">
        <f>IFERROR(__xludf.DUMMYFUNCTION("""COMPUTED_VALUE"""),"Full Self-Driving")</f>
        <v>Full Self-Driving</v>
      </c>
      <c r="S1869" s="149"/>
      <c r="T1869" s="145"/>
      <c r="U1869" s="145"/>
      <c r="V1869" s="145"/>
      <c r="W1869" s="145"/>
      <c r="X1869" s="137" t="str">
        <f>IFERROR(__xludf.DUMMYFUNCTION("""COMPUTED_VALUE"""),"Very Good")</f>
        <v>Very Good</v>
      </c>
      <c r="Y1869" s="138" t="str">
        <f>IFERROR(__xludf.DUMMYFUNCTION("""COMPUTED_VALUE"""),"Excellent")</f>
        <v>Excellent</v>
      </c>
      <c r="Z1869" s="138" t="str">
        <f>IFERROR(__xludf.DUMMYFUNCTION("""COMPUTED_VALUE"""),"Excellent")</f>
        <v>Excellent</v>
      </c>
      <c r="AA1869" s="138" t="str">
        <f>IFERROR(__xludf.DUMMYFUNCTION("""COMPUTED_VALUE"""),"Excellent")</f>
        <v>Excellent</v>
      </c>
      <c r="AB1869" s="138" t="str">
        <f>IFERROR(__xludf.DUMMYFUNCTION("""COMPUTED_VALUE"""),"Excellent")</f>
        <v>Excellent</v>
      </c>
      <c r="AC1869" s="139">
        <f>IFERROR(__xludf.DUMMYFUNCTION("""COMPUTED_VALUE"""),1.0)</f>
        <v>1</v>
      </c>
      <c r="AD1869" s="139">
        <f>IFERROR(__xludf.DUMMYFUNCTION("""COMPUTED_VALUE"""),0.0)</f>
        <v>0</v>
      </c>
      <c r="AE1869" s="139">
        <f>IFERROR(__xludf.DUMMYFUNCTION("""COMPUTED_VALUE"""),0.0)</f>
        <v>0</v>
      </c>
      <c r="AF1869" s="140"/>
      <c r="AG1869" s="145"/>
      <c r="AH1869" s="157">
        <f>IFERROR(__xludf.DUMMYFUNCTION("""COMPUTED_VALUE"""),43636.29206644675)</f>
        <v>43636.29207</v>
      </c>
      <c r="AI1869" s="138"/>
      <c r="AJ1869" s="138"/>
      <c r="AK1869" s="138"/>
      <c r="AL1869" s="142"/>
    </row>
    <row r="1870" ht="20.25" customHeight="1">
      <c r="A1870" s="155" t="str">
        <f>IFERROR(__xludf.DUMMYFUNCTION("""COMPUTED_VALUE"""),"thengal")</f>
        <v>thengal</v>
      </c>
      <c r="B1870" s="149" t="str">
        <f>IFERROR(__xludf.DUMMYFUNCTION("""COMPUTED_VALUE"""),"Sacramento")</f>
        <v>Sacramento</v>
      </c>
      <c r="C1870" s="149" t="str">
        <f>IFERROR(__xludf.DUMMYFUNCTION("""COMPUTED_VALUE"""),"CA")</f>
        <v>CA</v>
      </c>
      <c r="D1870" s="149" t="str">
        <f>IFERROR(__xludf.DUMMYFUNCTION("""COMPUTED_VALUE"""),"USA")</f>
        <v>USA</v>
      </c>
      <c r="E1870" s="156">
        <f>IFERROR(__xludf.DUMMYFUNCTION("""COMPUTED_VALUE"""),43612.0)</f>
        <v>43612</v>
      </c>
      <c r="F1870" s="129">
        <f>IFERROR(__xludf.DUMMYFUNCTION("""COMPUTED_VALUE"""),43622.0)</f>
        <v>43622</v>
      </c>
      <c r="G1870" s="154"/>
      <c r="H1870" s="131"/>
      <c r="I1870" s="132" t="str">
        <f>IFERROR(__xludf.DUMMYFUNCTION("""COMPUTED_VALUE"""),"06/19")</f>
        <v>06/19</v>
      </c>
      <c r="J1870" s="129">
        <f>IFERROR(__xludf.DUMMYFUNCTION("""COMPUTED_VALUE"""),43622.0)</f>
        <v>43622</v>
      </c>
      <c r="K1870" s="133">
        <f>IFERROR(__xludf.DUMMYFUNCTION("""COMPUTED_VALUE"""),10.0)</f>
        <v>10</v>
      </c>
      <c r="L1870" s="133">
        <f>IFERROR(__xludf.DUMMYFUNCTION("""COMPUTED_VALUE"""),0.0)</f>
        <v>0</v>
      </c>
      <c r="M1870" s="133">
        <f>IFERROR(__xludf.DUMMYFUNCTION("""COMPUTED_VALUE"""),10.0)</f>
        <v>10</v>
      </c>
      <c r="N1870" s="152" t="str">
        <f>IFERROR(__xludf.DUMMYFUNCTION("""COMPUTED_VALUE"""),"Model 3 Performance")</f>
        <v>Model 3 Performance</v>
      </c>
      <c r="O1870" s="152" t="str">
        <f>IFERROR(__xludf.DUMMYFUNCTION("""COMPUTED_VALUE"""),"Pearl White Multi-Coat")</f>
        <v>Pearl White Multi-Coat</v>
      </c>
      <c r="P1870" s="153" t="str">
        <f>IFERROR(__xludf.DUMMYFUNCTION("""COMPUTED_VALUE"""),"20 inch Sport")</f>
        <v>20 inch Sport</v>
      </c>
      <c r="Q1870" s="152" t="str">
        <f>IFERROR(__xludf.DUMMYFUNCTION("""COMPUTED_VALUE"""),"White seats")</f>
        <v>White seats</v>
      </c>
      <c r="R1870" s="150" t="str">
        <f>IFERROR(__xludf.DUMMYFUNCTION("""COMPUTED_VALUE"""),"Autopilot")</f>
        <v>Autopilot</v>
      </c>
      <c r="S1870" s="150"/>
      <c r="T1870" s="136"/>
      <c r="U1870" s="136"/>
      <c r="V1870" s="136"/>
      <c r="W1870" s="136"/>
      <c r="X1870" s="137" t="str">
        <f>IFERROR(__xludf.DUMMYFUNCTION("""COMPUTED_VALUE"""),"Very Good")</f>
        <v>Very Good</v>
      </c>
      <c r="Y1870" s="138" t="str">
        <f>IFERROR(__xludf.DUMMYFUNCTION("""COMPUTED_VALUE"""),"Very Good")</f>
        <v>Very Good</v>
      </c>
      <c r="Z1870" s="138" t="str">
        <f>IFERROR(__xludf.DUMMYFUNCTION("""COMPUTED_VALUE"""),"Very Good")</f>
        <v>Very Good</v>
      </c>
      <c r="AA1870" s="138" t="str">
        <f>IFERROR(__xludf.DUMMYFUNCTION("""COMPUTED_VALUE"""),"Good")</f>
        <v>Good</v>
      </c>
      <c r="AB1870" s="138" t="str">
        <f>IFERROR(__xludf.DUMMYFUNCTION("""COMPUTED_VALUE"""),"Fair")</f>
        <v>Fair</v>
      </c>
      <c r="AC1870" s="139"/>
      <c r="AD1870" s="139"/>
      <c r="AE1870" s="139"/>
      <c r="AF1870" s="140"/>
      <c r="AG1870" s="136"/>
      <c r="AH1870" s="157">
        <f>IFERROR(__xludf.DUMMYFUNCTION("""COMPUTED_VALUE"""),43633.41758292824)</f>
        <v>43633.41758</v>
      </c>
      <c r="AI1870" s="138"/>
      <c r="AJ1870" s="138"/>
      <c r="AK1870" s="138"/>
      <c r="AL1870" s="142"/>
    </row>
    <row r="1871" ht="20.25" customHeight="1">
      <c r="A1871" s="155" t="str">
        <f>IFERROR(__xludf.DUMMYFUNCTION("""COMPUTED_VALUE"""),"CoolRediska")</f>
        <v>CoolRediska</v>
      </c>
      <c r="B1871" s="149" t="str">
        <f>IFERROR(__xludf.DUMMYFUNCTION("""COMPUTED_VALUE"""),"Bay Area")</f>
        <v>Bay Area</v>
      </c>
      <c r="C1871" s="149" t="str">
        <f>IFERROR(__xludf.DUMMYFUNCTION("""COMPUTED_VALUE"""),"CA")</f>
        <v>CA</v>
      </c>
      <c r="D1871" s="149" t="str">
        <f>IFERROR(__xludf.DUMMYFUNCTION("""COMPUTED_VALUE"""),"USA")</f>
        <v>USA</v>
      </c>
      <c r="E1871" s="156">
        <f>IFERROR(__xludf.DUMMYFUNCTION("""COMPUTED_VALUE"""),43611.0)</f>
        <v>43611</v>
      </c>
      <c r="F1871" s="129">
        <f>IFERROR(__xludf.DUMMYFUNCTION("""COMPUTED_VALUE"""),43632.0)</f>
        <v>43632</v>
      </c>
      <c r="G1871" s="154"/>
      <c r="H1871" s="131">
        <f>IFERROR(__xludf.DUMMYFUNCTION("""COMPUTED_VALUE"""),356355.0)</f>
        <v>356355</v>
      </c>
      <c r="I1871" s="132"/>
      <c r="J1871" s="129">
        <f>IFERROR(__xludf.DUMMYFUNCTION("""COMPUTED_VALUE"""),43633.0)</f>
        <v>43633</v>
      </c>
      <c r="K1871" s="133">
        <f>IFERROR(__xludf.DUMMYFUNCTION("""COMPUTED_VALUE"""),21.0)</f>
        <v>21</v>
      </c>
      <c r="L1871" s="133">
        <f>IFERROR(__xludf.DUMMYFUNCTION("""COMPUTED_VALUE"""),1.0)</f>
        <v>1</v>
      </c>
      <c r="M1871" s="133">
        <f>IFERROR(__xludf.DUMMYFUNCTION("""COMPUTED_VALUE"""),22.0)</f>
        <v>22</v>
      </c>
      <c r="N1871" s="152" t="str">
        <f>IFERROR(__xludf.DUMMYFUNCTION("""COMPUTED_VALUE"""),"Model 3 LR")</f>
        <v>Model 3 LR</v>
      </c>
      <c r="O1871" s="152" t="str">
        <f>IFERROR(__xludf.DUMMYFUNCTION("""COMPUTED_VALUE"""),"Deep Blue Metallic")</f>
        <v>Deep Blue Metallic</v>
      </c>
      <c r="P1871" s="153" t="str">
        <f>IFERROR(__xludf.DUMMYFUNCTION("""COMPUTED_VALUE"""),"18 inch Aero")</f>
        <v>18 inch Aero</v>
      </c>
      <c r="Q1871" s="152" t="str">
        <f>IFERROR(__xludf.DUMMYFUNCTION("""COMPUTED_VALUE"""),"Black seats")</f>
        <v>Black seats</v>
      </c>
      <c r="R1871" s="150" t="str">
        <f>IFERROR(__xludf.DUMMYFUNCTION("""COMPUTED_VALUE"""),"Autopilot")</f>
        <v>Autopilot</v>
      </c>
      <c r="S1871" s="150"/>
      <c r="T1871" s="136"/>
      <c r="U1871" s="136"/>
      <c r="V1871" s="136"/>
      <c r="W1871" s="136"/>
      <c r="X1871" s="137" t="str">
        <f>IFERROR(__xludf.DUMMYFUNCTION("""COMPUTED_VALUE"""),"Excellent")</f>
        <v>Excellent</v>
      </c>
      <c r="Y1871" s="138" t="str">
        <f>IFERROR(__xludf.DUMMYFUNCTION("""COMPUTED_VALUE"""),"Excellent")</f>
        <v>Excellent</v>
      </c>
      <c r="Z1871" s="138" t="str">
        <f>IFERROR(__xludf.DUMMYFUNCTION("""COMPUTED_VALUE"""),"Excellent")</f>
        <v>Excellent</v>
      </c>
      <c r="AA1871" s="138" t="str">
        <f>IFERROR(__xludf.DUMMYFUNCTION("""COMPUTED_VALUE"""),"Fair")</f>
        <v>Fair</v>
      </c>
      <c r="AB1871" s="138" t="str">
        <f>IFERROR(__xludf.DUMMYFUNCTION("""COMPUTED_VALUE"""),"Good")</f>
        <v>Good</v>
      </c>
      <c r="AC1871" s="139"/>
      <c r="AD1871" s="139"/>
      <c r="AE1871" s="139"/>
      <c r="AF1871" s="140"/>
      <c r="AG1871" s="136" t="str">
        <f>IFERROR(__xludf.DUMMYFUNCTION("""COMPUTED_VALUE"""),"Homelink was not installed even if order made in May'19")</f>
        <v>Homelink was not installed even if order made in May'19</v>
      </c>
      <c r="AH1871" s="157">
        <f>IFERROR(__xludf.DUMMYFUNCTION("""COMPUTED_VALUE"""),43654.95565715278)</f>
        <v>43654.95566</v>
      </c>
      <c r="AI1871" s="138"/>
      <c r="AJ1871" s="138"/>
      <c r="AK1871" s="138"/>
      <c r="AL1871" s="142"/>
    </row>
    <row r="1872" ht="20.25" customHeight="1">
      <c r="A1872" s="155" t="str">
        <f>IFERROR(__xludf.DUMMYFUNCTION("""COMPUTED_VALUE"""),"Fireheart")</f>
        <v>Fireheart</v>
      </c>
      <c r="B1872" s="149" t="str">
        <f>IFERROR(__xludf.DUMMYFUNCTION("""COMPUTED_VALUE"""),"Bay area")</f>
        <v>Bay area</v>
      </c>
      <c r="C1872" s="149" t="str">
        <f>IFERROR(__xludf.DUMMYFUNCTION("""COMPUTED_VALUE"""),"CA")</f>
        <v>CA</v>
      </c>
      <c r="D1872" s="149" t="str">
        <f>IFERROR(__xludf.DUMMYFUNCTION("""COMPUTED_VALUE"""),"USA")</f>
        <v>USA</v>
      </c>
      <c r="E1872" s="156">
        <f>IFERROR(__xludf.DUMMYFUNCTION("""COMPUTED_VALUE"""),43611.0)</f>
        <v>43611</v>
      </c>
      <c r="F1872" s="129">
        <f>IFERROR(__xludf.DUMMYFUNCTION("""COMPUTED_VALUE"""),43614.0)</f>
        <v>43614</v>
      </c>
      <c r="G1872" s="154"/>
      <c r="H1872" s="131">
        <f>IFERROR(__xludf.DUMMYFUNCTION("""COMPUTED_VALUE"""),391155.0)</f>
        <v>391155</v>
      </c>
      <c r="I1872" s="144"/>
      <c r="J1872" s="129">
        <f>IFERROR(__xludf.DUMMYFUNCTION("""COMPUTED_VALUE"""),43616.0)</f>
        <v>43616</v>
      </c>
      <c r="K1872" s="133">
        <f>IFERROR(__xludf.DUMMYFUNCTION("""COMPUTED_VALUE"""),3.0)</f>
        <v>3</v>
      </c>
      <c r="L1872" s="133">
        <f>IFERROR(__xludf.DUMMYFUNCTION("""COMPUTED_VALUE"""),2.0)</f>
        <v>2</v>
      </c>
      <c r="M1872" s="133">
        <f>IFERROR(__xludf.DUMMYFUNCTION("""COMPUTED_VALUE"""),5.0)</f>
        <v>5</v>
      </c>
      <c r="N1872" s="152" t="str">
        <f>IFERROR(__xludf.DUMMYFUNCTION("""COMPUTED_VALUE"""),"Model 3 LR AWD")</f>
        <v>Model 3 LR AWD</v>
      </c>
      <c r="O1872" s="152" t="str">
        <f>IFERROR(__xludf.DUMMYFUNCTION("""COMPUTED_VALUE"""),"Pearl White Multi-Coat")</f>
        <v>Pearl White Multi-Coat</v>
      </c>
      <c r="P1872" s="153" t="str">
        <f>IFERROR(__xludf.DUMMYFUNCTION("""COMPUTED_VALUE"""),"18 inch Aero")</f>
        <v>18 inch Aero</v>
      </c>
      <c r="Q1872" s="152" t="str">
        <f>IFERROR(__xludf.DUMMYFUNCTION("""COMPUTED_VALUE"""),"White seats")</f>
        <v>White seats</v>
      </c>
      <c r="R1872" s="149" t="str">
        <f>IFERROR(__xludf.DUMMYFUNCTION("""COMPUTED_VALUE"""),"Autopilot")</f>
        <v>Autopilot</v>
      </c>
      <c r="S1872" s="149"/>
      <c r="T1872" s="145"/>
      <c r="U1872" s="145"/>
      <c r="V1872" s="145"/>
      <c r="W1872" s="145"/>
      <c r="X1872" s="137" t="str">
        <f>IFERROR(__xludf.DUMMYFUNCTION("""COMPUTED_VALUE"""),"Excellent")</f>
        <v>Excellent</v>
      </c>
      <c r="Y1872" s="138" t="str">
        <f>IFERROR(__xludf.DUMMYFUNCTION("""COMPUTED_VALUE"""),"Excellent")</f>
        <v>Excellent</v>
      </c>
      <c r="Z1872" s="138" t="str">
        <f>IFERROR(__xludf.DUMMYFUNCTION("""COMPUTED_VALUE"""),"Very Good")</f>
        <v>Very Good</v>
      </c>
      <c r="AA1872" s="138" t="str">
        <f>IFERROR(__xludf.DUMMYFUNCTION("""COMPUTED_VALUE"""),"Very Good")</f>
        <v>Very Good</v>
      </c>
      <c r="AB1872" s="138" t="str">
        <f>IFERROR(__xludf.DUMMYFUNCTION("""COMPUTED_VALUE"""),"Poor")</f>
        <v>Poor</v>
      </c>
      <c r="AC1872" s="139"/>
      <c r="AD1872" s="139"/>
      <c r="AE1872" s="139"/>
      <c r="AF1872" s="140"/>
      <c r="AG1872" s="145"/>
      <c r="AH1872" s="157">
        <f>IFERROR(__xludf.DUMMYFUNCTION("""COMPUTED_VALUE"""),43616.94503358796)</f>
        <v>43616.94503</v>
      </c>
      <c r="AI1872" s="138"/>
      <c r="AJ1872" s="138"/>
      <c r="AK1872" s="138"/>
      <c r="AL1872" s="142"/>
    </row>
    <row r="1873" ht="20.25" customHeight="1">
      <c r="A1873" s="155" t="str">
        <f>IFERROR(__xludf.DUMMYFUNCTION("""COMPUTED_VALUE"""),"nightfury")</f>
        <v>nightfury</v>
      </c>
      <c r="B1873" s="149" t="str">
        <f>IFERROR(__xludf.DUMMYFUNCTION("""COMPUTED_VALUE"""),"San Jose")</f>
        <v>San Jose</v>
      </c>
      <c r="C1873" s="149" t="str">
        <f>IFERROR(__xludf.DUMMYFUNCTION("""COMPUTED_VALUE"""),"CA")</f>
        <v>CA</v>
      </c>
      <c r="D1873" s="149" t="str">
        <f>IFERROR(__xludf.DUMMYFUNCTION("""COMPUTED_VALUE"""),"USA")</f>
        <v>USA</v>
      </c>
      <c r="E1873" s="156">
        <f>IFERROR(__xludf.DUMMYFUNCTION("""COMPUTED_VALUE"""),43611.0)</f>
        <v>43611</v>
      </c>
      <c r="F1873" s="129">
        <f>IFERROR(__xludf.DUMMYFUNCTION("""COMPUTED_VALUE"""),40708.0)</f>
        <v>40708</v>
      </c>
      <c r="G1873" s="154"/>
      <c r="H1873" s="131">
        <f>IFERROR(__xludf.DUMMYFUNCTION("""COMPUTED_VALUE"""),337755.0)</f>
        <v>337755</v>
      </c>
      <c r="I1873" s="144" t="str">
        <f>IFERROR(__xludf.DUMMYFUNCTION("""COMPUTED_VALUE"""),"06/19")</f>
        <v>06/19</v>
      </c>
      <c r="J1873" s="129">
        <f>IFERROR(__xludf.DUMMYFUNCTION("""COMPUTED_VALUE"""),43640.0)</f>
        <v>43640</v>
      </c>
      <c r="K1873" s="133"/>
      <c r="L1873" s="133"/>
      <c r="M1873" s="133">
        <f>IFERROR(__xludf.DUMMYFUNCTION("""COMPUTED_VALUE"""),29.0)</f>
        <v>29</v>
      </c>
      <c r="N1873" s="152" t="str">
        <f>IFERROR(__xludf.DUMMYFUNCTION("""COMPUTED_VALUE"""),"Model 3 LR")</f>
        <v>Model 3 LR</v>
      </c>
      <c r="O1873" s="152" t="str">
        <f>IFERROR(__xludf.DUMMYFUNCTION("""COMPUTED_VALUE"""),"Solid Black")</f>
        <v>Solid Black</v>
      </c>
      <c r="P1873" s="153" t="str">
        <f>IFERROR(__xludf.DUMMYFUNCTION("""COMPUTED_VALUE"""),"19 inch Sport")</f>
        <v>19 inch Sport</v>
      </c>
      <c r="Q1873" s="152" t="str">
        <f>IFERROR(__xludf.DUMMYFUNCTION("""COMPUTED_VALUE"""),"Black seats")</f>
        <v>Black seats</v>
      </c>
      <c r="R1873" s="149" t="str">
        <f>IFERROR(__xludf.DUMMYFUNCTION("""COMPUTED_VALUE"""),"Autopilot")</f>
        <v>Autopilot</v>
      </c>
      <c r="S1873" s="149"/>
      <c r="T1873" s="145"/>
      <c r="U1873" s="145"/>
      <c r="V1873" s="145"/>
      <c r="W1873" s="145"/>
      <c r="X1873" s="137" t="str">
        <f>IFERROR(__xludf.DUMMYFUNCTION("""COMPUTED_VALUE"""),"Excellent")</f>
        <v>Excellent</v>
      </c>
      <c r="Y1873" s="138" t="str">
        <f>IFERROR(__xludf.DUMMYFUNCTION("""COMPUTED_VALUE"""),"Excellent")</f>
        <v>Excellent</v>
      </c>
      <c r="Z1873" s="138" t="str">
        <f>IFERROR(__xludf.DUMMYFUNCTION("""COMPUTED_VALUE"""),"Excellent")</f>
        <v>Excellent</v>
      </c>
      <c r="AA1873" s="138" t="str">
        <f>IFERROR(__xludf.DUMMYFUNCTION("""COMPUTED_VALUE"""),"Very Good")</f>
        <v>Very Good</v>
      </c>
      <c r="AB1873" s="138" t="str">
        <f>IFERROR(__xludf.DUMMYFUNCTION("""COMPUTED_VALUE"""),"Good")</f>
        <v>Good</v>
      </c>
      <c r="AC1873" s="139"/>
      <c r="AD1873" s="139"/>
      <c r="AE1873" s="139"/>
      <c r="AF1873" s="140"/>
      <c r="AG1873" s="145"/>
      <c r="AH1873" s="157">
        <f>IFERROR(__xludf.DUMMYFUNCTION("""COMPUTED_VALUE"""),43642.36333744213)</f>
        <v>43642.36334</v>
      </c>
      <c r="AI1873" s="138"/>
      <c r="AJ1873" s="138"/>
      <c r="AK1873" s="138"/>
      <c r="AL1873" s="142"/>
    </row>
    <row r="1874" ht="20.25" customHeight="1">
      <c r="A1874" s="155" t="str">
        <f>IFERROR(__xludf.DUMMYFUNCTION("""COMPUTED_VALUE"""),"mikeyvr")</f>
        <v>mikeyvr</v>
      </c>
      <c r="B1874" s="149" t="str">
        <f>IFERROR(__xludf.DUMMYFUNCTION("""COMPUTED_VALUE"""),"vancouver")</f>
        <v>vancouver</v>
      </c>
      <c r="C1874" s="149" t="str">
        <f>IFERROR(__xludf.DUMMYFUNCTION("""COMPUTED_VALUE"""),"BC")</f>
        <v>BC</v>
      </c>
      <c r="D1874" s="149" t="str">
        <f>IFERROR(__xludf.DUMMYFUNCTION("""COMPUTED_VALUE"""),"Canada")</f>
        <v>Canada</v>
      </c>
      <c r="E1874" s="156">
        <f>IFERROR(__xludf.DUMMYFUNCTION("""COMPUTED_VALUE"""),43610.0)</f>
        <v>43610</v>
      </c>
      <c r="F1874" s="129">
        <f>IFERROR(__xludf.DUMMYFUNCTION("""COMPUTED_VALUE"""),43627.0)</f>
        <v>43627</v>
      </c>
      <c r="G1874" s="154"/>
      <c r="H1874" s="131">
        <f>IFERROR(__xludf.DUMMYFUNCTION("""COMPUTED_VALUE"""),414155.0)</f>
        <v>414155</v>
      </c>
      <c r="I1874" s="144"/>
      <c r="J1874" s="129">
        <f>IFERROR(__xludf.DUMMYFUNCTION("""COMPUTED_VALUE"""),43634.0)</f>
        <v>43634</v>
      </c>
      <c r="K1874" s="133">
        <f>IFERROR(__xludf.DUMMYFUNCTION("""COMPUTED_VALUE"""),17.0)</f>
        <v>17</v>
      </c>
      <c r="L1874" s="133">
        <f>IFERROR(__xludf.DUMMYFUNCTION("""COMPUTED_VALUE"""),7.0)</f>
        <v>7</v>
      </c>
      <c r="M1874" s="133">
        <f>IFERROR(__xludf.DUMMYFUNCTION("""COMPUTED_VALUE"""),24.0)</f>
        <v>24</v>
      </c>
      <c r="N1874" s="152" t="str">
        <f>IFERROR(__xludf.DUMMYFUNCTION("""COMPUTED_VALUE"""),"Model 3 SR+")</f>
        <v>Model 3 SR+</v>
      </c>
      <c r="O1874" s="152" t="str">
        <f>IFERROR(__xludf.DUMMYFUNCTION("""COMPUTED_VALUE"""),"Solid Black")</f>
        <v>Solid Black</v>
      </c>
      <c r="P1874" s="153" t="str">
        <f>IFERROR(__xludf.DUMMYFUNCTION("""COMPUTED_VALUE"""),"18 inch Aero")</f>
        <v>18 inch Aero</v>
      </c>
      <c r="Q1874" s="152" t="str">
        <f>IFERROR(__xludf.DUMMYFUNCTION("""COMPUTED_VALUE"""),"Black seats")</f>
        <v>Black seats</v>
      </c>
      <c r="R1874" s="149" t="str">
        <f>IFERROR(__xludf.DUMMYFUNCTION("""COMPUTED_VALUE"""),"Autopilot")</f>
        <v>Autopilot</v>
      </c>
      <c r="S1874" s="149"/>
      <c r="T1874" s="145"/>
      <c r="U1874" s="145"/>
      <c r="V1874" s="145"/>
      <c r="W1874" s="145"/>
      <c r="X1874" s="137" t="str">
        <f>IFERROR(__xludf.DUMMYFUNCTION("""COMPUTED_VALUE"""),"Very Good")</f>
        <v>Very Good</v>
      </c>
      <c r="Y1874" s="138" t="str">
        <f>IFERROR(__xludf.DUMMYFUNCTION("""COMPUTED_VALUE"""),"Very Good")</f>
        <v>Very Good</v>
      </c>
      <c r="Z1874" s="138" t="str">
        <f>IFERROR(__xludf.DUMMYFUNCTION("""COMPUTED_VALUE"""),"Very Good")</f>
        <v>Very Good</v>
      </c>
      <c r="AA1874" s="138" t="str">
        <f>IFERROR(__xludf.DUMMYFUNCTION("""COMPUTED_VALUE"""),"Very Good")</f>
        <v>Very Good</v>
      </c>
      <c r="AB1874" s="138" t="str">
        <f>IFERROR(__xludf.DUMMYFUNCTION("""COMPUTED_VALUE"""),"Very Good")</f>
        <v>Very Good</v>
      </c>
      <c r="AC1874" s="139"/>
      <c r="AD1874" s="139"/>
      <c r="AE1874" s="139"/>
      <c r="AF1874" s="140"/>
      <c r="AG1874" s="145"/>
      <c r="AH1874" s="157">
        <f>IFERROR(__xludf.DUMMYFUNCTION("""COMPUTED_VALUE"""),43636.62075991899)</f>
        <v>43636.62076</v>
      </c>
      <c r="AI1874" s="138"/>
      <c r="AJ1874" s="138"/>
      <c r="AK1874" s="138"/>
      <c r="AL1874" s="142"/>
    </row>
    <row r="1875" ht="20.25" customHeight="1">
      <c r="A1875" s="155" t="str">
        <f>IFERROR(__xludf.DUMMYFUNCTION("""COMPUTED_VALUE"""),"panksdmz")</f>
        <v>panksdmz</v>
      </c>
      <c r="B1875" s="149"/>
      <c r="C1875" s="149" t="str">
        <f>IFERROR(__xludf.DUMMYFUNCTION("""COMPUTED_VALUE"""),"PA")</f>
        <v>PA</v>
      </c>
      <c r="D1875" s="149" t="str">
        <f>IFERROR(__xludf.DUMMYFUNCTION("""COMPUTED_VALUE"""),"USA")</f>
        <v>USA</v>
      </c>
      <c r="E1875" s="156">
        <f>IFERROR(__xludf.DUMMYFUNCTION("""COMPUTED_VALUE"""),43610.0)</f>
        <v>43610</v>
      </c>
      <c r="F1875" s="129">
        <f>IFERROR(__xludf.DUMMYFUNCTION("""COMPUTED_VALUE"""),43615.0)</f>
        <v>43615</v>
      </c>
      <c r="G1875" s="154"/>
      <c r="H1875" s="131">
        <f>IFERROR(__xludf.DUMMYFUNCTION("""COMPUTED_VALUE"""),384555.0)</f>
        <v>384555</v>
      </c>
      <c r="I1875" s="144"/>
      <c r="J1875" s="129">
        <f>IFERROR(__xludf.DUMMYFUNCTION("""COMPUTED_VALUE"""),43622.0)</f>
        <v>43622</v>
      </c>
      <c r="K1875" s="133">
        <f>IFERROR(__xludf.DUMMYFUNCTION("""COMPUTED_VALUE"""),5.0)</f>
        <v>5</v>
      </c>
      <c r="L1875" s="133">
        <f>IFERROR(__xludf.DUMMYFUNCTION("""COMPUTED_VALUE"""),7.0)</f>
        <v>7</v>
      </c>
      <c r="M1875" s="133">
        <f>IFERROR(__xludf.DUMMYFUNCTION("""COMPUTED_VALUE"""),12.0)</f>
        <v>12</v>
      </c>
      <c r="N1875" s="152" t="str">
        <f>IFERROR(__xludf.DUMMYFUNCTION("""COMPUTED_VALUE"""),"Model 3 LR AWD")</f>
        <v>Model 3 LR AWD</v>
      </c>
      <c r="O1875" s="152" t="str">
        <f>IFERROR(__xludf.DUMMYFUNCTION("""COMPUTED_VALUE"""),"Solid Black")</f>
        <v>Solid Black</v>
      </c>
      <c r="P1875" s="153" t="str">
        <f>IFERROR(__xludf.DUMMYFUNCTION("""COMPUTED_VALUE"""),"18 inch Aero")</f>
        <v>18 inch Aero</v>
      </c>
      <c r="Q1875" s="152" t="str">
        <f>IFERROR(__xludf.DUMMYFUNCTION("""COMPUTED_VALUE"""),"Black seats")</f>
        <v>Black seats</v>
      </c>
      <c r="R1875" s="149" t="str">
        <f>IFERROR(__xludf.DUMMYFUNCTION("""COMPUTED_VALUE"""),"Autopilot")</f>
        <v>Autopilot</v>
      </c>
      <c r="S1875" s="149"/>
      <c r="T1875" s="145"/>
      <c r="U1875" s="145"/>
      <c r="V1875" s="145"/>
      <c r="W1875" s="145"/>
      <c r="X1875" s="137" t="str">
        <f>IFERROR(__xludf.DUMMYFUNCTION("""COMPUTED_VALUE"""),"Very Good")</f>
        <v>Very Good</v>
      </c>
      <c r="Y1875" s="138" t="str">
        <f>IFERROR(__xludf.DUMMYFUNCTION("""COMPUTED_VALUE"""),"Very Good")</f>
        <v>Very Good</v>
      </c>
      <c r="Z1875" s="138" t="str">
        <f>IFERROR(__xludf.DUMMYFUNCTION("""COMPUTED_VALUE"""),"Fair")</f>
        <v>Fair</v>
      </c>
      <c r="AA1875" s="138" t="str">
        <f>IFERROR(__xludf.DUMMYFUNCTION("""COMPUTED_VALUE"""),"Good")</f>
        <v>Good</v>
      </c>
      <c r="AB1875" s="138" t="str">
        <f>IFERROR(__xludf.DUMMYFUNCTION("""COMPUTED_VALUE"""),"Good")</f>
        <v>Good</v>
      </c>
      <c r="AC1875" s="139">
        <f>IFERROR(__xludf.DUMMYFUNCTION("""COMPUTED_VALUE"""),1.0)</f>
        <v>1</v>
      </c>
      <c r="AD1875" s="139"/>
      <c r="AE1875" s="139"/>
      <c r="AF1875" s="140"/>
      <c r="AG1875" s="145"/>
      <c r="AH1875" s="157">
        <f>IFERROR(__xludf.DUMMYFUNCTION("""COMPUTED_VALUE"""),43630.94713814814)</f>
        <v>43630.94714</v>
      </c>
      <c r="AI1875" s="138"/>
      <c r="AJ1875" s="138"/>
      <c r="AK1875" s="138"/>
      <c r="AL1875" s="142"/>
    </row>
    <row r="1876" ht="20.25" customHeight="1">
      <c r="A1876" s="155" t="str">
        <f>IFERROR(__xludf.DUMMYFUNCTION("""COMPUTED_VALUE"""),"shplatt")</f>
        <v>shplatt</v>
      </c>
      <c r="B1876" s="149"/>
      <c r="C1876" s="149" t="str">
        <f>IFERROR(__xludf.DUMMYFUNCTION("""COMPUTED_VALUE"""),"CA")</f>
        <v>CA</v>
      </c>
      <c r="D1876" s="149" t="str">
        <f>IFERROR(__xludf.DUMMYFUNCTION("""COMPUTED_VALUE"""),"USA")</f>
        <v>USA</v>
      </c>
      <c r="E1876" s="156">
        <f>IFERROR(__xludf.DUMMYFUNCTION("""COMPUTED_VALUE"""),43610.0)</f>
        <v>43610</v>
      </c>
      <c r="F1876" s="129">
        <f>IFERROR(__xludf.DUMMYFUNCTION("""COMPUTED_VALUE"""),43631.0)</f>
        <v>43631</v>
      </c>
      <c r="G1876" s="154"/>
      <c r="H1876" s="131">
        <f>IFERROR(__xludf.DUMMYFUNCTION("""COMPUTED_VALUE"""),422055.0)</f>
        <v>422055</v>
      </c>
      <c r="I1876" s="132" t="str">
        <f>IFERROR(__xludf.DUMMYFUNCTION("""COMPUTED_VALUE"""),"06/19")</f>
        <v>06/19</v>
      </c>
      <c r="J1876" s="129">
        <f>IFERROR(__xludf.DUMMYFUNCTION("""COMPUTED_VALUE"""),43633.0)</f>
        <v>43633</v>
      </c>
      <c r="K1876" s="133">
        <f>IFERROR(__xludf.DUMMYFUNCTION("""COMPUTED_VALUE"""),21.0)</f>
        <v>21</v>
      </c>
      <c r="L1876" s="133">
        <f>IFERROR(__xludf.DUMMYFUNCTION("""COMPUTED_VALUE"""),2.0)</f>
        <v>2</v>
      </c>
      <c r="M1876" s="133">
        <f>IFERROR(__xludf.DUMMYFUNCTION("""COMPUTED_VALUE"""),23.0)</f>
        <v>23</v>
      </c>
      <c r="N1876" s="152" t="str">
        <f>IFERROR(__xludf.DUMMYFUNCTION("""COMPUTED_VALUE"""),"Model 3 Performance")</f>
        <v>Model 3 Performance</v>
      </c>
      <c r="O1876" s="152" t="str">
        <f>IFERROR(__xludf.DUMMYFUNCTION("""COMPUTED_VALUE"""),"Red Multi-Coat")</f>
        <v>Red Multi-Coat</v>
      </c>
      <c r="P1876" s="153" t="str">
        <f>IFERROR(__xludf.DUMMYFUNCTION("""COMPUTED_VALUE"""),"20 inch Sport")</f>
        <v>20 inch Sport</v>
      </c>
      <c r="Q1876" s="152" t="str">
        <f>IFERROR(__xludf.DUMMYFUNCTION("""COMPUTED_VALUE"""),"White seats")</f>
        <v>White seats</v>
      </c>
      <c r="R1876" s="150" t="str">
        <f>IFERROR(__xludf.DUMMYFUNCTION("""COMPUTED_VALUE"""),"Full Self-Driving")</f>
        <v>Full Self-Driving</v>
      </c>
      <c r="S1876" s="150"/>
      <c r="T1876" s="136"/>
      <c r="U1876" s="136"/>
      <c r="V1876" s="136"/>
      <c r="W1876" s="136"/>
      <c r="X1876" s="137" t="str">
        <f>IFERROR(__xludf.DUMMYFUNCTION("""COMPUTED_VALUE"""),"Very Good")</f>
        <v>Very Good</v>
      </c>
      <c r="Y1876" s="138" t="str">
        <f>IFERROR(__xludf.DUMMYFUNCTION("""COMPUTED_VALUE"""),"Excellent")</f>
        <v>Excellent</v>
      </c>
      <c r="Z1876" s="138" t="str">
        <f>IFERROR(__xludf.DUMMYFUNCTION("""COMPUTED_VALUE"""),"Very Good")</f>
        <v>Very Good</v>
      </c>
      <c r="AA1876" s="138" t="str">
        <f>IFERROR(__xludf.DUMMYFUNCTION("""COMPUTED_VALUE"""),"Excellent")</f>
        <v>Excellent</v>
      </c>
      <c r="AB1876" s="138" t="str">
        <f>IFERROR(__xludf.DUMMYFUNCTION("""COMPUTED_VALUE"""),"Excellent")</f>
        <v>Excellent</v>
      </c>
      <c r="AC1876" s="139"/>
      <c r="AD1876" s="139"/>
      <c r="AE1876" s="139"/>
      <c r="AF1876" s="140"/>
      <c r="AG1876" s="136" t="str">
        <f>IFERROR(__xludf.DUMMYFUNCTION("""COMPUTED_VALUE"""),"Moved delivery up a day to 6/17.")</f>
        <v>Moved delivery up a day to 6/17.</v>
      </c>
      <c r="AH1876" s="157">
        <f>IFERROR(__xludf.DUMMYFUNCTION("""COMPUTED_VALUE"""),43633.957000856484)</f>
        <v>43633.957</v>
      </c>
      <c r="AI1876" s="138"/>
      <c r="AJ1876" s="138"/>
      <c r="AK1876" s="138"/>
      <c r="AL1876" s="142"/>
    </row>
    <row r="1877" ht="20.25" customHeight="1">
      <c r="A1877" s="155" t="str">
        <f>IFERROR(__xludf.DUMMYFUNCTION("""COMPUTED_VALUE"""),"Glassejt")</f>
        <v>Glassejt</v>
      </c>
      <c r="B1877" s="149" t="str">
        <f>IFERROR(__xludf.DUMMYFUNCTION("""COMPUTED_VALUE"""),"Pittsburgh")</f>
        <v>Pittsburgh</v>
      </c>
      <c r="C1877" s="149" t="str">
        <f>IFERROR(__xludf.DUMMYFUNCTION("""COMPUTED_VALUE"""),"PA")</f>
        <v>PA</v>
      </c>
      <c r="D1877" s="149" t="str">
        <f>IFERROR(__xludf.DUMMYFUNCTION("""COMPUTED_VALUE"""),"USA")</f>
        <v>USA</v>
      </c>
      <c r="E1877" s="156">
        <f>IFERROR(__xludf.DUMMYFUNCTION("""COMPUTED_VALUE"""),43609.0)</f>
        <v>43609</v>
      </c>
      <c r="F1877" s="129">
        <f>IFERROR(__xludf.DUMMYFUNCTION("""COMPUTED_VALUE"""),43616.0)</f>
        <v>43616</v>
      </c>
      <c r="G1877" s="154"/>
      <c r="H1877" s="131">
        <f>IFERROR(__xludf.DUMMYFUNCTION("""COMPUTED_VALUE"""),307179.0)</f>
        <v>307179</v>
      </c>
      <c r="I1877" s="144"/>
      <c r="J1877" s="129">
        <f>IFERROR(__xludf.DUMMYFUNCTION("""COMPUTED_VALUE"""),43622.0)</f>
        <v>43622</v>
      </c>
      <c r="K1877" s="133">
        <f>IFERROR(__xludf.DUMMYFUNCTION("""COMPUTED_VALUE"""),7.0)</f>
        <v>7</v>
      </c>
      <c r="L1877" s="133">
        <f>IFERROR(__xludf.DUMMYFUNCTION("""COMPUTED_VALUE"""),6.0)</f>
        <v>6</v>
      </c>
      <c r="M1877" s="133">
        <f>IFERROR(__xludf.DUMMYFUNCTION("""COMPUTED_VALUE"""),13.0)</f>
        <v>13</v>
      </c>
      <c r="N1877" s="152" t="str">
        <f>IFERROR(__xludf.DUMMYFUNCTION("""COMPUTED_VALUE"""),"Model 3 SR+")</f>
        <v>Model 3 SR+</v>
      </c>
      <c r="O1877" s="152" t="str">
        <f>IFERROR(__xludf.DUMMYFUNCTION("""COMPUTED_VALUE"""),"Red Multi-Coat")</f>
        <v>Red Multi-Coat</v>
      </c>
      <c r="P1877" s="153" t="str">
        <f>IFERROR(__xludf.DUMMYFUNCTION("""COMPUTED_VALUE"""),"18 inch Aero")</f>
        <v>18 inch Aero</v>
      </c>
      <c r="Q1877" s="152" t="str">
        <f>IFERROR(__xludf.DUMMYFUNCTION("""COMPUTED_VALUE"""),"Black seats")</f>
        <v>Black seats</v>
      </c>
      <c r="R1877" s="149" t="str">
        <f>IFERROR(__xludf.DUMMYFUNCTION("""COMPUTED_VALUE"""),"Autopilot")</f>
        <v>Autopilot</v>
      </c>
      <c r="S1877" s="149"/>
      <c r="T1877" s="145"/>
      <c r="U1877" s="145"/>
      <c r="V1877" s="145"/>
      <c r="W1877" s="136"/>
      <c r="X1877" s="137" t="str">
        <f>IFERROR(__xludf.DUMMYFUNCTION("""COMPUTED_VALUE"""),"Excellent")</f>
        <v>Excellent</v>
      </c>
      <c r="Y1877" s="138" t="str">
        <f>IFERROR(__xludf.DUMMYFUNCTION("""COMPUTED_VALUE"""),"Excellent")</f>
        <v>Excellent</v>
      </c>
      <c r="Z1877" s="138" t="str">
        <f>IFERROR(__xludf.DUMMYFUNCTION("""COMPUTED_VALUE"""),"Excellent")</f>
        <v>Excellent</v>
      </c>
      <c r="AA1877" s="138" t="str">
        <f>IFERROR(__xludf.DUMMYFUNCTION("""COMPUTED_VALUE"""),"Very Good")</f>
        <v>Very Good</v>
      </c>
      <c r="AB1877" s="138" t="str">
        <f>IFERROR(__xludf.DUMMYFUNCTION("""COMPUTED_VALUE"""),"Excellent")</f>
        <v>Excellent</v>
      </c>
      <c r="AC1877" s="139">
        <f>IFERROR(__xludf.DUMMYFUNCTION("""COMPUTED_VALUE"""),0.0)</f>
        <v>0</v>
      </c>
      <c r="AD1877" s="139">
        <f>IFERROR(__xludf.DUMMYFUNCTION("""COMPUTED_VALUE"""),0.0)</f>
        <v>0</v>
      </c>
      <c r="AE1877" s="139">
        <f>IFERROR(__xludf.DUMMYFUNCTION("""COMPUTED_VALUE"""),0.0)</f>
        <v>0</v>
      </c>
      <c r="AF1877" s="140"/>
      <c r="AG1877" s="136" t="str">
        <f>IFERROR(__xludf.DUMMYFUNCTION("""COMPUTED_VALUE"""),"Found VIN in source code")</f>
        <v>Found VIN in source code</v>
      </c>
      <c r="AH1877" s="157">
        <f>IFERROR(__xludf.DUMMYFUNCTION("""COMPUTED_VALUE"""),43629.24994361111)</f>
        <v>43629.24994</v>
      </c>
      <c r="AI1877" s="138"/>
      <c r="AJ1877" s="138"/>
      <c r="AK1877" s="138"/>
      <c r="AL1877" s="142"/>
    </row>
    <row r="1878" ht="20.25" customHeight="1">
      <c r="A1878" s="155" t="str">
        <f>IFERROR(__xludf.DUMMYFUNCTION("""COMPUTED_VALUE"""),"lukerv4")</f>
        <v>lukerv4</v>
      </c>
      <c r="B1878" s="149" t="str">
        <f>IFERROR(__xludf.DUMMYFUNCTION("""COMPUTED_VALUE"""),"Philadelphia")</f>
        <v>Philadelphia</v>
      </c>
      <c r="C1878" s="149" t="str">
        <f>IFERROR(__xludf.DUMMYFUNCTION("""COMPUTED_VALUE"""),"PA")</f>
        <v>PA</v>
      </c>
      <c r="D1878" s="149" t="str">
        <f>IFERROR(__xludf.DUMMYFUNCTION("""COMPUTED_VALUE"""),"USA")</f>
        <v>USA</v>
      </c>
      <c r="E1878" s="156">
        <f>IFERROR(__xludf.DUMMYFUNCTION("""COMPUTED_VALUE"""),43609.0)</f>
        <v>43609</v>
      </c>
      <c r="F1878" s="129">
        <f>IFERROR(__xludf.DUMMYFUNCTION("""COMPUTED_VALUE"""),43622.0)</f>
        <v>43622</v>
      </c>
      <c r="G1878" s="154"/>
      <c r="H1878" s="131">
        <f>IFERROR(__xludf.DUMMYFUNCTION("""COMPUTED_VALUE"""),392075.0)</f>
        <v>392075</v>
      </c>
      <c r="I1878" s="144" t="str">
        <f>IFERROR(__xludf.DUMMYFUNCTION("""COMPUTED_VALUE"""),"06/19")</f>
        <v>06/19</v>
      </c>
      <c r="J1878" s="129">
        <f>IFERROR(__xludf.DUMMYFUNCTION("""COMPUTED_VALUE"""),43629.0)</f>
        <v>43629</v>
      </c>
      <c r="K1878" s="133">
        <f>IFERROR(__xludf.DUMMYFUNCTION("""COMPUTED_VALUE"""),13.0)</f>
        <v>13</v>
      </c>
      <c r="L1878" s="133">
        <f>IFERROR(__xludf.DUMMYFUNCTION("""COMPUTED_VALUE"""),7.0)</f>
        <v>7</v>
      </c>
      <c r="M1878" s="133">
        <f>IFERROR(__xludf.DUMMYFUNCTION("""COMPUTED_VALUE"""),20.0)</f>
        <v>20</v>
      </c>
      <c r="N1878" s="152" t="str">
        <f>IFERROR(__xludf.DUMMYFUNCTION("""COMPUTED_VALUE"""),"Model 3 LR AWD")</f>
        <v>Model 3 LR AWD</v>
      </c>
      <c r="O1878" s="152" t="str">
        <f>IFERROR(__xludf.DUMMYFUNCTION("""COMPUTED_VALUE"""),"Deep Blue Metallic")</f>
        <v>Deep Blue Metallic</v>
      </c>
      <c r="P1878" s="153" t="str">
        <f>IFERROR(__xludf.DUMMYFUNCTION("""COMPUTED_VALUE"""),"19 inch Sport")</f>
        <v>19 inch Sport</v>
      </c>
      <c r="Q1878" s="152" t="str">
        <f>IFERROR(__xludf.DUMMYFUNCTION("""COMPUTED_VALUE"""),"White seats")</f>
        <v>White seats</v>
      </c>
      <c r="R1878" s="149" t="str">
        <f>IFERROR(__xludf.DUMMYFUNCTION("""COMPUTED_VALUE"""),"Full Self-Driving")</f>
        <v>Full Self-Driving</v>
      </c>
      <c r="S1878" s="149"/>
      <c r="T1878" s="145"/>
      <c r="U1878" s="145"/>
      <c r="V1878" s="145"/>
      <c r="W1878" s="145"/>
      <c r="X1878" s="137" t="str">
        <f>IFERROR(__xludf.DUMMYFUNCTION("""COMPUTED_VALUE"""),"Excellent")</f>
        <v>Excellent</v>
      </c>
      <c r="Y1878" s="138" t="str">
        <f>IFERROR(__xludf.DUMMYFUNCTION("""COMPUTED_VALUE"""),"Excellent")</f>
        <v>Excellent</v>
      </c>
      <c r="Z1878" s="138" t="str">
        <f>IFERROR(__xludf.DUMMYFUNCTION("""COMPUTED_VALUE"""),"Excellent")</f>
        <v>Excellent</v>
      </c>
      <c r="AA1878" s="138" t="str">
        <f>IFERROR(__xludf.DUMMYFUNCTION("""COMPUTED_VALUE"""),"Good")</f>
        <v>Good</v>
      </c>
      <c r="AB1878" s="138" t="str">
        <f>IFERROR(__xludf.DUMMYFUNCTION("""COMPUTED_VALUE"""),"Excellent")</f>
        <v>Excellent</v>
      </c>
      <c r="AC1878" s="139">
        <f>IFERROR(__xludf.DUMMYFUNCTION("""COMPUTED_VALUE"""),0.0)</f>
        <v>0</v>
      </c>
      <c r="AD1878" s="139"/>
      <c r="AE1878" s="139"/>
      <c r="AF1878" s="140"/>
      <c r="AG1878" s="145"/>
      <c r="AH1878" s="157">
        <f>IFERROR(__xludf.DUMMYFUNCTION("""COMPUTED_VALUE"""),43633.330651793985)</f>
        <v>43633.33065</v>
      </c>
      <c r="AI1878" s="138"/>
      <c r="AJ1878" s="138"/>
      <c r="AK1878" s="138"/>
      <c r="AL1878" s="142"/>
    </row>
    <row r="1879" ht="20.25" customHeight="1">
      <c r="A1879" s="155" t="str">
        <f>IFERROR(__xludf.DUMMYFUNCTION("""COMPUTED_VALUE"""),"N54")</f>
        <v>N54</v>
      </c>
      <c r="B1879" s="149" t="str">
        <f>IFERROR(__xludf.DUMMYFUNCTION("""COMPUTED_VALUE"""),"Woodbury")</f>
        <v>Woodbury</v>
      </c>
      <c r="C1879" s="149" t="str">
        <f>IFERROR(__xludf.DUMMYFUNCTION("""COMPUTED_VALUE"""),"MN")</f>
        <v>MN</v>
      </c>
      <c r="D1879" s="149" t="str">
        <f>IFERROR(__xludf.DUMMYFUNCTION("""COMPUTED_VALUE"""),"USA")</f>
        <v>USA</v>
      </c>
      <c r="E1879" s="156">
        <f>IFERROR(__xludf.DUMMYFUNCTION("""COMPUTED_VALUE"""),43609.0)</f>
        <v>43609</v>
      </c>
      <c r="F1879" s="129">
        <f>IFERROR(__xludf.DUMMYFUNCTION("""COMPUTED_VALUE"""),43621.0)</f>
        <v>43621</v>
      </c>
      <c r="G1879" s="154"/>
      <c r="H1879" s="131"/>
      <c r="I1879" s="144"/>
      <c r="J1879" s="129">
        <f>IFERROR(__xludf.DUMMYFUNCTION("""COMPUTED_VALUE"""),43628.0)</f>
        <v>43628</v>
      </c>
      <c r="K1879" s="133">
        <f>IFERROR(__xludf.DUMMYFUNCTION("""COMPUTED_VALUE"""),12.0)</f>
        <v>12</v>
      </c>
      <c r="L1879" s="133">
        <f>IFERROR(__xludf.DUMMYFUNCTION("""COMPUTED_VALUE"""),7.0)</f>
        <v>7</v>
      </c>
      <c r="M1879" s="133">
        <f>IFERROR(__xludf.DUMMYFUNCTION("""COMPUTED_VALUE"""),19.0)</f>
        <v>19</v>
      </c>
      <c r="N1879" s="152" t="str">
        <f>IFERROR(__xludf.DUMMYFUNCTION("""COMPUTED_VALUE"""),"Model 3 Performance")</f>
        <v>Model 3 Performance</v>
      </c>
      <c r="O1879" s="152" t="str">
        <f>IFERROR(__xludf.DUMMYFUNCTION("""COMPUTED_VALUE"""),"Deep Blue Metallic")</f>
        <v>Deep Blue Metallic</v>
      </c>
      <c r="P1879" s="153" t="str">
        <f>IFERROR(__xludf.DUMMYFUNCTION("""COMPUTED_VALUE"""),"20 inch Sport")</f>
        <v>20 inch Sport</v>
      </c>
      <c r="Q1879" s="152" t="str">
        <f>IFERROR(__xludf.DUMMYFUNCTION("""COMPUTED_VALUE"""),"Black seats")</f>
        <v>Black seats</v>
      </c>
      <c r="R1879" s="149" t="str">
        <f>IFERROR(__xludf.DUMMYFUNCTION("""COMPUTED_VALUE"""),"Full Self-Driving")</f>
        <v>Full Self-Driving</v>
      </c>
      <c r="S1879" s="149"/>
      <c r="T1879" s="145"/>
      <c r="U1879" s="145"/>
      <c r="V1879" s="145"/>
      <c r="W1879" s="145"/>
      <c r="X1879" s="137" t="str">
        <f>IFERROR(__xludf.DUMMYFUNCTION("""COMPUTED_VALUE"""),"Excellent")</f>
        <v>Excellent</v>
      </c>
      <c r="Y1879" s="138" t="str">
        <f>IFERROR(__xludf.DUMMYFUNCTION("""COMPUTED_VALUE"""),"Excellent")</f>
        <v>Excellent</v>
      </c>
      <c r="Z1879" s="138" t="str">
        <f>IFERROR(__xludf.DUMMYFUNCTION("""COMPUTED_VALUE"""),"Excellent")</f>
        <v>Excellent</v>
      </c>
      <c r="AA1879" s="138" t="str">
        <f>IFERROR(__xludf.DUMMYFUNCTION("""COMPUTED_VALUE"""),"Poor")</f>
        <v>Poor</v>
      </c>
      <c r="AB1879" s="138" t="str">
        <f>IFERROR(__xludf.DUMMYFUNCTION("""COMPUTED_VALUE"""),"Very Good")</f>
        <v>Very Good</v>
      </c>
      <c r="AC1879" s="139"/>
      <c r="AD1879" s="139"/>
      <c r="AE1879" s="139"/>
      <c r="AF1879" s="140"/>
      <c r="AG1879" s="145"/>
      <c r="AH1879" s="157">
        <f>IFERROR(__xludf.DUMMYFUNCTION("""COMPUTED_VALUE"""),43635.32905127315)</f>
        <v>43635.32905</v>
      </c>
      <c r="AI1879" s="138"/>
      <c r="AJ1879" s="138"/>
      <c r="AK1879" s="138"/>
      <c r="AL1879" s="142"/>
    </row>
    <row r="1880" ht="20.25" customHeight="1">
      <c r="A1880" s="155" t="str">
        <f>IFERROR(__xludf.DUMMYFUNCTION("""COMPUTED_VALUE"""),"Nevada Jen")</f>
        <v>Nevada Jen</v>
      </c>
      <c r="B1880" s="149" t="str">
        <f>IFERROR(__xludf.DUMMYFUNCTION("""COMPUTED_VALUE"""),"Phoenix")</f>
        <v>Phoenix</v>
      </c>
      <c r="C1880" s="149" t="str">
        <f>IFERROR(__xludf.DUMMYFUNCTION("""COMPUTED_VALUE"""),"AZ")</f>
        <v>AZ</v>
      </c>
      <c r="D1880" s="149" t="str">
        <f>IFERROR(__xludf.DUMMYFUNCTION("""COMPUTED_VALUE"""),"USA")</f>
        <v>USA</v>
      </c>
      <c r="E1880" s="156">
        <f>IFERROR(__xludf.DUMMYFUNCTION("""COMPUTED_VALUE"""),43609.0)</f>
        <v>43609</v>
      </c>
      <c r="F1880" s="129">
        <f>IFERROR(__xludf.DUMMYFUNCTION("""COMPUTED_VALUE"""),43619.0)</f>
        <v>43619</v>
      </c>
      <c r="G1880" s="154"/>
      <c r="H1880" s="131">
        <f>IFERROR(__xludf.DUMMYFUNCTION("""COMPUTED_VALUE"""),398255.0)</f>
        <v>398255</v>
      </c>
      <c r="I1880" s="144"/>
      <c r="J1880" s="129">
        <f>IFERROR(__xludf.DUMMYFUNCTION("""COMPUTED_VALUE"""),43624.0)</f>
        <v>43624</v>
      </c>
      <c r="K1880" s="133">
        <f>IFERROR(__xludf.DUMMYFUNCTION("""COMPUTED_VALUE"""),10.0)</f>
        <v>10</v>
      </c>
      <c r="L1880" s="133">
        <f>IFERROR(__xludf.DUMMYFUNCTION("""COMPUTED_VALUE"""),5.0)</f>
        <v>5</v>
      </c>
      <c r="M1880" s="133">
        <f>IFERROR(__xludf.DUMMYFUNCTION("""COMPUTED_VALUE"""),15.0)</f>
        <v>15</v>
      </c>
      <c r="N1880" s="152" t="str">
        <f>IFERROR(__xludf.DUMMYFUNCTION("""COMPUTED_VALUE"""),"Model 3 SR+")</f>
        <v>Model 3 SR+</v>
      </c>
      <c r="O1880" s="152" t="str">
        <f>IFERROR(__xludf.DUMMYFUNCTION("""COMPUTED_VALUE"""),"Solid Black")</f>
        <v>Solid Black</v>
      </c>
      <c r="P1880" s="153" t="str">
        <f>IFERROR(__xludf.DUMMYFUNCTION("""COMPUTED_VALUE"""),"18 inch Aero")</f>
        <v>18 inch Aero</v>
      </c>
      <c r="Q1880" s="152" t="str">
        <f>IFERROR(__xludf.DUMMYFUNCTION("""COMPUTED_VALUE"""),"Black seats")</f>
        <v>Black seats</v>
      </c>
      <c r="R1880" s="149" t="str">
        <f>IFERROR(__xludf.DUMMYFUNCTION("""COMPUTED_VALUE"""),"Autopilot")</f>
        <v>Autopilot</v>
      </c>
      <c r="S1880" s="149"/>
      <c r="T1880" s="145"/>
      <c r="U1880" s="145"/>
      <c r="V1880" s="145"/>
      <c r="W1880" s="145"/>
      <c r="X1880" s="137" t="str">
        <f>IFERROR(__xludf.DUMMYFUNCTION("""COMPUTED_VALUE"""),"Excellent")</f>
        <v>Excellent</v>
      </c>
      <c r="Y1880" s="138" t="str">
        <f>IFERROR(__xludf.DUMMYFUNCTION("""COMPUTED_VALUE"""),"Excellent")</f>
        <v>Excellent</v>
      </c>
      <c r="Z1880" s="138" t="str">
        <f>IFERROR(__xludf.DUMMYFUNCTION("""COMPUTED_VALUE"""),"Excellent")</f>
        <v>Excellent</v>
      </c>
      <c r="AA1880" s="138" t="str">
        <f>IFERROR(__xludf.DUMMYFUNCTION("""COMPUTED_VALUE"""),"Poor")</f>
        <v>Poor</v>
      </c>
      <c r="AB1880" s="138" t="str">
        <f>IFERROR(__xludf.DUMMYFUNCTION("""COMPUTED_VALUE"""),"Good")</f>
        <v>Good</v>
      </c>
      <c r="AC1880" s="139"/>
      <c r="AD1880" s="139"/>
      <c r="AE1880" s="139"/>
      <c r="AF1880" s="140"/>
      <c r="AG1880" s="145"/>
      <c r="AH1880" s="157">
        <f>IFERROR(__xludf.DUMMYFUNCTION("""COMPUTED_VALUE"""),43627.49641333334)</f>
        <v>43627.49641</v>
      </c>
      <c r="AI1880" s="138"/>
      <c r="AJ1880" s="138"/>
      <c r="AK1880" s="138"/>
      <c r="AL1880" s="142"/>
    </row>
    <row r="1881" ht="20.25" customHeight="1">
      <c r="A1881" s="155" t="str">
        <f>IFERROR(__xludf.DUMMYFUNCTION("""COMPUTED_VALUE"""),"SingleT")</f>
        <v>SingleT</v>
      </c>
      <c r="B1881" s="149" t="str">
        <f>IFERROR(__xludf.DUMMYFUNCTION("""COMPUTED_VALUE"""),"Eden Prairie")</f>
        <v>Eden Prairie</v>
      </c>
      <c r="C1881" s="149" t="str">
        <f>IFERROR(__xludf.DUMMYFUNCTION("""COMPUTED_VALUE"""),"MN")</f>
        <v>MN</v>
      </c>
      <c r="D1881" s="149" t="str">
        <f>IFERROR(__xludf.DUMMYFUNCTION("""COMPUTED_VALUE"""),"USA")</f>
        <v>USA</v>
      </c>
      <c r="E1881" s="156">
        <f>IFERROR(__xludf.DUMMYFUNCTION("""COMPUTED_VALUE"""),43609.0)</f>
        <v>43609</v>
      </c>
      <c r="F1881" s="129">
        <f>IFERROR(__xludf.DUMMYFUNCTION("""COMPUTED_VALUE"""),43618.0)</f>
        <v>43618</v>
      </c>
      <c r="G1881" s="154"/>
      <c r="H1881" s="131">
        <f>IFERROR(__xludf.DUMMYFUNCTION("""COMPUTED_VALUE"""),308287.0)</f>
        <v>308287</v>
      </c>
      <c r="I1881" s="132" t="str">
        <f>IFERROR(__xludf.DUMMYFUNCTION("""COMPUTED_VALUE"""),"06/19")</f>
        <v>06/19</v>
      </c>
      <c r="J1881" s="129">
        <f>IFERROR(__xludf.DUMMYFUNCTION("""COMPUTED_VALUE"""),43624.0)</f>
        <v>43624</v>
      </c>
      <c r="K1881" s="133">
        <f>IFERROR(__xludf.DUMMYFUNCTION("""COMPUTED_VALUE"""),9.0)</f>
        <v>9</v>
      </c>
      <c r="L1881" s="133">
        <f>IFERROR(__xludf.DUMMYFUNCTION("""COMPUTED_VALUE"""),6.0)</f>
        <v>6</v>
      </c>
      <c r="M1881" s="133">
        <f>IFERROR(__xludf.DUMMYFUNCTION("""COMPUTED_VALUE"""),15.0)</f>
        <v>15</v>
      </c>
      <c r="N1881" s="152" t="str">
        <f>IFERROR(__xludf.DUMMYFUNCTION("""COMPUTED_VALUE"""),"Model 3 SR+")</f>
        <v>Model 3 SR+</v>
      </c>
      <c r="O1881" s="152" t="str">
        <f>IFERROR(__xludf.DUMMYFUNCTION("""COMPUTED_VALUE"""),"Midnight Silver Metallic")</f>
        <v>Midnight Silver Metallic</v>
      </c>
      <c r="P1881" s="153" t="str">
        <f>IFERROR(__xludf.DUMMYFUNCTION("""COMPUTED_VALUE"""),"18 inch Aero")</f>
        <v>18 inch Aero</v>
      </c>
      <c r="Q1881" s="152" t="str">
        <f>IFERROR(__xludf.DUMMYFUNCTION("""COMPUTED_VALUE"""),"Black seats")</f>
        <v>Black seats</v>
      </c>
      <c r="R1881" s="150" t="str">
        <f>IFERROR(__xludf.DUMMYFUNCTION("""COMPUTED_VALUE"""),"Autopilot")</f>
        <v>Autopilot</v>
      </c>
      <c r="S1881" s="150"/>
      <c r="T1881" s="136"/>
      <c r="U1881" s="136"/>
      <c r="V1881" s="136"/>
      <c r="W1881" s="145"/>
      <c r="X1881" s="137" t="str">
        <f>IFERROR(__xludf.DUMMYFUNCTION("""COMPUTED_VALUE"""),"Excellent")</f>
        <v>Excellent</v>
      </c>
      <c r="Y1881" s="138" t="str">
        <f>IFERROR(__xludf.DUMMYFUNCTION("""COMPUTED_VALUE"""),"Excellent")</f>
        <v>Excellent</v>
      </c>
      <c r="Z1881" s="138" t="str">
        <f>IFERROR(__xludf.DUMMYFUNCTION("""COMPUTED_VALUE"""),"Very Good")</f>
        <v>Very Good</v>
      </c>
      <c r="AA1881" s="138" t="str">
        <f>IFERROR(__xludf.DUMMYFUNCTION("""COMPUTED_VALUE"""),"Fair")</f>
        <v>Fair</v>
      </c>
      <c r="AB1881" s="138" t="str">
        <f>IFERROR(__xludf.DUMMYFUNCTION("""COMPUTED_VALUE"""),"Very Good")</f>
        <v>Very Good</v>
      </c>
      <c r="AC1881" s="139"/>
      <c r="AD1881" s="139"/>
      <c r="AE1881" s="139"/>
      <c r="AF1881" s="140"/>
      <c r="AG1881" s="145" t="str">
        <f>IFERROR(__xludf.DUMMYFUNCTION("""COMPUTED_VALUE"""),"Missing a few wheel well clips, but otherwise car was in great shape at delivery")</f>
        <v>Missing a few wheel well clips, but otherwise car was in great shape at delivery</v>
      </c>
      <c r="AH1881" s="157">
        <f>IFERROR(__xludf.DUMMYFUNCTION("""COMPUTED_VALUE"""),43626.28708538194)</f>
        <v>43626.28709</v>
      </c>
      <c r="AI1881" s="138"/>
      <c r="AJ1881" s="138"/>
      <c r="AK1881" s="138"/>
      <c r="AL1881" s="142"/>
    </row>
    <row r="1882" ht="20.25" customHeight="1">
      <c r="A1882" s="155" t="str">
        <f>IFERROR(__xludf.DUMMYFUNCTION("""COMPUTED_VALUE"""),"warren_ja")</f>
        <v>warren_ja</v>
      </c>
      <c r="B1882" s="159" t="str">
        <f>IFERROR(__xludf.DUMMYFUNCTION("""COMPUTED_VALUE"""),"Birmingham")</f>
        <v>Birmingham</v>
      </c>
      <c r="C1882" s="159" t="str">
        <f>IFERROR(__xludf.DUMMYFUNCTION("""COMPUTED_VALUE"""),"AL")</f>
        <v>AL</v>
      </c>
      <c r="D1882" s="159" t="str">
        <f>IFERROR(__xludf.DUMMYFUNCTION("""COMPUTED_VALUE"""),"USA")</f>
        <v>USA</v>
      </c>
      <c r="E1882" s="156">
        <f>IFERROR(__xludf.DUMMYFUNCTION("""COMPUTED_VALUE"""),43609.0)</f>
        <v>43609</v>
      </c>
      <c r="F1882" s="129">
        <f>IFERROR(__xludf.DUMMYFUNCTION("""COMPUTED_VALUE"""),43631.0)</f>
        <v>43631</v>
      </c>
      <c r="G1882" s="154"/>
      <c r="H1882" s="131">
        <f>IFERROR(__xludf.DUMMYFUNCTION("""COMPUTED_VALUE"""),331255.0)</f>
        <v>331255</v>
      </c>
      <c r="I1882" s="160" t="str">
        <f>IFERROR(__xludf.DUMMYFUNCTION("""COMPUTED_VALUE"""),"06/19")</f>
        <v>06/19</v>
      </c>
      <c r="J1882" s="129">
        <f>IFERROR(__xludf.DUMMYFUNCTION("""COMPUTED_VALUE"""),43637.0)</f>
        <v>43637</v>
      </c>
      <c r="K1882" s="133">
        <f>IFERROR(__xludf.DUMMYFUNCTION("""COMPUTED_VALUE"""),22.0)</f>
        <v>22</v>
      </c>
      <c r="L1882" s="133">
        <f>IFERROR(__xludf.DUMMYFUNCTION("""COMPUTED_VALUE"""),6.0)</f>
        <v>6</v>
      </c>
      <c r="M1882" s="133">
        <f>IFERROR(__xludf.DUMMYFUNCTION("""COMPUTED_VALUE"""),28.0)</f>
        <v>28</v>
      </c>
      <c r="N1882" s="152" t="str">
        <f>IFERROR(__xludf.DUMMYFUNCTION("""COMPUTED_VALUE"""),"Model 3 LR")</f>
        <v>Model 3 LR</v>
      </c>
      <c r="O1882" s="152" t="str">
        <f>IFERROR(__xludf.DUMMYFUNCTION("""COMPUTED_VALUE"""),"Midnight Silver Metallic")</f>
        <v>Midnight Silver Metallic</v>
      </c>
      <c r="P1882" s="153" t="str">
        <f>IFERROR(__xludf.DUMMYFUNCTION("""COMPUTED_VALUE"""),"18 inch Aero")</f>
        <v>18 inch Aero</v>
      </c>
      <c r="Q1882" s="152" t="str">
        <f>IFERROR(__xludf.DUMMYFUNCTION("""COMPUTED_VALUE"""),"Black seats")</f>
        <v>Black seats</v>
      </c>
      <c r="R1882" s="159" t="str">
        <f>IFERROR(__xludf.DUMMYFUNCTION("""COMPUTED_VALUE"""),"Full Self-Driving")</f>
        <v>Full Self-Driving</v>
      </c>
      <c r="S1882" s="159"/>
      <c r="T1882" s="161"/>
      <c r="U1882" s="161"/>
      <c r="V1882" s="161"/>
      <c r="W1882" s="161"/>
      <c r="X1882" s="137" t="str">
        <f>IFERROR(__xludf.DUMMYFUNCTION("""COMPUTED_VALUE"""),"Excellent")</f>
        <v>Excellent</v>
      </c>
      <c r="Y1882" s="138" t="str">
        <f>IFERROR(__xludf.DUMMYFUNCTION("""COMPUTED_VALUE"""),"Excellent")</f>
        <v>Excellent</v>
      </c>
      <c r="Z1882" s="138" t="str">
        <f>IFERROR(__xludf.DUMMYFUNCTION("""COMPUTED_VALUE"""),"Excellent")</f>
        <v>Excellent</v>
      </c>
      <c r="AA1882" s="138" t="str">
        <f>IFERROR(__xludf.DUMMYFUNCTION("""COMPUTED_VALUE"""),"Good")</f>
        <v>Good</v>
      </c>
      <c r="AB1882" s="138" t="str">
        <f>IFERROR(__xludf.DUMMYFUNCTION("""COMPUTED_VALUE"""),"Excellent")</f>
        <v>Excellent</v>
      </c>
      <c r="AC1882" s="139"/>
      <c r="AD1882" s="139"/>
      <c r="AE1882" s="139"/>
      <c r="AF1882" s="140"/>
      <c r="AG1882" s="161"/>
      <c r="AH1882" s="157">
        <f>IFERROR(__xludf.DUMMYFUNCTION("""COMPUTED_VALUE"""),43637.855636539345)</f>
        <v>43637.85564</v>
      </c>
      <c r="AI1882" s="138"/>
      <c r="AJ1882" s="138"/>
      <c r="AK1882" s="138"/>
      <c r="AL1882" s="142"/>
    </row>
    <row r="1883" ht="20.25" customHeight="1">
      <c r="A1883" s="155" t="str">
        <f>IFERROR(__xludf.DUMMYFUNCTION("""COMPUTED_VALUE"""),"lxs0618")</f>
        <v>lxs0618</v>
      </c>
      <c r="B1883" s="149" t="str">
        <f>IFERROR(__xludf.DUMMYFUNCTION("""COMPUTED_VALUE"""),"San Diego")</f>
        <v>San Diego</v>
      </c>
      <c r="C1883" s="149" t="str">
        <f>IFERROR(__xludf.DUMMYFUNCTION("""COMPUTED_VALUE"""),"CA")</f>
        <v>CA</v>
      </c>
      <c r="D1883" s="149" t="str">
        <f>IFERROR(__xludf.DUMMYFUNCTION("""COMPUTED_VALUE"""),"USA")</f>
        <v>USA</v>
      </c>
      <c r="E1883" s="156">
        <f>IFERROR(__xludf.DUMMYFUNCTION("""COMPUTED_VALUE"""),43608.0)</f>
        <v>43608</v>
      </c>
      <c r="F1883" s="129">
        <f>IFERROR(__xludf.DUMMYFUNCTION("""COMPUTED_VALUE"""),43618.0)</f>
        <v>43618</v>
      </c>
      <c r="G1883" s="154"/>
      <c r="H1883" s="131">
        <f>IFERROR(__xludf.DUMMYFUNCTION("""COMPUTED_VALUE"""),394547.0)</f>
        <v>394547</v>
      </c>
      <c r="I1883" s="132" t="str">
        <f>IFERROR(__xludf.DUMMYFUNCTION("""COMPUTED_VALUE"""),"06/19")</f>
        <v>06/19</v>
      </c>
      <c r="J1883" s="129">
        <f>IFERROR(__xludf.DUMMYFUNCTION("""COMPUTED_VALUE"""),43623.0)</f>
        <v>43623</v>
      </c>
      <c r="K1883" s="133">
        <f>IFERROR(__xludf.DUMMYFUNCTION("""COMPUTED_VALUE"""),10.0)</f>
        <v>10</v>
      </c>
      <c r="L1883" s="133">
        <f>IFERROR(__xludf.DUMMYFUNCTION("""COMPUTED_VALUE"""),5.0)</f>
        <v>5</v>
      </c>
      <c r="M1883" s="133">
        <f>IFERROR(__xludf.DUMMYFUNCTION("""COMPUTED_VALUE"""),15.0)</f>
        <v>15</v>
      </c>
      <c r="N1883" s="152" t="str">
        <f>IFERROR(__xludf.DUMMYFUNCTION("""COMPUTED_VALUE"""),"Model 3 SR+")</f>
        <v>Model 3 SR+</v>
      </c>
      <c r="O1883" s="152" t="str">
        <f>IFERROR(__xludf.DUMMYFUNCTION("""COMPUTED_VALUE"""),"Solid Black")</f>
        <v>Solid Black</v>
      </c>
      <c r="P1883" s="153" t="str">
        <f>IFERROR(__xludf.DUMMYFUNCTION("""COMPUTED_VALUE"""),"18 inch Aero")</f>
        <v>18 inch Aero</v>
      </c>
      <c r="Q1883" s="152" t="str">
        <f>IFERROR(__xludf.DUMMYFUNCTION("""COMPUTED_VALUE"""),"Black seats")</f>
        <v>Black seats</v>
      </c>
      <c r="R1883" s="150" t="str">
        <f>IFERROR(__xludf.DUMMYFUNCTION("""COMPUTED_VALUE"""),"Full Self-Driving")</f>
        <v>Full Self-Driving</v>
      </c>
      <c r="S1883" s="150"/>
      <c r="T1883" s="136"/>
      <c r="U1883" s="136"/>
      <c r="V1883" s="136"/>
      <c r="W1883" s="145"/>
      <c r="X1883" s="137" t="str">
        <f>IFERROR(__xludf.DUMMYFUNCTION("""COMPUTED_VALUE"""),"Fair")</f>
        <v>Fair</v>
      </c>
      <c r="Y1883" s="138" t="str">
        <f>IFERROR(__xludf.DUMMYFUNCTION("""COMPUTED_VALUE"""),"Excellent")</f>
        <v>Excellent</v>
      </c>
      <c r="Z1883" s="138" t="str">
        <f>IFERROR(__xludf.DUMMYFUNCTION("""COMPUTED_VALUE"""),"Very Good")</f>
        <v>Very Good</v>
      </c>
      <c r="AA1883" s="138" t="str">
        <f>IFERROR(__xludf.DUMMYFUNCTION("""COMPUTED_VALUE"""),"Fair")</f>
        <v>Fair</v>
      </c>
      <c r="AB1883" s="138" t="str">
        <f>IFERROR(__xludf.DUMMYFUNCTION("""COMPUTED_VALUE"""),"Excellent")</f>
        <v>Excellent</v>
      </c>
      <c r="AC1883" s="139">
        <f>IFERROR(__xludf.DUMMYFUNCTION("""COMPUTED_VALUE"""),1.0)</f>
        <v>1</v>
      </c>
      <c r="AD1883" s="139"/>
      <c r="AE1883" s="139"/>
      <c r="AF1883" s="140"/>
      <c r="AG1883" s="145"/>
      <c r="AH1883" s="157">
        <f>IFERROR(__xludf.DUMMYFUNCTION("""COMPUTED_VALUE"""),43628.324223807875)</f>
        <v>43628.32422</v>
      </c>
      <c r="AI1883" s="138"/>
      <c r="AJ1883" s="138"/>
      <c r="AK1883" s="138"/>
      <c r="AL1883" s="142"/>
    </row>
    <row r="1884" ht="20.25" customHeight="1">
      <c r="A1884" s="155" t="str">
        <f>IFERROR(__xludf.DUMMYFUNCTION("""COMPUTED_VALUE"""),"Pommie")</f>
        <v>Pommie</v>
      </c>
      <c r="B1884" s="149" t="str">
        <f>IFERROR(__xludf.DUMMYFUNCTION("""COMPUTED_VALUE"""),"Boulder")</f>
        <v>Boulder</v>
      </c>
      <c r="C1884" s="149" t="str">
        <f>IFERROR(__xludf.DUMMYFUNCTION("""COMPUTED_VALUE"""),"CO")</f>
        <v>CO</v>
      </c>
      <c r="D1884" s="149" t="str">
        <f>IFERROR(__xludf.DUMMYFUNCTION("""COMPUTED_VALUE"""),"USA")</f>
        <v>USA</v>
      </c>
      <c r="E1884" s="156">
        <f>IFERROR(__xludf.DUMMYFUNCTION("""COMPUTED_VALUE"""),43608.0)</f>
        <v>43608</v>
      </c>
      <c r="F1884" s="129">
        <f>IFERROR(__xludf.DUMMYFUNCTION("""COMPUTED_VALUE"""),43615.0)</f>
        <v>43615</v>
      </c>
      <c r="G1884" s="154"/>
      <c r="H1884" s="131">
        <f>IFERROR(__xludf.DUMMYFUNCTION("""COMPUTED_VALUE"""),386155.0)</f>
        <v>386155</v>
      </c>
      <c r="I1884" s="132"/>
      <c r="J1884" s="129">
        <f>IFERROR(__xludf.DUMMYFUNCTION("""COMPUTED_VALUE"""),43620.0)</f>
        <v>43620</v>
      </c>
      <c r="K1884" s="133">
        <f>IFERROR(__xludf.DUMMYFUNCTION("""COMPUTED_VALUE"""),7.0)</f>
        <v>7</v>
      </c>
      <c r="L1884" s="133">
        <f>IFERROR(__xludf.DUMMYFUNCTION("""COMPUTED_VALUE"""),5.0)</f>
        <v>5</v>
      </c>
      <c r="M1884" s="133">
        <f>IFERROR(__xludf.DUMMYFUNCTION("""COMPUTED_VALUE"""),12.0)</f>
        <v>12</v>
      </c>
      <c r="N1884" s="152" t="str">
        <f>IFERROR(__xludf.DUMMYFUNCTION("""COMPUTED_VALUE"""),"Model 3 LR AWD")</f>
        <v>Model 3 LR AWD</v>
      </c>
      <c r="O1884" s="152" t="str">
        <f>IFERROR(__xludf.DUMMYFUNCTION("""COMPUTED_VALUE"""),"Midnight Silver Metallic")</f>
        <v>Midnight Silver Metallic</v>
      </c>
      <c r="P1884" s="153" t="str">
        <f>IFERROR(__xludf.DUMMYFUNCTION("""COMPUTED_VALUE"""),"18 inch Aero")</f>
        <v>18 inch Aero</v>
      </c>
      <c r="Q1884" s="152" t="str">
        <f>IFERROR(__xludf.DUMMYFUNCTION("""COMPUTED_VALUE"""),"Black seats")</f>
        <v>Black seats</v>
      </c>
      <c r="R1884" s="150" t="str">
        <f>IFERROR(__xludf.DUMMYFUNCTION("""COMPUTED_VALUE"""),"Autopilot")</f>
        <v>Autopilot</v>
      </c>
      <c r="S1884" s="150"/>
      <c r="T1884" s="136"/>
      <c r="U1884" s="136"/>
      <c r="V1884" s="136"/>
      <c r="W1884" s="136"/>
      <c r="X1884" s="137" t="str">
        <f>IFERROR(__xludf.DUMMYFUNCTION("""COMPUTED_VALUE"""),"Excellent")</f>
        <v>Excellent</v>
      </c>
      <c r="Y1884" s="138" t="str">
        <f>IFERROR(__xludf.DUMMYFUNCTION("""COMPUTED_VALUE"""),"Excellent")</f>
        <v>Excellent</v>
      </c>
      <c r="Z1884" s="138" t="str">
        <f>IFERROR(__xludf.DUMMYFUNCTION("""COMPUTED_VALUE"""),"Very Good")</f>
        <v>Very Good</v>
      </c>
      <c r="AA1884" s="138" t="str">
        <f>IFERROR(__xludf.DUMMYFUNCTION("""COMPUTED_VALUE"""),"Excellent")</f>
        <v>Excellent</v>
      </c>
      <c r="AB1884" s="138" t="str">
        <f>IFERROR(__xludf.DUMMYFUNCTION("""COMPUTED_VALUE"""),"Very Good")</f>
        <v>Very Good</v>
      </c>
      <c r="AC1884" s="139"/>
      <c r="AD1884" s="139"/>
      <c r="AE1884" s="139"/>
      <c r="AF1884" s="140"/>
      <c r="AG1884" s="136"/>
      <c r="AH1884" s="157">
        <f>IFERROR(__xludf.DUMMYFUNCTION("""COMPUTED_VALUE"""),43620.88258607639)</f>
        <v>43620.88259</v>
      </c>
      <c r="AI1884" s="138"/>
      <c r="AJ1884" s="138"/>
      <c r="AK1884" s="138"/>
      <c r="AL1884" s="142"/>
    </row>
    <row r="1885" ht="20.25" customHeight="1">
      <c r="A1885" s="155" t="str">
        <f>IFERROR(__xludf.DUMMYFUNCTION("""COMPUTED_VALUE"""),"unusualbob")</f>
        <v>unusualbob</v>
      </c>
      <c r="B1885" s="149" t="str">
        <f>IFERROR(__xludf.DUMMYFUNCTION("""COMPUTED_VALUE"""),"Atlanta")</f>
        <v>Atlanta</v>
      </c>
      <c r="C1885" s="149" t="str">
        <f>IFERROR(__xludf.DUMMYFUNCTION("""COMPUTED_VALUE"""),"GA")</f>
        <v>GA</v>
      </c>
      <c r="D1885" s="149" t="str">
        <f>IFERROR(__xludf.DUMMYFUNCTION("""COMPUTED_VALUE"""),"USA")</f>
        <v>USA</v>
      </c>
      <c r="E1885" s="156">
        <f>IFERROR(__xludf.DUMMYFUNCTION("""COMPUTED_VALUE"""),43608.0)</f>
        <v>43608</v>
      </c>
      <c r="F1885" s="129">
        <f>IFERROR(__xludf.DUMMYFUNCTION("""COMPUTED_VALUE"""),43631.0)</f>
        <v>43631</v>
      </c>
      <c r="G1885" s="154"/>
      <c r="H1885" s="131"/>
      <c r="I1885" s="132"/>
      <c r="J1885" s="129">
        <f>IFERROR(__xludf.DUMMYFUNCTION("""COMPUTED_VALUE"""),43638.0)</f>
        <v>43638</v>
      </c>
      <c r="K1885" s="133">
        <f>IFERROR(__xludf.DUMMYFUNCTION("""COMPUTED_VALUE"""),23.0)</f>
        <v>23</v>
      </c>
      <c r="L1885" s="133">
        <f>IFERROR(__xludf.DUMMYFUNCTION("""COMPUTED_VALUE"""),7.0)</f>
        <v>7</v>
      </c>
      <c r="M1885" s="133">
        <f>IFERROR(__xludf.DUMMYFUNCTION("""COMPUTED_VALUE"""),30.0)</f>
        <v>30</v>
      </c>
      <c r="N1885" s="152" t="str">
        <f>IFERROR(__xludf.DUMMYFUNCTION("""COMPUTED_VALUE"""),"Model 3 LR")</f>
        <v>Model 3 LR</v>
      </c>
      <c r="O1885" s="152" t="str">
        <f>IFERROR(__xludf.DUMMYFUNCTION("""COMPUTED_VALUE"""),"Solid Black")</f>
        <v>Solid Black</v>
      </c>
      <c r="P1885" s="153" t="str">
        <f>IFERROR(__xludf.DUMMYFUNCTION("""COMPUTED_VALUE"""),"18 inch Aero")</f>
        <v>18 inch Aero</v>
      </c>
      <c r="Q1885" s="152" t="str">
        <f>IFERROR(__xludf.DUMMYFUNCTION("""COMPUTED_VALUE"""),"Black seats")</f>
        <v>Black seats</v>
      </c>
      <c r="R1885" s="150" t="str">
        <f>IFERROR(__xludf.DUMMYFUNCTION("""COMPUTED_VALUE"""),"Full Self-Driving")</f>
        <v>Full Self-Driving</v>
      </c>
      <c r="S1885" s="150"/>
      <c r="T1885" s="145"/>
      <c r="U1885" s="145"/>
      <c r="V1885" s="136"/>
      <c r="W1885" s="136"/>
      <c r="X1885" s="137" t="str">
        <f>IFERROR(__xludf.DUMMYFUNCTION("""COMPUTED_VALUE"""),"Fair")</f>
        <v>Fair</v>
      </c>
      <c r="Y1885" s="138" t="str">
        <f>IFERROR(__xludf.DUMMYFUNCTION("""COMPUTED_VALUE"""),"Good")</f>
        <v>Good</v>
      </c>
      <c r="Z1885" s="138" t="str">
        <f>IFERROR(__xludf.DUMMYFUNCTION("""COMPUTED_VALUE"""),"Good")</f>
        <v>Good</v>
      </c>
      <c r="AA1885" s="138" t="str">
        <f>IFERROR(__xludf.DUMMYFUNCTION("""COMPUTED_VALUE"""),"Fair")</f>
        <v>Fair</v>
      </c>
      <c r="AB1885" s="138" t="str">
        <f>IFERROR(__xludf.DUMMYFUNCTION("""COMPUTED_VALUE"""),"Fair")</f>
        <v>Fair</v>
      </c>
      <c r="AC1885" s="139">
        <f>IFERROR(__xludf.DUMMYFUNCTION("""COMPUTED_VALUE"""),2.0)</f>
        <v>2</v>
      </c>
      <c r="AD1885" s="139">
        <f>IFERROR(__xludf.DUMMYFUNCTION("""COMPUTED_VALUE"""),3.0)</f>
        <v>3</v>
      </c>
      <c r="AE1885" s="139">
        <f>IFERROR(__xludf.DUMMYFUNCTION("""COMPUTED_VALUE"""),1.0)</f>
        <v>1</v>
      </c>
      <c r="AF1885" s="140"/>
      <c r="AG1885" s="136" t="str">
        <f>IFERROR(__xludf.DUMMYFUNCTION("""COMPUTED_VALUE"""),"Passenger door was rubbing the body. Windshield was incorrectly sealed. Issues were fixed by service center.")</f>
        <v>Passenger door was rubbing the body. Windshield was incorrectly sealed. Issues were fixed by service center.</v>
      </c>
      <c r="AH1885" s="157">
        <f>IFERROR(__xludf.DUMMYFUNCTION("""COMPUTED_VALUE"""),43655.54054252315)</f>
        <v>43655.54054</v>
      </c>
      <c r="AI1885" s="138"/>
      <c r="AJ1885" s="138"/>
      <c r="AK1885" s="138"/>
      <c r="AL1885" s="142"/>
    </row>
    <row r="1886" ht="20.25" customHeight="1">
      <c r="A1886" s="155" t="str">
        <f>IFERROR(__xludf.DUMMYFUNCTION("""COMPUTED_VALUE"""),"Bob_Yul")</f>
        <v>Bob_Yul</v>
      </c>
      <c r="B1886" s="149" t="str">
        <f>IFERROR(__xludf.DUMMYFUNCTION("""COMPUTED_VALUE"""),"Montreal")</f>
        <v>Montreal</v>
      </c>
      <c r="C1886" s="149" t="str">
        <f>IFERROR(__xludf.DUMMYFUNCTION("""COMPUTED_VALUE"""),"QC")</f>
        <v>QC</v>
      </c>
      <c r="D1886" s="149" t="str">
        <f>IFERROR(__xludf.DUMMYFUNCTION("""COMPUTED_VALUE"""),"Canada")</f>
        <v>Canada</v>
      </c>
      <c r="E1886" s="156">
        <f>IFERROR(__xludf.DUMMYFUNCTION("""COMPUTED_VALUE"""),43607.0)</f>
        <v>43607</v>
      </c>
      <c r="F1886" s="129">
        <f>IFERROR(__xludf.DUMMYFUNCTION("""COMPUTED_VALUE"""),43618.0)</f>
        <v>43618</v>
      </c>
      <c r="G1886" s="154"/>
      <c r="H1886" s="131">
        <f>IFERROR(__xludf.DUMMYFUNCTION("""COMPUTED_VALUE"""),414355.0)</f>
        <v>414355</v>
      </c>
      <c r="I1886" s="144"/>
      <c r="J1886" s="129">
        <f>IFERROR(__xludf.DUMMYFUNCTION("""COMPUTED_VALUE"""),43629.0)</f>
        <v>43629</v>
      </c>
      <c r="K1886" s="133">
        <f>IFERROR(__xludf.DUMMYFUNCTION("""COMPUTED_VALUE"""),11.0)</f>
        <v>11</v>
      </c>
      <c r="L1886" s="133">
        <f>IFERROR(__xludf.DUMMYFUNCTION("""COMPUTED_VALUE"""),11.0)</f>
        <v>11</v>
      </c>
      <c r="M1886" s="133">
        <f>IFERROR(__xludf.DUMMYFUNCTION("""COMPUTED_VALUE"""),22.0)</f>
        <v>22</v>
      </c>
      <c r="N1886" s="152" t="str">
        <f>IFERROR(__xludf.DUMMYFUNCTION("""COMPUTED_VALUE"""),"Model 3 SR+")</f>
        <v>Model 3 SR+</v>
      </c>
      <c r="O1886" s="152" t="str">
        <f>IFERROR(__xludf.DUMMYFUNCTION("""COMPUTED_VALUE"""),"Deep Blue Metallic")</f>
        <v>Deep Blue Metallic</v>
      </c>
      <c r="P1886" s="153" t="str">
        <f>IFERROR(__xludf.DUMMYFUNCTION("""COMPUTED_VALUE"""),"18 inch Aero")</f>
        <v>18 inch Aero</v>
      </c>
      <c r="Q1886" s="152" t="str">
        <f>IFERROR(__xludf.DUMMYFUNCTION("""COMPUTED_VALUE"""),"Black seats")</f>
        <v>Black seats</v>
      </c>
      <c r="R1886" s="149" t="str">
        <f>IFERROR(__xludf.DUMMYFUNCTION("""COMPUTED_VALUE"""),"Autopilot")</f>
        <v>Autopilot</v>
      </c>
      <c r="S1886" s="149"/>
      <c r="T1886" s="145"/>
      <c r="U1886" s="145"/>
      <c r="V1886" s="145"/>
      <c r="W1886" s="145"/>
      <c r="X1886" s="137" t="str">
        <f>IFERROR(__xludf.DUMMYFUNCTION("""COMPUTED_VALUE"""),"Excellent")</f>
        <v>Excellent</v>
      </c>
      <c r="Y1886" s="138" t="str">
        <f>IFERROR(__xludf.DUMMYFUNCTION("""COMPUTED_VALUE"""),"Excellent")</f>
        <v>Excellent</v>
      </c>
      <c r="Z1886" s="138" t="str">
        <f>IFERROR(__xludf.DUMMYFUNCTION("""COMPUTED_VALUE"""),"Excellent")</f>
        <v>Excellent</v>
      </c>
      <c r="AA1886" s="138" t="str">
        <f>IFERROR(__xludf.DUMMYFUNCTION("""COMPUTED_VALUE"""),"Very Good")</f>
        <v>Very Good</v>
      </c>
      <c r="AB1886" s="138" t="str">
        <f>IFERROR(__xludf.DUMMYFUNCTION("""COMPUTED_VALUE"""),"Very Good")</f>
        <v>Very Good</v>
      </c>
      <c r="AC1886" s="139"/>
      <c r="AD1886" s="139"/>
      <c r="AE1886" s="139"/>
      <c r="AF1886" s="140"/>
      <c r="AG1886" s="145"/>
      <c r="AH1886" s="157">
        <f>IFERROR(__xludf.DUMMYFUNCTION("""COMPUTED_VALUE"""),43631.83066762732)</f>
        <v>43631.83067</v>
      </c>
      <c r="AI1886" s="138"/>
      <c r="AJ1886" s="138"/>
      <c r="AK1886" s="138"/>
      <c r="AL1886" s="142"/>
    </row>
    <row r="1887" ht="20.25" customHeight="1">
      <c r="A1887" s="155" t="str">
        <f>IFERROR(__xludf.DUMMYFUNCTION("""COMPUTED_VALUE"""),"Davewill ")</f>
        <v>Davewill </v>
      </c>
      <c r="B1887" s="149" t="str">
        <f>IFERROR(__xludf.DUMMYFUNCTION("""COMPUTED_VALUE"""),"San Diego")</f>
        <v>San Diego</v>
      </c>
      <c r="C1887" s="149" t="str">
        <f>IFERROR(__xludf.DUMMYFUNCTION("""COMPUTED_VALUE"""),"CA")</f>
        <v>CA</v>
      </c>
      <c r="D1887" s="149" t="str">
        <f>IFERROR(__xludf.DUMMYFUNCTION("""COMPUTED_VALUE"""),"USA")</f>
        <v>USA</v>
      </c>
      <c r="E1887" s="156">
        <f>IFERROR(__xludf.DUMMYFUNCTION("""COMPUTED_VALUE"""),43607.0)</f>
        <v>43607</v>
      </c>
      <c r="F1887" s="129">
        <f>IFERROR(__xludf.DUMMYFUNCTION("""COMPUTED_VALUE"""),43609.0)</f>
        <v>43609</v>
      </c>
      <c r="G1887" s="154"/>
      <c r="H1887" s="131">
        <f>IFERROR(__xludf.DUMMYFUNCTION("""COMPUTED_VALUE"""),316755.0)</f>
        <v>316755</v>
      </c>
      <c r="I1887" s="132" t="str">
        <f>IFERROR(__xludf.DUMMYFUNCTION("""COMPUTED_VALUE"""),"04/19")</f>
        <v>04/19</v>
      </c>
      <c r="J1887" s="129">
        <f>IFERROR(__xludf.DUMMYFUNCTION("""COMPUTED_VALUE"""),43624.0)</f>
        <v>43624</v>
      </c>
      <c r="K1887" s="133">
        <f>IFERROR(__xludf.DUMMYFUNCTION("""COMPUTED_VALUE"""),2.0)</f>
        <v>2</v>
      </c>
      <c r="L1887" s="133">
        <f>IFERROR(__xludf.DUMMYFUNCTION("""COMPUTED_VALUE"""),15.0)</f>
        <v>15</v>
      </c>
      <c r="M1887" s="133">
        <f>IFERROR(__xludf.DUMMYFUNCTION("""COMPUTED_VALUE"""),17.0)</f>
        <v>17</v>
      </c>
      <c r="N1887" s="152" t="str">
        <f>IFERROR(__xludf.DUMMYFUNCTION("""COMPUTED_VALUE"""),"Model 3 SR")</f>
        <v>Model 3 SR</v>
      </c>
      <c r="O1887" s="152" t="str">
        <f>IFERROR(__xludf.DUMMYFUNCTION("""COMPUTED_VALUE"""),"Red Multi-Coat")</f>
        <v>Red Multi-Coat</v>
      </c>
      <c r="P1887" s="153" t="str">
        <f>IFERROR(__xludf.DUMMYFUNCTION("""COMPUTED_VALUE"""),"18 inch Aero")</f>
        <v>18 inch Aero</v>
      </c>
      <c r="Q1887" s="152" t="str">
        <f>IFERROR(__xludf.DUMMYFUNCTION("""COMPUTED_VALUE"""),"Black seats")</f>
        <v>Black seats</v>
      </c>
      <c r="R1887" s="150" t="str">
        <f>IFERROR(__xludf.DUMMYFUNCTION("""COMPUTED_VALUE"""),"None")</f>
        <v>None</v>
      </c>
      <c r="S1887" s="150"/>
      <c r="T1887" s="136"/>
      <c r="U1887" s="136"/>
      <c r="V1887" s="136"/>
      <c r="W1887" s="136"/>
      <c r="X1887" s="137" t="str">
        <f>IFERROR(__xludf.DUMMYFUNCTION("""COMPUTED_VALUE"""),"Fair")</f>
        <v>Fair</v>
      </c>
      <c r="Y1887" s="138" t="str">
        <f>IFERROR(__xludf.DUMMYFUNCTION("""COMPUTED_VALUE"""),"Excellent")</f>
        <v>Excellent</v>
      </c>
      <c r="Z1887" s="138" t="str">
        <f>IFERROR(__xludf.DUMMYFUNCTION("""COMPUTED_VALUE"""),"Very Good")</f>
        <v>Very Good</v>
      </c>
      <c r="AA1887" s="138" t="str">
        <f>IFERROR(__xludf.DUMMYFUNCTION("""COMPUTED_VALUE"""),"Good")</f>
        <v>Good</v>
      </c>
      <c r="AB1887" s="138" t="str">
        <f>IFERROR(__xludf.DUMMYFUNCTION("""COMPUTED_VALUE"""),"Fair")</f>
        <v>Fair</v>
      </c>
      <c r="AC1887" s="139">
        <f>IFERROR(__xludf.DUMMYFUNCTION("""COMPUTED_VALUE"""),2.0)</f>
        <v>2</v>
      </c>
      <c r="AD1887" s="139"/>
      <c r="AE1887" s="139"/>
      <c r="AF1887" s="140"/>
      <c r="AG1887" s="136"/>
      <c r="AH1887" s="157">
        <f>IFERROR(__xludf.DUMMYFUNCTION("""COMPUTED_VALUE"""),43625.025307766206)</f>
        <v>43625.02531</v>
      </c>
      <c r="AI1887" s="138"/>
      <c r="AJ1887" s="138"/>
      <c r="AK1887" s="138"/>
      <c r="AL1887" s="142"/>
    </row>
    <row r="1888" ht="20.25" customHeight="1">
      <c r="A1888" s="155" t="str">
        <f>IFERROR(__xludf.DUMMYFUNCTION("""COMPUTED_VALUE"""),"likethebank")</f>
        <v>likethebank</v>
      </c>
      <c r="B1888" s="149" t="str">
        <f>IFERROR(__xludf.DUMMYFUNCTION("""COMPUTED_VALUE"""),"Sunrise")</f>
        <v>Sunrise</v>
      </c>
      <c r="C1888" s="149" t="str">
        <f>IFERROR(__xludf.DUMMYFUNCTION("""COMPUTED_VALUE"""),"FL")</f>
        <v>FL</v>
      </c>
      <c r="D1888" s="149" t="str">
        <f>IFERROR(__xludf.DUMMYFUNCTION("""COMPUTED_VALUE"""),"USA")</f>
        <v>USA</v>
      </c>
      <c r="E1888" s="156">
        <f>IFERROR(__xludf.DUMMYFUNCTION("""COMPUTED_VALUE"""),43607.0)</f>
        <v>43607</v>
      </c>
      <c r="F1888" s="129">
        <f>IFERROR(__xludf.DUMMYFUNCTION("""COMPUTED_VALUE"""),43619.0)</f>
        <v>43619</v>
      </c>
      <c r="G1888" s="154"/>
      <c r="H1888" s="131">
        <f>IFERROR(__xludf.DUMMYFUNCTION("""COMPUTED_VALUE"""),393226.0)</f>
        <v>393226</v>
      </c>
      <c r="I1888" s="144" t="str">
        <f>IFERROR(__xludf.DUMMYFUNCTION("""COMPUTED_VALUE"""),"05/19")</f>
        <v>05/19</v>
      </c>
      <c r="J1888" s="129">
        <f>IFERROR(__xludf.DUMMYFUNCTION("""COMPUTED_VALUE"""),43628.0)</f>
        <v>43628</v>
      </c>
      <c r="K1888" s="133">
        <f>IFERROR(__xludf.DUMMYFUNCTION("""COMPUTED_VALUE"""),12.0)</f>
        <v>12</v>
      </c>
      <c r="L1888" s="133">
        <f>IFERROR(__xludf.DUMMYFUNCTION("""COMPUTED_VALUE"""),9.0)</f>
        <v>9</v>
      </c>
      <c r="M1888" s="133">
        <f>IFERROR(__xludf.DUMMYFUNCTION("""COMPUTED_VALUE"""),21.0)</f>
        <v>21</v>
      </c>
      <c r="N1888" s="152" t="str">
        <f>IFERROR(__xludf.DUMMYFUNCTION("""COMPUTED_VALUE"""),"Model 3 Performance")</f>
        <v>Model 3 Performance</v>
      </c>
      <c r="O1888" s="152" t="str">
        <f>IFERROR(__xludf.DUMMYFUNCTION("""COMPUTED_VALUE"""),"Pearl White Multi-Coat")</f>
        <v>Pearl White Multi-Coat</v>
      </c>
      <c r="P1888" s="153" t="str">
        <f>IFERROR(__xludf.DUMMYFUNCTION("""COMPUTED_VALUE"""),"20 inch Sport")</f>
        <v>20 inch Sport</v>
      </c>
      <c r="Q1888" s="152" t="str">
        <f>IFERROR(__xludf.DUMMYFUNCTION("""COMPUTED_VALUE"""),"Black seats")</f>
        <v>Black seats</v>
      </c>
      <c r="R1888" s="149" t="str">
        <f>IFERROR(__xludf.DUMMYFUNCTION("""COMPUTED_VALUE"""),"Full Self-Driving")</f>
        <v>Full Self-Driving</v>
      </c>
      <c r="S1888" s="149"/>
      <c r="T1888" s="145"/>
      <c r="U1888" s="145"/>
      <c r="V1888" s="145"/>
      <c r="W1888" s="145"/>
      <c r="X1888" s="137" t="str">
        <f>IFERROR(__xludf.DUMMYFUNCTION("""COMPUTED_VALUE"""),"Excellent")</f>
        <v>Excellent</v>
      </c>
      <c r="Y1888" s="138" t="str">
        <f>IFERROR(__xludf.DUMMYFUNCTION("""COMPUTED_VALUE"""),"Excellent")</f>
        <v>Excellent</v>
      </c>
      <c r="Z1888" s="138" t="str">
        <f>IFERROR(__xludf.DUMMYFUNCTION("""COMPUTED_VALUE"""),"Very Good")</f>
        <v>Very Good</v>
      </c>
      <c r="AA1888" s="138" t="str">
        <f>IFERROR(__xludf.DUMMYFUNCTION("""COMPUTED_VALUE"""),"Good")</f>
        <v>Good</v>
      </c>
      <c r="AB1888" s="138" t="str">
        <f>IFERROR(__xludf.DUMMYFUNCTION("""COMPUTED_VALUE"""),"Good")</f>
        <v>Good</v>
      </c>
      <c r="AC1888" s="139">
        <f>IFERROR(__xludf.DUMMYFUNCTION("""COMPUTED_VALUE"""),1.0)</f>
        <v>1</v>
      </c>
      <c r="AD1888" s="139"/>
      <c r="AE1888" s="139"/>
      <c r="AF1888" s="140"/>
      <c r="AG1888" s="145" t="str">
        <f>IFERROR(__xludf.DUMMYFUNCTION("""COMPUTED_VALUE"""),"During delivery they let me do my own checklist but I think this made them think I didn't want the full delivery experience as it was paperwork then gone.")</f>
        <v>During delivery they let me do my own checklist but I think this made them think I didn't want the full delivery experience as it was paperwork then gone.</v>
      </c>
      <c r="AH1888" s="157">
        <f>IFERROR(__xludf.DUMMYFUNCTION("""COMPUTED_VALUE"""),43628.804872210654)</f>
        <v>43628.80487</v>
      </c>
      <c r="AI1888" s="138"/>
      <c r="AJ1888" s="138"/>
      <c r="AK1888" s="138"/>
      <c r="AL1888" s="142"/>
    </row>
    <row r="1889" ht="20.25" customHeight="1">
      <c r="A1889" s="155" t="str">
        <f>IFERROR(__xludf.DUMMYFUNCTION("""COMPUTED_VALUE"""),"saesian")</f>
        <v>saesian</v>
      </c>
      <c r="B1889" s="165" t="str">
        <f>IFERROR(__xludf.DUMMYFUNCTION("""COMPUTED_VALUE"""),"Durham")</f>
        <v>Durham</v>
      </c>
      <c r="C1889" s="165" t="str">
        <f>IFERROR(__xludf.DUMMYFUNCTION("""COMPUTED_VALUE"""),"NC")</f>
        <v>NC</v>
      </c>
      <c r="D1889" s="165" t="str">
        <f>IFERROR(__xludf.DUMMYFUNCTION("""COMPUTED_VALUE"""),"USA")</f>
        <v>USA</v>
      </c>
      <c r="E1889" s="156">
        <f>IFERROR(__xludf.DUMMYFUNCTION("""COMPUTED_VALUE"""),43607.0)</f>
        <v>43607</v>
      </c>
      <c r="F1889" s="129">
        <f>IFERROR(__xludf.DUMMYFUNCTION("""COMPUTED_VALUE"""),43631.0)</f>
        <v>43631</v>
      </c>
      <c r="G1889" s="154"/>
      <c r="H1889" s="131">
        <f>IFERROR(__xludf.DUMMYFUNCTION("""COMPUTED_VALUE"""),356355.0)</f>
        <v>356355</v>
      </c>
      <c r="I1889" s="166" t="str">
        <f>IFERROR(__xludf.DUMMYFUNCTION("""COMPUTED_VALUE"""),"06/19")</f>
        <v>06/19</v>
      </c>
      <c r="J1889" s="129">
        <f>IFERROR(__xludf.DUMMYFUNCTION("""COMPUTED_VALUE"""),43639.0)</f>
        <v>43639</v>
      </c>
      <c r="K1889" s="133">
        <f>IFERROR(__xludf.DUMMYFUNCTION("""COMPUTED_VALUE"""),24.0)</f>
        <v>24</v>
      </c>
      <c r="L1889" s="133">
        <f>IFERROR(__xludf.DUMMYFUNCTION("""COMPUTED_VALUE"""),8.0)</f>
        <v>8</v>
      </c>
      <c r="M1889" s="133">
        <f>IFERROR(__xludf.DUMMYFUNCTION("""COMPUTED_VALUE"""),32.0)</f>
        <v>32</v>
      </c>
      <c r="N1889" s="152" t="str">
        <f>IFERROR(__xludf.DUMMYFUNCTION("""COMPUTED_VALUE"""),"Model 3 LR")</f>
        <v>Model 3 LR</v>
      </c>
      <c r="O1889" s="152" t="str">
        <f>IFERROR(__xludf.DUMMYFUNCTION("""COMPUTED_VALUE"""),"Deep Blue Metallic")</f>
        <v>Deep Blue Metallic</v>
      </c>
      <c r="P1889" s="153" t="str">
        <f>IFERROR(__xludf.DUMMYFUNCTION("""COMPUTED_VALUE"""),"18 inch Aero")</f>
        <v>18 inch Aero</v>
      </c>
      <c r="Q1889" s="152" t="str">
        <f>IFERROR(__xludf.DUMMYFUNCTION("""COMPUTED_VALUE"""),"Black seats")</f>
        <v>Black seats</v>
      </c>
      <c r="R1889" s="165" t="str">
        <f>IFERROR(__xludf.DUMMYFUNCTION("""COMPUTED_VALUE"""),"Autopilot")</f>
        <v>Autopilot</v>
      </c>
      <c r="S1889" s="165"/>
      <c r="T1889" s="167"/>
      <c r="U1889" s="167"/>
      <c r="V1889" s="167"/>
      <c r="W1889" s="167"/>
      <c r="X1889" s="137" t="str">
        <f>IFERROR(__xludf.DUMMYFUNCTION("""COMPUTED_VALUE"""),"Poor")</f>
        <v>Poor</v>
      </c>
      <c r="Y1889" s="138" t="str">
        <f>IFERROR(__xludf.DUMMYFUNCTION("""COMPUTED_VALUE"""),"Very Good")</f>
        <v>Very Good</v>
      </c>
      <c r="Z1889" s="138" t="str">
        <f>IFERROR(__xludf.DUMMYFUNCTION("""COMPUTED_VALUE"""),"Fair")</f>
        <v>Fair</v>
      </c>
      <c r="AA1889" s="138" t="str">
        <f>IFERROR(__xludf.DUMMYFUNCTION("""COMPUTED_VALUE"""),"Very Good")</f>
        <v>Very Good</v>
      </c>
      <c r="AB1889" s="138" t="str">
        <f>IFERROR(__xludf.DUMMYFUNCTION("""COMPUTED_VALUE"""),"Good")</f>
        <v>Good</v>
      </c>
      <c r="AC1889" s="139">
        <f>IFERROR(__xludf.DUMMYFUNCTION("""COMPUTED_VALUE"""),5.0)</f>
        <v>5</v>
      </c>
      <c r="AD1889" s="139">
        <f>IFERROR(__xludf.DUMMYFUNCTION("""COMPUTED_VALUE"""),2.0)</f>
        <v>2</v>
      </c>
      <c r="AE1889" s="139">
        <f>IFERROR(__xludf.DUMMYFUNCTION("""COMPUTED_VALUE"""),3.0)</f>
        <v>3</v>
      </c>
      <c r="AF1889" s="140"/>
      <c r="AG1889" s="167" t="str">
        <f>IFERROR(__xludf.DUMMYFUNCTION("""COMPUTED_VALUE"""),"3 paint issues and AC not working on delivery.")</f>
        <v>3 paint issues and AC not working on delivery.</v>
      </c>
      <c r="AH1889" s="157">
        <f>IFERROR(__xludf.DUMMYFUNCTION("""COMPUTED_VALUE"""),43653.15566701389)</f>
        <v>43653.15567</v>
      </c>
      <c r="AI1889" s="138"/>
      <c r="AJ1889" s="138"/>
      <c r="AK1889" s="138"/>
      <c r="AL1889" s="142"/>
    </row>
    <row r="1890" ht="20.25" customHeight="1">
      <c r="A1890" s="155" t="str">
        <f>IFERROR(__xludf.DUMMYFUNCTION("""COMPUTED_VALUE"""),"acl198")</f>
        <v>acl198</v>
      </c>
      <c r="B1890" s="149" t="str">
        <f>IFERROR(__xludf.DUMMYFUNCTION("""COMPUTED_VALUE"""),"Charlotte")</f>
        <v>Charlotte</v>
      </c>
      <c r="C1890" s="149" t="str">
        <f>IFERROR(__xludf.DUMMYFUNCTION("""COMPUTED_VALUE"""),"NC")</f>
        <v>NC</v>
      </c>
      <c r="D1890" s="149" t="str">
        <f>IFERROR(__xludf.DUMMYFUNCTION("""COMPUTED_VALUE"""),"USA")</f>
        <v>USA</v>
      </c>
      <c r="E1890" s="156">
        <f>IFERROR(__xludf.DUMMYFUNCTION("""COMPUTED_VALUE"""),43606.0)</f>
        <v>43606</v>
      </c>
      <c r="F1890" s="129">
        <f>IFERROR(__xludf.DUMMYFUNCTION("""COMPUTED_VALUE"""),43611.0)</f>
        <v>43611</v>
      </c>
      <c r="G1890" s="154"/>
      <c r="H1890" s="131">
        <f>IFERROR(__xludf.DUMMYFUNCTION("""COMPUTED_VALUE"""),396255.0)</f>
        <v>396255</v>
      </c>
      <c r="I1890" s="132" t="str">
        <f>IFERROR(__xludf.DUMMYFUNCTION("""COMPUTED_VALUE"""),"05/19")</f>
        <v>05/19</v>
      </c>
      <c r="J1890" s="129">
        <f>IFERROR(__xludf.DUMMYFUNCTION("""COMPUTED_VALUE"""),43624.0)</f>
        <v>43624</v>
      </c>
      <c r="K1890" s="133">
        <f>IFERROR(__xludf.DUMMYFUNCTION("""COMPUTED_VALUE"""),5.0)</f>
        <v>5</v>
      </c>
      <c r="L1890" s="133">
        <f>IFERROR(__xludf.DUMMYFUNCTION("""COMPUTED_VALUE"""),13.0)</f>
        <v>13</v>
      </c>
      <c r="M1890" s="133">
        <f>IFERROR(__xludf.DUMMYFUNCTION("""COMPUTED_VALUE"""),18.0)</f>
        <v>18</v>
      </c>
      <c r="N1890" s="152" t="str">
        <f>IFERROR(__xludf.DUMMYFUNCTION("""COMPUTED_VALUE"""),"Model 3 SR+")</f>
        <v>Model 3 SR+</v>
      </c>
      <c r="O1890" s="152" t="str">
        <f>IFERROR(__xludf.DUMMYFUNCTION("""COMPUTED_VALUE"""),"Midnight Silver Metallic")</f>
        <v>Midnight Silver Metallic</v>
      </c>
      <c r="P1890" s="153" t="str">
        <f>IFERROR(__xludf.DUMMYFUNCTION("""COMPUTED_VALUE"""),"18 inch Aero")</f>
        <v>18 inch Aero</v>
      </c>
      <c r="Q1890" s="152" t="str">
        <f>IFERROR(__xludf.DUMMYFUNCTION("""COMPUTED_VALUE"""),"Black seats")</f>
        <v>Black seats</v>
      </c>
      <c r="R1890" s="150" t="str">
        <f>IFERROR(__xludf.DUMMYFUNCTION("""COMPUTED_VALUE"""),"Autopilot")</f>
        <v>Autopilot</v>
      </c>
      <c r="S1890" s="150"/>
      <c r="T1890" s="136"/>
      <c r="U1890" s="136"/>
      <c r="V1890" s="136"/>
      <c r="W1890" s="136"/>
      <c r="X1890" s="137" t="str">
        <f>IFERROR(__xludf.DUMMYFUNCTION("""COMPUTED_VALUE"""),"Very Good")</f>
        <v>Very Good</v>
      </c>
      <c r="Y1890" s="138" t="str">
        <f>IFERROR(__xludf.DUMMYFUNCTION("""COMPUTED_VALUE"""),"Very Good")</f>
        <v>Very Good</v>
      </c>
      <c r="Z1890" s="138" t="str">
        <f>IFERROR(__xludf.DUMMYFUNCTION("""COMPUTED_VALUE"""),"Fair")</f>
        <v>Fair</v>
      </c>
      <c r="AA1890" s="138" t="str">
        <f>IFERROR(__xludf.DUMMYFUNCTION("""COMPUTED_VALUE"""),"Good")</f>
        <v>Good</v>
      </c>
      <c r="AB1890" s="138" t="str">
        <f>IFERROR(__xludf.DUMMYFUNCTION("""COMPUTED_VALUE"""),"Very Good")</f>
        <v>Very Good</v>
      </c>
      <c r="AC1890" s="139">
        <f>IFERROR(__xludf.DUMMYFUNCTION("""COMPUTED_VALUE"""),1.0)</f>
        <v>1</v>
      </c>
      <c r="AD1890" s="139"/>
      <c r="AE1890" s="139"/>
      <c r="AF1890" s="140"/>
      <c r="AG1890" s="136"/>
      <c r="AH1890" s="157">
        <f>IFERROR(__xludf.DUMMYFUNCTION("""COMPUTED_VALUE"""),43640.53582739583)</f>
        <v>43640.53583</v>
      </c>
      <c r="AI1890" s="138"/>
      <c r="AJ1890" s="138"/>
      <c r="AK1890" s="138"/>
      <c r="AL1890" s="142"/>
    </row>
    <row r="1891" ht="20.25" customHeight="1">
      <c r="A1891" s="155" t="str">
        <f>IFERROR(__xludf.DUMMYFUNCTION("""COMPUTED_VALUE"""),"df")</f>
        <v>df</v>
      </c>
      <c r="B1891" s="149" t="str">
        <f>IFERROR(__xludf.DUMMYFUNCTION("""COMPUTED_VALUE"""),"Fairfield County")</f>
        <v>Fairfield County</v>
      </c>
      <c r="C1891" s="149" t="str">
        <f>IFERROR(__xludf.DUMMYFUNCTION("""COMPUTED_VALUE"""),"CT")</f>
        <v>CT</v>
      </c>
      <c r="D1891" s="149" t="str">
        <f>IFERROR(__xludf.DUMMYFUNCTION("""COMPUTED_VALUE"""),"USA")</f>
        <v>USA</v>
      </c>
      <c r="E1891" s="156">
        <f>IFERROR(__xludf.DUMMYFUNCTION("""COMPUTED_VALUE"""),43606.0)</f>
        <v>43606</v>
      </c>
      <c r="F1891" s="129">
        <f>IFERROR(__xludf.DUMMYFUNCTION("""COMPUTED_VALUE"""),43613.0)</f>
        <v>43613</v>
      </c>
      <c r="G1891" s="154"/>
      <c r="H1891" s="131">
        <f>IFERROR(__xludf.DUMMYFUNCTION("""COMPUTED_VALUE"""),400155.0)</f>
        <v>400155</v>
      </c>
      <c r="I1891" s="144" t="str">
        <f>IFERROR(__xludf.DUMMYFUNCTION("""COMPUTED_VALUE"""),"06/19")</f>
        <v>06/19</v>
      </c>
      <c r="J1891" s="129">
        <f>IFERROR(__xludf.DUMMYFUNCTION("""COMPUTED_VALUE"""),43634.0)</f>
        <v>43634</v>
      </c>
      <c r="K1891" s="133">
        <f>IFERROR(__xludf.DUMMYFUNCTION("""COMPUTED_VALUE"""),7.0)</f>
        <v>7</v>
      </c>
      <c r="L1891" s="133">
        <f>IFERROR(__xludf.DUMMYFUNCTION("""COMPUTED_VALUE"""),21.0)</f>
        <v>21</v>
      </c>
      <c r="M1891" s="133">
        <f>IFERROR(__xludf.DUMMYFUNCTION("""COMPUTED_VALUE"""),28.0)</f>
        <v>28</v>
      </c>
      <c r="N1891" s="152" t="str">
        <f>IFERROR(__xludf.DUMMYFUNCTION("""COMPUTED_VALUE"""),"Model 3 SR+")</f>
        <v>Model 3 SR+</v>
      </c>
      <c r="O1891" s="152" t="str">
        <f>IFERROR(__xludf.DUMMYFUNCTION("""COMPUTED_VALUE"""),"Midnight Silver Metallic")</f>
        <v>Midnight Silver Metallic</v>
      </c>
      <c r="P1891" s="153" t="str">
        <f>IFERROR(__xludf.DUMMYFUNCTION("""COMPUTED_VALUE"""),"18 inch Aero")</f>
        <v>18 inch Aero</v>
      </c>
      <c r="Q1891" s="152" t="str">
        <f>IFERROR(__xludf.DUMMYFUNCTION("""COMPUTED_VALUE"""),"Black seats")</f>
        <v>Black seats</v>
      </c>
      <c r="R1891" s="149" t="str">
        <f>IFERROR(__xludf.DUMMYFUNCTION("""COMPUTED_VALUE"""),"Autopilot")</f>
        <v>Autopilot</v>
      </c>
      <c r="S1891" s="149"/>
      <c r="T1891" s="145"/>
      <c r="U1891" s="145"/>
      <c r="V1891" s="145"/>
      <c r="W1891" s="145"/>
      <c r="X1891" s="137" t="str">
        <f>IFERROR(__xludf.DUMMYFUNCTION("""COMPUTED_VALUE"""),"Excellent")</f>
        <v>Excellent</v>
      </c>
      <c r="Y1891" s="138" t="str">
        <f>IFERROR(__xludf.DUMMYFUNCTION("""COMPUTED_VALUE"""),"Excellent")</f>
        <v>Excellent</v>
      </c>
      <c r="Z1891" s="138" t="str">
        <f>IFERROR(__xludf.DUMMYFUNCTION("""COMPUTED_VALUE"""),"Excellent")</f>
        <v>Excellent</v>
      </c>
      <c r="AA1891" s="138" t="str">
        <f>IFERROR(__xludf.DUMMYFUNCTION("""COMPUTED_VALUE"""),"Good")</f>
        <v>Good</v>
      </c>
      <c r="AB1891" s="138" t="str">
        <f>IFERROR(__xludf.DUMMYFUNCTION("""COMPUTED_VALUE"""),"Excellent")</f>
        <v>Excellent</v>
      </c>
      <c r="AC1891" s="139"/>
      <c r="AD1891" s="139"/>
      <c r="AE1891" s="139"/>
      <c r="AF1891" s="140"/>
      <c r="AG1891" s="145"/>
      <c r="AH1891" s="157">
        <f>IFERROR(__xludf.DUMMYFUNCTION("""COMPUTED_VALUE"""),43634.77846945601)</f>
        <v>43634.77847</v>
      </c>
      <c r="AI1891" s="138"/>
      <c r="AJ1891" s="138"/>
      <c r="AK1891" s="138"/>
      <c r="AL1891" s="142"/>
    </row>
    <row r="1892" ht="20.25" customHeight="1">
      <c r="A1892" s="155" t="str">
        <f>IFERROR(__xludf.DUMMYFUNCTION("""COMPUTED_VALUE"""),"MattGeeZee")</f>
        <v>MattGeeZee</v>
      </c>
      <c r="B1892" s="149"/>
      <c r="C1892" s="149" t="str">
        <f>IFERROR(__xludf.DUMMYFUNCTION("""COMPUTED_VALUE"""),"NJ")</f>
        <v>NJ</v>
      </c>
      <c r="D1892" s="149" t="str">
        <f>IFERROR(__xludf.DUMMYFUNCTION("""COMPUTED_VALUE"""),"USA")</f>
        <v>USA</v>
      </c>
      <c r="E1892" s="156">
        <f>IFERROR(__xludf.DUMMYFUNCTION("""COMPUTED_VALUE"""),43606.0)</f>
        <v>43606</v>
      </c>
      <c r="F1892" s="129">
        <f>IFERROR(__xludf.DUMMYFUNCTION("""COMPUTED_VALUE"""),43629.0)</f>
        <v>43629</v>
      </c>
      <c r="G1892" s="154"/>
      <c r="H1892" s="131">
        <f>IFERROR(__xludf.DUMMYFUNCTION("""COMPUTED_VALUE"""),324255.0)</f>
        <v>324255</v>
      </c>
      <c r="I1892" s="144" t="str">
        <f>IFERROR(__xludf.DUMMYFUNCTION("""COMPUTED_VALUE"""),"04/19")</f>
        <v>04/19</v>
      </c>
      <c r="J1892" s="129">
        <f>IFERROR(__xludf.DUMMYFUNCTION("""COMPUTED_VALUE"""),43631.0)</f>
        <v>43631</v>
      </c>
      <c r="K1892" s="133">
        <f>IFERROR(__xludf.DUMMYFUNCTION("""COMPUTED_VALUE"""),23.0)</f>
        <v>23</v>
      </c>
      <c r="L1892" s="133">
        <f>IFERROR(__xludf.DUMMYFUNCTION("""COMPUTED_VALUE"""),2.0)</f>
        <v>2</v>
      </c>
      <c r="M1892" s="133">
        <f>IFERROR(__xludf.DUMMYFUNCTION("""COMPUTED_VALUE"""),25.0)</f>
        <v>25</v>
      </c>
      <c r="N1892" s="152" t="str">
        <f>IFERROR(__xludf.DUMMYFUNCTION("""COMPUTED_VALUE"""),"Model 3 LR")</f>
        <v>Model 3 LR</v>
      </c>
      <c r="O1892" s="152" t="str">
        <f>IFERROR(__xludf.DUMMYFUNCTION("""COMPUTED_VALUE"""),"Midnight Silver Metallic")</f>
        <v>Midnight Silver Metallic</v>
      </c>
      <c r="P1892" s="153" t="str">
        <f>IFERROR(__xludf.DUMMYFUNCTION("""COMPUTED_VALUE"""),"18 inch Aero")</f>
        <v>18 inch Aero</v>
      </c>
      <c r="Q1892" s="152" t="str">
        <f>IFERROR(__xludf.DUMMYFUNCTION("""COMPUTED_VALUE"""),"Black seats")</f>
        <v>Black seats</v>
      </c>
      <c r="R1892" s="149" t="str">
        <f>IFERROR(__xludf.DUMMYFUNCTION("""COMPUTED_VALUE"""),"Full Self-Driving")</f>
        <v>Full Self-Driving</v>
      </c>
      <c r="S1892" s="149"/>
      <c r="T1892" s="145"/>
      <c r="U1892" s="145"/>
      <c r="V1892" s="145"/>
      <c r="W1892" s="136"/>
      <c r="X1892" s="162" t="str">
        <f>IFERROR(__xludf.DUMMYFUNCTION("""COMPUTED_VALUE"""),"Excellent")</f>
        <v>Excellent</v>
      </c>
      <c r="Y1892" s="138" t="str">
        <f>IFERROR(__xludf.DUMMYFUNCTION("""COMPUTED_VALUE"""),"Excellent")</f>
        <v>Excellent</v>
      </c>
      <c r="Z1892" s="138" t="str">
        <f>IFERROR(__xludf.DUMMYFUNCTION("""COMPUTED_VALUE"""),"Excellent")</f>
        <v>Excellent</v>
      </c>
      <c r="AA1892" s="138" t="str">
        <f>IFERROR(__xludf.DUMMYFUNCTION("""COMPUTED_VALUE"""),"Excellent")</f>
        <v>Excellent</v>
      </c>
      <c r="AB1892" s="138" t="str">
        <f>IFERROR(__xludf.DUMMYFUNCTION("""COMPUTED_VALUE"""),"Very Good")</f>
        <v>Very Good</v>
      </c>
      <c r="AC1892" s="139">
        <f>IFERROR(__xludf.DUMMYFUNCTION("""COMPUTED_VALUE"""),1.0)</f>
        <v>1</v>
      </c>
      <c r="AD1892" s="139"/>
      <c r="AE1892" s="139"/>
      <c r="AF1892" s="140"/>
      <c r="AG1892" s="136"/>
      <c r="AH1892" s="157">
        <f>IFERROR(__xludf.DUMMYFUNCTION("""COMPUTED_VALUE"""),43637.31424440972)</f>
        <v>43637.31424</v>
      </c>
      <c r="AI1892" s="138"/>
      <c r="AJ1892" s="138"/>
      <c r="AK1892" s="138"/>
      <c r="AL1892" s="142"/>
    </row>
    <row r="1893" ht="20.25" customHeight="1">
      <c r="A1893" s="155" t="str">
        <f>IFERROR(__xludf.DUMMYFUNCTION("""COMPUTED_VALUE"""),"James88")</f>
        <v>James88</v>
      </c>
      <c r="B1893" s="149" t="str">
        <f>IFERROR(__xludf.DUMMYFUNCTION("""COMPUTED_VALUE"""),"Orlando")</f>
        <v>Orlando</v>
      </c>
      <c r="C1893" s="149" t="str">
        <f>IFERROR(__xludf.DUMMYFUNCTION("""COMPUTED_VALUE"""),"FL")</f>
        <v>FL</v>
      </c>
      <c r="D1893" s="149" t="str">
        <f>IFERROR(__xludf.DUMMYFUNCTION("""COMPUTED_VALUE"""),"USA")</f>
        <v>USA</v>
      </c>
      <c r="E1893" s="156">
        <f>IFERROR(__xludf.DUMMYFUNCTION("""COMPUTED_VALUE"""),43605.0)</f>
        <v>43605</v>
      </c>
      <c r="F1893" s="129">
        <f>IFERROR(__xludf.DUMMYFUNCTION("""COMPUTED_VALUE"""),43630.0)</f>
        <v>43630</v>
      </c>
      <c r="G1893" s="154"/>
      <c r="H1893" s="131">
        <f>IFERROR(__xludf.DUMMYFUNCTION("""COMPUTED_VALUE"""),345405.0)</f>
        <v>345405</v>
      </c>
      <c r="I1893" s="144" t="str">
        <f>IFERROR(__xludf.DUMMYFUNCTION("""COMPUTED_VALUE"""),"06/19")</f>
        <v>06/19</v>
      </c>
      <c r="J1893" s="129">
        <f>IFERROR(__xludf.DUMMYFUNCTION("""COMPUTED_VALUE"""),43637.0)</f>
        <v>43637</v>
      </c>
      <c r="K1893" s="133">
        <f>IFERROR(__xludf.DUMMYFUNCTION("""COMPUTED_VALUE"""),25.0)</f>
        <v>25</v>
      </c>
      <c r="L1893" s="133">
        <f>IFERROR(__xludf.DUMMYFUNCTION("""COMPUTED_VALUE"""),7.0)</f>
        <v>7</v>
      </c>
      <c r="M1893" s="133">
        <f>IFERROR(__xludf.DUMMYFUNCTION("""COMPUTED_VALUE"""),32.0)</f>
        <v>32</v>
      </c>
      <c r="N1893" s="152" t="str">
        <f>IFERROR(__xludf.DUMMYFUNCTION("""COMPUTED_VALUE"""),"Model 3 LR")</f>
        <v>Model 3 LR</v>
      </c>
      <c r="O1893" s="152" t="str">
        <f>IFERROR(__xludf.DUMMYFUNCTION("""COMPUTED_VALUE"""),"Solid Black")</f>
        <v>Solid Black</v>
      </c>
      <c r="P1893" s="153" t="str">
        <f>IFERROR(__xludf.DUMMYFUNCTION("""COMPUTED_VALUE"""),"19 inch Sport")</f>
        <v>19 inch Sport</v>
      </c>
      <c r="Q1893" s="152" t="str">
        <f>IFERROR(__xludf.DUMMYFUNCTION("""COMPUTED_VALUE"""),"White seats")</f>
        <v>White seats</v>
      </c>
      <c r="R1893" s="149" t="str">
        <f>IFERROR(__xludf.DUMMYFUNCTION("""COMPUTED_VALUE"""),"Autopilot")</f>
        <v>Autopilot</v>
      </c>
      <c r="S1893" s="149"/>
      <c r="T1893" s="145"/>
      <c r="U1893" s="145"/>
      <c r="V1893" s="145"/>
      <c r="W1893" s="136"/>
      <c r="X1893" s="158" t="str">
        <f>IFERROR(__xludf.DUMMYFUNCTION("""COMPUTED_VALUE"""),"Excellent")</f>
        <v>Excellent</v>
      </c>
      <c r="Y1893" s="138" t="str">
        <f>IFERROR(__xludf.DUMMYFUNCTION("""COMPUTED_VALUE"""),"Excellent")</f>
        <v>Excellent</v>
      </c>
      <c r="Z1893" s="138" t="str">
        <f>IFERROR(__xludf.DUMMYFUNCTION("""COMPUTED_VALUE"""),"Very Good")</f>
        <v>Very Good</v>
      </c>
      <c r="AA1893" s="138" t="str">
        <f>IFERROR(__xludf.DUMMYFUNCTION("""COMPUTED_VALUE"""),"Very Good")</f>
        <v>Very Good</v>
      </c>
      <c r="AB1893" s="138" t="str">
        <f>IFERROR(__xludf.DUMMYFUNCTION("""COMPUTED_VALUE"""),"Excellent")</f>
        <v>Excellent</v>
      </c>
      <c r="AC1893" s="139">
        <f>IFERROR(__xludf.DUMMYFUNCTION("""COMPUTED_VALUE"""),1.0)</f>
        <v>1</v>
      </c>
      <c r="AD1893" s="139"/>
      <c r="AE1893" s="139"/>
      <c r="AF1893" s="140"/>
      <c r="AG1893" s="136"/>
      <c r="AH1893" s="157">
        <f>IFERROR(__xludf.DUMMYFUNCTION("""COMPUTED_VALUE"""),43638.09835526621)</f>
        <v>43638.09836</v>
      </c>
      <c r="AI1893" s="138"/>
      <c r="AJ1893" s="138"/>
      <c r="AK1893" s="138"/>
      <c r="AL1893" s="142"/>
    </row>
    <row r="1894" ht="20.25" customHeight="1">
      <c r="A1894" s="155" t="str">
        <f>IFERROR(__xludf.DUMMYFUNCTION("""COMPUTED_VALUE"""),"James88")</f>
        <v>James88</v>
      </c>
      <c r="B1894" s="149" t="str">
        <f>IFERROR(__xludf.DUMMYFUNCTION("""COMPUTED_VALUE"""),"Orlando")</f>
        <v>Orlando</v>
      </c>
      <c r="C1894" s="149" t="str">
        <f>IFERROR(__xludf.DUMMYFUNCTION("""COMPUTED_VALUE"""),"FL")</f>
        <v>FL</v>
      </c>
      <c r="D1894" s="149" t="str">
        <f>IFERROR(__xludf.DUMMYFUNCTION("""COMPUTED_VALUE"""),"Japan")</f>
        <v>Japan</v>
      </c>
      <c r="E1894" s="156">
        <f>IFERROR(__xludf.DUMMYFUNCTION("""COMPUTED_VALUE"""),43605.0)</f>
        <v>43605</v>
      </c>
      <c r="F1894" s="129">
        <f>IFERROR(__xludf.DUMMYFUNCTION("""COMPUTED_VALUE"""),43629.0)</f>
        <v>43629</v>
      </c>
      <c r="G1894" s="154"/>
      <c r="H1894" s="131">
        <f>IFERROR(__xludf.DUMMYFUNCTION("""COMPUTED_VALUE"""),345455.0)</f>
        <v>345455</v>
      </c>
      <c r="I1894" s="144"/>
      <c r="J1894" s="129">
        <f>IFERROR(__xludf.DUMMYFUNCTION("""COMPUTED_VALUE"""),43637.0)</f>
        <v>43637</v>
      </c>
      <c r="K1894" s="133">
        <f>IFERROR(__xludf.DUMMYFUNCTION("""COMPUTED_VALUE"""),24.0)</f>
        <v>24</v>
      </c>
      <c r="L1894" s="133">
        <f>IFERROR(__xludf.DUMMYFUNCTION("""COMPUTED_VALUE"""),8.0)</f>
        <v>8</v>
      </c>
      <c r="M1894" s="133">
        <f>IFERROR(__xludf.DUMMYFUNCTION("""COMPUTED_VALUE"""),32.0)</f>
        <v>32</v>
      </c>
      <c r="N1894" s="152" t="str">
        <f>IFERROR(__xludf.DUMMYFUNCTION("""COMPUTED_VALUE"""),"Model 3 LR")</f>
        <v>Model 3 LR</v>
      </c>
      <c r="O1894" s="152" t="str">
        <f>IFERROR(__xludf.DUMMYFUNCTION("""COMPUTED_VALUE"""),"Solid Black")</f>
        <v>Solid Black</v>
      </c>
      <c r="P1894" s="153" t="str">
        <f>IFERROR(__xludf.DUMMYFUNCTION("""COMPUTED_VALUE"""),"19 inch Sport")</f>
        <v>19 inch Sport</v>
      </c>
      <c r="Q1894" s="152" t="str">
        <f>IFERROR(__xludf.DUMMYFUNCTION("""COMPUTED_VALUE"""),"White seats")</f>
        <v>White seats</v>
      </c>
      <c r="R1894" s="149" t="str">
        <f>IFERROR(__xludf.DUMMYFUNCTION("""COMPUTED_VALUE"""),"Autopilot")</f>
        <v>Autopilot</v>
      </c>
      <c r="S1894" s="149"/>
      <c r="T1894" s="145"/>
      <c r="U1894" s="145"/>
      <c r="V1894" s="145"/>
      <c r="W1894" s="136"/>
      <c r="X1894" s="137" t="str">
        <f>IFERROR(__xludf.DUMMYFUNCTION("""COMPUTED_VALUE"""),"Excellent")</f>
        <v>Excellent</v>
      </c>
      <c r="Y1894" s="138" t="str">
        <f>IFERROR(__xludf.DUMMYFUNCTION("""COMPUTED_VALUE"""),"Excellent")</f>
        <v>Excellent</v>
      </c>
      <c r="Z1894" s="138" t="str">
        <f>IFERROR(__xludf.DUMMYFUNCTION("""COMPUTED_VALUE"""),"Very Good")</f>
        <v>Very Good</v>
      </c>
      <c r="AA1894" s="138" t="str">
        <f>IFERROR(__xludf.DUMMYFUNCTION("""COMPUTED_VALUE"""),"Fair")</f>
        <v>Fair</v>
      </c>
      <c r="AB1894" s="138" t="str">
        <f>IFERROR(__xludf.DUMMYFUNCTION("""COMPUTED_VALUE"""),"Good")</f>
        <v>Good</v>
      </c>
      <c r="AC1894" s="139">
        <f>IFERROR(__xludf.DUMMYFUNCTION("""COMPUTED_VALUE"""),4.0)</f>
        <v>4</v>
      </c>
      <c r="AD1894" s="139">
        <f>IFERROR(__xludf.DUMMYFUNCTION("""COMPUTED_VALUE"""),0.0)</f>
        <v>0</v>
      </c>
      <c r="AE1894" s="139"/>
      <c r="AF1894" s="140"/>
      <c r="AG1894" s="136"/>
      <c r="AH1894" s="157">
        <f>IFERROR(__xludf.DUMMYFUNCTION("""COMPUTED_VALUE"""),43654.39203494213)</f>
        <v>43654.39203</v>
      </c>
      <c r="AI1894" s="138"/>
      <c r="AJ1894" s="138"/>
      <c r="AK1894" s="138"/>
      <c r="AL1894" s="142"/>
    </row>
    <row r="1895" ht="20.25" customHeight="1">
      <c r="A1895" s="155" t="str">
        <f>IFERROR(__xludf.DUMMYFUNCTION("""COMPUTED_VALUE"""),"NR")</f>
        <v>NR</v>
      </c>
      <c r="B1895" s="149" t="str">
        <f>IFERROR(__xludf.DUMMYFUNCTION("""COMPUTED_VALUE"""),"Minneapolis")</f>
        <v>Minneapolis</v>
      </c>
      <c r="C1895" s="149" t="str">
        <f>IFERROR(__xludf.DUMMYFUNCTION("""COMPUTED_VALUE"""),"MN")</f>
        <v>MN</v>
      </c>
      <c r="D1895" s="149" t="str">
        <f>IFERROR(__xludf.DUMMYFUNCTION("""COMPUTED_VALUE"""),"USA")</f>
        <v>USA</v>
      </c>
      <c r="E1895" s="156">
        <f>IFERROR(__xludf.DUMMYFUNCTION("""COMPUTED_VALUE"""),43605.0)</f>
        <v>43605</v>
      </c>
      <c r="F1895" s="129">
        <f>IFERROR(__xludf.DUMMYFUNCTION("""COMPUTED_VALUE"""),43617.0)</f>
        <v>43617</v>
      </c>
      <c r="G1895" s="154"/>
      <c r="H1895" s="131"/>
      <c r="I1895" s="144" t="str">
        <f>IFERROR(__xludf.DUMMYFUNCTION("""COMPUTED_VALUE"""),"05/19")</f>
        <v>05/19</v>
      </c>
      <c r="J1895" s="129">
        <f>IFERROR(__xludf.DUMMYFUNCTION("""COMPUTED_VALUE"""),43617.0)</f>
        <v>43617</v>
      </c>
      <c r="K1895" s="133">
        <f>IFERROR(__xludf.DUMMYFUNCTION("""COMPUTED_VALUE"""),12.0)</f>
        <v>12</v>
      </c>
      <c r="L1895" s="133">
        <f>IFERROR(__xludf.DUMMYFUNCTION("""COMPUTED_VALUE"""),0.0)</f>
        <v>0</v>
      </c>
      <c r="M1895" s="133">
        <f>IFERROR(__xludf.DUMMYFUNCTION("""COMPUTED_VALUE"""),12.0)</f>
        <v>12</v>
      </c>
      <c r="N1895" s="152" t="str">
        <f>IFERROR(__xludf.DUMMYFUNCTION("""COMPUTED_VALUE"""),"Model 3 LR AWD")</f>
        <v>Model 3 LR AWD</v>
      </c>
      <c r="O1895" s="152" t="str">
        <f>IFERROR(__xludf.DUMMYFUNCTION("""COMPUTED_VALUE"""),"Midnight Silver Metallic")</f>
        <v>Midnight Silver Metallic</v>
      </c>
      <c r="P1895" s="153" t="str">
        <f>IFERROR(__xludf.DUMMYFUNCTION("""COMPUTED_VALUE"""),"18 inch Aero")</f>
        <v>18 inch Aero</v>
      </c>
      <c r="Q1895" s="152" t="str">
        <f>IFERROR(__xludf.DUMMYFUNCTION("""COMPUTED_VALUE"""),"White seats")</f>
        <v>White seats</v>
      </c>
      <c r="R1895" s="149" t="str">
        <f>IFERROR(__xludf.DUMMYFUNCTION("""COMPUTED_VALUE"""),"Full Self-Driving")</f>
        <v>Full Self-Driving</v>
      </c>
      <c r="S1895" s="149"/>
      <c r="T1895" s="145"/>
      <c r="U1895" s="145"/>
      <c r="V1895" s="145"/>
      <c r="W1895" s="145"/>
      <c r="X1895" s="137" t="str">
        <f>IFERROR(__xludf.DUMMYFUNCTION("""COMPUTED_VALUE"""),"Excellent")</f>
        <v>Excellent</v>
      </c>
      <c r="Y1895" s="138" t="str">
        <f>IFERROR(__xludf.DUMMYFUNCTION("""COMPUTED_VALUE"""),"Excellent")</f>
        <v>Excellent</v>
      </c>
      <c r="Z1895" s="138" t="str">
        <f>IFERROR(__xludf.DUMMYFUNCTION("""COMPUTED_VALUE"""),"Excellent")</f>
        <v>Excellent</v>
      </c>
      <c r="AA1895" s="138" t="str">
        <f>IFERROR(__xludf.DUMMYFUNCTION("""COMPUTED_VALUE"""),"Excellent")</f>
        <v>Excellent</v>
      </c>
      <c r="AB1895" s="138" t="str">
        <f>IFERROR(__xludf.DUMMYFUNCTION("""COMPUTED_VALUE"""),"Very Good")</f>
        <v>Very Good</v>
      </c>
      <c r="AC1895" s="139"/>
      <c r="AD1895" s="139"/>
      <c r="AE1895" s="139"/>
      <c r="AF1895" s="140"/>
      <c r="AG1895" s="145"/>
      <c r="AH1895" s="157">
        <f>IFERROR(__xludf.DUMMYFUNCTION("""COMPUTED_VALUE"""),43618.14668821759)</f>
        <v>43618.14669</v>
      </c>
      <c r="AI1895" s="138"/>
      <c r="AJ1895" s="138"/>
      <c r="AK1895" s="138"/>
      <c r="AL1895" s="142"/>
    </row>
    <row r="1896" ht="20.25" customHeight="1">
      <c r="A1896" s="155" t="str">
        <f>IFERROR(__xludf.DUMMYFUNCTION("""COMPUTED_VALUE"""),"gcardona")</f>
        <v>gcardona</v>
      </c>
      <c r="B1896" s="149" t="str">
        <f>IFERROR(__xludf.DUMMYFUNCTION("""COMPUTED_VALUE"""),"Richardson")</f>
        <v>Richardson</v>
      </c>
      <c r="C1896" s="149" t="str">
        <f>IFERROR(__xludf.DUMMYFUNCTION("""COMPUTED_VALUE"""),"TX")</f>
        <v>TX</v>
      </c>
      <c r="D1896" s="149" t="str">
        <f>IFERROR(__xludf.DUMMYFUNCTION("""COMPUTED_VALUE"""),"USA")</f>
        <v>USA</v>
      </c>
      <c r="E1896" s="156">
        <f>IFERROR(__xludf.DUMMYFUNCTION("""COMPUTED_VALUE"""),43604.0)</f>
        <v>43604</v>
      </c>
      <c r="F1896" s="129">
        <f>IFERROR(__xludf.DUMMYFUNCTION("""COMPUTED_VALUE"""),43617.0)</f>
        <v>43617</v>
      </c>
      <c r="G1896" s="154"/>
      <c r="H1896" s="131">
        <f>IFERROR(__xludf.DUMMYFUNCTION("""COMPUTED_VALUE"""),393555.0)</f>
        <v>393555</v>
      </c>
      <c r="I1896" s="144" t="str">
        <f>IFERROR(__xludf.DUMMYFUNCTION("""COMPUTED_VALUE"""),"06/19")</f>
        <v>06/19</v>
      </c>
      <c r="J1896" s="129">
        <f>IFERROR(__xludf.DUMMYFUNCTION("""COMPUTED_VALUE"""),43630.0)</f>
        <v>43630</v>
      </c>
      <c r="K1896" s="133">
        <f>IFERROR(__xludf.DUMMYFUNCTION("""COMPUTED_VALUE"""),13.0)</f>
        <v>13</v>
      </c>
      <c r="L1896" s="133">
        <f>IFERROR(__xludf.DUMMYFUNCTION("""COMPUTED_VALUE"""),13.0)</f>
        <v>13</v>
      </c>
      <c r="M1896" s="133">
        <f>IFERROR(__xludf.DUMMYFUNCTION("""COMPUTED_VALUE"""),26.0)</f>
        <v>26</v>
      </c>
      <c r="N1896" s="152" t="str">
        <f>IFERROR(__xludf.DUMMYFUNCTION("""COMPUTED_VALUE"""),"Model 3 Performance")</f>
        <v>Model 3 Performance</v>
      </c>
      <c r="O1896" s="152" t="str">
        <f>IFERROR(__xludf.DUMMYFUNCTION("""COMPUTED_VALUE"""),"Deep Blue Metallic")</f>
        <v>Deep Blue Metallic</v>
      </c>
      <c r="P1896" s="153" t="str">
        <f>IFERROR(__xludf.DUMMYFUNCTION("""COMPUTED_VALUE"""),"20 inch Sport")</f>
        <v>20 inch Sport</v>
      </c>
      <c r="Q1896" s="152" t="str">
        <f>IFERROR(__xludf.DUMMYFUNCTION("""COMPUTED_VALUE"""),"White seats")</f>
        <v>White seats</v>
      </c>
      <c r="R1896" s="149" t="str">
        <f>IFERROR(__xludf.DUMMYFUNCTION("""COMPUTED_VALUE"""),"Full Self-Driving")</f>
        <v>Full Self-Driving</v>
      </c>
      <c r="S1896" s="149"/>
      <c r="T1896" s="145"/>
      <c r="U1896" s="145"/>
      <c r="V1896" s="145"/>
      <c r="W1896" s="145"/>
      <c r="X1896" s="137" t="str">
        <f>IFERROR(__xludf.DUMMYFUNCTION("""COMPUTED_VALUE"""),"Excellent")</f>
        <v>Excellent</v>
      </c>
      <c r="Y1896" s="138" t="str">
        <f>IFERROR(__xludf.DUMMYFUNCTION("""COMPUTED_VALUE"""),"Excellent")</f>
        <v>Excellent</v>
      </c>
      <c r="Z1896" s="138" t="str">
        <f>IFERROR(__xludf.DUMMYFUNCTION("""COMPUTED_VALUE"""),"Excellent")</f>
        <v>Excellent</v>
      </c>
      <c r="AA1896" s="138" t="str">
        <f>IFERROR(__xludf.DUMMYFUNCTION("""COMPUTED_VALUE"""),"Good")</f>
        <v>Good</v>
      </c>
      <c r="AB1896" s="138" t="str">
        <f>IFERROR(__xludf.DUMMYFUNCTION("""COMPUTED_VALUE"""),"Excellent")</f>
        <v>Excellent</v>
      </c>
      <c r="AC1896" s="139">
        <f>IFERROR(__xludf.DUMMYFUNCTION("""COMPUTED_VALUE"""),0.0)</f>
        <v>0</v>
      </c>
      <c r="AD1896" s="139">
        <f>IFERROR(__xludf.DUMMYFUNCTION("""COMPUTED_VALUE"""),0.0)</f>
        <v>0</v>
      </c>
      <c r="AE1896" s="139">
        <f>IFERROR(__xludf.DUMMYFUNCTION("""COMPUTED_VALUE"""),0.0)</f>
        <v>0</v>
      </c>
      <c r="AF1896" s="140"/>
      <c r="AG1896" s="145"/>
      <c r="AH1896" s="157">
        <f>IFERROR(__xludf.DUMMYFUNCTION("""COMPUTED_VALUE"""),43846.66525024305)</f>
        <v>43846.66525</v>
      </c>
      <c r="AI1896" s="138"/>
      <c r="AJ1896" s="138"/>
      <c r="AK1896" s="138"/>
      <c r="AL1896" s="142"/>
    </row>
    <row r="1897" ht="20.25" customHeight="1">
      <c r="A1897" s="155" t="str">
        <f>IFERROR(__xludf.DUMMYFUNCTION("""COMPUTED_VALUE"""),"magico13")</f>
        <v>magico13</v>
      </c>
      <c r="B1897" s="149" t="str">
        <f>IFERROR(__xludf.DUMMYFUNCTION("""COMPUTED_VALUE"""),"Cleveland")</f>
        <v>Cleveland</v>
      </c>
      <c r="C1897" s="149" t="str">
        <f>IFERROR(__xludf.DUMMYFUNCTION("""COMPUTED_VALUE"""),"OH")</f>
        <v>OH</v>
      </c>
      <c r="D1897" s="149" t="str">
        <f>IFERROR(__xludf.DUMMYFUNCTION("""COMPUTED_VALUE"""),"USA")</f>
        <v>USA</v>
      </c>
      <c r="E1897" s="156">
        <f>IFERROR(__xludf.DUMMYFUNCTION("""COMPUTED_VALUE"""),43604.0)</f>
        <v>43604</v>
      </c>
      <c r="F1897" s="129">
        <f>IFERROR(__xludf.DUMMYFUNCTION("""COMPUTED_VALUE"""),43622.0)</f>
        <v>43622</v>
      </c>
      <c r="G1897" s="154"/>
      <c r="H1897" s="131">
        <f>IFERROR(__xludf.DUMMYFUNCTION("""COMPUTED_VALUE"""),400938.0)</f>
        <v>400938</v>
      </c>
      <c r="I1897" s="132"/>
      <c r="J1897" s="129">
        <f>IFERROR(__xludf.DUMMYFUNCTION("""COMPUTED_VALUE"""),43628.0)</f>
        <v>43628</v>
      </c>
      <c r="K1897" s="133">
        <f>IFERROR(__xludf.DUMMYFUNCTION("""COMPUTED_VALUE"""),18.0)</f>
        <v>18</v>
      </c>
      <c r="L1897" s="133">
        <f>IFERROR(__xludf.DUMMYFUNCTION("""COMPUTED_VALUE"""),6.0)</f>
        <v>6</v>
      </c>
      <c r="M1897" s="133">
        <f>IFERROR(__xludf.DUMMYFUNCTION("""COMPUTED_VALUE"""),24.0)</f>
        <v>24</v>
      </c>
      <c r="N1897" s="152" t="str">
        <f>IFERROR(__xludf.DUMMYFUNCTION("""COMPUTED_VALUE"""),"Model 3 SR+")</f>
        <v>Model 3 SR+</v>
      </c>
      <c r="O1897" s="152" t="str">
        <f>IFERROR(__xludf.DUMMYFUNCTION("""COMPUTED_VALUE"""),"Deep Blue Metallic")</f>
        <v>Deep Blue Metallic</v>
      </c>
      <c r="P1897" s="153" t="str">
        <f>IFERROR(__xludf.DUMMYFUNCTION("""COMPUTED_VALUE"""),"18 inch Aero")</f>
        <v>18 inch Aero</v>
      </c>
      <c r="Q1897" s="152" t="str">
        <f>IFERROR(__xludf.DUMMYFUNCTION("""COMPUTED_VALUE"""),"Black seats")</f>
        <v>Black seats</v>
      </c>
      <c r="R1897" s="150" t="str">
        <f>IFERROR(__xludf.DUMMYFUNCTION("""COMPUTED_VALUE"""),"Autopilot")</f>
        <v>Autopilot</v>
      </c>
      <c r="S1897" s="150"/>
      <c r="T1897" s="136"/>
      <c r="U1897" s="136"/>
      <c r="V1897" s="136"/>
      <c r="W1897" s="136"/>
      <c r="X1897" s="137" t="str">
        <f>IFERROR(__xludf.DUMMYFUNCTION("""COMPUTED_VALUE"""),"Very Good")</f>
        <v>Very Good</v>
      </c>
      <c r="Y1897" s="138" t="str">
        <f>IFERROR(__xludf.DUMMYFUNCTION("""COMPUTED_VALUE"""),"Very Good")</f>
        <v>Very Good</v>
      </c>
      <c r="Z1897" s="138" t="str">
        <f>IFERROR(__xludf.DUMMYFUNCTION("""COMPUTED_VALUE"""),"Good")</f>
        <v>Good</v>
      </c>
      <c r="AA1897" s="138" t="str">
        <f>IFERROR(__xludf.DUMMYFUNCTION("""COMPUTED_VALUE"""),"Good")</f>
        <v>Good</v>
      </c>
      <c r="AB1897" s="138" t="str">
        <f>IFERROR(__xludf.DUMMYFUNCTION("""COMPUTED_VALUE"""),"Excellent")</f>
        <v>Excellent</v>
      </c>
      <c r="AC1897" s="139">
        <f>IFERROR(__xludf.DUMMYFUNCTION("""COMPUTED_VALUE"""),2.0)</f>
        <v>2</v>
      </c>
      <c r="AD1897" s="139">
        <f>IFERROR(__xludf.DUMMYFUNCTION("""COMPUTED_VALUE"""),2.0)</f>
        <v>2</v>
      </c>
      <c r="AE1897" s="139"/>
      <c r="AF1897" s="140"/>
      <c r="AG1897" s="136" t="str">
        <f>IFERROR(__xludf.DUMMYFUNCTION("""COMPUTED_VALUE"""),"Driver's side headlight flickered after it rained. Two defects with the glass roof, one with the tint on the top part and a ""dent"" on the back part.")</f>
        <v>Driver's side headlight flickered after it rained. Two defects with the glass roof, one with the tint on the top part and a "dent" on the back part.</v>
      </c>
      <c r="AH1897" s="157">
        <f>IFERROR(__xludf.DUMMYFUNCTION("""COMPUTED_VALUE"""),43637.39216335648)</f>
        <v>43637.39216</v>
      </c>
      <c r="AI1897" s="138"/>
      <c r="AJ1897" s="138"/>
      <c r="AK1897" s="138"/>
      <c r="AL1897" s="142"/>
    </row>
    <row r="1898" ht="20.25" customHeight="1">
      <c r="A1898" s="155" t="str">
        <f>IFERROR(__xludf.DUMMYFUNCTION("""COMPUTED_VALUE"""),"LucM")</f>
        <v>LucM</v>
      </c>
      <c r="B1898" s="149" t="str">
        <f>IFERROR(__xludf.DUMMYFUNCTION("""COMPUTED_VALUE"""),"Westport")</f>
        <v>Westport</v>
      </c>
      <c r="C1898" s="149" t="str">
        <f>IFERROR(__xludf.DUMMYFUNCTION("""COMPUTED_VALUE"""),"CT")</f>
        <v>CT</v>
      </c>
      <c r="D1898" s="149" t="str">
        <f>IFERROR(__xludf.DUMMYFUNCTION("""COMPUTED_VALUE"""),"USA")</f>
        <v>USA</v>
      </c>
      <c r="E1898" s="156">
        <f>IFERROR(__xludf.DUMMYFUNCTION("""COMPUTED_VALUE"""),43603.0)</f>
        <v>43603</v>
      </c>
      <c r="F1898" s="129">
        <f>IFERROR(__xludf.DUMMYFUNCTION("""COMPUTED_VALUE"""),43609.0)</f>
        <v>43609</v>
      </c>
      <c r="G1898" s="154"/>
      <c r="H1898" s="131">
        <f>IFERROR(__xludf.DUMMYFUNCTION("""COMPUTED_VALUE"""),194851.0)</f>
        <v>194851</v>
      </c>
      <c r="I1898" s="132" t="str">
        <f>IFERROR(__xludf.DUMMYFUNCTION("""COMPUTED_VALUE"""),"05/19")</f>
        <v>05/19</v>
      </c>
      <c r="J1898" s="129">
        <f>IFERROR(__xludf.DUMMYFUNCTION("""COMPUTED_VALUE"""),43627.0)</f>
        <v>43627</v>
      </c>
      <c r="K1898" s="133">
        <f>IFERROR(__xludf.DUMMYFUNCTION("""COMPUTED_VALUE"""),6.0)</f>
        <v>6</v>
      </c>
      <c r="L1898" s="133">
        <f>IFERROR(__xludf.DUMMYFUNCTION("""COMPUTED_VALUE"""),18.0)</f>
        <v>18</v>
      </c>
      <c r="M1898" s="133">
        <f>IFERROR(__xludf.DUMMYFUNCTION("""COMPUTED_VALUE"""),24.0)</f>
        <v>24</v>
      </c>
      <c r="N1898" s="152" t="str">
        <f>IFERROR(__xludf.DUMMYFUNCTION("""COMPUTED_VALUE"""),"Model 3 LR AWD")</f>
        <v>Model 3 LR AWD</v>
      </c>
      <c r="O1898" s="152" t="str">
        <f>IFERROR(__xludf.DUMMYFUNCTION("""COMPUTED_VALUE"""),"Solid Black")</f>
        <v>Solid Black</v>
      </c>
      <c r="P1898" s="153" t="str">
        <f>IFERROR(__xludf.DUMMYFUNCTION("""COMPUTED_VALUE"""),"18 inch Aero")</f>
        <v>18 inch Aero</v>
      </c>
      <c r="Q1898" s="152" t="str">
        <f>IFERROR(__xludf.DUMMYFUNCTION("""COMPUTED_VALUE"""),"White seats")</f>
        <v>White seats</v>
      </c>
      <c r="R1898" s="150" t="str">
        <f>IFERROR(__xludf.DUMMYFUNCTION("""COMPUTED_VALUE"""),"Autopilot")</f>
        <v>Autopilot</v>
      </c>
      <c r="S1898" s="150"/>
      <c r="T1898" s="136"/>
      <c r="U1898" s="136"/>
      <c r="V1898" s="136"/>
      <c r="W1898" s="136"/>
      <c r="X1898" s="137" t="str">
        <f>IFERROR(__xludf.DUMMYFUNCTION("""COMPUTED_VALUE"""),"Excellent")</f>
        <v>Excellent</v>
      </c>
      <c r="Y1898" s="138" t="str">
        <f>IFERROR(__xludf.DUMMYFUNCTION("""COMPUTED_VALUE"""),"Excellent")</f>
        <v>Excellent</v>
      </c>
      <c r="Z1898" s="138" t="str">
        <f>IFERROR(__xludf.DUMMYFUNCTION("""COMPUTED_VALUE"""),"Excellent")</f>
        <v>Excellent</v>
      </c>
      <c r="AA1898" s="138" t="str">
        <f>IFERROR(__xludf.DUMMYFUNCTION("""COMPUTED_VALUE"""),"Fair")</f>
        <v>Fair</v>
      </c>
      <c r="AB1898" s="138" t="str">
        <f>IFERROR(__xludf.DUMMYFUNCTION("""COMPUTED_VALUE"""),"Fair")</f>
        <v>Fair</v>
      </c>
      <c r="AC1898" s="139">
        <f>IFERROR(__xludf.DUMMYFUNCTION("""COMPUTED_VALUE"""),2.0)</f>
        <v>2</v>
      </c>
      <c r="AD1898" s="139">
        <f>IFERROR(__xludf.DUMMYFUNCTION("""COMPUTED_VALUE"""),1.0)</f>
        <v>1</v>
      </c>
      <c r="AE1898" s="139"/>
      <c r="AF1898" s="140"/>
      <c r="AG1898" s="136" t="str">
        <f>IFERROR(__xludf.DUMMYFUNCTION("""COMPUTED_VALUE"""),"squeaky steering wheel and driver's door requires ""extra"" force to close properly.")</f>
        <v>squeaky steering wheel and driver's door requires "extra" force to close properly.</v>
      </c>
      <c r="AH1898" s="157">
        <f>IFERROR(__xludf.DUMMYFUNCTION("""COMPUTED_VALUE"""),43629.34836203704)</f>
        <v>43629.34836</v>
      </c>
      <c r="AI1898" s="138"/>
      <c r="AJ1898" s="138"/>
      <c r="AK1898" s="138"/>
      <c r="AL1898" s="142"/>
    </row>
    <row r="1899" ht="20.25" customHeight="1">
      <c r="A1899" s="155" t="str">
        <f>IFERROR(__xludf.DUMMYFUNCTION("""COMPUTED_VALUE"""),"Makandy")</f>
        <v>Makandy</v>
      </c>
      <c r="B1899" s="149" t="str">
        <f>IFERROR(__xludf.DUMMYFUNCTION("""COMPUTED_VALUE"""),"Sarasota")</f>
        <v>Sarasota</v>
      </c>
      <c r="C1899" s="149" t="str">
        <f>IFERROR(__xludf.DUMMYFUNCTION("""COMPUTED_VALUE"""),"FL")</f>
        <v>FL</v>
      </c>
      <c r="D1899" s="149" t="str">
        <f>IFERROR(__xludf.DUMMYFUNCTION("""COMPUTED_VALUE"""),"USA")</f>
        <v>USA</v>
      </c>
      <c r="E1899" s="156">
        <f>IFERROR(__xludf.DUMMYFUNCTION("""COMPUTED_VALUE"""),43603.0)</f>
        <v>43603</v>
      </c>
      <c r="F1899" s="129">
        <f>IFERROR(__xludf.DUMMYFUNCTION("""COMPUTED_VALUE"""),43631.0)</f>
        <v>43631</v>
      </c>
      <c r="G1899" s="154"/>
      <c r="H1899" s="131">
        <f>IFERROR(__xludf.DUMMYFUNCTION("""COMPUTED_VALUE"""),345555.0)</f>
        <v>345555</v>
      </c>
      <c r="I1899" s="132"/>
      <c r="J1899" s="129">
        <f>IFERROR(__xludf.DUMMYFUNCTION("""COMPUTED_VALUE"""),43635.0)</f>
        <v>43635</v>
      </c>
      <c r="K1899" s="133">
        <f>IFERROR(__xludf.DUMMYFUNCTION("""COMPUTED_VALUE"""),28.0)</f>
        <v>28</v>
      </c>
      <c r="L1899" s="133">
        <f>IFERROR(__xludf.DUMMYFUNCTION("""COMPUTED_VALUE"""),4.0)</f>
        <v>4</v>
      </c>
      <c r="M1899" s="133">
        <f>IFERROR(__xludf.DUMMYFUNCTION("""COMPUTED_VALUE"""),32.0)</f>
        <v>32</v>
      </c>
      <c r="N1899" s="152" t="str">
        <f>IFERROR(__xludf.DUMMYFUNCTION("""COMPUTED_VALUE"""),"Model 3 LR")</f>
        <v>Model 3 LR</v>
      </c>
      <c r="O1899" s="152" t="str">
        <f>IFERROR(__xludf.DUMMYFUNCTION("""COMPUTED_VALUE"""),"Deep Blue Metallic")</f>
        <v>Deep Blue Metallic</v>
      </c>
      <c r="P1899" s="153" t="str">
        <f>IFERROR(__xludf.DUMMYFUNCTION("""COMPUTED_VALUE"""),"19 inch Sport")</f>
        <v>19 inch Sport</v>
      </c>
      <c r="Q1899" s="152" t="str">
        <f>IFERROR(__xludf.DUMMYFUNCTION("""COMPUTED_VALUE"""),"White seats")</f>
        <v>White seats</v>
      </c>
      <c r="R1899" s="150" t="str">
        <f>IFERROR(__xludf.DUMMYFUNCTION("""COMPUTED_VALUE"""),"Autopilot")</f>
        <v>Autopilot</v>
      </c>
      <c r="S1899" s="150"/>
      <c r="T1899" s="136"/>
      <c r="U1899" s="136"/>
      <c r="V1899" s="136"/>
      <c r="W1899" s="136"/>
      <c r="X1899" s="137" t="str">
        <f>IFERROR(__xludf.DUMMYFUNCTION("""COMPUTED_VALUE"""),"Excellent")</f>
        <v>Excellent</v>
      </c>
      <c r="Y1899" s="138" t="str">
        <f>IFERROR(__xludf.DUMMYFUNCTION("""COMPUTED_VALUE"""),"Excellent")</f>
        <v>Excellent</v>
      </c>
      <c r="Z1899" s="138" t="str">
        <f>IFERROR(__xludf.DUMMYFUNCTION("""COMPUTED_VALUE"""),"Excellent")</f>
        <v>Excellent</v>
      </c>
      <c r="AA1899" s="138" t="str">
        <f>IFERROR(__xludf.DUMMYFUNCTION("""COMPUTED_VALUE"""),"Good")</f>
        <v>Good</v>
      </c>
      <c r="AB1899" s="138" t="str">
        <f>IFERROR(__xludf.DUMMYFUNCTION("""COMPUTED_VALUE"""),"Excellent")</f>
        <v>Excellent</v>
      </c>
      <c r="AC1899" s="139"/>
      <c r="AD1899" s="139"/>
      <c r="AE1899" s="139"/>
      <c r="AF1899" s="140"/>
      <c r="AG1899" s="136" t="str">
        <f>IFERROR(__xludf.DUMMYFUNCTION("""COMPUTED_VALUE"""),"Took car form local inventory, wasn't sure if the ordered one would be available by 7/1")</f>
        <v>Took car form local inventory, wasn't sure if the ordered one would be available by 7/1</v>
      </c>
      <c r="AH1899" s="157">
        <f>IFERROR(__xludf.DUMMYFUNCTION("""COMPUTED_VALUE"""),43637.252587800926)</f>
        <v>43637.25259</v>
      </c>
      <c r="AI1899" s="138"/>
      <c r="AJ1899" s="138"/>
      <c r="AK1899" s="138"/>
      <c r="AL1899" s="142"/>
    </row>
    <row r="1900" ht="20.25" customHeight="1">
      <c r="A1900" s="155" t="str">
        <f>IFERROR(__xludf.DUMMYFUNCTION("""COMPUTED_VALUE"""),"smartino")</f>
        <v>smartino</v>
      </c>
      <c r="B1900" s="149" t="str">
        <f>IFERROR(__xludf.DUMMYFUNCTION("""COMPUTED_VALUE"""),"Bloomington")</f>
        <v>Bloomington</v>
      </c>
      <c r="C1900" s="149" t="str">
        <f>IFERROR(__xludf.DUMMYFUNCTION("""COMPUTED_VALUE"""),"IN")</f>
        <v>IN</v>
      </c>
      <c r="D1900" s="149" t="str">
        <f>IFERROR(__xludf.DUMMYFUNCTION("""COMPUTED_VALUE"""),"USA")</f>
        <v>USA</v>
      </c>
      <c r="E1900" s="156">
        <f>IFERROR(__xludf.DUMMYFUNCTION("""COMPUTED_VALUE"""),43601.0)</f>
        <v>43601</v>
      </c>
      <c r="F1900" s="129">
        <f>IFERROR(__xludf.DUMMYFUNCTION("""COMPUTED_VALUE"""),43602.0)</f>
        <v>43602</v>
      </c>
      <c r="G1900" s="154"/>
      <c r="H1900" s="131">
        <f>IFERROR(__xludf.DUMMYFUNCTION("""COMPUTED_VALUE"""),386145.0)</f>
        <v>386145</v>
      </c>
      <c r="I1900" s="144" t="str">
        <f>IFERROR(__xludf.DUMMYFUNCTION("""COMPUTED_VALUE"""),"05/19")</f>
        <v>05/19</v>
      </c>
      <c r="J1900" s="129">
        <f>IFERROR(__xludf.DUMMYFUNCTION("""COMPUTED_VALUE"""),43610.0)</f>
        <v>43610</v>
      </c>
      <c r="K1900" s="133">
        <f>IFERROR(__xludf.DUMMYFUNCTION("""COMPUTED_VALUE"""),1.0)</f>
        <v>1</v>
      </c>
      <c r="L1900" s="133">
        <f>IFERROR(__xludf.DUMMYFUNCTION("""COMPUTED_VALUE"""),8.0)</f>
        <v>8</v>
      </c>
      <c r="M1900" s="133">
        <f>IFERROR(__xludf.DUMMYFUNCTION("""COMPUTED_VALUE"""),9.0)</f>
        <v>9</v>
      </c>
      <c r="N1900" s="152" t="str">
        <f>IFERROR(__xludf.DUMMYFUNCTION("""COMPUTED_VALUE"""),"Model 3 LR AWD")</f>
        <v>Model 3 LR AWD</v>
      </c>
      <c r="O1900" s="152" t="str">
        <f>IFERROR(__xludf.DUMMYFUNCTION("""COMPUTED_VALUE"""),"Midnight Silver Metallic")</f>
        <v>Midnight Silver Metallic</v>
      </c>
      <c r="P1900" s="153" t="str">
        <f>IFERROR(__xludf.DUMMYFUNCTION("""COMPUTED_VALUE"""),"18 inch Aero")</f>
        <v>18 inch Aero</v>
      </c>
      <c r="Q1900" s="152" t="str">
        <f>IFERROR(__xludf.DUMMYFUNCTION("""COMPUTED_VALUE"""),"Black seats")</f>
        <v>Black seats</v>
      </c>
      <c r="R1900" s="149" t="str">
        <f>IFERROR(__xludf.DUMMYFUNCTION("""COMPUTED_VALUE"""),"Full Self-Driving")</f>
        <v>Full Self-Driving</v>
      </c>
      <c r="S1900" s="149"/>
      <c r="T1900" s="145"/>
      <c r="U1900" s="145"/>
      <c r="V1900" s="145"/>
      <c r="W1900" s="145"/>
      <c r="X1900" s="137" t="str">
        <f>IFERROR(__xludf.DUMMYFUNCTION("""COMPUTED_VALUE"""),"Excellent")</f>
        <v>Excellent</v>
      </c>
      <c r="Y1900" s="138" t="str">
        <f>IFERROR(__xludf.DUMMYFUNCTION("""COMPUTED_VALUE"""),"Excellent")</f>
        <v>Excellent</v>
      </c>
      <c r="Z1900" s="138" t="str">
        <f>IFERROR(__xludf.DUMMYFUNCTION("""COMPUTED_VALUE"""),"Excellent")</f>
        <v>Excellent</v>
      </c>
      <c r="AA1900" s="138" t="str">
        <f>IFERROR(__xludf.DUMMYFUNCTION("""COMPUTED_VALUE"""),"Excellent")</f>
        <v>Excellent</v>
      </c>
      <c r="AB1900" s="138" t="str">
        <f>IFERROR(__xludf.DUMMYFUNCTION("""COMPUTED_VALUE"""),"Excellent")</f>
        <v>Excellent</v>
      </c>
      <c r="AC1900" s="139"/>
      <c r="AD1900" s="139"/>
      <c r="AE1900" s="139"/>
      <c r="AF1900" s="140"/>
      <c r="AG1900" s="145"/>
      <c r="AH1900" s="157">
        <f>IFERROR(__xludf.DUMMYFUNCTION("""COMPUTED_VALUE"""),43613.28906721065)</f>
        <v>43613.28907</v>
      </c>
      <c r="AI1900" s="138"/>
      <c r="AJ1900" s="138"/>
      <c r="AK1900" s="138"/>
      <c r="AL1900" s="142"/>
    </row>
    <row r="1901" ht="20.25" customHeight="1">
      <c r="A1901" s="155" t="str">
        <f>IFERROR(__xludf.DUMMYFUNCTION("""COMPUTED_VALUE"""),"Travism56")</f>
        <v>Travism56</v>
      </c>
      <c r="B1901" s="149" t="str">
        <f>IFERROR(__xludf.DUMMYFUNCTION("""COMPUTED_VALUE"""),"Nashville")</f>
        <v>Nashville</v>
      </c>
      <c r="C1901" s="149" t="str">
        <f>IFERROR(__xludf.DUMMYFUNCTION("""COMPUTED_VALUE"""),"TN")</f>
        <v>TN</v>
      </c>
      <c r="D1901" s="149" t="str">
        <f>IFERROR(__xludf.DUMMYFUNCTION("""COMPUTED_VALUE"""),"USA")</f>
        <v>USA</v>
      </c>
      <c r="E1901" s="156">
        <f>IFERROR(__xludf.DUMMYFUNCTION("""COMPUTED_VALUE"""),43601.0)</f>
        <v>43601</v>
      </c>
      <c r="F1901" s="129">
        <f>IFERROR(__xludf.DUMMYFUNCTION("""COMPUTED_VALUE"""),43602.0)</f>
        <v>43602</v>
      </c>
      <c r="G1901" s="154"/>
      <c r="H1901" s="131">
        <f>IFERROR(__xludf.DUMMYFUNCTION("""COMPUTED_VALUE"""),332655.0)</f>
        <v>332655</v>
      </c>
      <c r="I1901" s="144"/>
      <c r="J1901" s="129">
        <f>IFERROR(__xludf.DUMMYFUNCTION("""COMPUTED_VALUE"""),43608.0)</f>
        <v>43608</v>
      </c>
      <c r="K1901" s="133">
        <f>IFERROR(__xludf.DUMMYFUNCTION("""COMPUTED_VALUE"""),1.0)</f>
        <v>1</v>
      </c>
      <c r="L1901" s="133">
        <f>IFERROR(__xludf.DUMMYFUNCTION("""COMPUTED_VALUE"""),6.0)</f>
        <v>6</v>
      </c>
      <c r="M1901" s="133">
        <f>IFERROR(__xludf.DUMMYFUNCTION("""COMPUTED_VALUE"""),7.0)</f>
        <v>7</v>
      </c>
      <c r="N1901" s="152" t="str">
        <f>IFERROR(__xludf.DUMMYFUNCTION("""COMPUTED_VALUE"""),"Model 3 LR")</f>
        <v>Model 3 LR</v>
      </c>
      <c r="O1901" s="152" t="str">
        <f>IFERROR(__xludf.DUMMYFUNCTION("""COMPUTED_VALUE"""),"Midnight Silver Metallic")</f>
        <v>Midnight Silver Metallic</v>
      </c>
      <c r="P1901" s="153" t="str">
        <f>IFERROR(__xludf.DUMMYFUNCTION("""COMPUTED_VALUE"""),"19 inch Sport")</f>
        <v>19 inch Sport</v>
      </c>
      <c r="Q1901" s="152" t="str">
        <f>IFERROR(__xludf.DUMMYFUNCTION("""COMPUTED_VALUE"""),"White seats")</f>
        <v>White seats</v>
      </c>
      <c r="R1901" s="149" t="str">
        <f>IFERROR(__xludf.DUMMYFUNCTION("""COMPUTED_VALUE"""),"Autopilot")</f>
        <v>Autopilot</v>
      </c>
      <c r="S1901" s="149"/>
      <c r="T1901" s="145"/>
      <c r="U1901" s="145"/>
      <c r="V1901" s="145"/>
      <c r="W1901" s="145"/>
      <c r="X1901" s="137" t="str">
        <f>IFERROR(__xludf.DUMMYFUNCTION("""COMPUTED_VALUE"""),"Very Good")</f>
        <v>Very Good</v>
      </c>
      <c r="Y1901" s="138" t="str">
        <f>IFERROR(__xludf.DUMMYFUNCTION("""COMPUTED_VALUE"""),"Excellent")</f>
        <v>Excellent</v>
      </c>
      <c r="Z1901" s="138" t="str">
        <f>IFERROR(__xludf.DUMMYFUNCTION("""COMPUTED_VALUE"""),"Excellent")</f>
        <v>Excellent</v>
      </c>
      <c r="AA1901" s="138" t="str">
        <f>IFERROR(__xludf.DUMMYFUNCTION("""COMPUTED_VALUE"""),"Fair")</f>
        <v>Fair</v>
      </c>
      <c r="AB1901" s="138" t="str">
        <f>IFERROR(__xludf.DUMMYFUNCTION("""COMPUTED_VALUE"""),"Good")</f>
        <v>Good</v>
      </c>
      <c r="AC1901" s="139"/>
      <c r="AD1901" s="139"/>
      <c r="AE1901" s="139"/>
      <c r="AF1901" s="140"/>
      <c r="AG1901" s="145"/>
      <c r="AH1901" s="157">
        <f>IFERROR(__xludf.DUMMYFUNCTION("""COMPUTED_VALUE"""),43608.80497839121)</f>
        <v>43608.80498</v>
      </c>
      <c r="AI1901" s="138"/>
      <c r="AJ1901" s="138"/>
      <c r="AK1901" s="138"/>
      <c r="AL1901" s="142"/>
    </row>
    <row r="1902" ht="20.25" customHeight="1">
      <c r="A1902" s="155" t="str">
        <f>IFERROR(__xludf.DUMMYFUNCTION("""COMPUTED_VALUE"""),"richardb.long93")</f>
        <v>richardb.long93</v>
      </c>
      <c r="B1902" s="149" t="str">
        <f>IFERROR(__xludf.DUMMYFUNCTION("""COMPUTED_VALUE"""),"Fredericton")</f>
        <v>Fredericton</v>
      </c>
      <c r="C1902" s="149" t="str">
        <f>IFERROR(__xludf.DUMMYFUNCTION("""COMPUTED_VALUE"""),"NB")</f>
        <v>NB</v>
      </c>
      <c r="D1902" s="149" t="str">
        <f>IFERROR(__xludf.DUMMYFUNCTION("""COMPUTED_VALUE"""),"Canada")</f>
        <v>Canada</v>
      </c>
      <c r="E1902" s="156">
        <f>IFERROR(__xludf.DUMMYFUNCTION("""COMPUTED_VALUE"""),43599.0)</f>
        <v>43599</v>
      </c>
      <c r="F1902" s="129">
        <f>IFERROR(__xludf.DUMMYFUNCTION("""COMPUTED_VALUE"""),43619.0)</f>
        <v>43619</v>
      </c>
      <c r="G1902" s="154"/>
      <c r="H1902" s="131">
        <f>IFERROR(__xludf.DUMMYFUNCTION("""COMPUTED_VALUE"""),403203.0)</f>
        <v>403203</v>
      </c>
      <c r="I1902" s="144"/>
      <c r="J1902" s="129">
        <f>IFERROR(__xludf.DUMMYFUNCTION("""COMPUTED_VALUE"""),43636.0)</f>
        <v>43636</v>
      </c>
      <c r="K1902" s="133">
        <f>IFERROR(__xludf.DUMMYFUNCTION("""COMPUTED_VALUE"""),20.0)</f>
        <v>20</v>
      </c>
      <c r="L1902" s="133">
        <f>IFERROR(__xludf.DUMMYFUNCTION("""COMPUTED_VALUE"""),17.0)</f>
        <v>17</v>
      </c>
      <c r="M1902" s="133">
        <f>IFERROR(__xludf.DUMMYFUNCTION("""COMPUTED_VALUE"""),37.0)</f>
        <v>37</v>
      </c>
      <c r="N1902" s="152" t="str">
        <f>IFERROR(__xludf.DUMMYFUNCTION("""COMPUTED_VALUE"""),"Model 3 SR+")</f>
        <v>Model 3 SR+</v>
      </c>
      <c r="O1902" s="152" t="str">
        <f>IFERROR(__xludf.DUMMYFUNCTION("""COMPUTED_VALUE"""),"Midnight Silver Metallic")</f>
        <v>Midnight Silver Metallic</v>
      </c>
      <c r="P1902" s="153" t="str">
        <f>IFERROR(__xludf.DUMMYFUNCTION("""COMPUTED_VALUE"""),"18 inch Aero")</f>
        <v>18 inch Aero</v>
      </c>
      <c r="Q1902" s="152" t="str">
        <f>IFERROR(__xludf.DUMMYFUNCTION("""COMPUTED_VALUE"""),"Black seats")</f>
        <v>Black seats</v>
      </c>
      <c r="R1902" s="149" t="str">
        <f>IFERROR(__xludf.DUMMYFUNCTION("""COMPUTED_VALUE"""),"Full Self-Driving")</f>
        <v>Full Self-Driving</v>
      </c>
      <c r="S1902" s="149"/>
      <c r="T1902" s="136"/>
      <c r="U1902" s="136"/>
      <c r="V1902" s="136"/>
      <c r="W1902" s="145"/>
      <c r="X1902" s="137" t="str">
        <f>IFERROR(__xludf.DUMMYFUNCTION("""COMPUTED_VALUE"""),"Good")</f>
        <v>Good</v>
      </c>
      <c r="Y1902" s="138" t="str">
        <f>IFERROR(__xludf.DUMMYFUNCTION("""COMPUTED_VALUE"""),"Excellent")</f>
        <v>Excellent</v>
      </c>
      <c r="Z1902" s="138" t="str">
        <f>IFERROR(__xludf.DUMMYFUNCTION("""COMPUTED_VALUE"""),"Excellent")</f>
        <v>Excellent</v>
      </c>
      <c r="AA1902" s="138" t="str">
        <f>IFERROR(__xludf.DUMMYFUNCTION("""COMPUTED_VALUE"""),"Poor")</f>
        <v>Poor</v>
      </c>
      <c r="AB1902" s="138" t="str">
        <f>IFERROR(__xludf.DUMMYFUNCTION("""COMPUTED_VALUE"""),"Fair")</f>
        <v>Fair</v>
      </c>
      <c r="AC1902" s="139">
        <f>IFERROR(__xludf.DUMMYFUNCTION("""COMPUTED_VALUE"""),0.0)</f>
        <v>0</v>
      </c>
      <c r="AD1902" s="139">
        <f>IFERROR(__xludf.DUMMYFUNCTION("""COMPUTED_VALUE"""),0.0)</f>
        <v>0</v>
      </c>
      <c r="AE1902" s="139">
        <f>IFERROR(__xludf.DUMMYFUNCTION("""COMPUTED_VALUE"""),0.0)</f>
        <v>0</v>
      </c>
      <c r="AF1902" s="140"/>
      <c r="AG1902" s="145" t="str">
        <f>IFERROR(__xludf.DUMMYFUNCTION("""COMPUTED_VALUE"""),"Lack of service post delivery.")</f>
        <v>Lack of service post delivery.</v>
      </c>
      <c r="AH1902" s="157">
        <f>IFERROR(__xludf.DUMMYFUNCTION("""COMPUTED_VALUE"""),43639.736470462965)</f>
        <v>43639.73647</v>
      </c>
      <c r="AI1902" s="138"/>
      <c r="AJ1902" s="138"/>
      <c r="AK1902" s="138"/>
      <c r="AL1902" s="142"/>
    </row>
    <row r="1903" ht="20.25" customHeight="1">
      <c r="A1903" s="155" t="str">
        <f>IFERROR(__xludf.DUMMYFUNCTION("""COMPUTED_VALUE"""),"Twigster")</f>
        <v>Twigster</v>
      </c>
      <c r="B1903" s="149" t="str">
        <f>IFERROR(__xludf.DUMMYFUNCTION("""COMPUTED_VALUE"""),"Apex")</f>
        <v>Apex</v>
      </c>
      <c r="C1903" s="149" t="str">
        <f>IFERROR(__xludf.DUMMYFUNCTION("""COMPUTED_VALUE"""),"NC")</f>
        <v>NC</v>
      </c>
      <c r="D1903" s="149" t="str">
        <f>IFERROR(__xludf.DUMMYFUNCTION("""COMPUTED_VALUE"""),"USA")</f>
        <v>USA</v>
      </c>
      <c r="E1903" s="156">
        <f>IFERROR(__xludf.DUMMYFUNCTION("""COMPUTED_VALUE"""),43599.0)</f>
        <v>43599</v>
      </c>
      <c r="F1903" s="129">
        <f>IFERROR(__xludf.DUMMYFUNCTION("""COMPUTED_VALUE"""),43617.0)</f>
        <v>43617</v>
      </c>
      <c r="G1903" s="154"/>
      <c r="H1903" s="131">
        <f>IFERROR(__xludf.DUMMYFUNCTION("""COMPUTED_VALUE"""),400694.0)</f>
        <v>400694</v>
      </c>
      <c r="I1903" s="144"/>
      <c r="J1903" s="129">
        <f>IFERROR(__xludf.DUMMYFUNCTION("""COMPUTED_VALUE"""),43623.0)</f>
        <v>43623</v>
      </c>
      <c r="K1903" s="133">
        <f>IFERROR(__xludf.DUMMYFUNCTION("""COMPUTED_VALUE"""),18.0)</f>
        <v>18</v>
      </c>
      <c r="L1903" s="133">
        <f>IFERROR(__xludf.DUMMYFUNCTION("""COMPUTED_VALUE"""),6.0)</f>
        <v>6</v>
      </c>
      <c r="M1903" s="133">
        <f>IFERROR(__xludf.DUMMYFUNCTION("""COMPUTED_VALUE"""),24.0)</f>
        <v>24</v>
      </c>
      <c r="N1903" s="152" t="str">
        <f>IFERROR(__xludf.DUMMYFUNCTION("""COMPUTED_VALUE"""),"Model 3 SR+")</f>
        <v>Model 3 SR+</v>
      </c>
      <c r="O1903" s="152" t="str">
        <f>IFERROR(__xludf.DUMMYFUNCTION("""COMPUTED_VALUE"""),"Deep Blue Metallic")</f>
        <v>Deep Blue Metallic</v>
      </c>
      <c r="P1903" s="153" t="str">
        <f>IFERROR(__xludf.DUMMYFUNCTION("""COMPUTED_VALUE"""),"18 inch Aero")</f>
        <v>18 inch Aero</v>
      </c>
      <c r="Q1903" s="152" t="str">
        <f>IFERROR(__xludf.DUMMYFUNCTION("""COMPUTED_VALUE"""),"Black seats")</f>
        <v>Black seats</v>
      </c>
      <c r="R1903" s="149" t="str">
        <f>IFERROR(__xludf.DUMMYFUNCTION("""COMPUTED_VALUE"""),"Full Self-Driving")</f>
        <v>Full Self-Driving</v>
      </c>
      <c r="S1903" s="149"/>
      <c r="T1903" s="145"/>
      <c r="U1903" s="145"/>
      <c r="V1903" s="145"/>
      <c r="W1903" s="145"/>
      <c r="X1903" s="137" t="str">
        <f>IFERROR(__xludf.DUMMYFUNCTION("""COMPUTED_VALUE"""),"Fair")</f>
        <v>Fair</v>
      </c>
      <c r="Y1903" s="138" t="str">
        <f>IFERROR(__xludf.DUMMYFUNCTION("""COMPUTED_VALUE"""),"Excellent")</f>
        <v>Excellent</v>
      </c>
      <c r="Z1903" s="138" t="str">
        <f>IFERROR(__xludf.DUMMYFUNCTION("""COMPUTED_VALUE"""),"Excellent")</f>
        <v>Excellent</v>
      </c>
      <c r="AA1903" s="138" t="str">
        <f>IFERROR(__xludf.DUMMYFUNCTION("""COMPUTED_VALUE"""),"Good")</f>
        <v>Good</v>
      </c>
      <c r="AB1903" s="138" t="str">
        <f>IFERROR(__xludf.DUMMYFUNCTION("""COMPUTED_VALUE"""),"Very Good")</f>
        <v>Very Good</v>
      </c>
      <c r="AC1903" s="139"/>
      <c r="AD1903" s="139"/>
      <c r="AE1903" s="139"/>
      <c r="AF1903" s="140"/>
      <c r="AG1903" s="145"/>
      <c r="AH1903" s="157">
        <f>IFERROR(__xludf.DUMMYFUNCTION("""COMPUTED_VALUE"""),43625.32101583334)</f>
        <v>43625.32102</v>
      </c>
      <c r="AI1903" s="138"/>
      <c r="AJ1903" s="138"/>
      <c r="AK1903" s="138"/>
      <c r="AL1903" s="142"/>
    </row>
    <row r="1904" ht="20.25" customHeight="1">
      <c r="A1904" s="155" t="str">
        <f>IFERROR(__xludf.DUMMYFUNCTION("""COMPUTED_VALUE"""),"Jaffy23")</f>
        <v>Jaffy23</v>
      </c>
      <c r="B1904" s="149" t="str">
        <f>IFERROR(__xludf.DUMMYFUNCTION("""COMPUTED_VALUE"""),"Greenwich")</f>
        <v>Greenwich</v>
      </c>
      <c r="C1904" s="149" t="str">
        <f>IFERROR(__xludf.DUMMYFUNCTION("""COMPUTED_VALUE"""),"CT")</f>
        <v>CT</v>
      </c>
      <c r="D1904" s="149" t="str">
        <f>IFERROR(__xludf.DUMMYFUNCTION("""COMPUTED_VALUE"""),"USA")</f>
        <v>USA</v>
      </c>
      <c r="E1904" s="156">
        <f>IFERROR(__xludf.DUMMYFUNCTION("""COMPUTED_VALUE"""),43598.0)</f>
        <v>43598</v>
      </c>
      <c r="F1904" s="129">
        <f>IFERROR(__xludf.DUMMYFUNCTION("""COMPUTED_VALUE"""),43614.0)</f>
        <v>43614</v>
      </c>
      <c r="G1904" s="154"/>
      <c r="H1904" s="131">
        <f>IFERROR(__xludf.DUMMYFUNCTION("""COMPUTED_VALUE"""),391005.0)</f>
        <v>391005</v>
      </c>
      <c r="I1904" s="132" t="str">
        <f>IFERROR(__xludf.DUMMYFUNCTION("""COMPUTED_VALUE"""),"06/19")</f>
        <v>06/19</v>
      </c>
      <c r="J1904" s="129">
        <f>IFERROR(__xludf.DUMMYFUNCTION("""COMPUTED_VALUE"""),43621.0)</f>
        <v>43621</v>
      </c>
      <c r="K1904" s="133">
        <f>IFERROR(__xludf.DUMMYFUNCTION("""COMPUTED_VALUE"""),16.0)</f>
        <v>16</v>
      </c>
      <c r="L1904" s="133">
        <f>IFERROR(__xludf.DUMMYFUNCTION("""COMPUTED_VALUE"""),7.0)</f>
        <v>7</v>
      </c>
      <c r="M1904" s="133">
        <f>IFERROR(__xludf.DUMMYFUNCTION("""COMPUTED_VALUE"""),23.0)</f>
        <v>23</v>
      </c>
      <c r="N1904" s="152" t="str">
        <f>IFERROR(__xludf.DUMMYFUNCTION("""COMPUTED_VALUE"""),"Model 3 LR AWD")</f>
        <v>Model 3 LR AWD</v>
      </c>
      <c r="O1904" s="152" t="str">
        <f>IFERROR(__xludf.DUMMYFUNCTION("""COMPUTED_VALUE"""),"Deep Blue Metallic")</f>
        <v>Deep Blue Metallic</v>
      </c>
      <c r="P1904" s="153" t="str">
        <f>IFERROR(__xludf.DUMMYFUNCTION("""COMPUTED_VALUE"""),"18 inch Aero")</f>
        <v>18 inch Aero</v>
      </c>
      <c r="Q1904" s="152" t="str">
        <f>IFERROR(__xludf.DUMMYFUNCTION("""COMPUTED_VALUE"""),"White seats")</f>
        <v>White seats</v>
      </c>
      <c r="R1904" s="150" t="str">
        <f>IFERROR(__xludf.DUMMYFUNCTION("""COMPUTED_VALUE"""),"Autopilot")</f>
        <v>Autopilot</v>
      </c>
      <c r="S1904" s="150"/>
      <c r="T1904" s="145"/>
      <c r="U1904" s="145"/>
      <c r="V1904" s="136"/>
      <c r="W1904" s="136"/>
      <c r="X1904" s="137" t="str">
        <f>IFERROR(__xludf.DUMMYFUNCTION("""COMPUTED_VALUE"""),"Excellent")</f>
        <v>Excellent</v>
      </c>
      <c r="Y1904" s="138" t="str">
        <f>IFERROR(__xludf.DUMMYFUNCTION("""COMPUTED_VALUE"""),"Excellent")</f>
        <v>Excellent</v>
      </c>
      <c r="Z1904" s="138" t="str">
        <f>IFERROR(__xludf.DUMMYFUNCTION("""COMPUTED_VALUE"""),"Excellent")</f>
        <v>Excellent</v>
      </c>
      <c r="AA1904" s="138" t="str">
        <f>IFERROR(__xludf.DUMMYFUNCTION("""COMPUTED_VALUE"""),"Very Good")</f>
        <v>Very Good</v>
      </c>
      <c r="AB1904" s="138" t="str">
        <f>IFERROR(__xludf.DUMMYFUNCTION("""COMPUTED_VALUE"""),"Very Good")</f>
        <v>Very Good</v>
      </c>
      <c r="AC1904" s="139">
        <f>IFERROR(__xludf.DUMMYFUNCTION("""COMPUTED_VALUE"""),2.0)</f>
        <v>2</v>
      </c>
      <c r="AD1904" s="139"/>
      <c r="AE1904" s="139">
        <f>IFERROR(__xludf.DUMMYFUNCTION("""COMPUTED_VALUE"""),9.0)</f>
        <v>9</v>
      </c>
      <c r="AF1904" s="140"/>
      <c r="AG1904" s="136" t="str">
        <f>IFERROR(__xludf.DUMMYFUNCTION("""COMPUTED_VALUE"""),"Cracked glass roof on delivery which took a week to repair. They did a great job")</f>
        <v>Cracked glass roof on delivery which took a week to repair. They did a great job</v>
      </c>
      <c r="AH1904" s="157">
        <f>IFERROR(__xludf.DUMMYFUNCTION("""COMPUTED_VALUE"""),43631.261458483794)</f>
        <v>43631.26146</v>
      </c>
      <c r="AI1904" s="138"/>
      <c r="AJ1904" s="138"/>
      <c r="AK1904" s="138"/>
      <c r="AL1904" s="142"/>
    </row>
    <row r="1905" ht="20.25" customHeight="1">
      <c r="A1905" s="155" t="str">
        <f>IFERROR(__xludf.DUMMYFUNCTION("""COMPUTED_VALUE"""),"markbspeigel")</f>
        <v>markbspeigel</v>
      </c>
      <c r="B1905" s="149" t="str">
        <f>IFERROR(__xludf.DUMMYFUNCTION("""COMPUTED_VALUE"""),"Crappertown")</f>
        <v>Crappertown</v>
      </c>
      <c r="C1905" s="149"/>
      <c r="D1905" s="149" t="str">
        <f>IFERROR(__xludf.DUMMYFUNCTION("""COMPUTED_VALUE"""),"USA")</f>
        <v>USA</v>
      </c>
      <c r="E1905" s="156">
        <f>IFERROR(__xludf.DUMMYFUNCTION("""COMPUTED_VALUE"""),43598.0)</f>
        <v>43598</v>
      </c>
      <c r="F1905" s="129">
        <f>IFERROR(__xludf.DUMMYFUNCTION("""COMPUTED_VALUE"""),43599.0)</f>
        <v>43599</v>
      </c>
      <c r="G1905" s="154"/>
      <c r="H1905" s="131">
        <f>IFERROR(__xludf.DUMMYFUNCTION("""COMPUTED_VALUE"""),420055.0)</f>
        <v>420055</v>
      </c>
      <c r="I1905" s="144" t="str">
        <f>IFERROR(__xludf.DUMMYFUNCTION("""COMPUTED_VALUE"""),"08/18")</f>
        <v>08/18</v>
      </c>
      <c r="J1905" s="129">
        <f>IFERROR(__xludf.DUMMYFUNCTION("""COMPUTED_VALUE"""),43604.0)</f>
        <v>43604</v>
      </c>
      <c r="K1905" s="133">
        <f>IFERROR(__xludf.DUMMYFUNCTION("""COMPUTED_VALUE"""),1.0)</f>
        <v>1</v>
      </c>
      <c r="L1905" s="133">
        <f>IFERROR(__xludf.DUMMYFUNCTION("""COMPUTED_VALUE"""),5.0)</f>
        <v>5</v>
      </c>
      <c r="M1905" s="133">
        <f>IFERROR(__xludf.DUMMYFUNCTION("""COMPUTED_VALUE"""),6.0)</f>
        <v>6</v>
      </c>
      <c r="N1905" s="152" t="str">
        <f>IFERROR(__xludf.DUMMYFUNCTION("""COMPUTED_VALUE"""),"Model 3 SR")</f>
        <v>Model 3 SR</v>
      </c>
      <c r="O1905" s="152" t="str">
        <f>IFERROR(__xludf.DUMMYFUNCTION("""COMPUTED_VALUE"""),"Red Multi-Coat")</f>
        <v>Red Multi-Coat</v>
      </c>
      <c r="P1905" s="153" t="str">
        <f>IFERROR(__xludf.DUMMYFUNCTION("""COMPUTED_VALUE"""),"18 inch Aero")</f>
        <v>18 inch Aero</v>
      </c>
      <c r="Q1905" s="152" t="str">
        <f>IFERROR(__xludf.DUMMYFUNCTION("""COMPUTED_VALUE"""),"White seats")</f>
        <v>White seats</v>
      </c>
      <c r="R1905" s="149" t="str">
        <f>IFERROR(__xludf.DUMMYFUNCTION("""COMPUTED_VALUE"""),"None")</f>
        <v>None</v>
      </c>
      <c r="S1905" s="149"/>
      <c r="T1905" s="145"/>
      <c r="U1905" s="145"/>
      <c r="V1905" s="145"/>
      <c r="W1905" s="136"/>
      <c r="X1905" s="137" t="str">
        <f>IFERROR(__xludf.DUMMYFUNCTION("""COMPUTED_VALUE"""),"Good")</f>
        <v>Good</v>
      </c>
      <c r="Y1905" s="138" t="str">
        <f>IFERROR(__xludf.DUMMYFUNCTION("""COMPUTED_VALUE"""),"Good")</f>
        <v>Good</v>
      </c>
      <c r="Z1905" s="138" t="str">
        <f>IFERROR(__xludf.DUMMYFUNCTION("""COMPUTED_VALUE"""),"Good")</f>
        <v>Good</v>
      </c>
      <c r="AA1905" s="138" t="str">
        <f>IFERROR(__xludf.DUMMYFUNCTION("""COMPUTED_VALUE"""),"Good")</f>
        <v>Good</v>
      </c>
      <c r="AB1905" s="138" t="str">
        <f>IFERROR(__xludf.DUMMYFUNCTION("""COMPUTED_VALUE"""),"Good")</f>
        <v>Good</v>
      </c>
      <c r="AC1905" s="139">
        <f>IFERROR(__xludf.DUMMYFUNCTION("""COMPUTED_VALUE"""),10.0)</f>
        <v>10</v>
      </c>
      <c r="AD1905" s="139">
        <f>IFERROR(__xludf.DUMMYFUNCTION("""COMPUTED_VALUE"""),5.0)</f>
        <v>5</v>
      </c>
      <c r="AE1905" s="139">
        <f>IFERROR(__xludf.DUMMYFUNCTION("""COMPUTED_VALUE"""),8.0)</f>
        <v>8</v>
      </c>
      <c r="AF1905" s="140"/>
      <c r="AG1905" s="145"/>
      <c r="AH1905" s="157">
        <f>IFERROR(__xludf.DUMMYFUNCTION("""COMPUTED_VALUE"""),43605.66160171296)</f>
        <v>43605.6616</v>
      </c>
      <c r="AI1905" s="138"/>
      <c r="AJ1905" s="138"/>
      <c r="AK1905" s="138"/>
      <c r="AL1905" s="142"/>
    </row>
    <row r="1906" ht="20.25" customHeight="1">
      <c r="A1906" s="155" t="str">
        <f>IFERROR(__xludf.DUMMYFUNCTION("""COMPUTED_VALUE"""),"Kyle***")</f>
        <v>Kyle***</v>
      </c>
      <c r="B1906" s="149" t="str">
        <f>IFERROR(__xludf.DUMMYFUNCTION("""COMPUTED_VALUE"""),"Los Angeles")</f>
        <v>Los Angeles</v>
      </c>
      <c r="C1906" s="149" t="str">
        <f>IFERROR(__xludf.DUMMYFUNCTION("""COMPUTED_VALUE"""),"CA")</f>
        <v>CA</v>
      </c>
      <c r="D1906" s="149" t="str">
        <f>IFERROR(__xludf.DUMMYFUNCTION("""COMPUTED_VALUE"""),"USA")</f>
        <v>USA</v>
      </c>
      <c r="E1906" s="156">
        <f>IFERROR(__xludf.DUMMYFUNCTION("""COMPUTED_VALUE"""),43596.0)</f>
        <v>43596</v>
      </c>
      <c r="F1906" s="129">
        <f>IFERROR(__xludf.DUMMYFUNCTION("""COMPUTED_VALUE"""),43604.0)</f>
        <v>43604</v>
      </c>
      <c r="G1906" s="154"/>
      <c r="H1906" s="131">
        <f>IFERROR(__xludf.DUMMYFUNCTION("""COMPUTED_VALUE"""),312055.0)</f>
        <v>312055</v>
      </c>
      <c r="I1906" s="144" t="str">
        <f>IFERROR(__xludf.DUMMYFUNCTION("""COMPUTED_VALUE"""),"03/19")</f>
        <v>03/19</v>
      </c>
      <c r="J1906" s="129">
        <f>IFERROR(__xludf.DUMMYFUNCTION("""COMPUTED_VALUE"""),43608.0)</f>
        <v>43608</v>
      </c>
      <c r="K1906" s="133">
        <f>IFERROR(__xludf.DUMMYFUNCTION("""COMPUTED_VALUE"""),8.0)</f>
        <v>8</v>
      </c>
      <c r="L1906" s="133">
        <f>IFERROR(__xludf.DUMMYFUNCTION("""COMPUTED_VALUE"""),4.0)</f>
        <v>4</v>
      </c>
      <c r="M1906" s="133">
        <f>IFERROR(__xludf.DUMMYFUNCTION("""COMPUTED_VALUE"""),12.0)</f>
        <v>12</v>
      </c>
      <c r="N1906" s="152" t="str">
        <f>IFERROR(__xludf.DUMMYFUNCTION("""COMPUTED_VALUE"""),"Model 3 SR+")</f>
        <v>Model 3 SR+</v>
      </c>
      <c r="O1906" s="152" t="str">
        <f>IFERROR(__xludf.DUMMYFUNCTION("""COMPUTED_VALUE"""),"Solid Black")</f>
        <v>Solid Black</v>
      </c>
      <c r="P1906" s="153" t="str">
        <f>IFERROR(__xludf.DUMMYFUNCTION("""COMPUTED_VALUE"""),"18 inch Aero")</f>
        <v>18 inch Aero</v>
      </c>
      <c r="Q1906" s="152" t="str">
        <f>IFERROR(__xludf.DUMMYFUNCTION("""COMPUTED_VALUE"""),"White seats")</f>
        <v>White seats</v>
      </c>
      <c r="R1906" s="149" t="str">
        <f>IFERROR(__xludf.DUMMYFUNCTION("""COMPUTED_VALUE"""),"Full Self-Driving")</f>
        <v>Full Self-Driving</v>
      </c>
      <c r="S1906" s="149"/>
      <c r="T1906" s="145"/>
      <c r="U1906" s="145"/>
      <c r="V1906" s="145"/>
      <c r="W1906" s="136"/>
      <c r="X1906" s="137" t="str">
        <f>IFERROR(__xludf.DUMMYFUNCTION("""COMPUTED_VALUE"""),"Very Good")</f>
        <v>Very Good</v>
      </c>
      <c r="Y1906" s="138" t="str">
        <f>IFERROR(__xludf.DUMMYFUNCTION("""COMPUTED_VALUE"""),"Poor")</f>
        <v>Poor</v>
      </c>
      <c r="Z1906" s="138" t="str">
        <f>IFERROR(__xludf.DUMMYFUNCTION("""COMPUTED_VALUE"""),"Fair")</f>
        <v>Fair</v>
      </c>
      <c r="AA1906" s="138" t="str">
        <f>IFERROR(__xludf.DUMMYFUNCTION("""COMPUTED_VALUE"""),"Excellent")</f>
        <v>Excellent</v>
      </c>
      <c r="AB1906" s="138" t="str">
        <f>IFERROR(__xludf.DUMMYFUNCTION("""COMPUTED_VALUE"""),"Fair")</f>
        <v>Fair</v>
      </c>
      <c r="AC1906" s="139">
        <f>IFERROR(__xludf.DUMMYFUNCTION("""COMPUTED_VALUE"""),1.0)</f>
        <v>1</v>
      </c>
      <c r="AD1906" s="139"/>
      <c r="AE1906" s="139"/>
      <c r="AF1906" s="140"/>
      <c r="AG1906" s="145"/>
      <c r="AH1906" s="157">
        <f>IFERROR(__xludf.DUMMYFUNCTION("""COMPUTED_VALUE"""),43608.98476231481)</f>
        <v>43608.98476</v>
      </c>
      <c r="AI1906" s="138"/>
      <c r="AJ1906" s="138"/>
      <c r="AK1906" s="138"/>
      <c r="AL1906" s="142"/>
    </row>
    <row r="1907" ht="20.25" customHeight="1">
      <c r="A1907" s="155" t="str">
        <f>IFERROR(__xludf.DUMMYFUNCTION("""COMPUTED_VALUE"""),"cbaaz")</f>
        <v>cbaaz</v>
      </c>
      <c r="B1907" s="149" t="str">
        <f>IFERROR(__xludf.DUMMYFUNCTION("""COMPUTED_VALUE"""),"Phoenix")</f>
        <v>Phoenix</v>
      </c>
      <c r="C1907" s="149" t="str">
        <f>IFERROR(__xludf.DUMMYFUNCTION("""COMPUTED_VALUE"""),"AZ")</f>
        <v>AZ</v>
      </c>
      <c r="D1907" s="149" t="str">
        <f>IFERROR(__xludf.DUMMYFUNCTION("""COMPUTED_VALUE"""),"USA")</f>
        <v>USA</v>
      </c>
      <c r="E1907" s="156">
        <f>IFERROR(__xludf.DUMMYFUNCTION("""COMPUTED_VALUE"""),43595.0)</f>
        <v>43595</v>
      </c>
      <c r="F1907" s="129">
        <f>IFERROR(__xludf.DUMMYFUNCTION("""COMPUTED_VALUE"""),43620.0)</f>
        <v>43620</v>
      </c>
      <c r="G1907" s="154"/>
      <c r="H1907" s="131">
        <f>IFERROR(__xludf.DUMMYFUNCTION("""COMPUTED_VALUE"""),393555.0)</f>
        <v>393555</v>
      </c>
      <c r="I1907" s="144" t="str">
        <f>IFERROR(__xludf.DUMMYFUNCTION("""COMPUTED_VALUE"""),"06/19")</f>
        <v>06/19</v>
      </c>
      <c r="J1907" s="129">
        <f>IFERROR(__xludf.DUMMYFUNCTION("""COMPUTED_VALUE"""),43622.0)</f>
        <v>43622</v>
      </c>
      <c r="K1907" s="133">
        <f>IFERROR(__xludf.DUMMYFUNCTION("""COMPUTED_VALUE"""),25.0)</f>
        <v>25</v>
      </c>
      <c r="L1907" s="133">
        <f>IFERROR(__xludf.DUMMYFUNCTION("""COMPUTED_VALUE"""),2.0)</f>
        <v>2</v>
      </c>
      <c r="M1907" s="133">
        <f>IFERROR(__xludf.DUMMYFUNCTION("""COMPUTED_VALUE"""),27.0)</f>
        <v>27</v>
      </c>
      <c r="N1907" s="152" t="str">
        <f>IFERROR(__xludf.DUMMYFUNCTION("""COMPUTED_VALUE"""),"Model 3 Performance")</f>
        <v>Model 3 Performance</v>
      </c>
      <c r="O1907" s="152" t="str">
        <f>IFERROR(__xludf.DUMMYFUNCTION("""COMPUTED_VALUE"""),"Red Multi-Coat")</f>
        <v>Red Multi-Coat</v>
      </c>
      <c r="P1907" s="153" t="str">
        <f>IFERROR(__xludf.DUMMYFUNCTION("""COMPUTED_VALUE"""),"20 inch Sport")</f>
        <v>20 inch Sport</v>
      </c>
      <c r="Q1907" s="152" t="str">
        <f>IFERROR(__xludf.DUMMYFUNCTION("""COMPUTED_VALUE"""),"White seats")</f>
        <v>White seats</v>
      </c>
      <c r="R1907" s="149" t="str">
        <f>IFERROR(__xludf.DUMMYFUNCTION("""COMPUTED_VALUE"""),"Autopilot")</f>
        <v>Autopilot</v>
      </c>
      <c r="S1907" s="149"/>
      <c r="T1907" s="145"/>
      <c r="U1907" s="145"/>
      <c r="V1907" s="145"/>
      <c r="W1907" s="145"/>
      <c r="X1907" s="137" t="str">
        <f>IFERROR(__xludf.DUMMYFUNCTION("""COMPUTED_VALUE"""),"Excellent")</f>
        <v>Excellent</v>
      </c>
      <c r="Y1907" s="138" t="str">
        <f>IFERROR(__xludf.DUMMYFUNCTION("""COMPUTED_VALUE"""),"Excellent")</f>
        <v>Excellent</v>
      </c>
      <c r="Z1907" s="138" t="str">
        <f>IFERROR(__xludf.DUMMYFUNCTION("""COMPUTED_VALUE"""),"Excellent")</f>
        <v>Excellent</v>
      </c>
      <c r="AA1907" s="138" t="str">
        <f>IFERROR(__xludf.DUMMYFUNCTION("""COMPUTED_VALUE"""),"Excellent")</f>
        <v>Excellent</v>
      </c>
      <c r="AB1907" s="138" t="str">
        <f>IFERROR(__xludf.DUMMYFUNCTION("""COMPUTED_VALUE"""),"Excellent")</f>
        <v>Excellent</v>
      </c>
      <c r="AC1907" s="139"/>
      <c r="AD1907" s="139"/>
      <c r="AE1907" s="139"/>
      <c r="AF1907" s="140"/>
      <c r="AG1907" s="145" t="str">
        <f>IFERROR(__xludf.DUMMYFUNCTION("""COMPUTED_VALUE"""),"TSLA proposed delivery 6/7, accomodated earlier on 6/6.  They were sold out of NEMA 14-50 adapters.  Car was immaculate.")</f>
        <v>TSLA proposed delivery 6/7, accomodated earlier on 6/6.  They were sold out of NEMA 14-50 adapters.  Car was immaculate.</v>
      </c>
      <c r="AH1907" s="157">
        <f>IFERROR(__xludf.DUMMYFUNCTION("""COMPUTED_VALUE"""),43623.42268607639)</f>
        <v>43623.42269</v>
      </c>
      <c r="AI1907" s="138"/>
      <c r="AJ1907" s="138"/>
      <c r="AK1907" s="138"/>
      <c r="AL1907" s="142"/>
    </row>
    <row r="1908" ht="20.25" customHeight="1">
      <c r="A1908" s="155" t="str">
        <f>IFERROR(__xludf.DUMMYFUNCTION("""COMPUTED_VALUE"""),"MrNantir")</f>
        <v>MrNantir</v>
      </c>
      <c r="B1908" s="149" t="str">
        <f>IFERROR(__xludf.DUMMYFUNCTION("""COMPUTED_VALUE"""),"Odense, Denmark")</f>
        <v>Odense, Denmark</v>
      </c>
      <c r="C1908" s="149"/>
      <c r="D1908" s="149" t="str">
        <f>IFERROR(__xludf.DUMMYFUNCTION("""COMPUTED_VALUE"""),"Other (include country together with city)")</f>
        <v>Other (include country together with city)</v>
      </c>
      <c r="E1908" s="156">
        <f>IFERROR(__xludf.DUMMYFUNCTION("""COMPUTED_VALUE"""),43595.0)</f>
        <v>43595</v>
      </c>
      <c r="F1908" s="129">
        <f>IFERROR(__xludf.DUMMYFUNCTION("""COMPUTED_VALUE"""),43616.0)</f>
        <v>43616</v>
      </c>
      <c r="G1908" s="154"/>
      <c r="H1908" s="131">
        <f>IFERROR(__xludf.DUMMYFUNCTION("""COMPUTED_VALUE"""),341555.0)</f>
        <v>341555</v>
      </c>
      <c r="I1908" s="144" t="str">
        <f>IFERROR(__xludf.DUMMYFUNCTION("""COMPUTED_VALUE"""),"04/19")</f>
        <v>04/19</v>
      </c>
      <c r="J1908" s="129">
        <f>IFERROR(__xludf.DUMMYFUNCTION("""COMPUTED_VALUE"""),43622.0)</f>
        <v>43622</v>
      </c>
      <c r="K1908" s="133">
        <f>IFERROR(__xludf.DUMMYFUNCTION("""COMPUTED_VALUE"""),21.0)</f>
        <v>21</v>
      </c>
      <c r="L1908" s="133">
        <f>IFERROR(__xludf.DUMMYFUNCTION("""COMPUTED_VALUE"""),6.0)</f>
        <v>6</v>
      </c>
      <c r="M1908" s="133">
        <f>IFERROR(__xludf.DUMMYFUNCTION("""COMPUTED_VALUE"""),27.0)</f>
        <v>27</v>
      </c>
      <c r="N1908" s="152" t="str">
        <f>IFERROR(__xludf.DUMMYFUNCTION("""COMPUTED_VALUE"""),"Model 3 LR AWD")</f>
        <v>Model 3 LR AWD</v>
      </c>
      <c r="O1908" s="152" t="str">
        <f>IFERROR(__xludf.DUMMYFUNCTION("""COMPUTED_VALUE"""),"Deep Blue Metallic")</f>
        <v>Deep Blue Metallic</v>
      </c>
      <c r="P1908" s="153" t="str">
        <f>IFERROR(__xludf.DUMMYFUNCTION("""COMPUTED_VALUE"""),"18 inch Aero")</f>
        <v>18 inch Aero</v>
      </c>
      <c r="Q1908" s="152" t="str">
        <f>IFERROR(__xludf.DUMMYFUNCTION("""COMPUTED_VALUE"""),"Black seats")</f>
        <v>Black seats</v>
      </c>
      <c r="R1908" s="149" t="str">
        <f>IFERROR(__xludf.DUMMYFUNCTION("""COMPUTED_VALUE"""),"Full Self-Driving")</f>
        <v>Full Self-Driving</v>
      </c>
      <c r="S1908" s="149"/>
      <c r="T1908" s="145"/>
      <c r="U1908" s="145"/>
      <c r="V1908" s="145"/>
      <c r="W1908" s="145"/>
      <c r="X1908" s="137" t="str">
        <f>IFERROR(__xludf.DUMMYFUNCTION("""COMPUTED_VALUE"""),"Excellent")</f>
        <v>Excellent</v>
      </c>
      <c r="Y1908" s="138" t="str">
        <f>IFERROR(__xludf.DUMMYFUNCTION("""COMPUTED_VALUE"""),"Excellent")</f>
        <v>Excellent</v>
      </c>
      <c r="Z1908" s="138" t="str">
        <f>IFERROR(__xludf.DUMMYFUNCTION("""COMPUTED_VALUE"""),"Very Good")</f>
        <v>Very Good</v>
      </c>
      <c r="AA1908" s="138" t="str">
        <f>IFERROR(__xludf.DUMMYFUNCTION("""COMPUTED_VALUE"""),"Good")</f>
        <v>Good</v>
      </c>
      <c r="AB1908" s="138" t="str">
        <f>IFERROR(__xludf.DUMMYFUNCTION("""COMPUTED_VALUE"""),"Very Good")</f>
        <v>Very Good</v>
      </c>
      <c r="AC1908" s="139">
        <f>IFERROR(__xludf.DUMMYFUNCTION("""COMPUTED_VALUE"""),2.0)</f>
        <v>2</v>
      </c>
      <c r="AD1908" s="139">
        <f>IFERROR(__xludf.DUMMYFUNCTION("""COMPUTED_VALUE"""),1.0)</f>
        <v>1</v>
      </c>
      <c r="AE1908" s="139">
        <f>IFERROR(__xludf.DUMMYFUNCTION("""COMPUTED_VALUE"""),3.0)</f>
        <v>3</v>
      </c>
      <c r="AF1908" s="140"/>
      <c r="AG1908" s="145"/>
      <c r="AH1908" s="157">
        <f>IFERROR(__xludf.DUMMYFUNCTION("""COMPUTED_VALUE"""),43629.46319322917)</f>
        <v>43629.46319</v>
      </c>
      <c r="AI1908" s="138"/>
      <c r="AJ1908" s="138"/>
      <c r="AK1908" s="138"/>
      <c r="AL1908" s="142"/>
    </row>
    <row r="1909" ht="20.25" customHeight="1">
      <c r="A1909" s="155" t="str">
        <f>IFERROR(__xludf.DUMMYFUNCTION("""COMPUTED_VALUE"""),"PowerLvOver9000")</f>
        <v>PowerLvOver9000</v>
      </c>
      <c r="B1909" s="149" t="str">
        <f>IFERROR(__xludf.DUMMYFUNCTION("""COMPUTED_VALUE"""),"Cleveland")</f>
        <v>Cleveland</v>
      </c>
      <c r="C1909" s="149" t="str">
        <f>IFERROR(__xludf.DUMMYFUNCTION("""COMPUTED_VALUE"""),"OH")</f>
        <v>OH</v>
      </c>
      <c r="D1909" s="149" t="str">
        <f>IFERROR(__xludf.DUMMYFUNCTION("""COMPUTED_VALUE"""),"USA")</f>
        <v>USA</v>
      </c>
      <c r="E1909" s="156">
        <f>IFERROR(__xludf.DUMMYFUNCTION("""COMPUTED_VALUE"""),43595.0)</f>
        <v>43595</v>
      </c>
      <c r="F1909" s="129">
        <f>IFERROR(__xludf.DUMMYFUNCTION("""COMPUTED_VALUE"""),43615.0)</f>
        <v>43615</v>
      </c>
      <c r="G1909" s="154"/>
      <c r="H1909" s="131">
        <f>IFERROR(__xludf.DUMMYFUNCTION("""COMPUTED_VALUE"""),312355.0)</f>
        <v>312355</v>
      </c>
      <c r="I1909" s="132"/>
      <c r="J1909" s="129">
        <f>IFERROR(__xludf.DUMMYFUNCTION("""COMPUTED_VALUE"""),43616.0)</f>
        <v>43616</v>
      </c>
      <c r="K1909" s="133">
        <f>IFERROR(__xludf.DUMMYFUNCTION("""COMPUTED_VALUE"""),20.0)</f>
        <v>20</v>
      </c>
      <c r="L1909" s="133">
        <f>IFERROR(__xludf.DUMMYFUNCTION("""COMPUTED_VALUE"""),1.0)</f>
        <v>1</v>
      </c>
      <c r="M1909" s="133">
        <f>IFERROR(__xludf.DUMMYFUNCTION("""COMPUTED_VALUE"""),21.0)</f>
        <v>21</v>
      </c>
      <c r="N1909" s="152" t="str">
        <f>IFERROR(__xludf.DUMMYFUNCTION("""COMPUTED_VALUE"""),"Model 3 SR+")</f>
        <v>Model 3 SR+</v>
      </c>
      <c r="O1909" s="152" t="str">
        <f>IFERROR(__xludf.DUMMYFUNCTION("""COMPUTED_VALUE"""),"Deep Blue Metallic")</f>
        <v>Deep Blue Metallic</v>
      </c>
      <c r="P1909" s="153" t="str">
        <f>IFERROR(__xludf.DUMMYFUNCTION("""COMPUTED_VALUE"""),"18 inch Aero")</f>
        <v>18 inch Aero</v>
      </c>
      <c r="Q1909" s="152" t="str">
        <f>IFERROR(__xludf.DUMMYFUNCTION("""COMPUTED_VALUE"""),"White seats")</f>
        <v>White seats</v>
      </c>
      <c r="R1909" s="150" t="str">
        <f>IFERROR(__xludf.DUMMYFUNCTION("""COMPUTED_VALUE"""),"Autopilot")</f>
        <v>Autopilot</v>
      </c>
      <c r="S1909" s="150"/>
      <c r="T1909" s="136"/>
      <c r="U1909" s="136"/>
      <c r="V1909" s="136"/>
      <c r="W1909" s="136"/>
      <c r="X1909" s="137" t="str">
        <f>IFERROR(__xludf.DUMMYFUNCTION("""COMPUTED_VALUE"""),"Excellent")</f>
        <v>Excellent</v>
      </c>
      <c r="Y1909" s="138" t="str">
        <f>IFERROR(__xludf.DUMMYFUNCTION("""COMPUTED_VALUE"""),"Excellent")</f>
        <v>Excellent</v>
      </c>
      <c r="Z1909" s="138" t="str">
        <f>IFERROR(__xludf.DUMMYFUNCTION("""COMPUTED_VALUE"""),"Excellent")</f>
        <v>Excellent</v>
      </c>
      <c r="AA1909" s="138" t="str">
        <f>IFERROR(__xludf.DUMMYFUNCTION("""COMPUTED_VALUE"""),"Good")</f>
        <v>Good</v>
      </c>
      <c r="AB1909" s="138" t="str">
        <f>IFERROR(__xludf.DUMMYFUNCTION("""COMPUTED_VALUE"""),"Very Good")</f>
        <v>Very Good</v>
      </c>
      <c r="AC1909" s="139">
        <f>IFERROR(__xludf.DUMMYFUNCTION("""COMPUTED_VALUE"""),1.0)</f>
        <v>1</v>
      </c>
      <c r="AD1909" s="139">
        <f>IFERROR(__xludf.DUMMYFUNCTION("""COMPUTED_VALUE"""),1.0)</f>
        <v>1</v>
      </c>
      <c r="AE1909" s="139">
        <f>IFERROR(__xludf.DUMMYFUNCTION("""COMPUTED_VALUE"""),0.0)</f>
        <v>0</v>
      </c>
      <c r="AF1909" s="140"/>
      <c r="AG1909" s="136"/>
      <c r="AH1909" s="157">
        <f>IFERROR(__xludf.DUMMYFUNCTION("""COMPUTED_VALUE"""),43625.46957674768)</f>
        <v>43625.46958</v>
      </c>
      <c r="AI1909" s="138"/>
      <c r="AJ1909" s="138"/>
      <c r="AK1909" s="138"/>
      <c r="AL1909" s="142"/>
    </row>
    <row r="1910" ht="20.25" customHeight="1">
      <c r="A1910" s="155" t="str">
        <f>IFERROR(__xludf.DUMMYFUNCTION("""COMPUTED_VALUE"""),"SuperW2")</f>
        <v>SuperW2</v>
      </c>
      <c r="B1910" s="149" t="str">
        <f>IFERROR(__xludf.DUMMYFUNCTION("""COMPUTED_VALUE"""),"Scotts Valley")</f>
        <v>Scotts Valley</v>
      </c>
      <c r="C1910" s="149" t="str">
        <f>IFERROR(__xludf.DUMMYFUNCTION("""COMPUTED_VALUE"""),"CA")</f>
        <v>CA</v>
      </c>
      <c r="D1910" s="149" t="str">
        <f>IFERROR(__xludf.DUMMYFUNCTION("""COMPUTED_VALUE"""),"USA")</f>
        <v>USA</v>
      </c>
      <c r="E1910" s="156">
        <f>IFERROR(__xludf.DUMMYFUNCTION("""COMPUTED_VALUE"""),43595.0)</f>
        <v>43595</v>
      </c>
      <c r="F1910" s="129">
        <f>IFERROR(__xludf.DUMMYFUNCTION("""COMPUTED_VALUE"""),43609.0)</f>
        <v>43609</v>
      </c>
      <c r="G1910" s="154"/>
      <c r="H1910" s="131">
        <f>IFERROR(__xludf.DUMMYFUNCTION("""COMPUTED_VALUE"""),195215.0)</f>
        <v>195215</v>
      </c>
      <c r="I1910" s="132"/>
      <c r="J1910" s="129">
        <f>IFERROR(__xludf.DUMMYFUNCTION("""COMPUTED_VALUE"""),43609.0)</f>
        <v>43609</v>
      </c>
      <c r="K1910" s="133">
        <f>IFERROR(__xludf.DUMMYFUNCTION("""COMPUTED_VALUE"""),14.0)</f>
        <v>14</v>
      </c>
      <c r="L1910" s="133">
        <f>IFERROR(__xludf.DUMMYFUNCTION("""COMPUTED_VALUE"""),0.0)</f>
        <v>0</v>
      </c>
      <c r="M1910" s="133">
        <f>IFERROR(__xludf.DUMMYFUNCTION("""COMPUTED_VALUE"""),14.0)</f>
        <v>14</v>
      </c>
      <c r="N1910" s="152" t="str">
        <f>IFERROR(__xludf.DUMMYFUNCTION("""COMPUTED_VALUE"""),"Model 3 LR AWD")</f>
        <v>Model 3 LR AWD</v>
      </c>
      <c r="O1910" s="152" t="str">
        <f>IFERROR(__xludf.DUMMYFUNCTION("""COMPUTED_VALUE"""),"Red Multi-Coat")</f>
        <v>Red Multi-Coat</v>
      </c>
      <c r="P1910" s="153" t="str">
        <f>IFERROR(__xludf.DUMMYFUNCTION("""COMPUTED_VALUE"""),"18 inch Aero")</f>
        <v>18 inch Aero</v>
      </c>
      <c r="Q1910" s="152" t="str">
        <f>IFERROR(__xludf.DUMMYFUNCTION("""COMPUTED_VALUE"""),"White seats")</f>
        <v>White seats</v>
      </c>
      <c r="R1910" s="150" t="str">
        <f>IFERROR(__xludf.DUMMYFUNCTION("""COMPUTED_VALUE"""),"Full Self-Driving")</f>
        <v>Full Self-Driving</v>
      </c>
      <c r="S1910" s="150"/>
      <c r="T1910" s="136"/>
      <c r="U1910" s="136"/>
      <c r="V1910" s="136"/>
      <c r="W1910" s="136"/>
      <c r="X1910" s="137" t="str">
        <f>IFERROR(__xludf.DUMMYFUNCTION("""COMPUTED_VALUE"""),"Excellent")</f>
        <v>Excellent</v>
      </c>
      <c r="Y1910" s="138" t="str">
        <f>IFERROR(__xludf.DUMMYFUNCTION("""COMPUTED_VALUE"""),"Excellent")</f>
        <v>Excellent</v>
      </c>
      <c r="Z1910" s="138" t="str">
        <f>IFERROR(__xludf.DUMMYFUNCTION("""COMPUTED_VALUE"""),"Excellent")</f>
        <v>Excellent</v>
      </c>
      <c r="AA1910" s="138" t="str">
        <f>IFERROR(__xludf.DUMMYFUNCTION("""COMPUTED_VALUE"""),"Poor")</f>
        <v>Poor</v>
      </c>
      <c r="AB1910" s="138" t="str">
        <f>IFERROR(__xludf.DUMMYFUNCTION("""COMPUTED_VALUE"""),"Very Good")</f>
        <v>Very Good</v>
      </c>
      <c r="AC1910" s="139">
        <f>IFERROR(__xludf.DUMMYFUNCTION("""COMPUTED_VALUE"""),0.0)</f>
        <v>0</v>
      </c>
      <c r="AD1910" s="139"/>
      <c r="AE1910" s="139"/>
      <c r="AF1910" s="140"/>
      <c r="AG1910" s="136"/>
      <c r="AH1910" s="157">
        <f>IFERROR(__xludf.DUMMYFUNCTION("""COMPUTED_VALUE"""),43614.93671565973)</f>
        <v>43614.93672</v>
      </c>
      <c r="AI1910" s="138"/>
      <c r="AJ1910" s="138"/>
      <c r="AK1910" s="138"/>
      <c r="AL1910" s="142"/>
    </row>
    <row r="1911" ht="20.25" customHeight="1">
      <c r="A1911" s="155" t="str">
        <f>IFERROR(__xludf.DUMMYFUNCTION("""COMPUTED_VALUE"""),"garnrold54")</f>
        <v>garnrold54</v>
      </c>
      <c r="B1911" s="149" t="str">
        <f>IFERROR(__xludf.DUMMYFUNCTION("""COMPUTED_VALUE"""),"Vancouver")</f>
        <v>Vancouver</v>
      </c>
      <c r="C1911" s="149" t="str">
        <f>IFERROR(__xludf.DUMMYFUNCTION("""COMPUTED_VALUE"""),"BC")</f>
        <v>BC</v>
      </c>
      <c r="D1911" s="149" t="str">
        <f>IFERROR(__xludf.DUMMYFUNCTION("""COMPUTED_VALUE"""),"Canada")</f>
        <v>Canada</v>
      </c>
      <c r="E1911" s="156">
        <f>IFERROR(__xludf.DUMMYFUNCTION("""COMPUTED_VALUE"""),43594.0)</f>
        <v>43594</v>
      </c>
      <c r="F1911" s="129">
        <f>IFERROR(__xludf.DUMMYFUNCTION("""COMPUTED_VALUE"""),43623.0)</f>
        <v>43623</v>
      </c>
      <c r="G1911" s="154"/>
      <c r="H1911" s="131">
        <f>IFERROR(__xludf.DUMMYFUNCTION("""COMPUTED_VALUE"""),419043.0)</f>
        <v>419043</v>
      </c>
      <c r="I1911" s="132" t="str">
        <f>IFERROR(__xludf.DUMMYFUNCTION("""COMPUTED_VALUE"""),"05/19")</f>
        <v>05/19</v>
      </c>
      <c r="J1911" s="129">
        <f>IFERROR(__xludf.DUMMYFUNCTION("""COMPUTED_VALUE"""),43630.0)</f>
        <v>43630</v>
      </c>
      <c r="K1911" s="133">
        <f>IFERROR(__xludf.DUMMYFUNCTION("""COMPUTED_VALUE"""),29.0)</f>
        <v>29</v>
      </c>
      <c r="L1911" s="133">
        <f>IFERROR(__xludf.DUMMYFUNCTION("""COMPUTED_VALUE"""),7.0)</f>
        <v>7</v>
      </c>
      <c r="M1911" s="133">
        <f>IFERROR(__xludf.DUMMYFUNCTION("""COMPUTED_VALUE"""),36.0)</f>
        <v>36</v>
      </c>
      <c r="N1911" s="152" t="str">
        <f>IFERROR(__xludf.DUMMYFUNCTION("""COMPUTED_VALUE"""),"Model 3 SR+")</f>
        <v>Model 3 SR+</v>
      </c>
      <c r="O1911" s="152" t="str">
        <f>IFERROR(__xludf.DUMMYFUNCTION("""COMPUTED_VALUE"""),"Red Multi-Coat")</f>
        <v>Red Multi-Coat</v>
      </c>
      <c r="P1911" s="153" t="str">
        <f>IFERROR(__xludf.DUMMYFUNCTION("""COMPUTED_VALUE"""),"18 inch Aero")</f>
        <v>18 inch Aero</v>
      </c>
      <c r="Q1911" s="152" t="str">
        <f>IFERROR(__xludf.DUMMYFUNCTION("""COMPUTED_VALUE"""),"Black seats")</f>
        <v>Black seats</v>
      </c>
      <c r="R1911" s="150" t="str">
        <f>IFERROR(__xludf.DUMMYFUNCTION("""COMPUTED_VALUE"""),"Autopilot")</f>
        <v>Autopilot</v>
      </c>
      <c r="S1911" s="150"/>
      <c r="T1911" s="145"/>
      <c r="U1911" s="145"/>
      <c r="V1911" s="145"/>
      <c r="W1911" s="145"/>
      <c r="X1911" s="137" t="str">
        <f>IFERROR(__xludf.DUMMYFUNCTION("""COMPUTED_VALUE"""),"Excellent")</f>
        <v>Excellent</v>
      </c>
      <c r="Y1911" s="138" t="str">
        <f>IFERROR(__xludf.DUMMYFUNCTION("""COMPUTED_VALUE"""),"Very Good")</f>
        <v>Very Good</v>
      </c>
      <c r="Z1911" s="138" t="str">
        <f>IFERROR(__xludf.DUMMYFUNCTION("""COMPUTED_VALUE"""),"Very Good")</f>
        <v>Very Good</v>
      </c>
      <c r="AA1911" s="138" t="str">
        <f>IFERROR(__xludf.DUMMYFUNCTION("""COMPUTED_VALUE"""),"Good")</f>
        <v>Good</v>
      </c>
      <c r="AB1911" s="138" t="str">
        <f>IFERROR(__xludf.DUMMYFUNCTION("""COMPUTED_VALUE"""),"Good")</f>
        <v>Good</v>
      </c>
      <c r="AC1911" s="139"/>
      <c r="AD1911" s="139"/>
      <c r="AE1911" s="139"/>
      <c r="AF1911" s="140"/>
      <c r="AG1911" s="145"/>
      <c r="AH1911" s="157">
        <f>IFERROR(__xludf.DUMMYFUNCTION("""COMPUTED_VALUE"""),43640.59793144676)</f>
        <v>43640.59793</v>
      </c>
      <c r="AI1911" s="138"/>
      <c r="AJ1911" s="138"/>
      <c r="AK1911" s="138"/>
      <c r="AL1911" s="142"/>
    </row>
    <row r="1912" ht="20.25" customHeight="1">
      <c r="A1912" s="155" t="str">
        <f>IFERROR(__xludf.DUMMYFUNCTION("""COMPUTED_VALUE"""),"HWEL")</f>
        <v>HWEL</v>
      </c>
      <c r="B1912" s="149" t="str">
        <f>IFERROR(__xludf.DUMMYFUNCTION("""COMPUTED_VALUE"""),"Madrid")</f>
        <v>Madrid</v>
      </c>
      <c r="C1912" s="149"/>
      <c r="D1912" s="149" t="str">
        <f>IFERROR(__xludf.DUMMYFUNCTION("""COMPUTED_VALUE"""),"Spain")</f>
        <v>Spain</v>
      </c>
      <c r="E1912" s="156">
        <f>IFERROR(__xludf.DUMMYFUNCTION("""COMPUTED_VALUE"""),43594.0)</f>
        <v>43594</v>
      </c>
      <c r="F1912" s="129">
        <f>IFERROR(__xludf.DUMMYFUNCTION("""COMPUTED_VALUE"""),43631.0)</f>
        <v>43631</v>
      </c>
      <c r="G1912" s="154"/>
      <c r="H1912" s="131">
        <f>IFERROR(__xludf.DUMMYFUNCTION("""COMPUTED_VALUE"""),320555.0)</f>
        <v>320555</v>
      </c>
      <c r="I1912" s="144"/>
      <c r="J1912" s="129">
        <f>IFERROR(__xludf.DUMMYFUNCTION("""COMPUTED_VALUE"""),43643.0)</f>
        <v>43643</v>
      </c>
      <c r="K1912" s="133">
        <f>IFERROR(__xludf.DUMMYFUNCTION("""COMPUTED_VALUE"""),37.0)</f>
        <v>37</v>
      </c>
      <c r="L1912" s="133">
        <f>IFERROR(__xludf.DUMMYFUNCTION("""COMPUTED_VALUE"""),12.0)</f>
        <v>12</v>
      </c>
      <c r="M1912" s="133">
        <f>IFERROR(__xludf.DUMMYFUNCTION("""COMPUTED_VALUE"""),49.0)</f>
        <v>49</v>
      </c>
      <c r="N1912" s="152" t="str">
        <f>IFERROR(__xludf.DUMMYFUNCTION("""COMPUTED_VALUE"""),"Model 3 LR AWD")</f>
        <v>Model 3 LR AWD</v>
      </c>
      <c r="O1912" s="152" t="str">
        <f>IFERROR(__xludf.DUMMYFUNCTION("""COMPUTED_VALUE"""),"Red Multi-Coat")</f>
        <v>Red Multi-Coat</v>
      </c>
      <c r="P1912" s="153" t="str">
        <f>IFERROR(__xludf.DUMMYFUNCTION("""COMPUTED_VALUE"""),"19 inch Sport")</f>
        <v>19 inch Sport</v>
      </c>
      <c r="Q1912" s="152" t="str">
        <f>IFERROR(__xludf.DUMMYFUNCTION("""COMPUTED_VALUE"""),"Black seats")</f>
        <v>Black seats</v>
      </c>
      <c r="R1912" s="149" t="str">
        <f>IFERROR(__xludf.DUMMYFUNCTION("""COMPUTED_VALUE"""),"Full Self-Driving")</f>
        <v>Full Self-Driving</v>
      </c>
      <c r="S1912" s="149"/>
      <c r="T1912" s="145"/>
      <c r="U1912" s="145"/>
      <c r="V1912" s="145"/>
      <c r="W1912" s="145"/>
      <c r="X1912" s="137" t="str">
        <f>IFERROR(__xludf.DUMMYFUNCTION("""COMPUTED_VALUE"""),"Very Good")</f>
        <v>Very Good</v>
      </c>
      <c r="Y1912" s="138" t="str">
        <f>IFERROR(__xludf.DUMMYFUNCTION("""COMPUTED_VALUE"""),"Very Good")</f>
        <v>Very Good</v>
      </c>
      <c r="Z1912" s="138" t="str">
        <f>IFERROR(__xludf.DUMMYFUNCTION("""COMPUTED_VALUE"""),"Good")</f>
        <v>Good</v>
      </c>
      <c r="AA1912" s="138" t="str">
        <f>IFERROR(__xludf.DUMMYFUNCTION("""COMPUTED_VALUE"""),"Very Good")</f>
        <v>Very Good</v>
      </c>
      <c r="AB1912" s="138" t="str">
        <f>IFERROR(__xludf.DUMMYFUNCTION("""COMPUTED_VALUE"""),"Good")</f>
        <v>Good</v>
      </c>
      <c r="AC1912" s="139">
        <f>IFERROR(__xludf.DUMMYFUNCTION("""COMPUTED_VALUE"""),2.0)</f>
        <v>2</v>
      </c>
      <c r="AD1912" s="139"/>
      <c r="AE1912" s="139">
        <f>IFERROR(__xludf.DUMMYFUNCTION("""COMPUTED_VALUE"""),0.0)</f>
        <v>0</v>
      </c>
      <c r="AF1912" s="140"/>
      <c r="AG1912" s="145"/>
      <c r="AH1912" s="157">
        <f>IFERROR(__xludf.DUMMYFUNCTION("""COMPUTED_VALUE"""),43647.03483626158)</f>
        <v>43647.03484</v>
      </c>
      <c r="AI1912" s="138"/>
      <c r="AJ1912" s="138"/>
      <c r="AK1912" s="138"/>
      <c r="AL1912" s="142"/>
    </row>
    <row r="1913" ht="20.25" customHeight="1">
      <c r="A1913" s="155" t="str">
        <f>IFERROR(__xludf.DUMMYFUNCTION("""COMPUTED_VALUE"""),"CabaSw")</f>
        <v>CabaSw</v>
      </c>
      <c r="B1913" s="149" t="str">
        <f>IFERROR(__xludf.DUMMYFUNCTION("""COMPUTED_VALUE"""),"Campbell")</f>
        <v>Campbell</v>
      </c>
      <c r="C1913" s="149" t="str">
        <f>IFERROR(__xludf.DUMMYFUNCTION("""COMPUTED_VALUE"""),"CA")</f>
        <v>CA</v>
      </c>
      <c r="D1913" s="149" t="str">
        <f>IFERROR(__xludf.DUMMYFUNCTION("""COMPUTED_VALUE"""),"USA")</f>
        <v>USA</v>
      </c>
      <c r="E1913" s="156">
        <f>IFERROR(__xludf.DUMMYFUNCTION("""COMPUTED_VALUE"""),43593.0)</f>
        <v>43593</v>
      </c>
      <c r="F1913" s="129">
        <f>IFERROR(__xludf.DUMMYFUNCTION("""COMPUTED_VALUE"""),43619.0)</f>
        <v>43619</v>
      </c>
      <c r="G1913" s="154"/>
      <c r="H1913" s="131">
        <f>IFERROR(__xludf.DUMMYFUNCTION("""COMPUTED_VALUE"""),393555.0)</f>
        <v>393555</v>
      </c>
      <c r="I1913" s="160"/>
      <c r="J1913" s="129">
        <f>IFERROR(__xludf.DUMMYFUNCTION("""COMPUTED_VALUE"""),43622.0)</f>
        <v>43622</v>
      </c>
      <c r="K1913" s="133">
        <f>IFERROR(__xludf.DUMMYFUNCTION("""COMPUTED_VALUE"""),26.0)</f>
        <v>26</v>
      </c>
      <c r="L1913" s="133">
        <f>IFERROR(__xludf.DUMMYFUNCTION("""COMPUTED_VALUE"""),3.0)</f>
        <v>3</v>
      </c>
      <c r="M1913" s="133">
        <f>IFERROR(__xludf.DUMMYFUNCTION("""COMPUTED_VALUE"""),29.0)</f>
        <v>29</v>
      </c>
      <c r="N1913" s="152" t="str">
        <f>IFERROR(__xludf.DUMMYFUNCTION("""COMPUTED_VALUE"""),"Model 3 Performance")</f>
        <v>Model 3 Performance</v>
      </c>
      <c r="O1913" s="152" t="str">
        <f>IFERROR(__xludf.DUMMYFUNCTION("""COMPUTED_VALUE"""),"Red Multi-Coat")</f>
        <v>Red Multi-Coat</v>
      </c>
      <c r="P1913" s="153" t="str">
        <f>IFERROR(__xludf.DUMMYFUNCTION("""COMPUTED_VALUE"""),"20 inch Sport")</f>
        <v>20 inch Sport</v>
      </c>
      <c r="Q1913" s="152" t="str">
        <f>IFERROR(__xludf.DUMMYFUNCTION("""COMPUTED_VALUE"""),"White seats")</f>
        <v>White seats</v>
      </c>
      <c r="R1913" s="159" t="str">
        <f>IFERROR(__xludf.DUMMYFUNCTION("""COMPUTED_VALUE"""),"Full Self-Driving")</f>
        <v>Full Self-Driving</v>
      </c>
      <c r="S1913" s="159"/>
      <c r="T1913" s="145"/>
      <c r="U1913" s="145"/>
      <c r="V1913" s="145"/>
      <c r="W1913" s="136"/>
      <c r="X1913" s="137" t="str">
        <f>IFERROR(__xludf.DUMMYFUNCTION("""COMPUTED_VALUE"""),"Very Good")</f>
        <v>Very Good</v>
      </c>
      <c r="Y1913" s="138" t="str">
        <f>IFERROR(__xludf.DUMMYFUNCTION("""COMPUTED_VALUE"""),"Excellent")</f>
        <v>Excellent</v>
      </c>
      <c r="Z1913" s="138" t="str">
        <f>IFERROR(__xludf.DUMMYFUNCTION("""COMPUTED_VALUE"""),"Good")</f>
        <v>Good</v>
      </c>
      <c r="AA1913" s="138" t="str">
        <f>IFERROR(__xludf.DUMMYFUNCTION("""COMPUTED_VALUE"""),"Poor")</f>
        <v>Poor</v>
      </c>
      <c r="AB1913" s="138" t="str">
        <f>IFERROR(__xludf.DUMMYFUNCTION("""COMPUTED_VALUE"""),"Good")</f>
        <v>Good</v>
      </c>
      <c r="AC1913" s="139">
        <f>IFERROR(__xludf.DUMMYFUNCTION("""COMPUTED_VALUE"""),1.0)</f>
        <v>1</v>
      </c>
      <c r="AD1913" s="139">
        <f>IFERROR(__xludf.DUMMYFUNCTION("""COMPUTED_VALUE"""),1.0)</f>
        <v>1</v>
      </c>
      <c r="AE1913" s="139"/>
      <c r="AF1913" s="140"/>
      <c r="AG1913" s="136"/>
      <c r="AH1913" s="157">
        <f>IFERROR(__xludf.DUMMYFUNCTION("""COMPUTED_VALUE"""),43623.90671423611)</f>
        <v>43623.90671</v>
      </c>
      <c r="AI1913" s="138"/>
      <c r="AJ1913" s="138"/>
      <c r="AK1913" s="138"/>
      <c r="AL1913" s="142"/>
    </row>
    <row r="1914" ht="20.25" customHeight="1">
      <c r="A1914" s="155" t="str">
        <f>IFERROR(__xludf.DUMMYFUNCTION("""COMPUTED_VALUE"""),"CarolsTesla")</f>
        <v>CarolsTesla</v>
      </c>
      <c r="B1914" s="149" t="str">
        <f>IFERROR(__xludf.DUMMYFUNCTION("""COMPUTED_VALUE"""),"Lafayette ")</f>
        <v>Lafayette </v>
      </c>
      <c r="C1914" s="149" t="str">
        <f>IFERROR(__xludf.DUMMYFUNCTION("""COMPUTED_VALUE"""),"IN")</f>
        <v>IN</v>
      </c>
      <c r="D1914" s="149" t="str">
        <f>IFERROR(__xludf.DUMMYFUNCTION("""COMPUTED_VALUE"""),"USA")</f>
        <v>USA</v>
      </c>
      <c r="E1914" s="156">
        <f>IFERROR(__xludf.DUMMYFUNCTION("""COMPUTED_VALUE"""),43593.0)</f>
        <v>43593</v>
      </c>
      <c r="F1914" s="129">
        <f>IFERROR(__xludf.DUMMYFUNCTION("""COMPUTED_VALUE"""),43614.0)</f>
        <v>43614</v>
      </c>
      <c r="G1914" s="154"/>
      <c r="H1914" s="131">
        <f>IFERROR(__xludf.DUMMYFUNCTION("""COMPUTED_VALUE"""),194955.0)</f>
        <v>194955</v>
      </c>
      <c r="I1914" s="132" t="str">
        <f>IFERROR(__xludf.DUMMYFUNCTION("""COMPUTED_VALUE"""),"05/19")</f>
        <v>05/19</v>
      </c>
      <c r="J1914" s="129">
        <f>IFERROR(__xludf.DUMMYFUNCTION("""COMPUTED_VALUE"""),43621.0)</f>
        <v>43621</v>
      </c>
      <c r="K1914" s="133">
        <f>IFERROR(__xludf.DUMMYFUNCTION("""COMPUTED_VALUE"""),21.0)</f>
        <v>21</v>
      </c>
      <c r="L1914" s="133">
        <f>IFERROR(__xludf.DUMMYFUNCTION("""COMPUTED_VALUE"""),7.0)</f>
        <v>7</v>
      </c>
      <c r="M1914" s="133">
        <f>IFERROR(__xludf.DUMMYFUNCTION("""COMPUTED_VALUE"""),28.0)</f>
        <v>28</v>
      </c>
      <c r="N1914" s="152" t="str">
        <f>IFERROR(__xludf.DUMMYFUNCTION("""COMPUTED_VALUE"""),"Model 3 LR AWD")</f>
        <v>Model 3 LR AWD</v>
      </c>
      <c r="O1914" s="152" t="str">
        <f>IFERROR(__xludf.DUMMYFUNCTION("""COMPUTED_VALUE"""),"Deep Blue Metallic")</f>
        <v>Deep Blue Metallic</v>
      </c>
      <c r="P1914" s="153" t="str">
        <f>IFERROR(__xludf.DUMMYFUNCTION("""COMPUTED_VALUE"""),"18 inch Aero")</f>
        <v>18 inch Aero</v>
      </c>
      <c r="Q1914" s="152" t="str">
        <f>IFERROR(__xludf.DUMMYFUNCTION("""COMPUTED_VALUE"""),"White seats")</f>
        <v>White seats</v>
      </c>
      <c r="R1914" s="150" t="str">
        <f>IFERROR(__xludf.DUMMYFUNCTION("""COMPUTED_VALUE"""),"Full Self-Driving")</f>
        <v>Full Self-Driving</v>
      </c>
      <c r="S1914" s="150"/>
      <c r="T1914" s="136"/>
      <c r="U1914" s="136"/>
      <c r="V1914" s="136"/>
      <c r="W1914" s="136"/>
      <c r="X1914" s="137" t="str">
        <f>IFERROR(__xludf.DUMMYFUNCTION("""COMPUTED_VALUE"""),"Excellent")</f>
        <v>Excellent</v>
      </c>
      <c r="Y1914" s="138" t="str">
        <f>IFERROR(__xludf.DUMMYFUNCTION("""COMPUTED_VALUE"""),"Excellent")</f>
        <v>Excellent</v>
      </c>
      <c r="Z1914" s="138" t="str">
        <f>IFERROR(__xludf.DUMMYFUNCTION("""COMPUTED_VALUE"""),"Excellent")</f>
        <v>Excellent</v>
      </c>
      <c r="AA1914" s="138" t="str">
        <f>IFERROR(__xludf.DUMMYFUNCTION("""COMPUTED_VALUE"""),"Good")</f>
        <v>Good</v>
      </c>
      <c r="AB1914" s="138" t="str">
        <f>IFERROR(__xludf.DUMMYFUNCTION("""COMPUTED_VALUE"""),"Very Good")</f>
        <v>Very Good</v>
      </c>
      <c r="AC1914" s="139"/>
      <c r="AD1914" s="139"/>
      <c r="AE1914" s="139"/>
      <c r="AF1914" s="140"/>
      <c r="AG1914" s="136"/>
      <c r="AH1914" s="157">
        <f>IFERROR(__xludf.DUMMYFUNCTION("""COMPUTED_VALUE"""),43626.47848603009)</f>
        <v>43626.47849</v>
      </c>
      <c r="AI1914" s="138"/>
      <c r="AJ1914" s="138"/>
      <c r="AK1914" s="138"/>
      <c r="AL1914" s="142"/>
    </row>
    <row r="1915" ht="20.25" customHeight="1">
      <c r="A1915" s="155" t="str">
        <f>IFERROR(__xludf.DUMMYFUNCTION("""COMPUTED_VALUE"""),"obiii")</f>
        <v>obiii</v>
      </c>
      <c r="B1915" s="149" t="str">
        <f>IFERROR(__xludf.DUMMYFUNCTION("""COMPUTED_VALUE"""),"Bellevue")</f>
        <v>Bellevue</v>
      </c>
      <c r="C1915" s="149" t="str">
        <f>IFERROR(__xludf.DUMMYFUNCTION("""COMPUTED_VALUE"""),"WA")</f>
        <v>WA</v>
      </c>
      <c r="D1915" s="149" t="str">
        <f>IFERROR(__xludf.DUMMYFUNCTION("""COMPUTED_VALUE"""),"USA")</f>
        <v>USA</v>
      </c>
      <c r="E1915" s="156">
        <f>IFERROR(__xludf.DUMMYFUNCTION("""COMPUTED_VALUE"""),43593.0)</f>
        <v>43593</v>
      </c>
      <c r="F1915" s="129">
        <f>IFERROR(__xludf.DUMMYFUNCTION("""COMPUTED_VALUE"""),43622.0)</f>
        <v>43622</v>
      </c>
      <c r="G1915" s="154"/>
      <c r="H1915" s="131">
        <f>IFERROR(__xludf.DUMMYFUNCTION("""COMPUTED_VALUE"""),419901.0)</f>
        <v>419901</v>
      </c>
      <c r="I1915" s="144" t="str">
        <f>IFERROR(__xludf.DUMMYFUNCTION("""COMPUTED_VALUE"""),"06/19")</f>
        <v>06/19</v>
      </c>
      <c r="J1915" s="129">
        <f>IFERROR(__xludf.DUMMYFUNCTION("""COMPUTED_VALUE"""),43626.0)</f>
        <v>43626</v>
      </c>
      <c r="K1915" s="133">
        <f>IFERROR(__xludf.DUMMYFUNCTION("""COMPUTED_VALUE"""),29.0)</f>
        <v>29</v>
      </c>
      <c r="L1915" s="133">
        <f>IFERROR(__xludf.DUMMYFUNCTION("""COMPUTED_VALUE"""),4.0)</f>
        <v>4</v>
      </c>
      <c r="M1915" s="133">
        <f>IFERROR(__xludf.DUMMYFUNCTION("""COMPUTED_VALUE"""),33.0)</f>
        <v>33</v>
      </c>
      <c r="N1915" s="152" t="str">
        <f>IFERROR(__xludf.DUMMYFUNCTION("""COMPUTED_VALUE"""),"Model 3 Performance")</f>
        <v>Model 3 Performance</v>
      </c>
      <c r="O1915" s="152" t="str">
        <f>IFERROR(__xludf.DUMMYFUNCTION("""COMPUTED_VALUE"""),"Pearl White Multi-Coat")</f>
        <v>Pearl White Multi-Coat</v>
      </c>
      <c r="P1915" s="153" t="str">
        <f>IFERROR(__xludf.DUMMYFUNCTION("""COMPUTED_VALUE"""),"20 inch Sport")</f>
        <v>20 inch Sport</v>
      </c>
      <c r="Q1915" s="152" t="str">
        <f>IFERROR(__xludf.DUMMYFUNCTION("""COMPUTED_VALUE"""),"Black seats")</f>
        <v>Black seats</v>
      </c>
      <c r="R1915" s="149" t="str">
        <f>IFERROR(__xludf.DUMMYFUNCTION("""COMPUTED_VALUE"""),"Full Self-Driving")</f>
        <v>Full Self-Driving</v>
      </c>
      <c r="S1915" s="149"/>
      <c r="T1915" s="145"/>
      <c r="U1915" s="145"/>
      <c r="V1915" s="145"/>
      <c r="W1915" s="145"/>
      <c r="X1915" s="137" t="str">
        <f>IFERROR(__xludf.DUMMYFUNCTION("""COMPUTED_VALUE"""),"Poor")</f>
        <v>Poor</v>
      </c>
      <c r="Y1915" s="138" t="str">
        <f>IFERROR(__xludf.DUMMYFUNCTION("""COMPUTED_VALUE"""),"Good")</f>
        <v>Good</v>
      </c>
      <c r="Z1915" s="138" t="str">
        <f>IFERROR(__xludf.DUMMYFUNCTION("""COMPUTED_VALUE"""),"Poor")</f>
        <v>Poor</v>
      </c>
      <c r="AA1915" s="138" t="str">
        <f>IFERROR(__xludf.DUMMYFUNCTION("""COMPUTED_VALUE"""),"Poor")</f>
        <v>Poor</v>
      </c>
      <c r="AB1915" s="138" t="str">
        <f>IFERROR(__xludf.DUMMYFUNCTION("""COMPUTED_VALUE"""),"Fair")</f>
        <v>Fair</v>
      </c>
      <c r="AC1915" s="139">
        <f>IFERROR(__xludf.DUMMYFUNCTION("""COMPUTED_VALUE"""),5.0)</f>
        <v>5</v>
      </c>
      <c r="AD1915" s="139">
        <f>IFERROR(__xludf.DUMMYFUNCTION("""COMPUTED_VALUE"""),1.0)</f>
        <v>1</v>
      </c>
      <c r="AE1915" s="139">
        <f>IFERROR(__xludf.DUMMYFUNCTION("""COMPUTED_VALUE"""),1.0)</f>
        <v>1</v>
      </c>
      <c r="AF1915" s="140"/>
      <c r="AG1915" s="145" t="str">
        <f>IFERROR(__xludf.DUMMYFUNCTION("""COMPUTED_VALUE"""),"frunk gap is inconsistent with front bumper, paint blemishes on read drivers quarter panel, paint was scratched on rear bumper, taillight gaps is wider on drivers side")</f>
        <v>frunk gap is inconsistent with front bumper, paint blemishes on read drivers quarter panel, paint was scratched on rear bumper, taillight gaps is wider on drivers side</v>
      </c>
      <c r="AH1915" s="157">
        <f>IFERROR(__xludf.DUMMYFUNCTION("""COMPUTED_VALUE"""),43628.91696945602)</f>
        <v>43628.91697</v>
      </c>
      <c r="AI1915" s="138"/>
      <c r="AJ1915" s="138"/>
      <c r="AK1915" s="138"/>
      <c r="AL1915" s="142"/>
    </row>
    <row r="1916" ht="20.25" customHeight="1">
      <c r="A1916" s="155" t="str">
        <f>IFERROR(__xludf.DUMMYFUNCTION("""COMPUTED_VALUE"""),"Gadget")</f>
        <v>Gadget</v>
      </c>
      <c r="B1916" s="149" t="str">
        <f>IFERROR(__xludf.DUMMYFUNCTION("""COMPUTED_VALUE"""),"Denver")</f>
        <v>Denver</v>
      </c>
      <c r="C1916" s="149" t="str">
        <f>IFERROR(__xludf.DUMMYFUNCTION("""COMPUTED_VALUE"""),"CO")</f>
        <v>CO</v>
      </c>
      <c r="D1916" s="149" t="str">
        <f>IFERROR(__xludf.DUMMYFUNCTION("""COMPUTED_VALUE"""),"USA")</f>
        <v>USA</v>
      </c>
      <c r="E1916" s="156">
        <f>IFERROR(__xludf.DUMMYFUNCTION("""COMPUTED_VALUE"""),43592.0)</f>
        <v>43592</v>
      </c>
      <c r="F1916" s="129">
        <f>IFERROR(__xludf.DUMMYFUNCTION("""COMPUTED_VALUE"""),43598.0)</f>
        <v>43598</v>
      </c>
      <c r="G1916" s="154"/>
      <c r="H1916" s="131">
        <f>IFERROR(__xludf.DUMMYFUNCTION("""COMPUTED_VALUE"""),211855.0)</f>
        <v>211855</v>
      </c>
      <c r="I1916" s="144"/>
      <c r="J1916" s="129">
        <f>IFERROR(__xludf.DUMMYFUNCTION("""COMPUTED_VALUE"""),43601.0)</f>
        <v>43601</v>
      </c>
      <c r="K1916" s="133">
        <f>IFERROR(__xludf.DUMMYFUNCTION("""COMPUTED_VALUE"""),6.0)</f>
        <v>6</v>
      </c>
      <c r="L1916" s="133">
        <f>IFERROR(__xludf.DUMMYFUNCTION("""COMPUTED_VALUE"""),3.0)</f>
        <v>3</v>
      </c>
      <c r="M1916" s="133">
        <f>IFERROR(__xludf.DUMMYFUNCTION("""COMPUTED_VALUE"""),9.0)</f>
        <v>9</v>
      </c>
      <c r="N1916" s="152" t="str">
        <f>IFERROR(__xludf.DUMMYFUNCTION("""COMPUTED_VALUE"""),"Model 3 LR AWD")</f>
        <v>Model 3 LR AWD</v>
      </c>
      <c r="O1916" s="152" t="str">
        <f>IFERROR(__xludf.DUMMYFUNCTION("""COMPUTED_VALUE"""),"Pearl White Multi-Coat")</f>
        <v>Pearl White Multi-Coat</v>
      </c>
      <c r="P1916" s="153" t="str">
        <f>IFERROR(__xludf.DUMMYFUNCTION("""COMPUTED_VALUE"""),"18 inch Aero")</f>
        <v>18 inch Aero</v>
      </c>
      <c r="Q1916" s="152" t="str">
        <f>IFERROR(__xludf.DUMMYFUNCTION("""COMPUTED_VALUE"""),"Black seats")</f>
        <v>Black seats</v>
      </c>
      <c r="R1916" s="149" t="str">
        <f>IFERROR(__xludf.DUMMYFUNCTION("""COMPUTED_VALUE"""),"Full Self-Driving")</f>
        <v>Full Self-Driving</v>
      </c>
      <c r="S1916" s="149"/>
      <c r="T1916" s="145"/>
      <c r="U1916" s="145"/>
      <c r="V1916" s="145"/>
      <c r="W1916" s="136"/>
      <c r="X1916" s="137" t="str">
        <f>IFERROR(__xludf.DUMMYFUNCTION("""COMPUTED_VALUE"""),"Excellent")</f>
        <v>Excellent</v>
      </c>
      <c r="Y1916" s="138" t="str">
        <f>IFERROR(__xludf.DUMMYFUNCTION("""COMPUTED_VALUE"""),"Excellent")</f>
        <v>Excellent</v>
      </c>
      <c r="Z1916" s="138" t="str">
        <f>IFERROR(__xludf.DUMMYFUNCTION("""COMPUTED_VALUE"""),"Very Good")</f>
        <v>Very Good</v>
      </c>
      <c r="AA1916" s="138" t="str">
        <f>IFERROR(__xludf.DUMMYFUNCTION("""COMPUTED_VALUE"""),"Very Good")</f>
        <v>Very Good</v>
      </c>
      <c r="AB1916" s="138" t="str">
        <f>IFERROR(__xludf.DUMMYFUNCTION("""COMPUTED_VALUE"""),"Good")</f>
        <v>Good</v>
      </c>
      <c r="AC1916" s="139"/>
      <c r="AD1916" s="139"/>
      <c r="AE1916" s="139"/>
      <c r="AF1916" s="140"/>
      <c r="AG1916" s="136"/>
      <c r="AH1916" s="157">
        <f>IFERROR(__xludf.DUMMYFUNCTION("""COMPUTED_VALUE"""),43602.376174201396)</f>
        <v>43602.37617</v>
      </c>
      <c r="AI1916" s="138"/>
      <c r="AJ1916" s="138"/>
      <c r="AK1916" s="138"/>
      <c r="AL1916" s="142"/>
    </row>
    <row r="1917" ht="20.25" customHeight="1">
      <c r="A1917" s="155" t="str">
        <f>IFERROR(__xludf.DUMMYFUNCTION("""COMPUTED_VALUE"""),"toshiblue")</f>
        <v>toshiblue</v>
      </c>
      <c r="B1917" s="149" t="str">
        <f>IFERROR(__xludf.DUMMYFUNCTION("""COMPUTED_VALUE"""),"Chicago")</f>
        <v>Chicago</v>
      </c>
      <c r="C1917" s="149" t="str">
        <f>IFERROR(__xludf.DUMMYFUNCTION("""COMPUTED_VALUE"""),"IL")</f>
        <v>IL</v>
      </c>
      <c r="D1917" s="149" t="str">
        <f>IFERROR(__xludf.DUMMYFUNCTION("""COMPUTED_VALUE"""),"USA")</f>
        <v>USA</v>
      </c>
      <c r="E1917" s="156">
        <f>IFERROR(__xludf.DUMMYFUNCTION("""COMPUTED_VALUE"""),43592.0)</f>
        <v>43592</v>
      </c>
      <c r="F1917" s="129">
        <f>IFERROR(__xludf.DUMMYFUNCTION("""COMPUTED_VALUE"""),43619.0)</f>
        <v>43619</v>
      </c>
      <c r="G1917" s="154"/>
      <c r="H1917" s="131">
        <f>IFERROR(__xludf.DUMMYFUNCTION("""COMPUTED_VALUE"""),391055.0)</f>
        <v>391055</v>
      </c>
      <c r="I1917" s="132"/>
      <c r="J1917" s="129">
        <f>IFERROR(__xludf.DUMMYFUNCTION("""COMPUTED_VALUE"""),43620.0)</f>
        <v>43620</v>
      </c>
      <c r="K1917" s="133">
        <f>IFERROR(__xludf.DUMMYFUNCTION("""COMPUTED_VALUE"""),27.0)</f>
        <v>27</v>
      </c>
      <c r="L1917" s="133">
        <f>IFERROR(__xludf.DUMMYFUNCTION("""COMPUTED_VALUE"""),1.0)</f>
        <v>1</v>
      </c>
      <c r="M1917" s="133">
        <f>IFERROR(__xludf.DUMMYFUNCTION("""COMPUTED_VALUE"""),28.0)</f>
        <v>28</v>
      </c>
      <c r="N1917" s="152" t="str">
        <f>IFERROR(__xludf.DUMMYFUNCTION("""COMPUTED_VALUE"""),"Model 3 LR AWD")</f>
        <v>Model 3 LR AWD</v>
      </c>
      <c r="O1917" s="152" t="str">
        <f>IFERROR(__xludf.DUMMYFUNCTION("""COMPUTED_VALUE"""),"Deep Blue Metallic")</f>
        <v>Deep Blue Metallic</v>
      </c>
      <c r="P1917" s="153" t="str">
        <f>IFERROR(__xludf.DUMMYFUNCTION("""COMPUTED_VALUE"""),"18 inch Aero")</f>
        <v>18 inch Aero</v>
      </c>
      <c r="Q1917" s="152" t="str">
        <f>IFERROR(__xludf.DUMMYFUNCTION("""COMPUTED_VALUE"""),"White seats")</f>
        <v>White seats</v>
      </c>
      <c r="R1917" s="150" t="str">
        <f>IFERROR(__xludf.DUMMYFUNCTION("""COMPUTED_VALUE"""),"Autopilot")</f>
        <v>Autopilot</v>
      </c>
      <c r="S1917" s="150"/>
      <c r="T1917" s="136"/>
      <c r="U1917" s="136"/>
      <c r="V1917" s="136"/>
      <c r="W1917" s="136"/>
      <c r="X1917" s="137" t="str">
        <f>IFERROR(__xludf.DUMMYFUNCTION("""COMPUTED_VALUE"""),"Excellent")</f>
        <v>Excellent</v>
      </c>
      <c r="Y1917" s="138" t="str">
        <f>IFERROR(__xludf.DUMMYFUNCTION("""COMPUTED_VALUE"""),"Excellent")</f>
        <v>Excellent</v>
      </c>
      <c r="Z1917" s="138" t="str">
        <f>IFERROR(__xludf.DUMMYFUNCTION("""COMPUTED_VALUE"""),"Excellent")</f>
        <v>Excellent</v>
      </c>
      <c r="AA1917" s="138" t="str">
        <f>IFERROR(__xludf.DUMMYFUNCTION("""COMPUTED_VALUE"""),"Good")</f>
        <v>Good</v>
      </c>
      <c r="AB1917" s="138" t="str">
        <f>IFERROR(__xludf.DUMMYFUNCTION("""COMPUTED_VALUE"""),"Fair")</f>
        <v>Fair</v>
      </c>
      <c r="AC1917" s="139"/>
      <c r="AD1917" s="139"/>
      <c r="AE1917" s="139"/>
      <c r="AF1917" s="140"/>
      <c r="AG1917" s="136"/>
      <c r="AH1917" s="157">
        <f>IFERROR(__xludf.DUMMYFUNCTION("""COMPUTED_VALUE"""),43628.794795127316)</f>
        <v>43628.7948</v>
      </c>
      <c r="AI1917" s="138"/>
      <c r="AJ1917" s="138"/>
      <c r="AK1917" s="138"/>
      <c r="AL1917" s="142"/>
    </row>
    <row r="1918" ht="20.25" customHeight="1">
      <c r="A1918" s="155" t="str">
        <f>IFERROR(__xludf.DUMMYFUNCTION("""COMPUTED_VALUE"""),"Dropzone_JD")</f>
        <v>Dropzone_JD</v>
      </c>
      <c r="B1918" s="149" t="str">
        <f>IFERROR(__xludf.DUMMYFUNCTION("""COMPUTED_VALUE"""),"San Diego")</f>
        <v>San Diego</v>
      </c>
      <c r="C1918" s="149" t="str">
        <f>IFERROR(__xludf.DUMMYFUNCTION("""COMPUTED_VALUE"""),"CA")</f>
        <v>CA</v>
      </c>
      <c r="D1918" s="149" t="str">
        <f>IFERROR(__xludf.DUMMYFUNCTION("""COMPUTED_VALUE"""),"USA")</f>
        <v>USA</v>
      </c>
      <c r="E1918" s="156">
        <f>IFERROR(__xludf.DUMMYFUNCTION("""COMPUTED_VALUE"""),43591.0)</f>
        <v>43591</v>
      </c>
      <c r="F1918" s="129">
        <f>IFERROR(__xludf.DUMMYFUNCTION("""COMPUTED_VALUE"""),43610.0)</f>
        <v>43610</v>
      </c>
      <c r="G1918" s="154"/>
      <c r="H1918" s="131">
        <f>IFERROR(__xludf.DUMMYFUNCTION("""COMPUTED_VALUE"""),195255.0)</f>
        <v>195255</v>
      </c>
      <c r="I1918" s="144"/>
      <c r="J1918" s="129">
        <f>IFERROR(__xludf.DUMMYFUNCTION("""COMPUTED_VALUE"""),43613.0)</f>
        <v>43613</v>
      </c>
      <c r="K1918" s="133">
        <f>IFERROR(__xludf.DUMMYFUNCTION("""COMPUTED_VALUE"""),19.0)</f>
        <v>19</v>
      </c>
      <c r="L1918" s="133">
        <f>IFERROR(__xludf.DUMMYFUNCTION("""COMPUTED_VALUE"""),3.0)</f>
        <v>3</v>
      </c>
      <c r="M1918" s="133">
        <f>IFERROR(__xludf.DUMMYFUNCTION("""COMPUTED_VALUE"""),22.0)</f>
        <v>22</v>
      </c>
      <c r="N1918" s="152" t="str">
        <f>IFERROR(__xludf.DUMMYFUNCTION("""COMPUTED_VALUE"""),"Model 3 LR AWD")</f>
        <v>Model 3 LR AWD</v>
      </c>
      <c r="O1918" s="152" t="str">
        <f>IFERROR(__xludf.DUMMYFUNCTION("""COMPUTED_VALUE"""),"Midnight Silver Metallic")</f>
        <v>Midnight Silver Metallic</v>
      </c>
      <c r="P1918" s="153" t="str">
        <f>IFERROR(__xludf.DUMMYFUNCTION("""COMPUTED_VALUE"""),"18 inch Aero")</f>
        <v>18 inch Aero</v>
      </c>
      <c r="Q1918" s="152" t="str">
        <f>IFERROR(__xludf.DUMMYFUNCTION("""COMPUTED_VALUE"""),"White seats")</f>
        <v>White seats</v>
      </c>
      <c r="R1918" s="149" t="str">
        <f>IFERROR(__xludf.DUMMYFUNCTION("""COMPUTED_VALUE"""),"Full Self-Driving")</f>
        <v>Full Self-Driving</v>
      </c>
      <c r="S1918" s="149"/>
      <c r="T1918" s="145"/>
      <c r="U1918" s="145"/>
      <c r="V1918" s="145"/>
      <c r="W1918" s="145"/>
      <c r="X1918" s="137" t="str">
        <f>IFERROR(__xludf.DUMMYFUNCTION("""COMPUTED_VALUE"""),"Excellent")</f>
        <v>Excellent</v>
      </c>
      <c r="Y1918" s="138" t="str">
        <f>IFERROR(__xludf.DUMMYFUNCTION("""COMPUTED_VALUE"""),"Excellent")</f>
        <v>Excellent</v>
      </c>
      <c r="Z1918" s="138" t="str">
        <f>IFERROR(__xludf.DUMMYFUNCTION("""COMPUTED_VALUE"""),"Excellent")</f>
        <v>Excellent</v>
      </c>
      <c r="AA1918" s="138" t="str">
        <f>IFERROR(__xludf.DUMMYFUNCTION("""COMPUTED_VALUE"""),"Fair")</f>
        <v>Fair</v>
      </c>
      <c r="AB1918" s="138" t="str">
        <f>IFERROR(__xludf.DUMMYFUNCTION("""COMPUTED_VALUE"""),"Excellent")</f>
        <v>Excellent</v>
      </c>
      <c r="AC1918" s="139"/>
      <c r="AD1918" s="139"/>
      <c r="AE1918" s="139"/>
      <c r="AF1918" s="140"/>
      <c r="AG1918" s="145" t="str">
        <f>IFERROR(__xludf.DUMMYFUNCTION("""COMPUTED_VALUE"""),"Absolutely amazing car")</f>
        <v>Absolutely amazing car</v>
      </c>
      <c r="AH1918" s="157">
        <f>IFERROR(__xludf.DUMMYFUNCTION("""COMPUTED_VALUE"""),43617.77865306712)</f>
        <v>43617.77865</v>
      </c>
      <c r="AI1918" s="138"/>
      <c r="AJ1918" s="138"/>
      <c r="AK1918" s="138"/>
      <c r="AL1918" s="142"/>
    </row>
    <row r="1919" ht="20.25" customHeight="1">
      <c r="A1919" s="155" t="str">
        <f>IFERROR(__xludf.DUMMYFUNCTION("""COMPUTED_VALUE"""),"not4another")</f>
        <v>not4another</v>
      </c>
      <c r="B1919" s="149" t="str">
        <f>IFERROR(__xludf.DUMMYFUNCTION("""COMPUTED_VALUE"""),"Los Angeles")</f>
        <v>Los Angeles</v>
      </c>
      <c r="C1919" s="149" t="str">
        <f>IFERROR(__xludf.DUMMYFUNCTION("""COMPUTED_VALUE"""),"CA")</f>
        <v>CA</v>
      </c>
      <c r="D1919" s="149" t="str">
        <f>IFERROR(__xludf.DUMMYFUNCTION("""COMPUTED_VALUE"""),"USA")</f>
        <v>USA</v>
      </c>
      <c r="E1919" s="156">
        <f>IFERROR(__xludf.DUMMYFUNCTION("""COMPUTED_VALUE"""),43591.0)</f>
        <v>43591</v>
      </c>
      <c r="F1919" s="129">
        <f>IFERROR(__xludf.DUMMYFUNCTION("""COMPUTED_VALUE"""),43592.0)</f>
        <v>43592</v>
      </c>
      <c r="G1919" s="154"/>
      <c r="H1919" s="131">
        <f>IFERROR(__xludf.DUMMYFUNCTION("""COMPUTED_VALUE"""),316658.0)</f>
        <v>316658</v>
      </c>
      <c r="I1919" s="144" t="str">
        <f>IFERROR(__xludf.DUMMYFUNCTION("""COMPUTED_VALUE"""),"04/19")</f>
        <v>04/19</v>
      </c>
      <c r="J1919" s="129">
        <f>IFERROR(__xludf.DUMMYFUNCTION("""COMPUTED_VALUE"""),43595.0)</f>
        <v>43595</v>
      </c>
      <c r="K1919" s="133">
        <f>IFERROR(__xludf.DUMMYFUNCTION("""COMPUTED_VALUE"""),1.0)</f>
        <v>1</v>
      </c>
      <c r="L1919" s="133">
        <f>IFERROR(__xludf.DUMMYFUNCTION("""COMPUTED_VALUE"""),3.0)</f>
        <v>3</v>
      </c>
      <c r="M1919" s="133">
        <f>IFERROR(__xludf.DUMMYFUNCTION("""COMPUTED_VALUE"""),4.0)</f>
        <v>4</v>
      </c>
      <c r="N1919" s="152" t="str">
        <f>IFERROR(__xludf.DUMMYFUNCTION("""COMPUTED_VALUE"""),"Model 3 SR+")</f>
        <v>Model 3 SR+</v>
      </c>
      <c r="O1919" s="152" t="str">
        <f>IFERROR(__xludf.DUMMYFUNCTION("""COMPUTED_VALUE"""),"Solid Black")</f>
        <v>Solid Black</v>
      </c>
      <c r="P1919" s="153" t="str">
        <f>IFERROR(__xludf.DUMMYFUNCTION("""COMPUTED_VALUE"""),"18 inch Aero")</f>
        <v>18 inch Aero</v>
      </c>
      <c r="Q1919" s="152" t="str">
        <f>IFERROR(__xludf.DUMMYFUNCTION("""COMPUTED_VALUE"""),"Black seats")</f>
        <v>Black seats</v>
      </c>
      <c r="R1919" s="149" t="str">
        <f>IFERROR(__xludf.DUMMYFUNCTION("""COMPUTED_VALUE"""),"Full Self-Driving")</f>
        <v>Full Self-Driving</v>
      </c>
      <c r="S1919" s="149"/>
      <c r="T1919" s="145"/>
      <c r="U1919" s="145"/>
      <c r="V1919" s="145"/>
      <c r="W1919" s="136"/>
      <c r="X1919" s="137" t="str">
        <f>IFERROR(__xludf.DUMMYFUNCTION("""COMPUTED_VALUE"""),"Good")</f>
        <v>Good</v>
      </c>
      <c r="Y1919" s="138" t="str">
        <f>IFERROR(__xludf.DUMMYFUNCTION("""COMPUTED_VALUE"""),"Good")</f>
        <v>Good</v>
      </c>
      <c r="Z1919" s="138" t="str">
        <f>IFERROR(__xludf.DUMMYFUNCTION("""COMPUTED_VALUE"""),"Poor")</f>
        <v>Poor</v>
      </c>
      <c r="AA1919" s="138" t="str">
        <f>IFERROR(__xludf.DUMMYFUNCTION("""COMPUTED_VALUE"""),"Poor")</f>
        <v>Poor</v>
      </c>
      <c r="AB1919" s="138" t="str">
        <f>IFERROR(__xludf.DUMMYFUNCTION("""COMPUTED_VALUE"""),"Poor")</f>
        <v>Poor</v>
      </c>
      <c r="AC1919" s="139"/>
      <c r="AD1919" s="139"/>
      <c r="AE1919" s="139"/>
      <c r="AF1919" s="140"/>
      <c r="AG1919" s="136" t="str">
        <f>IFERROR(__xludf.DUMMYFUNCTION("""COMPUTED_VALUE"""),"I returned the vehicle due to poor SC service")</f>
        <v>I returned the vehicle due to poor SC service</v>
      </c>
      <c r="AH1919" s="157">
        <f>IFERROR(__xludf.DUMMYFUNCTION("""COMPUTED_VALUE"""),43600.76006461806)</f>
        <v>43600.76006</v>
      </c>
      <c r="AI1919" s="138"/>
      <c r="AJ1919" s="138"/>
      <c r="AK1919" s="138"/>
      <c r="AL1919" s="142"/>
    </row>
    <row r="1920" ht="20.25" customHeight="1">
      <c r="A1920" s="155" t="str">
        <f>IFERROR(__xludf.DUMMYFUNCTION("""COMPUTED_VALUE"""),"p5802")</f>
        <v>p5802</v>
      </c>
      <c r="B1920" s="149" t="str">
        <f>IFERROR(__xludf.DUMMYFUNCTION("""COMPUTED_VALUE"""),"Charlotte")</f>
        <v>Charlotte</v>
      </c>
      <c r="C1920" s="149" t="str">
        <f>IFERROR(__xludf.DUMMYFUNCTION("""COMPUTED_VALUE"""),"NC")</f>
        <v>NC</v>
      </c>
      <c r="D1920" s="149" t="str">
        <f>IFERROR(__xludf.DUMMYFUNCTION("""COMPUTED_VALUE"""),"USA")</f>
        <v>USA</v>
      </c>
      <c r="E1920" s="156">
        <f>IFERROR(__xludf.DUMMYFUNCTION("""COMPUTED_VALUE"""),43591.0)</f>
        <v>43591</v>
      </c>
      <c r="F1920" s="129">
        <f>IFERROR(__xludf.DUMMYFUNCTION("""COMPUTED_VALUE"""),43620.0)</f>
        <v>43620</v>
      </c>
      <c r="G1920" s="154"/>
      <c r="H1920" s="131">
        <f>IFERROR(__xludf.DUMMYFUNCTION("""COMPUTED_VALUE"""),393555.0)</f>
        <v>393555</v>
      </c>
      <c r="I1920" s="144"/>
      <c r="J1920" s="129">
        <f>IFERROR(__xludf.DUMMYFUNCTION("""COMPUTED_VALUE"""),43630.0)</f>
        <v>43630</v>
      </c>
      <c r="K1920" s="133">
        <f>IFERROR(__xludf.DUMMYFUNCTION("""COMPUTED_VALUE"""),29.0)</f>
        <v>29</v>
      </c>
      <c r="L1920" s="133">
        <f>IFERROR(__xludf.DUMMYFUNCTION("""COMPUTED_VALUE"""),10.0)</f>
        <v>10</v>
      </c>
      <c r="M1920" s="133">
        <f>IFERROR(__xludf.DUMMYFUNCTION("""COMPUTED_VALUE"""),39.0)</f>
        <v>39</v>
      </c>
      <c r="N1920" s="152" t="str">
        <f>IFERROR(__xludf.DUMMYFUNCTION("""COMPUTED_VALUE"""),"Model 3 Performance")</f>
        <v>Model 3 Performance</v>
      </c>
      <c r="O1920" s="152" t="str">
        <f>IFERROR(__xludf.DUMMYFUNCTION("""COMPUTED_VALUE"""),"Red Multi-Coat")</f>
        <v>Red Multi-Coat</v>
      </c>
      <c r="P1920" s="153" t="str">
        <f>IFERROR(__xludf.DUMMYFUNCTION("""COMPUTED_VALUE"""),"20 inch Sport")</f>
        <v>20 inch Sport</v>
      </c>
      <c r="Q1920" s="152" t="str">
        <f>IFERROR(__xludf.DUMMYFUNCTION("""COMPUTED_VALUE"""),"White seats")</f>
        <v>White seats</v>
      </c>
      <c r="R1920" s="149" t="str">
        <f>IFERROR(__xludf.DUMMYFUNCTION("""COMPUTED_VALUE"""),"Full Self-Driving")</f>
        <v>Full Self-Driving</v>
      </c>
      <c r="S1920" s="149"/>
      <c r="T1920" s="145"/>
      <c r="U1920" s="145"/>
      <c r="V1920" s="145"/>
      <c r="W1920" s="136"/>
      <c r="X1920" s="137" t="str">
        <f>IFERROR(__xludf.DUMMYFUNCTION("""COMPUTED_VALUE"""),"Very Good")</f>
        <v>Very Good</v>
      </c>
      <c r="Y1920" s="138" t="str">
        <f>IFERROR(__xludf.DUMMYFUNCTION("""COMPUTED_VALUE"""),"Excellent")</f>
        <v>Excellent</v>
      </c>
      <c r="Z1920" s="138" t="str">
        <f>IFERROR(__xludf.DUMMYFUNCTION("""COMPUTED_VALUE"""),"Very Good")</f>
        <v>Very Good</v>
      </c>
      <c r="AA1920" s="138" t="str">
        <f>IFERROR(__xludf.DUMMYFUNCTION("""COMPUTED_VALUE"""),"Fair")</f>
        <v>Fair</v>
      </c>
      <c r="AB1920" s="138" t="str">
        <f>IFERROR(__xludf.DUMMYFUNCTION("""COMPUTED_VALUE"""),"Good")</f>
        <v>Good</v>
      </c>
      <c r="AC1920" s="139">
        <f>IFERROR(__xludf.DUMMYFUNCTION("""COMPUTED_VALUE"""),2.0)</f>
        <v>2</v>
      </c>
      <c r="AD1920" s="139"/>
      <c r="AE1920" s="139"/>
      <c r="AF1920" s="140"/>
      <c r="AG1920" s="136" t="str">
        <f>IFERROR(__xludf.DUMMYFUNCTION("""COMPUTED_VALUE"""),"Took delivery 6/14/19. 4 days after scheduled delivery")</f>
        <v>Took delivery 6/14/19. 4 days after scheduled delivery</v>
      </c>
      <c r="AH1920" s="157">
        <f>IFERROR(__xludf.DUMMYFUNCTION("""COMPUTED_VALUE"""),43639.232838784716)</f>
        <v>43639.23284</v>
      </c>
      <c r="AI1920" s="138"/>
      <c r="AJ1920" s="138"/>
      <c r="AK1920" s="138"/>
      <c r="AL1920" s="142"/>
    </row>
    <row r="1921" ht="20.25" customHeight="1">
      <c r="A1921" s="155" t="str">
        <f>IFERROR(__xludf.DUMMYFUNCTION("""COMPUTED_VALUE"""),"GarthAngst")</f>
        <v>GarthAngst</v>
      </c>
      <c r="B1921" s="149" t="str">
        <f>IFERROR(__xludf.DUMMYFUNCTION("""COMPUTED_VALUE"""),"Long Island")</f>
        <v>Long Island</v>
      </c>
      <c r="C1921" s="149" t="str">
        <f>IFERROR(__xludf.DUMMYFUNCTION("""COMPUTED_VALUE"""),"NY")</f>
        <v>NY</v>
      </c>
      <c r="D1921" s="149" t="str">
        <f>IFERROR(__xludf.DUMMYFUNCTION("""COMPUTED_VALUE"""),"USA")</f>
        <v>USA</v>
      </c>
      <c r="E1921" s="156">
        <f>IFERROR(__xludf.DUMMYFUNCTION("""COMPUTED_VALUE"""),43590.0)</f>
        <v>43590</v>
      </c>
      <c r="F1921" s="129">
        <f>IFERROR(__xludf.DUMMYFUNCTION("""COMPUTED_VALUE"""),43596.0)</f>
        <v>43596</v>
      </c>
      <c r="G1921" s="154"/>
      <c r="H1921" s="131"/>
      <c r="I1921" s="144"/>
      <c r="J1921" s="129">
        <f>IFERROR(__xludf.DUMMYFUNCTION("""COMPUTED_VALUE"""),43606.0)</f>
        <v>43606</v>
      </c>
      <c r="K1921" s="133">
        <f>IFERROR(__xludf.DUMMYFUNCTION("""COMPUTED_VALUE"""),6.0)</f>
        <v>6</v>
      </c>
      <c r="L1921" s="133">
        <f>IFERROR(__xludf.DUMMYFUNCTION("""COMPUTED_VALUE"""),10.0)</f>
        <v>10</v>
      </c>
      <c r="M1921" s="133">
        <f>IFERROR(__xludf.DUMMYFUNCTION("""COMPUTED_VALUE"""),16.0)</f>
        <v>16</v>
      </c>
      <c r="N1921" s="152" t="str">
        <f>IFERROR(__xludf.DUMMYFUNCTION("""COMPUTED_VALUE"""),"Model 3 LR AWD")</f>
        <v>Model 3 LR AWD</v>
      </c>
      <c r="O1921" s="152" t="str">
        <f>IFERROR(__xludf.DUMMYFUNCTION("""COMPUTED_VALUE"""),"Deep Blue Metallic")</f>
        <v>Deep Blue Metallic</v>
      </c>
      <c r="P1921" s="153" t="str">
        <f>IFERROR(__xludf.DUMMYFUNCTION("""COMPUTED_VALUE"""),"18 inch Aero")</f>
        <v>18 inch Aero</v>
      </c>
      <c r="Q1921" s="152" t="str">
        <f>IFERROR(__xludf.DUMMYFUNCTION("""COMPUTED_VALUE"""),"Black seats")</f>
        <v>Black seats</v>
      </c>
      <c r="R1921" s="149" t="str">
        <f>IFERROR(__xludf.DUMMYFUNCTION("""COMPUTED_VALUE"""),"Autopilot")</f>
        <v>Autopilot</v>
      </c>
      <c r="S1921" s="149"/>
      <c r="T1921" s="145"/>
      <c r="U1921" s="145"/>
      <c r="V1921" s="145"/>
      <c r="W1921" s="145"/>
      <c r="X1921" s="137" t="str">
        <f>IFERROR(__xludf.DUMMYFUNCTION("""COMPUTED_VALUE"""),"Excellent")</f>
        <v>Excellent</v>
      </c>
      <c r="Y1921" s="138" t="str">
        <f>IFERROR(__xludf.DUMMYFUNCTION("""COMPUTED_VALUE"""),"Excellent")</f>
        <v>Excellent</v>
      </c>
      <c r="Z1921" s="138" t="str">
        <f>IFERROR(__xludf.DUMMYFUNCTION("""COMPUTED_VALUE"""),"Excellent")</f>
        <v>Excellent</v>
      </c>
      <c r="AA1921" s="138" t="str">
        <f>IFERROR(__xludf.DUMMYFUNCTION("""COMPUTED_VALUE"""),"Excellent")</f>
        <v>Excellent</v>
      </c>
      <c r="AB1921" s="138" t="str">
        <f>IFERROR(__xludf.DUMMYFUNCTION("""COMPUTED_VALUE"""),"Excellent")</f>
        <v>Excellent</v>
      </c>
      <c r="AC1921" s="139"/>
      <c r="AD1921" s="139"/>
      <c r="AE1921" s="139"/>
      <c r="AF1921" s="140"/>
      <c r="AG1921" s="145"/>
      <c r="AH1921" s="157">
        <f>IFERROR(__xludf.DUMMYFUNCTION("""COMPUTED_VALUE"""),43603.80698454861)</f>
        <v>43603.80698</v>
      </c>
      <c r="AI1921" s="138"/>
      <c r="AJ1921" s="138"/>
      <c r="AK1921" s="138"/>
      <c r="AL1921" s="142"/>
    </row>
    <row r="1922" ht="20.25" customHeight="1">
      <c r="A1922" s="155" t="str">
        <f>IFERROR(__xludf.DUMMYFUNCTION("""COMPUTED_VALUE"""),"jc22zhao")</f>
        <v>jc22zhao</v>
      </c>
      <c r="B1922" s="149" t="str">
        <f>IFERROR(__xludf.DUMMYFUNCTION("""COMPUTED_VALUE"""),"Toronto")</f>
        <v>Toronto</v>
      </c>
      <c r="C1922" s="149" t="str">
        <f>IFERROR(__xludf.DUMMYFUNCTION("""COMPUTED_VALUE"""),"ON")</f>
        <v>ON</v>
      </c>
      <c r="D1922" s="149" t="str">
        <f>IFERROR(__xludf.DUMMYFUNCTION("""COMPUTED_VALUE"""),"Canada")</f>
        <v>Canada</v>
      </c>
      <c r="E1922" s="156">
        <f>IFERROR(__xludf.DUMMYFUNCTION("""COMPUTED_VALUE"""),43590.0)</f>
        <v>43590</v>
      </c>
      <c r="F1922" s="129">
        <f>IFERROR(__xludf.DUMMYFUNCTION("""COMPUTED_VALUE"""),43634.0)</f>
        <v>43634</v>
      </c>
      <c r="G1922" s="154"/>
      <c r="H1922" s="131">
        <f>IFERROR(__xludf.DUMMYFUNCTION("""COMPUTED_VALUE"""),418895.0)</f>
        <v>418895</v>
      </c>
      <c r="I1922" s="132" t="str">
        <f>IFERROR(__xludf.DUMMYFUNCTION("""COMPUTED_VALUE"""),"05/19")</f>
        <v>05/19</v>
      </c>
      <c r="J1922" s="129">
        <f>IFERROR(__xludf.DUMMYFUNCTION("""COMPUTED_VALUE"""),43634.0)</f>
        <v>43634</v>
      </c>
      <c r="K1922" s="133">
        <f>IFERROR(__xludf.DUMMYFUNCTION("""COMPUTED_VALUE"""),44.0)</f>
        <v>44</v>
      </c>
      <c r="L1922" s="133">
        <f>IFERROR(__xludf.DUMMYFUNCTION("""COMPUTED_VALUE"""),0.0)</f>
        <v>0</v>
      </c>
      <c r="M1922" s="133">
        <f>IFERROR(__xludf.DUMMYFUNCTION("""COMPUTED_VALUE"""),44.0)</f>
        <v>44</v>
      </c>
      <c r="N1922" s="152" t="str">
        <f>IFERROR(__xludf.DUMMYFUNCTION("""COMPUTED_VALUE"""),"Model 3 SR+")</f>
        <v>Model 3 SR+</v>
      </c>
      <c r="O1922" s="152" t="str">
        <f>IFERROR(__xludf.DUMMYFUNCTION("""COMPUTED_VALUE"""),"Solid Black")</f>
        <v>Solid Black</v>
      </c>
      <c r="P1922" s="153" t="str">
        <f>IFERROR(__xludf.DUMMYFUNCTION("""COMPUTED_VALUE"""),"18 inch Aero")</f>
        <v>18 inch Aero</v>
      </c>
      <c r="Q1922" s="152" t="str">
        <f>IFERROR(__xludf.DUMMYFUNCTION("""COMPUTED_VALUE"""),"Black seats")</f>
        <v>Black seats</v>
      </c>
      <c r="R1922" s="150" t="str">
        <f>IFERROR(__xludf.DUMMYFUNCTION("""COMPUTED_VALUE"""),"Full Self-Driving")</f>
        <v>Full Self-Driving</v>
      </c>
      <c r="S1922" s="150"/>
      <c r="T1922" s="145"/>
      <c r="U1922" s="145"/>
      <c r="V1922" s="145"/>
      <c r="W1922" s="136"/>
      <c r="X1922" s="137" t="str">
        <f>IFERROR(__xludf.DUMMYFUNCTION("""COMPUTED_VALUE"""),"Excellent")</f>
        <v>Excellent</v>
      </c>
      <c r="Y1922" s="138" t="str">
        <f>IFERROR(__xludf.DUMMYFUNCTION("""COMPUTED_VALUE"""),"Very Good")</f>
        <v>Very Good</v>
      </c>
      <c r="Z1922" s="138" t="str">
        <f>IFERROR(__xludf.DUMMYFUNCTION("""COMPUTED_VALUE"""),"Very Good")</f>
        <v>Very Good</v>
      </c>
      <c r="AA1922" s="138" t="str">
        <f>IFERROR(__xludf.DUMMYFUNCTION("""COMPUTED_VALUE"""),"Fair")</f>
        <v>Fair</v>
      </c>
      <c r="AB1922" s="138" t="str">
        <f>IFERROR(__xludf.DUMMYFUNCTION("""COMPUTED_VALUE"""),"Excellent")</f>
        <v>Excellent</v>
      </c>
      <c r="AC1922" s="139">
        <f>IFERROR(__xludf.DUMMYFUNCTION("""COMPUTED_VALUE"""),1.0)</f>
        <v>1</v>
      </c>
      <c r="AD1922" s="139"/>
      <c r="AE1922" s="139"/>
      <c r="AF1922" s="140"/>
      <c r="AG1922" s="136"/>
      <c r="AH1922" s="157">
        <f>IFERROR(__xludf.DUMMYFUNCTION("""COMPUTED_VALUE"""),43636.36420703704)</f>
        <v>43636.36421</v>
      </c>
      <c r="AI1922" s="138"/>
      <c r="AJ1922" s="138"/>
      <c r="AK1922" s="138"/>
      <c r="AL1922" s="142"/>
    </row>
    <row r="1923" ht="20.25" customHeight="1">
      <c r="A1923" s="155" t="str">
        <f>IFERROR(__xludf.DUMMYFUNCTION("""COMPUTED_VALUE"""),"Royal-1")</f>
        <v>Royal-1</v>
      </c>
      <c r="B1923" s="149" t="str">
        <f>IFERROR(__xludf.DUMMYFUNCTION("""COMPUTED_VALUE"""),"Phoenix")</f>
        <v>Phoenix</v>
      </c>
      <c r="C1923" s="149" t="str">
        <f>IFERROR(__xludf.DUMMYFUNCTION("""COMPUTED_VALUE"""),"AZ")</f>
        <v>AZ</v>
      </c>
      <c r="D1923" s="149" t="str">
        <f>IFERROR(__xludf.DUMMYFUNCTION("""COMPUTED_VALUE"""),"USA")</f>
        <v>USA</v>
      </c>
      <c r="E1923" s="156">
        <f>IFERROR(__xludf.DUMMYFUNCTION("""COMPUTED_VALUE"""),43590.0)</f>
        <v>43590</v>
      </c>
      <c r="F1923" s="129">
        <f>IFERROR(__xludf.DUMMYFUNCTION("""COMPUTED_VALUE"""),43618.0)</f>
        <v>43618</v>
      </c>
      <c r="G1923" s="154"/>
      <c r="H1923" s="131">
        <f>IFERROR(__xludf.DUMMYFUNCTION("""COMPUTED_VALUE"""),393755.0)</f>
        <v>393755</v>
      </c>
      <c r="I1923" s="144" t="str">
        <f>IFERROR(__xludf.DUMMYFUNCTION("""COMPUTED_VALUE"""),"06/19")</f>
        <v>06/19</v>
      </c>
      <c r="J1923" s="129">
        <f>IFERROR(__xludf.DUMMYFUNCTION("""COMPUTED_VALUE"""),43623.0)</f>
        <v>43623</v>
      </c>
      <c r="K1923" s="133">
        <f>IFERROR(__xludf.DUMMYFUNCTION("""COMPUTED_VALUE"""),28.0)</f>
        <v>28</v>
      </c>
      <c r="L1923" s="133">
        <f>IFERROR(__xludf.DUMMYFUNCTION("""COMPUTED_VALUE"""),5.0)</f>
        <v>5</v>
      </c>
      <c r="M1923" s="133">
        <f>IFERROR(__xludf.DUMMYFUNCTION("""COMPUTED_VALUE"""),33.0)</f>
        <v>33</v>
      </c>
      <c r="N1923" s="152" t="str">
        <f>IFERROR(__xludf.DUMMYFUNCTION("""COMPUTED_VALUE"""),"Model 3 Performance")</f>
        <v>Model 3 Performance</v>
      </c>
      <c r="O1923" s="152" t="str">
        <f>IFERROR(__xludf.DUMMYFUNCTION("""COMPUTED_VALUE"""),"Pearl White Multi-Coat")</f>
        <v>Pearl White Multi-Coat</v>
      </c>
      <c r="P1923" s="153" t="str">
        <f>IFERROR(__xludf.DUMMYFUNCTION("""COMPUTED_VALUE"""),"20 inch Sport")</f>
        <v>20 inch Sport</v>
      </c>
      <c r="Q1923" s="152" t="str">
        <f>IFERROR(__xludf.DUMMYFUNCTION("""COMPUTED_VALUE"""),"White seats")</f>
        <v>White seats</v>
      </c>
      <c r="R1923" s="149" t="str">
        <f>IFERROR(__xludf.DUMMYFUNCTION("""COMPUTED_VALUE"""),"Full Self-Driving")</f>
        <v>Full Self-Driving</v>
      </c>
      <c r="S1923" s="149"/>
      <c r="T1923" s="145"/>
      <c r="U1923" s="145"/>
      <c r="V1923" s="145"/>
      <c r="W1923" s="145"/>
      <c r="X1923" s="137" t="str">
        <f>IFERROR(__xludf.DUMMYFUNCTION("""COMPUTED_VALUE"""),"Very Good")</f>
        <v>Very Good</v>
      </c>
      <c r="Y1923" s="138" t="str">
        <f>IFERROR(__xludf.DUMMYFUNCTION("""COMPUTED_VALUE"""),"Very Good")</f>
        <v>Very Good</v>
      </c>
      <c r="Z1923" s="138" t="str">
        <f>IFERROR(__xludf.DUMMYFUNCTION("""COMPUTED_VALUE"""),"Excellent")</f>
        <v>Excellent</v>
      </c>
      <c r="AA1923" s="138" t="str">
        <f>IFERROR(__xludf.DUMMYFUNCTION("""COMPUTED_VALUE"""),"Good")</f>
        <v>Good</v>
      </c>
      <c r="AB1923" s="138" t="str">
        <f>IFERROR(__xludf.DUMMYFUNCTION("""COMPUTED_VALUE"""),"Excellent")</f>
        <v>Excellent</v>
      </c>
      <c r="AC1923" s="139"/>
      <c r="AD1923" s="139"/>
      <c r="AE1923" s="139"/>
      <c r="AF1923" s="140"/>
      <c r="AG1923" s="145" t="str">
        <f>IFERROR(__xludf.DUMMYFUNCTION("""COMPUTED_VALUE"""),"VIN in source code 6/3/19 on web page")</f>
        <v>VIN in source code 6/3/19 on web page</v>
      </c>
      <c r="AH1923" s="157">
        <f>IFERROR(__xludf.DUMMYFUNCTION("""COMPUTED_VALUE"""),43627.21275601851)</f>
        <v>43627.21276</v>
      </c>
      <c r="AI1923" s="138"/>
      <c r="AJ1923" s="138"/>
      <c r="AK1923" s="138"/>
      <c r="AL1923" s="142"/>
    </row>
    <row r="1924" ht="20.25" customHeight="1">
      <c r="A1924" s="155" t="str">
        <f>IFERROR(__xludf.DUMMYFUNCTION("""COMPUTED_VALUE"""),"teslafan87")</f>
        <v>teslafan87</v>
      </c>
      <c r="B1924" s="149" t="str">
        <f>IFERROR(__xludf.DUMMYFUNCTION("""COMPUTED_VALUE"""),"Atlanta")</f>
        <v>Atlanta</v>
      </c>
      <c r="C1924" s="149" t="str">
        <f>IFERROR(__xludf.DUMMYFUNCTION("""COMPUTED_VALUE"""),"GA")</f>
        <v>GA</v>
      </c>
      <c r="D1924" s="149" t="str">
        <f>IFERROR(__xludf.DUMMYFUNCTION("""COMPUTED_VALUE"""),"USA")</f>
        <v>USA</v>
      </c>
      <c r="E1924" s="156">
        <f>IFERROR(__xludf.DUMMYFUNCTION("""COMPUTED_VALUE"""),43590.0)</f>
        <v>43590</v>
      </c>
      <c r="F1924" s="129">
        <f>IFERROR(__xludf.DUMMYFUNCTION("""COMPUTED_VALUE"""),43621.0)</f>
        <v>43621</v>
      </c>
      <c r="G1924" s="154"/>
      <c r="H1924" s="131">
        <f>IFERROR(__xludf.DUMMYFUNCTION("""COMPUTED_VALUE"""),393755.0)</f>
        <v>393755</v>
      </c>
      <c r="I1924" s="144"/>
      <c r="J1924" s="129">
        <f>IFERROR(__xludf.DUMMYFUNCTION("""COMPUTED_VALUE"""),43625.0)</f>
        <v>43625</v>
      </c>
      <c r="K1924" s="133">
        <f>IFERROR(__xludf.DUMMYFUNCTION("""COMPUTED_VALUE"""),31.0)</f>
        <v>31</v>
      </c>
      <c r="L1924" s="133">
        <f>IFERROR(__xludf.DUMMYFUNCTION("""COMPUTED_VALUE"""),4.0)</f>
        <v>4</v>
      </c>
      <c r="M1924" s="133">
        <f>IFERROR(__xludf.DUMMYFUNCTION("""COMPUTED_VALUE"""),35.0)</f>
        <v>35</v>
      </c>
      <c r="N1924" s="152" t="str">
        <f>IFERROR(__xludf.DUMMYFUNCTION("""COMPUTED_VALUE"""),"Model 3 Performance")</f>
        <v>Model 3 Performance</v>
      </c>
      <c r="O1924" s="152" t="str">
        <f>IFERROR(__xludf.DUMMYFUNCTION("""COMPUTED_VALUE"""),"Pearl White Multi-Coat")</f>
        <v>Pearl White Multi-Coat</v>
      </c>
      <c r="P1924" s="153" t="str">
        <f>IFERROR(__xludf.DUMMYFUNCTION("""COMPUTED_VALUE"""),"20 inch Sport")</f>
        <v>20 inch Sport</v>
      </c>
      <c r="Q1924" s="152" t="str">
        <f>IFERROR(__xludf.DUMMYFUNCTION("""COMPUTED_VALUE"""),"White seats")</f>
        <v>White seats</v>
      </c>
      <c r="R1924" s="149" t="str">
        <f>IFERROR(__xludf.DUMMYFUNCTION("""COMPUTED_VALUE"""),"Full Self-Driving")</f>
        <v>Full Self-Driving</v>
      </c>
      <c r="S1924" s="149"/>
      <c r="T1924" s="145"/>
      <c r="U1924" s="145"/>
      <c r="V1924" s="145"/>
      <c r="W1924" s="145"/>
      <c r="X1924" s="137" t="str">
        <f>IFERROR(__xludf.DUMMYFUNCTION("""COMPUTED_VALUE"""),"Poor")</f>
        <v>Poor</v>
      </c>
      <c r="Y1924" s="138" t="str">
        <f>IFERROR(__xludf.DUMMYFUNCTION("""COMPUTED_VALUE"""),"Very Good")</f>
        <v>Very Good</v>
      </c>
      <c r="Z1924" s="138" t="str">
        <f>IFERROR(__xludf.DUMMYFUNCTION("""COMPUTED_VALUE"""),"Poor")</f>
        <v>Poor</v>
      </c>
      <c r="AA1924" s="138" t="str">
        <f>IFERROR(__xludf.DUMMYFUNCTION("""COMPUTED_VALUE"""),"Very Good")</f>
        <v>Very Good</v>
      </c>
      <c r="AB1924" s="138" t="str">
        <f>IFERROR(__xludf.DUMMYFUNCTION("""COMPUTED_VALUE"""),"Good")</f>
        <v>Good</v>
      </c>
      <c r="AC1924" s="139">
        <f>IFERROR(__xludf.DUMMYFUNCTION("""COMPUTED_VALUE"""),3.0)</f>
        <v>3</v>
      </c>
      <c r="AD1924" s="139"/>
      <c r="AE1924" s="139"/>
      <c r="AF1924" s="140"/>
      <c r="AG1924" s="145"/>
      <c r="AH1924" s="157">
        <f>IFERROR(__xludf.DUMMYFUNCTION("""COMPUTED_VALUE"""),43628.592147986106)</f>
        <v>43628.59215</v>
      </c>
      <c r="AI1924" s="138"/>
      <c r="AJ1924" s="138"/>
      <c r="AK1924" s="138"/>
      <c r="AL1924" s="142"/>
    </row>
    <row r="1925" ht="20.25" customHeight="1">
      <c r="A1925" s="155" t="str">
        <f>IFERROR(__xludf.DUMMYFUNCTION("""COMPUTED_VALUE"""),"AdamMacDon")</f>
        <v>AdamMacDon</v>
      </c>
      <c r="B1925" s="149" t="str">
        <f>IFERROR(__xludf.DUMMYFUNCTION("""COMPUTED_VALUE"""),"Victoria")</f>
        <v>Victoria</v>
      </c>
      <c r="C1925" s="149" t="str">
        <f>IFERROR(__xludf.DUMMYFUNCTION("""COMPUTED_VALUE"""),"BC")</f>
        <v>BC</v>
      </c>
      <c r="D1925" s="149" t="str">
        <f>IFERROR(__xludf.DUMMYFUNCTION("""COMPUTED_VALUE"""),"Canada")</f>
        <v>Canada</v>
      </c>
      <c r="E1925" s="156">
        <f>IFERROR(__xludf.DUMMYFUNCTION("""COMPUTED_VALUE"""),43589.0)</f>
        <v>43589</v>
      </c>
      <c r="F1925" s="129">
        <f>IFERROR(__xludf.DUMMYFUNCTION("""COMPUTED_VALUE"""),43622.0)</f>
        <v>43622</v>
      </c>
      <c r="G1925" s="154"/>
      <c r="H1925" s="131">
        <f>IFERROR(__xludf.DUMMYFUNCTION("""COMPUTED_VALUE"""),396634.0)</f>
        <v>396634</v>
      </c>
      <c r="I1925" s="144" t="str">
        <f>IFERROR(__xludf.DUMMYFUNCTION("""COMPUTED_VALUE"""),"06/19")</f>
        <v>06/19</v>
      </c>
      <c r="J1925" s="129">
        <f>IFERROR(__xludf.DUMMYFUNCTION("""COMPUTED_VALUE"""),43629.0)</f>
        <v>43629</v>
      </c>
      <c r="K1925" s="133">
        <f>IFERROR(__xludf.DUMMYFUNCTION("""COMPUTED_VALUE"""),33.0)</f>
        <v>33</v>
      </c>
      <c r="L1925" s="133">
        <f>IFERROR(__xludf.DUMMYFUNCTION("""COMPUTED_VALUE"""),7.0)</f>
        <v>7</v>
      </c>
      <c r="M1925" s="133">
        <f>IFERROR(__xludf.DUMMYFUNCTION("""COMPUTED_VALUE"""),40.0)</f>
        <v>40</v>
      </c>
      <c r="N1925" s="152" t="str">
        <f>IFERROR(__xludf.DUMMYFUNCTION("""COMPUTED_VALUE"""),"Model 3 SR+")</f>
        <v>Model 3 SR+</v>
      </c>
      <c r="O1925" s="152" t="str">
        <f>IFERROR(__xludf.DUMMYFUNCTION("""COMPUTED_VALUE"""),"Deep Blue Metallic")</f>
        <v>Deep Blue Metallic</v>
      </c>
      <c r="P1925" s="153" t="str">
        <f>IFERROR(__xludf.DUMMYFUNCTION("""COMPUTED_VALUE"""),"18 inch Aero")</f>
        <v>18 inch Aero</v>
      </c>
      <c r="Q1925" s="152" t="str">
        <f>IFERROR(__xludf.DUMMYFUNCTION("""COMPUTED_VALUE"""),"Black seats")</f>
        <v>Black seats</v>
      </c>
      <c r="R1925" s="149" t="str">
        <f>IFERROR(__xludf.DUMMYFUNCTION("""COMPUTED_VALUE"""),"Autopilot")</f>
        <v>Autopilot</v>
      </c>
      <c r="S1925" s="149"/>
      <c r="T1925" s="145"/>
      <c r="U1925" s="145"/>
      <c r="V1925" s="145"/>
      <c r="W1925" s="136"/>
      <c r="X1925" s="137" t="str">
        <f>IFERROR(__xludf.DUMMYFUNCTION("""COMPUTED_VALUE"""),"Very Good")</f>
        <v>Very Good</v>
      </c>
      <c r="Y1925" s="138" t="str">
        <f>IFERROR(__xludf.DUMMYFUNCTION("""COMPUTED_VALUE"""),"Good")</f>
        <v>Good</v>
      </c>
      <c r="Z1925" s="138" t="str">
        <f>IFERROR(__xludf.DUMMYFUNCTION("""COMPUTED_VALUE"""),"Good")</f>
        <v>Good</v>
      </c>
      <c r="AA1925" s="138" t="str">
        <f>IFERROR(__xludf.DUMMYFUNCTION("""COMPUTED_VALUE"""),"Poor")</f>
        <v>Poor</v>
      </c>
      <c r="AB1925" s="138" t="str">
        <f>IFERROR(__xludf.DUMMYFUNCTION("""COMPUTED_VALUE"""),"Good")</f>
        <v>Good</v>
      </c>
      <c r="AC1925" s="139">
        <f>IFERROR(__xludf.DUMMYFUNCTION("""COMPUTED_VALUE"""),1.0)</f>
        <v>1</v>
      </c>
      <c r="AD1925" s="139">
        <f>IFERROR(__xludf.DUMMYFUNCTION("""COMPUTED_VALUE"""),1.0)</f>
        <v>1</v>
      </c>
      <c r="AE1925" s="139">
        <f>IFERROR(__xludf.DUMMYFUNCTION("""COMPUTED_VALUE"""),0.0)</f>
        <v>0</v>
      </c>
      <c r="AF1925" s="140"/>
      <c r="AG1925" s="136"/>
      <c r="AH1925" s="157">
        <f>IFERROR(__xludf.DUMMYFUNCTION("""COMPUTED_VALUE"""),43659.514623807874)</f>
        <v>43659.51462</v>
      </c>
      <c r="AI1925" s="138"/>
      <c r="AJ1925" s="138"/>
      <c r="AK1925" s="138"/>
      <c r="AL1925" s="142"/>
    </row>
    <row r="1926" ht="20.25" customHeight="1">
      <c r="A1926" s="155" t="str">
        <f>IFERROR(__xludf.DUMMYFUNCTION("""COMPUTED_VALUE"""),"PicklesCGL")</f>
        <v>PicklesCGL</v>
      </c>
      <c r="B1926" s="149" t="str">
        <f>IFERROR(__xludf.DUMMYFUNCTION("""COMPUTED_VALUE"""),"Littleton")</f>
        <v>Littleton</v>
      </c>
      <c r="C1926" s="149" t="str">
        <f>IFERROR(__xludf.DUMMYFUNCTION("""COMPUTED_VALUE"""),"CO")</f>
        <v>CO</v>
      </c>
      <c r="D1926" s="149" t="str">
        <f>IFERROR(__xludf.DUMMYFUNCTION("""COMPUTED_VALUE"""),"USA")</f>
        <v>USA</v>
      </c>
      <c r="E1926" s="156">
        <f>IFERROR(__xludf.DUMMYFUNCTION("""COMPUTED_VALUE"""),43589.0)</f>
        <v>43589</v>
      </c>
      <c r="F1926" s="129">
        <f>IFERROR(__xludf.DUMMYFUNCTION("""COMPUTED_VALUE"""),43589.0)</f>
        <v>43589</v>
      </c>
      <c r="G1926" s="154"/>
      <c r="H1926" s="131">
        <f>IFERROR(__xludf.DUMMYFUNCTION("""COMPUTED_VALUE"""),312546.0)</f>
        <v>312546</v>
      </c>
      <c r="I1926" s="144"/>
      <c r="J1926" s="129">
        <f>IFERROR(__xludf.DUMMYFUNCTION("""COMPUTED_VALUE"""),43589.0)</f>
        <v>43589</v>
      </c>
      <c r="K1926" s="133">
        <f>IFERROR(__xludf.DUMMYFUNCTION("""COMPUTED_VALUE"""),0.0)</f>
        <v>0</v>
      </c>
      <c r="L1926" s="133">
        <f>IFERROR(__xludf.DUMMYFUNCTION("""COMPUTED_VALUE"""),0.0)</f>
        <v>0</v>
      </c>
      <c r="M1926" s="133">
        <f>IFERROR(__xludf.DUMMYFUNCTION("""COMPUTED_VALUE"""),0.0)</f>
        <v>0</v>
      </c>
      <c r="N1926" s="152" t="str">
        <f>IFERROR(__xludf.DUMMYFUNCTION("""COMPUTED_VALUE"""),"Model 3 SR+")</f>
        <v>Model 3 SR+</v>
      </c>
      <c r="O1926" s="152" t="str">
        <f>IFERROR(__xludf.DUMMYFUNCTION("""COMPUTED_VALUE"""),"Midnight Silver Metallic")</f>
        <v>Midnight Silver Metallic</v>
      </c>
      <c r="P1926" s="153" t="str">
        <f>IFERROR(__xludf.DUMMYFUNCTION("""COMPUTED_VALUE"""),"18 inch Aero")</f>
        <v>18 inch Aero</v>
      </c>
      <c r="Q1926" s="152" t="str">
        <f>IFERROR(__xludf.DUMMYFUNCTION("""COMPUTED_VALUE"""),"White seats")</f>
        <v>White seats</v>
      </c>
      <c r="R1926" s="149" t="str">
        <f>IFERROR(__xludf.DUMMYFUNCTION("""COMPUTED_VALUE"""),"Full Self-Driving")</f>
        <v>Full Self-Driving</v>
      </c>
      <c r="S1926" s="149"/>
      <c r="T1926" s="145"/>
      <c r="U1926" s="145"/>
      <c r="V1926" s="145"/>
      <c r="W1926" s="145"/>
      <c r="X1926" s="137" t="str">
        <f>IFERROR(__xludf.DUMMYFUNCTION("""COMPUTED_VALUE"""),"Excellent")</f>
        <v>Excellent</v>
      </c>
      <c r="Y1926" s="138" t="str">
        <f>IFERROR(__xludf.DUMMYFUNCTION("""COMPUTED_VALUE"""),"Excellent")</f>
        <v>Excellent</v>
      </c>
      <c r="Z1926" s="138" t="str">
        <f>IFERROR(__xludf.DUMMYFUNCTION("""COMPUTED_VALUE"""),"Excellent")</f>
        <v>Excellent</v>
      </c>
      <c r="AA1926" s="138" t="str">
        <f>IFERROR(__xludf.DUMMYFUNCTION("""COMPUTED_VALUE"""),"Excellent")</f>
        <v>Excellent</v>
      </c>
      <c r="AB1926" s="138" t="str">
        <f>IFERROR(__xludf.DUMMYFUNCTION("""COMPUTED_VALUE"""),"Excellent")</f>
        <v>Excellent</v>
      </c>
      <c r="AC1926" s="139">
        <f>IFERROR(__xludf.DUMMYFUNCTION("""COMPUTED_VALUE"""),0.0)</f>
        <v>0</v>
      </c>
      <c r="AD1926" s="139">
        <f>IFERROR(__xludf.DUMMYFUNCTION("""COMPUTED_VALUE"""),0.0)</f>
        <v>0</v>
      </c>
      <c r="AE1926" s="139">
        <f>IFERROR(__xludf.DUMMYFUNCTION("""COMPUTED_VALUE"""),0.0)</f>
        <v>0</v>
      </c>
      <c r="AF1926" s="140"/>
      <c r="AG1926" s="145" t="str">
        <f>IFERROR(__xludf.DUMMYFUNCTION("""COMPUTED_VALUE"""),"Same day purchase, went to Tesla Littleton in the morning and by the afternoon I had my M3")</f>
        <v>Same day purchase, went to Tesla Littleton in the morning and by the afternoon I had my M3</v>
      </c>
      <c r="AH1926" s="157">
        <f>IFERROR(__xludf.DUMMYFUNCTION("""COMPUTED_VALUE"""),43592.36231358796)</f>
        <v>43592.36231</v>
      </c>
      <c r="AI1926" s="138"/>
      <c r="AJ1926" s="138"/>
      <c r="AK1926" s="138"/>
      <c r="AL1926" s="142"/>
    </row>
    <row r="1927" ht="20.25" customHeight="1">
      <c r="A1927" s="155" t="str">
        <f>IFERROR(__xludf.DUMMYFUNCTION("""COMPUTED_VALUE"""),"esecules")</f>
        <v>esecules</v>
      </c>
      <c r="B1927" s="159" t="str">
        <f>IFERROR(__xludf.DUMMYFUNCTION("""COMPUTED_VALUE"""),"Litchfield Park")</f>
        <v>Litchfield Park</v>
      </c>
      <c r="C1927" s="159" t="str">
        <f>IFERROR(__xludf.DUMMYFUNCTION("""COMPUTED_VALUE"""),"AZ")</f>
        <v>AZ</v>
      </c>
      <c r="D1927" s="159" t="str">
        <f>IFERROR(__xludf.DUMMYFUNCTION("""COMPUTED_VALUE"""),"USA")</f>
        <v>USA</v>
      </c>
      <c r="E1927" s="156">
        <f>IFERROR(__xludf.DUMMYFUNCTION("""COMPUTED_VALUE"""),43588.0)</f>
        <v>43588</v>
      </c>
      <c r="F1927" s="129">
        <f>IFERROR(__xludf.DUMMYFUNCTION("""COMPUTED_VALUE"""),43595.0)</f>
        <v>43595</v>
      </c>
      <c r="G1927" s="154"/>
      <c r="H1927" s="131">
        <f>IFERROR(__xludf.DUMMYFUNCTION("""COMPUTED_VALUE"""),210628.0)</f>
        <v>210628</v>
      </c>
      <c r="I1927" s="160"/>
      <c r="J1927" s="129">
        <f>IFERROR(__xludf.DUMMYFUNCTION("""COMPUTED_VALUE"""),43599.0)</f>
        <v>43599</v>
      </c>
      <c r="K1927" s="133">
        <f>IFERROR(__xludf.DUMMYFUNCTION("""COMPUTED_VALUE"""),7.0)</f>
        <v>7</v>
      </c>
      <c r="L1927" s="133">
        <f>IFERROR(__xludf.DUMMYFUNCTION("""COMPUTED_VALUE"""),4.0)</f>
        <v>4</v>
      </c>
      <c r="M1927" s="133">
        <f>IFERROR(__xludf.DUMMYFUNCTION("""COMPUTED_VALUE"""),11.0)</f>
        <v>11</v>
      </c>
      <c r="N1927" s="152" t="str">
        <f>IFERROR(__xludf.DUMMYFUNCTION("""COMPUTED_VALUE"""),"Model 3 LR AWD")</f>
        <v>Model 3 LR AWD</v>
      </c>
      <c r="O1927" s="152" t="str">
        <f>IFERROR(__xludf.DUMMYFUNCTION("""COMPUTED_VALUE"""),"Red Multi-Coat")</f>
        <v>Red Multi-Coat</v>
      </c>
      <c r="P1927" s="153" t="str">
        <f>IFERROR(__xludf.DUMMYFUNCTION("""COMPUTED_VALUE"""),"18 inch Aero")</f>
        <v>18 inch Aero</v>
      </c>
      <c r="Q1927" s="152" t="str">
        <f>IFERROR(__xludf.DUMMYFUNCTION("""COMPUTED_VALUE"""),"Black seats")</f>
        <v>Black seats</v>
      </c>
      <c r="R1927" s="159" t="str">
        <f>IFERROR(__xludf.DUMMYFUNCTION("""COMPUTED_VALUE"""),"Autopilot")</f>
        <v>Autopilot</v>
      </c>
      <c r="S1927" s="159"/>
      <c r="T1927" s="161"/>
      <c r="U1927" s="161"/>
      <c r="V1927" s="161"/>
      <c r="W1927" s="136"/>
      <c r="X1927" s="137" t="str">
        <f>IFERROR(__xludf.DUMMYFUNCTION("""COMPUTED_VALUE"""),"Excellent")</f>
        <v>Excellent</v>
      </c>
      <c r="Y1927" s="138" t="str">
        <f>IFERROR(__xludf.DUMMYFUNCTION("""COMPUTED_VALUE"""),"Excellent")</f>
        <v>Excellent</v>
      </c>
      <c r="Z1927" s="138" t="str">
        <f>IFERROR(__xludf.DUMMYFUNCTION("""COMPUTED_VALUE"""),"Excellent")</f>
        <v>Excellent</v>
      </c>
      <c r="AA1927" s="138" t="str">
        <f>IFERROR(__xludf.DUMMYFUNCTION("""COMPUTED_VALUE"""),"Very Good")</f>
        <v>Very Good</v>
      </c>
      <c r="AB1927" s="138" t="str">
        <f>IFERROR(__xludf.DUMMYFUNCTION("""COMPUTED_VALUE"""),"Excellent")</f>
        <v>Excellent</v>
      </c>
      <c r="AC1927" s="139"/>
      <c r="AD1927" s="139"/>
      <c r="AE1927" s="139"/>
      <c r="AF1927" s="140"/>
      <c r="AG1927" s="136"/>
      <c r="AH1927" s="157">
        <f>IFERROR(__xludf.DUMMYFUNCTION("""COMPUTED_VALUE"""),43605.504353530094)</f>
        <v>43605.50435</v>
      </c>
      <c r="AI1927" s="138"/>
      <c r="AJ1927" s="138"/>
      <c r="AK1927" s="138"/>
      <c r="AL1927" s="142"/>
    </row>
    <row r="1928" ht="20.25" customHeight="1">
      <c r="A1928" s="155" t="str">
        <f>IFERROR(__xludf.DUMMYFUNCTION("""COMPUTED_VALUE"""),"JollyJay")</f>
        <v>JollyJay</v>
      </c>
      <c r="B1928" s="149" t="str">
        <f>IFERROR(__xludf.DUMMYFUNCTION("""COMPUTED_VALUE"""),"Vancouver")</f>
        <v>Vancouver</v>
      </c>
      <c r="C1928" s="149" t="str">
        <f>IFERROR(__xludf.DUMMYFUNCTION("""COMPUTED_VALUE"""),"BC")</f>
        <v>BC</v>
      </c>
      <c r="D1928" s="149" t="str">
        <f>IFERROR(__xludf.DUMMYFUNCTION("""COMPUTED_VALUE"""),"Canada")</f>
        <v>Canada</v>
      </c>
      <c r="E1928" s="156">
        <f>IFERROR(__xludf.DUMMYFUNCTION("""COMPUTED_VALUE"""),43588.0)</f>
        <v>43588</v>
      </c>
      <c r="F1928" s="146">
        <f>IFERROR(__xludf.DUMMYFUNCTION("""COMPUTED_VALUE"""),43603.0)</f>
        <v>43603</v>
      </c>
      <c r="G1928" s="154"/>
      <c r="H1928" s="131">
        <f>IFERROR(__xludf.DUMMYFUNCTION("""COMPUTED_VALUE"""),397055.0)</f>
        <v>397055</v>
      </c>
      <c r="I1928" s="144" t="str">
        <f>IFERROR(__xludf.DUMMYFUNCTION("""COMPUTED_VALUE"""),"05/19")</f>
        <v>05/19</v>
      </c>
      <c r="J1928" s="129">
        <f>IFERROR(__xludf.DUMMYFUNCTION("""COMPUTED_VALUE"""),43624.0)</f>
        <v>43624</v>
      </c>
      <c r="K1928" s="133">
        <f>IFERROR(__xludf.DUMMYFUNCTION("""COMPUTED_VALUE"""),15.0)</f>
        <v>15</v>
      </c>
      <c r="L1928" s="133">
        <f>IFERROR(__xludf.DUMMYFUNCTION("""COMPUTED_VALUE"""),21.0)</f>
        <v>21</v>
      </c>
      <c r="M1928" s="133">
        <f>IFERROR(__xludf.DUMMYFUNCTION("""COMPUTED_VALUE"""),36.0)</f>
        <v>36</v>
      </c>
      <c r="N1928" s="152" t="str">
        <f>IFERROR(__xludf.DUMMYFUNCTION("""COMPUTED_VALUE"""),"Model 3 SR+")</f>
        <v>Model 3 SR+</v>
      </c>
      <c r="O1928" s="152" t="str">
        <f>IFERROR(__xludf.DUMMYFUNCTION("""COMPUTED_VALUE"""),"Pearl White Multi-Coat")</f>
        <v>Pearl White Multi-Coat</v>
      </c>
      <c r="P1928" s="153" t="str">
        <f>IFERROR(__xludf.DUMMYFUNCTION("""COMPUTED_VALUE"""),"18 inch Aero")</f>
        <v>18 inch Aero</v>
      </c>
      <c r="Q1928" s="152" t="str">
        <f>IFERROR(__xludf.DUMMYFUNCTION("""COMPUTED_VALUE"""),"Black seats")</f>
        <v>Black seats</v>
      </c>
      <c r="R1928" s="149" t="str">
        <f>IFERROR(__xludf.DUMMYFUNCTION("""COMPUTED_VALUE"""),"Full Self-Driving")</f>
        <v>Full Self-Driving</v>
      </c>
      <c r="S1928" s="149"/>
      <c r="T1928" s="145"/>
      <c r="U1928" s="145"/>
      <c r="V1928" s="145"/>
      <c r="W1928" s="145"/>
      <c r="X1928" s="137" t="str">
        <f>IFERROR(__xludf.DUMMYFUNCTION("""COMPUTED_VALUE"""),"Excellent")</f>
        <v>Excellent</v>
      </c>
      <c r="Y1928" s="138" t="str">
        <f>IFERROR(__xludf.DUMMYFUNCTION("""COMPUTED_VALUE"""),"Excellent")</f>
        <v>Excellent</v>
      </c>
      <c r="Z1928" s="138" t="str">
        <f>IFERROR(__xludf.DUMMYFUNCTION("""COMPUTED_VALUE"""),"Excellent")</f>
        <v>Excellent</v>
      </c>
      <c r="AA1928" s="138" t="str">
        <f>IFERROR(__xludf.DUMMYFUNCTION("""COMPUTED_VALUE"""),"Excellent")</f>
        <v>Excellent</v>
      </c>
      <c r="AB1928" s="138" t="str">
        <f>IFERROR(__xludf.DUMMYFUNCTION("""COMPUTED_VALUE"""),"Excellent")</f>
        <v>Excellent</v>
      </c>
      <c r="AC1928" s="139">
        <f>IFERROR(__xludf.DUMMYFUNCTION("""COMPUTED_VALUE"""),0.0)</f>
        <v>0</v>
      </c>
      <c r="AD1928" s="139">
        <f>IFERROR(__xludf.DUMMYFUNCTION("""COMPUTED_VALUE"""),0.0)</f>
        <v>0</v>
      </c>
      <c r="AE1928" s="139">
        <f>IFERROR(__xludf.DUMMYFUNCTION("""COMPUTED_VALUE"""),0.0)</f>
        <v>0</v>
      </c>
      <c r="AF1928" s="140"/>
      <c r="AG1928" s="145"/>
      <c r="AH1928" s="157">
        <f>IFERROR(__xludf.DUMMYFUNCTION("""COMPUTED_VALUE"""),43635.40526339121)</f>
        <v>43635.40526</v>
      </c>
      <c r="AI1928" s="138"/>
      <c r="AJ1928" s="138"/>
      <c r="AK1928" s="138"/>
      <c r="AL1928" s="142"/>
    </row>
    <row r="1929" ht="20.25" customHeight="1">
      <c r="A1929" s="155" t="str">
        <f>IFERROR(__xludf.DUMMYFUNCTION("""COMPUTED_VALUE"""),"SquirtCow")</f>
        <v>SquirtCow</v>
      </c>
      <c r="B1929" s="149" t="str">
        <f>IFERROR(__xludf.DUMMYFUNCTION("""COMPUTED_VALUE"""),"Bergen")</f>
        <v>Bergen</v>
      </c>
      <c r="C1929" s="149"/>
      <c r="D1929" s="149" t="str">
        <f>IFERROR(__xludf.DUMMYFUNCTION("""COMPUTED_VALUE"""),"Norway")</f>
        <v>Norway</v>
      </c>
      <c r="E1929" s="156">
        <f>IFERROR(__xludf.DUMMYFUNCTION("""COMPUTED_VALUE"""),43588.0)</f>
        <v>43588</v>
      </c>
      <c r="F1929" s="129">
        <f>IFERROR(__xludf.DUMMYFUNCTION("""COMPUTED_VALUE"""),43598.0)</f>
        <v>43598</v>
      </c>
      <c r="G1929" s="154"/>
      <c r="H1929" s="131">
        <f>IFERROR(__xludf.DUMMYFUNCTION("""COMPUTED_VALUE"""),234027.0)</f>
        <v>234027</v>
      </c>
      <c r="I1929" s="144"/>
      <c r="J1929" s="129">
        <f>IFERROR(__xludf.DUMMYFUNCTION("""COMPUTED_VALUE"""),43609.0)</f>
        <v>43609</v>
      </c>
      <c r="K1929" s="133">
        <f>IFERROR(__xludf.DUMMYFUNCTION("""COMPUTED_VALUE"""),10.0)</f>
        <v>10</v>
      </c>
      <c r="L1929" s="133">
        <f>IFERROR(__xludf.DUMMYFUNCTION("""COMPUTED_VALUE"""),11.0)</f>
        <v>11</v>
      </c>
      <c r="M1929" s="133">
        <f>IFERROR(__xludf.DUMMYFUNCTION("""COMPUTED_VALUE"""),21.0)</f>
        <v>21</v>
      </c>
      <c r="N1929" s="152" t="str">
        <f>IFERROR(__xludf.DUMMYFUNCTION("""COMPUTED_VALUE"""),"Model 3 LR AWD")</f>
        <v>Model 3 LR AWD</v>
      </c>
      <c r="O1929" s="152" t="str">
        <f>IFERROR(__xludf.DUMMYFUNCTION("""COMPUTED_VALUE"""),"Red Multi-Coat")</f>
        <v>Red Multi-Coat</v>
      </c>
      <c r="P1929" s="153" t="str">
        <f>IFERROR(__xludf.DUMMYFUNCTION("""COMPUTED_VALUE"""),"18 inch Aero")</f>
        <v>18 inch Aero</v>
      </c>
      <c r="Q1929" s="152" t="str">
        <f>IFERROR(__xludf.DUMMYFUNCTION("""COMPUTED_VALUE"""),"Black seats")</f>
        <v>Black seats</v>
      </c>
      <c r="R1929" s="149" t="str">
        <f>IFERROR(__xludf.DUMMYFUNCTION("""COMPUTED_VALUE"""),"Autopilot")</f>
        <v>Autopilot</v>
      </c>
      <c r="S1929" s="149"/>
      <c r="T1929" s="145"/>
      <c r="U1929" s="145"/>
      <c r="V1929" s="145"/>
      <c r="W1929" s="136"/>
      <c r="X1929" s="137" t="str">
        <f>IFERROR(__xludf.DUMMYFUNCTION("""COMPUTED_VALUE"""),"Excellent")</f>
        <v>Excellent</v>
      </c>
      <c r="Y1929" s="138" t="str">
        <f>IFERROR(__xludf.DUMMYFUNCTION("""COMPUTED_VALUE"""),"Excellent")</f>
        <v>Excellent</v>
      </c>
      <c r="Z1929" s="138" t="str">
        <f>IFERROR(__xludf.DUMMYFUNCTION("""COMPUTED_VALUE"""),"Excellent")</f>
        <v>Excellent</v>
      </c>
      <c r="AA1929" s="138" t="str">
        <f>IFERROR(__xludf.DUMMYFUNCTION("""COMPUTED_VALUE"""),"Excellent")</f>
        <v>Excellent</v>
      </c>
      <c r="AB1929" s="138" t="str">
        <f>IFERROR(__xludf.DUMMYFUNCTION("""COMPUTED_VALUE"""),"Excellent")</f>
        <v>Excellent</v>
      </c>
      <c r="AC1929" s="139"/>
      <c r="AD1929" s="139"/>
      <c r="AE1929" s="139"/>
      <c r="AF1929" s="140"/>
      <c r="AG1929" s="136"/>
      <c r="AH1929" s="157">
        <f>IFERROR(__xludf.DUMMYFUNCTION("""COMPUTED_VALUE"""),43599.36343462963)</f>
        <v>43599.36343</v>
      </c>
      <c r="AI1929" s="138"/>
      <c r="AJ1929" s="138"/>
      <c r="AK1929" s="138"/>
      <c r="AL1929" s="142"/>
    </row>
    <row r="1930" ht="20.25" customHeight="1">
      <c r="A1930" s="155" t="str">
        <f>IFERROR(__xludf.DUMMYFUNCTION("""COMPUTED_VALUE"""),"sraza")</f>
        <v>sraza</v>
      </c>
      <c r="B1930" s="149" t="str">
        <f>IFERROR(__xludf.DUMMYFUNCTION("""COMPUTED_VALUE"""),"Vancouver")</f>
        <v>Vancouver</v>
      </c>
      <c r="C1930" s="149" t="str">
        <f>IFERROR(__xludf.DUMMYFUNCTION("""COMPUTED_VALUE"""),"BC")</f>
        <v>BC</v>
      </c>
      <c r="D1930" s="149" t="str">
        <f>IFERROR(__xludf.DUMMYFUNCTION("""COMPUTED_VALUE"""),"Canada")</f>
        <v>Canada</v>
      </c>
      <c r="E1930" s="156">
        <f>IFERROR(__xludf.DUMMYFUNCTION("""COMPUTED_VALUE"""),43588.0)</f>
        <v>43588</v>
      </c>
      <c r="F1930" s="129">
        <f>IFERROR(__xludf.DUMMYFUNCTION("""COMPUTED_VALUE"""),43605.0)</f>
        <v>43605</v>
      </c>
      <c r="G1930" s="154"/>
      <c r="H1930" s="131">
        <f>IFERROR(__xludf.DUMMYFUNCTION("""COMPUTED_VALUE"""),400755.0)</f>
        <v>400755</v>
      </c>
      <c r="I1930" s="132" t="str">
        <f>IFERROR(__xludf.DUMMYFUNCTION("""COMPUTED_VALUE"""),"05/19")</f>
        <v>05/19</v>
      </c>
      <c r="J1930" s="129">
        <f>IFERROR(__xludf.DUMMYFUNCTION("""COMPUTED_VALUE"""),43617.0)</f>
        <v>43617</v>
      </c>
      <c r="K1930" s="133">
        <f>IFERROR(__xludf.DUMMYFUNCTION("""COMPUTED_VALUE"""),17.0)</f>
        <v>17</v>
      </c>
      <c r="L1930" s="133">
        <f>IFERROR(__xludf.DUMMYFUNCTION("""COMPUTED_VALUE"""),12.0)</f>
        <v>12</v>
      </c>
      <c r="M1930" s="133">
        <f>IFERROR(__xludf.DUMMYFUNCTION("""COMPUTED_VALUE"""),29.0)</f>
        <v>29</v>
      </c>
      <c r="N1930" s="152" t="str">
        <f>IFERROR(__xludf.DUMMYFUNCTION("""COMPUTED_VALUE"""),"Model 3 SR+")</f>
        <v>Model 3 SR+</v>
      </c>
      <c r="O1930" s="152" t="str">
        <f>IFERROR(__xludf.DUMMYFUNCTION("""COMPUTED_VALUE"""),"Deep Blue Metallic")</f>
        <v>Deep Blue Metallic</v>
      </c>
      <c r="P1930" s="153" t="str">
        <f>IFERROR(__xludf.DUMMYFUNCTION("""COMPUTED_VALUE"""),"18 inch Aero")</f>
        <v>18 inch Aero</v>
      </c>
      <c r="Q1930" s="152" t="str">
        <f>IFERROR(__xludf.DUMMYFUNCTION("""COMPUTED_VALUE"""),"Black seats")</f>
        <v>Black seats</v>
      </c>
      <c r="R1930" s="150" t="str">
        <f>IFERROR(__xludf.DUMMYFUNCTION("""COMPUTED_VALUE"""),"Autopilot")</f>
        <v>Autopilot</v>
      </c>
      <c r="S1930" s="150"/>
      <c r="T1930" s="136"/>
      <c r="U1930" s="136"/>
      <c r="V1930" s="136"/>
      <c r="W1930" s="136"/>
      <c r="X1930" s="137" t="str">
        <f>IFERROR(__xludf.DUMMYFUNCTION("""COMPUTED_VALUE"""),"Very Good")</f>
        <v>Very Good</v>
      </c>
      <c r="Y1930" s="138" t="str">
        <f>IFERROR(__xludf.DUMMYFUNCTION("""COMPUTED_VALUE"""),"Very Good")</f>
        <v>Very Good</v>
      </c>
      <c r="Z1930" s="138" t="str">
        <f>IFERROR(__xludf.DUMMYFUNCTION("""COMPUTED_VALUE"""),"Excellent")</f>
        <v>Excellent</v>
      </c>
      <c r="AA1930" s="138" t="str">
        <f>IFERROR(__xludf.DUMMYFUNCTION("""COMPUTED_VALUE"""),"Poor")</f>
        <v>Poor</v>
      </c>
      <c r="AB1930" s="138" t="str">
        <f>IFERROR(__xludf.DUMMYFUNCTION("""COMPUTED_VALUE"""),"Fair")</f>
        <v>Fair</v>
      </c>
      <c r="AC1930" s="139">
        <f>IFERROR(__xludf.DUMMYFUNCTION("""COMPUTED_VALUE"""),0.0)</f>
        <v>0</v>
      </c>
      <c r="AD1930" s="139"/>
      <c r="AE1930" s="139"/>
      <c r="AF1930" s="140"/>
      <c r="AG1930" s="136"/>
      <c r="AH1930" s="157">
        <f>IFERROR(__xludf.DUMMYFUNCTION("""COMPUTED_VALUE"""),43619.359018125)</f>
        <v>43619.35902</v>
      </c>
      <c r="AI1930" s="138"/>
      <c r="AJ1930" s="138"/>
      <c r="AK1930" s="138"/>
      <c r="AL1930" s="142"/>
    </row>
    <row r="1931" ht="20.25" customHeight="1">
      <c r="A1931" s="155" t="str">
        <f>IFERROR(__xludf.DUMMYFUNCTION("""COMPUTED_VALUE"""),"Werdna")</f>
        <v>Werdna</v>
      </c>
      <c r="B1931" s="149" t="str">
        <f>IFERROR(__xludf.DUMMYFUNCTION("""COMPUTED_VALUE"""),"Nanaimo")</f>
        <v>Nanaimo</v>
      </c>
      <c r="C1931" s="149" t="str">
        <f>IFERROR(__xludf.DUMMYFUNCTION("""COMPUTED_VALUE"""),"BC")</f>
        <v>BC</v>
      </c>
      <c r="D1931" s="149" t="str">
        <f>IFERROR(__xludf.DUMMYFUNCTION("""COMPUTED_VALUE"""),"Canada")</f>
        <v>Canada</v>
      </c>
      <c r="E1931" s="156">
        <f>IFERROR(__xludf.DUMMYFUNCTION("""COMPUTED_VALUE"""),43588.0)</f>
        <v>43588</v>
      </c>
      <c r="F1931" s="129">
        <f>IFERROR(__xludf.DUMMYFUNCTION("""COMPUTED_VALUE"""),43609.0)</f>
        <v>43609</v>
      </c>
      <c r="G1931" s="154"/>
      <c r="H1931" s="131">
        <f>IFERROR(__xludf.DUMMYFUNCTION("""COMPUTED_VALUE"""),395055.0)</f>
        <v>395055</v>
      </c>
      <c r="I1931" s="144" t="str">
        <f>IFERROR(__xludf.DUMMYFUNCTION("""COMPUTED_VALUE"""),"05/19")</f>
        <v>05/19</v>
      </c>
      <c r="J1931" s="129">
        <f>IFERROR(__xludf.DUMMYFUNCTION("""COMPUTED_VALUE"""),43619.0)</f>
        <v>43619</v>
      </c>
      <c r="K1931" s="133">
        <f>IFERROR(__xludf.DUMMYFUNCTION("""COMPUTED_VALUE"""),21.0)</f>
        <v>21</v>
      </c>
      <c r="L1931" s="133">
        <f>IFERROR(__xludf.DUMMYFUNCTION("""COMPUTED_VALUE"""),10.0)</f>
        <v>10</v>
      </c>
      <c r="M1931" s="133">
        <f>IFERROR(__xludf.DUMMYFUNCTION("""COMPUTED_VALUE"""),31.0)</f>
        <v>31</v>
      </c>
      <c r="N1931" s="152" t="str">
        <f>IFERROR(__xludf.DUMMYFUNCTION("""COMPUTED_VALUE"""),"Model 3 SR+")</f>
        <v>Model 3 SR+</v>
      </c>
      <c r="O1931" s="152" t="str">
        <f>IFERROR(__xludf.DUMMYFUNCTION("""COMPUTED_VALUE"""),"Solid Black")</f>
        <v>Solid Black</v>
      </c>
      <c r="P1931" s="153" t="str">
        <f>IFERROR(__xludf.DUMMYFUNCTION("""COMPUTED_VALUE"""),"18 inch Aero")</f>
        <v>18 inch Aero</v>
      </c>
      <c r="Q1931" s="152" t="str">
        <f>IFERROR(__xludf.DUMMYFUNCTION("""COMPUTED_VALUE"""),"Black seats")</f>
        <v>Black seats</v>
      </c>
      <c r="R1931" s="149" t="str">
        <f>IFERROR(__xludf.DUMMYFUNCTION("""COMPUTED_VALUE"""),"Autopilot")</f>
        <v>Autopilot</v>
      </c>
      <c r="S1931" s="149"/>
      <c r="T1931" s="145"/>
      <c r="U1931" s="145"/>
      <c r="V1931" s="145"/>
      <c r="W1931" s="136"/>
      <c r="X1931" s="137" t="str">
        <f>IFERROR(__xludf.DUMMYFUNCTION("""COMPUTED_VALUE"""),"Excellent")</f>
        <v>Excellent</v>
      </c>
      <c r="Y1931" s="138" t="str">
        <f>IFERROR(__xludf.DUMMYFUNCTION("""COMPUTED_VALUE"""),"Excellent")</f>
        <v>Excellent</v>
      </c>
      <c r="Z1931" s="138" t="str">
        <f>IFERROR(__xludf.DUMMYFUNCTION("""COMPUTED_VALUE"""),"Excellent")</f>
        <v>Excellent</v>
      </c>
      <c r="AA1931" s="138" t="str">
        <f>IFERROR(__xludf.DUMMYFUNCTION("""COMPUTED_VALUE"""),"Good")</f>
        <v>Good</v>
      </c>
      <c r="AB1931" s="138" t="str">
        <f>IFERROR(__xludf.DUMMYFUNCTION("""COMPUTED_VALUE"""),"Good")</f>
        <v>Good</v>
      </c>
      <c r="AC1931" s="139"/>
      <c r="AD1931" s="139"/>
      <c r="AE1931" s="139"/>
      <c r="AF1931" s="140"/>
      <c r="AG1931" s="145"/>
      <c r="AH1931" s="157">
        <f>IFERROR(__xludf.DUMMYFUNCTION("""COMPUTED_VALUE"""),43620.91228922454)</f>
        <v>43620.91229</v>
      </c>
      <c r="AI1931" s="138"/>
      <c r="AJ1931" s="138"/>
      <c r="AK1931" s="138"/>
      <c r="AL1931" s="142"/>
    </row>
    <row r="1932" ht="20.25" customHeight="1">
      <c r="A1932" s="155" t="str">
        <f>IFERROR(__xludf.DUMMYFUNCTION("""COMPUTED_VALUE"""),"iDigressed")</f>
        <v>iDigressed</v>
      </c>
      <c r="B1932" s="149" t="str">
        <f>IFERROR(__xludf.DUMMYFUNCTION("""COMPUTED_VALUE"""),"Los Angeles")</f>
        <v>Los Angeles</v>
      </c>
      <c r="C1932" s="149" t="str">
        <f>IFERROR(__xludf.DUMMYFUNCTION("""COMPUTED_VALUE"""),"CA")</f>
        <v>CA</v>
      </c>
      <c r="D1932" s="149" t="str">
        <f>IFERROR(__xludf.DUMMYFUNCTION("""COMPUTED_VALUE"""),"USA")</f>
        <v>USA</v>
      </c>
      <c r="E1932" s="156">
        <f>IFERROR(__xludf.DUMMYFUNCTION("""COMPUTED_VALUE"""),43587.0)</f>
        <v>43587</v>
      </c>
      <c r="F1932" s="129">
        <f>IFERROR(__xludf.DUMMYFUNCTION("""COMPUTED_VALUE"""),43616.0)</f>
        <v>43616</v>
      </c>
      <c r="G1932" s="154"/>
      <c r="H1932" s="131">
        <f>IFERROR(__xludf.DUMMYFUNCTION("""COMPUTED_VALUE"""),392255.0)</f>
        <v>392255</v>
      </c>
      <c r="I1932" s="144"/>
      <c r="J1932" s="129">
        <f>IFERROR(__xludf.DUMMYFUNCTION("""COMPUTED_VALUE"""),43620.0)</f>
        <v>43620</v>
      </c>
      <c r="K1932" s="133">
        <f>IFERROR(__xludf.DUMMYFUNCTION("""COMPUTED_VALUE"""),29.0)</f>
        <v>29</v>
      </c>
      <c r="L1932" s="133">
        <f>IFERROR(__xludf.DUMMYFUNCTION("""COMPUTED_VALUE"""),4.0)</f>
        <v>4</v>
      </c>
      <c r="M1932" s="133">
        <f>IFERROR(__xludf.DUMMYFUNCTION("""COMPUTED_VALUE"""),33.0)</f>
        <v>33</v>
      </c>
      <c r="N1932" s="152" t="str">
        <f>IFERROR(__xludf.DUMMYFUNCTION("""COMPUTED_VALUE"""),"Model 3 LR AWD")</f>
        <v>Model 3 LR AWD</v>
      </c>
      <c r="O1932" s="152" t="str">
        <f>IFERROR(__xludf.DUMMYFUNCTION("""COMPUTED_VALUE"""),"Pearl White Multi-Coat")</f>
        <v>Pearl White Multi-Coat</v>
      </c>
      <c r="P1932" s="153" t="str">
        <f>IFERROR(__xludf.DUMMYFUNCTION("""COMPUTED_VALUE"""),"19 inch Sport")</f>
        <v>19 inch Sport</v>
      </c>
      <c r="Q1932" s="152" t="str">
        <f>IFERROR(__xludf.DUMMYFUNCTION("""COMPUTED_VALUE"""),"White seats")</f>
        <v>White seats</v>
      </c>
      <c r="R1932" s="149" t="str">
        <f>IFERROR(__xludf.DUMMYFUNCTION("""COMPUTED_VALUE"""),"Autopilot")</f>
        <v>Autopilot</v>
      </c>
      <c r="S1932" s="149"/>
      <c r="T1932" s="145"/>
      <c r="U1932" s="145"/>
      <c r="V1932" s="145"/>
      <c r="W1932" s="136"/>
      <c r="X1932" s="137" t="str">
        <f>IFERROR(__xludf.DUMMYFUNCTION("""COMPUTED_VALUE"""),"Excellent")</f>
        <v>Excellent</v>
      </c>
      <c r="Y1932" s="138" t="str">
        <f>IFERROR(__xludf.DUMMYFUNCTION("""COMPUTED_VALUE"""),"Excellent")</f>
        <v>Excellent</v>
      </c>
      <c r="Z1932" s="138" t="str">
        <f>IFERROR(__xludf.DUMMYFUNCTION("""COMPUTED_VALUE"""),"Excellent")</f>
        <v>Excellent</v>
      </c>
      <c r="AA1932" s="138" t="str">
        <f>IFERROR(__xludf.DUMMYFUNCTION("""COMPUTED_VALUE"""),"Good")</f>
        <v>Good</v>
      </c>
      <c r="AB1932" s="138" t="str">
        <f>IFERROR(__xludf.DUMMYFUNCTION("""COMPUTED_VALUE"""),"Excellent")</f>
        <v>Excellent</v>
      </c>
      <c r="AC1932" s="139"/>
      <c r="AD1932" s="139"/>
      <c r="AE1932" s="139"/>
      <c r="AF1932" s="140"/>
      <c r="AG1932" s="145" t="str">
        <f>IFERROR(__xludf.DUMMYFUNCTION("""COMPUTED_VALUE"""),"&lt;3 this car!")</f>
        <v>&lt;3 this car!</v>
      </c>
      <c r="AH1932" s="157">
        <f>IFERROR(__xludf.DUMMYFUNCTION("""COMPUTED_VALUE"""),43623.02473456018)</f>
        <v>43623.02473</v>
      </c>
      <c r="AI1932" s="138"/>
      <c r="AJ1932" s="138"/>
      <c r="AK1932" s="138"/>
      <c r="AL1932" s="142"/>
    </row>
    <row r="1933" ht="20.25" customHeight="1">
      <c r="A1933" s="155" t="str">
        <f>IFERROR(__xludf.DUMMYFUNCTION("""COMPUTED_VALUE"""),"Scohtay")</f>
        <v>Scohtay</v>
      </c>
      <c r="B1933" s="149" t="str">
        <f>IFERROR(__xludf.DUMMYFUNCTION("""COMPUTED_VALUE"""),"Weybridge")</f>
        <v>Weybridge</v>
      </c>
      <c r="C1933" s="149"/>
      <c r="D1933" s="149" t="str">
        <f>IFERROR(__xludf.DUMMYFUNCTION("""COMPUTED_VALUE"""),"United Kingdom")</f>
        <v>United Kingdom</v>
      </c>
      <c r="E1933" s="156">
        <f>IFERROR(__xludf.DUMMYFUNCTION("""COMPUTED_VALUE"""),43587.0)</f>
        <v>43587</v>
      </c>
      <c r="F1933" s="129">
        <f>IFERROR(__xludf.DUMMYFUNCTION("""COMPUTED_VALUE"""),43685.0)</f>
        <v>43685</v>
      </c>
      <c r="G1933" s="154"/>
      <c r="H1933" s="131">
        <f>IFERROR(__xludf.DUMMYFUNCTION("""COMPUTED_VALUE"""),439655.0)</f>
        <v>439655</v>
      </c>
      <c r="I1933" s="144"/>
      <c r="J1933" s="129">
        <f>IFERROR(__xludf.DUMMYFUNCTION("""COMPUTED_VALUE"""),43691.0)</f>
        <v>43691</v>
      </c>
      <c r="K1933" s="133">
        <f>IFERROR(__xludf.DUMMYFUNCTION("""COMPUTED_VALUE"""),98.0)</f>
        <v>98</v>
      </c>
      <c r="L1933" s="133">
        <f>IFERROR(__xludf.DUMMYFUNCTION("""COMPUTED_VALUE"""),6.0)</f>
        <v>6</v>
      </c>
      <c r="M1933" s="133">
        <f>IFERROR(__xludf.DUMMYFUNCTION("""COMPUTED_VALUE"""),104.0)</f>
        <v>104</v>
      </c>
      <c r="N1933" s="152" t="str">
        <f>IFERROR(__xludf.DUMMYFUNCTION("""COMPUTED_VALUE"""),"Model 3 Performance")</f>
        <v>Model 3 Performance</v>
      </c>
      <c r="O1933" s="152" t="str">
        <f>IFERROR(__xludf.DUMMYFUNCTION("""COMPUTED_VALUE"""),"Pearl White Multi-Coat")</f>
        <v>Pearl White Multi-Coat</v>
      </c>
      <c r="P1933" s="153" t="str">
        <f>IFERROR(__xludf.DUMMYFUNCTION("""COMPUTED_VALUE"""),"20 inch Sport")</f>
        <v>20 inch Sport</v>
      </c>
      <c r="Q1933" s="152" t="str">
        <f>IFERROR(__xludf.DUMMYFUNCTION("""COMPUTED_VALUE"""),"White seats")</f>
        <v>White seats</v>
      </c>
      <c r="R1933" s="149" t="str">
        <f>IFERROR(__xludf.DUMMYFUNCTION("""COMPUTED_VALUE"""),"Full Self-Driving")</f>
        <v>Full Self-Driving</v>
      </c>
      <c r="S1933" s="149"/>
      <c r="T1933" s="145"/>
      <c r="U1933" s="145"/>
      <c r="V1933" s="145"/>
      <c r="W1933" s="136"/>
      <c r="X1933" s="137" t="str">
        <f>IFERROR(__xludf.DUMMYFUNCTION("""COMPUTED_VALUE"""),"Excellent")</f>
        <v>Excellent</v>
      </c>
      <c r="Y1933" s="138" t="str">
        <f>IFERROR(__xludf.DUMMYFUNCTION("""COMPUTED_VALUE"""),"Excellent")</f>
        <v>Excellent</v>
      </c>
      <c r="Z1933" s="138" t="str">
        <f>IFERROR(__xludf.DUMMYFUNCTION("""COMPUTED_VALUE"""),"Very Good")</f>
        <v>Very Good</v>
      </c>
      <c r="AA1933" s="138" t="str">
        <f>IFERROR(__xludf.DUMMYFUNCTION("""COMPUTED_VALUE"""),"Excellent")</f>
        <v>Excellent</v>
      </c>
      <c r="AB1933" s="138" t="str">
        <f>IFERROR(__xludf.DUMMYFUNCTION("""COMPUTED_VALUE"""),"Excellent")</f>
        <v>Excellent</v>
      </c>
      <c r="AC1933" s="139">
        <f>IFERROR(__xludf.DUMMYFUNCTION("""COMPUTED_VALUE"""),0.0)</f>
        <v>0</v>
      </c>
      <c r="AD1933" s="139">
        <f>IFERROR(__xludf.DUMMYFUNCTION("""COMPUTED_VALUE"""),0.0)</f>
        <v>0</v>
      </c>
      <c r="AE1933" s="139">
        <f>IFERROR(__xludf.DUMMYFUNCTION("""COMPUTED_VALUE"""),0.0)</f>
        <v>0</v>
      </c>
      <c r="AF1933" s="140"/>
      <c r="AG1933" s="136"/>
      <c r="AH1933" s="157">
        <f>IFERROR(__xludf.DUMMYFUNCTION("""COMPUTED_VALUE"""),43718.19788329861)</f>
        <v>43718.19788</v>
      </c>
      <c r="AI1933" s="138"/>
      <c r="AJ1933" s="138"/>
      <c r="AK1933" s="138"/>
      <c r="AL1933" s="142"/>
    </row>
    <row r="1934" ht="20.25" customHeight="1">
      <c r="A1934" s="155" t="str">
        <f>IFERROR(__xludf.DUMMYFUNCTION("""COMPUTED_VALUE"""),"TiMath")</f>
        <v>TiMath</v>
      </c>
      <c r="B1934" s="149" t="str">
        <f>IFERROR(__xludf.DUMMYFUNCTION("""COMPUTED_VALUE"""),"Quebec")</f>
        <v>Quebec</v>
      </c>
      <c r="C1934" s="149" t="str">
        <f>IFERROR(__xludf.DUMMYFUNCTION("""COMPUTED_VALUE"""),"QC")</f>
        <v>QC</v>
      </c>
      <c r="D1934" s="149" t="str">
        <f>IFERROR(__xludf.DUMMYFUNCTION("""COMPUTED_VALUE"""),"Canada")</f>
        <v>Canada</v>
      </c>
      <c r="E1934" s="156">
        <f>IFERROR(__xludf.DUMMYFUNCTION("""COMPUTED_VALUE"""),43587.0)</f>
        <v>43587</v>
      </c>
      <c r="F1934" s="129">
        <f>IFERROR(__xludf.DUMMYFUNCTION("""COMPUTED_VALUE"""),43607.0)</f>
        <v>43607</v>
      </c>
      <c r="G1934" s="154"/>
      <c r="H1934" s="131">
        <f>IFERROR(__xludf.DUMMYFUNCTION("""COMPUTED_VALUE"""),403055.0)</f>
        <v>403055</v>
      </c>
      <c r="I1934" s="144"/>
      <c r="J1934" s="129">
        <f>IFERROR(__xludf.DUMMYFUNCTION("""COMPUTED_VALUE"""),43627.0)</f>
        <v>43627</v>
      </c>
      <c r="K1934" s="133">
        <f>IFERROR(__xludf.DUMMYFUNCTION("""COMPUTED_VALUE"""),20.0)</f>
        <v>20</v>
      </c>
      <c r="L1934" s="133">
        <f>IFERROR(__xludf.DUMMYFUNCTION("""COMPUTED_VALUE"""),20.0)</f>
        <v>20</v>
      </c>
      <c r="M1934" s="133">
        <f>IFERROR(__xludf.DUMMYFUNCTION("""COMPUTED_VALUE"""),40.0)</f>
        <v>40</v>
      </c>
      <c r="N1934" s="152" t="str">
        <f>IFERROR(__xludf.DUMMYFUNCTION("""COMPUTED_VALUE"""),"Model 3 SR+")</f>
        <v>Model 3 SR+</v>
      </c>
      <c r="O1934" s="152" t="str">
        <f>IFERROR(__xludf.DUMMYFUNCTION("""COMPUTED_VALUE"""),"Solid Black")</f>
        <v>Solid Black</v>
      </c>
      <c r="P1934" s="153" t="str">
        <f>IFERROR(__xludf.DUMMYFUNCTION("""COMPUTED_VALUE"""),"18 inch Aero")</f>
        <v>18 inch Aero</v>
      </c>
      <c r="Q1934" s="152" t="str">
        <f>IFERROR(__xludf.DUMMYFUNCTION("""COMPUTED_VALUE"""),"Black seats")</f>
        <v>Black seats</v>
      </c>
      <c r="R1934" s="149" t="str">
        <f>IFERROR(__xludf.DUMMYFUNCTION("""COMPUTED_VALUE"""),"Autopilot")</f>
        <v>Autopilot</v>
      </c>
      <c r="S1934" s="149"/>
      <c r="T1934" s="145"/>
      <c r="U1934" s="145"/>
      <c r="V1934" s="145"/>
      <c r="W1934" s="145"/>
      <c r="X1934" s="137" t="str">
        <f>IFERROR(__xludf.DUMMYFUNCTION("""COMPUTED_VALUE"""),"Excellent")</f>
        <v>Excellent</v>
      </c>
      <c r="Y1934" s="138" t="str">
        <f>IFERROR(__xludf.DUMMYFUNCTION("""COMPUTED_VALUE"""),"Very Good")</f>
        <v>Very Good</v>
      </c>
      <c r="Z1934" s="138" t="str">
        <f>IFERROR(__xludf.DUMMYFUNCTION("""COMPUTED_VALUE"""),"Very Good")</f>
        <v>Very Good</v>
      </c>
      <c r="AA1934" s="138" t="str">
        <f>IFERROR(__xludf.DUMMYFUNCTION("""COMPUTED_VALUE"""),"Poor")</f>
        <v>Poor</v>
      </c>
      <c r="AB1934" s="138" t="str">
        <f>IFERROR(__xludf.DUMMYFUNCTION("""COMPUTED_VALUE"""),"Very Good")</f>
        <v>Very Good</v>
      </c>
      <c r="AC1934" s="139">
        <f>IFERROR(__xludf.DUMMYFUNCTION("""COMPUTED_VALUE"""),3.0)</f>
        <v>3</v>
      </c>
      <c r="AD1934" s="139">
        <f>IFERROR(__xludf.DUMMYFUNCTION("""COMPUTED_VALUE"""),1.0)</f>
        <v>1</v>
      </c>
      <c r="AE1934" s="139">
        <f>IFERROR(__xludf.DUMMYFUNCTION("""COMPUTED_VALUE"""),1.0)</f>
        <v>1</v>
      </c>
      <c r="AF1934" s="140"/>
      <c r="AG1934" s="145" t="str">
        <f>IFERROR(__xludf.DUMMYFUNCTION("""COMPUTED_VALUE"""),"Car was at service center on june 8 but no delevery appointment possible until june 11")</f>
        <v>Car was at service center on june 8 but no delevery appointment possible until june 11</v>
      </c>
      <c r="AH1934" s="157">
        <f>IFERROR(__xludf.DUMMYFUNCTION("""COMPUTED_VALUE"""),43641.522411550926)</f>
        <v>43641.52241</v>
      </c>
      <c r="AI1934" s="138"/>
      <c r="AJ1934" s="138"/>
      <c r="AK1934" s="138"/>
      <c r="AL1934" s="142"/>
    </row>
    <row r="1935" ht="20.25" customHeight="1">
      <c r="A1935" s="155" t="str">
        <f>IFERROR(__xludf.DUMMYFUNCTION("""COMPUTED_VALUE"""),"zachbiz")</f>
        <v>zachbiz</v>
      </c>
      <c r="B1935" s="149" t="str">
        <f>IFERROR(__xludf.DUMMYFUNCTION("""COMPUTED_VALUE"""),"San Diego")</f>
        <v>San Diego</v>
      </c>
      <c r="C1935" s="149" t="str">
        <f>IFERROR(__xludf.DUMMYFUNCTION("""COMPUTED_VALUE"""),"CA")</f>
        <v>CA</v>
      </c>
      <c r="D1935" s="149" t="str">
        <f>IFERROR(__xludf.DUMMYFUNCTION("""COMPUTED_VALUE"""),"USA")</f>
        <v>USA</v>
      </c>
      <c r="E1935" s="156">
        <f>IFERROR(__xludf.DUMMYFUNCTION("""COMPUTED_VALUE"""),43587.0)</f>
        <v>43587</v>
      </c>
      <c r="F1935" s="129">
        <f>IFERROR(__xludf.DUMMYFUNCTION("""COMPUTED_VALUE"""),43610.0)</f>
        <v>43610</v>
      </c>
      <c r="G1935" s="154"/>
      <c r="H1935" s="131">
        <f>IFERROR(__xludf.DUMMYFUNCTION("""COMPUTED_VALUE"""),213655.0)</f>
        <v>213655</v>
      </c>
      <c r="I1935" s="132" t="str">
        <f>IFERROR(__xludf.DUMMYFUNCTION("""COMPUTED_VALUE"""),"05/19")</f>
        <v>05/19</v>
      </c>
      <c r="J1935" s="129">
        <f>IFERROR(__xludf.DUMMYFUNCTION("""COMPUTED_VALUE"""),43613.0)</f>
        <v>43613</v>
      </c>
      <c r="K1935" s="133">
        <f>IFERROR(__xludf.DUMMYFUNCTION("""COMPUTED_VALUE"""),23.0)</f>
        <v>23</v>
      </c>
      <c r="L1935" s="133">
        <f>IFERROR(__xludf.DUMMYFUNCTION("""COMPUTED_VALUE"""),3.0)</f>
        <v>3</v>
      </c>
      <c r="M1935" s="133">
        <f>IFERROR(__xludf.DUMMYFUNCTION("""COMPUTED_VALUE"""),26.0)</f>
        <v>26</v>
      </c>
      <c r="N1935" s="152" t="str">
        <f>IFERROR(__xludf.DUMMYFUNCTION("""COMPUTED_VALUE"""),"Model 3 LR AWD")</f>
        <v>Model 3 LR AWD</v>
      </c>
      <c r="O1935" s="152" t="str">
        <f>IFERROR(__xludf.DUMMYFUNCTION("""COMPUTED_VALUE"""),"Pearl White Multi-Coat")</f>
        <v>Pearl White Multi-Coat</v>
      </c>
      <c r="P1935" s="153" t="str">
        <f>IFERROR(__xludf.DUMMYFUNCTION("""COMPUTED_VALUE"""),"18 inch Aero")</f>
        <v>18 inch Aero</v>
      </c>
      <c r="Q1935" s="152" t="str">
        <f>IFERROR(__xludf.DUMMYFUNCTION("""COMPUTED_VALUE"""),"White seats")</f>
        <v>White seats</v>
      </c>
      <c r="R1935" s="150" t="str">
        <f>IFERROR(__xludf.DUMMYFUNCTION("""COMPUTED_VALUE"""),"Autopilot")</f>
        <v>Autopilot</v>
      </c>
      <c r="S1935" s="150"/>
      <c r="T1935" s="136"/>
      <c r="U1935" s="136"/>
      <c r="V1935" s="136"/>
      <c r="W1935" s="136"/>
      <c r="X1935" s="137" t="str">
        <f>IFERROR(__xludf.DUMMYFUNCTION("""COMPUTED_VALUE"""),"Very Good")</f>
        <v>Very Good</v>
      </c>
      <c r="Y1935" s="138" t="str">
        <f>IFERROR(__xludf.DUMMYFUNCTION("""COMPUTED_VALUE"""),"Excellent")</f>
        <v>Excellent</v>
      </c>
      <c r="Z1935" s="138" t="str">
        <f>IFERROR(__xludf.DUMMYFUNCTION("""COMPUTED_VALUE"""),"Very Good")</f>
        <v>Very Good</v>
      </c>
      <c r="AA1935" s="138" t="str">
        <f>IFERROR(__xludf.DUMMYFUNCTION("""COMPUTED_VALUE"""),"Excellent")</f>
        <v>Excellent</v>
      </c>
      <c r="AB1935" s="138" t="str">
        <f>IFERROR(__xludf.DUMMYFUNCTION("""COMPUTED_VALUE"""),"Excellent")</f>
        <v>Excellent</v>
      </c>
      <c r="AC1935" s="139">
        <f>IFERROR(__xludf.DUMMYFUNCTION("""COMPUTED_VALUE"""),3.0)</f>
        <v>3</v>
      </c>
      <c r="AD1935" s="139">
        <f>IFERROR(__xludf.DUMMYFUNCTION("""COMPUTED_VALUE"""),1.0)</f>
        <v>1</v>
      </c>
      <c r="AE1935" s="139"/>
      <c r="AF1935" s="140"/>
      <c r="AG1935" s="136" t="str">
        <f>IFERROR(__xludf.DUMMYFUNCTION("""COMPUTED_VALUE"""),"Clear coat run on left mirror. Trunk panel gap issue. Paint blemish on right sideskirt. ")</f>
        <v>Clear coat run on left mirror. Trunk panel gap issue. Paint blemish on right sideskirt. </v>
      </c>
      <c r="AH1935" s="157">
        <f>IFERROR(__xludf.DUMMYFUNCTION("""COMPUTED_VALUE"""),43616.31414861111)</f>
        <v>43616.31415</v>
      </c>
      <c r="AI1935" s="138"/>
      <c r="AJ1935" s="138"/>
      <c r="AK1935" s="138"/>
      <c r="AL1935" s="142"/>
    </row>
    <row r="1936" ht="20.25" customHeight="1">
      <c r="A1936" s="155" t="str">
        <f>IFERROR(__xludf.DUMMYFUNCTION("""COMPUTED_VALUE"""),"Can37")</f>
        <v>Can37</v>
      </c>
      <c r="B1936" s="150" t="str">
        <f>IFERROR(__xludf.DUMMYFUNCTION("""COMPUTED_VALUE"""),"Ottawa")</f>
        <v>Ottawa</v>
      </c>
      <c r="C1936" s="149" t="str">
        <f>IFERROR(__xludf.DUMMYFUNCTION("""COMPUTED_VALUE"""),"ON")</f>
        <v>ON</v>
      </c>
      <c r="D1936" s="149" t="str">
        <f>IFERROR(__xludf.DUMMYFUNCTION("""COMPUTED_VALUE"""),"Canada")</f>
        <v>Canada</v>
      </c>
      <c r="E1936" s="156">
        <f>IFERROR(__xludf.DUMMYFUNCTION("""COMPUTED_VALUE"""),43586.0)</f>
        <v>43586</v>
      </c>
      <c r="F1936" s="129">
        <f>IFERROR(__xludf.DUMMYFUNCTION("""COMPUTED_VALUE"""),43617.0)</f>
        <v>43617</v>
      </c>
      <c r="G1936" s="154"/>
      <c r="H1936" s="131">
        <f>IFERROR(__xludf.DUMMYFUNCTION("""COMPUTED_VALUE"""),414455.0)</f>
        <v>414455</v>
      </c>
      <c r="I1936" s="132" t="str">
        <f>IFERROR(__xludf.DUMMYFUNCTION("""COMPUTED_VALUE"""),"06/19")</f>
        <v>06/19</v>
      </c>
      <c r="J1936" s="129">
        <f>IFERROR(__xludf.DUMMYFUNCTION("""COMPUTED_VALUE"""),43633.0)</f>
        <v>43633</v>
      </c>
      <c r="K1936" s="133">
        <f>IFERROR(__xludf.DUMMYFUNCTION("""COMPUTED_VALUE"""),31.0)</f>
        <v>31</v>
      </c>
      <c r="L1936" s="133">
        <f>IFERROR(__xludf.DUMMYFUNCTION("""COMPUTED_VALUE"""),16.0)</f>
        <v>16</v>
      </c>
      <c r="M1936" s="133">
        <f>IFERROR(__xludf.DUMMYFUNCTION("""COMPUTED_VALUE"""),47.0)</f>
        <v>47</v>
      </c>
      <c r="N1936" s="152" t="str">
        <f>IFERROR(__xludf.DUMMYFUNCTION("""COMPUTED_VALUE"""),"Model 3 SR+")</f>
        <v>Model 3 SR+</v>
      </c>
      <c r="O1936" s="152" t="str">
        <f>IFERROR(__xludf.DUMMYFUNCTION("""COMPUTED_VALUE"""),"Pearl White Multi-Coat")</f>
        <v>Pearl White Multi-Coat</v>
      </c>
      <c r="P1936" s="153" t="str">
        <f>IFERROR(__xludf.DUMMYFUNCTION("""COMPUTED_VALUE"""),"18 inch Aero")</f>
        <v>18 inch Aero</v>
      </c>
      <c r="Q1936" s="152" t="str">
        <f>IFERROR(__xludf.DUMMYFUNCTION("""COMPUTED_VALUE"""),"Black seats")</f>
        <v>Black seats</v>
      </c>
      <c r="R1936" s="150" t="str">
        <f>IFERROR(__xludf.DUMMYFUNCTION("""COMPUTED_VALUE"""),"Autopilot")</f>
        <v>Autopilot</v>
      </c>
      <c r="S1936" s="150"/>
      <c r="T1936" s="136"/>
      <c r="U1936" s="136"/>
      <c r="V1936" s="136"/>
      <c r="W1936" s="136"/>
      <c r="X1936" s="137" t="str">
        <f>IFERROR(__xludf.DUMMYFUNCTION("""COMPUTED_VALUE"""),"Poor")</f>
        <v>Poor</v>
      </c>
      <c r="Y1936" s="138" t="str">
        <f>IFERROR(__xludf.DUMMYFUNCTION("""COMPUTED_VALUE"""),"Very Good")</f>
        <v>Very Good</v>
      </c>
      <c r="Z1936" s="138" t="str">
        <f>IFERROR(__xludf.DUMMYFUNCTION("""COMPUTED_VALUE"""),"Good")</f>
        <v>Good</v>
      </c>
      <c r="AA1936" s="138" t="str">
        <f>IFERROR(__xludf.DUMMYFUNCTION("""COMPUTED_VALUE"""),"Poor")</f>
        <v>Poor</v>
      </c>
      <c r="AB1936" s="138" t="str">
        <f>IFERROR(__xludf.DUMMYFUNCTION("""COMPUTED_VALUE"""),"Fair")</f>
        <v>Fair</v>
      </c>
      <c r="AC1936" s="139">
        <f>IFERROR(__xludf.DUMMYFUNCTION("""COMPUTED_VALUE"""),3.0)</f>
        <v>3</v>
      </c>
      <c r="AD1936" s="139">
        <f>IFERROR(__xludf.DUMMYFUNCTION("""COMPUTED_VALUE"""),1.0)</f>
        <v>1</v>
      </c>
      <c r="AE1936" s="139">
        <f>IFERROR(__xludf.DUMMYFUNCTION("""COMPUTED_VALUE"""),0.0)</f>
        <v>0</v>
      </c>
      <c r="AF1936" s="140"/>
      <c r="AG1936" s="136"/>
      <c r="AH1936" s="157">
        <f>IFERROR(__xludf.DUMMYFUNCTION("""COMPUTED_VALUE"""),43654.215103449074)</f>
        <v>43654.2151</v>
      </c>
      <c r="AI1936" s="138"/>
      <c r="AJ1936" s="138"/>
      <c r="AK1936" s="138"/>
      <c r="AL1936" s="142"/>
    </row>
    <row r="1937" ht="20.25" customHeight="1">
      <c r="A1937" s="155" t="str">
        <f>IFERROR(__xludf.DUMMYFUNCTION("""COMPUTED_VALUE"""),"jsdugan")</f>
        <v>jsdugan</v>
      </c>
      <c r="B1937" s="149" t="str">
        <f>IFERROR(__xludf.DUMMYFUNCTION("""COMPUTED_VALUE"""),"Springfield")</f>
        <v>Springfield</v>
      </c>
      <c r="C1937" s="149" t="str">
        <f>IFERROR(__xludf.DUMMYFUNCTION("""COMPUTED_VALUE"""),"IL")</f>
        <v>IL</v>
      </c>
      <c r="D1937" s="149" t="str">
        <f>IFERROR(__xludf.DUMMYFUNCTION("""COMPUTED_VALUE"""),"USA")</f>
        <v>USA</v>
      </c>
      <c r="E1937" s="156">
        <f>IFERROR(__xludf.DUMMYFUNCTION("""COMPUTED_VALUE"""),43586.0)</f>
        <v>43586</v>
      </c>
      <c r="F1937" s="129">
        <f>IFERROR(__xludf.DUMMYFUNCTION("""COMPUTED_VALUE"""),43594.0)</f>
        <v>43594</v>
      </c>
      <c r="G1937" s="154"/>
      <c r="H1937" s="131">
        <f>IFERROR(__xludf.DUMMYFUNCTION("""COMPUTED_VALUE"""),317171.0)</f>
        <v>317171</v>
      </c>
      <c r="I1937" s="144" t="str">
        <f>IFERROR(__xludf.DUMMYFUNCTION("""COMPUTED_VALUE"""),"11/18")</f>
        <v>11/18</v>
      </c>
      <c r="J1937" s="129">
        <f>IFERROR(__xludf.DUMMYFUNCTION("""COMPUTED_VALUE"""),43596.0)</f>
        <v>43596</v>
      </c>
      <c r="K1937" s="133">
        <f>IFERROR(__xludf.DUMMYFUNCTION("""COMPUTED_VALUE"""),8.0)</f>
        <v>8</v>
      </c>
      <c r="L1937" s="133">
        <f>IFERROR(__xludf.DUMMYFUNCTION("""COMPUTED_VALUE"""),2.0)</f>
        <v>2</v>
      </c>
      <c r="M1937" s="133">
        <f>IFERROR(__xludf.DUMMYFUNCTION("""COMPUTED_VALUE"""),10.0)</f>
        <v>10</v>
      </c>
      <c r="N1937" s="152" t="str">
        <f>IFERROR(__xludf.DUMMYFUNCTION("""COMPUTED_VALUE"""),"Model 3 SR")</f>
        <v>Model 3 SR</v>
      </c>
      <c r="O1937" s="152" t="str">
        <f>IFERROR(__xludf.DUMMYFUNCTION("""COMPUTED_VALUE"""),"Midnight Silver Metallic")</f>
        <v>Midnight Silver Metallic</v>
      </c>
      <c r="P1937" s="153" t="str">
        <f>IFERROR(__xludf.DUMMYFUNCTION("""COMPUTED_VALUE"""),"18 inch Aero")</f>
        <v>18 inch Aero</v>
      </c>
      <c r="Q1937" s="152" t="str">
        <f>IFERROR(__xludf.DUMMYFUNCTION("""COMPUTED_VALUE"""),"Black seats")</f>
        <v>Black seats</v>
      </c>
      <c r="R1937" s="149" t="str">
        <f>IFERROR(__xludf.DUMMYFUNCTION("""COMPUTED_VALUE"""),"None")</f>
        <v>None</v>
      </c>
      <c r="S1937" s="149"/>
      <c r="T1937" s="145"/>
      <c r="U1937" s="145"/>
      <c r="V1937" s="145"/>
      <c r="W1937" s="136"/>
      <c r="X1937" s="137" t="str">
        <f>IFERROR(__xludf.DUMMYFUNCTION("""COMPUTED_VALUE"""),"Very Good")</f>
        <v>Very Good</v>
      </c>
      <c r="Y1937" s="138" t="str">
        <f>IFERROR(__xludf.DUMMYFUNCTION("""COMPUTED_VALUE"""),"Very Good")</f>
        <v>Very Good</v>
      </c>
      <c r="Z1937" s="138" t="str">
        <f>IFERROR(__xludf.DUMMYFUNCTION("""COMPUTED_VALUE"""),"Very Good")</f>
        <v>Very Good</v>
      </c>
      <c r="AA1937" s="138" t="str">
        <f>IFERROR(__xludf.DUMMYFUNCTION("""COMPUTED_VALUE"""),"Good")</f>
        <v>Good</v>
      </c>
      <c r="AB1937" s="138" t="str">
        <f>IFERROR(__xludf.DUMMYFUNCTION("""COMPUTED_VALUE"""),"Good")</f>
        <v>Good</v>
      </c>
      <c r="AC1937" s="139"/>
      <c r="AD1937" s="139"/>
      <c r="AE1937" s="139"/>
      <c r="AF1937" s="140"/>
      <c r="AG1937" s="136"/>
      <c r="AH1937" s="157">
        <f>IFERROR(__xludf.DUMMYFUNCTION("""COMPUTED_VALUE"""),43596.63662231481)</f>
        <v>43596.63662</v>
      </c>
      <c r="AI1937" s="138"/>
      <c r="AJ1937" s="138"/>
      <c r="AK1937" s="138"/>
      <c r="AL1937" s="142"/>
    </row>
    <row r="1938" ht="20.25" customHeight="1">
      <c r="A1938" s="155" t="str">
        <f>IFERROR(__xludf.DUMMYFUNCTION("""COMPUTED_VALUE"""),"mcorf")</f>
        <v>mcorf</v>
      </c>
      <c r="B1938" s="149" t="str">
        <f>IFERROR(__xludf.DUMMYFUNCTION("""COMPUTED_VALUE"""),"Campbell")</f>
        <v>Campbell</v>
      </c>
      <c r="C1938" s="149" t="str">
        <f>IFERROR(__xludf.DUMMYFUNCTION("""COMPUTED_VALUE"""),"OH")</f>
        <v>OH</v>
      </c>
      <c r="D1938" s="149" t="str">
        <f>IFERROR(__xludf.DUMMYFUNCTION("""COMPUTED_VALUE"""),"USA")</f>
        <v>USA</v>
      </c>
      <c r="E1938" s="156">
        <f>IFERROR(__xludf.DUMMYFUNCTION("""COMPUTED_VALUE"""),43586.0)</f>
        <v>43586</v>
      </c>
      <c r="F1938" s="129">
        <f>IFERROR(__xludf.DUMMYFUNCTION("""COMPUTED_VALUE"""),43603.0)</f>
        <v>43603</v>
      </c>
      <c r="G1938" s="154"/>
      <c r="H1938" s="131">
        <f>IFERROR(__xludf.DUMMYFUNCTION("""COMPUTED_VALUE"""),384255.0)</f>
        <v>384255</v>
      </c>
      <c r="I1938" s="144" t="str">
        <f>IFERROR(__xludf.DUMMYFUNCTION("""COMPUTED_VALUE"""),"05/19")</f>
        <v>05/19</v>
      </c>
      <c r="J1938" s="129">
        <f>IFERROR(__xludf.DUMMYFUNCTION("""COMPUTED_VALUE"""),43613.0)</f>
        <v>43613</v>
      </c>
      <c r="K1938" s="133">
        <f>IFERROR(__xludf.DUMMYFUNCTION("""COMPUTED_VALUE"""),17.0)</f>
        <v>17</v>
      </c>
      <c r="L1938" s="133">
        <f>IFERROR(__xludf.DUMMYFUNCTION("""COMPUTED_VALUE"""),10.0)</f>
        <v>10</v>
      </c>
      <c r="M1938" s="133">
        <f>IFERROR(__xludf.DUMMYFUNCTION("""COMPUTED_VALUE"""),27.0)</f>
        <v>27</v>
      </c>
      <c r="N1938" s="152" t="str">
        <f>IFERROR(__xludf.DUMMYFUNCTION("""COMPUTED_VALUE"""),"Model 3 LR AWD")</f>
        <v>Model 3 LR AWD</v>
      </c>
      <c r="O1938" s="152" t="str">
        <f>IFERROR(__xludf.DUMMYFUNCTION("""COMPUTED_VALUE"""),"Solid Black")</f>
        <v>Solid Black</v>
      </c>
      <c r="P1938" s="153" t="str">
        <f>IFERROR(__xludf.DUMMYFUNCTION("""COMPUTED_VALUE"""),"18 inch Aero")</f>
        <v>18 inch Aero</v>
      </c>
      <c r="Q1938" s="152" t="str">
        <f>IFERROR(__xludf.DUMMYFUNCTION("""COMPUTED_VALUE"""),"Black seats")</f>
        <v>Black seats</v>
      </c>
      <c r="R1938" s="149" t="str">
        <f>IFERROR(__xludf.DUMMYFUNCTION("""COMPUTED_VALUE"""),"Full Self-Driving")</f>
        <v>Full Self-Driving</v>
      </c>
      <c r="S1938" s="149"/>
      <c r="T1938" s="145"/>
      <c r="U1938" s="145"/>
      <c r="V1938" s="145"/>
      <c r="W1938" s="145"/>
      <c r="X1938" s="137" t="str">
        <f>IFERROR(__xludf.DUMMYFUNCTION("""COMPUTED_VALUE"""),"Excellent")</f>
        <v>Excellent</v>
      </c>
      <c r="Y1938" s="138" t="str">
        <f>IFERROR(__xludf.DUMMYFUNCTION("""COMPUTED_VALUE"""),"Excellent")</f>
        <v>Excellent</v>
      </c>
      <c r="Z1938" s="138" t="str">
        <f>IFERROR(__xludf.DUMMYFUNCTION("""COMPUTED_VALUE"""),"Very Good")</f>
        <v>Very Good</v>
      </c>
      <c r="AA1938" s="138" t="str">
        <f>IFERROR(__xludf.DUMMYFUNCTION("""COMPUTED_VALUE"""),"Good")</f>
        <v>Good</v>
      </c>
      <c r="AB1938" s="138" t="str">
        <f>IFERROR(__xludf.DUMMYFUNCTION("""COMPUTED_VALUE"""),"Very Good")</f>
        <v>Very Good</v>
      </c>
      <c r="AC1938" s="139">
        <f>IFERROR(__xludf.DUMMYFUNCTION("""COMPUTED_VALUE"""),1.0)</f>
        <v>1</v>
      </c>
      <c r="AD1938" s="139">
        <f>IFERROR(__xludf.DUMMYFUNCTION("""COMPUTED_VALUE"""),0.0)</f>
        <v>0</v>
      </c>
      <c r="AE1938" s="139">
        <f>IFERROR(__xludf.DUMMYFUNCTION("""COMPUTED_VALUE"""),0.0)</f>
        <v>0</v>
      </c>
      <c r="AF1938" s="140"/>
      <c r="AG1938" s="145"/>
      <c r="AH1938" s="157">
        <f>IFERROR(__xludf.DUMMYFUNCTION("""COMPUTED_VALUE"""),43614.532735706016)</f>
        <v>43614.53274</v>
      </c>
      <c r="AI1938" s="138"/>
      <c r="AJ1938" s="138"/>
      <c r="AK1938" s="138"/>
      <c r="AL1938" s="142"/>
    </row>
    <row r="1939" ht="20.25" customHeight="1">
      <c r="A1939" s="155" t="str">
        <f>IFERROR(__xludf.DUMMYFUNCTION("""COMPUTED_VALUE"""),"Snapyou")</f>
        <v>Snapyou</v>
      </c>
      <c r="B1939" s="149" t="str">
        <f>IFERROR(__xludf.DUMMYFUNCTION("""COMPUTED_VALUE"""),"Hemel Hempstead")</f>
        <v>Hemel Hempstead</v>
      </c>
      <c r="C1939" s="149"/>
      <c r="D1939" s="149" t="str">
        <f>IFERROR(__xludf.DUMMYFUNCTION("""COMPUTED_VALUE"""),"United Kingdom")</f>
        <v>United Kingdom</v>
      </c>
      <c r="E1939" s="156">
        <f>IFERROR(__xludf.DUMMYFUNCTION("""COMPUTED_VALUE"""),43586.0)</f>
        <v>43586</v>
      </c>
      <c r="F1939" s="129">
        <f>IFERROR(__xludf.DUMMYFUNCTION("""COMPUTED_VALUE"""),43725.0)</f>
        <v>43725</v>
      </c>
      <c r="G1939" s="154"/>
      <c r="H1939" s="131">
        <f>IFERROR(__xludf.DUMMYFUNCTION("""COMPUTED_VALUE"""),463225.0)</f>
        <v>463225</v>
      </c>
      <c r="I1939" s="144"/>
      <c r="J1939" s="129">
        <f>IFERROR(__xludf.DUMMYFUNCTION("""COMPUTED_VALUE"""),43736.0)</f>
        <v>43736</v>
      </c>
      <c r="K1939" s="133">
        <f>IFERROR(__xludf.DUMMYFUNCTION("""COMPUTED_VALUE"""),139.0)</f>
        <v>139</v>
      </c>
      <c r="L1939" s="133">
        <f>IFERROR(__xludf.DUMMYFUNCTION("""COMPUTED_VALUE"""),11.0)</f>
        <v>11</v>
      </c>
      <c r="M1939" s="133">
        <f>IFERROR(__xludf.DUMMYFUNCTION("""COMPUTED_VALUE"""),150.0)</f>
        <v>150</v>
      </c>
      <c r="N1939" s="152" t="str">
        <f>IFERROR(__xludf.DUMMYFUNCTION("""COMPUTED_VALUE"""),"Model 3 SR+")</f>
        <v>Model 3 SR+</v>
      </c>
      <c r="O1939" s="152" t="str">
        <f>IFERROR(__xludf.DUMMYFUNCTION("""COMPUTED_VALUE"""),"Deep Blue Metallic")</f>
        <v>Deep Blue Metallic</v>
      </c>
      <c r="P1939" s="153" t="str">
        <f>IFERROR(__xludf.DUMMYFUNCTION("""COMPUTED_VALUE"""),"18 inch Aero")</f>
        <v>18 inch Aero</v>
      </c>
      <c r="Q1939" s="152" t="str">
        <f>IFERROR(__xludf.DUMMYFUNCTION("""COMPUTED_VALUE"""),"Black seats")</f>
        <v>Black seats</v>
      </c>
      <c r="R1939" s="149" t="str">
        <f>IFERROR(__xludf.DUMMYFUNCTION("""COMPUTED_VALUE"""),"Autopilot")</f>
        <v>Autopilot</v>
      </c>
      <c r="S1939" s="149"/>
      <c r="T1939" s="145"/>
      <c r="U1939" s="145"/>
      <c r="V1939" s="145"/>
      <c r="W1939" s="145"/>
      <c r="X1939" s="137" t="str">
        <f>IFERROR(__xludf.DUMMYFUNCTION("""COMPUTED_VALUE"""),"Fair")</f>
        <v>Fair</v>
      </c>
      <c r="Y1939" s="138" t="str">
        <f>IFERROR(__xludf.DUMMYFUNCTION("""COMPUTED_VALUE"""),"Very Good")</f>
        <v>Very Good</v>
      </c>
      <c r="Z1939" s="138" t="str">
        <f>IFERROR(__xludf.DUMMYFUNCTION("""COMPUTED_VALUE"""),"Good")</f>
        <v>Good</v>
      </c>
      <c r="AA1939" s="138" t="str">
        <f>IFERROR(__xludf.DUMMYFUNCTION("""COMPUTED_VALUE"""),"Poor")</f>
        <v>Poor</v>
      </c>
      <c r="AB1939" s="138" t="str">
        <f>IFERROR(__xludf.DUMMYFUNCTION("""COMPUTED_VALUE"""),"Poor")</f>
        <v>Poor</v>
      </c>
      <c r="AC1939" s="139">
        <f>IFERROR(__xludf.DUMMYFUNCTION("""COMPUTED_VALUE"""),3.0)</f>
        <v>3</v>
      </c>
      <c r="AD1939" s="139">
        <f>IFERROR(__xludf.DUMMYFUNCTION("""COMPUTED_VALUE"""),1.0)</f>
        <v>1</v>
      </c>
      <c r="AE1939" s="139"/>
      <c r="AF1939" s="140"/>
      <c r="AG1939" s="145"/>
      <c r="AH1939" s="157">
        <f>IFERROR(__xludf.DUMMYFUNCTION("""COMPUTED_VALUE"""),43739.27204403935)</f>
        <v>43739.27204</v>
      </c>
      <c r="AI1939" s="138"/>
      <c r="AJ1939" s="138"/>
      <c r="AK1939" s="138"/>
      <c r="AL1939" s="142"/>
    </row>
    <row r="1940" ht="20.25" customHeight="1">
      <c r="A1940" s="155" t="str">
        <f>IFERROR(__xludf.DUMMYFUNCTION("""COMPUTED_VALUE"""),"valerie23617")</f>
        <v>valerie23617</v>
      </c>
      <c r="B1940" s="149" t="str">
        <f>IFERROR(__xludf.DUMMYFUNCTION("""COMPUTED_VALUE"""),"Seattle")</f>
        <v>Seattle</v>
      </c>
      <c r="C1940" s="149" t="str">
        <f>IFERROR(__xludf.DUMMYFUNCTION("""COMPUTED_VALUE"""),"WA")</f>
        <v>WA</v>
      </c>
      <c r="D1940" s="149" t="str">
        <f>IFERROR(__xludf.DUMMYFUNCTION("""COMPUTED_VALUE"""),"USA")</f>
        <v>USA</v>
      </c>
      <c r="E1940" s="156">
        <f>IFERROR(__xludf.DUMMYFUNCTION("""COMPUTED_VALUE"""),43586.0)</f>
        <v>43586</v>
      </c>
      <c r="F1940" s="129">
        <f>IFERROR(__xludf.DUMMYFUNCTION("""COMPUTED_VALUE"""),43596.0)</f>
        <v>43596</v>
      </c>
      <c r="G1940" s="154"/>
      <c r="H1940" s="131">
        <f>IFERROR(__xludf.DUMMYFUNCTION("""COMPUTED_VALUE"""),367955.0)</f>
        <v>367955</v>
      </c>
      <c r="I1940" s="144"/>
      <c r="J1940" s="129">
        <f>IFERROR(__xludf.DUMMYFUNCTION("""COMPUTED_VALUE"""),43600.0)</f>
        <v>43600</v>
      </c>
      <c r="K1940" s="133">
        <f>IFERROR(__xludf.DUMMYFUNCTION("""COMPUTED_VALUE"""),10.0)</f>
        <v>10</v>
      </c>
      <c r="L1940" s="133">
        <f>IFERROR(__xludf.DUMMYFUNCTION("""COMPUTED_VALUE"""),4.0)</f>
        <v>4</v>
      </c>
      <c r="M1940" s="133">
        <f>IFERROR(__xludf.DUMMYFUNCTION("""COMPUTED_VALUE"""),14.0)</f>
        <v>14</v>
      </c>
      <c r="N1940" s="152" t="str">
        <f>IFERROR(__xludf.DUMMYFUNCTION("""COMPUTED_VALUE"""),"Model 3 LR AWD")</f>
        <v>Model 3 LR AWD</v>
      </c>
      <c r="O1940" s="152" t="str">
        <f>IFERROR(__xludf.DUMMYFUNCTION("""COMPUTED_VALUE"""),"Midnight Silver Metallic")</f>
        <v>Midnight Silver Metallic</v>
      </c>
      <c r="P1940" s="153" t="str">
        <f>IFERROR(__xludf.DUMMYFUNCTION("""COMPUTED_VALUE"""),"18 inch Aero")</f>
        <v>18 inch Aero</v>
      </c>
      <c r="Q1940" s="152" t="str">
        <f>IFERROR(__xludf.DUMMYFUNCTION("""COMPUTED_VALUE"""),"Black seats")</f>
        <v>Black seats</v>
      </c>
      <c r="R1940" s="149" t="str">
        <f>IFERROR(__xludf.DUMMYFUNCTION("""COMPUTED_VALUE"""),"Full Self-Driving")</f>
        <v>Full Self-Driving</v>
      </c>
      <c r="S1940" s="149"/>
      <c r="T1940" s="145"/>
      <c r="U1940" s="145"/>
      <c r="V1940" s="145"/>
      <c r="W1940" s="145"/>
      <c r="X1940" s="137" t="str">
        <f>IFERROR(__xludf.DUMMYFUNCTION("""COMPUTED_VALUE"""),"Excellent")</f>
        <v>Excellent</v>
      </c>
      <c r="Y1940" s="138" t="str">
        <f>IFERROR(__xludf.DUMMYFUNCTION("""COMPUTED_VALUE"""),"Fair")</f>
        <v>Fair</v>
      </c>
      <c r="Z1940" s="138" t="str">
        <f>IFERROR(__xludf.DUMMYFUNCTION("""COMPUTED_VALUE"""),"Excellent")</f>
        <v>Excellent</v>
      </c>
      <c r="AA1940" s="138" t="str">
        <f>IFERROR(__xludf.DUMMYFUNCTION("""COMPUTED_VALUE"""),"Fair")</f>
        <v>Fair</v>
      </c>
      <c r="AB1940" s="138" t="str">
        <f>IFERROR(__xludf.DUMMYFUNCTION("""COMPUTED_VALUE"""),"Excellent")</f>
        <v>Excellent</v>
      </c>
      <c r="AC1940" s="139">
        <f>IFERROR(__xludf.DUMMYFUNCTION("""COMPUTED_VALUE"""),1.0)</f>
        <v>1</v>
      </c>
      <c r="AD1940" s="139"/>
      <c r="AE1940" s="139"/>
      <c r="AF1940" s="140"/>
      <c r="AG1940" s="145"/>
      <c r="AH1940" s="157">
        <f>IFERROR(__xludf.DUMMYFUNCTION("""COMPUTED_VALUE"""),43605.66801303241)</f>
        <v>43605.66801</v>
      </c>
      <c r="AI1940" s="138"/>
      <c r="AJ1940" s="138"/>
      <c r="AK1940" s="138"/>
      <c r="AL1940" s="142"/>
    </row>
    <row r="1941" ht="20.25" customHeight="1">
      <c r="A1941" s="155" t="str">
        <f>IFERROR(__xludf.DUMMYFUNCTION("""COMPUTED_VALUE"""),"blackfish")</f>
        <v>blackfish</v>
      </c>
      <c r="B1941" s="149" t="str">
        <f>IFERROR(__xludf.DUMMYFUNCTION("""COMPUTED_VALUE"""),"San Francisco")</f>
        <v>San Francisco</v>
      </c>
      <c r="C1941" s="149" t="str">
        <f>IFERROR(__xludf.DUMMYFUNCTION("""COMPUTED_VALUE"""),"CA")</f>
        <v>CA</v>
      </c>
      <c r="D1941" s="149" t="str">
        <f>IFERROR(__xludf.DUMMYFUNCTION("""COMPUTED_VALUE"""),"USA")</f>
        <v>USA</v>
      </c>
      <c r="E1941" s="156">
        <f>IFERROR(__xludf.DUMMYFUNCTION("""COMPUTED_VALUE"""),43585.0)</f>
        <v>43585</v>
      </c>
      <c r="F1941" s="129">
        <f>IFERROR(__xludf.DUMMYFUNCTION("""COMPUTED_VALUE"""),43620.0)</f>
        <v>43620</v>
      </c>
      <c r="G1941" s="154"/>
      <c r="H1941" s="131">
        <f>IFERROR(__xludf.DUMMYFUNCTION("""COMPUTED_VALUE"""),393455.0)</f>
        <v>393455</v>
      </c>
      <c r="I1941" s="144"/>
      <c r="J1941" s="129">
        <f>IFERROR(__xludf.DUMMYFUNCTION("""COMPUTED_VALUE"""),43621.0)</f>
        <v>43621</v>
      </c>
      <c r="K1941" s="133">
        <f>IFERROR(__xludf.DUMMYFUNCTION("""COMPUTED_VALUE"""),35.0)</f>
        <v>35</v>
      </c>
      <c r="L1941" s="133">
        <f>IFERROR(__xludf.DUMMYFUNCTION("""COMPUTED_VALUE"""),1.0)</f>
        <v>1</v>
      </c>
      <c r="M1941" s="133">
        <f>IFERROR(__xludf.DUMMYFUNCTION("""COMPUTED_VALUE"""),36.0)</f>
        <v>36</v>
      </c>
      <c r="N1941" s="152" t="str">
        <f>IFERROR(__xludf.DUMMYFUNCTION("""COMPUTED_VALUE"""),"Model 3 Performance")</f>
        <v>Model 3 Performance</v>
      </c>
      <c r="O1941" s="152" t="str">
        <f>IFERROR(__xludf.DUMMYFUNCTION("""COMPUTED_VALUE"""),"Red Multi-Coat")</f>
        <v>Red Multi-Coat</v>
      </c>
      <c r="P1941" s="153" t="str">
        <f>IFERROR(__xludf.DUMMYFUNCTION("""COMPUTED_VALUE"""),"20 inch Sport")</f>
        <v>20 inch Sport</v>
      </c>
      <c r="Q1941" s="152" t="str">
        <f>IFERROR(__xludf.DUMMYFUNCTION("""COMPUTED_VALUE"""),"White seats")</f>
        <v>White seats</v>
      </c>
      <c r="R1941" s="149" t="str">
        <f>IFERROR(__xludf.DUMMYFUNCTION("""COMPUTED_VALUE"""),"Full Self-Driving")</f>
        <v>Full Self-Driving</v>
      </c>
      <c r="S1941" s="149"/>
      <c r="T1941" s="145"/>
      <c r="U1941" s="145"/>
      <c r="V1941" s="145"/>
      <c r="W1941" s="136"/>
      <c r="X1941" s="137" t="str">
        <f>IFERROR(__xludf.DUMMYFUNCTION("""COMPUTED_VALUE"""),"Very Good")</f>
        <v>Very Good</v>
      </c>
      <c r="Y1941" s="138" t="str">
        <f>IFERROR(__xludf.DUMMYFUNCTION("""COMPUTED_VALUE"""),"Excellent")</f>
        <v>Excellent</v>
      </c>
      <c r="Z1941" s="138" t="str">
        <f>IFERROR(__xludf.DUMMYFUNCTION("""COMPUTED_VALUE"""),"Excellent")</f>
        <v>Excellent</v>
      </c>
      <c r="AA1941" s="138" t="str">
        <f>IFERROR(__xludf.DUMMYFUNCTION("""COMPUTED_VALUE"""),"Good")</f>
        <v>Good</v>
      </c>
      <c r="AB1941" s="138" t="str">
        <f>IFERROR(__xludf.DUMMYFUNCTION("""COMPUTED_VALUE"""),"Very Good")</f>
        <v>Very Good</v>
      </c>
      <c r="AC1941" s="139">
        <f>IFERROR(__xludf.DUMMYFUNCTION("""COMPUTED_VALUE"""),0.0)</f>
        <v>0</v>
      </c>
      <c r="AD1941" s="139">
        <f>IFERROR(__xludf.DUMMYFUNCTION("""COMPUTED_VALUE"""),2.0)</f>
        <v>2</v>
      </c>
      <c r="AE1941" s="139">
        <f>IFERROR(__xludf.DUMMYFUNCTION("""COMPUTED_VALUE"""),3.0)</f>
        <v>3</v>
      </c>
      <c r="AF1941" s="140"/>
      <c r="AG1941" s="136"/>
      <c r="AH1941" s="157">
        <f>IFERROR(__xludf.DUMMYFUNCTION("""COMPUTED_VALUE"""),43657.43099395833)</f>
        <v>43657.43099</v>
      </c>
      <c r="AI1941" s="138"/>
      <c r="AJ1941" s="138"/>
      <c r="AK1941" s="138"/>
      <c r="AL1941" s="142"/>
    </row>
    <row r="1942" ht="20.25" customHeight="1">
      <c r="A1942" s="155" t="str">
        <f>IFERROR(__xludf.DUMMYFUNCTION("""COMPUTED_VALUE"""),"bovine")</f>
        <v>bovine</v>
      </c>
      <c r="B1942" s="149" t="str">
        <f>IFERROR(__xludf.DUMMYFUNCTION("""COMPUTED_VALUE"""),"Houston")</f>
        <v>Houston</v>
      </c>
      <c r="C1942" s="149" t="str">
        <f>IFERROR(__xludf.DUMMYFUNCTION("""COMPUTED_VALUE"""),"TX")</f>
        <v>TX</v>
      </c>
      <c r="D1942" s="149" t="str">
        <f>IFERROR(__xludf.DUMMYFUNCTION("""COMPUTED_VALUE"""),"USA")</f>
        <v>USA</v>
      </c>
      <c r="E1942" s="156">
        <f>IFERROR(__xludf.DUMMYFUNCTION("""COMPUTED_VALUE"""),43585.0)</f>
        <v>43585</v>
      </c>
      <c r="F1942" s="129">
        <f>IFERROR(__xludf.DUMMYFUNCTION("""COMPUTED_VALUE"""),43592.0)</f>
        <v>43592</v>
      </c>
      <c r="G1942" s="154"/>
      <c r="H1942" s="131">
        <f>IFERROR(__xludf.DUMMYFUNCTION("""COMPUTED_VALUE"""),308055.0)</f>
        <v>308055</v>
      </c>
      <c r="I1942" s="144"/>
      <c r="J1942" s="129">
        <f>IFERROR(__xludf.DUMMYFUNCTION("""COMPUTED_VALUE"""),43601.0)</f>
        <v>43601</v>
      </c>
      <c r="K1942" s="133">
        <f>IFERROR(__xludf.DUMMYFUNCTION("""COMPUTED_VALUE"""),7.0)</f>
        <v>7</v>
      </c>
      <c r="L1942" s="133">
        <f>IFERROR(__xludf.DUMMYFUNCTION("""COMPUTED_VALUE"""),9.0)</f>
        <v>9</v>
      </c>
      <c r="M1942" s="133">
        <f>IFERROR(__xludf.DUMMYFUNCTION("""COMPUTED_VALUE"""),16.0)</f>
        <v>16</v>
      </c>
      <c r="N1942" s="152" t="str">
        <f>IFERROR(__xludf.DUMMYFUNCTION("""COMPUTED_VALUE"""),"Model 3 SR")</f>
        <v>Model 3 SR</v>
      </c>
      <c r="O1942" s="152" t="str">
        <f>IFERROR(__xludf.DUMMYFUNCTION("""COMPUTED_VALUE"""),"Midnight Silver Metallic")</f>
        <v>Midnight Silver Metallic</v>
      </c>
      <c r="P1942" s="153" t="str">
        <f>IFERROR(__xludf.DUMMYFUNCTION("""COMPUTED_VALUE"""),"18 inch Aero")</f>
        <v>18 inch Aero</v>
      </c>
      <c r="Q1942" s="152" t="str">
        <f>IFERROR(__xludf.DUMMYFUNCTION("""COMPUTED_VALUE"""),"Black seats")</f>
        <v>Black seats</v>
      </c>
      <c r="R1942" s="149" t="str">
        <f>IFERROR(__xludf.DUMMYFUNCTION("""COMPUTED_VALUE"""),"Autopilot")</f>
        <v>Autopilot</v>
      </c>
      <c r="S1942" s="149"/>
      <c r="T1942" s="145"/>
      <c r="U1942" s="145"/>
      <c r="V1942" s="145"/>
      <c r="W1942" s="145"/>
      <c r="X1942" s="137" t="str">
        <f>IFERROR(__xludf.DUMMYFUNCTION("""COMPUTED_VALUE"""),"Very Good")</f>
        <v>Very Good</v>
      </c>
      <c r="Y1942" s="138" t="str">
        <f>IFERROR(__xludf.DUMMYFUNCTION("""COMPUTED_VALUE"""),"Very Good")</f>
        <v>Very Good</v>
      </c>
      <c r="Z1942" s="138" t="str">
        <f>IFERROR(__xludf.DUMMYFUNCTION("""COMPUTED_VALUE"""),"Very Good")</f>
        <v>Very Good</v>
      </c>
      <c r="AA1942" s="138" t="str">
        <f>IFERROR(__xludf.DUMMYFUNCTION("""COMPUTED_VALUE"""),"Fair")</f>
        <v>Fair</v>
      </c>
      <c r="AB1942" s="138" t="str">
        <f>IFERROR(__xludf.DUMMYFUNCTION("""COMPUTED_VALUE"""),"Very Good")</f>
        <v>Very Good</v>
      </c>
      <c r="AC1942" s="139"/>
      <c r="AD1942" s="139"/>
      <c r="AE1942" s="139"/>
      <c r="AF1942" s="140"/>
      <c r="AG1942" s="145" t="str">
        <f>IFERROR(__xludf.DUMMYFUNCTION("""COMPUTED_VALUE"""),"manufacture date is 5/6/2019.  Your manufacture date dropdown is missing 05/19")</f>
        <v>manufacture date is 5/6/2019.  Your manufacture date dropdown is missing 05/19</v>
      </c>
      <c r="AH1942" s="157">
        <f>IFERROR(__xludf.DUMMYFUNCTION("""COMPUTED_VALUE"""),43607.021358391205)</f>
        <v>43607.02136</v>
      </c>
      <c r="AI1942" s="138"/>
      <c r="AJ1942" s="138"/>
      <c r="AK1942" s="138"/>
      <c r="AL1942" s="142"/>
    </row>
    <row r="1943" ht="20.25" customHeight="1">
      <c r="A1943" s="155" t="str">
        <f>IFERROR(__xludf.DUMMYFUNCTION("""COMPUTED_VALUE"""),"Corey")</f>
        <v>Corey</v>
      </c>
      <c r="B1943" s="149" t="str">
        <f>IFERROR(__xludf.DUMMYFUNCTION("""COMPUTED_VALUE"""),"Dallas")</f>
        <v>Dallas</v>
      </c>
      <c r="C1943" s="149" t="str">
        <f>IFERROR(__xludf.DUMMYFUNCTION("""COMPUTED_VALUE"""),"TX")</f>
        <v>TX</v>
      </c>
      <c r="D1943" s="149" t="str">
        <f>IFERROR(__xludf.DUMMYFUNCTION("""COMPUTED_VALUE"""),"USA")</f>
        <v>USA</v>
      </c>
      <c r="E1943" s="156">
        <f>IFERROR(__xludf.DUMMYFUNCTION("""COMPUTED_VALUE"""),43585.0)</f>
        <v>43585</v>
      </c>
      <c r="F1943" s="129">
        <f>IFERROR(__xludf.DUMMYFUNCTION("""COMPUTED_VALUE"""),43622.0)</f>
        <v>43622</v>
      </c>
      <c r="G1943" s="154"/>
      <c r="H1943" s="131">
        <f>IFERROR(__xludf.DUMMYFUNCTION("""COMPUTED_VALUE"""),368155.0)</f>
        <v>368155</v>
      </c>
      <c r="I1943" s="144"/>
      <c r="J1943" s="129">
        <f>IFERROR(__xludf.DUMMYFUNCTION("""COMPUTED_VALUE"""),43605.0)</f>
        <v>43605</v>
      </c>
      <c r="K1943" s="133">
        <f>IFERROR(__xludf.DUMMYFUNCTION("""COMPUTED_VALUE"""),37.0)</f>
        <v>37</v>
      </c>
      <c r="L1943" s="133"/>
      <c r="M1943" s="133">
        <f>IFERROR(__xludf.DUMMYFUNCTION("""COMPUTED_VALUE"""),20.0)</f>
        <v>20</v>
      </c>
      <c r="N1943" s="152" t="str">
        <f>IFERROR(__xludf.DUMMYFUNCTION("""COMPUTED_VALUE"""),"Model 3 Performance")</f>
        <v>Model 3 Performance</v>
      </c>
      <c r="O1943" s="152" t="str">
        <f>IFERROR(__xludf.DUMMYFUNCTION("""COMPUTED_VALUE"""),"Pearl White Multi-Coat")</f>
        <v>Pearl White Multi-Coat</v>
      </c>
      <c r="P1943" s="153" t="str">
        <f>IFERROR(__xludf.DUMMYFUNCTION("""COMPUTED_VALUE"""),"20 inch Sport")</f>
        <v>20 inch Sport</v>
      </c>
      <c r="Q1943" s="152" t="str">
        <f>IFERROR(__xludf.DUMMYFUNCTION("""COMPUTED_VALUE"""),"White seats")</f>
        <v>White seats</v>
      </c>
      <c r="R1943" s="149" t="str">
        <f>IFERROR(__xludf.DUMMYFUNCTION("""COMPUTED_VALUE"""),"Full Self-Driving")</f>
        <v>Full Self-Driving</v>
      </c>
      <c r="S1943" s="149"/>
      <c r="T1943" s="145"/>
      <c r="U1943" s="145"/>
      <c r="V1943" s="145"/>
      <c r="W1943" s="136"/>
      <c r="X1943" s="137" t="str">
        <f>IFERROR(__xludf.DUMMYFUNCTION("""COMPUTED_VALUE"""),"Very Good")</f>
        <v>Very Good</v>
      </c>
      <c r="Y1943" s="138" t="str">
        <f>IFERROR(__xludf.DUMMYFUNCTION("""COMPUTED_VALUE"""),"Excellent")</f>
        <v>Excellent</v>
      </c>
      <c r="Z1943" s="138" t="str">
        <f>IFERROR(__xludf.DUMMYFUNCTION("""COMPUTED_VALUE"""),"Excellent")</f>
        <v>Excellent</v>
      </c>
      <c r="AA1943" s="138" t="str">
        <f>IFERROR(__xludf.DUMMYFUNCTION("""COMPUTED_VALUE"""),"Excellent")</f>
        <v>Excellent</v>
      </c>
      <c r="AB1943" s="138" t="str">
        <f>IFERROR(__xludf.DUMMYFUNCTION("""COMPUTED_VALUE"""),"Excellent")</f>
        <v>Excellent</v>
      </c>
      <c r="AC1943" s="139"/>
      <c r="AD1943" s="139"/>
      <c r="AE1943" s="139"/>
      <c r="AF1943" s="140"/>
      <c r="AG1943" s="136"/>
      <c r="AH1943" s="157">
        <f>IFERROR(__xludf.DUMMYFUNCTION("""COMPUTED_VALUE"""),43607.234733923615)</f>
        <v>43607.23473</v>
      </c>
      <c r="AI1943" s="138"/>
      <c r="AJ1943" s="138"/>
      <c r="AK1943" s="138"/>
      <c r="AL1943" s="142"/>
    </row>
    <row r="1944" ht="20.25" customHeight="1">
      <c r="A1944" s="155" t="str">
        <f>IFERROR(__xludf.DUMMYFUNCTION("""COMPUTED_VALUE"""),"Graham110")</f>
        <v>Graham110</v>
      </c>
      <c r="B1944" s="149" t="str">
        <f>IFERROR(__xludf.DUMMYFUNCTION("""COMPUTED_VALUE"""),"Washington")</f>
        <v>Washington</v>
      </c>
      <c r="C1944" s="149" t="str">
        <f>IFERROR(__xludf.DUMMYFUNCTION("""COMPUTED_VALUE"""),"DC")</f>
        <v>DC</v>
      </c>
      <c r="D1944" s="149" t="str">
        <f>IFERROR(__xludf.DUMMYFUNCTION("""COMPUTED_VALUE"""),"USA")</f>
        <v>USA</v>
      </c>
      <c r="E1944" s="156">
        <f>IFERROR(__xludf.DUMMYFUNCTION("""COMPUTED_VALUE"""),43585.0)</f>
        <v>43585</v>
      </c>
      <c r="F1944" s="129">
        <f>IFERROR(__xludf.DUMMYFUNCTION("""COMPUTED_VALUE"""),43591.0)</f>
        <v>43591</v>
      </c>
      <c r="G1944" s="154"/>
      <c r="H1944" s="131">
        <f>IFERROR(__xludf.DUMMYFUNCTION("""COMPUTED_VALUE"""),213569.0)</f>
        <v>213569</v>
      </c>
      <c r="I1944" s="132"/>
      <c r="J1944" s="129">
        <f>IFERROR(__xludf.DUMMYFUNCTION("""COMPUTED_VALUE"""),43599.0)</f>
        <v>43599</v>
      </c>
      <c r="K1944" s="133">
        <f>IFERROR(__xludf.DUMMYFUNCTION("""COMPUTED_VALUE"""),6.0)</f>
        <v>6</v>
      </c>
      <c r="L1944" s="133">
        <f>IFERROR(__xludf.DUMMYFUNCTION("""COMPUTED_VALUE"""),8.0)</f>
        <v>8</v>
      </c>
      <c r="M1944" s="133">
        <f>IFERROR(__xludf.DUMMYFUNCTION("""COMPUTED_VALUE"""),14.0)</f>
        <v>14</v>
      </c>
      <c r="N1944" s="152" t="str">
        <f>IFERROR(__xludf.DUMMYFUNCTION("""COMPUTED_VALUE"""),"Model 3 LR AWD")</f>
        <v>Model 3 LR AWD</v>
      </c>
      <c r="O1944" s="152" t="str">
        <f>IFERROR(__xludf.DUMMYFUNCTION("""COMPUTED_VALUE"""),"Deep Blue Metallic")</f>
        <v>Deep Blue Metallic</v>
      </c>
      <c r="P1944" s="153" t="str">
        <f>IFERROR(__xludf.DUMMYFUNCTION("""COMPUTED_VALUE"""),"18 inch Aero")</f>
        <v>18 inch Aero</v>
      </c>
      <c r="Q1944" s="152" t="str">
        <f>IFERROR(__xludf.DUMMYFUNCTION("""COMPUTED_VALUE"""),"White seats")</f>
        <v>White seats</v>
      </c>
      <c r="R1944" s="150" t="str">
        <f>IFERROR(__xludf.DUMMYFUNCTION("""COMPUTED_VALUE"""),"Autopilot")</f>
        <v>Autopilot</v>
      </c>
      <c r="S1944" s="150"/>
      <c r="T1944" s="136"/>
      <c r="U1944" s="136"/>
      <c r="V1944" s="136"/>
      <c r="W1944" s="136"/>
      <c r="X1944" s="137" t="str">
        <f>IFERROR(__xludf.DUMMYFUNCTION("""COMPUTED_VALUE"""),"Very Good")</f>
        <v>Very Good</v>
      </c>
      <c r="Y1944" s="138" t="str">
        <f>IFERROR(__xludf.DUMMYFUNCTION("""COMPUTED_VALUE"""),"Excellent")</f>
        <v>Excellent</v>
      </c>
      <c r="Z1944" s="138" t="str">
        <f>IFERROR(__xludf.DUMMYFUNCTION("""COMPUTED_VALUE"""),"Excellent")</f>
        <v>Excellent</v>
      </c>
      <c r="AA1944" s="138" t="str">
        <f>IFERROR(__xludf.DUMMYFUNCTION("""COMPUTED_VALUE"""),"Very Good")</f>
        <v>Very Good</v>
      </c>
      <c r="AB1944" s="138" t="str">
        <f>IFERROR(__xludf.DUMMYFUNCTION("""COMPUTED_VALUE"""),"Excellent")</f>
        <v>Excellent</v>
      </c>
      <c r="AC1944" s="139"/>
      <c r="AD1944" s="139"/>
      <c r="AE1944" s="139"/>
      <c r="AF1944" s="140"/>
      <c r="AG1944" s="136"/>
      <c r="AH1944" s="157">
        <f>IFERROR(__xludf.DUMMYFUNCTION("""COMPUTED_VALUE"""),43601.46916190972)</f>
        <v>43601.46916</v>
      </c>
      <c r="AI1944" s="138"/>
      <c r="AJ1944" s="138"/>
      <c r="AK1944" s="138"/>
      <c r="AL1944" s="142"/>
    </row>
    <row r="1945" ht="20.25" customHeight="1">
      <c r="A1945" s="155" t="str">
        <f>IFERROR(__xludf.DUMMYFUNCTION("""COMPUTED_VALUE"""),"jabancroft")</f>
        <v>jabancroft</v>
      </c>
      <c r="B1945" s="149" t="str">
        <f>IFERROR(__xludf.DUMMYFUNCTION("""COMPUTED_VALUE"""),"Portland")</f>
        <v>Portland</v>
      </c>
      <c r="C1945" s="149" t="str">
        <f>IFERROR(__xludf.DUMMYFUNCTION("""COMPUTED_VALUE"""),"OR")</f>
        <v>OR</v>
      </c>
      <c r="D1945" s="149" t="str">
        <f>IFERROR(__xludf.DUMMYFUNCTION("""COMPUTED_VALUE"""),"USA")</f>
        <v>USA</v>
      </c>
      <c r="E1945" s="156">
        <f>IFERROR(__xludf.DUMMYFUNCTION("""COMPUTED_VALUE"""),43585.0)</f>
        <v>43585</v>
      </c>
      <c r="F1945" s="129">
        <f>IFERROR(__xludf.DUMMYFUNCTION("""COMPUTED_VALUE"""),43590.0)</f>
        <v>43590</v>
      </c>
      <c r="G1945" s="154"/>
      <c r="H1945" s="131">
        <f>IFERROR(__xludf.DUMMYFUNCTION("""COMPUTED_VALUE"""),192255.0)</f>
        <v>192255</v>
      </c>
      <c r="I1945" s="144"/>
      <c r="J1945" s="129">
        <f>IFERROR(__xludf.DUMMYFUNCTION("""COMPUTED_VALUE"""),43594.0)</f>
        <v>43594</v>
      </c>
      <c r="K1945" s="133">
        <f>IFERROR(__xludf.DUMMYFUNCTION("""COMPUTED_VALUE"""),5.0)</f>
        <v>5</v>
      </c>
      <c r="L1945" s="133">
        <f>IFERROR(__xludf.DUMMYFUNCTION("""COMPUTED_VALUE"""),4.0)</f>
        <v>4</v>
      </c>
      <c r="M1945" s="133">
        <f>IFERROR(__xludf.DUMMYFUNCTION("""COMPUTED_VALUE"""),9.0)</f>
        <v>9</v>
      </c>
      <c r="N1945" s="152" t="str">
        <f>IFERROR(__xludf.DUMMYFUNCTION("""COMPUTED_VALUE"""),"Model 3 LR AWD")</f>
        <v>Model 3 LR AWD</v>
      </c>
      <c r="O1945" s="152" t="str">
        <f>IFERROR(__xludf.DUMMYFUNCTION("""COMPUTED_VALUE"""),"Deep Blue Metallic")</f>
        <v>Deep Blue Metallic</v>
      </c>
      <c r="P1945" s="153" t="str">
        <f>IFERROR(__xludf.DUMMYFUNCTION("""COMPUTED_VALUE"""),"18 inch Aero")</f>
        <v>18 inch Aero</v>
      </c>
      <c r="Q1945" s="152" t="str">
        <f>IFERROR(__xludf.DUMMYFUNCTION("""COMPUTED_VALUE"""),"White seats")</f>
        <v>White seats</v>
      </c>
      <c r="R1945" s="149" t="str">
        <f>IFERROR(__xludf.DUMMYFUNCTION("""COMPUTED_VALUE"""),"Full Self-Driving")</f>
        <v>Full Self-Driving</v>
      </c>
      <c r="S1945" s="149"/>
      <c r="T1945" s="145"/>
      <c r="U1945" s="145"/>
      <c r="V1945" s="145"/>
      <c r="W1945" s="145"/>
      <c r="X1945" s="137" t="str">
        <f>IFERROR(__xludf.DUMMYFUNCTION("""COMPUTED_VALUE"""),"Very Good")</f>
        <v>Very Good</v>
      </c>
      <c r="Y1945" s="138" t="str">
        <f>IFERROR(__xludf.DUMMYFUNCTION("""COMPUTED_VALUE"""),"Very Good")</f>
        <v>Very Good</v>
      </c>
      <c r="Z1945" s="138" t="str">
        <f>IFERROR(__xludf.DUMMYFUNCTION("""COMPUTED_VALUE"""),"Good")</f>
        <v>Good</v>
      </c>
      <c r="AA1945" s="138" t="str">
        <f>IFERROR(__xludf.DUMMYFUNCTION("""COMPUTED_VALUE"""),"Good")</f>
        <v>Good</v>
      </c>
      <c r="AB1945" s="138" t="str">
        <f>IFERROR(__xludf.DUMMYFUNCTION("""COMPUTED_VALUE"""),"Excellent")</f>
        <v>Excellent</v>
      </c>
      <c r="AC1945" s="139">
        <f>IFERROR(__xludf.DUMMYFUNCTION("""COMPUTED_VALUE"""),2.0)</f>
        <v>2</v>
      </c>
      <c r="AD1945" s="139"/>
      <c r="AE1945" s="139"/>
      <c r="AF1945" s="140"/>
      <c r="AG1945" s="145"/>
      <c r="AH1945" s="157">
        <f>IFERROR(__xludf.DUMMYFUNCTION("""COMPUTED_VALUE"""),43594.60407543981)</f>
        <v>43594.60408</v>
      </c>
      <c r="AI1945" s="138"/>
      <c r="AJ1945" s="138"/>
      <c r="AK1945" s="138"/>
      <c r="AL1945" s="142"/>
    </row>
    <row r="1946" ht="20.25" customHeight="1">
      <c r="A1946" s="155" t="str">
        <f>IFERROR(__xludf.DUMMYFUNCTION("""COMPUTED_VALUE"""),"nneusiuis")</f>
        <v>nneusiuis</v>
      </c>
      <c r="B1946" s="149" t="str">
        <f>IFERROR(__xludf.DUMMYFUNCTION("""COMPUTED_VALUE"""),"Madison")</f>
        <v>Madison</v>
      </c>
      <c r="C1946" s="149" t="str">
        <f>IFERROR(__xludf.DUMMYFUNCTION("""COMPUTED_VALUE"""),"WI")</f>
        <v>WI</v>
      </c>
      <c r="D1946" s="149" t="str">
        <f>IFERROR(__xludf.DUMMYFUNCTION("""COMPUTED_VALUE"""),"USA")</f>
        <v>USA</v>
      </c>
      <c r="E1946" s="156">
        <f>IFERROR(__xludf.DUMMYFUNCTION("""COMPUTED_VALUE"""),43585.0)</f>
        <v>43585</v>
      </c>
      <c r="F1946" s="129">
        <f>IFERROR(__xludf.DUMMYFUNCTION("""COMPUTED_VALUE"""),43589.0)</f>
        <v>43589</v>
      </c>
      <c r="G1946" s="154"/>
      <c r="H1946" s="131">
        <f>IFERROR(__xludf.DUMMYFUNCTION("""COMPUTED_VALUE"""),208755.0)</f>
        <v>208755</v>
      </c>
      <c r="I1946" s="144" t="str">
        <f>IFERROR(__xludf.DUMMYFUNCTION("""COMPUTED_VALUE"""),"04/19")</f>
        <v>04/19</v>
      </c>
      <c r="J1946" s="129">
        <f>IFERROR(__xludf.DUMMYFUNCTION("""COMPUTED_VALUE"""),43596.0)</f>
        <v>43596</v>
      </c>
      <c r="K1946" s="133">
        <f>IFERROR(__xludf.DUMMYFUNCTION("""COMPUTED_VALUE"""),4.0)</f>
        <v>4</v>
      </c>
      <c r="L1946" s="133">
        <f>IFERROR(__xludf.DUMMYFUNCTION("""COMPUTED_VALUE"""),7.0)</f>
        <v>7</v>
      </c>
      <c r="M1946" s="133">
        <f>IFERROR(__xludf.DUMMYFUNCTION("""COMPUTED_VALUE"""),11.0)</f>
        <v>11</v>
      </c>
      <c r="N1946" s="152" t="str">
        <f>IFERROR(__xludf.DUMMYFUNCTION("""COMPUTED_VALUE"""),"Model 3 LR AWD")</f>
        <v>Model 3 LR AWD</v>
      </c>
      <c r="O1946" s="152" t="str">
        <f>IFERROR(__xludf.DUMMYFUNCTION("""COMPUTED_VALUE"""),"Solid Black")</f>
        <v>Solid Black</v>
      </c>
      <c r="P1946" s="153" t="str">
        <f>IFERROR(__xludf.DUMMYFUNCTION("""COMPUTED_VALUE"""),"18 inch Aero")</f>
        <v>18 inch Aero</v>
      </c>
      <c r="Q1946" s="152" t="str">
        <f>IFERROR(__xludf.DUMMYFUNCTION("""COMPUTED_VALUE"""),"Black seats")</f>
        <v>Black seats</v>
      </c>
      <c r="R1946" s="149" t="str">
        <f>IFERROR(__xludf.DUMMYFUNCTION("""COMPUTED_VALUE"""),"Full Self-Driving")</f>
        <v>Full Self-Driving</v>
      </c>
      <c r="S1946" s="149"/>
      <c r="T1946" s="145"/>
      <c r="U1946" s="145"/>
      <c r="V1946" s="145"/>
      <c r="W1946" s="136"/>
      <c r="X1946" s="137" t="str">
        <f>IFERROR(__xludf.DUMMYFUNCTION("""COMPUTED_VALUE"""),"Excellent")</f>
        <v>Excellent</v>
      </c>
      <c r="Y1946" s="138" t="str">
        <f>IFERROR(__xludf.DUMMYFUNCTION("""COMPUTED_VALUE"""),"Very Good")</f>
        <v>Very Good</v>
      </c>
      <c r="Z1946" s="138" t="str">
        <f>IFERROR(__xludf.DUMMYFUNCTION("""COMPUTED_VALUE"""),"Excellent")</f>
        <v>Excellent</v>
      </c>
      <c r="AA1946" s="138" t="str">
        <f>IFERROR(__xludf.DUMMYFUNCTION("""COMPUTED_VALUE"""),"Fair")</f>
        <v>Fair</v>
      </c>
      <c r="AB1946" s="138" t="str">
        <f>IFERROR(__xludf.DUMMYFUNCTION("""COMPUTED_VALUE"""),"Fair")</f>
        <v>Fair</v>
      </c>
      <c r="AC1946" s="139">
        <f>IFERROR(__xludf.DUMMYFUNCTION("""COMPUTED_VALUE"""),0.0)</f>
        <v>0</v>
      </c>
      <c r="AD1946" s="139">
        <f>IFERROR(__xludf.DUMMYFUNCTION("""COMPUTED_VALUE"""),0.0)</f>
        <v>0</v>
      </c>
      <c r="AE1946" s="139">
        <f>IFERROR(__xludf.DUMMYFUNCTION("""COMPUTED_VALUE"""),0.0)</f>
        <v>0</v>
      </c>
      <c r="AF1946" s="140"/>
      <c r="AG1946" s="136"/>
      <c r="AH1946" s="157">
        <f>IFERROR(__xludf.DUMMYFUNCTION("""COMPUTED_VALUE"""),43641.42722773148)</f>
        <v>43641.42723</v>
      </c>
      <c r="AI1946" s="138"/>
      <c r="AJ1946" s="138"/>
      <c r="AK1946" s="138"/>
      <c r="AL1946" s="142"/>
    </row>
    <row r="1947" ht="20.25" customHeight="1">
      <c r="A1947" s="155" t="str">
        <f>IFERROR(__xludf.DUMMYFUNCTION("""COMPUTED_VALUE"""),"RWC AWD")</f>
        <v>RWC AWD</v>
      </c>
      <c r="B1947" s="149" t="str">
        <f>IFERROR(__xludf.DUMMYFUNCTION("""COMPUTED_VALUE"""),"Redwood City")</f>
        <v>Redwood City</v>
      </c>
      <c r="C1947" s="149" t="str">
        <f>IFERROR(__xludf.DUMMYFUNCTION("""COMPUTED_VALUE"""),"CA")</f>
        <v>CA</v>
      </c>
      <c r="D1947" s="149" t="str">
        <f>IFERROR(__xludf.DUMMYFUNCTION("""COMPUTED_VALUE"""),"USA")</f>
        <v>USA</v>
      </c>
      <c r="E1947" s="156">
        <f>IFERROR(__xludf.DUMMYFUNCTION("""COMPUTED_VALUE"""),43585.0)</f>
        <v>43585</v>
      </c>
      <c r="F1947" s="129">
        <f>IFERROR(__xludf.DUMMYFUNCTION("""COMPUTED_VALUE"""),43588.0)</f>
        <v>43588</v>
      </c>
      <c r="G1947" s="154"/>
      <c r="H1947" s="131">
        <f>IFERROR(__xludf.DUMMYFUNCTION("""COMPUTED_VALUE"""),361247.0)</f>
        <v>361247</v>
      </c>
      <c r="I1947" s="144" t="str">
        <f>IFERROR(__xludf.DUMMYFUNCTION("""COMPUTED_VALUE"""),"04/19")</f>
        <v>04/19</v>
      </c>
      <c r="J1947" s="129">
        <f>IFERROR(__xludf.DUMMYFUNCTION("""COMPUTED_VALUE"""),43594.0)</f>
        <v>43594</v>
      </c>
      <c r="K1947" s="133">
        <f>IFERROR(__xludf.DUMMYFUNCTION("""COMPUTED_VALUE"""),3.0)</f>
        <v>3</v>
      </c>
      <c r="L1947" s="133">
        <f>IFERROR(__xludf.DUMMYFUNCTION("""COMPUTED_VALUE"""),6.0)</f>
        <v>6</v>
      </c>
      <c r="M1947" s="133">
        <f>IFERROR(__xludf.DUMMYFUNCTION("""COMPUTED_VALUE"""),9.0)</f>
        <v>9</v>
      </c>
      <c r="N1947" s="152" t="str">
        <f>IFERROR(__xludf.DUMMYFUNCTION("""COMPUTED_VALUE"""),"Model 3 LR AWD")</f>
        <v>Model 3 LR AWD</v>
      </c>
      <c r="O1947" s="152" t="str">
        <f>IFERROR(__xludf.DUMMYFUNCTION("""COMPUTED_VALUE"""),"Solid Black")</f>
        <v>Solid Black</v>
      </c>
      <c r="P1947" s="153" t="str">
        <f>IFERROR(__xludf.DUMMYFUNCTION("""COMPUTED_VALUE"""),"18 inch Aero")</f>
        <v>18 inch Aero</v>
      </c>
      <c r="Q1947" s="152" t="str">
        <f>IFERROR(__xludf.DUMMYFUNCTION("""COMPUTED_VALUE"""),"Black seats")</f>
        <v>Black seats</v>
      </c>
      <c r="R1947" s="149" t="str">
        <f>IFERROR(__xludf.DUMMYFUNCTION("""COMPUTED_VALUE"""),"Full Self-Driving")</f>
        <v>Full Self-Driving</v>
      </c>
      <c r="S1947" s="149"/>
      <c r="T1947" s="145"/>
      <c r="U1947" s="145"/>
      <c r="V1947" s="136"/>
      <c r="W1947" s="145"/>
      <c r="X1947" s="137" t="str">
        <f>IFERROR(__xludf.DUMMYFUNCTION("""COMPUTED_VALUE"""),"Excellent")</f>
        <v>Excellent</v>
      </c>
      <c r="Y1947" s="138" t="str">
        <f>IFERROR(__xludf.DUMMYFUNCTION("""COMPUTED_VALUE"""),"Excellent")</f>
        <v>Excellent</v>
      </c>
      <c r="Z1947" s="138" t="str">
        <f>IFERROR(__xludf.DUMMYFUNCTION("""COMPUTED_VALUE"""),"Excellent")</f>
        <v>Excellent</v>
      </c>
      <c r="AA1947" s="138" t="str">
        <f>IFERROR(__xludf.DUMMYFUNCTION("""COMPUTED_VALUE"""),"Excellent")</f>
        <v>Excellent</v>
      </c>
      <c r="AB1947" s="138" t="str">
        <f>IFERROR(__xludf.DUMMYFUNCTION("""COMPUTED_VALUE"""),"Excellent")</f>
        <v>Excellent</v>
      </c>
      <c r="AC1947" s="139">
        <f>IFERROR(__xludf.DUMMYFUNCTION("""COMPUTED_VALUE"""),0.0)</f>
        <v>0</v>
      </c>
      <c r="AD1947" s="139"/>
      <c r="AE1947" s="139"/>
      <c r="AF1947" s="140"/>
      <c r="AG1947" s="145"/>
      <c r="AH1947" s="157">
        <f>IFERROR(__xludf.DUMMYFUNCTION("""COMPUTED_VALUE"""),43595.57560369213)</f>
        <v>43595.5756</v>
      </c>
      <c r="AI1947" s="138"/>
      <c r="AJ1947" s="138"/>
      <c r="AK1947" s="138"/>
      <c r="AL1947" s="142"/>
    </row>
    <row r="1948" ht="20.25" customHeight="1">
      <c r="A1948" s="155" t="str">
        <f>IFERROR(__xludf.DUMMYFUNCTION("""COMPUTED_VALUE"""),"Stryker")</f>
        <v>Stryker</v>
      </c>
      <c r="B1948" s="149" t="str">
        <f>IFERROR(__xludf.DUMMYFUNCTION("""COMPUTED_VALUE"""),"Sacramento")</f>
        <v>Sacramento</v>
      </c>
      <c r="C1948" s="149" t="str">
        <f>IFERROR(__xludf.DUMMYFUNCTION("""COMPUTED_VALUE"""),"CA")</f>
        <v>CA</v>
      </c>
      <c r="D1948" s="149" t="str">
        <f>IFERROR(__xludf.DUMMYFUNCTION("""COMPUTED_VALUE"""),"USA")</f>
        <v>USA</v>
      </c>
      <c r="E1948" s="156">
        <f>IFERROR(__xludf.DUMMYFUNCTION("""COMPUTED_VALUE"""),43585.0)</f>
        <v>43585</v>
      </c>
      <c r="F1948" s="129">
        <f>IFERROR(__xludf.DUMMYFUNCTION("""COMPUTED_VALUE"""),43586.0)</f>
        <v>43586</v>
      </c>
      <c r="G1948" s="154"/>
      <c r="H1948" s="131">
        <f>IFERROR(__xludf.DUMMYFUNCTION("""COMPUTED_VALUE"""),359481.0)</f>
        <v>359481</v>
      </c>
      <c r="I1948" s="144" t="str">
        <f>IFERROR(__xludf.DUMMYFUNCTION("""COMPUTED_VALUE"""),"04/19")</f>
        <v>04/19</v>
      </c>
      <c r="J1948" s="129">
        <f>IFERROR(__xludf.DUMMYFUNCTION("""COMPUTED_VALUE"""),43589.0)</f>
        <v>43589</v>
      </c>
      <c r="K1948" s="133">
        <f>IFERROR(__xludf.DUMMYFUNCTION("""COMPUTED_VALUE"""),1.0)</f>
        <v>1</v>
      </c>
      <c r="L1948" s="133">
        <f>IFERROR(__xludf.DUMMYFUNCTION("""COMPUTED_VALUE"""),3.0)</f>
        <v>3</v>
      </c>
      <c r="M1948" s="133">
        <f>IFERROR(__xludf.DUMMYFUNCTION("""COMPUTED_VALUE"""),4.0)</f>
        <v>4</v>
      </c>
      <c r="N1948" s="152" t="str">
        <f>IFERROR(__xludf.DUMMYFUNCTION("""COMPUTED_VALUE"""),"Model 3 LR AWD")</f>
        <v>Model 3 LR AWD</v>
      </c>
      <c r="O1948" s="152" t="str">
        <f>IFERROR(__xludf.DUMMYFUNCTION("""COMPUTED_VALUE"""),"Deep Blue Metallic")</f>
        <v>Deep Blue Metallic</v>
      </c>
      <c r="P1948" s="153" t="str">
        <f>IFERROR(__xludf.DUMMYFUNCTION("""COMPUTED_VALUE"""),"18 inch Aero")</f>
        <v>18 inch Aero</v>
      </c>
      <c r="Q1948" s="152" t="str">
        <f>IFERROR(__xludf.DUMMYFUNCTION("""COMPUTED_VALUE"""),"Black seats")</f>
        <v>Black seats</v>
      </c>
      <c r="R1948" s="149" t="str">
        <f>IFERROR(__xludf.DUMMYFUNCTION("""COMPUTED_VALUE"""),"Full Self-Driving")</f>
        <v>Full Self-Driving</v>
      </c>
      <c r="S1948" s="149"/>
      <c r="T1948" s="145"/>
      <c r="U1948" s="145"/>
      <c r="V1948" s="145"/>
      <c r="W1948" s="145"/>
      <c r="X1948" s="137" t="str">
        <f>IFERROR(__xludf.DUMMYFUNCTION("""COMPUTED_VALUE"""),"Excellent")</f>
        <v>Excellent</v>
      </c>
      <c r="Y1948" s="138" t="str">
        <f>IFERROR(__xludf.DUMMYFUNCTION("""COMPUTED_VALUE"""),"Very Good")</f>
        <v>Very Good</v>
      </c>
      <c r="Z1948" s="138" t="str">
        <f>IFERROR(__xludf.DUMMYFUNCTION("""COMPUTED_VALUE"""),"Very Good")</f>
        <v>Very Good</v>
      </c>
      <c r="AA1948" s="138" t="str">
        <f>IFERROR(__xludf.DUMMYFUNCTION("""COMPUTED_VALUE"""),"Excellent")</f>
        <v>Excellent</v>
      </c>
      <c r="AB1948" s="138" t="str">
        <f>IFERROR(__xludf.DUMMYFUNCTION("""COMPUTED_VALUE"""),"Very Good")</f>
        <v>Very Good</v>
      </c>
      <c r="AC1948" s="139"/>
      <c r="AD1948" s="139"/>
      <c r="AE1948" s="139"/>
      <c r="AF1948" s="140"/>
      <c r="AG1948" s="145"/>
      <c r="AH1948" s="157">
        <f>IFERROR(__xludf.DUMMYFUNCTION("""COMPUTED_VALUE"""),43589.8140590625)</f>
        <v>43589.81406</v>
      </c>
      <c r="AI1948" s="138"/>
      <c r="AJ1948" s="138"/>
      <c r="AK1948" s="138"/>
      <c r="AL1948" s="142"/>
    </row>
    <row r="1949" ht="20.25" customHeight="1">
      <c r="A1949" s="155" t="str">
        <f>IFERROR(__xludf.DUMMYFUNCTION("""COMPUTED_VALUE"""),"yk599")</f>
        <v>yk599</v>
      </c>
      <c r="B1949" s="149" t="str">
        <f>IFERROR(__xludf.DUMMYFUNCTION("""COMPUTED_VALUE"""),"Seattle")</f>
        <v>Seattle</v>
      </c>
      <c r="C1949" s="149" t="str">
        <f>IFERROR(__xludf.DUMMYFUNCTION("""COMPUTED_VALUE"""),"WA")</f>
        <v>WA</v>
      </c>
      <c r="D1949" s="149" t="str">
        <f>IFERROR(__xludf.DUMMYFUNCTION("""COMPUTED_VALUE"""),"USA")</f>
        <v>USA</v>
      </c>
      <c r="E1949" s="156">
        <f>IFERROR(__xludf.DUMMYFUNCTION("""COMPUTED_VALUE"""),43585.0)</f>
        <v>43585</v>
      </c>
      <c r="F1949" s="129">
        <f>IFERROR(__xludf.DUMMYFUNCTION("""COMPUTED_VALUE"""),43607.0)</f>
        <v>43607</v>
      </c>
      <c r="G1949" s="154"/>
      <c r="H1949" s="131">
        <f>IFERROR(__xludf.DUMMYFUNCTION("""COMPUTED_VALUE"""),307955.0)</f>
        <v>307955</v>
      </c>
      <c r="I1949" s="144" t="str">
        <f>IFERROR(__xludf.DUMMYFUNCTION("""COMPUTED_VALUE"""),"05/19")</f>
        <v>05/19</v>
      </c>
      <c r="J1949" s="129">
        <f>IFERROR(__xludf.DUMMYFUNCTION("""COMPUTED_VALUE"""),43610.0)</f>
        <v>43610</v>
      </c>
      <c r="K1949" s="133">
        <f>IFERROR(__xludf.DUMMYFUNCTION("""COMPUTED_VALUE"""),22.0)</f>
        <v>22</v>
      </c>
      <c r="L1949" s="133">
        <f>IFERROR(__xludf.DUMMYFUNCTION("""COMPUTED_VALUE"""),3.0)</f>
        <v>3</v>
      </c>
      <c r="M1949" s="133">
        <f>IFERROR(__xludf.DUMMYFUNCTION("""COMPUTED_VALUE"""),25.0)</f>
        <v>25</v>
      </c>
      <c r="N1949" s="152" t="str">
        <f>IFERROR(__xludf.DUMMYFUNCTION("""COMPUTED_VALUE"""),"Model 3 SR+")</f>
        <v>Model 3 SR+</v>
      </c>
      <c r="O1949" s="152" t="str">
        <f>IFERROR(__xludf.DUMMYFUNCTION("""COMPUTED_VALUE"""),"Midnight Silver Metallic")</f>
        <v>Midnight Silver Metallic</v>
      </c>
      <c r="P1949" s="153" t="str">
        <f>IFERROR(__xludf.DUMMYFUNCTION("""COMPUTED_VALUE"""),"18 inch Aero")</f>
        <v>18 inch Aero</v>
      </c>
      <c r="Q1949" s="152" t="str">
        <f>IFERROR(__xludf.DUMMYFUNCTION("""COMPUTED_VALUE"""),"Black seats")</f>
        <v>Black seats</v>
      </c>
      <c r="R1949" s="149" t="str">
        <f>IFERROR(__xludf.DUMMYFUNCTION("""COMPUTED_VALUE"""),"Full Self-Driving")</f>
        <v>Full Self-Driving</v>
      </c>
      <c r="S1949" s="149"/>
      <c r="T1949" s="145"/>
      <c r="U1949" s="145"/>
      <c r="V1949" s="145"/>
      <c r="W1949" s="136"/>
      <c r="X1949" s="151" t="str">
        <f>IFERROR(__xludf.DUMMYFUNCTION("""COMPUTED_VALUE"""),"Excellent")</f>
        <v>Excellent</v>
      </c>
      <c r="Y1949" s="138" t="str">
        <f>IFERROR(__xludf.DUMMYFUNCTION("""COMPUTED_VALUE"""),"Fair")</f>
        <v>Fair</v>
      </c>
      <c r="Z1949" s="138" t="str">
        <f>IFERROR(__xludf.DUMMYFUNCTION("""COMPUTED_VALUE"""),"Very Good")</f>
        <v>Very Good</v>
      </c>
      <c r="AA1949" s="138" t="str">
        <f>IFERROR(__xludf.DUMMYFUNCTION("""COMPUTED_VALUE"""),"Fair")</f>
        <v>Fair</v>
      </c>
      <c r="AB1949" s="138" t="str">
        <f>IFERROR(__xludf.DUMMYFUNCTION("""COMPUTED_VALUE"""),"Fair")</f>
        <v>Fair</v>
      </c>
      <c r="AC1949" s="139">
        <f>IFERROR(__xludf.DUMMYFUNCTION("""COMPUTED_VALUE"""),1.0)</f>
        <v>1</v>
      </c>
      <c r="AD1949" s="139">
        <f>IFERROR(__xludf.DUMMYFUNCTION("""COMPUTED_VALUE"""),1.0)</f>
        <v>1</v>
      </c>
      <c r="AE1949" s="139">
        <f>IFERROR(__xludf.DUMMYFUNCTION("""COMPUTED_VALUE"""),1.0)</f>
        <v>1</v>
      </c>
      <c r="AF1949" s="140"/>
      <c r="AG1949" s="136" t="str">
        <f>IFERROR(__xludf.DUMMYFUNCTION("""COMPUTED_VALUE"""),"6/5 - took the car to service to fix the window bunching - problem solved; 5/25 - took delivery. Minor cosmetic issue with window edges seem to be the only thing wrong with car; 5/22 - just got a VIN and a tentative delivery date. Have to push delivery da"&amp;"te back though; 5/22/19 - pushed back delivery date")</f>
        <v>6/5 - took the car to service to fix the window bunching - problem solved; 5/25 - took delivery. Minor cosmetic issue with window edges seem to be the only thing wrong with car; 5/22 - just got a VIN and a tentative delivery date. Have to push delivery date back though; 5/22/19 - pushed back delivery date</v>
      </c>
      <c r="AH1949" s="157">
        <f>IFERROR(__xludf.DUMMYFUNCTION("""COMPUTED_VALUE"""),43621.553727349536)</f>
        <v>43621.55373</v>
      </c>
      <c r="AI1949" s="138"/>
      <c r="AJ1949" s="138"/>
      <c r="AK1949" s="138"/>
      <c r="AL1949" s="142"/>
    </row>
    <row r="1950" ht="20.25" customHeight="1">
      <c r="A1950" s="155" t="str">
        <f>IFERROR(__xludf.DUMMYFUNCTION("""COMPUTED_VALUE"""),"HighZ")</f>
        <v>HighZ</v>
      </c>
      <c r="B1950" s="159" t="str">
        <f>IFERROR(__xludf.DUMMYFUNCTION("""COMPUTED_VALUE"""),"Rockford")</f>
        <v>Rockford</v>
      </c>
      <c r="C1950" s="159" t="str">
        <f>IFERROR(__xludf.DUMMYFUNCTION("""COMPUTED_VALUE"""),"IL")</f>
        <v>IL</v>
      </c>
      <c r="D1950" s="159" t="str">
        <f>IFERROR(__xludf.DUMMYFUNCTION("""COMPUTED_VALUE"""),"USA")</f>
        <v>USA</v>
      </c>
      <c r="E1950" s="156">
        <f>IFERROR(__xludf.DUMMYFUNCTION("""COMPUTED_VALUE"""),43584.0)</f>
        <v>43584</v>
      </c>
      <c r="F1950" s="129">
        <f>IFERROR(__xludf.DUMMYFUNCTION("""COMPUTED_VALUE"""),43622.0)</f>
        <v>43622</v>
      </c>
      <c r="G1950" s="154"/>
      <c r="H1950" s="131">
        <f>IFERROR(__xludf.DUMMYFUNCTION("""COMPUTED_VALUE"""),386398.0)</f>
        <v>386398</v>
      </c>
      <c r="I1950" s="160" t="str">
        <f>IFERROR(__xludf.DUMMYFUNCTION("""COMPUTED_VALUE"""),"06/19")</f>
        <v>06/19</v>
      </c>
      <c r="J1950" s="129">
        <f>IFERROR(__xludf.DUMMYFUNCTION("""COMPUTED_VALUE"""),43633.0)</f>
        <v>43633</v>
      </c>
      <c r="K1950" s="133">
        <f>IFERROR(__xludf.DUMMYFUNCTION("""COMPUTED_VALUE"""),38.0)</f>
        <v>38</v>
      </c>
      <c r="L1950" s="133">
        <f>IFERROR(__xludf.DUMMYFUNCTION("""COMPUTED_VALUE"""),11.0)</f>
        <v>11</v>
      </c>
      <c r="M1950" s="133">
        <f>IFERROR(__xludf.DUMMYFUNCTION("""COMPUTED_VALUE"""),49.0)</f>
        <v>49</v>
      </c>
      <c r="N1950" s="152" t="str">
        <f>IFERROR(__xludf.DUMMYFUNCTION("""COMPUTED_VALUE"""),"Model 3 LR AWD")</f>
        <v>Model 3 LR AWD</v>
      </c>
      <c r="O1950" s="152" t="str">
        <f>IFERROR(__xludf.DUMMYFUNCTION("""COMPUTED_VALUE"""),"Midnight Silver Metallic")</f>
        <v>Midnight Silver Metallic</v>
      </c>
      <c r="P1950" s="153" t="str">
        <f>IFERROR(__xludf.DUMMYFUNCTION("""COMPUTED_VALUE"""),"18 inch Aero")</f>
        <v>18 inch Aero</v>
      </c>
      <c r="Q1950" s="152" t="str">
        <f>IFERROR(__xludf.DUMMYFUNCTION("""COMPUTED_VALUE"""),"Black seats")</f>
        <v>Black seats</v>
      </c>
      <c r="R1950" s="159" t="str">
        <f>IFERROR(__xludf.DUMMYFUNCTION("""COMPUTED_VALUE"""),"Full Self-Driving")</f>
        <v>Full Self-Driving</v>
      </c>
      <c r="S1950" s="159"/>
      <c r="T1950" s="161"/>
      <c r="U1950" s="161"/>
      <c r="V1950" s="161"/>
      <c r="W1950" s="161"/>
      <c r="X1950" s="137" t="str">
        <f>IFERROR(__xludf.DUMMYFUNCTION("""COMPUTED_VALUE"""),"Excellent")</f>
        <v>Excellent</v>
      </c>
      <c r="Y1950" s="138" t="str">
        <f>IFERROR(__xludf.DUMMYFUNCTION("""COMPUTED_VALUE"""),"Excellent")</f>
        <v>Excellent</v>
      </c>
      <c r="Z1950" s="138" t="str">
        <f>IFERROR(__xludf.DUMMYFUNCTION("""COMPUTED_VALUE"""),"Excellent")</f>
        <v>Excellent</v>
      </c>
      <c r="AA1950" s="138" t="str">
        <f>IFERROR(__xludf.DUMMYFUNCTION("""COMPUTED_VALUE"""),"Excellent")</f>
        <v>Excellent</v>
      </c>
      <c r="AB1950" s="138" t="str">
        <f>IFERROR(__xludf.DUMMYFUNCTION("""COMPUTED_VALUE"""),"Excellent")</f>
        <v>Excellent</v>
      </c>
      <c r="AC1950" s="139"/>
      <c r="AD1950" s="139"/>
      <c r="AE1950" s="139"/>
      <c r="AF1950" s="140"/>
      <c r="AG1950" s="161" t="str">
        <f>IFERROR(__xludf.DUMMYFUNCTION("""COMPUTED_VALUE"""),"Asked for matching to be put on hold until I can take delivery in June")</f>
        <v>Asked for matching to be put on hold until I can take delivery in June</v>
      </c>
      <c r="AH1950" s="157">
        <f>IFERROR(__xludf.DUMMYFUNCTION("""COMPUTED_VALUE"""),43634.43294836805)</f>
        <v>43634.43295</v>
      </c>
      <c r="AI1950" s="138"/>
      <c r="AJ1950" s="138"/>
      <c r="AK1950" s="138"/>
      <c r="AL1950" s="142"/>
    </row>
    <row r="1951" ht="20.25" customHeight="1">
      <c r="A1951" s="155" t="str">
        <f>IFERROR(__xludf.DUMMYFUNCTION("""COMPUTED_VALUE"""),"v8eater")</f>
        <v>v8eater</v>
      </c>
      <c r="B1951" s="149" t="str">
        <f>IFERROR(__xludf.DUMMYFUNCTION("""COMPUTED_VALUE"""),"VA Beach ")</f>
        <v>VA Beach </v>
      </c>
      <c r="C1951" s="149" t="str">
        <f>IFERROR(__xludf.DUMMYFUNCTION("""COMPUTED_VALUE"""),"VA")</f>
        <v>VA</v>
      </c>
      <c r="D1951" s="149" t="str">
        <f>IFERROR(__xludf.DUMMYFUNCTION("""COMPUTED_VALUE"""),"USA")</f>
        <v>USA</v>
      </c>
      <c r="E1951" s="156">
        <f>IFERROR(__xludf.DUMMYFUNCTION("""COMPUTED_VALUE"""),43584.0)</f>
        <v>43584</v>
      </c>
      <c r="F1951" s="129">
        <f>IFERROR(__xludf.DUMMYFUNCTION("""COMPUTED_VALUE"""),43587.0)</f>
        <v>43587</v>
      </c>
      <c r="G1951" s="154"/>
      <c r="H1951" s="131">
        <f>IFERROR(__xludf.DUMMYFUNCTION("""COMPUTED_VALUE"""),361447.0)</f>
        <v>361447</v>
      </c>
      <c r="I1951" s="132" t="str">
        <f>IFERROR(__xludf.DUMMYFUNCTION("""COMPUTED_VALUE"""),"04/19")</f>
        <v>04/19</v>
      </c>
      <c r="J1951" s="129">
        <f>IFERROR(__xludf.DUMMYFUNCTION("""COMPUTED_VALUE"""),43589.0)</f>
        <v>43589</v>
      </c>
      <c r="K1951" s="133">
        <f>IFERROR(__xludf.DUMMYFUNCTION("""COMPUTED_VALUE"""),3.0)</f>
        <v>3</v>
      </c>
      <c r="L1951" s="133">
        <f>IFERROR(__xludf.DUMMYFUNCTION("""COMPUTED_VALUE"""),2.0)</f>
        <v>2</v>
      </c>
      <c r="M1951" s="133">
        <f>IFERROR(__xludf.DUMMYFUNCTION("""COMPUTED_VALUE"""),5.0)</f>
        <v>5</v>
      </c>
      <c r="N1951" s="152" t="str">
        <f>IFERROR(__xludf.DUMMYFUNCTION("""COMPUTED_VALUE"""),"Model 3 LR AWD")</f>
        <v>Model 3 LR AWD</v>
      </c>
      <c r="O1951" s="152" t="str">
        <f>IFERROR(__xludf.DUMMYFUNCTION("""COMPUTED_VALUE"""),"Deep Blue Metallic")</f>
        <v>Deep Blue Metallic</v>
      </c>
      <c r="P1951" s="153" t="str">
        <f>IFERROR(__xludf.DUMMYFUNCTION("""COMPUTED_VALUE"""),"18 inch Aero")</f>
        <v>18 inch Aero</v>
      </c>
      <c r="Q1951" s="152" t="str">
        <f>IFERROR(__xludf.DUMMYFUNCTION("""COMPUTED_VALUE"""),"Black seats")</f>
        <v>Black seats</v>
      </c>
      <c r="R1951" s="150" t="str">
        <f>IFERROR(__xludf.DUMMYFUNCTION("""COMPUTED_VALUE"""),"Full Self-Driving")</f>
        <v>Full Self-Driving</v>
      </c>
      <c r="S1951" s="150"/>
      <c r="T1951" s="136"/>
      <c r="U1951" s="136"/>
      <c r="V1951" s="136"/>
      <c r="W1951" s="145"/>
      <c r="X1951" s="137" t="str">
        <f>IFERROR(__xludf.DUMMYFUNCTION("""COMPUTED_VALUE"""),"Excellent")</f>
        <v>Excellent</v>
      </c>
      <c r="Y1951" s="138" t="str">
        <f>IFERROR(__xludf.DUMMYFUNCTION("""COMPUTED_VALUE"""),"Very Good")</f>
        <v>Very Good</v>
      </c>
      <c r="Z1951" s="138" t="str">
        <f>IFERROR(__xludf.DUMMYFUNCTION("""COMPUTED_VALUE"""),"Excellent")</f>
        <v>Excellent</v>
      </c>
      <c r="AA1951" s="138" t="str">
        <f>IFERROR(__xludf.DUMMYFUNCTION("""COMPUTED_VALUE"""),"Very Good")</f>
        <v>Very Good</v>
      </c>
      <c r="AB1951" s="138" t="str">
        <f>IFERROR(__xludf.DUMMYFUNCTION("""COMPUTED_VALUE"""),"Excellent")</f>
        <v>Excellent</v>
      </c>
      <c r="AC1951" s="139"/>
      <c r="AD1951" s="139"/>
      <c r="AE1951" s="139"/>
      <c r="AF1951" s="140"/>
      <c r="AG1951" s="136"/>
      <c r="AH1951" s="157">
        <f>IFERROR(__xludf.DUMMYFUNCTION("""COMPUTED_VALUE"""),43590.22192016204)</f>
        <v>43590.22192</v>
      </c>
      <c r="AI1951" s="138"/>
      <c r="AJ1951" s="138"/>
      <c r="AK1951" s="138"/>
      <c r="AL1951" s="142"/>
    </row>
    <row r="1952" ht="20.25" customHeight="1">
      <c r="A1952" s="155" t="str">
        <f>IFERROR(__xludf.DUMMYFUNCTION("""COMPUTED_VALUE"""),"Ghan04")</f>
        <v>Ghan04</v>
      </c>
      <c r="B1952" s="149"/>
      <c r="C1952" s="149" t="str">
        <f>IFERROR(__xludf.DUMMYFUNCTION("""COMPUTED_VALUE"""),"OK")</f>
        <v>OK</v>
      </c>
      <c r="D1952" s="149" t="str">
        <f>IFERROR(__xludf.DUMMYFUNCTION("""COMPUTED_VALUE"""),"USA")</f>
        <v>USA</v>
      </c>
      <c r="E1952" s="156">
        <f>IFERROR(__xludf.DUMMYFUNCTION("""COMPUTED_VALUE"""),43583.0)</f>
        <v>43583</v>
      </c>
      <c r="F1952" s="129">
        <f>IFERROR(__xludf.DUMMYFUNCTION("""COMPUTED_VALUE"""),43592.0)</f>
        <v>43592</v>
      </c>
      <c r="G1952" s="154"/>
      <c r="H1952" s="131">
        <f>IFERROR(__xludf.DUMMYFUNCTION("""COMPUTED_VALUE"""),308340.0)</f>
        <v>308340</v>
      </c>
      <c r="I1952" s="132"/>
      <c r="J1952" s="129">
        <f>IFERROR(__xludf.DUMMYFUNCTION("""COMPUTED_VALUE"""),43600.0)</f>
        <v>43600</v>
      </c>
      <c r="K1952" s="133">
        <f>IFERROR(__xludf.DUMMYFUNCTION("""COMPUTED_VALUE"""),9.0)</f>
        <v>9</v>
      </c>
      <c r="L1952" s="133">
        <f>IFERROR(__xludf.DUMMYFUNCTION("""COMPUTED_VALUE"""),8.0)</f>
        <v>8</v>
      </c>
      <c r="M1952" s="133">
        <f>IFERROR(__xludf.DUMMYFUNCTION("""COMPUTED_VALUE"""),17.0)</f>
        <v>17</v>
      </c>
      <c r="N1952" s="152" t="str">
        <f>IFERROR(__xludf.DUMMYFUNCTION("""COMPUTED_VALUE"""),"Model 3 SR+")</f>
        <v>Model 3 SR+</v>
      </c>
      <c r="O1952" s="152" t="str">
        <f>IFERROR(__xludf.DUMMYFUNCTION("""COMPUTED_VALUE"""),"Midnight Silver Metallic")</f>
        <v>Midnight Silver Metallic</v>
      </c>
      <c r="P1952" s="153" t="str">
        <f>IFERROR(__xludf.DUMMYFUNCTION("""COMPUTED_VALUE"""),"18 inch Aero")</f>
        <v>18 inch Aero</v>
      </c>
      <c r="Q1952" s="152" t="str">
        <f>IFERROR(__xludf.DUMMYFUNCTION("""COMPUTED_VALUE"""),"Black seats")</f>
        <v>Black seats</v>
      </c>
      <c r="R1952" s="150" t="str">
        <f>IFERROR(__xludf.DUMMYFUNCTION("""COMPUTED_VALUE"""),"Full Self-Driving")</f>
        <v>Full Self-Driving</v>
      </c>
      <c r="S1952" s="150"/>
      <c r="T1952" s="136"/>
      <c r="U1952" s="136"/>
      <c r="V1952" s="136"/>
      <c r="W1952" s="136"/>
      <c r="X1952" s="137" t="str">
        <f>IFERROR(__xludf.DUMMYFUNCTION("""COMPUTED_VALUE"""),"Very Good")</f>
        <v>Very Good</v>
      </c>
      <c r="Y1952" s="138" t="str">
        <f>IFERROR(__xludf.DUMMYFUNCTION("""COMPUTED_VALUE"""),"Very Good")</f>
        <v>Very Good</v>
      </c>
      <c r="Z1952" s="138" t="str">
        <f>IFERROR(__xludf.DUMMYFUNCTION("""COMPUTED_VALUE"""),"Excellent")</f>
        <v>Excellent</v>
      </c>
      <c r="AA1952" s="138" t="str">
        <f>IFERROR(__xludf.DUMMYFUNCTION("""COMPUTED_VALUE"""),"Very Good")</f>
        <v>Very Good</v>
      </c>
      <c r="AB1952" s="138" t="str">
        <f>IFERROR(__xludf.DUMMYFUNCTION("""COMPUTED_VALUE"""),"Very Good")</f>
        <v>Very Good</v>
      </c>
      <c r="AC1952" s="139"/>
      <c r="AD1952" s="139"/>
      <c r="AE1952" s="139"/>
      <c r="AF1952" s="140"/>
      <c r="AG1952" s="136"/>
      <c r="AH1952" s="157">
        <f>IFERROR(__xludf.DUMMYFUNCTION("""COMPUTED_VALUE"""),43609.67739988426)</f>
        <v>43609.6774</v>
      </c>
      <c r="AI1952" s="138"/>
      <c r="AJ1952" s="138"/>
      <c r="AK1952" s="138"/>
      <c r="AL1952" s="142"/>
    </row>
    <row r="1953" ht="20.25" customHeight="1">
      <c r="A1953" s="155" t="str">
        <f>IFERROR(__xludf.DUMMYFUNCTION("""COMPUTED_VALUE"""),"NapaMateo")</f>
        <v>NapaMateo</v>
      </c>
      <c r="B1953" s="149" t="str">
        <f>IFERROR(__xludf.DUMMYFUNCTION("""COMPUTED_VALUE"""),"Napa")</f>
        <v>Napa</v>
      </c>
      <c r="C1953" s="149" t="str">
        <f>IFERROR(__xludf.DUMMYFUNCTION("""COMPUTED_VALUE"""),"CA")</f>
        <v>CA</v>
      </c>
      <c r="D1953" s="149" t="str">
        <f>IFERROR(__xludf.DUMMYFUNCTION("""COMPUTED_VALUE"""),"USA")</f>
        <v>USA</v>
      </c>
      <c r="E1953" s="156">
        <f>IFERROR(__xludf.DUMMYFUNCTION("""COMPUTED_VALUE"""),43583.0)</f>
        <v>43583</v>
      </c>
      <c r="F1953" s="129"/>
      <c r="G1953" s="154"/>
      <c r="H1953" s="131">
        <f>IFERROR(__xludf.DUMMYFUNCTION("""COMPUTED_VALUE"""),365462.0)</f>
        <v>365462</v>
      </c>
      <c r="I1953" s="132" t="str">
        <f>IFERROR(__xludf.DUMMYFUNCTION("""COMPUTED_VALUE"""),"05/19")</f>
        <v>05/19</v>
      </c>
      <c r="J1953" s="129">
        <f>IFERROR(__xludf.DUMMYFUNCTION("""COMPUTED_VALUE"""),43593.0)</f>
        <v>43593</v>
      </c>
      <c r="K1953" s="133"/>
      <c r="L1953" s="133"/>
      <c r="M1953" s="133">
        <f>IFERROR(__xludf.DUMMYFUNCTION("""COMPUTED_VALUE"""),10.0)</f>
        <v>10</v>
      </c>
      <c r="N1953" s="152" t="str">
        <f>IFERROR(__xludf.DUMMYFUNCTION("""COMPUTED_VALUE"""),"Model 3 LR AWD")</f>
        <v>Model 3 LR AWD</v>
      </c>
      <c r="O1953" s="152" t="str">
        <f>IFERROR(__xludf.DUMMYFUNCTION("""COMPUTED_VALUE"""),"Red Multi-Coat")</f>
        <v>Red Multi-Coat</v>
      </c>
      <c r="P1953" s="153" t="str">
        <f>IFERROR(__xludf.DUMMYFUNCTION("""COMPUTED_VALUE"""),"19 inch Sport")</f>
        <v>19 inch Sport</v>
      </c>
      <c r="Q1953" s="152" t="str">
        <f>IFERROR(__xludf.DUMMYFUNCTION("""COMPUTED_VALUE"""),"Black seats")</f>
        <v>Black seats</v>
      </c>
      <c r="R1953" s="150" t="str">
        <f>IFERROR(__xludf.DUMMYFUNCTION("""COMPUTED_VALUE"""),"Autopilot")</f>
        <v>Autopilot</v>
      </c>
      <c r="S1953" s="150"/>
      <c r="T1953" s="136"/>
      <c r="U1953" s="136"/>
      <c r="V1953" s="136"/>
      <c r="W1953" s="136"/>
      <c r="X1953" s="137" t="str">
        <f>IFERROR(__xludf.DUMMYFUNCTION("""COMPUTED_VALUE"""),"Excellent")</f>
        <v>Excellent</v>
      </c>
      <c r="Y1953" s="138" t="str">
        <f>IFERROR(__xludf.DUMMYFUNCTION("""COMPUTED_VALUE"""),"Very Good")</f>
        <v>Very Good</v>
      </c>
      <c r="Z1953" s="138" t="str">
        <f>IFERROR(__xludf.DUMMYFUNCTION("""COMPUTED_VALUE"""),"Very Good")</f>
        <v>Very Good</v>
      </c>
      <c r="AA1953" s="138" t="str">
        <f>IFERROR(__xludf.DUMMYFUNCTION("""COMPUTED_VALUE"""),"Good")</f>
        <v>Good</v>
      </c>
      <c r="AB1953" s="138" t="str">
        <f>IFERROR(__xludf.DUMMYFUNCTION("""COMPUTED_VALUE"""),"Excellent")</f>
        <v>Excellent</v>
      </c>
      <c r="AC1953" s="139">
        <f>IFERROR(__xludf.DUMMYFUNCTION("""COMPUTED_VALUE"""),0.0)</f>
        <v>0</v>
      </c>
      <c r="AD1953" s="139">
        <f>IFERROR(__xludf.DUMMYFUNCTION("""COMPUTED_VALUE"""),0.0)</f>
        <v>0</v>
      </c>
      <c r="AE1953" s="139">
        <f>IFERROR(__xludf.DUMMYFUNCTION("""COMPUTED_VALUE"""),0.0)</f>
        <v>0</v>
      </c>
      <c r="AF1953" s="140"/>
      <c r="AG1953" s="136"/>
      <c r="AH1953" s="157">
        <f>IFERROR(__xludf.DUMMYFUNCTION("""COMPUTED_VALUE"""),43624.41315236111)</f>
        <v>43624.41315</v>
      </c>
      <c r="AI1953" s="138"/>
      <c r="AJ1953" s="138"/>
      <c r="AK1953" s="138"/>
      <c r="AL1953" s="142"/>
    </row>
    <row r="1954" ht="20.25" customHeight="1">
      <c r="A1954" s="155" t="str">
        <f>IFERROR(__xludf.DUMMYFUNCTION("""COMPUTED_VALUE"""),"PR")</f>
        <v>PR</v>
      </c>
      <c r="B1954" s="149" t="str">
        <f>IFERROR(__xludf.DUMMYFUNCTION("""COMPUTED_VALUE"""),"Charlottesville")</f>
        <v>Charlottesville</v>
      </c>
      <c r="C1954" s="149" t="str">
        <f>IFERROR(__xludf.DUMMYFUNCTION("""COMPUTED_VALUE"""),"VA")</f>
        <v>VA</v>
      </c>
      <c r="D1954" s="149" t="str">
        <f>IFERROR(__xludf.DUMMYFUNCTION("""COMPUTED_VALUE"""),"USA")</f>
        <v>USA</v>
      </c>
      <c r="E1954" s="156">
        <f>IFERROR(__xludf.DUMMYFUNCTION("""COMPUTED_VALUE"""),43583.0)</f>
        <v>43583</v>
      </c>
      <c r="F1954" s="129">
        <f>IFERROR(__xludf.DUMMYFUNCTION("""COMPUTED_VALUE"""),43586.0)</f>
        <v>43586</v>
      </c>
      <c r="G1954" s="154"/>
      <c r="H1954" s="131">
        <f>IFERROR(__xludf.DUMMYFUNCTION("""COMPUTED_VALUE"""),394555.0)</f>
        <v>394555</v>
      </c>
      <c r="I1954" s="144" t="str">
        <f>IFERROR(__xludf.DUMMYFUNCTION("""COMPUTED_VALUE"""),"04/19")</f>
        <v>04/19</v>
      </c>
      <c r="J1954" s="129">
        <f>IFERROR(__xludf.DUMMYFUNCTION("""COMPUTED_VALUE"""),43598.0)</f>
        <v>43598</v>
      </c>
      <c r="K1954" s="133">
        <f>IFERROR(__xludf.DUMMYFUNCTION("""COMPUTED_VALUE"""),3.0)</f>
        <v>3</v>
      </c>
      <c r="L1954" s="133">
        <f>IFERROR(__xludf.DUMMYFUNCTION("""COMPUTED_VALUE"""),12.0)</f>
        <v>12</v>
      </c>
      <c r="M1954" s="133">
        <f>IFERROR(__xludf.DUMMYFUNCTION("""COMPUTED_VALUE"""),15.0)</f>
        <v>15</v>
      </c>
      <c r="N1954" s="152" t="str">
        <f>IFERROR(__xludf.DUMMYFUNCTION("""COMPUTED_VALUE"""),"Model 3 SR+")</f>
        <v>Model 3 SR+</v>
      </c>
      <c r="O1954" s="152" t="str">
        <f>IFERROR(__xludf.DUMMYFUNCTION("""COMPUTED_VALUE"""),"Solid Black")</f>
        <v>Solid Black</v>
      </c>
      <c r="P1954" s="153" t="str">
        <f>IFERROR(__xludf.DUMMYFUNCTION("""COMPUTED_VALUE"""),"18 inch Aero")</f>
        <v>18 inch Aero</v>
      </c>
      <c r="Q1954" s="152" t="str">
        <f>IFERROR(__xludf.DUMMYFUNCTION("""COMPUTED_VALUE"""),"Black seats")</f>
        <v>Black seats</v>
      </c>
      <c r="R1954" s="149" t="str">
        <f>IFERROR(__xludf.DUMMYFUNCTION("""COMPUTED_VALUE"""),"Autopilot")</f>
        <v>Autopilot</v>
      </c>
      <c r="S1954" s="149"/>
      <c r="T1954" s="145"/>
      <c r="U1954" s="145"/>
      <c r="V1954" s="145"/>
      <c r="W1954" s="145"/>
      <c r="X1954" s="137" t="str">
        <f>IFERROR(__xludf.DUMMYFUNCTION("""COMPUTED_VALUE"""),"Excellent")</f>
        <v>Excellent</v>
      </c>
      <c r="Y1954" s="138" t="str">
        <f>IFERROR(__xludf.DUMMYFUNCTION("""COMPUTED_VALUE"""),"Excellent")</f>
        <v>Excellent</v>
      </c>
      <c r="Z1954" s="138" t="str">
        <f>IFERROR(__xludf.DUMMYFUNCTION("""COMPUTED_VALUE"""),"Very Good")</f>
        <v>Very Good</v>
      </c>
      <c r="AA1954" s="138" t="str">
        <f>IFERROR(__xludf.DUMMYFUNCTION("""COMPUTED_VALUE"""),"Good")</f>
        <v>Good</v>
      </c>
      <c r="AB1954" s="138" t="str">
        <f>IFERROR(__xludf.DUMMYFUNCTION("""COMPUTED_VALUE"""),"Excellent")</f>
        <v>Excellent</v>
      </c>
      <c r="AC1954" s="139">
        <f>IFERROR(__xludf.DUMMYFUNCTION("""COMPUTED_VALUE"""),0.0)</f>
        <v>0</v>
      </c>
      <c r="AD1954" s="139">
        <f>IFERROR(__xludf.DUMMYFUNCTION("""COMPUTED_VALUE"""),0.0)</f>
        <v>0</v>
      </c>
      <c r="AE1954" s="139">
        <f>IFERROR(__xludf.DUMMYFUNCTION("""COMPUTED_VALUE"""),0.0)</f>
        <v>0</v>
      </c>
      <c r="AF1954" s="140"/>
      <c r="AG1954" s="145"/>
      <c r="AH1954" s="157">
        <f>IFERROR(__xludf.DUMMYFUNCTION("""COMPUTED_VALUE"""),43710.36240528935)</f>
        <v>43710.36241</v>
      </c>
      <c r="AI1954" s="138"/>
      <c r="AJ1954" s="138"/>
      <c r="AK1954" s="138"/>
      <c r="AL1954" s="142"/>
    </row>
    <row r="1955" ht="20.25" customHeight="1">
      <c r="A1955" s="155" t="str">
        <f>IFERROR(__xludf.DUMMYFUNCTION("""COMPUTED_VALUE"""),"Justin2380")</f>
        <v>Justin2380</v>
      </c>
      <c r="B1955" s="149" t="str">
        <f>IFERROR(__xludf.DUMMYFUNCTION("""COMPUTED_VALUE"""),"Omaha")</f>
        <v>Omaha</v>
      </c>
      <c r="C1955" s="149" t="str">
        <f>IFERROR(__xludf.DUMMYFUNCTION("""COMPUTED_VALUE"""),"NE")</f>
        <v>NE</v>
      </c>
      <c r="D1955" s="149" t="str">
        <f>IFERROR(__xludf.DUMMYFUNCTION("""COMPUTED_VALUE"""),"USA")</f>
        <v>USA</v>
      </c>
      <c r="E1955" s="156">
        <f>IFERROR(__xludf.DUMMYFUNCTION("""COMPUTED_VALUE"""),43582.0)</f>
        <v>43582</v>
      </c>
      <c r="F1955" s="129">
        <f>IFERROR(__xludf.DUMMYFUNCTION("""COMPUTED_VALUE"""),43600.0)</f>
        <v>43600</v>
      </c>
      <c r="G1955" s="154"/>
      <c r="H1955" s="131">
        <f>IFERROR(__xludf.DUMMYFUNCTION("""COMPUTED_VALUE"""),211055.0)</f>
        <v>211055</v>
      </c>
      <c r="I1955" s="144"/>
      <c r="J1955" s="129">
        <f>IFERROR(__xludf.DUMMYFUNCTION("""COMPUTED_VALUE"""),43607.0)</f>
        <v>43607</v>
      </c>
      <c r="K1955" s="133">
        <f>IFERROR(__xludf.DUMMYFUNCTION("""COMPUTED_VALUE"""),18.0)</f>
        <v>18</v>
      </c>
      <c r="L1955" s="133">
        <f>IFERROR(__xludf.DUMMYFUNCTION("""COMPUTED_VALUE"""),7.0)</f>
        <v>7</v>
      </c>
      <c r="M1955" s="133">
        <f>IFERROR(__xludf.DUMMYFUNCTION("""COMPUTED_VALUE"""),25.0)</f>
        <v>25</v>
      </c>
      <c r="N1955" s="152" t="str">
        <f>IFERROR(__xludf.DUMMYFUNCTION("""COMPUTED_VALUE"""),"Model 3 LR AWD")</f>
        <v>Model 3 LR AWD</v>
      </c>
      <c r="O1955" s="152" t="str">
        <f>IFERROR(__xludf.DUMMYFUNCTION("""COMPUTED_VALUE"""),"Deep Blue Metallic")</f>
        <v>Deep Blue Metallic</v>
      </c>
      <c r="P1955" s="153" t="str">
        <f>IFERROR(__xludf.DUMMYFUNCTION("""COMPUTED_VALUE"""),"18 inch Aero")</f>
        <v>18 inch Aero</v>
      </c>
      <c r="Q1955" s="152" t="str">
        <f>IFERROR(__xludf.DUMMYFUNCTION("""COMPUTED_VALUE"""),"Black seats")</f>
        <v>Black seats</v>
      </c>
      <c r="R1955" s="149" t="str">
        <f>IFERROR(__xludf.DUMMYFUNCTION("""COMPUTED_VALUE"""),"Full Self-Driving")</f>
        <v>Full Self-Driving</v>
      </c>
      <c r="S1955" s="149"/>
      <c r="T1955" s="145"/>
      <c r="U1955" s="145"/>
      <c r="V1955" s="145"/>
      <c r="W1955" s="136"/>
      <c r="X1955" s="162" t="str">
        <f>IFERROR(__xludf.DUMMYFUNCTION("""COMPUTED_VALUE"""),"Excellent")</f>
        <v>Excellent</v>
      </c>
      <c r="Y1955" s="138" t="str">
        <f>IFERROR(__xludf.DUMMYFUNCTION("""COMPUTED_VALUE"""),"Excellent")</f>
        <v>Excellent</v>
      </c>
      <c r="Z1955" s="138" t="str">
        <f>IFERROR(__xludf.DUMMYFUNCTION("""COMPUTED_VALUE"""),"Excellent")</f>
        <v>Excellent</v>
      </c>
      <c r="AA1955" s="138" t="str">
        <f>IFERROR(__xludf.DUMMYFUNCTION("""COMPUTED_VALUE"""),"Excellent")</f>
        <v>Excellent</v>
      </c>
      <c r="AB1955" s="138" t="str">
        <f>IFERROR(__xludf.DUMMYFUNCTION("""COMPUTED_VALUE"""),"Excellent")</f>
        <v>Excellent</v>
      </c>
      <c r="AC1955" s="139">
        <f>IFERROR(__xludf.DUMMYFUNCTION("""COMPUTED_VALUE"""),1.0)</f>
        <v>1</v>
      </c>
      <c r="AD1955" s="139">
        <f>IFERROR(__xludf.DUMMYFUNCTION("""COMPUTED_VALUE"""),1.0)</f>
        <v>1</v>
      </c>
      <c r="AE1955" s="139">
        <f>IFERROR(__xludf.DUMMYFUNCTION("""COMPUTED_VALUE"""),0.0)</f>
        <v>0</v>
      </c>
      <c r="AF1955" s="140"/>
      <c r="AG1955" s="136"/>
      <c r="AH1955" s="157">
        <f>IFERROR(__xludf.DUMMYFUNCTION("""COMPUTED_VALUE"""),43610.896652812495)</f>
        <v>43610.89665</v>
      </c>
      <c r="AI1955" s="138"/>
      <c r="AJ1955" s="138"/>
      <c r="AK1955" s="138"/>
      <c r="AL1955" s="142"/>
    </row>
    <row r="1956" ht="20.25" customHeight="1">
      <c r="A1956" s="155" t="str">
        <f>IFERROR(__xludf.DUMMYFUNCTION("""COMPUTED_VALUE"""),"Pliskin01")</f>
        <v>Pliskin01</v>
      </c>
      <c r="B1956" s="149" t="str">
        <f>IFERROR(__xludf.DUMMYFUNCTION("""COMPUTED_VALUE"""),"St. Louis")</f>
        <v>St. Louis</v>
      </c>
      <c r="C1956" s="149" t="str">
        <f>IFERROR(__xludf.DUMMYFUNCTION("""COMPUTED_VALUE"""),"MO")</f>
        <v>MO</v>
      </c>
      <c r="D1956" s="149" t="str">
        <f>IFERROR(__xludf.DUMMYFUNCTION("""COMPUTED_VALUE"""),"USA")</f>
        <v>USA</v>
      </c>
      <c r="E1956" s="156">
        <f>IFERROR(__xludf.DUMMYFUNCTION("""COMPUTED_VALUE"""),43582.0)</f>
        <v>43582</v>
      </c>
      <c r="F1956" s="129">
        <f>IFERROR(__xludf.DUMMYFUNCTION("""COMPUTED_VALUE"""),43612.0)</f>
        <v>43612</v>
      </c>
      <c r="G1956" s="154"/>
      <c r="H1956" s="131">
        <f>IFERROR(__xludf.DUMMYFUNCTION("""COMPUTED_VALUE"""),368155.0)</f>
        <v>368155</v>
      </c>
      <c r="I1956" s="144" t="str">
        <f>IFERROR(__xludf.DUMMYFUNCTION("""COMPUTED_VALUE"""),"05/19")</f>
        <v>05/19</v>
      </c>
      <c r="J1956" s="129">
        <f>IFERROR(__xludf.DUMMYFUNCTION("""COMPUTED_VALUE"""),43613.0)</f>
        <v>43613</v>
      </c>
      <c r="K1956" s="133">
        <f>IFERROR(__xludf.DUMMYFUNCTION("""COMPUTED_VALUE"""),30.0)</f>
        <v>30</v>
      </c>
      <c r="L1956" s="133">
        <f>IFERROR(__xludf.DUMMYFUNCTION("""COMPUTED_VALUE"""),1.0)</f>
        <v>1</v>
      </c>
      <c r="M1956" s="133">
        <f>IFERROR(__xludf.DUMMYFUNCTION("""COMPUTED_VALUE"""),31.0)</f>
        <v>31</v>
      </c>
      <c r="N1956" s="152" t="str">
        <f>IFERROR(__xludf.DUMMYFUNCTION("""COMPUTED_VALUE"""),"Model 3 Performance")</f>
        <v>Model 3 Performance</v>
      </c>
      <c r="O1956" s="152" t="str">
        <f>IFERROR(__xludf.DUMMYFUNCTION("""COMPUTED_VALUE"""),"Midnight Silver Metallic")</f>
        <v>Midnight Silver Metallic</v>
      </c>
      <c r="P1956" s="153" t="str">
        <f>IFERROR(__xludf.DUMMYFUNCTION("""COMPUTED_VALUE"""),"20 inch Sport")</f>
        <v>20 inch Sport</v>
      </c>
      <c r="Q1956" s="152" t="str">
        <f>IFERROR(__xludf.DUMMYFUNCTION("""COMPUTED_VALUE"""),"Black seats")</f>
        <v>Black seats</v>
      </c>
      <c r="R1956" s="149" t="str">
        <f>IFERROR(__xludf.DUMMYFUNCTION("""COMPUTED_VALUE"""),"Autopilot")</f>
        <v>Autopilot</v>
      </c>
      <c r="S1956" s="149"/>
      <c r="T1956" s="145"/>
      <c r="U1956" s="145"/>
      <c r="V1956" s="145"/>
      <c r="W1956" s="145"/>
      <c r="X1956" s="137" t="str">
        <f>IFERROR(__xludf.DUMMYFUNCTION("""COMPUTED_VALUE"""),"Excellent")</f>
        <v>Excellent</v>
      </c>
      <c r="Y1956" s="138" t="str">
        <f>IFERROR(__xludf.DUMMYFUNCTION("""COMPUTED_VALUE"""),"Excellent")</f>
        <v>Excellent</v>
      </c>
      <c r="Z1956" s="138" t="str">
        <f>IFERROR(__xludf.DUMMYFUNCTION("""COMPUTED_VALUE"""),"Excellent")</f>
        <v>Excellent</v>
      </c>
      <c r="AA1956" s="138" t="str">
        <f>IFERROR(__xludf.DUMMYFUNCTION("""COMPUTED_VALUE"""),"Very Good")</f>
        <v>Very Good</v>
      </c>
      <c r="AB1956" s="138" t="str">
        <f>IFERROR(__xludf.DUMMYFUNCTION("""COMPUTED_VALUE"""),"Very Good")</f>
        <v>Very Good</v>
      </c>
      <c r="AC1956" s="139"/>
      <c r="AD1956" s="139"/>
      <c r="AE1956" s="139"/>
      <c r="AF1956" s="140"/>
      <c r="AG1956" s="145"/>
      <c r="AH1956" s="157">
        <f>IFERROR(__xludf.DUMMYFUNCTION("""COMPUTED_VALUE"""),43618.47942885417)</f>
        <v>43618.47943</v>
      </c>
      <c r="AI1956" s="138"/>
      <c r="AJ1956" s="138"/>
      <c r="AK1956" s="138"/>
      <c r="AL1956" s="142"/>
    </row>
    <row r="1957" ht="20.25" customHeight="1">
      <c r="A1957" s="155" t="str">
        <f>IFERROR(__xludf.DUMMYFUNCTION("""COMPUTED_VALUE"""),"Realmattyt")</f>
        <v>Realmattyt</v>
      </c>
      <c r="B1957" s="150" t="str">
        <f>IFERROR(__xludf.DUMMYFUNCTION("""COMPUTED_VALUE"""),"Hanford")</f>
        <v>Hanford</v>
      </c>
      <c r="C1957" s="150" t="str">
        <f>IFERROR(__xludf.DUMMYFUNCTION("""COMPUTED_VALUE"""),"CA")</f>
        <v>CA</v>
      </c>
      <c r="D1957" s="150" t="str">
        <f>IFERROR(__xludf.DUMMYFUNCTION("""COMPUTED_VALUE"""),"USA")</f>
        <v>USA</v>
      </c>
      <c r="E1957" s="156">
        <f>IFERROR(__xludf.DUMMYFUNCTION("""COMPUTED_VALUE"""),43582.0)</f>
        <v>43582</v>
      </c>
      <c r="F1957" s="129">
        <f>IFERROR(__xludf.DUMMYFUNCTION("""COMPUTED_VALUE"""),43612.0)</f>
        <v>43612</v>
      </c>
      <c r="G1957" s="154"/>
      <c r="H1957" s="131">
        <f>IFERROR(__xludf.DUMMYFUNCTION("""COMPUTED_VALUE"""),391955.0)</f>
        <v>391955</v>
      </c>
      <c r="I1957" s="132"/>
      <c r="J1957" s="129">
        <f>IFERROR(__xludf.DUMMYFUNCTION("""COMPUTED_VALUE"""),43614.0)</f>
        <v>43614</v>
      </c>
      <c r="K1957" s="133">
        <f>IFERROR(__xludf.DUMMYFUNCTION("""COMPUTED_VALUE"""),30.0)</f>
        <v>30</v>
      </c>
      <c r="L1957" s="133">
        <f>IFERROR(__xludf.DUMMYFUNCTION("""COMPUTED_VALUE"""),2.0)</f>
        <v>2</v>
      </c>
      <c r="M1957" s="133">
        <f>IFERROR(__xludf.DUMMYFUNCTION("""COMPUTED_VALUE"""),32.0)</f>
        <v>32</v>
      </c>
      <c r="N1957" s="152" t="str">
        <f>IFERROR(__xludf.DUMMYFUNCTION("""COMPUTED_VALUE"""),"Model 3 LR AWD")</f>
        <v>Model 3 LR AWD</v>
      </c>
      <c r="O1957" s="152" t="str">
        <f>IFERROR(__xludf.DUMMYFUNCTION("""COMPUTED_VALUE"""),"Deep Blue Metallic")</f>
        <v>Deep Blue Metallic</v>
      </c>
      <c r="P1957" s="153" t="str">
        <f>IFERROR(__xludf.DUMMYFUNCTION("""COMPUTED_VALUE"""),"19 inch Sport")</f>
        <v>19 inch Sport</v>
      </c>
      <c r="Q1957" s="152" t="str">
        <f>IFERROR(__xludf.DUMMYFUNCTION("""COMPUTED_VALUE"""),"White seats")</f>
        <v>White seats</v>
      </c>
      <c r="R1957" s="150" t="str">
        <f>IFERROR(__xludf.DUMMYFUNCTION("""COMPUTED_VALUE"""),"Full Self-Driving")</f>
        <v>Full Self-Driving</v>
      </c>
      <c r="S1957" s="150"/>
      <c r="T1957" s="136"/>
      <c r="U1957" s="136"/>
      <c r="V1957" s="136"/>
      <c r="W1957" s="136"/>
      <c r="X1957" s="137" t="str">
        <f>IFERROR(__xludf.DUMMYFUNCTION("""COMPUTED_VALUE"""),"Very Good")</f>
        <v>Very Good</v>
      </c>
      <c r="Y1957" s="138" t="str">
        <f>IFERROR(__xludf.DUMMYFUNCTION("""COMPUTED_VALUE"""),"Excellent")</f>
        <v>Excellent</v>
      </c>
      <c r="Z1957" s="138" t="str">
        <f>IFERROR(__xludf.DUMMYFUNCTION("""COMPUTED_VALUE"""),"Excellent")</f>
        <v>Excellent</v>
      </c>
      <c r="AA1957" s="138" t="str">
        <f>IFERROR(__xludf.DUMMYFUNCTION("""COMPUTED_VALUE"""),"Very Good")</f>
        <v>Very Good</v>
      </c>
      <c r="AB1957" s="138" t="str">
        <f>IFERROR(__xludf.DUMMYFUNCTION("""COMPUTED_VALUE"""),"Excellent")</f>
        <v>Excellent</v>
      </c>
      <c r="AC1957" s="139"/>
      <c r="AD1957" s="139"/>
      <c r="AE1957" s="139"/>
      <c r="AF1957" s="140"/>
      <c r="AG1957" s="136" t="str">
        <f>IFERROR(__xludf.DUMMYFUNCTION("""COMPUTED_VALUE"""),"First ordered on 4/14 with aero wheels.  Changed to sport wheels on 4/27. Received a Vin on 5/5 with a delivery date of 5/8. Told my DA I'd be out of the country until May 17. Now my tesla account is back to saying estimated delivery within 2 weeks")</f>
        <v>First ordered on 4/14 with aero wheels.  Changed to sport wheels on 4/27. Received a Vin on 5/5 with a delivery date of 5/8. Told my DA I'd be out of the country until May 17. Now my tesla account is back to saying estimated delivery within 2 weeks</v>
      </c>
      <c r="AH1957" s="157">
        <f>IFERROR(__xludf.DUMMYFUNCTION("""COMPUTED_VALUE"""),43615.45646013889)</f>
        <v>43615.45646</v>
      </c>
      <c r="AI1957" s="138"/>
      <c r="AJ1957" s="138"/>
      <c r="AK1957" s="138"/>
      <c r="AL1957" s="142"/>
    </row>
    <row r="1958" ht="20.25" customHeight="1">
      <c r="A1958" s="155" t="str">
        <f>IFERROR(__xludf.DUMMYFUNCTION("""COMPUTED_VALUE"""),"Tonby")</f>
        <v>Tonby</v>
      </c>
      <c r="B1958" s="149" t="str">
        <f>IFERROR(__xludf.DUMMYFUNCTION("""COMPUTED_VALUE"""),"Fullerton")</f>
        <v>Fullerton</v>
      </c>
      <c r="C1958" s="149" t="str">
        <f>IFERROR(__xludf.DUMMYFUNCTION("""COMPUTED_VALUE"""),"CA")</f>
        <v>CA</v>
      </c>
      <c r="D1958" s="149" t="str">
        <f>IFERROR(__xludf.DUMMYFUNCTION("""COMPUTED_VALUE"""),"USA")</f>
        <v>USA</v>
      </c>
      <c r="E1958" s="156">
        <f>IFERROR(__xludf.DUMMYFUNCTION("""COMPUTED_VALUE"""),43582.0)</f>
        <v>43582</v>
      </c>
      <c r="F1958" s="129">
        <f>IFERROR(__xludf.DUMMYFUNCTION("""COMPUTED_VALUE"""),43587.0)</f>
        <v>43587</v>
      </c>
      <c r="G1958" s="154"/>
      <c r="H1958" s="131"/>
      <c r="I1958" s="144"/>
      <c r="J1958" s="129">
        <f>IFERROR(__xludf.DUMMYFUNCTION("""COMPUTED_VALUE"""),43589.0)</f>
        <v>43589</v>
      </c>
      <c r="K1958" s="133">
        <f>IFERROR(__xludf.DUMMYFUNCTION("""COMPUTED_VALUE"""),5.0)</f>
        <v>5</v>
      </c>
      <c r="L1958" s="133">
        <f>IFERROR(__xludf.DUMMYFUNCTION("""COMPUTED_VALUE"""),2.0)</f>
        <v>2</v>
      </c>
      <c r="M1958" s="133">
        <f>IFERROR(__xludf.DUMMYFUNCTION("""COMPUTED_VALUE"""),7.0)</f>
        <v>7</v>
      </c>
      <c r="N1958" s="152" t="str">
        <f>IFERROR(__xludf.DUMMYFUNCTION("""COMPUTED_VALUE"""),"Model 3 Performance")</f>
        <v>Model 3 Performance</v>
      </c>
      <c r="O1958" s="152" t="str">
        <f>IFERROR(__xludf.DUMMYFUNCTION("""COMPUTED_VALUE"""),"Solid Black")</f>
        <v>Solid Black</v>
      </c>
      <c r="P1958" s="153" t="str">
        <f>IFERROR(__xludf.DUMMYFUNCTION("""COMPUTED_VALUE"""),"20 inch Sport")</f>
        <v>20 inch Sport</v>
      </c>
      <c r="Q1958" s="152" t="str">
        <f>IFERROR(__xludf.DUMMYFUNCTION("""COMPUTED_VALUE"""),"Black seats")</f>
        <v>Black seats</v>
      </c>
      <c r="R1958" s="149" t="str">
        <f>IFERROR(__xludf.DUMMYFUNCTION("""COMPUTED_VALUE"""),"Full Self-Driving")</f>
        <v>Full Self-Driving</v>
      </c>
      <c r="S1958" s="149"/>
      <c r="T1958" s="145"/>
      <c r="U1958" s="145"/>
      <c r="V1958" s="145"/>
      <c r="W1958" s="145"/>
      <c r="X1958" s="137" t="str">
        <f>IFERROR(__xludf.DUMMYFUNCTION("""COMPUTED_VALUE"""),"Good")</f>
        <v>Good</v>
      </c>
      <c r="Y1958" s="138" t="str">
        <f>IFERROR(__xludf.DUMMYFUNCTION("""COMPUTED_VALUE"""),"Good")</f>
        <v>Good</v>
      </c>
      <c r="Z1958" s="138" t="str">
        <f>IFERROR(__xludf.DUMMYFUNCTION("""COMPUTED_VALUE"""),"Good")</f>
        <v>Good</v>
      </c>
      <c r="AA1958" s="138" t="str">
        <f>IFERROR(__xludf.DUMMYFUNCTION("""COMPUTED_VALUE"""),"Fair")</f>
        <v>Fair</v>
      </c>
      <c r="AB1958" s="138" t="str">
        <f>IFERROR(__xludf.DUMMYFUNCTION("""COMPUTED_VALUE"""),"Excellent")</f>
        <v>Excellent</v>
      </c>
      <c r="AC1958" s="139">
        <f>IFERROR(__xludf.DUMMYFUNCTION("""COMPUTED_VALUE"""),4.0)</f>
        <v>4</v>
      </c>
      <c r="AD1958" s="139">
        <f>IFERROR(__xludf.DUMMYFUNCTION("""COMPUTED_VALUE"""),2.0)</f>
        <v>2</v>
      </c>
      <c r="AE1958" s="139"/>
      <c r="AF1958" s="140"/>
      <c r="AG1958" s="145" t="str">
        <f>IFERROR(__xludf.DUMMYFUNCTION("""COMPUTED_VALUE"""),"Cut in steering wheel, smudges on seats, few small scratches in paint, loose panels. All will be taken care of since I reported before 24 hours/ 100 miles of ownership. But the service is scheduled in a month as that is the earliest time available.")</f>
        <v>Cut in steering wheel, smudges on seats, few small scratches in paint, loose panels. All will be taken care of since I reported before 24 hours/ 100 miles of ownership. But the service is scheduled in a month as that is the earliest time available.</v>
      </c>
      <c r="AH1958" s="157">
        <f>IFERROR(__xludf.DUMMYFUNCTION("""COMPUTED_VALUE"""),43686.92017023148)</f>
        <v>43686.92017</v>
      </c>
      <c r="AI1958" s="138"/>
      <c r="AJ1958" s="138"/>
      <c r="AK1958" s="138"/>
      <c r="AL1958" s="142"/>
    </row>
    <row r="1959" ht="20.25" customHeight="1">
      <c r="A1959" s="155" t="str">
        <f>IFERROR(__xludf.DUMMYFUNCTION("""COMPUTED_VALUE"""),"snark42")</f>
        <v>snark42</v>
      </c>
      <c r="B1959" s="149" t="str">
        <f>IFERROR(__xludf.DUMMYFUNCTION("""COMPUTED_VALUE"""),"Chicago")</f>
        <v>Chicago</v>
      </c>
      <c r="C1959" s="149" t="str">
        <f>IFERROR(__xludf.DUMMYFUNCTION("""COMPUTED_VALUE"""),"IL")</f>
        <v>IL</v>
      </c>
      <c r="D1959" s="149" t="str">
        <f>IFERROR(__xludf.DUMMYFUNCTION("""COMPUTED_VALUE"""),"USA")</f>
        <v>USA</v>
      </c>
      <c r="E1959" s="156">
        <f>IFERROR(__xludf.DUMMYFUNCTION("""COMPUTED_VALUE"""),43581.0)</f>
        <v>43581</v>
      </c>
      <c r="F1959" s="129">
        <f>IFERROR(__xludf.DUMMYFUNCTION("""COMPUTED_VALUE"""),43609.0)</f>
        <v>43609</v>
      </c>
      <c r="G1959" s="154"/>
      <c r="H1959" s="131">
        <f>IFERROR(__xludf.DUMMYFUNCTION("""COMPUTED_VALUE"""),194955.0)</f>
        <v>194955</v>
      </c>
      <c r="I1959" s="144"/>
      <c r="J1959" s="129">
        <f>IFERROR(__xludf.DUMMYFUNCTION("""COMPUTED_VALUE"""),43628.0)</f>
        <v>43628</v>
      </c>
      <c r="K1959" s="133">
        <f>IFERROR(__xludf.DUMMYFUNCTION("""COMPUTED_VALUE"""),28.0)</f>
        <v>28</v>
      </c>
      <c r="L1959" s="133">
        <f>IFERROR(__xludf.DUMMYFUNCTION("""COMPUTED_VALUE"""),19.0)</f>
        <v>19</v>
      </c>
      <c r="M1959" s="133">
        <f>IFERROR(__xludf.DUMMYFUNCTION("""COMPUTED_VALUE"""),47.0)</f>
        <v>47</v>
      </c>
      <c r="N1959" s="152" t="str">
        <f>IFERROR(__xludf.DUMMYFUNCTION("""COMPUTED_VALUE"""),"Model 3 LR AWD")</f>
        <v>Model 3 LR AWD</v>
      </c>
      <c r="O1959" s="152" t="str">
        <f>IFERROR(__xludf.DUMMYFUNCTION("""COMPUTED_VALUE"""),"Deep Blue Metallic")</f>
        <v>Deep Blue Metallic</v>
      </c>
      <c r="P1959" s="153" t="str">
        <f>IFERROR(__xludf.DUMMYFUNCTION("""COMPUTED_VALUE"""),"18 inch Aero")</f>
        <v>18 inch Aero</v>
      </c>
      <c r="Q1959" s="152" t="str">
        <f>IFERROR(__xludf.DUMMYFUNCTION("""COMPUTED_VALUE"""),"White seats")</f>
        <v>White seats</v>
      </c>
      <c r="R1959" s="149" t="str">
        <f>IFERROR(__xludf.DUMMYFUNCTION("""COMPUTED_VALUE"""),"Full Self-Driving")</f>
        <v>Full Self-Driving</v>
      </c>
      <c r="S1959" s="149"/>
      <c r="T1959" s="145"/>
      <c r="U1959" s="145"/>
      <c r="V1959" s="145"/>
      <c r="W1959" s="145"/>
      <c r="X1959" s="137" t="str">
        <f>IFERROR(__xludf.DUMMYFUNCTION("""COMPUTED_VALUE"""),"Very Good")</f>
        <v>Very Good</v>
      </c>
      <c r="Y1959" s="138" t="str">
        <f>IFERROR(__xludf.DUMMYFUNCTION("""COMPUTED_VALUE"""),"Good")</f>
        <v>Good</v>
      </c>
      <c r="Z1959" s="138" t="str">
        <f>IFERROR(__xludf.DUMMYFUNCTION("""COMPUTED_VALUE"""),"Excellent")</f>
        <v>Excellent</v>
      </c>
      <c r="AA1959" s="138" t="str">
        <f>IFERROR(__xludf.DUMMYFUNCTION("""COMPUTED_VALUE"""),"Excellent")</f>
        <v>Excellent</v>
      </c>
      <c r="AB1959" s="138" t="str">
        <f>IFERROR(__xludf.DUMMYFUNCTION("""COMPUTED_VALUE"""),"Excellent")</f>
        <v>Excellent</v>
      </c>
      <c r="AC1959" s="139"/>
      <c r="AD1959" s="139"/>
      <c r="AE1959" s="139"/>
      <c r="AF1959" s="140"/>
      <c r="AG1959" s="145"/>
      <c r="AH1959" s="157">
        <f>IFERROR(__xludf.DUMMYFUNCTION("""COMPUTED_VALUE"""),43628.69119283564)</f>
        <v>43628.69119</v>
      </c>
      <c r="AI1959" s="138"/>
      <c r="AJ1959" s="138"/>
      <c r="AK1959" s="138"/>
      <c r="AL1959" s="142"/>
    </row>
    <row r="1960" ht="20.25" customHeight="1">
      <c r="A1960" s="155" t="str">
        <f>IFERROR(__xludf.DUMMYFUNCTION("""COMPUTED_VALUE"""),"all-electric-austin")</f>
        <v>all-electric-austin</v>
      </c>
      <c r="B1960" s="149" t="str">
        <f>IFERROR(__xludf.DUMMYFUNCTION("""COMPUTED_VALUE"""),"Austin")</f>
        <v>Austin</v>
      </c>
      <c r="C1960" s="149" t="str">
        <f>IFERROR(__xludf.DUMMYFUNCTION("""COMPUTED_VALUE"""),"TX")</f>
        <v>TX</v>
      </c>
      <c r="D1960" s="149" t="str">
        <f>IFERROR(__xludf.DUMMYFUNCTION("""COMPUTED_VALUE"""),"USA")</f>
        <v>USA</v>
      </c>
      <c r="E1960" s="156">
        <f>IFERROR(__xludf.DUMMYFUNCTION("""COMPUTED_VALUE"""),43580.0)</f>
        <v>43580</v>
      </c>
      <c r="F1960" s="129">
        <f>IFERROR(__xludf.DUMMYFUNCTION("""COMPUTED_VALUE"""),43586.0)</f>
        <v>43586</v>
      </c>
      <c r="G1960" s="154"/>
      <c r="H1960" s="131">
        <f>IFERROR(__xludf.DUMMYFUNCTION("""COMPUTED_VALUE"""),309355.0)</f>
        <v>309355</v>
      </c>
      <c r="I1960" s="144" t="str">
        <f>IFERROR(__xludf.DUMMYFUNCTION("""COMPUTED_VALUE"""),"04/19")</f>
        <v>04/19</v>
      </c>
      <c r="J1960" s="129">
        <f>IFERROR(__xludf.DUMMYFUNCTION("""COMPUTED_VALUE"""),43599.0)</f>
        <v>43599</v>
      </c>
      <c r="K1960" s="133">
        <f>IFERROR(__xludf.DUMMYFUNCTION("""COMPUTED_VALUE"""),6.0)</f>
        <v>6</v>
      </c>
      <c r="L1960" s="133">
        <f>IFERROR(__xludf.DUMMYFUNCTION("""COMPUTED_VALUE"""),13.0)</f>
        <v>13</v>
      </c>
      <c r="M1960" s="133">
        <f>IFERROR(__xludf.DUMMYFUNCTION("""COMPUTED_VALUE"""),19.0)</f>
        <v>19</v>
      </c>
      <c r="N1960" s="152" t="str">
        <f>IFERROR(__xludf.DUMMYFUNCTION("""COMPUTED_VALUE"""),"Model 3 SR+")</f>
        <v>Model 3 SR+</v>
      </c>
      <c r="O1960" s="152" t="str">
        <f>IFERROR(__xludf.DUMMYFUNCTION("""COMPUTED_VALUE"""),"Deep Blue Metallic")</f>
        <v>Deep Blue Metallic</v>
      </c>
      <c r="P1960" s="153" t="str">
        <f>IFERROR(__xludf.DUMMYFUNCTION("""COMPUTED_VALUE"""),"18 inch Aero")</f>
        <v>18 inch Aero</v>
      </c>
      <c r="Q1960" s="152" t="str">
        <f>IFERROR(__xludf.DUMMYFUNCTION("""COMPUTED_VALUE"""),"Black seats")</f>
        <v>Black seats</v>
      </c>
      <c r="R1960" s="149" t="str">
        <f>IFERROR(__xludf.DUMMYFUNCTION("""COMPUTED_VALUE"""),"Full Self-Driving")</f>
        <v>Full Self-Driving</v>
      </c>
      <c r="S1960" s="149"/>
      <c r="T1960" s="145"/>
      <c r="U1960" s="145"/>
      <c r="V1960" s="145"/>
      <c r="W1960" s="145"/>
      <c r="X1960" s="137" t="str">
        <f>IFERROR(__xludf.DUMMYFUNCTION("""COMPUTED_VALUE"""),"Very Good")</f>
        <v>Very Good</v>
      </c>
      <c r="Y1960" s="138" t="str">
        <f>IFERROR(__xludf.DUMMYFUNCTION("""COMPUTED_VALUE"""),"Excellent")</f>
        <v>Excellent</v>
      </c>
      <c r="Z1960" s="138" t="str">
        <f>IFERROR(__xludf.DUMMYFUNCTION("""COMPUTED_VALUE"""),"Excellent")</f>
        <v>Excellent</v>
      </c>
      <c r="AA1960" s="138" t="str">
        <f>IFERROR(__xludf.DUMMYFUNCTION("""COMPUTED_VALUE"""),"Fair")</f>
        <v>Fair</v>
      </c>
      <c r="AB1960" s="138" t="str">
        <f>IFERROR(__xludf.DUMMYFUNCTION("""COMPUTED_VALUE"""),"Excellent")</f>
        <v>Excellent</v>
      </c>
      <c r="AC1960" s="139">
        <f>IFERROR(__xludf.DUMMYFUNCTION("""COMPUTED_VALUE"""),0.0)</f>
        <v>0</v>
      </c>
      <c r="AD1960" s="139">
        <f>IFERROR(__xludf.DUMMYFUNCTION("""COMPUTED_VALUE"""),0.0)</f>
        <v>0</v>
      </c>
      <c r="AE1960" s="139">
        <f>IFERROR(__xludf.DUMMYFUNCTION("""COMPUTED_VALUE"""),0.0)</f>
        <v>0</v>
      </c>
      <c r="AF1960" s="140"/>
      <c r="AG1960" s="145" t="str">
        <f>IFERROR(__xludf.DUMMYFUNCTION("""COMPUTED_VALUE"""),"The deliver advisor in NV was really hard to reach.")</f>
        <v>The deliver advisor in NV was really hard to reach.</v>
      </c>
      <c r="AH1960" s="157">
        <f>IFERROR(__xludf.DUMMYFUNCTION("""COMPUTED_VALUE"""),43605.48459847222)</f>
        <v>43605.4846</v>
      </c>
      <c r="AI1960" s="138"/>
      <c r="AJ1960" s="138"/>
      <c r="AK1960" s="138"/>
      <c r="AL1960" s="142"/>
    </row>
    <row r="1961" ht="20.25" customHeight="1">
      <c r="A1961" s="155" t="str">
        <f>IFERROR(__xludf.DUMMYFUNCTION("""COMPUTED_VALUE"""),"JulienW")</f>
        <v>JulienW</v>
      </c>
      <c r="B1961" s="149" t="str">
        <f>IFERROR(__xludf.DUMMYFUNCTION("""COMPUTED_VALUE"""),"Atlanta")</f>
        <v>Atlanta</v>
      </c>
      <c r="C1961" s="149" t="str">
        <f>IFERROR(__xludf.DUMMYFUNCTION("""COMPUTED_VALUE"""),"GA")</f>
        <v>GA</v>
      </c>
      <c r="D1961" s="149" t="str">
        <f>IFERROR(__xludf.DUMMYFUNCTION("""COMPUTED_VALUE"""),"USA")</f>
        <v>USA</v>
      </c>
      <c r="E1961" s="156">
        <f>IFERROR(__xludf.DUMMYFUNCTION("""COMPUTED_VALUE"""),43580.0)</f>
        <v>43580</v>
      </c>
      <c r="F1961" s="129">
        <f>IFERROR(__xludf.DUMMYFUNCTION("""COMPUTED_VALUE"""),43609.0)</f>
        <v>43609</v>
      </c>
      <c r="G1961" s="154"/>
      <c r="H1961" s="131">
        <f>IFERROR(__xludf.DUMMYFUNCTION("""COMPUTED_VALUE"""),391834.0)</f>
        <v>391834</v>
      </c>
      <c r="I1961" s="132" t="str">
        <f>IFERROR(__xludf.DUMMYFUNCTION("""COMPUTED_VALUE"""),"05/19")</f>
        <v>05/19</v>
      </c>
      <c r="J1961" s="129">
        <f>IFERROR(__xludf.DUMMYFUNCTION("""COMPUTED_VALUE"""),43615.0)</f>
        <v>43615</v>
      </c>
      <c r="K1961" s="133">
        <f>IFERROR(__xludf.DUMMYFUNCTION("""COMPUTED_VALUE"""),29.0)</f>
        <v>29</v>
      </c>
      <c r="L1961" s="133">
        <f>IFERROR(__xludf.DUMMYFUNCTION("""COMPUTED_VALUE"""),6.0)</f>
        <v>6</v>
      </c>
      <c r="M1961" s="133">
        <f>IFERROR(__xludf.DUMMYFUNCTION("""COMPUTED_VALUE"""),35.0)</f>
        <v>35</v>
      </c>
      <c r="N1961" s="152" t="str">
        <f>IFERROR(__xludf.DUMMYFUNCTION("""COMPUTED_VALUE"""),"Model 3 LR AWD")</f>
        <v>Model 3 LR AWD</v>
      </c>
      <c r="O1961" s="152" t="str">
        <f>IFERROR(__xludf.DUMMYFUNCTION("""COMPUTED_VALUE"""),"Red Multi-Coat")</f>
        <v>Red Multi-Coat</v>
      </c>
      <c r="P1961" s="153" t="str">
        <f>IFERROR(__xludf.DUMMYFUNCTION("""COMPUTED_VALUE"""),"19 inch Sport")</f>
        <v>19 inch Sport</v>
      </c>
      <c r="Q1961" s="152" t="str">
        <f>IFERROR(__xludf.DUMMYFUNCTION("""COMPUTED_VALUE"""),"White seats")</f>
        <v>White seats</v>
      </c>
      <c r="R1961" s="150" t="str">
        <f>IFERROR(__xludf.DUMMYFUNCTION("""COMPUTED_VALUE"""),"Full Self-Driving")</f>
        <v>Full Self-Driving</v>
      </c>
      <c r="S1961" s="150"/>
      <c r="T1961" s="136"/>
      <c r="U1961" s="136"/>
      <c r="V1961" s="136"/>
      <c r="W1961" s="136"/>
      <c r="X1961" s="137" t="str">
        <f>IFERROR(__xludf.DUMMYFUNCTION("""COMPUTED_VALUE"""),"Very Good")</f>
        <v>Very Good</v>
      </c>
      <c r="Y1961" s="138" t="str">
        <f>IFERROR(__xludf.DUMMYFUNCTION("""COMPUTED_VALUE"""),"Very Good")</f>
        <v>Very Good</v>
      </c>
      <c r="Z1961" s="138" t="str">
        <f>IFERROR(__xludf.DUMMYFUNCTION("""COMPUTED_VALUE"""),"Excellent")</f>
        <v>Excellent</v>
      </c>
      <c r="AA1961" s="138" t="str">
        <f>IFERROR(__xludf.DUMMYFUNCTION("""COMPUTED_VALUE"""),"Excellent")</f>
        <v>Excellent</v>
      </c>
      <c r="AB1961" s="138" t="str">
        <f>IFERROR(__xludf.DUMMYFUNCTION("""COMPUTED_VALUE"""),"Excellent")</f>
        <v>Excellent</v>
      </c>
      <c r="AC1961" s="139"/>
      <c r="AD1961" s="139"/>
      <c r="AE1961" s="139"/>
      <c r="AF1961" s="140"/>
      <c r="AG1961" s="136"/>
      <c r="AH1961" s="157">
        <f>IFERROR(__xludf.DUMMYFUNCTION("""COMPUTED_VALUE"""),43616.54930614583)</f>
        <v>43616.54931</v>
      </c>
      <c r="AI1961" s="138"/>
      <c r="AJ1961" s="138"/>
      <c r="AK1961" s="138"/>
      <c r="AL1961" s="142"/>
    </row>
    <row r="1962" ht="20.25" customHeight="1">
      <c r="A1962" s="155" t="str">
        <f>IFERROR(__xludf.DUMMYFUNCTION("""COMPUTED_VALUE"""),"kerrdawg02")</f>
        <v>kerrdawg02</v>
      </c>
      <c r="B1962" s="149" t="str">
        <f>IFERROR(__xludf.DUMMYFUNCTION("""COMPUTED_VALUE"""),"Houston")</f>
        <v>Houston</v>
      </c>
      <c r="C1962" s="149" t="str">
        <f>IFERROR(__xludf.DUMMYFUNCTION("""COMPUTED_VALUE"""),"TX")</f>
        <v>TX</v>
      </c>
      <c r="D1962" s="149" t="str">
        <f>IFERROR(__xludf.DUMMYFUNCTION("""COMPUTED_VALUE"""),"USA")</f>
        <v>USA</v>
      </c>
      <c r="E1962" s="156">
        <f>IFERROR(__xludf.DUMMYFUNCTION("""COMPUTED_VALUE"""),43580.0)</f>
        <v>43580</v>
      </c>
      <c r="F1962" s="129">
        <f>IFERROR(__xludf.DUMMYFUNCTION("""COMPUTED_VALUE"""),43596.0)</f>
        <v>43596</v>
      </c>
      <c r="G1962" s="154"/>
      <c r="H1962" s="131"/>
      <c r="I1962" s="132" t="str">
        <f>IFERROR(__xludf.DUMMYFUNCTION("""COMPUTED_VALUE"""),"05/19")</f>
        <v>05/19</v>
      </c>
      <c r="J1962" s="129">
        <f>IFERROR(__xludf.DUMMYFUNCTION("""COMPUTED_VALUE"""),43606.0)</f>
        <v>43606</v>
      </c>
      <c r="K1962" s="133">
        <f>IFERROR(__xludf.DUMMYFUNCTION("""COMPUTED_VALUE"""),16.0)</f>
        <v>16</v>
      </c>
      <c r="L1962" s="133">
        <f>IFERROR(__xludf.DUMMYFUNCTION("""COMPUTED_VALUE"""),10.0)</f>
        <v>10</v>
      </c>
      <c r="M1962" s="133">
        <f>IFERROR(__xludf.DUMMYFUNCTION("""COMPUTED_VALUE"""),26.0)</f>
        <v>26</v>
      </c>
      <c r="N1962" s="152" t="str">
        <f>IFERROR(__xludf.DUMMYFUNCTION("""COMPUTED_VALUE"""),"Model 3 LR AWD")</f>
        <v>Model 3 LR AWD</v>
      </c>
      <c r="O1962" s="152" t="str">
        <f>IFERROR(__xludf.DUMMYFUNCTION("""COMPUTED_VALUE"""),"Red Multi-Coat")</f>
        <v>Red Multi-Coat</v>
      </c>
      <c r="P1962" s="153" t="str">
        <f>IFERROR(__xludf.DUMMYFUNCTION("""COMPUTED_VALUE"""),"18 inch Aero")</f>
        <v>18 inch Aero</v>
      </c>
      <c r="Q1962" s="152" t="str">
        <f>IFERROR(__xludf.DUMMYFUNCTION("""COMPUTED_VALUE"""),"Black seats")</f>
        <v>Black seats</v>
      </c>
      <c r="R1962" s="150" t="str">
        <f>IFERROR(__xludf.DUMMYFUNCTION("""COMPUTED_VALUE"""),"Full Self-Driving")</f>
        <v>Full Self-Driving</v>
      </c>
      <c r="S1962" s="150"/>
      <c r="T1962" s="136"/>
      <c r="U1962" s="136"/>
      <c r="V1962" s="136"/>
      <c r="W1962" s="136"/>
      <c r="X1962" s="137" t="str">
        <f>IFERROR(__xludf.DUMMYFUNCTION("""COMPUTED_VALUE"""),"Excellent")</f>
        <v>Excellent</v>
      </c>
      <c r="Y1962" s="138" t="str">
        <f>IFERROR(__xludf.DUMMYFUNCTION("""COMPUTED_VALUE"""),"Very Good")</f>
        <v>Very Good</v>
      </c>
      <c r="Z1962" s="138" t="str">
        <f>IFERROR(__xludf.DUMMYFUNCTION("""COMPUTED_VALUE"""),"Excellent")</f>
        <v>Excellent</v>
      </c>
      <c r="AA1962" s="138" t="str">
        <f>IFERROR(__xludf.DUMMYFUNCTION("""COMPUTED_VALUE"""),"Fair")</f>
        <v>Fair</v>
      </c>
      <c r="AB1962" s="138" t="str">
        <f>IFERROR(__xludf.DUMMYFUNCTION("""COMPUTED_VALUE"""),"Good")</f>
        <v>Good</v>
      </c>
      <c r="AC1962" s="139">
        <f>IFERROR(__xludf.DUMMYFUNCTION("""COMPUTED_VALUE"""),2.0)</f>
        <v>2</v>
      </c>
      <c r="AD1962" s="139">
        <f>IFERROR(__xludf.DUMMYFUNCTION("""COMPUTED_VALUE"""),0.0)</f>
        <v>0</v>
      </c>
      <c r="AE1962" s="139">
        <f>IFERROR(__xludf.DUMMYFUNCTION("""COMPUTED_VALUE"""),0.0)</f>
        <v>0</v>
      </c>
      <c r="AF1962" s="140"/>
      <c r="AG1962" s="136" t="str">
        <f>IFERROR(__xludf.DUMMYFUNCTION("""COMPUTED_VALUE"""),"Slow VIN assignment. Update, still nothing on May 7, 2019. Vin on May 11. Delivery date confirmed for May 21. ")</f>
        <v>Slow VIN assignment. Update, still nothing on May 7, 2019. Vin on May 11. Delivery date confirmed for May 21. </v>
      </c>
      <c r="AH1962" s="157">
        <f>IFERROR(__xludf.DUMMYFUNCTION("""COMPUTED_VALUE"""),43613.9126765162)</f>
        <v>43613.91268</v>
      </c>
      <c r="AI1962" s="138"/>
      <c r="AJ1962" s="138"/>
      <c r="AK1962" s="138"/>
      <c r="AL1962" s="142"/>
    </row>
    <row r="1963" ht="20.25" customHeight="1">
      <c r="A1963" s="155" t="str">
        <f>IFERROR(__xludf.DUMMYFUNCTION("""COMPUTED_VALUE"""),"Krisher")</f>
        <v>Krisher</v>
      </c>
      <c r="B1963" s="149"/>
      <c r="C1963" s="149" t="str">
        <f>IFERROR(__xludf.DUMMYFUNCTION("""COMPUTED_VALUE"""),"CT")</f>
        <v>CT</v>
      </c>
      <c r="D1963" s="149" t="str">
        <f>IFERROR(__xludf.DUMMYFUNCTION("""COMPUTED_VALUE"""),"USA")</f>
        <v>USA</v>
      </c>
      <c r="E1963" s="156">
        <f>IFERROR(__xludf.DUMMYFUNCTION("""COMPUTED_VALUE"""),43580.0)</f>
        <v>43580</v>
      </c>
      <c r="F1963" s="129">
        <f>IFERROR(__xludf.DUMMYFUNCTION("""COMPUTED_VALUE"""),43620.0)</f>
        <v>43620</v>
      </c>
      <c r="G1963" s="154"/>
      <c r="H1963" s="131">
        <f>IFERROR(__xludf.DUMMYFUNCTION("""COMPUTED_VALUE"""),413755.0)</f>
        <v>413755</v>
      </c>
      <c r="I1963" s="144"/>
      <c r="J1963" s="129">
        <f>IFERROR(__xludf.DUMMYFUNCTION("""COMPUTED_VALUE"""),43627.0)</f>
        <v>43627</v>
      </c>
      <c r="K1963" s="133">
        <f>IFERROR(__xludf.DUMMYFUNCTION("""COMPUTED_VALUE"""),40.0)</f>
        <v>40</v>
      </c>
      <c r="L1963" s="133">
        <f>IFERROR(__xludf.DUMMYFUNCTION("""COMPUTED_VALUE"""),7.0)</f>
        <v>7</v>
      </c>
      <c r="M1963" s="133">
        <f>IFERROR(__xludf.DUMMYFUNCTION("""COMPUTED_VALUE"""),47.0)</f>
        <v>47</v>
      </c>
      <c r="N1963" s="152" t="str">
        <f>IFERROR(__xludf.DUMMYFUNCTION("""COMPUTED_VALUE"""),"Model 3 Performance")</f>
        <v>Model 3 Performance</v>
      </c>
      <c r="O1963" s="152" t="str">
        <f>IFERROR(__xludf.DUMMYFUNCTION("""COMPUTED_VALUE"""),"Pearl White Multi-Coat")</f>
        <v>Pearl White Multi-Coat</v>
      </c>
      <c r="P1963" s="153" t="str">
        <f>IFERROR(__xludf.DUMMYFUNCTION("""COMPUTED_VALUE"""),"20 inch Sport")</f>
        <v>20 inch Sport</v>
      </c>
      <c r="Q1963" s="152" t="str">
        <f>IFERROR(__xludf.DUMMYFUNCTION("""COMPUTED_VALUE"""),"White seats")</f>
        <v>White seats</v>
      </c>
      <c r="R1963" s="149" t="str">
        <f>IFERROR(__xludf.DUMMYFUNCTION("""COMPUTED_VALUE"""),"Full Self-Driving")</f>
        <v>Full Self-Driving</v>
      </c>
      <c r="S1963" s="149"/>
      <c r="T1963" s="145"/>
      <c r="U1963" s="145"/>
      <c r="V1963" s="145"/>
      <c r="W1963" s="136"/>
      <c r="X1963" s="162" t="str">
        <f>IFERROR(__xludf.DUMMYFUNCTION("""COMPUTED_VALUE"""),"Excellent")</f>
        <v>Excellent</v>
      </c>
      <c r="Y1963" s="138" t="str">
        <f>IFERROR(__xludf.DUMMYFUNCTION("""COMPUTED_VALUE"""),"Excellent")</f>
        <v>Excellent</v>
      </c>
      <c r="Z1963" s="138" t="str">
        <f>IFERROR(__xludf.DUMMYFUNCTION("""COMPUTED_VALUE"""),"Good")</f>
        <v>Good</v>
      </c>
      <c r="AA1963" s="138" t="str">
        <f>IFERROR(__xludf.DUMMYFUNCTION("""COMPUTED_VALUE"""),"Fair")</f>
        <v>Fair</v>
      </c>
      <c r="AB1963" s="138" t="str">
        <f>IFERROR(__xludf.DUMMYFUNCTION("""COMPUTED_VALUE"""),"Good")</f>
        <v>Good</v>
      </c>
      <c r="AC1963" s="139"/>
      <c r="AD1963" s="139"/>
      <c r="AE1963" s="139"/>
      <c r="AF1963" s="140"/>
      <c r="AG1963" s="136" t="str">
        <f>IFERROR(__xludf.DUMMYFUNCTION("""COMPUTED_VALUE"""),"Front bumper was damaged during delivery, replaced bumper.")</f>
        <v>Front bumper was damaged during delivery, replaced bumper.</v>
      </c>
      <c r="AH1963" s="157">
        <f>IFERROR(__xludf.DUMMYFUNCTION("""COMPUTED_VALUE"""),43636.33153984954)</f>
        <v>43636.33154</v>
      </c>
      <c r="AI1963" s="138"/>
      <c r="AJ1963" s="138"/>
      <c r="AK1963" s="138"/>
      <c r="AL1963" s="142"/>
    </row>
    <row r="1964" ht="20.25" customHeight="1">
      <c r="A1964" s="155" t="str">
        <f>IFERROR(__xludf.DUMMYFUNCTION("""COMPUTED_VALUE"""),"dougb0")</f>
        <v>dougb0</v>
      </c>
      <c r="B1964" s="149"/>
      <c r="C1964" s="149" t="str">
        <f>IFERROR(__xludf.DUMMYFUNCTION("""COMPUTED_VALUE"""),"VA")</f>
        <v>VA</v>
      </c>
      <c r="D1964" s="149" t="str">
        <f>IFERROR(__xludf.DUMMYFUNCTION("""COMPUTED_VALUE"""),"USA")</f>
        <v>USA</v>
      </c>
      <c r="E1964" s="156">
        <f>IFERROR(__xludf.DUMMYFUNCTION("""COMPUTED_VALUE"""),43579.0)</f>
        <v>43579</v>
      </c>
      <c r="F1964" s="129">
        <f>IFERROR(__xludf.DUMMYFUNCTION("""COMPUTED_VALUE"""),43592.0)</f>
        <v>43592</v>
      </c>
      <c r="G1964" s="154"/>
      <c r="H1964" s="131">
        <f>IFERROR(__xludf.DUMMYFUNCTION("""COMPUTED_VALUE"""),311155.0)</f>
        <v>311155</v>
      </c>
      <c r="I1964" s="144" t="str">
        <f>IFERROR(__xludf.DUMMYFUNCTION("""COMPUTED_VALUE"""),"04/19")</f>
        <v>04/19</v>
      </c>
      <c r="J1964" s="129">
        <f>IFERROR(__xludf.DUMMYFUNCTION("""COMPUTED_VALUE"""),43602.0)</f>
        <v>43602</v>
      </c>
      <c r="K1964" s="133">
        <f>IFERROR(__xludf.DUMMYFUNCTION("""COMPUTED_VALUE"""),13.0)</f>
        <v>13</v>
      </c>
      <c r="L1964" s="133">
        <f>IFERROR(__xludf.DUMMYFUNCTION("""COMPUTED_VALUE"""),10.0)</f>
        <v>10</v>
      </c>
      <c r="M1964" s="133">
        <f>IFERROR(__xludf.DUMMYFUNCTION("""COMPUTED_VALUE"""),23.0)</f>
        <v>23</v>
      </c>
      <c r="N1964" s="152" t="str">
        <f>IFERROR(__xludf.DUMMYFUNCTION("""COMPUTED_VALUE"""),"Model 3 SR+")</f>
        <v>Model 3 SR+</v>
      </c>
      <c r="O1964" s="152" t="str">
        <f>IFERROR(__xludf.DUMMYFUNCTION("""COMPUTED_VALUE"""),"Midnight Silver Metallic")</f>
        <v>Midnight Silver Metallic</v>
      </c>
      <c r="P1964" s="153" t="str">
        <f>IFERROR(__xludf.DUMMYFUNCTION("""COMPUTED_VALUE"""),"19 inch Sport")</f>
        <v>19 inch Sport</v>
      </c>
      <c r="Q1964" s="152" t="str">
        <f>IFERROR(__xludf.DUMMYFUNCTION("""COMPUTED_VALUE"""),"Black seats")</f>
        <v>Black seats</v>
      </c>
      <c r="R1964" s="149" t="str">
        <f>IFERROR(__xludf.DUMMYFUNCTION("""COMPUTED_VALUE"""),"Full Self-Driving")</f>
        <v>Full Self-Driving</v>
      </c>
      <c r="S1964" s="149"/>
      <c r="T1964" s="145"/>
      <c r="U1964" s="145"/>
      <c r="V1964" s="145"/>
      <c r="W1964" s="145"/>
      <c r="X1964" s="137" t="str">
        <f>IFERROR(__xludf.DUMMYFUNCTION("""COMPUTED_VALUE"""),"Very Good")</f>
        <v>Very Good</v>
      </c>
      <c r="Y1964" s="138" t="str">
        <f>IFERROR(__xludf.DUMMYFUNCTION("""COMPUTED_VALUE"""),"Excellent")</f>
        <v>Excellent</v>
      </c>
      <c r="Z1964" s="138" t="str">
        <f>IFERROR(__xludf.DUMMYFUNCTION("""COMPUTED_VALUE"""),"Very Good")</f>
        <v>Very Good</v>
      </c>
      <c r="AA1964" s="138" t="str">
        <f>IFERROR(__xludf.DUMMYFUNCTION("""COMPUTED_VALUE"""),"Fair")</f>
        <v>Fair</v>
      </c>
      <c r="AB1964" s="138" t="str">
        <f>IFERROR(__xludf.DUMMYFUNCTION("""COMPUTED_VALUE"""),"Fair")</f>
        <v>Fair</v>
      </c>
      <c r="AC1964" s="139">
        <f>IFERROR(__xludf.DUMMYFUNCTION("""COMPUTED_VALUE"""),1.0)</f>
        <v>1</v>
      </c>
      <c r="AD1964" s="139"/>
      <c r="AE1964" s="139"/>
      <c r="AF1964" s="140"/>
      <c r="AG1964" s="145" t="str">
        <f>IFERROR(__xludf.DUMMYFUNCTION("""COMPUTED_VALUE"""),"The car I received was the second VIN I was matched to. The first one would have been delivered one week after my order, but the rear glass was cracked.")</f>
        <v>The car I received was the second VIN I was matched to. The first one would have been delivered one week after my order, but the rear glass was cracked.</v>
      </c>
      <c r="AH1964" s="157">
        <f>IFERROR(__xludf.DUMMYFUNCTION("""COMPUTED_VALUE"""),43605.23177975694)</f>
        <v>43605.23178</v>
      </c>
      <c r="AI1964" s="138"/>
      <c r="AJ1964" s="138"/>
      <c r="AK1964" s="138"/>
      <c r="AL1964" s="142"/>
    </row>
    <row r="1965" ht="20.25" customHeight="1">
      <c r="A1965" s="155" t="str">
        <f>IFERROR(__xludf.DUMMYFUNCTION("""COMPUTED_VALUE"""),"SanDiegoM3")</f>
        <v>SanDiegoM3</v>
      </c>
      <c r="B1965" s="149" t="str">
        <f>IFERROR(__xludf.DUMMYFUNCTION("""COMPUTED_VALUE"""),"San diego ")</f>
        <v>San diego </v>
      </c>
      <c r="C1965" s="149" t="str">
        <f>IFERROR(__xludf.DUMMYFUNCTION("""COMPUTED_VALUE"""),"CA")</f>
        <v>CA</v>
      </c>
      <c r="D1965" s="149" t="str">
        <f>IFERROR(__xludf.DUMMYFUNCTION("""COMPUTED_VALUE"""),"USA")</f>
        <v>USA</v>
      </c>
      <c r="E1965" s="156">
        <f>IFERROR(__xludf.DUMMYFUNCTION("""COMPUTED_VALUE"""),43579.0)</f>
        <v>43579</v>
      </c>
      <c r="F1965" s="129"/>
      <c r="G1965" s="154"/>
      <c r="H1965" s="131">
        <f>IFERROR(__xludf.DUMMYFUNCTION("""COMPUTED_VALUE"""),213955.0)</f>
        <v>213955</v>
      </c>
      <c r="I1965" s="144" t="str">
        <f>IFERROR(__xludf.DUMMYFUNCTION("""COMPUTED_VALUE"""),"04/19")</f>
        <v>04/19</v>
      </c>
      <c r="J1965" s="129">
        <f>IFERROR(__xludf.DUMMYFUNCTION("""COMPUTED_VALUE"""),43593.0)</f>
        <v>43593</v>
      </c>
      <c r="K1965" s="133"/>
      <c r="L1965" s="133"/>
      <c r="M1965" s="133">
        <f>IFERROR(__xludf.DUMMYFUNCTION("""COMPUTED_VALUE"""),14.0)</f>
        <v>14</v>
      </c>
      <c r="N1965" s="152" t="str">
        <f>IFERROR(__xludf.DUMMYFUNCTION("""COMPUTED_VALUE"""),"Model 3 LR AWD")</f>
        <v>Model 3 LR AWD</v>
      </c>
      <c r="O1965" s="152" t="str">
        <f>IFERROR(__xludf.DUMMYFUNCTION("""COMPUTED_VALUE"""),"Pearl White Multi-Coat")</f>
        <v>Pearl White Multi-Coat</v>
      </c>
      <c r="P1965" s="153" t="str">
        <f>IFERROR(__xludf.DUMMYFUNCTION("""COMPUTED_VALUE"""),"19 inch Sport")</f>
        <v>19 inch Sport</v>
      </c>
      <c r="Q1965" s="152" t="str">
        <f>IFERROR(__xludf.DUMMYFUNCTION("""COMPUTED_VALUE"""),"White seats")</f>
        <v>White seats</v>
      </c>
      <c r="R1965" s="149" t="str">
        <f>IFERROR(__xludf.DUMMYFUNCTION("""COMPUTED_VALUE"""),"Full Self-Driving")</f>
        <v>Full Self-Driving</v>
      </c>
      <c r="S1965" s="149"/>
      <c r="T1965" s="145"/>
      <c r="U1965" s="145"/>
      <c r="V1965" s="145"/>
      <c r="W1965" s="145"/>
      <c r="X1965" s="137" t="str">
        <f>IFERROR(__xludf.DUMMYFUNCTION("""COMPUTED_VALUE"""),"Excellent")</f>
        <v>Excellent</v>
      </c>
      <c r="Y1965" s="138" t="str">
        <f>IFERROR(__xludf.DUMMYFUNCTION("""COMPUTED_VALUE"""),"Excellent")</f>
        <v>Excellent</v>
      </c>
      <c r="Z1965" s="138" t="str">
        <f>IFERROR(__xludf.DUMMYFUNCTION("""COMPUTED_VALUE"""),"Very Good")</f>
        <v>Very Good</v>
      </c>
      <c r="AA1965" s="138" t="str">
        <f>IFERROR(__xludf.DUMMYFUNCTION("""COMPUTED_VALUE"""),"Excellent")</f>
        <v>Excellent</v>
      </c>
      <c r="AB1965" s="138" t="str">
        <f>IFERROR(__xludf.DUMMYFUNCTION("""COMPUTED_VALUE"""),"Excellent")</f>
        <v>Excellent</v>
      </c>
      <c r="AC1965" s="139">
        <f>IFERROR(__xludf.DUMMYFUNCTION("""COMPUTED_VALUE"""),2.0)</f>
        <v>2</v>
      </c>
      <c r="AD1965" s="139"/>
      <c r="AE1965" s="139"/>
      <c r="AF1965" s="140"/>
      <c r="AG1965" s="145" t="str">
        <f>IFERROR(__xludf.DUMMYFUNCTION("""COMPUTED_VALUE"""),"Right front passenger door is rubbing the door jamb")</f>
        <v>Right front passenger door is rubbing the door jamb</v>
      </c>
      <c r="AH1965" s="157">
        <f>IFERROR(__xludf.DUMMYFUNCTION("""COMPUTED_VALUE"""),43595.297784236114)</f>
        <v>43595.29778</v>
      </c>
      <c r="AI1965" s="138"/>
      <c r="AJ1965" s="138"/>
      <c r="AK1965" s="138"/>
      <c r="AL1965" s="142"/>
    </row>
    <row r="1966" ht="20.25" customHeight="1">
      <c r="A1966" s="155" t="str">
        <f>IFERROR(__xludf.DUMMYFUNCTION("""COMPUTED_VALUE"""),"xiao3")</f>
        <v>xiao3</v>
      </c>
      <c r="B1966" s="149" t="str">
        <f>IFERROR(__xludf.DUMMYFUNCTION("""COMPUTED_VALUE"""),"Prescott")</f>
        <v>Prescott</v>
      </c>
      <c r="C1966" s="149" t="str">
        <f>IFERROR(__xludf.DUMMYFUNCTION("""COMPUTED_VALUE"""),"AZ")</f>
        <v>AZ</v>
      </c>
      <c r="D1966" s="149" t="str">
        <f>IFERROR(__xludf.DUMMYFUNCTION("""COMPUTED_VALUE"""),"USA")</f>
        <v>USA</v>
      </c>
      <c r="E1966" s="156">
        <f>IFERROR(__xludf.DUMMYFUNCTION("""COMPUTED_VALUE"""),43579.0)</f>
        <v>43579</v>
      </c>
      <c r="F1966" s="129">
        <f>IFERROR(__xludf.DUMMYFUNCTION("""COMPUTED_VALUE"""),43610.0)</f>
        <v>43610</v>
      </c>
      <c r="G1966" s="154"/>
      <c r="H1966" s="131">
        <f>IFERROR(__xludf.DUMMYFUNCTION("""COMPUTED_VALUE"""),195248.0)</f>
        <v>195248</v>
      </c>
      <c r="I1966" s="144" t="str">
        <f>IFERROR(__xludf.DUMMYFUNCTION("""COMPUTED_VALUE"""),"05/19")</f>
        <v>05/19</v>
      </c>
      <c r="J1966" s="129">
        <f>IFERROR(__xludf.DUMMYFUNCTION("""COMPUTED_VALUE"""),43614.0)</f>
        <v>43614</v>
      </c>
      <c r="K1966" s="133">
        <f>IFERROR(__xludf.DUMMYFUNCTION("""COMPUTED_VALUE"""),31.0)</f>
        <v>31</v>
      </c>
      <c r="L1966" s="133">
        <f>IFERROR(__xludf.DUMMYFUNCTION("""COMPUTED_VALUE"""),4.0)</f>
        <v>4</v>
      </c>
      <c r="M1966" s="133">
        <f>IFERROR(__xludf.DUMMYFUNCTION("""COMPUTED_VALUE"""),35.0)</f>
        <v>35</v>
      </c>
      <c r="N1966" s="152" t="str">
        <f>IFERROR(__xludf.DUMMYFUNCTION("""COMPUTED_VALUE"""),"Model 3 LR AWD")</f>
        <v>Model 3 LR AWD</v>
      </c>
      <c r="O1966" s="152" t="str">
        <f>IFERROR(__xludf.DUMMYFUNCTION("""COMPUTED_VALUE"""),"Midnight Silver Metallic")</f>
        <v>Midnight Silver Metallic</v>
      </c>
      <c r="P1966" s="153" t="str">
        <f>IFERROR(__xludf.DUMMYFUNCTION("""COMPUTED_VALUE"""),"18 inch Aero")</f>
        <v>18 inch Aero</v>
      </c>
      <c r="Q1966" s="152" t="str">
        <f>IFERROR(__xludf.DUMMYFUNCTION("""COMPUTED_VALUE"""),"White seats")</f>
        <v>White seats</v>
      </c>
      <c r="R1966" s="149" t="str">
        <f>IFERROR(__xludf.DUMMYFUNCTION("""COMPUTED_VALUE"""),"Full Self-Driving")</f>
        <v>Full Self-Driving</v>
      </c>
      <c r="S1966" s="149"/>
      <c r="T1966" s="145"/>
      <c r="U1966" s="145"/>
      <c r="V1966" s="145"/>
      <c r="W1966" s="145"/>
      <c r="X1966" s="137" t="str">
        <f>IFERROR(__xludf.DUMMYFUNCTION("""COMPUTED_VALUE"""),"Very Good")</f>
        <v>Very Good</v>
      </c>
      <c r="Y1966" s="138" t="str">
        <f>IFERROR(__xludf.DUMMYFUNCTION("""COMPUTED_VALUE"""),"Excellent")</f>
        <v>Excellent</v>
      </c>
      <c r="Z1966" s="138" t="str">
        <f>IFERROR(__xludf.DUMMYFUNCTION("""COMPUTED_VALUE"""),"Excellent")</f>
        <v>Excellent</v>
      </c>
      <c r="AA1966" s="138" t="str">
        <f>IFERROR(__xludf.DUMMYFUNCTION("""COMPUTED_VALUE"""),"Fair")</f>
        <v>Fair</v>
      </c>
      <c r="AB1966" s="138" t="str">
        <f>IFERROR(__xludf.DUMMYFUNCTION("""COMPUTED_VALUE"""),"Excellent")</f>
        <v>Excellent</v>
      </c>
      <c r="AC1966" s="139">
        <f>IFERROR(__xludf.DUMMYFUNCTION("""COMPUTED_VALUE"""),1.0)</f>
        <v>1</v>
      </c>
      <c r="AD1966" s="139"/>
      <c r="AE1966" s="139"/>
      <c r="AF1966" s="140"/>
      <c r="AG1966" s="145" t="str">
        <f>IFERROR(__xludf.DUMMYFUNCTION("""COMPUTED_VALUE"""),"Finally got a text after waiting over a month for the VIN")</f>
        <v>Finally got a text after waiting over a month for the VIN</v>
      </c>
      <c r="AH1966" s="157">
        <f>IFERROR(__xludf.DUMMYFUNCTION("""COMPUTED_VALUE"""),43623.32210664352)</f>
        <v>43623.32211</v>
      </c>
      <c r="AI1966" s="138"/>
      <c r="AJ1966" s="138"/>
      <c r="AK1966" s="138"/>
      <c r="AL1966" s="142"/>
    </row>
    <row r="1967" ht="20.25" customHeight="1">
      <c r="A1967" s="155" t="str">
        <f>IFERROR(__xludf.DUMMYFUNCTION("""COMPUTED_VALUE"""),"Aion")</f>
        <v>Aion</v>
      </c>
      <c r="B1967" s="149" t="str">
        <f>IFERROR(__xludf.DUMMYFUNCTION("""COMPUTED_VALUE"""),"Sunnyvale")</f>
        <v>Sunnyvale</v>
      </c>
      <c r="C1967" s="149" t="str">
        <f>IFERROR(__xludf.DUMMYFUNCTION("""COMPUTED_VALUE"""),"CA")</f>
        <v>CA</v>
      </c>
      <c r="D1967" s="149" t="str">
        <f>IFERROR(__xludf.DUMMYFUNCTION("""COMPUTED_VALUE"""),"USA")</f>
        <v>USA</v>
      </c>
      <c r="E1967" s="156">
        <f>IFERROR(__xludf.DUMMYFUNCTION("""COMPUTED_VALUE"""),43577.0)</f>
        <v>43577</v>
      </c>
      <c r="F1967" s="129">
        <f>IFERROR(__xludf.DUMMYFUNCTION("""COMPUTED_VALUE"""),43587.0)</f>
        <v>43587</v>
      </c>
      <c r="G1967" s="154"/>
      <c r="H1967" s="131">
        <f>IFERROR(__xludf.DUMMYFUNCTION("""COMPUTED_VALUE"""),367350.0)</f>
        <v>367350</v>
      </c>
      <c r="I1967" s="132"/>
      <c r="J1967" s="129">
        <f>IFERROR(__xludf.DUMMYFUNCTION("""COMPUTED_VALUE"""),43588.0)</f>
        <v>43588</v>
      </c>
      <c r="K1967" s="133">
        <f>IFERROR(__xludf.DUMMYFUNCTION("""COMPUTED_VALUE"""),10.0)</f>
        <v>10</v>
      </c>
      <c r="L1967" s="133">
        <f>IFERROR(__xludf.DUMMYFUNCTION("""COMPUTED_VALUE"""),1.0)</f>
        <v>1</v>
      </c>
      <c r="M1967" s="133">
        <f>IFERROR(__xludf.DUMMYFUNCTION("""COMPUTED_VALUE"""),11.0)</f>
        <v>11</v>
      </c>
      <c r="N1967" s="152" t="str">
        <f>IFERROR(__xludf.DUMMYFUNCTION("""COMPUTED_VALUE"""),"Model 3 Performance")</f>
        <v>Model 3 Performance</v>
      </c>
      <c r="O1967" s="152" t="str">
        <f>IFERROR(__xludf.DUMMYFUNCTION("""COMPUTED_VALUE"""),"Pearl White Multi-Coat")</f>
        <v>Pearl White Multi-Coat</v>
      </c>
      <c r="P1967" s="153" t="str">
        <f>IFERROR(__xludf.DUMMYFUNCTION("""COMPUTED_VALUE"""),"20 inch Sport")</f>
        <v>20 inch Sport</v>
      </c>
      <c r="Q1967" s="152" t="str">
        <f>IFERROR(__xludf.DUMMYFUNCTION("""COMPUTED_VALUE"""),"Black seats")</f>
        <v>Black seats</v>
      </c>
      <c r="R1967" s="150" t="str">
        <f>IFERROR(__xludf.DUMMYFUNCTION("""COMPUTED_VALUE"""),"Full Self-Driving")</f>
        <v>Full Self-Driving</v>
      </c>
      <c r="S1967" s="150"/>
      <c r="T1967" s="136"/>
      <c r="U1967" s="136"/>
      <c r="V1967" s="136"/>
      <c r="W1967" s="136"/>
      <c r="X1967" s="137" t="str">
        <f>IFERROR(__xludf.DUMMYFUNCTION("""COMPUTED_VALUE"""),"Very Good")</f>
        <v>Very Good</v>
      </c>
      <c r="Y1967" s="138" t="str">
        <f>IFERROR(__xludf.DUMMYFUNCTION("""COMPUTED_VALUE"""),"Excellent")</f>
        <v>Excellent</v>
      </c>
      <c r="Z1967" s="138" t="str">
        <f>IFERROR(__xludf.DUMMYFUNCTION("""COMPUTED_VALUE"""),"Excellent")</f>
        <v>Excellent</v>
      </c>
      <c r="AA1967" s="138" t="str">
        <f>IFERROR(__xludf.DUMMYFUNCTION("""COMPUTED_VALUE"""),"Good")</f>
        <v>Good</v>
      </c>
      <c r="AB1967" s="138" t="str">
        <f>IFERROR(__xludf.DUMMYFUNCTION("""COMPUTED_VALUE"""),"Excellent")</f>
        <v>Excellent</v>
      </c>
      <c r="AC1967" s="139"/>
      <c r="AD1967" s="139"/>
      <c r="AE1967" s="139"/>
      <c r="AF1967" s="140"/>
      <c r="AG1967" s="136"/>
      <c r="AH1967" s="157">
        <f>IFERROR(__xludf.DUMMYFUNCTION("""COMPUTED_VALUE"""),43590.19398372685)</f>
        <v>43590.19398</v>
      </c>
      <c r="AI1967" s="138"/>
      <c r="AJ1967" s="138"/>
      <c r="AK1967" s="138"/>
      <c r="AL1967" s="142"/>
    </row>
    <row r="1968" ht="20.25" customHeight="1">
      <c r="A1968" s="155" t="str">
        <f>IFERROR(__xludf.DUMMYFUNCTION("""COMPUTED_VALUE"""),"americanwoman")</f>
        <v>americanwoman</v>
      </c>
      <c r="B1968" s="149" t="str">
        <f>IFERROR(__xludf.DUMMYFUNCTION("""COMPUTED_VALUE"""),"Miami")</f>
        <v>Miami</v>
      </c>
      <c r="C1968" s="149" t="str">
        <f>IFERROR(__xludf.DUMMYFUNCTION("""COMPUTED_VALUE"""),"FL")</f>
        <v>FL</v>
      </c>
      <c r="D1968" s="149" t="str">
        <f>IFERROR(__xludf.DUMMYFUNCTION("""COMPUTED_VALUE"""),"USA")</f>
        <v>USA</v>
      </c>
      <c r="E1968" s="156">
        <f>IFERROR(__xludf.DUMMYFUNCTION("""COMPUTED_VALUE"""),43577.0)</f>
        <v>43577</v>
      </c>
      <c r="F1968" s="129">
        <f>IFERROR(__xludf.DUMMYFUNCTION("""COMPUTED_VALUE"""),43609.0)</f>
        <v>43609</v>
      </c>
      <c r="G1968" s="154"/>
      <c r="H1968" s="131">
        <f>IFERROR(__xludf.DUMMYFUNCTION("""COMPUTED_VALUE"""),92224.0)</f>
        <v>92224</v>
      </c>
      <c r="I1968" s="144"/>
      <c r="J1968" s="129">
        <f>IFERROR(__xludf.DUMMYFUNCTION("""COMPUTED_VALUE"""),43617.0)</f>
        <v>43617</v>
      </c>
      <c r="K1968" s="133">
        <f>IFERROR(__xludf.DUMMYFUNCTION("""COMPUTED_VALUE"""),32.0)</f>
        <v>32</v>
      </c>
      <c r="L1968" s="133">
        <f>IFERROR(__xludf.DUMMYFUNCTION("""COMPUTED_VALUE"""),8.0)</f>
        <v>8</v>
      </c>
      <c r="M1968" s="133">
        <f>IFERROR(__xludf.DUMMYFUNCTION("""COMPUTED_VALUE"""),40.0)</f>
        <v>40</v>
      </c>
      <c r="N1968" s="152" t="str">
        <f>IFERROR(__xludf.DUMMYFUNCTION("""COMPUTED_VALUE"""),"Model 3 LR AWD")</f>
        <v>Model 3 LR AWD</v>
      </c>
      <c r="O1968" s="152" t="str">
        <f>IFERROR(__xludf.DUMMYFUNCTION("""COMPUTED_VALUE"""),"Pearl White Multi-Coat")</f>
        <v>Pearl White Multi-Coat</v>
      </c>
      <c r="P1968" s="153" t="str">
        <f>IFERROR(__xludf.DUMMYFUNCTION("""COMPUTED_VALUE"""),"19 inch Sport")</f>
        <v>19 inch Sport</v>
      </c>
      <c r="Q1968" s="152" t="str">
        <f>IFERROR(__xludf.DUMMYFUNCTION("""COMPUTED_VALUE"""),"White seats")</f>
        <v>White seats</v>
      </c>
      <c r="R1968" s="149" t="str">
        <f>IFERROR(__xludf.DUMMYFUNCTION("""COMPUTED_VALUE"""),"Full Self-Driving")</f>
        <v>Full Self-Driving</v>
      </c>
      <c r="S1968" s="149"/>
      <c r="T1968" s="145"/>
      <c r="U1968" s="145"/>
      <c r="V1968" s="145"/>
      <c r="W1968" s="136"/>
      <c r="X1968" s="137" t="str">
        <f>IFERROR(__xludf.DUMMYFUNCTION("""COMPUTED_VALUE"""),"Excellent")</f>
        <v>Excellent</v>
      </c>
      <c r="Y1968" s="138" t="str">
        <f>IFERROR(__xludf.DUMMYFUNCTION("""COMPUTED_VALUE"""),"Excellent")</f>
        <v>Excellent</v>
      </c>
      <c r="Z1968" s="138" t="str">
        <f>IFERROR(__xludf.DUMMYFUNCTION("""COMPUTED_VALUE"""),"Excellent")</f>
        <v>Excellent</v>
      </c>
      <c r="AA1968" s="138" t="str">
        <f>IFERROR(__xludf.DUMMYFUNCTION("""COMPUTED_VALUE"""),"Excellent")</f>
        <v>Excellent</v>
      </c>
      <c r="AB1968" s="138" t="str">
        <f>IFERROR(__xludf.DUMMYFUNCTION("""COMPUTED_VALUE"""),"Excellent")</f>
        <v>Excellent</v>
      </c>
      <c r="AC1968" s="139"/>
      <c r="AD1968" s="139"/>
      <c r="AE1968" s="139"/>
      <c r="AF1968" s="140"/>
      <c r="AG1968" s="136"/>
      <c r="AH1968" s="157">
        <f>IFERROR(__xludf.DUMMYFUNCTION("""COMPUTED_VALUE"""),43619.71976887732)</f>
        <v>43619.71977</v>
      </c>
      <c r="AI1968" s="138"/>
      <c r="AJ1968" s="138"/>
      <c r="AK1968" s="138"/>
      <c r="AL1968" s="142"/>
    </row>
    <row r="1969" ht="20.25" customHeight="1">
      <c r="A1969" s="155" t="str">
        <f>IFERROR(__xludf.DUMMYFUNCTION("""COMPUTED_VALUE"""),"BulletToothWoo")</f>
        <v>BulletToothWoo</v>
      </c>
      <c r="B1969" s="149" t="str">
        <f>IFERROR(__xludf.DUMMYFUNCTION("""COMPUTED_VALUE"""),"Denver")</f>
        <v>Denver</v>
      </c>
      <c r="C1969" s="149" t="str">
        <f>IFERROR(__xludf.DUMMYFUNCTION("""COMPUTED_VALUE"""),"CO")</f>
        <v>CO</v>
      </c>
      <c r="D1969" s="149" t="str">
        <f>IFERROR(__xludf.DUMMYFUNCTION("""COMPUTED_VALUE"""),"USA")</f>
        <v>USA</v>
      </c>
      <c r="E1969" s="156">
        <f>IFERROR(__xludf.DUMMYFUNCTION("""COMPUTED_VALUE"""),43577.0)</f>
        <v>43577</v>
      </c>
      <c r="F1969" s="129">
        <f>IFERROR(__xludf.DUMMYFUNCTION("""COMPUTED_VALUE"""),43587.0)</f>
        <v>43587</v>
      </c>
      <c r="G1969" s="154"/>
      <c r="H1969" s="131">
        <f>IFERROR(__xludf.DUMMYFUNCTION("""COMPUTED_VALUE"""),195555.0)</f>
        <v>195555</v>
      </c>
      <c r="I1969" s="144" t="str">
        <f>IFERROR(__xludf.DUMMYFUNCTION("""COMPUTED_VALUE"""),"04/19")</f>
        <v>04/19</v>
      </c>
      <c r="J1969" s="129">
        <f>IFERROR(__xludf.DUMMYFUNCTION("""COMPUTED_VALUE"""),43591.0)</f>
        <v>43591</v>
      </c>
      <c r="K1969" s="133">
        <f>IFERROR(__xludf.DUMMYFUNCTION("""COMPUTED_VALUE"""),10.0)</f>
        <v>10</v>
      </c>
      <c r="L1969" s="133">
        <f>IFERROR(__xludf.DUMMYFUNCTION("""COMPUTED_VALUE"""),4.0)</f>
        <v>4</v>
      </c>
      <c r="M1969" s="133">
        <f>IFERROR(__xludf.DUMMYFUNCTION("""COMPUTED_VALUE"""),14.0)</f>
        <v>14</v>
      </c>
      <c r="N1969" s="152" t="str">
        <f>IFERROR(__xludf.DUMMYFUNCTION("""COMPUTED_VALUE"""),"Model 3 LR AWD")</f>
        <v>Model 3 LR AWD</v>
      </c>
      <c r="O1969" s="152" t="str">
        <f>IFERROR(__xludf.DUMMYFUNCTION("""COMPUTED_VALUE"""),"Pearl White Multi-Coat")</f>
        <v>Pearl White Multi-Coat</v>
      </c>
      <c r="P1969" s="153" t="str">
        <f>IFERROR(__xludf.DUMMYFUNCTION("""COMPUTED_VALUE"""),"19 inch Sport")</f>
        <v>19 inch Sport</v>
      </c>
      <c r="Q1969" s="152" t="str">
        <f>IFERROR(__xludf.DUMMYFUNCTION("""COMPUTED_VALUE"""),"White seats")</f>
        <v>White seats</v>
      </c>
      <c r="R1969" s="149" t="str">
        <f>IFERROR(__xludf.DUMMYFUNCTION("""COMPUTED_VALUE"""),"Full Self-Driving")</f>
        <v>Full Self-Driving</v>
      </c>
      <c r="S1969" s="149"/>
      <c r="T1969" s="145"/>
      <c r="U1969" s="145"/>
      <c r="V1969" s="145"/>
      <c r="W1969" s="136"/>
      <c r="X1969" s="137" t="str">
        <f>IFERROR(__xludf.DUMMYFUNCTION("""COMPUTED_VALUE"""),"Very Good")</f>
        <v>Very Good</v>
      </c>
      <c r="Y1969" s="138" t="str">
        <f>IFERROR(__xludf.DUMMYFUNCTION("""COMPUTED_VALUE"""),"Very Good")</f>
        <v>Very Good</v>
      </c>
      <c r="Z1969" s="138" t="str">
        <f>IFERROR(__xludf.DUMMYFUNCTION("""COMPUTED_VALUE"""),"Very Good")</f>
        <v>Very Good</v>
      </c>
      <c r="AA1969" s="138" t="str">
        <f>IFERROR(__xludf.DUMMYFUNCTION("""COMPUTED_VALUE"""),"Fair")</f>
        <v>Fair</v>
      </c>
      <c r="AB1969" s="138" t="str">
        <f>IFERROR(__xludf.DUMMYFUNCTION("""COMPUTED_VALUE"""),"Fair")</f>
        <v>Fair</v>
      </c>
      <c r="AC1969" s="139">
        <f>IFERROR(__xludf.DUMMYFUNCTION("""COMPUTED_VALUE"""),0.0)</f>
        <v>0</v>
      </c>
      <c r="AD1969" s="139"/>
      <c r="AE1969" s="139"/>
      <c r="AF1969" s="140"/>
      <c r="AG1969" s="136"/>
      <c r="AH1969" s="157">
        <f>IFERROR(__xludf.DUMMYFUNCTION("""COMPUTED_VALUE"""),43603.348017662036)</f>
        <v>43603.34802</v>
      </c>
      <c r="AI1969" s="138"/>
      <c r="AJ1969" s="138"/>
      <c r="AK1969" s="138"/>
      <c r="AL1969" s="142"/>
    </row>
    <row r="1970" ht="20.25" customHeight="1">
      <c r="A1970" s="155" t="str">
        <f>IFERROR(__xludf.DUMMYFUNCTION("""COMPUTED_VALUE"""),"FielderJones")</f>
        <v>FielderJones</v>
      </c>
      <c r="B1970" s="149"/>
      <c r="C1970" s="149" t="str">
        <f>IFERROR(__xludf.DUMMYFUNCTION("""COMPUTED_VALUE"""),"IL")</f>
        <v>IL</v>
      </c>
      <c r="D1970" s="149" t="str">
        <f>IFERROR(__xludf.DUMMYFUNCTION("""COMPUTED_VALUE"""),"USA")</f>
        <v>USA</v>
      </c>
      <c r="E1970" s="156">
        <f>IFERROR(__xludf.DUMMYFUNCTION("""COMPUTED_VALUE"""),43577.0)</f>
        <v>43577</v>
      </c>
      <c r="F1970" s="129">
        <f>IFERROR(__xludf.DUMMYFUNCTION("""COMPUTED_VALUE"""),43577.0)</f>
        <v>43577</v>
      </c>
      <c r="G1970" s="154" t="str">
        <f>IFERROR(__xludf.DUMMYFUNCTION("""COMPUTED_VALUE"""),"Manage order page (normal text)")</f>
        <v>Manage order page (normal text)</v>
      </c>
      <c r="H1970" s="131">
        <f>IFERROR(__xludf.DUMMYFUNCTION("""COMPUTED_VALUE"""),307155.0)</f>
        <v>307155</v>
      </c>
      <c r="I1970" s="132"/>
      <c r="J1970" s="129">
        <f>IFERROR(__xludf.DUMMYFUNCTION("""COMPUTED_VALUE"""),43580.0)</f>
        <v>43580</v>
      </c>
      <c r="K1970" s="133">
        <f>IFERROR(__xludf.DUMMYFUNCTION("""COMPUTED_VALUE"""),0.0)</f>
        <v>0</v>
      </c>
      <c r="L1970" s="133">
        <f>IFERROR(__xludf.DUMMYFUNCTION("""COMPUTED_VALUE"""),3.0)</f>
        <v>3</v>
      </c>
      <c r="M1970" s="133">
        <f>IFERROR(__xludf.DUMMYFUNCTION("""COMPUTED_VALUE"""),3.0)</f>
        <v>3</v>
      </c>
      <c r="N1970" s="152" t="str">
        <f>IFERROR(__xludf.DUMMYFUNCTION("""COMPUTED_VALUE"""),"Model 3 SR+")</f>
        <v>Model 3 SR+</v>
      </c>
      <c r="O1970" s="152" t="str">
        <f>IFERROR(__xludf.DUMMYFUNCTION("""COMPUTED_VALUE"""),"Red Multi-Coat")</f>
        <v>Red Multi-Coat</v>
      </c>
      <c r="P1970" s="153" t="str">
        <f>IFERROR(__xludf.DUMMYFUNCTION("""COMPUTED_VALUE"""),"18 inch")</f>
        <v>18 inch</v>
      </c>
      <c r="Q1970" s="152" t="str">
        <f>IFERROR(__xludf.DUMMYFUNCTION("""COMPUTED_VALUE"""),"All Black")</f>
        <v>All Black</v>
      </c>
      <c r="R1970" s="150" t="str">
        <f>IFERROR(__xludf.DUMMYFUNCTION("""COMPUTED_VALUE"""),"Autopilot included")</f>
        <v>Autopilot included</v>
      </c>
      <c r="S1970" s="150" t="str">
        <f>IFERROR(__xludf.DUMMYFUNCTION("""COMPUTED_VALUE"""),"Cash")</f>
        <v>Cash</v>
      </c>
      <c r="T1970" s="136" t="str">
        <f>IFERROR(__xludf.DUMMYFUNCTION("""COMPUTED_VALUE"""),"Chevrolet Impala")</f>
        <v>Chevrolet Impala</v>
      </c>
      <c r="U1970" s="136" t="str">
        <f>IFERROR(__xludf.DUMMYFUNCTION("""COMPUTED_VALUE"""),"Electric!")</f>
        <v>Electric!</v>
      </c>
      <c r="V1970" s="136" t="str">
        <f>IFERROR(__xludf.DUMMYFUNCTION("""COMPUTED_VALUE"""),"Ventilated seats")</f>
        <v>Ventilated seats</v>
      </c>
      <c r="W1970" s="136"/>
      <c r="X1970" s="137" t="str">
        <f>IFERROR(__xludf.DUMMYFUNCTION("""COMPUTED_VALUE"""),"Excellent")</f>
        <v>Excellent</v>
      </c>
      <c r="Y1970" s="138" t="str">
        <f>IFERROR(__xludf.DUMMYFUNCTION("""COMPUTED_VALUE"""),"Excellent")</f>
        <v>Excellent</v>
      </c>
      <c r="Z1970" s="138" t="str">
        <f>IFERROR(__xludf.DUMMYFUNCTION("""COMPUTED_VALUE"""),"Excellent")</f>
        <v>Excellent</v>
      </c>
      <c r="AA1970" s="138" t="str">
        <f>IFERROR(__xludf.DUMMYFUNCTION("""COMPUTED_VALUE"""),"Very Good")</f>
        <v>Very Good</v>
      </c>
      <c r="AB1970" s="138" t="str">
        <f>IFERROR(__xludf.DUMMYFUNCTION("""COMPUTED_VALUE"""),"Excellent")</f>
        <v>Excellent</v>
      </c>
      <c r="AC1970" s="139">
        <f>IFERROR(__xludf.DUMMYFUNCTION("""COMPUTED_VALUE"""),0.0)</f>
        <v>0</v>
      </c>
      <c r="AD1970" s="139">
        <f>IFERROR(__xludf.DUMMYFUNCTION("""COMPUTED_VALUE"""),0.0)</f>
        <v>0</v>
      </c>
      <c r="AE1970" s="139">
        <f>IFERROR(__xludf.DUMMYFUNCTION("""COMPUTED_VALUE"""),0.0)</f>
        <v>0</v>
      </c>
      <c r="AF1970" s="140" t="str">
        <f>IFERROR(__xludf.DUMMYFUNCTION("""COMPUTED_VALUE"""),"No. I took delivery of the first car Tesla was able to deliver.")</f>
        <v>No. I took delivery of the first car Tesla was able to deliver.</v>
      </c>
      <c r="AG1970" s="136"/>
      <c r="AH1970" s="157">
        <f>IFERROR(__xludf.DUMMYFUNCTION("""COMPUTED_VALUE"""),44256.46153356481)</f>
        <v>44256.46153</v>
      </c>
      <c r="AI1970" s="138"/>
      <c r="AJ1970" s="138"/>
      <c r="AK1970" s="138"/>
      <c r="AL1970" s="142"/>
    </row>
    <row r="1971" ht="20.25" customHeight="1">
      <c r="A1971" s="155" t="str">
        <f>IFERROR(__xludf.DUMMYFUNCTION("""COMPUTED_VALUE"""),"Jrex101")</f>
        <v>Jrex101</v>
      </c>
      <c r="B1971" s="149" t="str">
        <f>IFERROR(__xludf.DUMMYFUNCTION("""COMPUTED_VALUE"""),"Tucson")</f>
        <v>Tucson</v>
      </c>
      <c r="C1971" s="149" t="str">
        <f>IFERROR(__xludf.DUMMYFUNCTION("""COMPUTED_VALUE"""),"AZ")</f>
        <v>AZ</v>
      </c>
      <c r="D1971" s="149" t="str">
        <f>IFERROR(__xludf.DUMMYFUNCTION("""COMPUTED_VALUE"""),"USA")</f>
        <v>USA</v>
      </c>
      <c r="E1971" s="156">
        <f>IFERROR(__xludf.DUMMYFUNCTION("""COMPUTED_VALUE"""),43577.0)</f>
        <v>43577</v>
      </c>
      <c r="F1971" s="129">
        <f>IFERROR(__xludf.DUMMYFUNCTION("""COMPUTED_VALUE"""),43590.0)</f>
        <v>43590</v>
      </c>
      <c r="G1971" s="154"/>
      <c r="H1971" s="131">
        <f>IFERROR(__xludf.DUMMYFUNCTION("""COMPUTED_VALUE"""),195095.0)</f>
        <v>195095</v>
      </c>
      <c r="I1971" s="144"/>
      <c r="J1971" s="129">
        <f>IFERROR(__xludf.DUMMYFUNCTION("""COMPUTED_VALUE"""),43593.0)</f>
        <v>43593</v>
      </c>
      <c r="K1971" s="133">
        <f>IFERROR(__xludf.DUMMYFUNCTION("""COMPUTED_VALUE"""),13.0)</f>
        <v>13</v>
      </c>
      <c r="L1971" s="133">
        <f>IFERROR(__xludf.DUMMYFUNCTION("""COMPUTED_VALUE"""),3.0)</f>
        <v>3</v>
      </c>
      <c r="M1971" s="133">
        <f>IFERROR(__xludf.DUMMYFUNCTION("""COMPUTED_VALUE"""),16.0)</f>
        <v>16</v>
      </c>
      <c r="N1971" s="152" t="str">
        <f>IFERROR(__xludf.DUMMYFUNCTION("""COMPUTED_VALUE"""),"Model 3 LR AWD")</f>
        <v>Model 3 LR AWD</v>
      </c>
      <c r="O1971" s="152" t="str">
        <f>IFERROR(__xludf.DUMMYFUNCTION("""COMPUTED_VALUE"""),"Pearl White Multi-Coat")</f>
        <v>Pearl White Multi-Coat</v>
      </c>
      <c r="P1971" s="153" t="str">
        <f>IFERROR(__xludf.DUMMYFUNCTION("""COMPUTED_VALUE"""),"18 inch Aero")</f>
        <v>18 inch Aero</v>
      </c>
      <c r="Q1971" s="152" t="str">
        <f>IFERROR(__xludf.DUMMYFUNCTION("""COMPUTED_VALUE"""),"White seats")</f>
        <v>White seats</v>
      </c>
      <c r="R1971" s="149" t="str">
        <f>IFERROR(__xludf.DUMMYFUNCTION("""COMPUTED_VALUE"""),"Full Self-Driving")</f>
        <v>Full Self-Driving</v>
      </c>
      <c r="S1971" s="149"/>
      <c r="T1971" s="145"/>
      <c r="U1971" s="145"/>
      <c r="V1971" s="145"/>
      <c r="W1971" s="145"/>
      <c r="X1971" s="137" t="str">
        <f>IFERROR(__xludf.DUMMYFUNCTION("""COMPUTED_VALUE"""),"Very Good")</f>
        <v>Very Good</v>
      </c>
      <c r="Y1971" s="138" t="str">
        <f>IFERROR(__xludf.DUMMYFUNCTION("""COMPUTED_VALUE"""),"Excellent")</f>
        <v>Excellent</v>
      </c>
      <c r="Z1971" s="138" t="str">
        <f>IFERROR(__xludf.DUMMYFUNCTION("""COMPUTED_VALUE"""),"Excellent")</f>
        <v>Excellent</v>
      </c>
      <c r="AA1971" s="138" t="str">
        <f>IFERROR(__xludf.DUMMYFUNCTION("""COMPUTED_VALUE"""),"Very Good")</f>
        <v>Very Good</v>
      </c>
      <c r="AB1971" s="138" t="str">
        <f>IFERROR(__xludf.DUMMYFUNCTION("""COMPUTED_VALUE"""),"Excellent")</f>
        <v>Excellent</v>
      </c>
      <c r="AC1971" s="139"/>
      <c r="AD1971" s="139"/>
      <c r="AE1971" s="139"/>
      <c r="AF1971" s="140"/>
      <c r="AG1971" s="145" t="str">
        <f>IFERROR(__xludf.DUMMYFUNCTION("""COMPUTED_VALUE"""),"Car was born 5/4/19")</f>
        <v>Car was born 5/4/19</v>
      </c>
      <c r="AH1971" s="157">
        <f>IFERROR(__xludf.DUMMYFUNCTION("""COMPUTED_VALUE"""),43594.94325369213)</f>
        <v>43594.94325</v>
      </c>
      <c r="AI1971" s="138"/>
      <c r="AJ1971" s="138"/>
      <c r="AK1971" s="138"/>
      <c r="AL1971" s="142"/>
    </row>
    <row r="1972" ht="20.25" customHeight="1">
      <c r="A1972" s="155" t="str">
        <f>IFERROR(__xludf.DUMMYFUNCTION("""COMPUTED_VALUE"""),"Jynx")</f>
        <v>Jynx</v>
      </c>
      <c r="B1972" s="149" t="str">
        <f>IFERROR(__xludf.DUMMYFUNCTION("""COMPUTED_VALUE"""),"Northwest Florida")</f>
        <v>Northwest Florida</v>
      </c>
      <c r="C1972" s="149" t="str">
        <f>IFERROR(__xludf.DUMMYFUNCTION("""COMPUTED_VALUE"""),"FL")</f>
        <v>FL</v>
      </c>
      <c r="D1972" s="149" t="str">
        <f>IFERROR(__xludf.DUMMYFUNCTION("""COMPUTED_VALUE"""),"USA")</f>
        <v>USA</v>
      </c>
      <c r="E1972" s="156">
        <f>IFERROR(__xludf.DUMMYFUNCTION("""COMPUTED_VALUE"""),43577.0)</f>
        <v>43577</v>
      </c>
      <c r="F1972" s="129">
        <f>IFERROR(__xludf.DUMMYFUNCTION("""COMPUTED_VALUE"""),43619.0)</f>
        <v>43619</v>
      </c>
      <c r="G1972" s="154"/>
      <c r="H1972" s="131">
        <f>IFERROR(__xludf.DUMMYFUNCTION("""COMPUTED_VALUE"""),393555.0)</f>
        <v>393555</v>
      </c>
      <c r="I1972" s="144" t="str">
        <f>IFERROR(__xludf.DUMMYFUNCTION("""COMPUTED_VALUE"""),"06/19")</f>
        <v>06/19</v>
      </c>
      <c r="J1972" s="129">
        <f>IFERROR(__xludf.DUMMYFUNCTION("""COMPUTED_VALUE"""),43629.0)</f>
        <v>43629</v>
      </c>
      <c r="K1972" s="133">
        <f>IFERROR(__xludf.DUMMYFUNCTION("""COMPUTED_VALUE"""),42.0)</f>
        <v>42</v>
      </c>
      <c r="L1972" s="133">
        <f>IFERROR(__xludf.DUMMYFUNCTION("""COMPUTED_VALUE"""),10.0)</f>
        <v>10</v>
      </c>
      <c r="M1972" s="133">
        <f>IFERROR(__xludf.DUMMYFUNCTION("""COMPUTED_VALUE"""),52.0)</f>
        <v>52</v>
      </c>
      <c r="N1972" s="152" t="str">
        <f>IFERROR(__xludf.DUMMYFUNCTION("""COMPUTED_VALUE"""),"Model 3 Performance")</f>
        <v>Model 3 Performance</v>
      </c>
      <c r="O1972" s="152" t="str">
        <f>IFERROR(__xludf.DUMMYFUNCTION("""COMPUTED_VALUE"""),"Red Multi-Coat")</f>
        <v>Red Multi-Coat</v>
      </c>
      <c r="P1972" s="153" t="str">
        <f>IFERROR(__xludf.DUMMYFUNCTION("""COMPUTED_VALUE"""),"20 inch Sport")</f>
        <v>20 inch Sport</v>
      </c>
      <c r="Q1972" s="152" t="str">
        <f>IFERROR(__xludf.DUMMYFUNCTION("""COMPUTED_VALUE"""),"White seats")</f>
        <v>White seats</v>
      </c>
      <c r="R1972" s="149" t="str">
        <f>IFERROR(__xludf.DUMMYFUNCTION("""COMPUTED_VALUE"""),"Full Self-Driving")</f>
        <v>Full Self-Driving</v>
      </c>
      <c r="S1972" s="149"/>
      <c r="T1972" s="145"/>
      <c r="U1972" s="145"/>
      <c r="V1972" s="145"/>
      <c r="W1972" s="145"/>
      <c r="X1972" s="137" t="str">
        <f>IFERROR(__xludf.DUMMYFUNCTION("""COMPUTED_VALUE"""),"Excellent")</f>
        <v>Excellent</v>
      </c>
      <c r="Y1972" s="138" t="str">
        <f>IFERROR(__xludf.DUMMYFUNCTION("""COMPUTED_VALUE"""),"Excellent")</f>
        <v>Excellent</v>
      </c>
      <c r="Z1972" s="138" t="str">
        <f>IFERROR(__xludf.DUMMYFUNCTION("""COMPUTED_VALUE"""),"Excellent")</f>
        <v>Excellent</v>
      </c>
      <c r="AA1972" s="138" t="str">
        <f>IFERROR(__xludf.DUMMYFUNCTION("""COMPUTED_VALUE"""),"Fair")</f>
        <v>Fair</v>
      </c>
      <c r="AB1972" s="138" t="str">
        <f>IFERROR(__xludf.DUMMYFUNCTION("""COMPUTED_VALUE"""),"Very Good")</f>
        <v>Very Good</v>
      </c>
      <c r="AC1972" s="139"/>
      <c r="AD1972" s="139"/>
      <c r="AE1972" s="139"/>
      <c r="AF1972" s="140"/>
      <c r="AG1972" s="145"/>
      <c r="AH1972" s="157">
        <f>IFERROR(__xludf.DUMMYFUNCTION("""COMPUTED_VALUE"""),43630.30415568287)</f>
        <v>43630.30416</v>
      </c>
      <c r="AI1972" s="138"/>
      <c r="AJ1972" s="138"/>
      <c r="AK1972" s="138"/>
      <c r="AL1972" s="142"/>
    </row>
    <row r="1973" ht="20.25" customHeight="1">
      <c r="A1973" s="155" t="str">
        <f>IFERROR(__xludf.DUMMYFUNCTION("""COMPUTED_VALUE"""),"mabridoma")</f>
        <v>mabridoma</v>
      </c>
      <c r="B1973" s="149"/>
      <c r="C1973" s="149" t="str">
        <f>IFERROR(__xludf.DUMMYFUNCTION("""COMPUTED_VALUE"""),"OR")</f>
        <v>OR</v>
      </c>
      <c r="D1973" s="149" t="str">
        <f>IFERROR(__xludf.DUMMYFUNCTION("""COMPUTED_VALUE"""),"USA")</f>
        <v>USA</v>
      </c>
      <c r="E1973" s="156">
        <f>IFERROR(__xludf.DUMMYFUNCTION("""COMPUTED_VALUE"""),43577.0)</f>
        <v>43577</v>
      </c>
      <c r="F1973" s="129">
        <f>IFERROR(__xludf.DUMMYFUNCTION("""COMPUTED_VALUE"""),43584.0)</f>
        <v>43584</v>
      </c>
      <c r="G1973" s="154"/>
      <c r="H1973" s="131">
        <f>IFERROR(__xludf.DUMMYFUNCTION("""COMPUTED_VALUE"""),238155.0)</f>
        <v>238155</v>
      </c>
      <c r="I1973" s="144" t="str">
        <f>IFERROR(__xludf.DUMMYFUNCTION("""COMPUTED_VALUE"""),"04/19")</f>
        <v>04/19</v>
      </c>
      <c r="J1973" s="129">
        <f>IFERROR(__xludf.DUMMYFUNCTION("""COMPUTED_VALUE"""),43588.0)</f>
        <v>43588</v>
      </c>
      <c r="K1973" s="133">
        <f>IFERROR(__xludf.DUMMYFUNCTION("""COMPUTED_VALUE"""),7.0)</f>
        <v>7</v>
      </c>
      <c r="L1973" s="133">
        <f>IFERROR(__xludf.DUMMYFUNCTION("""COMPUTED_VALUE"""),4.0)</f>
        <v>4</v>
      </c>
      <c r="M1973" s="133">
        <f>IFERROR(__xludf.DUMMYFUNCTION("""COMPUTED_VALUE"""),11.0)</f>
        <v>11</v>
      </c>
      <c r="N1973" s="152" t="str">
        <f>IFERROR(__xludf.DUMMYFUNCTION("""COMPUTED_VALUE"""),"Model 3 Performance")</f>
        <v>Model 3 Performance</v>
      </c>
      <c r="O1973" s="152" t="str">
        <f>IFERROR(__xludf.DUMMYFUNCTION("""COMPUTED_VALUE"""),"Solid Black")</f>
        <v>Solid Black</v>
      </c>
      <c r="P1973" s="153" t="str">
        <f>IFERROR(__xludf.DUMMYFUNCTION("""COMPUTED_VALUE"""),"20 inch Sport")</f>
        <v>20 inch Sport</v>
      </c>
      <c r="Q1973" s="152" t="str">
        <f>IFERROR(__xludf.DUMMYFUNCTION("""COMPUTED_VALUE"""),"White seats")</f>
        <v>White seats</v>
      </c>
      <c r="R1973" s="149" t="str">
        <f>IFERROR(__xludf.DUMMYFUNCTION("""COMPUTED_VALUE"""),"Full Self-Driving")</f>
        <v>Full Self-Driving</v>
      </c>
      <c r="S1973" s="149"/>
      <c r="T1973" s="145"/>
      <c r="U1973" s="145"/>
      <c r="V1973" s="145"/>
      <c r="W1973" s="136"/>
      <c r="X1973" s="137" t="str">
        <f>IFERROR(__xludf.DUMMYFUNCTION("""COMPUTED_VALUE"""),"Excellent")</f>
        <v>Excellent</v>
      </c>
      <c r="Y1973" s="138" t="str">
        <f>IFERROR(__xludf.DUMMYFUNCTION("""COMPUTED_VALUE"""),"Excellent")</f>
        <v>Excellent</v>
      </c>
      <c r="Z1973" s="138" t="str">
        <f>IFERROR(__xludf.DUMMYFUNCTION("""COMPUTED_VALUE"""),"Excellent")</f>
        <v>Excellent</v>
      </c>
      <c r="AA1973" s="138" t="str">
        <f>IFERROR(__xludf.DUMMYFUNCTION("""COMPUTED_VALUE"""),"Excellent")</f>
        <v>Excellent</v>
      </c>
      <c r="AB1973" s="138" t="str">
        <f>IFERROR(__xludf.DUMMYFUNCTION("""COMPUTED_VALUE"""),"Very Good")</f>
        <v>Very Good</v>
      </c>
      <c r="AC1973" s="139">
        <f>IFERROR(__xludf.DUMMYFUNCTION("""COMPUTED_VALUE"""),0.0)</f>
        <v>0</v>
      </c>
      <c r="AD1973" s="139"/>
      <c r="AE1973" s="139"/>
      <c r="AF1973" s="140"/>
      <c r="AG1973" s="136" t="str">
        <f>IFERROR(__xludf.DUMMYFUNCTION("""COMPUTED_VALUE"""),"*Update: Car was not placed on the truck on time. Delivery delayed by estimated week* Ordered Black/Black FSD, was offered Black/White by Delivery Assistant on 4/28. VIN and Delivery set the next day.")</f>
        <v>*Update: Car was not placed on the truck on time. Delivery delayed by estimated week* Ordered Black/Black FSD, was offered Black/White by Delivery Assistant on 4/28. VIN and Delivery set the next day.</v>
      </c>
      <c r="AH1973" s="157">
        <f>IFERROR(__xludf.DUMMYFUNCTION("""COMPUTED_VALUE"""),43591.518964930554)</f>
        <v>43591.51896</v>
      </c>
      <c r="AI1973" s="138"/>
      <c r="AJ1973" s="138"/>
      <c r="AK1973" s="138"/>
      <c r="AL1973" s="142"/>
    </row>
    <row r="1974" ht="20.25" customHeight="1">
      <c r="A1974" s="155" t="str">
        <f>IFERROR(__xludf.DUMMYFUNCTION("""COMPUTED_VALUE"""),"mvermef")</f>
        <v>mvermef</v>
      </c>
      <c r="B1974" s="149" t="str">
        <f>IFERROR(__xludf.DUMMYFUNCTION("""COMPUTED_VALUE"""),"Houston")</f>
        <v>Houston</v>
      </c>
      <c r="C1974" s="149" t="str">
        <f>IFERROR(__xludf.DUMMYFUNCTION("""COMPUTED_VALUE"""),"TX")</f>
        <v>TX</v>
      </c>
      <c r="D1974" s="149" t="str">
        <f>IFERROR(__xludf.DUMMYFUNCTION("""COMPUTED_VALUE"""),"USA")</f>
        <v>USA</v>
      </c>
      <c r="E1974" s="156">
        <f>IFERROR(__xludf.DUMMYFUNCTION("""COMPUTED_VALUE"""),43577.0)</f>
        <v>43577</v>
      </c>
      <c r="F1974" s="129">
        <f>IFERROR(__xludf.DUMMYFUNCTION("""COMPUTED_VALUE"""),43579.0)</f>
        <v>43579</v>
      </c>
      <c r="G1974" s="154"/>
      <c r="H1974" s="131">
        <f>IFERROR(__xludf.DUMMYFUNCTION("""COMPUTED_VALUE"""),231655.0)</f>
        <v>231655</v>
      </c>
      <c r="I1974" s="144" t="str">
        <f>IFERROR(__xludf.DUMMYFUNCTION("""COMPUTED_VALUE"""),"04/19")</f>
        <v>04/19</v>
      </c>
      <c r="J1974" s="129">
        <f>IFERROR(__xludf.DUMMYFUNCTION("""COMPUTED_VALUE"""),43593.0)</f>
        <v>43593</v>
      </c>
      <c r="K1974" s="133">
        <f>IFERROR(__xludf.DUMMYFUNCTION("""COMPUTED_VALUE"""),2.0)</f>
        <v>2</v>
      </c>
      <c r="L1974" s="133">
        <f>IFERROR(__xludf.DUMMYFUNCTION("""COMPUTED_VALUE"""),14.0)</f>
        <v>14</v>
      </c>
      <c r="M1974" s="133">
        <f>IFERROR(__xludf.DUMMYFUNCTION("""COMPUTED_VALUE"""),16.0)</f>
        <v>16</v>
      </c>
      <c r="N1974" s="152" t="str">
        <f>IFERROR(__xludf.DUMMYFUNCTION("""COMPUTED_VALUE"""),"Model 3 Performance")</f>
        <v>Model 3 Performance</v>
      </c>
      <c r="O1974" s="152" t="str">
        <f>IFERROR(__xludf.DUMMYFUNCTION("""COMPUTED_VALUE"""),"Deep Blue Metallic")</f>
        <v>Deep Blue Metallic</v>
      </c>
      <c r="P1974" s="153" t="str">
        <f>IFERROR(__xludf.DUMMYFUNCTION("""COMPUTED_VALUE"""),"20 inch Sport")</f>
        <v>20 inch Sport</v>
      </c>
      <c r="Q1974" s="152" t="str">
        <f>IFERROR(__xludf.DUMMYFUNCTION("""COMPUTED_VALUE"""),"White seats")</f>
        <v>White seats</v>
      </c>
      <c r="R1974" s="149" t="str">
        <f>IFERROR(__xludf.DUMMYFUNCTION("""COMPUTED_VALUE"""),"Full Self-Driving")</f>
        <v>Full Self-Driving</v>
      </c>
      <c r="S1974" s="149"/>
      <c r="T1974" s="145"/>
      <c r="U1974" s="145"/>
      <c r="V1974" s="145"/>
      <c r="W1974" s="136"/>
      <c r="X1974" s="137" t="str">
        <f>IFERROR(__xludf.DUMMYFUNCTION("""COMPUTED_VALUE"""),"Excellent")</f>
        <v>Excellent</v>
      </c>
      <c r="Y1974" s="138" t="str">
        <f>IFERROR(__xludf.DUMMYFUNCTION("""COMPUTED_VALUE"""),"Excellent")</f>
        <v>Excellent</v>
      </c>
      <c r="Z1974" s="138" t="str">
        <f>IFERROR(__xludf.DUMMYFUNCTION("""COMPUTED_VALUE"""),"Excellent")</f>
        <v>Excellent</v>
      </c>
      <c r="AA1974" s="138" t="str">
        <f>IFERROR(__xludf.DUMMYFUNCTION("""COMPUTED_VALUE"""),"Excellent")</f>
        <v>Excellent</v>
      </c>
      <c r="AB1974" s="138" t="str">
        <f>IFERROR(__xludf.DUMMYFUNCTION("""COMPUTED_VALUE"""),"Excellent")</f>
        <v>Excellent</v>
      </c>
      <c r="AC1974" s="139"/>
      <c r="AD1974" s="139"/>
      <c r="AE1974" s="139"/>
      <c r="AF1974" s="140"/>
      <c r="AG1974" s="136"/>
      <c r="AH1974" s="157">
        <f>IFERROR(__xludf.DUMMYFUNCTION("""COMPUTED_VALUE"""),43594.8371450463)</f>
        <v>43594.83715</v>
      </c>
      <c r="AI1974" s="138"/>
      <c r="AJ1974" s="138"/>
      <c r="AK1974" s="138"/>
      <c r="AL1974" s="142"/>
    </row>
    <row r="1975" ht="20.25" customHeight="1">
      <c r="A1975" s="155" t="str">
        <f>IFERROR(__xludf.DUMMYFUNCTION("""COMPUTED_VALUE"""),"rickput7")</f>
        <v>rickput7</v>
      </c>
      <c r="B1975" s="149" t="str">
        <f>IFERROR(__xludf.DUMMYFUNCTION("""COMPUTED_VALUE"""),"Beaverton")</f>
        <v>Beaverton</v>
      </c>
      <c r="C1975" s="149" t="str">
        <f>IFERROR(__xludf.DUMMYFUNCTION("""COMPUTED_VALUE"""),"OR")</f>
        <v>OR</v>
      </c>
      <c r="D1975" s="149" t="str">
        <f>IFERROR(__xludf.DUMMYFUNCTION("""COMPUTED_VALUE"""),"USA")</f>
        <v>USA</v>
      </c>
      <c r="E1975" s="156">
        <f>IFERROR(__xludf.DUMMYFUNCTION("""COMPUTED_VALUE"""),43577.0)</f>
        <v>43577</v>
      </c>
      <c r="F1975" s="129">
        <f>IFERROR(__xludf.DUMMYFUNCTION("""COMPUTED_VALUE"""),43610.0)</f>
        <v>43610</v>
      </c>
      <c r="G1975" s="154"/>
      <c r="H1975" s="131">
        <f>IFERROR(__xludf.DUMMYFUNCTION("""COMPUTED_VALUE"""),301825.0)</f>
        <v>301825</v>
      </c>
      <c r="I1975" s="144"/>
      <c r="J1975" s="129">
        <f>IFERROR(__xludf.DUMMYFUNCTION("""COMPUTED_VALUE"""),43614.0)</f>
        <v>43614</v>
      </c>
      <c r="K1975" s="133">
        <f>IFERROR(__xludf.DUMMYFUNCTION("""COMPUTED_VALUE"""),33.0)</f>
        <v>33</v>
      </c>
      <c r="L1975" s="133">
        <f>IFERROR(__xludf.DUMMYFUNCTION("""COMPUTED_VALUE"""),4.0)</f>
        <v>4</v>
      </c>
      <c r="M1975" s="133">
        <f>IFERROR(__xludf.DUMMYFUNCTION("""COMPUTED_VALUE"""),37.0)</f>
        <v>37</v>
      </c>
      <c r="N1975" s="152" t="str">
        <f>IFERROR(__xludf.DUMMYFUNCTION("""COMPUTED_VALUE"""),"Model 3 SR+")</f>
        <v>Model 3 SR+</v>
      </c>
      <c r="O1975" s="152" t="str">
        <f>IFERROR(__xludf.DUMMYFUNCTION("""COMPUTED_VALUE"""),"Midnight Silver Metallic")</f>
        <v>Midnight Silver Metallic</v>
      </c>
      <c r="P1975" s="153" t="str">
        <f>IFERROR(__xludf.DUMMYFUNCTION("""COMPUTED_VALUE"""),"18 inch Aero")</f>
        <v>18 inch Aero</v>
      </c>
      <c r="Q1975" s="152" t="str">
        <f>IFERROR(__xludf.DUMMYFUNCTION("""COMPUTED_VALUE"""),"White seats")</f>
        <v>White seats</v>
      </c>
      <c r="R1975" s="149" t="str">
        <f>IFERROR(__xludf.DUMMYFUNCTION("""COMPUTED_VALUE"""),"Autopilot")</f>
        <v>Autopilot</v>
      </c>
      <c r="S1975" s="149"/>
      <c r="T1975" s="145"/>
      <c r="U1975" s="145"/>
      <c r="V1975" s="145"/>
      <c r="W1975" s="136"/>
      <c r="X1975" s="137" t="str">
        <f>IFERROR(__xludf.DUMMYFUNCTION("""COMPUTED_VALUE"""),"Excellent")</f>
        <v>Excellent</v>
      </c>
      <c r="Y1975" s="138" t="str">
        <f>IFERROR(__xludf.DUMMYFUNCTION("""COMPUTED_VALUE"""),"Excellent")</f>
        <v>Excellent</v>
      </c>
      <c r="Z1975" s="138" t="str">
        <f>IFERROR(__xludf.DUMMYFUNCTION("""COMPUTED_VALUE"""),"Excellent")</f>
        <v>Excellent</v>
      </c>
      <c r="AA1975" s="138" t="str">
        <f>IFERROR(__xludf.DUMMYFUNCTION("""COMPUTED_VALUE"""),"Excellent")</f>
        <v>Excellent</v>
      </c>
      <c r="AB1975" s="138" t="str">
        <f>IFERROR(__xludf.DUMMYFUNCTION("""COMPUTED_VALUE"""),"Very Good")</f>
        <v>Very Good</v>
      </c>
      <c r="AC1975" s="139"/>
      <c r="AD1975" s="139"/>
      <c r="AE1975" s="139"/>
      <c r="AF1975" s="140"/>
      <c r="AG1975" s="136" t="str">
        <f>IFERROR(__xludf.DUMMYFUNCTION("""COMPUTED_VALUE"""),"Changed order to Inventory Vehicle on May 25th due to production delays of my exact configuration")</f>
        <v>Changed order to Inventory Vehicle on May 25th due to production delays of my exact configuration</v>
      </c>
      <c r="AH1975" s="157">
        <f>IFERROR(__xludf.DUMMYFUNCTION("""COMPUTED_VALUE"""),43615.64533277778)</f>
        <v>43615.64533</v>
      </c>
      <c r="AI1975" s="138"/>
      <c r="AJ1975" s="138"/>
      <c r="AK1975" s="138"/>
      <c r="AL1975" s="142"/>
    </row>
    <row r="1976" ht="20.25" customHeight="1">
      <c r="A1976" s="155" t="str">
        <f>IFERROR(__xludf.DUMMYFUNCTION("""COMPUTED_VALUE"""),"Venomous_XI")</f>
        <v>Venomous_XI</v>
      </c>
      <c r="B1976" s="149" t="str">
        <f>IFERROR(__xludf.DUMMYFUNCTION("""COMPUTED_VALUE"""),"Orlando")</f>
        <v>Orlando</v>
      </c>
      <c r="C1976" s="149" t="str">
        <f>IFERROR(__xludf.DUMMYFUNCTION("""COMPUTED_VALUE"""),"FL")</f>
        <v>FL</v>
      </c>
      <c r="D1976" s="149" t="str">
        <f>IFERROR(__xludf.DUMMYFUNCTION("""COMPUTED_VALUE"""),"USA")</f>
        <v>USA</v>
      </c>
      <c r="E1976" s="156">
        <f>IFERROR(__xludf.DUMMYFUNCTION("""COMPUTED_VALUE"""),43577.0)</f>
        <v>43577</v>
      </c>
      <c r="F1976" s="129">
        <f>IFERROR(__xludf.DUMMYFUNCTION("""COMPUTED_VALUE"""),43580.0)</f>
        <v>43580</v>
      </c>
      <c r="G1976" s="154"/>
      <c r="H1976" s="131">
        <f>IFERROR(__xludf.DUMMYFUNCTION("""COMPUTED_VALUE"""),317055.0)</f>
        <v>317055</v>
      </c>
      <c r="I1976" s="144"/>
      <c r="J1976" s="129">
        <f>IFERROR(__xludf.DUMMYFUNCTION("""COMPUTED_VALUE"""),43587.0)</f>
        <v>43587</v>
      </c>
      <c r="K1976" s="133">
        <f>IFERROR(__xludf.DUMMYFUNCTION("""COMPUTED_VALUE"""),3.0)</f>
        <v>3</v>
      </c>
      <c r="L1976" s="133">
        <f>IFERROR(__xludf.DUMMYFUNCTION("""COMPUTED_VALUE"""),7.0)</f>
        <v>7</v>
      </c>
      <c r="M1976" s="133">
        <f>IFERROR(__xludf.DUMMYFUNCTION("""COMPUTED_VALUE"""),10.0)</f>
        <v>10</v>
      </c>
      <c r="N1976" s="152" t="str">
        <f>IFERROR(__xludf.DUMMYFUNCTION("""COMPUTED_VALUE"""),"Model 3 SR+")</f>
        <v>Model 3 SR+</v>
      </c>
      <c r="O1976" s="152" t="str">
        <f>IFERROR(__xludf.DUMMYFUNCTION("""COMPUTED_VALUE"""),"Solid Black")</f>
        <v>Solid Black</v>
      </c>
      <c r="P1976" s="153" t="str">
        <f>IFERROR(__xludf.DUMMYFUNCTION("""COMPUTED_VALUE"""),"18 inch Aero")</f>
        <v>18 inch Aero</v>
      </c>
      <c r="Q1976" s="152" t="str">
        <f>IFERROR(__xludf.DUMMYFUNCTION("""COMPUTED_VALUE"""),"Black seats")</f>
        <v>Black seats</v>
      </c>
      <c r="R1976" s="149" t="str">
        <f>IFERROR(__xludf.DUMMYFUNCTION("""COMPUTED_VALUE"""),"Full Self-Driving")</f>
        <v>Full Self-Driving</v>
      </c>
      <c r="S1976" s="149"/>
      <c r="T1976" s="145"/>
      <c r="U1976" s="145"/>
      <c r="V1976" s="145"/>
      <c r="W1976" s="145"/>
      <c r="X1976" s="137"/>
      <c r="Y1976" s="138"/>
      <c r="Z1976" s="138"/>
      <c r="AA1976" s="138"/>
      <c r="AB1976" s="138"/>
      <c r="AC1976" s="139">
        <f>IFERROR(__xludf.DUMMYFUNCTION("""COMPUTED_VALUE"""),0.0)</f>
        <v>0</v>
      </c>
      <c r="AD1976" s="139">
        <f>IFERROR(__xludf.DUMMYFUNCTION("""COMPUTED_VALUE"""),0.0)</f>
        <v>0</v>
      </c>
      <c r="AE1976" s="139">
        <f>IFERROR(__xludf.DUMMYFUNCTION("""COMPUTED_VALUE"""),0.0)</f>
        <v>0</v>
      </c>
      <c r="AF1976" s="140"/>
      <c r="AG1976" s="145"/>
      <c r="AH1976" s="157">
        <f>IFERROR(__xludf.DUMMYFUNCTION("""COMPUTED_VALUE"""),44154.360661631945)</f>
        <v>44154.36066</v>
      </c>
      <c r="AI1976" s="138"/>
      <c r="AJ1976" s="138"/>
      <c r="AK1976" s="138"/>
      <c r="AL1976" s="142"/>
    </row>
    <row r="1977" ht="20.25" customHeight="1">
      <c r="A1977" s="155" t="str">
        <f>IFERROR(__xludf.DUMMYFUNCTION("""COMPUTED_VALUE"""),"Z3r0")</f>
        <v>Z3r0</v>
      </c>
      <c r="B1977" s="150" t="str">
        <f>IFERROR(__xludf.DUMMYFUNCTION("""COMPUTED_VALUE"""),"Honolulu")</f>
        <v>Honolulu</v>
      </c>
      <c r="C1977" s="149" t="str">
        <f>IFERROR(__xludf.DUMMYFUNCTION("""COMPUTED_VALUE"""),"HI")</f>
        <v>HI</v>
      </c>
      <c r="D1977" s="149" t="str">
        <f>IFERROR(__xludf.DUMMYFUNCTION("""COMPUTED_VALUE"""),"USA")</f>
        <v>USA</v>
      </c>
      <c r="E1977" s="156">
        <f>IFERROR(__xludf.DUMMYFUNCTION("""COMPUTED_VALUE"""),43576.0)</f>
        <v>43576</v>
      </c>
      <c r="F1977" s="129">
        <f>IFERROR(__xludf.DUMMYFUNCTION("""COMPUTED_VALUE"""),43581.0)</f>
        <v>43581</v>
      </c>
      <c r="G1977" s="154"/>
      <c r="H1977" s="131">
        <f>IFERROR(__xludf.DUMMYFUNCTION("""COMPUTED_VALUE"""),365155.0)</f>
        <v>365155</v>
      </c>
      <c r="I1977" s="132"/>
      <c r="J1977" s="129">
        <f>IFERROR(__xludf.DUMMYFUNCTION("""COMPUTED_VALUE"""),43600.0)</f>
        <v>43600</v>
      </c>
      <c r="K1977" s="133">
        <f>IFERROR(__xludf.DUMMYFUNCTION("""COMPUTED_VALUE"""),5.0)</f>
        <v>5</v>
      </c>
      <c r="L1977" s="133">
        <f>IFERROR(__xludf.DUMMYFUNCTION("""COMPUTED_VALUE"""),19.0)</f>
        <v>19</v>
      </c>
      <c r="M1977" s="133">
        <f>IFERROR(__xludf.DUMMYFUNCTION("""COMPUTED_VALUE"""),24.0)</f>
        <v>24</v>
      </c>
      <c r="N1977" s="152" t="str">
        <f>IFERROR(__xludf.DUMMYFUNCTION("""COMPUTED_VALUE"""),"Model 3 LR AWD")</f>
        <v>Model 3 LR AWD</v>
      </c>
      <c r="O1977" s="152" t="str">
        <f>IFERROR(__xludf.DUMMYFUNCTION("""COMPUTED_VALUE"""),"Pearl White Multi-Coat")</f>
        <v>Pearl White Multi-Coat</v>
      </c>
      <c r="P1977" s="153" t="str">
        <f>IFERROR(__xludf.DUMMYFUNCTION("""COMPUTED_VALUE"""),"19 inch Sport")</f>
        <v>19 inch Sport</v>
      </c>
      <c r="Q1977" s="152" t="str">
        <f>IFERROR(__xludf.DUMMYFUNCTION("""COMPUTED_VALUE"""),"Black seats")</f>
        <v>Black seats</v>
      </c>
      <c r="R1977" s="150" t="str">
        <f>IFERROR(__xludf.DUMMYFUNCTION("""COMPUTED_VALUE"""),"Full Self-Driving")</f>
        <v>Full Self-Driving</v>
      </c>
      <c r="S1977" s="150"/>
      <c r="T1977" s="136"/>
      <c r="U1977" s="136"/>
      <c r="V1977" s="136"/>
      <c r="W1977" s="136"/>
      <c r="X1977" s="137" t="str">
        <f>IFERROR(__xludf.DUMMYFUNCTION("""COMPUTED_VALUE"""),"Excellent")</f>
        <v>Excellent</v>
      </c>
      <c r="Y1977" s="138" t="str">
        <f>IFERROR(__xludf.DUMMYFUNCTION("""COMPUTED_VALUE"""),"Excellent")</f>
        <v>Excellent</v>
      </c>
      <c r="Z1977" s="138" t="str">
        <f>IFERROR(__xludf.DUMMYFUNCTION("""COMPUTED_VALUE"""),"Good")</f>
        <v>Good</v>
      </c>
      <c r="AA1977" s="138" t="str">
        <f>IFERROR(__xludf.DUMMYFUNCTION("""COMPUTED_VALUE"""),"Poor")</f>
        <v>Poor</v>
      </c>
      <c r="AB1977" s="138" t="str">
        <f>IFERROR(__xludf.DUMMYFUNCTION("""COMPUTED_VALUE"""),"Poor")</f>
        <v>Poor</v>
      </c>
      <c r="AC1977" s="139">
        <f>IFERROR(__xludf.DUMMYFUNCTION("""COMPUTED_VALUE"""),3.0)</f>
        <v>3</v>
      </c>
      <c r="AD1977" s="139"/>
      <c r="AE1977" s="139"/>
      <c r="AF1977" s="140"/>
      <c r="AG1977" s="136"/>
      <c r="AH1977" s="157">
        <f>IFERROR(__xludf.DUMMYFUNCTION("""COMPUTED_VALUE"""),43600.99604465278)</f>
        <v>43600.99604</v>
      </c>
      <c r="AI1977" s="138"/>
      <c r="AJ1977" s="138"/>
      <c r="AK1977" s="138"/>
      <c r="AL1977" s="142"/>
    </row>
    <row r="1978" ht="20.25" customHeight="1">
      <c r="A1978" s="155" t="str">
        <f>IFERROR(__xludf.DUMMYFUNCTION("""COMPUTED_VALUE"""),"icegunner")</f>
        <v>icegunner</v>
      </c>
      <c r="B1978" s="149" t="str">
        <f>IFERROR(__xludf.DUMMYFUNCTION("""COMPUTED_VALUE"""),"Austin")</f>
        <v>Austin</v>
      </c>
      <c r="C1978" s="149" t="str">
        <f>IFERROR(__xludf.DUMMYFUNCTION("""COMPUTED_VALUE"""),"TX")</f>
        <v>TX</v>
      </c>
      <c r="D1978" s="149" t="str">
        <f>IFERROR(__xludf.DUMMYFUNCTION("""COMPUTED_VALUE"""),"USA")</f>
        <v>USA</v>
      </c>
      <c r="E1978" s="156">
        <f>IFERROR(__xludf.DUMMYFUNCTION("""COMPUTED_VALUE"""),43575.0)</f>
        <v>43575</v>
      </c>
      <c r="F1978" s="129">
        <f>IFERROR(__xludf.DUMMYFUNCTION("""COMPUTED_VALUE"""),43593.0)</f>
        <v>43593</v>
      </c>
      <c r="G1978" s="154"/>
      <c r="H1978" s="131">
        <f>IFERROR(__xludf.DUMMYFUNCTION("""COMPUTED_VALUE"""),192234.0)</f>
        <v>192234</v>
      </c>
      <c r="I1978" s="144" t="str">
        <f>IFERROR(__xludf.DUMMYFUNCTION("""COMPUTED_VALUE"""),"05/19")</f>
        <v>05/19</v>
      </c>
      <c r="J1978" s="129">
        <f>IFERROR(__xludf.DUMMYFUNCTION("""COMPUTED_VALUE"""),43600.0)</f>
        <v>43600</v>
      </c>
      <c r="K1978" s="133">
        <f>IFERROR(__xludf.DUMMYFUNCTION("""COMPUTED_VALUE"""),18.0)</f>
        <v>18</v>
      </c>
      <c r="L1978" s="133">
        <f>IFERROR(__xludf.DUMMYFUNCTION("""COMPUTED_VALUE"""),7.0)</f>
        <v>7</v>
      </c>
      <c r="M1978" s="133">
        <f>IFERROR(__xludf.DUMMYFUNCTION("""COMPUTED_VALUE"""),25.0)</f>
        <v>25</v>
      </c>
      <c r="N1978" s="152" t="str">
        <f>IFERROR(__xludf.DUMMYFUNCTION("""COMPUTED_VALUE"""),"Model 3 LR AWD")</f>
        <v>Model 3 LR AWD</v>
      </c>
      <c r="O1978" s="152" t="str">
        <f>IFERROR(__xludf.DUMMYFUNCTION("""COMPUTED_VALUE"""),"Deep Blue Metallic")</f>
        <v>Deep Blue Metallic</v>
      </c>
      <c r="P1978" s="153" t="str">
        <f>IFERROR(__xludf.DUMMYFUNCTION("""COMPUTED_VALUE"""),"18 inch Aero")</f>
        <v>18 inch Aero</v>
      </c>
      <c r="Q1978" s="152" t="str">
        <f>IFERROR(__xludf.DUMMYFUNCTION("""COMPUTED_VALUE"""),"White seats")</f>
        <v>White seats</v>
      </c>
      <c r="R1978" s="149" t="str">
        <f>IFERROR(__xludf.DUMMYFUNCTION("""COMPUTED_VALUE"""),"Full Self-Driving")</f>
        <v>Full Self-Driving</v>
      </c>
      <c r="S1978" s="149"/>
      <c r="T1978" s="145"/>
      <c r="U1978" s="145"/>
      <c r="V1978" s="145"/>
      <c r="W1978" s="145"/>
      <c r="X1978" s="137" t="str">
        <f>IFERROR(__xludf.DUMMYFUNCTION("""COMPUTED_VALUE"""),"Excellent")</f>
        <v>Excellent</v>
      </c>
      <c r="Y1978" s="138" t="str">
        <f>IFERROR(__xludf.DUMMYFUNCTION("""COMPUTED_VALUE"""),"Excellent")</f>
        <v>Excellent</v>
      </c>
      <c r="Z1978" s="138" t="str">
        <f>IFERROR(__xludf.DUMMYFUNCTION("""COMPUTED_VALUE"""),"Excellent")</f>
        <v>Excellent</v>
      </c>
      <c r="AA1978" s="138" t="str">
        <f>IFERROR(__xludf.DUMMYFUNCTION("""COMPUTED_VALUE"""),"Fair")</f>
        <v>Fair</v>
      </c>
      <c r="AB1978" s="138" t="str">
        <f>IFERROR(__xludf.DUMMYFUNCTION("""COMPUTED_VALUE"""),"Very Good")</f>
        <v>Very Good</v>
      </c>
      <c r="AC1978" s="139">
        <f>IFERROR(__xludf.DUMMYFUNCTION("""COMPUTED_VALUE"""),2.0)</f>
        <v>2</v>
      </c>
      <c r="AD1978" s="139">
        <f>IFERROR(__xludf.DUMMYFUNCTION("""COMPUTED_VALUE"""),1.0)</f>
        <v>1</v>
      </c>
      <c r="AE1978" s="139">
        <f>IFERROR(__xludf.DUMMYFUNCTION("""COMPUTED_VALUE"""),1.0)</f>
        <v>1</v>
      </c>
      <c r="AF1978" s="140"/>
      <c r="AG1978" s="145" t="str">
        <f>IFERROR(__xludf.DUMMYFUNCTION("""COMPUTED_VALUE"""),"05/04/19 build date; HW3; SW 2019.7.106 at delivery.")</f>
        <v>05/04/19 build date; HW3; SW 2019.7.106 at delivery.</v>
      </c>
      <c r="AH1978" s="157">
        <f>IFERROR(__xludf.DUMMYFUNCTION("""COMPUTED_VALUE"""),43618.35037712964)</f>
        <v>43618.35038</v>
      </c>
      <c r="AI1978" s="138"/>
      <c r="AJ1978" s="138"/>
      <c r="AK1978" s="138"/>
      <c r="AL1978" s="142"/>
    </row>
    <row r="1979" ht="20.25" customHeight="1">
      <c r="A1979" s="155" t="str">
        <f>IFERROR(__xludf.DUMMYFUNCTION("""COMPUTED_VALUE"""),"JonErickson")</f>
        <v>JonErickson</v>
      </c>
      <c r="B1979" s="149" t="str">
        <f>IFERROR(__xludf.DUMMYFUNCTION("""COMPUTED_VALUE"""),"Rockford")</f>
        <v>Rockford</v>
      </c>
      <c r="C1979" s="149" t="str">
        <f>IFERROR(__xludf.DUMMYFUNCTION("""COMPUTED_VALUE"""),"IL")</f>
        <v>IL</v>
      </c>
      <c r="D1979" s="149" t="str">
        <f>IFERROR(__xludf.DUMMYFUNCTION("""COMPUTED_VALUE"""),"USA")</f>
        <v>USA</v>
      </c>
      <c r="E1979" s="156">
        <f>IFERROR(__xludf.DUMMYFUNCTION("""COMPUTED_VALUE"""),43575.0)</f>
        <v>43575</v>
      </c>
      <c r="F1979" s="129">
        <f>IFERROR(__xludf.DUMMYFUNCTION("""COMPUTED_VALUE"""),43575.0)</f>
        <v>43575</v>
      </c>
      <c r="G1979" s="154"/>
      <c r="H1979" s="131">
        <f>IFERROR(__xludf.DUMMYFUNCTION("""COMPUTED_VALUE"""),310221.0)</f>
        <v>310221</v>
      </c>
      <c r="I1979" s="132" t="str">
        <f>IFERROR(__xludf.DUMMYFUNCTION("""COMPUTED_VALUE"""),"04/19")</f>
        <v>04/19</v>
      </c>
      <c r="J1979" s="129">
        <f>IFERROR(__xludf.DUMMYFUNCTION("""COMPUTED_VALUE"""),43575.0)</f>
        <v>43575</v>
      </c>
      <c r="K1979" s="133">
        <f>IFERROR(__xludf.DUMMYFUNCTION("""COMPUTED_VALUE"""),0.0)</f>
        <v>0</v>
      </c>
      <c r="L1979" s="133">
        <f>IFERROR(__xludf.DUMMYFUNCTION("""COMPUTED_VALUE"""),0.0)</f>
        <v>0</v>
      </c>
      <c r="M1979" s="133">
        <f>IFERROR(__xludf.DUMMYFUNCTION("""COMPUTED_VALUE"""),0.0)</f>
        <v>0</v>
      </c>
      <c r="N1979" s="152" t="str">
        <f>IFERROR(__xludf.DUMMYFUNCTION("""COMPUTED_VALUE"""),"Model 3 SR+")</f>
        <v>Model 3 SR+</v>
      </c>
      <c r="O1979" s="152" t="str">
        <f>IFERROR(__xludf.DUMMYFUNCTION("""COMPUTED_VALUE"""),"Pearl White Multi-Coat")</f>
        <v>Pearl White Multi-Coat</v>
      </c>
      <c r="P1979" s="153" t="str">
        <f>IFERROR(__xludf.DUMMYFUNCTION("""COMPUTED_VALUE"""),"18 inch Aero")</f>
        <v>18 inch Aero</v>
      </c>
      <c r="Q1979" s="152" t="str">
        <f>IFERROR(__xludf.DUMMYFUNCTION("""COMPUTED_VALUE"""),"Black seats")</f>
        <v>Black seats</v>
      </c>
      <c r="R1979" s="150" t="str">
        <f>IFERROR(__xludf.DUMMYFUNCTION("""COMPUTED_VALUE"""),"Full Self-Driving")</f>
        <v>Full Self-Driving</v>
      </c>
      <c r="S1979" s="150"/>
      <c r="T1979" s="136"/>
      <c r="U1979" s="136"/>
      <c r="V1979" s="136"/>
      <c r="W1979" s="136"/>
      <c r="X1979" s="137" t="str">
        <f>IFERROR(__xludf.DUMMYFUNCTION("""COMPUTED_VALUE"""),"Excellent")</f>
        <v>Excellent</v>
      </c>
      <c r="Y1979" s="138" t="str">
        <f>IFERROR(__xludf.DUMMYFUNCTION("""COMPUTED_VALUE"""),"Excellent")</f>
        <v>Excellent</v>
      </c>
      <c r="Z1979" s="138" t="str">
        <f>IFERROR(__xludf.DUMMYFUNCTION("""COMPUTED_VALUE"""),"Excellent")</f>
        <v>Excellent</v>
      </c>
      <c r="AA1979" s="138" t="str">
        <f>IFERROR(__xludf.DUMMYFUNCTION("""COMPUTED_VALUE"""),"Very Good")</f>
        <v>Very Good</v>
      </c>
      <c r="AB1979" s="138" t="str">
        <f>IFERROR(__xludf.DUMMYFUNCTION("""COMPUTED_VALUE"""),"Very Good")</f>
        <v>Very Good</v>
      </c>
      <c r="AC1979" s="139">
        <f>IFERROR(__xludf.DUMMYFUNCTION("""COMPUTED_VALUE"""),0.0)</f>
        <v>0</v>
      </c>
      <c r="AD1979" s="139">
        <f>IFERROR(__xludf.DUMMYFUNCTION("""COMPUTED_VALUE"""),0.0)</f>
        <v>0</v>
      </c>
      <c r="AE1979" s="139">
        <f>IFERROR(__xludf.DUMMYFUNCTION("""COMPUTED_VALUE"""),0.0)</f>
        <v>0</v>
      </c>
      <c r="AF1979" s="140"/>
      <c r="AG1979" s="136" t="str">
        <f>IFERROR(__xludf.DUMMYFUNCTION("""COMPUTED_VALUE"""),"Bought inventory model same day without appointment.")</f>
        <v>Bought inventory model same day without appointment.</v>
      </c>
      <c r="AH1979" s="157">
        <f>IFERROR(__xludf.DUMMYFUNCTION("""COMPUTED_VALUE"""),43577.88372456018)</f>
        <v>43577.88372</v>
      </c>
      <c r="AI1979" s="138"/>
      <c r="AJ1979" s="138"/>
      <c r="AK1979" s="138"/>
      <c r="AL1979" s="142"/>
    </row>
    <row r="1980" ht="20.25" customHeight="1">
      <c r="A1980" s="155" t="str">
        <f>IFERROR(__xludf.DUMMYFUNCTION("""COMPUTED_VALUE"""),"Notrhj")</f>
        <v>Notrhj</v>
      </c>
      <c r="B1980" s="149"/>
      <c r="C1980" s="149" t="str">
        <f>IFERROR(__xludf.DUMMYFUNCTION("""COMPUTED_VALUE"""),"NY")</f>
        <v>NY</v>
      </c>
      <c r="D1980" s="149" t="str">
        <f>IFERROR(__xludf.DUMMYFUNCTION("""COMPUTED_VALUE"""),"USA")</f>
        <v>USA</v>
      </c>
      <c r="E1980" s="156">
        <f>IFERROR(__xludf.DUMMYFUNCTION("""COMPUTED_VALUE"""),43575.0)</f>
        <v>43575</v>
      </c>
      <c r="F1980" s="129">
        <f>IFERROR(__xludf.DUMMYFUNCTION("""COMPUTED_VALUE"""),43608.0)</f>
        <v>43608</v>
      </c>
      <c r="G1980" s="154"/>
      <c r="H1980" s="131"/>
      <c r="I1980" s="132"/>
      <c r="J1980" s="129">
        <f>IFERROR(__xludf.DUMMYFUNCTION("""COMPUTED_VALUE"""),43610.0)</f>
        <v>43610</v>
      </c>
      <c r="K1980" s="133">
        <f>IFERROR(__xludf.DUMMYFUNCTION("""COMPUTED_VALUE"""),33.0)</f>
        <v>33</v>
      </c>
      <c r="L1980" s="133">
        <f>IFERROR(__xludf.DUMMYFUNCTION("""COMPUTED_VALUE"""),2.0)</f>
        <v>2</v>
      </c>
      <c r="M1980" s="133">
        <f>IFERROR(__xludf.DUMMYFUNCTION("""COMPUTED_VALUE"""),35.0)</f>
        <v>35</v>
      </c>
      <c r="N1980" s="152" t="str">
        <f>IFERROR(__xludf.DUMMYFUNCTION("""COMPUTED_VALUE"""),"Model 3 Performance")</f>
        <v>Model 3 Performance</v>
      </c>
      <c r="O1980" s="152" t="str">
        <f>IFERROR(__xludf.DUMMYFUNCTION("""COMPUTED_VALUE"""),"Pearl White Multi-Coat")</f>
        <v>Pearl White Multi-Coat</v>
      </c>
      <c r="P1980" s="153" t="str">
        <f>IFERROR(__xludf.DUMMYFUNCTION("""COMPUTED_VALUE"""),"20 inch Sport")</f>
        <v>20 inch Sport</v>
      </c>
      <c r="Q1980" s="152" t="str">
        <f>IFERROR(__xludf.DUMMYFUNCTION("""COMPUTED_VALUE"""),"White seats")</f>
        <v>White seats</v>
      </c>
      <c r="R1980" s="150" t="str">
        <f>IFERROR(__xludf.DUMMYFUNCTION("""COMPUTED_VALUE"""),"Full Self-Driving")</f>
        <v>Full Self-Driving</v>
      </c>
      <c r="S1980" s="150"/>
      <c r="T1980" s="136"/>
      <c r="U1980" s="136"/>
      <c r="V1980" s="136"/>
      <c r="W1980" s="136"/>
      <c r="X1980" s="137" t="str">
        <f>IFERROR(__xludf.DUMMYFUNCTION("""COMPUTED_VALUE"""),"Good")</f>
        <v>Good</v>
      </c>
      <c r="Y1980" s="138" t="str">
        <f>IFERROR(__xludf.DUMMYFUNCTION("""COMPUTED_VALUE"""),"Very Good")</f>
        <v>Very Good</v>
      </c>
      <c r="Z1980" s="138" t="str">
        <f>IFERROR(__xludf.DUMMYFUNCTION("""COMPUTED_VALUE"""),"Very Good")</f>
        <v>Very Good</v>
      </c>
      <c r="AA1980" s="138" t="str">
        <f>IFERROR(__xludf.DUMMYFUNCTION("""COMPUTED_VALUE"""),"Poor")</f>
        <v>Poor</v>
      </c>
      <c r="AB1980" s="138" t="str">
        <f>IFERROR(__xludf.DUMMYFUNCTION("""COMPUTED_VALUE"""),"Good")</f>
        <v>Good</v>
      </c>
      <c r="AC1980" s="139"/>
      <c r="AD1980" s="139"/>
      <c r="AE1980" s="139"/>
      <c r="AF1980" s="140"/>
      <c r="AG1980" s="136" t="str">
        <f>IFERROR(__xludf.DUMMYFUNCTION("""COMPUTED_VALUE"""),"Configured 4-19 Reconfigured 4-20 5/19 Build Date")</f>
        <v>Configured 4-19 Reconfigured 4-20 5/19 Build Date</v>
      </c>
      <c r="AH1980" s="157">
        <f>IFERROR(__xludf.DUMMYFUNCTION("""COMPUTED_VALUE"""),43611.53059594907)</f>
        <v>43611.5306</v>
      </c>
      <c r="AI1980" s="138"/>
      <c r="AJ1980" s="138"/>
      <c r="AK1980" s="138"/>
      <c r="AL1980" s="142"/>
    </row>
    <row r="1981" ht="20.25" customHeight="1">
      <c r="A1981" s="155" t="str">
        <f>IFERROR(__xludf.DUMMYFUNCTION("""COMPUTED_VALUE"""),"sniteiu")</f>
        <v>sniteiu</v>
      </c>
      <c r="B1981" s="159" t="str">
        <f>IFERROR(__xludf.DUMMYFUNCTION("""COMPUTED_VALUE"""),"Indianapolis")</f>
        <v>Indianapolis</v>
      </c>
      <c r="C1981" s="159" t="str">
        <f>IFERROR(__xludf.DUMMYFUNCTION("""COMPUTED_VALUE"""),"IN")</f>
        <v>IN</v>
      </c>
      <c r="D1981" s="159" t="str">
        <f>IFERROR(__xludf.DUMMYFUNCTION("""COMPUTED_VALUE"""),"USA")</f>
        <v>USA</v>
      </c>
      <c r="E1981" s="156">
        <f>IFERROR(__xludf.DUMMYFUNCTION("""COMPUTED_VALUE"""),43575.0)</f>
        <v>43575</v>
      </c>
      <c r="F1981" s="129">
        <f>IFERROR(__xludf.DUMMYFUNCTION("""COMPUTED_VALUE"""),43582.0)</f>
        <v>43582</v>
      </c>
      <c r="G1981" s="154"/>
      <c r="H1981" s="131">
        <f>IFERROR(__xludf.DUMMYFUNCTION("""COMPUTED_VALUE"""),302555.0)</f>
        <v>302555</v>
      </c>
      <c r="I1981" s="160" t="str">
        <f>IFERROR(__xludf.DUMMYFUNCTION("""COMPUTED_VALUE"""),"03/19")</f>
        <v>03/19</v>
      </c>
      <c r="J1981" s="129">
        <f>IFERROR(__xludf.DUMMYFUNCTION("""COMPUTED_VALUE"""),43588.0)</f>
        <v>43588</v>
      </c>
      <c r="K1981" s="133">
        <f>IFERROR(__xludf.DUMMYFUNCTION("""COMPUTED_VALUE"""),7.0)</f>
        <v>7</v>
      </c>
      <c r="L1981" s="133">
        <f>IFERROR(__xludf.DUMMYFUNCTION("""COMPUTED_VALUE"""),6.0)</f>
        <v>6</v>
      </c>
      <c r="M1981" s="133">
        <f>IFERROR(__xludf.DUMMYFUNCTION("""COMPUTED_VALUE"""),13.0)</f>
        <v>13</v>
      </c>
      <c r="N1981" s="152" t="str">
        <f>IFERROR(__xludf.DUMMYFUNCTION("""COMPUTED_VALUE"""),"Model 3 SR+")</f>
        <v>Model 3 SR+</v>
      </c>
      <c r="O1981" s="152" t="str">
        <f>IFERROR(__xludf.DUMMYFUNCTION("""COMPUTED_VALUE"""),"Solid Black")</f>
        <v>Solid Black</v>
      </c>
      <c r="P1981" s="153" t="str">
        <f>IFERROR(__xludf.DUMMYFUNCTION("""COMPUTED_VALUE"""),"19 inch Sport")</f>
        <v>19 inch Sport</v>
      </c>
      <c r="Q1981" s="152" t="str">
        <f>IFERROR(__xludf.DUMMYFUNCTION("""COMPUTED_VALUE"""),"White seats")</f>
        <v>White seats</v>
      </c>
      <c r="R1981" s="159" t="str">
        <f>IFERROR(__xludf.DUMMYFUNCTION("""COMPUTED_VALUE"""),"Autopilot")</f>
        <v>Autopilot</v>
      </c>
      <c r="S1981" s="159"/>
      <c r="T1981" s="161"/>
      <c r="U1981" s="161"/>
      <c r="V1981" s="161"/>
      <c r="W1981" s="161"/>
      <c r="X1981" s="137" t="str">
        <f>IFERROR(__xludf.DUMMYFUNCTION("""COMPUTED_VALUE"""),"Very Good")</f>
        <v>Very Good</v>
      </c>
      <c r="Y1981" s="138" t="str">
        <f>IFERROR(__xludf.DUMMYFUNCTION("""COMPUTED_VALUE"""),"Excellent")</f>
        <v>Excellent</v>
      </c>
      <c r="Z1981" s="138" t="str">
        <f>IFERROR(__xludf.DUMMYFUNCTION("""COMPUTED_VALUE"""),"Very Good")</f>
        <v>Very Good</v>
      </c>
      <c r="AA1981" s="138" t="str">
        <f>IFERROR(__xludf.DUMMYFUNCTION("""COMPUTED_VALUE"""),"Poor")</f>
        <v>Poor</v>
      </c>
      <c r="AB1981" s="138" t="str">
        <f>IFERROR(__xludf.DUMMYFUNCTION("""COMPUTED_VALUE"""),"Good")</f>
        <v>Good</v>
      </c>
      <c r="AC1981" s="139"/>
      <c r="AD1981" s="139"/>
      <c r="AE1981" s="139"/>
      <c r="AF1981" s="140"/>
      <c r="AG1981" s="161" t="str">
        <f>IFERROR(__xludf.DUMMYFUNCTION("""COMPUTED_VALUE"""),"Orig VIN date 4/23/19 w/ 4/30/19 delivery.  Final paperwork recv'd 4/27/19 and vehicle was a demo vehicle w/ 700 miles.  Refused to take delivery.  New VIN 4/27/19.  Took delivery 5/3/19.")</f>
        <v>Orig VIN date 4/23/19 w/ 4/30/19 delivery.  Final paperwork recv'd 4/27/19 and vehicle was a demo vehicle w/ 700 miles.  Refused to take delivery.  New VIN 4/27/19.  Took delivery 5/3/19.</v>
      </c>
      <c r="AH1981" s="157">
        <f>IFERROR(__xludf.DUMMYFUNCTION("""COMPUTED_VALUE"""),43588.84550892361)</f>
        <v>43588.84551</v>
      </c>
      <c r="AI1981" s="138"/>
      <c r="AJ1981" s="138"/>
      <c r="AK1981" s="138"/>
      <c r="AL1981" s="142"/>
    </row>
    <row r="1982" ht="20.25" customHeight="1">
      <c r="A1982" s="155" t="str">
        <f>IFERROR(__xludf.DUMMYFUNCTION("""COMPUTED_VALUE"""),"Eli")</f>
        <v>Eli</v>
      </c>
      <c r="B1982" s="149" t="str">
        <f>IFERROR(__xludf.DUMMYFUNCTION("""COMPUTED_VALUE"""),"Erie")</f>
        <v>Erie</v>
      </c>
      <c r="C1982" s="149" t="str">
        <f>IFERROR(__xludf.DUMMYFUNCTION("""COMPUTED_VALUE"""),"CO")</f>
        <v>CO</v>
      </c>
      <c r="D1982" s="149" t="str">
        <f>IFERROR(__xludf.DUMMYFUNCTION("""COMPUTED_VALUE"""),"USA")</f>
        <v>USA</v>
      </c>
      <c r="E1982" s="156">
        <f>IFERROR(__xludf.DUMMYFUNCTION("""COMPUTED_VALUE"""),43574.0)</f>
        <v>43574</v>
      </c>
      <c r="F1982" s="129">
        <f>IFERROR(__xludf.DUMMYFUNCTION("""COMPUTED_VALUE"""),43586.0)</f>
        <v>43586</v>
      </c>
      <c r="G1982" s="154"/>
      <c r="H1982" s="131">
        <f>IFERROR(__xludf.DUMMYFUNCTION("""COMPUTED_VALUE"""),237567.0)</f>
        <v>237567</v>
      </c>
      <c r="I1982" s="132" t="str">
        <f>IFERROR(__xludf.DUMMYFUNCTION("""COMPUTED_VALUE"""),"04/19")</f>
        <v>04/19</v>
      </c>
      <c r="J1982" s="129">
        <f>IFERROR(__xludf.DUMMYFUNCTION("""COMPUTED_VALUE"""),43592.0)</f>
        <v>43592</v>
      </c>
      <c r="K1982" s="133">
        <f>IFERROR(__xludf.DUMMYFUNCTION("""COMPUTED_VALUE"""),12.0)</f>
        <v>12</v>
      </c>
      <c r="L1982" s="133">
        <f>IFERROR(__xludf.DUMMYFUNCTION("""COMPUTED_VALUE"""),6.0)</f>
        <v>6</v>
      </c>
      <c r="M1982" s="133">
        <f>IFERROR(__xludf.DUMMYFUNCTION("""COMPUTED_VALUE"""),18.0)</f>
        <v>18</v>
      </c>
      <c r="N1982" s="152" t="str">
        <f>IFERROR(__xludf.DUMMYFUNCTION("""COMPUTED_VALUE"""),"Model 3 Performance")</f>
        <v>Model 3 Performance</v>
      </c>
      <c r="O1982" s="152" t="str">
        <f>IFERROR(__xludf.DUMMYFUNCTION("""COMPUTED_VALUE"""),"Midnight Silver Metallic")</f>
        <v>Midnight Silver Metallic</v>
      </c>
      <c r="P1982" s="153" t="str">
        <f>IFERROR(__xludf.DUMMYFUNCTION("""COMPUTED_VALUE"""),"20 inch Sport")</f>
        <v>20 inch Sport</v>
      </c>
      <c r="Q1982" s="152" t="str">
        <f>IFERROR(__xludf.DUMMYFUNCTION("""COMPUTED_VALUE"""),"Black seats")</f>
        <v>Black seats</v>
      </c>
      <c r="R1982" s="150" t="str">
        <f>IFERROR(__xludf.DUMMYFUNCTION("""COMPUTED_VALUE"""),"Full Self-Driving")</f>
        <v>Full Self-Driving</v>
      </c>
      <c r="S1982" s="150"/>
      <c r="T1982" s="136"/>
      <c r="U1982" s="136"/>
      <c r="V1982" s="136"/>
      <c r="W1982" s="136"/>
      <c r="X1982" s="137" t="str">
        <f>IFERROR(__xludf.DUMMYFUNCTION("""COMPUTED_VALUE"""),"Very Good")</f>
        <v>Very Good</v>
      </c>
      <c r="Y1982" s="138" t="str">
        <f>IFERROR(__xludf.DUMMYFUNCTION("""COMPUTED_VALUE"""),"Excellent")</f>
        <v>Excellent</v>
      </c>
      <c r="Z1982" s="138" t="str">
        <f>IFERROR(__xludf.DUMMYFUNCTION("""COMPUTED_VALUE"""),"Excellent")</f>
        <v>Excellent</v>
      </c>
      <c r="AA1982" s="138" t="str">
        <f>IFERROR(__xludf.DUMMYFUNCTION("""COMPUTED_VALUE"""),"Fair")</f>
        <v>Fair</v>
      </c>
      <c r="AB1982" s="138" t="str">
        <f>IFERROR(__xludf.DUMMYFUNCTION("""COMPUTED_VALUE"""),"Good")</f>
        <v>Good</v>
      </c>
      <c r="AC1982" s="139"/>
      <c r="AD1982" s="139"/>
      <c r="AE1982" s="139"/>
      <c r="AF1982" s="140"/>
      <c r="AG1982" s="136" t="str">
        <f>IFERROR(__xludf.DUMMYFUNCTION("""COMPUTED_VALUE"""),"My month/year of manufacture was actually 5/19")</f>
        <v>My month/year of manufacture was actually 5/19</v>
      </c>
      <c r="AH1982" s="157">
        <f>IFERROR(__xludf.DUMMYFUNCTION("""COMPUTED_VALUE"""),43597.56162789352)</f>
        <v>43597.56163</v>
      </c>
      <c r="AI1982" s="138"/>
      <c r="AJ1982" s="138"/>
      <c r="AK1982" s="138"/>
      <c r="AL1982" s="142"/>
    </row>
    <row r="1983" ht="20.25" customHeight="1">
      <c r="A1983" s="155" t="str">
        <f>IFERROR(__xludf.DUMMYFUNCTION("""COMPUTED_VALUE"""),"forrest")</f>
        <v>forrest</v>
      </c>
      <c r="B1983" s="149" t="str">
        <f>IFERROR(__xludf.DUMMYFUNCTION("""COMPUTED_VALUE"""),"Loveland, CO")</f>
        <v>Loveland, CO</v>
      </c>
      <c r="C1983" s="149" t="str">
        <f>IFERROR(__xludf.DUMMYFUNCTION("""COMPUTED_VALUE"""),"CO")</f>
        <v>CO</v>
      </c>
      <c r="D1983" s="149" t="str">
        <f>IFERROR(__xludf.DUMMYFUNCTION("""COMPUTED_VALUE"""),"USA")</f>
        <v>USA</v>
      </c>
      <c r="E1983" s="156">
        <f>IFERROR(__xludf.DUMMYFUNCTION("""COMPUTED_VALUE"""),43574.0)</f>
        <v>43574</v>
      </c>
      <c r="F1983" s="129">
        <f>IFERROR(__xludf.DUMMYFUNCTION("""COMPUTED_VALUE"""),43581.0)</f>
        <v>43581</v>
      </c>
      <c r="G1983" s="154"/>
      <c r="H1983" s="131">
        <f>IFERROR(__xludf.DUMMYFUNCTION("""COMPUTED_VALUE"""),231755.0)</f>
        <v>231755</v>
      </c>
      <c r="I1983" s="144" t="str">
        <f>IFERROR(__xludf.DUMMYFUNCTION("""COMPUTED_VALUE"""),"04/19")</f>
        <v>04/19</v>
      </c>
      <c r="J1983" s="129">
        <f>IFERROR(__xludf.DUMMYFUNCTION("""COMPUTED_VALUE"""),43587.0)</f>
        <v>43587</v>
      </c>
      <c r="K1983" s="133">
        <f>IFERROR(__xludf.DUMMYFUNCTION("""COMPUTED_VALUE"""),7.0)</f>
        <v>7</v>
      </c>
      <c r="L1983" s="133">
        <f>IFERROR(__xludf.DUMMYFUNCTION("""COMPUTED_VALUE"""),6.0)</f>
        <v>6</v>
      </c>
      <c r="M1983" s="133">
        <f>IFERROR(__xludf.DUMMYFUNCTION("""COMPUTED_VALUE"""),13.0)</f>
        <v>13</v>
      </c>
      <c r="N1983" s="152" t="str">
        <f>IFERROR(__xludf.DUMMYFUNCTION("""COMPUTED_VALUE"""),"Model 3 Performance")</f>
        <v>Model 3 Performance</v>
      </c>
      <c r="O1983" s="152" t="str">
        <f>IFERROR(__xludf.DUMMYFUNCTION("""COMPUTED_VALUE"""),"Deep Blue Metallic")</f>
        <v>Deep Blue Metallic</v>
      </c>
      <c r="P1983" s="153" t="str">
        <f>IFERROR(__xludf.DUMMYFUNCTION("""COMPUTED_VALUE"""),"20 inch Sport")</f>
        <v>20 inch Sport</v>
      </c>
      <c r="Q1983" s="152" t="str">
        <f>IFERROR(__xludf.DUMMYFUNCTION("""COMPUTED_VALUE"""),"White seats")</f>
        <v>White seats</v>
      </c>
      <c r="R1983" s="149" t="str">
        <f>IFERROR(__xludf.DUMMYFUNCTION("""COMPUTED_VALUE"""),"Full Self-Driving")</f>
        <v>Full Self-Driving</v>
      </c>
      <c r="S1983" s="149"/>
      <c r="T1983" s="145"/>
      <c r="U1983" s="145"/>
      <c r="V1983" s="145"/>
      <c r="W1983" s="145"/>
      <c r="X1983" s="137" t="str">
        <f>IFERROR(__xludf.DUMMYFUNCTION("""COMPUTED_VALUE"""),"Fair")</f>
        <v>Fair</v>
      </c>
      <c r="Y1983" s="138" t="str">
        <f>IFERROR(__xludf.DUMMYFUNCTION("""COMPUTED_VALUE"""),"Very Good")</f>
        <v>Very Good</v>
      </c>
      <c r="Z1983" s="138" t="str">
        <f>IFERROR(__xludf.DUMMYFUNCTION("""COMPUTED_VALUE"""),"Good")</f>
        <v>Good</v>
      </c>
      <c r="AA1983" s="138" t="str">
        <f>IFERROR(__xludf.DUMMYFUNCTION("""COMPUTED_VALUE"""),"Poor")</f>
        <v>Poor</v>
      </c>
      <c r="AB1983" s="138" t="str">
        <f>IFERROR(__xludf.DUMMYFUNCTION("""COMPUTED_VALUE"""),"Fair")</f>
        <v>Fair</v>
      </c>
      <c r="AC1983" s="139">
        <f>IFERROR(__xludf.DUMMYFUNCTION("""COMPUTED_VALUE"""),1.0)</f>
        <v>1</v>
      </c>
      <c r="AD1983" s="139"/>
      <c r="AE1983" s="139"/>
      <c r="AF1983" s="140"/>
      <c r="AG1983" s="145"/>
      <c r="AH1983" s="157">
        <f>IFERROR(__xludf.DUMMYFUNCTION("""COMPUTED_VALUE"""),43588.50454123842)</f>
        <v>43588.50454</v>
      </c>
      <c r="AI1983" s="138"/>
      <c r="AJ1983" s="138"/>
      <c r="AK1983" s="138"/>
      <c r="AL1983" s="142"/>
    </row>
    <row r="1984" ht="20.25" customHeight="1">
      <c r="A1984" s="155" t="str">
        <f>IFERROR(__xludf.DUMMYFUNCTION("""COMPUTED_VALUE"""),"lovemyteslas")</f>
        <v>lovemyteslas</v>
      </c>
      <c r="B1984" s="149"/>
      <c r="C1984" s="149"/>
      <c r="D1984" s="149" t="str">
        <f>IFERROR(__xludf.DUMMYFUNCTION("""COMPUTED_VALUE"""),"Netherlands")</f>
        <v>Netherlands</v>
      </c>
      <c r="E1984" s="156">
        <f>IFERROR(__xludf.DUMMYFUNCTION("""COMPUTED_VALUE"""),43574.0)</f>
        <v>43574</v>
      </c>
      <c r="F1984" s="129">
        <f>IFERROR(__xludf.DUMMYFUNCTION("""COMPUTED_VALUE"""),43583.0)</f>
        <v>43583</v>
      </c>
      <c r="G1984" s="154"/>
      <c r="H1984" s="131">
        <f>IFERROR(__xludf.DUMMYFUNCTION("""COMPUTED_VALUE"""),224345.0)</f>
        <v>224345</v>
      </c>
      <c r="I1984" s="132" t="str">
        <f>IFERROR(__xludf.DUMMYFUNCTION("""COMPUTED_VALUE"""),"03/19")</f>
        <v>03/19</v>
      </c>
      <c r="J1984" s="129">
        <f>IFERROR(__xludf.DUMMYFUNCTION("""COMPUTED_VALUE"""),43600.0)</f>
        <v>43600</v>
      </c>
      <c r="K1984" s="133">
        <f>IFERROR(__xludf.DUMMYFUNCTION("""COMPUTED_VALUE"""),9.0)</f>
        <v>9</v>
      </c>
      <c r="L1984" s="133">
        <f>IFERROR(__xludf.DUMMYFUNCTION("""COMPUTED_VALUE"""),17.0)</f>
        <v>17</v>
      </c>
      <c r="M1984" s="133">
        <f>IFERROR(__xludf.DUMMYFUNCTION("""COMPUTED_VALUE"""),26.0)</f>
        <v>26</v>
      </c>
      <c r="N1984" s="152" t="str">
        <f>IFERROR(__xludf.DUMMYFUNCTION("""COMPUTED_VALUE"""),"Model 3 LR AWD")</f>
        <v>Model 3 LR AWD</v>
      </c>
      <c r="O1984" s="152" t="str">
        <f>IFERROR(__xludf.DUMMYFUNCTION("""COMPUTED_VALUE"""),"Deep Blue Metallic")</f>
        <v>Deep Blue Metallic</v>
      </c>
      <c r="P1984" s="153" t="str">
        <f>IFERROR(__xludf.DUMMYFUNCTION("""COMPUTED_VALUE"""),"18 inch Aero")</f>
        <v>18 inch Aero</v>
      </c>
      <c r="Q1984" s="152" t="str">
        <f>IFERROR(__xludf.DUMMYFUNCTION("""COMPUTED_VALUE"""),"White seats")</f>
        <v>White seats</v>
      </c>
      <c r="R1984" s="150" t="str">
        <f>IFERROR(__xludf.DUMMYFUNCTION("""COMPUTED_VALUE"""),"Full Self-Driving")</f>
        <v>Full Self-Driving</v>
      </c>
      <c r="S1984" s="150"/>
      <c r="T1984" s="136"/>
      <c r="U1984" s="136"/>
      <c r="V1984" s="136"/>
      <c r="W1984" s="136"/>
      <c r="X1984" s="137" t="str">
        <f>IFERROR(__xludf.DUMMYFUNCTION("""COMPUTED_VALUE"""),"Excellent")</f>
        <v>Excellent</v>
      </c>
      <c r="Y1984" s="138" t="str">
        <f>IFERROR(__xludf.DUMMYFUNCTION("""COMPUTED_VALUE"""),"Excellent")</f>
        <v>Excellent</v>
      </c>
      <c r="Z1984" s="138" t="str">
        <f>IFERROR(__xludf.DUMMYFUNCTION("""COMPUTED_VALUE"""),"Excellent")</f>
        <v>Excellent</v>
      </c>
      <c r="AA1984" s="138" t="str">
        <f>IFERROR(__xludf.DUMMYFUNCTION("""COMPUTED_VALUE"""),"Excellent")</f>
        <v>Excellent</v>
      </c>
      <c r="AB1984" s="138" t="str">
        <f>IFERROR(__xludf.DUMMYFUNCTION("""COMPUTED_VALUE"""),"Excellent")</f>
        <v>Excellent</v>
      </c>
      <c r="AC1984" s="139">
        <f>IFERROR(__xludf.DUMMYFUNCTION("""COMPUTED_VALUE"""),0.0)</f>
        <v>0</v>
      </c>
      <c r="AD1984" s="139">
        <f>IFERROR(__xludf.DUMMYFUNCTION("""COMPUTED_VALUE"""),0.0)</f>
        <v>0</v>
      </c>
      <c r="AE1984" s="139">
        <f>IFERROR(__xludf.DUMMYFUNCTION("""COMPUTED_VALUE"""),0.0)</f>
        <v>0</v>
      </c>
      <c r="AF1984" s="140"/>
      <c r="AG1984" s="136" t="str">
        <f>IFERROR(__xludf.DUMMYFUNCTION("""COMPUTED_VALUE"""),"amazing car. very satisfied.")</f>
        <v>amazing car. very satisfied.</v>
      </c>
      <c r="AH1984" s="157">
        <f>IFERROR(__xludf.DUMMYFUNCTION("""COMPUTED_VALUE"""),43621.12566314815)</f>
        <v>43621.12566</v>
      </c>
      <c r="AI1984" s="138"/>
      <c r="AJ1984" s="138"/>
      <c r="AK1984" s="138"/>
      <c r="AL1984" s="142"/>
    </row>
    <row r="1985" ht="20.25" customHeight="1">
      <c r="A1985" s="155" t="str">
        <f>IFERROR(__xludf.DUMMYFUNCTION("""COMPUTED_VALUE"""),"Mary")</f>
        <v>Mary</v>
      </c>
      <c r="B1985" s="149" t="str">
        <f>IFERROR(__xludf.DUMMYFUNCTION("""COMPUTED_VALUE"""),"Houston")</f>
        <v>Houston</v>
      </c>
      <c r="C1985" s="149" t="str">
        <f>IFERROR(__xludf.DUMMYFUNCTION("""COMPUTED_VALUE"""),"TX")</f>
        <v>TX</v>
      </c>
      <c r="D1985" s="149" t="str">
        <f>IFERROR(__xludf.DUMMYFUNCTION("""COMPUTED_VALUE"""),"USA")</f>
        <v>USA</v>
      </c>
      <c r="E1985" s="156">
        <f>IFERROR(__xludf.DUMMYFUNCTION("""COMPUTED_VALUE"""),43574.0)</f>
        <v>43574</v>
      </c>
      <c r="F1985" s="129">
        <f>IFERROR(__xludf.DUMMYFUNCTION("""COMPUTED_VALUE"""),43574.0)</f>
        <v>43574</v>
      </c>
      <c r="G1985" s="154"/>
      <c r="H1985" s="131">
        <f>IFERROR(__xludf.DUMMYFUNCTION("""COMPUTED_VALUE"""),194539.0)</f>
        <v>194539</v>
      </c>
      <c r="I1985" s="144" t="str">
        <f>IFERROR(__xludf.DUMMYFUNCTION("""COMPUTED_VALUE"""),"04/19")</f>
        <v>04/19</v>
      </c>
      <c r="J1985" s="129">
        <f>IFERROR(__xludf.DUMMYFUNCTION("""COMPUTED_VALUE"""),43580.0)</f>
        <v>43580</v>
      </c>
      <c r="K1985" s="133">
        <f>IFERROR(__xludf.DUMMYFUNCTION("""COMPUTED_VALUE"""),0.0)</f>
        <v>0</v>
      </c>
      <c r="L1985" s="133">
        <f>IFERROR(__xludf.DUMMYFUNCTION("""COMPUTED_VALUE"""),6.0)</f>
        <v>6</v>
      </c>
      <c r="M1985" s="133">
        <f>IFERROR(__xludf.DUMMYFUNCTION("""COMPUTED_VALUE"""),6.0)</f>
        <v>6</v>
      </c>
      <c r="N1985" s="152" t="str">
        <f>IFERROR(__xludf.DUMMYFUNCTION("""COMPUTED_VALUE"""),"Model 3 LR AWD")</f>
        <v>Model 3 LR AWD</v>
      </c>
      <c r="O1985" s="152" t="str">
        <f>IFERROR(__xludf.DUMMYFUNCTION("""COMPUTED_VALUE"""),"Red Multi-Coat")</f>
        <v>Red Multi-Coat</v>
      </c>
      <c r="P1985" s="153" t="str">
        <f>IFERROR(__xludf.DUMMYFUNCTION("""COMPUTED_VALUE"""),"19 inch Sport")</f>
        <v>19 inch Sport</v>
      </c>
      <c r="Q1985" s="152" t="str">
        <f>IFERROR(__xludf.DUMMYFUNCTION("""COMPUTED_VALUE"""),"Black seats")</f>
        <v>Black seats</v>
      </c>
      <c r="R1985" s="149" t="str">
        <f>IFERROR(__xludf.DUMMYFUNCTION("""COMPUTED_VALUE"""),"Full Self-Driving")</f>
        <v>Full Self-Driving</v>
      </c>
      <c r="S1985" s="149"/>
      <c r="T1985" s="145"/>
      <c r="U1985" s="145"/>
      <c r="V1985" s="145"/>
      <c r="W1985" s="136"/>
      <c r="X1985" s="151" t="str">
        <f>IFERROR(__xludf.DUMMYFUNCTION("""COMPUTED_VALUE"""),"Excellent")</f>
        <v>Excellent</v>
      </c>
      <c r="Y1985" s="138" t="str">
        <f>IFERROR(__xludf.DUMMYFUNCTION("""COMPUTED_VALUE"""),"Excellent")</f>
        <v>Excellent</v>
      </c>
      <c r="Z1985" s="138" t="str">
        <f>IFERROR(__xludf.DUMMYFUNCTION("""COMPUTED_VALUE"""),"Excellent")</f>
        <v>Excellent</v>
      </c>
      <c r="AA1985" s="138" t="str">
        <f>IFERROR(__xludf.DUMMYFUNCTION("""COMPUTED_VALUE"""),"Excellent")</f>
        <v>Excellent</v>
      </c>
      <c r="AB1985" s="138" t="str">
        <f>IFERROR(__xludf.DUMMYFUNCTION("""COMPUTED_VALUE"""),"Excellent")</f>
        <v>Excellent</v>
      </c>
      <c r="AC1985" s="139"/>
      <c r="AD1985" s="139"/>
      <c r="AE1985" s="139"/>
      <c r="AF1985" s="140"/>
      <c r="AG1985" s="136"/>
      <c r="AH1985" s="157">
        <f>IFERROR(__xludf.DUMMYFUNCTION("""COMPUTED_VALUE"""),43581.40379630787)</f>
        <v>43581.4038</v>
      </c>
      <c r="AI1985" s="138"/>
      <c r="AJ1985" s="138"/>
      <c r="AK1985" s="138"/>
      <c r="AL1985" s="142"/>
    </row>
    <row r="1986" ht="20.25" customHeight="1">
      <c r="A1986" s="155" t="str">
        <f>IFERROR(__xludf.DUMMYFUNCTION("""COMPUTED_VALUE"""),"Bluepill")</f>
        <v>Bluepill</v>
      </c>
      <c r="B1986" s="149" t="str">
        <f>IFERROR(__xludf.DUMMYFUNCTION("""COMPUTED_VALUE"""),"Los Angeles")</f>
        <v>Los Angeles</v>
      </c>
      <c r="C1986" s="149" t="str">
        <f>IFERROR(__xludf.DUMMYFUNCTION("""COMPUTED_VALUE"""),"CA")</f>
        <v>CA</v>
      </c>
      <c r="D1986" s="149" t="str">
        <f>IFERROR(__xludf.DUMMYFUNCTION("""COMPUTED_VALUE"""),"USA")</f>
        <v>USA</v>
      </c>
      <c r="E1986" s="156">
        <f>IFERROR(__xludf.DUMMYFUNCTION("""COMPUTED_VALUE"""),43573.0)</f>
        <v>43573</v>
      </c>
      <c r="F1986" s="129">
        <f>IFERROR(__xludf.DUMMYFUNCTION("""COMPUTED_VALUE"""),43582.0)</f>
        <v>43582</v>
      </c>
      <c r="G1986" s="154"/>
      <c r="H1986" s="131">
        <f>IFERROR(__xludf.DUMMYFUNCTION("""COMPUTED_VALUE"""),237855.0)</f>
        <v>237855</v>
      </c>
      <c r="I1986" s="144" t="str">
        <f>IFERROR(__xludf.DUMMYFUNCTION("""COMPUTED_VALUE"""),"04/19")</f>
        <v>04/19</v>
      </c>
      <c r="J1986" s="129">
        <f>IFERROR(__xludf.DUMMYFUNCTION("""COMPUTED_VALUE"""),43586.0)</f>
        <v>43586</v>
      </c>
      <c r="K1986" s="133">
        <f>IFERROR(__xludf.DUMMYFUNCTION("""COMPUTED_VALUE"""),9.0)</f>
        <v>9</v>
      </c>
      <c r="L1986" s="133">
        <f>IFERROR(__xludf.DUMMYFUNCTION("""COMPUTED_VALUE"""),4.0)</f>
        <v>4</v>
      </c>
      <c r="M1986" s="133">
        <f>IFERROR(__xludf.DUMMYFUNCTION("""COMPUTED_VALUE"""),13.0)</f>
        <v>13</v>
      </c>
      <c r="N1986" s="152" t="str">
        <f>IFERROR(__xludf.DUMMYFUNCTION("""COMPUTED_VALUE"""),"Model 3 Performance")</f>
        <v>Model 3 Performance</v>
      </c>
      <c r="O1986" s="152" t="str">
        <f>IFERROR(__xludf.DUMMYFUNCTION("""COMPUTED_VALUE"""),"Pearl White Multi-Coat")</f>
        <v>Pearl White Multi-Coat</v>
      </c>
      <c r="P1986" s="153" t="str">
        <f>IFERROR(__xludf.DUMMYFUNCTION("""COMPUTED_VALUE"""),"20 inch Sport")</f>
        <v>20 inch Sport</v>
      </c>
      <c r="Q1986" s="152" t="str">
        <f>IFERROR(__xludf.DUMMYFUNCTION("""COMPUTED_VALUE"""),"Black seats")</f>
        <v>Black seats</v>
      </c>
      <c r="R1986" s="149" t="str">
        <f>IFERROR(__xludf.DUMMYFUNCTION("""COMPUTED_VALUE"""),"Full Self-Driving")</f>
        <v>Full Self-Driving</v>
      </c>
      <c r="S1986" s="149"/>
      <c r="T1986" s="145"/>
      <c r="U1986" s="145"/>
      <c r="V1986" s="145"/>
      <c r="W1986" s="145"/>
      <c r="X1986" s="137" t="str">
        <f>IFERROR(__xludf.DUMMYFUNCTION("""COMPUTED_VALUE"""),"Excellent")</f>
        <v>Excellent</v>
      </c>
      <c r="Y1986" s="138" t="str">
        <f>IFERROR(__xludf.DUMMYFUNCTION("""COMPUTED_VALUE"""),"Excellent")</f>
        <v>Excellent</v>
      </c>
      <c r="Z1986" s="138" t="str">
        <f>IFERROR(__xludf.DUMMYFUNCTION("""COMPUTED_VALUE"""),"Excellent")</f>
        <v>Excellent</v>
      </c>
      <c r="AA1986" s="138" t="str">
        <f>IFERROR(__xludf.DUMMYFUNCTION("""COMPUTED_VALUE"""),"Fair")</f>
        <v>Fair</v>
      </c>
      <c r="AB1986" s="138" t="str">
        <f>IFERROR(__xludf.DUMMYFUNCTION("""COMPUTED_VALUE"""),"Very Good")</f>
        <v>Very Good</v>
      </c>
      <c r="AC1986" s="139">
        <f>IFERROR(__xludf.DUMMYFUNCTION("""COMPUTED_VALUE"""),0.0)</f>
        <v>0</v>
      </c>
      <c r="AD1986" s="139"/>
      <c r="AE1986" s="139"/>
      <c r="AF1986" s="140"/>
      <c r="AG1986" s="145"/>
      <c r="AH1986" s="157">
        <f>IFERROR(__xludf.DUMMYFUNCTION("""COMPUTED_VALUE"""),43586.258562233794)</f>
        <v>43586.25856</v>
      </c>
      <c r="AI1986" s="138"/>
      <c r="AJ1986" s="138"/>
      <c r="AK1986" s="138"/>
      <c r="AL1986" s="142"/>
    </row>
    <row r="1987" ht="20.25" customHeight="1">
      <c r="A1987" s="155" t="str">
        <f>IFERROR(__xludf.DUMMYFUNCTION("""COMPUTED_VALUE"""),"Brentonator")</f>
        <v>Brentonator</v>
      </c>
      <c r="B1987" s="149" t="str">
        <f>IFERROR(__xludf.DUMMYFUNCTION("""COMPUTED_VALUE"""),"Boca Raton")</f>
        <v>Boca Raton</v>
      </c>
      <c r="C1987" s="149" t="str">
        <f>IFERROR(__xludf.DUMMYFUNCTION("""COMPUTED_VALUE"""),"FL")</f>
        <v>FL</v>
      </c>
      <c r="D1987" s="149" t="str">
        <f>IFERROR(__xludf.DUMMYFUNCTION("""COMPUTED_VALUE"""),"USA")</f>
        <v>USA</v>
      </c>
      <c r="E1987" s="156">
        <f>IFERROR(__xludf.DUMMYFUNCTION("""COMPUTED_VALUE"""),43573.0)</f>
        <v>43573</v>
      </c>
      <c r="F1987" s="129">
        <f>IFERROR(__xludf.DUMMYFUNCTION("""COMPUTED_VALUE"""),43582.0)</f>
        <v>43582</v>
      </c>
      <c r="G1987" s="154"/>
      <c r="H1987" s="131">
        <f>IFERROR(__xludf.DUMMYFUNCTION("""COMPUTED_VALUE"""),237855.0)</f>
        <v>237855</v>
      </c>
      <c r="I1987" s="144"/>
      <c r="J1987" s="129">
        <f>IFERROR(__xludf.DUMMYFUNCTION("""COMPUTED_VALUE"""),43589.0)</f>
        <v>43589</v>
      </c>
      <c r="K1987" s="133">
        <f>IFERROR(__xludf.DUMMYFUNCTION("""COMPUTED_VALUE"""),9.0)</f>
        <v>9</v>
      </c>
      <c r="L1987" s="133">
        <f>IFERROR(__xludf.DUMMYFUNCTION("""COMPUTED_VALUE"""),7.0)</f>
        <v>7</v>
      </c>
      <c r="M1987" s="133">
        <f>IFERROR(__xludf.DUMMYFUNCTION("""COMPUTED_VALUE"""),16.0)</f>
        <v>16</v>
      </c>
      <c r="N1987" s="152" t="str">
        <f>IFERROR(__xludf.DUMMYFUNCTION("""COMPUTED_VALUE"""),"Model 3 Performance")</f>
        <v>Model 3 Performance</v>
      </c>
      <c r="O1987" s="152" t="str">
        <f>IFERROR(__xludf.DUMMYFUNCTION("""COMPUTED_VALUE"""),"Midnight Silver Metallic")</f>
        <v>Midnight Silver Metallic</v>
      </c>
      <c r="P1987" s="153" t="str">
        <f>IFERROR(__xludf.DUMMYFUNCTION("""COMPUTED_VALUE"""),"20 inch Sport")</f>
        <v>20 inch Sport</v>
      </c>
      <c r="Q1987" s="152" t="str">
        <f>IFERROR(__xludf.DUMMYFUNCTION("""COMPUTED_VALUE"""),"Black seats")</f>
        <v>Black seats</v>
      </c>
      <c r="R1987" s="149" t="str">
        <f>IFERROR(__xludf.DUMMYFUNCTION("""COMPUTED_VALUE"""),"Full Self-Driving")</f>
        <v>Full Self-Driving</v>
      </c>
      <c r="S1987" s="149"/>
      <c r="T1987" s="145"/>
      <c r="U1987" s="145"/>
      <c r="V1987" s="145"/>
      <c r="W1987" s="145"/>
      <c r="X1987" s="137" t="str">
        <f>IFERROR(__xludf.DUMMYFUNCTION("""COMPUTED_VALUE"""),"Excellent")</f>
        <v>Excellent</v>
      </c>
      <c r="Y1987" s="138" t="str">
        <f>IFERROR(__xludf.DUMMYFUNCTION("""COMPUTED_VALUE"""),"Excellent")</f>
        <v>Excellent</v>
      </c>
      <c r="Z1987" s="138" t="str">
        <f>IFERROR(__xludf.DUMMYFUNCTION("""COMPUTED_VALUE"""),"Good")</f>
        <v>Good</v>
      </c>
      <c r="AA1987" s="138" t="str">
        <f>IFERROR(__xludf.DUMMYFUNCTION("""COMPUTED_VALUE"""),"Very Good")</f>
        <v>Very Good</v>
      </c>
      <c r="AB1987" s="138" t="str">
        <f>IFERROR(__xludf.DUMMYFUNCTION("""COMPUTED_VALUE"""),"Excellent")</f>
        <v>Excellent</v>
      </c>
      <c r="AC1987" s="139">
        <f>IFERROR(__xludf.DUMMYFUNCTION("""COMPUTED_VALUE"""),4.0)</f>
        <v>4</v>
      </c>
      <c r="AD1987" s="139">
        <f>IFERROR(__xludf.DUMMYFUNCTION("""COMPUTED_VALUE"""),1.0)</f>
        <v>1</v>
      </c>
      <c r="AE1987" s="139">
        <f>IFERROR(__xludf.DUMMYFUNCTION("""COMPUTED_VALUE"""),0.0)</f>
        <v>0</v>
      </c>
      <c r="AF1987" s="140"/>
      <c r="AG1987" s="145" t="str">
        <f>IFERROR(__xludf.DUMMYFUNCTION("""COMPUTED_VALUE"""),"One paint chip, several inclusions in the paint on the hood and other panels that are going to be touched up.")</f>
        <v>One paint chip, several inclusions in the paint on the hood and other panels that are going to be touched up.</v>
      </c>
      <c r="AH1987" s="157">
        <f>IFERROR(__xludf.DUMMYFUNCTION("""COMPUTED_VALUE"""),43616.76691420139)</f>
        <v>43616.76691</v>
      </c>
      <c r="AI1987" s="138"/>
      <c r="AJ1987" s="138"/>
      <c r="AK1987" s="138"/>
      <c r="AL1987" s="142"/>
    </row>
    <row r="1988" ht="20.25" customHeight="1">
      <c r="A1988" s="155" t="str">
        <f>IFERROR(__xludf.DUMMYFUNCTION("""COMPUTED_VALUE"""),"marccastor")</f>
        <v>marccastor</v>
      </c>
      <c r="B1988" s="149" t="str">
        <f>IFERROR(__xludf.DUMMYFUNCTION("""COMPUTED_VALUE"""),"Barcelona")</f>
        <v>Barcelona</v>
      </c>
      <c r="C1988" s="149"/>
      <c r="D1988" s="149" t="str">
        <f>IFERROR(__xludf.DUMMYFUNCTION("""COMPUTED_VALUE"""),"Spain")</f>
        <v>Spain</v>
      </c>
      <c r="E1988" s="156">
        <f>IFERROR(__xludf.DUMMYFUNCTION("""COMPUTED_VALUE"""),43573.0)</f>
        <v>43573</v>
      </c>
      <c r="F1988" s="129">
        <f>IFERROR(__xludf.DUMMYFUNCTION("""COMPUTED_VALUE"""),43619.0)</f>
        <v>43619</v>
      </c>
      <c r="G1988" s="154"/>
      <c r="H1988" s="131">
        <f>IFERROR(__xludf.DUMMYFUNCTION("""COMPUTED_VALUE"""),376229.0)</f>
        <v>376229</v>
      </c>
      <c r="I1988" s="144"/>
      <c r="J1988" s="129">
        <f>IFERROR(__xludf.DUMMYFUNCTION("""COMPUTED_VALUE"""),43637.0)</f>
        <v>43637</v>
      </c>
      <c r="K1988" s="133">
        <f>IFERROR(__xludf.DUMMYFUNCTION("""COMPUTED_VALUE"""),46.0)</f>
        <v>46</v>
      </c>
      <c r="L1988" s="133">
        <f>IFERROR(__xludf.DUMMYFUNCTION("""COMPUTED_VALUE"""),18.0)</f>
        <v>18</v>
      </c>
      <c r="M1988" s="133">
        <f>IFERROR(__xludf.DUMMYFUNCTION("""COMPUTED_VALUE"""),64.0)</f>
        <v>64</v>
      </c>
      <c r="N1988" s="152" t="str">
        <f>IFERROR(__xludf.DUMMYFUNCTION("""COMPUTED_VALUE"""),"Model 3 SR+")</f>
        <v>Model 3 SR+</v>
      </c>
      <c r="O1988" s="152" t="str">
        <f>IFERROR(__xludf.DUMMYFUNCTION("""COMPUTED_VALUE"""),"Deep Blue Metallic")</f>
        <v>Deep Blue Metallic</v>
      </c>
      <c r="P1988" s="153" t="str">
        <f>IFERROR(__xludf.DUMMYFUNCTION("""COMPUTED_VALUE"""),"18 inch Aero")</f>
        <v>18 inch Aero</v>
      </c>
      <c r="Q1988" s="152" t="str">
        <f>IFERROR(__xludf.DUMMYFUNCTION("""COMPUTED_VALUE"""),"Black seats")</f>
        <v>Black seats</v>
      </c>
      <c r="R1988" s="149" t="str">
        <f>IFERROR(__xludf.DUMMYFUNCTION("""COMPUTED_VALUE"""),"Autopilot")</f>
        <v>Autopilot</v>
      </c>
      <c r="S1988" s="149"/>
      <c r="T1988" s="145"/>
      <c r="U1988" s="145"/>
      <c r="V1988" s="145"/>
      <c r="W1988" s="145"/>
      <c r="X1988" s="137" t="str">
        <f>IFERROR(__xludf.DUMMYFUNCTION("""COMPUTED_VALUE"""),"Excellent")</f>
        <v>Excellent</v>
      </c>
      <c r="Y1988" s="138" t="str">
        <f>IFERROR(__xludf.DUMMYFUNCTION("""COMPUTED_VALUE"""),"Excellent")</f>
        <v>Excellent</v>
      </c>
      <c r="Z1988" s="138" t="str">
        <f>IFERROR(__xludf.DUMMYFUNCTION("""COMPUTED_VALUE"""),"Excellent")</f>
        <v>Excellent</v>
      </c>
      <c r="AA1988" s="138" t="str">
        <f>IFERROR(__xludf.DUMMYFUNCTION("""COMPUTED_VALUE"""),"Very Good")</f>
        <v>Very Good</v>
      </c>
      <c r="AB1988" s="138" t="str">
        <f>IFERROR(__xludf.DUMMYFUNCTION("""COMPUTED_VALUE"""),"Very Good")</f>
        <v>Very Good</v>
      </c>
      <c r="AC1988" s="139">
        <f>IFERROR(__xludf.DUMMYFUNCTION("""COMPUTED_VALUE"""),0.0)</f>
        <v>0</v>
      </c>
      <c r="AD1988" s="139">
        <f>IFERROR(__xludf.DUMMYFUNCTION("""COMPUTED_VALUE"""),0.0)</f>
        <v>0</v>
      </c>
      <c r="AE1988" s="139">
        <f>IFERROR(__xludf.DUMMYFUNCTION("""COMPUTED_VALUE"""),0.0)</f>
        <v>0</v>
      </c>
      <c r="AF1988" s="140"/>
      <c r="AG1988" s="145"/>
      <c r="AH1988" s="157">
        <f>IFERROR(__xludf.DUMMYFUNCTION("""COMPUTED_VALUE"""),43661.13897690972)</f>
        <v>43661.13898</v>
      </c>
      <c r="AI1988" s="138"/>
      <c r="AJ1988" s="138"/>
      <c r="AK1988" s="138"/>
      <c r="AL1988" s="142"/>
    </row>
    <row r="1989" ht="20.25" customHeight="1">
      <c r="A1989" s="155" t="str">
        <f>IFERROR(__xludf.DUMMYFUNCTION("""COMPUTED_VALUE"""),"Samy364")</f>
        <v>Samy364</v>
      </c>
      <c r="B1989" s="149" t="str">
        <f>IFERROR(__xludf.DUMMYFUNCTION("""COMPUTED_VALUE"""),"Yorba Linda")</f>
        <v>Yorba Linda</v>
      </c>
      <c r="C1989" s="149" t="str">
        <f>IFERROR(__xludf.DUMMYFUNCTION("""COMPUTED_VALUE"""),"CA")</f>
        <v>CA</v>
      </c>
      <c r="D1989" s="149" t="str">
        <f>IFERROR(__xludf.DUMMYFUNCTION("""COMPUTED_VALUE"""),"USA")</f>
        <v>USA</v>
      </c>
      <c r="E1989" s="156">
        <f>IFERROR(__xludf.DUMMYFUNCTION("""COMPUTED_VALUE"""),43573.0)</f>
        <v>43573</v>
      </c>
      <c r="F1989" s="129">
        <f>IFERROR(__xludf.DUMMYFUNCTION("""COMPUTED_VALUE"""),43592.0)</f>
        <v>43592</v>
      </c>
      <c r="G1989" s="154"/>
      <c r="H1989" s="131">
        <f>IFERROR(__xludf.DUMMYFUNCTION("""COMPUTED_VALUE"""),368114.0)</f>
        <v>368114</v>
      </c>
      <c r="I1989" s="144" t="str">
        <f>IFERROR(__xludf.DUMMYFUNCTION("""COMPUTED_VALUE"""),"04/19")</f>
        <v>04/19</v>
      </c>
      <c r="J1989" s="129">
        <f>IFERROR(__xludf.DUMMYFUNCTION("""COMPUTED_VALUE"""),43594.0)</f>
        <v>43594</v>
      </c>
      <c r="K1989" s="133">
        <f>IFERROR(__xludf.DUMMYFUNCTION("""COMPUTED_VALUE"""),19.0)</f>
        <v>19</v>
      </c>
      <c r="L1989" s="133">
        <f>IFERROR(__xludf.DUMMYFUNCTION("""COMPUTED_VALUE"""),2.0)</f>
        <v>2</v>
      </c>
      <c r="M1989" s="133">
        <f>IFERROR(__xludf.DUMMYFUNCTION("""COMPUTED_VALUE"""),21.0)</f>
        <v>21</v>
      </c>
      <c r="N1989" s="152" t="str">
        <f>IFERROR(__xludf.DUMMYFUNCTION("""COMPUTED_VALUE"""),"Model 3 Performance")</f>
        <v>Model 3 Performance</v>
      </c>
      <c r="O1989" s="152" t="str">
        <f>IFERROR(__xludf.DUMMYFUNCTION("""COMPUTED_VALUE"""),"Pearl White Multi-Coat")</f>
        <v>Pearl White Multi-Coat</v>
      </c>
      <c r="P1989" s="153" t="str">
        <f>IFERROR(__xludf.DUMMYFUNCTION("""COMPUTED_VALUE"""),"20 inch Sport")</f>
        <v>20 inch Sport</v>
      </c>
      <c r="Q1989" s="152" t="str">
        <f>IFERROR(__xludf.DUMMYFUNCTION("""COMPUTED_VALUE"""),"White seats")</f>
        <v>White seats</v>
      </c>
      <c r="R1989" s="149" t="str">
        <f>IFERROR(__xludf.DUMMYFUNCTION("""COMPUTED_VALUE"""),"Full Self-Driving")</f>
        <v>Full Self-Driving</v>
      </c>
      <c r="S1989" s="149"/>
      <c r="T1989" s="145"/>
      <c r="U1989" s="145"/>
      <c r="V1989" s="145"/>
      <c r="W1989" s="145"/>
      <c r="X1989" s="137" t="str">
        <f>IFERROR(__xludf.DUMMYFUNCTION("""COMPUTED_VALUE"""),"Excellent")</f>
        <v>Excellent</v>
      </c>
      <c r="Y1989" s="138" t="str">
        <f>IFERROR(__xludf.DUMMYFUNCTION("""COMPUTED_VALUE"""),"Excellent")</f>
        <v>Excellent</v>
      </c>
      <c r="Z1989" s="138" t="str">
        <f>IFERROR(__xludf.DUMMYFUNCTION("""COMPUTED_VALUE"""),"Excellent")</f>
        <v>Excellent</v>
      </c>
      <c r="AA1989" s="138" t="str">
        <f>IFERROR(__xludf.DUMMYFUNCTION("""COMPUTED_VALUE"""),"Poor")</f>
        <v>Poor</v>
      </c>
      <c r="AB1989" s="138" t="str">
        <f>IFERROR(__xludf.DUMMYFUNCTION("""COMPUTED_VALUE"""),"Very Good")</f>
        <v>Very Good</v>
      </c>
      <c r="AC1989" s="139">
        <f>IFERROR(__xludf.DUMMYFUNCTION("""COMPUTED_VALUE"""),0.0)</f>
        <v>0</v>
      </c>
      <c r="AD1989" s="139">
        <f>IFERROR(__xludf.DUMMYFUNCTION("""COMPUTED_VALUE"""),0.0)</f>
        <v>0</v>
      </c>
      <c r="AE1989" s="139">
        <f>IFERROR(__xludf.DUMMYFUNCTION("""COMPUTED_VALUE"""),0.0)</f>
        <v>0</v>
      </c>
      <c r="AF1989" s="140"/>
      <c r="AG1989" s="145" t="str">
        <f>IFERROR(__xludf.DUMMYFUNCTION("""COMPUTED_VALUE"""),"Car is very clean from initial inspection.  I did encounter an issue where Autopilot was not calibrating but that was resolved witha software update.")</f>
        <v>Car is very clean from initial inspection.  I did encounter an issue where Autopilot was not calibrating but that was resolved witha software update.</v>
      </c>
      <c r="AH1989" s="157">
        <f>IFERROR(__xludf.DUMMYFUNCTION("""COMPUTED_VALUE"""),43595.33651861112)</f>
        <v>43595.33652</v>
      </c>
      <c r="AI1989" s="138"/>
      <c r="AJ1989" s="138"/>
      <c r="AK1989" s="138"/>
      <c r="AL1989" s="142"/>
    </row>
    <row r="1990" ht="20.25" customHeight="1">
      <c r="A1990" s="155" t="str">
        <f>IFERROR(__xludf.DUMMYFUNCTION("""COMPUTED_VALUE"""),"Danny Brown")</f>
        <v>Danny Brown</v>
      </c>
      <c r="B1990" s="149" t="str">
        <f>IFERROR(__xludf.DUMMYFUNCTION("""COMPUTED_VALUE"""),"Huntsville")</f>
        <v>Huntsville</v>
      </c>
      <c r="C1990" s="149" t="str">
        <f>IFERROR(__xludf.DUMMYFUNCTION("""COMPUTED_VALUE"""),"AL")</f>
        <v>AL</v>
      </c>
      <c r="D1990" s="149" t="str">
        <f>IFERROR(__xludf.DUMMYFUNCTION("""COMPUTED_VALUE"""),"USA")</f>
        <v>USA</v>
      </c>
      <c r="E1990" s="156">
        <f>IFERROR(__xludf.DUMMYFUNCTION("""COMPUTED_VALUE"""),43572.0)</f>
        <v>43572</v>
      </c>
      <c r="F1990" s="129">
        <f>IFERROR(__xludf.DUMMYFUNCTION("""COMPUTED_VALUE"""),43581.0)</f>
        <v>43581</v>
      </c>
      <c r="G1990" s="154"/>
      <c r="H1990" s="131">
        <f>IFERROR(__xludf.DUMMYFUNCTION("""COMPUTED_VALUE"""),231573.0)</f>
        <v>231573</v>
      </c>
      <c r="I1990" s="144" t="str">
        <f>IFERROR(__xludf.DUMMYFUNCTION("""COMPUTED_VALUE"""),"04/19")</f>
        <v>04/19</v>
      </c>
      <c r="J1990" s="129">
        <f>IFERROR(__xludf.DUMMYFUNCTION("""COMPUTED_VALUE"""),43588.0)</f>
        <v>43588</v>
      </c>
      <c r="K1990" s="133">
        <f>IFERROR(__xludf.DUMMYFUNCTION("""COMPUTED_VALUE"""),9.0)</f>
        <v>9</v>
      </c>
      <c r="L1990" s="133">
        <f>IFERROR(__xludf.DUMMYFUNCTION("""COMPUTED_VALUE"""),7.0)</f>
        <v>7</v>
      </c>
      <c r="M1990" s="133">
        <f>IFERROR(__xludf.DUMMYFUNCTION("""COMPUTED_VALUE"""),16.0)</f>
        <v>16</v>
      </c>
      <c r="N1990" s="152" t="str">
        <f>IFERROR(__xludf.DUMMYFUNCTION("""COMPUTED_VALUE"""),"Model 3 Performance")</f>
        <v>Model 3 Performance</v>
      </c>
      <c r="O1990" s="152" t="str">
        <f>IFERROR(__xludf.DUMMYFUNCTION("""COMPUTED_VALUE"""),"Midnight Silver Metallic")</f>
        <v>Midnight Silver Metallic</v>
      </c>
      <c r="P1990" s="153" t="str">
        <f>IFERROR(__xludf.DUMMYFUNCTION("""COMPUTED_VALUE"""),"20 inch Sport")</f>
        <v>20 inch Sport</v>
      </c>
      <c r="Q1990" s="152" t="str">
        <f>IFERROR(__xludf.DUMMYFUNCTION("""COMPUTED_VALUE"""),"White seats")</f>
        <v>White seats</v>
      </c>
      <c r="R1990" s="149" t="str">
        <f>IFERROR(__xludf.DUMMYFUNCTION("""COMPUTED_VALUE"""),"Full Self-Driving")</f>
        <v>Full Self-Driving</v>
      </c>
      <c r="S1990" s="149"/>
      <c r="T1990" s="145"/>
      <c r="U1990" s="145"/>
      <c r="V1990" s="145"/>
      <c r="W1990" s="145"/>
      <c r="X1990" s="137" t="str">
        <f>IFERROR(__xludf.DUMMYFUNCTION("""COMPUTED_VALUE"""),"Excellent")</f>
        <v>Excellent</v>
      </c>
      <c r="Y1990" s="138" t="str">
        <f>IFERROR(__xludf.DUMMYFUNCTION("""COMPUTED_VALUE"""),"Good")</f>
        <v>Good</v>
      </c>
      <c r="Z1990" s="138" t="str">
        <f>IFERROR(__xludf.DUMMYFUNCTION("""COMPUTED_VALUE"""),"Excellent")</f>
        <v>Excellent</v>
      </c>
      <c r="AA1990" s="138" t="str">
        <f>IFERROR(__xludf.DUMMYFUNCTION("""COMPUTED_VALUE"""),"Very Good")</f>
        <v>Very Good</v>
      </c>
      <c r="AB1990" s="138" t="str">
        <f>IFERROR(__xludf.DUMMYFUNCTION("""COMPUTED_VALUE"""),"Very Good")</f>
        <v>Very Good</v>
      </c>
      <c r="AC1990" s="139">
        <f>IFERROR(__xludf.DUMMYFUNCTION("""COMPUTED_VALUE"""),1.0)</f>
        <v>1</v>
      </c>
      <c r="AD1990" s="139"/>
      <c r="AE1990" s="139"/>
      <c r="AF1990" s="140"/>
      <c r="AG1990" s="145" t="str">
        <f>IFERROR(__xludf.DUMMYFUNCTION("""COMPUTED_VALUE"""),"CF spoiler installed at factory; rear seat center armrest leather torn")</f>
        <v>CF spoiler installed at factory; rear seat center armrest leather torn</v>
      </c>
      <c r="AH1990" s="157">
        <f>IFERROR(__xludf.DUMMYFUNCTION("""COMPUTED_VALUE"""),43589.26502223379)</f>
        <v>43589.26502</v>
      </c>
      <c r="AI1990" s="138"/>
      <c r="AJ1990" s="138"/>
      <c r="AK1990" s="138"/>
      <c r="AL1990" s="142"/>
    </row>
    <row r="1991" ht="20.25" customHeight="1">
      <c r="A1991" s="155" t="str">
        <f>IFERROR(__xludf.DUMMYFUNCTION("""COMPUTED_VALUE"""),"dwalme")</f>
        <v>dwalme</v>
      </c>
      <c r="B1991" s="149" t="str">
        <f>IFERROR(__xludf.DUMMYFUNCTION("""COMPUTED_VALUE"""),"Cleveland")</f>
        <v>Cleveland</v>
      </c>
      <c r="C1991" s="149" t="str">
        <f>IFERROR(__xludf.DUMMYFUNCTION("""COMPUTED_VALUE"""),"OH")</f>
        <v>OH</v>
      </c>
      <c r="D1991" s="149" t="str">
        <f>IFERROR(__xludf.DUMMYFUNCTION("""COMPUTED_VALUE"""),"USA")</f>
        <v>USA</v>
      </c>
      <c r="E1991" s="156">
        <f>IFERROR(__xludf.DUMMYFUNCTION("""COMPUTED_VALUE"""),43572.0)</f>
        <v>43572</v>
      </c>
      <c r="F1991" s="129">
        <f>IFERROR(__xludf.DUMMYFUNCTION("""COMPUTED_VALUE"""),43582.0)</f>
        <v>43582</v>
      </c>
      <c r="G1991" s="154"/>
      <c r="H1991" s="131">
        <f>IFERROR(__xludf.DUMMYFUNCTION("""COMPUTED_VALUE"""),231360.0)</f>
        <v>231360</v>
      </c>
      <c r="I1991" s="144" t="str">
        <f>IFERROR(__xludf.DUMMYFUNCTION("""COMPUTED_VALUE"""),"04/19")</f>
        <v>04/19</v>
      </c>
      <c r="J1991" s="129">
        <f>IFERROR(__xludf.DUMMYFUNCTION("""COMPUTED_VALUE"""),43602.0)</f>
        <v>43602</v>
      </c>
      <c r="K1991" s="133">
        <f>IFERROR(__xludf.DUMMYFUNCTION("""COMPUTED_VALUE"""),10.0)</f>
        <v>10</v>
      </c>
      <c r="L1991" s="133">
        <f>IFERROR(__xludf.DUMMYFUNCTION("""COMPUTED_VALUE"""),20.0)</f>
        <v>20</v>
      </c>
      <c r="M1991" s="133">
        <f>IFERROR(__xludf.DUMMYFUNCTION("""COMPUTED_VALUE"""),30.0)</f>
        <v>30</v>
      </c>
      <c r="N1991" s="152" t="str">
        <f>IFERROR(__xludf.DUMMYFUNCTION("""COMPUTED_VALUE"""),"Model 3 Performance")</f>
        <v>Model 3 Performance</v>
      </c>
      <c r="O1991" s="152" t="str">
        <f>IFERROR(__xludf.DUMMYFUNCTION("""COMPUTED_VALUE"""),"Deep Blue Metallic")</f>
        <v>Deep Blue Metallic</v>
      </c>
      <c r="P1991" s="153" t="str">
        <f>IFERROR(__xludf.DUMMYFUNCTION("""COMPUTED_VALUE"""),"20 inch Sport")</f>
        <v>20 inch Sport</v>
      </c>
      <c r="Q1991" s="152" t="str">
        <f>IFERROR(__xludf.DUMMYFUNCTION("""COMPUTED_VALUE"""),"Black seats")</f>
        <v>Black seats</v>
      </c>
      <c r="R1991" s="149" t="str">
        <f>IFERROR(__xludf.DUMMYFUNCTION("""COMPUTED_VALUE"""),"Full Self-Driving")</f>
        <v>Full Self-Driving</v>
      </c>
      <c r="S1991" s="149"/>
      <c r="T1991" s="145"/>
      <c r="U1991" s="145"/>
      <c r="V1991" s="145"/>
      <c r="W1991" s="145"/>
      <c r="X1991" s="137" t="str">
        <f>IFERROR(__xludf.DUMMYFUNCTION("""COMPUTED_VALUE"""),"Very Good")</f>
        <v>Very Good</v>
      </c>
      <c r="Y1991" s="138" t="str">
        <f>IFERROR(__xludf.DUMMYFUNCTION("""COMPUTED_VALUE"""),"Very Good")</f>
        <v>Very Good</v>
      </c>
      <c r="Z1991" s="138" t="str">
        <f>IFERROR(__xludf.DUMMYFUNCTION("""COMPUTED_VALUE"""),"Very Good")</f>
        <v>Very Good</v>
      </c>
      <c r="AA1991" s="138" t="str">
        <f>IFERROR(__xludf.DUMMYFUNCTION("""COMPUTED_VALUE"""),"Good")</f>
        <v>Good</v>
      </c>
      <c r="AB1991" s="138" t="str">
        <f>IFERROR(__xludf.DUMMYFUNCTION("""COMPUTED_VALUE"""),"Good")</f>
        <v>Good</v>
      </c>
      <c r="AC1991" s="139">
        <f>IFERROR(__xludf.DUMMYFUNCTION("""COMPUTED_VALUE"""),2.0)</f>
        <v>2</v>
      </c>
      <c r="AD1991" s="139"/>
      <c r="AE1991" s="139"/>
      <c r="AF1991" s="140"/>
      <c r="AG1991" s="145" t="str">
        <f>IFERROR(__xludf.DUMMYFUNCTION("""COMPUTED_VALUE"""),"Greasy hand marks on inside B pillar could be seen from 20ft away.  Shocked they delivered the car like that.  Passenger side of rear spoiler lifting.")</f>
        <v>Greasy hand marks on inside B pillar could be seen from 20ft away.  Shocked they delivered the car like that.  Passenger side of rear spoiler lifting.</v>
      </c>
      <c r="AH1991" s="157">
        <f>IFERROR(__xludf.DUMMYFUNCTION("""COMPUTED_VALUE"""),43604.50859572917)</f>
        <v>43604.5086</v>
      </c>
      <c r="AI1991" s="138"/>
      <c r="AJ1991" s="138"/>
      <c r="AK1991" s="138"/>
      <c r="AL1991" s="142"/>
    </row>
    <row r="1992" ht="20.25" customHeight="1">
      <c r="A1992" s="155" t="str">
        <f>IFERROR(__xludf.DUMMYFUNCTION("""COMPUTED_VALUE"""),"m3")</f>
        <v>m3</v>
      </c>
      <c r="B1992" s="149" t="str">
        <f>IFERROR(__xludf.DUMMYFUNCTION("""COMPUTED_VALUE"""),"Mountain View")</f>
        <v>Mountain View</v>
      </c>
      <c r="C1992" s="149" t="str">
        <f>IFERROR(__xludf.DUMMYFUNCTION("""COMPUTED_VALUE"""),"CA")</f>
        <v>CA</v>
      </c>
      <c r="D1992" s="149" t="str">
        <f>IFERROR(__xludf.DUMMYFUNCTION("""COMPUTED_VALUE"""),"USA")</f>
        <v>USA</v>
      </c>
      <c r="E1992" s="156">
        <f>IFERROR(__xludf.DUMMYFUNCTION("""COMPUTED_VALUE"""),43572.0)</f>
        <v>43572</v>
      </c>
      <c r="F1992" s="129">
        <f>IFERROR(__xludf.DUMMYFUNCTION("""COMPUTED_VALUE"""),43572.0)</f>
        <v>43572</v>
      </c>
      <c r="G1992" s="154"/>
      <c r="H1992" s="131">
        <f>IFERROR(__xludf.DUMMYFUNCTION("""COMPUTED_VALUE"""),307555.0)</f>
        <v>307555</v>
      </c>
      <c r="I1992" s="144" t="str">
        <f>IFERROR(__xludf.DUMMYFUNCTION("""COMPUTED_VALUE"""),"04/19")</f>
        <v>04/19</v>
      </c>
      <c r="J1992" s="129">
        <f>IFERROR(__xludf.DUMMYFUNCTION("""COMPUTED_VALUE"""),43575.0)</f>
        <v>43575</v>
      </c>
      <c r="K1992" s="133">
        <f>IFERROR(__xludf.DUMMYFUNCTION("""COMPUTED_VALUE"""),0.0)</f>
        <v>0</v>
      </c>
      <c r="L1992" s="133">
        <f>IFERROR(__xludf.DUMMYFUNCTION("""COMPUTED_VALUE"""),3.0)</f>
        <v>3</v>
      </c>
      <c r="M1992" s="133">
        <f>IFERROR(__xludf.DUMMYFUNCTION("""COMPUTED_VALUE"""),3.0)</f>
        <v>3</v>
      </c>
      <c r="N1992" s="152" t="str">
        <f>IFERROR(__xludf.DUMMYFUNCTION("""COMPUTED_VALUE"""),"Model 3 SR")</f>
        <v>Model 3 SR</v>
      </c>
      <c r="O1992" s="152" t="str">
        <f>IFERROR(__xludf.DUMMYFUNCTION("""COMPUTED_VALUE"""),"Midnight Silver Metallic")</f>
        <v>Midnight Silver Metallic</v>
      </c>
      <c r="P1992" s="153" t="str">
        <f>IFERROR(__xludf.DUMMYFUNCTION("""COMPUTED_VALUE"""),"18 inch Aero")</f>
        <v>18 inch Aero</v>
      </c>
      <c r="Q1992" s="152" t="str">
        <f>IFERROR(__xludf.DUMMYFUNCTION("""COMPUTED_VALUE"""),"Black seats")</f>
        <v>Black seats</v>
      </c>
      <c r="R1992" s="149" t="str">
        <f>IFERROR(__xludf.DUMMYFUNCTION("""COMPUTED_VALUE"""),"None")</f>
        <v>None</v>
      </c>
      <c r="S1992" s="149"/>
      <c r="T1992" s="145"/>
      <c r="U1992" s="145"/>
      <c r="V1992" s="145"/>
      <c r="W1992" s="145"/>
      <c r="X1992" s="137" t="str">
        <f>IFERROR(__xludf.DUMMYFUNCTION("""COMPUTED_VALUE"""),"Excellent")</f>
        <v>Excellent</v>
      </c>
      <c r="Y1992" s="138" t="str">
        <f>IFERROR(__xludf.DUMMYFUNCTION("""COMPUTED_VALUE"""),"Excellent")</f>
        <v>Excellent</v>
      </c>
      <c r="Z1992" s="138" t="str">
        <f>IFERROR(__xludf.DUMMYFUNCTION("""COMPUTED_VALUE"""),"Excellent")</f>
        <v>Excellent</v>
      </c>
      <c r="AA1992" s="138" t="str">
        <f>IFERROR(__xludf.DUMMYFUNCTION("""COMPUTED_VALUE"""),"Excellent")</f>
        <v>Excellent</v>
      </c>
      <c r="AB1992" s="138" t="str">
        <f>IFERROR(__xludf.DUMMYFUNCTION("""COMPUTED_VALUE"""),"Excellent")</f>
        <v>Excellent</v>
      </c>
      <c r="AC1992" s="139"/>
      <c r="AD1992" s="139"/>
      <c r="AE1992" s="139"/>
      <c r="AF1992" s="140"/>
      <c r="AG1992" s="145"/>
      <c r="AH1992" s="157">
        <f>IFERROR(__xludf.DUMMYFUNCTION("""COMPUTED_VALUE"""),43576.798254999994)</f>
        <v>43576.79826</v>
      </c>
      <c r="AI1992" s="138"/>
      <c r="AJ1992" s="138"/>
      <c r="AK1992" s="138"/>
      <c r="AL1992" s="142"/>
    </row>
    <row r="1993" ht="20.25" customHeight="1">
      <c r="A1993" s="155" t="str">
        <f>IFERROR(__xludf.DUMMYFUNCTION("""COMPUTED_VALUE"""),"pearisian")</f>
        <v>pearisian</v>
      </c>
      <c r="B1993" s="149" t="str">
        <f>IFERROR(__xludf.DUMMYFUNCTION("""COMPUTED_VALUE"""),"San Jose")</f>
        <v>San Jose</v>
      </c>
      <c r="C1993" s="149" t="str">
        <f>IFERROR(__xludf.DUMMYFUNCTION("""COMPUTED_VALUE"""),"CA")</f>
        <v>CA</v>
      </c>
      <c r="D1993" s="149" t="str">
        <f>IFERROR(__xludf.DUMMYFUNCTION("""COMPUTED_VALUE"""),"USA")</f>
        <v>USA</v>
      </c>
      <c r="E1993" s="156">
        <f>IFERROR(__xludf.DUMMYFUNCTION("""COMPUTED_VALUE"""),43572.0)</f>
        <v>43572</v>
      </c>
      <c r="F1993" s="129">
        <f>IFERROR(__xludf.DUMMYFUNCTION("""COMPUTED_VALUE"""),43587.0)</f>
        <v>43587</v>
      </c>
      <c r="G1993" s="154"/>
      <c r="H1993" s="131">
        <f>IFERROR(__xludf.DUMMYFUNCTION("""COMPUTED_VALUE"""),237602.0)</f>
        <v>237602</v>
      </c>
      <c r="I1993" s="144"/>
      <c r="J1993" s="129">
        <f>IFERROR(__xludf.DUMMYFUNCTION("""COMPUTED_VALUE"""),43588.0)</f>
        <v>43588</v>
      </c>
      <c r="K1993" s="133">
        <f>IFERROR(__xludf.DUMMYFUNCTION("""COMPUTED_VALUE"""),15.0)</f>
        <v>15</v>
      </c>
      <c r="L1993" s="133">
        <f>IFERROR(__xludf.DUMMYFUNCTION("""COMPUTED_VALUE"""),1.0)</f>
        <v>1</v>
      </c>
      <c r="M1993" s="133">
        <f>IFERROR(__xludf.DUMMYFUNCTION("""COMPUTED_VALUE"""),16.0)</f>
        <v>16</v>
      </c>
      <c r="N1993" s="152" t="str">
        <f>IFERROR(__xludf.DUMMYFUNCTION("""COMPUTED_VALUE"""),"Model 3 Performance")</f>
        <v>Model 3 Performance</v>
      </c>
      <c r="O1993" s="152" t="str">
        <f>IFERROR(__xludf.DUMMYFUNCTION("""COMPUTED_VALUE"""),"Midnight Silver Metallic")</f>
        <v>Midnight Silver Metallic</v>
      </c>
      <c r="P1993" s="153" t="str">
        <f>IFERROR(__xludf.DUMMYFUNCTION("""COMPUTED_VALUE"""),"20 inch Sport")</f>
        <v>20 inch Sport</v>
      </c>
      <c r="Q1993" s="152" t="str">
        <f>IFERROR(__xludf.DUMMYFUNCTION("""COMPUTED_VALUE"""),"Black seats")</f>
        <v>Black seats</v>
      </c>
      <c r="R1993" s="149" t="str">
        <f>IFERROR(__xludf.DUMMYFUNCTION("""COMPUTED_VALUE"""),"Full Self-Driving")</f>
        <v>Full Self-Driving</v>
      </c>
      <c r="S1993" s="149"/>
      <c r="T1993" s="145"/>
      <c r="U1993" s="145"/>
      <c r="V1993" s="145"/>
      <c r="W1993" s="145"/>
      <c r="X1993" s="137" t="str">
        <f>IFERROR(__xludf.DUMMYFUNCTION("""COMPUTED_VALUE"""),"Excellent")</f>
        <v>Excellent</v>
      </c>
      <c r="Y1993" s="138" t="str">
        <f>IFERROR(__xludf.DUMMYFUNCTION("""COMPUTED_VALUE"""),"Very Good")</f>
        <v>Very Good</v>
      </c>
      <c r="Z1993" s="138" t="str">
        <f>IFERROR(__xludf.DUMMYFUNCTION("""COMPUTED_VALUE"""),"Excellent")</f>
        <v>Excellent</v>
      </c>
      <c r="AA1993" s="138" t="str">
        <f>IFERROR(__xludf.DUMMYFUNCTION("""COMPUTED_VALUE"""),"Poor")</f>
        <v>Poor</v>
      </c>
      <c r="AB1993" s="138" t="str">
        <f>IFERROR(__xludf.DUMMYFUNCTION("""COMPUTED_VALUE"""),"Excellent")</f>
        <v>Excellent</v>
      </c>
      <c r="AC1993" s="139"/>
      <c r="AD1993" s="139"/>
      <c r="AE1993" s="139"/>
      <c r="AF1993" s="140"/>
      <c r="AG1993" s="145"/>
      <c r="AH1993" s="157">
        <f>IFERROR(__xludf.DUMMYFUNCTION("""COMPUTED_VALUE"""),43588.58993921296)</f>
        <v>43588.58994</v>
      </c>
      <c r="AI1993" s="138"/>
      <c r="AJ1993" s="138"/>
      <c r="AK1993" s="138"/>
      <c r="AL1993" s="142"/>
    </row>
    <row r="1994" ht="20.25" customHeight="1">
      <c r="A1994" s="155" t="str">
        <f>IFERROR(__xludf.DUMMYFUNCTION("""COMPUTED_VALUE"""),"STISSP3D")</f>
        <v>STISSP3D</v>
      </c>
      <c r="B1994" s="149"/>
      <c r="C1994" s="149" t="str">
        <f>IFERROR(__xludf.DUMMYFUNCTION("""COMPUTED_VALUE"""),"NC")</f>
        <v>NC</v>
      </c>
      <c r="D1994" s="149" t="str">
        <f>IFERROR(__xludf.DUMMYFUNCTION("""COMPUTED_VALUE"""),"USA")</f>
        <v>USA</v>
      </c>
      <c r="E1994" s="156">
        <f>IFERROR(__xludf.DUMMYFUNCTION("""COMPUTED_VALUE"""),43571.0)</f>
        <v>43571</v>
      </c>
      <c r="F1994" s="129">
        <f>IFERROR(__xludf.DUMMYFUNCTION("""COMPUTED_VALUE"""),43582.0)</f>
        <v>43582</v>
      </c>
      <c r="G1994" s="154"/>
      <c r="H1994" s="131">
        <f>IFERROR(__xludf.DUMMYFUNCTION("""COMPUTED_VALUE"""),237858.0)</f>
        <v>237858</v>
      </c>
      <c r="I1994" s="144" t="str">
        <f>IFERROR(__xludf.DUMMYFUNCTION("""COMPUTED_VALUE"""),"04/19")</f>
        <v>04/19</v>
      </c>
      <c r="J1994" s="129">
        <f>IFERROR(__xludf.DUMMYFUNCTION("""COMPUTED_VALUE"""),43589.0)</f>
        <v>43589</v>
      </c>
      <c r="K1994" s="133">
        <f>IFERROR(__xludf.DUMMYFUNCTION("""COMPUTED_VALUE"""),11.0)</f>
        <v>11</v>
      </c>
      <c r="L1994" s="133">
        <f>IFERROR(__xludf.DUMMYFUNCTION("""COMPUTED_VALUE"""),7.0)</f>
        <v>7</v>
      </c>
      <c r="M1994" s="133">
        <f>IFERROR(__xludf.DUMMYFUNCTION("""COMPUTED_VALUE"""),18.0)</f>
        <v>18</v>
      </c>
      <c r="N1994" s="152" t="str">
        <f>IFERROR(__xludf.DUMMYFUNCTION("""COMPUTED_VALUE"""),"Model 3 Performance")</f>
        <v>Model 3 Performance</v>
      </c>
      <c r="O1994" s="152" t="str">
        <f>IFERROR(__xludf.DUMMYFUNCTION("""COMPUTED_VALUE"""),"Midnight Silver Metallic")</f>
        <v>Midnight Silver Metallic</v>
      </c>
      <c r="P1994" s="153" t="str">
        <f>IFERROR(__xludf.DUMMYFUNCTION("""COMPUTED_VALUE"""),"20 inch Sport")</f>
        <v>20 inch Sport</v>
      </c>
      <c r="Q1994" s="152" t="str">
        <f>IFERROR(__xludf.DUMMYFUNCTION("""COMPUTED_VALUE"""),"Black seats")</f>
        <v>Black seats</v>
      </c>
      <c r="R1994" s="149" t="str">
        <f>IFERROR(__xludf.DUMMYFUNCTION("""COMPUTED_VALUE"""),"Full Self-Driving")</f>
        <v>Full Self-Driving</v>
      </c>
      <c r="S1994" s="149"/>
      <c r="T1994" s="145"/>
      <c r="U1994" s="145"/>
      <c r="V1994" s="145"/>
      <c r="W1994" s="145"/>
      <c r="X1994" s="137" t="str">
        <f>IFERROR(__xludf.DUMMYFUNCTION("""COMPUTED_VALUE"""),"Excellent")</f>
        <v>Excellent</v>
      </c>
      <c r="Y1994" s="138" t="str">
        <f>IFERROR(__xludf.DUMMYFUNCTION("""COMPUTED_VALUE"""),"Excellent")</f>
        <v>Excellent</v>
      </c>
      <c r="Z1994" s="138" t="str">
        <f>IFERROR(__xludf.DUMMYFUNCTION("""COMPUTED_VALUE"""),"Very Good")</f>
        <v>Very Good</v>
      </c>
      <c r="AA1994" s="138" t="str">
        <f>IFERROR(__xludf.DUMMYFUNCTION("""COMPUTED_VALUE"""),"Good")</f>
        <v>Good</v>
      </c>
      <c r="AB1994" s="138" t="str">
        <f>IFERROR(__xludf.DUMMYFUNCTION("""COMPUTED_VALUE"""),"Very Good")</f>
        <v>Very Good</v>
      </c>
      <c r="AC1994" s="139"/>
      <c r="AD1994" s="139"/>
      <c r="AE1994" s="139"/>
      <c r="AF1994" s="140"/>
      <c r="AG1994" s="145" t="str">
        <f>IFERROR(__xludf.DUMMYFUNCTION("""COMPUTED_VALUE"""),"Picked up 5/4. ")</f>
        <v>Picked up 5/4. </v>
      </c>
      <c r="AH1994" s="157">
        <f>IFERROR(__xludf.DUMMYFUNCTION("""COMPUTED_VALUE"""),43590.140141944445)</f>
        <v>43590.14014</v>
      </c>
      <c r="AI1994" s="138"/>
      <c r="AJ1994" s="138"/>
      <c r="AK1994" s="138"/>
      <c r="AL1994" s="142"/>
    </row>
    <row r="1995" ht="20.25" customHeight="1">
      <c r="A1995" s="155" t="str">
        <f>IFERROR(__xludf.DUMMYFUNCTION("""COMPUTED_VALUE"""),"TnT")</f>
        <v>TnT</v>
      </c>
      <c r="B1995" s="149" t="str">
        <f>IFERROR(__xludf.DUMMYFUNCTION("""COMPUTED_VALUE"""),"Sacramento")</f>
        <v>Sacramento</v>
      </c>
      <c r="C1995" s="149" t="str">
        <f>IFERROR(__xludf.DUMMYFUNCTION("""COMPUTED_VALUE"""),"CA")</f>
        <v>CA</v>
      </c>
      <c r="D1995" s="149" t="str">
        <f>IFERROR(__xludf.DUMMYFUNCTION("""COMPUTED_VALUE"""),"USA")</f>
        <v>USA</v>
      </c>
      <c r="E1995" s="156">
        <f>IFERROR(__xludf.DUMMYFUNCTION("""COMPUTED_VALUE"""),43571.0)</f>
        <v>43571</v>
      </c>
      <c r="F1995" s="129">
        <f>IFERROR(__xludf.DUMMYFUNCTION("""COMPUTED_VALUE"""),43614.0)</f>
        <v>43614</v>
      </c>
      <c r="G1995" s="154"/>
      <c r="H1995" s="131">
        <f>IFERROR(__xludf.DUMMYFUNCTION("""COMPUTED_VALUE"""),365855.0)</f>
        <v>365855</v>
      </c>
      <c r="I1995" s="144"/>
      <c r="J1995" s="129">
        <f>IFERROR(__xludf.DUMMYFUNCTION("""COMPUTED_VALUE"""),43615.0)</f>
        <v>43615</v>
      </c>
      <c r="K1995" s="133">
        <f>IFERROR(__xludf.DUMMYFUNCTION("""COMPUTED_VALUE"""),43.0)</f>
        <v>43</v>
      </c>
      <c r="L1995" s="133">
        <f>IFERROR(__xludf.DUMMYFUNCTION("""COMPUTED_VALUE"""),1.0)</f>
        <v>1</v>
      </c>
      <c r="M1995" s="133">
        <f>IFERROR(__xludf.DUMMYFUNCTION("""COMPUTED_VALUE"""),44.0)</f>
        <v>44</v>
      </c>
      <c r="N1995" s="152" t="str">
        <f>IFERROR(__xludf.DUMMYFUNCTION("""COMPUTED_VALUE"""),"Model 3 LR AWD")</f>
        <v>Model 3 LR AWD</v>
      </c>
      <c r="O1995" s="152" t="str">
        <f>IFERROR(__xludf.DUMMYFUNCTION("""COMPUTED_VALUE"""),"Red Multi-Coat")</f>
        <v>Red Multi-Coat</v>
      </c>
      <c r="P1995" s="153" t="str">
        <f>IFERROR(__xludf.DUMMYFUNCTION("""COMPUTED_VALUE"""),"18 inch Aero")</f>
        <v>18 inch Aero</v>
      </c>
      <c r="Q1995" s="152" t="str">
        <f>IFERROR(__xludf.DUMMYFUNCTION("""COMPUTED_VALUE"""),"White seats")</f>
        <v>White seats</v>
      </c>
      <c r="R1995" s="149" t="str">
        <f>IFERROR(__xludf.DUMMYFUNCTION("""COMPUTED_VALUE"""),"Full Self-Driving")</f>
        <v>Full Self-Driving</v>
      </c>
      <c r="S1995" s="149"/>
      <c r="T1995" s="145"/>
      <c r="U1995" s="145"/>
      <c r="V1995" s="145"/>
      <c r="W1995" s="145"/>
      <c r="X1995" s="137" t="str">
        <f>IFERROR(__xludf.DUMMYFUNCTION("""COMPUTED_VALUE"""),"Excellent")</f>
        <v>Excellent</v>
      </c>
      <c r="Y1995" s="138" t="str">
        <f>IFERROR(__xludf.DUMMYFUNCTION("""COMPUTED_VALUE"""),"Excellent")</f>
        <v>Excellent</v>
      </c>
      <c r="Z1995" s="138" t="str">
        <f>IFERROR(__xludf.DUMMYFUNCTION("""COMPUTED_VALUE"""),"Excellent")</f>
        <v>Excellent</v>
      </c>
      <c r="AA1995" s="138" t="str">
        <f>IFERROR(__xludf.DUMMYFUNCTION("""COMPUTED_VALUE"""),"Fair")</f>
        <v>Fair</v>
      </c>
      <c r="AB1995" s="138" t="str">
        <f>IFERROR(__xludf.DUMMYFUNCTION("""COMPUTED_VALUE"""),"Good")</f>
        <v>Good</v>
      </c>
      <c r="AC1995" s="139"/>
      <c r="AD1995" s="139"/>
      <c r="AE1995" s="139"/>
      <c r="AF1995" s="140"/>
      <c r="AG1995" s="145"/>
      <c r="AH1995" s="157">
        <f>IFERROR(__xludf.DUMMYFUNCTION("""COMPUTED_VALUE"""),43616.37451165509)</f>
        <v>43616.37451</v>
      </c>
      <c r="AI1995" s="138"/>
      <c r="AJ1995" s="138"/>
      <c r="AK1995" s="138"/>
      <c r="AL1995" s="142"/>
    </row>
    <row r="1996" ht="20.25" customHeight="1">
      <c r="A1996" s="155" t="str">
        <f>IFERROR(__xludf.DUMMYFUNCTION("""COMPUTED_VALUE"""),"MrSteve920")</f>
        <v>MrSteve920</v>
      </c>
      <c r="B1996" s="149" t="str">
        <f>IFERROR(__xludf.DUMMYFUNCTION("""COMPUTED_VALUE"""),"Newark")</f>
        <v>Newark</v>
      </c>
      <c r="C1996" s="149" t="str">
        <f>IFERROR(__xludf.DUMMYFUNCTION("""COMPUTED_VALUE"""),"DE")</f>
        <v>DE</v>
      </c>
      <c r="D1996" s="149" t="str">
        <f>IFERROR(__xludf.DUMMYFUNCTION("""COMPUTED_VALUE"""),"USA")</f>
        <v>USA</v>
      </c>
      <c r="E1996" s="156">
        <f>IFERROR(__xludf.DUMMYFUNCTION("""COMPUTED_VALUE"""),43570.0)</f>
        <v>43570</v>
      </c>
      <c r="F1996" s="129">
        <f>IFERROR(__xludf.DUMMYFUNCTION("""COMPUTED_VALUE"""),43575.0)</f>
        <v>43575</v>
      </c>
      <c r="G1996" s="154"/>
      <c r="H1996" s="131">
        <f>IFERROR(__xludf.DUMMYFUNCTION("""COMPUTED_VALUE"""),364966.0)</f>
        <v>364966</v>
      </c>
      <c r="I1996" s="144"/>
      <c r="J1996" s="129">
        <f>IFERROR(__xludf.DUMMYFUNCTION("""COMPUTED_VALUE"""),43582.0)</f>
        <v>43582</v>
      </c>
      <c r="K1996" s="133">
        <f>IFERROR(__xludf.DUMMYFUNCTION("""COMPUTED_VALUE"""),5.0)</f>
        <v>5</v>
      </c>
      <c r="L1996" s="133">
        <f>IFERROR(__xludf.DUMMYFUNCTION("""COMPUTED_VALUE"""),7.0)</f>
        <v>7</v>
      </c>
      <c r="M1996" s="133">
        <f>IFERROR(__xludf.DUMMYFUNCTION("""COMPUTED_VALUE"""),12.0)</f>
        <v>12</v>
      </c>
      <c r="N1996" s="152" t="str">
        <f>IFERROR(__xludf.DUMMYFUNCTION("""COMPUTED_VALUE"""),"Model 3 LR AWD")</f>
        <v>Model 3 LR AWD</v>
      </c>
      <c r="O1996" s="152" t="str">
        <f>IFERROR(__xludf.DUMMYFUNCTION("""COMPUTED_VALUE"""),"Deep Blue Metallic")</f>
        <v>Deep Blue Metallic</v>
      </c>
      <c r="P1996" s="153" t="str">
        <f>IFERROR(__xludf.DUMMYFUNCTION("""COMPUTED_VALUE"""),"18 inch Aero")</f>
        <v>18 inch Aero</v>
      </c>
      <c r="Q1996" s="152" t="str">
        <f>IFERROR(__xludf.DUMMYFUNCTION("""COMPUTED_VALUE"""),"Black seats")</f>
        <v>Black seats</v>
      </c>
      <c r="R1996" s="149" t="str">
        <f>IFERROR(__xludf.DUMMYFUNCTION("""COMPUTED_VALUE"""),"Full Self-Driving")</f>
        <v>Full Self-Driving</v>
      </c>
      <c r="S1996" s="149"/>
      <c r="T1996" s="145"/>
      <c r="U1996" s="145"/>
      <c r="V1996" s="145"/>
      <c r="W1996" s="145"/>
      <c r="X1996" s="137" t="str">
        <f>IFERROR(__xludf.DUMMYFUNCTION("""COMPUTED_VALUE"""),"Excellent")</f>
        <v>Excellent</v>
      </c>
      <c r="Y1996" s="138" t="str">
        <f>IFERROR(__xludf.DUMMYFUNCTION("""COMPUTED_VALUE"""),"Very Good")</f>
        <v>Very Good</v>
      </c>
      <c r="Z1996" s="138" t="str">
        <f>IFERROR(__xludf.DUMMYFUNCTION("""COMPUTED_VALUE"""),"Fair")</f>
        <v>Fair</v>
      </c>
      <c r="AA1996" s="138" t="str">
        <f>IFERROR(__xludf.DUMMYFUNCTION("""COMPUTED_VALUE"""),"Excellent")</f>
        <v>Excellent</v>
      </c>
      <c r="AB1996" s="138" t="str">
        <f>IFERROR(__xludf.DUMMYFUNCTION("""COMPUTED_VALUE"""),"Very Good")</f>
        <v>Very Good</v>
      </c>
      <c r="AC1996" s="139">
        <f>IFERROR(__xludf.DUMMYFUNCTION("""COMPUTED_VALUE"""),2.0)</f>
        <v>2</v>
      </c>
      <c r="AD1996" s="139">
        <f>IFERROR(__xludf.DUMMYFUNCTION("""COMPUTED_VALUE"""),0.0)</f>
        <v>0</v>
      </c>
      <c r="AE1996" s="139">
        <f>IFERROR(__xludf.DUMMYFUNCTION("""COMPUTED_VALUE"""),7.0)</f>
        <v>7</v>
      </c>
      <c r="AF1996" s="140"/>
      <c r="AG1996" s="145"/>
      <c r="AH1996" s="157">
        <f>IFERROR(__xludf.DUMMYFUNCTION("""COMPUTED_VALUE"""),43588.383559456015)</f>
        <v>43588.38356</v>
      </c>
      <c r="AI1996" s="138"/>
      <c r="AJ1996" s="138"/>
      <c r="AK1996" s="138"/>
      <c r="AL1996" s="142"/>
    </row>
    <row r="1997" ht="20.25" customHeight="1">
      <c r="A1997" s="155" t="str">
        <f>IFERROR(__xludf.DUMMYFUNCTION("""COMPUTED_VALUE"""),"renewableajoy")</f>
        <v>renewableajoy</v>
      </c>
      <c r="B1997" s="149"/>
      <c r="C1997" s="149" t="str">
        <f>IFERROR(__xludf.DUMMYFUNCTION("""COMPUTED_VALUE"""),"RI")</f>
        <v>RI</v>
      </c>
      <c r="D1997" s="149" t="str">
        <f>IFERROR(__xludf.DUMMYFUNCTION("""COMPUTED_VALUE"""),"USA")</f>
        <v>USA</v>
      </c>
      <c r="E1997" s="156">
        <f>IFERROR(__xludf.DUMMYFUNCTION("""COMPUTED_VALUE"""),43570.0)</f>
        <v>43570</v>
      </c>
      <c r="F1997" s="129">
        <f>IFERROR(__xludf.DUMMYFUNCTION("""COMPUTED_VALUE"""),43623.0)</f>
        <v>43623</v>
      </c>
      <c r="G1997" s="154"/>
      <c r="H1997" s="131">
        <f>IFERROR(__xludf.DUMMYFUNCTION("""COMPUTED_VALUE"""),393555.0)</f>
        <v>393555</v>
      </c>
      <c r="I1997" s="144"/>
      <c r="J1997" s="129">
        <f>IFERROR(__xludf.DUMMYFUNCTION("""COMPUTED_VALUE"""),43637.0)</f>
        <v>43637</v>
      </c>
      <c r="K1997" s="133">
        <f>IFERROR(__xludf.DUMMYFUNCTION("""COMPUTED_VALUE"""),53.0)</f>
        <v>53</v>
      </c>
      <c r="L1997" s="133">
        <f>IFERROR(__xludf.DUMMYFUNCTION("""COMPUTED_VALUE"""),14.0)</f>
        <v>14</v>
      </c>
      <c r="M1997" s="133">
        <f>IFERROR(__xludf.DUMMYFUNCTION("""COMPUTED_VALUE"""),67.0)</f>
        <v>67</v>
      </c>
      <c r="N1997" s="152" t="str">
        <f>IFERROR(__xludf.DUMMYFUNCTION("""COMPUTED_VALUE"""),"Model 3 Performance")</f>
        <v>Model 3 Performance</v>
      </c>
      <c r="O1997" s="152" t="str">
        <f>IFERROR(__xludf.DUMMYFUNCTION("""COMPUTED_VALUE"""),"Red Multi-Coat")</f>
        <v>Red Multi-Coat</v>
      </c>
      <c r="P1997" s="153" t="str">
        <f>IFERROR(__xludf.DUMMYFUNCTION("""COMPUTED_VALUE"""),"20 inch Sport")</f>
        <v>20 inch Sport</v>
      </c>
      <c r="Q1997" s="152" t="str">
        <f>IFERROR(__xludf.DUMMYFUNCTION("""COMPUTED_VALUE"""),"White seats")</f>
        <v>White seats</v>
      </c>
      <c r="R1997" s="149" t="str">
        <f>IFERROR(__xludf.DUMMYFUNCTION("""COMPUTED_VALUE"""),"Full Self-Driving")</f>
        <v>Full Self-Driving</v>
      </c>
      <c r="S1997" s="149"/>
      <c r="T1997" s="145"/>
      <c r="U1997" s="145"/>
      <c r="V1997" s="145"/>
      <c r="W1997" s="145"/>
      <c r="X1997" s="137" t="str">
        <f>IFERROR(__xludf.DUMMYFUNCTION("""COMPUTED_VALUE"""),"Excellent")</f>
        <v>Excellent</v>
      </c>
      <c r="Y1997" s="138" t="str">
        <f>IFERROR(__xludf.DUMMYFUNCTION("""COMPUTED_VALUE"""),"Excellent")</f>
        <v>Excellent</v>
      </c>
      <c r="Z1997" s="138" t="str">
        <f>IFERROR(__xludf.DUMMYFUNCTION("""COMPUTED_VALUE"""),"Excellent")</f>
        <v>Excellent</v>
      </c>
      <c r="AA1997" s="138" t="str">
        <f>IFERROR(__xludf.DUMMYFUNCTION("""COMPUTED_VALUE"""),"Good")</f>
        <v>Good</v>
      </c>
      <c r="AB1997" s="138" t="str">
        <f>IFERROR(__xludf.DUMMYFUNCTION("""COMPUTED_VALUE"""),"Very Good")</f>
        <v>Very Good</v>
      </c>
      <c r="AC1997" s="139"/>
      <c r="AD1997" s="139"/>
      <c r="AE1997" s="139"/>
      <c r="AF1997" s="140"/>
      <c r="AG1997" s="145" t="str">
        <f>IFERROR(__xludf.DUMMYFUNCTION("""COMPUTED_VALUE"""),"My home state has no temp plates for Tesla. The delay (53 days for VIN) was already high. Free home delivery meant not receiving the vehicle for an extra week and then another week for the registration documents. While waiting for the documents...there's "&amp;"no driving. Instead I asked to have the delivery at NY center. Temp plates provided there lets you drive for 30 days while registration can be complete. Overall logistics and VIN queue information could improve ")</f>
        <v>My home state has no temp plates for Tesla. The delay (53 days for VIN) was already high. Free home delivery meant not receiving the vehicle for an extra week and then another week for the registration documents. While waiting for the documents...there's no driving. Instead I asked to have the delivery at NY center. Temp plates provided there lets you drive for 30 days while registration can be complete. Overall logistics and VIN queue information could improve </v>
      </c>
      <c r="AH1997" s="157">
        <f>IFERROR(__xludf.DUMMYFUNCTION("""COMPUTED_VALUE"""),43638.73052023148)</f>
        <v>43638.73052</v>
      </c>
      <c r="AI1997" s="138"/>
      <c r="AJ1997" s="138"/>
      <c r="AK1997" s="138"/>
      <c r="AL1997" s="142"/>
    </row>
    <row r="1998" ht="20.25" customHeight="1">
      <c r="A1998" s="155" t="str">
        <f>IFERROR(__xludf.DUMMYFUNCTION("""COMPUTED_VALUE"""),"DustinD")</f>
        <v>DustinD</v>
      </c>
      <c r="B1998" s="149"/>
      <c r="C1998" s="149" t="str">
        <f>IFERROR(__xludf.DUMMYFUNCTION("""COMPUTED_VALUE"""),"MO")</f>
        <v>MO</v>
      </c>
      <c r="D1998" s="149" t="str">
        <f>IFERROR(__xludf.DUMMYFUNCTION("""COMPUTED_VALUE"""),"USA")</f>
        <v>USA</v>
      </c>
      <c r="E1998" s="156">
        <f>IFERROR(__xludf.DUMMYFUNCTION("""COMPUTED_VALUE"""),43569.0)</f>
        <v>43569</v>
      </c>
      <c r="F1998" s="129">
        <f>IFERROR(__xludf.DUMMYFUNCTION("""COMPUTED_VALUE"""),43582.0)</f>
        <v>43582</v>
      </c>
      <c r="G1998" s="154"/>
      <c r="H1998" s="131">
        <f>IFERROR(__xludf.DUMMYFUNCTION("""COMPUTED_VALUE"""),301655.0)</f>
        <v>301655</v>
      </c>
      <c r="I1998" s="144" t="str">
        <f>IFERROR(__xludf.DUMMYFUNCTION("""COMPUTED_VALUE"""),"03/19")</f>
        <v>03/19</v>
      </c>
      <c r="J1998" s="129">
        <f>IFERROR(__xludf.DUMMYFUNCTION("""COMPUTED_VALUE"""),43595.0)</f>
        <v>43595</v>
      </c>
      <c r="K1998" s="133">
        <f>IFERROR(__xludf.DUMMYFUNCTION("""COMPUTED_VALUE"""),13.0)</f>
        <v>13</v>
      </c>
      <c r="L1998" s="133">
        <f>IFERROR(__xludf.DUMMYFUNCTION("""COMPUTED_VALUE"""),13.0)</f>
        <v>13</v>
      </c>
      <c r="M1998" s="133">
        <f>IFERROR(__xludf.DUMMYFUNCTION("""COMPUTED_VALUE"""),26.0)</f>
        <v>26</v>
      </c>
      <c r="N1998" s="152" t="str">
        <f>IFERROR(__xludf.DUMMYFUNCTION("""COMPUTED_VALUE"""),"Model 3 SR+")</f>
        <v>Model 3 SR+</v>
      </c>
      <c r="O1998" s="152" t="str">
        <f>IFERROR(__xludf.DUMMYFUNCTION("""COMPUTED_VALUE"""),"Solid Black")</f>
        <v>Solid Black</v>
      </c>
      <c r="P1998" s="153" t="str">
        <f>IFERROR(__xludf.DUMMYFUNCTION("""COMPUTED_VALUE"""),"18 inch Aero")</f>
        <v>18 inch Aero</v>
      </c>
      <c r="Q1998" s="152" t="str">
        <f>IFERROR(__xludf.DUMMYFUNCTION("""COMPUTED_VALUE"""),"White seats")</f>
        <v>White seats</v>
      </c>
      <c r="R1998" s="149" t="str">
        <f>IFERROR(__xludf.DUMMYFUNCTION("""COMPUTED_VALUE"""),"Full Self-Driving")</f>
        <v>Full Self-Driving</v>
      </c>
      <c r="S1998" s="149"/>
      <c r="T1998" s="145"/>
      <c r="U1998" s="145"/>
      <c r="V1998" s="145"/>
      <c r="W1998" s="145"/>
      <c r="X1998" s="137"/>
      <c r="Y1998" s="138"/>
      <c r="Z1998" s="138"/>
      <c r="AA1998" s="138"/>
      <c r="AB1998" s="138"/>
      <c r="AC1998" s="139">
        <f>IFERROR(__xludf.DUMMYFUNCTION("""COMPUTED_VALUE"""),1.0)</f>
        <v>1</v>
      </c>
      <c r="AD1998" s="139">
        <f>IFERROR(__xludf.DUMMYFUNCTION("""COMPUTED_VALUE"""),1.0)</f>
        <v>1</v>
      </c>
      <c r="AE1998" s="139"/>
      <c r="AF1998" s="140"/>
      <c r="AG1998" s="145"/>
      <c r="AH1998" s="157">
        <f>IFERROR(__xludf.DUMMYFUNCTION("""COMPUTED_VALUE"""),43596.33986204861)</f>
        <v>43596.33986</v>
      </c>
      <c r="AI1998" s="138"/>
      <c r="AJ1998" s="138"/>
      <c r="AK1998" s="138"/>
      <c r="AL1998" s="142"/>
    </row>
    <row r="1999" ht="20.25" customHeight="1">
      <c r="A1999" s="155" t="str">
        <f>IFERROR(__xludf.DUMMYFUNCTION("""COMPUTED_VALUE"""),"kickin-gas")</f>
        <v>kickin-gas</v>
      </c>
      <c r="B1999" s="149"/>
      <c r="C1999" s="149" t="str">
        <f>IFERROR(__xludf.DUMMYFUNCTION("""COMPUTED_VALUE"""),"NJ")</f>
        <v>NJ</v>
      </c>
      <c r="D1999" s="149" t="str">
        <f>IFERROR(__xludf.DUMMYFUNCTION("""COMPUTED_VALUE"""),"USA")</f>
        <v>USA</v>
      </c>
      <c r="E1999" s="156">
        <f>IFERROR(__xludf.DUMMYFUNCTION("""COMPUTED_VALUE"""),43569.0)</f>
        <v>43569</v>
      </c>
      <c r="F1999" s="129">
        <f>IFERROR(__xludf.DUMMYFUNCTION("""COMPUTED_VALUE"""),43584.0)</f>
        <v>43584</v>
      </c>
      <c r="G1999" s="154"/>
      <c r="H1999" s="131">
        <f>IFERROR(__xludf.DUMMYFUNCTION("""COMPUTED_VALUE"""),237755.0)</f>
        <v>237755</v>
      </c>
      <c r="I1999" s="144"/>
      <c r="J1999" s="129">
        <f>IFERROR(__xludf.DUMMYFUNCTION("""COMPUTED_VALUE"""),43591.0)</f>
        <v>43591</v>
      </c>
      <c r="K1999" s="133">
        <f>IFERROR(__xludf.DUMMYFUNCTION("""COMPUTED_VALUE"""),15.0)</f>
        <v>15</v>
      </c>
      <c r="L1999" s="133">
        <f>IFERROR(__xludf.DUMMYFUNCTION("""COMPUTED_VALUE"""),7.0)</f>
        <v>7</v>
      </c>
      <c r="M1999" s="133">
        <f>IFERROR(__xludf.DUMMYFUNCTION("""COMPUTED_VALUE"""),22.0)</f>
        <v>22</v>
      </c>
      <c r="N1999" s="152" t="str">
        <f>IFERROR(__xludf.DUMMYFUNCTION("""COMPUTED_VALUE"""),"Model 3 Performance")</f>
        <v>Model 3 Performance</v>
      </c>
      <c r="O1999" s="152" t="str">
        <f>IFERROR(__xludf.DUMMYFUNCTION("""COMPUTED_VALUE"""),"Solid Black")</f>
        <v>Solid Black</v>
      </c>
      <c r="P1999" s="153" t="str">
        <f>IFERROR(__xludf.DUMMYFUNCTION("""COMPUTED_VALUE"""),"20 inch Sport")</f>
        <v>20 inch Sport</v>
      </c>
      <c r="Q1999" s="152" t="str">
        <f>IFERROR(__xludf.DUMMYFUNCTION("""COMPUTED_VALUE"""),"Black seats")</f>
        <v>Black seats</v>
      </c>
      <c r="R1999" s="149" t="str">
        <f>IFERROR(__xludf.DUMMYFUNCTION("""COMPUTED_VALUE"""),"Autopilot")</f>
        <v>Autopilot</v>
      </c>
      <c r="S1999" s="149"/>
      <c r="T1999" s="145"/>
      <c r="U1999" s="145"/>
      <c r="V1999" s="145"/>
      <c r="W1999" s="145"/>
      <c r="X1999" s="137" t="str">
        <f>IFERROR(__xludf.DUMMYFUNCTION("""COMPUTED_VALUE"""),"Excellent")</f>
        <v>Excellent</v>
      </c>
      <c r="Y1999" s="138" t="str">
        <f>IFERROR(__xludf.DUMMYFUNCTION("""COMPUTED_VALUE"""),"Very Good")</f>
        <v>Very Good</v>
      </c>
      <c r="Z1999" s="138" t="str">
        <f>IFERROR(__xludf.DUMMYFUNCTION("""COMPUTED_VALUE"""),"Very Good")</f>
        <v>Very Good</v>
      </c>
      <c r="AA1999" s="138" t="str">
        <f>IFERROR(__xludf.DUMMYFUNCTION("""COMPUTED_VALUE"""),"Excellent")</f>
        <v>Excellent</v>
      </c>
      <c r="AB1999" s="138" t="str">
        <f>IFERROR(__xludf.DUMMYFUNCTION("""COMPUTED_VALUE"""),"Excellent")</f>
        <v>Excellent</v>
      </c>
      <c r="AC1999" s="139">
        <f>IFERROR(__xludf.DUMMYFUNCTION("""COMPUTED_VALUE"""),2.0)</f>
        <v>2</v>
      </c>
      <c r="AD1999" s="139">
        <f>IFERROR(__xludf.DUMMYFUNCTION("""COMPUTED_VALUE"""),0.0)</f>
        <v>0</v>
      </c>
      <c r="AE1999" s="139">
        <f>IFERROR(__xludf.DUMMYFUNCTION("""COMPUTED_VALUE"""),0.0)</f>
        <v>0</v>
      </c>
      <c r="AF1999" s="140"/>
      <c r="AG1999" s="145"/>
      <c r="AH1999" s="157">
        <f>IFERROR(__xludf.DUMMYFUNCTION("""COMPUTED_VALUE"""),43591.50409908564)</f>
        <v>43591.5041</v>
      </c>
      <c r="AI1999" s="138"/>
      <c r="AJ1999" s="138"/>
      <c r="AK1999" s="138"/>
      <c r="AL1999" s="142"/>
    </row>
    <row r="2000" ht="20.25" customHeight="1">
      <c r="A2000" s="155" t="str">
        <f>IFERROR(__xludf.DUMMYFUNCTION("""COMPUTED_VALUE"""),"nlmunro")</f>
        <v>nlmunro</v>
      </c>
      <c r="B2000" s="149" t="str">
        <f>IFERROR(__xludf.DUMMYFUNCTION("""COMPUTED_VALUE"""),"Lisbon, Portugal")</f>
        <v>Lisbon, Portugal</v>
      </c>
      <c r="C2000" s="149"/>
      <c r="D2000" s="149" t="str">
        <f>IFERROR(__xludf.DUMMYFUNCTION("""COMPUTED_VALUE"""),"Other (include country together with city)")</f>
        <v>Other (include country together with city)</v>
      </c>
      <c r="E2000" s="156">
        <f>IFERROR(__xludf.DUMMYFUNCTION("""COMPUTED_VALUE"""),43569.0)</f>
        <v>43569</v>
      </c>
      <c r="F2000" s="129">
        <f>IFERROR(__xludf.DUMMYFUNCTION("""COMPUTED_VALUE"""),43629.0)</f>
        <v>43629</v>
      </c>
      <c r="G2000" s="154"/>
      <c r="H2000" s="131">
        <f>IFERROR(__xludf.DUMMYFUNCTION("""COMPUTED_VALUE"""),376255.0)</f>
        <v>376255</v>
      </c>
      <c r="I2000" s="144"/>
      <c r="J2000" s="129">
        <f>IFERROR(__xludf.DUMMYFUNCTION("""COMPUTED_VALUE"""),43651.0)</f>
        <v>43651</v>
      </c>
      <c r="K2000" s="133">
        <f>IFERROR(__xludf.DUMMYFUNCTION("""COMPUTED_VALUE"""),60.0)</f>
        <v>60</v>
      </c>
      <c r="L2000" s="133">
        <f>IFERROR(__xludf.DUMMYFUNCTION("""COMPUTED_VALUE"""),22.0)</f>
        <v>22</v>
      </c>
      <c r="M2000" s="133">
        <f>IFERROR(__xludf.DUMMYFUNCTION("""COMPUTED_VALUE"""),82.0)</f>
        <v>82</v>
      </c>
      <c r="N2000" s="152" t="str">
        <f>IFERROR(__xludf.DUMMYFUNCTION("""COMPUTED_VALUE"""),"Model 3 SR+")</f>
        <v>Model 3 SR+</v>
      </c>
      <c r="O2000" s="152" t="str">
        <f>IFERROR(__xludf.DUMMYFUNCTION("""COMPUTED_VALUE"""),"Deep Blue Metallic")</f>
        <v>Deep Blue Metallic</v>
      </c>
      <c r="P2000" s="153" t="str">
        <f>IFERROR(__xludf.DUMMYFUNCTION("""COMPUTED_VALUE"""),"18 inch Aero")</f>
        <v>18 inch Aero</v>
      </c>
      <c r="Q2000" s="152" t="str">
        <f>IFERROR(__xludf.DUMMYFUNCTION("""COMPUTED_VALUE"""),"Black seats")</f>
        <v>Black seats</v>
      </c>
      <c r="R2000" s="149" t="str">
        <f>IFERROR(__xludf.DUMMYFUNCTION("""COMPUTED_VALUE"""),"Autopilot")</f>
        <v>Autopilot</v>
      </c>
      <c r="S2000" s="149"/>
      <c r="T2000" s="145"/>
      <c r="U2000" s="145"/>
      <c r="V2000" s="145"/>
      <c r="W2000" s="145"/>
      <c r="X2000" s="137" t="str">
        <f>IFERROR(__xludf.DUMMYFUNCTION("""COMPUTED_VALUE"""),"Excellent")</f>
        <v>Excellent</v>
      </c>
      <c r="Y2000" s="138" t="str">
        <f>IFERROR(__xludf.DUMMYFUNCTION("""COMPUTED_VALUE"""),"Excellent")</f>
        <v>Excellent</v>
      </c>
      <c r="Z2000" s="138" t="str">
        <f>IFERROR(__xludf.DUMMYFUNCTION("""COMPUTED_VALUE"""),"Very Good")</f>
        <v>Very Good</v>
      </c>
      <c r="AA2000" s="138" t="str">
        <f>IFERROR(__xludf.DUMMYFUNCTION("""COMPUTED_VALUE"""),"Very Good")</f>
        <v>Very Good</v>
      </c>
      <c r="AB2000" s="138" t="str">
        <f>IFERROR(__xludf.DUMMYFUNCTION("""COMPUTED_VALUE"""),"Very Good")</f>
        <v>Very Good</v>
      </c>
      <c r="AC2000" s="139">
        <f>IFERROR(__xludf.DUMMYFUNCTION("""COMPUTED_VALUE"""),0.0)</f>
        <v>0</v>
      </c>
      <c r="AD2000" s="139">
        <f>IFERROR(__xludf.DUMMYFUNCTION("""COMPUTED_VALUE"""),0.0)</f>
        <v>0</v>
      </c>
      <c r="AE2000" s="139">
        <f>IFERROR(__xludf.DUMMYFUNCTION("""COMPUTED_VALUE"""),0.0)</f>
        <v>0</v>
      </c>
      <c r="AF2000" s="140"/>
      <c r="AG2000" s="145" t="str">
        <f>IFERROR(__xludf.DUMMYFUNCTION("""COMPUTED_VALUE"""),"1 month on, still delighted with it.")</f>
        <v>1 month on, still delighted with it.</v>
      </c>
      <c r="AH2000" s="157">
        <f>IFERROR(__xludf.DUMMYFUNCTION("""COMPUTED_VALUE"""),43686.10613174769)</f>
        <v>43686.10613</v>
      </c>
      <c r="AI2000" s="138"/>
      <c r="AJ2000" s="138"/>
      <c r="AK2000" s="138"/>
      <c r="AL2000" s="142"/>
    </row>
    <row r="2001" ht="20.25" customHeight="1">
      <c r="A2001" s="155" t="str">
        <f>IFERROR(__xludf.DUMMYFUNCTION("""COMPUTED_VALUE"""),"THREADER")</f>
        <v>THREADER</v>
      </c>
      <c r="B2001" s="149" t="str">
        <f>IFERROR(__xludf.DUMMYFUNCTION("""COMPUTED_VALUE"""),"Montreal")</f>
        <v>Montreal</v>
      </c>
      <c r="C2001" s="149" t="str">
        <f>IFERROR(__xludf.DUMMYFUNCTION("""COMPUTED_VALUE"""),"QC")</f>
        <v>QC</v>
      </c>
      <c r="D2001" s="149" t="str">
        <f>IFERROR(__xludf.DUMMYFUNCTION("""COMPUTED_VALUE"""),"Canada")</f>
        <v>Canada</v>
      </c>
      <c r="E2001" s="156">
        <f>IFERROR(__xludf.DUMMYFUNCTION("""COMPUTED_VALUE"""),43569.0)</f>
        <v>43569</v>
      </c>
      <c r="F2001" s="129">
        <f>IFERROR(__xludf.DUMMYFUNCTION("""COMPUTED_VALUE"""),43592.0)</f>
        <v>43592</v>
      </c>
      <c r="G2001" s="154"/>
      <c r="H2001" s="131">
        <f>IFERROR(__xludf.DUMMYFUNCTION("""COMPUTED_VALUE"""),352155.0)</f>
        <v>352155</v>
      </c>
      <c r="I2001" s="144"/>
      <c r="J2001" s="129">
        <f>IFERROR(__xludf.DUMMYFUNCTION("""COMPUTED_VALUE"""),43599.0)</f>
        <v>43599</v>
      </c>
      <c r="K2001" s="133">
        <f>IFERROR(__xludf.DUMMYFUNCTION("""COMPUTED_VALUE"""),23.0)</f>
        <v>23</v>
      </c>
      <c r="L2001" s="133">
        <f>IFERROR(__xludf.DUMMYFUNCTION("""COMPUTED_VALUE"""),7.0)</f>
        <v>7</v>
      </c>
      <c r="M2001" s="133">
        <f>IFERROR(__xludf.DUMMYFUNCTION("""COMPUTED_VALUE"""),30.0)</f>
        <v>30</v>
      </c>
      <c r="N2001" s="152" t="str">
        <f>IFERROR(__xludf.DUMMYFUNCTION("""COMPUTED_VALUE"""),"Model 3 SR+")</f>
        <v>Model 3 SR+</v>
      </c>
      <c r="O2001" s="152" t="str">
        <f>IFERROR(__xludf.DUMMYFUNCTION("""COMPUTED_VALUE"""),"Deep Blue Metallic")</f>
        <v>Deep Blue Metallic</v>
      </c>
      <c r="P2001" s="153" t="str">
        <f>IFERROR(__xludf.DUMMYFUNCTION("""COMPUTED_VALUE"""),"18 inch Aero")</f>
        <v>18 inch Aero</v>
      </c>
      <c r="Q2001" s="152" t="str">
        <f>IFERROR(__xludf.DUMMYFUNCTION("""COMPUTED_VALUE"""),"Black seats")</f>
        <v>Black seats</v>
      </c>
      <c r="R2001" s="149" t="str">
        <f>IFERROR(__xludf.DUMMYFUNCTION("""COMPUTED_VALUE"""),"Full Self-Driving")</f>
        <v>Full Self-Driving</v>
      </c>
      <c r="S2001" s="149"/>
      <c r="T2001" s="145"/>
      <c r="U2001" s="145"/>
      <c r="V2001" s="145"/>
      <c r="W2001" s="145"/>
      <c r="X2001" s="137" t="str">
        <f>IFERROR(__xludf.DUMMYFUNCTION("""COMPUTED_VALUE"""),"Excellent")</f>
        <v>Excellent</v>
      </c>
      <c r="Y2001" s="138" t="str">
        <f>IFERROR(__xludf.DUMMYFUNCTION("""COMPUTED_VALUE"""),"Very Good")</f>
        <v>Very Good</v>
      </c>
      <c r="Z2001" s="138" t="str">
        <f>IFERROR(__xludf.DUMMYFUNCTION("""COMPUTED_VALUE"""),"Good")</f>
        <v>Good</v>
      </c>
      <c r="AA2001" s="138" t="str">
        <f>IFERROR(__xludf.DUMMYFUNCTION("""COMPUTED_VALUE"""),"Excellent")</f>
        <v>Excellent</v>
      </c>
      <c r="AB2001" s="138" t="str">
        <f>IFERROR(__xludf.DUMMYFUNCTION("""COMPUTED_VALUE"""),"Excellent")</f>
        <v>Excellent</v>
      </c>
      <c r="AC2001" s="139">
        <f>IFERROR(__xludf.DUMMYFUNCTION("""COMPUTED_VALUE"""),3.0)</f>
        <v>3</v>
      </c>
      <c r="AD2001" s="139"/>
      <c r="AE2001" s="139"/>
      <c r="AF2001" s="140"/>
      <c r="AG2001" s="145" t="str">
        <f>IFERROR(__xludf.DUMMYFUNCTION("""COMPUTED_VALUE"""),"a few paint pimples (6)")</f>
        <v>a few paint pimples (6)</v>
      </c>
      <c r="AH2001" s="157">
        <f>IFERROR(__xludf.DUMMYFUNCTION("""COMPUTED_VALUE"""),43600.130731377314)</f>
        <v>43600.13073</v>
      </c>
      <c r="AI2001" s="138"/>
      <c r="AJ2001" s="138"/>
      <c r="AK2001" s="138"/>
      <c r="AL2001" s="142"/>
    </row>
    <row r="2002" ht="20.25" customHeight="1">
      <c r="A2002" s="155" t="str">
        <f>IFERROR(__xludf.DUMMYFUNCTION("""COMPUTED_VALUE"""),"vincemcman")</f>
        <v>vincemcman</v>
      </c>
      <c r="B2002" s="149" t="str">
        <f>IFERROR(__xludf.DUMMYFUNCTION("""COMPUTED_VALUE"""),"Mountain View")</f>
        <v>Mountain View</v>
      </c>
      <c r="C2002" s="149" t="str">
        <f>IFERROR(__xludf.DUMMYFUNCTION("""COMPUTED_VALUE"""),"CA")</f>
        <v>CA</v>
      </c>
      <c r="D2002" s="149" t="str">
        <f>IFERROR(__xludf.DUMMYFUNCTION("""COMPUTED_VALUE"""),"USA")</f>
        <v>USA</v>
      </c>
      <c r="E2002" s="156">
        <f>IFERROR(__xludf.DUMMYFUNCTION("""COMPUTED_VALUE"""),43569.0)</f>
        <v>43569</v>
      </c>
      <c r="F2002" s="129">
        <f>IFERROR(__xludf.DUMMYFUNCTION("""COMPUTED_VALUE"""),43572.0)</f>
        <v>43572</v>
      </c>
      <c r="G2002" s="154"/>
      <c r="H2002" s="131">
        <f>IFERROR(__xludf.DUMMYFUNCTION("""COMPUTED_VALUE"""),362555.0)</f>
        <v>362555</v>
      </c>
      <c r="I2002" s="144"/>
      <c r="J2002" s="129">
        <f>IFERROR(__xludf.DUMMYFUNCTION("""COMPUTED_VALUE"""),43574.0)</f>
        <v>43574</v>
      </c>
      <c r="K2002" s="133">
        <f>IFERROR(__xludf.DUMMYFUNCTION("""COMPUTED_VALUE"""),3.0)</f>
        <v>3</v>
      </c>
      <c r="L2002" s="133">
        <f>IFERROR(__xludf.DUMMYFUNCTION("""COMPUTED_VALUE"""),2.0)</f>
        <v>2</v>
      </c>
      <c r="M2002" s="133">
        <f>IFERROR(__xludf.DUMMYFUNCTION("""COMPUTED_VALUE"""),5.0)</f>
        <v>5</v>
      </c>
      <c r="N2002" s="152" t="str">
        <f>IFERROR(__xludf.DUMMYFUNCTION("""COMPUTED_VALUE"""),"Model 3 SR")</f>
        <v>Model 3 SR</v>
      </c>
      <c r="O2002" s="152" t="str">
        <f>IFERROR(__xludf.DUMMYFUNCTION("""COMPUTED_VALUE"""),"Red Multi-Coat")</f>
        <v>Red Multi-Coat</v>
      </c>
      <c r="P2002" s="153" t="str">
        <f>IFERROR(__xludf.DUMMYFUNCTION("""COMPUTED_VALUE"""),"18 inch Aero")</f>
        <v>18 inch Aero</v>
      </c>
      <c r="Q2002" s="152" t="str">
        <f>IFERROR(__xludf.DUMMYFUNCTION("""COMPUTED_VALUE"""),"Black seats")</f>
        <v>Black seats</v>
      </c>
      <c r="R2002" s="149" t="str">
        <f>IFERROR(__xludf.DUMMYFUNCTION("""COMPUTED_VALUE"""),"None")</f>
        <v>None</v>
      </c>
      <c r="S2002" s="149"/>
      <c r="T2002" s="145"/>
      <c r="U2002" s="145"/>
      <c r="V2002" s="145"/>
      <c r="W2002" s="145"/>
      <c r="X2002" s="137" t="str">
        <f>IFERROR(__xludf.DUMMYFUNCTION("""COMPUTED_VALUE"""),"Fair")</f>
        <v>Fair</v>
      </c>
      <c r="Y2002" s="138" t="str">
        <f>IFERROR(__xludf.DUMMYFUNCTION("""COMPUTED_VALUE"""),"Very Good")</f>
        <v>Very Good</v>
      </c>
      <c r="Z2002" s="138" t="str">
        <f>IFERROR(__xludf.DUMMYFUNCTION("""COMPUTED_VALUE"""),"Good")</f>
        <v>Good</v>
      </c>
      <c r="AA2002" s="138" t="str">
        <f>IFERROR(__xludf.DUMMYFUNCTION("""COMPUTED_VALUE"""),"Good")</f>
        <v>Good</v>
      </c>
      <c r="AB2002" s="138" t="str">
        <f>IFERROR(__xludf.DUMMYFUNCTION("""COMPUTED_VALUE"""),"Good")</f>
        <v>Good</v>
      </c>
      <c r="AC2002" s="139">
        <f>IFERROR(__xludf.DUMMYFUNCTION("""COMPUTED_VALUE"""),7.0)</f>
        <v>7</v>
      </c>
      <c r="AD2002" s="139">
        <f>IFERROR(__xludf.DUMMYFUNCTION("""COMPUTED_VALUE"""),1.0)</f>
        <v>1</v>
      </c>
      <c r="AE2002" s="139"/>
      <c r="AF2002" s="140"/>
      <c r="AG2002" s="145"/>
      <c r="AH2002" s="157">
        <f>IFERROR(__xludf.DUMMYFUNCTION("""COMPUTED_VALUE"""),43578.7533862963)</f>
        <v>43578.75339</v>
      </c>
      <c r="AI2002" s="138"/>
      <c r="AJ2002" s="138"/>
      <c r="AK2002" s="138"/>
      <c r="AL2002" s="142"/>
    </row>
    <row r="2003" ht="20.25" customHeight="1">
      <c r="A2003" s="155" t="str">
        <f>IFERROR(__xludf.DUMMYFUNCTION("""COMPUTED_VALUE"""),"BareMetal")</f>
        <v>BareMetal</v>
      </c>
      <c r="B2003" s="149" t="str">
        <f>IFERROR(__xludf.DUMMYFUNCTION("""COMPUTED_VALUE"""),"Los Angeles")</f>
        <v>Los Angeles</v>
      </c>
      <c r="C2003" s="149" t="str">
        <f>IFERROR(__xludf.DUMMYFUNCTION("""COMPUTED_VALUE"""),"CA")</f>
        <v>CA</v>
      </c>
      <c r="D2003" s="149" t="str">
        <f>IFERROR(__xludf.DUMMYFUNCTION("""COMPUTED_VALUE"""),"USA")</f>
        <v>USA</v>
      </c>
      <c r="E2003" s="156">
        <f>IFERROR(__xludf.DUMMYFUNCTION("""COMPUTED_VALUE"""),43568.0)</f>
        <v>43568</v>
      </c>
      <c r="F2003" s="129">
        <f>IFERROR(__xludf.DUMMYFUNCTION("""COMPUTED_VALUE"""),43583.0)</f>
        <v>43583</v>
      </c>
      <c r="G2003" s="154"/>
      <c r="H2003" s="131">
        <f>IFERROR(__xludf.DUMMYFUNCTION("""COMPUTED_VALUE"""),237267.0)</f>
        <v>237267</v>
      </c>
      <c r="I2003" s="144" t="str">
        <f>IFERROR(__xludf.DUMMYFUNCTION("""COMPUTED_VALUE"""),"04/19")</f>
        <v>04/19</v>
      </c>
      <c r="J2003" s="129">
        <f>IFERROR(__xludf.DUMMYFUNCTION("""COMPUTED_VALUE"""),43589.0)</f>
        <v>43589</v>
      </c>
      <c r="K2003" s="133">
        <f>IFERROR(__xludf.DUMMYFUNCTION("""COMPUTED_VALUE"""),15.0)</f>
        <v>15</v>
      </c>
      <c r="L2003" s="133">
        <f>IFERROR(__xludf.DUMMYFUNCTION("""COMPUTED_VALUE"""),6.0)</f>
        <v>6</v>
      </c>
      <c r="M2003" s="133">
        <f>IFERROR(__xludf.DUMMYFUNCTION("""COMPUTED_VALUE"""),21.0)</f>
        <v>21</v>
      </c>
      <c r="N2003" s="152" t="str">
        <f>IFERROR(__xludf.DUMMYFUNCTION("""COMPUTED_VALUE"""),"Model 3 Performance")</f>
        <v>Model 3 Performance</v>
      </c>
      <c r="O2003" s="152" t="str">
        <f>IFERROR(__xludf.DUMMYFUNCTION("""COMPUTED_VALUE"""),"Solid Black")</f>
        <v>Solid Black</v>
      </c>
      <c r="P2003" s="153" t="str">
        <f>IFERROR(__xludf.DUMMYFUNCTION("""COMPUTED_VALUE"""),"20 inch Sport")</f>
        <v>20 inch Sport</v>
      </c>
      <c r="Q2003" s="152" t="str">
        <f>IFERROR(__xludf.DUMMYFUNCTION("""COMPUTED_VALUE"""),"Black seats")</f>
        <v>Black seats</v>
      </c>
      <c r="R2003" s="149" t="str">
        <f>IFERROR(__xludf.DUMMYFUNCTION("""COMPUTED_VALUE"""),"Full Self-Driving")</f>
        <v>Full Self-Driving</v>
      </c>
      <c r="S2003" s="149"/>
      <c r="T2003" s="145"/>
      <c r="U2003" s="145"/>
      <c r="V2003" s="145"/>
      <c r="W2003" s="145"/>
      <c r="X2003" s="137" t="str">
        <f>IFERROR(__xludf.DUMMYFUNCTION("""COMPUTED_VALUE"""),"Fair")</f>
        <v>Fair</v>
      </c>
      <c r="Y2003" s="138" t="str">
        <f>IFERROR(__xludf.DUMMYFUNCTION("""COMPUTED_VALUE"""),"Excellent")</f>
        <v>Excellent</v>
      </c>
      <c r="Z2003" s="138" t="str">
        <f>IFERROR(__xludf.DUMMYFUNCTION("""COMPUTED_VALUE"""),"Fair")</f>
        <v>Fair</v>
      </c>
      <c r="AA2003" s="138" t="str">
        <f>IFERROR(__xludf.DUMMYFUNCTION("""COMPUTED_VALUE"""),"Fair")</f>
        <v>Fair</v>
      </c>
      <c r="AB2003" s="138" t="str">
        <f>IFERROR(__xludf.DUMMYFUNCTION("""COMPUTED_VALUE"""),"Very Good")</f>
        <v>Very Good</v>
      </c>
      <c r="AC2003" s="139">
        <f>IFERROR(__xludf.DUMMYFUNCTION("""COMPUTED_VALUE"""),3.0)</f>
        <v>3</v>
      </c>
      <c r="AD2003" s="139"/>
      <c r="AE2003" s="139"/>
      <c r="AF2003" s="140"/>
      <c r="AG2003" s="145"/>
      <c r="AH2003" s="157">
        <f>IFERROR(__xludf.DUMMYFUNCTION("""COMPUTED_VALUE"""),43592.48924851851)</f>
        <v>43592.48925</v>
      </c>
      <c r="AI2003" s="138"/>
      <c r="AJ2003" s="138"/>
      <c r="AK2003" s="138"/>
      <c r="AL2003" s="142"/>
    </row>
    <row r="2004" ht="20.25" customHeight="1">
      <c r="A2004" s="155" t="str">
        <f>IFERROR(__xludf.DUMMYFUNCTION("""COMPUTED_VALUE"""),"breischaft")</f>
        <v>breischaft</v>
      </c>
      <c r="B2004" s="149" t="str">
        <f>IFERROR(__xludf.DUMMYFUNCTION("""COMPUTED_VALUE"""),"Fort Wayne")</f>
        <v>Fort Wayne</v>
      </c>
      <c r="C2004" s="149" t="str">
        <f>IFERROR(__xludf.DUMMYFUNCTION("""COMPUTED_VALUE"""),"IN")</f>
        <v>IN</v>
      </c>
      <c r="D2004" s="149" t="str">
        <f>IFERROR(__xludf.DUMMYFUNCTION("""COMPUTED_VALUE"""),"USA")</f>
        <v>USA</v>
      </c>
      <c r="E2004" s="156">
        <f>IFERROR(__xludf.DUMMYFUNCTION("""COMPUTED_VALUE"""),43568.0)</f>
        <v>43568</v>
      </c>
      <c r="F2004" s="129">
        <f>IFERROR(__xludf.DUMMYFUNCTION("""COMPUTED_VALUE"""),43610.0)</f>
        <v>43610</v>
      </c>
      <c r="G2004" s="154"/>
      <c r="H2004" s="131">
        <f>IFERROR(__xludf.DUMMYFUNCTION("""COMPUTED_VALUE"""),393487.0)</f>
        <v>393487</v>
      </c>
      <c r="I2004" s="144"/>
      <c r="J2004" s="129">
        <f>IFERROR(__xludf.DUMMYFUNCTION("""COMPUTED_VALUE"""),43617.0)</f>
        <v>43617</v>
      </c>
      <c r="K2004" s="133">
        <f>IFERROR(__xludf.DUMMYFUNCTION("""COMPUTED_VALUE"""),42.0)</f>
        <v>42</v>
      </c>
      <c r="L2004" s="133">
        <f>IFERROR(__xludf.DUMMYFUNCTION("""COMPUTED_VALUE"""),7.0)</f>
        <v>7</v>
      </c>
      <c r="M2004" s="133">
        <f>IFERROR(__xludf.DUMMYFUNCTION("""COMPUTED_VALUE"""),49.0)</f>
        <v>49</v>
      </c>
      <c r="N2004" s="152" t="str">
        <f>IFERROR(__xludf.DUMMYFUNCTION("""COMPUTED_VALUE"""),"Model 3 Performance")</f>
        <v>Model 3 Performance</v>
      </c>
      <c r="O2004" s="152" t="str">
        <f>IFERROR(__xludf.DUMMYFUNCTION("""COMPUTED_VALUE"""),"Red Multi-Coat")</f>
        <v>Red Multi-Coat</v>
      </c>
      <c r="P2004" s="153" t="str">
        <f>IFERROR(__xludf.DUMMYFUNCTION("""COMPUTED_VALUE"""),"20 inch Sport")</f>
        <v>20 inch Sport</v>
      </c>
      <c r="Q2004" s="152" t="str">
        <f>IFERROR(__xludf.DUMMYFUNCTION("""COMPUTED_VALUE"""),"White seats")</f>
        <v>White seats</v>
      </c>
      <c r="R2004" s="149" t="str">
        <f>IFERROR(__xludf.DUMMYFUNCTION("""COMPUTED_VALUE"""),"Full Self-Driving")</f>
        <v>Full Self-Driving</v>
      </c>
      <c r="S2004" s="149"/>
      <c r="T2004" s="145"/>
      <c r="U2004" s="145"/>
      <c r="V2004" s="145"/>
      <c r="W2004" s="145"/>
      <c r="X2004" s="137" t="str">
        <f>IFERROR(__xludf.DUMMYFUNCTION("""COMPUTED_VALUE"""),"Excellent")</f>
        <v>Excellent</v>
      </c>
      <c r="Y2004" s="138" t="str">
        <f>IFERROR(__xludf.DUMMYFUNCTION("""COMPUTED_VALUE"""),"Excellent")</f>
        <v>Excellent</v>
      </c>
      <c r="Z2004" s="138" t="str">
        <f>IFERROR(__xludf.DUMMYFUNCTION("""COMPUTED_VALUE"""),"Excellent")</f>
        <v>Excellent</v>
      </c>
      <c r="AA2004" s="138" t="str">
        <f>IFERROR(__xludf.DUMMYFUNCTION("""COMPUTED_VALUE"""),"Poor")</f>
        <v>Poor</v>
      </c>
      <c r="AB2004" s="138" t="str">
        <f>IFERROR(__xludf.DUMMYFUNCTION("""COMPUTED_VALUE"""),"Excellent")</f>
        <v>Excellent</v>
      </c>
      <c r="AC2004" s="139">
        <f>IFERROR(__xludf.DUMMYFUNCTION("""COMPUTED_VALUE"""),1.0)</f>
        <v>1</v>
      </c>
      <c r="AD2004" s="139"/>
      <c r="AE2004" s="139"/>
      <c r="AF2004" s="140"/>
      <c r="AG2004" s="145"/>
      <c r="AH2004" s="157">
        <f>IFERROR(__xludf.DUMMYFUNCTION("""COMPUTED_VALUE"""),43618.699743680554)</f>
        <v>43618.69974</v>
      </c>
      <c r="AI2004" s="138"/>
      <c r="AJ2004" s="138"/>
      <c r="AK2004" s="138"/>
      <c r="AL2004" s="142"/>
    </row>
    <row r="2005" ht="20.25" customHeight="1">
      <c r="A2005" s="155" t="str">
        <f>IFERROR(__xludf.DUMMYFUNCTION("""COMPUTED_VALUE"""),"jayfrank")</f>
        <v>jayfrank</v>
      </c>
      <c r="B2005" s="149"/>
      <c r="C2005" s="149" t="str">
        <f>IFERROR(__xludf.DUMMYFUNCTION("""COMPUTED_VALUE"""),"MD")</f>
        <v>MD</v>
      </c>
      <c r="D2005" s="149" t="str">
        <f>IFERROR(__xludf.DUMMYFUNCTION("""COMPUTED_VALUE"""),"USA")</f>
        <v>USA</v>
      </c>
      <c r="E2005" s="156">
        <f>IFERROR(__xludf.DUMMYFUNCTION("""COMPUTED_VALUE"""),43568.0)</f>
        <v>43568</v>
      </c>
      <c r="F2005" s="129">
        <f>IFERROR(__xludf.DUMMYFUNCTION("""COMPUTED_VALUE"""),43585.0)</f>
        <v>43585</v>
      </c>
      <c r="G2005" s="154"/>
      <c r="H2005" s="131"/>
      <c r="I2005" s="144"/>
      <c r="J2005" s="129">
        <f>IFERROR(__xludf.DUMMYFUNCTION("""COMPUTED_VALUE"""),43599.0)</f>
        <v>43599</v>
      </c>
      <c r="K2005" s="133">
        <f>IFERROR(__xludf.DUMMYFUNCTION("""COMPUTED_VALUE"""),17.0)</f>
        <v>17</v>
      </c>
      <c r="L2005" s="133">
        <f>IFERROR(__xludf.DUMMYFUNCTION("""COMPUTED_VALUE"""),14.0)</f>
        <v>14</v>
      </c>
      <c r="M2005" s="133">
        <f>IFERROR(__xludf.DUMMYFUNCTION("""COMPUTED_VALUE"""),31.0)</f>
        <v>31</v>
      </c>
      <c r="N2005" s="152" t="str">
        <f>IFERROR(__xludf.DUMMYFUNCTION("""COMPUTED_VALUE"""),"Model 3 Performance")</f>
        <v>Model 3 Performance</v>
      </c>
      <c r="O2005" s="152" t="str">
        <f>IFERROR(__xludf.DUMMYFUNCTION("""COMPUTED_VALUE"""),"Deep Blue Metallic")</f>
        <v>Deep Blue Metallic</v>
      </c>
      <c r="P2005" s="153" t="str">
        <f>IFERROR(__xludf.DUMMYFUNCTION("""COMPUTED_VALUE"""),"20 inch Sport")</f>
        <v>20 inch Sport</v>
      </c>
      <c r="Q2005" s="152" t="str">
        <f>IFERROR(__xludf.DUMMYFUNCTION("""COMPUTED_VALUE"""),"Black seats")</f>
        <v>Black seats</v>
      </c>
      <c r="R2005" s="149" t="str">
        <f>IFERROR(__xludf.DUMMYFUNCTION("""COMPUTED_VALUE"""),"Full Self-Driving")</f>
        <v>Full Self-Driving</v>
      </c>
      <c r="S2005" s="149"/>
      <c r="T2005" s="145"/>
      <c r="U2005" s="145"/>
      <c r="V2005" s="145"/>
      <c r="W2005" s="145"/>
      <c r="X2005" s="137" t="str">
        <f>IFERROR(__xludf.DUMMYFUNCTION("""COMPUTED_VALUE"""),"Excellent")</f>
        <v>Excellent</v>
      </c>
      <c r="Y2005" s="138" t="str">
        <f>IFERROR(__xludf.DUMMYFUNCTION("""COMPUTED_VALUE"""),"Excellent")</f>
        <v>Excellent</v>
      </c>
      <c r="Z2005" s="138" t="str">
        <f>IFERROR(__xludf.DUMMYFUNCTION("""COMPUTED_VALUE"""),"Excellent")</f>
        <v>Excellent</v>
      </c>
      <c r="AA2005" s="138" t="str">
        <f>IFERROR(__xludf.DUMMYFUNCTION("""COMPUTED_VALUE"""),"Good")</f>
        <v>Good</v>
      </c>
      <c r="AB2005" s="138" t="str">
        <f>IFERROR(__xludf.DUMMYFUNCTION("""COMPUTED_VALUE"""),"Excellent")</f>
        <v>Excellent</v>
      </c>
      <c r="AC2005" s="139"/>
      <c r="AD2005" s="139"/>
      <c r="AE2005" s="139"/>
      <c r="AF2005" s="140"/>
      <c r="AG2005" s="145" t="str">
        <f>IFERROR(__xludf.DUMMYFUNCTION("""COMPUTED_VALUE"""),"Quoted 2-5 weeks.")</f>
        <v>Quoted 2-5 weeks.</v>
      </c>
      <c r="AH2005" s="157">
        <f>IFERROR(__xludf.DUMMYFUNCTION("""COMPUTED_VALUE"""),43599.60530938658)</f>
        <v>43599.60531</v>
      </c>
      <c r="AI2005" s="138"/>
      <c r="AJ2005" s="138"/>
      <c r="AK2005" s="138"/>
      <c r="AL2005" s="142"/>
    </row>
    <row r="2006" ht="20.25" customHeight="1">
      <c r="A2006" s="168" t="str">
        <f>IFERROR(__xludf.DUMMYFUNCTION("""COMPUTED_VALUE"""),"JRJ.org")</f>
        <v>JRJ.org</v>
      </c>
      <c r="B2006" s="149"/>
      <c r="C2006" s="149" t="str">
        <f>IFERROR(__xludf.DUMMYFUNCTION("""COMPUTED_VALUE"""),"UT")</f>
        <v>UT</v>
      </c>
      <c r="D2006" s="149" t="str">
        <f>IFERROR(__xludf.DUMMYFUNCTION("""COMPUTED_VALUE"""),"USA")</f>
        <v>USA</v>
      </c>
      <c r="E2006" s="156">
        <f>IFERROR(__xludf.DUMMYFUNCTION("""COMPUTED_VALUE"""),43567.0)</f>
        <v>43567</v>
      </c>
      <c r="F2006" s="129">
        <f>IFERROR(__xludf.DUMMYFUNCTION("""COMPUTED_VALUE"""),43574.0)</f>
        <v>43574</v>
      </c>
      <c r="G2006" s="154"/>
      <c r="H2006" s="131"/>
      <c r="I2006" s="144"/>
      <c r="J2006" s="129">
        <f>IFERROR(__xludf.DUMMYFUNCTION("""COMPUTED_VALUE"""),43575.0)</f>
        <v>43575</v>
      </c>
      <c r="K2006" s="133">
        <f>IFERROR(__xludf.DUMMYFUNCTION("""COMPUTED_VALUE"""),7.0)</f>
        <v>7</v>
      </c>
      <c r="L2006" s="133">
        <f>IFERROR(__xludf.DUMMYFUNCTION("""COMPUTED_VALUE"""),1.0)</f>
        <v>1</v>
      </c>
      <c r="M2006" s="133">
        <f>IFERROR(__xludf.DUMMYFUNCTION("""COMPUTED_VALUE"""),8.0)</f>
        <v>8</v>
      </c>
      <c r="N2006" s="152" t="str">
        <f>IFERROR(__xludf.DUMMYFUNCTION("""COMPUTED_VALUE"""),"Model 3 LR AWD")</f>
        <v>Model 3 LR AWD</v>
      </c>
      <c r="O2006" s="152" t="str">
        <f>IFERROR(__xludf.DUMMYFUNCTION("""COMPUTED_VALUE"""),"Pearl White Multi-Coat")</f>
        <v>Pearl White Multi-Coat</v>
      </c>
      <c r="P2006" s="153" t="str">
        <f>IFERROR(__xludf.DUMMYFUNCTION("""COMPUTED_VALUE"""),"19 inch Sport")</f>
        <v>19 inch Sport</v>
      </c>
      <c r="Q2006" s="152" t="str">
        <f>IFERROR(__xludf.DUMMYFUNCTION("""COMPUTED_VALUE"""),"White seats")</f>
        <v>White seats</v>
      </c>
      <c r="R2006" s="149" t="str">
        <f>IFERROR(__xludf.DUMMYFUNCTION("""COMPUTED_VALUE"""),"Full Self-Driving")</f>
        <v>Full Self-Driving</v>
      </c>
      <c r="S2006" s="149"/>
      <c r="T2006" s="145"/>
      <c r="U2006" s="145"/>
      <c r="V2006" s="145"/>
      <c r="W2006" s="145"/>
      <c r="X2006" s="137" t="str">
        <f>IFERROR(__xludf.DUMMYFUNCTION("""COMPUTED_VALUE"""),"Good")</f>
        <v>Good</v>
      </c>
      <c r="Y2006" s="138" t="str">
        <f>IFERROR(__xludf.DUMMYFUNCTION("""COMPUTED_VALUE"""),"Excellent")</f>
        <v>Excellent</v>
      </c>
      <c r="Z2006" s="138" t="str">
        <f>IFERROR(__xludf.DUMMYFUNCTION("""COMPUTED_VALUE"""),"Good")</f>
        <v>Good</v>
      </c>
      <c r="AA2006" s="138" t="str">
        <f>IFERROR(__xludf.DUMMYFUNCTION("""COMPUTED_VALUE"""),"Good")</f>
        <v>Good</v>
      </c>
      <c r="AB2006" s="138" t="str">
        <f>IFERROR(__xludf.DUMMYFUNCTION("""COMPUTED_VALUE"""),"Very Good")</f>
        <v>Very Good</v>
      </c>
      <c r="AC2006" s="139">
        <f>IFERROR(__xludf.DUMMYFUNCTION("""COMPUTED_VALUE"""),2.0)</f>
        <v>2</v>
      </c>
      <c r="AD2006" s="139">
        <f>IFERROR(__xludf.DUMMYFUNCTION("""COMPUTED_VALUE"""),0.0)</f>
        <v>0</v>
      </c>
      <c r="AE2006" s="139">
        <f>IFERROR(__xludf.DUMMYFUNCTION("""COMPUTED_VALUE"""),0.0)</f>
        <v>0</v>
      </c>
      <c r="AF2006" s="140"/>
      <c r="AG2006" s="145" t="str">
        <f>IFERROR(__xludf.DUMMYFUNCTION("""COMPUTED_VALUE"""),"Accepted delivery of a different color and option set than originally ordered")</f>
        <v>Accepted delivery of a different color and option set than originally ordered</v>
      </c>
      <c r="AH2006" s="157">
        <f>IFERROR(__xludf.DUMMYFUNCTION("""COMPUTED_VALUE"""),43580.45953658565)</f>
        <v>43580.45954</v>
      </c>
      <c r="AI2006" s="138"/>
      <c r="AJ2006" s="138"/>
      <c r="AK2006" s="138"/>
      <c r="AL2006" s="142"/>
    </row>
    <row r="2007" ht="20.25" customHeight="1">
      <c r="A2007" s="155" t="str">
        <f>IFERROR(__xludf.DUMMYFUNCTION("""COMPUTED_VALUE"""),"shoeboy")</f>
        <v>shoeboy</v>
      </c>
      <c r="B2007" s="149"/>
      <c r="C2007" s="149" t="str">
        <f>IFERROR(__xludf.DUMMYFUNCTION("""COMPUTED_VALUE"""),"CA")</f>
        <v>CA</v>
      </c>
      <c r="D2007" s="149" t="str">
        <f>IFERROR(__xludf.DUMMYFUNCTION("""COMPUTED_VALUE"""),"USA")</f>
        <v>USA</v>
      </c>
      <c r="E2007" s="156">
        <f>IFERROR(__xludf.DUMMYFUNCTION("""COMPUTED_VALUE"""),43567.0)</f>
        <v>43567</v>
      </c>
      <c r="F2007" s="129">
        <f>IFERROR(__xludf.DUMMYFUNCTION("""COMPUTED_VALUE"""),43579.0)</f>
        <v>43579</v>
      </c>
      <c r="G2007" s="154"/>
      <c r="H2007" s="131"/>
      <c r="I2007" s="144" t="str">
        <f>IFERROR(__xludf.DUMMYFUNCTION("""COMPUTED_VALUE"""),"05/19")</f>
        <v>05/19</v>
      </c>
      <c r="J2007" s="129">
        <f>IFERROR(__xludf.DUMMYFUNCTION("""COMPUTED_VALUE"""),43581.0)</f>
        <v>43581</v>
      </c>
      <c r="K2007" s="133">
        <f>IFERROR(__xludf.DUMMYFUNCTION("""COMPUTED_VALUE"""),12.0)</f>
        <v>12</v>
      </c>
      <c r="L2007" s="133">
        <f>IFERROR(__xludf.DUMMYFUNCTION("""COMPUTED_VALUE"""),2.0)</f>
        <v>2</v>
      </c>
      <c r="M2007" s="133">
        <f>IFERROR(__xludf.DUMMYFUNCTION("""COMPUTED_VALUE"""),14.0)</f>
        <v>14</v>
      </c>
      <c r="N2007" s="152" t="str">
        <f>IFERROR(__xludf.DUMMYFUNCTION("""COMPUTED_VALUE"""),"Model 3 SR")</f>
        <v>Model 3 SR</v>
      </c>
      <c r="O2007" s="152" t="str">
        <f>IFERROR(__xludf.DUMMYFUNCTION("""COMPUTED_VALUE"""),"Solid Black")</f>
        <v>Solid Black</v>
      </c>
      <c r="P2007" s="153" t="str">
        <f>IFERROR(__xludf.DUMMYFUNCTION("""COMPUTED_VALUE"""),"18 inch Aero")</f>
        <v>18 inch Aero</v>
      </c>
      <c r="Q2007" s="152" t="str">
        <f>IFERROR(__xludf.DUMMYFUNCTION("""COMPUTED_VALUE"""),"Black seats")</f>
        <v>Black seats</v>
      </c>
      <c r="R2007" s="149"/>
      <c r="S2007" s="149"/>
      <c r="T2007" s="145"/>
      <c r="U2007" s="145"/>
      <c r="V2007" s="145"/>
      <c r="W2007" s="145"/>
      <c r="X2007" s="137" t="str">
        <f>IFERROR(__xludf.DUMMYFUNCTION("""COMPUTED_VALUE"""),"Very Good")</f>
        <v>Very Good</v>
      </c>
      <c r="Y2007" s="138" t="str">
        <f>IFERROR(__xludf.DUMMYFUNCTION("""COMPUTED_VALUE"""),"Very Good")</f>
        <v>Very Good</v>
      </c>
      <c r="Z2007" s="138" t="str">
        <f>IFERROR(__xludf.DUMMYFUNCTION("""COMPUTED_VALUE"""),"Very Good")</f>
        <v>Very Good</v>
      </c>
      <c r="AA2007" s="138" t="str">
        <f>IFERROR(__xludf.DUMMYFUNCTION("""COMPUTED_VALUE"""),"Very Good")</f>
        <v>Very Good</v>
      </c>
      <c r="AB2007" s="138" t="str">
        <f>IFERROR(__xludf.DUMMYFUNCTION("""COMPUTED_VALUE"""),"Excellent")</f>
        <v>Excellent</v>
      </c>
      <c r="AC2007" s="139">
        <f>IFERROR(__xludf.DUMMYFUNCTION("""COMPUTED_VALUE"""),3.0)</f>
        <v>3</v>
      </c>
      <c r="AD2007" s="139">
        <f>IFERROR(__xludf.DUMMYFUNCTION("""COMPUTED_VALUE"""),1.0)</f>
        <v>1</v>
      </c>
      <c r="AE2007" s="139">
        <f>IFERROR(__xludf.DUMMYFUNCTION("""COMPUTED_VALUE"""),1.0)</f>
        <v>1</v>
      </c>
      <c r="AF2007" s="140"/>
      <c r="AG2007" s="145"/>
      <c r="AH2007" s="157">
        <f>IFERROR(__xludf.DUMMYFUNCTION("""COMPUTED_VALUE"""),43847.33311905092)</f>
        <v>43847.33312</v>
      </c>
      <c r="AI2007" s="138"/>
      <c r="AJ2007" s="138"/>
      <c r="AK2007" s="138"/>
      <c r="AL2007" s="142"/>
    </row>
    <row r="2008" ht="20.25" customHeight="1">
      <c r="A2008" s="155" t="str">
        <f>IFERROR(__xludf.DUMMYFUNCTION("""COMPUTED_VALUE"""),"golfnut")</f>
        <v>golfnut</v>
      </c>
      <c r="B2008" s="149"/>
      <c r="C2008" s="149" t="str">
        <f>IFERROR(__xludf.DUMMYFUNCTION("""COMPUTED_VALUE"""),"CA")</f>
        <v>CA</v>
      </c>
      <c r="D2008" s="149" t="str">
        <f>IFERROR(__xludf.DUMMYFUNCTION("""COMPUTED_VALUE"""),"USA")</f>
        <v>USA</v>
      </c>
      <c r="E2008" s="156">
        <f>IFERROR(__xludf.DUMMYFUNCTION("""COMPUTED_VALUE"""),43566.0)</f>
        <v>43566</v>
      </c>
      <c r="F2008" s="129">
        <f>IFERROR(__xludf.DUMMYFUNCTION("""COMPUTED_VALUE"""),43567.0)</f>
        <v>43567</v>
      </c>
      <c r="G2008" s="154"/>
      <c r="H2008" s="131">
        <f>IFERROR(__xludf.DUMMYFUNCTION("""COMPUTED_VALUE"""),238255.0)</f>
        <v>238255</v>
      </c>
      <c r="I2008" s="144" t="str">
        <f>IFERROR(__xludf.DUMMYFUNCTION("""COMPUTED_VALUE"""),"03/19")</f>
        <v>03/19</v>
      </c>
      <c r="J2008" s="129">
        <f>IFERROR(__xludf.DUMMYFUNCTION("""COMPUTED_VALUE"""),43575.0)</f>
        <v>43575</v>
      </c>
      <c r="K2008" s="133">
        <f>IFERROR(__xludf.DUMMYFUNCTION("""COMPUTED_VALUE"""),1.0)</f>
        <v>1</v>
      </c>
      <c r="L2008" s="133">
        <f>IFERROR(__xludf.DUMMYFUNCTION("""COMPUTED_VALUE"""),8.0)</f>
        <v>8</v>
      </c>
      <c r="M2008" s="133">
        <f>IFERROR(__xludf.DUMMYFUNCTION("""COMPUTED_VALUE"""),9.0)</f>
        <v>9</v>
      </c>
      <c r="N2008" s="152" t="str">
        <f>IFERROR(__xludf.DUMMYFUNCTION("""COMPUTED_VALUE"""),"Model 3 Performance")</f>
        <v>Model 3 Performance</v>
      </c>
      <c r="O2008" s="152"/>
      <c r="P2008" s="153" t="str">
        <f>IFERROR(__xludf.DUMMYFUNCTION("""COMPUTED_VALUE"""),"20 inch Sport")</f>
        <v>20 inch Sport</v>
      </c>
      <c r="Q2008" s="152" t="str">
        <f>IFERROR(__xludf.DUMMYFUNCTION("""COMPUTED_VALUE"""),"White seats")</f>
        <v>White seats</v>
      </c>
      <c r="R2008" s="149" t="str">
        <f>IFERROR(__xludf.DUMMYFUNCTION("""COMPUTED_VALUE"""),"Full Self-Driving")</f>
        <v>Full Self-Driving</v>
      </c>
      <c r="S2008" s="149"/>
      <c r="T2008" s="145"/>
      <c r="U2008" s="145"/>
      <c r="V2008" s="145"/>
      <c r="W2008" s="145"/>
      <c r="X2008" s="137" t="str">
        <f>IFERROR(__xludf.DUMMYFUNCTION("""COMPUTED_VALUE"""),"Very Good")</f>
        <v>Very Good</v>
      </c>
      <c r="Y2008" s="138" t="str">
        <f>IFERROR(__xludf.DUMMYFUNCTION("""COMPUTED_VALUE"""),"Excellent")</f>
        <v>Excellent</v>
      </c>
      <c r="Z2008" s="138" t="str">
        <f>IFERROR(__xludf.DUMMYFUNCTION("""COMPUTED_VALUE"""),"Very Good")</f>
        <v>Very Good</v>
      </c>
      <c r="AA2008" s="138" t="str">
        <f>IFERROR(__xludf.DUMMYFUNCTION("""COMPUTED_VALUE"""),"Good")</f>
        <v>Good</v>
      </c>
      <c r="AB2008" s="138" t="str">
        <f>IFERROR(__xludf.DUMMYFUNCTION("""COMPUTED_VALUE"""),"Very Good")</f>
        <v>Very Good</v>
      </c>
      <c r="AC2008" s="139"/>
      <c r="AD2008" s="139"/>
      <c r="AE2008" s="139"/>
      <c r="AF2008" s="140"/>
      <c r="AG2008" s="145"/>
      <c r="AH2008" s="157">
        <f>IFERROR(__xludf.DUMMYFUNCTION("""COMPUTED_VALUE"""),43581.756017141204)</f>
        <v>43581.75602</v>
      </c>
      <c r="AI2008" s="138"/>
      <c r="AJ2008" s="138"/>
      <c r="AK2008" s="138"/>
      <c r="AL2008" s="142"/>
    </row>
    <row r="2009" ht="20.25" customHeight="1">
      <c r="A2009" s="155" t="str">
        <f>IFERROR(__xludf.DUMMYFUNCTION("""COMPUTED_VALUE"""),"guarapo")</f>
        <v>guarapo</v>
      </c>
      <c r="B2009" s="149" t="str">
        <f>IFERROR(__xludf.DUMMYFUNCTION("""COMPUTED_VALUE"""),"Houston")</f>
        <v>Houston</v>
      </c>
      <c r="C2009" s="149" t="str">
        <f>IFERROR(__xludf.DUMMYFUNCTION("""COMPUTED_VALUE"""),"TX")</f>
        <v>TX</v>
      </c>
      <c r="D2009" s="149" t="str">
        <f>IFERROR(__xludf.DUMMYFUNCTION("""COMPUTED_VALUE"""),"USA")</f>
        <v>USA</v>
      </c>
      <c r="E2009" s="156">
        <f>IFERROR(__xludf.DUMMYFUNCTION("""COMPUTED_VALUE"""),43566.0)</f>
        <v>43566</v>
      </c>
      <c r="F2009" s="129">
        <f>IFERROR(__xludf.DUMMYFUNCTION("""COMPUTED_VALUE"""),43592.0)</f>
        <v>43592</v>
      </c>
      <c r="G2009" s="154"/>
      <c r="H2009" s="131">
        <f>IFERROR(__xludf.DUMMYFUNCTION("""COMPUTED_VALUE"""),312255.0)</f>
        <v>312255</v>
      </c>
      <c r="I2009" s="144"/>
      <c r="J2009" s="129">
        <f>IFERROR(__xludf.DUMMYFUNCTION("""COMPUTED_VALUE"""),43599.0)</f>
        <v>43599</v>
      </c>
      <c r="K2009" s="133">
        <f>IFERROR(__xludf.DUMMYFUNCTION("""COMPUTED_VALUE"""),26.0)</f>
        <v>26</v>
      </c>
      <c r="L2009" s="133">
        <f>IFERROR(__xludf.DUMMYFUNCTION("""COMPUTED_VALUE"""),7.0)</f>
        <v>7</v>
      </c>
      <c r="M2009" s="133">
        <f>IFERROR(__xludf.DUMMYFUNCTION("""COMPUTED_VALUE"""),33.0)</f>
        <v>33</v>
      </c>
      <c r="N2009" s="152" t="str">
        <f>IFERROR(__xludf.DUMMYFUNCTION("""COMPUTED_VALUE"""),"Model 3 SR+")</f>
        <v>Model 3 SR+</v>
      </c>
      <c r="O2009" s="152" t="str">
        <f>IFERROR(__xludf.DUMMYFUNCTION("""COMPUTED_VALUE"""),"Red Multi-Coat")</f>
        <v>Red Multi-Coat</v>
      </c>
      <c r="P2009" s="153" t="str">
        <f>IFERROR(__xludf.DUMMYFUNCTION("""COMPUTED_VALUE"""),"18 inch Aero")</f>
        <v>18 inch Aero</v>
      </c>
      <c r="Q2009" s="152" t="str">
        <f>IFERROR(__xludf.DUMMYFUNCTION("""COMPUTED_VALUE"""),"White seats")</f>
        <v>White seats</v>
      </c>
      <c r="R2009" s="149" t="str">
        <f>IFERROR(__xludf.DUMMYFUNCTION("""COMPUTED_VALUE"""),"Autopilot")</f>
        <v>Autopilot</v>
      </c>
      <c r="S2009" s="149"/>
      <c r="T2009" s="145"/>
      <c r="U2009" s="145"/>
      <c r="V2009" s="145"/>
      <c r="W2009" s="145"/>
      <c r="X2009" s="137" t="str">
        <f>IFERROR(__xludf.DUMMYFUNCTION("""COMPUTED_VALUE"""),"Very Good")</f>
        <v>Very Good</v>
      </c>
      <c r="Y2009" s="138" t="str">
        <f>IFERROR(__xludf.DUMMYFUNCTION("""COMPUTED_VALUE"""),"Very Good")</f>
        <v>Very Good</v>
      </c>
      <c r="Z2009" s="138" t="str">
        <f>IFERROR(__xludf.DUMMYFUNCTION("""COMPUTED_VALUE"""),"Fair")</f>
        <v>Fair</v>
      </c>
      <c r="AA2009" s="138" t="str">
        <f>IFERROR(__xludf.DUMMYFUNCTION("""COMPUTED_VALUE"""),"Good")</f>
        <v>Good</v>
      </c>
      <c r="AB2009" s="138" t="str">
        <f>IFERROR(__xludf.DUMMYFUNCTION("""COMPUTED_VALUE"""),"Fair")</f>
        <v>Fair</v>
      </c>
      <c r="AC2009" s="139"/>
      <c r="AD2009" s="139"/>
      <c r="AE2009" s="139"/>
      <c r="AF2009" s="140"/>
      <c r="AG2009" s="145"/>
      <c r="AH2009" s="157">
        <f>IFERROR(__xludf.DUMMYFUNCTION("""COMPUTED_VALUE"""),43599.86769028935)</f>
        <v>43599.86769</v>
      </c>
      <c r="AI2009" s="138"/>
      <c r="AJ2009" s="138"/>
      <c r="AK2009" s="138"/>
      <c r="AL2009" s="142"/>
    </row>
    <row r="2010" ht="20.25" customHeight="1">
      <c r="A2010" s="155" t="str">
        <f>IFERROR(__xludf.DUMMYFUNCTION("""COMPUTED_VALUE"""),"rocp3d")</f>
        <v>rocp3d</v>
      </c>
      <c r="B2010" s="149"/>
      <c r="C2010" s="149" t="str">
        <f>IFERROR(__xludf.DUMMYFUNCTION("""COMPUTED_VALUE"""),"NY")</f>
        <v>NY</v>
      </c>
      <c r="D2010" s="149" t="str">
        <f>IFERROR(__xludf.DUMMYFUNCTION("""COMPUTED_VALUE"""),"USA")</f>
        <v>USA</v>
      </c>
      <c r="E2010" s="156">
        <f>IFERROR(__xludf.DUMMYFUNCTION("""COMPUTED_VALUE"""),43566.0)</f>
        <v>43566</v>
      </c>
      <c r="F2010" s="129">
        <f>IFERROR(__xludf.DUMMYFUNCTION("""COMPUTED_VALUE"""),43582.0)</f>
        <v>43582</v>
      </c>
      <c r="G2010" s="154"/>
      <c r="H2010" s="131">
        <f>IFERROR(__xludf.DUMMYFUNCTION("""COMPUTED_VALUE"""),231358.0)</f>
        <v>231358</v>
      </c>
      <c r="I2010" s="144" t="str">
        <f>IFERROR(__xludf.DUMMYFUNCTION("""COMPUTED_VALUE"""),"04/19")</f>
        <v>04/19</v>
      </c>
      <c r="J2010" s="129">
        <f>IFERROR(__xludf.DUMMYFUNCTION("""COMPUTED_VALUE"""),43593.0)</f>
        <v>43593</v>
      </c>
      <c r="K2010" s="133">
        <f>IFERROR(__xludf.DUMMYFUNCTION("""COMPUTED_VALUE"""),16.0)</f>
        <v>16</v>
      </c>
      <c r="L2010" s="133">
        <f>IFERROR(__xludf.DUMMYFUNCTION("""COMPUTED_VALUE"""),11.0)</f>
        <v>11</v>
      </c>
      <c r="M2010" s="133">
        <f>IFERROR(__xludf.DUMMYFUNCTION("""COMPUTED_VALUE"""),27.0)</f>
        <v>27</v>
      </c>
      <c r="N2010" s="152" t="str">
        <f>IFERROR(__xludf.DUMMYFUNCTION("""COMPUTED_VALUE"""),"Model 3 Performance")</f>
        <v>Model 3 Performance</v>
      </c>
      <c r="O2010" s="152" t="str">
        <f>IFERROR(__xludf.DUMMYFUNCTION("""COMPUTED_VALUE"""),"Deep Blue Metallic")</f>
        <v>Deep Blue Metallic</v>
      </c>
      <c r="P2010" s="153" t="str">
        <f>IFERROR(__xludf.DUMMYFUNCTION("""COMPUTED_VALUE"""),"20 inch Sport")</f>
        <v>20 inch Sport</v>
      </c>
      <c r="Q2010" s="152" t="str">
        <f>IFERROR(__xludf.DUMMYFUNCTION("""COMPUTED_VALUE"""),"Black seats")</f>
        <v>Black seats</v>
      </c>
      <c r="R2010" s="149" t="str">
        <f>IFERROR(__xludf.DUMMYFUNCTION("""COMPUTED_VALUE"""),"Full Self-Driving")</f>
        <v>Full Self-Driving</v>
      </c>
      <c r="S2010" s="149"/>
      <c r="T2010" s="145"/>
      <c r="U2010" s="145"/>
      <c r="V2010" s="145"/>
      <c r="W2010" s="145"/>
      <c r="X2010" s="137" t="str">
        <f>IFERROR(__xludf.DUMMYFUNCTION("""COMPUTED_VALUE"""),"Excellent")</f>
        <v>Excellent</v>
      </c>
      <c r="Y2010" s="138" t="str">
        <f>IFERROR(__xludf.DUMMYFUNCTION("""COMPUTED_VALUE"""),"Excellent")</f>
        <v>Excellent</v>
      </c>
      <c r="Z2010" s="138" t="str">
        <f>IFERROR(__xludf.DUMMYFUNCTION("""COMPUTED_VALUE"""),"Very Good")</f>
        <v>Very Good</v>
      </c>
      <c r="AA2010" s="138" t="str">
        <f>IFERROR(__xludf.DUMMYFUNCTION("""COMPUTED_VALUE"""),"Excellent")</f>
        <v>Excellent</v>
      </c>
      <c r="AB2010" s="138" t="str">
        <f>IFERROR(__xludf.DUMMYFUNCTION("""COMPUTED_VALUE"""),"Excellent")</f>
        <v>Excellent</v>
      </c>
      <c r="AC2010" s="139">
        <f>IFERROR(__xludf.DUMMYFUNCTION("""COMPUTED_VALUE"""),0.0)</f>
        <v>0</v>
      </c>
      <c r="AD2010" s="139"/>
      <c r="AE2010" s="139">
        <f>IFERROR(__xludf.DUMMYFUNCTION("""COMPUTED_VALUE"""),0.0)</f>
        <v>0</v>
      </c>
      <c r="AF2010" s="140"/>
      <c r="AG2010" s="145"/>
      <c r="AH2010" s="157">
        <f>IFERROR(__xludf.DUMMYFUNCTION("""COMPUTED_VALUE"""),43593.80457518519)</f>
        <v>43593.80458</v>
      </c>
      <c r="AI2010" s="138"/>
      <c r="AJ2010" s="138"/>
      <c r="AK2010" s="138"/>
      <c r="AL2010" s="142"/>
    </row>
    <row r="2011" ht="20.25" customHeight="1">
      <c r="A2011" s="155" t="str">
        <f>IFERROR(__xludf.DUMMYFUNCTION("""COMPUTED_VALUE"""),"JFC")</f>
        <v>JFC</v>
      </c>
      <c r="B2011" s="149"/>
      <c r="C2011" s="149" t="str">
        <f>IFERROR(__xludf.DUMMYFUNCTION("""COMPUTED_VALUE"""),"IL")</f>
        <v>IL</v>
      </c>
      <c r="D2011" s="149" t="str">
        <f>IFERROR(__xludf.DUMMYFUNCTION("""COMPUTED_VALUE"""),"USA")</f>
        <v>USA</v>
      </c>
      <c r="E2011" s="156">
        <f>IFERROR(__xludf.DUMMYFUNCTION("""COMPUTED_VALUE"""),43565.0)</f>
        <v>43565</v>
      </c>
      <c r="F2011" s="129">
        <f>IFERROR(__xludf.DUMMYFUNCTION("""COMPUTED_VALUE"""),43565.0)</f>
        <v>43565</v>
      </c>
      <c r="G2011" s="154"/>
      <c r="H2011" s="131">
        <f>IFERROR(__xludf.DUMMYFUNCTION("""COMPUTED_VALUE"""),190214.0)</f>
        <v>190214</v>
      </c>
      <c r="I2011" s="144" t="str">
        <f>IFERROR(__xludf.DUMMYFUNCTION("""COMPUTED_VALUE"""),"01/19")</f>
        <v>01/19</v>
      </c>
      <c r="J2011" s="129">
        <f>IFERROR(__xludf.DUMMYFUNCTION("""COMPUTED_VALUE"""),43574.0)</f>
        <v>43574</v>
      </c>
      <c r="K2011" s="133">
        <f>IFERROR(__xludf.DUMMYFUNCTION("""COMPUTED_VALUE"""),0.0)</f>
        <v>0</v>
      </c>
      <c r="L2011" s="133">
        <f>IFERROR(__xludf.DUMMYFUNCTION("""COMPUTED_VALUE"""),9.0)</f>
        <v>9</v>
      </c>
      <c r="M2011" s="133">
        <f>IFERROR(__xludf.DUMMYFUNCTION("""COMPUTED_VALUE"""),9.0)</f>
        <v>9</v>
      </c>
      <c r="N2011" s="152" t="str">
        <f>IFERROR(__xludf.DUMMYFUNCTION("""COMPUTED_VALUE"""),"Model 3 MR")</f>
        <v>Model 3 MR</v>
      </c>
      <c r="O2011" s="152" t="str">
        <f>IFERROR(__xludf.DUMMYFUNCTION("""COMPUTED_VALUE"""),"Midnight Silver Metallic")</f>
        <v>Midnight Silver Metallic</v>
      </c>
      <c r="P2011" s="153" t="str">
        <f>IFERROR(__xludf.DUMMYFUNCTION("""COMPUTED_VALUE"""),"18 inch Aero")</f>
        <v>18 inch Aero</v>
      </c>
      <c r="Q2011" s="152" t="str">
        <f>IFERROR(__xludf.DUMMYFUNCTION("""COMPUTED_VALUE"""),"Black seats")</f>
        <v>Black seats</v>
      </c>
      <c r="R2011" s="149" t="str">
        <f>IFERROR(__xludf.DUMMYFUNCTION("""COMPUTED_VALUE"""),"Full Self-Driving")</f>
        <v>Full Self-Driving</v>
      </c>
      <c r="S2011" s="149"/>
      <c r="T2011" s="145"/>
      <c r="U2011" s="145"/>
      <c r="V2011" s="145"/>
      <c r="W2011" s="145"/>
      <c r="X2011" s="137" t="str">
        <f>IFERROR(__xludf.DUMMYFUNCTION("""COMPUTED_VALUE"""),"Good")</f>
        <v>Good</v>
      </c>
      <c r="Y2011" s="138" t="str">
        <f>IFERROR(__xludf.DUMMYFUNCTION("""COMPUTED_VALUE"""),"Excellent")</f>
        <v>Excellent</v>
      </c>
      <c r="Z2011" s="138" t="str">
        <f>IFERROR(__xludf.DUMMYFUNCTION("""COMPUTED_VALUE"""),"Excellent")</f>
        <v>Excellent</v>
      </c>
      <c r="AA2011" s="138" t="str">
        <f>IFERROR(__xludf.DUMMYFUNCTION("""COMPUTED_VALUE"""),"Very Good")</f>
        <v>Very Good</v>
      </c>
      <c r="AB2011" s="138" t="str">
        <f>IFERROR(__xludf.DUMMYFUNCTION("""COMPUTED_VALUE"""),"Good")</f>
        <v>Good</v>
      </c>
      <c r="AC2011" s="139">
        <f>IFERROR(__xludf.DUMMYFUNCTION("""COMPUTED_VALUE"""),0.0)</f>
        <v>0</v>
      </c>
      <c r="AD2011" s="139">
        <f>IFERROR(__xludf.DUMMYFUNCTION("""COMPUTED_VALUE"""),0.0)</f>
        <v>0</v>
      </c>
      <c r="AE2011" s="139">
        <f>IFERROR(__xludf.DUMMYFUNCTION("""COMPUTED_VALUE"""),0.0)</f>
        <v>0</v>
      </c>
      <c r="AF2011" s="140"/>
      <c r="AG2011" s="145"/>
      <c r="AH2011" s="157">
        <f>IFERROR(__xludf.DUMMYFUNCTION("""COMPUTED_VALUE"""),43582.75639672453)</f>
        <v>43582.7564</v>
      </c>
      <c r="AI2011" s="138"/>
      <c r="AJ2011" s="138"/>
      <c r="AK2011" s="138"/>
      <c r="AL2011" s="142"/>
    </row>
    <row r="2012" ht="20.25" customHeight="1">
      <c r="A2012" s="155" t="str">
        <f>IFERROR(__xludf.DUMMYFUNCTION("""COMPUTED_VALUE"""),"hllh")</f>
        <v>hllh</v>
      </c>
      <c r="B2012" s="149" t="str">
        <f>IFERROR(__xludf.DUMMYFUNCTION("""COMPUTED_VALUE"""),"Fort Lauderdale")</f>
        <v>Fort Lauderdale</v>
      </c>
      <c r="C2012" s="149" t="str">
        <f>IFERROR(__xludf.DUMMYFUNCTION("""COMPUTED_VALUE"""),"FL")</f>
        <v>FL</v>
      </c>
      <c r="D2012" s="149" t="str">
        <f>IFERROR(__xludf.DUMMYFUNCTION("""COMPUTED_VALUE"""),"USA")</f>
        <v>USA</v>
      </c>
      <c r="E2012" s="156">
        <f>IFERROR(__xludf.DUMMYFUNCTION("""COMPUTED_VALUE"""),43564.0)</f>
        <v>43564</v>
      </c>
      <c r="F2012" s="129">
        <f>IFERROR(__xludf.DUMMYFUNCTION("""COMPUTED_VALUE"""),43570.0)</f>
        <v>43570</v>
      </c>
      <c r="G2012" s="154"/>
      <c r="H2012" s="131">
        <f>IFERROR(__xludf.DUMMYFUNCTION("""COMPUTED_VALUE"""),307555.0)</f>
        <v>307555</v>
      </c>
      <c r="I2012" s="144" t="str">
        <f>IFERROR(__xludf.DUMMYFUNCTION("""COMPUTED_VALUE"""),"04/19")</f>
        <v>04/19</v>
      </c>
      <c r="J2012" s="129">
        <f>IFERROR(__xludf.DUMMYFUNCTION("""COMPUTED_VALUE"""),43574.0)</f>
        <v>43574</v>
      </c>
      <c r="K2012" s="133">
        <f>IFERROR(__xludf.DUMMYFUNCTION("""COMPUTED_VALUE"""),6.0)</f>
        <v>6</v>
      </c>
      <c r="L2012" s="133">
        <f>IFERROR(__xludf.DUMMYFUNCTION("""COMPUTED_VALUE"""),4.0)</f>
        <v>4</v>
      </c>
      <c r="M2012" s="133">
        <f>IFERROR(__xludf.DUMMYFUNCTION("""COMPUTED_VALUE"""),10.0)</f>
        <v>10</v>
      </c>
      <c r="N2012" s="152" t="str">
        <f>IFERROR(__xludf.DUMMYFUNCTION("""COMPUTED_VALUE"""),"Model 3 SR+")</f>
        <v>Model 3 SR+</v>
      </c>
      <c r="O2012" s="152" t="str">
        <f>IFERROR(__xludf.DUMMYFUNCTION("""COMPUTED_VALUE"""),"Midnight Silver Metallic")</f>
        <v>Midnight Silver Metallic</v>
      </c>
      <c r="P2012" s="153" t="str">
        <f>IFERROR(__xludf.DUMMYFUNCTION("""COMPUTED_VALUE"""),"20 inch Sport")</f>
        <v>20 inch Sport</v>
      </c>
      <c r="Q2012" s="152" t="str">
        <f>IFERROR(__xludf.DUMMYFUNCTION("""COMPUTED_VALUE"""),"Black seats")</f>
        <v>Black seats</v>
      </c>
      <c r="R2012" s="149" t="str">
        <f>IFERROR(__xludf.DUMMYFUNCTION("""COMPUTED_VALUE"""),"Autopilot")</f>
        <v>Autopilot</v>
      </c>
      <c r="S2012" s="149"/>
      <c r="T2012" s="145"/>
      <c r="U2012" s="145"/>
      <c r="V2012" s="145"/>
      <c r="W2012" s="145"/>
      <c r="X2012" s="137" t="str">
        <f>IFERROR(__xludf.DUMMYFUNCTION("""COMPUTED_VALUE"""),"Excellent")</f>
        <v>Excellent</v>
      </c>
      <c r="Y2012" s="138" t="str">
        <f>IFERROR(__xludf.DUMMYFUNCTION("""COMPUTED_VALUE"""),"Excellent")</f>
        <v>Excellent</v>
      </c>
      <c r="Z2012" s="138" t="str">
        <f>IFERROR(__xludf.DUMMYFUNCTION("""COMPUTED_VALUE"""),"Excellent")</f>
        <v>Excellent</v>
      </c>
      <c r="AA2012" s="138" t="str">
        <f>IFERROR(__xludf.DUMMYFUNCTION("""COMPUTED_VALUE"""),"Very Good")</f>
        <v>Very Good</v>
      </c>
      <c r="AB2012" s="138" t="str">
        <f>IFERROR(__xludf.DUMMYFUNCTION("""COMPUTED_VALUE"""),"Excellent")</f>
        <v>Excellent</v>
      </c>
      <c r="AC2012" s="139"/>
      <c r="AD2012" s="139"/>
      <c r="AE2012" s="139"/>
      <c r="AF2012" s="140"/>
      <c r="AG2012" s="145"/>
      <c r="AH2012" s="157">
        <f>IFERROR(__xludf.DUMMYFUNCTION("""COMPUTED_VALUE"""),43578.52190356481)</f>
        <v>43578.5219</v>
      </c>
      <c r="AI2012" s="138"/>
      <c r="AJ2012" s="138"/>
      <c r="AK2012" s="138"/>
      <c r="AL2012" s="142"/>
    </row>
    <row r="2013" ht="20.25" customHeight="1">
      <c r="A2013" s="155" t="str">
        <f>IFERROR(__xludf.DUMMYFUNCTION("""COMPUTED_VALUE"""),"hoopsta1423")</f>
        <v>hoopsta1423</v>
      </c>
      <c r="B2013" s="149" t="str">
        <f>IFERROR(__xludf.DUMMYFUNCTION("""COMPUTED_VALUE"""),"Melrose")</f>
        <v>Melrose</v>
      </c>
      <c r="C2013" s="149" t="str">
        <f>IFERROR(__xludf.DUMMYFUNCTION("""COMPUTED_VALUE"""),"MA")</f>
        <v>MA</v>
      </c>
      <c r="D2013" s="149" t="str">
        <f>IFERROR(__xludf.DUMMYFUNCTION("""COMPUTED_VALUE"""),"USA")</f>
        <v>USA</v>
      </c>
      <c r="E2013" s="156">
        <f>IFERROR(__xludf.DUMMYFUNCTION("""COMPUTED_VALUE"""),43564.0)</f>
        <v>43564</v>
      </c>
      <c r="F2013" s="129">
        <f>IFERROR(__xludf.DUMMYFUNCTION("""COMPUTED_VALUE"""),43565.0)</f>
        <v>43565</v>
      </c>
      <c r="G2013" s="154"/>
      <c r="H2013" s="131">
        <f>IFERROR(__xludf.DUMMYFUNCTION("""COMPUTED_VALUE"""),307135.0)</f>
        <v>307135</v>
      </c>
      <c r="I2013" s="144" t="str">
        <f>IFERROR(__xludf.DUMMYFUNCTION("""COMPUTED_VALUE"""),"04/19")</f>
        <v>04/19</v>
      </c>
      <c r="J2013" s="129">
        <f>IFERROR(__xludf.DUMMYFUNCTION("""COMPUTED_VALUE"""),43572.0)</f>
        <v>43572</v>
      </c>
      <c r="K2013" s="133">
        <f>IFERROR(__xludf.DUMMYFUNCTION("""COMPUTED_VALUE"""),1.0)</f>
        <v>1</v>
      </c>
      <c r="L2013" s="133">
        <f>IFERROR(__xludf.DUMMYFUNCTION("""COMPUTED_VALUE"""),7.0)</f>
        <v>7</v>
      </c>
      <c r="M2013" s="133">
        <f>IFERROR(__xludf.DUMMYFUNCTION("""COMPUTED_VALUE"""),8.0)</f>
        <v>8</v>
      </c>
      <c r="N2013" s="152" t="str">
        <f>IFERROR(__xludf.DUMMYFUNCTION("""COMPUTED_VALUE"""),"Model 3 SR+")</f>
        <v>Model 3 SR+</v>
      </c>
      <c r="O2013" s="152" t="str">
        <f>IFERROR(__xludf.DUMMYFUNCTION("""COMPUTED_VALUE"""),"Pearl White Multi-Coat")</f>
        <v>Pearl White Multi-Coat</v>
      </c>
      <c r="P2013" s="153" t="str">
        <f>IFERROR(__xludf.DUMMYFUNCTION("""COMPUTED_VALUE"""),"18 inch Aero")</f>
        <v>18 inch Aero</v>
      </c>
      <c r="Q2013" s="152" t="str">
        <f>IFERROR(__xludf.DUMMYFUNCTION("""COMPUTED_VALUE"""),"Black seats")</f>
        <v>Black seats</v>
      </c>
      <c r="R2013" s="149" t="str">
        <f>IFERROR(__xludf.DUMMYFUNCTION("""COMPUTED_VALUE"""),"Full Self-Driving")</f>
        <v>Full Self-Driving</v>
      </c>
      <c r="S2013" s="149"/>
      <c r="T2013" s="145"/>
      <c r="U2013" s="145"/>
      <c r="V2013" s="145"/>
      <c r="W2013" s="145"/>
      <c r="X2013" s="137" t="str">
        <f>IFERROR(__xludf.DUMMYFUNCTION("""COMPUTED_VALUE"""),"Very Good")</f>
        <v>Very Good</v>
      </c>
      <c r="Y2013" s="138" t="str">
        <f>IFERROR(__xludf.DUMMYFUNCTION("""COMPUTED_VALUE"""),"Excellent")</f>
        <v>Excellent</v>
      </c>
      <c r="Z2013" s="138" t="str">
        <f>IFERROR(__xludf.DUMMYFUNCTION("""COMPUTED_VALUE"""),"Excellent")</f>
        <v>Excellent</v>
      </c>
      <c r="AA2013" s="138" t="str">
        <f>IFERROR(__xludf.DUMMYFUNCTION("""COMPUTED_VALUE"""),"Very Good")</f>
        <v>Very Good</v>
      </c>
      <c r="AB2013" s="138" t="str">
        <f>IFERROR(__xludf.DUMMYFUNCTION("""COMPUTED_VALUE"""),"Good")</f>
        <v>Good</v>
      </c>
      <c r="AC2013" s="139">
        <f>IFERROR(__xludf.DUMMYFUNCTION("""COMPUTED_VALUE"""),1.0)</f>
        <v>1</v>
      </c>
      <c r="AD2013" s="139"/>
      <c r="AE2013" s="139"/>
      <c r="AF2013" s="140"/>
      <c r="AG2013" s="145"/>
      <c r="AH2013" s="157">
        <f>IFERROR(__xludf.DUMMYFUNCTION("""COMPUTED_VALUE"""),43580.28812090278)</f>
        <v>43580.28812</v>
      </c>
      <c r="AI2013" s="138"/>
      <c r="AJ2013" s="138"/>
      <c r="AK2013" s="138"/>
      <c r="AL2013" s="142"/>
    </row>
    <row r="2014" ht="20.25" customHeight="1">
      <c r="A2014" s="155" t="str">
        <f>IFERROR(__xludf.DUMMYFUNCTION("""COMPUTED_VALUE"""),"ksoon")</f>
        <v>ksoon</v>
      </c>
      <c r="B2014" s="149" t="str">
        <f>IFERROR(__xludf.DUMMYFUNCTION("""COMPUTED_VALUE"""),"Pasadena")</f>
        <v>Pasadena</v>
      </c>
      <c r="C2014" s="149" t="str">
        <f>IFERROR(__xludf.DUMMYFUNCTION("""COMPUTED_VALUE"""),"CA")</f>
        <v>CA</v>
      </c>
      <c r="D2014" s="149" t="str">
        <f>IFERROR(__xludf.DUMMYFUNCTION("""COMPUTED_VALUE"""),"USA")</f>
        <v>USA</v>
      </c>
      <c r="E2014" s="156">
        <f>IFERROR(__xludf.DUMMYFUNCTION("""COMPUTED_VALUE"""),43564.0)</f>
        <v>43564</v>
      </c>
      <c r="F2014" s="129">
        <f>IFERROR(__xludf.DUMMYFUNCTION("""COMPUTED_VALUE"""),43571.0)</f>
        <v>43571</v>
      </c>
      <c r="G2014" s="154"/>
      <c r="H2014" s="131">
        <f>IFERROR(__xludf.DUMMYFUNCTION("""COMPUTED_VALUE"""),357731.0)</f>
        <v>357731</v>
      </c>
      <c r="I2014" s="144" t="str">
        <f>IFERROR(__xludf.DUMMYFUNCTION("""COMPUTED_VALUE"""),"04/19")</f>
        <v>04/19</v>
      </c>
      <c r="J2014" s="129">
        <f>IFERROR(__xludf.DUMMYFUNCTION("""COMPUTED_VALUE"""),43574.0)</f>
        <v>43574</v>
      </c>
      <c r="K2014" s="133">
        <f>IFERROR(__xludf.DUMMYFUNCTION("""COMPUTED_VALUE"""),7.0)</f>
        <v>7</v>
      </c>
      <c r="L2014" s="133">
        <f>IFERROR(__xludf.DUMMYFUNCTION("""COMPUTED_VALUE"""),3.0)</f>
        <v>3</v>
      </c>
      <c r="M2014" s="133">
        <f>IFERROR(__xludf.DUMMYFUNCTION("""COMPUTED_VALUE"""),10.0)</f>
        <v>10</v>
      </c>
      <c r="N2014" s="152" t="str">
        <f>IFERROR(__xludf.DUMMYFUNCTION("""COMPUTED_VALUE"""),"Model 3 SR+")</f>
        <v>Model 3 SR+</v>
      </c>
      <c r="O2014" s="152" t="str">
        <f>IFERROR(__xludf.DUMMYFUNCTION("""COMPUTED_VALUE"""),"Pearl White Multi-Coat")</f>
        <v>Pearl White Multi-Coat</v>
      </c>
      <c r="P2014" s="153" t="str">
        <f>IFERROR(__xludf.DUMMYFUNCTION("""COMPUTED_VALUE"""),"19 inch Sport")</f>
        <v>19 inch Sport</v>
      </c>
      <c r="Q2014" s="152" t="str">
        <f>IFERROR(__xludf.DUMMYFUNCTION("""COMPUTED_VALUE"""),"Black seats")</f>
        <v>Black seats</v>
      </c>
      <c r="R2014" s="149" t="str">
        <f>IFERROR(__xludf.DUMMYFUNCTION("""COMPUTED_VALUE"""),"None")</f>
        <v>None</v>
      </c>
      <c r="S2014" s="149"/>
      <c r="T2014" s="145"/>
      <c r="U2014" s="145"/>
      <c r="V2014" s="145"/>
      <c r="W2014" s="145"/>
      <c r="X2014" s="137" t="str">
        <f>IFERROR(__xludf.DUMMYFUNCTION("""COMPUTED_VALUE"""),"Excellent")</f>
        <v>Excellent</v>
      </c>
      <c r="Y2014" s="138" t="str">
        <f>IFERROR(__xludf.DUMMYFUNCTION("""COMPUTED_VALUE"""),"Excellent")</f>
        <v>Excellent</v>
      </c>
      <c r="Z2014" s="138" t="str">
        <f>IFERROR(__xludf.DUMMYFUNCTION("""COMPUTED_VALUE"""),"Good")</f>
        <v>Good</v>
      </c>
      <c r="AA2014" s="138" t="str">
        <f>IFERROR(__xludf.DUMMYFUNCTION("""COMPUTED_VALUE"""),"Fair")</f>
        <v>Fair</v>
      </c>
      <c r="AB2014" s="138" t="str">
        <f>IFERROR(__xludf.DUMMYFUNCTION("""COMPUTED_VALUE"""),"Good")</f>
        <v>Good</v>
      </c>
      <c r="AC2014" s="139"/>
      <c r="AD2014" s="139"/>
      <c r="AE2014" s="139"/>
      <c r="AF2014" s="140"/>
      <c r="AG2014" s="145" t="str">
        <f>IFERROR(__xludf.DUMMYFUNCTION("""COMPUTED_VALUE"""),"HW3 included. Ordered SR two days before trim level was removed by Tesla. Rec'd SR+ interior package and fog lights.")</f>
        <v>HW3 included. Ordered SR two days before trim level was removed by Tesla. Rec'd SR+ interior package and fog lights.</v>
      </c>
      <c r="AH2014" s="157">
        <f>IFERROR(__xludf.DUMMYFUNCTION("""COMPUTED_VALUE"""),43578.3725331713)</f>
        <v>43578.37253</v>
      </c>
      <c r="AI2014" s="138"/>
      <c r="AJ2014" s="138"/>
      <c r="AK2014" s="138"/>
      <c r="AL2014" s="142"/>
    </row>
    <row r="2015" ht="20.25" customHeight="1">
      <c r="A2015" s="155" t="str">
        <f>IFERROR(__xludf.DUMMYFUNCTION("""COMPUTED_VALUE"""),"Phantom0981")</f>
        <v>Phantom0981</v>
      </c>
      <c r="B2015" s="149" t="str">
        <f>IFERROR(__xludf.DUMMYFUNCTION("""COMPUTED_VALUE"""),"Springfield")</f>
        <v>Springfield</v>
      </c>
      <c r="C2015" s="149" t="str">
        <f>IFERROR(__xludf.DUMMYFUNCTION("""COMPUTED_VALUE"""),"NJ")</f>
        <v>NJ</v>
      </c>
      <c r="D2015" s="149" t="str">
        <f>IFERROR(__xludf.DUMMYFUNCTION("""COMPUTED_VALUE"""),"USA")</f>
        <v>USA</v>
      </c>
      <c r="E2015" s="156">
        <f>IFERROR(__xludf.DUMMYFUNCTION("""COMPUTED_VALUE"""),43564.0)</f>
        <v>43564</v>
      </c>
      <c r="F2015" s="129">
        <f>IFERROR(__xludf.DUMMYFUNCTION("""COMPUTED_VALUE"""),43565.0)</f>
        <v>43565</v>
      </c>
      <c r="G2015" s="154"/>
      <c r="H2015" s="131">
        <f>IFERROR(__xludf.DUMMYFUNCTION("""COMPUTED_VALUE"""),195590.0)</f>
        <v>195590</v>
      </c>
      <c r="I2015" s="144" t="str">
        <f>IFERROR(__xludf.DUMMYFUNCTION("""COMPUTED_VALUE"""),"04/19")</f>
        <v>04/19</v>
      </c>
      <c r="J2015" s="129">
        <f>IFERROR(__xludf.DUMMYFUNCTION("""COMPUTED_VALUE"""),43575.0)</f>
        <v>43575</v>
      </c>
      <c r="K2015" s="133">
        <f>IFERROR(__xludf.DUMMYFUNCTION("""COMPUTED_VALUE"""),1.0)</f>
        <v>1</v>
      </c>
      <c r="L2015" s="133">
        <f>IFERROR(__xludf.DUMMYFUNCTION("""COMPUTED_VALUE"""),10.0)</f>
        <v>10</v>
      </c>
      <c r="M2015" s="133">
        <f>IFERROR(__xludf.DUMMYFUNCTION("""COMPUTED_VALUE"""),11.0)</f>
        <v>11</v>
      </c>
      <c r="N2015" s="152" t="str">
        <f>IFERROR(__xludf.DUMMYFUNCTION("""COMPUTED_VALUE"""),"Model 3 LR AWD")</f>
        <v>Model 3 LR AWD</v>
      </c>
      <c r="O2015" s="152" t="str">
        <f>IFERROR(__xludf.DUMMYFUNCTION("""COMPUTED_VALUE"""),"Pearl White Multi-Coat")</f>
        <v>Pearl White Multi-Coat</v>
      </c>
      <c r="P2015" s="153" t="str">
        <f>IFERROR(__xludf.DUMMYFUNCTION("""COMPUTED_VALUE"""),"19 inch Sport")</f>
        <v>19 inch Sport</v>
      </c>
      <c r="Q2015" s="152" t="str">
        <f>IFERROR(__xludf.DUMMYFUNCTION("""COMPUTED_VALUE"""),"White seats")</f>
        <v>White seats</v>
      </c>
      <c r="R2015" s="149" t="str">
        <f>IFERROR(__xludf.DUMMYFUNCTION("""COMPUTED_VALUE"""),"Autopilot")</f>
        <v>Autopilot</v>
      </c>
      <c r="S2015" s="149"/>
      <c r="T2015" s="145"/>
      <c r="U2015" s="145"/>
      <c r="V2015" s="145"/>
      <c r="W2015" s="145"/>
      <c r="X2015" s="137" t="str">
        <f>IFERROR(__xludf.DUMMYFUNCTION("""COMPUTED_VALUE"""),"Excellent")</f>
        <v>Excellent</v>
      </c>
      <c r="Y2015" s="138" t="str">
        <f>IFERROR(__xludf.DUMMYFUNCTION("""COMPUTED_VALUE"""),"Excellent")</f>
        <v>Excellent</v>
      </c>
      <c r="Z2015" s="138" t="str">
        <f>IFERROR(__xludf.DUMMYFUNCTION("""COMPUTED_VALUE"""),"Excellent")</f>
        <v>Excellent</v>
      </c>
      <c r="AA2015" s="138" t="str">
        <f>IFERROR(__xludf.DUMMYFUNCTION("""COMPUTED_VALUE"""),"Very Good")</f>
        <v>Very Good</v>
      </c>
      <c r="AB2015" s="138" t="str">
        <f>IFERROR(__xludf.DUMMYFUNCTION("""COMPUTED_VALUE"""),"Very Good")</f>
        <v>Very Good</v>
      </c>
      <c r="AC2015" s="139">
        <f>IFERROR(__xludf.DUMMYFUNCTION("""COMPUTED_VALUE"""),0.0)</f>
        <v>0</v>
      </c>
      <c r="AD2015" s="139">
        <f>IFERROR(__xludf.DUMMYFUNCTION("""COMPUTED_VALUE"""),0.0)</f>
        <v>0</v>
      </c>
      <c r="AE2015" s="139">
        <f>IFERROR(__xludf.DUMMYFUNCTION("""COMPUTED_VALUE"""),0.0)</f>
        <v>0</v>
      </c>
      <c r="AF2015" s="140"/>
      <c r="AG2015" s="145"/>
      <c r="AH2015" s="157">
        <f>IFERROR(__xludf.DUMMYFUNCTION("""COMPUTED_VALUE"""),43606.8199372338)</f>
        <v>43606.81994</v>
      </c>
      <c r="AI2015" s="138"/>
      <c r="AJ2015" s="138"/>
      <c r="AK2015" s="138"/>
      <c r="AL2015" s="142"/>
    </row>
    <row r="2016" ht="20.25" customHeight="1">
      <c r="A2016" s="155" t="str">
        <f>IFERROR(__xludf.DUMMYFUNCTION("""COMPUTED_VALUE"""),"ammulder")</f>
        <v>ammulder</v>
      </c>
      <c r="B2016" s="149" t="str">
        <f>IFERROR(__xludf.DUMMYFUNCTION("""COMPUTED_VALUE"""),"Philly area")</f>
        <v>Philly area</v>
      </c>
      <c r="C2016" s="149" t="str">
        <f>IFERROR(__xludf.DUMMYFUNCTION("""COMPUTED_VALUE"""),"PA")</f>
        <v>PA</v>
      </c>
      <c r="D2016" s="149" t="str">
        <f>IFERROR(__xludf.DUMMYFUNCTION("""COMPUTED_VALUE"""),"USA")</f>
        <v>USA</v>
      </c>
      <c r="E2016" s="156">
        <f>IFERROR(__xludf.DUMMYFUNCTION("""COMPUTED_VALUE"""),43563.0)</f>
        <v>43563</v>
      </c>
      <c r="F2016" s="129">
        <f>IFERROR(__xludf.DUMMYFUNCTION("""COMPUTED_VALUE"""),43584.0)</f>
        <v>43584</v>
      </c>
      <c r="G2016" s="154"/>
      <c r="H2016" s="131">
        <f>IFERROR(__xludf.DUMMYFUNCTION("""COMPUTED_VALUE"""),237754.0)</f>
        <v>237754</v>
      </c>
      <c r="I2016" s="144"/>
      <c r="J2016" s="129">
        <f>IFERROR(__xludf.DUMMYFUNCTION("""COMPUTED_VALUE"""),43592.0)</f>
        <v>43592</v>
      </c>
      <c r="K2016" s="133">
        <f>IFERROR(__xludf.DUMMYFUNCTION("""COMPUTED_VALUE"""),21.0)</f>
        <v>21</v>
      </c>
      <c r="L2016" s="133">
        <f>IFERROR(__xludf.DUMMYFUNCTION("""COMPUTED_VALUE"""),8.0)</f>
        <v>8</v>
      </c>
      <c r="M2016" s="133">
        <f>IFERROR(__xludf.DUMMYFUNCTION("""COMPUTED_VALUE"""),29.0)</f>
        <v>29</v>
      </c>
      <c r="N2016" s="152" t="str">
        <f>IFERROR(__xludf.DUMMYFUNCTION("""COMPUTED_VALUE"""),"Model 3 Performance")</f>
        <v>Model 3 Performance</v>
      </c>
      <c r="O2016" s="152" t="str">
        <f>IFERROR(__xludf.DUMMYFUNCTION("""COMPUTED_VALUE"""),"Deep Blue Metallic")</f>
        <v>Deep Blue Metallic</v>
      </c>
      <c r="P2016" s="153" t="str">
        <f>IFERROR(__xludf.DUMMYFUNCTION("""COMPUTED_VALUE"""),"20 inch Sport")</f>
        <v>20 inch Sport</v>
      </c>
      <c r="Q2016" s="152" t="str">
        <f>IFERROR(__xludf.DUMMYFUNCTION("""COMPUTED_VALUE"""),"Black seats")</f>
        <v>Black seats</v>
      </c>
      <c r="R2016" s="149" t="str">
        <f>IFERROR(__xludf.DUMMYFUNCTION("""COMPUTED_VALUE"""),"Autopilot")</f>
        <v>Autopilot</v>
      </c>
      <c r="S2016" s="149"/>
      <c r="T2016" s="145"/>
      <c r="U2016" s="145"/>
      <c r="V2016" s="145"/>
      <c r="W2016" s="145"/>
      <c r="X2016" s="137" t="str">
        <f>IFERROR(__xludf.DUMMYFUNCTION("""COMPUTED_VALUE"""),"Very Good")</f>
        <v>Very Good</v>
      </c>
      <c r="Y2016" s="138" t="str">
        <f>IFERROR(__xludf.DUMMYFUNCTION("""COMPUTED_VALUE"""),"Excellent")</f>
        <v>Excellent</v>
      </c>
      <c r="Z2016" s="138" t="str">
        <f>IFERROR(__xludf.DUMMYFUNCTION("""COMPUTED_VALUE"""),"Excellent")</f>
        <v>Excellent</v>
      </c>
      <c r="AA2016" s="138" t="str">
        <f>IFERROR(__xludf.DUMMYFUNCTION("""COMPUTED_VALUE"""),"Poor")</f>
        <v>Poor</v>
      </c>
      <c r="AB2016" s="138" t="str">
        <f>IFERROR(__xludf.DUMMYFUNCTION("""COMPUTED_VALUE"""),"Very Good")</f>
        <v>Very Good</v>
      </c>
      <c r="AC2016" s="139">
        <f>IFERROR(__xludf.DUMMYFUNCTION("""COMPUTED_VALUE"""),0.0)</f>
        <v>0</v>
      </c>
      <c r="AD2016" s="139">
        <f>IFERROR(__xludf.DUMMYFUNCTION("""COMPUTED_VALUE"""),0.0)</f>
        <v>0</v>
      </c>
      <c r="AE2016" s="139">
        <f>IFERROR(__xludf.DUMMYFUNCTION("""COMPUTED_VALUE"""),0.0)</f>
        <v>0</v>
      </c>
      <c r="AF2016" s="140"/>
      <c r="AG2016" s="145"/>
      <c r="AH2016" s="157">
        <f>IFERROR(__xludf.DUMMYFUNCTION("""COMPUTED_VALUE"""),43595.407629780086)</f>
        <v>43595.40763</v>
      </c>
      <c r="AI2016" s="138"/>
      <c r="AJ2016" s="138"/>
      <c r="AK2016" s="138"/>
      <c r="AL2016" s="142"/>
    </row>
    <row r="2017" ht="20.25" customHeight="1">
      <c r="A2017" s="155" t="str">
        <f>IFERROR(__xludf.DUMMYFUNCTION("""COMPUTED_VALUE"""),"solodogg")</f>
        <v>solodogg</v>
      </c>
      <c r="B2017" s="149" t="str">
        <f>IFERROR(__xludf.DUMMYFUNCTION("""COMPUTED_VALUE"""),"Orlando")</f>
        <v>Orlando</v>
      </c>
      <c r="C2017" s="149" t="str">
        <f>IFERROR(__xludf.DUMMYFUNCTION("""COMPUTED_VALUE"""),"FL")</f>
        <v>FL</v>
      </c>
      <c r="D2017" s="149" t="str">
        <f>IFERROR(__xludf.DUMMYFUNCTION("""COMPUTED_VALUE"""),"USA")</f>
        <v>USA</v>
      </c>
      <c r="E2017" s="156">
        <f>IFERROR(__xludf.DUMMYFUNCTION("""COMPUTED_VALUE"""),43563.0)</f>
        <v>43563</v>
      </c>
      <c r="F2017" s="129">
        <f>IFERROR(__xludf.DUMMYFUNCTION("""COMPUTED_VALUE"""),43567.0)</f>
        <v>43567</v>
      </c>
      <c r="G2017" s="154"/>
      <c r="H2017" s="131">
        <f>IFERROR(__xludf.DUMMYFUNCTION("""COMPUTED_VALUE"""),332055.0)</f>
        <v>332055</v>
      </c>
      <c r="I2017" s="144" t="str">
        <f>IFERROR(__xludf.DUMMYFUNCTION("""COMPUTED_VALUE"""),"04/19")</f>
        <v>04/19</v>
      </c>
      <c r="J2017" s="129">
        <f>IFERROR(__xludf.DUMMYFUNCTION("""COMPUTED_VALUE"""),43574.0)</f>
        <v>43574</v>
      </c>
      <c r="K2017" s="133">
        <f>IFERROR(__xludf.DUMMYFUNCTION("""COMPUTED_VALUE"""),4.0)</f>
        <v>4</v>
      </c>
      <c r="L2017" s="133">
        <f>IFERROR(__xludf.DUMMYFUNCTION("""COMPUTED_VALUE"""),7.0)</f>
        <v>7</v>
      </c>
      <c r="M2017" s="133">
        <f>IFERROR(__xludf.DUMMYFUNCTION("""COMPUTED_VALUE"""),11.0)</f>
        <v>11</v>
      </c>
      <c r="N2017" s="152" t="str">
        <f>IFERROR(__xludf.DUMMYFUNCTION("""COMPUTED_VALUE"""),"Model 3 LR")</f>
        <v>Model 3 LR</v>
      </c>
      <c r="O2017" s="152" t="str">
        <f>IFERROR(__xludf.DUMMYFUNCTION("""COMPUTED_VALUE"""),"Pearl White Multi-Coat")</f>
        <v>Pearl White Multi-Coat</v>
      </c>
      <c r="P2017" s="153" t="str">
        <f>IFERROR(__xludf.DUMMYFUNCTION("""COMPUTED_VALUE"""),"19 inch Sport")</f>
        <v>19 inch Sport</v>
      </c>
      <c r="Q2017" s="152" t="str">
        <f>IFERROR(__xludf.DUMMYFUNCTION("""COMPUTED_VALUE"""),"Black seats")</f>
        <v>Black seats</v>
      </c>
      <c r="R2017" s="149" t="str">
        <f>IFERROR(__xludf.DUMMYFUNCTION("""COMPUTED_VALUE"""),"None")</f>
        <v>None</v>
      </c>
      <c r="S2017" s="149"/>
      <c r="T2017" s="145"/>
      <c r="U2017" s="145"/>
      <c r="V2017" s="145"/>
      <c r="W2017" s="145"/>
      <c r="X2017" s="137" t="str">
        <f>IFERROR(__xludf.DUMMYFUNCTION("""COMPUTED_VALUE"""),"Excellent")</f>
        <v>Excellent</v>
      </c>
      <c r="Y2017" s="138" t="str">
        <f>IFERROR(__xludf.DUMMYFUNCTION("""COMPUTED_VALUE"""),"Excellent")</f>
        <v>Excellent</v>
      </c>
      <c r="Z2017" s="138" t="str">
        <f>IFERROR(__xludf.DUMMYFUNCTION("""COMPUTED_VALUE"""),"Excellent")</f>
        <v>Excellent</v>
      </c>
      <c r="AA2017" s="138" t="str">
        <f>IFERROR(__xludf.DUMMYFUNCTION("""COMPUTED_VALUE"""),"Fair")</f>
        <v>Fair</v>
      </c>
      <c r="AB2017" s="138" t="str">
        <f>IFERROR(__xludf.DUMMYFUNCTION("""COMPUTED_VALUE"""),"Very Good")</f>
        <v>Very Good</v>
      </c>
      <c r="AC2017" s="139">
        <f>IFERROR(__xludf.DUMMYFUNCTION("""COMPUTED_VALUE"""),2.0)</f>
        <v>2</v>
      </c>
      <c r="AD2017" s="139">
        <f>IFERROR(__xludf.DUMMYFUNCTION("""COMPUTED_VALUE"""),1.0)</f>
        <v>1</v>
      </c>
      <c r="AE2017" s="139">
        <f>IFERROR(__xludf.DUMMYFUNCTION("""COMPUTED_VALUE"""),0.0)</f>
        <v>0</v>
      </c>
      <c r="AF2017" s="140"/>
      <c r="AG2017" s="145" t="str">
        <f>IFERROR(__xludf.DUMMYFUNCTION("""COMPUTED_VALUE"""),"autopilot not included as promised after 4/11 changes, even though window sticker shows otherwise. ")</f>
        <v>autopilot not included as promised after 4/11 changes, even though window sticker shows otherwise. </v>
      </c>
      <c r="AH2017" s="157">
        <f>IFERROR(__xludf.DUMMYFUNCTION("""COMPUTED_VALUE"""),43579.65980758102)</f>
        <v>43579.65981</v>
      </c>
      <c r="AI2017" s="138"/>
      <c r="AJ2017" s="138"/>
      <c r="AK2017" s="138"/>
      <c r="AL2017" s="142"/>
    </row>
    <row r="2018" ht="20.25" customHeight="1">
      <c r="A2018" s="155" t="str">
        <f>IFERROR(__xludf.DUMMYFUNCTION("""COMPUTED_VALUE"""),"noc_man")</f>
        <v>noc_man</v>
      </c>
      <c r="B2018" s="149" t="str">
        <f>IFERROR(__xludf.DUMMYFUNCTION("""COMPUTED_VALUE"""),"Charlotte")</f>
        <v>Charlotte</v>
      </c>
      <c r="C2018" s="149" t="str">
        <f>IFERROR(__xludf.DUMMYFUNCTION("""COMPUTED_VALUE"""),"NC")</f>
        <v>NC</v>
      </c>
      <c r="D2018" s="149" t="str">
        <f>IFERROR(__xludf.DUMMYFUNCTION("""COMPUTED_VALUE"""),"USA")</f>
        <v>USA</v>
      </c>
      <c r="E2018" s="156">
        <f>IFERROR(__xludf.DUMMYFUNCTION("""COMPUTED_VALUE"""),43562.0)</f>
        <v>43562</v>
      </c>
      <c r="F2018" s="129">
        <f>IFERROR(__xludf.DUMMYFUNCTION("""COMPUTED_VALUE"""),43592.0)</f>
        <v>43592</v>
      </c>
      <c r="G2018" s="154"/>
      <c r="H2018" s="131">
        <f>IFERROR(__xludf.DUMMYFUNCTION("""COMPUTED_VALUE"""),231428.0)</f>
        <v>231428</v>
      </c>
      <c r="I2018" s="144" t="str">
        <f>IFERROR(__xludf.DUMMYFUNCTION("""COMPUTED_VALUE"""),"03/19")</f>
        <v>03/19</v>
      </c>
      <c r="J2018" s="129">
        <f>IFERROR(__xludf.DUMMYFUNCTION("""COMPUTED_VALUE"""),43592.0)</f>
        <v>43592</v>
      </c>
      <c r="K2018" s="133">
        <f>IFERROR(__xludf.DUMMYFUNCTION("""COMPUTED_VALUE"""),30.0)</f>
        <v>30</v>
      </c>
      <c r="L2018" s="133">
        <f>IFERROR(__xludf.DUMMYFUNCTION("""COMPUTED_VALUE"""),0.0)</f>
        <v>0</v>
      </c>
      <c r="M2018" s="133">
        <f>IFERROR(__xludf.DUMMYFUNCTION("""COMPUTED_VALUE"""),30.0)</f>
        <v>30</v>
      </c>
      <c r="N2018" s="152" t="str">
        <f>IFERROR(__xludf.DUMMYFUNCTION("""COMPUTED_VALUE"""),"Model 3 Performance")</f>
        <v>Model 3 Performance</v>
      </c>
      <c r="O2018" s="152" t="str">
        <f>IFERROR(__xludf.DUMMYFUNCTION("""COMPUTED_VALUE"""),"Pearl White Multi-Coat")</f>
        <v>Pearl White Multi-Coat</v>
      </c>
      <c r="P2018" s="153" t="str">
        <f>IFERROR(__xludf.DUMMYFUNCTION("""COMPUTED_VALUE"""),"20 inch Sport")</f>
        <v>20 inch Sport</v>
      </c>
      <c r="Q2018" s="152" t="str">
        <f>IFERROR(__xludf.DUMMYFUNCTION("""COMPUTED_VALUE"""),"Black seats")</f>
        <v>Black seats</v>
      </c>
      <c r="R2018" s="149" t="str">
        <f>IFERROR(__xludf.DUMMYFUNCTION("""COMPUTED_VALUE"""),"Full Self-Driving")</f>
        <v>Full Self-Driving</v>
      </c>
      <c r="S2018" s="149"/>
      <c r="T2018" s="145"/>
      <c r="U2018" s="145"/>
      <c r="V2018" s="145"/>
      <c r="W2018" s="145"/>
      <c r="X2018" s="137" t="str">
        <f>IFERROR(__xludf.DUMMYFUNCTION("""COMPUTED_VALUE"""),"Fair")</f>
        <v>Fair</v>
      </c>
      <c r="Y2018" s="138" t="str">
        <f>IFERROR(__xludf.DUMMYFUNCTION("""COMPUTED_VALUE"""),"Very Good")</f>
        <v>Very Good</v>
      </c>
      <c r="Z2018" s="138" t="str">
        <f>IFERROR(__xludf.DUMMYFUNCTION("""COMPUTED_VALUE"""),"Good")</f>
        <v>Good</v>
      </c>
      <c r="AA2018" s="138" t="str">
        <f>IFERROR(__xludf.DUMMYFUNCTION("""COMPUTED_VALUE"""),"Poor")</f>
        <v>Poor</v>
      </c>
      <c r="AB2018" s="138" t="str">
        <f>IFERROR(__xludf.DUMMYFUNCTION("""COMPUTED_VALUE"""),"Fair")</f>
        <v>Fair</v>
      </c>
      <c r="AC2018" s="139">
        <f>IFERROR(__xludf.DUMMYFUNCTION("""COMPUTED_VALUE"""),2.0)</f>
        <v>2</v>
      </c>
      <c r="AD2018" s="139"/>
      <c r="AE2018" s="139"/>
      <c r="AF2018" s="140"/>
      <c r="AG2018" s="145" t="str">
        <f>IFERROR(__xludf.DUMMYFUNCTION("""COMPUTED_VALUE"""),"after 30 days of waiting with no communication, I got an email to update my delivery info.  Called the SC and they said they had a VIN for me and the car was on their lot.  It was manufactured prior 3 weeks prior to my configure date so I didn't get the s"&amp;"poiler and HW3 that others were getting with even later config dates")</f>
        <v>after 30 days of waiting with no communication, I got an email to update my delivery info.  Called the SC and they said they had a VIN for me and the car was on their lot.  It was manufactured prior 3 weeks prior to my configure date so I didn't get the spoiler and HW3 that others were getting with even later config dates</v>
      </c>
      <c r="AH2018" s="157">
        <f>IFERROR(__xludf.DUMMYFUNCTION("""COMPUTED_VALUE"""),43594.620007523146)</f>
        <v>43594.62001</v>
      </c>
      <c r="AI2018" s="138"/>
      <c r="AJ2018" s="138"/>
      <c r="AK2018" s="138"/>
      <c r="AL2018" s="142"/>
    </row>
    <row r="2019" ht="20.25" customHeight="1">
      <c r="A2019" s="155" t="str">
        <f>IFERROR(__xludf.DUMMYFUNCTION("""COMPUTED_VALUE"""),"Chrisedge")</f>
        <v>Chrisedge</v>
      </c>
      <c r="B2019" s="149" t="str">
        <f>IFERROR(__xludf.DUMMYFUNCTION("""COMPUTED_VALUE"""),"Orange County")</f>
        <v>Orange County</v>
      </c>
      <c r="C2019" s="149" t="str">
        <f>IFERROR(__xludf.DUMMYFUNCTION("""COMPUTED_VALUE"""),"CA")</f>
        <v>CA</v>
      </c>
      <c r="D2019" s="149" t="str">
        <f>IFERROR(__xludf.DUMMYFUNCTION("""COMPUTED_VALUE"""),"USA")</f>
        <v>USA</v>
      </c>
      <c r="E2019" s="156">
        <f>IFERROR(__xludf.DUMMYFUNCTION("""COMPUTED_VALUE"""),43561.0)</f>
        <v>43561</v>
      </c>
      <c r="F2019" s="129">
        <f>IFERROR(__xludf.DUMMYFUNCTION("""COMPUTED_VALUE"""),43587.0)</f>
        <v>43587</v>
      </c>
      <c r="G2019" s="154"/>
      <c r="H2019" s="131">
        <f>IFERROR(__xludf.DUMMYFUNCTION("""COMPUTED_VALUE"""),367355.0)</f>
        <v>367355</v>
      </c>
      <c r="I2019" s="144"/>
      <c r="J2019" s="129">
        <f>IFERROR(__xludf.DUMMYFUNCTION("""COMPUTED_VALUE"""),43590.0)</f>
        <v>43590</v>
      </c>
      <c r="K2019" s="133">
        <f>IFERROR(__xludf.DUMMYFUNCTION("""COMPUTED_VALUE"""),26.0)</f>
        <v>26</v>
      </c>
      <c r="L2019" s="133">
        <f>IFERROR(__xludf.DUMMYFUNCTION("""COMPUTED_VALUE"""),3.0)</f>
        <v>3</v>
      </c>
      <c r="M2019" s="133">
        <f>IFERROR(__xludf.DUMMYFUNCTION("""COMPUTED_VALUE"""),29.0)</f>
        <v>29</v>
      </c>
      <c r="N2019" s="152" t="str">
        <f>IFERROR(__xludf.DUMMYFUNCTION("""COMPUTED_VALUE"""),"Model 3 Performance")</f>
        <v>Model 3 Performance</v>
      </c>
      <c r="O2019" s="152" t="str">
        <f>IFERROR(__xludf.DUMMYFUNCTION("""COMPUTED_VALUE"""),"Red Multi-Coat")</f>
        <v>Red Multi-Coat</v>
      </c>
      <c r="P2019" s="153" t="str">
        <f>IFERROR(__xludf.DUMMYFUNCTION("""COMPUTED_VALUE"""),"20 inch Sport")</f>
        <v>20 inch Sport</v>
      </c>
      <c r="Q2019" s="152" t="str">
        <f>IFERROR(__xludf.DUMMYFUNCTION("""COMPUTED_VALUE"""),"Black seats")</f>
        <v>Black seats</v>
      </c>
      <c r="R2019" s="149" t="str">
        <f>IFERROR(__xludf.DUMMYFUNCTION("""COMPUTED_VALUE"""),"Autopilot")</f>
        <v>Autopilot</v>
      </c>
      <c r="S2019" s="149"/>
      <c r="T2019" s="145"/>
      <c r="U2019" s="145"/>
      <c r="V2019" s="145"/>
      <c r="W2019" s="145"/>
      <c r="X2019" s="137" t="str">
        <f>IFERROR(__xludf.DUMMYFUNCTION("""COMPUTED_VALUE"""),"Excellent")</f>
        <v>Excellent</v>
      </c>
      <c r="Y2019" s="138" t="str">
        <f>IFERROR(__xludf.DUMMYFUNCTION("""COMPUTED_VALUE"""),"Excellent")</f>
        <v>Excellent</v>
      </c>
      <c r="Z2019" s="138" t="str">
        <f>IFERROR(__xludf.DUMMYFUNCTION("""COMPUTED_VALUE"""),"Very Good")</f>
        <v>Very Good</v>
      </c>
      <c r="AA2019" s="138" t="str">
        <f>IFERROR(__xludf.DUMMYFUNCTION("""COMPUTED_VALUE"""),"Excellent")</f>
        <v>Excellent</v>
      </c>
      <c r="AB2019" s="138" t="str">
        <f>IFERROR(__xludf.DUMMYFUNCTION("""COMPUTED_VALUE"""),"Excellent")</f>
        <v>Excellent</v>
      </c>
      <c r="AC2019" s="139"/>
      <c r="AD2019" s="139"/>
      <c r="AE2019" s="139"/>
      <c r="AF2019" s="140"/>
      <c r="AG2019" s="145" t="str">
        <f>IFERROR(__xludf.DUMMYFUNCTION("""COMPUTED_VALUE"""),"It was scheduled for 5/7 and they moved me up to 5/5 if I picked up at Costa Mesa Delivery Center ")</f>
        <v>It was scheduled for 5/7 and they moved me up to 5/5 if I picked up at Costa Mesa Delivery Center </v>
      </c>
      <c r="AH2019" s="157">
        <f>IFERROR(__xludf.DUMMYFUNCTION("""COMPUTED_VALUE"""),43590.565916840285)</f>
        <v>43590.56592</v>
      </c>
      <c r="AI2019" s="138"/>
      <c r="AJ2019" s="138"/>
      <c r="AK2019" s="138"/>
      <c r="AL2019" s="142"/>
    </row>
    <row r="2020" ht="20.25" customHeight="1">
      <c r="A2020" s="155" t="str">
        <f>IFERROR(__xludf.DUMMYFUNCTION("""COMPUTED_VALUE"""),"ilovestats")</f>
        <v>ilovestats</v>
      </c>
      <c r="B2020" s="149" t="str">
        <f>IFERROR(__xludf.DUMMYFUNCTION("""COMPUTED_VALUE"""),"Indianapolis")</f>
        <v>Indianapolis</v>
      </c>
      <c r="C2020" s="149" t="str">
        <f>IFERROR(__xludf.DUMMYFUNCTION("""COMPUTED_VALUE"""),"IN")</f>
        <v>IN</v>
      </c>
      <c r="D2020" s="149" t="str">
        <f>IFERROR(__xludf.DUMMYFUNCTION("""COMPUTED_VALUE"""),"USA")</f>
        <v>USA</v>
      </c>
      <c r="E2020" s="156">
        <f>IFERROR(__xludf.DUMMYFUNCTION("""COMPUTED_VALUE"""),43561.0)</f>
        <v>43561</v>
      </c>
      <c r="F2020" s="129">
        <f>IFERROR(__xludf.DUMMYFUNCTION("""COMPUTED_VALUE"""),43575.0)</f>
        <v>43575</v>
      </c>
      <c r="G2020" s="154"/>
      <c r="H2020" s="131">
        <f>IFERROR(__xludf.DUMMYFUNCTION("""COMPUTED_VALUE"""),312355.0)</f>
        <v>312355</v>
      </c>
      <c r="I2020" s="144" t="str">
        <f>IFERROR(__xludf.DUMMYFUNCTION("""COMPUTED_VALUE"""),"03/19")</f>
        <v>03/19</v>
      </c>
      <c r="J2020" s="129">
        <f>IFERROR(__xludf.DUMMYFUNCTION("""COMPUTED_VALUE"""),43581.0)</f>
        <v>43581</v>
      </c>
      <c r="K2020" s="133">
        <f>IFERROR(__xludf.DUMMYFUNCTION("""COMPUTED_VALUE"""),14.0)</f>
        <v>14</v>
      </c>
      <c r="L2020" s="133">
        <f>IFERROR(__xludf.DUMMYFUNCTION("""COMPUTED_VALUE"""),6.0)</f>
        <v>6</v>
      </c>
      <c r="M2020" s="133">
        <f>IFERROR(__xludf.DUMMYFUNCTION("""COMPUTED_VALUE"""),20.0)</f>
        <v>20</v>
      </c>
      <c r="N2020" s="152" t="str">
        <f>IFERROR(__xludf.DUMMYFUNCTION("""COMPUTED_VALUE"""),"Model 3 SR+")</f>
        <v>Model 3 SR+</v>
      </c>
      <c r="O2020" s="152" t="str">
        <f>IFERROR(__xludf.DUMMYFUNCTION("""COMPUTED_VALUE"""),"Deep Blue Metallic")</f>
        <v>Deep Blue Metallic</v>
      </c>
      <c r="P2020" s="153" t="str">
        <f>IFERROR(__xludf.DUMMYFUNCTION("""COMPUTED_VALUE"""),"18 inch Aero")</f>
        <v>18 inch Aero</v>
      </c>
      <c r="Q2020" s="152" t="str">
        <f>IFERROR(__xludf.DUMMYFUNCTION("""COMPUTED_VALUE"""),"White seats")</f>
        <v>White seats</v>
      </c>
      <c r="R2020" s="149" t="str">
        <f>IFERROR(__xludf.DUMMYFUNCTION("""COMPUTED_VALUE"""),"Full Self-Driving")</f>
        <v>Full Self-Driving</v>
      </c>
      <c r="S2020" s="149"/>
      <c r="T2020" s="145"/>
      <c r="U2020" s="145"/>
      <c r="V2020" s="145"/>
      <c r="W2020" s="145"/>
      <c r="X2020" s="137" t="str">
        <f>IFERROR(__xludf.DUMMYFUNCTION("""COMPUTED_VALUE"""),"Very Good")</f>
        <v>Very Good</v>
      </c>
      <c r="Y2020" s="138" t="str">
        <f>IFERROR(__xludf.DUMMYFUNCTION("""COMPUTED_VALUE"""),"Excellent")</f>
        <v>Excellent</v>
      </c>
      <c r="Z2020" s="138" t="str">
        <f>IFERROR(__xludf.DUMMYFUNCTION("""COMPUTED_VALUE"""),"Excellent")</f>
        <v>Excellent</v>
      </c>
      <c r="AA2020" s="138" t="str">
        <f>IFERROR(__xludf.DUMMYFUNCTION("""COMPUTED_VALUE"""),"Good")</f>
        <v>Good</v>
      </c>
      <c r="AB2020" s="138" t="str">
        <f>IFERROR(__xludf.DUMMYFUNCTION("""COMPUTED_VALUE"""),"Very Good")</f>
        <v>Very Good</v>
      </c>
      <c r="AC2020" s="139"/>
      <c r="AD2020" s="139"/>
      <c r="AE2020" s="139"/>
      <c r="AF2020" s="140"/>
      <c r="AG2020" s="145" t="str">
        <f>IFERROR(__xludf.DUMMYFUNCTION("""COMPUTED_VALUE"""),"4/6 ordered White Ext, 4/9 changed to Blue, 4/11 called about updated price, was told it would be honored, 4/20 delivery date assigned 5/1 but no VIN, called and 3 hours later VIN was assigned and delivery date changed to 4/27,  but MyTesla was not update"&amp;"d until I called on 4/23, then was updated immediately, now has 4/26 delivery date")</f>
        <v>4/6 ordered White Ext, 4/9 changed to Blue, 4/11 called about updated price, was told it would be honored, 4/20 delivery date assigned 5/1 but no VIN, called and 3 hours later VIN was assigned and delivery date changed to 4/27,  but MyTesla was not updated until I called on 4/23, then was updated immediately, now has 4/26 delivery date</v>
      </c>
      <c r="AH2020" s="157">
        <f>IFERROR(__xludf.DUMMYFUNCTION("""COMPUTED_VALUE"""),43582.374460590276)</f>
        <v>43582.37446</v>
      </c>
      <c r="AI2020" s="138"/>
      <c r="AJ2020" s="138"/>
      <c r="AK2020" s="138"/>
      <c r="AL2020" s="142"/>
    </row>
    <row r="2021" ht="20.25" customHeight="1">
      <c r="A2021" s="155" t="str">
        <f>IFERROR(__xludf.DUMMYFUNCTION("""COMPUTED_VALUE"""),"Talax74")</f>
        <v>Talax74</v>
      </c>
      <c r="B2021" s="149" t="str">
        <f>IFERROR(__xludf.DUMMYFUNCTION("""COMPUTED_VALUE"""),"Raleigh")</f>
        <v>Raleigh</v>
      </c>
      <c r="C2021" s="149" t="str">
        <f>IFERROR(__xludf.DUMMYFUNCTION("""COMPUTED_VALUE"""),"NC")</f>
        <v>NC</v>
      </c>
      <c r="D2021" s="149" t="str">
        <f>IFERROR(__xludf.DUMMYFUNCTION("""COMPUTED_VALUE"""),"Norway")</f>
        <v>Norway</v>
      </c>
      <c r="E2021" s="156">
        <f>IFERROR(__xludf.DUMMYFUNCTION("""COMPUTED_VALUE"""),43559.0)</f>
        <v>43559</v>
      </c>
      <c r="F2021" s="129">
        <f>IFERROR(__xludf.DUMMYFUNCTION("""COMPUTED_VALUE"""),43560.0)</f>
        <v>43560</v>
      </c>
      <c r="G2021" s="154"/>
      <c r="H2021" s="131">
        <f>IFERROR(__xludf.DUMMYFUNCTION("""COMPUTED_VALUE"""),297555.0)</f>
        <v>297555</v>
      </c>
      <c r="I2021" s="144" t="str">
        <f>IFERROR(__xludf.DUMMYFUNCTION("""COMPUTED_VALUE"""),"03/19")</f>
        <v>03/19</v>
      </c>
      <c r="J2021" s="129">
        <f>IFERROR(__xludf.DUMMYFUNCTION("""COMPUTED_VALUE"""),43561.0)</f>
        <v>43561</v>
      </c>
      <c r="K2021" s="133">
        <f>IFERROR(__xludf.DUMMYFUNCTION("""COMPUTED_VALUE"""),1.0)</f>
        <v>1</v>
      </c>
      <c r="L2021" s="133">
        <f>IFERROR(__xludf.DUMMYFUNCTION("""COMPUTED_VALUE"""),1.0)</f>
        <v>1</v>
      </c>
      <c r="M2021" s="133">
        <f>IFERROR(__xludf.DUMMYFUNCTION("""COMPUTED_VALUE"""),2.0)</f>
        <v>2</v>
      </c>
      <c r="N2021" s="152" t="str">
        <f>IFERROR(__xludf.DUMMYFUNCTION("""COMPUTED_VALUE"""),"Model 3 SR+")</f>
        <v>Model 3 SR+</v>
      </c>
      <c r="O2021" s="152"/>
      <c r="P2021" s="153" t="str">
        <f>IFERROR(__xludf.DUMMYFUNCTION("""COMPUTED_VALUE"""),"18 inch Aero")</f>
        <v>18 inch Aero</v>
      </c>
      <c r="Q2021" s="152" t="str">
        <f>IFERROR(__xludf.DUMMYFUNCTION("""COMPUTED_VALUE"""),"Black seats")</f>
        <v>Black seats</v>
      </c>
      <c r="R2021" s="149" t="str">
        <f>IFERROR(__xludf.DUMMYFUNCTION("""COMPUTED_VALUE"""),"None")</f>
        <v>None</v>
      </c>
      <c r="S2021" s="149"/>
      <c r="T2021" s="145"/>
      <c r="U2021" s="145"/>
      <c r="V2021" s="145"/>
      <c r="W2021" s="145"/>
      <c r="X2021" s="137" t="str">
        <f>IFERROR(__xludf.DUMMYFUNCTION("""COMPUTED_VALUE"""),"Excellent")</f>
        <v>Excellent</v>
      </c>
      <c r="Y2021" s="138"/>
      <c r="Z2021" s="138"/>
      <c r="AA2021" s="138"/>
      <c r="AB2021" s="138"/>
      <c r="AC2021" s="139"/>
      <c r="AD2021" s="139"/>
      <c r="AE2021" s="139"/>
      <c r="AF2021" s="140"/>
      <c r="AG2021" s="145"/>
      <c r="AH2021" s="157">
        <f>IFERROR(__xludf.DUMMYFUNCTION("""COMPUTED_VALUE"""),43562.756480081014)</f>
        <v>43562.75648</v>
      </c>
      <c r="AI2021" s="138"/>
      <c r="AJ2021" s="138"/>
      <c r="AK2021" s="138"/>
      <c r="AL2021" s="142"/>
    </row>
    <row r="2022" ht="20.25" customHeight="1">
      <c r="A2022" s="155" t="str">
        <f>IFERROR(__xludf.DUMMYFUNCTION("""COMPUTED_VALUE"""),"roostermt")</f>
        <v>roostermt</v>
      </c>
      <c r="B2022" s="149" t="str">
        <f>IFERROR(__xludf.DUMMYFUNCTION("""COMPUTED_VALUE"""),"Stuart")</f>
        <v>Stuart</v>
      </c>
      <c r="C2022" s="149" t="str">
        <f>IFERROR(__xludf.DUMMYFUNCTION("""COMPUTED_VALUE"""),"FL")</f>
        <v>FL</v>
      </c>
      <c r="D2022" s="149" t="str">
        <f>IFERROR(__xludf.DUMMYFUNCTION("""COMPUTED_VALUE"""),"USA")</f>
        <v>USA</v>
      </c>
      <c r="E2022" s="156">
        <f>IFERROR(__xludf.DUMMYFUNCTION("""COMPUTED_VALUE"""),43557.0)</f>
        <v>43557</v>
      </c>
      <c r="F2022" s="129">
        <f>IFERROR(__xludf.DUMMYFUNCTION("""COMPUTED_VALUE"""),43565.0)</f>
        <v>43565</v>
      </c>
      <c r="G2022" s="154"/>
      <c r="H2022" s="131">
        <f>IFERROR(__xludf.DUMMYFUNCTION("""COMPUTED_VALUE"""),210845.0)</f>
        <v>210845</v>
      </c>
      <c r="I2022" s="144"/>
      <c r="J2022" s="129">
        <f>IFERROR(__xludf.DUMMYFUNCTION("""COMPUTED_VALUE"""),43572.0)</f>
        <v>43572</v>
      </c>
      <c r="K2022" s="133">
        <f>IFERROR(__xludf.DUMMYFUNCTION("""COMPUTED_VALUE"""),8.0)</f>
        <v>8</v>
      </c>
      <c r="L2022" s="133">
        <f>IFERROR(__xludf.DUMMYFUNCTION("""COMPUTED_VALUE"""),7.0)</f>
        <v>7</v>
      </c>
      <c r="M2022" s="133">
        <f>IFERROR(__xludf.DUMMYFUNCTION("""COMPUTED_VALUE"""),15.0)</f>
        <v>15</v>
      </c>
      <c r="N2022" s="152" t="str">
        <f>IFERROR(__xludf.DUMMYFUNCTION("""COMPUTED_VALUE"""),"Model 3 LR AWD")</f>
        <v>Model 3 LR AWD</v>
      </c>
      <c r="O2022" s="152" t="str">
        <f>IFERROR(__xludf.DUMMYFUNCTION("""COMPUTED_VALUE"""),"Deep Blue Metallic")</f>
        <v>Deep Blue Metallic</v>
      </c>
      <c r="P2022" s="153" t="str">
        <f>IFERROR(__xludf.DUMMYFUNCTION("""COMPUTED_VALUE"""),"18 inch Aero")</f>
        <v>18 inch Aero</v>
      </c>
      <c r="Q2022" s="152" t="str">
        <f>IFERROR(__xludf.DUMMYFUNCTION("""COMPUTED_VALUE"""),"Black seats")</f>
        <v>Black seats</v>
      </c>
      <c r="R2022" s="149" t="str">
        <f>IFERROR(__xludf.DUMMYFUNCTION("""COMPUTED_VALUE"""),"Full Self-Driving")</f>
        <v>Full Self-Driving</v>
      </c>
      <c r="S2022" s="149"/>
      <c r="T2022" s="145"/>
      <c r="U2022" s="145"/>
      <c r="V2022" s="145"/>
      <c r="W2022" s="145"/>
      <c r="X2022" s="137" t="str">
        <f>IFERROR(__xludf.DUMMYFUNCTION("""COMPUTED_VALUE"""),"Very Good")</f>
        <v>Very Good</v>
      </c>
      <c r="Y2022" s="138" t="str">
        <f>IFERROR(__xludf.DUMMYFUNCTION("""COMPUTED_VALUE"""),"Very Good")</f>
        <v>Very Good</v>
      </c>
      <c r="Z2022" s="138" t="str">
        <f>IFERROR(__xludf.DUMMYFUNCTION("""COMPUTED_VALUE"""),"Very Good")</f>
        <v>Very Good</v>
      </c>
      <c r="AA2022" s="138" t="str">
        <f>IFERROR(__xludf.DUMMYFUNCTION("""COMPUTED_VALUE"""),"Good")</f>
        <v>Good</v>
      </c>
      <c r="AB2022" s="138" t="str">
        <f>IFERROR(__xludf.DUMMYFUNCTION("""COMPUTED_VALUE"""),"Very Good")</f>
        <v>Very Good</v>
      </c>
      <c r="AC2022" s="139"/>
      <c r="AD2022" s="139"/>
      <c r="AE2022" s="139"/>
      <c r="AF2022" s="140"/>
      <c r="AG2022" s="145"/>
      <c r="AH2022" s="157">
        <f>IFERROR(__xludf.DUMMYFUNCTION("""COMPUTED_VALUE"""),43571.701494409725)</f>
        <v>43571.70149</v>
      </c>
      <c r="AI2022" s="138"/>
      <c r="AJ2022" s="138"/>
      <c r="AK2022" s="138"/>
      <c r="AL2022" s="142"/>
    </row>
    <row r="2023" ht="20.25" customHeight="1">
      <c r="A2023" s="155" t="str">
        <f>IFERROR(__xludf.DUMMYFUNCTION("""COMPUTED_VALUE"""),"jbird1216")</f>
        <v>jbird1216</v>
      </c>
      <c r="B2023" s="149" t="str">
        <f>IFERROR(__xludf.DUMMYFUNCTION("""COMPUTED_VALUE"""),"Chicago")</f>
        <v>Chicago</v>
      </c>
      <c r="C2023" s="149" t="str">
        <f>IFERROR(__xludf.DUMMYFUNCTION("""COMPUTED_VALUE"""),"IL")</f>
        <v>IL</v>
      </c>
      <c r="D2023" s="149" t="str">
        <f>IFERROR(__xludf.DUMMYFUNCTION("""COMPUTED_VALUE"""),"USA")</f>
        <v>USA</v>
      </c>
      <c r="E2023" s="156">
        <f>IFERROR(__xludf.DUMMYFUNCTION("""COMPUTED_VALUE"""),43555.0)</f>
        <v>43555</v>
      </c>
      <c r="F2023" s="129">
        <f>IFERROR(__xludf.DUMMYFUNCTION("""COMPUTED_VALUE"""),43560.0)</f>
        <v>43560</v>
      </c>
      <c r="G2023" s="154"/>
      <c r="H2023" s="131"/>
      <c r="I2023" s="144"/>
      <c r="J2023" s="129">
        <f>IFERROR(__xludf.DUMMYFUNCTION("""COMPUTED_VALUE"""),43561.0)</f>
        <v>43561</v>
      </c>
      <c r="K2023" s="133">
        <f>IFERROR(__xludf.DUMMYFUNCTION("""COMPUTED_VALUE"""),5.0)</f>
        <v>5</v>
      </c>
      <c r="L2023" s="133">
        <f>IFERROR(__xludf.DUMMYFUNCTION("""COMPUTED_VALUE"""),1.0)</f>
        <v>1</v>
      </c>
      <c r="M2023" s="133">
        <f>IFERROR(__xludf.DUMMYFUNCTION("""COMPUTED_VALUE"""),6.0)</f>
        <v>6</v>
      </c>
      <c r="N2023" s="152" t="str">
        <f>IFERROR(__xludf.DUMMYFUNCTION("""COMPUTED_VALUE"""),"Model 3 SR+")</f>
        <v>Model 3 SR+</v>
      </c>
      <c r="O2023" s="152" t="str">
        <f>IFERROR(__xludf.DUMMYFUNCTION("""COMPUTED_VALUE"""),"Solid Black")</f>
        <v>Solid Black</v>
      </c>
      <c r="P2023" s="153" t="str">
        <f>IFERROR(__xludf.DUMMYFUNCTION("""COMPUTED_VALUE"""),"18 inch Aero")</f>
        <v>18 inch Aero</v>
      </c>
      <c r="Q2023" s="152" t="str">
        <f>IFERROR(__xludf.DUMMYFUNCTION("""COMPUTED_VALUE"""),"Black seats")</f>
        <v>Black seats</v>
      </c>
      <c r="R2023" s="149" t="str">
        <f>IFERROR(__xludf.DUMMYFUNCTION("""COMPUTED_VALUE"""),"Autopilot")</f>
        <v>Autopilot</v>
      </c>
      <c r="S2023" s="149"/>
      <c r="T2023" s="145"/>
      <c r="U2023" s="145"/>
      <c r="V2023" s="145"/>
      <c r="W2023" s="145"/>
      <c r="X2023" s="137" t="str">
        <f>IFERROR(__xludf.DUMMYFUNCTION("""COMPUTED_VALUE"""),"Excellent")</f>
        <v>Excellent</v>
      </c>
      <c r="Y2023" s="138" t="str">
        <f>IFERROR(__xludf.DUMMYFUNCTION("""COMPUTED_VALUE"""),"Excellent")</f>
        <v>Excellent</v>
      </c>
      <c r="Z2023" s="138" t="str">
        <f>IFERROR(__xludf.DUMMYFUNCTION("""COMPUTED_VALUE"""),"Excellent")</f>
        <v>Excellent</v>
      </c>
      <c r="AA2023" s="138" t="str">
        <f>IFERROR(__xludf.DUMMYFUNCTION("""COMPUTED_VALUE"""),"Good")</f>
        <v>Good</v>
      </c>
      <c r="AB2023" s="138" t="str">
        <f>IFERROR(__xludf.DUMMYFUNCTION("""COMPUTED_VALUE"""),"Excellent")</f>
        <v>Excellent</v>
      </c>
      <c r="AC2023" s="139"/>
      <c r="AD2023" s="139"/>
      <c r="AE2023" s="139"/>
      <c r="AF2023" s="140"/>
      <c r="AG2023" s="145"/>
      <c r="AH2023" s="157">
        <f>IFERROR(__xludf.DUMMYFUNCTION("""COMPUTED_VALUE"""),43563.22935725695)</f>
        <v>43563.22936</v>
      </c>
      <c r="AI2023" s="138"/>
      <c r="AJ2023" s="138"/>
      <c r="AK2023" s="138"/>
      <c r="AL2023" s="142"/>
    </row>
    <row r="2024" ht="20.25" customHeight="1">
      <c r="A2024" s="155" t="str">
        <f>IFERROR(__xludf.DUMMYFUNCTION("""COMPUTED_VALUE"""),"samanthaxpalmer")</f>
        <v>samanthaxpalmer</v>
      </c>
      <c r="B2024" s="149" t="str">
        <f>IFERROR(__xludf.DUMMYFUNCTION("""COMPUTED_VALUE"""),"Richmond")</f>
        <v>Richmond</v>
      </c>
      <c r="C2024" s="149" t="str">
        <f>IFERROR(__xludf.DUMMYFUNCTION("""COMPUTED_VALUE"""),"VA")</f>
        <v>VA</v>
      </c>
      <c r="D2024" s="149" t="str">
        <f>IFERROR(__xludf.DUMMYFUNCTION("""COMPUTED_VALUE"""),"USA")</f>
        <v>USA</v>
      </c>
      <c r="E2024" s="156">
        <f>IFERROR(__xludf.DUMMYFUNCTION("""COMPUTED_VALUE"""),43552.0)</f>
        <v>43552</v>
      </c>
      <c r="F2024" s="129">
        <f>IFERROR(__xludf.DUMMYFUNCTION("""COMPUTED_VALUE"""),43610.0)</f>
        <v>43610</v>
      </c>
      <c r="G2024" s="154"/>
      <c r="H2024" s="131">
        <f>IFERROR(__xludf.DUMMYFUNCTION("""COMPUTED_VALUE"""),393485.0)</f>
        <v>393485</v>
      </c>
      <c r="I2024" s="144" t="str">
        <f>IFERROR(__xludf.DUMMYFUNCTION("""COMPUTED_VALUE"""),"05/19")</f>
        <v>05/19</v>
      </c>
      <c r="J2024" s="129">
        <f>IFERROR(__xludf.DUMMYFUNCTION("""COMPUTED_VALUE"""),43615.0)</f>
        <v>43615</v>
      </c>
      <c r="K2024" s="133">
        <f>IFERROR(__xludf.DUMMYFUNCTION("""COMPUTED_VALUE"""),58.0)</f>
        <v>58</v>
      </c>
      <c r="L2024" s="133">
        <f>IFERROR(__xludf.DUMMYFUNCTION("""COMPUTED_VALUE"""),5.0)</f>
        <v>5</v>
      </c>
      <c r="M2024" s="133">
        <f>IFERROR(__xludf.DUMMYFUNCTION("""COMPUTED_VALUE"""),63.0)</f>
        <v>63</v>
      </c>
      <c r="N2024" s="152" t="str">
        <f>IFERROR(__xludf.DUMMYFUNCTION("""COMPUTED_VALUE"""),"Model 3 Performance")</f>
        <v>Model 3 Performance</v>
      </c>
      <c r="O2024" s="152" t="str">
        <f>IFERROR(__xludf.DUMMYFUNCTION("""COMPUTED_VALUE"""),"Red Multi-Coat")</f>
        <v>Red Multi-Coat</v>
      </c>
      <c r="P2024" s="153" t="str">
        <f>IFERROR(__xludf.DUMMYFUNCTION("""COMPUTED_VALUE"""),"20 inch Sport")</f>
        <v>20 inch Sport</v>
      </c>
      <c r="Q2024" s="152" t="str">
        <f>IFERROR(__xludf.DUMMYFUNCTION("""COMPUTED_VALUE"""),"White seats")</f>
        <v>White seats</v>
      </c>
      <c r="R2024" s="149" t="str">
        <f>IFERROR(__xludf.DUMMYFUNCTION("""COMPUTED_VALUE"""),"Full Self-Driving")</f>
        <v>Full Self-Driving</v>
      </c>
      <c r="S2024" s="149"/>
      <c r="T2024" s="145"/>
      <c r="U2024" s="145"/>
      <c r="V2024" s="145"/>
      <c r="W2024" s="145"/>
      <c r="X2024" s="137" t="str">
        <f>IFERROR(__xludf.DUMMYFUNCTION("""COMPUTED_VALUE"""),"Very Good")</f>
        <v>Very Good</v>
      </c>
      <c r="Y2024" s="138" t="str">
        <f>IFERROR(__xludf.DUMMYFUNCTION("""COMPUTED_VALUE"""),"Excellent")</f>
        <v>Excellent</v>
      </c>
      <c r="Z2024" s="138" t="str">
        <f>IFERROR(__xludf.DUMMYFUNCTION("""COMPUTED_VALUE"""),"Very Good")</f>
        <v>Very Good</v>
      </c>
      <c r="AA2024" s="138" t="str">
        <f>IFERROR(__xludf.DUMMYFUNCTION("""COMPUTED_VALUE"""),"Good")</f>
        <v>Good</v>
      </c>
      <c r="AB2024" s="138" t="str">
        <f>IFERROR(__xludf.DUMMYFUNCTION("""COMPUTED_VALUE"""),"Excellent")</f>
        <v>Excellent</v>
      </c>
      <c r="AC2024" s="139"/>
      <c r="AD2024" s="139"/>
      <c r="AE2024" s="139"/>
      <c r="AF2024" s="140"/>
      <c r="AG2024" s="145"/>
      <c r="AH2024" s="157">
        <f>IFERROR(__xludf.DUMMYFUNCTION("""COMPUTED_VALUE"""),43616.23120215278)</f>
        <v>43616.2312</v>
      </c>
      <c r="AI2024" s="138"/>
      <c r="AJ2024" s="138"/>
      <c r="AK2024" s="138"/>
      <c r="AL2024" s="142"/>
    </row>
    <row r="2025" ht="20.25" customHeight="1">
      <c r="A2025" s="155" t="str">
        <f>IFERROR(__xludf.DUMMYFUNCTION("""COMPUTED_VALUE"""),"bwilson4web")</f>
        <v>bwilson4web</v>
      </c>
      <c r="B2025" s="149" t="str">
        <f>IFERROR(__xludf.DUMMYFUNCTION("""COMPUTED_VALUE"""),"Huntsville")</f>
        <v>Huntsville</v>
      </c>
      <c r="C2025" s="149" t="str">
        <f>IFERROR(__xludf.DUMMYFUNCTION("""COMPUTED_VALUE"""),"AL")</f>
        <v>AL</v>
      </c>
      <c r="D2025" s="149" t="str">
        <f>IFERROR(__xludf.DUMMYFUNCTION("""COMPUTED_VALUE"""),"USA")</f>
        <v>USA</v>
      </c>
      <c r="E2025" s="156">
        <f>IFERROR(__xludf.DUMMYFUNCTION("""COMPUTED_VALUE"""),43550.0)</f>
        <v>43550</v>
      </c>
      <c r="F2025" s="129">
        <f>IFERROR(__xludf.DUMMYFUNCTION("""COMPUTED_VALUE"""),43549.0)</f>
        <v>43549</v>
      </c>
      <c r="G2025" s="154"/>
      <c r="H2025" s="131">
        <f>IFERROR(__xludf.DUMMYFUNCTION("""COMPUTED_VALUE"""),299234.0)</f>
        <v>299234</v>
      </c>
      <c r="I2025" s="144" t="str">
        <f>IFERROR(__xludf.DUMMYFUNCTION("""COMPUTED_VALUE"""),"03/19")</f>
        <v>03/19</v>
      </c>
      <c r="J2025" s="129">
        <f>IFERROR(__xludf.DUMMYFUNCTION("""COMPUTED_VALUE"""),43550.0)</f>
        <v>43550</v>
      </c>
      <c r="K2025" s="133"/>
      <c r="L2025" s="133">
        <f>IFERROR(__xludf.DUMMYFUNCTION("""COMPUTED_VALUE"""),1.0)</f>
        <v>1</v>
      </c>
      <c r="M2025" s="133">
        <f>IFERROR(__xludf.DUMMYFUNCTION("""COMPUTED_VALUE"""),0.0)</f>
        <v>0</v>
      </c>
      <c r="N2025" s="152" t="str">
        <f>IFERROR(__xludf.DUMMYFUNCTION("""COMPUTED_VALUE"""),"Model 3 SR+")</f>
        <v>Model 3 SR+</v>
      </c>
      <c r="O2025" s="152" t="str">
        <f>IFERROR(__xludf.DUMMYFUNCTION("""COMPUTED_VALUE"""),"Deep Blue Metallic")</f>
        <v>Deep Blue Metallic</v>
      </c>
      <c r="P2025" s="153" t="str">
        <f>IFERROR(__xludf.DUMMYFUNCTION("""COMPUTED_VALUE"""),"18 inch Aero")</f>
        <v>18 inch Aero</v>
      </c>
      <c r="Q2025" s="152" t="str">
        <f>IFERROR(__xludf.DUMMYFUNCTION("""COMPUTED_VALUE"""),"Black seats")</f>
        <v>Black seats</v>
      </c>
      <c r="R2025" s="149" t="str">
        <f>IFERROR(__xludf.DUMMYFUNCTION("""COMPUTED_VALUE"""),"Autopilot")</f>
        <v>Autopilot</v>
      </c>
      <c r="S2025" s="149"/>
      <c r="T2025" s="145"/>
      <c r="U2025" s="145"/>
      <c r="V2025" s="145"/>
      <c r="W2025" s="145"/>
      <c r="X2025" s="137" t="str">
        <f>IFERROR(__xludf.DUMMYFUNCTION("""COMPUTED_VALUE"""),"Excellent")</f>
        <v>Excellent</v>
      </c>
      <c r="Y2025" s="138" t="str">
        <f>IFERROR(__xludf.DUMMYFUNCTION("""COMPUTED_VALUE"""),"Excellent")</f>
        <v>Excellent</v>
      </c>
      <c r="Z2025" s="138" t="str">
        <f>IFERROR(__xludf.DUMMYFUNCTION("""COMPUTED_VALUE"""),"Excellent")</f>
        <v>Excellent</v>
      </c>
      <c r="AA2025" s="138" t="str">
        <f>IFERROR(__xludf.DUMMYFUNCTION("""COMPUTED_VALUE"""),"Excellent")</f>
        <v>Excellent</v>
      </c>
      <c r="AB2025" s="138" t="str">
        <f>IFERROR(__xludf.DUMMYFUNCTION("""COMPUTED_VALUE"""),"Excellent")</f>
        <v>Excellent</v>
      </c>
      <c r="AC2025" s="139">
        <f>IFERROR(__xludf.DUMMYFUNCTION("""COMPUTED_VALUE"""),0.0)</f>
        <v>0</v>
      </c>
      <c r="AD2025" s="139">
        <f>IFERROR(__xludf.DUMMYFUNCTION("""COMPUTED_VALUE"""),0.0)</f>
        <v>0</v>
      </c>
      <c r="AE2025" s="139">
        <f>IFERROR(__xludf.DUMMYFUNCTION("""COMPUTED_VALUE"""),0.0)</f>
        <v>0</v>
      </c>
      <c r="AF2025" s="140"/>
      <c r="AG2025" s="145" t="str">
        <f>IFERROR(__xludf.DUMMYFUNCTION("""COMPUTED_VALUE"""),"Fully meets and exceeds expectations")</f>
        <v>Fully meets and exceeds expectations</v>
      </c>
      <c r="AH2025" s="157">
        <f>IFERROR(__xludf.DUMMYFUNCTION("""COMPUTED_VALUE"""),43576.22885400463)</f>
        <v>43576.22885</v>
      </c>
      <c r="AI2025" s="138"/>
      <c r="AJ2025" s="138"/>
      <c r="AK2025" s="138"/>
      <c r="AL2025" s="142"/>
    </row>
    <row r="2026" ht="20.25" customHeight="1">
      <c r="A2026" s="155" t="str">
        <f>IFERROR(__xludf.DUMMYFUNCTION("""COMPUTED_VALUE"""),"ricca1234")</f>
        <v>ricca1234</v>
      </c>
      <c r="B2026" s="149" t="str">
        <f>IFERROR(__xludf.DUMMYFUNCTION("""COMPUTED_VALUE"""),"Southampton")</f>
        <v>Southampton</v>
      </c>
      <c r="C2026" s="149" t="str">
        <f>IFERROR(__xludf.DUMMYFUNCTION("""COMPUTED_VALUE"""),"PA")</f>
        <v>PA</v>
      </c>
      <c r="D2026" s="149" t="str">
        <f>IFERROR(__xludf.DUMMYFUNCTION("""COMPUTED_VALUE"""),"USA")</f>
        <v>USA</v>
      </c>
      <c r="E2026" s="156">
        <f>IFERROR(__xludf.DUMMYFUNCTION("""COMPUTED_VALUE"""),43550.0)</f>
        <v>43550</v>
      </c>
      <c r="F2026" s="129">
        <f>IFERROR(__xludf.DUMMYFUNCTION("""COMPUTED_VALUE"""),43581.0)</f>
        <v>43581</v>
      </c>
      <c r="G2026" s="154"/>
      <c r="H2026" s="131">
        <f>IFERROR(__xludf.DUMMYFUNCTION("""COMPUTED_VALUE"""),231655.0)</f>
        <v>231655</v>
      </c>
      <c r="I2026" s="144" t="str">
        <f>IFERROR(__xludf.DUMMYFUNCTION("""COMPUTED_VALUE"""),"04/19")</f>
        <v>04/19</v>
      </c>
      <c r="J2026" s="129">
        <f>IFERROR(__xludf.DUMMYFUNCTION("""COMPUTED_VALUE"""),43588.0)</f>
        <v>43588</v>
      </c>
      <c r="K2026" s="133">
        <f>IFERROR(__xludf.DUMMYFUNCTION("""COMPUTED_VALUE"""),31.0)</f>
        <v>31</v>
      </c>
      <c r="L2026" s="133">
        <f>IFERROR(__xludf.DUMMYFUNCTION("""COMPUTED_VALUE"""),7.0)</f>
        <v>7</v>
      </c>
      <c r="M2026" s="133">
        <f>IFERROR(__xludf.DUMMYFUNCTION("""COMPUTED_VALUE"""),38.0)</f>
        <v>38</v>
      </c>
      <c r="N2026" s="152" t="str">
        <f>IFERROR(__xludf.DUMMYFUNCTION("""COMPUTED_VALUE"""),"Model 3 Performance")</f>
        <v>Model 3 Performance</v>
      </c>
      <c r="O2026" s="152" t="str">
        <f>IFERROR(__xludf.DUMMYFUNCTION("""COMPUTED_VALUE"""),"Deep Blue Metallic")</f>
        <v>Deep Blue Metallic</v>
      </c>
      <c r="P2026" s="153" t="str">
        <f>IFERROR(__xludf.DUMMYFUNCTION("""COMPUTED_VALUE"""),"20 inch Sport")</f>
        <v>20 inch Sport</v>
      </c>
      <c r="Q2026" s="152" t="str">
        <f>IFERROR(__xludf.DUMMYFUNCTION("""COMPUTED_VALUE"""),"White seats")</f>
        <v>White seats</v>
      </c>
      <c r="R2026" s="149" t="str">
        <f>IFERROR(__xludf.DUMMYFUNCTION("""COMPUTED_VALUE"""),"Full Self-Driving")</f>
        <v>Full Self-Driving</v>
      </c>
      <c r="S2026" s="149"/>
      <c r="T2026" s="145"/>
      <c r="U2026" s="145"/>
      <c r="V2026" s="145"/>
      <c r="W2026" s="145"/>
      <c r="X2026" s="137" t="str">
        <f>IFERROR(__xludf.DUMMYFUNCTION("""COMPUTED_VALUE"""),"Excellent")</f>
        <v>Excellent</v>
      </c>
      <c r="Y2026" s="138" t="str">
        <f>IFERROR(__xludf.DUMMYFUNCTION("""COMPUTED_VALUE"""),"Very Good")</f>
        <v>Very Good</v>
      </c>
      <c r="Z2026" s="138" t="str">
        <f>IFERROR(__xludf.DUMMYFUNCTION("""COMPUTED_VALUE"""),"Excellent")</f>
        <v>Excellent</v>
      </c>
      <c r="AA2026" s="138" t="str">
        <f>IFERROR(__xludf.DUMMYFUNCTION("""COMPUTED_VALUE"""),"Very Good")</f>
        <v>Very Good</v>
      </c>
      <c r="AB2026" s="138" t="str">
        <f>IFERROR(__xludf.DUMMYFUNCTION("""COMPUTED_VALUE"""),"Excellent")</f>
        <v>Excellent</v>
      </c>
      <c r="AC2026" s="139"/>
      <c r="AD2026" s="139"/>
      <c r="AE2026" s="139"/>
      <c r="AF2026" s="140"/>
      <c r="AG2026" s="145"/>
      <c r="AH2026" s="157">
        <f>IFERROR(__xludf.DUMMYFUNCTION("""COMPUTED_VALUE"""),43589.44172287037)</f>
        <v>43589.44172</v>
      </c>
      <c r="AI2026" s="138"/>
      <c r="AJ2026" s="138"/>
      <c r="AK2026" s="138"/>
      <c r="AL2026" s="142"/>
    </row>
    <row r="2027" ht="20.25" customHeight="1">
      <c r="A2027" s="155" t="str">
        <f>IFERROR(__xludf.DUMMYFUNCTION("""COMPUTED_VALUE"""),"Alemaker2208")</f>
        <v>Alemaker2208</v>
      </c>
      <c r="B2027" s="149" t="str">
        <f>IFERROR(__xludf.DUMMYFUNCTION("""COMPUTED_VALUE"""),"Twin Cities")</f>
        <v>Twin Cities</v>
      </c>
      <c r="C2027" s="149" t="str">
        <f>IFERROR(__xludf.DUMMYFUNCTION("""COMPUTED_VALUE"""),"MN")</f>
        <v>MN</v>
      </c>
      <c r="D2027" s="149" t="str">
        <f>IFERROR(__xludf.DUMMYFUNCTION("""COMPUTED_VALUE"""),"USA")</f>
        <v>USA</v>
      </c>
      <c r="E2027" s="156">
        <f>IFERROR(__xludf.DUMMYFUNCTION("""COMPUTED_VALUE"""),43549.0)</f>
        <v>43549</v>
      </c>
      <c r="F2027" s="129">
        <f>IFERROR(__xludf.DUMMYFUNCTION("""COMPUTED_VALUE"""),43550.0)</f>
        <v>43550</v>
      </c>
      <c r="G2027" s="154"/>
      <c r="H2027" s="131">
        <f>IFERROR(__xludf.DUMMYFUNCTION("""COMPUTED_VALUE"""),298710.0)</f>
        <v>298710</v>
      </c>
      <c r="I2027" s="144" t="str">
        <f>IFERROR(__xludf.DUMMYFUNCTION("""COMPUTED_VALUE"""),"03/19")</f>
        <v>03/19</v>
      </c>
      <c r="J2027" s="129">
        <f>IFERROR(__xludf.DUMMYFUNCTION("""COMPUTED_VALUE"""),43561.0)</f>
        <v>43561</v>
      </c>
      <c r="K2027" s="133">
        <f>IFERROR(__xludf.DUMMYFUNCTION("""COMPUTED_VALUE"""),1.0)</f>
        <v>1</v>
      </c>
      <c r="L2027" s="133">
        <f>IFERROR(__xludf.DUMMYFUNCTION("""COMPUTED_VALUE"""),11.0)</f>
        <v>11</v>
      </c>
      <c r="M2027" s="133">
        <f>IFERROR(__xludf.DUMMYFUNCTION("""COMPUTED_VALUE"""),12.0)</f>
        <v>12</v>
      </c>
      <c r="N2027" s="152" t="str">
        <f>IFERROR(__xludf.DUMMYFUNCTION("""COMPUTED_VALUE"""),"Model 3 SR+")</f>
        <v>Model 3 SR+</v>
      </c>
      <c r="O2027" s="152" t="str">
        <f>IFERROR(__xludf.DUMMYFUNCTION("""COMPUTED_VALUE"""),"Midnight Silver Metallic")</f>
        <v>Midnight Silver Metallic</v>
      </c>
      <c r="P2027" s="153" t="str">
        <f>IFERROR(__xludf.DUMMYFUNCTION("""COMPUTED_VALUE"""),"18 inch Aero")</f>
        <v>18 inch Aero</v>
      </c>
      <c r="Q2027" s="152" t="str">
        <f>IFERROR(__xludf.DUMMYFUNCTION("""COMPUTED_VALUE"""),"Black seats")</f>
        <v>Black seats</v>
      </c>
      <c r="R2027" s="149" t="str">
        <f>IFERROR(__xludf.DUMMYFUNCTION("""COMPUTED_VALUE"""),"Full Self-Driving")</f>
        <v>Full Self-Driving</v>
      </c>
      <c r="S2027" s="149"/>
      <c r="T2027" s="145"/>
      <c r="U2027" s="145"/>
      <c r="V2027" s="145"/>
      <c r="W2027" s="145"/>
      <c r="X2027" s="137" t="str">
        <f>IFERROR(__xludf.DUMMYFUNCTION("""COMPUTED_VALUE"""),"Excellent")</f>
        <v>Excellent</v>
      </c>
      <c r="Y2027" s="138" t="str">
        <f>IFERROR(__xludf.DUMMYFUNCTION("""COMPUTED_VALUE"""),"Excellent")</f>
        <v>Excellent</v>
      </c>
      <c r="Z2027" s="138" t="str">
        <f>IFERROR(__xludf.DUMMYFUNCTION("""COMPUTED_VALUE"""),"Very Good")</f>
        <v>Very Good</v>
      </c>
      <c r="AA2027" s="138" t="str">
        <f>IFERROR(__xludf.DUMMYFUNCTION("""COMPUTED_VALUE"""),"Fair")</f>
        <v>Fair</v>
      </c>
      <c r="AB2027" s="138" t="str">
        <f>IFERROR(__xludf.DUMMYFUNCTION("""COMPUTED_VALUE"""),"Poor")</f>
        <v>Poor</v>
      </c>
      <c r="AC2027" s="139">
        <f>IFERROR(__xludf.DUMMYFUNCTION("""COMPUTED_VALUE"""),1.0)</f>
        <v>1</v>
      </c>
      <c r="AD2027" s="139">
        <f>IFERROR(__xludf.DUMMYFUNCTION("""COMPUTED_VALUE"""),0.0)</f>
        <v>0</v>
      </c>
      <c r="AE2027" s="139">
        <f>IFERROR(__xludf.DUMMYFUNCTION("""COMPUTED_VALUE"""),0.0)</f>
        <v>0</v>
      </c>
      <c r="AF2027" s="140"/>
      <c r="AG2027" s="145"/>
      <c r="AH2027" s="157">
        <f>IFERROR(__xludf.DUMMYFUNCTION("""COMPUTED_VALUE"""),43582.72340648148)</f>
        <v>43582.72341</v>
      </c>
      <c r="AI2027" s="138"/>
      <c r="AJ2027" s="138"/>
      <c r="AK2027" s="138"/>
      <c r="AL2027" s="142"/>
    </row>
    <row r="2028" ht="20.25" customHeight="1">
      <c r="A2028" s="155" t="str">
        <f>IFERROR(__xludf.DUMMYFUNCTION("""COMPUTED_VALUE"""),"willow_hiller")</f>
        <v>willow_hiller</v>
      </c>
      <c r="B2028" s="149"/>
      <c r="C2028" s="149" t="str">
        <f>IFERROR(__xludf.DUMMYFUNCTION("""COMPUTED_VALUE"""),"MD")</f>
        <v>MD</v>
      </c>
      <c r="D2028" s="149" t="str">
        <f>IFERROR(__xludf.DUMMYFUNCTION("""COMPUTED_VALUE"""),"USA")</f>
        <v>USA</v>
      </c>
      <c r="E2028" s="156">
        <f>IFERROR(__xludf.DUMMYFUNCTION("""COMPUTED_VALUE"""),43547.0)</f>
        <v>43547</v>
      </c>
      <c r="F2028" s="129">
        <f>IFERROR(__xludf.DUMMYFUNCTION("""COMPUTED_VALUE"""),43549.0)</f>
        <v>43549</v>
      </c>
      <c r="G2028" s="154"/>
      <c r="H2028" s="131">
        <f>IFERROR(__xludf.DUMMYFUNCTION("""COMPUTED_VALUE"""),304455.0)</f>
        <v>304455</v>
      </c>
      <c r="I2028" s="144" t="str">
        <f>IFERROR(__xludf.DUMMYFUNCTION("""COMPUTED_VALUE"""),"03/19")</f>
        <v>03/19</v>
      </c>
      <c r="J2028" s="129">
        <f>IFERROR(__xludf.DUMMYFUNCTION("""COMPUTED_VALUE"""),43550.0)</f>
        <v>43550</v>
      </c>
      <c r="K2028" s="133">
        <f>IFERROR(__xludf.DUMMYFUNCTION("""COMPUTED_VALUE"""),2.0)</f>
        <v>2</v>
      </c>
      <c r="L2028" s="133">
        <f>IFERROR(__xludf.DUMMYFUNCTION("""COMPUTED_VALUE"""),1.0)</f>
        <v>1</v>
      </c>
      <c r="M2028" s="133">
        <f>IFERROR(__xludf.DUMMYFUNCTION("""COMPUTED_VALUE"""),3.0)</f>
        <v>3</v>
      </c>
      <c r="N2028" s="152" t="str">
        <f>IFERROR(__xludf.DUMMYFUNCTION("""COMPUTED_VALUE"""),"Model 3 SR+")</f>
        <v>Model 3 SR+</v>
      </c>
      <c r="O2028" s="152" t="str">
        <f>IFERROR(__xludf.DUMMYFUNCTION("""COMPUTED_VALUE"""),"Solid Black")</f>
        <v>Solid Black</v>
      </c>
      <c r="P2028" s="153" t="str">
        <f>IFERROR(__xludf.DUMMYFUNCTION("""COMPUTED_VALUE"""),"18 inch Aero")</f>
        <v>18 inch Aero</v>
      </c>
      <c r="Q2028" s="152" t="str">
        <f>IFERROR(__xludf.DUMMYFUNCTION("""COMPUTED_VALUE"""),"Black seats")</f>
        <v>Black seats</v>
      </c>
      <c r="R2028" s="149" t="str">
        <f>IFERROR(__xludf.DUMMYFUNCTION("""COMPUTED_VALUE"""),"None")</f>
        <v>None</v>
      </c>
      <c r="S2028" s="149"/>
      <c r="T2028" s="145"/>
      <c r="U2028" s="145"/>
      <c r="V2028" s="145"/>
      <c r="W2028" s="145"/>
      <c r="X2028" s="137" t="str">
        <f>IFERROR(__xludf.DUMMYFUNCTION("""COMPUTED_VALUE"""),"Excellent")</f>
        <v>Excellent</v>
      </c>
      <c r="Y2028" s="138" t="str">
        <f>IFERROR(__xludf.DUMMYFUNCTION("""COMPUTED_VALUE"""),"Excellent")</f>
        <v>Excellent</v>
      </c>
      <c r="Z2028" s="138" t="str">
        <f>IFERROR(__xludf.DUMMYFUNCTION("""COMPUTED_VALUE"""),"Excellent")</f>
        <v>Excellent</v>
      </c>
      <c r="AA2028" s="138" t="str">
        <f>IFERROR(__xludf.DUMMYFUNCTION("""COMPUTED_VALUE"""),"Very Good")</f>
        <v>Very Good</v>
      </c>
      <c r="AB2028" s="138" t="str">
        <f>IFERROR(__xludf.DUMMYFUNCTION("""COMPUTED_VALUE"""),"Very Good")</f>
        <v>Very Good</v>
      </c>
      <c r="AC2028" s="139">
        <f>IFERROR(__xludf.DUMMYFUNCTION("""COMPUTED_VALUE"""),0.0)</f>
        <v>0</v>
      </c>
      <c r="AD2028" s="139">
        <f>IFERROR(__xludf.DUMMYFUNCTION("""COMPUTED_VALUE"""),0.0)</f>
        <v>0</v>
      </c>
      <c r="AE2028" s="139">
        <f>IFERROR(__xludf.DUMMYFUNCTION("""COMPUTED_VALUE"""),0.0)</f>
        <v>0</v>
      </c>
      <c r="AF2028" s="140"/>
      <c r="AG2028" s="145"/>
      <c r="AH2028" s="157">
        <f>IFERROR(__xludf.DUMMYFUNCTION("""COMPUTED_VALUE"""),43572.24385107639)</f>
        <v>43572.24385</v>
      </c>
      <c r="AI2028" s="138"/>
      <c r="AJ2028" s="138"/>
      <c r="AK2028" s="138"/>
      <c r="AL2028" s="142"/>
    </row>
    <row r="2029" ht="20.25" customHeight="1">
      <c r="A2029" s="155" t="str">
        <f>IFERROR(__xludf.DUMMYFUNCTION("""COMPUTED_VALUE"""),"bc9922ab2e7f2f05d858")</f>
        <v>bc9922ab2e7f2f05d858</v>
      </c>
      <c r="B2029" s="149" t="str">
        <f>IFERROR(__xludf.DUMMYFUNCTION("""COMPUTED_VALUE"""),"Phoenix")</f>
        <v>Phoenix</v>
      </c>
      <c r="C2029" s="149" t="str">
        <f>IFERROR(__xludf.DUMMYFUNCTION("""COMPUTED_VALUE"""),"AZ")</f>
        <v>AZ</v>
      </c>
      <c r="D2029" s="149" t="str">
        <f>IFERROR(__xludf.DUMMYFUNCTION("""COMPUTED_VALUE"""),"USA")</f>
        <v>USA</v>
      </c>
      <c r="E2029" s="156">
        <f>IFERROR(__xludf.DUMMYFUNCTION("""COMPUTED_VALUE"""),43544.0)</f>
        <v>43544</v>
      </c>
      <c r="F2029" s="129">
        <f>IFERROR(__xludf.DUMMYFUNCTION("""COMPUTED_VALUE"""),43568.0)</f>
        <v>43568</v>
      </c>
      <c r="G2029" s="154"/>
      <c r="H2029" s="131">
        <f>IFERROR(__xludf.DUMMYFUNCTION("""COMPUTED_VALUE"""),306765.0)</f>
        <v>306765</v>
      </c>
      <c r="I2029" s="144"/>
      <c r="J2029" s="129">
        <f>IFERROR(__xludf.DUMMYFUNCTION("""COMPUTED_VALUE"""),43572.0)</f>
        <v>43572</v>
      </c>
      <c r="K2029" s="133">
        <f>IFERROR(__xludf.DUMMYFUNCTION("""COMPUTED_VALUE"""),24.0)</f>
        <v>24</v>
      </c>
      <c r="L2029" s="133">
        <f>IFERROR(__xludf.DUMMYFUNCTION("""COMPUTED_VALUE"""),4.0)</f>
        <v>4</v>
      </c>
      <c r="M2029" s="133">
        <f>IFERROR(__xludf.DUMMYFUNCTION("""COMPUTED_VALUE"""),28.0)</f>
        <v>28</v>
      </c>
      <c r="N2029" s="152" t="str">
        <f>IFERROR(__xludf.DUMMYFUNCTION("""COMPUTED_VALUE"""),"Model 3 SR")</f>
        <v>Model 3 SR</v>
      </c>
      <c r="O2029" s="152" t="str">
        <f>IFERROR(__xludf.DUMMYFUNCTION("""COMPUTED_VALUE"""),"Solid Black")</f>
        <v>Solid Black</v>
      </c>
      <c r="P2029" s="153" t="str">
        <f>IFERROR(__xludf.DUMMYFUNCTION("""COMPUTED_VALUE"""),"18 inch Aero")</f>
        <v>18 inch Aero</v>
      </c>
      <c r="Q2029" s="152" t="str">
        <f>IFERROR(__xludf.DUMMYFUNCTION("""COMPUTED_VALUE"""),"Black seats")</f>
        <v>Black seats</v>
      </c>
      <c r="R2029" s="149" t="str">
        <f>IFERROR(__xludf.DUMMYFUNCTION("""COMPUTED_VALUE"""),"None")</f>
        <v>None</v>
      </c>
      <c r="S2029" s="149"/>
      <c r="T2029" s="145"/>
      <c r="U2029" s="145"/>
      <c r="V2029" s="145"/>
      <c r="W2029" s="145"/>
      <c r="X2029" s="137" t="str">
        <f>IFERROR(__xludf.DUMMYFUNCTION("""COMPUTED_VALUE"""),"Excellent")</f>
        <v>Excellent</v>
      </c>
      <c r="Y2029" s="138" t="str">
        <f>IFERROR(__xludf.DUMMYFUNCTION("""COMPUTED_VALUE"""),"Excellent")</f>
        <v>Excellent</v>
      </c>
      <c r="Z2029" s="138" t="str">
        <f>IFERROR(__xludf.DUMMYFUNCTION("""COMPUTED_VALUE"""),"Excellent")</f>
        <v>Excellent</v>
      </c>
      <c r="AA2029" s="138" t="str">
        <f>IFERROR(__xludf.DUMMYFUNCTION("""COMPUTED_VALUE"""),"Poor")</f>
        <v>Poor</v>
      </c>
      <c r="AB2029" s="138" t="str">
        <f>IFERROR(__xludf.DUMMYFUNCTION("""COMPUTED_VALUE"""),"Good")</f>
        <v>Good</v>
      </c>
      <c r="AC2029" s="139"/>
      <c r="AD2029" s="139"/>
      <c r="AE2029" s="139"/>
      <c r="AF2029" s="140"/>
      <c r="AG2029" s="145"/>
      <c r="AH2029" s="157">
        <f>IFERROR(__xludf.DUMMYFUNCTION("""COMPUTED_VALUE"""),43572.82769777778)</f>
        <v>43572.8277</v>
      </c>
      <c r="AI2029" s="138"/>
      <c r="AJ2029" s="138"/>
      <c r="AK2029" s="138"/>
      <c r="AL2029" s="142"/>
    </row>
    <row r="2030" ht="20.25" customHeight="1">
      <c r="A2030" s="155" t="str">
        <f>IFERROR(__xludf.DUMMYFUNCTION("""COMPUTED_VALUE"""),"Mat85")</f>
        <v>Mat85</v>
      </c>
      <c r="B2030" s="149" t="str">
        <f>IFERROR(__xludf.DUMMYFUNCTION("""COMPUTED_VALUE"""),"Kansas City")</f>
        <v>Kansas City</v>
      </c>
      <c r="C2030" s="149" t="str">
        <f>IFERROR(__xludf.DUMMYFUNCTION("""COMPUTED_VALUE"""),"KS")</f>
        <v>KS</v>
      </c>
      <c r="D2030" s="149" t="str">
        <f>IFERROR(__xludf.DUMMYFUNCTION("""COMPUTED_VALUE"""),"USA")</f>
        <v>USA</v>
      </c>
      <c r="E2030" s="156">
        <f>IFERROR(__xludf.DUMMYFUNCTION("""COMPUTED_VALUE"""),43544.0)</f>
        <v>43544</v>
      </c>
      <c r="F2030" s="129">
        <f>IFERROR(__xludf.DUMMYFUNCTION("""COMPUTED_VALUE"""),43587.0)</f>
        <v>43587</v>
      </c>
      <c r="G2030" s="154"/>
      <c r="H2030" s="131">
        <f>IFERROR(__xludf.DUMMYFUNCTION("""COMPUTED_VALUE"""),368055.0)</f>
        <v>368055</v>
      </c>
      <c r="I2030" s="144"/>
      <c r="J2030" s="129">
        <f>IFERROR(__xludf.DUMMYFUNCTION("""COMPUTED_VALUE"""),43591.0)</f>
        <v>43591</v>
      </c>
      <c r="K2030" s="133">
        <f>IFERROR(__xludf.DUMMYFUNCTION("""COMPUTED_VALUE"""),43.0)</f>
        <v>43</v>
      </c>
      <c r="L2030" s="133">
        <f>IFERROR(__xludf.DUMMYFUNCTION("""COMPUTED_VALUE"""),4.0)</f>
        <v>4</v>
      </c>
      <c r="M2030" s="133">
        <f>IFERROR(__xludf.DUMMYFUNCTION("""COMPUTED_VALUE"""),47.0)</f>
        <v>47</v>
      </c>
      <c r="N2030" s="152" t="str">
        <f>IFERROR(__xludf.DUMMYFUNCTION("""COMPUTED_VALUE"""),"Model 3 Performance")</f>
        <v>Model 3 Performance</v>
      </c>
      <c r="O2030" s="152" t="str">
        <f>IFERROR(__xludf.DUMMYFUNCTION("""COMPUTED_VALUE"""),"Red Multi-Coat")</f>
        <v>Red Multi-Coat</v>
      </c>
      <c r="P2030" s="153" t="str">
        <f>IFERROR(__xludf.DUMMYFUNCTION("""COMPUTED_VALUE"""),"20 inch Sport")</f>
        <v>20 inch Sport</v>
      </c>
      <c r="Q2030" s="152" t="str">
        <f>IFERROR(__xludf.DUMMYFUNCTION("""COMPUTED_VALUE"""),"Black seats")</f>
        <v>Black seats</v>
      </c>
      <c r="R2030" s="149" t="str">
        <f>IFERROR(__xludf.DUMMYFUNCTION("""COMPUTED_VALUE"""),"Full Self-Driving")</f>
        <v>Full Self-Driving</v>
      </c>
      <c r="S2030" s="149"/>
      <c r="T2030" s="145"/>
      <c r="U2030" s="145"/>
      <c r="V2030" s="145"/>
      <c r="W2030" s="145"/>
      <c r="X2030" s="137" t="str">
        <f>IFERROR(__xludf.DUMMYFUNCTION("""COMPUTED_VALUE"""),"Excellent")</f>
        <v>Excellent</v>
      </c>
      <c r="Y2030" s="138" t="str">
        <f>IFERROR(__xludf.DUMMYFUNCTION("""COMPUTED_VALUE"""),"Excellent")</f>
        <v>Excellent</v>
      </c>
      <c r="Z2030" s="138" t="str">
        <f>IFERROR(__xludf.DUMMYFUNCTION("""COMPUTED_VALUE"""),"Excellent")</f>
        <v>Excellent</v>
      </c>
      <c r="AA2030" s="138" t="str">
        <f>IFERROR(__xludf.DUMMYFUNCTION("""COMPUTED_VALUE"""),"Excellent")</f>
        <v>Excellent</v>
      </c>
      <c r="AB2030" s="138" t="str">
        <f>IFERROR(__xludf.DUMMYFUNCTION("""COMPUTED_VALUE"""),"Excellent")</f>
        <v>Excellent</v>
      </c>
      <c r="AC2030" s="139"/>
      <c r="AD2030" s="139"/>
      <c r="AE2030" s="139"/>
      <c r="AF2030" s="140"/>
      <c r="AG2030" s="145"/>
      <c r="AH2030" s="157">
        <f>IFERROR(__xludf.DUMMYFUNCTION("""COMPUTED_VALUE"""),43597.50164804398)</f>
        <v>43597.50165</v>
      </c>
      <c r="AI2030" s="138"/>
      <c r="AJ2030" s="138"/>
      <c r="AK2030" s="138"/>
      <c r="AL2030" s="142"/>
    </row>
    <row r="2031" ht="20.25" customHeight="1">
      <c r="A2031" s="155" t="str">
        <f>IFERROR(__xludf.DUMMYFUNCTION("""COMPUTED_VALUE"""),"streqicity")</f>
        <v>streqicity</v>
      </c>
      <c r="B2031" s="149" t="str">
        <f>IFERROR(__xludf.DUMMYFUNCTION("""COMPUTED_VALUE"""),"Salt Lake")</f>
        <v>Salt Lake</v>
      </c>
      <c r="C2031" s="149" t="str">
        <f>IFERROR(__xludf.DUMMYFUNCTION("""COMPUTED_VALUE"""),"UT")</f>
        <v>UT</v>
      </c>
      <c r="D2031" s="149" t="str">
        <f>IFERROR(__xludf.DUMMYFUNCTION("""COMPUTED_VALUE"""),"USA")</f>
        <v>USA</v>
      </c>
      <c r="E2031" s="156">
        <f>IFERROR(__xludf.DUMMYFUNCTION("""COMPUTED_VALUE"""),43544.0)</f>
        <v>43544</v>
      </c>
      <c r="F2031" s="129">
        <f>IFERROR(__xludf.DUMMYFUNCTION("""COMPUTED_VALUE"""),43549.0)</f>
        <v>43549</v>
      </c>
      <c r="G2031" s="154"/>
      <c r="H2031" s="131">
        <f>IFERROR(__xludf.DUMMYFUNCTION("""COMPUTED_VALUE"""),324675.0)</f>
        <v>324675</v>
      </c>
      <c r="I2031" s="144" t="str">
        <f>IFERROR(__xludf.DUMMYFUNCTION("""COMPUTED_VALUE"""),"03/19")</f>
        <v>03/19</v>
      </c>
      <c r="J2031" s="129">
        <f>IFERROR(__xludf.DUMMYFUNCTION("""COMPUTED_VALUE"""),43551.0)</f>
        <v>43551</v>
      </c>
      <c r="K2031" s="133">
        <f>IFERROR(__xludf.DUMMYFUNCTION("""COMPUTED_VALUE"""),5.0)</f>
        <v>5</v>
      </c>
      <c r="L2031" s="133">
        <f>IFERROR(__xludf.DUMMYFUNCTION("""COMPUTED_VALUE"""),2.0)</f>
        <v>2</v>
      </c>
      <c r="M2031" s="133">
        <f>IFERROR(__xludf.DUMMYFUNCTION("""COMPUTED_VALUE"""),7.0)</f>
        <v>7</v>
      </c>
      <c r="N2031" s="152" t="str">
        <f>IFERROR(__xludf.DUMMYFUNCTION("""COMPUTED_VALUE"""),"Model 3 LR")</f>
        <v>Model 3 LR</v>
      </c>
      <c r="O2031" s="152" t="str">
        <f>IFERROR(__xludf.DUMMYFUNCTION("""COMPUTED_VALUE"""),"Solid Black")</f>
        <v>Solid Black</v>
      </c>
      <c r="P2031" s="153" t="str">
        <f>IFERROR(__xludf.DUMMYFUNCTION("""COMPUTED_VALUE"""),"18 inch Aero")</f>
        <v>18 inch Aero</v>
      </c>
      <c r="Q2031" s="152" t="str">
        <f>IFERROR(__xludf.DUMMYFUNCTION("""COMPUTED_VALUE"""),"Black seats")</f>
        <v>Black seats</v>
      </c>
      <c r="R2031" s="149" t="str">
        <f>IFERROR(__xludf.DUMMYFUNCTION("""COMPUTED_VALUE"""),"None")</f>
        <v>None</v>
      </c>
      <c r="S2031" s="149"/>
      <c r="T2031" s="145"/>
      <c r="U2031" s="145"/>
      <c r="V2031" s="145"/>
      <c r="W2031" s="145"/>
      <c r="X2031" s="137" t="str">
        <f>IFERROR(__xludf.DUMMYFUNCTION("""COMPUTED_VALUE"""),"Excellent")</f>
        <v>Excellent</v>
      </c>
      <c r="Y2031" s="138" t="str">
        <f>IFERROR(__xludf.DUMMYFUNCTION("""COMPUTED_VALUE"""),"Excellent")</f>
        <v>Excellent</v>
      </c>
      <c r="Z2031" s="138" t="str">
        <f>IFERROR(__xludf.DUMMYFUNCTION("""COMPUTED_VALUE"""),"Very Good")</f>
        <v>Very Good</v>
      </c>
      <c r="AA2031" s="138" t="str">
        <f>IFERROR(__xludf.DUMMYFUNCTION("""COMPUTED_VALUE"""),"Poor")</f>
        <v>Poor</v>
      </c>
      <c r="AB2031" s="138" t="str">
        <f>IFERROR(__xludf.DUMMYFUNCTION("""COMPUTED_VALUE"""),"Fair")</f>
        <v>Fair</v>
      </c>
      <c r="AC2031" s="139"/>
      <c r="AD2031" s="139"/>
      <c r="AE2031" s="139"/>
      <c r="AF2031" s="140"/>
      <c r="AG2031" s="145"/>
      <c r="AH2031" s="157">
        <f>IFERROR(__xludf.DUMMYFUNCTION("""COMPUTED_VALUE"""),43551.813184039354)</f>
        <v>43551.81318</v>
      </c>
      <c r="AI2031" s="138"/>
      <c r="AJ2031" s="138"/>
      <c r="AK2031" s="138"/>
      <c r="AL2031" s="142"/>
    </row>
    <row r="2032" ht="20.25" customHeight="1">
      <c r="A2032" s="155" t="str">
        <f>IFERROR(__xludf.DUMMYFUNCTION("""COMPUTED_VALUE"""),"tapir")</f>
        <v>tapir</v>
      </c>
      <c r="B2032" s="149"/>
      <c r="C2032" s="149" t="str">
        <f>IFERROR(__xludf.DUMMYFUNCTION("""COMPUTED_VALUE"""),"CA")</f>
        <v>CA</v>
      </c>
      <c r="D2032" s="149" t="str">
        <f>IFERROR(__xludf.DUMMYFUNCTION("""COMPUTED_VALUE"""),"USA")</f>
        <v>USA</v>
      </c>
      <c r="E2032" s="156">
        <f>IFERROR(__xludf.DUMMYFUNCTION("""COMPUTED_VALUE"""),43544.0)</f>
        <v>43544</v>
      </c>
      <c r="F2032" s="129">
        <f>IFERROR(__xludf.DUMMYFUNCTION("""COMPUTED_VALUE"""),43546.0)</f>
        <v>43546</v>
      </c>
      <c r="G2032" s="154"/>
      <c r="H2032" s="131"/>
      <c r="I2032" s="144" t="str">
        <f>IFERROR(__xludf.DUMMYFUNCTION("""COMPUTED_VALUE"""),"03/19")</f>
        <v>03/19</v>
      </c>
      <c r="J2032" s="129">
        <f>IFERROR(__xludf.DUMMYFUNCTION("""COMPUTED_VALUE"""),43550.0)</f>
        <v>43550</v>
      </c>
      <c r="K2032" s="133">
        <f>IFERROR(__xludf.DUMMYFUNCTION("""COMPUTED_VALUE"""),2.0)</f>
        <v>2</v>
      </c>
      <c r="L2032" s="133">
        <f>IFERROR(__xludf.DUMMYFUNCTION("""COMPUTED_VALUE"""),4.0)</f>
        <v>4</v>
      </c>
      <c r="M2032" s="133">
        <f>IFERROR(__xludf.DUMMYFUNCTION("""COMPUTED_VALUE"""),6.0)</f>
        <v>6</v>
      </c>
      <c r="N2032" s="152" t="str">
        <f>IFERROR(__xludf.DUMMYFUNCTION("""COMPUTED_VALUE"""),"Model 3 Performance")</f>
        <v>Model 3 Performance</v>
      </c>
      <c r="O2032" s="152"/>
      <c r="P2032" s="153"/>
      <c r="Q2032" s="152"/>
      <c r="R2032" s="149"/>
      <c r="S2032" s="149"/>
      <c r="T2032" s="145"/>
      <c r="U2032" s="145"/>
      <c r="V2032" s="145"/>
      <c r="W2032" s="145"/>
      <c r="X2032" s="137" t="str">
        <f>IFERROR(__xludf.DUMMYFUNCTION("""COMPUTED_VALUE"""),"Very Good")</f>
        <v>Very Good</v>
      </c>
      <c r="Y2032" s="138" t="str">
        <f>IFERROR(__xludf.DUMMYFUNCTION("""COMPUTED_VALUE"""),"Excellent")</f>
        <v>Excellent</v>
      </c>
      <c r="Z2032" s="138" t="str">
        <f>IFERROR(__xludf.DUMMYFUNCTION("""COMPUTED_VALUE"""),"Excellent")</f>
        <v>Excellent</v>
      </c>
      <c r="AA2032" s="138" t="str">
        <f>IFERROR(__xludf.DUMMYFUNCTION("""COMPUTED_VALUE"""),"Good")</f>
        <v>Good</v>
      </c>
      <c r="AB2032" s="138" t="str">
        <f>IFERROR(__xludf.DUMMYFUNCTION("""COMPUTED_VALUE"""),"Excellent")</f>
        <v>Excellent</v>
      </c>
      <c r="AC2032" s="139">
        <f>IFERROR(__xludf.DUMMYFUNCTION("""COMPUTED_VALUE"""),0.0)</f>
        <v>0</v>
      </c>
      <c r="AD2032" s="139">
        <f>IFERROR(__xludf.DUMMYFUNCTION("""COMPUTED_VALUE"""),0.0)</f>
        <v>0</v>
      </c>
      <c r="AE2032" s="139">
        <f>IFERROR(__xludf.DUMMYFUNCTION("""COMPUTED_VALUE"""),0.0)</f>
        <v>0</v>
      </c>
      <c r="AF2032" s="140"/>
      <c r="AG2032" s="145"/>
      <c r="AH2032" s="157">
        <f>IFERROR(__xludf.DUMMYFUNCTION("""COMPUTED_VALUE"""),43592.35483646991)</f>
        <v>43592.35484</v>
      </c>
      <c r="AI2032" s="138"/>
      <c r="AJ2032" s="138"/>
      <c r="AK2032" s="138"/>
      <c r="AL2032" s="142"/>
    </row>
    <row r="2033" ht="20.25" customHeight="1">
      <c r="A2033" s="155" t="str">
        <f>IFERROR(__xludf.DUMMYFUNCTION("""COMPUTED_VALUE"""),"Vapoff")</f>
        <v>Vapoff</v>
      </c>
      <c r="B2033" s="149" t="str">
        <f>IFERROR(__xludf.DUMMYFUNCTION("""COMPUTED_VALUE"""),"Modesto")</f>
        <v>Modesto</v>
      </c>
      <c r="C2033" s="149" t="str">
        <f>IFERROR(__xludf.DUMMYFUNCTION("""COMPUTED_VALUE"""),"CA")</f>
        <v>CA</v>
      </c>
      <c r="D2033" s="149" t="str">
        <f>IFERROR(__xludf.DUMMYFUNCTION("""COMPUTED_VALUE"""),"USA")</f>
        <v>USA</v>
      </c>
      <c r="E2033" s="156">
        <f>IFERROR(__xludf.DUMMYFUNCTION("""COMPUTED_VALUE"""),43544.0)</f>
        <v>43544</v>
      </c>
      <c r="F2033" s="129">
        <f>IFERROR(__xludf.DUMMYFUNCTION("""COMPUTED_VALUE"""),43550.0)</f>
        <v>43550</v>
      </c>
      <c r="G2033" s="154"/>
      <c r="H2033" s="131">
        <f>IFERROR(__xludf.DUMMYFUNCTION("""COMPUTED_VALUE"""),325036.0)</f>
        <v>325036</v>
      </c>
      <c r="I2033" s="144"/>
      <c r="J2033" s="129">
        <f>IFERROR(__xludf.DUMMYFUNCTION("""COMPUTED_VALUE"""),43552.0)</f>
        <v>43552</v>
      </c>
      <c r="K2033" s="133">
        <f>IFERROR(__xludf.DUMMYFUNCTION("""COMPUTED_VALUE"""),6.0)</f>
        <v>6</v>
      </c>
      <c r="L2033" s="133">
        <f>IFERROR(__xludf.DUMMYFUNCTION("""COMPUTED_VALUE"""),2.0)</f>
        <v>2</v>
      </c>
      <c r="M2033" s="133">
        <f>IFERROR(__xludf.DUMMYFUNCTION("""COMPUTED_VALUE"""),8.0)</f>
        <v>8</v>
      </c>
      <c r="N2033" s="152" t="str">
        <f>IFERROR(__xludf.DUMMYFUNCTION("""COMPUTED_VALUE"""),"Model 3 LR")</f>
        <v>Model 3 LR</v>
      </c>
      <c r="O2033" s="152" t="str">
        <f>IFERROR(__xludf.DUMMYFUNCTION("""COMPUTED_VALUE"""),"Solid Black")</f>
        <v>Solid Black</v>
      </c>
      <c r="P2033" s="153" t="str">
        <f>IFERROR(__xludf.DUMMYFUNCTION("""COMPUTED_VALUE"""),"18 inch Aero")</f>
        <v>18 inch Aero</v>
      </c>
      <c r="Q2033" s="152" t="str">
        <f>IFERROR(__xludf.DUMMYFUNCTION("""COMPUTED_VALUE"""),"Black seats")</f>
        <v>Black seats</v>
      </c>
      <c r="R2033" s="149"/>
      <c r="S2033" s="149"/>
      <c r="T2033" s="145"/>
      <c r="U2033" s="145"/>
      <c r="V2033" s="145"/>
      <c r="W2033" s="145"/>
      <c r="X2033" s="137" t="str">
        <f>IFERROR(__xludf.DUMMYFUNCTION("""COMPUTED_VALUE"""),"Excellent")</f>
        <v>Excellent</v>
      </c>
      <c r="Y2033" s="138" t="str">
        <f>IFERROR(__xludf.DUMMYFUNCTION("""COMPUTED_VALUE"""),"Excellent")</f>
        <v>Excellent</v>
      </c>
      <c r="Z2033" s="138" t="str">
        <f>IFERROR(__xludf.DUMMYFUNCTION("""COMPUTED_VALUE"""),"Excellent")</f>
        <v>Excellent</v>
      </c>
      <c r="AA2033" s="138" t="str">
        <f>IFERROR(__xludf.DUMMYFUNCTION("""COMPUTED_VALUE"""),"Excellent")</f>
        <v>Excellent</v>
      </c>
      <c r="AB2033" s="138" t="str">
        <f>IFERROR(__xludf.DUMMYFUNCTION("""COMPUTED_VALUE"""),"Very Good")</f>
        <v>Very Good</v>
      </c>
      <c r="AC2033" s="139">
        <f>IFERROR(__xludf.DUMMYFUNCTION("""COMPUTED_VALUE"""),0.0)</f>
        <v>0</v>
      </c>
      <c r="AD2033" s="139">
        <f>IFERROR(__xludf.DUMMYFUNCTION("""COMPUTED_VALUE"""),0.0)</f>
        <v>0</v>
      </c>
      <c r="AE2033" s="139">
        <f>IFERROR(__xludf.DUMMYFUNCTION("""COMPUTED_VALUE"""),0.0)</f>
        <v>0</v>
      </c>
      <c r="AF2033" s="140"/>
      <c r="AG2033" s="145"/>
      <c r="AH2033" s="157">
        <f>IFERROR(__xludf.DUMMYFUNCTION("""COMPUTED_VALUE"""),43871.576966504625)</f>
        <v>43871.57697</v>
      </c>
      <c r="AI2033" s="138"/>
      <c r="AJ2033" s="138"/>
      <c r="AK2033" s="138"/>
      <c r="AL2033" s="142"/>
    </row>
    <row r="2034" ht="20.25" customHeight="1">
      <c r="A2034" s="155" t="str">
        <f>IFERROR(__xludf.DUMMYFUNCTION("""COMPUTED_VALUE"""),"Slaughter")</f>
        <v>Slaughter</v>
      </c>
      <c r="B2034" s="149" t="str">
        <f>IFERROR(__xludf.DUMMYFUNCTION("""COMPUTED_VALUE"""),"Los Angeles")</f>
        <v>Los Angeles</v>
      </c>
      <c r="C2034" s="149" t="str">
        <f>IFERROR(__xludf.DUMMYFUNCTION("""COMPUTED_VALUE"""),"CA")</f>
        <v>CA</v>
      </c>
      <c r="D2034" s="149" t="str">
        <f>IFERROR(__xludf.DUMMYFUNCTION("""COMPUTED_VALUE"""),"USA")</f>
        <v>USA</v>
      </c>
      <c r="E2034" s="156">
        <f>IFERROR(__xludf.DUMMYFUNCTION("""COMPUTED_VALUE"""),43543.0)</f>
        <v>43543</v>
      </c>
      <c r="F2034" s="129">
        <f>IFERROR(__xludf.DUMMYFUNCTION("""COMPUTED_VALUE"""),43549.0)</f>
        <v>43549</v>
      </c>
      <c r="G2034" s="154"/>
      <c r="H2034" s="131">
        <f>IFERROR(__xludf.DUMMYFUNCTION("""COMPUTED_VALUE"""),325055.0)</f>
        <v>325055</v>
      </c>
      <c r="I2034" s="144" t="str">
        <f>IFERROR(__xludf.DUMMYFUNCTION("""COMPUTED_VALUE"""),"03/19")</f>
        <v>03/19</v>
      </c>
      <c r="J2034" s="129">
        <f>IFERROR(__xludf.DUMMYFUNCTION("""COMPUTED_VALUE"""),43553.0)</f>
        <v>43553</v>
      </c>
      <c r="K2034" s="133">
        <f>IFERROR(__xludf.DUMMYFUNCTION("""COMPUTED_VALUE"""),6.0)</f>
        <v>6</v>
      </c>
      <c r="L2034" s="133">
        <f>IFERROR(__xludf.DUMMYFUNCTION("""COMPUTED_VALUE"""),4.0)</f>
        <v>4</v>
      </c>
      <c r="M2034" s="133">
        <f>IFERROR(__xludf.DUMMYFUNCTION("""COMPUTED_VALUE"""),10.0)</f>
        <v>10</v>
      </c>
      <c r="N2034" s="152" t="str">
        <f>IFERROR(__xludf.DUMMYFUNCTION("""COMPUTED_VALUE"""),"Model 3 LR")</f>
        <v>Model 3 LR</v>
      </c>
      <c r="O2034" s="152" t="str">
        <f>IFERROR(__xludf.DUMMYFUNCTION("""COMPUTED_VALUE"""),"Solid Black")</f>
        <v>Solid Black</v>
      </c>
      <c r="P2034" s="153" t="str">
        <f>IFERROR(__xludf.DUMMYFUNCTION("""COMPUTED_VALUE"""),"18 inch Aero")</f>
        <v>18 inch Aero</v>
      </c>
      <c r="Q2034" s="152" t="str">
        <f>IFERROR(__xludf.DUMMYFUNCTION("""COMPUTED_VALUE"""),"Black seats")</f>
        <v>Black seats</v>
      </c>
      <c r="R2034" s="149" t="str">
        <f>IFERROR(__xludf.DUMMYFUNCTION("""COMPUTED_VALUE"""),"Full Self-Driving")</f>
        <v>Full Self-Driving</v>
      </c>
      <c r="S2034" s="149"/>
      <c r="T2034" s="145"/>
      <c r="U2034" s="145"/>
      <c r="V2034" s="145"/>
      <c r="W2034" s="145"/>
      <c r="X2034" s="137" t="str">
        <f>IFERROR(__xludf.DUMMYFUNCTION("""COMPUTED_VALUE"""),"Excellent")</f>
        <v>Excellent</v>
      </c>
      <c r="Y2034" s="138" t="str">
        <f>IFERROR(__xludf.DUMMYFUNCTION("""COMPUTED_VALUE"""),"Excellent")</f>
        <v>Excellent</v>
      </c>
      <c r="Z2034" s="138" t="str">
        <f>IFERROR(__xludf.DUMMYFUNCTION("""COMPUTED_VALUE"""),"Excellent")</f>
        <v>Excellent</v>
      </c>
      <c r="AA2034" s="138" t="str">
        <f>IFERROR(__xludf.DUMMYFUNCTION("""COMPUTED_VALUE"""),"Good")</f>
        <v>Good</v>
      </c>
      <c r="AB2034" s="138" t="str">
        <f>IFERROR(__xludf.DUMMYFUNCTION("""COMPUTED_VALUE"""),"Very Good")</f>
        <v>Very Good</v>
      </c>
      <c r="AC2034" s="139"/>
      <c r="AD2034" s="139"/>
      <c r="AE2034" s="139"/>
      <c r="AF2034" s="140"/>
      <c r="AG2034" s="145"/>
      <c r="AH2034" s="157">
        <f>IFERROR(__xludf.DUMMYFUNCTION("""COMPUTED_VALUE"""),43552.79659643518)</f>
        <v>43552.7966</v>
      </c>
      <c r="AI2034" s="138"/>
      <c r="AJ2034" s="138"/>
      <c r="AK2034" s="138"/>
      <c r="AL2034" s="142"/>
    </row>
    <row r="2035" ht="20.25" customHeight="1">
      <c r="A2035" s="155" t="str">
        <f>IFERROR(__xludf.DUMMYFUNCTION("""COMPUTED_VALUE"""),"dalajosa")</f>
        <v>dalajosa</v>
      </c>
      <c r="B2035" s="149" t="str">
        <f>IFERROR(__xludf.DUMMYFUNCTION("""COMPUTED_VALUE"""),"Austin")</f>
        <v>Austin</v>
      </c>
      <c r="C2035" s="149" t="str">
        <f>IFERROR(__xludf.DUMMYFUNCTION("""COMPUTED_VALUE"""),"TX")</f>
        <v>TX</v>
      </c>
      <c r="D2035" s="149" t="str">
        <f>IFERROR(__xludf.DUMMYFUNCTION("""COMPUTED_VALUE"""),"USA")</f>
        <v>USA</v>
      </c>
      <c r="E2035" s="156">
        <f>IFERROR(__xludf.DUMMYFUNCTION("""COMPUTED_VALUE"""),43542.0)</f>
        <v>43542</v>
      </c>
      <c r="F2035" s="129">
        <f>IFERROR(__xludf.DUMMYFUNCTION("""COMPUTED_VALUE"""),43550.0)</f>
        <v>43550</v>
      </c>
      <c r="G2035" s="154"/>
      <c r="H2035" s="131">
        <f>IFERROR(__xludf.DUMMYFUNCTION("""COMPUTED_VALUE"""),314985.0)</f>
        <v>314985</v>
      </c>
      <c r="I2035" s="144"/>
      <c r="J2035" s="129">
        <f>IFERROR(__xludf.DUMMYFUNCTION("""COMPUTED_VALUE"""),43555.0)</f>
        <v>43555</v>
      </c>
      <c r="K2035" s="133">
        <f>IFERROR(__xludf.DUMMYFUNCTION("""COMPUTED_VALUE"""),8.0)</f>
        <v>8</v>
      </c>
      <c r="L2035" s="133">
        <f>IFERROR(__xludf.DUMMYFUNCTION("""COMPUTED_VALUE"""),5.0)</f>
        <v>5</v>
      </c>
      <c r="M2035" s="133">
        <f>IFERROR(__xludf.DUMMYFUNCTION("""COMPUTED_VALUE"""),13.0)</f>
        <v>13</v>
      </c>
      <c r="N2035" s="152" t="str">
        <f>IFERROR(__xludf.DUMMYFUNCTION("""COMPUTED_VALUE"""),"Model 3 LR")</f>
        <v>Model 3 LR</v>
      </c>
      <c r="O2035" s="152" t="str">
        <f>IFERROR(__xludf.DUMMYFUNCTION("""COMPUTED_VALUE"""),"Solid Black")</f>
        <v>Solid Black</v>
      </c>
      <c r="P2035" s="153" t="str">
        <f>IFERROR(__xludf.DUMMYFUNCTION("""COMPUTED_VALUE"""),"19 inch Sport")</f>
        <v>19 inch Sport</v>
      </c>
      <c r="Q2035" s="152" t="str">
        <f>IFERROR(__xludf.DUMMYFUNCTION("""COMPUTED_VALUE"""),"White seats")</f>
        <v>White seats</v>
      </c>
      <c r="R2035" s="149" t="str">
        <f>IFERROR(__xludf.DUMMYFUNCTION("""COMPUTED_VALUE"""),"Autopilot")</f>
        <v>Autopilot</v>
      </c>
      <c r="S2035" s="149"/>
      <c r="T2035" s="145"/>
      <c r="U2035" s="145"/>
      <c r="V2035" s="145"/>
      <c r="W2035" s="145"/>
      <c r="X2035" s="137" t="str">
        <f>IFERROR(__xludf.DUMMYFUNCTION("""COMPUTED_VALUE"""),"Excellent")</f>
        <v>Excellent</v>
      </c>
      <c r="Y2035" s="138" t="str">
        <f>IFERROR(__xludf.DUMMYFUNCTION("""COMPUTED_VALUE"""),"Excellent")</f>
        <v>Excellent</v>
      </c>
      <c r="Z2035" s="138" t="str">
        <f>IFERROR(__xludf.DUMMYFUNCTION("""COMPUTED_VALUE"""),"Excellent")</f>
        <v>Excellent</v>
      </c>
      <c r="AA2035" s="138" t="str">
        <f>IFERROR(__xludf.DUMMYFUNCTION("""COMPUTED_VALUE"""),"Good")</f>
        <v>Good</v>
      </c>
      <c r="AB2035" s="138" t="str">
        <f>IFERROR(__xludf.DUMMYFUNCTION("""COMPUTED_VALUE"""),"Very Good")</f>
        <v>Very Good</v>
      </c>
      <c r="AC2035" s="139"/>
      <c r="AD2035" s="139"/>
      <c r="AE2035" s="139"/>
      <c r="AF2035" s="140"/>
      <c r="AG2035" s="145"/>
      <c r="AH2035" s="157">
        <f>IFERROR(__xludf.DUMMYFUNCTION("""COMPUTED_VALUE"""),43556.270120775465)</f>
        <v>43556.27012</v>
      </c>
      <c r="AI2035" s="138"/>
      <c r="AJ2035" s="138"/>
      <c r="AK2035" s="138"/>
      <c r="AL2035" s="142"/>
    </row>
    <row r="2036" ht="20.25" customHeight="1">
      <c r="A2036" s="155" t="str">
        <f>IFERROR(__xludf.DUMMYFUNCTION("""COMPUTED_VALUE"""),"miken")</f>
        <v>miken</v>
      </c>
      <c r="B2036" s="149" t="str">
        <f>IFERROR(__xludf.DUMMYFUNCTION("""COMPUTED_VALUE"""),"Ottawa")</f>
        <v>Ottawa</v>
      </c>
      <c r="C2036" s="149" t="str">
        <f>IFERROR(__xludf.DUMMYFUNCTION("""COMPUTED_VALUE"""),"ON")</f>
        <v>ON</v>
      </c>
      <c r="D2036" s="149" t="str">
        <f>IFERROR(__xludf.DUMMYFUNCTION("""COMPUTED_VALUE"""),"Canada")</f>
        <v>Canada</v>
      </c>
      <c r="E2036" s="156">
        <f>IFERROR(__xludf.DUMMYFUNCTION("""COMPUTED_VALUE"""),43542.0)</f>
        <v>43542</v>
      </c>
      <c r="F2036" s="129">
        <f>IFERROR(__xludf.DUMMYFUNCTION("""COMPUTED_VALUE"""),43549.0)</f>
        <v>43549</v>
      </c>
      <c r="G2036" s="154"/>
      <c r="H2036" s="131">
        <f>IFERROR(__xludf.DUMMYFUNCTION("""COMPUTED_VALUE"""),183927.0)</f>
        <v>183927</v>
      </c>
      <c r="I2036" s="144"/>
      <c r="J2036" s="129">
        <f>IFERROR(__xludf.DUMMYFUNCTION("""COMPUTED_VALUE"""),43554.0)</f>
        <v>43554</v>
      </c>
      <c r="K2036" s="133">
        <f>IFERROR(__xludf.DUMMYFUNCTION("""COMPUTED_VALUE"""),7.0)</f>
        <v>7</v>
      </c>
      <c r="L2036" s="133">
        <f>IFERROR(__xludf.DUMMYFUNCTION("""COMPUTED_VALUE"""),5.0)</f>
        <v>5</v>
      </c>
      <c r="M2036" s="133">
        <f>IFERROR(__xludf.DUMMYFUNCTION("""COMPUTED_VALUE"""),12.0)</f>
        <v>12</v>
      </c>
      <c r="N2036" s="152" t="str">
        <f>IFERROR(__xludf.DUMMYFUNCTION("""COMPUTED_VALUE"""),"Model 3 LR AWD")</f>
        <v>Model 3 LR AWD</v>
      </c>
      <c r="O2036" s="152" t="str">
        <f>IFERROR(__xludf.DUMMYFUNCTION("""COMPUTED_VALUE"""),"Midnight Silver Metallic")</f>
        <v>Midnight Silver Metallic</v>
      </c>
      <c r="P2036" s="153" t="str">
        <f>IFERROR(__xludf.DUMMYFUNCTION("""COMPUTED_VALUE"""),"18 inch Aero")</f>
        <v>18 inch Aero</v>
      </c>
      <c r="Q2036" s="152" t="str">
        <f>IFERROR(__xludf.DUMMYFUNCTION("""COMPUTED_VALUE"""),"White seats")</f>
        <v>White seats</v>
      </c>
      <c r="R2036" s="149" t="str">
        <f>IFERROR(__xludf.DUMMYFUNCTION("""COMPUTED_VALUE"""),"Autopilot")</f>
        <v>Autopilot</v>
      </c>
      <c r="S2036" s="149"/>
      <c r="T2036" s="145"/>
      <c r="U2036" s="145"/>
      <c r="V2036" s="145"/>
      <c r="W2036" s="145"/>
      <c r="X2036" s="137" t="str">
        <f>IFERROR(__xludf.DUMMYFUNCTION("""COMPUTED_VALUE"""),"Excellent")</f>
        <v>Excellent</v>
      </c>
      <c r="Y2036" s="138" t="str">
        <f>IFERROR(__xludf.DUMMYFUNCTION("""COMPUTED_VALUE"""),"Excellent")</f>
        <v>Excellent</v>
      </c>
      <c r="Z2036" s="138" t="str">
        <f>IFERROR(__xludf.DUMMYFUNCTION("""COMPUTED_VALUE"""),"Very Good")</f>
        <v>Very Good</v>
      </c>
      <c r="AA2036" s="138" t="str">
        <f>IFERROR(__xludf.DUMMYFUNCTION("""COMPUTED_VALUE"""),"Poor")</f>
        <v>Poor</v>
      </c>
      <c r="AB2036" s="138" t="str">
        <f>IFERROR(__xludf.DUMMYFUNCTION("""COMPUTED_VALUE"""),"Fair")</f>
        <v>Fair</v>
      </c>
      <c r="AC2036" s="139">
        <f>IFERROR(__xludf.DUMMYFUNCTION("""COMPUTED_VALUE"""),2.0)</f>
        <v>2</v>
      </c>
      <c r="AD2036" s="139"/>
      <c r="AE2036" s="139"/>
      <c r="AF2036" s="140"/>
      <c r="AG2036" s="145" t="str">
        <f>IFERROR(__xludf.DUMMYFUNCTION("""COMPUTED_VALUE"""),"Pickup in Toronto, accepted 2018 VIN, $7200 discount.")</f>
        <v>Pickup in Toronto, accepted 2018 VIN, $7200 discount.</v>
      </c>
      <c r="AH2036" s="157">
        <f>IFERROR(__xludf.DUMMYFUNCTION("""COMPUTED_VALUE"""),43556.57688701389)</f>
        <v>43556.57689</v>
      </c>
      <c r="AI2036" s="138"/>
      <c r="AJ2036" s="138"/>
      <c r="AK2036" s="138"/>
      <c r="AL2036" s="142"/>
    </row>
    <row r="2037" ht="20.25" customHeight="1">
      <c r="A2037" s="155" t="str">
        <f>IFERROR(__xludf.DUMMYFUNCTION("""COMPUTED_VALUE"""),"chao")</f>
        <v>chao</v>
      </c>
      <c r="B2037" s="149" t="str">
        <f>IFERROR(__xludf.DUMMYFUNCTION("""COMPUTED_VALUE"""),"Palo Alto")</f>
        <v>Palo Alto</v>
      </c>
      <c r="C2037" s="149" t="str">
        <f>IFERROR(__xludf.DUMMYFUNCTION("""COMPUTED_VALUE"""),"CA")</f>
        <v>CA</v>
      </c>
      <c r="D2037" s="149" t="str">
        <f>IFERROR(__xludf.DUMMYFUNCTION("""COMPUTED_VALUE"""),"USA")</f>
        <v>USA</v>
      </c>
      <c r="E2037" s="156">
        <f>IFERROR(__xludf.DUMMYFUNCTION("""COMPUTED_VALUE"""),43541.0)</f>
        <v>43541</v>
      </c>
      <c r="F2037" s="129">
        <f>IFERROR(__xludf.DUMMYFUNCTION("""COMPUTED_VALUE"""),43542.0)</f>
        <v>43542</v>
      </c>
      <c r="G2037" s="154"/>
      <c r="H2037" s="131">
        <f>IFERROR(__xludf.DUMMYFUNCTION("""COMPUTED_VALUE"""),299634.0)</f>
        <v>299634</v>
      </c>
      <c r="I2037" s="144"/>
      <c r="J2037" s="129">
        <f>IFERROR(__xludf.DUMMYFUNCTION("""COMPUTED_VALUE"""),43545.0)</f>
        <v>43545</v>
      </c>
      <c r="K2037" s="133">
        <f>IFERROR(__xludf.DUMMYFUNCTION("""COMPUTED_VALUE"""),1.0)</f>
        <v>1</v>
      </c>
      <c r="L2037" s="133">
        <f>IFERROR(__xludf.DUMMYFUNCTION("""COMPUTED_VALUE"""),3.0)</f>
        <v>3</v>
      </c>
      <c r="M2037" s="133">
        <f>IFERROR(__xludf.DUMMYFUNCTION("""COMPUTED_VALUE"""),4.0)</f>
        <v>4</v>
      </c>
      <c r="N2037" s="152" t="str">
        <f>IFERROR(__xludf.DUMMYFUNCTION("""COMPUTED_VALUE"""),"Model 3 SR+")</f>
        <v>Model 3 SR+</v>
      </c>
      <c r="O2037" s="152"/>
      <c r="P2037" s="153"/>
      <c r="Q2037" s="152" t="str">
        <f>IFERROR(__xludf.DUMMYFUNCTION("""COMPUTED_VALUE"""),"Black seats")</f>
        <v>Black seats</v>
      </c>
      <c r="R2037" s="149" t="str">
        <f>IFERROR(__xludf.DUMMYFUNCTION("""COMPUTED_VALUE"""),"Full Self-Driving")</f>
        <v>Full Self-Driving</v>
      </c>
      <c r="S2037" s="149"/>
      <c r="T2037" s="145"/>
      <c r="U2037" s="145"/>
      <c r="V2037" s="145"/>
      <c r="W2037" s="145"/>
      <c r="X2037" s="137" t="str">
        <f>IFERROR(__xludf.DUMMYFUNCTION("""COMPUTED_VALUE"""),"Good")</f>
        <v>Good</v>
      </c>
      <c r="Y2037" s="138" t="str">
        <f>IFERROR(__xludf.DUMMYFUNCTION("""COMPUTED_VALUE"""),"Excellent")</f>
        <v>Excellent</v>
      </c>
      <c r="Z2037" s="138" t="str">
        <f>IFERROR(__xludf.DUMMYFUNCTION("""COMPUTED_VALUE"""),"Excellent")</f>
        <v>Excellent</v>
      </c>
      <c r="AA2037" s="138" t="str">
        <f>IFERROR(__xludf.DUMMYFUNCTION("""COMPUTED_VALUE"""),"Fair")</f>
        <v>Fair</v>
      </c>
      <c r="AB2037" s="138" t="str">
        <f>IFERROR(__xludf.DUMMYFUNCTION("""COMPUTED_VALUE"""),"Good")</f>
        <v>Good</v>
      </c>
      <c r="AC2037" s="139"/>
      <c r="AD2037" s="139"/>
      <c r="AE2037" s="139"/>
      <c r="AF2037" s="140"/>
      <c r="AG2037" s="145"/>
      <c r="AH2037" s="157">
        <f>IFERROR(__xludf.DUMMYFUNCTION("""COMPUTED_VALUE"""),43547.889887997684)</f>
        <v>43547.88989</v>
      </c>
      <c r="AI2037" s="138"/>
      <c r="AJ2037" s="138"/>
      <c r="AK2037" s="138"/>
      <c r="AL2037" s="142"/>
    </row>
    <row r="2038" ht="20.25" customHeight="1">
      <c r="A2038" s="155" t="str">
        <f>IFERROR(__xludf.DUMMYFUNCTION("""COMPUTED_VALUE"""),"deling")</f>
        <v>deling</v>
      </c>
      <c r="B2038" s="149" t="str">
        <f>IFERROR(__xludf.DUMMYFUNCTION("""COMPUTED_VALUE"""),"Marion")</f>
        <v>Marion</v>
      </c>
      <c r="C2038" s="149" t="str">
        <f>IFERROR(__xludf.DUMMYFUNCTION("""COMPUTED_VALUE"""),"MA")</f>
        <v>MA</v>
      </c>
      <c r="D2038" s="149" t="str">
        <f>IFERROR(__xludf.DUMMYFUNCTION("""COMPUTED_VALUE"""),"USA")</f>
        <v>USA</v>
      </c>
      <c r="E2038" s="156">
        <f>IFERROR(__xludf.DUMMYFUNCTION("""COMPUTED_VALUE"""),43541.0)</f>
        <v>43541</v>
      </c>
      <c r="F2038" s="129">
        <f>IFERROR(__xludf.DUMMYFUNCTION("""COMPUTED_VALUE"""),43568.0)</f>
        <v>43568</v>
      </c>
      <c r="G2038" s="154"/>
      <c r="H2038" s="131">
        <f>IFERROR(__xludf.DUMMYFUNCTION("""COMPUTED_VALUE"""),306400.0)</f>
        <v>306400</v>
      </c>
      <c r="I2038" s="144"/>
      <c r="J2038" s="129">
        <f>IFERROR(__xludf.DUMMYFUNCTION("""COMPUTED_VALUE"""),43574.0)</f>
        <v>43574</v>
      </c>
      <c r="K2038" s="133">
        <f>IFERROR(__xludf.DUMMYFUNCTION("""COMPUTED_VALUE"""),27.0)</f>
        <v>27</v>
      </c>
      <c r="L2038" s="133">
        <f>IFERROR(__xludf.DUMMYFUNCTION("""COMPUTED_VALUE"""),6.0)</f>
        <v>6</v>
      </c>
      <c r="M2038" s="133">
        <f>IFERROR(__xludf.DUMMYFUNCTION("""COMPUTED_VALUE"""),33.0)</f>
        <v>33</v>
      </c>
      <c r="N2038" s="152" t="str">
        <f>IFERROR(__xludf.DUMMYFUNCTION("""COMPUTED_VALUE"""),"Model 3 SR")</f>
        <v>Model 3 SR</v>
      </c>
      <c r="O2038" s="152" t="str">
        <f>IFERROR(__xludf.DUMMYFUNCTION("""COMPUTED_VALUE"""),"Solid Black")</f>
        <v>Solid Black</v>
      </c>
      <c r="P2038" s="153" t="str">
        <f>IFERROR(__xludf.DUMMYFUNCTION("""COMPUTED_VALUE"""),"18 inch Aero")</f>
        <v>18 inch Aero</v>
      </c>
      <c r="Q2038" s="152" t="str">
        <f>IFERROR(__xludf.DUMMYFUNCTION("""COMPUTED_VALUE"""),"Black seats")</f>
        <v>Black seats</v>
      </c>
      <c r="R2038" s="149" t="str">
        <f>IFERROR(__xludf.DUMMYFUNCTION("""COMPUTED_VALUE"""),"Autopilot")</f>
        <v>Autopilot</v>
      </c>
      <c r="S2038" s="149"/>
      <c r="T2038" s="145"/>
      <c r="U2038" s="145"/>
      <c r="V2038" s="145"/>
      <c r="W2038" s="145"/>
      <c r="X2038" s="137" t="str">
        <f>IFERROR(__xludf.DUMMYFUNCTION("""COMPUTED_VALUE"""),"Excellent")</f>
        <v>Excellent</v>
      </c>
      <c r="Y2038" s="138" t="str">
        <f>IFERROR(__xludf.DUMMYFUNCTION("""COMPUTED_VALUE"""),"Excellent")</f>
        <v>Excellent</v>
      </c>
      <c r="Z2038" s="138" t="str">
        <f>IFERROR(__xludf.DUMMYFUNCTION("""COMPUTED_VALUE"""),"Excellent")</f>
        <v>Excellent</v>
      </c>
      <c r="AA2038" s="138" t="str">
        <f>IFERROR(__xludf.DUMMYFUNCTION("""COMPUTED_VALUE"""),"Fair")</f>
        <v>Fair</v>
      </c>
      <c r="AB2038" s="138" t="str">
        <f>IFERROR(__xludf.DUMMYFUNCTION("""COMPUTED_VALUE"""),"Very Good")</f>
        <v>Very Good</v>
      </c>
      <c r="AC2038" s="139">
        <f>IFERROR(__xludf.DUMMYFUNCTION("""COMPUTED_VALUE"""),0.0)</f>
        <v>0</v>
      </c>
      <c r="AD2038" s="139"/>
      <c r="AE2038" s="139"/>
      <c r="AF2038" s="140"/>
      <c r="AG2038" s="145" t="str">
        <f>IFERROR(__xludf.DUMMYFUNCTION("""COMPUTED_VALUE"""),"Light grease stains above driver side door; temporary stray pixels showing false return behind car on proximity display")</f>
        <v>Light grease stains above driver side door; temporary stray pixels showing false return behind car on proximity display</v>
      </c>
      <c r="AH2038" s="157">
        <f>IFERROR(__xludf.DUMMYFUNCTION("""COMPUTED_VALUE"""),43577.54464849537)</f>
        <v>43577.54465</v>
      </c>
      <c r="AI2038" s="138"/>
      <c r="AJ2038" s="138"/>
      <c r="AK2038" s="138"/>
      <c r="AL2038" s="142"/>
    </row>
    <row r="2039" ht="20.25" customHeight="1">
      <c r="A2039" s="155" t="str">
        <f>IFERROR(__xludf.DUMMYFUNCTION("""COMPUTED_VALUE"""),"Dexlilyben")</f>
        <v>Dexlilyben</v>
      </c>
      <c r="B2039" s="149" t="str">
        <f>IFERROR(__xludf.DUMMYFUNCTION("""COMPUTED_VALUE"""),"Dallas")</f>
        <v>Dallas</v>
      </c>
      <c r="C2039" s="149" t="str">
        <f>IFERROR(__xludf.DUMMYFUNCTION("""COMPUTED_VALUE"""),"TX")</f>
        <v>TX</v>
      </c>
      <c r="D2039" s="149" t="str">
        <f>IFERROR(__xludf.DUMMYFUNCTION("""COMPUTED_VALUE"""),"USA")</f>
        <v>USA</v>
      </c>
      <c r="E2039" s="156">
        <f>IFERROR(__xludf.DUMMYFUNCTION("""COMPUTED_VALUE"""),43541.0)</f>
        <v>43541</v>
      </c>
      <c r="F2039" s="129">
        <f>IFERROR(__xludf.DUMMYFUNCTION("""COMPUTED_VALUE"""),43551.0)</f>
        <v>43551</v>
      </c>
      <c r="G2039" s="154"/>
      <c r="H2039" s="131">
        <f>IFERROR(__xludf.DUMMYFUNCTION("""COMPUTED_VALUE"""),231789.0)</f>
        <v>231789</v>
      </c>
      <c r="I2039" s="144"/>
      <c r="J2039" s="129">
        <f>IFERROR(__xludf.DUMMYFUNCTION("""COMPUTED_VALUE"""),43554.0)</f>
        <v>43554</v>
      </c>
      <c r="K2039" s="133">
        <f>IFERROR(__xludf.DUMMYFUNCTION("""COMPUTED_VALUE"""),10.0)</f>
        <v>10</v>
      </c>
      <c r="L2039" s="133">
        <f>IFERROR(__xludf.DUMMYFUNCTION("""COMPUTED_VALUE"""),3.0)</f>
        <v>3</v>
      </c>
      <c r="M2039" s="133">
        <f>IFERROR(__xludf.DUMMYFUNCTION("""COMPUTED_VALUE"""),13.0)</f>
        <v>13</v>
      </c>
      <c r="N2039" s="152" t="str">
        <f>IFERROR(__xludf.DUMMYFUNCTION("""COMPUTED_VALUE"""),"Model 3 Performance")</f>
        <v>Model 3 Performance</v>
      </c>
      <c r="O2039" s="152" t="str">
        <f>IFERROR(__xludf.DUMMYFUNCTION("""COMPUTED_VALUE"""),"Pearl White Multi-Coat")</f>
        <v>Pearl White Multi-Coat</v>
      </c>
      <c r="P2039" s="153" t="str">
        <f>IFERROR(__xludf.DUMMYFUNCTION("""COMPUTED_VALUE"""),"20 inch Sport")</f>
        <v>20 inch Sport</v>
      </c>
      <c r="Q2039" s="152" t="str">
        <f>IFERROR(__xludf.DUMMYFUNCTION("""COMPUTED_VALUE"""),"White seats")</f>
        <v>White seats</v>
      </c>
      <c r="R2039" s="149" t="str">
        <f>IFERROR(__xludf.DUMMYFUNCTION("""COMPUTED_VALUE"""),"Full Self-Driving")</f>
        <v>Full Self-Driving</v>
      </c>
      <c r="S2039" s="149"/>
      <c r="T2039" s="145"/>
      <c r="U2039" s="145"/>
      <c r="V2039" s="145"/>
      <c r="W2039" s="145"/>
      <c r="X2039" s="137" t="str">
        <f>IFERROR(__xludf.DUMMYFUNCTION("""COMPUTED_VALUE"""),"Very Good")</f>
        <v>Very Good</v>
      </c>
      <c r="Y2039" s="138" t="str">
        <f>IFERROR(__xludf.DUMMYFUNCTION("""COMPUTED_VALUE"""),"Very Good")</f>
        <v>Very Good</v>
      </c>
      <c r="Z2039" s="138" t="str">
        <f>IFERROR(__xludf.DUMMYFUNCTION("""COMPUTED_VALUE"""),"Very Good")</f>
        <v>Very Good</v>
      </c>
      <c r="AA2039" s="138" t="str">
        <f>IFERROR(__xludf.DUMMYFUNCTION("""COMPUTED_VALUE"""),"Good")</f>
        <v>Good</v>
      </c>
      <c r="AB2039" s="138" t="str">
        <f>IFERROR(__xludf.DUMMYFUNCTION("""COMPUTED_VALUE"""),"Very Good")</f>
        <v>Very Good</v>
      </c>
      <c r="AC2039" s="139"/>
      <c r="AD2039" s="139"/>
      <c r="AE2039" s="139"/>
      <c r="AF2039" s="140"/>
      <c r="AG2039" s="145"/>
      <c r="AH2039" s="157">
        <f>IFERROR(__xludf.DUMMYFUNCTION("""COMPUTED_VALUE"""),43554.77776828704)</f>
        <v>43554.77777</v>
      </c>
      <c r="AI2039" s="138"/>
      <c r="AJ2039" s="138"/>
      <c r="AK2039" s="138"/>
      <c r="AL2039" s="142"/>
    </row>
    <row r="2040" ht="20.25" customHeight="1">
      <c r="A2040" s="155" t="str">
        <f>IFERROR(__xludf.DUMMYFUNCTION("""COMPUTED_VALUE"""),"efhoward")</f>
        <v>efhoward</v>
      </c>
      <c r="B2040" s="149" t="str">
        <f>IFERROR(__xludf.DUMMYFUNCTION("""COMPUTED_VALUE"""),"Glendale")</f>
        <v>Glendale</v>
      </c>
      <c r="C2040" s="149" t="str">
        <f>IFERROR(__xludf.DUMMYFUNCTION("""COMPUTED_VALUE"""),"CA")</f>
        <v>CA</v>
      </c>
      <c r="D2040" s="149" t="str">
        <f>IFERROR(__xludf.DUMMYFUNCTION("""COMPUTED_VALUE"""),"USA")</f>
        <v>USA</v>
      </c>
      <c r="E2040" s="156">
        <f>IFERROR(__xludf.DUMMYFUNCTION("""COMPUTED_VALUE"""),43541.0)</f>
        <v>43541</v>
      </c>
      <c r="F2040" s="129">
        <f>IFERROR(__xludf.DUMMYFUNCTION("""COMPUTED_VALUE"""),43545.0)</f>
        <v>43545</v>
      </c>
      <c r="G2040" s="154"/>
      <c r="H2040" s="131">
        <f>IFERROR(__xludf.DUMMYFUNCTION("""COMPUTED_VALUE"""),314069.0)</f>
        <v>314069</v>
      </c>
      <c r="I2040" s="144"/>
      <c r="J2040" s="129">
        <f>IFERROR(__xludf.DUMMYFUNCTION("""COMPUTED_VALUE"""),43547.0)</f>
        <v>43547</v>
      </c>
      <c r="K2040" s="133">
        <f>IFERROR(__xludf.DUMMYFUNCTION("""COMPUTED_VALUE"""),4.0)</f>
        <v>4</v>
      </c>
      <c r="L2040" s="133">
        <f>IFERROR(__xludf.DUMMYFUNCTION("""COMPUTED_VALUE"""),2.0)</f>
        <v>2</v>
      </c>
      <c r="M2040" s="133">
        <f>IFERROR(__xludf.DUMMYFUNCTION("""COMPUTED_VALUE"""),6.0)</f>
        <v>6</v>
      </c>
      <c r="N2040" s="152" t="str">
        <f>IFERROR(__xludf.DUMMYFUNCTION("""COMPUTED_VALUE"""),"Model 3 LR")</f>
        <v>Model 3 LR</v>
      </c>
      <c r="O2040" s="152" t="str">
        <f>IFERROR(__xludf.DUMMYFUNCTION("""COMPUTED_VALUE"""),"Pearl White Multi-Coat")</f>
        <v>Pearl White Multi-Coat</v>
      </c>
      <c r="P2040" s="153" t="str">
        <f>IFERROR(__xludf.DUMMYFUNCTION("""COMPUTED_VALUE"""),"18 inch Aero")</f>
        <v>18 inch Aero</v>
      </c>
      <c r="Q2040" s="152" t="str">
        <f>IFERROR(__xludf.DUMMYFUNCTION("""COMPUTED_VALUE"""),"Black seats")</f>
        <v>Black seats</v>
      </c>
      <c r="R2040" s="149" t="str">
        <f>IFERROR(__xludf.DUMMYFUNCTION("""COMPUTED_VALUE"""),"Autopilot")</f>
        <v>Autopilot</v>
      </c>
      <c r="S2040" s="149"/>
      <c r="T2040" s="145"/>
      <c r="U2040" s="145"/>
      <c r="V2040" s="145"/>
      <c r="W2040" s="145"/>
      <c r="X2040" s="137" t="str">
        <f>IFERROR(__xludf.DUMMYFUNCTION("""COMPUTED_VALUE"""),"Very Good")</f>
        <v>Very Good</v>
      </c>
      <c r="Y2040" s="138" t="str">
        <f>IFERROR(__xludf.DUMMYFUNCTION("""COMPUTED_VALUE"""),"Excellent")</f>
        <v>Excellent</v>
      </c>
      <c r="Z2040" s="138" t="str">
        <f>IFERROR(__xludf.DUMMYFUNCTION("""COMPUTED_VALUE"""),"Excellent")</f>
        <v>Excellent</v>
      </c>
      <c r="AA2040" s="138" t="str">
        <f>IFERROR(__xludf.DUMMYFUNCTION("""COMPUTED_VALUE"""),"Excellent")</f>
        <v>Excellent</v>
      </c>
      <c r="AB2040" s="138" t="str">
        <f>IFERROR(__xludf.DUMMYFUNCTION("""COMPUTED_VALUE"""),"Very Good")</f>
        <v>Very Good</v>
      </c>
      <c r="AC2040" s="139"/>
      <c r="AD2040" s="139"/>
      <c r="AE2040" s="139"/>
      <c r="AF2040" s="140"/>
      <c r="AG2040" s="145"/>
      <c r="AH2040" s="157">
        <f>IFERROR(__xludf.DUMMYFUNCTION("""COMPUTED_VALUE"""),43547.853057824075)</f>
        <v>43547.85306</v>
      </c>
      <c r="AI2040" s="138"/>
      <c r="AJ2040" s="138"/>
      <c r="AK2040" s="138"/>
      <c r="AL2040" s="142"/>
    </row>
    <row r="2041" ht="20.25" customHeight="1">
      <c r="A2041" s="155" t="str">
        <f>IFERROR(__xludf.DUMMYFUNCTION("""COMPUTED_VALUE"""),"henrymax")</f>
        <v>henrymax</v>
      </c>
      <c r="B2041" s="149" t="str">
        <f>IFERROR(__xludf.DUMMYFUNCTION("""COMPUTED_VALUE"""),"Sunnyvale")</f>
        <v>Sunnyvale</v>
      </c>
      <c r="C2041" s="149" t="str">
        <f>IFERROR(__xludf.DUMMYFUNCTION("""COMPUTED_VALUE"""),"CA")</f>
        <v>CA</v>
      </c>
      <c r="D2041" s="149" t="str">
        <f>IFERROR(__xludf.DUMMYFUNCTION("""COMPUTED_VALUE"""),"USA")</f>
        <v>USA</v>
      </c>
      <c r="E2041" s="156">
        <f>IFERROR(__xludf.DUMMYFUNCTION("""COMPUTED_VALUE"""),43541.0)</f>
        <v>43541</v>
      </c>
      <c r="F2041" s="129">
        <f>IFERROR(__xludf.DUMMYFUNCTION("""COMPUTED_VALUE"""),43558.0)</f>
        <v>43558</v>
      </c>
      <c r="G2041" s="154"/>
      <c r="H2041" s="131">
        <f>IFERROR(__xludf.DUMMYFUNCTION("""COMPUTED_VALUE"""),326555.0)</f>
        <v>326555</v>
      </c>
      <c r="I2041" s="144"/>
      <c r="J2041" s="129">
        <f>IFERROR(__xludf.DUMMYFUNCTION("""COMPUTED_VALUE"""),43575.0)</f>
        <v>43575</v>
      </c>
      <c r="K2041" s="133">
        <f>IFERROR(__xludf.DUMMYFUNCTION("""COMPUTED_VALUE"""),17.0)</f>
        <v>17</v>
      </c>
      <c r="L2041" s="133">
        <f>IFERROR(__xludf.DUMMYFUNCTION("""COMPUTED_VALUE"""),17.0)</f>
        <v>17</v>
      </c>
      <c r="M2041" s="133">
        <f>IFERROR(__xludf.DUMMYFUNCTION("""COMPUTED_VALUE"""),34.0)</f>
        <v>34</v>
      </c>
      <c r="N2041" s="152" t="str">
        <f>IFERROR(__xludf.DUMMYFUNCTION("""COMPUTED_VALUE"""),"Model 3 LR")</f>
        <v>Model 3 LR</v>
      </c>
      <c r="O2041" s="152" t="str">
        <f>IFERROR(__xludf.DUMMYFUNCTION("""COMPUTED_VALUE"""),"Pearl White Multi-Coat")</f>
        <v>Pearl White Multi-Coat</v>
      </c>
      <c r="P2041" s="153" t="str">
        <f>IFERROR(__xludf.DUMMYFUNCTION("""COMPUTED_VALUE"""),"18 inch Aero")</f>
        <v>18 inch Aero</v>
      </c>
      <c r="Q2041" s="152" t="str">
        <f>IFERROR(__xludf.DUMMYFUNCTION("""COMPUTED_VALUE"""),"Black seats")</f>
        <v>Black seats</v>
      </c>
      <c r="R2041" s="149" t="str">
        <f>IFERROR(__xludf.DUMMYFUNCTION("""COMPUTED_VALUE"""),"Full Self-Driving")</f>
        <v>Full Self-Driving</v>
      </c>
      <c r="S2041" s="149"/>
      <c r="T2041" s="145"/>
      <c r="U2041" s="145"/>
      <c r="V2041" s="145"/>
      <c r="W2041" s="145"/>
      <c r="X2041" s="137"/>
      <c r="Y2041" s="138"/>
      <c r="Z2041" s="138"/>
      <c r="AA2041" s="138" t="str">
        <f>IFERROR(__xludf.DUMMYFUNCTION("""COMPUTED_VALUE"""),"Poor")</f>
        <v>Poor</v>
      </c>
      <c r="AB2041" s="138"/>
      <c r="AC2041" s="139"/>
      <c r="AD2041" s="139"/>
      <c r="AE2041" s="139"/>
      <c r="AF2041" s="140"/>
      <c r="AG2041" s="145" t="str">
        <f>IFERROR(__xludf.DUMMYFUNCTION("""COMPUTED_VALUE"""),"delivery postponed to mid-April per my request")</f>
        <v>delivery postponed to mid-April per my request</v>
      </c>
      <c r="AH2041" s="157">
        <f>IFERROR(__xludf.DUMMYFUNCTION("""COMPUTED_VALUE"""),43566.69203881944)</f>
        <v>43566.69204</v>
      </c>
      <c r="AI2041" s="138"/>
      <c r="AJ2041" s="138"/>
      <c r="AK2041" s="138"/>
      <c r="AL2041" s="142"/>
    </row>
    <row r="2042" ht="20.25" customHeight="1">
      <c r="A2042" s="155" t="str">
        <f>IFERROR(__xludf.DUMMYFUNCTION("""COMPUTED_VALUE"""),"M3-Florida")</f>
        <v>M3-Florida</v>
      </c>
      <c r="B2042" s="149" t="str">
        <f>IFERROR(__xludf.DUMMYFUNCTION("""COMPUTED_VALUE"""),"NE Florida")</f>
        <v>NE Florida</v>
      </c>
      <c r="C2042" s="149" t="str">
        <f>IFERROR(__xludf.DUMMYFUNCTION("""COMPUTED_VALUE"""),"FL")</f>
        <v>FL</v>
      </c>
      <c r="D2042" s="149" t="str">
        <f>IFERROR(__xludf.DUMMYFUNCTION("""COMPUTED_VALUE"""),"USA")</f>
        <v>USA</v>
      </c>
      <c r="E2042" s="156">
        <f>IFERROR(__xludf.DUMMYFUNCTION("""COMPUTED_VALUE"""),43541.0)</f>
        <v>43541</v>
      </c>
      <c r="F2042" s="129">
        <f>IFERROR(__xludf.DUMMYFUNCTION("""COMPUTED_VALUE"""),43542.0)</f>
        <v>43542</v>
      </c>
      <c r="G2042" s="154"/>
      <c r="H2042" s="131">
        <f>IFERROR(__xludf.DUMMYFUNCTION("""COMPUTED_VALUE"""),297655.0)</f>
        <v>297655</v>
      </c>
      <c r="I2042" s="144" t="str">
        <f>IFERROR(__xludf.DUMMYFUNCTION("""COMPUTED_VALUE"""),"03/19")</f>
        <v>03/19</v>
      </c>
      <c r="J2042" s="129">
        <f>IFERROR(__xludf.DUMMYFUNCTION("""COMPUTED_VALUE"""),43553.0)</f>
        <v>43553</v>
      </c>
      <c r="K2042" s="133">
        <f>IFERROR(__xludf.DUMMYFUNCTION("""COMPUTED_VALUE"""),1.0)</f>
        <v>1</v>
      </c>
      <c r="L2042" s="133">
        <f>IFERROR(__xludf.DUMMYFUNCTION("""COMPUTED_VALUE"""),11.0)</f>
        <v>11</v>
      </c>
      <c r="M2042" s="133">
        <f>IFERROR(__xludf.DUMMYFUNCTION("""COMPUTED_VALUE"""),12.0)</f>
        <v>12</v>
      </c>
      <c r="N2042" s="152" t="str">
        <f>IFERROR(__xludf.DUMMYFUNCTION("""COMPUTED_VALUE"""),"Model 3 SR+")</f>
        <v>Model 3 SR+</v>
      </c>
      <c r="O2042" s="152" t="str">
        <f>IFERROR(__xludf.DUMMYFUNCTION("""COMPUTED_VALUE"""),"Solid Black")</f>
        <v>Solid Black</v>
      </c>
      <c r="P2042" s="153" t="str">
        <f>IFERROR(__xludf.DUMMYFUNCTION("""COMPUTED_VALUE"""),"18 inch Aero")</f>
        <v>18 inch Aero</v>
      </c>
      <c r="Q2042" s="152" t="str">
        <f>IFERROR(__xludf.DUMMYFUNCTION("""COMPUTED_VALUE"""),"Black seats")</f>
        <v>Black seats</v>
      </c>
      <c r="R2042" s="149" t="str">
        <f>IFERROR(__xludf.DUMMYFUNCTION("""COMPUTED_VALUE"""),"None")</f>
        <v>None</v>
      </c>
      <c r="S2042" s="149"/>
      <c r="T2042" s="145"/>
      <c r="U2042" s="145"/>
      <c r="V2042" s="145"/>
      <c r="W2042" s="145"/>
      <c r="X2042" s="137" t="str">
        <f>IFERROR(__xludf.DUMMYFUNCTION("""COMPUTED_VALUE"""),"Excellent")</f>
        <v>Excellent</v>
      </c>
      <c r="Y2042" s="138" t="str">
        <f>IFERROR(__xludf.DUMMYFUNCTION("""COMPUTED_VALUE"""),"Excellent")</f>
        <v>Excellent</v>
      </c>
      <c r="Z2042" s="138" t="str">
        <f>IFERROR(__xludf.DUMMYFUNCTION("""COMPUTED_VALUE"""),"Excellent")</f>
        <v>Excellent</v>
      </c>
      <c r="AA2042" s="138" t="str">
        <f>IFERROR(__xludf.DUMMYFUNCTION("""COMPUTED_VALUE"""),"Excellent")</f>
        <v>Excellent</v>
      </c>
      <c r="AB2042" s="138" t="str">
        <f>IFERROR(__xludf.DUMMYFUNCTION("""COMPUTED_VALUE"""),"Excellent")</f>
        <v>Excellent</v>
      </c>
      <c r="AC2042" s="139">
        <f>IFERROR(__xludf.DUMMYFUNCTION("""COMPUTED_VALUE"""),0.0)</f>
        <v>0</v>
      </c>
      <c r="AD2042" s="139">
        <f>IFERROR(__xludf.DUMMYFUNCTION("""COMPUTED_VALUE"""),0.0)</f>
        <v>0</v>
      </c>
      <c r="AE2042" s="139">
        <f>IFERROR(__xludf.DUMMYFUNCTION("""COMPUTED_VALUE"""),0.0)</f>
        <v>0</v>
      </c>
      <c r="AF2042" s="140"/>
      <c r="AG2042" s="145"/>
      <c r="AH2042" s="157">
        <f>IFERROR(__xludf.DUMMYFUNCTION("""COMPUTED_VALUE"""),43570.2004909838)</f>
        <v>43570.20049</v>
      </c>
      <c r="AI2042" s="138"/>
      <c r="AJ2042" s="138"/>
      <c r="AK2042" s="138"/>
      <c r="AL2042" s="142"/>
    </row>
    <row r="2043" ht="20.25" customHeight="1">
      <c r="A2043" s="155" t="str">
        <f>IFERROR(__xludf.DUMMYFUNCTION("""COMPUTED_VALUE"""),"nanorapture")</f>
        <v>nanorapture</v>
      </c>
      <c r="B2043" s="149" t="str">
        <f>IFERROR(__xludf.DUMMYFUNCTION("""COMPUTED_VALUE"""),"San Francisco")</f>
        <v>San Francisco</v>
      </c>
      <c r="C2043" s="149" t="str">
        <f>IFERROR(__xludf.DUMMYFUNCTION("""COMPUTED_VALUE"""),"CA")</f>
        <v>CA</v>
      </c>
      <c r="D2043" s="149" t="str">
        <f>IFERROR(__xludf.DUMMYFUNCTION("""COMPUTED_VALUE"""),"USA")</f>
        <v>USA</v>
      </c>
      <c r="E2043" s="156">
        <f>IFERROR(__xludf.DUMMYFUNCTION("""COMPUTED_VALUE"""),43541.0)</f>
        <v>43541</v>
      </c>
      <c r="F2043" s="129">
        <f>IFERROR(__xludf.DUMMYFUNCTION("""COMPUTED_VALUE"""),43550.0)</f>
        <v>43550</v>
      </c>
      <c r="G2043" s="154"/>
      <c r="H2043" s="131">
        <f>IFERROR(__xludf.DUMMYFUNCTION("""COMPUTED_VALUE"""),332639.0)</f>
        <v>332639</v>
      </c>
      <c r="I2043" s="144" t="str">
        <f>IFERROR(__xludf.DUMMYFUNCTION("""COMPUTED_VALUE"""),"03/19")</f>
        <v>03/19</v>
      </c>
      <c r="J2043" s="129">
        <f>IFERROR(__xludf.DUMMYFUNCTION("""COMPUTED_VALUE"""),43555.0)</f>
        <v>43555</v>
      </c>
      <c r="K2043" s="133">
        <f>IFERROR(__xludf.DUMMYFUNCTION("""COMPUTED_VALUE"""),9.0)</f>
        <v>9</v>
      </c>
      <c r="L2043" s="133">
        <f>IFERROR(__xludf.DUMMYFUNCTION("""COMPUTED_VALUE"""),5.0)</f>
        <v>5</v>
      </c>
      <c r="M2043" s="133">
        <f>IFERROR(__xludf.DUMMYFUNCTION("""COMPUTED_VALUE"""),14.0)</f>
        <v>14</v>
      </c>
      <c r="N2043" s="152" t="str">
        <f>IFERROR(__xludf.DUMMYFUNCTION("""COMPUTED_VALUE"""),"Model 3 LR")</f>
        <v>Model 3 LR</v>
      </c>
      <c r="O2043" s="152" t="str">
        <f>IFERROR(__xludf.DUMMYFUNCTION("""COMPUTED_VALUE"""),"Pearl White Multi-Coat")</f>
        <v>Pearl White Multi-Coat</v>
      </c>
      <c r="P2043" s="153" t="str">
        <f>IFERROR(__xludf.DUMMYFUNCTION("""COMPUTED_VALUE"""),"19 inch Sport")</f>
        <v>19 inch Sport</v>
      </c>
      <c r="Q2043" s="152" t="str">
        <f>IFERROR(__xludf.DUMMYFUNCTION("""COMPUTED_VALUE"""),"White seats")</f>
        <v>White seats</v>
      </c>
      <c r="R2043" s="149" t="str">
        <f>IFERROR(__xludf.DUMMYFUNCTION("""COMPUTED_VALUE"""),"Autopilot")</f>
        <v>Autopilot</v>
      </c>
      <c r="S2043" s="149"/>
      <c r="T2043" s="145"/>
      <c r="U2043" s="145"/>
      <c r="V2043" s="145"/>
      <c r="W2043" s="145"/>
      <c r="X2043" s="137" t="str">
        <f>IFERROR(__xludf.DUMMYFUNCTION("""COMPUTED_VALUE"""),"Good")</f>
        <v>Good</v>
      </c>
      <c r="Y2043" s="138" t="str">
        <f>IFERROR(__xludf.DUMMYFUNCTION("""COMPUTED_VALUE"""),"Excellent")</f>
        <v>Excellent</v>
      </c>
      <c r="Z2043" s="138" t="str">
        <f>IFERROR(__xludf.DUMMYFUNCTION("""COMPUTED_VALUE"""),"Very Good")</f>
        <v>Very Good</v>
      </c>
      <c r="AA2043" s="138" t="str">
        <f>IFERROR(__xludf.DUMMYFUNCTION("""COMPUTED_VALUE"""),"Fair")</f>
        <v>Fair</v>
      </c>
      <c r="AB2043" s="138" t="str">
        <f>IFERROR(__xludf.DUMMYFUNCTION("""COMPUTED_VALUE"""),"Excellent")</f>
        <v>Excellent</v>
      </c>
      <c r="AC2043" s="139">
        <f>IFERROR(__xludf.DUMMYFUNCTION("""COMPUTED_VALUE"""),3.0)</f>
        <v>3</v>
      </c>
      <c r="AD2043" s="139"/>
      <c r="AE2043" s="139"/>
      <c r="AF2043" s="140"/>
      <c r="AG2043" s="145"/>
      <c r="AH2043" s="157">
        <f>IFERROR(__xludf.DUMMYFUNCTION("""COMPUTED_VALUE"""),43559.733425150465)</f>
        <v>43559.73343</v>
      </c>
      <c r="AI2043" s="138"/>
      <c r="AJ2043" s="138"/>
      <c r="AK2043" s="138"/>
      <c r="AL2043" s="142"/>
    </row>
    <row r="2044" ht="20.25" customHeight="1">
      <c r="A2044" s="155" t="str">
        <f>IFERROR(__xludf.DUMMYFUNCTION("""COMPUTED_VALUE"""),"schnieds")</f>
        <v>schnieds</v>
      </c>
      <c r="B2044" s="149" t="str">
        <f>IFERROR(__xludf.DUMMYFUNCTION("""COMPUTED_VALUE"""),"Seattle")</f>
        <v>Seattle</v>
      </c>
      <c r="C2044" s="149" t="str">
        <f>IFERROR(__xludf.DUMMYFUNCTION("""COMPUTED_VALUE"""),"WA")</f>
        <v>WA</v>
      </c>
      <c r="D2044" s="149" t="str">
        <f>IFERROR(__xludf.DUMMYFUNCTION("""COMPUTED_VALUE"""),"USA")</f>
        <v>USA</v>
      </c>
      <c r="E2044" s="156">
        <f>IFERROR(__xludf.DUMMYFUNCTION("""COMPUTED_VALUE"""),43541.0)</f>
        <v>43541</v>
      </c>
      <c r="F2044" s="129">
        <f>IFERROR(__xludf.DUMMYFUNCTION("""COMPUTED_VALUE"""),43554.0)</f>
        <v>43554</v>
      </c>
      <c r="G2044" s="154"/>
      <c r="H2044" s="131">
        <f>IFERROR(__xludf.DUMMYFUNCTION("""COMPUTED_VALUE"""),231655.0)</f>
        <v>231655</v>
      </c>
      <c r="I2044" s="144" t="str">
        <f>IFERROR(__xludf.DUMMYFUNCTION("""COMPUTED_VALUE"""),"03/19")</f>
        <v>03/19</v>
      </c>
      <c r="J2044" s="129">
        <f>IFERROR(__xludf.DUMMYFUNCTION("""COMPUTED_VALUE"""),43554.0)</f>
        <v>43554</v>
      </c>
      <c r="K2044" s="133">
        <f>IFERROR(__xludf.DUMMYFUNCTION("""COMPUTED_VALUE"""),13.0)</f>
        <v>13</v>
      </c>
      <c r="L2044" s="133">
        <f>IFERROR(__xludf.DUMMYFUNCTION("""COMPUTED_VALUE"""),0.0)</f>
        <v>0</v>
      </c>
      <c r="M2044" s="133">
        <f>IFERROR(__xludf.DUMMYFUNCTION("""COMPUTED_VALUE"""),13.0)</f>
        <v>13</v>
      </c>
      <c r="N2044" s="152" t="str">
        <f>IFERROR(__xludf.DUMMYFUNCTION("""COMPUTED_VALUE"""),"Model 3 Performance")</f>
        <v>Model 3 Performance</v>
      </c>
      <c r="O2044" s="152" t="str">
        <f>IFERROR(__xludf.DUMMYFUNCTION("""COMPUTED_VALUE"""),"Pearl White Multi-Coat")</f>
        <v>Pearl White Multi-Coat</v>
      </c>
      <c r="P2044" s="153" t="str">
        <f>IFERROR(__xludf.DUMMYFUNCTION("""COMPUTED_VALUE"""),"20 inch Sport")</f>
        <v>20 inch Sport</v>
      </c>
      <c r="Q2044" s="152" t="str">
        <f>IFERROR(__xludf.DUMMYFUNCTION("""COMPUTED_VALUE"""),"White seats")</f>
        <v>White seats</v>
      </c>
      <c r="R2044" s="149" t="str">
        <f>IFERROR(__xludf.DUMMYFUNCTION("""COMPUTED_VALUE"""),"Full Self-Driving")</f>
        <v>Full Self-Driving</v>
      </c>
      <c r="S2044" s="149"/>
      <c r="T2044" s="145"/>
      <c r="U2044" s="145"/>
      <c r="V2044" s="145"/>
      <c r="W2044" s="145"/>
      <c r="X2044" s="137" t="str">
        <f>IFERROR(__xludf.DUMMYFUNCTION("""COMPUTED_VALUE"""),"Excellent")</f>
        <v>Excellent</v>
      </c>
      <c r="Y2044" s="138" t="str">
        <f>IFERROR(__xludf.DUMMYFUNCTION("""COMPUTED_VALUE"""),"Excellent")</f>
        <v>Excellent</v>
      </c>
      <c r="Z2044" s="138" t="str">
        <f>IFERROR(__xludf.DUMMYFUNCTION("""COMPUTED_VALUE"""),"Excellent")</f>
        <v>Excellent</v>
      </c>
      <c r="AA2044" s="138" t="str">
        <f>IFERROR(__xludf.DUMMYFUNCTION("""COMPUTED_VALUE"""),"Fair")</f>
        <v>Fair</v>
      </c>
      <c r="AB2044" s="138" t="str">
        <f>IFERROR(__xludf.DUMMYFUNCTION("""COMPUTED_VALUE"""),"Fair")</f>
        <v>Fair</v>
      </c>
      <c r="AC2044" s="139"/>
      <c r="AD2044" s="139"/>
      <c r="AE2044" s="139"/>
      <c r="AF2044" s="140"/>
      <c r="AG2044" s="145"/>
      <c r="AH2044" s="157">
        <f>IFERROR(__xludf.DUMMYFUNCTION("""COMPUTED_VALUE"""),43556.82724881944)</f>
        <v>43556.82725</v>
      </c>
      <c r="AI2044" s="138"/>
      <c r="AJ2044" s="138"/>
      <c r="AK2044" s="138"/>
      <c r="AL2044" s="142"/>
    </row>
    <row r="2045" ht="20.25" customHeight="1">
      <c r="A2045" s="155" t="str">
        <f>IFERROR(__xludf.DUMMYFUNCTION("""COMPUTED_VALUE"""),"stretchsje")</f>
        <v>stretchsje</v>
      </c>
      <c r="B2045" s="149"/>
      <c r="C2045" s="149" t="str">
        <f>IFERROR(__xludf.DUMMYFUNCTION("""COMPUTED_VALUE"""),"PA")</f>
        <v>PA</v>
      </c>
      <c r="D2045" s="149" t="str">
        <f>IFERROR(__xludf.DUMMYFUNCTION("""COMPUTED_VALUE"""),"USA")</f>
        <v>USA</v>
      </c>
      <c r="E2045" s="156">
        <f>IFERROR(__xludf.DUMMYFUNCTION("""COMPUTED_VALUE"""),43541.0)</f>
        <v>43541</v>
      </c>
      <c r="F2045" s="129"/>
      <c r="G2045" s="154"/>
      <c r="H2045" s="131">
        <f>IFERROR(__xludf.DUMMYFUNCTION("""COMPUTED_VALUE"""),313855.0)</f>
        <v>313855</v>
      </c>
      <c r="I2045" s="144"/>
      <c r="J2045" s="129">
        <f>IFERROR(__xludf.DUMMYFUNCTION("""COMPUTED_VALUE"""),43554.0)</f>
        <v>43554</v>
      </c>
      <c r="K2045" s="133"/>
      <c r="L2045" s="133"/>
      <c r="M2045" s="133">
        <f>IFERROR(__xludf.DUMMYFUNCTION("""COMPUTED_VALUE"""),13.0)</f>
        <v>13</v>
      </c>
      <c r="N2045" s="152" t="str">
        <f>IFERROR(__xludf.DUMMYFUNCTION("""COMPUTED_VALUE"""),"Model 3 LR")</f>
        <v>Model 3 LR</v>
      </c>
      <c r="O2045" s="152" t="str">
        <f>IFERROR(__xludf.DUMMYFUNCTION("""COMPUTED_VALUE"""),"Deep Blue Metallic")</f>
        <v>Deep Blue Metallic</v>
      </c>
      <c r="P2045" s="153" t="str">
        <f>IFERROR(__xludf.DUMMYFUNCTION("""COMPUTED_VALUE"""),"18 inch Aero")</f>
        <v>18 inch Aero</v>
      </c>
      <c r="Q2045" s="152" t="str">
        <f>IFERROR(__xludf.DUMMYFUNCTION("""COMPUTED_VALUE"""),"Black seats")</f>
        <v>Black seats</v>
      </c>
      <c r="R2045" s="149" t="str">
        <f>IFERROR(__xludf.DUMMYFUNCTION("""COMPUTED_VALUE"""),"Full Self-Driving")</f>
        <v>Full Self-Driving</v>
      </c>
      <c r="S2045" s="149"/>
      <c r="T2045" s="145"/>
      <c r="U2045" s="145"/>
      <c r="V2045" s="145"/>
      <c r="W2045" s="145"/>
      <c r="X2045" s="137" t="str">
        <f>IFERROR(__xludf.DUMMYFUNCTION("""COMPUTED_VALUE"""),"Good")</f>
        <v>Good</v>
      </c>
      <c r="Y2045" s="138" t="str">
        <f>IFERROR(__xludf.DUMMYFUNCTION("""COMPUTED_VALUE"""),"Very Good")</f>
        <v>Very Good</v>
      </c>
      <c r="Z2045" s="138" t="str">
        <f>IFERROR(__xludf.DUMMYFUNCTION("""COMPUTED_VALUE"""),"Excellent")</f>
        <v>Excellent</v>
      </c>
      <c r="AA2045" s="138" t="str">
        <f>IFERROR(__xludf.DUMMYFUNCTION("""COMPUTED_VALUE"""),"Good")</f>
        <v>Good</v>
      </c>
      <c r="AB2045" s="138" t="str">
        <f>IFERROR(__xludf.DUMMYFUNCTION("""COMPUTED_VALUE"""),"Very Good")</f>
        <v>Very Good</v>
      </c>
      <c r="AC2045" s="139"/>
      <c r="AD2045" s="139"/>
      <c r="AE2045" s="139"/>
      <c r="AF2045" s="140"/>
      <c r="AG2045" s="145"/>
      <c r="AH2045" s="157">
        <f>IFERROR(__xludf.DUMMYFUNCTION("""COMPUTED_VALUE"""),43564.5751949537)</f>
        <v>43564.57519</v>
      </c>
      <c r="AI2045" s="138"/>
      <c r="AJ2045" s="138"/>
      <c r="AK2045" s="138"/>
      <c r="AL2045" s="142"/>
    </row>
    <row r="2046" ht="20.25" customHeight="1">
      <c r="A2046" s="155" t="str">
        <f>IFERROR(__xludf.DUMMYFUNCTION("""COMPUTED_VALUE"""),"topgun36")</f>
        <v>topgun36</v>
      </c>
      <c r="B2046" s="149" t="str">
        <f>IFERROR(__xludf.DUMMYFUNCTION("""COMPUTED_VALUE"""),"Vancouver")</f>
        <v>Vancouver</v>
      </c>
      <c r="C2046" s="149" t="str">
        <f>IFERROR(__xludf.DUMMYFUNCTION("""COMPUTED_VALUE"""),"BC")</f>
        <v>BC</v>
      </c>
      <c r="D2046" s="149" t="str">
        <f>IFERROR(__xludf.DUMMYFUNCTION("""COMPUTED_VALUE"""),"Canada")</f>
        <v>Canada</v>
      </c>
      <c r="E2046" s="156">
        <f>IFERROR(__xludf.DUMMYFUNCTION("""COMPUTED_VALUE"""),43541.0)</f>
        <v>43541</v>
      </c>
      <c r="F2046" s="129">
        <f>IFERROR(__xludf.DUMMYFUNCTION("""COMPUTED_VALUE"""),43592.0)</f>
        <v>43592</v>
      </c>
      <c r="G2046" s="154"/>
      <c r="H2046" s="131">
        <f>IFERROR(__xludf.DUMMYFUNCTION("""COMPUTED_VALUE"""),330255.0)</f>
        <v>330255</v>
      </c>
      <c r="I2046" s="144"/>
      <c r="J2046" s="129">
        <f>IFERROR(__xludf.DUMMYFUNCTION("""COMPUTED_VALUE"""),43596.0)</f>
        <v>43596</v>
      </c>
      <c r="K2046" s="133">
        <f>IFERROR(__xludf.DUMMYFUNCTION("""COMPUTED_VALUE"""),51.0)</f>
        <v>51</v>
      </c>
      <c r="L2046" s="133">
        <f>IFERROR(__xludf.DUMMYFUNCTION("""COMPUTED_VALUE"""),4.0)</f>
        <v>4</v>
      </c>
      <c r="M2046" s="133">
        <f>IFERROR(__xludf.DUMMYFUNCTION("""COMPUTED_VALUE"""),55.0)</f>
        <v>55</v>
      </c>
      <c r="N2046" s="152" t="str">
        <f>IFERROR(__xludf.DUMMYFUNCTION("""COMPUTED_VALUE"""),"Model 3 LR AWD")</f>
        <v>Model 3 LR AWD</v>
      </c>
      <c r="O2046" s="152" t="str">
        <f>IFERROR(__xludf.DUMMYFUNCTION("""COMPUTED_VALUE"""),"Midnight Silver Metallic")</f>
        <v>Midnight Silver Metallic</v>
      </c>
      <c r="P2046" s="153" t="str">
        <f>IFERROR(__xludf.DUMMYFUNCTION("""COMPUTED_VALUE"""),"19 inch Sport")</f>
        <v>19 inch Sport</v>
      </c>
      <c r="Q2046" s="152" t="str">
        <f>IFERROR(__xludf.DUMMYFUNCTION("""COMPUTED_VALUE"""),"Black seats")</f>
        <v>Black seats</v>
      </c>
      <c r="R2046" s="149" t="str">
        <f>IFERROR(__xludf.DUMMYFUNCTION("""COMPUTED_VALUE"""),"Autopilot")</f>
        <v>Autopilot</v>
      </c>
      <c r="S2046" s="149"/>
      <c r="T2046" s="145"/>
      <c r="U2046" s="145"/>
      <c r="V2046" s="145"/>
      <c r="W2046" s="145"/>
      <c r="X2046" s="137" t="str">
        <f>IFERROR(__xludf.DUMMYFUNCTION("""COMPUTED_VALUE"""),"Excellent")</f>
        <v>Excellent</v>
      </c>
      <c r="Y2046" s="138" t="str">
        <f>IFERROR(__xludf.DUMMYFUNCTION("""COMPUTED_VALUE"""),"Excellent")</f>
        <v>Excellent</v>
      </c>
      <c r="Z2046" s="138" t="str">
        <f>IFERROR(__xludf.DUMMYFUNCTION("""COMPUTED_VALUE"""),"Excellent")</f>
        <v>Excellent</v>
      </c>
      <c r="AA2046" s="138" t="str">
        <f>IFERROR(__xludf.DUMMYFUNCTION("""COMPUTED_VALUE"""),"Poor")</f>
        <v>Poor</v>
      </c>
      <c r="AB2046" s="138" t="str">
        <f>IFERROR(__xludf.DUMMYFUNCTION("""COMPUTED_VALUE"""),"Poor")</f>
        <v>Poor</v>
      </c>
      <c r="AC2046" s="139"/>
      <c r="AD2046" s="139"/>
      <c r="AE2046" s="139"/>
      <c r="AF2046" s="140"/>
      <c r="AG2046" s="145"/>
      <c r="AH2046" s="157">
        <f>IFERROR(__xludf.DUMMYFUNCTION("""COMPUTED_VALUE"""),43597.90180414352)</f>
        <v>43597.9018</v>
      </c>
      <c r="AI2046" s="138"/>
      <c r="AJ2046" s="138"/>
      <c r="AK2046" s="138"/>
      <c r="AL2046" s="142"/>
    </row>
    <row r="2047" ht="20.25" customHeight="1">
      <c r="A2047" s="155" t="str">
        <f>IFERROR(__xludf.DUMMYFUNCTION("""COMPUTED_VALUE"""),"Figo7966651")</f>
        <v>Figo7966651</v>
      </c>
      <c r="B2047" s="149" t="str">
        <f>IFERROR(__xludf.DUMMYFUNCTION("""COMPUTED_VALUE"""),"Sunnyvale")</f>
        <v>Sunnyvale</v>
      </c>
      <c r="C2047" s="149" t="str">
        <f>IFERROR(__xludf.DUMMYFUNCTION("""COMPUTED_VALUE"""),"CA")</f>
        <v>CA</v>
      </c>
      <c r="D2047" s="149" t="str">
        <f>IFERROR(__xludf.DUMMYFUNCTION("""COMPUTED_VALUE"""),"USA")</f>
        <v>USA</v>
      </c>
      <c r="E2047" s="156">
        <f>IFERROR(__xludf.DUMMYFUNCTION("""COMPUTED_VALUE"""),43540.0)</f>
        <v>43540</v>
      </c>
      <c r="F2047" s="129"/>
      <c r="G2047" s="154"/>
      <c r="H2047" s="131">
        <f>IFERROR(__xludf.DUMMYFUNCTION("""COMPUTED_VALUE"""),397755.0)</f>
        <v>397755</v>
      </c>
      <c r="I2047" s="144"/>
      <c r="J2047" s="129">
        <f>IFERROR(__xludf.DUMMYFUNCTION("""COMPUTED_VALUE"""),43603.0)</f>
        <v>43603</v>
      </c>
      <c r="K2047" s="133"/>
      <c r="L2047" s="133"/>
      <c r="M2047" s="133">
        <f>IFERROR(__xludf.DUMMYFUNCTION("""COMPUTED_VALUE"""),63.0)</f>
        <v>63</v>
      </c>
      <c r="N2047" s="152" t="str">
        <f>IFERROR(__xludf.DUMMYFUNCTION("""COMPUTED_VALUE"""),"Model 3 SR")</f>
        <v>Model 3 SR</v>
      </c>
      <c r="O2047" s="152" t="str">
        <f>IFERROR(__xludf.DUMMYFUNCTION("""COMPUTED_VALUE"""),"Solid Black")</f>
        <v>Solid Black</v>
      </c>
      <c r="P2047" s="153" t="str">
        <f>IFERROR(__xludf.DUMMYFUNCTION("""COMPUTED_VALUE"""),"18 inch Aero")</f>
        <v>18 inch Aero</v>
      </c>
      <c r="Q2047" s="152" t="str">
        <f>IFERROR(__xludf.DUMMYFUNCTION("""COMPUTED_VALUE"""),"Black seats")</f>
        <v>Black seats</v>
      </c>
      <c r="R2047" s="149" t="str">
        <f>IFERROR(__xludf.DUMMYFUNCTION("""COMPUTED_VALUE"""),"Autopilot")</f>
        <v>Autopilot</v>
      </c>
      <c r="S2047" s="149"/>
      <c r="T2047" s="145"/>
      <c r="U2047" s="145"/>
      <c r="V2047" s="145"/>
      <c r="W2047" s="145"/>
      <c r="X2047" s="137" t="str">
        <f>IFERROR(__xludf.DUMMYFUNCTION("""COMPUTED_VALUE"""),"Very Good")</f>
        <v>Very Good</v>
      </c>
      <c r="Y2047" s="138" t="str">
        <f>IFERROR(__xludf.DUMMYFUNCTION("""COMPUTED_VALUE"""),"Very Good")</f>
        <v>Very Good</v>
      </c>
      <c r="Z2047" s="138" t="str">
        <f>IFERROR(__xludf.DUMMYFUNCTION("""COMPUTED_VALUE"""),"Fair")</f>
        <v>Fair</v>
      </c>
      <c r="AA2047" s="138" t="str">
        <f>IFERROR(__xludf.DUMMYFUNCTION("""COMPUTED_VALUE"""),"Poor")</f>
        <v>Poor</v>
      </c>
      <c r="AB2047" s="138" t="str">
        <f>IFERROR(__xludf.DUMMYFUNCTION("""COMPUTED_VALUE"""),"Good")</f>
        <v>Good</v>
      </c>
      <c r="AC2047" s="139">
        <f>IFERROR(__xludf.DUMMYFUNCTION("""COMPUTED_VALUE"""),3.0)</f>
        <v>3</v>
      </c>
      <c r="AD2047" s="139">
        <f>IFERROR(__xludf.DUMMYFUNCTION("""COMPUTED_VALUE"""),1.0)</f>
        <v>1</v>
      </c>
      <c r="AE2047" s="139">
        <f>IFERROR(__xludf.DUMMYFUNCTION("""COMPUTED_VALUE"""),0.0)</f>
        <v>0</v>
      </c>
      <c r="AF2047" s="140"/>
      <c r="AG2047" s="145"/>
      <c r="AH2047" s="157">
        <f>IFERROR(__xludf.DUMMYFUNCTION("""COMPUTED_VALUE"""),43977.67120128472)</f>
        <v>43977.6712</v>
      </c>
      <c r="AI2047" s="138"/>
      <c r="AJ2047" s="138"/>
      <c r="AK2047" s="138"/>
      <c r="AL2047" s="142"/>
    </row>
    <row r="2048" ht="20.25" customHeight="1">
      <c r="A2048" s="155" t="str">
        <f>IFERROR(__xludf.DUMMYFUNCTION("""COMPUTED_VALUE"""),"Pveronneau")</f>
        <v>Pveronneau</v>
      </c>
      <c r="B2048" s="149" t="str">
        <f>IFERROR(__xludf.DUMMYFUNCTION("""COMPUTED_VALUE"""),"Montreal")</f>
        <v>Montreal</v>
      </c>
      <c r="C2048" s="149" t="str">
        <f>IFERROR(__xludf.DUMMYFUNCTION("""COMPUTED_VALUE"""),"QC")</f>
        <v>QC</v>
      </c>
      <c r="D2048" s="149" t="str">
        <f>IFERROR(__xludf.DUMMYFUNCTION("""COMPUTED_VALUE"""),"Canada")</f>
        <v>Canada</v>
      </c>
      <c r="E2048" s="156">
        <f>IFERROR(__xludf.DUMMYFUNCTION("""COMPUTED_VALUE"""),43540.0)</f>
        <v>43540</v>
      </c>
      <c r="F2048" s="129">
        <f>IFERROR(__xludf.DUMMYFUNCTION("""COMPUTED_VALUE"""),43615.0)</f>
        <v>43615</v>
      </c>
      <c r="G2048" s="154"/>
      <c r="H2048" s="131">
        <f>IFERROR(__xludf.DUMMYFUNCTION("""COMPUTED_VALUE"""),329155.0)</f>
        <v>329155</v>
      </c>
      <c r="I2048" s="144" t="str">
        <f>IFERROR(__xludf.DUMMYFUNCTION("""COMPUTED_VALUE"""),"05/19")</f>
        <v>05/19</v>
      </c>
      <c r="J2048" s="129">
        <f>IFERROR(__xludf.DUMMYFUNCTION("""COMPUTED_VALUE"""),43620.0)</f>
        <v>43620</v>
      </c>
      <c r="K2048" s="133">
        <f>IFERROR(__xludf.DUMMYFUNCTION("""COMPUTED_VALUE"""),75.0)</f>
        <v>75</v>
      </c>
      <c r="L2048" s="133">
        <f>IFERROR(__xludf.DUMMYFUNCTION("""COMPUTED_VALUE"""),5.0)</f>
        <v>5</v>
      </c>
      <c r="M2048" s="133">
        <f>IFERROR(__xludf.DUMMYFUNCTION("""COMPUTED_VALUE"""),80.0)</f>
        <v>80</v>
      </c>
      <c r="N2048" s="152" t="str">
        <f>IFERROR(__xludf.DUMMYFUNCTION("""COMPUTED_VALUE"""),"Model 3 SR+")</f>
        <v>Model 3 SR+</v>
      </c>
      <c r="O2048" s="152" t="str">
        <f>IFERROR(__xludf.DUMMYFUNCTION("""COMPUTED_VALUE"""),"Solid Black")</f>
        <v>Solid Black</v>
      </c>
      <c r="P2048" s="153" t="str">
        <f>IFERROR(__xludf.DUMMYFUNCTION("""COMPUTED_VALUE"""),"18 inch Aero")</f>
        <v>18 inch Aero</v>
      </c>
      <c r="Q2048" s="152" t="str">
        <f>IFERROR(__xludf.DUMMYFUNCTION("""COMPUTED_VALUE"""),"White seats")</f>
        <v>White seats</v>
      </c>
      <c r="R2048" s="149" t="str">
        <f>IFERROR(__xludf.DUMMYFUNCTION("""COMPUTED_VALUE"""),"Full Self-Driving")</f>
        <v>Full Self-Driving</v>
      </c>
      <c r="S2048" s="149"/>
      <c r="T2048" s="145"/>
      <c r="U2048" s="145"/>
      <c r="V2048" s="145"/>
      <c r="W2048" s="145"/>
      <c r="X2048" s="137" t="str">
        <f>IFERROR(__xludf.DUMMYFUNCTION("""COMPUTED_VALUE"""),"Fair")</f>
        <v>Fair</v>
      </c>
      <c r="Y2048" s="138" t="str">
        <f>IFERROR(__xludf.DUMMYFUNCTION("""COMPUTED_VALUE"""),"Good")</f>
        <v>Good</v>
      </c>
      <c r="Z2048" s="138" t="str">
        <f>IFERROR(__xludf.DUMMYFUNCTION("""COMPUTED_VALUE"""),"Fair")</f>
        <v>Fair</v>
      </c>
      <c r="AA2048" s="138" t="str">
        <f>IFERROR(__xludf.DUMMYFUNCTION("""COMPUTED_VALUE"""),"Good")</f>
        <v>Good</v>
      </c>
      <c r="AB2048" s="138" t="str">
        <f>IFERROR(__xludf.DUMMYFUNCTION("""COMPUTED_VALUE"""),"Good")</f>
        <v>Good</v>
      </c>
      <c r="AC2048" s="139">
        <f>IFERROR(__xludf.DUMMYFUNCTION("""COMPUTED_VALUE"""),5.0)</f>
        <v>5</v>
      </c>
      <c r="AD2048" s="139"/>
      <c r="AE2048" s="139"/>
      <c r="AF2048" s="140"/>
      <c r="AG2048" s="145"/>
      <c r="AH2048" s="157">
        <f>IFERROR(__xludf.DUMMYFUNCTION("""COMPUTED_VALUE"""),43620.81155539351)</f>
        <v>43620.81156</v>
      </c>
      <c r="AI2048" s="138"/>
      <c r="AJ2048" s="138"/>
      <c r="AK2048" s="138"/>
      <c r="AL2048" s="142"/>
    </row>
    <row r="2049" ht="20.25" customHeight="1">
      <c r="A2049" s="155" t="str">
        <f>IFERROR(__xludf.DUMMYFUNCTION("""COMPUTED_VALUE"""),"rmitra")</f>
        <v>rmitra</v>
      </c>
      <c r="B2049" s="149" t="str">
        <f>IFERROR(__xludf.DUMMYFUNCTION("""COMPUTED_VALUE"""),"Holliston")</f>
        <v>Holliston</v>
      </c>
      <c r="C2049" s="149" t="str">
        <f>IFERROR(__xludf.DUMMYFUNCTION("""COMPUTED_VALUE"""),"MA")</f>
        <v>MA</v>
      </c>
      <c r="D2049" s="149" t="str">
        <f>IFERROR(__xludf.DUMMYFUNCTION("""COMPUTED_VALUE"""),"USA")</f>
        <v>USA</v>
      </c>
      <c r="E2049" s="156">
        <f>IFERROR(__xludf.DUMMYFUNCTION("""COMPUTED_VALUE"""),43540.0)</f>
        <v>43540</v>
      </c>
      <c r="F2049" s="129">
        <f>IFERROR(__xludf.DUMMYFUNCTION("""COMPUTED_VALUE"""),43547.0)</f>
        <v>43547</v>
      </c>
      <c r="G2049" s="154"/>
      <c r="H2049" s="131">
        <f>IFERROR(__xludf.DUMMYFUNCTION("""COMPUTED_VALUE"""),301955.0)</f>
        <v>301955</v>
      </c>
      <c r="I2049" s="144" t="str">
        <f>IFERROR(__xludf.DUMMYFUNCTION("""COMPUTED_VALUE"""),"03/19")</f>
        <v>03/19</v>
      </c>
      <c r="J2049" s="129">
        <f>IFERROR(__xludf.DUMMYFUNCTION("""COMPUTED_VALUE"""),43554.0)</f>
        <v>43554</v>
      </c>
      <c r="K2049" s="133">
        <f>IFERROR(__xludf.DUMMYFUNCTION("""COMPUTED_VALUE"""),7.0)</f>
        <v>7</v>
      </c>
      <c r="L2049" s="133">
        <f>IFERROR(__xludf.DUMMYFUNCTION("""COMPUTED_VALUE"""),7.0)</f>
        <v>7</v>
      </c>
      <c r="M2049" s="133">
        <f>IFERROR(__xludf.DUMMYFUNCTION("""COMPUTED_VALUE"""),14.0)</f>
        <v>14</v>
      </c>
      <c r="N2049" s="152" t="str">
        <f>IFERROR(__xludf.DUMMYFUNCTION("""COMPUTED_VALUE"""),"Model 3 SR+")</f>
        <v>Model 3 SR+</v>
      </c>
      <c r="O2049" s="152" t="str">
        <f>IFERROR(__xludf.DUMMYFUNCTION("""COMPUTED_VALUE"""),"Deep Blue Metallic")</f>
        <v>Deep Blue Metallic</v>
      </c>
      <c r="P2049" s="153" t="str">
        <f>IFERROR(__xludf.DUMMYFUNCTION("""COMPUTED_VALUE"""),"18 inch Aero")</f>
        <v>18 inch Aero</v>
      </c>
      <c r="Q2049" s="152" t="str">
        <f>IFERROR(__xludf.DUMMYFUNCTION("""COMPUTED_VALUE"""),"White seats")</f>
        <v>White seats</v>
      </c>
      <c r="R2049" s="149" t="str">
        <f>IFERROR(__xludf.DUMMYFUNCTION("""COMPUTED_VALUE"""),"Autopilot")</f>
        <v>Autopilot</v>
      </c>
      <c r="S2049" s="149"/>
      <c r="T2049" s="145"/>
      <c r="U2049" s="145"/>
      <c r="V2049" s="145"/>
      <c r="W2049" s="145"/>
      <c r="X2049" s="137" t="str">
        <f>IFERROR(__xludf.DUMMYFUNCTION("""COMPUTED_VALUE"""),"Very Good")</f>
        <v>Very Good</v>
      </c>
      <c r="Y2049" s="138" t="str">
        <f>IFERROR(__xludf.DUMMYFUNCTION("""COMPUTED_VALUE"""),"Excellent")</f>
        <v>Excellent</v>
      </c>
      <c r="Z2049" s="138" t="str">
        <f>IFERROR(__xludf.DUMMYFUNCTION("""COMPUTED_VALUE"""),"Very Good")</f>
        <v>Very Good</v>
      </c>
      <c r="AA2049" s="138" t="str">
        <f>IFERROR(__xludf.DUMMYFUNCTION("""COMPUTED_VALUE"""),"Poor")</f>
        <v>Poor</v>
      </c>
      <c r="AB2049" s="138" t="str">
        <f>IFERROR(__xludf.DUMMYFUNCTION("""COMPUTED_VALUE"""),"Good")</f>
        <v>Good</v>
      </c>
      <c r="AC2049" s="139"/>
      <c r="AD2049" s="139"/>
      <c r="AE2049" s="139"/>
      <c r="AF2049" s="140"/>
      <c r="AG2049" s="145"/>
      <c r="AH2049" s="157">
        <f>IFERROR(__xludf.DUMMYFUNCTION("""COMPUTED_VALUE"""),43557.47416670139)</f>
        <v>43557.47417</v>
      </c>
      <c r="AI2049" s="138"/>
      <c r="AJ2049" s="138"/>
      <c r="AK2049" s="138"/>
      <c r="AL2049" s="142"/>
    </row>
    <row r="2050" ht="20.25" customHeight="1">
      <c r="A2050" s="155" t="str">
        <f>IFERROR(__xludf.DUMMYFUNCTION("""COMPUTED_VALUE"""),"TomT")</f>
        <v>TomT</v>
      </c>
      <c r="B2050" s="149" t="str">
        <f>IFERROR(__xludf.DUMMYFUNCTION("""COMPUTED_VALUE"""),"Cumming")</f>
        <v>Cumming</v>
      </c>
      <c r="C2050" s="149" t="str">
        <f>IFERROR(__xludf.DUMMYFUNCTION("""COMPUTED_VALUE"""),"GA")</f>
        <v>GA</v>
      </c>
      <c r="D2050" s="149" t="str">
        <f>IFERROR(__xludf.DUMMYFUNCTION("""COMPUTED_VALUE"""),"USA")</f>
        <v>USA</v>
      </c>
      <c r="E2050" s="156">
        <f>IFERROR(__xludf.DUMMYFUNCTION("""COMPUTED_VALUE"""),43540.0)</f>
        <v>43540</v>
      </c>
      <c r="F2050" s="129">
        <f>IFERROR(__xludf.DUMMYFUNCTION("""COMPUTED_VALUE"""),43545.0)</f>
        <v>43545</v>
      </c>
      <c r="G2050" s="154"/>
      <c r="H2050" s="131">
        <f>IFERROR(__xludf.DUMMYFUNCTION("""COMPUTED_VALUE"""),314355.0)</f>
        <v>314355</v>
      </c>
      <c r="I2050" s="144" t="str">
        <f>IFERROR(__xludf.DUMMYFUNCTION("""COMPUTED_VALUE"""),"03/19")</f>
        <v>03/19</v>
      </c>
      <c r="J2050" s="129">
        <f>IFERROR(__xludf.DUMMYFUNCTION("""COMPUTED_VALUE"""),43553.0)</f>
        <v>43553</v>
      </c>
      <c r="K2050" s="133">
        <f>IFERROR(__xludf.DUMMYFUNCTION("""COMPUTED_VALUE"""),5.0)</f>
        <v>5</v>
      </c>
      <c r="L2050" s="133">
        <f>IFERROR(__xludf.DUMMYFUNCTION("""COMPUTED_VALUE"""),8.0)</f>
        <v>8</v>
      </c>
      <c r="M2050" s="133">
        <f>IFERROR(__xludf.DUMMYFUNCTION("""COMPUTED_VALUE"""),13.0)</f>
        <v>13</v>
      </c>
      <c r="N2050" s="152" t="str">
        <f>IFERROR(__xludf.DUMMYFUNCTION("""COMPUTED_VALUE"""),"Model 3 LR")</f>
        <v>Model 3 LR</v>
      </c>
      <c r="O2050" s="152" t="str">
        <f>IFERROR(__xludf.DUMMYFUNCTION("""COMPUTED_VALUE"""),"Midnight Silver Metallic")</f>
        <v>Midnight Silver Metallic</v>
      </c>
      <c r="P2050" s="153" t="str">
        <f>IFERROR(__xludf.DUMMYFUNCTION("""COMPUTED_VALUE"""),"19 inch Sport")</f>
        <v>19 inch Sport</v>
      </c>
      <c r="Q2050" s="152" t="str">
        <f>IFERROR(__xludf.DUMMYFUNCTION("""COMPUTED_VALUE"""),"Black seats")</f>
        <v>Black seats</v>
      </c>
      <c r="R2050" s="149" t="str">
        <f>IFERROR(__xludf.DUMMYFUNCTION("""COMPUTED_VALUE"""),"Full Self-Driving")</f>
        <v>Full Self-Driving</v>
      </c>
      <c r="S2050" s="149"/>
      <c r="T2050" s="145"/>
      <c r="U2050" s="145"/>
      <c r="V2050" s="145"/>
      <c r="W2050" s="145"/>
      <c r="X2050" s="137" t="str">
        <f>IFERROR(__xludf.DUMMYFUNCTION("""COMPUTED_VALUE"""),"Good")</f>
        <v>Good</v>
      </c>
      <c r="Y2050" s="138" t="str">
        <f>IFERROR(__xludf.DUMMYFUNCTION("""COMPUTED_VALUE"""),"Very Good")</f>
        <v>Very Good</v>
      </c>
      <c r="Z2050" s="138" t="str">
        <f>IFERROR(__xludf.DUMMYFUNCTION("""COMPUTED_VALUE"""),"Very Good")</f>
        <v>Very Good</v>
      </c>
      <c r="AA2050" s="138" t="str">
        <f>IFERROR(__xludf.DUMMYFUNCTION("""COMPUTED_VALUE"""),"Good")</f>
        <v>Good</v>
      </c>
      <c r="AB2050" s="138" t="str">
        <f>IFERROR(__xludf.DUMMYFUNCTION("""COMPUTED_VALUE"""),"Very Good")</f>
        <v>Very Good</v>
      </c>
      <c r="AC2050" s="139">
        <f>IFERROR(__xludf.DUMMYFUNCTION("""COMPUTED_VALUE"""),0.0)</f>
        <v>0</v>
      </c>
      <c r="AD2050" s="139">
        <f>IFERROR(__xludf.DUMMYFUNCTION("""COMPUTED_VALUE"""),0.0)</f>
        <v>0</v>
      </c>
      <c r="AE2050" s="139">
        <f>IFERROR(__xludf.DUMMYFUNCTION("""COMPUTED_VALUE"""),0.0)</f>
        <v>0</v>
      </c>
      <c r="AF2050" s="140"/>
      <c r="AG2050" s="145"/>
      <c r="AH2050" s="157">
        <f>IFERROR(__xludf.DUMMYFUNCTION("""COMPUTED_VALUE"""),43554.67871692129)</f>
        <v>43554.67872</v>
      </c>
      <c r="AI2050" s="138"/>
      <c r="AJ2050" s="138"/>
      <c r="AK2050" s="138"/>
      <c r="AL2050" s="142"/>
    </row>
    <row r="2051" ht="20.25" customHeight="1">
      <c r="A2051" s="155" t="str">
        <f>IFERROR(__xludf.DUMMYFUNCTION("""COMPUTED_VALUE"""),"tronkus")</f>
        <v>tronkus</v>
      </c>
      <c r="B2051" s="149"/>
      <c r="C2051" s="149"/>
      <c r="D2051" s="149" t="str">
        <f>IFERROR(__xludf.DUMMYFUNCTION("""COMPUTED_VALUE"""),"Spain")</f>
        <v>Spain</v>
      </c>
      <c r="E2051" s="156">
        <f>IFERROR(__xludf.DUMMYFUNCTION("""COMPUTED_VALUE"""),43540.0)</f>
        <v>43540</v>
      </c>
      <c r="F2051" s="129"/>
      <c r="G2051" s="154"/>
      <c r="H2051" s="131">
        <f>IFERROR(__xludf.DUMMYFUNCTION("""COMPUTED_VALUE"""),239455.0)</f>
        <v>239455</v>
      </c>
      <c r="I2051" s="144"/>
      <c r="J2051" s="129">
        <f>IFERROR(__xludf.DUMMYFUNCTION("""COMPUTED_VALUE"""),43553.0)</f>
        <v>43553</v>
      </c>
      <c r="K2051" s="133"/>
      <c r="L2051" s="133"/>
      <c r="M2051" s="133">
        <f>IFERROR(__xludf.DUMMYFUNCTION("""COMPUTED_VALUE"""),13.0)</f>
        <v>13</v>
      </c>
      <c r="N2051" s="152" t="str">
        <f>IFERROR(__xludf.DUMMYFUNCTION("""COMPUTED_VALUE"""),"Model 3 LR AWD")</f>
        <v>Model 3 LR AWD</v>
      </c>
      <c r="O2051" s="152" t="str">
        <f>IFERROR(__xludf.DUMMYFUNCTION("""COMPUTED_VALUE"""),"Deep Blue Metallic")</f>
        <v>Deep Blue Metallic</v>
      </c>
      <c r="P2051" s="153" t="str">
        <f>IFERROR(__xludf.DUMMYFUNCTION("""COMPUTED_VALUE"""),"18 inch Aero")</f>
        <v>18 inch Aero</v>
      </c>
      <c r="Q2051" s="152" t="str">
        <f>IFERROR(__xludf.DUMMYFUNCTION("""COMPUTED_VALUE"""),"Black seats")</f>
        <v>Black seats</v>
      </c>
      <c r="R2051" s="149" t="str">
        <f>IFERROR(__xludf.DUMMYFUNCTION("""COMPUTED_VALUE"""),"Autopilot")</f>
        <v>Autopilot</v>
      </c>
      <c r="S2051" s="149"/>
      <c r="T2051" s="145"/>
      <c r="U2051" s="145"/>
      <c r="V2051" s="145"/>
      <c r="W2051" s="145"/>
      <c r="X2051" s="137" t="str">
        <f>IFERROR(__xludf.DUMMYFUNCTION("""COMPUTED_VALUE"""),"Very Good")</f>
        <v>Very Good</v>
      </c>
      <c r="Y2051" s="138" t="str">
        <f>IFERROR(__xludf.DUMMYFUNCTION("""COMPUTED_VALUE"""),"Very Good")</f>
        <v>Very Good</v>
      </c>
      <c r="Z2051" s="138" t="str">
        <f>IFERROR(__xludf.DUMMYFUNCTION("""COMPUTED_VALUE"""),"Very Good")</f>
        <v>Very Good</v>
      </c>
      <c r="AA2051" s="138" t="str">
        <f>IFERROR(__xludf.DUMMYFUNCTION("""COMPUTED_VALUE"""),"Fair")</f>
        <v>Fair</v>
      </c>
      <c r="AB2051" s="138" t="str">
        <f>IFERROR(__xludf.DUMMYFUNCTION("""COMPUTED_VALUE"""),"Fair")</f>
        <v>Fair</v>
      </c>
      <c r="AC2051" s="139"/>
      <c r="AD2051" s="139"/>
      <c r="AE2051" s="139"/>
      <c r="AF2051" s="140"/>
      <c r="AG2051" s="145"/>
      <c r="AH2051" s="157">
        <f>IFERROR(__xludf.DUMMYFUNCTION("""COMPUTED_VALUE"""),43568.30055670139)</f>
        <v>43568.30056</v>
      </c>
      <c r="AI2051" s="138"/>
      <c r="AJ2051" s="138"/>
      <c r="AK2051" s="138"/>
      <c r="AL2051" s="142"/>
    </row>
    <row r="2052" ht="20.25" customHeight="1">
      <c r="A2052" s="155" t="str">
        <f>IFERROR(__xludf.DUMMYFUNCTION("""COMPUTED_VALUE"""),"Eleonore")</f>
        <v>Eleonore</v>
      </c>
      <c r="B2052" s="149" t="str">
        <f>IFERROR(__xludf.DUMMYFUNCTION("""COMPUTED_VALUE"""),"Montreal")</f>
        <v>Montreal</v>
      </c>
      <c r="C2052" s="149" t="str">
        <f>IFERROR(__xludf.DUMMYFUNCTION("""COMPUTED_VALUE"""),"QC")</f>
        <v>QC</v>
      </c>
      <c r="D2052" s="149" t="str">
        <f>IFERROR(__xludf.DUMMYFUNCTION("""COMPUTED_VALUE"""),"Canada")</f>
        <v>Canada</v>
      </c>
      <c r="E2052" s="156">
        <f>IFERROR(__xludf.DUMMYFUNCTION("""COMPUTED_VALUE"""),43539.0)</f>
        <v>43539</v>
      </c>
      <c r="F2052" s="129">
        <f>IFERROR(__xludf.DUMMYFUNCTION("""COMPUTED_VALUE"""),43595.0)</f>
        <v>43595</v>
      </c>
      <c r="G2052" s="154"/>
      <c r="H2052" s="131">
        <f>IFERROR(__xludf.DUMMYFUNCTION("""COMPUTED_VALUE"""),366055.0)</f>
        <v>366055</v>
      </c>
      <c r="I2052" s="144"/>
      <c r="J2052" s="129">
        <f>IFERROR(__xludf.DUMMYFUNCTION("""COMPUTED_VALUE"""),43602.0)</f>
        <v>43602</v>
      </c>
      <c r="K2052" s="133">
        <f>IFERROR(__xludf.DUMMYFUNCTION("""COMPUTED_VALUE"""),56.0)</f>
        <v>56</v>
      </c>
      <c r="L2052" s="133">
        <f>IFERROR(__xludf.DUMMYFUNCTION("""COMPUTED_VALUE"""),7.0)</f>
        <v>7</v>
      </c>
      <c r="M2052" s="133">
        <f>IFERROR(__xludf.DUMMYFUNCTION("""COMPUTED_VALUE"""),63.0)</f>
        <v>63</v>
      </c>
      <c r="N2052" s="152" t="str">
        <f>IFERROR(__xludf.DUMMYFUNCTION("""COMPUTED_VALUE"""),"Model 3 LR AWD")</f>
        <v>Model 3 LR AWD</v>
      </c>
      <c r="O2052" s="152" t="str">
        <f>IFERROR(__xludf.DUMMYFUNCTION("""COMPUTED_VALUE"""),"Midnight Silver Metallic")</f>
        <v>Midnight Silver Metallic</v>
      </c>
      <c r="P2052" s="153" t="str">
        <f>IFERROR(__xludf.DUMMYFUNCTION("""COMPUTED_VALUE"""),"19 inch Sport")</f>
        <v>19 inch Sport</v>
      </c>
      <c r="Q2052" s="152" t="str">
        <f>IFERROR(__xludf.DUMMYFUNCTION("""COMPUTED_VALUE"""),"Black seats")</f>
        <v>Black seats</v>
      </c>
      <c r="R2052" s="149" t="str">
        <f>IFERROR(__xludf.DUMMYFUNCTION("""COMPUTED_VALUE"""),"Full Self-Driving")</f>
        <v>Full Self-Driving</v>
      </c>
      <c r="S2052" s="149"/>
      <c r="T2052" s="145"/>
      <c r="U2052" s="145"/>
      <c r="V2052" s="145"/>
      <c r="W2052" s="145"/>
      <c r="X2052" s="137" t="str">
        <f>IFERROR(__xludf.DUMMYFUNCTION("""COMPUTED_VALUE"""),"Excellent")</f>
        <v>Excellent</v>
      </c>
      <c r="Y2052" s="138" t="str">
        <f>IFERROR(__xludf.DUMMYFUNCTION("""COMPUTED_VALUE"""),"Excellent")</f>
        <v>Excellent</v>
      </c>
      <c r="Z2052" s="138" t="str">
        <f>IFERROR(__xludf.DUMMYFUNCTION("""COMPUTED_VALUE"""),"Excellent")</f>
        <v>Excellent</v>
      </c>
      <c r="AA2052" s="138" t="str">
        <f>IFERROR(__xludf.DUMMYFUNCTION("""COMPUTED_VALUE"""),"Fair")</f>
        <v>Fair</v>
      </c>
      <c r="AB2052" s="138" t="str">
        <f>IFERROR(__xludf.DUMMYFUNCTION("""COMPUTED_VALUE"""),"Very Good")</f>
        <v>Very Good</v>
      </c>
      <c r="AC2052" s="139">
        <f>IFERROR(__xludf.DUMMYFUNCTION("""COMPUTED_VALUE"""),0.0)</f>
        <v>0</v>
      </c>
      <c r="AD2052" s="139">
        <f>IFERROR(__xludf.DUMMYFUNCTION("""COMPUTED_VALUE"""),0.0)</f>
        <v>0</v>
      </c>
      <c r="AE2052" s="139">
        <f>IFERROR(__xludf.DUMMYFUNCTION("""COMPUTED_VALUE"""),0.0)</f>
        <v>0</v>
      </c>
      <c r="AF2052" s="140"/>
      <c r="AG2052" s="145"/>
      <c r="AH2052" s="157">
        <f>IFERROR(__xludf.DUMMYFUNCTION("""COMPUTED_VALUE"""),43618.803617986116)</f>
        <v>43618.80362</v>
      </c>
      <c r="AI2052" s="138"/>
      <c r="AJ2052" s="138"/>
      <c r="AK2052" s="138"/>
      <c r="AL2052" s="142"/>
    </row>
    <row r="2053" ht="20.25" customHeight="1">
      <c r="A2053" s="155" t="str">
        <f>IFERROR(__xludf.DUMMYFUNCTION("""COMPUTED_VALUE"""),"ncev")</f>
        <v>ncev</v>
      </c>
      <c r="B2053" s="149" t="str">
        <f>IFERROR(__xludf.DUMMYFUNCTION("""COMPUTED_VALUE"""),"Raleigh")</f>
        <v>Raleigh</v>
      </c>
      <c r="C2053" s="149" t="str">
        <f>IFERROR(__xludf.DUMMYFUNCTION("""COMPUTED_VALUE"""),"NC")</f>
        <v>NC</v>
      </c>
      <c r="D2053" s="149" t="str">
        <f>IFERROR(__xludf.DUMMYFUNCTION("""COMPUTED_VALUE"""),"USA")</f>
        <v>USA</v>
      </c>
      <c r="E2053" s="156">
        <f>IFERROR(__xludf.DUMMYFUNCTION("""COMPUTED_VALUE"""),43539.0)</f>
        <v>43539</v>
      </c>
      <c r="F2053" s="129">
        <f>IFERROR(__xludf.DUMMYFUNCTION("""COMPUTED_VALUE"""),43560.0)</f>
        <v>43560</v>
      </c>
      <c r="G2053" s="154"/>
      <c r="H2053" s="131">
        <f>IFERROR(__xludf.DUMMYFUNCTION("""COMPUTED_VALUE"""),327155.0)</f>
        <v>327155</v>
      </c>
      <c r="I2053" s="144"/>
      <c r="J2053" s="129">
        <f>IFERROR(__xludf.DUMMYFUNCTION("""COMPUTED_VALUE"""),43578.0)</f>
        <v>43578</v>
      </c>
      <c r="K2053" s="133">
        <f>IFERROR(__xludf.DUMMYFUNCTION("""COMPUTED_VALUE"""),21.0)</f>
        <v>21</v>
      </c>
      <c r="L2053" s="133">
        <f>IFERROR(__xludf.DUMMYFUNCTION("""COMPUTED_VALUE"""),18.0)</f>
        <v>18</v>
      </c>
      <c r="M2053" s="133">
        <f>IFERROR(__xludf.DUMMYFUNCTION("""COMPUTED_VALUE"""),39.0)</f>
        <v>39</v>
      </c>
      <c r="N2053" s="152" t="str">
        <f>IFERROR(__xludf.DUMMYFUNCTION("""COMPUTED_VALUE"""),"Model 3 LR")</f>
        <v>Model 3 LR</v>
      </c>
      <c r="O2053" s="152" t="str">
        <f>IFERROR(__xludf.DUMMYFUNCTION("""COMPUTED_VALUE"""),"Pearl White Multi-Coat")</f>
        <v>Pearl White Multi-Coat</v>
      </c>
      <c r="P2053" s="153" t="str">
        <f>IFERROR(__xludf.DUMMYFUNCTION("""COMPUTED_VALUE"""),"19 inch Sport")</f>
        <v>19 inch Sport</v>
      </c>
      <c r="Q2053" s="152" t="str">
        <f>IFERROR(__xludf.DUMMYFUNCTION("""COMPUTED_VALUE"""),"Black seats")</f>
        <v>Black seats</v>
      </c>
      <c r="R2053" s="149" t="str">
        <f>IFERROR(__xludf.DUMMYFUNCTION("""COMPUTED_VALUE"""),"Full Self-Driving")</f>
        <v>Full Self-Driving</v>
      </c>
      <c r="S2053" s="149"/>
      <c r="T2053" s="145"/>
      <c r="U2053" s="145"/>
      <c r="V2053" s="145"/>
      <c r="W2053" s="145"/>
      <c r="X2053" s="137" t="str">
        <f>IFERROR(__xludf.DUMMYFUNCTION("""COMPUTED_VALUE"""),"Excellent")</f>
        <v>Excellent</v>
      </c>
      <c r="Y2053" s="138" t="str">
        <f>IFERROR(__xludf.DUMMYFUNCTION("""COMPUTED_VALUE"""),"Excellent")</f>
        <v>Excellent</v>
      </c>
      <c r="Z2053" s="138" t="str">
        <f>IFERROR(__xludf.DUMMYFUNCTION("""COMPUTED_VALUE"""),"Excellent")</f>
        <v>Excellent</v>
      </c>
      <c r="AA2053" s="138" t="str">
        <f>IFERROR(__xludf.DUMMYFUNCTION("""COMPUTED_VALUE"""),"Very Good")</f>
        <v>Very Good</v>
      </c>
      <c r="AB2053" s="138" t="str">
        <f>IFERROR(__xludf.DUMMYFUNCTION("""COMPUTED_VALUE"""),"Excellent")</f>
        <v>Excellent</v>
      </c>
      <c r="AC2053" s="139"/>
      <c r="AD2053" s="139"/>
      <c r="AE2053" s="139"/>
      <c r="AF2053" s="140"/>
      <c r="AG2053" s="145" t="str">
        <f>IFERROR(__xludf.DUMMYFUNCTION("""COMPUTED_VALUE"""),"Orig scheduled delivery 29-Mar, VIN assigned 5-Apr, sched del 12-Apr, postponed to 22-Apr due to my travel. VIN removed 20-Apr. final del 23-Apr same VIN !")</f>
        <v>Orig scheduled delivery 29-Mar, VIN assigned 5-Apr, sched del 12-Apr, postponed to 22-Apr due to my travel. VIN removed 20-Apr. final del 23-Apr same VIN !</v>
      </c>
      <c r="AH2053" s="157">
        <f>IFERROR(__xludf.DUMMYFUNCTION("""COMPUTED_VALUE"""),43579.37705386574)</f>
        <v>43579.37705</v>
      </c>
      <c r="AI2053" s="138"/>
      <c r="AJ2053" s="138"/>
      <c r="AK2053" s="138"/>
      <c r="AL2053" s="142"/>
    </row>
    <row r="2054" ht="20.25" customHeight="1">
      <c r="A2054" s="155" t="str">
        <f>IFERROR(__xludf.DUMMYFUNCTION("""COMPUTED_VALUE"""),"GuyFromGulfport")</f>
        <v>GuyFromGulfport</v>
      </c>
      <c r="B2054" s="149" t="str">
        <f>IFERROR(__xludf.DUMMYFUNCTION("""COMPUTED_VALUE"""),"Gulfport")</f>
        <v>Gulfport</v>
      </c>
      <c r="C2054" s="149" t="str">
        <f>IFERROR(__xludf.DUMMYFUNCTION("""COMPUTED_VALUE"""),"MS")</f>
        <v>MS</v>
      </c>
      <c r="D2054" s="149" t="str">
        <f>IFERROR(__xludf.DUMMYFUNCTION("""COMPUTED_VALUE"""),"USA")</f>
        <v>USA</v>
      </c>
      <c r="E2054" s="156">
        <f>IFERROR(__xludf.DUMMYFUNCTION("""COMPUTED_VALUE"""),43538.0)</f>
        <v>43538</v>
      </c>
      <c r="F2054" s="129">
        <f>IFERROR(__xludf.DUMMYFUNCTION("""COMPUTED_VALUE"""),43540.0)</f>
        <v>43540</v>
      </c>
      <c r="G2054" s="154"/>
      <c r="H2054" s="131">
        <f>IFERROR(__xludf.DUMMYFUNCTION("""COMPUTED_VALUE"""),296355.0)</f>
        <v>296355</v>
      </c>
      <c r="I2054" s="144" t="str">
        <f>IFERROR(__xludf.DUMMYFUNCTION("""COMPUTED_VALUE"""),"03/19")</f>
        <v>03/19</v>
      </c>
      <c r="J2054" s="129">
        <f>IFERROR(__xludf.DUMMYFUNCTION("""COMPUTED_VALUE"""),43553.0)</f>
        <v>43553</v>
      </c>
      <c r="K2054" s="133">
        <f>IFERROR(__xludf.DUMMYFUNCTION("""COMPUTED_VALUE"""),2.0)</f>
        <v>2</v>
      </c>
      <c r="L2054" s="133">
        <f>IFERROR(__xludf.DUMMYFUNCTION("""COMPUTED_VALUE"""),13.0)</f>
        <v>13</v>
      </c>
      <c r="M2054" s="133">
        <f>IFERROR(__xludf.DUMMYFUNCTION("""COMPUTED_VALUE"""),15.0)</f>
        <v>15</v>
      </c>
      <c r="N2054" s="152" t="str">
        <f>IFERROR(__xludf.DUMMYFUNCTION("""COMPUTED_VALUE"""),"Model 3 SR+")</f>
        <v>Model 3 SR+</v>
      </c>
      <c r="O2054" s="152" t="str">
        <f>IFERROR(__xludf.DUMMYFUNCTION("""COMPUTED_VALUE"""),"Solid Black")</f>
        <v>Solid Black</v>
      </c>
      <c r="P2054" s="153" t="str">
        <f>IFERROR(__xludf.DUMMYFUNCTION("""COMPUTED_VALUE"""),"18 inch Aero")</f>
        <v>18 inch Aero</v>
      </c>
      <c r="Q2054" s="152" t="str">
        <f>IFERROR(__xludf.DUMMYFUNCTION("""COMPUTED_VALUE"""),"Black seats")</f>
        <v>Black seats</v>
      </c>
      <c r="R2054" s="149" t="str">
        <f>IFERROR(__xludf.DUMMYFUNCTION("""COMPUTED_VALUE"""),"None")</f>
        <v>None</v>
      </c>
      <c r="S2054" s="149"/>
      <c r="T2054" s="145"/>
      <c r="U2054" s="145"/>
      <c r="V2054" s="145"/>
      <c r="W2054" s="145"/>
      <c r="X2054" s="137" t="str">
        <f>IFERROR(__xludf.DUMMYFUNCTION("""COMPUTED_VALUE"""),"Excellent")</f>
        <v>Excellent</v>
      </c>
      <c r="Y2054" s="138" t="str">
        <f>IFERROR(__xludf.DUMMYFUNCTION("""COMPUTED_VALUE"""),"Excellent")</f>
        <v>Excellent</v>
      </c>
      <c r="Z2054" s="138" t="str">
        <f>IFERROR(__xludf.DUMMYFUNCTION("""COMPUTED_VALUE"""),"Excellent")</f>
        <v>Excellent</v>
      </c>
      <c r="AA2054" s="138" t="str">
        <f>IFERROR(__xludf.DUMMYFUNCTION("""COMPUTED_VALUE"""),"Poor")</f>
        <v>Poor</v>
      </c>
      <c r="AB2054" s="138" t="str">
        <f>IFERROR(__xludf.DUMMYFUNCTION("""COMPUTED_VALUE"""),"Very Good")</f>
        <v>Very Good</v>
      </c>
      <c r="AC2054" s="139"/>
      <c r="AD2054" s="139"/>
      <c r="AE2054" s="139"/>
      <c r="AF2054" s="140"/>
      <c r="AG2054" s="145"/>
      <c r="AH2054" s="157">
        <f>IFERROR(__xludf.DUMMYFUNCTION("""COMPUTED_VALUE"""),43558.90702640046)</f>
        <v>43558.90703</v>
      </c>
      <c r="AI2054" s="138"/>
      <c r="AJ2054" s="138"/>
      <c r="AK2054" s="138"/>
      <c r="AL2054" s="142"/>
    </row>
    <row r="2055" ht="20.25" customHeight="1">
      <c r="A2055" s="155" t="str">
        <f>IFERROR(__xludf.DUMMYFUNCTION("""COMPUTED_VALUE"""),"nicolasve")</f>
        <v>nicolasve</v>
      </c>
      <c r="B2055" s="149" t="str">
        <f>IFERROR(__xludf.DUMMYFUNCTION("""COMPUTED_VALUE"""),"Gent")</f>
        <v>Gent</v>
      </c>
      <c r="C2055" s="149"/>
      <c r="D2055" s="149" t="str">
        <f>IFERROR(__xludf.DUMMYFUNCTION("""COMPUTED_VALUE"""),"Belgium")</f>
        <v>Belgium</v>
      </c>
      <c r="E2055" s="156">
        <f>IFERROR(__xludf.DUMMYFUNCTION("""COMPUTED_VALUE"""),43538.0)</f>
        <v>43538</v>
      </c>
      <c r="F2055" s="129"/>
      <c r="G2055" s="154"/>
      <c r="H2055" s="131">
        <f>IFERROR(__xludf.DUMMYFUNCTION("""COMPUTED_VALUE"""),242055.0)</f>
        <v>242055</v>
      </c>
      <c r="I2055" s="144"/>
      <c r="J2055" s="129">
        <f>IFERROR(__xludf.DUMMYFUNCTION("""COMPUTED_VALUE"""),43554.0)</f>
        <v>43554</v>
      </c>
      <c r="K2055" s="133"/>
      <c r="L2055" s="133"/>
      <c r="M2055" s="133">
        <f>IFERROR(__xludf.DUMMYFUNCTION("""COMPUTED_VALUE"""),16.0)</f>
        <v>16</v>
      </c>
      <c r="N2055" s="152" t="str">
        <f>IFERROR(__xludf.DUMMYFUNCTION("""COMPUTED_VALUE"""),"Model 3 LR AWD")</f>
        <v>Model 3 LR AWD</v>
      </c>
      <c r="O2055" s="152" t="str">
        <f>IFERROR(__xludf.DUMMYFUNCTION("""COMPUTED_VALUE"""),"Midnight Silver Metallic")</f>
        <v>Midnight Silver Metallic</v>
      </c>
      <c r="P2055" s="153" t="str">
        <f>IFERROR(__xludf.DUMMYFUNCTION("""COMPUTED_VALUE"""),"19 inch Sport")</f>
        <v>19 inch Sport</v>
      </c>
      <c r="Q2055" s="152" t="str">
        <f>IFERROR(__xludf.DUMMYFUNCTION("""COMPUTED_VALUE"""),"Black seats")</f>
        <v>Black seats</v>
      </c>
      <c r="R2055" s="149" t="str">
        <f>IFERROR(__xludf.DUMMYFUNCTION("""COMPUTED_VALUE"""),"Full Self-Driving")</f>
        <v>Full Self-Driving</v>
      </c>
      <c r="S2055" s="149"/>
      <c r="T2055" s="145"/>
      <c r="U2055" s="145"/>
      <c r="V2055" s="145"/>
      <c r="W2055" s="145"/>
      <c r="X2055" s="137" t="str">
        <f>IFERROR(__xludf.DUMMYFUNCTION("""COMPUTED_VALUE"""),"Good")</f>
        <v>Good</v>
      </c>
      <c r="Y2055" s="138" t="str">
        <f>IFERROR(__xludf.DUMMYFUNCTION("""COMPUTED_VALUE"""),"Good")</f>
        <v>Good</v>
      </c>
      <c r="Z2055" s="138" t="str">
        <f>IFERROR(__xludf.DUMMYFUNCTION("""COMPUTED_VALUE"""),"Good")</f>
        <v>Good</v>
      </c>
      <c r="AA2055" s="138" t="str">
        <f>IFERROR(__xludf.DUMMYFUNCTION("""COMPUTED_VALUE"""),"Very Good")</f>
        <v>Very Good</v>
      </c>
      <c r="AB2055" s="138" t="str">
        <f>IFERROR(__xludf.DUMMYFUNCTION("""COMPUTED_VALUE"""),"Good")</f>
        <v>Good</v>
      </c>
      <c r="AC2055" s="139">
        <f>IFERROR(__xludf.DUMMYFUNCTION("""COMPUTED_VALUE"""),2.0)</f>
        <v>2</v>
      </c>
      <c r="AD2055" s="139"/>
      <c r="AE2055" s="139"/>
      <c r="AF2055" s="140"/>
      <c r="AG2055" s="145"/>
      <c r="AH2055" s="157">
        <f>IFERROR(__xludf.DUMMYFUNCTION("""COMPUTED_VALUE"""),43555.49748559028)</f>
        <v>43555.49749</v>
      </c>
      <c r="AI2055" s="138"/>
      <c r="AJ2055" s="138"/>
      <c r="AK2055" s="138"/>
      <c r="AL2055" s="142"/>
    </row>
    <row r="2056" ht="20.25" customHeight="1">
      <c r="A2056" s="155" t="str">
        <f>IFERROR(__xludf.DUMMYFUNCTION("""COMPUTED_VALUE"""),"Dr. ElectroChem")</f>
        <v>Dr. ElectroChem</v>
      </c>
      <c r="B2056" s="149" t="str">
        <f>IFERROR(__xludf.DUMMYFUNCTION("""COMPUTED_VALUE"""),"Saskatoon ")</f>
        <v>Saskatoon </v>
      </c>
      <c r="C2056" s="149" t="str">
        <f>IFERROR(__xludf.DUMMYFUNCTION("""COMPUTED_VALUE"""),"SK")</f>
        <v>SK</v>
      </c>
      <c r="D2056" s="149" t="str">
        <f>IFERROR(__xludf.DUMMYFUNCTION("""COMPUTED_VALUE"""),"Canada")</f>
        <v>Canada</v>
      </c>
      <c r="E2056" s="156">
        <f>IFERROR(__xludf.DUMMYFUNCTION("""COMPUTED_VALUE"""),43537.0)</f>
        <v>43537</v>
      </c>
      <c r="F2056" s="129">
        <f>IFERROR(__xludf.DUMMYFUNCTION("""COMPUTED_VALUE"""),43546.0)</f>
        <v>43546</v>
      </c>
      <c r="G2056" s="154"/>
      <c r="H2056" s="131">
        <f>IFERROR(__xludf.DUMMYFUNCTION("""COMPUTED_VALUE"""),143555.0)</f>
        <v>143555</v>
      </c>
      <c r="I2056" s="144" t="str">
        <f>IFERROR(__xludf.DUMMYFUNCTION("""COMPUTED_VALUE"""),"12/18")</f>
        <v>12/18</v>
      </c>
      <c r="J2056" s="129">
        <f>IFERROR(__xludf.DUMMYFUNCTION("""COMPUTED_VALUE"""),43555.0)</f>
        <v>43555</v>
      </c>
      <c r="K2056" s="133">
        <f>IFERROR(__xludf.DUMMYFUNCTION("""COMPUTED_VALUE"""),9.0)</f>
        <v>9</v>
      </c>
      <c r="L2056" s="133">
        <f>IFERROR(__xludf.DUMMYFUNCTION("""COMPUTED_VALUE"""),9.0)</f>
        <v>9</v>
      </c>
      <c r="M2056" s="133">
        <f>IFERROR(__xludf.DUMMYFUNCTION("""COMPUTED_VALUE"""),18.0)</f>
        <v>18</v>
      </c>
      <c r="N2056" s="152" t="str">
        <f>IFERROR(__xludf.DUMMYFUNCTION("""COMPUTED_VALUE"""),"Model 3 LR AWD")</f>
        <v>Model 3 LR AWD</v>
      </c>
      <c r="O2056" s="152" t="str">
        <f>IFERROR(__xludf.DUMMYFUNCTION("""COMPUTED_VALUE"""),"Solid Black")</f>
        <v>Solid Black</v>
      </c>
      <c r="P2056" s="153" t="str">
        <f>IFERROR(__xludf.DUMMYFUNCTION("""COMPUTED_VALUE"""),"18 inch Aero")</f>
        <v>18 inch Aero</v>
      </c>
      <c r="Q2056" s="152" t="str">
        <f>IFERROR(__xludf.DUMMYFUNCTION("""COMPUTED_VALUE"""),"Black seats")</f>
        <v>Black seats</v>
      </c>
      <c r="R2056" s="149" t="str">
        <f>IFERROR(__xludf.DUMMYFUNCTION("""COMPUTED_VALUE"""),"Full Self-Driving")</f>
        <v>Full Self-Driving</v>
      </c>
      <c r="S2056" s="149"/>
      <c r="T2056" s="145"/>
      <c r="U2056" s="145"/>
      <c r="V2056" s="145"/>
      <c r="W2056" s="145"/>
      <c r="X2056" s="137" t="str">
        <f>IFERROR(__xludf.DUMMYFUNCTION("""COMPUTED_VALUE"""),"Excellent")</f>
        <v>Excellent</v>
      </c>
      <c r="Y2056" s="138" t="str">
        <f>IFERROR(__xludf.DUMMYFUNCTION("""COMPUTED_VALUE"""),"Excellent")</f>
        <v>Excellent</v>
      </c>
      <c r="Z2056" s="138" t="str">
        <f>IFERROR(__xludf.DUMMYFUNCTION("""COMPUTED_VALUE"""),"Excellent")</f>
        <v>Excellent</v>
      </c>
      <c r="AA2056" s="138" t="str">
        <f>IFERROR(__xludf.DUMMYFUNCTION("""COMPUTED_VALUE"""),"Good")</f>
        <v>Good</v>
      </c>
      <c r="AB2056" s="138" t="str">
        <f>IFERROR(__xludf.DUMMYFUNCTION("""COMPUTED_VALUE"""),"Excellent")</f>
        <v>Excellent</v>
      </c>
      <c r="AC2056" s="139">
        <f>IFERROR(__xludf.DUMMYFUNCTION("""COMPUTED_VALUE"""),1.0)</f>
        <v>1</v>
      </c>
      <c r="AD2056" s="139">
        <f>IFERROR(__xludf.DUMMYFUNCTION("""COMPUTED_VALUE"""),0.0)</f>
        <v>0</v>
      </c>
      <c r="AE2056" s="139">
        <f>IFERROR(__xludf.DUMMYFUNCTION("""COMPUTED_VALUE"""),0.0)</f>
        <v>0</v>
      </c>
      <c r="AF2056" s="140"/>
      <c r="AG2056" s="145"/>
      <c r="AH2056" s="157">
        <f>IFERROR(__xludf.DUMMYFUNCTION("""COMPUTED_VALUE"""),43559.52219894676)</f>
        <v>43559.5222</v>
      </c>
      <c r="AI2056" s="138"/>
      <c r="AJ2056" s="138"/>
      <c r="AK2056" s="138"/>
      <c r="AL2056" s="142"/>
    </row>
    <row r="2057" ht="20.25" customHeight="1">
      <c r="A2057" s="155" t="str">
        <f>IFERROR(__xludf.DUMMYFUNCTION("""COMPUTED_VALUE"""),"mc2002tii")</f>
        <v>mc2002tii</v>
      </c>
      <c r="B2057" s="149" t="str">
        <f>IFERROR(__xludf.DUMMYFUNCTION("""COMPUTED_VALUE"""),"Baltimore")</f>
        <v>Baltimore</v>
      </c>
      <c r="C2057" s="149" t="str">
        <f>IFERROR(__xludf.DUMMYFUNCTION("""COMPUTED_VALUE"""),"MD")</f>
        <v>MD</v>
      </c>
      <c r="D2057" s="149" t="str">
        <f>IFERROR(__xludf.DUMMYFUNCTION("""COMPUTED_VALUE"""),"USA")</f>
        <v>USA</v>
      </c>
      <c r="E2057" s="156">
        <f>IFERROR(__xludf.DUMMYFUNCTION("""COMPUTED_VALUE"""),43537.0)</f>
        <v>43537</v>
      </c>
      <c r="F2057" s="129">
        <f>IFERROR(__xludf.DUMMYFUNCTION("""COMPUTED_VALUE"""),43542.0)</f>
        <v>43542</v>
      </c>
      <c r="G2057" s="154"/>
      <c r="H2057" s="131">
        <f>IFERROR(__xludf.DUMMYFUNCTION("""COMPUTED_VALUE"""),313876.0)</f>
        <v>313876</v>
      </c>
      <c r="I2057" s="144" t="str">
        <f>IFERROR(__xludf.DUMMYFUNCTION("""COMPUTED_VALUE"""),"03/19")</f>
        <v>03/19</v>
      </c>
      <c r="J2057" s="129">
        <f>IFERROR(__xludf.DUMMYFUNCTION("""COMPUTED_VALUE"""),43551.0)</f>
        <v>43551</v>
      </c>
      <c r="K2057" s="133">
        <f>IFERROR(__xludf.DUMMYFUNCTION("""COMPUTED_VALUE"""),5.0)</f>
        <v>5</v>
      </c>
      <c r="L2057" s="133">
        <f>IFERROR(__xludf.DUMMYFUNCTION("""COMPUTED_VALUE"""),9.0)</f>
        <v>9</v>
      </c>
      <c r="M2057" s="133">
        <f>IFERROR(__xludf.DUMMYFUNCTION("""COMPUTED_VALUE"""),14.0)</f>
        <v>14</v>
      </c>
      <c r="N2057" s="152" t="str">
        <f>IFERROR(__xludf.DUMMYFUNCTION("""COMPUTED_VALUE"""),"Model 3 LR")</f>
        <v>Model 3 LR</v>
      </c>
      <c r="O2057" s="152" t="str">
        <f>IFERROR(__xludf.DUMMYFUNCTION("""COMPUTED_VALUE"""),"Deep Blue Metallic")</f>
        <v>Deep Blue Metallic</v>
      </c>
      <c r="P2057" s="153" t="str">
        <f>IFERROR(__xludf.DUMMYFUNCTION("""COMPUTED_VALUE"""),"18 inch Aero")</f>
        <v>18 inch Aero</v>
      </c>
      <c r="Q2057" s="152" t="str">
        <f>IFERROR(__xludf.DUMMYFUNCTION("""COMPUTED_VALUE"""),"Black seats")</f>
        <v>Black seats</v>
      </c>
      <c r="R2057" s="149" t="str">
        <f>IFERROR(__xludf.DUMMYFUNCTION("""COMPUTED_VALUE"""),"Autopilot")</f>
        <v>Autopilot</v>
      </c>
      <c r="S2057" s="149"/>
      <c r="T2057" s="145"/>
      <c r="U2057" s="145"/>
      <c r="V2057" s="145"/>
      <c r="W2057" s="145"/>
      <c r="X2057" s="137" t="str">
        <f>IFERROR(__xludf.DUMMYFUNCTION("""COMPUTED_VALUE"""),"Good")</f>
        <v>Good</v>
      </c>
      <c r="Y2057" s="138" t="str">
        <f>IFERROR(__xludf.DUMMYFUNCTION("""COMPUTED_VALUE"""),"Excellent")</f>
        <v>Excellent</v>
      </c>
      <c r="Z2057" s="138" t="str">
        <f>IFERROR(__xludf.DUMMYFUNCTION("""COMPUTED_VALUE"""),"Excellent")</f>
        <v>Excellent</v>
      </c>
      <c r="AA2057" s="138" t="str">
        <f>IFERROR(__xludf.DUMMYFUNCTION("""COMPUTED_VALUE"""),"Excellent")</f>
        <v>Excellent</v>
      </c>
      <c r="AB2057" s="138" t="str">
        <f>IFERROR(__xludf.DUMMYFUNCTION("""COMPUTED_VALUE"""),"Excellent")</f>
        <v>Excellent</v>
      </c>
      <c r="AC2057" s="139"/>
      <c r="AD2057" s="139"/>
      <c r="AE2057" s="139"/>
      <c r="AF2057" s="140"/>
      <c r="AG2057" s="145"/>
      <c r="AH2057" s="157">
        <f>IFERROR(__xludf.DUMMYFUNCTION("""COMPUTED_VALUE"""),43553.66788201389)</f>
        <v>43553.66788</v>
      </c>
      <c r="AI2057" s="138"/>
      <c r="AJ2057" s="138"/>
      <c r="AK2057" s="138"/>
      <c r="AL2057" s="142"/>
    </row>
    <row r="2058" ht="20.25" customHeight="1">
      <c r="A2058" s="155" t="str">
        <f>IFERROR(__xludf.DUMMYFUNCTION("""COMPUTED_VALUE"""),"tangaroa")</f>
        <v>tangaroa</v>
      </c>
      <c r="B2058" s="149" t="str">
        <f>IFERROR(__xludf.DUMMYFUNCTION("""COMPUTED_VALUE"""),"Baltimore")</f>
        <v>Baltimore</v>
      </c>
      <c r="C2058" s="149" t="str">
        <f>IFERROR(__xludf.DUMMYFUNCTION("""COMPUTED_VALUE"""),"MD")</f>
        <v>MD</v>
      </c>
      <c r="D2058" s="149" t="str">
        <f>IFERROR(__xludf.DUMMYFUNCTION("""COMPUTED_VALUE"""),"USA")</f>
        <v>USA</v>
      </c>
      <c r="E2058" s="156">
        <f>IFERROR(__xludf.DUMMYFUNCTION("""COMPUTED_VALUE"""),43537.0)</f>
        <v>43537</v>
      </c>
      <c r="F2058" s="129">
        <f>IFERROR(__xludf.DUMMYFUNCTION("""COMPUTED_VALUE"""),43582.0)</f>
        <v>43582</v>
      </c>
      <c r="G2058" s="154"/>
      <c r="H2058" s="131">
        <f>IFERROR(__xludf.DUMMYFUNCTION("""COMPUTED_VALUE"""),238162.0)</f>
        <v>238162</v>
      </c>
      <c r="I2058" s="144" t="str">
        <f>IFERROR(__xludf.DUMMYFUNCTION("""COMPUTED_VALUE"""),"04/19")</f>
        <v>04/19</v>
      </c>
      <c r="J2058" s="129">
        <f>IFERROR(__xludf.DUMMYFUNCTION("""COMPUTED_VALUE"""),43587.0)</f>
        <v>43587</v>
      </c>
      <c r="K2058" s="133">
        <f>IFERROR(__xludf.DUMMYFUNCTION("""COMPUTED_VALUE"""),45.0)</f>
        <v>45</v>
      </c>
      <c r="L2058" s="133">
        <f>IFERROR(__xludf.DUMMYFUNCTION("""COMPUTED_VALUE"""),5.0)</f>
        <v>5</v>
      </c>
      <c r="M2058" s="133">
        <f>IFERROR(__xludf.DUMMYFUNCTION("""COMPUTED_VALUE"""),50.0)</f>
        <v>50</v>
      </c>
      <c r="N2058" s="152" t="str">
        <f>IFERROR(__xludf.DUMMYFUNCTION("""COMPUTED_VALUE"""),"Model 3 Performance")</f>
        <v>Model 3 Performance</v>
      </c>
      <c r="O2058" s="152" t="str">
        <f>IFERROR(__xludf.DUMMYFUNCTION("""COMPUTED_VALUE"""),"Red Multi-Coat")</f>
        <v>Red Multi-Coat</v>
      </c>
      <c r="P2058" s="153" t="str">
        <f>IFERROR(__xludf.DUMMYFUNCTION("""COMPUTED_VALUE"""),"20 inch Sport")</f>
        <v>20 inch Sport</v>
      </c>
      <c r="Q2058" s="152" t="str">
        <f>IFERROR(__xludf.DUMMYFUNCTION("""COMPUTED_VALUE"""),"White seats")</f>
        <v>White seats</v>
      </c>
      <c r="R2058" s="149" t="str">
        <f>IFERROR(__xludf.DUMMYFUNCTION("""COMPUTED_VALUE"""),"Full Self-Driving")</f>
        <v>Full Self-Driving</v>
      </c>
      <c r="S2058" s="149"/>
      <c r="T2058" s="145"/>
      <c r="U2058" s="145"/>
      <c r="V2058" s="145"/>
      <c r="W2058" s="145"/>
      <c r="X2058" s="137" t="str">
        <f>IFERROR(__xludf.DUMMYFUNCTION("""COMPUTED_VALUE"""),"Very Good")</f>
        <v>Very Good</v>
      </c>
      <c r="Y2058" s="138" t="str">
        <f>IFERROR(__xludf.DUMMYFUNCTION("""COMPUTED_VALUE"""),"Excellent")</f>
        <v>Excellent</v>
      </c>
      <c r="Z2058" s="138" t="str">
        <f>IFERROR(__xludf.DUMMYFUNCTION("""COMPUTED_VALUE"""),"Very Good")</f>
        <v>Very Good</v>
      </c>
      <c r="AA2058" s="138" t="str">
        <f>IFERROR(__xludf.DUMMYFUNCTION("""COMPUTED_VALUE"""),"Poor")</f>
        <v>Poor</v>
      </c>
      <c r="AB2058" s="138" t="str">
        <f>IFERROR(__xludf.DUMMYFUNCTION("""COMPUTED_VALUE"""),"Good")</f>
        <v>Good</v>
      </c>
      <c r="AC2058" s="139"/>
      <c r="AD2058" s="139"/>
      <c r="AE2058" s="139"/>
      <c r="AF2058" s="140"/>
      <c r="AG2058" s="145"/>
      <c r="AH2058" s="157">
        <f>IFERROR(__xludf.DUMMYFUNCTION("""COMPUTED_VALUE"""),43587.907827222225)</f>
        <v>43587.90783</v>
      </c>
      <c r="AI2058" s="138"/>
      <c r="AJ2058" s="138"/>
      <c r="AK2058" s="138"/>
      <c r="AL2058" s="142"/>
    </row>
    <row r="2059" ht="20.25" customHeight="1">
      <c r="A2059" s="155" t="str">
        <f>IFERROR(__xludf.DUMMYFUNCTION("""COMPUTED_VALUE"""),"azukiiidx")</f>
        <v>azukiiidx</v>
      </c>
      <c r="B2059" s="149"/>
      <c r="C2059" s="149" t="str">
        <f>IFERROR(__xludf.DUMMYFUNCTION("""COMPUTED_VALUE"""),"CO")</f>
        <v>CO</v>
      </c>
      <c r="D2059" s="149" t="str">
        <f>IFERROR(__xludf.DUMMYFUNCTION("""COMPUTED_VALUE"""),"USA")</f>
        <v>USA</v>
      </c>
      <c r="E2059" s="156">
        <f>IFERROR(__xludf.DUMMYFUNCTION("""COMPUTED_VALUE"""),43535.0)</f>
        <v>43535</v>
      </c>
      <c r="F2059" s="129">
        <f>IFERROR(__xludf.DUMMYFUNCTION("""COMPUTED_VALUE"""),43535.0)</f>
        <v>43535</v>
      </c>
      <c r="G2059" s="154"/>
      <c r="H2059" s="131"/>
      <c r="I2059" s="144" t="str">
        <f>IFERROR(__xludf.DUMMYFUNCTION("""COMPUTED_VALUE"""),"01/19")</f>
        <v>01/19</v>
      </c>
      <c r="J2059" s="129">
        <f>IFERROR(__xludf.DUMMYFUNCTION("""COMPUTED_VALUE"""),43536.0)</f>
        <v>43536</v>
      </c>
      <c r="K2059" s="133">
        <f>IFERROR(__xludf.DUMMYFUNCTION("""COMPUTED_VALUE"""),0.0)</f>
        <v>0</v>
      </c>
      <c r="L2059" s="133">
        <f>IFERROR(__xludf.DUMMYFUNCTION("""COMPUTED_VALUE"""),1.0)</f>
        <v>1</v>
      </c>
      <c r="M2059" s="133">
        <f>IFERROR(__xludf.DUMMYFUNCTION("""COMPUTED_VALUE"""),1.0)</f>
        <v>1</v>
      </c>
      <c r="N2059" s="152" t="str">
        <f>IFERROR(__xludf.DUMMYFUNCTION("""COMPUTED_VALUE"""),"Model 3 MR")</f>
        <v>Model 3 MR</v>
      </c>
      <c r="O2059" s="152" t="str">
        <f>IFERROR(__xludf.DUMMYFUNCTION("""COMPUTED_VALUE"""),"Midnight Silver Metallic")</f>
        <v>Midnight Silver Metallic</v>
      </c>
      <c r="P2059" s="153" t="str">
        <f>IFERROR(__xludf.DUMMYFUNCTION("""COMPUTED_VALUE"""),"18 inch Aero")</f>
        <v>18 inch Aero</v>
      </c>
      <c r="Q2059" s="152" t="str">
        <f>IFERROR(__xludf.DUMMYFUNCTION("""COMPUTED_VALUE"""),"Black seats")</f>
        <v>Black seats</v>
      </c>
      <c r="R2059" s="149" t="str">
        <f>IFERROR(__xludf.DUMMYFUNCTION("""COMPUTED_VALUE"""),"None")</f>
        <v>None</v>
      </c>
      <c r="S2059" s="149"/>
      <c r="T2059" s="145"/>
      <c r="U2059" s="145"/>
      <c r="V2059" s="145"/>
      <c r="W2059" s="145"/>
      <c r="X2059" s="137" t="str">
        <f>IFERROR(__xludf.DUMMYFUNCTION("""COMPUTED_VALUE"""),"Very Good")</f>
        <v>Very Good</v>
      </c>
      <c r="Y2059" s="138" t="str">
        <f>IFERROR(__xludf.DUMMYFUNCTION("""COMPUTED_VALUE"""),"Excellent")</f>
        <v>Excellent</v>
      </c>
      <c r="Z2059" s="138" t="str">
        <f>IFERROR(__xludf.DUMMYFUNCTION("""COMPUTED_VALUE"""),"Excellent")</f>
        <v>Excellent</v>
      </c>
      <c r="AA2059" s="138" t="str">
        <f>IFERROR(__xludf.DUMMYFUNCTION("""COMPUTED_VALUE"""),"Excellent")</f>
        <v>Excellent</v>
      </c>
      <c r="AB2059" s="138" t="str">
        <f>IFERROR(__xludf.DUMMYFUNCTION("""COMPUTED_VALUE"""),"Excellent")</f>
        <v>Excellent</v>
      </c>
      <c r="AC2059" s="139"/>
      <c r="AD2059" s="139"/>
      <c r="AE2059" s="139"/>
      <c r="AF2059" s="140"/>
      <c r="AG2059" s="145" t="str">
        <f>IFERROR(__xludf.DUMMYFUNCTION("""COMPUTED_VALUE"""),"Ordered SR+ on 3/2. Changed to inventory MR on 3/11.")</f>
        <v>Ordered SR+ on 3/2. Changed to inventory MR on 3/11.</v>
      </c>
      <c r="AH2059" s="157">
        <f>IFERROR(__xludf.DUMMYFUNCTION("""COMPUTED_VALUE"""),43550.42013309028)</f>
        <v>43550.42013</v>
      </c>
      <c r="AI2059" s="138"/>
      <c r="AJ2059" s="138"/>
      <c r="AK2059" s="138"/>
      <c r="AL2059" s="142"/>
    </row>
    <row r="2060" ht="20.25" customHeight="1">
      <c r="A2060" s="155" t="str">
        <f>IFERROR(__xludf.DUMMYFUNCTION("""COMPUTED_VALUE"""),"DanPizazz")</f>
        <v>DanPizazz</v>
      </c>
      <c r="B2060" s="149"/>
      <c r="C2060" s="149" t="str">
        <f>IFERROR(__xludf.DUMMYFUNCTION("""COMPUTED_VALUE"""),"AB")</f>
        <v>AB</v>
      </c>
      <c r="D2060" s="149" t="str">
        <f>IFERROR(__xludf.DUMMYFUNCTION("""COMPUTED_VALUE"""),"Canada")</f>
        <v>Canada</v>
      </c>
      <c r="E2060" s="156">
        <f>IFERROR(__xludf.DUMMYFUNCTION("""COMPUTED_VALUE"""),43535.0)</f>
        <v>43535</v>
      </c>
      <c r="F2060" s="129">
        <f>IFERROR(__xludf.DUMMYFUNCTION("""COMPUTED_VALUE"""),43592.0)</f>
        <v>43592</v>
      </c>
      <c r="G2060" s="154"/>
      <c r="H2060" s="131">
        <f>IFERROR(__xludf.DUMMYFUNCTION("""COMPUTED_VALUE"""),109655.0)</f>
        <v>109655</v>
      </c>
      <c r="I2060" s="144" t="str">
        <f>IFERROR(__xludf.DUMMYFUNCTION("""COMPUTED_VALUE"""),"05/19")</f>
        <v>05/19</v>
      </c>
      <c r="J2060" s="129">
        <f>IFERROR(__xludf.DUMMYFUNCTION("""COMPUTED_VALUE"""),43617.0)</f>
        <v>43617</v>
      </c>
      <c r="K2060" s="133">
        <f>IFERROR(__xludf.DUMMYFUNCTION("""COMPUTED_VALUE"""),57.0)</f>
        <v>57</v>
      </c>
      <c r="L2060" s="133">
        <f>IFERROR(__xludf.DUMMYFUNCTION("""COMPUTED_VALUE"""),25.0)</f>
        <v>25</v>
      </c>
      <c r="M2060" s="133">
        <f>IFERROR(__xludf.DUMMYFUNCTION("""COMPUTED_VALUE"""),82.0)</f>
        <v>82</v>
      </c>
      <c r="N2060" s="152" t="str">
        <f>IFERROR(__xludf.DUMMYFUNCTION("""COMPUTED_VALUE"""),"Model 3 LR AWD")</f>
        <v>Model 3 LR AWD</v>
      </c>
      <c r="O2060" s="152" t="str">
        <f>IFERROR(__xludf.DUMMYFUNCTION("""COMPUTED_VALUE"""),"Deep Blue Metallic")</f>
        <v>Deep Blue Metallic</v>
      </c>
      <c r="P2060" s="153" t="str">
        <f>IFERROR(__xludf.DUMMYFUNCTION("""COMPUTED_VALUE"""),"18 inch Aero")</f>
        <v>18 inch Aero</v>
      </c>
      <c r="Q2060" s="152" t="str">
        <f>IFERROR(__xludf.DUMMYFUNCTION("""COMPUTED_VALUE"""),"White seats")</f>
        <v>White seats</v>
      </c>
      <c r="R2060" s="149" t="str">
        <f>IFERROR(__xludf.DUMMYFUNCTION("""COMPUTED_VALUE"""),"Autopilot")</f>
        <v>Autopilot</v>
      </c>
      <c r="S2060" s="149"/>
      <c r="T2060" s="145"/>
      <c r="U2060" s="145"/>
      <c r="V2060" s="145"/>
      <c r="W2060" s="145"/>
      <c r="X2060" s="137" t="str">
        <f>IFERROR(__xludf.DUMMYFUNCTION("""COMPUTED_VALUE"""),"Very Good")</f>
        <v>Very Good</v>
      </c>
      <c r="Y2060" s="138" t="str">
        <f>IFERROR(__xludf.DUMMYFUNCTION("""COMPUTED_VALUE"""),"Excellent")</f>
        <v>Excellent</v>
      </c>
      <c r="Z2060" s="138" t="str">
        <f>IFERROR(__xludf.DUMMYFUNCTION("""COMPUTED_VALUE"""),"Excellent")</f>
        <v>Excellent</v>
      </c>
      <c r="AA2060" s="138" t="str">
        <f>IFERROR(__xludf.DUMMYFUNCTION("""COMPUTED_VALUE"""),"Very Good")</f>
        <v>Very Good</v>
      </c>
      <c r="AB2060" s="138" t="str">
        <f>IFERROR(__xludf.DUMMYFUNCTION("""COMPUTED_VALUE"""),"Excellent")</f>
        <v>Excellent</v>
      </c>
      <c r="AC2060" s="139"/>
      <c r="AD2060" s="139"/>
      <c r="AE2060" s="139"/>
      <c r="AF2060" s="140"/>
      <c r="AG2060" s="145"/>
      <c r="AH2060" s="157">
        <f>IFERROR(__xludf.DUMMYFUNCTION("""COMPUTED_VALUE"""),43628.47916112268)</f>
        <v>43628.47916</v>
      </c>
      <c r="AI2060" s="138"/>
      <c r="AJ2060" s="138"/>
      <c r="AK2060" s="138"/>
      <c r="AL2060" s="142"/>
    </row>
    <row r="2061" ht="20.25" customHeight="1">
      <c r="A2061" s="155" t="str">
        <f>IFERROR(__xludf.DUMMYFUNCTION("""COMPUTED_VALUE"""),"idreamincode")</f>
        <v>idreamincode</v>
      </c>
      <c r="B2061" s="149" t="str">
        <f>IFERROR(__xludf.DUMMYFUNCTION("""COMPUTED_VALUE"""),"Los Angeles")</f>
        <v>Los Angeles</v>
      </c>
      <c r="C2061" s="149" t="str">
        <f>IFERROR(__xludf.DUMMYFUNCTION("""COMPUTED_VALUE"""),"CA")</f>
        <v>CA</v>
      </c>
      <c r="D2061" s="149" t="str">
        <f>IFERROR(__xludf.DUMMYFUNCTION("""COMPUTED_VALUE"""),"USA")</f>
        <v>USA</v>
      </c>
      <c r="E2061" s="156">
        <f>IFERROR(__xludf.DUMMYFUNCTION("""COMPUTED_VALUE"""),43535.0)</f>
        <v>43535</v>
      </c>
      <c r="F2061" s="129">
        <f>IFERROR(__xludf.DUMMYFUNCTION("""COMPUTED_VALUE"""),43538.0)</f>
        <v>43538</v>
      </c>
      <c r="G2061" s="154"/>
      <c r="H2061" s="131">
        <f>IFERROR(__xludf.DUMMYFUNCTION("""COMPUTED_VALUE"""),297455.0)</f>
        <v>297455</v>
      </c>
      <c r="I2061" s="144" t="str">
        <f>IFERROR(__xludf.DUMMYFUNCTION("""COMPUTED_VALUE"""),"03/19")</f>
        <v>03/19</v>
      </c>
      <c r="J2061" s="129">
        <f>IFERROR(__xludf.DUMMYFUNCTION("""COMPUTED_VALUE"""),43540.0)</f>
        <v>43540</v>
      </c>
      <c r="K2061" s="133">
        <f>IFERROR(__xludf.DUMMYFUNCTION("""COMPUTED_VALUE"""),3.0)</f>
        <v>3</v>
      </c>
      <c r="L2061" s="133">
        <f>IFERROR(__xludf.DUMMYFUNCTION("""COMPUTED_VALUE"""),2.0)</f>
        <v>2</v>
      </c>
      <c r="M2061" s="133">
        <f>IFERROR(__xludf.DUMMYFUNCTION("""COMPUTED_VALUE"""),5.0)</f>
        <v>5</v>
      </c>
      <c r="N2061" s="152" t="str">
        <f>IFERROR(__xludf.DUMMYFUNCTION("""COMPUTED_VALUE"""),"Model 3 SR+")</f>
        <v>Model 3 SR+</v>
      </c>
      <c r="O2061" s="152" t="str">
        <f>IFERROR(__xludf.DUMMYFUNCTION("""COMPUTED_VALUE"""),"Solid Black")</f>
        <v>Solid Black</v>
      </c>
      <c r="P2061" s="153" t="str">
        <f>IFERROR(__xludf.DUMMYFUNCTION("""COMPUTED_VALUE"""),"18 inch Aero")</f>
        <v>18 inch Aero</v>
      </c>
      <c r="Q2061" s="152" t="str">
        <f>IFERROR(__xludf.DUMMYFUNCTION("""COMPUTED_VALUE"""),"Black seats")</f>
        <v>Black seats</v>
      </c>
      <c r="R2061" s="149" t="str">
        <f>IFERROR(__xludf.DUMMYFUNCTION("""COMPUTED_VALUE"""),"None")</f>
        <v>None</v>
      </c>
      <c r="S2061" s="149"/>
      <c r="T2061" s="145"/>
      <c r="U2061" s="145"/>
      <c r="V2061" s="145"/>
      <c r="W2061" s="145"/>
      <c r="X2061" s="137" t="str">
        <f>IFERROR(__xludf.DUMMYFUNCTION("""COMPUTED_VALUE"""),"Excellent")</f>
        <v>Excellent</v>
      </c>
      <c r="Y2061" s="138" t="str">
        <f>IFERROR(__xludf.DUMMYFUNCTION("""COMPUTED_VALUE"""),"Excellent")</f>
        <v>Excellent</v>
      </c>
      <c r="Z2061" s="138" t="str">
        <f>IFERROR(__xludf.DUMMYFUNCTION("""COMPUTED_VALUE"""),"Excellent")</f>
        <v>Excellent</v>
      </c>
      <c r="AA2061" s="138" t="str">
        <f>IFERROR(__xludf.DUMMYFUNCTION("""COMPUTED_VALUE"""),"Excellent")</f>
        <v>Excellent</v>
      </c>
      <c r="AB2061" s="138" t="str">
        <f>IFERROR(__xludf.DUMMYFUNCTION("""COMPUTED_VALUE"""),"Excellent")</f>
        <v>Excellent</v>
      </c>
      <c r="AC2061" s="139">
        <f>IFERROR(__xludf.DUMMYFUNCTION("""COMPUTED_VALUE"""),0.0)</f>
        <v>0</v>
      </c>
      <c r="AD2061" s="139">
        <f>IFERROR(__xludf.DUMMYFUNCTION("""COMPUTED_VALUE"""),0.0)</f>
        <v>0</v>
      </c>
      <c r="AE2061" s="139">
        <f>IFERROR(__xludf.DUMMYFUNCTION("""COMPUTED_VALUE"""),0.0)</f>
        <v>0</v>
      </c>
      <c r="AF2061" s="140"/>
      <c r="AG2061" s="145"/>
      <c r="AH2061" s="157">
        <f>IFERROR(__xludf.DUMMYFUNCTION("""COMPUTED_VALUE"""),43552.41924728009)</f>
        <v>43552.41925</v>
      </c>
      <c r="AI2061" s="138"/>
      <c r="AJ2061" s="138"/>
      <c r="AK2061" s="138"/>
      <c r="AL2061" s="142"/>
    </row>
    <row r="2062" ht="20.25" customHeight="1">
      <c r="A2062" s="155" t="str">
        <f>IFERROR(__xludf.DUMMYFUNCTION("""COMPUTED_VALUE"""),"MarcG")</f>
        <v>MarcG</v>
      </c>
      <c r="B2062" s="149" t="str">
        <f>IFERROR(__xludf.DUMMYFUNCTION("""COMPUTED_VALUE"""),"San Francisco")</f>
        <v>San Francisco</v>
      </c>
      <c r="C2062" s="149" t="str">
        <f>IFERROR(__xludf.DUMMYFUNCTION("""COMPUTED_VALUE"""),"CA")</f>
        <v>CA</v>
      </c>
      <c r="D2062" s="149" t="str">
        <f>IFERROR(__xludf.DUMMYFUNCTION("""COMPUTED_VALUE"""),"USA")</f>
        <v>USA</v>
      </c>
      <c r="E2062" s="156">
        <f>IFERROR(__xludf.DUMMYFUNCTION("""COMPUTED_VALUE"""),43535.0)</f>
        <v>43535</v>
      </c>
      <c r="F2062" s="129">
        <f>IFERROR(__xludf.DUMMYFUNCTION("""COMPUTED_VALUE"""),43536.0)</f>
        <v>43536</v>
      </c>
      <c r="G2062" s="154"/>
      <c r="H2062" s="131">
        <f>IFERROR(__xludf.DUMMYFUNCTION("""COMPUTED_VALUE"""),236649.0)</f>
        <v>236649</v>
      </c>
      <c r="I2062" s="144" t="str">
        <f>IFERROR(__xludf.DUMMYFUNCTION("""COMPUTED_VALUE"""),"03/19")</f>
        <v>03/19</v>
      </c>
      <c r="J2062" s="129">
        <f>IFERROR(__xludf.DUMMYFUNCTION("""COMPUTED_VALUE"""),43547.0)</f>
        <v>43547</v>
      </c>
      <c r="K2062" s="133">
        <f>IFERROR(__xludf.DUMMYFUNCTION("""COMPUTED_VALUE"""),1.0)</f>
        <v>1</v>
      </c>
      <c r="L2062" s="133">
        <f>IFERROR(__xludf.DUMMYFUNCTION("""COMPUTED_VALUE"""),11.0)</f>
        <v>11</v>
      </c>
      <c r="M2062" s="133">
        <f>IFERROR(__xludf.DUMMYFUNCTION("""COMPUTED_VALUE"""),12.0)</f>
        <v>12</v>
      </c>
      <c r="N2062" s="152" t="str">
        <f>IFERROR(__xludf.DUMMYFUNCTION("""COMPUTED_VALUE"""),"Model 3 Performance")</f>
        <v>Model 3 Performance</v>
      </c>
      <c r="O2062" s="152" t="str">
        <f>IFERROR(__xludf.DUMMYFUNCTION("""COMPUTED_VALUE"""),"Red Multi-Coat")</f>
        <v>Red Multi-Coat</v>
      </c>
      <c r="P2062" s="153" t="str">
        <f>IFERROR(__xludf.DUMMYFUNCTION("""COMPUTED_VALUE"""),"20 inch Sport")</f>
        <v>20 inch Sport</v>
      </c>
      <c r="Q2062" s="152" t="str">
        <f>IFERROR(__xludf.DUMMYFUNCTION("""COMPUTED_VALUE"""),"Black seats")</f>
        <v>Black seats</v>
      </c>
      <c r="R2062" s="149" t="str">
        <f>IFERROR(__xludf.DUMMYFUNCTION("""COMPUTED_VALUE"""),"Full Self-Driving")</f>
        <v>Full Self-Driving</v>
      </c>
      <c r="S2062" s="149"/>
      <c r="T2062" s="145"/>
      <c r="U2062" s="145"/>
      <c r="V2062" s="145"/>
      <c r="W2062" s="145"/>
      <c r="X2062" s="137" t="str">
        <f>IFERROR(__xludf.DUMMYFUNCTION("""COMPUTED_VALUE"""),"Very Good")</f>
        <v>Very Good</v>
      </c>
      <c r="Y2062" s="138" t="str">
        <f>IFERROR(__xludf.DUMMYFUNCTION("""COMPUTED_VALUE"""),"Excellent")</f>
        <v>Excellent</v>
      </c>
      <c r="Z2062" s="138" t="str">
        <f>IFERROR(__xludf.DUMMYFUNCTION("""COMPUTED_VALUE"""),"Very Good")</f>
        <v>Very Good</v>
      </c>
      <c r="AA2062" s="138" t="str">
        <f>IFERROR(__xludf.DUMMYFUNCTION("""COMPUTED_VALUE"""),"Excellent")</f>
        <v>Excellent</v>
      </c>
      <c r="AB2062" s="138" t="str">
        <f>IFERROR(__xludf.DUMMYFUNCTION("""COMPUTED_VALUE"""),"Very Good")</f>
        <v>Very Good</v>
      </c>
      <c r="AC2062" s="139"/>
      <c r="AD2062" s="139"/>
      <c r="AE2062" s="139"/>
      <c r="AF2062" s="140"/>
      <c r="AG2062" s="145" t="str">
        <f>IFERROR(__xludf.DUMMYFUNCTION("""COMPUTED_VALUE"""),"Added FSD on day of delivery")</f>
        <v>Added FSD on day of delivery</v>
      </c>
      <c r="AH2062" s="157">
        <f>IFERROR(__xludf.DUMMYFUNCTION("""COMPUTED_VALUE"""),43547.67740758102)</f>
        <v>43547.67741</v>
      </c>
      <c r="AI2062" s="138"/>
      <c r="AJ2062" s="138"/>
      <c r="AK2062" s="138"/>
      <c r="AL2062" s="142"/>
    </row>
    <row r="2063" ht="20.25" customHeight="1">
      <c r="A2063" s="155" t="str">
        <f>IFERROR(__xludf.DUMMYFUNCTION("""COMPUTED_VALUE"""),"Redbud")</f>
        <v>Redbud</v>
      </c>
      <c r="B2063" s="149" t="str">
        <f>IFERROR(__xludf.DUMMYFUNCTION("""COMPUTED_VALUE"""),"Eugene")</f>
        <v>Eugene</v>
      </c>
      <c r="C2063" s="149" t="str">
        <f>IFERROR(__xludf.DUMMYFUNCTION("""COMPUTED_VALUE"""),"OR")</f>
        <v>OR</v>
      </c>
      <c r="D2063" s="149" t="str">
        <f>IFERROR(__xludf.DUMMYFUNCTION("""COMPUTED_VALUE"""),"USA")</f>
        <v>USA</v>
      </c>
      <c r="E2063" s="156">
        <f>IFERROR(__xludf.DUMMYFUNCTION("""COMPUTED_VALUE"""),43535.0)</f>
        <v>43535</v>
      </c>
      <c r="F2063" s="129">
        <f>IFERROR(__xludf.DUMMYFUNCTION("""COMPUTED_VALUE"""),43537.0)</f>
        <v>43537</v>
      </c>
      <c r="G2063" s="154"/>
      <c r="H2063" s="131">
        <f>IFERROR(__xludf.DUMMYFUNCTION("""COMPUTED_VALUE"""),190155.0)</f>
        <v>190155</v>
      </c>
      <c r="I2063" s="144" t="str">
        <f>IFERROR(__xludf.DUMMYFUNCTION("""COMPUTED_VALUE"""),"01/19")</f>
        <v>01/19</v>
      </c>
      <c r="J2063" s="129">
        <f>IFERROR(__xludf.DUMMYFUNCTION("""COMPUTED_VALUE"""),43543.0)</f>
        <v>43543</v>
      </c>
      <c r="K2063" s="133">
        <f>IFERROR(__xludf.DUMMYFUNCTION("""COMPUTED_VALUE"""),2.0)</f>
        <v>2</v>
      </c>
      <c r="L2063" s="133">
        <f>IFERROR(__xludf.DUMMYFUNCTION("""COMPUTED_VALUE"""),6.0)</f>
        <v>6</v>
      </c>
      <c r="M2063" s="133">
        <f>IFERROR(__xludf.DUMMYFUNCTION("""COMPUTED_VALUE"""),8.0)</f>
        <v>8</v>
      </c>
      <c r="N2063" s="152" t="str">
        <f>IFERROR(__xludf.DUMMYFUNCTION("""COMPUTED_VALUE"""),"Model 3 MR")</f>
        <v>Model 3 MR</v>
      </c>
      <c r="O2063" s="152" t="str">
        <f>IFERROR(__xludf.DUMMYFUNCTION("""COMPUTED_VALUE"""),"Midnight Silver Metallic")</f>
        <v>Midnight Silver Metallic</v>
      </c>
      <c r="P2063" s="153" t="str">
        <f>IFERROR(__xludf.DUMMYFUNCTION("""COMPUTED_VALUE"""),"18 inch Aero")</f>
        <v>18 inch Aero</v>
      </c>
      <c r="Q2063" s="152" t="str">
        <f>IFERROR(__xludf.DUMMYFUNCTION("""COMPUTED_VALUE"""),"Black seats")</f>
        <v>Black seats</v>
      </c>
      <c r="R2063" s="149" t="str">
        <f>IFERROR(__xludf.DUMMYFUNCTION("""COMPUTED_VALUE"""),"Full Self-Driving")</f>
        <v>Full Self-Driving</v>
      </c>
      <c r="S2063" s="149"/>
      <c r="T2063" s="145"/>
      <c r="U2063" s="145"/>
      <c r="V2063" s="145"/>
      <c r="W2063" s="145"/>
      <c r="X2063" s="137" t="str">
        <f>IFERROR(__xludf.DUMMYFUNCTION("""COMPUTED_VALUE"""),"Excellent")</f>
        <v>Excellent</v>
      </c>
      <c r="Y2063" s="138" t="str">
        <f>IFERROR(__xludf.DUMMYFUNCTION("""COMPUTED_VALUE"""),"Excellent")</f>
        <v>Excellent</v>
      </c>
      <c r="Z2063" s="138" t="str">
        <f>IFERROR(__xludf.DUMMYFUNCTION("""COMPUTED_VALUE"""),"Excellent")</f>
        <v>Excellent</v>
      </c>
      <c r="AA2063" s="138" t="str">
        <f>IFERROR(__xludf.DUMMYFUNCTION("""COMPUTED_VALUE"""),"Excellent")</f>
        <v>Excellent</v>
      </c>
      <c r="AB2063" s="138" t="str">
        <f>IFERROR(__xludf.DUMMYFUNCTION("""COMPUTED_VALUE"""),"Excellent")</f>
        <v>Excellent</v>
      </c>
      <c r="AC2063" s="139"/>
      <c r="AD2063" s="139"/>
      <c r="AE2063" s="139"/>
      <c r="AF2063" s="140"/>
      <c r="AG2063" s="145" t="str">
        <f>IFERROR(__xludf.DUMMYFUNCTION("""COMPUTED_VALUE"""),"Pristine ... great experience!")</f>
        <v>Pristine ... great experience!</v>
      </c>
      <c r="AH2063" s="157">
        <f>IFERROR(__xludf.DUMMYFUNCTION("""COMPUTED_VALUE"""),43546.70551017362)</f>
        <v>43546.70551</v>
      </c>
      <c r="AI2063" s="138"/>
      <c r="AJ2063" s="138"/>
      <c r="AK2063" s="138"/>
      <c r="AL2063" s="142"/>
    </row>
    <row r="2064" ht="20.25" customHeight="1">
      <c r="A2064" s="155" t="str">
        <f>IFERROR(__xludf.DUMMYFUNCTION("""COMPUTED_VALUE"""),"destructure00")</f>
        <v>destructure00</v>
      </c>
      <c r="B2064" s="149" t="str">
        <f>IFERROR(__xludf.DUMMYFUNCTION("""COMPUTED_VALUE"""),"Scottsdale")</f>
        <v>Scottsdale</v>
      </c>
      <c r="C2064" s="149" t="str">
        <f>IFERROR(__xludf.DUMMYFUNCTION("""COMPUTED_VALUE"""),"AZ")</f>
        <v>AZ</v>
      </c>
      <c r="D2064" s="149" t="str">
        <f>IFERROR(__xludf.DUMMYFUNCTION("""COMPUTED_VALUE"""),"USA")</f>
        <v>USA</v>
      </c>
      <c r="E2064" s="156">
        <f>IFERROR(__xludf.DUMMYFUNCTION("""COMPUTED_VALUE"""),43533.0)</f>
        <v>43533</v>
      </c>
      <c r="F2064" s="129">
        <f>IFERROR(__xludf.DUMMYFUNCTION("""COMPUTED_VALUE"""),43551.0)</f>
        <v>43551</v>
      </c>
      <c r="G2064" s="154"/>
      <c r="H2064" s="131">
        <f>IFERROR(__xludf.DUMMYFUNCTION("""COMPUTED_VALUE"""),231620.0)</f>
        <v>231620</v>
      </c>
      <c r="I2064" s="144" t="str">
        <f>IFERROR(__xludf.DUMMYFUNCTION("""COMPUTED_VALUE"""),"03/19")</f>
        <v>03/19</v>
      </c>
      <c r="J2064" s="129">
        <f>IFERROR(__xludf.DUMMYFUNCTION("""COMPUTED_VALUE"""),43554.0)</f>
        <v>43554</v>
      </c>
      <c r="K2064" s="133">
        <f>IFERROR(__xludf.DUMMYFUNCTION("""COMPUTED_VALUE"""),18.0)</f>
        <v>18</v>
      </c>
      <c r="L2064" s="133">
        <f>IFERROR(__xludf.DUMMYFUNCTION("""COMPUTED_VALUE"""),3.0)</f>
        <v>3</v>
      </c>
      <c r="M2064" s="133">
        <f>IFERROR(__xludf.DUMMYFUNCTION("""COMPUTED_VALUE"""),21.0)</f>
        <v>21</v>
      </c>
      <c r="N2064" s="152" t="str">
        <f>IFERROR(__xludf.DUMMYFUNCTION("""COMPUTED_VALUE"""),"Model 3 Performance")</f>
        <v>Model 3 Performance</v>
      </c>
      <c r="O2064" s="152" t="str">
        <f>IFERROR(__xludf.DUMMYFUNCTION("""COMPUTED_VALUE"""),"Red Multi-Coat")</f>
        <v>Red Multi-Coat</v>
      </c>
      <c r="P2064" s="153" t="str">
        <f>IFERROR(__xludf.DUMMYFUNCTION("""COMPUTED_VALUE"""),"20 inch Sport")</f>
        <v>20 inch Sport</v>
      </c>
      <c r="Q2064" s="152" t="str">
        <f>IFERROR(__xludf.DUMMYFUNCTION("""COMPUTED_VALUE"""),"White seats")</f>
        <v>White seats</v>
      </c>
      <c r="R2064" s="149" t="str">
        <f>IFERROR(__xludf.DUMMYFUNCTION("""COMPUTED_VALUE"""),"Full Self-Driving")</f>
        <v>Full Self-Driving</v>
      </c>
      <c r="S2064" s="149"/>
      <c r="T2064" s="145"/>
      <c r="U2064" s="145"/>
      <c r="V2064" s="145"/>
      <c r="W2064" s="145"/>
      <c r="X2064" s="137" t="str">
        <f>IFERROR(__xludf.DUMMYFUNCTION("""COMPUTED_VALUE"""),"Very Good")</f>
        <v>Very Good</v>
      </c>
      <c r="Y2064" s="138" t="str">
        <f>IFERROR(__xludf.DUMMYFUNCTION("""COMPUTED_VALUE"""),"Excellent")</f>
        <v>Excellent</v>
      </c>
      <c r="Z2064" s="138" t="str">
        <f>IFERROR(__xludf.DUMMYFUNCTION("""COMPUTED_VALUE"""),"Very Good")</f>
        <v>Very Good</v>
      </c>
      <c r="AA2064" s="138" t="str">
        <f>IFERROR(__xludf.DUMMYFUNCTION("""COMPUTED_VALUE"""),"Very Good")</f>
        <v>Very Good</v>
      </c>
      <c r="AB2064" s="138" t="str">
        <f>IFERROR(__xludf.DUMMYFUNCTION("""COMPUTED_VALUE"""),"Good")</f>
        <v>Good</v>
      </c>
      <c r="AC2064" s="139">
        <f>IFERROR(__xludf.DUMMYFUNCTION("""COMPUTED_VALUE"""),0.0)</f>
        <v>0</v>
      </c>
      <c r="AD2064" s="139">
        <f>IFERROR(__xludf.DUMMYFUNCTION("""COMPUTED_VALUE"""),1.0)</f>
        <v>1</v>
      </c>
      <c r="AE2064" s="139">
        <f>IFERROR(__xludf.DUMMYFUNCTION("""COMPUTED_VALUE"""),1.0)</f>
        <v>1</v>
      </c>
      <c r="AF2064" s="140"/>
      <c r="AG2064" s="145" t="str">
        <f>IFERROR(__xludf.DUMMYFUNCTION("""COMPUTED_VALUE"""),"Originally ordered Pearl White on 3/9. Changed to Red on 3/19.")</f>
        <v>Originally ordered Pearl White on 3/9. Changed to Red on 3/19.</v>
      </c>
      <c r="AH2064" s="157">
        <f>IFERROR(__xludf.DUMMYFUNCTION("""COMPUTED_VALUE"""),43584.54270877315)</f>
        <v>43584.54271</v>
      </c>
      <c r="AI2064" s="138"/>
      <c r="AJ2064" s="138"/>
      <c r="AK2064" s="138"/>
      <c r="AL2064" s="142"/>
    </row>
    <row r="2065" ht="20.25" customHeight="1">
      <c r="A2065" s="155" t="str">
        <f>IFERROR(__xludf.DUMMYFUNCTION("""COMPUTED_VALUE"""),"Torontohm3wait")</f>
        <v>Torontohm3wait</v>
      </c>
      <c r="B2065" s="149" t="str">
        <f>IFERROR(__xludf.DUMMYFUNCTION("""COMPUTED_VALUE"""),"Toronto")</f>
        <v>Toronto</v>
      </c>
      <c r="C2065" s="149" t="str">
        <f>IFERROR(__xludf.DUMMYFUNCTION("""COMPUTED_VALUE"""),"ON")</f>
        <v>ON</v>
      </c>
      <c r="D2065" s="149" t="str">
        <f>IFERROR(__xludf.DUMMYFUNCTION("""COMPUTED_VALUE"""),"Canada")</f>
        <v>Canada</v>
      </c>
      <c r="E2065" s="156">
        <f>IFERROR(__xludf.DUMMYFUNCTION("""COMPUTED_VALUE"""),43532.0)</f>
        <v>43532</v>
      </c>
      <c r="F2065" s="129">
        <f>IFERROR(__xludf.DUMMYFUNCTION("""COMPUTED_VALUE"""),43603.0)</f>
        <v>43603</v>
      </c>
      <c r="G2065" s="154"/>
      <c r="H2065" s="131"/>
      <c r="I2065" s="144"/>
      <c r="J2065" s="129">
        <f>IFERROR(__xludf.DUMMYFUNCTION("""COMPUTED_VALUE"""),43617.0)</f>
        <v>43617</v>
      </c>
      <c r="K2065" s="133">
        <f>IFERROR(__xludf.DUMMYFUNCTION("""COMPUTED_VALUE"""),71.0)</f>
        <v>71</v>
      </c>
      <c r="L2065" s="133">
        <f>IFERROR(__xludf.DUMMYFUNCTION("""COMPUTED_VALUE"""),14.0)</f>
        <v>14</v>
      </c>
      <c r="M2065" s="133">
        <f>IFERROR(__xludf.DUMMYFUNCTION("""COMPUTED_VALUE"""),85.0)</f>
        <v>85</v>
      </c>
      <c r="N2065" s="152" t="str">
        <f>IFERROR(__xludf.DUMMYFUNCTION("""COMPUTED_VALUE"""),"Model 3 SR+")</f>
        <v>Model 3 SR+</v>
      </c>
      <c r="O2065" s="152" t="str">
        <f>IFERROR(__xludf.DUMMYFUNCTION("""COMPUTED_VALUE"""),"Red Multi-Coat")</f>
        <v>Red Multi-Coat</v>
      </c>
      <c r="P2065" s="153" t="str">
        <f>IFERROR(__xludf.DUMMYFUNCTION("""COMPUTED_VALUE"""),"19 inch Sport")</f>
        <v>19 inch Sport</v>
      </c>
      <c r="Q2065" s="152" t="str">
        <f>IFERROR(__xludf.DUMMYFUNCTION("""COMPUTED_VALUE"""),"White seats")</f>
        <v>White seats</v>
      </c>
      <c r="R2065" s="149" t="str">
        <f>IFERROR(__xludf.DUMMYFUNCTION("""COMPUTED_VALUE"""),"Full Self-Driving")</f>
        <v>Full Self-Driving</v>
      </c>
      <c r="S2065" s="149"/>
      <c r="T2065" s="145"/>
      <c r="U2065" s="145"/>
      <c r="V2065" s="145"/>
      <c r="W2065" s="145"/>
      <c r="X2065" s="137" t="str">
        <f>IFERROR(__xludf.DUMMYFUNCTION("""COMPUTED_VALUE"""),"Excellent")</f>
        <v>Excellent</v>
      </c>
      <c r="Y2065" s="138" t="str">
        <f>IFERROR(__xludf.DUMMYFUNCTION("""COMPUTED_VALUE"""),"Excellent")</f>
        <v>Excellent</v>
      </c>
      <c r="Z2065" s="138" t="str">
        <f>IFERROR(__xludf.DUMMYFUNCTION("""COMPUTED_VALUE"""),"Very Good")</f>
        <v>Very Good</v>
      </c>
      <c r="AA2065" s="138" t="str">
        <f>IFERROR(__xludf.DUMMYFUNCTION("""COMPUTED_VALUE"""),"Poor")</f>
        <v>Poor</v>
      </c>
      <c r="AB2065" s="138" t="str">
        <f>IFERROR(__xludf.DUMMYFUNCTION("""COMPUTED_VALUE"""),"Very Good")</f>
        <v>Very Good</v>
      </c>
      <c r="AC2065" s="139">
        <f>IFERROR(__xludf.DUMMYFUNCTION("""COMPUTED_VALUE"""),2.0)</f>
        <v>2</v>
      </c>
      <c r="AD2065" s="139"/>
      <c r="AE2065" s="139"/>
      <c r="AF2065" s="140"/>
      <c r="AG2065" s="145" t="str">
        <f>IFERROR(__xludf.DUMMYFUNCTION("""COMPUTED_VALUE"""),"Received")</f>
        <v>Received</v>
      </c>
      <c r="AH2065" s="157">
        <f>IFERROR(__xludf.DUMMYFUNCTION("""COMPUTED_VALUE"""),43618.81309938657)</f>
        <v>43618.8131</v>
      </c>
      <c r="AI2065" s="138"/>
      <c r="AJ2065" s="138"/>
      <c r="AK2065" s="138"/>
      <c r="AL2065" s="142"/>
    </row>
    <row r="2066" ht="20.25" customHeight="1">
      <c r="A2066" s="155" t="str">
        <f>IFERROR(__xludf.DUMMYFUNCTION("""COMPUTED_VALUE"""),"jrstlfl")</f>
        <v>jrstlfl</v>
      </c>
      <c r="B2066" s="149"/>
      <c r="C2066" s="149" t="str">
        <f>IFERROR(__xludf.DUMMYFUNCTION("""COMPUTED_VALUE"""),"FL")</f>
        <v>FL</v>
      </c>
      <c r="D2066" s="149" t="str">
        <f>IFERROR(__xludf.DUMMYFUNCTION("""COMPUTED_VALUE"""),"USA")</f>
        <v>USA</v>
      </c>
      <c r="E2066" s="156">
        <f>IFERROR(__xludf.DUMMYFUNCTION("""COMPUTED_VALUE"""),43531.0)</f>
        <v>43531</v>
      </c>
      <c r="F2066" s="129">
        <f>IFERROR(__xludf.DUMMYFUNCTION("""COMPUTED_VALUE"""),43543.0)</f>
        <v>43543</v>
      </c>
      <c r="G2066" s="154"/>
      <c r="H2066" s="131">
        <f>IFERROR(__xludf.DUMMYFUNCTION("""COMPUTED_VALUE"""),313755.0)</f>
        <v>313755</v>
      </c>
      <c r="I2066" s="144"/>
      <c r="J2066" s="129">
        <f>IFERROR(__xludf.DUMMYFUNCTION("""COMPUTED_VALUE"""),43551.0)</f>
        <v>43551</v>
      </c>
      <c r="K2066" s="133">
        <f>IFERROR(__xludf.DUMMYFUNCTION("""COMPUTED_VALUE"""),12.0)</f>
        <v>12</v>
      </c>
      <c r="L2066" s="133">
        <f>IFERROR(__xludf.DUMMYFUNCTION("""COMPUTED_VALUE"""),8.0)</f>
        <v>8</v>
      </c>
      <c r="M2066" s="133">
        <f>IFERROR(__xludf.DUMMYFUNCTION("""COMPUTED_VALUE"""),20.0)</f>
        <v>20</v>
      </c>
      <c r="N2066" s="152" t="str">
        <f>IFERROR(__xludf.DUMMYFUNCTION("""COMPUTED_VALUE"""),"Model 3 LR")</f>
        <v>Model 3 LR</v>
      </c>
      <c r="O2066" s="152" t="str">
        <f>IFERROR(__xludf.DUMMYFUNCTION("""COMPUTED_VALUE"""),"Red Multi-Coat")</f>
        <v>Red Multi-Coat</v>
      </c>
      <c r="P2066" s="153" t="str">
        <f>IFERROR(__xludf.DUMMYFUNCTION("""COMPUTED_VALUE"""),"18 inch Aero")</f>
        <v>18 inch Aero</v>
      </c>
      <c r="Q2066" s="152" t="str">
        <f>IFERROR(__xludf.DUMMYFUNCTION("""COMPUTED_VALUE"""),"Black seats")</f>
        <v>Black seats</v>
      </c>
      <c r="R2066" s="149" t="str">
        <f>IFERROR(__xludf.DUMMYFUNCTION("""COMPUTED_VALUE"""),"Full Self-Driving")</f>
        <v>Full Self-Driving</v>
      </c>
      <c r="S2066" s="149"/>
      <c r="T2066" s="145"/>
      <c r="U2066" s="145"/>
      <c r="V2066" s="145"/>
      <c r="W2066" s="145"/>
      <c r="X2066" s="137" t="str">
        <f>IFERROR(__xludf.DUMMYFUNCTION("""COMPUTED_VALUE"""),"Excellent")</f>
        <v>Excellent</v>
      </c>
      <c r="Y2066" s="138" t="str">
        <f>IFERROR(__xludf.DUMMYFUNCTION("""COMPUTED_VALUE"""),"Excellent")</f>
        <v>Excellent</v>
      </c>
      <c r="Z2066" s="138" t="str">
        <f>IFERROR(__xludf.DUMMYFUNCTION("""COMPUTED_VALUE"""),"Very Good")</f>
        <v>Very Good</v>
      </c>
      <c r="AA2066" s="138" t="str">
        <f>IFERROR(__xludf.DUMMYFUNCTION("""COMPUTED_VALUE"""),"Excellent")</f>
        <v>Excellent</v>
      </c>
      <c r="AB2066" s="138" t="str">
        <f>IFERROR(__xludf.DUMMYFUNCTION("""COMPUTED_VALUE"""),"Excellent")</f>
        <v>Excellent</v>
      </c>
      <c r="AC2066" s="139"/>
      <c r="AD2066" s="139"/>
      <c r="AE2066" s="139"/>
      <c r="AF2066" s="140"/>
      <c r="AG2066" s="145"/>
      <c r="AH2066" s="157">
        <f>IFERROR(__xludf.DUMMYFUNCTION("""COMPUTED_VALUE"""),43554.02781092593)</f>
        <v>43554.02781</v>
      </c>
      <c r="AI2066" s="138"/>
      <c r="AJ2066" s="138"/>
      <c r="AK2066" s="138"/>
      <c r="AL2066" s="142"/>
    </row>
    <row r="2067" ht="20.25" customHeight="1">
      <c r="A2067" s="155" t="str">
        <f>IFERROR(__xludf.DUMMYFUNCTION("""COMPUTED_VALUE"""),"Kaicias")</f>
        <v>Kaicias</v>
      </c>
      <c r="B2067" s="149" t="str">
        <f>IFERROR(__xludf.DUMMYFUNCTION("""COMPUTED_VALUE"""),"London")</f>
        <v>London</v>
      </c>
      <c r="C2067" s="149" t="str">
        <f>IFERROR(__xludf.DUMMYFUNCTION("""COMPUTED_VALUE"""),"ON")</f>
        <v>ON</v>
      </c>
      <c r="D2067" s="149" t="str">
        <f>IFERROR(__xludf.DUMMYFUNCTION("""COMPUTED_VALUE"""),"Canada")</f>
        <v>Canada</v>
      </c>
      <c r="E2067" s="156">
        <f>IFERROR(__xludf.DUMMYFUNCTION("""COMPUTED_VALUE"""),43531.0)</f>
        <v>43531</v>
      </c>
      <c r="F2067" s="129">
        <f>IFERROR(__xludf.DUMMYFUNCTION("""COMPUTED_VALUE"""),43579.0)</f>
        <v>43579</v>
      </c>
      <c r="G2067" s="154"/>
      <c r="H2067" s="131">
        <f>IFERROR(__xludf.DUMMYFUNCTION("""COMPUTED_VALUE"""),194555.0)</f>
        <v>194555</v>
      </c>
      <c r="I2067" s="144" t="str">
        <f>IFERROR(__xludf.DUMMYFUNCTION("""COMPUTED_VALUE"""),"04/19")</f>
        <v>04/19</v>
      </c>
      <c r="J2067" s="129">
        <f>IFERROR(__xludf.DUMMYFUNCTION("""COMPUTED_VALUE"""),43591.0)</f>
        <v>43591</v>
      </c>
      <c r="K2067" s="133">
        <f>IFERROR(__xludf.DUMMYFUNCTION("""COMPUTED_VALUE"""),48.0)</f>
        <v>48</v>
      </c>
      <c r="L2067" s="133">
        <f>IFERROR(__xludf.DUMMYFUNCTION("""COMPUTED_VALUE"""),12.0)</f>
        <v>12</v>
      </c>
      <c r="M2067" s="133">
        <f>IFERROR(__xludf.DUMMYFUNCTION("""COMPUTED_VALUE"""),60.0)</f>
        <v>60</v>
      </c>
      <c r="N2067" s="152" t="str">
        <f>IFERROR(__xludf.DUMMYFUNCTION("""COMPUTED_VALUE"""),"Model 3 LR AWD")</f>
        <v>Model 3 LR AWD</v>
      </c>
      <c r="O2067" s="152" t="str">
        <f>IFERROR(__xludf.DUMMYFUNCTION("""COMPUTED_VALUE"""),"Red Multi-Coat")</f>
        <v>Red Multi-Coat</v>
      </c>
      <c r="P2067" s="153" t="str">
        <f>IFERROR(__xludf.DUMMYFUNCTION("""COMPUTED_VALUE"""),"18 inch Aero")</f>
        <v>18 inch Aero</v>
      </c>
      <c r="Q2067" s="152" t="str">
        <f>IFERROR(__xludf.DUMMYFUNCTION("""COMPUTED_VALUE"""),"Black seats")</f>
        <v>Black seats</v>
      </c>
      <c r="R2067" s="149" t="str">
        <f>IFERROR(__xludf.DUMMYFUNCTION("""COMPUTED_VALUE"""),"Full Self-Driving")</f>
        <v>Full Self-Driving</v>
      </c>
      <c r="S2067" s="149"/>
      <c r="T2067" s="145"/>
      <c r="U2067" s="145"/>
      <c r="V2067" s="145"/>
      <c r="W2067" s="145"/>
      <c r="X2067" s="137" t="str">
        <f>IFERROR(__xludf.DUMMYFUNCTION("""COMPUTED_VALUE"""),"Very Good")</f>
        <v>Very Good</v>
      </c>
      <c r="Y2067" s="138" t="str">
        <f>IFERROR(__xludf.DUMMYFUNCTION("""COMPUTED_VALUE"""),"Excellent")</f>
        <v>Excellent</v>
      </c>
      <c r="Z2067" s="138" t="str">
        <f>IFERROR(__xludf.DUMMYFUNCTION("""COMPUTED_VALUE"""),"Very Good")</f>
        <v>Very Good</v>
      </c>
      <c r="AA2067" s="138" t="str">
        <f>IFERROR(__xludf.DUMMYFUNCTION("""COMPUTED_VALUE"""),"Fair")</f>
        <v>Fair</v>
      </c>
      <c r="AB2067" s="138" t="str">
        <f>IFERROR(__xludf.DUMMYFUNCTION("""COMPUTED_VALUE"""),"Excellent")</f>
        <v>Excellent</v>
      </c>
      <c r="AC2067" s="139">
        <f>IFERROR(__xludf.DUMMYFUNCTION("""COMPUTED_VALUE"""),1.0)</f>
        <v>1</v>
      </c>
      <c r="AD2067" s="139">
        <f>IFERROR(__xludf.DUMMYFUNCTION("""COMPUTED_VALUE"""),1.0)</f>
        <v>1</v>
      </c>
      <c r="AE2067" s="139">
        <f>IFERROR(__xludf.DUMMYFUNCTION("""COMPUTED_VALUE"""),0.0)</f>
        <v>0</v>
      </c>
      <c r="AF2067" s="140"/>
      <c r="AG2067" s="145" t="str">
        <f>IFERROR(__xludf.DUMMYFUNCTION("""COMPUTED_VALUE"""),"DOUBLE WOW, Picked up on May 6, what an extreme pleasure to finally drive this phenomenal machine!!!   WOW, I finally received a call from a Delivery Advisor. My delivery appointment is confirmed for May 6th, but I did not find out until after 4:00 pm on "&amp;"Friday May 3rd, but it takes 2-3 business days to get a Draft from my Bank! April 29 - Delivery appt changed to May 6. April 24 - Update on My Account - Received VIN! Delivery Appointment May 1, 2019")</f>
        <v>DOUBLE WOW, Picked up on May 6, what an extreme pleasure to finally drive this phenomenal machine!!!   WOW, I finally received a call from a Delivery Advisor. My delivery appointment is confirmed for May 6th, but I did not find out until after 4:00 pm on Friday May 3rd, but it takes 2-3 business days to get a Draft from my Bank! April 29 - Delivery appt changed to May 6. April 24 - Update on My Account - Received VIN! Delivery Appointment May 1, 2019</v>
      </c>
      <c r="AH2067" s="157">
        <f>IFERROR(__xludf.DUMMYFUNCTION("""COMPUTED_VALUE"""),43629.60930278935)</f>
        <v>43629.6093</v>
      </c>
      <c r="AI2067" s="138"/>
      <c r="AJ2067" s="138"/>
      <c r="AK2067" s="138"/>
      <c r="AL2067" s="142"/>
    </row>
    <row r="2068" ht="20.25" customHeight="1">
      <c r="A2068" s="155" t="str">
        <f>IFERROR(__xludf.DUMMYFUNCTION("""COMPUTED_VALUE"""),"mhc")</f>
        <v>mhc</v>
      </c>
      <c r="B2068" s="149" t="str">
        <f>IFERROR(__xludf.DUMMYFUNCTION("""COMPUTED_VALUE"""),"Austin")</f>
        <v>Austin</v>
      </c>
      <c r="C2068" s="149" t="str">
        <f>IFERROR(__xludf.DUMMYFUNCTION("""COMPUTED_VALUE"""),"TX")</f>
        <v>TX</v>
      </c>
      <c r="D2068" s="149" t="str">
        <f>IFERROR(__xludf.DUMMYFUNCTION("""COMPUTED_VALUE"""),"USA")</f>
        <v>USA</v>
      </c>
      <c r="E2068" s="156">
        <f>IFERROR(__xludf.DUMMYFUNCTION("""COMPUTED_VALUE"""),43531.0)</f>
        <v>43531</v>
      </c>
      <c r="F2068" s="129">
        <f>IFERROR(__xludf.DUMMYFUNCTION("""COMPUTED_VALUE"""),43545.0)</f>
        <v>43545</v>
      </c>
      <c r="G2068" s="154"/>
      <c r="H2068" s="131">
        <f>IFERROR(__xludf.DUMMYFUNCTION("""COMPUTED_VALUE"""),313896.0)</f>
        <v>313896</v>
      </c>
      <c r="I2068" s="144" t="str">
        <f>IFERROR(__xludf.DUMMYFUNCTION("""COMPUTED_VALUE"""),"03/19")</f>
        <v>03/19</v>
      </c>
      <c r="J2068" s="129">
        <f>IFERROR(__xludf.DUMMYFUNCTION("""COMPUTED_VALUE"""),43552.0)</f>
        <v>43552</v>
      </c>
      <c r="K2068" s="133">
        <f>IFERROR(__xludf.DUMMYFUNCTION("""COMPUTED_VALUE"""),14.0)</f>
        <v>14</v>
      </c>
      <c r="L2068" s="133">
        <f>IFERROR(__xludf.DUMMYFUNCTION("""COMPUTED_VALUE"""),7.0)</f>
        <v>7</v>
      </c>
      <c r="M2068" s="133">
        <f>IFERROR(__xludf.DUMMYFUNCTION("""COMPUTED_VALUE"""),21.0)</f>
        <v>21</v>
      </c>
      <c r="N2068" s="152" t="str">
        <f>IFERROR(__xludf.DUMMYFUNCTION("""COMPUTED_VALUE"""),"Model 3 LR")</f>
        <v>Model 3 LR</v>
      </c>
      <c r="O2068" s="152" t="str">
        <f>IFERROR(__xludf.DUMMYFUNCTION("""COMPUTED_VALUE"""),"Deep Blue Metallic")</f>
        <v>Deep Blue Metallic</v>
      </c>
      <c r="P2068" s="153" t="str">
        <f>IFERROR(__xludf.DUMMYFUNCTION("""COMPUTED_VALUE"""),"18 inch Aero")</f>
        <v>18 inch Aero</v>
      </c>
      <c r="Q2068" s="152" t="str">
        <f>IFERROR(__xludf.DUMMYFUNCTION("""COMPUTED_VALUE"""),"Black seats")</f>
        <v>Black seats</v>
      </c>
      <c r="R2068" s="149" t="str">
        <f>IFERROR(__xludf.DUMMYFUNCTION("""COMPUTED_VALUE"""),"Full Self-Driving")</f>
        <v>Full Self-Driving</v>
      </c>
      <c r="S2068" s="149"/>
      <c r="T2068" s="145"/>
      <c r="U2068" s="145"/>
      <c r="V2068" s="145"/>
      <c r="W2068" s="145"/>
      <c r="X2068" s="137" t="str">
        <f>IFERROR(__xludf.DUMMYFUNCTION("""COMPUTED_VALUE"""),"Excellent")</f>
        <v>Excellent</v>
      </c>
      <c r="Y2068" s="138" t="str">
        <f>IFERROR(__xludf.DUMMYFUNCTION("""COMPUTED_VALUE"""),"Excellent")</f>
        <v>Excellent</v>
      </c>
      <c r="Z2068" s="138" t="str">
        <f>IFERROR(__xludf.DUMMYFUNCTION("""COMPUTED_VALUE"""),"Excellent")</f>
        <v>Excellent</v>
      </c>
      <c r="AA2068" s="138" t="str">
        <f>IFERROR(__xludf.DUMMYFUNCTION("""COMPUTED_VALUE"""),"Good")</f>
        <v>Good</v>
      </c>
      <c r="AB2068" s="138" t="str">
        <f>IFERROR(__xludf.DUMMYFUNCTION("""COMPUTED_VALUE"""),"Excellent")</f>
        <v>Excellent</v>
      </c>
      <c r="AC2068" s="139"/>
      <c r="AD2068" s="139"/>
      <c r="AE2068" s="139"/>
      <c r="AF2068" s="140"/>
      <c r="AG2068" s="145" t="str">
        <f>IFERROR(__xludf.DUMMYFUNCTION("""COMPUTED_VALUE"""),"Vehicle arrived in Texas 3/27/2019 AM; Received Trade-In packet on 3/26/2019 PM and FedEx back 3/27/2019 AM. Picked up from Service Center 3/28/2019 10 AM.")</f>
        <v>Vehicle arrived in Texas 3/27/2019 AM; Received Trade-In packet on 3/26/2019 PM and FedEx back 3/27/2019 AM. Picked up from Service Center 3/28/2019 10 AM.</v>
      </c>
      <c r="AH2068" s="157">
        <f>IFERROR(__xludf.DUMMYFUNCTION("""COMPUTED_VALUE"""),43559.84076407408)</f>
        <v>43559.84076</v>
      </c>
      <c r="AI2068" s="138"/>
      <c r="AJ2068" s="138"/>
      <c r="AK2068" s="138"/>
      <c r="AL2068" s="142"/>
    </row>
    <row r="2069" ht="20.25" customHeight="1">
      <c r="A2069" s="155" t="str">
        <f>IFERROR(__xludf.DUMMYFUNCTION("""COMPUTED_VALUE"""),"Dakata")</f>
        <v>Dakata</v>
      </c>
      <c r="B2069" s="149" t="str">
        <f>IFERROR(__xludf.DUMMYFUNCTION("""COMPUTED_VALUE"""),"Grand Rapids")</f>
        <v>Grand Rapids</v>
      </c>
      <c r="C2069" s="149" t="str">
        <f>IFERROR(__xludf.DUMMYFUNCTION("""COMPUTED_VALUE"""),"MI")</f>
        <v>MI</v>
      </c>
      <c r="D2069" s="149" t="str">
        <f>IFERROR(__xludf.DUMMYFUNCTION("""COMPUTED_VALUE"""),"USA")</f>
        <v>USA</v>
      </c>
      <c r="E2069" s="156">
        <f>IFERROR(__xludf.DUMMYFUNCTION("""COMPUTED_VALUE"""),43530.0)</f>
        <v>43530</v>
      </c>
      <c r="F2069" s="129">
        <f>IFERROR(__xludf.DUMMYFUNCTION("""COMPUTED_VALUE"""),43538.0)</f>
        <v>43538</v>
      </c>
      <c r="G2069" s="154"/>
      <c r="H2069" s="131">
        <f>IFERROR(__xludf.DUMMYFUNCTION("""COMPUTED_VALUE"""),214055.0)</f>
        <v>214055</v>
      </c>
      <c r="I2069" s="144"/>
      <c r="J2069" s="129">
        <f>IFERROR(__xludf.DUMMYFUNCTION("""COMPUTED_VALUE"""),43543.0)</f>
        <v>43543</v>
      </c>
      <c r="K2069" s="133">
        <f>IFERROR(__xludf.DUMMYFUNCTION("""COMPUTED_VALUE"""),8.0)</f>
        <v>8</v>
      </c>
      <c r="L2069" s="133">
        <f>IFERROR(__xludf.DUMMYFUNCTION("""COMPUTED_VALUE"""),5.0)</f>
        <v>5</v>
      </c>
      <c r="M2069" s="133">
        <f>IFERROR(__xludf.DUMMYFUNCTION("""COMPUTED_VALUE"""),13.0)</f>
        <v>13</v>
      </c>
      <c r="N2069" s="152" t="str">
        <f>IFERROR(__xludf.DUMMYFUNCTION("""COMPUTED_VALUE"""),"Model 3 Performance")</f>
        <v>Model 3 Performance</v>
      </c>
      <c r="O2069" s="152" t="str">
        <f>IFERROR(__xludf.DUMMYFUNCTION("""COMPUTED_VALUE"""),"Solid Black")</f>
        <v>Solid Black</v>
      </c>
      <c r="P2069" s="153" t="str">
        <f>IFERROR(__xludf.DUMMYFUNCTION("""COMPUTED_VALUE"""),"20 inch Sport")</f>
        <v>20 inch Sport</v>
      </c>
      <c r="Q2069" s="152" t="str">
        <f>IFERROR(__xludf.DUMMYFUNCTION("""COMPUTED_VALUE"""),"White seats")</f>
        <v>White seats</v>
      </c>
      <c r="R2069" s="149" t="str">
        <f>IFERROR(__xludf.DUMMYFUNCTION("""COMPUTED_VALUE"""),"Autopilot")</f>
        <v>Autopilot</v>
      </c>
      <c r="S2069" s="149"/>
      <c r="T2069" s="145"/>
      <c r="U2069" s="145"/>
      <c r="V2069" s="145"/>
      <c r="W2069" s="145"/>
      <c r="X2069" s="137" t="str">
        <f>IFERROR(__xludf.DUMMYFUNCTION("""COMPUTED_VALUE"""),"Very Good")</f>
        <v>Very Good</v>
      </c>
      <c r="Y2069" s="138" t="str">
        <f>IFERROR(__xludf.DUMMYFUNCTION("""COMPUTED_VALUE"""),"Excellent")</f>
        <v>Excellent</v>
      </c>
      <c r="Z2069" s="138" t="str">
        <f>IFERROR(__xludf.DUMMYFUNCTION("""COMPUTED_VALUE"""),"Very Good")</f>
        <v>Very Good</v>
      </c>
      <c r="AA2069" s="138" t="str">
        <f>IFERROR(__xludf.DUMMYFUNCTION("""COMPUTED_VALUE"""),"Poor")</f>
        <v>Poor</v>
      </c>
      <c r="AB2069" s="138" t="str">
        <f>IFERROR(__xludf.DUMMYFUNCTION("""COMPUTED_VALUE"""),"Very Good")</f>
        <v>Very Good</v>
      </c>
      <c r="AC2069" s="139"/>
      <c r="AD2069" s="139"/>
      <c r="AE2069" s="139"/>
      <c r="AF2069" s="140"/>
      <c r="AG2069" s="145"/>
      <c r="AH2069" s="157">
        <f>IFERROR(__xludf.DUMMYFUNCTION("""COMPUTED_VALUE"""),43547.32638252315)</f>
        <v>43547.32638</v>
      </c>
      <c r="AI2069" s="138"/>
      <c r="AJ2069" s="138"/>
      <c r="AK2069" s="138"/>
      <c r="AL2069" s="142"/>
    </row>
    <row r="2070" ht="20.25" customHeight="1">
      <c r="A2070" s="155" t="str">
        <f>IFERROR(__xludf.DUMMYFUNCTION("""COMPUTED_VALUE"""),"lding")</f>
        <v>lding</v>
      </c>
      <c r="B2070" s="149" t="str">
        <f>IFERROR(__xludf.DUMMYFUNCTION("""COMPUTED_VALUE"""),"Portland")</f>
        <v>Portland</v>
      </c>
      <c r="C2070" s="149" t="str">
        <f>IFERROR(__xludf.DUMMYFUNCTION("""COMPUTED_VALUE"""),"OR")</f>
        <v>OR</v>
      </c>
      <c r="D2070" s="149" t="str">
        <f>IFERROR(__xludf.DUMMYFUNCTION("""COMPUTED_VALUE"""),"USA")</f>
        <v>USA</v>
      </c>
      <c r="E2070" s="156">
        <f>IFERROR(__xludf.DUMMYFUNCTION("""COMPUTED_VALUE"""),43530.0)</f>
        <v>43530</v>
      </c>
      <c r="F2070" s="129">
        <f>IFERROR(__xludf.DUMMYFUNCTION("""COMPUTED_VALUE"""),43568.0)</f>
        <v>43568</v>
      </c>
      <c r="G2070" s="154"/>
      <c r="H2070" s="131">
        <f>IFERROR(__xludf.DUMMYFUNCTION("""COMPUTED_VALUE"""),306155.0)</f>
        <v>306155</v>
      </c>
      <c r="I2070" s="144" t="str">
        <f>IFERROR(__xludf.DUMMYFUNCTION("""COMPUTED_VALUE"""),"03/19")</f>
        <v>03/19</v>
      </c>
      <c r="J2070" s="129">
        <f>IFERROR(__xludf.DUMMYFUNCTION("""COMPUTED_VALUE"""),43572.0)</f>
        <v>43572</v>
      </c>
      <c r="K2070" s="133">
        <f>IFERROR(__xludf.DUMMYFUNCTION("""COMPUTED_VALUE"""),38.0)</f>
        <v>38</v>
      </c>
      <c r="L2070" s="133">
        <f>IFERROR(__xludf.DUMMYFUNCTION("""COMPUTED_VALUE"""),4.0)</f>
        <v>4</v>
      </c>
      <c r="M2070" s="133">
        <f>IFERROR(__xludf.DUMMYFUNCTION("""COMPUTED_VALUE"""),42.0)</f>
        <v>42</v>
      </c>
      <c r="N2070" s="152" t="str">
        <f>IFERROR(__xludf.DUMMYFUNCTION("""COMPUTED_VALUE"""),"Model 3 SR")</f>
        <v>Model 3 SR</v>
      </c>
      <c r="O2070" s="152" t="str">
        <f>IFERROR(__xludf.DUMMYFUNCTION("""COMPUTED_VALUE"""),"Solid Black")</f>
        <v>Solid Black</v>
      </c>
      <c r="P2070" s="153" t="str">
        <f>IFERROR(__xludf.DUMMYFUNCTION("""COMPUTED_VALUE"""),"18 inch Aero")</f>
        <v>18 inch Aero</v>
      </c>
      <c r="Q2070" s="152" t="str">
        <f>IFERROR(__xludf.DUMMYFUNCTION("""COMPUTED_VALUE"""),"Black seats")</f>
        <v>Black seats</v>
      </c>
      <c r="R2070" s="149" t="str">
        <f>IFERROR(__xludf.DUMMYFUNCTION("""COMPUTED_VALUE"""),"None")</f>
        <v>None</v>
      </c>
      <c r="S2070" s="149"/>
      <c r="T2070" s="145"/>
      <c r="U2070" s="145"/>
      <c r="V2070" s="145"/>
      <c r="W2070" s="145"/>
      <c r="X2070" s="137" t="str">
        <f>IFERROR(__xludf.DUMMYFUNCTION("""COMPUTED_VALUE"""),"Excellent")</f>
        <v>Excellent</v>
      </c>
      <c r="Y2070" s="138" t="str">
        <f>IFERROR(__xludf.DUMMYFUNCTION("""COMPUTED_VALUE"""),"Excellent")</f>
        <v>Excellent</v>
      </c>
      <c r="Z2070" s="138" t="str">
        <f>IFERROR(__xludf.DUMMYFUNCTION("""COMPUTED_VALUE"""),"Excellent")</f>
        <v>Excellent</v>
      </c>
      <c r="AA2070" s="138" t="str">
        <f>IFERROR(__xludf.DUMMYFUNCTION("""COMPUTED_VALUE"""),"Excellent")</f>
        <v>Excellent</v>
      </c>
      <c r="AB2070" s="138" t="str">
        <f>IFERROR(__xludf.DUMMYFUNCTION("""COMPUTED_VALUE"""),"Excellent")</f>
        <v>Excellent</v>
      </c>
      <c r="AC2070" s="139">
        <f>IFERROR(__xludf.DUMMYFUNCTION("""COMPUTED_VALUE"""),0.0)</f>
        <v>0</v>
      </c>
      <c r="AD2070" s="139">
        <f>IFERROR(__xludf.DUMMYFUNCTION("""COMPUTED_VALUE"""),0.0)</f>
        <v>0</v>
      </c>
      <c r="AE2070" s="139">
        <f>IFERROR(__xludf.DUMMYFUNCTION("""COMPUTED_VALUE"""),0.0)</f>
        <v>0</v>
      </c>
      <c r="AF2070" s="140"/>
      <c r="AG2070" s="145"/>
      <c r="AH2070" s="157">
        <f>IFERROR(__xludf.DUMMYFUNCTION("""COMPUTED_VALUE"""),43573.08144731481)</f>
        <v>43573.08145</v>
      </c>
      <c r="AI2070" s="138"/>
      <c r="AJ2070" s="138"/>
      <c r="AK2070" s="138"/>
      <c r="AL2070" s="142"/>
    </row>
    <row r="2071" ht="20.25" customHeight="1">
      <c r="A2071" s="155" t="str">
        <f>IFERROR(__xludf.DUMMYFUNCTION("""COMPUTED_VALUE"""),"MrMassTransit")</f>
        <v>MrMassTransit</v>
      </c>
      <c r="B2071" s="149" t="str">
        <f>IFERROR(__xludf.DUMMYFUNCTION("""COMPUTED_VALUE"""),"Washington")</f>
        <v>Washington</v>
      </c>
      <c r="C2071" s="149" t="str">
        <f>IFERROR(__xludf.DUMMYFUNCTION("""COMPUTED_VALUE"""),"DC")</f>
        <v>DC</v>
      </c>
      <c r="D2071" s="149" t="str">
        <f>IFERROR(__xludf.DUMMYFUNCTION("""COMPUTED_VALUE"""),"USA")</f>
        <v>USA</v>
      </c>
      <c r="E2071" s="156">
        <f>IFERROR(__xludf.DUMMYFUNCTION("""COMPUTED_VALUE"""),43530.0)</f>
        <v>43530</v>
      </c>
      <c r="F2071" s="129">
        <f>IFERROR(__xludf.DUMMYFUNCTION("""COMPUTED_VALUE"""),43535.0)</f>
        <v>43535</v>
      </c>
      <c r="G2071" s="154"/>
      <c r="H2071" s="131">
        <f>IFERROR(__xludf.DUMMYFUNCTION("""COMPUTED_VALUE"""),298575.0)</f>
        <v>298575</v>
      </c>
      <c r="I2071" s="144" t="str">
        <f>IFERROR(__xludf.DUMMYFUNCTION("""COMPUTED_VALUE"""),"03/19")</f>
        <v>03/19</v>
      </c>
      <c r="J2071" s="129">
        <f>IFERROR(__xludf.DUMMYFUNCTION("""COMPUTED_VALUE"""),43536.0)</f>
        <v>43536</v>
      </c>
      <c r="K2071" s="133">
        <f>IFERROR(__xludf.DUMMYFUNCTION("""COMPUTED_VALUE"""),5.0)</f>
        <v>5</v>
      </c>
      <c r="L2071" s="133">
        <f>IFERROR(__xludf.DUMMYFUNCTION("""COMPUTED_VALUE"""),1.0)</f>
        <v>1</v>
      </c>
      <c r="M2071" s="133">
        <f>IFERROR(__xludf.DUMMYFUNCTION("""COMPUTED_VALUE"""),6.0)</f>
        <v>6</v>
      </c>
      <c r="N2071" s="152" t="str">
        <f>IFERROR(__xludf.DUMMYFUNCTION("""COMPUTED_VALUE"""),"Model 3 SR+")</f>
        <v>Model 3 SR+</v>
      </c>
      <c r="O2071" s="152" t="str">
        <f>IFERROR(__xludf.DUMMYFUNCTION("""COMPUTED_VALUE"""),"Midnight Silver Metallic")</f>
        <v>Midnight Silver Metallic</v>
      </c>
      <c r="P2071" s="153" t="str">
        <f>IFERROR(__xludf.DUMMYFUNCTION("""COMPUTED_VALUE"""),"18 inch Aero")</f>
        <v>18 inch Aero</v>
      </c>
      <c r="Q2071" s="152" t="str">
        <f>IFERROR(__xludf.DUMMYFUNCTION("""COMPUTED_VALUE"""),"Black seats")</f>
        <v>Black seats</v>
      </c>
      <c r="R2071" s="149"/>
      <c r="S2071" s="149"/>
      <c r="T2071" s="145"/>
      <c r="U2071" s="145"/>
      <c r="V2071" s="145"/>
      <c r="W2071" s="145"/>
      <c r="X2071" s="137" t="str">
        <f>IFERROR(__xludf.DUMMYFUNCTION("""COMPUTED_VALUE"""),"Excellent")</f>
        <v>Excellent</v>
      </c>
      <c r="Y2071" s="138" t="str">
        <f>IFERROR(__xludf.DUMMYFUNCTION("""COMPUTED_VALUE"""),"Excellent")</f>
        <v>Excellent</v>
      </c>
      <c r="Z2071" s="138" t="str">
        <f>IFERROR(__xludf.DUMMYFUNCTION("""COMPUTED_VALUE"""),"Excellent")</f>
        <v>Excellent</v>
      </c>
      <c r="AA2071" s="138" t="str">
        <f>IFERROR(__xludf.DUMMYFUNCTION("""COMPUTED_VALUE"""),"Excellent")</f>
        <v>Excellent</v>
      </c>
      <c r="AB2071" s="138" t="str">
        <f>IFERROR(__xludf.DUMMYFUNCTION("""COMPUTED_VALUE"""),"Excellent")</f>
        <v>Excellent</v>
      </c>
      <c r="AC2071" s="139">
        <f>IFERROR(__xludf.DUMMYFUNCTION("""COMPUTED_VALUE"""),0.0)</f>
        <v>0</v>
      </c>
      <c r="AD2071" s="139">
        <f>IFERROR(__xludf.DUMMYFUNCTION("""COMPUTED_VALUE"""),0.0)</f>
        <v>0</v>
      </c>
      <c r="AE2071" s="139">
        <f>IFERROR(__xludf.DUMMYFUNCTION("""COMPUTED_VALUE"""),0.0)</f>
        <v>0</v>
      </c>
      <c r="AF2071" s="140"/>
      <c r="AG2071" s="145"/>
      <c r="AH2071" s="157">
        <f>IFERROR(__xludf.DUMMYFUNCTION("""COMPUTED_VALUE"""),43603.49683325231)</f>
        <v>43603.49683</v>
      </c>
      <c r="AI2071" s="138"/>
      <c r="AJ2071" s="138"/>
      <c r="AK2071" s="138"/>
      <c r="AL2071" s="142"/>
    </row>
    <row r="2072" ht="20.25" customHeight="1">
      <c r="A2072" s="155" t="str">
        <f>IFERROR(__xludf.DUMMYFUNCTION("""COMPUTED_VALUE"""),"thefivetheory")</f>
        <v>thefivetheory</v>
      </c>
      <c r="B2072" s="149" t="str">
        <f>IFERROR(__xludf.DUMMYFUNCTION("""COMPUTED_VALUE"""),"Redding")</f>
        <v>Redding</v>
      </c>
      <c r="C2072" s="149" t="str">
        <f>IFERROR(__xludf.DUMMYFUNCTION("""COMPUTED_VALUE"""),"CA")</f>
        <v>CA</v>
      </c>
      <c r="D2072" s="149" t="str">
        <f>IFERROR(__xludf.DUMMYFUNCTION("""COMPUTED_VALUE"""),"USA")</f>
        <v>USA</v>
      </c>
      <c r="E2072" s="156">
        <f>IFERROR(__xludf.DUMMYFUNCTION("""COMPUTED_VALUE"""),43530.0)</f>
        <v>43530</v>
      </c>
      <c r="F2072" s="129">
        <f>IFERROR(__xludf.DUMMYFUNCTION("""COMPUTED_VALUE"""),43551.0)</f>
        <v>43551</v>
      </c>
      <c r="G2072" s="154"/>
      <c r="H2072" s="131">
        <f>IFERROR(__xludf.DUMMYFUNCTION("""COMPUTED_VALUE"""),231769.0)</f>
        <v>231769</v>
      </c>
      <c r="I2072" s="144" t="str">
        <f>IFERROR(__xludf.DUMMYFUNCTION("""COMPUTED_VALUE"""),"03/19")</f>
        <v>03/19</v>
      </c>
      <c r="J2072" s="129">
        <f>IFERROR(__xludf.DUMMYFUNCTION("""COMPUTED_VALUE"""),43555.0)</f>
        <v>43555</v>
      </c>
      <c r="K2072" s="133">
        <f>IFERROR(__xludf.DUMMYFUNCTION("""COMPUTED_VALUE"""),21.0)</f>
        <v>21</v>
      </c>
      <c r="L2072" s="133">
        <f>IFERROR(__xludf.DUMMYFUNCTION("""COMPUTED_VALUE"""),4.0)</f>
        <v>4</v>
      </c>
      <c r="M2072" s="133">
        <f>IFERROR(__xludf.DUMMYFUNCTION("""COMPUTED_VALUE"""),25.0)</f>
        <v>25</v>
      </c>
      <c r="N2072" s="152" t="str">
        <f>IFERROR(__xludf.DUMMYFUNCTION("""COMPUTED_VALUE"""),"Model 3 Performance")</f>
        <v>Model 3 Performance</v>
      </c>
      <c r="O2072" s="152" t="str">
        <f>IFERROR(__xludf.DUMMYFUNCTION("""COMPUTED_VALUE"""),"Pearl White Multi-Coat")</f>
        <v>Pearl White Multi-Coat</v>
      </c>
      <c r="P2072" s="153" t="str">
        <f>IFERROR(__xludf.DUMMYFUNCTION("""COMPUTED_VALUE"""),"20 inch Sport")</f>
        <v>20 inch Sport</v>
      </c>
      <c r="Q2072" s="152" t="str">
        <f>IFERROR(__xludf.DUMMYFUNCTION("""COMPUTED_VALUE"""),"White seats")</f>
        <v>White seats</v>
      </c>
      <c r="R2072" s="149" t="str">
        <f>IFERROR(__xludf.DUMMYFUNCTION("""COMPUTED_VALUE"""),"Full Self-Driving")</f>
        <v>Full Self-Driving</v>
      </c>
      <c r="S2072" s="149"/>
      <c r="T2072" s="145"/>
      <c r="U2072" s="145"/>
      <c r="V2072" s="145"/>
      <c r="W2072" s="145"/>
      <c r="X2072" s="137" t="str">
        <f>IFERROR(__xludf.DUMMYFUNCTION("""COMPUTED_VALUE"""),"Very Good")</f>
        <v>Very Good</v>
      </c>
      <c r="Y2072" s="138" t="str">
        <f>IFERROR(__xludf.DUMMYFUNCTION("""COMPUTED_VALUE"""),"Very Good")</f>
        <v>Very Good</v>
      </c>
      <c r="Z2072" s="138" t="str">
        <f>IFERROR(__xludf.DUMMYFUNCTION("""COMPUTED_VALUE"""),"Very Good")</f>
        <v>Very Good</v>
      </c>
      <c r="AA2072" s="138" t="str">
        <f>IFERROR(__xludf.DUMMYFUNCTION("""COMPUTED_VALUE"""),"Fair")</f>
        <v>Fair</v>
      </c>
      <c r="AB2072" s="138" t="str">
        <f>IFERROR(__xludf.DUMMYFUNCTION("""COMPUTED_VALUE"""),"Good")</f>
        <v>Good</v>
      </c>
      <c r="AC2072" s="139"/>
      <c r="AD2072" s="139"/>
      <c r="AE2072" s="139"/>
      <c r="AF2072" s="140"/>
      <c r="AG2072" s="145" t="str">
        <f>IFERROR(__xludf.DUMMYFUNCTION("""COMPUTED_VALUE"""),"!!!!!!11")</f>
        <v>!!!!!!11</v>
      </c>
      <c r="AH2072" s="157">
        <f>IFERROR(__xludf.DUMMYFUNCTION("""COMPUTED_VALUE"""),43555.86548590278)</f>
        <v>43555.86549</v>
      </c>
      <c r="AI2072" s="138"/>
      <c r="AJ2072" s="138"/>
      <c r="AK2072" s="138"/>
      <c r="AL2072" s="142"/>
    </row>
    <row r="2073" ht="20.25" customHeight="1">
      <c r="A2073" s="155" t="str">
        <f>IFERROR(__xludf.DUMMYFUNCTION("""COMPUTED_VALUE"""),"Merrilld")</f>
        <v>Merrilld</v>
      </c>
      <c r="B2073" s="149" t="str">
        <f>IFERROR(__xludf.DUMMYFUNCTION("""COMPUTED_VALUE"""),"Broomfield")</f>
        <v>Broomfield</v>
      </c>
      <c r="C2073" s="149" t="str">
        <f>IFERROR(__xludf.DUMMYFUNCTION("""COMPUTED_VALUE"""),"CO")</f>
        <v>CO</v>
      </c>
      <c r="D2073" s="149" t="str">
        <f>IFERROR(__xludf.DUMMYFUNCTION("""COMPUTED_VALUE"""),"USA")</f>
        <v>USA</v>
      </c>
      <c r="E2073" s="156">
        <f>IFERROR(__xludf.DUMMYFUNCTION("""COMPUTED_VALUE"""),43529.0)</f>
        <v>43529</v>
      </c>
      <c r="F2073" s="129">
        <f>IFERROR(__xludf.DUMMYFUNCTION("""COMPUTED_VALUE"""),43538.0)</f>
        <v>43538</v>
      </c>
      <c r="G2073" s="154"/>
      <c r="H2073" s="131">
        <f>IFERROR(__xludf.DUMMYFUNCTION("""COMPUTED_VALUE"""),236639.0)</f>
        <v>236639</v>
      </c>
      <c r="I2073" s="144" t="str">
        <f>IFERROR(__xludf.DUMMYFUNCTION("""COMPUTED_VALUE"""),"03/19")</f>
        <v>03/19</v>
      </c>
      <c r="J2073" s="129">
        <f>IFERROR(__xludf.DUMMYFUNCTION("""COMPUTED_VALUE"""),43540.0)</f>
        <v>43540</v>
      </c>
      <c r="K2073" s="133">
        <f>IFERROR(__xludf.DUMMYFUNCTION("""COMPUTED_VALUE"""),9.0)</f>
        <v>9</v>
      </c>
      <c r="L2073" s="133">
        <f>IFERROR(__xludf.DUMMYFUNCTION("""COMPUTED_VALUE"""),2.0)</f>
        <v>2</v>
      </c>
      <c r="M2073" s="133">
        <f>IFERROR(__xludf.DUMMYFUNCTION("""COMPUTED_VALUE"""),11.0)</f>
        <v>11</v>
      </c>
      <c r="N2073" s="152" t="str">
        <f>IFERROR(__xludf.DUMMYFUNCTION("""COMPUTED_VALUE"""),"Model 3 Performance")</f>
        <v>Model 3 Performance</v>
      </c>
      <c r="O2073" s="152" t="str">
        <f>IFERROR(__xludf.DUMMYFUNCTION("""COMPUTED_VALUE"""),"Midnight Silver Metallic")</f>
        <v>Midnight Silver Metallic</v>
      </c>
      <c r="P2073" s="153" t="str">
        <f>IFERROR(__xludf.DUMMYFUNCTION("""COMPUTED_VALUE"""),"20 inch Sport")</f>
        <v>20 inch Sport</v>
      </c>
      <c r="Q2073" s="152" t="str">
        <f>IFERROR(__xludf.DUMMYFUNCTION("""COMPUTED_VALUE"""),"Black seats")</f>
        <v>Black seats</v>
      </c>
      <c r="R2073" s="149" t="str">
        <f>IFERROR(__xludf.DUMMYFUNCTION("""COMPUTED_VALUE"""),"Full Self-Driving")</f>
        <v>Full Self-Driving</v>
      </c>
      <c r="S2073" s="149"/>
      <c r="T2073" s="145"/>
      <c r="U2073" s="145"/>
      <c r="V2073" s="145"/>
      <c r="W2073" s="145"/>
      <c r="X2073" s="137" t="str">
        <f>IFERROR(__xludf.DUMMYFUNCTION("""COMPUTED_VALUE"""),"Excellent")</f>
        <v>Excellent</v>
      </c>
      <c r="Y2073" s="138" t="str">
        <f>IFERROR(__xludf.DUMMYFUNCTION("""COMPUTED_VALUE"""),"Excellent")</f>
        <v>Excellent</v>
      </c>
      <c r="Z2073" s="138" t="str">
        <f>IFERROR(__xludf.DUMMYFUNCTION("""COMPUTED_VALUE"""),"Excellent")</f>
        <v>Excellent</v>
      </c>
      <c r="AA2073" s="138" t="str">
        <f>IFERROR(__xludf.DUMMYFUNCTION("""COMPUTED_VALUE"""),"Fair")</f>
        <v>Fair</v>
      </c>
      <c r="AB2073" s="138" t="str">
        <f>IFERROR(__xludf.DUMMYFUNCTION("""COMPUTED_VALUE"""),"Poor")</f>
        <v>Poor</v>
      </c>
      <c r="AC2073" s="139">
        <f>IFERROR(__xludf.DUMMYFUNCTION("""COMPUTED_VALUE"""),0.0)</f>
        <v>0</v>
      </c>
      <c r="AD2073" s="139"/>
      <c r="AE2073" s="139"/>
      <c r="AF2073" s="140"/>
      <c r="AG2073" s="145"/>
      <c r="AH2073" s="157">
        <f>IFERROR(__xludf.DUMMYFUNCTION("""COMPUTED_VALUE"""),43545.81697163194)</f>
        <v>43545.81697</v>
      </c>
      <c r="AI2073" s="138"/>
      <c r="AJ2073" s="138"/>
      <c r="AK2073" s="138"/>
      <c r="AL2073" s="142"/>
    </row>
    <row r="2074" ht="20.25" customHeight="1">
      <c r="A2074" s="155" t="str">
        <f>IFERROR(__xludf.DUMMYFUNCTION("""COMPUTED_VALUE"""),"Ry-ballz")</f>
        <v>Ry-ballz</v>
      </c>
      <c r="B2074" s="149"/>
      <c r="C2074" s="149" t="str">
        <f>IFERROR(__xludf.DUMMYFUNCTION("""COMPUTED_VALUE"""),"CO")</f>
        <v>CO</v>
      </c>
      <c r="D2074" s="149" t="str">
        <f>IFERROR(__xludf.DUMMYFUNCTION("""COMPUTED_VALUE"""),"USA")</f>
        <v>USA</v>
      </c>
      <c r="E2074" s="156">
        <f>IFERROR(__xludf.DUMMYFUNCTION("""COMPUTED_VALUE"""),43529.0)</f>
        <v>43529</v>
      </c>
      <c r="F2074" s="129">
        <f>IFERROR(__xludf.DUMMYFUNCTION("""COMPUTED_VALUE"""),43571.0)</f>
        <v>43571</v>
      </c>
      <c r="G2074" s="154"/>
      <c r="H2074" s="131">
        <f>IFERROR(__xludf.DUMMYFUNCTION("""COMPUTED_VALUE"""),213855.0)</f>
        <v>213855</v>
      </c>
      <c r="I2074" s="144"/>
      <c r="J2074" s="129">
        <f>IFERROR(__xludf.DUMMYFUNCTION("""COMPUTED_VALUE"""),43572.0)</f>
        <v>43572</v>
      </c>
      <c r="K2074" s="133">
        <f>IFERROR(__xludf.DUMMYFUNCTION("""COMPUTED_VALUE"""),42.0)</f>
        <v>42</v>
      </c>
      <c r="L2074" s="133">
        <f>IFERROR(__xludf.DUMMYFUNCTION("""COMPUTED_VALUE"""),1.0)</f>
        <v>1</v>
      </c>
      <c r="M2074" s="133">
        <f>IFERROR(__xludf.DUMMYFUNCTION("""COMPUTED_VALUE"""),43.0)</f>
        <v>43</v>
      </c>
      <c r="N2074" s="152" t="str">
        <f>IFERROR(__xludf.DUMMYFUNCTION("""COMPUTED_VALUE"""),"Model 3 LR AWD")</f>
        <v>Model 3 LR AWD</v>
      </c>
      <c r="O2074" s="152" t="str">
        <f>IFERROR(__xludf.DUMMYFUNCTION("""COMPUTED_VALUE"""),"Pearl White Multi-Coat")</f>
        <v>Pearl White Multi-Coat</v>
      </c>
      <c r="P2074" s="153" t="str">
        <f>IFERROR(__xludf.DUMMYFUNCTION("""COMPUTED_VALUE"""),"19 inch Sport")</f>
        <v>19 inch Sport</v>
      </c>
      <c r="Q2074" s="152" t="str">
        <f>IFERROR(__xludf.DUMMYFUNCTION("""COMPUTED_VALUE"""),"White seats")</f>
        <v>White seats</v>
      </c>
      <c r="R2074" s="149" t="str">
        <f>IFERROR(__xludf.DUMMYFUNCTION("""COMPUTED_VALUE"""),"Full Self-Driving")</f>
        <v>Full Self-Driving</v>
      </c>
      <c r="S2074" s="149"/>
      <c r="T2074" s="145"/>
      <c r="U2074" s="145"/>
      <c r="V2074" s="145"/>
      <c r="W2074" s="145"/>
      <c r="X2074" s="137" t="str">
        <f>IFERROR(__xludf.DUMMYFUNCTION("""COMPUTED_VALUE"""),"Excellent")</f>
        <v>Excellent</v>
      </c>
      <c r="Y2074" s="138" t="str">
        <f>IFERROR(__xludf.DUMMYFUNCTION("""COMPUTED_VALUE"""),"Excellent")</f>
        <v>Excellent</v>
      </c>
      <c r="Z2074" s="138" t="str">
        <f>IFERROR(__xludf.DUMMYFUNCTION("""COMPUTED_VALUE"""),"Excellent")</f>
        <v>Excellent</v>
      </c>
      <c r="AA2074" s="138" t="str">
        <f>IFERROR(__xludf.DUMMYFUNCTION("""COMPUTED_VALUE"""),"Excellent")</f>
        <v>Excellent</v>
      </c>
      <c r="AB2074" s="138" t="str">
        <f>IFERROR(__xludf.DUMMYFUNCTION("""COMPUTED_VALUE"""),"Excellent")</f>
        <v>Excellent</v>
      </c>
      <c r="AC2074" s="139"/>
      <c r="AD2074" s="139"/>
      <c r="AE2074" s="139"/>
      <c r="AF2074" s="140"/>
      <c r="AG2074" s="145" t="str">
        <f>IFERROR(__xludf.DUMMYFUNCTION("""COMPUTED_VALUE"""),"Recieved a VIN on 3/20 for a 2018 car. No discount available. Switched to a 2019 order. After not hearing from Tesla for 3 weeks asked if there were inventory cars. Offered 2 options, selected one with a wheel upgrade available immediately. ")</f>
        <v>Recieved a VIN on 3/20 for a 2018 car. No discount available. Switched to a 2019 order. After not hearing from Tesla for 3 weeks asked if there were inventory cars. Offered 2 options, selected one with a wheel upgrade available immediately. </v>
      </c>
      <c r="AH2074" s="157">
        <f>IFERROR(__xludf.DUMMYFUNCTION("""COMPUTED_VALUE"""),43572.71605791667)</f>
        <v>43572.71606</v>
      </c>
      <c r="AI2074" s="138"/>
      <c r="AJ2074" s="138"/>
      <c r="AK2074" s="138"/>
      <c r="AL2074" s="142"/>
    </row>
    <row r="2075" ht="20.25" customHeight="1">
      <c r="A2075" s="155" t="str">
        <f>IFERROR(__xludf.DUMMYFUNCTION("""COMPUTED_VALUE"""),"SeaMah")</f>
        <v>SeaMah</v>
      </c>
      <c r="B2075" s="149" t="str">
        <f>IFERROR(__xludf.DUMMYFUNCTION("""COMPUTED_VALUE"""),"LA")</f>
        <v>LA</v>
      </c>
      <c r="C2075" s="149" t="str">
        <f>IFERROR(__xludf.DUMMYFUNCTION("""COMPUTED_VALUE"""),"CA")</f>
        <v>CA</v>
      </c>
      <c r="D2075" s="149" t="str">
        <f>IFERROR(__xludf.DUMMYFUNCTION("""COMPUTED_VALUE"""),"USA")</f>
        <v>USA</v>
      </c>
      <c r="E2075" s="156">
        <f>IFERROR(__xludf.DUMMYFUNCTION("""COMPUTED_VALUE"""),43529.0)</f>
        <v>43529</v>
      </c>
      <c r="F2075" s="129">
        <f>IFERROR(__xludf.DUMMYFUNCTION("""COMPUTED_VALUE"""),43543.0)</f>
        <v>43543</v>
      </c>
      <c r="G2075" s="154"/>
      <c r="H2075" s="131">
        <f>IFERROR(__xludf.DUMMYFUNCTION("""COMPUTED_VALUE"""),313658.0)</f>
        <v>313658</v>
      </c>
      <c r="I2075" s="144" t="str">
        <f>IFERROR(__xludf.DUMMYFUNCTION("""COMPUTED_VALUE"""),"03/19")</f>
        <v>03/19</v>
      </c>
      <c r="J2075" s="129">
        <f>IFERROR(__xludf.DUMMYFUNCTION("""COMPUTED_VALUE"""),43547.0)</f>
        <v>43547</v>
      </c>
      <c r="K2075" s="133">
        <f>IFERROR(__xludf.DUMMYFUNCTION("""COMPUTED_VALUE"""),14.0)</f>
        <v>14</v>
      </c>
      <c r="L2075" s="133">
        <f>IFERROR(__xludf.DUMMYFUNCTION("""COMPUTED_VALUE"""),4.0)</f>
        <v>4</v>
      </c>
      <c r="M2075" s="133">
        <f>IFERROR(__xludf.DUMMYFUNCTION("""COMPUTED_VALUE"""),18.0)</f>
        <v>18</v>
      </c>
      <c r="N2075" s="152" t="str">
        <f>IFERROR(__xludf.DUMMYFUNCTION("""COMPUTED_VALUE"""),"Model 3 LR")</f>
        <v>Model 3 LR</v>
      </c>
      <c r="O2075" s="152" t="str">
        <f>IFERROR(__xludf.DUMMYFUNCTION("""COMPUTED_VALUE"""),"Midnight Silver Metallic")</f>
        <v>Midnight Silver Metallic</v>
      </c>
      <c r="P2075" s="153" t="str">
        <f>IFERROR(__xludf.DUMMYFUNCTION("""COMPUTED_VALUE"""),"18 inch Aero")</f>
        <v>18 inch Aero</v>
      </c>
      <c r="Q2075" s="152" t="str">
        <f>IFERROR(__xludf.DUMMYFUNCTION("""COMPUTED_VALUE"""),"Black seats")</f>
        <v>Black seats</v>
      </c>
      <c r="R2075" s="149" t="str">
        <f>IFERROR(__xludf.DUMMYFUNCTION("""COMPUTED_VALUE"""),"Full Self-Driving")</f>
        <v>Full Self-Driving</v>
      </c>
      <c r="S2075" s="149"/>
      <c r="T2075" s="145"/>
      <c r="U2075" s="145"/>
      <c r="V2075" s="145"/>
      <c r="W2075" s="145"/>
      <c r="X2075" s="137" t="str">
        <f>IFERROR(__xludf.DUMMYFUNCTION("""COMPUTED_VALUE"""),"Excellent")</f>
        <v>Excellent</v>
      </c>
      <c r="Y2075" s="138" t="str">
        <f>IFERROR(__xludf.DUMMYFUNCTION("""COMPUTED_VALUE"""),"Very Good")</f>
        <v>Very Good</v>
      </c>
      <c r="Z2075" s="138" t="str">
        <f>IFERROR(__xludf.DUMMYFUNCTION("""COMPUTED_VALUE"""),"Excellent")</f>
        <v>Excellent</v>
      </c>
      <c r="AA2075" s="138" t="str">
        <f>IFERROR(__xludf.DUMMYFUNCTION("""COMPUTED_VALUE"""),"Good")</f>
        <v>Good</v>
      </c>
      <c r="AB2075" s="138" t="str">
        <f>IFERROR(__xludf.DUMMYFUNCTION("""COMPUTED_VALUE"""),"Very Good")</f>
        <v>Very Good</v>
      </c>
      <c r="AC2075" s="139"/>
      <c r="AD2075" s="139"/>
      <c r="AE2075" s="139"/>
      <c r="AF2075" s="140"/>
      <c r="AG2075" s="145"/>
      <c r="AH2075" s="157">
        <f>IFERROR(__xludf.DUMMYFUNCTION("""COMPUTED_VALUE"""),43547.64939853009)</f>
        <v>43547.6494</v>
      </c>
      <c r="AI2075" s="138"/>
      <c r="AJ2075" s="138"/>
      <c r="AK2075" s="138"/>
      <c r="AL2075" s="142"/>
    </row>
    <row r="2076" ht="20.25" customHeight="1">
      <c r="A2076" s="155" t="str">
        <f>IFERROR(__xludf.DUMMYFUNCTION("""COMPUTED_VALUE"""),"32x20")</f>
        <v>32x20</v>
      </c>
      <c r="B2076" s="149"/>
      <c r="C2076" s="149" t="str">
        <f>IFERROR(__xludf.DUMMYFUNCTION("""COMPUTED_VALUE"""),"CO")</f>
        <v>CO</v>
      </c>
      <c r="D2076" s="149" t="str">
        <f>IFERROR(__xludf.DUMMYFUNCTION("""COMPUTED_VALUE"""),"USA")</f>
        <v>USA</v>
      </c>
      <c r="E2076" s="156">
        <f>IFERROR(__xludf.DUMMYFUNCTION("""COMPUTED_VALUE"""),43528.0)</f>
        <v>43528</v>
      </c>
      <c r="F2076" s="129">
        <f>IFERROR(__xludf.DUMMYFUNCTION("""COMPUTED_VALUE"""),43529.0)</f>
        <v>43529</v>
      </c>
      <c r="G2076" s="154"/>
      <c r="H2076" s="131">
        <f>IFERROR(__xludf.DUMMYFUNCTION("""COMPUTED_VALUE"""),161155.0)</f>
        <v>161155</v>
      </c>
      <c r="I2076" s="144"/>
      <c r="J2076" s="129">
        <f>IFERROR(__xludf.DUMMYFUNCTION("""COMPUTED_VALUE"""),43536.0)</f>
        <v>43536</v>
      </c>
      <c r="K2076" s="133">
        <f>IFERROR(__xludf.DUMMYFUNCTION("""COMPUTED_VALUE"""),1.0)</f>
        <v>1</v>
      </c>
      <c r="L2076" s="133">
        <f>IFERROR(__xludf.DUMMYFUNCTION("""COMPUTED_VALUE"""),7.0)</f>
        <v>7</v>
      </c>
      <c r="M2076" s="133">
        <f>IFERROR(__xludf.DUMMYFUNCTION("""COMPUTED_VALUE"""),8.0)</f>
        <v>8</v>
      </c>
      <c r="N2076" s="152" t="str">
        <f>IFERROR(__xludf.DUMMYFUNCTION("""COMPUTED_VALUE"""),"Model 3 MR")</f>
        <v>Model 3 MR</v>
      </c>
      <c r="O2076" s="152" t="str">
        <f>IFERROR(__xludf.DUMMYFUNCTION("""COMPUTED_VALUE"""),"Deep Blue Metallic")</f>
        <v>Deep Blue Metallic</v>
      </c>
      <c r="P2076" s="153" t="str">
        <f>IFERROR(__xludf.DUMMYFUNCTION("""COMPUTED_VALUE"""),"18 inch Aero")</f>
        <v>18 inch Aero</v>
      </c>
      <c r="Q2076" s="152" t="str">
        <f>IFERROR(__xludf.DUMMYFUNCTION("""COMPUTED_VALUE"""),"Black seats")</f>
        <v>Black seats</v>
      </c>
      <c r="R2076" s="149" t="str">
        <f>IFERROR(__xludf.DUMMYFUNCTION("""COMPUTED_VALUE"""),"None")</f>
        <v>None</v>
      </c>
      <c r="S2076" s="149"/>
      <c r="T2076" s="145"/>
      <c r="U2076" s="145"/>
      <c r="V2076" s="145"/>
      <c r="W2076" s="145"/>
      <c r="X2076" s="137" t="str">
        <f>IFERROR(__xludf.DUMMYFUNCTION("""COMPUTED_VALUE"""),"Very Good")</f>
        <v>Very Good</v>
      </c>
      <c r="Y2076" s="138" t="str">
        <f>IFERROR(__xludf.DUMMYFUNCTION("""COMPUTED_VALUE"""),"Excellent")</f>
        <v>Excellent</v>
      </c>
      <c r="Z2076" s="138" t="str">
        <f>IFERROR(__xludf.DUMMYFUNCTION("""COMPUTED_VALUE"""),"Very Good")</f>
        <v>Very Good</v>
      </c>
      <c r="AA2076" s="138" t="str">
        <f>IFERROR(__xludf.DUMMYFUNCTION("""COMPUTED_VALUE"""),"Fair")</f>
        <v>Fair</v>
      </c>
      <c r="AB2076" s="138" t="str">
        <f>IFERROR(__xludf.DUMMYFUNCTION("""COMPUTED_VALUE"""),"Fair")</f>
        <v>Fair</v>
      </c>
      <c r="AC2076" s="139">
        <f>IFERROR(__xludf.DUMMYFUNCTION("""COMPUTED_VALUE"""),2.0)</f>
        <v>2</v>
      </c>
      <c r="AD2076" s="139">
        <f>IFERROR(__xludf.DUMMYFUNCTION("""COMPUTED_VALUE"""),2.0)</f>
        <v>2</v>
      </c>
      <c r="AE2076" s="139">
        <f>IFERROR(__xludf.DUMMYFUNCTION("""COMPUTED_VALUE"""),4.0)</f>
        <v>4</v>
      </c>
      <c r="AF2076" s="140"/>
      <c r="AG2076" s="145" t="str">
        <f>IFERROR(__xludf.DUMMYFUNCTION("""COMPUTED_VALUE"""),"Ordered SR+ 2/28, changed to MR 3/4.  Delayed delivery due to column module error.  Connector electrical error in first week.  Car returned.")</f>
        <v>Ordered SR+ 2/28, changed to MR 3/4.  Delayed delivery due to column module error.  Connector electrical error in first week.  Car returned.</v>
      </c>
      <c r="AH2076" s="157">
        <f>IFERROR(__xludf.DUMMYFUNCTION("""COMPUTED_VALUE"""),43549.5309983912)</f>
        <v>43549.531</v>
      </c>
      <c r="AI2076" s="138"/>
      <c r="AJ2076" s="138"/>
      <c r="AK2076" s="138"/>
      <c r="AL2076" s="142"/>
    </row>
    <row r="2077" ht="20.25" customHeight="1">
      <c r="A2077" s="155" t="str">
        <f>IFERROR(__xludf.DUMMYFUNCTION("""COMPUTED_VALUE"""),"darrickc")</f>
        <v>darrickc</v>
      </c>
      <c r="B2077" s="149" t="str">
        <f>IFERROR(__xludf.DUMMYFUNCTION("""COMPUTED_VALUE"""),"Rochester")</f>
        <v>Rochester</v>
      </c>
      <c r="C2077" s="149" t="str">
        <f>IFERROR(__xludf.DUMMYFUNCTION("""COMPUTED_VALUE"""),"NY")</f>
        <v>NY</v>
      </c>
      <c r="D2077" s="149" t="str">
        <f>IFERROR(__xludf.DUMMYFUNCTION("""COMPUTED_VALUE"""),"USA")</f>
        <v>USA</v>
      </c>
      <c r="E2077" s="156">
        <f>IFERROR(__xludf.DUMMYFUNCTION("""COMPUTED_VALUE"""),43528.0)</f>
        <v>43528</v>
      </c>
      <c r="F2077" s="129">
        <f>IFERROR(__xludf.DUMMYFUNCTION("""COMPUTED_VALUE"""),43539.0)</f>
        <v>43539</v>
      </c>
      <c r="G2077" s="154"/>
      <c r="H2077" s="131">
        <f>IFERROR(__xludf.DUMMYFUNCTION("""COMPUTED_VALUE"""),297555.0)</f>
        <v>297555</v>
      </c>
      <c r="I2077" s="144"/>
      <c r="J2077" s="129">
        <f>IFERROR(__xludf.DUMMYFUNCTION("""COMPUTED_VALUE"""),43551.0)</f>
        <v>43551</v>
      </c>
      <c r="K2077" s="133">
        <f>IFERROR(__xludf.DUMMYFUNCTION("""COMPUTED_VALUE"""),11.0)</f>
        <v>11</v>
      </c>
      <c r="L2077" s="133">
        <f>IFERROR(__xludf.DUMMYFUNCTION("""COMPUTED_VALUE"""),12.0)</f>
        <v>12</v>
      </c>
      <c r="M2077" s="133">
        <f>IFERROR(__xludf.DUMMYFUNCTION("""COMPUTED_VALUE"""),23.0)</f>
        <v>23</v>
      </c>
      <c r="N2077" s="152" t="str">
        <f>IFERROR(__xludf.DUMMYFUNCTION("""COMPUTED_VALUE"""),"Model 3 SR+")</f>
        <v>Model 3 SR+</v>
      </c>
      <c r="O2077" s="152" t="str">
        <f>IFERROR(__xludf.DUMMYFUNCTION("""COMPUTED_VALUE"""),"Solid Black")</f>
        <v>Solid Black</v>
      </c>
      <c r="P2077" s="153" t="str">
        <f>IFERROR(__xludf.DUMMYFUNCTION("""COMPUTED_VALUE"""),"18 inch Aero")</f>
        <v>18 inch Aero</v>
      </c>
      <c r="Q2077" s="152" t="str">
        <f>IFERROR(__xludf.DUMMYFUNCTION("""COMPUTED_VALUE"""),"Black seats")</f>
        <v>Black seats</v>
      </c>
      <c r="R2077" s="149" t="str">
        <f>IFERROR(__xludf.DUMMYFUNCTION("""COMPUTED_VALUE"""),"Autopilot")</f>
        <v>Autopilot</v>
      </c>
      <c r="S2077" s="149"/>
      <c r="T2077" s="145"/>
      <c r="U2077" s="145"/>
      <c r="V2077" s="145"/>
      <c r="W2077" s="145"/>
      <c r="X2077" s="137" t="str">
        <f>IFERROR(__xludf.DUMMYFUNCTION("""COMPUTED_VALUE"""),"Excellent")</f>
        <v>Excellent</v>
      </c>
      <c r="Y2077" s="138" t="str">
        <f>IFERROR(__xludf.DUMMYFUNCTION("""COMPUTED_VALUE"""),"Excellent")</f>
        <v>Excellent</v>
      </c>
      <c r="Z2077" s="138" t="str">
        <f>IFERROR(__xludf.DUMMYFUNCTION("""COMPUTED_VALUE"""),"Excellent")</f>
        <v>Excellent</v>
      </c>
      <c r="AA2077" s="138" t="str">
        <f>IFERROR(__xludf.DUMMYFUNCTION("""COMPUTED_VALUE"""),"Excellent")</f>
        <v>Excellent</v>
      </c>
      <c r="AB2077" s="138" t="str">
        <f>IFERROR(__xludf.DUMMYFUNCTION("""COMPUTED_VALUE"""),"Excellent")</f>
        <v>Excellent</v>
      </c>
      <c r="AC2077" s="139">
        <f>IFERROR(__xludf.DUMMYFUNCTION("""COMPUTED_VALUE"""),1.0)</f>
        <v>1</v>
      </c>
      <c r="AD2077" s="139">
        <f>IFERROR(__xludf.DUMMYFUNCTION("""COMPUTED_VALUE"""),1.0)</f>
        <v>1</v>
      </c>
      <c r="AE2077" s="139"/>
      <c r="AF2077" s="140"/>
      <c r="AG2077" s="145" t="str">
        <f>IFERROR(__xludf.DUMMYFUNCTION("""COMPUTED_VALUE"""),"I got a Front left safety restraint system fault - Contact Tesla Service right after the driver left.")</f>
        <v>I got a Front left safety restraint system fault - Contact Tesla Service right after the driver left.</v>
      </c>
      <c r="AH2077" s="157">
        <f>IFERROR(__xludf.DUMMYFUNCTION("""COMPUTED_VALUE"""),43551.80390405093)</f>
        <v>43551.8039</v>
      </c>
      <c r="AI2077" s="138"/>
      <c r="AJ2077" s="138"/>
      <c r="AK2077" s="138"/>
      <c r="AL2077" s="142"/>
    </row>
    <row r="2078" ht="20.25" customHeight="1">
      <c r="A2078" s="155" t="str">
        <f>IFERROR(__xludf.DUMMYFUNCTION("""COMPUTED_VALUE"""),"dlinsley")</f>
        <v>dlinsley</v>
      </c>
      <c r="B2078" s="149" t="str">
        <f>IFERROR(__xludf.DUMMYFUNCTION("""COMPUTED_VALUE"""),"Seattle")</f>
        <v>Seattle</v>
      </c>
      <c r="C2078" s="149" t="str">
        <f>IFERROR(__xludf.DUMMYFUNCTION("""COMPUTED_VALUE"""),"WA")</f>
        <v>WA</v>
      </c>
      <c r="D2078" s="149" t="str">
        <f>IFERROR(__xludf.DUMMYFUNCTION("""COMPUTED_VALUE"""),"USA")</f>
        <v>USA</v>
      </c>
      <c r="E2078" s="156">
        <f>IFERROR(__xludf.DUMMYFUNCTION("""COMPUTED_VALUE"""),43528.0)</f>
        <v>43528</v>
      </c>
      <c r="F2078" s="129">
        <f>IFERROR(__xludf.DUMMYFUNCTION("""COMPUTED_VALUE"""),43543.0)</f>
        <v>43543</v>
      </c>
      <c r="G2078" s="154"/>
      <c r="H2078" s="131">
        <f>IFERROR(__xludf.DUMMYFUNCTION("""COMPUTED_VALUE"""),192655.0)</f>
        <v>192655</v>
      </c>
      <c r="I2078" s="144" t="str">
        <f>IFERROR(__xludf.DUMMYFUNCTION("""COMPUTED_VALUE"""),"01/19")</f>
        <v>01/19</v>
      </c>
      <c r="J2078" s="129">
        <f>IFERROR(__xludf.DUMMYFUNCTION("""COMPUTED_VALUE"""),43547.0)</f>
        <v>43547</v>
      </c>
      <c r="K2078" s="133">
        <f>IFERROR(__xludf.DUMMYFUNCTION("""COMPUTED_VALUE"""),15.0)</f>
        <v>15</v>
      </c>
      <c r="L2078" s="133">
        <f>IFERROR(__xludf.DUMMYFUNCTION("""COMPUTED_VALUE"""),4.0)</f>
        <v>4</v>
      </c>
      <c r="M2078" s="133">
        <f>IFERROR(__xludf.DUMMYFUNCTION("""COMPUTED_VALUE"""),19.0)</f>
        <v>19</v>
      </c>
      <c r="N2078" s="152" t="str">
        <f>IFERROR(__xludf.DUMMYFUNCTION("""COMPUTED_VALUE"""),"Model 3 LR AWD")</f>
        <v>Model 3 LR AWD</v>
      </c>
      <c r="O2078" s="152" t="str">
        <f>IFERROR(__xludf.DUMMYFUNCTION("""COMPUTED_VALUE"""),"Midnight Silver Metallic")</f>
        <v>Midnight Silver Metallic</v>
      </c>
      <c r="P2078" s="153" t="str">
        <f>IFERROR(__xludf.DUMMYFUNCTION("""COMPUTED_VALUE"""),"19 inch Sport")</f>
        <v>19 inch Sport</v>
      </c>
      <c r="Q2078" s="152" t="str">
        <f>IFERROR(__xludf.DUMMYFUNCTION("""COMPUTED_VALUE"""),"White seats")</f>
        <v>White seats</v>
      </c>
      <c r="R2078" s="149" t="str">
        <f>IFERROR(__xludf.DUMMYFUNCTION("""COMPUTED_VALUE"""),"Autopilot")</f>
        <v>Autopilot</v>
      </c>
      <c r="S2078" s="149"/>
      <c r="T2078" s="145"/>
      <c r="U2078" s="145"/>
      <c r="V2078" s="145"/>
      <c r="W2078" s="145"/>
      <c r="X2078" s="137" t="str">
        <f>IFERROR(__xludf.DUMMYFUNCTION("""COMPUTED_VALUE"""),"Excellent")</f>
        <v>Excellent</v>
      </c>
      <c r="Y2078" s="138" t="str">
        <f>IFERROR(__xludf.DUMMYFUNCTION("""COMPUTED_VALUE"""),"Excellent")</f>
        <v>Excellent</v>
      </c>
      <c r="Z2078" s="138" t="str">
        <f>IFERROR(__xludf.DUMMYFUNCTION("""COMPUTED_VALUE"""),"Excellent")</f>
        <v>Excellent</v>
      </c>
      <c r="AA2078" s="138" t="str">
        <f>IFERROR(__xludf.DUMMYFUNCTION("""COMPUTED_VALUE"""),"Very Good")</f>
        <v>Very Good</v>
      </c>
      <c r="AB2078" s="138" t="str">
        <f>IFERROR(__xludf.DUMMYFUNCTION("""COMPUTED_VALUE"""),"Excellent")</f>
        <v>Excellent</v>
      </c>
      <c r="AC2078" s="139"/>
      <c r="AD2078" s="139"/>
      <c r="AE2078" s="139"/>
      <c r="AF2078" s="140"/>
      <c r="AG2078" s="145" t="str">
        <f>IFERROR(__xludf.DUMMYFUNCTION("""COMPUTED_VALUE"""),"Originally ordered Multicoat Red on 3/4 but switched to inventory MSM on 3/19.")</f>
        <v>Originally ordered Multicoat Red on 3/4 but switched to inventory MSM on 3/19.</v>
      </c>
      <c r="AH2078" s="157">
        <f>IFERROR(__xludf.DUMMYFUNCTION("""COMPUTED_VALUE"""),43548.34714344907)</f>
        <v>43548.34714</v>
      </c>
      <c r="AI2078" s="138"/>
      <c r="AJ2078" s="138"/>
      <c r="AK2078" s="138"/>
      <c r="AL2078" s="142"/>
    </row>
    <row r="2079" ht="20.25" customHeight="1">
      <c r="A2079" s="155" t="str">
        <f>IFERROR(__xludf.DUMMYFUNCTION("""COMPUTED_VALUE"""),"mgmtsla")</f>
        <v>mgmtsla</v>
      </c>
      <c r="B2079" s="149" t="str">
        <f>IFERROR(__xludf.DUMMYFUNCTION("""COMPUTED_VALUE"""),"York")</f>
        <v>York</v>
      </c>
      <c r="C2079" s="149" t="str">
        <f>IFERROR(__xludf.DUMMYFUNCTION("""COMPUTED_VALUE"""),"PA")</f>
        <v>PA</v>
      </c>
      <c r="D2079" s="149" t="str">
        <f>IFERROR(__xludf.DUMMYFUNCTION("""COMPUTED_VALUE"""),"USA")</f>
        <v>USA</v>
      </c>
      <c r="E2079" s="156">
        <f>IFERROR(__xludf.DUMMYFUNCTION("""COMPUTED_VALUE"""),43528.0)</f>
        <v>43528</v>
      </c>
      <c r="F2079" s="129">
        <f>IFERROR(__xludf.DUMMYFUNCTION("""COMPUTED_VALUE"""),43551.0)</f>
        <v>43551</v>
      </c>
      <c r="G2079" s="154"/>
      <c r="H2079" s="131">
        <f>IFERROR(__xludf.DUMMYFUNCTION("""COMPUTED_VALUE"""),214105.0)</f>
        <v>214105</v>
      </c>
      <c r="I2079" s="144"/>
      <c r="J2079" s="129">
        <f>IFERROR(__xludf.DUMMYFUNCTION("""COMPUTED_VALUE"""),43552.0)</f>
        <v>43552</v>
      </c>
      <c r="K2079" s="133">
        <f>IFERROR(__xludf.DUMMYFUNCTION("""COMPUTED_VALUE"""),23.0)</f>
        <v>23</v>
      </c>
      <c r="L2079" s="133">
        <f>IFERROR(__xludf.DUMMYFUNCTION("""COMPUTED_VALUE"""),1.0)</f>
        <v>1</v>
      </c>
      <c r="M2079" s="133">
        <f>IFERROR(__xludf.DUMMYFUNCTION("""COMPUTED_VALUE"""),24.0)</f>
        <v>24</v>
      </c>
      <c r="N2079" s="152" t="str">
        <f>IFERROR(__xludf.DUMMYFUNCTION("""COMPUTED_VALUE"""),"Model 3 Performance")</f>
        <v>Model 3 Performance</v>
      </c>
      <c r="O2079" s="152" t="str">
        <f>IFERROR(__xludf.DUMMYFUNCTION("""COMPUTED_VALUE"""),"Pearl White Multi-Coat")</f>
        <v>Pearl White Multi-Coat</v>
      </c>
      <c r="P2079" s="153" t="str">
        <f>IFERROR(__xludf.DUMMYFUNCTION("""COMPUTED_VALUE"""),"20 inch Sport")</f>
        <v>20 inch Sport</v>
      </c>
      <c r="Q2079" s="152" t="str">
        <f>IFERROR(__xludf.DUMMYFUNCTION("""COMPUTED_VALUE"""),"White seats")</f>
        <v>White seats</v>
      </c>
      <c r="R2079" s="149" t="str">
        <f>IFERROR(__xludf.DUMMYFUNCTION("""COMPUTED_VALUE"""),"Full Self-Driving")</f>
        <v>Full Self-Driving</v>
      </c>
      <c r="S2079" s="149"/>
      <c r="T2079" s="145"/>
      <c r="U2079" s="145"/>
      <c r="V2079" s="145"/>
      <c r="W2079" s="145"/>
      <c r="X2079" s="137" t="str">
        <f>IFERROR(__xludf.DUMMYFUNCTION("""COMPUTED_VALUE"""),"Excellent")</f>
        <v>Excellent</v>
      </c>
      <c r="Y2079" s="138" t="str">
        <f>IFERROR(__xludf.DUMMYFUNCTION("""COMPUTED_VALUE"""),"Excellent")</f>
        <v>Excellent</v>
      </c>
      <c r="Z2079" s="138" t="str">
        <f>IFERROR(__xludf.DUMMYFUNCTION("""COMPUTED_VALUE"""),"Excellent")</f>
        <v>Excellent</v>
      </c>
      <c r="AA2079" s="138" t="str">
        <f>IFERROR(__xludf.DUMMYFUNCTION("""COMPUTED_VALUE"""),"Good")</f>
        <v>Good</v>
      </c>
      <c r="AB2079" s="138" t="str">
        <f>IFERROR(__xludf.DUMMYFUNCTION("""COMPUTED_VALUE"""),"Good")</f>
        <v>Good</v>
      </c>
      <c r="AC2079" s="139">
        <f>IFERROR(__xludf.DUMMYFUNCTION("""COMPUTED_VALUE"""),0.0)</f>
        <v>0</v>
      </c>
      <c r="AD2079" s="139">
        <f>IFERROR(__xludf.DUMMYFUNCTION("""COMPUTED_VALUE"""),0.0)</f>
        <v>0</v>
      </c>
      <c r="AE2079" s="139">
        <f>IFERROR(__xludf.DUMMYFUNCTION("""COMPUTED_VALUE"""),0.0)</f>
        <v>0</v>
      </c>
      <c r="AF2079" s="140"/>
      <c r="AG2079" s="145"/>
      <c r="AH2079" s="157">
        <f>IFERROR(__xludf.DUMMYFUNCTION("""COMPUTED_VALUE"""),43580.19588421297)</f>
        <v>43580.19588</v>
      </c>
      <c r="AI2079" s="138"/>
      <c r="AJ2079" s="138"/>
      <c r="AK2079" s="138"/>
      <c r="AL2079" s="142"/>
    </row>
    <row r="2080" ht="20.25" customHeight="1">
      <c r="A2080" s="155" t="str">
        <f>IFERROR(__xludf.DUMMYFUNCTION("""COMPUTED_VALUE"""),"mixdup")</f>
        <v>mixdup</v>
      </c>
      <c r="B2080" s="149" t="str">
        <f>IFERROR(__xludf.DUMMYFUNCTION("""COMPUTED_VALUE"""),"Atlanta")</f>
        <v>Atlanta</v>
      </c>
      <c r="C2080" s="149" t="str">
        <f>IFERROR(__xludf.DUMMYFUNCTION("""COMPUTED_VALUE"""),"GA")</f>
        <v>GA</v>
      </c>
      <c r="D2080" s="149" t="str">
        <f>IFERROR(__xludf.DUMMYFUNCTION("""COMPUTED_VALUE"""),"USA")</f>
        <v>USA</v>
      </c>
      <c r="E2080" s="156">
        <f>IFERROR(__xludf.DUMMYFUNCTION("""COMPUTED_VALUE"""),43528.0)</f>
        <v>43528</v>
      </c>
      <c r="F2080" s="129">
        <f>IFERROR(__xludf.DUMMYFUNCTION("""COMPUTED_VALUE"""),43542.0)</f>
        <v>43542</v>
      </c>
      <c r="G2080" s="154"/>
      <c r="H2080" s="131">
        <f>IFERROR(__xludf.DUMMYFUNCTION("""COMPUTED_VALUE"""),313511.0)</f>
        <v>313511</v>
      </c>
      <c r="I2080" s="144"/>
      <c r="J2080" s="129">
        <f>IFERROR(__xludf.DUMMYFUNCTION("""COMPUTED_VALUE"""),43549.0)</f>
        <v>43549</v>
      </c>
      <c r="K2080" s="133">
        <f>IFERROR(__xludf.DUMMYFUNCTION("""COMPUTED_VALUE"""),14.0)</f>
        <v>14</v>
      </c>
      <c r="L2080" s="133">
        <f>IFERROR(__xludf.DUMMYFUNCTION("""COMPUTED_VALUE"""),7.0)</f>
        <v>7</v>
      </c>
      <c r="M2080" s="133">
        <f>IFERROR(__xludf.DUMMYFUNCTION("""COMPUTED_VALUE"""),21.0)</f>
        <v>21</v>
      </c>
      <c r="N2080" s="152" t="str">
        <f>IFERROR(__xludf.DUMMYFUNCTION("""COMPUTED_VALUE"""),"Model 3 LR")</f>
        <v>Model 3 LR</v>
      </c>
      <c r="O2080" s="152" t="str">
        <f>IFERROR(__xludf.DUMMYFUNCTION("""COMPUTED_VALUE"""),"Midnight Silver Metallic")</f>
        <v>Midnight Silver Metallic</v>
      </c>
      <c r="P2080" s="153" t="str">
        <f>IFERROR(__xludf.DUMMYFUNCTION("""COMPUTED_VALUE"""),"18 inch Aero")</f>
        <v>18 inch Aero</v>
      </c>
      <c r="Q2080" s="152" t="str">
        <f>IFERROR(__xludf.DUMMYFUNCTION("""COMPUTED_VALUE"""),"Black seats")</f>
        <v>Black seats</v>
      </c>
      <c r="R2080" s="149" t="str">
        <f>IFERROR(__xludf.DUMMYFUNCTION("""COMPUTED_VALUE"""),"Autopilot")</f>
        <v>Autopilot</v>
      </c>
      <c r="S2080" s="149"/>
      <c r="T2080" s="145"/>
      <c r="U2080" s="145"/>
      <c r="V2080" s="145"/>
      <c r="W2080" s="145"/>
      <c r="X2080" s="137" t="str">
        <f>IFERROR(__xludf.DUMMYFUNCTION("""COMPUTED_VALUE"""),"Very Good")</f>
        <v>Very Good</v>
      </c>
      <c r="Y2080" s="138" t="str">
        <f>IFERROR(__xludf.DUMMYFUNCTION("""COMPUTED_VALUE"""),"Very Good")</f>
        <v>Very Good</v>
      </c>
      <c r="Z2080" s="138" t="str">
        <f>IFERROR(__xludf.DUMMYFUNCTION("""COMPUTED_VALUE"""),"Very Good")</f>
        <v>Very Good</v>
      </c>
      <c r="AA2080" s="138" t="str">
        <f>IFERROR(__xludf.DUMMYFUNCTION("""COMPUTED_VALUE"""),"Poor")</f>
        <v>Poor</v>
      </c>
      <c r="AB2080" s="138" t="str">
        <f>IFERROR(__xludf.DUMMYFUNCTION("""COMPUTED_VALUE"""),"Fair")</f>
        <v>Fair</v>
      </c>
      <c r="AC2080" s="139"/>
      <c r="AD2080" s="139"/>
      <c r="AE2080" s="139"/>
      <c r="AF2080" s="140"/>
      <c r="AG2080" s="145" t="str">
        <f>IFERROR(__xludf.DUMMYFUNCTION("""COMPUTED_VALUE"""),"Quoted delivery ""within two weeks"" at time of order, but scheduled delivery is actually 3 weeks out. Delivery was very slow, had to wait for 2.5 hours beyond appointment time")</f>
        <v>Quoted delivery "within two weeks" at time of order, but scheduled delivery is actually 3 weeks out. Delivery was very slow, had to wait for 2.5 hours beyond appointment time</v>
      </c>
      <c r="AH2080" s="157">
        <f>IFERROR(__xludf.DUMMYFUNCTION("""COMPUTED_VALUE"""),43549.84463428241)</f>
        <v>43549.84463</v>
      </c>
      <c r="AI2080" s="138"/>
      <c r="AJ2080" s="138"/>
      <c r="AK2080" s="138"/>
      <c r="AL2080" s="142"/>
    </row>
    <row r="2081" ht="20.25" customHeight="1">
      <c r="A2081" s="155" t="str">
        <f>IFERROR(__xludf.DUMMYFUNCTION("""COMPUTED_VALUE"""),"Dangaroo")</f>
        <v>Dangaroo</v>
      </c>
      <c r="B2081" s="149" t="str">
        <f>IFERROR(__xludf.DUMMYFUNCTION("""COMPUTED_VALUE"""),"San Jose")</f>
        <v>San Jose</v>
      </c>
      <c r="C2081" s="149" t="str">
        <f>IFERROR(__xludf.DUMMYFUNCTION("""COMPUTED_VALUE"""),"CA")</f>
        <v>CA</v>
      </c>
      <c r="D2081" s="149" t="str">
        <f>IFERROR(__xludf.DUMMYFUNCTION("""COMPUTED_VALUE"""),"USA")</f>
        <v>USA</v>
      </c>
      <c r="E2081" s="156">
        <f>IFERROR(__xludf.DUMMYFUNCTION("""COMPUTED_VALUE"""),43527.0)</f>
        <v>43527</v>
      </c>
      <c r="F2081" s="129">
        <f>IFERROR(__xludf.DUMMYFUNCTION("""COMPUTED_VALUE"""),43545.0)</f>
        <v>43545</v>
      </c>
      <c r="G2081" s="154"/>
      <c r="H2081" s="131">
        <f>IFERROR(__xludf.DUMMYFUNCTION("""COMPUTED_VALUE"""),302355.0)</f>
        <v>302355</v>
      </c>
      <c r="I2081" s="144"/>
      <c r="J2081" s="129">
        <f>IFERROR(__xludf.DUMMYFUNCTION("""COMPUTED_VALUE"""),43546.0)</f>
        <v>43546</v>
      </c>
      <c r="K2081" s="133">
        <f>IFERROR(__xludf.DUMMYFUNCTION("""COMPUTED_VALUE"""),18.0)</f>
        <v>18</v>
      </c>
      <c r="L2081" s="133">
        <f>IFERROR(__xludf.DUMMYFUNCTION("""COMPUTED_VALUE"""),1.0)</f>
        <v>1</v>
      </c>
      <c r="M2081" s="133">
        <f>IFERROR(__xludf.DUMMYFUNCTION("""COMPUTED_VALUE"""),19.0)</f>
        <v>19</v>
      </c>
      <c r="N2081" s="152" t="str">
        <f>IFERROR(__xludf.DUMMYFUNCTION("""COMPUTED_VALUE"""),"Model 3 SR+")</f>
        <v>Model 3 SR+</v>
      </c>
      <c r="O2081" s="152" t="str">
        <f>IFERROR(__xludf.DUMMYFUNCTION("""COMPUTED_VALUE"""),"Solid Black")</f>
        <v>Solid Black</v>
      </c>
      <c r="P2081" s="153" t="str">
        <f>IFERROR(__xludf.DUMMYFUNCTION("""COMPUTED_VALUE"""),"19 inch Sport")</f>
        <v>19 inch Sport</v>
      </c>
      <c r="Q2081" s="152" t="str">
        <f>IFERROR(__xludf.DUMMYFUNCTION("""COMPUTED_VALUE"""),"White seats")</f>
        <v>White seats</v>
      </c>
      <c r="R2081" s="149" t="str">
        <f>IFERROR(__xludf.DUMMYFUNCTION("""COMPUTED_VALUE"""),"None")</f>
        <v>None</v>
      </c>
      <c r="S2081" s="149"/>
      <c r="T2081" s="145"/>
      <c r="U2081" s="145"/>
      <c r="V2081" s="145"/>
      <c r="W2081" s="145"/>
      <c r="X2081" s="137" t="str">
        <f>IFERROR(__xludf.DUMMYFUNCTION("""COMPUTED_VALUE"""),"Very Good")</f>
        <v>Very Good</v>
      </c>
      <c r="Y2081" s="138" t="str">
        <f>IFERROR(__xludf.DUMMYFUNCTION("""COMPUTED_VALUE"""),"Excellent")</f>
        <v>Excellent</v>
      </c>
      <c r="Z2081" s="138" t="str">
        <f>IFERROR(__xludf.DUMMYFUNCTION("""COMPUTED_VALUE"""),"Excellent")</f>
        <v>Excellent</v>
      </c>
      <c r="AA2081" s="138" t="str">
        <f>IFERROR(__xludf.DUMMYFUNCTION("""COMPUTED_VALUE"""),"Poor")</f>
        <v>Poor</v>
      </c>
      <c r="AB2081" s="138" t="str">
        <f>IFERROR(__xludf.DUMMYFUNCTION("""COMPUTED_VALUE"""),"Excellent")</f>
        <v>Excellent</v>
      </c>
      <c r="AC2081" s="139"/>
      <c r="AD2081" s="139"/>
      <c r="AE2081" s="139"/>
      <c r="AF2081" s="140"/>
      <c r="AG2081" s="145"/>
      <c r="AH2081" s="157">
        <f>IFERROR(__xludf.DUMMYFUNCTION("""COMPUTED_VALUE"""),43547.44381506944)</f>
        <v>43547.44382</v>
      </c>
      <c r="AI2081" s="138"/>
      <c r="AJ2081" s="138"/>
      <c r="AK2081" s="138"/>
      <c r="AL2081" s="142"/>
    </row>
    <row r="2082" ht="20.25" customHeight="1">
      <c r="A2082" s="155" t="str">
        <f>IFERROR(__xludf.DUMMYFUNCTION("""COMPUTED_VALUE"""),"lukex4")</f>
        <v>lukex4</v>
      </c>
      <c r="B2082" s="149" t="str">
        <f>IFERROR(__xludf.DUMMYFUNCTION("""COMPUTED_VALUE"""),"Montreal")</f>
        <v>Montreal</v>
      </c>
      <c r="C2082" s="149" t="str">
        <f>IFERROR(__xludf.DUMMYFUNCTION("""COMPUTED_VALUE"""),"QC")</f>
        <v>QC</v>
      </c>
      <c r="D2082" s="149" t="str">
        <f>IFERROR(__xludf.DUMMYFUNCTION("""COMPUTED_VALUE"""),"Canada")</f>
        <v>Canada</v>
      </c>
      <c r="E2082" s="156">
        <f>IFERROR(__xludf.DUMMYFUNCTION("""COMPUTED_VALUE"""),43527.0)</f>
        <v>43527</v>
      </c>
      <c r="F2082" s="129">
        <f>IFERROR(__xludf.DUMMYFUNCTION("""COMPUTED_VALUE"""),43563.0)</f>
        <v>43563</v>
      </c>
      <c r="G2082" s="154"/>
      <c r="H2082" s="131">
        <f>IFERROR(__xludf.DUMMYFUNCTION("""COMPUTED_VALUE"""),322455.0)</f>
        <v>322455</v>
      </c>
      <c r="I2082" s="144"/>
      <c r="J2082" s="129">
        <f>IFERROR(__xludf.DUMMYFUNCTION("""COMPUTED_VALUE"""),43565.0)</f>
        <v>43565</v>
      </c>
      <c r="K2082" s="133">
        <f>IFERROR(__xludf.DUMMYFUNCTION("""COMPUTED_VALUE"""),36.0)</f>
        <v>36</v>
      </c>
      <c r="L2082" s="133">
        <f>IFERROR(__xludf.DUMMYFUNCTION("""COMPUTED_VALUE"""),2.0)</f>
        <v>2</v>
      </c>
      <c r="M2082" s="133">
        <f>IFERROR(__xludf.DUMMYFUNCTION("""COMPUTED_VALUE"""),38.0)</f>
        <v>38</v>
      </c>
      <c r="N2082" s="152" t="str">
        <f>IFERROR(__xludf.DUMMYFUNCTION("""COMPUTED_VALUE"""),"Model 3 LR")</f>
        <v>Model 3 LR</v>
      </c>
      <c r="O2082" s="152" t="str">
        <f>IFERROR(__xludf.DUMMYFUNCTION("""COMPUTED_VALUE"""),"Red Multi-Coat")</f>
        <v>Red Multi-Coat</v>
      </c>
      <c r="P2082" s="153" t="str">
        <f>IFERROR(__xludf.DUMMYFUNCTION("""COMPUTED_VALUE"""),"18 inch Aero")</f>
        <v>18 inch Aero</v>
      </c>
      <c r="Q2082" s="152" t="str">
        <f>IFERROR(__xludf.DUMMYFUNCTION("""COMPUTED_VALUE"""),"Black seats")</f>
        <v>Black seats</v>
      </c>
      <c r="R2082" s="149" t="str">
        <f>IFERROR(__xludf.DUMMYFUNCTION("""COMPUTED_VALUE"""),"Full Self-Driving")</f>
        <v>Full Self-Driving</v>
      </c>
      <c r="S2082" s="149"/>
      <c r="T2082" s="145"/>
      <c r="U2082" s="145"/>
      <c r="V2082" s="145"/>
      <c r="W2082" s="145"/>
      <c r="X2082" s="137" t="str">
        <f>IFERROR(__xludf.DUMMYFUNCTION("""COMPUTED_VALUE"""),"Very Good")</f>
        <v>Very Good</v>
      </c>
      <c r="Y2082" s="138" t="str">
        <f>IFERROR(__xludf.DUMMYFUNCTION("""COMPUTED_VALUE"""),"Very Good")</f>
        <v>Very Good</v>
      </c>
      <c r="Z2082" s="138" t="str">
        <f>IFERROR(__xludf.DUMMYFUNCTION("""COMPUTED_VALUE"""),"Very Good")</f>
        <v>Very Good</v>
      </c>
      <c r="AA2082" s="138" t="str">
        <f>IFERROR(__xludf.DUMMYFUNCTION("""COMPUTED_VALUE"""),"Fair")</f>
        <v>Fair</v>
      </c>
      <c r="AB2082" s="138" t="str">
        <f>IFERROR(__xludf.DUMMYFUNCTION("""COMPUTED_VALUE"""),"Good")</f>
        <v>Good</v>
      </c>
      <c r="AC2082" s="139">
        <f>IFERROR(__xludf.DUMMYFUNCTION("""COMPUTED_VALUE"""),0.0)</f>
        <v>0</v>
      </c>
      <c r="AD2082" s="139">
        <f>IFERROR(__xludf.DUMMYFUNCTION("""COMPUTED_VALUE"""),0.0)</f>
        <v>0</v>
      </c>
      <c r="AE2082" s="139">
        <f>IFERROR(__xludf.DUMMYFUNCTION("""COMPUTED_VALUE"""),0.0)</f>
        <v>0</v>
      </c>
      <c r="AF2082" s="140"/>
      <c r="AG2082" s="145"/>
      <c r="AH2082" s="157">
        <f>IFERROR(__xludf.DUMMYFUNCTION("""COMPUTED_VALUE"""),43580.29172313657)</f>
        <v>43580.29172</v>
      </c>
      <c r="AI2082" s="138"/>
      <c r="AJ2082" s="138"/>
      <c r="AK2082" s="138"/>
      <c r="AL2082" s="142"/>
    </row>
    <row r="2083" ht="20.25" customHeight="1">
      <c r="A2083" s="155" t="str">
        <f>IFERROR(__xludf.DUMMYFUNCTION("""COMPUTED_VALUE"""),"Otacon")</f>
        <v>Otacon</v>
      </c>
      <c r="B2083" s="149"/>
      <c r="C2083" s="149" t="str">
        <f>IFERROR(__xludf.DUMMYFUNCTION("""COMPUTED_VALUE"""),"MA")</f>
        <v>MA</v>
      </c>
      <c r="D2083" s="149" t="str">
        <f>IFERROR(__xludf.DUMMYFUNCTION("""COMPUTED_VALUE"""),"USA")</f>
        <v>USA</v>
      </c>
      <c r="E2083" s="156">
        <f>IFERROR(__xludf.DUMMYFUNCTION("""COMPUTED_VALUE"""),43527.0)</f>
        <v>43527</v>
      </c>
      <c r="F2083" s="129">
        <f>IFERROR(__xludf.DUMMYFUNCTION("""COMPUTED_VALUE"""),43535.0)</f>
        <v>43535</v>
      </c>
      <c r="G2083" s="154"/>
      <c r="H2083" s="131">
        <f>IFERROR(__xludf.DUMMYFUNCTION("""COMPUTED_VALUE"""),296455.0)</f>
        <v>296455</v>
      </c>
      <c r="I2083" s="144"/>
      <c r="J2083" s="129">
        <f>IFERROR(__xludf.DUMMYFUNCTION("""COMPUTED_VALUE"""),43548.0)</f>
        <v>43548</v>
      </c>
      <c r="K2083" s="133">
        <f>IFERROR(__xludf.DUMMYFUNCTION("""COMPUTED_VALUE"""),8.0)</f>
        <v>8</v>
      </c>
      <c r="L2083" s="133">
        <f>IFERROR(__xludf.DUMMYFUNCTION("""COMPUTED_VALUE"""),13.0)</f>
        <v>13</v>
      </c>
      <c r="M2083" s="133">
        <f>IFERROR(__xludf.DUMMYFUNCTION("""COMPUTED_VALUE"""),21.0)</f>
        <v>21</v>
      </c>
      <c r="N2083" s="152" t="str">
        <f>IFERROR(__xludf.DUMMYFUNCTION("""COMPUTED_VALUE"""),"Model 3 SR+")</f>
        <v>Model 3 SR+</v>
      </c>
      <c r="O2083" s="152" t="str">
        <f>IFERROR(__xludf.DUMMYFUNCTION("""COMPUTED_VALUE"""),"Solid Black")</f>
        <v>Solid Black</v>
      </c>
      <c r="P2083" s="153" t="str">
        <f>IFERROR(__xludf.DUMMYFUNCTION("""COMPUTED_VALUE"""),"18 inch Aero")</f>
        <v>18 inch Aero</v>
      </c>
      <c r="Q2083" s="152" t="str">
        <f>IFERROR(__xludf.DUMMYFUNCTION("""COMPUTED_VALUE"""),"Black seats")</f>
        <v>Black seats</v>
      </c>
      <c r="R2083" s="149" t="str">
        <f>IFERROR(__xludf.DUMMYFUNCTION("""COMPUTED_VALUE"""),"Autopilot")</f>
        <v>Autopilot</v>
      </c>
      <c r="S2083" s="149"/>
      <c r="T2083" s="145"/>
      <c r="U2083" s="145"/>
      <c r="V2083" s="145"/>
      <c r="W2083" s="145"/>
      <c r="X2083" s="137" t="str">
        <f>IFERROR(__xludf.DUMMYFUNCTION("""COMPUTED_VALUE"""),"Very Good")</f>
        <v>Very Good</v>
      </c>
      <c r="Y2083" s="138" t="str">
        <f>IFERROR(__xludf.DUMMYFUNCTION("""COMPUTED_VALUE"""),"Excellent")</f>
        <v>Excellent</v>
      </c>
      <c r="Z2083" s="138" t="str">
        <f>IFERROR(__xludf.DUMMYFUNCTION("""COMPUTED_VALUE"""),"Excellent")</f>
        <v>Excellent</v>
      </c>
      <c r="AA2083" s="138" t="str">
        <f>IFERROR(__xludf.DUMMYFUNCTION("""COMPUTED_VALUE"""),"Very Good")</f>
        <v>Very Good</v>
      </c>
      <c r="AB2083" s="138" t="str">
        <f>IFERROR(__xludf.DUMMYFUNCTION("""COMPUTED_VALUE"""),"Very Good")</f>
        <v>Very Good</v>
      </c>
      <c r="AC2083" s="139"/>
      <c r="AD2083" s="139"/>
      <c r="AE2083" s="139"/>
      <c r="AF2083" s="140"/>
      <c r="AG2083" s="145"/>
      <c r="AH2083" s="157">
        <f>IFERROR(__xludf.DUMMYFUNCTION("""COMPUTED_VALUE"""),43549.28071756944)</f>
        <v>43549.28072</v>
      </c>
      <c r="AI2083" s="138"/>
      <c r="AJ2083" s="138"/>
      <c r="AK2083" s="138"/>
      <c r="AL2083" s="142"/>
    </row>
    <row r="2084" ht="20.25" customHeight="1">
      <c r="A2084" s="155" t="str">
        <f>IFERROR(__xludf.DUMMYFUNCTION("""COMPUTED_VALUE"""),"van_smile")</f>
        <v>van_smile</v>
      </c>
      <c r="B2084" s="149" t="str">
        <f>IFERROR(__xludf.DUMMYFUNCTION("""COMPUTED_VALUE"""),"Vancouver")</f>
        <v>Vancouver</v>
      </c>
      <c r="C2084" s="149" t="str">
        <f>IFERROR(__xludf.DUMMYFUNCTION("""COMPUTED_VALUE"""),"BC")</f>
        <v>BC</v>
      </c>
      <c r="D2084" s="149" t="str">
        <f>IFERROR(__xludf.DUMMYFUNCTION("""COMPUTED_VALUE"""),"Canada")</f>
        <v>Canada</v>
      </c>
      <c r="E2084" s="156">
        <f>IFERROR(__xludf.DUMMYFUNCTION("""COMPUTED_VALUE"""),43527.0)</f>
        <v>43527</v>
      </c>
      <c r="F2084" s="129">
        <f>IFERROR(__xludf.DUMMYFUNCTION("""COMPUTED_VALUE"""),43614.0)</f>
        <v>43614</v>
      </c>
      <c r="G2084" s="154"/>
      <c r="H2084" s="131">
        <f>IFERROR(__xludf.DUMMYFUNCTION("""COMPUTED_VALUE"""),108055.0)</f>
        <v>108055</v>
      </c>
      <c r="I2084" s="144" t="str">
        <f>IFERROR(__xludf.DUMMYFUNCTION("""COMPUTED_VALUE"""),"05/19")</f>
        <v>05/19</v>
      </c>
      <c r="J2084" s="129">
        <f>IFERROR(__xludf.DUMMYFUNCTION("""COMPUTED_VALUE"""),43626.0)</f>
        <v>43626</v>
      </c>
      <c r="K2084" s="133">
        <f>IFERROR(__xludf.DUMMYFUNCTION("""COMPUTED_VALUE"""),87.0)</f>
        <v>87</v>
      </c>
      <c r="L2084" s="133">
        <f>IFERROR(__xludf.DUMMYFUNCTION("""COMPUTED_VALUE"""),12.0)</f>
        <v>12</v>
      </c>
      <c r="M2084" s="133">
        <f>IFERROR(__xludf.DUMMYFUNCTION("""COMPUTED_VALUE"""),99.0)</f>
        <v>99</v>
      </c>
      <c r="N2084" s="152" t="str">
        <f>IFERROR(__xludf.DUMMYFUNCTION("""COMPUTED_VALUE"""),"Model 3 LR AWD")</f>
        <v>Model 3 LR AWD</v>
      </c>
      <c r="O2084" s="152" t="str">
        <f>IFERROR(__xludf.DUMMYFUNCTION("""COMPUTED_VALUE"""),"Red Multi-Coat")</f>
        <v>Red Multi-Coat</v>
      </c>
      <c r="P2084" s="153" t="str">
        <f>IFERROR(__xludf.DUMMYFUNCTION("""COMPUTED_VALUE"""),"18 inch Aero")</f>
        <v>18 inch Aero</v>
      </c>
      <c r="Q2084" s="152" t="str">
        <f>IFERROR(__xludf.DUMMYFUNCTION("""COMPUTED_VALUE"""),"White seats")</f>
        <v>White seats</v>
      </c>
      <c r="R2084" s="149" t="str">
        <f>IFERROR(__xludf.DUMMYFUNCTION("""COMPUTED_VALUE"""),"Full Self-Driving")</f>
        <v>Full Self-Driving</v>
      </c>
      <c r="S2084" s="149"/>
      <c r="T2084" s="145"/>
      <c r="U2084" s="145"/>
      <c r="V2084" s="145"/>
      <c r="W2084" s="145"/>
      <c r="X2084" s="137" t="str">
        <f>IFERROR(__xludf.DUMMYFUNCTION("""COMPUTED_VALUE"""),"Excellent")</f>
        <v>Excellent</v>
      </c>
      <c r="Y2084" s="138" t="str">
        <f>IFERROR(__xludf.DUMMYFUNCTION("""COMPUTED_VALUE"""),"Excellent")</f>
        <v>Excellent</v>
      </c>
      <c r="Z2084" s="138" t="str">
        <f>IFERROR(__xludf.DUMMYFUNCTION("""COMPUTED_VALUE"""),"Excellent")</f>
        <v>Excellent</v>
      </c>
      <c r="AA2084" s="138" t="str">
        <f>IFERROR(__xludf.DUMMYFUNCTION("""COMPUTED_VALUE"""),"Poor")</f>
        <v>Poor</v>
      </c>
      <c r="AB2084" s="138" t="str">
        <f>IFERROR(__xludf.DUMMYFUNCTION("""COMPUTED_VALUE"""),"Fair")</f>
        <v>Fair</v>
      </c>
      <c r="AC2084" s="139">
        <f>IFERROR(__xludf.DUMMYFUNCTION("""COMPUTED_VALUE"""),0.0)</f>
        <v>0</v>
      </c>
      <c r="AD2084" s="139">
        <f>IFERROR(__xludf.DUMMYFUNCTION("""COMPUTED_VALUE"""),0.0)</f>
        <v>0</v>
      </c>
      <c r="AE2084" s="139">
        <f>IFERROR(__xludf.DUMMYFUNCTION("""COMPUTED_VALUE"""),0.0)</f>
        <v>0</v>
      </c>
      <c r="AF2084" s="140"/>
      <c r="AG2084" s="145"/>
      <c r="AH2084" s="157">
        <f>IFERROR(__xludf.DUMMYFUNCTION("""COMPUTED_VALUE"""),43680.97889753472)</f>
        <v>43680.9789</v>
      </c>
      <c r="AI2084" s="138"/>
      <c r="AJ2084" s="138"/>
      <c r="AK2084" s="138"/>
      <c r="AL2084" s="142"/>
    </row>
    <row r="2085" ht="20.25" customHeight="1">
      <c r="A2085" s="155" t="str">
        <f>IFERROR(__xludf.DUMMYFUNCTION("""COMPUTED_VALUE"""),"devlodha")</f>
        <v>devlodha</v>
      </c>
      <c r="B2085" s="149" t="str">
        <f>IFERROR(__xludf.DUMMYFUNCTION("""COMPUTED_VALUE"""),"Toronto")</f>
        <v>Toronto</v>
      </c>
      <c r="C2085" s="149" t="str">
        <f>IFERROR(__xludf.DUMMYFUNCTION("""COMPUTED_VALUE"""),"ON")</f>
        <v>ON</v>
      </c>
      <c r="D2085" s="149" t="str">
        <f>IFERROR(__xludf.DUMMYFUNCTION("""COMPUTED_VALUE"""),"Canada")</f>
        <v>Canada</v>
      </c>
      <c r="E2085" s="156">
        <f>IFERROR(__xludf.DUMMYFUNCTION("""COMPUTED_VALUE"""),43526.0)</f>
        <v>43526</v>
      </c>
      <c r="F2085" s="129">
        <f>IFERROR(__xludf.DUMMYFUNCTION("""COMPUTED_VALUE"""),43554.0)</f>
        <v>43554</v>
      </c>
      <c r="G2085" s="154"/>
      <c r="H2085" s="131">
        <f>IFERROR(__xludf.DUMMYFUNCTION("""COMPUTED_VALUE"""),322055.0)</f>
        <v>322055</v>
      </c>
      <c r="I2085" s="144" t="str">
        <f>IFERROR(__xludf.DUMMYFUNCTION("""COMPUTED_VALUE"""),"03/19")</f>
        <v>03/19</v>
      </c>
      <c r="J2085" s="129">
        <f>IFERROR(__xludf.DUMMYFUNCTION("""COMPUTED_VALUE"""),43556.0)</f>
        <v>43556</v>
      </c>
      <c r="K2085" s="133">
        <f>IFERROR(__xludf.DUMMYFUNCTION("""COMPUTED_VALUE"""),28.0)</f>
        <v>28</v>
      </c>
      <c r="L2085" s="133">
        <f>IFERROR(__xludf.DUMMYFUNCTION("""COMPUTED_VALUE"""),2.0)</f>
        <v>2</v>
      </c>
      <c r="M2085" s="133">
        <f>IFERROR(__xludf.DUMMYFUNCTION("""COMPUTED_VALUE"""),30.0)</f>
        <v>30</v>
      </c>
      <c r="N2085" s="152" t="str">
        <f>IFERROR(__xludf.DUMMYFUNCTION("""COMPUTED_VALUE"""),"Model 3 SR+")</f>
        <v>Model 3 SR+</v>
      </c>
      <c r="O2085" s="152" t="str">
        <f>IFERROR(__xludf.DUMMYFUNCTION("""COMPUTED_VALUE"""),"Red Multi-Coat")</f>
        <v>Red Multi-Coat</v>
      </c>
      <c r="P2085" s="153" t="str">
        <f>IFERROR(__xludf.DUMMYFUNCTION("""COMPUTED_VALUE"""),"19 inch Sport")</f>
        <v>19 inch Sport</v>
      </c>
      <c r="Q2085" s="152" t="str">
        <f>IFERROR(__xludf.DUMMYFUNCTION("""COMPUTED_VALUE"""),"Black seats")</f>
        <v>Black seats</v>
      </c>
      <c r="R2085" s="149" t="str">
        <f>IFERROR(__xludf.DUMMYFUNCTION("""COMPUTED_VALUE"""),"Full Self-Driving")</f>
        <v>Full Self-Driving</v>
      </c>
      <c r="S2085" s="149"/>
      <c r="T2085" s="145"/>
      <c r="U2085" s="145"/>
      <c r="V2085" s="145"/>
      <c r="W2085" s="145"/>
      <c r="X2085" s="137" t="str">
        <f>IFERROR(__xludf.DUMMYFUNCTION("""COMPUTED_VALUE"""),"Excellent")</f>
        <v>Excellent</v>
      </c>
      <c r="Y2085" s="138" t="str">
        <f>IFERROR(__xludf.DUMMYFUNCTION("""COMPUTED_VALUE"""),"Excellent")</f>
        <v>Excellent</v>
      </c>
      <c r="Z2085" s="138" t="str">
        <f>IFERROR(__xludf.DUMMYFUNCTION("""COMPUTED_VALUE"""),"Excellent")</f>
        <v>Excellent</v>
      </c>
      <c r="AA2085" s="138" t="str">
        <f>IFERROR(__xludf.DUMMYFUNCTION("""COMPUTED_VALUE"""),"Poor")</f>
        <v>Poor</v>
      </c>
      <c r="AB2085" s="138" t="str">
        <f>IFERROR(__xludf.DUMMYFUNCTION("""COMPUTED_VALUE"""),"Good")</f>
        <v>Good</v>
      </c>
      <c r="AC2085" s="139">
        <f>IFERROR(__xludf.DUMMYFUNCTION("""COMPUTED_VALUE"""),0.0)</f>
        <v>0</v>
      </c>
      <c r="AD2085" s="139">
        <f>IFERROR(__xludf.DUMMYFUNCTION("""COMPUTED_VALUE"""),0.0)</f>
        <v>0</v>
      </c>
      <c r="AE2085" s="139">
        <f>IFERROR(__xludf.DUMMYFUNCTION("""COMPUTED_VALUE"""),0.0)</f>
        <v>0</v>
      </c>
      <c r="AF2085" s="140"/>
      <c r="AG2085" s="145" t="str">
        <f>IFERROR(__xludf.DUMMYFUNCTION("""COMPUTED_VALUE"""),"Originally ordered SR+ on 2nd March and changed to MR on 5th March. Assigned VIN 161,113 on March 12th but rejected as it was 2018 VIN. Changed to SR+ again on March 30th as MR was discontinued. Was offered a Red color with 19"" wheels instead of my origi"&amp;"nal configuration of Blue and 18"" wheels. Agreed as they comped off the difference and will take delivery on April 1st. ")</f>
        <v>Originally ordered SR+ on 2nd March and changed to MR on 5th March. Assigned VIN 161,113 on March 12th but rejected as it was 2018 VIN. Changed to SR+ again on March 30th as MR was discontinued. Was offered a Red color with 19" wheels instead of my original configuration of Blue and 18" wheels. Agreed as they comped off the difference and will take delivery on April 1st. </v>
      </c>
      <c r="AH2085" s="157">
        <f>IFERROR(__xludf.DUMMYFUNCTION("""COMPUTED_VALUE"""),43563.41338724537)</f>
        <v>43563.41339</v>
      </c>
      <c r="AI2085" s="138"/>
      <c r="AJ2085" s="138"/>
      <c r="AK2085" s="138"/>
      <c r="AL2085" s="142"/>
    </row>
    <row r="2086" ht="20.25" customHeight="1">
      <c r="A2086" s="155" t="str">
        <f>IFERROR(__xludf.DUMMYFUNCTION("""COMPUTED_VALUE"""),"phlevcar")</f>
        <v>phlevcar</v>
      </c>
      <c r="B2086" s="149" t="str">
        <f>IFERROR(__xludf.DUMMYFUNCTION("""COMPUTED_VALUE"""),"Dallas")</f>
        <v>Dallas</v>
      </c>
      <c r="C2086" s="149" t="str">
        <f>IFERROR(__xludf.DUMMYFUNCTION("""COMPUTED_VALUE"""),"TX")</f>
        <v>TX</v>
      </c>
      <c r="D2086" s="149" t="str">
        <f>IFERROR(__xludf.DUMMYFUNCTION("""COMPUTED_VALUE"""),"USA")</f>
        <v>USA</v>
      </c>
      <c r="E2086" s="156">
        <f>IFERROR(__xludf.DUMMYFUNCTION("""COMPUTED_VALUE"""),43526.0)</f>
        <v>43526</v>
      </c>
      <c r="F2086" s="129">
        <f>IFERROR(__xludf.DUMMYFUNCTION("""COMPUTED_VALUE"""),43552.0)</f>
        <v>43552</v>
      </c>
      <c r="G2086" s="154"/>
      <c r="H2086" s="131">
        <f>IFERROR(__xludf.DUMMYFUNCTION("""COMPUTED_VALUE"""),231855.0)</f>
        <v>231855</v>
      </c>
      <c r="I2086" s="144"/>
      <c r="J2086" s="129">
        <f>IFERROR(__xludf.DUMMYFUNCTION("""COMPUTED_VALUE"""),43557.0)</f>
        <v>43557</v>
      </c>
      <c r="K2086" s="133">
        <f>IFERROR(__xludf.DUMMYFUNCTION("""COMPUTED_VALUE"""),26.0)</f>
        <v>26</v>
      </c>
      <c r="L2086" s="133">
        <f>IFERROR(__xludf.DUMMYFUNCTION("""COMPUTED_VALUE"""),5.0)</f>
        <v>5</v>
      </c>
      <c r="M2086" s="133">
        <f>IFERROR(__xludf.DUMMYFUNCTION("""COMPUTED_VALUE"""),31.0)</f>
        <v>31</v>
      </c>
      <c r="N2086" s="152" t="str">
        <f>IFERROR(__xludf.DUMMYFUNCTION("""COMPUTED_VALUE"""),"Model 3 Performance")</f>
        <v>Model 3 Performance</v>
      </c>
      <c r="O2086" s="152" t="str">
        <f>IFERROR(__xludf.DUMMYFUNCTION("""COMPUTED_VALUE"""),"Pearl White Multi-Coat")</f>
        <v>Pearl White Multi-Coat</v>
      </c>
      <c r="P2086" s="153" t="str">
        <f>IFERROR(__xludf.DUMMYFUNCTION("""COMPUTED_VALUE"""),"20 inch Sport")</f>
        <v>20 inch Sport</v>
      </c>
      <c r="Q2086" s="152" t="str">
        <f>IFERROR(__xludf.DUMMYFUNCTION("""COMPUTED_VALUE"""),"White seats")</f>
        <v>White seats</v>
      </c>
      <c r="R2086" s="149" t="str">
        <f>IFERROR(__xludf.DUMMYFUNCTION("""COMPUTED_VALUE"""),"Full Self-Driving")</f>
        <v>Full Self-Driving</v>
      </c>
      <c r="S2086" s="149"/>
      <c r="T2086" s="145"/>
      <c r="U2086" s="145"/>
      <c r="V2086" s="145"/>
      <c r="W2086" s="145"/>
      <c r="X2086" s="137" t="str">
        <f>IFERROR(__xludf.DUMMYFUNCTION("""COMPUTED_VALUE"""),"Excellent")</f>
        <v>Excellent</v>
      </c>
      <c r="Y2086" s="138" t="str">
        <f>IFERROR(__xludf.DUMMYFUNCTION("""COMPUTED_VALUE"""),"Excellent")</f>
        <v>Excellent</v>
      </c>
      <c r="Z2086" s="138" t="str">
        <f>IFERROR(__xludf.DUMMYFUNCTION("""COMPUTED_VALUE"""),"Excellent")</f>
        <v>Excellent</v>
      </c>
      <c r="AA2086" s="138" t="str">
        <f>IFERROR(__xludf.DUMMYFUNCTION("""COMPUTED_VALUE"""),"Fair")</f>
        <v>Fair</v>
      </c>
      <c r="AB2086" s="138" t="str">
        <f>IFERROR(__xludf.DUMMYFUNCTION("""COMPUTED_VALUE"""),"Excellent")</f>
        <v>Excellent</v>
      </c>
      <c r="AC2086" s="139">
        <f>IFERROR(__xludf.DUMMYFUNCTION("""COMPUTED_VALUE"""),0.0)</f>
        <v>0</v>
      </c>
      <c r="AD2086" s="139">
        <f>IFERROR(__xludf.DUMMYFUNCTION("""COMPUTED_VALUE"""),0.0)</f>
        <v>0</v>
      </c>
      <c r="AE2086" s="139">
        <f>IFERROR(__xludf.DUMMYFUNCTION("""COMPUTED_VALUE"""),0.0)</f>
        <v>0</v>
      </c>
      <c r="AF2086" s="140"/>
      <c r="AG2086" s="145"/>
      <c r="AH2086" s="157">
        <f>IFERROR(__xludf.DUMMYFUNCTION("""COMPUTED_VALUE"""),43582.88209413194)</f>
        <v>43582.88209</v>
      </c>
      <c r="AI2086" s="138"/>
      <c r="AJ2086" s="138"/>
      <c r="AK2086" s="138"/>
      <c r="AL2086" s="142"/>
    </row>
    <row r="2087" ht="20.25" customHeight="1">
      <c r="A2087" s="155" t="str">
        <f>IFERROR(__xludf.DUMMYFUNCTION("""COMPUTED_VALUE"""),"rbflyboy22")</f>
        <v>rbflyboy22</v>
      </c>
      <c r="B2087" s="149" t="str">
        <f>IFERROR(__xludf.DUMMYFUNCTION("""COMPUTED_VALUE"""),"Livonia")</f>
        <v>Livonia</v>
      </c>
      <c r="C2087" s="149" t="str">
        <f>IFERROR(__xludf.DUMMYFUNCTION("""COMPUTED_VALUE"""),"MI")</f>
        <v>MI</v>
      </c>
      <c r="D2087" s="149" t="str">
        <f>IFERROR(__xludf.DUMMYFUNCTION("""COMPUTED_VALUE"""),"USA")</f>
        <v>USA</v>
      </c>
      <c r="E2087" s="156">
        <f>IFERROR(__xludf.DUMMYFUNCTION("""COMPUTED_VALUE"""),43526.0)</f>
        <v>43526</v>
      </c>
      <c r="F2087" s="129">
        <f>IFERROR(__xludf.DUMMYFUNCTION("""COMPUTED_VALUE"""),43575.0)</f>
        <v>43575</v>
      </c>
      <c r="G2087" s="154"/>
      <c r="H2087" s="131">
        <f>IFERROR(__xludf.DUMMYFUNCTION("""COMPUTED_VALUE"""),195455.0)</f>
        <v>195455</v>
      </c>
      <c r="I2087" s="144" t="str">
        <f>IFERROR(__xludf.DUMMYFUNCTION("""COMPUTED_VALUE"""),"04/19")</f>
        <v>04/19</v>
      </c>
      <c r="J2087" s="129">
        <f>IFERROR(__xludf.DUMMYFUNCTION("""COMPUTED_VALUE"""),43575.0)</f>
        <v>43575</v>
      </c>
      <c r="K2087" s="133">
        <f>IFERROR(__xludf.DUMMYFUNCTION("""COMPUTED_VALUE"""),49.0)</f>
        <v>49</v>
      </c>
      <c r="L2087" s="133">
        <f>IFERROR(__xludf.DUMMYFUNCTION("""COMPUTED_VALUE"""),0.0)</f>
        <v>0</v>
      </c>
      <c r="M2087" s="133">
        <f>IFERROR(__xludf.DUMMYFUNCTION("""COMPUTED_VALUE"""),49.0)</f>
        <v>49</v>
      </c>
      <c r="N2087" s="152" t="str">
        <f>IFERROR(__xludf.DUMMYFUNCTION("""COMPUTED_VALUE"""),"Model 3 LR AWD")</f>
        <v>Model 3 LR AWD</v>
      </c>
      <c r="O2087" s="152" t="str">
        <f>IFERROR(__xludf.DUMMYFUNCTION("""COMPUTED_VALUE"""),"Deep Blue Metallic")</f>
        <v>Deep Blue Metallic</v>
      </c>
      <c r="P2087" s="153" t="str">
        <f>IFERROR(__xludf.DUMMYFUNCTION("""COMPUTED_VALUE"""),"19 inch Sport")</f>
        <v>19 inch Sport</v>
      </c>
      <c r="Q2087" s="152" t="str">
        <f>IFERROR(__xludf.DUMMYFUNCTION("""COMPUTED_VALUE"""),"White seats")</f>
        <v>White seats</v>
      </c>
      <c r="R2087" s="149" t="str">
        <f>IFERROR(__xludf.DUMMYFUNCTION("""COMPUTED_VALUE"""),"Full Self-Driving")</f>
        <v>Full Self-Driving</v>
      </c>
      <c r="S2087" s="149"/>
      <c r="T2087" s="145"/>
      <c r="U2087" s="145"/>
      <c r="V2087" s="145"/>
      <c r="W2087" s="145"/>
      <c r="X2087" s="137" t="str">
        <f>IFERROR(__xludf.DUMMYFUNCTION("""COMPUTED_VALUE"""),"Excellent")</f>
        <v>Excellent</v>
      </c>
      <c r="Y2087" s="138" t="str">
        <f>IFERROR(__xludf.DUMMYFUNCTION("""COMPUTED_VALUE"""),"Excellent")</f>
        <v>Excellent</v>
      </c>
      <c r="Z2087" s="138" t="str">
        <f>IFERROR(__xludf.DUMMYFUNCTION("""COMPUTED_VALUE"""),"Excellent")</f>
        <v>Excellent</v>
      </c>
      <c r="AA2087" s="138" t="str">
        <f>IFERROR(__xludf.DUMMYFUNCTION("""COMPUTED_VALUE"""),"Poor")</f>
        <v>Poor</v>
      </c>
      <c r="AB2087" s="138" t="str">
        <f>IFERROR(__xludf.DUMMYFUNCTION("""COMPUTED_VALUE"""),"Excellent")</f>
        <v>Excellent</v>
      </c>
      <c r="AC2087" s="139">
        <f>IFERROR(__xludf.DUMMYFUNCTION("""COMPUTED_VALUE"""),0.0)</f>
        <v>0</v>
      </c>
      <c r="AD2087" s="139">
        <f>IFERROR(__xludf.DUMMYFUNCTION("""COMPUTED_VALUE"""),0.0)</f>
        <v>0</v>
      </c>
      <c r="AE2087" s="139">
        <f>IFERROR(__xludf.DUMMYFUNCTION("""COMPUTED_VALUE"""),0.0)</f>
        <v>0</v>
      </c>
      <c r="AF2087" s="140"/>
      <c r="AG2087" s="145" t="str">
        <f>IFERROR(__xludf.DUMMYFUNCTION("""COMPUTED_VALUE"""),"over 6 weeks and still waiting for VIN.  Since the inventory was made available online I looked for red/wht everywhere and found nothing.  I took my 2nd choice-Blue/wht.")</f>
        <v>over 6 weeks and still waiting for VIN.  Since the inventory was made available online I looked for red/wht everywhere and found nothing.  I took my 2nd choice-Blue/wht.</v>
      </c>
      <c r="AH2087" s="157">
        <f>IFERROR(__xludf.DUMMYFUNCTION("""COMPUTED_VALUE"""),43580.51034547454)</f>
        <v>43580.51035</v>
      </c>
      <c r="AI2087" s="138"/>
      <c r="AJ2087" s="138"/>
      <c r="AK2087" s="138"/>
      <c r="AL2087" s="142"/>
    </row>
    <row r="2088" ht="20.25" customHeight="1">
      <c r="A2088" s="155" t="str">
        <f>IFERROR(__xludf.DUMMYFUNCTION("""COMPUTED_VALUE"""),"chehodgins")</f>
        <v>chehodgins</v>
      </c>
      <c r="B2088" s="149" t="str">
        <f>IFERROR(__xludf.DUMMYFUNCTION("""COMPUTED_VALUE"""),"Montreal")</f>
        <v>Montreal</v>
      </c>
      <c r="C2088" s="149" t="str">
        <f>IFERROR(__xludf.DUMMYFUNCTION("""COMPUTED_VALUE"""),"QC")</f>
        <v>QC</v>
      </c>
      <c r="D2088" s="149" t="str">
        <f>IFERROR(__xludf.DUMMYFUNCTION("""COMPUTED_VALUE"""),"Canada")</f>
        <v>Canada</v>
      </c>
      <c r="E2088" s="156">
        <f>IFERROR(__xludf.DUMMYFUNCTION("""COMPUTED_VALUE"""),43525.0)</f>
        <v>43525</v>
      </c>
      <c r="F2088" s="129">
        <f>IFERROR(__xludf.DUMMYFUNCTION("""COMPUTED_VALUE"""),43537.0)</f>
        <v>43537</v>
      </c>
      <c r="G2088" s="154"/>
      <c r="H2088" s="131">
        <f>IFERROR(__xludf.DUMMYFUNCTION("""COMPUTED_VALUE"""),321555.0)</f>
        <v>321555</v>
      </c>
      <c r="I2088" s="144" t="str">
        <f>IFERROR(__xludf.DUMMYFUNCTION("""COMPUTED_VALUE"""),"03/19")</f>
        <v>03/19</v>
      </c>
      <c r="J2088" s="129">
        <f>IFERROR(__xludf.DUMMYFUNCTION("""COMPUTED_VALUE"""),43544.0)</f>
        <v>43544</v>
      </c>
      <c r="K2088" s="133">
        <f>IFERROR(__xludf.DUMMYFUNCTION("""COMPUTED_VALUE"""),12.0)</f>
        <v>12</v>
      </c>
      <c r="L2088" s="133">
        <f>IFERROR(__xludf.DUMMYFUNCTION("""COMPUTED_VALUE"""),7.0)</f>
        <v>7</v>
      </c>
      <c r="M2088" s="133">
        <f>IFERROR(__xludf.DUMMYFUNCTION("""COMPUTED_VALUE"""),19.0)</f>
        <v>19</v>
      </c>
      <c r="N2088" s="152" t="str">
        <f>IFERROR(__xludf.DUMMYFUNCTION("""COMPUTED_VALUE"""),"Model 3 SR+")</f>
        <v>Model 3 SR+</v>
      </c>
      <c r="O2088" s="152" t="str">
        <f>IFERROR(__xludf.DUMMYFUNCTION("""COMPUTED_VALUE"""),"Solid Black")</f>
        <v>Solid Black</v>
      </c>
      <c r="P2088" s="153" t="str">
        <f>IFERROR(__xludf.DUMMYFUNCTION("""COMPUTED_VALUE"""),"18 inch Aero")</f>
        <v>18 inch Aero</v>
      </c>
      <c r="Q2088" s="152" t="str">
        <f>IFERROR(__xludf.DUMMYFUNCTION("""COMPUTED_VALUE"""),"Black seats")</f>
        <v>Black seats</v>
      </c>
      <c r="R2088" s="149" t="str">
        <f>IFERROR(__xludf.DUMMYFUNCTION("""COMPUTED_VALUE"""),"Autopilot")</f>
        <v>Autopilot</v>
      </c>
      <c r="S2088" s="149"/>
      <c r="T2088" s="145"/>
      <c r="U2088" s="145"/>
      <c r="V2088" s="145"/>
      <c r="W2088" s="145"/>
      <c r="X2088" s="137" t="str">
        <f>IFERROR(__xludf.DUMMYFUNCTION("""COMPUTED_VALUE"""),"Good")</f>
        <v>Good</v>
      </c>
      <c r="Y2088" s="138" t="str">
        <f>IFERROR(__xludf.DUMMYFUNCTION("""COMPUTED_VALUE"""),"Very Good")</f>
        <v>Very Good</v>
      </c>
      <c r="Z2088" s="138" t="str">
        <f>IFERROR(__xludf.DUMMYFUNCTION("""COMPUTED_VALUE"""),"Very Good")</f>
        <v>Very Good</v>
      </c>
      <c r="AA2088" s="138" t="str">
        <f>IFERROR(__xludf.DUMMYFUNCTION("""COMPUTED_VALUE"""),"Fair")</f>
        <v>Fair</v>
      </c>
      <c r="AB2088" s="138" t="str">
        <f>IFERROR(__xludf.DUMMYFUNCTION("""COMPUTED_VALUE"""),"Very Good")</f>
        <v>Very Good</v>
      </c>
      <c r="AC2088" s="139"/>
      <c r="AD2088" s="139"/>
      <c r="AE2088" s="139"/>
      <c r="AF2088" s="140"/>
      <c r="AG2088" s="145"/>
      <c r="AH2088" s="157">
        <f>IFERROR(__xludf.DUMMYFUNCTION("""COMPUTED_VALUE"""),43553.55997224537)</f>
        <v>43553.55997</v>
      </c>
      <c r="AI2088" s="138"/>
      <c r="AJ2088" s="138"/>
      <c r="AK2088" s="138"/>
      <c r="AL2088" s="142"/>
    </row>
    <row r="2089" ht="20.25" customHeight="1">
      <c r="A2089" s="155" t="str">
        <f>IFERROR(__xludf.DUMMYFUNCTION("""COMPUTED_VALUE"""),"Jmarkw")</f>
        <v>Jmarkw</v>
      </c>
      <c r="B2089" s="149" t="str">
        <f>IFERROR(__xludf.DUMMYFUNCTION("""COMPUTED_VALUE"""),"San Antonio")</f>
        <v>San Antonio</v>
      </c>
      <c r="C2089" s="149" t="str">
        <f>IFERROR(__xludf.DUMMYFUNCTION("""COMPUTED_VALUE"""),"TX")</f>
        <v>TX</v>
      </c>
      <c r="D2089" s="149" t="str">
        <f>IFERROR(__xludf.DUMMYFUNCTION("""COMPUTED_VALUE"""),"USA")</f>
        <v>USA</v>
      </c>
      <c r="E2089" s="156">
        <f>IFERROR(__xludf.DUMMYFUNCTION("""COMPUTED_VALUE"""),43525.0)</f>
        <v>43525</v>
      </c>
      <c r="F2089" s="129">
        <f>IFERROR(__xludf.DUMMYFUNCTION("""COMPUTED_VALUE"""),43549.0)</f>
        <v>43549</v>
      </c>
      <c r="G2089" s="154"/>
      <c r="H2089" s="131">
        <f>IFERROR(__xludf.DUMMYFUNCTION("""COMPUTED_VALUE"""),314399.0)</f>
        <v>314399</v>
      </c>
      <c r="I2089" s="144"/>
      <c r="J2089" s="129">
        <f>IFERROR(__xludf.DUMMYFUNCTION("""COMPUTED_VALUE"""),43555.0)</f>
        <v>43555</v>
      </c>
      <c r="K2089" s="133">
        <f>IFERROR(__xludf.DUMMYFUNCTION("""COMPUTED_VALUE"""),24.0)</f>
        <v>24</v>
      </c>
      <c r="L2089" s="133">
        <f>IFERROR(__xludf.DUMMYFUNCTION("""COMPUTED_VALUE"""),6.0)</f>
        <v>6</v>
      </c>
      <c r="M2089" s="133">
        <f>IFERROR(__xludf.DUMMYFUNCTION("""COMPUTED_VALUE"""),30.0)</f>
        <v>30</v>
      </c>
      <c r="N2089" s="152" t="str">
        <f>IFERROR(__xludf.DUMMYFUNCTION("""COMPUTED_VALUE"""),"Model 3 LR")</f>
        <v>Model 3 LR</v>
      </c>
      <c r="O2089" s="152" t="str">
        <f>IFERROR(__xludf.DUMMYFUNCTION("""COMPUTED_VALUE"""),"Midnight Silver Metallic")</f>
        <v>Midnight Silver Metallic</v>
      </c>
      <c r="P2089" s="153" t="str">
        <f>IFERROR(__xludf.DUMMYFUNCTION("""COMPUTED_VALUE"""),"19 inch Sport")</f>
        <v>19 inch Sport</v>
      </c>
      <c r="Q2089" s="152" t="str">
        <f>IFERROR(__xludf.DUMMYFUNCTION("""COMPUTED_VALUE"""),"Black seats")</f>
        <v>Black seats</v>
      </c>
      <c r="R2089" s="149" t="str">
        <f>IFERROR(__xludf.DUMMYFUNCTION("""COMPUTED_VALUE"""),"None")</f>
        <v>None</v>
      </c>
      <c r="S2089" s="149"/>
      <c r="T2089" s="145"/>
      <c r="U2089" s="145"/>
      <c r="V2089" s="145"/>
      <c r="W2089" s="145"/>
      <c r="X2089" s="137"/>
      <c r="Y2089" s="138"/>
      <c r="Z2089" s="138"/>
      <c r="AA2089" s="138" t="str">
        <f>IFERROR(__xludf.DUMMYFUNCTION("""COMPUTED_VALUE"""),"Poor")</f>
        <v>Poor</v>
      </c>
      <c r="AB2089" s="138"/>
      <c r="AC2089" s="139"/>
      <c r="AD2089" s="139"/>
      <c r="AE2089" s="139"/>
      <c r="AF2089" s="140"/>
      <c r="AG2089" s="145"/>
      <c r="AH2089" s="157">
        <f>IFERROR(__xludf.DUMMYFUNCTION("""COMPUTED_VALUE"""),43554.20735736112)</f>
        <v>43554.20736</v>
      </c>
      <c r="AI2089" s="138"/>
      <c r="AJ2089" s="138"/>
      <c r="AK2089" s="138"/>
      <c r="AL2089" s="142"/>
    </row>
    <row r="2090" ht="20.25" customHeight="1">
      <c r="A2090" s="155" t="str">
        <f>IFERROR(__xludf.DUMMYFUNCTION("""COMPUTED_VALUE"""),"Richard Vancouver")</f>
        <v>Richard Vancouver</v>
      </c>
      <c r="B2090" s="149" t="str">
        <f>IFERROR(__xludf.DUMMYFUNCTION("""COMPUTED_VALUE"""),"Vancouver")</f>
        <v>Vancouver</v>
      </c>
      <c r="C2090" s="149" t="str">
        <f>IFERROR(__xludf.DUMMYFUNCTION("""COMPUTED_VALUE"""),"BC")</f>
        <v>BC</v>
      </c>
      <c r="D2090" s="149" t="str">
        <f>IFERROR(__xludf.DUMMYFUNCTION("""COMPUTED_VALUE"""),"Canada")</f>
        <v>Canada</v>
      </c>
      <c r="E2090" s="156">
        <f>IFERROR(__xludf.DUMMYFUNCTION("""COMPUTED_VALUE"""),43525.0)</f>
        <v>43525</v>
      </c>
      <c r="F2090" s="129">
        <f>IFERROR(__xludf.DUMMYFUNCTION("""COMPUTED_VALUE"""),43549.0)</f>
        <v>43549</v>
      </c>
      <c r="G2090" s="154"/>
      <c r="H2090" s="131"/>
      <c r="I2090" s="144"/>
      <c r="J2090" s="129">
        <f>IFERROR(__xludf.DUMMYFUNCTION("""COMPUTED_VALUE"""),43553.0)</f>
        <v>43553</v>
      </c>
      <c r="K2090" s="133">
        <f>IFERROR(__xludf.DUMMYFUNCTION("""COMPUTED_VALUE"""),24.0)</f>
        <v>24</v>
      </c>
      <c r="L2090" s="133">
        <f>IFERROR(__xludf.DUMMYFUNCTION("""COMPUTED_VALUE"""),4.0)</f>
        <v>4</v>
      </c>
      <c r="M2090" s="133">
        <f>IFERROR(__xludf.DUMMYFUNCTION("""COMPUTED_VALUE"""),28.0)</f>
        <v>28</v>
      </c>
      <c r="N2090" s="152" t="str">
        <f>IFERROR(__xludf.DUMMYFUNCTION("""COMPUTED_VALUE"""),"Model 3 LR")</f>
        <v>Model 3 LR</v>
      </c>
      <c r="O2090" s="152" t="str">
        <f>IFERROR(__xludf.DUMMYFUNCTION("""COMPUTED_VALUE"""),"Solid Black")</f>
        <v>Solid Black</v>
      </c>
      <c r="P2090" s="153" t="str">
        <f>IFERROR(__xludf.DUMMYFUNCTION("""COMPUTED_VALUE"""),"18 inch Aero")</f>
        <v>18 inch Aero</v>
      </c>
      <c r="Q2090" s="152" t="str">
        <f>IFERROR(__xludf.DUMMYFUNCTION("""COMPUTED_VALUE"""),"Black seats")</f>
        <v>Black seats</v>
      </c>
      <c r="R2090" s="149" t="str">
        <f>IFERROR(__xludf.DUMMYFUNCTION("""COMPUTED_VALUE"""),"Full Self-Driving")</f>
        <v>Full Self-Driving</v>
      </c>
      <c r="S2090" s="149"/>
      <c r="T2090" s="145"/>
      <c r="U2090" s="145"/>
      <c r="V2090" s="145"/>
      <c r="W2090" s="145"/>
      <c r="X2090" s="137" t="str">
        <f>IFERROR(__xludf.DUMMYFUNCTION("""COMPUTED_VALUE"""),"Excellent")</f>
        <v>Excellent</v>
      </c>
      <c r="Y2090" s="138" t="str">
        <f>IFERROR(__xludf.DUMMYFUNCTION("""COMPUTED_VALUE"""),"Very Good")</f>
        <v>Very Good</v>
      </c>
      <c r="Z2090" s="138" t="str">
        <f>IFERROR(__xludf.DUMMYFUNCTION("""COMPUTED_VALUE"""),"Very Good")</f>
        <v>Very Good</v>
      </c>
      <c r="AA2090" s="138" t="str">
        <f>IFERROR(__xludf.DUMMYFUNCTION("""COMPUTED_VALUE"""),"Poor")</f>
        <v>Poor</v>
      </c>
      <c r="AB2090" s="138" t="str">
        <f>IFERROR(__xludf.DUMMYFUNCTION("""COMPUTED_VALUE"""),"Fair")</f>
        <v>Fair</v>
      </c>
      <c r="AC2090" s="139"/>
      <c r="AD2090" s="139"/>
      <c r="AE2090" s="139"/>
      <c r="AF2090" s="140"/>
      <c r="AG2090" s="145" t="str">
        <f>IFERROR(__xludf.DUMMYFUNCTION("""COMPUTED_VALUE"""),"Better than I expected paint and gaps where good. ")</f>
        <v>Better than I expected paint and gaps where good. </v>
      </c>
      <c r="AH2090" s="157">
        <f>IFERROR(__xludf.DUMMYFUNCTION("""COMPUTED_VALUE"""),43553.89922400463)</f>
        <v>43553.89922</v>
      </c>
      <c r="AI2090" s="138"/>
      <c r="AJ2090" s="138"/>
      <c r="AK2090" s="138"/>
      <c r="AL2090" s="142"/>
    </row>
    <row r="2091" ht="20.25" customHeight="1">
      <c r="A2091" s="155" t="str">
        <f>IFERROR(__xludf.DUMMYFUNCTION("""COMPUTED_VALUE"""),"BCspeed34")</f>
        <v>BCspeed34</v>
      </c>
      <c r="B2091" s="149" t="str">
        <f>IFERROR(__xludf.DUMMYFUNCTION("""COMPUTED_VALUE"""),"Scottsdale")</f>
        <v>Scottsdale</v>
      </c>
      <c r="C2091" s="149" t="str">
        <f>IFERROR(__xludf.DUMMYFUNCTION("""COMPUTED_VALUE"""),"AZ")</f>
        <v>AZ</v>
      </c>
      <c r="D2091" s="149" t="str">
        <f>IFERROR(__xludf.DUMMYFUNCTION("""COMPUTED_VALUE"""),"USA")</f>
        <v>USA</v>
      </c>
      <c r="E2091" s="156">
        <f>IFERROR(__xludf.DUMMYFUNCTION("""COMPUTED_VALUE"""),43524.0)</f>
        <v>43524</v>
      </c>
      <c r="F2091" s="129">
        <f>IFERROR(__xludf.DUMMYFUNCTION("""COMPUTED_VALUE"""),43538.0)</f>
        <v>43538</v>
      </c>
      <c r="G2091" s="154"/>
      <c r="H2091" s="131">
        <f>IFERROR(__xludf.DUMMYFUNCTION("""COMPUTED_VALUE"""),321906.0)</f>
        <v>321906</v>
      </c>
      <c r="I2091" s="144" t="str">
        <f>IFERROR(__xludf.DUMMYFUNCTION("""COMPUTED_VALUE"""),"03/19")</f>
        <v>03/19</v>
      </c>
      <c r="J2091" s="129">
        <f>IFERROR(__xludf.DUMMYFUNCTION("""COMPUTED_VALUE"""),43540.0)</f>
        <v>43540</v>
      </c>
      <c r="K2091" s="133">
        <f>IFERROR(__xludf.DUMMYFUNCTION("""COMPUTED_VALUE"""),14.0)</f>
        <v>14</v>
      </c>
      <c r="L2091" s="133">
        <f>IFERROR(__xludf.DUMMYFUNCTION("""COMPUTED_VALUE"""),2.0)</f>
        <v>2</v>
      </c>
      <c r="M2091" s="133">
        <f>IFERROR(__xludf.DUMMYFUNCTION("""COMPUTED_VALUE"""),16.0)</f>
        <v>16</v>
      </c>
      <c r="N2091" s="152" t="str">
        <f>IFERROR(__xludf.DUMMYFUNCTION("""COMPUTED_VALUE"""),"Model 3 SR+")</f>
        <v>Model 3 SR+</v>
      </c>
      <c r="O2091" s="152" t="str">
        <f>IFERROR(__xludf.DUMMYFUNCTION("""COMPUTED_VALUE"""),"Pearl White Multi-Coat")</f>
        <v>Pearl White Multi-Coat</v>
      </c>
      <c r="P2091" s="153" t="str">
        <f>IFERROR(__xludf.DUMMYFUNCTION("""COMPUTED_VALUE"""),"18 inch Aero")</f>
        <v>18 inch Aero</v>
      </c>
      <c r="Q2091" s="152" t="str">
        <f>IFERROR(__xludf.DUMMYFUNCTION("""COMPUTED_VALUE"""),"Black seats")</f>
        <v>Black seats</v>
      </c>
      <c r="R2091" s="149" t="str">
        <f>IFERROR(__xludf.DUMMYFUNCTION("""COMPUTED_VALUE"""),"None")</f>
        <v>None</v>
      </c>
      <c r="S2091" s="149"/>
      <c r="T2091" s="145"/>
      <c r="U2091" s="145"/>
      <c r="V2091" s="145"/>
      <c r="W2091" s="145"/>
      <c r="X2091" s="137" t="str">
        <f>IFERROR(__xludf.DUMMYFUNCTION("""COMPUTED_VALUE"""),"Fair")</f>
        <v>Fair</v>
      </c>
      <c r="Y2091" s="138" t="str">
        <f>IFERROR(__xludf.DUMMYFUNCTION("""COMPUTED_VALUE"""),"Very Good")</f>
        <v>Very Good</v>
      </c>
      <c r="Z2091" s="138" t="str">
        <f>IFERROR(__xludf.DUMMYFUNCTION("""COMPUTED_VALUE"""),"Very Good")</f>
        <v>Very Good</v>
      </c>
      <c r="AA2091" s="138" t="str">
        <f>IFERROR(__xludf.DUMMYFUNCTION("""COMPUTED_VALUE"""),"Good")</f>
        <v>Good</v>
      </c>
      <c r="AB2091" s="138" t="str">
        <f>IFERROR(__xludf.DUMMYFUNCTION("""COMPUTED_VALUE"""),"Very Good")</f>
        <v>Very Good</v>
      </c>
      <c r="AC2091" s="139"/>
      <c r="AD2091" s="139"/>
      <c r="AE2091" s="139"/>
      <c r="AF2091" s="140"/>
      <c r="AG2091" s="145"/>
      <c r="AH2091" s="157">
        <f>IFERROR(__xludf.DUMMYFUNCTION("""COMPUTED_VALUE"""),43545.697613784716)</f>
        <v>43545.69761</v>
      </c>
      <c r="AI2091" s="138"/>
      <c r="AJ2091" s="138"/>
      <c r="AK2091" s="138"/>
      <c r="AL2091" s="142"/>
    </row>
    <row r="2092" ht="20.25" customHeight="1">
      <c r="A2092" s="155" t="str">
        <f>IFERROR(__xludf.DUMMYFUNCTION("""COMPUTED_VALUE"""),"Bortron")</f>
        <v>Bortron</v>
      </c>
      <c r="B2092" s="149" t="str">
        <f>IFERROR(__xludf.DUMMYFUNCTION("""COMPUTED_VALUE"""),"Dallas")</f>
        <v>Dallas</v>
      </c>
      <c r="C2092" s="149" t="str">
        <f>IFERROR(__xludf.DUMMYFUNCTION("""COMPUTED_VALUE"""),"TX")</f>
        <v>TX</v>
      </c>
      <c r="D2092" s="149" t="str">
        <f>IFERROR(__xludf.DUMMYFUNCTION("""COMPUTED_VALUE"""),"USA")</f>
        <v>USA</v>
      </c>
      <c r="E2092" s="156">
        <f>IFERROR(__xludf.DUMMYFUNCTION("""COMPUTED_VALUE"""),43524.0)</f>
        <v>43524</v>
      </c>
      <c r="F2092" s="129">
        <f>IFERROR(__xludf.DUMMYFUNCTION("""COMPUTED_VALUE"""),43550.0)</f>
        <v>43550</v>
      </c>
      <c r="G2092" s="154"/>
      <c r="H2092" s="131">
        <f>IFERROR(__xludf.DUMMYFUNCTION("""COMPUTED_VALUE"""),324355.0)</f>
        <v>324355</v>
      </c>
      <c r="I2092" s="144" t="str">
        <f>IFERROR(__xludf.DUMMYFUNCTION("""COMPUTED_VALUE"""),"03/19")</f>
        <v>03/19</v>
      </c>
      <c r="J2092" s="129">
        <f>IFERROR(__xludf.DUMMYFUNCTION("""COMPUTED_VALUE"""),43567.0)</f>
        <v>43567</v>
      </c>
      <c r="K2092" s="133">
        <f>IFERROR(__xludf.DUMMYFUNCTION("""COMPUTED_VALUE"""),26.0)</f>
        <v>26</v>
      </c>
      <c r="L2092" s="133">
        <f>IFERROR(__xludf.DUMMYFUNCTION("""COMPUTED_VALUE"""),17.0)</f>
        <v>17</v>
      </c>
      <c r="M2092" s="133">
        <f>IFERROR(__xludf.DUMMYFUNCTION("""COMPUTED_VALUE"""),43.0)</f>
        <v>43</v>
      </c>
      <c r="N2092" s="152" t="str">
        <f>IFERROR(__xludf.DUMMYFUNCTION("""COMPUTED_VALUE"""),"Model 3 LR")</f>
        <v>Model 3 LR</v>
      </c>
      <c r="O2092" s="152" t="str">
        <f>IFERROR(__xludf.DUMMYFUNCTION("""COMPUTED_VALUE"""),"Solid Black")</f>
        <v>Solid Black</v>
      </c>
      <c r="P2092" s="153" t="str">
        <f>IFERROR(__xludf.DUMMYFUNCTION("""COMPUTED_VALUE"""),"19 inch Sport")</f>
        <v>19 inch Sport</v>
      </c>
      <c r="Q2092" s="152" t="str">
        <f>IFERROR(__xludf.DUMMYFUNCTION("""COMPUTED_VALUE"""),"Black seats")</f>
        <v>Black seats</v>
      </c>
      <c r="R2092" s="149" t="str">
        <f>IFERROR(__xludf.DUMMYFUNCTION("""COMPUTED_VALUE"""),"Autopilot")</f>
        <v>Autopilot</v>
      </c>
      <c r="S2092" s="149"/>
      <c r="T2092" s="145"/>
      <c r="U2092" s="145"/>
      <c r="V2092" s="145"/>
      <c r="W2092" s="145"/>
      <c r="X2092" s="137" t="str">
        <f>IFERROR(__xludf.DUMMYFUNCTION("""COMPUTED_VALUE"""),"Very Good")</f>
        <v>Very Good</v>
      </c>
      <c r="Y2092" s="138" t="str">
        <f>IFERROR(__xludf.DUMMYFUNCTION("""COMPUTED_VALUE"""),"Excellent")</f>
        <v>Excellent</v>
      </c>
      <c r="Z2092" s="138" t="str">
        <f>IFERROR(__xludf.DUMMYFUNCTION("""COMPUTED_VALUE"""),"Very Good")</f>
        <v>Very Good</v>
      </c>
      <c r="AA2092" s="138" t="str">
        <f>IFERROR(__xludf.DUMMYFUNCTION("""COMPUTED_VALUE"""),"Good")</f>
        <v>Good</v>
      </c>
      <c r="AB2092" s="138" t="str">
        <f>IFERROR(__xludf.DUMMYFUNCTION("""COMPUTED_VALUE"""),"Excellent")</f>
        <v>Excellent</v>
      </c>
      <c r="AC2092" s="139">
        <f>IFERROR(__xludf.DUMMYFUNCTION("""COMPUTED_VALUE"""),0.0)</f>
        <v>0</v>
      </c>
      <c r="AD2092" s="139">
        <f>IFERROR(__xludf.DUMMYFUNCTION("""COMPUTED_VALUE"""),0.0)</f>
        <v>0</v>
      </c>
      <c r="AE2092" s="139">
        <f>IFERROR(__xludf.DUMMYFUNCTION("""COMPUTED_VALUE"""),0.0)</f>
        <v>0</v>
      </c>
      <c r="AF2092" s="140"/>
      <c r="AG2092" s="145" t="str">
        <f>IFERROR(__xludf.DUMMYFUNCTION("""COMPUTED_VALUE"""),"Tesla changed my MR order to LR after selling out of the MR.")</f>
        <v>Tesla changed my MR order to LR after selling out of the MR.</v>
      </c>
      <c r="AH2092" s="157">
        <f>IFERROR(__xludf.DUMMYFUNCTION("""COMPUTED_VALUE"""),43630.85615598379)</f>
        <v>43630.85616</v>
      </c>
      <c r="AI2092" s="138"/>
      <c r="AJ2092" s="138"/>
      <c r="AK2092" s="138"/>
      <c r="AL2092" s="142"/>
    </row>
    <row r="2093" ht="20.25" customHeight="1">
      <c r="A2093" s="155" t="str">
        <f>IFERROR(__xludf.DUMMYFUNCTION("""COMPUTED_VALUE"""),"dmark")</f>
        <v>dmark</v>
      </c>
      <c r="B2093" s="149" t="str">
        <f>IFERROR(__xludf.DUMMYFUNCTION("""COMPUTED_VALUE"""),"Columbia")</f>
        <v>Columbia</v>
      </c>
      <c r="C2093" s="149" t="str">
        <f>IFERROR(__xludf.DUMMYFUNCTION("""COMPUTED_VALUE"""),"MD")</f>
        <v>MD</v>
      </c>
      <c r="D2093" s="149" t="str">
        <f>IFERROR(__xludf.DUMMYFUNCTION("""COMPUTED_VALUE"""),"USA")</f>
        <v>USA</v>
      </c>
      <c r="E2093" s="156">
        <f>IFERROR(__xludf.DUMMYFUNCTION("""COMPUTED_VALUE"""),43524.0)</f>
        <v>43524</v>
      </c>
      <c r="F2093" s="129">
        <f>IFERROR(__xludf.DUMMYFUNCTION("""COMPUTED_VALUE"""),43535.0)</f>
        <v>43535</v>
      </c>
      <c r="G2093" s="154"/>
      <c r="H2093" s="131">
        <f>IFERROR(__xludf.DUMMYFUNCTION("""COMPUTED_VALUE"""),296855.0)</f>
        <v>296855</v>
      </c>
      <c r="I2093" s="144" t="str">
        <f>IFERROR(__xludf.DUMMYFUNCTION("""COMPUTED_VALUE"""),"03/19")</f>
        <v>03/19</v>
      </c>
      <c r="J2093" s="129">
        <f>IFERROR(__xludf.DUMMYFUNCTION("""COMPUTED_VALUE"""),43540.0)</f>
        <v>43540</v>
      </c>
      <c r="K2093" s="133">
        <f>IFERROR(__xludf.DUMMYFUNCTION("""COMPUTED_VALUE"""),11.0)</f>
        <v>11</v>
      </c>
      <c r="L2093" s="133">
        <f>IFERROR(__xludf.DUMMYFUNCTION("""COMPUTED_VALUE"""),5.0)</f>
        <v>5</v>
      </c>
      <c r="M2093" s="133">
        <f>IFERROR(__xludf.DUMMYFUNCTION("""COMPUTED_VALUE"""),16.0)</f>
        <v>16</v>
      </c>
      <c r="N2093" s="152" t="str">
        <f>IFERROR(__xludf.DUMMYFUNCTION("""COMPUTED_VALUE"""),"Model 3 SR+")</f>
        <v>Model 3 SR+</v>
      </c>
      <c r="O2093" s="152" t="str">
        <f>IFERROR(__xludf.DUMMYFUNCTION("""COMPUTED_VALUE"""),"Solid Black")</f>
        <v>Solid Black</v>
      </c>
      <c r="P2093" s="153" t="str">
        <f>IFERROR(__xludf.DUMMYFUNCTION("""COMPUTED_VALUE"""),"18 inch Aero")</f>
        <v>18 inch Aero</v>
      </c>
      <c r="Q2093" s="152" t="str">
        <f>IFERROR(__xludf.DUMMYFUNCTION("""COMPUTED_VALUE"""),"Black seats")</f>
        <v>Black seats</v>
      </c>
      <c r="R2093" s="149" t="str">
        <f>IFERROR(__xludf.DUMMYFUNCTION("""COMPUTED_VALUE"""),"Full Self-Driving")</f>
        <v>Full Self-Driving</v>
      </c>
      <c r="S2093" s="149"/>
      <c r="T2093" s="145"/>
      <c r="U2093" s="145"/>
      <c r="V2093" s="145"/>
      <c r="W2093" s="145"/>
      <c r="X2093" s="137" t="str">
        <f>IFERROR(__xludf.DUMMYFUNCTION("""COMPUTED_VALUE"""),"Fair")</f>
        <v>Fair</v>
      </c>
      <c r="Y2093" s="138" t="str">
        <f>IFERROR(__xludf.DUMMYFUNCTION("""COMPUTED_VALUE"""),"Fair")</f>
        <v>Fair</v>
      </c>
      <c r="Z2093" s="138" t="str">
        <f>IFERROR(__xludf.DUMMYFUNCTION("""COMPUTED_VALUE"""),"Fair")</f>
        <v>Fair</v>
      </c>
      <c r="AA2093" s="138" t="str">
        <f>IFERROR(__xludf.DUMMYFUNCTION("""COMPUTED_VALUE"""),"Fair")</f>
        <v>Fair</v>
      </c>
      <c r="AB2093" s="138" t="str">
        <f>IFERROR(__xludf.DUMMYFUNCTION("""COMPUTED_VALUE"""),"Fair")</f>
        <v>Fair</v>
      </c>
      <c r="AC2093" s="139"/>
      <c r="AD2093" s="139"/>
      <c r="AE2093" s="139"/>
      <c r="AF2093" s="140"/>
      <c r="AG2093" s="145"/>
      <c r="AH2093" s="157">
        <f>IFERROR(__xludf.DUMMYFUNCTION("""COMPUTED_VALUE"""),43545.7491031713)</f>
        <v>43545.7491</v>
      </c>
      <c r="AI2093" s="138"/>
      <c r="AJ2093" s="138"/>
      <c r="AK2093" s="138"/>
      <c r="AL2093" s="142"/>
    </row>
    <row r="2094" ht="20.25" customHeight="1">
      <c r="A2094" s="155" t="str">
        <f>IFERROR(__xludf.DUMMYFUNCTION("""COMPUTED_VALUE"""),"Federico")</f>
        <v>Federico</v>
      </c>
      <c r="B2094" s="149" t="str">
        <f>IFERROR(__xludf.DUMMYFUNCTION("""COMPUTED_VALUE"""),"Miami")</f>
        <v>Miami</v>
      </c>
      <c r="C2094" s="149" t="str">
        <f>IFERROR(__xludf.DUMMYFUNCTION("""COMPUTED_VALUE"""),"FL")</f>
        <v>FL</v>
      </c>
      <c r="D2094" s="149" t="str">
        <f>IFERROR(__xludf.DUMMYFUNCTION("""COMPUTED_VALUE"""),"USA")</f>
        <v>USA</v>
      </c>
      <c r="E2094" s="156">
        <f>IFERROR(__xludf.DUMMYFUNCTION("""COMPUTED_VALUE"""),43524.0)</f>
        <v>43524</v>
      </c>
      <c r="F2094" s="129">
        <f>IFERROR(__xludf.DUMMYFUNCTION("""COMPUTED_VALUE"""),43559.0)</f>
        <v>43559</v>
      </c>
      <c r="G2094" s="154"/>
      <c r="H2094" s="131">
        <f>IFERROR(__xludf.DUMMYFUNCTION("""COMPUTED_VALUE"""),301255.0)</f>
        <v>301255</v>
      </c>
      <c r="I2094" s="144"/>
      <c r="J2094" s="129">
        <f>IFERROR(__xludf.DUMMYFUNCTION("""COMPUTED_VALUE"""),43559.0)</f>
        <v>43559</v>
      </c>
      <c r="K2094" s="133">
        <f>IFERROR(__xludf.DUMMYFUNCTION("""COMPUTED_VALUE"""),35.0)</f>
        <v>35</v>
      </c>
      <c r="L2094" s="133">
        <f>IFERROR(__xludf.DUMMYFUNCTION("""COMPUTED_VALUE"""),0.0)</f>
        <v>0</v>
      </c>
      <c r="M2094" s="133">
        <f>IFERROR(__xludf.DUMMYFUNCTION("""COMPUTED_VALUE"""),35.0)</f>
        <v>35</v>
      </c>
      <c r="N2094" s="152" t="str">
        <f>IFERROR(__xludf.DUMMYFUNCTION("""COMPUTED_VALUE"""),"Model 3 SR+")</f>
        <v>Model 3 SR+</v>
      </c>
      <c r="O2094" s="152" t="str">
        <f>IFERROR(__xludf.DUMMYFUNCTION("""COMPUTED_VALUE"""),"Deep Blue Metallic")</f>
        <v>Deep Blue Metallic</v>
      </c>
      <c r="P2094" s="153" t="str">
        <f>IFERROR(__xludf.DUMMYFUNCTION("""COMPUTED_VALUE"""),"19 inch Sport")</f>
        <v>19 inch Sport</v>
      </c>
      <c r="Q2094" s="152" t="str">
        <f>IFERROR(__xludf.DUMMYFUNCTION("""COMPUTED_VALUE"""),"Black seats")</f>
        <v>Black seats</v>
      </c>
      <c r="R2094" s="149" t="str">
        <f>IFERROR(__xludf.DUMMYFUNCTION("""COMPUTED_VALUE"""),"None")</f>
        <v>None</v>
      </c>
      <c r="S2094" s="149"/>
      <c r="T2094" s="145"/>
      <c r="U2094" s="145"/>
      <c r="V2094" s="145"/>
      <c r="W2094" s="145"/>
      <c r="X2094" s="137" t="str">
        <f>IFERROR(__xludf.DUMMYFUNCTION("""COMPUTED_VALUE"""),"Very Good")</f>
        <v>Very Good</v>
      </c>
      <c r="Y2094" s="138" t="str">
        <f>IFERROR(__xludf.DUMMYFUNCTION("""COMPUTED_VALUE"""),"Excellent")</f>
        <v>Excellent</v>
      </c>
      <c r="Z2094" s="138" t="str">
        <f>IFERROR(__xludf.DUMMYFUNCTION("""COMPUTED_VALUE"""),"Good")</f>
        <v>Good</v>
      </c>
      <c r="AA2094" s="138" t="str">
        <f>IFERROR(__xludf.DUMMYFUNCTION("""COMPUTED_VALUE"""),"Excellent")</f>
        <v>Excellent</v>
      </c>
      <c r="AB2094" s="138" t="str">
        <f>IFERROR(__xludf.DUMMYFUNCTION("""COMPUTED_VALUE"""),"Excellent")</f>
        <v>Excellent</v>
      </c>
      <c r="AC2094" s="139">
        <f>IFERROR(__xludf.DUMMYFUNCTION("""COMPUTED_VALUE"""),2.0)</f>
        <v>2</v>
      </c>
      <c r="AD2094" s="139">
        <f>IFERROR(__xludf.DUMMYFUNCTION("""COMPUTED_VALUE"""),2.0)</f>
        <v>2</v>
      </c>
      <c r="AE2094" s="139">
        <f>IFERROR(__xludf.DUMMYFUNCTION("""COMPUTED_VALUE"""),0.0)</f>
        <v>0</v>
      </c>
      <c r="AF2094" s="140"/>
      <c r="AG2094" s="145" t="str">
        <f>IFERROR(__xludf.DUMMYFUNCTION("""COMPUTED_VALUE"""),"Got VIN on 3/16/2019 with a delivery date 3/23/2019, I had to let it got because I couldn't pick it up before 3/31/2019, original VIN was 301,141. Got new VIN 4/4/2019 (301,2XX)")</f>
        <v>Got VIN on 3/16/2019 with a delivery date 3/23/2019, I had to let it got because I couldn't pick it up before 3/31/2019, original VIN was 301,141. Got new VIN 4/4/2019 (301,2XX)</v>
      </c>
      <c r="AH2094" s="157">
        <f>IFERROR(__xludf.DUMMYFUNCTION("""COMPUTED_VALUE"""),43561.84395621527)</f>
        <v>43561.84396</v>
      </c>
      <c r="AI2094" s="138"/>
      <c r="AJ2094" s="138"/>
      <c r="AK2094" s="138"/>
      <c r="AL2094" s="142"/>
    </row>
    <row r="2095" ht="20.25" customHeight="1">
      <c r="A2095" s="155" t="str">
        <f>IFERROR(__xludf.DUMMYFUNCTION("""COMPUTED_VALUE"""),"hm210")</f>
        <v>hm210</v>
      </c>
      <c r="B2095" s="149"/>
      <c r="C2095" s="149" t="str">
        <f>IFERROR(__xludf.DUMMYFUNCTION("""COMPUTED_VALUE"""),"NY")</f>
        <v>NY</v>
      </c>
      <c r="D2095" s="149" t="str">
        <f>IFERROR(__xludf.DUMMYFUNCTION("""COMPUTED_VALUE"""),"USA")</f>
        <v>USA</v>
      </c>
      <c r="E2095" s="156">
        <f>IFERROR(__xludf.DUMMYFUNCTION("""COMPUTED_VALUE"""),43524.0)</f>
        <v>43524</v>
      </c>
      <c r="F2095" s="129">
        <f>IFERROR(__xludf.DUMMYFUNCTION("""COMPUTED_VALUE"""),43538.0)</f>
        <v>43538</v>
      </c>
      <c r="G2095" s="154"/>
      <c r="H2095" s="131">
        <f>IFERROR(__xludf.DUMMYFUNCTION("""COMPUTED_VALUE"""),231355.0)</f>
        <v>231355</v>
      </c>
      <c r="I2095" s="144"/>
      <c r="J2095" s="129">
        <f>IFERROR(__xludf.DUMMYFUNCTION("""COMPUTED_VALUE"""),43543.0)</f>
        <v>43543</v>
      </c>
      <c r="K2095" s="133">
        <f>IFERROR(__xludf.DUMMYFUNCTION("""COMPUTED_VALUE"""),14.0)</f>
        <v>14</v>
      </c>
      <c r="L2095" s="133">
        <f>IFERROR(__xludf.DUMMYFUNCTION("""COMPUTED_VALUE"""),5.0)</f>
        <v>5</v>
      </c>
      <c r="M2095" s="133">
        <f>IFERROR(__xludf.DUMMYFUNCTION("""COMPUTED_VALUE"""),19.0)</f>
        <v>19</v>
      </c>
      <c r="N2095" s="152" t="str">
        <f>IFERROR(__xludf.DUMMYFUNCTION("""COMPUTED_VALUE"""),"Model 3 Performance")</f>
        <v>Model 3 Performance</v>
      </c>
      <c r="O2095" s="152" t="str">
        <f>IFERROR(__xludf.DUMMYFUNCTION("""COMPUTED_VALUE"""),"Red Multi-Coat")</f>
        <v>Red Multi-Coat</v>
      </c>
      <c r="P2095" s="153" t="str">
        <f>IFERROR(__xludf.DUMMYFUNCTION("""COMPUTED_VALUE"""),"20 inch Sport")</f>
        <v>20 inch Sport</v>
      </c>
      <c r="Q2095" s="152" t="str">
        <f>IFERROR(__xludf.DUMMYFUNCTION("""COMPUTED_VALUE"""),"Black seats")</f>
        <v>Black seats</v>
      </c>
      <c r="R2095" s="149" t="str">
        <f>IFERROR(__xludf.DUMMYFUNCTION("""COMPUTED_VALUE"""),"Full Self-Driving")</f>
        <v>Full Self-Driving</v>
      </c>
      <c r="S2095" s="149"/>
      <c r="T2095" s="145"/>
      <c r="U2095" s="145"/>
      <c r="V2095" s="145"/>
      <c r="W2095" s="145"/>
      <c r="X2095" s="137" t="str">
        <f>IFERROR(__xludf.DUMMYFUNCTION("""COMPUTED_VALUE"""),"Excellent")</f>
        <v>Excellent</v>
      </c>
      <c r="Y2095" s="138" t="str">
        <f>IFERROR(__xludf.DUMMYFUNCTION("""COMPUTED_VALUE"""),"Excellent")</f>
        <v>Excellent</v>
      </c>
      <c r="Z2095" s="138" t="str">
        <f>IFERROR(__xludf.DUMMYFUNCTION("""COMPUTED_VALUE"""),"Excellent")</f>
        <v>Excellent</v>
      </c>
      <c r="AA2095" s="138" t="str">
        <f>IFERROR(__xludf.DUMMYFUNCTION("""COMPUTED_VALUE"""),"Very Good")</f>
        <v>Very Good</v>
      </c>
      <c r="AB2095" s="138" t="str">
        <f>IFERROR(__xludf.DUMMYFUNCTION("""COMPUTED_VALUE"""),"Very Good")</f>
        <v>Very Good</v>
      </c>
      <c r="AC2095" s="139"/>
      <c r="AD2095" s="139"/>
      <c r="AE2095" s="139"/>
      <c r="AF2095" s="140"/>
      <c r="AG2095" s="145" t="str">
        <f>IFERROR(__xludf.DUMMYFUNCTION("""COMPUTED_VALUE"""),"Originally ordered with white interior, estimated delivery was still 4-6 weeks as of 3/12. changed to black interior")</f>
        <v>Originally ordered with white interior, estimated delivery was still 4-6 weeks as of 3/12. changed to black interior</v>
      </c>
      <c r="AH2095" s="157">
        <f>IFERROR(__xludf.DUMMYFUNCTION("""COMPUTED_VALUE"""),43543.7820210301)</f>
        <v>43543.78202</v>
      </c>
      <c r="AI2095" s="138"/>
      <c r="AJ2095" s="138"/>
      <c r="AK2095" s="138"/>
      <c r="AL2095" s="142"/>
    </row>
    <row r="2096" ht="20.25" customHeight="1">
      <c r="A2096" s="155" t="str">
        <f>IFERROR(__xludf.DUMMYFUNCTION("""COMPUTED_VALUE"""),"mightycount")</f>
        <v>mightycount</v>
      </c>
      <c r="B2096" s="149" t="str">
        <f>IFERROR(__xludf.DUMMYFUNCTION("""COMPUTED_VALUE"""),"San Jose")</f>
        <v>San Jose</v>
      </c>
      <c r="C2096" s="149" t="str">
        <f>IFERROR(__xludf.DUMMYFUNCTION("""COMPUTED_VALUE"""),"CA")</f>
        <v>CA</v>
      </c>
      <c r="D2096" s="149" t="str">
        <f>IFERROR(__xludf.DUMMYFUNCTION("""COMPUTED_VALUE"""),"USA")</f>
        <v>USA</v>
      </c>
      <c r="E2096" s="156">
        <f>IFERROR(__xludf.DUMMYFUNCTION("""COMPUTED_VALUE"""),43524.0)</f>
        <v>43524</v>
      </c>
      <c r="F2096" s="129">
        <f>IFERROR(__xludf.DUMMYFUNCTION("""COMPUTED_VALUE"""),43552.0)</f>
        <v>43552</v>
      </c>
      <c r="G2096" s="154"/>
      <c r="H2096" s="131">
        <f>IFERROR(__xludf.DUMMYFUNCTION("""COMPUTED_VALUE"""),307355.0)</f>
        <v>307355</v>
      </c>
      <c r="I2096" s="144"/>
      <c r="J2096" s="129">
        <f>IFERROR(__xludf.DUMMYFUNCTION("""COMPUTED_VALUE"""),43555.0)</f>
        <v>43555</v>
      </c>
      <c r="K2096" s="133">
        <f>IFERROR(__xludf.DUMMYFUNCTION("""COMPUTED_VALUE"""),28.0)</f>
        <v>28</v>
      </c>
      <c r="L2096" s="133">
        <f>IFERROR(__xludf.DUMMYFUNCTION("""COMPUTED_VALUE"""),3.0)</f>
        <v>3</v>
      </c>
      <c r="M2096" s="133">
        <f>IFERROR(__xludf.DUMMYFUNCTION("""COMPUTED_VALUE"""),31.0)</f>
        <v>31</v>
      </c>
      <c r="N2096" s="152" t="str">
        <f>IFERROR(__xludf.DUMMYFUNCTION("""COMPUTED_VALUE"""),"Model 3 SR+")</f>
        <v>Model 3 SR+</v>
      </c>
      <c r="O2096" s="152" t="str">
        <f>IFERROR(__xludf.DUMMYFUNCTION("""COMPUTED_VALUE"""),"Midnight Silver Metallic")</f>
        <v>Midnight Silver Metallic</v>
      </c>
      <c r="P2096" s="153" t="str">
        <f>IFERROR(__xludf.DUMMYFUNCTION("""COMPUTED_VALUE"""),"18 inch Aero")</f>
        <v>18 inch Aero</v>
      </c>
      <c r="Q2096" s="152" t="str">
        <f>IFERROR(__xludf.DUMMYFUNCTION("""COMPUTED_VALUE"""),"Black seats")</f>
        <v>Black seats</v>
      </c>
      <c r="R2096" s="149" t="str">
        <f>IFERROR(__xludf.DUMMYFUNCTION("""COMPUTED_VALUE"""),"None")</f>
        <v>None</v>
      </c>
      <c r="S2096" s="149"/>
      <c r="T2096" s="145"/>
      <c r="U2096" s="145"/>
      <c r="V2096" s="145"/>
      <c r="W2096" s="145"/>
      <c r="X2096" s="137" t="str">
        <f>IFERROR(__xludf.DUMMYFUNCTION("""COMPUTED_VALUE"""),"Excellent")</f>
        <v>Excellent</v>
      </c>
      <c r="Y2096" s="138" t="str">
        <f>IFERROR(__xludf.DUMMYFUNCTION("""COMPUTED_VALUE"""),"Excellent")</f>
        <v>Excellent</v>
      </c>
      <c r="Z2096" s="138" t="str">
        <f>IFERROR(__xludf.DUMMYFUNCTION("""COMPUTED_VALUE"""),"Excellent")</f>
        <v>Excellent</v>
      </c>
      <c r="AA2096" s="138" t="str">
        <f>IFERROR(__xludf.DUMMYFUNCTION("""COMPUTED_VALUE"""),"Excellent")</f>
        <v>Excellent</v>
      </c>
      <c r="AB2096" s="138" t="str">
        <f>IFERROR(__xludf.DUMMYFUNCTION("""COMPUTED_VALUE"""),"Excellent")</f>
        <v>Excellent</v>
      </c>
      <c r="AC2096" s="139"/>
      <c r="AD2096" s="139"/>
      <c r="AE2096" s="139"/>
      <c r="AF2096" s="140"/>
      <c r="AG2096" s="145" t="str">
        <f>IFERROR(__xludf.DUMMYFUNCTION("""COMPUTED_VALUE"""),"Got a call from Tesla saying SR won't be delivered until June at the earliest. Offered to changed to SR+, which I did.. The aftertaste is not good..")</f>
        <v>Got a call from Tesla saying SR won't be delivered until June at the earliest. Offered to changed to SR+, which I did.. The aftertaste is not good..</v>
      </c>
      <c r="AH2096" s="157">
        <f>IFERROR(__xludf.DUMMYFUNCTION("""COMPUTED_VALUE"""),43556.38571755787)</f>
        <v>43556.38572</v>
      </c>
      <c r="AI2096" s="138"/>
      <c r="AJ2096" s="138"/>
      <c r="AK2096" s="138"/>
      <c r="AL2096" s="142"/>
    </row>
    <row r="2097" ht="20.25" customHeight="1">
      <c r="A2097" s="155" t="str">
        <f>IFERROR(__xludf.DUMMYFUNCTION("""COMPUTED_VALUE"""),"mnm20")</f>
        <v>mnm20</v>
      </c>
      <c r="B2097" s="149" t="str">
        <f>IFERROR(__xludf.DUMMYFUNCTION("""COMPUTED_VALUE"""),"Chicagoland")</f>
        <v>Chicagoland</v>
      </c>
      <c r="C2097" s="149" t="str">
        <f>IFERROR(__xludf.DUMMYFUNCTION("""COMPUTED_VALUE"""),"IN")</f>
        <v>IN</v>
      </c>
      <c r="D2097" s="149" t="str">
        <f>IFERROR(__xludf.DUMMYFUNCTION("""COMPUTED_VALUE"""),"USA")</f>
        <v>USA</v>
      </c>
      <c r="E2097" s="156">
        <f>IFERROR(__xludf.DUMMYFUNCTION("""COMPUTED_VALUE"""),43524.0)</f>
        <v>43524</v>
      </c>
      <c r="F2097" s="129">
        <f>IFERROR(__xludf.DUMMYFUNCTION("""COMPUTED_VALUE"""),43535.0)</f>
        <v>43535</v>
      </c>
      <c r="G2097" s="154"/>
      <c r="H2097" s="131">
        <f>IFERROR(__xludf.DUMMYFUNCTION("""COMPUTED_VALUE"""),296755.0)</f>
        <v>296755</v>
      </c>
      <c r="I2097" s="144"/>
      <c r="J2097" s="129">
        <f>IFERROR(__xludf.DUMMYFUNCTION("""COMPUTED_VALUE"""),43540.0)</f>
        <v>43540</v>
      </c>
      <c r="K2097" s="133">
        <f>IFERROR(__xludf.DUMMYFUNCTION("""COMPUTED_VALUE"""),11.0)</f>
        <v>11</v>
      </c>
      <c r="L2097" s="133">
        <f>IFERROR(__xludf.DUMMYFUNCTION("""COMPUTED_VALUE"""),5.0)</f>
        <v>5</v>
      </c>
      <c r="M2097" s="133">
        <f>IFERROR(__xludf.DUMMYFUNCTION("""COMPUTED_VALUE"""),16.0)</f>
        <v>16</v>
      </c>
      <c r="N2097" s="152" t="str">
        <f>IFERROR(__xludf.DUMMYFUNCTION("""COMPUTED_VALUE"""),"Model 3 SR+")</f>
        <v>Model 3 SR+</v>
      </c>
      <c r="O2097" s="152" t="str">
        <f>IFERROR(__xludf.DUMMYFUNCTION("""COMPUTED_VALUE"""),"Solid Black")</f>
        <v>Solid Black</v>
      </c>
      <c r="P2097" s="153" t="str">
        <f>IFERROR(__xludf.DUMMYFUNCTION("""COMPUTED_VALUE"""),"18 inch Aero")</f>
        <v>18 inch Aero</v>
      </c>
      <c r="Q2097" s="152" t="str">
        <f>IFERROR(__xludf.DUMMYFUNCTION("""COMPUTED_VALUE"""),"Black seats")</f>
        <v>Black seats</v>
      </c>
      <c r="R2097" s="149" t="str">
        <f>IFERROR(__xludf.DUMMYFUNCTION("""COMPUTED_VALUE"""),"Enhanced Autopilot")</f>
        <v>Enhanced Autopilot</v>
      </c>
      <c r="S2097" s="149"/>
      <c r="T2097" s="145"/>
      <c r="U2097" s="145"/>
      <c r="V2097" s="145"/>
      <c r="W2097" s="145"/>
      <c r="X2097" s="137"/>
      <c r="Y2097" s="138"/>
      <c r="Z2097" s="138"/>
      <c r="AA2097" s="138"/>
      <c r="AB2097" s="138"/>
      <c r="AC2097" s="139">
        <f>IFERROR(__xludf.DUMMYFUNCTION("""COMPUTED_VALUE"""),1.0)</f>
        <v>1</v>
      </c>
      <c r="AD2097" s="139"/>
      <c r="AE2097" s="139"/>
      <c r="AF2097" s="140"/>
      <c r="AG2097" s="145"/>
      <c r="AH2097" s="157">
        <f>IFERROR(__xludf.DUMMYFUNCTION("""COMPUTED_VALUE"""),43541.63749591435)</f>
        <v>43541.6375</v>
      </c>
      <c r="AI2097" s="138"/>
      <c r="AJ2097" s="138"/>
      <c r="AK2097" s="138"/>
      <c r="AL2097" s="142"/>
    </row>
    <row r="2098" ht="20.25" customHeight="1">
      <c r="A2098" s="155" t="str">
        <f>IFERROR(__xludf.DUMMYFUNCTION("""COMPUTED_VALUE"""),"Rutrow 3")</f>
        <v>Rutrow 3</v>
      </c>
      <c r="B2098" s="149" t="str">
        <f>IFERROR(__xludf.DUMMYFUNCTION("""COMPUTED_VALUE"""),"Little Rock")</f>
        <v>Little Rock</v>
      </c>
      <c r="C2098" s="149" t="str">
        <f>IFERROR(__xludf.DUMMYFUNCTION("""COMPUTED_VALUE"""),"AR")</f>
        <v>AR</v>
      </c>
      <c r="D2098" s="149" t="str">
        <f>IFERROR(__xludf.DUMMYFUNCTION("""COMPUTED_VALUE"""),"USA")</f>
        <v>USA</v>
      </c>
      <c r="E2098" s="156">
        <f>IFERROR(__xludf.DUMMYFUNCTION("""COMPUTED_VALUE"""),43524.0)</f>
        <v>43524</v>
      </c>
      <c r="F2098" s="129">
        <f>IFERROR(__xludf.DUMMYFUNCTION("""COMPUTED_VALUE"""),43574.0)</f>
        <v>43574</v>
      </c>
      <c r="G2098" s="154"/>
      <c r="H2098" s="131">
        <f>IFERROR(__xludf.DUMMYFUNCTION("""COMPUTED_VALUE"""),306512.0)</f>
        <v>306512</v>
      </c>
      <c r="I2098" s="144" t="str">
        <f>IFERROR(__xludf.DUMMYFUNCTION("""COMPUTED_VALUE"""),"04/19")</f>
        <v>04/19</v>
      </c>
      <c r="J2098" s="129">
        <f>IFERROR(__xludf.DUMMYFUNCTION("""COMPUTED_VALUE"""),43581.0)</f>
        <v>43581</v>
      </c>
      <c r="K2098" s="133">
        <f>IFERROR(__xludf.DUMMYFUNCTION("""COMPUTED_VALUE"""),50.0)</f>
        <v>50</v>
      </c>
      <c r="L2098" s="133">
        <f>IFERROR(__xludf.DUMMYFUNCTION("""COMPUTED_VALUE"""),7.0)</f>
        <v>7</v>
      </c>
      <c r="M2098" s="133">
        <f>IFERROR(__xludf.DUMMYFUNCTION("""COMPUTED_VALUE"""),57.0)</f>
        <v>57</v>
      </c>
      <c r="N2098" s="152" t="str">
        <f>IFERROR(__xludf.DUMMYFUNCTION("""COMPUTED_VALUE"""),"Model 3 SR+")</f>
        <v>Model 3 SR+</v>
      </c>
      <c r="O2098" s="152" t="str">
        <f>IFERROR(__xludf.DUMMYFUNCTION("""COMPUTED_VALUE"""),"Solid Black")</f>
        <v>Solid Black</v>
      </c>
      <c r="P2098" s="153" t="str">
        <f>IFERROR(__xludf.DUMMYFUNCTION("""COMPUTED_VALUE"""),"18 inch Aero")</f>
        <v>18 inch Aero</v>
      </c>
      <c r="Q2098" s="152" t="str">
        <f>IFERROR(__xludf.DUMMYFUNCTION("""COMPUTED_VALUE"""),"Black seats")</f>
        <v>Black seats</v>
      </c>
      <c r="R2098" s="149" t="str">
        <f>IFERROR(__xludf.DUMMYFUNCTION("""COMPUTED_VALUE"""),"Autopilot")</f>
        <v>Autopilot</v>
      </c>
      <c r="S2098" s="149"/>
      <c r="T2098" s="145"/>
      <c r="U2098" s="145"/>
      <c r="V2098" s="145"/>
      <c r="W2098" s="145"/>
      <c r="X2098" s="137" t="str">
        <f>IFERROR(__xludf.DUMMYFUNCTION("""COMPUTED_VALUE"""),"Excellent")</f>
        <v>Excellent</v>
      </c>
      <c r="Y2098" s="138" t="str">
        <f>IFERROR(__xludf.DUMMYFUNCTION("""COMPUTED_VALUE"""),"Good")</f>
        <v>Good</v>
      </c>
      <c r="Z2098" s="138" t="str">
        <f>IFERROR(__xludf.DUMMYFUNCTION("""COMPUTED_VALUE"""),"Excellent")</f>
        <v>Excellent</v>
      </c>
      <c r="AA2098" s="138" t="str">
        <f>IFERROR(__xludf.DUMMYFUNCTION("""COMPUTED_VALUE"""),"Excellent")</f>
        <v>Excellent</v>
      </c>
      <c r="AB2098" s="138" t="str">
        <f>IFERROR(__xludf.DUMMYFUNCTION("""COMPUTED_VALUE"""),"Very Good")</f>
        <v>Very Good</v>
      </c>
      <c r="AC2098" s="139">
        <f>IFERROR(__xludf.DUMMYFUNCTION("""COMPUTED_VALUE"""),0.0)</f>
        <v>0</v>
      </c>
      <c r="AD2098" s="139">
        <f>IFERROR(__xludf.DUMMYFUNCTION("""COMPUTED_VALUE"""),0.0)</f>
        <v>0</v>
      </c>
      <c r="AE2098" s="139">
        <f>IFERROR(__xludf.DUMMYFUNCTION("""COMPUTED_VALUE"""),0.0)</f>
        <v>0</v>
      </c>
      <c r="AF2098" s="140"/>
      <c r="AG2098" s="145"/>
      <c r="AH2098" s="157">
        <f>IFERROR(__xludf.DUMMYFUNCTION("""COMPUTED_VALUE"""),43584.60014596064)</f>
        <v>43584.60015</v>
      </c>
      <c r="AI2098" s="138"/>
      <c r="AJ2098" s="138"/>
      <c r="AK2098" s="138"/>
      <c r="AL2098" s="142"/>
    </row>
    <row r="2099" ht="20.25" customHeight="1">
      <c r="A2099" s="155" t="str">
        <f>IFERROR(__xludf.DUMMYFUNCTION("""COMPUTED_VALUE"""),"thewait")</f>
        <v>thewait</v>
      </c>
      <c r="B2099" s="149" t="str">
        <f>IFERROR(__xludf.DUMMYFUNCTION("""COMPUTED_VALUE"""),"Orlando")</f>
        <v>Orlando</v>
      </c>
      <c r="C2099" s="149" t="str">
        <f>IFERROR(__xludf.DUMMYFUNCTION("""COMPUTED_VALUE"""),"FL")</f>
        <v>FL</v>
      </c>
      <c r="D2099" s="149" t="str">
        <f>IFERROR(__xludf.DUMMYFUNCTION("""COMPUTED_VALUE"""),"USA")</f>
        <v>USA</v>
      </c>
      <c r="E2099" s="156">
        <f>IFERROR(__xludf.DUMMYFUNCTION("""COMPUTED_VALUE"""),43524.0)</f>
        <v>43524</v>
      </c>
      <c r="F2099" s="129">
        <f>IFERROR(__xludf.DUMMYFUNCTION("""COMPUTED_VALUE"""),43569.0)</f>
        <v>43569</v>
      </c>
      <c r="G2099" s="154"/>
      <c r="H2099" s="131">
        <f>IFERROR(__xludf.DUMMYFUNCTION("""COMPUTED_VALUE"""),310755.0)</f>
        <v>310755</v>
      </c>
      <c r="I2099" s="144"/>
      <c r="J2099" s="129">
        <f>IFERROR(__xludf.DUMMYFUNCTION("""COMPUTED_VALUE"""),43582.0)</f>
        <v>43582</v>
      </c>
      <c r="K2099" s="133">
        <f>IFERROR(__xludf.DUMMYFUNCTION("""COMPUTED_VALUE"""),45.0)</f>
        <v>45</v>
      </c>
      <c r="L2099" s="133">
        <f>IFERROR(__xludf.DUMMYFUNCTION("""COMPUTED_VALUE"""),13.0)</f>
        <v>13</v>
      </c>
      <c r="M2099" s="133">
        <f>IFERROR(__xludf.DUMMYFUNCTION("""COMPUTED_VALUE"""),58.0)</f>
        <v>58</v>
      </c>
      <c r="N2099" s="152" t="str">
        <f>IFERROR(__xludf.DUMMYFUNCTION("""COMPUTED_VALUE"""),"Model 3 SR")</f>
        <v>Model 3 SR</v>
      </c>
      <c r="O2099" s="152" t="str">
        <f>IFERROR(__xludf.DUMMYFUNCTION("""COMPUTED_VALUE"""),"Solid Black")</f>
        <v>Solid Black</v>
      </c>
      <c r="P2099" s="153" t="str">
        <f>IFERROR(__xludf.DUMMYFUNCTION("""COMPUTED_VALUE"""),"19 inch Sport")</f>
        <v>19 inch Sport</v>
      </c>
      <c r="Q2099" s="152" t="str">
        <f>IFERROR(__xludf.DUMMYFUNCTION("""COMPUTED_VALUE"""),"Black seats")</f>
        <v>Black seats</v>
      </c>
      <c r="R2099" s="149" t="str">
        <f>IFERROR(__xludf.DUMMYFUNCTION("""COMPUTED_VALUE"""),"None")</f>
        <v>None</v>
      </c>
      <c r="S2099" s="149"/>
      <c r="T2099" s="145"/>
      <c r="U2099" s="145"/>
      <c r="V2099" s="145"/>
      <c r="W2099" s="145"/>
      <c r="X2099" s="137" t="str">
        <f>IFERROR(__xludf.DUMMYFUNCTION("""COMPUTED_VALUE"""),"Very Good")</f>
        <v>Very Good</v>
      </c>
      <c r="Y2099" s="138" t="str">
        <f>IFERROR(__xludf.DUMMYFUNCTION("""COMPUTED_VALUE"""),"Very Good")</f>
        <v>Very Good</v>
      </c>
      <c r="Z2099" s="138" t="str">
        <f>IFERROR(__xludf.DUMMYFUNCTION("""COMPUTED_VALUE"""),"Very Good")</f>
        <v>Very Good</v>
      </c>
      <c r="AA2099" s="138" t="str">
        <f>IFERROR(__xludf.DUMMYFUNCTION("""COMPUTED_VALUE"""),"Poor")</f>
        <v>Poor</v>
      </c>
      <c r="AB2099" s="138" t="str">
        <f>IFERROR(__xludf.DUMMYFUNCTION("""COMPUTED_VALUE"""),"Poor")</f>
        <v>Poor</v>
      </c>
      <c r="AC2099" s="139">
        <f>IFERROR(__xludf.DUMMYFUNCTION("""COMPUTED_VALUE"""),1.0)</f>
        <v>1</v>
      </c>
      <c r="AD2099" s="139">
        <f>IFERROR(__xludf.DUMMYFUNCTION("""COMPUTED_VALUE"""),0.0)</f>
        <v>0</v>
      </c>
      <c r="AE2099" s="139">
        <f>IFERROR(__xludf.DUMMYFUNCTION("""COMPUTED_VALUE"""),7.0)</f>
        <v>7</v>
      </c>
      <c r="AF2099" s="140"/>
      <c r="AG2099" s="145"/>
      <c r="AH2099" s="157">
        <f>IFERROR(__xludf.DUMMYFUNCTION("""COMPUTED_VALUE"""),43582.579165625)</f>
        <v>43582.57917</v>
      </c>
      <c r="AI2099" s="138"/>
      <c r="AJ2099" s="138"/>
      <c r="AK2099" s="138"/>
      <c r="AL2099" s="142"/>
    </row>
    <row r="2100" ht="20.25" customHeight="1">
      <c r="A2100" s="155" t="str">
        <f>IFERROR(__xludf.DUMMYFUNCTION("""COMPUTED_VALUE"""),"Tz00")</f>
        <v>Tz00</v>
      </c>
      <c r="B2100" s="149"/>
      <c r="C2100" s="149" t="str">
        <f>IFERROR(__xludf.DUMMYFUNCTION("""COMPUTED_VALUE"""),"NB")</f>
        <v>NB</v>
      </c>
      <c r="D2100" s="149" t="str">
        <f>IFERROR(__xludf.DUMMYFUNCTION("""COMPUTED_VALUE"""),"Canada")</f>
        <v>Canada</v>
      </c>
      <c r="E2100" s="156">
        <f>IFERROR(__xludf.DUMMYFUNCTION("""COMPUTED_VALUE"""),43524.0)</f>
        <v>43524</v>
      </c>
      <c r="F2100" s="129">
        <f>IFERROR(__xludf.DUMMYFUNCTION("""COMPUTED_VALUE"""),43546.0)</f>
        <v>43546</v>
      </c>
      <c r="G2100" s="154"/>
      <c r="H2100" s="131">
        <f>IFERROR(__xludf.DUMMYFUNCTION("""COMPUTED_VALUE"""),199355.0)</f>
        <v>199355</v>
      </c>
      <c r="I2100" s="144" t="str">
        <f>IFERROR(__xludf.DUMMYFUNCTION("""COMPUTED_VALUE"""),"01/19")</f>
        <v>01/19</v>
      </c>
      <c r="J2100" s="129">
        <f>IFERROR(__xludf.DUMMYFUNCTION("""COMPUTED_VALUE"""),43558.0)</f>
        <v>43558</v>
      </c>
      <c r="K2100" s="133">
        <f>IFERROR(__xludf.DUMMYFUNCTION("""COMPUTED_VALUE"""),22.0)</f>
        <v>22</v>
      </c>
      <c r="L2100" s="133">
        <f>IFERROR(__xludf.DUMMYFUNCTION("""COMPUTED_VALUE"""),12.0)</f>
        <v>12</v>
      </c>
      <c r="M2100" s="133">
        <f>IFERROR(__xludf.DUMMYFUNCTION("""COMPUTED_VALUE"""),34.0)</f>
        <v>34</v>
      </c>
      <c r="N2100" s="152" t="str">
        <f>IFERROR(__xludf.DUMMYFUNCTION("""COMPUTED_VALUE"""),"Model 3 LR AWD")</f>
        <v>Model 3 LR AWD</v>
      </c>
      <c r="O2100" s="152" t="str">
        <f>IFERROR(__xludf.DUMMYFUNCTION("""COMPUTED_VALUE"""),"Deep Blue Metallic")</f>
        <v>Deep Blue Metallic</v>
      </c>
      <c r="P2100" s="153" t="str">
        <f>IFERROR(__xludf.DUMMYFUNCTION("""COMPUTED_VALUE"""),"18 inch Aero")</f>
        <v>18 inch Aero</v>
      </c>
      <c r="Q2100" s="152" t="str">
        <f>IFERROR(__xludf.DUMMYFUNCTION("""COMPUTED_VALUE"""),"Black seats")</f>
        <v>Black seats</v>
      </c>
      <c r="R2100" s="149" t="str">
        <f>IFERROR(__xludf.DUMMYFUNCTION("""COMPUTED_VALUE"""),"Full Self-Driving")</f>
        <v>Full Self-Driving</v>
      </c>
      <c r="S2100" s="149"/>
      <c r="T2100" s="145"/>
      <c r="U2100" s="145"/>
      <c r="V2100" s="145"/>
      <c r="W2100" s="145"/>
      <c r="X2100" s="137" t="str">
        <f>IFERROR(__xludf.DUMMYFUNCTION("""COMPUTED_VALUE"""),"Excellent")</f>
        <v>Excellent</v>
      </c>
      <c r="Y2100" s="138" t="str">
        <f>IFERROR(__xludf.DUMMYFUNCTION("""COMPUTED_VALUE"""),"Excellent")</f>
        <v>Excellent</v>
      </c>
      <c r="Z2100" s="138" t="str">
        <f>IFERROR(__xludf.DUMMYFUNCTION("""COMPUTED_VALUE"""),"Excellent")</f>
        <v>Excellent</v>
      </c>
      <c r="AA2100" s="138" t="str">
        <f>IFERROR(__xludf.DUMMYFUNCTION("""COMPUTED_VALUE"""),"Fair")</f>
        <v>Fair</v>
      </c>
      <c r="AB2100" s="138" t="str">
        <f>IFERROR(__xludf.DUMMYFUNCTION("""COMPUTED_VALUE"""),"Excellent")</f>
        <v>Excellent</v>
      </c>
      <c r="AC2100" s="139">
        <f>IFERROR(__xludf.DUMMYFUNCTION("""COMPUTED_VALUE"""),0.0)</f>
        <v>0</v>
      </c>
      <c r="AD2100" s="139">
        <f>IFERROR(__xludf.DUMMYFUNCTION("""COMPUTED_VALUE"""),0.0)</f>
        <v>0</v>
      </c>
      <c r="AE2100" s="139">
        <f>IFERROR(__xludf.DUMMYFUNCTION("""COMPUTED_VALUE"""),0.0)</f>
        <v>0</v>
      </c>
      <c r="AF2100" s="140"/>
      <c r="AG2100" s="145" t="str">
        <f>IFERROR(__xludf.DUMMYFUNCTION("""COMPUTED_VALUE"""),"MVPA signed and payment wired Mar 25th. Mar 26th account shows delivery appointment Apr 6th in Quebec City, even though it is being delivered to NB. Call from driver Apr 2nd. Delivered Apr 3rd.")</f>
        <v>MVPA signed and payment wired Mar 25th. Mar 26th account shows delivery appointment Apr 6th in Quebec City, even though it is being delivered to NB. Call from driver Apr 2nd. Delivered Apr 3rd.</v>
      </c>
      <c r="AH2100" s="157">
        <f>IFERROR(__xludf.DUMMYFUNCTION("""COMPUTED_VALUE"""),43559.59252981482)</f>
        <v>43559.59253</v>
      </c>
      <c r="AI2100" s="138"/>
      <c r="AJ2100" s="138"/>
      <c r="AK2100" s="138"/>
      <c r="AL2100" s="142"/>
    </row>
    <row r="2101" ht="20.25" customHeight="1">
      <c r="A2101" s="155" t="str">
        <f>IFERROR(__xludf.DUMMYFUNCTION("""COMPUTED_VALUE"""),"ViperGTSR6")</f>
        <v>ViperGTSR6</v>
      </c>
      <c r="B2101" s="149" t="str">
        <f>IFERROR(__xludf.DUMMYFUNCTION("""COMPUTED_VALUE"""),"Chandler")</f>
        <v>Chandler</v>
      </c>
      <c r="C2101" s="149" t="str">
        <f>IFERROR(__xludf.DUMMYFUNCTION("""COMPUTED_VALUE"""),"AZ")</f>
        <v>AZ</v>
      </c>
      <c r="D2101" s="149" t="str">
        <f>IFERROR(__xludf.DUMMYFUNCTION("""COMPUTED_VALUE"""),"USA")</f>
        <v>USA</v>
      </c>
      <c r="E2101" s="156">
        <f>IFERROR(__xludf.DUMMYFUNCTION("""COMPUTED_VALUE"""),43524.0)</f>
        <v>43524</v>
      </c>
      <c r="F2101" s="129">
        <f>IFERROR(__xludf.DUMMYFUNCTION("""COMPUTED_VALUE"""),43536.0)</f>
        <v>43536</v>
      </c>
      <c r="G2101" s="154"/>
      <c r="H2101" s="131">
        <f>IFERROR(__xludf.DUMMYFUNCTION("""COMPUTED_VALUE"""),299255.0)</f>
        <v>299255</v>
      </c>
      <c r="I2101" s="144" t="str">
        <f>IFERROR(__xludf.DUMMYFUNCTION("""COMPUTED_VALUE"""),"03/19")</f>
        <v>03/19</v>
      </c>
      <c r="J2101" s="129">
        <f>IFERROR(__xludf.DUMMYFUNCTION("""COMPUTED_VALUE"""),43539.0)</f>
        <v>43539</v>
      </c>
      <c r="K2101" s="133">
        <f>IFERROR(__xludf.DUMMYFUNCTION("""COMPUTED_VALUE"""),12.0)</f>
        <v>12</v>
      </c>
      <c r="L2101" s="133">
        <f>IFERROR(__xludf.DUMMYFUNCTION("""COMPUTED_VALUE"""),3.0)</f>
        <v>3</v>
      </c>
      <c r="M2101" s="133">
        <f>IFERROR(__xludf.DUMMYFUNCTION("""COMPUTED_VALUE"""),15.0)</f>
        <v>15</v>
      </c>
      <c r="N2101" s="152" t="str">
        <f>IFERROR(__xludf.DUMMYFUNCTION("""COMPUTED_VALUE"""),"Model 3 SR+")</f>
        <v>Model 3 SR+</v>
      </c>
      <c r="O2101" s="152" t="str">
        <f>IFERROR(__xludf.DUMMYFUNCTION("""COMPUTED_VALUE"""),"Deep Blue Metallic")</f>
        <v>Deep Blue Metallic</v>
      </c>
      <c r="P2101" s="153" t="str">
        <f>IFERROR(__xludf.DUMMYFUNCTION("""COMPUTED_VALUE"""),"18 inch Aero")</f>
        <v>18 inch Aero</v>
      </c>
      <c r="Q2101" s="152" t="str">
        <f>IFERROR(__xludf.DUMMYFUNCTION("""COMPUTED_VALUE"""),"Black seats")</f>
        <v>Black seats</v>
      </c>
      <c r="R2101" s="149" t="str">
        <f>IFERROR(__xludf.DUMMYFUNCTION("""COMPUTED_VALUE"""),"None")</f>
        <v>None</v>
      </c>
      <c r="S2101" s="149"/>
      <c r="T2101" s="145"/>
      <c r="U2101" s="145"/>
      <c r="V2101" s="145"/>
      <c r="W2101" s="145"/>
      <c r="X2101" s="137" t="str">
        <f>IFERROR(__xludf.DUMMYFUNCTION("""COMPUTED_VALUE"""),"Excellent")</f>
        <v>Excellent</v>
      </c>
      <c r="Y2101" s="138" t="str">
        <f>IFERROR(__xludf.DUMMYFUNCTION("""COMPUTED_VALUE"""),"Excellent")</f>
        <v>Excellent</v>
      </c>
      <c r="Z2101" s="138" t="str">
        <f>IFERROR(__xludf.DUMMYFUNCTION("""COMPUTED_VALUE"""),"Very Good")</f>
        <v>Very Good</v>
      </c>
      <c r="AA2101" s="138" t="str">
        <f>IFERROR(__xludf.DUMMYFUNCTION("""COMPUTED_VALUE"""),"Excellent")</f>
        <v>Excellent</v>
      </c>
      <c r="AB2101" s="138" t="str">
        <f>IFERROR(__xludf.DUMMYFUNCTION("""COMPUTED_VALUE"""),"Excellent")</f>
        <v>Excellent</v>
      </c>
      <c r="AC2101" s="139"/>
      <c r="AD2101" s="139"/>
      <c r="AE2101" s="139"/>
      <c r="AF2101" s="140"/>
      <c r="AG2101" s="145"/>
      <c r="AH2101" s="157">
        <f>IFERROR(__xludf.DUMMYFUNCTION("""COMPUTED_VALUE"""),43539.903084606485)</f>
        <v>43539.90308</v>
      </c>
      <c r="AI2101" s="138"/>
      <c r="AJ2101" s="138"/>
      <c r="AK2101" s="138"/>
      <c r="AL2101" s="142"/>
    </row>
    <row r="2102" ht="20.25" customHeight="1">
      <c r="A2102" s="155" t="str">
        <f>IFERROR(__xludf.DUMMYFUNCTION("""COMPUTED_VALUE"""),"fajitamondays")</f>
        <v>fajitamondays</v>
      </c>
      <c r="B2102" s="149" t="str">
        <f>IFERROR(__xludf.DUMMYFUNCTION("""COMPUTED_VALUE"""),"Covington")</f>
        <v>Covington</v>
      </c>
      <c r="C2102" s="149" t="str">
        <f>IFERROR(__xludf.DUMMYFUNCTION("""COMPUTED_VALUE"""),"WA")</f>
        <v>WA</v>
      </c>
      <c r="D2102" s="149" t="str">
        <f>IFERROR(__xludf.DUMMYFUNCTION("""COMPUTED_VALUE"""),"USA")</f>
        <v>USA</v>
      </c>
      <c r="E2102" s="156">
        <f>IFERROR(__xludf.DUMMYFUNCTION("""COMPUTED_VALUE"""),43520.0)</f>
        <v>43520</v>
      </c>
      <c r="F2102" s="129">
        <f>IFERROR(__xludf.DUMMYFUNCTION("""COMPUTED_VALUE"""),43521.0)</f>
        <v>43521</v>
      </c>
      <c r="G2102" s="154"/>
      <c r="H2102" s="131">
        <f>IFERROR(__xludf.DUMMYFUNCTION("""COMPUTED_VALUE"""),186715.0)</f>
        <v>186715</v>
      </c>
      <c r="I2102" s="144" t="str">
        <f>IFERROR(__xludf.DUMMYFUNCTION("""COMPUTED_VALUE"""),"12/18")</f>
        <v>12/18</v>
      </c>
      <c r="J2102" s="129">
        <f>IFERROR(__xludf.DUMMYFUNCTION("""COMPUTED_VALUE"""),43523.0)</f>
        <v>43523</v>
      </c>
      <c r="K2102" s="133">
        <f>IFERROR(__xludf.DUMMYFUNCTION("""COMPUTED_VALUE"""),1.0)</f>
        <v>1</v>
      </c>
      <c r="L2102" s="133">
        <f>IFERROR(__xludf.DUMMYFUNCTION("""COMPUTED_VALUE"""),2.0)</f>
        <v>2</v>
      </c>
      <c r="M2102" s="133">
        <f>IFERROR(__xludf.DUMMYFUNCTION("""COMPUTED_VALUE"""),3.0)</f>
        <v>3</v>
      </c>
      <c r="N2102" s="152" t="str">
        <f>IFERROR(__xludf.DUMMYFUNCTION("""COMPUTED_VALUE"""),"Model 3 LR AWD")</f>
        <v>Model 3 LR AWD</v>
      </c>
      <c r="O2102" s="152" t="str">
        <f>IFERROR(__xludf.DUMMYFUNCTION("""COMPUTED_VALUE"""),"Solid Black")</f>
        <v>Solid Black</v>
      </c>
      <c r="P2102" s="153" t="str">
        <f>IFERROR(__xludf.DUMMYFUNCTION("""COMPUTED_VALUE"""),"19 inch Sport")</f>
        <v>19 inch Sport</v>
      </c>
      <c r="Q2102" s="152" t="str">
        <f>IFERROR(__xludf.DUMMYFUNCTION("""COMPUTED_VALUE"""),"Black seats")</f>
        <v>Black seats</v>
      </c>
      <c r="R2102" s="149" t="str">
        <f>IFERROR(__xludf.DUMMYFUNCTION("""COMPUTED_VALUE"""),"Enhanced Autopilot")</f>
        <v>Enhanced Autopilot</v>
      </c>
      <c r="S2102" s="149"/>
      <c r="T2102" s="145"/>
      <c r="U2102" s="145"/>
      <c r="V2102" s="145"/>
      <c r="W2102" s="145"/>
      <c r="X2102" s="137" t="str">
        <f>IFERROR(__xludf.DUMMYFUNCTION("""COMPUTED_VALUE"""),"Excellent")</f>
        <v>Excellent</v>
      </c>
      <c r="Y2102" s="138" t="str">
        <f>IFERROR(__xludf.DUMMYFUNCTION("""COMPUTED_VALUE"""),"Excellent")</f>
        <v>Excellent</v>
      </c>
      <c r="Z2102" s="138" t="str">
        <f>IFERROR(__xludf.DUMMYFUNCTION("""COMPUTED_VALUE"""),"Excellent")</f>
        <v>Excellent</v>
      </c>
      <c r="AA2102" s="138" t="str">
        <f>IFERROR(__xludf.DUMMYFUNCTION("""COMPUTED_VALUE"""),"Excellent")</f>
        <v>Excellent</v>
      </c>
      <c r="AB2102" s="138" t="str">
        <f>IFERROR(__xludf.DUMMYFUNCTION("""COMPUTED_VALUE"""),"Poor")</f>
        <v>Poor</v>
      </c>
      <c r="AC2102" s="139"/>
      <c r="AD2102" s="139"/>
      <c r="AE2102" s="139"/>
      <c r="AF2102" s="140"/>
      <c r="AG2102" s="145"/>
      <c r="AH2102" s="157">
        <f>IFERROR(__xludf.DUMMYFUNCTION("""COMPUTED_VALUE"""),43529.007118124995)</f>
        <v>43529.00712</v>
      </c>
      <c r="AI2102" s="138"/>
      <c r="AJ2102" s="138"/>
      <c r="AK2102" s="138"/>
      <c r="AL2102" s="142"/>
    </row>
    <row r="2103" ht="20.25" customHeight="1">
      <c r="A2103" s="155" t="str">
        <f>IFERROR(__xludf.DUMMYFUNCTION("""COMPUTED_VALUE"""),"Clockwork")</f>
        <v>Clockwork</v>
      </c>
      <c r="B2103" s="149" t="str">
        <f>IFERROR(__xludf.DUMMYFUNCTION("""COMPUTED_VALUE"""),"Vancouver")</f>
        <v>Vancouver</v>
      </c>
      <c r="C2103" s="149" t="str">
        <f>IFERROR(__xludf.DUMMYFUNCTION("""COMPUTED_VALUE"""),"BC")</f>
        <v>BC</v>
      </c>
      <c r="D2103" s="149" t="str">
        <f>IFERROR(__xludf.DUMMYFUNCTION("""COMPUTED_VALUE"""),"Canada")</f>
        <v>Canada</v>
      </c>
      <c r="E2103" s="156">
        <f>IFERROR(__xludf.DUMMYFUNCTION("""COMPUTED_VALUE"""),43518.0)</f>
        <v>43518</v>
      </c>
      <c r="F2103" s="129">
        <f>IFERROR(__xludf.DUMMYFUNCTION("""COMPUTED_VALUE"""),43593.0)</f>
        <v>43593</v>
      </c>
      <c r="G2103" s="154"/>
      <c r="H2103" s="131">
        <f>IFERROR(__xludf.DUMMYFUNCTION("""COMPUTED_VALUE"""),367755.0)</f>
        <v>367755</v>
      </c>
      <c r="I2103" s="144"/>
      <c r="J2103" s="129">
        <f>IFERROR(__xludf.DUMMYFUNCTION("""COMPUTED_VALUE"""),43601.0)</f>
        <v>43601</v>
      </c>
      <c r="K2103" s="133">
        <f>IFERROR(__xludf.DUMMYFUNCTION("""COMPUTED_VALUE"""),75.0)</f>
        <v>75</v>
      </c>
      <c r="L2103" s="133">
        <f>IFERROR(__xludf.DUMMYFUNCTION("""COMPUTED_VALUE"""),8.0)</f>
        <v>8</v>
      </c>
      <c r="M2103" s="133">
        <f>IFERROR(__xludf.DUMMYFUNCTION("""COMPUTED_VALUE"""),83.0)</f>
        <v>83</v>
      </c>
      <c r="N2103" s="152" t="str">
        <f>IFERROR(__xludf.DUMMYFUNCTION("""COMPUTED_VALUE"""),"Model 3 Performance")</f>
        <v>Model 3 Performance</v>
      </c>
      <c r="O2103" s="152" t="str">
        <f>IFERROR(__xludf.DUMMYFUNCTION("""COMPUTED_VALUE"""),"Red Multi-Coat")</f>
        <v>Red Multi-Coat</v>
      </c>
      <c r="P2103" s="153" t="str">
        <f>IFERROR(__xludf.DUMMYFUNCTION("""COMPUTED_VALUE"""),"20 inch Sport")</f>
        <v>20 inch Sport</v>
      </c>
      <c r="Q2103" s="152" t="str">
        <f>IFERROR(__xludf.DUMMYFUNCTION("""COMPUTED_VALUE"""),"White seats")</f>
        <v>White seats</v>
      </c>
      <c r="R2103" s="149" t="str">
        <f>IFERROR(__xludf.DUMMYFUNCTION("""COMPUTED_VALUE"""),"Full Self-Driving")</f>
        <v>Full Self-Driving</v>
      </c>
      <c r="S2103" s="149"/>
      <c r="T2103" s="145"/>
      <c r="U2103" s="145"/>
      <c r="V2103" s="145"/>
      <c r="W2103" s="145"/>
      <c r="X2103" s="137" t="str">
        <f>IFERROR(__xludf.DUMMYFUNCTION("""COMPUTED_VALUE"""),"Very Good")</f>
        <v>Very Good</v>
      </c>
      <c r="Y2103" s="138" t="str">
        <f>IFERROR(__xludf.DUMMYFUNCTION("""COMPUTED_VALUE"""),"Very Good")</f>
        <v>Very Good</v>
      </c>
      <c r="Z2103" s="138" t="str">
        <f>IFERROR(__xludf.DUMMYFUNCTION("""COMPUTED_VALUE"""),"Good")</f>
        <v>Good</v>
      </c>
      <c r="AA2103" s="138" t="str">
        <f>IFERROR(__xludf.DUMMYFUNCTION("""COMPUTED_VALUE"""),"Poor")</f>
        <v>Poor</v>
      </c>
      <c r="AB2103" s="138" t="str">
        <f>IFERROR(__xludf.DUMMYFUNCTION("""COMPUTED_VALUE"""),"Poor")</f>
        <v>Poor</v>
      </c>
      <c r="AC2103" s="139"/>
      <c r="AD2103" s="139"/>
      <c r="AE2103" s="139"/>
      <c r="AF2103" s="140"/>
      <c r="AG2103" s="145"/>
      <c r="AH2103" s="157">
        <f>IFERROR(__xludf.DUMMYFUNCTION("""COMPUTED_VALUE"""),43604.916611469904)</f>
        <v>43604.91661</v>
      </c>
      <c r="AI2103" s="138"/>
      <c r="AJ2103" s="138"/>
      <c r="AK2103" s="138"/>
      <c r="AL2103" s="142"/>
    </row>
    <row r="2104" ht="20.25" customHeight="1">
      <c r="A2104" s="155" t="str">
        <f>IFERROR(__xludf.DUMMYFUNCTION("""COMPUTED_VALUE"""),"blackawdturbo")</f>
        <v>blackawdturbo</v>
      </c>
      <c r="B2104" s="149"/>
      <c r="C2104" s="149" t="str">
        <f>IFERROR(__xludf.DUMMYFUNCTION("""COMPUTED_VALUE"""),"CT")</f>
        <v>CT</v>
      </c>
      <c r="D2104" s="149" t="str">
        <f>IFERROR(__xludf.DUMMYFUNCTION("""COMPUTED_VALUE"""),"USA")</f>
        <v>USA</v>
      </c>
      <c r="E2104" s="156">
        <f>IFERROR(__xludf.DUMMYFUNCTION("""COMPUTED_VALUE"""),43516.0)</f>
        <v>43516</v>
      </c>
      <c r="F2104" s="129">
        <f>IFERROR(__xludf.DUMMYFUNCTION("""COMPUTED_VALUE"""),43538.0)</f>
        <v>43538</v>
      </c>
      <c r="G2104" s="154"/>
      <c r="H2104" s="131">
        <f>IFERROR(__xludf.DUMMYFUNCTION("""COMPUTED_VALUE"""),199472.0)</f>
        <v>199472</v>
      </c>
      <c r="I2104" s="144" t="str">
        <f>IFERROR(__xludf.DUMMYFUNCTION("""COMPUTED_VALUE"""),"01/19")</f>
        <v>01/19</v>
      </c>
      <c r="J2104" s="129">
        <f>IFERROR(__xludf.DUMMYFUNCTION("""COMPUTED_VALUE"""),43539.0)</f>
        <v>43539</v>
      </c>
      <c r="K2104" s="133">
        <f>IFERROR(__xludf.DUMMYFUNCTION("""COMPUTED_VALUE"""),22.0)</f>
        <v>22</v>
      </c>
      <c r="L2104" s="133">
        <f>IFERROR(__xludf.DUMMYFUNCTION("""COMPUTED_VALUE"""),1.0)</f>
        <v>1</v>
      </c>
      <c r="M2104" s="133">
        <f>IFERROR(__xludf.DUMMYFUNCTION("""COMPUTED_VALUE"""),23.0)</f>
        <v>23</v>
      </c>
      <c r="N2104" s="152" t="str">
        <f>IFERROR(__xludf.DUMMYFUNCTION("""COMPUTED_VALUE"""),"Model 3 LR AWD")</f>
        <v>Model 3 LR AWD</v>
      </c>
      <c r="O2104" s="152" t="str">
        <f>IFERROR(__xludf.DUMMYFUNCTION("""COMPUTED_VALUE"""),"Deep Blue Metallic")</f>
        <v>Deep Blue Metallic</v>
      </c>
      <c r="P2104" s="153" t="str">
        <f>IFERROR(__xludf.DUMMYFUNCTION("""COMPUTED_VALUE"""),"18 inch Aero")</f>
        <v>18 inch Aero</v>
      </c>
      <c r="Q2104" s="152" t="str">
        <f>IFERROR(__xludf.DUMMYFUNCTION("""COMPUTED_VALUE"""),"Black seats")</f>
        <v>Black seats</v>
      </c>
      <c r="R2104" s="149" t="str">
        <f>IFERROR(__xludf.DUMMYFUNCTION("""COMPUTED_VALUE"""),"Autopilot")</f>
        <v>Autopilot</v>
      </c>
      <c r="S2104" s="149"/>
      <c r="T2104" s="145"/>
      <c r="U2104" s="145"/>
      <c r="V2104" s="145"/>
      <c r="W2104" s="145"/>
      <c r="X2104" s="137" t="str">
        <f>IFERROR(__xludf.DUMMYFUNCTION("""COMPUTED_VALUE"""),"Very Good")</f>
        <v>Very Good</v>
      </c>
      <c r="Y2104" s="138" t="str">
        <f>IFERROR(__xludf.DUMMYFUNCTION("""COMPUTED_VALUE"""),"Very Good")</f>
        <v>Very Good</v>
      </c>
      <c r="Z2104" s="138" t="str">
        <f>IFERROR(__xludf.DUMMYFUNCTION("""COMPUTED_VALUE"""),"Very Good")</f>
        <v>Very Good</v>
      </c>
      <c r="AA2104" s="138" t="str">
        <f>IFERROR(__xludf.DUMMYFUNCTION("""COMPUTED_VALUE"""),"Excellent")</f>
        <v>Excellent</v>
      </c>
      <c r="AB2104" s="138" t="str">
        <f>IFERROR(__xludf.DUMMYFUNCTION("""COMPUTED_VALUE"""),"Very Good")</f>
        <v>Very Good</v>
      </c>
      <c r="AC2104" s="139">
        <f>IFERROR(__xludf.DUMMYFUNCTION("""COMPUTED_VALUE"""),0.0)</f>
        <v>0</v>
      </c>
      <c r="AD2104" s="139"/>
      <c r="AE2104" s="139"/>
      <c r="AF2104" s="140"/>
      <c r="AG2104" s="145"/>
      <c r="AH2104" s="157">
        <f>IFERROR(__xludf.DUMMYFUNCTION("""COMPUTED_VALUE"""),43583.83258893518)</f>
        <v>43583.83259</v>
      </c>
      <c r="AI2104" s="138"/>
      <c r="AJ2104" s="138"/>
      <c r="AK2104" s="138"/>
      <c r="AL2104" s="142"/>
    </row>
    <row r="2105" ht="20.25" customHeight="1">
      <c r="A2105" s="155" t="str">
        <f>IFERROR(__xludf.DUMMYFUNCTION("""COMPUTED_VALUE"""),"NoHubBub")</f>
        <v>NoHubBub</v>
      </c>
      <c r="B2105" s="149" t="str">
        <f>IFERROR(__xludf.DUMMYFUNCTION("""COMPUTED_VALUE"""),"Lincoln")</f>
        <v>Lincoln</v>
      </c>
      <c r="C2105" s="149" t="str">
        <f>IFERROR(__xludf.DUMMYFUNCTION("""COMPUTED_VALUE"""),"VT")</f>
        <v>VT</v>
      </c>
      <c r="D2105" s="149" t="str">
        <f>IFERROR(__xludf.DUMMYFUNCTION("""COMPUTED_VALUE"""),"USA")</f>
        <v>USA</v>
      </c>
      <c r="E2105" s="156">
        <f>IFERROR(__xludf.DUMMYFUNCTION("""COMPUTED_VALUE"""),43512.0)</f>
        <v>43512</v>
      </c>
      <c r="F2105" s="129">
        <f>IFERROR(__xludf.DUMMYFUNCTION("""COMPUTED_VALUE"""),43516.0)</f>
        <v>43516</v>
      </c>
      <c r="G2105" s="154"/>
      <c r="H2105" s="131">
        <f>IFERROR(__xludf.DUMMYFUNCTION("""COMPUTED_VALUE"""),205590.0)</f>
        <v>205590</v>
      </c>
      <c r="I2105" s="144" t="str">
        <f>IFERROR(__xludf.DUMMYFUNCTION("""COMPUTED_VALUE"""),"01/19")</f>
        <v>01/19</v>
      </c>
      <c r="J2105" s="129">
        <f>IFERROR(__xludf.DUMMYFUNCTION("""COMPUTED_VALUE"""),43526.0)</f>
        <v>43526</v>
      </c>
      <c r="K2105" s="133">
        <f>IFERROR(__xludf.DUMMYFUNCTION("""COMPUTED_VALUE"""),4.0)</f>
        <v>4</v>
      </c>
      <c r="L2105" s="133">
        <f>IFERROR(__xludf.DUMMYFUNCTION("""COMPUTED_VALUE"""),10.0)</f>
        <v>10</v>
      </c>
      <c r="M2105" s="133">
        <f>IFERROR(__xludf.DUMMYFUNCTION("""COMPUTED_VALUE"""),14.0)</f>
        <v>14</v>
      </c>
      <c r="N2105" s="152" t="str">
        <f>IFERROR(__xludf.DUMMYFUNCTION("""COMPUTED_VALUE"""),"Model 3 LR AWD")</f>
        <v>Model 3 LR AWD</v>
      </c>
      <c r="O2105" s="152" t="str">
        <f>IFERROR(__xludf.DUMMYFUNCTION("""COMPUTED_VALUE"""),"Midnight Silver Metallic")</f>
        <v>Midnight Silver Metallic</v>
      </c>
      <c r="P2105" s="153" t="str">
        <f>IFERROR(__xludf.DUMMYFUNCTION("""COMPUTED_VALUE"""),"18 inch Aero")</f>
        <v>18 inch Aero</v>
      </c>
      <c r="Q2105" s="152" t="str">
        <f>IFERROR(__xludf.DUMMYFUNCTION("""COMPUTED_VALUE"""),"Black seats")</f>
        <v>Black seats</v>
      </c>
      <c r="R2105" s="149" t="str">
        <f>IFERROR(__xludf.DUMMYFUNCTION("""COMPUTED_VALUE"""),"None")</f>
        <v>None</v>
      </c>
      <c r="S2105" s="149"/>
      <c r="T2105" s="145"/>
      <c r="U2105" s="145"/>
      <c r="V2105" s="145"/>
      <c r="W2105" s="145"/>
      <c r="X2105" s="137" t="str">
        <f>IFERROR(__xludf.DUMMYFUNCTION("""COMPUTED_VALUE"""),"Excellent")</f>
        <v>Excellent</v>
      </c>
      <c r="Y2105" s="138" t="str">
        <f>IFERROR(__xludf.DUMMYFUNCTION("""COMPUTED_VALUE"""),"Excellent")</f>
        <v>Excellent</v>
      </c>
      <c r="Z2105" s="138" t="str">
        <f>IFERROR(__xludf.DUMMYFUNCTION("""COMPUTED_VALUE"""),"Excellent")</f>
        <v>Excellent</v>
      </c>
      <c r="AA2105" s="138" t="str">
        <f>IFERROR(__xludf.DUMMYFUNCTION("""COMPUTED_VALUE"""),"Very Good")</f>
        <v>Very Good</v>
      </c>
      <c r="AB2105" s="138" t="str">
        <f>IFERROR(__xludf.DUMMYFUNCTION("""COMPUTED_VALUE"""),"Excellent")</f>
        <v>Excellent</v>
      </c>
      <c r="AC2105" s="139"/>
      <c r="AD2105" s="139"/>
      <c r="AE2105" s="139"/>
      <c r="AF2105" s="140"/>
      <c r="AG2105" s="145" t="str">
        <f>IFERROR(__xludf.DUMMYFUNCTION("""COMPUTED_VALUE"""),"Delivered from Mass to Vermont, and temporary tags were not available")</f>
        <v>Delivered from Mass to Vermont, and temporary tags were not available</v>
      </c>
      <c r="AH2105" s="157">
        <f>IFERROR(__xludf.DUMMYFUNCTION("""COMPUTED_VALUE"""),43526.5998728125)</f>
        <v>43526.59987</v>
      </c>
      <c r="AI2105" s="138"/>
      <c r="AJ2105" s="138"/>
      <c r="AK2105" s="138"/>
      <c r="AL2105" s="142"/>
    </row>
    <row r="2106" ht="20.25" customHeight="1">
      <c r="A2106" s="155" t="str">
        <f>IFERROR(__xludf.DUMMYFUNCTION("""COMPUTED_VALUE"""),"zimm3rmann")</f>
        <v>zimm3rmann</v>
      </c>
      <c r="B2106" s="149" t="str">
        <f>IFERROR(__xludf.DUMMYFUNCTION("""COMPUTED_VALUE"""),"Austin")</f>
        <v>Austin</v>
      </c>
      <c r="C2106" s="149" t="str">
        <f>IFERROR(__xludf.DUMMYFUNCTION("""COMPUTED_VALUE"""),"TX")</f>
        <v>TX</v>
      </c>
      <c r="D2106" s="149" t="str">
        <f>IFERROR(__xludf.DUMMYFUNCTION("""COMPUTED_VALUE"""),"USA")</f>
        <v>USA</v>
      </c>
      <c r="E2106" s="156">
        <f>IFERROR(__xludf.DUMMYFUNCTION("""COMPUTED_VALUE"""),43511.0)</f>
        <v>43511</v>
      </c>
      <c r="F2106" s="129">
        <f>IFERROR(__xludf.DUMMYFUNCTION("""COMPUTED_VALUE"""),43546.0)</f>
        <v>43546</v>
      </c>
      <c r="G2106" s="154"/>
      <c r="H2106" s="131">
        <f>IFERROR(__xludf.DUMMYFUNCTION("""COMPUTED_VALUE"""),193355.0)</f>
        <v>193355</v>
      </c>
      <c r="I2106" s="144"/>
      <c r="J2106" s="129">
        <f>IFERROR(__xludf.DUMMYFUNCTION("""COMPUTED_VALUE"""),43555.0)</f>
        <v>43555</v>
      </c>
      <c r="K2106" s="133">
        <f>IFERROR(__xludf.DUMMYFUNCTION("""COMPUTED_VALUE"""),35.0)</f>
        <v>35</v>
      </c>
      <c r="L2106" s="133">
        <f>IFERROR(__xludf.DUMMYFUNCTION("""COMPUTED_VALUE"""),9.0)</f>
        <v>9</v>
      </c>
      <c r="M2106" s="133">
        <f>IFERROR(__xludf.DUMMYFUNCTION("""COMPUTED_VALUE"""),44.0)</f>
        <v>44</v>
      </c>
      <c r="N2106" s="152" t="str">
        <f>IFERROR(__xludf.DUMMYFUNCTION("""COMPUTED_VALUE"""),"Model 3 MR")</f>
        <v>Model 3 MR</v>
      </c>
      <c r="O2106" s="152" t="str">
        <f>IFERROR(__xludf.DUMMYFUNCTION("""COMPUTED_VALUE"""),"Solid Black")</f>
        <v>Solid Black</v>
      </c>
      <c r="P2106" s="153" t="str">
        <f>IFERROR(__xludf.DUMMYFUNCTION("""COMPUTED_VALUE"""),"18 inch Aero")</f>
        <v>18 inch Aero</v>
      </c>
      <c r="Q2106" s="152" t="str">
        <f>IFERROR(__xludf.DUMMYFUNCTION("""COMPUTED_VALUE"""),"Black seats")</f>
        <v>Black seats</v>
      </c>
      <c r="R2106" s="149" t="str">
        <f>IFERROR(__xludf.DUMMYFUNCTION("""COMPUTED_VALUE"""),"Autopilot")</f>
        <v>Autopilot</v>
      </c>
      <c r="S2106" s="149"/>
      <c r="T2106" s="145"/>
      <c r="U2106" s="145"/>
      <c r="V2106" s="145"/>
      <c r="W2106" s="145"/>
      <c r="X2106" s="137"/>
      <c r="Y2106" s="138"/>
      <c r="Z2106" s="138"/>
      <c r="AA2106" s="138" t="str">
        <f>IFERROR(__xludf.DUMMYFUNCTION("""COMPUTED_VALUE"""),"Fair")</f>
        <v>Fair</v>
      </c>
      <c r="AB2106" s="138"/>
      <c r="AC2106" s="139"/>
      <c r="AD2106" s="139"/>
      <c r="AE2106" s="139"/>
      <c r="AF2106" s="140"/>
      <c r="AG2106" s="145"/>
      <c r="AH2106" s="157">
        <f>IFERROR(__xludf.DUMMYFUNCTION("""COMPUTED_VALUE"""),43550.687665324076)</f>
        <v>43550.68767</v>
      </c>
      <c r="AI2106" s="138"/>
      <c r="AJ2106" s="138"/>
      <c r="AK2106" s="138"/>
      <c r="AL2106" s="142"/>
    </row>
    <row r="2107" ht="20.25" customHeight="1">
      <c r="A2107" s="155" t="str">
        <f>IFERROR(__xludf.DUMMYFUNCTION("""COMPUTED_VALUE"""),"wjhatley")</f>
        <v>wjhatley</v>
      </c>
      <c r="B2107" s="149" t="str">
        <f>IFERROR(__xludf.DUMMYFUNCTION("""COMPUTED_VALUE"""),"Kansas City")</f>
        <v>Kansas City</v>
      </c>
      <c r="C2107" s="149" t="str">
        <f>IFERROR(__xludf.DUMMYFUNCTION("""COMPUTED_VALUE"""),"MO")</f>
        <v>MO</v>
      </c>
      <c r="D2107" s="149" t="str">
        <f>IFERROR(__xludf.DUMMYFUNCTION("""COMPUTED_VALUE"""),"USA")</f>
        <v>USA</v>
      </c>
      <c r="E2107" s="156">
        <f>IFERROR(__xludf.DUMMYFUNCTION("""COMPUTED_VALUE"""),43505.0)</f>
        <v>43505</v>
      </c>
      <c r="F2107" s="129">
        <f>IFERROR(__xludf.DUMMYFUNCTION("""COMPUTED_VALUE"""),43512.0)</f>
        <v>43512</v>
      </c>
      <c r="G2107" s="154"/>
      <c r="H2107" s="131">
        <f>IFERROR(__xludf.DUMMYFUNCTION("""COMPUTED_VALUE"""),146255.0)</f>
        <v>146255</v>
      </c>
      <c r="I2107" s="144" t="str">
        <f>IFERROR(__xludf.DUMMYFUNCTION("""COMPUTED_VALUE"""),"12/18")</f>
        <v>12/18</v>
      </c>
      <c r="J2107" s="129">
        <f>IFERROR(__xludf.DUMMYFUNCTION("""COMPUTED_VALUE"""),43521.0)</f>
        <v>43521</v>
      </c>
      <c r="K2107" s="133">
        <f>IFERROR(__xludf.DUMMYFUNCTION("""COMPUTED_VALUE"""),7.0)</f>
        <v>7</v>
      </c>
      <c r="L2107" s="133">
        <f>IFERROR(__xludf.DUMMYFUNCTION("""COMPUTED_VALUE"""),9.0)</f>
        <v>9</v>
      </c>
      <c r="M2107" s="133">
        <f>IFERROR(__xludf.DUMMYFUNCTION("""COMPUTED_VALUE"""),16.0)</f>
        <v>16</v>
      </c>
      <c r="N2107" s="152" t="str">
        <f>IFERROR(__xludf.DUMMYFUNCTION("""COMPUTED_VALUE"""),"Model 3 LR AWD")</f>
        <v>Model 3 LR AWD</v>
      </c>
      <c r="O2107" s="152" t="str">
        <f>IFERROR(__xludf.DUMMYFUNCTION("""COMPUTED_VALUE"""),"Red Multi-Coat")</f>
        <v>Red Multi-Coat</v>
      </c>
      <c r="P2107" s="153" t="str">
        <f>IFERROR(__xludf.DUMMYFUNCTION("""COMPUTED_VALUE"""),"19 inch Sport")</f>
        <v>19 inch Sport</v>
      </c>
      <c r="Q2107" s="152" t="str">
        <f>IFERROR(__xludf.DUMMYFUNCTION("""COMPUTED_VALUE"""),"Black seats")</f>
        <v>Black seats</v>
      </c>
      <c r="R2107" s="149" t="str">
        <f>IFERROR(__xludf.DUMMYFUNCTION("""COMPUTED_VALUE"""),"Enhanced Autopilot")</f>
        <v>Enhanced Autopilot</v>
      </c>
      <c r="S2107" s="149"/>
      <c r="T2107" s="145"/>
      <c r="U2107" s="145"/>
      <c r="V2107" s="145"/>
      <c r="W2107" s="145"/>
      <c r="X2107" s="137" t="str">
        <f>IFERROR(__xludf.DUMMYFUNCTION("""COMPUTED_VALUE"""),"Excellent")</f>
        <v>Excellent</v>
      </c>
      <c r="Y2107" s="138" t="str">
        <f>IFERROR(__xludf.DUMMYFUNCTION("""COMPUTED_VALUE"""),"Excellent")</f>
        <v>Excellent</v>
      </c>
      <c r="Z2107" s="138" t="str">
        <f>IFERROR(__xludf.DUMMYFUNCTION("""COMPUTED_VALUE"""),"Very Good")</f>
        <v>Very Good</v>
      </c>
      <c r="AA2107" s="138" t="str">
        <f>IFERROR(__xludf.DUMMYFUNCTION("""COMPUTED_VALUE"""),"Excellent")</f>
        <v>Excellent</v>
      </c>
      <c r="AB2107" s="138" t="str">
        <f>IFERROR(__xludf.DUMMYFUNCTION("""COMPUTED_VALUE"""),"Very Good")</f>
        <v>Very Good</v>
      </c>
      <c r="AC2107" s="139">
        <f>IFERROR(__xludf.DUMMYFUNCTION("""COMPUTED_VALUE"""),2.0)</f>
        <v>2</v>
      </c>
      <c r="AD2107" s="139">
        <f>IFERROR(__xludf.DUMMYFUNCTION("""COMPUTED_VALUE"""),0.0)</f>
        <v>0</v>
      </c>
      <c r="AE2107" s="139">
        <f>IFERROR(__xludf.DUMMYFUNCTION("""COMPUTED_VALUE"""),0.0)</f>
        <v>0</v>
      </c>
      <c r="AF2107" s="140"/>
      <c r="AG2107" s="145" t="str">
        <f>IFERROR(__xludf.DUMMYFUNCTION("""COMPUTED_VALUE"""),"Very minor paint issues, had it delivered straight to detailer for Heal Lite")</f>
        <v>Very minor paint issues, had it delivered straight to detailer for Heal Lite</v>
      </c>
      <c r="AH2107" s="157">
        <f>IFERROR(__xludf.DUMMYFUNCTION("""COMPUTED_VALUE"""),43533.71893737269)</f>
        <v>43533.71894</v>
      </c>
      <c r="AI2107" s="138"/>
      <c r="AJ2107" s="138"/>
      <c r="AK2107" s="138"/>
      <c r="AL2107" s="142"/>
    </row>
    <row r="2108" ht="20.25" customHeight="1">
      <c r="A2108" s="155" t="str">
        <f>IFERROR(__xludf.DUMMYFUNCTION("""COMPUTED_VALUE"""),"danjes")</f>
        <v>danjes</v>
      </c>
      <c r="B2108" s="149" t="str">
        <f>IFERROR(__xludf.DUMMYFUNCTION("""COMPUTED_VALUE"""),"Fremont")</f>
        <v>Fremont</v>
      </c>
      <c r="C2108" s="149" t="str">
        <f>IFERROR(__xludf.DUMMYFUNCTION("""COMPUTED_VALUE"""),"CA")</f>
        <v>CA</v>
      </c>
      <c r="D2108" s="149" t="str">
        <f>IFERROR(__xludf.DUMMYFUNCTION("""COMPUTED_VALUE"""),"USA")</f>
        <v>USA</v>
      </c>
      <c r="E2108" s="156">
        <f>IFERROR(__xludf.DUMMYFUNCTION("""COMPUTED_VALUE"""),43501.0)</f>
        <v>43501</v>
      </c>
      <c r="F2108" s="129">
        <f>IFERROR(__xludf.DUMMYFUNCTION("""COMPUTED_VALUE"""),43509.0)</f>
        <v>43509</v>
      </c>
      <c r="G2108" s="154"/>
      <c r="H2108" s="131">
        <f>IFERROR(__xludf.DUMMYFUNCTION("""COMPUTED_VALUE"""),161016.0)</f>
        <v>161016</v>
      </c>
      <c r="I2108" s="144" t="str">
        <f>IFERROR(__xludf.DUMMYFUNCTION("""COMPUTED_VALUE"""),"12/18")</f>
        <v>12/18</v>
      </c>
      <c r="J2108" s="129">
        <f>IFERROR(__xludf.DUMMYFUNCTION("""COMPUTED_VALUE"""),43511.0)</f>
        <v>43511</v>
      </c>
      <c r="K2108" s="133">
        <f>IFERROR(__xludf.DUMMYFUNCTION("""COMPUTED_VALUE"""),8.0)</f>
        <v>8</v>
      </c>
      <c r="L2108" s="133">
        <f>IFERROR(__xludf.DUMMYFUNCTION("""COMPUTED_VALUE"""),2.0)</f>
        <v>2</v>
      </c>
      <c r="M2108" s="133">
        <f>IFERROR(__xludf.DUMMYFUNCTION("""COMPUTED_VALUE"""),10.0)</f>
        <v>10</v>
      </c>
      <c r="N2108" s="152" t="str">
        <f>IFERROR(__xludf.DUMMYFUNCTION("""COMPUTED_VALUE"""),"Model 3 MR")</f>
        <v>Model 3 MR</v>
      </c>
      <c r="O2108" s="152" t="str">
        <f>IFERROR(__xludf.DUMMYFUNCTION("""COMPUTED_VALUE"""),"Deep Blue Metallic")</f>
        <v>Deep Blue Metallic</v>
      </c>
      <c r="P2108" s="153" t="str">
        <f>IFERROR(__xludf.DUMMYFUNCTION("""COMPUTED_VALUE"""),"18 inch Aero")</f>
        <v>18 inch Aero</v>
      </c>
      <c r="Q2108" s="152" t="str">
        <f>IFERROR(__xludf.DUMMYFUNCTION("""COMPUTED_VALUE"""),"Black seats")</f>
        <v>Black seats</v>
      </c>
      <c r="R2108" s="149" t="str">
        <f>IFERROR(__xludf.DUMMYFUNCTION("""COMPUTED_VALUE"""),"Enhanced Autopilot")</f>
        <v>Enhanced Autopilot</v>
      </c>
      <c r="S2108" s="149"/>
      <c r="T2108" s="145"/>
      <c r="U2108" s="145"/>
      <c r="V2108" s="145"/>
      <c r="W2108" s="145"/>
      <c r="X2108" s="137" t="str">
        <f>IFERROR(__xludf.DUMMYFUNCTION("""COMPUTED_VALUE"""),"Good")</f>
        <v>Good</v>
      </c>
      <c r="Y2108" s="138" t="str">
        <f>IFERROR(__xludf.DUMMYFUNCTION("""COMPUTED_VALUE"""),"Good")</f>
        <v>Good</v>
      </c>
      <c r="Z2108" s="138" t="str">
        <f>IFERROR(__xludf.DUMMYFUNCTION("""COMPUTED_VALUE"""),"Good")</f>
        <v>Good</v>
      </c>
      <c r="AA2108" s="138" t="str">
        <f>IFERROR(__xludf.DUMMYFUNCTION("""COMPUTED_VALUE"""),"Excellent")</f>
        <v>Excellent</v>
      </c>
      <c r="AB2108" s="138" t="str">
        <f>IFERROR(__xludf.DUMMYFUNCTION("""COMPUTED_VALUE"""),"Excellent")</f>
        <v>Excellent</v>
      </c>
      <c r="AC2108" s="139"/>
      <c r="AD2108" s="139"/>
      <c r="AE2108" s="139"/>
      <c r="AF2108" s="140"/>
      <c r="AG2108" s="145"/>
      <c r="AH2108" s="157">
        <f>IFERROR(__xludf.DUMMYFUNCTION("""COMPUTED_VALUE"""),43511.71574237268)</f>
        <v>43511.71574</v>
      </c>
      <c r="AI2108" s="138"/>
      <c r="AJ2108" s="138"/>
      <c r="AK2108" s="138"/>
      <c r="AL2108" s="142"/>
    </row>
    <row r="2109" ht="20.25" customHeight="1">
      <c r="A2109" s="155" t="str">
        <f>IFERROR(__xludf.DUMMYFUNCTION("""COMPUTED_VALUE"""),"V__2")</f>
        <v>V__2</v>
      </c>
      <c r="B2109" s="149"/>
      <c r="C2109" s="149" t="str">
        <f>IFERROR(__xludf.DUMMYFUNCTION("""COMPUTED_VALUE"""),"FL")</f>
        <v>FL</v>
      </c>
      <c r="D2109" s="149" t="str">
        <f>IFERROR(__xludf.DUMMYFUNCTION("""COMPUTED_VALUE"""),"USA")</f>
        <v>USA</v>
      </c>
      <c r="E2109" s="156">
        <f>IFERROR(__xludf.DUMMYFUNCTION("""COMPUTED_VALUE"""),43498.0)</f>
        <v>43498</v>
      </c>
      <c r="F2109" s="129">
        <f>IFERROR(__xludf.DUMMYFUNCTION("""COMPUTED_VALUE"""),43503.0)</f>
        <v>43503</v>
      </c>
      <c r="G2109" s="154"/>
      <c r="H2109" s="131">
        <f>IFERROR(__xludf.DUMMYFUNCTION("""COMPUTED_VALUE"""),192645.0)</f>
        <v>192645</v>
      </c>
      <c r="I2109" s="144" t="str">
        <f>IFERROR(__xludf.DUMMYFUNCTION("""COMPUTED_VALUE"""),"01/19")</f>
        <v>01/19</v>
      </c>
      <c r="J2109" s="129">
        <f>IFERROR(__xludf.DUMMYFUNCTION("""COMPUTED_VALUE"""),43515.0)</f>
        <v>43515</v>
      </c>
      <c r="K2109" s="133">
        <f>IFERROR(__xludf.DUMMYFUNCTION("""COMPUTED_VALUE"""),5.0)</f>
        <v>5</v>
      </c>
      <c r="L2109" s="133">
        <f>IFERROR(__xludf.DUMMYFUNCTION("""COMPUTED_VALUE"""),12.0)</f>
        <v>12</v>
      </c>
      <c r="M2109" s="133">
        <f>IFERROR(__xludf.DUMMYFUNCTION("""COMPUTED_VALUE"""),17.0)</f>
        <v>17</v>
      </c>
      <c r="N2109" s="152" t="str">
        <f>IFERROR(__xludf.DUMMYFUNCTION("""COMPUTED_VALUE"""),"Model 3 LR AWD")</f>
        <v>Model 3 LR AWD</v>
      </c>
      <c r="O2109" s="152" t="str">
        <f>IFERROR(__xludf.DUMMYFUNCTION("""COMPUTED_VALUE"""),"Midnight Silver Metallic")</f>
        <v>Midnight Silver Metallic</v>
      </c>
      <c r="P2109" s="153" t="str">
        <f>IFERROR(__xludf.DUMMYFUNCTION("""COMPUTED_VALUE"""),"19 inch Sport")</f>
        <v>19 inch Sport</v>
      </c>
      <c r="Q2109" s="152" t="str">
        <f>IFERROR(__xludf.DUMMYFUNCTION("""COMPUTED_VALUE"""),"White seats")</f>
        <v>White seats</v>
      </c>
      <c r="R2109" s="149" t="str">
        <f>IFERROR(__xludf.DUMMYFUNCTION("""COMPUTED_VALUE"""),"None")</f>
        <v>None</v>
      </c>
      <c r="S2109" s="149"/>
      <c r="T2109" s="145"/>
      <c r="U2109" s="145"/>
      <c r="V2109" s="145"/>
      <c r="W2109" s="145"/>
      <c r="X2109" s="137"/>
      <c r="Y2109" s="138"/>
      <c r="Z2109" s="138"/>
      <c r="AA2109" s="138" t="str">
        <f>IFERROR(__xludf.DUMMYFUNCTION("""COMPUTED_VALUE"""),"Fair")</f>
        <v>Fair</v>
      </c>
      <c r="AB2109" s="138"/>
      <c r="AC2109" s="139"/>
      <c r="AD2109" s="139"/>
      <c r="AE2109" s="139"/>
      <c r="AF2109" s="140"/>
      <c r="AG2109" s="145"/>
      <c r="AH2109" s="157">
        <f>IFERROR(__xludf.DUMMYFUNCTION("""COMPUTED_VALUE"""),43514.5367119213)</f>
        <v>43514.53671</v>
      </c>
      <c r="AI2109" s="138"/>
      <c r="AJ2109" s="138"/>
      <c r="AK2109" s="138"/>
      <c r="AL2109" s="142"/>
    </row>
    <row r="2110" ht="20.25" customHeight="1">
      <c r="A2110" s="155" t="str">
        <f>IFERROR(__xludf.DUMMYFUNCTION("""COMPUTED_VALUE"""),"JakobDK")</f>
        <v>JakobDK</v>
      </c>
      <c r="B2110" s="149" t="str">
        <f>IFERROR(__xludf.DUMMYFUNCTION("""COMPUTED_VALUE"""),"Copenhagen, Denmark")</f>
        <v>Copenhagen, Denmark</v>
      </c>
      <c r="C2110" s="149"/>
      <c r="D2110" s="149" t="str">
        <f>IFERROR(__xludf.DUMMYFUNCTION("""COMPUTED_VALUE"""),"Other (include country together with city)")</f>
        <v>Other (include country together with city)</v>
      </c>
      <c r="E2110" s="156">
        <f>IFERROR(__xludf.DUMMYFUNCTION("""COMPUTED_VALUE"""),43486.0)</f>
        <v>43486</v>
      </c>
      <c r="F2110" s="129">
        <f>IFERROR(__xludf.DUMMYFUNCTION("""COMPUTED_VALUE"""),43539.0)</f>
        <v>43539</v>
      </c>
      <c r="G2110" s="154"/>
      <c r="H2110" s="131">
        <f>IFERROR(__xludf.DUMMYFUNCTION("""COMPUTED_VALUE"""),225225.0)</f>
        <v>225225</v>
      </c>
      <c r="I2110" s="144"/>
      <c r="J2110" s="129">
        <f>IFERROR(__xludf.DUMMYFUNCTION("""COMPUTED_VALUE"""),43559.0)</f>
        <v>43559</v>
      </c>
      <c r="K2110" s="133">
        <f>IFERROR(__xludf.DUMMYFUNCTION("""COMPUTED_VALUE"""),53.0)</f>
        <v>53</v>
      </c>
      <c r="L2110" s="133">
        <f>IFERROR(__xludf.DUMMYFUNCTION("""COMPUTED_VALUE"""),20.0)</f>
        <v>20</v>
      </c>
      <c r="M2110" s="133">
        <f>IFERROR(__xludf.DUMMYFUNCTION("""COMPUTED_VALUE"""),73.0)</f>
        <v>73</v>
      </c>
      <c r="N2110" s="152" t="str">
        <f>IFERROR(__xludf.DUMMYFUNCTION("""COMPUTED_VALUE"""),"Model 3 LR AWD")</f>
        <v>Model 3 LR AWD</v>
      </c>
      <c r="O2110" s="152" t="str">
        <f>IFERROR(__xludf.DUMMYFUNCTION("""COMPUTED_VALUE"""),"Deep Blue Metallic")</f>
        <v>Deep Blue Metallic</v>
      </c>
      <c r="P2110" s="153" t="str">
        <f>IFERROR(__xludf.DUMMYFUNCTION("""COMPUTED_VALUE"""),"18 inch Aero")</f>
        <v>18 inch Aero</v>
      </c>
      <c r="Q2110" s="152" t="str">
        <f>IFERROR(__xludf.DUMMYFUNCTION("""COMPUTED_VALUE"""),"Black seats")</f>
        <v>Black seats</v>
      </c>
      <c r="R2110" s="149" t="str">
        <f>IFERROR(__xludf.DUMMYFUNCTION("""COMPUTED_VALUE"""),"Autopilot")</f>
        <v>Autopilot</v>
      </c>
      <c r="S2110" s="149"/>
      <c r="T2110" s="145"/>
      <c r="U2110" s="145"/>
      <c r="V2110" s="145"/>
      <c r="W2110" s="145"/>
      <c r="X2110" s="137" t="str">
        <f>IFERROR(__xludf.DUMMYFUNCTION("""COMPUTED_VALUE"""),"Excellent")</f>
        <v>Excellent</v>
      </c>
      <c r="Y2110" s="138" t="str">
        <f>IFERROR(__xludf.DUMMYFUNCTION("""COMPUTED_VALUE"""),"Excellent")</f>
        <v>Excellent</v>
      </c>
      <c r="Z2110" s="138" t="str">
        <f>IFERROR(__xludf.DUMMYFUNCTION("""COMPUTED_VALUE"""),"Very Good")</f>
        <v>Very Good</v>
      </c>
      <c r="AA2110" s="138" t="str">
        <f>IFERROR(__xludf.DUMMYFUNCTION("""COMPUTED_VALUE"""),"Fair")</f>
        <v>Fair</v>
      </c>
      <c r="AB2110" s="138" t="str">
        <f>IFERROR(__xludf.DUMMYFUNCTION("""COMPUTED_VALUE"""),"Excellent")</f>
        <v>Excellent</v>
      </c>
      <c r="AC2110" s="139">
        <f>IFERROR(__xludf.DUMMYFUNCTION("""COMPUTED_VALUE"""),1.0)</f>
        <v>1</v>
      </c>
      <c r="AD2110" s="139"/>
      <c r="AE2110" s="139"/>
      <c r="AF2110" s="140"/>
      <c r="AG2110" s="145"/>
      <c r="AH2110" s="157">
        <f>IFERROR(__xludf.DUMMYFUNCTION("""COMPUTED_VALUE"""),43559.44178907407)</f>
        <v>43559.44179</v>
      </c>
      <c r="AI2110" s="138"/>
      <c r="AJ2110" s="138"/>
      <c r="AK2110" s="138"/>
      <c r="AL2110" s="142"/>
    </row>
    <row r="2111" ht="20.25" customHeight="1">
      <c r="A2111" s="155" t="str">
        <f>IFERROR(__xludf.DUMMYFUNCTION("""COMPUTED_VALUE"""),"Schmize")</f>
        <v>Schmize</v>
      </c>
      <c r="B2111" s="149" t="str">
        <f>IFERROR(__xludf.DUMMYFUNCTION("""COMPUTED_VALUE"""),"Chicago")</f>
        <v>Chicago</v>
      </c>
      <c r="C2111" s="149" t="str">
        <f>IFERROR(__xludf.DUMMYFUNCTION("""COMPUTED_VALUE"""),"IL")</f>
        <v>IL</v>
      </c>
      <c r="D2111" s="149" t="str">
        <f>IFERROR(__xludf.DUMMYFUNCTION("""COMPUTED_VALUE"""),"USA")</f>
        <v>USA</v>
      </c>
      <c r="E2111" s="156">
        <f>IFERROR(__xludf.DUMMYFUNCTION("""COMPUTED_VALUE"""),43484.0)</f>
        <v>43484</v>
      </c>
      <c r="F2111" s="129">
        <f>IFERROR(__xludf.DUMMYFUNCTION("""COMPUTED_VALUE"""),43500.0)</f>
        <v>43500</v>
      </c>
      <c r="G2111" s="154"/>
      <c r="H2111" s="131">
        <f>IFERROR(__xludf.DUMMYFUNCTION("""COMPUTED_VALUE"""),192455.0)</f>
        <v>192455</v>
      </c>
      <c r="I2111" s="144" t="str">
        <f>IFERROR(__xludf.DUMMYFUNCTION("""COMPUTED_VALUE"""),"01/19")</f>
        <v>01/19</v>
      </c>
      <c r="J2111" s="129">
        <f>IFERROR(__xludf.DUMMYFUNCTION("""COMPUTED_VALUE"""),43504.0)</f>
        <v>43504</v>
      </c>
      <c r="K2111" s="133">
        <f>IFERROR(__xludf.DUMMYFUNCTION("""COMPUTED_VALUE"""),16.0)</f>
        <v>16</v>
      </c>
      <c r="L2111" s="133">
        <f>IFERROR(__xludf.DUMMYFUNCTION("""COMPUTED_VALUE"""),4.0)</f>
        <v>4</v>
      </c>
      <c r="M2111" s="133">
        <f>IFERROR(__xludf.DUMMYFUNCTION("""COMPUTED_VALUE"""),20.0)</f>
        <v>20</v>
      </c>
      <c r="N2111" s="152" t="str">
        <f>IFERROR(__xludf.DUMMYFUNCTION("""COMPUTED_VALUE"""),"Model 3 LR AWD")</f>
        <v>Model 3 LR AWD</v>
      </c>
      <c r="O2111" s="152" t="str">
        <f>IFERROR(__xludf.DUMMYFUNCTION("""COMPUTED_VALUE"""),"Solid Black")</f>
        <v>Solid Black</v>
      </c>
      <c r="P2111" s="153" t="str">
        <f>IFERROR(__xludf.DUMMYFUNCTION("""COMPUTED_VALUE"""),"19 inch Sport")</f>
        <v>19 inch Sport</v>
      </c>
      <c r="Q2111" s="152" t="str">
        <f>IFERROR(__xludf.DUMMYFUNCTION("""COMPUTED_VALUE"""),"White seats")</f>
        <v>White seats</v>
      </c>
      <c r="R2111" s="149" t="str">
        <f>IFERROR(__xludf.DUMMYFUNCTION("""COMPUTED_VALUE"""),"Enhanced Autopilot")</f>
        <v>Enhanced Autopilot</v>
      </c>
      <c r="S2111" s="149"/>
      <c r="T2111" s="145"/>
      <c r="U2111" s="145"/>
      <c r="V2111" s="145"/>
      <c r="W2111" s="145"/>
      <c r="X2111" s="137" t="str">
        <f>IFERROR(__xludf.DUMMYFUNCTION("""COMPUTED_VALUE"""),"Excellent")</f>
        <v>Excellent</v>
      </c>
      <c r="Y2111" s="138" t="str">
        <f>IFERROR(__xludf.DUMMYFUNCTION("""COMPUTED_VALUE"""),"Very Good")</f>
        <v>Very Good</v>
      </c>
      <c r="Z2111" s="138" t="str">
        <f>IFERROR(__xludf.DUMMYFUNCTION("""COMPUTED_VALUE"""),"Very Good")</f>
        <v>Very Good</v>
      </c>
      <c r="AA2111" s="138" t="str">
        <f>IFERROR(__xludf.DUMMYFUNCTION("""COMPUTED_VALUE"""),"Excellent")</f>
        <v>Excellent</v>
      </c>
      <c r="AB2111" s="138" t="str">
        <f>IFERROR(__xludf.DUMMYFUNCTION("""COMPUTED_VALUE"""),"Very Good")</f>
        <v>Very Good</v>
      </c>
      <c r="AC2111" s="139">
        <f>IFERROR(__xludf.DUMMYFUNCTION("""COMPUTED_VALUE"""),1.0)</f>
        <v>1</v>
      </c>
      <c r="AD2111" s="139">
        <f>IFERROR(__xludf.DUMMYFUNCTION("""COMPUTED_VALUE"""),1.0)</f>
        <v>1</v>
      </c>
      <c r="AE2111" s="139">
        <f>IFERROR(__xludf.DUMMYFUNCTION("""COMPUTED_VALUE"""),0.0)</f>
        <v>0</v>
      </c>
      <c r="AF2111" s="140"/>
      <c r="AG2111" s="145"/>
      <c r="AH2111" s="157">
        <f>IFERROR(__xludf.DUMMYFUNCTION("""COMPUTED_VALUE"""),43509.37229726852)</f>
        <v>43509.3723</v>
      </c>
      <c r="AI2111" s="138"/>
      <c r="AJ2111" s="138"/>
      <c r="AK2111" s="138"/>
      <c r="AL2111" s="142"/>
    </row>
    <row r="2112" ht="20.25" customHeight="1">
      <c r="A2112" s="155" t="str">
        <f>IFERROR(__xludf.DUMMYFUNCTION("""COMPUTED_VALUE"""),"Haegar2004")</f>
        <v>Haegar2004</v>
      </c>
      <c r="B2112" s="149" t="str">
        <f>IFERROR(__xludf.DUMMYFUNCTION("""COMPUTED_VALUE"""),"Ratingen")</f>
        <v>Ratingen</v>
      </c>
      <c r="C2112" s="149"/>
      <c r="D2112" s="149" t="str">
        <f>IFERROR(__xludf.DUMMYFUNCTION("""COMPUTED_VALUE"""),"Germany")</f>
        <v>Germany</v>
      </c>
      <c r="E2112" s="156">
        <f>IFERROR(__xludf.DUMMYFUNCTION("""COMPUTED_VALUE"""),43483.0)</f>
        <v>43483</v>
      </c>
      <c r="F2112" s="129">
        <f>IFERROR(__xludf.DUMMYFUNCTION("""COMPUTED_VALUE"""),43539.0)</f>
        <v>43539</v>
      </c>
      <c r="G2112" s="154"/>
      <c r="H2112" s="131">
        <f>IFERROR(__xludf.DUMMYFUNCTION("""COMPUTED_VALUE"""),206825.0)</f>
        <v>206825</v>
      </c>
      <c r="I2112" s="144"/>
      <c r="J2112" s="129">
        <f>IFERROR(__xludf.DUMMYFUNCTION("""COMPUTED_VALUE"""),43553.0)</f>
        <v>43553</v>
      </c>
      <c r="K2112" s="133">
        <f>IFERROR(__xludf.DUMMYFUNCTION("""COMPUTED_VALUE"""),56.0)</f>
        <v>56</v>
      </c>
      <c r="L2112" s="133">
        <f>IFERROR(__xludf.DUMMYFUNCTION("""COMPUTED_VALUE"""),14.0)</f>
        <v>14</v>
      </c>
      <c r="M2112" s="133">
        <f>IFERROR(__xludf.DUMMYFUNCTION("""COMPUTED_VALUE"""),70.0)</f>
        <v>70</v>
      </c>
      <c r="N2112" s="152" t="str">
        <f>IFERROR(__xludf.DUMMYFUNCTION("""COMPUTED_VALUE"""),"Model 3 LR AWD")</f>
        <v>Model 3 LR AWD</v>
      </c>
      <c r="O2112" s="152" t="str">
        <f>IFERROR(__xludf.DUMMYFUNCTION("""COMPUTED_VALUE"""),"Midnight Silver Metallic")</f>
        <v>Midnight Silver Metallic</v>
      </c>
      <c r="P2112" s="153" t="str">
        <f>IFERROR(__xludf.DUMMYFUNCTION("""COMPUTED_VALUE"""),"19 inch Sport")</f>
        <v>19 inch Sport</v>
      </c>
      <c r="Q2112" s="152" t="str">
        <f>IFERROR(__xludf.DUMMYFUNCTION("""COMPUTED_VALUE"""),"White seats")</f>
        <v>White seats</v>
      </c>
      <c r="R2112" s="149" t="str">
        <f>IFERROR(__xludf.DUMMYFUNCTION("""COMPUTED_VALUE"""),"Full Self-Driving")</f>
        <v>Full Self-Driving</v>
      </c>
      <c r="S2112" s="149"/>
      <c r="T2112" s="145"/>
      <c r="U2112" s="145"/>
      <c r="V2112" s="145"/>
      <c r="W2112" s="145"/>
      <c r="X2112" s="137" t="str">
        <f>IFERROR(__xludf.DUMMYFUNCTION("""COMPUTED_VALUE"""),"Very Good")</f>
        <v>Very Good</v>
      </c>
      <c r="Y2112" s="138" t="str">
        <f>IFERROR(__xludf.DUMMYFUNCTION("""COMPUTED_VALUE"""),"Fair")</f>
        <v>Fair</v>
      </c>
      <c r="Z2112" s="138" t="str">
        <f>IFERROR(__xludf.DUMMYFUNCTION("""COMPUTED_VALUE"""),"Very Good")</f>
        <v>Very Good</v>
      </c>
      <c r="AA2112" s="138" t="str">
        <f>IFERROR(__xludf.DUMMYFUNCTION("""COMPUTED_VALUE"""),"Good")</f>
        <v>Good</v>
      </c>
      <c r="AB2112" s="138" t="str">
        <f>IFERROR(__xludf.DUMMYFUNCTION("""COMPUTED_VALUE"""),"Very Good")</f>
        <v>Very Good</v>
      </c>
      <c r="AC2112" s="139">
        <f>IFERROR(__xludf.DUMMYFUNCTION("""COMPUTED_VALUE"""),2.0)</f>
        <v>2</v>
      </c>
      <c r="AD2112" s="139"/>
      <c r="AE2112" s="139"/>
      <c r="AF2112" s="140"/>
      <c r="AG2112" s="145"/>
      <c r="AH2112" s="157">
        <f>IFERROR(__xludf.DUMMYFUNCTION("""COMPUTED_VALUE"""),43557.35190519676)</f>
        <v>43557.35191</v>
      </c>
      <c r="AI2112" s="138"/>
      <c r="AJ2112" s="138"/>
      <c r="AK2112" s="138"/>
      <c r="AL2112" s="142"/>
    </row>
    <row r="2113" ht="20.25" customHeight="1">
      <c r="A2113" s="155" t="str">
        <f>IFERROR(__xludf.DUMMYFUNCTION("""COMPUTED_VALUE"""),"mikeat00")</f>
        <v>mikeat00</v>
      </c>
      <c r="B2113" s="149" t="str">
        <f>IFERROR(__xludf.DUMMYFUNCTION("""COMPUTED_VALUE"""),"Livonia")</f>
        <v>Livonia</v>
      </c>
      <c r="C2113" s="149" t="str">
        <f>IFERROR(__xludf.DUMMYFUNCTION("""COMPUTED_VALUE"""),"MI")</f>
        <v>MI</v>
      </c>
      <c r="D2113" s="149" t="str">
        <f>IFERROR(__xludf.DUMMYFUNCTION("""COMPUTED_VALUE"""),"USA")</f>
        <v>USA</v>
      </c>
      <c r="E2113" s="156">
        <f>IFERROR(__xludf.DUMMYFUNCTION("""COMPUTED_VALUE"""),43483.0)</f>
        <v>43483</v>
      </c>
      <c r="F2113" s="129">
        <f>IFERROR(__xludf.DUMMYFUNCTION("""COMPUTED_VALUE"""),43488.0)</f>
        <v>43488</v>
      </c>
      <c r="G2113" s="154"/>
      <c r="H2113" s="131"/>
      <c r="I2113" s="144"/>
      <c r="J2113" s="129">
        <f>IFERROR(__xludf.DUMMYFUNCTION("""COMPUTED_VALUE"""),43491.0)</f>
        <v>43491</v>
      </c>
      <c r="K2113" s="133">
        <f>IFERROR(__xludf.DUMMYFUNCTION("""COMPUTED_VALUE"""),5.0)</f>
        <v>5</v>
      </c>
      <c r="L2113" s="133">
        <f>IFERROR(__xludf.DUMMYFUNCTION("""COMPUTED_VALUE"""),3.0)</f>
        <v>3</v>
      </c>
      <c r="M2113" s="133">
        <f>IFERROR(__xludf.DUMMYFUNCTION("""COMPUTED_VALUE"""),8.0)</f>
        <v>8</v>
      </c>
      <c r="N2113" s="152" t="str">
        <f>IFERROR(__xludf.DUMMYFUNCTION("""COMPUTED_VALUE"""),"Model 3 LR AWD")</f>
        <v>Model 3 LR AWD</v>
      </c>
      <c r="O2113" s="152" t="str">
        <f>IFERROR(__xludf.DUMMYFUNCTION("""COMPUTED_VALUE"""),"Deep Blue Metallic")</f>
        <v>Deep Blue Metallic</v>
      </c>
      <c r="P2113" s="153" t="str">
        <f>IFERROR(__xludf.DUMMYFUNCTION("""COMPUTED_VALUE"""),"18 inch Aero")</f>
        <v>18 inch Aero</v>
      </c>
      <c r="Q2113" s="152" t="str">
        <f>IFERROR(__xludf.DUMMYFUNCTION("""COMPUTED_VALUE"""),"Black seats")</f>
        <v>Black seats</v>
      </c>
      <c r="R2113" s="149" t="str">
        <f>IFERROR(__xludf.DUMMYFUNCTION("""COMPUTED_VALUE"""),"Enhanced Autopilot")</f>
        <v>Enhanced Autopilot</v>
      </c>
      <c r="S2113" s="149"/>
      <c r="T2113" s="145"/>
      <c r="U2113" s="145"/>
      <c r="V2113" s="145"/>
      <c r="W2113" s="145"/>
      <c r="X2113" s="137" t="str">
        <f>IFERROR(__xludf.DUMMYFUNCTION("""COMPUTED_VALUE"""),"Excellent")</f>
        <v>Excellent</v>
      </c>
      <c r="Y2113" s="138" t="str">
        <f>IFERROR(__xludf.DUMMYFUNCTION("""COMPUTED_VALUE"""),"Excellent")</f>
        <v>Excellent</v>
      </c>
      <c r="Z2113" s="138" t="str">
        <f>IFERROR(__xludf.DUMMYFUNCTION("""COMPUTED_VALUE"""),"Excellent")</f>
        <v>Excellent</v>
      </c>
      <c r="AA2113" s="138" t="str">
        <f>IFERROR(__xludf.DUMMYFUNCTION("""COMPUTED_VALUE"""),"Very Good")</f>
        <v>Very Good</v>
      </c>
      <c r="AB2113" s="138" t="str">
        <f>IFERROR(__xludf.DUMMYFUNCTION("""COMPUTED_VALUE"""),"Excellent")</f>
        <v>Excellent</v>
      </c>
      <c r="AC2113" s="139"/>
      <c r="AD2113" s="139"/>
      <c r="AE2113" s="139"/>
      <c r="AF2113" s="140"/>
      <c r="AG2113" s="145"/>
      <c r="AH2113" s="157">
        <f>IFERROR(__xludf.DUMMYFUNCTION("""COMPUTED_VALUE"""),43493.67602784722)</f>
        <v>43493.67603</v>
      </c>
      <c r="AI2113" s="138"/>
      <c r="AJ2113" s="138"/>
      <c r="AK2113" s="138"/>
      <c r="AL2113" s="142"/>
    </row>
    <row r="2114" ht="20.25" customHeight="1">
      <c r="A2114" s="155" t="str">
        <f>IFERROR(__xludf.DUMMYFUNCTION("""COMPUTED_VALUE"""),"AgileMIke")</f>
        <v>AgileMIke</v>
      </c>
      <c r="B2114" s="149" t="str">
        <f>IFERROR(__xludf.DUMMYFUNCTION("""COMPUTED_VALUE"""),"Fruitland")</f>
        <v>Fruitland</v>
      </c>
      <c r="C2114" s="149" t="str">
        <f>IFERROR(__xludf.DUMMYFUNCTION("""COMPUTED_VALUE"""),"ID")</f>
        <v>ID</v>
      </c>
      <c r="D2114" s="149" t="str">
        <f>IFERROR(__xludf.DUMMYFUNCTION("""COMPUTED_VALUE"""),"USA")</f>
        <v>USA</v>
      </c>
      <c r="E2114" s="156">
        <f>IFERROR(__xludf.DUMMYFUNCTION("""COMPUTED_VALUE"""),43478.0)</f>
        <v>43478</v>
      </c>
      <c r="F2114" s="129">
        <f>IFERROR(__xludf.DUMMYFUNCTION("""COMPUTED_VALUE"""),43480.0)</f>
        <v>43480</v>
      </c>
      <c r="G2114" s="154"/>
      <c r="H2114" s="131">
        <f>IFERROR(__xludf.DUMMYFUNCTION("""COMPUTED_VALUE"""),85475.0)</f>
        <v>85475</v>
      </c>
      <c r="I2114" s="144" t="str">
        <f>IFERROR(__xludf.DUMMYFUNCTION("""COMPUTED_VALUE"""),"10/18")</f>
        <v>10/18</v>
      </c>
      <c r="J2114" s="129">
        <f>IFERROR(__xludf.DUMMYFUNCTION("""COMPUTED_VALUE"""),43482.0)</f>
        <v>43482</v>
      </c>
      <c r="K2114" s="133">
        <f>IFERROR(__xludf.DUMMYFUNCTION("""COMPUTED_VALUE"""),2.0)</f>
        <v>2</v>
      </c>
      <c r="L2114" s="133">
        <f>IFERROR(__xludf.DUMMYFUNCTION("""COMPUTED_VALUE"""),2.0)</f>
        <v>2</v>
      </c>
      <c r="M2114" s="133">
        <f>IFERROR(__xludf.DUMMYFUNCTION("""COMPUTED_VALUE"""),4.0)</f>
        <v>4</v>
      </c>
      <c r="N2114" s="152" t="str">
        <f>IFERROR(__xludf.DUMMYFUNCTION("""COMPUTED_VALUE"""),"Model 3 LR AWD")</f>
        <v>Model 3 LR AWD</v>
      </c>
      <c r="O2114" s="152" t="str">
        <f>IFERROR(__xludf.DUMMYFUNCTION("""COMPUTED_VALUE"""),"Midnight Silver Metallic")</f>
        <v>Midnight Silver Metallic</v>
      </c>
      <c r="P2114" s="153" t="str">
        <f>IFERROR(__xludf.DUMMYFUNCTION("""COMPUTED_VALUE"""),"18 inch Aero")</f>
        <v>18 inch Aero</v>
      </c>
      <c r="Q2114" s="152" t="str">
        <f>IFERROR(__xludf.DUMMYFUNCTION("""COMPUTED_VALUE"""),"White seats")</f>
        <v>White seats</v>
      </c>
      <c r="R2114" s="149" t="str">
        <f>IFERROR(__xludf.DUMMYFUNCTION("""COMPUTED_VALUE"""),"Full Self-Driving")</f>
        <v>Full Self-Driving</v>
      </c>
      <c r="S2114" s="149"/>
      <c r="T2114" s="145"/>
      <c r="U2114" s="145"/>
      <c r="V2114" s="145"/>
      <c r="W2114" s="145"/>
      <c r="X2114" s="137" t="str">
        <f>IFERROR(__xludf.DUMMYFUNCTION("""COMPUTED_VALUE"""),"Excellent")</f>
        <v>Excellent</v>
      </c>
      <c r="Y2114" s="138" t="str">
        <f>IFERROR(__xludf.DUMMYFUNCTION("""COMPUTED_VALUE"""),"Excellent")</f>
        <v>Excellent</v>
      </c>
      <c r="Z2114" s="138" t="str">
        <f>IFERROR(__xludf.DUMMYFUNCTION("""COMPUTED_VALUE"""),"Excellent")</f>
        <v>Excellent</v>
      </c>
      <c r="AA2114" s="138" t="str">
        <f>IFERROR(__xludf.DUMMYFUNCTION("""COMPUTED_VALUE"""),"Excellent")</f>
        <v>Excellent</v>
      </c>
      <c r="AB2114" s="138" t="str">
        <f>IFERROR(__xludf.DUMMYFUNCTION("""COMPUTED_VALUE"""),"Excellent")</f>
        <v>Excellent</v>
      </c>
      <c r="AC2114" s="139"/>
      <c r="AD2114" s="139"/>
      <c r="AE2114" s="139"/>
      <c r="AF2114" s="140"/>
      <c r="AG2114" s="145" t="str">
        <f>IFERROR(__xludf.DUMMYFUNCTION("""COMPUTED_VALUE"""),"Only 2 days from config to VIN!!")</f>
        <v>Only 2 days from config to VIN!!</v>
      </c>
      <c r="AH2114" s="157">
        <f>IFERROR(__xludf.DUMMYFUNCTION("""COMPUTED_VALUE"""),43483.84379302083)</f>
        <v>43483.84379</v>
      </c>
      <c r="AI2114" s="138"/>
      <c r="AJ2114" s="138"/>
      <c r="AK2114" s="138"/>
      <c r="AL2114" s="142"/>
    </row>
    <row r="2115" ht="20.25" customHeight="1">
      <c r="A2115" s="155" t="str">
        <f>IFERROR(__xludf.DUMMYFUNCTION("""COMPUTED_VALUE"""),"jasonamyers")</f>
        <v>jasonamyers</v>
      </c>
      <c r="B2115" s="149" t="str">
        <f>IFERROR(__xludf.DUMMYFUNCTION("""COMPUTED_VALUE"""),"Murfreesboro")</f>
        <v>Murfreesboro</v>
      </c>
      <c r="C2115" s="149" t="str">
        <f>IFERROR(__xludf.DUMMYFUNCTION("""COMPUTED_VALUE"""),"TN")</f>
        <v>TN</v>
      </c>
      <c r="D2115" s="149" t="str">
        <f>IFERROR(__xludf.DUMMYFUNCTION("""COMPUTED_VALUE"""),"USA")</f>
        <v>USA</v>
      </c>
      <c r="E2115" s="156">
        <f>IFERROR(__xludf.DUMMYFUNCTION("""COMPUTED_VALUE"""),43469.0)</f>
        <v>43469</v>
      </c>
      <c r="F2115" s="129">
        <f>IFERROR(__xludf.DUMMYFUNCTION("""COMPUTED_VALUE"""),43469.0)</f>
        <v>43469</v>
      </c>
      <c r="G2115" s="154"/>
      <c r="H2115" s="131">
        <f>IFERROR(__xludf.DUMMYFUNCTION("""COMPUTED_VALUE"""),185555.0)</f>
        <v>185555</v>
      </c>
      <c r="I2115" s="144" t="str">
        <f>IFERROR(__xludf.DUMMYFUNCTION("""COMPUTED_VALUE"""),"11/18")</f>
        <v>11/18</v>
      </c>
      <c r="J2115" s="129">
        <f>IFERROR(__xludf.DUMMYFUNCTION("""COMPUTED_VALUE"""),43470.0)</f>
        <v>43470</v>
      </c>
      <c r="K2115" s="133">
        <f>IFERROR(__xludf.DUMMYFUNCTION("""COMPUTED_VALUE"""),0.0)</f>
        <v>0</v>
      </c>
      <c r="L2115" s="133">
        <f>IFERROR(__xludf.DUMMYFUNCTION("""COMPUTED_VALUE"""),1.0)</f>
        <v>1</v>
      </c>
      <c r="M2115" s="133">
        <f>IFERROR(__xludf.DUMMYFUNCTION("""COMPUTED_VALUE"""),1.0)</f>
        <v>1</v>
      </c>
      <c r="N2115" s="152" t="str">
        <f>IFERROR(__xludf.DUMMYFUNCTION("""COMPUTED_VALUE"""),"Model 3 LR AWD")</f>
        <v>Model 3 LR AWD</v>
      </c>
      <c r="O2115" s="152" t="str">
        <f>IFERROR(__xludf.DUMMYFUNCTION("""COMPUTED_VALUE"""),"Deep Blue Metallic")</f>
        <v>Deep Blue Metallic</v>
      </c>
      <c r="P2115" s="153" t="str">
        <f>IFERROR(__xludf.DUMMYFUNCTION("""COMPUTED_VALUE"""),"19 inch Sport")</f>
        <v>19 inch Sport</v>
      </c>
      <c r="Q2115" s="152" t="str">
        <f>IFERROR(__xludf.DUMMYFUNCTION("""COMPUTED_VALUE"""),"Black seats")</f>
        <v>Black seats</v>
      </c>
      <c r="R2115" s="149" t="str">
        <f>IFERROR(__xludf.DUMMYFUNCTION("""COMPUTED_VALUE"""),"Enhanced Autopilot")</f>
        <v>Enhanced Autopilot</v>
      </c>
      <c r="S2115" s="149"/>
      <c r="T2115" s="145"/>
      <c r="U2115" s="145"/>
      <c r="V2115" s="145"/>
      <c r="W2115" s="145"/>
      <c r="X2115" s="137" t="str">
        <f>IFERROR(__xludf.DUMMYFUNCTION("""COMPUTED_VALUE"""),"Excellent")</f>
        <v>Excellent</v>
      </c>
      <c r="Y2115" s="138" t="str">
        <f>IFERROR(__xludf.DUMMYFUNCTION("""COMPUTED_VALUE"""),"Excellent")</f>
        <v>Excellent</v>
      </c>
      <c r="Z2115" s="138" t="str">
        <f>IFERROR(__xludf.DUMMYFUNCTION("""COMPUTED_VALUE"""),"Excellent")</f>
        <v>Excellent</v>
      </c>
      <c r="AA2115" s="138" t="str">
        <f>IFERROR(__xludf.DUMMYFUNCTION("""COMPUTED_VALUE"""),"Very Good")</f>
        <v>Very Good</v>
      </c>
      <c r="AB2115" s="138" t="str">
        <f>IFERROR(__xludf.DUMMYFUNCTION("""COMPUTED_VALUE"""),"Excellent")</f>
        <v>Excellent</v>
      </c>
      <c r="AC2115" s="139"/>
      <c r="AD2115" s="139"/>
      <c r="AE2115" s="139"/>
      <c r="AF2115" s="140"/>
      <c r="AG2115" s="145"/>
      <c r="AH2115" s="157">
        <f>IFERROR(__xludf.DUMMYFUNCTION("""COMPUTED_VALUE"""),43470.348545347224)</f>
        <v>43470.34855</v>
      </c>
      <c r="AI2115" s="138"/>
      <c r="AJ2115" s="138"/>
      <c r="AK2115" s="138"/>
      <c r="AL2115" s="142"/>
    </row>
    <row r="2116" ht="20.25" customHeight="1">
      <c r="A2116" s="155" t="str">
        <f>IFERROR(__xludf.DUMMYFUNCTION("""COMPUTED_VALUE"""),"Jonb505")</f>
        <v>Jonb505</v>
      </c>
      <c r="B2116" s="149" t="str">
        <f>IFERROR(__xludf.DUMMYFUNCTION("""COMPUTED_VALUE"""),"North Vancouver")</f>
        <v>North Vancouver</v>
      </c>
      <c r="C2116" s="149" t="str">
        <f>IFERROR(__xludf.DUMMYFUNCTION("""COMPUTED_VALUE"""),"BC")</f>
        <v>BC</v>
      </c>
      <c r="D2116" s="149" t="str">
        <f>IFERROR(__xludf.DUMMYFUNCTION("""COMPUTED_VALUE"""),"Canada")</f>
        <v>Canada</v>
      </c>
      <c r="E2116" s="156">
        <f>IFERROR(__xludf.DUMMYFUNCTION("""COMPUTED_VALUE"""),43466.0)</f>
        <v>43466</v>
      </c>
      <c r="F2116" s="129">
        <f>IFERROR(__xludf.DUMMYFUNCTION("""COMPUTED_VALUE"""),43484.0)</f>
        <v>43484</v>
      </c>
      <c r="G2116" s="154"/>
      <c r="H2116" s="131">
        <f>IFERROR(__xludf.DUMMYFUNCTION("""COMPUTED_VALUE"""),214155.0)</f>
        <v>214155</v>
      </c>
      <c r="I2116" s="144" t="str">
        <f>IFERROR(__xludf.DUMMYFUNCTION("""COMPUTED_VALUE"""),"01/19")</f>
        <v>01/19</v>
      </c>
      <c r="J2116" s="129">
        <f>IFERROR(__xludf.DUMMYFUNCTION("""COMPUTED_VALUE"""),43490.0)</f>
        <v>43490</v>
      </c>
      <c r="K2116" s="133">
        <f>IFERROR(__xludf.DUMMYFUNCTION("""COMPUTED_VALUE"""),18.0)</f>
        <v>18</v>
      </c>
      <c r="L2116" s="133">
        <f>IFERROR(__xludf.DUMMYFUNCTION("""COMPUTED_VALUE"""),6.0)</f>
        <v>6</v>
      </c>
      <c r="M2116" s="133">
        <f>IFERROR(__xludf.DUMMYFUNCTION("""COMPUTED_VALUE"""),24.0)</f>
        <v>24</v>
      </c>
      <c r="N2116" s="152" t="str">
        <f>IFERROR(__xludf.DUMMYFUNCTION("""COMPUTED_VALUE"""),"Model 3 LR AWD")</f>
        <v>Model 3 LR AWD</v>
      </c>
      <c r="O2116" s="152" t="str">
        <f>IFERROR(__xludf.DUMMYFUNCTION("""COMPUTED_VALUE"""),"Solid Black")</f>
        <v>Solid Black</v>
      </c>
      <c r="P2116" s="153" t="str">
        <f>IFERROR(__xludf.DUMMYFUNCTION("""COMPUTED_VALUE"""),"18 inch Aero")</f>
        <v>18 inch Aero</v>
      </c>
      <c r="Q2116" s="152" t="str">
        <f>IFERROR(__xludf.DUMMYFUNCTION("""COMPUTED_VALUE"""),"Black seats")</f>
        <v>Black seats</v>
      </c>
      <c r="R2116" s="149" t="str">
        <f>IFERROR(__xludf.DUMMYFUNCTION("""COMPUTED_VALUE"""),"Enhanced Autopilot")</f>
        <v>Enhanced Autopilot</v>
      </c>
      <c r="S2116" s="149"/>
      <c r="T2116" s="145"/>
      <c r="U2116" s="145"/>
      <c r="V2116" s="145"/>
      <c r="W2116" s="145"/>
      <c r="X2116" s="137" t="str">
        <f>IFERROR(__xludf.DUMMYFUNCTION("""COMPUTED_VALUE"""),"Excellent")</f>
        <v>Excellent</v>
      </c>
      <c r="Y2116" s="138" t="str">
        <f>IFERROR(__xludf.DUMMYFUNCTION("""COMPUTED_VALUE"""),"Excellent")</f>
        <v>Excellent</v>
      </c>
      <c r="Z2116" s="138" t="str">
        <f>IFERROR(__xludf.DUMMYFUNCTION("""COMPUTED_VALUE"""),"Very Good")</f>
        <v>Very Good</v>
      </c>
      <c r="AA2116" s="138" t="str">
        <f>IFERROR(__xludf.DUMMYFUNCTION("""COMPUTED_VALUE"""),"Excellent")</f>
        <v>Excellent</v>
      </c>
      <c r="AB2116" s="138" t="str">
        <f>IFERROR(__xludf.DUMMYFUNCTION("""COMPUTED_VALUE"""),"Excellent")</f>
        <v>Excellent</v>
      </c>
      <c r="AC2116" s="139"/>
      <c r="AD2116" s="139"/>
      <c r="AE2116" s="139"/>
      <c r="AF2116" s="140"/>
      <c r="AG2116" s="145"/>
      <c r="AH2116" s="157">
        <f>IFERROR(__xludf.DUMMYFUNCTION("""COMPUTED_VALUE"""),43491.57078130787)</f>
        <v>43491.57078</v>
      </c>
      <c r="AI2116" s="138"/>
      <c r="AJ2116" s="138"/>
      <c r="AK2116" s="138"/>
      <c r="AL2116" s="142"/>
    </row>
    <row r="2117" ht="20.25" customHeight="1">
      <c r="A2117" s="155" t="str">
        <f>IFERROR(__xludf.DUMMYFUNCTION("""COMPUTED_VALUE"""),"KiwiJosh")</f>
        <v>KiwiJosh</v>
      </c>
      <c r="B2117" s="149" t="str">
        <f>IFERROR(__xludf.DUMMYFUNCTION("""COMPUTED_VALUE"""),"Annapolis")</f>
        <v>Annapolis</v>
      </c>
      <c r="C2117" s="149" t="str">
        <f>IFERROR(__xludf.DUMMYFUNCTION("""COMPUTED_VALUE"""),"MD")</f>
        <v>MD</v>
      </c>
      <c r="D2117" s="149" t="str">
        <f>IFERROR(__xludf.DUMMYFUNCTION("""COMPUTED_VALUE"""),"USA")</f>
        <v>USA</v>
      </c>
      <c r="E2117" s="156">
        <f>IFERROR(__xludf.DUMMYFUNCTION("""COMPUTED_VALUE"""),43463.0)</f>
        <v>43463</v>
      </c>
      <c r="F2117" s="129">
        <f>IFERROR(__xludf.DUMMYFUNCTION("""COMPUTED_VALUE"""),43463.0)</f>
        <v>43463</v>
      </c>
      <c r="G2117" s="154"/>
      <c r="H2117" s="131">
        <f>IFERROR(__xludf.DUMMYFUNCTION("""COMPUTED_VALUE"""),121855.0)</f>
        <v>121855</v>
      </c>
      <c r="I2117" s="144" t="str">
        <f>IFERROR(__xludf.DUMMYFUNCTION("""COMPUTED_VALUE"""),"10/18")</f>
        <v>10/18</v>
      </c>
      <c r="J2117" s="129">
        <f>IFERROR(__xludf.DUMMYFUNCTION("""COMPUTED_VALUE"""),43465.0)</f>
        <v>43465</v>
      </c>
      <c r="K2117" s="133">
        <f>IFERROR(__xludf.DUMMYFUNCTION("""COMPUTED_VALUE"""),0.0)</f>
        <v>0</v>
      </c>
      <c r="L2117" s="133">
        <f>IFERROR(__xludf.DUMMYFUNCTION("""COMPUTED_VALUE"""),2.0)</f>
        <v>2</v>
      </c>
      <c r="M2117" s="133">
        <f>IFERROR(__xludf.DUMMYFUNCTION("""COMPUTED_VALUE"""),2.0)</f>
        <v>2</v>
      </c>
      <c r="N2117" s="152" t="str">
        <f>IFERROR(__xludf.DUMMYFUNCTION("""COMPUTED_VALUE"""),"Model 3 LR AWD")</f>
        <v>Model 3 LR AWD</v>
      </c>
      <c r="O2117" s="152" t="str">
        <f>IFERROR(__xludf.DUMMYFUNCTION("""COMPUTED_VALUE"""),"Deep Blue Metallic")</f>
        <v>Deep Blue Metallic</v>
      </c>
      <c r="P2117" s="153" t="str">
        <f>IFERROR(__xludf.DUMMYFUNCTION("""COMPUTED_VALUE"""),"19 inch Sport")</f>
        <v>19 inch Sport</v>
      </c>
      <c r="Q2117" s="152" t="str">
        <f>IFERROR(__xludf.DUMMYFUNCTION("""COMPUTED_VALUE"""),"Black seats")</f>
        <v>Black seats</v>
      </c>
      <c r="R2117" s="149" t="str">
        <f>IFERROR(__xludf.DUMMYFUNCTION("""COMPUTED_VALUE"""),"Enhanced Autopilot")</f>
        <v>Enhanced Autopilot</v>
      </c>
      <c r="S2117" s="149"/>
      <c r="T2117" s="145"/>
      <c r="U2117" s="145"/>
      <c r="V2117" s="145"/>
      <c r="W2117" s="145"/>
      <c r="X2117" s="137" t="str">
        <f>IFERROR(__xludf.DUMMYFUNCTION("""COMPUTED_VALUE"""),"Excellent")</f>
        <v>Excellent</v>
      </c>
      <c r="Y2117" s="138" t="str">
        <f>IFERROR(__xludf.DUMMYFUNCTION("""COMPUTED_VALUE"""),"Excellent")</f>
        <v>Excellent</v>
      </c>
      <c r="Z2117" s="138" t="str">
        <f>IFERROR(__xludf.DUMMYFUNCTION("""COMPUTED_VALUE"""),"Very Good")</f>
        <v>Very Good</v>
      </c>
      <c r="AA2117" s="138" t="str">
        <f>IFERROR(__xludf.DUMMYFUNCTION("""COMPUTED_VALUE"""),"Excellent")</f>
        <v>Excellent</v>
      </c>
      <c r="AB2117" s="138" t="str">
        <f>IFERROR(__xludf.DUMMYFUNCTION("""COMPUTED_VALUE"""),"Excellent")</f>
        <v>Excellent</v>
      </c>
      <c r="AC2117" s="139">
        <f>IFERROR(__xludf.DUMMYFUNCTION("""COMPUTED_VALUE"""),1.0)</f>
        <v>1</v>
      </c>
      <c r="AD2117" s="139"/>
      <c r="AE2117" s="139"/>
      <c r="AF2117" s="140"/>
      <c r="AG2117" s="145" t="str">
        <f>IFERROR(__xludf.DUMMYFUNCTION("""COMPUTED_VALUE"""),"We bought an inventory/test drive car that had a small scratch on the rear quarter panel.")</f>
        <v>We bought an inventory/test drive car that had a small scratch on the rear quarter panel.</v>
      </c>
      <c r="AH2117" s="157">
        <f>IFERROR(__xludf.DUMMYFUNCTION("""COMPUTED_VALUE"""),43467.382095891204)</f>
        <v>43467.3821</v>
      </c>
      <c r="AI2117" s="138"/>
      <c r="AJ2117" s="138"/>
      <c r="AK2117" s="138"/>
      <c r="AL2117" s="142"/>
    </row>
    <row r="2118" ht="20.25" customHeight="1">
      <c r="A2118" s="155" t="str">
        <f>IFERROR(__xludf.DUMMYFUNCTION("""COMPUTED_VALUE"""),"brianwebster")</f>
        <v>brianwebster</v>
      </c>
      <c r="B2118" s="149" t="str">
        <f>IFERROR(__xludf.DUMMYFUNCTION("""COMPUTED_VALUE"""),"Tulsa")</f>
        <v>Tulsa</v>
      </c>
      <c r="C2118" s="149" t="str">
        <f>IFERROR(__xludf.DUMMYFUNCTION("""COMPUTED_VALUE"""),"OK")</f>
        <v>OK</v>
      </c>
      <c r="D2118" s="149" t="str">
        <f>IFERROR(__xludf.DUMMYFUNCTION("""COMPUTED_VALUE"""),"USA")</f>
        <v>USA</v>
      </c>
      <c r="E2118" s="156">
        <f>IFERROR(__xludf.DUMMYFUNCTION("""COMPUTED_VALUE"""),43462.0)</f>
        <v>43462</v>
      </c>
      <c r="F2118" s="129">
        <f>IFERROR(__xludf.DUMMYFUNCTION("""COMPUTED_VALUE"""),43462.0)</f>
        <v>43462</v>
      </c>
      <c r="G2118" s="154"/>
      <c r="H2118" s="131">
        <f>IFERROR(__xludf.DUMMYFUNCTION("""COMPUTED_VALUE"""),171055.0)</f>
        <v>171055</v>
      </c>
      <c r="I2118" s="144" t="str">
        <f>IFERROR(__xludf.DUMMYFUNCTION("""COMPUTED_VALUE"""),"11/18")</f>
        <v>11/18</v>
      </c>
      <c r="J2118" s="129">
        <f>IFERROR(__xludf.DUMMYFUNCTION("""COMPUTED_VALUE"""),43462.0)</f>
        <v>43462</v>
      </c>
      <c r="K2118" s="133">
        <f>IFERROR(__xludf.DUMMYFUNCTION("""COMPUTED_VALUE"""),0.0)</f>
        <v>0</v>
      </c>
      <c r="L2118" s="133">
        <f>IFERROR(__xludf.DUMMYFUNCTION("""COMPUTED_VALUE"""),0.0)</f>
        <v>0</v>
      </c>
      <c r="M2118" s="133">
        <f>IFERROR(__xludf.DUMMYFUNCTION("""COMPUTED_VALUE"""),0.0)</f>
        <v>0</v>
      </c>
      <c r="N2118" s="152" t="str">
        <f>IFERROR(__xludf.DUMMYFUNCTION("""COMPUTED_VALUE"""),"Model 3 Performance")</f>
        <v>Model 3 Performance</v>
      </c>
      <c r="O2118" s="152" t="str">
        <f>IFERROR(__xludf.DUMMYFUNCTION("""COMPUTED_VALUE"""),"Solid Black")</f>
        <v>Solid Black</v>
      </c>
      <c r="P2118" s="153" t="str">
        <f>IFERROR(__xludf.DUMMYFUNCTION("""COMPUTED_VALUE"""),"20 inch Sport")</f>
        <v>20 inch Sport</v>
      </c>
      <c r="Q2118" s="152" t="str">
        <f>IFERROR(__xludf.DUMMYFUNCTION("""COMPUTED_VALUE"""),"White seats")</f>
        <v>White seats</v>
      </c>
      <c r="R2118" s="149" t="str">
        <f>IFERROR(__xludf.DUMMYFUNCTION("""COMPUTED_VALUE"""),"Enhanced Autopilot")</f>
        <v>Enhanced Autopilot</v>
      </c>
      <c r="S2118" s="149"/>
      <c r="T2118" s="145"/>
      <c r="U2118" s="145"/>
      <c r="V2118" s="145"/>
      <c r="W2118" s="145"/>
      <c r="X2118" s="137" t="str">
        <f>IFERROR(__xludf.DUMMYFUNCTION("""COMPUTED_VALUE"""),"Very Good")</f>
        <v>Very Good</v>
      </c>
      <c r="Y2118" s="138" t="str">
        <f>IFERROR(__xludf.DUMMYFUNCTION("""COMPUTED_VALUE"""),"Very Good")</f>
        <v>Very Good</v>
      </c>
      <c r="Z2118" s="138" t="str">
        <f>IFERROR(__xludf.DUMMYFUNCTION("""COMPUTED_VALUE"""),"Very Good")</f>
        <v>Very Good</v>
      </c>
      <c r="AA2118" s="138" t="str">
        <f>IFERROR(__xludf.DUMMYFUNCTION("""COMPUTED_VALUE"""),"Excellent")</f>
        <v>Excellent</v>
      </c>
      <c r="AB2118" s="138" t="str">
        <f>IFERROR(__xludf.DUMMYFUNCTION("""COMPUTED_VALUE"""),"Excellent")</f>
        <v>Excellent</v>
      </c>
      <c r="AC2118" s="139">
        <f>IFERROR(__xludf.DUMMYFUNCTION("""COMPUTED_VALUE"""),1.0)</f>
        <v>1</v>
      </c>
      <c r="AD2118" s="139"/>
      <c r="AE2118" s="139"/>
      <c r="AF2118" s="140"/>
      <c r="AG2118" s="145"/>
      <c r="AH2118" s="157">
        <f>IFERROR(__xludf.DUMMYFUNCTION("""COMPUTED_VALUE"""),43465.60810498842)</f>
        <v>43465.6081</v>
      </c>
      <c r="AI2118" s="138"/>
      <c r="AJ2118" s="138"/>
      <c r="AK2118" s="138"/>
      <c r="AL2118" s="142"/>
    </row>
    <row r="2119" ht="20.25" customHeight="1">
      <c r="A2119" s="155" t="str">
        <f>IFERROR(__xludf.DUMMYFUNCTION("""COMPUTED_VALUE"""),"joshchen30")</f>
        <v>joshchen30</v>
      </c>
      <c r="B2119" s="149" t="str">
        <f>IFERROR(__xludf.DUMMYFUNCTION("""COMPUTED_VALUE"""),"Vancouver")</f>
        <v>Vancouver</v>
      </c>
      <c r="C2119" s="149" t="str">
        <f>IFERROR(__xludf.DUMMYFUNCTION("""COMPUTED_VALUE"""),"BC")</f>
        <v>BC</v>
      </c>
      <c r="D2119" s="149" t="str">
        <f>IFERROR(__xludf.DUMMYFUNCTION("""COMPUTED_VALUE"""),"Canada")</f>
        <v>Canada</v>
      </c>
      <c r="E2119" s="156">
        <f>IFERROR(__xludf.DUMMYFUNCTION("""COMPUTED_VALUE"""),43461.0)</f>
        <v>43461</v>
      </c>
      <c r="F2119" s="129">
        <f>IFERROR(__xludf.DUMMYFUNCTION("""COMPUTED_VALUE"""),43503.0)</f>
        <v>43503</v>
      </c>
      <c r="G2119" s="154"/>
      <c r="H2119" s="131">
        <f>IFERROR(__xludf.DUMMYFUNCTION("""COMPUTED_VALUE"""),231845.0)</f>
        <v>231845</v>
      </c>
      <c r="I2119" s="144"/>
      <c r="J2119" s="129">
        <f>IFERROR(__xludf.DUMMYFUNCTION("""COMPUTED_VALUE"""),43505.0)</f>
        <v>43505</v>
      </c>
      <c r="K2119" s="133">
        <f>IFERROR(__xludf.DUMMYFUNCTION("""COMPUTED_VALUE"""),42.0)</f>
        <v>42</v>
      </c>
      <c r="L2119" s="133">
        <f>IFERROR(__xludf.DUMMYFUNCTION("""COMPUTED_VALUE"""),2.0)</f>
        <v>2</v>
      </c>
      <c r="M2119" s="133">
        <f>IFERROR(__xludf.DUMMYFUNCTION("""COMPUTED_VALUE"""),44.0)</f>
        <v>44</v>
      </c>
      <c r="N2119" s="152" t="str">
        <f>IFERROR(__xludf.DUMMYFUNCTION("""COMPUTED_VALUE"""),"Model 3 MR")</f>
        <v>Model 3 MR</v>
      </c>
      <c r="O2119" s="152" t="str">
        <f>IFERROR(__xludf.DUMMYFUNCTION("""COMPUTED_VALUE"""),"Deep Blue Metallic")</f>
        <v>Deep Blue Metallic</v>
      </c>
      <c r="P2119" s="153" t="str">
        <f>IFERROR(__xludf.DUMMYFUNCTION("""COMPUTED_VALUE"""),"19 inch Sport")</f>
        <v>19 inch Sport</v>
      </c>
      <c r="Q2119" s="152" t="str">
        <f>IFERROR(__xludf.DUMMYFUNCTION("""COMPUTED_VALUE"""),"Black seats")</f>
        <v>Black seats</v>
      </c>
      <c r="R2119" s="149" t="str">
        <f>IFERROR(__xludf.DUMMYFUNCTION("""COMPUTED_VALUE"""),"None")</f>
        <v>None</v>
      </c>
      <c r="S2119" s="149"/>
      <c r="T2119" s="145"/>
      <c r="U2119" s="145"/>
      <c r="V2119" s="145"/>
      <c r="W2119" s="145"/>
      <c r="X2119" s="137" t="str">
        <f>IFERROR(__xludf.DUMMYFUNCTION("""COMPUTED_VALUE"""),"Fair")</f>
        <v>Fair</v>
      </c>
      <c r="Y2119" s="138" t="str">
        <f>IFERROR(__xludf.DUMMYFUNCTION("""COMPUTED_VALUE"""),"Excellent")</f>
        <v>Excellent</v>
      </c>
      <c r="Z2119" s="138" t="str">
        <f>IFERROR(__xludf.DUMMYFUNCTION("""COMPUTED_VALUE"""),"Fair")</f>
        <v>Fair</v>
      </c>
      <c r="AA2119" s="138" t="str">
        <f>IFERROR(__xludf.DUMMYFUNCTION("""COMPUTED_VALUE"""),"Very Good")</f>
        <v>Very Good</v>
      </c>
      <c r="AB2119" s="138" t="str">
        <f>IFERROR(__xludf.DUMMYFUNCTION("""COMPUTED_VALUE"""),"Good")</f>
        <v>Good</v>
      </c>
      <c r="AC2119" s="139">
        <f>IFERROR(__xludf.DUMMYFUNCTION("""COMPUTED_VALUE"""),4.0)</f>
        <v>4</v>
      </c>
      <c r="AD2119" s="139">
        <f>IFERROR(__xludf.DUMMYFUNCTION("""COMPUTED_VALUE"""),2.0)</f>
        <v>2</v>
      </c>
      <c r="AE2119" s="139">
        <f>IFERROR(__xludf.DUMMYFUNCTION("""COMPUTED_VALUE"""),11.0)</f>
        <v>11</v>
      </c>
      <c r="AF2119" s="140"/>
      <c r="AG2119" s="145"/>
      <c r="AH2119" s="157">
        <f>IFERROR(__xludf.DUMMYFUNCTION("""COMPUTED_VALUE"""),43530.48957145834)</f>
        <v>43530.48957</v>
      </c>
      <c r="AI2119" s="138"/>
      <c r="AJ2119" s="138"/>
      <c r="AK2119" s="138"/>
      <c r="AL2119" s="142"/>
    </row>
    <row r="2120" ht="20.25" customHeight="1">
      <c r="A2120" s="155" t="str">
        <f>IFERROR(__xludf.DUMMYFUNCTION("""COMPUTED_VALUE"""),"Gobletfullofcobras")</f>
        <v>Gobletfullofcobras</v>
      </c>
      <c r="B2120" s="149" t="str">
        <f>IFERROR(__xludf.DUMMYFUNCTION("""COMPUTED_VALUE"""),"Temecula")</f>
        <v>Temecula</v>
      </c>
      <c r="C2120" s="149" t="str">
        <f>IFERROR(__xludf.DUMMYFUNCTION("""COMPUTED_VALUE"""),"CA")</f>
        <v>CA</v>
      </c>
      <c r="D2120" s="149" t="str">
        <f>IFERROR(__xludf.DUMMYFUNCTION("""COMPUTED_VALUE"""),"USA")</f>
        <v>USA</v>
      </c>
      <c r="E2120" s="156">
        <f>IFERROR(__xludf.DUMMYFUNCTION("""COMPUTED_VALUE"""),43457.0)</f>
        <v>43457</v>
      </c>
      <c r="F2120" s="129">
        <f>IFERROR(__xludf.DUMMYFUNCTION("""COMPUTED_VALUE"""),43460.0)</f>
        <v>43460</v>
      </c>
      <c r="G2120" s="154"/>
      <c r="H2120" s="131">
        <f>IFERROR(__xludf.DUMMYFUNCTION("""COMPUTED_VALUE"""),122244.0)</f>
        <v>122244</v>
      </c>
      <c r="I2120" s="144" t="str">
        <f>IFERROR(__xludf.DUMMYFUNCTION("""COMPUTED_VALUE"""),"12/18")</f>
        <v>12/18</v>
      </c>
      <c r="J2120" s="129">
        <f>IFERROR(__xludf.DUMMYFUNCTION("""COMPUTED_VALUE"""),43462.0)</f>
        <v>43462</v>
      </c>
      <c r="K2120" s="133">
        <f>IFERROR(__xludf.DUMMYFUNCTION("""COMPUTED_VALUE"""),3.0)</f>
        <v>3</v>
      </c>
      <c r="L2120" s="133">
        <f>IFERROR(__xludf.DUMMYFUNCTION("""COMPUTED_VALUE"""),2.0)</f>
        <v>2</v>
      </c>
      <c r="M2120" s="133">
        <f>IFERROR(__xludf.DUMMYFUNCTION("""COMPUTED_VALUE"""),5.0)</f>
        <v>5</v>
      </c>
      <c r="N2120" s="152" t="str">
        <f>IFERROR(__xludf.DUMMYFUNCTION("""COMPUTED_VALUE"""),"Model 3 LR AWD")</f>
        <v>Model 3 LR AWD</v>
      </c>
      <c r="O2120" s="152" t="str">
        <f>IFERROR(__xludf.DUMMYFUNCTION("""COMPUTED_VALUE"""),"Pearl White Multi-Coat")</f>
        <v>Pearl White Multi-Coat</v>
      </c>
      <c r="P2120" s="153" t="str">
        <f>IFERROR(__xludf.DUMMYFUNCTION("""COMPUTED_VALUE"""),"18 inch Aero")</f>
        <v>18 inch Aero</v>
      </c>
      <c r="Q2120" s="152" t="str">
        <f>IFERROR(__xludf.DUMMYFUNCTION("""COMPUTED_VALUE"""),"White seats")</f>
        <v>White seats</v>
      </c>
      <c r="R2120" s="149" t="str">
        <f>IFERROR(__xludf.DUMMYFUNCTION("""COMPUTED_VALUE"""),"Enhanced Autopilot")</f>
        <v>Enhanced Autopilot</v>
      </c>
      <c r="S2120" s="149"/>
      <c r="T2120" s="145"/>
      <c r="U2120" s="145"/>
      <c r="V2120" s="145"/>
      <c r="W2120" s="145"/>
      <c r="X2120" s="137" t="str">
        <f>IFERROR(__xludf.DUMMYFUNCTION("""COMPUTED_VALUE"""),"Good")</f>
        <v>Good</v>
      </c>
      <c r="Y2120" s="138" t="str">
        <f>IFERROR(__xludf.DUMMYFUNCTION("""COMPUTED_VALUE"""),"Excellent")</f>
        <v>Excellent</v>
      </c>
      <c r="Z2120" s="138" t="str">
        <f>IFERROR(__xludf.DUMMYFUNCTION("""COMPUTED_VALUE"""),"Excellent")</f>
        <v>Excellent</v>
      </c>
      <c r="AA2120" s="138" t="str">
        <f>IFERROR(__xludf.DUMMYFUNCTION("""COMPUTED_VALUE"""),"Excellent")</f>
        <v>Excellent</v>
      </c>
      <c r="AB2120" s="138" t="str">
        <f>IFERROR(__xludf.DUMMYFUNCTION("""COMPUTED_VALUE"""),"Excellent")</f>
        <v>Excellent</v>
      </c>
      <c r="AC2120" s="139"/>
      <c r="AD2120" s="139"/>
      <c r="AE2120" s="139"/>
      <c r="AF2120" s="140"/>
      <c r="AG2120" s="145"/>
      <c r="AH2120" s="157">
        <f>IFERROR(__xludf.DUMMYFUNCTION("""COMPUTED_VALUE"""),43462.827023784725)</f>
        <v>43462.82702</v>
      </c>
      <c r="AI2120" s="138"/>
      <c r="AJ2120" s="138"/>
      <c r="AK2120" s="138"/>
      <c r="AL2120" s="142"/>
    </row>
    <row r="2121" ht="20.25" customHeight="1">
      <c r="A2121" s="155" t="str">
        <f>IFERROR(__xludf.DUMMYFUNCTION("""COMPUTED_VALUE"""),"lkogan")</f>
        <v>lkogan</v>
      </c>
      <c r="B2121" s="149" t="str">
        <f>IFERROR(__xludf.DUMMYFUNCTION("""COMPUTED_VALUE"""),"San Mateo")</f>
        <v>San Mateo</v>
      </c>
      <c r="C2121" s="149" t="str">
        <f>IFERROR(__xludf.DUMMYFUNCTION("""COMPUTED_VALUE"""),"CA")</f>
        <v>CA</v>
      </c>
      <c r="D2121" s="149" t="str">
        <f>IFERROR(__xludf.DUMMYFUNCTION("""COMPUTED_VALUE"""),"USA")</f>
        <v>USA</v>
      </c>
      <c r="E2121" s="156">
        <f>IFERROR(__xludf.DUMMYFUNCTION("""COMPUTED_VALUE"""),43456.0)</f>
        <v>43456</v>
      </c>
      <c r="F2121" s="129">
        <f>IFERROR(__xludf.DUMMYFUNCTION("""COMPUTED_VALUE"""),43460.0)</f>
        <v>43460</v>
      </c>
      <c r="G2121" s="154"/>
      <c r="H2121" s="131">
        <f>IFERROR(__xludf.DUMMYFUNCTION("""COMPUTED_VALUE"""),172455.0)</f>
        <v>172455</v>
      </c>
      <c r="I2121" s="144"/>
      <c r="J2121" s="129">
        <f>IFERROR(__xludf.DUMMYFUNCTION("""COMPUTED_VALUE"""),43461.0)</f>
        <v>43461</v>
      </c>
      <c r="K2121" s="133">
        <f>IFERROR(__xludf.DUMMYFUNCTION("""COMPUTED_VALUE"""),4.0)</f>
        <v>4</v>
      </c>
      <c r="L2121" s="133">
        <f>IFERROR(__xludf.DUMMYFUNCTION("""COMPUTED_VALUE"""),1.0)</f>
        <v>1</v>
      </c>
      <c r="M2121" s="133">
        <f>IFERROR(__xludf.DUMMYFUNCTION("""COMPUTED_VALUE"""),5.0)</f>
        <v>5</v>
      </c>
      <c r="N2121" s="152" t="str">
        <f>IFERROR(__xludf.DUMMYFUNCTION("""COMPUTED_VALUE"""),"Model 3 MR")</f>
        <v>Model 3 MR</v>
      </c>
      <c r="O2121" s="152" t="str">
        <f>IFERROR(__xludf.DUMMYFUNCTION("""COMPUTED_VALUE"""),"Solid Black")</f>
        <v>Solid Black</v>
      </c>
      <c r="P2121" s="153" t="str">
        <f>IFERROR(__xludf.DUMMYFUNCTION("""COMPUTED_VALUE"""),"18 inch Aero")</f>
        <v>18 inch Aero</v>
      </c>
      <c r="Q2121" s="152" t="str">
        <f>IFERROR(__xludf.DUMMYFUNCTION("""COMPUTED_VALUE"""),"Black seats")</f>
        <v>Black seats</v>
      </c>
      <c r="R2121" s="149" t="str">
        <f>IFERROR(__xludf.DUMMYFUNCTION("""COMPUTED_VALUE"""),"None")</f>
        <v>None</v>
      </c>
      <c r="S2121" s="149"/>
      <c r="T2121" s="145"/>
      <c r="U2121" s="145"/>
      <c r="V2121" s="145"/>
      <c r="W2121" s="145"/>
      <c r="X2121" s="137" t="str">
        <f>IFERROR(__xludf.DUMMYFUNCTION("""COMPUTED_VALUE"""),"Good")</f>
        <v>Good</v>
      </c>
      <c r="Y2121" s="138" t="str">
        <f>IFERROR(__xludf.DUMMYFUNCTION("""COMPUTED_VALUE"""),"Very Good")</f>
        <v>Very Good</v>
      </c>
      <c r="Z2121" s="138" t="str">
        <f>IFERROR(__xludf.DUMMYFUNCTION("""COMPUTED_VALUE"""),"Very Good")</f>
        <v>Very Good</v>
      </c>
      <c r="AA2121" s="138" t="str">
        <f>IFERROR(__xludf.DUMMYFUNCTION("""COMPUTED_VALUE"""),"Excellent")</f>
        <v>Excellent</v>
      </c>
      <c r="AB2121" s="138" t="str">
        <f>IFERROR(__xludf.DUMMYFUNCTION("""COMPUTED_VALUE"""),"Excellent")</f>
        <v>Excellent</v>
      </c>
      <c r="AC2121" s="139"/>
      <c r="AD2121" s="139"/>
      <c r="AE2121" s="139"/>
      <c r="AF2121" s="140"/>
      <c r="AG2121" s="145"/>
      <c r="AH2121" s="157">
        <f>IFERROR(__xludf.DUMMYFUNCTION("""COMPUTED_VALUE"""),43468.371241851855)</f>
        <v>43468.37124</v>
      </c>
      <c r="AI2121" s="138"/>
      <c r="AJ2121" s="138"/>
      <c r="AK2121" s="138"/>
      <c r="AL2121" s="142"/>
    </row>
    <row r="2122" ht="20.25" customHeight="1">
      <c r="A2122" s="155" t="str">
        <f>IFERROR(__xludf.DUMMYFUNCTION("""COMPUTED_VALUE"""),"CarlosTT")</f>
        <v>CarlosTT</v>
      </c>
      <c r="B2122" s="149" t="str">
        <f>IFERROR(__xludf.DUMMYFUNCTION("""COMPUTED_VALUE"""),"Bad Honnef")</f>
        <v>Bad Honnef</v>
      </c>
      <c r="C2122" s="149"/>
      <c r="D2122" s="149" t="str">
        <f>IFERROR(__xludf.DUMMYFUNCTION("""COMPUTED_VALUE"""),"Germany")</f>
        <v>Germany</v>
      </c>
      <c r="E2122" s="156">
        <f>IFERROR(__xludf.DUMMYFUNCTION("""COMPUTED_VALUE"""),43455.0)</f>
        <v>43455</v>
      </c>
      <c r="F2122" s="129">
        <f>IFERROR(__xludf.DUMMYFUNCTION("""COMPUTED_VALUE"""),43504.0)</f>
        <v>43504</v>
      </c>
      <c r="G2122" s="154"/>
      <c r="H2122" s="131">
        <f>IFERROR(__xludf.DUMMYFUNCTION("""COMPUTED_VALUE"""),207647.0)</f>
        <v>207647</v>
      </c>
      <c r="I2122" s="144"/>
      <c r="J2122" s="129">
        <f>IFERROR(__xludf.DUMMYFUNCTION("""COMPUTED_VALUE"""),43518.0)</f>
        <v>43518</v>
      </c>
      <c r="K2122" s="133">
        <f>IFERROR(__xludf.DUMMYFUNCTION("""COMPUTED_VALUE"""),49.0)</f>
        <v>49</v>
      </c>
      <c r="L2122" s="133">
        <f>IFERROR(__xludf.DUMMYFUNCTION("""COMPUTED_VALUE"""),14.0)</f>
        <v>14</v>
      </c>
      <c r="M2122" s="133">
        <f>IFERROR(__xludf.DUMMYFUNCTION("""COMPUTED_VALUE"""),63.0)</f>
        <v>63</v>
      </c>
      <c r="N2122" s="152" t="str">
        <f>IFERROR(__xludf.DUMMYFUNCTION("""COMPUTED_VALUE"""),"Model 3 Performance")</f>
        <v>Model 3 Performance</v>
      </c>
      <c r="O2122" s="152" t="str">
        <f>IFERROR(__xludf.DUMMYFUNCTION("""COMPUTED_VALUE"""),"Deep Blue Metallic")</f>
        <v>Deep Blue Metallic</v>
      </c>
      <c r="P2122" s="153" t="str">
        <f>IFERROR(__xludf.DUMMYFUNCTION("""COMPUTED_VALUE"""),"20 inch Sport")</f>
        <v>20 inch Sport</v>
      </c>
      <c r="Q2122" s="152" t="str">
        <f>IFERROR(__xludf.DUMMYFUNCTION("""COMPUTED_VALUE"""),"Black seats")</f>
        <v>Black seats</v>
      </c>
      <c r="R2122" s="149" t="str">
        <f>IFERROR(__xludf.DUMMYFUNCTION("""COMPUTED_VALUE"""),"Autopilot")</f>
        <v>Autopilot</v>
      </c>
      <c r="S2122" s="149"/>
      <c r="T2122" s="145"/>
      <c r="U2122" s="145"/>
      <c r="V2122" s="145"/>
      <c r="W2122" s="145"/>
      <c r="X2122" s="137" t="str">
        <f>IFERROR(__xludf.DUMMYFUNCTION("""COMPUTED_VALUE"""),"Good")</f>
        <v>Good</v>
      </c>
      <c r="Y2122" s="138" t="str">
        <f>IFERROR(__xludf.DUMMYFUNCTION("""COMPUTED_VALUE"""),"Good")</f>
        <v>Good</v>
      </c>
      <c r="Z2122" s="138" t="str">
        <f>IFERROR(__xludf.DUMMYFUNCTION("""COMPUTED_VALUE"""),"Fair")</f>
        <v>Fair</v>
      </c>
      <c r="AA2122" s="138" t="str">
        <f>IFERROR(__xludf.DUMMYFUNCTION("""COMPUTED_VALUE"""),"Poor")</f>
        <v>Poor</v>
      </c>
      <c r="AB2122" s="138" t="str">
        <f>IFERROR(__xludf.DUMMYFUNCTION("""COMPUTED_VALUE"""),"Good")</f>
        <v>Good</v>
      </c>
      <c r="AC2122" s="139">
        <f>IFERROR(__xludf.DUMMYFUNCTION("""COMPUTED_VALUE"""),3.0)</f>
        <v>3</v>
      </c>
      <c r="AD2122" s="139">
        <f>IFERROR(__xludf.DUMMYFUNCTION("""COMPUTED_VALUE"""),1.0)</f>
        <v>1</v>
      </c>
      <c r="AE2122" s="139">
        <f>IFERROR(__xludf.DUMMYFUNCTION("""COMPUTED_VALUE"""),0.0)</f>
        <v>0</v>
      </c>
      <c r="AF2122" s="140"/>
      <c r="AG2122" s="145"/>
      <c r="AH2122" s="157">
        <f>IFERROR(__xludf.DUMMYFUNCTION("""COMPUTED_VALUE"""),43577.15566298611)</f>
        <v>43577.15566</v>
      </c>
      <c r="AI2122" s="138"/>
      <c r="AJ2122" s="138"/>
      <c r="AK2122" s="138"/>
      <c r="AL2122" s="142"/>
    </row>
    <row r="2123" ht="20.25" customHeight="1">
      <c r="A2123" s="155" t="str">
        <f>IFERROR(__xludf.DUMMYFUNCTION("""COMPUTED_VALUE"""),"cbelze")</f>
        <v>cbelze</v>
      </c>
      <c r="B2123" s="149" t="str">
        <f>IFERROR(__xludf.DUMMYFUNCTION("""COMPUTED_VALUE"""),"Wedemark Elze")</f>
        <v>Wedemark Elze</v>
      </c>
      <c r="C2123" s="149"/>
      <c r="D2123" s="149" t="str">
        <f>IFERROR(__xludf.DUMMYFUNCTION("""COMPUTED_VALUE"""),"Germany")</f>
        <v>Germany</v>
      </c>
      <c r="E2123" s="156">
        <f>IFERROR(__xludf.DUMMYFUNCTION("""COMPUTED_VALUE"""),43455.0)</f>
        <v>43455</v>
      </c>
      <c r="F2123" s="129">
        <f>IFERROR(__xludf.DUMMYFUNCTION("""COMPUTED_VALUE"""),43544.0)</f>
        <v>43544</v>
      </c>
      <c r="G2123" s="154"/>
      <c r="H2123" s="131">
        <f>IFERROR(__xludf.DUMMYFUNCTION("""COMPUTED_VALUE"""),241955.0)</f>
        <v>241955</v>
      </c>
      <c r="I2123" s="144"/>
      <c r="J2123" s="129">
        <f>IFERROR(__xludf.DUMMYFUNCTION("""COMPUTED_VALUE"""),43551.0)</f>
        <v>43551</v>
      </c>
      <c r="K2123" s="133">
        <f>IFERROR(__xludf.DUMMYFUNCTION("""COMPUTED_VALUE"""),89.0)</f>
        <v>89</v>
      </c>
      <c r="L2123" s="133">
        <f>IFERROR(__xludf.DUMMYFUNCTION("""COMPUTED_VALUE"""),7.0)</f>
        <v>7</v>
      </c>
      <c r="M2123" s="133">
        <f>IFERROR(__xludf.DUMMYFUNCTION("""COMPUTED_VALUE"""),96.0)</f>
        <v>96</v>
      </c>
      <c r="N2123" s="152" t="str">
        <f>IFERROR(__xludf.DUMMYFUNCTION("""COMPUTED_VALUE"""),"Model 3 LR AWD")</f>
        <v>Model 3 LR AWD</v>
      </c>
      <c r="O2123" s="152" t="str">
        <f>IFERROR(__xludf.DUMMYFUNCTION("""COMPUTED_VALUE"""),"Midnight Silver Metallic")</f>
        <v>Midnight Silver Metallic</v>
      </c>
      <c r="P2123" s="153" t="str">
        <f>IFERROR(__xludf.DUMMYFUNCTION("""COMPUTED_VALUE"""),"19 inch Sport")</f>
        <v>19 inch Sport</v>
      </c>
      <c r="Q2123" s="152" t="str">
        <f>IFERROR(__xludf.DUMMYFUNCTION("""COMPUTED_VALUE"""),"Black seats")</f>
        <v>Black seats</v>
      </c>
      <c r="R2123" s="149" t="str">
        <f>IFERROR(__xludf.DUMMYFUNCTION("""COMPUTED_VALUE"""),"Autopilot")</f>
        <v>Autopilot</v>
      </c>
      <c r="S2123" s="149"/>
      <c r="T2123" s="145"/>
      <c r="U2123" s="145"/>
      <c r="V2123" s="145"/>
      <c r="W2123" s="145"/>
      <c r="X2123" s="137" t="str">
        <f>IFERROR(__xludf.DUMMYFUNCTION("""COMPUTED_VALUE"""),"Very Good")</f>
        <v>Very Good</v>
      </c>
      <c r="Y2123" s="138" t="str">
        <f>IFERROR(__xludf.DUMMYFUNCTION("""COMPUTED_VALUE"""),"Very Good")</f>
        <v>Very Good</v>
      </c>
      <c r="Z2123" s="138" t="str">
        <f>IFERROR(__xludf.DUMMYFUNCTION("""COMPUTED_VALUE"""),"Very Good")</f>
        <v>Very Good</v>
      </c>
      <c r="AA2123" s="138" t="str">
        <f>IFERROR(__xludf.DUMMYFUNCTION("""COMPUTED_VALUE"""),"Very Good")</f>
        <v>Very Good</v>
      </c>
      <c r="AB2123" s="138" t="str">
        <f>IFERROR(__xludf.DUMMYFUNCTION("""COMPUTED_VALUE"""),"Good")</f>
        <v>Good</v>
      </c>
      <c r="AC2123" s="139">
        <f>IFERROR(__xludf.DUMMYFUNCTION("""COMPUTED_VALUE"""),0.0)</f>
        <v>0</v>
      </c>
      <c r="AD2123" s="139"/>
      <c r="AE2123" s="139"/>
      <c r="AF2123" s="140"/>
      <c r="AG2123" s="145"/>
      <c r="AH2123" s="157">
        <f>IFERROR(__xludf.DUMMYFUNCTION("""COMPUTED_VALUE"""),43601.95079945602)</f>
        <v>43601.9508</v>
      </c>
      <c r="AI2123" s="138"/>
      <c r="AJ2123" s="138"/>
      <c r="AK2123" s="138"/>
      <c r="AL2123" s="142"/>
    </row>
    <row r="2124" ht="20.25" customHeight="1">
      <c r="A2124" s="155" t="str">
        <f>IFERROR(__xludf.DUMMYFUNCTION("""COMPUTED_VALUE"""),"guidom")</f>
        <v>guidom</v>
      </c>
      <c r="B2124" s="149" t="str">
        <f>IFERROR(__xludf.DUMMYFUNCTION("""COMPUTED_VALUE"""),"Freiburg")</f>
        <v>Freiburg</v>
      </c>
      <c r="C2124" s="149"/>
      <c r="D2124" s="149" t="str">
        <f>IFERROR(__xludf.DUMMYFUNCTION("""COMPUTED_VALUE"""),"Germany")</f>
        <v>Germany</v>
      </c>
      <c r="E2124" s="156">
        <f>IFERROR(__xludf.DUMMYFUNCTION("""COMPUTED_VALUE"""),43455.0)</f>
        <v>43455</v>
      </c>
      <c r="F2124" s="129">
        <f>IFERROR(__xludf.DUMMYFUNCTION("""COMPUTED_VALUE"""),43521.0)</f>
        <v>43521</v>
      </c>
      <c r="G2124" s="154"/>
      <c r="H2124" s="131">
        <f>IFERROR(__xludf.DUMMYFUNCTION("""COMPUTED_VALUE"""),217417.0)</f>
        <v>217417</v>
      </c>
      <c r="I2124" s="144"/>
      <c r="J2124" s="129">
        <f>IFERROR(__xludf.DUMMYFUNCTION("""COMPUTED_VALUE"""),43524.0)</f>
        <v>43524</v>
      </c>
      <c r="K2124" s="133">
        <f>IFERROR(__xludf.DUMMYFUNCTION("""COMPUTED_VALUE"""),66.0)</f>
        <v>66</v>
      </c>
      <c r="L2124" s="133">
        <f>IFERROR(__xludf.DUMMYFUNCTION("""COMPUTED_VALUE"""),3.0)</f>
        <v>3</v>
      </c>
      <c r="M2124" s="133">
        <f>IFERROR(__xludf.DUMMYFUNCTION("""COMPUTED_VALUE"""),69.0)</f>
        <v>69</v>
      </c>
      <c r="N2124" s="152" t="str">
        <f>IFERROR(__xludf.DUMMYFUNCTION("""COMPUTED_VALUE"""),"Model 3 LR AWD")</f>
        <v>Model 3 LR AWD</v>
      </c>
      <c r="O2124" s="152" t="str">
        <f>IFERROR(__xludf.DUMMYFUNCTION("""COMPUTED_VALUE"""),"Solid Black")</f>
        <v>Solid Black</v>
      </c>
      <c r="P2124" s="153" t="str">
        <f>IFERROR(__xludf.DUMMYFUNCTION("""COMPUTED_VALUE"""),"18 inch Aero")</f>
        <v>18 inch Aero</v>
      </c>
      <c r="Q2124" s="152" t="str">
        <f>IFERROR(__xludf.DUMMYFUNCTION("""COMPUTED_VALUE"""),"Black seats")</f>
        <v>Black seats</v>
      </c>
      <c r="R2124" s="149"/>
      <c r="S2124" s="149"/>
      <c r="T2124" s="145"/>
      <c r="U2124" s="145"/>
      <c r="V2124" s="145"/>
      <c r="W2124" s="145"/>
      <c r="X2124" s="137" t="str">
        <f>IFERROR(__xludf.DUMMYFUNCTION("""COMPUTED_VALUE"""),"Excellent")</f>
        <v>Excellent</v>
      </c>
      <c r="Y2124" s="138" t="str">
        <f>IFERROR(__xludf.DUMMYFUNCTION("""COMPUTED_VALUE"""),"Excellent")</f>
        <v>Excellent</v>
      </c>
      <c r="Z2124" s="138" t="str">
        <f>IFERROR(__xludf.DUMMYFUNCTION("""COMPUTED_VALUE"""),"Excellent")</f>
        <v>Excellent</v>
      </c>
      <c r="AA2124" s="138" t="str">
        <f>IFERROR(__xludf.DUMMYFUNCTION("""COMPUTED_VALUE"""),"Poor")</f>
        <v>Poor</v>
      </c>
      <c r="AB2124" s="138" t="str">
        <f>IFERROR(__xludf.DUMMYFUNCTION("""COMPUTED_VALUE"""),"Fair")</f>
        <v>Fair</v>
      </c>
      <c r="AC2124" s="139">
        <f>IFERROR(__xludf.DUMMYFUNCTION("""COMPUTED_VALUE"""),1.0)</f>
        <v>1</v>
      </c>
      <c r="AD2124" s="139">
        <f>IFERROR(__xludf.DUMMYFUNCTION("""COMPUTED_VALUE"""),2.0)</f>
        <v>2</v>
      </c>
      <c r="AE2124" s="139">
        <f>IFERROR(__xludf.DUMMYFUNCTION("""COMPUTED_VALUE"""),0.0)</f>
        <v>0</v>
      </c>
      <c r="AF2124" s="140"/>
      <c r="AG2124" s="145" t="str">
        <f>IFERROR(__xludf.DUMMYFUNCTION("""COMPUTED_VALUE"""),"was promised Autopilot upgrade after 1 March 2019 price drop, still not received. Some scratches in paint at delivery were buffed out by SC. SC staff are great but online and telephone staff in Germany are the worst I have ever seen.")</f>
        <v>was promised Autopilot upgrade after 1 March 2019 price drop, still not received. Some scratches in paint at delivery were buffed out by SC. SC staff are great but online and telephone staff in Germany are the worst I have ever seen.</v>
      </c>
      <c r="AH2124" s="157">
        <f>IFERROR(__xludf.DUMMYFUNCTION("""COMPUTED_VALUE"""),43687.60564990741)</f>
        <v>43687.60565</v>
      </c>
      <c r="AI2124" s="138"/>
      <c r="AJ2124" s="138"/>
      <c r="AK2124" s="138"/>
      <c r="AL2124" s="142"/>
    </row>
    <row r="2125" ht="20.25" customHeight="1">
      <c r="A2125" s="155" t="str">
        <f>IFERROR(__xludf.DUMMYFUNCTION("""COMPUTED_VALUE"""),"mutle")</f>
        <v>mutle</v>
      </c>
      <c r="B2125" s="149" t="str">
        <f>IFERROR(__xludf.DUMMYFUNCTION("""COMPUTED_VALUE"""),"Düsseldorf")</f>
        <v>Düsseldorf</v>
      </c>
      <c r="C2125" s="149"/>
      <c r="D2125" s="149" t="str">
        <f>IFERROR(__xludf.DUMMYFUNCTION("""COMPUTED_VALUE"""),"Germany")</f>
        <v>Germany</v>
      </c>
      <c r="E2125" s="156">
        <f>IFERROR(__xludf.DUMMYFUNCTION("""COMPUTED_VALUE"""),43455.0)</f>
        <v>43455</v>
      </c>
      <c r="F2125" s="129">
        <f>IFERROR(__xludf.DUMMYFUNCTION("""COMPUTED_VALUE"""),43528.0)</f>
        <v>43528</v>
      </c>
      <c r="G2125" s="154"/>
      <c r="H2125" s="131">
        <f>IFERROR(__xludf.DUMMYFUNCTION("""COMPUTED_VALUE"""),198455.0)</f>
        <v>198455</v>
      </c>
      <c r="I2125" s="144" t="str">
        <f>IFERROR(__xludf.DUMMYFUNCTION("""COMPUTED_VALUE"""),"01/19")</f>
        <v>01/19</v>
      </c>
      <c r="J2125" s="129">
        <f>IFERROR(__xludf.DUMMYFUNCTION("""COMPUTED_VALUE"""),43532.0)</f>
        <v>43532</v>
      </c>
      <c r="K2125" s="133">
        <f>IFERROR(__xludf.DUMMYFUNCTION("""COMPUTED_VALUE"""),73.0)</f>
        <v>73</v>
      </c>
      <c r="L2125" s="133">
        <f>IFERROR(__xludf.DUMMYFUNCTION("""COMPUTED_VALUE"""),4.0)</f>
        <v>4</v>
      </c>
      <c r="M2125" s="133">
        <f>IFERROR(__xludf.DUMMYFUNCTION("""COMPUTED_VALUE"""),77.0)</f>
        <v>77</v>
      </c>
      <c r="N2125" s="152" t="str">
        <f>IFERROR(__xludf.DUMMYFUNCTION("""COMPUTED_VALUE"""),"Model 3 Performance")</f>
        <v>Model 3 Performance</v>
      </c>
      <c r="O2125" s="152" t="str">
        <f>IFERROR(__xludf.DUMMYFUNCTION("""COMPUTED_VALUE"""),"Midnight Silver Metallic")</f>
        <v>Midnight Silver Metallic</v>
      </c>
      <c r="P2125" s="153" t="str">
        <f>IFERROR(__xludf.DUMMYFUNCTION("""COMPUTED_VALUE"""),"20 inch Sport")</f>
        <v>20 inch Sport</v>
      </c>
      <c r="Q2125" s="152" t="str">
        <f>IFERROR(__xludf.DUMMYFUNCTION("""COMPUTED_VALUE"""),"White seats")</f>
        <v>White seats</v>
      </c>
      <c r="R2125" s="149" t="str">
        <f>IFERROR(__xludf.DUMMYFUNCTION("""COMPUTED_VALUE"""),"Enhanced Autopilot")</f>
        <v>Enhanced Autopilot</v>
      </c>
      <c r="S2125" s="149"/>
      <c r="T2125" s="145"/>
      <c r="U2125" s="145"/>
      <c r="V2125" s="145"/>
      <c r="W2125" s="145"/>
      <c r="X2125" s="137" t="str">
        <f>IFERROR(__xludf.DUMMYFUNCTION("""COMPUTED_VALUE"""),"Excellent")</f>
        <v>Excellent</v>
      </c>
      <c r="Y2125" s="138" t="str">
        <f>IFERROR(__xludf.DUMMYFUNCTION("""COMPUTED_VALUE"""),"Excellent")</f>
        <v>Excellent</v>
      </c>
      <c r="Z2125" s="138" t="str">
        <f>IFERROR(__xludf.DUMMYFUNCTION("""COMPUTED_VALUE"""),"Excellent")</f>
        <v>Excellent</v>
      </c>
      <c r="AA2125" s="138" t="str">
        <f>IFERROR(__xludf.DUMMYFUNCTION("""COMPUTED_VALUE"""),"Poor")</f>
        <v>Poor</v>
      </c>
      <c r="AB2125" s="138" t="str">
        <f>IFERROR(__xludf.DUMMYFUNCTION("""COMPUTED_VALUE"""),"Very Good")</f>
        <v>Very Good</v>
      </c>
      <c r="AC2125" s="139"/>
      <c r="AD2125" s="139"/>
      <c r="AE2125" s="139"/>
      <c r="AF2125" s="140"/>
      <c r="AG2125" s="145"/>
      <c r="AH2125" s="157">
        <f>IFERROR(__xludf.DUMMYFUNCTION("""COMPUTED_VALUE"""),43535.19240763889)</f>
        <v>43535.19241</v>
      </c>
      <c r="AI2125" s="138"/>
      <c r="AJ2125" s="138"/>
      <c r="AK2125" s="138"/>
      <c r="AL2125" s="142"/>
    </row>
    <row r="2126" ht="20.25" customHeight="1">
      <c r="A2126" s="155" t="str">
        <f>IFERROR(__xludf.DUMMYFUNCTION("""COMPUTED_VALUE"""),"PierreMTL")</f>
        <v>PierreMTL</v>
      </c>
      <c r="B2126" s="149" t="str">
        <f>IFERROR(__xludf.DUMMYFUNCTION("""COMPUTED_VALUE"""),"Ste Therese")</f>
        <v>Ste Therese</v>
      </c>
      <c r="C2126" s="149" t="str">
        <f>IFERROR(__xludf.DUMMYFUNCTION("""COMPUTED_VALUE"""),"QC")</f>
        <v>QC</v>
      </c>
      <c r="D2126" s="149" t="str">
        <f>IFERROR(__xludf.DUMMYFUNCTION("""COMPUTED_VALUE"""),"Canada")</f>
        <v>Canada</v>
      </c>
      <c r="E2126" s="156">
        <f>IFERROR(__xludf.DUMMYFUNCTION("""COMPUTED_VALUE"""),43454.0)</f>
        <v>43454</v>
      </c>
      <c r="F2126" s="129">
        <f>IFERROR(__xludf.DUMMYFUNCTION("""COMPUTED_VALUE"""),43593.0)</f>
        <v>43593</v>
      </c>
      <c r="G2126" s="154"/>
      <c r="H2126" s="131">
        <f>IFERROR(__xludf.DUMMYFUNCTION("""COMPUTED_VALUE"""),394055.0)</f>
        <v>394055</v>
      </c>
      <c r="I2126" s="144" t="str">
        <f>IFERROR(__xludf.DUMMYFUNCTION("""COMPUTED_VALUE"""),"04/19")</f>
        <v>04/19</v>
      </c>
      <c r="J2126" s="129">
        <f>IFERROR(__xludf.DUMMYFUNCTION("""COMPUTED_VALUE"""),43600.0)</f>
        <v>43600</v>
      </c>
      <c r="K2126" s="133">
        <f>IFERROR(__xludf.DUMMYFUNCTION("""COMPUTED_VALUE"""),139.0)</f>
        <v>139</v>
      </c>
      <c r="L2126" s="133">
        <f>IFERROR(__xludf.DUMMYFUNCTION("""COMPUTED_VALUE"""),7.0)</f>
        <v>7</v>
      </c>
      <c r="M2126" s="133">
        <f>IFERROR(__xludf.DUMMYFUNCTION("""COMPUTED_VALUE"""),146.0)</f>
        <v>146</v>
      </c>
      <c r="N2126" s="152" t="str">
        <f>IFERROR(__xludf.DUMMYFUNCTION("""COMPUTED_VALUE"""),"Model 3 LR AWD")</f>
        <v>Model 3 LR AWD</v>
      </c>
      <c r="O2126" s="152" t="str">
        <f>IFERROR(__xludf.DUMMYFUNCTION("""COMPUTED_VALUE"""),"Red Multi-Coat")</f>
        <v>Red Multi-Coat</v>
      </c>
      <c r="P2126" s="153" t="str">
        <f>IFERROR(__xludf.DUMMYFUNCTION("""COMPUTED_VALUE"""),"19 inch Sport")</f>
        <v>19 inch Sport</v>
      </c>
      <c r="Q2126" s="152" t="str">
        <f>IFERROR(__xludf.DUMMYFUNCTION("""COMPUTED_VALUE"""),"White seats")</f>
        <v>White seats</v>
      </c>
      <c r="R2126" s="149" t="str">
        <f>IFERROR(__xludf.DUMMYFUNCTION("""COMPUTED_VALUE"""),"Full Self-Driving")</f>
        <v>Full Self-Driving</v>
      </c>
      <c r="S2126" s="149"/>
      <c r="T2126" s="145"/>
      <c r="U2126" s="145"/>
      <c r="V2126" s="145"/>
      <c r="W2126" s="145"/>
      <c r="X2126" s="137" t="str">
        <f>IFERROR(__xludf.DUMMYFUNCTION("""COMPUTED_VALUE"""),"Excellent")</f>
        <v>Excellent</v>
      </c>
      <c r="Y2126" s="138" t="str">
        <f>IFERROR(__xludf.DUMMYFUNCTION("""COMPUTED_VALUE"""),"Excellent")</f>
        <v>Excellent</v>
      </c>
      <c r="Z2126" s="138" t="str">
        <f>IFERROR(__xludf.DUMMYFUNCTION("""COMPUTED_VALUE"""),"Excellent")</f>
        <v>Excellent</v>
      </c>
      <c r="AA2126" s="138" t="str">
        <f>IFERROR(__xludf.DUMMYFUNCTION("""COMPUTED_VALUE"""),"Excellent")</f>
        <v>Excellent</v>
      </c>
      <c r="AB2126" s="138" t="str">
        <f>IFERROR(__xludf.DUMMYFUNCTION("""COMPUTED_VALUE"""),"Excellent")</f>
        <v>Excellent</v>
      </c>
      <c r="AC2126" s="139"/>
      <c r="AD2126" s="139"/>
      <c r="AE2126" s="139"/>
      <c r="AF2126" s="140"/>
      <c r="AG2126" s="145"/>
      <c r="AH2126" s="157">
        <f>IFERROR(__xludf.DUMMYFUNCTION("""COMPUTED_VALUE"""),43603.236328206025)</f>
        <v>43603.23633</v>
      </c>
      <c r="AI2126" s="138"/>
      <c r="AJ2126" s="138"/>
      <c r="AK2126" s="138"/>
      <c r="AL2126" s="142"/>
    </row>
    <row r="2127" ht="20.25" customHeight="1">
      <c r="A2127" s="155" t="str">
        <f>IFERROR(__xludf.DUMMYFUNCTION("""COMPUTED_VALUE"""),"Achilles5968")</f>
        <v>Achilles5968</v>
      </c>
      <c r="B2127" s="149" t="str">
        <f>IFERROR(__xludf.DUMMYFUNCTION("""COMPUTED_VALUE"""),"Portland")</f>
        <v>Portland</v>
      </c>
      <c r="C2127" s="149" t="str">
        <f>IFERROR(__xludf.DUMMYFUNCTION("""COMPUTED_VALUE"""),"OR")</f>
        <v>OR</v>
      </c>
      <c r="D2127" s="149" t="str">
        <f>IFERROR(__xludf.DUMMYFUNCTION("""COMPUTED_VALUE"""),"USA")</f>
        <v>USA</v>
      </c>
      <c r="E2127" s="156">
        <f>IFERROR(__xludf.DUMMYFUNCTION("""COMPUTED_VALUE"""),43451.0)</f>
        <v>43451</v>
      </c>
      <c r="F2127" s="129">
        <f>IFERROR(__xludf.DUMMYFUNCTION("""COMPUTED_VALUE"""),43455.0)</f>
        <v>43455</v>
      </c>
      <c r="G2127" s="154"/>
      <c r="H2127" s="131">
        <f>IFERROR(__xludf.DUMMYFUNCTION("""COMPUTED_VALUE"""),171955.0)</f>
        <v>171955</v>
      </c>
      <c r="I2127" s="144"/>
      <c r="J2127" s="129">
        <f>IFERROR(__xludf.DUMMYFUNCTION("""COMPUTED_VALUE"""),43462.0)</f>
        <v>43462</v>
      </c>
      <c r="K2127" s="133">
        <f>IFERROR(__xludf.DUMMYFUNCTION("""COMPUTED_VALUE"""),4.0)</f>
        <v>4</v>
      </c>
      <c r="L2127" s="133">
        <f>IFERROR(__xludf.DUMMYFUNCTION("""COMPUTED_VALUE"""),7.0)</f>
        <v>7</v>
      </c>
      <c r="M2127" s="133">
        <f>IFERROR(__xludf.DUMMYFUNCTION("""COMPUTED_VALUE"""),11.0)</f>
        <v>11</v>
      </c>
      <c r="N2127" s="152" t="str">
        <f>IFERROR(__xludf.DUMMYFUNCTION("""COMPUTED_VALUE"""),"Model 3 MR")</f>
        <v>Model 3 MR</v>
      </c>
      <c r="O2127" s="152" t="str">
        <f>IFERROR(__xludf.DUMMYFUNCTION("""COMPUTED_VALUE"""),"Solid Black")</f>
        <v>Solid Black</v>
      </c>
      <c r="P2127" s="153" t="str">
        <f>IFERROR(__xludf.DUMMYFUNCTION("""COMPUTED_VALUE"""),"18 inch Aero")</f>
        <v>18 inch Aero</v>
      </c>
      <c r="Q2127" s="152" t="str">
        <f>IFERROR(__xludf.DUMMYFUNCTION("""COMPUTED_VALUE"""),"Black seats")</f>
        <v>Black seats</v>
      </c>
      <c r="R2127" s="149" t="str">
        <f>IFERROR(__xludf.DUMMYFUNCTION("""COMPUTED_VALUE"""),"Enhanced Autopilot")</f>
        <v>Enhanced Autopilot</v>
      </c>
      <c r="S2127" s="149"/>
      <c r="T2127" s="145"/>
      <c r="U2127" s="145"/>
      <c r="V2127" s="145"/>
      <c r="W2127" s="145"/>
      <c r="X2127" s="137" t="str">
        <f>IFERROR(__xludf.DUMMYFUNCTION("""COMPUTED_VALUE"""),"Very Good")</f>
        <v>Very Good</v>
      </c>
      <c r="Y2127" s="138" t="str">
        <f>IFERROR(__xludf.DUMMYFUNCTION("""COMPUTED_VALUE"""),"Very Good")</f>
        <v>Very Good</v>
      </c>
      <c r="Z2127" s="138" t="str">
        <f>IFERROR(__xludf.DUMMYFUNCTION("""COMPUTED_VALUE"""),"Very Good")</f>
        <v>Very Good</v>
      </c>
      <c r="AA2127" s="138" t="str">
        <f>IFERROR(__xludf.DUMMYFUNCTION("""COMPUTED_VALUE"""),"Excellent")</f>
        <v>Excellent</v>
      </c>
      <c r="AB2127" s="138" t="str">
        <f>IFERROR(__xludf.DUMMYFUNCTION("""COMPUTED_VALUE"""),"Very Good")</f>
        <v>Very Good</v>
      </c>
      <c r="AC2127" s="139"/>
      <c r="AD2127" s="139"/>
      <c r="AE2127" s="139"/>
      <c r="AF2127" s="140"/>
      <c r="AG2127" s="145"/>
      <c r="AH2127" s="157">
        <f>IFERROR(__xludf.DUMMYFUNCTION("""COMPUTED_VALUE"""),43463.577579861114)</f>
        <v>43463.57758</v>
      </c>
      <c r="AI2127" s="138"/>
      <c r="AJ2127" s="138"/>
      <c r="AK2127" s="138"/>
      <c r="AL2127" s="142"/>
    </row>
    <row r="2128" ht="20.25" customHeight="1">
      <c r="A2128" s="155" t="str">
        <f>IFERROR(__xludf.DUMMYFUNCTION("""COMPUTED_VALUE"""),"alexandrosm")</f>
        <v>alexandrosm</v>
      </c>
      <c r="B2128" s="149" t="str">
        <f>IFERROR(__xludf.DUMMYFUNCTION("""COMPUTED_VALUE"""),"Seattle")</f>
        <v>Seattle</v>
      </c>
      <c r="C2128" s="149" t="str">
        <f>IFERROR(__xludf.DUMMYFUNCTION("""COMPUTED_VALUE"""),"WA")</f>
        <v>WA</v>
      </c>
      <c r="D2128" s="149" t="str">
        <f>IFERROR(__xludf.DUMMYFUNCTION("""COMPUTED_VALUE"""),"USA")</f>
        <v>USA</v>
      </c>
      <c r="E2128" s="156">
        <f>IFERROR(__xludf.DUMMYFUNCTION("""COMPUTED_VALUE"""),43449.0)</f>
        <v>43449</v>
      </c>
      <c r="F2128" s="129"/>
      <c r="G2128" s="154"/>
      <c r="H2128" s="131">
        <f>IFERROR(__xludf.DUMMYFUNCTION("""COMPUTED_VALUE"""),131255.0)</f>
        <v>131255</v>
      </c>
      <c r="I2128" s="144"/>
      <c r="J2128" s="129">
        <f>IFERROR(__xludf.DUMMYFUNCTION("""COMPUTED_VALUE"""),43461.0)</f>
        <v>43461</v>
      </c>
      <c r="K2128" s="133"/>
      <c r="L2128" s="133"/>
      <c r="M2128" s="133">
        <f>IFERROR(__xludf.DUMMYFUNCTION("""COMPUTED_VALUE"""),12.0)</f>
        <v>12</v>
      </c>
      <c r="N2128" s="152" t="str">
        <f>IFERROR(__xludf.DUMMYFUNCTION("""COMPUTED_VALUE"""),"Model 3 LR AWD")</f>
        <v>Model 3 LR AWD</v>
      </c>
      <c r="O2128" s="152" t="str">
        <f>IFERROR(__xludf.DUMMYFUNCTION("""COMPUTED_VALUE"""),"Pearl White Multi-Coat")</f>
        <v>Pearl White Multi-Coat</v>
      </c>
      <c r="P2128" s="153" t="str">
        <f>IFERROR(__xludf.DUMMYFUNCTION("""COMPUTED_VALUE"""),"18 inch Aero")</f>
        <v>18 inch Aero</v>
      </c>
      <c r="Q2128" s="152" t="str">
        <f>IFERROR(__xludf.DUMMYFUNCTION("""COMPUTED_VALUE"""),"Black seats")</f>
        <v>Black seats</v>
      </c>
      <c r="R2128" s="149" t="str">
        <f>IFERROR(__xludf.DUMMYFUNCTION("""COMPUTED_VALUE"""),"None")</f>
        <v>None</v>
      </c>
      <c r="S2128" s="149"/>
      <c r="T2128" s="145"/>
      <c r="U2128" s="145"/>
      <c r="V2128" s="145"/>
      <c r="W2128" s="145"/>
      <c r="X2128" s="137" t="str">
        <f>IFERROR(__xludf.DUMMYFUNCTION("""COMPUTED_VALUE"""),"Excellent")</f>
        <v>Excellent</v>
      </c>
      <c r="Y2128" s="138" t="str">
        <f>IFERROR(__xludf.DUMMYFUNCTION("""COMPUTED_VALUE"""),"Excellent")</f>
        <v>Excellent</v>
      </c>
      <c r="Z2128" s="138" t="str">
        <f>IFERROR(__xludf.DUMMYFUNCTION("""COMPUTED_VALUE"""),"Excellent")</f>
        <v>Excellent</v>
      </c>
      <c r="AA2128" s="138" t="str">
        <f>IFERROR(__xludf.DUMMYFUNCTION("""COMPUTED_VALUE"""),"Excellent")</f>
        <v>Excellent</v>
      </c>
      <c r="AB2128" s="138" t="str">
        <f>IFERROR(__xludf.DUMMYFUNCTION("""COMPUTED_VALUE"""),"Very Good")</f>
        <v>Very Good</v>
      </c>
      <c r="AC2128" s="139">
        <f>IFERROR(__xludf.DUMMYFUNCTION("""COMPUTED_VALUE"""),0.0)</f>
        <v>0</v>
      </c>
      <c r="AD2128" s="139">
        <f>IFERROR(__xludf.DUMMYFUNCTION("""COMPUTED_VALUE"""),0.0)</f>
        <v>0</v>
      </c>
      <c r="AE2128" s="139">
        <f>IFERROR(__xludf.DUMMYFUNCTION("""COMPUTED_VALUE"""),0.0)</f>
        <v>0</v>
      </c>
      <c r="AF2128" s="140"/>
      <c r="AG2128" s="145"/>
      <c r="AH2128" s="157">
        <f>IFERROR(__xludf.DUMMYFUNCTION("""COMPUTED_VALUE"""),43464.40458592593)</f>
        <v>43464.40459</v>
      </c>
      <c r="AI2128" s="138"/>
      <c r="AJ2128" s="138"/>
      <c r="AK2128" s="138"/>
      <c r="AL2128" s="142"/>
    </row>
    <row r="2129" ht="20.25" customHeight="1">
      <c r="A2129" s="155" t="str">
        <f>IFERROR(__xludf.DUMMYFUNCTION("""COMPUTED_VALUE"""),"JeffKeryk")</f>
        <v>JeffKeryk</v>
      </c>
      <c r="B2129" s="149" t="str">
        <f>IFERROR(__xludf.DUMMYFUNCTION("""COMPUTED_VALUE"""),"Los Gatos")</f>
        <v>Los Gatos</v>
      </c>
      <c r="C2129" s="149" t="str">
        <f>IFERROR(__xludf.DUMMYFUNCTION("""COMPUTED_VALUE"""),"CA")</f>
        <v>CA</v>
      </c>
      <c r="D2129" s="149" t="str">
        <f>IFERROR(__xludf.DUMMYFUNCTION("""COMPUTED_VALUE"""),"USA")</f>
        <v>USA</v>
      </c>
      <c r="E2129" s="156">
        <f>IFERROR(__xludf.DUMMYFUNCTION("""COMPUTED_VALUE"""),43449.0)</f>
        <v>43449</v>
      </c>
      <c r="F2129" s="129"/>
      <c r="G2129" s="154"/>
      <c r="H2129" s="131"/>
      <c r="I2129" s="144"/>
      <c r="J2129" s="129">
        <f>IFERROR(__xludf.DUMMYFUNCTION("""COMPUTED_VALUE"""),43454.0)</f>
        <v>43454</v>
      </c>
      <c r="K2129" s="133"/>
      <c r="L2129" s="133"/>
      <c r="M2129" s="133">
        <f>IFERROR(__xludf.DUMMYFUNCTION("""COMPUTED_VALUE"""),5.0)</f>
        <v>5</v>
      </c>
      <c r="N2129" s="152" t="str">
        <f>IFERROR(__xludf.DUMMYFUNCTION("""COMPUTED_VALUE"""),"Model 3 MR")</f>
        <v>Model 3 MR</v>
      </c>
      <c r="O2129" s="152" t="str">
        <f>IFERROR(__xludf.DUMMYFUNCTION("""COMPUTED_VALUE"""),"Pearl White Multi-Coat")</f>
        <v>Pearl White Multi-Coat</v>
      </c>
      <c r="P2129" s="153" t="str">
        <f>IFERROR(__xludf.DUMMYFUNCTION("""COMPUTED_VALUE"""),"19 inch Sport")</f>
        <v>19 inch Sport</v>
      </c>
      <c r="Q2129" s="152" t="str">
        <f>IFERROR(__xludf.DUMMYFUNCTION("""COMPUTED_VALUE"""),"Black seats")</f>
        <v>Black seats</v>
      </c>
      <c r="R2129" s="149" t="str">
        <f>IFERROR(__xludf.DUMMYFUNCTION("""COMPUTED_VALUE"""),"Enhanced Autopilot")</f>
        <v>Enhanced Autopilot</v>
      </c>
      <c r="S2129" s="149"/>
      <c r="T2129" s="145"/>
      <c r="U2129" s="145"/>
      <c r="V2129" s="145"/>
      <c r="W2129" s="145"/>
      <c r="X2129" s="137" t="str">
        <f>IFERROR(__xludf.DUMMYFUNCTION("""COMPUTED_VALUE"""),"Excellent")</f>
        <v>Excellent</v>
      </c>
      <c r="Y2129" s="138" t="str">
        <f>IFERROR(__xludf.DUMMYFUNCTION("""COMPUTED_VALUE"""),"Excellent")</f>
        <v>Excellent</v>
      </c>
      <c r="Z2129" s="138" t="str">
        <f>IFERROR(__xludf.DUMMYFUNCTION("""COMPUTED_VALUE"""),"Excellent")</f>
        <v>Excellent</v>
      </c>
      <c r="AA2129" s="138" t="str">
        <f>IFERROR(__xludf.DUMMYFUNCTION("""COMPUTED_VALUE"""),"Excellent")</f>
        <v>Excellent</v>
      </c>
      <c r="AB2129" s="138" t="str">
        <f>IFERROR(__xludf.DUMMYFUNCTION("""COMPUTED_VALUE"""),"Excellent")</f>
        <v>Excellent</v>
      </c>
      <c r="AC2129" s="139">
        <f>IFERROR(__xludf.DUMMYFUNCTION("""COMPUTED_VALUE"""),0.0)</f>
        <v>0</v>
      </c>
      <c r="AD2129" s="139">
        <f>IFERROR(__xludf.DUMMYFUNCTION("""COMPUTED_VALUE"""),0.0)</f>
        <v>0</v>
      </c>
      <c r="AE2129" s="139">
        <f>IFERROR(__xludf.DUMMYFUNCTION("""COMPUTED_VALUE"""),0.0)</f>
        <v>0</v>
      </c>
      <c r="AF2129" s="140"/>
      <c r="AG2129" s="145"/>
      <c r="AH2129" s="157">
        <f>IFERROR(__xludf.DUMMYFUNCTION("""COMPUTED_VALUE"""),43504.78052570602)</f>
        <v>43504.78053</v>
      </c>
      <c r="AI2129" s="138"/>
      <c r="AJ2129" s="138"/>
      <c r="AK2129" s="138"/>
      <c r="AL2129" s="142"/>
    </row>
    <row r="2130" ht="20.25" customHeight="1">
      <c r="A2130" s="155" t="str">
        <f>IFERROR(__xludf.DUMMYFUNCTION("""COMPUTED_VALUE"""),"Fer")</f>
        <v>Fer</v>
      </c>
      <c r="B2130" s="149" t="str">
        <f>IFERROR(__xludf.DUMMYFUNCTION("""COMPUTED_VALUE"""),"Madrid")</f>
        <v>Madrid</v>
      </c>
      <c r="C2130" s="149" t="str">
        <f>IFERROR(__xludf.DUMMYFUNCTION("""COMPUTED_VALUE"""),"FL")</f>
        <v>FL</v>
      </c>
      <c r="D2130" s="149" t="str">
        <f>IFERROR(__xludf.DUMMYFUNCTION("""COMPUTED_VALUE"""),"Spain")</f>
        <v>Spain</v>
      </c>
      <c r="E2130" s="156">
        <f>IFERROR(__xludf.DUMMYFUNCTION("""COMPUTED_VALUE"""),43448.0)</f>
        <v>43448</v>
      </c>
      <c r="F2130" s="129"/>
      <c r="G2130" s="154"/>
      <c r="H2130" s="131"/>
      <c r="I2130" s="144"/>
      <c r="J2130" s="129">
        <f>IFERROR(__xludf.DUMMYFUNCTION("""COMPUTED_VALUE"""),43540.0)</f>
        <v>43540</v>
      </c>
      <c r="K2130" s="133"/>
      <c r="L2130" s="133"/>
      <c r="M2130" s="133">
        <f>IFERROR(__xludf.DUMMYFUNCTION("""COMPUTED_VALUE"""),92.0)</f>
        <v>92</v>
      </c>
      <c r="N2130" s="152" t="str">
        <f>IFERROR(__xludf.DUMMYFUNCTION("""COMPUTED_VALUE"""),"Model 3 LR AWD")</f>
        <v>Model 3 LR AWD</v>
      </c>
      <c r="O2130" s="152" t="str">
        <f>IFERROR(__xludf.DUMMYFUNCTION("""COMPUTED_VALUE"""),"Pearl White Multi-Coat")</f>
        <v>Pearl White Multi-Coat</v>
      </c>
      <c r="P2130" s="153" t="str">
        <f>IFERROR(__xludf.DUMMYFUNCTION("""COMPUTED_VALUE"""),"18 inch Aero")</f>
        <v>18 inch Aero</v>
      </c>
      <c r="Q2130" s="152" t="str">
        <f>IFERROR(__xludf.DUMMYFUNCTION("""COMPUTED_VALUE"""),"Black seats")</f>
        <v>Black seats</v>
      </c>
      <c r="R2130" s="149" t="str">
        <f>IFERROR(__xludf.DUMMYFUNCTION("""COMPUTED_VALUE"""),"Enhanced Autopilot")</f>
        <v>Enhanced Autopilot</v>
      </c>
      <c r="S2130" s="149"/>
      <c r="T2130" s="145"/>
      <c r="U2130" s="145"/>
      <c r="V2130" s="145"/>
      <c r="W2130" s="145"/>
      <c r="X2130" s="137" t="str">
        <f>IFERROR(__xludf.DUMMYFUNCTION("""COMPUTED_VALUE"""),"Good")</f>
        <v>Good</v>
      </c>
      <c r="Y2130" s="138" t="str">
        <f>IFERROR(__xludf.DUMMYFUNCTION("""COMPUTED_VALUE"""),"Excellent")</f>
        <v>Excellent</v>
      </c>
      <c r="Z2130" s="138" t="str">
        <f>IFERROR(__xludf.DUMMYFUNCTION("""COMPUTED_VALUE"""),"Excellent")</f>
        <v>Excellent</v>
      </c>
      <c r="AA2130" s="138" t="str">
        <f>IFERROR(__xludf.DUMMYFUNCTION("""COMPUTED_VALUE"""),"Good")</f>
        <v>Good</v>
      </c>
      <c r="AB2130" s="138" t="str">
        <f>IFERROR(__xludf.DUMMYFUNCTION("""COMPUTED_VALUE"""),"Good")</f>
        <v>Good</v>
      </c>
      <c r="AC2130" s="139">
        <f>IFERROR(__xludf.DUMMYFUNCTION("""COMPUTED_VALUE"""),7.0)</f>
        <v>7</v>
      </c>
      <c r="AD2130" s="139">
        <f>IFERROR(__xludf.DUMMYFUNCTION("""COMPUTED_VALUE"""),0.0)</f>
        <v>0</v>
      </c>
      <c r="AE2130" s="139">
        <f>IFERROR(__xludf.DUMMYFUNCTION("""COMPUTED_VALUE"""),0.0)</f>
        <v>0</v>
      </c>
      <c r="AF2130" s="140"/>
      <c r="AG2130" s="145"/>
      <c r="AH2130" s="157">
        <f>IFERROR(__xludf.DUMMYFUNCTION("""COMPUTED_VALUE"""),43542.10542773148)</f>
        <v>43542.10543</v>
      </c>
      <c r="AI2130" s="138"/>
      <c r="AJ2130" s="138"/>
      <c r="AK2130" s="138"/>
      <c r="AL2130" s="142"/>
    </row>
    <row r="2131" ht="20.25" customHeight="1">
      <c r="A2131" s="155" t="str">
        <f>IFERROR(__xludf.DUMMYFUNCTION("""COMPUTED_VALUE"""),"gang")</f>
        <v>gang</v>
      </c>
      <c r="B2131" s="149" t="str">
        <f>IFERROR(__xludf.DUMMYFUNCTION("""COMPUTED_VALUE"""),"Santa Clara")</f>
        <v>Santa Clara</v>
      </c>
      <c r="C2131" s="149" t="str">
        <f>IFERROR(__xludf.DUMMYFUNCTION("""COMPUTED_VALUE"""),"CA")</f>
        <v>CA</v>
      </c>
      <c r="D2131" s="149" t="str">
        <f>IFERROR(__xludf.DUMMYFUNCTION("""COMPUTED_VALUE"""),"USA")</f>
        <v>USA</v>
      </c>
      <c r="E2131" s="156">
        <f>IFERROR(__xludf.DUMMYFUNCTION("""COMPUTED_VALUE"""),43448.0)</f>
        <v>43448</v>
      </c>
      <c r="F2131" s="129">
        <f>IFERROR(__xludf.DUMMYFUNCTION("""COMPUTED_VALUE"""),43453.0)</f>
        <v>43453</v>
      </c>
      <c r="G2131" s="154"/>
      <c r="H2131" s="131">
        <f>IFERROR(__xludf.DUMMYFUNCTION("""COMPUTED_VALUE"""),149355.0)</f>
        <v>149355</v>
      </c>
      <c r="I2131" s="144" t="str">
        <f>IFERROR(__xludf.DUMMYFUNCTION("""COMPUTED_VALUE"""),"11/18")</f>
        <v>11/18</v>
      </c>
      <c r="J2131" s="129">
        <f>IFERROR(__xludf.DUMMYFUNCTION("""COMPUTED_VALUE"""),43460.0)</f>
        <v>43460</v>
      </c>
      <c r="K2131" s="133">
        <f>IFERROR(__xludf.DUMMYFUNCTION("""COMPUTED_VALUE"""),5.0)</f>
        <v>5</v>
      </c>
      <c r="L2131" s="133">
        <f>IFERROR(__xludf.DUMMYFUNCTION("""COMPUTED_VALUE"""),7.0)</f>
        <v>7</v>
      </c>
      <c r="M2131" s="133">
        <f>IFERROR(__xludf.DUMMYFUNCTION("""COMPUTED_VALUE"""),12.0)</f>
        <v>12</v>
      </c>
      <c r="N2131" s="152" t="str">
        <f>IFERROR(__xludf.DUMMYFUNCTION("""COMPUTED_VALUE"""),"Model 3 LR")</f>
        <v>Model 3 LR</v>
      </c>
      <c r="O2131" s="152" t="str">
        <f>IFERROR(__xludf.DUMMYFUNCTION("""COMPUTED_VALUE"""),"Solid Black")</f>
        <v>Solid Black</v>
      </c>
      <c r="P2131" s="153" t="str">
        <f>IFERROR(__xludf.DUMMYFUNCTION("""COMPUTED_VALUE"""),"18 inch Aero")</f>
        <v>18 inch Aero</v>
      </c>
      <c r="Q2131" s="152" t="str">
        <f>IFERROR(__xludf.DUMMYFUNCTION("""COMPUTED_VALUE"""),"Black seats")</f>
        <v>Black seats</v>
      </c>
      <c r="R2131" s="149" t="str">
        <f>IFERROR(__xludf.DUMMYFUNCTION("""COMPUTED_VALUE"""),"None")</f>
        <v>None</v>
      </c>
      <c r="S2131" s="149"/>
      <c r="T2131" s="145"/>
      <c r="U2131" s="145"/>
      <c r="V2131" s="145"/>
      <c r="W2131" s="145"/>
      <c r="X2131" s="137" t="str">
        <f>IFERROR(__xludf.DUMMYFUNCTION("""COMPUTED_VALUE"""),"Poor")</f>
        <v>Poor</v>
      </c>
      <c r="Y2131" s="138" t="str">
        <f>IFERROR(__xludf.DUMMYFUNCTION("""COMPUTED_VALUE"""),"Good")</f>
        <v>Good</v>
      </c>
      <c r="Z2131" s="138" t="str">
        <f>IFERROR(__xludf.DUMMYFUNCTION("""COMPUTED_VALUE"""),"Good")</f>
        <v>Good</v>
      </c>
      <c r="AA2131" s="138" t="str">
        <f>IFERROR(__xludf.DUMMYFUNCTION("""COMPUTED_VALUE"""),"Poor")</f>
        <v>Poor</v>
      </c>
      <c r="AB2131" s="138" t="str">
        <f>IFERROR(__xludf.DUMMYFUNCTION("""COMPUTED_VALUE"""),"Poor")</f>
        <v>Poor</v>
      </c>
      <c r="AC2131" s="139">
        <f>IFERROR(__xludf.DUMMYFUNCTION("""COMPUTED_VALUE"""),7.0)</f>
        <v>7</v>
      </c>
      <c r="AD2131" s="139">
        <f>IFERROR(__xludf.DUMMYFUNCTION("""COMPUTED_VALUE"""),5.0)</f>
        <v>5</v>
      </c>
      <c r="AE2131" s="139"/>
      <c r="AF2131" s="140"/>
      <c r="AG2131" s="145" t="str">
        <f>IFERROR(__xludf.DUMMYFUNCTION("""COMPUTED_VALUE"""),"OA finds one match from their inventory. Don't take Tesla home delivery, you want a detailed inspection before taking delivery.")</f>
        <v>OA finds one match from their inventory. Don't take Tesla home delivery, you want a detailed inspection before taking delivery.</v>
      </c>
      <c r="AH2131" s="157">
        <f>IFERROR(__xludf.DUMMYFUNCTION("""COMPUTED_VALUE"""),43464.67604072917)</f>
        <v>43464.67604</v>
      </c>
      <c r="AI2131" s="138"/>
      <c r="AJ2131" s="138"/>
      <c r="AK2131" s="138"/>
      <c r="AL2131" s="142"/>
    </row>
    <row r="2132" ht="20.25" customHeight="1">
      <c r="A2132" s="155" t="str">
        <f>IFERROR(__xludf.DUMMYFUNCTION("""COMPUTED_VALUE"""),"geekandi")</f>
        <v>geekandi</v>
      </c>
      <c r="B2132" s="149" t="str">
        <f>IFERROR(__xludf.DUMMYFUNCTION("""COMPUTED_VALUE"""),"Minneapolis")</f>
        <v>Minneapolis</v>
      </c>
      <c r="C2132" s="149" t="str">
        <f>IFERROR(__xludf.DUMMYFUNCTION("""COMPUTED_VALUE"""),"MN")</f>
        <v>MN</v>
      </c>
      <c r="D2132" s="149" t="str">
        <f>IFERROR(__xludf.DUMMYFUNCTION("""COMPUTED_VALUE"""),"USA")</f>
        <v>USA</v>
      </c>
      <c r="E2132" s="156">
        <f>IFERROR(__xludf.DUMMYFUNCTION("""COMPUTED_VALUE"""),43448.0)</f>
        <v>43448</v>
      </c>
      <c r="F2132" s="129">
        <f>IFERROR(__xludf.DUMMYFUNCTION("""COMPUTED_VALUE"""),43448.0)</f>
        <v>43448</v>
      </c>
      <c r="G2132" s="154"/>
      <c r="H2132" s="131">
        <f>IFERROR(__xludf.DUMMYFUNCTION("""COMPUTED_VALUE"""),79475.0)</f>
        <v>79475</v>
      </c>
      <c r="I2132" s="144" t="str">
        <f>IFERROR(__xludf.DUMMYFUNCTION("""COMPUTED_VALUE"""),"11/18")</f>
        <v>11/18</v>
      </c>
      <c r="J2132" s="129">
        <f>IFERROR(__xludf.DUMMYFUNCTION("""COMPUTED_VALUE"""),43452.0)</f>
        <v>43452</v>
      </c>
      <c r="K2132" s="133">
        <f>IFERROR(__xludf.DUMMYFUNCTION("""COMPUTED_VALUE"""),0.0)</f>
        <v>0</v>
      </c>
      <c r="L2132" s="133">
        <f>IFERROR(__xludf.DUMMYFUNCTION("""COMPUTED_VALUE"""),4.0)</f>
        <v>4</v>
      </c>
      <c r="M2132" s="133">
        <f>IFERROR(__xludf.DUMMYFUNCTION("""COMPUTED_VALUE"""),4.0)</f>
        <v>4</v>
      </c>
      <c r="N2132" s="152" t="str">
        <f>IFERROR(__xludf.DUMMYFUNCTION("""COMPUTED_VALUE"""),"Model 3 Performance")</f>
        <v>Model 3 Performance</v>
      </c>
      <c r="O2132" s="152" t="str">
        <f>IFERROR(__xludf.DUMMYFUNCTION("""COMPUTED_VALUE"""),"Midnight Silver Metallic")</f>
        <v>Midnight Silver Metallic</v>
      </c>
      <c r="P2132" s="153" t="str">
        <f>IFERROR(__xludf.DUMMYFUNCTION("""COMPUTED_VALUE"""),"20 inch Sport")</f>
        <v>20 inch Sport</v>
      </c>
      <c r="Q2132" s="152" t="str">
        <f>IFERROR(__xludf.DUMMYFUNCTION("""COMPUTED_VALUE"""),"White seats")</f>
        <v>White seats</v>
      </c>
      <c r="R2132" s="149" t="str">
        <f>IFERROR(__xludf.DUMMYFUNCTION("""COMPUTED_VALUE"""),"Full Self-Driving")</f>
        <v>Full Self-Driving</v>
      </c>
      <c r="S2132" s="149"/>
      <c r="T2132" s="145"/>
      <c r="U2132" s="145"/>
      <c r="V2132" s="145"/>
      <c r="W2132" s="145"/>
      <c r="X2132" s="137" t="str">
        <f>IFERROR(__xludf.DUMMYFUNCTION("""COMPUTED_VALUE"""),"Excellent")</f>
        <v>Excellent</v>
      </c>
      <c r="Y2132" s="138" t="str">
        <f>IFERROR(__xludf.DUMMYFUNCTION("""COMPUTED_VALUE"""),"Excellent")</f>
        <v>Excellent</v>
      </c>
      <c r="Z2132" s="138" t="str">
        <f>IFERROR(__xludf.DUMMYFUNCTION("""COMPUTED_VALUE"""),"Very Good")</f>
        <v>Very Good</v>
      </c>
      <c r="AA2132" s="138" t="str">
        <f>IFERROR(__xludf.DUMMYFUNCTION("""COMPUTED_VALUE"""),"Poor")</f>
        <v>Poor</v>
      </c>
      <c r="AB2132" s="138" t="str">
        <f>IFERROR(__xludf.DUMMYFUNCTION("""COMPUTED_VALUE"""),"Excellent")</f>
        <v>Excellent</v>
      </c>
      <c r="AC2132" s="139">
        <f>IFERROR(__xludf.DUMMYFUNCTION("""COMPUTED_VALUE"""),2.0)</f>
        <v>2</v>
      </c>
      <c r="AD2132" s="139">
        <f>IFERROR(__xludf.DUMMYFUNCTION("""COMPUTED_VALUE"""),0.0)</f>
        <v>0</v>
      </c>
      <c r="AE2132" s="139">
        <f>IFERROR(__xludf.DUMMYFUNCTION("""COMPUTED_VALUE"""),0.0)</f>
        <v>0</v>
      </c>
      <c r="AF2132" s="140"/>
      <c r="AG2132" s="145"/>
      <c r="AH2132" s="157">
        <f>IFERROR(__xludf.DUMMYFUNCTION("""COMPUTED_VALUE"""),43461.311429918984)</f>
        <v>43461.31143</v>
      </c>
      <c r="AI2132" s="138"/>
      <c r="AJ2132" s="138"/>
      <c r="AK2132" s="138"/>
      <c r="AL2132" s="142"/>
    </row>
    <row r="2133" ht="20.25" customHeight="1">
      <c r="A2133" s="155" t="str">
        <f>IFERROR(__xludf.DUMMYFUNCTION("""COMPUTED_VALUE"""),"krla")</f>
        <v>krla</v>
      </c>
      <c r="B2133" s="149"/>
      <c r="C2133" s="149"/>
      <c r="D2133" s="149" t="str">
        <f>IFERROR(__xludf.DUMMYFUNCTION("""COMPUTED_VALUE"""),"Belgium")</f>
        <v>Belgium</v>
      </c>
      <c r="E2133" s="156">
        <f>IFERROR(__xludf.DUMMYFUNCTION("""COMPUTED_VALUE"""),43448.0)</f>
        <v>43448</v>
      </c>
      <c r="F2133" s="129">
        <f>IFERROR(__xludf.DUMMYFUNCTION("""COMPUTED_VALUE"""),43507.0)</f>
        <v>43507</v>
      </c>
      <c r="G2133" s="154"/>
      <c r="H2133" s="131">
        <f>IFERROR(__xludf.DUMMYFUNCTION("""COMPUTED_VALUE"""),201755.0)</f>
        <v>201755</v>
      </c>
      <c r="I2133" s="144"/>
      <c r="J2133" s="129">
        <f>IFERROR(__xludf.DUMMYFUNCTION("""COMPUTED_VALUE"""),43522.0)</f>
        <v>43522</v>
      </c>
      <c r="K2133" s="133">
        <f>IFERROR(__xludf.DUMMYFUNCTION("""COMPUTED_VALUE"""),59.0)</f>
        <v>59</v>
      </c>
      <c r="L2133" s="133">
        <f>IFERROR(__xludf.DUMMYFUNCTION("""COMPUTED_VALUE"""),15.0)</f>
        <v>15</v>
      </c>
      <c r="M2133" s="133">
        <f>IFERROR(__xludf.DUMMYFUNCTION("""COMPUTED_VALUE"""),74.0)</f>
        <v>74</v>
      </c>
      <c r="N2133" s="152" t="str">
        <f>IFERROR(__xludf.DUMMYFUNCTION("""COMPUTED_VALUE"""),"Model 3 LR AWD")</f>
        <v>Model 3 LR AWD</v>
      </c>
      <c r="O2133" s="152" t="str">
        <f>IFERROR(__xludf.DUMMYFUNCTION("""COMPUTED_VALUE"""),"Solid Black")</f>
        <v>Solid Black</v>
      </c>
      <c r="P2133" s="153" t="str">
        <f>IFERROR(__xludf.DUMMYFUNCTION("""COMPUTED_VALUE"""),"19 inch Sport")</f>
        <v>19 inch Sport</v>
      </c>
      <c r="Q2133" s="152" t="str">
        <f>IFERROR(__xludf.DUMMYFUNCTION("""COMPUTED_VALUE"""),"Black seats")</f>
        <v>Black seats</v>
      </c>
      <c r="R2133" s="149" t="str">
        <f>IFERROR(__xludf.DUMMYFUNCTION("""COMPUTED_VALUE"""),"Enhanced Autopilot")</f>
        <v>Enhanced Autopilot</v>
      </c>
      <c r="S2133" s="149"/>
      <c r="T2133" s="145"/>
      <c r="U2133" s="145"/>
      <c r="V2133" s="145"/>
      <c r="W2133" s="145"/>
      <c r="X2133" s="137" t="str">
        <f>IFERROR(__xludf.DUMMYFUNCTION("""COMPUTED_VALUE"""),"Very Good")</f>
        <v>Very Good</v>
      </c>
      <c r="Y2133" s="138" t="str">
        <f>IFERROR(__xludf.DUMMYFUNCTION("""COMPUTED_VALUE"""),"Excellent")</f>
        <v>Excellent</v>
      </c>
      <c r="Z2133" s="138" t="str">
        <f>IFERROR(__xludf.DUMMYFUNCTION("""COMPUTED_VALUE"""),"Fair")</f>
        <v>Fair</v>
      </c>
      <c r="AA2133" s="138" t="str">
        <f>IFERROR(__xludf.DUMMYFUNCTION("""COMPUTED_VALUE"""),"Good")</f>
        <v>Good</v>
      </c>
      <c r="AB2133" s="138" t="str">
        <f>IFERROR(__xludf.DUMMYFUNCTION("""COMPUTED_VALUE"""),"Excellent")</f>
        <v>Excellent</v>
      </c>
      <c r="AC2133" s="139"/>
      <c r="AD2133" s="139"/>
      <c r="AE2133" s="139"/>
      <c r="AF2133" s="140"/>
      <c r="AG2133" s="145"/>
      <c r="AH2133" s="157">
        <f>IFERROR(__xludf.DUMMYFUNCTION("""COMPUTED_VALUE"""),43532.00614430555)</f>
        <v>43532.00614</v>
      </c>
      <c r="AI2133" s="138"/>
      <c r="AJ2133" s="138"/>
      <c r="AK2133" s="138"/>
      <c r="AL2133" s="142"/>
    </row>
    <row r="2134" ht="20.25" customHeight="1">
      <c r="A2134" s="155" t="str">
        <f>IFERROR(__xludf.DUMMYFUNCTION("""COMPUTED_VALUE"""),"WhiteFang")</f>
        <v>WhiteFang</v>
      </c>
      <c r="B2134" s="149" t="str">
        <f>IFERROR(__xludf.DUMMYFUNCTION("""COMPUTED_VALUE"""),"OC")</f>
        <v>OC</v>
      </c>
      <c r="C2134" s="149" t="str">
        <f>IFERROR(__xludf.DUMMYFUNCTION("""COMPUTED_VALUE"""),"CA")</f>
        <v>CA</v>
      </c>
      <c r="D2134" s="149" t="str">
        <f>IFERROR(__xludf.DUMMYFUNCTION("""COMPUTED_VALUE"""),"USA")</f>
        <v>USA</v>
      </c>
      <c r="E2134" s="156">
        <f>IFERROR(__xludf.DUMMYFUNCTION("""COMPUTED_VALUE"""),43445.0)</f>
        <v>43445</v>
      </c>
      <c r="F2134" s="129"/>
      <c r="G2134" s="154"/>
      <c r="H2134" s="131">
        <f>IFERROR(__xludf.DUMMYFUNCTION("""COMPUTED_VALUE"""),169755.0)</f>
        <v>169755</v>
      </c>
      <c r="I2134" s="144"/>
      <c r="J2134" s="129">
        <f>IFERROR(__xludf.DUMMYFUNCTION("""COMPUTED_VALUE"""),43454.0)</f>
        <v>43454</v>
      </c>
      <c r="K2134" s="133"/>
      <c r="L2134" s="133"/>
      <c r="M2134" s="133">
        <f>IFERROR(__xludf.DUMMYFUNCTION("""COMPUTED_VALUE"""),9.0)</f>
        <v>9</v>
      </c>
      <c r="N2134" s="152" t="str">
        <f>IFERROR(__xludf.DUMMYFUNCTION("""COMPUTED_VALUE"""),"Model 3 MR")</f>
        <v>Model 3 MR</v>
      </c>
      <c r="O2134" s="152" t="str">
        <f>IFERROR(__xludf.DUMMYFUNCTION("""COMPUTED_VALUE"""),"Pearl White Multi-Coat")</f>
        <v>Pearl White Multi-Coat</v>
      </c>
      <c r="P2134" s="153" t="str">
        <f>IFERROR(__xludf.DUMMYFUNCTION("""COMPUTED_VALUE"""),"19 inch Sport")</f>
        <v>19 inch Sport</v>
      </c>
      <c r="Q2134" s="152" t="str">
        <f>IFERROR(__xludf.DUMMYFUNCTION("""COMPUTED_VALUE"""),"White seats")</f>
        <v>White seats</v>
      </c>
      <c r="R2134" s="149" t="str">
        <f>IFERROR(__xludf.DUMMYFUNCTION("""COMPUTED_VALUE"""),"None")</f>
        <v>None</v>
      </c>
      <c r="S2134" s="149"/>
      <c r="T2134" s="145"/>
      <c r="U2134" s="145"/>
      <c r="V2134" s="145"/>
      <c r="W2134" s="145"/>
      <c r="X2134" s="137" t="str">
        <f>IFERROR(__xludf.DUMMYFUNCTION("""COMPUTED_VALUE"""),"Excellent")</f>
        <v>Excellent</v>
      </c>
      <c r="Y2134" s="138" t="str">
        <f>IFERROR(__xludf.DUMMYFUNCTION("""COMPUTED_VALUE"""),"Excellent")</f>
        <v>Excellent</v>
      </c>
      <c r="Z2134" s="138" t="str">
        <f>IFERROR(__xludf.DUMMYFUNCTION("""COMPUTED_VALUE"""),"Excellent")</f>
        <v>Excellent</v>
      </c>
      <c r="AA2134" s="138" t="str">
        <f>IFERROR(__xludf.DUMMYFUNCTION("""COMPUTED_VALUE"""),"Excellent")</f>
        <v>Excellent</v>
      </c>
      <c r="AB2134" s="138" t="str">
        <f>IFERROR(__xludf.DUMMYFUNCTION("""COMPUTED_VALUE"""),"Good")</f>
        <v>Good</v>
      </c>
      <c r="AC2134" s="139"/>
      <c r="AD2134" s="139"/>
      <c r="AE2134" s="139"/>
      <c r="AF2134" s="140"/>
      <c r="AG2134" s="145"/>
      <c r="AH2134" s="157">
        <f>IFERROR(__xludf.DUMMYFUNCTION("""COMPUTED_VALUE"""),43460.59623098379)</f>
        <v>43460.59623</v>
      </c>
      <c r="AI2134" s="138"/>
      <c r="AJ2134" s="138"/>
      <c r="AK2134" s="138"/>
      <c r="AL2134" s="142"/>
    </row>
    <row r="2135" ht="20.25" customHeight="1">
      <c r="A2135" s="155" t="str">
        <f>IFERROR(__xludf.DUMMYFUNCTION("""COMPUTED_VALUE"""),"Thierry")</f>
        <v>Thierry</v>
      </c>
      <c r="B2135" s="149" t="str">
        <f>IFERROR(__xludf.DUMMYFUNCTION("""COMPUTED_VALUE"""),"Gujan Mestras")</f>
        <v>Gujan Mestras</v>
      </c>
      <c r="C2135" s="149"/>
      <c r="D2135" s="149" t="str">
        <f>IFERROR(__xludf.DUMMYFUNCTION("""COMPUTED_VALUE"""),"France")</f>
        <v>France</v>
      </c>
      <c r="E2135" s="156">
        <f>IFERROR(__xludf.DUMMYFUNCTION("""COMPUTED_VALUE"""),43440.0)</f>
        <v>43440</v>
      </c>
      <c r="F2135" s="129">
        <f>IFERROR(__xludf.DUMMYFUNCTION("""COMPUTED_VALUE"""),43504.0)</f>
        <v>43504</v>
      </c>
      <c r="G2135" s="154"/>
      <c r="H2135" s="131">
        <f>IFERROR(__xludf.DUMMYFUNCTION("""COMPUTED_VALUE"""),203255.0)</f>
        <v>203255</v>
      </c>
      <c r="I2135" s="144"/>
      <c r="J2135" s="129">
        <f>IFERROR(__xludf.DUMMYFUNCTION("""COMPUTED_VALUE"""),43518.0)</f>
        <v>43518</v>
      </c>
      <c r="K2135" s="133">
        <f>IFERROR(__xludf.DUMMYFUNCTION("""COMPUTED_VALUE"""),64.0)</f>
        <v>64</v>
      </c>
      <c r="L2135" s="133">
        <f>IFERROR(__xludf.DUMMYFUNCTION("""COMPUTED_VALUE"""),14.0)</f>
        <v>14</v>
      </c>
      <c r="M2135" s="133">
        <f>IFERROR(__xludf.DUMMYFUNCTION("""COMPUTED_VALUE"""),78.0)</f>
        <v>78</v>
      </c>
      <c r="N2135" s="152" t="str">
        <f>IFERROR(__xludf.DUMMYFUNCTION("""COMPUTED_VALUE"""),"Model 3 LR AWD")</f>
        <v>Model 3 LR AWD</v>
      </c>
      <c r="O2135" s="152" t="str">
        <f>IFERROR(__xludf.DUMMYFUNCTION("""COMPUTED_VALUE"""),"Pearl White Multi-Coat")</f>
        <v>Pearl White Multi-Coat</v>
      </c>
      <c r="P2135" s="153" t="str">
        <f>IFERROR(__xludf.DUMMYFUNCTION("""COMPUTED_VALUE"""),"18 inch Aero")</f>
        <v>18 inch Aero</v>
      </c>
      <c r="Q2135" s="152" t="str">
        <f>IFERROR(__xludf.DUMMYFUNCTION("""COMPUTED_VALUE"""),"White seats")</f>
        <v>White seats</v>
      </c>
      <c r="R2135" s="149" t="str">
        <f>IFERROR(__xludf.DUMMYFUNCTION("""COMPUTED_VALUE"""),"Full Self-Driving")</f>
        <v>Full Self-Driving</v>
      </c>
      <c r="S2135" s="149"/>
      <c r="T2135" s="145"/>
      <c r="U2135" s="145"/>
      <c r="V2135" s="145"/>
      <c r="W2135" s="145"/>
      <c r="X2135" s="137" t="str">
        <f>IFERROR(__xludf.DUMMYFUNCTION("""COMPUTED_VALUE"""),"Very Good")</f>
        <v>Very Good</v>
      </c>
      <c r="Y2135" s="138" t="str">
        <f>IFERROR(__xludf.DUMMYFUNCTION("""COMPUTED_VALUE"""),"Very Good")</f>
        <v>Very Good</v>
      </c>
      <c r="Z2135" s="138" t="str">
        <f>IFERROR(__xludf.DUMMYFUNCTION("""COMPUTED_VALUE"""),"Very Good")</f>
        <v>Very Good</v>
      </c>
      <c r="AA2135" s="138" t="str">
        <f>IFERROR(__xludf.DUMMYFUNCTION("""COMPUTED_VALUE"""),"Poor")</f>
        <v>Poor</v>
      </c>
      <c r="AB2135" s="138" t="str">
        <f>IFERROR(__xludf.DUMMYFUNCTION("""COMPUTED_VALUE"""),"Very Good")</f>
        <v>Very Good</v>
      </c>
      <c r="AC2135" s="139"/>
      <c r="AD2135" s="139"/>
      <c r="AE2135" s="139"/>
      <c r="AF2135" s="140"/>
      <c r="AG2135" s="145"/>
      <c r="AH2135" s="157">
        <f>IFERROR(__xludf.DUMMYFUNCTION("""COMPUTED_VALUE"""),43531.411163425924)</f>
        <v>43531.41116</v>
      </c>
      <c r="AI2135" s="138"/>
      <c r="AJ2135" s="138"/>
      <c r="AK2135" s="138"/>
      <c r="AL2135" s="142"/>
    </row>
    <row r="2136" ht="20.25" customHeight="1">
      <c r="A2136" s="155" t="str">
        <f>IFERROR(__xludf.DUMMYFUNCTION("""COMPUTED_VALUE"""),"Galucha")</f>
        <v>Galucha</v>
      </c>
      <c r="B2136" s="149" t="str">
        <f>IFERROR(__xludf.DUMMYFUNCTION("""COMPUTED_VALUE"""),"Chattanooga")</f>
        <v>Chattanooga</v>
      </c>
      <c r="C2136" s="149" t="str">
        <f>IFERROR(__xludf.DUMMYFUNCTION("""COMPUTED_VALUE"""),"TN")</f>
        <v>TN</v>
      </c>
      <c r="D2136" s="149" t="str">
        <f>IFERROR(__xludf.DUMMYFUNCTION("""COMPUTED_VALUE"""),"USA")</f>
        <v>USA</v>
      </c>
      <c r="E2136" s="156">
        <f>IFERROR(__xludf.DUMMYFUNCTION("""COMPUTED_VALUE"""),43434.0)</f>
        <v>43434</v>
      </c>
      <c r="F2136" s="129">
        <f>IFERROR(__xludf.DUMMYFUNCTION("""COMPUTED_VALUE"""),43443.0)</f>
        <v>43443</v>
      </c>
      <c r="G2136" s="154"/>
      <c r="H2136" s="131">
        <f>IFERROR(__xludf.DUMMYFUNCTION("""COMPUTED_VALUE"""),152455.0)</f>
        <v>152455</v>
      </c>
      <c r="I2136" s="144"/>
      <c r="J2136" s="129">
        <f>IFERROR(__xludf.DUMMYFUNCTION("""COMPUTED_VALUE"""),43454.0)</f>
        <v>43454</v>
      </c>
      <c r="K2136" s="133">
        <f>IFERROR(__xludf.DUMMYFUNCTION("""COMPUTED_VALUE"""),9.0)</f>
        <v>9</v>
      </c>
      <c r="L2136" s="133">
        <f>IFERROR(__xludf.DUMMYFUNCTION("""COMPUTED_VALUE"""),11.0)</f>
        <v>11</v>
      </c>
      <c r="M2136" s="133">
        <f>IFERROR(__xludf.DUMMYFUNCTION("""COMPUTED_VALUE"""),20.0)</f>
        <v>20</v>
      </c>
      <c r="N2136" s="152" t="str">
        <f>IFERROR(__xludf.DUMMYFUNCTION("""COMPUTED_VALUE"""),"Model 3 MR")</f>
        <v>Model 3 MR</v>
      </c>
      <c r="O2136" s="152" t="str">
        <f>IFERROR(__xludf.DUMMYFUNCTION("""COMPUTED_VALUE"""),"Solid Black")</f>
        <v>Solid Black</v>
      </c>
      <c r="P2136" s="153" t="str">
        <f>IFERROR(__xludf.DUMMYFUNCTION("""COMPUTED_VALUE"""),"18 inch Aero")</f>
        <v>18 inch Aero</v>
      </c>
      <c r="Q2136" s="152" t="str">
        <f>IFERROR(__xludf.DUMMYFUNCTION("""COMPUTED_VALUE"""),"Black seats")</f>
        <v>Black seats</v>
      </c>
      <c r="R2136" s="149" t="str">
        <f>IFERROR(__xludf.DUMMYFUNCTION("""COMPUTED_VALUE"""),"None")</f>
        <v>None</v>
      </c>
      <c r="S2136" s="149"/>
      <c r="T2136" s="145"/>
      <c r="U2136" s="145"/>
      <c r="V2136" s="145"/>
      <c r="W2136" s="145"/>
      <c r="X2136" s="137"/>
      <c r="Y2136" s="138"/>
      <c r="Z2136" s="138"/>
      <c r="AA2136" s="138" t="str">
        <f>IFERROR(__xludf.DUMMYFUNCTION("""COMPUTED_VALUE"""),"Fair")</f>
        <v>Fair</v>
      </c>
      <c r="AB2136" s="138"/>
      <c r="AC2136" s="139"/>
      <c r="AD2136" s="139"/>
      <c r="AE2136" s="139"/>
      <c r="AF2136" s="140"/>
      <c r="AG2136" s="145"/>
      <c r="AH2136" s="157">
        <f>IFERROR(__xludf.DUMMYFUNCTION("""COMPUTED_VALUE"""),43443.5254765162)</f>
        <v>43443.52548</v>
      </c>
      <c r="AI2136" s="138"/>
      <c r="AJ2136" s="138"/>
      <c r="AK2136" s="138"/>
      <c r="AL2136" s="142"/>
    </row>
    <row r="2137" ht="20.25" customHeight="1">
      <c r="A2137" s="155" t="str">
        <f>IFERROR(__xludf.DUMMYFUNCTION("""COMPUTED_VALUE"""),"n8gray")</f>
        <v>n8gray</v>
      </c>
      <c r="B2137" s="149" t="str">
        <f>IFERROR(__xludf.DUMMYFUNCTION("""COMPUTED_VALUE"""),"San Diego")</f>
        <v>San Diego</v>
      </c>
      <c r="C2137" s="149" t="str">
        <f>IFERROR(__xludf.DUMMYFUNCTION("""COMPUTED_VALUE"""),"CA")</f>
        <v>CA</v>
      </c>
      <c r="D2137" s="149" t="str">
        <f>IFERROR(__xludf.DUMMYFUNCTION("""COMPUTED_VALUE"""),"USA")</f>
        <v>USA</v>
      </c>
      <c r="E2137" s="156">
        <f>IFERROR(__xludf.DUMMYFUNCTION("""COMPUTED_VALUE"""),43434.0)</f>
        <v>43434</v>
      </c>
      <c r="F2137" s="129">
        <f>IFERROR(__xludf.DUMMYFUNCTION("""COMPUTED_VALUE"""),43456.0)</f>
        <v>43456</v>
      </c>
      <c r="G2137" s="154"/>
      <c r="H2137" s="131">
        <f>IFERROR(__xludf.DUMMYFUNCTION("""COMPUTED_VALUE"""),158255.0)</f>
        <v>158255</v>
      </c>
      <c r="I2137" s="144" t="str">
        <f>IFERROR(__xludf.DUMMYFUNCTION("""COMPUTED_VALUE"""),"12/18")</f>
        <v>12/18</v>
      </c>
      <c r="J2137" s="129">
        <f>IFERROR(__xludf.DUMMYFUNCTION("""COMPUTED_VALUE"""),43458.0)</f>
        <v>43458</v>
      </c>
      <c r="K2137" s="133">
        <f>IFERROR(__xludf.DUMMYFUNCTION("""COMPUTED_VALUE"""),22.0)</f>
        <v>22</v>
      </c>
      <c r="L2137" s="133">
        <f>IFERROR(__xludf.DUMMYFUNCTION("""COMPUTED_VALUE"""),2.0)</f>
        <v>2</v>
      </c>
      <c r="M2137" s="133">
        <f>IFERROR(__xludf.DUMMYFUNCTION("""COMPUTED_VALUE"""),24.0)</f>
        <v>24</v>
      </c>
      <c r="N2137" s="152" t="str">
        <f>IFERROR(__xludf.DUMMYFUNCTION("""COMPUTED_VALUE"""),"Model 3 MR")</f>
        <v>Model 3 MR</v>
      </c>
      <c r="O2137" s="152" t="str">
        <f>IFERROR(__xludf.DUMMYFUNCTION("""COMPUTED_VALUE"""),"Midnight Silver Metallic")</f>
        <v>Midnight Silver Metallic</v>
      </c>
      <c r="P2137" s="153" t="str">
        <f>IFERROR(__xludf.DUMMYFUNCTION("""COMPUTED_VALUE"""),"18 inch Aero")</f>
        <v>18 inch Aero</v>
      </c>
      <c r="Q2137" s="152" t="str">
        <f>IFERROR(__xludf.DUMMYFUNCTION("""COMPUTED_VALUE"""),"Black seats")</f>
        <v>Black seats</v>
      </c>
      <c r="R2137" s="149" t="str">
        <f>IFERROR(__xludf.DUMMYFUNCTION("""COMPUTED_VALUE"""),"Enhanced Autopilot")</f>
        <v>Enhanced Autopilot</v>
      </c>
      <c r="S2137" s="149"/>
      <c r="T2137" s="145"/>
      <c r="U2137" s="145"/>
      <c r="V2137" s="145"/>
      <c r="W2137" s="145"/>
      <c r="X2137" s="137" t="str">
        <f>IFERROR(__xludf.DUMMYFUNCTION("""COMPUTED_VALUE"""),"Very Good")</f>
        <v>Very Good</v>
      </c>
      <c r="Y2137" s="138" t="str">
        <f>IFERROR(__xludf.DUMMYFUNCTION("""COMPUTED_VALUE"""),"Excellent")</f>
        <v>Excellent</v>
      </c>
      <c r="Z2137" s="138" t="str">
        <f>IFERROR(__xludf.DUMMYFUNCTION("""COMPUTED_VALUE"""),"Very Good")</f>
        <v>Very Good</v>
      </c>
      <c r="AA2137" s="138" t="str">
        <f>IFERROR(__xludf.DUMMYFUNCTION("""COMPUTED_VALUE"""),"Good")</f>
        <v>Good</v>
      </c>
      <c r="AB2137" s="138" t="str">
        <f>IFERROR(__xludf.DUMMYFUNCTION("""COMPUTED_VALUE"""),"Very Good")</f>
        <v>Very Good</v>
      </c>
      <c r="AC2137" s="139"/>
      <c r="AD2137" s="139"/>
      <c r="AE2137" s="139"/>
      <c r="AF2137" s="140"/>
      <c r="AG2137" s="145"/>
      <c r="AH2137" s="157">
        <f>IFERROR(__xludf.DUMMYFUNCTION("""COMPUTED_VALUE"""),43458.92513160879)</f>
        <v>43458.92513</v>
      </c>
      <c r="AI2137" s="138"/>
      <c r="AJ2137" s="138"/>
      <c r="AK2137" s="138"/>
      <c r="AL2137" s="142"/>
    </row>
    <row r="2138" ht="20.25" customHeight="1">
      <c r="A2138" s="155" t="str">
        <f>IFERROR(__xludf.DUMMYFUNCTION("""COMPUTED_VALUE"""),"ish2028")</f>
        <v>ish2028</v>
      </c>
      <c r="B2138" s="149" t="str">
        <f>IFERROR(__xludf.DUMMYFUNCTION("""COMPUTED_VALUE"""),"Selma")</f>
        <v>Selma</v>
      </c>
      <c r="C2138" s="149" t="str">
        <f>IFERROR(__xludf.DUMMYFUNCTION("""COMPUTED_VALUE"""),"CA")</f>
        <v>CA</v>
      </c>
      <c r="D2138" s="149" t="str">
        <f>IFERROR(__xludf.DUMMYFUNCTION("""COMPUTED_VALUE"""),"USA")</f>
        <v>USA</v>
      </c>
      <c r="E2138" s="156">
        <f>IFERROR(__xludf.DUMMYFUNCTION("""COMPUTED_VALUE"""),43432.0)</f>
        <v>43432</v>
      </c>
      <c r="F2138" s="129">
        <f>IFERROR(__xludf.DUMMYFUNCTION("""COMPUTED_VALUE"""),43447.0)</f>
        <v>43447</v>
      </c>
      <c r="G2138" s="154"/>
      <c r="H2138" s="131"/>
      <c r="I2138" s="144"/>
      <c r="J2138" s="129">
        <f>IFERROR(__xludf.DUMMYFUNCTION("""COMPUTED_VALUE"""),43449.0)</f>
        <v>43449</v>
      </c>
      <c r="K2138" s="133">
        <f>IFERROR(__xludf.DUMMYFUNCTION("""COMPUTED_VALUE"""),15.0)</f>
        <v>15</v>
      </c>
      <c r="L2138" s="133">
        <f>IFERROR(__xludf.DUMMYFUNCTION("""COMPUTED_VALUE"""),2.0)</f>
        <v>2</v>
      </c>
      <c r="M2138" s="133">
        <f>IFERROR(__xludf.DUMMYFUNCTION("""COMPUTED_VALUE"""),17.0)</f>
        <v>17</v>
      </c>
      <c r="N2138" s="152" t="str">
        <f>IFERROR(__xludf.DUMMYFUNCTION("""COMPUTED_VALUE"""),"Model 3 MR")</f>
        <v>Model 3 MR</v>
      </c>
      <c r="O2138" s="152" t="str">
        <f>IFERROR(__xludf.DUMMYFUNCTION("""COMPUTED_VALUE"""),"Pearl White Multi-Coat")</f>
        <v>Pearl White Multi-Coat</v>
      </c>
      <c r="P2138" s="153" t="str">
        <f>IFERROR(__xludf.DUMMYFUNCTION("""COMPUTED_VALUE"""),"19 inch Sport")</f>
        <v>19 inch Sport</v>
      </c>
      <c r="Q2138" s="152" t="str">
        <f>IFERROR(__xludf.DUMMYFUNCTION("""COMPUTED_VALUE"""),"Black seats")</f>
        <v>Black seats</v>
      </c>
      <c r="R2138" s="149" t="str">
        <f>IFERROR(__xludf.DUMMYFUNCTION("""COMPUTED_VALUE"""),"Enhanced Autopilot")</f>
        <v>Enhanced Autopilot</v>
      </c>
      <c r="S2138" s="149"/>
      <c r="T2138" s="145"/>
      <c r="U2138" s="145"/>
      <c r="V2138" s="145"/>
      <c r="W2138" s="145"/>
      <c r="X2138" s="137" t="str">
        <f>IFERROR(__xludf.DUMMYFUNCTION("""COMPUTED_VALUE"""),"Excellent")</f>
        <v>Excellent</v>
      </c>
      <c r="Y2138" s="138" t="str">
        <f>IFERROR(__xludf.DUMMYFUNCTION("""COMPUTED_VALUE"""),"Excellent")</f>
        <v>Excellent</v>
      </c>
      <c r="Z2138" s="138" t="str">
        <f>IFERROR(__xludf.DUMMYFUNCTION("""COMPUTED_VALUE"""),"Excellent")</f>
        <v>Excellent</v>
      </c>
      <c r="AA2138" s="138" t="str">
        <f>IFERROR(__xludf.DUMMYFUNCTION("""COMPUTED_VALUE"""),"Poor")</f>
        <v>Poor</v>
      </c>
      <c r="AB2138" s="138" t="str">
        <f>IFERROR(__xludf.DUMMYFUNCTION("""COMPUTED_VALUE"""),"Good")</f>
        <v>Good</v>
      </c>
      <c r="AC2138" s="139"/>
      <c r="AD2138" s="139"/>
      <c r="AE2138" s="139"/>
      <c r="AF2138" s="140"/>
      <c r="AG2138" s="145"/>
      <c r="AH2138" s="157">
        <f>IFERROR(__xludf.DUMMYFUNCTION("""COMPUTED_VALUE"""),43452.47093618056)</f>
        <v>43452.47094</v>
      </c>
      <c r="AI2138" s="138"/>
      <c r="AJ2138" s="138"/>
      <c r="AK2138" s="138"/>
      <c r="AL2138" s="142"/>
    </row>
    <row r="2139" ht="20.25" customHeight="1">
      <c r="A2139" s="155" t="str">
        <f>IFERROR(__xludf.DUMMYFUNCTION("""COMPUTED_VALUE"""),"Lansing")</f>
        <v>Lansing</v>
      </c>
      <c r="B2139" s="149" t="str">
        <f>IFERROR(__xludf.DUMMYFUNCTION("""COMPUTED_VALUE"""),"Brea")</f>
        <v>Brea</v>
      </c>
      <c r="C2139" s="149" t="str">
        <f>IFERROR(__xludf.DUMMYFUNCTION("""COMPUTED_VALUE"""),"CA")</f>
        <v>CA</v>
      </c>
      <c r="D2139" s="149" t="str">
        <f>IFERROR(__xludf.DUMMYFUNCTION("""COMPUTED_VALUE"""),"USA")</f>
        <v>USA</v>
      </c>
      <c r="E2139" s="156">
        <f>IFERROR(__xludf.DUMMYFUNCTION("""COMPUTED_VALUE"""),43432.0)</f>
        <v>43432</v>
      </c>
      <c r="F2139" s="129"/>
      <c r="G2139" s="154"/>
      <c r="H2139" s="131">
        <f>IFERROR(__xludf.DUMMYFUNCTION("""COMPUTED_VALUE"""),144555.0)</f>
        <v>144555</v>
      </c>
      <c r="I2139" s="144" t="str">
        <f>IFERROR(__xludf.DUMMYFUNCTION("""COMPUTED_VALUE"""),"11/18")</f>
        <v>11/18</v>
      </c>
      <c r="J2139" s="129">
        <f>IFERROR(__xludf.DUMMYFUNCTION("""COMPUTED_VALUE"""),43443.0)</f>
        <v>43443</v>
      </c>
      <c r="K2139" s="133"/>
      <c r="L2139" s="133"/>
      <c r="M2139" s="133">
        <f>IFERROR(__xludf.DUMMYFUNCTION("""COMPUTED_VALUE"""),11.0)</f>
        <v>11</v>
      </c>
      <c r="N2139" s="152" t="str">
        <f>IFERROR(__xludf.DUMMYFUNCTION("""COMPUTED_VALUE"""),"Model 3 LR AWD")</f>
        <v>Model 3 LR AWD</v>
      </c>
      <c r="O2139" s="152" t="str">
        <f>IFERROR(__xludf.DUMMYFUNCTION("""COMPUTED_VALUE"""),"Midnight Silver Metallic")</f>
        <v>Midnight Silver Metallic</v>
      </c>
      <c r="P2139" s="153" t="str">
        <f>IFERROR(__xludf.DUMMYFUNCTION("""COMPUTED_VALUE"""),"18 inch Aero")</f>
        <v>18 inch Aero</v>
      </c>
      <c r="Q2139" s="152" t="str">
        <f>IFERROR(__xludf.DUMMYFUNCTION("""COMPUTED_VALUE"""),"Black seats")</f>
        <v>Black seats</v>
      </c>
      <c r="R2139" s="149" t="str">
        <f>IFERROR(__xludf.DUMMYFUNCTION("""COMPUTED_VALUE"""),"Enhanced Autopilot")</f>
        <v>Enhanced Autopilot</v>
      </c>
      <c r="S2139" s="149"/>
      <c r="T2139" s="145"/>
      <c r="U2139" s="145"/>
      <c r="V2139" s="145"/>
      <c r="W2139" s="145"/>
      <c r="X2139" s="137" t="str">
        <f>IFERROR(__xludf.DUMMYFUNCTION("""COMPUTED_VALUE"""),"Very Good")</f>
        <v>Very Good</v>
      </c>
      <c r="Y2139" s="138" t="str">
        <f>IFERROR(__xludf.DUMMYFUNCTION("""COMPUTED_VALUE"""),"Excellent")</f>
        <v>Excellent</v>
      </c>
      <c r="Z2139" s="138" t="str">
        <f>IFERROR(__xludf.DUMMYFUNCTION("""COMPUTED_VALUE"""),"Good")</f>
        <v>Good</v>
      </c>
      <c r="AA2139" s="138" t="str">
        <f>IFERROR(__xludf.DUMMYFUNCTION("""COMPUTED_VALUE"""),"Good")</f>
        <v>Good</v>
      </c>
      <c r="AB2139" s="138" t="str">
        <f>IFERROR(__xludf.DUMMYFUNCTION("""COMPUTED_VALUE"""),"Good")</f>
        <v>Good</v>
      </c>
      <c r="AC2139" s="139">
        <f>IFERROR(__xludf.DUMMYFUNCTION("""COMPUTED_VALUE"""),1.0)</f>
        <v>1</v>
      </c>
      <c r="AD2139" s="139"/>
      <c r="AE2139" s="139"/>
      <c r="AF2139" s="140"/>
      <c r="AG2139" s="145"/>
      <c r="AH2139" s="157">
        <f>IFERROR(__xludf.DUMMYFUNCTION("""COMPUTED_VALUE"""),43449.42484998843)</f>
        <v>43449.42485</v>
      </c>
      <c r="AI2139" s="138"/>
      <c r="AJ2139" s="138"/>
      <c r="AK2139" s="138"/>
      <c r="AL2139" s="142"/>
    </row>
    <row r="2140" ht="20.25" customHeight="1">
      <c r="A2140" s="155" t="str">
        <f>IFERROR(__xludf.DUMMYFUNCTION("""COMPUTED_VALUE"""),"jjrandorin")</f>
        <v>jjrandorin</v>
      </c>
      <c r="B2140" s="149" t="str">
        <f>IFERROR(__xludf.DUMMYFUNCTION("""COMPUTED_VALUE"""),"San Diego")</f>
        <v>San Diego</v>
      </c>
      <c r="C2140" s="149" t="str">
        <f>IFERROR(__xludf.DUMMYFUNCTION("""COMPUTED_VALUE"""),"CA")</f>
        <v>CA</v>
      </c>
      <c r="D2140" s="149" t="str">
        <f>IFERROR(__xludf.DUMMYFUNCTION("""COMPUTED_VALUE"""),"USA")</f>
        <v>USA</v>
      </c>
      <c r="E2140" s="156">
        <f>IFERROR(__xludf.DUMMYFUNCTION("""COMPUTED_VALUE"""),43431.0)</f>
        <v>43431</v>
      </c>
      <c r="F2140" s="129">
        <f>IFERROR(__xludf.DUMMYFUNCTION("""COMPUTED_VALUE"""),43432.0)</f>
        <v>43432</v>
      </c>
      <c r="G2140" s="154"/>
      <c r="H2140" s="131">
        <f>IFERROR(__xludf.DUMMYFUNCTION("""COMPUTED_VALUE"""),106355.0)</f>
        <v>106355</v>
      </c>
      <c r="I2140" s="144" t="str">
        <f>IFERROR(__xludf.DUMMYFUNCTION("""COMPUTED_VALUE"""),"11/18")</f>
        <v>11/18</v>
      </c>
      <c r="J2140" s="129">
        <f>IFERROR(__xludf.DUMMYFUNCTION("""COMPUTED_VALUE"""),43438.0)</f>
        <v>43438</v>
      </c>
      <c r="K2140" s="133">
        <f>IFERROR(__xludf.DUMMYFUNCTION("""COMPUTED_VALUE"""),1.0)</f>
        <v>1</v>
      </c>
      <c r="L2140" s="133">
        <f>IFERROR(__xludf.DUMMYFUNCTION("""COMPUTED_VALUE"""),6.0)</f>
        <v>6</v>
      </c>
      <c r="M2140" s="133">
        <f>IFERROR(__xludf.DUMMYFUNCTION("""COMPUTED_VALUE"""),7.0)</f>
        <v>7</v>
      </c>
      <c r="N2140" s="152" t="str">
        <f>IFERROR(__xludf.DUMMYFUNCTION("""COMPUTED_VALUE"""),"Model 3 Performance")</f>
        <v>Model 3 Performance</v>
      </c>
      <c r="O2140" s="152" t="str">
        <f>IFERROR(__xludf.DUMMYFUNCTION("""COMPUTED_VALUE"""),"Deep Blue Metallic")</f>
        <v>Deep Blue Metallic</v>
      </c>
      <c r="P2140" s="153" t="str">
        <f>IFERROR(__xludf.DUMMYFUNCTION("""COMPUTED_VALUE"""),"20 inch Sport")</f>
        <v>20 inch Sport</v>
      </c>
      <c r="Q2140" s="152" t="str">
        <f>IFERROR(__xludf.DUMMYFUNCTION("""COMPUTED_VALUE"""),"Black seats")</f>
        <v>Black seats</v>
      </c>
      <c r="R2140" s="149" t="str">
        <f>IFERROR(__xludf.DUMMYFUNCTION("""COMPUTED_VALUE"""),"Enhanced Autopilot")</f>
        <v>Enhanced Autopilot</v>
      </c>
      <c r="S2140" s="149"/>
      <c r="T2140" s="145"/>
      <c r="U2140" s="145"/>
      <c r="V2140" s="145"/>
      <c r="W2140" s="145"/>
      <c r="X2140" s="137" t="str">
        <f>IFERROR(__xludf.DUMMYFUNCTION("""COMPUTED_VALUE"""),"Very Good")</f>
        <v>Very Good</v>
      </c>
      <c r="Y2140" s="138" t="str">
        <f>IFERROR(__xludf.DUMMYFUNCTION("""COMPUTED_VALUE"""),"Very Good")</f>
        <v>Very Good</v>
      </c>
      <c r="Z2140" s="138" t="str">
        <f>IFERROR(__xludf.DUMMYFUNCTION("""COMPUTED_VALUE"""),"Very Good")</f>
        <v>Very Good</v>
      </c>
      <c r="AA2140" s="138" t="str">
        <f>IFERROR(__xludf.DUMMYFUNCTION("""COMPUTED_VALUE"""),"Excellent")</f>
        <v>Excellent</v>
      </c>
      <c r="AB2140" s="138" t="str">
        <f>IFERROR(__xludf.DUMMYFUNCTION("""COMPUTED_VALUE"""),"Very Good")</f>
        <v>Very Good</v>
      </c>
      <c r="AC2140" s="139"/>
      <c r="AD2140" s="139"/>
      <c r="AE2140" s="139"/>
      <c r="AF2140" s="140"/>
      <c r="AG2140" s="145" t="str">
        <f>IFERROR(__xludf.DUMMYFUNCTION("""COMPUTED_VALUE"""),"No pre order, orderd 11/27, matched to vehicle 11/29, scheduled for delivery 12/04")</f>
        <v>No pre order, orderd 11/27, matched to vehicle 11/29, scheduled for delivery 12/04</v>
      </c>
      <c r="AH2140" s="157">
        <f>IFERROR(__xludf.DUMMYFUNCTION("""COMPUTED_VALUE"""),43438.93218094907)</f>
        <v>43438.93218</v>
      </c>
      <c r="AI2140" s="138"/>
      <c r="AJ2140" s="138"/>
      <c r="AK2140" s="138"/>
      <c r="AL2140" s="142"/>
    </row>
    <row r="2141" ht="20.25" customHeight="1">
      <c r="A2141" s="155" t="str">
        <f>IFERROR(__xludf.DUMMYFUNCTION("""COMPUTED_VALUE"""),"WstrnMeadowlark")</f>
        <v>WstrnMeadowlark</v>
      </c>
      <c r="B2141" s="149" t="str">
        <f>IFERROR(__xludf.DUMMYFUNCTION("""COMPUTED_VALUE"""),"Halstead")</f>
        <v>Halstead</v>
      </c>
      <c r="C2141" s="149" t="str">
        <f>IFERROR(__xludf.DUMMYFUNCTION("""COMPUTED_VALUE"""),"KS")</f>
        <v>KS</v>
      </c>
      <c r="D2141" s="149" t="str">
        <f>IFERROR(__xludf.DUMMYFUNCTION("""COMPUTED_VALUE"""),"USA")</f>
        <v>USA</v>
      </c>
      <c r="E2141" s="156">
        <f>IFERROR(__xludf.DUMMYFUNCTION("""COMPUTED_VALUE"""),43431.0)</f>
        <v>43431</v>
      </c>
      <c r="F2141" s="129"/>
      <c r="G2141" s="154"/>
      <c r="H2141" s="131">
        <f>IFERROR(__xludf.DUMMYFUNCTION("""COMPUTED_VALUE"""),151955.0)</f>
        <v>151955</v>
      </c>
      <c r="I2141" s="144"/>
      <c r="J2141" s="129">
        <f>IFERROR(__xludf.DUMMYFUNCTION("""COMPUTED_VALUE"""),43447.0)</f>
        <v>43447</v>
      </c>
      <c r="K2141" s="133"/>
      <c r="L2141" s="133"/>
      <c r="M2141" s="133">
        <f>IFERROR(__xludf.DUMMYFUNCTION("""COMPUTED_VALUE"""),16.0)</f>
        <v>16</v>
      </c>
      <c r="N2141" s="152" t="str">
        <f>IFERROR(__xludf.DUMMYFUNCTION("""COMPUTED_VALUE"""),"Model 3 MR")</f>
        <v>Model 3 MR</v>
      </c>
      <c r="O2141" s="152" t="str">
        <f>IFERROR(__xludf.DUMMYFUNCTION("""COMPUTED_VALUE"""),"Solid Black")</f>
        <v>Solid Black</v>
      </c>
      <c r="P2141" s="153" t="str">
        <f>IFERROR(__xludf.DUMMYFUNCTION("""COMPUTED_VALUE"""),"18 inch Aero")</f>
        <v>18 inch Aero</v>
      </c>
      <c r="Q2141" s="152" t="str">
        <f>IFERROR(__xludf.DUMMYFUNCTION("""COMPUTED_VALUE"""),"Black seats")</f>
        <v>Black seats</v>
      </c>
      <c r="R2141" s="149" t="str">
        <f>IFERROR(__xludf.DUMMYFUNCTION("""COMPUTED_VALUE"""),"None")</f>
        <v>None</v>
      </c>
      <c r="S2141" s="149"/>
      <c r="T2141" s="145"/>
      <c r="U2141" s="145"/>
      <c r="V2141" s="145"/>
      <c r="W2141" s="145"/>
      <c r="X2141" s="137" t="str">
        <f>IFERROR(__xludf.DUMMYFUNCTION("""COMPUTED_VALUE"""),"Very Good")</f>
        <v>Very Good</v>
      </c>
      <c r="Y2141" s="138" t="str">
        <f>IFERROR(__xludf.DUMMYFUNCTION("""COMPUTED_VALUE"""),"Excellent")</f>
        <v>Excellent</v>
      </c>
      <c r="Z2141" s="138" t="str">
        <f>IFERROR(__xludf.DUMMYFUNCTION("""COMPUTED_VALUE"""),"Very Good")</f>
        <v>Very Good</v>
      </c>
      <c r="AA2141" s="138" t="str">
        <f>IFERROR(__xludf.DUMMYFUNCTION("""COMPUTED_VALUE"""),"Excellent")</f>
        <v>Excellent</v>
      </c>
      <c r="AB2141" s="138" t="str">
        <f>IFERROR(__xludf.DUMMYFUNCTION("""COMPUTED_VALUE"""),"Very Good")</f>
        <v>Very Good</v>
      </c>
      <c r="AC2141" s="139">
        <f>IFERROR(__xludf.DUMMYFUNCTION("""COMPUTED_VALUE"""),1.0)</f>
        <v>1</v>
      </c>
      <c r="AD2141" s="139">
        <f>IFERROR(__xludf.DUMMYFUNCTION("""COMPUTED_VALUE"""),1.0)</f>
        <v>1</v>
      </c>
      <c r="AE2141" s="139">
        <f>IFERROR(__xludf.DUMMYFUNCTION("""COMPUTED_VALUE"""),1.0)</f>
        <v>1</v>
      </c>
      <c r="AF2141" s="140"/>
      <c r="AG2141" s="145"/>
      <c r="AH2141" s="157">
        <f>IFERROR(__xludf.DUMMYFUNCTION("""COMPUTED_VALUE"""),43460.59480020833)</f>
        <v>43460.5948</v>
      </c>
      <c r="AI2141" s="138"/>
      <c r="AJ2141" s="138"/>
      <c r="AK2141" s="138"/>
      <c r="AL2141" s="142"/>
    </row>
    <row r="2142" ht="20.25" customHeight="1">
      <c r="A2142" s="155" t="str">
        <f>IFERROR(__xludf.DUMMYFUNCTION("""COMPUTED_VALUE"""),"dmaximob")</f>
        <v>dmaximob</v>
      </c>
      <c r="B2142" s="149" t="str">
        <f>IFERROR(__xludf.DUMMYFUNCTION("""COMPUTED_VALUE"""),"Roseville")</f>
        <v>Roseville</v>
      </c>
      <c r="C2142" s="149" t="str">
        <f>IFERROR(__xludf.DUMMYFUNCTION("""COMPUTED_VALUE"""),"CA")</f>
        <v>CA</v>
      </c>
      <c r="D2142" s="149" t="str">
        <f>IFERROR(__xludf.DUMMYFUNCTION("""COMPUTED_VALUE"""),"USA")</f>
        <v>USA</v>
      </c>
      <c r="E2142" s="156">
        <f>IFERROR(__xludf.DUMMYFUNCTION("""COMPUTED_VALUE"""),43430.0)</f>
        <v>43430</v>
      </c>
      <c r="F2142" s="129"/>
      <c r="G2142" s="154"/>
      <c r="H2142" s="131">
        <f>IFERROR(__xludf.DUMMYFUNCTION("""COMPUTED_VALUE"""),156655.0)</f>
        <v>156655</v>
      </c>
      <c r="I2142" s="144"/>
      <c r="J2142" s="129">
        <f>IFERROR(__xludf.DUMMYFUNCTION("""COMPUTED_VALUE"""),43447.0)</f>
        <v>43447</v>
      </c>
      <c r="K2142" s="133"/>
      <c r="L2142" s="133"/>
      <c r="M2142" s="133">
        <f>IFERROR(__xludf.DUMMYFUNCTION("""COMPUTED_VALUE"""),17.0)</f>
        <v>17</v>
      </c>
      <c r="N2142" s="152" t="str">
        <f>IFERROR(__xludf.DUMMYFUNCTION("""COMPUTED_VALUE"""),"Model 3 MR")</f>
        <v>Model 3 MR</v>
      </c>
      <c r="O2142" s="152" t="str">
        <f>IFERROR(__xludf.DUMMYFUNCTION("""COMPUTED_VALUE"""),"Solid Black")</f>
        <v>Solid Black</v>
      </c>
      <c r="P2142" s="153" t="str">
        <f>IFERROR(__xludf.DUMMYFUNCTION("""COMPUTED_VALUE"""),"18 inch Aero")</f>
        <v>18 inch Aero</v>
      </c>
      <c r="Q2142" s="152" t="str">
        <f>IFERROR(__xludf.DUMMYFUNCTION("""COMPUTED_VALUE"""),"Black seats")</f>
        <v>Black seats</v>
      </c>
      <c r="R2142" s="149" t="str">
        <f>IFERROR(__xludf.DUMMYFUNCTION("""COMPUTED_VALUE"""),"None")</f>
        <v>None</v>
      </c>
      <c r="S2142" s="149"/>
      <c r="T2142" s="145"/>
      <c r="U2142" s="145"/>
      <c r="V2142" s="145"/>
      <c r="W2142" s="145"/>
      <c r="X2142" s="137" t="str">
        <f>IFERROR(__xludf.DUMMYFUNCTION("""COMPUTED_VALUE"""),"Excellent")</f>
        <v>Excellent</v>
      </c>
      <c r="Y2142" s="138" t="str">
        <f>IFERROR(__xludf.DUMMYFUNCTION("""COMPUTED_VALUE"""),"Excellent")</f>
        <v>Excellent</v>
      </c>
      <c r="Z2142" s="138" t="str">
        <f>IFERROR(__xludf.DUMMYFUNCTION("""COMPUTED_VALUE"""),"Excellent")</f>
        <v>Excellent</v>
      </c>
      <c r="AA2142" s="138" t="str">
        <f>IFERROR(__xludf.DUMMYFUNCTION("""COMPUTED_VALUE"""),"Good")</f>
        <v>Good</v>
      </c>
      <c r="AB2142" s="138" t="str">
        <f>IFERROR(__xludf.DUMMYFUNCTION("""COMPUTED_VALUE"""),"Very Good")</f>
        <v>Very Good</v>
      </c>
      <c r="AC2142" s="139"/>
      <c r="AD2142" s="139"/>
      <c r="AE2142" s="139"/>
      <c r="AF2142" s="140"/>
      <c r="AG2142" s="145"/>
      <c r="AH2142" s="157">
        <f>IFERROR(__xludf.DUMMYFUNCTION("""COMPUTED_VALUE"""),43448.41979280092)</f>
        <v>43448.41979</v>
      </c>
      <c r="AI2142" s="138"/>
      <c r="AJ2142" s="138"/>
      <c r="AK2142" s="138"/>
      <c r="AL2142" s="142"/>
    </row>
    <row r="2143" ht="20.25" customHeight="1">
      <c r="A2143" s="155" t="str">
        <f>IFERROR(__xludf.DUMMYFUNCTION("""COMPUTED_VALUE"""),"schmidthappens")</f>
        <v>schmidthappens</v>
      </c>
      <c r="B2143" s="149" t="str">
        <f>IFERROR(__xludf.DUMMYFUNCTION("""COMPUTED_VALUE"""),"Indianapolis")</f>
        <v>Indianapolis</v>
      </c>
      <c r="C2143" s="149" t="str">
        <f>IFERROR(__xludf.DUMMYFUNCTION("""COMPUTED_VALUE"""),"IN")</f>
        <v>IN</v>
      </c>
      <c r="D2143" s="149" t="str">
        <f>IFERROR(__xludf.DUMMYFUNCTION("""COMPUTED_VALUE"""),"USA")</f>
        <v>USA</v>
      </c>
      <c r="E2143" s="156">
        <f>IFERROR(__xludf.DUMMYFUNCTION("""COMPUTED_VALUE"""),43430.0)</f>
        <v>43430</v>
      </c>
      <c r="F2143" s="129">
        <f>IFERROR(__xludf.DUMMYFUNCTION("""COMPUTED_VALUE"""),43438.0)</f>
        <v>43438</v>
      </c>
      <c r="G2143" s="154"/>
      <c r="H2143" s="131">
        <f>IFERROR(__xludf.DUMMYFUNCTION("""COMPUTED_VALUE"""),153455.0)</f>
        <v>153455</v>
      </c>
      <c r="I2143" s="144" t="str">
        <f>IFERROR(__xludf.DUMMYFUNCTION("""COMPUTED_VALUE"""),"11/18")</f>
        <v>11/18</v>
      </c>
      <c r="J2143" s="129">
        <f>IFERROR(__xludf.DUMMYFUNCTION("""COMPUTED_VALUE"""),43441.0)</f>
        <v>43441</v>
      </c>
      <c r="K2143" s="133">
        <f>IFERROR(__xludf.DUMMYFUNCTION("""COMPUTED_VALUE"""),8.0)</f>
        <v>8</v>
      </c>
      <c r="L2143" s="133">
        <f>IFERROR(__xludf.DUMMYFUNCTION("""COMPUTED_VALUE"""),3.0)</f>
        <v>3</v>
      </c>
      <c r="M2143" s="133">
        <f>IFERROR(__xludf.DUMMYFUNCTION("""COMPUTED_VALUE"""),11.0)</f>
        <v>11</v>
      </c>
      <c r="N2143" s="152" t="str">
        <f>IFERROR(__xludf.DUMMYFUNCTION("""COMPUTED_VALUE"""),"Model 3 MR")</f>
        <v>Model 3 MR</v>
      </c>
      <c r="O2143" s="152" t="str">
        <f>IFERROR(__xludf.DUMMYFUNCTION("""COMPUTED_VALUE"""),"Midnight Silver Metallic")</f>
        <v>Midnight Silver Metallic</v>
      </c>
      <c r="P2143" s="153" t="str">
        <f>IFERROR(__xludf.DUMMYFUNCTION("""COMPUTED_VALUE"""),"18 inch Aero")</f>
        <v>18 inch Aero</v>
      </c>
      <c r="Q2143" s="152" t="str">
        <f>IFERROR(__xludf.DUMMYFUNCTION("""COMPUTED_VALUE"""),"Black seats")</f>
        <v>Black seats</v>
      </c>
      <c r="R2143" s="149" t="str">
        <f>IFERROR(__xludf.DUMMYFUNCTION("""COMPUTED_VALUE"""),"Enhanced Autopilot")</f>
        <v>Enhanced Autopilot</v>
      </c>
      <c r="S2143" s="149"/>
      <c r="T2143" s="145"/>
      <c r="U2143" s="145"/>
      <c r="V2143" s="145"/>
      <c r="W2143" s="145"/>
      <c r="X2143" s="137" t="str">
        <f>IFERROR(__xludf.DUMMYFUNCTION("""COMPUTED_VALUE"""),"Excellent")</f>
        <v>Excellent</v>
      </c>
      <c r="Y2143" s="138" t="str">
        <f>IFERROR(__xludf.DUMMYFUNCTION("""COMPUTED_VALUE"""),"Excellent")</f>
        <v>Excellent</v>
      </c>
      <c r="Z2143" s="138" t="str">
        <f>IFERROR(__xludf.DUMMYFUNCTION("""COMPUTED_VALUE"""),"Excellent")</f>
        <v>Excellent</v>
      </c>
      <c r="AA2143" s="138" t="str">
        <f>IFERROR(__xludf.DUMMYFUNCTION("""COMPUTED_VALUE"""),"Very Good")</f>
        <v>Very Good</v>
      </c>
      <c r="AB2143" s="138" t="str">
        <f>IFERROR(__xludf.DUMMYFUNCTION("""COMPUTED_VALUE"""),"Excellent")</f>
        <v>Excellent</v>
      </c>
      <c r="AC2143" s="139"/>
      <c r="AD2143" s="139"/>
      <c r="AE2143" s="139"/>
      <c r="AF2143" s="140"/>
      <c r="AG2143" s="145"/>
      <c r="AH2143" s="157">
        <f>IFERROR(__xludf.DUMMYFUNCTION("""COMPUTED_VALUE"""),43442.09734980325)</f>
        <v>43442.09735</v>
      </c>
      <c r="AI2143" s="138"/>
      <c r="AJ2143" s="138"/>
      <c r="AK2143" s="138"/>
      <c r="AL2143" s="142"/>
    </row>
    <row r="2144" ht="20.25" customHeight="1">
      <c r="A2144" s="155" t="str">
        <f>IFERROR(__xludf.DUMMYFUNCTION("""COMPUTED_VALUE"""),"halfvolley")</f>
        <v>halfvolley</v>
      </c>
      <c r="B2144" s="149" t="str">
        <f>IFERROR(__xludf.DUMMYFUNCTION("""COMPUTED_VALUE"""),"Atlanta")</f>
        <v>Atlanta</v>
      </c>
      <c r="C2144" s="149" t="str">
        <f>IFERROR(__xludf.DUMMYFUNCTION("""COMPUTED_VALUE"""),"GA")</f>
        <v>GA</v>
      </c>
      <c r="D2144" s="149" t="str">
        <f>IFERROR(__xludf.DUMMYFUNCTION("""COMPUTED_VALUE"""),"USA")</f>
        <v>USA</v>
      </c>
      <c r="E2144" s="156">
        <f>IFERROR(__xludf.DUMMYFUNCTION("""COMPUTED_VALUE"""),43429.0)</f>
        <v>43429</v>
      </c>
      <c r="F2144" s="129">
        <f>IFERROR(__xludf.DUMMYFUNCTION("""COMPUTED_VALUE"""),43405.0)</f>
        <v>43405</v>
      </c>
      <c r="G2144" s="154"/>
      <c r="H2144" s="131">
        <f>IFERROR(__xludf.DUMMYFUNCTION("""COMPUTED_VALUE"""),131255.0)</f>
        <v>131255</v>
      </c>
      <c r="I2144" s="144"/>
      <c r="J2144" s="129">
        <f>IFERROR(__xludf.DUMMYFUNCTION("""COMPUTED_VALUE"""),43441.0)</f>
        <v>43441</v>
      </c>
      <c r="K2144" s="133"/>
      <c r="L2144" s="133">
        <f>IFERROR(__xludf.DUMMYFUNCTION("""COMPUTED_VALUE"""),36.0)</f>
        <v>36</v>
      </c>
      <c r="M2144" s="133">
        <f>IFERROR(__xludf.DUMMYFUNCTION("""COMPUTED_VALUE"""),12.0)</f>
        <v>12</v>
      </c>
      <c r="N2144" s="152" t="str">
        <f>IFERROR(__xludf.DUMMYFUNCTION("""COMPUTED_VALUE"""),"Model 3 LR AWD")</f>
        <v>Model 3 LR AWD</v>
      </c>
      <c r="O2144" s="152" t="str">
        <f>IFERROR(__xludf.DUMMYFUNCTION("""COMPUTED_VALUE"""),"Pearl White Multi-Coat")</f>
        <v>Pearl White Multi-Coat</v>
      </c>
      <c r="P2144" s="153" t="str">
        <f>IFERROR(__xludf.DUMMYFUNCTION("""COMPUTED_VALUE"""),"18 inch Aero")</f>
        <v>18 inch Aero</v>
      </c>
      <c r="Q2144" s="152" t="str">
        <f>IFERROR(__xludf.DUMMYFUNCTION("""COMPUTED_VALUE"""),"Black seats")</f>
        <v>Black seats</v>
      </c>
      <c r="R2144" s="149" t="str">
        <f>IFERROR(__xludf.DUMMYFUNCTION("""COMPUTED_VALUE"""),"Enhanced Autopilot")</f>
        <v>Enhanced Autopilot</v>
      </c>
      <c r="S2144" s="149"/>
      <c r="T2144" s="145"/>
      <c r="U2144" s="145"/>
      <c r="V2144" s="145"/>
      <c r="W2144" s="145"/>
      <c r="X2144" s="137" t="str">
        <f>IFERROR(__xludf.DUMMYFUNCTION("""COMPUTED_VALUE"""),"Very Good")</f>
        <v>Very Good</v>
      </c>
      <c r="Y2144" s="138" t="str">
        <f>IFERROR(__xludf.DUMMYFUNCTION("""COMPUTED_VALUE"""),"Very Good")</f>
        <v>Very Good</v>
      </c>
      <c r="Z2144" s="138" t="str">
        <f>IFERROR(__xludf.DUMMYFUNCTION("""COMPUTED_VALUE"""),"Excellent")</f>
        <v>Excellent</v>
      </c>
      <c r="AA2144" s="138" t="str">
        <f>IFERROR(__xludf.DUMMYFUNCTION("""COMPUTED_VALUE"""),"Fair")</f>
        <v>Fair</v>
      </c>
      <c r="AB2144" s="138" t="str">
        <f>IFERROR(__xludf.DUMMYFUNCTION("""COMPUTED_VALUE"""),"Fair")</f>
        <v>Fair</v>
      </c>
      <c r="AC2144" s="139">
        <f>IFERROR(__xludf.DUMMYFUNCTION("""COMPUTED_VALUE"""),0.0)</f>
        <v>0</v>
      </c>
      <c r="AD2144" s="139">
        <f>IFERROR(__xludf.DUMMYFUNCTION("""COMPUTED_VALUE"""),0.0)</f>
        <v>0</v>
      </c>
      <c r="AE2144" s="139">
        <f>IFERROR(__xludf.DUMMYFUNCTION("""COMPUTED_VALUE"""),0.0)</f>
        <v>0</v>
      </c>
      <c r="AF2144" s="140"/>
      <c r="AG2144" s="145" t="str">
        <f>IFERROR(__xludf.DUMMYFUNCTION("""COMPUTED_VALUE"""),"I originally ordered MR on 10/28 and changed to AWD on 11/25")</f>
        <v>I originally ordered MR on 10/28 and changed to AWD on 11/25</v>
      </c>
      <c r="AH2144" s="157">
        <f>IFERROR(__xludf.DUMMYFUNCTION("""COMPUTED_VALUE"""),43443.301061909726)</f>
        <v>43443.30106</v>
      </c>
      <c r="AI2144" s="138"/>
      <c r="AJ2144" s="138"/>
      <c r="AK2144" s="138"/>
      <c r="AL2144" s="142"/>
    </row>
    <row r="2145" ht="20.25" customHeight="1">
      <c r="A2145" s="155" t="str">
        <f>IFERROR(__xludf.DUMMYFUNCTION("""COMPUTED_VALUE"""),"Lax4life")</f>
        <v>Lax4life</v>
      </c>
      <c r="B2145" s="149" t="str">
        <f>IFERROR(__xludf.DUMMYFUNCTION("""COMPUTED_VALUE"""),"Ottawa")</f>
        <v>Ottawa</v>
      </c>
      <c r="C2145" s="149" t="str">
        <f>IFERROR(__xludf.DUMMYFUNCTION("""COMPUTED_VALUE"""),"ON")</f>
        <v>ON</v>
      </c>
      <c r="D2145" s="149" t="str">
        <f>IFERROR(__xludf.DUMMYFUNCTION("""COMPUTED_VALUE"""),"Canada")</f>
        <v>Canada</v>
      </c>
      <c r="E2145" s="156">
        <f>IFERROR(__xludf.DUMMYFUNCTION("""COMPUTED_VALUE"""),43427.0)</f>
        <v>43427</v>
      </c>
      <c r="F2145" s="129">
        <f>IFERROR(__xludf.DUMMYFUNCTION("""COMPUTED_VALUE"""),43442.0)</f>
        <v>43442</v>
      </c>
      <c r="G2145" s="154"/>
      <c r="H2145" s="131">
        <f>IFERROR(__xludf.DUMMYFUNCTION("""COMPUTED_VALUE"""),179885.0)</f>
        <v>179885</v>
      </c>
      <c r="I2145" s="144" t="str">
        <f>IFERROR(__xludf.DUMMYFUNCTION("""COMPUTED_VALUE"""),"11/18")</f>
        <v>11/18</v>
      </c>
      <c r="J2145" s="129">
        <f>IFERROR(__xludf.DUMMYFUNCTION("""COMPUTED_VALUE"""),43448.0)</f>
        <v>43448</v>
      </c>
      <c r="K2145" s="133">
        <f>IFERROR(__xludf.DUMMYFUNCTION("""COMPUTED_VALUE"""),15.0)</f>
        <v>15</v>
      </c>
      <c r="L2145" s="133">
        <f>IFERROR(__xludf.DUMMYFUNCTION("""COMPUTED_VALUE"""),6.0)</f>
        <v>6</v>
      </c>
      <c r="M2145" s="133">
        <f>IFERROR(__xludf.DUMMYFUNCTION("""COMPUTED_VALUE"""),21.0)</f>
        <v>21</v>
      </c>
      <c r="N2145" s="152" t="str">
        <f>IFERROR(__xludf.DUMMYFUNCTION("""COMPUTED_VALUE"""),"Model 3 LR")</f>
        <v>Model 3 LR</v>
      </c>
      <c r="O2145" s="152" t="str">
        <f>IFERROR(__xludf.DUMMYFUNCTION("""COMPUTED_VALUE"""),"Solid Black")</f>
        <v>Solid Black</v>
      </c>
      <c r="P2145" s="153" t="str">
        <f>IFERROR(__xludf.DUMMYFUNCTION("""COMPUTED_VALUE"""),"18 inch Aero")</f>
        <v>18 inch Aero</v>
      </c>
      <c r="Q2145" s="152" t="str">
        <f>IFERROR(__xludf.DUMMYFUNCTION("""COMPUTED_VALUE"""),"Black seats")</f>
        <v>Black seats</v>
      </c>
      <c r="R2145" s="149" t="str">
        <f>IFERROR(__xludf.DUMMYFUNCTION("""COMPUTED_VALUE"""),"None")</f>
        <v>None</v>
      </c>
      <c r="S2145" s="149"/>
      <c r="T2145" s="145"/>
      <c r="U2145" s="145"/>
      <c r="V2145" s="145"/>
      <c r="W2145" s="145"/>
      <c r="X2145" s="137" t="str">
        <f>IFERROR(__xludf.DUMMYFUNCTION("""COMPUTED_VALUE"""),"Excellent")</f>
        <v>Excellent</v>
      </c>
      <c r="Y2145" s="138" t="str">
        <f>IFERROR(__xludf.DUMMYFUNCTION("""COMPUTED_VALUE"""),"Excellent")</f>
        <v>Excellent</v>
      </c>
      <c r="Z2145" s="138" t="str">
        <f>IFERROR(__xludf.DUMMYFUNCTION("""COMPUTED_VALUE"""),"Excellent")</f>
        <v>Excellent</v>
      </c>
      <c r="AA2145" s="138" t="str">
        <f>IFERROR(__xludf.DUMMYFUNCTION("""COMPUTED_VALUE"""),"Very Good")</f>
        <v>Very Good</v>
      </c>
      <c r="AB2145" s="138" t="str">
        <f>IFERROR(__xludf.DUMMYFUNCTION("""COMPUTED_VALUE"""),"Fair")</f>
        <v>Fair</v>
      </c>
      <c r="AC2145" s="139"/>
      <c r="AD2145" s="139"/>
      <c r="AE2145" s="139"/>
      <c r="AF2145" s="140"/>
      <c r="AG2145" s="145"/>
      <c r="AH2145" s="157">
        <f>IFERROR(__xludf.DUMMYFUNCTION("""COMPUTED_VALUE"""),43462.25429103009)</f>
        <v>43462.25429</v>
      </c>
      <c r="AI2145" s="138"/>
      <c r="AJ2145" s="138"/>
      <c r="AK2145" s="138"/>
      <c r="AL2145" s="142"/>
    </row>
    <row r="2146" ht="20.25" customHeight="1">
      <c r="A2146" s="155" t="str">
        <f>IFERROR(__xludf.DUMMYFUNCTION("""COMPUTED_VALUE"""),"rajpatel486")</f>
        <v>rajpatel486</v>
      </c>
      <c r="B2146" s="149" t="str">
        <f>IFERROR(__xludf.DUMMYFUNCTION("""COMPUTED_VALUE"""),"Atlanta")</f>
        <v>Atlanta</v>
      </c>
      <c r="C2146" s="149" t="str">
        <f>IFERROR(__xludf.DUMMYFUNCTION("""COMPUTED_VALUE"""),"GA")</f>
        <v>GA</v>
      </c>
      <c r="D2146" s="149" t="str">
        <f>IFERROR(__xludf.DUMMYFUNCTION("""COMPUTED_VALUE"""),"USA")</f>
        <v>USA</v>
      </c>
      <c r="E2146" s="156">
        <f>IFERROR(__xludf.DUMMYFUNCTION("""COMPUTED_VALUE"""),43426.0)</f>
        <v>43426</v>
      </c>
      <c r="F2146" s="129">
        <f>IFERROR(__xludf.DUMMYFUNCTION("""COMPUTED_VALUE"""),43448.0)</f>
        <v>43448</v>
      </c>
      <c r="G2146" s="154"/>
      <c r="H2146" s="131">
        <f>IFERROR(__xludf.DUMMYFUNCTION("""COMPUTED_VALUE"""),155555.0)</f>
        <v>155555</v>
      </c>
      <c r="I2146" s="144" t="str">
        <f>IFERROR(__xludf.DUMMYFUNCTION("""COMPUTED_VALUE"""),"12/18")</f>
        <v>12/18</v>
      </c>
      <c r="J2146" s="129">
        <f>IFERROR(__xludf.DUMMYFUNCTION("""COMPUTED_VALUE"""),43453.0)</f>
        <v>43453</v>
      </c>
      <c r="K2146" s="133">
        <f>IFERROR(__xludf.DUMMYFUNCTION("""COMPUTED_VALUE"""),22.0)</f>
        <v>22</v>
      </c>
      <c r="L2146" s="133">
        <f>IFERROR(__xludf.DUMMYFUNCTION("""COMPUTED_VALUE"""),5.0)</f>
        <v>5</v>
      </c>
      <c r="M2146" s="133">
        <f>IFERROR(__xludf.DUMMYFUNCTION("""COMPUTED_VALUE"""),27.0)</f>
        <v>27</v>
      </c>
      <c r="N2146" s="152" t="str">
        <f>IFERROR(__xludf.DUMMYFUNCTION("""COMPUTED_VALUE"""),"Model 3 MR")</f>
        <v>Model 3 MR</v>
      </c>
      <c r="O2146" s="152" t="str">
        <f>IFERROR(__xludf.DUMMYFUNCTION("""COMPUTED_VALUE"""),"Midnight Silver Metallic")</f>
        <v>Midnight Silver Metallic</v>
      </c>
      <c r="P2146" s="153" t="str">
        <f>IFERROR(__xludf.DUMMYFUNCTION("""COMPUTED_VALUE"""),"18 inch Aero")</f>
        <v>18 inch Aero</v>
      </c>
      <c r="Q2146" s="152" t="str">
        <f>IFERROR(__xludf.DUMMYFUNCTION("""COMPUTED_VALUE"""),"White seats")</f>
        <v>White seats</v>
      </c>
      <c r="R2146" s="149" t="str">
        <f>IFERROR(__xludf.DUMMYFUNCTION("""COMPUTED_VALUE"""),"Enhanced Autopilot")</f>
        <v>Enhanced Autopilot</v>
      </c>
      <c r="S2146" s="149"/>
      <c r="T2146" s="145"/>
      <c r="U2146" s="145"/>
      <c r="V2146" s="145"/>
      <c r="W2146" s="145"/>
      <c r="X2146" s="137" t="str">
        <f>IFERROR(__xludf.DUMMYFUNCTION("""COMPUTED_VALUE"""),"Good")</f>
        <v>Good</v>
      </c>
      <c r="Y2146" s="138" t="str">
        <f>IFERROR(__xludf.DUMMYFUNCTION("""COMPUTED_VALUE"""),"Very Good")</f>
        <v>Very Good</v>
      </c>
      <c r="Z2146" s="138" t="str">
        <f>IFERROR(__xludf.DUMMYFUNCTION("""COMPUTED_VALUE"""),"Very Good")</f>
        <v>Very Good</v>
      </c>
      <c r="AA2146" s="138" t="str">
        <f>IFERROR(__xludf.DUMMYFUNCTION("""COMPUTED_VALUE"""),"Good")</f>
        <v>Good</v>
      </c>
      <c r="AB2146" s="138" t="str">
        <f>IFERROR(__xludf.DUMMYFUNCTION("""COMPUTED_VALUE"""),"Excellent")</f>
        <v>Excellent</v>
      </c>
      <c r="AC2146" s="139"/>
      <c r="AD2146" s="139"/>
      <c r="AE2146" s="139"/>
      <c r="AF2146" s="140"/>
      <c r="AG2146" s="145"/>
      <c r="AH2146" s="157">
        <f>IFERROR(__xludf.DUMMYFUNCTION("""COMPUTED_VALUE"""),43454.7424178125)</f>
        <v>43454.74242</v>
      </c>
      <c r="AI2146" s="138"/>
      <c r="AJ2146" s="138"/>
      <c r="AK2146" s="138"/>
      <c r="AL2146" s="142"/>
    </row>
    <row r="2147" ht="20.25" customHeight="1">
      <c r="A2147" s="155" t="str">
        <f>IFERROR(__xludf.DUMMYFUNCTION("""COMPUTED_VALUE"""),"DP3")</f>
        <v>DP3</v>
      </c>
      <c r="B2147" s="149" t="str">
        <f>IFERROR(__xludf.DUMMYFUNCTION("""COMPUTED_VALUE"""),"SLC")</f>
        <v>SLC</v>
      </c>
      <c r="C2147" s="149" t="str">
        <f>IFERROR(__xludf.DUMMYFUNCTION("""COMPUTED_VALUE"""),"UT")</f>
        <v>UT</v>
      </c>
      <c r="D2147" s="149" t="str">
        <f>IFERROR(__xludf.DUMMYFUNCTION("""COMPUTED_VALUE"""),"USA")</f>
        <v>USA</v>
      </c>
      <c r="E2147" s="156">
        <f>IFERROR(__xludf.DUMMYFUNCTION("""COMPUTED_VALUE"""),43425.0)</f>
        <v>43425</v>
      </c>
      <c r="F2147" s="129">
        <f>IFERROR(__xludf.DUMMYFUNCTION("""COMPUTED_VALUE"""),43428.0)</f>
        <v>43428</v>
      </c>
      <c r="G2147" s="154"/>
      <c r="H2147" s="131">
        <f>IFERROR(__xludf.DUMMYFUNCTION("""COMPUTED_VALUE"""),127755.0)</f>
        <v>127755</v>
      </c>
      <c r="I2147" s="144" t="str">
        <f>IFERROR(__xludf.DUMMYFUNCTION("""COMPUTED_VALUE"""),"11/18")</f>
        <v>11/18</v>
      </c>
      <c r="J2147" s="129">
        <f>IFERROR(__xludf.DUMMYFUNCTION("""COMPUTED_VALUE"""),43432.0)</f>
        <v>43432</v>
      </c>
      <c r="K2147" s="133">
        <f>IFERROR(__xludf.DUMMYFUNCTION("""COMPUTED_VALUE"""),3.0)</f>
        <v>3</v>
      </c>
      <c r="L2147" s="133">
        <f>IFERROR(__xludf.DUMMYFUNCTION("""COMPUTED_VALUE"""),4.0)</f>
        <v>4</v>
      </c>
      <c r="M2147" s="133">
        <f>IFERROR(__xludf.DUMMYFUNCTION("""COMPUTED_VALUE"""),7.0)</f>
        <v>7</v>
      </c>
      <c r="N2147" s="152" t="str">
        <f>IFERROR(__xludf.DUMMYFUNCTION("""COMPUTED_VALUE"""),"Model 3 LR AWD")</f>
        <v>Model 3 LR AWD</v>
      </c>
      <c r="O2147" s="152" t="str">
        <f>IFERROR(__xludf.DUMMYFUNCTION("""COMPUTED_VALUE"""),"Solid Black")</f>
        <v>Solid Black</v>
      </c>
      <c r="P2147" s="153" t="str">
        <f>IFERROR(__xludf.DUMMYFUNCTION("""COMPUTED_VALUE"""),"18 inch Aero")</f>
        <v>18 inch Aero</v>
      </c>
      <c r="Q2147" s="152" t="str">
        <f>IFERROR(__xludf.DUMMYFUNCTION("""COMPUTED_VALUE"""),"Black seats")</f>
        <v>Black seats</v>
      </c>
      <c r="R2147" s="149" t="str">
        <f>IFERROR(__xludf.DUMMYFUNCTION("""COMPUTED_VALUE"""),"Enhanced Autopilot")</f>
        <v>Enhanced Autopilot</v>
      </c>
      <c r="S2147" s="149"/>
      <c r="T2147" s="145"/>
      <c r="U2147" s="145"/>
      <c r="V2147" s="145"/>
      <c r="W2147" s="145"/>
      <c r="X2147" s="137" t="str">
        <f>IFERROR(__xludf.DUMMYFUNCTION("""COMPUTED_VALUE"""),"Excellent")</f>
        <v>Excellent</v>
      </c>
      <c r="Y2147" s="138" t="str">
        <f>IFERROR(__xludf.DUMMYFUNCTION("""COMPUTED_VALUE"""),"Excellent")</f>
        <v>Excellent</v>
      </c>
      <c r="Z2147" s="138" t="str">
        <f>IFERROR(__xludf.DUMMYFUNCTION("""COMPUTED_VALUE"""),"Excellent")</f>
        <v>Excellent</v>
      </c>
      <c r="AA2147" s="138" t="str">
        <f>IFERROR(__xludf.DUMMYFUNCTION("""COMPUTED_VALUE"""),"Good")</f>
        <v>Good</v>
      </c>
      <c r="AB2147" s="138" t="str">
        <f>IFERROR(__xludf.DUMMYFUNCTION("""COMPUTED_VALUE"""),"Excellent")</f>
        <v>Excellent</v>
      </c>
      <c r="AC2147" s="139">
        <f>IFERROR(__xludf.DUMMYFUNCTION("""COMPUTED_VALUE"""),0.0)</f>
        <v>0</v>
      </c>
      <c r="AD2147" s="139">
        <f>IFERROR(__xludf.DUMMYFUNCTION("""COMPUTED_VALUE"""),0.0)</f>
        <v>0</v>
      </c>
      <c r="AE2147" s="139">
        <f>IFERROR(__xludf.DUMMYFUNCTION("""COMPUTED_VALUE"""),0.0)</f>
        <v>0</v>
      </c>
      <c r="AF2147" s="140"/>
      <c r="AG2147" s="145"/>
      <c r="AH2147" s="157">
        <f>IFERROR(__xludf.DUMMYFUNCTION("""COMPUTED_VALUE"""),43437.81487775463)</f>
        <v>43437.81488</v>
      </c>
      <c r="AI2147" s="138"/>
      <c r="AJ2147" s="138"/>
      <c r="AK2147" s="138"/>
      <c r="AL2147" s="142"/>
    </row>
    <row r="2148" ht="20.25" customHeight="1">
      <c r="A2148" s="155" t="str">
        <f>IFERROR(__xludf.DUMMYFUNCTION("""COMPUTED_VALUE"""),"bigman2689")</f>
        <v>bigman2689</v>
      </c>
      <c r="B2148" s="149" t="str">
        <f>IFERROR(__xludf.DUMMYFUNCTION("""COMPUTED_VALUE"""),"Atlanta")</f>
        <v>Atlanta</v>
      </c>
      <c r="C2148" s="149" t="str">
        <f>IFERROR(__xludf.DUMMYFUNCTION("""COMPUTED_VALUE"""),"GA")</f>
        <v>GA</v>
      </c>
      <c r="D2148" s="149" t="str">
        <f>IFERROR(__xludf.DUMMYFUNCTION("""COMPUTED_VALUE"""),"USA")</f>
        <v>USA</v>
      </c>
      <c r="E2148" s="156">
        <f>IFERROR(__xludf.DUMMYFUNCTION("""COMPUTED_VALUE"""),43424.0)</f>
        <v>43424</v>
      </c>
      <c r="F2148" s="129">
        <f>IFERROR(__xludf.DUMMYFUNCTION("""COMPUTED_VALUE"""),43436.0)</f>
        <v>43436</v>
      </c>
      <c r="G2148" s="154"/>
      <c r="H2148" s="131">
        <f>IFERROR(__xludf.DUMMYFUNCTION("""COMPUTED_VALUE"""),152434.0)</f>
        <v>152434</v>
      </c>
      <c r="I2148" s="144"/>
      <c r="J2148" s="129">
        <f>IFERROR(__xludf.DUMMYFUNCTION("""COMPUTED_VALUE"""),43437.0)</f>
        <v>43437</v>
      </c>
      <c r="K2148" s="133">
        <f>IFERROR(__xludf.DUMMYFUNCTION("""COMPUTED_VALUE"""),12.0)</f>
        <v>12</v>
      </c>
      <c r="L2148" s="133">
        <f>IFERROR(__xludf.DUMMYFUNCTION("""COMPUTED_VALUE"""),1.0)</f>
        <v>1</v>
      </c>
      <c r="M2148" s="133">
        <f>IFERROR(__xludf.DUMMYFUNCTION("""COMPUTED_VALUE"""),13.0)</f>
        <v>13</v>
      </c>
      <c r="N2148" s="152" t="str">
        <f>IFERROR(__xludf.DUMMYFUNCTION("""COMPUTED_VALUE"""),"Model 3 MR")</f>
        <v>Model 3 MR</v>
      </c>
      <c r="O2148" s="152" t="str">
        <f>IFERROR(__xludf.DUMMYFUNCTION("""COMPUTED_VALUE"""),"Solid Black")</f>
        <v>Solid Black</v>
      </c>
      <c r="P2148" s="153" t="str">
        <f>IFERROR(__xludf.DUMMYFUNCTION("""COMPUTED_VALUE"""),"18 inch Aero")</f>
        <v>18 inch Aero</v>
      </c>
      <c r="Q2148" s="152" t="str">
        <f>IFERROR(__xludf.DUMMYFUNCTION("""COMPUTED_VALUE"""),"Black seats")</f>
        <v>Black seats</v>
      </c>
      <c r="R2148" s="149" t="str">
        <f>IFERROR(__xludf.DUMMYFUNCTION("""COMPUTED_VALUE"""),"Enhanced Autopilot")</f>
        <v>Enhanced Autopilot</v>
      </c>
      <c r="S2148" s="149"/>
      <c r="T2148" s="145"/>
      <c r="U2148" s="145"/>
      <c r="V2148" s="145"/>
      <c r="W2148" s="145"/>
      <c r="X2148" s="137" t="str">
        <f>IFERROR(__xludf.DUMMYFUNCTION("""COMPUTED_VALUE"""),"Excellent")</f>
        <v>Excellent</v>
      </c>
      <c r="Y2148" s="138" t="str">
        <f>IFERROR(__xludf.DUMMYFUNCTION("""COMPUTED_VALUE"""),"Excellent")</f>
        <v>Excellent</v>
      </c>
      <c r="Z2148" s="138" t="str">
        <f>IFERROR(__xludf.DUMMYFUNCTION("""COMPUTED_VALUE"""),"Very Good")</f>
        <v>Very Good</v>
      </c>
      <c r="AA2148" s="138" t="str">
        <f>IFERROR(__xludf.DUMMYFUNCTION("""COMPUTED_VALUE"""),"Excellent")</f>
        <v>Excellent</v>
      </c>
      <c r="AB2148" s="138" t="str">
        <f>IFERROR(__xludf.DUMMYFUNCTION("""COMPUTED_VALUE"""),"Excellent")</f>
        <v>Excellent</v>
      </c>
      <c r="AC2148" s="139">
        <f>IFERROR(__xludf.DUMMYFUNCTION("""COMPUTED_VALUE"""),2.0)</f>
        <v>2</v>
      </c>
      <c r="AD2148" s="139"/>
      <c r="AE2148" s="139"/>
      <c r="AF2148" s="140"/>
      <c r="AG2148" s="145"/>
      <c r="AH2148" s="157">
        <f>IFERROR(__xludf.DUMMYFUNCTION("""COMPUTED_VALUE"""),43439.73788508101)</f>
        <v>43439.73789</v>
      </c>
      <c r="AI2148" s="138"/>
      <c r="AJ2148" s="138"/>
      <c r="AK2148" s="138"/>
      <c r="AL2148" s="142"/>
    </row>
    <row r="2149" ht="20.25" customHeight="1">
      <c r="A2149" s="155" t="str">
        <f>IFERROR(__xludf.DUMMYFUNCTION("""COMPUTED_VALUE"""),"wheresmomo")</f>
        <v>wheresmomo</v>
      </c>
      <c r="B2149" s="149" t="str">
        <f>IFERROR(__xludf.DUMMYFUNCTION("""COMPUTED_VALUE"""),"Redwood City")</f>
        <v>Redwood City</v>
      </c>
      <c r="C2149" s="149" t="str">
        <f>IFERROR(__xludf.DUMMYFUNCTION("""COMPUTED_VALUE"""),"CA")</f>
        <v>CA</v>
      </c>
      <c r="D2149" s="149" t="str">
        <f>IFERROR(__xludf.DUMMYFUNCTION("""COMPUTED_VALUE"""),"USA")</f>
        <v>USA</v>
      </c>
      <c r="E2149" s="156">
        <f>IFERROR(__xludf.DUMMYFUNCTION("""COMPUTED_VALUE"""),43424.0)</f>
        <v>43424</v>
      </c>
      <c r="F2149" s="129">
        <f>IFERROR(__xludf.DUMMYFUNCTION("""COMPUTED_VALUE"""),43430.0)</f>
        <v>43430</v>
      </c>
      <c r="G2149" s="154"/>
      <c r="H2149" s="131">
        <f>IFERROR(__xludf.DUMMYFUNCTION("""COMPUTED_VALUE"""),126555.0)</f>
        <v>126555</v>
      </c>
      <c r="I2149" s="144" t="str">
        <f>IFERROR(__xludf.DUMMYFUNCTION("""COMPUTED_VALUE"""),"11/18")</f>
        <v>11/18</v>
      </c>
      <c r="J2149" s="129">
        <f>IFERROR(__xludf.DUMMYFUNCTION("""COMPUTED_VALUE"""),43432.0)</f>
        <v>43432</v>
      </c>
      <c r="K2149" s="133">
        <f>IFERROR(__xludf.DUMMYFUNCTION("""COMPUTED_VALUE"""),6.0)</f>
        <v>6</v>
      </c>
      <c r="L2149" s="133">
        <f>IFERROR(__xludf.DUMMYFUNCTION("""COMPUTED_VALUE"""),2.0)</f>
        <v>2</v>
      </c>
      <c r="M2149" s="133">
        <f>IFERROR(__xludf.DUMMYFUNCTION("""COMPUTED_VALUE"""),8.0)</f>
        <v>8</v>
      </c>
      <c r="N2149" s="152" t="str">
        <f>IFERROR(__xludf.DUMMYFUNCTION("""COMPUTED_VALUE"""),"Model 3 LR")</f>
        <v>Model 3 LR</v>
      </c>
      <c r="O2149" s="152" t="str">
        <f>IFERROR(__xludf.DUMMYFUNCTION("""COMPUTED_VALUE"""),"Pearl White Multi-Coat")</f>
        <v>Pearl White Multi-Coat</v>
      </c>
      <c r="P2149" s="153" t="str">
        <f>IFERROR(__xludf.DUMMYFUNCTION("""COMPUTED_VALUE"""),"19 inch Sport")</f>
        <v>19 inch Sport</v>
      </c>
      <c r="Q2149" s="152" t="str">
        <f>IFERROR(__xludf.DUMMYFUNCTION("""COMPUTED_VALUE"""),"Black seats")</f>
        <v>Black seats</v>
      </c>
      <c r="R2149" s="149" t="str">
        <f>IFERROR(__xludf.DUMMYFUNCTION("""COMPUTED_VALUE"""),"Enhanced Autopilot")</f>
        <v>Enhanced Autopilot</v>
      </c>
      <c r="S2149" s="149"/>
      <c r="T2149" s="145"/>
      <c r="U2149" s="145"/>
      <c r="V2149" s="145"/>
      <c r="W2149" s="145"/>
      <c r="X2149" s="137" t="str">
        <f>IFERROR(__xludf.DUMMYFUNCTION("""COMPUTED_VALUE"""),"Excellent")</f>
        <v>Excellent</v>
      </c>
      <c r="Y2149" s="138" t="str">
        <f>IFERROR(__xludf.DUMMYFUNCTION("""COMPUTED_VALUE"""),"Very Good")</f>
        <v>Very Good</v>
      </c>
      <c r="Z2149" s="138" t="str">
        <f>IFERROR(__xludf.DUMMYFUNCTION("""COMPUTED_VALUE"""),"Excellent")</f>
        <v>Excellent</v>
      </c>
      <c r="AA2149" s="138" t="str">
        <f>IFERROR(__xludf.DUMMYFUNCTION("""COMPUTED_VALUE"""),"Fair")</f>
        <v>Fair</v>
      </c>
      <c r="AB2149" s="138" t="str">
        <f>IFERROR(__xludf.DUMMYFUNCTION("""COMPUTED_VALUE"""),"Good")</f>
        <v>Good</v>
      </c>
      <c r="AC2149" s="139">
        <f>IFERROR(__xludf.DUMMYFUNCTION("""COMPUTED_VALUE"""),1.0)</f>
        <v>1</v>
      </c>
      <c r="AD2149" s="139"/>
      <c r="AE2149" s="139"/>
      <c r="AF2149" s="140"/>
      <c r="AG2149" s="145" t="str">
        <f>IFERROR(__xludf.DUMMYFUNCTION("""COMPUTED_VALUE"""),"Inventory vehicle that matched my specifications")</f>
        <v>Inventory vehicle that matched my specifications</v>
      </c>
      <c r="AH2149" s="157">
        <f>IFERROR(__xludf.DUMMYFUNCTION("""COMPUTED_VALUE"""),43432.906444305554)</f>
        <v>43432.90644</v>
      </c>
      <c r="AI2149" s="138"/>
      <c r="AJ2149" s="138"/>
      <c r="AK2149" s="138"/>
      <c r="AL2149" s="142"/>
    </row>
    <row r="2150" ht="20.25" customHeight="1">
      <c r="A2150" s="155" t="str">
        <f>IFERROR(__xludf.DUMMYFUNCTION("""COMPUTED_VALUE"""),"Ckafrmt")</f>
        <v>Ckafrmt</v>
      </c>
      <c r="B2150" s="149"/>
      <c r="C2150" s="149" t="str">
        <f>IFERROR(__xludf.DUMMYFUNCTION("""COMPUTED_VALUE"""),"CA")</f>
        <v>CA</v>
      </c>
      <c r="D2150" s="149" t="str">
        <f>IFERROR(__xludf.DUMMYFUNCTION("""COMPUTED_VALUE"""),"USA")</f>
        <v>USA</v>
      </c>
      <c r="E2150" s="156">
        <f>IFERROR(__xludf.DUMMYFUNCTION("""COMPUTED_VALUE"""),43423.0)</f>
        <v>43423</v>
      </c>
      <c r="F2150" s="129">
        <f>IFERROR(__xludf.DUMMYFUNCTION("""COMPUTED_VALUE"""),43450.0)</f>
        <v>43450</v>
      </c>
      <c r="G2150" s="154"/>
      <c r="H2150" s="131">
        <f>IFERROR(__xludf.DUMMYFUNCTION("""COMPUTED_VALUE"""),163855.0)</f>
        <v>163855</v>
      </c>
      <c r="I2150" s="144" t="str">
        <f>IFERROR(__xludf.DUMMYFUNCTION("""COMPUTED_VALUE"""),"12/18")</f>
        <v>12/18</v>
      </c>
      <c r="J2150" s="129">
        <f>IFERROR(__xludf.DUMMYFUNCTION("""COMPUTED_VALUE"""),43453.0)</f>
        <v>43453</v>
      </c>
      <c r="K2150" s="133">
        <f>IFERROR(__xludf.DUMMYFUNCTION("""COMPUTED_VALUE"""),27.0)</f>
        <v>27</v>
      </c>
      <c r="L2150" s="133">
        <f>IFERROR(__xludf.DUMMYFUNCTION("""COMPUTED_VALUE"""),3.0)</f>
        <v>3</v>
      </c>
      <c r="M2150" s="133">
        <f>IFERROR(__xludf.DUMMYFUNCTION("""COMPUTED_VALUE"""),30.0)</f>
        <v>30</v>
      </c>
      <c r="N2150" s="152" t="str">
        <f>IFERROR(__xludf.DUMMYFUNCTION("""COMPUTED_VALUE"""),"Model 3 MR")</f>
        <v>Model 3 MR</v>
      </c>
      <c r="O2150" s="152" t="str">
        <f>IFERROR(__xludf.DUMMYFUNCTION("""COMPUTED_VALUE"""),"Red Multi-Coat")</f>
        <v>Red Multi-Coat</v>
      </c>
      <c r="P2150" s="153" t="str">
        <f>IFERROR(__xludf.DUMMYFUNCTION("""COMPUTED_VALUE"""),"19 inch Sport")</f>
        <v>19 inch Sport</v>
      </c>
      <c r="Q2150" s="152" t="str">
        <f>IFERROR(__xludf.DUMMYFUNCTION("""COMPUTED_VALUE"""),"Black seats")</f>
        <v>Black seats</v>
      </c>
      <c r="R2150" s="149" t="str">
        <f>IFERROR(__xludf.DUMMYFUNCTION("""COMPUTED_VALUE"""),"Enhanced Autopilot")</f>
        <v>Enhanced Autopilot</v>
      </c>
      <c r="S2150" s="149"/>
      <c r="T2150" s="145"/>
      <c r="U2150" s="145"/>
      <c r="V2150" s="145"/>
      <c r="W2150" s="145"/>
      <c r="X2150" s="137" t="str">
        <f>IFERROR(__xludf.DUMMYFUNCTION("""COMPUTED_VALUE"""),"Very Good")</f>
        <v>Very Good</v>
      </c>
      <c r="Y2150" s="138" t="str">
        <f>IFERROR(__xludf.DUMMYFUNCTION("""COMPUTED_VALUE"""),"Excellent")</f>
        <v>Excellent</v>
      </c>
      <c r="Z2150" s="138" t="str">
        <f>IFERROR(__xludf.DUMMYFUNCTION("""COMPUTED_VALUE"""),"Very Good")</f>
        <v>Very Good</v>
      </c>
      <c r="AA2150" s="138" t="str">
        <f>IFERROR(__xludf.DUMMYFUNCTION("""COMPUTED_VALUE"""),"Very Good")</f>
        <v>Very Good</v>
      </c>
      <c r="AB2150" s="138" t="str">
        <f>IFERROR(__xludf.DUMMYFUNCTION("""COMPUTED_VALUE"""),"Good")</f>
        <v>Good</v>
      </c>
      <c r="AC2150" s="139">
        <f>IFERROR(__xludf.DUMMYFUNCTION("""COMPUTED_VALUE"""),1.0)</f>
        <v>1</v>
      </c>
      <c r="AD2150" s="139">
        <f>IFERROR(__xludf.DUMMYFUNCTION("""COMPUTED_VALUE"""),1.0)</f>
        <v>1</v>
      </c>
      <c r="AE2150" s="139"/>
      <c r="AF2150" s="140"/>
      <c r="AG2150" s="145"/>
      <c r="AH2150" s="157">
        <f>IFERROR(__xludf.DUMMYFUNCTION("""COMPUTED_VALUE"""),43465.44788146991)</f>
        <v>43465.44788</v>
      </c>
      <c r="AI2150" s="138"/>
      <c r="AJ2150" s="138"/>
      <c r="AK2150" s="138"/>
      <c r="AL2150" s="142"/>
    </row>
    <row r="2151" ht="20.25" customHeight="1">
      <c r="A2151" s="155" t="str">
        <f>IFERROR(__xludf.DUMMYFUNCTION("""COMPUTED_VALUE"""),"glockoma")</f>
        <v>glockoma</v>
      </c>
      <c r="B2151" s="149" t="str">
        <f>IFERROR(__xludf.DUMMYFUNCTION("""COMPUTED_VALUE"""),"Dallas")</f>
        <v>Dallas</v>
      </c>
      <c r="C2151" s="149" t="str">
        <f>IFERROR(__xludf.DUMMYFUNCTION("""COMPUTED_VALUE"""),"TX")</f>
        <v>TX</v>
      </c>
      <c r="D2151" s="149" t="str">
        <f>IFERROR(__xludf.DUMMYFUNCTION("""COMPUTED_VALUE"""),"USA")</f>
        <v>USA</v>
      </c>
      <c r="E2151" s="156">
        <f>IFERROR(__xludf.DUMMYFUNCTION("""COMPUTED_VALUE"""),43423.0)</f>
        <v>43423</v>
      </c>
      <c r="F2151" s="129">
        <f>IFERROR(__xludf.DUMMYFUNCTION("""COMPUTED_VALUE"""),43448.0)</f>
        <v>43448</v>
      </c>
      <c r="G2151" s="154"/>
      <c r="H2151" s="131">
        <f>IFERROR(__xludf.DUMMYFUNCTION("""COMPUTED_VALUE"""),176055.0)</f>
        <v>176055</v>
      </c>
      <c r="I2151" s="144" t="str">
        <f>IFERROR(__xludf.DUMMYFUNCTION("""COMPUTED_VALUE"""),"12/18")</f>
        <v>12/18</v>
      </c>
      <c r="J2151" s="129">
        <f>IFERROR(__xludf.DUMMYFUNCTION("""COMPUTED_VALUE"""),43455.0)</f>
        <v>43455</v>
      </c>
      <c r="K2151" s="133">
        <f>IFERROR(__xludf.DUMMYFUNCTION("""COMPUTED_VALUE"""),25.0)</f>
        <v>25</v>
      </c>
      <c r="L2151" s="133">
        <f>IFERROR(__xludf.DUMMYFUNCTION("""COMPUTED_VALUE"""),7.0)</f>
        <v>7</v>
      </c>
      <c r="M2151" s="133">
        <f>IFERROR(__xludf.DUMMYFUNCTION("""COMPUTED_VALUE"""),32.0)</f>
        <v>32</v>
      </c>
      <c r="N2151" s="152" t="str">
        <f>IFERROR(__xludf.DUMMYFUNCTION("""COMPUTED_VALUE"""),"Model 3 MR")</f>
        <v>Model 3 MR</v>
      </c>
      <c r="O2151" s="152" t="str">
        <f>IFERROR(__xludf.DUMMYFUNCTION("""COMPUTED_VALUE"""),"Solid Black")</f>
        <v>Solid Black</v>
      </c>
      <c r="P2151" s="153" t="str">
        <f>IFERROR(__xludf.DUMMYFUNCTION("""COMPUTED_VALUE"""),"19 inch Sport")</f>
        <v>19 inch Sport</v>
      </c>
      <c r="Q2151" s="152" t="str">
        <f>IFERROR(__xludf.DUMMYFUNCTION("""COMPUTED_VALUE"""),"Black seats")</f>
        <v>Black seats</v>
      </c>
      <c r="R2151" s="149" t="str">
        <f>IFERROR(__xludf.DUMMYFUNCTION("""COMPUTED_VALUE"""),"Enhanced Autopilot")</f>
        <v>Enhanced Autopilot</v>
      </c>
      <c r="S2151" s="149"/>
      <c r="T2151" s="145"/>
      <c r="U2151" s="145"/>
      <c r="V2151" s="145"/>
      <c r="W2151" s="145"/>
      <c r="X2151" s="137" t="str">
        <f>IFERROR(__xludf.DUMMYFUNCTION("""COMPUTED_VALUE"""),"Excellent")</f>
        <v>Excellent</v>
      </c>
      <c r="Y2151" s="138" t="str">
        <f>IFERROR(__xludf.DUMMYFUNCTION("""COMPUTED_VALUE"""),"Excellent")</f>
        <v>Excellent</v>
      </c>
      <c r="Z2151" s="138" t="str">
        <f>IFERROR(__xludf.DUMMYFUNCTION("""COMPUTED_VALUE"""),"Excellent")</f>
        <v>Excellent</v>
      </c>
      <c r="AA2151" s="138" t="str">
        <f>IFERROR(__xludf.DUMMYFUNCTION("""COMPUTED_VALUE"""),"Fair")</f>
        <v>Fair</v>
      </c>
      <c r="AB2151" s="138" t="str">
        <f>IFERROR(__xludf.DUMMYFUNCTION("""COMPUTED_VALUE"""),"Fair")</f>
        <v>Fair</v>
      </c>
      <c r="AC2151" s="139">
        <f>IFERROR(__xludf.DUMMYFUNCTION("""COMPUTED_VALUE"""),0.0)</f>
        <v>0</v>
      </c>
      <c r="AD2151" s="139">
        <f>IFERROR(__xludf.DUMMYFUNCTION("""COMPUTED_VALUE"""),0.0)</f>
        <v>0</v>
      </c>
      <c r="AE2151" s="139">
        <f>IFERROR(__xludf.DUMMYFUNCTION("""COMPUTED_VALUE"""),0.0)</f>
        <v>0</v>
      </c>
      <c r="AF2151" s="140"/>
      <c r="AG2151" s="145"/>
      <c r="AH2151" s="157">
        <f>IFERROR(__xludf.DUMMYFUNCTION("""COMPUTED_VALUE"""),43505.60174413195)</f>
        <v>43505.60174</v>
      </c>
      <c r="AI2151" s="138"/>
      <c r="AJ2151" s="138"/>
      <c r="AK2151" s="138"/>
      <c r="AL2151" s="142"/>
    </row>
    <row r="2152" ht="20.25" customHeight="1">
      <c r="A2152" s="155" t="str">
        <f>IFERROR(__xludf.DUMMYFUNCTION("""COMPUTED_VALUE"""),"ganzyTM3")</f>
        <v>ganzyTM3</v>
      </c>
      <c r="B2152" s="149" t="str">
        <f>IFERROR(__xludf.DUMMYFUNCTION("""COMPUTED_VALUE"""),"Bothell")</f>
        <v>Bothell</v>
      </c>
      <c r="C2152" s="149" t="str">
        <f>IFERROR(__xludf.DUMMYFUNCTION("""COMPUTED_VALUE"""),"WA")</f>
        <v>WA</v>
      </c>
      <c r="D2152" s="149" t="str">
        <f>IFERROR(__xludf.DUMMYFUNCTION("""COMPUTED_VALUE"""),"USA")</f>
        <v>USA</v>
      </c>
      <c r="E2152" s="156">
        <f>IFERROR(__xludf.DUMMYFUNCTION("""COMPUTED_VALUE"""),43422.0)</f>
        <v>43422</v>
      </c>
      <c r="F2152" s="129">
        <f>IFERROR(__xludf.DUMMYFUNCTION("""COMPUTED_VALUE"""),43456.0)</f>
        <v>43456</v>
      </c>
      <c r="G2152" s="154"/>
      <c r="H2152" s="131">
        <f>IFERROR(__xludf.DUMMYFUNCTION("""COMPUTED_VALUE"""),160855.0)</f>
        <v>160855</v>
      </c>
      <c r="I2152" s="144" t="str">
        <f>IFERROR(__xludf.DUMMYFUNCTION("""COMPUTED_VALUE"""),"12/18")</f>
        <v>12/18</v>
      </c>
      <c r="J2152" s="129">
        <f>IFERROR(__xludf.DUMMYFUNCTION("""COMPUTED_VALUE"""),43460.0)</f>
        <v>43460</v>
      </c>
      <c r="K2152" s="133">
        <f>IFERROR(__xludf.DUMMYFUNCTION("""COMPUTED_VALUE"""),34.0)</f>
        <v>34</v>
      </c>
      <c r="L2152" s="133">
        <f>IFERROR(__xludf.DUMMYFUNCTION("""COMPUTED_VALUE"""),4.0)</f>
        <v>4</v>
      </c>
      <c r="M2152" s="133">
        <f>IFERROR(__xludf.DUMMYFUNCTION("""COMPUTED_VALUE"""),38.0)</f>
        <v>38</v>
      </c>
      <c r="N2152" s="152" t="str">
        <f>IFERROR(__xludf.DUMMYFUNCTION("""COMPUTED_VALUE"""),"Model 3 MR")</f>
        <v>Model 3 MR</v>
      </c>
      <c r="O2152" s="152" t="str">
        <f>IFERROR(__xludf.DUMMYFUNCTION("""COMPUTED_VALUE"""),"Deep Blue Metallic")</f>
        <v>Deep Blue Metallic</v>
      </c>
      <c r="P2152" s="153" t="str">
        <f>IFERROR(__xludf.DUMMYFUNCTION("""COMPUTED_VALUE"""),"18 inch Aero")</f>
        <v>18 inch Aero</v>
      </c>
      <c r="Q2152" s="152" t="str">
        <f>IFERROR(__xludf.DUMMYFUNCTION("""COMPUTED_VALUE"""),"Black seats")</f>
        <v>Black seats</v>
      </c>
      <c r="R2152" s="149" t="str">
        <f>IFERROR(__xludf.DUMMYFUNCTION("""COMPUTED_VALUE"""),"Enhanced Autopilot")</f>
        <v>Enhanced Autopilot</v>
      </c>
      <c r="S2152" s="149"/>
      <c r="T2152" s="145"/>
      <c r="U2152" s="145"/>
      <c r="V2152" s="145"/>
      <c r="W2152" s="145"/>
      <c r="X2152" s="137" t="str">
        <f>IFERROR(__xludf.DUMMYFUNCTION("""COMPUTED_VALUE"""),"Very Good")</f>
        <v>Very Good</v>
      </c>
      <c r="Y2152" s="138" t="str">
        <f>IFERROR(__xludf.DUMMYFUNCTION("""COMPUTED_VALUE"""),"Very Good")</f>
        <v>Very Good</v>
      </c>
      <c r="Z2152" s="138" t="str">
        <f>IFERROR(__xludf.DUMMYFUNCTION("""COMPUTED_VALUE"""),"Very Good")</f>
        <v>Very Good</v>
      </c>
      <c r="AA2152" s="138" t="str">
        <f>IFERROR(__xludf.DUMMYFUNCTION("""COMPUTED_VALUE"""),"Good")</f>
        <v>Good</v>
      </c>
      <c r="AB2152" s="138" t="str">
        <f>IFERROR(__xludf.DUMMYFUNCTION("""COMPUTED_VALUE"""),"Good")</f>
        <v>Good</v>
      </c>
      <c r="AC2152" s="139">
        <f>IFERROR(__xludf.DUMMYFUNCTION("""COMPUTED_VALUE"""),2.0)</f>
        <v>2</v>
      </c>
      <c r="AD2152" s="139"/>
      <c r="AE2152" s="139"/>
      <c r="AF2152" s="140"/>
      <c r="AG2152" s="145"/>
      <c r="AH2152" s="157">
        <f>IFERROR(__xludf.DUMMYFUNCTION("""COMPUTED_VALUE"""),43461.48385449074)</f>
        <v>43461.48385</v>
      </c>
      <c r="AI2152" s="138"/>
      <c r="AJ2152" s="138"/>
      <c r="AK2152" s="138"/>
      <c r="AL2152" s="142"/>
    </row>
    <row r="2153" ht="20.25" customHeight="1">
      <c r="A2153" s="155" t="str">
        <f>IFERROR(__xludf.DUMMYFUNCTION("""COMPUTED_VALUE"""),"pwbishop")</f>
        <v>pwbishop</v>
      </c>
      <c r="B2153" s="149" t="str">
        <f>IFERROR(__xludf.DUMMYFUNCTION("""COMPUTED_VALUE"""),"Santa Barbara")</f>
        <v>Santa Barbara</v>
      </c>
      <c r="C2153" s="149" t="str">
        <f>IFERROR(__xludf.DUMMYFUNCTION("""COMPUTED_VALUE"""),"CA")</f>
        <v>CA</v>
      </c>
      <c r="D2153" s="149" t="str">
        <f>IFERROR(__xludf.DUMMYFUNCTION("""COMPUTED_VALUE"""),"USA")</f>
        <v>USA</v>
      </c>
      <c r="E2153" s="156">
        <f>IFERROR(__xludf.DUMMYFUNCTION("""COMPUTED_VALUE"""),43422.0)</f>
        <v>43422</v>
      </c>
      <c r="F2153" s="129"/>
      <c r="G2153" s="154"/>
      <c r="H2153" s="131"/>
      <c r="I2153" s="144"/>
      <c r="J2153" s="129">
        <f>IFERROR(__xludf.DUMMYFUNCTION("""COMPUTED_VALUE"""),43452.0)</f>
        <v>43452</v>
      </c>
      <c r="K2153" s="133"/>
      <c r="L2153" s="133"/>
      <c r="M2153" s="133">
        <f>IFERROR(__xludf.DUMMYFUNCTION("""COMPUTED_VALUE"""),30.0)</f>
        <v>30</v>
      </c>
      <c r="N2153" s="152" t="str">
        <f>IFERROR(__xludf.DUMMYFUNCTION("""COMPUTED_VALUE"""),"Model 3 MR")</f>
        <v>Model 3 MR</v>
      </c>
      <c r="O2153" s="152" t="str">
        <f>IFERROR(__xludf.DUMMYFUNCTION("""COMPUTED_VALUE"""),"Pearl White Multi-Coat")</f>
        <v>Pearl White Multi-Coat</v>
      </c>
      <c r="P2153" s="153" t="str">
        <f>IFERROR(__xludf.DUMMYFUNCTION("""COMPUTED_VALUE"""),"19 inch Sport")</f>
        <v>19 inch Sport</v>
      </c>
      <c r="Q2153" s="152" t="str">
        <f>IFERROR(__xludf.DUMMYFUNCTION("""COMPUTED_VALUE"""),"Black seats")</f>
        <v>Black seats</v>
      </c>
      <c r="R2153" s="149" t="str">
        <f>IFERROR(__xludf.DUMMYFUNCTION("""COMPUTED_VALUE"""),"Enhanced Autopilot")</f>
        <v>Enhanced Autopilot</v>
      </c>
      <c r="S2153" s="149"/>
      <c r="T2153" s="145"/>
      <c r="U2153" s="145"/>
      <c r="V2153" s="145"/>
      <c r="W2153" s="145"/>
      <c r="X2153" s="137" t="str">
        <f>IFERROR(__xludf.DUMMYFUNCTION("""COMPUTED_VALUE"""),"Good")</f>
        <v>Good</v>
      </c>
      <c r="Y2153" s="138" t="str">
        <f>IFERROR(__xludf.DUMMYFUNCTION("""COMPUTED_VALUE"""),"Very Good")</f>
        <v>Very Good</v>
      </c>
      <c r="Z2153" s="138" t="str">
        <f>IFERROR(__xludf.DUMMYFUNCTION("""COMPUTED_VALUE"""),"Very Good")</f>
        <v>Very Good</v>
      </c>
      <c r="AA2153" s="138" t="str">
        <f>IFERROR(__xludf.DUMMYFUNCTION("""COMPUTED_VALUE"""),"Fair")</f>
        <v>Fair</v>
      </c>
      <c r="AB2153" s="138" t="str">
        <f>IFERROR(__xludf.DUMMYFUNCTION("""COMPUTED_VALUE"""),"Good")</f>
        <v>Good</v>
      </c>
      <c r="AC2153" s="139">
        <f>IFERROR(__xludf.DUMMYFUNCTION("""COMPUTED_VALUE"""),0.0)</f>
        <v>0</v>
      </c>
      <c r="AD2153" s="139">
        <f>IFERROR(__xludf.DUMMYFUNCTION("""COMPUTED_VALUE"""),0.0)</f>
        <v>0</v>
      </c>
      <c r="AE2153" s="139">
        <f>IFERROR(__xludf.DUMMYFUNCTION("""COMPUTED_VALUE"""),0.0)</f>
        <v>0</v>
      </c>
      <c r="AF2153" s="140"/>
      <c r="AG2153" s="145" t="str">
        <f>IFERROR(__xludf.DUMMYFUNCTION("""COMPUTED_VALUE"""),"Best purchase experience ever...")</f>
        <v>Best purchase experience ever...</v>
      </c>
      <c r="AH2153" s="157">
        <f>IFERROR(__xludf.DUMMYFUNCTION("""COMPUTED_VALUE"""),43479.47424405093)</f>
        <v>43479.47424</v>
      </c>
      <c r="AI2153" s="138"/>
      <c r="AJ2153" s="138"/>
      <c r="AK2153" s="138"/>
      <c r="AL2153" s="142"/>
    </row>
    <row r="2154" ht="20.25" customHeight="1">
      <c r="A2154" s="155" t="str">
        <f>IFERROR(__xludf.DUMMYFUNCTION("""COMPUTED_VALUE"""),"TM3FL")</f>
        <v>TM3FL</v>
      </c>
      <c r="B2154" s="149" t="str">
        <f>IFERROR(__xludf.DUMMYFUNCTION("""COMPUTED_VALUE"""),"Tampa")</f>
        <v>Tampa</v>
      </c>
      <c r="C2154" s="149" t="str">
        <f>IFERROR(__xludf.DUMMYFUNCTION("""COMPUTED_VALUE"""),"FL")</f>
        <v>FL</v>
      </c>
      <c r="D2154" s="149" t="str">
        <f>IFERROR(__xludf.DUMMYFUNCTION("""COMPUTED_VALUE"""),"USA")</f>
        <v>USA</v>
      </c>
      <c r="E2154" s="156">
        <f>IFERROR(__xludf.DUMMYFUNCTION("""COMPUTED_VALUE"""),43422.0)</f>
        <v>43422</v>
      </c>
      <c r="F2154" s="129">
        <f>IFERROR(__xludf.DUMMYFUNCTION("""COMPUTED_VALUE"""),43434.0)</f>
        <v>43434</v>
      </c>
      <c r="G2154" s="154"/>
      <c r="H2154" s="131">
        <f>IFERROR(__xludf.DUMMYFUNCTION("""COMPUTED_VALUE"""),154179.0)</f>
        <v>154179</v>
      </c>
      <c r="I2154" s="144"/>
      <c r="J2154" s="129">
        <f>IFERROR(__xludf.DUMMYFUNCTION("""COMPUTED_VALUE"""),43445.0)</f>
        <v>43445</v>
      </c>
      <c r="K2154" s="133">
        <f>IFERROR(__xludf.DUMMYFUNCTION("""COMPUTED_VALUE"""),12.0)</f>
        <v>12</v>
      </c>
      <c r="L2154" s="133">
        <f>IFERROR(__xludf.DUMMYFUNCTION("""COMPUTED_VALUE"""),11.0)</f>
        <v>11</v>
      </c>
      <c r="M2154" s="133">
        <f>IFERROR(__xludf.DUMMYFUNCTION("""COMPUTED_VALUE"""),23.0)</f>
        <v>23</v>
      </c>
      <c r="N2154" s="152" t="str">
        <f>IFERROR(__xludf.DUMMYFUNCTION("""COMPUTED_VALUE"""),"Model 3 MR")</f>
        <v>Model 3 MR</v>
      </c>
      <c r="O2154" s="152" t="str">
        <f>IFERROR(__xludf.DUMMYFUNCTION("""COMPUTED_VALUE"""),"Deep Blue Metallic")</f>
        <v>Deep Blue Metallic</v>
      </c>
      <c r="P2154" s="153" t="str">
        <f>IFERROR(__xludf.DUMMYFUNCTION("""COMPUTED_VALUE"""),"18 inch Aero")</f>
        <v>18 inch Aero</v>
      </c>
      <c r="Q2154" s="152" t="str">
        <f>IFERROR(__xludf.DUMMYFUNCTION("""COMPUTED_VALUE"""),"Black seats")</f>
        <v>Black seats</v>
      </c>
      <c r="R2154" s="149" t="str">
        <f>IFERROR(__xludf.DUMMYFUNCTION("""COMPUTED_VALUE"""),"Enhanced Autopilot")</f>
        <v>Enhanced Autopilot</v>
      </c>
      <c r="S2154" s="149"/>
      <c r="T2154" s="145"/>
      <c r="U2154" s="145"/>
      <c r="V2154" s="145"/>
      <c r="W2154" s="145"/>
      <c r="X2154" s="137" t="str">
        <f>IFERROR(__xludf.DUMMYFUNCTION("""COMPUTED_VALUE"""),"Very Good")</f>
        <v>Very Good</v>
      </c>
      <c r="Y2154" s="138" t="str">
        <f>IFERROR(__xludf.DUMMYFUNCTION("""COMPUTED_VALUE"""),"Excellent")</f>
        <v>Excellent</v>
      </c>
      <c r="Z2154" s="138" t="str">
        <f>IFERROR(__xludf.DUMMYFUNCTION("""COMPUTED_VALUE"""),"Very Good")</f>
        <v>Very Good</v>
      </c>
      <c r="AA2154" s="138" t="str">
        <f>IFERROR(__xludf.DUMMYFUNCTION("""COMPUTED_VALUE"""),"Good")</f>
        <v>Good</v>
      </c>
      <c r="AB2154" s="138" t="str">
        <f>IFERROR(__xludf.DUMMYFUNCTION("""COMPUTED_VALUE"""),"Very Good")</f>
        <v>Very Good</v>
      </c>
      <c r="AC2154" s="139"/>
      <c r="AD2154" s="139"/>
      <c r="AE2154" s="139"/>
      <c r="AF2154" s="140"/>
      <c r="AG2154" s="145"/>
      <c r="AH2154" s="157">
        <f>IFERROR(__xludf.DUMMYFUNCTION("""COMPUTED_VALUE"""),43445.4977224537)</f>
        <v>43445.49772</v>
      </c>
      <c r="AI2154" s="138"/>
      <c r="AJ2154" s="138"/>
      <c r="AK2154" s="138"/>
      <c r="AL2154" s="142"/>
    </row>
    <row r="2155" ht="20.25" customHeight="1">
      <c r="A2155" s="155" t="str">
        <f>IFERROR(__xludf.DUMMYFUNCTION("""COMPUTED_VALUE"""),"dB")</f>
        <v>dB</v>
      </c>
      <c r="B2155" s="149" t="str">
        <f>IFERROR(__xludf.DUMMYFUNCTION("""COMPUTED_VALUE"""),"Austin")</f>
        <v>Austin</v>
      </c>
      <c r="C2155" s="149" t="str">
        <f>IFERROR(__xludf.DUMMYFUNCTION("""COMPUTED_VALUE"""),"TX")</f>
        <v>TX</v>
      </c>
      <c r="D2155" s="149" t="str">
        <f>IFERROR(__xludf.DUMMYFUNCTION("""COMPUTED_VALUE"""),"USA")</f>
        <v>USA</v>
      </c>
      <c r="E2155" s="156">
        <f>IFERROR(__xludf.DUMMYFUNCTION("""COMPUTED_VALUE"""),43421.0)</f>
        <v>43421</v>
      </c>
      <c r="F2155" s="129">
        <f>IFERROR(__xludf.DUMMYFUNCTION("""COMPUTED_VALUE"""),43438.0)</f>
        <v>43438</v>
      </c>
      <c r="G2155" s="154"/>
      <c r="H2155" s="131">
        <f>IFERROR(__xludf.DUMMYFUNCTION("""COMPUTED_VALUE"""),151755.0)</f>
        <v>151755</v>
      </c>
      <c r="I2155" s="144" t="str">
        <f>IFERROR(__xludf.DUMMYFUNCTION("""COMPUTED_VALUE"""),"12/18")</f>
        <v>12/18</v>
      </c>
      <c r="J2155" s="129">
        <f>IFERROR(__xludf.DUMMYFUNCTION("""COMPUTED_VALUE"""),43452.0)</f>
        <v>43452</v>
      </c>
      <c r="K2155" s="133">
        <f>IFERROR(__xludf.DUMMYFUNCTION("""COMPUTED_VALUE"""),17.0)</f>
        <v>17</v>
      </c>
      <c r="L2155" s="133">
        <f>IFERROR(__xludf.DUMMYFUNCTION("""COMPUTED_VALUE"""),14.0)</f>
        <v>14</v>
      </c>
      <c r="M2155" s="133">
        <f>IFERROR(__xludf.DUMMYFUNCTION("""COMPUTED_VALUE"""),31.0)</f>
        <v>31</v>
      </c>
      <c r="N2155" s="152" t="str">
        <f>IFERROR(__xludf.DUMMYFUNCTION("""COMPUTED_VALUE"""),"Model 3 MR")</f>
        <v>Model 3 MR</v>
      </c>
      <c r="O2155" s="152" t="str">
        <f>IFERROR(__xludf.DUMMYFUNCTION("""COMPUTED_VALUE"""),"Solid Black")</f>
        <v>Solid Black</v>
      </c>
      <c r="P2155" s="153" t="str">
        <f>IFERROR(__xludf.DUMMYFUNCTION("""COMPUTED_VALUE"""),"18 inch Aero")</f>
        <v>18 inch Aero</v>
      </c>
      <c r="Q2155" s="152" t="str">
        <f>IFERROR(__xludf.DUMMYFUNCTION("""COMPUTED_VALUE"""),"Black seats")</f>
        <v>Black seats</v>
      </c>
      <c r="R2155" s="149" t="str">
        <f>IFERROR(__xludf.DUMMYFUNCTION("""COMPUTED_VALUE"""),"None")</f>
        <v>None</v>
      </c>
      <c r="S2155" s="149"/>
      <c r="T2155" s="145"/>
      <c r="U2155" s="145"/>
      <c r="V2155" s="145"/>
      <c r="W2155" s="145"/>
      <c r="X2155" s="137" t="str">
        <f>IFERROR(__xludf.DUMMYFUNCTION("""COMPUTED_VALUE"""),"Excellent")</f>
        <v>Excellent</v>
      </c>
      <c r="Y2155" s="138" t="str">
        <f>IFERROR(__xludf.DUMMYFUNCTION("""COMPUTED_VALUE"""),"Excellent")</f>
        <v>Excellent</v>
      </c>
      <c r="Z2155" s="138" t="str">
        <f>IFERROR(__xludf.DUMMYFUNCTION("""COMPUTED_VALUE"""),"Excellent")</f>
        <v>Excellent</v>
      </c>
      <c r="AA2155" s="138" t="str">
        <f>IFERROR(__xludf.DUMMYFUNCTION("""COMPUTED_VALUE"""),"Good")</f>
        <v>Good</v>
      </c>
      <c r="AB2155" s="138" t="str">
        <f>IFERROR(__xludf.DUMMYFUNCTION("""COMPUTED_VALUE"""),"Excellent")</f>
        <v>Excellent</v>
      </c>
      <c r="AC2155" s="139">
        <f>IFERROR(__xludf.DUMMYFUNCTION("""COMPUTED_VALUE"""),0.0)</f>
        <v>0</v>
      </c>
      <c r="AD2155" s="139">
        <f>IFERROR(__xludf.DUMMYFUNCTION("""COMPUTED_VALUE"""),0.0)</f>
        <v>0</v>
      </c>
      <c r="AE2155" s="139">
        <f>IFERROR(__xludf.DUMMYFUNCTION("""COMPUTED_VALUE"""),0.0)</f>
        <v>0</v>
      </c>
      <c r="AF2155" s="140"/>
      <c r="AG2155" s="145"/>
      <c r="AH2155" s="157">
        <f>IFERROR(__xludf.DUMMYFUNCTION("""COMPUTED_VALUE"""),43456.30242784722)</f>
        <v>43456.30243</v>
      </c>
      <c r="AI2155" s="138"/>
      <c r="AJ2155" s="138"/>
      <c r="AK2155" s="138"/>
      <c r="AL2155" s="142"/>
    </row>
    <row r="2156" ht="20.25" customHeight="1">
      <c r="A2156" s="155" t="str">
        <f>IFERROR(__xludf.DUMMYFUNCTION("""COMPUTED_VALUE"""),"psarossy")</f>
        <v>psarossy</v>
      </c>
      <c r="B2156" s="149" t="str">
        <f>IFERROR(__xludf.DUMMYFUNCTION("""COMPUTED_VALUE"""),"Atlanta")</f>
        <v>Atlanta</v>
      </c>
      <c r="C2156" s="149" t="str">
        <f>IFERROR(__xludf.DUMMYFUNCTION("""COMPUTED_VALUE"""),"GA")</f>
        <v>GA</v>
      </c>
      <c r="D2156" s="149" t="str">
        <f>IFERROR(__xludf.DUMMYFUNCTION("""COMPUTED_VALUE"""),"USA")</f>
        <v>USA</v>
      </c>
      <c r="E2156" s="156">
        <f>IFERROR(__xludf.DUMMYFUNCTION("""COMPUTED_VALUE"""),43421.0)</f>
        <v>43421</v>
      </c>
      <c r="F2156" s="129">
        <f>IFERROR(__xludf.DUMMYFUNCTION("""COMPUTED_VALUE"""),43460.0)</f>
        <v>43460</v>
      </c>
      <c r="G2156" s="154"/>
      <c r="H2156" s="131">
        <f>IFERROR(__xludf.DUMMYFUNCTION("""COMPUTED_VALUE"""),81594.0)</f>
        <v>81594</v>
      </c>
      <c r="I2156" s="144"/>
      <c r="J2156" s="129">
        <f>IFERROR(__xludf.DUMMYFUNCTION("""COMPUTED_VALUE"""),43444.0)</f>
        <v>43444</v>
      </c>
      <c r="K2156" s="133">
        <f>IFERROR(__xludf.DUMMYFUNCTION("""COMPUTED_VALUE"""),39.0)</f>
        <v>39</v>
      </c>
      <c r="L2156" s="133"/>
      <c r="M2156" s="133">
        <f>IFERROR(__xludf.DUMMYFUNCTION("""COMPUTED_VALUE"""),23.0)</f>
        <v>23</v>
      </c>
      <c r="N2156" s="152" t="str">
        <f>IFERROR(__xludf.DUMMYFUNCTION("""COMPUTED_VALUE"""),"Model 3 Performance")</f>
        <v>Model 3 Performance</v>
      </c>
      <c r="O2156" s="152" t="str">
        <f>IFERROR(__xludf.DUMMYFUNCTION("""COMPUTED_VALUE"""),"Pearl White Multi-Coat")</f>
        <v>Pearl White Multi-Coat</v>
      </c>
      <c r="P2156" s="153" t="str">
        <f>IFERROR(__xludf.DUMMYFUNCTION("""COMPUTED_VALUE"""),"20 inch Sport")</f>
        <v>20 inch Sport</v>
      </c>
      <c r="Q2156" s="152" t="str">
        <f>IFERROR(__xludf.DUMMYFUNCTION("""COMPUTED_VALUE"""),"White seats")</f>
        <v>White seats</v>
      </c>
      <c r="R2156" s="149" t="str">
        <f>IFERROR(__xludf.DUMMYFUNCTION("""COMPUTED_VALUE"""),"Enhanced Autopilot")</f>
        <v>Enhanced Autopilot</v>
      </c>
      <c r="S2156" s="149"/>
      <c r="T2156" s="145"/>
      <c r="U2156" s="145"/>
      <c r="V2156" s="145"/>
      <c r="W2156" s="145"/>
      <c r="X2156" s="137" t="str">
        <f>IFERROR(__xludf.DUMMYFUNCTION("""COMPUTED_VALUE"""),"Excellent")</f>
        <v>Excellent</v>
      </c>
      <c r="Y2156" s="138" t="str">
        <f>IFERROR(__xludf.DUMMYFUNCTION("""COMPUTED_VALUE"""),"Excellent")</f>
        <v>Excellent</v>
      </c>
      <c r="Z2156" s="138" t="str">
        <f>IFERROR(__xludf.DUMMYFUNCTION("""COMPUTED_VALUE"""),"Excellent")</f>
        <v>Excellent</v>
      </c>
      <c r="AA2156" s="138" t="str">
        <f>IFERROR(__xludf.DUMMYFUNCTION("""COMPUTED_VALUE"""),"Excellent")</f>
        <v>Excellent</v>
      </c>
      <c r="AB2156" s="138" t="str">
        <f>IFERROR(__xludf.DUMMYFUNCTION("""COMPUTED_VALUE"""),"Good")</f>
        <v>Good</v>
      </c>
      <c r="AC2156" s="139"/>
      <c r="AD2156" s="139"/>
      <c r="AE2156" s="139"/>
      <c r="AF2156" s="140"/>
      <c r="AG2156" s="145"/>
      <c r="AH2156" s="157">
        <f>IFERROR(__xludf.DUMMYFUNCTION("""COMPUTED_VALUE"""),43440.883065625)</f>
        <v>43440.88307</v>
      </c>
      <c r="AI2156" s="138"/>
      <c r="AJ2156" s="138"/>
      <c r="AK2156" s="138"/>
      <c r="AL2156" s="142"/>
    </row>
    <row r="2157" ht="20.25" customHeight="1">
      <c r="A2157" s="155" t="str">
        <f>IFERROR(__xludf.DUMMYFUNCTION("""COMPUTED_VALUE"""),"Fhmiv")</f>
        <v>Fhmiv</v>
      </c>
      <c r="B2157" s="149" t="str">
        <f>IFERROR(__xludf.DUMMYFUNCTION("""COMPUTED_VALUE"""),"San Jose")</f>
        <v>San Jose</v>
      </c>
      <c r="C2157" s="149" t="str">
        <f>IFERROR(__xludf.DUMMYFUNCTION("""COMPUTED_VALUE"""),"CA")</f>
        <v>CA</v>
      </c>
      <c r="D2157" s="149" t="str">
        <f>IFERROR(__xludf.DUMMYFUNCTION("""COMPUTED_VALUE"""),"USA")</f>
        <v>USA</v>
      </c>
      <c r="E2157" s="156">
        <f>IFERROR(__xludf.DUMMYFUNCTION("""COMPUTED_VALUE"""),43420.0)</f>
        <v>43420</v>
      </c>
      <c r="F2157" s="129">
        <f>IFERROR(__xludf.DUMMYFUNCTION("""COMPUTED_VALUE"""),43441.0)</f>
        <v>43441</v>
      </c>
      <c r="G2157" s="154"/>
      <c r="H2157" s="131">
        <f>IFERROR(__xludf.DUMMYFUNCTION("""COMPUTED_VALUE"""),157055.0)</f>
        <v>157055</v>
      </c>
      <c r="I2157" s="144" t="str">
        <f>IFERROR(__xludf.DUMMYFUNCTION("""COMPUTED_VALUE"""),"12/18")</f>
        <v>12/18</v>
      </c>
      <c r="J2157" s="129">
        <f>IFERROR(__xludf.DUMMYFUNCTION("""COMPUTED_VALUE"""),43449.0)</f>
        <v>43449</v>
      </c>
      <c r="K2157" s="133">
        <f>IFERROR(__xludf.DUMMYFUNCTION("""COMPUTED_VALUE"""),21.0)</f>
        <v>21</v>
      </c>
      <c r="L2157" s="133">
        <f>IFERROR(__xludf.DUMMYFUNCTION("""COMPUTED_VALUE"""),8.0)</f>
        <v>8</v>
      </c>
      <c r="M2157" s="133">
        <f>IFERROR(__xludf.DUMMYFUNCTION("""COMPUTED_VALUE"""),29.0)</f>
        <v>29</v>
      </c>
      <c r="N2157" s="152" t="str">
        <f>IFERROR(__xludf.DUMMYFUNCTION("""COMPUTED_VALUE"""),"Model 3 MR")</f>
        <v>Model 3 MR</v>
      </c>
      <c r="O2157" s="152" t="str">
        <f>IFERROR(__xludf.DUMMYFUNCTION("""COMPUTED_VALUE"""),"Solid Black")</f>
        <v>Solid Black</v>
      </c>
      <c r="P2157" s="153" t="str">
        <f>IFERROR(__xludf.DUMMYFUNCTION("""COMPUTED_VALUE"""),"18 inch Aero")</f>
        <v>18 inch Aero</v>
      </c>
      <c r="Q2157" s="152" t="str">
        <f>IFERROR(__xludf.DUMMYFUNCTION("""COMPUTED_VALUE"""),"Black seats")</f>
        <v>Black seats</v>
      </c>
      <c r="R2157" s="149" t="str">
        <f>IFERROR(__xludf.DUMMYFUNCTION("""COMPUTED_VALUE"""),"None")</f>
        <v>None</v>
      </c>
      <c r="S2157" s="149"/>
      <c r="T2157" s="145"/>
      <c r="U2157" s="145"/>
      <c r="V2157" s="145"/>
      <c r="W2157" s="145"/>
      <c r="X2157" s="137" t="str">
        <f>IFERROR(__xludf.DUMMYFUNCTION("""COMPUTED_VALUE"""),"Good")</f>
        <v>Good</v>
      </c>
      <c r="Y2157" s="138" t="str">
        <f>IFERROR(__xludf.DUMMYFUNCTION("""COMPUTED_VALUE"""),"Good")</f>
        <v>Good</v>
      </c>
      <c r="Z2157" s="138" t="str">
        <f>IFERROR(__xludf.DUMMYFUNCTION("""COMPUTED_VALUE"""),"Very Good")</f>
        <v>Very Good</v>
      </c>
      <c r="AA2157" s="138" t="str">
        <f>IFERROR(__xludf.DUMMYFUNCTION("""COMPUTED_VALUE"""),"Fair")</f>
        <v>Fair</v>
      </c>
      <c r="AB2157" s="138" t="str">
        <f>IFERROR(__xludf.DUMMYFUNCTION("""COMPUTED_VALUE"""),"Good")</f>
        <v>Good</v>
      </c>
      <c r="AC2157" s="139"/>
      <c r="AD2157" s="139"/>
      <c r="AE2157" s="139"/>
      <c r="AF2157" s="140"/>
      <c r="AG2157" s="145"/>
      <c r="AH2157" s="157">
        <f>IFERROR(__xludf.DUMMYFUNCTION("""COMPUTED_VALUE"""),43449.62137385417)</f>
        <v>43449.62137</v>
      </c>
      <c r="AI2157" s="138"/>
      <c r="AJ2157" s="138"/>
      <c r="AK2157" s="138"/>
      <c r="AL2157" s="142"/>
    </row>
    <row r="2158" ht="20.25" customHeight="1">
      <c r="A2158" s="155" t="str">
        <f>IFERROR(__xludf.DUMMYFUNCTION("""COMPUTED_VALUE"""),"tv4184")</f>
        <v>tv4184</v>
      </c>
      <c r="B2158" s="149" t="str">
        <f>IFERROR(__xludf.DUMMYFUNCTION("""COMPUTED_VALUE"""),"Tomball")</f>
        <v>Tomball</v>
      </c>
      <c r="C2158" s="149" t="str">
        <f>IFERROR(__xludf.DUMMYFUNCTION("""COMPUTED_VALUE"""),"TX")</f>
        <v>TX</v>
      </c>
      <c r="D2158" s="149" t="str">
        <f>IFERROR(__xludf.DUMMYFUNCTION("""COMPUTED_VALUE"""),"USA")</f>
        <v>USA</v>
      </c>
      <c r="E2158" s="156">
        <f>IFERROR(__xludf.DUMMYFUNCTION("""COMPUTED_VALUE"""),43419.0)</f>
        <v>43419</v>
      </c>
      <c r="F2158" s="129">
        <f>IFERROR(__xludf.DUMMYFUNCTION("""COMPUTED_VALUE"""),43433.0)</f>
        <v>43433</v>
      </c>
      <c r="G2158" s="154"/>
      <c r="H2158" s="131">
        <f>IFERROR(__xludf.DUMMYFUNCTION("""COMPUTED_VALUE"""),131248.0)</f>
        <v>131248</v>
      </c>
      <c r="I2158" s="144"/>
      <c r="J2158" s="129">
        <f>IFERROR(__xludf.DUMMYFUNCTION("""COMPUTED_VALUE"""),43440.0)</f>
        <v>43440</v>
      </c>
      <c r="K2158" s="133">
        <f>IFERROR(__xludf.DUMMYFUNCTION("""COMPUTED_VALUE"""),14.0)</f>
        <v>14</v>
      </c>
      <c r="L2158" s="133">
        <f>IFERROR(__xludf.DUMMYFUNCTION("""COMPUTED_VALUE"""),7.0)</f>
        <v>7</v>
      </c>
      <c r="M2158" s="133">
        <f>IFERROR(__xludf.DUMMYFUNCTION("""COMPUTED_VALUE"""),21.0)</f>
        <v>21</v>
      </c>
      <c r="N2158" s="152" t="str">
        <f>IFERROR(__xludf.DUMMYFUNCTION("""COMPUTED_VALUE"""),"Model 3 LR AWD")</f>
        <v>Model 3 LR AWD</v>
      </c>
      <c r="O2158" s="152" t="str">
        <f>IFERROR(__xludf.DUMMYFUNCTION("""COMPUTED_VALUE"""),"Pearl White Multi-Coat")</f>
        <v>Pearl White Multi-Coat</v>
      </c>
      <c r="P2158" s="153" t="str">
        <f>IFERROR(__xludf.DUMMYFUNCTION("""COMPUTED_VALUE"""),"18 inch Aero")</f>
        <v>18 inch Aero</v>
      </c>
      <c r="Q2158" s="152" t="str">
        <f>IFERROR(__xludf.DUMMYFUNCTION("""COMPUTED_VALUE"""),"Black seats")</f>
        <v>Black seats</v>
      </c>
      <c r="R2158" s="149" t="str">
        <f>IFERROR(__xludf.DUMMYFUNCTION("""COMPUTED_VALUE"""),"Enhanced Autopilot")</f>
        <v>Enhanced Autopilot</v>
      </c>
      <c r="S2158" s="149"/>
      <c r="T2158" s="145"/>
      <c r="U2158" s="145"/>
      <c r="V2158" s="145"/>
      <c r="W2158" s="145"/>
      <c r="X2158" s="137" t="str">
        <f>IFERROR(__xludf.DUMMYFUNCTION("""COMPUTED_VALUE"""),"Very Good")</f>
        <v>Very Good</v>
      </c>
      <c r="Y2158" s="138" t="str">
        <f>IFERROR(__xludf.DUMMYFUNCTION("""COMPUTED_VALUE"""),"Very Good")</f>
        <v>Very Good</v>
      </c>
      <c r="Z2158" s="138" t="str">
        <f>IFERROR(__xludf.DUMMYFUNCTION("""COMPUTED_VALUE"""),"Excellent")</f>
        <v>Excellent</v>
      </c>
      <c r="AA2158" s="138" t="str">
        <f>IFERROR(__xludf.DUMMYFUNCTION("""COMPUTED_VALUE"""),"Excellent")</f>
        <v>Excellent</v>
      </c>
      <c r="AB2158" s="138" t="str">
        <f>IFERROR(__xludf.DUMMYFUNCTION("""COMPUTED_VALUE"""),"Excellent")</f>
        <v>Excellent</v>
      </c>
      <c r="AC2158" s="139"/>
      <c r="AD2158" s="139"/>
      <c r="AE2158" s="139"/>
      <c r="AF2158" s="140"/>
      <c r="AG2158" s="145"/>
      <c r="AH2158" s="157">
        <f>IFERROR(__xludf.DUMMYFUNCTION("""COMPUTED_VALUE"""),43440.737899837965)</f>
        <v>43440.7379</v>
      </c>
      <c r="AI2158" s="138"/>
      <c r="AJ2158" s="138"/>
      <c r="AK2158" s="138"/>
      <c r="AL2158" s="142"/>
    </row>
    <row r="2159" ht="20.25" customHeight="1">
      <c r="A2159" s="155" t="str">
        <f>IFERROR(__xludf.DUMMYFUNCTION("""COMPUTED_VALUE"""),"tyteco")</f>
        <v>tyteco</v>
      </c>
      <c r="B2159" s="149"/>
      <c r="C2159" s="149" t="str">
        <f>IFERROR(__xludf.DUMMYFUNCTION("""COMPUTED_VALUE"""),"AL")</f>
        <v>AL</v>
      </c>
      <c r="D2159" s="149" t="str">
        <f>IFERROR(__xludf.DUMMYFUNCTION("""COMPUTED_VALUE"""),"USA")</f>
        <v>USA</v>
      </c>
      <c r="E2159" s="156">
        <f>IFERROR(__xludf.DUMMYFUNCTION("""COMPUTED_VALUE"""),43419.0)</f>
        <v>43419</v>
      </c>
      <c r="F2159" s="129">
        <f>IFERROR(__xludf.DUMMYFUNCTION("""COMPUTED_VALUE"""),43437.0)</f>
        <v>43437</v>
      </c>
      <c r="G2159" s="154"/>
      <c r="H2159" s="131">
        <f>IFERROR(__xludf.DUMMYFUNCTION("""COMPUTED_VALUE"""),145355.0)</f>
        <v>145355</v>
      </c>
      <c r="I2159" s="144"/>
      <c r="J2159" s="129">
        <f>IFERROR(__xludf.DUMMYFUNCTION("""COMPUTED_VALUE"""),43438.0)</f>
        <v>43438</v>
      </c>
      <c r="K2159" s="133">
        <f>IFERROR(__xludf.DUMMYFUNCTION("""COMPUTED_VALUE"""),18.0)</f>
        <v>18</v>
      </c>
      <c r="L2159" s="133">
        <f>IFERROR(__xludf.DUMMYFUNCTION("""COMPUTED_VALUE"""),1.0)</f>
        <v>1</v>
      </c>
      <c r="M2159" s="133">
        <f>IFERROR(__xludf.DUMMYFUNCTION("""COMPUTED_VALUE"""),19.0)</f>
        <v>19</v>
      </c>
      <c r="N2159" s="152" t="str">
        <f>IFERROR(__xludf.DUMMYFUNCTION("""COMPUTED_VALUE"""),"Model 3 LR AWD")</f>
        <v>Model 3 LR AWD</v>
      </c>
      <c r="O2159" s="152" t="str">
        <f>IFERROR(__xludf.DUMMYFUNCTION("""COMPUTED_VALUE"""),"Midnight Silver Metallic")</f>
        <v>Midnight Silver Metallic</v>
      </c>
      <c r="P2159" s="153" t="str">
        <f>IFERROR(__xludf.DUMMYFUNCTION("""COMPUTED_VALUE"""),"19 inch Sport")</f>
        <v>19 inch Sport</v>
      </c>
      <c r="Q2159" s="152" t="str">
        <f>IFERROR(__xludf.DUMMYFUNCTION("""COMPUTED_VALUE"""),"Black seats")</f>
        <v>Black seats</v>
      </c>
      <c r="R2159" s="149" t="str">
        <f>IFERROR(__xludf.DUMMYFUNCTION("""COMPUTED_VALUE"""),"None")</f>
        <v>None</v>
      </c>
      <c r="S2159" s="149"/>
      <c r="T2159" s="145"/>
      <c r="U2159" s="145"/>
      <c r="V2159" s="145"/>
      <c r="W2159" s="145"/>
      <c r="X2159" s="137" t="str">
        <f>IFERROR(__xludf.DUMMYFUNCTION("""COMPUTED_VALUE"""),"Good")</f>
        <v>Good</v>
      </c>
      <c r="Y2159" s="138" t="str">
        <f>IFERROR(__xludf.DUMMYFUNCTION("""COMPUTED_VALUE"""),"Very Good")</f>
        <v>Very Good</v>
      </c>
      <c r="Z2159" s="138" t="str">
        <f>IFERROR(__xludf.DUMMYFUNCTION("""COMPUTED_VALUE"""),"Very Good")</f>
        <v>Very Good</v>
      </c>
      <c r="AA2159" s="138" t="str">
        <f>IFERROR(__xludf.DUMMYFUNCTION("""COMPUTED_VALUE"""),"Good")</f>
        <v>Good</v>
      </c>
      <c r="AB2159" s="138" t="str">
        <f>IFERROR(__xludf.DUMMYFUNCTION("""COMPUTED_VALUE"""),"Excellent")</f>
        <v>Excellent</v>
      </c>
      <c r="AC2159" s="139"/>
      <c r="AD2159" s="139"/>
      <c r="AE2159" s="139"/>
      <c r="AF2159" s="140"/>
      <c r="AG2159" s="145"/>
      <c r="AH2159" s="157">
        <f>IFERROR(__xludf.DUMMYFUNCTION("""COMPUTED_VALUE"""),43444.682369965274)</f>
        <v>43444.68237</v>
      </c>
      <c r="AI2159" s="138"/>
      <c r="AJ2159" s="138"/>
      <c r="AK2159" s="138"/>
      <c r="AL2159" s="142"/>
    </row>
    <row r="2160" ht="20.25" customHeight="1">
      <c r="A2160" s="155" t="str">
        <f>IFERROR(__xludf.DUMMYFUNCTION("""COMPUTED_VALUE"""),"vkana")</f>
        <v>vkana</v>
      </c>
      <c r="B2160" s="149" t="str">
        <f>IFERROR(__xludf.DUMMYFUNCTION("""COMPUTED_VALUE"""),"San Antonio")</f>
        <v>San Antonio</v>
      </c>
      <c r="C2160" s="149" t="str">
        <f>IFERROR(__xludf.DUMMYFUNCTION("""COMPUTED_VALUE"""),"TX")</f>
        <v>TX</v>
      </c>
      <c r="D2160" s="149" t="str">
        <f>IFERROR(__xludf.DUMMYFUNCTION("""COMPUTED_VALUE"""),"USA")</f>
        <v>USA</v>
      </c>
      <c r="E2160" s="156">
        <f>IFERROR(__xludf.DUMMYFUNCTION("""COMPUTED_VALUE"""),43417.0)</f>
        <v>43417</v>
      </c>
      <c r="F2160" s="129">
        <f>IFERROR(__xludf.DUMMYFUNCTION("""COMPUTED_VALUE"""),43443.0)</f>
        <v>43443</v>
      </c>
      <c r="G2160" s="154"/>
      <c r="H2160" s="131">
        <f>IFERROR(__xludf.DUMMYFUNCTION("""COMPUTED_VALUE"""),156375.0)</f>
        <v>156375</v>
      </c>
      <c r="I2160" s="144" t="str">
        <f>IFERROR(__xludf.DUMMYFUNCTION("""COMPUTED_VALUE"""),"12/18")</f>
        <v>12/18</v>
      </c>
      <c r="J2160" s="129">
        <f>IFERROR(__xludf.DUMMYFUNCTION("""COMPUTED_VALUE"""),43452.0)</f>
        <v>43452</v>
      </c>
      <c r="K2160" s="133">
        <f>IFERROR(__xludf.DUMMYFUNCTION("""COMPUTED_VALUE"""),26.0)</f>
        <v>26</v>
      </c>
      <c r="L2160" s="133">
        <f>IFERROR(__xludf.DUMMYFUNCTION("""COMPUTED_VALUE"""),9.0)</f>
        <v>9</v>
      </c>
      <c r="M2160" s="133">
        <f>IFERROR(__xludf.DUMMYFUNCTION("""COMPUTED_VALUE"""),35.0)</f>
        <v>35</v>
      </c>
      <c r="N2160" s="152" t="str">
        <f>IFERROR(__xludf.DUMMYFUNCTION("""COMPUTED_VALUE"""),"Model 3 MR")</f>
        <v>Model 3 MR</v>
      </c>
      <c r="O2160" s="152" t="str">
        <f>IFERROR(__xludf.DUMMYFUNCTION("""COMPUTED_VALUE"""),"Solid Black")</f>
        <v>Solid Black</v>
      </c>
      <c r="P2160" s="153" t="str">
        <f>IFERROR(__xludf.DUMMYFUNCTION("""COMPUTED_VALUE"""),"18 inch Aero")</f>
        <v>18 inch Aero</v>
      </c>
      <c r="Q2160" s="152" t="str">
        <f>IFERROR(__xludf.DUMMYFUNCTION("""COMPUTED_VALUE"""),"Black seats")</f>
        <v>Black seats</v>
      </c>
      <c r="R2160" s="149" t="str">
        <f>IFERROR(__xludf.DUMMYFUNCTION("""COMPUTED_VALUE"""),"Enhanced Autopilot")</f>
        <v>Enhanced Autopilot</v>
      </c>
      <c r="S2160" s="149"/>
      <c r="T2160" s="145"/>
      <c r="U2160" s="145"/>
      <c r="V2160" s="145"/>
      <c r="W2160" s="145"/>
      <c r="X2160" s="137" t="str">
        <f>IFERROR(__xludf.DUMMYFUNCTION("""COMPUTED_VALUE"""),"Excellent")</f>
        <v>Excellent</v>
      </c>
      <c r="Y2160" s="138" t="str">
        <f>IFERROR(__xludf.DUMMYFUNCTION("""COMPUTED_VALUE"""),"Excellent")</f>
        <v>Excellent</v>
      </c>
      <c r="Z2160" s="138" t="str">
        <f>IFERROR(__xludf.DUMMYFUNCTION("""COMPUTED_VALUE"""),"Fair")</f>
        <v>Fair</v>
      </c>
      <c r="AA2160" s="138" t="str">
        <f>IFERROR(__xludf.DUMMYFUNCTION("""COMPUTED_VALUE"""),"Excellent")</f>
        <v>Excellent</v>
      </c>
      <c r="AB2160" s="138" t="str">
        <f>IFERROR(__xludf.DUMMYFUNCTION("""COMPUTED_VALUE"""),"Good")</f>
        <v>Good</v>
      </c>
      <c r="AC2160" s="139">
        <f>IFERROR(__xludf.DUMMYFUNCTION("""COMPUTED_VALUE"""),4.0)</f>
        <v>4</v>
      </c>
      <c r="AD2160" s="139"/>
      <c r="AE2160" s="139"/>
      <c r="AF2160" s="140"/>
      <c r="AG2160" s="145" t="str">
        <f>IFERROR(__xludf.DUMMYFUNCTION("""COMPUTED_VALUE"""),"5pm delivery. They tried to rush it. few paint issues and small crack in glass roof.")</f>
        <v>5pm delivery. They tried to rush it. few paint issues and small crack in glass roof.</v>
      </c>
      <c r="AH2160" s="157">
        <f>IFERROR(__xludf.DUMMYFUNCTION("""COMPUTED_VALUE"""),43455.87424430555)</f>
        <v>43455.87424</v>
      </c>
      <c r="AI2160" s="138"/>
      <c r="AJ2160" s="138"/>
      <c r="AK2160" s="138"/>
      <c r="AL2160" s="142"/>
    </row>
    <row r="2161" ht="20.25" customHeight="1">
      <c r="A2161" s="155" t="str">
        <f>IFERROR(__xludf.DUMMYFUNCTION("""COMPUTED_VALUE"""),"roddles")</f>
        <v>roddles</v>
      </c>
      <c r="B2161" s="149" t="str">
        <f>IFERROR(__xludf.DUMMYFUNCTION("""COMPUTED_VALUE"""),"Los Angeles")</f>
        <v>Los Angeles</v>
      </c>
      <c r="C2161" s="149" t="str">
        <f>IFERROR(__xludf.DUMMYFUNCTION("""COMPUTED_VALUE"""),"CA")</f>
        <v>CA</v>
      </c>
      <c r="D2161" s="149" t="str">
        <f>IFERROR(__xludf.DUMMYFUNCTION("""COMPUTED_VALUE"""),"USA")</f>
        <v>USA</v>
      </c>
      <c r="E2161" s="156">
        <f>IFERROR(__xludf.DUMMYFUNCTION("""COMPUTED_VALUE"""),43415.0)</f>
        <v>43415</v>
      </c>
      <c r="F2161" s="129">
        <f>IFERROR(__xludf.DUMMYFUNCTION("""COMPUTED_VALUE"""),43449.0)</f>
        <v>43449</v>
      </c>
      <c r="G2161" s="154"/>
      <c r="H2161" s="131">
        <f>IFERROR(__xludf.DUMMYFUNCTION("""COMPUTED_VALUE"""),166825.0)</f>
        <v>166825</v>
      </c>
      <c r="I2161" s="144" t="str">
        <f>IFERROR(__xludf.DUMMYFUNCTION("""COMPUTED_VALUE"""),"12/18")</f>
        <v>12/18</v>
      </c>
      <c r="J2161" s="129">
        <f>IFERROR(__xludf.DUMMYFUNCTION("""COMPUTED_VALUE"""),43458.0)</f>
        <v>43458</v>
      </c>
      <c r="K2161" s="133">
        <f>IFERROR(__xludf.DUMMYFUNCTION("""COMPUTED_VALUE"""),34.0)</f>
        <v>34</v>
      </c>
      <c r="L2161" s="133">
        <f>IFERROR(__xludf.DUMMYFUNCTION("""COMPUTED_VALUE"""),9.0)</f>
        <v>9</v>
      </c>
      <c r="M2161" s="133">
        <f>IFERROR(__xludf.DUMMYFUNCTION("""COMPUTED_VALUE"""),43.0)</f>
        <v>43</v>
      </c>
      <c r="N2161" s="152" t="str">
        <f>IFERROR(__xludf.DUMMYFUNCTION("""COMPUTED_VALUE"""),"Model 3 MR")</f>
        <v>Model 3 MR</v>
      </c>
      <c r="O2161" s="152" t="str">
        <f>IFERROR(__xludf.DUMMYFUNCTION("""COMPUTED_VALUE"""),"Midnight Silver Metallic")</f>
        <v>Midnight Silver Metallic</v>
      </c>
      <c r="P2161" s="153" t="str">
        <f>IFERROR(__xludf.DUMMYFUNCTION("""COMPUTED_VALUE"""),"18 inch Aero")</f>
        <v>18 inch Aero</v>
      </c>
      <c r="Q2161" s="152" t="str">
        <f>IFERROR(__xludf.DUMMYFUNCTION("""COMPUTED_VALUE"""),"White seats")</f>
        <v>White seats</v>
      </c>
      <c r="R2161" s="149" t="str">
        <f>IFERROR(__xludf.DUMMYFUNCTION("""COMPUTED_VALUE"""),"Enhanced Autopilot")</f>
        <v>Enhanced Autopilot</v>
      </c>
      <c r="S2161" s="149"/>
      <c r="T2161" s="145"/>
      <c r="U2161" s="145"/>
      <c r="V2161" s="145"/>
      <c r="W2161" s="145"/>
      <c r="X2161" s="137" t="str">
        <f>IFERROR(__xludf.DUMMYFUNCTION("""COMPUTED_VALUE"""),"Very Good")</f>
        <v>Very Good</v>
      </c>
      <c r="Y2161" s="138" t="str">
        <f>IFERROR(__xludf.DUMMYFUNCTION("""COMPUTED_VALUE"""),"Excellent")</f>
        <v>Excellent</v>
      </c>
      <c r="Z2161" s="138" t="str">
        <f>IFERROR(__xludf.DUMMYFUNCTION("""COMPUTED_VALUE"""),"Excellent")</f>
        <v>Excellent</v>
      </c>
      <c r="AA2161" s="138" t="str">
        <f>IFERROR(__xludf.DUMMYFUNCTION("""COMPUTED_VALUE"""),"Excellent")</f>
        <v>Excellent</v>
      </c>
      <c r="AB2161" s="138" t="str">
        <f>IFERROR(__xludf.DUMMYFUNCTION("""COMPUTED_VALUE"""),"Excellent")</f>
        <v>Excellent</v>
      </c>
      <c r="AC2161" s="139">
        <f>IFERROR(__xludf.DUMMYFUNCTION("""COMPUTED_VALUE"""),0.0)</f>
        <v>0</v>
      </c>
      <c r="AD2161" s="139">
        <f>IFERROR(__xludf.DUMMYFUNCTION("""COMPUTED_VALUE"""),0.0)</f>
        <v>0</v>
      </c>
      <c r="AE2161" s="139">
        <f>IFERROR(__xludf.DUMMYFUNCTION("""COMPUTED_VALUE"""),0.0)</f>
        <v>0</v>
      </c>
      <c r="AF2161" s="140"/>
      <c r="AG2161" s="145" t="str">
        <f>IFERROR(__xludf.DUMMYFUNCTION("""COMPUTED_VALUE"""),"Slight panel gap in trunk, lid possibly offset. Headlights have no gaps and is flush with bumper")</f>
        <v>Slight panel gap in trunk, lid possibly offset. Headlights have no gaps and is flush with bumper</v>
      </c>
      <c r="AH2161" s="157">
        <f>IFERROR(__xludf.DUMMYFUNCTION("""COMPUTED_VALUE"""),43469.95338796297)</f>
        <v>43469.95339</v>
      </c>
      <c r="AI2161" s="138"/>
      <c r="AJ2161" s="138"/>
      <c r="AK2161" s="138"/>
      <c r="AL2161" s="142"/>
    </row>
    <row r="2162" ht="20.25" customHeight="1">
      <c r="A2162" s="155" t="str">
        <f>IFERROR(__xludf.DUMMYFUNCTION("""COMPUTED_VALUE"""),"KootsChewt")</f>
        <v>KootsChewt</v>
      </c>
      <c r="B2162" s="149" t="str">
        <f>IFERROR(__xludf.DUMMYFUNCTION("""COMPUTED_VALUE"""),"Nelson")</f>
        <v>Nelson</v>
      </c>
      <c r="C2162" s="149" t="str">
        <f>IFERROR(__xludf.DUMMYFUNCTION("""COMPUTED_VALUE"""),"BC")</f>
        <v>BC</v>
      </c>
      <c r="D2162" s="149" t="str">
        <f>IFERROR(__xludf.DUMMYFUNCTION("""COMPUTED_VALUE"""),"Canada")</f>
        <v>Canada</v>
      </c>
      <c r="E2162" s="156">
        <f>IFERROR(__xludf.DUMMYFUNCTION("""COMPUTED_VALUE"""),43414.0)</f>
        <v>43414</v>
      </c>
      <c r="F2162" s="129">
        <f>IFERROR(__xludf.DUMMYFUNCTION("""COMPUTED_VALUE"""),43415.0)</f>
        <v>43415</v>
      </c>
      <c r="G2162" s="154"/>
      <c r="H2162" s="131">
        <f>IFERROR(__xludf.DUMMYFUNCTION("""COMPUTED_VALUE"""),105655.0)</f>
        <v>105655</v>
      </c>
      <c r="I2162" s="144" t="str">
        <f>IFERROR(__xludf.DUMMYFUNCTION("""COMPUTED_VALUE"""),"11/18")</f>
        <v>11/18</v>
      </c>
      <c r="J2162" s="129">
        <f>IFERROR(__xludf.DUMMYFUNCTION("""COMPUTED_VALUE"""),43441.0)</f>
        <v>43441</v>
      </c>
      <c r="K2162" s="133">
        <f>IFERROR(__xludf.DUMMYFUNCTION("""COMPUTED_VALUE"""),1.0)</f>
        <v>1</v>
      </c>
      <c r="L2162" s="133">
        <f>IFERROR(__xludf.DUMMYFUNCTION("""COMPUTED_VALUE"""),26.0)</f>
        <v>26</v>
      </c>
      <c r="M2162" s="133">
        <f>IFERROR(__xludf.DUMMYFUNCTION("""COMPUTED_VALUE"""),27.0)</f>
        <v>27</v>
      </c>
      <c r="N2162" s="152" t="str">
        <f>IFERROR(__xludf.DUMMYFUNCTION("""COMPUTED_VALUE"""),"Model 3 LR")</f>
        <v>Model 3 LR</v>
      </c>
      <c r="O2162" s="152" t="str">
        <f>IFERROR(__xludf.DUMMYFUNCTION("""COMPUTED_VALUE"""),"Deep Blue Metallic")</f>
        <v>Deep Blue Metallic</v>
      </c>
      <c r="P2162" s="153" t="str">
        <f>IFERROR(__xludf.DUMMYFUNCTION("""COMPUTED_VALUE"""),"18 inch Aero")</f>
        <v>18 inch Aero</v>
      </c>
      <c r="Q2162" s="152" t="str">
        <f>IFERROR(__xludf.DUMMYFUNCTION("""COMPUTED_VALUE"""),"Black seats")</f>
        <v>Black seats</v>
      </c>
      <c r="R2162" s="149" t="str">
        <f>IFERROR(__xludf.DUMMYFUNCTION("""COMPUTED_VALUE"""),"None")</f>
        <v>None</v>
      </c>
      <c r="S2162" s="149"/>
      <c r="T2162" s="145"/>
      <c r="U2162" s="145"/>
      <c r="V2162" s="145"/>
      <c r="W2162" s="145"/>
      <c r="X2162" s="137" t="str">
        <f>IFERROR(__xludf.DUMMYFUNCTION("""COMPUTED_VALUE"""),"Excellent")</f>
        <v>Excellent</v>
      </c>
      <c r="Y2162" s="138" t="str">
        <f>IFERROR(__xludf.DUMMYFUNCTION("""COMPUTED_VALUE"""),"Very Good")</f>
        <v>Very Good</v>
      </c>
      <c r="Z2162" s="138" t="str">
        <f>IFERROR(__xludf.DUMMYFUNCTION("""COMPUTED_VALUE"""),"Excellent")</f>
        <v>Excellent</v>
      </c>
      <c r="AA2162" s="138" t="str">
        <f>IFERROR(__xludf.DUMMYFUNCTION("""COMPUTED_VALUE"""),"Good")</f>
        <v>Good</v>
      </c>
      <c r="AB2162" s="138" t="str">
        <f>IFERROR(__xludf.DUMMYFUNCTION("""COMPUTED_VALUE"""),"Excellent")</f>
        <v>Excellent</v>
      </c>
      <c r="AC2162" s="139">
        <f>IFERROR(__xludf.DUMMYFUNCTION("""COMPUTED_VALUE"""),2.0)</f>
        <v>2</v>
      </c>
      <c r="AD2162" s="139"/>
      <c r="AE2162" s="139"/>
      <c r="AF2162" s="140"/>
      <c r="AG2162" s="145" t="str">
        <f>IFERROR(__xludf.DUMMYFUNCTION("""COMPUTED_VALUE"""),"I've got one minor interior trim issue and one rubber cover issue on the windshield.  I'm going to let Tesla know, but it likely won't get fixed in the first 30 days (I'm 700 km from nearest SC!)  Took a ridiculously long time to get first contract from V"&amp;"IN assignment (I got an ""inventory"" car), then they made a mistake (on data they already had, term length), then took almost a week to correct it.  Contracts group needs optimization for sure.")</f>
        <v>I've got one minor interior trim issue and one rubber cover issue on the windshield.  I'm going to let Tesla know, but it likely won't get fixed in the first 30 days (I'm 700 km from nearest SC!)  Took a ridiculously long time to get first contract from VIN assignment (I got an "inventory" car), then they made a mistake (on data they already had, term length), then took almost a week to correct it.  Contracts group needs optimization for sure.</v>
      </c>
      <c r="AH2162" s="157">
        <f>IFERROR(__xludf.DUMMYFUNCTION("""COMPUTED_VALUE"""),43443.84176119213)</f>
        <v>43443.84176</v>
      </c>
      <c r="AI2162" s="138"/>
      <c r="AJ2162" s="138"/>
      <c r="AK2162" s="138"/>
      <c r="AL2162" s="142"/>
    </row>
    <row r="2163" ht="20.25" customHeight="1">
      <c r="A2163" s="155" t="str">
        <f>IFERROR(__xludf.DUMMYFUNCTION("""COMPUTED_VALUE"""),"Hoosierdaddy")</f>
        <v>Hoosierdaddy</v>
      </c>
      <c r="B2163" s="149" t="str">
        <f>IFERROR(__xludf.DUMMYFUNCTION("""COMPUTED_VALUE"""),"Indianapolis")</f>
        <v>Indianapolis</v>
      </c>
      <c r="C2163" s="149" t="str">
        <f>IFERROR(__xludf.DUMMYFUNCTION("""COMPUTED_VALUE"""),"IN")</f>
        <v>IN</v>
      </c>
      <c r="D2163" s="149" t="str">
        <f>IFERROR(__xludf.DUMMYFUNCTION("""COMPUTED_VALUE"""),"USA")</f>
        <v>USA</v>
      </c>
      <c r="E2163" s="156">
        <f>IFERROR(__xludf.DUMMYFUNCTION("""COMPUTED_VALUE"""),43413.0)</f>
        <v>43413</v>
      </c>
      <c r="F2163" s="129">
        <f>IFERROR(__xludf.DUMMYFUNCTION("""COMPUTED_VALUE"""),43419.0)</f>
        <v>43419</v>
      </c>
      <c r="G2163" s="154"/>
      <c r="H2163" s="131">
        <f>IFERROR(__xludf.DUMMYFUNCTION("""COMPUTED_VALUE"""),95055.0)</f>
        <v>95055</v>
      </c>
      <c r="I2163" s="144" t="str">
        <f>IFERROR(__xludf.DUMMYFUNCTION("""COMPUTED_VALUE"""),"10/18")</f>
        <v>10/18</v>
      </c>
      <c r="J2163" s="129">
        <f>IFERROR(__xludf.DUMMYFUNCTION("""COMPUTED_VALUE"""),43441.0)</f>
        <v>43441</v>
      </c>
      <c r="K2163" s="133">
        <f>IFERROR(__xludf.DUMMYFUNCTION("""COMPUTED_VALUE"""),6.0)</f>
        <v>6</v>
      </c>
      <c r="L2163" s="133">
        <f>IFERROR(__xludf.DUMMYFUNCTION("""COMPUTED_VALUE"""),22.0)</f>
        <v>22</v>
      </c>
      <c r="M2163" s="133">
        <f>IFERROR(__xludf.DUMMYFUNCTION("""COMPUTED_VALUE"""),28.0)</f>
        <v>28</v>
      </c>
      <c r="N2163" s="152" t="str">
        <f>IFERROR(__xludf.DUMMYFUNCTION("""COMPUTED_VALUE"""),"Model 3 LR")</f>
        <v>Model 3 LR</v>
      </c>
      <c r="O2163" s="152" t="str">
        <f>IFERROR(__xludf.DUMMYFUNCTION("""COMPUTED_VALUE"""),"Solid Black")</f>
        <v>Solid Black</v>
      </c>
      <c r="P2163" s="153" t="str">
        <f>IFERROR(__xludf.DUMMYFUNCTION("""COMPUTED_VALUE"""),"18 inch Aero")</f>
        <v>18 inch Aero</v>
      </c>
      <c r="Q2163" s="152" t="str">
        <f>IFERROR(__xludf.DUMMYFUNCTION("""COMPUTED_VALUE"""),"Black seats")</f>
        <v>Black seats</v>
      </c>
      <c r="R2163" s="149" t="str">
        <f>IFERROR(__xludf.DUMMYFUNCTION("""COMPUTED_VALUE"""),"Enhanced Autopilot")</f>
        <v>Enhanced Autopilot</v>
      </c>
      <c r="S2163" s="149"/>
      <c r="T2163" s="145"/>
      <c r="U2163" s="145"/>
      <c r="V2163" s="145"/>
      <c r="W2163" s="145"/>
      <c r="X2163" s="137" t="str">
        <f>IFERROR(__xludf.DUMMYFUNCTION("""COMPUTED_VALUE"""),"Excellent")</f>
        <v>Excellent</v>
      </c>
      <c r="Y2163" s="138" t="str">
        <f>IFERROR(__xludf.DUMMYFUNCTION("""COMPUTED_VALUE"""),"Excellent")</f>
        <v>Excellent</v>
      </c>
      <c r="Z2163" s="138" t="str">
        <f>IFERROR(__xludf.DUMMYFUNCTION("""COMPUTED_VALUE"""),"Excellent")</f>
        <v>Excellent</v>
      </c>
      <c r="AA2163" s="138" t="str">
        <f>IFERROR(__xludf.DUMMYFUNCTION("""COMPUTED_VALUE"""),"Excellent")</f>
        <v>Excellent</v>
      </c>
      <c r="AB2163" s="138" t="str">
        <f>IFERROR(__xludf.DUMMYFUNCTION("""COMPUTED_VALUE"""),"Excellent")</f>
        <v>Excellent</v>
      </c>
      <c r="AC2163" s="139"/>
      <c r="AD2163" s="139"/>
      <c r="AE2163" s="139"/>
      <c r="AF2163" s="140"/>
      <c r="AG2163" s="145" t="str">
        <f>IFERROR(__xludf.DUMMYFUNCTION("""COMPUTED_VALUE"""),"Ordered MR on 10/18 then changed to LR RWD on 11/9")</f>
        <v>Ordered MR on 10/18 then changed to LR RWD on 11/9</v>
      </c>
      <c r="AH2163" s="157">
        <f>IFERROR(__xludf.DUMMYFUNCTION("""COMPUTED_VALUE"""),43441.83691207176)</f>
        <v>43441.83691</v>
      </c>
      <c r="AI2163" s="138"/>
      <c r="AJ2163" s="138"/>
      <c r="AK2163" s="138"/>
      <c r="AL2163" s="142"/>
    </row>
    <row r="2164" ht="20.25" customHeight="1">
      <c r="A2164" s="155" t="str">
        <f>IFERROR(__xludf.DUMMYFUNCTION("""COMPUTED_VALUE"""),"KF")</f>
        <v>KF</v>
      </c>
      <c r="B2164" s="149"/>
      <c r="C2164" s="149" t="str">
        <f>IFERROR(__xludf.DUMMYFUNCTION("""COMPUTED_VALUE"""),"CA")</f>
        <v>CA</v>
      </c>
      <c r="D2164" s="149" t="str">
        <f>IFERROR(__xludf.DUMMYFUNCTION("""COMPUTED_VALUE"""),"USA")</f>
        <v>USA</v>
      </c>
      <c r="E2164" s="156">
        <f>IFERROR(__xludf.DUMMYFUNCTION("""COMPUTED_VALUE"""),43413.0)</f>
        <v>43413</v>
      </c>
      <c r="F2164" s="129">
        <f>IFERROR(__xludf.DUMMYFUNCTION("""COMPUTED_VALUE"""),43413.0)</f>
        <v>43413</v>
      </c>
      <c r="G2164" s="154"/>
      <c r="H2164" s="131">
        <f>IFERROR(__xludf.DUMMYFUNCTION("""COMPUTED_VALUE"""),82455.0)</f>
        <v>82455</v>
      </c>
      <c r="I2164" s="144" t="str">
        <f>IFERROR(__xludf.DUMMYFUNCTION("""COMPUTED_VALUE"""),"10/18")</f>
        <v>10/18</v>
      </c>
      <c r="J2164" s="129">
        <f>IFERROR(__xludf.DUMMYFUNCTION("""COMPUTED_VALUE"""),43413.0)</f>
        <v>43413</v>
      </c>
      <c r="K2164" s="133">
        <f>IFERROR(__xludf.DUMMYFUNCTION("""COMPUTED_VALUE"""),0.0)</f>
        <v>0</v>
      </c>
      <c r="L2164" s="133">
        <f>IFERROR(__xludf.DUMMYFUNCTION("""COMPUTED_VALUE"""),0.0)</f>
        <v>0</v>
      </c>
      <c r="M2164" s="133">
        <f>IFERROR(__xludf.DUMMYFUNCTION("""COMPUTED_VALUE"""),0.0)</f>
        <v>0</v>
      </c>
      <c r="N2164" s="152" t="str">
        <f>IFERROR(__xludf.DUMMYFUNCTION("""COMPUTED_VALUE"""),"Model 3 Performance")</f>
        <v>Model 3 Performance</v>
      </c>
      <c r="O2164" s="152"/>
      <c r="P2164" s="153" t="str">
        <f>IFERROR(__xludf.DUMMYFUNCTION("""COMPUTED_VALUE"""),"20 inch Sport")</f>
        <v>20 inch Sport</v>
      </c>
      <c r="Q2164" s="152"/>
      <c r="R2164" s="149"/>
      <c r="S2164" s="149"/>
      <c r="T2164" s="145"/>
      <c r="U2164" s="145"/>
      <c r="V2164" s="145"/>
      <c r="W2164" s="145"/>
      <c r="X2164" s="137" t="str">
        <f>IFERROR(__xludf.DUMMYFUNCTION("""COMPUTED_VALUE"""),"Very Good")</f>
        <v>Very Good</v>
      </c>
      <c r="Y2164" s="138" t="str">
        <f>IFERROR(__xludf.DUMMYFUNCTION("""COMPUTED_VALUE"""),"Excellent")</f>
        <v>Excellent</v>
      </c>
      <c r="Z2164" s="138" t="str">
        <f>IFERROR(__xludf.DUMMYFUNCTION("""COMPUTED_VALUE"""),"Excellent")</f>
        <v>Excellent</v>
      </c>
      <c r="AA2164" s="138" t="str">
        <f>IFERROR(__xludf.DUMMYFUNCTION("""COMPUTED_VALUE"""),"Excellent")</f>
        <v>Excellent</v>
      </c>
      <c r="AB2164" s="138" t="str">
        <f>IFERROR(__xludf.DUMMYFUNCTION("""COMPUTED_VALUE"""),"Excellent")</f>
        <v>Excellent</v>
      </c>
      <c r="AC2164" s="139">
        <f>IFERROR(__xludf.DUMMYFUNCTION("""COMPUTED_VALUE"""),1.0)</f>
        <v>1</v>
      </c>
      <c r="AD2164" s="139"/>
      <c r="AE2164" s="139"/>
      <c r="AF2164" s="140"/>
      <c r="AG2164" s="145"/>
      <c r="AH2164" s="157">
        <f>IFERROR(__xludf.DUMMYFUNCTION("""COMPUTED_VALUE"""),43424.002427673615)</f>
        <v>43424.00243</v>
      </c>
      <c r="AI2164" s="138"/>
      <c r="AJ2164" s="138"/>
      <c r="AK2164" s="138"/>
      <c r="AL2164" s="142"/>
    </row>
    <row r="2165" ht="20.25" customHeight="1">
      <c r="A2165" s="155" t="str">
        <f>IFERROR(__xludf.DUMMYFUNCTION("""COMPUTED_VALUE"""),"ntropy")</f>
        <v>ntropy</v>
      </c>
      <c r="B2165" s="149" t="str">
        <f>IFERROR(__xludf.DUMMYFUNCTION("""COMPUTED_VALUE"""),"chicago")</f>
        <v>chicago</v>
      </c>
      <c r="C2165" s="149" t="str">
        <f>IFERROR(__xludf.DUMMYFUNCTION("""COMPUTED_VALUE"""),"IL")</f>
        <v>IL</v>
      </c>
      <c r="D2165" s="149" t="str">
        <f>IFERROR(__xludf.DUMMYFUNCTION("""COMPUTED_VALUE"""),"USA")</f>
        <v>USA</v>
      </c>
      <c r="E2165" s="156">
        <f>IFERROR(__xludf.DUMMYFUNCTION("""COMPUTED_VALUE"""),43413.0)</f>
        <v>43413</v>
      </c>
      <c r="F2165" s="129">
        <f>IFERROR(__xludf.DUMMYFUNCTION("""COMPUTED_VALUE"""),43423.0)</f>
        <v>43423</v>
      </c>
      <c r="G2165" s="154"/>
      <c r="H2165" s="131">
        <f>IFERROR(__xludf.DUMMYFUNCTION("""COMPUTED_VALUE"""),154255.0)</f>
        <v>154255</v>
      </c>
      <c r="I2165" s="144"/>
      <c r="J2165" s="129">
        <f>IFERROR(__xludf.DUMMYFUNCTION("""COMPUTED_VALUE"""),43437.0)</f>
        <v>43437</v>
      </c>
      <c r="K2165" s="133">
        <f>IFERROR(__xludf.DUMMYFUNCTION("""COMPUTED_VALUE"""),10.0)</f>
        <v>10</v>
      </c>
      <c r="L2165" s="133">
        <f>IFERROR(__xludf.DUMMYFUNCTION("""COMPUTED_VALUE"""),14.0)</f>
        <v>14</v>
      </c>
      <c r="M2165" s="133">
        <f>IFERROR(__xludf.DUMMYFUNCTION("""COMPUTED_VALUE"""),24.0)</f>
        <v>24</v>
      </c>
      <c r="N2165" s="152" t="str">
        <f>IFERROR(__xludf.DUMMYFUNCTION("""COMPUTED_VALUE"""),"Model 3 MR")</f>
        <v>Model 3 MR</v>
      </c>
      <c r="O2165" s="152" t="str">
        <f>IFERROR(__xludf.DUMMYFUNCTION("""COMPUTED_VALUE"""),"Deep Blue Metallic")</f>
        <v>Deep Blue Metallic</v>
      </c>
      <c r="P2165" s="153" t="str">
        <f>IFERROR(__xludf.DUMMYFUNCTION("""COMPUTED_VALUE"""),"18 inch Aero")</f>
        <v>18 inch Aero</v>
      </c>
      <c r="Q2165" s="152" t="str">
        <f>IFERROR(__xludf.DUMMYFUNCTION("""COMPUTED_VALUE"""),"Black seats")</f>
        <v>Black seats</v>
      </c>
      <c r="R2165" s="149" t="str">
        <f>IFERROR(__xludf.DUMMYFUNCTION("""COMPUTED_VALUE"""),"None")</f>
        <v>None</v>
      </c>
      <c r="S2165" s="149"/>
      <c r="T2165" s="145"/>
      <c r="U2165" s="145"/>
      <c r="V2165" s="145"/>
      <c r="W2165" s="145"/>
      <c r="X2165" s="137" t="str">
        <f>IFERROR(__xludf.DUMMYFUNCTION("""COMPUTED_VALUE"""),"Very Good")</f>
        <v>Very Good</v>
      </c>
      <c r="Y2165" s="138" t="str">
        <f>IFERROR(__xludf.DUMMYFUNCTION("""COMPUTED_VALUE"""),"Very Good")</f>
        <v>Very Good</v>
      </c>
      <c r="Z2165" s="138" t="str">
        <f>IFERROR(__xludf.DUMMYFUNCTION("""COMPUTED_VALUE"""),"Very Good")</f>
        <v>Very Good</v>
      </c>
      <c r="AA2165" s="138" t="str">
        <f>IFERROR(__xludf.DUMMYFUNCTION("""COMPUTED_VALUE"""),"Very Good")</f>
        <v>Very Good</v>
      </c>
      <c r="AB2165" s="138" t="str">
        <f>IFERROR(__xludf.DUMMYFUNCTION("""COMPUTED_VALUE"""),"Good")</f>
        <v>Good</v>
      </c>
      <c r="AC2165" s="139"/>
      <c r="AD2165" s="139"/>
      <c r="AE2165" s="139"/>
      <c r="AF2165" s="140"/>
      <c r="AG2165" s="145"/>
      <c r="AH2165" s="157">
        <f>IFERROR(__xludf.DUMMYFUNCTION("""COMPUTED_VALUE"""),43437.48794045139)</f>
        <v>43437.48794</v>
      </c>
      <c r="AI2165" s="138"/>
      <c r="AJ2165" s="138"/>
      <c r="AK2165" s="138"/>
      <c r="AL2165" s="142"/>
    </row>
    <row r="2166" ht="20.25" customHeight="1">
      <c r="A2166" s="155" t="str">
        <f>IFERROR(__xludf.DUMMYFUNCTION("""COMPUTED_VALUE"""),"EMTYM♥")</f>
        <v>EMTYM♥</v>
      </c>
      <c r="B2166" s="149"/>
      <c r="C2166" s="149" t="str">
        <f>IFERROR(__xludf.DUMMYFUNCTION("""COMPUTED_VALUE"""),"CA")</f>
        <v>CA</v>
      </c>
      <c r="D2166" s="149" t="str">
        <f>IFERROR(__xludf.DUMMYFUNCTION("""COMPUTED_VALUE"""),"USA")</f>
        <v>USA</v>
      </c>
      <c r="E2166" s="156">
        <f>IFERROR(__xludf.DUMMYFUNCTION("""COMPUTED_VALUE"""),43412.0)</f>
        <v>43412</v>
      </c>
      <c r="F2166" s="129">
        <f>IFERROR(__xludf.DUMMYFUNCTION("""COMPUTED_VALUE"""),43441.0)</f>
        <v>43441</v>
      </c>
      <c r="G2166" s="154"/>
      <c r="H2166" s="131">
        <f>IFERROR(__xludf.DUMMYFUNCTION("""COMPUTED_VALUE"""),155755.0)</f>
        <v>155755</v>
      </c>
      <c r="I2166" s="144" t="str">
        <f>IFERROR(__xludf.DUMMYFUNCTION("""COMPUTED_VALUE"""),"12/18")</f>
        <v>12/18</v>
      </c>
      <c r="J2166" s="129">
        <f>IFERROR(__xludf.DUMMYFUNCTION("""COMPUTED_VALUE"""),43455.0)</f>
        <v>43455</v>
      </c>
      <c r="K2166" s="133">
        <f>IFERROR(__xludf.DUMMYFUNCTION("""COMPUTED_VALUE"""),29.0)</f>
        <v>29</v>
      </c>
      <c r="L2166" s="133">
        <f>IFERROR(__xludf.DUMMYFUNCTION("""COMPUTED_VALUE"""),14.0)</f>
        <v>14</v>
      </c>
      <c r="M2166" s="133">
        <f>IFERROR(__xludf.DUMMYFUNCTION("""COMPUTED_VALUE"""),43.0)</f>
        <v>43</v>
      </c>
      <c r="N2166" s="152" t="str">
        <f>IFERROR(__xludf.DUMMYFUNCTION("""COMPUTED_VALUE"""),"Model 3 MR")</f>
        <v>Model 3 MR</v>
      </c>
      <c r="O2166" s="152" t="str">
        <f>IFERROR(__xludf.DUMMYFUNCTION("""COMPUTED_VALUE"""),"Deep Blue Metallic")</f>
        <v>Deep Blue Metallic</v>
      </c>
      <c r="P2166" s="153" t="str">
        <f>IFERROR(__xludf.DUMMYFUNCTION("""COMPUTED_VALUE"""),"18 inch Aero")</f>
        <v>18 inch Aero</v>
      </c>
      <c r="Q2166" s="152" t="str">
        <f>IFERROR(__xludf.DUMMYFUNCTION("""COMPUTED_VALUE"""),"White seats")</f>
        <v>White seats</v>
      </c>
      <c r="R2166" s="149" t="str">
        <f>IFERROR(__xludf.DUMMYFUNCTION("""COMPUTED_VALUE"""),"Enhanced Autopilot")</f>
        <v>Enhanced Autopilot</v>
      </c>
      <c r="S2166" s="149"/>
      <c r="T2166" s="145"/>
      <c r="U2166" s="145"/>
      <c r="V2166" s="145"/>
      <c r="W2166" s="145"/>
      <c r="X2166" s="137" t="str">
        <f>IFERROR(__xludf.DUMMYFUNCTION("""COMPUTED_VALUE"""),"Good")</f>
        <v>Good</v>
      </c>
      <c r="Y2166" s="138" t="str">
        <f>IFERROR(__xludf.DUMMYFUNCTION("""COMPUTED_VALUE"""),"Excellent")</f>
        <v>Excellent</v>
      </c>
      <c r="Z2166" s="138" t="str">
        <f>IFERROR(__xludf.DUMMYFUNCTION("""COMPUTED_VALUE"""),"Very Good")</f>
        <v>Very Good</v>
      </c>
      <c r="AA2166" s="138" t="str">
        <f>IFERROR(__xludf.DUMMYFUNCTION("""COMPUTED_VALUE"""),"Good")</f>
        <v>Good</v>
      </c>
      <c r="AB2166" s="138" t="str">
        <f>IFERROR(__xludf.DUMMYFUNCTION("""COMPUTED_VALUE"""),"Very Good")</f>
        <v>Very Good</v>
      </c>
      <c r="AC2166" s="139">
        <f>IFERROR(__xludf.DUMMYFUNCTION("""COMPUTED_VALUE"""),3.0)</f>
        <v>3</v>
      </c>
      <c r="AD2166" s="139"/>
      <c r="AE2166" s="139"/>
      <c r="AF2166" s="140"/>
      <c r="AG2166" s="145" t="str">
        <f>IFERROR(__xludf.DUMMYFUNCTION("""COMPUTED_VALUE"""),"None of the defects are major, but Tesla wanted to fix everything that wasn't perfect.")</f>
        <v>None of the defects are major, but Tesla wanted to fix everything that wasn't perfect.</v>
      </c>
      <c r="AH2166" s="157">
        <f>IFERROR(__xludf.DUMMYFUNCTION("""COMPUTED_VALUE"""),43460.447509143516)</f>
        <v>43460.44751</v>
      </c>
      <c r="AI2166" s="138"/>
      <c r="AJ2166" s="138"/>
      <c r="AK2166" s="138"/>
      <c r="AL2166" s="142"/>
    </row>
    <row r="2167" ht="20.25" customHeight="1">
      <c r="A2167" s="155" t="str">
        <f>IFERROR(__xludf.DUMMYFUNCTION("""COMPUTED_VALUE"""),"therealequinox")</f>
        <v>therealequinox</v>
      </c>
      <c r="B2167" s="149" t="str">
        <f>IFERROR(__xludf.DUMMYFUNCTION("""COMPUTED_VALUE"""),"Memphis")</f>
        <v>Memphis</v>
      </c>
      <c r="C2167" s="149" t="str">
        <f>IFERROR(__xludf.DUMMYFUNCTION("""COMPUTED_VALUE"""),"TN")</f>
        <v>TN</v>
      </c>
      <c r="D2167" s="149" t="str">
        <f>IFERROR(__xludf.DUMMYFUNCTION("""COMPUTED_VALUE"""),"USA")</f>
        <v>USA</v>
      </c>
      <c r="E2167" s="156">
        <f>IFERROR(__xludf.DUMMYFUNCTION("""COMPUTED_VALUE"""),43412.0)</f>
        <v>43412</v>
      </c>
      <c r="F2167" s="129">
        <f>IFERROR(__xludf.DUMMYFUNCTION("""COMPUTED_VALUE"""),43420.0)</f>
        <v>43420</v>
      </c>
      <c r="G2167" s="154"/>
      <c r="H2167" s="131">
        <f>IFERROR(__xludf.DUMMYFUNCTION("""COMPUTED_VALUE"""),131093.0)</f>
        <v>131093</v>
      </c>
      <c r="I2167" s="144" t="str">
        <f>IFERROR(__xludf.DUMMYFUNCTION("""COMPUTED_VALUE"""),"11/18")</f>
        <v>11/18</v>
      </c>
      <c r="J2167" s="129">
        <f>IFERROR(__xludf.DUMMYFUNCTION("""COMPUTED_VALUE"""),43427.0)</f>
        <v>43427</v>
      </c>
      <c r="K2167" s="133">
        <f>IFERROR(__xludf.DUMMYFUNCTION("""COMPUTED_VALUE"""),8.0)</f>
        <v>8</v>
      </c>
      <c r="L2167" s="133">
        <f>IFERROR(__xludf.DUMMYFUNCTION("""COMPUTED_VALUE"""),7.0)</f>
        <v>7</v>
      </c>
      <c r="M2167" s="133">
        <f>IFERROR(__xludf.DUMMYFUNCTION("""COMPUTED_VALUE"""),15.0)</f>
        <v>15</v>
      </c>
      <c r="N2167" s="152" t="str">
        <f>IFERROR(__xludf.DUMMYFUNCTION("""COMPUTED_VALUE"""),"Model 3 LR AWD")</f>
        <v>Model 3 LR AWD</v>
      </c>
      <c r="O2167" s="152" t="str">
        <f>IFERROR(__xludf.DUMMYFUNCTION("""COMPUTED_VALUE"""),"Pearl White Multi-Coat")</f>
        <v>Pearl White Multi-Coat</v>
      </c>
      <c r="P2167" s="153" t="str">
        <f>IFERROR(__xludf.DUMMYFUNCTION("""COMPUTED_VALUE"""),"18 inch Aero")</f>
        <v>18 inch Aero</v>
      </c>
      <c r="Q2167" s="152" t="str">
        <f>IFERROR(__xludf.DUMMYFUNCTION("""COMPUTED_VALUE"""),"Black seats")</f>
        <v>Black seats</v>
      </c>
      <c r="R2167" s="149" t="str">
        <f>IFERROR(__xludf.DUMMYFUNCTION("""COMPUTED_VALUE"""),"Enhanced Autopilot")</f>
        <v>Enhanced Autopilot</v>
      </c>
      <c r="S2167" s="149"/>
      <c r="T2167" s="145"/>
      <c r="U2167" s="145"/>
      <c r="V2167" s="145"/>
      <c r="W2167" s="145"/>
      <c r="X2167" s="137" t="str">
        <f>IFERROR(__xludf.DUMMYFUNCTION("""COMPUTED_VALUE"""),"Good")</f>
        <v>Good</v>
      </c>
      <c r="Y2167" s="138" t="str">
        <f>IFERROR(__xludf.DUMMYFUNCTION("""COMPUTED_VALUE"""),"Very Good")</f>
        <v>Very Good</v>
      </c>
      <c r="Z2167" s="138" t="str">
        <f>IFERROR(__xludf.DUMMYFUNCTION("""COMPUTED_VALUE"""),"Good")</f>
        <v>Good</v>
      </c>
      <c r="AA2167" s="138" t="str">
        <f>IFERROR(__xludf.DUMMYFUNCTION("""COMPUTED_VALUE"""),"Poor")</f>
        <v>Poor</v>
      </c>
      <c r="AB2167" s="138" t="str">
        <f>IFERROR(__xludf.DUMMYFUNCTION("""COMPUTED_VALUE"""),"Good")</f>
        <v>Good</v>
      </c>
      <c r="AC2167" s="139">
        <f>IFERROR(__xludf.DUMMYFUNCTION("""COMPUTED_VALUE"""),0.0)</f>
        <v>0</v>
      </c>
      <c r="AD2167" s="139">
        <f>IFERROR(__xludf.DUMMYFUNCTION("""COMPUTED_VALUE"""),0.0)</f>
        <v>0</v>
      </c>
      <c r="AE2167" s="139">
        <f>IFERROR(__xludf.DUMMYFUNCTION("""COMPUTED_VALUE"""),0.0)</f>
        <v>0</v>
      </c>
      <c r="AF2167" s="140"/>
      <c r="AG2167" s="145"/>
      <c r="AH2167" s="157">
        <f>IFERROR(__xludf.DUMMYFUNCTION("""COMPUTED_VALUE"""),43451.46022287037)</f>
        <v>43451.46022</v>
      </c>
      <c r="AI2167" s="138"/>
      <c r="AJ2167" s="138"/>
      <c r="AK2167" s="138"/>
      <c r="AL2167" s="142"/>
    </row>
    <row r="2168" ht="20.25" customHeight="1">
      <c r="A2168" s="155" t="str">
        <f>IFERROR(__xludf.DUMMYFUNCTION("""COMPUTED_VALUE"""),"csdread")</f>
        <v>csdread</v>
      </c>
      <c r="B2168" s="149" t="str">
        <f>IFERROR(__xludf.DUMMYFUNCTION("""COMPUTED_VALUE"""),"Albuquerque")</f>
        <v>Albuquerque</v>
      </c>
      <c r="C2168" s="149" t="str">
        <f>IFERROR(__xludf.DUMMYFUNCTION("""COMPUTED_VALUE"""),"NM")</f>
        <v>NM</v>
      </c>
      <c r="D2168" s="149" t="str">
        <f>IFERROR(__xludf.DUMMYFUNCTION("""COMPUTED_VALUE"""),"USA")</f>
        <v>USA</v>
      </c>
      <c r="E2168" s="156">
        <f>IFERROR(__xludf.DUMMYFUNCTION("""COMPUTED_VALUE"""),43411.0)</f>
        <v>43411</v>
      </c>
      <c r="F2168" s="129">
        <f>IFERROR(__xludf.DUMMYFUNCTION("""COMPUTED_VALUE"""),43414.0)</f>
        <v>43414</v>
      </c>
      <c r="G2168" s="154"/>
      <c r="H2168" s="131">
        <f>IFERROR(__xludf.DUMMYFUNCTION("""COMPUTED_VALUE"""),120155.0)</f>
        <v>120155</v>
      </c>
      <c r="I2168" s="144"/>
      <c r="J2168" s="129">
        <f>IFERROR(__xludf.DUMMYFUNCTION("""COMPUTED_VALUE"""),43425.0)</f>
        <v>43425</v>
      </c>
      <c r="K2168" s="133">
        <f>IFERROR(__xludf.DUMMYFUNCTION("""COMPUTED_VALUE"""),3.0)</f>
        <v>3</v>
      </c>
      <c r="L2168" s="133">
        <f>IFERROR(__xludf.DUMMYFUNCTION("""COMPUTED_VALUE"""),11.0)</f>
        <v>11</v>
      </c>
      <c r="M2168" s="133">
        <f>IFERROR(__xludf.DUMMYFUNCTION("""COMPUTED_VALUE"""),14.0)</f>
        <v>14</v>
      </c>
      <c r="N2168" s="152" t="str">
        <f>IFERROR(__xludf.DUMMYFUNCTION("""COMPUTED_VALUE"""),"Model 3 LR AWD")</f>
        <v>Model 3 LR AWD</v>
      </c>
      <c r="O2168" s="152" t="str">
        <f>IFERROR(__xludf.DUMMYFUNCTION("""COMPUTED_VALUE"""),"Deep Blue Metallic")</f>
        <v>Deep Blue Metallic</v>
      </c>
      <c r="P2168" s="153" t="str">
        <f>IFERROR(__xludf.DUMMYFUNCTION("""COMPUTED_VALUE"""),"18 inch Aero")</f>
        <v>18 inch Aero</v>
      </c>
      <c r="Q2168" s="152" t="str">
        <f>IFERROR(__xludf.DUMMYFUNCTION("""COMPUTED_VALUE"""),"Black seats")</f>
        <v>Black seats</v>
      </c>
      <c r="R2168" s="149" t="str">
        <f>IFERROR(__xludf.DUMMYFUNCTION("""COMPUTED_VALUE"""),"None")</f>
        <v>None</v>
      </c>
      <c r="S2168" s="149"/>
      <c r="T2168" s="145"/>
      <c r="U2168" s="145"/>
      <c r="V2168" s="145"/>
      <c r="W2168" s="145"/>
      <c r="X2168" s="137" t="str">
        <f>IFERROR(__xludf.DUMMYFUNCTION("""COMPUTED_VALUE"""),"Very Good")</f>
        <v>Very Good</v>
      </c>
      <c r="Y2168" s="138" t="str">
        <f>IFERROR(__xludf.DUMMYFUNCTION("""COMPUTED_VALUE"""),"Good")</f>
        <v>Good</v>
      </c>
      <c r="Z2168" s="138" t="str">
        <f>IFERROR(__xludf.DUMMYFUNCTION("""COMPUTED_VALUE"""),"Very Good")</f>
        <v>Very Good</v>
      </c>
      <c r="AA2168" s="138" t="str">
        <f>IFERROR(__xludf.DUMMYFUNCTION("""COMPUTED_VALUE"""),"Fair")</f>
        <v>Fair</v>
      </c>
      <c r="AB2168" s="138" t="str">
        <f>IFERROR(__xludf.DUMMYFUNCTION("""COMPUTED_VALUE"""),"Excellent")</f>
        <v>Excellent</v>
      </c>
      <c r="AC2168" s="139">
        <f>IFERROR(__xludf.DUMMYFUNCTION("""COMPUTED_VALUE"""),1.0)</f>
        <v>1</v>
      </c>
      <c r="AD2168" s="139">
        <f>IFERROR(__xludf.DUMMYFUNCTION("""COMPUTED_VALUE"""),0.0)</f>
        <v>0</v>
      </c>
      <c r="AE2168" s="139">
        <f>IFERROR(__xludf.DUMMYFUNCTION("""COMPUTED_VALUE"""),0.0)</f>
        <v>0</v>
      </c>
      <c r="AF2168" s="140"/>
      <c r="AG2168" s="145"/>
      <c r="AH2168" s="157">
        <f>IFERROR(__xludf.DUMMYFUNCTION("""COMPUTED_VALUE"""),43443.78396162037)</f>
        <v>43443.78396</v>
      </c>
      <c r="AI2168" s="138"/>
      <c r="AJ2168" s="138"/>
      <c r="AK2168" s="138"/>
      <c r="AL2168" s="142"/>
    </row>
    <row r="2169" ht="20.25" customHeight="1">
      <c r="A2169" s="155" t="str">
        <f>IFERROR(__xludf.DUMMYFUNCTION("""COMPUTED_VALUE"""),"footerdc")</f>
        <v>footerdc</v>
      </c>
      <c r="B2169" s="149" t="str">
        <f>IFERROR(__xludf.DUMMYFUNCTION("""COMPUTED_VALUE"""),"SF Bay Area")</f>
        <v>SF Bay Area</v>
      </c>
      <c r="C2169" s="149" t="str">
        <f>IFERROR(__xludf.DUMMYFUNCTION("""COMPUTED_VALUE"""),"CA")</f>
        <v>CA</v>
      </c>
      <c r="D2169" s="149" t="str">
        <f>IFERROR(__xludf.DUMMYFUNCTION("""COMPUTED_VALUE"""),"USA")</f>
        <v>USA</v>
      </c>
      <c r="E2169" s="156">
        <f>IFERROR(__xludf.DUMMYFUNCTION("""COMPUTED_VALUE"""),43410.0)</f>
        <v>43410</v>
      </c>
      <c r="F2169" s="129">
        <f>IFERROR(__xludf.DUMMYFUNCTION("""COMPUTED_VALUE"""),43433.0)</f>
        <v>43433</v>
      </c>
      <c r="G2169" s="154"/>
      <c r="H2169" s="131">
        <f>IFERROR(__xludf.DUMMYFUNCTION("""COMPUTED_VALUE"""),110755.0)</f>
        <v>110755</v>
      </c>
      <c r="I2169" s="144" t="str">
        <f>IFERROR(__xludf.DUMMYFUNCTION("""COMPUTED_VALUE"""),"11/18")</f>
        <v>11/18</v>
      </c>
      <c r="J2169" s="129">
        <f>IFERROR(__xludf.DUMMYFUNCTION("""COMPUTED_VALUE"""),43436.0)</f>
        <v>43436</v>
      </c>
      <c r="K2169" s="133">
        <f>IFERROR(__xludf.DUMMYFUNCTION("""COMPUTED_VALUE"""),23.0)</f>
        <v>23</v>
      </c>
      <c r="L2169" s="133">
        <f>IFERROR(__xludf.DUMMYFUNCTION("""COMPUTED_VALUE"""),3.0)</f>
        <v>3</v>
      </c>
      <c r="M2169" s="133">
        <f>IFERROR(__xludf.DUMMYFUNCTION("""COMPUTED_VALUE"""),26.0)</f>
        <v>26</v>
      </c>
      <c r="N2169" s="152" t="str">
        <f>IFERROR(__xludf.DUMMYFUNCTION("""COMPUTED_VALUE"""),"Model 3 LR")</f>
        <v>Model 3 LR</v>
      </c>
      <c r="O2169" s="152" t="str">
        <f>IFERROR(__xludf.DUMMYFUNCTION("""COMPUTED_VALUE"""),"Midnight Silver Metallic")</f>
        <v>Midnight Silver Metallic</v>
      </c>
      <c r="P2169" s="153" t="str">
        <f>IFERROR(__xludf.DUMMYFUNCTION("""COMPUTED_VALUE"""),"19 inch Sport")</f>
        <v>19 inch Sport</v>
      </c>
      <c r="Q2169" s="152" t="str">
        <f>IFERROR(__xludf.DUMMYFUNCTION("""COMPUTED_VALUE"""),"Black seats")</f>
        <v>Black seats</v>
      </c>
      <c r="R2169" s="149" t="str">
        <f>IFERROR(__xludf.DUMMYFUNCTION("""COMPUTED_VALUE"""),"None")</f>
        <v>None</v>
      </c>
      <c r="S2169" s="149"/>
      <c r="T2169" s="145"/>
      <c r="U2169" s="145"/>
      <c r="V2169" s="145"/>
      <c r="W2169" s="145"/>
      <c r="X2169" s="137" t="str">
        <f>IFERROR(__xludf.DUMMYFUNCTION("""COMPUTED_VALUE"""),"Excellent")</f>
        <v>Excellent</v>
      </c>
      <c r="Y2169" s="138" t="str">
        <f>IFERROR(__xludf.DUMMYFUNCTION("""COMPUTED_VALUE"""),"Excellent")</f>
        <v>Excellent</v>
      </c>
      <c r="Z2169" s="138" t="str">
        <f>IFERROR(__xludf.DUMMYFUNCTION("""COMPUTED_VALUE"""),"Excellent")</f>
        <v>Excellent</v>
      </c>
      <c r="AA2169" s="138" t="str">
        <f>IFERROR(__xludf.DUMMYFUNCTION("""COMPUTED_VALUE"""),"Very Good")</f>
        <v>Very Good</v>
      </c>
      <c r="AB2169" s="138" t="str">
        <f>IFERROR(__xludf.DUMMYFUNCTION("""COMPUTED_VALUE"""),"Excellent")</f>
        <v>Excellent</v>
      </c>
      <c r="AC2169" s="139"/>
      <c r="AD2169" s="139"/>
      <c r="AE2169" s="139"/>
      <c r="AF2169" s="140"/>
      <c r="AG2169" s="145" t="str">
        <f>IFERROR(__xludf.DUMMYFUNCTION("""COMPUTED_VALUE"""),"Found out from my DA that Silver Metallic no longer being produced, switched to a car ready for pickup")</f>
        <v>Found out from my DA that Silver Metallic no longer being produced, switched to a car ready for pickup</v>
      </c>
      <c r="AH2169" s="157">
        <f>IFERROR(__xludf.DUMMYFUNCTION("""COMPUTED_VALUE"""),43436.79305335648)</f>
        <v>43436.79305</v>
      </c>
      <c r="AI2169" s="138"/>
      <c r="AJ2169" s="138"/>
      <c r="AK2169" s="138"/>
      <c r="AL2169" s="142"/>
    </row>
    <row r="2170" ht="20.25" customHeight="1">
      <c r="A2170" s="155" t="str">
        <f>IFERROR(__xludf.DUMMYFUNCTION("""COMPUTED_VALUE"""),"michelle")</f>
        <v>michelle</v>
      </c>
      <c r="B2170" s="149" t="str">
        <f>IFERROR(__xludf.DUMMYFUNCTION("""COMPUTED_VALUE"""),"SF Bay Area")</f>
        <v>SF Bay Area</v>
      </c>
      <c r="C2170" s="149" t="str">
        <f>IFERROR(__xludf.DUMMYFUNCTION("""COMPUTED_VALUE"""),"CA")</f>
        <v>CA</v>
      </c>
      <c r="D2170" s="149" t="str">
        <f>IFERROR(__xludf.DUMMYFUNCTION("""COMPUTED_VALUE"""),"USA")</f>
        <v>USA</v>
      </c>
      <c r="E2170" s="156">
        <f>IFERROR(__xludf.DUMMYFUNCTION("""COMPUTED_VALUE"""),43410.0)</f>
        <v>43410</v>
      </c>
      <c r="F2170" s="129">
        <f>IFERROR(__xludf.DUMMYFUNCTION("""COMPUTED_VALUE"""),43455.0)</f>
        <v>43455</v>
      </c>
      <c r="G2170" s="154"/>
      <c r="H2170" s="131">
        <f>IFERROR(__xludf.DUMMYFUNCTION("""COMPUTED_VALUE"""),172435.0)</f>
        <v>172435</v>
      </c>
      <c r="I2170" s="144"/>
      <c r="J2170" s="129">
        <f>IFERROR(__xludf.DUMMYFUNCTION("""COMPUTED_VALUE"""),43460.0)</f>
        <v>43460</v>
      </c>
      <c r="K2170" s="133">
        <f>IFERROR(__xludf.DUMMYFUNCTION("""COMPUTED_VALUE"""),45.0)</f>
        <v>45</v>
      </c>
      <c r="L2170" s="133">
        <f>IFERROR(__xludf.DUMMYFUNCTION("""COMPUTED_VALUE"""),5.0)</f>
        <v>5</v>
      </c>
      <c r="M2170" s="133">
        <f>IFERROR(__xludf.DUMMYFUNCTION("""COMPUTED_VALUE"""),50.0)</f>
        <v>50</v>
      </c>
      <c r="N2170" s="152" t="str">
        <f>IFERROR(__xludf.DUMMYFUNCTION("""COMPUTED_VALUE"""),"Model 3 MR")</f>
        <v>Model 3 MR</v>
      </c>
      <c r="O2170" s="152" t="str">
        <f>IFERROR(__xludf.DUMMYFUNCTION("""COMPUTED_VALUE"""),"Solid Black")</f>
        <v>Solid Black</v>
      </c>
      <c r="P2170" s="153" t="str">
        <f>IFERROR(__xludf.DUMMYFUNCTION("""COMPUTED_VALUE"""),"18 inch Aero")</f>
        <v>18 inch Aero</v>
      </c>
      <c r="Q2170" s="152" t="str">
        <f>IFERROR(__xludf.DUMMYFUNCTION("""COMPUTED_VALUE"""),"Black seats")</f>
        <v>Black seats</v>
      </c>
      <c r="R2170" s="149" t="str">
        <f>IFERROR(__xludf.DUMMYFUNCTION("""COMPUTED_VALUE"""),"Enhanced Autopilot")</f>
        <v>Enhanced Autopilot</v>
      </c>
      <c r="S2170" s="149"/>
      <c r="T2170" s="145"/>
      <c r="U2170" s="145"/>
      <c r="V2170" s="145"/>
      <c r="W2170" s="145"/>
      <c r="X2170" s="137" t="str">
        <f>IFERROR(__xludf.DUMMYFUNCTION("""COMPUTED_VALUE"""),"Excellent")</f>
        <v>Excellent</v>
      </c>
      <c r="Y2170" s="138" t="str">
        <f>IFERROR(__xludf.DUMMYFUNCTION("""COMPUTED_VALUE"""),"Excellent")</f>
        <v>Excellent</v>
      </c>
      <c r="Z2170" s="138" t="str">
        <f>IFERROR(__xludf.DUMMYFUNCTION("""COMPUTED_VALUE"""),"Good")</f>
        <v>Good</v>
      </c>
      <c r="AA2170" s="138" t="str">
        <f>IFERROR(__xludf.DUMMYFUNCTION("""COMPUTED_VALUE"""),"Fair")</f>
        <v>Fair</v>
      </c>
      <c r="AB2170" s="138" t="str">
        <f>IFERROR(__xludf.DUMMYFUNCTION("""COMPUTED_VALUE"""),"Fair")</f>
        <v>Fair</v>
      </c>
      <c r="AC2170" s="139">
        <f>IFERROR(__xludf.DUMMYFUNCTION("""COMPUTED_VALUE"""),2.0)</f>
        <v>2</v>
      </c>
      <c r="AD2170" s="139"/>
      <c r="AE2170" s="139"/>
      <c r="AF2170" s="140"/>
      <c r="AG2170" s="145"/>
      <c r="AH2170" s="157">
        <f>IFERROR(__xludf.DUMMYFUNCTION("""COMPUTED_VALUE"""),43467.43967946759)</f>
        <v>43467.43968</v>
      </c>
      <c r="AI2170" s="138"/>
      <c r="AJ2170" s="138"/>
      <c r="AK2170" s="138"/>
      <c r="AL2170" s="142"/>
    </row>
    <row r="2171" ht="20.25" customHeight="1">
      <c r="A2171" s="155" t="str">
        <f>IFERROR(__xludf.DUMMYFUNCTION("""COMPUTED_VALUE"""),"Fakers")</f>
        <v>Fakers</v>
      </c>
      <c r="B2171" s="149" t="str">
        <f>IFERROR(__xludf.DUMMYFUNCTION("""COMPUTED_VALUE"""),"Las Vegas")</f>
        <v>Las Vegas</v>
      </c>
      <c r="C2171" s="149" t="str">
        <f>IFERROR(__xludf.DUMMYFUNCTION("""COMPUTED_VALUE"""),"NV")</f>
        <v>NV</v>
      </c>
      <c r="D2171" s="149" t="str">
        <f>IFERROR(__xludf.DUMMYFUNCTION("""COMPUTED_VALUE"""),"USA")</f>
        <v>USA</v>
      </c>
      <c r="E2171" s="156">
        <f>IFERROR(__xludf.DUMMYFUNCTION("""COMPUTED_VALUE"""),43409.0)</f>
        <v>43409</v>
      </c>
      <c r="F2171" s="129">
        <f>IFERROR(__xludf.DUMMYFUNCTION("""COMPUTED_VALUE"""),43451.0)</f>
        <v>43451</v>
      </c>
      <c r="G2171" s="154"/>
      <c r="H2171" s="131">
        <f>IFERROR(__xludf.DUMMYFUNCTION("""COMPUTED_VALUE"""),158055.0)</f>
        <v>158055</v>
      </c>
      <c r="I2171" s="144" t="str">
        <f>IFERROR(__xludf.DUMMYFUNCTION("""COMPUTED_VALUE"""),"12/18")</f>
        <v>12/18</v>
      </c>
      <c r="J2171" s="129">
        <f>IFERROR(__xludf.DUMMYFUNCTION("""COMPUTED_VALUE"""),43455.0)</f>
        <v>43455</v>
      </c>
      <c r="K2171" s="133">
        <f>IFERROR(__xludf.DUMMYFUNCTION("""COMPUTED_VALUE"""),42.0)</f>
        <v>42</v>
      </c>
      <c r="L2171" s="133">
        <f>IFERROR(__xludf.DUMMYFUNCTION("""COMPUTED_VALUE"""),4.0)</f>
        <v>4</v>
      </c>
      <c r="M2171" s="133">
        <f>IFERROR(__xludf.DUMMYFUNCTION("""COMPUTED_VALUE"""),46.0)</f>
        <v>46</v>
      </c>
      <c r="N2171" s="152" t="str">
        <f>IFERROR(__xludf.DUMMYFUNCTION("""COMPUTED_VALUE"""),"Model 3 MR")</f>
        <v>Model 3 MR</v>
      </c>
      <c r="O2171" s="152" t="str">
        <f>IFERROR(__xludf.DUMMYFUNCTION("""COMPUTED_VALUE"""),"Midnight Silver Metallic")</f>
        <v>Midnight Silver Metallic</v>
      </c>
      <c r="P2171" s="153" t="str">
        <f>IFERROR(__xludf.DUMMYFUNCTION("""COMPUTED_VALUE"""),"18 inch Aero")</f>
        <v>18 inch Aero</v>
      </c>
      <c r="Q2171" s="152" t="str">
        <f>IFERROR(__xludf.DUMMYFUNCTION("""COMPUTED_VALUE"""),"Black seats")</f>
        <v>Black seats</v>
      </c>
      <c r="R2171" s="149" t="str">
        <f>IFERROR(__xludf.DUMMYFUNCTION("""COMPUTED_VALUE"""),"None")</f>
        <v>None</v>
      </c>
      <c r="S2171" s="149"/>
      <c r="T2171" s="145"/>
      <c r="U2171" s="145"/>
      <c r="V2171" s="145"/>
      <c r="W2171" s="145"/>
      <c r="X2171" s="137" t="str">
        <f>IFERROR(__xludf.DUMMYFUNCTION("""COMPUTED_VALUE"""),"Excellent")</f>
        <v>Excellent</v>
      </c>
      <c r="Y2171" s="138" t="str">
        <f>IFERROR(__xludf.DUMMYFUNCTION("""COMPUTED_VALUE"""),"Excellent")</f>
        <v>Excellent</v>
      </c>
      <c r="Z2171" s="138" t="str">
        <f>IFERROR(__xludf.DUMMYFUNCTION("""COMPUTED_VALUE"""),"Excellent")</f>
        <v>Excellent</v>
      </c>
      <c r="AA2171" s="138" t="str">
        <f>IFERROR(__xludf.DUMMYFUNCTION("""COMPUTED_VALUE"""),"Excellent")</f>
        <v>Excellent</v>
      </c>
      <c r="AB2171" s="138" t="str">
        <f>IFERROR(__xludf.DUMMYFUNCTION("""COMPUTED_VALUE"""),"Excellent")</f>
        <v>Excellent</v>
      </c>
      <c r="AC2171" s="139"/>
      <c r="AD2171" s="139"/>
      <c r="AE2171" s="139"/>
      <c r="AF2171" s="140"/>
      <c r="AG2171" s="145"/>
      <c r="AH2171" s="157">
        <f>IFERROR(__xludf.DUMMYFUNCTION("""COMPUTED_VALUE"""),43456.313299652786)</f>
        <v>43456.3133</v>
      </c>
      <c r="AI2171" s="138"/>
      <c r="AJ2171" s="138"/>
      <c r="AK2171" s="138"/>
      <c r="AL2171" s="142"/>
    </row>
    <row r="2172" ht="20.25" customHeight="1">
      <c r="A2172" s="155" t="str">
        <f>IFERROR(__xludf.DUMMYFUNCTION("""COMPUTED_VALUE"""),"Moose408")</f>
        <v>Moose408</v>
      </c>
      <c r="B2172" s="149" t="str">
        <f>IFERROR(__xludf.DUMMYFUNCTION("""COMPUTED_VALUE"""),"San Jose")</f>
        <v>San Jose</v>
      </c>
      <c r="C2172" s="149" t="str">
        <f>IFERROR(__xludf.DUMMYFUNCTION("""COMPUTED_VALUE"""),"CA")</f>
        <v>CA</v>
      </c>
      <c r="D2172" s="149" t="str">
        <f>IFERROR(__xludf.DUMMYFUNCTION("""COMPUTED_VALUE"""),"USA")</f>
        <v>USA</v>
      </c>
      <c r="E2172" s="156">
        <f>IFERROR(__xludf.DUMMYFUNCTION("""COMPUTED_VALUE"""),43409.0)</f>
        <v>43409</v>
      </c>
      <c r="F2172" s="129">
        <f>IFERROR(__xludf.DUMMYFUNCTION("""COMPUTED_VALUE"""),43444.0)</f>
        <v>43444</v>
      </c>
      <c r="G2172" s="154"/>
      <c r="H2172" s="131">
        <f>IFERROR(__xludf.DUMMYFUNCTION("""COMPUTED_VALUE"""),155155.0)</f>
        <v>155155</v>
      </c>
      <c r="I2172" s="144" t="str">
        <f>IFERROR(__xludf.DUMMYFUNCTION("""COMPUTED_VALUE"""),"12/18")</f>
        <v>12/18</v>
      </c>
      <c r="J2172" s="129">
        <f>IFERROR(__xludf.DUMMYFUNCTION("""COMPUTED_VALUE"""),43450.0)</f>
        <v>43450</v>
      </c>
      <c r="K2172" s="133">
        <f>IFERROR(__xludf.DUMMYFUNCTION("""COMPUTED_VALUE"""),35.0)</f>
        <v>35</v>
      </c>
      <c r="L2172" s="133">
        <f>IFERROR(__xludf.DUMMYFUNCTION("""COMPUTED_VALUE"""),6.0)</f>
        <v>6</v>
      </c>
      <c r="M2172" s="133">
        <f>IFERROR(__xludf.DUMMYFUNCTION("""COMPUTED_VALUE"""),41.0)</f>
        <v>41</v>
      </c>
      <c r="N2172" s="152" t="str">
        <f>IFERROR(__xludf.DUMMYFUNCTION("""COMPUTED_VALUE"""),"Model 3 MR")</f>
        <v>Model 3 MR</v>
      </c>
      <c r="O2172" s="152" t="str">
        <f>IFERROR(__xludf.DUMMYFUNCTION("""COMPUTED_VALUE"""),"Deep Blue Metallic")</f>
        <v>Deep Blue Metallic</v>
      </c>
      <c r="P2172" s="153" t="str">
        <f>IFERROR(__xludf.DUMMYFUNCTION("""COMPUTED_VALUE"""),"19 inch Sport")</f>
        <v>19 inch Sport</v>
      </c>
      <c r="Q2172" s="152" t="str">
        <f>IFERROR(__xludf.DUMMYFUNCTION("""COMPUTED_VALUE"""),"Black seats")</f>
        <v>Black seats</v>
      </c>
      <c r="R2172" s="149" t="str">
        <f>IFERROR(__xludf.DUMMYFUNCTION("""COMPUTED_VALUE"""),"Enhanced Autopilot")</f>
        <v>Enhanced Autopilot</v>
      </c>
      <c r="S2172" s="149"/>
      <c r="T2172" s="145"/>
      <c r="U2172" s="145"/>
      <c r="V2172" s="145"/>
      <c r="W2172" s="145"/>
      <c r="X2172" s="137" t="str">
        <f>IFERROR(__xludf.DUMMYFUNCTION("""COMPUTED_VALUE"""),"Excellent")</f>
        <v>Excellent</v>
      </c>
      <c r="Y2172" s="138" t="str">
        <f>IFERROR(__xludf.DUMMYFUNCTION("""COMPUTED_VALUE"""),"Excellent")</f>
        <v>Excellent</v>
      </c>
      <c r="Z2172" s="138" t="str">
        <f>IFERROR(__xludf.DUMMYFUNCTION("""COMPUTED_VALUE"""),"Excellent")</f>
        <v>Excellent</v>
      </c>
      <c r="AA2172" s="138" t="str">
        <f>IFERROR(__xludf.DUMMYFUNCTION("""COMPUTED_VALUE"""),"Good")</f>
        <v>Good</v>
      </c>
      <c r="AB2172" s="138" t="str">
        <f>IFERROR(__xludf.DUMMYFUNCTION("""COMPUTED_VALUE"""),"Excellent")</f>
        <v>Excellent</v>
      </c>
      <c r="AC2172" s="139">
        <f>IFERROR(__xludf.DUMMYFUNCTION("""COMPUTED_VALUE"""),3.0)</f>
        <v>3</v>
      </c>
      <c r="AD2172" s="139">
        <f>IFERROR(__xludf.DUMMYFUNCTION("""COMPUTED_VALUE"""),1.0)</f>
        <v>1</v>
      </c>
      <c r="AE2172" s="139">
        <f>IFERROR(__xludf.DUMMYFUNCTION("""COMPUTED_VALUE"""),0.0)</f>
        <v>0</v>
      </c>
      <c r="AF2172" s="140"/>
      <c r="AG2172" s="145"/>
      <c r="AH2172" s="157">
        <f>IFERROR(__xludf.DUMMYFUNCTION("""COMPUTED_VALUE"""),43450.56300988426)</f>
        <v>43450.56301</v>
      </c>
      <c r="AI2172" s="138"/>
      <c r="AJ2172" s="138"/>
      <c r="AK2172" s="138"/>
      <c r="AL2172" s="142"/>
    </row>
    <row r="2173" ht="20.25" customHeight="1">
      <c r="A2173" s="155" t="str">
        <f>IFERROR(__xludf.DUMMYFUNCTION("""COMPUTED_VALUE"""),"RobV7")</f>
        <v>RobV7</v>
      </c>
      <c r="B2173" s="149" t="str">
        <f>IFERROR(__xludf.DUMMYFUNCTION("""COMPUTED_VALUE"""),"Bay Area")</f>
        <v>Bay Area</v>
      </c>
      <c r="C2173" s="149" t="str">
        <f>IFERROR(__xludf.DUMMYFUNCTION("""COMPUTED_VALUE"""),"CA")</f>
        <v>CA</v>
      </c>
      <c r="D2173" s="149" t="str">
        <f>IFERROR(__xludf.DUMMYFUNCTION("""COMPUTED_VALUE"""),"USA")</f>
        <v>USA</v>
      </c>
      <c r="E2173" s="156">
        <f>IFERROR(__xludf.DUMMYFUNCTION("""COMPUTED_VALUE"""),43409.0)</f>
        <v>43409</v>
      </c>
      <c r="F2173" s="129">
        <f>IFERROR(__xludf.DUMMYFUNCTION("""COMPUTED_VALUE"""),43444.0)</f>
        <v>43444</v>
      </c>
      <c r="G2173" s="154"/>
      <c r="H2173" s="131"/>
      <c r="I2173" s="144"/>
      <c r="J2173" s="129">
        <f>IFERROR(__xludf.DUMMYFUNCTION("""COMPUTED_VALUE"""),43444.0)</f>
        <v>43444</v>
      </c>
      <c r="K2173" s="133">
        <f>IFERROR(__xludf.DUMMYFUNCTION("""COMPUTED_VALUE"""),35.0)</f>
        <v>35</v>
      </c>
      <c r="L2173" s="133">
        <f>IFERROR(__xludf.DUMMYFUNCTION("""COMPUTED_VALUE"""),0.0)</f>
        <v>0</v>
      </c>
      <c r="M2173" s="133">
        <f>IFERROR(__xludf.DUMMYFUNCTION("""COMPUTED_VALUE"""),35.0)</f>
        <v>35</v>
      </c>
      <c r="N2173" s="152" t="str">
        <f>IFERROR(__xludf.DUMMYFUNCTION("""COMPUTED_VALUE"""),"Model 3 MR")</f>
        <v>Model 3 MR</v>
      </c>
      <c r="O2173" s="152" t="str">
        <f>IFERROR(__xludf.DUMMYFUNCTION("""COMPUTED_VALUE"""),"Red Multi-Coat")</f>
        <v>Red Multi-Coat</v>
      </c>
      <c r="P2173" s="153" t="str">
        <f>IFERROR(__xludf.DUMMYFUNCTION("""COMPUTED_VALUE"""),"18 inch Aero")</f>
        <v>18 inch Aero</v>
      </c>
      <c r="Q2173" s="152" t="str">
        <f>IFERROR(__xludf.DUMMYFUNCTION("""COMPUTED_VALUE"""),"Black seats")</f>
        <v>Black seats</v>
      </c>
      <c r="R2173" s="149" t="str">
        <f>IFERROR(__xludf.DUMMYFUNCTION("""COMPUTED_VALUE"""),"None")</f>
        <v>None</v>
      </c>
      <c r="S2173" s="149"/>
      <c r="T2173" s="145"/>
      <c r="U2173" s="145"/>
      <c r="V2173" s="145"/>
      <c r="W2173" s="145"/>
      <c r="X2173" s="137" t="str">
        <f>IFERROR(__xludf.DUMMYFUNCTION("""COMPUTED_VALUE"""),"Excellent")</f>
        <v>Excellent</v>
      </c>
      <c r="Y2173" s="138" t="str">
        <f>IFERROR(__xludf.DUMMYFUNCTION("""COMPUTED_VALUE"""),"Excellent")</f>
        <v>Excellent</v>
      </c>
      <c r="Z2173" s="138" t="str">
        <f>IFERROR(__xludf.DUMMYFUNCTION("""COMPUTED_VALUE"""),"Excellent")</f>
        <v>Excellent</v>
      </c>
      <c r="AA2173" s="138" t="str">
        <f>IFERROR(__xludf.DUMMYFUNCTION("""COMPUTED_VALUE"""),"Excellent")</f>
        <v>Excellent</v>
      </c>
      <c r="AB2173" s="138" t="str">
        <f>IFERROR(__xludf.DUMMYFUNCTION("""COMPUTED_VALUE"""),"Excellent")</f>
        <v>Excellent</v>
      </c>
      <c r="AC2173" s="139"/>
      <c r="AD2173" s="139"/>
      <c r="AE2173" s="139"/>
      <c r="AF2173" s="140"/>
      <c r="AG2173" s="145"/>
      <c r="AH2173" s="157">
        <f>IFERROR(__xludf.DUMMYFUNCTION("""COMPUTED_VALUE"""),43445.581741284725)</f>
        <v>43445.58174</v>
      </c>
      <c r="AI2173" s="138"/>
      <c r="AJ2173" s="138"/>
      <c r="AK2173" s="138"/>
      <c r="AL2173" s="142"/>
    </row>
    <row r="2174" ht="20.25" customHeight="1">
      <c r="A2174" s="155" t="str">
        <f>IFERROR(__xludf.DUMMYFUNCTION("""COMPUTED_VALUE"""),"Skiman7658")</f>
        <v>Skiman7658</v>
      </c>
      <c r="B2174" s="149" t="str">
        <f>IFERROR(__xludf.DUMMYFUNCTION("""COMPUTED_VALUE"""),"Broomfield CO")</f>
        <v>Broomfield CO</v>
      </c>
      <c r="C2174" s="149" t="str">
        <f>IFERROR(__xludf.DUMMYFUNCTION("""COMPUTED_VALUE"""),"CO")</f>
        <v>CO</v>
      </c>
      <c r="D2174" s="149" t="str">
        <f>IFERROR(__xludf.DUMMYFUNCTION("""COMPUTED_VALUE"""),"USA")</f>
        <v>USA</v>
      </c>
      <c r="E2174" s="156">
        <f>IFERROR(__xludf.DUMMYFUNCTION("""COMPUTED_VALUE"""),43409.0)</f>
        <v>43409</v>
      </c>
      <c r="F2174" s="129">
        <f>IFERROR(__xludf.DUMMYFUNCTION("""COMPUTED_VALUE"""),43431.0)</f>
        <v>43431</v>
      </c>
      <c r="G2174" s="154"/>
      <c r="H2174" s="131">
        <f>IFERROR(__xludf.DUMMYFUNCTION("""COMPUTED_VALUE"""),123455.0)</f>
        <v>123455</v>
      </c>
      <c r="I2174" s="144" t="str">
        <f>IFERROR(__xludf.DUMMYFUNCTION("""COMPUTED_VALUE"""),"11/18")</f>
        <v>11/18</v>
      </c>
      <c r="J2174" s="129">
        <f>IFERROR(__xludf.DUMMYFUNCTION("""COMPUTED_VALUE"""),43439.0)</f>
        <v>43439</v>
      </c>
      <c r="K2174" s="133">
        <f>IFERROR(__xludf.DUMMYFUNCTION("""COMPUTED_VALUE"""),22.0)</f>
        <v>22</v>
      </c>
      <c r="L2174" s="133">
        <f>IFERROR(__xludf.DUMMYFUNCTION("""COMPUTED_VALUE"""),8.0)</f>
        <v>8</v>
      </c>
      <c r="M2174" s="133">
        <f>IFERROR(__xludf.DUMMYFUNCTION("""COMPUTED_VALUE"""),30.0)</f>
        <v>30</v>
      </c>
      <c r="N2174" s="152" t="str">
        <f>IFERROR(__xludf.DUMMYFUNCTION("""COMPUTED_VALUE"""),"Model 3 LR")</f>
        <v>Model 3 LR</v>
      </c>
      <c r="O2174" s="152" t="str">
        <f>IFERROR(__xludf.DUMMYFUNCTION("""COMPUTED_VALUE"""),"Solid Black")</f>
        <v>Solid Black</v>
      </c>
      <c r="P2174" s="153" t="str">
        <f>IFERROR(__xludf.DUMMYFUNCTION("""COMPUTED_VALUE"""),"18 inch Aero")</f>
        <v>18 inch Aero</v>
      </c>
      <c r="Q2174" s="152" t="str">
        <f>IFERROR(__xludf.DUMMYFUNCTION("""COMPUTED_VALUE"""),"Black seats")</f>
        <v>Black seats</v>
      </c>
      <c r="R2174" s="149" t="str">
        <f>IFERROR(__xludf.DUMMYFUNCTION("""COMPUTED_VALUE"""),"Enhanced Autopilot")</f>
        <v>Enhanced Autopilot</v>
      </c>
      <c r="S2174" s="149"/>
      <c r="T2174" s="145"/>
      <c r="U2174" s="145"/>
      <c r="V2174" s="145"/>
      <c r="W2174" s="145"/>
      <c r="X2174" s="137" t="str">
        <f>IFERROR(__xludf.DUMMYFUNCTION("""COMPUTED_VALUE"""),"Good")</f>
        <v>Good</v>
      </c>
      <c r="Y2174" s="138" t="str">
        <f>IFERROR(__xludf.DUMMYFUNCTION("""COMPUTED_VALUE"""),"Excellent")</f>
        <v>Excellent</v>
      </c>
      <c r="Z2174" s="138" t="str">
        <f>IFERROR(__xludf.DUMMYFUNCTION("""COMPUTED_VALUE"""),"Fair")</f>
        <v>Fair</v>
      </c>
      <c r="AA2174" s="138" t="str">
        <f>IFERROR(__xludf.DUMMYFUNCTION("""COMPUTED_VALUE"""),"Fair")</f>
        <v>Fair</v>
      </c>
      <c r="AB2174" s="138" t="str">
        <f>IFERROR(__xludf.DUMMYFUNCTION("""COMPUTED_VALUE"""),"Excellent")</f>
        <v>Excellent</v>
      </c>
      <c r="AC2174" s="139">
        <f>IFERROR(__xludf.DUMMYFUNCTION("""COMPUTED_VALUE"""),0.0)</f>
        <v>0</v>
      </c>
      <c r="AD2174" s="139">
        <f>IFERROR(__xludf.DUMMYFUNCTION("""COMPUTED_VALUE"""),0.0)</f>
        <v>0</v>
      </c>
      <c r="AE2174" s="139">
        <f>IFERROR(__xludf.DUMMYFUNCTION("""COMPUTED_VALUE"""),0.0)</f>
        <v>0</v>
      </c>
      <c r="AF2174" s="140"/>
      <c r="AG2174" s="145" t="str">
        <f>IFERROR(__xludf.DUMMYFUNCTION("""COMPUTED_VALUE"""),"Switched from a TM3 MR order and found a LR RWD in inventory")</f>
        <v>Switched from a TM3 MR order and found a LR RWD in inventory</v>
      </c>
      <c r="AH2174" s="157">
        <f>IFERROR(__xludf.DUMMYFUNCTION("""COMPUTED_VALUE"""),43461.607688460645)</f>
        <v>43461.60769</v>
      </c>
      <c r="AI2174" s="138"/>
      <c r="AJ2174" s="138"/>
      <c r="AK2174" s="138"/>
      <c r="AL2174" s="142"/>
    </row>
    <row r="2175" ht="20.25" customHeight="1">
      <c r="A2175" s="155" t="str">
        <f>IFERROR(__xludf.DUMMYFUNCTION("""COMPUTED_VALUE"""),"sunhelm")</f>
        <v>sunhelm</v>
      </c>
      <c r="B2175" s="149" t="str">
        <f>IFERROR(__xludf.DUMMYFUNCTION("""COMPUTED_VALUE"""),"Hackettstown")</f>
        <v>Hackettstown</v>
      </c>
      <c r="C2175" s="149" t="str">
        <f>IFERROR(__xludf.DUMMYFUNCTION("""COMPUTED_VALUE"""),"NJ")</f>
        <v>NJ</v>
      </c>
      <c r="D2175" s="149" t="str">
        <f>IFERROR(__xludf.DUMMYFUNCTION("""COMPUTED_VALUE"""),"USA")</f>
        <v>USA</v>
      </c>
      <c r="E2175" s="156">
        <f>IFERROR(__xludf.DUMMYFUNCTION("""COMPUTED_VALUE"""),43409.0)</f>
        <v>43409</v>
      </c>
      <c r="F2175" s="129">
        <f>IFERROR(__xludf.DUMMYFUNCTION("""COMPUTED_VALUE"""),43419.0)</f>
        <v>43419</v>
      </c>
      <c r="G2175" s="154"/>
      <c r="H2175" s="131">
        <f>IFERROR(__xludf.DUMMYFUNCTION("""COMPUTED_VALUE"""),153755.0)</f>
        <v>153755</v>
      </c>
      <c r="I2175" s="144" t="str">
        <f>IFERROR(__xludf.DUMMYFUNCTION("""COMPUTED_VALUE"""),"11/18")</f>
        <v>11/18</v>
      </c>
      <c r="J2175" s="129">
        <f>IFERROR(__xludf.DUMMYFUNCTION("""COMPUTED_VALUE"""),43431.0)</f>
        <v>43431</v>
      </c>
      <c r="K2175" s="133">
        <f>IFERROR(__xludf.DUMMYFUNCTION("""COMPUTED_VALUE"""),10.0)</f>
        <v>10</v>
      </c>
      <c r="L2175" s="133">
        <f>IFERROR(__xludf.DUMMYFUNCTION("""COMPUTED_VALUE"""),12.0)</f>
        <v>12</v>
      </c>
      <c r="M2175" s="133">
        <f>IFERROR(__xludf.DUMMYFUNCTION("""COMPUTED_VALUE"""),22.0)</f>
        <v>22</v>
      </c>
      <c r="N2175" s="152" t="str">
        <f>IFERROR(__xludf.DUMMYFUNCTION("""COMPUTED_VALUE"""),"Model 3 MR")</f>
        <v>Model 3 MR</v>
      </c>
      <c r="O2175" s="152" t="str">
        <f>IFERROR(__xludf.DUMMYFUNCTION("""COMPUTED_VALUE"""),"Midnight Silver Metallic")</f>
        <v>Midnight Silver Metallic</v>
      </c>
      <c r="P2175" s="153" t="str">
        <f>IFERROR(__xludf.DUMMYFUNCTION("""COMPUTED_VALUE"""),"18 inch Aero")</f>
        <v>18 inch Aero</v>
      </c>
      <c r="Q2175" s="152" t="str">
        <f>IFERROR(__xludf.DUMMYFUNCTION("""COMPUTED_VALUE"""),"Black seats")</f>
        <v>Black seats</v>
      </c>
      <c r="R2175" s="149" t="str">
        <f>IFERROR(__xludf.DUMMYFUNCTION("""COMPUTED_VALUE"""),"Enhanced Autopilot")</f>
        <v>Enhanced Autopilot</v>
      </c>
      <c r="S2175" s="149"/>
      <c r="T2175" s="145"/>
      <c r="U2175" s="145"/>
      <c r="V2175" s="145"/>
      <c r="W2175" s="145"/>
      <c r="X2175" s="137" t="str">
        <f>IFERROR(__xludf.DUMMYFUNCTION("""COMPUTED_VALUE"""),"Excellent")</f>
        <v>Excellent</v>
      </c>
      <c r="Y2175" s="138" t="str">
        <f>IFERROR(__xludf.DUMMYFUNCTION("""COMPUTED_VALUE"""),"Excellent")</f>
        <v>Excellent</v>
      </c>
      <c r="Z2175" s="138" t="str">
        <f>IFERROR(__xludf.DUMMYFUNCTION("""COMPUTED_VALUE"""),"Very Good")</f>
        <v>Very Good</v>
      </c>
      <c r="AA2175" s="138" t="str">
        <f>IFERROR(__xludf.DUMMYFUNCTION("""COMPUTED_VALUE"""),"Very Good")</f>
        <v>Very Good</v>
      </c>
      <c r="AB2175" s="138" t="str">
        <f>IFERROR(__xludf.DUMMYFUNCTION("""COMPUTED_VALUE"""),"Good")</f>
        <v>Good</v>
      </c>
      <c r="AC2175" s="139">
        <f>IFERROR(__xludf.DUMMYFUNCTION("""COMPUTED_VALUE"""),1.0)</f>
        <v>1</v>
      </c>
      <c r="AD2175" s="139"/>
      <c r="AE2175" s="139"/>
      <c r="AF2175" s="140"/>
      <c r="AG2175" s="145" t="str">
        <f>IFERROR(__xludf.DUMMYFUNCTION("""COMPUTED_VALUE"""),"Via home delivery. Process was sorta rushed.")</f>
        <v>Via home delivery. Process was sorta rushed.</v>
      </c>
      <c r="AH2175" s="157">
        <f>IFERROR(__xludf.DUMMYFUNCTION("""COMPUTED_VALUE"""),43437.775241898154)</f>
        <v>43437.77524</v>
      </c>
      <c r="AI2175" s="138"/>
      <c r="AJ2175" s="138"/>
      <c r="AK2175" s="138"/>
      <c r="AL2175" s="142"/>
    </row>
    <row r="2176" ht="20.25" customHeight="1">
      <c r="A2176" s="155" t="str">
        <f>IFERROR(__xludf.DUMMYFUNCTION("""COMPUTED_VALUE"""),"wetling")</f>
        <v>wetling</v>
      </c>
      <c r="B2176" s="149" t="str">
        <f>IFERROR(__xludf.DUMMYFUNCTION("""COMPUTED_VALUE"""),"Denver")</f>
        <v>Denver</v>
      </c>
      <c r="C2176" s="149" t="str">
        <f>IFERROR(__xludf.DUMMYFUNCTION("""COMPUTED_VALUE"""),"CO")</f>
        <v>CO</v>
      </c>
      <c r="D2176" s="149" t="str">
        <f>IFERROR(__xludf.DUMMYFUNCTION("""COMPUTED_VALUE"""),"USA")</f>
        <v>USA</v>
      </c>
      <c r="E2176" s="156">
        <f>IFERROR(__xludf.DUMMYFUNCTION("""COMPUTED_VALUE"""),43409.0)</f>
        <v>43409</v>
      </c>
      <c r="F2176" s="129"/>
      <c r="G2176" s="154"/>
      <c r="H2176" s="131">
        <f>IFERROR(__xludf.DUMMYFUNCTION("""COMPUTED_VALUE"""),182446.0)</f>
        <v>182446</v>
      </c>
      <c r="I2176" s="144"/>
      <c r="J2176" s="129">
        <f>IFERROR(__xludf.DUMMYFUNCTION("""COMPUTED_VALUE"""),43445.0)</f>
        <v>43445</v>
      </c>
      <c r="K2176" s="133"/>
      <c r="L2176" s="133"/>
      <c r="M2176" s="133">
        <f>IFERROR(__xludf.DUMMYFUNCTION("""COMPUTED_VALUE"""),36.0)</f>
        <v>36</v>
      </c>
      <c r="N2176" s="152" t="str">
        <f>IFERROR(__xludf.DUMMYFUNCTION("""COMPUTED_VALUE"""),"Model 3 LR AWD")</f>
        <v>Model 3 LR AWD</v>
      </c>
      <c r="O2176" s="152" t="str">
        <f>IFERROR(__xludf.DUMMYFUNCTION("""COMPUTED_VALUE"""),"Solid Black")</f>
        <v>Solid Black</v>
      </c>
      <c r="P2176" s="153" t="str">
        <f>IFERROR(__xludf.DUMMYFUNCTION("""COMPUTED_VALUE"""),"18 inch Aero")</f>
        <v>18 inch Aero</v>
      </c>
      <c r="Q2176" s="152" t="str">
        <f>IFERROR(__xludf.DUMMYFUNCTION("""COMPUTED_VALUE"""),"Black seats")</f>
        <v>Black seats</v>
      </c>
      <c r="R2176" s="149" t="str">
        <f>IFERROR(__xludf.DUMMYFUNCTION("""COMPUTED_VALUE"""),"None")</f>
        <v>None</v>
      </c>
      <c r="S2176" s="149"/>
      <c r="T2176" s="145"/>
      <c r="U2176" s="145"/>
      <c r="V2176" s="145"/>
      <c r="W2176" s="145"/>
      <c r="X2176" s="137" t="str">
        <f>IFERROR(__xludf.DUMMYFUNCTION("""COMPUTED_VALUE"""),"Excellent")</f>
        <v>Excellent</v>
      </c>
      <c r="Y2176" s="138" t="str">
        <f>IFERROR(__xludf.DUMMYFUNCTION("""COMPUTED_VALUE"""),"Excellent")</f>
        <v>Excellent</v>
      </c>
      <c r="Z2176" s="138" t="str">
        <f>IFERROR(__xludf.DUMMYFUNCTION("""COMPUTED_VALUE"""),"Very Good")</f>
        <v>Very Good</v>
      </c>
      <c r="AA2176" s="138" t="str">
        <f>IFERROR(__xludf.DUMMYFUNCTION("""COMPUTED_VALUE"""),"Very Good")</f>
        <v>Very Good</v>
      </c>
      <c r="AB2176" s="138" t="str">
        <f>IFERROR(__xludf.DUMMYFUNCTION("""COMPUTED_VALUE"""),"Good")</f>
        <v>Good</v>
      </c>
      <c r="AC2176" s="139"/>
      <c r="AD2176" s="139"/>
      <c r="AE2176" s="139"/>
      <c r="AF2176" s="140"/>
      <c r="AG2176" s="145" t="str">
        <f>IFERROR(__xludf.DUMMYFUNCTION("""COMPUTED_VALUE"""),"Switched from order, to delivery of inventory vehicle.")</f>
        <v>Switched from order, to delivery of inventory vehicle.</v>
      </c>
      <c r="AH2176" s="157">
        <f>IFERROR(__xludf.DUMMYFUNCTION("""COMPUTED_VALUE"""),43446.61205960648)</f>
        <v>43446.61206</v>
      </c>
      <c r="AI2176" s="138"/>
      <c r="AJ2176" s="138"/>
      <c r="AK2176" s="138"/>
      <c r="AL2176" s="142"/>
    </row>
    <row r="2177" ht="20.25" customHeight="1">
      <c r="A2177" s="155" t="str">
        <f>IFERROR(__xludf.DUMMYFUNCTION("""COMPUTED_VALUE"""),"Chazzmo")</f>
        <v>Chazzmo</v>
      </c>
      <c r="B2177" s="149" t="str">
        <f>IFERROR(__xludf.DUMMYFUNCTION("""COMPUTED_VALUE"""),"Philadelphia")</f>
        <v>Philadelphia</v>
      </c>
      <c r="C2177" s="149" t="str">
        <f>IFERROR(__xludf.DUMMYFUNCTION("""COMPUTED_VALUE"""),"PA")</f>
        <v>PA</v>
      </c>
      <c r="D2177" s="149" t="str">
        <f>IFERROR(__xludf.DUMMYFUNCTION("""COMPUTED_VALUE"""),"USA")</f>
        <v>USA</v>
      </c>
      <c r="E2177" s="156">
        <f>IFERROR(__xludf.DUMMYFUNCTION("""COMPUTED_VALUE"""),43408.0)</f>
        <v>43408</v>
      </c>
      <c r="F2177" s="129">
        <f>IFERROR(__xludf.DUMMYFUNCTION("""COMPUTED_VALUE"""),43424.0)</f>
        <v>43424</v>
      </c>
      <c r="G2177" s="154"/>
      <c r="H2177" s="131">
        <f>IFERROR(__xludf.DUMMYFUNCTION("""COMPUTED_VALUE"""),152455.0)</f>
        <v>152455</v>
      </c>
      <c r="I2177" s="144" t="str">
        <f>IFERROR(__xludf.DUMMYFUNCTION("""COMPUTED_VALUE"""),"10/18")</f>
        <v>10/18</v>
      </c>
      <c r="J2177" s="129">
        <f>IFERROR(__xludf.DUMMYFUNCTION("""COMPUTED_VALUE"""),43428.0)</f>
        <v>43428</v>
      </c>
      <c r="K2177" s="133">
        <f>IFERROR(__xludf.DUMMYFUNCTION("""COMPUTED_VALUE"""),16.0)</f>
        <v>16</v>
      </c>
      <c r="L2177" s="133">
        <f>IFERROR(__xludf.DUMMYFUNCTION("""COMPUTED_VALUE"""),4.0)</f>
        <v>4</v>
      </c>
      <c r="M2177" s="133">
        <f>IFERROR(__xludf.DUMMYFUNCTION("""COMPUTED_VALUE"""),20.0)</f>
        <v>20</v>
      </c>
      <c r="N2177" s="152" t="str">
        <f>IFERROR(__xludf.DUMMYFUNCTION("""COMPUTED_VALUE"""),"Model 3 MR")</f>
        <v>Model 3 MR</v>
      </c>
      <c r="O2177" s="152" t="str">
        <f>IFERROR(__xludf.DUMMYFUNCTION("""COMPUTED_VALUE"""),"Solid Black")</f>
        <v>Solid Black</v>
      </c>
      <c r="P2177" s="153" t="str">
        <f>IFERROR(__xludf.DUMMYFUNCTION("""COMPUTED_VALUE"""),"18 inch Aero")</f>
        <v>18 inch Aero</v>
      </c>
      <c r="Q2177" s="152" t="str">
        <f>IFERROR(__xludf.DUMMYFUNCTION("""COMPUTED_VALUE"""),"Black seats")</f>
        <v>Black seats</v>
      </c>
      <c r="R2177" s="149" t="str">
        <f>IFERROR(__xludf.DUMMYFUNCTION("""COMPUTED_VALUE"""),"None")</f>
        <v>None</v>
      </c>
      <c r="S2177" s="149"/>
      <c r="T2177" s="145"/>
      <c r="U2177" s="145"/>
      <c r="V2177" s="145"/>
      <c r="W2177" s="145"/>
      <c r="X2177" s="137" t="str">
        <f>IFERROR(__xludf.DUMMYFUNCTION("""COMPUTED_VALUE"""),"Very Good")</f>
        <v>Very Good</v>
      </c>
      <c r="Y2177" s="138" t="str">
        <f>IFERROR(__xludf.DUMMYFUNCTION("""COMPUTED_VALUE"""),"Good")</f>
        <v>Good</v>
      </c>
      <c r="Z2177" s="138" t="str">
        <f>IFERROR(__xludf.DUMMYFUNCTION("""COMPUTED_VALUE"""),"Good")</f>
        <v>Good</v>
      </c>
      <c r="AA2177" s="138" t="str">
        <f>IFERROR(__xludf.DUMMYFUNCTION("""COMPUTED_VALUE"""),"Fair")</f>
        <v>Fair</v>
      </c>
      <c r="AB2177" s="138" t="str">
        <f>IFERROR(__xludf.DUMMYFUNCTION("""COMPUTED_VALUE"""),"Very Good")</f>
        <v>Very Good</v>
      </c>
      <c r="AC2177" s="139"/>
      <c r="AD2177" s="139"/>
      <c r="AE2177" s="139"/>
      <c r="AF2177" s="140"/>
      <c r="AG2177" s="145"/>
      <c r="AH2177" s="157">
        <f>IFERROR(__xludf.DUMMYFUNCTION("""COMPUTED_VALUE"""),43428.66623491899)</f>
        <v>43428.66623</v>
      </c>
      <c r="AI2177" s="138"/>
      <c r="AJ2177" s="138"/>
      <c r="AK2177" s="138"/>
      <c r="AL2177" s="142"/>
    </row>
    <row r="2178" ht="20.25" customHeight="1">
      <c r="A2178" s="155" t="str">
        <f>IFERROR(__xludf.DUMMYFUNCTION("""COMPUTED_VALUE"""),"EbenezerCooke")</f>
        <v>EbenezerCooke</v>
      </c>
      <c r="B2178" s="149" t="str">
        <f>IFERROR(__xludf.DUMMYFUNCTION("""COMPUTED_VALUE"""),"central")</f>
        <v>central</v>
      </c>
      <c r="C2178" s="149" t="str">
        <f>IFERROR(__xludf.DUMMYFUNCTION("""COMPUTED_VALUE"""),"NJ")</f>
        <v>NJ</v>
      </c>
      <c r="D2178" s="149" t="str">
        <f>IFERROR(__xludf.DUMMYFUNCTION("""COMPUTED_VALUE"""),"USA")</f>
        <v>USA</v>
      </c>
      <c r="E2178" s="156">
        <f>IFERROR(__xludf.DUMMYFUNCTION("""COMPUTED_VALUE"""),43408.0)</f>
        <v>43408</v>
      </c>
      <c r="F2178" s="129"/>
      <c r="G2178" s="154"/>
      <c r="H2178" s="131"/>
      <c r="I2178" s="144" t="str">
        <f>IFERROR(__xludf.DUMMYFUNCTION("""COMPUTED_VALUE"""),"11/18")</f>
        <v>11/18</v>
      </c>
      <c r="J2178" s="129">
        <f>IFERROR(__xludf.DUMMYFUNCTION("""COMPUTED_VALUE"""),43437.0)</f>
        <v>43437</v>
      </c>
      <c r="K2178" s="133"/>
      <c r="L2178" s="133"/>
      <c r="M2178" s="133">
        <f>IFERROR(__xludf.DUMMYFUNCTION("""COMPUTED_VALUE"""),29.0)</f>
        <v>29</v>
      </c>
      <c r="N2178" s="152" t="str">
        <f>IFERROR(__xludf.DUMMYFUNCTION("""COMPUTED_VALUE"""),"Model 3 LR AWD")</f>
        <v>Model 3 LR AWD</v>
      </c>
      <c r="O2178" s="152" t="str">
        <f>IFERROR(__xludf.DUMMYFUNCTION("""COMPUTED_VALUE"""),"Midnight Silver Metallic")</f>
        <v>Midnight Silver Metallic</v>
      </c>
      <c r="P2178" s="153" t="str">
        <f>IFERROR(__xludf.DUMMYFUNCTION("""COMPUTED_VALUE"""),"18 inch Aero")</f>
        <v>18 inch Aero</v>
      </c>
      <c r="Q2178" s="152" t="str">
        <f>IFERROR(__xludf.DUMMYFUNCTION("""COMPUTED_VALUE"""),"Black seats")</f>
        <v>Black seats</v>
      </c>
      <c r="R2178" s="149" t="str">
        <f>IFERROR(__xludf.DUMMYFUNCTION("""COMPUTED_VALUE"""),"Enhanced Autopilot")</f>
        <v>Enhanced Autopilot</v>
      </c>
      <c r="S2178" s="149"/>
      <c r="T2178" s="145"/>
      <c r="U2178" s="145"/>
      <c r="V2178" s="145"/>
      <c r="W2178" s="145"/>
      <c r="X2178" s="137" t="str">
        <f>IFERROR(__xludf.DUMMYFUNCTION("""COMPUTED_VALUE"""),"Very Good")</f>
        <v>Very Good</v>
      </c>
      <c r="Y2178" s="138" t="str">
        <f>IFERROR(__xludf.DUMMYFUNCTION("""COMPUTED_VALUE"""),"Excellent")</f>
        <v>Excellent</v>
      </c>
      <c r="Z2178" s="138" t="str">
        <f>IFERROR(__xludf.DUMMYFUNCTION("""COMPUTED_VALUE"""),"Excellent")</f>
        <v>Excellent</v>
      </c>
      <c r="AA2178" s="138" t="str">
        <f>IFERROR(__xludf.DUMMYFUNCTION("""COMPUTED_VALUE"""),"Very Good")</f>
        <v>Very Good</v>
      </c>
      <c r="AB2178" s="138" t="str">
        <f>IFERROR(__xludf.DUMMYFUNCTION("""COMPUTED_VALUE"""),"Very Good")</f>
        <v>Very Good</v>
      </c>
      <c r="AC2178" s="139"/>
      <c r="AD2178" s="139"/>
      <c r="AE2178" s="139"/>
      <c r="AF2178" s="140"/>
      <c r="AG2178" s="145"/>
      <c r="AH2178" s="157">
        <f>IFERROR(__xludf.DUMMYFUNCTION("""COMPUTED_VALUE"""),43438.890382060184)</f>
        <v>43438.89038</v>
      </c>
      <c r="AI2178" s="138"/>
      <c r="AJ2178" s="138"/>
      <c r="AK2178" s="138"/>
      <c r="AL2178" s="142"/>
    </row>
    <row r="2179" ht="20.25" customHeight="1">
      <c r="A2179" s="155" t="str">
        <f>IFERROR(__xludf.DUMMYFUNCTION("""COMPUTED_VALUE"""),"JLiken297")</f>
        <v>JLiken297</v>
      </c>
      <c r="B2179" s="149" t="str">
        <f>IFERROR(__xludf.DUMMYFUNCTION("""COMPUTED_VALUE"""),"San Diego")</f>
        <v>San Diego</v>
      </c>
      <c r="C2179" s="149" t="str">
        <f>IFERROR(__xludf.DUMMYFUNCTION("""COMPUTED_VALUE"""),"CA")</f>
        <v>CA</v>
      </c>
      <c r="D2179" s="149" t="str">
        <f>IFERROR(__xludf.DUMMYFUNCTION("""COMPUTED_VALUE"""),"USA")</f>
        <v>USA</v>
      </c>
      <c r="E2179" s="156">
        <f>IFERROR(__xludf.DUMMYFUNCTION("""COMPUTED_VALUE"""),43408.0)</f>
        <v>43408</v>
      </c>
      <c r="F2179" s="129">
        <f>IFERROR(__xludf.DUMMYFUNCTION("""COMPUTED_VALUE"""),43447.0)</f>
        <v>43447</v>
      </c>
      <c r="G2179" s="154"/>
      <c r="H2179" s="131">
        <f>IFERROR(__xludf.DUMMYFUNCTION("""COMPUTED_VALUE"""),169755.0)</f>
        <v>169755</v>
      </c>
      <c r="I2179" s="144" t="str">
        <f>IFERROR(__xludf.DUMMYFUNCTION("""COMPUTED_VALUE"""),"12/18")</f>
        <v>12/18</v>
      </c>
      <c r="J2179" s="129">
        <f>IFERROR(__xludf.DUMMYFUNCTION("""COMPUTED_VALUE"""),43449.0)</f>
        <v>43449</v>
      </c>
      <c r="K2179" s="133">
        <f>IFERROR(__xludf.DUMMYFUNCTION("""COMPUTED_VALUE"""),39.0)</f>
        <v>39</v>
      </c>
      <c r="L2179" s="133">
        <f>IFERROR(__xludf.DUMMYFUNCTION("""COMPUTED_VALUE"""),2.0)</f>
        <v>2</v>
      </c>
      <c r="M2179" s="133">
        <f>IFERROR(__xludf.DUMMYFUNCTION("""COMPUTED_VALUE"""),41.0)</f>
        <v>41</v>
      </c>
      <c r="N2179" s="152" t="str">
        <f>IFERROR(__xludf.DUMMYFUNCTION("""COMPUTED_VALUE"""),"Model 3 MR")</f>
        <v>Model 3 MR</v>
      </c>
      <c r="O2179" s="152" t="str">
        <f>IFERROR(__xludf.DUMMYFUNCTION("""COMPUTED_VALUE"""),"Pearl White Multi-Coat")</f>
        <v>Pearl White Multi-Coat</v>
      </c>
      <c r="P2179" s="153" t="str">
        <f>IFERROR(__xludf.DUMMYFUNCTION("""COMPUTED_VALUE"""),"19 inch Sport")</f>
        <v>19 inch Sport</v>
      </c>
      <c r="Q2179" s="152" t="str">
        <f>IFERROR(__xludf.DUMMYFUNCTION("""COMPUTED_VALUE"""),"White seats")</f>
        <v>White seats</v>
      </c>
      <c r="R2179" s="149" t="str">
        <f>IFERROR(__xludf.DUMMYFUNCTION("""COMPUTED_VALUE"""),"None")</f>
        <v>None</v>
      </c>
      <c r="S2179" s="149"/>
      <c r="T2179" s="145"/>
      <c r="U2179" s="145"/>
      <c r="V2179" s="145"/>
      <c r="W2179" s="145"/>
      <c r="X2179" s="137" t="str">
        <f>IFERROR(__xludf.DUMMYFUNCTION("""COMPUTED_VALUE"""),"Excellent")</f>
        <v>Excellent</v>
      </c>
      <c r="Y2179" s="138" t="str">
        <f>IFERROR(__xludf.DUMMYFUNCTION("""COMPUTED_VALUE"""),"Excellent")</f>
        <v>Excellent</v>
      </c>
      <c r="Z2179" s="138" t="str">
        <f>IFERROR(__xludf.DUMMYFUNCTION("""COMPUTED_VALUE"""),"Excellent")</f>
        <v>Excellent</v>
      </c>
      <c r="AA2179" s="138" t="str">
        <f>IFERROR(__xludf.DUMMYFUNCTION("""COMPUTED_VALUE"""),"Excellent")</f>
        <v>Excellent</v>
      </c>
      <c r="AB2179" s="138" t="str">
        <f>IFERROR(__xludf.DUMMYFUNCTION("""COMPUTED_VALUE"""),"Excellent")</f>
        <v>Excellent</v>
      </c>
      <c r="AC2179" s="139"/>
      <c r="AD2179" s="139"/>
      <c r="AE2179" s="139"/>
      <c r="AF2179" s="140"/>
      <c r="AG2179" s="145"/>
      <c r="AH2179" s="157">
        <f>IFERROR(__xludf.DUMMYFUNCTION("""COMPUTED_VALUE"""),43457.231009814815)</f>
        <v>43457.23101</v>
      </c>
      <c r="AI2179" s="138"/>
      <c r="AJ2179" s="138"/>
      <c r="AK2179" s="138"/>
      <c r="AL2179" s="142"/>
    </row>
    <row r="2180" ht="20.25" customHeight="1">
      <c r="A2180" s="155" t="str">
        <f>IFERROR(__xludf.DUMMYFUNCTION("""COMPUTED_VALUE"""),"mcdubjr")</f>
        <v>mcdubjr</v>
      </c>
      <c r="B2180" s="149" t="str">
        <f>IFERROR(__xludf.DUMMYFUNCTION("""COMPUTED_VALUE"""),"Ladera Ranch")</f>
        <v>Ladera Ranch</v>
      </c>
      <c r="C2180" s="149" t="str">
        <f>IFERROR(__xludf.DUMMYFUNCTION("""COMPUTED_VALUE"""),"CA")</f>
        <v>CA</v>
      </c>
      <c r="D2180" s="149" t="str">
        <f>IFERROR(__xludf.DUMMYFUNCTION("""COMPUTED_VALUE"""),"USA")</f>
        <v>USA</v>
      </c>
      <c r="E2180" s="156">
        <f>IFERROR(__xludf.DUMMYFUNCTION("""COMPUTED_VALUE"""),43408.0)</f>
        <v>43408</v>
      </c>
      <c r="F2180" s="129">
        <f>IFERROR(__xludf.DUMMYFUNCTION("""COMPUTED_VALUE"""),43417.0)</f>
        <v>43417</v>
      </c>
      <c r="G2180" s="154"/>
      <c r="H2180" s="131">
        <f>IFERROR(__xludf.DUMMYFUNCTION("""COMPUTED_VALUE"""),85955.0)</f>
        <v>85955</v>
      </c>
      <c r="I2180" s="144" t="str">
        <f>IFERROR(__xludf.DUMMYFUNCTION("""COMPUTED_VALUE"""),"11/18")</f>
        <v>11/18</v>
      </c>
      <c r="J2180" s="129">
        <f>IFERROR(__xludf.DUMMYFUNCTION("""COMPUTED_VALUE"""),43423.0)</f>
        <v>43423</v>
      </c>
      <c r="K2180" s="133">
        <f>IFERROR(__xludf.DUMMYFUNCTION("""COMPUTED_VALUE"""),9.0)</f>
        <v>9</v>
      </c>
      <c r="L2180" s="133">
        <f>IFERROR(__xludf.DUMMYFUNCTION("""COMPUTED_VALUE"""),6.0)</f>
        <v>6</v>
      </c>
      <c r="M2180" s="133">
        <f>IFERROR(__xludf.DUMMYFUNCTION("""COMPUTED_VALUE"""),15.0)</f>
        <v>15</v>
      </c>
      <c r="N2180" s="152" t="str">
        <f>IFERROR(__xludf.DUMMYFUNCTION("""COMPUTED_VALUE"""),"Model 3 LR AWD")</f>
        <v>Model 3 LR AWD</v>
      </c>
      <c r="O2180" s="152" t="str">
        <f>IFERROR(__xludf.DUMMYFUNCTION("""COMPUTED_VALUE"""),"Red Multi-Coat")</f>
        <v>Red Multi-Coat</v>
      </c>
      <c r="P2180" s="153" t="str">
        <f>IFERROR(__xludf.DUMMYFUNCTION("""COMPUTED_VALUE"""),"18 inch Aero")</f>
        <v>18 inch Aero</v>
      </c>
      <c r="Q2180" s="152" t="str">
        <f>IFERROR(__xludf.DUMMYFUNCTION("""COMPUTED_VALUE"""),"White seats")</f>
        <v>White seats</v>
      </c>
      <c r="R2180" s="149" t="str">
        <f>IFERROR(__xludf.DUMMYFUNCTION("""COMPUTED_VALUE"""),"Enhanced Autopilot")</f>
        <v>Enhanced Autopilot</v>
      </c>
      <c r="S2180" s="149"/>
      <c r="T2180" s="145"/>
      <c r="U2180" s="145"/>
      <c r="V2180" s="145"/>
      <c r="W2180" s="145"/>
      <c r="X2180" s="137" t="str">
        <f>IFERROR(__xludf.DUMMYFUNCTION("""COMPUTED_VALUE"""),"Good")</f>
        <v>Good</v>
      </c>
      <c r="Y2180" s="138" t="str">
        <f>IFERROR(__xludf.DUMMYFUNCTION("""COMPUTED_VALUE"""),"Very Good")</f>
        <v>Very Good</v>
      </c>
      <c r="Z2180" s="138" t="str">
        <f>IFERROR(__xludf.DUMMYFUNCTION("""COMPUTED_VALUE"""),"Very Good")</f>
        <v>Very Good</v>
      </c>
      <c r="AA2180" s="138" t="str">
        <f>IFERROR(__xludf.DUMMYFUNCTION("""COMPUTED_VALUE"""),"Very Good")</f>
        <v>Very Good</v>
      </c>
      <c r="AB2180" s="138" t="str">
        <f>IFERROR(__xludf.DUMMYFUNCTION("""COMPUTED_VALUE"""),"Good")</f>
        <v>Good</v>
      </c>
      <c r="AC2180" s="139"/>
      <c r="AD2180" s="139"/>
      <c r="AE2180" s="139"/>
      <c r="AF2180" s="140"/>
      <c r="AG2180" s="145"/>
      <c r="AH2180" s="157">
        <f>IFERROR(__xludf.DUMMYFUNCTION("""COMPUTED_VALUE"""),43424.87820498843)</f>
        <v>43424.8782</v>
      </c>
      <c r="AI2180" s="138"/>
      <c r="AJ2180" s="138"/>
      <c r="AK2180" s="138"/>
      <c r="AL2180" s="142"/>
    </row>
    <row r="2181" ht="20.25" customHeight="1">
      <c r="A2181" s="155" t="str">
        <f>IFERROR(__xludf.DUMMYFUNCTION("""COMPUTED_VALUE"""),"Pandalord626")</f>
        <v>Pandalord626</v>
      </c>
      <c r="B2181" s="149" t="str">
        <f>IFERROR(__xludf.DUMMYFUNCTION("""COMPUTED_VALUE"""),"Seattle")</f>
        <v>Seattle</v>
      </c>
      <c r="C2181" s="149" t="str">
        <f>IFERROR(__xludf.DUMMYFUNCTION("""COMPUTED_VALUE"""),"WA")</f>
        <v>WA</v>
      </c>
      <c r="D2181" s="149" t="str">
        <f>IFERROR(__xludf.DUMMYFUNCTION("""COMPUTED_VALUE"""),"USA")</f>
        <v>USA</v>
      </c>
      <c r="E2181" s="156">
        <f>IFERROR(__xludf.DUMMYFUNCTION("""COMPUTED_VALUE"""),43408.0)</f>
        <v>43408</v>
      </c>
      <c r="F2181" s="129">
        <f>IFERROR(__xludf.DUMMYFUNCTION("""COMPUTED_VALUE"""),43416.0)</f>
        <v>43416</v>
      </c>
      <c r="G2181" s="154"/>
      <c r="H2181" s="131">
        <f>IFERROR(__xludf.DUMMYFUNCTION("""COMPUTED_VALUE"""),149176.0)</f>
        <v>149176</v>
      </c>
      <c r="I2181" s="144" t="str">
        <f>IFERROR(__xludf.DUMMYFUNCTION("""COMPUTED_VALUE"""),"11/18")</f>
        <v>11/18</v>
      </c>
      <c r="J2181" s="129">
        <f>IFERROR(__xludf.DUMMYFUNCTION("""COMPUTED_VALUE"""),43424.0)</f>
        <v>43424</v>
      </c>
      <c r="K2181" s="133">
        <f>IFERROR(__xludf.DUMMYFUNCTION("""COMPUTED_VALUE"""),8.0)</f>
        <v>8</v>
      </c>
      <c r="L2181" s="133">
        <f>IFERROR(__xludf.DUMMYFUNCTION("""COMPUTED_VALUE"""),8.0)</f>
        <v>8</v>
      </c>
      <c r="M2181" s="133">
        <f>IFERROR(__xludf.DUMMYFUNCTION("""COMPUTED_VALUE"""),16.0)</f>
        <v>16</v>
      </c>
      <c r="N2181" s="152" t="str">
        <f>IFERROR(__xludf.DUMMYFUNCTION("""COMPUTED_VALUE"""),"Model 3 LR AWD")</f>
        <v>Model 3 LR AWD</v>
      </c>
      <c r="O2181" s="152" t="str">
        <f>IFERROR(__xludf.DUMMYFUNCTION("""COMPUTED_VALUE"""),"Solid Black")</f>
        <v>Solid Black</v>
      </c>
      <c r="P2181" s="153" t="str">
        <f>IFERROR(__xludf.DUMMYFUNCTION("""COMPUTED_VALUE"""),"19 inch Sport")</f>
        <v>19 inch Sport</v>
      </c>
      <c r="Q2181" s="152" t="str">
        <f>IFERROR(__xludf.DUMMYFUNCTION("""COMPUTED_VALUE"""),"Black seats")</f>
        <v>Black seats</v>
      </c>
      <c r="R2181" s="149" t="str">
        <f>IFERROR(__xludf.DUMMYFUNCTION("""COMPUTED_VALUE"""),"Enhanced Autopilot")</f>
        <v>Enhanced Autopilot</v>
      </c>
      <c r="S2181" s="149"/>
      <c r="T2181" s="145"/>
      <c r="U2181" s="145"/>
      <c r="V2181" s="145"/>
      <c r="W2181" s="145"/>
      <c r="X2181" s="137" t="str">
        <f>IFERROR(__xludf.DUMMYFUNCTION("""COMPUTED_VALUE"""),"Excellent")</f>
        <v>Excellent</v>
      </c>
      <c r="Y2181" s="138" t="str">
        <f>IFERROR(__xludf.DUMMYFUNCTION("""COMPUTED_VALUE"""),"Excellent")</f>
        <v>Excellent</v>
      </c>
      <c r="Z2181" s="138" t="str">
        <f>IFERROR(__xludf.DUMMYFUNCTION("""COMPUTED_VALUE"""),"Good")</f>
        <v>Good</v>
      </c>
      <c r="AA2181" s="138" t="str">
        <f>IFERROR(__xludf.DUMMYFUNCTION("""COMPUTED_VALUE"""),"Very Good")</f>
        <v>Very Good</v>
      </c>
      <c r="AB2181" s="138" t="str">
        <f>IFERROR(__xludf.DUMMYFUNCTION("""COMPUTED_VALUE"""),"Good")</f>
        <v>Good</v>
      </c>
      <c r="AC2181" s="139">
        <f>IFERROR(__xludf.DUMMYFUNCTION("""COMPUTED_VALUE"""),2.0)</f>
        <v>2</v>
      </c>
      <c r="AD2181" s="139">
        <f>IFERROR(__xludf.DUMMYFUNCTION("""COMPUTED_VALUE"""),1.0)</f>
        <v>1</v>
      </c>
      <c r="AE2181" s="139"/>
      <c r="AF2181" s="140"/>
      <c r="AG2181" s="145" t="str">
        <f>IFERROR(__xludf.DUMMYFUNCTION("""COMPUTED_VALUE"""),"original tesla direct scheduled 27th but called service center showing car arrived already and reschedule to 20th ")</f>
        <v>original tesla direct scheduled 27th but called service center showing car arrived already and reschedule to 20th </v>
      </c>
      <c r="AH2181" s="157">
        <f>IFERROR(__xludf.DUMMYFUNCTION("""COMPUTED_VALUE"""),43430.38095614583)</f>
        <v>43430.38096</v>
      </c>
      <c r="AI2181" s="138"/>
      <c r="AJ2181" s="138"/>
      <c r="AK2181" s="138"/>
      <c r="AL2181" s="142"/>
    </row>
    <row r="2182" ht="20.25" customHeight="1">
      <c r="A2182" s="155" t="str">
        <f>IFERROR(__xludf.DUMMYFUNCTION("""COMPUTED_VALUE"""),"TXmehe")</f>
        <v>TXmehe</v>
      </c>
      <c r="B2182" s="149" t="str">
        <f>IFERROR(__xludf.DUMMYFUNCTION("""COMPUTED_VALUE"""),"Austin")</f>
        <v>Austin</v>
      </c>
      <c r="C2182" s="149" t="str">
        <f>IFERROR(__xludf.DUMMYFUNCTION("""COMPUTED_VALUE"""),"TX")</f>
        <v>TX</v>
      </c>
      <c r="D2182" s="149" t="str">
        <f>IFERROR(__xludf.DUMMYFUNCTION("""COMPUTED_VALUE"""),"USA")</f>
        <v>USA</v>
      </c>
      <c r="E2182" s="156">
        <f>IFERROR(__xludf.DUMMYFUNCTION("""COMPUTED_VALUE"""),43408.0)</f>
        <v>43408</v>
      </c>
      <c r="F2182" s="129">
        <f>IFERROR(__xludf.DUMMYFUNCTION("""COMPUTED_VALUE"""),43414.0)</f>
        <v>43414</v>
      </c>
      <c r="G2182" s="154"/>
      <c r="H2182" s="131">
        <f>IFERROR(__xludf.DUMMYFUNCTION("""COMPUTED_VALUE"""),115355.0)</f>
        <v>115355</v>
      </c>
      <c r="I2182" s="144" t="str">
        <f>IFERROR(__xludf.DUMMYFUNCTION("""COMPUTED_VALUE"""),"11/18")</f>
        <v>11/18</v>
      </c>
      <c r="J2182" s="129">
        <f>IFERROR(__xludf.DUMMYFUNCTION("""COMPUTED_VALUE"""),43435.0)</f>
        <v>43435</v>
      </c>
      <c r="K2182" s="133">
        <f>IFERROR(__xludf.DUMMYFUNCTION("""COMPUTED_VALUE"""),6.0)</f>
        <v>6</v>
      </c>
      <c r="L2182" s="133">
        <f>IFERROR(__xludf.DUMMYFUNCTION("""COMPUTED_VALUE"""),21.0)</f>
        <v>21</v>
      </c>
      <c r="M2182" s="133">
        <f>IFERROR(__xludf.DUMMYFUNCTION("""COMPUTED_VALUE"""),27.0)</f>
        <v>27</v>
      </c>
      <c r="N2182" s="152" t="str">
        <f>IFERROR(__xludf.DUMMYFUNCTION("""COMPUTED_VALUE"""),"Model 3 LR AWD")</f>
        <v>Model 3 LR AWD</v>
      </c>
      <c r="O2182" s="152" t="str">
        <f>IFERROR(__xludf.DUMMYFUNCTION("""COMPUTED_VALUE"""),"Deep Blue Metallic")</f>
        <v>Deep Blue Metallic</v>
      </c>
      <c r="P2182" s="153" t="str">
        <f>IFERROR(__xludf.DUMMYFUNCTION("""COMPUTED_VALUE"""),"18 inch Aero")</f>
        <v>18 inch Aero</v>
      </c>
      <c r="Q2182" s="152" t="str">
        <f>IFERROR(__xludf.DUMMYFUNCTION("""COMPUTED_VALUE"""),"Black seats")</f>
        <v>Black seats</v>
      </c>
      <c r="R2182" s="149" t="str">
        <f>IFERROR(__xludf.DUMMYFUNCTION("""COMPUTED_VALUE"""),"Enhanced Autopilot")</f>
        <v>Enhanced Autopilot</v>
      </c>
      <c r="S2182" s="149"/>
      <c r="T2182" s="145"/>
      <c r="U2182" s="145"/>
      <c r="V2182" s="145"/>
      <c r="W2182" s="145"/>
      <c r="X2182" s="137" t="str">
        <f>IFERROR(__xludf.DUMMYFUNCTION("""COMPUTED_VALUE"""),"Excellent")</f>
        <v>Excellent</v>
      </c>
      <c r="Y2182" s="138" t="str">
        <f>IFERROR(__xludf.DUMMYFUNCTION("""COMPUTED_VALUE"""),"Excellent")</f>
        <v>Excellent</v>
      </c>
      <c r="Z2182" s="138" t="str">
        <f>IFERROR(__xludf.DUMMYFUNCTION("""COMPUTED_VALUE"""),"Good")</f>
        <v>Good</v>
      </c>
      <c r="AA2182" s="138" t="str">
        <f>IFERROR(__xludf.DUMMYFUNCTION("""COMPUTED_VALUE"""),"Fair")</f>
        <v>Fair</v>
      </c>
      <c r="AB2182" s="138" t="str">
        <f>IFERROR(__xludf.DUMMYFUNCTION("""COMPUTED_VALUE"""),"Good")</f>
        <v>Good</v>
      </c>
      <c r="AC2182" s="139">
        <f>IFERROR(__xludf.DUMMYFUNCTION("""COMPUTED_VALUE"""),2.0)</f>
        <v>2</v>
      </c>
      <c r="AD2182" s="139"/>
      <c r="AE2182" s="139"/>
      <c r="AF2182" s="140"/>
      <c r="AG2182" s="145"/>
      <c r="AH2182" s="157">
        <f>IFERROR(__xludf.DUMMYFUNCTION("""COMPUTED_VALUE"""),43435.60975363426)</f>
        <v>43435.60975</v>
      </c>
      <c r="AI2182" s="138"/>
      <c r="AJ2182" s="138"/>
      <c r="AK2182" s="138"/>
      <c r="AL2182" s="142"/>
    </row>
    <row r="2183" ht="20.25" customHeight="1">
      <c r="A2183" s="155" t="str">
        <f>IFERROR(__xludf.DUMMYFUNCTION("""COMPUTED_VALUE"""),"Dgump")</f>
        <v>Dgump</v>
      </c>
      <c r="B2183" s="149" t="str">
        <f>IFERROR(__xludf.DUMMYFUNCTION("""COMPUTED_VALUE"""),"Los Angeles")</f>
        <v>Los Angeles</v>
      </c>
      <c r="C2183" s="149" t="str">
        <f>IFERROR(__xludf.DUMMYFUNCTION("""COMPUTED_VALUE"""),"CA")</f>
        <v>CA</v>
      </c>
      <c r="D2183" s="149" t="str">
        <f>IFERROR(__xludf.DUMMYFUNCTION("""COMPUTED_VALUE"""),"USA")</f>
        <v>USA</v>
      </c>
      <c r="E2183" s="156">
        <f>IFERROR(__xludf.DUMMYFUNCTION("""COMPUTED_VALUE"""),43407.0)</f>
        <v>43407</v>
      </c>
      <c r="F2183" s="129">
        <f>IFERROR(__xludf.DUMMYFUNCTION("""COMPUTED_VALUE"""),43450.0)</f>
        <v>43450</v>
      </c>
      <c r="G2183" s="154"/>
      <c r="H2183" s="131">
        <f>IFERROR(__xludf.DUMMYFUNCTION("""COMPUTED_VALUE"""),171555.0)</f>
        <v>171555</v>
      </c>
      <c r="I2183" s="144" t="str">
        <f>IFERROR(__xludf.DUMMYFUNCTION("""COMPUTED_VALUE"""),"12/18")</f>
        <v>12/18</v>
      </c>
      <c r="J2183" s="129">
        <f>IFERROR(__xludf.DUMMYFUNCTION("""COMPUTED_VALUE"""),43453.0)</f>
        <v>43453</v>
      </c>
      <c r="K2183" s="133">
        <f>IFERROR(__xludf.DUMMYFUNCTION("""COMPUTED_VALUE"""),43.0)</f>
        <v>43</v>
      </c>
      <c r="L2183" s="133">
        <f>IFERROR(__xludf.DUMMYFUNCTION("""COMPUTED_VALUE"""),3.0)</f>
        <v>3</v>
      </c>
      <c r="M2183" s="133">
        <f>IFERROR(__xludf.DUMMYFUNCTION("""COMPUTED_VALUE"""),46.0)</f>
        <v>46</v>
      </c>
      <c r="N2183" s="152" t="str">
        <f>IFERROR(__xludf.DUMMYFUNCTION("""COMPUTED_VALUE"""),"Model 3 MR")</f>
        <v>Model 3 MR</v>
      </c>
      <c r="O2183" s="152" t="str">
        <f>IFERROR(__xludf.DUMMYFUNCTION("""COMPUTED_VALUE"""),"Solid Black")</f>
        <v>Solid Black</v>
      </c>
      <c r="P2183" s="153" t="str">
        <f>IFERROR(__xludf.DUMMYFUNCTION("""COMPUTED_VALUE"""),"18 inch Aero")</f>
        <v>18 inch Aero</v>
      </c>
      <c r="Q2183" s="152" t="str">
        <f>IFERROR(__xludf.DUMMYFUNCTION("""COMPUTED_VALUE"""),"Black seats")</f>
        <v>Black seats</v>
      </c>
      <c r="R2183" s="149" t="str">
        <f>IFERROR(__xludf.DUMMYFUNCTION("""COMPUTED_VALUE"""),"Enhanced Autopilot")</f>
        <v>Enhanced Autopilot</v>
      </c>
      <c r="S2183" s="149"/>
      <c r="T2183" s="145"/>
      <c r="U2183" s="145"/>
      <c r="V2183" s="145"/>
      <c r="W2183" s="145"/>
      <c r="X2183" s="137" t="str">
        <f>IFERROR(__xludf.DUMMYFUNCTION("""COMPUTED_VALUE"""),"Excellent")</f>
        <v>Excellent</v>
      </c>
      <c r="Y2183" s="138" t="str">
        <f>IFERROR(__xludf.DUMMYFUNCTION("""COMPUTED_VALUE"""),"Excellent")</f>
        <v>Excellent</v>
      </c>
      <c r="Z2183" s="138" t="str">
        <f>IFERROR(__xludf.DUMMYFUNCTION("""COMPUTED_VALUE"""),"Excellent")</f>
        <v>Excellent</v>
      </c>
      <c r="AA2183" s="138" t="str">
        <f>IFERROR(__xludf.DUMMYFUNCTION("""COMPUTED_VALUE"""),"Very Good")</f>
        <v>Very Good</v>
      </c>
      <c r="AB2183" s="138" t="str">
        <f>IFERROR(__xludf.DUMMYFUNCTION("""COMPUTED_VALUE"""),"Very Good")</f>
        <v>Very Good</v>
      </c>
      <c r="AC2183" s="139"/>
      <c r="AD2183" s="139"/>
      <c r="AE2183" s="139"/>
      <c r="AF2183" s="140"/>
      <c r="AG2183" s="145" t="str">
        <f>IFERROR(__xludf.DUMMYFUNCTION("""COMPUTED_VALUE"""),"delivery window scheduled 12/12-12/24")</f>
        <v>delivery window scheduled 12/12-12/24</v>
      </c>
      <c r="AH2183" s="157">
        <f>IFERROR(__xludf.DUMMYFUNCTION("""COMPUTED_VALUE"""),43454.043443877315)</f>
        <v>43454.04344</v>
      </c>
      <c r="AI2183" s="138"/>
      <c r="AJ2183" s="138"/>
      <c r="AK2183" s="138"/>
      <c r="AL2183" s="142"/>
    </row>
    <row r="2184" ht="20.25" customHeight="1">
      <c r="A2184" s="155" t="str">
        <f>IFERROR(__xludf.DUMMYFUNCTION("""COMPUTED_VALUE"""),"idnarbjm")</f>
        <v>idnarbjm</v>
      </c>
      <c r="B2184" s="149" t="str">
        <f>IFERROR(__xludf.DUMMYFUNCTION("""COMPUTED_VALUE"""),"Rockton")</f>
        <v>Rockton</v>
      </c>
      <c r="C2184" s="149" t="str">
        <f>IFERROR(__xludf.DUMMYFUNCTION("""COMPUTED_VALUE"""),"IL")</f>
        <v>IL</v>
      </c>
      <c r="D2184" s="149" t="str">
        <f>IFERROR(__xludf.DUMMYFUNCTION("""COMPUTED_VALUE"""),"USA")</f>
        <v>USA</v>
      </c>
      <c r="E2184" s="156">
        <f>IFERROR(__xludf.DUMMYFUNCTION("""COMPUTED_VALUE"""),43407.0)</f>
        <v>43407</v>
      </c>
      <c r="F2184" s="129">
        <f>IFERROR(__xludf.DUMMYFUNCTION("""COMPUTED_VALUE"""),43424.0)</f>
        <v>43424</v>
      </c>
      <c r="G2184" s="154"/>
      <c r="H2184" s="131">
        <f>IFERROR(__xludf.DUMMYFUNCTION("""COMPUTED_VALUE"""),20074.0)</f>
        <v>20074</v>
      </c>
      <c r="I2184" s="144"/>
      <c r="J2184" s="129">
        <f>IFERROR(__xludf.DUMMYFUNCTION("""COMPUTED_VALUE"""),43434.0)</f>
        <v>43434</v>
      </c>
      <c r="K2184" s="133">
        <f>IFERROR(__xludf.DUMMYFUNCTION("""COMPUTED_VALUE"""),17.0)</f>
        <v>17</v>
      </c>
      <c r="L2184" s="133">
        <f>IFERROR(__xludf.DUMMYFUNCTION("""COMPUTED_VALUE"""),10.0)</f>
        <v>10</v>
      </c>
      <c r="M2184" s="133">
        <f>IFERROR(__xludf.DUMMYFUNCTION("""COMPUTED_VALUE"""),27.0)</f>
        <v>27</v>
      </c>
      <c r="N2184" s="152" t="str">
        <f>IFERROR(__xludf.DUMMYFUNCTION("""COMPUTED_VALUE"""),"Model 3 LR AWD")</f>
        <v>Model 3 LR AWD</v>
      </c>
      <c r="O2184" s="152" t="str">
        <f>IFERROR(__xludf.DUMMYFUNCTION("""COMPUTED_VALUE"""),"Red Multi-Coat")</f>
        <v>Red Multi-Coat</v>
      </c>
      <c r="P2184" s="153" t="str">
        <f>IFERROR(__xludf.DUMMYFUNCTION("""COMPUTED_VALUE"""),"18 inch Aero")</f>
        <v>18 inch Aero</v>
      </c>
      <c r="Q2184" s="152" t="str">
        <f>IFERROR(__xludf.DUMMYFUNCTION("""COMPUTED_VALUE"""),"Black seats")</f>
        <v>Black seats</v>
      </c>
      <c r="R2184" s="149" t="str">
        <f>IFERROR(__xludf.DUMMYFUNCTION("""COMPUTED_VALUE"""),"Enhanced Autopilot")</f>
        <v>Enhanced Autopilot</v>
      </c>
      <c r="S2184" s="149"/>
      <c r="T2184" s="145"/>
      <c r="U2184" s="145"/>
      <c r="V2184" s="145"/>
      <c r="W2184" s="145"/>
      <c r="X2184" s="137" t="str">
        <f>IFERROR(__xludf.DUMMYFUNCTION("""COMPUTED_VALUE"""),"Excellent")</f>
        <v>Excellent</v>
      </c>
      <c r="Y2184" s="138" t="str">
        <f>IFERROR(__xludf.DUMMYFUNCTION("""COMPUTED_VALUE"""),"Excellent")</f>
        <v>Excellent</v>
      </c>
      <c r="Z2184" s="138" t="str">
        <f>IFERROR(__xludf.DUMMYFUNCTION("""COMPUTED_VALUE"""),"Excellent")</f>
        <v>Excellent</v>
      </c>
      <c r="AA2184" s="138" t="str">
        <f>IFERROR(__xludf.DUMMYFUNCTION("""COMPUTED_VALUE"""),"Poor")</f>
        <v>Poor</v>
      </c>
      <c r="AB2184" s="138" t="str">
        <f>IFERROR(__xludf.DUMMYFUNCTION("""COMPUTED_VALUE"""),"Good")</f>
        <v>Good</v>
      </c>
      <c r="AC2184" s="139"/>
      <c r="AD2184" s="139"/>
      <c r="AE2184" s="139"/>
      <c r="AF2184" s="140"/>
      <c r="AG2184" s="145"/>
      <c r="AH2184" s="157">
        <f>IFERROR(__xludf.DUMMYFUNCTION("""COMPUTED_VALUE"""),43431.84526934027)</f>
        <v>43431.84527</v>
      </c>
      <c r="AI2184" s="138"/>
      <c r="AJ2184" s="138"/>
      <c r="AK2184" s="138"/>
      <c r="AL2184" s="142"/>
    </row>
    <row r="2185" ht="20.25" customHeight="1">
      <c r="A2185" s="155" t="str">
        <f>IFERROR(__xludf.DUMMYFUNCTION("""COMPUTED_VALUE"""),"JeffH")</f>
        <v>JeffH</v>
      </c>
      <c r="B2185" s="149" t="str">
        <f>IFERROR(__xludf.DUMMYFUNCTION("""COMPUTED_VALUE"""),"Bellevue")</f>
        <v>Bellevue</v>
      </c>
      <c r="C2185" s="149" t="str">
        <f>IFERROR(__xludf.DUMMYFUNCTION("""COMPUTED_VALUE"""),"WA")</f>
        <v>WA</v>
      </c>
      <c r="D2185" s="149" t="str">
        <f>IFERROR(__xludf.DUMMYFUNCTION("""COMPUTED_VALUE"""),"USA")</f>
        <v>USA</v>
      </c>
      <c r="E2185" s="156">
        <f>IFERROR(__xludf.DUMMYFUNCTION("""COMPUTED_VALUE"""),43407.0)</f>
        <v>43407</v>
      </c>
      <c r="F2185" s="129">
        <f>IFERROR(__xludf.DUMMYFUNCTION("""COMPUTED_VALUE"""),43437.0)</f>
        <v>43437</v>
      </c>
      <c r="G2185" s="154"/>
      <c r="H2185" s="131">
        <f>IFERROR(__xludf.DUMMYFUNCTION("""COMPUTED_VALUE"""),80895.0)</f>
        <v>80895</v>
      </c>
      <c r="I2185" s="144" t="str">
        <f>IFERROR(__xludf.DUMMYFUNCTION("""COMPUTED_VALUE"""),"11/18")</f>
        <v>11/18</v>
      </c>
      <c r="J2185" s="129">
        <f>IFERROR(__xludf.DUMMYFUNCTION("""COMPUTED_VALUE"""),43445.0)</f>
        <v>43445</v>
      </c>
      <c r="K2185" s="133">
        <f>IFERROR(__xludf.DUMMYFUNCTION("""COMPUTED_VALUE"""),30.0)</f>
        <v>30</v>
      </c>
      <c r="L2185" s="133">
        <f>IFERROR(__xludf.DUMMYFUNCTION("""COMPUTED_VALUE"""),8.0)</f>
        <v>8</v>
      </c>
      <c r="M2185" s="133">
        <f>IFERROR(__xludf.DUMMYFUNCTION("""COMPUTED_VALUE"""),38.0)</f>
        <v>38</v>
      </c>
      <c r="N2185" s="152" t="str">
        <f>IFERROR(__xludf.DUMMYFUNCTION("""COMPUTED_VALUE"""),"Model 3 Performance")</f>
        <v>Model 3 Performance</v>
      </c>
      <c r="O2185" s="152" t="str">
        <f>IFERROR(__xludf.DUMMYFUNCTION("""COMPUTED_VALUE"""),"Deep Blue Metallic")</f>
        <v>Deep Blue Metallic</v>
      </c>
      <c r="P2185" s="153" t="str">
        <f>IFERROR(__xludf.DUMMYFUNCTION("""COMPUTED_VALUE"""),"20 inch Sport")</f>
        <v>20 inch Sport</v>
      </c>
      <c r="Q2185" s="152" t="str">
        <f>IFERROR(__xludf.DUMMYFUNCTION("""COMPUTED_VALUE"""),"White seats")</f>
        <v>White seats</v>
      </c>
      <c r="R2185" s="149" t="str">
        <f>IFERROR(__xludf.DUMMYFUNCTION("""COMPUTED_VALUE"""),"Full Self-Driving")</f>
        <v>Full Self-Driving</v>
      </c>
      <c r="S2185" s="149"/>
      <c r="T2185" s="145"/>
      <c r="U2185" s="145"/>
      <c r="V2185" s="145"/>
      <c r="W2185" s="145"/>
      <c r="X2185" s="137" t="str">
        <f>IFERROR(__xludf.DUMMYFUNCTION("""COMPUTED_VALUE"""),"Very Good")</f>
        <v>Very Good</v>
      </c>
      <c r="Y2185" s="138" t="str">
        <f>IFERROR(__xludf.DUMMYFUNCTION("""COMPUTED_VALUE"""),"Very Good")</f>
        <v>Very Good</v>
      </c>
      <c r="Z2185" s="138" t="str">
        <f>IFERROR(__xludf.DUMMYFUNCTION("""COMPUTED_VALUE"""),"Fair")</f>
        <v>Fair</v>
      </c>
      <c r="AA2185" s="138" t="str">
        <f>IFERROR(__xludf.DUMMYFUNCTION("""COMPUTED_VALUE"""),"Very Good")</f>
        <v>Very Good</v>
      </c>
      <c r="AB2185" s="138" t="str">
        <f>IFERROR(__xludf.DUMMYFUNCTION("""COMPUTED_VALUE"""),"Excellent")</f>
        <v>Excellent</v>
      </c>
      <c r="AC2185" s="139">
        <f>IFERROR(__xludf.DUMMYFUNCTION("""COMPUTED_VALUE"""),1.0)</f>
        <v>1</v>
      </c>
      <c r="AD2185" s="139"/>
      <c r="AE2185" s="139"/>
      <c r="AF2185" s="140"/>
      <c r="AG2185" s="145"/>
      <c r="AH2185" s="157">
        <f>IFERROR(__xludf.DUMMYFUNCTION("""COMPUTED_VALUE"""),43446.99317197917)</f>
        <v>43446.99317</v>
      </c>
      <c r="AI2185" s="138"/>
      <c r="AJ2185" s="138"/>
      <c r="AK2185" s="138"/>
      <c r="AL2185" s="142"/>
    </row>
    <row r="2186" ht="20.25" customHeight="1">
      <c r="A2186" s="155" t="str">
        <f>IFERROR(__xludf.DUMMYFUNCTION("""COMPUTED_VALUE"""),"kwbump")</f>
        <v>kwbump</v>
      </c>
      <c r="B2186" s="149" t="str">
        <f>IFERROR(__xludf.DUMMYFUNCTION("""COMPUTED_VALUE"""),"Nashville")</f>
        <v>Nashville</v>
      </c>
      <c r="C2186" s="149" t="str">
        <f>IFERROR(__xludf.DUMMYFUNCTION("""COMPUTED_VALUE"""),"TN")</f>
        <v>TN</v>
      </c>
      <c r="D2186" s="149" t="str">
        <f>IFERROR(__xludf.DUMMYFUNCTION("""COMPUTED_VALUE"""),"USA")</f>
        <v>USA</v>
      </c>
      <c r="E2186" s="156">
        <f>IFERROR(__xludf.DUMMYFUNCTION("""COMPUTED_VALUE"""),43407.0)</f>
        <v>43407</v>
      </c>
      <c r="F2186" s="129"/>
      <c r="G2186" s="154"/>
      <c r="H2186" s="131">
        <f>IFERROR(__xludf.DUMMYFUNCTION("""COMPUTED_VALUE"""),127952.0)</f>
        <v>127952</v>
      </c>
      <c r="I2186" s="144"/>
      <c r="J2186" s="129">
        <f>IFERROR(__xludf.DUMMYFUNCTION("""COMPUTED_VALUE"""),43432.0)</f>
        <v>43432</v>
      </c>
      <c r="K2186" s="133"/>
      <c r="L2186" s="133"/>
      <c r="M2186" s="133">
        <f>IFERROR(__xludf.DUMMYFUNCTION("""COMPUTED_VALUE"""),25.0)</f>
        <v>25</v>
      </c>
      <c r="N2186" s="152" t="str">
        <f>IFERROR(__xludf.DUMMYFUNCTION("""COMPUTED_VALUE"""),"Model 3 LR AWD")</f>
        <v>Model 3 LR AWD</v>
      </c>
      <c r="O2186" s="152" t="str">
        <f>IFERROR(__xludf.DUMMYFUNCTION("""COMPUTED_VALUE"""),"Solid Black")</f>
        <v>Solid Black</v>
      </c>
      <c r="P2186" s="153" t="str">
        <f>IFERROR(__xludf.DUMMYFUNCTION("""COMPUTED_VALUE"""),"18 inch Aero")</f>
        <v>18 inch Aero</v>
      </c>
      <c r="Q2186" s="152" t="str">
        <f>IFERROR(__xludf.DUMMYFUNCTION("""COMPUTED_VALUE"""),"Black seats")</f>
        <v>Black seats</v>
      </c>
      <c r="R2186" s="149" t="str">
        <f>IFERROR(__xludf.DUMMYFUNCTION("""COMPUTED_VALUE"""),"Enhanced Autopilot")</f>
        <v>Enhanced Autopilot</v>
      </c>
      <c r="S2186" s="149"/>
      <c r="T2186" s="145"/>
      <c r="U2186" s="145"/>
      <c r="V2186" s="145"/>
      <c r="W2186" s="145"/>
      <c r="X2186" s="137" t="str">
        <f>IFERROR(__xludf.DUMMYFUNCTION("""COMPUTED_VALUE"""),"Excellent")</f>
        <v>Excellent</v>
      </c>
      <c r="Y2186" s="138" t="str">
        <f>IFERROR(__xludf.DUMMYFUNCTION("""COMPUTED_VALUE"""),"Excellent")</f>
        <v>Excellent</v>
      </c>
      <c r="Z2186" s="138" t="str">
        <f>IFERROR(__xludf.DUMMYFUNCTION("""COMPUTED_VALUE"""),"Excellent")</f>
        <v>Excellent</v>
      </c>
      <c r="AA2186" s="138" t="str">
        <f>IFERROR(__xludf.DUMMYFUNCTION("""COMPUTED_VALUE"""),"Poor")</f>
        <v>Poor</v>
      </c>
      <c r="AB2186" s="138" t="str">
        <f>IFERROR(__xludf.DUMMYFUNCTION("""COMPUTED_VALUE"""),"Good")</f>
        <v>Good</v>
      </c>
      <c r="AC2186" s="139"/>
      <c r="AD2186" s="139"/>
      <c r="AE2186" s="139"/>
      <c r="AF2186" s="140"/>
      <c r="AG2186" s="145"/>
      <c r="AH2186" s="157">
        <f>IFERROR(__xludf.DUMMYFUNCTION("""COMPUTED_VALUE"""),43437.30840579861)</f>
        <v>43437.30841</v>
      </c>
      <c r="AI2186" s="138"/>
      <c r="AJ2186" s="138"/>
      <c r="AK2186" s="138"/>
      <c r="AL2186" s="142"/>
    </row>
    <row r="2187" ht="20.25" customHeight="1">
      <c r="A2187" s="155" t="str">
        <f>IFERROR(__xludf.DUMMYFUNCTION("""COMPUTED_VALUE"""),"jamsey")</f>
        <v>jamsey</v>
      </c>
      <c r="B2187" s="149" t="str">
        <f>IFERROR(__xludf.DUMMYFUNCTION("""COMPUTED_VALUE"""),"Plano")</f>
        <v>Plano</v>
      </c>
      <c r="C2187" s="149" t="str">
        <f>IFERROR(__xludf.DUMMYFUNCTION("""COMPUTED_VALUE"""),"TX")</f>
        <v>TX</v>
      </c>
      <c r="D2187" s="149" t="str">
        <f>IFERROR(__xludf.DUMMYFUNCTION("""COMPUTED_VALUE"""),"USA")</f>
        <v>USA</v>
      </c>
      <c r="E2187" s="156">
        <f>IFERROR(__xludf.DUMMYFUNCTION("""COMPUTED_VALUE"""),43406.0)</f>
        <v>43406</v>
      </c>
      <c r="F2187" s="129">
        <f>IFERROR(__xludf.DUMMYFUNCTION("""COMPUTED_VALUE"""),43431.0)</f>
        <v>43431</v>
      </c>
      <c r="G2187" s="154"/>
      <c r="H2187" s="131">
        <f>IFERROR(__xludf.DUMMYFUNCTION("""COMPUTED_VALUE"""),80855.0)</f>
        <v>80855</v>
      </c>
      <c r="I2187" s="144" t="str">
        <f>IFERROR(__xludf.DUMMYFUNCTION("""COMPUTED_VALUE"""),"11/18")</f>
        <v>11/18</v>
      </c>
      <c r="J2187" s="129">
        <f>IFERROR(__xludf.DUMMYFUNCTION("""COMPUTED_VALUE"""),43440.0)</f>
        <v>43440</v>
      </c>
      <c r="K2187" s="133">
        <f>IFERROR(__xludf.DUMMYFUNCTION("""COMPUTED_VALUE"""),25.0)</f>
        <v>25</v>
      </c>
      <c r="L2187" s="133">
        <f>IFERROR(__xludf.DUMMYFUNCTION("""COMPUTED_VALUE"""),9.0)</f>
        <v>9</v>
      </c>
      <c r="M2187" s="133">
        <f>IFERROR(__xludf.DUMMYFUNCTION("""COMPUTED_VALUE"""),34.0)</f>
        <v>34</v>
      </c>
      <c r="N2187" s="152" t="str">
        <f>IFERROR(__xludf.DUMMYFUNCTION("""COMPUTED_VALUE"""),"Model 3 Performance")</f>
        <v>Model 3 Performance</v>
      </c>
      <c r="O2187" s="152" t="str">
        <f>IFERROR(__xludf.DUMMYFUNCTION("""COMPUTED_VALUE"""),"Deep Blue Metallic")</f>
        <v>Deep Blue Metallic</v>
      </c>
      <c r="P2187" s="153" t="str">
        <f>IFERROR(__xludf.DUMMYFUNCTION("""COMPUTED_VALUE"""),"20 inch Sport")</f>
        <v>20 inch Sport</v>
      </c>
      <c r="Q2187" s="152" t="str">
        <f>IFERROR(__xludf.DUMMYFUNCTION("""COMPUTED_VALUE"""),"White seats")</f>
        <v>White seats</v>
      </c>
      <c r="R2187" s="149" t="str">
        <f>IFERROR(__xludf.DUMMYFUNCTION("""COMPUTED_VALUE"""),"Enhanced Autopilot")</f>
        <v>Enhanced Autopilot</v>
      </c>
      <c r="S2187" s="149"/>
      <c r="T2187" s="145"/>
      <c r="U2187" s="145"/>
      <c r="V2187" s="145"/>
      <c r="W2187" s="145"/>
      <c r="X2187" s="137" t="str">
        <f>IFERROR(__xludf.DUMMYFUNCTION("""COMPUTED_VALUE"""),"Fair")</f>
        <v>Fair</v>
      </c>
      <c r="Y2187" s="138" t="str">
        <f>IFERROR(__xludf.DUMMYFUNCTION("""COMPUTED_VALUE"""),"Excellent")</f>
        <v>Excellent</v>
      </c>
      <c r="Z2187" s="138" t="str">
        <f>IFERROR(__xludf.DUMMYFUNCTION("""COMPUTED_VALUE"""),"Very Good")</f>
        <v>Very Good</v>
      </c>
      <c r="AA2187" s="138" t="str">
        <f>IFERROR(__xludf.DUMMYFUNCTION("""COMPUTED_VALUE"""),"Fair")</f>
        <v>Fair</v>
      </c>
      <c r="AB2187" s="138" t="str">
        <f>IFERROR(__xludf.DUMMYFUNCTION("""COMPUTED_VALUE"""),"Good")</f>
        <v>Good</v>
      </c>
      <c r="AC2187" s="139">
        <f>IFERROR(__xludf.DUMMYFUNCTION("""COMPUTED_VALUE"""),2.0)</f>
        <v>2</v>
      </c>
      <c r="AD2187" s="139">
        <f>IFERROR(__xludf.DUMMYFUNCTION("""COMPUTED_VALUE"""),1.0)</f>
        <v>1</v>
      </c>
      <c r="AE2187" s="139">
        <f>IFERROR(__xludf.DUMMYFUNCTION("""COMPUTED_VALUE"""),0.0)</f>
        <v>0</v>
      </c>
      <c r="AF2187" s="140"/>
      <c r="AG2187" s="145"/>
      <c r="AH2187" s="157">
        <f>IFERROR(__xludf.DUMMYFUNCTION("""COMPUTED_VALUE"""),43480.64377439815)</f>
        <v>43480.64377</v>
      </c>
      <c r="AI2187" s="138"/>
      <c r="AJ2187" s="138"/>
      <c r="AK2187" s="138"/>
      <c r="AL2187" s="142"/>
    </row>
    <row r="2188" ht="20.25" customHeight="1">
      <c r="A2188" s="155" t="str">
        <f>IFERROR(__xludf.DUMMYFUNCTION("""COMPUTED_VALUE"""),"marstein")</f>
        <v>marstein</v>
      </c>
      <c r="B2188" s="149" t="str">
        <f>IFERROR(__xludf.DUMMYFUNCTION("""COMPUTED_VALUE"""),"san jose")</f>
        <v>san jose</v>
      </c>
      <c r="C2188" s="149" t="str">
        <f>IFERROR(__xludf.DUMMYFUNCTION("""COMPUTED_VALUE"""),"CA")</f>
        <v>CA</v>
      </c>
      <c r="D2188" s="149" t="str">
        <f>IFERROR(__xludf.DUMMYFUNCTION("""COMPUTED_VALUE"""),"USA")</f>
        <v>USA</v>
      </c>
      <c r="E2188" s="156">
        <f>IFERROR(__xludf.DUMMYFUNCTION("""COMPUTED_VALUE"""),43406.0)</f>
        <v>43406</v>
      </c>
      <c r="F2188" s="129">
        <f>IFERROR(__xludf.DUMMYFUNCTION("""COMPUTED_VALUE"""),43415.0)</f>
        <v>43415</v>
      </c>
      <c r="G2188" s="154"/>
      <c r="H2188" s="131">
        <f>IFERROR(__xludf.DUMMYFUNCTION("""COMPUTED_VALUE"""),115425.0)</f>
        <v>115425</v>
      </c>
      <c r="I2188" s="144" t="str">
        <f>IFERROR(__xludf.DUMMYFUNCTION("""COMPUTED_VALUE"""),"11/18")</f>
        <v>11/18</v>
      </c>
      <c r="J2188" s="129">
        <f>IFERROR(__xludf.DUMMYFUNCTION("""COMPUTED_VALUE"""),43420.0)</f>
        <v>43420</v>
      </c>
      <c r="K2188" s="133">
        <f>IFERROR(__xludf.DUMMYFUNCTION("""COMPUTED_VALUE"""),9.0)</f>
        <v>9</v>
      </c>
      <c r="L2188" s="133">
        <f>IFERROR(__xludf.DUMMYFUNCTION("""COMPUTED_VALUE"""),5.0)</f>
        <v>5</v>
      </c>
      <c r="M2188" s="133">
        <f>IFERROR(__xludf.DUMMYFUNCTION("""COMPUTED_VALUE"""),14.0)</f>
        <v>14</v>
      </c>
      <c r="N2188" s="152" t="str">
        <f>IFERROR(__xludf.DUMMYFUNCTION("""COMPUTED_VALUE"""),"Model 3 LR AWD")</f>
        <v>Model 3 LR AWD</v>
      </c>
      <c r="O2188" s="152" t="str">
        <f>IFERROR(__xludf.DUMMYFUNCTION("""COMPUTED_VALUE"""),"Deep Blue Metallic")</f>
        <v>Deep Blue Metallic</v>
      </c>
      <c r="P2188" s="153" t="str">
        <f>IFERROR(__xludf.DUMMYFUNCTION("""COMPUTED_VALUE"""),"18 inch Aero")</f>
        <v>18 inch Aero</v>
      </c>
      <c r="Q2188" s="152" t="str">
        <f>IFERROR(__xludf.DUMMYFUNCTION("""COMPUTED_VALUE"""),"Black seats")</f>
        <v>Black seats</v>
      </c>
      <c r="R2188" s="149" t="str">
        <f>IFERROR(__xludf.DUMMYFUNCTION("""COMPUTED_VALUE"""),"None")</f>
        <v>None</v>
      </c>
      <c r="S2188" s="149"/>
      <c r="T2188" s="145"/>
      <c r="U2188" s="145"/>
      <c r="V2188" s="145"/>
      <c r="W2188" s="145"/>
      <c r="X2188" s="137" t="str">
        <f>IFERROR(__xludf.DUMMYFUNCTION("""COMPUTED_VALUE"""),"Very Good")</f>
        <v>Very Good</v>
      </c>
      <c r="Y2188" s="138" t="str">
        <f>IFERROR(__xludf.DUMMYFUNCTION("""COMPUTED_VALUE"""),"Very Good")</f>
        <v>Very Good</v>
      </c>
      <c r="Z2188" s="138" t="str">
        <f>IFERROR(__xludf.DUMMYFUNCTION("""COMPUTED_VALUE"""),"Very Good")</f>
        <v>Very Good</v>
      </c>
      <c r="AA2188" s="138" t="str">
        <f>IFERROR(__xludf.DUMMYFUNCTION("""COMPUTED_VALUE"""),"Good")</f>
        <v>Good</v>
      </c>
      <c r="AB2188" s="138" t="str">
        <f>IFERROR(__xludf.DUMMYFUNCTION("""COMPUTED_VALUE"""),"Good")</f>
        <v>Good</v>
      </c>
      <c r="AC2188" s="139"/>
      <c r="AD2188" s="139"/>
      <c r="AE2188" s="139"/>
      <c r="AF2188" s="140"/>
      <c r="AG2188" s="145"/>
      <c r="AH2188" s="157">
        <f>IFERROR(__xludf.DUMMYFUNCTION("""COMPUTED_VALUE"""),43422.681268067136)</f>
        <v>43422.68127</v>
      </c>
      <c r="AI2188" s="138"/>
      <c r="AJ2188" s="138"/>
      <c r="AK2188" s="138"/>
      <c r="AL2188" s="142"/>
    </row>
    <row r="2189" ht="20.25" customHeight="1">
      <c r="A2189" s="155" t="str">
        <f>IFERROR(__xludf.DUMMYFUNCTION("""COMPUTED_VALUE"""),"Ak493")</f>
        <v>Ak493</v>
      </c>
      <c r="B2189" s="149" t="str">
        <f>IFERROR(__xludf.DUMMYFUNCTION("""COMPUTED_VALUE"""),"Minneapolis")</f>
        <v>Minneapolis</v>
      </c>
      <c r="C2189" s="149" t="str">
        <f>IFERROR(__xludf.DUMMYFUNCTION("""COMPUTED_VALUE"""),"MN")</f>
        <v>MN</v>
      </c>
      <c r="D2189" s="149" t="str">
        <f>IFERROR(__xludf.DUMMYFUNCTION("""COMPUTED_VALUE"""),"USA")</f>
        <v>USA</v>
      </c>
      <c r="E2189" s="156">
        <f>IFERROR(__xludf.DUMMYFUNCTION("""COMPUTED_VALUE"""),43405.0)</f>
        <v>43405</v>
      </c>
      <c r="F2189" s="129"/>
      <c r="G2189" s="154"/>
      <c r="H2189" s="131">
        <f>IFERROR(__xludf.DUMMYFUNCTION("""COMPUTED_VALUE"""),526055.0)</f>
        <v>526055</v>
      </c>
      <c r="I2189" s="144"/>
      <c r="J2189" s="129">
        <f>IFERROR(__xludf.DUMMYFUNCTION("""COMPUTED_VALUE"""),43420.0)</f>
        <v>43420</v>
      </c>
      <c r="K2189" s="133"/>
      <c r="L2189" s="133"/>
      <c r="M2189" s="133">
        <f>IFERROR(__xludf.DUMMYFUNCTION("""COMPUTED_VALUE"""),15.0)</f>
        <v>15</v>
      </c>
      <c r="N2189" s="152" t="str">
        <f>IFERROR(__xludf.DUMMYFUNCTION("""COMPUTED_VALUE"""),"Model 3 LR AWD")</f>
        <v>Model 3 LR AWD</v>
      </c>
      <c r="O2189" s="152" t="str">
        <f>IFERROR(__xludf.DUMMYFUNCTION("""COMPUTED_VALUE"""),"Solid Black")</f>
        <v>Solid Black</v>
      </c>
      <c r="P2189" s="153" t="str">
        <f>IFERROR(__xludf.DUMMYFUNCTION("""COMPUTED_VALUE"""),"18 inch Aero")</f>
        <v>18 inch Aero</v>
      </c>
      <c r="Q2189" s="152" t="str">
        <f>IFERROR(__xludf.DUMMYFUNCTION("""COMPUTED_VALUE"""),"Black seats")</f>
        <v>Black seats</v>
      </c>
      <c r="R2189" s="149" t="str">
        <f>IFERROR(__xludf.DUMMYFUNCTION("""COMPUTED_VALUE"""),"None")</f>
        <v>None</v>
      </c>
      <c r="S2189" s="149"/>
      <c r="T2189" s="145"/>
      <c r="U2189" s="145"/>
      <c r="V2189" s="145"/>
      <c r="W2189" s="145"/>
      <c r="X2189" s="137" t="str">
        <f>IFERROR(__xludf.DUMMYFUNCTION("""COMPUTED_VALUE"""),"Excellent")</f>
        <v>Excellent</v>
      </c>
      <c r="Y2189" s="138" t="str">
        <f>IFERROR(__xludf.DUMMYFUNCTION("""COMPUTED_VALUE"""),"Excellent")</f>
        <v>Excellent</v>
      </c>
      <c r="Z2189" s="138" t="str">
        <f>IFERROR(__xludf.DUMMYFUNCTION("""COMPUTED_VALUE"""),"Excellent")</f>
        <v>Excellent</v>
      </c>
      <c r="AA2189" s="138" t="str">
        <f>IFERROR(__xludf.DUMMYFUNCTION("""COMPUTED_VALUE"""),"Excellent")</f>
        <v>Excellent</v>
      </c>
      <c r="AB2189" s="138" t="str">
        <f>IFERROR(__xludf.DUMMYFUNCTION("""COMPUTED_VALUE"""),"Excellent")</f>
        <v>Excellent</v>
      </c>
      <c r="AC2189" s="139"/>
      <c r="AD2189" s="139"/>
      <c r="AE2189" s="139"/>
      <c r="AF2189" s="140"/>
      <c r="AG2189" s="145"/>
      <c r="AH2189" s="157">
        <f>IFERROR(__xludf.DUMMYFUNCTION("""COMPUTED_VALUE"""),43407.88485856481)</f>
        <v>43407.88486</v>
      </c>
      <c r="AI2189" s="138"/>
      <c r="AJ2189" s="138"/>
      <c r="AK2189" s="138"/>
      <c r="AL2189" s="142"/>
    </row>
    <row r="2190" ht="20.25" customHeight="1">
      <c r="A2190" s="155" t="str">
        <f>IFERROR(__xludf.DUMMYFUNCTION("""COMPUTED_VALUE"""),"JBare")</f>
        <v>JBare</v>
      </c>
      <c r="B2190" s="149" t="str">
        <f>IFERROR(__xludf.DUMMYFUNCTION("""COMPUTED_VALUE"""),"Fauquier County")</f>
        <v>Fauquier County</v>
      </c>
      <c r="C2190" s="149" t="str">
        <f>IFERROR(__xludf.DUMMYFUNCTION("""COMPUTED_VALUE"""),"VA")</f>
        <v>VA</v>
      </c>
      <c r="D2190" s="149" t="str">
        <f>IFERROR(__xludf.DUMMYFUNCTION("""COMPUTED_VALUE"""),"USA")</f>
        <v>USA</v>
      </c>
      <c r="E2190" s="156">
        <f>IFERROR(__xludf.DUMMYFUNCTION("""COMPUTED_VALUE"""),43405.0)</f>
        <v>43405</v>
      </c>
      <c r="F2190" s="129">
        <f>IFERROR(__xludf.DUMMYFUNCTION("""COMPUTED_VALUE"""),43420.0)</f>
        <v>43420</v>
      </c>
      <c r="G2190" s="154"/>
      <c r="H2190" s="131">
        <f>IFERROR(__xludf.DUMMYFUNCTION("""COMPUTED_VALUE"""),153155.0)</f>
        <v>153155</v>
      </c>
      <c r="I2190" s="144" t="str">
        <f>IFERROR(__xludf.DUMMYFUNCTION("""COMPUTED_VALUE"""),"11/18")</f>
        <v>11/18</v>
      </c>
      <c r="J2190" s="129">
        <f>IFERROR(__xludf.DUMMYFUNCTION("""COMPUTED_VALUE"""),43425.0)</f>
        <v>43425</v>
      </c>
      <c r="K2190" s="133">
        <f>IFERROR(__xludf.DUMMYFUNCTION("""COMPUTED_VALUE"""),15.0)</f>
        <v>15</v>
      </c>
      <c r="L2190" s="133">
        <f>IFERROR(__xludf.DUMMYFUNCTION("""COMPUTED_VALUE"""),5.0)</f>
        <v>5</v>
      </c>
      <c r="M2190" s="133">
        <f>IFERROR(__xludf.DUMMYFUNCTION("""COMPUTED_VALUE"""),20.0)</f>
        <v>20</v>
      </c>
      <c r="N2190" s="152" t="str">
        <f>IFERROR(__xludf.DUMMYFUNCTION("""COMPUTED_VALUE"""),"Model 3 MR")</f>
        <v>Model 3 MR</v>
      </c>
      <c r="O2190" s="152" t="str">
        <f>IFERROR(__xludf.DUMMYFUNCTION("""COMPUTED_VALUE"""),"Pearl White Multi-Coat")</f>
        <v>Pearl White Multi-Coat</v>
      </c>
      <c r="P2190" s="153" t="str">
        <f>IFERROR(__xludf.DUMMYFUNCTION("""COMPUTED_VALUE"""),"18 inch Aero")</f>
        <v>18 inch Aero</v>
      </c>
      <c r="Q2190" s="152" t="str">
        <f>IFERROR(__xludf.DUMMYFUNCTION("""COMPUTED_VALUE"""),"Black seats")</f>
        <v>Black seats</v>
      </c>
      <c r="R2190" s="149" t="str">
        <f>IFERROR(__xludf.DUMMYFUNCTION("""COMPUTED_VALUE"""),"Enhanced Autopilot")</f>
        <v>Enhanced Autopilot</v>
      </c>
      <c r="S2190" s="149"/>
      <c r="T2190" s="145"/>
      <c r="U2190" s="145"/>
      <c r="V2190" s="145"/>
      <c r="W2190" s="145"/>
      <c r="X2190" s="137" t="str">
        <f>IFERROR(__xludf.DUMMYFUNCTION("""COMPUTED_VALUE"""),"Very Good")</f>
        <v>Very Good</v>
      </c>
      <c r="Y2190" s="138" t="str">
        <f>IFERROR(__xludf.DUMMYFUNCTION("""COMPUTED_VALUE"""),"Excellent")</f>
        <v>Excellent</v>
      </c>
      <c r="Z2190" s="138" t="str">
        <f>IFERROR(__xludf.DUMMYFUNCTION("""COMPUTED_VALUE"""),"Very Good")</f>
        <v>Very Good</v>
      </c>
      <c r="AA2190" s="138" t="str">
        <f>IFERROR(__xludf.DUMMYFUNCTION("""COMPUTED_VALUE"""),"Very Good")</f>
        <v>Very Good</v>
      </c>
      <c r="AB2190" s="138" t="str">
        <f>IFERROR(__xludf.DUMMYFUNCTION("""COMPUTED_VALUE"""),"Excellent")</f>
        <v>Excellent</v>
      </c>
      <c r="AC2190" s="139"/>
      <c r="AD2190" s="139"/>
      <c r="AE2190" s="139"/>
      <c r="AF2190" s="140"/>
      <c r="AG2190" s="145"/>
      <c r="AH2190" s="157">
        <f>IFERROR(__xludf.DUMMYFUNCTION("""COMPUTED_VALUE"""),43427.361507222224)</f>
        <v>43427.36151</v>
      </c>
      <c r="AI2190" s="138"/>
      <c r="AJ2190" s="138"/>
      <c r="AK2190" s="138"/>
      <c r="AL2190" s="142"/>
    </row>
    <row r="2191" ht="20.25" customHeight="1">
      <c r="A2191" s="155" t="str">
        <f>IFERROR(__xludf.DUMMYFUNCTION("""COMPUTED_VALUE"""),"enigma8228")</f>
        <v>enigma8228</v>
      </c>
      <c r="B2191" s="149" t="str">
        <f>IFERROR(__xludf.DUMMYFUNCTION("""COMPUTED_VALUE"""),"Atlanta")</f>
        <v>Atlanta</v>
      </c>
      <c r="C2191" s="149" t="str">
        <f>IFERROR(__xludf.DUMMYFUNCTION("""COMPUTED_VALUE"""),"GA")</f>
        <v>GA</v>
      </c>
      <c r="D2191" s="149" t="str">
        <f>IFERROR(__xludf.DUMMYFUNCTION("""COMPUTED_VALUE"""),"USA")</f>
        <v>USA</v>
      </c>
      <c r="E2191" s="156">
        <f>IFERROR(__xludf.DUMMYFUNCTION("""COMPUTED_VALUE"""),43404.0)</f>
        <v>43404</v>
      </c>
      <c r="F2191" s="129">
        <f>IFERROR(__xludf.DUMMYFUNCTION("""COMPUTED_VALUE"""),43423.0)</f>
        <v>43423</v>
      </c>
      <c r="G2191" s="154"/>
      <c r="H2191" s="131">
        <f>IFERROR(__xludf.DUMMYFUNCTION("""COMPUTED_VALUE"""),148255.0)</f>
        <v>148255</v>
      </c>
      <c r="I2191" s="144" t="str">
        <f>IFERROR(__xludf.DUMMYFUNCTION("""COMPUTED_VALUE"""),"11/18")</f>
        <v>11/18</v>
      </c>
      <c r="J2191" s="129">
        <f>IFERROR(__xludf.DUMMYFUNCTION("""COMPUTED_VALUE"""),43433.0)</f>
        <v>43433</v>
      </c>
      <c r="K2191" s="133">
        <f>IFERROR(__xludf.DUMMYFUNCTION("""COMPUTED_VALUE"""),19.0)</f>
        <v>19</v>
      </c>
      <c r="L2191" s="133">
        <f>IFERROR(__xludf.DUMMYFUNCTION("""COMPUTED_VALUE"""),10.0)</f>
        <v>10</v>
      </c>
      <c r="M2191" s="133">
        <f>IFERROR(__xludf.DUMMYFUNCTION("""COMPUTED_VALUE"""),29.0)</f>
        <v>29</v>
      </c>
      <c r="N2191" s="152" t="str">
        <f>IFERROR(__xludf.DUMMYFUNCTION("""COMPUTED_VALUE"""),"Model 3 Performance")</f>
        <v>Model 3 Performance</v>
      </c>
      <c r="O2191" s="152" t="str">
        <f>IFERROR(__xludf.DUMMYFUNCTION("""COMPUTED_VALUE"""),"Solid Black")</f>
        <v>Solid Black</v>
      </c>
      <c r="P2191" s="153" t="str">
        <f>IFERROR(__xludf.DUMMYFUNCTION("""COMPUTED_VALUE"""),"20 inch Sport")</f>
        <v>20 inch Sport</v>
      </c>
      <c r="Q2191" s="152" t="str">
        <f>IFERROR(__xludf.DUMMYFUNCTION("""COMPUTED_VALUE"""),"Black seats")</f>
        <v>Black seats</v>
      </c>
      <c r="R2191" s="149" t="str">
        <f>IFERROR(__xludf.DUMMYFUNCTION("""COMPUTED_VALUE"""),"Enhanced Autopilot")</f>
        <v>Enhanced Autopilot</v>
      </c>
      <c r="S2191" s="149"/>
      <c r="T2191" s="145"/>
      <c r="U2191" s="145"/>
      <c r="V2191" s="145"/>
      <c r="W2191" s="145"/>
      <c r="X2191" s="137" t="str">
        <f>IFERROR(__xludf.DUMMYFUNCTION("""COMPUTED_VALUE"""),"Very Good")</f>
        <v>Very Good</v>
      </c>
      <c r="Y2191" s="138"/>
      <c r="Z2191" s="138" t="str">
        <f>IFERROR(__xludf.DUMMYFUNCTION("""COMPUTED_VALUE"""),"Very Good")</f>
        <v>Very Good</v>
      </c>
      <c r="AA2191" s="138" t="str">
        <f>IFERROR(__xludf.DUMMYFUNCTION("""COMPUTED_VALUE"""),"Fair")</f>
        <v>Fair</v>
      </c>
      <c r="AB2191" s="138" t="str">
        <f>IFERROR(__xludf.DUMMYFUNCTION("""COMPUTED_VALUE"""),"Fair")</f>
        <v>Fair</v>
      </c>
      <c r="AC2191" s="139">
        <f>IFERROR(__xludf.DUMMYFUNCTION("""COMPUTED_VALUE"""),0.0)</f>
        <v>0</v>
      </c>
      <c r="AD2191" s="139">
        <f>IFERROR(__xludf.DUMMYFUNCTION("""COMPUTED_VALUE"""),0.0)</f>
        <v>0</v>
      </c>
      <c r="AE2191" s="139">
        <f>IFERROR(__xludf.DUMMYFUNCTION("""COMPUTED_VALUE"""),0.0)</f>
        <v>0</v>
      </c>
      <c r="AF2191" s="140"/>
      <c r="AG2191" s="145" t="str">
        <f>IFERROR(__xludf.DUMMYFUNCTION("""COMPUTED_VALUE"""),"Canceled my 8/2/18 order and trying to reset this form for my new order that I placed 10/31 for a black P3D+ with black interior. No VIN yet. ")</f>
        <v>Canceled my 8/2/18 order and trying to reset this form for my new order that I placed 10/31 for a black P3D+ with black interior. No VIN yet. </v>
      </c>
      <c r="AH2191" s="157">
        <f>IFERROR(__xludf.DUMMYFUNCTION("""COMPUTED_VALUE"""),43432.80443556713)</f>
        <v>43432.80444</v>
      </c>
      <c r="AI2191" s="138"/>
      <c r="AJ2191" s="138"/>
      <c r="AK2191" s="138"/>
      <c r="AL2191" s="142"/>
    </row>
    <row r="2192" ht="20.25" customHeight="1">
      <c r="A2192" s="155" t="str">
        <f>IFERROR(__xludf.DUMMYFUNCTION("""COMPUTED_VALUE"""),"JonM3")</f>
        <v>JonM3</v>
      </c>
      <c r="B2192" s="149" t="str">
        <f>IFERROR(__xludf.DUMMYFUNCTION("""COMPUTED_VALUE"""),"Indianapolis")</f>
        <v>Indianapolis</v>
      </c>
      <c r="C2192" s="149" t="str">
        <f>IFERROR(__xludf.DUMMYFUNCTION("""COMPUTED_VALUE"""),"IN")</f>
        <v>IN</v>
      </c>
      <c r="D2192" s="149" t="str">
        <f>IFERROR(__xludf.DUMMYFUNCTION("""COMPUTED_VALUE"""),"USA")</f>
        <v>USA</v>
      </c>
      <c r="E2192" s="156">
        <f>IFERROR(__xludf.DUMMYFUNCTION("""COMPUTED_VALUE"""),43404.0)</f>
        <v>43404</v>
      </c>
      <c r="F2192" s="129">
        <f>IFERROR(__xludf.DUMMYFUNCTION("""COMPUTED_VALUE"""),43411.0)</f>
        <v>43411</v>
      </c>
      <c r="G2192" s="154"/>
      <c r="H2192" s="131">
        <f>IFERROR(__xludf.DUMMYFUNCTION("""COMPUTED_VALUE"""),151855.0)</f>
        <v>151855</v>
      </c>
      <c r="I2192" s="144" t="str">
        <f>IFERROR(__xludf.DUMMYFUNCTION("""COMPUTED_VALUE"""),"11/18")</f>
        <v>11/18</v>
      </c>
      <c r="J2192" s="129">
        <f>IFERROR(__xludf.DUMMYFUNCTION("""COMPUTED_VALUE"""),43425.0)</f>
        <v>43425</v>
      </c>
      <c r="K2192" s="133">
        <f>IFERROR(__xludf.DUMMYFUNCTION("""COMPUTED_VALUE"""),7.0)</f>
        <v>7</v>
      </c>
      <c r="L2192" s="133">
        <f>IFERROR(__xludf.DUMMYFUNCTION("""COMPUTED_VALUE"""),14.0)</f>
        <v>14</v>
      </c>
      <c r="M2192" s="133">
        <f>IFERROR(__xludf.DUMMYFUNCTION("""COMPUTED_VALUE"""),21.0)</f>
        <v>21</v>
      </c>
      <c r="N2192" s="152" t="str">
        <f>IFERROR(__xludf.DUMMYFUNCTION("""COMPUTED_VALUE"""),"Model 3 MR")</f>
        <v>Model 3 MR</v>
      </c>
      <c r="O2192" s="152" t="str">
        <f>IFERROR(__xludf.DUMMYFUNCTION("""COMPUTED_VALUE"""),"Solid Black")</f>
        <v>Solid Black</v>
      </c>
      <c r="P2192" s="153" t="str">
        <f>IFERROR(__xludf.DUMMYFUNCTION("""COMPUTED_VALUE"""),"18 inch Aero")</f>
        <v>18 inch Aero</v>
      </c>
      <c r="Q2192" s="152" t="str">
        <f>IFERROR(__xludf.DUMMYFUNCTION("""COMPUTED_VALUE"""),"Black seats")</f>
        <v>Black seats</v>
      </c>
      <c r="R2192" s="149" t="str">
        <f>IFERROR(__xludf.DUMMYFUNCTION("""COMPUTED_VALUE"""),"Enhanced Autopilot")</f>
        <v>Enhanced Autopilot</v>
      </c>
      <c r="S2192" s="149"/>
      <c r="T2192" s="145"/>
      <c r="U2192" s="145"/>
      <c r="V2192" s="145"/>
      <c r="W2192" s="145"/>
      <c r="X2192" s="137" t="str">
        <f>IFERROR(__xludf.DUMMYFUNCTION("""COMPUTED_VALUE"""),"Very Good")</f>
        <v>Very Good</v>
      </c>
      <c r="Y2192" s="138" t="str">
        <f>IFERROR(__xludf.DUMMYFUNCTION("""COMPUTED_VALUE"""),"Excellent")</f>
        <v>Excellent</v>
      </c>
      <c r="Z2192" s="138" t="str">
        <f>IFERROR(__xludf.DUMMYFUNCTION("""COMPUTED_VALUE"""),"Very Good")</f>
        <v>Very Good</v>
      </c>
      <c r="AA2192" s="138" t="str">
        <f>IFERROR(__xludf.DUMMYFUNCTION("""COMPUTED_VALUE"""),"Good")</f>
        <v>Good</v>
      </c>
      <c r="AB2192" s="138" t="str">
        <f>IFERROR(__xludf.DUMMYFUNCTION("""COMPUTED_VALUE"""),"Very Good")</f>
        <v>Very Good</v>
      </c>
      <c r="AC2192" s="139">
        <f>IFERROR(__xludf.DUMMYFUNCTION("""COMPUTED_VALUE"""),0.0)</f>
        <v>0</v>
      </c>
      <c r="AD2192" s="139">
        <f>IFERROR(__xludf.DUMMYFUNCTION("""COMPUTED_VALUE"""),0.0)</f>
        <v>0</v>
      </c>
      <c r="AE2192" s="139">
        <f>IFERROR(__xludf.DUMMYFUNCTION("""COMPUTED_VALUE"""),0.0)</f>
        <v>0</v>
      </c>
      <c r="AF2192" s="140"/>
      <c r="AG2192" s="145"/>
      <c r="AH2192" s="157">
        <f>IFERROR(__xludf.DUMMYFUNCTION("""COMPUTED_VALUE"""),43433.26532733796)</f>
        <v>43433.26533</v>
      </c>
      <c r="AI2192" s="138"/>
      <c r="AJ2192" s="138"/>
      <c r="AK2192" s="138"/>
      <c r="AL2192" s="142"/>
    </row>
    <row r="2193" ht="20.25" customHeight="1">
      <c r="A2193" s="155" t="str">
        <f>IFERROR(__xludf.DUMMYFUNCTION("""COMPUTED_VALUE"""),"powelles")</f>
        <v>powelles</v>
      </c>
      <c r="B2193" s="149" t="str">
        <f>IFERROR(__xludf.DUMMYFUNCTION("""COMPUTED_VALUE"""),"Portland")</f>
        <v>Portland</v>
      </c>
      <c r="C2193" s="149" t="str">
        <f>IFERROR(__xludf.DUMMYFUNCTION("""COMPUTED_VALUE"""),"OR")</f>
        <v>OR</v>
      </c>
      <c r="D2193" s="149" t="str">
        <f>IFERROR(__xludf.DUMMYFUNCTION("""COMPUTED_VALUE"""),"USA")</f>
        <v>USA</v>
      </c>
      <c r="E2193" s="156">
        <f>IFERROR(__xludf.DUMMYFUNCTION("""COMPUTED_VALUE"""),43404.0)</f>
        <v>43404</v>
      </c>
      <c r="F2193" s="129">
        <f>IFERROR(__xludf.DUMMYFUNCTION("""COMPUTED_VALUE"""),43451.0)</f>
        <v>43451</v>
      </c>
      <c r="G2193" s="154"/>
      <c r="H2193" s="131">
        <f>IFERROR(__xludf.DUMMYFUNCTION("""COMPUTED_VALUE"""),152055.0)</f>
        <v>152055</v>
      </c>
      <c r="I2193" s="144" t="str">
        <f>IFERROR(__xludf.DUMMYFUNCTION("""COMPUTED_VALUE"""),"12/18")</f>
        <v>12/18</v>
      </c>
      <c r="J2193" s="129">
        <f>IFERROR(__xludf.DUMMYFUNCTION("""COMPUTED_VALUE"""),43454.0)</f>
        <v>43454</v>
      </c>
      <c r="K2193" s="133">
        <f>IFERROR(__xludf.DUMMYFUNCTION("""COMPUTED_VALUE"""),47.0)</f>
        <v>47</v>
      </c>
      <c r="L2193" s="133">
        <f>IFERROR(__xludf.DUMMYFUNCTION("""COMPUTED_VALUE"""),3.0)</f>
        <v>3</v>
      </c>
      <c r="M2193" s="133">
        <f>IFERROR(__xludf.DUMMYFUNCTION("""COMPUTED_VALUE"""),50.0)</f>
        <v>50</v>
      </c>
      <c r="N2193" s="152" t="str">
        <f>IFERROR(__xludf.DUMMYFUNCTION("""COMPUTED_VALUE"""),"Model 3 MR")</f>
        <v>Model 3 MR</v>
      </c>
      <c r="O2193" s="152" t="str">
        <f>IFERROR(__xludf.DUMMYFUNCTION("""COMPUTED_VALUE"""),"Solid Black")</f>
        <v>Solid Black</v>
      </c>
      <c r="P2193" s="153" t="str">
        <f>IFERROR(__xludf.DUMMYFUNCTION("""COMPUTED_VALUE"""),"18 inch Aero")</f>
        <v>18 inch Aero</v>
      </c>
      <c r="Q2193" s="152" t="str">
        <f>IFERROR(__xludf.DUMMYFUNCTION("""COMPUTED_VALUE"""),"Black seats")</f>
        <v>Black seats</v>
      </c>
      <c r="R2193" s="149" t="str">
        <f>IFERROR(__xludf.DUMMYFUNCTION("""COMPUTED_VALUE"""),"None")</f>
        <v>None</v>
      </c>
      <c r="S2193" s="149"/>
      <c r="T2193" s="145"/>
      <c r="U2193" s="145"/>
      <c r="V2193" s="145"/>
      <c r="W2193" s="145"/>
      <c r="X2193" s="137" t="str">
        <f>IFERROR(__xludf.DUMMYFUNCTION("""COMPUTED_VALUE"""),"Very Good")</f>
        <v>Very Good</v>
      </c>
      <c r="Y2193" s="138" t="str">
        <f>IFERROR(__xludf.DUMMYFUNCTION("""COMPUTED_VALUE"""),"Excellent")</f>
        <v>Excellent</v>
      </c>
      <c r="Z2193" s="138" t="str">
        <f>IFERROR(__xludf.DUMMYFUNCTION("""COMPUTED_VALUE"""),"Excellent")</f>
        <v>Excellent</v>
      </c>
      <c r="AA2193" s="138" t="str">
        <f>IFERROR(__xludf.DUMMYFUNCTION("""COMPUTED_VALUE"""),"Very Good")</f>
        <v>Very Good</v>
      </c>
      <c r="AB2193" s="138" t="str">
        <f>IFERROR(__xludf.DUMMYFUNCTION("""COMPUTED_VALUE"""),"Excellent")</f>
        <v>Excellent</v>
      </c>
      <c r="AC2193" s="139">
        <f>IFERROR(__xludf.DUMMYFUNCTION("""COMPUTED_VALUE"""),0.0)</f>
        <v>0</v>
      </c>
      <c r="AD2193" s="139">
        <f>IFERROR(__xludf.DUMMYFUNCTION("""COMPUTED_VALUE"""),0.0)</f>
        <v>0</v>
      </c>
      <c r="AE2193" s="139">
        <f>IFERROR(__xludf.DUMMYFUNCTION("""COMPUTED_VALUE"""),0.0)</f>
        <v>0</v>
      </c>
      <c r="AF2193" s="140"/>
      <c r="AG2193" s="145"/>
      <c r="AH2193" s="157">
        <f>IFERROR(__xludf.DUMMYFUNCTION("""COMPUTED_VALUE"""),43455.61822020834)</f>
        <v>43455.61822</v>
      </c>
      <c r="AI2193" s="138"/>
      <c r="AJ2193" s="138"/>
      <c r="AK2193" s="138"/>
      <c r="AL2193" s="142"/>
    </row>
    <row r="2194" ht="20.25" customHeight="1">
      <c r="A2194" s="155" t="str">
        <f>IFERROR(__xludf.DUMMYFUNCTION("""COMPUTED_VALUE"""),"RGXX")</f>
        <v>RGXX</v>
      </c>
      <c r="B2194" s="149" t="str">
        <f>IFERROR(__xludf.DUMMYFUNCTION("""COMPUTED_VALUE"""),"San Jose")</f>
        <v>San Jose</v>
      </c>
      <c r="C2194" s="149" t="str">
        <f>IFERROR(__xludf.DUMMYFUNCTION("""COMPUTED_VALUE"""),"CA")</f>
        <v>CA</v>
      </c>
      <c r="D2194" s="149" t="str">
        <f>IFERROR(__xludf.DUMMYFUNCTION("""COMPUTED_VALUE"""),"USA")</f>
        <v>USA</v>
      </c>
      <c r="E2194" s="156">
        <f>IFERROR(__xludf.DUMMYFUNCTION("""COMPUTED_VALUE"""),43404.0)</f>
        <v>43404</v>
      </c>
      <c r="F2194" s="129">
        <f>IFERROR(__xludf.DUMMYFUNCTION("""COMPUTED_VALUE"""),43437.0)</f>
        <v>43437</v>
      </c>
      <c r="G2194" s="154"/>
      <c r="H2194" s="131">
        <f>IFERROR(__xludf.DUMMYFUNCTION("""COMPUTED_VALUE"""),155155.0)</f>
        <v>155155</v>
      </c>
      <c r="I2194" s="144" t="str">
        <f>IFERROR(__xludf.DUMMYFUNCTION("""COMPUTED_VALUE"""),"11/18")</f>
        <v>11/18</v>
      </c>
      <c r="J2194" s="129">
        <f>IFERROR(__xludf.DUMMYFUNCTION("""COMPUTED_VALUE"""),43437.0)</f>
        <v>43437</v>
      </c>
      <c r="K2194" s="133">
        <f>IFERROR(__xludf.DUMMYFUNCTION("""COMPUTED_VALUE"""),33.0)</f>
        <v>33</v>
      </c>
      <c r="L2194" s="133">
        <f>IFERROR(__xludf.DUMMYFUNCTION("""COMPUTED_VALUE"""),0.0)</f>
        <v>0</v>
      </c>
      <c r="M2194" s="133">
        <f>IFERROR(__xludf.DUMMYFUNCTION("""COMPUTED_VALUE"""),33.0)</f>
        <v>33</v>
      </c>
      <c r="N2194" s="152" t="str">
        <f>IFERROR(__xludf.DUMMYFUNCTION("""COMPUTED_VALUE"""),"Model 3 MR")</f>
        <v>Model 3 MR</v>
      </c>
      <c r="O2194" s="152" t="str">
        <f>IFERROR(__xludf.DUMMYFUNCTION("""COMPUTED_VALUE"""),"Deep Blue Metallic")</f>
        <v>Deep Blue Metallic</v>
      </c>
      <c r="P2194" s="153" t="str">
        <f>IFERROR(__xludf.DUMMYFUNCTION("""COMPUTED_VALUE"""),"19 inch Sport")</f>
        <v>19 inch Sport</v>
      </c>
      <c r="Q2194" s="152" t="str">
        <f>IFERROR(__xludf.DUMMYFUNCTION("""COMPUTED_VALUE"""),"Black seats")</f>
        <v>Black seats</v>
      </c>
      <c r="R2194" s="149" t="str">
        <f>IFERROR(__xludf.DUMMYFUNCTION("""COMPUTED_VALUE"""),"None")</f>
        <v>None</v>
      </c>
      <c r="S2194" s="149"/>
      <c r="T2194" s="145"/>
      <c r="U2194" s="145"/>
      <c r="V2194" s="145"/>
      <c r="W2194" s="145"/>
      <c r="X2194" s="137" t="str">
        <f>IFERROR(__xludf.DUMMYFUNCTION("""COMPUTED_VALUE"""),"Excellent")</f>
        <v>Excellent</v>
      </c>
      <c r="Y2194" s="138" t="str">
        <f>IFERROR(__xludf.DUMMYFUNCTION("""COMPUTED_VALUE"""),"Excellent")</f>
        <v>Excellent</v>
      </c>
      <c r="Z2194" s="138" t="str">
        <f>IFERROR(__xludf.DUMMYFUNCTION("""COMPUTED_VALUE"""),"Excellent")</f>
        <v>Excellent</v>
      </c>
      <c r="AA2194" s="138" t="str">
        <f>IFERROR(__xludf.DUMMYFUNCTION("""COMPUTED_VALUE"""),"Poor")</f>
        <v>Poor</v>
      </c>
      <c r="AB2194" s="138" t="str">
        <f>IFERROR(__xludf.DUMMYFUNCTION("""COMPUTED_VALUE"""),"Fair")</f>
        <v>Fair</v>
      </c>
      <c r="AC2194" s="139"/>
      <c r="AD2194" s="139"/>
      <c r="AE2194" s="139"/>
      <c r="AF2194" s="140"/>
      <c r="AG2194" s="145"/>
      <c r="AH2194" s="157">
        <f>IFERROR(__xludf.DUMMYFUNCTION("""COMPUTED_VALUE"""),43438.62375212963)</f>
        <v>43438.62375</v>
      </c>
      <c r="AI2194" s="138"/>
      <c r="AJ2194" s="138"/>
      <c r="AK2194" s="138"/>
      <c r="AL2194" s="142"/>
    </row>
    <row r="2195" ht="20.25" customHeight="1">
      <c r="A2195" s="155" t="str">
        <f>IFERROR(__xludf.DUMMYFUNCTION("""COMPUTED_VALUE"""),"fsu77gt")</f>
        <v>fsu77gt</v>
      </c>
      <c r="B2195" s="149" t="str">
        <f>IFERROR(__xludf.DUMMYFUNCTION("""COMPUTED_VALUE"""),"Tallahassee")</f>
        <v>Tallahassee</v>
      </c>
      <c r="C2195" s="149" t="str">
        <f>IFERROR(__xludf.DUMMYFUNCTION("""COMPUTED_VALUE"""),"FL")</f>
        <v>FL</v>
      </c>
      <c r="D2195" s="149" t="str">
        <f>IFERROR(__xludf.DUMMYFUNCTION("""COMPUTED_VALUE"""),"USA")</f>
        <v>USA</v>
      </c>
      <c r="E2195" s="156">
        <f>IFERROR(__xludf.DUMMYFUNCTION("""COMPUTED_VALUE"""),43403.0)</f>
        <v>43403</v>
      </c>
      <c r="F2195" s="129">
        <f>IFERROR(__xludf.DUMMYFUNCTION("""COMPUTED_VALUE"""),43437.0)</f>
        <v>43437</v>
      </c>
      <c r="G2195" s="154"/>
      <c r="H2195" s="131">
        <f>IFERROR(__xludf.DUMMYFUNCTION("""COMPUTED_VALUE"""),105617.0)</f>
        <v>105617</v>
      </c>
      <c r="I2195" s="144" t="str">
        <f>IFERROR(__xludf.DUMMYFUNCTION("""COMPUTED_VALUE"""),"11/18")</f>
        <v>11/18</v>
      </c>
      <c r="J2195" s="129">
        <f>IFERROR(__xludf.DUMMYFUNCTION("""COMPUTED_VALUE"""),43441.0)</f>
        <v>43441</v>
      </c>
      <c r="K2195" s="133">
        <f>IFERROR(__xludf.DUMMYFUNCTION("""COMPUTED_VALUE"""),34.0)</f>
        <v>34</v>
      </c>
      <c r="L2195" s="133">
        <f>IFERROR(__xludf.DUMMYFUNCTION("""COMPUTED_VALUE"""),4.0)</f>
        <v>4</v>
      </c>
      <c r="M2195" s="133">
        <f>IFERROR(__xludf.DUMMYFUNCTION("""COMPUTED_VALUE"""),38.0)</f>
        <v>38</v>
      </c>
      <c r="N2195" s="152" t="str">
        <f>IFERROR(__xludf.DUMMYFUNCTION("""COMPUTED_VALUE"""),"Model 3 LR")</f>
        <v>Model 3 LR</v>
      </c>
      <c r="O2195" s="152" t="str">
        <f>IFERROR(__xludf.DUMMYFUNCTION("""COMPUTED_VALUE"""),"Deep Blue Metallic")</f>
        <v>Deep Blue Metallic</v>
      </c>
      <c r="P2195" s="153" t="str">
        <f>IFERROR(__xludf.DUMMYFUNCTION("""COMPUTED_VALUE"""),"18 inch Aero")</f>
        <v>18 inch Aero</v>
      </c>
      <c r="Q2195" s="152" t="str">
        <f>IFERROR(__xludf.DUMMYFUNCTION("""COMPUTED_VALUE"""),"Black seats")</f>
        <v>Black seats</v>
      </c>
      <c r="R2195" s="149" t="str">
        <f>IFERROR(__xludf.DUMMYFUNCTION("""COMPUTED_VALUE"""),"None")</f>
        <v>None</v>
      </c>
      <c r="S2195" s="149"/>
      <c r="T2195" s="145"/>
      <c r="U2195" s="145"/>
      <c r="V2195" s="145"/>
      <c r="W2195" s="145"/>
      <c r="X2195" s="137" t="str">
        <f>IFERROR(__xludf.DUMMYFUNCTION("""COMPUTED_VALUE"""),"Excellent")</f>
        <v>Excellent</v>
      </c>
      <c r="Y2195" s="138" t="str">
        <f>IFERROR(__xludf.DUMMYFUNCTION("""COMPUTED_VALUE"""),"Good")</f>
        <v>Good</v>
      </c>
      <c r="Z2195" s="138" t="str">
        <f>IFERROR(__xludf.DUMMYFUNCTION("""COMPUTED_VALUE"""),"Very Good")</f>
        <v>Very Good</v>
      </c>
      <c r="AA2195" s="138" t="str">
        <f>IFERROR(__xludf.DUMMYFUNCTION("""COMPUTED_VALUE"""),"Fair")</f>
        <v>Fair</v>
      </c>
      <c r="AB2195" s="138" t="str">
        <f>IFERROR(__xludf.DUMMYFUNCTION("""COMPUTED_VALUE"""),"Good")</f>
        <v>Good</v>
      </c>
      <c r="AC2195" s="139"/>
      <c r="AD2195" s="139"/>
      <c r="AE2195" s="139"/>
      <c r="AF2195" s="140"/>
      <c r="AG2195" s="145" t="str">
        <f>IFERROR(__xludf.DUMMYFUNCTION("""COMPUTED_VALUE"""),"Glaring fit and finish issue was a huge blob of glue visible at driver's side door where carpet did not extend far enough to cover the glue. Messy. Otherwise no significant issues.")</f>
        <v>Glaring fit and finish issue was a huge blob of glue visible at driver's side door where carpet did not extend far enough to cover the glue. Messy. Otherwise no significant issues.</v>
      </c>
      <c r="AH2195" s="157">
        <f>IFERROR(__xludf.DUMMYFUNCTION("""COMPUTED_VALUE"""),43442.28558695602)</f>
        <v>43442.28559</v>
      </c>
      <c r="AI2195" s="138"/>
      <c r="AJ2195" s="138"/>
      <c r="AK2195" s="138"/>
      <c r="AL2195" s="142"/>
    </row>
    <row r="2196" ht="20.25" customHeight="1">
      <c r="A2196" s="155" t="str">
        <f>IFERROR(__xludf.DUMMYFUNCTION("""COMPUTED_VALUE"""),"Azndaemon")</f>
        <v>Azndaemon</v>
      </c>
      <c r="B2196" s="149"/>
      <c r="C2196" s="149" t="str">
        <f>IFERROR(__xludf.DUMMYFUNCTION("""COMPUTED_VALUE"""),"QC")</f>
        <v>QC</v>
      </c>
      <c r="D2196" s="149" t="str">
        <f>IFERROR(__xludf.DUMMYFUNCTION("""COMPUTED_VALUE"""),"Canada")</f>
        <v>Canada</v>
      </c>
      <c r="E2196" s="156">
        <f>IFERROR(__xludf.DUMMYFUNCTION("""COMPUTED_VALUE"""),43402.0)</f>
        <v>43402</v>
      </c>
      <c r="F2196" s="129">
        <f>IFERROR(__xludf.DUMMYFUNCTION("""COMPUTED_VALUE"""),43425.0)</f>
        <v>43425</v>
      </c>
      <c r="G2196" s="154"/>
      <c r="H2196" s="131">
        <f>IFERROR(__xludf.DUMMYFUNCTION("""COMPUTED_VALUE"""),126778.0)</f>
        <v>126778</v>
      </c>
      <c r="I2196" s="144"/>
      <c r="J2196" s="129">
        <f>IFERROR(__xludf.DUMMYFUNCTION("""COMPUTED_VALUE"""),43442.0)</f>
        <v>43442</v>
      </c>
      <c r="K2196" s="133">
        <f>IFERROR(__xludf.DUMMYFUNCTION("""COMPUTED_VALUE"""),23.0)</f>
        <v>23</v>
      </c>
      <c r="L2196" s="133">
        <f>IFERROR(__xludf.DUMMYFUNCTION("""COMPUTED_VALUE"""),17.0)</f>
        <v>17</v>
      </c>
      <c r="M2196" s="133">
        <f>IFERROR(__xludf.DUMMYFUNCTION("""COMPUTED_VALUE"""),40.0)</f>
        <v>40</v>
      </c>
      <c r="N2196" s="152" t="str">
        <f>IFERROR(__xludf.DUMMYFUNCTION("""COMPUTED_VALUE"""),"Model 3 LR AWD")</f>
        <v>Model 3 LR AWD</v>
      </c>
      <c r="O2196" s="152" t="str">
        <f>IFERROR(__xludf.DUMMYFUNCTION("""COMPUTED_VALUE"""),"Solid Black")</f>
        <v>Solid Black</v>
      </c>
      <c r="P2196" s="153" t="str">
        <f>IFERROR(__xludf.DUMMYFUNCTION("""COMPUTED_VALUE"""),"18 inch Aero")</f>
        <v>18 inch Aero</v>
      </c>
      <c r="Q2196" s="152" t="str">
        <f>IFERROR(__xludf.DUMMYFUNCTION("""COMPUTED_VALUE"""),"Black seats")</f>
        <v>Black seats</v>
      </c>
      <c r="R2196" s="149" t="str">
        <f>IFERROR(__xludf.DUMMYFUNCTION("""COMPUTED_VALUE"""),"Enhanced Autopilot")</f>
        <v>Enhanced Autopilot</v>
      </c>
      <c r="S2196" s="149"/>
      <c r="T2196" s="145"/>
      <c r="U2196" s="145"/>
      <c r="V2196" s="145"/>
      <c r="W2196" s="145"/>
      <c r="X2196" s="137" t="str">
        <f>IFERROR(__xludf.DUMMYFUNCTION("""COMPUTED_VALUE"""),"Fair")</f>
        <v>Fair</v>
      </c>
      <c r="Y2196" s="138" t="str">
        <f>IFERROR(__xludf.DUMMYFUNCTION("""COMPUTED_VALUE"""),"Good")</f>
        <v>Good</v>
      </c>
      <c r="Z2196" s="138" t="str">
        <f>IFERROR(__xludf.DUMMYFUNCTION("""COMPUTED_VALUE"""),"Poor")</f>
        <v>Poor</v>
      </c>
      <c r="AA2196" s="138" t="str">
        <f>IFERROR(__xludf.DUMMYFUNCTION("""COMPUTED_VALUE"""),"Poor")</f>
        <v>Poor</v>
      </c>
      <c r="AB2196" s="138" t="str">
        <f>IFERROR(__xludf.DUMMYFUNCTION("""COMPUTED_VALUE"""),"Poor")</f>
        <v>Poor</v>
      </c>
      <c r="AC2196" s="139"/>
      <c r="AD2196" s="139"/>
      <c r="AE2196" s="139"/>
      <c r="AF2196" s="140"/>
      <c r="AG2196" s="145"/>
      <c r="AH2196" s="157">
        <f>IFERROR(__xludf.DUMMYFUNCTION("""COMPUTED_VALUE"""),43443.34690748843)</f>
        <v>43443.34691</v>
      </c>
      <c r="AI2196" s="138"/>
      <c r="AJ2196" s="138"/>
      <c r="AK2196" s="138"/>
      <c r="AL2196" s="142"/>
    </row>
    <row r="2197" ht="20.25" customHeight="1">
      <c r="A2197" s="155" t="str">
        <f>IFERROR(__xludf.DUMMYFUNCTION("""COMPUTED_VALUE"""),"lensovet")</f>
        <v>lensovet</v>
      </c>
      <c r="B2197" s="149" t="str">
        <f>IFERROR(__xludf.DUMMYFUNCTION("""COMPUTED_VALUE"""),"Springfield")</f>
        <v>Springfield</v>
      </c>
      <c r="C2197" s="149" t="str">
        <f>IFERROR(__xludf.DUMMYFUNCTION("""COMPUTED_VALUE"""),"NJ")</f>
        <v>NJ</v>
      </c>
      <c r="D2197" s="149" t="str">
        <f>IFERROR(__xludf.DUMMYFUNCTION("""COMPUTED_VALUE"""),"USA")</f>
        <v>USA</v>
      </c>
      <c r="E2197" s="156">
        <f>IFERROR(__xludf.DUMMYFUNCTION("""COMPUTED_VALUE"""),43402.0)</f>
        <v>43402</v>
      </c>
      <c r="F2197" s="129">
        <f>IFERROR(__xludf.DUMMYFUNCTION("""COMPUTED_VALUE"""),43404.0)</f>
        <v>43404</v>
      </c>
      <c r="G2197" s="154"/>
      <c r="H2197" s="131">
        <f>IFERROR(__xludf.DUMMYFUNCTION("""COMPUTED_VALUE"""),101477.0)</f>
        <v>101477</v>
      </c>
      <c r="I2197" s="144" t="str">
        <f>IFERROR(__xludf.DUMMYFUNCTION("""COMPUTED_VALUE"""),"10/18")</f>
        <v>10/18</v>
      </c>
      <c r="J2197" s="129">
        <f>IFERROR(__xludf.DUMMYFUNCTION("""COMPUTED_VALUE"""),43430.0)</f>
        <v>43430</v>
      </c>
      <c r="K2197" s="133">
        <f>IFERROR(__xludf.DUMMYFUNCTION("""COMPUTED_VALUE"""),2.0)</f>
        <v>2</v>
      </c>
      <c r="L2197" s="133">
        <f>IFERROR(__xludf.DUMMYFUNCTION("""COMPUTED_VALUE"""),26.0)</f>
        <v>26</v>
      </c>
      <c r="M2197" s="133">
        <f>IFERROR(__xludf.DUMMYFUNCTION("""COMPUTED_VALUE"""),28.0)</f>
        <v>28</v>
      </c>
      <c r="N2197" s="152" t="str">
        <f>IFERROR(__xludf.DUMMYFUNCTION("""COMPUTED_VALUE"""),"Model 3 LR")</f>
        <v>Model 3 LR</v>
      </c>
      <c r="O2197" s="152" t="str">
        <f>IFERROR(__xludf.DUMMYFUNCTION("""COMPUTED_VALUE"""),"Solid Black")</f>
        <v>Solid Black</v>
      </c>
      <c r="P2197" s="153" t="str">
        <f>IFERROR(__xludf.DUMMYFUNCTION("""COMPUTED_VALUE"""),"18 inch Aero")</f>
        <v>18 inch Aero</v>
      </c>
      <c r="Q2197" s="152" t="str">
        <f>IFERROR(__xludf.DUMMYFUNCTION("""COMPUTED_VALUE"""),"Black seats")</f>
        <v>Black seats</v>
      </c>
      <c r="R2197" s="149" t="str">
        <f>IFERROR(__xludf.DUMMYFUNCTION("""COMPUTED_VALUE"""),"None")</f>
        <v>None</v>
      </c>
      <c r="S2197" s="149"/>
      <c r="T2197" s="145"/>
      <c r="U2197" s="145"/>
      <c r="V2197" s="145"/>
      <c r="W2197" s="145"/>
      <c r="X2197" s="137" t="str">
        <f>IFERROR(__xludf.DUMMYFUNCTION("""COMPUTED_VALUE"""),"Excellent")</f>
        <v>Excellent</v>
      </c>
      <c r="Y2197" s="138" t="str">
        <f>IFERROR(__xludf.DUMMYFUNCTION("""COMPUTED_VALUE"""),"Excellent")</f>
        <v>Excellent</v>
      </c>
      <c r="Z2197" s="138" t="str">
        <f>IFERROR(__xludf.DUMMYFUNCTION("""COMPUTED_VALUE"""),"Excellent")</f>
        <v>Excellent</v>
      </c>
      <c r="AA2197" s="138" t="str">
        <f>IFERROR(__xludf.DUMMYFUNCTION("""COMPUTED_VALUE"""),"Poor")</f>
        <v>Poor</v>
      </c>
      <c r="AB2197" s="138" t="str">
        <f>IFERROR(__xludf.DUMMYFUNCTION("""COMPUTED_VALUE"""),"Very Good")</f>
        <v>Very Good</v>
      </c>
      <c r="AC2197" s="139">
        <f>IFERROR(__xludf.DUMMYFUNCTION("""COMPUTED_VALUE"""),10.0)</f>
        <v>10</v>
      </c>
      <c r="AD2197" s="139">
        <f>IFERROR(__xludf.DUMMYFUNCTION("""COMPUTED_VALUE"""),0.0)</f>
        <v>0</v>
      </c>
      <c r="AE2197" s="139">
        <f>IFERROR(__xludf.DUMMYFUNCTION("""COMPUTED_VALUE"""),0.0)</f>
        <v>0</v>
      </c>
      <c r="AF2197" s="140"/>
      <c r="AG2197" s="145"/>
      <c r="AH2197" s="157">
        <f>IFERROR(__xludf.DUMMYFUNCTION("""COMPUTED_VALUE"""),43467.97519408565)</f>
        <v>43467.97519</v>
      </c>
      <c r="AI2197" s="138"/>
      <c r="AJ2197" s="138"/>
      <c r="AK2197" s="138"/>
      <c r="AL2197" s="142"/>
    </row>
    <row r="2198" ht="20.25" customHeight="1">
      <c r="A2198" s="155" t="str">
        <f>IFERROR(__xludf.DUMMYFUNCTION("""COMPUTED_VALUE"""),"smartesla")</f>
        <v>smartesla</v>
      </c>
      <c r="B2198" s="149" t="str">
        <f>IFERROR(__xludf.DUMMYFUNCTION("""COMPUTED_VALUE"""),"Bay Area")</f>
        <v>Bay Area</v>
      </c>
      <c r="C2198" s="149" t="str">
        <f>IFERROR(__xludf.DUMMYFUNCTION("""COMPUTED_VALUE"""),"CA")</f>
        <v>CA</v>
      </c>
      <c r="D2198" s="149" t="str">
        <f>IFERROR(__xludf.DUMMYFUNCTION("""COMPUTED_VALUE"""),"USA")</f>
        <v>USA</v>
      </c>
      <c r="E2198" s="156">
        <f>IFERROR(__xludf.DUMMYFUNCTION("""COMPUTED_VALUE"""),43402.0)</f>
        <v>43402</v>
      </c>
      <c r="F2198" s="129">
        <f>IFERROR(__xludf.DUMMYFUNCTION("""COMPUTED_VALUE"""),43407.0)</f>
        <v>43407</v>
      </c>
      <c r="G2198" s="154"/>
      <c r="H2198" s="131">
        <f>IFERROR(__xludf.DUMMYFUNCTION("""COMPUTED_VALUE"""),134255.0)</f>
        <v>134255</v>
      </c>
      <c r="I2198" s="144" t="str">
        <f>IFERROR(__xludf.DUMMYFUNCTION("""COMPUTED_VALUE"""),"11/18")</f>
        <v>11/18</v>
      </c>
      <c r="J2198" s="129">
        <f>IFERROR(__xludf.DUMMYFUNCTION("""COMPUTED_VALUE"""),43411.0)</f>
        <v>43411</v>
      </c>
      <c r="K2198" s="133">
        <f>IFERROR(__xludf.DUMMYFUNCTION("""COMPUTED_VALUE"""),5.0)</f>
        <v>5</v>
      </c>
      <c r="L2198" s="133">
        <f>IFERROR(__xludf.DUMMYFUNCTION("""COMPUTED_VALUE"""),4.0)</f>
        <v>4</v>
      </c>
      <c r="M2198" s="133">
        <f>IFERROR(__xludf.DUMMYFUNCTION("""COMPUTED_VALUE"""),9.0)</f>
        <v>9</v>
      </c>
      <c r="N2198" s="152" t="str">
        <f>IFERROR(__xludf.DUMMYFUNCTION("""COMPUTED_VALUE"""),"Model 3 LR AWD")</f>
        <v>Model 3 LR AWD</v>
      </c>
      <c r="O2198" s="152" t="str">
        <f>IFERROR(__xludf.DUMMYFUNCTION("""COMPUTED_VALUE"""),"Pearl White Multi-Coat")</f>
        <v>Pearl White Multi-Coat</v>
      </c>
      <c r="P2198" s="153" t="str">
        <f>IFERROR(__xludf.DUMMYFUNCTION("""COMPUTED_VALUE"""),"19 inch Sport")</f>
        <v>19 inch Sport</v>
      </c>
      <c r="Q2198" s="152" t="str">
        <f>IFERROR(__xludf.DUMMYFUNCTION("""COMPUTED_VALUE"""),"Black seats")</f>
        <v>Black seats</v>
      </c>
      <c r="R2198" s="149" t="str">
        <f>IFERROR(__xludf.DUMMYFUNCTION("""COMPUTED_VALUE"""),"None")</f>
        <v>None</v>
      </c>
      <c r="S2198" s="149"/>
      <c r="T2198" s="145"/>
      <c r="U2198" s="145"/>
      <c r="V2198" s="145"/>
      <c r="W2198" s="145"/>
      <c r="X2198" s="137" t="str">
        <f>IFERROR(__xludf.DUMMYFUNCTION("""COMPUTED_VALUE"""),"Good")</f>
        <v>Good</v>
      </c>
      <c r="Y2198" s="138" t="str">
        <f>IFERROR(__xludf.DUMMYFUNCTION("""COMPUTED_VALUE"""),"Excellent")</f>
        <v>Excellent</v>
      </c>
      <c r="Z2198" s="138" t="str">
        <f>IFERROR(__xludf.DUMMYFUNCTION("""COMPUTED_VALUE"""),"Excellent")</f>
        <v>Excellent</v>
      </c>
      <c r="AA2198" s="138" t="str">
        <f>IFERROR(__xludf.DUMMYFUNCTION("""COMPUTED_VALUE"""),"Excellent")</f>
        <v>Excellent</v>
      </c>
      <c r="AB2198" s="138" t="str">
        <f>IFERROR(__xludf.DUMMYFUNCTION("""COMPUTED_VALUE"""),"Good")</f>
        <v>Good</v>
      </c>
      <c r="AC2198" s="139"/>
      <c r="AD2198" s="139"/>
      <c r="AE2198" s="139"/>
      <c r="AF2198" s="140"/>
      <c r="AG2198" s="145"/>
      <c r="AH2198" s="157">
        <f>IFERROR(__xludf.DUMMYFUNCTION("""COMPUTED_VALUE"""),43414.0250306713)</f>
        <v>43414.02503</v>
      </c>
      <c r="AI2198" s="138"/>
      <c r="AJ2198" s="138"/>
      <c r="AK2198" s="138"/>
      <c r="AL2198" s="142"/>
    </row>
    <row r="2199" ht="20.25" customHeight="1">
      <c r="A2199" s="155" t="str">
        <f>IFERROR(__xludf.DUMMYFUNCTION("""COMPUTED_VALUE"""),"JackElMatador")</f>
        <v>JackElMatador</v>
      </c>
      <c r="B2199" s="149" t="str">
        <f>IFERROR(__xludf.DUMMYFUNCTION("""COMPUTED_VALUE"""),"Cook County")</f>
        <v>Cook County</v>
      </c>
      <c r="C2199" s="149" t="str">
        <f>IFERROR(__xludf.DUMMYFUNCTION("""COMPUTED_VALUE"""),"IL")</f>
        <v>IL</v>
      </c>
      <c r="D2199" s="149" t="str">
        <f>IFERROR(__xludf.DUMMYFUNCTION("""COMPUTED_VALUE"""),"USA")</f>
        <v>USA</v>
      </c>
      <c r="E2199" s="156">
        <f>IFERROR(__xludf.DUMMYFUNCTION("""COMPUTED_VALUE"""),43401.0)</f>
        <v>43401</v>
      </c>
      <c r="F2199" s="129">
        <f>IFERROR(__xludf.DUMMYFUNCTION("""COMPUTED_VALUE"""),43411.0)</f>
        <v>43411</v>
      </c>
      <c r="G2199" s="154"/>
      <c r="H2199" s="131">
        <f>IFERROR(__xludf.DUMMYFUNCTION("""COMPUTED_VALUE"""),118555.0)</f>
        <v>118555</v>
      </c>
      <c r="I2199" s="144"/>
      <c r="J2199" s="129">
        <f>IFERROR(__xludf.DUMMYFUNCTION("""COMPUTED_VALUE"""),43416.0)</f>
        <v>43416</v>
      </c>
      <c r="K2199" s="133">
        <f>IFERROR(__xludf.DUMMYFUNCTION("""COMPUTED_VALUE"""),10.0)</f>
        <v>10</v>
      </c>
      <c r="L2199" s="133">
        <f>IFERROR(__xludf.DUMMYFUNCTION("""COMPUTED_VALUE"""),5.0)</f>
        <v>5</v>
      </c>
      <c r="M2199" s="133">
        <f>IFERROR(__xludf.DUMMYFUNCTION("""COMPUTED_VALUE"""),15.0)</f>
        <v>15</v>
      </c>
      <c r="N2199" s="152" t="str">
        <f>IFERROR(__xludf.DUMMYFUNCTION("""COMPUTED_VALUE"""),"Model 3 LR AWD")</f>
        <v>Model 3 LR AWD</v>
      </c>
      <c r="O2199" s="152" t="str">
        <f>IFERROR(__xludf.DUMMYFUNCTION("""COMPUTED_VALUE"""),"Solid Black")</f>
        <v>Solid Black</v>
      </c>
      <c r="P2199" s="153" t="str">
        <f>IFERROR(__xludf.DUMMYFUNCTION("""COMPUTED_VALUE"""),"18 inch Aero")</f>
        <v>18 inch Aero</v>
      </c>
      <c r="Q2199" s="152" t="str">
        <f>IFERROR(__xludf.DUMMYFUNCTION("""COMPUTED_VALUE"""),"Black seats")</f>
        <v>Black seats</v>
      </c>
      <c r="R2199" s="149" t="str">
        <f>IFERROR(__xludf.DUMMYFUNCTION("""COMPUTED_VALUE"""),"None")</f>
        <v>None</v>
      </c>
      <c r="S2199" s="149"/>
      <c r="T2199" s="145"/>
      <c r="U2199" s="145"/>
      <c r="V2199" s="145"/>
      <c r="W2199" s="145"/>
      <c r="X2199" s="137" t="str">
        <f>IFERROR(__xludf.DUMMYFUNCTION("""COMPUTED_VALUE"""),"Excellent")</f>
        <v>Excellent</v>
      </c>
      <c r="Y2199" s="138" t="str">
        <f>IFERROR(__xludf.DUMMYFUNCTION("""COMPUTED_VALUE"""),"Excellent")</f>
        <v>Excellent</v>
      </c>
      <c r="Z2199" s="138" t="str">
        <f>IFERROR(__xludf.DUMMYFUNCTION("""COMPUTED_VALUE"""),"Excellent")</f>
        <v>Excellent</v>
      </c>
      <c r="AA2199" s="138" t="str">
        <f>IFERROR(__xludf.DUMMYFUNCTION("""COMPUTED_VALUE"""),"Excellent")</f>
        <v>Excellent</v>
      </c>
      <c r="AB2199" s="138" t="str">
        <f>IFERROR(__xludf.DUMMYFUNCTION("""COMPUTED_VALUE"""),"Good")</f>
        <v>Good</v>
      </c>
      <c r="AC2199" s="139"/>
      <c r="AD2199" s="139"/>
      <c r="AE2199" s="139"/>
      <c r="AF2199" s="140"/>
      <c r="AG2199" s="145"/>
      <c r="AH2199" s="157">
        <f>IFERROR(__xludf.DUMMYFUNCTION("""COMPUTED_VALUE"""),43417.15894984954)</f>
        <v>43417.15895</v>
      </c>
      <c r="AI2199" s="138"/>
      <c r="AJ2199" s="138"/>
      <c r="AK2199" s="138"/>
      <c r="AL2199" s="142"/>
    </row>
    <row r="2200" ht="20.25" customHeight="1">
      <c r="A2200" s="155" t="str">
        <f>IFERROR(__xludf.DUMMYFUNCTION("""COMPUTED_VALUE"""),"mike813")</f>
        <v>mike813</v>
      </c>
      <c r="B2200" s="149" t="str">
        <f>IFERROR(__xludf.DUMMYFUNCTION("""COMPUTED_VALUE"""),"NE Florida")</f>
        <v>NE Florida</v>
      </c>
      <c r="C2200" s="149" t="str">
        <f>IFERROR(__xludf.DUMMYFUNCTION("""COMPUTED_VALUE"""),"FL")</f>
        <v>FL</v>
      </c>
      <c r="D2200" s="149" t="str">
        <f>IFERROR(__xludf.DUMMYFUNCTION("""COMPUTED_VALUE"""),"USA")</f>
        <v>USA</v>
      </c>
      <c r="E2200" s="156">
        <f>IFERROR(__xludf.DUMMYFUNCTION("""COMPUTED_VALUE"""),43401.0)</f>
        <v>43401</v>
      </c>
      <c r="F2200" s="129">
        <f>IFERROR(__xludf.DUMMYFUNCTION("""COMPUTED_VALUE"""),43404.0)</f>
        <v>43404</v>
      </c>
      <c r="G2200" s="154"/>
      <c r="H2200" s="131">
        <f>IFERROR(__xludf.DUMMYFUNCTION("""COMPUTED_VALUE"""),115655.0)</f>
        <v>115655</v>
      </c>
      <c r="I2200" s="144"/>
      <c r="J2200" s="129">
        <f>IFERROR(__xludf.DUMMYFUNCTION("""COMPUTED_VALUE"""),43419.0)</f>
        <v>43419</v>
      </c>
      <c r="K2200" s="133">
        <f>IFERROR(__xludf.DUMMYFUNCTION("""COMPUTED_VALUE"""),3.0)</f>
        <v>3</v>
      </c>
      <c r="L2200" s="133">
        <f>IFERROR(__xludf.DUMMYFUNCTION("""COMPUTED_VALUE"""),15.0)</f>
        <v>15</v>
      </c>
      <c r="M2200" s="133">
        <f>IFERROR(__xludf.DUMMYFUNCTION("""COMPUTED_VALUE"""),18.0)</f>
        <v>18</v>
      </c>
      <c r="N2200" s="152" t="str">
        <f>IFERROR(__xludf.DUMMYFUNCTION("""COMPUTED_VALUE"""),"Model 3 LR AWD")</f>
        <v>Model 3 LR AWD</v>
      </c>
      <c r="O2200" s="152" t="str">
        <f>IFERROR(__xludf.DUMMYFUNCTION("""COMPUTED_VALUE"""),"Pearl White Multi-Coat")</f>
        <v>Pearl White Multi-Coat</v>
      </c>
      <c r="P2200" s="153" t="str">
        <f>IFERROR(__xludf.DUMMYFUNCTION("""COMPUTED_VALUE"""),"18 inch Aero")</f>
        <v>18 inch Aero</v>
      </c>
      <c r="Q2200" s="152" t="str">
        <f>IFERROR(__xludf.DUMMYFUNCTION("""COMPUTED_VALUE"""),"Black seats")</f>
        <v>Black seats</v>
      </c>
      <c r="R2200" s="149" t="str">
        <f>IFERROR(__xludf.DUMMYFUNCTION("""COMPUTED_VALUE"""),"Enhanced Autopilot")</f>
        <v>Enhanced Autopilot</v>
      </c>
      <c r="S2200" s="149"/>
      <c r="T2200" s="145"/>
      <c r="U2200" s="145"/>
      <c r="V2200" s="145"/>
      <c r="W2200" s="145"/>
      <c r="X2200" s="137" t="str">
        <f>IFERROR(__xludf.DUMMYFUNCTION("""COMPUTED_VALUE"""),"Excellent")</f>
        <v>Excellent</v>
      </c>
      <c r="Y2200" s="138" t="str">
        <f>IFERROR(__xludf.DUMMYFUNCTION("""COMPUTED_VALUE"""),"Excellent")</f>
        <v>Excellent</v>
      </c>
      <c r="Z2200" s="138" t="str">
        <f>IFERROR(__xludf.DUMMYFUNCTION("""COMPUTED_VALUE"""),"Excellent")</f>
        <v>Excellent</v>
      </c>
      <c r="AA2200" s="138" t="str">
        <f>IFERROR(__xludf.DUMMYFUNCTION("""COMPUTED_VALUE"""),"Excellent")</f>
        <v>Excellent</v>
      </c>
      <c r="AB2200" s="138" t="str">
        <f>IFERROR(__xludf.DUMMYFUNCTION("""COMPUTED_VALUE"""),"Excellent")</f>
        <v>Excellent</v>
      </c>
      <c r="AC2200" s="139">
        <f>IFERROR(__xludf.DUMMYFUNCTION("""COMPUTED_VALUE"""),0.0)</f>
        <v>0</v>
      </c>
      <c r="AD2200" s="139">
        <f>IFERROR(__xludf.DUMMYFUNCTION("""COMPUTED_VALUE"""),0.0)</f>
        <v>0</v>
      </c>
      <c r="AE2200" s="139">
        <f>IFERROR(__xludf.DUMMYFUNCTION("""COMPUTED_VALUE"""),0.0)</f>
        <v>0</v>
      </c>
      <c r="AF2200" s="140"/>
      <c r="AG2200" s="145" t="str">
        <f>IFERROR(__xludf.DUMMYFUNCTION("""COMPUTED_VALUE"""),"Non reservation holder.  Ordered RWD MR 10/23/18.  Edited order 10/28/18 to switch to AWD LR hoping for earlier delivery.  ")</f>
        <v>Non reservation holder.  Ordered RWD MR 10/23/18.  Edited order 10/28/18 to switch to AWD LR hoping for earlier delivery.  </v>
      </c>
      <c r="AH2200" s="157">
        <f>IFERROR(__xludf.DUMMYFUNCTION("""COMPUTED_VALUE"""),43420.21547090278)</f>
        <v>43420.21547</v>
      </c>
      <c r="AI2200" s="138"/>
      <c r="AJ2200" s="138"/>
      <c r="AK2200" s="138"/>
      <c r="AL2200" s="142"/>
    </row>
    <row r="2201" ht="20.25" customHeight="1">
      <c r="A2201" s="155" t="str">
        <f>IFERROR(__xludf.DUMMYFUNCTION("""COMPUTED_VALUE"""),"mikemc")</f>
        <v>mikemc</v>
      </c>
      <c r="B2201" s="149" t="str">
        <f>IFERROR(__xludf.DUMMYFUNCTION("""COMPUTED_VALUE"""),"Cincinnati")</f>
        <v>Cincinnati</v>
      </c>
      <c r="C2201" s="149" t="str">
        <f>IFERROR(__xludf.DUMMYFUNCTION("""COMPUTED_VALUE"""),"OH")</f>
        <v>OH</v>
      </c>
      <c r="D2201" s="149" t="str">
        <f>IFERROR(__xludf.DUMMYFUNCTION("""COMPUTED_VALUE"""),"USA")</f>
        <v>USA</v>
      </c>
      <c r="E2201" s="156">
        <f>IFERROR(__xludf.DUMMYFUNCTION("""COMPUTED_VALUE"""),43401.0)</f>
        <v>43401</v>
      </c>
      <c r="F2201" s="129">
        <f>IFERROR(__xludf.DUMMYFUNCTION("""COMPUTED_VALUE"""),43443.0)</f>
        <v>43443</v>
      </c>
      <c r="G2201" s="154"/>
      <c r="H2201" s="131">
        <f>IFERROR(__xludf.DUMMYFUNCTION("""COMPUTED_VALUE"""),155355.0)</f>
        <v>155355</v>
      </c>
      <c r="I2201" s="144"/>
      <c r="J2201" s="129">
        <f>IFERROR(__xludf.DUMMYFUNCTION("""COMPUTED_VALUE"""),43450.0)</f>
        <v>43450</v>
      </c>
      <c r="K2201" s="133">
        <f>IFERROR(__xludf.DUMMYFUNCTION("""COMPUTED_VALUE"""),42.0)</f>
        <v>42</v>
      </c>
      <c r="L2201" s="133">
        <f>IFERROR(__xludf.DUMMYFUNCTION("""COMPUTED_VALUE"""),7.0)</f>
        <v>7</v>
      </c>
      <c r="M2201" s="133">
        <f>IFERROR(__xludf.DUMMYFUNCTION("""COMPUTED_VALUE"""),49.0)</f>
        <v>49</v>
      </c>
      <c r="N2201" s="152" t="str">
        <f>IFERROR(__xludf.DUMMYFUNCTION("""COMPUTED_VALUE"""),"Model 3 MR")</f>
        <v>Model 3 MR</v>
      </c>
      <c r="O2201" s="152" t="str">
        <f>IFERROR(__xludf.DUMMYFUNCTION("""COMPUTED_VALUE"""),"Solid Black")</f>
        <v>Solid Black</v>
      </c>
      <c r="P2201" s="153" t="str">
        <f>IFERROR(__xludf.DUMMYFUNCTION("""COMPUTED_VALUE"""),"18 inch Aero")</f>
        <v>18 inch Aero</v>
      </c>
      <c r="Q2201" s="152" t="str">
        <f>IFERROR(__xludf.DUMMYFUNCTION("""COMPUTED_VALUE"""),"White seats")</f>
        <v>White seats</v>
      </c>
      <c r="R2201" s="149" t="str">
        <f>IFERROR(__xludf.DUMMYFUNCTION("""COMPUTED_VALUE"""),"None")</f>
        <v>None</v>
      </c>
      <c r="S2201" s="149"/>
      <c r="T2201" s="145"/>
      <c r="U2201" s="145"/>
      <c r="V2201" s="145"/>
      <c r="W2201" s="145"/>
      <c r="X2201" s="137" t="str">
        <f>IFERROR(__xludf.DUMMYFUNCTION("""COMPUTED_VALUE"""),"Excellent")</f>
        <v>Excellent</v>
      </c>
      <c r="Y2201" s="138" t="str">
        <f>IFERROR(__xludf.DUMMYFUNCTION("""COMPUTED_VALUE"""),"Excellent")</f>
        <v>Excellent</v>
      </c>
      <c r="Z2201" s="138" t="str">
        <f>IFERROR(__xludf.DUMMYFUNCTION("""COMPUTED_VALUE"""),"Excellent")</f>
        <v>Excellent</v>
      </c>
      <c r="AA2201" s="138" t="str">
        <f>IFERROR(__xludf.DUMMYFUNCTION("""COMPUTED_VALUE"""),"Excellent")</f>
        <v>Excellent</v>
      </c>
      <c r="AB2201" s="138" t="str">
        <f>IFERROR(__xludf.DUMMYFUNCTION("""COMPUTED_VALUE"""),"Very Good")</f>
        <v>Very Good</v>
      </c>
      <c r="AC2201" s="139"/>
      <c r="AD2201" s="139"/>
      <c r="AE2201" s="139"/>
      <c r="AF2201" s="140"/>
      <c r="AG2201" s="145"/>
      <c r="AH2201" s="157">
        <f>IFERROR(__xludf.DUMMYFUNCTION("""COMPUTED_VALUE"""),43452.8421309375)</f>
        <v>43452.84213</v>
      </c>
      <c r="AI2201" s="138"/>
      <c r="AJ2201" s="138"/>
      <c r="AK2201" s="138"/>
      <c r="AL2201" s="142"/>
    </row>
    <row r="2202" ht="20.25" customHeight="1">
      <c r="A2202" s="155" t="str">
        <f>IFERROR(__xludf.DUMMYFUNCTION("""COMPUTED_VALUE"""),"Syzygy")</f>
        <v>Syzygy</v>
      </c>
      <c r="B2202" s="149" t="str">
        <f>IFERROR(__xludf.DUMMYFUNCTION("""COMPUTED_VALUE"""),"US")</f>
        <v>US</v>
      </c>
      <c r="C2202" s="149" t="str">
        <f>IFERROR(__xludf.DUMMYFUNCTION("""COMPUTED_VALUE"""),"NC")</f>
        <v>NC</v>
      </c>
      <c r="D2202" s="149" t="str">
        <f>IFERROR(__xludf.DUMMYFUNCTION("""COMPUTED_VALUE"""),"USA")</f>
        <v>USA</v>
      </c>
      <c r="E2202" s="156">
        <f>IFERROR(__xludf.DUMMYFUNCTION("""COMPUTED_VALUE"""),43401.0)</f>
        <v>43401</v>
      </c>
      <c r="F2202" s="129">
        <f>IFERROR(__xludf.DUMMYFUNCTION("""COMPUTED_VALUE"""),43410.0)</f>
        <v>43410</v>
      </c>
      <c r="G2202" s="154"/>
      <c r="H2202" s="131"/>
      <c r="I2202" s="144"/>
      <c r="J2202" s="129">
        <f>IFERROR(__xludf.DUMMYFUNCTION("""COMPUTED_VALUE"""),43424.0)</f>
        <v>43424</v>
      </c>
      <c r="K2202" s="133">
        <f>IFERROR(__xludf.DUMMYFUNCTION("""COMPUTED_VALUE"""),9.0)</f>
        <v>9</v>
      </c>
      <c r="L2202" s="133">
        <f>IFERROR(__xludf.DUMMYFUNCTION("""COMPUTED_VALUE"""),14.0)</f>
        <v>14</v>
      </c>
      <c r="M2202" s="133">
        <f>IFERROR(__xludf.DUMMYFUNCTION("""COMPUTED_VALUE"""),23.0)</f>
        <v>23</v>
      </c>
      <c r="N2202" s="152" t="str">
        <f>IFERROR(__xludf.DUMMYFUNCTION("""COMPUTED_VALUE"""),"Model 3 LR AWD")</f>
        <v>Model 3 LR AWD</v>
      </c>
      <c r="O2202" s="152" t="str">
        <f>IFERROR(__xludf.DUMMYFUNCTION("""COMPUTED_VALUE"""),"Solid Black")</f>
        <v>Solid Black</v>
      </c>
      <c r="P2202" s="153" t="str">
        <f>IFERROR(__xludf.DUMMYFUNCTION("""COMPUTED_VALUE"""),"18 inch Aero")</f>
        <v>18 inch Aero</v>
      </c>
      <c r="Q2202" s="152" t="str">
        <f>IFERROR(__xludf.DUMMYFUNCTION("""COMPUTED_VALUE"""),"Black seats")</f>
        <v>Black seats</v>
      </c>
      <c r="R2202" s="149" t="str">
        <f>IFERROR(__xludf.DUMMYFUNCTION("""COMPUTED_VALUE"""),"Enhanced Autopilot")</f>
        <v>Enhanced Autopilot</v>
      </c>
      <c r="S2202" s="149"/>
      <c r="T2202" s="145"/>
      <c r="U2202" s="145"/>
      <c r="V2202" s="145"/>
      <c r="W2202" s="145"/>
      <c r="X2202" s="137" t="str">
        <f>IFERROR(__xludf.DUMMYFUNCTION("""COMPUTED_VALUE"""),"Very Good")</f>
        <v>Very Good</v>
      </c>
      <c r="Y2202" s="138" t="str">
        <f>IFERROR(__xludf.DUMMYFUNCTION("""COMPUTED_VALUE"""),"Excellent")</f>
        <v>Excellent</v>
      </c>
      <c r="Z2202" s="138" t="str">
        <f>IFERROR(__xludf.DUMMYFUNCTION("""COMPUTED_VALUE"""),"Excellent")</f>
        <v>Excellent</v>
      </c>
      <c r="AA2202" s="138" t="str">
        <f>IFERROR(__xludf.DUMMYFUNCTION("""COMPUTED_VALUE"""),"Excellent")</f>
        <v>Excellent</v>
      </c>
      <c r="AB2202" s="138" t="str">
        <f>IFERROR(__xludf.DUMMYFUNCTION("""COMPUTED_VALUE"""),"Excellent")</f>
        <v>Excellent</v>
      </c>
      <c r="AC2202" s="139"/>
      <c r="AD2202" s="139"/>
      <c r="AE2202" s="139"/>
      <c r="AF2202" s="140"/>
      <c r="AG2202" s="145"/>
      <c r="AH2202" s="157">
        <f>IFERROR(__xludf.DUMMYFUNCTION("""COMPUTED_VALUE"""),43424.78551947916)</f>
        <v>43424.78552</v>
      </c>
      <c r="AI2202" s="138"/>
      <c r="AJ2202" s="138"/>
      <c r="AK2202" s="138"/>
      <c r="AL2202" s="142"/>
    </row>
    <row r="2203" ht="20.25" customHeight="1">
      <c r="A2203" s="155" t="str">
        <f>IFERROR(__xludf.DUMMYFUNCTION("""COMPUTED_VALUE"""),"whosyourbaba")</f>
        <v>whosyourbaba</v>
      </c>
      <c r="B2203" s="149" t="str">
        <f>IFERROR(__xludf.DUMMYFUNCTION("""COMPUTED_VALUE"""),"Chicago")</f>
        <v>Chicago</v>
      </c>
      <c r="C2203" s="149" t="str">
        <f>IFERROR(__xludf.DUMMYFUNCTION("""COMPUTED_VALUE"""),"IL")</f>
        <v>IL</v>
      </c>
      <c r="D2203" s="149" t="str">
        <f>IFERROR(__xludf.DUMMYFUNCTION("""COMPUTED_VALUE"""),"USA")</f>
        <v>USA</v>
      </c>
      <c r="E2203" s="156">
        <f>IFERROR(__xludf.DUMMYFUNCTION("""COMPUTED_VALUE"""),43401.0)</f>
        <v>43401</v>
      </c>
      <c r="F2203" s="129">
        <f>IFERROR(__xludf.DUMMYFUNCTION("""COMPUTED_VALUE"""),43409.0)</f>
        <v>43409</v>
      </c>
      <c r="G2203" s="154"/>
      <c r="H2203" s="131">
        <f>IFERROR(__xludf.DUMMYFUNCTION("""COMPUTED_VALUE"""),76855.0)</f>
        <v>76855</v>
      </c>
      <c r="I2203" s="144" t="str">
        <f>IFERROR(__xludf.DUMMYFUNCTION("""COMPUTED_VALUE"""),"10/18")</f>
        <v>10/18</v>
      </c>
      <c r="J2203" s="129">
        <f>IFERROR(__xludf.DUMMYFUNCTION("""COMPUTED_VALUE"""),43420.0)</f>
        <v>43420</v>
      </c>
      <c r="K2203" s="133">
        <f>IFERROR(__xludf.DUMMYFUNCTION("""COMPUTED_VALUE"""),8.0)</f>
        <v>8</v>
      </c>
      <c r="L2203" s="133">
        <f>IFERROR(__xludf.DUMMYFUNCTION("""COMPUTED_VALUE"""),11.0)</f>
        <v>11</v>
      </c>
      <c r="M2203" s="133">
        <f>IFERROR(__xludf.DUMMYFUNCTION("""COMPUTED_VALUE"""),19.0)</f>
        <v>19</v>
      </c>
      <c r="N2203" s="152" t="str">
        <f>IFERROR(__xludf.DUMMYFUNCTION("""COMPUTED_VALUE"""),"Model 3 LR")</f>
        <v>Model 3 LR</v>
      </c>
      <c r="O2203" s="152" t="str">
        <f>IFERROR(__xludf.DUMMYFUNCTION("""COMPUTED_VALUE"""),"Pearl White Multi-Coat")</f>
        <v>Pearl White Multi-Coat</v>
      </c>
      <c r="P2203" s="153" t="str">
        <f>IFERROR(__xludf.DUMMYFUNCTION("""COMPUTED_VALUE"""),"18 inch Aero")</f>
        <v>18 inch Aero</v>
      </c>
      <c r="Q2203" s="152" t="str">
        <f>IFERROR(__xludf.DUMMYFUNCTION("""COMPUTED_VALUE"""),"Black seats")</f>
        <v>Black seats</v>
      </c>
      <c r="R2203" s="149" t="str">
        <f>IFERROR(__xludf.DUMMYFUNCTION("""COMPUTED_VALUE"""),"Enhanced Autopilot")</f>
        <v>Enhanced Autopilot</v>
      </c>
      <c r="S2203" s="149"/>
      <c r="T2203" s="145"/>
      <c r="U2203" s="145"/>
      <c r="V2203" s="145"/>
      <c r="W2203" s="145"/>
      <c r="X2203" s="137" t="str">
        <f>IFERROR(__xludf.DUMMYFUNCTION("""COMPUTED_VALUE"""),"Excellent")</f>
        <v>Excellent</v>
      </c>
      <c r="Y2203" s="138" t="str">
        <f>IFERROR(__xludf.DUMMYFUNCTION("""COMPUTED_VALUE"""),"Excellent")</f>
        <v>Excellent</v>
      </c>
      <c r="Z2203" s="138" t="str">
        <f>IFERROR(__xludf.DUMMYFUNCTION("""COMPUTED_VALUE"""),"Very Good")</f>
        <v>Very Good</v>
      </c>
      <c r="AA2203" s="138" t="str">
        <f>IFERROR(__xludf.DUMMYFUNCTION("""COMPUTED_VALUE"""),"Excellent")</f>
        <v>Excellent</v>
      </c>
      <c r="AB2203" s="138" t="str">
        <f>IFERROR(__xludf.DUMMYFUNCTION("""COMPUTED_VALUE"""),"Excellent")</f>
        <v>Excellent</v>
      </c>
      <c r="AC2203" s="139">
        <f>IFERROR(__xludf.DUMMYFUNCTION("""COMPUTED_VALUE"""),1.0)</f>
        <v>1</v>
      </c>
      <c r="AD2203" s="139"/>
      <c r="AE2203" s="139"/>
      <c r="AF2203" s="140"/>
      <c r="AG2203" s="145"/>
      <c r="AH2203" s="157">
        <f>IFERROR(__xludf.DUMMYFUNCTION("""COMPUTED_VALUE"""),43420.61146118055)</f>
        <v>43420.61146</v>
      </c>
      <c r="AI2203" s="138"/>
      <c r="AJ2203" s="138"/>
      <c r="AK2203" s="138"/>
      <c r="AL2203" s="142"/>
    </row>
    <row r="2204" ht="20.25" customHeight="1">
      <c r="A2204" s="155" t="str">
        <f>IFERROR(__xludf.DUMMYFUNCTION("""COMPUTED_VALUE"""),"AAAA")</f>
        <v>AAAA</v>
      </c>
      <c r="B2204" s="149" t="str">
        <f>IFERROR(__xludf.DUMMYFUNCTION("""COMPUTED_VALUE"""),"Murphy")</f>
        <v>Murphy</v>
      </c>
      <c r="C2204" s="149" t="str">
        <f>IFERROR(__xludf.DUMMYFUNCTION("""COMPUTED_VALUE"""),"TX")</f>
        <v>TX</v>
      </c>
      <c r="D2204" s="149" t="str">
        <f>IFERROR(__xludf.DUMMYFUNCTION("""COMPUTED_VALUE"""),"USA")</f>
        <v>USA</v>
      </c>
      <c r="E2204" s="156">
        <f>IFERROR(__xludf.DUMMYFUNCTION("""COMPUTED_VALUE"""),43400.0)</f>
        <v>43400</v>
      </c>
      <c r="F2204" s="129">
        <f>IFERROR(__xludf.DUMMYFUNCTION("""COMPUTED_VALUE"""),43452.0)</f>
        <v>43452</v>
      </c>
      <c r="G2204" s="154"/>
      <c r="H2204" s="131">
        <f>IFERROR(__xludf.DUMMYFUNCTION("""COMPUTED_VALUE"""),160335.0)</f>
        <v>160335</v>
      </c>
      <c r="I2204" s="144" t="str">
        <f>IFERROR(__xludf.DUMMYFUNCTION("""COMPUTED_VALUE"""),"12/18")</f>
        <v>12/18</v>
      </c>
      <c r="J2204" s="129">
        <f>IFERROR(__xludf.DUMMYFUNCTION("""COMPUTED_VALUE"""),43458.0)</f>
        <v>43458</v>
      </c>
      <c r="K2204" s="133">
        <f>IFERROR(__xludf.DUMMYFUNCTION("""COMPUTED_VALUE"""),52.0)</f>
        <v>52</v>
      </c>
      <c r="L2204" s="133">
        <f>IFERROR(__xludf.DUMMYFUNCTION("""COMPUTED_VALUE"""),6.0)</f>
        <v>6</v>
      </c>
      <c r="M2204" s="133">
        <f>IFERROR(__xludf.DUMMYFUNCTION("""COMPUTED_VALUE"""),58.0)</f>
        <v>58</v>
      </c>
      <c r="N2204" s="152" t="str">
        <f>IFERROR(__xludf.DUMMYFUNCTION("""COMPUTED_VALUE"""),"Model 3 MR")</f>
        <v>Model 3 MR</v>
      </c>
      <c r="O2204" s="152" t="str">
        <f>IFERROR(__xludf.DUMMYFUNCTION("""COMPUTED_VALUE"""),"Deep Blue Metallic")</f>
        <v>Deep Blue Metallic</v>
      </c>
      <c r="P2204" s="153" t="str">
        <f>IFERROR(__xludf.DUMMYFUNCTION("""COMPUTED_VALUE"""),"18 inch Aero")</f>
        <v>18 inch Aero</v>
      </c>
      <c r="Q2204" s="152" t="str">
        <f>IFERROR(__xludf.DUMMYFUNCTION("""COMPUTED_VALUE"""),"Black seats")</f>
        <v>Black seats</v>
      </c>
      <c r="R2204" s="149" t="str">
        <f>IFERROR(__xludf.DUMMYFUNCTION("""COMPUTED_VALUE"""),"Enhanced Autopilot")</f>
        <v>Enhanced Autopilot</v>
      </c>
      <c r="S2204" s="149"/>
      <c r="T2204" s="145"/>
      <c r="U2204" s="145"/>
      <c r="V2204" s="145"/>
      <c r="W2204" s="145"/>
      <c r="X2204" s="137" t="str">
        <f>IFERROR(__xludf.DUMMYFUNCTION("""COMPUTED_VALUE"""),"Excellent")</f>
        <v>Excellent</v>
      </c>
      <c r="Y2204" s="138" t="str">
        <f>IFERROR(__xludf.DUMMYFUNCTION("""COMPUTED_VALUE"""),"Excellent")</f>
        <v>Excellent</v>
      </c>
      <c r="Z2204" s="138" t="str">
        <f>IFERROR(__xludf.DUMMYFUNCTION("""COMPUTED_VALUE"""),"Excellent")</f>
        <v>Excellent</v>
      </c>
      <c r="AA2204" s="138" t="str">
        <f>IFERROR(__xludf.DUMMYFUNCTION("""COMPUTED_VALUE"""),"Excellent")</f>
        <v>Excellent</v>
      </c>
      <c r="AB2204" s="138" t="str">
        <f>IFERROR(__xludf.DUMMYFUNCTION("""COMPUTED_VALUE"""),"Excellent")</f>
        <v>Excellent</v>
      </c>
      <c r="AC2204" s="139">
        <f>IFERROR(__xludf.DUMMYFUNCTION("""COMPUTED_VALUE"""),1.0)</f>
        <v>1</v>
      </c>
      <c r="AD2204" s="139"/>
      <c r="AE2204" s="139"/>
      <c r="AF2204" s="140"/>
      <c r="AG2204" s="145"/>
      <c r="AH2204" s="157">
        <f>IFERROR(__xludf.DUMMYFUNCTION("""COMPUTED_VALUE"""),43473.5067215162)</f>
        <v>43473.50672</v>
      </c>
      <c r="AI2204" s="138"/>
      <c r="AJ2204" s="138"/>
      <c r="AK2204" s="138"/>
      <c r="AL2204" s="142"/>
    </row>
    <row r="2205" ht="20.25" customHeight="1">
      <c r="A2205" s="155" t="str">
        <f>IFERROR(__xludf.DUMMYFUNCTION("""COMPUTED_VALUE"""),"AndyN")</f>
        <v>AndyN</v>
      </c>
      <c r="B2205" s="149" t="str">
        <f>IFERROR(__xludf.DUMMYFUNCTION("""COMPUTED_VALUE"""),"Los Angeles")</f>
        <v>Los Angeles</v>
      </c>
      <c r="C2205" s="149" t="str">
        <f>IFERROR(__xludf.DUMMYFUNCTION("""COMPUTED_VALUE"""),"CA")</f>
        <v>CA</v>
      </c>
      <c r="D2205" s="149" t="str">
        <f>IFERROR(__xludf.DUMMYFUNCTION("""COMPUTED_VALUE"""),"USA")</f>
        <v>USA</v>
      </c>
      <c r="E2205" s="156">
        <f>IFERROR(__xludf.DUMMYFUNCTION("""COMPUTED_VALUE"""),43400.0)</f>
        <v>43400</v>
      </c>
      <c r="F2205" s="129">
        <f>IFERROR(__xludf.DUMMYFUNCTION("""COMPUTED_VALUE"""),43410.0)</f>
        <v>43410</v>
      </c>
      <c r="G2205" s="154"/>
      <c r="H2205" s="131">
        <f>IFERROR(__xludf.DUMMYFUNCTION("""COMPUTED_VALUE"""),75155.0)</f>
        <v>75155</v>
      </c>
      <c r="I2205" s="144" t="str">
        <f>IFERROR(__xludf.DUMMYFUNCTION("""COMPUTED_VALUE"""),"10/18")</f>
        <v>10/18</v>
      </c>
      <c r="J2205" s="129">
        <f>IFERROR(__xludf.DUMMYFUNCTION("""COMPUTED_VALUE"""),43415.0)</f>
        <v>43415</v>
      </c>
      <c r="K2205" s="133">
        <f>IFERROR(__xludf.DUMMYFUNCTION("""COMPUTED_VALUE"""),10.0)</f>
        <v>10</v>
      </c>
      <c r="L2205" s="133">
        <f>IFERROR(__xludf.DUMMYFUNCTION("""COMPUTED_VALUE"""),5.0)</f>
        <v>5</v>
      </c>
      <c r="M2205" s="133">
        <f>IFERROR(__xludf.DUMMYFUNCTION("""COMPUTED_VALUE"""),15.0)</f>
        <v>15</v>
      </c>
      <c r="N2205" s="152" t="str">
        <f>IFERROR(__xludf.DUMMYFUNCTION("""COMPUTED_VALUE"""),"Model 3 LR AWD")</f>
        <v>Model 3 LR AWD</v>
      </c>
      <c r="O2205" s="152" t="str">
        <f>IFERROR(__xludf.DUMMYFUNCTION("""COMPUTED_VALUE"""),"Deep Blue Metallic")</f>
        <v>Deep Blue Metallic</v>
      </c>
      <c r="P2205" s="153" t="str">
        <f>IFERROR(__xludf.DUMMYFUNCTION("""COMPUTED_VALUE"""),"18 inch Aero")</f>
        <v>18 inch Aero</v>
      </c>
      <c r="Q2205" s="152" t="str">
        <f>IFERROR(__xludf.DUMMYFUNCTION("""COMPUTED_VALUE"""),"White seats")</f>
        <v>White seats</v>
      </c>
      <c r="R2205" s="149" t="str">
        <f>IFERROR(__xludf.DUMMYFUNCTION("""COMPUTED_VALUE"""),"Enhanced Autopilot")</f>
        <v>Enhanced Autopilot</v>
      </c>
      <c r="S2205" s="149"/>
      <c r="T2205" s="145"/>
      <c r="U2205" s="145"/>
      <c r="V2205" s="145"/>
      <c r="W2205" s="145"/>
      <c r="X2205" s="137" t="str">
        <f>IFERROR(__xludf.DUMMYFUNCTION("""COMPUTED_VALUE"""),"Excellent")</f>
        <v>Excellent</v>
      </c>
      <c r="Y2205" s="138" t="str">
        <f>IFERROR(__xludf.DUMMYFUNCTION("""COMPUTED_VALUE"""),"Excellent")</f>
        <v>Excellent</v>
      </c>
      <c r="Z2205" s="138" t="str">
        <f>IFERROR(__xludf.DUMMYFUNCTION("""COMPUTED_VALUE"""),"Very Good")</f>
        <v>Very Good</v>
      </c>
      <c r="AA2205" s="138" t="str">
        <f>IFERROR(__xludf.DUMMYFUNCTION("""COMPUTED_VALUE"""),"Very Good")</f>
        <v>Very Good</v>
      </c>
      <c r="AB2205" s="138" t="str">
        <f>IFERROR(__xludf.DUMMYFUNCTION("""COMPUTED_VALUE"""),"Very Good")</f>
        <v>Very Good</v>
      </c>
      <c r="AC2205" s="139"/>
      <c r="AD2205" s="139"/>
      <c r="AE2205" s="139"/>
      <c r="AF2205" s="140"/>
      <c r="AG2205" s="145"/>
      <c r="AH2205" s="157">
        <f>IFERROR(__xludf.DUMMYFUNCTION("""COMPUTED_VALUE"""),43415.81946578704)</f>
        <v>43415.81947</v>
      </c>
      <c r="AI2205" s="138"/>
      <c r="AJ2205" s="138"/>
      <c r="AK2205" s="138"/>
      <c r="AL2205" s="142"/>
    </row>
    <row r="2206" ht="20.25" customHeight="1">
      <c r="A2206" s="155" t="str">
        <f>IFERROR(__xludf.DUMMYFUNCTION("""COMPUTED_VALUE"""),"Barnaby")</f>
        <v>Barnaby</v>
      </c>
      <c r="B2206" s="149"/>
      <c r="C2206" s="149" t="str">
        <f>IFERROR(__xludf.DUMMYFUNCTION("""COMPUTED_VALUE"""),"CO")</f>
        <v>CO</v>
      </c>
      <c r="D2206" s="149" t="str">
        <f>IFERROR(__xludf.DUMMYFUNCTION("""COMPUTED_VALUE"""),"USA")</f>
        <v>USA</v>
      </c>
      <c r="E2206" s="156">
        <f>IFERROR(__xludf.DUMMYFUNCTION("""COMPUTED_VALUE"""),43400.0)</f>
        <v>43400</v>
      </c>
      <c r="F2206" s="129">
        <f>IFERROR(__xludf.DUMMYFUNCTION("""COMPUTED_VALUE"""),43416.0)</f>
        <v>43416</v>
      </c>
      <c r="G2206" s="154"/>
      <c r="H2206" s="131">
        <f>IFERROR(__xludf.DUMMYFUNCTION("""COMPUTED_VALUE"""),153655.0)</f>
        <v>153655</v>
      </c>
      <c r="I2206" s="144" t="str">
        <f>IFERROR(__xludf.DUMMYFUNCTION("""COMPUTED_VALUE"""),"11/18")</f>
        <v>11/18</v>
      </c>
      <c r="J2206" s="129">
        <f>IFERROR(__xludf.DUMMYFUNCTION("""COMPUTED_VALUE"""),43421.0)</f>
        <v>43421</v>
      </c>
      <c r="K2206" s="133">
        <f>IFERROR(__xludf.DUMMYFUNCTION("""COMPUTED_VALUE"""),16.0)</f>
        <v>16</v>
      </c>
      <c r="L2206" s="133">
        <f>IFERROR(__xludf.DUMMYFUNCTION("""COMPUTED_VALUE"""),5.0)</f>
        <v>5</v>
      </c>
      <c r="M2206" s="133">
        <f>IFERROR(__xludf.DUMMYFUNCTION("""COMPUTED_VALUE"""),21.0)</f>
        <v>21</v>
      </c>
      <c r="N2206" s="152" t="str">
        <f>IFERROR(__xludf.DUMMYFUNCTION("""COMPUTED_VALUE"""),"Model 3 MR")</f>
        <v>Model 3 MR</v>
      </c>
      <c r="O2206" s="152" t="str">
        <f>IFERROR(__xludf.DUMMYFUNCTION("""COMPUTED_VALUE"""),"Midnight Silver Metallic")</f>
        <v>Midnight Silver Metallic</v>
      </c>
      <c r="P2206" s="153" t="str">
        <f>IFERROR(__xludf.DUMMYFUNCTION("""COMPUTED_VALUE"""),"18 inch Aero")</f>
        <v>18 inch Aero</v>
      </c>
      <c r="Q2206" s="152" t="str">
        <f>IFERROR(__xludf.DUMMYFUNCTION("""COMPUTED_VALUE"""),"Black seats")</f>
        <v>Black seats</v>
      </c>
      <c r="R2206" s="149" t="str">
        <f>IFERROR(__xludf.DUMMYFUNCTION("""COMPUTED_VALUE"""),"None")</f>
        <v>None</v>
      </c>
      <c r="S2206" s="149"/>
      <c r="T2206" s="145"/>
      <c r="U2206" s="145"/>
      <c r="V2206" s="145"/>
      <c r="W2206" s="145"/>
      <c r="X2206" s="137" t="str">
        <f>IFERROR(__xludf.DUMMYFUNCTION("""COMPUTED_VALUE"""),"Excellent")</f>
        <v>Excellent</v>
      </c>
      <c r="Y2206" s="138" t="str">
        <f>IFERROR(__xludf.DUMMYFUNCTION("""COMPUTED_VALUE"""),"Excellent")</f>
        <v>Excellent</v>
      </c>
      <c r="Z2206" s="138" t="str">
        <f>IFERROR(__xludf.DUMMYFUNCTION("""COMPUTED_VALUE"""),"Very Good")</f>
        <v>Very Good</v>
      </c>
      <c r="AA2206" s="138" t="str">
        <f>IFERROR(__xludf.DUMMYFUNCTION("""COMPUTED_VALUE"""),"Good")</f>
        <v>Good</v>
      </c>
      <c r="AB2206" s="138" t="str">
        <f>IFERROR(__xludf.DUMMYFUNCTION("""COMPUTED_VALUE"""),"Very Good")</f>
        <v>Very Good</v>
      </c>
      <c r="AC2206" s="139">
        <f>IFERROR(__xludf.DUMMYFUNCTION("""COMPUTED_VALUE"""),3.0)</f>
        <v>3</v>
      </c>
      <c r="AD2206" s="139">
        <f>IFERROR(__xludf.DUMMYFUNCTION("""COMPUTED_VALUE"""),1.0)</f>
        <v>1</v>
      </c>
      <c r="AE2206" s="139"/>
      <c r="AF2206" s="140"/>
      <c r="AG2206" s="145"/>
      <c r="AH2206" s="157">
        <f>IFERROR(__xludf.DUMMYFUNCTION("""COMPUTED_VALUE"""),43435.300918877314)</f>
        <v>43435.30092</v>
      </c>
      <c r="AI2206" s="138"/>
      <c r="AJ2206" s="138"/>
      <c r="AK2206" s="138"/>
      <c r="AL2206" s="142"/>
    </row>
    <row r="2207" ht="20.25" customHeight="1">
      <c r="A2207" s="155" t="str">
        <f>IFERROR(__xludf.DUMMYFUNCTION("""COMPUTED_VALUE"""),"btflync")</f>
        <v>btflync</v>
      </c>
      <c r="B2207" s="149" t="str">
        <f>IFERROR(__xludf.DUMMYFUNCTION("""COMPUTED_VALUE"""),"Durham")</f>
        <v>Durham</v>
      </c>
      <c r="C2207" s="149" t="str">
        <f>IFERROR(__xludf.DUMMYFUNCTION("""COMPUTED_VALUE"""),"NC")</f>
        <v>NC</v>
      </c>
      <c r="D2207" s="149" t="str">
        <f>IFERROR(__xludf.DUMMYFUNCTION("""COMPUTED_VALUE"""),"USA")</f>
        <v>USA</v>
      </c>
      <c r="E2207" s="156">
        <f>IFERROR(__xludf.DUMMYFUNCTION("""COMPUTED_VALUE"""),43400.0)</f>
        <v>43400</v>
      </c>
      <c r="F2207" s="129">
        <f>IFERROR(__xludf.DUMMYFUNCTION("""COMPUTED_VALUE"""),43420.0)</f>
        <v>43420</v>
      </c>
      <c r="G2207" s="154"/>
      <c r="H2207" s="131">
        <f>IFERROR(__xludf.DUMMYFUNCTION("""COMPUTED_VALUE"""),119655.0)</f>
        <v>119655</v>
      </c>
      <c r="I2207" s="144" t="str">
        <f>IFERROR(__xludf.DUMMYFUNCTION("""COMPUTED_VALUE"""),"11/18")</f>
        <v>11/18</v>
      </c>
      <c r="J2207" s="129">
        <f>IFERROR(__xludf.DUMMYFUNCTION("""COMPUTED_VALUE"""),43433.0)</f>
        <v>43433</v>
      </c>
      <c r="K2207" s="133">
        <f>IFERROR(__xludf.DUMMYFUNCTION("""COMPUTED_VALUE"""),20.0)</f>
        <v>20</v>
      </c>
      <c r="L2207" s="133">
        <f>IFERROR(__xludf.DUMMYFUNCTION("""COMPUTED_VALUE"""),13.0)</f>
        <v>13</v>
      </c>
      <c r="M2207" s="133">
        <f>IFERROR(__xludf.DUMMYFUNCTION("""COMPUTED_VALUE"""),33.0)</f>
        <v>33</v>
      </c>
      <c r="N2207" s="152" t="str">
        <f>IFERROR(__xludf.DUMMYFUNCTION("""COMPUTED_VALUE"""),"Model 3 LR AWD")</f>
        <v>Model 3 LR AWD</v>
      </c>
      <c r="O2207" s="152" t="str">
        <f>IFERROR(__xludf.DUMMYFUNCTION("""COMPUTED_VALUE"""),"Midnight Silver Metallic")</f>
        <v>Midnight Silver Metallic</v>
      </c>
      <c r="P2207" s="153" t="str">
        <f>IFERROR(__xludf.DUMMYFUNCTION("""COMPUTED_VALUE"""),"18 inch Aero")</f>
        <v>18 inch Aero</v>
      </c>
      <c r="Q2207" s="152" t="str">
        <f>IFERROR(__xludf.DUMMYFUNCTION("""COMPUTED_VALUE"""),"Black seats")</f>
        <v>Black seats</v>
      </c>
      <c r="R2207" s="149" t="str">
        <f>IFERROR(__xludf.DUMMYFUNCTION("""COMPUTED_VALUE"""),"Enhanced Autopilot")</f>
        <v>Enhanced Autopilot</v>
      </c>
      <c r="S2207" s="149"/>
      <c r="T2207" s="145"/>
      <c r="U2207" s="145"/>
      <c r="V2207" s="145"/>
      <c r="W2207" s="145"/>
      <c r="X2207" s="137" t="str">
        <f>IFERROR(__xludf.DUMMYFUNCTION("""COMPUTED_VALUE"""),"Very Good")</f>
        <v>Very Good</v>
      </c>
      <c r="Y2207" s="138" t="str">
        <f>IFERROR(__xludf.DUMMYFUNCTION("""COMPUTED_VALUE"""),"Very Good")</f>
        <v>Very Good</v>
      </c>
      <c r="Z2207" s="138" t="str">
        <f>IFERROR(__xludf.DUMMYFUNCTION("""COMPUTED_VALUE"""),"Very Good")</f>
        <v>Very Good</v>
      </c>
      <c r="AA2207" s="138" t="str">
        <f>IFERROR(__xludf.DUMMYFUNCTION("""COMPUTED_VALUE"""),"Excellent")</f>
        <v>Excellent</v>
      </c>
      <c r="AB2207" s="138" t="str">
        <f>IFERROR(__xludf.DUMMYFUNCTION("""COMPUTED_VALUE"""),"Excellent")</f>
        <v>Excellent</v>
      </c>
      <c r="AC2207" s="139"/>
      <c r="AD2207" s="139"/>
      <c r="AE2207" s="139"/>
      <c r="AF2207" s="140"/>
      <c r="AG2207" s="145"/>
      <c r="AH2207" s="157">
        <f>IFERROR(__xludf.DUMMYFUNCTION("""COMPUTED_VALUE"""),43433.78266672453)</f>
        <v>43433.78267</v>
      </c>
      <c r="AI2207" s="138"/>
      <c r="AJ2207" s="138"/>
      <c r="AK2207" s="138"/>
      <c r="AL2207" s="142"/>
    </row>
    <row r="2208" ht="20.25" customHeight="1">
      <c r="A2208" s="155" t="str">
        <f>IFERROR(__xludf.DUMMYFUNCTION("""COMPUTED_VALUE"""),"TheifOfCheese")</f>
        <v>TheifOfCheese</v>
      </c>
      <c r="B2208" s="149" t="str">
        <f>IFERROR(__xludf.DUMMYFUNCTION("""COMPUTED_VALUE"""),"Northern VA")</f>
        <v>Northern VA</v>
      </c>
      <c r="C2208" s="149" t="str">
        <f>IFERROR(__xludf.DUMMYFUNCTION("""COMPUTED_VALUE"""),"VA")</f>
        <v>VA</v>
      </c>
      <c r="D2208" s="149" t="str">
        <f>IFERROR(__xludf.DUMMYFUNCTION("""COMPUTED_VALUE"""),"USA")</f>
        <v>USA</v>
      </c>
      <c r="E2208" s="156">
        <f>IFERROR(__xludf.DUMMYFUNCTION("""COMPUTED_VALUE"""),43400.0)</f>
        <v>43400</v>
      </c>
      <c r="F2208" s="129">
        <f>IFERROR(__xludf.DUMMYFUNCTION("""COMPUTED_VALUE"""),43409.0)</f>
        <v>43409</v>
      </c>
      <c r="G2208" s="154"/>
      <c r="H2208" s="131">
        <f>IFERROR(__xludf.DUMMYFUNCTION("""COMPUTED_VALUE"""),119655.0)</f>
        <v>119655</v>
      </c>
      <c r="I2208" s="144" t="str">
        <f>IFERROR(__xludf.DUMMYFUNCTION("""COMPUTED_VALUE"""),"10/18")</f>
        <v>10/18</v>
      </c>
      <c r="J2208" s="129">
        <f>IFERROR(__xludf.DUMMYFUNCTION("""COMPUTED_VALUE"""),43416.0)</f>
        <v>43416</v>
      </c>
      <c r="K2208" s="133">
        <f>IFERROR(__xludf.DUMMYFUNCTION("""COMPUTED_VALUE"""),9.0)</f>
        <v>9</v>
      </c>
      <c r="L2208" s="133">
        <f>IFERROR(__xludf.DUMMYFUNCTION("""COMPUTED_VALUE"""),7.0)</f>
        <v>7</v>
      </c>
      <c r="M2208" s="133">
        <f>IFERROR(__xludf.DUMMYFUNCTION("""COMPUTED_VALUE"""),16.0)</f>
        <v>16</v>
      </c>
      <c r="N2208" s="152" t="str">
        <f>IFERROR(__xludf.DUMMYFUNCTION("""COMPUTED_VALUE"""),"Model 3 LR AWD")</f>
        <v>Model 3 LR AWD</v>
      </c>
      <c r="O2208" s="152" t="str">
        <f>IFERROR(__xludf.DUMMYFUNCTION("""COMPUTED_VALUE"""),"Midnight Silver Metallic")</f>
        <v>Midnight Silver Metallic</v>
      </c>
      <c r="P2208" s="153" t="str">
        <f>IFERROR(__xludf.DUMMYFUNCTION("""COMPUTED_VALUE"""),"18 inch Aero")</f>
        <v>18 inch Aero</v>
      </c>
      <c r="Q2208" s="152" t="str">
        <f>IFERROR(__xludf.DUMMYFUNCTION("""COMPUTED_VALUE"""),"Black seats")</f>
        <v>Black seats</v>
      </c>
      <c r="R2208" s="149" t="str">
        <f>IFERROR(__xludf.DUMMYFUNCTION("""COMPUTED_VALUE"""),"Enhanced Autopilot")</f>
        <v>Enhanced Autopilot</v>
      </c>
      <c r="S2208" s="149"/>
      <c r="T2208" s="145"/>
      <c r="U2208" s="145"/>
      <c r="V2208" s="145"/>
      <c r="W2208" s="145"/>
      <c r="X2208" s="137" t="str">
        <f>IFERROR(__xludf.DUMMYFUNCTION("""COMPUTED_VALUE"""),"Excellent")</f>
        <v>Excellent</v>
      </c>
      <c r="Y2208" s="138" t="str">
        <f>IFERROR(__xludf.DUMMYFUNCTION("""COMPUTED_VALUE"""),"Excellent")</f>
        <v>Excellent</v>
      </c>
      <c r="Z2208" s="138" t="str">
        <f>IFERROR(__xludf.DUMMYFUNCTION("""COMPUTED_VALUE"""),"Very Good")</f>
        <v>Very Good</v>
      </c>
      <c r="AA2208" s="138" t="str">
        <f>IFERROR(__xludf.DUMMYFUNCTION("""COMPUTED_VALUE"""),"Very Good")</f>
        <v>Very Good</v>
      </c>
      <c r="AB2208" s="138" t="str">
        <f>IFERROR(__xludf.DUMMYFUNCTION("""COMPUTED_VALUE"""),"Very Good")</f>
        <v>Very Good</v>
      </c>
      <c r="AC2208" s="139">
        <f>IFERROR(__xludf.DUMMYFUNCTION("""COMPUTED_VALUE"""),0.0)</f>
        <v>0</v>
      </c>
      <c r="AD2208" s="139">
        <f>IFERROR(__xludf.DUMMYFUNCTION("""COMPUTED_VALUE"""),0.0)</f>
        <v>0</v>
      </c>
      <c r="AE2208" s="139">
        <f>IFERROR(__xludf.DUMMYFUNCTION("""COMPUTED_VALUE"""),0.0)</f>
        <v>0</v>
      </c>
      <c r="AF2208" s="140"/>
      <c r="AG2208" s="145"/>
      <c r="AH2208" s="157">
        <f>IFERROR(__xludf.DUMMYFUNCTION("""COMPUTED_VALUE"""),43447.29384968751)</f>
        <v>43447.29385</v>
      </c>
      <c r="AI2208" s="138"/>
      <c r="AJ2208" s="138"/>
      <c r="AK2208" s="138"/>
      <c r="AL2208" s="142"/>
    </row>
    <row r="2209" ht="20.25" customHeight="1">
      <c r="A2209" s="155" t="str">
        <f>IFERROR(__xludf.DUMMYFUNCTION("""COMPUTED_VALUE"""),"CChesser")</f>
        <v>CChesser</v>
      </c>
      <c r="B2209" s="149" t="str">
        <f>IFERROR(__xludf.DUMMYFUNCTION("""COMPUTED_VALUE"""),"Cleveland ")</f>
        <v>Cleveland </v>
      </c>
      <c r="C2209" s="149" t="str">
        <f>IFERROR(__xludf.DUMMYFUNCTION("""COMPUTED_VALUE"""),"OH")</f>
        <v>OH</v>
      </c>
      <c r="D2209" s="149" t="str">
        <f>IFERROR(__xludf.DUMMYFUNCTION("""COMPUTED_VALUE"""),"USA")</f>
        <v>USA</v>
      </c>
      <c r="E2209" s="156">
        <f>IFERROR(__xludf.DUMMYFUNCTION("""COMPUTED_VALUE"""),43399.0)</f>
        <v>43399</v>
      </c>
      <c r="F2209" s="129">
        <f>IFERROR(__xludf.DUMMYFUNCTION("""COMPUTED_VALUE"""),43437.0)</f>
        <v>43437</v>
      </c>
      <c r="G2209" s="154"/>
      <c r="H2209" s="131">
        <f>IFERROR(__xludf.DUMMYFUNCTION("""COMPUTED_VALUE"""),151961.0)</f>
        <v>151961</v>
      </c>
      <c r="I2209" s="144" t="str">
        <f>IFERROR(__xludf.DUMMYFUNCTION("""COMPUTED_VALUE"""),"11/18")</f>
        <v>11/18</v>
      </c>
      <c r="J2209" s="129">
        <f>IFERROR(__xludf.DUMMYFUNCTION("""COMPUTED_VALUE"""),43442.0)</f>
        <v>43442</v>
      </c>
      <c r="K2209" s="133">
        <f>IFERROR(__xludf.DUMMYFUNCTION("""COMPUTED_VALUE"""),38.0)</f>
        <v>38</v>
      </c>
      <c r="L2209" s="133">
        <f>IFERROR(__xludf.DUMMYFUNCTION("""COMPUTED_VALUE"""),5.0)</f>
        <v>5</v>
      </c>
      <c r="M2209" s="133">
        <f>IFERROR(__xludf.DUMMYFUNCTION("""COMPUTED_VALUE"""),43.0)</f>
        <v>43</v>
      </c>
      <c r="N2209" s="152" t="str">
        <f>IFERROR(__xludf.DUMMYFUNCTION("""COMPUTED_VALUE"""),"Model 3 MR")</f>
        <v>Model 3 MR</v>
      </c>
      <c r="O2209" s="152" t="str">
        <f>IFERROR(__xludf.DUMMYFUNCTION("""COMPUTED_VALUE"""),"Solid Black")</f>
        <v>Solid Black</v>
      </c>
      <c r="P2209" s="153" t="str">
        <f>IFERROR(__xludf.DUMMYFUNCTION("""COMPUTED_VALUE"""),"18 inch Aero")</f>
        <v>18 inch Aero</v>
      </c>
      <c r="Q2209" s="152" t="str">
        <f>IFERROR(__xludf.DUMMYFUNCTION("""COMPUTED_VALUE"""),"Black seats")</f>
        <v>Black seats</v>
      </c>
      <c r="R2209" s="149" t="str">
        <f>IFERROR(__xludf.DUMMYFUNCTION("""COMPUTED_VALUE"""),"Enhanced Autopilot")</f>
        <v>Enhanced Autopilot</v>
      </c>
      <c r="S2209" s="149"/>
      <c r="T2209" s="145"/>
      <c r="U2209" s="145"/>
      <c r="V2209" s="145"/>
      <c r="W2209" s="145"/>
      <c r="X2209" s="137" t="str">
        <f>IFERROR(__xludf.DUMMYFUNCTION("""COMPUTED_VALUE"""),"Excellent")</f>
        <v>Excellent</v>
      </c>
      <c r="Y2209" s="138" t="str">
        <f>IFERROR(__xludf.DUMMYFUNCTION("""COMPUTED_VALUE"""),"Good")</f>
        <v>Good</v>
      </c>
      <c r="Z2209" s="138" t="str">
        <f>IFERROR(__xludf.DUMMYFUNCTION("""COMPUTED_VALUE"""),"Good")</f>
        <v>Good</v>
      </c>
      <c r="AA2209" s="138" t="str">
        <f>IFERROR(__xludf.DUMMYFUNCTION("""COMPUTED_VALUE"""),"Poor")</f>
        <v>Poor</v>
      </c>
      <c r="AB2209" s="138" t="str">
        <f>IFERROR(__xludf.DUMMYFUNCTION("""COMPUTED_VALUE"""),"Excellent")</f>
        <v>Excellent</v>
      </c>
      <c r="AC2209" s="139">
        <f>IFERROR(__xludf.DUMMYFUNCTION("""COMPUTED_VALUE"""),3.0)</f>
        <v>3</v>
      </c>
      <c r="AD2209" s="139"/>
      <c r="AE2209" s="139"/>
      <c r="AF2209" s="140"/>
      <c r="AG2209" s="145"/>
      <c r="AH2209" s="157">
        <f>IFERROR(__xludf.DUMMYFUNCTION("""COMPUTED_VALUE"""),43444.43227034722)</f>
        <v>43444.43227</v>
      </c>
      <c r="AI2209" s="138"/>
      <c r="AJ2209" s="138"/>
      <c r="AK2209" s="138"/>
      <c r="AL2209" s="142"/>
    </row>
    <row r="2210" ht="20.25" customHeight="1">
      <c r="A2210" s="155" t="str">
        <f>IFERROR(__xludf.DUMMYFUNCTION("""COMPUTED_VALUE"""),"jmvlibra")</f>
        <v>jmvlibra</v>
      </c>
      <c r="B2210" s="149" t="str">
        <f>IFERROR(__xludf.DUMMYFUNCTION("""COMPUTED_VALUE"""),"Rocklin")</f>
        <v>Rocklin</v>
      </c>
      <c r="C2210" s="149" t="str">
        <f>IFERROR(__xludf.DUMMYFUNCTION("""COMPUTED_VALUE"""),"CA")</f>
        <v>CA</v>
      </c>
      <c r="D2210" s="149" t="str">
        <f>IFERROR(__xludf.DUMMYFUNCTION("""COMPUTED_VALUE"""),"USA")</f>
        <v>USA</v>
      </c>
      <c r="E2210" s="156">
        <f>IFERROR(__xludf.DUMMYFUNCTION("""COMPUTED_VALUE"""),43399.0)</f>
        <v>43399</v>
      </c>
      <c r="F2210" s="129">
        <f>IFERROR(__xludf.DUMMYFUNCTION("""COMPUTED_VALUE"""),43442.0)</f>
        <v>43442</v>
      </c>
      <c r="G2210" s="154"/>
      <c r="H2210" s="131"/>
      <c r="I2210" s="144"/>
      <c r="J2210" s="129">
        <f>IFERROR(__xludf.DUMMYFUNCTION("""COMPUTED_VALUE"""),43444.0)</f>
        <v>43444</v>
      </c>
      <c r="K2210" s="133">
        <f>IFERROR(__xludf.DUMMYFUNCTION("""COMPUTED_VALUE"""),43.0)</f>
        <v>43</v>
      </c>
      <c r="L2210" s="133">
        <f>IFERROR(__xludf.DUMMYFUNCTION("""COMPUTED_VALUE"""),2.0)</f>
        <v>2</v>
      </c>
      <c r="M2210" s="133">
        <f>IFERROR(__xludf.DUMMYFUNCTION("""COMPUTED_VALUE"""),45.0)</f>
        <v>45</v>
      </c>
      <c r="N2210" s="152" t="str">
        <f>IFERROR(__xludf.DUMMYFUNCTION("""COMPUTED_VALUE"""),"Model 3 MR")</f>
        <v>Model 3 MR</v>
      </c>
      <c r="O2210" s="152" t="str">
        <f>IFERROR(__xludf.DUMMYFUNCTION("""COMPUTED_VALUE"""),"Solid Black")</f>
        <v>Solid Black</v>
      </c>
      <c r="P2210" s="153" t="str">
        <f>IFERROR(__xludf.DUMMYFUNCTION("""COMPUTED_VALUE"""),"18 inch Aero")</f>
        <v>18 inch Aero</v>
      </c>
      <c r="Q2210" s="152" t="str">
        <f>IFERROR(__xludf.DUMMYFUNCTION("""COMPUTED_VALUE"""),"Black seats")</f>
        <v>Black seats</v>
      </c>
      <c r="R2210" s="149" t="str">
        <f>IFERROR(__xludf.DUMMYFUNCTION("""COMPUTED_VALUE"""),"None")</f>
        <v>None</v>
      </c>
      <c r="S2210" s="149"/>
      <c r="T2210" s="145"/>
      <c r="U2210" s="145"/>
      <c r="V2210" s="145"/>
      <c r="W2210" s="145"/>
      <c r="X2210" s="137" t="str">
        <f>IFERROR(__xludf.DUMMYFUNCTION("""COMPUTED_VALUE"""),"Good")</f>
        <v>Good</v>
      </c>
      <c r="Y2210" s="138" t="str">
        <f>IFERROR(__xludf.DUMMYFUNCTION("""COMPUTED_VALUE"""),"Excellent")</f>
        <v>Excellent</v>
      </c>
      <c r="Z2210" s="138" t="str">
        <f>IFERROR(__xludf.DUMMYFUNCTION("""COMPUTED_VALUE"""),"Very Good")</f>
        <v>Very Good</v>
      </c>
      <c r="AA2210" s="138" t="str">
        <f>IFERROR(__xludf.DUMMYFUNCTION("""COMPUTED_VALUE"""),"Very Good")</f>
        <v>Very Good</v>
      </c>
      <c r="AB2210" s="138" t="str">
        <f>IFERROR(__xludf.DUMMYFUNCTION("""COMPUTED_VALUE"""),"Very Good")</f>
        <v>Very Good</v>
      </c>
      <c r="AC2210" s="139"/>
      <c r="AD2210" s="139"/>
      <c r="AE2210" s="139"/>
      <c r="AF2210" s="140"/>
      <c r="AG2210" s="145" t="str">
        <f>IFERROR(__xludf.DUMMYFUNCTION("""COMPUTED_VALUE"""),"little scratch on driver side mirror, they said they will fix it but inform in 72 hours. They home delivered my car 7pm ")</f>
        <v>little scratch on driver side mirror, they said they will fix it but inform in 72 hours. They home delivered my car 7pm </v>
      </c>
      <c r="AH2210" s="157">
        <f>IFERROR(__xludf.DUMMYFUNCTION("""COMPUTED_VALUE"""),43445.4924075)</f>
        <v>43445.49241</v>
      </c>
      <c r="AI2210" s="138"/>
      <c r="AJ2210" s="138"/>
      <c r="AK2210" s="138"/>
      <c r="AL2210" s="142"/>
    </row>
    <row r="2211" ht="20.25" customHeight="1">
      <c r="A2211" s="155" t="str">
        <f>IFERROR(__xludf.DUMMYFUNCTION("""COMPUTED_VALUE"""),"pdp1")</f>
        <v>pdp1</v>
      </c>
      <c r="B2211" s="149" t="str">
        <f>IFERROR(__xludf.DUMMYFUNCTION("""COMPUTED_VALUE"""),"SF Bay Area")</f>
        <v>SF Bay Area</v>
      </c>
      <c r="C2211" s="149" t="str">
        <f>IFERROR(__xludf.DUMMYFUNCTION("""COMPUTED_VALUE"""),"CA")</f>
        <v>CA</v>
      </c>
      <c r="D2211" s="149" t="str">
        <f>IFERROR(__xludf.DUMMYFUNCTION("""COMPUTED_VALUE"""),"USA")</f>
        <v>USA</v>
      </c>
      <c r="E2211" s="156">
        <f>IFERROR(__xludf.DUMMYFUNCTION("""COMPUTED_VALUE"""),43399.0)</f>
        <v>43399</v>
      </c>
      <c r="F2211" s="129">
        <f>IFERROR(__xludf.DUMMYFUNCTION("""COMPUTED_VALUE"""),43434.0)</f>
        <v>43434</v>
      </c>
      <c r="G2211" s="154"/>
      <c r="H2211" s="131">
        <f>IFERROR(__xludf.DUMMYFUNCTION("""COMPUTED_VALUE"""),123955.0)</f>
        <v>123955</v>
      </c>
      <c r="I2211" s="144" t="str">
        <f>IFERROR(__xludf.DUMMYFUNCTION("""COMPUTED_VALUE"""),"11/18")</f>
        <v>11/18</v>
      </c>
      <c r="J2211" s="129">
        <f>IFERROR(__xludf.DUMMYFUNCTION("""COMPUTED_VALUE"""),43441.0)</f>
        <v>43441</v>
      </c>
      <c r="K2211" s="133">
        <f>IFERROR(__xludf.DUMMYFUNCTION("""COMPUTED_VALUE"""),35.0)</f>
        <v>35</v>
      </c>
      <c r="L2211" s="133">
        <f>IFERROR(__xludf.DUMMYFUNCTION("""COMPUTED_VALUE"""),7.0)</f>
        <v>7</v>
      </c>
      <c r="M2211" s="133">
        <f>IFERROR(__xludf.DUMMYFUNCTION("""COMPUTED_VALUE"""),42.0)</f>
        <v>42</v>
      </c>
      <c r="N2211" s="152" t="str">
        <f>IFERROR(__xludf.DUMMYFUNCTION("""COMPUTED_VALUE"""),"Model 3 LR")</f>
        <v>Model 3 LR</v>
      </c>
      <c r="O2211" s="152" t="str">
        <f>IFERROR(__xludf.DUMMYFUNCTION("""COMPUTED_VALUE"""),"Midnight Silver Metallic")</f>
        <v>Midnight Silver Metallic</v>
      </c>
      <c r="P2211" s="153" t="str">
        <f>IFERROR(__xludf.DUMMYFUNCTION("""COMPUTED_VALUE"""),"18 inch Aero")</f>
        <v>18 inch Aero</v>
      </c>
      <c r="Q2211" s="152" t="str">
        <f>IFERROR(__xludf.DUMMYFUNCTION("""COMPUTED_VALUE"""),"Black seats")</f>
        <v>Black seats</v>
      </c>
      <c r="R2211" s="149" t="str">
        <f>IFERROR(__xludf.DUMMYFUNCTION("""COMPUTED_VALUE"""),"Enhanced Autopilot")</f>
        <v>Enhanced Autopilot</v>
      </c>
      <c r="S2211" s="149"/>
      <c r="T2211" s="145"/>
      <c r="U2211" s="145"/>
      <c r="V2211" s="145"/>
      <c r="W2211" s="145"/>
      <c r="X2211" s="137" t="str">
        <f>IFERROR(__xludf.DUMMYFUNCTION("""COMPUTED_VALUE"""),"Very Good")</f>
        <v>Very Good</v>
      </c>
      <c r="Y2211" s="138" t="str">
        <f>IFERROR(__xludf.DUMMYFUNCTION("""COMPUTED_VALUE"""),"Excellent")</f>
        <v>Excellent</v>
      </c>
      <c r="Z2211" s="138" t="str">
        <f>IFERROR(__xludf.DUMMYFUNCTION("""COMPUTED_VALUE"""),"Very Good")</f>
        <v>Very Good</v>
      </c>
      <c r="AA2211" s="138" t="str">
        <f>IFERROR(__xludf.DUMMYFUNCTION("""COMPUTED_VALUE"""),"Fair")</f>
        <v>Fair</v>
      </c>
      <c r="AB2211" s="138" t="str">
        <f>IFERROR(__xludf.DUMMYFUNCTION("""COMPUTED_VALUE"""),"Very Good")</f>
        <v>Very Good</v>
      </c>
      <c r="AC2211" s="139"/>
      <c r="AD2211" s="139"/>
      <c r="AE2211" s="139"/>
      <c r="AF2211" s="140"/>
      <c r="AG2211" s="145" t="str">
        <f>IFERROR(__xludf.DUMMYFUNCTION("""COMPUTED_VALUE"""),"Originally order MR on 10/26 but found a LR with same options in inventory on 11/24")</f>
        <v>Originally order MR on 10/26 but found a LR with same options in inventory on 11/24</v>
      </c>
      <c r="AH2211" s="157">
        <f>IFERROR(__xludf.DUMMYFUNCTION("""COMPUTED_VALUE"""),43444.578317824074)</f>
        <v>43444.57832</v>
      </c>
      <c r="AI2211" s="138"/>
      <c r="AJ2211" s="138"/>
      <c r="AK2211" s="138"/>
      <c r="AL2211" s="142"/>
    </row>
    <row r="2212" ht="20.25" customHeight="1">
      <c r="A2212" s="155" t="str">
        <f>IFERROR(__xludf.DUMMYFUNCTION("""COMPUTED_VALUE"""),"Stonehill")</f>
        <v>Stonehill</v>
      </c>
      <c r="B2212" s="149"/>
      <c r="C2212" s="149"/>
      <c r="D2212" s="149" t="str">
        <f>IFERROR(__xludf.DUMMYFUNCTION("""COMPUTED_VALUE"""),"USA")</f>
        <v>USA</v>
      </c>
      <c r="E2212" s="156">
        <f>IFERROR(__xludf.DUMMYFUNCTION("""COMPUTED_VALUE"""),43399.0)</f>
        <v>43399</v>
      </c>
      <c r="F2212" s="129">
        <f>IFERROR(__xludf.DUMMYFUNCTION("""COMPUTED_VALUE"""),43428.0)</f>
        <v>43428</v>
      </c>
      <c r="G2212" s="154"/>
      <c r="H2212" s="131">
        <f>IFERROR(__xludf.DUMMYFUNCTION("""COMPUTED_VALUE"""),80811.0)</f>
        <v>80811</v>
      </c>
      <c r="I2212" s="144" t="str">
        <f>IFERROR(__xludf.DUMMYFUNCTION("""COMPUTED_VALUE"""),"11/18")</f>
        <v>11/18</v>
      </c>
      <c r="J2212" s="129">
        <f>IFERROR(__xludf.DUMMYFUNCTION("""COMPUTED_VALUE"""),43431.0)</f>
        <v>43431</v>
      </c>
      <c r="K2212" s="133">
        <f>IFERROR(__xludf.DUMMYFUNCTION("""COMPUTED_VALUE"""),29.0)</f>
        <v>29</v>
      </c>
      <c r="L2212" s="133">
        <f>IFERROR(__xludf.DUMMYFUNCTION("""COMPUTED_VALUE"""),3.0)</f>
        <v>3</v>
      </c>
      <c r="M2212" s="133">
        <f>IFERROR(__xludf.DUMMYFUNCTION("""COMPUTED_VALUE"""),32.0)</f>
        <v>32</v>
      </c>
      <c r="N2212" s="152" t="str">
        <f>IFERROR(__xludf.DUMMYFUNCTION("""COMPUTED_VALUE"""),"Model 3 Performance")</f>
        <v>Model 3 Performance</v>
      </c>
      <c r="O2212" s="152" t="str">
        <f>IFERROR(__xludf.DUMMYFUNCTION("""COMPUTED_VALUE"""),"Deep Blue Metallic")</f>
        <v>Deep Blue Metallic</v>
      </c>
      <c r="P2212" s="153" t="str">
        <f>IFERROR(__xludf.DUMMYFUNCTION("""COMPUTED_VALUE"""),"20 inch Sport")</f>
        <v>20 inch Sport</v>
      </c>
      <c r="Q2212" s="152" t="str">
        <f>IFERROR(__xludf.DUMMYFUNCTION("""COMPUTED_VALUE"""),"White seats")</f>
        <v>White seats</v>
      </c>
      <c r="R2212" s="149" t="str">
        <f>IFERROR(__xludf.DUMMYFUNCTION("""COMPUTED_VALUE"""),"Enhanced Autopilot")</f>
        <v>Enhanced Autopilot</v>
      </c>
      <c r="S2212" s="149"/>
      <c r="T2212" s="145"/>
      <c r="U2212" s="145"/>
      <c r="V2212" s="145"/>
      <c r="W2212" s="145"/>
      <c r="X2212" s="137" t="str">
        <f>IFERROR(__xludf.DUMMYFUNCTION("""COMPUTED_VALUE"""),"Very Good")</f>
        <v>Very Good</v>
      </c>
      <c r="Y2212" s="138" t="str">
        <f>IFERROR(__xludf.DUMMYFUNCTION("""COMPUTED_VALUE"""),"Excellent")</f>
        <v>Excellent</v>
      </c>
      <c r="Z2212" s="138" t="str">
        <f>IFERROR(__xludf.DUMMYFUNCTION("""COMPUTED_VALUE"""),"Very Good")</f>
        <v>Very Good</v>
      </c>
      <c r="AA2212" s="138" t="str">
        <f>IFERROR(__xludf.DUMMYFUNCTION("""COMPUTED_VALUE"""),"Very Good")</f>
        <v>Very Good</v>
      </c>
      <c r="AB2212" s="138" t="str">
        <f>IFERROR(__xludf.DUMMYFUNCTION("""COMPUTED_VALUE"""),"Good")</f>
        <v>Good</v>
      </c>
      <c r="AC2212" s="139">
        <f>IFERROR(__xludf.DUMMYFUNCTION("""COMPUTED_VALUE"""),2.0)</f>
        <v>2</v>
      </c>
      <c r="AD2212" s="139"/>
      <c r="AE2212" s="139"/>
      <c r="AF2212" s="140"/>
      <c r="AG2212" s="145"/>
      <c r="AH2212" s="157">
        <f>IFERROR(__xludf.DUMMYFUNCTION("""COMPUTED_VALUE"""),43432.42551119213)</f>
        <v>43432.42551</v>
      </c>
      <c r="AI2212" s="138"/>
      <c r="AJ2212" s="138"/>
      <c r="AK2212" s="138"/>
      <c r="AL2212" s="142"/>
    </row>
    <row r="2213" ht="20.25" customHeight="1">
      <c r="A2213" s="155" t="str">
        <f>IFERROR(__xludf.DUMMYFUNCTION("""COMPUTED_VALUE"""),"DJ Frustration")</f>
        <v>DJ Frustration</v>
      </c>
      <c r="B2213" s="149" t="str">
        <f>IFERROR(__xludf.DUMMYFUNCTION("""COMPUTED_VALUE"""),"Miami")</f>
        <v>Miami</v>
      </c>
      <c r="C2213" s="149" t="str">
        <f>IFERROR(__xludf.DUMMYFUNCTION("""COMPUTED_VALUE"""),"FL")</f>
        <v>FL</v>
      </c>
      <c r="D2213" s="149" t="str">
        <f>IFERROR(__xludf.DUMMYFUNCTION("""COMPUTED_VALUE"""),"USA")</f>
        <v>USA</v>
      </c>
      <c r="E2213" s="156">
        <f>IFERROR(__xludf.DUMMYFUNCTION("""COMPUTED_VALUE"""),43398.0)</f>
        <v>43398</v>
      </c>
      <c r="F2213" s="129">
        <f>IFERROR(__xludf.DUMMYFUNCTION("""COMPUTED_VALUE"""),43419.0)</f>
        <v>43419</v>
      </c>
      <c r="G2213" s="154"/>
      <c r="H2213" s="131">
        <f>IFERROR(__xludf.DUMMYFUNCTION("""COMPUTED_VALUE"""),61854.0)</f>
        <v>61854</v>
      </c>
      <c r="I2213" s="144" t="str">
        <f>IFERROR(__xludf.DUMMYFUNCTION("""COMPUTED_VALUE"""),"11/18")</f>
        <v>11/18</v>
      </c>
      <c r="J2213" s="129">
        <f>IFERROR(__xludf.DUMMYFUNCTION("""COMPUTED_VALUE"""),43435.0)</f>
        <v>43435</v>
      </c>
      <c r="K2213" s="133">
        <f>IFERROR(__xludf.DUMMYFUNCTION("""COMPUTED_VALUE"""),21.0)</f>
        <v>21</v>
      </c>
      <c r="L2213" s="133">
        <f>IFERROR(__xludf.DUMMYFUNCTION("""COMPUTED_VALUE"""),16.0)</f>
        <v>16</v>
      </c>
      <c r="M2213" s="133">
        <f>IFERROR(__xludf.DUMMYFUNCTION("""COMPUTED_VALUE"""),37.0)</f>
        <v>37</v>
      </c>
      <c r="N2213" s="152" t="str">
        <f>IFERROR(__xludf.DUMMYFUNCTION("""COMPUTED_VALUE"""),"Model 3 LR")</f>
        <v>Model 3 LR</v>
      </c>
      <c r="O2213" s="152" t="str">
        <f>IFERROR(__xludf.DUMMYFUNCTION("""COMPUTED_VALUE"""),"Solid Black")</f>
        <v>Solid Black</v>
      </c>
      <c r="P2213" s="153" t="str">
        <f>IFERROR(__xludf.DUMMYFUNCTION("""COMPUTED_VALUE"""),"18 inch Aero")</f>
        <v>18 inch Aero</v>
      </c>
      <c r="Q2213" s="152" t="str">
        <f>IFERROR(__xludf.DUMMYFUNCTION("""COMPUTED_VALUE"""),"Black seats")</f>
        <v>Black seats</v>
      </c>
      <c r="R2213" s="149" t="str">
        <f>IFERROR(__xludf.DUMMYFUNCTION("""COMPUTED_VALUE"""),"Enhanced Autopilot")</f>
        <v>Enhanced Autopilot</v>
      </c>
      <c r="S2213" s="149"/>
      <c r="T2213" s="145"/>
      <c r="U2213" s="145"/>
      <c r="V2213" s="145"/>
      <c r="W2213" s="145"/>
      <c r="X2213" s="137" t="str">
        <f>IFERROR(__xludf.DUMMYFUNCTION("""COMPUTED_VALUE"""),"Excellent")</f>
        <v>Excellent</v>
      </c>
      <c r="Y2213" s="138" t="str">
        <f>IFERROR(__xludf.DUMMYFUNCTION("""COMPUTED_VALUE"""),"Excellent")</f>
        <v>Excellent</v>
      </c>
      <c r="Z2213" s="138" t="str">
        <f>IFERROR(__xludf.DUMMYFUNCTION("""COMPUTED_VALUE"""),"Excellent")</f>
        <v>Excellent</v>
      </c>
      <c r="AA2213" s="138" t="str">
        <f>IFERROR(__xludf.DUMMYFUNCTION("""COMPUTED_VALUE"""),"Excellent")</f>
        <v>Excellent</v>
      </c>
      <c r="AB2213" s="138" t="str">
        <f>IFERROR(__xludf.DUMMYFUNCTION("""COMPUTED_VALUE"""),"Very Good")</f>
        <v>Very Good</v>
      </c>
      <c r="AC2213" s="139"/>
      <c r="AD2213" s="139"/>
      <c r="AE2213" s="139"/>
      <c r="AF2213" s="140"/>
      <c r="AG2213" s="145"/>
      <c r="AH2213" s="157">
        <f>IFERROR(__xludf.DUMMYFUNCTION("""COMPUTED_VALUE"""),43437.27779107639)</f>
        <v>43437.27779</v>
      </c>
      <c r="AI2213" s="138"/>
      <c r="AJ2213" s="138"/>
      <c r="AK2213" s="138"/>
      <c r="AL2213" s="142"/>
    </row>
    <row r="2214" ht="20.25" customHeight="1">
      <c r="A2214" s="155" t="str">
        <f>IFERROR(__xludf.DUMMYFUNCTION("""COMPUTED_VALUE"""),"hanergy")</f>
        <v>hanergy</v>
      </c>
      <c r="B2214" s="149" t="str">
        <f>IFERROR(__xludf.DUMMYFUNCTION("""COMPUTED_VALUE"""),"Upstate NY")</f>
        <v>Upstate NY</v>
      </c>
      <c r="C2214" s="149" t="str">
        <f>IFERROR(__xludf.DUMMYFUNCTION("""COMPUTED_VALUE"""),"NY")</f>
        <v>NY</v>
      </c>
      <c r="D2214" s="149" t="str">
        <f>IFERROR(__xludf.DUMMYFUNCTION("""COMPUTED_VALUE"""),"USA")</f>
        <v>USA</v>
      </c>
      <c r="E2214" s="156">
        <f>IFERROR(__xludf.DUMMYFUNCTION("""COMPUTED_VALUE"""),43398.0)</f>
        <v>43398</v>
      </c>
      <c r="F2214" s="129">
        <f>IFERROR(__xludf.DUMMYFUNCTION("""COMPUTED_VALUE"""),43419.0)</f>
        <v>43419</v>
      </c>
      <c r="G2214" s="154"/>
      <c r="H2214" s="131">
        <f>IFERROR(__xludf.DUMMYFUNCTION("""COMPUTED_VALUE"""),154355.0)</f>
        <v>154355</v>
      </c>
      <c r="I2214" s="144" t="str">
        <f>IFERROR(__xludf.DUMMYFUNCTION("""COMPUTED_VALUE"""),"11/18")</f>
        <v>11/18</v>
      </c>
      <c r="J2214" s="129">
        <f>IFERROR(__xludf.DUMMYFUNCTION("""COMPUTED_VALUE"""),43431.0)</f>
        <v>43431</v>
      </c>
      <c r="K2214" s="133">
        <f>IFERROR(__xludf.DUMMYFUNCTION("""COMPUTED_VALUE"""),21.0)</f>
        <v>21</v>
      </c>
      <c r="L2214" s="133">
        <f>IFERROR(__xludf.DUMMYFUNCTION("""COMPUTED_VALUE"""),12.0)</f>
        <v>12</v>
      </c>
      <c r="M2214" s="133">
        <f>IFERROR(__xludf.DUMMYFUNCTION("""COMPUTED_VALUE"""),33.0)</f>
        <v>33</v>
      </c>
      <c r="N2214" s="152" t="str">
        <f>IFERROR(__xludf.DUMMYFUNCTION("""COMPUTED_VALUE"""),"Model 3 MR")</f>
        <v>Model 3 MR</v>
      </c>
      <c r="O2214" s="152" t="str">
        <f>IFERROR(__xludf.DUMMYFUNCTION("""COMPUTED_VALUE"""),"Deep Blue Metallic")</f>
        <v>Deep Blue Metallic</v>
      </c>
      <c r="P2214" s="153" t="str">
        <f>IFERROR(__xludf.DUMMYFUNCTION("""COMPUTED_VALUE"""),"18 inch Aero")</f>
        <v>18 inch Aero</v>
      </c>
      <c r="Q2214" s="152" t="str">
        <f>IFERROR(__xludf.DUMMYFUNCTION("""COMPUTED_VALUE"""),"Black seats")</f>
        <v>Black seats</v>
      </c>
      <c r="R2214" s="149" t="str">
        <f>IFERROR(__xludf.DUMMYFUNCTION("""COMPUTED_VALUE"""),"Enhanced Autopilot")</f>
        <v>Enhanced Autopilot</v>
      </c>
      <c r="S2214" s="149"/>
      <c r="T2214" s="145"/>
      <c r="U2214" s="145"/>
      <c r="V2214" s="145"/>
      <c r="W2214" s="145"/>
      <c r="X2214" s="137" t="str">
        <f>IFERROR(__xludf.DUMMYFUNCTION("""COMPUTED_VALUE"""),"Excellent")</f>
        <v>Excellent</v>
      </c>
      <c r="Y2214" s="138" t="str">
        <f>IFERROR(__xludf.DUMMYFUNCTION("""COMPUTED_VALUE"""),"Excellent")</f>
        <v>Excellent</v>
      </c>
      <c r="Z2214" s="138" t="str">
        <f>IFERROR(__xludf.DUMMYFUNCTION("""COMPUTED_VALUE"""),"Very Good")</f>
        <v>Very Good</v>
      </c>
      <c r="AA2214" s="138" t="str">
        <f>IFERROR(__xludf.DUMMYFUNCTION("""COMPUTED_VALUE"""),"Poor")</f>
        <v>Poor</v>
      </c>
      <c r="AB2214" s="138" t="str">
        <f>IFERROR(__xludf.DUMMYFUNCTION("""COMPUTED_VALUE"""),"Very Good")</f>
        <v>Very Good</v>
      </c>
      <c r="AC2214" s="139">
        <f>IFERROR(__xludf.DUMMYFUNCTION("""COMPUTED_VALUE"""),2.0)</f>
        <v>2</v>
      </c>
      <c r="AD2214" s="139"/>
      <c r="AE2214" s="139"/>
      <c r="AF2214" s="140"/>
      <c r="AG2214" s="145"/>
      <c r="AH2214" s="157">
        <f>IFERROR(__xludf.DUMMYFUNCTION("""COMPUTED_VALUE"""),43437.53344848379)</f>
        <v>43437.53345</v>
      </c>
      <c r="AI2214" s="138"/>
      <c r="AJ2214" s="138"/>
      <c r="AK2214" s="138"/>
      <c r="AL2214" s="142"/>
    </row>
    <row r="2215" ht="20.25" customHeight="1">
      <c r="A2215" s="155" t="str">
        <f>IFERROR(__xludf.DUMMYFUNCTION("""COMPUTED_VALUE"""),"klj23")</f>
        <v>klj23</v>
      </c>
      <c r="B2215" s="149" t="str">
        <f>IFERROR(__xludf.DUMMYFUNCTION("""COMPUTED_VALUE"""),"Brooklyn")</f>
        <v>Brooklyn</v>
      </c>
      <c r="C2215" s="149" t="str">
        <f>IFERROR(__xludf.DUMMYFUNCTION("""COMPUTED_VALUE"""),"NY")</f>
        <v>NY</v>
      </c>
      <c r="D2215" s="149" t="str">
        <f>IFERROR(__xludf.DUMMYFUNCTION("""COMPUTED_VALUE"""),"USA")</f>
        <v>USA</v>
      </c>
      <c r="E2215" s="156">
        <f>IFERROR(__xludf.DUMMYFUNCTION("""COMPUTED_VALUE"""),43398.0)</f>
        <v>43398</v>
      </c>
      <c r="F2215" s="129"/>
      <c r="G2215" s="154"/>
      <c r="H2215" s="131"/>
      <c r="I2215" s="144"/>
      <c r="J2215" s="129">
        <f>IFERROR(__xludf.DUMMYFUNCTION("""COMPUTED_VALUE"""),43433.0)</f>
        <v>43433</v>
      </c>
      <c r="K2215" s="133"/>
      <c r="L2215" s="133"/>
      <c r="M2215" s="133">
        <f>IFERROR(__xludf.DUMMYFUNCTION("""COMPUTED_VALUE"""),35.0)</f>
        <v>35</v>
      </c>
      <c r="N2215" s="152" t="str">
        <f>IFERROR(__xludf.DUMMYFUNCTION("""COMPUTED_VALUE"""),"Model 3 MR")</f>
        <v>Model 3 MR</v>
      </c>
      <c r="O2215" s="152" t="str">
        <f>IFERROR(__xludf.DUMMYFUNCTION("""COMPUTED_VALUE"""),"Solid Black")</f>
        <v>Solid Black</v>
      </c>
      <c r="P2215" s="153" t="str">
        <f>IFERROR(__xludf.DUMMYFUNCTION("""COMPUTED_VALUE"""),"18 inch Aero")</f>
        <v>18 inch Aero</v>
      </c>
      <c r="Q2215" s="152" t="str">
        <f>IFERROR(__xludf.DUMMYFUNCTION("""COMPUTED_VALUE"""),"Black seats")</f>
        <v>Black seats</v>
      </c>
      <c r="R2215" s="149" t="str">
        <f>IFERROR(__xludf.DUMMYFUNCTION("""COMPUTED_VALUE"""),"None")</f>
        <v>None</v>
      </c>
      <c r="S2215" s="149"/>
      <c r="T2215" s="145"/>
      <c r="U2215" s="145"/>
      <c r="V2215" s="145"/>
      <c r="W2215" s="145"/>
      <c r="X2215" s="137" t="str">
        <f>IFERROR(__xludf.DUMMYFUNCTION("""COMPUTED_VALUE"""),"Excellent")</f>
        <v>Excellent</v>
      </c>
      <c r="Y2215" s="138" t="str">
        <f>IFERROR(__xludf.DUMMYFUNCTION("""COMPUTED_VALUE"""),"Excellent")</f>
        <v>Excellent</v>
      </c>
      <c r="Z2215" s="138" t="str">
        <f>IFERROR(__xludf.DUMMYFUNCTION("""COMPUTED_VALUE"""),"Excellent")</f>
        <v>Excellent</v>
      </c>
      <c r="AA2215" s="138" t="str">
        <f>IFERROR(__xludf.DUMMYFUNCTION("""COMPUTED_VALUE"""),"Excellent")</f>
        <v>Excellent</v>
      </c>
      <c r="AB2215" s="138" t="str">
        <f>IFERROR(__xludf.DUMMYFUNCTION("""COMPUTED_VALUE"""),"Excellent")</f>
        <v>Excellent</v>
      </c>
      <c r="AC2215" s="139"/>
      <c r="AD2215" s="139"/>
      <c r="AE2215" s="139"/>
      <c r="AF2215" s="140"/>
      <c r="AG2215" s="145"/>
      <c r="AH2215" s="157">
        <f>IFERROR(__xludf.DUMMYFUNCTION("""COMPUTED_VALUE"""),43437.51234623843)</f>
        <v>43437.51235</v>
      </c>
      <c r="AI2215" s="138"/>
      <c r="AJ2215" s="138"/>
      <c r="AK2215" s="138"/>
      <c r="AL2215" s="142"/>
    </row>
    <row r="2216" ht="20.25" customHeight="1">
      <c r="A2216" s="155" t="str">
        <f>IFERROR(__xludf.DUMMYFUNCTION("""COMPUTED_VALUE"""),"letmee")</f>
        <v>letmee</v>
      </c>
      <c r="B2216" s="149" t="str">
        <f>IFERROR(__xludf.DUMMYFUNCTION("""COMPUTED_VALUE"""),"Woodland Hills")</f>
        <v>Woodland Hills</v>
      </c>
      <c r="C2216" s="149" t="str">
        <f>IFERROR(__xludf.DUMMYFUNCTION("""COMPUTED_VALUE"""),"CA")</f>
        <v>CA</v>
      </c>
      <c r="D2216" s="149" t="str">
        <f>IFERROR(__xludf.DUMMYFUNCTION("""COMPUTED_VALUE"""),"USA")</f>
        <v>USA</v>
      </c>
      <c r="E2216" s="156">
        <f>IFERROR(__xludf.DUMMYFUNCTION("""COMPUTED_VALUE"""),43398.0)</f>
        <v>43398</v>
      </c>
      <c r="F2216" s="129">
        <f>IFERROR(__xludf.DUMMYFUNCTION("""COMPUTED_VALUE"""),43417.0)</f>
        <v>43417</v>
      </c>
      <c r="G2216" s="154"/>
      <c r="H2216" s="131">
        <f>IFERROR(__xludf.DUMMYFUNCTION("""COMPUTED_VALUE"""),152655.0)</f>
        <v>152655</v>
      </c>
      <c r="I2216" s="144"/>
      <c r="J2216" s="129">
        <f>IFERROR(__xludf.DUMMYFUNCTION("""COMPUTED_VALUE"""),43423.0)</f>
        <v>43423</v>
      </c>
      <c r="K2216" s="133">
        <f>IFERROR(__xludf.DUMMYFUNCTION("""COMPUTED_VALUE"""),19.0)</f>
        <v>19</v>
      </c>
      <c r="L2216" s="133">
        <f>IFERROR(__xludf.DUMMYFUNCTION("""COMPUTED_VALUE"""),6.0)</f>
        <v>6</v>
      </c>
      <c r="M2216" s="133">
        <f>IFERROR(__xludf.DUMMYFUNCTION("""COMPUTED_VALUE"""),25.0)</f>
        <v>25</v>
      </c>
      <c r="N2216" s="152" t="str">
        <f>IFERROR(__xludf.DUMMYFUNCTION("""COMPUTED_VALUE"""),"Model 3 MR")</f>
        <v>Model 3 MR</v>
      </c>
      <c r="O2216" s="152" t="str">
        <f>IFERROR(__xludf.DUMMYFUNCTION("""COMPUTED_VALUE"""),"Solid Black")</f>
        <v>Solid Black</v>
      </c>
      <c r="P2216" s="153" t="str">
        <f>IFERROR(__xludf.DUMMYFUNCTION("""COMPUTED_VALUE"""),"18 inch Aero")</f>
        <v>18 inch Aero</v>
      </c>
      <c r="Q2216" s="152" t="str">
        <f>IFERROR(__xludf.DUMMYFUNCTION("""COMPUTED_VALUE"""),"Black seats")</f>
        <v>Black seats</v>
      </c>
      <c r="R2216" s="149" t="str">
        <f>IFERROR(__xludf.DUMMYFUNCTION("""COMPUTED_VALUE"""),"Enhanced Autopilot")</f>
        <v>Enhanced Autopilot</v>
      </c>
      <c r="S2216" s="149"/>
      <c r="T2216" s="145"/>
      <c r="U2216" s="145"/>
      <c r="V2216" s="145"/>
      <c r="W2216" s="145"/>
      <c r="X2216" s="137"/>
      <c r="Y2216" s="138"/>
      <c r="Z2216" s="138"/>
      <c r="AA2216" s="138" t="str">
        <f>IFERROR(__xludf.DUMMYFUNCTION("""COMPUTED_VALUE"""),"Excellent")</f>
        <v>Excellent</v>
      </c>
      <c r="AB2216" s="138" t="str">
        <f>IFERROR(__xludf.DUMMYFUNCTION("""COMPUTED_VALUE"""),"Excellent")</f>
        <v>Excellent</v>
      </c>
      <c r="AC2216" s="139"/>
      <c r="AD2216" s="139"/>
      <c r="AE2216" s="139"/>
      <c r="AF2216" s="140"/>
      <c r="AG2216" s="145"/>
      <c r="AH2216" s="157">
        <f>IFERROR(__xludf.DUMMYFUNCTION("""COMPUTED_VALUE"""),43424.4157405787)</f>
        <v>43424.41574</v>
      </c>
      <c r="AI2216" s="138"/>
      <c r="AJ2216" s="138"/>
      <c r="AK2216" s="138"/>
      <c r="AL2216" s="142"/>
    </row>
    <row r="2217" ht="20.25" customHeight="1">
      <c r="A2217" s="155" t="str">
        <f>IFERROR(__xludf.DUMMYFUNCTION("""COMPUTED_VALUE"""),"mpat")</f>
        <v>mpat</v>
      </c>
      <c r="B2217" s="149" t="str">
        <f>IFERROR(__xludf.DUMMYFUNCTION("""COMPUTED_VALUE"""),"San Diego")</f>
        <v>San Diego</v>
      </c>
      <c r="C2217" s="149" t="str">
        <f>IFERROR(__xludf.DUMMYFUNCTION("""COMPUTED_VALUE"""),"CA")</f>
        <v>CA</v>
      </c>
      <c r="D2217" s="149" t="str">
        <f>IFERROR(__xludf.DUMMYFUNCTION("""COMPUTED_VALUE"""),"USA")</f>
        <v>USA</v>
      </c>
      <c r="E2217" s="156">
        <f>IFERROR(__xludf.DUMMYFUNCTION("""COMPUTED_VALUE"""),43398.0)</f>
        <v>43398</v>
      </c>
      <c r="F2217" s="129">
        <f>IFERROR(__xludf.DUMMYFUNCTION("""COMPUTED_VALUE"""),43399.0)</f>
        <v>43399</v>
      </c>
      <c r="G2217" s="154"/>
      <c r="H2217" s="131">
        <f>IFERROR(__xludf.DUMMYFUNCTION("""COMPUTED_VALUE"""),115155.0)</f>
        <v>115155</v>
      </c>
      <c r="I2217" s="144" t="str">
        <f>IFERROR(__xludf.DUMMYFUNCTION("""COMPUTED_VALUE"""),"10/18")</f>
        <v>10/18</v>
      </c>
      <c r="J2217" s="129">
        <f>IFERROR(__xludf.DUMMYFUNCTION("""COMPUTED_VALUE"""),43403.0)</f>
        <v>43403</v>
      </c>
      <c r="K2217" s="133">
        <f>IFERROR(__xludf.DUMMYFUNCTION("""COMPUTED_VALUE"""),1.0)</f>
        <v>1</v>
      </c>
      <c r="L2217" s="133">
        <f>IFERROR(__xludf.DUMMYFUNCTION("""COMPUTED_VALUE"""),4.0)</f>
        <v>4</v>
      </c>
      <c r="M2217" s="133">
        <f>IFERROR(__xludf.DUMMYFUNCTION("""COMPUTED_VALUE"""),5.0)</f>
        <v>5</v>
      </c>
      <c r="N2217" s="152" t="str">
        <f>IFERROR(__xludf.DUMMYFUNCTION("""COMPUTED_VALUE"""),"Model 3 LR AWD")</f>
        <v>Model 3 LR AWD</v>
      </c>
      <c r="O2217" s="152" t="str">
        <f>IFERROR(__xludf.DUMMYFUNCTION("""COMPUTED_VALUE"""),"Deep Blue Metallic")</f>
        <v>Deep Blue Metallic</v>
      </c>
      <c r="P2217" s="153" t="str">
        <f>IFERROR(__xludf.DUMMYFUNCTION("""COMPUTED_VALUE"""),"18 inch Aero")</f>
        <v>18 inch Aero</v>
      </c>
      <c r="Q2217" s="152" t="str">
        <f>IFERROR(__xludf.DUMMYFUNCTION("""COMPUTED_VALUE"""),"Black seats")</f>
        <v>Black seats</v>
      </c>
      <c r="R2217" s="149" t="str">
        <f>IFERROR(__xludf.DUMMYFUNCTION("""COMPUTED_VALUE"""),"None")</f>
        <v>None</v>
      </c>
      <c r="S2217" s="149"/>
      <c r="T2217" s="145"/>
      <c r="U2217" s="145"/>
      <c r="V2217" s="145"/>
      <c r="W2217" s="145"/>
      <c r="X2217" s="137" t="str">
        <f>IFERROR(__xludf.DUMMYFUNCTION("""COMPUTED_VALUE"""),"Fair")</f>
        <v>Fair</v>
      </c>
      <c r="Y2217" s="138" t="str">
        <f>IFERROR(__xludf.DUMMYFUNCTION("""COMPUTED_VALUE"""),"Very Good")</f>
        <v>Very Good</v>
      </c>
      <c r="Z2217" s="138" t="str">
        <f>IFERROR(__xludf.DUMMYFUNCTION("""COMPUTED_VALUE"""),"Very Good")</f>
        <v>Very Good</v>
      </c>
      <c r="AA2217" s="138" t="str">
        <f>IFERROR(__xludf.DUMMYFUNCTION("""COMPUTED_VALUE"""),"Good")</f>
        <v>Good</v>
      </c>
      <c r="AB2217" s="138" t="str">
        <f>IFERROR(__xludf.DUMMYFUNCTION("""COMPUTED_VALUE"""),"Good")</f>
        <v>Good</v>
      </c>
      <c r="AC2217" s="139">
        <f>IFERROR(__xludf.DUMMYFUNCTION("""COMPUTED_VALUE"""),0.0)</f>
        <v>0</v>
      </c>
      <c r="AD2217" s="139">
        <f>IFERROR(__xludf.DUMMYFUNCTION("""COMPUTED_VALUE"""),0.0)</f>
        <v>0</v>
      </c>
      <c r="AE2217" s="139">
        <f>IFERROR(__xludf.DUMMYFUNCTION("""COMPUTED_VALUE"""),0.0)</f>
        <v>0</v>
      </c>
      <c r="AF2217" s="140"/>
      <c r="AG2217" s="145"/>
      <c r="AH2217" s="157">
        <f>IFERROR(__xludf.DUMMYFUNCTION("""COMPUTED_VALUE"""),43467.66426390046)</f>
        <v>43467.66426</v>
      </c>
      <c r="AI2217" s="138"/>
      <c r="AJ2217" s="138"/>
      <c r="AK2217" s="138"/>
      <c r="AL2217" s="142"/>
    </row>
    <row r="2218" ht="20.25" customHeight="1">
      <c r="A2218" s="155" t="str">
        <f>IFERROR(__xludf.DUMMYFUNCTION("""COMPUTED_VALUE"""),"RetiredNavyVet")</f>
        <v>RetiredNavyVet</v>
      </c>
      <c r="B2218" s="149" t="str">
        <f>IFERROR(__xludf.DUMMYFUNCTION("""COMPUTED_VALUE"""),"San Diego")</f>
        <v>San Diego</v>
      </c>
      <c r="C2218" s="149" t="str">
        <f>IFERROR(__xludf.DUMMYFUNCTION("""COMPUTED_VALUE"""),"CA")</f>
        <v>CA</v>
      </c>
      <c r="D2218" s="149" t="str">
        <f>IFERROR(__xludf.DUMMYFUNCTION("""COMPUTED_VALUE"""),"USA")</f>
        <v>USA</v>
      </c>
      <c r="E2218" s="156">
        <f>IFERROR(__xludf.DUMMYFUNCTION("""COMPUTED_VALUE"""),43398.0)</f>
        <v>43398</v>
      </c>
      <c r="F2218" s="129">
        <f>IFERROR(__xludf.DUMMYFUNCTION("""COMPUTED_VALUE"""),43409.0)</f>
        <v>43409</v>
      </c>
      <c r="G2218" s="154"/>
      <c r="H2218" s="131">
        <f>IFERROR(__xludf.DUMMYFUNCTION("""COMPUTED_VALUE"""),33865.0)</f>
        <v>33865</v>
      </c>
      <c r="I2218" s="144"/>
      <c r="J2218" s="129">
        <f>IFERROR(__xludf.DUMMYFUNCTION("""COMPUTED_VALUE"""),43412.0)</f>
        <v>43412</v>
      </c>
      <c r="K2218" s="133">
        <f>IFERROR(__xludf.DUMMYFUNCTION("""COMPUTED_VALUE"""),11.0)</f>
        <v>11</v>
      </c>
      <c r="L2218" s="133">
        <f>IFERROR(__xludf.DUMMYFUNCTION("""COMPUTED_VALUE"""),3.0)</f>
        <v>3</v>
      </c>
      <c r="M2218" s="133">
        <f>IFERROR(__xludf.DUMMYFUNCTION("""COMPUTED_VALUE"""),14.0)</f>
        <v>14</v>
      </c>
      <c r="N2218" s="152" t="str">
        <f>IFERROR(__xludf.DUMMYFUNCTION("""COMPUTED_VALUE"""),"Model 3 LR AWD")</f>
        <v>Model 3 LR AWD</v>
      </c>
      <c r="O2218" s="152" t="str">
        <f>IFERROR(__xludf.DUMMYFUNCTION("""COMPUTED_VALUE"""),"Deep Blue Metallic")</f>
        <v>Deep Blue Metallic</v>
      </c>
      <c r="P2218" s="153" t="str">
        <f>IFERROR(__xludf.DUMMYFUNCTION("""COMPUTED_VALUE"""),"19 inch Sport")</f>
        <v>19 inch Sport</v>
      </c>
      <c r="Q2218" s="152" t="str">
        <f>IFERROR(__xludf.DUMMYFUNCTION("""COMPUTED_VALUE"""),"Black seats")</f>
        <v>Black seats</v>
      </c>
      <c r="R2218" s="149" t="str">
        <f>IFERROR(__xludf.DUMMYFUNCTION("""COMPUTED_VALUE"""),"Enhanced Autopilot")</f>
        <v>Enhanced Autopilot</v>
      </c>
      <c r="S2218" s="149"/>
      <c r="T2218" s="145"/>
      <c r="U2218" s="145"/>
      <c r="V2218" s="145"/>
      <c r="W2218" s="136"/>
      <c r="X2218" s="137" t="str">
        <f>IFERROR(__xludf.DUMMYFUNCTION("""COMPUTED_VALUE"""),"Excellent")</f>
        <v>Excellent</v>
      </c>
      <c r="Y2218" s="138" t="str">
        <f>IFERROR(__xludf.DUMMYFUNCTION("""COMPUTED_VALUE"""),"Excellent")</f>
        <v>Excellent</v>
      </c>
      <c r="Z2218" s="138" t="str">
        <f>IFERROR(__xludf.DUMMYFUNCTION("""COMPUTED_VALUE"""),"Excellent")</f>
        <v>Excellent</v>
      </c>
      <c r="AA2218" s="138" t="str">
        <f>IFERROR(__xludf.DUMMYFUNCTION("""COMPUTED_VALUE"""),"Excellent")</f>
        <v>Excellent</v>
      </c>
      <c r="AB2218" s="138" t="str">
        <f>IFERROR(__xludf.DUMMYFUNCTION("""COMPUTED_VALUE"""),"Excellent")</f>
        <v>Excellent</v>
      </c>
      <c r="AC2218" s="139"/>
      <c r="AD2218" s="139"/>
      <c r="AE2218" s="139"/>
      <c r="AF2218" s="140"/>
      <c r="AG2218" s="136"/>
      <c r="AH2218" s="157">
        <f>IFERROR(__xludf.DUMMYFUNCTION("""COMPUTED_VALUE"""),43412.589066747685)</f>
        <v>43412.58907</v>
      </c>
      <c r="AI2218" s="138"/>
      <c r="AJ2218" s="138"/>
      <c r="AK2218" s="138"/>
      <c r="AL2218" s="142"/>
    </row>
    <row r="2219" ht="20.25" customHeight="1">
      <c r="A2219" s="155" t="str">
        <f>IFERROR(__xludf.DUMMYFUNCTION("""COMPUTED_VALUE"""),"scottyj ")</f>
        <v>scottyj </v>
      </c>
      <c r="B2219" s="149" t="str">
        <f>IFERROR(__xludf.DUMMYFUNCTION("""COMPUTED_VALUE"""),"Salt Lake City")</f>
        <v>Salt Lake City</v>
      </c>
      <c r="C2219" s="149" t="str">
        <f>IFERROR(__xludf.DUMMYFUNCTION("""COMPUTED_VALUE"""),"UT")</f>
        <v>UT</v>
      </c>
      <c r="D2219" s="149" t="str">
        <f>IFERROR(__xludf.DUMMYFUNCTION("""COMPUTED_VALUE"""),"USA")</f>
        <v>USA</v>
      </c>
      <c r="E2219" s="156">
        <f>IFERROR(__xludf.DUMMYFUNCTION("""COMPUTED_VALUE"""),43398.0)</f>
        <v>43398</v>
      </c>
      <c r="F2219" s="129">
        <f>IFERROR(__xludf.DUMMYFUNCTION("""COMPUTED_VALUE"""),43409.0)</f>
        <v>43409</v>
      </c>
      <c r="G2219" s="154"/>
      <c r="H2219" s="131">
        <f>IFERROR(__xludf.DUMMYFUNCTION("""COMPUTED_VALUE"""),120655.0)</f>
        <v>120655</v>
      </c>
      <c r="I2219" s="144" t="str">
        <f>IFERROR(__xludf.DUMMYFUNCTION("""COMPUTED_VALUE"""),"10/18")</f>
        <v>10/18</v>
      </c>
      <c r="J2219" s="129">
        <f>IFERROR(__xludf.DUMMYFUNCTION("""COMPUTED_VALUE"""),43411.0)</f>
        <v>43411</v>
      </c>
      <c r="K2219" s="133">
        <f>IFERROR(__xludf.DUMMYFUNCTION("""COMPUTED_VALUE"""),11.0)</f>
        <v>11</v>
      </c>
      <c r="L2219" s="133">
        <f>IFERROR(__xludf.DUMMYFUNCTION("""COMPUTED_VALUE"""),2.0)</f>
        <v>2</v>
      </c>
      <c r="M2219" s="133">
        <f>IFERROR(__xludf.DUMMYFUNCTION("""COMPUTED_VALUE"""),13.0)</f>
        <v>13</v>
      </c>
      <c r="N2219" s="152" t="str">
        <f>IFERROR(__xludf.DUMMYFUNCTION("""COMPUTED_VALUE"""),"Model 3 Performance")</f>
        <v>Model 3 Performance</v>
      </c>
      <c r="O2219" s="152" t="str">
        <f>IFERROR(__xludf.DUMMYFUNCTION("""COMPUTED_VALUE"""),"Pearl White Multi-Coat")</f>
        <v>Pearl White Multi-Coat</v>
      </c>
      <c r="P2219" s="153" t="str">
        <f>IFERROR(__xludf.DUMMYFUNCTION("""COMPUTED_VALUE"""),"18 inch Aero")</f>
        <v>18 inch Aero</v>
      </c>
      <c r="Q2219" s="152" t="str">
        <f>IFERROR(__xludf.DUMMYFUNCTION("""COMPUTED_VALUE"""),"Black seats")</f>
        <v>Black seats</v>
      </c>
      <c r="R2219" s="149" t="str">
        <f>IFERROR(__xludf.DUMMYFUNCTION("""COMPUTED_VALUE"""),"Enhanced Autopilot")</f>
        <v>Enhanced Autopilot</v>
      </c>
      <c r="S2219" s="149"/>
      <c r="T2219" s="145"/>
      <c r="U2219" s="145"/>
      <c r="V2219" s="145"/>
      <c r="W2219" s="136"/>
      <c r="X2219" s="137" t="str">
        <f>IFERROR(__xludf.DUMMYFUNCTION("""COMPUTED_VALUE"""),"Good")</f>
        <v>Good</v>
      </c>
      <c r="Y2219" s="138" t="str">
        <f>IFERROR(__xludf.DUMMYFUNCTION("""COMPUTED_VALUE"""),"Excellent")</f>
        <v>Excellent</v>
      </c>
      <c r="Z2219" s="138" t="str">
        <f>IFERROR(__xludf.DUMMYFUNCTION("""COMPUTED_VALUE"""),"Fair")</f>
        <v>Fair</v>
      </c>
      <c r="AA2219" s="138" t="str">
        <f>IFERROR(__xludf.DUMMYFUNCTION("""COMPUTED_VALUE"""),"Fair")</f>
        <v>Fair</v>
      </c>
      <c r="AB2219" s="138" t="str">
        <f>IFERROR(__xludf.DUMMYFUNCTION("""COMPUTED_VALUE"""),"Good")</f>
        <v>Good</v>
      </c>
      <c r="AC2219" s="139">
        <f>IFERROR(__xludf.DUMMYFUNCTION("""COMPUTED_VALUE"""),2.0)</f>
        <v>2</v>
      </c>
      <c r="AD2219" s="139"/>
      <c r="AE2219" s="139"/>
      <c r="AF2219" s="140"/>
      <c r="AG2219" s="136" t="str">
        <f>IFERROR(__xludf.DUMMYFUNCTION("""COMPUTED_VALUE"""),"Two paint defects, one was a drip on upper door sil, one on upper surface of back passenger door, appears to be a fleck of debris under clear coat. On delivery, they took photos, and today i received a call from service center to schedule a time to bring "&amp;"it in (6 days after delivery date)")</f>
        <v>Two paint defects, one was a drip on upper door sil, one on upper surface of back passenger door, appears to be a fleck of debris under clear coat. On delivery, they took photos, and today i received a call from service center to schedule a time to bring it in (6 days after delivery date)</v>
      </c>
      <c r="AH2219" s="157">
        <f>IFERROR(__xludf.DUMMYFUNCTION("""COMPUTED_VALUE"""),43417.964878750005)</f>
        <v>43417.96488</v>
      </c>
      <c r="AI2219" s="138"/>
      <c r="AJ2219" s="138"/>
      <c r="AK2219" s="138"/>
      <c r="AL2219" s="142"/>
    </row>
    <row r="2220" ht="20.25" customHeight="1">
      <c r="A2220" s="155" t="str">
        <f>IFERROR(__xludf.DUMMYFUNCTION("""COMPUTED_VALUE"""),"TallyGator")</f>
        <v>TallyGator</v>
      </c>
      <c r="B2220" s="149" t="str">
        <f>IFERROR(__xludf.DUMMYFUNCTION("""COMPUTED_VALUE"""),"Big Bend")</f>
        <v>Big Bend</v>
      </c>
      <c r="C2220" s="149" t="str">
        <f>IFERROR(__xludf.DUMMYFUNCTION("""COMPUTED_VALUE"""),"FL")</f>
        <v>FL</v>
      </c>
      <c r="D2220" s="149" t="str">
        <f>IFERROR(__xludf.DUMMYFUNCTION("""COMPUTED_VALUE"""),"USA")</f>
        <v>USA</v>
      </c>
      <c r="E2220" s="156">
        <f>IFERROR(__xludf.DUMMYFUNCTION("""COMPUTED_VALUE"""),43398.0)</f>
        <v>43398</v>
      </c>
      <c r="F2220" s="129">
        <f>IFERROR(__xludf.DUMMYFUNCTION("""COMPUTED_VALUE"""),43445.0)</f>
        <v>43445</v>
      </c>
      <c r="G2220" s="154"/>
      <c r="H2220" s="131">
        <f>IFERROR(__xludf.DUMMYFUNCTION("""COMPUTED_VALUE"""),98755.0)</f>
        <v>98755</v>
      </c>
      <c r="I2220" s="144" t="str">
        <f>IFERROR(__xludf.DUMMYFUNCTION("""COMPUTED_VALUE"""),"11/18")</f>
        <v>11/18</v>
      </c>
      <c r="J2220" s="129">
        <f>IFERROR(__xludf.DUMMYFUNCTION("""COMPUTED_VALUE"""),43449.0)</f>
        <v>43449</v>
      </c>
      <c r="K2220" s="133">
        <f>IFERROR(__xludf.DUMMYFUNCTION("""COMPUTED_VALUE"""),47.0)</f>
        <v>47</v>
      </c>
      <c r="L2220" s="133">
        <f>IFERROR(__xludf.DUMMYFUNCTION("""COMPUTED_VALUE"""),4.0)</f>
        <v>4</v>
      </c>
      <c r="M2220" s="133">
        <f>IFERROR(__xludf.DUMMYFUNCTION("""COMPUTED_VALUE"""),51.0)</f>
        <v>51</v>
      </c>
      <c r="N2220" s="152" t="str">
        <f>IFERROR(__xludf.DUMMYFUNCTION("""COMPUTED_VALUE"""),"Model 3 LR")</f>
        <v>Model 3 LR</v>
      </c>
      <c r="O2220" s="152" t="str">
        <f>IFERROR(__xludf.DUMMYFUNCTION("""COMPUTED_VALUE"""),"Pearl White Multi-Coat")</f>
        <v>Pearl White Multi-Coat</v>
      </c>
      <c r="P2220" s="153" t="str">
        <f>IFERROR(__xludf.DUMMYFUNCTION("""COMPUTED_VALUE"""),"18 inch Aero")</f>
        <v>18 inch Aero</v>
      </c>
      <c r="Q2220" s="152" t="str">
        <f>IFERROR(__xludf.DUMMYFUNCTION("""COMPUTED_VALUE"""),"Black seats")</f>
        <v>Black seats</v>
      </c>
      <c r="R2220" s="149" t="str">
        <f>IFERROR(__xludf.DUMMYFUNCTION("""COMPUTED_VALUE"""),"Enhanced Autopilot")</f>
        <v>Enhanced Autopilot</v>
      </c>
      <c r="S2220" s="149"/>
      <c r="T2220" s="145"/>
      <c r="U2220" s="145"/>
      <c r="V2220" s="145"/>
      <c r="W2220" s="136"/>
      <c r="X2220" s="137" t="str">
        <f>IFERROR(__xludf.DUMMYFUNCTION("""COMPUTED_VALUE"""),"Very Good")</f>
        <v>Very Good</v>
      </c>
      <c r="Y2220" s="138" t="str">
        <f>IFERROR(__xludf.DUMMYFUNCTION("""COMPUTED_VALUE"""),"Excellent")</f>
        <v>Excellent</v>
      </c>
      <c r="Z2220" s="138" t="str">
        <f>IFERROR(__xludf.DUMMYFUNCTION("""COMPUTED_VALUE"""),"Very Good")</f>
        <v>Very Good</v>
      </c>
      <c r="AA2220" s="138" t="str">
        <f>IFERROR(__xludf.DUMMYFUNCTION("""COMPUTED_VALUE"""),"Fair")</f>
        <v>Fair</v>
      </c>
      <c r="AB2220" s="138" t="str">
        <f>IFERROR(__xludf.DUMMYFUNCTION("""COMPUTED_VALUE"""),"Excellent")</f>
        <v>Excellent</v>
      </c>
      <c r="AC2220" s="139">
        <f>IFERROR(__xludf.DUMMYFUNCTION("""COMPUTED_VALUE"""),0.0)</f>
        <v>0</v>
      </c>
      <c r="AD2220" s="139">
        <f>IFERROR(__xludf.DUMMYFUNCTION("""COMPUTED_VALUE"""),0.0)</f>
        <v>0</v>
      </c>
      <c r="AE2220" s="139">
        <f>IFERROR(__xludf.DUMMYFUNCTION("""COMPUTED_VALUE"""),0.0)</f>
        <v>0</v>
      </c>
      <c r="AF2220" s="140"/>
      <c r="AG2220" s="136" t="str">
        <f>IFERROR(__xludf.DUMMYFUNCTION("""COMPUTED_VALUE"""),"Change Request MR-&gt;LR Never Processed. MR VIN assigned. DA Located White LR.")</f>
        <v>Change Request MR-&gt;LR Never Processed. MR VIN assigned. DA Located White LR.</v>
      </c>
      <c r="AH2220" s="157">
        <f>IFERROR(__xludf.DUMMYFUNCTION("""COMPUTED_VALUE"""),43481.35276287037)</f>
        <v>43481.35276</v>
      </c>
      <c r="AI2220" s="138"/>
      <c r="AJ2220" s="138"/>
      <c r="AK2220" s="138"/>
      <c r="AL2220" s="142"/>
    </row>
    <row r="2221" ht="20.25" customHeight="1">
      <c r="A2221" s="155" t="str">
        <f>IFERROR(__xludf.DUMMYFUNCTION("""COMPUTED_VALUE"""),"AmpedUp")</f>
        <v>AmpedUp</v>
      </c>
      <c r="B2221" s="149" t="str">
        <f>IFERROR(__xludf.DUMMYFUNCTION("""COMPUTED_VALUE"""),"Rocklin")</f>
        <v>Rocklin</v>
      </c>
      <c r="C2221" s="149" t="str">
        <f>IFERROR(__xludf.DUMMYFUNCTION("""COMPUTED_VALUE"""),"CA")</f>
        <v>CA</v>
      </c>
      <c r="D2221" s="149" t="str">
        <f>IFERROR(__xludf.DUMMYFUNCTION("""COMPUTED_VALUE"""),"USA")</f>
        <v>USA</v>
      </c>
      <c r="E2221" s="156">
        <f>IFERROR(__xludf.DUMMYFUNCTION("""COMPUTED_VALUE"""),43397.0)</f>
        <v>43397</v>
      </c>
      <c r="F2221" s="129">
        <f>IFERROR(__xludf.DUMMYFUNCTION("""COMPUTED_VALUE"""),43412.0)</f>
        <v>43412</v>
      </c>
      <c r="G2221" s="154"/>
      <c r="H2221" s="131">
        <f>IFERROR(__xludf.DUMMYFUNCTION("""COMPUTED_VALUE"""),112055.0)</f>
        <v>112055</v>
      </c>
      <c r="I2221" s="144"/>
      <c r="J2221" s="129">
        <f>IFERROR(__xludf.DUMMYFUNCTION("""COMPUTED_VALUE"""),43419.0)</f>
        <v>43419</v>
      </c>
      <c r="K2221" s="133">
        <f>IFERROR(__xludf.DUMMYFUNCTION("""COMPUTED_VALUE"""),15.0)</f>
        <v>15</v>
      </c>
      <c r="L2221" s="133">
        <f>IFERROR(__xludf.DUMMYFUNCTION("""COMPUTED_VALUE"""),7.0)</f>
        <v>7</v>
      </c>
      <c r="M2221" s="133">
        <f>IFERROR(__xludf.DUMMYFUNCTION("""COMPUTED_VALUE"""),22.0)</f>
        <v>22</v>
      </c>
      <c r="N2221" s="152" t="str">
        <f>IFERROR(__xludf.DUMMYFUNCTION("""COMPUTED_VALUE"""),"Model 3 LR AWD")</f>
        <v>Model 3 LR AWD</v>
      </c>
      <c r="O2221" s="152" t="str">
        <f>IFERROR(__xludf.DUMMYFUNCTION("""COMPUTED_VALUE"""),"Red Multi-Coat")</f>
        <v>Red Multi-Coat</v>
      </c>
      <c r="P2221" s="153" t="str">
        <f>IFERROR(__xludf.DUMMYFUNCTION("""COMPUTED_VALUE"""),"19 inch Sport")</f>
        <v>19 inch Sport</v>
      </c>
      <c r="Q2221" s="152" t="str">
        <f>IFERROR(__xludf.DUMMYFUNCTION("""COMPUTED_VALUE"""),"White seats")</f>
        <v>White seats</v>
      </c>
      <c r="R2221" s="149" t="str">
        <f>IFERROR(__xludf.DUMMYFUNCTION("""COMPUTED_VALUE"""),"Enhanced Autopilot")</f>
        <v>Enhanced Autopilot</v>
      </c>
      <c r="S2221" s="149"/>
      <c r="T2221" s="145"/>
      <c r="U2221" s="145"/>
      <c r="V2221" s="145"/>
      <c r="W2221" s="136"/>
      <c r="X2221" s="137" t="str">
        <f>IFERROR(__xludf.DUMMYFUNCTION("""COMPUTED_VALUE"""),"Excellent")</f>
        <v>Excellent</v>
      </c>
      <c r="Y2221" s="138" t="str">
        <f>IFERROR(__xludf.DUMMYFUNCTION("""COMPUTED_VALUE"""),"Excellent")</f>
        <v>Excellent</v>
      </c>
      <c r="Z2221" s="138" t="str">
        <f>IFERROR(__xludf.DUMMYFUNCTION("""COMPUTED_VALUE"""),"Very Good")</f>
        <v>Very Good</v>
      </c>
      <c r="AA2221" s="138" t="str">
        <f>IFERROR(__xludf.DUMMYFUNCTION("""COMPUTED_VALUE"""),"Fair")</f>
        <v>Fair</v>
      </c>
      <c r="AB2221" s="138" t="str">
        <f>IFERROR(__xludf.DUMMYFUNCTION("""COMPUTED_VALUE"""),"Very Good")</f>
        <v>Very Good</v>
      </c>
      <c r="AC2221" s="139">
        <f>IFERROR(__xludf.DUMMYFUNCTION("""COMPUTED_VALUE"""),2.0)</f>
        <v>2</v>
      </c>
      <c r="AD2221" s="139"/>
      <c r="AE2221" s="139"/>
      <c r="AF2221" s="140"/>
      <c r="AG2221" s="136"/>
      <c r="AH2221" s="157">
        <f>IFERROR(__xludf.DUMMYFUNCTION("""COMPUTED_VALUE"""),43428.69951946759)</f>
        <v>43428.69952</v>
      </c>
      <c r="AI2221" s="138"/>
      <c r="AJ2221" s="138"/>
      <c r="AK2221" s="138"/>
      <c r="AL2221" s="142"/>
    </row>
    <row r="2222" ht="20.25" customHeight="1">
      <c r="A2222" s="155" t="str">
        <f>IFERROR(__xludf.DUMMYFUNCTION("""COMPUTED_VALUE"""),"JD")</f>
        <v>JD</v>
      </c>
      <c r="B2222" s="149" t="str">
        <f>IFERROR(__xludf.DUMMYFUNCTION("""COMPUTED_VALUE"""),"Highland Park")</f>
        <v>Highland Park</v>
      </c>
      <c r="C2222" s="149" t="str">
        <f>IFERROR(__xludf.DUMMYFUNCTION("""COMPUTED_VALUE"""),"IL")</f>
        <v>IL</v>
      </c>
      <c r="D2222" s="149" t="str">
        <f>IFERROR(__xludf.DUMMYFUNCTION("""COMPUTED_VALUE"""),"USA")</f>
        <v>USA</v>
      </c>
      <c r="E2222" s="156">
        <f>IFERROR(__xludf.DUMMYFUNCTION("""COMPUTED_VALUE"""),43397.0)</f>
        <v>43397</v>
      </c>
      <c r="F2222" s="129">
        <f>IFERROR(__xludf.DUMMYFUNCTION("""COMPUTED_VALUE"""),43409.0)</f>
        <v>43409</v>
      </c>
      <c r="G2222" s="154"/>
      <c r="H2222" s="131">
        <f>IFERROR(__xludf.DUMMYFUNCTION("""COMPUTED_VALUE"""),121855.0)</f>
        <v>121855</v>
      </c>
      <c r="I2222" s="144" t="str">
        <f>IFERROR(__xludf.DUMMYFUNCTION("""COMPUTED_VALUE"""),"10/18")</f>
        <v>10/18</v>
      </c>
      <c r="J2222" s="129">
        <f>IFERROR(__xludf.DUMMYFUNCTION("""COMPUTED_VALUE"""),43410.0)</f>
        <v>43410</v>
      </c>
      <c r="K2222" s="133">
        <f>IFERROR(__xludf.DUMMYFUNCTION("""COMPUTED_VALUE"""),12.0)</f>
        <v>12</v>
      </c>
      <c r="L2222" s="133">
        <f>IFERROR(__xludf.DUMMYFUNCTION("""COMPUTED_VALUE"""),1.0)</f>
        <v>1</v>
      </c>
      <c r="M2222" s="133">
        <f>IFERROR(__xludf.DUMMYFUNCTION("""COMPUTED_VALUE"""),13.0)</f>
        <v>13</v>
      </c>
      <c r="N2222" s="152" t="str">
        <f>IFERROR(__xludf.DUMMYFUNCTION("""COMPUTED_VALUE"""),"Model 3 LR AWD")</f>
        <v>Model 3 LR AWD</v>
      </c>
      <c r="O2222" s="152" t="str">
        <f>IFERROR(__xludf.DUMMYFUNCTION("""COMPUTED_VALUE"""),"Deep Blue Metallic")</f>
        <v>Deep Blue Metallic</v>
      </c>
      <c r="P2222" s="153" t="str">
        <f>IFERROR(__xludf.DUMMYFUNCTION("""COMPUTED_VALUE"""),"19 inch Sport")</f>
        <v>19 inch Sport</v>
      </c>
      <c r="Q2222" s="152" t="str">
        <f>IFERROR(__xludf.DUMMYFUNCTION("""COMPUTED_VALUE"""),"Black seats")</f>
        <v>Black seats</v>
      </c>
      <c r="R2222" s="149" t="str">
        <f>IFERROR(__xludf.DUMMYFUNCTION("""COMPUTED_VALUE"""),"Enhanced Autopilot")</f>
        <v>Enhanced Autopilot</v>
      </c>
      <c r="S2222" s="149"/>
      <c r="T2222" s="145"/>
      <c r="U2222" s="145"/>
      <c r="V2222" s="145"/>
      <c r="W2222" s="136"/>
      <c r="X2222" s="137" t="str">
        <f>IFERROR(__xludf.DUMMYFUNCTION("""COMPUTED_VALUE"""),"Excellent")</f>
        <v>Excellent</v>
      </c>
      <c r="Y2222" s="138" t="str">
        <f>IFERROR(__xludf.DUMMYFUNCTION("""COMPUTED_VALUE"""),"Excellent")</f>
        <v>Excellent</v>
      </c>
      <c r="Z2222" s="138" t="str">
        <f>IFERROR(__xludf.DUMMYFUNCTION("""COMPUTED_VALUE"""),"Very Good")</f>
        <v>Very Good</v>
      </c>
      <c r="AA2222" s="138" t="str">
        <f>IFERROR(__xludf.DUMMYFUNCTION("""COMPUTED_VALUE"""),"Very Good")</f>
        <v>Very Good</v>
      </c>
      <c r="AB2222" s="138" t="str">
        <f>IFERROR(__xludf.DUMMYFUNCTION("""COMPUTED_VALUE"""),"Very Good")</f>
        <v>Very Good</v>
      </c>
      <c r="AC2222" s="139">
        <f>IFERROR(__xludf.DUMMYFUNCTION("""COMPUTED_VALUE"""),1.0)</f>
        <v>1</v>
      </c>
      <c r="AD2222" s="139"/>
      <c r="AE2222" s="139"/>
      <c r="AF2222" s="140"/>
      <c r="AG2222" s="136"/>
      <c r="AH2222" s="157">
        <f>IFERROR(__xludf.DUMMYFUNCTION("""COMPUTED_VALUE"""),43410.667004386574)</f>
        <v>43410.667</v>
      </c>
      <c r="AI2222" s="138"/>
      <c r="AJ2222" s="138"/>
      <c r="AK2222" s="138"/>
      <c r="AL2222" s="142"/>
    </row>
    <row r="2223" ht="20.25" customHeight="1">
      <c r="A2223" s="155" t="str">
        <f>IFERROR(__xludf.DUMMYFUNCTION("""COMPUTED_VALUE"""),"nanoman")</f>
        <v>nanoman</v>
      </c>
      <c r="B2223" s="149" t="str">
        <f>IFERROR(__xludf.DUMMYFUNCTION("""COMPUTED_VALUE"""),"Trumansburg")</f>
        <v>Trumansburg</v>
      </c>
      <c r="C2223" s="149" t="str">
        <f>IFERROR(__xludf.DUMMYFUNCTION("""COMPUTED_VALUE"""),"NY")</f>
        <v>NY</v>
      </c>
      <c r="D2223" s="149" t="str">
        <f>IFERROR(__xludf.DUMMYFUNCTION("""COMPUTED_VALUE"""),"USA")</f>
        <v>USA</v>
      </c>
      <c r="E2223" s="156">
        <f>IFERROR(__xludf.DUMMYFUNCTION("""COMPUTED_VALUE"""),43397.0)</f>
        <v>43397</v>
      </c>
      <c r="F2223" s="129">
        <f>IFERROR(__xludf.DUMMYFUNCTION("""COMPUTED_VALUE"""),43795.0)</f>
        <v>43795</v>
      </c>
      <c r="G2223" s="154"/>
      <c r="H2223" s="131">
        <f>IFERROR(__xludf.DUMMYFUNCTION("""COMPUTED_VALUE"""),57755.0)</f>
        <v>57755</v>
      </c>
      <c r="I2223" s="144" t="str">
        <f>IFERROR(__xludf.DUMMYFUNCTION("""COMPUTED_VALUE"""),"10/18")</f>
        <v>10/18</v>
      </c>
      <c r="J2223" s="129">
        <f>IFERROR(__xludf.DUMMYFUNCTION("""COMPUTED_VALUE"""),43435.0)</f>
        <v>43435</v>
      </c>
      <c r="K2223" s="133">
        <f>IFERROR(__xludf.DUMMYFUNCTION("""COMPUTED_VALUE"""),398.0)</f>
        <v>398</v>
      </c>
      <c r="L2223" s="133"/>
      <c r="M2223" s="133">
        <f>IFERROR(__xludf.DUMMYFUNCTION("""COMPUTED_VALUE"""),38.0)</f>
        <v>38</v>
      </c>
      <c r="N2223" s="152" t="str">
        <f>IFERROR(__xludf.DUMMYFUNCTION("""COMPUTED_VALUE"""),"Model 3 LR")</f>
        <v>Model 3 LR</v>
      </c>
      <c r="O2223" s="152" t="str">
        <f>IFERROR(__xludf.DUMMYFUNCTION("""COMPUTED_VALUE"""),"Pearl White Multi-Coat")</f>
        <v>Pearl White Multi-Coat</v>
      </c>
      <c r="P2223" s="153" t="str">
        <f>IFERROR(__xludf.DUMMYFUNCTION("""COMPUTED_VALUE"""),"18 inch Aero")</f>
        <v>18 inch Aero</v>
      </c>
      <c r="Q2223" s="152" t="str">
        <f>IFERROR(__xludf.DUMMYFUNCTION("""COMPUTED_VALUE"""),"Black seats")</f>
        <v>Black seats</v>
      </c>
      <c r="R2223" s="149" t="str">
        <f>IFERROR(__xludf.DUMMYFUNCTION("""COMPUTED_VALUE"""),"Enhanced Autopilot")</f>
        <v>Enhanced Autopilot</v>
      </c>
      <c r="S2223" s="149"/>
      <c r="T2223" s="145"/>
      <c r="U2223" s="145"/>
      <c r="V2223" s="145"/>
      <c r="W2223" s="136"/>
      <c r="X2223" s="137" t="str">
        <f>IFERROR(__xludf.DUMMYFUNCTION("""COMPUTED_VALUE"""),"Excellent")</f>
        <v>Excellent</v>
      </c>
      <c r="Y2223" s="138" t="str">
        <f>IFERROR(__xludf.DUMMYFUNCTION("""COMPUTED_VALUE"""),"Very Good")</f>
        <v>Very Good</v>
      </c>
      <c r="Z2223" s="138" t="str">
        <f>IFERROR(__xludf.DUMMYFUNCTION("""COMPUTED_VALUE"""),"Excellent")</f>
        <v>Excellent</v>
      </c>
      <c r="AA2223" s="138" t="str">
        <f>IFERROR(__xludf.DUMMYFUNCTION("""COMPUTED_VALUE"""),"Good")</f>
        <v>Good</v>
      </c>
      <c r="AB2223" s="138" t="str">
        <f>IFERROR(__xludf.DUMMYFUNCTION("""COMPUTED_VALUE"""),"Very Good")</f>
        <v>Very Good</v>
      </c>
      <c r="AC2223" s="139">
        <f>IFERROR(__xludf.DUMMYFUNCTION("""COMPUTED_VALUE"""),3.0)</f>
        <v>3</v>
      </c>
      <c r="AD2223" s="139">
        <f>IFERROR(__xludf.DUMMYFUNCTION("""COMPUTED_VALUE"""),0.0)</f>
        <v>0</v>
      </c>
      <c r="AE2223" s="139">
        <f>IFERROR(__xludf.DUMMYFUNCTION("""COMPUTED_VALUE"""),0.0)</f>
        <v>0</v>
      </c>
      <c r="AF2223" s="140"/>
      <c r="AG2223" s="136"/>
      <c r="AH2223" s="157">
        <f>IFERROR(__xludf.DUMMYFUNCTION("""COMPUTED_VALUE"""),43467.56804982639)</f>
        <v>43467.56805</v>
      </c>
      <c r="AI2223" s="138"/>
      <c r="AJ2223" s="138"/>
      <c r="AK2223" s="138"/>
      <c r="AL2223" s="142"/>
    </row>
    <row r="2224" ht="20.25" customHeight="1">
      <c r="A2224" s="155" t="str">
        <f>IFERROR(__xludf.DUMMYFUNCTION("""COMPUTED_VALUE"""),"nr")</f>
        <v>nr</v>
      </c>
      <c r="B2224" s="149" t="str">
        <f>IFERROR(__xludf.DUMMYFUNCTION("""COMPUTED_VALUE"""),"Davis")</f>
        <v>Davis</v>
      </c>
      <c r="C2224" s="149" t="str">
        <f>IFERROR(__xludf.DUMMYFUNCTION("""COMPUTED_VALUE"""),"CA")</f>
        <v>CA</v>
      </c>
      <c r="D2224" s="149" t="str">
        <f>IFERROR(__xludf.DUMMYFUNCTION("""COMPUTED_VALUE"""),"USA")</f>
        <v>USA</v>
      </c>
      <c r="E2224" s="156">
        <f>IFERROR(__xludf.DUMMYFUNCTION("""COMPUTED_VALUE"""),43397.0)</f>
        <v>43397</v>
      </c>
      <c r="F2224" s="129">
        <f>IFERROR(__xludf.DUMMYFUNCTION("""COMPUTED_VALUE"""),43412.0)</f>
        <v>43412</v>
      </c>
      <c r="G2224" s="154"/>
      <c r="H2224" s="131">
        <f>IFERROR(__xludf.DUMMYFUNCTION("""COMPUTED_VALUE"""),123155.0)</f>
        <v>123155</v>
      </c>
      <c r="I2224" s="144" t="str">
        <f>IFERROR(__xludf.DUMMYFUNCTION("""COMPUTED_VALUE"""),"11/18")</f>
        <v>11/18</v>
      </c>
      <c r="J2224" s="129">
        <f>IFERROR(__xludf.DUMMYFUNCTION("""COMPUTED_VALUE"""),43416.0)</f>
        <v>43416</v>
      </c>
      <c r="K2224" s="133">
        <f>IFERROR(__xludf.DUMMYFUNCTION("""COMPUTED_VALUE"""),15.0)</f>
        <v>15</v>
      </c>
      <c r="L2224" s="133">
        <f>IFERROR(__xludf.DUMMYFUNCTION("""COMPUTED_VALUE"""),4.0)</f>
        <v>4</v>
      </c>
      <c r="M2224" s="133">
        <f>IFERROR(__xludf.DUMMYFUNCTION("""COMPUTED_VALUE"""),19.0)</f>
        <v>19</v>
      </c>
      <c r="N2224" s="152" t="str">
        <f>IFERROR(__xludf.DUMMYFUNCTION("""COMPUTED_VALUE"""),"Model 3 LR")</f>
        <v>Model 3 LR</v>
      </c>
      <c r="O2224" s="152" t="str">
        <f>IFERROR(__xludf.DUMMYFUNCTION("""COMPUTED_VALUE"""),"Solid Black")</f>
        <v>Solid Black</v>
      </c>
      <c r="P2224" s="153" t="str">
        <f>IFERROR(__xludf.DUMMYFUNCTION("""COMPUTED_VALUE"""),"18 inch Aero")</f>
        <v>18 inch Aero</v>
      </c>
      <c r="Q2224" s="152" t="str">
        <f>IFERROR(__xludf.DUMMYFUNCTION("""COMPUTED_VALUE"""),"Black seats")</f>
        <v>Black seats</v>
      </c>
      <c r="R2224" s="149" t="str">
        <f>IFERROR(__xludf.DUMMYFUNCTION("""COMPUTED_VALUE"""),"None")</f>
        <v>None</v>
      </c>
      <c r="S2224" s="149"/>
      <c r="T2224" s="145"/>
      <c r="U2224" s="145"/>
      <c r="V2224" s="145"/>
      <c r="W2224" s="136"/>
      <c r="X2224" s="137" t="str">
        <f>IFERROR(__xludf.DUMMYFUNCTION("""COMPUTED_VALUE"""),"Very Good")</f>
        <v>Very Good</v>
      </c>
      <c r="Y2224" s="138" t="str">
        <f>IFERROR(__xludf.DUMMYFUNCTION("""COMPUTED_VALUE"""),"Excellent")</f>
        <v>Excellent</v>
      </c>
      <c r="Z2224" s="138" t="str">
        <f>IFERROR(__xludf.DUMMYFUNCTION("""COMPUTED_VALUE"""),"Very Good")</f>
        <v>Very Good</v>
      </c>
      <c r="AA2224" s="138" t="str">
        <f>IFERROR(__xludf.DUMMYFUNCTION("""COMPUTED_VALUE"""),"Poor")</f>
        <v>Poor</v>
      </c>
      <c r="AB2224" s="138" t="str">
        <f>IFERROR(__xludf.DUMMYFUNCTION("""COMPUTED_VALUE"""),"Fair")</f>
        <v>Fair</v>
      </c>
      <c r="AC2224" s="139"/>
      <c r="AD2224" s="139"/>
      <c r="AE2224" s="139"/>
      <c r="AF2224" s="140"/>
      <c r="AG2224" s="136" t="str">
        <f>IFERROR(__xludf.DUMMYFUNCTION("""COMPUTED_VALUE"""),"Switched order from MR to LR to try to ensure 2018 delivery")</f>
        <v>Switched order from MR to LR to try to ensure 2018 delivery</v>
      </c>
      <c r="AH2224" s="157">
        <f>IFERROR(__xludf.DUMMYFUNCTION("""COMPUTED_VALUE"""),43417.81050716436)</f>
        <v>43417.81051</v>
      </c>
      <c r="AI2224" s="138"/>
      <c r="AJ2224" s="138"/>
      <c r="AK2224" s="138"/>
      <c r="AL2224" s="142"/>
    </row>
    <row r="2225" ht="20.25" customHeight="1">
      <c r="A2225" s="155" t="str">
        <f>IFERROR(__xludf.DUMMYFUNCTION("""COMPUTED_VALUE"""),"rraghu78")</f>
        <v>rraghu78</v>
      </c>
      <c r="B2225" s="149" t="str">
        <f>IFERROR(__xludf.DUMMYFUNCTION("""COMPUTED_VALUE"""),"Dallas")</f>
        <v>Dallas</v>
      </c>
      <c r="C2225" s="149" t="str">
        <f>IFERROR(__xludf.DUMMYFUNCTION("""COMPUTED_VALUE"""),"TX")</f>
        <v>TX</v>
      </c>
      <c r="D2225" s="149" t="str">
        <f>IFERROR(__xludf.DUMMYFUNCTION("""COMPUTED_VALUE"""),"USA")</f>
        <v>USA</v>
      </c>
      <c r="E2225" s="156">
        <f>IFERROR(__xludf.DUMMYFUNCTION("""COMPUTED_VALUE"""),43397.0)</f>
        <v>43397</v>
      </c>
      <c r="F2225" s="129">
        <f>IFERROR(__xludf.DUMMYFUNCTION("""COMPUTED_VALUE"""),43445.0)</f>
        <v>43445</v>
      </c>
      <c r="G2225" s="154"/>
      <c r="H2225" s="131">
        <f>IFERROR(__xludf.DUMMYFUNCTION("""COMPUTED_VALUE"""),177955.0)</f>
        <v>177955</v>
      </c>
      <c r="I2225" s="144" t="str">
        <f>IFERROR(__xludf.DUMMYFUNCTION("""COMPUTED_VALUE"""),"11/18")</f>
        <v>11/18</v>
      </c>
      <c r="J2225" s="129">
        <f>IFERROR(__xludf.DUMMYFUNCTION("""COMPUTED_VALUE"""),43454.0)</f>
        <v>43454</v>
      </c>
      <c r="K2225" s="133">
        <f>IFERROR(__xludf.DUMMYFUNCTION("""COMPUTED_VALUE"""),48.0)</f>
        <v>48</v>
      </c>
      <c r="L2225" s="133">
        <f>IFERROR(__xludf.DUMMYFUNCTION("""COMPUTED_VALUE"""),9.0)</f>
        <v>9</v>
      </c>
      <c r="M2225" s="133">
        <f>IFERROR(__xludf.DUMMYFUNCTION("""COMPUTED_VALUE"""),57.0)</f>
        <v>57</v>
      </c>
      <c r="N2225" s="152" t="str">
        <f>IFERROR(__xludf.DUMMYFUNCTION("""COMPUTED_VALUE"""),"Model 3 MR")</f>
        <v>Model 3 MR</v>
      </c>
      <c r="O2225" s="152" t="str">
        <f>IFERROR(__xludf.DUMMYFUNCTION("""COMPUTED_VALUE"""),"Solid Black")</f>
        <v>Solid Black</v>
      </c>
      <c r="P2225" s="153" t="str">
        <f>IFERROR(__xludf.DUMMYFUNCTION("""COMPUTED_VALUE"""),"19 inch Sport")</f>
        <v>19 inch Sport</v>
      </c>
      <c r="Q2225" s="152" t="str">
        <f>IFERROR(__xludf.DUMMYFUNCTION("""COMPUTED_VALUE"""),"White seats")</f>
        <v>White seats</v>
      </c>
      <c r="R2225" s="149" t="str">
        <f>IFERROR(__xludf.DUMMYFUNCTION("""COMPUTED_VALUE"""),"None")</f>
        <v>None</v>
      </c>
      <c r="S2225" s="149"/>
      <c r="T2225" s="145"/>
      <c r="U2225" s="145"/>
      <c r="V2225" s="145"/>
      <c r="W2225" s="136"/>
      <c r="X2225" s="137" t="str">
        <f>IFERROR(__xludf.DUMMYFUNCTION("""COMPUTED_VALUE"""),"Very Good")</f>
        <v>Very Good</v>
      </c>
      <c r="Y2225" s="138" t="str">
        <f>IFERROR(__xludf.DUMMYFUNCTION("""COMPUTED_VALUE"""),"Excellent")</f>
        <v>Excellent</v>
      </c>
      <c r="Z2225" s="138" t="str">
        <f>IFERROR(__xludf.DUMMYFUNCTION("""COMPUTED_VALUE"""),"Excellent")</f>
        <v>Excellent</v>
      </c>
      <c r="AA2225" s="138" t="str">
        <f>IFERROR(__xludf.DUMMYFUNCTION("""COMPUTED_VALUE"""),"Excellent")</f>
        <v>Excellent</v>
      </c>
      <c r="AB2225" s="138" t="str">
        <f>IFERROR(__xludf.DUMMYFUNCTION("""COMPUTED_VALUE"""),"Excellent")</f>
        <v>Excellent</v>
      </c>
      <c r="AC2225" s="139">
        <f>IFERROR(__xludf.DUMMYFUNCTION("""COMPUTED_VALUE"""),0.0)</f>
        <v>0</v>
      </c>
      <c r="AD2225" s="139"/>
      <c r="AE2225" s="139"/>
      <c r="AF2225" s="140"/>
      <c r="AG2225" s="136"/>
      <c r="AH2225" s="157">
        <f>IFERROR(__xludf.DUMMYFUNCTION("""COMPUTED_VALUE"""),43469.35968262731)</f>
        <v>43469.35968</v>
      </c>
      <c r="AI2225" s="138"/>
      <c r="AJ2225" s="138"/>
      <c r="AK2225" s="138"/>
      <c r="AL2225" s="142"/>
    </row>
    <row r="2226" ht="20.25" customHeight="1">
      <c r="A2226" s="155" t="str">
        <f>IFERROR(__xludf.DUMMYFUNCTION("""COMPUTED_VALUE"""),"tbd")</f>
        <v>tbd</v>
      </c>
      <c r="B2226" s="149" t="str">
        <f>IFERROR(__xludf.DUMMYFUNCTION("""COMPUTED_VALUE"""),"Chicago")</f>
        <v>Chicago</v>
      </c>
      <c r="C2226" s="149" t="str">
        <f>IFERROR(__xludf.DUMMYFUNCTION("""COMPUTED_VALUE"""),"IL")</f>
        <v>IL</v>
      </c>
      <c r="D2226" s="149" t="str">
        <f>IFERROR(__xludf.DUMMYFUNCTION("""COMPUTED_VALUE"""),"USA")</f>
        <v>USA</v>
      </c>
      <c r="E2226" s="156">
        <f>IFERROR(__xludf.DUMMYFUNCTION("""COMPUTED_VALUE"""),43397.0)</f>
        <v>43397</v>
      </c>
      <c r="F2226" s="129">
        <f>IFERROR(__xludf.DUMMYFUNCTION("""COMPUTED_VALUE"""),43405.0)</f>
        <v>43405</v>
      </c>
      <c r="G2226" s="154"/>
      <c r="H2226" s="131">
        <f>IFERROR(__xludf.DUMMYFUNCTION("""COMPUTED_VALUE"""),127455.0)</f>
        <v>127455</v>
      </c>
      <c r="I2226" s="144" t="str">
        <f>IFERROR(__xludf.DUMMYFUNCTION("""COMPUTED_VALUE"""),"11/18")</f>
        <v>11/18</v>
      </c>
      <c r="J2226" s="129">
        <f>IFERROR(__xludf.DUMMYFUNCTION("""COMPUTED_VALUE"""),43421.0)</f>
        <v>43421</v>
      </c>
      <c r="K2226" s="133">
        <f>IFERROR(__xludf.DUMMYFUNCTION("""COMPUTED_VALUE"""),8.0)</f>
        <v>8</v>
      </c>
      <c r="L2226" s="133">
        <f>IFERROR(__xludf.DUMMYFUNCTION("""COMPUTED_VALUE"""),16.0)</f>
        <v>16</v>
      </c>
      <c r="M2226" s="133">
        <f>IFERROR(__xludf.DUMMYFUNCTION("""COMPUTED_VALUE"""),24.0)</f>
        <v>24</v>
      </c>
      <c r="N2226" s="152" t="str">
        <f>IFERROR(__xludf.DUMMYFUNCTION("""COMPUTED_VALUE"""),"Model 3 LR AWD")</f>
        <v>Model 3 LR AWD</v>
      </c>
      <c r="O2226" s="152" t="str">
        <f>IFERROR(__xludf.DUMMYFUNCTION("""COMPUTED_VALUE"""),"Solid Black")</f>
        <v>Solid Black</v>
      </c>
      <c r="P2226" s="153" t="str">
        <f>IFERROR(__xludf.DUMMYFUNCTION("""COMPUTED_VALUE"""),"18 inch Aero")</f>
        <v>18 inch Aero</v>
      </c>
      <c r="Q2226" s="152" t="str">
        <f>IFERROR(__xludf.DUMMYFUNCTION("""COMPUTED_VALUE"""),"Black seats")</f>
        <v>Black seats</v>
      </c>
      <c r="R2226" s="149" t="str">
        <f>IFERROR(__xludf.DUMMYFUNCTION("""COMPUTED_VALUE"""),"None")</f>
        <v>None</v>
      </c>
      <c r="S2226" s="149"/>
      <c r="T2226" s="145"/>
      <c r="U2226" s="145"/>
      <c r="V2226" s="145"/>
      <c r="W2226" s="136"/>
      <c r="X2226" s="137" t="str">
        <f>IFERROR(__xludf.DUMMYFUNCTION("""COMPUTED_VALUE"""),"Excellent")</f>
        <v>Excellent</v>
      </c>
      <c r="Y2226" s="138" t="str">
        <f>IFERROR(__xludf.DUMMYFUNCTION("""COMPUTED_VALUE"""),"Excellent")</f>
        <v>Excellent</v>
      </c>
      <c r="Z2226" s="138" t="str">
        <f>IFERROR(__xludf.DUMMYFUNCTION("""COMPUTED_VALUE"""),"Excellent")</f>
        <v>Excellent</v>
      </c>
      <c r="AA2226" s="138" t="str">
        <f>IFERROR(__xludf.DUMMYFUNCTION("""COMPUTED_VALUE"""),"Good")</f>
        <v>Good</v>
      </c>
      <c r="AB2226" s="138" t="str">
        <f>IFERROR(__xludf.DUMMYFUNCTION("""COMPUTED_VALUE"""),"Excellent")</f>
        <v>Excellent</v>
      </c>
      <c r="AC2226" s="139"/>
      <c r="AD2226" s="139"/>
      <c r="AE2226" s="139"/>
      <c r="AF2226" s="140"/>
      <c r="AG2226" s="136"/>
      <c r="AH2226" s="157">
        <f>IFERROR(__xludf.DUMMYFUNCTION("""COMPUTED_VALUE"""),43421.6013112037)</f>
        <v>43421.60131</v>
      </c>
      <c r="AI2226" s="138"/>
      <c r="AJ2226" s="138"/>
      <c r="AK2226" s="138"/>
      <c r="AL2226" s="142"/>
    </row>
    <row r="2227" ht="20.25" customHeight="1">
      <c r="A2227" s="155" t="str">
        <f>IFERROR(__xludf.DUMMYFUNCTION("""COMPUTED_VALUE"""),"cdipierro")</f>
        <v>cdipierro</v>
      </c>
      <c r="B2227" s="149" t="str">
        <f>IFERROR(__xludf.DUMMYFUNCTION("""COMPUTED_VALUE"""),"Tampa")</f>
        <v>Tampa</v>
      </c>
      <c r="C2227" s="149" t="str">
        <f>IFERROR(__xludf.DUMMYFUNCTION("""COMPUTED_VALUE"""),"FL")</f>
        <v>FL</v>
      </c>
      <c r="D2227" s="149" t="str">
        <f>IFERROR(__xludf.DUMMYFUNCTION("""COMPUTED_VALUE"""),"USA")</f>
        <v>USA</v>
      </c>
      <c r="E2227" s="156">
        <f>IFERROR(__xludf.DUMMYFUNCTION("""COMPUTED_VALUE"""),43396.0)</f>
        <v>43396</v>
      </c>
      <c r="F2227" s="129">
        <f>IFERROR(__xludf.DUMMYFUNCTION("""COMPUTED_VALUE"""),43430.0)</f>
        <v>43430</v>
      </c>
      <c r="G2227" s="154"/>
      <c r="H2227" s="131">
        <f>IFERROR(__xludf.DUMMYFUNCTION("""COMPUTED_VALUE"""),154284.0)</f>
        <v>154284</v>
      </c>
      <c r="I2227" s="144"/>
      <c r="J2227" s="129">
        <f>IFERROR(__xludf.DUMMYFUNCTION("""COMPUTED_VALUE"""),43437.0)</f>
        <v>43437</v>
      </c>
      <c r="K2227" s="133">
        <f>IFERROR(__xludf.DUMMYFUNCTION("""COMPUTED_VALUE"""),34.0)</f>
        <v>34</v>
      </c>
      <c r="L2227" s="133">
        <f>IFERROR(__xludf.DUMMYFUNCTION("""COMPUTED_VALUE"""),7.0)</f>
        <v>7</v>
      </c>
      <c r="M2227" s="133">
        <f>IFERROR(__xludf.DUMMYFUNCTION("""COMPUTED_VALUE"""),41.0)</f>
        <v>41</v>
      </c>
      <c r="N2227" s="152" t="str">
        <f>IFERROR(__xludf.DUMMYFUNCTION("""COMPUTED_VALUE"""),"Model 3 MR")</f>
        <v>Model 3 MR</v>
      </c>
      <c r="O2227" s="152" t="str">
        <f>IFERROR(__xludf.DUMMYFUNCTION("""COMPUTED_VALUE"""),"Deep Blue Metallic")</f>
        <v>Deep Blue Metallic</v>
      </c>
      <c r="P2227" s="153" t="str">
        <f>IFERROR(__xludf.DUMMYFUNCTION("""COMPUTED_VALUE"""),"18 inch Aero")</f>
        <v>18 inch Aero</v>
      </c>
      <c r="Q2227" s="152" t="str">
        <f>IFERROR(__xludf.DUMMYFUNCTION("""COMPUTED_VALUE"""),"Black seats")</f>
        <v>Black seats</v>
      </c>
      <c r="R2227" s="149" t="str">
        <f>IFERROR(__xludf.DUMMYFUNCTION("""COMPUTED_VALUE"""),"None")</f>
        <v>None</v>
      </c>
      <c r="S2227" s="149"/>
      <c r="T2227" s="145"/>
      <c r="U2227" s="145"/>
      <c r="V2227" s="145"/>
      <c r="W2227" s="136"/>
      <c r="X2227" s="137" t="str">
        <f>IFERROR(__xludf.DUMMYFUNCTION("""COMPUTED_VALUE"""),"Excellent")</f>
        <v>Excellent</v>
      </c>
      <c r="Y2227" s="138" t="str">
        <f>IFERROR(__xludf.DUMMYFUNCTION("""COMPUTED_VALUE"""),"Excellent")</f>
        <v>Excellent</v>
      </c>
      <c r="Z2227" s="138" t="str">
        <f>IFERROR(__xludf.DUMMYFUNCTION("""COMPUTED_VALUE"""),"Excellent")</f>
        <v>Excellent</v>
      </c>
      <c r="AA2227" s="138" t="str">
        <f>IFERROR(__xludf.DUMMYFUNCTION("""COMPUTED_VALUE"""),"Excellent")</f>
        <v>Excellent</v>
      </c>
      <c r="AB2227" s="138" t="str">
        <f>IFERROR(__xludf.DUMMYFUNCTION("""COMPUTED_VALUE"""),"Excellent")</f>
        <v>Excellent</v>
      </c>
      <c r="AC2227" s="139"/>
      <c r="AD2227" s="139"/>
      <c r="AE2227" s="139"/>
      <c r="AF2227" s="140"/>
      <c r="AG2227" s="136"/>
      <c r="AH2227" s="157">
        <f>IFERROR(__xludf.DUMMYFUNCTION("""COMPUTED_VALUE"""),43437.50245101852)</f>
        <v>43437.50245</v>
      </c>
      <c r="AI2227" s="138"/>
      <c r="AJ2227" s="138"/>
      <c r="AK2227" s="138"/>
      <c r="AL2227" s="142"/>
    </row>
    <row r="2228" ht="20.25" customHeight="1">
      <c r="A2228" s="155" t="str">
        <f>IFERROR(__xludf.DUMMYFUNCTION("""COMPUTED_VALUE"""),"JUICEBX")</f>
        <v>JUICEBX</v>
      </c>
      <c r="B2228" s="149" t="str">
        <f>IFERROR(__xludf.DUMMYFUNCTION("""COMPUTED_VALUE"""),"springfield")</f>
        <v>springfield</v>
      </c>
      <c r="C2228" s="149" t="str">
        <f>IFERROR(__xludf.DUMMYFUNCTION("""COMPUTED_VALUE"""),"VA")</f>
        <v>VA</v>
      </c>
      <c r="D2228" s="149" t="str">
        <f>IFERROR(__xludf.DUMMYFUNCTION("""COMPUTED_VALUE"""),"USA")</f>
        <v>USA</v>
      </c>
      <c r="E2228" s="156">
        <f>IFERROR(__xludf.DUMMYFUNCTION("""COMPUTED_VALUE"""),43396.0)</f>
        <v>43396</v>
      </c>
      <c r="F2228" s="129">
        <f>IFERROR(__xludf.DUMMYFUNCTION("""COMPUTED_VALUE"""),43419.0)</f>
        <v>43419</v>
      </c>
      <c r="G2228" s="154"/>
      <c r="H2228" s="131">
        <f>IFERROR(__xludf.DUMMYFUNCTION("""COMPUTED_VALUE"""),154355.0)</f>
        <v>154355</v>
      </c>
      <c r="I2228" s="144"/>
      <c r="J2228" s="129">
        <f>IFERROR(__xludf.DUMMYFUNCTION("""COMPUTED_VALUE"""),43422.0)</f>
        <v>43422</v>
      </c>
      <c r="K2228" s="133">
        <f>IFERROR(__xludf.DUMMYFUNCTION("""COMPUTED_VALUE"""),23.0)</f>
        <v>23</v>
      </c>
      <c r="L2228" s="133">
        <f>IFERROR(__xludf.DUMMYFUNCTION("""COMPUTED_VALUE"""),3.0)</f>
        <v>3</v>
      </c>
      <c r="M2228" s="133">
        <f>IFERROR(__xludf.DUMMYFUNCTION("""COMPUTED_VALUE"""),26.0)</f>
        <v>26</v>
      </c>
      <c r="N2228" s="152" t="str">
        <f>IFERROR(__xludf.DUMMYFUNCTION("""COMPUTED_VALUE"""),"Model 3 MR")</f>
        <v>Model 3 MR</v>
      </c>
      <c r="O2228" s="152" t="str">
        <f>IFERROR(__xludf.DUMMYFUNCTION("""COMPUTED_VALUE"""),"Deep Blue Metallic")</f>
        <v>Deep Blue Metallic</v>
      </c>
      <c r="P2228" s="153" t="str">
        <f>IFERROR(__xludf.DUMMYFUNCTION("""COMPUTED_VALUE"""),"18 inch Aero")</f>
        <v>18 inch Aero</v>
      </c>
      <c r="Q2228" s="152" t="str">
        <f>IFERROR(__xludf.DUMMYFUNCTION("""COMPUTED_VALUE"""),"Black seats")</f>
        <v>Black seats</v>
      </c>
      <c r="R2228" s="149" t="str">
        <f>IFERROR(__xludf.DUMMYFUNCTION("""COMPUTED_VALUE"""),"Enhanced Autopilot")</f>
        <v>Enhanced Autopilot</v>
      </c>
      <c r="S2228" s="149"/>
      <c r="T2228" s="145"/>
      <c r="U2228" s="145"/>
      <c r="V2228" s="145"/>
      <c r="W2228" s="136"/>
      <c r="X2228" s="137" t="str">
        <f>IFERROR(__xludf.DUMMYFUNCTION("""COMPUTED_VALUE"""),"Excellent")</f>
        <v>Excellent</v>
      </c>
      <c r="Y2228" s="138" t="str">
        <f>IFERROR(__xludf.DUMMYFUNCTION("""COMPUTED_VALUE"""),"Excellent")</f>
        <v>Excellent</v>
      </c>
      <c r="Z2228" s="138" t="str">
        <f>IFERROR(__xludf.DUMMYFUNCTION("""COMPUTED_VALUE"""),"Excellent")</f>
        <v>Excellent</v>
      </c>
      <c r="AA2228" s="138" t="str">
        <f>IFERROR(__xludf.DUMMYFUNCTION("""COMPUTED_VALUE"""),"Excellent")</f>
        <v>Excellent</v>
      </c>
      <c r="AB2228" s="138" t="str">
        <f>IFERROR(__xludf.DUMMYFUNCTION("""COMPUTED_VALUE"""),"Excellent")</f>
        <v>Excellent</v>
      </c>
      <c r="AC2228" s="139"/>
      <c r="AD2228" s="139"/>
      <c r="AE2228" s="139"/>
      <c r="AF2228" s="140"/>
      <c r="AG2228" s="136"/>
      <c r="AH2228" s="157">
        <f>IFERROR(__xludf.DUMMYFUNCTION("""COMPUTED_VALUE"""),43423.57669113426)</f>
        <v>43423.57669</v>
      </c>
      <c r="AI2228" s="138"/>
      <c r="AJ2228" s="138"/>
      <c r="AK2228" s="138"/>
      <c r="AL2228" s="142"/>
    </row>
    <row r="2229" ht="20.25" customHeight="1">
      <c r="A2229" s="155" t="str">
        <f>IFERROR(__xludf.DUMMYFUNCTION("""COMPUTED_VALUE"""),"mexiken")</f>
        <v>mexiken</v>
      </c>
      <c r="B2229" s="149" t="str">
        <f>IFERROR(__xludf.DUMMYFUNCTION("""COMPUTED_VALUE"""),"Los Angeles")</f>
        <v>Los Angeles</v>
      </c>
      <c r="C2229" s="149" t="str">
        <f>IFERROR(__xludf.DUMMYFUNCTION("""COMPUTED_VALUE"""),"CA")</f>
        <v>CA</v>
      </c>
      <c r="D2229" s="149" t="str">
        <f>IFERROR(__xludf.DUMMYFUNCTION("""COMPUTED_VALUE"""),"USA")</f>
        <v>USA</v>
      </c>
      <c r="E2229" s="156">
        <f>IFERROR(__xludf.DUMMYFUNCTION("""COMPUTED_VALUE"""),43396.0)</f>
        <v>43396</v>
      </c>
      <c r="F2229" s="129">
        <f>IFERROR(__xludf.DUMMYFUNCTION("""COMPUTED_VALUE"""),43419.0)</f>
        <v>43419</v>
      </c>
      <c r="G2229" s="154"/>
      <c r="H2229" s="131">
        <f>IFERROR(__xludf.DUMMYFUNCTION("""COMPUTED_VALUE"""),125055.0)</f>
        <v>125055</v>
      </c>
      <c r="I2229" s="144" t="str">
        <f>IFERROR(__xludf.DUMMYFUNCTION("""COMPUTED_VALUE"""),"11/18")</f>
        <v>11/18</v>
      </c>
      <c r="J2229" s="129">
        <f>IFERROR(__xludf.DUMMYFUNCTION("""COMPUTED_VALUE"""),43434.0)</f>
        <v>43434</v>
      </c>
      <c r="K2229" s="133">
        <f>IFERROR(__xludf.DUMMYFUNCTION("""COMPUTED_VALUE"""),23.0)</f>
        <v>23</v>
      </c>
      <c r="L2229" s="133">
        <f>IFERROR(__xludf.DUMMYFUNCTION("""COMPUTED_VALUE"""),15.0)</f>
        <v>15</v>
      </c>
      <c r="M2229" s="133">
        <f>IFERROR(__xludf.DUMMYFUNCTION("""COMPUTED_VALUE"""),38.0)</f>
        <v>38</v>
      </c>
      <c r="N2229" s="152" t="str">
        <f>IFERROR(__xludf.DUMMYFUNCTION("""COMPUTED_VALUE"""),"Model 3 LR")</f>
        <v>Model 3 LR</v>
      </c>
      <c r="O2229" s="152" t="str">
        <f>IFERROR(__xludf.DUMMYFUNCTION("""COMPUTED_VALUE"""),"Deep Blue Metallic")</f>
        <v>Deep Blue Metallic</v>
      </c>
      <c r="P2229" s="153" t="str">
        <f>IFERROR(__xludf.DUMMYFUNCTION("""COMPUTED_VALUE"""),"18 inch Aero")</f>
        <v>18 inch Aero</v>
      </c>
      <c r="Q2229" s="152" t="str">
        <f>IFERROR(__xludf.DUMMYFUNCTION("""COMPUTED_VALUE"""),"Black seats")</f>
        <v>Black seats</v>
      </c>
      <c r="R2229" s="149" t="str">
        <f>IFERROR(__xludf.DUMMYFUNCTION("""COMPUTED_VALUE"""),"None")</f>
        <v>None</v>
      </c>
      <c r="S2229" s="149"/>
      <c r="T2229" s="145"/>
      <c r="U2229" s="145"/>
      <c r="V2229" s="145"/>
      <c r="W2229" s="136"/>
      <c r="X2229" s="137" t="str">
        <f>IFERROR(__xludf.DUMMYFUNCTION("""COMPUTED_VALUE"""),"Poor")</f>
        <v>Poor</v>
      </c>
      <c r="Y2229" s="138" t="str">
        <f>IFERROR(__xludf.DUMMYFUNCTION("""COMPUTED_VALUE"""),"Excellent")</f>
        <v>Excellent</v>
      </c>
      <c r="Z2229" s="138" t="str">
        <f>IFERROR(__xludf.DUMMYFUNCTION("""COMPUTED_VALUE"""),"Poor")</f>
        <v>Poor</v>
      </c>
      <c r="AA2229" s="138" t="str">
        <f>IFERROR(__xludf.DUMMYFUNCTION("""COMPUTED_VALUE"""),"Poor")</f>
        <v>Poor</v>
      </c>
      <c r="AB2229" s="138" t="str">
        <f>IFERROR(__xludf.DUMMYFUNCTION("""COMPUTED_VALUE"""),"Very Good")</f>
        <v>Very Good</v>
      </c>
      <c r="AC2229" s="139">
        <f>IFERROR(__xludf.DUMMYFUNCTION("""COMPUTED_VALUE"""),4.0)</f>
        <v>4</v>
      </c>
      <c r="AD2229" s="139">
        <f>IFERROR(__xludf.DUMMYFUNCTION("""COMPUTED_VALUE"""),5.0)</f>
        <v>5</v>
      </c>
      <c r="AE2229" s="139">
        <f>IFERROR(__xludf.DUMMYFUNCTION("""COMPUTED_VALUE"""),1.0)</f>
        <v>1</v>
      </c>
      <c r="AF2229" s="140"/>
      <c r="AG2229" s="136" t="str">
        <f>IFERROR(__xludf.DUMMYFUNCTION("""COMPUTED_VALUE"""),"Forced to switch from white interior to black interior due to not fulfilling LR RWD order with white interior")</f>
        <v>Forced to switch from white interior to black interior due to not fulfilling LR RWD order with white interior</v>
      </c>
      <c r="AH2229" s="157">
        <f>IFERROR(__xludf.DUMMYFUNCTION("""COMPUTED_VALUE"""),43452.925293611115)</f>
        <v>43452.92529</v>
      </c>
      <c r="AI2229" s="138"/>
      <c r="AJ2229" s="138"/>
      <c r="AK2229" s="138"/>
      <c r="AL2229" s="142"/>
    </row>
    <row r="2230" ht="20.25" customHeight="1">
      <c r="A2230" s="155" t="str">
        <f>IFERROR(__xludf.DUMMYFUNCTION("""COMPUTED_VALUE"""),"Tcpdumper ")</f>
        <v>Tcpdumper </v>
      </c>
      <c r="B2230" s="149"/>
      <c r="C2230" s="149" t="str">
        <f>IFERROR(__xludf.DUMMYFUNCTION("""COMPUTED_VALUE"""),"CA")</f>
        <v>CA</v>
      </c>
      <c r="D2230" s="149" t="str">
        <f>IFERROR(__xludf.DUMMYFUNCTION("""COMPUTED_VALUE"""),"USA")</f>
        <v>USA</v>
      </c>
      <c r="E2230" s="156">
        <f>IFERROR(__xludf.DUMMYFUNCTION("""COMPUTED_VALUE"""),43396.0)</f>
        <v>43396</v>
      </c>
      <c r="F2230" s="129">
        <f>IFERROR(__xludf.DUMMYFUNCTION("""COMPUTED_VALUE"""),43313.0)</f>
        <v>43313</v>
      </c>
      <c r="G2230" s="154"/>
      <c r="H2230" s="131">
        <f>IFERROR(__xludf.DUMMYFUNCTION("""COMPUTED_VALUE"""),79248.0)</f>
        <v>79248</v>
      </c>
      <c r="I2230" s="144"/>
      <c r="J2230" s="129">
        <f>IFERROR(__xludf.DUMMYFUNCTION("""COMPUTED_VALUE"""),43406.0)</f>
        <v>43406</v>
      </c>
      <c r="K2230" s="133"/>
      <c r="L2230" s="133">
        <f>IFERROR(__xludf.DUMMYFUNCTION("""COMPUTED_VALUE"""),93.0)</f>
        <v>93</v>
      </c>
      <c r="M2230" s="133">
        <f>IFERROR(__xludf.DUMMYFUNCTION("""COMPUTED_VALUE"""),10.0)</f>
        <v>10</v>
      </c>
      <c r="N2230" s="152" t="str">
        <f>IFERROR(__xludf.DUMMYFUNCTION("""COMPUTED_VALUE"""),"Model 3 Performance")</f>
        <v>Model 3 Performance</v>
      </c>
      <c r="O2230" s="152" t="str">
        <f>IFERROR(__xludf.DUMMYFUNCTION("""COMPUTED_VALUE"""),"Midnight Silver Metallic")</f>
        <v>Midnight Silver Metallic</v>
      </c>
      <c r="P2230" s="153" t="str">
        <f>IFERROR(__xludf.DUMMYFUNCTION("""COMPUTED_VALUE"""),"20 inch Sport")</f>
        <v>20 inch Sport</v>
      </c>
      <c r="Q2230" s="152" t="str">
        <f>IFERROR(__xludf.DUMMYFUNCTION("""COMPUTED_VALUE"""),"White seats")</f>
        <v>White seats</v>
      </c>
      <c r="R2230" s="149" t="str">
        <f>IFERROR(__xludf.DUMMYFUNCTION("""COMPUTED_VALUE"""),"Enhanced Autopilot")</f>
        <v>Enhanced Autopilot</v>
      </c>
      <c r="S2230" s="149"/>
      <c r="T2230" s="145"/>
      <c r="U2230" s="145"/>
      <c r="V2230" s="145"/>
      <c r="W2230" s="136"/>
      <c r="X2230" s="137" t="str">
        <f>IFERROR(__xludf.DUMMYFUNCTION("""COMPUTED_VALUE"""),"Very Good")</f>
        <v>Very Good</v>
      </c>
      <c r="Y2230" s="138" t="str">
        <f>IFERROR(__xludf.DUMMYFUNCTION("""COMPUTED_VALUE"""),"Excellent")</f>
        <v>Excellent</v>
      </c>
      <c r="Z2230" s="138" t="str">
        <f>IFERROR(__xludf.DUMMYFUNCTION("""COMPUTED_VALUE"""),"Very Good")</f>
        <v>Very Good</v>
      </c>
      <c r="AA2230" s="138" t="str">
        <f>IFERROR(__xludf.DUMMYFUNCTION("""COMPUTED_VALUE"""),"Very Good")</f>
        <v>Very Good</v>
      </c>
      <c r="AB2230" s="138" t="str">
        <f>IFERROR(__xludf.DUMMYFUNCTION("""COMPUTED_VALUE"""),"Good")</f>
        <v>Good</v>
      </c>
      <c r="AC2230" s="139">
        <f>IFERROR(__xludf.DUMMYFUNCTION("""COMPUTED_VALUE"""),1.0)</f>
        <v>1</v>
      </c>
      <c r="AD2230" s="139"/>
      <c r="AE2230" s="139"/>
      <c r="AF2230" s="140"/>
      <c r="AG2230" s="136"/>
      <c r="AH2230" s="157">
        <f>IFERROR(__xludf.DUMMYFUNCTION("""COMPUTED_VALUE"""),43406.573627881946)</f>
        <v>43406.57363</v>
      </c>
      <c r="AI2230" s="138"/>
      <c r="AJ2230" s="138"/>
      <c r="AK2230" s="138"/>
      <c r="AL2230" s="142"/>
    </row>
    <row r="2231" ht="20.25" customHeight="1">
      <c r="A2231" s="155" t="str">
        <f>IFERROR(__xludf.DUMMYFUNCTION("""COMPUTED_VALUE"""),"Tenacious D")</f>
        <v>Tenacious D</v>
      </c>
      <c r="B2231" s="149" t="str">
        <f>IFERROR(__xludf.DUMMYFUNCTION("""COMPUTED_VALUE"""),"Chicago Suburbs")</f>
        <v>Chicago Suburbs</v>
      </c>
      <c r="C2231" s="149" t="str">
        <f>IFERROR(__xludf.DUMMYFUNCTION("""COMPUTED_VALUE"""),"IL")</f>
        <v>IL</v>
      </c>
      <c r="D2231" s="149" t="str">
        <f>IFERROR(__xludf.DUMMYFUNCTION("""COMPUTED_VALUE"""),"USA")</f>
        <v>USA</v>
      </c>
      <c r="E2231" s="156">
        <f>IFERROR(__xludf.DUMMYFUNCTION("""COMPUTED_VALUE"""),43396.0)</f>
        <v>43396</v>
      </c>
      <c r="F2231" s="129">
        <f>IFERROR(__xludf.DUMMYFUNCTION("""COMPUTED_VALUE"""),43406.0)</f>
        <v>43406</v>
      </c>
      <c r="G2231" s="154"/>
      <c r="H2231" s="131">
        <f>IFERROR(__xludf.DUMMYFUNCTION("""COMPUTED_VALUE"""),123855.0)</f>
        <v>123855</v>
      </c>
      <c r="I2231" s="144"/>
      <c r="J2231" s="129">
        <f>IFERROR(__xludf.DUMMYFUNCTION("""COMPUTED_VALUE"""),43431.0)</f>
        <v>43431</v>
      </c>
      <c r="K2231" s="133">
        <f>IFERROR(__xludf.DUMMYFUNCTION("""COMPUTED_VALUE"""),10.0)</f>
        <v>10</v>
      </c>
      <c r="L2231" s="133">
        <f>IFERROR(__xludf.DUMMYFUNCTION("""COMPUTED_VALUE"""),25.0)</f>
        <v>25</v>
      </c>
      <c r="M2231" s="133">
        <f>IFERROR(__xludf.DUMMYFUNCTION("""COMPUTED_VALUE"""),35.0)</f>
        <v>35</v>
      </c>
      <c r="N2231" s="152" t="str">
        <f>IFERROR(__xludf.DUMMYFUNCTION("""COMPUTED_VALUE"""),"Model 3 LR")</f>
        <v>Model 3 LR</v>
      </c>
      <c r="O2231" s="152" t="str">
        <f>IFERROR(__xludf.DUMMYFUNCTION("""COMPUTED_VALUE"""),"Midnight Silver Metallic")</f>
        <v>Midnight Silver Metallic</v>
      </c>
      <c r="P2231" s="153" t="str">
        <f>IFERROR(__xludf.DUMMYFUNCTION("""COMPUTED_VALUE"""),"18 inch Aero")</f>
        <v>18 inch Aero</v>
      </c>
      <c r="Q2231" s="152" t="str">
        <f>IFERROR(__xludf.DUMMYFUNCTION("""COMPUTED_VALUE"""),"Black seats")</f>
        <v>Black seats</v>
      </c>
      <c r="R2231" s="149" t="str">
        <f>IFERROR(__xludf.DUMMYFUNCTION("""COMPUTED_VALUE"""),"Enhanced Autopilot")</f>
        <v>Enhanced Autopilot</v>
      </c>
      <c r="S2231" s="149"/>
      <c r="T2231" s="145"/>
      <c r="U2231" s="145"/>
      <c r="V2231" s="145"/>
      <c r="W2231" s="136"/>
      <c r="X2231" s="137" t="str">
        <f>IFERROR(__xludf.DUMMYFUNCTION("""COMPUTED_VALUE"""),"Excellent")</f>
        <v>Excellent</v>
      </c>
      <c r="Y2231" s="138" t="str">
        <f>IFERROR(__xludf.DUMMYFUNCTION("""COMPUTED_VALUE"""),"Excellent")</f>
        <v>Excellent</v>
      </c>
      <c r="Z2231" s="138" t="str">
        <f>IFERROR(__xludf.DUMMYFUNCTION("""COMPUTED_VALUE"""),"Excellent")</f>
        <v>Excellent</v>
      </c>
      <c r="AA2231" s="138" t="str">
        <f>IFERROR(__xludf.DUMMYFUNCTION("""COMPUTED_VALUE"""),"Poor")</f>
        <v>Poor</v>
      </c>
      <c r="AB2231" s="138" t="str">
        <f>IFERROR(__xludf.DUMMYFUNCTION("""COMPUTED_VALUE"""),"Excellent")</f>
        <v>Excellent</v>
      </c>
      <c r="AC2231" s="139"/>
      <c r="AD2231" s="139"/>
      <c r="AE2231" s="139"/>
      <c r="AF2231" s="140"/>
      <c r="AG2231" s="136" t="str">
        <f>IFERROR(__xludf.DUMMYFUNCTION("""COMPUTED_VALUE"""),"Ordered MR RWD, upgraded to LR RWD")</f>
        <v>Ordered MR RWD, upgraded to LR RWD</v>
      </c>
      <c r="AH2231" s="157">
        <f>IFERROR(__xludf.DUMMYFUNCTION("""COMPUTED_VALUE"""),43431.31455960648)</f>
        <v>43431.31456</v>
      </c>
      <c r="AI2231" s="138"/>
      <c r="AJ2231" s="138"/>
      <c r="AK2231" s="138"/>
      <c r="AL2231" s="142"/>
    </row>
    <row r="2232" ht="20.25" customHeight="1">
      <c r="A2232" s="155" t="str">
        <f>IFERROR(__xludf.DUMMYFUNCTION("""COMPUTED_VALUE"""),"Treker56")</f>
        <v>Treker56</v>
      </c>
      <c r="B2232" s="149" t="str">
        <f>IFERROR(__xludf.DUMMYFUNCTION("""COMPUTED_VALUE"""),"Fairfax")</f>
        <v>Fairfax</v>
      </c>
      <c r="C2232" s="149" t="str">
        <f>IFERROR(__xludf.DUMMYFUNCTION("""COMPUTED_VALUE"""),"VA")</f>
        <v>VA</v>
      </c>
      <c r="D2232" s="149" t="str">
        <f>IFERROR(__xludf.DUMMYFUNCTION("""COMPUTED_VALUE"""),"USA")</f>
        <v>USA</v>
      </c>
      <c r="E2232" s="156">
        <f>IFERROR(__xludf.DUMMYFUNCTION("""COMPUTED_VALUE"""),43396.0)</f>
        <v>43396</v>
      </c>
      <c r="F2232" s="129"/>
      <c r="G2232" s="154"/>
      <c r="H2232" s="131">
        <f>IFERROR(__xludf.DUMMYFUNCTION("""COMPUTED_VALUE"""),152730.0)</f>
        <v>152730</v>
      </c>
      <c r="I2232" s="144" t="str">
        <f>IFERROR(__xludf.DUMMYFUNCTION("""COMPUTED_VALUE"""),"11/18")</f>
        <v>11/18</v>
      </c>
      <c r="J2232" s="129">
        <f>IFERROR(__xludf.DUMMYFUNCTION("""COMPUTED_VALUE"""),43429.0)</f>
        <v>43429</v>
      </c>
      <c r="K2232" s="133"/>
      <c r="L2232" s="133"/>
      <c r="M2232" s="133">
        <f>IFERROR(__xludf.DUMMYFUNCTION("""COMPUTED_VALUE"""),33.0)</f>
        <v>33</v>
      </c>
      <c r="N2232" s="152" t="str">
        <f>IFERROR(__xludf.DUMMYFUNCTION("""COMPUTED_VALUE"""),"Model 3 MR")</f>
        <v>Model 3 MR</v>
      </c>
      <c r="O2232" s="152" t="str">
        <f>IFERROR(__xludf.DUMMYFUNCTION("""COMPUTED_VALUE"""),"Solid Black")</f>
        <v>Solid Black</v>
      </c>
      <c r="P2232" s="153" t="str">
        <f>IFERROR(__xludf.DUMMYFUNCTION("""COMPUTED_VALUE"""),"18 inch Aero")</f>
        <v>18 inch Aero</v>
      </c>
      <c r="Q2232" s="152" t="str">
        <f>IFERROR(__xludf.DUMMYFUNCTION("""COMPUTED_VALUE"""),"Black seats")</f>
        <v>Black seats</v>
      </c>
      <c r="R2232" s="149" t="str">
        <f>IFERROR(__xludf.DUMMYFUNCTION("""COMPUTED_VALUE"""),"None")</f>
        <v>None</v>
      </c>
      <c r="S2232" s="149"/>
      <c r="T2232" s="145"/>
      <c r="U2232" s="145"/>
      <c r="V2232" s="145"/>
      <c r="W2232" s="136"/>
      <c r="X2232" s="137" t="str">
        <f>IFERROR(__xludf.DUMMYFUNCTION("""COMPUTED_VALUE"""),"Excellent")</f>
        <v>Excellent</v>
      </c>
      <c r="Y2232" s="138" t="str">
        <f>IFERROR(__xludf.DUMMYFUNCTION("""COMPUTED_VALUE"""),"Excellent")</f>
        <v>Excellent</v>
      </c>
      <c r="Z2232" s="138" t="str">
        <f>IFERROR(__xludf.DUMMYFUNCTION("""COMPUTED_VALUE"""),"Excellent")</f>
        <v>Excellent</v>
      </c>
      <c r="AA2232" s="138" t="str">
        <f>IFERROR(__xludf.DUMMYFUNCTION("""COMPUTED_VALUE"""),"Excellent")</f>
        <v>Excellent</v>
      </c>
      <c r="AB2232" s="138" t="str">
        <f>IFERROR(__xludf.DUMMYFUNCTION("""COMPUTED_VALUE"""),"Excellent")</f>
        <v>Excellent</v>
      </c>
      <c r="AC2232" s="139">
        <f>IFERROR(__xludf.DUMMYFUNCTION("""COMPUTED_VALUE"""),0.0)</f>
        <v>0</v>
      </c>
      <c r="AD2232" s="139">
        <f>IFERROR(__xludf.DUMMYFUNCTION("""COMPUTED_VALUE"""),0.0)</f>
        <v>0</v>
      </c>
      <c r="AE2232" s="139">
        <f>IFERROR(__xludf.DUMMYFUNCTION("""COMPUTED_VALUE"""),0.0)</f>
        <v>0</v>
      </c>
      <c r="AF2232" s="140"/>
      <c r="AG2232" s="136" t="str">
        <f>IFERROR(__xludf.DUMMYFUNCTION("""COMPUTED_VALUE"""),"Love it!")</f>
        <v>Love it!</v>
      </c>
      <c r="AH2232" s="157">
        <f>IFERROR(__xludf.DUMMYFUNCTION("""COMPUTED_VALUE"""),43434.44012465278)</f>
        <v>43434.44012</v>
      </c>
      <c r="AI2232" s="138"/>
      <c r="AJ2232" s="138"/>
      <c r="AK2232" s="138"/>
      <c r="AL2232" s="142"/>
    </row>
    <row r="2233" ht="20.25" customHeight="1">
      <c r="A2233" s="155" t="str">
        <f>IFERROR(__xludf.DUMMYFUNCTION("""COMPUTED_VALUE"""),"Yelellav")</f>
        <v>Yelellav</v>
      </c>
      <c r="B2233" s="149" t="str">
        <f>IFERROR(__xludf.DUMMYFUNCTION("""COMPUTED_VALUE"""),"Omaha, NE")</f>
        <v>Omaha, NE</v>
      </c>
      <c r="C2233" s="149" t="str">
        <f>IFERROR(__xludf.DUMMYFUNCTION("""COMPUTED_VALUE"""),"NE")</f>
        <v>NE</v>
      </c>
      <c r="D2233" s="149" t="str">
        <f>IFERROR(__xludf.DUMMYFUNCTION("""COMPUTED_VALUE"""),"USA")</f>
        <v>USA</v>
      </c>
      <c r="E2233" s="156">
        <f>IFERROR(__xludf.DUMMYFUNCTION("""COMPUTED_VALUE"""),43396.0)</f>
        <v>43396</v>
      </c>
      <c r="F2233" s="129">
        <f>IFERROR(__xludf.DUMMYFUNCTION("""COMPUTED_VALUE"""),43413.0)</f>
        <v>43413</v>
      </c>
      <c r="G2233" s="154"/>
      <c r="H2233" s="131">
        <f>IFERROR(__xludf.DUMMYFUNCTION("""COMPUTED_VALUE"""),118955.0)</f>
        <v>118955</v>
      </c>
      <c r="I2233" s="144" t="str">
        <f>IFERROR(__xludf.DUMMYFUNCTION("""COMPUTED_VALUE"""),"10/18")</f>
        <v>10/18</v>
      </c>
      <c r="J2233" s="129">
        <f>IFERROR(__xludf.DUMMYFUNCTION("""COMPUTED_VALUE"""),43425.0)</f>
        <v>43425</v>
      </c>
      <c r="K2233" s="133">
        <f>IFERROR(__xludf.DUMMYFUNCTION("""COMPUTED_VALUE"""),17.0)</f>
        <v>17</v>
      </c>
      <c r="L2233" s="133">
        <f>IFERROR(__xludf.DUMMYFUNCTION("""COMPUTED_VALUE"""),12.0)</f>
        <v>12</v>
      </c>
      <c r="M2233" s="133">
        <f>IFERROR(__xludf.DUMMYFUNCTION("""COMPUTED_VALUE"""),29.0)</f>
        <v>29</v>
      </c>
      <c r="N2233" s="152" t="str">
        <f>IFERROR(__xludf.DUMMYFUNCTION("""COMPUTED_VALUE"""),"Model 3 LR AWD")</f>
        <v>Model 3 LR AWD</v>
      </c>
      <c r="O2233" s="152" t="str">
        <f>IFERROR(__xludf.DUMMYFUNCTION("""COMPUTED_VALUE"""),"Solid Black")</f>
        <v>Solid Black</v>
      </c>
      <c r="P2233" s="153" t="str">
        <f>IFERROR(__xludf.DUMMYFUNCTION("""COMPUTED_VALUE"""),"18 inch Aero")</f>
        <v>18 inch Aero</v>
      </c>
      <c r="Q2233" s="152" t="str">
        <f>IFERROR(__xludf.DUMMYFUNCTION("""COMPUTED_VALUE"""),"Black seats")</f>
        <v>Black seats</v>
      </c>
      <c r="R2233" s="149" t="str">
        <f>IFERROR(__xludf.DUMMYFUNCTION("""COMPUTED_VALUE"""),"Enhanced Autopilot")</f>
        <v>Enhanced Autopilot</v>
      </c>
      <c r="S2233" s="149"/>
      <c r="T2233" s="145"/>
      <c r="U2233" s="145"/>
      <c r="V2233" s="145"/>
      <c r="W2233" s="136"/>
      <c r="X2233" s="137" t="str">
        <f>IFERROR(__xludf.DUMMYFUNCTION("""COMPUTED_VALUE"""),"Excellent")</f>
        <v>Excellent</v>
      </c>
      <c r="Y2233" s="138" t="str">
        <f>IFERROR(__xludf.DUMMYFUNCTION("""COMPUTED_VALUE"""),"Excellent")</f>
        <v>Excellent</v>
      </c>
      <c r="Z2233" s="138" t="str">
        <f>IFERROR(__xludf.DUMMYFUNCTION("""COMPUTED_VALUE"""),"Very Good")</f>
        <v>Very Good</v>
      </c>
      <c r="AA2233" s="138" t="str">
        <f>IFERROR(__xludf.DUMMYFUNCTION("""COMPUTED_VALUE"""),"Good")</f>
        <v>Good</v>
      </c>
      <c r="AB2233" s="138" t="str">
        <f>IFERROR(__xludf.DUMMYFUNCTION("""COMPUTED_VALUE"""),"Excellent")</f>
        <v>Excellent</v>
      </c>
      <c r="AC2233" s="139"/>
      <c r="AD2233" s="139"/>
      <c r="AE2233" s="139"/>
      <c r="AF2233" s="140"/>
      <c r="AG2233" s="136"/>
      <c r="AH2233" s="157">
        <f>IFERROR(__xludf.DUMMYFUNCTION("""COMPUTED_VALUE"""),43428.286975763884)</f>
        <v>43428.28698</v>
      </c>
      <c r="AI2233" s="138"/>
      <c r="AJ2233" s="138"/>
      <c r="AK2233" s="138"/>
      <c r="AL2233" s="142"/>
    </row>
    <row r="2234" ht="20.25" customHeight="1">
      <c r="A2234" s="155" t="str">
        <f>IFERROR(__xludf.DUMMYFUNCTION("""COMPUTED_VALUE"""),"ARL - FL")</f>
        <v>ARL - FL</v>
      </c>
      <c r="B2234" s="149" t="str">
        <f>IFERROR(__xludf.DUMMYFUNCTION("""COMPUTED_VALUE"""),"Gainesville")</f>
        <v>Gainesville</v>
      </c>
      <c r="C2234" s="149" t="str">
        <f>IFERROR(__xludf.DUMMYFUNCTION("""COMPUTED_VALUE"""),"FL")</f>
        <v>FL</v>
      </c>
      <c r="D2234" s="149" t="str">
        <f>IFERROR(__xludf.DUMMYFUNCTION("""COMPUTED_VALUE"""),"USA")</f>
        <v>USA</v>
      </c>
      <c r="E2234" s="156">
        <f>IFERROR(__xludf.DUMMYFUNCTION("""COMPUTED_VALUE"""),43395.0)</f>
        <v>43395</v>
      </c>
      <c r="F2234" s="129">
        <f>IFERROR(__xludf.DUMMYFUNCTION("""COMPUTED_VALUE"""),43423.0)</f>
        <v>43423</v>
      </c>
      <c r="G2234" s="154"/>
      <c r="H2234" s="131">
        <f>IFERROR(__xludf.DUMMYFUNCTION("""COMPUTED_VALUE"""),164655.0)</f>
        <v>164655</v>
      </c>
      <c r="I2234" s="144" t="str">
        <f>IFERROR(__xludf.DUMMYFUNCTION("""COMPUTED_VALUE"""),"11/18")</f>
        <v>11/18</v>
      </c>
      <c r="J2234" s="129">
        <f>IFERROR(__xludf.DUMMYFUNCTION("""COMPUTED_VALUE"""),43445.0)</f>
        <v>43445</v>
      </c>
      <c r="K2234" s="133">
        <f>IFERROR(__xludf.DUMMYFUNCTION("""COMPUTED_VALUE"""),28.0)</f>
        <v>28</v>
      </c>
      <c r="L2234" s="133">
        <f>IFERROR(__xludf.DUMMYFUNCTION("""COMPUTED_VALUE"""),22.0)</f>
        <v>22</v>
      </c>
      <c r="M2234" s="133">
        <f>IFERROR(__xludf.DUMMYFUNCTION("""COMPUTED_VALUE"""),50.0)</f>
        <v>50</v>
      </c>
      <c r="N2234" s="152" t="str">
        <f>IFERROR(__xludf.DUMMYFUNCTION("""COMPUTED_VALUE"""),"Model 3 MR")</f>
        <v>Model 3 MR</v>
      </c>
      <c r="O2234" s="152" t="str">
        <f>IFERROR(__xludf.DUMMYFUNCTION("""COMPUTED_VALUE"""),"Pearl White Multi-Coat")</f>
        <v>Pearl White Multi-Coat</v>
      </c>
      <c r="P2234" s="153" t="str">
        <f>IFERROR(__xludf.DUMMYFUNCTION("""COMPUTED_VALUE"""),"19 inch Sport")</f>
        <v>19 inch Sport</v>
      </c>
      <c r="Q2234" s="152" t="str">
        <f>IFERROR(__xludf.DUMMYFUNCTION("""COMPUTED_VALUE"""),"Black seats")</f>
        <v>Black seats</v>
      </c>
      <c r="R2234" s="149" t="str">
        <f>IFERROR(__xludf.DUMMYFUNCTION("""COMPUTED_VALUE"""),"Enhanced Autopilot")</f>
        <v>Enhanced Autopilot</v>
      </c>
      <c r="S2234" s="149"/>
      <c r="T2234" s="145"/>
      <c r="U2234" s="145"/>
      <c r="V2234" s="145"/>
      <c r="W2234" s="136"/>
      <c r="X2234" s="137" t="str">
        <f>IFERROR(__xludf.DUMMYFUNCTION("""COMPUTED_VALUE"""),"Excellent")</f>
        <v>Excellent</v>
      </c>
      <c r="Y2234" s="138" t="str">
        <f>IFERROR(__xludf.DUMMYFUNCTION("""COMPUTED_VALUE"""),"Excellent")</f>
        <v>Excellent</v>
      </c>
      <c r="Z2234" s="138" t="str">
        <f>IFERROR(__xludf.DUMMYFUNCTION("""COMPUTED_VALUE"""),"Excellent")</f>
        <v>Excellent</v>
      </c>
      <c r="AA2234" s="138" t="str">
        <f>IFERROR(__xludf.DUMMYFUNCTION("""COMPUTED_VALUE"""),"Good")</f>
        <v>Good</v>
      </c>
      <c r="AB2234" s="138" t="str">
        <f>IFERROR(__xludf.DUMMYFUNCTION("""COMPUTED_VALUE"""),"Good")</f>
        <v>Good</v>
      </c>
      <c r="AC2234" s="139"/>
      <c r="AD2234" s="139"/>
      <c r="AE2234" s="139"/>
      <c r="AF2234" s="140"/>
      <c r="AG2234" s="136"/>
      <c r="AH2234" s="157">
        <f>IFERROR(__xludf.DUMMYFUNCTION("""COMPUTED_VALUE"""),43446.5650766551)</f>
        <v>43446.56508</v>
      </c>
      <c r="AI2234" s="138"/>
      <c r="AJ2234" s="138"/>
      <c r="AK2234" s="138"/>
      <c r="AL2234" s="142"/>
    </row>
    <row r="2235" ht="20.25" customHeight="1">
      <c r="A2235" s="155" t="str">
        <f>IFERROR(__xludf.DUMMYFUNCTION("""COMPUTED_VALUE"""),"bdubs27")</f>
        <v>bdubs27</v>
      </c>
      <c r="B2235" s="149" t="str">
        <f>IFERROR(__xludf.DUMMYFUNCTION("""COMPUTED_VALUE"""),"St. Louis")</f>
        <v>St. Louis</v>
      </c>
      <c r="C2235" s="149" t="str">
        <f>IFERROR(__xludf.DUMMYFUNCTION("""COMPUTED_VALUE"""),"MO")</f>
        <v>MO</v>
      </c>
      <c r="D2235" s="149" t="str">
        <f>IFERROR(__xludf.DUMMYFUNCTION("""COMPUTED_VALUE"""),"USA")</f>
        <v>USA</v>
      </c>
      <c r="E2235" s="156">
        <f>IFERROR(__xludf.DUMMYFUNCTION("""COMPUTED_VALUE"""),43395.0)</f>
        <v>43395</v>
      </c>
      <c r="F2235" s="129">
        <f>IFERROR(__xludf.DUMMYFUNCTION("""COMPUTED_VALUE"""),43441.0)</f>
        <v>43441</v>
      </c>
      <c r="G2235" s="154"/>
      <c r="H2235" s="131">
        <f>IFERROR(__xludf.DUMMYFUNCTION("""COMPUTED_VALUE"""),155455.0)</f>
        <v>155455</v>
      </c>
      <c r="I2235" s="144" t="str">
        <f>IFERROR(__xludf.DUMMYFUNCTION("""COMPUTED_VALUE"""),"12/18")</f>
        <v>12/18</v>
      </c>
      <c r="J2235" s="129">
        <f>IFERROR(__xludf.DUMMYFUNCTION("""COMPUTED_VALUE"""),43446.0)</f>
        <v>43446</v>
      </c>
      <c r="K2235" s="133">
        <f>IFERROR(__xludf.DUMMYFUNCTION("""COMPUTED_VALUE"""),46.0)</f>
        <v>46</v>
      </c>
      <c r="L2235" s="133">
        <f>IFERROR(__xludf.DUMMYFUNCTION("""COMPUTED_VALUE"""),5.0)</f>
        <v>5</v>
      </c>
      <c r="M2235" s="133">
        <f>IFERROR(__xludf.DUMMYFUNCTION("""COMPUTED_VALUE"""),51.0)</f>
        <v>51</v>
      </c>
      <c r="N2235" s="152" t="str">
        <f>IFERROR(__xludf.DUMMYFUNCTION("""COMPUTED_VALUE"""),"Model 3 MR")</f>
        <v>Model 3 MR</v>
      </c>
      <c r="O2235" s="152" t="str">
        <f>IFERROR(__xludf.DUMMYFUNCTION("""COMPUTED_VALUE"""),"Pearl White Multi-Coat")</f>
        <v>Pearl White Multi-Coat</v>
      </c>
      <c r="P2235" s="153" t="str">
        <f>IFERROR(__xludf.DUMMYFUNCTION("""COMPUTED_VALUE"""),"18 inch Aero")</f>
        <v>18 inch Aero</v>
      </c>
      <c r="Q2235" s="152" t="str">
        <f>IFERROR(__xludf.DUMMYFUNCTION("""COMPUTED_VALUE"""),"White seats")</f>
        <v>White seats</v>
      </c>
      <c r="R2235" s="149" t="str">
        <f>IFERROR(__xludf.DUMMYFUNCTION("""COMPUTED_VALUE"""),"None")</f>
        <v>None</v>
      </c>
      <c r="S2235" s="149"/>
      <c r="T2235" s="145"/>
      <c r="U2235" s="145"/>
      <c r="V2235" s="145"/>
      <c r="W2235" s="136"/>
      <c r="X2235" s="137" t="str">
        <f>IFERROR(__xludf.DUMMYFUNCTION("""COMPUTED_VALUE"""),"Good")</f>
        <v>Good</v>
      </c>
      <c r="Y2235" s="138" t="str">
        <f>IFERROR(__xludf.DUMMYFUNCTION("""COMPUTED_VALUE"""),"Excellent")</f>
        <v>Excellent</v>
      </c>
      <c r="Z2235" s="138" t="str">
        <f>IFERROR(__xludf.DUMMYFUNCTION("""COMPUTED_VALUE"""),"Excellent")</f>
        <v>Excellent</v>
      </c>
      <c r="AA2235" s="138" t="str">
        <f>IFERROR(__xludf.DUMMYFUNCTION("""COMPUTED_VALUE"""),"Good")</f>
        <v>Good</v>
      </c>
      <c r="AB2235" s="138" t="str">
        <f>IFERROR(__xludf.DUMMYFUNCTION("""COMPUTED_VALUE"""),"Very Good")</f>
        <v>Very Good</v>
      </c>
      <c r="AC2235" s="139">
        <f>IFERROR(__xludf.DUMMYFUNCTION("""COMPUTED_VALUE"""),0.0)</f>
        <v>0</v>
      </c>
      <c r="AD2235" s="139">
        <f>IFERROR(__xludf.DUMMYFUNCTION("""COMPUTED_VALUE"""),0.0)</f>
        <v>0</v>
      </c>
      <c r="AE2235" s="139">
        <f>IFERROR(__xludf.DUMMYFUNCTION("""COMPUTED_VALUE"""),0.0)</f>
        <v>0</v>
      </c>
      <c r="AF2235" s="140"/>
      <c r="AG2235" s="136"/>
      <c r="AH2235" s="157">
        <f>IFERROR(__xludf.DUMMYFUNCTION("""COMPUTED_VALUE"""),43514.4978055787)</f>
        <v>43514.49781</v>
      </c>
      <c r="AI2235" s="138"/>
      <c r="AJ2235" s="138"/>
      <c r="AK2235" s="138"/>
      <c r="AL2235" s="142"/>
    </row>
    <row r="2236" ht="20.25" customHeight="1">
      <c r="A2236" s="155" t="str">
        <f>IFERROR(__xludf.DUMMYFUNCTION("""COMPUTED_VALUE"""),"cfandbmw")</f>
        <v>cfandbmw</v>
      </c>
      <c r="B2236" s="149" t="str">
        <f>IFERROR(__xludf.DUMMYFUNCTION("""COMPUTED_VALUE"""),"Long Beach")</f>
        <v>Long Beach</v>
      </c>
      <c r="C2236" s="149" t="str">
        <f>IFERROR(__xludf.DUMMYFUNCTION("""COMPUTED_VALUE"""),"CA")</f>
        <v>CA</v>
      </c>
      <c r="D2236" s="149" t="str">
        <f>IFERROR(__xludf.DUMMYFUNCTION("""COMPUTED_VALUE"""),"USA")</f>
        <v>USA</v>
      </c>
      <c r="E2236" s="156">
        <f>IFERROR(__xludf.DUMMYFUNCTION("""COMPUTED_VALUE"""),43395.0)</f>
        <v>43395</v>
      </c>
      <c r="F2236" s="129">
        <f>IFERROR(__xludf.DUMMYFUNCTION("""COMPUTED_VALUE"""),43449.0)</f>
        <v>43449</v>
      </c>
      <c r="G2236" s="154"/>
      <c r="H2236" s="131">
        <f>IFERROR(__xludf.DUMMYFUNCTION("""COMPUTED_VALUE"""),161955.0)</f>
        <v>161955</v>
      </c>
      <c r="I2236" s="144"/>
      <c r="J2236" s="129">
        <f>IFERROR(__xludf.DUMMYFUNCTION("""COMPUTED_VALUE"""),43454.0)</f>
        <v>43454</v>
      </c>
      <c r="K2236" s="133">
        <f>IFERROR(__xludf.DUMMYFUNCTION("""COMPUTED_VALUE"""),54.0)</f>
        <v>54</v>
      </c>
      <c r="L2236" s="133">
        <f>IFERROR(__xludf.DUMMYFUNCTION("""COMPUTED_VALUE"""),5.0)</f>
        <v>5</v>
      </c>
      <c r="M2236" s="133">
        <f>IFERROR(__xludf.DUMMYFUNCTION("""COMPUTED_VALUE"""),59.0)</f>
        <v>59</v>
      </c>
      <c r="N2236" s="152" t="str">
        <f>IFERROR(__xludf.DUMMYFUNCTION("""COMPUTED_VALUE"""),"Model 3 MR")</f>
        <v>Model 3 MR</v>
      </c>
      <c r="O2236" s="152" t="str">
        <f>IFERROR(__xludf.DUMMYFUNCTION("""COMPUTED_VALUE"""),"Pearl White Multi-Coat")</f>
        <v>Pearl White Multi-Coat</v>
      </c>
      <c r="P2236" s="153" t="str">
        <f>IFERROR(__xludf.DUMMYFUNCTION("""COMPUTED_VALUE"""),"18 inch Aero")</f>
        <v>18 inch Aero</v>
      </c>
      <c r="Q2236" s="152" t="str">
        <f>IFERROR(__xludf.DUMMYFUNCTION("""COMPUTED_VALUE"""),"Black seats")</f>
        <v>Black seats</v>
      </c>
      <c r="R2236" s="149" t="str">
        <f>IFERROR(__xludf.DUMMYFUNCTION("""COMPUTED_VALUE"""),"Enhanced Autopilot")</f>
        <v>Enhanced Autopilot</v>
      </c>
      <c r="S2236" s="149"/>
      <c r="T2236" s="145"/>
      <c r="U2236" s="145"/>
      <c r="V2236" s="145"/>
      <c r="W2236" s="136"/>
      <c r="X2236" s="137" t="str">
        <f>IFERROR(__xludf.DUMMYFUNCTION("""COMPUTED_VALUE"""),"Very Good")</f>
        <v>Very Good</v>
      </c>
      <c r="Y2236" s="138" t="str">
        <f>IFERROR(__xludf.DUMMYFUNCTION("""COMPUTED_VALUE"""),"Excellent")</f>
        <v>Excellent</v>
      </c>
      <c r="Z2236" s="138" t="str">
        <f>IFERROR(__xludf.DUMMYFUNCTION("""COMPUTED_VALUE"""),"Very Good")</f>
        <v>Very Good</v>
      </c>
      <c r="AA2236" s="138" t="str">
        <f>IFERROR(__xludf.DUMMYFUNCTION("""COMPUTED_VALUE"""),"Fair")</f>
        <v>Fair</v>
      </c>
      <c r="AB2236" s="138" t="str">
        <f>IFERROR(__xludf.DUMMYFUNCTION("""COMPUTED_VALUE"""),"Good")</f>
        <v>Good</v>
      </c>
      <c r="AC2236" s="139"/>
      <c r="AD2236" s="139"/>
      <c r="AE2236" s="139"/>
      <c r="AF2236" s="140"/>
      <c r="AG2236" s="136" t="str">
        <f>IFERROR(__xludf.DUMMYFUNCTION("""COMPUTED_VALUE"""),"Changed order from LR")</f>
        <v>Changed order from LR</v>
      </c>
      <c r="AH2236" s="157">
        <f>IFERROR(__xludf.DUMMYFUNCTION("""COMPUTED_VALUE"""),43455.306741875)</f>
        <v>43455.30674</v>
      </c>
      <c r="AI2236" s="138"/>
      <c r="AJ2236" s="138"/>
      <c r="AK2236" s="138"/>
      <c r="AL2236" s="142"/>
    </row>
    <row r="2237" ht="20.25" customHeight="1">
      <c r="A2237" s="155" t="str">
        <f>IFERROR(__xludf.DUMMYFUNCTION("""COMPUTED_VALUE"""),"eokie")</f>
        <v>eokie</v>
      </c>
      <c r="B2237" s="149" t="str">
        <f>IFERROR(__xludf.DUMMYFUNCTION("""COMPUTED_VALUE"""),"Cincinnati")</f>
        <v>Cincinnati</v>
      </c>
      <c r="C2237" s="149" t="str">
        <f>IFERROR(__xludf.DUMMYFUNCTION("""COMPUTED_VALUE"""),"OH")</f>
        <v>OH</v>
      </c>
      <c r="D2237" s="149" t="str">
        <f>IFERROR(__xludf.DUMMYFUNCTION("""COMPUTED_VALUE"""),"USA")</f>
        <v>USA</v>
      </c>
      <c r="E2237" s="156">
        <f>IFERROR(__xludf.DUMMYFUNCTION("""COMPUTED_VALUE"""),43395.0)</f>
        <v>43395</v>
      </c>
      <c r="F2237" s="129"/>
      <c r="G2237" s="154"/>
      <c r="H2237" s="131"/>
      <c r="I2237" s="144"/>
      <c r="J2237" s="129">
        <f>IFERROR(__xludf.DUMMYFUNCTION("""COMPUTED_VALUE"""),43450.0)</f>
        <v>43450</v>
      </c>
      <c r="K2237" s="133"/>
      <c r="L2237" s="133"/>
      <c r="M2237" s="133">
        <f>IFERROR(__xludf.DUMMYFUNCTION("""COMPUTED_VALUE"""),55.0)</f>
        <v>55</v>
      </c>
      <c r="N2237" s="152" t="str">
        <f>IFERROR(__xludf.DUMMYFUNCTION("""COMPUTED_VALUE"""),"Model 3 MR")</f>
        <v>Model 3 MR</v>
      </c>
      <c r="O2237" s="152" t="str">
        <f>IFERROR(__xludf.DUMMYFUNCTION("""COMPUTED_VALUE"""),"Solid Black")</f>
        <v>Solid Black</v>
      </c>
      <c r="P2237" s="153" t="str">
        <f>IFERROR(__xludf.DUMMYFUNCTION("""COMPUTED_VALUE"""),"19 inch Sport")</f>
        <v>19 inch Sport</v>
      </c>
      <c r="Q2237" s="152" t="str">
        <f>IFERROR(__xludf.DUMMYFUNCTION("""COMPUTED_VALUE"""),"White seats")</f>
        <v>White seats</v>
      </c>
      <c r="R2237" s="149" t="str">
        <f>IFERROR(__xludf.DUMMYFUNCTION("""COMPUTED_VALUE"""),"Enhanced Autopilot")</f>
        <v>Enhanced Autopilot</v>
      </c>
      <c r="S2237" s="149"/>
      <c r="T2237" s="145"/>
      <c r="U2237" s="145"/>
      <c r="V2237" s="145"/>
      <c r="W2237" s="136"/>
      <c r="X2237" s="137" t="str">
        <f>IFERROR(__xludf.DUMMYFUNCTION("""COMPUTED_VALUE"""),"Excellent")</f>
        <v>Excellent</v>
      </c>
      <c r="Y2237" s="138" t="str">
        <f>IFERROR(__xludf.DUMMYFUNCTION("""COMPUTED_VALUE"""),"Excellent")</f>
        <v>Excellent</v>
      </c>
      <c r="Z2237" s="138" t="str">
        <f>IFERROR(__xludf.DUMMYFUNCTION("""COMPUTED_VALUE"""),"Excellent")</f>
        <v>Excellent</v>
      </c>
      <c r="AA2237" s="138" t="str">
        <f>IFERROR(__xludf.DUMMYFUNCTION("""COMPUTED_VALUE"""),"Excellent")</f>
        <v>Excellent</v>
      </c>
      <c r="AB2237" s="138" t="str">
        <f>IFERROR(__xludf.DUMMYFUNCTION("""COMPUTED_VALUE"""),"Excellent")</f>
        <v>Excellent</v>
      </c>
      <c r="AC2237" s="139"/>
      <c r="AD2237" s="139"/>
      <c r="AE2237" s="139"/>
      <c r="AF2237" s="140"/>
      <c r="AG2237" s="136"/>
      <c r="AH2237" s="157">
        <f>IFERROR(__xludf.DUMMYFUNCTION("""COMPUTED_VALUE"""),43452.20120800926)</f>
        <v>43452.20121</v>
      </c>
      <c r="AI2237" s="138"/>
      <c r="AJ2237" s="138"/>
      <c r="AK2237" s="138"/>
      <c r="AL2237" s="142"/>
    </row>
    <row r="2238" ht="20.25" customHeight="1">
      <c r="A2238" s="155" t="str">
        <f>IFERROR(__xludf.DUMMYFUNCTION("""COMPUTED_VALUE"""),"kekssw")</f>
        <v>kekssw</v>
      </c>
      <c r="B2238" s="149" t="str">
        <f>IFERROR(__xludf.DUMMYFUNCTION("""COMPUTED_VALUE"""),"Ladera Ranch")</f>
        <v>Ladera Ranch</v>
      </c>
      <c r="C2238" s="149" t="str">
        <f>IFERROR(__xludf.DUMMYFUNCTION("""COMPUTED_VALUE"""),"CA")</f>
        <v>CA</v>
      </c>
      <c r="D2238" s="149" t="str">
        <f>IFERROR(__xludf.DUMMYFUNCTION("""COMPUTED_VALUE"""),"USA")</f>
        <v>USA</v>
      </c>
      <c r="E2238" s="156">
        <f>IFERROR(__xludf.DUMMYFUNCTION("""COMPUTED_VALUE"""),43395.0)</f>
        <v>43395</v>
      </c>
      <c r="F2238" s="129">
        <f>IFERROR(__xludf.DUMMYFUNCTION("""COMPUTED_VALUE"""),43441.0)</f>
        <v>43441</v>
      </c>
      <c r="G2238" s="154"/>
      <c r="H2238" s="131">
        <f>IFERROR(__xludf.DUMMYFUNCTION("""COMPUTED_VALUE"""),155755.0)</f>
        <v>155755</v>
      </c>
      <c r="I2238" s="144" t="str">
        <f>IFERROR(__xludf.DUMMYFUNCTION("""COMPUTED_VALUE"""),"12/18")</f>
        <v>12/18</v>
      </c>
      <c r="J2238" s="129">
        <f>IFERROR(__xludf.DUMMYFUNCTION("""COMPUTED_VALUE"""),43446.0)</f>
        <v>43446</v>
      </c>
      <c r="K2238" s="133">
        <f>IFERROR(__xludf.DUMMYFUNCTION("""COMPUTED_VALUE"""),46.0)</f>
        <v>46</v>
      </c>
      <c r="L2238" s="133">
        <f>IFERROR(__xludf.DUMMYFUNCTION("""COMPUTED_VALUE"""),5.0)</f>
        <v>5</v>
      </c>
      <c r="M2238" s="133">
        <f>IFERROR(__xludf.DUMMYFUNCTION("""COMPUTED_VALUE"""),51.0)</f>
        <v>51</v>
      </c>
      <c r="N2238" s="152" t="str">
        <f>IFERROR(__xludf.DUMMYFUNCTION("""COMPUTED_VALUE"""),"Model 3 MR")</f>
        <v>Model 3 MR</v>
      </c>
      <c r="O2238" s="152" t="str">
        <f>IFERROR(__xludf.DUMMYFUNCTION("""COMPUTED_VALUE"""),"Deep Blue Metallic")</f>
        <v>Deep Blue Metallic</v>
      </c>
      <c r="P2238" s="153" t="str">
        <f>IFERROR(__xludf.DUMMYFUNCTION("""COMPUTED_VALUE"""),"18 inch Aero")</f>
        <v>18 inch Aero</v>
      </c>
      <c r="Q2238" s="152" t="str">
        <f>IFERROR(__xludf.DUMMYFUNCTION("""COMPUTED_VALUE"""),"White seats")</f>
        <v>White seats</v>
      </c>
      <c r="R2238" s="149" t="str">
        <f>IFERROR(__xludf.DUMMYFUNCTION("""COMPUTED_VALUE"""),"Enhanced Autopilot")</f>
        <v>Enhanced Autopilot</v>
      </c>
      <c r="S2238" s="149"/>
      <c r="T2238" s="145"/>
      <c r="U2238" s="145"/>
      <c r="V2238" s="145"/>
      <c r="W2238" s="136"/>
      <c r="X2238" s="137" t="str">
        <f>IFERROR(__xludf.DUMMYFUNCTION("""COMPUTED_VALUE"""),"Very Good")</f>
        <v>Very Good</v>
      </c>
      <c r="Y2238" s="138" t="str">
        <f>IFERROR(__xludf.DUMMYFUNCTION("""COMPUTED_VALUE"""),"Excellent")</f>
        <v>Excellent</v>
      </c>
      <c r="Z2238" s="138" t="str">
        <f>IFERROR(__xludf.DUMMYFUNCTION("""COMPUTED_VALUE"""),"Excellent")</f>
        <v>Excellent</v>
      </c>
      <c r="AA2238" s="138" t="str">
        <f>IFERROR(__xludf.DUMMYFUNCTION("""COMPUTED_VALUE"""),"Good")</f>
        <v>Good</v>
      </c>
      <c r="AB2238" s="138" t="str">
        <f>IFERROR(__xludf.DUMMYFUNCTION("""COMPUTED_VALUE"""),"Very Good")</f>
        <v>Very Good</v>
      </c>
      <c r="AC2238" s="139">
        <f>IFERROR(__xludf.DUMMYFUNCTION("""COMPUTED_VALUE"""),0.0)</f>
        <v>0</v>
      </c>
      <c r="AD2238" s="139">
        <f>IFERROR(__xludf.DUMMYFUNCTION("""COMPUTED_VALUE"""),0.0)</f>
        <v>0</v>
      </c>
      <c r="AE2238" s="139">
        <f>IFERROR(__xludf.DUMMYFUNCTION("""COMPUTED_VALUE"""),0.0)</f>
        <v>0</v>
      </c>
      <c r="AF2238" s="140"/>
      <c r="AG2238" s="136"/>
      <c r="AH2238" s="157">
        <f>IFERROR(__xludf.DUMMYFUNCTION("""COMPUTED_VALUE"""),43465.70529140047)</f>
        <v>43465.70529</v>
      </c>
      <c r="AI2238" s="138"/>
      <c r="AJ2238" s="138"/>
      <c r="AK2238" s="138"/>
      <c r="AL2238" s="142"/>
    </row>
    <row r="2239" ht="20.25" customHeight="1">
      <c r="A2239" s="155" t="str">
        <f>IFERROR(__xludf.DUMMYFUNCTION("""COMPUTED_VALUE"""),"lk229")</f>
        <v>lk229</v>
      </c>
      <c r="B2239" s="149"/>
      <c r="C2239" s="149" t="str">
        <f>IFERROR(__xludf.DUMMYFUNCTION("""COMPUTED_VALUE"""),"FL")</f>
        <v>FL</v>
      </c>
      <c r="D2239" s="149" t="str">
        <f>IFERROR(__xludf.DUMMYFUNCTION("""COMPUTED_VALUE"""),"USA")</f>
        <v>USA</v>
      </c>
      <c r="E2239" s="156">
        <f>IFERROR(__xludf.DUMMYFUNCTION("""COMPUTED_VALUE"""),43395.0)</f>
        <v>43395</v>
      </c>
      <c r="F2239" s="129">
        <f>IFERROR(__xludf.DUMMYFUNCTION("""COMPUTED_VALUE"""),43418.0)</f>
        <v>43418</v>
      </c>
      <c r="G2239" s="154"/>
      <c r="H2239" s="131">
        <f>IFERROR(__xludf.DUMMYFUNCTION("""COMPUTED_VALUE"""),60426.0)</f>
        <v>60426</v>
      </c>
      <c r="I2239" s="144" t="str">
        <f>IFERROR(__xludf.DUMMYFUNCTION("""COMPUTED_VALUE"""),"10/18")</f>
        <v>10/18</v>
      </c>
      <c r="J2239" s="129">
        <f>IFERROR(__xludf.DUMMYFUNCTION("""COMPUTED_VALUE"""),43425.0)</f>
        <v>43425</v>
      </c>
      <c r="K2239" s="133">
        <f>IFERROR(__xludf.DUMMYFUNCTION("""COMPUTED_VALUE"""),23.0)</f>
        <v>23</v>
      </c>
      <c r="L2239" s="133">
        <f>IFERROR(__xludf.DUMMYFUNCTION("""COMPUTED_VALUE"""),7.0)</f>
        <v>7</v>
      </c>
      <c r="M2239" s="133">
        <f>IFERROR(__xludf.DUMMYFUNCTION("""COMPUTED_VALUE"""),30.0)</f>
        <v>30</v>
      </c>
      <c r="N2239" s="152" t="str">
        <f>IFERROR(__xludf.DUMMYFUNCTION("""COMPUTED_VALUE"""),"Model 3 LR")</f>
        <v>Model 3 LR</v>
      </c>
      <c r="O2239" s="152" t="str">
        <f>IFERROR(__xludf.DUMMYFUNCTION("""COMPUTED_VALUE"""),"Pearl White Multi-Coat")</f>
        <v>Pearl White Multi-Coat</v>
      </c>
      <c r="P2239" s="153" t="str">
        <f>IFERROR(__xludf.DUMMYFUNCTION("""COMPUTED_VALUE"""),"18 inch Aero")</f>
        <v>18 inch Aero</v>
      </c>
      <c r="Q2239" s="152" t="str">
        <f>IFERROR(__xludf.DUMMYFUNCTION("""COMPUTED_VALUE"""),"Black seats")</f>
        <v>Black seats</v>
      </c>
      <c r="R2239" s="149" t="str">
        <f>IFERROR(__xludf.DUMMYFUNCTION("""COMPUTED_VALUE"""),"Enhanced Autopilot")</f>
        <v>Enhanced Autopilot</v>
      </c>
      <c r="S2239" s="149"/>
      <c r="T2239" s="145"/>
      <c r="U2239" s="145"/>
      <c r="V2239" s="145"/>
      <c r="W2239" s="136"/>
      <c r="X2239" s="137" t="str">
        <f>IFERROR(__xludf.DUMMYFUNCTION("""COMPUTED_VALUE"""),"Good")</f>
        <v>Good</v>
      </c>
      <c r="Y2239" s="138" t="str">
        <f>IFERROR(__xludf.DUMMYFUNCTION("""COMPUTED_VALUE"""),"Very Good")</f>
        <v>Very Good</v>
      </c>
      <c r="Z2239" s="138" t="str">
        <f>IFERROR(__xludf.DUMMYFUNCTION("""COMPUTED_VALUE"""),"Good")</f>
        <v>Good</v>
      </c>
      <c r="AA2239" s="138" t="str">
        <f>IFERROR(__xludf.DUMMYFUNCTION("""COMPUTED_VALUE"""),"Poor")</f>
        <v>Poor</v>
      </c>
      <c r="AB2239" s="138" t="str">
        <f>IFERROR(__xludf.DUMMYFUNCTION("""COMPUTED_VALUE"""),"Very Good")</f>
        <v>Very Good</v>
      </c>
      <c r="AC2239" s="139"/>
      <c r="AD2239" s="139"/>
      <c r="AE2239" s="139"/>
      <c r="AF2239" s="140"/>
      <c r="AG2239" s="136"/>
      <c r="AH2239" s="157">
        <f>IFERROR(__xludf.DUMMYFUNCTION("""COMPUTED_VALUE"""),43425.84681766204)</f>
        <v>43425.84682</v>
      </c>
      <c r="AI2239" s="138"/>
      <c r="AJ2239" s="138"/>
      <c r="AK2239" s="138"/>
      <c r="AL2239" s="142"/>
    </row>
    <row r="2240" ht="20.25" customHeight="1">
      <c r="A2240" s="155" t="str">
        <f>IFERROR(__xludf.DUMMYFUNCTION("""COMPUTED_VALUE"""),"Paul NJ")</f>
        <v>Paul NJ</v>
      </c>
      <c r="B2240" s="149" t="str">
        <f>IFERROR(__xludf.DUMMYFUNCTION("""COMPUTED_VALUE"""),"NJ")</f>
        <v>NJ</v>
      </c>
      <c r="C2240" s="149" t="str">
        <f>IFERROR(__xludf.DUMMYFUNCTION("""COMPUTED_VALUE"""),"NJ")</f>
        <v>NJ</v>
      </c>
      <c r="D2240" s="149" t="str">
        <f>IFERROR(__xludf.DUMMYFUNCTION("""COMPUTED_VALUE"""),"USA")</f>
        <v>USA</v>
      </c>
      <c r="E2240" s="156">
        <f>IFERROR(__xludf.DUMMYFUNCTION("""COMPUTED_VALUE"""),43395.0)</f>
        <v>43395</v>
      </c>
      <c r="F2240" s="129">
        <f>IFERROR(__xludf.DUMMYFUNCTION("""COMPUTED_VALUE"""),43398.0)</f>
        <v>43398</v>
      </c>
      <c r="G2240" s="154"/>
      <c r="H2240" s="131">
        <f>IFERROR(__xludf.DUMMYFUNCTION("""COMPUTED_VALUE"""),76855.0)</f>
        <v>76855</v>
      </c>
      <c r="I2240" s="144" t="str">
        <f>IFERROR(__xludf.DUMMYFUNCTION("""COMPUTED_VALUE"""),"10/18")</f>
        <v>10/18</v>
      </c>
      <c r="J2240" s="129">
        <f>IFERROR(__xludf.DUMMYFUNCTION("""COMPUTED_VALUE"""),43421.0)</f>
        <v>43421</v>
      </c>
      <c r="K2240" s="133">
        <f>IFERROR(__xludf.DUMMYFUNCTION("""COMPUTED_VALUE"""),3.0)</f>
        <v>3</v>
      </c>
      <c r="L2240" s="133">
        <f>IFERROR(__xludf.DUMMYFUNCTION("""COMPUTED_VALUE"""),23.0)</f>
        <v>23</v>
      </c>
      <c r="M2240" s="133">
        <f>IFERROR(__xludf.DUMMYFUNCTION("""COMPUTED_VALUE"""),26.0)</f>
        <v>26</v>
      </c>
      <c r="N2240" s="152" t="str">
        <f>IFERROR(__xludf.DUMMYFUNCTION("""COMPUTED_VALUE"""),"Model 3 LR")</f>
        <v>Model 3 LR</v>
      </c>
      <c r="O2240" s="152" t="str">
        <f>IFERROR(__xludf.DUMMYFUNCTION("""COMPUTED_VALUE"""),"Pearl White Multi-Coat")</f>
        <v>Pearl White Multi-Coat</v>
      </c>
      <c r="P2240" s="153" t="str">
        <f>IFERROR(__xludf.DUMMYFUNCTION("""COMPUTED_VALUE"""),"18 inch Aero")</f>
        <v>18 inch Aero</v>
      </c>
      <c r="Q2240" s="152" t="str">
        <f>IFERROR(__xludf.DUMMYFUNCTION("""COMPUTED_VALUE"""),"Black seats")</f>
        <v>Black seats</v>
      </c>
      <c r="R2240" s="149" t="str">
        <f>IFERROR(__xludf.DUMMYFUNCTION("""COMPUTED_VALUE"""),"Full Self-Driving")</f>
        <v>Full Self-Driving</v>
      </c>
      <c r="S2240" s="149"/>
      <c r="T2240" s="145"/>
      <c r="U2240" s="145"/>
      <c r="V2240" s="145"/>
      <c r="W2240" s="136"/>
      <c r="X2240" s="137" t="str">
        <f>IFERROR(__xludf.DUMMYFUNCTION("""COMPUTED_VALUE"""),"Poor")</f>
        <v>Poor</v>
      </c>
      <c r="Y2240" s="138" t="str">
        <f>IFERROR(__xludf.DUMMYFUNCTION("""COMPUTED_VALUE"""),"Good")</f>
        <v>Good</v>
      </c>
      <c r="Z2240" s="138" t="str">
        <f>IFERROR(__xludf.DUMMYFUNCTION("""COMPUTED_VALUE"""),"Poor")</f>
        <v>Poor</v>
      </c>
      <c r="AA2240" s="138" t="str">
        <f>IFERROR(__xludf.DUMMYFUNCTION("""COMPUTED_VALUE"""),"Poor")</f>
        <v>Poor</v>
      </c>
      <c r="AB2240" s="138" t="str">
        <f>IFERROR(__xludf.DUMMYFUNCTION("""COMPUTED_VALUE"""),"Poor")</f>
        <v>Poor</v>
      </c>
      <c r="AC2240" s="139">
        <f>IFERROR(__xludf.DUMMYFUNCTION("""COMPUTED_VALUE"""),3.0)</f>
        <v>3</v>
      </c>
      <c r="AD2240" s="139"/>
      <c r="AE2240" s="139"/>
      <c r="AF2240" s="140"/>
      <c r="AG2240" s="136"/>
      <c r="AH2240" s="157">
        <f>IFERROR(__xludf.DUMMYFUNCTION("""COMPUTED_VALUE"""),43424.725932928246)</f>
        <v>43424.72593</v>
      </c>
      <c r="AI2240" s="138"/>
      <c r="AJ2240" s="138"/>
      <c r="AK2240" s="138"/>
      <c r="AL2240" s="142"/>
    </row>
    <row r="2241" ht="20.25" customHeight="1">
      <c r="A2241" s="155" t="str">
        <f>IFERROR(__xludf.DUMMYFUNCTION("""COMPUTED_VALUE"""),"pchrosto")</f>
        <v>pchrosto</v>
      </c>
      <c r="B2241" s="149" t="str">
        <f>IFERROR(__xludf.DUMMYFUNCTION("""COMPUTED_VALUE"""),"Rockledge")</f>
        <v>Rockledge</v>
      </c>
      <c r="C2241" s="149" t="str">
        <f>IFERROR(__xludf.DUMMYFUNCTION("""COMPUTED_VALUE"""),"FL")</f>
        <v>FL</v>
      </c>
      <c r="D2241" s="149" t="str">
        <f>IFERROR(__xludf.DUMMYFUNCTION("""COMPUTED_VALUE"""),"USA")</f>
        <v>USA</v>
      </c>
      <c r="E2241" s="156">
        <f>IFERROR(__xludf.DUMMYFUNCTION("""COMPUTED_VALUE"""),43395.0)</f>
        <v>43395</v>
      </c>
      <c r="F2241" s="129">
        <f>IFERROR(__xludf.DUMMYFUNCTION("""COMPUTED_VALUE"""),43439.0)</f>
        <v>43439</v>
      </c>
      <c r="G2241" s="154"/>
      <c r="H2241" s="131">
        <f>IFERROR(__xludf.DUMMYFUNCTION("""COMPUTED_VALUE"""),183155.0)</f>
        <v>183155</v>
      </c>
      <c r="I2241" s="144" t="str">
        <f>IFERROR(__xludf.DUMMYFUNCTION("""COMPUTED_VALUE"""),"11/18")</f>
        <v>11/18</v>
      </c>
      <c r="J2241" s="129">
        <f>IFERROR(__xludf.DUMMYFUNCTION("""COMPUTED_VALUE"""),43449.0)</f>
        <v>43449</v>
      </c>
      <c r="K2241" s="133">
        <f>IFERROR(__xludf.DUMMYFUNCTION("""COMPUTED_VALUE"""),44.0)</f>
        <v>44</v>
      </c>
      <c r="L2241" s="133">
        <f>IFERROR(__xludf.DUMMYFUNCTION("""COMPUTED_VALUE"""),10.0)</f>
        <v>10</v>
      </c>
      <c r="M2241" s="133">
        <f>IFERROR(__xludf.DUMMYFUNCTION("""COMPUTED_VALUE"""),54.0)</f>
        <v>54</v>
      </c>
      <c r="N2241" s="152" t="str">
        <f>IFERROR(__xludf.DUMMYFUNCTION("""COMPUTED_VALUE"""),"Model 3 LR AWD")</f>
        <v>Model 3 LR AWD</v>
      </c>
      <c r="O2241" s="152" t="str">
        <f>IFERROR(__xludf.DUMMYFUNCTION("""COMPUTED_VALUE"""),"Pearl White Multi-Coat")</f>
        <v>Pearl White Multi-Coat</v>
      </c>
      <c r="P2241" s="153" t="str">
        <f>IFERROR(__xludf.DUMMYFUNCTION("""COMPUTED_VALUE"""),"18 inch Aero")</f>
        <v>18 inch Aero</v>
      </c>
      <c r="Q2241" s="152" t="str">
        <f>IFERROR(__xludf.DUMMYFUNCTION("""COMPUTED_VALUE"""),"Black seats")</f>
        <v>Black seats</v>
      </c>
      <c r="R2241" s="149" t="str">
        <f>IFERROR(__xludf.DUMMYFUNCTION("""COMPUTED_VALUE"""),"Enhanced Autopilot")</f>
        <v>Enhanced Autopilot</v>
      </c>
      <c r="S2241" s="149"/>
      <c r="T2241" s="145"/>
      <c r="U2241" s="145"/>
      <c r="V2241" s="145"/>
      <c r="W2241" s="136"/>
      <c r="X2241" s="137" t="str">
        <f>IFERROR(__xludf.DUMMYFUNCTION("""COMPUTED_VALUE"""),"Very Good")</f>
        <v>Very Good</v>
      </c>
      <c r="Y2241" s="138" t="str">
        <f>IFERROR(__xludf.DUMMYFUNCTION("""COMPUTED_VALUE"""),"Excellent")</f>
        <v>Excellent</v>
      </c>
      <c r="Z2241" s="138" t="str">
        <f>IFERROR(__xludf.DUMMYFUNCTION("""COMPUTED_VALUE"""),"Excellent")</f>
        <v>Excellent</v>
      </c>
      <c r="AA2241" s="138" t="str">
        <f>IFERROR(__xludf.DUMMYFUNCTION("""COMPUTED_VALUE"""),"Excellent")</f>
        <v>Excellent</v>
      </c>
      <c r="AB2241" s="138" t="str">
        <f>IFERROR(__xludf.DUMMYFUNCTION("""COMPUTED_VALUE"""),"Excellent")</f>
        <v>Excellent</v>
      </c>
      <c r="AC2241" s="139">
        <f>IFERROR(__xludf.DUMMYFUNCTION("""COMPUTED_VALUE"""),1.0)</f>
        <v>1</v>
      </c>
      <c r="AD2241" s="139">
        <f>IFERROR(__xludf.DUMMYFUNCTION("""COMPUTED_VALUE"""),1.0)</f>
        <v>1</v>
      </c>
      <c r="AE2241" s="139">
        <f>IFERROR(__xludf.DUMMYFUNCTION("""COMPUTED_VALUE"""),0.0)</f>
        <v>0</v>
      </c>
      <c r="AF2241" s="140"/>
      <c r="AG2241" s="136"/>
      <c r="AH2241" s="157">
        <f>IFERROR(__xludf.DUMMYFUNCTION("""COMPUTED_VALUE"""),43464.448087523146)</f>
        <v>43464.44809</v>
      </c>
      <c r="AI2241" s="138"/>
      <c r="AJ2241" s="138"/>
      <c r="AK2241" s="138"/>
      <c r="AL2241" s="142"/>
    </row>
    <row r="2242" ht="20.25" customHeight="1">
      <c r="A2242" s="155" t="str">
        <f>IFERROR(__xludf.DUMMYFUNCTION("""COMPUTED_VALUE"""),"Selva_IL")</f>
        <v>Selva_IL</v>
      </c>
      <c r="B2242" s="149" t="str">
        <f>IFERROR(__xludf.DUMMYFUNCTION("""COMPUTED_VALUE"""),"Westmont")</f>
        <v>Westmont</v>
      </c>
      <c r="C2242" s="149" t="str">
        <f>IFERROR(__xludf.DUMMYFUNCTION("""COMPUTED_VALUE"""),"IL")</f>
        <v>IL</v>
      </c>
      <c r="D2242" s="149" t="str">
        <f>IFERROR(__xludf.DUMMYFUNCTION("""COMPUTED_VALUE"""),"USA")</f>
        <v>USA</v>
      </c>
      <c r="E2242" s="156">
        <f>IFERROR(__xludf.DUMMYFUNCTION("""COMPUTED_VALUE"""),43395.0)</f>
        <v>43395</v>
      </c>
      <c r="F2242" s="129">
        <f>IFERROR(__xludf.DUMMYFUNCTION("""COMPUTED_VALUE"""),43440.0)</f>
        <v>43440</v>
      </c>
      <c r="G2242" s="154"/>
      <c r="H2242" s="131">
        <f>IFERROR(__xludf.DUMMYFUNCTION("""COMPUTED_VALUE"""),125055.0)</f>
        <v>125055</v>
      </c>
      <c r="I2242" s="144" t="str">
        <f>IFERROR(__xludf.DUMMYFUNCTION("""COMPUTED_VALUE"""),"11/18")</f>
        <v>11/18</v>
      </c>
      <c r="J2242" s="129">
        <f>IFERROR(__xludf.DUMMYFUNCTION("""COMPUTED_VALUE"""),43453.0)</f>
        <v>43453</v>
      </c>
      <c r="K2242" s="133">
        <f>IFERROR(__xludf.DUMMYFUNCTION("""COMPUTED_VALUE"""),45.0)</f>
        <v>45</v>
      </c>
      <c r="L2242" s="133">
        <f>IFERROR(__xludf.DUMMYFUNCTION("""COMPUTED_VALUE"""),13.0)</f>
        <v>13</v>
      </c>
      <c r="M2242" s="133">
        <f>IFERROR(__xludf.DUMMYFUNCTION("""COMPUTED_VALUE"""),58.0)</f>
        <v>58</v>
      </c>
      <c r="N2242" s="152" t="str">
        <f>IFERROR(__xludf.DUMMYFUNCTION("""COMPUTED_VALUE"""),"Model 3 LR")</f>
        <v>Model 3 LR</v>
      </c>
      <c r="O2242" s="152" t="str">
        <f>IFERROR(__xludf.DUMMYFUNCTION("""COMPUTED_VALUE"""),"Deep Blue Metallic")</f>
        <v>Deep Blue Metallic</v>
      </c>
      <c r="P2242" s="153" t="str">
        <f>IFERROR(__xludf.DUMMYFUNCTION("""COMPUTED_VALUE"""),"18 inch Aero")</f>
        <v>18 inch Aero</v>
      </c>
      <c r="Q2242" s="152" t="str">
        <f>IFERROR(__xludf.DUMMYFUNCTION("""COMPUTED_VALUE"""),"Black seats")</f>
        <v>Black seats</v>
      </c>
      <c r="R2242" s="149" t="str">
        <f>IFERROR(__xludf.DUMMYFUNCTION("""COMPUTED_VALUE"""),"Enhanced Autopilot")</f>
        <v>Enhanced Autopilot</v>
      </c>
      <c r="S2242" s="149"/>
      <c r="T2242" s="145"/>
      <c r="U2242" s="145"/>
      <c r="V2242" s="145"/>
      <c r="W2242" s="136"/>
      <c r="X2242" s="137" t="str">
        <f>IFERROR(__xludf.DUMMYFUNCTION("""COMPUTED_VALUE"""),"Very Good")</f>
        <v>Very Good</v>
      </c>
      <c r="Y2242" s="138" t="str">
        <f>IFERROR(__xludf.DUMMYFUNCTION("""COMPUTED_VALUE"""),"Very Good")</f>
        <v>Very Good</v>
      </c>
      <c r="Z2242" s="138" t="str">
        <f>IFERROR(__xludf.DUMMYFUNCTION("""COMPUTED_VALUE"""),"Very Good")</f>
        <v>Very Good</v>
      </c>
      <c r="AA2242" s="138" t="str">
        <f>IFERROR(__xludf.DUMMYFUNCTION("""COMPUTED_VALUE"""),"Good")</f>
        <v>Good</v>
      </c>
      <c r="AB2242" s="138" t="str">
        <f>IFERROR(__xludf.DUMMYFUNCTION("""COMPUTED_VALUE"""),"Good")</f>
        <v>Good</v>
      </c>
      <c r="AC2242" s="139">
        <f>IFERROR(__xludf.DUMMYFUNCTION("""COMPUTED_VALUE"""),1.0)</f>
        <v>1</v>
      </c>
      <c r="AD2242" s="139">
        <f>IFERROR(__xludf.DUMMYFUNCTION("""COMPUTED_VALUE"""),1.0)</f>
        <v>1</v>
      </c>
      <c r="AE2242" s="139">
        <f>IFERROR(__xludf.DUMMYFUNCTION("""COMPUTED_VALUE"""),0.0)</f>
        <v>0</v>
      </c>
      <c r="AF2242" s="140"/>
      <c r="AG2242" s="136"/>
      <c r="AH2242" s="157">
        <f>IFERROR(__xludf.DUMMYFUNCTION("""COMPUTED_VALUE"""),43465.58195513889)</f>
        <v>43465.58196</v>
      </c>
      <c r="AI2242" s="138"/>
      <c r="AJ2242" s="138"/>
      <c r="AK2242" s="138"/>
      <c r="AL2242" s="142"/>
    </row>
    <row r="2243" ht="20.25" customHeight="1">
      <c r="A2243" s="155" t="str">
        <f>IFERROR(__xludf.DUMMYFUNCTION("""COMPUTED_VALUE"""),"senthu20")</f>
        <v>senthu20</v>
      </c>
      <c r="B2243" s="149" t="str">
        <f>IFERROR(__xludf.DUMMYFUNCTION("""COMPUTED_VALUE"""),"Fremont")</f>
        <v>Fremont</v>
      </c>
      <c r="C2243" s="149" t="str">
        <f>IFERROR(__xludf.DUMMYFUNCTION("""COMPUTED_VALUE"""),"CA")</f>
        <v>CA</v>
      </c>
      <c r="D2243" s="149" t="str">
        <f>IFERROR(__xludf.DUMMYFUNCTION("""COMPUTED_VALUE"""),"USA")</f>
        <v>USA</v>
      </c>
      <c r="E2243" s="156">
        <f>IFERROR(__xludf.DUMMYFUNCTION("""COMPUTED_VALUE"""),43395.0)</f>
        <v>43395</v>
      </c>
      <c r="F2243" s="129">
        <f>IFERROR(__xludf.DUMMYFUNCTION("""COMPUTED_VALUE"""),43441.0)</f>
        <v>43441</v>
      </c>
      <c r="G2243" s="154"/>
      <c r="H2243" s="131">
        <f>IFERROR(__xludf.DUMMYFUNCTION("""COMPUTED_VALUE"""),168155.0)</f>
        <v>168155</v>
      </c>
      <c r="I2243" s="144" t="str">
        <f>IFERROR(__xludf.DUMMYFUNCTION("""COMPUTED_VALUE"""),"12/18")</f>
        <v>12/18</v>
      </c>
      <c r="J2243" s="129">
        <f>IFERROR(__xludf.DUMMYFUNCTION("""COMPUTED_VALUE"""),43442.0)</f>
        <v>43442</v>
      </c>
      <c r="K2243" s="133">
        <f>IFERROR(__xludf.DUMMYFUNCTION("""COMPUTED_VALUE"""),46.0)</f>
        <v>46</v>
      </c>
      <c r="L2243" s="133">
        <f>IFERROR(__xludf.DUMMYFUNCTION("""COMPUTED_VALUE"""),1.0)</f>
        <v>1</v>
      </c>
      <c r="M2243" s="133">
        <f>IFERROR(__xludf.DUMMYFUNCTION("""COMPUTED_VALUE"""),47.0)</f>
        <v>47</v>
      </c>
      <c r="N2243" s="152" t="str">
        <f>IFERROR(__xludf.DUMMYFUNCTION("""COMPUTED_VALUE"""),"Model 3 MR")</f>
        <v>Model 3 MR</v>
      </c>
      <c r="O2243" s="152" t="str">
        <f>IFERROR(__xludf.DUMMYFUNCTION("""COMPUTED_VALUE"""),"Deep Blue Metallic")</f>
        <v>Deep Blue Metallic</v>
      </c>
      <c r="P2243" s="153" t="str">
        <f>IFERROR(__xludf.DUMMYFUNCTION("""COMPUTED_VALUE"""),"18 inch Aero")</f>
        <v>18 inch Aero</v>
      </c>
      <c r="Q2243" s="152" t="str">
        <f>IFERROR(__xludf.DUMMYFUNCTION("""COMPUTED_VALUE"""),"White seats")</f>
        <v>White seats</v>
      </c>
      <c r="R2243" s="149" t="str">
        <f>IFERROR(__xludf.DUMMYFUNCTION("""COMPUTED_VALUE"""),"None")</f>
        <v>None</v>
      </c>
      <c r="S2243" s="149"/>
      <c r="T2243" s="145"/>
      <c r="U2243" s="145"/>
      <c r="V2243" s="145"/>
      <c r="W2243" s="136"/>
      <c r="X2243" s="137" t="str">
        <f>IFERROR(__xludf.DUMMYFUNCTION("""COMPUTED_VALUE"""),"Excellent")</f>
        <v>Excellent</v>
      </c>
      <c r="Y2243" s="138" t="str">
        <f>IFERROR(__xludf.DUMMYFUNCTION("""COMPUTED_VALUE"""),"Excellent")</f>
        <v>Excellent</v>
      </c>
      <c r="Z2243" s="138" t="str">
        <f>IFERROR(__xludf.DUMMYFUNCTION("""COMPUTED_VALUE"""),"Excellent")</f>
        <v>Excellent</v>
      </c>
      <c r="AA2243" s="138" t="str">
        <f>IFERROR(__xludf.DUMMYFUNCTION("""COMPUTED_VALUE"""),"Fair")</f>
        <v>Fair</v>
      </c>
      <c r="AB2243" s="138" t="str">
        <f>IFERROR(__xludf.DUMMYFUNCTION("""COMPUTED_VALUE"""),"Fair")</f>
        <v>Fair</v>
      </c>
      <c r="AC2243" s="139">
        <f>IFERROR(__xludf.DUMMYFUNCTION("""COMPUTED_VALUE"""),7.0)</f>
        <v>7</v>
      </c>
      <c r="AD2243" s="139">
        <f>IFERROR(__xludf.DUMMYFUNCTION("""COMPUTED_VALUE"""),1.0)</f>
        <v>1</v>
      </c>
      <c r="AE2243" s="139"/>
      <c r="AF2243" s="140"/>
      <c r="AG2243" s="136"/>
      <c r="AH2243" s="157">
        <f>IFERROR(__xludf.DUMMYFUNCTION("""COMPUTED_VALUE"""),43444.47269240741)</f>
        <v>43444.47269</v>
      </c>
      <c r="AI2243" s="138"/>
      <c r="AJ2243" s="138"/>
      <c r="AK2243" s="138"/>
      <c r="AL2243" s="142"/>
    </row>
    <row r="2244" ht="20.25" customHeight="1">
      <c r="A2244" s="155" t="str">
        <f>IFERROR(__xludf.DUMMYFUNCTION("""COMPUTED_VALUE"""),"Southwestern")</f>
        <v>Southwestern</v>
      </c>
      <c r="B2244" s="149" t="str">
        <f>IFERROR(__xludf.DUMMYFUNCTION("""COMPUTED_VALUE"""),"Phoenix")</f>
        <v>Phoenix</v>
      </c>
      <c r="C2244" s="149" t="str">
        <f>IFERROR(__xludf.DUMMYFUNCTION("""COMPUTED_VALUE"""),"AZ")</f>
        <v>AZ</v>
      </c>
      <c r="D2244" s="149" t="str">
        <f>IFERROR(__xludf.DUMMYFUNCTION("""COMPUTED_VALUE"""),"USA")</f>
        <v>USA</v>
      </c>
      <c r="E2244" s="156">
        <f>IFERROR(__xludf.DUMMYFUNCTION("""COMPUTED_VALUE"""),43395.0)</f>
        <v>43395</v>
      </c>
      <c r="F2244" s="129">
        <f>IFERROR(__xludf.DUMMYFUNCTION("""COMPUTED_VALUE"""),43441.0)</f>
        <v>43441</v>
      </c>
      <c r="G2244" s="154"/>
      <c r="H2244" s="131">
        <f>IFERROR(__xludf.DUMMYFUNCTION("""COMPUTED_VALUE"""),155255.0)</f>
        <v>155255</v>
      </c>
      <c r="I2244" s="144" t="str">
        <f>IFERROR(__xludf.DUMMYFUNCTION("""COMPUTED_VALUE"""),"12/18")</f>
        <v>12/18</v>
      </c>
      <c r="J2244" s="129">
        <f>IFERROR(__xludf.DUMMYFUNCTION("""COMPUTED_VALUE"""),43447.0)</f>
        <v>43447</v>
      </c>
      <c r="K2244" s="133">
        <f>IFERROR(__xludf.DUMMYFUNCTION("""COMPUTED_VALUE"""),46.0)</f>
        <v>46</v>
      </c>
      <c r="L2244" s="133">
        <f>IFERROR(__xludf.DUMMYFUNCTION("""COMPUTED_VALUE"""),6.0)</f>
        <v>6</v>
      </c>
      <c r="M2244" s="133">
        <f>IFERROR(__xludf.DUMMYFUNCTION("""COMPUTED_VALUE"""),52.0)</f>
        <v>52</v>
      </c>
      <c r="N2244" s="152" t="str">
        <f>IFERROR(__xludf.DUMMYFUNCTION("""COMPUTED_VALUE"""),"Model 3 MR")</f>
        <v>Model 3 MR</v>
      </c>
      <c r="O2244" s="152" t="str">
        <f>IFERROR(__xludf.DUMMYFUNCTION("""COMPUTED_VALUE"""),"Solid Black")</f>
        <v>Solid Black</v>
      </c>
      <c r="P2244" s="153" t="str">
        <f>IFERROR(__xludf.DUMMYFUNCTION("""COMPUTED_VALUE"""),"18 inch Aero")</f>
        <v>18 inch Aero</v>
      </c>
      <c r="Q2244" s="152" t="str">
        <f>IFERROR(__xludf.DUMMYFUNCTION("""COMPUTED_VALUE"""),"White seats")</f>
        <v>White seats</v>
      </c>
      <c r="R2244" s="149" t="str">
        <f>IFERROR(__xludf.DUMMYFUNCTION("""COMPUTED_VALUE"""),"None")</f>
        <v>None</v>
      </c>
      <c r="S2244" s="149"/>
      <c r="T2244" s="145"/>
      <c r="U2244" s="145"/>
      <c r="V2244" s="145"/>
      <c r="W2244" s="136"/>
      <c r="X2244" s="137" t="str">
        <f>IFERROR(__xludf.DUMMYFUNCTION("""COMPUTED_VALUE"""),"Very Good")</f>
        <v>Very Good</v>
      </c>
      <c r="Y2244" s="138" t="str">
        <f>IFERROR(__xludf.DUMMYFUNCTION("""COMPUTED_VALUE"""),"Excellent")</f>
        <v>Excellent</v>
      </c>
      <c r="Z2244" s="138" t="str">
        <f>IFERROR(__xludf.DUMMYFUNCTION("""COMPUTED_VALUE"""),"Very Good")</f>
        <v>Very Good</v>
      </c>
      <c r="AA2244" s="138" t="str">
        <f>IFERROR(__xludf.DUMMYFUNCTION("""COMPUTED_VALUE"""),"Fair")</f>
        <v>Fair</v>
      </c>
      <c r="AB2244" s="138" t="str">
        <f>IFERROR(__xludf.DUMMYFUNCTION("""COMPUTED_VALUE"""),"Very Good")</f>
        <v>Very Good</v>
      </c>
      <c r="AC2244" s="139"/>
      <c r="AD2244" s="139"/>
      <c r="AE2244" s="139"/>
      <c r="AF2244" s="140"/>
      <c r="AG2244" s="136"/>
      <c r="AH2244" s="157">
        <f>IFERROR(__xludf.DUMMYFUNCTION("""COMPUTED_VALUE"""),43447.7740141088)</f>
        <v>43447.77401</v>
      </c>
      <c r="AI2244" s="138"/>
      <c r="AJ2244" s="138"/>
      <c r="AK2244" s="138"/>
      <c r="AL2244" s="142"/>
    </row>
    <row r="2245" ht="20.25" customHeight="1">
      <c r="A2245" s="155" t="str">
        <f>IFERROR(__xludf.DUMMYFUNCTION("""COMPUTED_VALUE"""),"waiting4myride")</f>
        <v>waiting4myride</v>
      </c>
      <c r="B2245" s="149" t="str">
        <f>IFERROR(__xludf.DUMMYFUNCTION("""COMPUTED_VALUE"""),"Boston")</f>
        <v>Boston</v>
      </c>
      <c r="C2245" s="149" t="str">
        <f>IFERROR(__xludf.DUMMYFUNCTION("""COMPUTED_VALUE"""),"MA")</f>
        <v>MA</v>
      </c>
      <c r="D2245" s="149" t="str">
        <f>IFERROR(__xludf.DUMMYFUNCTION("""COMPUTED_VALUE"""),"USA")</f>
        <v>USA</v>
      </c>
      <c r="E2245" s="156">
        <f>IFERROR(__xludf.DUMMYFUNCTION("""COMPUTED_VALUE"""),43395.0)</f>
        <v>43395</v>
      </c>
      <c r="F2245" s="129"/>
      <c r="G2245" s="154"/>
      <c r="H2245" s="131">
        <f>IFERROR(__xludf.DUMMYFUNCTION("""COMPUTED_VALUE"""),152755.0)</f>
        <v>152755</v>
      </c>
      <c r="I2245" s="144"/>
      <c r="J2245" s="129">
        <f>IFERROR(__xludf.DUMMYFUNCTION("""COMPUTED_VALUE"""),43435.0)</f>
        <v>43435</v>
      </c>
      <c r="K2245" s="133"/>
      <c r="L2245" s="133"/>
      <c r="M2245" s="133">
        <f>IFERROR(__xludf.DUMMYFUNCTION("""COMPUTED_VALUE"""),40.0)</f>
        <v>40</v>
      </c>
      <c r="N2245" s="152" t="str">
        <f>IFERROR(__xludf.DUMMYFUNCTION("""COMPUTED_VALUE"""),"Model 3 MR")</f>
        <v>Model 3 MR</v>
      </c>
      <c r="O2245" s="152" t="str">
        <f>IFERROR(__xludf.DUMMYFUNCTION("""COMPUTED_VALUE"""),"Solid Black")</f>
        <v>Solid Black</v>
      </c>
      <c r="P2245" s="153" t="str">
        <f>IFERROR(__xludf.DUMMYFUNCTION("""COMPUTED_VALUE"""),"18 inch Aero")</f>
        <v>18 inch Aero</v>
      </c>
      <c r="Q2245" s="152" t="str">
        <f>IFERROR(__xludf.DUMMYFUNCTION("""COMPUTED_VALUE"""),"Black seats")</f>
        <v>Black seats</v>
      </c>
      <c r="R2245" s="149" t="str">
        <f>IFERROR(__xludf.DUMMYFUNCTION("""COMPUTED_VALUE"""),"Enhanced Autopilot")</f>
        <v>Enhanced Autopilot</v>
      </c>
      <c r="S2245" s="149"/>
      <c r="T2245" s="145"/>
      <c r="U2245" s="145"/>
      <c r="V2245" s="145"/>
      <c r="W2245" s="136"/>
      <c r="X2245" s="137" t="str">
        <f>IFERROR(__xludf.DUMMYFUNCTION("""COMPUTED_VALUE"""),"Very Good")</f>
        <v>Very Good</v>
      </c>
      <c r="Y2245" s="138" t="str">
        <f>IFERROR(__xludf.DUMMYFUNCTION("""COMPUTED_VALUE"""),"Very Good")</f>
        <v>Very Good</v>
      </c>
      <c r="Z2245" s="138" t="str">
        <f>IFERROR(__xludf.DUMMYFUNCTION("""COMPUTED_VALUE"""),"Very Good")</f>
        <v>Very Good</v>
      </c>
      <c r="AA2245" s="138" t="str">
        <f>IFERROR(__xludf.DUMMYFUNCTION("""COMPUTED_VALUE"""),"Fair")</f>
        <v>Fair</v>
      </c>
      <c r="AB2245" s="138" t="str">
        <f>IFERROR(__xludf.DUMMYFUNCTION("""COMPUTED_VALUE"""),"Good")</f>
        <v>Good</v>
      </c>
      <c r="AC2245" s="139"/>
      <c r="AD2245" s="139"/>
      <c r="AE2245" s="139"/>
      <c r="AF2245" s="140"/>
      <c r="AG2245" s="136"/>
      <c r="AH2245" s="157">
        <f>IFERROR(__xludf.DUMMYFUNCTION("""COMPUTED_VALUE"""),43435.74804646991)</f>
        <v>43435.74805</v>
      </c>
      <c r="AI2245" s="138"/>
      <c r="AJ2245" s="138"/>
      <c r="AK2245" s="138"/>
      <c r="AL2245" s="142"/>
    </row>
    <row r="2246" ht="20.25" customHeight="1">
      <c r="A2246" s="155" t="str">
        <f>IFERROR(__xludf.DUMMYFUNCTION("""COMPUTED_VALUE"""),"whatchagot")</f>
        <v>whatchagot</v>
      </c>
      <c r="B2246" s="149" t="str">
        <f>IFERROR(__xludf.DUMMYFUNCTION("""COMPUTED_VALUE"""),"Omaha")</f>
        <v>Omaha</v>
      </c>
      <c r="C2246" s="149" t="str">
        <f>IFERROR(__xludf.DUMMYFUNCTION("""COMPUTED_VALUE"""),"NE")</f>
        <v>NE</v>
      </c>
      <c r="D2246" s="149" t="str">
        <f>IFERROR(__xludf.DUMMYFUNCTION("""COMPUTED_VALUE"""),"USA")</f>
        <v>USA</v>
      </c>
      <c r="E2246" s="156">
        <f>IFERROR(__xludf.DUMMYFUNCTION("""COMPUTED_VALUE"""),43395.0)</f>
        <v>43395</v>
      </c>
      <c r="F2246" s="129">
        <f>IFERROR(__xludf.DUMMYFUNCTION("""COMPUTED_VALUE"""),43430.0)</f>
        <v>43430</v>
      </c>
      <c r="G2246" s="154"/>
      <c r="H2246" s="131">
        <f>IFERROR(__xludf.DUMMYFUNCTION("""COMPUTED_VALUE"""),157555.0)</f>
        <v>157555</v>
      </c>
      <c r="I2246" s="144"/>
      <c r="J2246" s="129">
        <f>IFERROR(__xludf.DUMMYFUNCTION("""COMPUTED_VALUE"""),43442.0)</f>
        <v>43442</v>
      </c>
      <c r="K2246" s="133">
        <f>IFERROR(__xludf.DUMMYFUNCTION("""COMPUTED_VALUE"""),35.0)</f>
        <v>35</v>
      </c>
      <c r="L2246" s="133">
        <f>IFERROR(__xludf.DUMMYFUNCTION("""COMPUTED_VALUE"""),12.0)</f>
        <v>12</v>
      </c>
      <c r="M2246" s="133">
        <f>IFERROR(__xludf.DUMMYFUNCTION("""COMPUTED_VALUE"""),47.0)</f>
        <v>47</v>
      </c>
      <c r="N2246" s="152" t="str">
        <f>IFERROR(__xludf.DUMMYFUNCTION("""COMPUTED_VALUE"""),"Model 3 MR")</f>
        <v>Model 3 MR</v>
      </c>
      <c r="O2246" s="152" t="str">
        <f>IFERROR(__xludf.DUMMYFUNCTION("""COMPUTED_VALUE"""),"Midnight Silver Metallic")</f>
        <v>Midnight Silver Metallic</v>
      </c>
      <c r="P2246" s="153" t="str">
        <f>IFERROR(__xludf.DUMMYFUNCTION("""COMPUTED_VALUE"""),"18 inch Aero")</f>
        <v>18 inch Aero</v>
      </c>
      <c r="Q2246" s="152" t="str">
        <f>IFERROR(__xludf.DUMMYFUNCTION("""COMPUTED_VALUE"""),"Black seats")</f>
        <v>Black seats</v>
      </c>
      <c r="R2246" s="149" t="str">
        <f>IFERROR(__xludf.DUMMYFUNCTION("""COMPUTED_VALUE"""),"None")</f>
        <v>None</v>
      </c>
      <c r="S2246" s="149"/>
      <c r="T2246" s="145"/>
      <c r="U2246" s="145"/>
      <c r="V2246" s="145"/>
      <c r="W2246" s="136"/>
      <c r="X2246" s="137" t="str">
        <f>IFERROR(__xludf.DUMMYFUNCTION("""COMPUTED_VALUE"""),"Excellent")</f>
        <v>Excellent</v>
      </c>
      <c r="Y2246" s="138" t="str">
        <f>IFERROR(__xludf.DUMMYFUNCTION("""COMPUTED_VALUE"""),"Excellent")</f>
        <v>Excellent</v>
      </c>
      <c r="Z2246" s="138" t="str">
        <f>IFERROR(__xludf.DUMMYFUNCTION("""COMPUTED_VALUE"""),"Excellent")</f>
        <v>Excellent</v>
      </c>
      <c r="AA2246" s="138" t="str">
        <f>IFERROR(__xludf.DUMMYFUNCTION("""COMPUTED_VALUE"""),"Excellent")</f>
        <v>Excellent</v>
      </c>
      <c r="AB2246" s="138" t="str">
        <f>IFERROR(__xludf.DUMMYFUNCTION("""COMPUTED_VALUE"""),"Excellent")</f>
        <v>Excellent</v>
      </c>
      <c r="AC2246" s="139"/>
      <c r="AD2246" s="139"/>
      <c r="AE2246" s="139"/>
      <c r="AF2246" s="140"/>
      <c r="AG2246" s="136"/>
      <c r="AH2246" s="157">
        <f>IFERROR(__xludf.DUMMYFUNCTION("""COMPUTED_VALUE"""),43444.26305233796)</f>
        <v>43444.26305</v>
      </c>
      <c r="AI2246" s="138"/>
      <c r="AJ2246" s="138"/>
      <c r="AK2246" s="138"/>
      <c r="AL2246" s="142"/>
    </row>
    <row r="2247" ht="20.25" customHeight="1">
      <c r="A2247" s="155" t="str">
        <f>IFERROR(__xludf.DUMMYFUNCTION("""COMPUTED_VALUE"""),"angrytaxman")</f>
        <v>angrytaxman</v>
      </c>
      <c r="B2247" s="149" t="str">
        <f>IFERROR(__xludf.DUMMYFUNCTION("""COMPUTED_VALUE"""),"Los Angeles, CA")</f>
        <v>Los Angeles, CA</v>
      </c>
      <c r="C2247" s="149" t="str">
        <f>IFERROR(__xludf.DUMMYFUNCTION("""COMPUTED_VALUE"""),"CA")</f>
        <v>CA</v>
      </c>
      <c r="D2247" s="149" t="str">
        <f>IFERROR(__xludf.DUMMYFUNCTION("""COMPUTED_VALUE"""),"USA")</f>
        <v>USA</v>
      </c>
      <c r="E2247" s="156">
        <f>IFERROR(__xludf.DUMMYFUNCTION("""COMPUTED_VALUE"""),43394.0)</f>
        <v>43394</v>
      </c>
      <c r="F2247" s="129">
        <f>IFERROR(__xludf.DUMMYFUNCTION("""COMPUTED_VALUE"""),43443.0)</f>
        <v>43443</v>
      </c>
      <c r="G2247" s="154"/>
      <c r="H2247" s="131">
        <f>IFERROR(__xludf.DUMMYFUNCTION("""COMPUTED_VALUE"""),161655.0)</f>
        <v>161655</v>
      </c>
      <c r="I2247" s="144" t="str">
        <f>IFERROR(__xludf.DUMMYFUNCTION("""COMPUTED_VALUE"""),"12/18")</f>
        <v>12/18</v>
      </c>
      <c r="J2247" s="129">
        <f>IFERROR(__xludf.DUMMYFUNCTION("""COMPUTED_VALUE"""),43449.0)</f>
        <v>43449</v>
      </c>
      <c r="K2247" s="133">
        <f>IFERROR(__xludf.DUMMYFUNCTION("""COMPUTED_VALUE"""),49.0)</f>
        <v>49</v>
      </c>
      <c r="L2247" s="133">
        <f>IFERROR(__xludf.DUMMYFUNCTION("""COMPUTED_VALUE"""),6.0)</f>
        <v>6</v>
      </c>
      <c r="M2247" s="133">
        <f>IFERROR(__xludf.DUMMYFUNCTION("""COMPUTED_VALUE"""),55.0)</f>
        <v>55</v>
      </c>
      <c r="N2247" s="152" t="str">
        <f>IFERROR(__xludf.DUMMYFUNCTION("""COMPUTED_VALUE"""),"Model 3 MR")</f>
        <v>Model 3 MR</v>
      </c>
      <c r="O2247" s="152" t="str">
        <f>IFERROR(__xludf.DUMMYFUNCTION("""COMPUTED_VALUE"""),"Pearl White Multi-Coat")</f>
        <v>Pearl White Multi-Coat</v>
      </c>
      <c r="P2247" s="153" t="str">
        <f>IFERROR(__xludf.DUMMYFUNCTION("""COMPUTED_VALUE"""),"18 inch Aero")</f>
        <v>18 inch Aero</v>
      </c>
      <c r="Q2247" s="152" t="str">
        <f>IFERROR(__xludf.DUMMYFUNCTION("""COMPUTED_VALUE"""),"Black seats")</f>
        <v>Black seats</v>
      </c>
      <c r="R2247" s="149" t="str">
        <f>IFERROR(__xludf.DUMMYFUNCTION("""COMPUTED_VALUE"""),"Enhanced Autopilot")</f>
        <v>Enhanced Autopilot</v>
      </c>
      <c r="S2247" s="149"/>
      <c r="T2247" s="145"/>
      <c r="U2247" s="145"/>
      <c r="V2247" s="145"/>
      <c r="W2247" s="136"/>
      <c r="X2247" s="137" t="str">
        <f>IFERROR(__xludf.DUMMYFUNCTION("""COMPUTED_VALUE"""),"Very Good")</f>
        <v>Very Good</v>
      </c>
      <c r="Y2247" s="138" t="str">
        <f>IFERROR(__xludf.DUMMYFUNCTION("""COMPUTED_VALUE"""),"Excellent")</f>
        <v>Excellent</v>
      </c>
      <c r="Z2247" s="138" t="str">
        <f>IFERROR(__xludf.DUMMYFUNCTION("""COMPUTED_VALUE"""),"Very Good")</f>
        <v>Very Good</v>
      </c>
      <c r="AA2247" s="138" t="str">
        <f>IFERROR(__xludf.DUMMYFUNCTION("""COMPUTED_VALUE"""),"Poor")</f>
        <v>Poor</v>
      </c>
      <c r="AB2247" s="138" t="str">
        <f>IFERROR(__xludf.DUMMYFUNCTION("""COMPUTED_VALUE"""),"Good")</f>
        <v>Good</v>
      </c>
      <c r="AC2247" s="139">
        <f>IFERROR(__xludf.DUMMYFUNCTION("""COMPUTED_VALUE"""),1.0)</f>
        <v>1</v>
      </c>
      <c r="AD2247" s="139">
        <f>IFERROR(__xludf.DUMMYFUNCTION("""COMPUTED_VALUE"""),1.0)</f>
        <v>1</v>
      </c>
      <c r="AE2247" s="139"/>
      <c r="AF2247" s="140"/>
      <c r="AG2247" s="136" t="str">
        <f>IFERROR(__xludf.DUMMYFUNCTION("""COMPUTED_VALUE"""),"Changed from black to white paint on 11/26/18")</f>
        <v>Changed from black to white paint on 11/26/18</v>
      </c>
      <c r="AH2247" s="157">
        <f>IFERROR(__xludf.DUMMYFUNCTION("""COMPUTED_VALUE"""),43455.42389327547)</f>
        <v>43455.42389</v>
      </c>
      <c r="AI2247" s="138"/>
      <c r="AJ2247" s="138"/>
      <c r="AK2247" s="138"/>
      <c r="AL2247" s="142"/>
    </row>
    <row r="2248" ht="20.25" customHeight="1">
      <c r="A2248" s="155" t="str">
        <f>IFERROR(__xludf.DUMMYFUNCTION("""COMPUTED_VALUE"""),"DC Tesla Model 3")</f>
        <v>DC Tesla Model 3</v>
      </c>
      <c r="B2248" s="149"/>
      <c r="C2248" s="149" t="str">
        <f>IFERROR(__xludf.DUMMYFUNCTION("""COMPUTED_VALUE"""),"DC")</f>
        <v>DC</v>
      </c>
      <c r="D2248" s="149" t="str">
        <f>IFERROR(__xludf.DUMMYFUNCTION("""COMPUTED_VALUE"""),"USA")</f>
        <v>USA</v>
      </c>
      <c r="E2248" s="156">
        <f>IFERROR(__xludf.DUMMYFUNCTION("""COMPUTED_VALUE"""),43394.0)</f>
        <v>43394</v>
      </c>
      <c r="F2248" s="129">
        <f>IFERROR(__xludf.DUMMYFUNCTION("""COMPUTED_VALUE"""),43418.0)</f>
        <v>43418</v>
      </c>
      <c r="G2248" s="154"/>
      <c r="H2248" s="131">
        <f>IFERROR(__xludf.DUMMYFUNCTION("""COMPUTED_VALUE"""),153655.0)</f>
        <v>153655</v>
      </c>
      <c r="I2248" s="144"/>
      <c r="J2248" s="129">
        <f>IFERROR(__xludf.DUMMYFUNCTION("""COMPUTED_VALUE"""),43425.0)</f>
        <v>43425</v>
      </c>
      <c r="K2248" s="133">
        <f>IFERROR(__xludf.DUMMYFUNCTION("""COMPUTED_VALUE"""),24.0)</f>
        <v>24</v>
      </c>
      <c r="L2248" s="133">
        <f>IFERROR(__xludf.DUMMYFUNCTION("""COMPUTED_VALUE"""),7.0)</f>
        <v>7</v>
      </c>
      <c r="M2248" s="133">
        <f>IFERROR(__xludf.DUMMYFUNCTION("""COMPUTED_VALUE"""),31.0)</f>
        <v>31</v>
      </c>
      <c r="N2248" s="152" t="str">
        <f>IFERROR(__xludf.DUMMYFUNCTION("""COMPUTED_VALUE"""),"Model 3 MR")</f>
        <v>Model 3 MR</v>
      </c>
      <c r="O2248" s="152" t="str">
        <f>IFERROR(__xludf.DUMMYFUNCTION("""COMPUTED_VALUE"""),"Midnight Silver Metallic")</f>
        <v>Midnight Silver Metallic</v>
      </c>
      <c r="P2248" s="153" t="str">
        <f>IFERROR(__xludf.DUMMYFUNCTION("""COMPUTED_VALUE"""),"18 inch Aero")</f>
        <v>18 inch Aero</v>
      </c>
      <c r="Q2248" s="152" t="str">
        <f>IFERROR(__xludf.DUMMYFUNCTION("""COMPUTED_VALUE"""),"Black seats")</f>
        <v>Black seats</v>
      </c>
      <c r="R2248" s="149" t="str">
        <f>IFERROR(__xludf.DUMMYFUNCTION("""COMPUTED_VALUE"""),"Enhanced Autopilot")</f>
        <v>Enhanced Autopilot</v>
      </c>
      <c r="S2248" s="149"/>
      <c r="T2248" s="145"/>
      <c r="U2248" s="145"/>
      <c r="V2248" s="145"/>
      <c r="W2248" s="136"/>
      <c r="X2248" s="137" t="str">
        <f>IFERROR(__xludf.DUMMYFUNCTION("""COMPUTED_VALUE"""),"Very Good")</f>
        <v>Very Good</v>
      </c>
      <c r="Y2248" s="138" t="str">
        <f>IFERROR(__xludf.DUMMYFUNCTION("""COMPUTED_VALUE"""),"Excellent")</f>
        <v>Excellent</v>
      </c>
      <c r="Z2248" s="138" t="str">
        <f>IFERROR(__xludf.DUMMYFUNCTION("""COMPUTED_VALUE"""),"Very Good")</f>
        <v>Very Good</v>
      </c>
      <c r="AA2248" s="138" t="str">
        <f>IFERROR(__xludf.DUMMYFUNCTION("""COMPUTED_VALUE"""),"Very Good")</f>
        <v>Very Good</v>
      </c>
      <c r="AB2248" s="138" t="str">
        <f>IFERROR(__xludf.DUMMYFUNCTION("""COMPUTED_VALUE"""),"Good")</f>
        <v>Good</v>
      </c>
      <c r="AC2248" s="139">
        <f>IFERROR(__xludf.DUMMYFUNCTION("""COMPUTED_VALUE"""),0.0)</f>
        <v>0</v>
      </c>
      <c r="AD2248" s="139"/>
      <c r="AE2248" s="139"/>
      <c r="AF2248" s="140"/>
      <c r="AG2248" s="136"/>
      <c r="AH2248" s="157">
        <f>IFERROR(__xludf.DUMMYFUNCTION("""COMPUTED_VALUE"""),43426.47279050926)</f>
        <v>43426.47279</v>
      </c>
      <c r="AI2248" s="138"/>
      <c r="AJ2248" s="138"/>
      <c r="AK2248" s="138"/>
      <c r="AL2248" s="142"/>
    </row>
    <row r="2249" ht="20.25" customHeight="1">
      <c r="A2249" s="155" t="str">
        <f>IFERROR(__xludf.DUMMYFUNCTION("""COMPUTED_VALUE"""),"FolesVsManning")</f>
        <v>FolesVsManning</v>
      </c>
      <c r="B2249" s="149"/>
      <c r="C2249" s="149" t="str">
        <f>IFERROR(__xludf.DUMMYFUNCTION("""COMPUTED_VALUE"""),"MI")</f>
        <v>MI</v>
      </c>
      <c r="D2249" s="149" t="str">
        <f>IFERROR(__xludf.DUMMYFUNCTION("""COMPUTED_VALUE"""),"USA")</f>
        <v>USA</v>
      </c>
      <c r="E2249" s="156">
        <f>IFERROR(__xludf.DUMMYFUNCTION("""COMPUTED_VALUE"""),43394.0)</f>
        <v>43394</v>
      </c>
      <c r="F2249" s="129">
        <f>IFERROR(__xludf.DUMMYFUNCTION("""COMPUTED_VALUE"""),43400.0)</f>
        <v>43400</v>
      </c>
      <c r="G2249" s="154"/>
      <c r="H2249" s="131">
        <f>IFERROR(__xludf.DUMMYFUNCTION("""COMPUTED_VALUE"""),58455.0)</f>
        <v>58455</v>
      </c>
      <c r="I2249" s="144" t="str">
        <f>IFERROR(__xludf.DUMMYFUNCTION("""COMPUTED_VALUE"""),"10/18")</f>
        <v>10/18</v>
      </c>
      <c r="J2249" s="129">
        <f>IFERROR(__xludf.DUMMYFUNCTION("""COMPUTED_VALUE"""),43420.0)</f>
        <v>43420</v>
      </c>
      <c r="K2249" s="133">
        <f>IFERROR(__xludf.DUMMYFUNCTION("""COMPUTED_VALUE"""),6.0)</f>
        <v>6</v>
      </c>
      <c r="L2249" s="133">
        <f>IFERROR(__xludf.DUMMYFUNCTION("""COMPUTED_VALUE"""),20.0)</f>
        <v>20</v>
      </c>
      <c r="M2249" s="133">
        <f>IFERROR(__xludf.DUMMYFUNCTION("""COMPUTED_VALUE"""),26.0)</f>
        <v>26</v>
      </c>
      <c r="N2249" s="152" t="str">
        <f>IFERROR(__xludf.DUMMYFUNCTION("""COMPUTED_VALUE"""),"Model 3 LR")</f>
        <v>Model 3 LR</v>
      </c>
      <c r="O2249" s="152" t="str">
        <f>IFERROR(__xludf.DUMMYFUNCTION("""COMPUTED_VALUE"""),"Red Multi-Coat")</f>
        <v>Red Multi-Coat</v>
      </c>
      <c r="P2249" s="153" t="str">
        <f>IFERROR(__xludf.DUMMYFUNCTION("""COMPUTED_VALUE"""),"18 inch Aero")</f>
        <v>18 inch Aero</v>
      </c>
      <c r="Q2249" s="152" t="str">
        <f>IFERROR(__xludf.DUMMYFUNCTION("""COMPUTED_VALUE"""),"Black seats")</f>
        <v>Black seats</v>
      </c>
      <c r="R2249" s="149" t="str">
        <f>IFERROR(__xludf.DUMMYFUNCTION("""COMPUTED_VALUE"""),"None")</f>
        <v>None</v>
      </c>
      <c r="S2249" s="149"/>
      <c r="T2249" s="145"/>
      <c r="U2249" s="145"/>
      <c r="V2249" s="145"/>
      <c r="W2249" s="136"/>
      <c r="X2249" s="137" t="str">
        <f>IFERROR(__xludf.DUMMYFUNCTION("""COMPUTED_VALUE"""),"Excellent")</f>
        <v>Excellent</v>
      </c>
      <c r="Y2249" s="138" t="str">
        <f>IFERROR(__xludf.DUMMYFUNCTION("""COMPUTED_VALUE"""),"Excellent")</f>
        <v>Excellent</v>
      </c>
      <c r="Z2249" s="138" t="str">
        <f>IFERROR(__xludf.DUMMYFUNCTION("""COMPUTED_VALUE"""),"Excellent")</f>
        <v>Excellent</v>
      </c>
      <c r="AA2249" s="138" t="str">
        <f>IFERROR(__xludf.DUMMYFUNCTION("""COMPUTED_VALUE"""),"Very Good")</f>
        <v>Very Good</v>
      </c>
      <c r="AB2249" s="138" t="str">
        <f>IFERROR(__xludf.DUMMYFUNCTION("""COMPUTED_VALUE"""),"Very Good")</f>
        <v>Very Good</v>
      </c>
      <c r="AC2249" s="139">
        <f>IFERROR(__xludf.DUMMYFUNCTION("""COMPUTED_VALUE"""),0.0)</f>
        <v>0</v>
      </c>
      <c r="AD2249" s="139"/>
      <c r="AE2249" s="139"/>
      <c r="AF2249" s="140"/>
      <c r="AG2249" s="136"/>
      <c r="AH2249" s="157">
        <f>IFERROR(__xludf.DUMMYFUNCTION("""COMPUTED_VALUE"""),43423.357422800924)</f>
        <v>43423.35742</v>
      </c>
      <c r="AI2249" s="138"/>
      <c r="AJ2249" s="138"/>
      <c r="AK2249" s="138"/>
      <c r="AL2249" s="142"/>
    </row>
    <row r="2250" ht="20.25" customHeight="1">
      <c r="A2250" s="155" t="str">
        <f>IFERROR(__xludf.DUMMYFUNCTION("""COMPUTED_VALUE"""),"IowaBob3")</f>
        <v>IowaBob3</v>
      </c>
      <c r="B2250" s="149" t="str">
        <f>IFERROR(__xludf.DUMMYFUNCTION("""COMPUTED_VALUE"""),"Blue Grass")</f>
        <v>Blue Grass</v>
      </c>
      <c r="C2250" s="149" t="str">
        <f>IFERROR(__xludf.DUMMYFUNCTION("""COMPUTED_VALUE"""),"IA")</f>
        <v>IA</v>
      </c>
      <c r="D2250" s="149" t="str">
        <f>IFERROR(__xludf.DUMMYFUNCTION("""COMPUTED_VALUE"""),"USA")</f>
        <v>USA</v>
      </c>
      <c r="E2250" s="156">
        <f>IFERROR(__xludf.DUMMYFUNCTION("""COMPUTED_VALUE"""),43394.0)</f>
        <v>43394</v>
      </c>
      <c r="F2250" s="129">
        <f>IFERROR(__xludf.DUMMYFUNCTION("""COMPUTED_VALUE"""),43444.0)</f>
        <v>43444</v>
      </c>
      <c r="G2250" s="154"/>
      <c r="H2250" s="131">
        <f>IFERROR(__xludf.DUMMYFUNCTION("""COMPUTED_VALUE"""),155855.0)</f>
        <v>155855</v>
      </c>
      <c r="I2250" s="144" t="str">
        <f>IFERROR(__xludf.DUMMYFUNCTION("""COMPUTED_VALUE"""),"12/18")</f>
        <v>12/18</v>
      </c>
      <c r="J2250" s="129">
        <f>IFERROR(__xludf.DUMMYFUNCTION("""COMPUTED_VALUE"""),43448.0)</f>
        <v>43448</v>
      </c>
      <c r="K2250" s="133">
        <f>IFERROR(__xludf.DUMMYFUNCTION("""COMPUTED_VALUE"""),50.0)</f>
        <v>50</v>
      </c>
      <c r="L2250" s="133">
        <f>IFERROR(__xludf.DUMMYFUNCTION("""COMPUTED_VALUE"""),4.0)</f>
        <v>4</v>
      </c>
      <c r="M2250" s="133">
        <f>IFERROR(__xludf.DUMMYFUNCTION("""COMPUTED_VALUE"""),54.0)</f>
        <v>54</v>
      </c>
      <c r="N2250" s="152" t="str">
        <f>IFERROR(__xludf.DUMMYFUNCTION("""COMPUTED_VALUE"""),"Model 3 MR")</f>
        <v>Model 3 MR</v>
      </c>
      <c r="O2250" s="152" t="str">
        <f>IFERROR(__xludf.DUMMYFUNCTION("""COMPUTED_VALUE"""),"Deep Blue Metallic")</f>
        <v>Deep Blue Metallic</v>
      </c>
      <c r="P2250" s="153" t="str">
        <f>IFERROR(__xludf.DUMMYFUNCTION("""COMPUTED_VALUE"""),"18 inch Aero")</f>
        <v>18 inch Aero</v>
      </c>
      <c r="Q2250" s="152" t="str">
        <f>IFERROR(__xludf.DUMMYFUNCTION("""COMPUTED_VALUE"""),"White seats")</f>
        <v>White seats</v>
      </c>
      <c r="R2250" s="149" t="str">
        <f>IFERROR(__xludf.DUMMYFUNCTION("""COMPUTED_VALUE"""),"Enhanced Autopilot")</f>
        <v>Enhanced Autopilot</v>
      </c>
      <c r="S2250" s="149"/>
      <c r="T2250" s="145"/>
      <c r="U2250" s="145"/>
      <c r="V2250" s="145"/>
      <c r="W2250" s="136"/>
      <c r="X2250" s="137" t="str">
        <f>IFERROR(__xludf.DUMMYFUNCTION("""COMPUTED_VALUE"""),"Very Good")</f>
        <v>Very Good</v>
      </c>
      <c r="Y2250" s="138" t="str">
        <f>IFERROR(__xludf.DUMMYFUNCTION("""COMPUTED_VALUE"""),"Excellent")</f>
        <v>Excellent</v>
      </c>
      <c r="Z2250" s="138" t="str">
        <f>IFERROR(__xludf.DUMMYFUNCTION("""COMPUTED_VALUE"""),"Excellent")</f>
        <v>Excellent</v>
      </c>
      <c r="AA2250" s="138" t="str">
        <f>IFERROR(__xludf.DUMMYFUNCTION("""COMPUTED_VALUE"""),"Poor")</f>
        <v>Poor</v>
      </c>
      <c r="AB2250" s="138" t="str">
        <f>IFERROR(__xludf.DUMMYFUNCTION("""COMPUTED_VALUE"""),"Good")</f>
        <v>Good</v>
      </c>
      <c r="AC2250" s="139">
        <f>IFERROR(__xludf.DUMMYFUNCTION("""COMPUTED_VALUE"""),0.0)</f>
        <v>0</v>
      </c>
      <c r="AD2250" s="139"/>
      <c r="AE2250" s="139"/>
      <c r="AF2250" s="140"/>
      <c r="AG2250" s="136" t="str">
        <f>IFERROR(__xludf.DUMMYFUNCTION("""COMPUTED_VALUE"""),"Picking up at 4pm today at Westmont")</f>
        <v>Picking up at 4pm today at Westmont</v>
      </c>
      <c r="AH2250" s="157">
        <f>IFERROR(__xludf.DUMMYFUNCTION("""COMPUTED_VALUE"""),43448.8885541088)</f>
        <v>43448.88855</v>
      </c>
      <c r="AI2250" s="138"/>
      <c r="AJ2250" s="138"/>
      <c r="AK2250" s="138"/>
      <c r="AL2250" s="142"/>
    </row>
    <row r="2251" ht="20.25" customHeight="1">
      <c r="A2251" s="155" t="str">
        <f>IFERROR(__xludf.DUMMYFUNCTION("""COMPUTED_VALUE"""),"jxntntesla")</f>
        <v>jxntntesla</v>
      </c>
      <c r="B2251" s="149" t="str">
        <f>IFERROR(__xludf.DUMMYFUNCTION("""COMPUTED_VALUE"""),"Jackson")</f>
        <v>Jackson</v>
      </c>
      <c r="C2251" s="149" t="str">
        <f>IFERROR(__xludf.DUMMYFUNCTION("""COMPUTED_VALUE"""),"TN")</f>
        <v>TN</v>
      </c>
      <c r="D2251" s="149" t="str">
        <f>IFERROR(__xludf.DUMMYFUNCTION("""COMPUTED_VALUE"""),"USA")</f>
        <v>USA</v>
      </c>
      <c r="E2251" s="156">
        <f>IFERROR(__xludf.DUMMYFUNCTION("""COMPUTED_VALUE"""),43394.0)</f>
        <v>43394</v>
      </c>
      <c r="F2251" s="129">
        <f>IFERROR(__xludf.DUMMYFUNCTION("""COMPUTED_VALUE"""),43429.0)</f>
        <v>43429</v>
      </c>
      <c r="G2251" s="154"/>
      <c r="H2251" s="131">
        <f>IFERROR(__xludf.DUMMYFUNCTION("""COMPUTED_VALUE"""),153455.0)</f>
        <v>153455</v>
      </c>
      <c r="I2251" s="144"/>
      <c r="J2251" s="129">
        <f>IFERROR(__xludf.DUMMYFUNCTION("""COMPUTED_VALUE"""),43430.0)</f>
        <v>43430</v>
      </c>
      <c r="K2251" s="133">
        <f>IFERROR(__xludf.DUMMYFUNCTION("""COMPUTED_VALUE"""),35.0)</f>
        <v>35</v>
      </c>
      <c r="L2251" s="133">
        <f>IFERROR(__xludf.DUMMYFUNCTION("""COMPUTED_VALUE"""),1.0)</f>
        <v>1</v>
      </c>
      <c r="M2251" s="133">
        <f>IFERROR(__xludf.DUMMYFUNCTION("""COMPUTED_VALUE"""),36.0)</f>
        <v>36</v>
      </c>
      <c r="N2251" s="152" t="str">
        <f>IFERROR(__xludf.DUMMYFUNCTION("""COMPUTED_VALUE"""),"Model 3 MR")</f>
        <v>Model 3 MR</v>
      </c>
      <c r="O2251" s="152" t="str">
        <f>IFERROR(__xludf.DUMMYFUNCTION("""COMPUTED_VALUE"""),"Midnight Silver Metallic")</f>
        <v>Midnight Silver Metallic</v>
      </c>
      <c r="P2251" s="153" t="str">
        <f>IFERROR(__xludf.DUMMYFUNCTION("""COMPUTED_VALUE"""),"18 inch Aero")</f>
        <v>18 inch Aero</v>
      </c>
      <c r="Q2251" s="152" t="str">
        <f>IFERROR(__xludf.DUMMYFUNCTION("""COMPUTED_VALUE"""),"Black seats")</f>
        <v>Black seats</v>
      </c>
      <c r="R2251" s="149" t="str">
        <f>IFERROR(__xludf.DUMMYFUNCTION("""COMPUTED_VALUE"""),"Enhanced Autopilot")</f>
        <v>Enhanced Autopilot</v>
      </c>
      <c r="S2251" s="149"/>
      <c r="T2251" s="145"/>
      <c r="U2251" s="145"/>
      <c r="V2251" s="145"/>
      <c r="W2251" s="136"/>
      <c r="X2251" s="137" t="str">
        <f>IFERROR(__xludf.DUMMYFUNCTION("""COMPUTED_VALUE"""),"Excellent")</f>
        <v>Excellent</v>
      </c>
      <c r="Y2251" s="138" t="str">
        <f>IFERROR(__xludf.DUMMYFUNCTION("""COMPUTED_VALUE"""),"Excellent")</f>
        <v>Excellent</v>
      </c>
      <c r="Z2251" s="138" t="str">
        <f>IFERROR(__xludf.DUMMYFUNCTION("""COMPUTED_VALUE"""),"Excellent")</f>
        <v>Excellent</v>
      </c>
      <c r="AA2251" s="138" t="str">
        <f>IFERROR(__xludf.DUMMYFUNCTION("""COMPUTED_VALUE"""),"Excellent")</f>
        <v>Excellent</v>
      </c>
      <c r="AB2251" s="138" t="str">
        <f>IFERROR(__xludf.DUMMYFUNCTION("""COMPUTED_VALUE"""),"Excellent")</f>
        <v>Excellent</v>
      </c>
      <c r="AC2251" s="139">
        <f>IFERROR(__xludf.DUMMYFUNCTION("""COMPUTED_VALUE"""),0.0)</f>
        <v>0</v>
      </c>
      <c r="AD2251" s="139">
        <f>IFERROR(__xludf.DUMMYFUNCTION("""COMPUTED_VALUE"""),0.0)</f>
        <v>0</v>
      </c>
      <c r="AE2251" s="139">
        <f>IFERROR(__xludf.DUMMYFUNCTION("""COMPUTED_VALUE"""),0.0)</f>
        <v>0</v>
      </c>
      <c r="AF2251" s="140"/>
      <c r="AG2251" s="136"/>
      <c r="AH2251" s="157">
        <f>IFERROR(__xludf.DUMMYFUNCTION("""COMPUTED_VALUE"""),43436.57289104167)</f>
        <v>43436.57289</v>
      </c>
      <c r="AI2251" s="138"/>
      <c r="AJ2251" s="138"/>
      <c r="AK2251" s="138"/>
      <c r="AL2251" s="142"/>
    </row>
    <row r="2252" ht="20.25" customHeight="1">
      <c r="A2252" s="155" t="str">
        <f>IFERROR(__xludf.DUMMYFUNCTION("""COMPUTED_VALUE"""),"mxl")</f>
        <v>mxl</v>
      </c>
      <c r="B2252" s="149" t="str">
        <f>IFERROR(__xludf.DUMMYFUNCTION("""COMPUTED_VALUE"""),"Harrisburg")</f>
        <v>Harrisburg</v>
      </c>
      <c r="C2252" s="149" t="str">
        <f>IFERROR(__xludf.DUMMYFUNCTION("""COMPUTED_VALUE"""),"PA")</f>
        <v>PA</v>
      </c>
      <c r="D2252" s="149" t="str">
        <f>IFERROR(__xludf.DUMMYFUNCTION("""COMPUTED_VALUE"""),"USA")</f>
        <v>USA</v>
      </c>
      <c r="E2252" s="156">
        <f>IFERROR(__xludf.DUMMYFUNCTION("""COMPUTED_VALUE"""),43394.0)</f>
        <v>43394</v>
      </c>
      <c r="F2252" s="129">
        <f>IFERROR(__xludf.DUMMYFUNCTION("""COMPUTED_VALUE"""),43422.0)</f>
        <v>43422</v>
      </c>
      <c r="G2252" s="154"/>
      <c r="H2252" s="131">
        <f>IFERROR(__xludf.DUMMYFUNCTION("""COMPUTED_VALUE"""),153255.0)</f>
        <v>153255</v>
      </c>
      <c r="I2252" s="144" t="str">
        <f>IFERROR(__xludf.DUMMYFUNCTION("""COMPUTED_VALUE"""),"11/18")</f>
        <v>11/18</v>
      </c>
      <c r="J2252" s="129">
        <f>IFERROR(__xludf.DUMMYFUNCTION("""COMPUTED_VALUE"""),43428.0)</f>
        <v>43428</v>
      </c>
      <c r="K2252" s="133">
        <f>IFERROR(__xludf.DUMMYFUNCTION("""COMPUTED_VALUE"""),28.0)</f>
        <v>28</v>
      </c>
      <c r="L2252" s="133">
        <f>IFERROR(__xludf.DUMMYFUNCTION("""COMPUTED_VALUE"""),6.0)</f>
        <v>6</v>
      </c>
      <c r="M2252" s="133">
        <f>IFERROR(__xludf.DUMMYFUNCTION("""COMPUTED_VALUE"""),34.0)</f>
        <v>34</v>
      </c>
      <c r="N2252" s="152" t="str">
        <f>IFERROR(__xludf.DUMMYFUNCTION("""COMPUTED_VALUE"""),"Model 3 MR")</f>
        <v>Model 3 MR</v>
      </c>
      <c r="O2252" s="152" t="str">
        <f>IFERROR(__xludf.DUMMYFUNCTION("""COMPUTED_VALUE"""),"Pearl White Multi-Coat")</f>
        <v>Pearl White Multi-Coat</v>
      </c>
      <c r="P2252" s="153" t="str">
        <f>IFERROR(__xludf.DUMMYFUNCTION("""COMPUTED_VALUE"""),"18 inch Aero")</f>
        <v>18 inch Aero</v>
      </c>
      <c r="Q2252" s="152" t="str">
        <f>IFERROR(__xludf.DUMMYFUNCTION("""COMPUTED_VALUE"""),"Black seats")</f>
        <v>Black seats</v>
      </c>
      <c r="R2252" s="149" t="str">
        <f>IFERROR(__xludf.DUMMYFUNCTION("""COMPUTED_VALUE"""),"Enhanced Autopilot")</f>
        <v>Enhanced Autopilot</v>
      </c>
      <c r="S2252" s="149"/>
      <c r="T2252" s="145"/>
      <c r="U2252" s="145"/>
      <c r="V2252" s="145"/>
      <c r="W2252" s="136"/>
      <c r="X2252" s="137" t="str">
        <f>IFERROR(__xludf.DUMMYFUNCTION("""COMPUTED_VALUE"""),"Excellent")</f>
        <v>Excellent</v>
      </c>
      <c r="Y2252" s="138" t="str">
        <f>IFERROR(__xludf.DUMMYFUNCTION("""COMPUTED_VALUE"""),"Excellent")</f>
        <v>Excellent</v>
      </c>
      <c r="Z2252" s="138" t="str">
        <f>IFERROR(__xludf.DUMMYFUNCTION("""COMPUTED_VALUE"""),"Excellent")</f>
        <v>Excellent</v>
      </c>
      <c r="AA2252" s="138" t="str">
        <f>IFERROR(__xludf.DUMMYFUNCTION("""COMPUTED_VALUE"""),"Poor")</f>
        <v>Poor</v>
      </c>
      <c r="AB2252" s="138" t="str">
        <f>IFERROR(__xludf.DUMMYFUNCTION("""COMPUTED_VALUE"""),"Poor")</f>
        <v>Poor</v>
      </c>
      <c r="AC2252" s="139">
        <f>IFERROR(__xludf.DUMMYFUNCTION("""COMPUTED_VALUE"""),0.0)</f>
        <v>0</v>
      </c>
      <c r="AD2252" s="139"/>
      <c r="AE2252" s="139"/>
      <c r="AF2252" s="140"/>
      <c r="AG2252" s="136" t="str">
        <f>IFERROR(__xludf.DUMMYFUNCTION("""COMPUTED_VALUE"""),"Pre delivery payments not deducted from MVPA and total purchase price")</f>
        <v>Pre delivery payments not deducted from MVPA and total purchase price</v>
      </c>
      <c r="AH2252" s="157">
        <f>IFERROR(__xludf.DUMMYFUNCTION("""COMPUTED_VALUE"""),43436.854507187505)</f>
        <v>43436.85451</v>
      </c>
      <c r="AI2252" s="138"/>
      <c r="AJ2252" s="138"/>
      <c r="AK2252" s="138"/>
      <c r="AL2252" s="142"/>
    </row>
    <row r="2253" ht="20.25" customHeight="1">
      <c r="A2253" s="155" t="str">
        <f>IFERROR(__xludf.DUMMYFUNCTION("""COMPUTED_VALUE"""),"rcanini")</f>
        <v>rcanini</v>
      </c>
      <c r="B2253" s="149" t="str">
        <f>IFERROR(__xludf.DUMMYFUNCTION("""COMPUTED_VALUE"""),"Weston")</f>
        <v>Weston</v>
      </c>
      <c r="C2253" s="149" t="str">
        <f>IFERROR(__xludf.DUMMYFUNCTION("""COMPUTED_VALUE"""),"FL")</f>
        <v>FL</v>
      </c>
      <c r="D2253" s="149" t="str">
        <f>IFERROR(__xludf.DUMMYFUNCTION("""COMPUTED_VALUE"""),"USA")</f>
        <v>USA</v>
      </c>
      <c r="E2253" s="156">
        <f>IFERROR(__xludf.DUMMYFUNCTION("""COMPUTED_VALUE"""),43394.0)</f>
        <v>43394</v>
      </c>
      <c r="F2253" s="129">
        <f>IFERROR(__xludf.DUMMYFUNCTION("""COMPUTED_VALUE"""),43418.0)</f>
        <v>43418</v>
      </c>
      <c r="G2253" s="154"/>
      <c r="H2253" s="131">
        <f>IFERROR(__xludf.DUMMYFUNCTION("""COMPUTED_VALUE"""),175855.0)</f>
        <v>175855</v>
      </c>
      <c r="I2253" s="144" t="str">
        <f>IFERROR(__xludf.DUMMYFUNCTION("""COMPUTED_VALUE"""),"11/18")</f>
        <v>11/18</v>
      </c>
      <c r="J2253" s="129">
        <f>IFERROR(__xludf.DUMMYFUNCTION("""COMPUTED_VALUE"""),43439.0)</f>
        <v>43439</v>
      </c>
      <c r="K2253" s="133">
        <f>IFERROR(__xludf.DUMMYFUNCTION("""COMPUTED_VALUE"""),24.0)</f>
        <v>24</v>
      </c>
      <c r="L2253" s="133">
        <f>IFERROR(__xludf.DUMMYFUNCTION("""COMPUTED_VALUE"""),21.0)</f>
        <v>21</v>
      </c>
      <c r="M2253" s="133">
        <f>IFERROR(__xludf.DUMMYFUNCTION("""COMPUTED_VALUE"""),45.0)</f>
        <v>45</v>
      </c>
      <c r="N2253" s="152" t="str">
        <f>IFERROR(__xludf.DUMMYFUNCTION("""COMPUTED_VALUE"""),"Model 3 MR")</f>
        <v>Model 3 MR</v>
      </c>
      <c r="O2253" s="152" t="str">
        <f>IFERROR(__xludf.DUMMYFUNCTION("""COMPUTED_VALUE"""),"Solid Black")</f>
        <v>Solid Black</v>
      </c>
      <c r="P2253" s="153" t="str">
        <f>IFERROR(__xludf.DUMMYFUNCTION("""COMPUTED_VALUE"""),"19 inch Sport")</f>
        <v>19 inch Sport</v>
      </c>
      <c r="Q2253" s="152" t="str">
        <f>IFERROR(__xludf.DUMMYFUNCTION("""COMPUTED_VALUE"""),"Black seats")</f>
        <v>Black seats</v>
      </c>
      <c r="R2253" s="149" t="str">
        <f>IFERROR(__xludf.DUMMYFUNCTION("""COMPUTED_VALUE"""),"None")</f>
        <v>None</v>
      </c>
      <c r="S2253" s="149"/>
      <c r="T2253" s="145"/>
      <c r="U2253" s="145"/>
      <c r="V2253" s="145"/>
      <c r="W2253" s="136"/>
      <c r="X2253" s="137" t="str">
        <f>IFERROR(__xludf.DUMMYFUNCTION("""COMPUTED_VALUE"""),"Excellent")</f>
        <v>Excellent</v>
      </c>
      <c r="Y2253" s="138" t="str">
        <f>IFERROR(__xludf.DUMMYFUNCTION("""COMPUTED_VALUE"""),"Excellent")</f>
        <v>Excellent</v>
      </c>
      <c r="Z2253" s="138" t="str">
        <f>IFERROR(__xludf.DUMMYFUNCTION("""COMPUTED_VALUE"""),"Excellent")</f>
        <v>Excellent</v>
      </c>
      <c r="AA2253" s="138" t="str">
        <f>IFERROR(__xludf.DUMMYFUNCTION("""COMPUTED_VALUE"""),"Very Good")</f>
        <v>Very Good</v>
      </c>
      <c r="AB2253" s="138" t="str">
        <f>IFERROR(__xludf.DUMMYFUNCTION("""COMPUTED_VALUE"""),"Excellent")</f>
        <v>Excellent</v>
      </c>
      <c r="AC2253" s="139">
        <f>IFERROR(__xludf.DUMMYFUNCTION("""COMPUTED_VALUE"""),3.0)</f>
        <v>3</v>
      </c>
      <c r="AD2253" s="139">
        <f>IFERROR(__xludf.DUMMYFUNCTION("""COMPUTED_VALUE"""),1.0)</f>
        <v>1</v>
      </c>
      <c r="AE2253" s="139">
        <f>IFERROR(__xludf.DUMMYFUNCTION("""COMPUTED_VALUE"""),2.0)</f>
        <v>2</v>
      </c>
      <c r="AF2253" s="140"/>
      <c r="AG2253" s="136"/>
      <c r="AH2253" s="157">
        <f>IFERROR(__xludf.DUMMYFUNCTION("""COMPUTED_VALUE"""),43472.242692210646)</f>
        <v>43472.24269</v>
      </c>
      <c r="AI2253" s="138"/>
      <c r="AJ2253" s="138"/>
      <c r="AK2253" s="138"/>
      <c r="AL2253" s="142"/>
    </row>
    <row r="2254" ht="20.25" customHeight="1">
      <c r="A2254" s="155" t="str">
        <f>IFERROR(__xludf.DUMMYFUNCTION("""COMPUTED_VALUE"""),"rfcar8")</f>
        <v>rfcar8</v>
      </c>
      <c r="B2254" s="149" t="str">
        <f>IFERROR(__xludf.DUMMYFUNCTION("""COMPUTED_VALUE"""),"LA")</f>
        <v>LA</v>
      </c>
      <c r="C2254" s="149" t="str">
        <f>IFERROR(__xludf.DUMMYFUNCTION("""COMPUTED_VALUE"""),"CA")</f>
        <v>CA</v>
      </c>
      <c r="D2254" s="149" t="str">
        <f>IFERROR(__xludf.DUMMYFUNCTION("""COMPUTED_VALUE"""),"USA")</f>
        <v>USA</v>
      </c>
      <c r="E2254" s="156">
        <f>IFERROR(__xludf.DUMMYFUNCTION("""COMPUTED_VALUE"""),43394.0)</f>
        <v>43394</v>
      </c>
      <c r="F2254" s="129">
        <f>IFERROR(__xludf.DUMMYFUNCTION("""COMPUTED_VALUE"""),43444.0)</f>
        <v>43444</v>
      </c>
      <c r="G2254" s="154"/>
      <c r="H2254" s="131">
        <f>IFERROR(__xludf.DUMMYFUNCTION("""COMPUTED_VALUE"""),157755.0)</f>
        <v>157755</v>
      </c>
      <c r="I2254" s="144"/>
      <c r="J2254" s="129">
        <f>IFERROR(__xludf.DUMMYFUNCTION("""COMPUTED_VALUE"""),43447.0)</f>
        <v>43447</v>
      </c>
      <c r="K2254" s="133">
        <f>IFERROR(__xludf.DUMMYFUNCTION("""COMPUTED_VALUE"""),50.0)</f>
        <v>50</v>
      </c>
      <c r="L2254" s="133">
        <f>IFERROR(__xludf.DUMMYFUNCTION("""COMPUTED_VALUE"""),3.0)</f>
        <v>3</v>
      </c>
      <c r="M2254" s="133">
        <f>IFERROR(__xludf.DUMMYFUNCTION("""COMPUTED_VALUE"""),53.0)</f>
        <v>53</v>
      </c>
      <c r="N2254" s="152" t="str">
        <f>IFERROR(__xludf.DUMMYFUNCTION("""COMPUTED_VALUE"""),"Model 3 MR")</f>
        <v>Model 3 MR</v>
      </c>
      <c r="O2254" s="152" t="str">
        <f>IFERROR(__xludf.DUMMYFUNCTION("""COMPUTED_VALUE"""),"Midnight Silver Metallic")</f>
        <v>Midnight Silver Metallic</v>
      </c>
      <c r="P2254" s="153" t="str">
        <f>IFERROR(__xludf.DUMMYFUNCTION("""COMPUTED_VALUE"""),"18 inch Aero")</f>
        <v>18 inch Aero</v>
      </c>
      <c r="Q2254" s="152" t="str">
        <f>IFERROR(__xludf.DUMMYFUNCTION("""COMPUTED_VALUE"""),"Black seats")</f>
        <v>Black seats</v>
      </c>
      <c r="R2254" s="149" t="str">
        <f>IFERROR(__xludf.DUMMYFUNCTION("""COMPUTED_VALUE"""),"Enhanced Autopilot")</f>
        <v>Enhanced Autopilot</v>
      </c>
      <c r="S2254" s="149"/>
      <c r="T2254" s="145"/>
      <c r="U2254" s="145"/>
      <c r="V2254" s="145"/>
      <c r="W2254" s="136"/>
      <c r="X2254" s="137" t="str">
        <f>IFERROR(__xludf.DUMMYFUNCTION("""COMPUTED_VALUE"""),"Excellent")</f>
        <v>Excellent</v>
      </c>
      <c r="Y2254" s="138" t="str">
        <f>IFERROR(__xludf.DUMMYFUNCTION("""COMPUTED_VALUE"""),"Excellent")</f>
        <v>Excellent</v>
      </c>
      <c r="Z2254" s="138" t="str">
        <f>IFERROR(__xludf.DUMMYFUNCTION("""COMPUTED_VALUE"""),"Excellent")</f>
        <v>Excellent</v>
      </c>
      <c r="AA2254" s="138" t="str">
        <f>IFERROR(__xludf.DUMMYFUNCTION("""COMPUTED_VALUE"""),"Good")</f>
        <v>Good</v>
      </c>
      <c r="AB2254" s="138" t="str">
        <f>IFERROR(__xludf.DUMMYFUNCTION("""COMPUTED_VALUE"""),"Excellent")</f>
        <v>Excellent</v>
      </c>
      <c r="AC2254" s="139"/>
      <c r="AD2254" s="139"/>
      <c r="AE2254" s="139"/>
      <c r="AF2254" s="140"/>
      <c r="AG2254" s="136" t="str">
        <f>IFERROR(__xludf.DUMMYFUNCTION("""COMPUTED_VALUE"""),"Driver's seat had issue but was fixed during delivery appointment")</f>
        <v>Driver's seat had issue but was fixed during delivery appointment</v>
      </c>
      <c r="AH2254" s="157">
        <f>IFERROR(__xludf.DUMMYFUNCTION("""COMPUTED_VALUE"""),43447.69892978009)</f>
        <v>43447.69893</v>
      </c>
      <c r="AI2254" s="138"/>
      <c r="AJ2254" s="138"/>
      <c r="AK2254" s="138"/>
      <c r="AL2254" s="142"/>
    </row>
    <row r="2255" ht="20.25" customHeight="1">
      <c r="A2255" s="155" t="str">
        <f>IFERROR(__xludf.DUMMYFUNCTION("""COMPUTED_VALUE"""),"ServoWHU42")</f>
        <v>ServoWHU42</v>
      </c>
      <c r="B2255" s="149" t="str">
        <f>IFERROR(__xludf.DUMMYFUNCTION("""COMPUTED_VALUE"""),"Cleveland")</f>
        <v>Cleveland</v>
      </c>
      <c r="C2255" s="149" t="str">
        <f>IFERROR(__xludf.DUMMYFUNCTION("""COMPUTED_VALUE"""),"OH")</f>
        <v>OH</v>
      </c>
      <c r="D2255" s="149" t="str">
        <f>IFERROR(__xludf.DUMMYFUNCTION("""COMPUTED_VALUE"""),"USA")</f>
        <v>USA</v>
      </c>
      <c r="E2255" s="156">
        <f>IFERROR(__xludf.DUMMYFUNCTION("""COMPUTED_VALUE"""),43394.0)</f>
        <v>43394</v>
      </c>
      <c r="F2255" s="129">
        <f>IFERROR(__xludf.DUMMYFUNCTION("""COMPUTED_VALUE"""),43437.0)</f>
        <v>43437</v>
      </c>
      <c r="G2255" s="154"/>
      <c r="H2255" s="131">
        <f>IFERROR(__xludf.DUMMYFUNCTION("""COMPUTED_VALUE"""),151892.0)</f>
        <v>151892</v>
      </c>
      <c r="I2255" s="144"/>
      <c r="J2255" s="129">
        <f>IFERROR(__xludf.DUMMYFUNCTION("""COMPUTED_VALUE"""),43442.0)</f>
        <v>43442</v>
      </c>
      <c r="K2255" s="133">
        <f>IFERROR(__xludf.DUMMYFUNCTION("""COMPUTED_VALUE"""),43.0)</f>
        <v>43</v>
      </c>
      <c r="L2255" s="133">
        <f>IFERROR(__xludf.DUMMYFUNCTION("""COMPUTED_VALUE"""),5.0)</f>
        <v>5</v>
      </c>
      <c r="M2255" s="133">
        <f>IFERROR(__xludf.DUMMYFUNCTION("""COMPUTED_VALUE"""),48.0)</f>
        <v>48</v>
      </c>
      <c r="N2255" s="152" t="str">
        <f>IFERROR(__xludf.DUMMYFUNCTION("""COMPUTED_VALUE"""),"Model 3 MR")</f>
        <v>Model 3 MR</v>
      </c>
      <c r="O2255" s="152" t="str">
        <f>IFERROR(__xludf.DUMMYFUNCTION("""COMPUTED_VALUE"""),"Solid Black")</f>
        <v>Solid Black</v>
      </c>
      <c r="P2255" s="153" t="str">
        <f>IFERROR(__xludf.DUMMYFUNCTION("""COMPUTED_VALUE"""),"18 inch Aero")</f>
        <v>18 inch Aero</v>
      </c>
      <c r="Q2255" s="152" t="str">
        <f>IFERROR(__xludf.DUMMYFUNCTION("""COMPUTED_VALUE"""),"Black seats")</f>
        <v>Black seats</v>
      </c>
      <c r="R2255" s="149" t="str">
        <f>IFERROR(__xludf.DUMMYFUNCTION("""COMPUTED_VALUE"""),"None")</f>
        <v>None</v>
      </c>
      <c r="S2255" s="149"/>
      <c r="T2255" s="145"/>
      <c r="U2255" s="145"/>
      <c r="V2255" s="145"/>
      <c r="W2255" s="136"/>
      <c r="X2255" s="137" t="str">
        <f>IFERROR(__xludf.DUMMYFUNCTION("""COMPUTED_VALUE"""),"Very Good")</f>
        <v>Very Good</v>
      </c>
      <c r="Y2255" s="138" t="str">
        <f>IFERROR(__xludf.DUMMYFUNCTION("""COMPUTED_VALUE"""),"Excellent")</f>
        <v>Excellent</v>
      </c>
      <c r="Z2255" s="138" t="str">
        <f>IFERROR(__xludf.DUMMYFUNCTION("""COMPUTED_VALUE"""),"Excellent")</f>
        <v>Excellent</v>
      </c>
      <c r="AA2255" s="138" t="str">
        <f>IFERROR(__xludf.DUMMYFUNCTION("""COMPUTED_VALUE"""),"Fair")</f>
        <v>Fair</v>
      </c>
      <c r="AB2255" s="138" t="str">
        <f>IFERROR(__xludf.DUMMYFUNCTION("""COMPUTED_VALUE"""),"Excellent")</f>
        <v>Excellent</v>
      </c>
      <c r="AC2255" s="139"/>
      <c r="AD2255" s="139"/>
      <c r="AE2255" s="139"/>
      <c r="AF2255" s="140"/>
      <c r="AG2255" s="136"/>
      <c r="AH2255" s="157">
        <f>IFERROR(__xludf.DUMMYFUNCTION("""COMPUTED_VALUE"""),43443.318686342594)</f>
        <v>43443.31869</v>
      </c>
      <c r="AI2255" s="138"/>
      <c r="AJ2255" s="138"/>
      <c r="AK2255" s="138"/>
      <c r="AL2255" s="142"/>
    </row>
    <row r="2256" ht="20.25" customHeight="1">
      <c r="A2256" s="155" t="str">
        <f>IFERROR(__xludf.DUMMYFUNCTION("""COMPUTED_VALUE"""),"TT")</f>
        <v>TT</v>
      </c>
      <c r="B2256" s="149" t="str">
        <f>IFERROR(__xludf.DUMMYFUNCTION("""COMPUTED_VALUE"""),"Orange County")</f>
        <v>Orange County</v>
      </c>
      <c r="C2256" s="149" t="str">
        <f>IFERROR(__xludf.DUMMYFUNCTION("""COMPUTED_VALUE"""),"CA")</f>
        <v>CA</v>
      </c>
      <c r="D2256" s="149" t="str">
        <f>IFERROR(__xludf.DUMMYFUNCTION("""COMPUTED_VALUE"""),"USA")</f>
        <v>USA</v>
      </c>
      <c r="E2256" s="156">
        <f>IFERROR(__xludf.DUMMYFUNCTION("""COMPUTED_VALUE"""),43394.0)</f>
        <v>43394</v>
      </c>
      <c r="F2256" s="129">
        <f>IFERROR(__xludf.DUMMYFUNCTION("""COMPUTED_VALUE"""),43429.0)</f>
        <v>43429</v>
      </c>
      <c r="G2256" s="154"/>
      <c r="H2256" s="131">
        <f>IFERROR(__xludf.DUMMYFUNCTION("""COMPUTED_VALUE"""),12555.0)</f>
        <v>12555</v>
      </c>
      <c r="I2256" s="144" t="str">
        <f>IFERROR(__xludf.DUMMYFUNCTION("""COMPUTED_VALUE"""),"11/18")</f>
        <v>11/18</v>
      </c>
      <c r="J2256" s="129">
        <f>IFERROR(__xludf.DUMMYFUNCTION("""COMPUTED_VALUE"""),43432.0)</f>
        <v>43432</v>
      </c>
      <c r="K2256" s="133">
        <f>IFERROR(__xludf.DUMMYFUNCTION("""COMPUTED_VALUE"""),35.0)</f>
        <v>35</v>
      </c>
      <c r="L2256" s="133">
        <f>IFERROR(__xludf.DUMMYFUNCTION("""COMPUTED_VALUE"""),3.0)</f>
        <v>3</v>
      </c>
      <c r="M2256" s="133">
        <f>IFERROR(__xludf.DUMMYFUNCTION("""COMPUTED_VALUE"""),38.0)</f>
        <v>38</v>
      </c>
      <c r="N2256" s="152" t="str">
        <f>IFERROR(__xludf.DUMMYFUNCTION("""COMPUTED_VALUE"""),"Model 3 LR")</f>
        <v>Model 3 LR</v>
      </c>
      <c r="O2256" s="152" t="str">
        <f>IFERROR(__xludf.DUMMYFUNCTION("""COMPUTED_VALUE"""),"Deep Blue Metallic")</f>
        <v>Deep Blue Metallic</v>
      </c>
      <c r="P2256" s="153" t="str">
        <f>IFERROR(__xludf.DUMMYFUNCTION("""COMPUTED_VALUE"""),"18 inch Aero")</f>
        <v>18 inch Aero</v>
      </c>
      <c r="Q2256" s="152" t="str">
        <f>IFERROR(__xludf.DUMMYFUNCTION("""COMPUTED_VALUE"""),"Black seats")</f>
        <v>Black seats</v>
      </c>
      <c r="R2256" s="149" t="str">
        <f>IFERROR(__xludf.DUMMYFUNCTION("""COMPUTED_VALUE"""),"None")</f>
        <v>None</v>
      </c>
      <c r="S2256" s="149"/>
      <c r="T2256" s="145"/>
      <c r="U2256" s="145"/>
      <c r="V2256" s="145"/>
      <c r="W2256" s="136"/>
      <c r="X2256" s="137" t="str">
        <f>IFERROR(__xludf.DUMMYFUNCTION("""COMPUTED_VALUE"""),"Excellent")</f>
        <v>Excellent</v>
      </c>
      <c r="Y2256" s="138" t="str">
        <f>IFERROR(__xludf.DUMMYFUNCTION("""COMPUTED_VALUE"""),"Excellent")</f>
        <v>Excellent</v>
      </c>
      <c r="Z2256" s="138" t="str">
        <f>IFERROR(__xludf.DUMMYFUNCTION("""COMPUTED_VALUE"""),"Very Good")</f>
        <v>Very Good</v>
      </c>
      <c r="AA2256" s="138" t="str">
        <f>IFERROR(__xludf.DUMMYFUNCTION("""COMPUTED_VALUE"""),"Good")</f>
        <v>Good</v>
      </c>
      <c r="AB2256" s="138" t="str">
        <f>IFERROR(__xludf.DUMMYFUNCTION("""COMPUTED_VALUE"""),"Poor")</f>
        <v>Poor</v>
      </c>
      <c r="AC2256" s="139">
        <f>IFERROR(__xludf.DUMMYFUNCTION("""COMPUTED_VALUE"""),1.0)</f>
        <v>1</v>
      </c>
      <c r="AD2256" s="139"/>
      <c r="AE2256" s="139"/>
      <c r="AF2256" s="140"/>
      <c r="AG2256" s="136"/>
      <c r="AH2256" s="157">
        <f>IFERROR(__xludf.DUMMYFUNCTION("""COMPUTED_VALUE"""),43446.067040648144)</f>
        <v>43446.06704</v>
      </c>
      <c r="AI2256" s="138"/>
      <c r="AJ2256" s="138"/>
      <c r="AK2256" s="138"/>
      <c r="AL2256" s="142"/>
    </row>
    <row r="2257" ht="20.25" customHeight="1">
      <c r="A2257" s="155" t="str">
        <f>IFERROR(__xludf.DUMMYFUNCTION("""COMPUTED_VALUE"""),"V2sj")</f>
        <v>V2sj</v>
      </c>
      <c r="B2257" s="149" t="str">
        <f>IFERROR(__xludf.DUMMYFUNCTION("""COMPUTED_VALUE"""),"San Jose")</f>
        <v>San Jose</v>
      </c>
      <c r="C2257" s="149" t="str">
        <f>IFERROR(__xludf.DUMMYFUNCTION("""COMPUTED_VALUE"""),"CA")</f>
        <v>CA</v>
      </c>
      <c r="D2257" s="149" t="str">
        <f>IFERROR(__xludf.DUMMYFUNCTION("""COMPUTED_VALUE"""),"USA")</f>
        <v>USA</v>
      </c>
      <c r="E2257" s="156">
        <f>IFERROR(__xludf.DUMMYFUNCTION("""COMPUTED_VALUE"""),43394.0)</f>
        <v>43394</v>
      </c>
      <c r="F2257" s="129">
        <f>IFERROR(__xludf.DUMMYFUNCTION("""COMPUTED_VALUE"""),43438.0)</f>
        <v>43438</v>
      </c>
      <c r="G2257" s="154"/>
      <c r="H2257" s="131">
        <f>IFERROR(__xludf.DUMMYFUNCTION("""COMPUTED_VALUE"""),157655.0)</f>
        <v>157655</v>
      </c>
      <c r="I2257" s="144" t="str">
        <f>IFERROR(__xludf.DUMMYFUNCTION("""COMPUTED_VALUE"""),"12/18")</f>
        <v>12/18</v>
      </c>
      <c r="J2257" s="129">
        <f>IFERROR(__xludf.DUMMYFUNCTION("""COMPUTED_VALUE"""),43438.0)</f>
        <v>43438</v>
      </c>
      <c r="K2257" s="133">
        <f>IFERROR(__xludf.DUMMYFUNCTION("""COMPUTED_VALUE"""),44.0)</f>
        <v>44</v>
      </c>
      <c r="L2257" s="133">
        <f>IFERROR(__xludf.DUMMYFUNCTION("""COMPUTED_VALUE"""),0.0)</f>
        <v>0</v>
      </c>
      <c r="M2257" s="133">
        <f>IFERROR(__xludf.DUMMYFUNCTION("""COMPUTED_VALUE"""),44.0)</f>
        <v>44</v>
      </c>
      <c r="N2257" s="152" t="str">
        <f>IFERROR(__xludf.DUMMYFUNCTION("""COMPUTED_VALUE"""),"Model 3 MR")</f>
        <v>Model 3 MR</v>
      </c>
      <c r="O2257" s="152" t="str">
        <f>IFERROR(__xludf.DUMMYFUNCTION("""COMPUTED_VALUE"""),"Midnight Silver Metallic")</f>
        <v>Midnight Silver Metallic</v>
      </c>
      <c r="P2257" s="153" t="str">
        <f>IFERROR(__xludf.DUMMYFUNCTION("""COMPUTED_VALUE"""),"18 inch Aero")</f>
        <v>18 inch Aero</v>
      </c>
      <c r="Q2257" s="152" t="str">
        <f>IFERROR(__xludf.DUMMYFUNCTION("""COMPUTED_VALUE"""),"Black seats")</f>
        <v>Black seats</v>
      </c>
      <c r="R2257" s="149" t="str">
        <f>IFERROR(__xludf.DUMMYFUNCTION("""COMPUTED_VALUE"""),"None")</f>
        <v>None</v>
      </c>
      <c r="S2257" s="149"/>
      <c r="T2257" s="145"/>
      <c r="U2257" s="145"/>
      <c r="V2257" s="145"/>
      <c r="W2257" s="136"/>
      <c r="X2257" s="137" t="str">
        <f>IFERROR(__xludf.DUMMYFUNCTION("""COMPUTED_VALUE"""),"Excellent")</f>
        <v>Excellent</v>
      </c>
      <c r="Y2257" s="138" t="str">
        <f>IFERROR(__xludf.DUMMYFUNCTION("""COMPUTED_VALUE"""),"Excellent")</f>
        <v>Excellent</v>
      </c>
      <c r="Z2257" s="138" t="str">
        <f>IFERROR(__xludf.DUMMYFUNCTION("""COMPUTED_VALUE"""),"Excellent")</f>
        <v>Excellent</v>
      </c>
      <c r="AA2257" s="138" t="str">
        <f>IFERROR(__xludf.DUMMYFUNCTION("""COMPUTED_VALUE"""),"Fair")</f>
        <v>Fair</v>
      </c>
      <c r="AB2257" s="138" t="str">
        <f>IFERROR(__xludf.DUMMYFUNCTION("""COMPUTED_VALUE"""),"Poor")</f>
        <v>Poor</v>
      </c>
      <c r="AC2257" s="139">
        <f>IFERROR(__xludf.DUMMYFUNCTION("""COMPUTED_VALUE"""),0.0)</f>
        <v>0</v>
      </c>
      <c r="AD2257" s="139">
        <f>IFERROR(__xludf.DUMMYFUNCTION("""COMPUTED_VALUE"""),0.0)</f>
        <v>0</v>
      </c>
      <c r="AE2257" s="139">
        <f>IFERROR(__xludf.DUMMYFUNCTION("""COMPUTED_VALUE"""),0.0)</f>
        <v>0</v>
      </c>
      <c r="AF2257" s="140"/>
      <c r="AG2257" s="136"/>
      <c r="AH2257" s="157">
        <f>IFERROR(__xludf.DUMMYFUNCTION("""COMPUTED_VALUE"""),43449.71653927084)</f>
        <v>43449.71654</v>
      </c>
      <c r="AI2257" s="138"/>
      <c r="AJ2257" s="138"/>
      <c r="AK2257" s="138"/>
      <c r="AL2257" s="142"/>
    </row>
    <row r="2258" ht="20.25" customHeight="1">
      <c r="A2258" s="155" t="str">
        <f>IFERROR(__xludf.DUMMYFUNCTION("""COMPUTED_VALUE"""),"ams84")</f>
        <v>ams84</v>
      </c>
      <c r="B2258" s="149" t="str">
        <f>IFERROR(__xludf.DUMMYFUNCTION("""COMPUTED_VALUE"""),"San Jose")</f>
        <v>San Jose</v>
      </c>
      <c r="C2258" s="149" t="str">
        <f>IFERROR(__xludf.DUMMYFUNCTION("""COMPUTED_VALUE"""),"CA")</f>
        <v>CA</v>
      </c>
      <c r="D2258" s="149" t="str">
        <f>IFERROR(__xludf.DUMMYFUNCTION("""COMPUTED_VALUE"""),"USA")</f>
        <v>USA</v>
      </c>
      <c r="E2258" s="156">
        <f>IFERROR(__xludf.DUMMYFUNCTION("""COMPUTED_VALUE"""),43393.0)</f>
        <v>43393</v>
      </c>
      <c r="F2258" s="129">
        <f>IFERROR(__xludf.DUMMYFUNCTION("""COMPUTED_VALUE"""),43440.0)</f>
        <v>43440</v>
      </c>
      <c r="G2258" s="154"/>
      <c r="H2258" s="131">
        <f>IFERROR(__xludf.DUMMYFUNCTION("""COMPUTED_VALUE"""),156055.0)</f>
        <v>156055</v>
      </c>
      <c r="I2258" s="144"/>
      <c r="J2258" s="129">
        <f>IFERROR(__xludf.DUMMYFUNCTION("""COMPUTED_VALUE"""),43441.0)</f>
        <v>43441</v>
      </c>
      <c r="K2258" s="133">
        <f>IFERROR(__xludf.DUMMYFUNCTION("""COMPUTED_VALUE"""),47.0)</f>
        <v>47</v>
      </c>
      <c r="L2258" s="133">
        <f>IFERROR(__xludf.DUMMYFUNCTION("""COMPUTED_VALUE"""),1.0)</f>
        <v>1</v>
      </c>
      <c r="M2258" s="133">
        <f>IFERROR(__xludf.DUMMYFUNCTION("""COMPUTED_VALUE"""),48.0)</f>
        <v>48</v>
      </c>
      <c r="N2258" s="152" t="str">
        <f>IFERROR(__xludf.DUMMYFUNCTION("""COMPUTED_VALUE"""),"Model 3 MR")</f>
        <v>Model 3 MR</v>
      </c>
      <c r="O2258" s="152" t="str">
        <f>IFERROR(__xludf.DUMMYFUNCTION("""COMPUTED_VALUE"""),"Midnight Silver Metallic")</f>
        <v>Midnight Silver Metallic</v>
      </c>
      <c r="P2258" s="153" t="str">
        <f>IFERROR(__xludf.DUMMYFUNCTION("""COMPUTED_VALUE"""),"19 inch Sport")</f>
        <v>19 inch Sport</v>
      </c>
      <c r="Q2258" s="152" t="str">
        <f>IFERROR(__xludf.DUMMYFUNCTION("""COMPUTED_VALUE"""),"White seats")</f>
        <v>White seats</v>
      </c>
      <c r="R2258" s="149" t="str">
        <f>IFERROR(__xludf.DUMMYFUNCTION("""COMPUTED_VALUE"""),"Enhanced Autopilot")</f>
        <v>Enhanced Autopilot</v>
      </c>
      <c r="S2258" s="149"/>
      <c r="T2258" s="145"/>
      <c r="U2258" s="145"/>
      <c r="V2258" s="145"/>
      <c r="W2258" s="136"/>
      <c r="X2258" s="137" t="str">
        <f>IFERROR(__xludf.DUMMYFUNCTION("""COMPUTED_VALUE"""),"Excellent")</f>
        <v>Excellent</v>
      </c>
      <c r="Y2258" s="138" t="str">
        <f>IFERROR(__xludf.DUMMYFUNCTION("""COMPUTED_VALUE"""),"Excellent")</f>
        <v>Excellent</v>
      </c>
      <c r="Z2258" s="138" t="str">
        <f>IFERROR(__xludf.DUMMYFUNCTION("""COMPUTED_VALUE"""),"Very Good")</f>
        <v>Very Good</v>
      </c>
      <c r="AA2258" s="138" t="str">
        <f>IFERROR(__xludf.DUMMYFUNCTION("""COMPUTED_VALUE"""),"Very Good")</f>
        <v>Very Good</v>
      </c>
      <c r="AB2258" s="138" t="str">
        <f>IFERROR(__xludf.DUMMYFUNCTION("""COMPUTED_VALUE"""),"Very Good")</f>
        <v>Very Good</v>
      </c>
      <c r="AC2258" s="139"/>
      <c r="AD2258" s="139"/>
      <c r="AE2258" s="139"/>
      <c r="AF2258" s="140"/>
      <c r="AG2258" s="136"/>
      <c r="AH2258" s="157">
        <f>IFERROR(__xludf.DUMMYFUNCTION("""COMPUTED_VALUE"""),43441.713647048615)</f>
        <v>43441.71365</v>
      </c>
      <c r="AI2258" s="138"/>
      <c r="AJ2258" s="138"/>
      <c r="AK2258" s="138"/>
      <c r="AL2258" s="142"/>
    </row>
    <row r="2259" ht="20.25" customHeight="1">
      <c r="A2259" s="155" t="str">
        <f>IFERROR(__xludf.DUMMYFUNCTION("""COMPUTED_VALUE"""),"batdorf9")</f>
        <v>batdorf9</v>
      </c>
      <c r="B2259" s="149" t="str">
        <f>IFERROR(__xludf.DUMMYFUNCTION("""COMPUTED_VALUE"""),"San Diego")</f>
        <v>San Diego</v>
      </c>
      <c r="C2259" s="149" t="str">
        <f>IFERROR(__xludf.DUMMYFUNCTION("""COMPUTED_VALUE"""),"CA")</f>
        <v>CA</v>
      </c>
      <c r="D2259" s="149" t="str">
        <f>IFERROR(__xludf.DUMMYFUNCTION("""COMPUTED_VALUE"""),"USA")</f>
        <v>USA</v>
      </c>
      <c r="E2259" s="156">
        <f>IFERROR(__xludf.DUMMYFUNCTION("""COMPUTED_VALUE"""),43393.0)</f>
        <v>43393</v>
      </c>
      <c r="F2259" s="129">
        <f>IFERROR(__xludf.DUMMYFUNCTION("""COMPUTED_VALUE"""),43453.0)</f>
        <v>43453</v>
      </c>
      <c r="G2259" s="154"/>
      <c r="H2259" s="131">
        <f>IFERROR(__xludf.DUMMYFUNCTION("""COMPUTED_VALUE"""),156855.0)</f>
        <v>156855</v>
      </c>
      <c r="I2259" s="144"/>
      <c r="J2259" s="129">
        <f>IFERROR(__xludf.DUMMYFUNCTION("""COMPUTED_VALUE"""),43460.0)</f>
        <v>43460</v>
      </c>
      <c r="K2259" s="133">
        <f>IFERROR(__xludf.DUMMYFUNCTION("""COMPUTED_VALUE"""),60.0)</f>
        <v>60</v>
      </c>
      <c r="L2259" s="133">
        <f>IFERROR(__xludf.DUMMYFUNCTION("""COMPUTED_VALUE"""),7.0)</f>
        <v>7</v>
      </c>
      <c r="M2259" s="133">
        <f>IFERROR(__xludf.DUMMYFUNCTION("""COMPUTED_VALUE"""),67.0)</f>
        <v>67</v>
      </c>
      <c r="N2259" s="152" t="str">
        <f>IFERROR(__xludf.DUMMYFUNCTION("""COMPUTED_VALUE"""),"Model 3 MR")</f>
        <v>Model 3 MR</v>
      </c>
      <c r="O2259" s="152" t="str">
        <f>IFERROR(__xludf.DUMMYFUNCTION("""COMPUTED_VALUE"""),"Solid Black")</f>
        <v>Solid Black</v>
      </c>
      <c r="P2259" s="153" t="str">
        <f>IFERROR(__xludf.DUMMYFUNCTION("""COMPUTED_VALUE"""),"18 inch Aero")</f>
        <v>18 inch Aero</v>
      </c>
      <c r="Q2259" s="152" t="str">
        <f>IFERROR(__xludf.DUMMYFUNCTION("""COMPUTED_VALUE"""),"Black seats")</f>
        <v>Black seats</v>
      </c>
      <c r="R2259" s="149" t="str">
        <f>IFERROR(__xludf.DUMMYFUNCTION("""COMPUTED_VALUE"""),"None")</f>
        <v>None</v>
      </c>
      <c r="S2259" s="149"/>
      <c r="T2259" s="145"/>
      <c r="U2259" s="145"/>
      <c r="V2259" s="145"/>
      <c r="W2259" s="136"/>
      <c r="X2259" s="137" t="str">
        <f>IFERROR(__xludf.DUMMYFUNCTION("""COMPUTED_VALUE"""),"Very Good")</f>
        <v>Very Good</v>
      </c>
      <c r="Y2259" s="138" t="str">
        <f>IFERROR(__xludf.DUMMYFUNCTION("""COMPUTED_VALUE"""),"Excellent")</f>
        <v>Excellent</v>
      </c>
      <c r="Z2259" s="138" t="str">
        <f>IFERROR(__xludf.DUMMYFUNCTION("""COMPUTED_VALUE"""),"Good")</f>
        <v>Good</v>
      </c>
      <c r="AA2259" s="138" t="str">
        <f>IFERROR(__xludf.DUMMYFUNCTION("""COMPUTED_VALUE"""),"Very Good")</f>
        <v>Very Good</v>
      </c>
      <c r="AB2259" s="138" t="str">
        <f>IFERROR(__xludf.DUMMYFUNCTION("""COMPUTED_VALUE"""),"Very Good")</f>
        <v>Very Good</v>
      </c>
      <c r="AC2259" s="139"/>
      <c r="AD2259" s="139"/>
      <c r="AE2259" s="139"/>
      <c r="AF2259" s="140"/>
      <c r="AG2259" s="136"/>
      <c r="AH2259" s="157">
        <f>IFERROR(__xludf.DUMMYFUNCTION("""COMPUTED_VALUE"""),43461.50904438657)</f>
        <v>43461.50904</v>
      </c>
      <c r="AI2259" s="138"/>
      <c r="AJ2259" s="138"/>
      <c r="AK2259" s="138"/>
      <c r="AL2259" s="142"/>
    </row>
    <row r="2260" ht="20.25" customHeight="1">
      <c r="A2260" s="155" t="str">
        <f>IFERROR(__xludf.DUMMYFUNCTION("""COMPUTED_VALUE"""),"charley280")</f>
        <v>charley280</v>
      </c>
      <c r="B2260" s="149" t="str">
        <f>IFERROR(__xludf.DUMMYFUNCTION("""COMPUTED_VALUE"""),"SF Bay Area")</f>
        <v>SF Bay Area</v>
      </c>
      <c r="C2260" s="149" t="str">
        <f>IFERROR(__xludf.DUMMYFUNCTION("""COMPUTED_VALUE"""),"CA")</f>
        <v>CA</v>
      </c>
      <c r="D2260" s="149" t="str">
        <f>IFERROR(__xludf.DUMMYFUNCTION("""COMPUTED_VALUE"""),"USA")</f>
        <v>USA</v>
      </c>
      <c r="E2260" s="156">
        <f>IFERROR(__xludf.DUMMYFUNCTION("""COMPUTED_VALUE"""),43393.0)</f>
        <v>43393</v>
      </c>
      <c r="F2260" s="129">
        <f>IFERROR(__xludf.DUMMYFUNCTION("""COMPUTED_VALUE"""),43407.0)</f>
        <v>43407</v>
      </c>
      <c r="G2260" s="154"/>
      <c r="H2260" s="131">
        <f>IFERROR(__xludf.DUMMYFUNCTION("""COMPUTED_VALUE"""),153294.0)</f>
        <v>153294</v>
      </c>
      <c r="I2260" s="144" t="str">
        <f>IFERROR(__xludf.DUMMYFUNCTION("""COMPUTED_VALUE"""),"11/18")</f>
        <v>11/18</v>
      </c>
      <c r="J2260" s="129">
        <f>IFERROR(__xludf.DUMMYFUNCTION("""COMPUTED_VALUE"""),43418.0)</f>
        <v>43418</v>
      </c>
      <c r="K2260" s="133">
        <f>IFERROR(__xludf.DUMMYFUNCTION("""COMPUTED_VALUE"""),14.0)</f>
        <v>14</v>
      </c>
      <c r="L2260" s="133">
        <f>IFERROR(__xludf.DUMMYFUNCTION("""COMPUTED_VALUE"""),11.0)</f>
        <v>11</v>
      </c>
      <c r="M2260" s="133">
        <f>IFERROR(__xludf.DUMMYFUNCTION("""COMPUTED_VALUE"""),25.0)</f>
        <v>25</v>
      </c>
      <c r="N2260" s="152" t="str">
        <f>IFERROR(__xludf.DUMMYFUNCTION("""COMPUTED_VALUE"""),"Model 3 MR")</f>
        <v>Model 3 MR</v>
      </c>
      <c r="O2260" s="152" t="str">
        <f>IFERROR(__xludf.DUMMYFUNCTION("""COMPUTED_VALUE"""),"Midnight Silver Metallic")</f>
        <v>Midnight Silver Metallic</v>
      </c>
      <c r="P2260" s="153" t="str">
        <f>IFERROR(__xludf.DUMMYFUNCTION("""COMPUTED_VALUE"""),"18 inch Aero")</f>
        <v>18 inch Aero</v>
      </c>
      <c r="Q2260" s="152" t="str">
        <f>IFERROR(__xludf.DUMMYFUNCTION("""COMPUTED_VALUE"""),"Black seats")</f>
        <v>Black seats</v>
      </c>
      <c r="R2260" s="149" t="str">
        <f>IFERROR(__xludf.DUMMYFUNCTION("""COMPUTED_VALUE"""),"None")</f>
        <v>None</v>
      </c>
      <c r="S2260" s="149"/>
      <c r="T2260" s="145"/>
      <c r="U2260" s="145"/>
      <c r="V2260" s="145"/>
      <c r="W2260" s="136"/>
      <c r="X2260" s="137" t="str">
        <f>IFERROR(__xludf.DUMMYFUNCTION("""COMPUTED_VALUE"""),"Excellent")</f>
        <v>Excellent</v>
      </c>
      <c r="Y2260" s="138" t="str">
        <f>IFERROR(__xludf.DUMMYFUNCTION("""COMPUTED_VALUE"""),"Excellent")</f>
        <v>Excellent</v>
      </c>
      <c r="Z2260" s="138" t="str">
        <f>IFERROR(__xludf.DUMMYFUNCTION("""COMPUTED_VALUE"""),"Excellent")</f>
        <v>Excellent</v>
      </c>
      <c r="AA2260" s="138" t="str">
        <f>IFERROR(__xludf.DUMMYFUNCTION("""COMPUTED_VALUE"""),"Excellent")</f>
        <v>Excellent</v>
      </c>
      <c r="AB2260" s="138" t="str">
        <f>IFERROR(__xludf.DUMMYFUNCTION("""COMPUTED_VALUE"""),"Excellent")</f>
        <v>Excellent</v>
      </c>
      <c r="AC2260" s="139"/>
      <c r="AD2260" s="139"/>
      <c r="AE2260" s="139"/>
      <c r="AF2260" s="140"/>
      <c r="AG2260" s="136"/>
      <c r="AH2260" s="157">
        <f>IFERROR(__xludf.DUMMYFUNCTION("""COMPUTED_VALUE"""),43420.639875393514)</f>
        <v>43420.63988</v>
      </c>
      <c r="AI2260" s="138"/>
      <c r="AJ2260" s="138"/>
      <c r="AK2260" s="138"/>
      <c r="AL2260" s="142"/>
    </row>
    <row r="2261" ht="20.25" customHeight="1">
      <c r="A2261" s="155" t="str">
        <f>IFERROR(__xludf.DUMMYFUNCTION("""COMPUTED_VALUE"""),"drewpix")</f>
        <v>drewpix</v>
      </c>
      <c r="B2261" s="149" t="str">
        <f>IFERROR(__xludf.DUMMYFUNCTION("""COMPUTED_VALUE"""),"Bay Area")</f>
        <v>Bay Area</v>
      </c>
      <c r="C2261" s="149" t="str">
        <f>IFERROR(__xludf.DUMMYFUNCTION("""COMPUTED_VALUE"""),"CA")</f>
        <v>CA</v>
      </c>
      <c r="D2261" s="149" t="str">
        <f>IFERROR(__xludf.DUMMYFUNCTION("""COMPUTED_VALUE"""),"USA")</f>
        <v>USA</v>
      </c>
      <c r="E2261" s="156">
        <f>IFERROR(__xludf.DUMMYFUNCTION("""COMPUTED_VALUE"""),43393.0)</f>
        <v>43393</v>
      </c>
      <c r="F2261" s="129">
        <f>IFERROR(__xludf.DUMMYFUNCTION("""COMPUTED_VALUE"""),43436.0)</f>
        <v>43436</v>
      </c>
      <c r="G2261" s="154"/>
      <c r="H2261" s="131">
        <f>IFERROR(__xludf.DUMMYFUNCTION("""COMPUTED_VALUE"""),153055.0)</f>
        <v>153055</v>
      </c>
      <c r="I2261" s="144" t="str">
        <f>IFERROR(__xludf.DUMMYFUNCTION("""COMPUTED_VALUE"""),"12/18")</f>
        <v>12/18</v>
      </c>
      <c r="J2261" s="129">
        <f>IFERROR(__xludf.DUMMYFUNCTION("""COMPUTED_VALUE"""),43439.0)</f>
        <v>43439</v>
      </c>
      <c r="K2261" s="133">
        <f>IFERROR(__xludf.DUMMYFUNCTION("""COMPUTED_VALUE"""),43.0)</f>
        <v>43</v>
      </c>
      <c r="L2261" s="133">
        <f>IFERROR(__xludf.DUMMYFUNCTION("""COMPUTED_VALUE"""),3.0)</f>
        <v>3</v>
      </c>
      <c r="M2261" s="133">
        <f>IFERROR(__xludf.DUMMYFUNCTION("""COMPUTED_VALUE"""),46.0)</f>
        <v>46</v>
      </c>
      <c r="N2261" s="152" t="str">
        <f>IFERROR(__xludf.DUMMYFUNCTION("""COMPUTED_VALUE"""),"Model 3 MR")</f>
        <v>Model 3 MR</v>
      </c>
      <c r="O2261" s="152" t="str">
        <f>IFERROR(__xludf.DUMMYFUNCTION("""COMPUTED_VALUE"""),"Pearl White Multi-Coat")</f>
        <v>Pearl White Multi-Coat</v>
      </c>
      <c r="P2261" s="153" t="str">
        <f>IFERROR(__xludf.DUMMYFUNCTION("""COMPUTED_VALUE"""),"18 inch Aero")</f>
        <v>18 inch Aero</v>
      </c>
      <c r="Q2261" s="152" t="str">
        <f>IFERROR(__xludf.DUMMYFUNCTION("""COMPUTED_VALUE"""),"Black seats")</f>
        <v>Black seats</v>
      </c>
      <c r="R2261" s="149" t="str">
        <f>IFERROR(__xludf.DUMMYFUNCTION("""COMPUTED_VALUE"""),"Enhanced Autopilot")</f>
        <v>Enhanced Autopilot</v>
      </c>
      <c r="S2261" s="149"/>
      <c r="T2261" s="145"/>
      <c r="U2261" s="145"/>
      <c r="V2261" s="145"/>
      <c r="W2261" s="136"/>
      <c r="X2261" s="137" t="str">
        <f>IFERROR(__xludf.DUMMYFUNCTION("""COMPUTED_VALUE"""),"Very Good")</f>
        <v>Very Good</v>
      </c>
      <c r="Y2261" s="138" t="str">
        <f>IFERROR(__xludf.DUMMYFUNCTION("""COMPUTED_VALUE"""),"Excellent")</f>
        <v>Excellent</v>
      </c>
      <c r="Z2261" s="138" t="str">
        <f>IFERROR(__xludf.DUMMYFUNCTION("""COMPUTED_VALUE"""),"Good")</f>
        <v>Good</v>
      </c>
      <c r="AA2261" s="138" t="str">
        <f>IFERROR(__xludf.DUMMYFUNCTION("""COMPUTED_VALUE"""),"Poor")</f>
        <v>Poor</v>
      </c>
      <c r="AB2261" s="138" t="str">
        <f>IFERROR(__xludf.DUMMYFUNCTION("""COMPUTED_VALUE"""),"Fair")</f>
        <v>Fair</v>
      </c>
      <c r="AC2261" s="139">
        <f>IFERROR(__xludf.DUMMYFUNCTION("""COMPUTED_VALUE"""),3.0)</f>
        <v>3</v>
      </c>
      <c r="AD2261" s="139"/>
      <c r="AE2261" s="139"/>
      <c r="AF2261" s="140"/>
      <c r="AG2261" s="136"/>
      <c r="AH2261" s="157">
        <f>IFERROR(__xludf.DUMMYFUNCTION("""COMPUTED_VALUE"""),43443.4556681713)</f>
        <v>43443.45567</v>
      </c>
      <c r="AI2261" s="138"/>
      <c r="AJ2261" s="138"/>
      <c r="AK2261" s="138"/>
      <c r="AL2261" s="142"/>
    </row>
    <row r="2262" ht="20.25" customHeight="1">
      <c r="A2262" s="155" t="str">
        <f>IFERROR(__xludf.DUMMYFUNCTION("""COMPUTED_VALUE"""),"EVSONLY")</f>
        <v>EVSONLY</v>
      </c>
      <c r="B2262" s="149" t="str">
        <f>IFERROR(__xludf.DUMMYFUNCTION("""COMPUTED_VALUE"""),"San Diego")</f>
        <v>San Diego</v>
      </c>
      <c r="C2262" s="149" t="str">
        <f>IFERROR(__xludf.DUMMYFUNCTION("""COMPUTED_VALUE"""),"CA")</f>
        <v>CA</v>
      </c>
      <c r="D2262" s="149" t="str">
        <f>IFERROR(__xludf.DUMMYFUNCTION("""COMPUTED_VALUE"""),"USA")</f>
        <v>USA</v>
      </c>
      <c r="E2262" s="156">
        <f>IFERROR(__xludf.DUMMYFUNCTION("""COMPUTED_VALUE"""),43393.0)</f>
        <v>43393</v>
      </c>
      <c r="F2262" s="129">
        <f>IFERROR(__xludf.DUMMYFUNCTION("""COMPUTED_VALUE"""),43443.0)</f>
        <v>43443</v>
      </c>
      <c r="G2262" s="154"/>
      <c r="H2262" s="131">
        <f>IFERROR(__xludf.DUMMYFUNCTION("""COMPUTED_VALUE"""),153863.0)</f>
        <v>153863</v>
      </c>
      <c r="I2262" s="144" t="str">
        <f>IFERROR(__xludf.DUMMYFUNCTION("""COMPUTED_VALUE"""),"12/18")</f>
        <v>12/18</v>
      </c>
      <c r="J2262" s="129">
        <f>IFERROR(__xludf.DUMMYFUNCTION("""COMPUTED_VALUE"""),43446.0)</f>
        <v>43446</v>
      </c>
      <c r="K2262" s="133">
        <f>IFERROR(__xludf.DUMMYFUNCTION("""COMPUTED_VALUE"""),50.0)</f>
        <v>50</v>
      </c>
      <c r="L2262" s="133">
        <f>IFERROR(__xludf.DUMMYFUNCTION("""COMPUTED_VALUE"""),3.0)</f>
        <v>3</v>
      </c>
      <c r="M2262" s="133">
        <f>IFERROR(__xludf.DUMMYFUNCTION("""COMPUTED_VALUE"""),53.0)</f>
        <v>53</v>
      </c>
      <c r="N2262" s="152" t="str">
        <f>IFERROR(__xludf.DUMMYFUNCTION("""COMPUTED_VALUE"""),"Model 3 MR")</f>
        <v>Model 3 MR</v>
      </c>
      <c r="O2262" s="152" t="str">
        <f>IFERROR(__xludf.DUMMYFUNCTION("""COMPUTED_VALUE"""),"Red Multi-Coat")</f>
        <v>Red Multi-Coat</v>
      </c>
      <c r="P2262" s="153" t="str">
        <f>IFERROR(__xludf.DUMMYFUNCTION("""COMPUTED_VALUE"""),"18 inch Aero")</f>
        <v>18 inch Aero</v>
      </c>
      <c r="Q2262" s="152" t="str">
        <f>IFERROR(__xludf.DUMMYFUNCTION("""COMPUTED_VALUE"""),"Black seats")</f>
        <v>Black seats</v>
      </c>
      <c r="R2262" s="149" t="str">
        <f>IFERROR(__xludf.DUMMYFUNCTION("""COMPUTED_VALUE"""),"Enhanced Autopilot")</f>
        <v>Enhanced Autopilot</v>
      </c>
      <c r="S2262" s="149"/>
      <c r="T2262" s="145"/>
      <c r="U2262" s="145"/>
      <c r="V2262" s="145"/>
      <c r="W2262" s="136"/>
      <c r="X2262" s="137" t="str">
        <f>IFERROR(__xludf.DUMMYFUNCTION("""COMPUTED_VALUE"""),"Excellent")</f>
        <v>Excellent</v>
      </c>
      <c r="Y2262" s="138" t="str">
        <f>IFERROR(__xludf.DUMMYFUNCTION("""COMPUTED_VALUE"""),"Excellent")</f>
        <v>Excellent</v>
      </c>
      <c r="Z2262" s="138" t="str">
        <f>IFERROR(__xludf.DUMMYFUNCTION("""COMPUTED_VALUE"""),"Excellent")</f>
        <v>Excellent</v>
      </c>
      <c r="AA2262" s="138" t="str">
        <f>IFERROR(__xludf.DUMMYFUNCTION("""COMPUTED_VALUE"""),"Good")</f>
        <v>Good</v>
      </c>
      <c r="AB2262" s="138" t="str">
        <f>IFERROR(__xludf.DUMMYFUNCTION("""COMPUTED_VALUE"""),"Excellent")</f>
        <v>Excellent</v>
      </c>
      <c r="AC2262" s="139">
        <f>IFERROR(__xludf.DUMMYFUNCTION("""COMPUTED_VALUE"""),0.0)</f>
        <v>0</v>
      </c>
      <c r="AD2262" s="139"/>
      <c r="AE2262" s="139"/>
      <c r="AF2262" s="140"/>
      <c r="AG2262" s="136" t="str">
        <f>IFERROR(__xludf.DUMMYFUNCTION("""COMPUTED_VALUE"""),"Software has frozen twice requiring hard reboot in last week since delivery, once before and after software update.")</f>
        <v>Software has frozen twice requiring hard reboot in last week since delivery, once before and after software update.</v>
      </c>
      <c r="AH2262" s="157">
        <f>IFERROR(__xludf.DUMMYFUNCTION("""COMPUTED_VALUE"""),43451.50214113426)</f>
        <v>43451.50214</v>
      </c>
      <c r="AI2262" s="138"/>
      <c r="AJ2262" s="138"/>
      <c r="AK2262" s="138"/>
      <c r="AL2262" s="142"/>
    </row>
    <row r="2263" ht="20.25" customHeight="1">
      <c r="A2263" s="155" t="str">
        <f>IFERROR(__xludf.DUMMYFUNCTION("""COMPUTED_VALUE"""),"jdn4929")</f>
        <v>jdn4929</v>
      </c>
      <c r="B2263" s="149" t="str">
        <f>IFERROR(__xludf.DUMMYFUNCTION("""COMPUTED_VALUE"""),"Hillsboro")</f>
        <v>Hillsboro</v>
      </c>
      <c r="C2263" s="149" t="str">
        <f>IFERROR(__xludf.DUMMYFUNCTION("""COMPUTED_VALUE"""),"OR")</f>
        <v>OR</v>
      </c>
      <c r="D2263" s="149" t="str">
        <f>IFERROR(__xludf.DUMMYFUNCTION("""COMPUTED_VALUE"""),"USA")</f>
        <v>USA</v>
      </c>
      <c r="E2263" s="156">
        <f>IFERROR(__xludf.DUMMYFUNCTION("""COMPUTED_VALUE"""),43393.0)</f>
        <v>43393</v>
      </c>
      <c r="F2263" s="129">
        <f>IFERROR(__xludf.DUMMYFUNCTION("""COMPUTED_VALUE"""),43445.0)</f>
        <v>43445</v>
      </c>
      <c r="G2263" s="154"/>
      <c r="H2263" s="131">
        <f>IFERROR(__xludf.DUMMYFUNCTION("""COMPUTED_VALUE"""),156955.0)</f>
        <v>156955</v>
      </c>
      <c r="I2263" s="144"/>
      <c r="J2263" s="129">
        <f>IFERROR(__xludf.DUMMYFUNCTION("""COMPUTED_VALUE"""),43451.0)</f>
        <v>43451</v>
      </c>
      <c r="K2263" s="133">
        <f>IFERROR(__xludf.DUMMYFUNCTION("""COMPUTED_VALUE"""),52.0)</f>
        <v>52</v>
      </c>
      <c r="L2263" s="133">
        <f>IFERROR(__xludf.DUMMYFUNCTION("""COMPUTED_VALUE"""),6.0)</f>
        <v>6</v>
      </c>
      <c r="M2263" s="133">
        <f>IFERROR(__xludf.DUMMYFUNCTION("""COMPUTED_VALUE"""),58.0)</f>
        <v>58</v>
      </c>
      <c r="N2263" s="152" t="str">
        <f>IFERROR(__xludf.DUMMYFUNCTION("""COMPUTED_VALUE"""),"Model 3 MR")</f>
        <v>Model 3 MR</v>
      </c>
      <c r="O2263" s="152" t="str">
        <f>IFERROR(__xludf.DUMMYFUNCTION("""COMPUTED_VALUE"""),"Solid Black")</f>
        <v>Solid Black</v>
      </c>
      <c r="P2263" s="153" t="str">
        <f>IFERROR(__xludf.DUMMYFUNCTION("""COMPUTED_VALUE"""),"18 inch Aero")</f>
        <v>18 inch Aero</v>
      </c>
      <c r="Q2263" s="152" t="str">
        <f>IFERROR(__xludf.DUMMYFUNCTION("""COMPUTED_VALUE"""),"Black seats")</f>
        <v>Black seats</v>
      </c>
      <c r="R2263" s="149" t="str">
        <f>IFERROR(__xludf.DUMMYFUNCTION("""COMPUTED_VALUE"""),"Enhanced Autopilot")</f>
        <v>Enhanced Autopilot</v>
      </c>
      <c r="S2263" s="149"/>
      <c r="T2263" s="145"/>
      <c r="U2263" s="145"/>
      <c r="V2263" s="145"/>
      <c r="W2263" s="136"/>
      <c r="X2263" s="137" t="str">
        <f>IFERROR(__xludf.DUMMYFUNCTION("""COMPUTED_VALUE"""),"Very Good")</f>
        <v>Very Good</v>
      </c>
      <c r="Y2263" s="138" t="str">
        <f>IFERROR(__xludf.DUMMYFUNCTION("""COMPUTED_VALUE"""),"Excellent")</f>
        <v>Excellent</v>
      </c>
      <c r="Z2263" s="138" t="str">
        <f>IFERROR(__xludf.DUMMYFUNCTION("""COMPUTED_VALUE"""),"Excellent")</f>
        <v>Excellent</v>
      </c>
      <c r="AA2263" s="138" t="str">
        <f>IFERROR(__xludf.DUMMYFUNCTION("""COMPUTED_VALUE"""),"Poor")</f>
        <v>Poor</v>
      </c>
      <c r="AB2263" s="138" t="str">
        <f>IFERROR(__xludf.DUMMYFUNCTION("""COMPUTED_VALUE"""),"Excellent")</f>
        <v>Excellent</v>
      </c>
      <c r="AC2263" s="139">
        <f>IFERROR(__xludf.DUMMYFUNCTION("""COMPUTED_VALUE"""),0.0)</f>
        <v>0</v>
      </c>
      <c r="AD2263" s="139">
        <f>IFERROR(__xludf.DUMMYFUNCTION("""COMPUTED_VALUE"""),0.0)</f>
        <v>0</v>
      </c>
      <c r="AE2263" s="139">
        <f>IFERROR(__xludf.DUMMYFUNCTION("""COMPUTED_VALUE"""),0.0)</f>
        <v>0</v>
      </c>
      <c r="AF2263" s="140"/>
      <c r="AG2263" s="136"/>
      <c r="AH2263" s="157">
        <f>IFERROR(__xludf.DUMMYFUNCTION("""COMPUTED_VALUE"""),43452.51256743056)</f>
        <v>43452.51257</v>
      </c>
      <c r="AI2263" s="138"/>
      <c r="AJ2263" s="138"/>
      <c r="AK2263" s="138"/>
      <c r="AL2263" s="142"/>
    </row>
    <row r="2264" ht="20.25" customHeight="1">
      <c r="A2264" s="155" t="str">
        <f>IFERROR(__xludf.DUMMYFUNCTION("""COMPUTED_VALUE"""),"La")</f>
        <v>La</v>
      </c>
      <c r="B2264" s="149" t="str">
        <f>IFERROR(__xludf.DUMMYFUNCTION("""COMPUTED_VALUE"""),"Norman")</f>
        <v>Norman</v>
      </c>
      <c r="C2264" s="149" t="str">
        <f>IFERROR(__xludf.DUMMYFUNCTION("""COMPUTED_VALUE"""),"OK")</f>
        <v>OK</v>
      </c>
      <c r="D2264" s="149" t="str">
        <f>IFERROR(__xludf.DUMMYFUNCTION("""COMPUTED_VALUE"""),"USA")</f>
        <v>USA</v>
      </c>
      <c r="E2264" s="156">
        <f>IFERROR(__xludf.DUMMYFUNCTION("""COMPUTED_VALUE"""),43393.0)</f>
        <v>43393</v>
      </c>
      <c r="F2264" s="129">
        <f>IFERROR(__xludf.DUMMYFUNCTION("""COMPUTED_VALUE"""),43445.0)</f>
        <v>43445</v>
      </c>
      <c r="G2264" s="154"/>
      <c r="H2264" s="131">
        <f>IFERROR(__xludf.DUMMYFUNCTION("""COMPUTED_VALUE"""),155455.0)</f>
        <v>155455</v>
      </c>
      <c r="I2264" s="144"/>
      <c r="J2264" s="129">
        <f>IFERROR(__xludf.DUMMYFUNCTION("""COMPUTED_VALUE"""),43456.0)</f>
        <v>43456</v>
      </c>
      <c r="K2264" s="133">
        <f>IFERROR(__xludf.DUMMYFUNCTION("""COMPUTED_VALUE"""),52.0)</f>
        <v>52</v>
      </c>
      <c r="L2264" s="133">
        <f>IFERROR(__xludf.DUMMYFUNCTION("""COMPUTED_VALUE"""),11.0)</f>
        <v>11</v>
      </c>
      <c r="M2264" s="133">
        <f>IFERROR(__xludf.DUMMYFUNCTION("""COMPUTED_VALUE"""),63.0)</f>
        <v>63</v>
      </c>
      <c r="N2264" s="152" t="str">
        <f>IFERROR(__xludf.DUMMYFUNCTION("""COMPUTED_VALUE"""),"Model 3 MR")</f>
        <v>Model 3 MR</v>
      </c>
      <c r="O2264" s="152" t="str">
        <f>IFERROR(__xludf.DUMMYFUNCTION("""COMPUTED_VALUE"""),"Pearl White Multi-Coat")</f>
        <v>Pearl White Multi-Coat</v>
      </c>
      <c r="P2264" s="153" t="str">
        <f>IFERROR(__xludf.DUMMYFUNCTION("""COMPUTED_VALUE"""),"18 inch Aero")</f>
        <v>18 inch Aero</v>
      </c>
      <c r="Q2264" s="152" t="str">
        <f>IFERROR(__xludf.DUMMYFUNCTION("""COMPUTED_VALUE"""),"White seats")</f>
        <v>White seats</v>
      </c>
      <c r="R2264" s="149" t="str">
        <f>IFERROR(__xludf.DUMMYFUNCTION("""COMPUTED_VALUE"""),"Enhanced Autopilot")</f>
        <v>Enhanced Autopilot</v>
      </c>
      <c r="S2264" s="149"/>
      <c r="T2264" s="145"/>
      <c r="U2264" s="145"/>
      <c r="V2264" s="145"/>
      <c r="W2264" s="136"/>
      <c r="X2264" s="137" t="str">
        <f>IFERROR(__xludf.DUMMYFUNCTION("""COMPUTED_VALUE"""),"Excellent")</f>
        <v>Excellent</v>
      </c>
      <c r="Y2264" s="138" t="str">
        <f>IFERROR(__xludf.DUMMYFUNCTION("""COMPUTED_VALUE"""),"Excellent")</f>
        <v>Excellent</v>
      </c>
      <c r="Z2264" s="138" t="str">
        <f>IFERROR(__xludf.DUMMYFUNCTION("""COMPUTED_VALUE"""),"Excellent")</f>
        <v>Excellent</v>
      </c>
      <c r="AA2264" s="138" t="str">
        <f>IFERROR(__xludf.DUMMYFUNCTION("""COMPUTED_VALUE"""),"Good")</f>
        <v>Good</v>
      </c>
      <c r="AB2264" s="138" t="str">
        <f>IFERROR(__xludf.DUMMYFUNCTION("""COMPUTED_VALUE"""),"Excellent")</f>
        <v>Excellent</v>
      </c>
      <c r="AC2264" s="139">
        <f>IFERROR(__xludf.DUMMYFUNCTION("""COMPUTED_VALUE"""),2.0)</f>
        <v>2</v>
      </c>
      <c r="AD2264" s="139">
        <f>IFERROR(__xludf.DUMMYFUNCTION("""COMPUTED_VALUE"""),0.0)</f>
        <v>0</v>
      </c>
      <c r="AE2264" s="139">
        <f>IFERROR(__xludf.DUMMYFUNCTION("""COMPUTED_VALUE"""),0.0)</f>
        <v>0</v>
      </c>
      <c r="AF2264" s="140"/>
      <c r="AG2264" s="136"/>
      <c r="AH2264" s="157">
        <f>IFERROR(__xludf.DUMMYFUNCTION("""COMPUTED_VALUE"""),43465.259630312496)</f>
        <v>43465.25963</v>
      </c>
      <c r="AI2264" s="138"/>
      <c r="AJ2264" s="138"/>
      <c r="AK2264" s="138"/>
      <c r="AL2264" s="142"/>
    </row>
    <row r="2265" ht="20.25" customHeight="1">
      <c r="A2265" s="155" t="str">
        <f>IFERROR(__xludf.DUMMYFUNCTION("""COMPUTED_VALUE"""),"mpm3710")</f>
        <v>mpm3710</v>
      </c>
      <c r="B2265" s="149" t="str">
        <f>IFERROR(__xludf.DUMMYFUNCTION("""COMPUTED_VALUE"""),"Maple Valley")</f>
        <v>Maple Valley</v>
      </c>
      <c r="C2265" s="149" t="str">
        <f>IFERROR(__xludf.DUMMYFUNCTION("""COMPUTED_VALUE"""),"WA")</f>
        <v>WA</v>
      </c>
      <c r="D2265" s="149" t="str">
        <f>IFERROR(__xludf.DUMMYFUNCTION("""COMPUTED_VALUE"""),"USA")</f>
        <v>USA</v>
      </c>
      <c r="E2265" s="156">
        <f>IFERROR(__xludf.DUMMYFUNCTION("""COMPUTED_VALUE"""),43393.0)</f>
        <v>43393</v>
      </c>
      <c r="F2265" s="129">
        <f>IFERROR(__xludf.DUMMYFUNCTION("""COMPUTED_VALUE"""),43443.0)</f>
        <v>43443</v>
      </c>
      <c r="G2265" s="154"/>
      <c r="H2265" s="131">
        <f>IFERROR(__xludf.DUMMYFUNCTION("""COMPUTED_VALUE"""),155472.0)</f>
        <v>155472</v>
      </c>
      <c r="I2265" s="144" t="str">
        <f>IFERROR(__xludf.DUMMYFUNCTION("""COMPUTED_VALUE"""),"12/18")</f>
        <v>12/18</v>
      </c>
      <c r="J2265" s="129">
        <f>IFERROR(__xludf.DUMMYFUNCTION("""COMPUTED_VALUE"""),43447.0)</f>
        <v>43447</v>
      </c>
      <c r="K2265" s="133">
        <f>IFERROR(__xludf.DUMMYFUNCTION("""COMPUTED_VALUE"""),50.0)</f>
        <v>50</v>
      </c>
      <c r="L2265" s="133">
        <f>IFERROR(__xludf.DUMMYFUNCTION("""COMPUTED_VALUE"""),4.0)</f>
        <v>4</v>
      </c>
      <c r="M2265" s="133">
        <f>IFERROR(__xludf.DUMMYFUNCTION("""COMPUTED_VALUE"""),54.0)</f>
        <v>54</v>
      </c>
      <c r="N2265" s="152" t="str">
        <f>IFERROR(__xludf.DUMMYFUNCTION("""COMPUTED_VALUE"""),"Model 3 MR")</f>
        <v>Model 3 MR</v>
      </c>
      <c r="O2265" s="152" t="str">
        <f>IFERROR(__xludf.DUMMYFUNCTION("""COMPUTED_VALUE"""),"Pearl White Multi-Coat")</f>
        <v>Pearl White Multi-Coat</v>
      </c>
      <c r="P2265" s="153" t="str">
        <f>IFERROR(__xludf.DUMMYFUNCTION("""COMPUTED_VALUE"""),"18 inch Aero")</f>
        <v>18 inch Aero</v>
      </c>
      <c r="Q2265" s="152" t="str">
        <f>IFERROR(__xludf.DUMMYFUNCTION("""COMPUTED_VALUE"""),"White seats")</f>
        <v>White seats</v>
      </c>
      <c r="R2265" s="149" t="str">
        <f>IFERROR(__xludf.DUMMYFUNCTION("""COMPUTED_VALUE"""),"Enhanced Autopilot")</f>
        <v>Enhanced Autopilot</v>
      </c>
      <c r="S2265" s="149"/>
      <c r="T2265" s="145"/>
      <c r="U2265" s="145"/>
      <c r="V2265" s="145"/>
      <c r="W2265" s="136"/>
      <c r="X2265" s="137" t="str">
        <f>IFERROR(__xludf.DUMMYFUNCTION("""COMPUTED_VALUE"""),"Very Good")</f>
        <v>Very Good</v>
      </c>
      <c r="Y2265" s="138" t="str">
        <f>IFERROR(__xludf.DUMMYFUNCTION("""COMPUTED_VALUE"""),"Excellent")</f>
        <v>Excellent</v>
      </c>
      <c r="Z2265" s="138" t="str">
        <f>IFERROR(__xludf.DUMMYFUNCTION("""COMPUTED_VALUE"""),"Excellent")</f>
        <v>Excellent</v>
      </c>
      <c r="AA2265" s="138" t="str">
        <f>IFERROR(__xludf.DUMMYFUNCTION("""COMPUTED_VALUE"""),"Fair")</f>
        <v>Fair</v>
      </c>
      <c r="AB2265" s="138" t="str">
        <f>IFERROR(__xludf.DUMMYFUNCTION("""COMPUTED_VALUE"""),"Good")</f>
        <v>Good</v>
      </c>
      <c r="AC2265" s="139">
        <f>IFERROR(__xludf.DUMMYFUNCTION("""COMPUTED_VALUE"""),1.0)</f>
        <v>1</v>
      </c>
      <c r="AD2265" s="139">
        <f>IFERROR(__xludf.DUMMYFUNCTION("""COMPUTED_VALUE"""),1.0)</f>
        <v>1</v>
      </c>
      <c r="AE2265" s="139">
        <f>IFERROR(__xludf.DUMMYFUNCTION("""COMPUTED_VALUE"""),0.0)</f>
        <v>0</v>
      </c>
      <c r="AF2265" s="140"/>
      <c r="AG2265" s="136" t="str">
        <f>IFERROR(__xludf.DUMMYFUNCTION("""COMPUTED_VALUE"""),"Just the Model 3 door plate was scratch on the driver's side.")</f>
        <v>Just the Model 3 door plate was scratch on the driver's side.</v>
      </c>
      <c r="AH2265" s="157">
        <f>IFERROR(__xludf.DUMMYFUNCTION("""COMPUTED_VALUE"""),43540.37723789352)</f>
        <v>43540.37724</v>
      </c>
      <c r="AI2265" s="138"/>
      <c r="AJ2265" s="138"/>
      <c r="AK2265" s="138"/>
      <c r="AL2265" s="142"/>
    </row>
    <row r="2266" ht="20.25" customHeight="1">
      <c r="A2266" s="155" t="str">
        <f>IFERROR(__xludf.DUMMYFUNCTION("""COMPUTED_VALUE"""),"Polloplay")</f>
        <v>Polloplay</v>
      </c>
      <c r="B2266" s="149"/>
      <c r="C2266" s="149" t="str">
        <f>IFERROR(__xludf.DUMMYFUNCTION("""COMPUTED_VALUE"""),"QC")</f>
        <v>QC</v>
      </c>
      <c r="D2266" s="149" t="str">
        <f>IFERROR(__xludf.DUMMYFUNCTION("""COMPUTED_VALUE"""),"Canada")</f>
        <v>Canada</v>
      </c>
      <c r="E2266" s="156">
        <f>IFERROR(__xludf.DUMMYFUNCTION("""COMPUTED_VALUE"""),43393.0)</f>
        <v>43393</v>
      </c>
      <c r="F2266" s="129">
        <f>IFERROR(__xludf.DUMMYFUNCTION("""COMPUTED_VALUE"""),43448.0)</f>
        <v>43448</v>
      </c>
      <c r="G2266" s="154"/>
      <c r="H2266" s="131">
        <f>IFERROR(__xludf.DUMMYFUNCTION("""COMPUTED_VALUE"""),156145.0)</f>
        <v>156145</v>
      </c>
      <c r="I2266" s="144" t="str">
        <f>IFERROR(__xludf.DUMMYFUNCTION("""COMPUTED_VALUE"""),"12/18")</f>
        <v>12/18</v>
      </c>
      <c r="J2266" s="129">
        <f>IFERROR(__xludf.DUMMYFUNCTION("""COMPUTED_VALUE"""),43455.0)</f>
        <v>43455</v>
      </c>
      <c r="K2266" s="133">
        <f>IFERROR(__xludf.DUMMYFUNCTION("""COMPUTED_VALUE"""),55.0)</f>
        <v>55</v>
      </c>
      <c r="L2266" s="133">
        <f>IFERROR(__xludf.DUMMYFUNCTION("""COMPUTED_VALUE"""),7.0)</f>
        <v>7</v>
      </c>
      <c r="M2266" s="133">
        <f>IFERROR(__xludf.DUMMYFUNCTION("""COMPUTED_VALUE"""),62.0)</f>
        <v>62</v>
      </c>
      <c r="N2266" s="152" t="str">
        <f>IFERROR(__xludf.DUMMYFUNCTION("""COMPUTED_VALUE"""),"Model 3 MR")</f>
        <v>Model 3 MR</v>
      </c>
      <c r="O2266" s="152" t="str">
        <f>IFERROR(__xludf.DUMMYFUNCTION("""COMPUTED_VALUE"""),"Midnight Silver Metallic")</f>
        <v>Midnight Silver Metallic</v>
      </c>
      <c r="P2266" s="153" t="str">
        <f>IFERROR(__xludf.DUMMYFUNCTION("""COMPUTED_VALUE"""),"18 inch Aero")</f>
        <v>18 inch Aero</v>
      </c>
      <c r="Q2266" s="152" t="str">
        <f>IFERROR(__xludf.DUMMYFUNCTION("""COMPUTED_VALUE"""),"Black seats")</f>
        <v>Black seats</v>
      </c>
      <c r="R2266" s="149" t="str">
        <f>IFERROR(__xludf.DUMMYFUNCTION("""COMPUTED_VALUE"""),"None")</f>
        <v>None</v>
      </c>
      <c r="S2266" s="149"/>
      <c r="T2266" s="145"/>
      <c r="U2266" s="145"/>
      <c r="V2266" s="145"/>
      <c r="W2266" s="136"/>
      <c r="X2266" s="137" t="str">
        <f>IFERROR(__xludf.DUMMYFUNCTION("""COMPUTED_VALUE"""),"Excellent")</f>
        <v>Excellent</v>
      </c>
      <c r="Y2266" s="138" t="str">
        <f>IFERROR(__xludf.DUMMYFUNCTION("""COMPUTED_VALUE"""),"Excellent")</f>
        <v>Excellent</v>
      </c>
      <c r="Z2266" s="138" t="str">
        <f>IFERROR(__xludf.DUMMYFUNCTION("""COMPUTED_VALUE"""),"Excellent")</f>
        <v>Excellent</v>
      </c>
      <c r="AA2266" s="138" t="str">
        <f>IFERROR(__xludf.DUMMYFUNCTION("""COMPUTED_VALUE"""),"Excellent")</f>
        <v>Excellent</v>
      </c>
      <c r="AB2266" s="138" t="str">
        <f>IFERROR(__xludf.DUMMYFUNCTION("""COMPUTED_VALUE"""),"Excellent")</f>
        <v>Excellent</v>
      </c>
      <c r="AC2266" s="139">
        <f>IFERROR(__xludf.DUMMYFUNCTION("""COMPUTED_VALUE"""),0.0)</f>
        <v>0</v>
      </c>
      <c r="AD2266" s="139">
        <f>IFERROR(__xludf.DUMMYFUNCTION("""COMPUTED_VALUE"""),0.0)</f>
        <v>0</v>
      </c>
      <c r="AE2266" s="139">
        <f>IFERROR(__xludf.DUMMYFUNCTION("""COMPUTED_VALUE"""),0.0)</f>
        <v>0</v>
      </c>
      <c r="AF2266" s="140"/>
      <c r="AG2266" s="136"/>
      <c r="AH2266" s="157">
        <f>IFERROR(__xludf.DUMMYFUNCTION("""COMPUTED_VALUE"""),43463.36221717593)</f>
        <v>43463.36222</v>
      </c>
      <c r="AI2266" s="138"/>
      <c r="AJ2266" s="138"/>
      <c r="AK2266" s="138"/>
      <c r="AL2266" s="142"/>
    </row>
    <row r="2267" ht="20.25" customHeight="1">
      <c r="A2267" s="155" t="str">
        <f>IFERROR(__xludf.DUMMYFUNCTION("""COMPUTED_VALUE"""),"PulledPorg")</f>
        <v>PulledPorg</v>
      </c>
      <c r="B2267" s="149" t="str">
        <f>IFERROR(__xludf.DUMMYFUNCTION("""COMPUTED_VALUE"""),"San Luis Obispo")</f>
        <v>San Luis Obispo</v>
      </c>
      <c r="C2267" s="149" t="str">
        <f>IFERROR(__xludf.DUMMYFUNCTION("""COMPUTED_VALUE"""),"CA")</f>
        <v>CA</v>
      </c>
      <c r="D2267" s="149" t="str">
        <f>IFERROR(__xludf.DUMMYFUNCTION("""COMPUTED_VALUE"""),"USA")</f>
        <v>USA</v>
      </c>
      <c r="E2267" s="156">
        <f>IFERROR(__xludf.DUMMYFUNCTION("""COMPUTED_VALUE"""),43393.0)</f>
        <v>43393</v>
      </c>
      <c r="F2267" s="129">
        <f>IFERROR(__xludf.DUMMYFUNCTION("""COMPUTED_VALUE"""),43434.0)</f>
        <v>43434</v>
      </c>
      <c r="G2267" s="154"/>
      <c r="H2267" s="131">
        <f>IFERROR(__xludf.DUMMYFUNCTION("""COMPUTED_VALUE"""),125025.0)</f>
        <v>125025</v>
      </c>
      <c r="I2267" s="144"/>
      <c r="J2267" s="129">
        <f>IFERROR(__xludf.DUMMYFUNCTION("""COMPUTED_VALUE"""),43442.0)</f>
        <v>43442</v>
      </c>
      <c r="K2267" s="133">
        <f>IFERROR(__xludf.DUMMYFUNCTION("""COMPUTED_VALUE"""),41.0)</f>
        <v>41</v>
      </c>
      <c r="L2267" s="133">
        <f>IFERROR(__xludf.DUMMYFUNCTION("""COMPUTED_VALUE"""),8.0)</f>
        <v>8</v>
      </c>
      <c r="M2267" s="133">
        <f>IFERROR(__xludf.DUMMYFUNCTION("""COMPUTED_VALUE"""),49.0)</f>
        <v>49</v>
      </c>
      <c r="N2267" s="152" t="str">
        <f>IFERROR(__xludf.DUMMYFUNCTION("""COMPUTED_VALUE"""),"Model 3 LR")</f>
        <v>Model 3 LR</v>
      </c>
      <c r="O2267" s="152" t="str">
        <f>IFERROR(__xludf.DUMMYFUNCTION("""COMPUTED_VALUE"""),"Deep Blue Metallic")</f>
        <v>Deep Blue Metallic</v>
      </c>
      <c r="P2267" s="153" t="str">
        <f>IFERROR(__xludf.DUMMYFUNCTION("""COMPUTED_VALUE"""),"18 inch Aero")</f>
        <v>18 inch Aero</v>
      </c>
      <c r="Q2267" s="152" t="str">
        <f>IFERROR(__xludf.DUMMYFUNCTION("""COMPUTED_VALUE"""),"Black seats")</f>
        <v>Black seats</v>
      </c>
      <c r="R2267" s="149" t="str">
        <f>IFERROR(__xludf.DUMMYFUNCTION("""COMPUTED_VALUE"""),"Enhanced Autopilot")</f>
        <v>Enhanced Autopilot</v>
      </c>
      <c r="S2267" s="149"/>
      <c r="T2267" s="145"/>
      <c r="U2267" s="145"/>
      <c r="V2267" s="145"/>
      <c r="W2267" s="136"/>
      <c r="X2267" s="137" t="str">
        <f>IFERROR(__xludf.DUMMYFUNCTION("""COMPUTED_VALUE"""),"Very Good")</f>
        <v>Very Good</v>
      </c>
      <c r="Y2267" s="138" t="str">
        <f>IFERROR(__xludf.DUMMYFUNCTION("""COMPUTED_VALUE"""),"Excellent")</f>
        <v>Excellent</v>
      </c>
      <c r="Z2267" s="138" t="str">
        <f>IFERROR(__xludf.DUMMYFUNCTION("""COMPUTED_VALUE"""),"Good")</f>
        <v>Good</v>
      </c>
      <c r="AA2267" s="138" t="str">
        <f>IFERROR(__xludf.DUMMYFUNCTION("""COMPUTED_VALUE"""),"Poor")</f>
        <v>Poor</v>
      </c>
      <c r="AB2267" s="138" t="str">
        <f>IFERROR(__xludf.DUMMYFUNCTION("""COMPUTED_VALUE"""),"Excellent")</f>
        <v>Excellent</v>
      </c>
      <c r="AC2267" s="139">
        <f>IFERROR(__xludf.DUMMYFUNCTION("""COMPUTED_VALUE"""),1.0)</f>
        <v>1</v>
      </c>
      <c r="AD2267" s="139"/>
      <c r="AE2267" s="139"/>
      <c r="AF2267" s="140"/>
      <c r="AG2267" s="136"/>
      <c r="AH2267" s="157">
        <f>IFERROR(__xludf.DUMMYFUNCTION("""COMPUTED_VALUE"""),43443.6205928125)</f>
        <v>43443.62059</v>
      </c>
      <c r="AI2267" s="138"/>
      <c r="AJ2267" s="138"/>
      <c r="AK2267" s="138"/>
      <c r="AL2267" s="142"/>
    </row>
    <row r="2268" ht="20.25" customHeight="1">
      <c r="A2268" s="155" t="str">
        <f>IFERROR(__xludf.DUMMYFUNCTION("""COMPUTED_VALUE"""),"rlr")</f>
        <v>rlr</v>
      </c>
      <c r="B2268" s="149" t="str">
        <f>IFERROR(__xludf.DUMMYFUNCTION("""COMPUTED_VALUE"""),"Sunnyvale")</f>
        <v>Sunnyvale</v>
      </c>
      <c r="C2268" s="149" t="str">
        <f>IFERROR(__xludf.DUMMYFUNCTION("""COMPUTED_VALUE"""),"CA")</f>
        <v>CA</v>
      </c>
      <c r="D2268" s="149" t="str">
        <f>IFERROR(__xludf.DUMMYFUNCTION("""COMPUTED_VALUE"""),"USA")</f>
        <v>USA</v>
      </c>
      <c r="E2268" s="156">
        <f>IFERROR(__xludf.DUMMYFUNCTION("""COMPUTED_VALUE"""),43393.0)</f>
        <v>43393</v>
      </c>
      <c r="F2268" s="129">
        <f>IFERROR(__xludf.DUMMYFUNCTION("""COMPUTED_VALUE"""),43446.0)</f>
        <v>43446</v>
      </c>
      <c r="G2268" s="154"/>
      <c r="H2268" s="131">
        <f>IFERROR(__xludf.DUMMYFUNCTION("""COMPUTED_VALUE"""),163155.0)</f>
        <v>163155</v>
      </c>
      <c r="I2268" s="144"/>
      <c r="J2268" s="129">
        <f>IFERROR(__xludf.DUMMYFUNCTION("""COMPUTED_VALUE"""),43453.0)</f>
        <v>43453</v>
      </c>
      <c r="K2268" s="133">
        <f>IFERROR(__xludf.DUMMYFUNCTION("""COMPUTED_VALUE"""),53.0)</f>
        <v>53</v>
      </c>
      <c r="L2268" s="133">
        <f>IFERROR(__xludf.DUMMYFUNCTION("""COMPUTED_VALUE"""),7.0)</f>
        <v>7</v>
      </c>
      <c r="M2268" s="133">
        <f>IFERROR(__xludf.DUMMYFUNCTION("""COMPUTED_VALUE"""),60.0)</f>
        <v>60</v>
      </c>
      <c r="N2268" s="152" t="str">
        <f>IFERROR(__xludf.DUMMYFUNCTION("""COMPUTED_VALUE"""),"Model 3 MR")</f>
        <v>Model 3 MR</v>
      </c>
      <c r="O2268" s="152" t="str">
        <f>IFERROR(__xludf.DUMMYFUNCTION("""COMPUTED_VALUE"""),"Midnight Silver Metallic")</f>
        <v>Midnight Silver Metallic</v>
      </c>
      <c r="P2268" s="153" t="str">
        <f>IFERROR(__xludf.DUMMYFUNCTION("""COMPUTED_VALUE"""),"19 inch Sport")</f>
        <v>19 inch Sport</v>
      </c>
      <c r="Q2268" s="152" t="str">
        <f>IFERROR(__xludf.DUMMYFUNCTION("""COMPUTED_VALUE"""),"Black seats")</f>
        <v>Black seats</v>
      </c>
      <c r="R2268" s="149" t="str">
        <f>IFERROR(__xludf.DUMMYFUNCTION("""COMPUTED_VALUE"""),"Enhanced Autopilot")</f>
        <v>Enhanced Autopilot</v>
      </c>
      <c r="S2268" s="149"/>
      <c r="T2268" s="145"/>
      <c r="U2268" s="145"/>
      <c r="V2268" s="145"/>
      <c r="W2268" s="136"/>
      <c r="X2268" s="137" t="str">
        <f>IFERROR(__xludf.DUMMYFUNCTION("""COMPUTED_VALUE"""),"Excellent")</f>
        <v>Excellent</v>
      </c>
      <c r="Y2268" s="138" t="str">
        <f>IFERROR(__xludf.DUMMYFUNCTION("""COMPUTED_VALUE"""),"Excellent")</f>
        <v>Excellent</v>
      </c>
      <c r="Z2268" s="138" t="str">
        <f>IFERROR(__xludf.DUMMYFUNCTION("""COMPUTED_VALUE"""),"Excellent")</f>
        <v>Excellent</v>
      </c>
      <c r="AA2268" s="138" t="str">
        <f>IFERROR(__xludf.DUMMYFUNCTION("""COMPUTED_VALUE"""),"Fair")</f>
        <v>Fair</v>
      </c>
      <c r="AB2268" s="138" t="str">
        <f>IFERROR(__xludf.DUMMYFUNCTION("""COMPUTED_VALUE"""),"Excellent")</f>
        <v>Excellent</v>
      </c>
      <c r="AC2268" s="139"/>
      <c r="AD2268" s="139"/>
      <c r="AE2268" s="139"/>
      <c r="AF2268" s="140"/>
      <c r="AG2268" s="136" t="str">
        <f>IFERROR(__xludf.DUMMYFUNCTION("""COMPUTED_VALUE"""),"Delivery pushed out a week (it was scheduled for too short of a timeframe).")</f>
        <v>Delivery pushed out a week (it was scheduled for too short of a timeframe).</v>
      </c>
      <c r="AH2268" s="157">
        <f>IFERROR(__xludf.DUMMYFUNCTION("""COMPUTED_VALUE"""),43454.91013099537)</f>
        <v>43454.91013</v>
      </c>
      <c r="AI2268" s="138"/>
      <c r="AJ2268" s="138"/>
      <c r="AK2268" s="138"/>
      <c r="AL2268" s="142"/>
    </row>
    <row r="2269" ht="20.25" customHeight="1">
      <c r="A2269" s="155" t="str">
        <f>IFERROR(__xludf.DUMMYFUNCTION("""COMPUTED_VALUE"""),"sraatc17")</f>
        <v>sraatc17</v>
      </c>
      <c r="B2269" s="149" t="str">
        <f>IFERROR(__xludf.DUMMYFUNCTION("""COMPUTED_VALUE"""),"Waltham")</f>
        <v>Waltham</v>
      </c>
      <c r="C2269" s="149" t="str">
        <f>IFERROR(__xludf.DUMMYFUNCTION("""COMPUTED_VALUE"""),"MA")</f>
        <v>MA</v>
      </c>
      <c r="D2269" s="149" t="str">
        <f>IFERROR(__xludf.DUMMYFUNCTION("""COMPUTED_VALUE"""),"USA")</f>
        <v>USA</v>
      </c>
      <c r="E2269" s="156">
        <f>IFERROR(__xludf.DUMMYFUNCTION("""COMPUTED_VALUE"""),43393.0)</f>
        <v>43393</v>
      </c>
      <c r="F2269" s="129">
        <f>IFERROR(__xludf.DUMMYFUNCTION("""COMPUTED_VALUE"""),43442.0)</f>
        <v>43442</v>
      </c>
      <c r="G2269" s="154"/>
      <c r="H2269" s="131">
        <f>IFERROR(__xludf.DUMMYFUNCTION("""COMPUTED_VALUE"""),154305.0)</f>
        <v>154305</v>
      </c>
      <c r="I2269" s="144"/>
      <c r="J2269" s="129">
        <f>IFERROR(__xludf.DUMMYFUNCTION("""COMPUTED_VALUE"""),43448.0)</f>
        <v>43448</v>
      </c>
      <c r="K2269" s="133">
        <f>IFERROR(__xludf.DUMMYFUNCTION("""COMPUTED_VALUE"""),49.0)</f>
        <v>49</v>
      </c>
      <c r="L2269" s="133">
        <f>IFERROR(__xludf.DUMMYFUNCTION("""COMPUTED_VALUE"""),6.0)</f>
        <v>6</v>
      </c>
      <c r="M2269" s="133">
        <f>IFERROR(__xludf.DUMMYFUNCTION("""COMPUTED_VALUE"""),55.0)</f>
        <v>55</v>
      </c>
      <c r="N2269" s="152" t="str">
        <f>IFERROR(__xludf.DUMMYFUNCTION("""COMPUTED_VALUE"""),"Model 3 MR")</f>
        <v>Model 3 MR</v>
      </c>
      <c r="O2269" s="152" t="str">
        <f>IFERROR(__xludf.DUMMYFUNCTION("""COMPUTED_VALUE"""),"Deep Blue Metallic")</f>
        <v>Deep Blue Metallic</v>
      </c>
      <c r="P2269" s="153" t="str">
        <f>IFERROR(__xludf.DUMMYFUNCTION("""COMPUTED_VALUE"""),"18 inch Aero")</f>
        <v>18 inch Aero</v>
      </c>
      <c r="Q2269" s="152" t="str">
        <f>IFERROR(__xludf.DUMMYFUNCTION("""COMPUTED_VALUE"""),"Black seats")</f>
        <v>Black seats</v>
      </c>
      <c r="R2269" s="149" t="str">
        <f>IFERROR(__xludf.DUMMYFUNCTION("""COMPUTED_VALUE"""),"None")</f>
        <v>None</v>
      </c>
      <c r="S2269" s="149"/>
      <c r="T2269" s="145"/>
      <c r="U2269" s="145"/>
      <c r="V2269" s="145"/>
      <c r="W2269" s="136"/>
      <c r="X2269" s="137" t="str">
        <f>IFERROR(__xludf.DUMMYFUNCTION("""COMPUTED_VALUE"""),"Excellent")</f>
        <v>Excellent</v>
      </c>
      <c r="Y2269" s="138" t="str">
        <f>IFERROR(__xludf.DUMMYFUNCTION("""COMPUTED_VALUE"""),"Excellent")</f>
        <v>Excellent</v>
      </c>
      <c r="Z2269" s="138" t="str">
        <f>IFERROR(__xludf.DUMMYFUNCTION("""COMPUTED_VALUE"""),"Excellent")</f>
        <v>Excellent</v>
      </c>
      <c r="AA2269" s="138" t="str">
        <f>IFERROR(__xludf.DUMMYFUNCTION("""COMPUTED_VALUE"""),"Fair")</f>
        <v>Fair</v>
      </c>
      <c r="AB2269" s="138" t="str">
        <f>IFERROR(__xludf.DUMMYFUNCTION("""COMPUTED_VALUE"""),"Good")</f>
        <v>Good</v>
      </c>
      <c r="AC2269" s="139">
        <f>IFERROR(__xludf.DUMMYFUNCTION("""COMPUTED_VALUE"""),0.0)</f>
        <v>0</v>
      </c>
      <c r="AD2269" s="139">
        <f>IFERROR(__xludf.DUMMYFUNCTION("""COMPUTED_VALUE"""),0.0)</f>
        <v>0</v>
      </c>
      <c r="AE2269" s="139">
        <f>IFERROR(__xludf.DUMMYFUNCTION("""COMPUTED_VALUE"""),0.0)</f>
        <v>0</v>
      </c>
      <c r="AF2269" s="140"/>
      <c r="AG2269" s="136" t="str">
        <f>IFERROR(__xludf.DUMMYFUNCTION("""COMPUTED_VALUE"""),"Delivery Rescheduyled from 11/27 on 11/23")</f>
        <v>Delivery Rescheduyled from 11/27 on 11/23</v>
      </c>
      <c r="AH2269" s="157">
        <f>IFERROR(__xludf.DUMMYFUNCTION("""COMPUTED_VALUE"""),43529.54741383102)</f>
        <v>43529.54741</v>
      </c>
      <c r="AI2269" s="138"/>
      <c r="AJ2269" s="138"/>
      <c r="AK2269" s="138"/>
      <c r="AL2269" s="142"/>
    </row>
    <row r="2270" ht="20.25" customHeight="1">
      <c r="A2270" s="155" t="str">
        <f>IFERROR(__xludf.DUMMYFUNCTION("""COMPUTED_VALUE"""),"T34ME")</f>
        <v>T34ME</v>
      </c>
      <c r="B2270" s="149" t="str">
        <f>IFERROR(__xludf.DUMMYFUNCTION("""COMPUTED_VALUE"""),"SoCal")</f>
        <v>SoCal</v>
      </c>
      <c r="C2270" s="149" t="str">
        <f>IFERROR(__xludf.DUMMYFUNCTION("""COMPUTED_VALUE"""),"CA")</f>
        <v>CA</v>
      </c>
      <c r="D2270" s="149" t="str">
        <f>IFERROR(__xludf.DUMMYFUNCTION("""COMPUTED_VALUE"""),"USA")</f>
        <v>USA</v>
      </c>
      <c r="E2270" s="156">
        <f>IFERROR(__xludf.DUMMYFUNCTION("""COMPUTED_VALUE"""),43393.0)</f>
        <v>43393</v>
      </c>
      <c r="F2270" s="129">
        <f>IFERROR(__xludf.DUMMYFUNCTION("""COMPUTED_VALUE"""),43440.0)</f>
        <v>43440</v>
      </c>
      <c r="G2270" s="154"/>
      <c r="H2270" s="131">
        <f>IFERROR(__xludf.DUMMYFUNCTION("""COMPUTED_VALUE"""),168755.0)</f>
        <v>168755</v>
      </c>
      <c r="I2270" s="144" t="str">
        <f>IFERROR(__xludf.DUMMYFUNCTION("""COMPUTED_VALUE"""),"12/18")</f>
        <v>12/18</v>
      </c>
      <c r="J2270" s="129">
        <f>IFERROR(__xludf.DUMMYFUNCTION("""COMPUTED_VALUE"""),43455.0)</f>
        <v>43455</v>
      </c>
      <c r="K2270" s="133">
        <f>IFERROR(__xludf.DUMMYFUNCTION("""COMPUTED_VALUE"""),47.0)</f>
        <v>47</v>
      </c>
      <c r="L2270" s="133">
        <f>IFERROR(__xludf.DUMMYFUNCTION("""COMPUTED_VALUE"""),15.0)</f>
        <v>15</v>
      </c>
      <c r="M2270" s="133">
        <f>IFERROR(__xludf.DUMMYFUNCTION("""COMPUTED_VALUE"""),62.0)</f>
        <v>62</v>
      </c>
      <c r="N2270" s="152" t="str">
        <f>IFERROR(__xludf.DUMMYFUNCTION("""COMPUTED_VALUE"""),"Model 3 MR")</f>
        <v>Model 3 MR</v>
      </c>
      <c r="O2270" s="152" t="str">
        <f>IFERROR(__xludf.DUMMYFUNCTION("""COMPUTED_VALUE"""),"Pearl White Multi-Coat")</f>
        <v>Pearl White Multi-Coat</v>
      </c>
      <c r="P2270" s="153" t="str">
        <f>IFERROR(__xludf.DUMMYFUNCTION("""COMPUTED_VALUE"""),"18 inch Aero")</f>
        <v>18 inch Aero</v>
      </c>
      <c r="Q2270" s="152" t="str">
        <f>IFERROR(__xludf.DUMMYFUNCTION("""COMPUTED_VALUE"""),"White seats")</f>
        <v>White seats</v>
      </c>
      <c r="R2270" s="149" t="str">
        <f>IFERROR(__xludf.DUMMYFUNCTION("""COMPUTED_VALUE"""),"Enhanced Autopilot")</f>
        <v>Enhanced Autopilot</v>
      </c>
      <c r="S2270" s="149"/>
      <c r="T2270" s="145"/>
      <c r="U2270" s="145"/>
      <c r="V2270" s="145"/>
      <c r="W2270" s="136"/>
      <c r="X2270" s="137" t="str">
        <f>IFERROR(__xludf.DUMMYFUNCTION("""COMPUTED_VALUE"""),"Very Good")</f>
        <v>Very Good</v>
      </c>
      <c r="Y2270" s="138" t="str">
        <f>IFERROR(__xludf.DUMMYFUNCTION("""COMPUTED_VALUE"""),"Excellent")</f>
        <v>Excellent</v>
      </c>
      <c r="Z2270" s="138" t="str">
        <f>IFERROR(__xludf.DUMMYFUNCTION("""COMPUTED_VALUE"""),"Very Good")</f>
        <v>Very Good</v>
      </c>
      <c r="AA2270" s="138" t="str">
        <f>IFERROR(__xludf.DUMMYFUNCTION("""COMPUTED_VALUE"""),"Excellent")</f>
        <v>Excellent</v>
      </c>
      <c r="AB2270" s="138" t="str">
        <f>IFERROR(__xludf.DUMMYFUNCTION("""COMPUTED_VALUE"""),"Excellent")</f>
        <v>Excellent</v>
      </c>
      <c r="AC2270" s="139">
        <f>IFERROR(__xludf.DUMMYFUNCTION("""COMPUTED_VALUE"""),0.0)</f>
        <v>0</v>
      </c>
      <c r="AD2270" s="139">
        <f>IFERROR(__xludf.DUMMYFUNCTION("""COMPUTED_VALUE"""),0.0)</f>
        <v>0</v>
      </c>
      <c r="AE2270" s="139">
        <f>IFERROR(__xludf.DUMMYFUNCTION("""COMPUTED_VALUE"""),0.0)</f>
        <v>0</v>
      </c>
      <c r="AF2270" s="140"/>
      <c r="AG2270" s="136"/>
      <c r="AH2270" s="157">
        <f>IFERROR(__xludf.DUMMYFUNCTION("""COMPUTED_VALUE"""),43461.190512141206)</f>
        <v>43461.19051</v>
      </c>
      <c r="AI2270" s="138"/>
      <c r="AJ2270" s="138"/>
      <c r="AK2270" s="138"/>
      <c r="AL2270" s="142"/>
    </row>
    <row r="2271" ht="20.25" customHeight="1">
      <c r="A2271" s="155" t="str">
        <f>IFERROR(__xludf.DUMMYFUNCTION("""COMPUTED_VALUE"""),"TJKR")</f>
        <v>TJKR</v>
      </c>
      <c r="B2271" s="149" t="str">
        <f>IFERROR(__xludf.DUMMYFUNCTION("""COMPUTED_VALUE"""),"Santa Barbara")</f>
        <v>Santa Barbara</v>
      </c>
      <c r="C2271" s="149" t="str">
        <f>IFERROR(__xludf.DUMMYFUNCTION("""COMPUTED_VALUE"""),"CA")</f>
        <v>CA</v>
      </c>
      <c r="D2271" s="149" t="str">
        <f>IFERROR(__xludf.DUMMYFUNCTION("""COMPUTED_VALUE"""),"USA")</f>
        <v>USA</v>
      </c>
      <c r="E2271" s="156">
        <f>IFERROR(__xludf.DUMMYFUNCTION("""COMPUTED_VALUE"""),43393.0)</f>
        <v>43393</v>
      </c>
      <c r="F2271" s="129">
        <f>IFERROR(__xludf.DUMMYFUNCTION("""COMPUTED_VALUE"""),43429.0)</f>
        <v>43429</v>
      </c>
      <c r="G2271" s="154"/>
      <c r="H2271" s="131">
        <f>IFERROR(__xludf.DUMMYFUNCTION("""COMPUTED_VALUE"""),153355.0)</f>
        <v>153355</v>
      </c>
      <c r="I2271" s="144" t="str">
        <f>IFERROR(__xludf.DUMMYFUNCTION("""COMPUTED_VALUE"""),"11/18")</f>
        <v>11/18</v>
      </c>
      <c r="J2271" s="129">
        <f>IFERROR(__xludf.DUMMYFUNCTION("""COMPUTED_VALUE"""),43434.0)</f>
        <v>43434</v>
      </c>
      <c r="K2271" s="133">
        <f>IFERROR(__xludf.DUMMYFUNCTION("""COMPUTED_VALUE"""),36.0)</f>
        <v>36</v>
      </c>
      <c r="L2271" s="133">
        <f>IFERROR(__xludf.DUMMYFUNCTION("""COMPUTED_VALUE"""),5.0)</f>
        <v>5</v>
      </c>
      <c r="M2271" s="133">
        <f>IFERROR(__xludf.DUMMYFUNCTION("""COMPUTED_VALUE"""),41.0)</f>
        <v>41</v>
      </c>
      <c r="N2271" s="152" t="str">
        <f>IFERROR(__xludf.DUMMYFUNCTION("""COMPUTED_VALUE"""),"Model 3 MR")</f>
        <v>Model 3 MR</v>
      </c>
      <c r="O2271" s="152" t="str">
        <f>IFERROR(__xludf.DUMMYFUNCTION("""COMPUTED_VALUE"""),"Midnight Silver Metallic")</f>
        <v>Midnight Silver Metallic</v>
      </c>
      <c r="P2271" s="153" t="str">
        <f>IFERROR(__xludf.DUMMYFUNCTION("""COMPUTED_VALUE"""),"18 inch Aero")</f>
        <v>18 inch Aero</v>
      </c>
      <c r="Q2271" s="152" t="str">
        <f>IFERROR(__xludf.DUMMYFUNCTION("""COMPUTED_VALUE"""),"Black seats")</f>
        <v>Black seats</v>
      </c>
      <c r="R2271" s="149" t="str">
        <f>IFERROR(__xludf.DUMMYFUNCTION("""COMPUTED_VALUE"""),"None")</f>
        <v>None</v>
      </c>
      <c r="S2271" s="149"/>
      <c r="T2271" s="145"/>
      <c r="U2271" s="145"/>
      <c r="V2271" s="145"/>
      <c r="W2271" s="136"/>
      <c r="X2271" s="137" t="str">
        <f>IFERROR(__xludf.DUMMYFUNCTION("""COMPUTED_VALUE"""),"Excellent")</f>
        <v>Excellent</v>
      </c>
      <c r="Y2271" s="138" t="str">
        <f>IFERROR(__xludf.DUMMYFUNCTION("""COMPUTED_VALUE"""),"Excellent")</f>
        <v>Excellent</v>
      </c>
      <c r="Z2271" s="138" t="str">
        <f>IFERROR(__xludf.DUMMYFUNCTION("""COMPUTED_VALUE"""),"Excellent")</f>
        <v>Excellent</v>
      </c>
      <c r="AA2271" s="138" t="str">
        <f>IFERROR(__xludf.DUMMYFUNCTION("""COMPUTED_VALUE"""),"Excellent")</f>
        <v>Excellent</v>
      </c>
      <c r="AB2271" s="138" t="str">
        <f>IFERROR(__xludf.DUMMYFUNCTION("""COMPUTED_VALUE"""),"Excellent")</f>
        <v>Excellent</v>
      </c>
      <c r="AC2271" s="139">
        <f>IFERROR(__xludf.DUMMYFUNCTION("""COMPUTED_VALUE"""),0.0)</f>
        <v>0</v>
      </c>
      <c r="AD2271" s="139">
        <f>IFERROR(__xludf.DUMMYFUNCTION("""COMPUTED_VALUE"""),0.0)</f>
        <v>0</v>
      </c>
      <c r="AE2271" s="139">
        <f>IFERROR(__xludf.DUMMYFUNCTION("""COMPUTED_VALUE"""),0.0)</f>
        <v>0</v>
      </c>
      <c r="AF2271" s="140"/>
      <c r="AG2271" s="136"/>
      <c r="AH2271" s="157">
        <f>IFERROR(__xludf.DUMMYFUNCTION("""COMPUTED_VALUE"""),43434.94990324073)</f>
        <v>43434.9499</v>
      </c>
      <c r="AI2271" s="138"/>
      <c r="AJ2271" s="138"/>
      <c r="AK2271" s="138"/>
      <c r="AL2271" s="142"/>
    </row>
    <row r="2272" ht="20.25" customHeight="1">
      <c r="A2272" s="155" t="str">
        <f>IFERROR(__xludf.DUMMYFUNCTION("""COMPUTED_VALUE"""),"V__2")</f>
        <v>V__2</v>
      </c>
      <c r="B2272" s="149"/>
      <c r="C2272" s="149" t="str">
        <f>IFERROR(__xludf.DUMMYFUNCTION("""COMPUTED_VALUE"""),"FL")</f>
        <v>FL</v>
      </c>
      <c r="D2272" s="149" t="str">
        <f>IFERROR(__xludf.DUMMYFUNCTION("""COMPUTED_VALUE"""),"USA")</f>
        <v>USA</v>
      </c>
      <c r="E2272" s="156">
        <f>IFERROR(__xludf.DUMMYFUNCTION("""COMPUTED_VALUE"""),43393.0)</f>
        <v>43393</v>
      </c>
      <c r="F2272" s="129">
        <f>IFERROR(__xludf.DUMMYFUNCTION("""COMPUTED_VALUE"""),43441.0)</f>
        <v>43441</v>
      </c>
      <c r="G2272" s="154"/>
      <c r="H2272" s="131">
        <f>IFERROR(__xludf.DUMMYFUNCTION("""COMPUTED_VALUE"""),155585.0)</f>
        <v>155585</v>
      </c>
      <c r="I2272" s="144" t="str">
        <f>IFERROR(__xludf.DUMMYFUNCTION("""COMPUTED_VALUE"""),"12/18")</f>
        <v>12/18</v>
      </c>
      <c r="J2272" s="129">
        <f>IFERROR(__xludf.DUMMYFUNCTION("""COMPUTED_VALUE"""),43447.0)</f>
        <v>43447</v>
      </c>
      <c r="K2272" s="133">
        <f>IFERROR(__xludf.DUMMYFUNCTION("""COMPUTED_VALUE"""),48.0)</f>
        <v>48</v>
      </c>
      <c r="L2272" s="133">
        <f>IFERROR(__xludf.DUMMYFUNCTION("""COMPUTED_VALUE"""),6.0)</f>
        <v>6</v>
      </c>
      <c r="M2272" s="133">
        <f>IFERROR(__xludf.DUMMYFUNCTION("""COMPUTED_VALUE"""),54.0)</f>
        <v>54</v>
      </c>
      <c r="N2272" s="152" t="str">
        <f>IFERROR(__xludf.DUMMYFUNCTION("""COMPUTED_VALUE"""),"Model 3 MR")</f>
        <v>Model 3 MR</v>
      </c>
      <c r="O2272" s="152" t="str">
        <f>IFERROR(__xludf.DUMMYFUNCTION("""COMPUTED_VALUE"""),"Midnight Silver Metallic")</f>
        <v>Midnight Silver Metallic</v>
      </c>
      <c r="P2272" s="153" t="str">
        <f>IFERROR(__xludf.DUMMYFUNCTION("""COMPUTED_VALUE"""),"18 inch Aero")</f>
        <v>18 inch Aero</v>
      </c>
      <c r="Q2272" s="152" t="str">
        <f>IFERROR(__xludf.DUMMYFUNCTION("""COMPUTED_VALUE"""),"White seats")</f>
        <v>White seats</v>
      </c>
      <c r="R2272" s="149" t="str">
        <f>IFERROR(__xludf.DUMMYFUNCTION("""COMPUTED_VALUE"""),"None")</f>
        <v>None</v>
      </c>
      <c r="S2272" s="149"/>
      <c r="T2272" s="145"/>
      <c r="U2272" s="145"/>
      <c r="V2272" s="145"/>
      <c r="W2272" s="136"/>
      <c r="X2272" s="137" t="str">
        <f>IFERROR(__xludf.DUMMYFUNCTION("""COMPUTED_VALUE"""),"Excellent")</f>
        <v>Excellent</v>
      </c>
      <c r="Y2272" s="138" t="str">
        <f>IFERROR(__xludf.DUMMYFUNCTION("""COMPUTED_VALUE"""),"Very Good")</f>
        <v>Very Good</v>
      </c>
      <c r="Z2272" s="138" t="str">
        <f>IFERROR(__xludf.DUMMYFUNCTION("""COMPUTED_VALUE"""),"Excellent")</f>
        <v>Excellent</v>
      </c>
      <c r="AA2272" s="138" t="str">
        <f>IFERROR(__xludf.DUMMYFUNCTION("""COMPUTED_VALUE"""),"Fair")</f>
        <v>Fair</v>
      </c>
      <c r="AB2272" s="138" t="str">
        <f>IFERROR(__xludf.DUMMYFUNCTION("""COMPUTED_VALUE"""),"Excellent")</f>
        <v>Excellent</v>
      </c>
      <c r="AC2272" s="139">
        <f>IFERROR(__xludf.DUMMYFUNCTION("""COMPUTED_VALUE"""),0.0)</f>
        <v>0</v>
      </c>
      <c r="AD2272" s="139">
        <f>IFERROR(__xludf.DUMMYFUNCTION("""COMPUTED_VALUE"""),0.0)</f>
        <v>0</v>
      </c>
      <c r="AE2272" s="139">
        <f>IFERROR(__xludf.DUMMYFUNCTION("""COMPUTED_VALUE"""),0.0)</f>
        <v>0</v>
      </c>
      <c r="AF2272" s="140"/>
      <c r="AG2272" s="136"/>
      <c r="AH2272" s="157">
        <f>IFERROR(__xludf.DUMMYFUNCTION("""COMPUTED_VALUE"""),43514.52859752315)</f>
        <v>43514.5286</v>
      </c>
      <c r="AI2272" s="138"/>
      <c r="AJ2272" s="138"/>
      <c r="AK2272" s="138"/>
      <c r="AL2272" s="142"/>
    </row>
    <row r="2273" ht="20.25" customHeight="1">
      <c r="A2273" s="155" t="str">
        <f>IFERROR(__xludf.DUMMYFUNCTION("""COMPUTED_VALUE"""),"aaronizer")</f>
        <v>aaronizer</v>
      </c>
      <c r="B2273" s="149" t="str">
        <f>IFERROR(__xludf.DUMMYFUNCTION("""COMPUTED_VALUE"""),"Atlanta")</f>
        <v>Atlanta</v>
      </c>
      <c r="C2273" s="149" t="str">
        <f>IFERROR(__xludf.DUMMYFUNCTION("""COMPUTED_VALUE"""),"GA")</f>
        <v>GA</v>
      </c>
      <c r="D2273" s="149" t="str">
        <f>IFERROR(__xludf.DUMMYFUNCTION("""COMPUTED_VALUE"""),"USA")</f>
        <v>USA</v>
      </c>
      <c r="E2273" s="156">
        <f>IFERROR(__xludf.DUMMYFUNCTION("""COMPUTED_VALUE"""),43392.0)</f>
        <v>43392</v>
      </c>
      <c r="F2273" s="129">
        <f>IFERROR(__xludf.DUMMYFUNCTION("""COMPUTED_VALUE"""),43430.0)</f>
        <v>43430</v>
      </c>
      <c r="G2273" s="154"/>
      <c r="H2273" s="131"/>
      <c r="I2273" s="144"/>
      <c r="J2273" s="129">
        <f>IFERROR(__xludf.DUMMYFUNCTION("""COMPUTED_VALUE"""),43434.0)</f>
        <v>43434</v>
      </c>
      <c r="K2273" s="133">
        <f>IFERROR(__xludf.DUMMYFUNCTION("""COMPUTED_VALUE"""),38.0)</f>
        <v>38</v>
      </c>
      <c r="L2273" s="133">
        <f>IFERROR(__xludf.DUMMYFUNCTION("""COMPUTED_VALUE"""),4.0)</f>
        <v>4</v>
      </c>
      <c r="M2273" s="133">
        <f>IFERROR(__xludf.DUMMYFUNCTION("""COMPUTED_VALUE"""),42.0)</f>
        <v>42</v>
      </c>
      <c r="N2273" s="152" t="str">
        <f>IFERROR(__xludf.DUMMYFUNCTION("""COMPUTED_VALUE"""),"Model 3 MR")</f>
        <v>Model 3 MR</v>
      </c>
      <c r="O2273" s="152" t="str">
        <f>IFERROR(__xludf.DUMMYFUNCTION("""COMPUTED_VALUE"""),"Solid Black")</f>
        <v>Solid Black</v>
      </c>
      <c r="P2273" s="153" t="str">
        <f>IFERROR(__xludf.DUMMYFUNCTION("""COMPUTED_VALUE"""),"18 inch Aero")</f>
        <v>18 inch Aero</v>
      </c>
      <c r="Q2273" s="152" t="str">
        <f>IFERROR(__xludf.DUMMYFUNCTION("""COMPUTED_VALUE"""),"Black seats")</f>
        <v>Black seats</v>
      </c>
      <c r="R2273" s="149" t="str">
        <f>IFERROR(__xludf.DUMMYFUNCTION("""COMPUTED_VALUE"""),"Enhanced Autopilot")</f>
        <v>Enhanced Autopilot</v>
      </c>
      <c r="S2273" s="149"/>
      <c r="T2273" s="145"/>
      <c r="U2273" s="145"/>
      <c r="V2273" s="145"/>
      <c r="W2273" s="136"/>
      <c r="X2273" s="137" t="str">
        <f>IFERROR(__xludf.DUMMYFUNCTION("""COMPUTED_VALUE"""),"Excellent")</f>
        <v>Excellent</v>
      </c>
      <c r="Y2273" s="138" t="str">
        <f>IFERROR(__xludf.DUMMYFUNCTION("""COMPUTED_VALUE"""),"Excellent")</f>
        <v>Excellent</v>
      </c>
      <c r="Z2273" s="138" t="str">
        <f>IFERROR(__xludf.DUMMYFUNCTION("""COMPUTED_VALUE"""),"Excellent")</f>
        <v>Excellent</v>
      </c>
      <c r="AA2273" s="138" t="str">
        <f>IFERROR(__xludf.DUMMYFUNCTION("""COMPUTED_VALUE"""),"Excellent")</f>
        <v>Excellent</v>
      </c>
      <c r="AB2273" s="138" t="str">
        <f>IFERROR(__xludf.DUMMYFUNCTION("""COMPUTED_VALUE"""),"Excellent")</f>
        <v>Excellent</v>
      </c>
      <c r="AC2273" s="139"/>
      <c r="AD2273" s="139"/>
      <c r="AE2273" s="139"/>
      <c r="AF2273" s="140"/>
      <c r="AG2273" s="136"/>
      <c r="AH2273" s="157">
        <f>IFERROR(__xludf.DUMMYFUNCTION("""COMPUTED_VALUE"""),43434.55552944444)</f>
        <v>43434.55553</v>
      </c>
      <c r="AI2273" s="138"/>
      <c r="AJ2273" s="138"/>
      <c r="AK2273" s="138"/>
      <c r="AL2273" s="142"/>
    </row>
    <row r="2274" ht="20.25" customHeight="1">
      <c r="A2274" s="155" t="str">
        <f>IFERROR(__xludf.DUMMYFUNCTION("""COMPUTED_VALUE"""),"adambd")</f>
        <v>adambd</v>
      </c>
      <c r="B2274" s="149" t="str">
        <f>IFERROR(__xludf.DUMMYFUNCTION("""COMPUTED_VALUE"""),"San Francisco")</f>
        <v>San Francisco</v>
      </c>
      <c r="C2274" s="149" t="str">
        <f>IFERROR(__xludf.DUMMYFUNCTION("""COMPUTED_VALUE"""),"CA")</f>
        <v>CA</v>
      </c>
      <c r="D2274" s="149" t="str">
        <f>IFERROR(__xludf.DUMMYFUNCTION("""COMPUTED_VALUE"""),"USA")</f>
        <v>USA</v>
      </c>
      <c r="E2274" s="156">
        <f>IFERROR(__xludf.DUMMYFUNCTION("""COMPUTED_VALUE"""),43392.0)</f>
        <v>43392</v>
      </c>
      <c r="F2274" s="129">
        <f>IFERROR(__xludf.DUMMYFUNCTION("""COMPUTED_VALUE"""),43444.0)</f>
        <v>43444</v>
      </c>
      <c r="G2274" s="154"/>
      <c r="H2274" s="131">
        <f>IFERROR(__xludf.DUMMYFUNCTION("""COMPUTED_VALUE"""),160165.0)</f>
        <v>160165</v>
      </c>
      <c r="I2274" s="144"/>
      <c r="J2274" s="129">
        <f>IFERROR(__xludf.DUMMYFUNCTION("""COMPUTED_VALUE"""),43446.0)</f>
        <v>43446</v>
      </c>
      <c r="K2274" s="133">
        <f>IFERROR(__xludf.DUMMYFUNCTION("""COMPUTED_VALUE"""),52.0)</f>
        <v>52</v>
      </c>
      <c r="L2274" s="133">
        <f>IFERROR(__xludf.DUMMYFUNCTION("""COMPUTED_VALUE"""),2.0)</f>
        <v>2</v>
      </c>
      <c r="M2274" s="133">
        <f>IFERROR(__xludf.DUMMYFUNCTION("""COMPUTED_VALUE"""),54.0)</f>
        <v>54</v>
      </c>
      <c r="N2274" s="152" t="str">
        <f>IFERROR(__xludf.DUMMYFUNCTION("""COMPUTED_VALUE"""),"Model 3 MR")</f>
        <v>Model 3 MR</v>
      </c>
      <c r="O2274" s="152" t="str">
        <f>IFERROR(__xludf.DUMMYFUNCTION("""COMPUTED_VALUE"""),"Deep Blue Metallic")</f>
        <v>Deep Blue Metallic</v>
      </c>
      <c r="P2274" s="153" t="str">
        <f>IFERROR(__xludf.DUMMYFUNCTION("""COMPUTED_VALUE"""),"18 inch Aero")</f>
        <v>18 inch Aero</v>
      </c>
      <c r="Q2274" s="152" t="str">
        <f>IFERROR(__xludf.DUMMYFUNCTION("""COMPUTED_VALUE"""),"Black seats")</f>
        <v>Black seats</v>
      </c>
      <c r="R2274" s="149" t="str">
        <f>IFERROR(__xludf.DUMMYFUNCTION("""COMPUTED_VALUE"""),"Enhanced Autopilot")</f>
        <v>Enhanced Autopilot</v>
      </c>
      <c r="S2274" s="149"/>
      <c r="T2274" s="145"/>
      <c r="U2274" s="145"/>
      <c r="V2274" s="145"/>
      <c r="W2274" s="136"/>
      <c r="X2274" s="137" t="str">
        <f>IFERROR(__xludf.DUMMYFUNCTION("""COMPUTED_VALUE"""),"Excellent")</f>
        <v>Excellent</v>
      </c>
      <c r="Y2274" s="138" t="str">
        <f>IFERROR(__xludf.DUMMYFUNCTION("""COMPUTED_VALUE"""),"Good")</f>
        <v>Good</v>
      </c>
      <c r="Z2274" s="138" t="str">
        <f>IFERROR(__xludf.DUMMYFUNCTION("""COMPUTED_VALUE"""),"Excellent")</f>
        <v>Excellent</v>
      </c>
      <c r="AA2274" s="138" t="str">
        <f>IFERROR(__xludf.DUMMYFUNCTION("""COMPUTED_VALUE"""),"Good")</f>
        <v>Good</v>
      </c>
      <c r="AB2274" s="138"/>
      <c r="AC2274" s="139">
        <f>IFERROR(__xludf.DUMMYFUNCTION("""COMPUTED_VALUE"""),2.0)</f>
        <v>2</v>
      </c>
      <c r="AD2274" s="139"/>
      <c r="AE2274" s="139"/>
      <c r="AF2274" s="140"/>
      <c r="AG2274" s="136" t="str">
        <f>IFERROR(__xludf.DUMMYFUNCTION("""COMPUTED_VALUE"""),"Got a text for delivery between 12/20 and 12/31")</f>
        <v>Got a text for delivery between 12/20 and 12/31</v>
      </c>
      <c r="AH2274" s="157">
        <f>IFERROR(__xludf.DUMMYFUNCTION("""COMPUTED_VALUE"""),43448.60217312499)</f>
        <v>43448.60217</v>
      </c>
      <c r="AI2274" s="138"/>
      <c r="AJ2274" s="138"/>
      <c r="AK2274" s="138"/>
      <c r="AL2274" s="142"/>
    </row>
    <row r="2275" ht="20.25" customHeight="1">
      <c r="A2275" s="155" t="str">
        <f>IFERROR(__xludf.DUMMYFUNCTION("""COMPUTED_VALUE"""),"Awillie ")</f>
        <v>Awillie </v>
      </c>
      <c r="B2275" s="149" t="str">
        <f>IFERROR(__xludf.DUMMYFUNCTION("""COMPUTED_VALUE"""),"Phoenix")</f>
        <v>Phoenix</v>
      </c>
      <c r="C2275" s="149" t="str">
        <f>IFERROR(__xludf.DUMMYFUNCTION("""COMPUTED_VALUE"""),"AZ")</f>
        <v>AZ</v>
      </c>
      <c r="D2275" s="149" t="str">
        <f>IFERROR(__xludf.DUMMYFUNCTION("""COMPUTED_VALUE"""),"USA")</f>
        <v>USA</v>
      </c>
      <c r="E2275" s="156">
        <f>IFERROR(__xludf.DUMMYFUNCTION("""COMPUTED_VALUE"""),43392.0)</f>
        <v>43392</v>
      </c>
      <c r="F2275" s="129">
        <f>IFERROR(__xludf.DUMMYFUNCTION("""COMPUTED_VALUE"""),43450.0)</f>
        <v>43450</v>
      </c>
      <c r="G2275" s="154"/>
      <c r="H2275" s="131">
        <f>IFERROR(__xludf.DUMMYFUNCTION("""COMPUTED_VALUE"""),160155.0)</f>
        <v>160155</v>
      </c>
      <c r="I2275" s="144" t="str">
        <f>IFERROR(__xludf.DUMMYFUNCTION("""COMPUTED_VALUE"""),"12/18")</f>
        <v>12/18</v>
      </c>
      <c r="J2275" s="129">
        <f>IFERROR(__xludf.DUMMYFUNCTION("""COMPUTED_VALUE"""),43453.0)</f>
        <v>43453</v>
      </c>
      <c r="K2275" s="133">
        <f>IFERROR(__xludf.DUMMYFUNCTION("""COMPUTED_VALUE"""),58.0)</f>
        <v>58</v>
      </c>
      <c r="L2275" s="133">
        <f>IFERROR(__xludf.DUMMYFUNCTION("""COMPUTED_VALUE"""),3.0)</f>
        <v>3</v>
      </c>
      <c r="M2275" s="133">
        <f>IFERROR(__xludf.DUMMYFUNCTION("""COMPUTED_VALUE"""),61.0)</f>
        <v>61</v>
      </c>
      <c r="N2275" s="152" t="str">
        <f>IFERROR(__xludf.DUMMYFUNCTION("""COMPUTED_VALUE"""),"Model 3 MR")</f>
        <v>Model 3 MR</v>
      </c>
      <c r="O2275" s="152" t="str">
        <f>IFERROR(__xludf.DUMMYFUNCTION("""COMPUTED_VALUE"""),"Deep Blue Metallic")</f>
        <v>Deep Blue Metallic</v>
      </c>
      <c r="P2275" s="153" t="str">
        <f>IFERROR(__xludf.DUMMYFUNCTION("""COMPUTED_VALUE"""),"18 inch Aero")</f>
        <v>18 inch Aero</v>
      </c>
      <c r="Q2275" s="152" t="str">
        <f>IFERROR(__xludf.DUMMYFUNCTION("""COMPUTED_VALUE"""),"Black seats")</f>
        <v>Black seats</v>
      </c>
      <c r="R2275" s="149" t="str">
        <f>IFERROR(__xludf.DUMMYFUNCTION("""COMPUTED_VALUE"""),"Enhanced Autopilot")</f>
        <v>Enhanced Autopilot</v>
      </c>
      <c r="S2275" s="149"/>
      <c r="T2275" s="145"/>
      <c r="U2275" s="145"/>
      <c r="V2275" s="145"/>
      <c r="W2275" s="136"/>
      <c r="X2275" s="137"/>
      <c r="Y2275" s="138"/>
      <c r="Z2275" s="138" t="str">
        <f>IFERROR(__xludf.DUMMYFUNCTION("""COMPUTED_VALUE"""),"Excellent")</f>
        <v>Excellent</v>
      </c>
      <c r="AA2275" s="138" t="str">
        <f>IFERROR(__xludf.DUMMYFUNCTION("""COMPUTED_VALUE"""),"Very Good")</f>
        <v>Very Good</v>
      </c>
      <c r="AB2275" s="138" t="str">
        <f>IFERROR(__xludf.DUMMYFUNCTION("""COMPUTED_VALUE"""),"Very Good")</f>
        <v>Very Good</v>
      </c>
      <c r="AC2275" s="139"/>
      <c r="AD2275" s="139"/>
      <c r="AE2275" s="139"/>
      <c r="AF2275" s="140"/>
      <c r="AG2275" s="136"/>
      <c r="AH2275" s="157">
        <f>IFERROR(__xludf.DUMMYFUNCTION("""COMPUTED_VALUE"""),43453.745314328706)</f>
        <v>43453.74531</v>
      </c>
      <c r="AI2275" s="138"/>
      <c r="AJ2275" s="138"/>
      <c r="AK2275" s="138"/>
      <c r="AL2275" s="142"/>
    </row>
    <row r="2276" ht="20.25" customHeight="1">
      <c r="A2276" s="155" t="str">
        <f>IFERROR(__xludf.DUMMYFUNCTION("""COMPUTED_VALUE"""),"Bazoo777")</f>
        <v>Bazoo777</v>
      </c>
      <c r="B2276" s="149" t="str">
        <f>IFERROR(__xludf.DUMMYFUNCTION("""COMPUTED_VALUE"""),"Montreal")</f>
        <v>Montreal</v>
      </c>
      <c r="C2276" s="149" t="str">
        <f>IFERROR(__xludf.DUMMYFUNCTION("""COMPUTED_VALUE"""),"QC")</f>
        <v>QC</v>
      </c>
      <c r="D2276" s="149" t="str">
        <f>IFERROR(__xludf.DUMMYFUNCTION("""COMPUTED_VALUE"""),"Canada")</f>
        <v>Canada</v>
      </c>
      <c r="E2276" s="156">
        <f>IFERROR(__xludf.DUMMYFUNCTION("""COMPUTED_VALUE"""),43392.0)</f>
        <v>43392</v>
      </c>
      <c r="F2276" s="129"/>
      <c r="G2276" s="154"/>
      <c r="H2276" s="131">
        <f>IFERROR(__xludf.DUMMYFUNCTION("""COMPUTED_VALUE"""),183115.0)</f>
        <v>183115</v>
      </c>
      <c r="I2276" s="144"/>
      <c r="J2276" s="129">
        <f>IFERROR(__xludf.DUMMYFUNCTION("""COMPUTED_VALUE"""),43459.0)</f>
        <v>43459</v>
      </c>
      <c r="K2276" s="133"/>
      <c r="L2276" s="133"/>
      <c r="M2276" s="133">
        <f>IFERROR(__xludf.DUMMYFUNCTION("""COMPUTED_VALUE"""),67.0)</f>
        <v>67</v>
      </c>
      <c r="N2276" s="152" t="str">
        <f>IFERROR(__xludf.DUMMYFUNCTION("""COMPUTED_VALUE"""),"Model 3 MR")</f>
        <v>Model 3 MR</v>
      </c>
      <c r="O2276" s="152" t="str">
        <f>IFERROR(__xludf.DUMMYFUNCTION("""COMPUTED_VALUE"""),"Solid Black")</f>
        <v>Solid Black</v>
      </c>
      <c r="P2276" s="153" t="str">
        <f>IFERROR(__xludf.DUMMYFUNCTION("""COMPUTED_VALUE"""),"19 inch Sport")</f>
        <v>19 inch Sport</v>
      </c>
      <c r="Q2276" s="152" t="str">
        <f>IFERROR(__xludf.DUMMYFUNCTION("""COMPUTED_VALUE"""),"White seats")</f>
        <v>White seats</v>
      </c>
      <c r="R2276" s="149" t="str">
        <f>IFERROR(__xludf.DUMMYFUNCTION("""COMPUTED_VALUE"""),"Full Self-Driving")</f>
        <v>Full Self-Driving</v>
      </c>
      <c r="S2276" s="149"/>
      <c r="T2276" s="145"/>
      <c r="U2276" s="145"/>
      <c r="V2276" s="145"/>
      <c r="W2276" s="136"/>
      <c r="X2276" s="137" t="str">
        <f>IFERROR(__xludf.DUMMYFUNCTION("""COMPUTED_VALUE"""),"Excellent")</f>
        <v>Excellent</v>
      </c>
      <c r="Y2276" s="138" t="str">
        <f>IFERROR(__xludf.DUMMYFUNCTION("""COMPUTED_VALUE"""),"Good")</f>
        <v>Good</v>
      </c>
      <c r="Z2276" s="138" t="str">
        <f>IFERROR(__xludf.DUMMYFUNCTION("""COMPUTED_VALUE"""),"Good")</f>
        <v>Good</v>
      </c>
      <c r="AA2276" s="138" t="str">
        <f>IFERROR(__xludf.DUMMYFUNCTION("""COMPUTED_VALUE"""),"Very Good")</f>
        <v>Very Good</v>
      </c>
      <c r="AB2276" s="138" t="str">
        <f>IFERROR(__xludf.DUMMYFUNCTION("""COMPUTED_VALUE"""),"Very Good")</f>
        <v>Very Good</v>
      </c>
      <c r="AC2276" s="139">
        <f>IFERROR(__xludf.DUMMYFUNCTION("""COMPUTED_VALUE"""),2.0)</f>
        <v>2</v>
      </c>
      <c r="AD2276" s="139">
        <f>IFERROR(__xludf.DUMMYFUNCTION("""COMPUTED_VALUE"""),1.0)</f>
        <v>1</v>
      </c>
      <c r="AE2276" s="139">
        <f>IFERROR(__xludf.DUMMYFUNCTION("""COMPUTED_VALUE"""),0.0)</f>
        <v>0</v>
      </c>
      <c r="AF2276" s="140"/>
      <c r="AG2276" s="136"/>
      <c r="AH2276" s="157">
        <f>IFERROR(__xludf.DUMMYFUNCTION("""COMPUTED_VALUE"""),43769.51949976852)</f>
        <v>43769.5195</v>
      </c>
      <c r="AI2276" s="138"/>
      <c r="AJ2276" s="138"/>
      <c r="AK2276" s="138"/>
      <c r="AL2276" s="142"/>
    </row>
    <row r="2277" ht="20.25" customHeight="1">
      <c r="A2277" s="155" t="str">
        <f>IFERROR(__xludf.DUMMYFUNCTION("""COMPUTED_VALUE"""),"bbissell")</f>
        <v>bbissell</v>
      </c>
      <c r="B2277" s="149" t="str">
        <f>IFERROR(__xludf.DUMMYFUNCTION("""COMPUTED_VALUE"""),"Boston")</f>
        <v>Boston</v>
      </c>
      <c r="C2277" s="149" t="str">
        <f>IFERROR(__xludf.DUMMYFUNCTION("""COMPUTED_VALUE"""),"MA")</f>
        <v>MA</v>
      </c>
      <c r="D2277" s="149" t="str">
        <f>IFERROR(__xludf.DUMMYFUNCTION("""COMPUTED_VALUE"""),"USA")</f>
        <v>USA</v>
      </c>
      <c r="E2277" s="156">
        <f>IFERROR(__xludf.DUMMYFUNCTION("""COMPUTED_VALUE"""),43392.0)</f>
        <v>43392</v>
      </c>
      <c r="F2277" s="129"/>
      <c r="G2277" s="154"/>
      <c r="H2277" s="131">
        <f>IFERROR(__xludf.DUMMYFUNCTION("""COMPUTED_VALUE"""),153655.0)</f>
        <v>153655</v>
      </c>
      <c r="I2277" s="144"/>
      <c r="J2277" s="129">
        <f>IFERROR(__xludf.DUMMYFUNCTION("""COMPUTED_VALUE"""),43449.0)</f>
        <v>43449</v>
      </c>
      <c r="K2277" s="133"/>
      <c r="L2277" s="133"/>
      <c r="M2277" s="133">
        <f>IFERROR(__xludf.DUMMYFUNCTION("""COMPUTED_VALUE"""),57.0)</f>
        <v>57</v>
      </c>
      <c r="N2277" s="152" t="str">
        <f>IFERROR(__xludf.DUMMYFUNCTION("""COMPUTED_VALUE"""),"Model 3 MR")</f>
        <v>Model 3 MR</v>
      </c>
      <c r="O2277" s="152" t="str">
        <f>IFERROR(__xludf.DUMMYFUNCTION("""COMPUTED_VALUE"""),"Midnight Silver Metallic")</f>
        <v>Midnight Silver Metallic</v>
      </c>
      <c r="P2277" s="153" t="str">
        <f>IFERROR(__xludf.DUMMYFUNCTION("""COMPUTED_VALUE"""),"18 inch Aero")</f>
        <v>18 inch Aero</v>
      </c>
      <c r="Q2277" s="152" t="str">
        <f>IFERROR(__xludf.DUMMYFUNCTION("""COMPUTED_VALUE"""),"Black seats")</f>
        <v>Black seats</v>
      </c>
      <c r="R2277" s="149" t="str">
        <f>IFERROR(__xludf.DUMMYFUNCTION("""COMPUTED_VALUE"""),"None")</f>
        <v>None</v>
      </c>
      <c r="S2277" s="149"/>
      <c r="T2277" s="145"/>
      <c r="U2277" s="145"/>
      <c r="V2277" s="145"/>
      <c r="W2277" s="136"/>
      <c r="X2277" s="137" t="str">
        <f>IFERROR(__xludf.DUMMYFUNCTION("""COMPUTED_VALUE"""),"Excellent")</f>
        <v>Excellent</v>
      </c>
      <c r="Y2277" s="138" t="str">
        <f>IFERROR(__xludf.DUMMYFUNCTION("""COMPUTED_VALUE"""),"Excellent")</f>
        <v>Excellent</v>
      </c>
      <c r="Z2277" s="138" t="str">
        <f>IFERROR(__xludf.DUMMYFUNCTION("""COMPUTED_VALUE"""),"Excellent")</f>
        <v>Excellent</v>
      </c>
      <c r="AA2277" s="138" t="str">
        <f>IFERROR(__xludf.DUMMYFUNCTION("""COMPUTED_VALUE"""),"Fair")</f>
        <v>Fair</v>
      </c>
      <c r="AB2277" s="138" t="str">
        <f>IFERROR(__xludf.DUMMYFUNCTION("""COMPUTED_VALUE"""),"Good")</f>
        <v>Good</v>
      </c>
      <c r="AC2277" s="139"/>
      <c r="AD2277" s="139"/>
      <c r="AE2277" s="139"/>
      <c r="AF2277" s="140"/>
      <c r="AG2277" s="136"/>
      <c r="AH2277" s="157">
        <f>IFERROR(__xludf.DUMMYFUNCTION("""COMPUTED_VALUE"""),43451.37554646991)</f>
        <v>43451.37555</v>
      </c>
      <c r="AI2277" s="138"/>
      <c r="AJ2277" s="138"/>
      <c r="AK2277" s="138"/>
      <c r="AL2277" s="142"/>
    </row>
    <row r="2278" ht="20.25" customHeight="1">
      <c r="A2278" s="155" t="str">
        <f>IFERROR(__xludf.DUMMYFUNCTION("""COMPUTED_VALUE"""),"Daniel_a_g86")</f>
        <v>Daniel_a_g86</v>
      </c>
      <c r="B2278" s="149"/>
      <c r="C2278" s="149" t="str">
        <f>IFERROR(__xludf.DUMMYFUNCTION("""COMPUTED_VALUE"""),"OH")</f>
        <v>OH</v>
      </c>
      <c r="D2278" s="149" t="str">
        <f>IFERROR(__xludf.DUMMYFUNCTION("""COMPUTED_VALUE"""),"USA")</f>
        <v>USA</v>
      </c>
      <c r="E2278" s="156">
        <f>IFERROR(__xludf.DUMMYFUNCTION("""COMPUTED_VALUE"""),43392.0)</f>
        <v>43392</v>
      </c>
      <c r="F2278" s="129">
        <f>IFERROR(__xludf.DUMMYFUNCTION("""COMPUTED_VALUE"""),43442.0)</f>
        <v>43442</v>
      </c>
      <c r="G2278" s="154"/>
      <c r="H2278" s="131">
        <f>IFERROR(__xludf.DUMMYFUNCTION("""COMPUTED_VALUE"""),155855.0)</f>
        <v>155855</v>
      </c>
      <c r="I2278" s="144" t="str">
        <f>IFERROR(__xludf.DUMMYFUNCTION("""COMPUTED_VALUE"""),"12/18")</f>
        <v>12/18</v>
      </c>
      <c r="J2278" s="129">
        <f>IFERROR(__xludf.DUMMYFUNCTION("""COMPUTED_VALUE"""),43449.0)</f>
        <v>43449</v>
      </c>
      <c r="K2278" s="133">
        <f>IFERROR(__xludf.DUMMYFUNCTION("""COMPUTED_VALUE"""),50.0)</f>
        <v>50</v>
      </c>
      <c r="L2278" s="133">
        <f>IFERROR(__xludf.DUMMYFUNCTION("""COMPUTED_VALUE"""),7.0)</f>
        <v>7</v>
      </c>
      <c r="M2278" s="133">
        <f>IFERROR(__xludf.DUMMYFUNCTION("""COMPUTED_VALUE"""),57.0)</f>
        <v>57</v>
      </c>
      <c r="N2278" s="152" t="str">
        <f>IFERROR(__xludf.DUMMYFUNCTION("""COMPUTED_VALUE"""),"Model 3 MR")</f>
        <v>Model 3 MR</v>
      </c>
      <c r="O2278" s="152" t="str">
        <f>IFERROR(__xludf.DUMMYFUNCTION("""COMPUTED_VALUE"""),"Deep Blue Metallic")</f>
        <v>Deep Blue Metallic</v>
      </c>
      <c r="P2278" s="153" t="str">
        <f>IFERROR(__xludf.DUMMYFUNCTION("""COMPUTED_VALUE"""),"18 inch Aero")</f>
        <v>18 inch Aero</v>
      </c>
      <c r="Q2278" s="152" t="str">
        <f>IFERROR(__xludf.DUMMYFUNCTION("""COMPUTED_VALUE"""),"White seats")</f>
        <v>White seats</v>
      </c>
      <c r="R2278" s="149" t="str">
        <f>IFERROR(__xludf.DUMMYFUNCTION("""COMPUTED_VALUE"""),"None")</f>
        <v>None</v>
      </c>
      <c r="S2278" s="149"/>
      <c r="T2278" s="145"/>
      <c r="U2278" s="145"/>
      <c r="V2278" s="145"/>
      <c r="W2278" s="136"/>
      <c r="X2278" s="137" t="str">
        <f>IFERROR(__xludf.DUMMYFUNCTION("""COMPUTED_VALUE"""),"Very Good")</f>
        <v>Very Good</v>
      </c>
      <c r="Y2278" s="138" t="str">
        <f>IFERROR(__xludf.DUMMYFUNCTION("""COMPUTED_VALUE"""),"Excellent")</f>
        <v>Excellent</v>
      </c>
      <c r="Z2278" s="138" t="str">
        <f>IFERROR(__xludf.DUMMYFUNCTION("""COMPUTED_VALUE"""),"Good")</f>
        <v>Good</v>
      </c>
      <c r="AA2278" s="138" t="str">
        <f>IFERROR(__xludf.DUMMYFUNCTION("""COMPUTED_VALUE"""),"Very Good")</f>
        <v>Very Good</v>
      </c>
      <c r="AB2278" s="138" t="str">
        <f>IFERROR(__xludf.DUMMYFUNCTION("""COMPUTED_VALUE"""),"Very Good")</f>
        <v>Very Good</v>
      </c>
      <c r="AC2278" s="139">
        <f>IFERROR(__xludf.DUMMYFUNCTION("""COMPUTED_VALUE"""),14.0)</f>
        <v>14</v>
      </c>
      <c r="AD2278" s="139">
        <f>IFERROR(__xludf.DUMMYFUNCTION("""COMPUTED_VALUE"""),27.0)</f>
        <v>27</v>
      </c>
      <c r="AE2278" s="139">
        <f>IFERROR(__xludf.DUMMYFUNCTION("""COMPUTED_VALUE"""),27.0)</f>
        <v>27</v>
      </c>
      <c r="AF2278" s="140"/>
      <c r="AG2278" s="136" t="str">
        <f>IFERROR(__xludf.DUMMYFUNCTION("""COMPUTED_VALUE"""),"Originally configured LR RWD on 10/14/18, had a VIN on 10/17/18 w/ delivery scheduled for 10/21/18. When news of midrange version came out on 10/18/18 I worked with Tesla to change my order. That happened on 10/19/19. Delivery date was assigned on 12/7/18"&amp;" for 12/15/18 but VIN didn't appear until the next day, 12/8/18. Delivery went well and was fast, they seemed to want me to get out because they had many more deliveries.  But they did say I had 3 days to log any issues.  I sent an email with a variety of"&amp;" paint defects and they did address them all.  It took just shy of 4 weeks though because the paint shop took nearly 3 weeks to address them all.  The work was great though and once receiving back have had no issues since.  Car is great, love everything a"&amp;"bout it.")</f>
        <v>Originally configured LR RWD on 10/14/18, had a VIN on 10/17/18 w/ delivery scheduled for 10/21/18. When news of midrange version came out on 10/18/18 I worked with Tesla to change my order. That happened on 10/19/19. Delivery date was assigned on 12/7/18 for 12/15/18 but VIN didn't appear until the next day, 12/8/18. Delivery went well and was fast, they seemed to want me to get out because they had many more deliveries.  But they did say I had 3 days to log any issues.  I sent an email with a variety of paint defects and they did address them all.  It took just shy of 4 weeks though because the paint shop took nearly 3 weeks to address them all.  The work was great though and once receiving back have had no issues since.  Car is great, love everything about it.</v>
      </c>
      <c r="AH2278" s="157">
        <f>IFERROR(__xludf.DUMMYFUNCTION("""COMPUTED_VALUE"""),43514.77800784723)</f>
        <v>43514.77801</v>
      </c>
      <c r="AI2278" s="138"/>
      <c r="AJ2278" s="138"/>
      <c r="AK2278" s="138"/>
      <c r="AL2278" s="142"/>
    </row>
    <row r="2279" ht="20.25" customHeight="1">
      <c r="A2279" s="155" t="str">
        <f>IFERROR(__xludf.DUMMYFUNCTION("""COMPUTED_VALUE"""),"eponerine")</f>
        <v>eponerine</v>
      </c>
      <c r="B2279" s="149"/>
      <c r="C2279" s="149" t="str">
        <f>IFERROR(__xludf.DUMMYFUNCTION("""COMPUTED_VALUE"""),"NJ")</f>
        <v>NJ</v>
      </c>
      <c r="D2279" s="149" t="str">
        <f>IFERROR(__xludf.DUMMYFUNCTION("""COMPUTED_VALUE"""),"USA")</f>
        <v>USA</v>
      </c>
      <c r="E2279" s="156">
        <f>IFERROR(__xludf.DUMMYFUNCTION("""COMPUTED_VALUE"""),43392.0)</f>
        <v>43392</v>
      </c>
      <c r="F2279" s="129">
        <f>IFERROR(__xludf.DUMMYFUNCTION("""COMPUTED_VALUE"""),43409.0)</f>
        <v>43409</v>
      </c>
      <c r="G2279" s="154"/>
      <c r="H2279" s="131">
        <f>IFERROR(__xludf.DUMMYFUNCTION("""COMPUTED_VALUE"""),151791.0)</f>
        <v>151791</v>
      </c>
      <c r="I2279" s="144" t="str">
        <f>IFERROR(__xludf.DUMMYFUNCTION("""COMPUTED_VALUE"""),"11/18")</f>
        <v>11/18</v>
      </c>
      <c r="J2279" s="129">
        <f>IFERROR(__xludf.DUMMYFUNCTION("""COMPUTED_VALUE"""),43428.0)</f>
        <v>43428</v>
      </c>
      <c r="K2279" s="133">
        <f>IFERROR(__xludf.DUMMYFUNCTION("""COMPUTED_VALUE"""),17.0)</f>
        <v>17</v>
      </c>
      <c r="L2279" s="133">
        <f>IFERROR(__xludf.DUMMYFUNCTION("""COMPUTED_VALUE"""),19.0)</f>
        <v>19</v>
      </c>
      <c r="M2279" s="133">
        <f>IFERROR(__xludf.DUMMYFUNCTION("""COMPUTED_VALUE"""),36.0)</f>
        <v>36</v>
      </c>
      <c r="N2279" s="152" t="str">
        <f>IFERROR(__xludf.DUMMYFUNCTION("""COMPUTED_VALUE"""),"Model 3 MR")</f>
        <v>Model 3 MR</v>
      </c>
      <c r="O2279" s="152" t="str">
        <f>IFERROR(__xludf.DUMMYFUNCTION("""COMPUTED_VALUE"""),"Solid Black")</f>
        <v>Solid Black</v>
      </c>
      <c r="P2279" s="153" t="str">
        <f>IFERROR(__xludf.DUMMYFUNCTION("""COMPUTED_VALUE"""),"18 inch Aero")</f>
        <v>18 inch Aero</v>
      </c>
      <c r="Q2279" s="152" t="str">
        <f>IFERROR(__xludf.DUMMYFUNCTION("""COMPUTED_VALUE"""),"Black seats")</f>
        <v>Black seats</v>
      </c>
      <c r="R2279" s="149" t="str">
        <f>IFERROR(__xludf.DUMMYFUNCTION("""COMPUTED_VALUE"""),"None")</f>
        <v>None</v>
      </c>
      <c r="S2279" s="149"/>
      <c r="T2279" s="145"/>
      <c r="U2279" s="145"/>
      <c r="V2279" s="145"/>
      <c r="W2279" s="136"/>
      <c r="X2279" s="137" t="str">
        <f>IFERROR(__xludf.DUMMYFUNCTION("""COMPUTED_VALUE"""),"Very Good")</f>
        <v>Very Good</v>
      </c>
      <c r="Y2279" s="138" t="str">
        <f>IFERROR(__xludf.DUMMYFUNCTION("""COMPUTED_VALUE"""),"Very Good")</f>
        <v>Very Good</v>
      </c>
      <c r="Z2279" s="138" t="str">
        <f>IFERROR(__xludf.DUMMYFUNCTION("""COMPUTED_VALUE"""),"Very Good")</f>
        <v>Very Good</v>
      </c>
      <c r="AA2279" s="138" t="str">
        <f>IFERROR(__xludf.DUMMYFUNCTION("""COMPUTED_VALUE"""),"Very Good")</f>
        <v>Very Good</v>
      </c>
      <c r="AB2279" s="138" t="str">
        <f>IFERROR(__xludf.DUMMYFUNCTION("""COMPUTED_VALUE"""),"Good")</f>
        <v>Good</v>
      </c>
      <c r="AC2279" s="139"/>
      <c r="AD2279" s="139"/>
      <c r="AE2279" s="139"/>
      <c r="AF2279" s="140"/>
      <c r="AG2279" s="136"/>
      <c r="AH2279" s="157">
        <f>IFERROR(__xludf.DUMMYFUNCTION("""COMPUTED_VALUE"""),43430.34099320602)</f>
        <v>43430.34099</v>
      </c>
      <c r="AI2279" s="138"/>
      <c r="AJ2279" s="138"/>
      <c r="AK2279" s="138"/>
      <c r="AL2279" s="142"/>
    </row>
    <row r="2280" ht="20.25" customHeight="1">
      <c r="A2280" s="155" t="str">
        <f>IFERROR(__xludf.DUMMYFUNCTION("""COMPUTED_VALUE"""),"gtf")</f>
        <v>gtf</v>
      </c>
      <c r="B2280" s="149"/>
      <c r="C2280" s="149" t="str">
        <f>IFERROR(__xludf.DUMMYFUNCTION("""COMPUTED_VALUE"""),"OR")</f>
        <v>OR</v>
      </c>
      <c r="D2280" s="149" t="str">
        <f>IFERROR(__xludf.DUMMYFUNCTION("""COMPUTED_VALUE"""),"USA")</f>
        <v>USA</v>
      </c>
      <c r="E2280" s="156">
        <f>IFERROR(__xludf.DUMMYFUNCTION("""COMPUTED_VALUE"""),43392.0)</f>
        <v>43392</v>
      </c>
      <c r="F2280" s="129">
        <f>IFERROR(__xludf.DUMMYFUNCTION("""COMPUTED_VALUE"""),43437.0)</f>
        <v>43437</v>
      </c>
      <c r="G2280" s="154"/>
      <c r="H2280" s="131">
        <f>IFERROR(__xludf.DUMMYFUNCTION("""COMPUTED_VALUE"""),152075.0)</f>
        <v>152075</v>
      </c>
      <c r="I2280" s="144" t="str">
        <f>IFERROR(__xludf.DUMMYFUNCTION("""COMPUTED_VALUE"""),"12/18")</f>
        <v>12/18</v>
      </c>
      <c r="J2280" s="129">
        <f>IFERROR(__xludf.DUMMYFUNCTION("""COMPUTED_VALUE"""),43439.0)</f>
        <v>43439</v>
      </c>
      <c r="K2280" s="133">
        <f>IFERROR(__xludf.DUMMYFUNCTION("""COMPUTED_VALUE"""),45.0)</f>
        <v>45</v>
      </c>
      <c r="L2280" s="133">
        <f>IFERROR(__xludf.DUMMYFUNCTION("""COMPUTED_VALUE"""),2.0)</f>
        <v>2</v>
      </c>
      <c r="M2280" s="133">
        <f>IFERROR(__xludf.DUMMYFUNCTION("""COMPUTED_VALUE"""),47.0)</f>
        <v>47</v>
      </c>
      <c r="N2280" s="152" t="str">
        <f>IFERROR(__xludf.DUMMYFUNCTION("""COMPUTED_VALUE"""),"Model 3 MR")</f>
        <v>Model 3 MR</v>
      </c>
      <c r="O2280" s="152" t="str">
        <f>IFERROR(__xludf.DUMMYFUNCTION("""COMPUTED_VALUE"""),"Solid Black")</f>
        <v>Solid Black</v>
      </c>
      <c r="P2280" s="153" t="str">
        <f>IFERROR(__xludf.DUMMYFUNCTION("""COMPUTED_VALUE"""),"18 inch Aero")</f>
        <v>18 inch Aero</v>
      </c>
      <c r="Q2280" s="152" t="str">
        <f>IFERROR(__xludf.DUMMYFUNCTION("""COMPUTED_VALUE"""),"Black seats")</f>
        <v>Black seats</v>
      </c>
      <c r="R2280" s="149" t="str">
        <f>IFERROR(__xludf.DUMMYFUNCTION("""COMPUTED_VALUE"""),"None")</f>
        <v>None</v>
      </c>
      <c r="S2280" s="149"/>
      <c r="T2280" s="145"/>
      <c r="U2280" s="145"/>
      <c r="V2280" s="145"/>
      <c r="W2280" s="136"/>
      <c r="X2280" s="137" t="str">
        <f>IFERROR(__xludf.DUMMYFUNCTION("""COMPUTED_VALUE"""),"Very Good")</f>
        <v>Very Good</v>
      </c>
      <c r="Y2280" s="138" t="str">
        <f>IFERROR(__xludf.DUMMYFUNCTION("""COMPUTED_VALUE"""),"Very Good")</f>
        <v>Very Good</v>
      </c>
      <c r="Z2280" s="138" t="str">
        <f>IFERROR(__xludf.DUMMYFUNCTION("""COMPUTED_VALUE"""),"Very Good")</f>
        <v>Very Good</v>
      </c>
      <c r="AA2280" s="138" t="str">
        <f>IFERROR(__xludf.DUMMYFUNCTION("""COMPUTED_VALUE"""),"Fair")</f>
        <v>Fair</v>
      </c>
      <c r="AB2280" s="138" t="str">
        <f>IFERROR(__xludf.DUMMYFUNCTION("""COMPUTED_VALUE"""),"Good")</f>
        <v>Good</v>
      </c>
      <c r="AC2280" s="139"/>
      <c r="AD2280" s="139"/>
      <c r="AE2280" s="139"/>
      <c r="AF2280" s="140"/>
      <c r="AG2280" s="136"/>
      <c r="AH2280" s="157">
        <f>IFERROR(__xludf.DUMMYFUNCTION("""COMPUTED_VALUE"""),43442.05210731481)</f>
        <v>43442.05211</v>
      </c>
      <c r="AI2280" s="138"/>
      <c r="AJ2280" s="138"/>
      <c r="AK2280" s="138"/>
      <c r="AL2280" s="142"/>
    </row>
    <row r="2281" ht="20.25" customHeight="1">
      <c r="A2281" s="155" t="str">
        <f>IFERROR(__xludf.DUMMYFUNCTION("""COMPUTED_VALUE"""),"hoodling")</f>
        <v>hoodling</v>
      </c>
      <c r="B2281" s="149" t="str">
        <f>IFERROR(__xludf.DUMMYFUNCTION("""COMPUTED_VALUE"""),"Portland")</f>
        <v>Portland</v>
      </c>
      <c r="C2281" s="149" t="str">
        <f>IFERROR(__xludf.DUMMYFUNCTION("""COMPUTED_VALUE"""),"OR")</f>
        <v>OR</v>
      </c>
      <c r="D2281" s="149" t="str">
        <f>IFERROR(__xludf.DUMMYFUNCTION("""COMPUTED_VALUE"""),"USA")</f>
        <v>USA</v>
      </c>
      <c r="E2281" s="156">
        <f>IFERROR(__xludf.DUMMYFUNCTION("""COMPUTED_VALUE"""),43392.0)</f>
        <v>43392</v>
      </c>
      <c r="F2281" s="129">
        <f>IFERROR(__xludf.DUMMYFUNCTION("""COMPUTED_VALUE"""),43405.0)</f>
        <v>43405</v>
      </c>
      <c r="G2281" s="154"/>
      <c r="H2281" s="131">
        <f>IFERROR(__xludf.DUMMYFUNCTION("""COMPUTED_VALUE"""),98655.0)</f>
        <v>98655</v>
      </c>
      <c r="I2281" s="144"/>
      <c r="J2281" s="129">
        <f>IFERROR(__xludf.DUMMYFUNCTION("""COMPUTED_VALUE"""),43407.0)</f>
        <v>43407</v>
      </c>
      <c r="K2281" s="133">
        <f>IFERROR(__xludf.DUMMYFUNCTION("""COMPUTED_VALUE"""),13.0)</f>
        <v>13</v>
      </c>
      <c r="L2281" s="133">
        <f>IFERROR(__xludf.DUMMYFUNCTION("""COMPUTED_VALUE"""),2.0)</f>
        <v>2</v>
      </c>
      <c r="M2281" s="133">
        <f>IFERROR(__xludf.DUMMYFUNCTION("""COMPUTED_VALUE"""),15.0)</f>
        <v>15</v>
      </c>
      <c r="N2281" s="152" t="str">
        <f>IFERROR(__xludf.DUMMYFUNCTION("""COMPUTED_VALUE"""),"Model 3 LR")</f>
        <v>Model 3 LR</v>
      </c>
      <c r="O2281" s="152" t="str">
        <f>IFERROR(__xludf.DUMMYFUNCTION("""COMPUTED_VALUE"""),"Solid Black")</f>
        <v>Solid Black</v>
      </c>
      <c r="P2281" s="153" t="str">
        <f>IFERROR(__xludf.DUMMYFUNCTION("""COMPUTED_VALUE"""),"18 inch Aero")</f>
        <v>18 inch Aero</v>
      </c>
      <c r="Q2281" s="152" t="str">
        <f>IFERROR(__xludf.DUMMYFUNCTION("""COMPUTED_VALUE"""),"Black seats")</f>
        <v>Black seats</v>
      </c>
      <c r="R2281" s="149" t="str">
        <f>IFERROR(__xludf.DUMMYFUNCTION("""COMPUTED_VALUE"""),"None")</f>
        <v>None</v>
      </c>
      <c r="S2281" s="149"/>
      <c r="T2281" s="145"/>
      <c r="U2281" s="145"/>
      <c r="V2281" s="145"/>
      <c r="W2281" s="136"/>
      <c r="X2281" s="137" t="str">
        <f>IFERROR(__xludf.DUMMYFUNCTION("""COMPUTED_VALUE"""),"Excellent")</f>
        <v>Excellent</v>
      </c>
      <c r="Y2281" s="138" t="str">
        <f>IFERROR(__xludf.DUMMYFUNCTION("""COMPUTED_VALUE"""),"Excellent")</f>
        <v>Excellent</v>
      </c>
      <c r="Z2281" s="138" t="str">
        <f>IFERROR(__xludf.DUMMYFUNCTION("""COMPUTED_VALUE"""),"Excellent")</f>
        <v>Excellent</v>
      </c>
      <c r="AA2281" s="138" t="str">
        <f>IFERROR(__xludf.DUMMYFUNCTION("""COMPUTED_VALUE"""),"Excellent")</f>
        <v>Excellent</v>
      </c>
      <c r="AB2281" s="138" t="str">
        <f>IFERROR(__xludf.DUMMYFUNCTION("""COMPUTED_VALUE"""),"Very Good")</f>
        <v>Very Good</v>
      </c>
      <c r="AC2281" s="139"/>
      <c r="AD2281" s="139"/>
      <c r="AE2281" s="139"/>
      <c r="AF2281" s="140"/>
      <c r="AG2281" s="136"/>
      <c r="AH2281" s="157">
        <f>IFERROR(__xludf.DUMMYFUNCTION("""COMPUTED_VALUE"""),43409.43565960648)</f>
        <v>43409.43566</v>
      </c>
      <c r="AI2281" s="138"/>
      <c r="AJ2281" s="138"/>
      <c r="AK2281" s="138"/>
      <c r="AL2281" s="142"/>
    </row>
    <row r="2282" ht="20.25" customHeight="1">
      <c r="A2282" s="155" t="str">
        <f>IFERROR(__xludf.DUMMYFUNCTION("""COMPUTED_VALUE"""),"jenfr")</f>
        <v>jenfr</v>
      </c>
      <c r="B2282" s="149" t="str">
        <f>IFERROR(__xludf.DUMMYFUNCTION("""COMPUTED_VALUE"""),"Portland")</f>
        <v>Portland</v>
      </c>
      <c r="C2282" s="149" t="str">
        <f>IFERROR(__xludf.DUMMYFUNCTION("""COMPUTED_VALUE"""),"OR")</f>
        <v>OR</v>
      </c>
      <c r="D2282" s="149" t="str">
        <f>IFERROR(__xludf.DUMMYFUNCTION("""COMPUTED_VALUE"""),"USA")</f>
        <v>USA</v>
      </c>
      <c r="E2282" s="156">
        <f>IFERROR(__xludf.DUMMYFUNCTION("""COMPUTED_VALUE"""),43392.0)</f>
        <v>43392</v>
      </c>
      <c r="F2282" s="129"/>
      <c r="G2282" s="154"/>
      <c r="H2282" s="131">
        <f>IFERROR(__xludf.DUMMYFUNCTION("""COMPUTED_VALUE"""),160255.0)</f>
        <v>160255</v>
      </c>
      <c r="I2282" s="144" t="str">
        <f>IFERROR(__xludf.DUMMYFUNCTION("""COMPUTED_VALUE"""),"12/18")</f>
        <v>12/18</v>
      </c>
      <c r="J2282" s="129">
        <f>IFERROR(__xludf.DUMMYFUNCTION("""COMPUTED_VALUE"""),43447.0)</f>
        <v>43447</v>
      </c>
      <c r="K2282" s="133"/>
      <c r="L2282" s="133"/>
      <c r="M2282" s="133">
        <f>IFERROR(__xludf.DUMMYFUNCTION("""COMPUTED_VALUE"""),55.0)</f>
        <v>55</v>
      </c>
      <c r="N2282" s="152" t="str">
        <f>IFERROR(__xludf.DUMMYFUNCTION("""COMPUTED_VALUE"""),"Model 3 MR")</f>
        <v>Model 3 MR</v>
      </c>
      <c r="O2282" s="152" t="str">
        <f>IFERROR(__xludf.DUMMYFUNCTION("""COMPUTED_VALUE"""),"Deep Blue Metallic")</f>
        <v>Deep Blue Metallic</v>
      </c>
      <c r="P2282" s="153" t="str">
        <f>IFERROR(__xludf.DUMMYFUNCTION("""COMPUTED_VALUE"""),"18 inch Aero")</f>
        <v>18 inch Aero</v>
      </c>
      <c r="Q2282" s="152" t="str">
        <f>IFERROR(__xludf.DUMMYFUNCTION("""COMPUTED_VALUE"""),"Black seats")</f>
        <v>Black seats</v>
      </c>
      <c r="R2282" s="149" t="str">
        <f>IFERROR(__xludf.DUMMYFUNCTION("""COMPUTED_VALUE"""),"None")</f>
        <v>None</v>
      </c>
      <c r="S2282" s="149"/>
      <c r="T2282" s="145"/>
      <c r="U2282" s="145"/>
      <c r="V2282" s="145"/>
      <c r="W2282" s="136"/>
      <c r="X2282" s="137" t="str">
        <f>IFERROR(__xludf.DUMMYFUNCTION("""COMPUTED_VALUE"""),"Excellent")</f>
        <v>Excellent</v>
      </c>
      <c r="Y2282" s="138" t="str">
        <f>IFERROR(__xludf.DUMMYFUNCTION("""COMPUTED_VALUE"""),"Excellent")</f>
        <v>Excellent</v>
      </c>
      <c r="Z2282" s="138" t="str">
        <f>IFERROR(__xludf.DUMMYFUNCTION("""COMPUTED_VALUE"""),"Excellent")</f>
        <v>Excellent</v>
      </c>
      <c r="AA2282" s="138" t="str">
        <f>IFERROR(__xludf.DUMMYFUNCTION("""COMPUTED_VALUE"""),"Excellent")</f>
        <v>Excellent</v>
      </c>
      <c r="AB2282" s="138" t="str">
        <f>IFERROR(__xludf.DUMMYFUNCTION("""COMPUTED_VALUE"""),"Excellent")</f>
        <v>Excellent</v>
      </c>
      <c r="AC2282" s="139"/>
      <c r="AD2282" s="139"/>
      <c r="AE2282" s="139"/>
      <c r="AF2282" s="140"/>
      <c r="AG2282" s="136"/>
      <c r="AH2282" s="157">
        <f>IFERROR(__xludf.DUMMYFUNCTION("""COMPUTED_VALUE"""),43458.70532862269)</f>
        <v>43458.70533</v>
      </c>
      <c r="AI2282" s="138"/>
      <c r="AJ2282" s="138"/>
      <c r="AK2282" s="138"/>
      <c r="AL2282" s="142"/>
    </row>
    <row r="2283" ht="20.25" customHeight="1">
      <c r="A2283" s="155" t="str">
        <f>IFERROR(__xludf.DUMMYFUNCTION("""COMPUTED_VALUE"""),"JO")</f>
        <v>JO</v>
      </c>
      <c r="B2283" s="149" t="str">
        <f>IFERROR(__xludf.DUMMYFUNCTION("""COMPUTED_VALUE"""),"Capital Region")</f>
        <v>Capital Region</v>
      </c>
      <c r="C2283" s="149" t="str">
        <f>IFERROR(__xludf.DUMMYFUNCTION("""COMPUTED_VALUE"""),"NY")</f>
        <v>NY</v>
      </c>
      <c r="D2283" s="149" t="str">
        <f>IFERROR(__xludf.DUMMYFUNCTION("""COMPUTED_VALUE"""),"USA")</f>
        <v>USA</v>
      </c>
      <c r="E2283" s="156">
        <f>IFERROR(__xludf.DUMMYFUNCTION("""COMPUTED_VALUE"""),43392.0)</f>
        <v>43392</v>
      </c>
      <c r="F2283" s="129">
        <f>IFERROR(__xludf.DUMMYFUNCTION("""COMPUTED_VALUE"""),43419.0)</f>
        <v>43419</v>
      </c>
      <c r="G2283" s="154"/>
      <c r="H2283" s="131">
        <f>IFERROR(__xludf.DUMMYFUNCTION("""COMPUTED_VALUE"""),153755.0)</f>
        <v>153755</v>
      </c>
      <c r="I2283" s="144" t="str">
        <f>IFERROR(__xludf.DUMMYFUNCTION("""COMPUTED_VALUE"""),"11/18")</f>
        <v>11/18</v>
      </c>
      <c r="J2283" s="129">
        <f>IFERROR(__xludf.DUMMYFUNCTION("""COMPUTED_VALUE"""),43429.0)</f>
        <v>43429</v>
      </c>
      <c r="K2283" s="133">
        <f>IFERROR(__xludf.DUMMYFUNCTION("""COMPUTED_VALUE"""),27.0)</f>
        <v>27</v>
      </c>
      <c r="L2283" s="133">
        <f>IFERROR(__xludf.DUMMYFUNCTION("""COMPUTED_VALUE"""),10.0)</f>
        <v>10</v>
      </c>
      <c r="M2283" s="133">
        <f>IFERROR(__xludf.DUMMYFUNCTION("""COMPUTED_VALUE"""),37.0)</f>
        <v>37</v>
      </c>
      <c r="N2283" s="152" t="str">
        <f>IFERROR(__xludf.DUMMYFUNCTION("""COMPUTED_VALUE"""),"Model 3 MR")</f>
        <v>Model 3 MR</v>
      </c>
      <c r="O2283" s="152" t="str">
        <f>IFERROR(__xludf.DUMMYFUNCTION("""COMPUTED_VALUE"""),"Midnight Silver Metallic")</f>
        <v>Midnight Silver Metallic</v>
      </c>
      <c r="P2283" s="153" t="str">
        <f>IFERROR(__xludf.DUMMYFUNCTION("""COMPUTED_VALUE"""),"18 inch Aero")</f>
        <v>18 inch Aero</v>
      </c>
      <c r="Q2283" s="152" t="str">
        <f>IFERROR(__xludf.DUMMYFUNCTION("""COMPUTED_VALUE"""),"Black seats")</f>
        <v>Black seats</v>
      </c>
      <c r="R2283" s="149" t="str">
        <f>IFERROR(__xludf.DUMMYFUNCTION("""COMPUTED_VALUE"""),"None")</f>
        <v>None</v>
      </c>
      <c r="S2283" s="149"/>
      <c r="T2283" s="145"/>
      <c r="U2283" s="145"/>
      <c r="V2283" s="145"/>
      <c r="W2283" s="136"/>
      <c r="X2283" s="137" t="str">
        <f>IFERROR(__xludf.DUMMYFUNCTION("""COMPUTED_VALUE"""),"Excellent")</f>
        <v>Excellent</v>
      </c>
      <c r="Y2283" s="138" t="str">
        <f>IFERROR(__xludf.DUMMYFUNCTION("""COMPUTED_VALUE"""),"Excellent")</f>
        <v>Excellent</v>
      </c>
      <c r="Z2283" s="138" t="str">
        <f>IFERROR(__xludf.DUMMYFUNCTION("""COMPUTED_VALUE"""),"Excellent")</f>
        <v>Excellent</v>
      </c>
      <c r="AA2283" s="138" t="str">
        <f>IFERROR(__xludf.DUMMYFUNCTION("""COMPUTED_VALUE"""),"Poor")</f>
        <v>Poor</v>
      </c>
      <c r="AB2283" s="138" t="str">
        <f>IFERROR(__xludf.DUMMYFUNCTION("""COMPUTED_VALUE"""),"Good")</f>
        <v>Good</v>
      </c>
      <c r="AC2283" s="139"/>
      <c r="AD2283" s="139"/>
      <c r="AE2283" s="139"/>
      <c r="AF2283" s="140"/>
      <c r="AG2283" s="136"/>
      <c r="AH2283" s="157">
        <f>IFERROR(__xludf.DUMMYFUNCTION("""COMPUTED_VALUE"""),43448.609282060184)</f>
        <v>43448.60928</v>
      </c>
      <c r="AI2283" s="138"/>
      <c r="AJ2283" s="138"/>
      <c r="AK2283" s="138"/>
      <c r="AL2283" s="142"/>
    </row>
    <row r="2284" ht="20.25" customHeight="1">
      <c r="A2284" s="155" t="str">
        <f>IFERROR(__xludf.DUMMYFUNCTION("""COMPUTED_VALUE"""),"kerbs17")</f>
        <v>kerbs17</v>
      </c>
      <c r="B2284" s="149" t="str">
        <f>IFERROR(__xludf.DUMMYFUNCTION("""COMPUTED_VALUE"""),"Portland")</f>
        <v>Portland</v>
      </c>
      <c r="C2284" s="149" t="str">
        <f>IFERROR(__xludf.DUMMYFUNCTION("""COMPUTED_VALUE"""),"OR")</f>
        <v>OR</v>
      </c>
      <c r="D2284" s="149" t="str">
        <f>IFERROR(__xludf.DUMMYFUNCTION("""COMPUTED_VALUE"""),"USA")</f>
        <v>USA</v>
      </c>
      <c r="E2284" s="156">
        <f>IFERROR(__xludf.DUMMYFUNCTION("""COMPUTED_VALUE"""),43392.0)</f>
        <v>43392</v>
      </c>
      <c r="F2284" s="129">
        <f>IFERROR(__xludf.DUMMYFUNCTION("""COMPUTED_VALUE"""),43452.0)</f>
        <v>43452</v>
      </c>
      <c r="G2284" s="154"/>
      <c r="H2284" s="131">
        <f>IFERROR(__xludf.DUMMYFUNCTION("""COMPUTED_VALUE"""),158155.0)</f>
        <v>158155</v>
      </c>
      <c r="I2284" s="144" t="str">
        <f>IFERROR(__xludf.DUMMYFUNCTION("""COMPUTED_VALUE"""),"12/18")</f>
        <v>12/18</v>
      </c>
      <c r="J2284" s="129">
        <f>IFERROR(__xludf.DUMMYFUNCTION("""COMPUTED_VALUE"""),43456.0)</f>
        <v>43456</v>
      </c>
      <c r="K2284" s="133">
        <f>IFERROR(__xludf.DUMMYFUNCTION("""COMPUTED_VALUE"""),60.0)</f>
        <v>60</v>
      </c>
      <c r="L2284" s="133">
        <f>IFERROR(__xludf.DUMMYFUNCTION("""COMPUTED_VALUE"""),4.0)</f>
        <v>4</v>
      </c>
      <c r="M2284" s="133">
        <f>IFERROR(__xludf.DUMMYFUNCTION("""COMPUTED_VALUE"""),64.0)</f>
        <v>64</v>
      </c>
      <c r="N2284" s="152" t="str">
        <f>IFERROR(__xludf.DUMMYFUNCTION("""COMPUTED_VALUE"""),"Model 3 MR")</f>
        <v>Model 3 MR</v>
      </c>
      <c r="O2284" s="152" t="str">
        <f>IFERROR(__xludf.DUMMYFUNCTION("""COMPUTED_VALUE"""),"Midnight Silver Metallic")</f>
        <v>Midnight Silver Metallic</v>
      </c>
      <c r="P2284" s="153" t="str">
        <f>IFERROR(__xludf.DUMMYFUNCTION("""COMPUTED_VALUE"""),"18 inch Aero")</f>
        <v>18 inch Aero</v>
      </c>
      <c r="Q2284" s="152" t="str">
        <f>IFERROR(__xludf.DUMMYFUNCTION("""COMPUTED_VALUE"""),"Black seats")</f>
        <v>Black seats</v>
      </c>
      <c r="R2284" s="149" t="str">
        <f>IFERROR(__xludf.DUMMYFUNCTION("""COMPUTED_VALUE"""),"Enhanced Autopilot")</f>
        <v>Enhanced Autopilot</v>
      </c>
      <c r="S2284" s="149"/>
      <c r="T2284" s="145"/>
      <c r="U2284" s="145"/>
      <c r="V2284" s="145"/>
      <c r="W2284" s="136"/>
      <c r="X2284" s="137" t="str">
        <f>IFERROR(__xludf.DUMMYFUNCTION("""COMPUTED_VALUE"""),"Excellent")</f>
        <v>Excellent</v>
      </c>
      <c r="Y2284" s="138" t="str">
        <f>IFERROR(__xludf.DUMMYFUNCTION("""COMPUTED_VALUE"""),"Excellent")</f>
        <v>Excellent</v>
      </c>
      <c r="Z2284" s="138" t="str">
        <f>IFERROR(__xludf.DUMMYFUNCTION("""COMPUTED_VALUE"""),"Excellent")</f>
        <v>Excellent</v>
      </c>
      <c r="AA2284" s="138" t="str">
        <f>IFERROR(__xludf.DUMMYFUNCTION("""COMPUTED_VALUE"""),"Good")</f>
        <v>Good</v>
      </c>
      <c r="AB2284" s="138" t="str">
        <f>IFERROR(__xludf.DUMMYFUNCTION("""COMPUTED_VALUE"""),"Very Good")</f>
        <v>Very Good</v>
      </c>
      <c r="AC2284" s="139">
        <f>IFERROR(__xludf.DUMMYFUNCTION("""COMPUTED_VALUE"""),0.0)</f>
        <v>0</v>
      </c>
      <c r="AD2284" s="139">
        <f>IFERROR(__xludf.DUMMYFUNCTION("""COMPUTED_VALUE"""),0.0)</f>
        <v>0</v>
      </c>
      <c r="AE2284" s="139">
        <f>IFERROR(__xludf.DUMMYFUNCTION("""COMPUTED_VALUE"""),0.0)</f>
        <v>0</v>
      </c>
      <c r="AF2284" s="140"/>
      <c r="AG2284" s="136"/>
      <c r="AH2284" s="157">
        <f>IFERROR(__xludf.DUMMYFUNCTION("""COMPUTED_VALUE"""),43487.93952846065)</f>
        <v>43487.93953</v>
      </c>
      <c r="AI2284" s="138"/>
      <c r="AJ2284" s="138"/>
      <c r="AK2284" s="138"/>
      <c r="AL2284" s="142"/>
    </row>
    <row r="2285" ht="20.25" customHeight="1">
      <c r="A2285" s="155" t="str">
        <f>IFERROR(__xludf.DUMMYFUNCTION("""COMPUTED_VALUE"""),"King Julien XIII")</f>
        <v>King Julien XIII</v>
      </c>
      <c r="B2285" s="149"/>
      <c r="C2285" s="149" t="str">
        <f>IFERROR(__xludf.DUMMYFUNCTION("""COMPUTED_VALUE"""),"OH")</f>
        <v>OH</v>
      </c>
      <c r="D2285" s="149" t="str">
        <f>IFERROR(__xludf.DUMMYFUNCTION("""COMPUTED_VALUE"""),"USA")</f>
        <v>USA</v>
      </c>
      <c r="E2285" s="156">
        <f>IFERROR(__xludf.DUMMYFUNCTION("""COMPUTED_VALUE"""),43392.0)</f>
        <v>43392</v>
      </c>
      <c r="F2285" s="129">
        <f>IFERROR(__xludf.DUMMYFUNCTION("""COMPUTED_VALUE"""),43419.0)</f>
        <v>43419</v>
      </c>
      <c r="G2285" s="154"/>
      <c r="H2285" s="131">
        <f>IFERROR(__xludf.DUMMYFUNCTION("""COMPUTED_VALUE"""),151655.0)</f>
        <v>151655</v>
      </c>
      <c r="I2285" s="144" t="str">
        <f>IFERROR(__xludf.DUMMYFUNCTION("""COMPUTED_VALUE"""),"11/18")</f>
        <v>11/18</v>
      </c>
      <c r="J2285" s="129">
        <f>IFERROR(__xludf.DUMMYFUNCTION("""COMPUTED_VALUE"""),43425.0)</f>
        <v>43425</v>
      </c>
      <c r="K2285" s="133">
        <f>IFERROR(__xludf.DUMMYFUNCTION("""COMPUTED_VALUE"""),27.0)</f>
        <v>27</v>
      </c>
      <c r="L2285" s="133">
        <f>IFERROR(__xludf.DUMMYFUNCTION("""COMPUTED_VALUE"""),6.0)</f>
        <v>6</v>
      </c>
      <c r="M2285" s="133">
        <f>IFERROR(__xludf.DUMMYFUNCTION("""COMPUTED_VALUE"""),33.0)</f>
        <v>33</v>
      </c>
      <c r="N2285" s="152" t="str">
        <f>IFERROR(__xludf.DUMMYFUNCTION("""COMPUTED_VALUE"""),"Model 3 MR")</f>
        <v>Model 3 MR</v>
      </c>
      <c r="O2285" s="152" t="str">
        <f>IFERROR(__xludf.DUMMYFUNCTION("""COMPUTED_VALUE"""),"Midnight Silver Metallic")</f>
        <v>Midnight Silver Metallic</v>
      </c>
      <c r="P2285" s="153" t="str">
        <f>IFERROR(__xludf.DUMMYFUNCTION("""COMPUTED_VALUE"""),"19 inch Sport")</f>
        <v>19 inch Sport</v>
      </c>
      <c r="Q2285" s="152" t="str">
        <f>IFERROR(__xludf.DUMMYFUNCTION("""COMPUTED_VALUE"""),"Black seats")</f>
        <v>Black seats</v>
      </c>
      <c r="R2285" s="149" t="str">
        <f>IFERROR(__xludf.DUMMYFUNCTION("""COMPUTED_VALUE"""),"Enhanced Autopilot")</f>
        <v>Enhanced Autopilot</v>
      </c>
      <c r="S2285" s="149"/>
      <c r="T2285" s="145"/>
      <c r="U2285" s="145"/>
      <c r="V2285" s="145"/>
      <c r="W2285" s="136"/>
      <c r="X2285" s="137" t="str">
        <f>IFERROR(__xludf.DUMMYFUNCTION("""COMPUTED_VALUE"""),"Excellent")</f>
        <v>Excellent</v>
      </c>
      <c r="Y2285" s="138" t="str">
        <f>IFERROR(__xludf.DUMMYFUNCTION("""COMPUTED_VALUE"""),"Excellent")</f>
        <v>Excellent</v>
      </c>
      <c r="Z2285" s="138" t="str">
        <f>IFERROR(__xludf.DUMMYFUNCTION("""COMPUTED_VALUE"""),"Excellent")</f>
        <v>Excellent</v>
      </c>
      <c r="AA2285" s="138" t="str">
        <f>IFERROR(__xludf.DUMMYFUNCTION("""COMPUTED_VALUE"""),"Fair")</f>
        <v>Fair</v>
      </c>
      <c r="AB2285" s="138" t="str">
        <f>IFERROR(__xludf.DUMMYFUNCTION("""COMPUTED_VALUE"""),"Very Good")</f>
        <v>Very Good</v>
      </c>
      <c r="AC2285" s="139">
        <f>IFERROR(__xludf.DUMMYFUNCTION("""COMPUTED_VALUE"""),0.0)</f>
        <v>0</v>
      </c>
      <c r="AD2285" s="139">
        <f>IFERROR(__xludf.DUMMYFUNCTION("""COMPUTED_VALUE"""),0.0)</f>
        <v>0</v>
      </c>
      <c r="AE2285" s="139">
        <f>IFERROR(__xludf.DUMMYFUNCTION("""COMPUTED_VALUE"""),0.0)</f>
        <v>0</v>
      </c>
      <c r="AF2285" s="140"/>
      <c r="AG2285" s="136"/>
      <c r="AH2285" s="157">
        <f>IFERROR(__xludf.DUMMYFUNCTION("""COMPUTED_VALUE"""),43430.290147106476)</f>
        <v>43430.29015</v>
      </c>
      <c r="AI2285" s="138"/>
      <c r="AJ2285" s="138"/>
      <c r="AK2285" s="138"/>
      <c r="AL2285" s="142"/>
    </row>
    <row r="2286" ht="20.25" customHeight="1">
      <c r="A2286" s="155" t="str">
        <f>IFERROR(__xludf.DUMMYFUNCTION("""COMPUTED_VALUE"""),"madrox17")</f>
        <v>madrox17</v>
      </c>
      <c r="B2286" s="149" t="str">
        <f>IFERROR(__xludf.DUMMYFUNCTION("""COMPUTED_VALUE"""),"Fort Wayne")</f>
        <v>Fort Wayne</v>
      </c>
      <c r="C2286" s="149" t="str">
        <f>IFERROR(__xludf.DUMMYFUNCTION("""COMPUTED_VALUE"""),"IN")</f>
        <v>IN</v>
      </c>
      <c r="D2286" s="149" t="str">
        <f>IFERROR(__xludf.DUMMYFUNCTION("""COMPUTED_VALUE"""),"USA")</f>
        <v>USA</v>
      </c>
      <c r="E2286" s="156">
        <f>IFERROR(__xludf.DUMMYFUNCTION("""COMPUTED_VALUE"""),43392.0)</f>
        <v>43392</v>
      </c>
      <c r="F2286" s="129">
        <f>IFERROR(__xludf.DUMMYFUNCTION("""COMPUTED_VALUE"""),43440.0)</f>
        <v>43440</v>
      </c>
      <c r="G2286" s="154"/>
      <c r="H2286" s="131">
        <f>IFERROR(__xludf.DUMMYFUNCTION("""COMPUTED_VALUE"""),169530.0)</f>
        <v>169530</v>
      </c>
      <c r="I2286" s="144" t="str">
        <f>IFERROR(__xludf.DUMMYFUNCTION("""COMPUTED_VALUE"""),"12/18")</f>
        <v>12/18</v>
      </c>
      <c r="J2286" s="129">
        <f>IFERROR(__xludf.DUMMYFUNCTION("""COMPUTED_VALUE"""),43448.0)</f>
        <v>43448</v>
      </c>
      <c r="K2286" s="133">
        <f>IFERROR(__xludf.DUMMYFUNCTION("""COMPUTED_VALUE"""),48.0)</f>
        <v>48</v>
      </c>
      <c r="L2286" s="133">
        <f>IFERROR(__xludf.DUMMYFUNCTION("""COMPUTED_VALUE"""),8.0)</f>
        <v>8</v>
      </c>
      <c r="M2286" s="133">
        <f>IFERROR(__xludf.DUMMYFUNCTION("""COMPUTED_VALUE"""),56.0)</f>
        <v>56</v>
      </c>
      <c r="N2286" s="152" t="str">
        <f>IFERROR(__xludf.DUMMYFUNCTION("""COMPUTED_VALUE"""),"Model 3 MR")</f>
        <v>Model 3 MR</v>
      </c>
      <c r="O2286" s="152" t="str">
        <f>IFERROR(__xludf.DUMMYFUNCTION("""COMPUTED_VALUE"""),"Pearl White Multi-Coat")</f>
        <v>Pearl White Multi-Coat</v>
      </c>
      <c r="P2286" s="153" t="str">
        <f>IFERROR(__xludf.DUMMYFUNCTION("""COMPUTED_VALUE"""),"19 inch Sport")</f>
        <v>19 inch Sport</v>
      </c>
      <c r="Q2286" s="152" t="str">
        <f>IFERROR(__xludf.DUMMYFUNCTION("""COMPUTED_VALUE"""),"White seats")</f>
        <v>White seats</v>
      </c>
      <c r="R2286" s="149" t="str">
        <f>IFERROR(__xludf.DUMMYFUNCTION("""COMPUTED_VALUE"""),"Enhanced Autopilot")</f>
        <v>Enhanced Autopilot</v>
      </c>
      <c r="S2286" s="149"/>
      <c r="T2286" s="145"/>
      <c r="U2286" s="145"/>
      <c r="V2286" s="145"/>
      <c r="W2286" s="136"/>
      <c r="X2286" s="137" t="str">
        <f>IFERROR(__xludf.DUMMYFUNCTION("""COMPUTED_VALUE"""),"Good")</f>
        <v>Good</v>
      </c>
      <c r="Y2286" s="138" t="str">
        <f>IFERROR(__xludf.DUMMYFUNCTION("""COMPUTED_VALUE"""),"Excellent")</f>
        <v>Excellent</v>
      </c>
      <c r="Z2286" s="138" t="str">
        <f>IFERROR(__xludf.DUMMYFUNCTION("""COMPUTED_VALUE"""),"Excellent")</f>
        <v>Excellent</v>
      </c>
      <c r="AA2286" s="138" t="str">
        <f>IFERROR(__xludf.DUMMYFUNCTION("""COMPUTED_VALUE"""),"Very Good")</f>
        <v>Very Good</v>
      </c>
      <c r="AB2286" s="138" t="str">
        <f>IFERROR(__xludf.DUMMYFUNCTION("""COMPUTED_VALUE"""),"Excellent")</f>
        <v>Excellent</v>
      </c>
      <c r="AC2286" s="139">
        <f>IFERROR(__xludf.DUMMYFUNCTION("""COMPUTED_VALUE"""),0.0)</f>
        <v>0</v>
      </c>
      <c r="AD2286" s="139">
        <f>IFERROR(__xludf.DUMMYFUNCTION("""COMPUTED_VALUE"""),0.0)</f>
        <v>0</v>
      </c>
      <c r="AE2286" s="139">
        <f>IFERROR(__xludf.DUMMYFUNCTION("""COMPUTED_VALUE"""),0.0)</f>
        <v>0</v>
      </c>
      <c r="AF2286" s="140"/>
      <c r="AG2286" s="136" t="str">
        <f>IFERROR(__xludf.DUMMYFUNCTION("""COMPUTED_VALUE"""),"Switched my Oct 15 LR order to MR")</f>
        <v>Switched my Oct 15 LR order to MR</v>
      </c>
      <c r="AH2286" s="157">
        <f>IFERROR(__xludf.DUMMYFUNCTION("""COMPUTED_VALUE"""),43542.47357967593)</f>
        <v>43542.47358</v>
      </c>
      <c r="AI2286" s="138"/>
      <c r="AJ2286" s="138"/>
      <c r="AK2286" s="138"/>
      <c r="AL2286" s="142"/>
    </row>
    <row r="2287" ht="20.25" customHeight="1">
      <c r="A2287" s="155" t="str">
        <f>IFERROR(__xludf.DUMMYFUNCTION("""COMPUTED_VALUE"""),"mikesyl27")</f>
        <v>mikesyl27</v>
      </c>
      <c r="B2287" s="149" t="str">
        <f>IFERROR(__xludf.DUMMYFUNCTION("""COMPUTED_VALUE"""),"Kissimmee")</f>
        <v>Kissimmee</v>
      </c>
      <c r="C2287" s="149" t="str">
        <f>IFERROR(__xludf.DUMMYFUNCTION("""COMPUTED_VALUE"""),"FL")</f>
        <v>FL</v>
      </c>
      <c r="D2287" s="149" t="str">
        <f>IFERROR(__xludf.DUMMYFUNCTION("""COMPUTED_VALUE"""),"USA")</f>
        <v>USA</v>
      </c>
      <c r="E2287" s="156">
        <f>IFERROR(__xludf.DUMMYFUNCTION("""COMPUTED_VALUE"""),43392.0)</f>
        <v>43392</v>
      </c>
      <c r="F2287" s="129">
        <f>IFERROR(__xludf.DUMMYFUNCTION("""COMPUTED_VALUE"""),43441.0)</f>
        <v>43441</v>
      </c>
      <c r="G2287" s="154"/>
      <c r="H2287" s="131">
        <f>IFERROR(__xludf.DUMMYFUNCTION("""COMPUTED_VALUE"""),155726.0)</f>
        <v>155726</v>
      </c>
      <c r="I2287" s="144"/>
      <c r="J2287" s="129">
        <f>IFERROR(__xludf.DUMMYFUNCTION("""COMPUTED_VALUE"""),43450.0)</f>
        <v>43450</v>
      </c>
      <c r="K2287" s="133">
        <f>IFERROR(__xludf.DUMMYFUNCTION("""COMPUTED_VALUE"""),49.0)</f>
        <v>49</v>
      </c>
      <c r="L2287" s="133">
        <f>IFERROR(__xludf.DUMMYFUNCTION("""COMPUTED_VALUE"""),9.0)</f>
        <v>9</v>
      </c>
      <c r="M2287" s="133">
        <f>IFERROR(__xludf.DUMMYFUNCTION("""COMPUTED_VALUE"""),58.0)</f>
        <v>58</v>
      </c>
      <c r="N2287" s="152" t="str">
        <f>IFERROR(__xludf.DUMMYFUNCTION("""COMPUTED_VALUE"""),"Model 3 MR")</f>
        <v>Model 3 MR</v>
      </c>
      <c r="O2287" s="152" t="str">
        <f>IFERROR(__xludf.DUMMYFUNCTION("""COMPUTED_VALUE"""),"Deep Blue Metallic")</f>
        <v>Deep Blue Metallic</v>
      </c>
      <c r="P2287" s="153" t="str">
        <f>IFERROR(__xludf.DUMMYFUNCTION("""COMPUTED_VALUE"""),"18 inch Aero")</f>
        <v>18 inch Aero</v>
      </c>
      <c r="Q2287" s="152" t="str">
        <f>IFERROR(__xludf.DUMMYFUNCTION("""COMPUTED_VALUE"""),"White seats")</f>
        <v>White seats</v>
      </c>
      <c r="R2287" s="149" t="str">
        <f>IFERROR(__xludf.DUMMYFUNCTION("""COMPUTED_VALUE"""),"Full Self-Driving")</f>
        <v>Full Self-Driving</v>
      </c>
      <c r="S2287" s="149"/>
      <c r="T2287" s="145"/>
      <c r="U2287" s="145"/>
      <c r="V2287" s="145"/>
      <c r="W2287" s="136"/>
      <c r="X2287" s="137" t="str">
        <f>IFERROR(__xludf.DUMMYFUNCTION("""COMPUTED_VALUE"""),"Excellent")</f>
        <v>Excellent</v>
      </c>
      <c r="Y2287" s="138" t="str">
        <f>IFERROR(__xludf.DUMMYFUNCTION("""COMPUTED_VALUE"""),"Excellent")</f>
        <v>Excellent</v>
      </c>
      <c r="Z2287" s="138" t="str">
        <f>IFERROR(__xludf.DUMMYFUNCTION("""COMPUTED_VALUE"""),"Very Good")</f>
        <v>Very Good</v>
      </c>
      <c r="AA2287" s="138" t="str">
        <f>IFERROR(__xludf.DUMMYFUNCTION("""COMPUTED_VALUE"""),"Excellent")</f>
        <v>Excellent</v>
      </c>
      <c r="AB2287" s="138" t="str">
        <f>IFERROR(__xludf.DUMMYFUNCTION("""COMPUTED_VALUE"""),"Excellent")</f>
        <v>Excellent</v>
      </c>
      <c r="AC2287" s="139">
        <f>IFERROR(__xludf.DUMMYFUNCTION("""COMPUTED_VALUE"""),2.0)</f>
        <v>2</v>
      </c>
      <c r="AD2287" s="139"/>
      <c r="AE2287" s="139"/>
      <c r="AF2287" s="140"/>
      <c r="AG2287" s="136" t="str">
        <f>IFERROR(__xludf.DUMMYFUNCTION("""COMPUTED_VALUE"""),"Scratches on rear bumper. ")</f>
        <v>Scratches on rear bumper. </v>
      </c>
      <c r="AH2287" s="157">
        <f>IFERROR(__xludf.DUMMYFUNCTION("""COMPUTED_VALUE"""),43451.54082732639)</f>
        <v>43451.54083</v>
      </c>
      <c r="AI2287" s="138"/>
      <c r="AJ2287" s="138"/>
      <c r="AK2287" s="138"/>
      <c r="AL2287" s="142"/>
    </row>
    <row r="2288" ht="20.25" customHeight="1">
      <c r="A2288" s="155" t="str">
        <f>IFERROR(__xludf.DUMMYFUNCTION("""COMPUTED_VALUE"""),"rileytp")</f>
        <v>rileytp</v>
      </c>
      <c r="B2288" s="149" t="str">
        <f>IFERROR(__xludf.DUMMYFUNCTION("""COMPUTED_VALUE"""),"Summerville")</f>
        <v>Summerville</v>
      </c>
      <c r="C2288" s="149" t="str">
        <f>IFERROR(__xludf.DUMMYFUNCTION("""COMPUTED_VALUE"""),"SC")</f>
        <v>SC</v>
      </c>
      <c r="D2288" s="149" t="str">
        <f>IFERROR(__xludf.DUMMYFUNCTION("""COMPUTED_VALUE"""),"USA")</f>
        <v>USA</v>
      </c>
      <c r="E2288" s="156">
        <f>IFERROR(__xludf.DUMMYFUNCTION("""COMPUTED_VALUE"""),43392.0)</f>
        <v>43392</v>
      </c>
      <c r="F2288" s="129">
        <f>IFERROR(__xludf.DUMMYFUNCTION("""COMPUTED_VALUE"""),43430.0)</f>
        <v>43430</v>
      </c>
      <c r="G2288" s="154"/>
      <c r="H2288" s="131"/>
      <c r="I2288" s="144"/>
      <c r="J2288" s="129">
        <f>IFERROR(__xludf.DUMMYFUNCTION("""COMPUTED_VALUE"""),43450.0)</f>
        <v>43450</v>
      </c>
      <c r="K2288" s="133">
        <f>IFERROR(__xludf.DUMMYFUNCTION("""COMPUTED_VALUE"""),38.0)</f>
        <v>38</v>
      </c>
      <c r="L2288" s="133">
        <f>IFERROR(__xludf.DUMMYFUNCTION("""COMPUTED_VALUE"""),20.0)</f>
        <v>20</v>
      </c>
      <c r="M2288" s="133">
        <f>IFERROR(__xludf.DUMMYFUNCTION("""COMPUTED_VALUE"""),58.0)</f>
        <v>58</v>
      </c>
      <c r="N2288" s="152" t="str">
        <f>IFERROR(__xludf.DUMMYFUNCTION("""COMPUTED_VALUE"""),"Model 3 MR")</f>
        <v>Model 3 MR</v>
      </c>
      <c r="O2288" s="152" t="str">
        <f>IFERROR(__xludf.DUMMYFUNCTION("""COMPUTED_VALUE"""),"Midnight Silver Metallic")</f>
        <v>Midnight Silver Metallic</v>
      </c>
      <c r="P2288" s="153" t="str">
        <f>IFERROR(__xludf.DUMMYFUNCTION("""COMPUTED_VALUE"""),"19 inch Sport")</f>
        <v>19 inch Sport</v>
      </c>
      <c r="Q2288" s="152" t="str">
        <f>IFERROR(__xludf.DUMMYFUNCTION("""COMPUTED_VALUE"""),"Black seats")</f>
        <v>Black seats</v>
      </c>
      <c r="R2288" s="149" t="str">
        <f>IFERROR(__xludf.DUMMYFUNCTION("""COMPUTED_VALUE"""),"None")</f>
        <v>None</v>
      </c>
      <c r="S2288" s="149"/>
      <c r="T2288" s="145"/>
      <c r="U2288" s="145"/>
      <c r="V2288" s="145"/>
      <c r="W2288" s="136"/>
      <c r="X2288" s="137" t="str">
        <f>IFERROR(__xludf.DUMMYFUNCTION("""COMPUTED_VALUE"""),"Very Good")</f>
        <v>Very Good</v>
      </c>
      <c r="Y2288" s="138" t="str">
        <f>IFERROR(__xludf.DUMMYFUNCTION("""COMPUTED_VALUE"""),"Very Good")</f>
        <v>Very Good</v>
      </c>
      <c r="Z2288" s="138" t="str">
        <f>IFERROR(__xludf.DUMMYFUNCTION("""COMPUTED_VALUE"""),"Excellent")</f>
        <v>Excellent</v>
      </c>
      <c r="AA2288" s="138" t="str">
        <f>IFERROR(__xludf.DUMMYFUNCTION("""COMPUTED_VALUE"""),"Fair")</f>
        <v>Fair</v>
      </c>
      <c r="AB2288" s="138" t="str">
        <f>IFERROR(__xludf.DUMMYFUNCTION("""COMPUTED_VALUE"""),"Good")</f>
        <v>Good</v>
      </c>
      <c r="AC2288" s="139">
        <f>IFERROR(__xludf.DUMMYFUNCTION("""COMPUTED_VALUE"""),0.0)</f>
        <v>0</v>
      </c>
      <c r="AD2288" s="139"/>
      <c r="AE2288" s="139"/>
      <c r="AF2288" s="140"/>
      <c r="AG2288" s="136" t="str">
        <f>IFERROR(__xludf.DUMMYFUNCTION("""COMPUTED_VALUE"""),"Car got stuck in Charlotte for several weeks due to snow.  It was delivered via third party and main Tesla Office didn't know the schedule.  Local Dealership was better informed but we had to continuously call")</f>
        <v>Car got stuck in Charlotte for several weeks due to snow.  It was delivered via third party and main Tesla Office didn't know the schedule.  Local Dealership was better informed but we had to continuously call</v>
      </c>
      <c r="AH2288" s="157">
        <f>IFERROR(__xludf.DUMMYFUNCTION("""COMPUTED_VALUE"""),43454.55434908564)</f>
        <v>43454.55435</v>
      </c>
      <c r="AI2288" s="138"/>
      <c r="AJ2288" s="138"/>
      <c r="AK2288" s="138"/>
      <c r="AL2288" s="142"/>
    </row>
    <row r="2289" ht="20.25" customHeight="1">
      <c r="A2289" s="155" t="str">
        <f>IFERROR(__xludf.DUMMYFUNCTION("""COMPUTED_VALUE"""),"skyofblueseaofgreen")</f>
        <v>skyofblueseaofgreen</v>
      </c>
      <c r="B2289" s="149" t="str">
        <f>IFERROR(__xludf.DUMMYFUNCTION("""COMPUTED_VALUE"""),"Los Angeles")</f>
        <v>Los Angeles</v>
      </c>
      <c r="C2289" s="149" t="str">
        <f>IFERROR(__xludf.DUMMYFUNCTION("""COMPUTED_VALUE"""),"CA")</f>
        <v>CA</v>
      </c>
      <c r="D2289" s="149" t="str">
        <f>IFERROR(__xludf.DUMMYFUNCTION("""COMPUTED_VALUE"""),"USA")</f>
        <v>USA</v>
      </c>
      <c r="E2289" s="156">
        <f>IFERROR(__xludf.DUMMYFUNCTION("""COMPUTED_VALUE"""),43392.0)</f>
        <v>43392</v>
      </c>
      <c r="F2289" s="129">
        <f>IFERROR(__xludf.DUMMYFUNCTION("""COMPUTED_VALUE"""),43424.0)</f>
        <v>43424</v>
      </c>
      <c r="G2289" s="154"/>
      <c r="H2289" s="131">
        <f>IFERROR(__xludf.DUMMYFUNCTION("""COMPUTED_VALUE"""),153033.0)</f>
        <v>153033</v>
      </c>
      <c r="I2289" s="144"/>
      <c r="J2289" s="129">
        <f>IFERROR(__xludf.DUMMYFUNCTION("""COMPUTED_VALUE"""),-617652.0)</f>
        <v>-617652</v>
      </c>
      <c r="K2289" s="133">
        <f>IFERROR(__xludf.DUMMYFUNCTION("""COMPUTED_VALUE"""),32.0)</f>
        <v>32</v>
      </c>
      <c r="L2289" s="133"/>
      <c r="M2289" s="133"/>
      <c r="N2289" s="152" t="str">
        <f>IFERROR(__xludf.DUMMYFUNCTION("""COMPUTED_VALUE"""),"Model 3 MR")</f>
        <v>Model 3 MR</v>
      </c>
      <c r="O2289" s="152" t="str">
        <f>IFERROR(__xludf.DUMMYFUNCTION("""COMPUTED_VALUE"""),"Pearl White Multi-Coat")</f>
        <v>Pearl White Multi-Coat</v>
      </c>
      <c r="P2289" s="153" t="str">
        <f>IFERROR(__xludf.DUMMYFUNCTION("""COMPUTED_VALUE"""),"18 inch Aero")</f>
        <v>18 inch Aero</v>
      </c>
      <c r="Q2289" s="152" t="str">
        <f>IFERROR(__xludf.DUMMYFUNCTION("""COMPUTED_VALUE"""),"Black seats")</f>
        <v>Black seats</v>
      </c>
      <c r="R2289" s="149" t="str">
        <f>IFERROR(__xludf.DUMMYFUNCTION("""COMPUTED_VALUE"""),"None")</f>
        <v>None</v>
      </c>
      <c r="S2289" s="149"/>
      <c r="T2289" s="145"/>
      <c r="U2289" s="145"/>
      <c r="V2289" s="145"/>
      <c r="W2289" s="136"/>
      <c r="X2289" s="137" t="str">
        <f>IFERROR(__xludf.DUMMYFUNCTION("""COMPUTED_VALUE"""),"Very Good")</f>
        <v>Very Good</v>
      </c>
      <c r="Y2289" s="138" t="str">
        <f>IFERROR(__xludf.DUMMYFUNCTION("""COMPUTED_VALUE"""),"Excellent")</f>
        <v>Excellent</v>
      </c>
      <c r="Z2289" s="138" t="str">
        <f>IFERROR(__xludf.DUMMYFUNCTION("""COMPUTED_VALUE"""),"Excellent")</f>
        <v>Excellent</v>
      </c>
      <c r="AA2289" s="138" t="str">
        <f>IFERROR(__xludf.DUMMYFUNCTION("""COMPUTED_VALUE"""),"Very Good")</f>
        <v>Very Good</v>
      </c>
      <c r="AB2289" s="138" t="str">
        <f>IFERROR(__xludf.DUMMYFUNCTION("""COMPUTED_VALUE"""),"Excellent")</f>
        <v>Excellent</v>
      </c>
      <c r="AC2289" s="139"/>
      <c r="AD2289" s="139"/>
      <c r="AE2289" s="139"/>
      <c r="AF2289" s="140"/>
      <c r="AG2289" s="136"/>
      <c r="AH2289" s="157">
        <f>IFERROR(__xludf.DUMMYFUNCTION("""COMPUTED_VALUE"""),43439.94542939815)</f>
        <v>43439.94543</v>
      </c>
      <c r="AI2289" s="138"/>
      <c r="AJ2289" s="138"/>
      <c r="AK2289" s="138"/>
      <c r="AL2289" s="142"/>
    </row>
    <row r="2290" ht="20.25" customHeight="1">
      <c r="A2290" s="155" t="str">
        <f>IFERROR(__xludf.DUMMYFUNCTION("""COMPUTED_VALUE"""),"stevehendler")</f>
        <v>stevehendler</v>
      </c>
      <c r="B2290" s="149"/>
      <c r="C2290" s="149" t="str">
        <f>IFERROR(__xludf.DUMMYFUNCTION("""COMPUTED_VALUE"""),"NJ")</f>
        <v>NJ</v>
      </c>
      <c r="D2290" s="149" t="str">
        <f>IFERROR(__xludf.DUMMYFUNCTION("""COMPUTED_VALUE"""),"USA")</f>
        <v>USA</v>
      </c>
      <c r="E2290" s="156">
        <f>IFERROR(__xludf.DUMMYFUNCTION("""COMPUTED_VALUE"""),43392.0)</f>
        <v>43392</v>
      </c>
      <c r="F2290" s="129"/>
      <c r="G2290" s="154"/>
      <c r="H2290" s="131">
        <f>IFERROR(__xludf.DUMMYFUNCTION("""COMPUTED_VALUE"""),154287.0)</f>
        <v>154287</v>
      </c>
      <c r="I2290" s="144"/>
      <c r="J2290" s="129">
        <f>IFERROR(__xludf.DUMMYFUNCTION("""COMPUTED_VALUE"""),43433.0)</f>
        <v>43433</v>
      </c>
      <c r="K2290" s="133"/>
      <c r="L2290" s="133"/>
      <c r="M2290" s="133">
        <f>IFERROR(__xludf.DUMMYFUNCTION("""COMPUTED_VALUE"""),41.0)</f>
        <v>41</v>
      </c>
      <c r="N2290" s="152" t="str">
        <f>IFERROR(__xludf.DUMMYFUNCTION("""COMPUTED_VALUE"""),"Model 3 MR")</f>
        <v>Model 3 MR</v>
      </c>
      <c r="O2290" s="152" t="str">
        <f>IFERROR(__xludf.DUMMYFUNCTION("""COMPUTED_VALUE"""),"Deep Blue Metallic")</f>
        <v>Deep Blue Metallic</v>
      </c>
      <c r="P2290" s="153" t="str">
        <f>IFERROR(__xludf.DUMMYFUNCTION("""COMPUTED_VALUE"""),"18 inch Aero")</f>
        <v>18 inch Aero</v>
      </c>
      <c r="Q2290" s="152" t="str">
        <f>IFERROR(__xludf.DUMMYFUNCTION("""COMPUTED_VALUE"""),"Black seats")</f>
        <v>Black seats</v>
      </c>
      <c r="R2290" s="149" t="str">
        <f>IFERROR(__xludf.DUMMYFUNCTION("""COMPUTED_VALUE"""),"None")</f>
        <v>None</v>
      </c>
      <c r="S2290" s="149"/>
      <c r="T2290" s="145"/>
      <c r="U2290" s="145"/>
      <c r="V2290" s="145"/>
      <c r="W2290" s="136"/>
      <c r="X2290" s="137"/>
      <c r="Y2290" s="138"/>
      <c r="Z2290" s="138"/>
      <c r="AA2290" s="138" t="str">
        <f>IFERROR(__xludf.DUMMYFUNCTION("""COMPUTED_VALUE"""),"Poor")</f>
        <v>Poor</v>
      </c>
      <c r="AB2290" s="138"/>
      <c r="AC2290" s="139"/>
      <c r="AD2290" s="139"/>
      <c r="AE2290" s="139"/>
      <c r="AF2290" s="140"/>
      <c r="AG2290" s="136"/>
      <c r="AH2290" s="157">
        <f>IFERROR(__xludf.DUMMYFUNCTION("""COMPUTED_VALUE"""),43425.46195356481)</f>
        <v>43425.46195</v>
      </c>
      <c r="AI2290" s="138"/>
      <c r="AJ2290" s="138"/>
      <c r="AK2290" s="138"/>
      <c r="AL2290" s="142"/>
    </row>
    <row r="2291" ht="20.25" customHeight="1">
      <c r="A2291" s="155" t="str">
        <f>IFERROR(__xludf.DUMMYFUNCTION("""COMPUTED_VALUE"""),"stevewen")</f>
        <v>stevewen</v>
      </c>
      <c r="B2291" s="149"/>
      <c r="C2291" s="149" t="str">
        <f>IFERROR(__xludf.DUMMYFUNCTION("""COMPUTED_VALUE"""),"MD")</f>
        <v>MD</v>
      </c>
      <c r="D2291" s="149" t="str">
        <f>IFERROR(__xludf.DUMMYFUNCTION("""COMPUTED_VALUE"""),"USA")</f>
        <v>USA</v>
      </c>
      <c r="E2291" s="156">
        <f>IFERROR(__xludf.DUMMYFUNCTION("""COMPUTED_VALUE"""),43392.0)</f>
        <v>43392</v>
      </c>
      <c r="F2291" s="129">
        <f>IFERROR(__xludf.DUMMYFUNCTION("""COMPUTED_VALUE"""),43420.0)</f>
        <v>43420</v>
      </c>
      <c r="G2291" s="154"/>
      <c r="H2291" s="131">
        <f>IFERROR(__xludf.DUMMYFUNCTION("""COMPUTED_VALUE"""),154255.0)</f>
        <v>154255</v>
      </c>
      <c r="I2291" s="144" t="str">
        <f>IFERROR(__xludf.DUMMYFUNCTION("""COMPUTED_VALUE"""),"11/18")</f>
        <v>11/18</v>
      </c>
      <c r="J2291" s="129">
        <f>IFERROR(__xludf.DUMMYFUNCTION("""COMPUTED_VALUE"""),43434.0)</f>
        <v>43434</v>
      </c>
      <c r="K2291" s="133">
        <f>IFERROR(__xludf.DUMMYFUNCTION("""COMPUTED_VALUE"""),28.0)</f>
        <v>28</v>
      </c>
      <c r="L2291" s="133">
        <f>IFERROR(__xludf.DUMMYFUNCTION("""COMPUTED_VALUE"""),14.0)</f>
        <v>14</v>
      </c>
      <c r="M2291" s="133">
        <f>IFERROR(__xludf.DUMMYFUNCTION("""COMPUTED_VALUE"""),42.0)</f>
        <v>42</v>
      </c>
      <c r="N2291" s="152" t="str">
        <f>IFERROR(__xludf.DUMMYFUNCTION("""COMPUTED_VALUE"""),"Model 3 MR")</f>
        <v>Model 3 MR</v>
      </c>
      <c r="O2291" s="152" t="str">
        <f>IFERROR(__xludf.DUMMYFUNCTION("""COMPUTED_VALUE"""),"Deep Blue Metallic")</f>
        <v>Deep Blue Metallic</v>
      </c>
      <c r="P2291" s="153" t="str">
        <f>IFERROR(__xludf.DUMMYFUNCTION("""COMPUTED_VALUE"""),"18 inch Aero")</f>
        <v>18 inch Aero</v>
      </c>
      <c r="Q2291" s="152" t="str">
        <f>IFERROR(__xludf.DUMMYFUNCTION("""COMPUTED_VALUE"""),"Black seats")</f>
        <v>Black seats</v>
      </c>
      <c r="R2291" s="149" t="str">
        <f>IFERROR(__xludf.DUMMYFUNCTION("""COMPUTED_VALUE"""),"Enhanced Autopilot")</f>
        <v>Enhanced Autopilot</v>
      </c>
      <c r="S2291" s="149"/>
      <c r="T2291" s="145"/>
      <c r="U2291" s="145"/>
      <c r="V2291" s="145"/>
      <c r="W2291" s="136"/>
      <c r="X2291" s="137" t="str">
        <f>IFERROR(__xludf.DUMMYFUNCTION("""COMPUTED_VALUE"""),"Excellent")</f>
        <v>Excellent</v>
      </c>
      <c r="Y2291" s="138" t="str">
        <f>IFERROR(__xludf.DUMMYFUNCTION("""COMPUTED_VALUE"""),"Excellent")</f>
        <v>Excellent</v>
      </c>
      <c r="Z2291" s="138" t="str">
        <f>IFERROR(__xludf.DUMMYFUNCTION("""COMPUTED_VALUE"""),"Excellent")</f>
        <v>Excellent</v>
      </c>
      <c r="AA2291" s="138" t="str">
        <f>IFERROR(__xludf.DUMMYFUNCTION("""COMPUTED_VALUE"""),"Excellent")</f>
        <v>Excellent</v>
      </c>
      <c r="AB2291" s="138" t="str">
        <f>IFERROR(__xludf.DUMMYFUNCTION("""COMPUTED_VALUE"""),"Excellent")</f>
        <v>Excellent</v>
      </c>
      <c r="AC2291" s="139">
        <f>IFERROR(__xludf.DUMMYFUNCTION("""COMPUTED_VALUE"""),0.0)</f>
        <v>0</v>
      </c>
      <c r="AD2291" s="139">
        <f>IFERROR(__xludf.DUMMYFUNCTION("""COMPUTED_VALUE"""),0.0)</f>
        <v>0</v>
      </c>
      <c r="AE2291" s="139">
        <f>IFERROR(__xludf.DUMMYFUNCTION("""COMPUTED_VALUE"""),0.0)</f>
        <v>0</v>
      </c>
      <c r="AF2291" s="140"/>
      <c r="AG2291" s="136" t="str">
        <f>IFERROR(__xludf.DUMMYFUNCTION("""COMPUTED_VALUE"""),"VIN number was obtained via email request. Did not appear on Tesla account until after delivery.")</f>
        <v>VIN number was obtained via email request. Did not appear on Tesla account until after delivery.</v>
      </c>
      <c r="AH2291" s="157">
        <f>IFERROR(__xludf.DUMMYFUNCTION("""COMPUTED_VALUE"""),43468.48455363426)</f>
        <v>43468.48455</v>
      </c>
      <c r="AI2291" s="138"/>
      <c r="AJ2291" s="138"/>
      <c r="AK2291" s="138"/>
      <c r="AL2291" s="142"/>
    </row>
    <row r="2292" ht="20.25" customHeight="1">
      <c r="A2292" s="155" t="str">
        <f>IFERROR(__xludf.DUMMYFUNCTION("""COMPUTED_VALUE"""),"SubbaraoVadapalli")</f>
        <v>SubbaraoVadapalli</v>
      </c>
      <c r="B2292" s="149" t="str">
        <f>IFERROR(__xludf.DUMMYFUNCTION("""COMPUTED_VALUE"""),"Los Angeles")</f>
        <v>Los Angeles</v>
      </c>
      <c r="C2292" s="149" t="str">
        <f>IFERROR(__xludf.DUMMYFUNCTION("""COMPUTED_VALUE"""),"CA")</f>
        <v>CA</v>
      </c>
      <c r="D2292" s="149" t="str">
        <f>IFERROR(__xludf.DUMMYFUNCTION("""COMPUTED_VALUE"""),"USA")</f>
        <v>USA</v>
      </c>
      <c r="E2292" s="156">
        <f>IFERROR(__xludf.DUMMYFUNCTION("""COMPUTED_VALUE"""),43392.0)</f>
        <v>43392</v>
      </c>
      <c r="F2292" s="129">
        <f>IFERROR(__xludf.DUMMYFUNCTION("""COMPUTED_VALUE"""),43444.0)</f>
        <v>43444</v>
      </c>
      <c r="G2292" s="154"/>
      <c r="H2292" s="131">
        <f>IFERROR(__xludf.DUMMYFUNCTION("""COMPUTED_VALUE"""),160192.0)</f>
        <v>160192</v>
      </c>
      <c r="I2292" s="144" t="str">
        <f>IFERROR(__xludf.DUMMYFUNCTION("""COMPUTED_VALUE"""),"12/18")</f>
        <v>12/18</v>
      </c>
      <c r="J2292" s="129">
        <f>IFERROR(__xludf.DUMMYFUNCTION("""COMPUTED_VALUE"""),43452.0)</f>
        <v>43452</v>
      </c>
      <c r="K2292" s="133">
        <f>IFERROR(__xludf.DUMMYFUNCTION("""COMPUTED_VALUE"""),52.0)</f>
        <v>52</v>
      </c>
      <c r="L2292" s="133">
        <f>IFERROR(__xludf.DUMMYFUNCTION("""COMPUTED_VALUE"""),8.0)</f>
        <v>8</v>
      </c>
      <c r="M2292" s="133">
        <f>IFERROR(__xludf.DUMMYFUNCTION("""COMPUTED_VALUE"""),60.0)</f>
        <v>60</v>
      </c>
      <c r="N2292" s="152" t="str">
        <f>IFERROR(__xludf.DUMMYFUNCTION("""COMPUTED_VALUE"""),"Model 3 MR")</f>
        <v>Model 3 MR</v>
      </c>
      <c r="O2292" s="152" t="str">
        <f>IFERROR(__xludf.DUMMYFUNCTION("""COMPUTED_VALUE"""),"Deep Blue Metallic")</f>
        <v>Deep Blue Metallic</v>
      </c>
      <c r="P2292" s="153" t="str">
        <f>IFERROR(__xludf.DUMMYFUNCTION("""COMPUTED_VALUE"""),"18 inch Aero")</f>
        <v>18 inch Aero</v>
      </c>
      <c r="Q2292" s="152" t="str">
        <f>IFERROR(__xludf.DUMMYFUNCTION("""COMPUTED_VALUE"""),"Black seats")</f>
        <v>Black seats</v>
      </c>
      <c r="R2292" s="149" t="str">
        <f>IFERROR(__xludf.DUMMYFUNCTION("""COMPUTED_VALUE"""),"None")</f>
        <v>None</v>
      </c>
      <c r="S2292" s="149"/>
      <c r="T2292" s="145"/>
      <c r="U2292" s="145"/>
      <c r="V2292" s="145"/>
      <c r="W2292" s="136"/>
      <c r="X2292" s="137" t="str">
        <f>IFERROR(__xludf.DUMMYFUNCTION("""COMPUTED_VALUE"""),"Excellent")</f>
        <v>Excellent</v>
      </c>
      <c r="Y2292" s="138" t="str">
        <f>IFERROR(__xludf.DUMMYFUNCTION("""COMPUTED_VALUE"""),"Excellent")</f>
        <v>Excellent</v>
      </c>
      <c r="Z2292" s="138" t="str">
        <f>IFERROR(__xludf.DUMMYFUNCTION("""COMPUTED_VALUE"""),"Excellent")</f>
        <v>Excellent</v>
      </c>
      <c r="AA2292" s="138" t="str">
        <f>IFERROR(__xludf.DUMMYFUNCTION("""COMPUTED_VALUE"""),"Good")</f>
        <v>Good</v>
      </c>
      <c r="AB2292" s="138" t="str">
        <f>IFERROR(__xludf.DUMMYFUNCTION("""COMPUTED_VALUE"""),"Very Good")</f>
        <v>Very Good</v>
      </c>
      <c r="AC2292" s="139"/>
      <c r="AD2292" s="139"/>
      <c r="AE2292" s="139"/>
      <c r="AF2292" s="140"/>
      <c r="AG2292" s="136"/>
      <c r="AH2292" s="157">
        <f>IFERROR(__xludf.DUMMYFUNCTION("""COMPUTED_VALUE"""),43453.67975053241)</f>
        <v>43453.67975</v>
      </c>
      <c r="AI2292" s="138"/>
      <c r="AJ2292" s="138"/>
      <c r="AK2292" s="138"/>
      <c r="AL2292" s="142"/>
    </row>
    <row r="2293" ht="20.25" customHeight="1">
      <c r="A2293" s="155" t="str">
        <f>IFERROR(__xludf.DUMMYFUNCTION("""COMPUTED_VALUE"""),"SustainSul")</f>
        <v>SustainSul</v>
      </c>
      <c r="B2293" s="149"/>
      <c r="C2293" s="149" t="str">
        <f>IFERROR(__xludf.DUMMYFUNCTION("""COMPUTED_VALUE"""),"CA")</f>
        <v>CA</v>
      </c>
      <c r="D2293" s="149" t="str">
        <f>IFERROR(__xludf.DUMMYFUNCTION("""COMPUTED_VALUE"""),"USA")</f>
        <v>USA</v>
      </c>
      <c r="E2293" s="156">
        <f>IFERROR(__xludf.DUMMYFUNCTION("""COMPUTED_VALUE"""),43392.0)</f>
        <v>43392</v>
      </c>
      <c r="F2293" s="129">
        <f>IFERROR(__xludf.DUMMYFUNCTION("""COMPUTED_VALUE"""),43417.0)</f>
        <v>43417</v>
      </c>
      <c r="G2293" s="154"/>
      <c r="H2293" s="131">
        <f>IFERROR(__xludf.DUMMYFUNCTION("""COMPUTED_VALUE"""),153675.0)</f>
        <v>153675</v>
      </c>
      <c r="I2293" s="144"/>
      <c r="J2293" s="129">
        <f>IFERROR(__xludf.DUMMYFUNCTION("""COMPUTED_VALUE"""),43425.0)</f>
        <v>43425</v>
      </c>
      <c r="K2293" s="133">
        <f>IFERROR(__xludf.DUMMYFUNCTION("""COMPUTED_VALUE"""),25.0)</f>
        <v>25</v>
      </c>
      <c r="L2293" s="133">
        <f>IFERROR(__xludf.DUMMYFUNCTION("""COMPUTED_VALUE"""),8.0)</f>
        <v>8</v>
      </c>
      <c r="M2293" s="133">
        <f>IFERROR(__xludf.DUMMYFUNCTION("""COMPUTED_VALUE"""),33.0)</f>
        <v>33</v>
      </c>
      <c r="N2293" s="152" t="str">
        <f>IFERROR(__xludf.DUMMYFUNCTION("""COMPUTED_VALUE"""),"Model 3 MR")</f>
        <v>Model 3 MR</v>
      </c>
      <c r="O2293" s="152" t="str">
        <f>IFERROR(__xludf.DUMMYFUNCTION("""COMPUTED_VALUE"""),"Midnight Silver Metallic")</f>
        <v>Midnight Silver Metallic</v>
      </c>
      <c r="P2293" s="153" t="str">
        <f>IFERROR(__xludf.DUMMYFUNCTION("""COMPUTED_VALUE"""),"18 inch Aero")</f>
        <v>18 inch Aero</v>
      </c>
      <c r="Q2293" s="152" t="str">
        <f>IFERROR(__xludf.DUMMYFUNCTION("""COMPUTED_VALUE"""),"Black seats")</f>
        <v>Black seats</v>
      </c>
      <c r="R2293" s="149" t="str">
        <f>IFERROR(__xludf.DUMMYFUNCTION("""COMPUTED_VALUE"""),"Enhanced Autopilot")</f>
        <v>Enhanced Autopilot</v>
      </c>
      <c r="S2293" s="149"/>
      <c r="T2293" s="145"/>
      <c r="U2293" s="145"/>
      <c r="V2293" s="145"/>
      <c r="W2293" s="136"/>
      <c r="X2293" s="137" t="str">
        <f>IFERROR(__xludf.DUMMYFUNCTION("""COMPUTED_VALUE"""),"Excellent")</f>
        <v>Excellent</v>
      </c>
      <c r="Y2293" s="138" t="str">
        <f>IFERROR(__xludf.DUMMYFUNCTION("""COMPUTED_VALUE"""),"Excellent")</f>
        <v>Excellent</v>
      </c>
      <c r="Z2293" s="138" t="str">
        <f>IFERROR(__xludf.DUMMYFUNCTION("""COMPUTED_VALUE"""),"Excellent")</f>
        <v>Excellent</v>
      </c>
      <c r="AA2293" s="138" t="str">
        <f>IFERROR(__xludf.DUMMYFUNCTION("""COMPUTED_VALUE"""),"Fair")</f>
        <v>Fair</v>
      </c>
      <c r="AB2293" s="138" t="str">
        <f>IFERROR(__xludf.DUMMYFUNCTION("""COMPUTED_VALUE"""),"Good")</f>
        <v>Good</v>
      </c>
      <c r="AC2293" s="139"/>
      <c r="AD2293" s="139"/>
      <c r="AE2293" s="139"/>
      <c r="AF2293" s="140"/>
      <c r="AG2293" s="136"/>
      <c r="AH2293" s="157">
        <f>IFERROR(__xludf.DUMMYFUNCTION("""COMPUTED_VALUE"""),43425.87763383101)</f>
        <v>43425.87763</v>
      </c>
      <c r="AI2293" s="138"/>
      <c r="AJ2293" s="138"/>
      <c r="AK2293" s="138"/>
      <c r="AL2293" s="142"/>
    </row>
    <row r="2294" ht="20.25" customHeight="1">
      <c r="A2294" s="155" t="str">
        <f>IFERROR(__xludf.DUMMYFUNCTION("""COMPUTED_VALUE"""),"toasterboy5")</f>
        <v>toasterboy5</v>
      </c>
      <c r="B2294" s="149" t="str">
        <f>IFERROR(__xludf.DUMMYFUNCTION("""COMPUTED_VALUE"""),"Kirkland")</f>
        <v>Kirkland</v>
      </c>
      <c r="C2294" s="149" t="str">
        <f>IFERROR(__xludf.DUMMYFUNCTION("""COMPUTED_VALUE"""),"WA")</f>
        <v>WA</v>
      </c>
      <c r="D2294" s="149" t="str">
        <f>IFERROR(__xludf.DUMMYFUNCTION("""COMPUTED_VALUE"""),"USA")</f>
        <v>USA</v>
      </c>
      <c r="E2294" s="156">
        <f>IFERROR(__xludf.DUMMYFUNCTION("""COMPUTED_VALUE"""),43392.0)</f>
        <v>43392</v>
      </c>
      <c r="F2294" s="129">
        <f>IFERROR(__xludf.DUMMYFUNCTION("""COMPUTED_VALUE"""),43443.0)</f>
        <v>43443</v>
      </c>
      <c r="G2294" s="154"/>
      <c r="H2294" s="131">
        <f>IFERROR(__xludf.DUMMYFUNCTION("""COMPUTED_VALUE"""),160255.0)</f>
        <v>160255</v>
      </c>
      <c r="I2294" s="144"/>
      <c r="J2294" s="129">
        <f>IFERROR(__xludf.DUMMYFUNCTION("""COMPUTED_VALUE"""),43448.0)</f>
        <v>43448</v>
      </c>
      <c r="K2294" s="133">
        <f>IFERROR(__xludf.DUMMYFUNCTION("""COMPUTED_VALUE"""),51.0)</f>
        <v>51</v>
      </c>
      <c r="L2294" s="133">
        <f>IFERROR(__xludf.DUMMYFUNCTION("""COMPUTED_VALUE"""),5.0)</f>
        <v>5</v>
      </c>
      <c r="M2294" s="133">
        <f>IFERROR(__xludf.DUMMYFUNCTION("""COMPUTED_VALUE"""),56.0)</f>
        <v>56</v>
      </c>
      <c r="N2294" s="152" t="str">
        <f>IFERROR(__xludf.DUMMYFUNCTION("""COMPUTED_VALUE"""),"Model 3 MR")</f>
        <v>Model 3 MR</v>
      </c>
      <c r="O2294" s="152" t="str">
        <f>IFERROR(__xludf.DUMMYFUNCTION("""COMPUTED_VALUE"""),"Deep Blue Metallic")</f>
        <v>Deep Blue Metallic</v>
      </c>
      <c r="P2294" s="153" t="str">
        <f>IFERROR(__xludf.DUMMYFUNCTION("""COMPUTED_VALUE"""),"18 inch Aero")</f>
        <v>18 inch Aero</v>
      </c>
      <c r="Q2294" s="152" t="str">
        <f>IFERROR(__xludf.DUMMYFUNCTION("""COMPUTED_VALUE"""),"Black seats")</f>
        <v>Black seats</v>
      </c>
      <c r="R2294" s="149" t="str">
        <f>IFERROR(__xludf.DUMMYFUNCTION("""COMPUTED_VALUE"""),"Enhanced Autopilot")</f>
        <v>Enhanced Autopilot</v>
      </c>
      <c r="S2294" s="149"/>
      <c r="T2294" s="145"/>
      <c r="U2294" s="145"/>
      <c r="V2294" s="145"/>
      <c r="W2294" s="136"/>
      <c r="X2294" s="137" t="str">
        <f>IFERROR(__xludf.DUMMYFUNCTION("""COMPUTED_VALUE"""),"Very Good")</f>
        <v>Very Good</v>
      </c>
      <c r="Y2294" s="138" t="str">
        <f>IFERROR(__xludf.DUMMYFUNCTION("""COMPUTED_VALUE"""),"Excellent")</f>
        <v>Excellent</v>
      </c>
      <c r="Z2294" s="138" t="str">
        <f>IFERROR(__xludf.DUMMYFUNCTION("""COMPUTED_VALUE"""),"Excellent")</f>
        <v>Excellent</v>
      </c>
      <c r="AA2294" s="138" t="str">
        <f>IFERROR(__xludf.DUMMYFUNCTION("""COMPUTED_VALUE"""),"Very Good")</f>
        <v>Very Good</v>
      </c>
      <c r="AB2294" s="138" t="str">
        <f>IFERROR(__xludf.DUMMYFUNCTION("""COMPUTED_VALUE"""),"Very Good")</f>
        <v>Very Good</v>
      </c>
      <c r="AC2294" s="139"/>
      <c r="AD2294" s="139"/>
      <c r="AE2294" s="139"/>
      <c r="AF2294" s="140"/>
      <c r="AG2294" s="136"/>
      <c r="AH2294" s="157">
        <f>IFERROR(__xludf.DUMMYFUNCTION("""COMPUTED_VALUE"""),43448.82097127315)</f>
        <v>43448.82097</v>
      </c>
      <c r="AI2294" s="138"/>
      <c r="AJ2294" s="138"/>
      <c r="AK2294" s="138"/>
      <c r="AL2294" s="142"/>
    </row>
    <row r="2295" ht="20.25" customHeight="1">
      <c r="A2295" s="155" t="str">
        <f>IFERROR(__xludf.DUMMYFUNCTION("""COMPUTED_VALUE"""),"vassilios")</f>
        <v>vassilios</v>
      </c>
      <c r="B2295" s="149" t="str">
        <f>IFERROR(__xludf.DUMMYFUNCTION("""COMPUTED_VALUE"""),"Harrisburg")</f>
        <v>Harrisburg</v>
      </c>
      <c r="C2295" s="149" t="str">
        <f>IFERROR(__xludf.DUMMYFUNCTION("""COMPUTED_VALUE"""),"PA")</f>
        <v>PA</v>
      </c>
      <c r="D2295" s="149" t="str">
        <f>IFERROR(__xludf.DUMMYFUNCTION("""COMPUTED_VALUE"""),"USA")</f>
        <v>USA</v>
      </c>
      <c r="E2295" s="156">
        <f>IFERROR(__xludf.DUMMYFUNCTION("""COMPUTED_VALUE"""),43392.0)</f>
        <v>43392</v>
      </c>
      <c r="F2295" s="129"/>
      <c r="G2295" s="154"/>
      <c r="H2295" s="131">
        <f>IFERROR(__xludf.DUMMYFUNCTION("""COMPUTED_VALUE"""),152955.0)</f>
        <v>152955</v>
      </c>
      <c r="I2295" s="144"/>
      <c r="J2295" s="129">
        <f>IFERROR(__xludf.DUMMYFUNCTION("""COMPUTED_VALUE"""),43442.0)</f>
        <v>43442</v>
      </c>
      <c r="K2295" s="133"/>
      <c r="L2295" s="133"/>
      <c r="M2295" s="133">
        <f>IFERROR(__xludf.DUMMYFUNCTION("""COMPUTED_VALUE"""),50.0)</f>
        <v>50</v>
      </c>
      <c r="N2295" s="152" t="str">
        <f>IFERROR(__xludf.DUMMYFUNCTION("""COMPUTED_VALUE"""),"Model 3 MR")</f>
        <v>Model 3 MR</v>
      </c>
      <c r="O2295" s="152" t="str">
        <f>IFERROR(__xludf.DUMMYFUNCTION("""COMPUTED_VALUE"""),"Obsidian Black Metallic")</f>
        <v>Obsidian Black Metallic</v>
      </c>
      <c r="P2295" s="153" t="str">
        <f>IFERROR(__xludf.DUMMYFUNCTION("""COMPUTED_VALUE"""),"18 inch Aero")</f>
        <v>18 inch Aero</v>
      </c>
      <c r="Q2295" s="152" t="str">
        <f>IFERROR(__xludf.DUMMYFUNCTION("""COMPUTED_VALUE"""),"Black seats")</f>
        <v>Black seats</v>
      </c>
      <c r="R2295" s="149" t="str">
        <f>IFERROR(__xludf.DUMMYFUNCTION("""COMPUTED_VALUE"""),"None")</f>
        <v>None</v>
      </c>
      <c r="S2295" s="149"/>
      <c r="T2295" s="145"/>
      <c r="U2295" s="145"/>
      <c r="V2295" s="145"/>
      <c r="W2295" s="136"/>
      <c r="X2295" s="137" t="str">
        <f>IFERROR(__xludf.DUMMYFUNCTION("""COMPUTED_VALUE"""),"Excellent")</f>
        <v>Excellent</v>
      </c>
      <c r="Y2295" s="138" t="str">
        <f>IFERROR(__xludf.DUMMYFUNCTION("""COMPUTED_VALUE"""),"Excellent")</f>
        <v>Excellent</v>
      </c>
      <c r="Z2295" s="138" t="str">
        <f>IFERROR(__xludf.DUMMYFUNCTION("""COMPUTED_VALUE"""),"Poor")</f>
        <v>Poor</v>
      </c>
      <c r="AA2295" s="138" t="str">
        <f>IFERROR(__xludf.DUMMYFUNCTION("""COMPUTED_VALUE"""),"Good")</f>
        <v>Good</v>
      </c>
      <c r="AB2295" s="138" t="str">
        <f>IFERROR(__xludf.DUMMYFUNCTION("""COMPUTED_VALUE"""),"Good")</f>
        <v>Good</v>
      </c>
      <c r="AC2295" s="139"/>
      <c r="AD2295" s="139"/>
      <c r="AE2295" s="139"/>
      <c r="AF2295" s="140"/>
      <c r="AG2295" s="136"/>
      <c r="AH2295" s="157">
        <f>IFERROR(__xludf.DUMMYFUNCTION("""COMPUTED_VALUE"""),43443.20844784722)</f>
        <v>43443.20845</v>
      </c>
      <c r="AI2295" s="138"/>
      <c r="AJ2295" s="138"/>
      <c r="AK2295" s="138"/>
      <c r="AL2295" s="142"/>
    </row>
    <row r="2296" ht="20.25" customHeight="1">
      <c r="A2296" s="155" t="str">
        <f>IFERROR(__xludf.DUMMYFUNCTION("""COMPUTED_VALUE"""),"AF")</f>
        <v>AF</v>
      </c>
      <c r="B2296" s="149" t="str">
        <f>IFERROR(__xludf.DUMMYFUNCTION("""COMPUTED_VALUE"""),"Bay Area")</f>
        <v>Bay Area</v>
      </c>
      <c r="C2296" s="149" t="str">
        <f>IFERROR(__xludf.DUMMYFUNCTION("""COMPUTED_VALUE"""),"CA")</f>
        <v>CA</v>
      </c>
      <c r="D2296" s="149" t="str">
        <f>IFERROR(__xludf.DUMMYFUNCTION("""COMPUTED_VALUE"""),"USA")</f>
        <v>USA</v>
      </c>
      <c r="E2296" s="156">
        <f>IFERROR(__xludf.DUMMYFUNCTION("""COMPUTED_VALUE"""),43391.0)</f>
        <v>43391</v>
      </c>
      <c r="F2296" s="129">
        <f>IFERROR(__xludf.DUMMYFUNCTION("""COMPUTED_VALUE"""),43408.0)</f>
        <v>43408</v>
      </c>
      <c r="G2296" s="154"/>
      <c r="H2296" s="131">
        <f>IFERROR(__xludf.DUMMYFUNCTION("""COMPUTED_VALUE"""),151655.0)</f>
        <v>151655</v>
      </c>
      <c r="I2296" s="144" t="str">
        <f>IFERROR(__xludf.DUMMYFUNCTION("""COMPUTED_VALUE"""),"11/18")</f>
        <v>11/18</v>
      </c>
      <c r="J2296" s="129">
        <f>IFERROR(__xludf.DUMMYFUNCTION("""COMPUTED_VALUE"""),43414.0)</f>
        <v>43414</v>
      </c>
      <c r="K2296" s="133">
        <f>IFERROR(__xludf.DUMMYFUNCTION("""COMPUTED_VALUE"""),17.0)</f>
        <v>17</v>
      </c>
      <c r="L2296" s="133">
        <f>IFERROR(__xludf.DUMMYFUNCTION("""COMPUTED_VALUE"""),6.0)</f>
        <v>6</v>
      </c>
      <c r="M2296" s="133">
        <f>IFERROR(__xludf.DUMMYFUNCTION("""COMPUTED_VALUE"""),23.0)</f>
        <v>23</v>
      </c>
      <c r="N2296" s="152" t="str">
        <f>IFERROR(__xludf.DUMMYFUNCTION("""COMPUTED_VALUE"""),"Model 3 MR")</f>
        <v>Model 3 MR</v>
      </c>
      <c r="O2296" s="152" t="str">
        <f>IFERROR(__xludf.DUMMYFUNCTION("""COMPUTED_VALUE"""),"Solid Black")</f>
        <v>Solid Black</v>
      </c>
      <c r="P2296" s="153" t="str">
        <f>IFERROR(__xludf.DUMMYFUNCTION("""COMPUTED_VALUE"""),"18 inch Aero")</f>
        <v>18 inch Aero</v>
      </c>
      <c r="Q2296" s="152" t="str">
        <f>IFERROR(__xludf.DUMMYFUNCTION("""COMPUTED_VALUE"""),"Black seats")</f>
        <v>Black seats</v>
      </c>
      <c r="R2296" s="149" t="str">
        <f>IFERROR(__xludf.DUMMYFUNCTION("""COMPUTED_VALUE"""),"Enhanced Autopilot")</f>
        <v>Enhanced Autopilot</v>
      </c>
      <c r="S2296" s="149"/>
      <c r="T2296" s="145"/>
      <c r="U2296" s="145"/>
      <c r="V2296" s="145"/>
      <c r="W2296" s="136"/>
      <c r="X2296" s="137" t="str">
        <f>IFERROR(__xludf.DUMMYFUNCTION("""COMPUTED_VALUE"""),"Good")</f>
        <v>Good</v>
      </c>
      <c r="Y2296" s="138" t="str">
        <f>IFERROR(__xludf.DUMMYFUNCTION("""COMPUTED_VALUE"""),"Excellent")</f>
        <v>Excellent</v>
      </c>
      <c r="Z2296" s="138" t="str">
        <f>IFERROR(__xludf.DUMMYFUNCTION("""COMPUTED_VALUE"""),"Excellent")</f>
        <v>Excellent</v>
      </c>
      <c r="AA2296" s="138" t="str">
        <f>IFERROR(__xludf.DUMMYFUNCTION("""COMPUTED_VALUE"""),"Poor")</f>
        <v>Poor</v>
      </c>
      <c r="AB2296" s="138" t="str">
        <f>IFERROR(__xludf.DUMMYFUNCTION("""COMPUTED_VALUE"""),"Fair")</f>
        <v>Fair</v>
      </c>
      <c r="AC2296" s="139"/>
      <c r="AD2296" s="139"/>
      <c r="AE2296" s="139"/>
      <c r="AF2296" s="140"/>
      <c r="AG2296" s="136"/>
      <c r="AH2296" s="157">
        <f>IFERROR(__xludf.DUMMYFUNCTION("""COMPUTED_VALUE"""),43414.7561850926)</f>
        <v>43414.75619</v>
      </c>
      <c r="AI2296" s="138"/>
      <c r="AJ2296" s="138"/>
      <c r="AK2296" s="138"/>
      <c r="AL2296" s="142"/>
    </row>
    <row r="2297" ht="20.25" customHeight="1">
      <c r="A2297" s="155" t="str">
        <f>IFERROR(__xludf.DUMMYFUNCTION("""COMPUTED_VALUE"""),"arktctr")</f>
        <v>arktctr</v>
      </c>
      <c r="B2297" s="149" t="str">
        <f>IFERROR(__xludf.DUMMYFUNCTION("""COMPUTED_VALUE"""),"Orange County, CA")</f>
        <v>Orange County, CA</v>
      </c>
      <c r="C2297" s="149" t="str">
        <f>IFERROR(__xludf.DUMMYFUNCTION("""COMPUTED_VALUE"""),"CA")</f>
        <v>CA</v>
      </c>
      <c r="D2297" s="149" t="str">
        <f>IFERROR(__xludf.DUMMYFUNCTION("""COMPUTED_VALUE"""),"USA")</f>
        <v>USA</v>
      </c>
      <c r="E2297" s="156">
        <f>IFERROR(__xludf.DUMMYFUNCTION("""COMPUTED_VALUE"""),43391.0)</f>
        <v>43391</v>
      </c>
      <c r="F2297" s="129">
        <f>IFERROR(__xludf.DUMMYFUNCTION("""COMPUTED_VALUE"""),43440.0)</f>
        <v>43440</v>
      </c>
      <c r="G2297" s="154"/>
      <c r="H2297" s="131">
        <f>IFERROR(__xludf.DUMMYFUNCTION("""COMPUTED_VALUE"""),156155.0)</f>
        <v>156155</v>
      </c>
      <c r="I2297" s="144" t="str">
        <f>IFERROR(__xludf.DUMMYFUNCTION("""COMPUTED_VALUE"""),"12/18")</f>
        <v>12/18</v>
      </c>
      <c r="J2297" s="129">
        <f>IFERROR(__xludf.DUMMYFUNCTION("""COMPUTED_VALUE"""),43445.0)</f>
        <v>43445</v>
      </c>
      <c r="K2297" s="133">
        <f>IFERROR(__xludf.DUMMYFUNCTION("""COMPUTED_VALUE"""),49.0)</f>
        <v>49</v>
      </c>
      <c r="L2297" s="133">
        <f>IFERROR(__xludf.DUMMYFUNCTION("""COMPUTED_VALUE"""),5.0)</f>
        <v>5</v>
      </c>
      <c r="M2297" s="133">
        <f>IFERROR(__xludf.DUMMYFUNCTION("""COMPUTED_VALUE"""),54.0)</f>
        <v>54</v>
      </c>
      <c r="N2297" s="152" t="str">
        <f>IFERROR(__xludf.DUMMYFUNCTION("""COMPUTED_VALUE"""),"Model 3 MR")</f>
        <v>Model 3 MR</v>
      </c>
      <c r="O2297" s="152" t="str">
        <f>IFERROR(__xludf.DUMMYFUNCTION("""COMPUTED_VALUE"""),"Deep Blue Metallic")</f>
        <v>Deep Blue Metallic</v>
      </c>
      <c r="P2297" s="153" t="str">
        <f>IFERROR(__xludf.DUMMYFUNCTION("""COMPUTED_VALUE"""),"19 inch Sport")</f>
        <v>19 inch Sport</v>
      </c>
      <c r="Q2297" s="152" t="str">
        <f>IFERROR(__xludf.DUMMYFUNCTION("""COMPUTED_VALUE"""),"White seats")</f>
        <v>White seats</v>
      </c>
      <c r="R2297" s="149" t="str">
        <f>IFERROR(__xludf.DUMMYFUNCTION("""COMPUTED_VALUE"""),"None")</f>
        <v>None</v>
      </c>
      <c r="S2297" s="149"/>
      <c r="T2297" s="145"/>
      <c r="U2297" s="145"/>
      <c r="V2297" s="145"/>
      <c r="W2297" s="136"/>
      <c r="X2297" s="137" t="str">
        <f>IFERROR(__xludf.DUMMYFUNCTION("""COMPUTED_VALUE"""),"Excellent")</f>
        <v>Excellent</v>
      </c>
      <c r="Y2297" s="138" t="str">
        <f>IFERROR(__xludf.DUMMYFUNCTION("""COMPUTED_VALUE"""),"Excellent")</f>
        <v>Excellent</v>
      </c>
      <c r="Z2297" s="138" t="str">
        <f>IFERROR(__xludf.DUMMYFUNCTION("""COMPUTED_VALUE"""),"Very Good")</f>
        <v>Very Good</v>
      </c>
      <c r="AA2297" s="138" t="str">
        <f>IFERROR(__xludf.DUMMYFUNCTION("""COMPUTED_VALUE"""),"Poor")</f>
        <v>Poor</v>
      </c>
      <c r="AB2297" s="138" t="str">
        <f>IFERROR(__xludf.DUMMYFUNCTION("""COMPUTED_VALUE"""),"Excellent")</f>
        <v>Excellent</v>
      </c>
      <c r="AC2297" s="139"/>
      <c r="AD2297" s="139"/>
      <c r="AE2297" s="139"/>
      <c r="AF2297" s="140"/>
      <c r="AG2297" s="136"/>
      <c r="AH2297" s="157">
        <f>IFERROR(__xludf.DUMMYFUNCTION("""COMPUTED_VALUE"""),43446.55475098379)</f>
        <v>43446.55475</v>
      </c>
      <c r="AI2297" s="138"/>
      <c r="AJ2297" s="138"/>
      <c r="AK2297" s="138"/>
      <c r="AL2297" s="142"/>
    </row>
    <row r="2298" ht="20.25" customHeight="1">
      <c r="A2298" s="155" t="str">
        <f>IFERROR(__xludf.DUMMYFUNCTION("""COMPUTED_VALUE"""),"BlueShift")</f>
        <v>BlueShift</v>
      </c>
      <c r="B2298" s="149" t="str">
        <f>IFERROR(__xludf.DUMMYFUNCTION("""COMPUTED_VALUE"""),"St. Louis")</f>
        <v>St. Louis</v>
      </c>
      <c r="C2298" s="149" t="str">
        <f>IFERROR(__xludf.DUMMYFUNCTION("""COMPUTED_VALUE"""),"MO")</f>
        <v>MO</v>
      </c>
      <c r="D2298" s="149" t="str">
        <f>IFERROR(__xludf.DUMMYFUNCTION("""COMPUTED_VALUE"""),"USA")</f>
        <v>USA</v>
      </c>
      <c r="E2298" s="156">
        <f>IFERROR(__xludf.DUMMYFUNCTION("""COMPUTED_VALUE"""),43391.0)</f>
        <v>43391</v>
      </c>
      <c r="F2298" s="129">
        <f>IFERROR(__xludf.DUMMYFUNCTION("""COMPUTED_VALUE"""),43441.0)</f>
        <v>43441</v>
      </c>
      <c r="G2298" s="154"/>
      <c r="H2298" s="131">
        <f>IFERROR(__xludf.DUMMYFUNCTION("""COMPUTED_VALUE"""),156155.0)</f>
        <v>156155</v>
      </c>
      <c r="I2298" s="144" t="str">
        <f>IFERROR(__xludf.DUMMYFUNCTION("""COMPUTED_VALUE"""),"12/18")</f>
        <v>12/18</v>
      </c>
      <c r="J2298" s="129">
        <f>IFERROR(__xludf.DUMMYFUNCTION("""COMPUTED_VALUE"""),43441.0)</f>
        <v>43441</v>
      </c>
      <c r="K2298" s="133">
        <f>IFERROR(__xludf.DUMMYFUNCTION("""COMPUTED_VALUE"""),50.0)</f>
        <v>50</v>
      </c>
      <c r="L2298" s="133">
        <f>IFERROR(__xludf.DUMMYFUNCTION("""COMPUTED_VALUE"""),0.0)</f>
        <v>0</v>
      </c>
      <c r="M2298" s="133">
        <f>IFERROR(__xludf.DUMMYFUNCTION("""COMPUTED_VALUE"""),50.0)</f>
        <v>50</v>
      </c>
      <c r="N2298" s="152" t="str">
        <f>IFERROR(__xludf.DUMMYFUNCTION("""COMPUTED_VALUE"""),"Model 3 MR")</f>
        <v>Model 3 MR</v>
      </c>
      <c r="O2298" s="152" t="str">
        <f>IFERROR(__xludf.DUMMYFUNCTION("""COMPUTED_VALUE"""),"Deep Blue Metallic")</f>
        <v>Deep Blue Metallic</v>
      </c>
      <c r="P2298" s="153" t="str">
        <f>IFERROR(__xludf.DUMMYFUNCTION("""COMPUTED_VALUE"""),"19 inch Sport")</f>
        <v>19 inch Sport</v>
      </c>
      <c r="Q2298" s="152" t="str">
        <f>IFERROR(__xludf.DUMMYFUNCTION("""COMPUTED_VALUE"""),"White seats")</f>
        <v>White seats</v>
      </c>
      <c r="R2298" s="149" t="str">
        <f>IFERROR(__xludf.DUMMYFUNCTION("""COMPUTED_VALUE"""),"None")</f>
        <v>None</v>
      </c>
      <c r="S2298" s="149"/>
      <c r="T2298" s="145"/>
      <c r="U2298" s="145"/>
      <c r="V2298" s="145"/>
      <c r="W2298" s="136"/>
      <c r="X2298" s="137" t="str">
        <f>IFERROR(__xludf.DUMMYFUNCTION("""COMPUTED_VALUE"""),"Excellent")</f>
        <v>Excellent</v>
      </c>
      <c r="Y2298" s="138" t="str">
        <f>IFERROR(__xludf.DUMMYFUNCTION("""COMPUTED_VALUE"""),"Excellent")</f>
        <v>Excellent</v>
      </c>
      <c r="Z2298" s="138" t="str">
        <f>IFERROR(__xludf.DUMMYFUNCTION("""COMPUTED_VALUE"""),"Excellent")</f>
        <v>Excellent</v>
      </c>
      <c r="AA2298" s="138" t="str">
        <f>IFERROR(__xludf.DUMMYFUNCTION("""COMPUTED_VALUE"""),"Good")</f>
        <v>Good</v>
      </c>
      <c r="AB2298" s="138" t="str">
        <f>IFERROR(__xludf.DUMMYFUNCTION("""COMPUTED_VALUE"""),"Good")</f>
        <v>Good</v>
      </c>
      <c r="AC2298" s="139"/>
      <c r="AD2298" s="139"/>
      <c r="AE2298" s="139"/>
      <c r="AF2298" s="140"/>
      <c r="AG2298" s="136"/>
      <c r="AH2298" s="157">
        <f>IFERROR(__xludf.DUMMYFUNCTION("""COMPUTED_VALUE"""),43441.87994881944)</f>
        <v>43441.87995</v>
      </c>
      <c r="AI2298" s="138"/>
      <c r="AJ2298" s="138"/>
      <c r="AK2298" s="138"/>
      <c r="AL2298" s="142"/>
    </row>
    <row r="2299" ht="20.25" customHeight="1">
      <c r="A2299" s="155" t="str">
        <f>IFERROR(__xludf.DUMMYFUNCTION("""COMPUTED_VALUE"""),"Boston_TD_Party")</f>
        <v>Boston_TD_Party</v>
      </c>
      <c r="B2299" s="149" t="str">
        <f>IFERROR(__xludf.DUMMYFUNCTION("""COMPUTED_VALUE"""),"Boston")</f>
        <v>Boston</v>
      </c>
      <c r="C2299" s="149" t="str">
        <f>IFERROR(__xludf.DUMMYFUNCTION("""COMPUTED_VALUE"""),"MA")</f>
        <v>MA</v>
      </c>
      <c r="D2299" s="149" t="str">
        <f>IFERROR(__xludf.DUMMYFUNCTION("""COMPUTED_VALUE"""),"USA")</f>
        <v>USA</v>
      </c>
      <c r="E2299" s="156">
        <f>IFERROR(__xludf.DUMMYFUNCTION("""COMPUTED_VALUE"""),43391.0)</f>
        <v>43391</v>
      </c>
      <c r="F2299" s="129">
        <f>IFERROR(__xludf.DUMMYFUNCTION("""COMPUTED_VALUE"""),43425.0)</f>
        <v>43425</v>
      </c>
      <c r="G2299" s="154"/>
      <c r="H2299" s="131">
        <f>IFERROR(__xludf.DUMMYFUNCTION("""COMPUTED_VALUE"""),151755.0)</f>
        <v>151755</v>
      </c>
      <c r="I2299" s="144"/>
      <c r="J2299" s="129">
        <f>IFERROR(__xludf.DUMMYFUNCTION("""COMPUTED_VALUE"""),43433.0)</f>
        <v>43433</v>
      </c>
      <c r="K2299" s="133">
        <f>IFERROR(__xludf.DUMMYFUNCTION("""COMPUTED_VALUE"""),34.0)</f>
        <v>34</v>
      </c>
      <c r="L2299" s="133">
        <f>IFERROR(__xludf.DUMMYFUNCTION("""COMPUTED_VALUE"""),8.0)</f>
        <v>8</v>
      </c>
      <c r="M2299" s="133">
        <f>IFERROR(__xludf.DUMMYFUNCTION("""COMPUTED_VALUE"""),42.0)</f>
        <v>42</v>
      </c>
      <c r="N2299" s="152" t="str">
        <f>IFERROR(__xludf.DUMMYFUNCTION("""COMPUTED_VALUE"""),"Model 3 MR")</f>
        <v>Model 3 MR</v>
      </c>
      <c r="O2299" s="152" t="str">
        <f>IFERROR(__xludf.DUMMYFUNCTION("""COMPUTED_VALUE"""),"Solid Black")</f>
        <v>Solid Black</v>
      </c>
      <c r="P2299" s="153" t="str">
        <f>IFERROR(__xludf.DUMMYFUNCTION("""COMPUTED_VALUE"""),"18 inch Aero")</f>
        <v>18 inch Aero</v>
      </c>
      <c r="Q2299" s="152" t="str">
        <f>IFERROR(__xludf.DUMMYFUNCTION("""COMPUTED_VALUE"""),"Black seats")</f>
        <v>Black seats</v>
      </c>
      <c r="R2299" s="149" t="str">
        <f>IFERROR(__xludf.DUMMYFUNCTION("""COMPUTED_VALUE"""),"Enhanced Autopilot")</f>
        <v>Enhanced Autopilot</v>
      </c>
      <c r="S2299" s="149"/>
      <c r="T2299" s="145"/>
      <c r="U2299" s="145"/>
      <c r="V2299" s="145"/>
      <c r="W2299" s="136"/>
      <c r="X2299" s="137" t="str">
        <f>IFERROR(__xludf.DUMMYFUNCTION("""COMPUTED_VALUE"""),"Excellent")</f>
        <v>Excellent</v>
      </c>
      <c r="Y2299" s="138" t="str">
        <f>IFERROR(__xludf.DUMMYFUNCTION("""COMPUTED_VALUE"""),"Excellent")</f>
        <v>Excellent</v>
      </c>
      <c r="Z2299" s="138" t="str">
        <f>IFERROR(__xludf.DUMMYFUNCTION("""COMPUTED_VALUE"""),"Excellent")</f>
        <v>Excellent</v>
      </c>
      <c r="AA2299" s="138" t="str">
        <f>IFERROR(__xludf.DUMMYFUNCTION("""COMPUTED_VALUE"""),"Excellent")</f>
        <v>Excellent</v>
      </c>
      <c r="AB2299" s="138" t="str">
        <f>IFERROR(__xludf.DUMMYFUNCTION("""COMPUTED_VALUE"""),"Excellent")</f>
        <v>Excellent</v>
      </c>
      <c r="AC2299" s="139">
        <f>IFERROR(__xludf.DUMMYFUNCTION("""COMPUTED_VALUE"""),0.0)</f>
        <v>0</v>
      </c>
      <c r="AD2299" s="139"/>
      <c r="AE2299" s="139"/>
      <c r="AF2299" s="140"/>
      <c r="AG2299" s="136"/>
      <c r="AH2299" s="157">
        <f>IFERROR(__xludf.DUMMYFUNCTION("""COMPUTED_VALUE"""),43445.37158637731)</f>
        <v>43445.37159</v>
      </c>
      <c r="AI2299" s="138"/>
      <c r="AJ2299" s="138"/>
      <c r="AK2299" s="138"/>
      <c r="AL2299" s="142"/>
    </row>
    <row r="2300" ht="20.25" customHeight="1">
      <c r="A2300" s="155" t="str">
        <f>IFERROR(__xludf.DUMMYFUNCTION("""COMPUTED_VALUE"""),"CheeseJam")</f>
        <v>CheeseJam</v>
      </c>
      <c r="B2300" s="149" t="str">
        <f>IFERROR(__xludf.DUMMYFUNCTION("""COMPUTED_VALUE"""),"Santa Barbara")</f>
        <v>Santa Barbara</v>
      </c>
      <c r="C2300" s="149" t="str">
        <f>IFERROR(__xludf.DUMMYFUNCTION("""COMPUTED_VALUE"""),"CA")</f>
        <v>CA</v>
      </c>
      <c r="D2300" s="149" t="str">
        <f>IFERROR(__xludf.DUMMYFUNCTION("""COMPUTED_VALUE"""),"USA")</f>
        <v>USA</v>
      </c>
      <c r="E2300" s="156">
        <f>IFERROR(__xludf.DUMMYFUNCTION("""COMPUTED_VALUE"""),43391.0)</f>
        <v>43391</v>
      </c>
      <c r="F2300" s="129">
        <f>IFERROR(__xludf.DUMMYFUNCTION("""COMPUTED_VALUE"""),43448.0)</f>
        <v>43448</v>
      </c>
      <c r="G2300" s="154"/>
      <c r="H2300" s="131">
        <f>IFERROR(__xludf.DUMMYFUNCTION("""COMPUTED_VALUE"""),159255.0)</f>
        <v>159255</v>
      </c>
      <c r="I2300" s="144"/>
      <c r="J2300" s="129">
        <f>IFERROR(__xludf.DUMMYFUNCTION("""COMPUTED_VALUE"""),43449.0)</f>
        <v>43449</v>
      </c>
      <c r="K2300" s="133">
        <f>IFERROR(__xludf.DUMMYFUNCTION("""COMPUTED_VALUE"""),57.0)</f>
        <v>57</v>
      </c>
      <c r="L2300" s="133">
        <f>IFERROR(__xludf.DUMMYFUNCTION("""COMPUTED_VALUE"""),1.0)</f>
        <v>1</v>
      </c>
      <c r="M2300" s="133">
        <f>IFERROR(__xludf.DUMMYFUNCTION("""COMPUTED_VALUE"""),58.0)</f>
        <v>58</v>
      </c>
      <c r="N2300" s="152" t="str">
        <f>IFERROR(__xludf.DUMMYFUNCTION("""COMPUTED_VALUE"""),"Model 3 MR")</f>
        <v>Model 3 MR</v>
      </c>
      <c r="O2300" s="152" t="str">
        <f>IFERROR(__xludf.DUMMYFUNCTION("""COMPUTED_VALUE"""),"Red Multi-Coat")</f>
        <v>Red Multi-Coat</v>
      </c>
      <c r="P2300" s="153" t="str">
        <f>IFERROR(__xludf.DUMMYFUNCTION("""COMPUTED_VALUE"""),"18 inch Aero")</f>
        <v>18 inch Aero</v>
      </c>
      <c r="Q2300" s="152" t="str">
        <f>IFERROR(__xludf.DUMMYFUNCTION("""COMPUTED_VALUE"""),"Black seats")</f>
        <v>Black seats</v>
      </c>
      <c r="R2300" s="149" t="str">
        <f>IFERROR(__xludf.DUMMYFUNCTION("""COMPUTED_VALUE"""),"Enhanced Autopilot")</f>
        <v>Enhanced Autopilot</v>
      </c>
      <c r="S2300" s="149"/>
      <c r="T2300" s="145"/>
      <c r="U2300" s="145"/>
      <c r="V2300" s="145"/>
      <c r="W2300" s="136"/>
      <c r="X2300" s="137" t="str">
        <f>IFERROR(__xludf.DUMMYFUNCTION("""COMPUTED_VALUE"""),"Excellent")</f>
        <v>Excellent</v>
      </c>
      <c r="Y2300" s="138" t="str">
        <f>IFERROR(__xludf.DUMMYFUNCTION("""COMPUTED_VALUE"""),"Excellent")</f>
        <v>Excellent</v>
      </c>
      <c r="Z2300" s="138" t="str">
        <f>IFERROR(__xludf.DUMMYFUNCTION("""COMPUTED_VALUE"""),"Excellent")</f>
        <v>Excellent</v>
      </c>
      <c r="AA2300" s="138" t="str">
        <f>IFERROR(__xludf.DUMMYFUNCTION("""COMPUTED_VALUE"""),"Fair")</f>
        <v>Fair</v>
      </c>
      <c r="AB2300" s="138" t="str">
        <f>IFERROR(__xludf.DUMMYFUNCTION("""COMPUTED_VALUE"""),"Very Good")</f>
        <v>Very Good</v>
      </c>
      <c r="AC2300" s="139"/>
      <c r="AD2300" s="139"/>
      <c r="AE2300" s="139"/>
      <c r="AF2300" s="140"/>
      <c r="AG2300" s="136"/>
      <c r="AH2300" s="157">
        <f>IFERROR(__xludf.DUMMYFUNCTION("""COMPUTED_VALUE"""),43451.28766773148)</f>
        <v>43451.28767</v>
      </c>
      <c r="AI2300" s="138"/>
      <c r="AJ2300" s="138"/>
      <c r="AK2300" s="138"/>
      <c r="AL2300" s="142"/>
    </row>
    <row r="2301" ht="20.25" customHeight="1">
      <c r="A2301" s="155" t="str">
        <f>IFERROR(__xludf.DUMMYFUNCTION("""COMPUTED_VALUE"""),"driz")</f>
        <v>driz</v>
      </c>
      <c r="B2301" s="149" t="str">
        <f>IFERROR(__xludf.DUMMYFUNCTION("""COMPUTED_VALUE"""),"Nashville")</f>
        <v>Nashville</v>
      </c>
      <c r="C2301" s="149" t="str">
        <f>IFERROR(__xludf.DUMMYFUNCTION("""COMPUTED_VALUE"""),"TN")</f>
        <v>TN</v>
      </c>
      <c r="D2301" s="149" t="str">
        <f>IFERROR(__xludf.DUMMYFUNCTION("""COMPUTED_VALUE"""),"USA")</f>
        <v>USA</v>
      </c>
      <c r="E2301" s="156">
        <f>IFERROR(__xludf.DUMMYFUNCTION("""COMPUTED_VALUE"""),43391.0)</f>
        <v>43391</v>
      </c>
      <c r="F2301" s="129">
        <f>IFERROR(__xludf.DUMMYFUNCTION("""COMPUTED_VALUE"""),43397.0)</f>
        <v>43397</v>
      </c>
      <c r="G2301" s="154"/>
      <c r="H2301" s="131">
        <f>IFERROR(__xludf.DUMMYFUNCTION("""COMPUTED_VALUE"""),112865.0)</f>
        <v>112865</v>
      </c>
      <c r="I2301" s="144" t="str">
        <f>IFERROR(__xludf.DUMMYFUNCTION("""COMPUTED_VALUE"""),"10/18")</f>
        <v>10/18</v>
      </c>
      <c r="J2301" s="129">
        <f>IFERROR(__xludf.DUMMYFUNCTION("""COMPUTED_VALUE"""),43419.0)</f>
        <v>43419</v>
      </c>
      <c r="K2301" s="133">
        <f>IFERROR(__xludf.DUMMYFUNCTION("""COMPUTED_VALUE"""),6.0)</f>
        <v>6</v>
      </c>
      <c r="L2301" s="133">
        <f>IFERROR(__xludf.DUMMYFUNCTION("""COMPUTED_VALUE"""),22.0)</f>
        <v>22</v>
      </c>
      <c r="M2301" s="133">
        <f>IFERROR(__xludf.DUMMYFUNCTION("""COMPUTED_VALUE"""),28.0)</f>
        <v>28</v>
      </c>
      <c r="N2301" s="152" t="str">
        <f>IFERROR(__xludf.DUMMYFUNCTION("""COMPUTED_VALUE"""),"Model 3 LR AWD")</f>
        <v>Model 3 LR AWD</v>
      </c>
      <c r="O2301" s="152" t="str">
        <f>IFERROR(__xludf.DUMMYFUNCTION("""COMPUTED_VALUE"""),"Solid Black")</f>
        <v>Solid Black</v>
      </c>
      <c r="P2301" s="153" t="str">
        <f>IFERROR(__xludf.DUMMYFUNCTION("""COMPUTED_VALUE"""),"18 inch Aero")</f>
        <v>18 inch Aero</v>
      </c>
      <c r="Q2301" s="152" t="str">
        <f>IFERROR(__xludf.DUMMYFUNCTION("""COMPUTED_VALUE"""),"White seats")</f>
        <v>White seats</v>
      </c>
      <c r="R2301" s="149" t="str">
        <f>IFERROR(__xludf.DUMMYFUNCTION("""COMPUTED_VALUE"""),"Enhanced Autopilot")</f>
        <v>Enhanced Autopilot</v>
      </c>
      <c r="S2301" s="149"/>
      <c r="T2301" s="145"/>
      <c r="U2301" s="145"/>
      <c r="V2301" s="145"/>
      <c r="W2301" s="136"/>
      <c r="X2301" s="137" t="str">
        <f>IFERROR(__xludf.DUMMYFUNCTION("""COMPUTED_VALUE"""),"Good")</f>
        <v>Good</v>
      </c>
      <c r="Y2301" s="138" t="str">
        <f>IFERROR(__xludf.DUMMYFUNCTION("""COMPUTED_VALUE"""),"Excellent")</f>
        <v>Excellent</v>
      </c>
      <c r="Z2301" s="138" t="str">
        <f>IFERROR(__xludf.DUMMYFUNCTION("""COMPUTED_VALUE"""),"Excellent")</f>
        <v>Excellent</v>
      </c>
      <c r="AA2301" s="138" t="str">
        <f>IFERROR(__xludf.DUMMYFUNCTION("""COMPUTED_VALUE"""),"Fair")</f>
        <v>Fair</v>
      </c>
      <c r="AB2301" s="138" t="str">
        <f>IFERROR(__xludf.DUMMYFUNCTION("""COMPUTED_VALUE"""),"Excellent")</f>
        <v>Excellent</v>
      </c>
      <c r="AC2301" s="139"/>
      <c r="AD2301" s="139"/>
      <c r="AE2301" s="139"/>
      <c r="AF2301" s="140"/>
      <c r="AG2301" s="136" t="str">
        <f>IFERROR(__xludf.DUMMYFUNCTION("""COMPUTED_VALUE"""),"original order 20aug, cancelled, new order info above; orig deliver date 11/18, changed to 11/08, changed to 11/15")</f>
        <v>original order 20aug, cancelled, new order info above; orig deliver date 11/18, changed to 11/08, changed to 11/15</v>
      </c>
      <c r="AH2301" s="157">
        <f>IFERROR(__xludf.DUMMYFUNCTION("""COMPUTED_VALUE"""),43419.46988034722)</f>
        <v>43419.46988</v>
      </c>
      <c r="AI2301" s="138"/>
      <c r="AJ2301" s="138"/>
      <c r="AK2301" s="138"/>
      <c r="AL2301" s="142"/>
    </row>
    <row r="2302" ht="20.25" customHeight="1">
      <c r="A2302" s="155" t="str">
        <f>IFERROR(__xludf.DUMMYFUNCTION("""COMPUTED_VALUE"""),"dvo")</f>
        <v>dvo</v>
      </c>
      <c r="B2302" s="149" t="str">
        <f>IFERROR(__xludf.DUMMYFUNCTION("""COMPUTED_VALUE"""),"Orange Couty")</f>
        <v>Orange Couty</v>
      </c>
      <c r="C2302" s="149" t="str">
        <f>IFERROR(__xludf.DUMMYFUNCTION("""COMPUTED_VALUE"""),"CA")</f>
        <v>CA</v>
      </c>
      <c r="D2302" s="149" t="str">
        <f>IFERROR(__xludf.DUMMYFUNCTION("""COMPUTED_VALUE"""),"USA")</f>
        <v>USA</v>
      </c>
      <c r="E2302" s="156">
        <f>IFERROR(__xludf.DUMMYFUNCTION("""COMPUTED_VALUE"""),43391.0)</f>
        <v>43391</v>
      </c>
      <c r="F2302" s="129"/>
      <c r="G2302" s="154"/>
      <c r="H2302" s="131">
        <f>IFERROR(__xludf.DUMMYFUNCTION("""COMPUTED_VALUE"""),179455.0)</f>
        <v>179455</v>
      </c>
      <c r="I2302" s="144"/>
      <c r="J2302" s="129">
        <f>IFERROR(__xludf.DUMMYFUNCTION("""COMPUTED_VALUE"""),43450.0)</f>
        <v>43450</v>
      </c>
      <c r="K2302" s="133"/>
      <c r="L2302" s="133"/>
      <c r="M2302" s="133">
        <f>IFERROR(__xludf.DUMMYFUNCTION("""COMPUTED_VALUE"""),59.0)</f>
        <v>59</v>
      </c>
      <c r="N2302" s="152" t="str">
        <f>IFERROR(__xludf.DUMMYFUNCTION("""COMPUTED_VALUE"""),"Model 3 MR")</f>
        <v>Model 3 MR</v>
      </c>
      <c r="O2302" s="152" t="str">
        <f>IFERROR(__xludf.DUMMYFUNCTION("""COMPUTED_VALUE"""),"Solid Black")</f>
        <v>Solid Black</v>
      </c>
      <c r="P2302" s="153" t="str">
        <f>IFERROR(__xludf.DUMMYFUNCTION("""COMPUTED_VALUE"""),"19 inch Sport")</f>
        <v>19 inch Sport</v>
      </c>
      <c r="Q2302" s="152" t="str">
        <f>IFERROR(__xludf.DUMMYFUNCTION("""COMPUTED_VALUE"""),"Black seats")</f>
        <v>Black seats</v>
      </c>
      <c r="R2302" s="149" t="str">
        <f>IFERROR(__xludf.DUMMYFUNCTION("""COMPUTED_VALUE"""),"Enhanced Autopilot")</f>
        <v>Enhanced Autopilot</v>
      </c>
      <c r="S2302" s="149"/>
      <c r="T2302" s="145"/>
      <c r="U2302" s="145"/>
      <c r="V2302" s="145"/>
      <c r="W2302" s="136"/>
      <c r="X2302" s="137" t="str">
        <f>IFERROR(__xludf.DUMMYFUNCTION("""COMPUTED_VALUE"""),"Very Good")</f>
        <v>Very Good</v>
      </c>
      <c r="Y2302" s="138" t="str">
        <f>IFERROR(__xludf.DUMMYFUNCTION("""COMPUTED_VALUE"""),"Very Good")</f>
        <v>Very Good</v>
      </c>
      <c r="Z2302" s="138" t="str">
        <f>IFERROR(__xludf.DUMMYFUNCTION("""COMPUTED_VALUE"""),"Very Good")</f>
        <v>Very Good</v>
      </c>
      <c r="AA2302" s="138" t="str">
        <f>IFERROR(__xludf.DUMMYFUNCTION("""COMPUTED_VALUE"""),"Fair")</f>
        <v>Fair</v>
      </c>
      <c r="AB2302" s="138" t="str">
        <f>IFERROR(__xludf.DUMMYFUNCTION("""COMPUTED_VALUE"""),"Very Good")</f>
        <v>Very Good</v>
      </c>
      <c r="AC2302" s="139">
        <f>IFERROR(__xludf.DUMMYFUNCTION("""COMPUTED_VALUE"""),0.0)</f>
        <v>0</v>
      </c>
      <c r="AD2302" s="139"/>
      <c r="AE2302" s="139"/>
      <c r="AF2302" s="140"/>
      <c r="AG2302" s="136"/>
      <c r="AH2302" s="157">
        <f>IFERROR(__xludf.DUMMYFUNCTION("""COMPUTED_VALUE"""),43451.530818402774)</f>
        <v>43451.53082</v>
      </c>
      <c r="AI2302" s="138"/>
      <c r="AJ2302" s="138"/>
      <c r="AK2302" s="138"/>
      <c r="AL2302" s="142"/>
    </row>
    <row r="2303" ht="20.25" customHeight="1">
      <c r="A2303" s="155" t="str">
        <f>IFERROR(__xludf.DUMMYFUNCTION("""COMPUTED_VALUE"""),"firstimer")</f>
        <v>firstimer</v>
      </c>
      <c r="B2303" s="149" t="str">
        <f>IFERROR(__xludf.DUMMYFUNCTION("""COMPUTED_VALUE"""),"Los Angeles")</f>
        <v>Los Angeles</v>
      </c>
      <c r="C2303" s="149" t="str">
        <f>IFERROR(__xludf.DUMMYFUNCTION("""COMPUTED_VALUE"""),"CA")</f>
        <v>CA</v>
      </c>
      <c r="D2303" s="149" t="str">
        <f>IFERROR(__xludf.DUMMYFUNCTION("""COMPUTED_VALUE"""),"USA")</f>
        <v>USA</v>
      </c>
      <c r="E2303" s="156">
        <f>IFERROR(__xludf.DUMMYFUNCTION("""COMPUTED_VALUE"""),43391.0)</f>
        <v>43391</v>
      </c>
      <c r="F2303" s="129">
        <f>IFERROR(__xludf.DUMMYFUNCTION("""COMPUTED_VALUE"""),43411.0)</f>
        <v>43411</v>
      </c>
      <c r="G2303" s="154"/>
      <c r="H2303" s="131">
        <f>IFERROR(__xludf.DUMMYFUNCTION("""COMPUTED_VALUE"""),123955.0)</f>
        <v>123955</v>
      </c>
      <c r="I2303" s="144"/>
      <c r="J2303" s="129">
        <f>IFERROR(__xludf.DUMMYFUNCTION("""COMPUTED_VALUE"""),43418.0)</f>
        <v>43418</v>
      </c>
      <c r="K2303" s="133">
        <f>IFERROR(__xludf.DUMMYFUNCTION("""COMPUTED_VALUE"""),20.0)</f>
        <v>20</v>
      </c>
      <c r="L2303" s="133">
        <f>IFERROR(__xludf.DUMMYFUNCTION("""COMPUTED_VALUE"""),7.0)</f>
        <v>7</v>
      </c>
      <c r="M2303" s="133">
        <f>IFERROR(__xludf.DUMMYFUNCTION("""COMPUTED_VALUE"""),27.0)</f>
        <v>27</v>
      </c>
      <c r="N2303" s="152" t="str">
        <f>IFERROR(__xludf.DUMMYFUNCTION("""COMPUTED_VALUE"""),"Model 3 LR")</f>
        <v>Model 3 LR</v>
      </c>
      <c r="O2303" s="152" t="str">
        <f>IFERROR(__xludf.DUMMYFUNCTION("""COMPUTED_VALUE"""),"Midnight Silver Metallic")</f>
        <v>Midnight Silver Metallic</v>
      </c>
      <c r="P2303" s="153" t="str">
        <f>IFERROR(__xludf.DUMMYFUNCTION("""COMPUTED_VALUE"""),"18 inch Aero")</f>
        <v>18 inch Aero</v>
      </c>
      <c r="Q2303" s="152" t="str">
        <f>IFERROR(__xludf.DUMMYFUNCTION("""COMPUTED_VALUE"""),"Black seats")</f>
        <v>Black seats</v>
      </c>
      <c r="R2303" s="149" t="str">
        <f>IFERROR(__xludf.DUMMYFUNCTION("""COMPUTED_VALUE"""),"Enhanced Autopilot")</f>
        <v>Enhanced Autopilot</v>
      </c>
      <c r="S2303" s="149"/>
      <c r="T2303" s="145"/>
      <c r="U2303" s="145"/>
      <c r="V2303" s="145"/>
      <c r="W2303" s="136"/>
      <c r="X2303" s="137" t="str">
        <f>IFERROR(__xludf.DUMMYFUNCTION("""COMPUTED_VALUE"""),"Excellent")</f>
        <v>Excellent</v>
      </c>
      <c r="Y2303" s="138" t="str">
        <f>IFERROR(__xludf.DUMMYFUNCTION("""COMPUTED_VALUE"""),"Excellent")</f>
        <v>Excellent</v>
      </c>
      <c r="Z2303" s="138" t="str">
        <f>IFERROR(__xludf.DUMMYFUNCTION("""COMPUTED_VALUE"""),"Excellent")</f>
        <v>Excellent</v>
      </c>
      <c r="AA2303" s="138" t="str">
        <f>IFERROR(__xludf.DUMMYFUNCTION("""COMPUTED_VALUE"""),"Poor")</f>
        <v>Poor</v>
      </c>
      <c r="AB2303" s="138" t="str">
        <f>IFERROR(__xludf.DUMMYFUNCTION("""COMPUTED_VALUE"""),"Poor")</f>
        <v>Poor</v>
      </c>
      <c r="AC2303" s="139"/>
      <c r="AD2303" s="139"/>
      <c r="AE2303" s="139"/>
      <c r="AF2303" s="140"/>
      <c r="AG2303" s="136" t="str">
        <f>IFERROR(__xludf.DUMMYFUNCTION("""COMPUTED_VALUE"""),"Order was originally for mid-range and later change to long-range.")</f>
        <v>Order was originally for mid-range and later change to long-range.</v>
      </c>
      <c r="AH2303" s="157">
        <f>IFERROR(__xludf.DUMMYFUNCTION("""COMPUTED_VALUE"""),44257.663112476854)</f>
        <v>44257.66311</v>
      </c>
      <c r="AI2303" s="138"/>
      <c r="AJ2303" s="138"/>
      <c r="AK2303" s="138"/>
      <c r="AL2303" s="142"/>
    </row>
    <row r="2304" ht="20.25" customHeight="1">
      <c r="A2304" s="155" t="str">
        <f>IFERROR(__xludf.DUMMYFUNCTION("""COMPUTED_VALUE"""),"Gooser")</f>
        <v>Gooser</v>
      </c>
      <c r="B2304" s="149" t="str">
        <f>IFERROR(__xludf.DUMMYFUNCTION("""COMPUTED_VALUE"""),"Flemington")</f>
        <v>Flemington</v>
      </c>
      <c r="C2304" s="149" t="str">
        <f>IFERROR(__xludf.DUMMYFUNCTION("""COMPUTED_VALUE"""),"NJ")</f>
        <v>NJ</v>
      </c>
      <c r="D2304" s="149" t="str">
        <f>IFERROR(__xludf.DUMMYFUNCTION("""COMPUTED_VALUE"""),"USA")</f>
        <v>USA</v>
      </c>
      <c r="E2304" s="156">
        <f>IFERROR(__xludf.DUMMYFUNCTION("""COMPUTED_VALUE"""),43391.0)</f>
        <v>43391</v>
      </c>
      <c r="F2304" s="129">
        <f>IFERROR(__xludf.DUMMYFUNCTION("""COMPUTED_VALUE"""),43423.0)</f>
        <v>43423</v>
      </c>
      <c r="G2304" s="154"/>
      <c r="H2304" s="131">
        <f>IFERROR(__xludf.DUMMYFUNCTION("""COMPUTED_VALUE"""),152855.0)</f>
        <v>152855</v>
      </c>
      <c r="I2304" s="144" t="str">
        <f>IFERROR(__xludf.DUMMYFUNCTION("""COMPUTED_VALUE"""),"11/18")</f>
        <v>11/18</v>
      </c>
      <c r="J2304" s="129">
        <f>IFERROR(__xludf.DUMMYFUNCTION("""COMPUTED_VALUE"""),43430.0)</f>
        <v>43430</v>
      </c>
      <c r="K2304" s="133">
        <f>IFERROR(__xludf.DUMMYFUNCTION("""COMPUTED_VALUE"""),32.0)</f>
        <v>32</v>
      </c>
      <c r="L2304" s="133">
        <f>IFERROR(__xludf.DUMMYFUNCTION("""COMPUTED_VALUE"""),7.0)</f>
        <v>7</v>
      </c>
      <c r="M2304" s="133">
        <f>IFERROR(__xludf.DUMMYFUNCTION("""COMPUTED_VALUE"""),39.0)</f>
        <v>39</v>
      </c>
      <c r="N2304" s="152" t="str">
        <f>IFERROR(__xludf.DUMMYFUNCTION("""COMPUTED_VALUE"""),"Model 3 MR")</f>
        <v>Model 3 MR</v>
      </c>
      <c r="O2304" s="152" t="str">
        <f>IFERROR(__xludf.DUMMYFUNCTION("""COMPUTED_VALUE"""),"Solid Black")</f>
        <v>Solid Black</v>
      </c>
      <c r="P2304" s="153" t="str">
        <f>IFERROR(__xludf.DUMMYFUNCTION("""COMPUTED_VALUE"""),"18 inch Aero")</f>
        <v>18 inch Aero</v>
      </c>
      <c r="Q2304" s="152" t="str">
        <f>IFERROR(__xludf.DUMMYFUNCTION("""COMPUTED_VALUE"""),"Black seats")</f>
        <v>Black seats</v>
      </c>
      <c r="R2304" s="149" t="str">
        <f>IFERROR(__xludf.DUMMYFUNCTION("""COMPUTED_VALUE"""),"None")</f>
        <v>None</v>
      </c>
      <c r="S2304" s="149"/>
      <c r="T2304" s="145"/>
      <c r="U2304" s="145"/>
      <c r="V2304" s="145"/>
      <c r="W2304" s="136"/>
      <c r="X2304" s="137" t="str">
        <f>IFERROR(__xludf.DUMMYFUNCTION("""COMPUTED_VALUE"""),"Excellent")</f>
        <v>Excellent</v>
      </c>
      <c r="Y2304" s="138" t="str">
        <f>IFERROR(__xludf.DUMMYFUNCTION("""COMPUTED_VALUE"""),"Excellent")</f>
        <v>Excellent</v>
      </c>
      <c r="Z2304" s="138" t="str">
        <f>IFERROR(__xludf.DUMMYFUNCTION("""COMPUTED_VALUE"""),"Excellent")</f>
        <v>Excellent</v>
      </c>
      <c r="AA2304" s="138" t="str">
        <f>IFERROR(__xludf.DUMMYFUNCTION("""COMPUTED_VALUE"""),"Poor")</f>
        <v>Poor</v>
      </c>
      <c r="AB2304" s="138" t="str">
        <f>IFERROR(__xludf.DUMMYFUNCTION("""COMPUTED_VALUE"""),"Fair")</f>
        <v>Fair</v>
      </c>
      <c r="AC2304" s="139"/>
      <c r="AD2304" s="139"/>
      <c r="AE2304" s="139"/>
      <c r="AF2304" s="140"/>
      <c r="AG2304" s="136"/>
      <c r="AH2304" s="157">
        <f>IFERROR(__xludf.DUMMYFUNCTION("""COMPUTED_VALUE"""),43430.915484722216)</f>
        <v>43430.91548</v>
      </c>
      <c r="AI2304" s="138"/>
      <c r="AJ2304" s="138"/>
      <c r="AK2304" s="138"/>
      <c r="AL2304" s="142"/>
    </row>
    <row r="2305" ht="20.25" customHeight="1">
      <c r="A2305" s="155" t="str">
        <f>IFERROR(__xludf.DUMMYFUNCTION("""COMPUTED_VALUE"""),"HunkyFunky")</f>
        <v>HunkyFunky</v>
      </c>
      <c r="B2305" s="149" t="str">
        <f>IFERROR(__xludf.DUMMYFUNCTION("""COMPUTED_VALUE"""),"Northern Virginia")</f>
        <v>Northern Virginia</v>
      </c>
      <c r="C2305" s="149" t="str">
        <f>IFERROR(__xludf.DUMMYFUNCTION("""COMPUTED_VALUE"""),"VA")</f>
        <v>VA</v>
      </c>
      <c r="D2305" s="149" t="str">
        <f>IFERROR(__xludf.DUMMYFUNCTION("""COMPUTED_VALUE"""),"USA")</f>
        <v>USA</v>
      </c>
      <c r="E2305" s="156">
        <f>IFERROR(__xludf.DUMMYFUNCTION("""COMPUTED_VALUE"""),43391.0)</f>
        <v>43391</v>
      </c>
      <c r="F2305" s="129">
        <f>IFERROR(__xludf.DUMMYFUNCTION("""COMPUTED_VALUE"""),43422.0)</f>
        <v>43422</v>
      </c>
      <c r="G2305" s="154"/>
      <c r="H2305" s="131">
        <f>IFERROR(__xludf.DUMMYFUNCTION("""COMPUTED_VALUE"""),153105.0)</f>
        <v>153105</v>
      </c>
      <c r="I2305" s="144" t="str">
        <f>IFERROR(__xludf.DUMMYFUNCTION("""COMPUTED_VALUE"""),"10/18")</f>
        <v>10/18</v>
      </c>
      <c r="J2305" s="129">
        <f>IFERROR(__xludf.DUMMYFUNCTION("""COMPUTED_VALUE"""),43430.0)</f>
        <v>43430</v>
      </c>
      <c r="K2305" s="133">
        <f>IFERROR(__xludf.DUMMYFUNCTION("""COMPUTED_VALUE"""),31.0)</f>
        <v>31</v>
      </c>
      <c r="L2305" s="133">
        <f>IFERROR(__xludf.DUMMYFUNCTION("""COMPUTED_VALUE"""),8.0)</f>
        <v>8</v>
      </c>
      <c r="M2305" s="133">
        <f>IFERROR(__xludf.DUMMYFUNCTION("""COMPUTED_VALUE"""),39.0)</f>
        <v>39</v>
      </c>
      <c r="N2305" s="152" t="str">
        <f>IFERROR(__xludf.DUMMYFUNCTION("""COMPUTED_VALUE"""),"Model 3 MR")</f>
        <v>Model 3 MR</v>
      </c>
      <c r="O2305" s="152" t="str">
        <f>IFERROR(__xludf.DUMMYFUNCTION("""COMPUTED_VALUE"""),"Pearl White Multi-Coat")</f>
        <v>Pearl White Multi-Coat</v>
      </c>
      <c r="P2305" s="153" t="str">
        <f>IFERROR(__xludf.DUMMYFUNCTION("""COMPUTED_VALUE"""),"18 inch Aero")</f>
        <v>18 inch Aero</v>
      </c>
      <c r="Q2305" s="152" t="str">
        <f>IFERROR(__xludf.DUMMYFUNCTION("""COMPUTED_VALUE"""),"Black seats")</f>
        <v>Black seats</v>
      </c>
      <c r="R2305" s="149" t="str">
        <f>IFERROR(__xludf.DUMMYFUNCTION("""COMPUTED_VALUE"""),"Enhanced Autopilot")</f>
        <v>Enhanced Autopilot</v>
      </c>
      <c r="S2305" s="149"/>
      <c r="T2305" s="145"/>
      <c r="U2305" s="145"/>
      <c r="V2305" s="145"/>
      <c r="W2305" s="136"/>
      <c r="X2305" s="137" t="str">
        <f>IFERROR(__xludf.DUMMYFUNCTION("""COMPUTED_VALUE"""),"Good")</f>
        <v>Good</v>
      </c>
      <c r="Y2305" s="138" t="str">
        <f>IFERROR(__xludf.DUMMYFUNCTION("""COMPUTED_VALUE"""),"Good")</f>
        <v>Good</v>
      </c>
      <c r="Z2305" s="138" t="str">
        <f>IFERROR(__xludf.DUMMYFUNCTION("""COMPUTED_VALUE"""),"Good")</f>
        <v>Good</v>
      </c>
      <c r="AA2305" s="138" t="str">
        <f>IFERROR(__xludf.DUMMYFUNCTION("""COMPUTED_VALUE"""),"Very Good")</f>
        <v>Very Good</v>
      </c>
      <c r="AB2305" s="138" t="str">
        <f>IFERROR(__xludf.DUMMYFUNCTION("""COMPUTED_VALUE"""),"Fair")</f>
        <v>Fair</v>
      </c>
      <c r="AC2305" s="139"/>
      <c r="AD2305" s="139"/>
      <c r="AE2305" s="139"/>
      <c r="AF2305" s="140"/>
      <c r="AG2305" s="136"/>
      <c r="AH2305" s="157">
        <f>IFERROR(__xludf.DUMMYFUNCTION("""COMPUTED_VALUE"""),43434.190943923604)</f>
        <v>43434.19094</v>
      </c>
      <c r="AI2305" s="138"/>
      <c r="AJ2305" s="138"/>
      <c r="AK2305" s="138"/>
      <c r="AL2305" s="142"/>
    </row>
    <row r="2306" ht="20.25" customHeight="1">
      <c r="A2306" s="155" t="str">
        <f>IFERROR(__xludf.DUMMYFUNCTION("""COMPUTED_VALUE"""),"irnenginer")</f>
        <v>irnenginer</v>
      </c>
      <c r="B2306" s="149" t="str">
        <f>IFERROR(__xludf.DUMMYFUNCTION("""COMPUTED_VALUE"""),"Redmond")</f>
        <v>Redmond</v>
      </c>
      <c r="C2306" s="149" t="str">
        <f>IFERROR(__xludf.DUMMYFUNCTION("""COMPUTED_VALUE"""),"WA")</f>
        <v>WA</v>
      </c>
      <c r="D2306" s="149" t="str">
        <f>IFERROR(__xludf.DUMMYFUNCTION("""COMPUTED_VALUE"""),"USA")</f>
        <v>USA</v>
      </c>
      <c r="E2306" s="156">
        <f>IFERROR(__xludf.DUMMYFUNCTION("""COMPUTED_VALUE"""),43391.0)</f>
        <v>43391</v>
      </c>
      <c r="F2306" s="129">
        <f>IFERROR(__xludf.DUMMYFUNCTION("""COMPUTED_VALUE"""),43443.0)</f>
        <v>43443</v>
      </c>
      <c r="G2306" s="154"/>
      <c r="H2306" s="131">
        <f>IFERROR(__xludf.DUMMYFUNCTION("""COMPUTED_VALUE"""),159269.0)</f>
        <v>159269</v>
      </c>
      <c r="I2306" s="144" t="str">
        <f>IFERROR(__xludf.DUMMYFUNCTION("""COMPUTED_VALUE"""),"12/18")</f>
        <v>12/18</v>
      </c>
      <c r="J2306" s="129">
        <f>IFERROR(__xludf.DUMMYFUNCTION("""COMPUTED_VALUE"""),43448.0)</f>
        <v>43448</v>
      </c>
      <c r="K2306" s="133">
        <f>IFERROR(__xludf.DUMMYFUNCTION("""COMPUTED_VALUE"""),52.0)</f>
        <v>52</v>
      </c>
      <c r="L2306" s="133">
        <f>IFERROR(__xludf.DUMMYFUNCTION("""COMPUTED_VALUE"""),5.0)</f>
        <v>5</v>
      </c>
      <c r="M2306" s="133">
        <f>IFERROR(__xludf.DUMMYFUNCTION("""COMPUTED_VALUE"""),57.0)</f>
        <v>57</v>
      </c>
      <c r="N2306" s="152" t="str">
        <f>IFERROR(__xludf.DUMMYFUNCTION("""COMPUTED_VALUE"""),"Model 3 MR")</f>
        <v>Model 3 MR</v>
      </c>
      <c r="O2306" s="152" t="str">
        <f>IFERROR(__xludf.DUMMYFUNCTION("""COMPUTED_VALUE"""),"Red Multi-Coat")</f>
        <v>Red Multi-Coat</v>
      </c>
      <c r="P2306" s="153" t="str">
        <f>IFERROR(__xludf.DUMMYFUNCTION("""COMPUTED_VALUE"""),"18 inch Aero")</f>
        <v>18 inch Aero</v>
      </c>
      <c r="Q2306" s="152" t="str">
        <f>IFERROR(__xludf.DUMMYFUNCTION("""COMPUTED_VALUE"""),"Black seats")</f>
        <v>Black seats</v>
      </c>
      <c r="R2306" s="149" t="str">
        <f>IFERROR(__xludf.DUMMYFUNCTION("""COMPUTED_VALUE"""),"None")</f>
        <v>None</v>
      </c>
      <c r="S2306" s="149"/>
      <c r="T2306" s="145"/>
      <c r="U2306" s="145"/>
      <c r="V2306" s="145"/>
      <c r="W2306" s="136"/>
      <c r="X2306" s="137" t="str">
        <f>IFERROR(__xludf.DUMMYFUNCTION("""COMPUTED_VALUE"""),"Good")</f>
        <v>Good</v>
      </c>
      <c r="Y2306" s="138" t="str">
        <f>IFERROR(__xludf.DUMMYFUNCTION("""COMPUTED_VALUE"""),"Good")</f>
        <v>Good</v>
      </c>
      <c r="Z2306" s="138" t="str">
        <f>IFERROR(__xludf.DUMMYFUNCTION("""COMPUTED_VALUE"""),"Good")</f>
        <v>Good</v>
      </c>
      <c r="AA2306" s="138" t="str">
        <f>IFERROR(__xludf.DUMMYFUNCTION("""COMPUTED_VALUE"""),"Good")</f>
        <v>Good</v>
      </c>
      <c r="AB2306" s="138" t="str">
        <f>IFERROR(__xludf.DUMMYFUNCTION("""COMPUTED_VALUE"""),"Very Good")</f>
        <v>Very Good</v>
      </c>
      <c r="AC2306" s="139">
        <f>IFERROR(__xludf.DUMMYFUNCTION("""COMPUTED_VALUE"""),0.0)</f>
        <v>0</v>
      </c>
      <c r="AD2306" s="139">
        <f>IFERROR(__xludf.DUMMYFUNCTION("""COMPUTED_VALUE"""),0.0)</f>
        <v>0</v>
      </c>
      <c r="AE2306" s="139">
        <f>IFERROR(__xludf.DUMMYFUNCTION("""COMPUTED_VALUE"""),0.0)</f>
        <v>0</v>
      </c>
      <c r="AF2306" s="140"/>
      <c r="AG2306" s="136"/>
      <c r="AH2306" s="157">
        <f>IFERROR(__xludf.DUMMYFUNCTION("""COMPUTED_VALUE"""),43452.436745960644)</f>
        <v>43452.43675</v>
      </c>
      <c r="AI2306" s="138"/>
      <c r="AJ2306" s="138"/>
      <c r="AK2306" s="138"/>
      <c r="AL2306" s="142"/>
    </row>
    <row r="2307" ht="20.25" customHeight="1">
      <c r="A2307" s="155" t="str">
        <f>IFERROR(__xludf.DUMMYFUNCTION("""COMPUTED_VALUE"""),"jon")</f>
        <v>jon</v>
      </c>
      <c r="B2307" s="149" t="str">
        <f>IFERROR(__xludf.DUMMYFUNCTION("""COMPUTED_VALUE"""),"Newbury")</f>
        <v>Newbury</v>
      </c>
      <c r="C2307" s="149" t="str">
        <f>IFERROR(__xludf.DUMMYFUNCTION("""COMPUTED_VALUE"""),"MA")</f>
        <v>MA</v>
      </c>
      <c r="D2307" s="149" t="str">
        <f>IFERROR(__xludf.DUMMYFUNCTION("""COMPUTED_VALUE"""),"USA")</f>
        <v>USA</v>
      </c>
      <c r="E2307" s="156">
        <f>IFERROR(__xludf.DUMMYFUNCTION("""COMPUTED_VALUE"""),43391.0)</f>
        <v>43391</v>
      </c>
      <c r="F2307" s="129">
        <f>IFERROR(__xludf.DUMMYFUNCTION("""COMPUTED_VALUE"""),43420.0)</f>
        <v>43420</v>
      </c>
      <c r="G2307" s="154"/>
      <c r="H2307" s="131">
        <f>IFERROR(__xludf.DUMMYFUNCTION("""COMPUTED_VALUE"""),153894.0)</f>
        <v>153894</v>
      </c>
      <c r="I2307" s="144" t="str">
        <f>IFERROR(__xludf.DUMMYFUNCTION("""COMPUTED_VALUE"""),"11/18")</f>
        <v>11/18</v>
      </c>
      <c r="J2307" s="129">
        <f>IFERROR(__xludf.DUMMYFUNCTION("""COMPUTED_VALUE"""),43448.0)</f>
        <v>43448</v>
      </c>
      <c r="K2307" s="133">
        <f>IFERROR(__xludf.DUMMYFUNCTION("""COMPUTED_VALUE"""),29.0)</f>
        <v>29</v>
      </c>
      <c r="L2307" s="133">
        <f>IFERROR(__xludf.DUMMYFUNCTION("""COMPUTED_VALUE"""),28.0)</f>
        <v>28</v>
      </c>
      <c r="M2307" s="133">
        <f>IFERROR(__xludf.DUMMYFUNCTION("""COMPUTED_VALUE"""),57.0)</f>
        <v>57</v>
      </c>
      <c r="N2307" s="152" t="str">
        <f>IFERROR(__xludf.DUMMYFUNCTION("""COMPUTED_VALUE"""),"Model 3 MR")</f>
        <v>Model 3 MR</v>
      </c>
      <c r="O2307" s="152" t="str">
        <f>IFERROR(__xludf.DUMMYFUNCTION("""COMPUTED_VALUE"""),"Red Multi-Coat")</f>
        <v>Red Multi-Coat</v>
      </c>
      <c r="P2307" s="153" t="str">
        <f>IFERROR(__xludf.DUMMYFUNCTION("""COMPUTED_VALUE"""),"18 inch Aero")</f>
        <v>18 inch Aero</v>
      </c>
      <c r="Q2307" s="152" t="str">
        <f>IFERROR(__xludf.DUMMYFUNCTION("""COMPUTED_VALUE"""),"Black seats")</f>
        <v>Black seats</v>
      </c>
      <c r="R2307" s="149" t="str">
        <f>IFERROR(__xludf.DUMMYFUNCTION("""COMPUTED_VALUE"""),"Enhanced Autopilot")</f>
        <v>Enhanced Autopilot</v>
      </c>
      <c r="S2307" s="149"/>
      <c r="T2307" s="145"/>
      <c r="U2307" s="145"/>
      <c r="V2307" s="145"/>
      <c r="W2307" s="136"/>
      <c r="X2307" s="137" t="str">
        <f>IFERROR(__xludf.DUMMYFUNCTION("""COMPUTED_VALUE"""),"Excellent")</f>
        <v>Excellent</v>
      </c>
      <c r="Y2307" s="138" t="str">
        <f>IFERROR(__xludf.DUMMYFUNCTION("""COMPUTED_VALUE"""),"Excellent")</f>
        <v>Excellent</v>
      </c>
      <c r="Z2307" s="138" t="str">
        <f>IFERROR(__xludf.DUMMYFUNCTION("""COMPUTED_VALUE"""),"Excellent")</f>
        <v>Excellent</v>
      </c>
      <c r="AA2307" s="138" t="str">
        <f>IFERROR(__xludf.DUMMYFUNCTION("""COMPUTED_VALUE"""),"Poor")</f>
        <v>Poor</v>
      </c>
      <c r="AB2307" s="138" t="str">
        <f>IFERROR(__xludf.DUMMYFUNCTION("""COMPUTED_VALUE"""),"Good")</f>
        <v>Good</v>
      </c>
      <c r="AC2307" s="139">
        <f>IFERROR(__xludf.DUMMYFUNCTION("""COMPUTED_VALUE"""),0.0)</f>
        <v>0</v>
      </c>
      <c r="AD2307" s="139">
        <f>IFERROR(__xludf.DUMMYFUNCTION("""COMPUTED_VALUE"""),0.0)</f>
        <v>0</v>
      </c>
      <c r="AE2307" s="139">
        <f>IFERROR(__xludf.DUMMYFUNCTION("""COMPUTED_VALUE"""),0.0)</f>
        <v>0</v>
      </c>
      <c r="AF2307" s="140"/>
      <c r="AG2307" s="136"/>
      <c r="AH2307" s="157">
        <f>IFERROR(__xludf.DUMMYFUNCTION("""COMPUTED_VALUE"""),43456.46492179398)</f>
        <v>43456.46492</v>
      </c>
      <c r="AI2307" s="138"/>
      <c r="AJ2307" s="138"/>
      <c r="AK2307" s="138"/>
      <c r="AL2307" s="142"/>
    </row>
    <row r="2308" ht="20.25" customHeight="1">
      <c r="A2308" s="155" t="str">
        <f>IFERROR(__xludf.DUMMYFUNCTION("""COMPUTED_VALUE"""),"mkjaiswa")</f>
        <v>mkjaiswa</v>
      </c>
      <c r="B2308" s="149" t="str">
        <f>IFERROR(__xludf.DUMMYFUNCTION("""COMPUTED_VALUE"""),"San Diego")</f>
        <v>San Diego</v>
      </c>
      <c r="C2308" s="149" t="str">
        <f>IFERROR(__xludf.DUMMYFUNCTION("""COMPUTED_VALUE"""),"CA")</f>
        <v>CA</v>
      </c>
      <c r="D2308" s="149" t="str">
        <f>IFERROR(__xludf.DUMMYFUNCTION("""COMPUTED_VALUE"""),"USA")</f>
        <v>USA</v>
      </c>
      <c r="E2308" s="156">
        <f>IFERROR(__xludf.DUMMYFUNCTION("""COMPUTED_VALUE"""),43391.0)</f>
        <v>43391</v>
      </c>
      <c r="F2308" s="129">
        <f>IFERROR(__xludf.DUMMYFUNCTION("""COMPUTED_VALUE"""),43455.0)</f>
        <v>43455</v>
      </c>
      <c r="G2308" s="154"/>
      <c r="H2308" s="131">
        <f>IFERROR(__xludf.DUMMYFUNCTION("""COMPUTED_VALUE"""),16055.0)</f>
        <v>16055</v>
      </c>
      <c r="I2308" s="144"/>
      <c r="J2308" s="129">
        <f>IFERROR(__xludf.DUMMYFUNCTION("""COMPUTED_VALUE"""),43460.0)</f>
        <v>43460</v>
      </c>
      <c r="K2308" s="133">
        <f>IFERROR(__xludf.DUMMYFUNCTION("""COMPUTED_VALUE"""),64.0)</f>
        <v>64</v>
      </c>
      <c r="L2308" s="133">
        <f>IFERROR(__xludf.DUMMYFUNCTION("""COMPUTED_VALUE"""),5.0)</f>
        <v>5</v>
      </c>
      <c r="M2308" s="133">
        <f>IFERROR(__xludf.DUMMYFUNCTION("""COMPUTED_VALUE"""),69.0)</f>
        <v>69</v>
      </c>
      <c r="N2308" s="152" t="str">
        <f>IFERROR(__xludf.DUMMYFUNCTION("""COMPUTED_VALUE"""),"Model 3 MR")</f>
        <v>Model 3 MR</v>
      </c>
      <c r="O2308" s="152" t="str">
        <f>IFERROR(__xludf.DUMMYFUNCTION("""COMPUTED_VALUE"""),"Deep Blue Metallic")</f>
        <v>Deep Blue Metallic</v>
      </c>
      <c r="P2308" s="153" t="str">
        <f>IFERROR(__xludf.DUMMYFUNCTION("""COMPUTED_VALUE"""),"18 inch Aero")</f>
        <v>18 inch Aero</v>
      </c>
      <c r="Q2308" s="152" t="str">
        <f>IFERROR(__xludf.DUMMYFUNCTION("""COMPUTED_VALUE"""),"Black seats")</f>
        <v>Black seats</v>
      </c>
      <c r="R2308" s="149" t="str">
        <f>IFERROR(__xludf.DUMMYFUNCTION("""COMPUTED_VALUE"""),"None")</f>
        <v>None</v>
      </c>
      <c r="S2308" s="149"/>
      <c r="T2308" s="145"/>
      <c r="U2308" s="145"/>
      <c r="V2308" s="145"/>
      <c r="W2308" s="136"/>
      <c r="X2308" s="137" t="str">
        <f>IFERROR(__xludf.DUMMYFUNCTION("""COMPUTED_VALUE"""),"Excellent")</f>
        <v>Excellent</v>
      </c>
      <c r="Y2308" s="138" t="str">
        <f>IFERROR(__xludf.DUMMYFUNCTION("""COMPUTED_VALUE"""),"Excellent")</f>
        <v>Excellent</v>
      </c>
      <c r="Z2308" s="138" t="str">
        <f>IFERROR(__xludf.DUMMYFUNCTION("""COMPUTED_VALUE"""),"Excellent")</f>
        <v>Excellent</v>
      </c>
      <c r="AA2308" s="138" t="str">
        <f>IFERROR(__xludf.DUMMYFUNCTION("""COMPUTED_VALUE"""),"Excellent")</f>
        <v>Excellent</v>
      </c>
      <c r="AB2308" s="138" t="str">
        <f>IFERROR(__xludf.DUMMYFUNCTION("""COMPUTED_VALUE"""),"Excellent")</f>
        <v>Excellent</v>
      </c>
      <c r="AC2308" s="139">
        <f>IFERROR(__xludf.DUMMYFUNCTION("""COMPUTED_VALUE"""),0.0)</f>
        <v>0</v>
      </c>
      <c r="AD2308" s="139">
        <f>IFERROR(__xludf.DUMMYFUNCTION("""COMPUTED_VALUE"""),0.0)</f>
        <v>0</v>
      </c>
      <c r="AE2308" s="139">
        <f>IFERROR(__xludf.DUMMYFUNCTION("""COMPUTED_VALUE"""),0.0)</f>
        <v>0</v>
      </c>
      <c r="AF2308" s="140"/>
      <c r="AG2308" s="136"/>
      <c r="AH2308" s="157">
        <f>IFERROR(__xludf.DUMMYFUNCTION("""COMPUTED_VALUE"""),43468.62064020833)</f>
        <v>43468.62064</v>
      </c>
      <c r="AI2308" s="138"/>
      <c r="AJ2308" s="138"/>
      <c r="AK2308" s="138"/>
      <c r="AL2308" s="142"/>
    </row>
    <row r="2309" ht="20.25" customHeight="1">
      <c r="A2309" s="155" t="str">
        <f>IFERROR(__xludf.DUMMYFUNCTION("""COMPUTED_VALUE"""),"OneJaguar")</f>
        <v>OneJaguar</v>
      </c>
      <c r="B2309" s="149" t="str">
        <f>IFERROR(__xludf.DUMMYFUNCTION("""COMPUTED_VALUE"""),"Los Angeles")</f>
        <v>Los Angeles</v>
      </c>
      <c r="C2309" s="149" t="str">
        <f>IFERROR(__xludf.DUMMYFUNCTION("""COMPUTED_VALUE"""),"CA")</f>
        <v>CA</v>
      </c>
      <c r="D2309" s="149" t="str">
        <f>IFERROR(__xludf.DUMMYFUNCTION("""COMPUTED_VALUE"""),"USA")</f>
        <v>USA</v>
      </c>
      <c r="E2309" s="156">
        <f>IFERROR(__xludf.DUMMYFUNCTION("""COMPUTED_VALUE"""),43391.0)</f>
        <v>43391</v>
      </c>
      <c r="F2309" s="129">
        <f>IFERROR(__xludf.DUMMYFUNCTION("""COMPUTED_VALUE"""),43409.0)</f>
        <v>43409</v>
      </c>
      <c r="G2309" s="154"/>
      <c r="H2309" s="131">
        <f>IFERROR(__xludf.DUMMYFUNCTION("""COMPUTED_VALUE"""),153345.0)</f>
        <v>153345</v>
      </c>
      <c r="I2309" s="144" t="str">
        <f>IFERROR(__xludf.DUMMYFUNCTION("""COMPUTED_VALUE"""),"11/18")</f>
        <v>11/18</v>
      </c>
      <c r="J2309" s="129">
        <f>IFERROR(__xludf.DUMMYFUNCTION("""COMPUTED_VALUE"""),43416.0)</f>
        <v>43416</v>
      </c>
      <c r="K2309" s="133">
        <f>IFERROR(__xludf.DUMMYFUNCTION("""COMPUTED_VALUE"""),18.0)</f>
        <v>18</v>
      </c>
      <c r="L2309" s="133">
        <f>IFERROR(__xludf.DUMMYFUNCTION("""COMPUTED_VALUE"""),7.0)</f>
        <v>7</v>
      </c>
      <c r="M2309" s="133">
        <f>IFERROR(__xludf.DUMMYFUNCTION("""COMPUTED_VALUE"""),25.0)</f>
        <v>25</v>
      </c>
      <c r="N2309" s="152" t="str">
        <f>IFERROR(__xludf.DUMMYFUNCTION("""COMPUTED_VALUE"""),"Model 3 MR")</f>
        <v>Model 3 MR</v>
      </c>
      <c r="O2309" s="152" t="str">
        <f>IFERROR(__xludf.DUMMYFUNCTION("""COMPUTED_VALUE"""),"Midnight Silver Metallic")</f>
        <v>Midnight Silver Metallic</v>
      </c>
      <c r="P2309" s="153" t="str">
        <f>IFERROR(__xludf.DUMMYFUNCTION("""COMPUTED_VALUE"""),"18 inch Aero")</f>
        <v>18 inch Aero</v>
      </c>
      <c r="Q2309" s="152" t="str">
        <f>IFERROR(__xludf.DUMMYFUNCTION("""COMPUTED_VALUE"""),"Black seats")</f>
        <v>Black seats</v>
      </c>
      <c r="R2309" s="149" t="str">
        <f>IFERROR(__xludf.DUMMYFUNCTION("""COMPUTED_VALUE"""),"Enhanced Autopilot")</f>
        <v>Enhanced Autopilot</v>
      </c>
      <c r="S2309" s="149"/>
      <c r="T2309" s="145"/>
      <c r="U2309" s="145"/>
      <c r="V2309" s="145"/>
      <c r="W2309" s="136"/>
      <c r="X2309" s="137" t="str">
        <f>IFERROR(__xludf.DUMMYFUNCTION("""COMPUTED_VALUE"""),"Excellent")</f>
        <v>Excellent</v>
      </c>
      <c r="Y2309" s="138" t="str">
        <f>IFERROR(__xludf.DUMMYFUNCTION("""COMPUTED_VALUE"""),"Excellent")</f>
        <v>Excellent</v>
      </c>
      <c r="Z2309" s="138" t="str">
        <f>IFERROR(__xludf.DUMMYFUNCTION("""COMPUTED_VALUE"""),"Excellent")</f>
        <v>Excellent</v>
      </c>
      <c r="AA2309" s="138" t="str">
        <f>IFERROR(__xludf.DUMMYFUNCTION("""COMPUTED_VALUE"""),"Poor")</f>
        <v>Poor</v>
      </c>
      <c r="AB2309" s="138" t="str">
        <f>IFERROR(__xludf.DUMMYFUNCTION("""COMPUTED_VALUE"""),"Very Good")</f>
        <v>Very Good</v>
      </c>
      <c r="AC2309" s="139"/>
      <c r="AD2309" s="139"/>
      <c r="AE2309" s="139"/>
      <c r="AF2309" s="140"/>
      <c r="AG2309" s="136"/>
      <c r="AH2309" s="157">
        <f>IFERROR(__xludf.DUMMYFUNCTION("""COMPUTED_VALUE"""),43416.67845313658)</f>
        <v>43416.67845</v>
      </c>
      <c r="AI2309" s="138"/>
      <c r="AJ2309" s="138"/>
      <c r="AK2309" s="138"/>
      <c r="AL2309" s="142"/>
    </row>
    <row r="2310" ht="20.25" customHeight="1">
      <c r="A2310" s="155" t="str">
        <f>IFERROR(__xludf.DUMMYFUNCTION("""COMPUTED_VALUE"""),"potato1595")</f>
        <v>potato1595</v>
      </c>
      <c r="B2310" s="149" t="str">
        <f>IFERROR(__xludf.DUMMYFUNCTION("""COMPUTED_VALUE"""),"Austin")</f>
        <v>Austin</v>
      </c>
      <c r="C2310" s="149" t="str">
        <f>IFERROR(__xludf.DUMMYFUNCTION("""COMPUTED_VALUE"""),"TX")</f>
        <v>TX</v>
      </c>
      <c r="D2310" s="149" t="str">
        <f>IFERROR(__xludf.DUMMYFUNCTION("""COMPUTED_VALUE"""),"USA")</f>
        <v>USA</v>
      </c>
      <c r="E2310" s="156">
        <f>IFERROR(__xludf.DUMMYFUNCTION("""COMPUTED_VALUE"""),43391.0)</f>
        <v>43391</v>
      </c>
      <c r="F2310" s="129">
        <f>IFERROR(__xludf.DUMMYFUNCTION("""COMPUTED_VALUE"""),43443.0)</f>
        <v>43443</v>
      </c>
      <c r="G2310" s="154"/>
      <c r="H2310" s="131">
        <f>IFERROR(__xludf.DUMMYFUNCTION("""COMPUTED_VALUE"""),160155.0)</f>
        <v>160155</v>
      </c>
      <c r="I2310" s="144" t="str">
        <f>IFERROR(__xludf.DUMMYFUNCTION("""COMPUTED_VALUE"""),"12/18")</f>
        <v>12/18</v>
      </c>
      <c r="J2310" s="129">
        <f>IFERROR(__xludf.DUMMYFUNCTION("""COMPUTED_VALUE"""),43453.0)</f>
        <v>43453</v>
      </c>
      <c r="K2310" s="133">
        <f>IFERROR(__xludf.DUMMYFUNCTION("""COMPUTED_VALUE"""),52.0)</f>
        <v>52</v>
      </c>
      <c r="L2310" s="133">
        <f>IFERROR(__xludf.DUMMYFUNCTION("""COMPUTED_VALUE"""),10.0)</f>
        <v>10</v>
      </c>
      <c r="M2310" s="133">
        <f>IFERROR(__xludf.DUMMYFUNCTION("""COMPUTED_VALUE"""),62.0)</f>
        <v>62</v>
      </c>
      <c r="N2310" s="152" t="str">
        <f>IFERROR(__xludf.DUMMYFUNCTION("""COMPUTED_VALUE"""),"Model 3 MR")</f>
        <v>Model 3 MR</v>
      </c>
      <c r="O2310" s="152" t="str">
        <f>IFERROR(__xludf.DUMMYFUNCTION("""COMPUTED_VALUE"""),"Deep Blue Metallic")</f>
        <v>Deep Blue Metallic</v>
      </c>
      <c r="P2310" s="153" t="str">
        <f>IFERROR(__xludf.DUMMYFUNCTION("""COMPUTED_VALUE"""),"18 inch Aero")</f>
        <v>18 inch Aero</v>
      </c>
      <c r="Q2310" s="152" t="str">
        <f>IFERROR(__xludf.DUMMYFUNCTION("""COMPUTED_VALUE"""),"Black seats")</f>
        <v>Black seats</v>
      </c>
      <c r="R2310" s="149" t="str">
        <f>IFERROR(__xludf.DUMMYFUNCTION("""COMPUTED_VALUE"""),"Enhanced Autopilot")</f>
        <v>Enhanced Autopilot</v>
      </c>
      <c r="S2310" s="149"/>
      <c r="T2310" s="145"/>
      <c r="U2310" s="145"/>
      <c r="V2310" s="145"/>
      <c r="W2310" s="136"/>
      <c r="X2310" s="137" t="str">
        <f>IFERROR(__xludf.DUMMYFUNCTION("""COMPUTED_VALUE"""),"Very Good")</f>
        <v>Very Good</v>
      </c>
      <c r="Y2310" s="138" t="str">
        <f>IFERROR(__xludf.DUMMYFUNCTION("""COMPUTED_VALUE"""),"Very Good")</f>
        <v>Very Good</v>
      </c>
      <c r="Z2310" s="138" t="str">
        <f>IFERROR(__xludf.DUMMYFUNCTION("""COMPUTED_VALUE"""),"Excellent")</f>
        <v>Excellent</v>
      </c>
      <c r="AA2310" s="138" t="str">
        <f>IFERROR(__xludf.DUMMYFUNCTION("""COMPUTED_VALUE"""),"Very Good")</f>
        <v>Very Good</v>
      </c>
      <c r="AB2310" s="138" t="str">
        <f>IFERROR(__xludf.DUMMYFUNCTION("""COMPUTED_VALUE"""),"Excellent")</f>
        <v>Excellent</v>
      </c>
      <c r="AC2310" s="139"/>
      <c r="AD2310" s="139"/>
      <c r="AE2310" s="139"/>
      <c r="AF2310" s="140"/>
      <c r="AG2310" s="136"/>
      <c r="AH2310" s="157">
        <f>IFERROR(__xludf.DUMMYFUNCTION("""COMPUTED_VALUE"""),43453.67422799769)</f>
        <v>43453.67423</v>
      </c>
      <c r="AI2310" s="138"/>
      <c r="AJ2310" s="138"/>
      <c r="AK2310" s="138"/>
      <c r="AL2310" s="142"/>
    </row>
    <row r="2311" ht="20.25" customHeight="1">
      <c r="A2311" s="155" t="str">
        <f>IFERROR(__xludf.DUMMYFUNCTION("""COMPUTED_VALUE"""),"remlemasi2")</f>
        <v>remlemasi2</v>
      </c>
      <c r="B2311" s="149" t="str">
        <f>IFERROR(__xludf.DUMMYFUNCTION("""COMPUTED_VALUE"""),"SoCal")</f>
        <v>SoCal</v>
      </c>
      <c r="C2311" s="149" t="str">
        <f>IFERROR(__xludf.DUMMYFUNCTION("""COMPUTED_VALUE"""),"CA")</f>
        <v>CA</v>
      </c>
      <c r="D2311" s="149" t="str">
        <f>IFERROR(__xludf.DUMMYFUNCTION("""COMPUTED_VALUE"""),"USA")</f>
        <v>USA</v>
      </c>
      <c r="E2311" s="156">
        <f>IFERROR(__xludf.DUMMYFUNCTION("""COMPUTED_VALUE"""),43391.0)</f>
        <v>43391</v>
      </c>
      <c r="F2311" s="129">
        <f>IFERROR(__xludf.DUMMYFUNCTION("""COMPUTED_VALUE"""),43432.0)</f>
        <v>43432</v>
      </c>
      <c r="G2311" s="154"/>
      <c r="H2311" s="131">
        <f>IFERROR(__xludf.DUMMYFUNCTION("""COMPUTED_VALUE"""),153555.0)</f>
        <v>153555</v>
      </c>
      <c r="I2311" s="144"/>
      <c r="J2311" s="129">
        <f>IFERROR(__xludf.DUMMYFUNCTION("""COMPUTED_VALUE"""),43434.0)</f>
        <v>43434</v>
      </c>
      <c r="K2311" s="133">
        <f>IFERROR(__xludf.DUMMYFUNCTION("""COMPUTED_VALUE"""),41.0)</f>
        <v>41</v>
      </c>
      <c r="L2311" s="133">
        <f>IFERROR(__xludf.DUMMYFUNCTION("""COMPUTED_VALUE"""),2.0)</f>
        <v>2</v>
      </c>
      <c r="M2311" s="133">
        <f>IFERROR(__xludf.DUMMYFUNCTION("""COMPUTED_VALUE"""),43.0)</f>
        <v>43</v>
      </c>
      <c r="N2311" s="152" t="str">
        <f>IFERROR(__xludf.DUMMYFUNCTION("""COMPUTED_VALUE"""),"Model 3 MR")</f>
        <v>Model 3 MR</v>
      </c>
      <c r="O2311" s="152" t="str">
        <f>IFERROR(__xludf.DUMMYFUNCTION("""COMPUTED_VALUE"""),"Midnight Silver Metallic")</f>
        <v>Midnight Silver Metallic</v>
      </c>
      <c r="P2311" s="153" t="str">
        <f>IFERROR(__xludf.DUMMYFUNCTION("""COMPUTED_VALUE"""),"18 inch Aero")</f>
        <v>18 inch Aero</v>
      </c>
      <c r="Q2311" s="152" t="str">
        <f>IFERROR(__xludf.DUMMYFUNCTION("""COMPUTED_VALUE"""),"Black seats")</f>
        <v>Black seats</v>
      </c>
      <c r="R2311" s="149" t="str">
        <f>IFERROR(__xludf.DUMMYFUNCTION("""COMPUTED_VALUE"""),"None")</f>
        <v>None</v>
      </c>
      <c r="S2311" s="149"/>
      <c r="T2311" s="145"/>
      <c r="U2311" s="145"/>
      <c r="V2311" s="145"/>
      <c r="W2311" s="136"/>
      <c r="X2311" s="137" t="str">
        <f>IFERROR(__xludf.DUMMYFUNCTION("""COMPUTED_VALUE"""),"Good")</f>
        <v>Good</v>
      </c>
      <c r="Y2311" s="138" t="str">
        <f>IFERROR(__xludf.DUMMYFUNCTION("""COMPUTED_VALUE"""),"Very Good")</f>
        <v>Very Good</v>
      </c>
      <c r="Z2311" s="138" t="str">
        <f>IFERROR(__xludf.DUMMYFUNCTION("""COMPUTED_VALUE"""),"Very Good")</f>
        <v>Very Good</v>
      </c>
      <c r="AA2311" s="138" t="str">
        <f>IFERROR(__xludf.DUMMYFUNCTION("""COMPUTED_VALUE"""),"Good")</f>
        <v>Good</v>
      </c>
      <c r="AB2311" s="138" t="str">
        <f>IFERROR(__xludf.DUMMYFUNCTION("""COMPUTED_VALUE"""),"Fair")</f>
        <v>Fair</v>
      </c>
      <c r="AC2311" s="139">
        <f>IFERROR(__xludf.DUMMYFUNCTION("""COMPUTED_VALUE"""),1.0)</f>
        <v>1</v>
      </c>
      <c r="AD2311" s="139"/>
      <c r="AE2311" s="139"/>
      <c r="AF2311" s="140"/>
      <c r="AG2311" s="136" t="str">
        <f>IFERROR(__xludf.DUMMYFUNCTION("""COMPUTED_VALUE"""),"Delivery date moved up from 12/5")</f>
        <v>Delivery date moved up from 12/5</v>
      </c>
      <c r="AH2311" s="157">
        <f>IFERROR(__xludf.DUMMYFUNCTION("""COMPUTED_VALUE"""),43437.40640976852)</f>
        <v>43437.40641</v>
      </c>
      <c r="AI2311" s="138"/>
      <c r="AJ2311" s="138"/>
      <c r="AK2311" s="138"/>
      <c r="AL2311" s="142"/>
    </row>
    <row r="2312" ht="20.25" customHeight="1">
      <c r="A2312" s="155" t="str">
        <f>IFERROR(__xludf.DUMMYFUNCTION("""COMPUTED_VALUE"""),"RichChapelHill")</f>
        <v>RichChapelHill</v>
      </c>
      <c r="B2312" s="149" t="str">
        <f>IFERROR(__xludf.DUMMYFUNCTION("""COMPUTED_VALUE"""),"Chapel Hill")</f>
        <v>Chapel Hill</v>
      </c>
      <c r="C2312" s="149" t="str">
        <f>IFERROR(__xludf.DUMMYFUNCTION("""COMPUTED_VALUE"""),"NC")</f>
        <v>NC</v>
      </c>
      <c r="D2312" s="149" t="str">
        <f>IFERROR(__xludf.DUMMYFUNCTION("""COMPUTED_VALUE"""),"USA")</f>
        <v>USA</v>
      </c>
      <c r="E2312" s="156">
        <f>IFERROR(__xludf.DUMMYFUNCTION("""COMPUTED_VALUE"""),43391.0)</f>
        <v>43391</v>
      </c>
      <c r="F2312" s="129"/>
      <c r="G2312" s="154"/>
      <c r="H2312" s="131">
        <f>IFERROR(__xludf.DUMMYFUNCTION("""COMPUTED_VALUE"""),112153.0)</f>
        <v>112153</v>
      </c>
      <c r="I2312" s="144"/>
      <c r="J2312" s="129">
        <f>IFERROR(__xludf.DUMMYFUNCTION("""COMPUTED_VALUE"""),43420.0)</f>
        <v>43420</v>
      </c>
      <c r="K2312" s="133"/>
      <c r="L2312" s="133"/>
      <c r="M2312" s="133">
        <f>IFERROR(__xludf.DUMMYFUNCTION("""COMPUTED_VALUE"""),29.0)</f>
        <v>29</v>
      </c>
      <c r="N2312" s="152" t="str">
        <f>IFERROR(__xludf.DUMMYFUNCTION("""COMPUTED_VALUE"""),"Model 3 LR AWD")</f>
        <v>Model 3 LR AWD</v>
      </c>
      <c r="O2312" s="152" t="str">
        <f>IFERROR(__xludf.DUMMYFUNCTION("""COMPUTED_VALUE"""),"Deep Blue Metallic")</f>
        <v>Deep Blue Metallic</v>
      </c>
      <c r="P2312" s="153" t="str">
        <f>IFERROR(__xludf.DUMMYFUNCTION("""COMPUTED_VALUE"""),"19 inch Sport")</f>
        <v>19 inch Sport</v>
      </c>
      <c r="Q2312" s="152" t="str">
        <f>IFERROR(__xludf.DUMMYFUNCTION("""COMPUTED_VALUE"""),"White seats")</f>
        <v>White seats</v>
      </c>
      <c r="R2312" s="149" t="str">
        <f>IFERROR(__xludf.DUMMYFUNCTION("""COMPUTED_VALUE"""),"Enhanced Autopilot")</f>
        <v>Enhanced Autopilot</v>
      </c>
      <c r="S2312" s="149"/>
      <c r="T2312" s="145"/>
      <c r="U2312" s="145"/>
      <c r="V2312" s="145"/>
      <c r="W2312" s="136"/>
      <c r="X2312" s="137" t="str">
        <f>IFERROR(__xludf.DUMMYFUNCTION("""COMPUTED_VALUE"""),"Very Good")</f>
        <v>Very Good</v>
      </c>
      <c r="Y2312" s="138" t="str">
        <f>IFERROR(__xludf.DUMMYFUNCTION("""COMPUTED_VALUE"""),"Very Good")</f>
        <v>Very Good</v>
      </c>
      <c r="Z2312" s="138" t="str">
        <f>IFERROR(__xludf.DUMMYFUNCTION("""COMPUTED_VALUE"""),"Excellent")</f>
        <v>Excellent</v>
      </c>
      <c r="AA2312" s="138" t="str">
        <f>IFERROR(__xludf.DUMMYFUNCTION("""COMPUTED_VALUE"""),"Excellent")</f>
        <v>Excellent</v>
      </c>
      <c r="AB2312" s="138" t="str">
        <f>IFERROR(__xludf.DUMMYFUNCTION("""COMPUTED_VALUE"""),"Excellent")</f>
        <v>Excellent</v>
      </c>
      <c r="AC2312" s="139">
        <f>IFERROR(__xludf.DUMMYFUNCTION("""COMPUTED_VALUE"""),0.0)</f>
        <v>0</v>
      </c>
      <c r="AD2312" s="139">
        <f>IFERROR(__xludf.DUMMYFUNCTION("""COMPUTED_VALUE"""),0.0)</f>
        <v>0</v>
      </c>
      <c r="AE2312" s="139">
        <f>IFERROR(__xludf.DUMMYFUNCTION("""COMPUTED_VALUE"""),0.0)</f>
        <v>0</v>
      </c>
      <c r="AF2312" s="140"/>
      <c r="AG2312" s="136" t="str">
        <f>IFERROR(__xludf.DUMMYFUNCTION("""COMPUTED_VALUE"""),"Switched to LR from MR and received in stock car")</f>
        <v>Switched to LR from MR and received in stock car</v>
      </c>
      <c r="AH2312" s="157">
        <f>IFERROR(__xludf.DUMMYFUNCTION("""COMPUTED_VALUE"""),43420.48318034722)</f>
        <v>43420.48318</v>
      </c>
      <c r="AI2312" s="138"/>
      <c r="AJ2312" s="138"/>
      <c r="AK2312" s="138"/>
      <c r="AL2312" s="142"/>
    </row>
    <row r="2313" ht="20.25" customHeight="1">
      <c r="A2313" s="155" t="str">
        <f>IFERROR(__xludf.DUMMYFUNCTION("""COMPUTED_VALUE"""),"sfbayM3LeMR")</f>
        <v>sfbayM3LeMR</v>
      </c>
      <c r="B2313" s="149" t="str">
        <f>IFERROR(__xludf.DUMMYFUNCTION("""COMPUTED_VALUE"""),"Oakland")</f>
        <v>Oakland</v>
      </c>
      <c r="C2313" s="149" t="str">
        <f>IFERROR(__xludf.DUMMYFUNCTION("""COMPUTED_VALUE"""),"CA")</f>
        <v>CA</v>
      </c>
      <c r="D2313" s="149" t="str">
        <f>IFERROR(__xludf.DUMMYFUNCTION("""COMPUTED_VALUE"""),"USA")</f>
        <v>USA</v>
      </c>
      <c r="E2313" s="156">
        <f>IFERROR(__xludf.DUMMYFUNCTION("""COMPUTED_VALUE"""),43391.0)</f>
        <v>43391</v>
      </c>
      <c r="F2313" s="129"/>
      <c r="G2313" s="154"/>
      <c r="H2313" s="131">
        <f>IFERROR(__xludf.DUMMYFUNCTION("""COMPUTED_VALUE"""),166255.0)</f>
        <v>166255</v>
      </c>
      <c r="I2313" s="144" t="str">
        <f>IFERROR(__xludf.DUMMYFUNCTION("""COMPUTED_VALUE"""),"12/18")</f>
        <v>12/18</v>
      </c>
      <c r="J2313" s="129">
        <f>IFERROR(__xludf.DUMMYFUNCTION("""COMPUTED_VALUE"""),43456.0)</f>
        <v>43456</v>
      </c>
      <c r="K2313" s="133"/>
      <c r="L2313" s="133"/>
      <c r="M2313" s="133">
        <f>IFERROR(__xludf.DUMMYFUNCTION("""COMPUTED_VALUE"""),65.0)</f>
        <v>65</v>
      </c>
      <c r="N2313" s="152" t="str">
        <f>IFERROR(__xludf.DUMMYFUNCTION("""COMPUTED_VALUE"""),"Model 3 MR")</f>
        <v>Model 3 MR</v>
      </c>
      <c r="O2313" s="152" t="str">
        <f>IFERROR(__xludf.DUMMYFUNCTION("""COMPUTED_VALUE"""),"Solid Black")</f>
        <v>Solid Black</v>
      </c>
      <c r="P2313" s="153" t="str">
        <f>IFERROR(__xludf.DUMMYFUNCTION("""COMPUTED_VALUE"""),"18 inch Aero")</f>
        <v>18 inch Aero</v>
      </c>
      <c r="Q2313" s="152" t="str">
        <f>IFERROR(__xludf.DUMMYFUNCTION("""COMPUTED_VALUE"""),"White seats")</f>
        <v>White seats</v>
      </c>
      <c r="R2313" s="149" t="str">
        <f>IFERROR(__xludf.DUMMYFUNCTION("""COMPUTED_VALUE"""),"None")</f>
        <v>None</v>
      </c>
      <c r="S2313" s="149"/>
      <c r="T2313" s="145"/>
      <c r="U2313" s="145"/>
      <c r="V2313" s="145"/>
      <c r="W2313" s="136"/>
      <c r="X2313" s="137" t="str">
        <f>IFERROR(__xludf.DUMMYFUNCTION("""COMPUTED_VALUE"""),"Fair")</f>
        <v>Fair</v>
      </c>
      <c r="Y2313" s="138" t="str">
        <f>IFERROR(__xludf.DUMMYFUNCTION("""COMPUTED_VALUE"""),"Good")</f>
        <v>Good</v>
      </c>
      <c r="Z2313" s="138" t="str">
        <f>IFERROR(__xludf.DUMMYFUNCTION("""COMPUTED_VALUE"""),"Fair")</f>
        <v>Fair</v>
      </c>
      <c r="AA2313" s="138" t="str">
        <f>IFERROR(__xludf.DUMMYFUNCTION("""COMPUTED_VALUE"""),"Excellent")</f>
        <v>Excellent</v>
      </c>
      <c r="AB2313" s="138" t="str">
        <f>IFERROR(__xludf.DUMMYFUNCTION("""COMPUTED_VALUE"""),"Very Good")</f>
        <v>Very Good</v>
      </c>
      <c r="AC2313" s="139">
        <f>IFERROR(__xludf.DUMMYFUNCTION("""COMPUTED_VALUE"""),2.0)</f>
        <v>2</v>
      </c>
      <c r="AD2313" s="139"/>
      <c r="AE2313" s="139"/>
      <c r="AF2313" s="140"/>
      <c r="AG2313" s="136"/>
      <c r="AH2313" s="157">
        <f>IFERROR(__xludf.DUMMYFUNCTION("""COMPUTED_VALUE"""),43458.43832504629)</f>
        <v>43458.43833</v>
      </c>
      <c r="AI2313" s="138"/>
      <c r="AJ2313" s="138"/>
      <c r="AK2313" s="138"/>
      <c r="AL2313" s="142"/>
    </row>
    <row r="2314" ht="20.25" customHeight="1">
      <c r="A2314" s="155" t="str">
        <f>IFERROR(__xludf.DUMMYFUNCTION("""COMPUTED_VALUE"""),"Towner@2567")</f>
        <v>Towner@2567</v>
      </c>
      <c r="B2314" s="149" t="str">
        <f>IFERROR(__xludf.DUMMYFUNCTION("""COMPUTED_VALUE"""),"Phoenix")</f>
        <v>Phoenix</v>
      </c>
      <c r="C2314" s="149" t="str">
        <f>IFERROR(__xludf.DUMMYFUNCTION("""COMPUTED_VALUE"""),"AZ")</f>
        <v>AZ</v>
      </c>
      <c r="D2314" s="149" t="str">
        <f>IFERROR(__xludf.DUMMYFUNCTION("""COMPUTED_VALUE"""),"USA")</f>
        <v>USA</v>
      </c>
      <c r="E2314" s="156">
        <f>IFERROR(__xludf.DUMMYFUNCTION("""COMPUTED_VALUE"""),43391.0)</f>
        <v>43391</v>
      </c>
      <c r="F2314" s="129">
        <f>IFERROR(__xludf.DUMMYFUNCTION("""COMPUTED_VALUE"""),43447.0)</f>
        <v>43447</v>
      </c>
      <c r="G2314" s="154"/>
      <c r="H2314" s="131">
        <f>IFERROR(__xludf.DUMMYFUNCTION("""COMPUTED_VALUE"""),159255.0)</f>
        <v>159255</v>
      </c>
      <c r="I2314" s="144"/>
      <c r="J2314" s="129">
        <f>IFERROR(__xludf.DUMMYFUNCTION("""COMPUTED_VALUE"""),43450.0)</f>
        <v>43450</v>
      </c>
      <c r="K2314" s="133">
        <f>IFERROR(__xludf.DUMMYFUNCTION("""COMPUTED_VALUE"""),56.0)</f>
        <v>56</v>
      </c>
      <c r="L2314" s="133">
        <f>IFERROR(__xludf.DUMMYFUNCTION("""COMPUTED_VALUE"""),3.0)</f>
        <v>3</v>
      </c>
      <c r="M2314" s="133">
        <f>IFERROR(__xludf.DUMMYFUNCTION("""COMPUTED_VALUE"""),59.0)</f>
        <v>59</v>
      </c>
      <c r="N2314" s="152" t="str">
        <f>IFERROR(__xludf.DUMMYFUNCTION("""COMPUTED_VALUE"""),"Model 3 MR")</f>
        <v>Model 3 MR</v>
      </c>
      <c r="O2314" s="152" t="str">
        <f>IFERROR(__xludf.DUMMYFUNCTION("""COMPUTED_VALUE"""),"Red Multi-Coat")</f>
        <v>Red Multi-Coat</v>
      </c>
      <c r="P2314" s="153" t="str">
        <f>IFERROR(__xludf.DUMMYFUNCTION("""COMPUTED_VALUE"""),"18 inch Aero")</f>
        <v>18 inch Aero</v>
      </c>
      <c r="Q2314" s="152" t="str">
        <f>IFERROR(__xludf.DUMMYFUNCTION("""COMPUTED_VALUE"""),"Black seats")</f>
        <v>Black seats</v>
      </c>
      <c r="R2314" s="149" t="str">
        <f>IFERROR(__xludf.DUMMYFUNCTION("""COMPUTED_VALUE"""),"Enhanced Autopilot")</f>
        <v>Enhanced Autopilot</v>
      </c>
      <c r="S2314" s="149"/>
      <c r="T2314" s="145"/>
      <c r="U2314" s="145"/>
      <c r="V2314" s="145"/>
      <c r="W2314" s="136"/>
      <c r="X2314" s="137" t="str">
        <f>IFERROR(__xludf.DUMMYFUNCTION("""COMPUTED_VALUE"""),"Very Good")</f>
        <v>Very Good</v>
      </c>
      <c r="Y2314" s="138" t="str">
        <f>IFERROR(__xludf.DUMMYFUNCTION("""COMPUTED_VALUE"""),"Very Good")</f>
        <v>Very Good</v>
      </c>
      <c r="Z2314" s="138" t="str">
        <f>IFERROR(__xludf.DUMMYFUNCTION("""COMPUTED_VALUE"""),"Good")</f>
        <v>Good</v>
      </c>
      <c r="AA2314" s="138" t="str">
        <f>IFERROR(__xludf.DUMMYFUNCTION("""COMPUTED_VALUE"""),"Good")</f>
        <v>Good</v>
      </c>
      <c r="AB2314" s="138" t="str">
        <f>IFERROR(__xludf.DUMMYFUNCTION("""COMPUTED_VALUE"""),"Very Good")</f>
        <v>Very Good</v>
      </c>
      <c r="AC2314" s="139">
        <f>IFERROR(__xludf.DUMMYFUNCTION("""COMPUTED_VALUE"""),2.0)</f>
        <v>2</v>
      </c>
      <c r="AD2314" s="139"/>
      <c r="AE2314" s="139"/>
      <c r="AF2314" s="140"/>
      <c r="AG2314" s="136"/>
      <c r="AH2314" s="157">
        <f>IFERROR(__xludf.DUMMYFUNCTION("""COMPUTED_VALUE"""),43452.57425174769)</f>
        <v>43452.57425</v>
      </c>
      <c r="AI2314" s="138"/>
      <c r="AJ2314" s="138"/>
      <c r="AK2314" s="138"/>
      <c r="AL2314" s="142"/>
    </row>
    <row r="2315" ht="20.25" customHeight="1">
      <c r="A2315" s="155" t="str">
        <f>IFERROR(__xludf.DUMMYFUNCTION("""COMPUTED_VALUE"""),"wicks")</f>
        <v>wicks</v>
      </c>
      <c r="B2315" s="149" t="str">
        <f>IFERROR(__xludf.DUMMYFUNCTION("""COMPUTED_VALUE"""),"Austin")</f>
        <v>Austin</v>
      </c>
      <c r="C2315" s="149" t="str">
        <f>IFERROR(__xludf.DUMMYFUNCTION("""COMPUTED_VALUE"""),"TX")</f>
        <v>TX</v>
      </c>
      <c r="D2315" s="149" t="str">
        <f>IFERROR(__xludf.DUMMYFUNCTION("""COMPUTED_VALUE"""),"USA")</f>
        <v>USA</v>
      </c>
      <c r="E2315" s="156">
        <f>IFERROR(__xludf.DUMMYFUNCTION("""COMPUTED_VALUE"""),43391.0)</f>
        <v>43391</v>
      </c>
      <c r="F2315" s="129">
        <f>IFERROR(__xludf.DUMMYFUNCTION("""COMPUTED_VALUE"""),43419.0)</f>
        <v>43419</v>
      </c>
      <c r="G2315" s="154"/>
      <c r="H2315" s="131">
        <f>IFERROR(__xludf.DUMMYFUNCTION("""COMPUTED_VALUE"""),123456.0)</f>
        <v>123456</v>
      </c>
      <c r="I2315" s="144"/>
      <c r="J2315" s="129">
        <f>IFERROR(__xludf.DUMMYFUNCTION("""COMPUTED_VALUE"""),43393.0)</f>
        <v>43393</v>
      </c>
      <c r="K2315" s="133">
        <f>IFERROR(__xludf.DUMMYFUNCTION("""COMPUTED_VALUE"""),28.0)</f>
        <v>28</v>
      </c>
      <c r="L2315" s="133"/>
      <c r="M2315" s="133">
        <f>IFERROR(__xludf.DUMMYFUNCTION("""COMPUTED_VALUE"""),2.0)</f>
        <v>2</v>
      </c>
      <c r="N2315" s="152" t="str">
        <f>IFERROR(__xludf.DUMMYFUNCTION("""COMPUTED_VALUE"""),"Model 3 MR")</f>
        <v>Model 3 MR</v>
      </c>
      <c r="O2315" s="152" t="str">
        <f>IFERROR(__xludf.DUMMYFUNCTION("""COMPUTED_VALUE"""),"Midnight Silver Metallic")</f>
        <v>Midnight Silver Metallic</v>
      </c>
      <c r="P2315" s="153" t="str">
        <f>IFERROR(__xludf.DUMMYFUNCTION("""COMPUTED_VALUE"""),"18 inch Aero")</f>
        <v>18 inch Aero</v>
      </c>
      <c r="Q2315" s="152" t="str">
        <f>IFERROR(__xludf.DUMMYFUNCTION("""COMPUTED_VALUE"""),"Black seats")</f>
        <v>Black seats</v>
      </c>
      <c r="R2315" s="149" t="str">
        <f>IFERROR(__xludf.DUMMYFUNCTION("""COMPUTED_VALUE"""),"None")</f>
        <v>None</v>
      </c>
      <c r="S2315" s="149"/>
      <c r="T2315" s="145"/>
      <c r="U2315" s="145"/>
      <c r="V2315" s="145"/>
      <c r="W2315" s="136"/>
      <c r="X2315" s="137" t="str">
        <f>IFERROR(__xludf.DUMMYFUNCTION("""COMPUTED_VALUE"""),"Excellent")</f>
        <v>Excellent</v>
      </c>
      <c r="Y2315" s="138" t="str">
        <f>IFERROR(__xludf.DUMMYFUNCTION("""COMPUTED_VALUE"""),"Excellent")</f>
        <v>Excellent</v>
      </c>
      <c r="Z2315" s="138" t="str">
        <f>IFERROR(__xludf.DUMMYFUNCTION("""COMPUTED_VALUE"""),"Excellent")</f>
        <v>Excellent</v>
      </c>
      <c r="AA2315" s="138" t="str">
        <f>IFERROR(__xludf.DUMMYFUNCTION("""COMPUTED_VALUE"""),"Very Good")</f>
        <v>Very Good</v>
      </c>
      <c r="AB2315" s="138" t="str">
        <f>IFERROR(__xludf.DUMMYFUNCTION("""COMPUTED_VALUE"""),"Very Good")</f>
        <v>Very Good</v>
      </c>
      <c r="AC2315" s="139">
        <f>IFERROR(__xludf.DUMMYFUNCTION("""COMPUTED_VALUE"""),0.0)</f>
        <v>0</v>
      </c>
      <c r="AD2315" s="139"/>
      <c r="AE2315" s="139"/>
      <c r="AF2315" s="140"/>
      <c r="AG2315" s="136"/>
      <c r="AH2315" s="157">
        <f>IFERROR(__xludf.DUMMYFUNCTION("""COMPUTED_VALUE"""),43424.79678884259)</f>
        <v>43424.79679</v>
      </c>
      <c r="AI2315" s="138"/>
      <c r="AJ2315" s="138"/>
      <c r="AK2315" s="138"/>
      <c r="AL2315" s="142"/>
    </row>
    <row r="2316" ht="20.25" customHeight="1">
      <c r="A2316" s="155" t="str">
        <f>IFERROR(__xludf.DUMMYFUNCTION("""COMPUTED_VALUE"""),"zachc")</f>
        <v>zachc</v>
      </c>
      <c r="B2316" s="149" t="str">
        <f>IFERROR(__xludf.DUMMYFUNCTION("""COMPUTED_VALUE"""),"Columbus")</f>
        <v>Columbus</v>
      </c>
      <c r="C2316" s="149" t="str">
        <f>IFERROR(__xludf.DUMMYFUNCTION("""COMPUTED_VALUE"""),"OH")</f>
        <v>OH</v>
      </c>
      <c r="D2316" s="149" t="str">
        <f>IFERROR(__xludf.DUMMYFUNCTION("""COMPUTED_VALUE"""),"USA")</f>
        <v>USA</v>
      </c>
      <c r="E2316" s="156">
        <f>IFERROR(__xludf.DUMMYFUNCTION("""COMPUTED_VALUE"""),43391.0)</f>
        <v>43391</v>
      </c>
      <c r="F2316" s="129">
        <f>IFERROR(__xludf.DUMMYFUNCTION("""COMPUTED_VALUE"""),43435.0)</f>
        <v>43435</v>
      </c>
      <c r="G2316" s="154"/>
      <c r="H2316" s="131">
        <f>IFERROR(__xludf.DUMMYFUNCTION("""COMPUTED_VALUE"""),153155.0)</f>
        <v>153155</v>
      </c>
      <c r="I2316" s="144" t="str">
        <f>IFERROR(__xludf.DUMMYFUNCTION("""COMPUTED_VALUE"""),"11/18")</f>
        <v>11/18</v>
      </c>
      <c r="J2316" s="129">
        <f>IFERROR(__xludf.DUMMYFUNCTION("""COMPUTED_VALUE"""),43441.0)</f>
        <v>43441</v>
      </c>
      <c r="K2316" s="133">
        <f>IFERROR(__xludf.DUMMYFUNCTION("""COMPUTED_VALUE"""),44.0)</f>
        <v>44</v>
      </c>
      <c r="L2316" s="133">
        <f>IFERROR(__xludf.DUMMYFUNCTION("""COMPUTED_VALUE"""),6.0)</f>
        <v>6</v>
      </c>
      <c r="M2316" s="133">
        <f>IFERROR(__xludf.DUMMYFUNCTION("""COMPUTED_VALUE"""),50.0)</f>
        <v>50</v>
      </c>
      <c r="N2316" s="152" t="str">
        <f>IFERROR(__xludf.DUMMYFUNCTION("""COMPUTED_VALUE"""),"Model 3 MR")</f>
        <v>Model 3 MR</v>
      </c>
      <c r="O2316" s="152" t="str">
        <f>IFERROR(__xludf.DUMMYFUNCTION("""COMPUTED_VALUE"""),"Pearl White Multi-Coat")</f>
        <v>Pearl White Multi-Coat</v>
      </c>
      <c r="P2316" s="153" t="str">
        <f>IFERROR(__xludf.DUMMYFUNCTION("""COMPUTED_VALUE"""),"18 inch Aero")</f>
        <v>18 inch Aero</v>
      </c>
      <c r="Q2316" s="152" t="str">
        <f>IFERROR(__xludf.DUMMYFUNCTION("""COMPUTED_VALUE"""),"Black seats")</f>
        <v>Black seats</v>
      </c>
      <c r="R2316" s="149" t="str">
        <f>IFERROR(__xludf.DUMMYFUNCTION("""COMPUTED_VALUE"""),"Enhanced Autopilot")</f>
        <v>Enhanced Autopilot</v>
      </c>
      <c r="S2316" s="149"/>
      <c r="T2316" s="145"/>
      <c r="U2316" s="145"/>
      <c r="V2316" s="145"/>
      <c r="W2316" s="136"/>
      <c r="X2316" s="137" t="str">
        <f>IFERROR(__xludf.DUMMYFUNCTION("""COMPUTED_VALUE"""),"Good")</f>
        <v>Good</v>
      </c>
      <c r="Y2316" s="138" t="str">
        <f>IFERROR(__xludf.DUMMYFUNCTION("""COMPUTED_VALUE"""),"Very Good")</f>
        <v>Very Good</v>
      </c>
      <c r="Z2316" s="138" t="str">
        <f>IFERROR(__xludf.DUMMYFUNCTION("""COMPUTED_VALUE"""),"Very Good")</f>
        <v>Very Good</v>
      </c>
      <c r="AA2316" s="138" t="str">
        <f>IFERROR(__xludf.DUMMYFUNCTION("""COMPUTED_VALUE"""),"Fair")</f>
        <v>Fair</v>
      </c>
      <c r="AB2316" s="138" t="str">
        <f>IFERROR(__xludf.DUMMYFUNCTION("""COMPUTED_VALUE"""),"Good")</f>
        <v>Good</v>
      </c>
      <c r="AC2316" s="139">
        <f>IFERROR(__xludf.DUMMYFUNCTION("""COMPUTED_VALUE"""),1.0)</f>
        <v>1</v>
      </c>
      <c r="AD2316" s="139">
        <f>IFERROR(__xludf.DUMMYFUNCTION("""COMPUTED_VALUE"""),0.0)</f>
        <v>0</v>
      </c>
      <c r="AE2316" s="139">
        <f>IFERROR(__xludf.DUMMYFUNCTION("""COMPUTED_VALUE"""),0.0)</f>
        <v>0</v>
      </c>
      <c r="AF2316" s="140"/>
      <c r="AG2316" s="136"/>
      <c r="AH2316" s="157">
        <f>IFERROR(__xludf.DUMMYFUNCTION("""COMPUTED_VALUE"""),43449.77569524305)</f>
        <v>43449.7757</v>
      </c>
      <c r="AI2316" s="138"/>
      <c r="AJ2316" s="138"/>
      <c r="AK2316" s="138"/>
      <c r="AL2316" s="142"/>
    </row>
    <row r="2317" ht="20.25" customHeight="1">
      <c r="A2317" s="155" t="str">
        <f>IFERROR(__xludf.DUMMYFUNCTION("""COMPUTED_VALUE"""),"Ziggy2")</f>
        <v>Ziggy2</v>
      </c>
      <c r="B2317" s="149" t="str">
        <f>IFERROR(__xludf.DUMMYFUNCTION("""COMPUTED_VALUE"""),"Tega Cay")</f>
        <v>Tega Cay</v>
      </c>
      <c r="C2317" s="149" t="str">
        <f>IFERROR(__xludf.DUMMYFUNCTION("""COMPUTED_VALUE"""),"SC")</f>
        <v>SC</v>
      </c>
      <c r="D2317" s="149" t="str">
        <f>IFERROR(__xludf.DUMMYFUNCTION("""COMPUTED_VALUE"""),"USA")</f>
        <v>USA</v>
      </c>
      <c r="E2317" s="156">
        <f>IFERROR(__xludf.DUMMYFUNCTION("""COMPUTED_VALUE"""),43391.0)</f>
        <v>43391</v>
      </c>
      <c r="F2317" s="129">
        <f>IFERROR(__xludf.DUMMYFUNCTION("""COMPUTED_VALUE"""),43405.0)</f>
        <v>43405</v>
      </c>
      <c r="G2317" s="154"/>
      <c r="H2317" s="131">
        <f>IFERROR(__xludf.DUMMYFUNCTION("""COMPUTED_VALUE"""),151555.0)</f>
        <v>151555</v>
      </c>
      <c r="I2317" s="144" t="str">
        <f>IFERROR(__xludf.DUMMYFUNCTION("""COMPUTED_VALUE"""),"10/18")</f>
        <v>10/18</v>
      </c>
      <c r="J2317" s="129">
        <f>IFERROR(__xludf.DUMMYFUNCTION("""COMPUTED_VALUE"""),43419.0)</f>
        <v>43419</v>
      </c>
      <c r="K2317" s="133">
        <f>IFERROR(__xludf.DUMMYFUNCTION("""COMPUTED_VALUE"""),14.0)</f>
        <v>14</v>
      </c>
      <c r="L2317" s="133">
        <f>IFERROR(__xludf.DUMMYFUNCTION("""COMPUTED_VALUE"""),14.0)</f>
        <v>14</v>
      </c>
      <c r="M2317" s="133">
        <f>IFERROR(__xludf.DUMMYFUNCTION("""COMPUTED_VALUE"""),28.0)</f>
        <v>28</v>
      </c>
      <c r="N2317" s="152" t="str">
        <f>IFERROR(__xludf.DUMMYFUNCTION("""COMPUTED_VALUE"""),"Model 3 MR")</f>
        <v>Model 3 MR</v>
      </c>
      <c r="O2317" s="152" t="str">
        <f>IFERROR(__xludf.DUMMYFUNCTION("""COMPUTED_VALUE"""),"Pearl White Multi-Coat")</f>
        <v>Pearl White Multi-Coat</v>
      </c>
      <c r="P2317" s="153" t="str">
        <f>IFERROR(__xludf.DUMMYFUNCTION("""COMPUTED_VALUE"""),"19 inch Sport")</f>
        <v>19 inch Sport</v>
      </c>
      <c r="Q2317" s="152" t="str">
        <f>IFERROR(__xludf.DUMMYFUNCTION("""COMPUTED_VALUE"""),"Black seats")</f>
        <v>Black seats</v>
      </c>
      <c r="R2317" s="149" t="str">
        <f>IFERROR(__xludf.DUMMYFUNCTION("""COMPUTED_VALUE"""),"Enhanced Autopilot")</f>
        <v>Enhanced Autopilot</v>
      </c>
      <c r="S2317" s="149"/>
      <c r="T2317" s="145"/>
      <c r="U2317" s="145"/>
      <c r="V2317" s="145"/>
      <c r="W2317" s="136"/>
      <c r="X2317" s="137" t="str">
        <f>IFERROR(__xludf.DUMMYFUNCTION("""COMPUTED_VALUE"""),"Excellent")</f>
        <v>Excellent</v>
      </c>
      <c r="Y2317" s="138" t="str">
        <f>IFERROR(__xludf.DUMMYFUNCTION("""COMPUTED_VALUE"""),"Excellent")</f>
        <v>Excellent</v>
      </c>
      <c r="Z2317" s="138" t="str">
        <f>IFERROR(__xludf.DUMMYFUNCTION("""COMPUTED_VALUE"""),"Excellent")</f>
        <v>Excellent</v>
      </c>
      <c r="AA2317" s="138" t="str">
        <f>IFERROR(__xludf.DUMMYFUNCTION("""COMPUTED_VALUE"""),"Poor")</f>
        <v>Poor</v>
      </c>
      <c r="AB2317" s="138" t="str">
        <f>IFERROR(__xludf.DUMMYFUNCTION("""COMPUTED_VALUE"""),"Good")</f>
        <v>Good</v>
      </c>
      <c r="AC2317" s="139">
        <f>IFERROR(__xludf.DUMMYFUNCTION("""COMPUTED_VALUE"""),0.0)</f>
        <v>0</v>
      </c>
      <c r="AD2317" s="139">
        <f>IFERROR(__xludf.DUMMYFUNCTION("""COMPUTED_VALUE"""),0.0)</f>
        <v>0</v>
      </c>
      <c r="AE2317" s="139">
        <f>IFERROR(__xludf.DUMMYFUNCTION("""COMPUTED_VALUE"""),0.0)</f>
        <v>0</v>
      </c>
      <c r="AF2317" s="140"/>
      <c r="AG2317" s="136" t="str">
        <f>IFERROR(__xludf.DUMMYFUNCTION("""COMPUTED_VALUE"""),"Website said 6-10 weeks.  Delivery was scheduled within 30 days of order.  Delivery appointment was made once and was exactly on time.  Took delivery in the rain, SC said they no longer deliver inside as too many people complained why others were inside, "&amp;"but theirs were not.")</f>
        <v>Website said 6-10 weeks.  Delivery was scheduled within 30 days of order.  Delivery appointment was made once and was exactly on time.  Took delivery in the rain, SC said they no longer deliver inside as too many people complained why others were inside, but theirs were not.</v>
      </c>
      <c r="AH2317" s="157">
        <f>IFERROR(__xludf.DUMMYFUNCTION("""COMPUTED_VALUE"""),43431.78127594908)</f>
        <v>43431.78128</v>
      </c>
      <c r="AI2317" s="138"/>
      <c r="AJ2317" s="138"/>
      <c r="AK2317" s="138"/>
      <c r="AL2317" s="142"/>
    </row>
    <row r="2318" ht="20.25" customHeight="1">
      <c r="A2318" s="155" t="str">
        <f>IFERROR(__xludf.DUMMYFUNCTION("""COMPUTED_VALUE"""),"Zoomit")</f>
        <v>Zoomit</v>
      </c>
      <c r="B2318" s="149" t="str">
        <f>IFERROR(__xludf.DUMMYFUNCTION("""COMPUTED_VALUE"""),"SoCal")</f>
        <v>SoCal</v>
      </c>
      <c r="C2318" s="149" t="str">
        <f>IFERROR(__xludf.DUMMYFUNCTION("""COMPUTED_VALUE"""),"CA")</f>
        <v>CA</v>
      </c>
      <c r="D2318" s="149" t="str">
        <f>IFERROR(__xludf.DUMMYFUNCTION("""COMPUTED_VALUE"""),"USA")</f>
        <v>USA</v>
      </c>
      <c r="E2318" s="156">
        <f>IFERROR(__xludf.DUMMYFUNCTION("""COMPUTED_VALUE"""),43391.0)</f>
        <v>43391</v>
      </c>
      <c r="F2318" s="129">
        <f>IFERROR(__xludf.DUMMYFUNCTION("""COMPUTED_VALUE"""),43393.0)</f>
        <v>43393</v>
      </c>
      <c r="G2318" s="154"/>
      <c r="H2318" s="131">
        <f>IFERROR(__xludf.DUMMYFUNCTION("""COMPUTED_VALUE"""),112155.0)</f>
        <v>112155</v>
      </c>
      <c r="I2318" s="144" t="str">
        <f>IFERROR(__xludf.DUMMYFUNCTION("""COMPUTED_VALUE"""),"10/18")</f>
        <v>10/18</v>
      </c>
      <c r="J2318" s="129">
        <f>IFERROR(__xludf.DUMMYFUNCTION("""COMPUTED_VALUE"""),43398.0)</f>
        <v>43398</v>
      </c>
      <c r="K2318" s="133">
        <f>IFERROR(__xludf.DUMMYFUNCTION("""COMPUTED_VALUE"""),2.0)</f>
        <v>2</v>
      </c>
      <c r="L2318" s="133">
        <f>IFERROR(__xludf.DUMMYFUNCTION("""COMPUTED_VALUE"""),5.0)</f>
        <v>5</v>
      </c>
      <c r="M2318" s="133">
        <f>IFERROR(__xludf.DUMMYFUNCTION("""COMPUTED_VALUE"""),7.0)</f>
        <v>7</v>
      </c>
      <c r="N2318" s="152" t="str">
        <f>IFERROR(__xludf.DUMMYFUNCTION("""COMPUTED_VALUE"""),"Model 3 LR AWD")</f>
        <v>Model 3 LR AWD</v>
      </c>
      <c r="O2318" s="152" t="str">
        <f>IFERROR(__xludf.DUMMYFUNCTION("""COMPUTED_VALUE"""),"Deep Blue Metallic")</f>
        <v>Deep Blue Metallic</v>
      </c>
      <c r="P2318" s="153" t="str">
        <f>IFERROR(__xludf.DUMMYFUNCTION("""COMPUTED_VALUE"""),"19 inch Sport")</f>
        <v>19 inch Sport</v>
      </c>
      <c r="Q2318" s="152" t="str">
        <f>IFERROR(__xludf.DUMMYFUNCTION("""COMPUTED_VALUE"""),"White seats")</f>
        <v>White seats</v>
      </c>
      <c r="R2318" s="149" t="str">
        <f>IFERROR(__xludf.DUMMYFUNCTION("""COMPUTED_VALUE"""),"Enhanced Autopilot")</f>
        <v>Enhanced Autopilot</v>
      </c>
      <c r="S2318" s="149"/>
      <c r="T2318" s="145"/>
      <c r="U2318" s="145"/>
      <c r="V2318" s="145"/>
      <c r="W2318" s="136"/>
      <c r="X2318" s="137" t="str">
        <f>IFERROR(__xludf.DUMMYFUNCTION("""COMPUTED_VALUE"""),"Very Good")</f>
        <v>Very Good</v>
      </c>
      <c r="Y2318" s="138" t="str">
        <f>IFERROR(__xludf.DUMMYFUNCTION("""COMPUTED_VALUE"""),"Very Good")</f>
        <v>Very Good</v>
      </c>
      <c r="Z2318" s="138" t="str">
        <f>IFERROR(__xludf.DUMMYFUNCTION("""COMPUTED_VALUE"""),"Very Good")</f>
        <v>Very Good</v>
      </c>
      <c r="AA2318" s="138" t="str">
        <f>IFERROR(__xludf.DUMMYFUNCTION("""COMPUTED_VALUE"""),"Very Good")</f>
        <v>Very Good</v>
      </c>
      <c r="AB2318" s="138" t="str">
        <f>IFERROR(__xludf.DUMMYFUNCTION("""COMPUTED_VALUE"""),"Excellent")</f>
        <v>Excellent</v>
      </c>
      <c r="AC2318" s="139"/>
      <c r="AD2318" s="139"/>
      <c r="AE2318" s="139"/>
      <c r="AF2318" s="140"/>
      <c r="AG2318" s="136"/>
      <c r="AH2318" s="157">
        <f>IFERROR(__xludf.DUMMYFUNCTION("""COMPUTED_VALUE"""),43408.39384619213)</f>
        <v>43408.39385</v>
      </c>
      <c r="AI2318" s="138"/>
      <c r="AJ2318" s="138"/>
      <c r="AK2318" s="138"/>
      <c r="AL2318" s="142"/>
    </row>
    <row r="2319" ht="20.25" customHeight="1">
      <c r="A2319" s="155" t="str">
        <f>IFERROR(__xludf.DUMMYFUNCTION("""COMPUTED_VALUE"""),"clayh")</f>
        <v>clayh</v>
      </c>
      <c r="B2319" s="149" t="str">
        <f>IFERROR(__xludf.DUMMYFUNCTION("""COMPUTED_VALUE"""),"Raleigh")</f>
        <v>Raleigh</v>
      </c>
      <c r="C2319" s="149" t="str">
        <f>IFERROR(__xludf.DUMMYFUNCTION("""COMPUTED_VALUE"""),"NC")</f>
        <v>NC</v>
      </c>
      <c r="D2319" s="149" t="str">
        <f>IFERROR(__xludf.DUMMYFUNCTION("""COMPUTED_VALUE"""),"USA")</f>
        <v>USA</v>
      </c>
      <c r="E2319" s="156">
        <f>IFERROR(__xludf.DUMMYFUNCTION("""COMPUTED_VALUE"""),43390.0)</f>
        <v>43390</v>
      </c>
      <c r="F2319" s="129"/>
      <c r="G2319" s="154"/>
      <c r="H2319" s="131">
        <f>IFERROR(__xludf.DUMMYFUNCTION("""COMPUTED_VALUE"""),129655.0)</f>
        <v>129655</v>
      </c>
      <c r="I2319" s="144"/>
      <c r="J2319" s="129">
        <f>IFERROR(__xludf.DUMMYFUNCTION("""COMPUTED_VALUE"""),43429.0)</f>
        <v>43429</v>
      </c>
      <c r="K2319" s="133"/>
      <c r="L2319" s="133"/>
      <c r="M2319" s="133">
        <f>IFERROR(__xludf.DUMMYFUNCTION("""COMPUTED_VALUE"""),39.0)</f>
        <v>39</v>
      </c>
      <c r="N2319" s="152" t="str">
        <f>IFERROR(__xludf.DUMMYFUNCTION("""COMPUTED_VALUE"""),"Model 3 LR AWD")</f>
        <v>Model 3 LR AWD</v>
      </c>
      <c r="O2319" s="152" t="str">
        <f>IFERROR(__xludf.DUMMYFUNCTION("""COMPUTED_VALUE"""),"Red Multi-Coat")</f>
        <v>Red Multi-Coat</v>
      </c>
      <c r="P2319" s="153" t="str">
        <f>IFERROR(__xludf.DUMMYFUNCTION("""COMPUTED_VALUE"""),"18 inch Aero")</f>
        <v>18 inch Aero</v>
      </c>
      <c r="Q2319" s="152" t="str">
        <f>IFERROR(__xludf.DUMMYFUNCTION("""COMPUTED_VALUE"""),"Black seats")</f>
        <v>Black seats</v>
      </c>
      <c r="R2319" s="149" t="str">
        <f>IFERROR(__xludf.DUMMYFUNCTION("""COMPUTED_VALUE"""),"Enhanced Autopilot")</f>
        <v>Enhanced Autopilot</v>
      </c>
      <c r="S2319" s="149"/>
      <c r="T2319" s="145"/>
      <c r="U2319" s="145"/>
      <c r="V2319" s="145"/>
      <c r="W2319" s="136"/>
      <c r="X2319" s="137" t="str">
        <f>IFERROR(__xludf.DUMMYFUNCTION("""COMPUTED_VALUE"""),"Excellent")</f>
        <v>Excellent</v>
      </c>
      <c r="Y2319" s="138" t="str">
        <f>IFERROR(__xludf.DUMMYFUNCTION("""COMPUTED_VALUE"""),"Excellent")</f>
        <v>Excellent</v>
      </c>
      <c r="Z2319" s="138" t="str">
        <f>IFERROR(__xludf.DUMMYFUNCTION("""COMPUTED_VALUE"""),"Very Good")</f>
        <v>Very Good</v>
      </c>
      <c r="AA2319" s="138" t="str">
        <f>IFERROR(__xludf.DUMMYFUNCTION("""COMPUTED_VALUE"""),"Very Good")</f>
        <v>Very Good</v>
      </c>
      <c r="AB2319" s="138" t="str">
        <f>IFERROR(__xludf.DUMMYFUNCTION("""COMPUTED_VALUE"""),"Very Good")</f>
        <v>Very Good</v>
      </c>
      <c r="AC2319" s="139"/>
      <c r="AD2319" s="139"/>
      <c r="AE2319" s="139"/>
      <c r="AF2319" s="140"/>
      <c r="AG2319" s="136"/>
      <c r="AH2319" s="157">
        <f>IFERROR(__xludf.DUMMYFUNCTION("""COMPUTED_VALUE"""),43429.71055960649)</f>
        <v>43429.71056</v>
      </c>
      <c r="AI2319" s="138"/>
      <c r="AJ2319" s="138"/>
      <c r="AK2319" s="138"/>
      <c r="AL2319" s="142"/>
    </row>
    <row r="2320" ht="20.25" customHeight="1">
      <c r="A2320" s="155" t="str">
        <f>IFERROR(__xludf.DUMMYFUNCTION("""COMPUTED_VALUE"""),"Knittingemmy")</f>
        <v>Knittingemmy</v>
      </c>
      <c r="B2320" s="149" t="str">
        <f>IFERROR(__xludf.DUMMYFUNCTION("""COMPUTED_VALUE"""),"Winston Salem")</f>
        <v>Winston Salem</v>
      </c>
      <c r="C2320" s="149" t="str">
        <f>IFERROR(__xludf.DUMMYFUNCTION("""COMPUTED_VALUE"""),"NC")</f>
        <v>NC</v>
      </c>
      <c r="D2320" s="149" t="str">
        <f>IFERROR(__xludf.DUMMYFUNCTION("""COMPUTED_VALUE"""),"USA")</f>
        <v>USA</v>
      </c>
      <c r="E2320" s="156">
        <f>IFERROR(__xludf.DUMMYFUNCTION("""COMPUTED_VALUE"""),43390.0)</f>
        <v>43390</v>
      </c>
      <c r="F2320" s="129">
        <f>IFERROR(__xludf.DUMMYFUNCTION("""COMPUTED_VALUE"""),43402.0)</f>
        <v>43402</v>
      </c>
      <c r="G2320" s="154"/>
      <c r="H2320" s="131">
        <f>IFERROR(__xludf.DUMMYFUNCTION("""COMPUTED_VALUE"""),104655.0)</f>
        <v>104655</v>
      </c>
      <c r="I2320" s="144" t="str">
        <f>IFERROR(__xludf.DUMMYFUNCTION("""COMPUTED_VALUE"""),"10/18")</f>
        <v>10/18</v>
      </c>
      <c r="J2320" s="129">
        <f>IFERROR(__xludf.DUMMYFUNCTION("""COMPUTED_VALUE"""),43404.0)</f>
        <v>43404</v>
      </c>
      <c r="K2320" s="133">
        <f>IFERROR(__xludf.DUMMYFUNCTION("""COMPUTED_VALUE"""),12.0)</f>
        <v>12</v>
      </c>
      <c r="L2320" s="133">
        <f>IFERROR(__xludf.DUMMYFUNCTION("""COMPUTED_VALUE"""),2.0)</f>
        <v>2</v>
      </c>
      <c r="M2320" s="133">
        <f>IFERROR(__xludf.DUMMYFUNCTION("""COMPUTED_VALUE"""),14.0)</f>
        <v>14</v>
      </c>
      <c r="N2320" s="152" t="str">
        <f>IFERROR(__xludf.DUMMYFUNCTION("""COMPUTED_VALUE"""),"Model 3 LR AWD")</f>
        <v>Model 3 LR AWD</v>
      </c>
      <c r="O2320" s="152" t="str">
        <f>IFERROR(__xludf.DUMMYFUNCTION("""COMPUTED_VALUE"""),"Red Multi-Coat")</f>
        <v>Red Multi-Coat</v>
      </c>
      <c r="P2320" s="153" t="str">
        <f>IFERROR(__xludf.DUMMYFUNCTION("""COMPUTED_VALUE"""),"18 inch Aero")</f>
        <v>18 inch Aero</v>
      </c>
      <c r="Q2320" s="152" t="str">
        <f>IFERROR(__xludf.DUMMYFUNCTION("""COMPUTED_VALUE"""),"Black seats")</f>
        <v>Black seats</v>
      </c>
      <c r="R2320" s="149" t="str">
        <f>IFERROR(__xludf.DUMMYFUNCTION("""COMPUTED_VALUE"""),"Enhanced Autopilot")</f>
        <v>Enhanced Autopilot</v>
      </c>
      <c r="S2320" s="149"/>
      <c r="T2320" s="145"/>
      <c r="U2320" s="145"/>
      <c r="V2320" s="145"/>
      <c r="W2320" s="136"/>
      <c r="X2320" s="137" t="str">
        <f>IFERROR(__xludf.DUMMYFUNCTION("""COMPUTED_VALUE"""),"Excellent")</f>
        <v>Excellent</v>
      </c>
      <c r="Y2320" s="138" t="str">
        <f>IFERROR(__xludf.DUMMYFUNCTION("""COMPUTED_VALUE"""),"Excellent")</f>
        <v>Excellent</v>
      </c>
      <c r="Z2320" s="138" t="str">
        <f>IFERROR(__xludf.DUMMYFUNCTION("""COMPUTED_VALUE"""),"Excellent")</f>
        <v>Excellent</v>
      </c>
      <c r="AA2320" s="138" t="str">
        <f>IFERROR(__xludf.DUMMYFUNCTION("""COMPUTED_VALUE"""),"Excellent")</f>
        <v>Excellent</v>
      </c>
      <c r="AB2320" s="138" t="str">
        <f>IFERROR(__xludf.DUMMYFUNCTION("""COMPUTED_VALUE"""),"Excellent")</f>
        <v>Excellent</v>
      </c>
      <c r="AC2320" s="139">
        <f>IFERROR(__xludf.DUMMYFUNCTION("""COMPUTED_VALUE"""),0.0)</f>
        <v>0</v>
      </c>
      <c r="AD2320" s="139">
        <f>IFERROR(__xludf.DUMMYFUNCTION("""COMPUTED_VALUE"""),0.0)</f>
        <v>0</v>
      </c>
      <c r="AE2320" s="139">
        <f>IFERROR(__xludf.DUMMYFUNCTION("""COMPUTED_VALUE"""),0.0)</f>
        <v>0</v>
      </c>
      <c r="AF2320" s="140"/>
      <c r="AG2320" s="136" t="str">
        <f>IFERROR(__xludf.DUMMYFUNCTION("""COMPUTED_VALUE"""),"To date the car has been trouble-free -- both in performance and bpdy integrity")</f>
        <v>To date the car has been trouble-free -- both in performance and bpdy integrity</v>
      </c>
      <c r="AH2320" s="157">
        <f>IFERROR(__xludf.DUMMYFUNCTION("""COMPUTED_VALUE"""),43537.33705199074)</f>
        <v>43537.33705</v>
      </c>
      <c r="AI2320" s="138"/>
      <c r="AJ2320" s="138"/>
      <c r="AK2320" s="138"/>
      <c r="AL2320" s="142"/>
    </row>
    <row r="2321" ht="20.25" customHeight="1">
      <c r="A2321" s="155" t="str">
        <f>IFERROR(__xludf.DUMMYFUNCTION("""COMPUTED_VALUE"""),"wst88")</f>
        <v>wst88</v>
      </c>
      <c r="B2321" s="149" t="str">
        <f>IFERROR(__xludf.DUMMYFUNCTION("""COMPUTED_VALUE"""),"Detroit")</f>
        <v>Detroit</v>
      </c>
      <c r="C2321" s="149" t="str">
        <f>IFERROR(__xludf.DUMMYFUNCTION("""COMPUTED_VALUE"""),"MI")</f>
        <v>MI</v>
      </c>
      <c r="D2321" s="149" t="str">
        <f>IFERROR(__xludf.DUMMYFUNCTION("""COMPUTED_VALUE"""),"USA")</f>
        <v>USA</v>
      </c>
      <c r="E2321" s="156">
        <f>IFERROR(__xludf.DUMMYFUNCTION("""COMPUTED_VALUE"""),43390.0)</f>
        <v>43390</v>
      </c>
      <c r="F2321" s="129">
        <f>IFERROR(__xludf.DUMMYFUNCTION("""COMPUTED_VALUE"""),43405.0)</f>
        <v>43405</v>
      </c>
      <c r="G2321" s="154"/>
      <c r="H2321" s="131">
        <f>IFERROR(__xludf.DUMMYFUNCTION("""COMPUTED_VALUE"""),120255.0)</f>
        <v>120255</v>
      </c>
      <c r="I2321" s="144"/>
      <c r="J2321" s="129">
        <f>IFERROR(__xludf.DUMMYFUNCTION("""COMPUTED_VALUE"""),43420.0)</f>
        <v>43420</v>
      </c>
      <c r="K2321" s="133">
        <f>IFERROR(__xludf.DUMMYFUNCTION("""COMPUTED_VALUE"""),15.0)</f>
        <v>15</v>
      </c>
      <c r="L2321" s="133">
        <f>IFERROR(__xludf.DUMMYFUNCTION("""COMPUTED_VALUE"""),15.0)</f>
        <v>15</v>
      </c>
      <c r="M2321" s="133">
        <f>IFERROR(__xludf.DUMMYFUNCTION("""COMPUTED_VALUE"""),30.0)</f>
        <v>30</v>
      </c>
      <c r="N2321" s="152" t="str">
        <f>IFERROR(__xludf.DUMMYFUNCTION("""COMPUTED_VALUE"""),"Model 3 LR AWD")</f>
        <v>Model 3 LR AWD</v>
      </c>
      <c r="O2321" s="152" t="str">
        <f>IFERROR(__xludf.DUMMYFUNCTION("""COMPUTED_VALUE"""),"Deep Blue Metallic")</f>
        <v>Deep Blue Metallic</v>
      </c>
      <c r="P2321" s="153" t="str">
        <f>IFERROR(__xludf.DUMMYFUNCTION("""COMPUTED_VALUE"""),"18 inch Aero")</f>
        <v>18 inch Aero</v>
      </c>
      <c r="Q2321" s="152" t="str">
        <f>IFERROR(__xludf.DUMMYFUNCTION("""COMPUTED_VALUE"""),"Black seats")</f>
        <v>Black seats</v>
      </c>
      <c r="R2321" s="149" t="str">
        <f>IFERROR(__xludf.DUMMYFUNCTION("""COMPUTED_VALUE"""),"Full Self-Driving")</f>
        <v>Full Self-Driving</v>
      </c>
      <c r="S2321" s="149"/>
      <c r="T2321" s="145"/>
      <c r="U2321" s="145"/>
      <c r="V2321" s="145"/>
      <c r="W2321" s="136"/>
      <c r="X2321" s="137" t="str">
        <f>IFERROR(__xludf.DUMMYFUNCTION("""COMPUTED_VALUE"""),"Excellent")</f>
        <v>Excellent</v>
      </c>
      <c r="Y2321" s="138" t="str">
        <f>IFERROR(__xludf.DUMMYFUNCTION("""COMPUTED_VALUE"""),"Excellent")</f>
        <v>Excellent</v>
      </c>
      <c r="Z2321" s="138" t="str">
        <f>IFERROR(__xludf.DUMMYFUNCTION("""COMPUTED_VALUE"""),"Excellent")</f>
        <v>Excellent</v>
      </c>
      <c r="AA2321" s="138" t="str">
        <f>IFERROR(__xludf.DUMMYFUNCTION("""COMPUTED_VALUE"""),"Excellent")</f>
        <v>Excellent</v>
      </c>
      <c r="AB2321" s="138" t="str">
        <f>IFERROR(__xludf.DUMMYFUNCTION("""COMPUTED_VALUE"""),"Excellent")</f>
        <v>Excellent</v>
      </c>
      <c r="AC2321" s="139">
        <f>IFERROR(__xludf.DUMMYFUNCTION("""COMPUTED_VALUE"""),0.0)</f>
        <v>0</v>
      </c>
      <c r="AD2321" s="139"/>
      <c r="AE2321" s="139"/>
      <c r="AF2321" s="140"/>
      <c r="AG2321" s="136"/>
      <c r="AH2321" s="157">
        <f>IFERROR(__xludf.DUMMYFUNCTION("""COMPUTED_VALUE"""),43421.19194201389)</f>
        <v>43421.19194</v>
      </c>
      <c r="AI2321" s="138"/>
      <c r="AJ2321" s="138"/>
      <c r="AK2321" s="138"/>
      <c r="AL2321" s="142"/>
    </row>
    <row r="2322" ht="20.25" customHeight="1">
      <c r="A2322" s="155" t="str">
        <f>IFERROR(__xludf.DUMMYFUNCTION("""COMPUTED_VALUE"""),"SCW-Greg")</f>
        <v>SCW-Greg</v>
      </c>
      <c r="B2322" s="149" t="str">
        <f>IFERROR(__xludf.DUMMYFUNCTION("""COMPUTED_VALUE"""),"Portland")</f>
        <v>Portland</v>
      </c>
      <c r="C2322" s="149" t="str">
        <f>IFERROR(__xludf.DUMMYFUNCTION("""COMPUTED_VALUE"""),"OR")</f>
        <v>OR</v>
      </c>
      <c r="D2322" s="149" t="str">
        <f>IFERROR(__xludf.DUMMYFUNCTION("""COMPUTED_VALUE"""),"USA")</f>
        <v>USA</v>
      </c>
      <c r="E2322" s="156">
        <f>IFERROR(__xludf.DUMMYFUNCTION("""COMPUTED_VALUE"""),43389.0)</f>
        <v>43389</v>
      </c>
      <c r="F2322" s="129">
        <f>IFERROR(__xludf.DUMMYFUNCTION("""COMPUTED_VALUE"""),43399.0)</f>
        <v>43399</v>
      </c>
      <c r="G2322" s="154"/>
      <c r="H2322" s="131">
        <f>IFERROR(__xludf.DUMMYFUNCTION("""COMPUTED_VALUE"""),112255.0)</f>
        <v>112255</v>
      </c>
      <c r="I2322" s="144"/>
      <c r="J2322" s="129">
        <f>IFERROR(__xludf.DUMMYFUNCTION("""COMPUTED_VALUE"""),43407.0)</f>
        <v>43407</v>
      </c>
      <c r="K2322" s="133">
        <f>IFERROR(__xludf.DUMMYFUNCTION("""COMPUTED_VALUE"""),10.0)</f>
        <v>10</v>
      </c>
      <c r="L2322" s="133">
        <f>IFERROR(__xludf.DUMMYFUNCTION("""COMPUTED_VALUE"""),8.0)</f>
        <v>8</v>
      </c>
      <c r="M2322" s="133">
        <f>IFERROR(__xludf.DUMMYFUNCTION("""COMPUTED_VALUE"""),18.0)</f>
        <v>18</v>
      </c>
      <c r="N2322" s="152" t="str">
        <f>IFERROR(__xludf.DUMMYFUNCTION("""COMPUTED_VALUE"""),"Model 3 LR AWD")</f>
        <v>Model 3 LR AWD</v>
      </c>
      <c r="O2322" s="152" t="str">
        <f>IFERROR(__xludf.DUMMYFUNCTION("""COMPUTED_VALUE"""),"Pearl White Multi-Coat")</f>
        <v>Pearl White Multi-Coat</v>
      </c>
      <c r="P2322" s="153" t="str">
        <f>IFERROR(__xludf.DUMMYFUNCTION("""COMPUTED_VALUE"""),"19 inch Sport")</f>
        <v>19 inch Sport</v>
      </c>
      <c r="Q2322" s="152" t="str">
        <f>IFERROR(__xludf.DUMMYFUNCTION("""COMPUTED_VALUE"""),"White seats")</f>
        <v>White seats</v>
      </c>
      <c r="R2322" s="149" t="str">
        <f>IFERROR(__xludf.DUMMYFUNCTION("""COMPUTED_VALUE"""),"None")</f>
        <v>None</v>
      </c>
      <c r="S2322" s="149"/>
      <c r="T2322" s="145"/>
      <c r="U2322" s="145"/>
      <c r="V2322" s="145"/>
      <c r="W2322" s="136"/>
      <c r="X2322" s="137" t="str">
        <f>IFERROR(__xludf.DUMMYFUNCTION("""COMPUTED_VALUE"""),"Very Good")</f>
        <v>Very Good</v>
      </c>
      <c r="Y2322" s="138" t="str">
        <f>IFERROR(__xludf.DUMMYFUNCTION("""COMPUTED_VALUE"""),"Excellent")</f>
        <v>Excellent</v>
      </c>
      <c r="Z2322" s="138" t="str">
        <f>IFERROR(__xludf.DUMMYFUNCTION("""COMPUTED_VALUE"""),"Good")</f>
        <v>Good</v>
      </c>
      <c r="AA2322" s="138" t="str">
        <f>IFERROR(__xludf.DUMMYFUNCTION("""COMPUTED_VALUE"""),"Very Good")</f>
        <v>Very Good</v>
      </c>
      <c r="AB2322" s="138" t="str">
        <f>IFERROR(__xludf.DUMMYFUNCTION("""COMPUTED_VALUE"""),"Good")</f>
        <v>Good</v>
      </c>
      <c r="AC2322" s="139">
        <f>IFERROR(__xludf.DUMMYFUNCTION("""COMPUTED_VALUE"""),0.0)</f>
        <v>0</v>
      </c>
      <c r="AD2322" s="139"/>
      <c r="AE2322" s="139"/>
      <c r="AF2322" s="140"/>
      <c r="AG2322" s="136" t="str">
        <f>IFERROR(__xludf.DUMMYFUNCTION("""COMPUTED_VALUE"""),"Only one minor paint chip along frunk edge, not worth worrying about. Car is fantastic.")</f>
        <v>Only one minor paint chip along frunk edge, not worth worrying about. Car is fantastic.</v>
      </c>
      <c r="AH2322" s="157">
        <f>IFERROR(__xludf.DUMMYFUNCTION("""COMPUTED_VALUE"""),43410.414514502314)</f>
        <v>43410.41451</v>
      </c>
      <c r="AI2322" s="138"/>
      <c r="AJ2322" s="138"/>
      <c r="AK2322" s="138"/>
      <c r="AL2322" s="142"/>
    </row>
    <row r="2323" ht="20.25" customHeight="1">
      <c r="A2323" s="155" t="str">
        <f>IFERROR(__xludf.DUMMYFUNCTION("""COMPUTED_VALUE"""),"Doomnometron")</f>
        <v>Doomnometron</v>
      </c>
      <c r="B2323" s="149"/>
      <c r="C2323" s="149" t="str">
        <f>IFERROR(__xludf.DUMMYFUNCTION("""COMPUTED_VALUE"""),"MO")</f>
        <v>MO</v>
      </c>
      <c r="D2323" s="149" t="str">
        <f>IFERROR(__xludf.DUMMYFUNCTION("""COMPUTED_VALUE"""),"USA")</f>
        <v>USA</v>
      </c>
      <c r="E2323" s="156">
        <f>IFERROR(__xludf.DUMMYFUNCTION("""COMPUTED_VALUE"""),43388.0)</f>
        <v>43388</v>
      </c>
      <c r="F2323" s="129">
        <f>IFERROR(__xludf.DUMMYFUNCTION("""COMPUTED_VALUE"""),43397.0)</f>
        <v>43397</v>
      </c>
      <c r="G2323" s="154"/>
      <c r="H2323" s="131">
        <f>IFERROR(__xludf.DUMMYFUNCTION("""COMPUTED_VALUE"""),106408.0)</f>
        <v>106408</v>
      </c>
      <c r="I2323" s="144"/>
      <c r="J2323" s="129">
        <f>IFERROR(__xludf.DUMMYFUNCTION("""COMPUTED_VALUE"""),43417.0)</f>
        <v>43417</v>
      </c>
      <c r="K2323" s="133">
        <f>IFERROR(__xludf.DUMMYFUNCTION("""COMPUTED_VALUE"""),9.0)</f>
        <v>9</v>
      </c>
      <c r="L2323" s="133">
        <f>IFERROR(__xludf.DUMMYFUNCTION("""COMPUTED_VALUE"""),20.0)</f>
        <v>20</v>
      </c>
      <c r="M2323" s="133">
        <f>IFERROR(__xludf.DUMMYFUNCTION("""COMPUTED_VALUE"""),29.0)</f>
        <v>29</v>
      </c>
      <c r="N2323" s="152" t="str">
        <f>IFERROR(__xludf.DUMMYFUNCTION("""COMPUTED_VALUE"""),"Model 3 Performance")</f>
        <v>Model 3 Performance</v>
      </c>
      <c r="O2323" s="152" t="str">
        <f>IFERROR(__xludf.DUMMYFUNCTION("""COMPUTED_VALUE"""),"Pearl White Multi-Coat")</f>
        <v>Pearl White Multi-Coat</v>
      </c>
      <c r="P2323" s="153" t="str">
        <f>IFERROR(__xludf.DUMMYFUNCTION("""COMPUTED_VALUE"""),"20 inch Sport")</f>
        <v>20 inch Sport</v>
      </c>
      <c r="Q2323" s="152" t="str">
        <f>IFERROR(__xludf.DUMMYFUNCTION("""COMPUTED_VALUE"""),"Black seats")</f>
        <v>Black seats</v>
      </c>
      <c r="R2323" s="149" t="str">
        <f>IFERROR(__xludf.DUMMYFUNCTION("""COMPUTED_VALUE"""),"Full Self-Driving")</f>
        <v>Full Self-Driving</v>
      </c>
      <c r="S2323" s="149"/>
      <c r="T2323" s="145"/>
      <c r="U2323" s="145"/>
      <c r="V2323" s="145"/>
      <c r="W2323" s="136"/>
      <c r="X2323" s="137" t="str">
        <f>IFERROR(__xludf.DUMMYFUNCTION("""COMPUTED_VALUE"""),"Excellent")</f>
        <v>Excellent</v>
      </c>
      <c r="Y2323" s="138" t="str">
        <f>IFERROR(__xludf.DUMMYFUNCTION("""COMPUTED_VALUE"""),"Excellent")</f>
        <v>Excellent</v>
      </c>
      <c r="Z2323" s="138" t="str">
        <f>IFERROR(__xludf.DUMMYFUNCTION("""COMPUTED_VALUE"""),"Good")</f>
        <v>Good</v>
      </c>
      <c r="AA2323" s="138" t="str">
        <f>IFERROR(__xludf.DUMMYFUNCTION("""COMPUTED_VALUE"""),"Fair")</f>
        <v>Fair</v>
      </c>
      <c r="AB2323" s="138" t="str">
        <f>IFERROR(__xludf.DUMMYFUNCTION("""COMPUTED_VALUE"""),"Good")</f>
        <v>Good</v>
      </c>
      <c r="AC2323" s="139">
        <f>IFERROR(__xludf.DUMMYFUNCTION("""COMPUTED_VALUE"""),2.0)</f>
        <v>2</v>
      </c>
      <c r="AD2323" s="139"/>
      <c r="AE2323" s="139"/>
      <c r="AF2323" s="140"/>
      <c r="AG2323" s="136"/>
      <c r="AH2323" s="157">
        <f>IFERROR(__xludf.DUMMYFUNCTION("""COMPUTED_VALUE"""),43419.47844678241)</f>
        <v>43419.47845</v>
      </c>
      <c r="AI2323" s="138"/>
      <c r="AJ2323" s="138"/>
      <c r="AK2323" s="138"/>
      <c r="AL2323" s="142"/>
    </row>
    <row r="2324" ht="20.25" customHeight="1">
      <c r="A2324" s="155" t="str">
        <f>IFERROR(__xludf.DUMMYFUNCTION("""COMPUTED_VALUE"""),"HareRee")</f>
        <v>HareRee</v>
      </c>
      <c r="B2324" s="149"/>
      <c r="C2324" s="149" t="str">
        <f>IFERROR(__xludf.DUMMYFUNCTION("""COMPUTED_VALUE"""),"MD")</f>
        <v>MD</v>
      </c>
      <c r="D2324" s="149" t="str">
        <f>IFERROR(__xludf.DUMMYFUNCTION("""COMPUTED_VALUE"""),"USA")</f>
        <v>USA</v>
      </c>
      <c r="E2324" s="156">
        <f>IFERROR(__xludf.DUMMYFUNCTION("""COMPUTED_VALUE"""),43388.0)</f>
        <v>43388</v>
      </c>
      <c r="F2324" s="129">
        <f>IFERROR(__xludf.DUMMYFUNCTION("""COMPUTED_VALUE"""),43435.0)</f>
        <v>43435</v>
      </c>
      <c r="G2324" s="154"/>
      <c r="H2324" s="131">
        <f>IFERROR(__xludf.DUMMYFUNCTION("""COMPUTED_VALUE"""),134175.0)</f>
        <v>134175</v>
      </c>
      <c r="I2324" s="144" t="str">
        <f>IFERROR(__xludf.DUMMYFUNCTION("""COMPUTED_VALUE"""),"11/18")</f>
        <v>11/18</v>
      </c>
      <c r="J2324" s="129">
        <f>IFERROR(__xludf.DUMMYFUNCTION("""COMPUTED_VALUE"""),43442.0)</f>
        <v>43442</v>
      </c>
      <c r="K2324" s="133">
        <f>IFERROR(__xludf.DUMMYFUNCTION("""COMPUTED_VALUE"""),47.0)</f>
        <v>47</v>
      </c>
      <c r="L2324" s="133">
        <f>IFERROR(__xludf.DUMMYFUNCTION("""COMPUTED_VALUE"""),7.0)</f>
        <v>7</v>
      </c>
      <c r="M2324" s="133">
        <f>IFERROR(__xludf.DUMMYFUNCTION("""COMPUTED_VALUE"""),54.0)</f>
        <v>54</v>
      </c>
      <c r="N2324" s="152" t="str">
        <f>IFERROR(__xludf.DUMMYFUNCTION("""COMPUTED_VALUE"""),"Model 3 LR AWD")</f>
        <v>Model 3 LR AWD</v>
      </c>
      <c r="O2324" s="152" t="str">
        <f>IFERROR(__xludf.DUMMYFUNCTION("""COMPUTED_VALUE"""),"Pearl White Multi-Coat")</f>
        <v>Pearl White Multi-Coat</v>
      </c>
      <c r="P2324" s="153" t="str">
        <f>IFERROR(__xludf.DUMMYFUNCTION("""COMPUTED_VALUE"""),"19 inch Sport")</f>
        <v>19 inch Sport</v>
      </c>
      <c r="Q2324" s="152" t="str">
        <f>IFERROR(__xludf.DUMMYFUNCTION("""COMPUTED_VALUE"""),"Black seats")</f>
        <v>Black seats</v>
      </c>
      <c r="R2324" s="149" t="str">
        <f>IFERROR(__xludf.DUMMYFUNCTION("""COMPUTED_VALUE"""),"None")</f>
        <v>None</v>
      </c>
      <c r="S2324" s="149"/>
      <c r="T2324" s="145"/>
      <c r="U2324" s="145"/>
      <c r="V2324" s="145"/>
      <c r="W2324" s="136"/>
      <c r="X2324" s="137" t="str">
        <f>IFERROR(__xludf.DUMMYFUNCTION("""COMPUTED_VALUE"""),"Very Good")</f>
        <v>Very Good</v>
      </c>
      <c r="Y2324" s="138" t="str">
        <f>IFERROR(__xludf.DUMMYFUNCTION("""COMPUTED_VALUE"""),"Very Good")</f>
        <v>Very Good</v>
      </c>
      <c r="Z2324" s="138" t="str">
        <f>IFERROR(__xludf.DUMMYFUNCTION("""COMPUTED_VALUE"""),"Excellent")</f>
        <v>Excellent</v>
      </c>
      <c r="AA2324" s="138" t="str">
        <f>IFERROR(__xludf.DUMMYFUNCTION("""COMPUTED_VALUE"""),"Good")</f>
        <v>Good</v>
      </c>
      <c r="AB2324" s="138" t="str">
        <f>IFERROR(__xludf.DUMMYFUNCTION("""COMPUTED_VALUE"""),"Good")</f>
        <v>Good</v>
      </c>
      <c r="AC2324" s="139">
        <f>IFERROR(__xludf.DUMMYFUNCTION("""COMPUTED_VALUE"""),0.0)</f>
        <v>0</v>
      </c>
      <c r="AD2324" s="139">
        <f>IFERROR(__xludf.DUMMYFUNCTION("""COMPUTED_VALUE"""),0.0)</f>
        <v>0</v>
      </c>
      <c r="AE2324" s="139">
        <f>IFERROR(__xludf.DUMMYFUNCTION("""COMPUTED_VALUE"""),0.0)</f>
        <v>0</v>
      </c>
      <c r="AF2324" s="140"/>
      <c r="AG2324" s="136"/>
      <c r="AH2324" s="157">
        <f>IFERROR(__xludf.DUMMYFUNCTION("""COMPUTED_VALUE"""),43472.952988680554)</f>
        <v>43472.95299</v>
      </c>
      <c r="AI2324" s="138"/>
      <c r="AJ2324" s="138"/>
      <c r="AK2324" s="138"/>
      <c r="AL2324" s="142"/>
    </row>
    <row r="2325" ht="20.25" customHeight="1">
      <c r="A2325" s="155" t="str">
        <f>IFERROR(__xludf.DUMMYFUNCTION("""COMPUTED_VALUE"""),"trisk")</f>
        <v>trisk</v>
      </c>
      <c r="B2325" s="149" t="str">
        <f>IFERROR(__xludf.DUMMYFUNCTION("""COMPUTED_VALUE"""),"Dedham")</f>
        <v>Dedham</v>
      </c>
      <c r="C2325" s="149" t="str">
        <f>IFERROR(__xludf.DUMMYFUNCTION("""COMPUTED_VALUE"""),"MA")</f>
        <v>MA</v>
      </c>
      <c r="D2325" s="149" t="str">
        <f>IFERROR(__xludf.DUMMYFUNCTION("""COMPUTED_VALUE"""),"USA")</f>
        <v>USA</v>
      </c>
      <c r="E2325" s="156">
        <f>IFERROR(__xludf.DUMMYFUNCTION("""COMPUTED_VALUE"""),43388.0)</f>
        <v>43388</v>
      </c>
      <c r="F2325" s="129">
        <f>IFERROR(__xludf.DUMMYFUNCTION("""COMPUTED_VALUE"""),43399.0)</f>
        <v>43399</v>
      </c>
      <c r="G2325" s="154"/>
      <c r="H2325" s="131">
        <f>IFERROR(__xludf.DUMMYFUNCTION("""COMPUTED_VALUE"""),108325.0)</f>
        <v>108325</v>
      </c>
      <c r="I2325" s="144" t="str">
        <f>IFERROR(__xludf.DUMMYFUNCTION("""COMPUTED_VALUE"""),"10/18")</f>
        <v>10/18</v>
      </c>
      <c r="J2325" s="129">
        <f>IFERROR(__xludf.DUMMYFUNCTION("""COMPUTED_VALUE"""),43430.0)</f>
        <v>43430</v>
      </c>
      <c r="K2325" s="133">
        <f>IFERROR(__xludf.DUMMYFUNCTION("""COMPUTED_VALUE"""),11.0)</f>
        <v>11</v>
      </c>
      <c r="L2325" s="133">
        <f>IFERROR(__xludf.DUMMYFUNCTION("""COMPUTED_VALUE"""),31.0)</f>
        <v>31</v>
      </c>
      <c r="M2325" s="133">
        <f>IFERROR(__xludf.DUMMYFUNCTION("""COMPUTED_VALUE"""),42.0)</f>
        <v>42</v>
      </c>
      <c r="N2325" s="152" t="str">
        <f>IFERROR(__xludf.DUMMYFUNCTION("""COMPUTED_VALUE"""),"Model 3 LR")</f>
        <v>Model 3 LR</v>
      </c>
      <c r="O2325" s="152" t="str">
        <f>IFERROR(__xludf.DUMMYFUNCTION("""COMPUTED_VALUE"""),"Solid Black")</f>
        <v>Solid Black</v>
      </c>
      <c r="P2325" s="153" t="str">
        <f>IFERROR(__xludf.DUMMYFUNCTION("""COMPUTED_VALUE"""),"18 inch Aero")</f>
        <v>18 inch Aero</v>
      </c>
      <c r="Q2325" s="152" t="str">
        <f>IFERROR(__xludf.DUMMYFUNCTION("""COMPUTED_VALUE"""),"Black seats")</f>
        <v>Black seats</v>
      </c>
      <c r="R2325" s="149" t="str">
        <f>IFERROR(__xludf.DUMMYFUNCTION("""COMPUTED_VALUE"""),"Enhanced Autopilot")</f>
        <v>Enhanced Autopilot</v>
      </c>
      <c r="S2325" s="149"/>
      <c r="T2325" s="145"/>
      <c r="U2325" s="145"/>
      <c r="V2325" s="145"/>
      <c r="W2325" s="136"/>
      <c r="X2325" s="137" t="str">
        <f>IFERROR(__xludf.DUMMYFUNCTION("""COMPUTED_VALUE"""),"Good")</f>
        <v>Good</v>
      </c>
      <c r="Y2325" s="138" t="str">
        <f>IFERROR(__xludf.DUMMYFUNCTION("""COMPUTED_VALUE"""),"Excellent")</f>
        <v>Excellent</v>
      </c>
      <c r="Z2325" s="138" t="str">
        <f>IFERROR(__xludf.DUMMYFUNCTION("""COMPUTED_VALUE"""),"Excellent")</f>
        <v>Excellent</v>
      </c>
      <c r="AA2325" s="138" t="str">
        <f>IFERROR(__xludf.DUMMYFUNCTION("""COMPUTED_VALUE"""),"Fair")</f>
        <v>Fair</v>
      </c>
      <c r="AB2325" s="138" t="str">
        <f>IFERROR(__xludf.DUMMYFUNCTION("""COMPUTED_VALUE"""),"Fair")</f>
        <v>Fair</v>
      </c>
      <c r="AC2325" s="139"/>
      <c r="AD2325" s="139"/>
      <c r="AE2325" s="139"/>
      <c r="AF2325" s="140"/>
      <c r="AG2325" s="136"/>
      <c r="AH2325" s="157">
        <f>IFERROR(__xludf.DUMMYFUNCTION("""COMPUTED_VALUE"""),43430.89667475694)</f>
        <v>43430.89667</v>
      </c>
      <c r="AI2325" s="138"/>
      <c r="AJ2325" s="138"/>
      <c r="AK2325" s="138"/>
      <c r="AL2325" s="142"/>
    </row>
    <row r="2326" ht="20.25" customHeight="1">
      <c r="A2326" s="155" t="str">
        <f>IFERROR(__xludf.DUMMYFUNCTION("""COMPUTED_VALUE"""),"wthayer")</f>
        <v>wthayer</v>
      </c>
      <c r="B2326" s="149" t="str">
        <f>IFERROR(__xludf.DUMMYFUNCTION("""COMPUTED_VALUE"""),"Phoenix")</f>
        <v>Phoenix</v>
      </c>
      <c r="C2326" s="149" t="str">
        <f>IFERROR(__xludf.DUMMYFUNCTION("""COMPUTED_VALUE"""),"AZ")</f>
        <v>AZ</v>
      </c>
      <c r="D2326" s="149" t="str">
        <f>IFERROR(__xludf.DUMMYFUNCTION("""COMPUTED_VALUE"""),"USA")</f>
        <v>USA</v>
      </c>
      <c r="E2326" s="156">
        <f>IFERROR(__xludf.DUMMYFUNCTION("""COMPUTED_VALUE"""),43388.0)</f>
        <v>43388</v>
      </c>
      <c r="F2326" s="129">
        <f>IFERROR(__xludf.DUMMYFUNCTION("""COMPUTED_VALUE"""),43406.0)</f>
        <v>43406</v>
      </c>
      <c r="G2326" s="154"/>
      <c r="H2326" s="131">
        <f>IFERROR(__xludf.DUMMYFUNCTION("""COMPUTED_VALUE"""),102392.0)</f>
        <v>102392</v>
      </c>
      <c r="I2326" s="144" t="str">
        <f>IFERROR(__xludf.DUMMYFUNCTION("""COMPUTED_VALUE"""),"10/18")</f>
        <v>10/18</v>
      </c>
      <c r="J2326" s="129">
        <f>IFERROR(__xludf.DUMMYFUNCTION("""COMPUTED_VALUE"""),43414.0)</f>
        <v>43414</v>
      </c>
      <c r="K2326" s="133">
        <f>IFERROR(__xludf.DUMMYFUNCTION("""COMPUTED_VALUE"""),18.0)</f>
        <v>18</v>
      </c>
      <c r="L2326" s="133">
        <f>IFERROR(__xludf.DUMMYFUNCTION("""COMPUTED_VALUE"""),8.0)</f>
        <v>8</v>
      </c>
      <c r="M2326" s="133">
        <f>IFERROR(__xludf.DUMMYFUNCTION("""COMPUTED_VALUE"""),26.0)</f>
        <v>26</v>
      </c>
      <c r="N2326" s="152" t="str">
        <f>IFERROR(__xludf.DUMMYFUNCTION("""COMPUTED_VALUE"""),"Model 3 LR")</f>
        <v>Model 3 LR</v>
      </c>
      <c r="O2326" s="152" t="str">
        <f>IFERROR(__xludf.DUMMYFUNCTION("""COMPUTED_VALUE"""),"Deep Blue Metallic")</f>
        <v>Deep Blue Metallic</v>
      </c>
      <c r="P2326" s="153" t="str">
        <f>IFERROR(__xludf.DUMMYFUNCTION("""COMPUTED_VALUE"""),"18 inch Aero")</f>
        <v>18 inch Aero</v>
      </c>
      <c r="Q2326" s="152" t="str">
        <f>IFERROR(__xludf.DUMMYFUNCTION("""COMPUTED_VALUE"""),"Black seats")</f>
        <v>Black seats</v>
      </c>
      <c r="R2326" s="149" t="str">
        <f>IFERROR(__xludf.DUMMYFUNCTION("""COMPUTED_VALUE"""),"Full Self-Driving")</f>
        <v>Full Self-Driving</v>
      </c>
      <c r="S2326" s="149"/>
      <c r="T2326" s="145"/>
      <c r="U2326" s="145"/>
      <c r="V2326" s="145"/>
      <c r="W2326" s="136"/>
      <c r="X2326" s="137" t="str">
        <f>IFERROR(__xludf.DUMMYFUNCTION("""COMPUTED_VALUE"""),"Fair")</f>
        <v>Fair</v>
      </c>
      <c r="Y2326" s="138" t="str">
        <f>IFERROR(__xludf.DUMMYFUNCTION("""COMPUTED_VALUE"""),"Good")</f>
        <v>Good</v>
      </c>
      <c r="Z2326" s="138" t="str">
        <f>IFERROR(__xludf.DUMMYFUNCTION("""COMPUTED_VALUE"""),"Fair")</f>
        <v>Fair</v>
      </c>
      <c r="AA2326" s="138" t="str">
        <f>IFERROR(__xludf.DUMMYFUNCTION("""COMPUTED_VALUE"""),"Poor")</f>
        <v>Poor</v>
      </c>
      <c r="AB2326" s="138" t="str">
        <f>IFERROR(__xludf.DUMMYFUNCTION("""COMPUTED_VALUE"""),"Fair")</f>
        <v>Fair</v>
      </c>
      <c r="AC2326" s="139"/>
      <c r="AD2326" s="139"/>
      <c r="AE2326" s="139"/>
      <c r="AF2326" s="140"/>
      <c r="AG2326" s="136"/>
      <c r="AH2326" s="157">
        <f>IFERROR(__xludf.DUMMYFUNCTION("""COMPUTED_VALUE"""),43414.874713125)</f>
        <v>43414.87471</v>
      </c>
      <c r="AI2326" s="138"/>
      <c r="AJ2326" s="138"/>
      <c r="AK2326" s="138"/>
      <c r="AL2326" s="142"/>
    </row>
    <row r="2327" ht="20.25" customHeight="1">
      <c r="A2327" s="155" t="str">
        <f>IFERROR(__xludf.DUMMYFUNCTION("""COMPUTED_VALUE"""),"beedward")</f>
        <v>beedward</v>
      </c>
      <c r="B2327" s="149" t="str">
        <f>IFERROR(__xludf.DUMMYFUNCTION("""COMPUTED_VALUE"""),"Raleigh")</f>
        <v>Raleigh</v>
      </c>
      <c r="C2327" s="149" t="str">
        <f>IFERROR(__xludf.DUMMYFUNCTION("""COMPUTED_VALUE"""),"NC")</f>
        <v>NC</v>
      </c>
      <c r="D2327" s="149" t="str">
        <f>IFERROR(__xludf.DUMMYFUNCTION("""COMPUTED_VALUE"""),"USA")</f>
        <v>USA</v>
      </c>
      <c r="E2327" s="156">
        <f>IFERROR(__xludf.DUMMYFUNCTION("""COMPUTED_VALUE"""),43387.0)</f>
        <v>43387</v>
      </c>
      <c r="F2327" s="129">
        <f>IFERROR(__xludf.DUMMYFUNCTION("""COMPUTED_VALUE"""),43400.0)</f>
        <v>43400</v>
      </c>
      <c r="G2327" s="154"/>
      <c r="H2327" s="131">
        <f>IFERROR(__xludf.DUMMYFUNCTION("""COMPUTED_VALUE"""),122855.0)</f>
        <v>122855</v>
      </c>
      <c r="I2327" s="144" t="str">
        <f>IFERROR(__xludf.DUMMYFUNCTION("""COMPUTED_VALUE"""),"10/18")</f>
        <v>10/18</v>
      </c>
      <c r="J2327" s="129">
        <f>IFERROR(__xludf.DUMMYFUNCTION("""COMPUTED_VALUE"""),43425.0)</f>
        <v>43425</v>
      </c>
      <c r="K2327" s="133">
        <f>IFERROR(__xludf.DUMMYFUNCTION("""COMPUTED_VALUE"""),13.0)</f>
        <v>13</v>
      </c>
      <c r="L2327" s="133">
        <f>IFERROR(__xludf.DUMMYFUNCTION("""COMPUTED_VALUE"""),25.0)</f>
        <v>25</v>
      </c>
      <c r="M2327" s="133">
        <f>IFERROR(__xludf.DUMMYFUNCTION("""COMPUTED_VALUE"""),38.0)</f>
        <v>38</v>
      </c>
      <c r="N2327" s="152" t="str">
        <f>IFERROR(__xludf.DUMMYFUNCTION("""COMPUTED_VALUE"""),"Model 3 LR")</f>
        <v>Model 3 LR</v>
      </c>
      <c r="O2327" s="152" t="str">
        <f>IFERROR(__xludf.DUMMYFUNCTION("""COMPUTED_VALUE"""),"Solid Black")</f>
        <v>Solid Black</v>
      </c>
      <c r="P2327" s="153" t="str">
        <f>IFERROR(__xludf.DUMMYFUNCTION("""COMPUTED_VALUE"""),"18 inch Aero")</f>
        <v>18 inch Aero</v>
      </c>
      <c r="Q2327" s="152" t="str">
        <f>IFERROR(__xludf.DUMMYFUNCTION("""COMPUTED_VALUE"""),"Black seats")</f>
        <v>Black seats</v>
      </c>
      <c r="R2327" s="149" t="str">
        <f>IFERROR(__xludf.DUMMYFUNCTION("""COMPUTED_VALUE"""),"Enhanced Autopilot")</f>
        <v>Enhanced Autopilot</v>
      </c>
      <c r="S2327" s="149"/>
      <c r="T2327" s="145"/>
      <c r="U2327" s="145"/>
      <c r="V2327" s="145"/>
      <c r="W2327" s="136"/>
      <c r="X2327" s="137" t="str">
        <f>IFERROR(__xludf.DUMMYFUNCTION("""COMPUTED_VALUE"""),"Excellent")</f>
        <v>Excellent</v>
      </c>
      <c r="Y2327" s="138" t="str">
        <f>IFERROR(__xludf.DUMMYFUNCTION("""COMPUTED_VALUE"""),"Excellent")</f>
        <v>Excellent</v>
      </c>
      <c r="Z2327" s="138" t="str">
        <f>IFERROR(__xludf.DUMMYFUNCTION("""COMPUTED_VALUE"""),"Excellent")</f>
        <v>Excellent</v>
      </c>
      <c r="AA2327" s="138" t="str">
        <f>IFERROR(__xludf.DUMMYFUNCTION("""COMPUTED_VALUE"""),"Good")</f>
        <v>Good</v>
      </c>
      <c r="AB2327" s="138" t="str">
        <f>IFERROR(__xludf.DUMMYFUNCTION("""COMPUTED_VALUE"""),"Very Good")</f>
        <v>Very Good</v>
      </c>
      <c r="AC2327" s="139">
        <f>IFERROR(__xludf.DUMMYFUNCTION("""COMPUTED_VALUE"""),0.0)</f>
        <v>0</v>
      </c>
      <c r="AD2327" s="139">
        <f>IFERROR(__xludf.DUMMYFUNCTION("""COMPUTED_VALUE"""),0.0)</f>
        <v>0</v>
      </c>
      <c r="AE2327" s="139">
        <f>IFERROR(__xludf.DUMMYFUNCTION("""COMPUTED_VALUE"""),0.0)</f>
        <v>0</v>
      </c>
      <c r="AF2327" s="140"/>
      <c r="AG2327" s="136"/>
      <c r="AH2327" s="157">
        <f>IFERROR(__xludf.DUMMYFUNCTION("""COMPUTED_VALUE"""),43454.32498157407)</f>
        <v>43454.32498</v>
      </c>
      <c r="AI2327" s="138"/>
      <c r="AJ2327" s="138"/>
      <c r="AK2327" s="138"/>
      <c r="AL2327" s="142"/>
    </row>
    <row r="2328" ht="20.25" customHeight="1">
      <c r="A2328" s="155" t="str">
        <f>IFERROR(__xludf.DUMMYFUNCTION("""COMPUTED_VALUE"""),"katpurrz")</f>
        <v>katpurrz</v>
      </c>
      <c r="B2328" s="149" t="str">
        <f>IFERROR(__xludf.DUMMYFUNCTION("""COMPUTED_VALUE"""),"Springfield")</f>
        <v>Springfield</v>
      </c>
      <c r="C2328" s="149" t="str">
        <f>IFERROR(__xludf.DUMMYFUNCTION("""COMPUTED_VALUE"""),"IL")</f>
        <v>IL</v>
      </c>
      <c r="D2328" s="149" t="str">
        <f>IFERROR(__xludf.DUMMYFUNCTION("""COMPUTED_VALUE"""),"USA")</f>
        <v>USA</v>
      </c>
      <c r="E2328" s="156">
        <f>IFERROR(__xludf.DUMMYFUNCTION("""COMPUTED_VALUE"""),43387.0)</f>
        <v>43387</v>
      </c>
      <c r="F2328" s="129">
        <f>IFERROR(__xludf.DUMMYFUNCTION("""COMPUTED_VALUE"""),43403.0)</f>
        <v>43403</v>
      </c>
      <c r="G2328" s="154"/>
      <c r="H2328" s="131">
        <f>IFERROR(__xludf.DUMMYFUNCTION("""COMPUTED_VALUE"""),114483.0)</f>
        <v>114483</v>
      </c>
      <c r="I2328" s="144"/>
      <c r="J2328" s="129">
        <f>IFERROR(__xludf.DUMMYFUNCTION("""COMPUTED_VALUE"""),43411.0)</f>
        <v>43411</v>
      </c>
      <c r="K2328" s="133">
        <f>IFERROR(__xludf.DUMMYFUNCTION("""COMPUTED_VALUE"""),16.0)</f>
        <v>16</v>
      </c>
      <c r="L2328" s="133">
        <f>IFERROR(__xludf.DUMMYFUNCTION("""COMPUTED_VALUE"""),8.0)</f>
        <v>8</v>
      </c>
      <c r="M2328" s="133">
        <f>IFERROR(__xludf.DUMMYFUNCTION("""COMPUTED_VALUE"""),24.0)</f>
        <v>24</v>
      </c>
      <c r="N2328" s="152" t="str">
        <f>IFERROR(__xludf.DUMMYFUNCTION("""COMPUTED_VALUE"""),"Model 3 LR AWD")</f>
        <v>Model 3 LR AWD</v>
      </c>
      <c r="O2328" s="152" t="str">
        <f>IFERROR(__xludf.DUMMYFUNCTION("""COMPUTED_VALUE"""),"Midnight Silver Metallic")</f>
        <v>Midnight Silver Metallic</v>
      </c>
      <c r="P2328" s="153" t="str">
        <f>IFERROR(__xludf.DUMMYFUNCTION("""COMPUTED_VALUE"""),"18 inch Aero")</f>
        <v>18 inch Aero</v>
      </c>
      <c r="Q2328" s="152" t="str">
        <f>IFERROR(__xludf.DUMMYFUNCTION("""COMPUTED_VALUE"""),"Black seats")</f>
        <v>Black seats</v>
      </c>
      <c r="R2328" s="149" t="str">
        <f>IFERROR(__xludf.DUMMYFUNCTION("""COMPUTED_VALUE"""),"Enhanced Autopilot")</f>
        <v>Enhanced Autopilot</v>
      </c>
      <c r="S2328" s="149"/>
      <c r="T2328" s="145"/>
      <c r="U2328" s="145"/>
      <c r="V2328" s="145"/>
      <c r="W2328" s="136"/>
      <c r="X2328" s="137" t="str">
        <f>IFERROR(__xludf.DUMMYFUNCTION("""COMPUTED_VALUE"""),"Excellent")</f>
        <v>Excellent</v>
      </c>
      <c r="Y2328" s="138" t="str">
        <f>IFERROR(__xludf.DUMMYFUNCTION("""COMPUTED_VALUE"""),"Excellent")</f>
        <v>Excellent</v>
      </c>
      <c r="Z2328" s="138" t="str">
        <f>IFERROR(__xludf.DUMMYFUNCTION("""COMPUTED_VALUE"""),"Excellent")</f>
        <v>Excellent</v>
      </c>
      <c r="AA2328" s="138" t="str">
        <f>IFERROR(__xludf.DUMMYFUNCTION("""COMPUTED_VALUE"""),"Excellent")</f>
        <v>Excellent</v>
      </c>
      <c r="AB2328" s="138" t="str">
        <f>IFERROR(__xludf.DUMMYFUNCTION("""COMPUTED_VALUE"""),"Excellent")</f>
        <v>Excellent</v>
      </c>
      <c r="AC2328" s="139"/>
      <c r="AD2328" s="139"/>
      <c r="AE2328" s="139"/>
      <c r="AF2328" s="140"/>
      <c r="AG2328" s="136" t="str">
        <f>IFERROR(__xludf.DUMMYFUNCTION("""COMPUTED_VALUE"""),"Awesome car!")</f>
        <v>Awesome car!</v>
      </c>
      <c r="AH2328" s="157">
        <f>IFERROR(__xludf.DUMMYFUNCTION("""COMPUTED_VALUE"""),43411.5783703125)</f>
        <v>43411.57837</v>
      </c>
      <c r="AI2328" s="138"/>
      <c r="AJ2328" s="138"/>
      <c r="AK2328" s="138"/>
      <c r="AL2328" s="142"/>
    </row>
    <row r="2329" ht="20.25" customHeight="1">
      <c r="A2329" s="155" t="str">
        <f>IFERROR(__xludf.DUMMYFUNCTION("""COMPUTED_VALUE"""),"LarryG")</f>
        <v>LarryG</v>
      </c>
      <c r="B2329" s="149" t="str">
        <f>IFERROR(__xludf.DUMMYFUNCTION("""COMPUTED_VALUE"""),"Cary, NC")</f>
        <v>Cary, NC</v>
      </c>
      <c r="C2329" s="149" t="str">
        <f>IFERROR(__xludf.DUMMYFUNCTION("""COMPUTED_VALUE"""),"NC")</f>
        <v>NC</v>
      </c>
      <c r="D2329" s="149" t="str">
        <f>IFERROR(__xludf.DUMMYFUNCTION("""COMPUTED_VALUE"""),"USA")</f>
        <v>USA</v>
      </c>
      <c r="E2329" s="156">
        <f>IFERROR(__xludf.DUMMYFUNCTION("""COMPUTED_VALUE"""),43387.0)</f>
        <v>43387</v>
      </c>
      <c r="F2329" s="129">
        <f>IFERROR(__xludf.DUMMYFUNCTION("""COMPUTED_VALUE"""),43387.0)</f>
        <v>43387</v>
      </c>
      <c r="G2329" s="154"/>
      <c r="H2329" s="131">
        <f>IFERROR(__xludf.DUMMYFUNCTION("""COMPUTED_VALUE"""),85822.0)</f>
        <v>85822</v>
      </c>
      <c r="I2329" s="144" t="str">
        <f>IFERROR(__xludf.DUMMYFUNCTION("""COMPUTED_VALUE"""),"10/18")</f>
        <v>10/18</v>
      </c>
      <c r="J2329" s="129">
        <f>IFERROR(__xludf.DUMMYFUNCTION("""COMPUTED_VALUE"""),43419.0)</f>
        <v>43419</v>
      </c>
      <c r="K2329" s="133">
        <f>IFERROR(__xludf.DUMMYFUNCTION("""COMPUTED_VALUE"""),0.0)</f>
        <v>0</v>
      </c>
      <c r="L2329" s="133">
        <f>IFERROR(__xludf.DUMMYFUNCTION("""COMPUTED_VALUE"""),32.0)</f>
        <v>32</v>
      </c>
      <c r="M2329" s="133">
        <f>IFERROR(__xludf.DUMMYFUNCTION("""COMPUTED_VALUE"""),32.0)</f>
        <v>32</v>
      </c>
      <c r="N2329" s="152" t="str">
        <f>IFERROR(__xludf.DUMMYFUNCTION("""COMPUTED_VALUE"""),"Model 3 LR AWD")</f>
        <v>Model 3 LR AWD</v>
      </c>
      <c r="O2329" s="152" t="str">
        <f>IFERROR(__xludf.DUMMYFUNCTION("""COMPUTED_VALUE"""),"Red Multi-Coat")</f>
        <v>Red Multi-Coat</v>
      </c>
      <c r="P2329" s="153" t="str">
        <f>IFERROR(__xludf.DUMMYFUNCTION("""COMPUTED_VALUE"""),"18 inch Aero")</f>
        <v>18 inch Aero</v>
      </c>
      <c r="Q2329" s="152" t="str">
        <f>IFERROR(__xludf.DUMMYFUNCTION("""COMPUTED_VALUE"""),"White seats")</f>
        <v>White seats</v>
      </c>
      <c r="R2329" s="149" t="str">
        <f>IFERROR(__xludf.DUMMYFUNCTION("""COMPUTED_VALUE"""),"Full Self-Driving")</f>
        <v>Full Self-Driving</v>
      </c>
      <c r="S2329" s="149"/>
      <c r="T2329" s="145"/>
      <c r="U2329" s="145"/>
      <c r="V2329" s="145"/>
      <c r="W2329" s="136"/>
      <c r="X2329" s="137" t="str">
        <f>IFERROR(__xludf.DUMMYFUNCTION("""COMPUTED_VALUE"""),"Very Good")</f>
        <v>Very Good</v>
      </c>
      <c r="Y2329" s="138" t="str">
        <f>IFERROR(__xludf.DUMMYFUNCTION("""COMPUTED_VALUE"""),"Excellent")</f>
        <v>Excellent</v>
      </c>
      <c r="Z2329" s="138" t="str">
        <f>IFERROR(__xludf.DUMMYFUNCTION("""COMPUTED_VALUE"""),"Excellent")</f>
        <v>Excellent</v>
      </c>
      <c r="AA2329" s="138" t="str">
        <f>IFERROR(__xludf.DUMMYFUNCTION("""COMPUTED_VALUE"""),"Excellent")</f>
        <v>Excellent</v>
      </c>
      <c r="AB2329" s="138" t="str">
        <f>IFERROR(__xludf.DUMMYFUNCTION("""COMPUTED_VALUE"""),"Excellent")</f>
        <v>Excellent</v>
      </c>
      <c r="AC2329" s="139">
        <f>IFERROR(__xludf.DUMMYFUNCTION("""COMPUTED_VALUE"""),1.0)</f>
        <v>1</v>
      </c>
      <c r="AD2329" s="139">
        <f>IFERROR(__xludf.DUMMYFUNCTION("""COMPUTED_VALUE"""),1.0)</f>
        <v>1</v>
      </c>
      <c r="AE2329" s="139">
        <f>IFERROR(__xludf.DUMMYFUNCTION("""COMPUTED_VALUE"""),0.0)</f>
        <v>0</v>
      </c>
      <c r="AF2329" s="140"/>
      <c r="AG2329" s="136"/>
      <c r="AH2329" s="157">
        <f>IFERROR(__xludf.DUMMYFUNCTION("""COMPUTED_VALUE"""),43541.58641013889)</f>
        <v>43541.58641</v>
      </c>
      <c r="AI2329" s="138"/>
      <c r="AJ2329" s="138"/>
      <c r="AK2329" s="138"/>
      <c r="AL2329" s="142"/>
    </row>
    <row r="2330" ht="20.25" customHeight="1">
      <c r="A2330" s="155" t="str">
        <f>IFERROR(__xludf.DUMMYFUNCTION("""COMPUTED_VALUE"""),"Shell")</f>
        <v>Shell</v>
      </c>
      <c r="B2330" s="149"/>
      <c r="C2330" s="149" t="str">
        <f>IFERROR(__xludf.DUMMYFUNCTION("""COMPUTED_VALUE"""),"MI")</f>
        <v>MI</v>
      </c>
      <c r="D2330" s="149" t="str">
        <f>IFERROR(__xludf.DUMMYFUNCTION("""COMPUTED_VALUE"""),"USA")</f>
        <v>USA</v>
      </c>
      <c r="E2330" s="156">
        <f>IFERROR(__xludf.DUMMYFUNCTION("""COMPUTED_VALUE"""),43387.0)</f>
        <v>43387</v>
      </c>
      <c r="F2330" s="129">
        <f>IFERROR(__xludf.DUMMYFUNCTION("""COMPUTED_VALUE"""),43397.0)</f>
        <v>43397</v>
      </c>
      <c r="G2330" s="154"/>
      <c r="H2330" s="131">
        <f>IFERROR(__xludf.DUMMYFUNCTION("""COMPUTED_VALUE"""),75155.0)</f>
        <v>75155</v>
      </c>
      <c r="I2330" s="144" t="str">
        <f>IFERROR(__xludf.DUMMYFUNCTION("""COMPUTED_VALUE"""),"10/18")</f>
        <v>10/18</v>
      </c>
      <c r="J2330" s="129">
        <f>IFERROR(__xludf.DUMMYFUNCTION("""COMPUTED_VALUE"""),43418.0)</f>
        <v>43418</v>
      </c>
      <c r="K2330" s="133">
        <f>IFERROR(__xludf.DUMMYFUNCTION("""COMPUTED_VALUE"""),10.0)</f>
        <v>10</v>
      </c>
      <c r="L2330" s="133">
        <f>IFERROR(__xludf.DUMMYFUNCTION("""COMPUTED_VALUE"""),21.0)</f>
        <v>21</v>
      </c>
      <c r="M2330" s="133">
        <f>IFERROR(__xludf.DUMMYFUNCTION("""COMPUTED_VALUE"""),31.0)</f>
        <v>31</v>
      </c>
      <c r="N2330" s="152" t="str">
        <f>IFERROR(__xludf.DUMMYFUNCTION("""COMPUTED_VALUE"""),"Model 3 LR AWD")</f>
        <v>Model 3 LR AWD</v>
      </c>
      <c r="O2330" s="152" t="str">
        <f>IFERROR(__xludf.DUMMYFUNCTION("""COMPUTED_VALUE"""),"Deep Blue Metallic")</f>
        <v>Deep Blue Metallic</v>
      </c>
      <c r="P2330" s="153" t="str">
        <f>IFERROR(__xludf.DUMMYFUNCTION("""COMPUTED_VALUE"""),"18 inch Aero")</f>
        <v>18 inch Aero</v>
      </c>
      <c r="Q2330" s="152" t="str">
        <f>IFERROR(__xludf.DUMMYFUNCTION("""COMPUTED_VALUE"""),"White seats")</f>
        <v>White seats</v>
      </c>
      <c r="R2330" s="149" t="str">
        <f>IFERROR(__xludf.DUMMYFUNCTION("""COMPUTED_VALUE"""),"Enhanced Autopilot")</f>
        <v>Enhanced Autopilot</v>
      </c>
      <c r="S2330" s="149"/>
      <c r="T2330" s="145"/>
      <c r="U2330" s="145"/>
      <c r="V2330" s="145"/>
      <c r="W2330" s="136"/>
      <c r="X2330" s="137" t="str">
        <f>IFERROR(__xludf.DUMMYFUNCTION("""COMPUTED_VALUE"""),"Excellent")</f>
        <v>Excellent</v>
      </c>
      <c r="Y2330" s="138" t="str">
        <f>IFERROR(__xludf.DUMMYFUNCTION("""COMPUTED_VALUE"""),"Excellent")</f>
        <v>Excellent</v>
      </c>
      <c r="Z2330" s="138" t="str">
        <f>IFERROR(__xludf.DUMMYFUNCTION("""COMPUTED_VALUE"""),"Very Good")</f>
        <v>Very Good</v>
      </c>
      <c r="AA2330" s="138" t="str">
        <f>IFERROR(__xludf.DUMMYFUNCTION("""COMPUTED_VALUE"""),"Excellent")</f>
        <v>Excellent</v>
      </c>
      <c r="AB2330" s="138" t="str">
        <f>IFERROR(__xludf.DUMMYFUNCTION("""COMPUTED_VALUE"""),"Excellent")</f>
        <v>Excellent</v>
      </c>
      <c r="AC2330" s="139"/>
      <c r="AD2330" s="139"/>
      <c r="AE2330" s="139"/>
      <c r="AF2330" s="140"/>
      <c r="AG2330" s="136" t="str">
        <f>IFERROR(__xludf.DUMMYFUNCTION("""COMPUTED_VALUE"""),"Orig est delivery 12/18")</f>
        <v>Orig est delivery 12/18</v>
      </c>
      <c r="AH2330" s="157">
        <f>IFERROR(__xludf.DUMMYFUNCTION("""COMPUTED_VALUE"""),43426.317743692125)</f>
        <v>43426.31774</v>
      </c>
      <c r="AI2330" s="138"/>
      <c r="AJ2330" s="138"/>
      <c r="AK2330" s="138"/>
      <c r="AL2330" s="142"/>
    </row>
    <row r="2331" ht="20.25" customHeight="1">
      <c r="A2331" s="155" t="str">
        <f>IFERROR(__xludf.DUMMYFUNCTION("""COMPUTED_VALUE"""),"SummerRain")</f>
        <v>SummerRain</v>
      </c>
      <c r="B2331" s="149" t="str">
        <f>IFERROR(__xludf.DUMMYFUNCTION("""COMPUTED_VALUE"""),"Milpitas")</f>
        <v>Milpitas</v>
      </c>
      <c r="C2331" s="149" t="str">
        <f>IFERROR(__xludf.DUMMYFUNCTION("""COMPUTED_VALUE"""),"CA")</f>
        <v>CA</v>
      </c>
      <c r="D2331" s="149" t="str">
        <f>IFERROR(__xludf.DUMMYFUNCTION("""COMPUTED_VALUE"""),"USA")</f>
        <v>USA</v>
      </c>
      <c r="E2331" s="156">
        <f>IFERROR(__xludf.DUMMYFUNCTION("""COMPUTED_VALUE"""),43387.0)</f>
        <v>43387</v>
      </c>
      <c r="F2331" s="129">
        <f>IFERROR(__xludf.DUMMYFUNCTION("""COMPUTED_VALUE"""),43411.0)</f>
        <v>43411</v>
      </c>
      <c r="G2331" s="154"/>
      <c r="H2331" s="131">
        <f>IFERROR(__xludf.DUMMYFUNCTION("""COMPUTED_VALUE"""),126130.0)</f>
        <v>126130</v>
      </c>
      <c r="I2331" s="144" t="str">
        <f>IFERROR(__xludf.DUMMYFUNCTION("""COMPUTED_VALUE"""),"11/18")</f>
        <v>11/18</v>
      </c>
      <c r="J2331" s="129">
        <f>IFERROR(__xludf.DUMMYFUNCTION("""COMPUTED_VALUE"""),43415.0)</f>
        <v>43415</v>
      </c>
      <c r="K2331" s="133">
        <f>IFERROR(__xludf.DUMMYFUNCTION("""COMPUTED_VALUE"""),24.0)</f>
        <v>24</v>
      </c>
      <c r="L2331" s="133">
        <f>IFERROR(__xludf.DUMMYFUNCTION("""COMPUTED_VALUE"""),4.0)</f>
        <v>4</v>
      </c>
      <c r="M2331" s="133">
        <f>IFERROR(__xludf.DUMMYFUNCTION("""COMPUTED_VALUE"""),28.0)</f>
        <v>28</v>
      </c>
      <c r="N2331" s="152" t="str">
        <f>IFERROR(__xludf.DUMMYFUNCTION("""COMPUTED_VALUE"""),"Model 3 LR")</f>
        <v>Model 3 LR</v>
      </c>
      <c r="O2331" s="152" t="str">
        <f>IFERROR(__xludf.DUMMYFUNCTION("""COMPUTED_VALUE"""),"Red Multi-Coat")</f>
        <v>Red Multi-Coat</v>
      </c>
      <c r="P2331" s="153" t="str">
        <f>IFERROR(__xludf.DUMMYFUNCTION("""COMPUTED_VALUE"""),"19 inch Sport")</f>
        <v>19 inch Sport</v>
      </c>
      <c r="Q2331" s="152" t="str">
        <f>IFERROR(__xludf.DUMMYFUNCTION("""COMPUTED_VALUE"""),"Black seats")</f>
        <v>Black seats</v>
      </c>
      <c r="R2331" s="149" t="str">
        <f>IFERROR(__xludf.DUMMYFUNCTION("""COMPUTED_VALUE"""),"Full Self-Driving")</f>
        <v>Full Self-Driving</v>
      </c>
      <c r="S2331" s="149"/>
      <c r="T2331" s="145"/>
      <c r="U2331" s="145"/>
      <c r="V2331" s="145"/>
      <c r="W2331" s="136"/>
      <c r="X2331" s="137" t="str">
        <f>IFERROR(__xludf.DUMMYFUNCTION("""COMPUTED_VALUE"""),"Good")</f>
        <v>Good</v>
      </c>
      <c r="Y2331" s="138" t="str">
        <f>IFERROR(__xludf.DUMMYFUNCTION("""COMPUTED_VALUE"""),"Good")</f>
        <v>Good</v>
      </c>
      <c r="Z2331" s="138" t="str">
        <f>IFERROR(__xludf.DUMMYFUNCTION("""COMPUTED_VALUE"""),"Poor")</f>
        <v>Poor</v>
      </c>
      <c r="AA2331" s="138" t="str">
        <f>IFERROR(__xludf.DUMMYFUNCTION("""COMPUTED_VALUE"""),"Very Good")</f>
        <v>Very Good</v>
      </c>
      <c r="AB2331" s="138" t="str">
        <f>IFERROR(__xludf.DUMMYFUNCTION("""COMPUTED_VALUE"""),"Very Good")</f>
        <v>Very Good</v>
      </c>
      <c r="AC2331" s="139">
        <f>IFERROR(__xludf.DUMMYFUNCTION("""COMPUTED_VALUE"""),10.0)</f>
        <v>10</v>
      </c>
      <c r="AD2331" s="139">
        <f>IFERROR(__xludf.DUMMYFUNCTION("""COMPUTED_VALUE"""),4.0)</f>
        <v>4</v>
      </c>
      <c r="AE2331" s="139">
        <f>IFERROR(__xludf.DUMMYFUNCTION("""COMPUTED_VALUE"""),2.0)</f>
        <v>2</v>
      </c>
      <c r="AF2331" s="140"/>
      <c r="AG2331" s="136" t="str">
        <f>IFERROR(__xludf.DUMMYFUNCTION("""COMPUTED_VALUE"""),"Rejected delivery once due to paint chip on metal panel")</f>
        <v>Rejected delivery once due to paint chip on metal panel</v>
      </c>
      <c r="AH2331" s="157">
        <f>IFERROR(__xludf.DUMMYFUNCTION("""COMPUTED_VALUE"""),43440.641357245375)</f>
        <v>43440.64136</v>
      </c>
      <c r="AI2331" s="138"/>
      <c r="AJ2331" s="138"/>
      <c r="AK2331" s="138"/>
      <c r="AL2331" s="142"/>
    </row>
    <row r="2332" ht="20.25" customHeight="1">
      <c r="A2332" s="155" t="str">
        <f>IFERROR(__xludf.DUMMYFUNCTION("""COMPUTED_VALUE"""),"tchen811")</f>
        <v>tchen811</v>
      </c>
      <c r="B2332" s="149" t="str">
        <f>IFERROR(__xludf.DUMMYFUNCTION("""COMPUTED_VALUE"""),"Los Angeles")</f>
        <v>Los Angeles</v>
      </c>
      <c r="C2332" s="149" t="str">
        <f>IFERROR(__xludf.DUMMYFUNCTION("""COMPUTED_VALUE"""),"CA")</f>
        <v>CA</v>
      </c>
      <c r="D2332" s="149" t="str">
        <f>IFERROR(__xludf.DUMMYFUNCTION("""COMPUTED_VALUE"""),"USA")</f>
        <v>USA</v>
      </c>
      <c r="E2332" s="156">
        <f>IFERROR(__xludf.DUMMYFUNCTION("""COMPUTED_VALUE"""),43387.0)</f>
        <v>43387</v>
      </c>
      <c r="F2332" s="129">
        <f>IFERROR(__xludf.DUMMYFUNCTION("""COMPUTED_VALUE"""),43398.0)</f>
        <v>43398</v>
      </c>
      <c r="G2332" s="154"/>
      <c r="H2332" s="131">
        <f>IFERROR(__xludf.DUMMYFUNCTION("""COMPUTED_VALUE"""),108955.0)</f>
        <v>108955</v>
      </c>
      <c r="I2332" s="144" t="str">
        <f>IFERROR(__xludf.DUMMYFUNCTION("""COMPUTED_VALUE"""),"10/18")</f>
        <v>10/18</v>
      </c>
      <c r="J2332" s="129">
        <f>IFERROR(__xludf.DUMMYFUNCTION("""COMPUTED_VALUE"""),43404.0)</f>
        <v>43404</v>
      </c>
      <c r="K2332" s="133">
        <f>IFERROR(__xludf.DUMMYFUNCTION("""COMPUTED_VALUE"""),11.0)</f>
        <v>11</v>
      </c>
      <c r="L2332" s="133">
        <f>IFERROR(__xludf.DUMMYFUNCTION("""COMPUTED_VALUE"""),6.0)</f>
        <v>6</v>
      </c>
      <c r="M2332" s="133">
        <f>IFERROR(__xludf.DUMMYFUNCTION("""COMPUTED_VALUE"""),17.0)</f>
        <v>17</v>
      </c>
      <c r="N2332" s="152" t="str">
        <f>IFERROR(__xludf.DUMMYFUNCTION("""COMPUTED_VALUE"""),"Model 3 LR")</f>
        <v>Model 3 LR</v>
      </c>
      <c r="O2332" s="152" t="str">
        <f>IFERROR(__xludf.DUMMYFUNCTION("""COMPUTED_VALUE"""),"Deep Blue Metallic")</f>
        <v>Deep Blue Metallic</v>
      </c>
      <c r="P2332" s="153" t="str">
        <f>IFERROR(__xludf.DUMMYFUNCTION("""COMPUTED_VALUE"""),"19 inch Sport")</f>
        <v>19 inch Sport</v>
      </c>
      <c r="Q2332" s="152" t="str">
        <f>IFERROR(__xludf.DUMMYFUNCTION("""COMPUTED_VALUE"""),"Black seats")</f>
        <v>Black seats</v>
      </c>
      <c r="R2332" s="149" t="str">
        <f>IFERROR(__xludf.DUMMYFUNCTION("""COMPUTED_VALUE"""),"None")</f>
        <v>None</v>
      </c>
      <c r="S2332" s="149"/>
      <c r="T2332" s="145"/>
      <c r="U2332" s="145"/>
      <c r="V2332" s="145"/>
      <c r="W2332" s="136"/>
      <c r="X2332" s="137" t="str">
        <f>IFERROR(__xludf.DUMMYFUNCTION("""COMPUTED_VALUE"""),"Excellent")</f>
        <v>Excellent</v>
      </c>
      <c r="Y2332" s="138" t="str">
        <f>IFERROR(__xludf.DUMMYFUNCTION("""COMPUTED_VALUE"""),"Excellent")</f>
        <v>Excellent</v>
      </c>
      <c r="Z2332" s="138" t="str">
        <f>IFERROR(__xludf.DUMMYFUNCTION("""COMPUTED_VALUE"""),"Poor")</f>
        <v>Poor</v>
      </c>
      <c r="AA2332" s="138" t="str">
        <f>IFERROR(__xludf.DUMMYFUNCTION("""COMPUTED_VALUE"""),"Good")</f>
        <v>Good</v>
      </c>
      <c r="AB2332" s="138" t="str">
        <f>IFERROR(__xludf.DUMMYFUNCTION("""COMPUTED_VALUE"""),"Good")</f>
        <v>Good</v>
      </c>
      <c r="AC2332" s="139">
        <f>IFERROR(__xludf.DUMMYFUNCTION("""COMPUTED_VALUE"""),3.0)</f>
        <v>3</v>
      </c>
      <c r="AD2332" s="139"/>
      <c r="AE2332" s="139"/>
      <c r="AF2332" s="140"/>
      <c r="AG2332" s="136"/>
      <c r="AH2332" s="157">
        <f>IFERROR(__xludf.DUMMYFUNCTION("""COMPUTED_VALUE"""),43404.5811602662)</f>
        <v>43404.58116</v>
      </c>
      <c r="AI2332" s="138"/>
      <c r="AJ2332" s="138"/>
      <c r="AK2332" s="138"/>
      <c r="AL2332" s="142"/>
    </row>
    <row r="2333" ht="20.25" customHeight="1">
      <c r="A2333" s="155" t="str">
        <f>IFERROR(__xludf.DUMMYFUNCTION("""COMPUTED_VALUE"""),"jrielley")</f>
        <v>jrielley</v>
      </c>
      <c r="B2333" s="149" t="str">
        <f>IFERROR(__xludf.DUMMYFUNCTION("""COMPUTED_VALUE"""),"Mt Holly")</f>
        <v>Mt Holly</v>
      </c>
      <c r="C2333" s="149" t="str">
        <f>IFERROR(__xludf.DUMMYFUNCTION("""COMPUTED_VALUE"""),"NC")</f>
        <v>NC</v>
      </c>
      <c r="D2333" s="149" t="str">
        <f>IFERROR(__xludf.DUMMYFUNCTION("""COMPUTED_VALUE"""),"USA")</f>
        <v>USA</v>
      </c>
      <c r="E2333" s="156">
        <f>IFERROR(__xludf.DUMMYFUNCTION("""COMPUTED_VALUE"""),43386.0)</f>
        <v>43386</v>
      </c>
      <c r="F2333" s="129">
        <f>IFERROR(__xludf.DUMMYFUNCTION("""COMPUTED_VALUE"""),43396.0)</f>
        <v>43396</v>
      </c>
      <c r="G2333" s="154"/>
      <c r="H2333" s="131">
        <f>IFERROR(__xludf.DUMMYFUNCTION("""COMPUTED_VALUE"""),102655.0)</f>
        <v>102655</v>
      </c>
      <c r="I2333" s="144" t="str">
        <f>IFERROR(__xludf.DUMMYFUNCTION("""COMPUTED_VALUE"""),"10/18")</f>
        <v>10/18</v>
      </c>
      <c r="J2333" s="129">
        <f>IFERROR(__xludf.DUMMYFUNCTION("""COMPUTED_VALUE"""),43417.0)</f>
        <v>43417</v>
      </c>
      <c r="K2333" s="133">
        <f>IFERROR(__xludf.DUMMYFUNCTION("""COMPUTED_VALUE"""),10.0)</f>
        <v>10</v>
      </c>
      <c r="L2333" s="133">
        <f>IFERROR(__xludf.DUMMYFUNCTION("""COMPUTED_VALUE"""),21.0)</f>
        <v>21</v>
      </c>
      <c r="M2333" s="133">
        <f>IFERROR(__xludf.DUMMYFUNCTION("""COMPUTED_VALUE"""),31.0)</f>
        <v>31</v>
      </c>
      <c r="N2333" s="152" t="str">
        <f>IFERROR(__xludf.DUMMYFUNCTION("""COMPUTED_VALUE"""),"Model 3 LR")</f>
        <v>Model 3 LR</v>
      </c>
      <c r="O2333" s="152" t="str">
        <f>IFERROR(__xludf.DUMMYFUNCTION("""COMPUTED_VALUE"""),"Deep Blue Metallic")</f>
        <v>Deep Blue Metallic</v>
      </c>
      <c r="P2333" s="153" t="str">
        <f>IFERROR(__xludf.DUMMYFUNCTION("""COMPUTED_VALUE"""),"18 inch Aero")</f>
        <v>18 inch Aero</v>
      </c>
      <c r="Q2333" s="152" t="str">
        <f>IFERROR(__xludf.DUMMYFUNCTION("""COMPUTED_VALUE"""),"Black seats")</f>
        <v>Black seats</v>
      </c>
      <c r="R2333" s="149" t="str">
        <f>IFERROR(__xludf.DUMMYFUNCTION("""COMPUTED_VALUE"""),"Full Self-Driving")</f>
        <v>Full Self-Driving</v>
      </c>
      <c r="S2333" s="149"/>
      <c r="T2333" s="145"/>
      <c r="U2333" s="145"/>
      <c r="V2333" s="145"/>
      <c r="W2333" s="136"/>
      <c r="X2333" s="137" t="str">
        <f>IFERROR(__xludf.DUMMYFUNCTION("""COMPUTED_VALUE"""),"Excellent")</f>
        <v>Excellent</v>
      </c>
      <c r="Y2333" s="138" t="str">
        <f>IFERROR(__xludf.DUMMYFUNCTION("""COMPUTED_VALUE"""),"Excellent")</f>
        <v>Excellent</v>
      </c>
      <c r="Z2333" s="138" t="str">
        <f>IFERROR(__xludf.DUMMYFUNCTION("""COMPUTED_VALUE"""),"Excellent")</f>
        <v>Excellent</v>
      </c>
      <c r="AA2333" s="138" t="str">
        <f>IFERROR(__xludf.DUMMYFUNCTION("""COMPUTED_VALUE"""),"Very Good")</f>
        <v>Very Good</v>
      </c>
      <c r="AB2333" s="138" t="str">
        <f>IFERROR(__xludf.DUMMYFUNCTION("""COMPUTED_VALUE"""),"Very Good")</f>
        <v>Very Good</v>
      </c>
      <c r="AC2333" s="139"/>
      <c r="AD2333" s="139"/>
      <c r="AE2333" s="139"/>
      <c r="AF2333" s="140"/>
      <c r="AG2333" s="136"/>
      <c r="AH2333" s="157">
        <f>IFERROR(__xludf.DUMMYFUNCTION("""COMPUTED_VALUE"""),43416.28551649305)</f>
        <v>43416.28552</v>
      </c>
      <c r="AI2333" s="138"/>
      <c r="AJ2333" s="138"/>
      <c r="AK2333" s="138"/>
      <c r="AL2333" s="142"/>
    </row>
    <row r="2334" ht="20.25" customHeight="1">
      <c r="A2334" s="155" t="str">
        <f>IFERROR(__xludf.DUMMYFUNCTION("""COMPUTED_VALUE"""),"lb124")</f>
        <v>lb124</v>
      </c>
      <c r="B2334" s="149" t="str">
        <f>IFERROR(__xludf.DUMMYFUNCTION("""COMPUTED_VALUE"""),"Monument")</f>
        <v>Monument</v>
      </c>
      <c r="C2334" s="149" t="str">
        <f>IFERROR(__xludf.DUMMYFUNCTION("""COMPUTED_VALUE"""),"CO")</f>
        <v>CO</v>
      </c>
      <c r="D2334" s="149" t="str">
        <f>IFERROR(__xludf.DUMMYFUNCTION("""COMPUTED_VALUE"""),"USA")</f>
        <v>USA</v>
      </c>
      <c r="E2334" s="156">
        <f>IFERROR(__xludf.DUMMYFUNCTION("""COMPUTED_VALUE"""),43386.0)</f>
        <v>43386</v>
      </c>
      <c r="F2334" s="129">
        <f>IFERROR(__xludf.DUMMYFUNCTION("""COMPUTED_VALUE"""),43389.0)</f>
        <v>43389</v>
      </c>
      <c r="G2334" s="154"/>
      <c r="H2334" s="131">
        <f>IFERROR(__xludf.DUMMYFUNCTION("""COMPUTED_VALUE"""),114351.0)</f>
        <v>114351</v>
      </c>
      <c r="I2334" s="144" t="str">
        <f>IFERROR(__xludf.DUMMYFUNCTION("""COMPUTED_VALUE"""),"10/18")</f>
        <v>10/18</v>
      </c>
      <c r="J2334" s="129">
        <f>IFERROR(__xludf.DUMMYFUNCTION("""COMPUTED_VALUE"""),43395.0)</f>
        <v>43395</v>
      </c>
      <c r="K2334" s="133">
        <f>IFERROR(__xludf.DUMMYFUNCTION("""COMPUTED_VALUE"""),3.0)</f>
        <v>3</v>
      </c>
      <c r="L2334" s="133">
        <f>IFERROR(__xludf.DUMMYFUNCTION("""COMPUTED_VALUE"""),6.0)</f>
        <v>6</v>
      </c>
      <c r="M2334" s="133">
        <f>IFERROR(__xludf.DUMMYFUNCTION("""COMPUTED_VALUE"""),9.0)</f>
        <v>9</v>
      </c>
      <c r="N2334" s="152" t="str">
        <f>IFERROR(__xludf.DUMMYFUNCTION("""COMPUTED_VALUE"""),"Model 3 LR AWD")</f>
        <v>Model 3 LR AWD</v>
      </c>
      <c r="O2334" s="152" t="str">
        <f>IFERROR(__xludf.DUMMYFUNCTION("""COMPUTED_VALUE"""),"Midnight Silver Metallic")</f>
        <v>Midnight Silver Metallic</v>
      </c>
      <c r="P2334" s="153" t="str">
        <f>IFERROR(__xludf.DUMMYFUNCTION("""COMPUTED_VALUE"""),"18 inch Aero")</f>
        <v>18 inch Aero</v>
      </c>
      <c r="Q2334" s="152" t="str">
        <f>IFERROR(__xludf.DUMMYFUNCTION("""COMPUTED_VALUE"""),"Black seats")</f>
        <v>Black seats</v>
      </c>
      <c r="R2334" s="149" t="str">
        <f>IFERROR(__xludf.DUMMYFUNCTION("""COMPUTED_VALUE"""),"Enhanced Autopilot")</f>
        <v>Enhanced Autopilot</v>
      </c>
      <c r="S2334" s="149"/>
      <c r="T2334" s="145"/>
      <c r="U2334" s="145"/>
      <c r="V2334" s="145"/>
      <c r="W2334" s="136"/>
      <c r="X2334" s="137" t="str">
        <f>IFERROR(__xludf.DUMMYFUNCTION("""COMPUTED_VALUE"""),"Very Good")</f>
        <v>Very Good</v>
      </c>
      <c r="Y2334" s="138" t="str">
        <f>IFERROR(__xludf.DUMMYFUNCTION("""COMPUTED_VALUE"""),"Excellent")</f>
        <v>Excellent</v>
      </c>
      <c r="Z2334" s="138" t="str">
        <f>IFERROR(__xludf.DUMMYFUNCTION("""COMPUTED_VALUE"""),"Excellent")</f>
        <v>Excellent</v>
      </c>
      <c r="AA2334" s="138" t="str">
        <f>IFERROR(__xludf.DUMMYFUNCTION("""COMPUTED_VALUE"""),"Good")</f>
        <v>Good</v>
      </c>
      <c r="AB2334" s="138" t="str">
        <f>IFERROR(__xludf.DUMMYFUNCTION("""COMPUTED_VALUE"""),"Very Good")</f>
        <v>Very Good</v>
      </c>
      <c r="AC2334" s="139"/>
      <c r="AD2334" s="139"/>
      <c r="AE2334" s="139"/>
      <c r="AF2334" s="140"/>
      <c r="AG2334" s="136"/>
      <c r="AH2334" s="157">
        <f>IFERROR(__xludf.DUMMYFUNCTION("""COMPUTED_VALUE"""),43400.497961574074)</f>
        <v>43400.49796</v>
      </c>
      <c r="AI2334" s="138"/>
      <c r="AJ2334" s="138"/>
      <c r="AK2334" s="138"/>
      <c r="AL2334" s="142"/>
    </row>
    <row r="2335" ht="20.25" customHeight="1">
      <c r="A2335" s="155" t="str">
        <f>IFERROR(__xludf.DUMMYFUNCTION("""COMPUTED_VALUE"""),"marksven")</f>
        <v>marksven</v>
      </c>
      <c r="B2335" s="149" t="str">
        <f>IFERROR(__xludf.DUMMYFUNCTION("""COMPUTED_VALUE"""),"Issaquah")</f>
        <v>Issaquah</v>
      </c>
      <c r="C2335" s="149" t="str">
        <f>IFERROR(__xludf.DUMMYFUNCTION("""COMPUTED_VALUE"""),"WA")</f>
        <v>WA</v>
      </c>
      <c r="D2335" s="149" t="str">
        <f>IFERROR(__xludf.DUMMYFUNCTION("""COMPUTED_VALUE"""),"USA")</f>
        <v>USA</v>
      </c>
      <c r="E2335" s="156">
        <f>IFERROR(__xludf.DUMMYFUNCTION("""COMPUTED_VALUE"""),43386.0)</f>
        <v>43386</v>
      </c>
      <c r="F2335" s="129">
        <f>IFERROR(__xludf.DUMMYFUNCTION("""COMPUTED_VALUE"""),43398.0)</f>
        <v>43398</v>
      </c>
      <c r="G2335" s="154"/>
      <c r="H2335" s="131">
        <f>IFERROR(__xludf.DUMMYFUNCTION("""COMPUTED_VALUE"""),112255.0)</f>
        <v>112255</v>
      </c>
      <c r="I2335" s="144" t="str">
        <f>IFERROR(__xludf.DUMMYFUNCTION("""COMPUTED_VALUE"""),"10/18")</f>
        <v>10/18</v>
      </c>
      <c r="J2335" s="129">
        <f>IFERROR(__xludf.DUMMYFUNCTION("""COMPUTED_VALUE"""),43405.0)</f>
        <v>43405</v>
      </c>
      <c r="K2335" s="133">
        <f>IFERROR(__xludf.DUMMYFUNCTION("""COMPUTED_VALUE"""),12.0)</f>
        <v>12</v>
      </c>
      <c r="L2335" s="133">
        <f>IFERROR(__xludf.DUMMYFUNCTION("""COMPUTED_VALUE"""),7.0)</f>
        <v>7</v>
      </c>
      <c r="M2335" s="133">
        <f>IFERROR(__xludf.DUMMYFUNCTION("""COMPUTED_VALUE"""),19.0)</f>
        <v>19</v>
      </c>
      <c r="N2335" s="152" t="str">
        <f>IFERROR(__xludf.DUMMYFUNCTION("""COMPUTED_VALUE"""),"Model 3 LR AWD")</f>
        <v>Model 3 LR AWD</v>
      </c>
      <c r="O2335" s="152" t="str">
        <f>IFERROR(__xludf.DUMMYFUNCTION("""COMPUTED_VALUE"""),"Pearl White Multi-Coat")</f>
        <v>Pearl White Multi-Coat</v>
      </c>
      <c r="P2335" s="153" t="str">
        <f>IFERROR(__xludf.DUMMYFUNCTION("""COMPUTED_VALUE"""),"19 inch Sport")</f>
        <v>19 inch Sport</v>
      </c>
      <c r="Q2335" s="152" t="str">
        <f>IFERROR(__xludf.DUMMYFUNCTION("""COMPUTED_VALUE"""),"White seats")</f>
        <v>White seats</v>
      </c>
      <c r="R2335" s="149" t="str">
        <f>IFERROR(__xludf.DUMMYFUNCTION("""COMPUTED_VALUE"""),"Enhanced Autopilot")</f>
        <v>Enhanced Autopilot</v>
      </c>
      <c r="S2335" s="149"/>
      <c r="T2335" s="145"/>
      <c r="U2335" s="145"/>
      <c r="V2335" s="145"/>
      <c r="W2335" s="136"/>
      <c r="X2335" s="137" t="str">
        <f>IFERROR(__xludf.DUMMYFUNCTION("""COMPUTED_VALUE"""),"Excellent")</f>
        <v>Excellent</v>
      </c>
      <c r="Y2335" s="138" t="str">
        <f>IFERROR(__xludf.DUMMYFUNCTION("""COMPUTED_VALUE"""),"Excellent")</f>
        <v>Excellent</v>
      </c>
      <c r="Z2335" s="138" t="str">
        <f>IFERROR(__xludf.DUMMYFUNCTION("""COMPUTED_VALUE"""),"Excellent")</f>
        <v>Excellent</v>
      </c>
      <c r="AA2335" s="138" t="str">
        <f>IFERROR(__xludf.DUMMYFUNCTION("""COMPUTED_VALUE"""),"Excellent")</f>
        <v>Excellent</v>
      </c>
      <c r="AB2335" s="138" t="str">
        <f>IFERROR(__xludf.DUMMYFUNCTION("""COMPUTED_VALUE"""),"Excellent")</f>
        <v>Excellent</v>
      </c>
      <c r="AC2335" s="139">
        <f>IFERROR(__xludf.DUMMYFUNCTION("""COMPUTED_VALUE"""),0.0)</f>
        <v>0</v>
      </c>
      <c r="AD2335" s="139">
        <f>IFERROR(__xludf.DUMMYFUNCTION("""COMPUTED_VALUE"""),0.0)</f>
        <v>0</v>
      </c>
      <c r="AE2335" s="139">
        <f>IFERROR(__xludf.DUMMYFUNCTION("""COMPUTED_VALUE"""),0.0)</f>
        <v>0</v>
      </c>
      <c r="AF2335" s="140"/>
      <c r="AG2335" s="136" t="str">
        <f>IFERROR(__xludf.DUMMYFUNCTION("""COMPUTED_VALUE"""),"No issues with car in first 6 weeks. Got plates only 2 days before temps expiration.")</f>
        <v>No issues with car in first 6 weeks. Got plates only 2 days before temps expiration.</v>
      </c>
      <c r="AH2335" s="157">
        <f>IFERROR(__xludf.DUMMYFUNCTION("""COMPUTED_VALUE"""),43447.449876875005)</f>
        <v>43447.44988</v>
      </c>
      <c r="AI2335" s="138"/>
      <c r="AJ2335" s="138"/>
      <c r="AK2335" s="138"/>
      <c r="AL2335" s="142"/>
    </row>
    <row r="2336" ht="20.25" customHeight="1">
      <c r="A2336" s="155" t="str">
        <f>IFERROR(__xludf.DUMMYFUNCTION("""COMPUTED_VALUE"""),"mrgooletoyou")</f>
        <v>mrgooletoyou</v>
      </c>
      <c r="B2336" s="149" t="str">
        <f>IFERROR(__xludf.DUMMYFUNCTION("""COMPUTED_VALUE"""),"columbus")</f>
        <v>columbus</v>
      </c>
      <c r="C2336" s="149" t="str">
        <f>IFERROR(__xludf.DUMMYFUNCTION("""COMPUTED_VALUE"""),"OH")</f>
        <v>OH</v>
      </c>
      <c r="D2336" s="149" t="str">
        <f>IFERROR(__xludf.DUMMYFUNCTION("""COMPUTED_VALUE"""),"USA")</f>
        <v>USA</v>
      </c>
      <c r="E2336" s="156">
        <f>IFERROR(__xludf.DUMMYFUNCTION("""COMPUTED_VALUE"""),43386.0)</f>
        <v>43386</v>
      </c>
      <c r="F2336" s="129"/>
      <c r="G2336" s="154"/>
      <c r="H2336" s="131">
        <f>IFERROR(__xludf.DUMMYFUNCTION("""COMPUTED_VALUE"""),121912.0)</f>
        <v>121912</v>
      </c>
      <c r="I2336" s="144"/>
      <c r="J2336" s="129">
        <f>IFERROR(__xludf.DUMMYFUNCTION("""COMPUTED_VALUE"""),43417.0)</f>
        <v>43417</v>
      </c>
      <c r="K2336" s="133"/>
      <c r="L2336" s="133"/>
      <c r="M2336" s="133">
        <f>IFERROR(__xludf.DUMMYFUNCTION("""COMPUTED_VALUE"""),31.0)</f>
        <v>31</v>
      </c>
      <c r="N2336" s="152" t="str">
        <f>IFERROR(__xludf.DUMMYFUNCTION("""COMPUTED_VALUE"""),"Model 3 LR AWD")</f>
        <v>Model 3 LR AWD</v>
      </c>
      <c r="O2336" s="152" t="str">
        <f>IFERROR(__xludf.DUMMYFUNCTION("""COMPUTED_VALUE"""),"Deep Blue Metallic")</f>
        <v>Deep Blue Metallic</v>
      </c>
      <c r="P2336" s="153" t="str">
        <f>IFERROR(__xludf.DUMMYFUNCTION("""COMPUTED_VALUE"""),"19 inch Sport")</f>
        <v>19 inch Sport</v>
      </c>
      <c r="Q2336" s="152" t="str">
        <f>IFERROR(__xludf.DUMMYFUNCTION("""COMPUTED_VALUE"""),"Black seats")</f>
        <v>Black seats</v>
      </c>
      <c r="R2336" s="149" t="str">
        <f>IFERROR(__xludf.DUMMYFUNCTION("""COMPUTED_VALUE"""),"Enhanced Autopilot")</f>
        <v>Enhanced Autopilot</v>
      </c>
      <c r="S2336" s="149"/>
      <c r="T2336" s="145"/>
      <c r="U2336" s="145"/>
      <c r="V2336" s="145"/>
      <c r="W2336" s="136"/>
      <c r="X2336" s="137" t="str">
        <f>IFERROR(__xludf.DUMMYFUNCTION("""COMPUTED_VALUE"""),"Excellent")</f>
        <v>Excellent</v>
      </c>
      <c r="Y2336" s="138" t="str">
        <f>IFERROR(__xludf.DUMMYFUNCTION("""COMPUTED_VALUE"""),"Excellent")</f>
        <v>Excellent</v>
      </c>
      <c r="Z2336" s="138" t="str">
        <f>IFERROR(__xludf.DUMMYFUNCTION("""COMPUTED_VALUE"""),"Excellent")</f>
        <v>Excellent</v>
      </c>
      <c r="AA2336" s="138" t="str">
        <f>IFERROR(__xludf.DUMMYFUNCTION("""COMPUTED_VALUE"""),"Very Good")</f>
        <v>Very Good</v>
      </c>
      <c r="AB2336" s="138" t="str">
        <f>IFERROR(__xludf.DUMMYFUNCTION("""COMPUTED_VALUE"""),"Excellent")</f>
        <v>Excellent</v>
      </c>
      <c r="AC2336" s="139"/>
      <c r="AD2336" s="139"/>
      <c r="AE2336" s="139"/>
      <c r="AF2336" s="140"/>
      <c r="AG2336" s="136"/>
      <c r="AH2336" s="157">
        <f>IFERROR(__xludf.DUMMYFUNCTION("""COMPUTED_VALUE"""),43419.34827545139)</f>
        <v>43419.34828</v>
      </c>
      <c r="AI2336" s="138"/>
      <c r="AJ2336" s="138"/>
      <c r="AK2336" s="138"/>
      <c r="AL2336" s="142"/>
    </row>
    <row r="2337" ht="20.25" customHeight="1">
      <c r="A2337" s="155" t="str">
        <f>IFERROR(__xludf.DUMMYFUNCTION("""COMPUTED_VALUE"""),"njenslin")</f>
        <v>njenslin</v>
      </c>
      <c r="B2337" s="149" t="str">
        <f>IFERROR(__xludf.DUMMYFUNCTION("""COMPUTED_VALUE"""),"Wichita")</f>
        <v>Wichita</v>
      </c>
      <c r="C2337" s="149" t="str">
        <f>IFERROR(__xludf.DUMMYFUNCTION("""COMPUTED_VALUE"""),"KS")</f>
        <v>KS</v>
      </c>
      <c r="D2337" s="149" t="str">
        <f>IFERROR(__xludf.DUMMYFUNCTION("""COMPUTED_VALUE"""),"USA")</f>
        <v>USA</v>
      </c>
      <c r="E2337" s="156">
        <f>IFERROR(__xludf.DUMMYFUNCTION("""COMPUTED_VALUE"""),43386.0)</f>
        <v>43386</v>
      </c>
      <c r="F2337" s="129">
        <f>IFERROR(__xludf.DUMMYFUNCTION("""COMPUTED_VALUE"""),43411.0)</f>
        <v>43411</v>
      </c>
      <c r="G2337" s="154"/>
      <c r="H2337" s="131">
        <f>IFERROR(__xludf.DUMMYFUNCTION("""COMPUTED_VALUE"""),109021.0)</f>
        <v>109021</v>
      </c>
      <c r="I2337" s="144" t="str">
        <f>IFERROR(__xludf.DUMMYFUNCTION("""COMPUTED_VALUE"""),"10/18")</f>
        <v>10/18</v>
      </c>
      <c r="J2337" s="129">
        <f>IFERROR(__xludf.DUMMYFUNCTION("""COMPUTED_VALUE"""),43414.0)</f>
        <v>43414</v>
      </c>
      <c r="K2337" s="133">
        <f>IFERROR(__xludf.DUMMYFUNCTION("""COMPUTED_VALUE"""),25.0)</f>
        <v>25</v>
      </c>
      <c r="L2337" s="133">
        <f>IFERROR(__xludf.DUMMYFUNCTION("""COMPUTED_VALUE"""),3.0)</f>
        <v>3</v>
      </c>
      <c r="M2337" s="133">
        <f>IFERROR(__xludf.DUMMYFUNCTION("""COMPUTED_VALUE"""),28.0)</f>
        <v>28</v>
      </c>
      <c r="N2337" s="152" t="str">
        <f>IFERROR(__xludf.DUMMYFUNCTION("""COMPUTED_VALUE"""),"Model 3 LR")</f>
        <v>Model 3 LR</v>
      </c>
      <c r="O2337" s="152" t="str">
        <f>IFERROR(__xludf.DUMMYFUNCTION("""COMPUTED_VALUE"""),"Solid Black")</f>
        <v>Solid Black</v>
      </c>
      <c r="P2337" s="153" t="str">
        <f>IFERROR(__xludf.DUMMYFUNCTION("""COMPUTED_VALUE"""),"18 inch Aero")</f>
        <v>18 inch Aero</v>
      </c>
      <c r="Q2337" s="152" t="str">
        <f>IFERROR(__xludf.DUMMYFUNCTION("""COMPUTED_VALUE"""),"Black seats")</f>
        <v>Black seats</v>
      </c>
      <c r="R2337" s="149" t="str">
        <f>IFERROR(__xludf.DUMMYFUNCTION("""COMPUTED_VALUE"""),"Enhanced Autopilot")</f>
        <v>Enhanced Autopilot</v>
      </c>
      <c r="S2337" s="149"/>
      <c r="T2337" s="145"/>
      <c r="U2337" s="145"/>
      <c r="V2337" s="145"/>
      <c r="W2337" s="136"/>
      <c r="X2337" s="137" t="str">
        <f>IFERROR(__xludf.DUMMYFUNCTION("""COMPUTED_VALUE"""),"Excellent")</f>
        <v>Excellent</v>
      </c>
      <c r="Y2337" s="138" t="str">
        <f>IFERROR(__xludf.DUMMYFUNCTION("""COMPUTED_VALUE"""),"Excellent")</f>
        <v>Excellent</v>
      </c>
      <c r="Z2337" s="138" t="str">
        <f>IFERROR(__xludf.DUMMYFUNCTION("""COMPUTED_VALUE"""),"Excellent")</f>
        <v>Excellent</v>
      </c>
      <c r="AA2337" s="138" t="str">
        <f>IFERROR(__xludf.DUMMYFUNCTION("""COMPUTED_VALUE"""),"Poor")</f>
        <v>Poor</v>
      </c>
      <c r="AB2337" s="138" t="str">
        <f>IFERROR(__xludf.DUMMYFUNCTION("""COMPUTED_VALUE"""),"Very Good")</f>
        <v>Very Good</v>
      </c>
      <c r="AC2337" s="139"/>
      <c r="AD2337" s="139"/>
      <c r="AE2337" s="139"/>
      <c r="AF2337" s="140"/>
      <c r="AG2337" s="136"/>
      <c r="AH2337" s="157">
        <f>IFERROR(__xludf.DUMMYFUNCTION("""COMPUTED_VALUE"""),43416.5996103588)</f>
        <v>43416.59961</v>
      </c>
      <c r="AI2337" s="138"/>
      <c r="AJ2337" s="138"/>
      <c r="AK2337" s="138"/>
      <c r="AL2337" s="142"/>
    </row>
    <row r="2338" ht="20.25" customHeight="1">
      <c r="A2338" s="155" t="str">
        <f>IFERROR(__xludf.DUMMYFUNCTION("""COMPUTED_VALUE"""),"Oct13-nov15")</f>
        <v>Oct13-nov15</v>
      </c>
      <c r="B2338" s="149" t="str">
        <f>IFERROR(__xludf.DUMMYFUNCTION("""COMPUTED_VALUE"""),"27858")</f>
        <v>27858</v>
      </c>
      <c r="C2338" s="149" t="str">
        <f>IFERROR(__xludf.DUMMYFUNCTION("""COMPUTED_VALUE"""),"NC")</f>
        <v>NC</v>
      </c>
      <c r="D2338" s="149" t="str">
        <f>IFERROR(__xludf.DUMMYFUNCTION("""COMPUTED_VALUE"""),"USA")</f>
        <v>USA</v>
      </c>
      <c r="E2338" s="156">
        <f>IFERROR(__xludf.DUMMYFUNCTION("""COMPUTED_VALUE"""),43386.0)</f>
        <v>43386</v>
      </c>
      <c r="F2338" s="129">
        <f>IFERROR(__xludf.DUMMYFUNCTION("""COMPUTED_VALUE"""),43411.0)</f>
        <v>43411</v>
      </c>
      <c r="G2338" s="154"/>
      <c r="H2338" s="131">
        <f>IFERROR(__xludf.DUMMYFUNCTION("""COMPUTED_VALUE"""),122886.0)</f>
        <v>122886</v>
      </c>
      <c r="I2338" s="144" t="str">
        <f>IFERROR(__xludf.DUMMYFUNCTION("""COMPUTED_VALUE"""),"10/18")</f>
        <v>10/18</v>
      </c>
      <c r="J2338" s="129">
        <f>IFERROR(__xludf.DUMMYFUNCTION("""COMPUTED_VALUE"""),43423.0)</f>
        <v>43423</v>
      </c>
      <c r="K2338" s="133">
        <f>IFERROR(__xludf.DUMMYFUNCTION("""COMPUTED_VALUE"""),25.0)</f>
        <v>25</v>
      </c>
      <c r="L2338" s="133">
        <f>IFERROR(__xludf.DUMMYFUNCTION("""COMPUTED_VALUE"""),12.0)</f>
        <v>12</v>
      </c>
      <c r="M2338" s="133">
        <f>IFERROR(__xludf.DUMMYFUNCTION("""COMPUTED_VALUE"""),37.0)</f>
        <v>37</v>
      </c>
      <c r="N2338" s="152" t="str">
        <f>IFERROR(__xludf.DUMMYFUNCTION("""COMPUTED_VALUE"""),"Model 3 LR")</f>
        <v>Model 3 LR</v>
      </c>
      <c r="O2338" s="152" t="str">
        <f>IFERROR(__xludf.DUMMYFUNCTION("""COMPUTED_VALUE"""),"Solid Black")</f>
        <v>Solid Black</v>
      </c>
      <c r="P2338" s="153" t="str">
        <f>IFERROR(__xludf.DUMMYFUNCTION("""COMPUTED_VALUE"""),"18 inch Aero")</f>
        <v>18 inch Aero</v>
      </c>
      <c r="Q2338" s="152" t="str">
        <f>IFERROR(__xludf.DUMMYFUNCTION("""COMPUTED_VALUE"""),"Black seats")</f>
        <v>Black seats</v>
      </c>
      <c r="R2338" s="149" t="str">
        <f>IFERROR(__xludf.DUMMYFUNCTION("""COMPUTED_VALUE"""),"Enhanced Autopilot")</f>
        <v>Enhanced Autopilot</v>
      </c>
      <c r="S2338" s="149"/>
      <c r="T2338" s="145"/>
      <c r="U2338" s="145"/>
      <c r="V2338" s="145"/>
      <c r="W2338" s="136"/>
      <c r="X2338" s="137" t="str">
        <f>IFERROR(__xludf.DUMMYFUNCTION("""COMPUTED_VALUE"""),"Excellent")</f>
        <v>Excellent</v>
      </c>
      <c r="Y2338" s="138" t="str">
        <f>IFERROR(__xludf.DUMMYFUNCTION("""COMPUTED_VALUE"""),"Excellent")</f>
        <v>Excellent</v>
      </c>
      <c r="Z2338" s="138" t="str">
        <f>IFERROR(__xludf.DUMMYFUNCTION("""COMPUTED_VALUE"""),"Good")</f>
        <v>Good</v>
      </c>
      <c r="AA2338" s="138" t="str">
        <f>IFERROR(__xludf.DUMMYFUNCTION("""COMPUTED_VALUE"""),"Good")</f>
        <v>Good</v>
      </c>
      <c r="AB2338" s="138" t="str">
        <f>IFERROR(__xludf.DUMMYFUNCTION("""COMPUTED_VALUE"""),"Fair")</f>
        <v>Fair</v>
      </c>
      <c r="AC2338" s="139">
        <f>IFERROR(__xludf.DUMMYFUNCTION("""COMPUTED_VALUE"""),0.0)</f>
        <v>0</v>
      </c>
      <c r="AD2338" s="139">
        <f>IFERROR(__xludf.DUMMYFUNCTION("""COMPUTED_VALUE"""),0.0)</f>
        <v>0</v>
      </c>
      <c r="AE2338" s="139">
        <f>IFERROR(__xludf.DUMMYFUNCTION("""COMPUTED_VALUE"""),0.0)</f>
        <v>0</v>
      </c>
      <c r="AF2338" s="140"/>
      <c r="AG2338" s="136"/>
      <c r="AH2338" s="157">
        <f>IFERROR(__xludf.DUMMYFUNCTION("""COMPUTED_VALUE"""),43431.64263643518)</f>
        <v>43431.64264</v>
      </c>
      <c r="AI2338" s="138"/>
      <c r="AJ2338" s="138"/>
      <c r="AK2338" s="138"/>
      <c r="AL2338" s="142"/>
    </row>
    <row r="2339" ht="20.25" customHeight="1">
      <c r="A2339" s="155" t="str">
        <f>IFERROR(__xludf.DUMMYFUNCTION("""COMPUTED_VALUE"""),"xilex")</f>
        <v>xilex</v>
      </c>
      <c r="B2339" s="149" t="str">
        <f>IFERROR(__xludf.DUMMYFUNCTION("""COMPUTED_VALUE"""),"Los Angeles")</f>
        <v>Los Angeles</v>
      </c>
      <c r="C2339" s="149" t="str">
        <f>IFERROR(__xludf.DUMMYFUNCTION("""COMPUTED_VALUE"""),"CA")</f>
        <v>CA</v>
      </c>
      <c r="D2339" s="149" t="str">
        <f>IFERROR(__xludf.DUMMYFUNCTION("""COMPUTED_VALUE"""),"USA")</f>
        <v>USA</v>
      </c>
      <c r="E2339" s="156">
        <f>IFERROR(__xludf.DUMMYFUNCTION("""COMPUTED_VALUE"""),43386.0)</f>
        <v>43386</v>
      </c>
      <c r="F2339" s="129">
        <f>IFERROR(__xludf.DUMMYFUNCTION("""COMPUTED_VALUE"""),43406.0)</f>
        <v>43406</v>
      </c>
      <c r="G2339" s="154"/>
      <c r="H2339" s="131">
        <f>IFERROR(__xludf.DUMMYFUNCTION("""COMPUTED_VALUE"""),115355.0)</f>
        <v>115355</v>
      </c>
      <c r="I2339" s="144"/>
      <c r="J2339" s="129">
        <f>IFERROR(__xludf.DUMMYFUNCTION("""COMPUTED_VALUE"""),43414.0)</f>
        <v>43414</v>
      </c>
      <c r="K2339" s="133">
        <f>IFERROR(__xludf.DUMMYFUNCTION("""COMPUTED_VALUE"""),20.0)</f>
        <v>20</v>
      </c>
      <c r="L2339" s="133">
        <f>IFERROR(__xludf.DUMMYFUNCTION("""COMPUTED_VALUE"""),8.0)</f>
        <v>8</v>
      </c>
      <c r="M2339" s="133">
        <f>IFERROR(__xludf.DUMMYFUNCTION("""COMPUTED_VALUE"""),28.0)</f>
        <v>28</v>
      </c>
      <c r="N2339" s="152" t="str">
        <f>IFERROR(__xludf.DUMMYFUNCTION("""COMPUTED_VALUE"""),"Model 3 Performance")</f>
        <v>Model 3 Performance</v>
      </c>
      <c r="O2339" s="152" t="str">
        <f>IFERROR(__xludf.DUMMYFUNCTION("""COMPUTED_VALUE"""),"Deep Blue Metallic")</f>
        <v>Deep Blue Metallic</v>
      </c>
      <c r="P2339" s="153" t="str">
        <f>IFERROR(__xludf.DUMMYFUNCTION("""COMPUTED_VALUE"""),"18 inch Aero")</f>
        <v>18 inch Aero</v>
      </c>
      <c r="Q2339" s="152" t="str">
        <f>IFERROR(__xludf.DUMMYFUNCTION("""COMPUTED_VALUE"""),"Black seats")</f>
        <v>Black seats</v>
      </c>
      <c r="R2339" s="149" t="str">
        <f>IFERROR(__xludf.DUMMYFUNCTION("""COMPUTED_VALUE"""),"Enhanced Autopilot")</f>
        <v>Enhanced Autopilot</v>
      </c>
      <c r="S2339" s="149"/>
      <c r="T2339" s="145"/>
      <c r="U2339" s="145"/>
      <c r="V2339" s="145"/>
      <c r="W2339" s="136"/>
      <c r="X2339" s="137" t="str">
        <f>IFERROR(__xludf.DUMMYFUNCTION("""COMPUTED_VALUE"""),"Excellent")</f>
        <v>Excellent</v>
      </c>
      <c r="Y2339" s="138" t="str">
        <f>IFERROR(__xludf.DUMMYFUNCTION("""COMPUTED_VALUE"""),"Excellent")</f>
        <v>Excellent</v>
      </c>
      <c r="Z2339" s="138" t="str">
        <f>IFERROR(__xludf.DUMMYFUNCTION("""COMPUTED_VALUE"""),"Very Good")</f>
        <v>Very Good</v>
      </c>
      <c r="AA2339" s="138" t="str">
        <f>IFERROR(__xludf.DUMMYFUNCTION("""COMPUTED_VALUE"""),"Fair")</f>
        <v>Fair</v>
      </c>
      <c r="AB2339" s="138" t="str">
        <f>IFERROR(__xludf.DUMMYFUNCTION("""COMPUTED_VALUE"""),"Very Good")</f>
        <v>Very Good</v>
      </c>
      <c r="AC2339" s="139"/>
      <c r="AD2339" s="139"/>
      <c r="AE2339" s="139"/>
      <c r="AF2339" s="140"/>
      <c r="AG2339" s="136" t="str">
        <f>IFERROR(__xludf.DUMMYFUNCTION("""COMPUTED_VALUE"""),"Really glad car turned out well, one small chip to fix, a few scratches buffed out, no rattling, inside looks pretty good aside from some shoe scuff marks. It's not 100% pristine but I don't want them to touch it more than necessary. It'll be shiny outsid"&amp;"e and move really fast.")</f>
        <v>Really glad car turned out well, one small chip to fix, a few scratches buffed out, no rattling, inside looks pretty good aside from some shoe scuff marks. It's not 100% pristine but I don't want them to touch it more than necessary. It'll be shiny outside and move really fast.</v>
      </c>
      <c r="AH2339" s="157">
        <f>IFERROR(__xludf.DUMMYFUNCTION("""COMPUTED_VALUE"""),43418.88986106482)</f>
        <v>43418.88986</v>
      </c>
      <c r="AI2339" s="138"/>
      <c r="AJ2339" s="138"/>
      <c r="AK2339" s="138"/>
      <c r="AL2339" s="142"/>
    </row>
    <row r="2340" ht="20.25" customHeight="1">
      <c r="A2340" s="155" t="str">
        <f>IFERROR(__xludf.DUMMYFUNCTION("""COMPUTED_VALUE"""),"_tacos")</f>
        <v>_tacos</v>
      </c>
      <c r="B2340" s="149" t="str">
        <f>IFERROR(__xludf.DUMMYFUNCTION("""COMPUTED_VALUE"""),"New Orleans")</f>
        <v>New Orleans</v>
      </c>
      <c r="C2340" s="149" t="str">
        <f>IFERROR(__xludf.DUMMYFUNCTION("""COMPUTED_VALUE"""),"LA")</f>
        <v>LA</v>
      </c>
      <c r="D2340" s="149" t="str">
        <f>IFERROR(__xludf.DUMMYFUNCTION("""COMPUTED_VALUE"""),"USA")</f>
        <v>USA</v>
      </c>
      <c r="E2340" s="156">
        <f>IFERROR(__xludf.DUMMYFUNCTION("""COMPUTED_VALUE"""),43385.0)</f>
        <v>43385</v>
      </c>
      <c r="F2340" s="129">
        <f>IFERROR(__xludf.DUMMYFUNCTION("""COMPUTED_VALUE"""),43396.0)</f>
        <v>43396</v>
      </c>
      <c r="G2340" s="154"/>
      <c r="H2340" s="131">
        <f>IFERROR(__xludf.DUMMYFUNCTION("""COMPUTED_VALUE"""),114955.0)</f>
        <v>114955</v>
      </c>
      <c r="I2340" s="144"/>
      <c r="J2340" s="129">
        <f>IFERROR(__xludf.DUMMYFUNCTION("""COMPUTED_VALUE"""),43420.0)</f>
        <v>43420</v>
      </c>
      <c r="K2340" s="133">
        <f>IFERROR(__xludf.DUMMYFUNCTION("""COMPUTED_VALUE"""),11.0)</f>
        <v>11</v>
      </c>
      <c r="L2340" s="133">
        <f>IFERROR(__xludf.DUMMYFUNCTION("""COMPUTED_VALUE"""),24.0)</f>
        <v>24</v>
      </c>
      <c r="M2340" s="133">
        <f>IFERROR(__xludf.DUMMYFUNCTION("""COMPUTED_VALUE"""),35.0)</f>
        <v>35</v>
      </c>
      <c r="N2340" s="152" t="str">
        <f>IFERROR(__xludf.DUMMYFUNCTION("""COMPUTED_VALUE"""),"Model 3 LR AWD")</f>
        <v>Model 3 LR AWD</v>
      </c>
      <c r="O2340" s="152" t="str">
        <f>IFERROR(__xludf.DUMMYFUNCTION("""COMPUTED_VALUE"""),"Deep Blue Metallic")</f>
        <v>Deep Blue Metallic</v>
      </c>
      <c r="P2340" s="153" t="str">
        <f>IFERROR(__xludf.DUMMYFUNCTION("""COMPUTED_VALUE"""),"18 inch Aero")</f>
        <v>18 inch Aero</v>
      </c>
      <c r="Q2340" s="152" t="str">
        <f>IFERROR(__xludf.DUMMYFUNCTION("""COMPUTED_VALUE"""),"Black seats")</f>
        <v>Black seats</v>
      </c>
      <c r="R2340" s="149" t="str">
        <f>IFERROR(__xludf.DUMMYFUNCTION("""COMPUTED_VALUE"""),"None")</f>
        <v>None</v>
      </c>
      <c r="S2340" s="149"/>
      <c r="T2340" s="145"/>
      <c r="U2340" s="145"/>
      <c r="V2340" s="145"/>
      <c r="W2340" s="136"/>
      <c r="X2340" s="137" t="str">
        <f>IFERROR(__xludf.DUMMYFUNCTION("""COMPUTED_VALUE"""),"Excellent")</f>
        <v>Excellent</v>
      </c>
      <c r="Y2340" s="138" t="str">
        <f>IFERROR(__xludf.DUMMYFUNCTION("""COMPUTED_VALUE"""),"Excellent")</f>
        <v>Excellent</v>
      </c>
      <c r="Z2340" s="138" t="str">
        <f>IFERROR(__xludf.DUMMYFUNCTION("""COMPUTED_VALUE"""),"Excellent")</f>
        <v>Excellent</v>
      </c>
      <c r="AA2340" s="138" t="str">
        <f>IFERROR(__xludf.DUMMYFUNCTION("""COMPUTED_VALUE"""),"Good")</f>
        <v>Good</v>
      </c>
      <c r="AB2340" s="138" t="str">
        <f>IFERROR(__xludf.DUMMYFUNCTION("""COMPUTED_VALUE"""),"Very Good")</f>
        <v>Very Good</v>
      </c>
      <c r="AC2340" s="139">
        <f>IFERROR(__xludf.DUMMYFUNCTION("""COMPUTED_VALUE"""),1.0)</f>
        <v>1</v>
      </c>
      <c r="AD2340" s="139">
        <f>IFERROR(__xludf.DUMMYFUNCTION("""COMPUTED_VALUE"""),0.0)</f>
        <v>0</v>
      </c>
      <c r="AE2340" s="139">
        <f>IFERROR(__xludf.DUMMYFUNCTION("""COMPUTED_VALUE"""),0.0)</f>
        <v>0</v>
      </c>
      <c r="AF2340" s="140"/>
      <c r="AG2340" s="136"/>
      <c r="AH2340" s="157">
        <f>IFERROR(__xludf.DUMMYFUNCTION("""COMPUTED_VALUE"""),43434.84470335649)</f>
        <v>43434.8447</v>
      </c>
      <c r="AI2340" s="138"/>
      <c r="AJ2340" s="138"/>
      <c r="AK2340" s="138"/>
      <c r="AL2340" s="142"/>
    </row>
    <row r="2341" ht="20.25" customHeight="1">
      <c r="A2341" s="155" t="str">
        <f>IFERROR(__xludf.DUMMYFUNCTION("""COMPUTED_VALUE"""),"Anteros311")</f>
        <v>Anteros311</v>
      </c>
      <c r="B2341" s="149" t="str">
        <f>IFERROR(__xludf.DUMMYFUNCTION("""COMPUTED_VALUE"""),"San Diego")</f>
        <v>San Diego</v>
      </c>
      <c r="C2341" s="149" t="str">
        <f>IFERROR(__xludf.DUMMYFUNCTION("""COMPUTED_VALUE"""),"CA")</f>
        <v>CA</v>
      </c>
      <c r="D2341" s="149" t="str">
        <f>IFERROR(__xludf.DUMMYFUNCTION("""COMPUTED_VALUE"""),"USA")</f>
        <v>USA</v>
      </c>
      <c r="E2341" s="156">
        <f>IFERROR(__xludf.DUMMYFUNCTION("""COMPUTED_VALUE"""),43385.0)</f>
        <v>43385</v>
      </c>
      <c r="F2341" s="129">
        <f>IFERROR(__xludf.DUMMYFUNCTION("""COMPUTED_VALUE"""),43444.0)</f>
        <v>43444</v>
      </c>
      <c r="G2341" s="154"/>
      <c r="H2341" s="131">
        <f>IFERROR(__xludf.DUMMYFUNCTION("""COMPUTED_VALUE"""),81000.0)</f>
        <v>81000</v>
      </c>
      <c r="I2341" s="144"/>
      <c r="J2341" s="129">
        <f>IFERROR(__xludf.DUMMYFUNCTION("""COMPUTED_VALUE"""),43447.0)</f>
        <v>43447</v>
      </c>
      <c r="K2341" s="133">
        <f>IFERROR(__xludf.DUMMYFUNCTION("""COMPUTED_VALUE"""),59.0)</f>
        <v>59</v>
      </c>
      <c r="L2341" s="133">
        <f>IFERROR(__xludf.DUMMYFUNCTION("""COMPUTED_VALUE"""),3.0)</f>
        <v>3</v>
      </c>
      <c r="M2341" s="133">
        <f>IFERROR(__xludf.DUMMYFUNCTION("""COMPUTED_VALUE"""),62.0)</f>
        <v>62</v>
      </c>
      <c r="N2341" s="152" t="str">
        <f>IFERROR(__xludf.DUMMYFUNCTION("""COMPUTED_VALUE"""),"Model 3 Performance")</f>
        <v>Model 3 Performance</v>
      </c>
      <c r="O2341" s="152" t="str">
        <f>IFERROR(__xludf.DUMMYFUNCTION("""COMPUTED_VALUE"""),"Deep Blue Metallic")</f>
        <v>Deep Blue Metallic</v>
      </c>
      <c r="P2341" s="153" t="str">
        <f>IFERROR(__xludf.DUMMYFUNCTION("""COMPUTED_VALUE"""),"20 inch Sport")</f>
        <v>20 inch Sport</v>
      </c>
      <c r="Q2341" s="152" t="str">
        <f>IFERROR(__xludf.DUMMYFUNCTION("""COMPUTED_VALUE"""),"White seats")</f>
        <v>White seats</v>
      </c>
      <c r="R2341" s="149" t="str">
        <f>IFERROR(__xludf.DUMMYFUNCTION("""COMPUTED_VALUE"""),"Enhanced Autopilot")</f>
        <v>Enhanced Autopilot</v>
      </c>
      <c r="S2341" s="149"/>
      <c r="T2341" s="145"/>
      <c r="U2341" s="145"/>
      <c r="V2341" s="145"/>
      <c r="W2341" s="136"/>
      <c r="X2341" s="137" t="str">
        <f>IFERROR(__xludf.DUMMYFUNCTION("""COMPUTED_VALUE"""),"Excellent")</f>
        <v>Excellent</v>
      </c>
      <c r="Y2341" s="138" t="str">
        <f>IFERROR(__xludf.DUMMYFUNCTION("""COMPUTED_VALUE"""),"Excellent")</f>
        <v>Excellent</v>
      </c>
      <c r="Z2341" s="138" t="str">
        <f>IFERROR(__xludf.DUMMYFUNCTION("""COMPUTED_VALUE"""),"Good")</f>
        <v>Good</v>
      </c>
      <c r="AA2341" s="138" t="str">
        <f>IFERROR(__xludf.DUMMYFUNCTION("""COMPUTED_VALUE"""),"Poor")</f>
        <v>Poor</v>
      </c>
      <c r="AB2341" s="138" t="str">
        <f>IFERROR(__xludf.DUMMYFUNCTION("""COMPUTED_VALUE"""),"Excellent")</f>
        <v>Excellent</v>
      </c>
      <c r="AC2341" s="139">
        <f>IFERROR(__xludf.DUMMYFUNCTION("""COMPUTED_VALUE"""),2.0)</f>
        <v>2</v>
      </c>
      <c r="AD2341" s="139">
        <f>IFERROR(__xludf.DUMMYFUNCTION("""COMPUTED_VALUE"""),0.0)</f>
        <v>0</v>
      </c>
      <c r="AE2341" s="139">
        <f>IFERROR(__xludf.DUMMYFUNCTION("""COMPUTED_VALUE"""),0.0)</f>
        <v>0</v>
      </c>
      <c r="AF2341" s="140"/>
      <c r="AG2341" s="136"/>
      <c r="AH2341" s="157">
        <f>IFERROR(__xludf.DUMMYFUNCTION("""COMPUTED_VALUE"""),43488.4551453588)</f>
        <v>43488.45515</v>
      </c>
      <c r="AI2341" s="138"/>
      <c r="AJ2341" s="138"/>
      <c r="AK2341" s="138"/>
      <c r="AL2341" s="142"/>
    </row>
    <row r="2342" ht="20.25" customHeight="1">
      <c r="A2342" s="155" t="str">
        <f>IFERROR(__xludf.DUMMYFUNCTION("""COMPUTED_VALUE"""),"apearson")</f>
        <v>apearson</v>
      </c>
      <c r="B2342" s="149" t="str">
        <f>IFERROR(__xludf.DUMMYFUNCTION("""COMPUTED_VALUE"""),"Birmingham")</f>
        <v>Birmingham</v>
      </c>
      <c r="C2342" s="149" t="str">
        <f>IFERROR(__xludf.DUMMYFUNCTION("""COMPUTED_VALUE"""),"AL")</f>
        <v>AL</v>
      </c>
      <c r="D2342" s="149" t="str">
        <f>IFERROR(__xludf.DUMMYFUNCTION("""COMPUTED_VALUE"""),"USA")</f>
        <v>USA</v>
      </c>
      <c r="E2342" s="156">
        <f>IFERROR(__xludf.DUMMYFUNCTION("""COMPUTED_VALUE"""),43385.0)</f>
        <v>43385</v>
      </c>
      <c r="F2342" s="129">
        <f>IFERROR(__xludf.DUMMYFUNCTION("""COMPUTED_VALUE"""),43406.0)</f>
        <v>43406</v>
      </c>
      <c r="G2342" s="154"/>
      <c r="H2342" s="131">
        <f>IFERROR(__xludf.DUMMYFUNCTION("""COMPUTED_VALUE"""),101955.0)</f>
        <v>101955</v>
      </c>
      <c r="I2342" s="144" t="str">
        <f>IFERROR(__xludf.DUMMYFUNCTION("""COMPUTED_VALUE"""),"10/18")</f>
        <v>10/18</v>
      </c>
      <c r="J2342" s="129">
        <f>IFERROR(__xludf.DUMMYFUNCTION("""COMPUTED_VALUE"""),43413.0)</f>
        <v>43413</v>
      </c>
      <c r="K2342" s="133">
        <f>IFERROR(__xludf.DUMMYFUNCTION("""COMPUTED_VALUE"""),21.0)</f>
        <v>21</v>
      </c>
      <c r="L2342" s="133">
        <f>IFERROR(__xludf.DUMMYFUNCTION("""COMPUTED_VALUE"""),7.0)</f>
        <v>7</v>
      </c>
      <c r="M2342" s="133">
        <f>IFERROR(__xludf.DUMMYFUNCTION("""COMPUTED_VALUE"""),28.0)</f>
        <v>28</v>
      </c>
      <c r="N2342" s="152" t="str">
        <f>IFERROR(__xludf.DUMMYFUNCTION("""COMPUTED_VALUE"""),"Model 3 LR")</f>
        <v>Model 3 LR</v>
      </c>
      <c r="O2342" s="152" t="str">
        <f>IFERROR(__xludf.DUMMYFUNCTION("""COMPUTED_VALUE"""),"Midnight Silver Metallic")</f>
        <v>Midnight Silver Metallic</v>
      </c>
      <c r="P2342" s="153" t="str">
        <f>IFERROR(__xludf.DUMMYFUNCTION("""COMPUTED_VALUE"""),"18 inch Aero")</f>
        <v>18 inch Aero</v>
      </c>
      <c r="Q2342" s="152" t="str">
        <f>IFERROR(__xludf.DUMMYFUNCTION("""COMPUTED_VALUE"""),"Black seats")</f>
        <v>Black seats</v>
      </c>
      <c r="R2342" s="149" t="str">
        <f>IFERROR(__xludf.DUMMYFUNCTION("""COMPUTED_VALUE"""),"None")</f>
        <v>None</v>
      </c>
      <c r="S2342" s="149"/>
      <c r="T2342" s="145"/>
      <c r="U2342" s="145"/>
      <c r="V2342" s="145"/>
      <c r="W2342" s="136"/>
      <c r="X2342" s="137" t="str">
        <f>IFERROR(__xludf.DUMMYFUNCTION("""COMPUTED_VALUE"""),"Excellent")</f>
        <v>Excellent</v>
      </c>
      <c r="Y2342" s="138" t="str">
        <f>IFERROR(__xludf.DUMMYFUNCTION("""COMPUTED_VALUE"""),"Excellent")</f>
        <v>Excellent</v>
      </c>
      <c r="Z2342" s="138" t="str">
        <f>IFERROR(__xludf.DUMMYFUNCTION("""COMPUTED_VALUE"""),"Very Good")</f>
        <v>Very Good</v>
      </c>
      <c r="AA2342" s="138" t="str">
        <f>IFERROR(__xludf.DUMMYFUNCTION("""COMPUTED_VALUE"""),"Poor")</f>
        <v>Poor</v>
      </c>
      <c r="AB2342" s="138" t="str">
        <f>IFERROR(__xludf.DUMMYFUNCTION("""COMPUTED_VALUE"""),"Excellent")</f>
        <v>Excellent</v>
      </c>
      <c r="AC2342" s="139">
        <f>IFERROR(__xludf.DUMMYFUNCTION("""COMPUTED_VALUE"""),0.0)</f>
        <v>0</v>
      </c>
      <c r="AD2342" s="139">
        <f>IFERROR(__xludf.DUMMYFUNCTION("""COMPUTED_VALUE"""),0.0)</f>
        <v>0</v>
      </c>
      <c r="AE2342" s="139">
        <f>IFERROR(__xludf.DUMMYFUNCTION("""COMPUTED_VALUE"""),0.0)</f>
        <v>0</v>
      </c>
      <c r="AF2342" s="140"/>
      <c r="AG2342" s="136" t="str">
        <f>IFERROR(__xludf.DUMMYFUNCTION("""COMPUTED_VALUE"""),"Great built quality, no real defects")</f>
        <v>Great built quality, no real defects</v>
      </c>
      <c r="AH2342" s="157">
        <f>IFERROR(__xludf.DUMMYFUNCTION("""COMPUTED_VALUE"""),43465.40057725695)</f>
        <v>43465.40058</v>
      </c>
      <c r="AI2342" s="138"/>
      <c r="AJ2342" s="138"/>
      <c r="AK2342" s="138"/>
      <c r="AL2342" s="142"/>
    </row>
    <row r="2343" ht="20.25" customHeight="1">
      <c r="A2343" s="155" t="str">
        <f>IFERROR(__xludf.DUMMYFUNCTION("""COMPUTED_VALUE"""),"demotivator")</f>
        <v>demotivator</v>
      </c>
      <c r="B2343" s="149" t="str">
        <f>IFERROR(__xludf.DUMMYFUNCTION("""COMPUTED_VALUE"""),"Kansas City")</f>
        <v>Kansas City</v>
      </c>
      <c r="C2343" s="149" t="str">
        <f>IFERROR(__xludf.DUMMYFUNCTION("""COMPUTED_VALUE"""),"KS")</f>
        <v>KS</v>
      </c>
      <c r="D2343" s="149" t="str">
        <f>IFERROR(__xludf.DUMMYFUNCTION("""COMPUTED_VALUE"""),"USA")</f>
        <v>USA</v>
      </c>
      <c r="E2343" s="156">
        <f>IFERROR(__xludf.DUMMYFUNCTION("""COMPUTED_VALUE"""),43385.0)</f>
        <v>43385</v>
      </c>
      <c r="F2343" s="129">
        <f>IFERROR(__xludf.DUMMYFUNCTION("""COMPUTED_VALUE"""),43389.0)</f>
        <v>43389</v>
      </c>
      <c r="G2343" s="154"/>
      <c r="H2343" s="131">
        <f>IFERROR(__xludf.DUMMYFUNCTION("""COMPUTED_VALUE"""),102455.0)</f>
        <v>102455</v>
      </c>
      <c r="I2343" s="144" t="str">
        <f>IFERROR(__xludf.DUMMYFUNCTION("""COMPUTED_VALUE"""),"10/18")</f>
        <v>10/18</v>
      </c>
      <c r="J2343" s="129">
        <f>IFERROR(__xludf.DUMMYFUNCTION("""COMPUTED_VALUE"""),43396.0)</f>
        <v>43396</v>
      </c>
      <c r="K2343" s="133">
        <f>IFERROR(__xludf.DUMMYFUNCTION("""COMPUTED_VALUE"""),4.0)</f>
        <v>4</v>
      </c>
      <c r="L2343" s="133">
        <f>IFERROR(__xludf.DUMMYFUNCTION("""COMPUTED_VALUE"""),7.0)</f>
        <v>7</v>
      </c>
      <c r="M2343" s="133">
        <f>IFERROR(__xludf.DUMMYFUNCTION("""COMPUTED_VALUE"""),11.0)</f>
        <v>11</v>
      </c>
      <c r="N2343" s="152" t="str">
        <f>IFERROR(__xludf.DUMMYFUNCTION("""COMPUTED_VALUE"""),"Model 3 LR")</f>
        <v>Model 3 LR</v>
      </c>
      <c r="O2343" s="152" t="str">
        <f>IFERROR(__xludf.DUMMYFUNCTION("""COMPUTED_VALUE"""),"Deep Blue Metallic")</f>
        <v>Deep Blue Metallic</v>
      </c>
      <c r="P2343" s="153" t="str">
        <f>IFERROR(__xludf.DUMMYFUNCTION("""COMPUTED_VALUE"""),"18 inch Aero")</f>
        <v>18 inch Aero</v>
      </c>
      <c r="Q2343" s="152" t="str">
        <f>IFERROR(__xludf.DUMMYFUNCTION("""COMPUTED_VALUE"""),"Black seats")</f>
        <v>Black seats</v>
      </c>
      <c r="R2343" s="149" t="str">
        <f>IFERROR(__xludf.DUMMYFUNCTION("""COMPUTED_VALUE"""),"Enhanced Autopilot")</f>
        <v>Enhanced Autopilot</v>
      </c>
      <c r="S2343" s="149"/>
      <c r="T2343" s="145"/>
      <c r="U2343" s="145"/>
      <c r="V2343" s="145"/>
      <c r="W2343" s="136"/>
      <c r="X2343" s="137" t="str">
        <f>IFERROR(__xludf.DUMMYFUNCTION("""COMPUTED_VALUE"""),"Very Good")</f>
        <v>Very Good</v>
      </c>
      <c r="Y2343" s="138" t="str">
        <f>IFERROR(__xludf.DUMMYFUNCTION("""COMPUTED_VALUE"""),"Excellent")</f>
        <v>Excellent</v>
      </c>
      <c r="Z2343" s="138" t="str">
        <f>IFERROR(__xludf.DUMMYFUNCTION("""COMPUTED_VALUE"""),"Very Good")</f>
        <v>Very Good</v>
      </c>
      <c r="AA2343" s="138" t="str">
        <f>IFERROR(__xludf.DUMMYFUNCTION("""COMPUTED_VALUE"""),"Fair")</f>
        <v>Fair</v>
      </c>
      <c r="AB2343" s="138" t="str">
        <f>IFERROR(__xludf.DUMMYFUNCTION("""COMPUTED_VALUE"""),"Excellent")</f>
        <v>Excellent</v>
      </c>
      <c r="AC2343" s="139"/>
      <c r="AD2343" s="139"/>
      <c r="AE2343" s="139"/>
      <c r="AF2343" s="140"/>
      <c r="AG2343" s="136"/>
      <c r="AH2343" s="157">
        <f>IFERROR(__xludf.DUMMYFUNCTION("""COMPUTED_VALUE"""),43396.2837368287)</f>
        <v>43396.28374</v>
      </c>
      <c r="AI2343" s="138"/>
      <c r="AJ2343" s="138"/>
      <c r="AK2343" s="138"/>
      <c r="AL2343" s="142"/>
    </row>
    <row r="2344" ht="20.25" customHeight="1">
      <c r="A2344" s="155" t="str">
        <f>IFERROR(__xludf.DUMMYFUNCTION("""COMPUTED_VALUE"""),"PapaSlabes2")</f>
        <v>PapaSlabes2</v>
      </c>
      <c r="B2344" s="149" t="str">
        <f>IFERROR(__xludf.DUMMYFUNCTION("""COMPUTED_VALUE"""),"Milford")</f>
        <v>Milford</v>
      </c>
      <c r="C2344" s="149" t="str">
        <f>IFERROR(__xludf.DUMMYFUNCTION("""COMPUTED_VALUE"""),"MA")</f>
        <v>MA</v>
      </c>
      <c r="D2344" s="149" t="str">
        <f>IFERROR(__xludf.DUMMYFUNCTION("""COMPUTED_VALUE"""),"USA")</f>
        <v>USA</v>
      </c>
      <c r="E2344" s="156">
        <f>IFERROR(__xludf.DUMMYFUNCTION("""COMPUTED_VALUE"""),43385.0)</f>
        <v>43385</v>
      </c>
      <c r="F2344" s="129">
        <f>IFERROR(__xludf.DUMMYFUNCTION("""COMPUTED_VALUE"""),43419.0)</f>
        <v>43419</v>
      </c>
      <c r="G2344" s="154"/>
      <c r="H2344" s="131">
        <f>IFERROR(__xludf.DUMMYFUNCTION("""COMPUTED_VALUE"""),75355.0)</f>
        <v>75355</v>
      </c>
      <c r="I2344" s="144"/>
      <c r="J2344" s="129">
        <f>IFERROR(__xludf.DUMMYFUNCTION("""COMPUTED_VALUE"""),43447.0)</f>
        <v>43447</v>
      </c>
      <c r="K2344" s="133">
        <f>IFERROR(__xludf.DUMMYFUNCTION("""COMPUTED_VALUE"""),34.0)</f>
        <v>34</v>
      </c>
      <c r="L2344" s="133">
        <f>IFERROR(__xludf.DUMMYFUNCTION("""COMPUTED_VALUE"""),28.0)</f>
        <v>28</v>
      </c>
      <c r="M2344" s="133">
        <f>IFERROR(__xludf.DUMMYFUNCTION("""COMPUTED_VALUE"""),62.0)</f>
        <v>62</v>
      </c>
      <c r="N2344" s="152" t="str">
        <f>IFERROR(__xludf.DUMMYFUNCTION("""COMPUTED_VALUE"""),"Model 3 Performance")</f>
        <v>Model 3 Performance</v>
      </c>
      <c r="O2344" s="152" t="str">
        <f>IFERROR(__xludf.DUMMYFUNCTION("""COMPUTED_VALUE"""),"Red Multi-Coat")</f>
        <v>Red Multi-Coat</v>
      </c>
      <c r="P2344" s="153" t="str">
        <f>IFERROR(__xludf.DUMMYFUNCTION("""COMPUTED_VALUE"""),"20 inch Sport")</f>
        <v>20 inch Sport</v>
      </c>
      <c r="Q2344" s="152" t="str">
        <f>IFERROR(__xludf.DUMMYFUNCTION("""COMPUTED_VALUE"""),"White seats")</f>
        <v>White seats</v>
      </c>
      <c r="R2344" s="149" t="str">
        <f>IFERROR(__xludf.DUMMYFUNCTION("""COMPUTED_VALUE"""),"Enhanced Autopilot")</f>
        <v>Enhanced Autopilot</v>
      </c>
      <c r="S2344" s="149"/>
      <c r="T2344" s="145"/>
      <c r="U2344" s="145"/>
      <c r="V2344" s="145"/>
      <c r="W2344" s="136"/>
      <c r="X2344" s="137" t="str">
        <f>IFERROR(__xludf.DUMMYFUNCTION("""COMPUTED_VALUE"""),"Excellent")</f>
        <v>Excellent</v>
      </c>
      <c r="Y2344" s="138" t="str">
        <f>IFERROR(__xludf.DUMMYFUNCTION("""COMPUTED_VALUE"""),"Excellent")</f>
        <v>Excellent</v>
      </c>
      <c r="Z2344" s="138" t="str">
        <f>IFERROR(__xludf.DUMMYFUNCTION("""COMPUTED_VALUE"""),"Excellent")</f>
        <v>Excellent</v>
      </c>
      <c r="AA2344" s="138" t="str">
        <f>IFERROR(__xludf.DUMMYFUNCTION("""COMPUTED_VALUE"""),"Poor")</f>
        <v>Poor</v>
      </c>
      <c r="AB2344" s="138" t="str">
        <f>IFERROR(__xludf.DUMMYFUNCTION("""COMPUTED_VALUE"""),"Excellent")</f>
        <v>Excellent</v>
      </c>
      <c r="AC2344" s="139"/>
      <c r="AD2344" s="139"/>
      <c r="AE2344" s="139"/>
      <c r="AF2344" s="140"/>
      <c r="AG2344" s="136"/>
      <c r="AH2344" s="157">
        <f>IFERROR(__xludf.DUMMYFUNCTION("""COMPUTED_VALUE"""),43452.341836631946)</f>
        <v>43452.34184</v>
      </c>
      <c r="AI2344" s="138"/>
      <c r="AJ2344" s="138"/>
      <c r="AK2344" s="138"/>
      <c r="AL2344" s="142"/>
    </row>
    <row r="2345" ht="20.25" customHeight="1">
      <c r="A2345" s="155" t="str">
        <f>IFERROR(__xludf.DUMMYFUNCTION("""COMPUTED_VALUE"""),"syrhee211")</f>
        <v>syrhee211</v>
      </c>
      <c r="B2345" s="149" t="str">
        <f>IFERROR(__xludf.DUMMYFUNCTION("""COMPUTED_VALUE"""),"Seattle")</f>
        <v>Seattle</v>
      </c>
      <c r="C2345" s="149" t="str">
        <f>IFERROR(__xludf.DUMMYFUNCTION("""COMPUTED_VALUE"""),"WA")</f>
        <v>WA</v>
      </c>
      <c r="D2345" s="149" t="str">
        <f>IFERROR(__xludf.DUMMYFUNCTION("""COMPUTED_VALUE"""),"USA")</f>
        <v>USA</v>
      </c>
      <c r="E2345" s="156">
        <f>IFERROR(__xludf.DUMMYFUNCTION("""COMPUTED_VALUE"""),43385.0)</f>
        <v>43385</v>
      </c>
      <c r="F2345" s="129">
        <f>IFERROR(__xludf.DUMMYFUNCTION("""COMPUTED_VALUE"""),43396.0)</f>
        <v>43396</v>
      </c>
      <c r="G2345" s="154"/>
      <c r="H2345" s="131">
        <f>IFERROR(__xludf.DUMMYFUNCTION("""COMPUTED_VALUE"""),85555.0)</f>
        <v>85555</v>
      </c>
      <c r="I2345" s="144"/>
      <c r="J2345" s="129">
        <f>IFERROR(__xludf.DUMMYFUNCTION("""COMPUTED_VALUE"""),43404.0)</f>
        <v>43404</v>
      </c>
      <c r="K2345" s="133">
        <f>IFERROR(__xludf.DUMMYFUNCTION("""COMPUTED_VALUE"""),11.0)</f>
        <v>11</v>
      </c>
      <c r="L2345" s="133">
        <f>IFERROR(__xludf.DUMMYFUNCTION("""COMPUTED_VALUE"""),8.0)</f>
        <v>8</v>
      </c>
      <c r="M2345" s="133">
        <f>IFERROR(__xludf.DUMMYFUNCTION("""COMPUTED_VALUE"""),19.0)</f>
        <v>19</v>
      </c>
      <c r="N2345" s="152" t="str">
        <f>IFERROR(__xludf.DUMMYFUNCTION("""COMPUTED_VALUE"""),"Model 3 LR AWD")</f>
        <v>Model 3 LR AWD</v>
      </c>
      <c r="O2345" s="152" t="str">
        <f>IFERROR(__xludf.DUMMYFUNCTION("""COMPUTED_VALUE"""),"Solid Black")</f>
        <v>Solid Black</v>
      </c>
      <c r="P2345" s="153" t="str">
        <f>IFERROR(__xludf.DUMMYFUNCTION("""COMPUTED_VALUE"""),"18 inch Aero")</f>
        <v>18 inch Aero</v>
      </c>
      <c r="Q2345" s="152" t="str">
        <f>IFERROR(__xludf.DUMMYFUNCTION("""COMPUTED_VALUE"""),"White seats")</f>
        <v>White seats</v>
      </c>
      <c r="R2345" s="149" t="str">
        <f>IFERROR(__xludf.DUMMYFUNCTION("""COMPUTED_VALUE"""),"None")</f>
        <v>None</v>
      </c>
      <c r="S2345" s="149"/>
      <c r="T2345" s="145"/>
      <c r="U2345" s="145"/>
      <c r="V2345" s="145"/>
      <c r="W2345" s="136"/>
      <c r="X2345" s="137" t="str">
        <f>IFERROR(__xludf.DUMMYFUNCTION("""COMPUTED_VALUE"""),"Good")</f>
        <v>Good</v>
      </c>
      <c r="Y2345" s="138" t="str">
        <f>IFERROR(__xludf.DUMMYFUNCTION("""COMPUTED_VALUE"""),"Excellent")</f>
        <v>Excellent</v>
      </c>
      <c r="Z2345" s="138" t="str">
        <f>IFERROR(__xludf.DUMMYFUNCTION("""COMPUTED_VALUE"""),"Good")</f>
        <v>Good</v>
      </c>
      <c r="AA2345" s="138" t="str">
        <f>IFERROR(__xludf.DUMMYFUNCTION("""COMPUTED_VALUE"""),"Good")</f>
        <v>Good</v>
      </c>
      <c r="AB2345" s="138" t="str">
        <f>IFERROR(__xludf.DUMMYFUNCTION("""COMPUTED_VALUE"""),"Excellent")</f>
        <v>Excellent</v>
      </c>
      <c r="AC2345" s="139">
        <f>IFERROR(__xludf.DUMMYFUNCTION("""COMPUTED_VALUE"""),1.0)</f>
        <v>1</v>
      </c>
      <c r="AD2345" s="139">
        <f>IFERROR(__xludf.DUMMYFUNCTION("""COMPUTED_VALUE"""),1.0)</f>
        <v>1</v>
      </c>
      <c r="AE2345" s="139"/>
      <c r="AF2345" s="140"/>
      <c r="AG2345" s="136"/>
      <c r="AH2345" s="157">
        <f>IFERROR(__xludf.DUMMYFUNCTION("""COMPUTED_VALUE"""),43405.58504961806)</f>
        <v>43405.58505</v>
      </c>
      <c r="AI2345" s="138"/>
      <c r="AJ2345" s="138"/>
      <c r="AK2345" s="138"/>
      <c r="AL2345" s="142"/>
    </row>
    <row r="2346" ht="20.25" customHeight="1">
      <c r="A2346" s="155" t="str">
        <f>IFERROR(__xludf.DUMMYFUNCTION("""COMPUTED_VALUE"""),"terptesla361")</f>
        <v>terptesla361</v>
      </c>
      <c r="B2346" s="149" t="str">
        <f>IFERROR(__xludf.DUMMYFUNCTION("""COMPUTED_VALUE"""),"DC Metro")</f>
        <v>DC Metro</v>
      </c>
      <c r="C2346" s="149" t="str">
        <f>IFERROR(__xludf.DUMMYFUNCTION("""COMPUTED_VALUE"""),"MD")</f>
        <v>MD</v>
      </c>
      <c r="D2346" s="149" t="str">
        <f>IFERROR(__xludf.DUMMYFUNCTION("""COMPUTED_VALUE"""),"USA")</f>
        <v>USA</v>
      </c>
      <c r="E2346" s="156">
        <f>IFERROR(__xludf.DUMMYFUNCTION("""COMPUTED_VALUE"""),43385.0)</f>
        <v>43385</v>
      </c>
      <c r="F2346" s="129">
        <f>IFERROR(__xludf.DUMMYFUNCTION("""COMPUTED_VALUE"""),43404.0)</f>
        <v>43404</v>
      </c>
      <c r="G2346" s="154"/>
      <c r="H2346" s="131">
        <f>IFERROR(__xludf.DUMMYFUNCTION("""COMPUTED_VALUE"""),102555.0)</f>
        <v>102555</v>
      </c>
      <c r="I2346" s="144" t="str">
        <f>IFERROR(__xludf.DUMMYFUNCTION("""COMPUTED_VALUE"""),"10/18")</f>
        <v>10/18</v>
      </c>
      <c r="J2346" s="129">
        <f>IFERROR(__xludf.DUMMYFUNCTION("""COMPUTED_VALUE"""),43425.0)</f>
        <v>43425</v>
      </c>
      <c r="K2346" s="133">
        <f>IFERROR(__xludf.DUMMYFUNCTION("""COMPUTED_VALUE"""),19.0)</f>
        <v>19</v>
      </c>
      <c r="L2346" s="133">
        <f>IFERROR(__xludf.DUMMYFUNCTION("""COMPUTED_VALUE"""),21.0)</f>
        <v>21</v>
      </c>
      <c r="M2346" s="133">
        <f>IFERROR(__xludf.DUMMYFUNCTION("""COMPUTED_VALUE"""),40.0)</f>
        <v>40</v>
      </c>
      <c r="N2346" s="152" t="str">
        <f>IFERROR(__xludf.DUMMYFUNCTION("""COMPUTED_VALUE"""),"Model 3 LR")</f>
        <v>Model 3 LR</v>
      </c>
      <c r="O2346" s="152" t="str">
        <f>IFERROR(__xludf.DUMMYFUNCTION("""COMPUTED_VALUE"""),"Deep Blue Metallic")</f>
        <v>Deep Blue Metallic</v>
      </c>
      <c r="P2346" s="153" t="str">
        <f>IFERROR(__xludf.DUMMYFUNCTION("""COMPUTED_VALUE"""),"18 inch Aero")</f>
        <v>18 inch Aero</v>
      </c>
      <c r="Q2346" s="152" t="str">
        <f>IFERROR(__xludf.DUMMYFUNCTION("""COMPUTED_VALUE"""),"Black seats")</f>
        <v>Black seats</v>
      </c>
      <c r="R2346" s="149" t="str">
        <f>IFERROR(__xludf.DUMMYFUNCTION("""COMPUTED_VALUE"""),"Enhanced Autopilot")</f>
        <v>Enhanced Autopilot</v>
      </c>
      <c r="S2346" s="149"/>
      <c r="T2346" s="145"/>
      <c r="U2346" s="145"/>
      <c r="V2346" s="145"/>
      <c r="W2346" s="136"/>
      <c r="X2346" s="137" t="str">
        <f>IFERROR(__xludf.DUMMYFUNCTION("""COMPUTED_VALUE"""),"Excellent")</f>
        <v>Excellent</v>
      </c>
      <c r="Y2346" s="138" t="str">
        <f>IFERROR(__xludf.DUMMYFUNCTION("""COMPUTED_VALUE"""),"Excellent")</f>
        <v>Excellent</v>
      </c>
      <c r="Z2346" s="138" t="str">
        <f>IFERROR(__xludf.DUMMYFUNCTION("""COMPUTED_VALUE"""),"Excellent")</f>
        <v>Excellent</v>
      </c>
      <c r="AA2346" s="138" t="str">
        <f>IFERROR(__xludf.DUMMYFUNCTION("""COMPUTED_VALUE"""),"Good")</f>
        <v>Good</v>
      </c>
      <c r="AB2346" s="138" t="str">
        <f>IFERROR(__xludf.DUMMYFUNCTION("""COMPUTED_VALUE"""),"Fair")</f>
        <v>Fair</v>
      </c>
      <c r="AC2346" s="139">
        <f>IFERROR(__xludf.DUMMYFUNCTION("""COMPUTED_VALUE"""),0.0)</f>
        <v>0</v>
      </c>
      <c r="AD2346" s="139">
        <f>IFERROR(__xludf.DUMMYFUNCTION("""COMPUTED_VALUE"""),0.0)</f>
        <v>0</v>
      </c>
      <c r="AE2346" s="139">
        <f>IFERROR(__xludf.DUMMYFUNCTION("""COMPUTED_VALUE"""),0.0)</f>
        <v>0</v>
      </c>
      <c r="AF2346" s="140"/>
      <c r="AG2346" s="136"/>
      <c r="AH2346" s="157">
        <f>IFERROR(__xludf.DUMMYFUNCTION("""COMPUTED_VALUE"""),43438.374473171294)</f>
        <v>43438.37447</v>
      </c>
      <c r="AI2346" s="138"/>
      <c r="AJ2346" s="138"/>
      <c r="AK2346" s="138"/>
      <c r="AL2346" s="142"/>
    </row>
    <row r="2347" ht="20.25" customHeight="1">
      <c r="A2347" s="155" t="str">
        <f>IFERROR(__xludf.DUMMYFUNCTION("""COMPUTED_VALUE"""),"theEmpiricist")</f>
        <v>theEmpiricist</v>
      </c>
      <c r="B2347" s="149" t="str">
        <f>IFERROR(__xludf.DUMMYFUNCTION("""COMPUTED_VALUE"""),"Olathe, KS")</f>
        <v>Olathe, KS</v>
      </c>
      <c r="C2347" s="149" t="str">
        <f>IFERROR(__xludf.DUMMYFUNCTION("""COMPUTED_VALUE"""),"KS")</f>
        <v>KS</v>
      </c>
      <c r="D2347" s="149" t="str">
        <f>IFERROR(__xludf.DUMMYFUNCTION("""COMPUTED_VALUE"""),"USA")</f>
        <v>USA</v>
      </c>
      <c r="E2347" s="156">
        <f>IFERROR(__xludf.DUMMYFUNCTION("""COMPUTED_VALUE"""),43385.0)</f>
        <v>43385</v>
      </c>
      <c r="F2347" s="129">
        <f>IFERROR(__xludf.DUMMYFUNCTION("""COMPUTED_VALUE"""),43392.0)</f>
        <v>43392</v>
      </c>
      <c r="G2347" s="154"/>
      <c r="H2347" s="131">
        <f>IFERROR(__xludf.DUMMYFUNCTION("""COMPUTED_VALUE"""),114755.0)</f>
        <v>114755</v>
      </c>
      <c r="I2347" s="144"/>
      <c r="J2347" s="129">
        <f>IFERROR(__xludf.DUMMYFUNCTION("""COMPUTED_VALUE"""),43403.0)</f>
        <v>43403</v>
      </c>
      <c r="K2347" s="133">
        <f>IFERROR(__xludf.DUMMYFUNCTION("""COMPUTED_VALUE"""),7.0)</f>
        <v>7</v>
      </c>
      <c r="L2347" s="133">
        <f>IFERROR(__xludf.DUMMYFUNCTION("""COMPUTED_VALUE"""),11.0)</f>
        <v>11</v>
      </c>
      <c r="M2347" s="133">
        <f>IFERROR(__xludf.DUMMYFUNCTION("""COMPUTED_VALUE"""),18.0)</f>
        <v>18</v>
      </c>
      <c r="N2347" s="152" t="str">
        <f>IFERROR(__xludf.DUMMYFUNCTION("""COMPUTED_VALUE"""),"Model 3 LR AWD")</f>
        <v>Model 3 LR AWD</v>
      </c>
      <c r="O2347" s="152" t="str">
        <f>IFERROR(__xludf.DUMMYFUNCTION("""COMPUTED_VALUE"""),"Red Multi-Coat")</f>
        <v>Red Multi-Coat</v>
      </c>
      <c r="P2347" s="153" t="str">
        <f>IFERROR(__xludf.DUMMYFUNCTION("""COMPUTED_VALUE"""),"18 inch Aero")</f>
        <v>18 inch Aero</v>
      </c>
      <c r="Q2347" s="152" t="str">
        <f>IFERROR(__xludf.DUMMYFUNCTION("""COMPUTED_VALUE"""),"Black seats")</f>
        <v>Black seats</v>
      </c>
      <c r="R2347" s="149" t="str">
        <f>IFERROR(__xludf.DUMMYFUNCTION("""COMPUTED_VALUE"""),"Enhanced Autopilot")</f>
        <v>Enhanced Autopilot</v>
      </c>
      <c r="S2347" s="149"/>
      <c r="T2347" s="145"/>
      <c r="U2347" s="145"/>
      <c r="V2347" s="145"/>
      <c r="W2347" s="136"/>
      <c r="X2347" s="137" t="str">
        <f>IFERROR(__xludf.DUMMYFUNCTION("""COMPUTED_VALUE"""),"Excellent")</f>
        <v>Excellent</v>
      </c>
      <c r="Y2347" s="138" t="str">
        <f>IFERROR(__xludf.DUMMYFUNCTION("""COMPUTED_VALUE"""),"Excellent")</f>
        <v>Excellent</v>
      </c>
      <c r="Z2347" s="138" t="str">
        <f>IFERROR(__xludf.DUMMYFUNCTION("""COMPUTED_VALUE"""),"Excellent")</f>
        <v>Excellent</v>
      </c>
      <c r="AA2347" s="138" t="str">
        <f>IFERROR(__xludf.DUMMYFUNCTION("""COMPUTED_VALUE"""),"Very Good")</f>
        <v>Very Good</v>
      </c>
      <c r="AB2347" s="138" t="str">
        <f>IFERROR(__xludf.DUMMYFUNCTION("""COMPUTED_VALUE"""),"Excellent")</f>
        <v>Excellent</v>
      </c>
      <c r="AC2347" s="139">
        <f>IFERROR(__xludf.DUMMYFUNCTION("""COMPUTED_VALUE"""),1.0)</f>
        <v>1</v>
      </c>
      <c r="AD2347" s="139">
        <f>IFERROR(__xludf.DUMMYFUNCTION("""COMPUTED_VALUE"""),1.0)</f>
        <v>1</v>
      </c>
      <c r="AE2347" s="139">
        <f>IFERROR(__xludf.DUMMYFUNCTION("""COMPUTED_VALUE"""),0.0)</f>
        <v>0</v>
      </c>
      <c r="AF2347" s="140"/>
      <c r="AG2347" s="136" t="str">
        <f>IFERROR(__xludf.DUMMYFUNCTION("""COMPUTED_VALUE"""),"Front USB Ports weren't active, corrected in 10 minutes with a service center visit")</f>
        <v>Front USB Ports weren't active, corrected in 10 minutes with a service center visit</v>
      </c>
      <c r="AH2347" s="157">
        <f>IFERROR(__xludf.DUMMYFUNCTION("""COMPUTED_VALUE"""),43418.63347194444)</f>
        <v>43418.63347</v>
      </c>
      <c r="AI2347" s="138"/>
      <c r="AJ2347" s="138"/>
      <c r="AK2347" s="138"/>
      <c r="AL2347" s="142"/>
    </row>
    <row r="2348" ht="20.25" customHeight="1">
      <c r="A2348" s="155" t="str">
        <f>IFERROR(__xludf.DUMMYFUNCTION("""COMPUTED_VALUE"""),"Tripodbruno")</f>
        <v>Tripodbruno</v>
      </c>
      <c r="B2348" s="149" t="str">
        <f>IFERROR(__xludf.DUMMYFUNCTION("""COMPUTED_VALUE"""),"Centennial")</f>
        <v>Centennial</v>
      </c>
      <c r="C2348" s="149" t="str">
        <f>IFERROR(__xludf.DUMMYFUNCTION("""COMPUTED_VALUE"""),"CO")</f>
        <v>CO</v>
      </c>
      <c r="D2348" s="149" t="str">
        <f>IFERROR(__xludf.DUMMYFUNCTION("""COMPUTED_VALUE"""),"USA")</f>
        <v>USA</v>
      </c>
      <c r="E2348" s="156">
        <f>IFERROR(__xludf.DUMMYFUNCTION("""COMPUTED_VALUE"""),43385.0)</f>
        <v>43385</v>
      </c>
      <c r="F2348" s="129">
        <f>IFERROR(__xludf.DUMMYFUNCTION("""COMPUTED_VALUE"""),43387.0)</f>
        <v>43387</v>
      </c>
      <c r="G2348" s="154"/>
      <c r="H2348" s="131">
        <f>IFERROR(__xludf.DUMMYFUNCTION("""COMPUTED_VALUE"""),85195.0)</f>
        <v>85195</v>
      </c>
      <c r="I2348" s="144" t="str">
        <f>IFERROR(__xludf.DUMMYFUNCTION("""COMPUTED_VALUE"""),"09/18")</f>
        <v>09/18</v>
      </c>
      <c r="J2348" s="129">
        <f>IFERROR(__xludf.DUMMYFUNCTION("""COMPUTED_VALUE"""),43391.0)</f>
        <v>43391</v>
      </c>
      <c r="K2348" s="133">
        <f>IFERROR(__xludf.DUMMYFUNCTION("""COMPUTED_VALUE"""),2.0)</f>
        <v>2</v>
      </c>
      <c r="L2348" s="133">
        <f>IFERROR(__xludf.DUMMYFUNCTION("""COMPUTED_VALUE"""),4.0)</f>
        <v>4</v>
      </c>
      <c r="M2348" s="133">
        <f>IFERROR(__xludf.DUMMYFUNCTION("""COMPUTED_VALUE"""),6.0)</f>
        <v>6</v>
      </c>
      <c r="N2348" s="152" t="str">
        <f>IFERROR(__xludf.DUMMYFUNCTION("""COMPUTED_VALUE"""),"Model 3 LR AWD")</f>
        <v>Model 3 LR AWD</v>
      </c>
      <c r="O2348" s="152" t="str">
        <f>IFERROR(__xludf.DUMMYFUNCTION("""COMPUTED_VALUE"""),"Deep Blue Metallic")</f>
        <v>Deep Blue Metallic</v>
      </c>
      <c r="P2348" s="153" t="str">
        <f>IFERROR(__xludf.DUMMYFUNCTION("""COMPUTED_VALUE"""),"18 inch Aero")</f>
        <v>18 inch Aero</v>
      </c>
      <c r="Q2348" s="152" t="str">
        <f>IFERROR(__xludf.DUMMYFUNCTION("""COMPUTED_VALUE"""),"Black seats")</f>
        <v>Black seats</v>
      </c>
      <c r="R2348" s="149" t="str">
        <f>IFERROR(__xludf.DUMMYFUNCTION("""COMPUTED_VALUE"""),"None")</f>
        <v>None</v>
      </c>
      <c r="S2348" s="149"/>
      <c r="T2348" s="145"/>
      <c r="U2348" s="145"/>
      <c r="V2348" s="145"/>
      <c r="W2348" s="136"/>
      <c r="X2348" s="137" t="str">
        <f>IFERROR(__xludf.DUMMYFUNCTION("""COMPUTED_VALUE"""),"Very Good")</f>
        <v>Very Good</v>
      </c>
      <c r="Y2348" s="138" t="str">
        <f>IFERROR(__xludf.DUMMYFUNCTION("""COMPUTED_VALUE"""),"Excellent")</f>
        <v>Excellent</v>
      </c>
      <c r="Z2348" s="138" t="str">
        <f>IFERROR(__xludf.DUMMYFUNCTION("""COMPUTED_VALUE"""),"Excellent")</f>
        <v>Excellent</v>
      </c>
      <c r="AA2348" s="138" t="str">
        <f>IFERROR(__xludf.DUMMYFUNCTION("""COMPUTED_VALUE"""),"Excellent")</f>
        <v>Excellent</v>
      </c>
      <c r="AB2348" s="138" t="str">
        <f>IFERROR(__xludf.DUMMYFUNCTION("""COMPUTED_VALUE"""),"Excellent")</f>
        <v>Excellent</v>
      </c>
      <c r="AC2348" s="139">
        <f>IFERROR(__xludf.DUMMYFUNCTION("""COMPUTED_VALUE"""),0.0)</f>
        <v>0</v>
      </c>
      <c r="AD2348" s="139">
        <f>IFERROR(__xludf.DUMMYFUNCTION("""COMPUTED_VALUE"""),0.0)</f>
        <v>0</v>
      </c>
      <c r="AE2348" s="139">
        <f>IFERROR(__xludf.DUMMYFUNCTION("""COMPUTED_VALUE"""),0.0)</f>
        <v>0</v>
      </c>
      <c r="AF2348" s="140"/>
      <c r="AG2348" s="136" t="str">
        <f>IFERROR(__xludf.DUMMYFUNCTION("""COMPUTED_VALUE"""),"N/A")</f>
        <v>N/A</v>
      </c>
      <c r="AH2348" s="157">
        <f>IFERROR(__xludf.DUMMYFUNCTION("""COMPUTED_VALUE"""),43401.79227439815)</f>
        <v>43401.79227</v>
      </c>
      <c r="AI2348" s="138"/>
      <c r="AJ2348" s="138"/>
      <c r="AK2348" s="138"/>
      <c r="AL2348" s="142"/>
    </row>
    <row r="2349" ht="20.25" customHeight="1">
      <c r="A2349" s="155" t="str">
        <f>IFERROR(__xludf.DUMMYFUNCTION("""COMPUTED_VALUE"""),"tvkatx")</f>
        <v>tvkatx</v>
      </c>
      <c r="B2349" s="149" t="str">
        <f>IFERROR(__xludf.DUMMYFUNCTION("""COMPUTED_VALUE"""),"Austin")</f>
        <v>Austin</v>
      </c>
      <c r="C2349" s="149" t="str">
        <f>IFERROR(__xludf.DUMMYFUNCTION("""COMPUTED_VALUE"""),"TX")</f>
        <v>TX</v>
      </c>
      <c r="D2349" s="149" t="str">
        <f>IFERROR(__xludf.DUMMYFUNCTION("""COMPUTED_VALUE"""),"USA")</f>
        <v>USA</v>
      </c>
      <c r="E2349" s="156">
        <f>IFERROR(__xludf.DUMMYFUNCTION("""COMPUTED_VALUE"""),43385.0)</f>
        <v>43385</v>
      </c>
      <c r="F2349" s="129">
        <f>IFERROR(__xludf.DUMMYFUNCTION("""COMPUTED_VALUE"""),43403.0)</f>
        <v>43403</v>
      </c>
      <c r="G2349" s="154"/>
      <c r="H2349" s="131">
        <f>IFERROR(__xludf.DUMMYFUNCTION("""COMPUTED_VALUE"""),58495.0)</f>
        <v>58495</v>
      </c>
      <c r="I2349" s="144" t="str">
        <f>IFERROR(__xludf.DUMMYFUNCTION("""COMPUTED_VALUE"""),"10/18")</f>
        <v>10/18</v>
      </c>
      <c r="J2349" s="129">
        <f>IFERROR(__xludf.DUMMYFUNCTION("""COMPUTED_VALUE"""),43414.0)</f>
        <v>43414</v>
      </c>
      <c r="K2349" s="133">
        <f>IFERROR(__xludf.DUMMYFUNCTION("""COMPUTED_VALUE"""),18.0)</f>
        <v>18</v>
      </c>
      <c r="L2349" s="133">
        <f>IFERROR(__xludf.DUMMYFUNCTION("""COMPUTED_VALUE"""),11.0)</f>
        <v>11</v>
      </c>
      <c r="M2349" s="133">
        <f>IFERROR(__xludf.DUMMYFUNCTION("""COMPUTED_VALUE"""),29.0)</f>
        <v>29</v>
      </c>
      <c r="N2349" s="152" t="str">
        <f>IFERROR(__xludf.DUMMYFUNCTION("""COMPUTED_VALUE"""),"Model 3 LR")</f>
        <v>Model 3 LR</v>
      </c>
      <c r="O2349" s="152" t="str">
        <f>IFERROR(__xludf.DUMMYFUNCTION("""COMPUTED_VALUE"""),"Red Multi-Coat")</f>
        <v>Red Multi-Coat</v>
      </c>
      <c r="P2349" s="153" t="str">
        <f>IFERROR(__xludf.DUMMYFUNCTION("""COMPUTED_VALUE"""),"18 inch Aero")</f>
        <v>18 inch Aero</v>
      </c>
      <c r="Q2349" s="152" t="str">
        <f>IFERROR(__xludf.DUMMYFUNCTION("""COMPUTED_VALUE"""),"Black seats")</f>
        <v>Black seats</v>
      </c>
      <c r="R2349" s="149" t="str">
        <f>IFERROR(__xludf.DUMMYFUNCTION("""COMPUTED_VALUE"""),"None")</f>
        <v>None</v>
      </c>
      <c r="S2349" s="149"/>
      <c r="T2349" s="145"/>
      <c r="U2349" s="145"/>
      <c r="V2349" s="145"/>
      <c r="W2349" s="136"/>
      <c r="X2349" s="137" t="str">
        <f>IFERROR(__xludf.DUMMYFUNCTION("""COMPUTED_VALUE"""),"Very Good")</f>
        <v>Very Good</v>
      </c>
      <c r="Y2349" s="138" t="str">
        <f>IFERROR(__xludf.DUMMYFUNCTION("""COMPUTED_VALUE"""),"Very Good")</f>
        <v>Very Good</v>
      </c>
      <c r="Z2349" s="138" t="str">
        <f>IFERROR(__xludf.DUMMYFUNCTION("""COMPUTED_VALUE"""),"Very Good")</f>
        <v>Very Good</v>
      </c>
      <c r="AA2349" s="138" t="str">
        <f>IFERROR(__xludf.DUMMYFUNCTION("""COMPUTED_VALUE"""),"Excellent")</f>
        <v>Excellent</v>
      </c>
      <c r="AB2349" s="138" t="str">
        <f>IFERROR(__xludf.DUMMYFUNCTION("""COMPUTED_VALUE"""),"Excellent")</f>
        <v>Excellent</v>
      </c>
      <c r="AC2349" s="139">
        <f>IFERROR(__xludf.DUMMYFUNCTION("""COMPUTED_VALUE"""),0.0)</f>
        <v>0</v>
      </c>
      <c r="AD2349" s="139">
        <f>IFERROR(__xludf.DUMMYFUNCTION("""COMPUTED_VALUE"""),0.0)</f>
        <v>0</v>
      </c>
      <c r="AE2349" s="139">
        <f>IFERROR(__xludf.DUMMYFUNCTION("""COMPUTED_VALUE"""),0.0)</f>
        <v>0</v>
      </c>
      <c r="AF2349" s="140"/>
      <c r="AG2349" s="136"/>
      <c r="AH2349" s="157">
        <f>IFERROR(__xludf.DUMMYFUNCTION("""COMPUTED_VALUE"""),43424.50080231482)</f>
        <v>43424.5008</v>
      </c>
      <c r="AI2349" s="138"/>
      <c r="AJ2349" s="138"/>
      <c r="AK2349" s="138"/>
      <c r="AL2349" s="142"/>
    </row>
    <row r="2350" ht="20.25" customHeight="1">
      <c r="A2350" s="155" t="str">
        <f>IFERROR(__xludf.DUMMYFUNCTION("""COMPUTED_VALUE"""),"taylanator")</f>
        <v>taylanator</v>
      </c>
      <c r="B2350" s="149" t="str">
        <f>IFERROR(__xludf.DUMMYFUNCTION("""COMPUTED_VALUE"""),"Lake Saint Louis")</f>
        <v>Lake Saint Louis</v>
      </c>
      <c r="C2350" s="149" t="str">
        <f>IFERROR(__xludf.DUMMYFUNCTION("""COMPUTED_VALUE"""),"MO")</f>
        <v>MO</v>
      </c>
      <c r="D2350" s="149" t="str">
        <f>IFERROR(__xludf.DUMMYFUNCTION("""COMPUTED_VALUE"""),"USA")</f>
        <v>USA</v>
      </c>
      <c r="E2350" s="156">
        <f>IFERROR(__xludf.DUMMYFUNCTION("""COMPUTED_VALUE"""),43384.0)</f>
        <v>43384</v>
      </c>
      <c r="F2350" s="129">
        <f>IFERROR(__xludf.DUMMYFUNCTION("""COMPUTED_VALUE"""),43407.0)</f>
        <v>43407</v>
      </c>
      <c r="G2350" s="154"/>
      <c r="H2350" s="131">
        <f>IFERROR(__xludf.DUMMYFUNCTION("""COMPUTED_VALUE"""),122831.0)</f>
        <v>122831</v>
      </c>
      <c r="I2350" s="144" t="str">
        <f>IFERROR(__xludf.DUMMYFUNCTION("""COMPUTED_VALUE"""),"10/18")</f>
        <v>10/18</v>
      </c>
      <c r="J2350" s="129">
        <f>IFERROR(__xludf.DUMMYFUNCTION("""COMPUTED_VALUE"""),43414.0)</f>
        <v>43414</v>
      </c>
      <c r="K2350" s="133">
        <f>IFERROR(__xludf.DUMMYFUNCTION("""COMPUTED_VALUE"""),23.0)</f>
        <v>23</v>
      </c>
      <c r="L2350" s="133">
        <f>IFERROR(__xludf.DUMMYFUNCTION("""COMPUTED_VALUE"""),7.0)</f>
        <v>7</v>
      </c>
      <c r="M2350" s="133">
        <f>IFERROR(__xludf.DUMMYFUNCTION("""COMPUTED_VALUE"""),30.0)</f>
        <v>30</v>
      </c>
      <c r="N2350" s="152" t="str">
        <f>IFERROR(__xludf.DUMMYFUNCTION("""COMPUTED_VALUE"""),"Model 3 LR")</f>
        <v>Model 3 LR</v>
      </c>
      <c r="O2350" s="152" t="str">
        <f>IFERROR(__xludf.DUMMYFUNCTION("""COMPUTED_VALUE"""),"Solid Black")</f>
        <v>Solid Black</v>
      </c>
      <c r="P2350" s="153" t="str">
        <f>IFERROR(__xludf.DUMMYFUNCTION("""COMPUTED_VALUE"""),"18 inch Aero")</f>
        <v>18 inch Aero</v>
      </c>
      <c r="Q2350" s="152" t="str">
        <f>IFERROR(__xludf.DUMMYFUNCTION("""COMPUTED_VALUE"""),"Black seats")</f>
        <v>Black seats</v>
      </c>
      <c r="R2350" s="149" t="str">
        <f>IFERROR(__xludf.DUMMYFUNCTION("""COMPUTED_VALUE"""),"Enhanced Autopilot")</f>
        <v>Enhanced Autopilot</v>
      </c>
      <c r="S2350" s="149"/>
      <c r="T2350" s="145"/>
      <c r="U2350" s="145"/>
      <c r="V2350" s="145"/>
      <c r="W2350" s="136"/>
      <c r="X2350" s="137" t="str">
        <f>IFERROR(__xludf.DUMMYFUNCTION("""COMPUTED_VALUE"""),"Excellent")</f>
        <v>Excellent</v>
      </c>
      <c r="Y2350" s="138" t="str">
        <f>IFERROR(__xludf.DUMMYFUNCTION("""COMPUTED_VALUE"""),"Very Good")</f>
        <v>Very Good</v>
      </c>
      <c r="Z2350" s="138" t="str">
        <f>IFERROR(__xludf.DUMMYFUNCTION("""COMPUTED_VALUE"""),"Good")</f>
        <v>Good</v>
      </c>
      <c r="AA2350" s="138" t="str">
        <f>IFERROR(__xludf.DUMMYFUNCTION("""COMPUTED_VALUE"""),"Poor")</f>
        <v>Poor</v>
      </c>
      <c r="AB2350" s="138" t="str">
        <f>IFERROR(__xludf.DUMMYFUNCTION("""COMPUTED_VALUE"""),"Fair")</f>
        <v>Fair</v>
      </c>
      <c r="AC2350" s="139"/>
      <c r="AD2350" s="139"/>
      <c r="AE2350" s="139"/>
      <c r="AF2350" s="140"/>
      <c r="AG2350" s="136"/>
      <c r="AH2350" s="157">
        <f>IFERROR(__xludf.DUMMYFUNCTION("""COMPUTED_VALUE"""),43417.52582427084)</f>
        <v>43417.52582</v>
      </c>
      <c r="AI2350" s="138"/>
      <c r="AJ2350" s="138"/>
      <c r="AK2350" s="138"/>
      <c r="AL2350" s="142"/>
    </row>
    <row r="2351" ht="20.25" customHeight="1">
      <c r="A2351" s="155" t="str">
        <f>IFERROR(__xludf.DUMMYFUNCTION("""COMPUTED_VALUE"""),"iaflyer")</f>
        <v>iaflyer</v>
      </c>
      <c r="B2351" s="149" t="str">
        <f>IFERROR(__xludf.DUMMYFUNCTION("""COMPUTED_VALUE"""),"Ann Arbor, MI")</f>
        <v>Ann Arbor, MI</v>
      </c>
      <c r="C2351" s="149" t="str">
        <f>IFERROR(__xludf.DUMMYFUNCTION("""COMPUTED_VALUE"""),"MI")</f>
        <v>MI</v>
      </c>
      <c r="D2351" s="149" t="str">
        <f>IFERROR(__xludf.DUMMYFUNCTION("""COMPUTED_VALUE"""),"USA")</f>
        <v>USA</v>
      </c>
      <c r="E2351" s="156">
        <f>IFERROR(__xludf.DUMMYFUNCTION("""COMPUTED_VALUE"""),43383.0)</f>
        <v>43383</v>
      </c>
      <c r="F2351" s="129">
        <f>IFERROR(__xludf.DUMMYFUNCTION("""COMPUTED_VALUE"""),43393.0)</f>
        <v>43393</v>
      </c>
      <c r="G2351" s="154"/>
      <c r="H2351" s="131">
        <f>IFERROR(__xludf.DUMMYFUNCTION("""COMPUTED_VALUE"""),58455.0)</f>
        <v>58455</v>
      </c>
      <c r="I2351" s="144" t="str">
        <f>IFERROR(__xludf.DUMMYFUNCTION("""COMPUTED_VALUE"""),"10/18")</f>
        <v>10/18</v>
      </c>
      <c r="J2351" s="129">
        <f>IFERROR(__xludf.DUMMYFUNCTION("""COMPUTED_VALUE"""),43403.0)</f>
        <v>43403</v>
      </c>
      <c r="K2351" s="133">
        <f>IFERROR(__xludf.DUMMYFUNCTION("""COMPUTED_VALUE"""),10.0)</f>
        <v>10</v>
      </c>
      <c r="L2351" s="133">
        <f>IFERROR(__xludf.DUMMYFUNCTION("""COMPUTED_VALUE"""),10.0)</f>
        <v>10</v>
      </c>
      <c r="M2351" s="133">
        <f>IFERROR(__xludf.DUMMYFUNCTION("""COMPUTED_VALUE"""),20.0)</f>
        <v>20</v>
      </c>
      <c r="N2351" s="152" t="str">
        <f>IFERROR(__xludf.DUMMYFUNCTION("""COMPUTED_VALUE"""),"Model 3 LR")</f>
        <v>Model 3 LR</v>
      </c>
      <c r="O2351" s="152" t="str">
        <f>IFERROR(__xludf.DUMMYFUNCTION("""COMPUTED_VALUE"""),"Red Multi-Coat")</f>
        <v>Red Multi-Coat</v>
      </c>
      <c r="P2351" s="153" t="str">
        <f>IFERROR(__xludf.DUMMYFUNCTION("""COMPUTED_VALUE"""),"18 inch Aero")</f>
        <v>18 inch Aero</v>
      </c>
      <c r="Q2351" s="152" t="str">
        <f>IFERROR(__xludf.DUMMYFUNCTION("""COMPUTED_VALUE"""),"Black seats")</f>
        <v>Black seats</v>
      </c>
      <c r="R2351" s="149" t="str">
        <f>IFERROR(__xludf.DUMMYFUNCTION("""COMPUTED_VALUE"""),"Enhanced Autopilot")</f>
        <v>Enhanced Autopilot</v>
      </c>
      <c r="S2351" s="149"/>
      <c r="T2351" s="145"/>
      <c r="U2351" s="145"/>
      <c r="V2351" s="145"/>
      <c r="W2351" s="136"/>
      <c r="X2351" s="137" t="str">
        <f>IFERROR(__xludf.DUMMYFUNCTION("""COMPUTED_VALUE"""),"Excellent")</f>
        <v>Excellent</v>
      </c>
      <c r="Y2351" s="138" t="str">
        <f>IFERROR(__xludf.DUMMYFUNCTION("""COMPUTED_VALUE"""),"Excellent")</f>
        <v>Excellent</v>
      </c>
      <c r="Z2351" s="138" t="str">
        <f>IFERROR(__xludf.DUMMYFUNCTION("""COMPUTED_VALUE"""),"Excellent")</f>
        <v>Excellent</v>
      </c>
      <c r="AA2351" s="138" t="str">
        <f>IFERROR(__xludf.DUMMYFUNCTION("""COMPUTED_VALUE"""),"Good")</f>
        <v>Good</v>
      </c>
      <c r="AB2351" s="138" t="str">
        <f>IFERROR(__xludf.DUMMYFUNCTION("""COMPUTED_VALUE"""),"Very Good")</f>
        <v>Very Good</v>
      </c>
      <c r="AC2351" s="139">
        <f>IFERROR(__xludf.DUMMYFUNCTION("""COMPUTED_VALUE"""),0.0)</f>
        <v>0</v>
      </c>
      <c r="AD2351" s="139">
        <f>IFERROR(__xludf.DUMMYFUNCTION("""COMPUTED_VALUE"""),0.0)</f>
        <v>0</v>
      </c>
      <c r="AE2351" s="139"/>
      <c r="AF2351" s="140"/>
      <c r="AG2351" s="136"/>
      <c r="AH2351" s="157">
        <f>IFERROR(__xludf.DUMMYFUNCTION("""COMPUTED_VALUE"""),43415.365932106484)</f>
        <v>43415.36593</v>
      </c>
      <c r="AI2351" s="138"/>
      <c r="AJ2351" s="138"/>
      <c r="AK2351" s="138"/>
      <c r="AL2351" s="142"/>
    </row>
    <row r="2352" ht="20.25" customHeight="1">
      <c r="A2352" s="155" t="str">
        <f>IFERROR(__xludf.DUMMYFUNCTION("""COMPUTED_VALUE"""),"Brady2Gronk")</f>
        <v>Brady2Gronk</v>
      </c>
      <c r="B2352" s="149" t="str">
        <f>IFERROR(__xludf.DUMMYFUNCTION("""COMPUTED_VALUE"""),"Pittsburgh")</f>
        <v>Pittsburgh</v>
      </c>
      <c r="C2352" s="149" t="str">
        <f>IFERROR(__xludf.DUMMYFUNCTION("""COMPUTED_VALUE"""),"PA")</f>
        <v>PA</v>
      </c>
      <c r="D2352" s="149" t="str">
        <f>IFERROR(__xludf.DUMMYFUNCTION("""COMPUTED_VALUE"""),"USA")</f>
        <v>USA</v>
      </c>
      <c r="E2352" s="156">
        <f>IFERROR(__xludf.DUMMYFUNCTION("""COMPUTED_VALUE"""),43381.0)</f>
        <v>43381</v>
      </c>
      <c r="F2352" s="129">
        <f>IFERROR(__xludf.DUMMYFUNCTION("""COMPUTED_VALUE"""),43425.0)</f>
        <v>43425</v>
      </c>
      <c r="G2352" s="154"/>
      <c r="H2352" s="131">
        <f>IFERROR(__xludf.DUMMYFUNCTION("""COMPUTED_VALUE"""),112055.0)</f>
        <v>112055</v>
      </c>
      <c r="I2352" s="144" t="str">
        <f>IFERROR(__xludf.DUMMYFUNCTION("""COMPUTED_VALUE"""),"11/18")</f>
        <v>11/18</v>
      </c>
      <c r="J2352" s="129">
        <f>IFERROR(__xludf.DUMMYFUNCTION("""COMPUTED_VALUE"""),43434.0)</f>
        <v>43434</v>
      </c>
      <c r="K2352" s="133">
        <f>IFERROR(__xludf.DUMMYFUNCTION("""COMPUTED_VALUE"""),44.0)</f>
        <v>44</v>
      </c>
      <c r="L2352" s="133">
        <f>IFERROR(__xludf.DUMMYFUNCTION("""COMPUTED_VALUE"""),9.0)</f>
        <v>9</v>
      </c>
      <c r="M2352" s="133">
        <f>IFERROR(__xludf.DUMMYFUNCTION("""COMPUTED_VALUE"""),53.0)</f>
        <v>53</v>
      </c>
      <c r="N2352" s="152" t="str">
        <f>IFERROR(__xludf.DUMMYFUNCTION("""COMPUTED_VALUE"""),"Model 3 LR AWD")</f>
        <v>Model 3 LR AWD</v>
      </c>
      <c r="O2352" s="152" t="str">
        <f>IFERROR(__xludf.DUMMYFUNCTION("""COMPUTED_VALUE"""),"Red Multi-Coat")</f>
        <v>Red Multi-Coat</v>
      </c>
      <c r="P2352" s="153" t="str">
        <f>IFERROR(__xludf.DUMMYFUNCTION("""COMPUTED_VALUE"""),"19 inch Sport")</f>
        <v>19 inch Sport</v>
      </c>
      <c r="Q2352" s="152" t="str">
        <f>IFERROR(__xludf.DUMMYFUNCTION("""COMPUTED_VALUE"""),"White seats")</f>
        <v>White seats</v>
      </c>
      <c r="R2352" s="149" t="str">
        <f>IFERROR(__xludf.DUMMYFUNCTION("""COMPUTED_VALUE"""),"None")</f>
        <v>None</v>
      </c>
      <c r="S2352" s="149"/>
      <c r="T2352" s="145"/>
      <c r="U2352" s="145"/>
      <c r="V2352" s="145"/>
      <c r="W2352" s="136"/>
      <c r="X2352" s="137" t="str">
        <f>IFERROR(__xludf.DUMMYFUNCTION("""COMPUTED_VALUE"""),"Excellent")</f>
        <v>Excellent</v>
      </c>
      <c r="Y2352" s="138" t="str">
        <f>IFERROR(__xludf.DUMMYFUNCTION("""COMPUTED_VALUE"""),"Excellent")</f>
        <v>Excellent</v>
      </c>
      <c r="Z2352" s="138" t="str">
        <f>IFERROR(__xludf.DUMMYFUNCTION("""COMPUTED_VALUE"""),"Very Good")</f>
        <v>Very Good</v>
      </c>
      <c r="AA2352" s="138" t="str">
        <f>IFERROR(__xludf.DUMMYFUNCTION("""COMPUTED_VALUE"""),"Fair")</f>
        <v>Fair</v>
      </c>
      <c r="AB2352" s="138" t="str">
        <f>IFERROR(__xludf.DUMMYFUNCTION("""COMPUTED_VALUE"""),"Fair")</f>
        <v>Fair</v>
      </c>
      <c r="AC2352" s="139"/>
      <c r="AD2352" s="139"/>
      <c r="AE2352" s="139"/>
      <c r="AF2352" s="140"/>
      <c r="AG2352" s="136"/>
      <c r="AH2352" s="157">
        <f>IFERROR(__xludf.DUMMYFUNCTION("""COMPUTED_VALUE"""),43436.84173543981)</f>
        <v>43436.84174</v>
      </c>
      <c r="AI2352" s="138"/>
      <c r="AJ2352" s="138"/>
      <c r="AK2352" s="138"/>
      <c r="AL2352" s="142"/>
    </row>
    <row r="2353" ht="20.25" customHeight="1">
      <c r="A2353" s="155" t="str">
        <f>IFERROR(__xludf.DUMMYFUNCTION("""COMPUTED_VALUE"""),"stlTesla")</f>
        <v>stlTesla</v>
      </c>
      <c r="B2353" s="149" t="str">
        <f>IFERROR(__xludf.DUMMYFUNCTION("""COMPUTED_VALUE"""),"St. Louis")</f>
        <v>St. Louis</v>
      </c>
      <c r="C2353" s="149" t="str">
        <f>IFERROR(__xludf.DUMMYFUNCTION("""COMPUTED_VALUE"""),"MO")</f>
        <v>MO</v>
      </c>
      <c r="D2353" s="149" t="str">
        <f>IFERROR(__xludf.DUMMYFUNCTION("""COMPUTED_VALUE"""),"USA")</f>
        <v>USA</v>
      </c>
      <c r="E2353" s="156">
        <f>IFERROR(__xludf.DUMMYFUNCTION("""COMPUTED_VALUE"""),43381.0)</f>
        <v>43381</v>
      </c>
      <c r="F2353" s="129">
        <f>IFERROR(__xludf.DUMMYFUNCTION("""COMPUTED_VALUE"""),43406.0)</f>
        <v>43406</v>
      </c>
      <c r="G2353" s="154"/>
      <c r="H2353" s="131">
        <f>IFERROR(__xludf.DUMMYFUNCTION("""COMPUTED_VALUE"""),122555.0)</f>
        <v>122555</v>
      </c>
      <c r="I2353" s="144" t="str">
        <f>IFERROR(__xludf.DUMMYFUNCTION("""COMPUTED_VALUE"""),"10/18")</f>
        <v>10/18</v>
      </c>
      <c r="J2353" s="129">
        <f>IFERROR(__xludf.DUMMYFUNCTION("""COMPUTED_VALUE"""),43412.0)</f>
        <v>43412</v>
      </c>
      <c r="K2353" s="133">
        <f>IFERROR(__xludf.DUMMYFUNCTION("""COMPUTED_VALUE"""),25.0)</f>
        <v>25</v>
      </c>
      <c r="L2353" s="133">
        <f>IFERROR(__xludf.DUMMYFUNCTION("""COMPUTED_VALUE"""),6.0)</f>
        <v>6</v>
      </c>
      <c r="M2353" s="133">
        <f>IFERROR(__xludf.DUMMYFUNCTION("""COMPUTED_VALUE"""),31.0)</f>
        <v>31</v>
      </c>
      <c r="N2353" s="152" t="str">
        <f>IFERROR(__xludf.DUMMYFUNCTION("""COMPUTED_VALUE"""),"Model 3 LR")</f>
        <v>Model 3 LR</v>
      </c>
      <c r="O2353" s="152" t="str">
        <f>IFERROR(__xludf.DUMMYFUNCTION("""COMPUTED_VALUE"""),"Solid Black")</f>
        <v>Solid Black</v>
      </c>
      <c r="P2353" s="153" t="str">
        <f>IFERROR(__xludf.DUMMYFUNCTION("""COMPUTED_VALUE"""),"18 inch Aero")</f>
        <v>18 inch Aero</v>
      </c>
      <c r="Q2353" s="152" t="str">
        <f>IFERROR(__xludf.DUMMYFUNCTION("""COMPUTED_VALUE"""),"Black seats")</f>
        <v>Black seats</v>
      </c>
      <c r="R2353" s="149" t="str">
        <f>IFERROR(__xludf.DUMMYFUNCTION("""COMPUTED_VALUE"""),"Enhanced Autopilot")</f>
        <v>Enhanced Autopilot</v>
      </c>
      <c r="S2353" s="149"/>
      <c r="T2353" s="145"/>
      <c r="U2353" s="145"/>
      <c r="V2353" s="145"/>
      <c r="W2353" s="136"/>
      <c r="X2353" s="137" t="str">
        <f>IFERROR(__xludf.DUMMYFUNCTION("""COMPUTED_VALUE"""),"Very Good")</f>
        <v>Very Good</v>
      </c>
      <c r="Y2353" s="138" t="str">
        <f>IFERROR(__xludf.DUMMYFUNCTION("""COMPUTED_VALUE"""),"Excellent")</f>
        <v>Excellent</v>
      </c>
      <c r="Z2353" s="138" t="str">
        <f>IFERROR(__xludf.DUMMYFUNCTION("""COMPUTED_VALUE"""),"Excellent")</f>
        <v>Excellent</v>
      </c>
      <c r="AA2353" s="138" t="str">
        <f>IFERROR(__xludf.DUMMYFUNCTION("""COMPUTED_VALUE"""),"Excellent")</f>
        <v>Excellent</v>
      </c>
      <c r="AB2353" s="138" t="str">
        <f>IFERROR(__xludf.DUMMYFUNCTION("""COMPUTED_VALUE"""),"Good")</f>
        <v>Good</v>
      </c>
      <c r="AC2353" s="139"/>
      <c r="AD2353" s="139"/>
      <c r="AE2353" s="139"/>
      <c r="AF2353" s="140"/>
      <c r="AG2353" s="136"/>
      <c r="AH2353" s="157">
        <f>IFERROR(__xludf.DUMMYFUNCTION("""COMPUTED_VALUE"""),43412.795210000004)</f>
        <v>43412.79521</v>
      </c>
      <c r="AI2353" s="138"/>
      <c r="AJ2353" s="138"/>
      <c r="AK2353" s="138"/>
      <c r="AL2353" s="142"/>
    </row>
    <row r="2354" ht="20.25" customHeight="1">
      <c r="A2354" s="155" t="str">
        <f>IFERROR(__xludf.DUMMYFUNCTION("""COMPUTED_VALUE"""),"CatBurger00")</f>
        <v>CatBurger00</v>
      </c>
      <c r="B2354" s="149"/>
      <c r="C2354" s="149" t="str">
        <f>IFERROR(__xludf.DUMMYFUNCTION("""COMPUTED_VALUE"""),"SC")</f>
        <v>SC</v>
      </c>
      <c r="D2354" s="149" t="str">
        <f>IFERROR(__xludf.DUMMYFUNCTION("""COMPUTED_VALUE"""),"USA")</f>
        <v>USA</v>
      </c>
      <c r="E2354" s="156">
        <f>IFERROR(__xludf.DUMMYFUNCTION("""COMPUTED_VALUE"""),43380.0)</f>
        <v>43380</v>
      </c>
      <c r="F2354" s="129">
        <f>IFERROR(__xludf.DUMMYFUNCTION("""COMPUTED_VALUE"""),43404.0)</f>
        <v>43404</v>
      </c>
      <c r="G2354" s="154"/>
      <c r="H2354" s="131">
        <f>IFERROR(__xludf.DUMMYFUNCTION("""COMPUTED_VALUE"""),66355.0)</f>
        <v>66355</v>
      </c>
      <c r="I2354" s="144" t="str">
        <f>IFERROR(__xludf.DUMMYFUNCTION("""COMPUTED_VALUE"""),"08/18")</f>
        <v>08/18</v>
      </c>
      <c r="J2354" s="129">
        <f>IFERROR(__xludf.DUMMYFUNCTION("""COMPUTED_VALUE"""),43413.0)</f>
        <v>43413</v>
      </c>
      <c r="K2354" s="133">
        <f>IFERROR(__xludf.DUMMYFUNCTION("""COMPUTED_VALUE"""),24.0)</f>
        <v>24</v>
      </c>
      <c r="L2354" s="133">
        <f>IFERROR(__xludf.DUMMYFUNCTION("""COMPUTED_VALUE"""),9.0)</f>
        <v>9</v>
      </c>
      <c r="M2354" s="133">
        <f>IFERROR(__xludf.DUMMYFUNCTION("""COMPUTED_VALUE"""),33.0)</f>
        <v>33</v>
      </c>
      <c r="N2354" s="152" t="str">
        <f>IFERROR(__xludf.DUMMYFUNCTION("""COMPUTED_VALUE"""),"Model 3 LR AWD")</f>
        <v>Model 3 LR AWD</v>
      </c>
      <c r="O2354" s="152" t="str">
        <f>IFERROR(__xludf.DUMMYFUNCTION("""COMPUTED_VALUE"""),"Midnight Silver Metallic")</f>
        <v>Midnight Silver Metallic</v>
      </c>
      <c r="P2354" s="153" t="str">
        <f>IFERROR(__xludf.DUMMYFUNCTION("""COMPUTED_VALUE"""),"18 inch Aero")</f>
        <v>18 inch Aero</v>
      </c>
      <c r="Q2354" s="152" t="str">
        <f>IFERROR(__xludf.DUMMYFUNCTION("""COMPUTED_VALUE"""),"Black seats")</f>
        <v>Black seats</v>
      </c>
      <c r="R2354" s="149" t="str">
        <f>IFERROR(__xludf.DUMMYFUNCTION("""COMPUTED_VALUE"""),"Full Self-Driving")</f>
        <v>Full Self-Driving</v>
      </c>
      <c r="S2354" s="149"/>
      <c r="T2354" s="145"/>
      <c r="U2354" s="145"/>
      <c r="V2354" s="145"/>
      <c r="W2354" s="136"/>
      <c r="X2354" s="137" t="str">
        <f>IFERROR(__xludf.DUMMYFUNCTION("""COMPUTED_VALUE"""),"Very Good")</f>
        <v>Very Good</v>
      </c>
      <c r="Y2354" s="138" t="str">
        <f>IFERROR(__xludf.DUMMYFUNCTION("""COMPUTED_VALUE"""),"Very Good")</f>
        <v>Very Good</v>
      </c>
      <c r="Z2354" s="138" t="str">
        <f>IFERROR(__xludf.DUMMYFUNCTION("""COMPUTED_VALUE"""),"Very Good")</f>
        <v>Very Good</v>
      </c>
      <c r="AA2354" s="138" t="str">
        <f>IFERROR(__xludf.DUMMYFUNCTION("""COMPUTED_VALUE"""),"Good")</f>
        <v>Good</v>
      </c>
      <c r="AB2354" s="138" t="str">
        <f>IFERROR(__xludf.DUMMYFUNCTION("""COMPUTED_VALUE"""),"Good")</f>
        <v>Good</v>
      </c>
      <c r="AC2354" s="139"/>
      <c r="AD2354" s="139"/>
      <c r="AE2354" s="139"/>
      <c r="AF2354" s="140"/>
      <c r="AG2354" s="136"/>
      <c r="AH2354" s="157">
        <f>IFERROR(__xludf.DUMMYFUNCTION("""COMPUTED_VALUE"""),43414.238790277785)</f>
        <v>43414.23879</v>
      </c>
      <c r="AI2354" s="138"/>
      <c r="AJ2354" s="138"/>
      <c r="AK2354" s="138"/>
      <c r="AL2354" s="142"/>
    </row>
    <row r="2355" ht="20.25" customHeight="1">
      <c r="A2355" s="155" t="str">
        <f>IFERROR(__xludf.DUMMYFUNCTION("""COMPUTED_VALUE"""),"mrrross")</f>
        <v>mrrross</v>
      </c>
      <c r="B2355" s="149" t="str">
        <f>IFERROR(__xludf.DUMMYFUNCTION("""COMPUTED_VALUE"""),"LA")</f>
        <v>LA</v>
      </c>
      <c r="C2355" s="149" t="str">
        <f>IFERROR(__xludf.DUMMYFUNCTION("""COMPUTED_VALUE"""),"CA")</f>
        <v>CA</v>
      </c>
      <c r="D2355" s="149" t="str">
        <f>IFERROR(__xludf.DUMMYFUNCTION("""COMPUTED_VALUE"""),"USA")</f>
        <v>USA</v>
      </c>
      <c r="E2355" s="156">
        <f>IFERROR(__xludf.DUMMYFUNCTION("""COMPUTED_VALUE"""),43379.0)</f>
        <v>43379</v>
      </c>
      <c r="F2355" s="129">
        <f>IFERROR(__xludf.DUMMYFUNCTION("""COMPUTED_VALUE"""),43399.0)</f>
        <v>43399</v>
      </c>
      <c r="G2355" s="154"/>
      <c r="H2355" s="131">
        <f>IFERROR(__xludf.DUMMYFUNCTION("""COMPUTED_VALUE"""),81503.0)</f>
        <v>81503</v>
      </c>
      <c r="I2355" s="144" t="str">
        <f>IFERROR(__xludf.DUMMYFUNCTION("""COMPUTED_VALUE"""),"10/18")</f>
        <v>10/18</v>
      </c>
      <c r="J2355" s="129">
        <f>IFERROR(__xludf.DUMMYFUNCTION("""COMPUTED_VALUE"""),43407.0)</f>
        <v>43407</v>
      </c>
      <c r="K2355" s="133">
        <f>IFERROR(__xludf.DUMMYFUNCTION("""COMPUTED_VALUE"""),20.0)</f>
        <v>20</v>
      </c>
      <c r="L2355" s="133">
        <f>IFERROR(__xludf.DUMMYFUNCTION("""COMPUTED_VALUE"""),8.0)</f>
        <v>8</v>
      </c>
      <c r="M2355" s="133">
        <f>IFERROR(__xludf.DUMMYFUNCTION("""COMPUTED_VALUE"""),28.0)</f>
        <v>28</v>
      </c>
      <c r="N2355" s="152" t="str">
        <f>IFERROR(__xludf.DUMMYFUNCTION("""COMPUTED_VALUE"""),"Model 3 Performance")</f>
        <v>Model 3 Performance</v>
      </c>
      <c r="O2355" s="152" t="str">
        <f>IFERROR(__xludf.DUMMYFUNCTION("""COMPUTED_VALUE"""),"Pearl White Multi-Coat")</f>
        <v>Pearl White Multi-Coat</v>
      </c>
      <c r="P2355" s="153" t="str">
        <f>IFERROR(__xludf.DUMMYFUNCTION("""COMPUTED_VALUE"""),"20 inch Sport")</f>
        <v>20 inch Sport</v>
      </c>
      <c r="Q2355" s="152" t="str">
        <f>IFERROR(__xludf.DUMMYFUNCTION("""COMPUTED_VALUE"""),"White seats")</f>
        <v>White seats</v>
      </c>
      <c r="R2355" s="149" t="str">
        <f>IFERROR(__xludf.DUMMYFUNCTION("""COMPUTED_VALUE"""),"Full Self-Driving")</f>
        <v>Full Self-Driving</v>
      </c>
      <c r="S2355" s="149"/>
      <c r="T2355" s="145"/>
      <c r="U2355" s="145"/>
      <c r="V2355" s="145"/>
      <c r="W2355" s="136"/>
      <c r="X2355" s="137" t="str">
        <f>IFERROR(__xludf.DUMMYFUNCTION("""COMPUTED_VALUE"""),"Excellent")</f>
        <v>Excellent</v>
      </c>
      <c r="Y2355" s="138" t="str">
        <f>IFERROR(__xludf.DUMMYFUNCTION("""COMPUTED_VALUE"""),"Excellent")</f>
        <v>Excellent</v>
      </c>
      <c r="Z2355" s="138" t="str">
        <f>IFERROR(__xludf.DUMMYFUNCTION("""COMPUTED_VALUE"""),"Very Good")</f>
        <v>Very Good</v>
      </c>
      <c r="AA2355" s="138" t="str">
        <f>IFERROR(__xludf.DUMMYFUNCTION("""COMPUTED_VALUE"""),"Fair")</f>
        <v>Fair</v>
      </c>
      <c r="AB2355" s="138" t="str">
        <f>IFERROR(__xludf.DUMMYFUNCTION("""COMPUTED_VALUE"""),"Excellent")</f>
        <v>Excellent</v>
      </c>
      <c r="AC2355" s="139"/>
      <c r="AD2355" s="139"/>
      <c r="AE2355" s="139"/>
      <c r="AF2355" s="140"/>
      <c r="AG2355" s="136"/>
      <c r="AH2355" s="157">
        <f>IFERROR(__xludf.DUMMYFUNCTION("""COMPUTED_VALUE"""),43407.59777569444)</f>
        <v>43407.59778</v>
      </c>
      <c r="AI2355" s="138"/>
      <c r="AJ2355" s="138"/>
      <c r="AK2355" s="138"/>
      <c r="AL2355" s="142"/>
    </row>
    <row r="2356" ht="20.25" customHeight="1">
      <c r="A2356" s="155" t="str">
        <f>IFERROR(__xludf.DUMMYFUNCTION("""COMPUTED_VALUE"""),"ScottAckerson")</f>
        <v>ScottAckerson</v>
      </c>
      <c r="B2356" s="149" t="str">
        <f>IFERROR(__xludf.DUMMYFUNCTION("""COMPUTED_VALUE"""),"Kansas City")</f>
        <v>Kansas City</v>
      </c>
      <c r="C2356" s="149" t="str">
        <f>IFERROR(__xludf.DUMMYFUNCTION("""COMPUTED_VALUE"""),"MO")</f>
        <v>MO</v>
      </c>
      <c r="D2356" s="149" t="str">
        <f>IFERROR(__xludf.DUMMYFUNCTION("""COMPUTED_VALUE"""),"USA")</f>
        <v>USA</v>
      </c>
      <c r="E2356" s="156">
        <f>IFERROR(__xludf.DUMMYFUNCTION("""COMPUTED_VALUE"""),43379.0)</f>
        <v>43379</v>
      </c>
      <c r="F2356" s="129"/>
      <c r="G2356" s="154"/>
      <c r="H2356" s="131">
        <f>IFERROR(__xludf.DUMMYFUNCTION("""COMPUTED_VALUE"""),115555.0)</f>
        <v>115555</v>
      </c>
      <c r="I2356" s="144"/>
      <c r="J2356" s="129">
        <f>IFERROR(__xludf.DUMMYFUNCTION("""COMPUTED_VALUE"""),43405.0)</f>
        <v>43405</v>
      </c>
      <c r="K2356" s="133"/>
      <c r="L2356" s="133"/>
      <c r="M2356" s="133">
        <f>IFERROR(__xludf.DUMMYFUNCTION("""COMPUTED_VALUE"""),26.0)</f>
        <v>26</v>
      </c>
      <c r="N2356" s="152" t="str">
        <f>IFERROR(__xludf.DUMMYFUNCTION("""COMPUTED_VALUE"""),"Model 3 LR AWD")</f>
        <v>Model 3 LR AWD</v>
      </c>
      <c r="O2356" s="152" t="str">
        <f>IFERROR(__xludf.DUMMYFUNCTION("""COMPUTED_VALUE"""),"Pearl White Multi-Coat")</f>
        <v>Pearl White Multi-Coat</v>
      </c>
      <c r="P2356" s="153" t="str">
        <f>IFERROR(__xludf.DUMMYFUNCTION("""COMPUTED_VALUE"""),"18 inch Aero")</f>
        <v>18 inch Aero</v>
      </c>
      <c r="Q2356" s="152" t="str">
        <f>IFERROR(__xludf.DUMMYFUNCTION("""COMPUTED_VALUE"""),"Black seats")</f>
        <v>Black seats</v>
      </c>
      <c r="R2356" s="149" t="str">
        <f>IFERROR(__xludf.DUMMYFUNCTION("""COMPUTED_VALUE"""),"Enhanced Autopilot")</f>
        <v>Enhanced Autopilot</v>
      </c>
      <c r="S2356" s="149"/>
      <c r="T2356" s="145"/>
      <c r="U2356" s="145"/>
      <c r="V2356" s="145"/>
      <c r="W2356" s="136"/>
      <c r="X2356" s="137" t="str">
        <f>IFERROR(__xludf.DUMMYFUNCTION("""COMPUTED_VALUE"""),"Excellent")</f>
        <v>Excellent</v>
      </c>
      <c r="Y2356" s="138" t="str">
        <f>IFERROR(__xludf.DUMMYFUNCTION("""COMPUTED_VALUE"""),"Excellent")</f>
        <v>Excellent</v>
      </c>
      <c r="Z2356" s="138" t="str">
        <f>IFERROR(__xludf.DUMMYFUNCTION("""COMPUTED_VALUE"""),"Excellent")</f>
        <v>Excellent</v>
      </c>
      <c r="AA2356" s="138" t="str">
        <f>IFERROR(__xludf.DUMMYFUNCTION("""COMPUTED_VALUE"""),"Excellent")</f>
        <v>Excellent</v>
      </c>
      <c r="AB2356" s="138" t="str">
        <f>IFERROR(__xludf.DUMMYFUNCTION("""COMPUTED_VALUE"""),"Excellent")</f>
        <v>Excellent</v>
      </c>
      <c r="AC2356" s="139"/>
      <c r="AD2356" s="139"/>
      <c r="AE2356" s="139"/>
      <c r="AF2356" s="140"/>
      <c r="AG2356" s="136"/>
      <c r="AH2356" s="157">
        <f>IFERROR(__xludf.DUMMYFUNCTION("""COMPUTED_VALUE"""),43408.344148958335)</f>
        <v>43408.34415</v>
      </c>
      <c r="AI2356" s="138"/>
      <c r="AJ2356" s="138"/>
      <c r="AK2356" s="138"/>
      <c r="AL2356" s="142"/>
    </row>
    <row r="2357" ht="20.25" customHeight="1">
      <c r="A2357" s="155" t="str">
        <f>IFERROR(__xludf.DUMMYFUNCTION("""COMPUTED_VALUE"""),"Petrlol")</f>
        <v>Petrlol</v>
      </c>
      <c r="B2357" s="149" t="str">
        <f>IFERROR(__xludf.DUMMYFUNCTION("""COMPUTED_VALUE"""),"Columbus")</f>
        <v>Columbus</v>
      </c>
      <c r="C2357" s="149" t="str">
        <f>IFERROR(__xludf.DUMMYFUNCTION("""COMPUTED_VALUE"""),"OH")</f>
        <v>OH</v>
      </c>
      <c r="D2357" s="149" t="str">
        <f>IFERROR(__xludf.DUMMYFUNCTION("""COMPUTED_VALUE"""),"USA")</f>
        <v>USA</v>
      </c>
      <c r="E2357" s="156">
        <f>IFERROR(__xludf.DUMMYFUNCTION("""COMPUTED_VALUE"""),43377.0)</f>
        <v>43377</v>
      </c>
      <c r="F2357" s="129">
        <f>IFERROR(__xludf.DUMMYFUNCTION("""COMPUTED_VALUE"""),43396.0)</f>
        <v>43396</v>
      </c>
      <c r="G2357" s="154"/>
      <c r="H2357" s="131">
        <f>IFERROR(__xludf.DUMMYFUNCTION("""COMPUTED_VALUE"""),56155.0)</f>
        <v>56155</v>
      </c>
      <c r="I2357" s="144" t="str">
        <f>IFERROR(__xludf.DUMMYFUNCTION("""COMPUTED_VALUE"""),"10/18")</f>
        <v>10/18</v>
      </c>
      <c r="J2357" s="129">
        <f>IFERROR(__xludf.DUMMYFUNCTION("""COMPUTED_VALUE"""),43402.0)</f>
        <v>43402</v>
      </c>
      <c r="K2357" s="133">
        <f>IFERROR(__xludf.DUMMYFUNCTION("""COMPUTED_VALUE"""),19.0)</f>
        <v>19</v>
      </c>
      <c r="L2357" s="133">
        <f>IFERROR(__xludf.DUMMYFUNCTION("""COMPUTED_VALUE"""),6.0)</f>
        <v>6</v>
      </c>
      <c r="M2357" s="133">
        <f>IFERROR(__xludf.DUMMYFUNCTION("""COMPUTED_VALUE"""),25.0)</f>
        <v>25</v>
      </c>
      <c r="N2357" s="152" t="str">
        <f>IFERROR(__xludf.DUMMYFUNCTION("""COMPUTED_VALUE"""),"Model 3 LR AWD")</f>
        <v>Model 3 LR AWD</v>
      </c>
      <c r="O2357" s="152" t="str">
        <f>IFERROR(__xludf.DUMMYFUNCTION("""COMPUTED_VALUE"""),"Midnight Silver Metallic")</f>
        <v>Midnight Silver Metallic</v>
      </c>
      <c r="P2357" s="153" t="str">
        <f>IFERROR(__xludf.DUMMYFUNCTION("""COMPUTED_VALUE"""),"18 inch Aero")</f>
        <v>18 inch Aero</v>
      </c>
      <c r="Q2357" s="152" t="str">
        <f>IFERROR(__xludf.DUMMYFUNCTION("""COMPUTED_VALUE"""),"White seats")</f>
        <v>White seats</v>
      </c>
      <c r="R2357" s="149" t="str">
        <f>IFERROR(__xludf.DUMMYFUNCTION("""COMPUTED_VALUE"""),"Enhanced Autopilot")</f>
        <v>Enhanced Autopilot</v>
      </c>
      <c r="S2357" s="149"/>
      <c r="T2357" s="145"/>
      <c r="U2357" s="145"/>
      <c r="V2357" s="145"/>
      <c r="W2357" s="136"/>
      <c r="X2357" s="137" t="str">
        <f>IFERROR(__xludf.DUMMYFUNCTION("""COMPUTED_VALUE"""),"Excellent")</f>
        <v>Excellent</v>
      </c>
      <c r="Y2357" s="138" t="str">
        <f>IFERROR(__xludf.DUMMYFUNCTION("""COMPUTED_VALUE"""),"Excellent")</f>
        <v>Excellent</v>
      </c>
      <c r="Z2357" s="138" t="str">
        <f>IFERROR(__xludf.DUMMYFUNCTION("""COMPUTED_VALUE"""),"Excellent")</f>
        <v>Excellent</v>
      </c>
      <c r="AA2357" s="138" t="str">
        <f>IFERROR(__xludf.DUMMYFUNCTION("""COMPUTED_VALUE"""),"Good")</f>
        <v>Good</v>
      </c>
      <c r="AB2357" s="138" t="str">
        <f>IFERROR(__xludf.DUMMYFUNCTION("""COMPUTED_VALUE"""),"Excellent")</f>
        <v>Excellent</v>
      </c>
      <c r="AC2357" s="139"/>
      <c r="AD2357" s="139"/>
      <c r="AE2357" s="139"/>
      <c r="AF2357" s="140"/>
      <c r="AG2357" s="136"/>
      <c r="AH2357" s="157">
        <f>IFERROR(__xludf.DUMMYFUNCTION("""COMPUTED_VALUE"""),43402.720209548614)</f>
        <v>43402.72021</v>
      </c>
      <c r="AI2357" s="138"/>
      <c r="AJ2357" s="138"/>
      <c r="AK2357" s="138"/>
      <c r="AL2357" s="142"/>
    </row>
    <row r="2358" ht="20.25" customHeight="1">
      <c r="A2358" s="155" t="str">
        <f>IFERROR(__xludf.DUMMYFUNCTION("""COMPUTED_VALUE"""),"Confusatron")</f>
        <v>Confusatron</v>
      </c>
      <c r="B2358" s="149" t="str">
        <f>IFERROR(__xludf.DUMMYFUNCTION("""COMPUTED_VALUE"""),"Seattle")</f>
        <v>Seattle</v>
      </c>
      <c r="C2358" s="149" t="str">
        <f>IFERROR(__xludf.DUMMYFUNCTION("""COMPUTED_VALUE"""),"WA")</f>
        <v>WA</v>
      </c>
      <c r="D2358" s="149" t="str">
        <f>IFERROR(__xludf.DUMMYFUNCTION("""COMPUTED_VALUE"""),"USA")</f>
        <v>USA</v>
      </c>
      <c r="E2358" s="156">
        <f>IFERROR(__xludf.DUMMYFUNCTION("""COMPUTED_VALUE"""),43373.0)</f>
        <v>43373</v>
      </c>
      <c r="F2358" s="129">
        <f>IFERROR(__xludf.DUMMYFUNCTION("""COMPUTED_VALUE"""),43383.0)</f>
        <v>43383</v>
      </c>
      <c r="G2358" s="154"/>
      <c r="H2358" s="131">
        <f>IFERROR(__xludf.DUMMYFUNCTION("""COMPUTED_VALUE"""),102455.0)</f>
        <v>102455</v>
      </c>
      <c r="I2358" s="144" t="str">
        <f>IFERROR(__xludf.DUMMYFUNCTION("""COMPUTED_VALUE"""),"10/18")</f>
        <v>10/18</v>
      </c>
      <c r="J2358" s="129">
        <f>IFERROR(__xludf.DUMMYFUNCTION("""COMPUTED_VALUE"""),43390.0)</f>
        <v>43390</v>
      </c>
      <c r="K2358" s="133">
        <f>IFERROR(__xludf.DUMMYFUNCTION("""COMPUTED_VALUE"""),10.0)</f>
        <v>10</v>
      </c>
      <c r="L2358" s="133">
        <f>IFERROR(__xludf.DUMMYFUNCTION("""COMPUTED_VALUE"""),7.0)</f>
        <v>7</v>
      </c>
      <c r="M2358" s="133">
        <f>IFERROR(__xludf.DUMMYFUNCTION("""COMPUTED_VALUE"""),17.0)</f>
        <v>17</v>
      </c>
      <c r="N2358" s="152" t="str">
        <f>IFERROR(__xludf.DUMMYFUNCTION("""COMPUTED_VALUE"""),"Model 3 LR")</f>
        <v>Model 3 LR</v>
      </c>
      <c r="O2358" s="152" t="str">
        <f>IFERROR(__xludf.DUMMYFUNCTION("""COMPUTED_VALUE"""),"Deep Blue Metallic")</f>
        <v>Deep Blue Metallic</v>
      </c>
      <c r="P2358" s="153" t="str">
        <f>IFERROR(__xludf.DUMMYFUNCTION("""COMPUTED_VALUE"""),"18 inch Aero")</f>
        <v>18 inch Aero</v>
      </c>
      <c r="Q2358" s="152" t="str">
        <f>IFERROR(__xludf.DUMMYFUNCTION("""COMPUTED_VALUE"""),"Black seats")</f>
        <v>Black seats</v>
      </c>
      <c r="R2358" s="149" t="str">
        <f>IFERROR(__xludf.DUMMYFUNCTION("""COMPUTED_VALUE"""),"Enhanced Autopilot")</f>
        <v>Enhanced Autopilot</v>
      </c>
      <c r="S2358" s="149"/>
      <c r="T2358" s="145"/>
      <c r="U2358" s="145"/>
      <c r="V2358" s="145"/>
      <c r="W2358" s="136"/>
      <c r="X2358" s="137" t="str">
        <f>IFERROR(__xludf.DUMMYFUNCTION("""COMPUTED_VALUE"""),"Very Good")</f>
        <v>Very Good</v>
      </c>
      <c r="Y2358" s="138" t="str">
        <f>IFERROR(__xludf.DUMMYFUNCTION("""COMPUTED_VALUE"""),"Excellent")</f>
        <v>Excellent</v>
      </c>
      <c r="Z2358" s="138" t="str">
        <f>IFERROR(__xludf.DUMMYFUNCTION("""COMPUTED_VALUE"""),"Very Good")</f>
        <v>Very Good</v>
      </c>
      <c r="AA2358" s="138" t="str">
        <f>IFERROR(__xludf.DUMMYFUNCTION("""COMPUTED_VALUE"""),"Good")</f>
        <v>Good</v>
      </c>
      <c r="AB2358" s="138" t="str">
        <f>IFERROR(__xludf.DUMMYFUNCTION("""COMPUTED_VALUE"""),"Good")</f>
        <v>Good</v>
      </c>
      <c r="AC2358" s="139">
        <f>IFERROR(__xludf.DUMMYFUNCTION("""COMPUTED_VALUE"""),1.0)</f>
        <v>1</v>
      </c>
      <c r="AD2358" s="139">
        <f>IFERROR(__xludf.DUMMYFUNCTION("""COMPUTED_VALUE"""),1.0)</f>
        <v>1</v>
      </c>
      <c r="AE2358" s="139"/>
      <c r="AF2358" s="140"/>
      <c r="AG2358" s="136" t="str">
        <f>IFERROR(__xludf.DUMMYFUNCTION("""COMPUTED_VALUE"""),"Left turn signal didn't work properly.")</f>
        <v>Left turn signal didn't work properly.</v>
      </c>
      <c r="AH2358" s="157">
        <f>IFERROR(__xludf.DUMMYFUNCTION("""COMPUTED_VALUE"""),43392.402951793985)</f>
        <v>43392.40295</v>
      </c>
      <c r="AI2358" s="138"/>
      <c r="AJ2358" s="138"/>
      <c r="AK2358" s="138"/>
      <c r="AL2358" s="142"/>
    </row>
    <row r="2359" ht="20.25" customHeight="1">
      <c r="A2359" s="155" t="str">
        <f>IFERROR(__xludf.DUMMYFUNCTION("""COMPUTED_VALUE"""),"jkliu47")</f>
        <v>jkliu47</v>
      </c>
      <c r="B2359" s="149" t="str">
        <f>IFERROR(__xludf.DUMMYFUNCTION("""COMPUTED_VALUE"""),"Glendale")</f>
        <v>Glendale</v>
      </c>
      <c r="C2359" s="149" t="str">
        <f>IFERROR(__xludf.DUMMYFUNCTION("""COMPUTED_VALUE"""),"CA")</f>
        <v>CA</v>
      </c>
      <c r="D2359" s="149" t="str">
        <f>IFERROR(__xludf.DUMMYFUNCTION("""COMPUTED_VALUE"""),"USA")</f>
        <v>USA</v>
      </c>
      <c r="E2359" s="156">
        <f>IFERROR(__xludf.DUMMYFUNCTION("""COMPUTED_VALUE"""),43372.0)</f>
        <v>43372</v>
      </c>
      <c r="F2359" s="129">
        <f>IFERROR(__xludf.DUMMYFUNCTION("""COMPUTED_VALUE"""),43372.0)</f>
        <v>43372</v>
      </c>
      <c r="G2359" s="154"/>
      <c r="H2359" s="131">
        <f>IFERROR(__xludf.DUMMYFUNCTION("""COMPUTED_VALUE"""),75077.0)</f>
        <v>75077</v>
      </c>
      <c r="I2359" s="144" t="str">
        <f>IFERROR(__xludf.DUMMYFUNCTION("""COMPUTED_VALUE"""),"09/18")</f>
        <v>09/18</v>
      </c>
      <c r="J2359" s="129">
        <f>IFERROR(__xludf.DUMMYFUNCTION("""COMPUTED_VALUE"""),43373.0)</f>
        <v>43373</v>
      </c>
      <c r="K2359" s="133">
        <f>IFERROR(__xludf.DUMMYFUNCTION("""COMPUTED_VALUE"""),0.0)</f>
        <v>0</v>
      </c>
      <c r="L2359" s="133">
        <f>IFERROR(__xludf.DUMMYFUNCTION("""COMPUTED_VALUE"""),1.0)</f>
        <v>1</v>
      </c>
      <c r="M2359" s="133">
        <f>IFERROR(__xludf.DUMMYFUNCTION("""COMPUTED_VALUE"""),1.0)</f>
        <v>1</v>
      </c>
      <c r="N2359" s="152" t="str">
        <f>IFERROR(__xludf.DUMMYFUNCTION("""COMPUTED_VALUE"""),"Model 3 LR AWD")</f>
        <v>Model 3 LR AWD</v>
      </c>
      <c r="O2359" s="152" t="str">
        <f>IFERROR(__xludf.DUMMYFUNCTION("""COMPUTED_VALUE"""),"Red Multi-Coat")</f>
        <v>Red Multi-Coat</v>
      </c>
      <c r="P2359" s="153" t="str">
        <f>IFERROR(__xludf.DUMMYFUNCTION("""COMPUTED_VALUE"""),"18 inch Aero")</f>
        <v>18 inch Aero</v>
      </c>
      <c r="Q2359" s="152" t="str">
        <f>IFERROR(__xludf.DUMMYFUNCTION("""COMPUTED_VALUE"""),"White seats")</f>
        <v>White seats</v>
      </c>
      <c r="R2359" s="149" t="str">
        <f>IFERROR(__xludf.DUMMYFUNCTION("""COMPUTED_VALUE"""),"Enhanced Autopilot")</f>
        <v>Enhanced Autopilot</v>
      </c>
      <c r="S2359" s="149"/>
      <c r="T2359" s="145"/>
      <c r="U2359" s="145"/>
      <c r="V2359" s="145"/>
      <c r="W2359" s="136"/>
      <c r="X2359" s="137" t="str">
        <f>IFERROR(__xludf.DUMMYFUNCTION("""COMPUTED_VALUE"""),"Excellent")</f>
        <v>Excellent</v>
      </c>
      <c r="Y2359" s="138" t="str">
        <f>IFERROR(__xludf.DUMMYFUNCTION("""COMPUTED_VALUE"""),"Excellent")</f>
        <v>Excellent</v>
      </c>
      <c r="Z2359" s="138" t="str">
        <f>IFERROR(__xludf.DUMMYFUNCTION("""COMPUTED_VALUE"""),"Very Good")</f>
        <v>Very Good</v>
      </c>
      <c r="AA2359" s="138" t="str">
        <f>IFERROR(__xludf.DUMMYFUNCTION("""COMPUTED_VALUE"""),"Excellent")</f>
        <v>Excellent</v>
      </c>
      <c r="AB2359" s="138" t="str">
        <f>IFERROR(__xludf.DUMMYFUNCTION("""COMPUTED_VALUE"""),"Excellent")</f>
        <v>Excellent</v>
      </c>
      <c r="AC2359" s="139">
        <f>IFERROR(__xludf.DUMMYFUNCTION("""COMPUTED_VALUE"""),3.0)</f>
        <v>3</v>
      </c>
      <c r="AD2359" s="139"/>
      <c r="AE2359" s="139"/>
      <c r="AF2359" s="140"/>
      <c r="AG2359" s="136" t="str">
        <f>IFERROR(__xludf.DUMMYFUNCTION("""COMPUTED_VALUE"""),"20 hours between configuration/order and delivery")</f>
        <v>20 hours between configuration/order and delivery</v>
      </c>
      <c r="AH2359" s="157">
        <f>IFERROR(__xludf.DUMMYFUNCTION("""COMPUTED_VALUE"""),43375.376821238424)</f>
        <v>43375.37682</v>
      </c>
      <c r="AI2359" s="138"/>
      <c r="AJ2359" s="138"/>
      <c r="AK2359" s="138"/>
      <c r="AL2359" s="142"/>
    </row>
    <row r="2360" ht="20.25" customHeight="1">
      <c r="A2360" s="155" t="str">
        <f>IFERROR(__xludf.DUMMYFUNCTION("""COMPUTED_VALUE"""),"pdamski")</f>
        <v>pdamski</v>
      </c>
      <c r="B2360" s="149" t="str">
        <f>IFERROR(__xludf.DUMMYFUNCTION("""COMPUTED_VALUE"""),"Cathedral City")</f>
        <v>Cathedral City</v>
      </c>
      <c r="C2360" s="149" t="str">
        <f>IFERROR(__xludf.DUMMYFUNCTION("""COMPUTED_VALUE"""),"CA")</f>
        <v>CA</v>
      </c>
      <c r="D2360" s="149" t="str">
        <f>IFERROR(__xludf.DUMMYFUNCTION("""COMPUTED_VALUE"""),"USA")</f>
        <v>USA</v>
      </c>
      <c r="E2360" s="156">
        <f>IFERROR(__xludf.DUMMYFUNCTION("""COMPUTED_VALUE"""),43372.0)</f>
        <v>43372</v>
      </c>
      <c r="F2360" s="129">
        <f>IFERROR(__xludf.DUMMYFUNCTION("""COMPUTED_VALUE"""),43395.0)</f>
        <v>43395</v>
      </c>
      <c r="G2360" s="154"/>
      <c r="H2360" s="131">
        <f>IFERROR(__xludf.DUMMYFUNCTION("""COMPUTED_VALUE"""),81431.0)</f>
        <v>81431</v>
      </c>
      <c r="I2360" s="144" t="str">
        <f>IFERROR(__xludf.DUMMYFUNCTION("""COMPUTED_VALUE"""),"10/18")</f>
        <v>10/18</v>
      </c>
      <c r="J2360" s="129">
        <f>IFERROR(__xludf.DUMMYFUNCTION("""COMPUTED_VALUE"""),43400.0)</f>
        <v>43400</v>
      </c>
      <c r="K2360" s="133">
        <f>IFERROR(__xludf.DUMMYFUNCTION("""COMPUTED_VALUE"""),23.0)</f>
        <v>23</v>
      </c>
      <c r="L2360" s="133">
        <f>IFERROR(__xludf.DUMMYFUNCTION("""COMPUTED_VALUE"""),5.0)</f>
        <v>5</v>
      </c>
      <c r="M2360" s="133">
        <f>IFERROR(__xludf.DUMMYFUNCTION("""COMPUTED_VALUE"""),28.0)</f>
        <v>28</v>
      </c>
      <c r="N2360" s="152" t="str">
        <f>IFERROR(__xludf.DUMMYFUNCTION("""COMPUTED_VALUE"""),"Model 3 Performance")</f>
        <v>Model 3 Performance</v>
      </c>
      <c r="O2360" s="152" t="str">
        <f>IFERROR(__xludf.DUMMYFUNCTION("""COMPUTED_VALUE"""),"Pearl White Multi-Coat")</f>
        <v>Pearl White Multi-Coat</v>
      </c>
      <c r="P2360" s="153" t="str">
        <f>IFERROR(__xludf.DUMMYFUNCTION("""COMPUTED_VALUE"""),"20 inch Sport")</f>
        <v>20 inch Sport</v>
      </c>
      <c r="Q2360" s="152" t="str">
        <f>IFERROR(__xludf.DUMMYFUNCTION("""COMPUTED_VALUE"""),"White seats")</f>
        <v>White seats</v>
      </c>
      <c r="R2360" s="149" t="str">
        <f>IFERROR(__xludf.DUMMYFUNCTION("""COMPUTED_VALUE"""),"Enhanced Autopilot")</f>
        <v>Enhanced Autopilot</v>
      </c>
      <c r="S2360" s="149"/>
      <c r="T2360" s="145"/>
      <c r="U2360" s="145"/>
      <c r="V2360" s="145"/>
      <c r="W2360" s="136"/>
      <c r="X2360" s="137" t="str">
        <f>IFERROR(__xludf.DUMMYFUNCTION("""COMPUTED_VALUE"""),"Excellent")</f>
        <v>Excellent</v>
      </c>
      <c r="Y2360" s="138" t="str">
        <f>IFERROR(__xludf.DUMMYFUNCTION("""COMPUTED_VALUE"""),"Excellent")</f>
        <v>Excellent</v>
      </c>
      <c r="Z2360" s="138" t="str">
        <f>IFERROR(__xludf.DUMMYFUNCTION("""COMPUTED_VALUE"""),"Excellent")</f>
        <v>Excellent</v>
      </c>
      <c r="AA2360" s="138" t="str">
        <f>IFERROR(__xludf.DUMMYFUNCTION("""COMPUTED_VALUE"""),"Very Good")</f>
        <v>Very Good</v>
      </c>
      <c r="AB2360" s="138" t="str">
        <f>IFERROR(__xludf.DUMMYFUNCTION("""COMPUTED_VALUE"""),"Good")</f>
        <v>Good</v>
      </c>
      <c r="AC2360" s="139"/>
      <c r="AD2360" s="139"/>
      <c r="AE2360" s="139"/>
      <c r="AF2360" s="140"/>
      <c r="AG2360" s="136"/>
      <c r="AH2360" s="157">
        <f>IFERROR(__xludf.DUMMYFUNCTION("""COMPUTED_VALUE"""),43403.41261082176)</f>
        <v>43403.41261</v>
      </c>
      <c r="AI2360" s="138"/>
      <c r="AJ2360" s="138"/>
      <c r="AK2360" s="138"/>
      <c r="AL2360" s="142"/>
    </row>
    <row r="2361" ht="20.25" customHeight="1">
      <c r="A2361" s="155" t="str">
        <f>IFERROR(__xludf.DUMMYFUNCTION("""COMPUTED_VALUE"""),"Texla 3")</f>
        <v>Texla 3</v>
      </c>
      <c r="B2361" s="149" t="str">
        <f>IFERROR(__xludf.DUMMYFUNCTION("""COMPUTED_VALUE"""),"Houston")</f>
        <v>Houston</v>
      </c>
      <c r="C2361" s="149" t="str">
        <f>IFERROR(__xludf.DUMMYFUNCTION("""COMPUTED_VALUE"""),"TX")</f>
        <v>TX</v>
      </c>
      <c r="D2361" s="149" t="str">
        <f>IFERROR(__xludf.DUMMYFUNCTION("""COMPUTED_VALUE"""),"USA")</f>
        <v>USA</v>
      </c>
      <c r="E2361" s="156">
        <f>IFERROR(__xludf.DUMMYFUNCTION("""COMPUTED_VALUE"""),43372.0)</f>
        <v>43372</v>
      </c>
      <c r="F2361" s="129">
        <f>IFERROR(__xludf.DUMMYFUNCTION("""COMPUTED_VALUE"""),43389.0)</f>
        <v>43389</v>
      </c>
      <c r="G2361" s="154"/>
      <c r="H2361" s="131">
        <f>IFERROR(__xludf.DUMMYFUNCTION("""COMPUTED_VALUE"""),117355.0)</f>
        <v>117355</v>
      </c>
      <c r="I2361" s="144"/>
      <c r="J2361" s="129">
        <f>IFERROR(__xludf.DUMMYFUNCTION("""COMPUTED_VALUE"""),43399.0)</f>
        <v>43399</v>
      </c>
      <c r="K2361" s="133">
        <f>IFERROR(__xludf.DUMMYFUNCTION("""COMPUTED_VALUE"""),17.0)</f>
        <v>17</v>
      </c>
      <c r="L2361" s="133">
        <f>IFERROR(__xludf.DUMMYFUNCTION("""COMPUTED_VALUE"""),10.0)</f>
        <v>10</v>
      </c>
      <c r="M2361" s="133">
        <f>IFERROR(__xludf.DUMMYFUNCTION("""COMPUTED_VALUE"""),27.0)</f>
        <v>27</v>
      </c>
      <c r="N2361" s="152" t="str">
        <f>IFERROR(__xludf.DUMMYFUNCTION("""COMPUTED_VALUE"""),"Model 3 LR AWD")</f>
        <v>Model 3 LR AWD</v>
      </c>
      <c r="O2361" s="152" t="str">
        <f>IFERROR(__xludf.DUMMYFUNCTION("""COMPUTED_VALUE"""),"Red Multi-Coat")</f>
        <v>Red Multi-Coat</v>
      </c>
      <c r="P2361" s="153" t="str">
        <f>IFERROR(__xludf.DUMMYFUNCTION("""COMPUTED_VALUE"""),"19 inch Sport")</f>
        <v>19 inch Sport</v>
      </c>
      <c r="Q2361" s="152" t="str">
        <f>IFERROR(__xludf.DUMMYFUNCTION("""COMPUTED_VALUE"""),"Black seats")</f>
        <v>Black seats</v>
      </c>
      <c r="R2361" s="149" t="str">
        <f>IFERROR(__xludf.DUMMYFUNCTION("""COMPUTED_VALUE"""),"Full Self-Driving")</f>
        <v>Full Self-Driving</v>
      </c>
      <c r="S2361" s="149"/>
      <c r="T2361" s="145"/>
      <c r="U2361" s="145"/>
      <c r="V2361" s="145"/>
      <c r="W2361" s="136"/>
      <c r="X2361" s="137" t="str">
        <f>IFERROR(__xludf.DUMMYFUNCTION("""COMPUTED_VALUE"""),"Excellent")</f>
        <v>Excellent</v>
      </c>
      <c r="Y2361" s="138" t="str">
        <f>IFERROR(__xludf.DUMMYFUNCTION("""COMPUTED_VALUE"""),"Excellent")</f>
        <v>Excellent</v>
      </c>
      <c r="Z2361" s="138" t="str">
        <f>IFERROR(__xludf.DUMMYFUNCTION("""COMPUTED_VALUE"""),"Excellent")</f>
        <v>Excellent</v>
      </c>
      <c r="AA2361" s="138" t="str">
        <f>IFERROR(__xludf.DUMMYFUNCTION("""COMPUTED_VALUE"""),"Excellent")</f>
        <v>Excellent</v>
      </c>
      <c r="AB2361" s="138" t="str">
        <f>IFERROR(__xludf.DUMMYFUNCTION("""COMPUTED_VALUE"""),"Excellent")</f>
        <v>Excellent</v>
      </c>
      <c r="AC2361" s="139"/>
      <c r="AD2361" s="139"/>
      <c r="AE2361" s="139"/>
      <c r="AF2361" s="140"/>
      <c r="AG2361" s="136"/>
      <c r="AH2361" s="157">
        <f>IFERROR(__xludf.DUMMYFUNCTION("""COMPUTED_VALUE"""),43401.994780497684)</f>
        <v>43401.99478</v>
      </c>
      <c r="AI2361" s="138"/>
      <c r="AJ2361" s="138"/>
      <c r="AK2361" s="138"/>
      <c r="AL2361" s="142"/>
    </row>
    <row r="2362" ht="20.25" customHeight="1">
      <c r="A2362" s="155" t="str">
        <f>IFERROR(__xludf.DUMMYFUNCTION("""COMPUTED_VALUE"""),"DMoney2552")</f>
        <v>DMoney2552</v>
      </c>
      <c r="B2362" s="149" t="str">
        <f>IFERROR(__xludf.DUMMYFUNCTION("""COMPUTED_VALUE"""),"Hudson")</f>
        <v>Hudson</v>
      </c>
      <c r="C2362" s="149" t="str">
        <f>IFERROR(__xludf.DUMMYFUNCTION("""COMPUTED_VALUE"""),"OH")</f>
        <v>OH</v>
      </c>
      <c r="D2362" s="149" t="str">
        <f>IFERROR(__xludf.DUMMYFUNCTION("""COMPUTED_VALUE"""),"USA")</f>
        <v>USA</v>
      </c>
      <c r="E2362" s="156">
        <f>IFERROR(__xludf.DUMMYFUNCTION("""COMPUTED_VALUE"""),43371.0)</f>
        <v>43371</v>
      </c>
      <c r="F2362" s="129">
        <f>IFERROR(__xludf.DUMMYFUNCTION("""COMPUTED_VALUE"""),43382.0)</f>
        <v>43382</v>
      </c>
      <c r="G2362" s="154"/>
      <c r="H2362" s="131">
        <f>IFERROR(__xludf.DUMMYFUNCTION("""COMPUTED_VALUE"""),101755.0)</f>
        <v>101755</v>
      </c>
      <c r="I2362" s="144"/>
      <c r="J2362" s="129">
        <f>IFERROR(__xludf.DUMMYFUNCTION("""COMPUTED_VALUE"""),43397.0)</f>
        <v>43397</v>
      </c>
      <c r="K2362" s="133">
        <f>IFERROR(__xludf.DUMMYFUNCTION("""COMPUTED_VALUE"""),11.0)</f>
        <v>11</v>
      </c>
      <c r="L2362" s="133">
        <f>IFERROR(__xludf.DUMMYFUNCTION("""COMPUTED_VALUE"""),15.0)</f>
        <v>15</v>
      </c>
      <c r="M2362" s="133">
        <f>IFERROR(__xludf.DUMMYFUNCTION("""COMPUTED_VALUE"""),26.0)</f>
        <v>26</v>
      </c>
      <c r="N2362" s="152" t="str">
        <f>IFERROR(__xludf.DUMMYFUNCTION("""COMPUTED_VALUE"""),"Model 3 LR")</f>
        <v>Model 3 LR</v>
      </c>
      <c r="O2362" s="152" t="str">
        <f>IFERROR(__xludf.DUMMYFUNCTION("""COMPUTED_VALUE"""),"Midnight Silver Metallic")</f>
        <v>Midnight Silver Metallic</v>
      </c>
      <c r="P2362" s="153" t="str">
        <f>IFERROR(__xludf.DUMMYFUNCTION("""COMPUTED_VALUE"""),"18 inch Aero")</f>
        <v>18 inch Aero</v>
      </c>
      <c r="Q2362" s="152" t="str">
        <f>IFERROR(__xludf.DUMMYFUNCTION("""COMPUTED_VALUE"""),"Black seats")</f>
        <v>Black seats</v>
      </c>
      <c r="R2362" s="149" t="str">
        <f>IFERROR(__xludf.DUMMYFUNCTION("""COMPUTED_VALUE"""),"None")</f>
        <v>None</v>
      </c>
      <c r="S2362" s="149"/>
      <c r="T2362" s="145"/>
      <c r="U2362" s="145"/>
      <c r="V2362" s="145"/>
      <c r="W2362" s="136"/>
      <c r="X2362" s="137" t="str">
        <f>IFERROR(__xludf.DUMMYFUNCTION("""COMPUTED_VALUE"""),"Very Good")</f>
        <v>Very Good</v>
      </c>
      <c r="Y2362" s="138" t="str">
        <f>IFERROR(__xludf.DUMMYFUNCTION("""COMPUTED_VALUE"""),"Very Good")</f>
        <v>Very Good</v>
      </c>
      <c r="Z2362" s="138" t="str">
        <f>IFERROR(__xludf.DUMMYFUNCTION("""COMPUTED_VALUE"""),"Fair")</f>
        <v>Fair</v>
      </c>
      <c r="AA2362" s="138" t="str">
        <f>IFERROR(__xludf.DUMMYFUNCTION("""COMPUTED_VALUE"""),"Very Good")</f>
        <v>Very Good</v>
      </c>
      <c r="AB2362" s="138" t="str">
        <f>IFERROR(__xludf.DUMMYFUNCTION("""COMPUTED_VALUE"""),"Excellent")</f>
        <v>Excellent</v>
      </c>
      <c r="AC2362" s="139">
        <f>IFERROR(__xludf.DUMMYFUNCTION("""COMPUTED_VALUE"""),1.0)</f>
        <v>1</v>
      </c>
      <c r="AD2362" s="139">
        <f>IFERROR(__xludf.DUMMYFUNCTION("""COMPUTED_VALUE"""),1.0)</f>
        <v>1</v>
      </c>
      <c r="AE2362" s="139">
        <f>IFERROR(__xludf.DUMMYFUNCTION("""COMPUTED_VALUE"""),3.0)</f>
        <v>3</v>
      </c>
      <c r="AF2362" s="140"/>
      <c r="AG2362" s="136" t="str">
        <f>IFERROR(__xludf.DUMMYFUNCTION("""COMPUTED_VALUE"""),"Gouge in plastic rear bumper - manufacturing issue not caused by transport as there was no scratches or paint issue")</f>
        <v>Gouge in plastic rear bumper - manufacturing issue not caused by transport as there was no scratches or paint issue</v>
      </c>
      <c r="AH2362" s="157">
        <f>IFERROR(__xludf.DUMMYFUNCTION("""COMPUTED_VALUE"""),43410.50075712963)</f>
        <v>43410.50076</v>
      </c>
      <c r="AI2362" s="138"/>
      <c r="AJ2362" s="138"/>
      <c r="AK2362" s="138"/>
      <c r="AL2362" s="142"/>
    </row>
    <row r="2363" ht="20.25" customHeight="1">
      <c r="A2363" s="155" t="str">
        <f>IFERROR(__xludf.DUMMYFUNCTION("""COMPUTED_VALUE"""),"engle")</f>
        <v>engle</v>
      </c>
      <c r="B2363" s="149" t="str">
        <f>IFERROR(__xludf.DUMMYFUNCTION("""COMPUTED_VALUE"""),"Fremont")</f>
        <v>Fremont</v>
      </c>
      <c r="C2363" s="149" t="str">
        <f>IFERROR(__xludf.DUMMYFUNCTION("""COMPUTED_VALUE"""),"CA")</f>
        <v>CA</v>
      </c>
      <c r="D2363" s="149" t="str">
        <f>IFERROR(__xludf.DUMMYFUNCTION("""COMPUTED_VALUE"""),"USA")</f>
        <v>USA</v>
      </c>
      <c r="E2363" s="156">
        <f>IFERROR(__xludf.DUMMYFUNCTION("""COMPUTED_VALUE"""),43371.0)</f>
        <v>43371</v>
      </c>
      <c r="F2363" s="129"/>
      <c r="G2363" s="154"/>
      <c r="H2363" s="131">
        <f>IFERROR(__xludf.DUMMYFUNCTION("""COMPUTED_VALUE"""),93855.0)</f>
        <v>93855</v>
      </c>
      <c r="I2363" s="144" t="str">
        <f>IFERROR(__xludf.DUMMYFUNCTION("""COMPUTED_VALUE"""),"09/18")</f>
        <v>09/18</v>
      </c>
      <c r="J2363" s="129">
        <f>IFERROR(__xludf.DUMMYFUNCTION("""COMPUTED_VALUE"""),43371.0)</f>
        <v>43371</v>
      </c>
      <c r="K2363" s="133"/>
      <c r="L2363" s="133"/>
      <c r="M2363" s="133">
        <f>IFERROR(__xludf.DUMMYFUNCTION("""COMPUTED_VALUE"""),0.0)</f>
        <v>0</v>
      </c>
      <c r="N2363" s="152" t="str">
        <f>IFERROR(__xludf.DUMMYFUNCTION("""COMPUTED_VALUE"""),"Model 3 LR AWD")</f>
        <v>Model 3 LR AWD</v>
      </c>
      <c r="O2363" s="152" t="str">
        <f>IFERROR(__xludf.DUMMYFUNCTION("""COMPUTED_VALUE"""),"Pearl White Multi-Coat")</f>
        <v>Pearl White Multi-Coat</v>
      </c>
      <c r="P2363" s="153" t="str">
        <f>IFERROR(__xludf.DUMMYFUNCTION("""COMPUTED_VALUE"""),"18 inch Aero")</f>
        <v>18 inch Aero</v>
      </c>
      <c r="Q2363" s="152" t="str">
        <f>IFERROR(__xludf.DUMMYFUNCTION("""COMPUTED_VALUE"""),"Black seats")</f>
        <v>Black seats</v>
      </c>
      <c r="R2363" s="149" t="str">
        <f>IFERROR(__xludf.DUMMYFUNCTION("""COMPUTED_VALUE"""),"Enhanced Autopilot")</f>
        <v>Enhanced Autopilot</v>
      </c>
      <c r="S2363" s="149"/>
      <c r="T2363" s="145"/>
      <c r="U2363" s="145"/>
      <c r="V2363" s="145"/>
      <c r="W2363" s="136"/>
      <c r="X2363" s="137" t="str">
        <f>IFERROR(__xludf.DUMMYFUNCTION("""COMPUTED_VALUE"""),"Excellent")</f>
        <v>Excellent</v>
      </c>
      <c r="Y2363" s="138" t="str">
        <f>IFERROR(__xludf.DUMMYFUNCTION("""COMPUTED_VALUE"""),"Excellent")</f>
        <v>Excellent</v>
      </c>
      <c r="Z2363" s="138" t="str">
        <f>IFERROR(__xludf.DUMMYFUNCTION("""COMPUTED_VALUE"""),"Excellent")</f>
        <v>Excellent</v>
      </c>
      <c r="AA2363" s="138" t="str">
        <f>IFERROR(__xludf.DUMMYFUNCTION("""COMPUTED_VALUE"""),"Poor")</f>
        <v>Poor</v>
      </c>
      <c r="AB2363" s="138" t="str">
        <f>IFERROR(__xludf.DUMMYFUNCTION("""COMPUTED_VALUE"""),"Excellent")</f>
        <v>Excellent</v>
      </c>
      <c r="AC2363" s="139"/>
      <c r="AD2363" s="139"/>
      <c r="AE2363" s="139"/>
      <c r="AF2363" s="140"/>
      <c r="AG2363" s="136" t="str">
        <f>IFERROR(__xludf.DUMMYFUNCTION("""COMPUTED_VALUE"""),"Upgraded 8/12 AWD to Perf- 9/19 back to AWD 9/28 at Fremont Delivery Center after was stood up by ""Tesla Direct"" home delivery")</f>
        <v>Upgraded 8/12 AWD to Perf- 9/19 back to AWD 9/28 at Fremont Delivery Center after was stood up by "Tesla Direct" home delivery</v>
      </c>
      <c r="AH2363" s="157">
        <f>IFERROR(__xludf.DUMMYFUNCTION("""COMPUTED_VALUE"""),43372.07160869213)</f>
        <v>43372.07161</v>
      </c>
      <c r="AI2363" s="138"/>
      <c r="AJ2363" s="138"/>
      <c r="AK2363" s="138"/>
      <c r="AL2363" s="142"/>
    </row>
    <row r="2364" ht="20.25" customHeight="1">
      <c r="A2364" s="155" t="str">
        <f>IFERROR(__xludf.DUMMYFUNCTION("""COMPUTED_VALUE"""),"scooby2")</f>
        <v>scooby2</v>
      </c>
      <c r="B2364" s="149" t="str">
        <f>IFERROR(__xludf.DUMMYFUNCTION("""COMPUTED_VALUE"""),"Schaumburg")</f>
        <v>Schaumburg</v>
      </c>
      <c r="C2364" s="149" t="str">
        <f>IFERROR(__xludf.DUMMYFUNCTION("""COMPUTED_VALUE"""),"IL")</f>
        <v>IL</v>
      </c>
      <c r="D2364" s="149" t="str">
        <f>IFERROR(__xludf.DUMMYFUNCTION("""COMPUTED_VALUE"""),"USA")</f>
        <v>USA</v>
      </c>
      <c r="E2364" s="156">
        <f>IFERROR(__xludf.DUMMYFUNCTION("""COMPUTED_VALUE"""),43371.0)</f>
        <v>43371</v>
      </c>
      <c r="F2364" s="129">
        <f>IFERROR(__xludf.DUMMYFUNCTION("""COMPUTED_VALUE"""),43390.0)</f>
        <v>43390</v>
      </c>
      <c r="G2364" s="154"/>
      <c r="H2364" s="131">
        <f>IFERROR(__xludf.DUMMYFUNCTION("""COMPUTED_VALUE"""),117555.0)</f>
        <v>117555</v>
      </c>
      <c r="I2364" s="144" t="str">
        <f>IFERROR(__xludf.DUMMYFUNCTION("""COMPUTED_VALUE"""),"10/18")</f>
        <v>10/18</v>
      </c>
      <c r="J2364" s="129">
        <f>IFERROR(__xludf.DUMMYFUNCTION("""COMPUTED_VALUE"""),43398.0)</f>
        <v>43398</v>
      </c>
      <c r="K2364" s="133">
        <f>IFERROR(__xludf.DUMMYFUNCTION("""COMPUTED_VALUE"""),19.0)</f>
        <v>19</v>
      </c>
      <c r="L2364" s="133">
        <f>IFERROR(__xludf.DUMMYFUNCTION("""COMPUTED_VALUE"""),8.0)</f>
        <v>8</v>
      </c>
      <c r="M2364" s="133">
        <f>IFERROR(__xludf.DUMMYFUNCTION("""COMPUTED_VALUE"""),27.0)</f>
        <v>27</v>
      </c>
      <c r="N2364" s="152" t="str">
        <f>IFERROR(__xludf.DUMMYFUNCTION("""COMPUTED_VALUE"""),"Model 3 LR AWD")</f>
        <v>Model 3 LR AWD</v>
      </c>
      <c r="O2364" s="152" t="str">
        <f>IFERROR(__xludf.DUMMYFUNCTION("""COMPUTED_VALUE"""),"Deep Blue Metallic")</f>
        <v>Deep Blue Metallic</v>
      </c>
      <c r="P2364" s="153" t="str">
        <f>IFERROR(__xludf.DUMMYFUNCTION("""COMPUTED_VALUE"""),"19 inch Sport")</f>
        <v>19 inch Sport</v>
      </c>
      <c r="Q2364" s="152" t="str">
        <f>IFERROR(__xludf.DUMMYFUNCTION("""COMPUTED_VALUE"""),"Black seats")</f>
        <v>Black seats</v>
      </c>
      <c r="R2364" s="149" t="str">
        <f>IFERROR(__xludf.DUMMYFUNCTION("""COMPUTED_VALUE"""),"Enhanced Autopilot")</f>
        <v>Enhanced Autopilot</v>
      </c>
      <c r="S2364" s="149"/>
      <c r="T2364" s="145"/>
      <c r="U2364" s="145"/>
      <c r="V2364" s="145"/>
      <c r="W2364" s="136"/>
      <c r="X2364" s="137" t="str">
        <f>IFERROR(__xludf.DUMMYFUNCTION("""COMPUTED_VALUE"""),"Excellent")</f>
        <v>Excellent</v>
      </c>
      <c r="Y2364" s="138" t="str">
        <f>IFERROR(__xludf.DUMMYFUNCTION("""COMPUTED_VALUE"""),"Excellent")</f>
        <v>Excellent</v>
      </c>
      <c r="Z2364" s="138" t="str">
        <f>IFERROR(__xludf.DUMMYFUNCTION("""COMPUTED_VALUE"""),"Excellent")</f>
        <v>Excellent</v>
      </c>
      <c r="AA2364" s="138" t="str">
        <f>IFERROR(__xludf.DUMMYFUNCTION("""COMPUTED_VALUE"""),"Excellent")</f>
        <v>Excellent</v>
      </c>
      <c r="AB2364" s="138" t="str">
        <f>IFERROR(__xludf.DUMMYFUNCTION("""COMPUTED_VALUE"""),"Excellent")</f>
        <v>Excellent</v>
      </c>
      <c r="AC2364" s="139"/>
      <c r="AD2364" s="139"/>
      <c r="AE2364" s="139"/>
      <c r="AF2364" s="140"/>
      <c r="AG2364" s="136"/>
      <c r="AH2364" s="157">
        <f>IFERROR(__xludf.DUMMYFUNCTION("""COMPUTED_VALUE"""),43399.86724442129)</f>
        <v>43399.86724</v>
      </c>
      <c r="AI2364" s="138"/>
      <c r="AJ2364" s="138"/>
      <c r="AK2364" s="138"/>
      <c r="AL2364" s="142"/>
    </row>
    <row r="2365" ht="20.25" customHeight="1">
      <c r="A2365" s="155" t="str">
        <f>IFERROR(__xludf.DUMMYFUNCTION("""COMPUTED_VALUE"""),"KalaGulab")</f>
        <v>KalaGulab</v>
      </c>
      <c r="B2365" s="149" t="str">
        <f>IFERROR(__xludf.DUMMYFUNCTION("""COMPUTED_VALUE"""),"Chicagoland")</f>
        <v>Chicagoland</v>
      </c>
      <c r="C2365" s="149" t="str">
        <f>IFERROR(__xludf.DUMMYFUNCTION("""COMPUTED_VALUE"""),"IL")</f>
        <v>IL</v>
      </c>
      <c r="D2365" s="149" t="str">
        <f>IFERROR(__xludf.DUMMYFUNCTION("""COMPUTED_VALUE"""),"USA")</f>
        <v>USA</v>
      </c>
      <c r="E2365" s="156">
        <f>IFERROR(__xludf.DUMMYFUNCTION("""COMPUTED_VALUE"""),43369.0)</f>
        <v>43369</v>
      </c>
      <c r="F2365" s="129">
        <f>IFERROR(__xludf.DUMMYFUNCTION("""COMPUTED_VALUE"""),43388.0)</f>
        <v>43388</v>
      </c>
      <c r="G2365" s="154"/>
      <c r="H2365" s="131">
        <f>IFERROR(__xludf.DUMMYFUNCTION("""COMPUTED_VALUE"""),69975.0)</f>
        <v>69975</v>
      </c>
      <c r="I2365" s="144" t="str">
        <f>IFERROR(__xludf.DUMMYFUNCTION("""COMPUTED_VALUE"""),"10/18")</f>
        <v>10/18</v>
      </c>
      <c r="J2365" s="129">
        <f>IFERROR(__xludf.DUMMYFUNCTION("""COMPUTED_VALUE"""),43396.0)</f>
        <v>43396</v>
      </c>
      <c r="K2365" s="133">
        <f>IFERROR(__xludf.DUMMYFUNCTION("""COMPUTED_VALUE"""),19.0)</f>
        <v>19</v>
      </c>
      <c r="L2365" s="133">
        <f>IFERROR(__xludf.DUMMYFUNCTION("""COMPUTED_VALUE"""),8.0)</f>
        <v>8</v>
      </c>
      <c r="M2365" s="133">
        <f>IFERROR(__xludf.DUMMYFUNCTION("""COMPUTED_VALUE"""),27.0)</f>
        <v>27</v>
      </c>
      <c r="N2365" s="152" t="str">
        <f>IFERROR(__xludf.DUMMYFUNCTION("""COMPUTED_VALUE"""),"Model 3 LR")</f>
        <v>Model 3 LR</v>
      </c>
      <c r="O2365" s="152" t="str">
        <f>IFERROR(__xludf.DUMMYFUNCTION("""COMPUTED_VALUE"""),"Pearl White Multi-Coat")</f>
        <v>Pearl White Multi-Coat</v>
      </c>
      <c r="P2365" s="153" t="str">
        <f>IFERROR(__xludf.DUMMYFUNCTION("""COMPUTED_VALUE"""),"18 inch Aero")</f>
        <v>18 inch Aero</v>
      </c>
      <c r="Q2365" s="152" t="str">
        <f>IFERROR(__xludf.DUMMYFUNCTION("""COMPUTED_VALUE"""),"Black seats")</f>
        <v>Black seats</v>
      </c>
      <c r="R2365" s="149" t="str">
        <f>IFERROR(__xludf.DUMMYFUNCTION("""COMPUTED_VALUE"""),"Enhanced Autopilot")</f>
        <v>Enhanced Autopilot</v>
      </c>
      <c r="S2365" s="149"/>
      <c r="T2365" s="145"/>
      <c r="U2365" s="145"/>
      <c r="V2365" s="145"/>
      <c r="W2365" s="136"/>
      <c r="X2365" s="137" t="str">
        <f>IFERROR(__xludf.DUMMYFUNCTION("""COMPUTED_VALUE"""),"Excellent")</f>
        <v>Excellent</v>
      </c>
      <c r="Y2365" s="138" t="str">
        <f>IFERROR(__xludf.DUMMYFUNCTION("""COMPUTED_VALUE"""),"Excellent")</f>
        <v>Excellent</v>
      </c>
      <c r="Z2365" s="138" t="str">
        <f>IFERROR(__xludf.DUMMYFUNCTION("""COMPUTED_VALUE"""),"Excellent")</f>
        <v>Excellent</v>
      </c>
      <c r="AA2365" s="138" t="str">
        <f>IFERROR(__xludf.DUMMYFUNCTION("""COMPUTED_VALUE"""),"Good")</f>
        <v>Good</v>
      </c>
      <c r="AB2365" s="138" t="str">
        <f>IFERROR(__xludf.DUMMYFUNCTION("""COMPUTED_VALUE"""),"Excellent")</f>
        <v>Excellent</v>
      </c>
      <c r="AC2365" s="139">
        <f>IFERROR(__xludf.DUMMYFUNCTION("""COMPUTED_VALUE"""),0.0)</f>
        <v>0</v>
      </c>
      <c r="AD2365" s="139">
        <f>IFERROR(__xludf.DUMMYFUNCTION("""COMPUTED_VALUE"""),0.0)</f>
        <v>0</v>
      </c>
      <c r="AE2365" s="139">
        <f>IFERROR(__xludf.DUMMYFUNCTION("""COMPUTED_VALUE"""),0.0)</f>
        <v>0</v>
      </c>
      <c r="AF2365" s="140"/>
      <c r="AG2365" s="136" t="str">
        <f>IFERROR(__xludf.DUMMYFUNCTION("""COMPUTED_VALUE"""),"Delivery originally scheduled for 10/20, rescheduled to and delivered on 10/23")</f>
        <v>Delivery originally scheduled for 10/20, rescheduled to and delivered on 10/23</v>
      </c>
      <c r="AH2365" s="157">
        <f>IFERROR(__xludf.DUMMYFUNCTION("""COMPUTED_VALUE"""),43434.34876634259)</f>
        <v>43434.34877</v>
      </c>
      <c r="AI2365" s="138"/>
      <c r="AJ2365" s="138"/>
      <c r="AK2365" s="138"/>
      <c r="AL2365" s="142"/>
    </row>
    <row r="2366" ht="20.25" customHeight="1">
      <c r="A2366" s="155" t="str">
        <f>IFERROR(__xludf.DUMMYFUNCTION("""COMPUTED_VALUE"""),"SomeJoe7777")</f>
        <v>SomeJoe7777</v>
      </c>
      <c r="B2366" s="149" t="str">
        <f>IFERROR(__xludf.DUMMYFUNCTION("""COMPUTED_VALUE"""),"Houston")</f>
        <v>Houston</v>
      </c>
      <c r="C2366" s="149" t="str">
        <f>IFERROR(__xludf.DUMMYFUNCTION("""COMPUTED_VALUE"""),"TX")</f>
        <v>TX</v>
      </c>
      <c r="D2366" s="149" t="str">
        <f>IFERROR(__xludf.DUMMYFUNCTION("""COMPUTED_VALUE"""),"USA")</f>
        <v>USA</v>
      </c>
      <c r="E2366" s="156">
        <f>IFERROR(__xludf.DUMMYFUNCTION("""COMPUTED_VALUE"""),43369.0)</f>
        <v>43369</v>
      </c>
      <c r="F2366" s="129">
        <f>IFERROR(__xludf.DUMMYFUNCTION("""COMPUTED_VALUE"""),43378.0)</f>
        <v>43378</v>
      </c>
      <c r="G2366" s="154"/>
      <c r="H2366" s="131">
        <f>IFERROR(__xludf.DUMMYFUNCTION("""COMPUTED_VALUE"""),78675.0)</f>
        <v>78675</v>
      </c>
      <c r="I2366" s="144" t="str">
        <f>IFERROR(__xludf.DUMMYFUNCTION("""COMPUTED_VALUE"""),"09/18")</f>
        <v>09/18</v>
      </c>
      <c r="J2366" s="129">
        <f>IFERROR(__xludf.DUMMYFUNCTION("""COMPUTED_VALUE"""),43381.0)</f>
        <v>43381</v>
      </c>
      <c r="K2366" s="133">
        <f>IFERROR(__xludf.DUMMYFUNCTION("""COMPUTED_VALUE"""),9.0)</f>
        <v>9</v>
      </c>
      <c r="L2366" s="133">
        <f>IFERROR(__xludf.DUMMYFUNCTION("""COMPUTED_VALUE"""),3.0)</f>
        <v>3</v>
      </c>
      <c r="M2366" s="133">
        <f>IFERROR(__xludf.DUMMYFUNCTION("""COMPUTED_VALUE"""),12.0)</f>
        <v>12</v>
      </c>
      <c r="N2366" s="152" t="str">
        <f>IFERROR(__xludf.DUMMYFUNCTION("""COMPUTED_VALUE"""),"Model 3 Performance")</f>
        <v>Model 3 Performance</v>
      </c>
      <c r="O2366" s="152" t="str">
        <f>IFERROR(__xludf.DUMMYFUNCTION("""COMPUTED_VALUE"""),"Solid Black")</f>
        <v>Solid Black</v>
      </c>
      <c r="P2366" s="153" t="str">
        <f>IFERROR(__xludf.DUMMYFUNCTION("""COMPUTED_VALUE"""),"20 inch Sport")</f>
        <v>20 inch Sport</v>
      </c>
      <c r="Q2366" s="152" t="str">
        <f>IFERROR(__xludf.DUMMYFUNCTION("""COMPUTED_VALUE"""),"White seats")</f>
        <v>White seats</v>
      </c>
      <c r="R2366" s="149" t="str">
        <f>IFERROR(__xludf.DUMMYFUNCTION("""COMPUTED_VALUE"""),"Enhanced Autopilot")</f>
        <v>Enhanced Autopilot</v>
      </c>
      <c r="S2366" s="149"/>
      <c r="T2366" s="145"/>
      <c r="U2366" s="145"/>
      <c r="V2366" s="145"/>
      <c r="W2366" s="136"/>
      <c r="X2366" s="137" t="str">
        <f>IFERROR(__xludf.DUMMYFUNCTION("""COMPUTED_VALUE"""),"Excellent")</f>
        <v>Excellent</v>
      </c>
      <c r="Y2366" s="138" t="str">
        <f>IFERROR(__xludf.DUMMYFUNCTION("""COMPUTED_VALUE"""),"Excellent")</f>
        <v>Excellent</v>
      </c>
      <c r="Z2366" s="138" t="str">
        <f>IFERROR(__xludf.DUMMYFUNCTION("""COMPUTED_VALUE"""),"Very Good")</f>
        <v>Very Good</v>
      </c>
      <c r="AA2366" s="138" t="str">
        <f>IFERROR(__xludf.DUMMYFUNCTION("""COMPUTED_VALUE"""),"Fair")</f>
        <v>Fair</v>
      </c>
      <c r="AB2366" s="138" t="str">
        <f>IFERROR(__xludf.DUMMYFUNCTION("""COMPUTED_VALUE"""),"Very Good")</f>
        <v>Very Good</v>
      </c>
      <c r="AC2366" s="139">
        <f>IFERROR(__xludf.DUMMYFUNCTION("""COMPUTED_VALUE"""),1.0)</f>
        <v>1</v>
      </c>
      <c r="AD2366" s="139">
        <f>IFERROR(__xludf.DUMMYFUNCTION("""COMPUTED_VALUE"""),0.0)</f>
        <v>0</v>
      </c>
      <c r="AE2366" s="139">
        <f>IFERROR(__xludf.DUMMYFUNCTION("""COMPUTED_VALUE"""),0.0)</f>
        <v>0</v>
      </c>
      <c r="AF2366" s="140"/>
      <c r="AG2366" s="136"/>
      <c r="AH2366" s="157">
        <f>IFERROR(__xludf.DUMMYFUNCTION("""COMPUTED_VALUE"""),43381.903437928246)</f>
        <v>43381.90344</v>
      </c>
      <c r="AI2366" s="138"/>
      <c r="AJ2366" s="138"/>
      <c r="AK2366" s="138"/>
      <c r="AL2366" s="142"/>
    </row>
    <row r="2367" ht="20.25" customHeight="1">
      <c r="A2367" s="155" t="str">
        <f>IFERROR(__xludf.DUMMYFUNCTION("""COMPUTED_VALUE"""),"bchang2001")</f>
        <v>bchang2001</v>
      </c>
      <c r="B2367" s="149" t="str">
        <f>IFERROR(__xludf.DUMMYFUNCTION("""COMPUTED_VALUE"""),"Anaheim")</f>
        <v>Anaheim</v>
      </c>
      <c r="C2367" s="149" t="str">
        <f>IFERROR(__xludf.DUMMYFUNCTION("""COMPUTED_VALUE"""),"CA")</f>
        <v>CA</v>
      </c>
      <c r="D2367" s="149" t="str">
        <f>IFERROR(__xludf.DUMMYFUNCTION("""COMPUTED_VALUE"""),"USA")</f>
        <v>USA</v>
      </c>
      <c r="E2367" s="156">
        <f>IFERROR(__xludf.DUMMYFUNCTION("""COMPUTED_VALUE"""),43368.0)</f>
        <v>43368</v>
      </c>
      <c r="F2367" s="129">
        <f>IFERROR(__xludf.DUMMYFUNCTION("""COMPUTED_VALUE"""),43387.0)</f>
        <v>43387</v>
      </c>
      <c r="G2367" s="154"/>
      <c r="H2367" s="131">
        <f>IFERROR(__xludf.DUMMYFUNCTION("""COMPUTED_VALUE"""),70394.0)</f>
        <v>70394</v>
      </c>
      <c r="I2367" s="144" t="str">
        <f>IFERROR(__xludf.DUMMYFUNCTION("""COMPUTED_VALUE"""),"08/18")</f>
        <v>08/18</v>
      </c>
      <c r="J2367" s="129">
        <f>IFERROR(__xludf.DUMMYFUNCTION("""COMPUTED_VALUE"""),43389.0)</f>
        <v>43389</v>
      </c>
      <c r="K2367" s="133">
        <f>IFERROR(__xludf.DUMMYFUNCTION("""COMPUTED_VALUE"""),19.0)</f>
        <v>19</v>
      </c>
      <c r="L2367" s="133">
        <f>IFERROR(__xludf.DUMMYFUNCTION("""COMPUTED_VALUE"""),2.0)</f>
        <v>2</v>
      </c>
      <c r="M2367" s="133">
        <f>IFERROR(__xludf.DUMMYFUNCTION("""COMPUTED_VALUE"""),21.0)</f>
        <v>21</v>
      </c>
      <c r="N2367" s="152" t="str">
        <f>IFERROR(__xludf.DUMMYFUNCTION("""COMPUTED_VALUE"""),"Model 3 LR")</f>
        <v>Model 3 LR</v>
      </c>
      <c r="O2367" s="152" t="str">
        <f>IFERROR(__xludf.DUMMYFUNCTION("""COMPUTED_VALUE"""),"Obsidian Black Metallic")</f>
        <v>Obsidian Black Metallic</v>
      </c>
      <c r="P2367" s="153" t="str">
        <f>IFERROR(__xludf.DUMMYFUNCTION("""COMPUTED_VALUE"""),"18 inch Aero")</f>
        <v>18 inch Aero</v>
      </c>
      <c r="Q2367" s="152" t="str">
        <f>IFERROR(__xludf.DUMMYFUNCTION("""COMPUTED_VALUE"""),"Black seats")</f>
        <v>Black seats</v>
      </c>
      <c r="R2367" s="149" t="str">
        <f>IFERROR(__xludf.DUMMYFUNCTION("""COMPUTED_VALUE"""),"Full Self-Driving")</f>
        <v>Full Self-Driving</v>
      </c>
      <c r="S2367" s="149"/>
      <c r="T2367" s="145"/>
      <c r="U2367" s="145"/>
      <c r="V2367" s="145"/>
      <c r="W2367" s="136"/>
      <c r="X2367" s="137" t="str">
        <f>IFERROR(__xludf.DUMMYFUNCTION("""COMPUTED_VALUE"""),"Excellent")</f>
        <v>Excellent</v>
      </c>
      <c r="Y2367" s="138" t="str">
        <f>IFERROR(__xludf.DUMMYFUNCTION("""COMPUTED_VALUE"""),"Excellent")</f>
        <v>Excellent</v>
      </c>
      <c r="Z2367" s="138" t="str">
        <f>IFERROR(__xludf.DUMMYFUNCTION("""COMPUTED_VALUE"""),"Very Good")</f>
        <v>Very Good</v>
      </c>
      <c r="AA2367" s="138" t="str">
        <f>IFERROR(__xludf.DUMMYFUNCTION("""COMPUTED_VALUE"""),"Good")</f>
        <v>Good</v>
      </c>
      <c r="AB2367" s="138" t="str">
        <f>IFERROR(__xludf.DUMMYFUNCTION("""COMPUTED_VALUE"""),"Good")</f>
        <v>Good</v>
      </c>
      <c r="AC2367" s="139">
        <f>IFERROR(__xludf.DUMMYFUNCTION("""COMPUTED_VALUE"""),2.0)</f>
        <v>2</v>
      </c>
      <c r="AD2367" s="139">
        <f>IFERROR(__xludf.DUMMYFUNCTION("""COMPUTED_VALUE"""),1.0)</f>
        <v>1</v>
      </c>
      <c r="AE2367" s="139">
        <f>IFERROR(__xludf.DUMMYFUNCTION("""COMPUTED_VALUE"""),0.0)</f>
        <v>0</v>
      </c>
      <c r="AF2367" s="140"/>
      <c r="AG2367" s="136"/>
      <c r="AH2367" s="157">
        <f>IFERROR(__xludf.DUMMYFUNCTION("""COMPUTED_VALUE"""),43407.98521310185)</f>
        <v>43407.98521</v>
      </c>
      <c r="AI2367" s="138"/>
      <c r="AJ2367" s="138"/>
      <c r="AK2367" s="138"/>
      <c r="AL2367" s="142"/>
    </row>
    <row r="2368" ht="20.25" customHeight="1">
      <c r="A2368" s="155" t="str">
        <f>IFERROR(__xludf.DUMMYFUNCTION("""COMPUTED_VALUE"""),"passswordistaco")</f>
        <v>passswordistaco</v>
      </c>
      <c r="B2368" s="149" t="str">
        <f>IFERROR(__xludf.DUMMYFUNCTION("""COMPUTED_VALUE"""),"SoCal")</f>
        <v>SoCal</v>
      </c>
      <c r="C2368" s="149" t="str">
        <f>IFERROR(__xludf.DUMMYFUNCTION("""COMPUTED_VALUE"""),"CA")</f>
        <v>CA</v>
      </c>
      <c r="D2368" s="149" t="str">
        <f>IFERROR(__xludf.DUMMYFUNCTION("""COMPUTED_VALUE"""),"USA")</f>
        <v>USA</v>
      </c>
      <c r="E2368" s="156">
        <f>IFERROR(__xludf.DUMMYFUNCTION("""COMPUTED_VALUE"""),43367.0)</f>
        <v>43367</v>
      </c>
      <c r="F2368" s="129"/>
      <c r="G2368" s="154"/>
      <c r="H2368" s="131">
        <f>IFERROR(__xludf.DUMMYFUNCTION("""COMPUTED_VALUE"""),96755.0)</f>
        <v>96755</v>
      </c>
      <c r="I2368" s="144"/>
      <c r="J2368" s="129">
        <f>IFERROR(__xludf.DUMMYFUNCTION("""COMPUTED_VALUE"""),43345.0)</f>
        <v>43345</v>
      </c>
      <c r="K2368" s="133"/>
      <c r="L2368" s="133"/>
      <c r="M2368" s="133"/>
      <c r="N2368" s="152" t="str">
        <f>IFERROR(__xludf.DUMMYFUNCTION("""COMPUTED_VALUE"""),"Model 3 LR AWD")</f>
        <v>Model 3 LR AWD</v>
      </c>
      <c r="O2368" s="152" t="str">
        <f>IFERROR(__xludf.DUMMYFUNCTION("""COMPUTED_VALUE"""),"Pearl White Multi-Coat")</f>
        <v>Pearl White Multi-Coat</v>
      </c>
      <c r="P2368" s="153" t="str">
        <f>IFERROR(__xludf.DUMMYFUNCTION("""COMPUTED_VALUE"""),"18 inch Aero")</f>
        <v>18 inch Aero</v>
      </c>
      <c r="Q2368" s="152" t="str">
        <f>IFERROR(__xludf.DUMMYFUNCTION("""COMPUTED_VALUE"""),"White seats")</f>
        <v>White seats</v>
      </c>
      <c r="R2368" s="149" t="str">
        <f>IFERROR(__xludf.DUMMYFUNCTION("""COMPUTED_VALUE"""),"Enhanced Autopilot")</f>
        <v>Enhanced Autopilot</v>
      </c>
      <c r="S2368" s="149"/>
      <c r="T2368" s="145"/>
      <c r="U2368" s="145"/>
      <c r="V2368" s="145"/>
      <c r="W2368" s="136"/>
      <c r="X2368" s="137" t="str">
        <f>IFERROR(__xludf.DUMMYFUNCTION("""COMPUTED_VALUE"""),"Good")</f>
        <v>Good</v>
      </c>
      <c r="Y2368" s="138" t="str">
        <f>IFERROR(__xludf.DUMMYFUNCTION("""COMPUTED_VALUE"""),"Excellent")</f>
        <v>Excellent</v>
      </c>
      <c r="Z2368" s="138" t="str">
        <f>IFERROR(__xludf.DUMMYFUNCTION("""COMPUTED_VALUE"""),"Excellent")</f>
        <v>Excellent</v>
      </c>
      <c r="AA2368" s="138" t="str">
        <f>IFERROR(__xludf.DUMMYFUNCTION("""COMPUTED_VALUE"""),"Excellent")</f>
        <v>Excellent</v>
      </c>
      <c r="AB2368" s="138" t="str">
        <f>IFERROR(__xludf.DUMMYFUNCTION("""COMPUTED_VALUE"""),"Very Good")</f>
        <v>Very Good</v>
      </c>
      <c r="AC2368" s="139">
        <f>IFERROR(__xludf.DUMMYFUNCTION("""COMPUTED_VALUE"""),1.0)</f>
        <v>1</v>
      </c>
      <c r="AD2368" s="139">
        <f>IFERROR(__xludf.DUMMYFUNCTION("""COMPUTED_VALUE"""),0.0)</f>
        <v>0</v>
      </c>
      <c r="AE2368" s="139">
        <f>IFERROR(__xludf.DUMMYFUNCTION("""COMPUTED_VALUE"""),0.0)</f>
        <v>0</v>
      </c>
      <c r="AF2368" s="140"/>
      <c r="AG2368" s="136"/>
      <c r="AH2368" s="157">
        <f>IFERROR(__xludf.DUMMYFUNCTION("""COMPUTED_VALUE"""),43354.36336813657)</f>
        <v>43354.36337</v>
      </c>
      <c r="AI2368" s="138"/>
      <c r="AJ2368" s="138"/>
      <c r="AK2368" s="138"/>
      <c r="AL2368" s="142"/>
    </row>
    <row r="2369" ht="20.25" customHeight="1">
      <c r="A2369" s="155" t="str">
        <f>IFERROR(__xludf.DUMMYFUNCTION("""COMPUTED_VALUE"""),"Spencer G")</f>
        <v>Spencer G</v>
      </c>
      <c r="B2369" s="149" t="str">
        <f>IFERROR(__xludf.DUMMYFUNCTION("""COMPUTED_VALUE"""),"San Jose")</f>
        <v>San Jose</v>
      </c>
      <c r="C2369" s="149" t="str">
        <f>IFERROR(__xludf.DUMMYFUNCTION("""COMPUTED_VALUE"""),"CA")</f>
        <v>CA</v>
      </c>
      <c r="D2369" s="149" t="str">
        <f>IFERROR(__xludf.DUMMYFUNCTION("""COMPUTED_VALUE"""),"USA")</f>
        <v>USA</v>
      </c>
      <c r="E2369" s="156">
        <f>IFERROR(__xludf.DUMMYFUNCTION("""COMPUTED_VALUE"""),43365.0)</f>
        <v>43365</v>
      </c>
      <c r="F2369" s="129">
        <f>IFERROR(__xludf.DUMMYFUNCTION("""COMPUTED_VALUE"""),43349.0)</f>
        <v>43349</v>
      </c>
      <c r="G2369" s="154"/>
      <c r="H2369" s="131">
        <f>IFERROR(__xludf.DUMMYFUNCTION("""COMPUTED_VALUE"""),57755.0)</f>
        <v>57755</v>
      </c>
      <c r="I2369" s="144" t="str">
        <f>IFERROR(__xludf.DUMMYFUNCTION("""COMPUTED_VALUE"""),"09/18")</f>
        <v>09/18</v>
      </c>
      <c r="J2369" s="129">
        <f>IFERROR(__xludf.DUMMYFUNCTION("""COMPUTED_VALUE"""),43370.0)</f>
        <v>43370</v>
      </c>
      <c r="K2369" s="133"/>
      <c r="L2369" s="133">
        <f>IFERROR(__xludf.DUMMYFUNCTION("""COMPUTED_VALUE"""),21.0)</f>
        <v>21</v>
      </c>
      <c r="M2369" s="133">
        <f>IFERROR(__xludf.DUMMYFUNCTION("""COMPUTED_VALUE"""),5.0)</f>
        <v>5</v>
      </c>
      <c r="N2369" s="152" t="str">
        <f>IFERROR(__xludf.DUMMYFUNCTION("""COMPUTED_VALUE"""),"Model 3 LR")</f>
        <v>Model 3 LR</v>
      </c>
      <c r="O2369" s="152" t="str">
        <f>IFERROR(__xludf.DUMMYFUNCTION("""COMPUTED_VALUE"""),"Pearl White Multi-Coat")</f>
        <v>Pearl White Multi-Coat</v>
      </c>
      <c r="P2369" s="153" t="str">
        <f>IFERROR(__xludf.DUMMYFUNCTION("""COMPUTED_VALUE"""),"18 inch Aero")</f>
        <v>18 inch Aero</v>
      </c>
      <c r="Q2369" s="152" t="str">
        <f>IFERROR(__xludf.DUMMYFUNCTION("""COMPUTED_VALUE"""),"Black seats")</f>
        <v>Black seats</v>
      </c>
      <c r="R2369" s="149" t="str">
        <f>IFERROR(__xludf.DUMMYFUNCTION("""COMPUTED_VALUE"""),"Enhanced Autopilot")</f>
        <v>Enhanced Autopilot</v>
      </c>
      <c r="S2369" s="149"/>
      <c r="T2369" s="145"/>
      <c r="U2369" s="145"/>
      <c r="V2369" s="145"/>
      <c r="W2369" s="136"/>
      <c r="X2369" s="137" t="str">
        <f>IFERROR(__xludf.DUMMYFUNCTION("""COMPUTED_VALUE"""),"Excellent")</f>
        <v>Excellent</v>
      </c>
      <c r="Y2369" s="138" t="str">
        <f>IFERROR(__xludf.DUMMYFUNCTION("""COMPUTED_VALUE"""),"Excellent")</f>
        <v>Excellent</v>
      </c>
      <c r="Z2369" s="138" t="str">
        <f>IFERROR(__xludf.DUMMYFUNCTION("""COMPUTED_VALUE"""),"Excellent")</f>
        <v>Excellent</v>
      </c>
      <c r="AA2369" s="138" t="str">
        <f>IFERROR(__xludf.DUMMYFUNCTION("""COMPUTED_VALUE"""),"Very Good")</f>
        <v>Very Good</v>
      </c>
      <c r="AB2369" s="138" t="str">
        <f>IFERROR(__xludf.DUMMYFUNCTION("""COMPUTED_VALUE"""),"Very Good")</f>
        <v>Very Good</v>
      </c>
      <c r="AC2369" s="139">
        <f>IFERROR(__xludf.DUMMYFUNCTION("""COMPUTED_VALUE"""),0.0)</f>
        <v>0</v>
      </c>
      <c r="AD2369" s="139">
        <f>IFERROR(__xludf.DUMMYFUNCTION("""COMPUTED_VALUE"""),0.0)</f>
        <v>0</v>
      </c>
      <c r="AE2369" s="139">
        <f>IFERROR(__xludf.DUMMYFUNCTION("""COMPUTED_VALUE"""),0.0)</f>
        <v>0</v>
      </c>
      <c r="AF2369" s="140"/>
      <c r="AG2369" s="136" t="str">
        <f>IFERROR(__xludf.DUMMYFUNCTION("""COMPUTED_VALUE"""),"Great build, VIN not sequential ")</f>
        <v>Great build, VIN not sequential </v>
      </c>
      <c r="AH2369" s="157">
        <f>IFERROR(__xludf.DUMMYFUNCTION("""COMPUTED_VALUE"""),43403.40565699075)</f>
        <v>43403.40566</v>
      </c>
      <c r="AI2369" s="138"/>
      <c r="AJ2369" s="138"/>
      <c r="AK2369" s="138"/>
      <c r="AL2369" s="142"/>
    </row>
    <row r="2370" ht="20.25" customHeight="1">
      <c r="A2370" s="155" t="str">
        <f>IFERROR(__xludf.DUMMYFUNCTION("""COMPUTED_VALUE"""),"JayJay")</f>
        <v>JayJay</v>
      </c>
      <c r="B2370" s="149" t="str">
        <f>IFERROR(__xludf.DUMMYFUNCTION("""COMPUTED_VALUE"""),"Bay Area")</f>
        <v>Bay Area</v>
      </c>
      <c r="C2370" s="149" t="str">
        <f>IFERROR(__xludf.DUMMYFUNCTION("""COMPUTED_VALUE"""),"CA")</f>
        <v>CA</v>
      </c>
      <c r="D2370" s="149" t="str">
        <f>IFERROR(__xludf.DUMMYFUNCTION("""COMPUTED_VALUE"""),"USA")</f>
        <v>USA</v>
      </c>
      <c r="E2370" s="156">
        <f>IFERROR(__xludf.DUMMYFUNCTION("""COMPUTED_VALUE"""),43364.0)</f>
        <v>43364</v>
      </c>
      <c r="F2370" s="129">
        <f>IFERROR(__xludf.DUMMYFUNCTION("""COMPUTED_VALUE"""),43391.0)</f>
        <v>43391</v>
      </c>
      <c r="G2370" s="154"/>
      <c r="H2370" s="131">
        <f>IFERROR(__xludf.DUMMYFUNCTION("""COMPUTED_VALUE"""),101755.0)</f>
        <v>101755</v>
      </c>
      <c r="I2370" s="144" t="str">
        <f>IFERROR(__xludf.DUMMYFUNCTION("""COMPUTED_VALUE"""),"10/18")</f>
        <v>10/18</v>
      </c>
      <c r="J2370" s="129">
        <f>IFERROR(__xludf.DUMMYFUNCTION("""COMPUTED_VALUE"""),43394.0)</f>
        <v>43394</v>
      </c>
      <c r="K2370" s="133">
        <f>IFERROR(__xludf.DUMMYFUNCTION("""COMPUTED_VALUE"""),27.0)</f>
        <v>27</v>
      </c>
      <c r="L2370" s="133">
        <f>IFERROR(__xludf.DUMMYFUNCTION("""COMPUTED_VALUE"""),3.0)</f>
        <v>3</v>
      </c>
      <c r="M2370" s="133">
        <f>IFERROR(__xludf.DUMMYFUNCTION("""COMPUTED_VALUE"""),30.0)</f>
        <v>30</v>
      </c>
      <c r="N2370" s="152" t="str">
        <f>IFERROR(__xludf.DUMMYFUNCTION("""COMPUTED_VALUE"""),"Model 3 LR")</f>
        <v>Model 3 LR</v>
      </c>
      <c r="O2370" s="152" t="str">
        <f>IFERROR(__xludf.DUMMYFUNCTION("""COMPUTED_VALUE"""),"Midnight Silver Metallic")</f>
        <v>Midnight Silver Metallic</v>
      </c>
      <c r="P2370" s="153" t="str">
        <f>IFERROR(__xludf.DUMMYFUNCTION("""COMPUTED_VALUE"""),"18 inch Aero")</f>
        <v>18 inch Aero</v>
      </c>
      <c r="Q2370" s="152" t="str">
        <f>IFERROR(__xludf.DUMMYFUNCTION("""COMPUTED_VALUE"""),"Black seats")</f>
        <v>Black seats</v>
      </c>
      <c r="R2370" s="149" t="str">
        <f>IFERROR(__xludf.DUMMYFUNCTION("""COMPUTED_VALUE"""),"None")</f>
        <v>None</v>
      </c>
      <c r="S2370" s="149"/>
      <c r="T2370" s="145"/>
      <c r="U2370" s="145"/>
      <c r="V2370" s="145"/>
      <c r="W2370" s="136"/>
      <c r="X2370" s="137" t="str">
        <f>IFERROR(__xludf.DUMMYFUNCTION("""COMPUTED_VALUE"""),"Excellent")</f>
        <v>Excellent</v>
      </c>
      <c r="Y2370" s="138" t="str">
        <f>IFERROR(__xludf.DUMMYFUNCTION("""COMPUTED_VALUE"""),"Excellent")</f>
        <v>Excellent</v>
      </c>
      <c r="Z2370" s="138" t="str">
        <f>IFERROR(__xludf.DUMMYFUNCTION("""COMPUTED_VALUE"""),"Excellent")</f>
        <v>Excellent</v>
      </c>
      <c r="AA2370" s="138" t="str">
        <f>IFERROR(__xludf.DUMMYFUNCTION("""COMPUTED_VALUE"""),"Excellent")</f>
        <v>Excellent</v>
      </c>
      <c r="AB2370" s="138" t="str">
        <f>IFERROR(__xludf.DUMMYFUNCTION("""COMPUTED_VALUE"""),"Excellent")</f>
        <v>Excellent</v>
      </c>
      <c r="AC2370" s="139">
        <f>IFERROR(__xludf.DUMMYFUNCTION("""COMPUTED_VALUE"""),1.0)</f>
        <v>1</v>
      </c>
      <c r="AD2370" s="139">
        <f>IFERROR(__xludf.DUMMYFUNCTION("""COMPUTED_VALUE"""),1.0)</f>
        <v>1</v>
      </c>
      <c r="AE2370" s="139"/>
      <c r="AF2370" s="140"/>
      <c r="AG2370" s="136"/>
      <c r="AH2370" s="157">
        <f>IFERROR(__xludf.DUMMYFUNCTION("""COMPUTED_VALUE"""),43394.78236189815)</f>
        <v>43394.78236</v>
      </c>
      <c r="AI2370" s="138"/>
      <c r="AJ2370" s="138"/>
      <c r="AK2370" s="138"/>
      <c r="AL2370" s="142"/>
    </row>
    <row r="2371" ht="20.25" customHeight="1">
      <c r="A2371" s="155" t="str">
        <f>IFERROR(__xludf.DUMMYFUNCTION("""COMPUTED_VALUE"""),"ac_sc")</f>
        <v>ac_sc</v>
      </c>
      <c r="B2371" s="149" t="str">
        <f>IFERROR(__xludf.DUMMYFUNCTION("""COMPUTED_VALUE"""),"San Francisco Bay Area")</f>
        <v>San Francisco Bay Area</v>
      </c>
      <c r="C2371" s="149" t="str">
        <f>IFERROR(__xludf.DUMMYFUNCTION("""COMPUTED_VALUE"""),"CA")</f>
        <v>CA</v>
      </c>
      <c r="D2371" s="149" t="str">
        <f>IFERROR(__xludf.DUMMYFUNCTION("""COMPUTED_VALUE"""),"USA")</f>
        <v>USA</v>
      </c>
      <c r="E2371" s="156">
        <f>IFERROR(__xludf.DUMMYFUNCTION("""COMPUTED_VALUE"""),43363.0)</f>
        <v>43363</v>
      </c>
      <c r="F2371" s="129">
        <f>IFERROR(__xludf.DUMMYFUNCTION("""COMPUTED_VALUE"""),43364.0)</f>
        <v>43364</v>
      </c>
      <c r="G2371" s="154"/>
      <c r="H2371" s="131">
        <f>IFERROR(__xludf.DUMMYFUNCTION("""COMPUTED_VALUE"""),53455.0)</f>
        <v>53455</v>
      </c>
      <c r="I2371" s="144" t="str">
        <f>IFERROR(__xludf.DUMMYFUNCTION("""COMPUTED_VALUE"""),"07/18")</f>
        <v>07/18</v>
      </c>
      <c r="J2371" s="129">
        <f>IFERROR(__xludf.DUMMYFUNCTION("""COMPUTED_VALUE"""),43373.0)</f>
        <v>43373</v>
      </c>
      <c r="K2371" s="133">
        <f>IFERROR(__xludf.DUMMYFUNCTION("""COMPUTED_VALUE"""),1.0)</f>
        <v>1</v>
      </c>
      <c r="L2371" s="133">
        <f>IFERROR(__xludf.DUMMYFUNCTION("""COMPUTED_VALUE"""),9.0)</f>
        <v>9</v>
      </c>
      <c r="M2371" s="133">
        <f>IFERROR(__xludf.DUMMYFUNCTION("""COMPUTED_VALUE"""),10.0)</f>
        <v>10</v>
      </c>
      <c r="N2371" s="152" t="str">
        <f>IFERROR(__xludf.DUMMYFUNCTION("""COMPUTED_VALUE"""),"Model 3 LR")</f>
        <v>Model 3 LR</v>
      </c>
      <c r="O2371" s="152" t="str">
        <f>IFERROR(__xludf.DUMMYFUNCTION("""COMPUTED_VALUE"""),"Red Multi-Coat")</f>
        <v>Red Multi-Coat</v>
      </c>
      <c r="P2371" s="153" t="str">
        <f>IFERROR(__xludf.DUMMYFUNCTION("""COMPUTED_VALUE"""),"19 inch Sport")</f>
        <v>19 inch Sport</v>
      </c>
      <c r="Q2371" s="152" t="str">
        <f>IFERROR(__xludf.DUMMYFUNCTION("""COMPUTED_VALUE"""),"Black seats")</f>
        <v>Black seats</v>
      </c>
      <c r="R2371" s="149" t="str">
        <f>IFERROR(__xludf.DUMMYFUNCTION("""COMPUTED_VALUE"""),"None")</f>
        <v>None</v>
      </c>
      <c r="S2371" s="149"/>
      <c r="T2371" s="145"/>
      <c r="U2371" s="145"/>
      <c r="V2371" s="145"/>
      <c r="W2371" s="136"/>
      <c r="X2371" s="137" t="str">
        <f>IFERROR(__xludf.DUMMYFUNCTION("""COMPUTED_VALUE"""),"Excellent")</f>
        <v>Excellent</v>
      </c>
      <c r="Y2371" s="138" t="str">
        <f>IFERROR(__xludf.DUMMYFUNCTION("""COMPUTED_VALUE"""),"Excellent")</f>
        <v>Excellent</v>
      </c>
      <c r="Z2371" s="138" t="str">
        <f>IFERROR(__xludf.DUMMYFUNCTION("""COMPUTED_VALUE"""),"Very Good")</f>
        <v>Very Good</v>
      </c>
      <c r="AA2371" s="138" t="str">
        <f>IFERROR(__xludf.DUMMYFUNCTION("""COMPUTED_VALUE"""),"Very Good")</f>
        <v>Very Good</v>
      </c>
      <c r="AB2371" s="138" t="str">
        <f>IFERROR(__xludf.DUMMYFUNCTION("""COMPUTED_VALUE"""),"Very Good")</f>
        <v>Very Good</v>
      </c>
      <c r="AC2371" s="139">
        <f>IFERROR(__xludf.DUMMYFUNCTION("""COMPUTED_VALUE"""),1.0)</f>
        <v>1</v>
      </c>
      <c r="AD2371" s="139"/>
      <c r="AE2371" s="139"/>
      <c r="AF2371" s="140"/>
      <c r="AG2371" s="136"/>
      <c r="AH2371" s="157">
        <f>IFERROR(__xludf.DUMMYFUNCTION("""COMPUTED_VALUE"""),43377.65816842593)</f>
        <v>43377.65817</v>
      </c>
      <c r="AI2371" s="138"/>
      <c r="AJ2371" s="138"/>
      <c r="AK2371" s="138"/>
      <c r="AL2371" s="142"/>
    </row>
    <row r="2372" ht="20.25" customHeight="1">
      <c r="A2372" s="155" t="str">
        <f>IFERROR(__xludf.DUMMYFUNCTION("""COMPUTED_VALUE"""),"TLeoness")</f>
        <v>TLeoness</v>
      </c>
      <c r="B2372" s="149" t="str">
        <f>IFERROR(__xludf.DUMMYFUNCTION("""COMPUTED_VALUE"""),"Houston")</f>
        <v>Houston</v>
      </c>
      <c r="C2372" s="149" t="str">
        <f>IFERROR(__xludf.DUMMYFUNCTION("""COMPUTED_VALUE"""),"TX")</f>
        <v>TX</v>
      </c>
      <c r="D2372" s="149" t="str">
        <f>IFERROR(__xludf.DUMMYFUNCTION("""COMPUTED_VALUE"""),"USA")</f>
        <v>USA</v>
      </c>
      <c r="E2372" s="156">
        <f>IFERROR(__xludf.DUMMYFUNCTION("""COMPUTED_VALUE"""),43362.0)</f>
        <v>43362</v>
      </c>
      <c r="F2372" s="129">
        <f>IFERROR(__xludf.DUMMYFUNCTION("""COMPUTED_VALUE"""),43381.0)</f>
        <v>43381</v>
      </c>
      <c r="G2372" s="154"/>
      <c r="H2372" s="131">
        <f>IFERROR(__xludf.DUMMYFUNCTION("""COMPUTED_VALUE"""),81255.0)</f>
        <v>81255</v>
      </c>
      <c r="I2372" s="144"/>
      <c r="J2372" s="129">
        <f>IFERROR(__xludf.DUMMYFUNCTION("""COMPUTED_VALUE"""),43396.0)</f>
        <v>43396</v>
      </c>
      <c r="K2372" s="133">
        <f>IFERROR(__xludf.DUMMYFUNCTION("""COMPUTED_VALUE"""),19.0)</f>
        <v>19</v>
      </c>
      <c r="L2372" s="133">
        <f>IFERROR(__xludf.DUMMYFUNCTION("""COMPUTED_VALUE"""),15.0)</f>
        <v>15</v>
      </c>
      <c r="M2372" s="133">
        <f>IFERROR(__xludf.DUMMYFUNCTION("""COMPUTED_VALUE"""),34.0)</f>
        <v>34</v>
      </c>
      <c r="N2372" s="152" t="str">
        <f>IFERROR(__xludf.DUMMYFUNCTION("""COMPUTED_VALUE"""),"Model 3 LR")</f>
        <v>Model 3 LR</v>
      </c>
      <c r="O2372" s="152" t="str">
        <f>IFERROR(__xludf.DUMMYFUNCTION("""COMPUTED_VALUE"""),"Red Multi-Coat")</f>
        <v>Red Multi-Coat</v>
      </c>
      <c r="P2372" s="153" t="str">
        <f>IFERROR(__xludf.DUMMYFUNCTION("""COMPUTED_VALUE"""),"18 inch Aero")</f>
        <v>18 inch Aero</v>
      </c>
      <c r="Q2372" s="152" t="str">
        <f>IFERROR(__xludf.DUMMYFUNCTION("""COMPUTED_VALUE"""),"Black seats")</f>
        <v>Black seats</v>
      </c>
      <c r="R2372" s="149" t="str">
        <f>IFERROR(__xludf.DUMMYFUNCTION("""COMPUTED_VALUE"""),"None")</f>
        <v>None</v>
      </c>
      <c r="S2372" s="149"/>
      <c r="T2372" s="145"/>
      <c r="U2372" s="145"/>
      <c r="V2372" s="145"/>
      <c r="W2372" s="136"/>
      <c r="X2372" s="137" t="str">
        <f>IFERROR(__xludf.DUMMYFUNCTION("""COMPUTED_VALUE"""),"Excellent")</f>
        <v>Excellent</v>
      </c>
      <c r="Y2372" s="138" t="str">
        <f>IFERROR(__xludf.DUMMYFUNCTION("""COMPUTED_VALUE"""),"Excellent")</f>
        <v>Excellent</v>
      </c>
      <c r="Z2372" s="138" t="str">
        <f>IFERROR(__xludf.DUMMYFUNCTION("""COMPUTED_VALUE"""),"Excellent")</f>
        <v>Excellent</v>
      </c>
      <c r="AA2372" s="138" t="str">
        <f>IFERROR(__xludf.DUMMYFUNCTION("""COMPUTED_VALUE"""),"Fair")</f>
        <v>Fair</v>
      </c>
      <c r="AB2372" s="138" t="str">
        <f>IFERROR(__xludf.DUMMYFUNCTION("""COMPUTED_VALUE"""),"Good")</f>
        <v>Good</v>
      </c>
      <c r="AC2372" s="139"/>
      <c r="AD2372" s="139"/>
      <c r="AE2372" s="139"/>
      <c r="AF2372" s="140"/>
      <c r="AG2372" s="136"/>
      <c r="AH2372" s="157">
        <f>IFERROR(__xludf.DUMMYFUNCTION("""COMPUTED_VALUE"""),43400.672189247685)</f>
        <v>43400.67219</v>
      </c>
      <c r="AI2372" s="138"/>
      <c r="AJ2372" s="138"/>
      <c r="AK2372" s="138"/>
      <c r="AL2372" s="142"/>
    </row>
    <row r="2373" ht="20.25" customHeight="1">
      <c r="A2373" s="155" t="str">
        <f>IFERROR(__xludf.DUMMYFUNCTION("""COMPUTED_VALUE"""),"EricB-RI")</f>
        <v>EricB-RI</v>
      </c>
      <c r="B2373" s="149" t="str">
        <f>IFERROR(__xludf.DUMMYFUNCTION("""COMPUTED_VALUE"""),"Smithfield")</f>
        <v>Smithfield</v>
      </c>
      <c r="C2373" s="149" t="str">
        <f>IFERROR(__xludf.DUMMYFUNCTION("""COMPUTED_VALUE"""),"RI")</f>
        <v>RI</v>
      </c>
      <c r="D2373" s="149" t="str">
        <f>IFERROR(__xludf.DUMMYFUNCTION("""COMPUTED_VALUE"""),"USA")</f>
        <v>USA</v>
      </c>
      <c r="E2373" s="156">
        <f>IFERROR(__xludf.DUMMYFUNCTION("""COMPUTED_VALUE"""),43361.0)</f>
        <v>43361</v>
      </c>
      <c r="F2373" s="129">
        <f>IFERROR(__xludf.DUMMYFUNCTION("""COMPUTED_VALUE"""),43348.0)</f>
        <v>43348</v>
      </c>
      <c r="G2373" s="154"/>
      <c r="H2373" s="131">
        <f>IFERROR(__xludf.DUMMYFUNCTION("""COMPUTED_VALUE"""),101514.0)</f>
        <v>101514</v>
      </c>
      <c r="I2373" s="144"/>
      <c r="J2373" s="129">
        <f>IFERROR(__xludf.DUMMYFUNCTION("""COMPUTED_VALUE"""),43406.0)</f>
        <v>43406</v>
      </c>
      <c r="K2373" s="133"/>
      <c r="L2373" s="133">
        <f>IFERROR(__xludf.DUMMYFUNCTION("""COMPUTED_VALUE"""),58.0)</f>
        <v>58</v>
      </c>
      <c r="M2373" s="133">
        <f>IFERROR(__xludf.DUMMYFUNCTION("""COMPUTED_VALUE"""),45.0)</f>
        <v>45</v>
      </c>
      <c r="N2373" s="152" t="str">
        <f>IFERROR(__xludf.DUMMYFUNCTION("""COMPUTED_VALUE"""),"Model 3 LR")</f>
        <v>Model 3 LR</v>
      </c>
      <c r="O2373" s="152" t="str">
        <f>IFERROR(__xludf.DUMMYFUNCTION("""COMPUTED_VALUE"""),"Midnight Silver Metallic")</f>
        <v>Midnight Silver Metallic</v>
      </c>
      <c r="P2373" s="153" t="str">
        <f>IFERROR(__xludf.DUMMYFUNCTION("""COMPUTED_VALUE"""),"18 inch Aero")</f>
        <v>18 inch Aero</v>
      </c>
      <c r="Q2373" s="152" t="str">
        <f>IFERROR(__xludf.DUMMYFUNCTION("""COMPUTED_VALUE"""),"Black seats")</f>
        <v>Black seats</v>
      </c>
      <c r="R2373" s="149" t="str">
        <f>IFERROR(__xludf.DUMMYFUNCTION("""COMPUTED_VALUE"""),"Enhanced Autopilot")</f>
        <v>Enhanced Autopilot</v>
      </c>
      <c r="S2373" s="149"/>
      <c r="T2373" s="145"/>
      <c r="U2373" s="145"/>
      <c r="V2373" s="145"/>
      <c r="W2373" s="136"/>
      <c r="X2373" s="137" t="str">
        <f>IFERROR(__xludf.DUMMYFUNCTION("""COMPUTED_VALUE"""),"Very Good")</f>
        <v>Very Good</v>
      </c>
      <c r="Y2373" s="138" t="str">
        <f>IFERROR(__xludf.DUMMYFUNCTION("""COMPUTED_VALUE"""),"Very Good")</f>
        <v>Very Good</v>
      </c>
      <c r="Z2373" s="138" t="str">
        <f>IFERROR(__xludf.DUMMYFUNCTION("""COMPUTED_VALUE"""),"Very Good")</f>
        <v>Very Good</v>
      </c>
      <c r="AA2373" s="138" t="str">
        <f>IFERROR(__xludf.DUMMYFUNCTION("""COMPUTED_VALUE"""),"Poor")</f>
        <v>Poor</v>
      </c>
      <c r="AB2373" s="138" t="str">
        <f>IFERROR(__xludf.DUMMYFUNCTION("""COMPUTED_VALUE"""),"Very Good")</f>
        <v>Very Good</v>
      </c>
      <c r="AC2373" s="139">
        <f>IFERROR(__xludf.DUMMYFUNCTION("""COMPUTED_VALUE"""),1.0)</f>
        <v>1</v>
      </c>
      <c r="AD2373" s="139"/>
      <c r="AE2373" s="139"/>
      <c r="AF2373" s="140"/>
      <c r="AG2373" s="136" t="str">
        <f>IFERROR(__xludf.DUMMYFUNCTION("""COMPUTED_VALUE"""),"Delivered")</f>
        <v>Delivered</v>
      </c>
      <c r="AH2373" s="157">
        <f>IFERROR(__xludf.DUMMYFUNCTION("""COMPUTED_VALUE"""),43406.432814004635)</f>
        <v>43406.43281</v>
      </c>
      <c r="AI2373" s="138"/>
      <c r="AJ2373" s="138"/>
      <c r="AK2373" s="138"/>
      <c r="AL2373" s="142"/>
    </row>
    <row r="2374" ht="20.25" customHeight="1">
      <c r="A2374" s="155" t="str">
        <f>IFERROR(__xludf.DUMMYFUNCTION("""COMPUTED_VALUE"""),"permesso")</f>
        <v>permesso</v>
      </c>
      <c r="B2374" s="149" t="str">
        <f>IFERROR(__xludf.DUMMYFUNCTION("""COMPUTED_VALUE"""),"Phoenixville")</f>
        <v>Phoenixville</v>
      </c>
      <c r="C2374" s="149" t="str">
        <f>IFERROR(__xludf.DUMMYFUNCTION("""COMPUTED_VALUE"""),"PA")</f>
        <v>PA</v>
      </c>
      <c r="D2374" s="149" t="str">
        <f>IFERROR(__xludf.DUMMYFUNCTION("""COMPUTED_VALUE"""),"USA")</f>
        <v>USA</v>
      </c>
      <c r="E2374" s="156">
        <f>IFERROR(__xludf.DUMMYFUNCTION("""COMPUTED_VALUE"""),43360.0)</f>
        <v>43360</v>
      </c>
      <c r="F2374" s="129">
        <f>IFERROR(__xludf.DUMMYFUNCTION("""COMPUTED_VALUE"""),43404.0)</f>
        <v>43404</v>
      </c>
      <c r="G2374" s="154"/>
      <c r="H2374" s="131">
        <f>IFERROR(__xludf.DUMMYFUNCTION("""COMPUTED_VALUE"""),114855.0)</f>
        <v>114855</v>
      </c>
      <c r="I2374" s="144"/>
      <c r="J2374" s="129">
        <f>IFERROR(__xludf.DUMMYFUNCTION("""COMPUTED_VALUE"""),43430.0)</f>
        <v>43430</v>
      </c>
      <c r="K2374" s="133">
        <f>IFERROR(__xludf.DUMMYFUNCTION("""COMPUTED_VALUE"""),44.0)</f>
        <v>44</v>
      </c>
      <c r="L2374" s="133">
        <f>IFERROR(__xludf.DUMMYFUNCTION("""COMPUTED_VALUE"""),26.0)</f>
        <v>26</v>
      </c>
      <c r="M2374" s="133">
        <f>IFERROR(__xludf.DUMMYFUNCTION("""COMPUTED_VALUE"""),70.0)</f>
        <v>70</v>
      </c>
      <c r="N2374" s="152" t="str">
        <f>IFERROR(__xludf.DUMMYFUNCTION("""COMPUTED_VALUE"""),"Model 3 LR AWD")</f>
        <v>Model 3 LR AWD</v>
      </c>
      <c r="O2374" s="152" t="str">
        <f>IFERROR(__xludf.DUMMYFUNCTION("""COMPUTED_VALUE"""),"Red Multi-Coat")</f>
        <v>Red Multi-Coat</v>
      </c>
      <c r="P2374" s="153" t="str">
        <f>IFERROR(__xludf.DUMMYFUNCTION("""COMPUTED_VALUE"""),"18 inch Aero")</f>
        <v>18 inch Aero</v>
      </c>
      <c r="Q2374" s="152" t="str">
        <f>IFERROR(__xludf.DUMMYFUNCTION("""COMPUTED_VALUE"""),"Black seats")</f>
        <v>Black seats</v>
      </c>
      <c r="R2374" s="149" t="str">
        <f>IFERROR(__xludf.DUMMYFUNCTION("""COMPUTED_VALUE"""),"None")</f>
        <v>None</v>
      </c>
      <c r="S2374" s="149"/>
      <c r="T2374" s="145"/>
      <c r="U2374" s="145"/>
      <c r="V2374" s="145"/>
      <c r="W2374" s="136"/>
      <c r="X2374" s="137" t="str">
        <f>IFERROR(__xludf.DUMMYFUNCTION("""COMPUTED_VALUE"""),"Good")</f>
        <v>Good</v>
      </c>
      <c r="Y2374" s="138" t="str">
        <f>IFERROR(__xludf.DUMMYFUNCTION("""COMPUTED_VALUE"""),"Good")</f>
        <v>Good</v>
      </c>
      <c r="Z2374" s="138" t="str">
        <f>IFERROR(__xludf.DUMMYFUNCTION("""COMPUTED_VALUE"""),"Good")</f>
        <v>Good</v>
      </c>
      <c r="AA2374" s="138" t="str">
        <f>IFERROR(__xludf.DUMMYFUNCTION("""COMPUTED_VALUE"""),"Poor")</f>
        <v>Poor</v>
      </c>
      <c r="AB2374" s="138" t="str">
        <f>IFERROR(__xludf.DUMMYFUNCTION("""COMPUTED_VALUE"""),"Fair")</f>
        <v>Fair</v>
      </c>
      <c r="AC2374" s="139">
        <f>IFERROR(__xludf.DUMMYFUNCTION("""COMPUTED_VALUE"""),3.0)</f>
        <v>3</v>
      </c>
      <c r="AD2374" s="139">
        <f>IFERROR(__xludf.DUMMYFUNCTION("""COMPUTED_VALUE"""),2.0)</f>
        <v>2</v>
      </c>
      <c r="AE2374" s="139"/>
      <c r="AF2374" s="140"/>
      <c r="AG2374" s="136"/>
      <c r="AH2374" s="157">
        <f>IFERROR(__xludf.DUMMYFUNCTION("""COMPUTED_VALUE"""),43469.26241700232)</f>
        <v>43469.26242</v>
      </c>
      <c r="AI2374" s="138"/>
      <c r="AJ2374" s="138"/>
      <c r="AK2374" s="138"/>
      <c r="AL2374" s="142"/>
    </row>
    <row r="2375" ht="20.25" customHeight="1">
      <c r="A2375" s="155" t="str">
        <f>IFERROR(__xludf.DUMMYFUNCTION("""COMPUTED_VALUE"""),"solar")</f>
        <v>solar</v>
      </c>
      <c r="B2375" s="149" t="str">
        <f>IFERROR(__xludf.DUMMYFUNCTION("""COMPUTED_VALUE"""),"Portage")</f>
        <v>Portage</v>
      </c>
      <c r="C2375" s="149" t="str">
        <f>IFERROR(__xludf.DUMMYFUNCTION("""COMPUTED_VALUE"""),"MI")</f>
        <v>MI</v>
      </c>
      <c r="D2375" s="149" t="str">
        <f>IFERROR(__xludf.DUMMYFUNCTION("""COMPUTED_VALUE"""),"USA")</f>
        <v>USA</v>
      </c>
      <c r="E2375" s="156">
        <f>IFERROR(__xludf.DUMMYFUNCTION("""COMPUTED_VALUE"""),43360.0)</f>
        <v>43360</v>
      </c>
      <c r="F2375" s="129">
        <f>IFERROR(__xludf.DUMMYFUNCTION("""COMPUTED_VALUE"""),43402.0)</f>
        <v>43402</v>
      </c>
      <c r="G2375" s="154"/>
      <c r="H2375" s="131">
        <f>IFERROR(__xludf.DUMMYFUNCTION("""COMPUTED_VALUE"""),81415.0)</f>
        <v>81415</v>
      </c>
      <c r="I2375" s="144" t="str">
        <f>IFERROR(__xludf.DUMMYFUNCTION("""COMPUTED_VALUE"""),"10/18")</f>
        <v>10/18</v>
      </c>
      <c r="J2375" s="129">
        <f>IFERROR(__xludf.DUMMYFUNCTION("""COMPUTED_VALUE"""),43418.0)</f>
        <v>43418</v>
      </c>
      <c r="K2375" s="133">
        <f>IFERROR(__xludf.DUMMYFUNCTION("""COMPUTED_VALUE"""),42.0)</f>
        <v>42</v>
      </c>
      <c r="L2375" s="133">
        <f>IFERROR(__xludf.DUMMYFUNCTION("""COMPUTED_VALUE"""),16.0)</f>
        <v>16</v>
      </c>
      <c r="M2375" s="133">
        <f>IFERROR(__xludf.DUMMYFUNCTION("""COMPUTED_VALUE"""),58.0)</f>
        <v>58</v>
      </c>
      <c r="N2375" s="152" t="str">
        <f>IFERROR(__xludf.DUMMYFUNCTION("""COMPUTED_VALUE"""),"Model 3 Performance")</f>
        <v>Model 3 Performance</v>
      </c>
      <c r="O2375" s="152" t="str">
        <f>IFERROR(__xludf.DUMMYFUNCTION("""COMPUTED_VALUE"""),"Pearl White Multi-Coat")</f>
        <v>Pearl White Multi-Coat</v>
      </c>
      <c r="P2375" s="153" t="str">
        <f>IFERROR(__xludf.DUMMYFUNCTION("""COMPUTED_VALUE"""),"20 inch Sport")</f>
        <v>20 inch Sport</v>
      </c>
      <c r="Q2375" s="152" t="str">
        <f>IFERROR(__xludf.DUMMYFUNCTION("""COMPUTED_VALUE"""),"White seats")</f>
        <v>White seats</v>
      </c>
      <c r="R2375" s="149" t="str">
        <f>IFERROR(__xludf.DUMMYFUNCTION("""COMPUTED_VALUE"""),"Enhanced Autopilot")</f>
        <v>Enhanced Autopilot</v>
      </c>
      <c r="S2375" s="149"/>
      <c r="T2375" s="145"/>
      <c r="U2375" s="145"/>
      <c r="V2375" s="145"/>
      <c r="W2375" s="136"/>
      <c r="X2375" s="137" t="str">
        <f>IFERROR(__xludf.DUMMYFUNCTION("""COMPUTED_VALUE"""),"Very Good")</f>
        <v>Very Good</v>
      </c>
      <c r="Y2375" s="138" t="str">
        <f>IFERROR(__xludf.DUMMYFUNCTION("""COMPUTED_VALUE"""),"Poor")</f>
        <v>Poor</v>
      </c>
      <c r="Z2375" s="138" t="str">
        <f>IFERROR(__xludf.DUMMYFUNCTION("""COMPUTED_VALUE"""),"Very Good")</f>
        <v>Very Good</v>
      </c>
      <c r="AA2375" s="138" t="str">
        <f>IFERROR(__xludf.DUMMYFUNCTION("""COMPUTED_VALUE"""),"Very Good")</f>
        <v>Very Good</v>
      </c>
      <c r="AB2375" s="138" t="str">
        <f>IFERROR(__xludf.DUMMYFUNCTION("""COMPUTED_VALUE"""),"Fair")</f>
        <v>Fair</v>
      </c>
      <c r="AC2375" s="139">
        <f>IFERROR(__xludf.DUMMYFUNCTION("""COMPUTED_VALUE"""),6.0)</f>
        <v>6</v>
      </c>
      <c r="AD2375" s="139">
        <f>IFERROR(__xludf.DUMMYFUNCTION("""COMPUTED_VALUE"""),0.0)</f>
        <v>0</v>
      </c>
      <c r="AE2375" s="139">
        <f>IFERROR(__xludf.DUMMYFUNCTION("""COMPUTED_VALUE"""),0.0)</f>
        <v>0</v>
      </c>
      <c r="AF2375" s="140"/>
      <c r="AG2375" s="136"/>
      <c r="AH2375" s="157">
        <f>IFERROR(__xludf.DUMMYFUNCTION("""COMPUTED_VALUE"""),43481.45318377315)</f>
        <v>43481.45318</v>
      </c>
      <c r="AI2375" s="138"/>
      <c r="AJ2375" s="138"/>
      <c r="AK2375" s="138"/>
      <c r="AL2375" s="142"/>
    </row>
    <row r="2376" ht="20.25" customHeight="1">
      <c r="A2376" s="155" t="str">
        <f>IFERROR(__xludf.DUMMYFUNCTION("""COMPUTED_VALUE"""),"AlanSubie4Life")</f>
        <v>AlanSubie4Life</v>
      </c>
      <c r="B2376" s="149" t="str">
        <f>IFERROR(__xludf.DUMMYFUNCTION("""COMPUTED_VALUE"""),"San Diego")</f>
        <v>San Diego</v>
      </c>
      <c r="C2376" s="149" t="str">
        <f>IFERROR(__xludf.DUMMYFUNCTION("""COMPUTED_VALUE"""),"CA")</f>
        <v>CA</v>
      </c>
      <c r="D2376" s="149" t="str">
        <f>IFERROR(__xludf.DUMMYFUNCTION("""COMPUTED_VALUE"""),"USA")</f>
        <v>USA</v>
      </c>
      <c r="E2376" s="156">
        <f>IFERROR(__xludf.DUMMYFUNCTION("""COMPUTED_VALUE"""),43359.0)</f>
        <v>43359</v>
      </c>
      <c r="F2376" s="129">
        <f>IFERROR(__xludf.DUMMYFUNCTION("""COMPUTED_VALUE"""),43406.0)</f>
        <v>43406</v>
      </c>
      <c r="G2376" s="154"/>
      <c r="H2376" s="131">
        <f>IFERROR(__xludf.DUMMYFUNCTION("""COMPUTED_VALUE"""),81495.0)</f>
        <v>81495</v>
      </c>
      <c r="I2376" s="144" t="str">
        <f>IFERROR(__xludf.DUMMYFUNCTION("""COMPUTED_VALUE"""),"10/18")</f>
        <v>10/18</v>
      </c>
      <c r="J2376" s="129">
        <f>IFERROR(__xludf.DUMMYFUNCTION("""COMPUTED_VALUE"""),43414.0)</f>
        <v>43414</v>
      </c>
      <c r="K2376" s="133">
        <f>IFERROR(__xludf.DUMMYFUNCTION("""COMPUTED_VALUE"""),47.0)</f>
        <v>47</v>
      </c>
      <c r="L2376" s="133">
        <f>IFERROR(__xludf.DUMMYFUNCTION("""COMPUTED_VALUE"""),8.0)</f>
        <v>8</v>
      </c>
      <c r="M2376" s="133">
        <f>IFERROR(__xludf.DUMMYFUNCTION("""COMPUTED_VALUE"""),55.0)</f>
        <v>55</v>
      </c>
      <c r="N2376" s="152" t="str">
        <f>IFERROR(__xludf.DUMMYFUNCTION("""COMPUTED_VALUE"""),"Model 3 Performance")</f>
        <v>Model 3 Performance</v>
      </c>
      <c r="O2376" s="152" t="str">
        <f>IFERROR(__xludf.DUMMYFUNCTION("""COMPUTED_VALUE"""),"Pearl White Multi-Coat")</f>
        <v>Pearl White Multi-Coat</v>
      </c>
      <c r="P2376" s="153" t="str">
        <f>IFERROR(__xludf.DUMMYFUNCTION("""COMPUTED_VALUE"""),"20 inch Sport")</f>
        <v>20 inch Sport</v>
      </c>
      <c r="Q2376" s="152" t="str">
        <f>IFERROR(__xludf.DUMMYFUNCTION("""COMPUTED_VALUE"""),"White seats")</f>
        <v>White seats</v>
      </c>
      <c r="R2376" s="149" t="str">
        <f>IFERROR(__xludf.DUMMYFUNCTION("""COMPUTED_VALUE"""),"Enhanced Autopilot")</f>
        <v>Enhanced Autopilot</v>
      </c>
      <c r="S2376" s="149"/>
      <c r="T2376" s="145"/>
      <c r="U2376" s="145"/>
      <c r="V2376" s="145"/>
      <c r="W2376" s="136"/>
      <c r="X2376" s="137" t="str">
        <f>IFERROR(__xludf.DUMMYFUNCTION("""COMPUTED_VALUE"""),"Good")</f>
        <v>Good</v>
      </c>
      <c r="Y2376" s="138" t="str">
        <f>IFERROR(__xludf.DUMMYFUNCTION("""COMPUTED_VALUE"""),"Very Good")</f>
        <v>Very Good</v>
      </c>
      <c r="Z2376" s="138" t="str">
        <f>IFERROR(__xludf.DUMMYFUNCTION("""COMPUTED_VALUE"""),"Very Good")</f>
        <v>Very Good</v>
      </c>
      <c r="AA2376" s="138" t="str">
        <f>IFERROR(__xludf.DUMMYFUNCTION("""COMPUTED_VALUE"""),"Good")</f>
        <v>Good</v>
      </c>
      <c r="AB2376" s="138" t="str">
        <f>IFERROR(__xludf.DUMMYFUNCTION("""COMPUTED_VALUE"""),"Excellent")</f>
        <v>Excellent</v>
      </c>
      <c r="AC2376" s="139">
        <f>IFERROR(__xludf.DUMMYFUNCTION("""COMPUTED_VALUE"""),0.0)</f>
        <v>0</v>
      </c>
      <c r="AD2376" s="139">
        <f>IFERROR(__xludf.DUMMYFUNCTION("""COMPUTED_VALUE"""),0.0)</f>
        <v>0</v>
      </c>
      <c r="AE2376" s="139">
        <f>IFERROR(__xludf.DUMMYFUNCTION("""COMPUTED_VALUE"""),0.0)</f>
        <v>0</v>
      </c>
      <c r="AF2376" s="140"/>
      <c r="AG2376" s="136"/>
      <c r="AH2376" s="157">
        <f>IFERROR(__xludf.DUMMYFUNCTION("""COMPUTED_VALUE"""),43433.69875140046)</f>
        <v>43433.69875</v>
      </c>
      <c r="AI2376" s="138"/>
      <c r="AJ2376" s="138"/>
      <c r="AK2376" s="138"/>
      <c r="AL2376" s="142"/>
    </row>
    <row r="2377" ht="20.25" customHeight="1">
      <c r="A2377" s="155" t="str">
        <f>IFERROR(__xludf.DUMMYFUNCTION("""COMPUTED_VALUE"""),"jtb")</f>
        <v>jtb</v>
      </c>
      <c r="B2377" s="149" t="str">
        <f>IFERROR(__xludf.DUMMYFUNCTION("""COMPUTED_VALUE"""),"Bay area")</f>
        <v>Bay area</v>
      </c>
      <c r="C2377" s="149" t="str">
        <f>IFERROR(__xludf.DUMMYFUNCTION("""COMPUTED_VALUE"""),"CA")</f>
        <v>CA</v>
      </c>
      <c r="D2377" s="149" t="str">
        <f>IFERROR(__xludf.DUMMYFUNCTION("""COMPUTED_VALUE"""),"USA")</f>
        <v>USA</v>
      </c>
      <c r="E2377" s="156">
        <f>IFERROR(__xludf.DUMMYFUNCTION("""COMPUTED_VALUE"""),43359.0)</f>
        <v>43359</v>
      </c>
      <c r="F2377" s="129">
        <f>IFERROR(__xludf.DUMMYFUNCTION("""COMPUTED_VALUE"""),43361.0)</f>
        <v>43361</v>
      </c>
      <c r="G2377" s="154"/>
      <c r="H2377" s="131">
        <f>IFERROR(__xludf.DUMMYFUNCTION("""COMPUTED_VALUE"""),57255.0)</f>
        <v>57255</v>
      </c>
      <c r="I2377" s="144" t="str">
        <f>IFERROR(__xludf.DUMMYFUNCTION("""COMPUTED_VALUE"""),"08/18")</f>
        <v>08/18</v>
      </c>
      <c r="J2377" s="129">
        <f>IFERROR(__xludf.DUMMYFUNCTION("""COMPUTED_VALUE"""),43367.0)</f>
        <v>43367</v>
      </c>
      <c r="K2377" s="133">
        <f>IFERROR(__xludf.DUMMYFUNCTION("""COMPUTED_VALUE"""),2.0)</f>
        <v>2</v>
      </c>
      <c r="L2377" s="133">
        <f>IFERROR(__xludf.DUMMYFUNCTION("""COMPUTED_VALUE"""),6.0)</f>
        <v>6</v>
      </c>
      <c r="M2377" s="133">
        <f>IFERROR(__xludf.DUMMYFUNCTION("""COMPUTED_VALUE"""),8.0)</f>
        <v>8</v>
      </c>
      <c r="N2377" s="152" t="str">
        <f>IFERROR(__xludf.DUMMYFUNCTION("""COMPUTED_VALUE"""),"Model 3 LR")</f>
        <v>Model 3 LR</v>
      </c>
      <c r="O2377" s="152" t="str">
        <f>IFERROR(__xludf.DUMMYFUNCTION("""COMPUTED_VALUE"""),"Pearl White Multi-Coat")</f>
        <v>Pearl White Multi-Coat</v>
      </c>
      <c r="P2377" s="153" t="str">
        <f>IFERROR(__xludf.DUMMYFUNCTION("""COMPUTED_VALUE"""),"18 inch Aero")</f>
        <v>18 inch Aero</v>
      </c>
      <c r="Q2377" s="152" t="str">
        <f>IFERROR(__xludf.DUMMYFUNCTION("""COMPUTED_VALUE"""),"Black seats")</f>
        <v>Black seats</v>
      </c>
      <c r="R2377" s="149" t="str">
        <f>IFERROR(__xludf.DUMMYFUNCTION("""COMPUTED_VALUE"""),"None")</f>
        <v>None</v>
      </c>
      <c r="S2377" s="149"/>
      <c r="T2377" s="145"/>
      <c r="U2377" s="145"/>
      <c r="V2377" s="145"/>
      <c r="W2377" s="136"/>
      <c r="X2377" s="137" t="str">
        <f>IFERROR(__xludf.DUMMYFUNCTION("""COMPUTED_VALUE"""),"Excellent")</f>
        <v>Excellent</v>
      </c>
      <c r="Y2377" s="138" t="str">
        <f>IFERROR(__xludf.DUMMYFUNCTION("""COMPUTED_VALUE"""),"Excellent")</f>
        <v>Excellent</v>
      </c>
      <c r="Z2377" s="138" t="str">
        <f>IFERROR(__xludf.DUMMYFUNCTION("""COMPUTED_VALUE"""),"Excellent")</f>
        <v>Excellent</v>
      </c>
      <c r="AA2377" s="138" t="str">
        <f>IFERROR(__xludf.DUMMYFUNCTION("""COMPUTED_VALUE"""),"Good")</f>
        <v>Good</v>
      </c>
      <c r="AB2377" s="138" t="str">
        <f>IFERROR(__xludf.DUMMYFUNCTION("""COMPUTED_VALUE"""),"Excellent")</f>
        <v>Excellent</v>
      </c>
      <c r="AC2377" s="139"/>
      <c r="AD2377" s="139"/>
      <c r="AE2377" s="139"/>
      <c r="AF2377" s="140"/>
      <c r="AG2377" s="136"/>
      <c r="AH2377" s="157">
        <f>IFERROR(__xludf.DUMMYFUNCTION("""COMPUTED_VALUE"""),43368.966790729166)</f>
        <v>43368.96679</v>
      </c>
      <c r="AI2377" s="138"/>
      <c r="AJ2377" s="138"/>
      <c r="AK2377" s="138"/>
      <c r="AL2377" s="142"/>
    </row>
    <row r="2378" ht="20.25" customHeight="1">
      <c r="A2378" s="155" t="str">
        <f>IFERROR(__xludf.DUMMYFUNCTION("""COMPUTED_VALUE"""),"rackwallace")</f>
        <v>rackwallace</v>
      </c>
      <c r="B2378" s="149" t="str">
        <f>IFERROR(__xludf.DUMMYFUNCTION("""COMPUTED_VALUE"""),"Oakland")</f>
        <v>Oakland</v>
      </c>
      <c r="C2378" s="149" t="str">
        <f>IFERROR(__xludf.DUMMYFUNCTION("""COMPUTED_VALUE"""),"CA")</f>
        <v>CA</v>
      </c>
      <c r="D2378" s="149" t="str">
        <f>IFERROR(__xludf.DUMMYFUNCTION("""COMPUTED_VALUE"""),"USA")</f>
        <v>USA</v>
      </c>
      <c r="E2378" s="156">
        <f>IFERROR(__xludf.DUMMYFUNCTION("""COMPUTED_VALUE"""),43359.0)</f>
        <v>43359</v>
      </c>
      <c r="F2378" s="129">
        <f>IFERROR(__xludf.DUMMYFUNCTION("""COMPUTED_VALUE"""),43445.0)</f>
        <v>43445</v>
      </c>
      <c r="G2378" s="154"/>
      <c r="H2378" s="131">
        <f>IFERROR(__xludf.DUMMYFUNCTION("""COMPUTED_VALUE"""),80958.0)</f>
        <v>80958</v>
      </c>
      <c r="I2378" s="144" t="str">
        <f>IFERROR(__xludf.DUMMYFUNCTION("""COMPUTED_VALUE"""),"11/18")</f>
        <v>11/18</v>
      </c>
      <c r="J2378" s="129">
        <f>IFERROR(__xludf.DUMMYFUNCTION("""COMPUTED_VALUE"""),43449.0)</f>
        <v>43449</v>
      </c>
      <c r="K2378" s="133">
        <f>IFERROR(__xludf.DUMMYFUNCTION("""COMPUTED_VALUE"""),86.0)</f>
        <v>86</v>
      </c>
      <c r="L2378" s="133">
        <f>IFERROR(__xludf.DUMMYFUNCTION("""COMPUTED_VALUE"""),4.0)</f>
        <v>4</v>
      </c>
      <c r="M2378" s="133">
        <f>IFERROR(__xludf.DUMMYFUNCTION("""COMPUTED_VALUE"""),90.0)</f>
        <v>90</v>
      </c>
      <c r="N2378" s="152" t="str">
        <f>IFERROR(__xludf.DUMMYFUNCTION("""COMPUTED_VALUE"""),"Model 3 Performance")</f>
        <v>Model 3 Performance</v>
      </c>
      <c r="O2378" s="152" t="str">
        <f>IFERROR(__xludf.DUMMYFUNCTION("""COMPUTED_VALUE"""),"Deep Blue Metallic")</f>
        <v>Deep Blue Metallic</v>
      </c>
      <c r="P2378" s="153" t="str">
        <f>IFERROR(__xludf.DUMMYFUNCTION("""COMPUTED_VALUE"""),"20 inch Sport")</f>
        <v>20 inch Sport</v>
      </c>
      <c r="Q2378" s="152" t="str">
        <f>IFERROR(__xludf.DUMMYFUNCTION("""COMPUTED_VALUE"""),"White seats")</f>
        <v>White seats</v>
      </c>
      <c r="R2378" s="149" t="str">
        <f>IFERROR(__xludf.DUMMYFUNCTION("""COMPUTED_VALUE"""),"Enhanced Autopilot")</f>
        <v>Enhanced Autopilot</v>
      </c>
      <c r="S2378" s="149"/>
      <c r="T2378" s="145"/>
      <c r="U2378" s="145"/>
      <c r="V2378" s="145"/>
      <c r="W2378" s="136"/>
      <c r="X2378" s="137" t="str">
        <f>IFERROR(__xludf.DUMMYFUNCTION("""COMPUTED_VALUE"""),"Excellent")</f>
        <v>Excellent</v>
      </c>
      <c r="Y2378" s="138" t="str">
        <f>IFERROR(__xludf.DUMMYFUNCTION("""COMPUTED_VALUE"""),"Very Good")</f>
        <v>Very Good</v>
      </c>
      <c r="Z2378" s="138" t="str">
        <f>IFERROR(__xludf.DUMMYFUNCTION("""COMPUTED_VALUE"""),"Excellent")</f>
        <v>Excellent</v>
      </c>
      <c r="AA2378" s="138" t="str">
        <f>IFERROR(__xludf.DUMMYFUNCTION("""COMPUTED_VALUE"""),"Poor")</f>
        <v>Poor</v>
      </c>
      <c r="AB2378" s="138" t="str">
        <f>IFERROR(__xludf.DUMMYFUNCTION("""COMPUTED_VALUE"""),"Fair")</f>
        <v>Fair</v>
      </c>
      <c r="AC2378" s="139">
        <f>IFERROR(__xludf.DUMMYFUNCTION("""COMPUTED_VALUE"""),0.0)</f>
        <v>0</v>
      </c>
      <c r="AD2378" s="139">
        <f>IFERROR(__xludf.DUMMYFUNCTION("""COMPUTED_VALUE"""),0.0)</f>
        <v>0</v>
      </c>
      <c r="AE2378" s="139">
        <f>IFERROR(__xludf.DUMMYFUNCTION("""COMPUTED_VALUE"""),0.0)</f>
        <v>0</v>
      </c>
      <c r="AF2378" s="140"/>
      <c r="AG2378" s="136" t="str">
        <f>IFERROR(__xludf.DUMMYFUNCTION("""COMPUTED_VALUE"""),"First VIN had problems (panel gaps and scratches), so I passed on it.  Waited a few weeks for a second car.   It was great..")</f>
        <v>First VIN had problems (panel gaps and scratches), so I passed on it.  Waited a few weeks for a second car.   It was great..</v>
      </c>
      <c r="AH2378" s="157">
        <f>IFERROR(__xludf.DUMMYFUNCTION("""COMPUTED_VALUE"""),43522.44055944445)</f>
        <v>43522.44056</v>
      </c>
      <c r="AI2378" s="138"/>
      <c r="AJ2378" s="138"/>
      <c r="AK2378" s="138"/>
      <c r="AL2378" s="142"/>
    </row>
    <row r="2379" ht="20.25" customHeight="1">
      <c r="A2379" s="155" t="str">
        <f>IFERROR(__xludf.DUMMYFUNCTION("""COMPUTED_VALUE"""),"chris")</f>
        <v>chris</v>
      </c>
      <c r="B2379" s="149" t="str">
        <f>IFERROR(__xludf.DUMMYFUNCTION("""COMPUTED_VALUE"""),"Montreal")</f>
        <v>Montreal</v>
      </c>
      <c r="C2379" s="149" t="str">
        <f>IFERROR(__xludf.DUMMYFUNCTION("""COMPUTED_VALUE"""),"QC")</f>
        <v>QC</v>
      </c>
      <c r="D2379" s="149" t="str">
        <f>IFERROR(__xludf.DUMMYFUNCTION("""COMPUTED_VALUE"""),"Canada")</f>
        <v>Canada</v>
      </c>
      <c r="E2379" s="156">
        <f>IFERROR(__xludf.DUMMYFUNCTION("""COMPUTED_VALUE"""),43358.0)</f>
        <v>43358</v>
      </c>
      <c r="F2379" s="129">
        <f>IFERROR(__xludf.DUMMYFUNCTION("""COMPUTED_VALUE"""),43392.0)</f>
        <v>43392</v>
      </c>
      <c r="G2379" s="154"/>
      <c r="H2379" s="131">
        <f>IFERROR(__xludf.DUMMYFUNCTION("""COMPUTED_VALUE"""),107730.0)</f>
        <v>107730</v>
      </c>
      <c r="I2379" s="144"/>
      <c r="J2379" s="129">
        <f>IFERROR(__xludf.DUMMYFUNCTION("""COMPUTED_VALUE"""),43419.0)</f>
        <v>43419</v>
      </c>
      <c r="K2379" s="133">
        <f>IFERROR(__xludf.DUMMYFUNCTION("""COMPUTED_VALUE"""),34.0)</f>
        <v>34</v>
      </c>
      <c r="L2379" s="133">
        <f>IFERROR(__xludf.DUMMYFUNCTION("""COMPUTED_VALUE"""),27.0)</f>
        <v>27</v>
      </c>
      <c r="M2379" s="133">
        <f>IFERROR(__xludf.DUMMYFUNCTION("""COMPUTED_VALUE"""),61.0)</f>
        <v>61</v>
      </c>
      <c r="N2379" s="152" t="str">
        <f>IFERROR(__xludf.DUMMYFUNCTION("""COMPUTED_VALUE"""),"Model 3 LR AWD")</f>
        <v>Model 3 LR AWD</v>
      </c>
      <c r="O2379" s="152" t="str">
        <f>IFERROR(__xludf.DUMMYFUNCTION("""COMPUTED_VALUE"""),"Pearl White Multi-Coat")</f>
        <v>Pearl White Multi-Coat</v>
      </c>
      <c r="P2379" s="153" t="str">
        <f>IFERROR(__xludf.DUMMYFUNCTION("""COMPUTED_VALUE"""),"18 inch Aero")</f>
        <v>18 inch Aero</v>
      </c>
      <c r="Q2379" s="152" t="str">
        <f>IFERROR(__xludf.DUMMYFUNCTION("""COMPUTED_VALUE"""),"Black seats")</f>
        <v>Black seats</v>
      </c>
      <c r="R2379" s="149" t="str">
        <f>IFERROR(__xludf.DUMMYFUNCTION("""COMPUTED_VALUE"""),"Enhanced Autopilot")</f>
        <v>Enhanced Autopilot</v>
      </c>
      <c r="S2379" s="149"/>
      <c r="T2379" s="145"/>
      <c r="U2379" s="145"/>
      <c r="V2379" s="145"/>
      <c r="W2379" s="136"/>
      <c r="X2379" s="137" t="str">
        <f>IFERROR(__xludf.DUMMYFUNCTION("""COMPUTED_VALUE"""),"Very Good")</f>
        <v>Very Good</v>
      </c>
      <c r="Y2379" s="138" t="str">
        <f>IFERROR(__xludf.DUMMYFUNCTION("""COMPUTED_VALUE"""),"Excellent")</f>
        <v>Excellent</v>
      </c>
      <c r="Z2379" s="138" t="str">
        <f>IFERROR(__xludf.DUMMYFUNCTION("""COMPUTED_VALUE"""),"Excellent")</f>
        <v>Excellent</v>
      </c>
      <c r="AA2379" s="138" t="str">
        <f>IFERROR(__xludf.DUMMYFUNCTION("""COMPUTED_VALUE"""),"Very Good")</f>
        <v>Very Good</v>
      </c>
      <c r="AB2379" s="138" t="str">
        <f>IFERROR(__xludf.DUMMYFUNCTION("""COMPUTED_VALUE"""),"Very Good")</f>
        <v>Very Good</v>
      </c>
      <c r="AC2379" s="139"/>
      <c r="AD2379" s="139"/>
      <c r="AE2379" s="139"/>
      <c r="AF2379" s="140"/>
      <c r="AG2379" s="136" t="str">
        <f>IFERROR(__xludf.DUMMYFUNCTION("""COMPUTED_VALUE"""),"when I ordered my winter tire via tesla web site the tesla rep it will take between 2-3 week to get the tire.  It took 2 months.")</f>
        <v>when I ordered my winter tire via tesla web site the tesla rep it will take between 2-3 week to get the tire.  It took 2 months.</v>
      </c>
      <c r="AH2379" s="157">
        <f>IFERROR(__xludf.DUMMYFUNCTION("""COMPUTED_VALUE"""),43454.61967771991)</f>
        <v>43454.61968</v>
      </c>
      <c r="AI2379" s="138"/>
      <c r="AJ2379" s="138"/>
      <c r="AK2379" s="138"/>
      <c r="AL2379" s="142"/>
    </row>
    <row r="2380" ht="20.25" customHeight="1">
      <c r="A2380" s="155" t="str">
        <f>IFERROR(__xludf.DUMMYFUNCTION("""COMPUTED_VALUE"""),"MO_OC")</f>
        <v>MO_OC</v>
      </c>
      <c r="B2380" s="149" t="str">
        <f>IFERROR(__xludf.DUMMYFUNCTION("""COMPUTED_VALUE"""),"Orange County")</f>
        <v>Orange County</v>
      </c>
      <c r="C2380" s="149" t="str">
        <f>IFERROR(__xludf.DUMMYFUNCTION("""COMPUTED_VALUE"""),"CA")</f>
        <v>CA</v>
      </c>
      <c r="D2380" s="149" t="str">
        <f>IFERROR(__xludf.DUMMYFUNCTION("""COMPUTED_VALUE"""),"USA")</f>
        <v>USA</v>
      </c>
      <c r="E2380" s="156">
        <f>IFERROR(__xludf.DUMMYFUNCTION("""COMPUTED_VALUE"""),43358.0)</f>
        <v>43358</v>
      </c>
      <c r="F2380" s="129">
        <f>IFERROR(__xludf.DUMMYFUNCTION("""COMPUTED_VALUE"""),43392.0)</f>
        <v>43392</v>
      </c>
      <c r="G2380" s="154"/>
      <c r="H2380" s="131">
        <f>IFERROR(__xludf.DUMMYFUNCTION("""COMPUTED_VALUE"""),82513.0)</f>
        <v>82513</v>
      </c>
      <c r="I2380" s="144" t="str">
        <f>IFERROR(__xludf.DUMMYFUNCTION("""COMPUTED_VALUE"""),"10/18")</f>
        <v>10/18</v>
      </c>
      <c r="J2380" s="129">
        <f>IFERROR(__xludf.DUMMYFUNCTION("""COMPUTED_VALUE"""),43394.0)</f>
        <v>43394</v>
      </c>
      <c r="K2380" s="133">
        <f>IFERROR(__xludf.DUMMYFUNCTION("""COMPUTED_VALUE"""),34.0)</f>
        <v>34</v>
      </c>
      <c r="L2380" s="133">
        <f>IFERROR(__xludf.DUMMYFUNCTION("""COMPUTED_VALUE"""),2.0)</f>
        <v>2</v>
      </c>
      <c r="M2380" s="133">
        <f>IFERROR(__xludf.DUMMYFUNCTION("""COMPUTED_VALUE"""),36.0)</f>
        <v>36</v>
      </c>
      <c r="N2380" s="152" t="str">
        <f>IFERROR(__xludf.DUMMYFUNCTION("""COMPUTED_VALUE"""),"Model 3 Performance")</f>
        <v>Model 3 Performance</v>
      </c>
      <c r="O2380" s="152" t="str">
        <f>IFERROR(__xludf.DUMMYFUNCTION("""COMPUTED_VALUE"""),"Solid Black")</f>
        <v>Solid Black</v>
      </c>
      <c r="P2380" s="153" t="str">
        <f>IFERROR(__xludf.DUMMYFUNCTION("""COMPUTED_VALUE"""),"20 inch Sport")</f>
        <v>20 inch Sport</v>
      </c>
      <c r="Q2380" s="152" t="str">
        <f>IFERROR(__xludf.DUMMYFUNCTION("""COMPUTED_VALUE"""),"Black seats")</f>
        <v>Black seats</v>
      </c>
      <c r="R2380" s="149" t="str">
        <f>IFERROR(__xludf.DUMMYFUNCTION("""COMPUTED_VALUE"""),"Enhanced Autopilot")</f>
        <v>Enhanced Autopilot</v>
      </c>
      <c r="S2380" s="149"/>
      <c r="T2380" s="145"/>
      <c r="U2380" s="145"/>
      <c r="V2380" s="145"/>
      <c r="W2380" s="136"/>
      <c r="X2380" s="137" t="str">
        <f>IFERROR(__xludf.DUMMYFUNCTION("""COMPUTED_VALUE"""),"Excellent")</f>
        <v>Excellent</v>
      </c>
      <c r="Y2380" s="138" t="str">
        <f>IFERROR(__xludf.DUMMYFUNCTION("""COMPUTED_VALUE"""),"Excellent")</f>
        <v>Excellent</v>
      </c>
      <c r="Z2380" s="138" t="str">
        <f>IFERROR(__xludf.DUMMYFUNCTION("""COMPUTED_VALUE"""),"Very Good")</f>
        <v>Very Good</v>
      </c>
      <c r="AA2380" s="138" t="str">
        <f>IFERROR(__xludf.DUMMYFUNCTION("""COMPUTED_VALUE"""),"Excellent")</f>
        <v>Excellent</v>
      </c>
      <c r="AB2380" s="138" t="str">
        <f>IFERROR(__xludf.DUMMYFUNCTION("""COMPUTED_VALUE"""),"Excellent")</f>
        <v>Excellent</v>
      </c>
      <c r="AC2380" s="139"/>
      <c r="AD2380" s="139"/>
      <c r="AE2380" s="139"/>
      <c r="AF2380" s="140"/>
      <c r="AG2380" s="136"/>
      <c r="AH2380" s="157">
        <f>IFERROR(__xludf.DUMMYFUNCTION("""COMPUTED_VALUE"""),43395.51980148148)</f>
        <v>43395.5198</v>
      </c>
      <c r="AI2380" s="138"/>
      <c r="AJ2380" s="138"/>
      <c r="AK2380" s="138"/>
      <c r="AL2380" s="142"/>
    </row>
    <row r="2381" ht="20.25" customHeight="1">
      <c r="A2381" s="155" t="str">
        <f>IFERROR(__xludf.DUMMYFUNCTION("""COMPUTED_VALUE"""),"realdealdaniel")</f>
        <v>realdealdaniel</v>
      </c>
      <c r="B2381" s="149" t="str">
        <f>IFERROR(__xludf.DUMMYFUNCTION("""COMPUTED_VALUE"""),"Chicago")</f>
        <v>Chicago</v>
      </c>
      <c r="C2381" s="149" t="str">
        <f>IFERROR(__xludf.DUMMYFUNCTION("""COMPUTED_VALUE"""),"IL")</f>
        <v>IL</v>
      </c>
      <c r="D2381" s="149" t="str">
        <f>IFERROR(__xludf.DUMMYFUNCTION("""COMPUTED_VALUE"""),"USA")</f>
        <v>USA</v>
      </c>
      <c r="E2381" s="156">
        <f>IFERROR(__xludf.DUMMYFUNCTION("""COMPUTED_VALUE"""),43358.0)</f>
        <v>43358</v>
      </c>
      <c r="F2381" s="129">
        <f>IFERROR(__xludf.DUMMYFUNCTION("""COMPUTED_VALUE"""),43361.0)</f>
        <v>43361</v>
      </c>
      <c r="G2381" s="154"/>
      <c r="H2381" s="131">
        <f>IFERROR(__xludf.DUMMYFUNCTION("""COMPUTED_VALUE"""),72745.0)</f>
        <v>72745</v>
      </c>
      <c r="I2381" s="144" t="str">
        <f>IFERROR(__xludf.DUMMYFUNCTION("""COMPUTED_VALUE"""),"09/18")</f>
        <v>09/18</v>
      </c>
      <c r="J2381" s="129">
        <f>IFERROR(__xludf.DUMMYFUNCTION("""COMPUTED_VALUE"""),43368.0)</f>
        <v>43368</v>
      </c>
      <c r="K2381" s="133">
        <f>IFERROR(__xludf.DUMMYFUNCTION("""COMPUTED_VALUE"""),3.0)</f>
        <v>3</v>
      </c>
      <c r="L2381" s="133">
        <f>IFERROR(__xludf.DUMMYFUNCTION("""COMPUTED_VALUE"""),7.0)</f>
        <v>7</v>
      </c>
      <c r="M2381" s="133">
        <f>IFERROR(__xludf.DUMMYFUNCTION("""COMPUTED_VALUE"""),10.0)</f>
        <v>10</v>
      </c>
      <c r="N2381" s="152" t="str">
        <f>IFERROR(__xludf.DUMMYFUNCTION("""COMPUTED_VALUE"""),"Model 3 Performance")</f>
        <v>Model 3 Performance</v>
      </c>
      <c r="O2381" s="152" t="str">
        <f>IFERROR(__xludf.DUMMYFUNCTION("""COMPUTED_VALUE"""),"Pearl White Multi-Coat")</f>
        <v>Pearl White Multi-Coat</v>
      </c>
      <c r="P2381" s="153" t="str">
        <f>IFERROR(__xludf.DUMMYFUNCTION("""COMPUTED_VALUE"""),"20 inch Sport")</f>
        <v>20 inch Sport</v>
      </c>
      <c r="Q2381" s="152" t="str">
        <f>IFERROR(__xludf.DUMMYFUNCTION("""COMPUTED_VALUE"""),"Black seats")</f>
        <v>Black seats</v>
      </c>
      <c r="R2381" s="149" t="str">
        <f>IFERROR(__xludf.DUMMYFUNCTION("""COMPUTED_VALUE"""),"Enhanced Autopilot")</f>
        <v>Enhanced Autopilot</v>
      </c>
      <c r="S2381" s="149"/>
      <c r="T2381" s="145"/>
      <c r="U2381" s="145"/>
      <c r="V2381" s="145"/>
      <c r="W2381" s="136"/>
      <c r="X2381" s="137" t="str">
        <f>IFERROR(__xludf.DUMMYFUNCTION("""COMPUTED_VALUE"""),"Excellent")</f>
        <v>Excellent</v>
      </c>
      <c r="Y2381" s="138" t="str">
        <f>IFERROR(__xludf.DUMMYFUNCTION("""COMPUTED_VALUE"""),"Excellent")</f>
        <v>Excellent</v>
      </c>
      <c r="Z2381" s="138" t="str">
        <f>IFERROR(__xludf.DUMMYFUNCTION("""COMPUTED_VALUE"""),"Excellent")</f>
        <v>Excellent</v>
      </c>
      <c r="AA2381" s="138" t="str">
        <f>IFERROR(__xludf.DUMMYFUNCTION("""COMPUTED_VALUE"""),"Excellent")</f>
        <v>Excellent</v>
      </c>
      <c r="AB2381" s="138" t="str">
        <f>IFERROR(__xludf.DUMMYFUNCTION("""COMPUTED_VALUE"""),"Excellent")</f>
        <v>Excellent</v>
      </c>
      <c r="AC2381" s="139">
        <f>IFERROR(__xludf.DUMMYFUNCTION("""COMPUTED_VALUE"""),0.0)</f>
        <v>0</v>
      </c>
      <c r="AD2381" s="139">
        <f>IFERROR(__xludf.DUMMYFUNCTION("""COMPUTED_VALUE"""),1.0)</f>
        <v>1</v>
      </c>
      <c r="AE2381" s="139">
        <f>IFERROR(__xludf.DUMMYFUNCTION("""COMPUTED_VALUE"""),3.0)</f>
        <v>3</v>
      </c>
      <c r="AF2381" s="140"/>
      <c r="AG2381" s="136" t="str">
        <f>IFERROR(__xludf.DUMMYFUNCTION("""COMPUTED_VALUE"""),"Cracked 2 rims first week, car was in svc. Svc data points will be statistical outliers.")</f>
        <v>Cracked 2 rims first week, car was in svc. Svc data points will be statistical outliers.</v>
      </c>
      <c r="AH2381" s="157">
        <f>IFERROR(__xludf.DUMMYFUNCTION("""COMPUTED_VALUE"""),43403.69051876158)</f>
        <v>43403.69052</v>
      </c>
      <c r="AI2381" s="138"/>
      <c r="AJ2381" s="138"/>
      <c r="AK2381" s="138"/>
      <c r="AL2381" s="142"/>
    </row>
    <row r="2382" ht="20.25" customHeight="1">
      <c r="A2382" s="155" t="str">
        <f>IFERROR(__xludf.DUMMYFUNCTION("""COMPUTED_VALUE"""),"amhcaveman")</f>
        <v>amhcaveman</v>
      </c>
      <c r="B2382" s="149" t="str">
        <f>IFERROR(__xludf.DUMMYFUNCTION("""COMPUTED_VALUE"""),"Cambridge, MA")</f>
        <v>Cambridge, MA</v>
      </c>
      <c r="C2382" s="149" t="str">
        <f>IFERROR(__xludf.DUMMYFUNCTION("""COMPUTED_VALUE"""),"MA")</f>
        <v>MA</v>
      </c>
      <c r="D2382" s="149" t="str">
        <f>IFERROR(__xludf.DUMMYFUNCTION("""COMPUTED_VALUE"""),"USA")</f>
        <v>USA</v>
      </c>
      <c r="E2382" s="156">
        <f>IFERROR(__xludf.DUMMYFUNCTION("""COMPUTED_VALUE"""),43357.0)</f>
        <v>43357</v>
      </c>
      <c r="F2382" s="129">
        <f>IFERROR(__xludf.DUMMYFUNCTION("""COMPUTED_VALUE"""),43403.0)</f>
        <v>43403</v>
      </c>
      <c r="G2382" s="154"/>
      <c r="H2382" s="131">
        <f>IFERROR(__xludf.DUMMYFUNCTION("""COMPUTED_VALUE"""),115255.0)</f>
        <v>115255</v>
      </c>
      <c r="I2382" s="144"/>
      <c r="J2382" s="129">
        <f>IFERROR(__xludf.DUMMYFUNCTION("""COMPUTED_VALUE"""),43446.0)</f>
        <v>43446</v>
      </c>
      <c r="K2382" s="133">
        <f>IFERROR(__xludf.DUMMYFUNCTION("""COMPUTED_VALUE"""),46.0)</f>
        <v>46</v>
      </c>
      <c r="L2382" s="133">
        <f>IFERROR(__xludf.DUMMYFUNCTION("""COMPUTED_VALUE"""),43.0)</f>
        <v>43</v>
      </c>
      <c r="M2382" s="133">
        <f>IFERROR(__xludf.DUMMYFUNCTION("""COMPUTED_VALUE"""),89.0)</f>
        <v>89</v>
      </c>
      <c r="N2382" s="152" t="str">
        <f>IFERROR(__xludf.DUMMYFUNCTION("""COMPUTED_VALUE"""),"Model 3 LR AWD")</f>
        <v>Model 3 LR AWD</v>
      </c>
      <c r="O2382" s="152" t="str">
        <f>IFERROR(__xludf.DUMMYFUNCTION("""COMPUTED_VALUE"""),"Deep Blue Metallic")</f>
        <v>Deep Blue Metallic</v>
      </c>
      <c r="P2382" s="153" t="str">
        <f>IFERROR(__xludf.DUMMYFUNCTION("""COMPUTED_VALUE"""),"18 inch Aero")</f>
        <v>18 inch Aero</v>
      </c>
      <c r="Q2382" s="152" t="str">
        <f>IFERROR(__xludf.DUMMYFUNCTION("""COMPUTED_VALUE"""),"Black seats")</f>
        <v>Black seats</v>
      </c>
      <c r="R2382" s="149" t="str">
        <f>IFERROR(__xludf.DUMMYFUNCTION("""COMPUTED_VALUE"""),"Enhanced Autopilot")</f>
        <v>Enhanced Autopilot</v>
      </c>
      <c r="S2382" s="149"/>
      <c r="T2382" s="145"/>
      <c r="U2382" s="145"/>
      <c r="V2382" s="145"/>
      <c r="W2382" s="136"/>
      <c r="X2382" s="137" t="str">
        <f>IFERROR(__xludf.DUMMYFUNCTION("""COMPUTED_VALUE"""),"Excellent")</f>
        <v>Excellent</v>
      </c>
      <c r="Y2382" s="138" t="str">
        <f>IFERROR(__xludf.DUMMYFUNCTION("""COMPUTED_VALUE"""),"Excellent")</f>
        <v>Excellent</v>
      </c>
      <c r="Z2382" s="138" t="str">
        <f>IFERROR(__xludf.DUMMYFUNCTION("""COMPUTED_VALUE"""),"Good")</f>
        <v>Good</v>
      </c>
      <c r="AA2382" s="138" t="str">
        <f>IFERROR(__xludf.DUMMYFUNCTION("""COMPUTED_VALUE"""),"Very Good")</f>
        <v>Very Good</v>
      </c>
      <c r="AB2382" s="138" t="str">
        <f>IFERROR(__xludf.DUMMYFUNCTION("""COMPUTED_VALUE"""),"Excellent")</f>
        <v>Excellent</v>
      </c>
      <c r="AC2382" s="139">
        <f>IFERROR(__xludf.DUMMYFUNCTION("""COMPUTED_VALUE"""),1.0)</f>
        <v>1</v>
      </c>
      <c r="AD2382" s="139">
        <f>IFERROR(__xludf.DUMMYFUNCTION("""COMPUTED_VALUE"""),0.0)</f>
        <v>0</v>
      </c>
      <c r="AE2382" s="139"/>
      <c r="AF2382" s="140"/>
      <c r="AG2382" s="136"/>
      <c r="AH2382" s="157">
        <f>IFERROR(__xludf.DUMMYFUNCTION("""COMPUTED_VALUE"""),43494.55647402777)</f>
        <v>43494.55647</v>
      </c>
      <c r="AI2382" s="138"/>
      <c r="AJ2382" s="138"/>
      <c r="AK2382" s="138"/>
      <c r="AL2382" s="142"/>
    </row>
    <row r="2383" ht="20.25" customHeight="1">
      <c r="A2383" s="155" t="str">
        <f>IFERROR(__xludf.DUMMYFUNCTION("""COMPUTED_VALUE"""),"feverfive")</f>
        <v>feverfive</v>
      </c>
      <c r="B2383" s="149" t="str">
        <f>IFERROR(__xludf.DUMMYFUNCTION("""COMPUTED_VALUE"""),"Dedham")</f>
        <v>Dedham</v>
      </c>
      <c r="C2383" s="149" t="str">
        <f>IFERROR(__xludf.DUMMYFUNCTION("""COMPUTED_VALUE"""),"MA")</f>
        <v>MA</v>
      </c>
      <c r="D2383" s="149" t="str">
        <f>IFERROR(__xludf.DUMMYFUNCTION("""COMPUTED_VALUE"""),"USA")</f>
        <v>USA</v>
      </c>
      <c r="E2383" s="156">
        <f>IFERROR(__xludf.DUMMYFUNCTION("""COMPUTED_VALUE"""),43357.0)</f>
        <v>43357</v>
      </c>
      <c r="F2383" s="129">
        <f>IFERROR(__xludf.DUMMYFUNCTION("""COMPUTED_VALUE"""),43410.0)</f>
        <v>43410</v>
      </c>
      <c r="G2383" s="154"/>
      <c r="H2383" s="131">
        <f>IFERROR(__xludf.DUMMYFUNCTION("""COMPUTED_VALUE"""),108655.0)</f>
        <v>108655</v>
      </c>
      <c r="I2383" s="144"/>
      <c r="J2383" s="129">
        <f>IFERROR(__xludf.DUMMYFUNCTION("""COMPUTED_VALUE"""),43420.0)</f>
        <v>43420</v>
      </c>
      <c r="K2383" s="133">
        <f>IFERROR(__xludf.DUMMYFUNCTION("""COMPUTED_VALUE"""),53.0)</f>
        <v>53</v>
      </c>
      <c r="L2383" s="133">
        <f>IFERROR(__xludf.DUMMYFUNCTION("""COMPUTED_VALUE"""),10.0)</f>
        <v>10</v>
      </c>
      <c r="M2383" s="133">
        <f>IFERROR(__xludf.DUMMYFUNCTION("""COMPUTED_VALUE"""),63.0)</f>
        <v>63</v>
      </c>
      <c r="N2383" s="152" t="str">
        <f>IFERROR(__xludf.DUMMYFUNCTION("""COMPUTED_VALUE"""),"Model 3 LR AWD")</f>
        <v>Model 3 LR AWD</v>
      </c>
      <c r="O2383" s="152" t="str">
        <f>IFERROR(__xludf.DUMMYFUNCTION("""COMPUTED_VALUE"""),"Pearl White Multi-Coat")</f>
        <v>Pearl White Multi-Coat</v>
      </c>
      <c r="P2383" s="153" t="str">
        <f>IFERROR(__xludf.DUMMYFUNCTION("""COMPUTED_VALUE"""),"18 inch Aero")</f>
        <v>18 inch Aero</v>
      </c>
      <c r="Q2383" s="152" t="str">
        <f>IFERROR(__xludf.DUMMYFUNCTION("""COMPUTED_VALUE"""),"Black seats")</f>
        <v>Black seats</v>
      </c>
      <c r="R2383" s="149" t="str">
        <f>IFERROR(__xludf.DUMMYFUNCTION("""COMPUTED_VALUE"""),"Enhanced Autopilot")</f>
        <v>Enhanced Autopilot</v>
      </c>
      <c r="S2383" s="149"/>
      <c r="T2383" s="145"/>
      <c r="U2383" s="145"/>
      <c r="V2383" s="145"/>
      <c r="W2383" s="136"/>
      <c r="X2383" s="137" t="str">
        <f>IFERROR(__xludf.DUMMYFUNCTION("""COMPUTED_VALUE"""),"Excellent")</f>
        <v>Excellent</v>
      </c>
      <c r="Y2383" s="138" t="str">
        <f>IFERROR(__xludf.DUMMYFUNCTION("""COMPUTED_VALUE"""),"Excellent")</f>
        <v>Excellent</v>
      </c>
      <c r="Z2383" s="138" t="str">
        <f>IFERROR(__xludf.DUMMYFUNCTION("""COMPUTED_VALUE"""),"Very Good")</f>
        <v>Very Good</v>
      </c>
      <c r="AA2383" s="138" t="str">
        <f>IFERROR(__xludf.DUMMYFUNCTION("""COMPUTED_VALUE"""),"Good")</f>
        <v>Good</v>
      </c>
      <c r="AB2383" s="138" t="str">
        <f>IFERROR(__xludf.DUMMYFUNCTION("""COMPUTED_VALUE"""),"Good")</f>
        <v>Good</v>
      </c>
      <c r="AC2383" s="139">
        <f>IFERROR(__xludf.DUMMYFUNCTION("""COMPUTED_VALUE"""),1.0)</f>
        <v>1</v>
      </c>
      <c r="AD2383" s="139">
        <f>IFERROR(__xludf.DUMMYFUNCTION("""COMPUTED_VALUE"""),0.0)</f>
        <v>0</v>
      </c>
      <c r="AE2383" s="139"/>
      <c r="AF2383" s="140"/>
      <c r="AG2383" s="136" t="str">
        <f>IFERROR(__xludf.DUMMYFUNCTION("""COMPUTED_VALUE"""),"EAP not on vehicle despite original configuration. Still waiting 24 days later.")</f>
        <v>EAP not on vehicle despite original configuration. Still waiting 24 days later.</v>
      </c>
      <c r="AH2383" s="157">
        <f>IFERROR(__xludf.DUMMYFUNCTION("""COMPUTED_VALUE"""),43438.117817673614)</f>
        <v>43438.11782</v>
      </c>
      <c r="AI2383" s="138"/>
      <c r="AJ2383" s="138"/>
      <c r="AK2383" s="138"/>
      <c r="AL2383" s="142"/>
    </row>
    <row r="2384" ht="20.25" customHeight="1">
      <c r="A2384" s="155" t="str">
        <f>IFERROR(__xludf.DUMMYFUNCTION("""COMPUTED_VALUE"""),"ds")</f>
        <v>ds</v>
      </c>
      <c r="B2384" s="149" t="str">
        <f>IFERROR(__xludf.DUMMYFUNCTION("""COMPUTED_VALUE"""),"Vancouver, BC")</f>
        <v>Vancouver, BC</v>
      </c>
      <c r="C2384" s="149" t="str">
        <f>IFERROR(__xludf.DUMMYFUNCTION("""COMPUTED_VALUE"""),"BC")</f>
        <v>BC</v>
      </c>
      <c r="D2384" s="149" t="str">
        <f>IFERROR(__xludf.DUMMYFUNCTION("""COMPUTED_VALUE"""),"Canada")</f>
        <v>Canada</v>
      </c>
      <c r="E2384" s="156">
        <f>IFERROR(__xludf.DUMMYFUNCTION("""COMPUTED_VALUE"""),43356.0)</f>
        <v>43356</v>
      </c>
      <c r="F2384" s="129">
        <f>IFERROR(__xludf.DUMMYFUNCTION("""COMPUTED_VALUE"""),43364.0)</f>
        <v>43364</v>
      </c>
      <c r="G2384" s="154"/>
      <c r="H2384" s="131">
        <f>IFERROR(__xludf.DUMMYFUNCTION("""COMPUTED_VALUE"""),107655.0)</f>
        <v>107655</v>
      </c>
      <c r="I2384" s="144" t="str">
        <f>IFERROR(__xludf.DUMMYFUNCTION("""COMPUTED_VALUE"""),"09/18")</f>
        <v>09/18</v>
      </c>
      <c r="J2384" s="129">
        <f>IFERROR(__xludf.DUMMYFUNCTION("""COMPUTED_VALUE"""),43366.0)</f>
        <v>43366</v>
      </c>
      <c r="K2384" s="133">
        <f>IFERROR(__xludf.DUMMYFUNCTION("""COMPUTED_VALUE"""),8.0)</f>
        <v>8</v>
      </c>
      <c r="L2384" s="133">
        <f>IFERROR(__xludf.DUMMYFUNCTION("""COMPUTED_VALUE"""),2.0)</f>
        <v>2</v>
      </c>
      <c r="M2384" s="133">
        <f>IFERROR(__xludf.DUMMYFUNCTION("""COMPUTED_VALUE"""),10.0)</f>
        <v>10</v>
      </c>
      <c r="N2384" s="152" t="str">
        <f>IFERROR(__xludf.DUMMYFUNCTION("""COMPUTED_VALUE"""),"Model 3 LR AWD")</f>
        <v>Model 3 LR AWD</v>
      </c>
      <c r="O2384" s="152" t="str">
        <f>IFERROR(__xludf.DUMMYFUNCTION("""COMPUTED_VALUE"""),"Pearl White Multi-Coat")</f>
        <v>Pearl White Multi-Coat</v>
      </c>
      <c r="P2384" s="153" t="str">
        <f>IFERROR(__xludf.DUMMYFUNCTION("""COMPUTED_VALUE"""),"19 inch Sport")</f>
        <v>19 inch Sport</v>
      </c>
      <c r="Q2384" s="152" t="str">
        <f>IFERROR(__xludf.DUMMYFUNCTION("""COMPUTED_VALUE"""),"Black seats")</f>
        <v>Black seats</v>
      </c>
      <c r="R2384" s="149" t="str">
        <f>IFERROR(__xludf.DUMMYFUNCTION("""COMPUTED_VALUE"""),"Enhanced Autopilot")</f>
        <v>Enhanced Autopilot</v>
      </c>
      <c r="S2384" s="149"/>
      <c r="T2384" s="145"/>
      <c r="U2384" s="145"/>
      <c r="V2384" s="145"/>
      <c r="W2384" s="136"/>
      <c r="X2384" s="137" t="str">
        <f>IFERROR(__xludf.DUMMYFUNCTION("""COMPUTED_VALUE"""),"Good")</f>
        <v>Good</v>
      </c>
      <c r="Y2384" s="138" t="str">
        <f>IFERROR(__xludf.DUMMYFUNCTION("""COMPUTED_VALUE"""),"Excellent")</f>
        <v>Excellent</v>
      </c>
      <c r="Z2384" s="138" t="str">
        <f>IFERROR(__xludf.DUMMYFUNCTION("""COMPUTED_VALUE"""),"Excellent")</f>
        <v>Excellent</v>
      </c>
      <c r="AA2384" s="138" t="str">
        <f>IFERROR(__xludf.DUMMYFUNCTION("""COMPUTED_VALUE"""),"Fair")</f>
        <v>Fair</v>
      </c>
      <c r="AB2384" s="138" t="str">
        <f>IFERROR(__xludf.DUMMYFUNCTION("""COMPUTED_VALUE"""),"Very Good")</f>
        <v>Very Good</v>
      </c>
      <c r="AC2384" s="139">
        <f>IFERROR(__xludf.DUMMYFUNCTION("""COMPUTED_VALUE"""),1.0)</f>
        <v>1</v>
      </c>
      <c r="AD2384" s="139"/>
      <c r="AE2384" s="139"/>
      <c r="AF2384" s="140"/>
      <c r="AG2384" s="136"/>
      <c r="AH2384" s="157">
        <f>IFERROR(__xludf.DUMMYFUNCTION("""COMPUTED_VALUE"""),43367.0304962037)</f>
        <v>43367.0305</v>
      </c>
      <c r="AI2384" s="138"/>
      <c r="AJ2384" s="138"/>
      <c r="AK2384" s="138"/>
      <c r="AL2384" s="142"/>
    </row>
    <row r="2385" ht="20.25" customHeight="1">
      <c r="A2385" s="155" t="str">
        <f>IFERROR(__xludf.DUMMYFUNCTION("""COMPUTED_VALUE"""),"THE MacDaddy")</f>
        <v>THE MacDaddy</v>
      </c>
      <c r="B2385" s="149" t="str">
        <f>IFERROR(__xludf.DUMMYFUNCTION("""COMPUTED_VALUE"""),"Charlotte")</f>
        <v>Charlotte</v>
      </c>
      <c r="C2385" s="149" t="str">
        <f>IFERROR(__xludf.DUMMYFUNCTION("""COMPUTED_VALUE"""),"NC")</f>
        <v>NC</v>
      </c>
      <c r="D2385" s="149" t="str">
        <f>IFERROR(__xludf.DUMMYFUNCTION("""COMPUTED_VALUE"""),"USA")</f>
        <v>USA</v>
      </c>
      <c r="E2385" s="156">
        <f>IFERROR(__xludf.DUMMYFUNCTION("""COMPUTED_VALUE"""),43356.0)</f>
        <v>43356</v>
      </c>
      <c r="F2385" s="129">
        <f>IFERROR(__xludf.DUMMYFUNCTION("""COMPUTED_VALUE"""),43390.0)</f>
        <v>43390</v>
      </c>
      <c r="G2385" s="154"/>
      <c r="H2385" s="131">
        <f>IFERROR(__xludf.DUMMYFUNCTION("""COMPUTED_VALUE"""),74955.0)</f>
        <v>74955</v>
      </c>
      <c r="I2385" s="144"/>
      <c r="J2385" s="129">
        <f>IFERROR(__xludf.DUMMYFUNCTION("""COMPUTED_VALUE"""),43416.0)</f>
        <v>43416</v>
      </c>
      <c r="K2385" s="133">
        <f>IFERROR(__xludf.DUMMYFUNCTION("""COMPUTED_VALUE"""),34.0)</f>
        <v>34</v>
      </c>
      <c r="L2385" s="133">
        <f>IFERROR(__xludf.DUMMYFUNCTION("""COMPUTED_VALUE"""),26.0)</f>
        <v>26</v>
      </c>
      <c r="M2385" s="133">
        <f>IFERROR(__xludf.DUMMYFUNCTION("""COMPUTED_VALUE"""),60.0)</f>
        <v>60</v>
      </c>
      <c r="N2385" s="152" t="str">
        <f>IFERROR(__xludf.DUMMYFUNCTION("""COMPUTED_VALUE"""),"Model 3 LR AWD")</f>
        <v>Model 3 LR AWD</v>
      </c>
      <c r="O2385" s="152" t="str">
        <f>IFERROR(__xludf.DUMMYFUNCTION("""COMPUTED_VALUE"""),"Pearl White Multi-Coat")</f>
        <v>Pearl White Multi-Coat</v>
      </c>
      <c r="P2385" s="153" t="str">
        <f>IFERROR(__xludf.DUMMYFUNCTION("""COMPUTED_VALUE"""),"18 inch Aero")</f>
        <v>18 inch Aero</v>
      </c>
      <c r="Q2385" s="152" t="str">
        <f>IFERROR(__xludf.DUMMYFUNCTION("""COMPUTED_VALUE"""),"White seats")</f>
        <v>White seats</v>
      </c>
      <c r="R2385" s="149" t="str">
        <f>IFERROR(__xludf.DUMMYFUNCTION("""COMPUTED_VALUE"""),"Full Self-Driving")</f>
        <v>Full Self-Driving</v>
      </c>
      <c r="S2385" s="149"/>
      <c r="T2385" s="145"/>
      <c r="U2385" s="145"/>
      <c r="V2385" s="145"/>
      <c r="W2385" s="136"/>
      <c r="X2385" s="137" t="str">
        <f>IFERROR(__xludf.DUMMYFUNCTION("""COMPUTED_VALUE"""),"Excellent")</f>
        <v>Excellent</v>
      </c>
      <c r="Y2385" s="138" t="str">
        <f>IFERROR(__xludf.DUMMYFUNCTION("""COMPUTED_VALUE"""),"Excellent")</f>
        <v>Excellent</v>
      </c>
      <c r="Z2385" s="138" t="str">
        <f>IFERROR(__xludf.DUMMYFUNCTION("""COMPUTED_VALUE"""),"Excellent")</f>
        <v>Excellent</v>
      </c>
      <c r="AA2385" s="138" t="str">
        <f>IFERROR(__xludf.DUMMYFUNCTION("""COMPUTED_VALUE"""),"Poor")</f>
        <v>Poor</v>
      </c>
      <c r="AB2385" s="138" t="str">
        <f>IFERROR(__xludf.DUMMYFUNCTION("""COMPUTED_VALUE"""),"Very Good")</f>
        <v>Very Good</v>
      </c>
      <c r="AC2385" s="139"/>
      <c r="AD2385" s="139"/>
      <c r="AE2385" s="139"/>
      <c r="AF2385" s="140"/>
      <c r="AG2385" s="136"/>
      <c r="AH2385" s="157">
        <f>IFERROR(__xludf.DUMMYFUNCTION("""COMPUTED_VALUE"""),43419.36718958333)</f>
        <v>43419.36719</v>
      </c>
      <c r="AI2385" s="138"/>
      <c r="AJ2385" s="138"/>
      <c r="AK2385" s="138"/>
      <c r="AL2385" s="142"/>
    </row>
    <row r="2386" ht="20.25" customHeight="1">
      <c r="A2386" s="155" t="str">
        <f>IFERROR(__xludf.DUMMYFUNCTION("""COMPUTED_VALUE"""),"augkuo")</f>
        <v>augkuo</v>
      </c>
      <c r="B2386" s="149" t="str">
        <f>IFERROR(__xludf.DUMMYFUNCTION("""COMPUTED_VALUE"""),"Berkeley")</f>
        <v>Berkeley</v>
      </c>
      <c r="C2386" s="149" t="str">
        <f>IFERROR(__xludf.DUMMYFUNCTION("""COMPUTED_VALUE"""),"CA")</f>
        <v>CA</v>
      </c>
      <c r="D2386" s="149" t="str">
        <f>IFERROR(__xludf.DUMMYFUNCTION("""COMPUTED_VALUE"""),"USA")</f>
        <v>USA</v>
      </c>
      <c r="E2386" s="156">
        <f>IFERROR(__xludf.DUMMYFUNCTION("""COMPUTED_VALUE"""),43355.0)</f>
        <v>43355</v>
      </c>
      <c r="F2386" s="129">
        <f>IFERROR(__xludf.DUMMYFUNCTION("""COMPUTED_VALUE"""),43371.0)</f>
        <v>43371</v>
      </c>
      <c r="G2386" s="154"/>
      <c r="H2386" s="131">
        <f>IFERROR(__xludf.DUMMYFUNCTION("""COMPUTED_VALUE"""),84055.0)</f>
        <v>84055</v>
      </c>
      <c r="I2386" s="144" t="str">
        <f>IFERROR(__xludf.DUMMYFUNCTION("""COMPUTED_VALUE"""),"09/18")</f>
        <v>09/18</v>
      </c>
      <c r="J2386" s="129">
        <f>IFERROR(__xludf.DUMMYFUNCTION("""COMPUTED_VALUE"""),43373.0)</f>
        <v>43373</v>
      </c>
      <c r="K2386" s="133">
        <f>IFERROR(__xludf.DUMMYFUNCTION("""COMPUTED_VALUE"""),16.0)</f>
        <v>16</v>
      </c>
      <c r="L2386" s="133">
        <f>IFERROR(__xludf.DUMMYFUNCTION("""COMPUTED_VALUE"""),2.0)</f>
        <v>2</v>
      </c>
      <c r="M2386" s="133">
        <f>IFERROR(__xludf.DUMMYFUNCTION("""COMPUTED_VALUE"""),18.0)</f>
        <v>18</v>
      </c>
      <c r="N2386" s="152" t="str">
        <f>IFERROR(__xludf.DUMMYFUNCTION("""COMPUTED_VALUE"""),"Model 3 Performance")</f>
        <v>Model 3 Performance</v>
      </c>
      <c r="O2386" s="152" t="str">
        <f>IFERROR(__xludf.DUMMYFUNCTION("""COMPUTED_VALUE"""),"Deep Blue Metallic")</f>
        <v>Deep Blue Metallic</v>
      </c>
      <c r="P2386" s="153" t="str">
        <f>IFERROR(__xludf.DUMMYFUNCTION("""COMPUTED_VALUE"""),"20 inch Sport")</f>
        <v>20 inch Sport</v>
      </c>
      <c r="Q2386" s="152" t="str">
        <f>IFERROR(__xludf.DUMMYFUNCTION("""COMPUTED_VALUE"""),"Black seats")</f>
        <v>Black seats</v>
      </c>
      <c r="R2386" s="149" t="str">
        <f>IFERROR(__xludf.DUMMYFUNCTION("""COMPUTED_VALUE"""),"Enhanced Autopilot")</f>
        <v>Enhanced Autopilot</v>
      </c>
      <c r="S2386" s="149"/>
      <c r="T2386" s="145"/>
      <c r="U2386" s="145"/>
      <c r="V2386" s="145"/>
      <c r="W2386" s="136"/>
      <c r="X2386" s="137" t="str">
        <f>IFERROR(__xludf.DUMMYFUNCTION("""COMPUTED_VALUE"""),"Excellent")</f>
        <v>Excellent</v>
      </c>
      <c r="Y2386" s="138" t="str">
        <f>IFERROR(__xludf.DUMMYFUNCTION("""COMPUTED_VALUE"""),"Excellent")</f>
        <v>Excellent</v>
      </c>
      <c r="Z2386" s="138" t="str">
        <f>IFERROR(__xludf.DUMMYFUNCTION("""COMPUTED_VALUE"""),"Excellent")</f>
        <v>Excellent</v>
      </c>
      <c r="AA2386" s="138" t="str">
        <f>IFERROR(__xludf.DUMMYFUNCTION("""COMPUTED_VALUE"""),"Good")</f>
        <v>Good</v>
      </c>
      <c r="AB2386" s="138" t="str">
        <f>IFERROR(__xludf.DUMMYFUNCTION("""COMPUTED_VALUE"""),"Excellent")</f>
        <v>Excellent</v>
      </c>
      <c r="AC2386" s="139">
        <f>IFERROR(__xludf.DUMMYFUNCTION("""COMPUTED_VALUE"""),0.0)</f>
        <v>0</v>
      </c>
      <c r="AD2386" s="139"/>
      <c r="AE2386" s="139"/>
      <c r="AF2386" s="140"/>
      <c r="AG2386" s="136" t="str">
        <f>IFERROR(__xludf.DUMMYFUNCTION("""COMPUTED_VALUE"""),"so far so good!")</f>
        <v>so far so good!</v>
      </c>
      <c r="AH2386" s="157">
        <f>IFERROR(__xludf.DUMMYFUNCTION("""COMPUTED_VALUE"""),43381.53811292824)</f>
        <v>43381.53811</v>
      </c>
      <c r="AI2386" s="138"/>
      <c r="AJ2386" s="138"/>
      <c r="AK2386" s="138"/>
      <c r="AL2386" s="142"/>
    </row>
    <row r="2387" ht="20.25" customHeight="1">
      <c r="A2387" s="155" t="str">
        <f>IFERROR(__xludf.DUMMYFUNCTION("""COMPUTED_VALUE"""),"blaness")</f>
        <v>blaness</v>
      </c>
      <c r="B2387" s="149" t="str">
        <f>IFERROR(__xludf.DUMMYFUNCTION("""COMPUTED_VALUE"""),"Minneapolis")</f>
        <v>Minneapolis</v>
      </c>
      <c r="C2387" s="149" t="str">
        <f>IFERROR(__xludf.DUMMYFUNCTION("""COMPUTED_VALUE"""),"MN")</f>
        <v>MN</v>
      </c>
      <c r="D2387" s="149" t="str">
        <f>IFERROR(__xludf.DUMMYFUNCTION("""COMPUTED_VALUE"""),"USA")</f>
        <v>USA</v>
      </c>
      <c r="E2387" s="156">
        <f>IFERROR(__xludf.DUMMYFUNCTION("""COMPUTED_VALUE"""),43355.0)</f>
        <v>43355</v>
      </c>
      <c r="F2387" s="129">
        <f>IFERROR(__xludf.DUMMYFUNCTION("""COMPUTED_VALUE"""),43393.0)</f>
        <v>43393</v>
      </c>
      <c r="G2387" s="154"/>
      <c r="H2387" s="131">
        <f>IFERROR(__xludf.DUMMYFUNCTION("""COMPUTED_VALUE"""),83155.0)</f>
        <v>83155</v>
      </c>
      <c r="I2387" s="144"/>
      <c r="J2387" s="129">
        <f>IFERROR(__xludf.DUMMYFUNCTION("""COMPUTED_VALUE"""),43409.0)</f>
        <v>43409</v>
      </c>
      <c r="K2387" s="133">
        <f>IFERROR(__xludf.DUMMYFUNCTION("""COMPUTED_VALUE"""),38.0)</f>
        <v>38</v>
      </c>
      <c r="L2387" s="133">
        <f>IFERROR(__xludf.DUMMYFUNCTION("""COMPUTED_VALUE"""),16.0)</f>
        <v>16</v>
      </c>
      <c r="M2387" s="133">
        <f>IFERROR(__xludf.DUMMYFUNCTION("""COMPUTED_VALUE"""),54.0)</f>
        <v>54</v>
      </c>
      <c r="N2387" s="152" t="str">
        <f>IFERROR(__xludf.DUMMYFUNCTION("""COMPUTED_VALUE"""),"Model 3 Performance")</f>
        <v>Model 3 Performance</v>
      </c>
      <c r="O2387" s="152" t="str">
        <f>IFERROR(__xludf.DUMMYFUNCTION("""COMPUTED_VALUE"""),"Midnight Silver Metallic")</f>
        <v>Midnight Silver Metallic</v>
      </c>
      <c r="P2387" s="153" t="str">
        <f>IFERROR(__xludf.DUMMYFUNCTION("""COMPUTED_VALUE"""),"20 inch Sport")</f>
        <v>20 inch Sport</v>
      </c>
      <c r="Q2387" s="152" t="str">
        <f>IFERROR(__xludf.DUMMYFUNCTION("""COMPUTED_VALUE"""),"Black seats")</f>
        <v>Black seats</v>
      </c>
      <c r="R2387" s="149" t="str">
        <f>IFERROR(__xludf.DUMMYFUNCTION("""COMPUTED_VALUE"""),"Enhanced Autopilot")</f>
        <v>Enhanced Autopilot</v>
      </c>
      <c r="S2387" s="149"/>
      <c r="T2387" s="145"/>
      <c r="U2387" s="145"/>
      <c r="V2387" s="145"/>
      <c r="W2387" s="136"/>
      <c r="X2387" s="137" t="str">
        <f>IFERROR(__xludf.DUMMYFUNCTION("""COMPUTED_VALUE"""),"Very Good")</f>
        <v>Very Good</v>
      </c>
      <c r="Y2387" s="138" t="str">
        <f>IFERROR(__xludf.DUMMYFUNCTION("""COMPUTED_VALUE"""),"Very Good")</f>
        <v>Very Good</v>
      </c>
      <c r="Z2387" s="138" t="str">
        <f>IFERROR(__xludf.DUMMYFUNCTION("""COMPUTED_VALUE"""),"Fair")</f>
        <v>Fair</v>
      </c>
      <c r="AA2387" s="138" t="str">
        <f>IFERROR(__xludf.DUMMYFUNCTION("""COMPUTED_VALUE"""),"Very Good")</f>
        <v>Very Good</v>
      </c>
      <c r="AB2387" s="138" t="str">
        <f>IFERROR(__xludf.DUMMYFUNCTION("""COMPUTED_VALUE"""),"Very Good")</f>
        <v>Very Good</v>
      </c>
      <c r="AC2387" s="139">
        <f>IFERROR(__xludf.DUMMYFUNCTION("""COMPUTED_VALUE"""),3.0)</f>
        <v>3</v>
      </c>
      <c r="AD2387" s="139">
        <f>IFERROR(__xludf.DUMMYFUNCTION("""COMPUTED_VALUE"""),2.0)</f>
        <v>2</v>
      </c>
      <c r="AE2387" s="139">
        <f>IFERROR(__xludf.DUMMYFUNCTION("""COMPUTED_VALUE"""),2.0)</f>
        <v>2</v>
      </c>
      <c r="AF2387" s="140"/>
      <c r="AG2387" s="136" t="str">
        <f>IFERROR(__xludf.DUMMYFUNCTION("""COMPUTED_VALUE"""),"Scratches on the windshield, driver side window and trim, all need to be replaced.")</f>
        <v>Scratches on the windshield, driver side window and trim, all need to be replaced.</v>
      </c>
      <c r="AH2387" s="157">
        <f>IFERROR(__xludf.DUMMYFUNCTION("""COMPUTED_VALUE"""),43411.29847410879)</f>
        <v>43411.29847</v>
      </c>
      <c r="AI2387" s="138"/>
      <c r="AJ2387" s="138"/>
      <c r="AK2387" s="138"/>
      <c r="AL2387" s="142"/>
    </row>
    <row r="2388" ht="20.25" customHeight="1">
      <c r="A2388" s="155" t="str">
        <f>IFERROR(__xludf.DUMMYFUNCTION("""COMPUTED_VALUE"""),"fishh")</f>
        <v>fishh</v>
      </c>
      <c r="B2388" s="149" t="str">
        <f>IFERROR(__xludf.DUMMYFUNCTION("""COMPUTED_VALUE"""),"Seattle")</f>
        <v>Seattle</v>
      </c>
      <c r="C2388" s="149" t="str">
        <f>IFERROR(__xludf.DUMMYFUNCTION("""COMPUTED_VALUE"""),"WA")</f>
        <v>WA</v>
      </c>
      <c r="D2388" s="149" t="str">
        <f>IFERROR(__xludf.DUMMYFUNCTION("""COMPUTED_VALUE"""),"USA")</f>
        <v>USA</v>
      </c>
      <c r="E2388" s="156">
        <f>IFERROR(__xludf.DUMMYFUNCTION("""COMPUTED_VALUE"""),43355.0)</f>
        <v>43355</v>
      </c>
      <c r="F2388" s="129">
        <f>IFERROR(__xludf.DUMMYFUNCTION("""COMPUTED_VALUE"""),43358.0)</f>
        <v>43358</v>
      </c>
      <c r="G2388" s="154"/>
      <c r="H2388" s="131">
        <f>IFERROR(__xludf.DUMMYFUNCTION("""COMPUTED_VALUE"""),70755.0)</f>
        <v>70755</v>
      </c>
      <c r="I2388" s="144" t="str">
        <f>IFERROR(__xludf.DUMMYFUNCTION("""COMPUTED_VALUE"""),"09/18")</f>
        <v>09/18</v>
      </c>
      <c r="J2388" s="129">
        <f>IFERROR(__xludf.DUMMYFUNCTION("""COMPUTED_VALUE"""),43371.0)</f>
        <v>43371</v>
      </c>
      <c r="K2388" s="133">
        <f>IFERROR(__xludf.DUMMYFUNCTION("""COMPUTED_VALUE"""),3.0)</f>
        <v>3</v>
      </c>
      <c r="L2388" s="133">
        <f>IFERROR(__xludf.DUMMYFUNCTION("""COMPUTED_VALUE"""),13.0)</f>
        <v>13</v>
      </c>
      <c r="M2388" s="133">
        <f>IFERROR(__xludf.DUMMYFUNCTION("""COMPUTED_VALUE"""),16.0)</f>
        <v>16</v>
      </c>
      <c r="N2388" s="152" t="str">
        <f>IFERROR(__xludf.DUMMYFUNCTION("""COMPUTED_VALUE"""),"Model 3 Performance")</f>
        <v>Model 3 Performance</v>
      </c>
      <c r="O2388" s="152" t="str">
        <f>IFERROR(__xludf.DUMMYFUNCTION("""COMPUTED_VALUE"""),"Obsidian Black Metallic")</f>
        <v>Obsidian Black Metallic</v>
      </c>
      <c r="P2388" s="153" t="str">
        <f>IFERROR(__xludf.DUMMYFUNCTION("""COMPUTED_VALUE"""),"18 inch Aero")</f>
        <v>18 inch Aero</v>
      </c>
      <c r="Q2388" s="152" t="str">
        <f>IFERROR(__xludf.DUMMYFUNCTION("""COMPUTED_VALUE"""),"Black seats")</f>
        <v>Black seats</v>
      </c>
      <c r="R2388" s="149" t="str">
        <f>IFERROR(__xludf.DUMMYFUNCTION("""COMPUTED_VALUE"""),"Enhanced Autopilot")</f>
        <v>Enhanced Autopilot</v>
      </c>
      <c r="S2388" s="149"/>
      <c r="T2388" s="145"/>
      <c r="U2388" s="145"/>
      <c r="V2388" s="145"/>
      <c r="W2388" s="136"/>
      <c r="X2388" s="137" t="str">
        <f>IFERROR(__xludf.DUMMYFUNCTION("""COMPUTED_VALUE"""),"Excellent")</f>
        <v>Excellent</v>
      </c>
      <c r="Y2388" s="138" t="str">
        <f>IFERROR(__xludf.DUMMYFUNCTION("""COMPUTED_VALUE"""),"Excellent")</f>
        <v>Excellent</v>
      </c>
      <c r="Z2388" s="138" t="str">
        <f>IFERROR(__xludf.DUMMYFUNCTION("""COMPUTED_VALUE"""),"Excellent")</f>
        <v>Excellent</v>
      </c>
      <c r="AA2388" s="138" t="str">
        <f>IFERROR(__xludf.DUMMYFUNCTION("""COMPUTED_VALUE"""),"Excellent")</f>
        <v>Excellent</v>
      </c>
      <c r="AB2388" s="138" t="str">
        <f>IFERROR(__xludf.DUMMYFUNCTION("""COMPUTED_VALUE"""),"Good")</f>
        <v>Good</v>
      </c>
      <c r="AC2388" s="139"/>
      <c r="AD2388" s="139"/>
      <c r="AE2388" s="139"/>
      <c r="AF2388" s="140"/>
      <c r="AG2388" s="136"/>
      <c r="AH2388" s="157">
        <f>IFERROR(__xludf.DUMMYFUNCTION("""COMPUTED_VALUE"""),43377.64247143519)</f>
        <v>43377.64247</v>
      </c>
      <c r="AI2388" s="138"/>
      <c r="AJ2388" s="138"/>
      <c r="AK2388" s="138"/>
      <c r="AL2388" s="142"/>
    </row>
    <row r="2389" ht="20.25" customHeight="1">
      <c r="A2389" s="155" t="str">
        <f>IFERROR(__xludf.DUMMYFUNCTION("""COMPUTED_VALUE"""),"Parioca")</f>
        <v>Parioca</v>
      </c>
      <c r="B2389" s="149" t="str">
        <f>IFERROR(__xludf.DUMMYFUNCTION("""COMPUTED_VALUE"""),"San Francisco")</f>
        <v>San Francisco</v>
      </c>
      <c r="C2389" s="149" t="str">
        <f>IFERROR(__xludf.DUMMYFUNCTION("""COMPUTED_VALUE"""),"CA")</f>
        <v>CA</v>
      </c>
      <c r="D2389" s="149" t="str">
        <f>IFERROR(__xludf.DUMMYFUNCTION("""COMPUTED_VALUE"""),"USA")</f>
        <v>USA</v>
      </c>
      <c r="E2389" s="156">
        <f>IFERROR(__xludf.DUMMYFUNCTION("""COMPUTED_VALUE"""),43354.0)</f>
        <v>43354</v>
      </c>
      <c r="F2389" s="129">
        <f>IFERROR(__xludf.DUMMYFUNCTION("""COMPUTED_VALUE"""),43362.0)</f>
        <v>43362</v>
      </c>
      <c r="G2389" s="154"/>
      <c r="H2389" s="131">
        <f>IFERROR(__xludf.DUMMYFUNCTION("""COMPUTED_VALUE"""),74255.0)</f>
        <v>74255</v>
      </c>
      <c r="I2389" s="144"/>
      <c r="J2389" s="129">
        <f>IFERROR(__xludf.DUMMYFUNCTION("""COMPUTED_VALUE"""),43362.0)</f>
        <v>43362</v>
      </c>
      <c r="K2389" s="133">
        <f>IFERROR(__xludf.DUMMYFUNCTION("""COMPUTED_VALUE"""),8.0)</f>
        <v>8</v>
      </c>
      <c r="L2389" s="133">
        <f>IFERROR(__xludf.DUMMYFUNCTION("""COMPUTED_VALUE"""),0.0)</f>
        <v>0</v>
      </c>
      <c r="M2389" s="133">
        <f>IFERROR(__xludf.DUMMYFUNCTION("""COMPUTED_VALUE"""),8.0)</f>
        <v>8</v>
      </c>
      <c r="N2389" s="152" t="str">
        <f>IFERROR(__xludf.DUMMYFUNCTION("""COMPUTED_VALUE"""),"Model 3 Performance")</f>
        <v>Model 3 Performance</v>
      </c>
      <c r="O2389" s="152" t="str">
        <f>IFERROR(__xludf.DUMMYFUNCTION("""COMPUTED_VALUE"""),"Deep Blue Metallic")</f>
        <v>Deep Blue Metallic</v>
      </c>
      <c r="P2389" s="153" t="str">
        <f>IFERROR(__xludf.DUMMYFUNCTION("""COMPUTED_VALUE"""),"20 inch Sport")</f>
        <v>20 inch Sport</v>
      </c>
      <c r="Q2389" s="152" t="str">
        <f>IFERROR(__xludf.DUMMYFUNCTION("""COMPUTED_VALUE"""),"White seats")</f>
        <v>White seats</v>
      </c>
      <c r="R2389" s="149" t="str">
        <f>IFERROR(__xludf.DUMMYFUNCTION("""COMPUTED_VALUE"""),"Full Self-Driving")</f>
        <v>Full Self-Driving</v>
      </c>
      <c r="S2389" s="149"/>
      <c r="T2389" s="145"/>
      <c r="U2389" s="145"/>
      <c r="V2389" s="145"/>
      <c r="W2389" s="136"/>
      <c r="X2389" s="137" t="str">
        <f>IFERROR(__xludf.DUMMYFUNCTION("""COMPUTED_VALUE"""),"Excellent")</f>
        <v>Excellent</v>
      </c>
      <c r="Y2389" s="138" t="str">
        <f>IFERROR(__xludf.DUMMYFUNCTION("""COMPUTED_VALUE"""),"Excellent")</f>
        <v>Excellent</v>
      </c>
      <c r="Z2389" s="138" t="str">
        <f>IFERROR(__xludf.DUMMYFUNCTION("""COMPUTED_VALUE"""),"Very Good")</f>
        <v>Very Good</v>
      </c>
      <c r="AA2389" s="138" t="str">
        <f>IFERROR(__xludf.DUMMYFUNCTION("""COMPUTED_VALUE"""),"Excellent")</f>
        <v>Excellent</v>
      </c>
      <c r="AB2389" s="138" t="str">
        <f>IFERROR(__xludf.DUMMYFUNCTION("""COMPUTED_VALUE"""),"Excellent")</f>
        <v>Excellent</v>
      </c>
      <c r="AC2389" s="139"/>
      <c r="AD2389" s="139"/>
      <c r="AE2389" s="139"/>
      <c r="AF2389" s="140"/>
      <c r="AG2389" s="136" t="str">
        <f>IFERROR(__xludf.DUMMYFUNCTION("""COMPUTED_VALUE"""),"8 day delivery!")</f>
        <v>8 day delivery!</v>
      </c>
      <c r="AH2389" s="157">
        <f>IFERROR(__xludf.DUMMYFUNCTION("""COMPUTED_VALUE"""),43364.467542210645)</f>
        <v>43364.46754</v>
      </c>
      <c r="AI2389" s="138"/>
      <c r="AJ2389" s="138"/>
      <c r="AK2389" s="138"/>
      <c r="AL2389" s="142"/>
    </row>
    <row r="2390" ht="20.25" customHeight="1">
      <c r="A2390" s="155" t="str">
        <f>IFERROR(__xludf.DUMMYFUNCTION("""COMPUTED_VALUE"""),"bdudetesla")</f>
        <v>bdudetesla</v>
      </c>
      <c r="B2390" s="149" t="str">
        <f>IFERROR(__xludf.DUMMYFUNCTION("""COMPUTED_VALUE"""),"Columbia")</f>
        <v>Columbia</v>
      </c>
      <c r="C2390" s="149" t="str">
        <f>IFERROR(__xludf.DUMMYFUNCTION("""COMPUTED_VALUE"""),"MO")</f>
        <v>MO</v>
      </c>
      <c r="D2390" s="149" t="str">
        <f>IFERROR(__xludf.DUMMYFUNCTION("""COMPUTED_VALUE"""),"USA")</f>
        <v>USA</v>
      </c>
      <c r="E2390" s="156">
        <f>IFERROR(__xludf.DUMMYFUNCTION("""COMPUTED_VALUE"""),43353.0)</f>
        <v>43353</v>
      </c>
      <c r="F2390" s="129">
        <f>IFERROR(__xludf.DUMMYFUNCTION("""COMPUTED_VALUE"""),43354.0)</f>
        <v>43354</v>
      </c>
      <c r="G2390" s="154"/>
      <c r="H2390" s="131">
        <f>IFERROR(__xludf.DUMMYFUNCTION("""COMPUTED_VALUE"""),70955.0)</f>
        <v>70955</v>
      </c>
      <c r="I2390" s="144"/>
      <c r="J2390" s="129">
        <f>IFERROR(__xludf.DUMMYFUNCTION("""COMPUTED_VALUE"""),43364.0)</f>
        <v>43364</v>
      </c>
      <c r="K2390" s="133">
        <f>IFERROR(__xludf.DUMMYFUNCTION("""COMPUTED_VALUE"""),1.0)</f>
        <v>1</v>
      </c>
      <c r="L2390" s="133">
        <f>IFERROR(__xludf.DUMMYFUNCTION("""COMPUTED_VALUE"""),10.0)</f>
        <v>10</v>
      </c>
      <c r="M2390" s="133">
        <f>IFERROR(__xludf.DUMMYFUNCTION("""COMPUTED_VALUE"""),11.0)</f>
        <v>11</v>
      </c>
      <c r="N2390" s="152" t="str">
        <f>IFERROR(__xludf.DUMMYFUNCTION("""COMPUTED_VALUE"""),"Model 3 LR")</f>
        <v>Model 3 LR</v>
      </c>
      <c r="O2390" s="152" t="str">
        <f>IFERROR(__xludf.DUMMYFUNCTION("""COMPUTED_VALUE"""),"Obsidian Black Metallic")</f>
        <v>Obsidian Black Metallic</v>
      </c>
      <c r="P2390" s="153" t="str">
        <f>IFERROR(__xludf.DUMMYFUNCTION("""COMPUTED_VALUE"""),"18 inch Aero")</f>
        <v>18 inch Aero</v>
      </c>
      <c r="Q2390" s="152" t="str">
        <f>IFERROR(__xludf.DUMMYFUNCTION("""COMPUTED_VALUE"""),"Black seats")</f>
        <v>Black seats</v>
      </c>
      <c r="R2390" s="149" t="str">
        <f>IFERROR(__xludf.DUMMYFUNCTION("""COMPUTED_VALUE"""),"Enhanced Autopilot")</f>
        <v>Enhanced Autopilot</v>
      </c>
      <c r="S2390" s="149"/>
      <c r="T2390" s="145"/>
      <c r="U2390" s="145"/>
      <c r="V2390" s="145"/>
      <c r="W2390" s="136"/>
      <c r="X2390" s="137" t="str">
        <f>IFERROR(__xludf.DUMMYFUNCTION("""COMPUTED_VALUE"""),"Excellent")</f>
        <v>Excellent</v>
      </c>
      <c r="Y2390" s="138" t="str">
        <f>IFERROR(__xludf.DUMMYFUNCTION("""COMPUTED_VALUE"""),"Excellent")</f>
        <v>Excellent</v>
      </c>
      <c r="Z2390" s="138" t="str">
        <f>IFERROR(__xludf.DUMMYFUNCTION("""COMPUTED_VALUE"""),"Very Good")</f>
        <v>Very Good</v>
      </c>
      <c r="AA2390" s="138" t="str">
        <f>IFERROR(__xludf.DUMMYFUNCTION("""COMPUTED_VALUE"""),"Good")</f>
        <v>Good</v>
      </c>
      <c r="AB2390" s="138" t="str">
        <f>IFERROR(__xludf.DUMMYFUNCTION("""COMPUTED_VALUE"""),"Good")</f>
        <v>Good</v>
      </c>
      <c r="AC2390" s="139">
        <f>IFERROR(__xludf.DUMMYFUNCTION("""COMPUTED_VALUE"""),0.0)</f>
        <v>0</v>
      </c>
      <c r="AD2390" s="139">
        <f>IFERROR(__xludf.DUMMYFUNCTION("""COMPUTED_VALUE"""),0.0)</f>
        <v>0</v>
      </c>
      <c r="AE2390" s="139">
        <f>IFERROR(__xludf.DUMMYFUNCTION("""COMPUTED_VALUE"""),0.0)</f>
        <v>0</v>
      </c>
      <c r="AF2390" s="140"/>
      <c r="AG2390" s="136" t="str">
        <f>IFERROR(__xludf.DUMMYFUNCTION("""COMPUTED_VALUE"""),"Only flaws I could see was a tiny 1/8"" hairline scratch on the trunk and one or two very small areas where touch up paint had been used. These were not noticeable unless you had your face up against them and didn't bother me at all.")</f>
        <v>Only flaws I could see was a tiny 1/8" hairline scratch on the trunk and one or two very small areas where touch up paint had been used. These were not noticeable unless you had your face up against them and didn't bother me at all.</v>
      </c>
      <c r="AH2390" s="157">
        <f>IFERROR(__xludf.DUMMYFUNCTION("""COMPUTED_VALUE"""),43370.36948061342)</f>
        <v>43370.36948</v>
      </c>
      <c r="AI2390" s="138"/>
      <c r="AJ2390" s="138"/>
      <c r="AK2390" s="138"/>
      <c r="AL2390" s="142"/>
    </row>
    <row r="2391" ht="20.25" customHeight="1">
      <c r="A2391" s="155" t="str">
        <f>IFERROR(__xludf.DUMMYFUNCTION("""COMPUTED_VALUE"""),"deesae")</f>
        <v>deesae</v>
      </c>
      <c r="B2391" s="149" t="str">
        <f>IFERROR(__xludf.DUMMYFUNCTION("""COMPUTED_VALUE"""),"Seattle")</f>
        <v>Seattle</v>
      </c>
      <c r="C2391" s="149" t="str">
        <f>IFERROR(__xludf.DUMMYFUNCTION("""COMPUTED_VALUE"""),"WA")</f>
        <v>WA</v>
      </c>
      <c r="D2391" s="149" t="str">
        <f>IFERROR(__xludf.DUMMYFUNCTION("""COMPUTED_VALUE"""),"USA")</f>
        <v>USA</v>
      </c>
      <c r="E2391" s="156">
        <f>IFERROR(__xludf.DUMMYFUNCTION("""COMPUTED_VALUE"""),43353.0)</f>
        <v>43353</v>
      </c>
      <c r="F2391" s="129">
        <f>IFERROR(__xludf.DUMMYFUNCTION("""COMPUTED_VALUE"""),43355.0)</f>
        <v>43355</v>
      </c>
      <c r="G2391" s="154"/>
      <c r="H2391" s="131">
        <f>IFERROR(__xludf.DUMMYFUNCTION("""COMPUTED_VALUE"""),68555.0)</f>
        <v>68555</v>
      </c>
      <c r="I2391" s="144" t="str">
        <f>IFERROR(__xludf.DUMMYFUNCTION("""COMPUTED_VALUE"""),"08/18")</f>
        <v>08/18</v>
      </c>
      <c r="J2391" s="129">
        <f>IFERROR(__xludf.DUMMYFUNCTION("""COMPUTED_VALUE"""),43371.0)</f>
        <v>43371</v>
      </c>
      <c r="K2391" s="133">
        <f>IFERROR(__xludf.DUMMYFUNCTION("""COMPUTED_VALUE"""),2.0)</f>
        <v>2</v>
      </c>
      <c r="L2391" s="133">
        <f>IFERROR(__xludf.DUMMYFUNCTION("""COMPUTED_VALUE"""),16.0)</f>
        <v>16</v>
      </c>
      <c r="M2391" s="133">
        <f>IFERROR(__xludf.DUMMYFUNCTION("""COMPUTED_VALUE"""),18.0)</f>
        <v>18</v>
      </c>
      <c r="N2391" s="152" t="str">
        <f>IFERROR(__xludf.DUMMYFUNCTION("""COMPUTED_VALUE"""),"Model 3 LR AWD")</f>
        <v>Model 3 LR AWD</v>
      </c>
      <c r="O2391" s="152" t="str">
        <f>IFERROR(__xludf.DUMMYFUNCTION("""COMPUTED_VALUE"""),"Solid Black")</f>
        <v>Solid Black</v>
      </c>
      <c r="P2391" s="153" t="str">
        <f>IFERROR(__xludf.DUMMYFUNCTION("""COMPUTED_VALUE"""),"18 inch Aero")</f>
        <v>18 inch Aero</v>
      </c>
      <c r="Q2391" s="152" t="str">
        <f>IFERROR(__xludf.DUMMYFUNCTION("""COMPUTED_VALUE"""),"Black seats")</f>
        <v>Black seats</v>
      </c>
      <c r="R2391" s="149" t="str">
        <f>IFERROR(__xludf.DUMMYFUNCTION("""COMPUTED_VALUE"""),"Enhanced Autopilot")</f>
        <v>Enhanced Autopilot</v>
      </c>
      <c r="S2391" s="149"/>
      <c r="T2391" s="145"/>
      <c r="U2391" s="145"/>
      <c r="V2391" s="145"/>
      <c r="W2391" s="136"/>
      <c r="X2391" s="137" t="str">
        <f>IFERROR(__xludf.DUMMYFUNCTION("""COMPUTED_VALUE"""),"Excellent")</f>
        <v>Excellent</v>
      </c>
      <c r="Y2391" s="138" t="str">
        <f>IFERROR(__xludf.DUMMYFUNCTION("""COMPUTED_VALUE"""),"Excellent")</f>
        <v>Excellent</v>
      </c>
      <c r="Z2391" s="138" t="str">
        <f>IFERROR(__xludf.DUMMYFUNCTION("""COMPUTED_VALUE"""),"Very Good")</f>
        <v>Very Good</v>
      </c>
      <c r="AA2391" s="138" t="str">
        <f>IFERROR(__xludf.DUMMYFUNCTION("""COMPUTED_VALUE"""),"Very Good")</f>
        <v>Very Good</v>
      </c>
      <c r="AB2391" s="138" t="str">
        <f>IFERROR(__xludf.DUMMYFUNCTION("""COMPUTED_VALUE"""),"Fair")</f>
        <v>Fair</v>
      </c>
      <c r="AC2391" s="139">
        <f>IFERROR(__xludf.DUMMYFUNCTION("""COMPUTED_VALUE"""),4.0)</f>
        <v>4</v>
      </c>
      <c r="AD2391" s="139">
        <f>IFERROR(__xludf.DUMMYFUNCTION("""COMPUTED_VALUE"""),2.0)</f>
        <v>2</v>
      </c>
      <c r="AE2391" s="139">
        <f>IFERROR(__xludf.DUMMYFUNCTION("""COMPUTED_VALUE"""),7.0)</f>
        <v>7</v>
      </c>
      <c r="AF2391" s="140"/>
      <c r="AG2391" s="136" t="str">
        <f>IFERROR(__xludf.DUMMYFUNCTION("""COMPUTED_VALUE"""),"Delivery guy only spent 10 minutes with me then rush me off.  Found chip on passenger front light, back driver break and turn light did not work, EAP was not activated for me until 3 days later even when I paid for it when I ordered my car.  While replaci"&amp;"ng my lights someone at the service center scape my bumper.")</f>
        <v>Delivery guy only spent 10 minutes with me then rush me off.  Found chip on passenger front light, back driver break and turn light did not work, EAP was not activated for me until 3 days later even when I paid for it when I ordered my car.  While replacing my lights someone at the service center scape my bumper.</v>
      </c>
      <c r="AH2391" s="157">
        <f>IFERROR(__xludf.DUMMYFUNCTION("""COMPUTED_VALUE"""),43369.56852879629)</f>
        <v>43369.56853</v>
      </c>
      <c r="AI2391" s="138"/>
      <c r="AJ2391" s="138"/>
      <c r="AK2391" s="138"/>
      <c r="AL2391" s="142"/>
    </row>
    <row r="2392" ht="20.25" customHeight="1">
      <c r="A2392" s="155" t="str">
        <f>IFERROR(__xludf.DUMMYFUNCTION("""COMPUTED_VALUE"""),"hankramos")</f>
        <v>hankramos</v>
      </c>
      <c r="B2392" s="149" t="str">
        <f>IFERROR(__xludf.DUMMYFUNCTION("""COMPUTED_VALUE"""),"Johnstown")</f>
        <v>Johnstown</v>
      </c>
      <c r="C2392" s="149" t="str">
        <f>IFERROR(__xludf.DUMMYFUNCTION("""COMPUTED_VALUE"""),"PA")</f>
        <v>PA</v>
      </c>
      <c r="D2392" s="149" t="str">
        <f>IFERROR(__xludf.DUMMYFUNCTION("""COMPUTED_VALUE"""),"USA")</f>
        <v>USA</v>
      </c>
      <c r="E2392" s="156">
        <f>IFERROR(__xludf.DUMMYFUNCTION("""COMPUTED_VALUE"""),43353.0)</f>
        <v>43353</v>
      </c>
      <c r="F2392" s="129">
        <f>IFERROR(__xludf.DUMMYFUNCTION("""COMPUTED_VALUE"""),43383.0)</f>
        <v>43383</v>
      </c>
      <c r="G2392" s="154"/>
      <c r="H2392" s="131">
        <f>IFERROR(__xludf.DUMMYFUNCTION("""COMPUTED_VALUE"""),82655.0)</f>
        <v>82655</v>
      </c>
      <c r="I2392" s="144" t="str">
        <f>IFERROR(__xludf.DUMMYFUNCTION("""COMPUTED_VALUE"""),"10/18")</f>
        <v>10/18</v>
      </c>
      <c r="J2392" s="129">
        <f>IFERROR(__xludf.DUMMYFUNCTION("""COMPUTED_VALUE"""),43404.0)</f>
        <v>43404</v>
      </c>
      <c r="K2392" s="133">
        <f>IFERROR(__xludf.DUMMYFUNCTION("""COMPUTED_VALUE"""),30.0)</f>
        <v>30</v>
      </c>
      <c r="L2392" s="133">
        <f>IFERROR(__xludf.DUMMYFUNCTION("""COMPUTED_VALUE"""),21.0)</f>
        <v>21</v>
      </c>
      <c r="M2392" s="133">
        <f>IFERROR(__xludf.DUMMYFUNCTION("""COMPUTED_VALUE"""),51.0)</f>
        <v>51</v>
      </c>
      <c r="N2392" s="152" t="str">
        <f>IFERROR(__xludf.DUMMYFUNCTION("""COMPUTED_VALUE"""),"Model 3 Performance")</f>
        <v>Model 3 Performance</v>
      </c>
      <c r="O2392" s="152" t="str">
        <f>IFERROR(__xludf.DUMMYFUNCTION("""COMPUTED_VALUE"""),"Obsidian Black Metallic")</f>
        <v>Obsidian Black Metallic</v>
      </c>
      <c r="P2392" s="153" t="str">
        <f>IFERROR(__xludf.DUMMYFUNCTION("""COMPUTED_VALUE"""),"20 inch Sport")</f>
        <v>20 inch Sport</v>
      </c>
      <c r="Q2392" s="152" t="str">
        <f>IFERROR(__xludf.DUMMYFUNCTION("""COMPUTED_VALUE"""),"Black seats")</f>
        <v>Black seats</v>
      </c>
      <c r="R2392" s="149" t="str">
        <f>IFERROR(__xludf.DUMMYFUNCTION("""COMPUTED_VALUE"""),"Full Self-Driving")</f>
        <v>Full Self-Driving</v>
      </c>
      <c r="S2392" s="149"/>
      <c r="T2392" s="145"/>
      <c r="U2392" s="145"/>
      <c r="V2392" s="145"/>
      <c r="W2392" s="136"/>
      <c r="X2392" s="137" t="str">
        <f>IFERROR(__xludf.DUMMYFUNCTION("""COMPUTED_VALUE"""),"Good")</f>
        <v>Good</v>
      </c>
      <c r="Y2392" s="138" t="str">
        <f>IFERROR(__xludf.DUMMYFUNCTION("""COMPUTED_VALUE"""),"Good")</f>
        <v>Good</v>
      </c>
      <c r="Z2392" s="138" t="str">
        <f>IFERROR(__xludf.DUMMYFUNCTION("""COMPUTED_VALUE"""),"Excellent")</f>
        <v>Excellent</v>
      </c>
      <c r="AA2392" s="138" t="str">
        <f>IFERROR(__xludf.DUMMYFUNCTION("""COMPUTED_VALUE"""),"Poor")</f>
        <v>Poor</v>
      </c>
      <c r="AB2392" s="138" t="str">
        <f>IFERROR(__xludf.DUMMYFUNCTION("""COMPUTED_VALUE"""),"Fair")</f>
        <v>Fair</v>
      </c>
      <c r="AC2392" s="139">
        <f>IFERROR(__xludf.DUMMYFUNCTION("""COMPUTED_VALUE"""),3.0)</f>
        <v>3</v>
      </c>
      <c r="AD2392" s="139"/>
      <c r="AE2392" s="139"/>
      <c r="AF2392" s="140"/>
      <c r="AG2392" s="136"/>
      <c r="AH2392" s="157">
        <f>IFERROR(__xludf.DUMMYFUNCTION("""COMPUTED_VALUE"""),43404.73992782408)</f>
        <v>43404.73993</v>
      </c>
      <c r="AI2392" s="138"/>
      <c r="AJ2392" s="138"/>
      <c r="AK2392" s="138"/>
      <c r="AL2392" s="142"/>
    </row>
    <row r="2393" ht="20.25" customHeight="1">
      <c r="A2393" s="155" t="str">
        <f>IFERROR(__xludf.DUMMYFUNCTION("""COMPUTED_VALUE"""),"tzchang")</f>
        <v>tzchang</v>
      </c>
      <c r="B2393" s="149" t="str">
        <f>IFERROR(__xludf.DUMMYFUNCTION("""COMPUTED_VALUE"""),"San Jose, CA")</f>
        <v>San Jose, CA</v>
      </c>
      <c r="C2393" s="149" t="str">
        <f>IFERROR(__xludf.DUMMYFUNCTION("""COMPUTED_VALUE"""),"CA")</f>
        <v>CA</v>
      </c>
      <c r="D2393" s="149" t="str">
        <f>IFERROR(__xludf.DUMMYFUNCTION("""COMPUTED_VALUE"""),"USA")</f>
        <v>USA</v>
      </c>
      <c r="E2393" s="156">
        <f>IFERROR(__xludf.DUMMYFUNCTION("""COMPUTED_VALUE"""),43353.0)</f>
        <v>43353</v>
      </c>
      <c r="F2393" s="129">
        <f>IFERROR(__xludf.DUMMYFUNCTION("""COMPUTED_VALUE"""),43355.0)</f>
        <v>43355</v>
      </c>
      <c r="G2393" s="154"/>
      <c r="H2393" s="131">
        <f>IFERROR(__xludf.DUMMYFUNCTION("""COMPUTED_VALUE"""),57896.0)</f>
        <v>57896</v>
      </c>
      <c r="I2393" s="144" t="str">
        <f>IFERROR(__xludf.DUMMYFUNCTION("""COMPUTED_VALUE"""),"07/18")</f>
        <v>07/18</v>
      </c>
      <c r="J2393" s="129">
        <f>IFERROR(__xludf.DUMMYFUNCTION("""COMPUTED_VALUE"""),43365.0)</f>
        <v>43365</v>
      </c>
      <c r="K2393" s="133">
        <f>IFERROR(__xludf.DUMMYFUNCTION("""COMPUTED_VALUE"""),2.0)</f>
        <v>2</v>
      </c>
      <c r="L2393" s="133">
        <f>IFERROR(__xludf.DUMMYFUNCTION("""COMPUTED_VALUE"""),10.0)</f>
        <v>10</v>
      </c>
      <c r="M2393" s="133">
        <f>IFERROR(__xludf.DUMMYFUNCTION("""COMPUTED_VALUE"""),12.0)</f>
        <v>12</v>
      </c>
      <c r="N2393" s="152" t="str">
        <f>IFERROR(__xludf.DUMMYFUNCTION("""COMPUTED_VALUE"""),"Model 3 LR")</f>
        <v>Model 3 LR</v>
      </c>
      <c r="O2393" s="152" t="str">
        <f>IFERROR(__xludf.DUMMYFUNCTION("""COMPUTED_VALUE"""),"Midnight Silver Metallic")</f>
        <v>Midnight Silver Metallic</v>
      </c>
      <c r="P2393" s="153" t="str">
        <f>IFERROR(__xludf.DUMMYFUNCTION("""COMPUTED_VALUE"""),"18 inch Aero")</f>
        <v>18 inch Aero</v>
      </c>
      <c r="Q2393" s="152" t="str">
        <f>IFERROR(__xludf.DUMMYFUNCTION("""COMPUTED_VALUE"""),"Black seats")</f>
        <v>Black seats</v>
      </c>
      <c r="R2393" s="149" t="str">
        <f>IFERROR(__xludf.DUMMYFUNCTION("""COMPUTED_VALUE"""),"Full Self-Driving")</f>
        <v>Full Self-Driving</v>
      </c>
      <c r="S2393" s="149"/>
      <c r="T2393" s="145"/>
      <c r="U2393" s="145"/>
      <c r="V2393" s="145"/>
      <c r="W2393" s="136"/>
      <c r="X2393" s="137" t="str">
        <f>IFERROR(__xludf.DUMMYFUNCTION("""COMPUTED_VALUE"""),"Fair")</f>
        <v>Fair</v>
      </c>
      <c r="Y2393" s="138" t="str">
        <f>IFERROR(__xludf.DUMMYFUNCTION("""COMPUTED_VALUE"""),"Good")</f>
        <v>Good</v>
      </c>
      <c r="Z2393" s="138" t="str">
        <f>IFERROR(__xludf.DUMMYFUNCTION("""COMPUTED_VALUE"""),"Good")</f>
        <v>Good</v>
      </c>
      <c r="AA2393" s="138" t="str">
        <f>IFERROR(__xludf.DUMMYFUNCTION("""COMPUTED_VALUE"""),"Poor")</f>
        <v>Poor</v>
      </c>
      <c r="AB2393" s="138" t="str">
        <f>IFERROR(__xludf.DUMMYFUNCTION("""COMPUTED_VALUE"""),"Fair")</f>
        <v>Fair</v>
      </c>
      <c r="AC2393" s="139">
        <f>IFERROR(__xludf.DUMMYFUNCTION("""COMPUTED_VALUE"""),7.0)</f>
        <v>7</v>
      </c>
      <c r="AD2393" s="139"/>
      <c r="AE2393" s="139"/>
      <c r="AF2393" s="140"/>
      <c r="AG2393" s="136"/>
      <c r="AH2393" s="157">
        <f>IFERROR(__xludf.DUMMYFUNCTION("""COMPUTED_VALUE"""),43366.46732628472)</f>
        <v>43366.46733</v>
      </c>
      <c r="AI2393" s="138"/>
      <c r="AJ2393" s="138"/>
      <c r="AK2393" s="138"/>
      <c r="AL2393" s="142"/>
    </row>
    <row r="2394" ht="20.25" customHeight="1">
      <c r="A2394" s="155" t="str">
        <f>IFERROR(__xludf.DUMMYFUNCTION("""COMPUTED_VALUE"""),"ipmasq")</f>
        <v>ipmasq</v>
      </c>
      <c r="B2394" s="149"/>
      <c r="C2394" s="149" t="str">
        <f>IFERROR(__xludf.DUMMYFUNCTION("""COMPUTED_VALUE"""),"WA")</f>
        <v>WA</v>
      </c>
      <c r="D2394" s="149" t="str">
        <f>IFERROR(__xludf.DUMMYFUNCTION("""COMPUTED_VALUE"""),"USA")</f>
        <v>USA</v>
      </c>
      <c r="E2394" s="156">
        <f>IFERROR(__xludf.DUMMYFUNCTION("""COMPUTED_VALUE"""),43352.0)</f>
        <v>43352</v>
      </c>
      <c r="F2394" s="129">
        <f>IFERROR(__xludf.DUMMYFUNCTION("""COMPUTED_VALUE"""),43366.0)</f>
        <v>43366</v>
      </c>
      <c r="G2394" s="154"/>
      <c r="H2394" s="131">
        <f>IFERROR(__xludf.DUMMYFUNCTION("""COMPUTED_VALUE"""),105355.0)</f>
        <v>105355</v>
      </c>
      <c r="I2394" s="144" t="str">
        <f>IFERROR(__xludf.DUMMYFUNCTION("""COMPUTED_VALUE"""),"09/18")</f>
        <v>09/18</v>
      </c>
      <c r="J2394" s="129">
        <f>IFERROR(__xludf.DUMMYFUNCTION("""COMPUTED_VALUE"""),43371.0)</f>
        <v>43371</v>
      </c>
      <c r="K2394" s="133">
        <f>IFERROR(__xludf.DUMMYFUNCTION("""COMPUTED_VALUE"""),14.0)</f>
        <v>14</v>
      </c>
      <c r="L2394" s="133">
        <f>IFERROR(__xludf.DUMMYFUNCTION("""COMPUTED_VALUE"""),5.0)</f>
        <v>5</v>
      </c>
      <c r="M2394" s="133">
        <f>IFERROR(__xludf.DUMMYFUNCTION("""COMPUTED_VALUE"""),19.0)</f>
        <v>19</v>
      </c>
      <c r="N2394" s="152" t="str">
        <f>IFERROR(__xludf.DUMMYFUNCTION("""COMPUTED_VALUE"""),"Model 3 LR AWD")</f>
        <v>Model 3 LR AWD</v>
      </c>
      <c r="O2394" s="152" t="str">
        <f>IFERROR(__xludf.DUMMYFUNCTION("""COMPUTED_VALUE"""),"Deep Blue Metallic")</f>
        <v>Deep Blue Metallic</v>
      </c>
      <c r="P2394" s="153" t="str">
        <f>IFERROR(__xludf.DUMMYFUNCTION("""COMPUTED_VALUE"""),"18 inch Aero")</f>
        <v>18 inch Aero</v>
      </c>
      <c r="Q2394" s="152" t="str">
        <f>IFERROR(__xludf.DUMMYFUNCTION("""COMPUTED_VALUE"""),"Black seats")</f>
        <v>Black seats</v>
      </c>
      <c r="R2394" s="149" t="str">
        <f>IFERROR(__xludf.DUMMYFUNCTION("""COMPUTED_VALUE"""),"Enhanced Autopilot")</f>
        <v>Enhanced Autopilot</v>
      </c>
      <c r="S2394" s="149"/>
      <c r="T2394" s="145"/>
      <c r="U2394" s="145"/>
      <c r="V2394" s="145"/>
      <c r="W2394" s="136"/>
      <c r="X2394" s="137" t="str">
        <f>IFERROR(__xludf.DUMMYFUNCTION("""COMPUTED_VALUE"""),"Good")</f>
        <v>Good</v>
      </c>
      <c r="Y2394" s="138" t="str">
        <f>IFERROR(__xludf.DUMMYFUNCTION("""COMPUTED_VALUE"""),"Excellent")</f>
        <v>Excellent</v>
      </c>
      <c r="Z2394" s="138" t="str">
        <f>IFERROR(__xludf.DUMMYFUNCTION("""COMPUTED_VALUE"""),"Very Good")</f>
        <v>Very Good</v>
      </c>
      <c r="AA2394" s="138" t="str">
        <f>IFERROR(__xludf.DUMMYFUNCTION("""COMPUTED_VALUE"""),"Good")</f>
        <v>Good</v>
      </c>
      <c r="AB2394" s="138" t="str">
        <f>IFERROR(__xludf.DUMMYFUNCTION("""COMPUTED_VALUE"""),"Excellent")</f>
        <v>Excellent</v>
      </c>
      <c r="AC2394" s="139">
        <f>IFERROR(__xludf.DUMMYFUNCTION("""COMPUTED_VALUE"""),2.0)</f>
        <v>2</v>
      </c>
      <c r="AD2394" s="139"/>
      <c r="AE2394" s="139"/>
      <c r="AF2394" s="140"/>
      <c r="AG2394" s="136" t="str">
        <f>IFERROR(__xludf.DUMMYFUNCTION("""COMPUTED_VALUE"""),"Frunk misaligned slightly, driver's mirror cap has 2 small gouges from possible rock strike during transport")</f>
        <v>Frunk misaligned slightly, driver's mirror cap has 2 small gouges from possible rock strike during transport</v>
      </c>
      <c r="AH2394" s="157">
        <f>IFERROR(__xludf.DUMMYFUNCTION("""COMPUTED_VALUE"""),43371.982459756946)</f>
        <v>43371.98246</v>
      </c>
      <c r="AI2394" s="138"/>
      <c r="AJ2394" s="138"/>
      <c r="AK2394" s="138"/>
      <c r="AL2394" s="142"/>
    </row>
    <row r="2395" ht="20.25" customHeight="1">
      <c r="A2395" s="155" t="str">
        <f>IFERROR(__xludf.DUMMYFUNCTION("""COMPUTED_VALUE"""),"jayanc_ui")</f>
        <v>jayanc_ui</v>
      </c>
      <c r="B2395" s="149"/>
      <c r="C2395" s="149" t="str">
        <f>IFERROR(__xludf.DUMMYFUNCTION("""COMPUTED_VALUE"""),"CA")</f>
        <v>CA</v>
      </c>
      <c r="D2395" s="149" t="str">
        <f>IFERROR(__xludf.DUMMYFUNCTION("""COMPUTED_VALUE"""),"USA")</f>
        <v>USA</v>
      </c>
      <c r="E2395" s="156">
        <f>IFERROR(__xludf.DUMMYFUNCTION("""COMPUTED_VALUE"""),43352.0)</f>
        <v>43352</v>
      </c>
      <c r="F2395" s="129">
        <f>IFERROR(__xludf.DUMMYFUNCTION("""COMPUTED_VALUE"""),43437.0)</f>
        <v>43437</v>
      </c>
      <c r="G2395" s="154"/>
      <c r="H2395" s="131">
        <f>IFERROR(__xludf.DUMMYFUNCTION("""COMPUTED_VALUE"""),80555.0)</f>
        <v>80555</v>
      </c>
      <c r="I2395" s="144" t="str">
        <f>IFERROR(__xludf.DUMMYFUNCTION("""COMPUTED_VALUE"""),"11/18")</f>
        <v>11/18</v>
      </c>
      <c r="J2395" s="129">
        <f>IFERROR(__xludf.DUMMYFUNCTION("""COMPUTED_VALUE"""),43444.0)</f>
        <v>43444</v>
      </c>
      <c r="K2395" s="133">
        <f>IFERROR(__xludf.DUMMYFUNCTION("""COMPUTED_VALUE"""),85.0)</f>
        <v>85</v>
      </c>
      <c r="L2395" s="133">
        <f>IFERROR(__xludf.DUMMYFUNCTION("""COMPUTED_VALUE"""),7.0)</f>
        <v>7</v>
      </c>
      <c r="M2395" s="133">
        <f>IFERROR(__xludf.DUMMYFUNCTION("""COMPUTED_VALUE"""),92.0)</f>
        <v>92</v>
      </c>
      <c r="N2395" s="152" t="str">
        <f>IFERROR(__xludf.DUMMYFUNCTION("""COMPUTED_VALUE"""),"Model 3 Performance")</f>
        <v>Model 3 Performance</v>
      </c>
      <c r="O2395" s="152" t="str">
        <f>IFERROR(__xludf.DUMMYFUNCTION("""COMPUTED_VALUE"""),"Red Multi-Coat")</f>
        <v>Red Multi-Coat</v>
      </c>
      <c r="P2395" s="153" t="str">
        <f>IFERROR(__xludf.DUMMYFUNCTION("""COMPUTED_VALUE"""),"20 inch Sport")</f>
        <v>20 inch Sport</v>
      </c>
      <c r="Q2395" s="152" t="str">
        <f>IFERROR(__xludf.DUMMYFUNCTION("""COMPUTED_VALUE"""),"White seats")</f>
        <v>White seats</v>
      </c>
      <c r="R2395" s="149" t="str">
        <f>IFERROR(__xludf.DUMMYFUNCTION("""COMPUTED_VALUE"""),"Full Self-Driving")</f>
        <v>Full Self-Driving</v>
      </c>
      <c r="S2395" s="149"/>
      <c r="T2395" s="145"/>
      <c r="U2395" s="145"/>
      <c r="V2395" s="145"/>
      <c r="W2395" s="136"/>
      <c r="X2395" s="137" t="str">
        <f>IFERROR(__xludf.DUMMYFUNCTION("""COMPUTED_VALUE"""),"Very Good")</f>
        <v>Very Good</v>
      </c>
      <c r="Y2395" s="138" t="str">
        <f>IFERROR(__xludf.DUMMYFUNCTION("""COMPUTED_VALUE"""),"Excellent")</f>
        <v>Excellent</v>
      </c>
      <c r="Z2395" s="138" t="str">
        <f>IFERROR(__xludf.DUMMYFUNCTION("""COMPUTED_VALUE"""),"Excellent")</f>
        <v>Excellent</v>
      </c>
      <c r="AA2395" s="138" t="str">
        <f>IFERROR(__xludf.DUMMYFUNCTION("""COMPUTED_VALUE"""),"Poor")</f>
        <v>Poor</v>
      </c>
      <c r="AB2395" s="138" t="str">
        <f>IFERROR(__xludf.DUMMYFUNCTION("""COMPUTED_VALUE"""),"Good")</f>
        <v>Good</v>
      </c>
      <c r="AC2395" s="139">
        <f>IFERROR(__xludf.DUMMYFUNCTION("""COMPUTED_VALUE"""),2.0)</f>
        <v>2</v>
      </c>
      <c r="AD2395" s="139"/>
      <c r="AE2395" s="139"/>
      <c r="AF2395" s="140"/>
      <c r="AG2395" s="136" t="str">
        <f>IFERROR(__xludf.DUMMYFUNCTION("""COMPUTED_VALUE"""),"Tesla delivery was a bit choppy.  Scheduled and rescheduled several times over the phone might have messed it up.")</f>
        <v>Tesla delivery was a bit choppy.  Scheduled and rescheduled several times over the phone might have messed it up.</v>
      </c>
      <c r="AH2395" s="157">
        <f>IFERROR(__xludf.DUMMYFUNCTION("""COMPUTED_VALUE"""),43443.82991101851)</f>
        <v>43443.82991</v>
      </c>
      <c r="AI2395" s="138"/>
      <c r="AJ2395" s="138"/>
      <c r="AK2395" s="138"/>
      <c r="AL2395" s="142"/>
    </row>
    <row r="2396" ht="20.25" customHeight="1">
      <c r="A2396" s="155" t="str">
        <f>IFERROR(__xludf.DUMMYFUNCTION("""COMPUTED_VALUE"""),"lmgardere")</f>
        <v>lmgardere</v>
      </c>
      <c r="B2396" s="149" t="str">
        <f>IFERROR(__xludf.DUMMYFUNCTION("""COMPUTED_VALUE"""),"New Orleans")</f>
        <v>New Orleans</v>
      </c>
      <c r="C2396" s="149" t="str">
        <f>IFERROR(__xludf.DUMMYFUNCTION("""COMPUTED_VALUE"""),"LA")</f>
        <v>LA</v>
      </c>
      <c r="D2396" s="149" t="str">
        <f>IFERROR(__xludf.DUMMYFUNCTION("""COMPUTED_VALUE"""),"USA")</f>
        <v>USA</v>
      </c>
      <c r="E2396" s="156">
        <f>IFERROR(__xludf.DUMMYFUNCTION("""COMPUTED_VALUE"""),43352.0)</f>
        <v>43352</v>
      </c>
      <c r="F2396" s="129">
        <f>IFERROR(__xludf.DUMMYFUNCTION("""COMPUTED_VALUE"""),43396.0)</f>
        <v>43396</v>
      </c>
      <c r="G2396" s="154"/>
      <c r="H2396" s="131">
        <f>IFERROR(__xludf.DUMMYFUNCTION("""COMPUTED_VALUE"""),95042.0)</f>
        <v>95042</v>
      </c>
      <c r="I2396" s="144"/>
      <c r="J2396" s="129">
        <f>IFERROR(__xludf.DUMMYFUNCTION("""COMPUTED_VALUE"""),43406.0)</f>
        <v>43406</v>
      </c>
      <c r="K2396" s="133">
        <f>IFERROR(__xludf.DUMMYFUNCTION("""COMPUTED_VALUE"""),44.0)</f>
        <v>44</v>
      </c>
      <c r="L2396" s="133">
        <f>IFERROR(__xludf.DUMMYFUNCTION("""COMPUTED_VALUE"""),10.0)</f>
        <v>10</v>
      </c>
      <c r="M2396" s="133">
        <f>IFERROR(__xludf.DUMMYFUNCTION("""COMPUTED_VALUE"""),54.0)</f>
        <v>54</v>
      </c>
      <c r="N2396" s="152" t="str">
        <f>IFERROR(__xludf.DUMMYFUNCTION("""COMPUTED_VALUE"""),"Model 3 LR AWD")</f>
        <v>Model 3 LR AWD</v>
      </c>
      <c r="O2396" s="152" t="str">
        <f>IFERROR(__xludf.DUMMYFUNCTION("""COMPUTED_VALUE"""),"Obsidian Black Metallic")</f>
        <v>Obsidian Black Metallic</v>
      </c>
      <c r="P2396" s="153" t="str">
        <f>IFERROR(__xludf.DUMMYFUNCTION("""COMPUTED_VALUE"""),"18 inch Aero")</f>
        <v>18 inch Aero</v>
      </c>
      <c r="Q2396" s="152" t="str">
        <f>IFERROR(__xludf.DUMMYFUNCTION("""COMPUTED_VALUE"""),"Black seats")</f>
        <v>Black seats</v>
      </c>
      <c r="R2396" s="149" t="str">
        <f>IFERROR(__xludf.DUMMYFUNCTION("""COMPUTED_VALUE"""),"None")</f>
        <v>None</v>
      </c>
      <c r="S2396" s="149"/>
      <c r="T2396" s="145"/>
      <c r="U2396" s="145"/>
      <c r="V2396" s="145"/>
      <c r="W2396" s="136"/>
      <c r="X2396" s="137" t="str">
        <f>IFERROR(__xludf.DUMMYFUNCTION("""COMPUTED_VALUE"""),"Excellent")</f>
        <v>Excellent</v>
      </c>
      <c r="Y2396" s="138" t="str">
        <f>IFERROR(__xludf.DUMMYFUNCTION("""COMPUTED_VALUE"""),"Excellent")</f>
        <v>Excellent</v>
      </c>
      <c r="Z2396" s="138" t="str">
        <f>IFERROR(__xludf.DUMMYFUNCTION("""COMPUTED_VALUE"""),"Excellent")</f>
        <v>Excellent</v>
      </c>
      <c r="AA2396" s="138" t="str">
        <f>IFERROR(__xludf.DUMMYFUNCTION("""COMPUTED_VALUE"""),"Very Good")</f>
        <v>Very Good</v>
      </c>
      <c r="AB2396" s="138" t="str">
        <f>IFERROR(__xludf.DUMMYFUNCTION("""COMPUTED_VALUE"""),"Excellent")</f>
        <v>Excellent</v>
      </c>
      <c r="AC2396" s="139"/>
      <c r="AD2396" s="139"/>
      <c r="AE2396" s="139"/>
      <c r="AF2396" s="140"/>
      <c r="AG2396" s="136"/>
      <c r="AH2396" s="157">
        <f>IFERROR(__xludf.DUMMYFUNCTION("""COMPUTED_VALUE"""),43410.30560313658)</f>
        <v>43410.3056</v>
      </c>
      <c r="AI2396" s="138"/>
      <c r="AJ2396" s="138"/>
      <c r="AK2396" s="138"/>
      <c r="AL2396" s="142"/>
    </row>
    <row r="2397" ht="20.25" customHeight="1">
      <c r="A2397" s="155" t="str">
        <f>IFERROR(__xludf.DUMMYFUNCTION("""COMPUTED_VALUE"""),"freelancewizard")</f>
        <v>freelancewizard</v>
      </c>
      <c r="B2397" s="149"/>
      <c r="C2397" s="149" t="str">
        <f>IFERROR(__xludf.DUMMYFUNCTION("""COMPUTED_VALUE"""),"TN")</f>
        <v>TN</v>
      </c>
      <c r="D2397" s="149" t="str">
        <f>IFERROR(__xludf.DUMMYFUNCTION("""COMPUTED_VALUE"""),"USA")</f>
        <v>USA</v>
      </c>
      <c r="E2397" s="156">
        <f>IFERROR(__xludf.DUMMYFUNCTION("""COMPUTED_VALUE"""),43351.0)</f>
        <v>43351</v>
      </c>
      <c r="F2397" s="129">
        <f>IFERROR(__xludf.DUMMYFUNCTION("""COMPUTED_VALUE"""),43356.0)</f>
        <v>43356</v>
      </c>
      <c r="G2397" s="154"/>
      <c r="H2397" s="131">
        <f>IFERROR(__xludf.DUMMYFUNCTION("""COMPUTED_VALUE"""),83955.0)</f>
        <v>83955</v>
      </c>
      <c r="I2397" s="144" t="str">
        <f>IFERROR(__xludf.DUMMYFUNCTION("""COMPUTED_VALUE"""),"09/18")</f>
        <v>09/18</v>
      </c>
      <c r="J2397" s="129">
        <f>IFERROR(__xludf.DUMMYFUNCTION("""COMPUTED_VALUE"""),43371.0)</f>
        <v>43371</v>
      </c>
      <c r="K2397" s="133">
        <f>IFERROR(__xludf.DUMMYFUNCTION("""COMPUTED_VALUE"""),5.0)</f>
        <v>5</v>
      </c>
      <c r="L2397" s="133">
        <f>IFERROR(__xludf.DUMMYFUNCTION("""COMPUTED_VALUE"""),15.0)</f>
        <v>15</v>
      </c>
      <c r="M2397" s="133">
        <f>IFERROR(__xludf.DUMMYFUNCTION("""COMPUTED_VALUE"""),20.0)</f>
        <v>20</v>
      </c>
      <c r="N2397" s="152" t="str">
        <f>IFERROR(__xludf.DUMMYFUNCTION("""COMPUTED_VALUE"""),"Model 3 Performance")</f>
        <v>Model 3 Performance</v>
      </c>
      <c r="O2397" s="152" t="str">
        <f>IFERROR(__xludf.DUMMYFUNCTION("""COMPUTED_VALUE"""),"Deep Blue Metallic")</f>
        <v>Deep Blue Metallic</v>
      </c>
      <c r="P2397" s="153" t="str">
        <f>IFERROR(__xludf.DUMMYFUNCTION("""COMPUTED_VALUE"""),"20 inch Sport")</f>
        <v>20 inch Sport</v>
      </c>
      <c r="Q2397" s="152" t="str">
        <f>IFERROR(__xludf.DUMMYFUNCTION("""COMPUTED_VALUE"""),"Black seats")</f>
        <v>Black seats</v>
      </c>
      <c r="R2397" s="149" t="str">
        <f>IFERROR(__xludf.DUMMYFUNCTION("""COMPUTED_VALUE"""),"Enhanced Autopilot")</f>
        <v>Enhanced Autopilot</v>
      </c>
      <c r="S2397" s="149"/>
      <c r="T2397" s="145"/>
      <c r="U2397" s="145"/>
      <c r="V2397" s="145"/>
      <c r="W2397" s="136"/>
      <c r="X2397" s="137" t="str">
        <f>IFERROR(__xludf.DUMMYFUNCTION("""COMPUTED_VALUE"""),"Excellent")</f>
        <v>Excellent</v>
      </c>
      <c r="Y2397" s="138" t="str">
        <f>IFERROR(__xludf.DUMMYFUNCTION("""COMPUTED_VALUE"""),"Excellent")</f>
        <v>Excellent</v>
      </c>
      <c r="Z2397" s="138" t="str">
        <f>IFERROR(__xludf.DUMMYFUNCTION("""COMPUTED_VALUE"""),"Excellent")</f>
        <v>Excellent</v>
      </c>
      <c r="AA2397" s="138" t="str">
        <f>IFERROR(__xludf.DUMMYFUNCTION("""COMPUTED_VALUE"""),"Very Good")</f>
        <v>Very Good</v>
      </c>
      <c r="AB2397" s="138" t="str">
        <f>IFERROR(__xludf.DUMMYFUNCTION("""COMPUTED_VALUE"""),"Very Good")</f>
        <v>Very Good</v>
      </c>
      <c r="AC2397" s="139">
        <f>IFERROR(__xludf.DUMMYFUNCTION("""COMPUTED_VALUE"""),0.0)</f>
        <v>0</v>
      </c>
      <c r="AD2397" s="139">
        <f>IFERROR(__xludf.DUMMYFUNCTION("""COMPUTED_VALUE"""),0.0)</f>
        <v>0</v>
      </c>
      <c r="AE2397" s="139">
        <f>IFERROR(__xludf.DUMMYFUNCTION("""COMPUTED_VALUE"""),0.0)</f>
        <v>0</v>
      </c>
      <c r="AF2397" s="140"/>
      <c r="AG2397" s="136" t="str">
        <f>IFERROR(__xludf.DUMMYFUNCTION("""COMPUTED_VALUE"""),"Delivery rescheduled from 9/26 to 9/28 on 9/20.")</f>
        <v>Delivery rescheduled from 9/26 to 9/28 on 9/20.</v>
      </c>
      <c r="AH2397" s="157">
        <f>IFERROR(__xludf.DUMMYFUNCTION("""COMPUTED_VALUE"""),43375.52086752315)</f>
        <v>43375.52087</v>
      </c>
      <c r="AI2397" s="138"/>
      <c r="AJ2397" s="138"/>
      <c r="AK2397" s="138"/>
      <c r="AL2397" s="142"/>
    </row>
    <row r="2398" ht="20.25" customHeight="1">
      <c r="A2398" s="155" t="str">
        <f>IFERROR(__xludf.DUMMYFUNCTION("""COMPUTED_VALUE"""),"halcyoncmdr")</f>
        <v>halcyoncmdr</v>
      </c>
      <c r="B2398" s="149" t="str">
        <f>IFERROR(__xludf.DUMMYFUNCTION("""COMPUTED_VALUE"""),"Tucson")</f>
        <v>Tucson</v>
      </c>
      <c r="C2398" s="149" t="str">
        <f>IFERROR(__xludf.DUMMYFUNCTION("""COMPUTED_VALUE"""),"AZ")</f>
        <v>AZ</v>
      </c>
      <c r="D2398" s="149" t="str">
        <f>IFERROR(__xludf.DUMMYFUNCTION("""COMPUTED_VALUE"""),"USA")</f>
        <v>USA</v>
      </c>
      <c r="E2398" s="156">
        <f>IFERROR(__xludf.DUMMYFUNCTION("""COMPUTED_VALUE"""),43351.0)</f>
        <v>43351</v>
      </c>
      <c r="F2398" s="129">
        <f>IFERROR(__xludf.DUMMYFUNCTION("""COMPUTED_VALUE"""),43369.0)</f>
        <v>43369</v>
      </c>
      <c r="G2398" s="154"/>
      <c r="H2398" s="131">
        <f>IFERROR(__xludf.DUMMYFUNCTION("""COMPUTED_VALUE"""),93255.0)</f>
        <v>93255</v>
      </c>
      <c r="I2398" s="144"/>
      <c r="J2398" s="129">
        <f>IFERROR(__xludf.DUMMYFUNCTION("""COMPUTED_VALUE"""),43371.0)</f>
        <v>43371</v>
      </c>
      <c r="K2398" s="133">
        <f>IFERROR(__xludf.DUMMYFUNCTION("""COMPUTED_VALUE"""),18.0)</f>
        <v>18</v>
      </c>
      <c r="L2398" s="133">
        <f>IFERROR(__xludf.DUMMYFUNCTION("""COMPUTED_VALUE"""),2.0)</f>
        <v>2</v>
      </c>
      <c r="M2398" s="133">
        <f>IFERROR(__xludf.DUMMYFUNCTION("""COMPUTED_VALUE"""),20.0)</f>
        <v>20</v>
      </c>
      <c r="N2398" s="152" t="str">
        <f>IFERROR(__xludf.DUMMYFUNCTION("""COMPUTED_VALUE"""),"Model 3 LR AWD")</f>
        <v>Model 3 LR AWD</v>
      </c>
      <c r="O2398" s="152" t="str">
        <f>IFERROR(__xludf.DUMMYFUNCTION("""COMPUTED_VALUE"""),"Midnight Silver Metallic")</f>
        <v>Midnight Silver Metallic</v>
      </c>
      <c r="P2398" s="153" t="str">
        <f>IFERROR(__xludf.DUMMYFUNCTION("""COMPUTED_VALUE"""),"18 inch Aero")</f>
        <v>18 inch Aero</v>
      </c>
      <c r="Q2398" s="152" t="str">
        <f>IFERROR(__xludf.DUMMYFUNCTION("""COMPUTED_VALUE"""),"Black seats")</f>
        <v>Black seats</v>
      </c>
      <c r="R2398" s="149" t="str">
        <f>IFERROR(__xludf.DUMMYFUNCTION("""COMPUTED_VALUE"""),"Enhanced Autopilot")</f>
        <v>Enhanced Autopilot</v>
      </c>
      <c r="S2398" s="149"/>
      <c r="T2398" s="145"/>
      <c r="U2398" s="145"/>
      <c r="V2398" s="145"/>
      <c r="W2398" s="136"/>
      <c r="X2398" s="137" t="str">
        <f>IFERROR(__xludf.DUMMYFUNCTION("""COMPUTED_VALUE"""),"Excellent")</f>
        <v>Excellent</v>
      </c>
      <c r="Y2398" s="138" t="str">
        <f>IFERROR(__xludf.DUMMYFUNCTION("""COMPUTED_VALUE"""),"Excellent")</f>
        <v>Excellent</v>
      </c>
      <c r="Z2398" s="138" t="str">
        <f>IFERROR(__xludf.DUMMYFUNCTION("""COMPUTED_VALUE"""),"Excellent")</f>
        <v>Excellent</v>
      </c>
      <c r="AA2398" s="138" t="str">
        <f>IFERROR(__xludf.DUMMYFUNCTION("""COMPUTED_VALUE"""),"Fair")</f>
        <v>Fair</v>
      </c>
      <c r="AB2398" s="138" t="str">
        <f>IFERROR(__xludf.DUMMYFUNCTION("""COMPUTED_VALUE"""),"Excellent")</f>
        <v>Excellent</v>
      </c>
      <c r="AC2398" s="139"/>
      <c r="AD2398" s="139"/>
      <c r="AE2398" s="139"/>
      <c r="AF2398" s="140"/>
      <c r="AG2398" s="136"/>
      <c r="AH2398" s="157">
        <f>IFERROR(__xludf.DUMMYFUNCTION("""COMPUTED_VALUE"""),43376.082834189816)</f>
        <v>43376.08283</v>
      </c>
      <c r="AI2398" s="138"/>
      <c r="AJ2398" s="138"/>
      <c r="AK2398" s="138"/>
      <c r="AL2398" s="142"/>
    </row>
    <row r="2399" ht="20.25" customHeight="1">
      <c r="A2399" s="155" t="str">
        <f>IFERROR(__xludf.DUMMYFUNCTION("""COMPUTED_VALUE"""),"esp123")</f>
        <v>esp123</v>
      </c>
      <c r="B2399" s="149" t="str">
        <f>IFERROR(__xludf.DUMMYFUNCTION("""COMPUTED_VALUE"""),"Fresno")</f>
        <v>Fresno</v>
      </c>
      <c r="C2399" s="149" t="str">
        <f>IFERROR(__xludf.DUMMYFUNCTION("""COMPUTED_VALUE"""),"CA")</f>
        <v>CA</v>
      </c>
      <c r="D2399" s="149" t="str">
        <f>IFERROR(__xludf.DUMMYFUNCTION("""COMPUTED_VALUE"""),"USA")</f>
        <v>USA</v>
      </c>
      <c r="E2399" s="156">
        <f>IFERROR(__xludf.DUMMYFUNCTION("""COMPUTED_VALUE"""),43350.0)</f>
        <v>43350</v>
      </c>
      <c r="F2399" s="129"/>
      <c r="G2399" s="154"/>
      <c r="H2399" s="131">
        <f>IFERROR(__xludf.DUMMYFUNCTION("""COMPUTED_VALUE"""),83085.0)</f>
        <v>83085</v>
      </c>
      <c r="I2399" s="144" t="str">
        <f>IFERROR(__xludf.DUMMYFUNCTION("""COMPUTED_VALUE"""),"09/18")</f>
        <v>09/18</v>
      </c>
      <c r="J2399" s="129">
        <f>IFERROR(__xludf.DUMMYFUNCTION("""COMPUTED_VALUE"""),43360.0)</f>
        <v>43360</v>
      </c>
      <c r="K2399" s="133"/>
      <c r="L2399" s="133"/>
      <c r="M2399" s="133">
        <f>IFERROR(__xludf.DUMMYFUNCTION("""COMPUTED_VALUE"""),10.0)</f>
        <v>10</v>
      </c>
      <c r="N2399" s="152" t="str">
        <f>IFERROR(__xludf.DUMMYFUNCTION("""COMPUTED_VALUE"""),"Model 3 Performance")</f>
        <v>Model 3 Performance</v>
      </c>
      <c r="O2399" s="152" t="str">
        <f>IFERROR(__xludf.DUMMYFUNCTION("""COMPUTED_VALUE"""),"Midnight Silver Metallic")</f>
        <v>Midnight Silver Metallic</v>
      </c>
      <c r="P2399" s="153" t="str">
        <f>IFERROR(__xludf.DUMMYFUNCTION("""COMPUTED_VALUE"""),"20 inch Sport")</f>
        <v>20 inch Sport</v>
      </c>
      <c r="Q2399" s="152" t="str">
        <f>IFERROR(__xludf.DUMMYFUNCTION("""COMPUTED_VALUE"""),"Black seats")</f>
        <v>Black seats</v>
      </c>
      <c r="R2399" s="149" t="str">
        <f>IFERROR(__xludf.DUMMYFUNCTION("""COMPUTED_VALUE"""),"Enhanced Autopilot")</f>
        <v>Enhanced Autopilot</v>
      </c>
      <c r="S2399" s="149"/>
      <c r="T2399" s="145"/>
      <c r="U2399" s="145"/>
      <c r="V2399" s="145"/>
      <c r="W2399" s="136"/>
      <c r="X2399" s="137" t="str">
        <f>IFERROR(__xludf.DUMMYFUNCTION("""COMPUTED_VALUE"""),"Excellent")</f>
        <v>Excellent</v>
      </c>
      <c r="Y2399" s="138" t="str">
        <f>IFERROR(__xludf.DUMMYFUNCTION("""COMPUTED_VALUE"""),"Excellent")</f>
        <v>Excellent</v>
      </c>
      <c r="Z2399" s="138" t="str">
        <f>IFERROR(__xludf.DUMMYFUNCTION("""COMPUTED_VALUE"""),"Very Good")</f>
        <v>Very Good</v>
      </c>
      <c r="AA2399" s="138" t="str">
        <f>IFERROR(__xludf.DUMMYFUNCTION("""COMPUTED_VALUE"""),"Excellent")</f>
        <v>Excellent</v>
      </c>
      <c r="AB2399" s="138" t="str">
        <f>IFERROR(__xludf.DUMMYFUNCTION("""COMPUTED_VALUE"""),"Very Good")</f>
        <v>Very Good</v>
      </c>
      <c r="AC2399" s="139">
        <f>IFERROR(__xludf.DUMMYFUNCTION("""COMPUTED_VALUE"""),0.0)</f>
        <v>0</v>
      </c>
      <c r="AD2399" s="139">
        <f>IFERROR(__xludf.DUMMYFUNCTION("""COMPUTED_VALUE"""),0.0)</f>
        <v>0</v>
      </c>
      <c r="AE2399" s="139">
        <f>IFERROR(__xludf.DUMMYFUNCTION("""COMPUTED_VALUE"""),0.0)</f>
        <v>0</v>
      </c>
      <c r="AF2399" s="140"/>
      <c r="AG2399" s="136" t="str">
        <f>IFERROR(__xludf.DUMMYFUNCTION("""COMPUTED_VALUE"""),"10 days from order to pickup ")</f>
        <v>10 days from order to pickup </v>
      </c>
      <c r="AH2399" s="157">
        <f>IFERROR(__xludf.DUMMYFUNCTION("""COMPUTED_VALUE"""),43364.60381728009)</f>
        <v>43364.60382</v>
      </c>
      <c r="AI2399" s="138"/>
      <c r="AJ2399" s="138"/>
      <c r="AK2399" s="138"/>
      <c r="AL2399" s="142"/>
    </row>
    <row r="2400" ht="20.25" customHeight="1">
      <c r="A2400" s="155" t="str">
        <f>IFERROR(__xludf.DUMMYFUNCTION("""COMPUTED_VALUE"""),"skrobo")</f>
        <v>skrobo</v>
      </c>
      <c r="B2400" s="149" t="str">
        <f>IFERROR(__xludf.DUMMYFUNCTION("""COMPUTED_VALUE"""),"chicago")</f>
        <v>chicago</v>
      </c>
      <c r="C2400" s="149" t="str">
        <f>IFERROR(__xludf.DUMMYFUNCTION("""COMPUTED_VALUE"""),"IL")</f>
        <v>IL</v>
      </c>
      <c r="D2400" s="149" t="str">
        <f>IFERROR(__xludf.DUMMYFUNCTION("""COMPUTED_VALUE"""),"USA")</f>
        <v>USA</v>
      </c>
      <c r="E2400" s="156">
        <f>IFERROR(__xludf.DUMMYFUNCTION("""COMPUTED_VALUE"""),43348.0)</f>
        <v>43348</v>
      </c>
      <c r="F2400" s="129">
        <f>IFERROR(__xludf.DUMMYFUNCTION("""COMPUTED_VALUE"""),43355.0)</f>
        <v>43355</v>
      </c>
      <c r="G2400" s="154"/>
      <c r="H2400" s="131">
        <f>IFERROR(__xludf.DUMMYFUNCTION("""COMPUTED_VALUE"""),84835.0)</f>
        <v>84835</v>
      </c>
      <c r="I2400" s="144" t="str">
        <f>IFERROR(__xludf.DUMMYFUNCTION("""COMPUTED_VALUE"""),"09/18")</f>
        <v>09/18</v>
      </c>
      <c r="J2400" s="129">
        <f>IFERROR(__xludf.DUMMYFUNCTION("""COMPUTED_VALUE"""),43388.0)</f>
        <v>43388</v>
      </c>
      <c r="K2400" s="133">
        <f>IFERROR(__xludf.DUMMYFUNCTION("""COMPUTED_VALUE"""),7.0)</f>
        <v>7</v>
      </c>
      <c r="L2400" s="133">
        <f>IFERROR(__xludf.DUMMYFUNCTION("""COMPUTED_VALUE"""),33.0)</f>
        <v>33</v>
      </c>
      <c r="M2400" s="133">
        <f>IFERROR(__xludf.DUMMYFUNCTION("""COMPUTED_VALUE"""),40.0)</f>
        <v>40</v>
      </c>
      <c r="N2400" s="152" t="str">
        <f>IFERROR(__xludf.DUMMYFUNCTION("""COMPUTED_VALUE"""),"Model 3 LR AWD")</f>
        <v>Model 3 LR AWD</v>
      </c>
      <c r="O2400" s="152" t="str">
        <f>IFERROR(__xludf.DUMMYFUNCTION("""COMPUTED_VALUE"""),"Midnight Silver Metallic")</f>
        <v>Midnight Silver Metallic</v>
      </c>
      <c r="P2400" s="153" t="str">
        <f>IFERROR(__xludf.DUMMYFUNCTION("""COMPUTED_VALUE"""),"18 inch Aero")</f>
        <v>18 inch Aero</v>
      </c>
      <c r="Q2400" s="152" t="str">
        <f>IFERROR(__xludf.DUMMYFUNCTION("""COMPUTED_VALUE"""),"Black seats")</f>
        <v>Black seats</v>
      </c>
      <c r="R2400" s="149" t="str">
        <f>IFERROR(__xludf.DUMMYFUNCTION("""COMPUTED_VALUE"""),"Enhanced Autopilot")</f>
        <v>Enhanced Autopilot</v>
      </c>
      <c r="S2400" s="149"/>
      <c r="T2400" s="145"/>
      <c r="U2400" s="145"/>
      <c r="V2400" s="145"/>
      <c r="W2400" s="136"/>
      <c r="X2400" s="137" t="str">
        <f>IFERROR(__xludf.DUMMYFUNCTION("""COMPUTED_VALUE"""),"Excellent")</f>
        <v>Excellent</v>
      </c>
      <c r="Y2400" s="138" t="str">
        <f>IFERROR(__xludf.DUMMYFUNCTION("""COMPUTED_VALUE"""),"Excellent")</f>
        <v>Excellent</v>
      </c>
      <c r="Z2400" s="138" t="str">
        <f>IFERROR(__xludf.DUMMYFUNCTION("""COMPUTED_VALUE"""),"Excellent")</f>
        <v>Excellent</v>
      </c>
      <c r="AA2400" s="138" t="str">
        <f>IFERROR(__xludf.DUMMYFUNCTION("""COMPUTED_VALUE"""),"Excellent")</f>
        <v>Excellent</v>
      </c>
      <c r="AB2400" s="138" t="str">
        <f>IFERROR(__xludf.DUMMYFUNCTION("""COMPUTED_VALUE"""),"Excellent")</f>
        <v>Excellent</v>
      </c>
      <c r="AC2400" s="139"/>
      <c r="AD2400" s="139"/>
      <c r="AE2400" s="139"/>
      <c r="AF2400" s="140"/>
      <c r="AG2400" s="136" t="str">
        <f>IFERROR(__xludf.DUMMYFUNCTION("""COMPUTED_VALUE"""),"Totally perfect experience since placing the order all the way thru delivery, no issues at all, and the communication has been great the whole time.")</f>
        <v>Totally perfect experience since placing the order all the way thru delivery, no issues at all, and the communication has been great the whole time.</v>
      </c>
      <c r="AH2400" s="157">
        <f>IFERROR(__xludf.DUMMYFUNCTION("""COMPUTED_VALUE"""),43392.35971715277)</f>
        <v>43392.35972</v>
      </c>
      <c r="AI2400" s="138"/>
      <c r="AJ2400" s="138"/>
      <c r="AK2400" s="138"/>
      <c r="AL2400" s="142"/>
    </row>
    <row r="2401" ht="20.25" customHeight="1">
      <c r="A2401" s="155" t="str">
        <f>IFERROR(__xludf.DUMMYFUNCTION("""COMPUTED_VALUE"""),"automaniac")</f>
        <v>automaniac</v>
      </c>
      <c r="B2401" s="149" t="str">
        <f>IFERROR(__xludf.DUMMYFUNCTION("""COMPUTED_VALUE"""),"San Diego")</f>
        <v>San Diego</v>
      </c>
      <c r="C2401" s="149" t="str">
        <f>IFERROR(__xludf.DUMMYFUNCTION("""COMPUTED_VALUE"""),"CA")</f>
        <v>CA</v>
      </c>
      <c r="D2401" s="149" t="str">
        <f>IFERROR(__xludf.DUMMYFUNCTION("""COMPUTED_VALUE"""),"USA")</f>
        <v>USA</v>
      </c>
      <c r="E2401" s="156">
        <f>IFERROR(__xludf.DUMMYFUNCTION("""COMPUTED_VALUE"""),43347.0)</f>
        <v>43347</v>
      </c>
      <c r="F2401" s="129">
        <f>IFERROR(__xludf.DUMMYFUNCTION("""COMPUTED_VALUE"""),43362.0)</f>
        <v>43362</v>
      </c>
      <c r="G2401" s="154"/>
      <c r="H2401" s="131">
        <f>IFERROR(__xludf.DUMMYFUNCTION("""COMPUTED_VALUE"""),78485.0)</f>
        <v>78485</v>
      </c>
      <c r="I2401" s="144"/>
      <c r="J2401" s="129">
        <f>IFERROR(__xludf.DUMMYFUNCTION("""COMPUTED_VALUE"""),43367.0)</f>
        <v>43367</v>
      </c>
      <c r="K2401" s="133">
        <f>IFERROR(__xludf.DUMMYFUNCTION("""COMPUTED_VALUE"""),15.0)</f>
        <v>15</v>
      </c>
      <c r="L2401" s="133">
        <f>IFERROR(__xludf.DUMMYFUNCTION("""COMPUTED_VALUE"""),5.0)</f>
        <v>5</v>
      </c>
      <c r="M2401" s="133">
        <f>IFERROR(__xludf.DUMMYFUNCTION("""COMPUTED_VALUE"""),20.0)</f>
        <v>20</v>
      </c>
      <c r="N2401" s="152" t="str">
        <f>IFERROR(__xludf.DUMMYFUNCTION("""COMPUTED_VALUE"""),"Model 3 LR")</f>
        <v>Model 3 LR</v>
      </c>
      <c r="O2401" s="152" t="str">
        <f>IFERROR(__xludf.DUMMYFUNCTION("""COMPUTED_VALUE"""),"Silver Metallic")</f>
        <v>Silver Metallic</v>
      </c>
      <c r="P2401" s="153" t="str">
        <f>IFERROR(__xludf.DUMMYFUNCTION("""COMPUTED_VALUE"""),"18 inch Aero")</f>
        <v>18 inch Aero</v>
      </c>
      <c r="Q2401" s="152" t="str">
        <f>IFERROR(__xludf.DUMMYFUNCTION("""COMPUTED_VALUE"""),"Black seats")</f>
        <v>Black seats</v>
      </c>
      <c r="R2401" s="149" t="str">
        <f>IFERROR(__xludf.DUMMYFUNCTION("""COMPUTED_VALUE"""),"Enhanced Autopilot")</f>
        <v>Enhanced Autopilot</v>
      </c>
      <c r="S2401" s="149"/>
      <c r="T2401" s="145"/>
      <c r="U2401" s="145"/>
      <c r="V2401" s="145"/>
      <c r="W2401" s="136"/>
      <c r="X2401" s="137" t="str">
        <f>IFERROR(__xludf.DUMMYFUNCTION("""COMPUTED_VALUE"""),"Fair")</f>
        <v>Fair</v>
      </c>
      <c r="Y2401" s="138" t="str">
        <f>IFERROR(__xludf.DUMMYFUNCTION("""COMPUTED_VALUE"""),"Very Good")</f>
        <v>Very Good</v>
      </c>
      <c r="Z2401" s="138" t="str">
        <f>IFERROR(__xludf.DUMMYFUNCTION("""COMPUTED_VALUE"""),"Fair")</f>
        <v>Fair</v>
      </c>
      <c r="AA2401" s="138" t="str">
        <f>IFERROR(__xludf.DUMMYFUNCTION("""COMPUTED_VALUE"""),"Fair")</f>
        <v>Fair</v>
      </c>
      <c r="AB2401" s="138" t="str">
        <f>IFERROR(__xludf.DUMMYFUNCTION("""COMPUTED_VALUE"""),"Good")</f>
        <v>Good</v>
      </c>
      <c r="AC2401" s="139">
        <f>IFERROR(__xludf.DUMMYFUNCTION("""COMPUTED_VALUE"""),0.0)</f>
        <v>0</v>
      </c>
      <c r="AD2401" s="139">
        <f>IFERROR(__xludf.DUMMYFUNCTION("""COMPUTED_VALUE"""),0.0)</f>
        <v>0</v>
      </c>
      <c r="AE2401" s="139">
        <f>IFERROR(__xludf.DUMMYFUNCTION("""COMPUTED_VALUE"""),0.0)</f>
        <v>0</v>
      </c>
      <c r="AF2401" s="140"/>
      <c r="AG2401" s="136"/>
      <c r="AH2401" s="157">
        <f>IFERROR(__xludf.DUMMYFUNCTION("""COMPUTED_VALUE"""),43437.6918706713)</f>
        <v>43437.69187</v>
      </c>
      <c r="AI2401" s="138"/>
      <c r="AJ2401" s="138"/>
      <c r="AK2401" s="138"/>
      <c r="AL2401" s="142"/>
    </row>
    <row r="2402" ht="20.25" customHeight="1">
      <c r="A2402" s="155" t="str">
        <f>IFERROR(__xludf.DUMMYFUNCTION("""COMPUTED_VALUE"""),"garrettg")</f>
        <v>garrettg</v>
      </c>
      <c r="B2402" s="149" t="str">
        <f>IFERROR(__xludf.DUMMYFUNCTION("""COMPUTED_VALUE"""),"Kansas City")</f>
        <v>Kansas City</v>
      </c>
      <c r="C2402" s="149" t="str">
        <f>IFERROR(__xludf.DUMMYFUNCTION("""COMPUTED_VALUE"""),"MO")</f>
        <v>MO</v>
      </c>
      <c r="D2402" s="149" t="str">
        <f>IFERROR(__xludf.DUMMYFUNCTION("""COMPUTED_VALUE"""),"USA")</f>
        <v>USA</v>
      </c>
      <c r="E2402" s="156">
        <f>IFERROR(__xludf.DUMMYFUNCTION("""COMPUTED_VALUE"""),43346.0)</f>
        <v>43346</v>
      </c>
      <c r="F2402" s="129">
        <f>IFERROR(__xludf.DUMMYFUNCTION("""COMPUTED_VALUE"""),43355.0)</f>
        <v>43355</v>
      </c>
      <c r="G2402" s="154"/>
      <c r="H2402" s="131">
        <f>IFERROR(__xludf.DUMMYFUNCTION("""COMPUTED_VALUE"""),84255.0)</f>
        <v>84255</v>
      </c>
      <c r="I2402" s="144" t="str">
        <f>IFERROR(__xludf.DUMMYFUNCTION("""COMPUTED_VALUE"""),"09/18")</f>
        <v>09/18</v>
      </c>
      <c r="J2402" s="129">
        <f>IFERROR(__xludf.DUMMYFUNCTION("""COMPUTED_VALUE"""),43372.0)</f>
        <v>43372</v>
      </c>
      <c r="K2402" s="133">
        <f>IFERROR(__xludf.DUMMYFUNCTION("""COMPUTED_VALUE"""),9.0)</f>
        <v>9</v>
      </c>
      <c r="L2402" s="133">
        <f>IFERROR(__xludf.DUMMYFUNCTION("""COMPUTED_VALUE"""),17.0)</f>
        <v>17</v>
      </c>
      <c r="M2402" s="133">
        <f>IFERROR(__xludf.DUMMYFUNCTION("""COMPUTED_VALUE"""),26.0)</f>
        <v>26</v>
      </c>
      <c r="N2402" s="152" t="str">
        <f>IFERROR(__xludf.DUMMYFUNCTION("""COMPUTED_VALUE"""),"Model 3 Performance")</f>
        <v>Model 3 Performance</v>
      </c>
      <c r="O2402" s="152" t="str">
        <f>IFERROR(__xludf.DUMMYFUNCTION("""COMPUTED_VALUE"""),"Pearl White Multi-Coat")</f>
        <v>Pearl White Multi-Coat</v>
      </c>
      <c r="P2402" s="153" t="str">
        <f>IFERROR(__xludf.DUMMYFUNCTION("""COMPUTED_VALUE"""),"20 inch Sport")</f>
        <v>20 inch Sport</v>
      </c>
      <c r="Q2402" s="152" t="str">
        <f>IFERROR(__xludf.DUMMYFUNCTION("""COMPUTED_VALUE"""),"Black seats")</f>
        <v>Black seats</v>
      </c>
      <c r="R2402" s="149" t="str">
        <f>IFERROR(__xludf.DUMMYFUNCTION("""COMPUTED_VALUE"""),"Enhanced Autopilot")</f>
        <v>Enhanced Autopilot</v>
      </c>
      <c r="S2402" s="149"/>
      <c r="T2402" s="145"/>
      <c r="U2402" s="145"/>
      <c r="V2402" s="145"/>
      <c r="W2402" s="136"/>
      <c r="X2402" s="137" t="str">
        <f>IFERROR(__xludf.DUMMYFUNCTION("""COMPUTED_VALUE"""),"Excellent")</f>
        <v>Excellent</v>
      </c>
      <c r="Y2402" s="138" t="str">
        <f>IFERROR(__xludf.DUMMYFUNCTION("""COMPUTED_VALUE"""),"Excellent")</f>
        <v>Excellent</v>
      </c>
      <c r="Z2402" s="138" t="str">
        <f>IFERROR(__xludf.DUMMYFUNCTION("""COMPUTED_VALUE"""),"Excellent")</f>
        <v>Excellent</v>
      </c>
      <c r="AA2402" s="138" t="str">
        <f>IFERROR(__xludf.DUMMYFUNCTION("""COMPUTED_VALUE"""),"Excellent")</f>
        <v>Excellent</v>
      </c>
      <c r="AB2402" s="138" t="str">
        <f>IFERROR(__xludf.DUMMYFUNCTION("""COMPUTED_VALUE"""),"Excellent")</f>
        <v>Excellent</v>
      </c>
      <c r="AC2402" s="139">
        <f>IFERROR(__xludf.DUMMYFUNCTION("""COMPUTED_VALUE"""),1.0)</f>
        <v>1</v>
      </c>
      <c r="AD2402" s="139">
        <f>IFERROR(__xludf.DUMMYFUNCTION("""COMPUTED_VALUE"""),0.0)</f>
        <v>0</v>
      </c>
      <c r="AE2402" s="139">
        <f>IFERROR(__xludf.DUMMYFUNCTION("""COMPUTED_VALUE"""),0.0)</f>
        <v>0</v>
      </c>
      <c r="AF2402" s="140"/>
      <c r="AG2402" s="136"/>
      <c r="AH2402" s="157">
        <f>IFERROR(__xludf.DUMMYFUNCTION("""COMPUTED_VALUE"""),43448.32752641204)</f>
        <v>43448.32753</v>
      </c>
      <c r="AI2402" s="138"/>
      <c r="AJ2402" s="138"/>
      <c r="AK2402" s="138"/>
      <c r="AL2402" s="142"/>
    </row>
    <row r="2403" ht="20.25" customHeight="1">
      <c r="A2403" s="155" t="str">
        <f>IFERROR(__xludf.DUMMYFUNCTION("""COMPUTED_VALUE"""),"Stretch2727")</f>
        <v>Stretch2727</v>
      </c>
      <c r="B2403" s="149"/>
      <c r="C2403" s="149" t="str">
        <f>IFERROR(__xludf.DUMMYFUNCTION("""COMPUTED_VALUE"""),"NJ")</f>
        <v>NJ</v>
      </c>
      <c r="D2403" s="149" t="str">
        <f>IFERROR(__xludf.DUMMYFUNCTION("""COMPUTED_VALUE"""),"USA")</f>
        <v>USA</v>
      </c>
      <c r="E2403" s="156">
        <f>IFERROR(__xludf.DUMMYFUNCTION("""COMPUTED_VALUE"""),43346.0)</f>
        <v>43346</v>
      </c>
      <c r="F2403" s="129">
        <f>IFERROR(__xludf.DUMMYFUNCTION("""COMPUTED_VALUE"""),43363.0)</f>
        <v>43363</v>
      </c>
      <c r="G2403" s="154"/>
      <c r="H2403" s="131">
        <f>IFERROR(__xludf.DUMMYFUNCTION("""COMPUTED_VALUE"""),84215.0)</f>
        <v>84215</v>
      </c>
      <c r="I2403" s="144" t="str">
        <f>IFERROR(__xludf.DUMMYFUNCTION("""COMPUTED_VALUE"""),"09/18")</f>
        <v>09/18</v>
      </c>
      <c r="J2403" s="129">
        <f>IFERROR(__xludf.DUMMYFUNCTION("""COMPUTED_VALUE"""),43370.0)</f>
        <v>43370</v>
      </c>
      <c r="K2403" s="133">
        <f>IFERROR(__xludf.DUMMYFUNCTION("""COMPUTED_VALUE"""),17.0)</f>
        <v>17</v>
      </c>
      <c r="L2403" s="133">
        <f>IFERROR(__xludf.DUMMYFUNCTION("""COMPUTED_VALUE"""),7.0)</f>
        <v>7</v>
      </c>
      <c r="M2403" s="133">
        <f>IFERROR(__xludf.DUMMYFUNCTION("""COMPUTED_VALUE"""),24.0)</f>
        <v>24</v>
      </c>
      <c r="N2403" s="152" t="str">
        <f>IFERROR(__xludf.DUMMYFUNCTION("""COMPUTED_VALUE"""),"Model 3 Performance")</f>
        <v>Model 3 Performance</v>
      </c>
      <c r="O2403" s="152" t="str">
        <f>IFERROR(__xludf.DUMMYFUNCTION("""COMPUTED_VALUE"""),"Pearl White Multi-Coat")</f>
        <v>Pearl White Multi-Coat</v>
      </c>
      <c r="P2403" s="153" t="str">
        <f>IFERROR(__xludf.DUMMYFUNCTION("""COMPUTED_VALUE"""),"20 inch Sport")</f>
        <v>20 inch Sport</v>
      </c>
      <c r="Q2403" s="152" t="str">
        <f>IFERROR(__xludf.DUMMYFUNCTION("""COMPUTED_VALUE"""),"Black seats")</f>
        <v>Black seats</v>
      </c>
      <c r="R2403" s="149" t="str">
        <f>IFERROR(__xludf.DUMMYFUNCTION("""COMPUTED_VALUE"""),"None")</f>
        <v>None</v>
      </c>
      <c r="S2403" s="149"/>
      <c r="T2403" s="145"/>
      <c r="U2403" s="145"/>
      <c r="V2403" s="145"/>
      <c r="W2403" s="136"/>
      <c r="X2403" s="137" t="str">
        <f>IFERROR(__xludf.DUMMYFUNCTION("""COMPUTED_VALUE"""),"Excellent")</f>
        <v>Excellent</v>
      </c>
      <c r="Y2403" s="138" t="str">
        <f>IFERROR(__xludf.DUMMYFUNCTION("""COMPUTED_VALUE"""),"Excellent")</f>
        <v>Excellent</v>
      </c>
      <c r="Z2403" s="138" t="str">
        <f>IFERROR(__xludf.DUMMYFUNCTION("""COMPUTED_VALUE"""),"Very Good")</f>
        <v>Very Good</v>
      </c>
      <c r="AA2403" s="138" t="str">
        <f>IFERROR(__xludf.DUMMYFUNCTION("""COMPUTED_VALUE"""),"Excellent")</f>
        <v>Excellent</v>
      </c>
      <c r="AB2403" s="138" t="str">
        <f>IFERROR(__xludf.DUMMYFUNCTION("""COMPUTED_VALUE"""),"Excellent")</f>
        <v>Excellent</v>
      </c>
      <c r="AC2403" s="139"/>
      <c r="AD2403" s="139"/>
      <c r="AE2403" s="139"/>
      <c r="AF2403" s="140"/>
      <c r="AG2403" s="136"/>
      <c r="AH2403" s="157">
        <f>IFERROR(__xludf.DUMMYFUNCTION("""COMPUTED_VALUE"""),43371.62650508102)</f>
        <v>43371.62651</v>
      </c>
      <c r="AI2403" s="138"/>
      <c r="AJ2403" s="138"/>
      <c r="AK2403" s="138"/>
      <c r="AL2403" s="142"/>
    </row>
    <row r="2404" ht="20.25" customHeight="1">
      <c r="A2404" s="155" t="str">
        <f>IFERROR(__xludf.DUMMYFUNCTION("""COMPUTED_VALUE"""),"zacyee")</f>
        <v>zacyee</v>
      </c>
      <c r="B2404" s="149" t="str">
        <f>IFERROR(__xludf.DUMMYFUNCTION("""COMPUTED_VALUE"""),"San Diego")</f>
        <v>San Diego</v>
      </c>
      <c r="C2404" s="149" t="str">
        <f>IFERROR(__xludf.DUMMYFUNCTION("""COMPUTED_VALUE"""),"CA")</f>
        <v>CA</v>
      </c>
      <c r="D2404" s="149" t="str">
        <f>IFERROR(__xludf.DUMMYFUNCTION("""COMPUTED_VALUE"""),"USA")</f>
        <v>USA</v>
      </c>
      <c r="E2404" s="156">
        <f>IFERROR(__xludf.DUMMYFUNCTION("""COMPUTED_VALUE"""),43346.0)</f>
        <v>43346</v>
      </c>
      <c r="F2404" s="129">
        <f>IFERROR(__xludf.DUMMYFUNCTION("""COMPUTED_VALUE"""),43356.0)</f>
        <v>43356</v>
      </c>
      <c r="G2404" s="154"/>
      <c r="H2404" s="131">
        <f>IFERROR(__xludf.DUMMYFUNCTION("""COMPUTED_VALUE"""),80755.0)</f>
        <v>80755</v>
      </c>
      <c r="I2404" s="144" t="str">
        <f>IFERROR(__xludf.DUMMYFUNCTION("""COMPUTED_VALUE"""),"09/18")</f>
        <v>09/18</v>
      </c>
      <c r="J2404" s="129">
        <f>IFERROR(__xludf.DUMMYFUNCTION("""COMPUTED_VALUE"""),43361.0)</f>
        <v>43361</v>
      </c>
      <c r="K2404" s="133">
        <f>IFERROR(__xludf.DUMMYFUNCTION("""COMPUTED_VALUE"""),10.0)</f>
        <v>10</v>
      </c>
      <c r="L2404" s="133">
        <f>IFERROR(__xludf.DUMMYFUNCTION("""COMPUTED_VALUE"""),5.0)</f>
        <v>5</v>
      </c>
      <c r="M2404" s="133">
        <f>IFERROR(__xludf.DUMMYFUNCTION("""COMPUTED_VALUE"""),15.0)</f>
        <v>15</v>
      </c>
      <c r="N2404" s="152" t="str">
        <f>IFERROR(__xludf.DUMMYFUNCTION("""COMPUTED_VALUE"""),"Model 3 Performance")</f>
        <v>Model 3 Performance</v>
      </c>
      <c r="O2404" s="152" t="str">
        <f>IFERROR(__xludf.DUMMYFUNCTION("""COMPUTED_VALUE"""),"Deep Blue Metallic")</f>
        <v>Deep Blue Metallic</v>
      </c>
      <c r="P2404" s="153" t="str">
        <f>IFERROR(__xludf.DUMMYFUNCTION("""COMPUTED_VALUE"""),"20 inch Sport")</f>
        <v>20 inch Sport</v>
      </c>
      <c r="Q2404" s="152" t="str">
        <f>IFERROR(__xludf.DUMMYFUNCTION("""COMPUTED_VALUE"""),"White seats")</f>
        <v>White seats</v>
      </c>
      <c r="R2404" s="149" t="str">
        <f>IFERROR(__xludf.DUMMYFUNCTION("""COMPUTED_VALUE"""),"None")</f>
        <v>None</v>
      </c>
      <c r="S2404" s="149"/>
      <c r="T2404" s="145"/>
      <c r="U2404" s="145"/>
      <c r="V2404" s="145"/>
      <c r="W2404" s="136"/>
      <c r="X2404" s="137" t="str">
        <f>IFERROR(__xludf.DUMMYFUNCTION("""COMPUTED_VALUE"""),"Excellent")</f>
        <v>Excellent</v>
      </c>
      <c r="Y2404" s="138" t="str">
        <f>IFERROR(__xludf.DUMMYFUNCTION("""COMPUTED_VALUE"""),"Excellent")</f>
        <v>Excellent</v>
      </c>
      <c r="Z2404" s="138" t="str">
        <f>IFERROR(__xludf.DUMMYFUNCTION("""COMPUTED_VALUE"""),"Excellent")</f>
        <v>Excellent</v>
      </c>
      <c r="AA2404" s="138" t="str">
        <f>IFERROR(__xludf.DUMMYFUNCTION("""COMPUTED_VALUE"""),"Good")</f>
        <v>Good</v>
      </c>
      <c r="AB2404" s="138" t="str">
        <f>IFERROR(__xludf.DUMMYFUNCTION("""COMPUTED_VALUE"""),"Fair")</f>
        <v>Fair</v>
      </c>
      <c r="AC2404" s="139">
        <f>IFERROR(__xludf.DUMMYFUNCTION("""COMPUTED_VALUE"""),1.0)</f>
        <v>1</v>
      </c>
      <c r="AD2404" s="139">
        <f>IFERROR(__xludf.DUMMYFUNCTION("""COMPUTED_VALUE"""),0.0)</f>
        <v>0</v>
      </c>
      <c r="AE2404" s="139">
        <f>IFERROR(__xludf.DUMMYFUNCTION("""COMPUTED_VALUE"""),0.0)</f>
        <v>0</v>
      </c>
      <c r="AF2404" s="140"/>
      <c r="AG2404" s="136"/>
      <c r="AH2404" s="157">
        <f>IFERROR(__xludf.DUMMYFUNCTION("""COMPUTED_VALUE"""),43409.53359533565)</f>
        <v>43409.5336</v>
      </c>
      <c r="AI2404" s="138"/>
      <c r="AJ2404" s="138"/>
      <c r="AK2404" s="138"/>
      <c r="AL2404" s="142"/>
    </row>
    <row r="2405" ht="20.25" customHeight="1">
      <c r="A2405" s="155" t="str">
        <f>IFERROR(__xludf.DUMMYFUNCTION("""COMPUTED_VALUE"""),"HostileHarry")</f>
        <v>HostileHarry</v>
      </c>
      <c r="B2405" s="149" t="str">
        <f>IFERROR(__xludf.DUMMYFUNCTION("""COMPUTED_VALUE"""),"Chicago")</f>
        <v>Chicago</v>
      </c>
      <c r="C2405" s="149" t="str">
        <f>IFERROR(__xludf.DUMMYFUNCTION("""COMPUTED_VALUE"""),"IL")</f>
        <v>IL</v>
      </c>
      <c r="D2405" s="149" t="str">
        <f>IFERROR(__xludf.DUMMYFUNCTION("""COMPUTED_VALUE"""),"USA")</f>
        <v>USA</v>
      </c>
      <c r="E2405" s="156">
        <f>IFERROR(__xludf.DUMMYFUNCTION("""COMPUTED_VALUE"""),43345.0)</f>
        <v>43345</v>
      </c>
      <c r="F2405" s="129"/>
      <c r="G2405" s="154"/>
      <c r="H2405" s="131">
        <f>IFERROR(__xludf.DUMMYFUNCTION("""COMPUTED_VALUE"""),910055.0)</f>
        <v>910055</v>
      </c>
      <c r="I2405" s="144"/>
      <c r="J2405" s="129">
        <f>IFERROR(__xludf.DUMMYFUNCTION("""COMPUTED_VALUE"""),43371.0)</f>
        <v>43371</v>
      </c>
      <c r="K2405" s="133"/>
      <c r="L2405" s="133"/>
      <c r="M2405" s="133">
        <f>IFERROR(__xludf.DUMMYFUNCTION("""COMPUTED_VALUE"""),26.0)</f>
        <v>26</v>
      </c>
      <c r="N2405" s="152" t="str">
        <f>IFERROR(__xludf.DUMMYFUNCTION("""COMPUTED_VALUE"""),"Model 3 LR AWD")</f>
        <v>Model 3 LR AWD</v>
      </c>
      <c r="O2405" s="152" t="str">
        <f>IFERROR(__xludf.DUMMYFUNCTION("""COMPUTED_VALUE"""),"Midnight Silver Metallic")</f>
        <v>Midnight Silver Metallic</v>
      </c>
      <c r="P2405" s="153" t="str">
        <f>IFERROR(__xludf.DUMMYFUNCTION("""COMPUTED_VALUE"""),"18 inch Aero")</f>
        <v>18 inch Aero</v>
      </c>
      <c r="Q2405" s="152" t="str">
        <f>IFERROR(__xludf.DUMMYFUNCTION("""COMPUTED_VALUE"""),"Black seats")</f>
        <v>Black seats</v>
      </c>
      <c r="R2405" s="149" t="str">
        <f>IFERROR(__xludf.DUMMYFUNCTION("""COMPUTED_VALUE"""),"Full Self-Driving")</f>
        <v>Full Self-Driving</v>
      </c>
      <c r="S2405" s="149"/>
      <c r="T2405" s="145"/>
      <c r="U2405" s="145"/>
      <c r="V2405" s="145"/>
      <c r="W2405" s="136"/>
      <c r="X2405" s="137" t="str">
        <f>IFERROR(__xludf.DUMMYFUNCTION("""COMPUTED_VALUE"""),"Very Good")</f>
        <v>Very Good</v>
      </c>
      <c r="Y2405" s="138" t="str">
        <f>IFERROR(__xludf.DUMMYFUNCTION("""COMPUTED_VALUE"""),"Very Good")</f>
        <v>Very Good</v>
      </c>
      <c r="Z2405" s="138" t="str">
        <f>IFERROR(__xludf.DUMMYFUNCTION("""COMPUTED_VALUE"""),"Very Good")</f>
        <v>Very Good</v>
      </c>
      <c r="AA2405" s="138" t="str">
        <f>IFERROR(__xludf.DUMMYFUNCTION("""COMPUTED_VALUE"""),"Excellent")</f>
        <v>Excellent</v>
      </c>
      <c r="AB2405" s="138" t="str">
        <f>IFERROR(__xludf.DUMMYFUNCTION("""COMPUTED_VALUE"""),"Excellent")</f>
        <v>Excellent</v>
      </c>
      <c r="AC2405" s="139"/>
      <c r="AD2405" s="139"/>
      <c r="AE2405" s="139"/>
      <c r="AF2405" s="140"/>
      <c r="AG2405" s="136"/>
      <c r="AH2405" s="157">
        <f>IFERROR(__xludf.DUMMYFUNCTION("""COMPUTED_VALUE"""),43371.465767037036)</f>
        <v>43371.46577</v>
      </c>
      <c r="AI2405" s="138"/>
      <c r="AJ2405" s="138"/>
      <c r="AK2405" s="138"/>
      <c r="AL2405" s="142"/>
    </row>
    <row r="2406" ht="20.25" customHeight="1">
      <c r="A2406" s="155" t="str">
        <f>IFERROR(__xludf.DUMMYFUNCTION("""COMPUTED_VALUE"""),"rakesh")</f>
        <v>rakesh</v>
      </c>
      <c r="B2406" s="149" t="str">
        <f>IFERROR(__xludf.DUMMYFUNCTION("""COMPUTED_VALUE"""),"Austin")</f>
        <v>Austin</v>
      </c>
      <c r="C2406" s="149" t="str">
        <f>IFERROR(__xludf.DUMMYFUNCTION("""COMPUTED_VALUE"""),"TX")</f>
        <v>TX</v>
      </c>
      <c r="D2406" s="149" t="str">
        <f>IFERROR(__xludf.DUMMYFUNCTION("""COMPUTED_VALUE"""),"USA")</f>
        <v>USA</v>
      </c>
      <c r="E2406" s="156">
        <f>IFERROR(__xludf.DUMMYFUNCTION("""COMPUTED_VALUE"""),43345.0)</f>
        <v>43345</v>
      </c>
      <c r="F2406" s="129">
        <f>IFERROR(__xludf.DUMMYFUNCTION("""COMPUTED_VALUE"""),43353.0)</f>
        <v>43353</v>
      </c>
      <c r="G2406" s="154"/>
      <c r="H2406" s="131">
        <f>IFERROR(__xludf.DUMMYFUNCTION("""COMPUTED_VALUE"""),34955.0)</f>
        <v>34955</v>
      </c>
      <c r="I2406" s="144"/>
      <c r="J2406" s="129">
        <f>IFERROR(__xludf.DUMMYFUNCTION("""COMPUTED_VALUE"""),43363.0)</f>
        <v>43363</v>
      </c>
      <c r="K2406" s="133">
        <f>IFERROR(__xludf.DUMMYFUNCTION("""COMPUTED_VALUE"""),8.0)</f>
        <v>8</v>
      </c>
      <c r="L2406" s="133">
        <f>IFERROR(__xludf.DUMMYFUNCTION("""COMPUTED_VALUE"""),10.0)</f>
        <v>10</v>
      </c>
      <c r="M2406" s="133">
        <f>IFERROR(__xludf.DUMMYFUNCTION("""COMPUTED_VALUE"""),18.0)</f>
        <v>18</v>
      </c>
      <c r="N2406" s="152" t="str">
        <f>IFERROR(__xludf.DUMMYFUNCTION("""COMPUTED_VALUE"""),"Model 3 LR")</f>
        <v>Model 3 LR</v>
      </c>
      <c r="O2406" s="152" t="str">
        <f>IFERROR(__xludf.DUMMYFUNCTION("""COMPUTED_VALUE"""),"Red Multi-Coat")</f>
        <v>Red Multi-Coat</v>
      </c>
      <c r="P2406" s="153" t="str">
        <f>IFERROR(__xludf.DUMMYFUNCTION("""COMPUTED_VALUE"""),"18 inch Aero")</f>
        <v>18 inch Aero</v>
      </c>
      <c r="Q2406" s="152" t="str">
        <f>IFERROR(__xludf.DUMMYFUNCTION("""COMPUTED_VALUE"""),"Black seats")</f>
        <v>Black seats</v>
      </c>
      <c r="R2406" s="149" t="str">
        <f>IFERROR(__xludf.DUMMYFUNCTION("""COMPUTED_VALUE"""),"None")</f>
        <v>None</v>
      </c>
      <c r="S2406" s="149"/>
      <c r="T2406" s="145"/>
      <c r="U2406" s="145"/>
      <c r="V2406" s="145"/>
      <c r="W2406" s="136"/>
      <c r="X2406" s="137" t="str">
        <f>IFERROR(__xludf.DUMMYFUNCTION("""COMPUTED_VALUE"""),"Poor")</f>
        <v>Poor</v>
      </c>
      <c r="Y2406" s="138" t="str">
        <f>IFERROR(__xludf.DUMMYFUNCTION("""COMPUTED_VALUE"""),"Good")</f>
        <v>Good</v>
      </c>
      <c r="Z2406" s="138" t="str">
        <f>IFERROR(__xludf.DUMMYFUNCTION("""COMPUTED_VALUE"""),"Excellent")</f>
        <v>Excellent</v>
      </c>
      <c r="AA2406" s="138" t="str">
        <f>IFERROR(__xludf.DUMMYFUNCTION("""COMPUTED_VALUE"""),"Excellent")</f>
        <v>Excellent</v>
      </c>
      <c r="AB2406" s="138" t="str">
        <f>IFERROR(__xludf.DUMMYFUNCTION("""COMPUTED_VALUE"""),"Excellent")</f>
        <v>Excellent</v>
      </c>
      <c r="AC2406" s="139"/>
      <c r="AD2406" s="139"/>
      <c r="AE2406" s="139"/>
      <c r="AF2406" s="140"/>
      <c r="AG2406" s="136"/>
      <c r="AH2406" s="157">
        <f>IFERROR(__xludf.DUMMYFUNCTION("""COMPUTED_VALUE"""),43364.358367546294)</f>
        <v>43364.35837</v>
      </c>
      <c r="AI2406" s="138"/>
      <c r="AJ2406" s="138"/>
      <c r="AK2406" s="138"/>
      <c r="AL2406" s="142"/>
    </row>
    <row r="2407" ht="20.25" customHeight="1">
      <c r="A2407" s="155" t="str">
        <f>IFERROR(__xludf.DUMMYFUNCTION("""COMPUTED_VALUE"""),"roark43")</f>
        <v>roark43</v>
      </c>
      <c r="B2407" s="149"/>
      <c r="C2407" s="149" t="str">
        <f>IFERROR(__xludf.DUMMYFUNCTION("""COMPUTED_VALUE"""),"MD")</f>
        <v>MD</v>
      </c>
      <c r="D2407" s="149" t="str">
        <f>IFERROR(__xludf.DUMMYFUNCTION("""COMPUTED_VALUE"""),"USA")</f>
        <v>USA</v>
      </c>
      <c r="E2407" s="156">
        <f>IFERROR(__xludf.DUMMYFUNCTION("""COMPUTED_VALUE"""),43345.0)</f>
        <v>43345</v>
      </c>
      <c r="F2407" s="129">
        <f>IFERROR(__xludf.DUMMYFUNCTION("""COMPUTED_VALUE"""),43008.0)</f>
        <v>43008</v>
      </c>
      <c r="G2407" s="154"/>
      <c r="H2407" s="131">
        <f>IFERROR(__xludf.DUMMYFUNCTION("""COMPUTED_VALUE"""),51355.0)</f>
        <v>51355</v>
      </c>
      <c r="I2407" s="144" t="str">
        <f>IFERROR(__xludf.DUMMYFUNCTION("""COMPUTED_VALUE"""),"08/18")</f>
        <v>08/18</v>
      </c>
      <c r="J2407" s="129">
        <f>IFERROR(__xludf.DUMMYFUNCTION("""COMPUTED_VALUE"""),43008.0)</f>
        <v>43008</v>
      </c>
      <c r="K2407" s="133"/>
      <c r="L2407" s="133">
        <f>IFERROR(__xludf.DUMMYFUNCTION("""COMPUTED_VALUE"""),0.0)</f>
        <v>0</v>
      </c>
      <c r="M2407" s="133"/>
      <c r="N2407" s="152" t="str">
        <f>IFERROR(__xludf.DUMMYFUNCTION("""COMPUTED_VALUE"""),"Model 3 LR")</f>
        <v>Model 3 LR</v>
      </c>
      <c r="O2407" s="152" t="str">
        <f>IFERROR(__xludf.DUMMYFUNCTION("""COMPUTED_VALUE"""),"Midnight Silver Metallic")</f>
        <v>Midnight Silver Metallic</v>
      </c>
      <c r="P2407" s="153" t="str">
        <f>IFERROR(__xludf.DUMMYFUNCTION("""COMPUTED_VALUE"""),"19 inch Sport")</f>
        <v>19 inch Sport</v>
      </c>
      <c r="Q2407" s="152" t="str">
        <f>IFERROR(__xludf.DUMMYFUNCTION("""COMPUTED_VALUE"""),"Black seats")</f>
        <v>Black seats</v>
      </c>
      <c r="R2407" s="149" t="str">
        <f>IFERROR(__xludf.DUMMYFUNCTION("""COMPUTED_VALUE"""),"Enhanced Autopilot")</f>
        <v>Enhanced Autopilot</v>
      </c>
      <c r="S2407" s="149"/>
      <c r="T2407" s="145"/>
      <c r="U2407" s="145"/>
      <c r="V2407" s="145"/>
      <c r="W2407" s="136"/>
      <c r="X2407" s="137" t="str">
        <f>IFERROR(__xludf.DUMMYFUNCTION("""COMPUTED_VALUE"""),"Excellent")</f>
        <v>Excellent</v>
      </c>
      <c r="Y2407" s="138" t="str">
        <f>IFERROR(__xludf.DUMMYFUNCTION("""COMPUTED_VALUE"""),"Excellent")</f>
        <v>Excellent</v>
      </c>
      <c r="Z2407" s="138" t="str">
        <f>IFERROR(__xludf.DUMMYFUNCTION("""COMPUTED_VALUE"""),"Excellent")</f>
        <v>Excellent</v>
      </c>
      <c r="AA2407" s="138" t="str">
        <f>IFERROR(__xludf.DUMMYFUNCTION("""COMPUTED_VALUE"""),"Very Good")</f>
        <v>Very Good</v>
      </c>
      <c r="AB2407" s="138" t="str">
        <f>IFERROR(__xludf.DUMMYFUNCTION("""COMPUTED_VALUE"""),"Very Good")</f>
        <v>Very Good</v>
      </c>
      <c r="AC2407" s="139"/>
      <c r="AD2407" s="139"/>
      <c r="AE2407" s="139"/>
      <c r="AF2407" s="140"/>
      <c r="AG2407" s="136" t="str">
        <f>IFERROR(__xludf.DUMMYFUNCTION("""COMPUTED_VALUE"""),"This is our 2nd Model 3 order, an AWD to go with our first. Took delivery of RWD on 8/18, a month after our original delivery date.")</f>
        <v>This is our 2nd Model 3 order, an AWD to go with our first. Took delivery of RWD on 8/18, a month after our original delivery date.</v>
      </c>
      <c r="AH2407" s="157">
        <f>IFERROR(__xludf.DUMMYFUNCTION("""COMPUTED_VALUE"""),43376.68286341435)</f>
        <v>43376.68286</v>
      </c>
      <c r="AI2407" s="138"/>
      <c r="AJ2407" s="138"/>
      <c r="AK2407" s="138"/>
      <c r="AL2407" s="142"/>
    </row>
    <row r="2408" ht="20.25" customHeight="1">
      <c r="A2408" s="155" t="str">
        <f>IFERROR(__xludf.DUMMYFUNCTION("""COMPUTED_VALUE"""),"Timscholefield")</f>
        <v>Timscholefield</v>
      </c>
      <c r="B2408" s="149" t="str">
        <f>IFERROR(__xludf.DUMMYFUNCTION("""COMPUTED_VALUE"""),"Los Angeles")</f>
        <v>Los Angeles</v>
      </c>
      <c r="C2408" s="149" t="str">
        <f>IFERROR(__xludf.DUMMYFUNCTION("""COMPUTED_VALUE"""),"CA")</f>
        <v>CA</v>
      </c>
      <c r="D2408" s="149" t="str">
        <f>IFERROR(__xludf.DUMMYFUNCTION("""COMPUTED_VALUE"""),"USA")</f>
        <v>USA</v>
      </c>
      <c r="E2408" s="156">
        <f>IFERROR(__xludf.DUMMYFUNCTION("""COMPUTED_VALUE"""),43345.0)</f>
        <v>43345</v>
      </c>
      <c r="F2408" s="129">
        <f>IFERROR(__xludf.DUMMYFUNCTION("""COMPUTED_VALUE"""),43349.0)</f>
        <v>43349</v>
      </c>
      <c r="G2408" s="154"/>
      <c r="H2408" s="131">
        <f>IFERROR(__xludf.DUMMYFUNCTION("""COMPUTED_VALUE"""),80665.0)</f>
        <v>80665</v>
      </c>
      <c r="I2408" s="144"/>
      <c r="J2408" s="129">
        <f>IFERROR(__xludf.DUMMYFUNCTION("""COMPUTED_VALUE"""),43361.0)</f>
        <v>43361</v>
      </c>
      <c r="K2408" s="133">
        <f>IFERROR(__xludf.DUMMYFUNCTION("""COMPUTED_VALUE"""),4.0)</f>
        <v>4</v>
      </c>
      <c r="L2408" s="133">
        <f>IFERROR(__xludf.DUMMYFUNCTION("""COMPUTED_VALUE"""),12.0)</f>
        <v>12</v>
      </c>
      <c r="M2408" s="133">
        <f>IFERROR(__xludf.DUMMYFUNCTION("""COMPUTED_VALUE"""),16.0)</f>
        <v>16</v>
      </c>
      <c r="N2408" s="152" t="str">
        <f>IFERROR(__xludf.DUMMYFUNCTION("""COMPUTED_VALUE"""),"Model 3 Performance")</f>
        <v>Model 3 Performance</v>
      </c>
      <c r="O2408" s="152" t="str">
        <f>IFERROR(__xludf.DUMMYFUNCTION("""COMPUTED_VALUE"""),"Deep Blue Metallic")</f>
        <v>Deep Blue Metallic</v>
      </c>
      <c r="P2408" s="153" t="str">
        <f>IFERROR(__xludf.DUMMYFUNCTION("""COMPUTED_VALUE"""),"20 inch Sport")</f>
        <v>20 inch Sport</v>
      </c>
      <c r="Q2408" s="152" t="str">
        <f>IFERROR(__xludf.DUMMYFUNCTION("""COMPUTED_VALUE"""),"White seats")</f>
        <v>White seats</v>
      </c>
      <c r="R2408" s="149" t="str">
        <f>IFERROR(__xludf.DUMMYFUNCTION("""COMPUTED_VALUE"""),"Enhanced Autopilot")</f>
        <v>Enhanced Autopilot</v>
      </c>
      <c r="S2408" s="149"/>
      <c r="T2408" s="145"/>
      <c r="U2408" s="145"/>
      <c r="V2408" s="145"/>
      <c r="W2408" s="136"/>
      <c r="X2408" s="137"/>
      <c r="Y2408" s="138"/>
      <c r="Z2408" s="138"/>
      <c r="AA2408" s="138" t="str">
        <f>IFERROR(__xludf.DUMMYFUNCTION("""COMPUTED_VALUE"""),"Fair")</f>
        <v>Fair</v>
      </c>
      <c r="AB2408" s="138"/>
      <c r="AC2408" s="139"/>
      <c r="AD2408" s="139"/>
      <c r="AE2408" s="139"/>
      <c r="AF2408" s="140"/>
      <c r="AG2408" s="136"/>
      <c r="AH2408" s="157">
        <f>IFERROR(__xludf.DUMMYFUNCTION("""COMPUTED_VALUE"""),43356.99538930556)</f>
        <v>43356.99539</v>
      </c>
      <c r="AI2408" s="138"/>
      <c r="AJ2408" s="138"/>
      <c r="AK2408" s="138"/>
      <c r="AL2408" s="142"/>
    </row>
    <row r="2409" ht="20.25" customHeight="1">
      <c r="A2409" s="155" t="str">
        <f>IFERROR(__xludf.DUMMYFUNCTION("""COMPUTED_VALUE"""),"cself")</f>
        <v>cself</v>
      </c>
      <c r="B2409" s="149" t="str">
        <f>IFERROR(__xludf.DUMMYFUNCTION("""COMPUTED_VALUE"""),"Houston")</f>
        <v>Houston</v>
      </c>
      <c r="C2409" s="149" t="str">
        <f>IFERROR(__xludf.DUMMYFUNCTION("""COMPUTED_VALUE"""),"TX")</f>
        <v>TX</v>
      </c>
      <c r="D2409" s="149" t="str">
        <f>IFERROR(__xludf.DUMMYFUNCTION("""COMPUTED_VALUE"""),"USA")</f>
        <v>USA</v>
      </c>
      <c r="E2409" s="156">
        <f>IFERROR(__xludf.DUMMYFUNCTION("""COMPUTED_VALUE"""),43344.0)</f>
        <v>43344</v>
      </c>
      <c r="F2409" s="129">
        <f>IFERROR(__xludf.DUMMYFUNCTION("""COMPUTED_VALUE"""),43314.0)</f>
        <v>43314</v>
      </c>
      <c r="G2409" s="154"/>
      <c r="H2409" s="131">
        <f>IFERROR(__xludf.DUMMYFUNCTION("""COMPUTED_VALUE"""),43855.0)</f>
        <v>43855</v>
      </c>
      <c r="I2409" s="144"/>
      <c r="J2409" s="129">
        <f>IFERROR(__xludf.DUMMYFUNCTION("""COMPUTED_VALUE"""),43339.0)</f>
        <v>43339</v>
      </c>
      <c r="K2409" s="133"/>
      <c r="L2409" s="133">
        <f>IFERROR(__xludf.DUMMYFUNCTION("""COMPUTED_VALUE"""),25.0)</f>
        <v>25</v>
      </c>
      <c r="M2409" s="133"/>
      <c r="N2409" s="152" t="str">
        <f>IFERROR(__xludf.DUMMYFUNCTION("""COMPUTED_VALUE"""),"Model 3 LR")</f>
        <v>Model 3 LR</v>
      </c>
      <c r="O2409" s="152" t="str">
        <f>IFERROR(__xludf.DUMMYFUNCTION("""COMPUTED_VALUE"""),"Pearl White Multi-Coat")</f>
        <v>Pearl White Multi-Coat</v>
      </c>
      <c r="P2409" s="153" t="str">
        <f>IFERROR(__xludf.DUMMYFUNCTION("""COMPUTED_VALUE"""),"18 inch Aero")</f>
        <v>18 inch Aero</v>
      </c>
      <c r="Q2409" s="152" t="str">
        <f>IFERROR(__xludf.DUMMYFUNCTION("""COMPUTED_VALUE"""),"Black seats")</f>
        <v>Black seats</v>
      </c>
      <c r="R2409" s="149" t="str">
        <f>IFERROR(__xludf.DUMMYFUNCTION("""COMPUTED_VALUE"""),"Enhanced Autopilot")</f>
        <v>Enhanced Autopilot</v>
      </c>
      <c r="S2409" s="149"/>
      <c r="T2409" s="145"/>
      <c r="U2409" s="145"/>
      <c r="V2409" s="145"/>
      <c r="W2409" s="136"/>
      <c r="X2409" s="137"/>
      <c r="Y2409" s="138"/>
      <c r="Z2409" s="138"/>
      <c r="AA2409" s="138" t="str">
        <f>IFERROR(__xludf.DUMMYFUNCTION("""COMPUTED_VALUE"""),"Poor")</f>
        <v>Poor</v>
      </c>
      <c r="AB2409" s="138"/>
      <c r="AC2409" s="139"/>
      <c r="AD2409" s="139"/>
      <c r="AE2409" s="139"/>
      <c r="AF2409" s="140"/>
      <c r="AG2409" s="136" t="str">
        <f>IFERROR(__xludf.DUMMYFUNCTION("""COMPUTED_VALUE"""),"My ISA has been barely any help. I'm basically doing her job for her.")</f>
        <v>My ISA has been barely any help. I'm basically doing her job for her.</v>
      </c>
      <c r="AH2409" s="157">
        <f>IFERROR(__xludf.DUMMYFUNCTION("""COMPUTED_VALUE"""),43330.815055706014)</f>
        <v>43330.81506</v>
      </c>
      <c r="AI2409" s="138"/>
      <c r="AJ2409" s="138"/>
      <c r="AK2409" s="138"/>
      <c r="AL2409" s="142"/>
    </row>
    <row r="2410" ht="20.25" customHeight="1">
      <c r="A2410" s="155" t="str">
        <f>IFERROR(__xludf.DUMMYFUNCTION("""COMPUTED_VALUE"""),"jayboston")</f>
        <v>jayboston</v>
      </c>
      <c r="B2410" s="149" t="str">
        <f>IFERROR(__xludf.DUMMYFUNCTION("""COMPUTED_VALUE"""),"Boston")</f>
        <v>Boston</v>
      </c>
      <c r="C2410" s="149" t="str">
        <f>IFERROR(__xludf.DUMMYFUNCTION("""COMPUTED_VALUE"""),"MA")</f>
        <v>MA</v>
      </c>
      <c r="D2410" s="149" t="str">
        <f>IFERROR(__xludf.DUMMYFUNCTION("""COMPUTED_VALUE"""),"USA")</f>
        <v>USA</v>
      </c>
      <c r="E2410" s="156">
        <f>IFERROR(__xludf.DUMMYFUNCTION("""COMPUTED_VALUE"""),43344.0)</f>
        <v>43344</v>
      </c>
      <c r="F2410" s="129">
        <f>IFERROR(__xludf.DUMMYFUNCTION("""COMPUTED_VALUE"""),43353.0)</f>
        <v>43353</v>
      </c>
      <c r="G2410" s="154"/>
      <c r="H2410" s="131">
        <f>IFERROR(__xludf.DUMMYFUNCTION("""COMPUTED_VALUE"""),103255.0)</f>
        <v>103255</v>
      </c>
      <c r="I2410" s="144" t="str">
        <f>IFERROR(__xludf.DUMMYFUNCTION("""COMPUTED_VALUE"""),"09/18")</f>
        <v>09/18</v>
      </c>
      <c r="J2410" s="129">
        <f>IFERROR(__xludf.DUMMYFUNCTION("""COMPUTED_VALUE"""),43374.0)</f>
        <v>43374</v>
      </c>
      <c r="K2410" s="133">
        <f>IFERROR(__xludf.DUMMYFUNCTION("""COMPUTED_VALUE"""),9.0)</f>
        <v>9</v>
      </c>
      <c r="L2410" s="133">
        <f>IFERROR(__xludf.DUMMYFUNCTION("""COMPUTED_VALUE"""),21.0)</f>
        <v>21</v>
      </c>
      <c r="M2410" s="133">
        <f>IFERROR(__xludf.DUMMYFUNCTION("""COMPUTED_VALUE"""),30.0)</f>
        <v>30</v>
      </c>
      <c r="N2410" s="152" t="str">
        <f>IFERROR(__xludf.DUMMYFUNCTION("""COMPUTED_VALUE"""),"Model 3 LR AWD")</f>
        <v>Model 3 LR AWD</v>
      </c>
      <c r="O2410" s="152" t="str">
        <f>IFERROR(__xludf.DUMMYFUNCTION("""COMPUTED_VALUE"""),"Solid Black")</f>
        <v>Solid Black</v>
      </c>
      <c r="P2410" s="153" t="str">
        <f>IFERROR(__xludf.DUMMYFUNCTION("""COMPUTED_VALUE"""),"18 inch Aero")</f>
        <v>18 inch Aero</v>
      </c>
      <c r="Q2410" s="152" t="str">
        <f>IFERROR(__xludf.DUMMYFUNCTION("""COMPUTED_VALUE"""),"Black seats")</f>
        <v>Black seats</v>
      </c>
      <c r="R2410" s="149" t="str">
        <f>IFERROR(__xludf.DUMMYFUNCTION("""COMPUTED_VALUE"""),"Enhanced Autopilot")</f>
        <v>Enhanced Autopilot</v>
      </c>
      <c r="S2410" s="149"/>
      <c r="T2410" s="145"/>
      <c r="U2410" s="145"/>
      <c r="V2410" s="145"/>
      <c r="W2410" s="136"/>
      <c r="X2410" s="137" t="str">
        <f>IFERROR(__xludf.DUMMYFUNCTION("""COMPUTED_VALUE"""),"Very Good")</f>
        <v>Very Good</v>
      </c>
      <c r="Y2410" s="138" t="str">
        <f>IFERROR(__xludf.DUMMYFUNCTION("""COMPUTED_VALUE"""),"Very Good")</f>
        <v>Very Good</v>
      </c>
      <c r="Z2410" s="138" t="str">
        <f>IFERROR(__xludf.DUMMYFUNCTION("""COMPUTED_VALUE"""),"Good")</f>
        <v>Good</v>
      </c>
      <c r="AA2410" s="138" t="str">
        <f>IFERROR(__xludf.DUMMYFUNCTION("""COMPUTED_VALUE"""),"Fair")</f>
        <v>Fair</v>
      </c>
      <c r="AB2410" s="138" t="str">
        <f>IFERROR(__xludf.DUMMYFUNCTION("""COMPUTED_VALUE"""),"Fair")</f>
        <v>Fair</v>
      </c>
      <c r="AC2410" s="139"/>
      <c r="AD2410" s="139"/>
      <c r="AE2410" s="139"/>
      <c r="AF2410" s="140"/>
      <c r="AG2410" s="136"/>
      <c r="AH2410" s="157">
        <f>IFERROR(__xludf.DUMMYFUNCTION("""COMPUTED_VALUE"""),43396.27744006944)</f>
        <v>43396.27744</v>
      </c>
      <c r="AI2410" s="138"/>
      <c r="AJ2410" s="138"/>
      <c r="AK2410" s="138"/>
      <c r="AL2410" s="142"/>
    </row>
    <row r="2411" ht="20.25" customHeight="1">
      <c r="A2411" s="155" t="str">
        <f>IFERROR(__xludf.DUMMYFUNCTION("""COMPUTED_VALUE"""),"jimmithy")</f>
        <v>jimmithy</v>
      </c>
      <c r="B2411" s="149"/>
      <c r="C2411" s="149" t="str">
        <f>IFERROR(__xludf.DUMMYFUNCTION("""COMPUTED_VALUE"""),"NJ")</f>
        <v>NJ</v>
      </c>
      <c r="D2411" s="149" t="str">
        <f>IFERROR(__xludf.DUMMYFUNCTION("""COMPUTED_VALUE"""),"USA")</f>
        <v>USA</v>
      </c>
      <c r="E2411" s="156">
        <f>IFERROR(__xludf.DUMMYFUNCTION("""COMPUTED_VALUE"""),43344.0)</f>
        <v>43344</v>
      </c>
      <c r="F2411" s="129">
        <f>IFERROR(__xludf.DUMMYFUNCTION("""COMPUTED_VALUE"""),43355.0)</f>
        <v>43355</v>
      </c>
      <c r="G2411" s="154"/>
      <c r="H2411" s="131">
        <f>IFERROR(__xludf.DUMMYFUNCTION("""COMPUTED_VALUE"""),68355.0)</f>
        <v>68355</v>
      </c>
      <c r="I2411" s="144"/>
      <c r="J2411" s="129">
        <f>IFERROR(__xludf.DUMMYFUNCTION("""COMPUTED_VALUE"""),43362.0)</f>
        <v>43362</v>
      </c>
      <c r="K2411" s="133">
        <f>IFERROR(__xludf.DUMMYFUNCTION("""COMPUTED_VALUE"""),11.0)</f>
        <v>11</v>
      </c>
      <c r="L2411" s="133">
        <f>IFERROR(__xludf.DUMMYFUNCTION("""COMPUTED_VALUE"""),7.0)</f>
        <v>7</v>
      </c>
      <c r="M2411" s="133">
        <f>IFERROR(__xludf.DUMMYFUNCTION("""COMPUTED_VALUE"""),18.0)</f>
        <v>18</v>
      </c>
      <c r="N2411" s="152" t="str">
        <f>IFERROR(__xludf.DUMMYFUNCTION("""COMPUTED_VALUE"""),"Model 3 LR AWD")</f>
        <v>Model 3 LR AWD</v>
      </c>
      <c r="O2411" s="152" t="str">
        <f>IFERROR(__xludf.DUMMYFUNCTION("""COMPUTED_VALUE"""),"Solid Black")</f>
        <v>Solid Black</v>
      </c>
      <c r="P2411" s="153" t="str">
        <f>IFERROR(__xludf.DUMMYFUNCTION("""COMPUTED_VALUE"""),"18 inch Aero")</f>
        <v>18 inch Aero</v>
      </c>
      <c r="Q2411" s="152" t="str">
        <f>IFERROR(__xludf.DUMMYFUNCTION("""COMPUTED_VALUE"""),"Black seats")</f>
        <v>Black seats</v>
      </c>
      <c r="R2411" s="149" t="str">
        <f>IFERROR(__xludf.DUMMYFUNCTION("""COMPUTED_VALUE"""),"Enhanced Autopilot")</f>
        <v>Enhanced Autopilot</v>
      </c>
      <c r="S2411" s="149"/>
      <c r="T2411" s="145"/>
      <c r="U2411" s="145"/>
      <c r="V2411" s="145"/>
      <c r="W2411" s="136"/>
      <c r="X2411" s="137" t="str">
        <f>IFERROR(__xludf.DUMMYFUNCTION("""COMPUTED_VALUE"""),"Very Good")</f>
        <v>Very Good</v>
      </c>
      <c r="Y2411" s="138" t="str">
        <f>IFERROR(__xludf.DUMMYFUNCTION("""COMPUTED_VALUE"""),"Very Good")</f>
        <v>Very Good</v>
      </c>
      <c r="Z2411" s="138" t="str">
        <f>IFERROR(__xludf.DUMMYFUNCTION("""COMPUTED_VALUE"""),"Very Good")</f>
        <v>Very Good</v>
      </c>
      <c r="AA2411" s="138" t="str">
        <f>IFERROR(__xludf.DUMMYFUNCTION("""COMPUTED_VALUE"""),"Good")</f>
        <v>Good</v>
      </c>
      <c r="AB2411" s="138" t="str">
        <f>IFERROR(__xludf.DUMMYFUNCTION("""COMPUTED_VALUE"""),"Good")</f>
        <v>Good</v>
      </c>
      <c r="AC2411" s="139"/>
      <c r="AD2411" s="139"/>
      <c r="AE2411" s="139"/>
      <c r="AF2411" s="140"/>
      <c r="AG2411" s="136"/>
      <c r="AH2411" s="157">
        <f>IFERROR(__xludf.DUMMYFUNCTION("""COMPUTED_VALUE"""),43362.82972949074)</f>
        <v>43362.82973</v>
      </c>
      <c r="AI2411" s="138"/>
      <c r="AJ2411" s="138"/>
      <c r="AK2411" s="138"/>
      <c r="AL2411" s="142"/>
    </row>
    <row r="2412" ht="20.25" customHeight="1">
      <c r="A2412" s="155" t="str">
        <f>IFERROR(__xludf.DUMMYFUNCTION("""COMPUTED_VALUE"""),"MagicM")</f>
        <v>MagicM</v>
      </c>
      <c r="B2412" s="149" t="str">
        <f>IFERROR(__xludf.DUMMYFUNCTION("""COMPUTED_VALUE"""),"Pasadena, CA")</f>
        <v>Pasadena, CA</v>
      </c>
      <c r="C2412" s="149" t="str">
        <f>IFERROR(__xludf.DUMMYFUNCTION("""COMPUTED_VALUE"""),"CA")</f>
        <v>CA</v>
      </c>
      <c r="D2412" s="149" t="str">
        <f>IFERROR(__xludf.DUMMYFUNCTION("""COMPUTED_VALUE"""),"USA")</f>
        <v>USA</v>
      </c>
      <c r="E2412" s="156">
        <f>IFERROR(__xludf.DUMMYFUNCTION("""COMPUTED_VALUE"""),43344.0)</f>
        <v>43344</v>
      </c>
      <c r="F2412" s="129">
        <f>IFERROR(__xludf.DUMMYFUNCTION("""COMPUTED_VALUE"""),43354.0)</f>
        <v>43354</v>
      </c>
      <c r="G2412" s="154"/>
      <c r="H2412" s="131">
        <f>IFERROR(__xludf.DUMMYFUNCTION("""COMPUTED_VALUE"""),76455.0)</f>
        <v>76455</v>
      </c>
      <c r="I2412" s="144" t="str">
        <f>IFERROR(__xludf.DUMMYFUNCTION("""COMPUTED_VALUE"""),"08/18")</f>
        <v>08/18</v>
      </c>
      <c r="J2412" s="129">
        <f>IFERROR(__xludf.DUMMYFUNCTION("""COMPUTED_VALUE"""),43360.0)</f>
        <v>43360</v>
      </c>
      <c r="K2412" s="133">
        <f>IFERROR(__xludf.DUMMYFUNCTION("""COMPUTED_VALUE"""),10.0)</f>
        <v>10</v>
      </c>
      <c r="L2412" s="133">
        <f>IFERROR(__xludf.DUMMYFUNCTION("""COMPUTED_VALUE"""),6.0)</f>
        <v>6</v>
      </c>
      <c r="M2412" s="133">
        <f>IFERROR(__xludf.DUMMYFUNCTION("""COMPUTED_VALUE"""),16.0)</f>
        <v>16</v>
      </c>
      <c r="N2412" s="152" t="str">
        <f>IFERROR(__xludf.DUMMYFUNCTION("""COMPUTED_VALUE"""),"Model 3 LR")</f>
        <v>Model 3 LR</v>
      </c>
      <c r="O2412" s="152" t="str">
        <f>IFERROR(__xludf.DUMMYFUNCTION("""COMPUTED_VALUE"""),"Deep Blue Metallic")</f>
        <v>Deep Blue Metallic</v>
      </c>
      <c r="P2412" s="153" t="str">
        <f>IFERROR(__xludf.DUMMYFUNCTION("""COMPUTED_VALUE"""),"18 inch Aero")</f>
        <v>18 inch Aero</v>
      </c>
      <c r="Q2412" s="152" t="str">
        <f>IFERROR(__xludf.DUMMYFUNCTION("""COMPUTED_VALUE"""),"Black seats")</f>
        <v>Black seats</v>
      </c>
      <c r="R2412" s="149" t="str">
        <f>IFERROR(__xludf.DUMMYFUNCTION("""COMPUTED_VALUE"""),"Enhanced Autopilot")</f>
        <v>Enhanced Autopilot</v>
      </c>
      <c r="S2412" s="149"/>
      <c r="T2412" s="145"/>
      <c r="U2412" s="145"/>
      <c r="V2412" s="145"/>
      <c r="W2412" s="136"/>
      <c r="X2412" s="137" t="str">
        <f>IFERROR(__xludf.DUMMYFUNCTION("""COMPUTED_VALUE"""),"Excellent")</f>
        <v>Excellent</v>
      </c>
      <c r="Y2412" s="138" t="str">
        <f>IFERROR(__xludf.DUMMYFUNCTION("""COMPUTED_VALUE"""),"Excellent")</f>
        <v>Excellent</v>
      </c>
      <c r="Z2412" s="138" t="str">
        <f>IFERROR(__xludf.DUMMYFUNCTION("""COMPUTED_VALUE"""),"Excellent")</f>
        <v>Excellent</v>
      </c>
      <c r="AA2412" s="138" t="str">
        <f>IFERROR(__xludf.DUMMYFUNCTION("""COMPUTED_VALUE"""),"Fair")</f>
        <v>Fair</v>
      </c>
      <c r="AB2412" s="138" t="str">
        <f>IFERROR(__xludf.DUMMYFUNCTION("""COMPUTED_VALUE"""),"Good")</f>
        <v>Good</v>
      </c>
      <c r="AC2412" s="139"/>
      <c r="AD2412" s="139"/>
      <c r="AE2412" s="139"/>
      <c r="AF2412" s="140"/>
      <c r="AG2412" s="136"/>
      <c r="AH2412" s="157">
        <f>IFERROR(__xludf.DUMMYFUNCTION("""COMPUTED_VALUE"""),43361.35231806713)</f>
        <v>43361.35232</v>
      </c>
      <c r="AI2412" s="138"/>
      <c r="AJ2412" s="138"/>
      <c r="AK2412" s="138"/>
      <c r="AL2412" s="142"/>
    </row>
    <row r="2413" ht="20.25" customHeight="1">
      <c r="A2413" s="155" t="str">
        <f>IFERROR(__xludf.DUMMYFUNCTION("""COMPUTED_VALUE"""),"SION1771")</f>
        <v>SION1771</v>
      </c>
      <c r="B2413" s="149" t="str">
        <f>IFERROR(__xludf.DUMMYFUNCTION("""COMPUTED_VALUE"""),"Chicago")</f>
        <v>Chicago</v>
      </c>
      <c r="C2413" s="149" t="str">
        <f>IFERROR(__xludf.DUMMYFUNCTION("""COMPUTED_VALUE"""),"IL")</f>
        <v>IL</v>
      </c>
      <c r="D2413" s="149" t="str">
        <f>IFERROR(__xludf.DUMMYFUNCTION("""COMPUTED_VALUE"""),"USA")</f>
        <v>USA</v>
      </c>
      <c r="E2413" s="156">
        <f>IFERROR(__xludf.DUMMYFUNCTION("""COMPUTED_VALUE"""),43344.0)</f>
        <v>43344</v>
      </c>
      <c r="F2413" s="129">
        <f>IFERROR(__xludf.DUMMYFUNCTION("""COMPUTED_VALUE"""),43330.0)</f>
        <v>43330</v>
      </c>
      <c r="G2413" s="154"/>
      <c r="H2413" s="131">
        <f>IFERROR(__xludf.DUMMYFUNCTION("""COMPUTED_VALUE"""),96255.0)</f>
        <v>96255</v>
      </c>
      <c r="I2413" s="144" t="str">
        <f>IFERROR(__xludf.DUMMYFUNCTION("""COMPUTED_VALUE"""),"08/18")</f>
        <v>08/18</v>
      </c>
      <c r="J2413" s="129">
        <f>IFERROR(__xludf.DUMMYFUNCTION("""COMPUTED_VALUE"""),43353.0)</f>
        <v>43353</v>
      </c>
      <c r="K2413" s="133"/>
      <c r="L2413" s="133">
        <f>IFERROR(__xludf.DUMMYFUNCTION("""COMPUTED_VALUE"""),23.0)</f>
        <v>23</v>
      </c>
      <c r="M2413" s="133">
        <f>IFERROR(__xludf.DUMMYFUNCTION("""COMPUTED_VALUE"""),9.0)</f>
        <v>9</v>
      </c>
      <c r="N2413" s="152" t="str">
        <f>IFERROR(__xludf.DUMMYFUNCTION("""COMPUTED_VALUE"""),"Model 3 Performance")</f>
        <v>Model 3 Performance</v>
      </c>
      <c r="O2413" s="152" t="str">
        <f>IFERROR(__xludf.DUMMYFUNCTION("""COMPUTED_VALUE"""),"Red Multi-Coat")</f>
        <v>Red Multi-Coat</v>
      </c>
      <c r="P2413" s="153" t="str">
        <f>IFERROR(__xludf.DUMMYFUNCTION("""COMPUTED_VALUE"""),"18 inch Aero")</f>
        <v>18 inch Aero</v>
      </c>
      <c r="Q2413" s="152" t="str">
        <f>IFERROR(__xludf.DUMMYFUNCTION("""COMPUTED_VALUE"""),"White seats")</f>
        <v>White seats</v>
      </c>
      <c r="R2413" s="149" t="str">
        <f>IFERROR(__xludf.DUMMYFUNCTION("""COMPUTED_VALUE"""),"Enhanced Autopilot")</f>
        <v>Enhanced Autopilot</v>
      </c>
      <c r="S2413" s="149"/>
      <c r="T2413" s="145"/>
      <c r="U2413" s="145"/>
      <c r="V2413" s="145"/>
      <c r="W2413" s="136"/>
      <c r="X2413" s="137" t="str">
        <f>IFERROR(__xludf.DUMMYFUNCTION("""COMPUTED_VALUE"""),"Very Good")</f>
        <v>Very Good</v>
      </c>
      <c r="Y2413" s="138" t="str">
        <f>IFERROR(__xludf.DUMMYFUNCTION("""COMPUTED_VALUE"""),"Excellent")</f>
        <v>Excellent</v>
      </c>
      <c r="Z2413" s="138" t="str">
        <f>IFERROR(__xludf.DUMMYFUNCTION("""COMPUTED_VALUE"""),"Excellent")</f>
        <v>Excellent</v>
      </c>
      <c r="AA2413" s="138" t="str">
        <f>IFERROR(__xludf.DUMMYFUNCTION("""COMPUTED_VALUE"""),"Good")</f>
        <v>Good</v>
      </c>
      <c r="AB2413" s="138" t="str">
        <f>IFERROR(__xludf.DUMMYFUNCTION("""COMPUTED_VALUE"""),"Good")</f>
        <v>Good</v>
      </c>
      <c r="AC2413" s="139">
        <f>IFERROR(__xludf.DUMMYFUNCTION("""COMPUTED_VALUE"""),0.0)</f>
        <v>0</v>
      </c>
      <c r="AD2413" s="139">
        <f>IFERROR(__xludf.DUMMYFUNCTION("""COMPUTED_VALUE"""),0.0)</f>
        <v>0</v>
      </c>
      <c r="AE2413" s="139">
        <f>IFERROR(__xludf.DUMMYFUNCTION("""COMPUTED_VALUE"""),0.0)</f>
        <v>0</v>
      </c>
      <c r="AF2413" s="140"/>
      <c r="AG2413" s="136"/>
      <c r="AH2413" s="157">
        <f>IFERROR(__xludf.DUMMYFUNCTION("""COMPUTED_VALUE"""),43400.30854460648)</f>
        <v>43400.30854</v>
      </c>
      <c r="AI2413" s="138"/>
      <c r="AJ2413" s="138"/>
      <c r="AK2413" s="138"/>
      <c r="AL2413" s="142"/>
    </row>
    <row r="2414" ht="20.25" customHeight="1">
      <c r="A2414" s="155" t="str">
        <f>IFERROR(__xludf.DUMMYFUNCTION("""COMPUTED_VALUE"""),"VD")</f>
        <v>VD</v>
      </c>
      <c r="B2414" s="149" t="str">
        <f>IFERROR(__xludf.DUMMYFUNCTION("""COMPUTED_VALUE"""),"Seattle")</f>
        <v>Seattle</v>
      </c>
      <c r="C2414" s="149" t="str">
        <f>IFERROR(__xludf.DUMMYFUNCTION("""COMPUTED_VALUE"""),"WA")</f>
        <v>WA</v>
      </c>
      <c r="D2414" s="149" t="str">
        <f>IFERROR(__xludf.DUMMYFUNCTION("""COMPUTED_VALUE"""),"USA")</f>
        <v>USA</v>
      </c>
      <c r="E2414" s="156">
        <f>IFERROR(__xludf.DUMMYFUNCTION("""COMPUTED_VALUE"""),43344.0)</f>
        <v>43344</v>
      </c>
      <c r="F2414" s="129">
        <f>IFERROR(__xludf.DUMMYFUNCTION("""COMPUTED_VALUE"""),43357.0)</f>
        <v>43357</v>
      </c>
      <c r="G2414" s="154"/>
      <c r="H2414" s="131">
        <f>IFERROR(__xludf.DUMMYFUNCTION("""COMPUTED_VALUE"""),80755.0)</f>
        <v>80755</v>
      </c>
      <c r="I2414" s="144" t="str">
        <f>IFERROR(__xludf.DUMMYFUNCTION("""COMPUTED_VALUE"""),"09/18")</f>
        <v>09/18</v>
      </c>
      <c r="J2414" s="129">
        <f>IFERROR(__xludf.DUMMYFUNCTION("""COMPUTED_VALUE"""),43365.0)</f>
        <v>43365</v>
      </c>
      <c r="K2414" s="133">
        <f>IFERROR(__xludf.DUMMYFUNCTION("""COMPUTED_VALUE"""),13.0)</f>
        <v>13</v>
      </c>
      <c r="L2414" s="133">
        <f>IFERROR(__xludf.DUMMYFUNCTION("""COMPUTED_VALUE"""),8.0)</f>
        <v>8</v>
      </c>
      <c r="M2414" s="133">
        <f>IFERROR(__xludf.DUMMYFUNCTION("""COMPUTED_VALUE"""),21.0)</f>
        <v>21</v>
      </c>
      <c r="N2414" s="152" t="str">
        <f>IFERROR(__xludf.DUMMYFUNCTION("""COMPUTED_VALUE"""),"Model 3 Performance")</f>
        <v>Model 3 Performance</v>
      </c>
      <c r="O2414" s="152" t="str">
        <f>IFERROR(__xludf.DUMMYFUNCTION("""COMPUTED_VALUE"""),"Deep Blue Metallic")</f>
        <v>Deep Blue Metallic</v>
      </c>
      <c r="P2414" s="153" t="str">
        <f>IFERROR(__xludf.DUMMYFUNCTION("""COMPUTED_VALUE"""),"20 inch Sport")</f>
        <v>20 inch Sport</v>
      </c>
      <c r="Q2414" s="152" t="str">
        <f>IFERROR(__xludf.DUMMYFUNCTION("""COMPUTED_VALUE"""),"White seats")</f>
        <v>White seats</v>
      </c>
      <c r="R2414" s="149" t="str">
        <f>IFERROR(__xludf.DUMMYFUNCTION("""COMPUTED_VALUE"""),"Full Self-Driving")</f>
        <v>Full Self-Driving</v>
      </c>
      <c r="S2414" s="149"/>
      <c r="T2414" s="145"/>
      <c r="U2414" s="145"/>
      <c r="V2414" s="145"/>
      <c r="W2414" s="136"/>
      <c r="X2414" s="137" t="str">
        <f>IFERROR(__xludf.DUMMYFUNCTION("""COMPUTED_VALUE"""),"Very Good")</f>
        <v>Very Good</v>
      </c>
      <c r="Y2414" s="138" t="str">
        <f>IFERROR(__xludf.DUMMYFUNCTION("""COMPUTED_VALUE"""),"Excellent")</f>
        <v>Excellent</v>
      </c>
      <c r="Z2414" s="138" t="str">
        <f>IFERROR(__xludf.DUMMYFUNCTION("""COMPUTED_VALUE"""),"Very Good")</f>
        <v>Very Good</v>
      </c>
      <c r="AA2414" s="138" t="str">
        <f>IFERROR(__xludf.DUMMYFUNCTION("""COMPUTED_VALUE"""),"Good")</f>
        <v>Good</v>
      </c>
      <c r="AB2414" s="138" t="str">
        <f>IFERROR(__xludf.DUMMYFUNCTION("""COMPUTED_VALUE"""),"Poor")</f>
        <v>Poor</v>
      </c>
      <c r="AC2414" s="139">
        <f>IFERROR(__xludf.DUMMYFUNCTION("""COMPUTED_VALUE"""),1.0)</f>
        <v>1</v>
      </c>
      <c r="AD2414" s="139"/>
      <c r="AE2414" s="139"/>
      <c r="AF2414" s="140"/>
      <c r="AG2414" s="136"/>
      <c r="AH2414" s="157">
        <f>IFERROR(__xludf.DUMMYFUNCTION("""COMPUTED_VALUE"""),43365.88848221065)</f>
        <v>43365.88848</v>
      </c>
      <c r="AI2414" s="138"/>
      <c r="AJ2414" s="138"/>
      <c r="AK2414" s="138"/>
      <c r="AL2414" s="142"/>
    </row>
    <row r="2415" ht="20.25" customHeight="1">
      <c r="A2415" s="155" t="str">
        <f>IFERROR(__xludf.DUMMYFUNCTION("""COMPUTED_VALUE"""),"ka")</f>
        <v>ka</v>
      </c>
      <c r="B2415" s="149" t="str">
        <f>IFERROR(__xludf.DUMMYFUNCTION("""COMPUTED_VALUE"""),"San Francisco")</f>
        <v>San Francisco</v>
      </c>
      <c r="C2415" s="149" t="str">
        <f>IFERROR(__xludf.DUMMYFUNCTION("""COMPUTED_VALUE"""),"CA")</f>
        <v>CA</v>
      </c>
      <c r="D2415" s="149" t="str">
        <f>IFERROR(__xludf.DUMMYFUNCTION("""COMPUTED_VALUE"""),"USA")</f>
        <v>USA</v>
      </c>
      <c r="E2415" s="156">
        <f>IFERROR(__xludf.DUMMYFUNCTION("""COMPUTED_VALUE"""),43343.0)</f>
        <v>43343</v>
      </c>
      <c r="F2415" s="129">
        <f>IFERROR(__xludf.DUMMYFUNCTION("""COMPUTED_VALUE"""),43361.0)</f>
        <v>43361</v>
      </c>
      <c r="G2415" s="154"/>
      <c r="H2415" s="131">
        <f>IFERROR(__xludf.DUMMYFUNCTION("""COMPUTED_VALUE"""),91555.0)</f>
        <v>91555</v>
      </c>
      <c r="I2415" s="144" t="str">
        <f>IFERROR(__xludf.DUMMYFUNCTION("""COMPUTED_VALUE"""),"09/18")</f>
        <v>09/18</v>
      </c>
      <c r="J2415" s="129">
        <f>IFERROR(__xludf.DUMMYFUNCTION("""COMPUTED_VALUE"""),43372.0)</f>
        <v>43372</v>
      </c>
      <c r="K2415" s="133">
        <f>IFERROR(__xludf.DUMMYFUNCTION("""COMPUTED_VALUE"""),18.0)</f>
        <v>18</v>
      </c>
      <c r="L2415" s="133">
        <f>IFERROR(__xludf.DUMMYFUNCTION("""COMPUTED_VALUE"""),11.0)</f>
        <v>11</v>
      </c>
      <c r="M2415" s="133">
        <f>IFERROR(__xludf.DUMMYFUNCTION("""COMPUTED_VALUE"""),29.0)</f>
        <v>29</v>
      </c>
      <c r="N2415" s="152" t="str">
        <f>IFERROR(__xludf.DUMMYFUNCTION("""COMPUTED_VALUE"""),"Model 3 LR AWD")</f>
        <v>Model 3 LR AWD</v>
      </c>
      <c r="O2415" s="152" t="str">
        <f>IFERROR(__xludf.DUMMYFUNCTION("""COMPUTED_VALUE"""),"Red Multi-Coat")</f>
        <v>Red Multi-Coat</v>
      </c>
      <c r="P2415" s="153" t="str">
        <f>IFERROR(__xludf.DUMMYFUNCTION("""COMPUTED_VALUE"""),"19 inch Sport")</f>
        <v>19 inch Sport</v>
      </c>
      <c r="Q2415" s="152" t="str">
        <f>IFERROR(__xludf.DUMMYFUNCTION("""COMPUTED_VALUE"""),"Black seats")</f>
        <v>Black seats</v>
      </c>
      <c r="R2415" s="149" t="str">
        <f>IFERROR(__xludf.DUMMYFUNCTION("""COMPUTED_VALUE"""),"Enhanced Autopilot")</f>
        <v>Enhanced Autopilot</v>
      </c>
      <c r="S2415" s="149"/>
      <c r="T2415" s="145"/>
      <c r="U2415" s="145"/>
      <c r="V2415" s="145"/>
      <c r="W2415" s="136"/>
      <c r="X2415" s="137" t="str">
        <f>IFERROR(__xludf.DUMMYFUNCTION("""COMPUTED_VALUE"""),"Good")</f>
        <v>Good</v>
      </c>
      <c r="Y2415" s="138" t="str">
        <f>IFERROR(__xludf.DUMMYFUNCTION("""COMPUTED_VALUE"""),"Good")</f>
        <v>Good</v>
      </c>
      <c r="Z2415" s="138" t="str">
        <f>IFERROR(__xludf.DUMMYFUNCTION("""COMPUTED_VALUE"""),"Fair")</f>
        <v>Fair</v>
      </c>
      <c r="AA2415" s="138" t="str">
        <f>IFERROR(__xludf.DUMMYFUNCTION("""COMPUTED_VALUE"""),"Fair")</f>
        <v>Fair</v>
      </c>
      <c r="AB2415" s="138" t="str">
        <f>IFERROR(__xludf.DUMMYFUNCTION("""COMPUTED_VALUE"""),"Fair")</f>
        <v>Fair</v>
      </c>
      <c r="AC2415" s="139"/>
      <c r="AD2415" s="139"/>
      <c r="AE2415" s="139"/>
      <c r="AF2415" s="140"/>
      <c r="AG2415" s="136"/>
      <c r="AH2415" s="157">
        <f>IFERROR(__xludf.DUMMYFUNCTION("""COMPUTED_VALUE"""),43374.031976736114)</f>
        <v>43374.03198</v>
      </c>
      <c r="AI2415" s="138"/>
      <c r="AJ2415" s="138"/>
      <c r="AK2415" s="138"/>
      <c r="AL2415" s="142"/>
    </row>
    <row r="2416" ht="20.25" customHeight="1">
      <c r="A2416" s="155" t="str">
        <f>IFERROR(__xludf.DUMMYFUNCTION("""COMPUTED_VALUE"""),"FlyingViking")</f>
        <v>FlyingViking</v>
      </c>
      <c r="B2416" s="149" t="str">
        <f>IFERROR(__xludf.DUMMYFUNCTION("""COMPUTED_VALUE"""),"Dallas")</f>
        <v>Dallas</v>
      </c>
      <c r="C2416" s="149" t="str">
        <f>IFERROR(__xludf.DUMMYFUNCTION("""COMPUTED_VALUE"""),"TX")</f>
        <v>TX</v>
      </c>
      <c r="D2416" s="149" t="str">
        <f>IFERROR(__xludf.DUMMYFUNCTION("""COMPUTED_VALUE"""),"USA")</f>
        <v>USA</v>
      </c>
      <c r="E2416" s="156">
        <f>IFERROR(__xludf.DUMMYFUNCTION("""COMPUTED_VALUE"""),43342.0)</f>
        <v>43342</v>
      </c>
      <c r="F2416" s="129">
        <f>IFERROR(__xludf.DUMMYFUNCTION("""COMPUTED_VALUE"""),43349.0)</f>
        <v>43349</v>
      </c>
      <c r="G2416" s="154"/>
      <c r="H2416" s="131">
        <f>IFERROR(__xludf.DUMMYFUNCTION("""COMPUTED_VALUE"""),102255.0)</f>
        <v>102255</v>
      </c>
      <c r="I2416" s="144" t="str">
        <f>IFERROR(__xludf.DUMMYFUNCTION("""COMPUTED_VALUE"""),"09/18")</f>
        <v>09/18</v>
      </c>
      <c r="J2416" s="129">
        <f>IFERROR(__xludf.DUMMYFUNCTION("""COMPUTED_VALUE"""),43369.0)</f>
        <v>43369</v>
      </c>
      <c r="K2416" s="133">
        <f>IFERROR(__xludf.DUMMYFUNCTION("""COMPUTED_VALUE"""),7.0)</f>
        <v>7</v>
      </c>
      <c r="L2416" s="133">
        <f>IFERROR(__xludf.DUMMYFUNCTION("""COMPUTED_VALUE"""),20.0)</f>
        <v>20</v>
      </c>
      <c r="M2416" s="133">
        <f>IFERROR(__xludf.DUMMYFUNCTION("""COMPUTED_VALUE"""),27.0)</f>
        <v>27</v>
      </c>
      <c r="N2416" s="152" t="str">
        <f>IFERROR(__xludf.DUMMYFUNCTION("""COMPUTED_VALUE"""),"Model 3 LR")</f>
        <v>Model 3 LR</v>
      </c>
      <c r="O2416" s="152" t="str">
        <f>IFERROR(__xludf.DUMMYFUNCTION("""COMPUTED_VALUE"""),"Deep Blue Metallic")</f>
        <v>Deep Blue Metallic</v>
      </c>
      <c r="P2416" s="153" t="str">
        <f>IFERROR(__xludf.DUMMYFUNCTION("""COMPUTED_VALUE"""),"18 inch Aero")</f>
        <v>18 inch Aero</v>
      </c>
      <c r="Q2416" s="152" t="str">
        <f>IFERROR(__xludf.DUMMYFUNCTION("""COMPUTED_VALUE"""),"Black seats")</f>
        <v>Black seats</v>
      </c>
      <c r="R2416" s="149" t="str">
        <f>IFERROR(__xludf.DUMMYFUNCTION("""COMPUTED_VALUE"""),"Enhanced Autopilot")</f>
        <v>Enhanced Autopilot</v>
      </c>
      <c r="S2416" s="149"/>
      <c r="T2416" s="145"/>
      <c r="U2416" s="145"/>
      <c r="V2416" s="145"/>
      <c r="W2416" s="136"/>
      <c r="X2416" s="137" t="str">
        <f>IFERROR(__xludf.DUMMYFUNCTION("""COMPUTED_VALUE"""),"Excellent")</f>
        <v>Excellent</v>
      </c>
      <c r="Y2416" s="138" t="str">
        <f>IFERROR(__xludf.DUMMYFUNCTION("""COMPUTED_VALUE"""),"Excellent")</f>
        <v>Excellent</v>
      </c>
      <c r="Z2416" s="138" t="str">
        <f>IFERROR(__xludf.DUMMYFUNCTION("""COMPUTED_VALUE"""),"Very Good")</f>
        <v>Very Good</v>
      </c>
      <c r="AA2416" s="138" t="str">
        <f>IFERROR(__xludf.DUMMYFUNCTION("""COMPUTED_VALUE"""),"Excellent")</f>
        <v>Excellent</v>
      </c>
      <c r="AB2416" s="138" t="str">
        <f>IFERROR(__xludf.DUMMYFUNCTION("""COMPUTED_VALUE"""),"Good")</f>
        <v>Good</v>
      </c>
      <c r="AC2416" s="139">
        <f>IFERROR(__xludf.DUMMYFUNCTION("""COMPUTED_VALUE"""),0.0)</f>
        <v>0</v>
      </c>
      <c r="AD2416" s="139"/>
      <c r="AE2416" s="139"/>
      <c r="AF2416" s="140"/>
      <c r="AG2416" s="136" t="str">
        <f>IFERROR(__xludf.DUMMYFUNCTION("""COMPUTED_VALUE"""),"Delivery pushed from 9/29 to 9/26 - I visually located car in Dallas staging lot - two small door dings on Right Rear door that need to get fixed. Delivered as scheduled and all repaired on 9/26. Had to stand out in pouring rain to inspect the car and wal"&amp;"k around it. Service center employees completely useless. ")</f>
        <v>Delivery pushed from 9/29 to 9/26 - I visually located car in Dallas staging lot - two small door dings on Right Rear door that need to get fixed. Delivered as scheduled and all repaired on 9/26. Had to stand out in pouring rain to inspect the car and walk around it. Service center employees completely useless. </v>
      </c>
      <c r="AH2416" s="157">
        <f>IFERROR(__xludf.DUMMYFUNCTION("""COMPUTED_VALUE"""),43371.999747650465)</f>
        <v>43371.99975</v>
      </c>
      <c r="AI2416" s="138"/>
      <c r="AJ2416" s="138"/>
      <c r="AK2416" s="138"/>
      <c r="AL2416" s="142"/>
    </row>
    <row r="2417" ht="20.25" customHeight="1">
      <c r="A2417" s="155" t="str">
        <f>IFERROR(__xludf.DUMMYFUNCTION("""COMPUTED_VALUE"""),"jb-nvan")</f>
        <v>jb-nvan</v>
      </c>
      <c r="B2417" s="149" t="str">
        <f>IFERROR(__xludf.DUMMYFUNCTION("""COMPUTED_VALUE"""),"North Vancouver")</f>
        <v>North Vancouver</v>
      </c>
      <c r="C2417" s="149" t="str">
        <f>IFERROR(__xludf.DUMMYFUNCTION("""COMPUTED_VALUE"""),"BC")</f>
        <v>BC</v>
      </c>
      <c r="D2417" s="149" t="str">
        <f>IFERROR(__xludf.DUMMYFUNCTION("""COMPUTED_VALUE"""),"Canada")</f>
        <v>Canada</v>
      </c>
      <c r="E2417" s="156">
        <f>IFERROR(__xludf.DUMMYFUNCTION("""COMPUTED_VALUE"""),43341.0)</f>
        <v>43341</v>
      </c>
      <c r="F2417" s="129">
        <f>IFERROR(__xludf.DUMMYFUNCTION("""COMPUTED_VALUE"""),43348.0)</f>
        <v>43348</v>
      </c>
      <c r="G2417" s="154"/>
      <c r="H2417" s="131">
        <f>IFERROR(__xludf.DUMMYFUNCTION("""COMPUTED_VALUE"""),106855.0)</f>
        <v>106855</v>
      </c>
      <c r="I2417" s="144"/>
      <c r="J2417" s="129">
        <f>IFERROR(__xludf.DUMMYFUNCTION("""COMPUTED_VALUE"""),43359.0)</f>
        <v>43359</v>
      </c>
      <c r="K2417" s="133">
        <f>IFERROR(__xludf.DUMMYFUNCTION("""COMPUTED_VALUE"""),7.0)</f>
        <v>7</v>
      </c>
      <c r="L2417" s="133">
        <f>IFERROR(__xludf.DUMMYFUNCTION("""COMPUTED_VALUE"""),11.0)</f>
        <v>11</v>
      </c>
      <c r="M2417" s="133">
        <f>IFERROR(__xludf.DUMMYFUNCTION("""COMPUTED_VALUE"""),18.0)</f>
        <v>18</v>
      </c>
      <c r="N2417" s="152" t="str">
        <f>IFERROR(__xludf.DUMMYFUNCTION("""COMPUTED_VALUE"""),"Model 3 LR AWD")</f>
        <v>Model 3 LR AWD</v>
      </c>
      <c r="O2417" s="152" t="str">
        <f>IFERROR(__xludf.DUMMYFUNCTION("""COMPUTED_VALUE"""),"Midnight Silver Metallic")</f>
        <v>Midnight Silver Metallic</v>
      </c>
      <c r="P2417" s="153" t="str">
        <f>IFERROR(__xludf.DUMMYFUNCTION("""COMPUTED_VALUE"""),"19 inch Sport")</f>
        <v>19 inch Sport</v>
      </c>
      <c r="Q2417" s="152" t="str">
        <f>IFERROR(__xludf.DUMMYFUNCTION("""COMPUTED_VALUE"""),"Black seats")</f>
        <v>Black seats</v>
      </c>
      <c r="R2417" s="149" t="str">
        <f>IFERROR(__xludf.DUMMYFUNCTION("""COMPUTED_VALUE"""),"Enhanced Autopilot")</f>
        <v>Enhanced Autopilot</v>
      </c>
      <c r="S2417" s="149"/>
      <c r="T2417" s="145"/>
      <c r="U2417" s="145"/>
      <c r="V2417" s="145"/>
      <c r="W2417" s="136"/>
      <c r="X2417" s="137" t="str">
        <f>IFERROR(__xludf.DUMMYFUNCTION("""COMPUTED_VALUE"""),"Excellent")</f>
        <v>Excellent</v>
      </c>
      <c r="Y2417" s="138" t="str">
        <f>IFERROR(__xludf.DUMMYFUNCTION("""COMPUTED_VALUE"""),"Excellent")</f>
        <v>Excellent</v>
      </c>
      <c r="Z2417" s="138" t="str">
        <f>IFERROR(__xludf.DUMMYFUNCTION("""COMPUTED_VALUE"""),"Excellent")</f>
        <v>Excellent</v>
      </c>
      <c r="AA2417" s="138" t="str">
        <f>IFERROR(__xludf.DUMMYFUNCTION("""COMPUTED_VALUE"""),"Fair")</f>
        <v>Fair</v>
      </c>
      <c r="AB2417" s="138" t="str">
        <f>IFERROR(__xludf.DUMMYFUNCTION("""COMPUTED_VALUE"""),"Very Good")</f>
        <v>Very Good</v>
      </c>
      <c r="AC2417" s="139">
        <f>IFERROR(__xludf.DUMMYFUNCTION("""COMPUTED_VALUE"""),2.0)</f>
        <v>2</v>
      </c>
      <c r="AD2417" s="139">
        <f>IFERROR(__xludf.DUMMYFUNCTION("""COMPUTED_VALUE"""),1.0)</f>
        <v>1</v>
      </c>
      <c r="AE2417" s="139">
        <f>IFERROR(__xludf.DUMMYFUNCTION("""COMPUTED_VALUE"""),1.0)</f>
        <v>1</v>
      </c>
      <c r="AF2417" s="140"/>
      <c r="AG2417" s="136" t="str">
        <f>IFERROR(__xludf.DUMMYFUNCTION("""COMPUTED_VALUE"""),"This car is AMAZING!!  One wire to control cabin heat was pinched during assembly = no heat. One night in the shop it was fixed. Headlights locked into 'service' mode and wouldn't turn off, software update resolved this. ")</f>
        <v>This car is AMAZING!!  One wire to control cabin heat was pinched during assembly = no heat. One night in the shop it was fixed. Headlights locked into 'service' mode and wouldn't turn off, software update resolved this. </v>
      </c>
      <c r="AH2417" s="157">
        <f>IFERROR(__xludf.DUMMYFUNCTION("""COMPUTED_VALUE"""),43376.37128736111)</f>
        <v>43376.37129</v>
      </c>
      <c r="AI2417" s="138"/>
      <c r="AJ2417" s="138"/>
      <c r="AK2417" s="138"/>
      <c r="AL2417" s="142"/>
    </row>
    <row r="2418" ht="20.25" customHeight="1">
      <c r="A2418" s="155" t="str">
        <f>IFERROR(__xludf.DUMMYFUNCTION("""COMPUTED_VALUE"""),"jcknight")</f>
        <v>jcknight</v>
      </c>
      <c r="B2418" s="149" t="str">
        <f>IFERROR(__xludf.DUMMYFUNCTION("""COMPUTED_VALUE"""),"Washington")</f>
        <v>Washington</v>
      </c>
      <c r="C2418" s="149" t="str">
        <f>IFERROR(__xludf.DUMMYFUNCTION("""COMPUTED_VALUE"""),"WA")</f>
        <v>WA</v>
      </c>
      <c r="D2418" s="149" t="str">
        <f>IFERROR(__xludf.DUMMYFUNCTION("""COMPUTED_VALUE"""),"USA")</f>
        <v>USA</v>
      </c>
      <c r="E2418" s="156">
        <f>IFERROR(__xludf.DUMMYFUNCTION("""COMPUTED_VALUE"""),43341.0)</f>
        <v>43341</v>
      </c>
      <c r="F2418" s="129">
        <f>IFERROR(__xludf.DUMMYFUNCTION("""COMPUTED_VALUE"""),43353.0)</f>
        <v>43353</v>
      </c>
      <c r="G2418" s="154"/>
      <c r="H2418" s="131">
        <f>IFERROR(__xludf.DUMMYFUNCTION("""COMPUTED_VALUE"""),66455.0)</f>
        <v>66455</v>
      </c>
      <c r="I2418" s="144"/>
      <c r="J2418" s="129">
        <f>IFERROR(__xludf.DUMMYFUNCTION("""COMPUTED_VALUE"""),43364.0)</f>
        <v>43364</v>
      </c>
      <c r="K2418" s="133">
        <f>IFERROR(__xludf.DUMMYFUNCTION("""COMPUTED_VALUE"""),12.0)</f>
        <v>12</v>
      </c>
      <c r="L2418" s="133">
        <f>IFERROR(__xludf.DUMMYFUNCTION("""COMPUTED_VALUE"""),11.0)</f>
        <v>11</v>
      </c>
      <c r="M2418" s="133">
        <f>IFERROR(__xludf.DUMMYFUNCTION("""COMPUTED_VALUE"""),23.0)</f>
        <v>23</v>
      </c>
      <c r="N2418" s="152" t="str">
        <f>IFERROR(__xludf.DUMMYFUNCTION("""COMPUTED_VALUE"""),"Model 3 LR AWD")</f>
        <v>Model 3 LR AWD</v>
      </c>
      <c r="O2418" s="152" t="str">
        <f>IFERROR(__xludf.DUMMYFUNCTION("""COMPUTED_VALUE"""),"Midnight Silver Metallic")</f>
        <v>Midnight Silver Metallic</v>
      </c>
      <c r="P2418" s="153" t="str">
        <f>IFERROR(__xludf.DUMMYFUNCTION("""COMPUTED_VALUE"""),"18 inch Aero")</f>
        <v>18 inch Aero</v>
      </c>
      <c r="Q2418" s="152" t="str">
        <f>IFERROR(__xludf.DUMMYFUNCTION("""COMPUTED_VALUE"""),"Black seats")</f>
        <v>Black seats</v>
      </c>
      <c r="R2418" s="149" t="str">
        <f>IFERROR(__xludf.DUMMYFUNCTION("""COMPUTED_VALUE"""),"Enhanced Autopilot")</f>
        <v>Enhanced Autopilot</v>
      </c>
      <c r="S2418" s="149"/>
      <c r="T2418" s="145"/>
      <c r="U2418" s="145"/>
      <c r="V2418" s="145"/>
      <c r="W2418" s="136"/>
      <c r="X2418" s="137" t="str">
        <f>IFERROR(__xludf.DUMMYFUNCTION("""COMPUTED_VALUE"""),"Excellent")</f>
        <v>Excellent</v>
      </c>
      <c r="Y2418" s="138" t="str">
        <f>IFERROR(__xludf.DUMMYFUNCTION("""COMPUTED_VALUE"""),"Excellent")</f>
        <v>Excellent</v>
      </c>
      <c r="Z2418" s="138" t="str">
        <f>IFERROR(__xludf.DUMMYFUNCTION("""COMPUTED_VALUE"""),"Excellent")</f>
        <v>Excellent</v>
      </c>
      <c r="AA2418" s="138" t="str">
        <f>IFERROR(__xludf.DUMMYFUNCTION("""COMPUTED_VALUE"""),"Excellent")</f>
        <v>Excellent</v>
      </c>
      <c r="AB2418" s="138" t="str">
        <f>IFERROR(__xludf.DUMMYFUNCTION("""COMPUTED_VALUE"""),"Excellent")</f>
        <v>Excellent</v>
      </c>
      <c r="AC2418" s="139">
        <f>IFERROR(__xludf.DUMMYFUNCTION("""COMPUTED_VALUE"""),0.0)</f>
        <v>0</v>
      </c>
      <c r="AD2418" s="139">
        <f>IFERROR(__xludf.DUMMYFUNCTION("""COMPUTED_VALUE"""),0.0)</f>
        <v>0</v>
      </c>
      <c r="AE2418" s="139">
        <f>IFERROR(__xludf.DUMMYFUNCTION("""COMPUTED_VALUE"""),0.0)</f>
        <v>0</v>
      </c>
      <c r="AF2418" s="140"/>
      <c r="AG2418" s="136"/>
      <c r="AH2418" s="157">
        <f>IFERROR(__xludf.DUMMYFUNCTION("""COMPUTED_VALUE"""),43364.83295881945)</f>
        <v>43364.83296</v>
      </c>
      <c r="AI2418" s="138"/>
      <c r="AJ2418" s="138"/>
      <c r="AK2418" s="138"/>
      <c r="AL2418" s="142"/>
    </row>
    <row r="2419" ht="20.25" customHeight="1">
      <c r="A2419" s="155" t="str">
        <f>IFERROR(__xludf.DUMMYFUNCTION("""COMPUTED_VALUE"""),"N3RVOUS")</f>
        <v>N3RVOUS</v>
      </c>
      <c r="B2419" s="149" t="str">
        <f>IFERROR(__xludf.DUMMYFUNCTION("""COMPUTED_VALUE"""),"Spokane")</f>
        <v>Spokane</v>
      </c>
      <c r="C2419" s="149" t="str">
        <f>IFERROR(__xludf.DUMMYFUNCTION("""COMPUTED_VALUE"""),"WA")</f>
        <v>WA</v>
      </c>
      <c r="D2419" s="149" t="str">
        <f>IFERROR(__xludf.DUMMYFUNCTION("""COMPUTED_VALUE"""),"USA")</f>
        <v>USA</v>
      </c>
      <c r="E2419" s="156">
        <f>IFERROR(__xludf.DUMMYFUNCTION("""COMPUTED_VALUE"""),43341.0)</f>
        <v>43341</v>
      </c>
      <c r="F2419" s="129">
        <f>IFERROR(__xludf.DUMMYFUNCTION("""COMPUTED_VALUE"""),43349.0)</f>
        <v>43349</v>
      </c>
      <c r="G2419" s="154"/>
      <c r="H2419" s="131">
        <f>IFERROR(__xludf.DUMMYFUNCTION("""COMPUTED_VALUE"""),53312.0)</f>
        <v>53312</v>
      </c>
      <c r="I2419" s="144" t="str">
        <f>IFERROR(__xludf.DUMMYFUNCTION("""COMPUTED_VALUE"""),"08/18")</f>
        <v>08/18</v>
      </c>
      <c r="J2419" s="129">
        <f>IFERROR(__xludf.DUMMYFUNCTION("""COMPUTED_VALUE"""),43365.0)</f>
        <v>43365</v>
      </c>
      <c r="K2419" s="133">
        <f>IFERROR(__xludf.DUMMYFUNCTION("""COMPUTED_VALUE"""),8.0)</f>
        <v>8</v>
      </c>
      <c r="L2419" s="133">
        <f>IFERROR(__xludf.DUMMYFUNCTION("""COMPUTED_VALUE"""),16.0)</f>
        <v>16</v>
      </c>
      <c r="M2419" s="133">
        <f>IFERROR(__xludf.DUMMYFUNCTION("""COMPUTED_VALUE"""),24.0)</f>
        <v>24</v>
      </c>
      <c r="N2419" s="152" t="str">
        <f>IFERROR(__xludf.DUMMYFUNCTION("""COMPUTED_VALUE"""),"Model 3 LR")</f>
        <v>Model 3 LR</v>
      </c>
      <c r="O2419" s="152" t="str">
        <f>IFERROR(__xludf.DUMMYFUNCTION("""COMPUTED_VALUE"""),"Red Multi-Coat")</f>
        <v>Red Multi-Coat</v>
      </c>
      <c r="P2419" s="153" t="str">
        <f>IFERROR(__xludf.DUMMYFUNCTION("""COMPUTED_VALUE"""),"18 inch Aero")</f>
        <v>18 inch Aero</v>
      </c>
      <c r="Q2419" s="152" t="str">
        <f>IFERROR(__xludf.DUMMYFUNCTION("""COMPUTED_VALUE"""),"Black seats")</f>
        <v>Black seats</v>
      </c>
      <c r="R2419" s="149" t="str">
        <f>IFERROR(__xludf.DUMMYFUNCTION("""COMPUTED_VALUE"""),"None")</f>
        <v>None</v>
      </c>
      <c r="S2419" s="149"/>
      <c r="T2419" s="145"/>
      <c r="U2419" s="145"/>
      <c r="V2419" s="145"/>
      <c r="W2419" s="136"/>
      <c r="X2419" s="137" t="str">
        <f>IFERROR(__xludf.DUMMYFUNCTION("""COMPUTED_VALUE"""),"Excellent")</f>
        <v>Excellent</v>
      </c>
      <c r="Y2419" s="138" t="str">
        <f>IFERROR(__xludf.DUMMYFUNCTION("""COMPUTED_VALUE"""),"Excellent")</f>
        <v>Excellent</v>
      </c>
      <c r="Z2419" s="138" t="str">
        <f>IFERROR(__xludf.DUMMYFUNCTION("""COMPUTED_VALUE"""),"Excellent")</f>
        <v>Excellent</v>
      </c>
      <c r="AA2419" s="138" t="str">
        <f>IFERROR(__xludf.DUMMYFUNCTION("""COMPUTED_VALUE"""),"Very Good")</f>
        <v>Very Good</v>
      </c>
      <c r="AB2419" s="138" t="str">
        <f>IFERROR(__xludf.DUMMYFUNCTION("""COMPUTED_VALUE"""),"Good")</f>
        <v>Good</v>
      </c>
      <c r="AC2419" s="139">
        <f>IFERROR(__xludf.DUMMYFUNCTION("""COMPUTED_VALUE"""),2.0)</f>
        <v>2</v>
      </c>
      <c r="AD2419" s="139">
        <f>IFERROR(__xludf.DUMMYFUNCTION("""COMPUTED_VALUE"""),1.0)</f>
        <v>1</v>
      </c>
      <c r="AE2419" s="139">
        <f>IFERROR(__xludf.DUMMYFUNCTION("""COMPUTED_VALUE"""),0.0)</f>
        <v>0</v>
      </c>
      <c r="AF2419" s="140"/>
      <c r="AG2419" s="136" t="str">
        <f>IFERROR(__xludf.DUMMYFUNCTION("""COMPUTED_VALUE"""),"I live far enough away from a delivery center that I'm working with a home delivery specialist, but my Tesla account shows a Sept. 9th delivery date at the Bellevue Tesla Delivery Center.")</f>
        <v>I live far enough away from a delivery center that I'm working with a home delivery specialist, but my Tesla account shows a Sept. 9th delivery date at the Bellevue Tesla Delivery Center.</v>
      </c>
      <c r="AH2419" s="157">
        <f>IFERROR(__xludf.DUMMYFUNCTION("""COMPUTED_VALUE"""),43369.55760690972)</f>
        <v>43369.55761</v>
      </c>
      <c r="AI2419" s="138"/>
      <c r="AJ2419" s="138"/>
      <c r="AK2419" s="138"/>
      <c r="AL2419" s="142"/>
    </row>
    <row r="2420" ht="20.25" customHeight="1">
      <c r="A2420" s="155" t="str">
        <f>IFERROR(__xludf.DUMMYFUNCTION("""COMPUTED_VALUE"""),"sprak")</f>
        <v>sprak</v>
      </c>
      <c r="B2420" s="149" t="str">
        <f>IFERROR(__xludf.DUMMYFUNCTION("""COMPUTED_VALUE"""),"Arlington")</f>
        <v>Arlington</v>
      </c>
      <c r="C2420" s="149" t="str">
        <f>IFERROR(__xludf.DUMMYFUNCTION("""COMPUTED_VALUE"""),"VA")</f>
        <v>VA</v>
      </c>
      <c r="D2420" s="149" t="str">
        <f>IFERROR(__xludf.DUMMYFUNCTION("""COMPUTED_VALUE"""),"USA")</f>
        <v>USA</v>
      </c>
      <c r="E2420" s="156">
        <f>IFERROR(__xludf.DUMMYFUNCTION("""COMPUTED_VALUE"""),43341.0)</f>
        <v>43341</v>
      </c>
      <c r="F2420" s="129">
        <f>IFERROR(__xludf.DUMMYFUNCTION("""COMPUTED_VALUE"""),43347.0)</f>
        <v>43347</v>
      </c>
      <c r="G2420" s="154"/>
      <c r="H2420" s="131">
        <f>IFERROR(__xludf.DUMMYFUNCTION("""COMPUTED_VALUE"""),34555.0)</f>
        <v>34555</v>
      </c>
      <c r="I2420" s="144"/>
      <c r="J2420" s="129">
        <f>IFERROR(__xludf.DUMMYFUNCTION("""COMPUTED_VALUE"""),43351.0)</f>
        <v>43351</v>
      </c>
      <c r="K2420" s="133">
        <f>IFERROR(__xludf.DUMMYFUNCTION("""COMPUTED_VALUE"""),6.0)</f>
        <v>6</v>
      </c>
      <c r="L2420" s="133">
        <f>IFERROR(__xludf.DUMMYFUNCTION("""COMPUTED_VALUE"""),4.0)</f>
        <v>4</v>
      </c>
      <c r="M2420" s="133">
        <f>IFERROR(__xludf.DUMMYFUNCTION("""COMPUTED_VALUE"""),10.0)</f>
        <v>10</v>
      </c>
      <c r="N2420" s="152" t="str">
        <f>IFERROR(__xludf.DUMMYFUNCTION("""COMPUTED_VALUE"""),"Model 3 LR")</f>
        <v>Model 3 LR</v>
      </c>
      <c r="O2420" s="152" t="str">
        <f>IFERROR(__xludf.DUMMYFUNCTION("""COMPUTED_VALUE"""),"Solid Black")</f>
        <v>Solid Black</v>
      </c>
      <c r="P2420" s="153" t="str">
        <f>IFERROR(__xludf.DUMMYFUNCTION("""COMPUTED_VALUE"""),"18 inch Aero")</f>
        <v>18 inch Aero</v>
      </c>
      <c r="Q2420" s="152" t="str">
        <f>IFERROR(__xludf.DUMMYFUNCTION("""COMPUTED_VALUE"""),"Black seats")</f>
        <v>Black seats</v>
      </c>
      <c r="R2420" s="149" t="str">
        <f>IFERROR(__xludf.DUMMYFUNCTION("""COMPUTED_VALUE"""),"None")</f>
        <v>None</v>
      </c>
      <c r="S2420" s="149"/>
      <c r="T2420" s="145"/>
      <c r="U2420" s="145"/>
      <c r="V2420" s="145"/>
      <c r="W2420" s="136"/>
      <c r="X2420" s="137" t="str">
        <f>IFERROR(__xludf.DUMMYFUNCTION("""COMPUTED_VALUE"""),"Excellent")</f>
        <v>Excellent</v>
      </c>
      <c r="Y2420" s="138" t="str">
        <f>IFERROR(__xludf.DUMMYFUNCTION("""COMPUTED_VALUE"""),"Good")</f>
        <v>Good</v>
      </c>
      <c r="Z2420" s="138" t="str">
        <f>IFERROR(__xludf.DUMMYFUNCTION("""COMPUTED_VALUE"""),"Excellent")</f>
        <v>Excellent</v>
      </c>
      <c r="AA2420" s="138" t="str">
        <f>IFERROR(__xludf.DUMMYFUNCTION("""COMPUTED_VALUE"""),"Excellent")</f>
        <v>Excellent</v>
      </c>
      <c r="AB2420" s="138" t="str">
        <f>IFERROR(__xludf.DUMMYFUNCTION("""COMPUTED_VALUE"""),"Very Good")</f>
        <v>Very Good</v>
      </c>
      <c r="AC2420" s="139"/>
      <c r="AD2420" s="139"/>
      <c r="AE2420" s="139"/>
      <c r="AF2420" s="140"/>
      <c r="AG2420" s="136"/>
      <c r="AH2420" s="157">
        <f>IFERROR(__xludf.DUMMYFUNCTION("""COMPUTED_VALUE"""),43351.746622465274)</f>
        <v>43351.74662</v>
      </c>
      <c r="AI2420" s="138"/>
      <c r="AJ2420" s="138"/>
      <c r="AK2420" s="138"/>
      <c r="AL2420" s="142"/>
    </row>
    <row r="2421" ht="20.25" customHeight="1">
      <c r="A2421" s="155" t="str">
        <f>IFERROR(__xludf.DUMMYFUNCTION("""COMPUTED_VALUE"""),"JTC_LA")</f>
        <v>JTC_LA</v>
      </c>
      <c r="B2421" s="149" t="str">
        <f>IFERROR(__xludf.DUMMYFUNCTION("""COMPUTED_VALUE"""),"Los Angeles")</f>
        <v>Los Angeles</v>
      </c>
      <c r="C2421" s="149" t="str">
        <f>IFERROR(__xludf.DUMMYFUNCTION("""COMPUTED_VALUE"""),"CA")</f>
        <v>CA</v>
      </c>
      <c r="D2421" s="149" t="str">
        <f>IFERROR(__xludf.DUMMYFUNCTION("""COMPUTED_VALUE"""),"USA")</f>
        <v>USA</v>
      </c>
      <c r="E2421" s="156">
        <f>IFERROR(__xludf.DUMMYFUNCTION("""COMPUTED_VALUE"""),43340.0)</f>
        <v>43340</v>
      </c>
      <c r="F2421" s="129">
        <f>IFERROR(__xludf.DUMMYFUNCTION("""COMPUTED_VALUE"""),43342.0)</f>
        <v>43342</v>
      </c>
      <c r="G2421" s="154"/>
      <c r="H2421" s="131">
        <f>IFERROR(__xludf.DUMMYFUNCTION("""COMPUTED_VALUE"""),61356.0)</f>
        <v>61356</v>
      </c>
      <c r="I2421" s="144" t="str">
        <f>IFERROR(__xludf.DUMMYFUNCTION("""COMPUTED_VALUE"""),"08/18")</f>
        <v>08/18</v>
      </c>
      <c r="J2421" s="129">
        <f>IFERROR(__xludf.DUMMYFUNCTION("""COMPUTED_VALUE"""),43345.0)</f>
        <v>43345</v>
      </c>
      <c r="K2421" s="133">
        <f>IFERROR(__xludf.DUMMYFUNCTION("""COMPUTED_VALUE"""),2.0)</f>
        <v>2</v>
      </c>
      <c r="L2421" s="133">
        <f>IFERROR(__xludf.DUMMYFUNCTION("""COMPUTED_VALUE"""),3.0)</f>
        <v>3</v>
      </c>
      <c r="M2421" s="133">
        <f>IFERROR(__xludf.DUMMYFUNCTION("""COMPUTED_VALUE"""),5.0)</f>
        <v>5</v>
      </c>
      <c r="N2421" s="152" t="str">
        <f>IFERROR(__xludf.DUMMYFUNCTION("""COMPUTED_VALUE"""),"Model 3 LR")</f>
        <v>Model 3 LR</v>
      </c>
      <c r="O2421" s="152" t="str">
        <f>IFERROR(__xludf.DUMMYFUNCTION("""COMPUTED_VALUE"""),"Silver Metallic")</f>
        <v>Silver Metallic</v>
      </c>
      <c r="P2421" s="153" t="str">
        <f>IFERROR(__xludf.DUMMYFUNCTION("""COMPUTED_VALUE"""),"18 inch Aero")</f>
        <v>18 inch Aero</v>
      </c>
      <c r="Q2421" s="152" t="str">
        <f>IFERROR(__xludf.DUMMYFUNCTION("""COMPUTED_VALUE"""),"Black seats")</f>
        <v>Black seats</v>
      </c>
      <c r="R2421" s="149" t="str">
        <f>IFERROR(__xludf.DUMMYFUNCTION("""COMPUTED_VALUE"""),"None")</f>
        <v>None</v>
      </c>
      <c r="S2421" s="149"/>
      <c r="T2421" s="145"/>
      <c r="U2421" s="145"/>
      <c r="V2421" s="145"/>
      <c r="W2421" s="136"/>
      <c r="X2421" s="137" t="str">
        <f>IFERROR(__xludf.DUMMYFUNCTION("""COMPUTED_VALUE"""),"Fair")</f>
        <v>Fair</v>
      </c>
      <c r="Y2421" s="138" t="str">
        <f>IFERROR(__xludf.DUMMYFUNCTION("""COMPUTED_VALUE"""),"Very Good")</f>
        <v>Very Good</v>
      </c>
      <c r="Z2421" s="138" t="str">
        <f>IFERROR(__xludf.DUMMYFUNCTION("""COMPUTED_VALUE"""),"Fair")</f>
        <v>Fair</v>
      </c>
      <c r="AA2421" s="138" t="str">
        <f>IFERROR(__xludf.DUMMYFUNCTION("""COMPUTED_VALUE"""),"Poor")</f>
        <v>Poor</v>
      </c>
      <c r="AB2421" s="138" t="str">
        <f>IFERROR(__xludf.DUMMYFUNCTION("""COMPUTED_VALUE"""),"Poor")</f>
        <v>Poor</v>
      </c>
      <c r="AC2421" s="139">
        <f>IFERROR(__xludf.DUMMYFUNCTION("""COMPUTED_VALUE"""),4.0)</f>
        <v>4</v>
      </c>
      <c r="AD2421" s="139"/>
      <c r="AE2421" s="139"/>
      <c r="AF2421" s="140"/>
      <c r="AG2421" s="136"/>
      <c r="AH2421" s="157">
        <f>IFERROR(__xludf.DUMMYFUNCTION("""COMPUTED_VALUE"""),43347.67212012731)</f>
        <v>43347.67212</v>
      </c>
      <c r="AI2421" s="138"/>
      <c r="AJ2421" s="138"/>
      <c r="AK2421" s="138"/>
      <c r="AL2421" s="142"/>
    </row>
    <row r="2422" ht="20.25" customHeight="1">
      <c r="A2422" s="155" t="str">
        <f>IFERROR(__xludf.DUMMYFUNCTION("""COMPUTED_VALUE"""),"paco878")</f>
        <v>paco878</v>
      </c>
      <c r="B2422" s="149" t="str">
        <f>IFERROR(__xludf.DUMMYFUNCTION("""COMPUTED_VALUE"""),"Austin")</f>
        <v>Austin</v>
      </c>
      <c r="C2422" s="149" t="str">
        <f>IFERROR(__xludf.DUMMYFUNCTION("""COMPUTED_VALUE"""),"TX")</f>
        <v>TX</v>
      </c>
      <c r="D2422" s="149" t="str">
        <f>IFERROR(__xludf.DUMMYFUNCTION("""COMPUTED_VALUE"""),"USA")</f>
        <v>USA</v>
      </c>
      <c r="E2422" s="156">
        <f>IFERROR(__xludf.DUMMYFUNCTION("""COMPUTED_VALUE"""),43340.0)</f>
        <v>43340</v>
      </c>
      <c r="F2422" s="129">
        <f>IFERROR(__xludf.DUMMYFUNCTION("""COMPUTED_VALUE"""),43342.0)</f>
        <v>43342</v>
      </c>
      <c r="G2422" s="154"/>
      <c r="H2422" s="131">
        <f>IFERROR(__xludf.DUMMYFUNCTION("""COMPUTED_VALUE"""),62830.0)</f>
        <v>62830</v>
      </c>
      <c r="I2422" s="144" t="str">
        <f>IFERROR(__xludf.DUMMYFUNCTION("""COMPUTED_VALUE"""),"08/18")</f>
        <v>08/18</v>
      </c>
      <c r="J2422" s="129">
        <f>IFERROR(__xludf.DUMMYFUNCTION("""COMPUTED_VALUE"""),43362.0)</f>
        <v>43362</v>
      </c>
      <c r="K2422" s="133">
        <f>IFERROR(__xludf.DUMMYFUNCTION("""COMPUTED_VALUE"""),2.0)</f>
        <v>2</v>
      </c>
      <c r="L2422" s="133">
        <f>IFERROR(__xludf.DUMMYFUNCTION("""COMPUTED_VALUE"""),20.0)</f>
        <v>20</v>
      </c>
      <c r="M2422" s="133">
        <f>IFERROR(__xludf.DUMMYFUNCTION("""COMPUTED_VALUE"""),22.0)</f>
        <v>22</v>
      </c>
      <c r="N2422" s="152" t="str">
        <f>IFERROR(__xludf.DUMMYFUNCTION("""COMPUTED_VALUE"""),"Model 3 LR")</f>
        <v>Model 3 LR</v>
      </c>
      <c r="O2422" s="152" t="str">
        <f>IFERROR(__xludf.DUMMYFUNCTION("""COMPUTED_VALUE"""),"Solid Black")</f>
        <v>Solid Black</v>
      </c>
      <c r="P2422" s="153" t="str">
        <f>IFERROR(__xludf.DUMMYFUNCTION("""COMPUTED_VALUE"""),"18 inch Aero")</f>
        <v>18 inch Aero</v>
      </c>
      <c r="Q2422" s="152" t="str">
        <f>IFERROR(__xludf.DUMMYFUNCTION("""COMPUTED_VALUE"""),"Black seats")</f>
        <v>Black seats</v>
      </c>
      <c r="R2422" s="149" t="str">
        <f>IFERROR(__xludf.DUMMYFUNCTION("""COMPUTED_VALUE"""),"Enhanced Autopilot")</f>
        <v>Enhanced Autopilot</v>
      </c>
      <c r="S2422" s="149"/>
      <c r="T2422" s="145"/>
      <c r="U2422" s="145"/>
      <c r="V2422" s="145"/>
      <c r="W2422" s="136"/>
      <c r="X2422" s="137" t="str">
        <f>IFERROR(__xludf.DUMMYFUNCTION("""COMPUTED_VALUE"""),"Excellent")</f>
        <v>Excellent</v>
      </c>
      <c r="Y2422" s="138" t="str">
        <f>IFERROR(__xludf.DUMMYFUNCTION("""COMPUTED_VALUE"""),"Excellent")</f>
        <v>Excellent</v>
      </c>
      <c r="Z2422" s="138" t="str">
        <f>IFERROR(__xludf.DUMMYFUNCTION("""COMPUTED_VALUE"""),"Very Good")</f>
        <v>Very Good</v>
      </c>
      <c r="AA2422" s="138" t="str">
        <f>IFERROR(__xludf.DUMMYFUNCTION("""COMPUTED_VALUE"""),"Excellent")</f>
        <v>Excellent</v>
      </c>
      <c r="AB2422" s="138" t="str">
        <f>IFERROR(__xludf.DUMMYFUNCTION("""COMPUTED_VALUE"""),"Excellent")</f>
        <v>Excellent</v>
      </c>
      <c r="AC2422" s="139">
        <f>IFERROR(__xludf.DUMMYFUNCTION("""COMPUTED_VALUE"""),1.0)</f>
        <v>1</v>
      </c>
      <c r="AD2422" s="139">
        <f>IFERROR(__xludf.DUMMYFUNCTION("""COMPUTED_VALUE"""),1.0)</f>
        <v>1</v>
      </c>
      <c r="AE2422" s="139">
        <f>IFERROR(__xludf.DUMMYFUNCTION("""COMPUTED_VALUE"""),0.0)</f>
        <v>0</v>
      </c>
      <c r="AF2422" s="140"/>
      <c r="AG2422" s="136" t="str">
        <f>IFERROR(__xludf.DUMMYFUNCTION("""COMPUTED_VALUE"""),"Service Center Visit did not correct the issue, a part has to be ordered.")</f>
        <v>Service Center Visit did not correct the issue, a part has to be ordered.</v>
      </c>
      <c r="AH2422" s="157">
        <f>IFERROR(__xludf.DUMMYFUNCTION("""COMPUTED_VALUE"""),43403.34375255787)</f>
        <v>43403.34375</v>
      </c>
      <c r="AI2422" s="138"/>
      <c r="AJ2422" s="138"/>
      <c r="AK2422" s="138"/>
      <c r="AL2422" s="142"/>
    </row>
    <row r="2423" ht="20.25" customHeight="1">
      <c r="A2423" s="155" t="str">
        <f>IFERROR(__xludf.DUMMYFUNCTION("""COMPUTED_VALUE"""),"noone")</f>
        <v>noone</v>
      </c>
      <c r="B2423" s="149" t="str">
        <f>IFERROR(__xludf.DUMMYFUNCTION("""COMPUTED_VALUE"""),"Los Angeles")</f>
        <v>Los Angeles</v>
      </c>
      <c r="C2423" s="149" t="str">
        <f>IFERROR(__xludf.DUMMYFUNCTION("""COMPUTED_VALUE"""),"CA")</f>
        <v>CA</v>
      </c>
      <c r="D2423" s="149" t="str">
        <f>IFERROR(__xludf.DUMMYFUNCTION("""COMPUTED_VALUE"""),"USA")</f>
        <v>USA</v>
      </c>
      <c r="E2423" s="156">
        <f>IFERROR(__xludf.DUMMYFUNCTION("""COMPUTED_VALUE"""),43339.0)</f>
        <v>43339</v>
      </c>
      <c r="F2423" s="129">
        <f>IFERROR(__xludf.DUMMYFUNCTION("""COMPUTED_VALUE"""),43360.0)</f>
        <v>43360</v>
      </c>
      <c r="G2423" s="154"/>
      <c r="H2423" s="131">
        <f>IFERROR(__xludf.DUMMYFUNCTION("""COMPUTED_VALUE"""),84055.0)</f>
        <v>84055</v>
      </c>
      <c r="I2423" s="144" t="str">
        <f>IFERROR(__xludf.DUMMYFUNCTION("""COMPUTED_VALUE"""),"09/18")</f>
        <v>09/18</v>
      </c>
      <c r="J2423" s="129">
        <f>IFERROR(__xludf.DUMMYFUNCTION("""COMPUTED_VALUE"""),43362.0)</f>
        <v>43362</v>
      </c>
      <c r="K2423" s="133">
        <f>IFERROR(__xludf.DUMMYFUNCTION("""COMPUTED_VALUE"""),21.0)</f>
        <v>21</v>
      </c>
      <c r="L2423" s="133">
        <f>IFERROR(__xludf.DUMMYFUNCTION("""COMPUTED_VALUE"""),2.0)</f>
        <v>2</v>
      </c>
      <c r="M2423" s="133">
        <f>IFERROR(__xludf.DUMMYFUNCTION("""COMPUTED_VALUE"""),23.0)</f>
        <v>23</v>
      </c>
      <c r="N2423" s="152" t="str">
        <f>IFERROR(__xludf.DUMMYFUNCTION("""COMPUTED_VALUE"""),"Model 3 Performance")</f>
        <v>Model 3 Performance</v>
      </c>
      <c r="O2423" s="152" t="str">
        <f>IFERROR(__xludf.DUMMYFUNCTION("""COMPUTED_VALUE"""),"Deep Blue Metallic")</f>
        <v>Deep Blue Metallic</v>
      </c>
      <c r="P2423" s="153" t="str">
        <f>IFERROR(__xludf.DUMMYFUNCTION("""COMPUTED_VALUE"""),"20 inch Sport")</f>
        <v>20 inch Sport</v>
      </c>
      <c r="Q2423" s="152" t="str">
        <f>IFERROR(__xludf.DUMMYFUNCTION("""COMPUTED_VALUE"""),"Black seats")</f>
        <v>Black seats</v>
      </c>
      <c r="R2423" s="149" t="str">
        <f>IFERROR(__xludf.DUMMYFUNCTION("""COMPUTED_VALUE"""),"Enhanced Autopilot")</f>
        <v>Enhanced Autopilot</v>
      </c>
      <c r="S2423" s="149"/>
      <c r="T2423" s="145"/>
      <c r="U2423" s="145"/>
      <c r="V2423" s="145"/>
      <c r="W2423" s="136"/>
      <c r="X2423" s="137" t="str">
        <f>IFERROR(__xludf.DUMMYFUNCTION("""COMPUTED_VALUE"""),"Excellent")</f>
        <v>Excellent</v>
      </c>
      <c r="Y2423" s="138" t="str">
        <f>IFERROR(__xludf.DUMMYFUNCTION("""COMPUTED_VALUE"""),"Excellent")</f>
        <v>Excellent</v>
      </c>
      <c r="Z2423" s="138" t="str">
        <f>IFERROR(__xludf.DUMMYFUNCTION("""COMPUTED_VALUE"""),"Excellent")</f>
        <v>Excellent</v>
      </c>
      <c r="AA2423" s="138" t="str">
        <f>IFERROR(__xludf.DUMMYFUNCTION("""COMPUTED_VALUE"""),"Excellent")</f>
        <v>Excellent</v>
      </c>
      <c r="AB2423" s="138" t="str">
        <f>IFERROR(__xludf.DUMMYFUNCTION("""COMPUTED_VALUE"""),"Excellent")</f>
        <v>Excellent</v>
      </c>
      <c r="AC2423" s="139"/>
      <c r="AD2423" s="139"/>
      <c r="AE2423" s="139"/>
      <c r="AF2423" s="140"/>
      <c r="AG2423" s="136"/>
      <c r="AH2423" s="157">
        <f>IFERROR(__xludf.DUMMYFUNCTION("""COMPUTED_VALUE"""),43365.308960752314)</f>
        <v>43365.30896</v>
      </c>
      <c r="AI2423" s="138"/>
      <c r="AJ2423" s="138"/>
      <c r="AK2423" s="138"/>
      <c r="AL2423" s="142"/>
    </row>
    <row r="2424" ht="20.25" customHeight="1">
      <c r="A2424" s="155" t="str">
        <f>IFERROR(__xludf.DUMMYFUNCTION("""COMPUTED_VALUE"""),"oceanwhite")</f>
        <v>oceanwhite</v>
      </c>
      <c r="B2424" s="149" t="str">
        <f>IFERROR(__xludf.DUMMYFUNCTION("""COMPUTED_VALUE"""),"Bay Area")</f>
        <v>Bay Area</v>
      </c>
      <c r="C2424" s="149" t="str">
        <f>IFERROR(__xludf.DUMMYFUNCTION("""COMPUTED_VALUE"""),"CA")</f>
        <v>CA</v>
      </c>
      <c r="D2424" s="149" t="str">
        <f>IFERROR(__xludf.DUMMYFUNCTION("""COMPUTED_VALUE"""),"USA")</f>
        <v>USA</v>
      </c>
      <c r="E2424" s="156">
        <f>IFERROR(__xludf.DUMMYFUNCTION("""COMPUTED_VALUE"""),43339.0)</f>
        <v>43339</v>
      </c>
      <c r="F2424" s="129">
        <f>IFERROR(__xludf.DUMMYFUNCTION("""COMPUTED_VALUE"""),43345.0)</f>
        <v>43345</v>
      </c>
      <c r="G2424" s="154"/>
      <c r="H2424" s="131">
        <f>IFERROR(__xludf.DUMMYFUNCTION("""COMPUTED_VALUE"""),47455.0)</f>
        <v>47455</v>
      </c>
      <c r="I2424" s="144" t="str">
        <f>IFERROR(__xludf.DUMMYFUNCTION("""COMPUTED_VALUE"""),"07/18")</f>
        <v>07/18</v>
      </c>
      <c r="J2424" s="129">
        <f>IFERROR(__xludf.DUMMYFUNCTION("""COMPUTED_VALUE"""),43348.0)</f>
        <v>43348</v>
      </c>
      <c r="K2424" s="133">
        <f>IFERROR(__xludf.DUMMYFUNCTION("""COMPUTED_VALUE"""),6.0)</f>
        <v>6</v>
      </c>
      <c r="L2424" s="133">
        <f>IFERROR(__xludf.DUMMYFUNCTION("""COMPUTED_VALUE"""),3.0)</f>
        <v>3</v>
      </c>
      <c r="M2424" s="133">
        <f>IFERROR(__xludf.DUMMYFUNCTION("""COMPUTED_VALUE"""),9.0)</f>
        <v>9</v>
      </c>
      <c r="N2424" s="152" t="str">
        <f>IFERROR(__xludf.DUMMYFUNCTION("""COMPUTED_VALUE"""),"Model 3 LR")</f>
        <v>Model 3 LR</v>
      </c>
      <c r="O2424" s="152" t="str">
        <f>IFERROR(__xludf.DUMMYFUNCTION("""COMPUTED_VALUE"""),"Pearl White Multi-Coat")</f>
        <v>Pearl White Multi-Coat</v>
      </c>
      <c r="P2424" s="153" t="str">
        <f>IFERROR(__xludf.DUMMYFUNCTION("""COMPUTED_VALUE"""),"18 inch Aero")</f>
        <v>18 inch Aero</v>
      </c>
      <c r="Q2424" s="152" t="str">
        <f>IFERROR(__xludf.DUMMYFUNCTION("""COMPUTED_VALUE"""),"Black seats")</f>
        <v>Black seats</v>
      </c>
      <c r="R2424" s="149" t="str">
        <f>IFERROR(__xludf.DUMMYFUNCTION("""COMPUTED_VALUE"""),"Enhanced Autopilot")</f>
        <v>Enhanced Autopilot</v>
      </c>
      <c r="S2424" s="149"/>
      <c r="T2424" s="145"/>
      <c r="U2424" s="145"/>
      <c r="V2424" s="145"/>
      <c r="W2424" s="136"/>
      <c r="X2424" s="137" t="str">
        <f>IFERROR(__xludf.DUMMYFUNCTION("""COMPUTED_VALUE"""),"Very Good")</f>
        <v>Very Good</v>
      </c>
      <c r="Y2424" s="138" t="str">
        <f>IFERROR(__xludf.DUMMYFUNCTION("""COMPUTED_VALUE"""),"Good")</f>
        <v>Good</v>
      </c>
      <c r="Z2424" s="138" t="str">
        <f>IFERROR(__xludf.DUMMYFUNCTION("""COMPUTED_VALUE"""),"Very Good")</f>
        <v>Very Good</v>
      </c>
      <c r="AA2424" s="138" t="str">
        <f>IFERROR(__xludf.DUMMYFUNCTION("""COMPUTED_VALUE"""),"Excellent")</f>
        <v>Excellent</v>
      </c>
      <c r="AB2424" s="138" t="str">
        <f>IFERROR(__xludf.DUMMYFUNCTION("""COMPUTED_VALUE"""),"Excellent")</f>
        <v>Excellent</v>
      </c>
      <c r="AC2424" s="139">
        <f>IFERROR(__xludf.DUMMYFUNCTION("""COMPUTED_VALUE"""),0.0)</f>
        <v>0</v>
      </c>
      <c r="AD2424" s="139">
        <f>IFERROR(__xludf.DUMMYFUNCTION("""COMPUTED_VALUE"""),0.0)</f>
        <v>0</v>
      </c>
      <c r="AE2424" s="139">
        <f>IFERROR(__xludf.DUMMYFUNCTION("""COMPUTED_VALUE"""),0.0)</f>
        <v>0</v>
      </c>
      <c r="AF2424" s="140"/>
      <c r="AG2424" s="136"/>
      <c r="AH2424" s="157">
        <f>IFERROR(__xludf.DUMMYFUNCTION("""COMPUTED_VALUE"""),43383.94821081019)</f>
        <v>43383.94821</v>
      </c>
      <c r="AI2424" s="138"/>
      <c r="AJ2424" s="138"/>
      <c r="AK2424" s="138"/>
      <c r="AL2424" s="142"/>
    </row>
    <row r="2425" ht="20.25" customHeight="1">
      <c r="A2425" s="155" t="str">
        <f>IFERROR(__xludf.DUMMYFUNCTION("""COMPUTED_VALUE"""),"tesla_emily")</f>
        <v>tesla_emily</v>
      </c>
      <c r="B2425" s="149" t="str">
        <f>IFERROR(__xludf.DUMMYFUNCTION("""COMPUTED_VALUE"""),"San Diego, CA")</f>
        <v>San Diego, CA</v>
      </c>
      <c r="C2425" s="149" t="str">
        <f>IFERROR(__xludf.DUMMYFUNCTION("""COMPUTED_VALUE"""),"CA")</f>
        <v>CA</v>
      </c>
      <c r="D2425" s="149" t="str">
        <f>IFERROR(__xludf.DUMMYFUNCTION("""COMPUTED_VALUE"""),"USA")</f>
        <v>USA</v>
      </c>
      <c r="E2425" s="156">
        <f>IFERROR(__xludf.DUMMYFUNCTION("""COMPUTED_VALUE"""),43339.0)</f>
        <v>43339</v>
      </c>
      <c r="F2425" s="129">
        <f>IFERROR(__xludf.DUMMYFUNCTION("""COMPUTED_VALUE"""),43350.0)</f>
        <v>43350</v>
      </c>
      <c r="G2425" s="154"/>
      <c r="H2425" s="131">
        <f>IFERROR(__xludf.DUMMYFUNCTION("""COMPUTED_VALUE"""),77755.0)</f>
        <v>77755</v>
      </c>
      <c r="I2425" s="144" t="str">
        <f>IFERROR(__xludf.DUMMYFUNCTION("""COMPUTED_VALUE"""),"08/18")</f>
        <v>08/18</v>
      </c>
      <c r="J2425" s="129">
        <f>IFERROR(__xludf.DUMMYFUNCTION("""COMPUTED_VALUE"""),43361.0)</f>
        <v>43361</v>
      </c>
      <c r="K2425" s="133">
        <f>IFERROR(__xludf.DUMMYFUNCTION("""COMPUTED_VALUE"""),11.0)</f>
        <v>11</v>
      </c>
      <c r="L2425" s="133">
        <f>IFERROR(__xludf.DUMMYFUNCTION("""COMPUTED_VALUE"""),11.0)</f>
        <v>11</v>
      </c>
      <c r="M2425" s="133">
        <f>IFERROR(__xludf.DUMMYFUNCTION("""COMPUTED_VALUE"""),22.0)</f>
        <v>22</v>
      </c>
      <c r="N2425" s="152" t="str">
        <f>IFERROR(__xludf.DUMMYFUNCTION("""COMPUTED_VALUE"""),"Model 3 LR")</f>
        <v>Model 3 LR</v>
      </c>
      <c r="O2425" s="152" t="str">
        <f>IFERROR(__xludf.DUMMYFUNCTION("""COMPUTED_VALUE"""),"Midnight Silver Metallic")</f>
        <v>Midnight Silver Metallic</v>
      </c>
      <c r="P2425" s="153" t="str">
        <f>IFERROR(__xludf.DUMMYFUNCTION("""COMPUTED_VALUE"""),"18 inch Aero")</f>
        <v>18 inch Aero</v>
      </c>
      <c r="Q2425" s="152" t="str">
        <f>IFERROR(__xludf.DUMMYFUNCTION("""COMPUTED_VALUE"""),"Black seats")</f>
        <v>Black seats</v>
      </c>
      <c r="R2425" s="149" t="str">
        <f>IFERROR(__xludf.DUMMYFUNCTION("""COMPUTED_VALUE"""),"Enhanced Autopilot")</f>
        <v>Enhanced Autopilot</v>
      </c>
      <c r="S2425" s="149"/>
      <c r="T2425" s="145"/>
      <c r="U2425" s="145"/>
      <c r="V2425" s="145"/>
      <c r="W2425" s="136"/>
      <c r="X2425" s="137" t="str">
        <f>IFERROR(__xludf.DUMMYFUNCTION("""COMPUTED_VALUE"""),"Excellent")</f>
        <v>Excellent</v>
      </c>
      <c r="Y2425" s="138" t="str">
        <f>IFERROR(__xludf.DUMMYFUNCTION("""COMPUTED_VALUE"""),"Excellent")</f>
        <v>Excellent</v>
      </c>
      <c r="Z2425" s="138" t="str">
        <f>IFERROR(__xludf.DUMMYFUNCTION("""COMPUTED_VALUE"""),"Excellent")</f>
        <v>Excellent</v>
      </c>
      <c r="AA2425" s="138" t="str">
        <f>IFERROR(__xludf.DUMMYFUNCTION("""COMPUTED_VALUE"""),"Excellent")</f>
        <v>Excellent</v>
      </c>
      <c r="AB2425" s="138" t="str">
        <f>IFERROR(__xludf.DUMMYFUNCTION("""COMPUTED_VALUE"""),"Excellent")</f>
        <v>Excellent</v>
      </c>
      <c r="AC2425" s="139">
        <f>IFERROR(__xludf.DUMMYFUNCTION("""COMPUTED_VALUE"""),0.0)</f>
        <v>0</v>
      </c>
      <c r="AD2425" s="139">
        <f>IFERROR(__xludf.DUMMYFUNCTION("""COMPUTED_VALUE"""),0.0)</f>
        <v>0</v>
      </c>
      <c r="AE2425" s="139">
        <f>IFERROR(__xludf.DUMMYFUNCTION("""COMPUTED_VALUE"""),0.0)</f>
        <v>0</v>
      </c>
      <c r="AF2425" s="140"/>
      <c r="AG2425" s="136"/>
      <c r="AH2425" s="157">
        <f>IFERROR(__xludf.DUMMYFUNCTION("""COMPUTED_VALUE"""),43364.31193046296)</f>
        <v>43364.31193</v>
      </c>
      <c r="AI2425" s="138"/>
      <c r="AJ2425" s="138"/>
      <c r="AK2425" s="138"/>
      <c r="AL2425" s="142"/>
    </row>
    <row r="2426" ht="20.25" customHeight="1">
      <c r="A2426" s="155" t="str">
        <f>IFERROR(__xludf.DUMMYFUNCTION("""COMPUTED_VALUE"""),"krelltunez")</f>
        <v>krelltunez</v>
      </c>
      <c r="B2426" s="149" t="str">
        <f>IFERROR(__xludf.DUMMYFUNCTION("""COMPUTED_VALUE"""),"Chicago Suburbs")</f>
        <v>Chicago Suburbs</v>
      </c>
      <c r="C2426" s="149" t="str">
        <f>IFERROR(__xludf.DUMMYFUNCTION("""COMPUTED_VALUE"""),"IL")</f>
        <v>IL</v>
      </c>
      <c r="D2426" s="149" t="str">
        <f>IFERROR(__xludf.DUMMYFUNCTION("""COMPUTED_VALUE"""),"USA")</f>
        <v>USA</v>
      </c>
      <c r="E2426" s="156">
        <f>IFERROR(__xludf.DUMMYFUNCTION("""COMPUTED_VALUE"""),43338.0)</f>
        <v>43338</v>
      </c>
      <c r="F2426" s="129">
        <f>IFERROR(__xludf.DUMMYFUNCTION("""COMPUTED_VALUE"""),43364.0)</f>
        <v>43364</v>
      </c>
      <c r="G2426" s="154"/>
      <c r="H2426" s="131">
        <f>IFERROR(__xludf.DUMMYFUNCTION("""COMPUTED_VALUE"""),97955.0)</f>
        <v>97955</v>
      </c>
      <c r="I2426" s="144" t="str">
        <f>IFERROR(__xludf.DUMMYFUNCTION("""COMPUTED_VALUE"""),"09/18")</f>
        <v>09/18</v>
      </c>
      <c r="J2426" s="129">
        <f>IFERROR(__xludf.DUMMYFUNCTION("""COMPUTED_VALUE"""),43371.0)</f>
        <v>43371</v>
      </c>
      <c r="K2426" s="133">
        <f>IFERROR(__xludf.DUMMYFUNCTION("""COMPUTED_VALUE"""),26.0)</f>
        <v>26</v>
      </c>
      <c r="L2426" s="133">
        <f>IFERROR(__xludf.DUMMYFUNCTION("""COMPUTED_VALUE"""),7.0)</f>
        <v>7</v>
      </c>
      <c r="M2426" s="133">
        <f>IFERROR(__xludf.DUMMYFUNCTION("""COMPUTED_VALUE"""),33.0)</f>
        <v>33</v>
      </c>
      <c r="N2426" s="152" t="str">
        <f>IFERROR(__xludf.DUMMYFUNCTION("""COMPUTED_VALUE"""),"Model 3 LR AWD")</f>
        <v>Model 3 LR AWD</v>
      </c>
      <c r="O2426" s="152" t="str">
        <f>IFERROR(__xludf.DUMMYFUNCTION("""COMPUTED_VALUE"""),"Pearl White Multi-Coat")</f>
        <v>Pearl White Multi-Coat</v>
      </c>
      <c r="P2426" s="153" t="str">
        <f>IFERROR(__xludf.DUMMYFUNCTION("""COMPUTED_VALUE"""),"19 inch Sport")</f>
        <v>19 inch Sport</v>
      </c>
      <c r="Q2426" s="152" t="str">
        <f>IFERROR(__xludf.DUMMYFUNCTION("""COMPUTED_VALUE"""),"White seats")</f>
        <v>White seats</v>
      </c>
      <c r="R2426" s="149" t="str">
        <f>IFERROR(__xludf.DUMMYFUNCTION("""COMPUTED_VALUE"""),"Full Self-Driving")</f>
        <v>Full Self-Driving</v>
      </c>
      <c r="S2426" s="149"/>
      <c r="T2426" s="145"/>
      <c r="U2426" s="145"/>
      <c r="V2426" s="145"/>
      <c r="W2426" s="136"/>
      <c r="X2426" s="137" t="str">
        <f>IFERROR(__xludf.DUMMYFUNCTION("""COMPUTED_VALUE"""),"Very Good")</f>
        <v>Very Good</v>
      </c>
      <c r="Y2426" s="138" t="str">
        <f>IFERROR(__xludf.DUMMYFUNCTION("""COMPUTED_VALUE"""),"Excellent")</f>
        <v>Excellent</v>
      </c>
      <c r="Z2426" s="138" t="str">
        <f>IFERROR(__xludf.DUMMYFUNCTION("""COMPUTED_VALUE"""),"Excellent")</f>
        <v>Excellent</v>
      </c>
      <c r="AA2426" s="138" t="str">
        <f>IFERROR(__xludf.DUMMYFUNCTION("""COMPUTED_VALUE"""),"Good")</f>
        <v>Good</v>
      </c>
      <c r="AB2426" s="138" t="str">
        <f>IFERROR(__xludf.DUMMYFUNCTION("""COMPUTED_VALUE"""),"Good")</f>
        <v>Good</v>
      </c>
      <c r="AC2426" s="139"/>
      <c r="AD2426" s="139"/>
      <c r="AE2426" s="139"/>
      <c r="AF2426" s="140"/>
      <c r="AG2426" s="136"/>
      <c r="AH2426" s="157">
        <f>IFERROR(__xludf.DUMMYFUNCTION("""COMPUTED_VALUE"""),43373.87147172453)</f>
        <v>43373.87147</v>
      </c>
      <c r="AI2426" s="138"/>
      <c r="AJ2426" s="138"/>
      <c r="AK2426" s="138"/>
      <c r="AL2426" s="142"/>
    </row>
    <row r="2427" ht="20.25" customHeight="1">
      <c r="A2427" s="155" t="str">
        <f>IFERROR(__xludf.DUMMYFUNCTION("""COMPUTED_VALUE"""),"Walk2Fit")</f>
        <v>Walk2Fit</v>
      </c>
      <c r="B2427" s="149" t="str">
        <f>IFERROR(__xludf.DUMMYFUNCTION("""COMPUTED_VALUE"""),"Raleigh")</f>
        <v>Raleigh</v>
      </c>
      <c r="C2427" s="149" t="str">
        <f>IFERROR(__xludf.DUMMYFUNCTION("""COMPUTED_VALUE"""),"NC")</f>
        <v>NC</v>
      </c>
      <c r="D2427" s="149" t="str">
        <f>IFERROR(__xludf.DUMMYFUNCTION("""COMPUTED_VALUE"""),"USA")</f>
        <v>USA</v>
      </c>
      <c r="E2427" s="156">
        <f>IFERROR(__xludf.DUMMYFUNCTION("""COMPUTED_VALUE"""),43338.0)</f>
        <v>43338</v>
      </c>
      <c r="F2427" s="129">
        <f>IFERROR(__xludf.DUMMYFUNCTION("""COMPUTED_VALUE"""),43416.0)</f>
        <v>43416</v>
      </c>
      <c r="G2427" s="154"/>
      <c r="H2427" s="131">
        <f>IFERROR(__xludf.DUMMYFUNCTION("""COMPUTED_VALUE"""),115340.0)</f>
        <v>115340</v>
      </c>
      <c r="I2427" s="144"/>
      <c r="J2427" s="129">
        <f>IFERROR(__xludf.DUMMYFUNCTION("""COMPUTED_VALUE"""),43428.0)</f>
        <v>43428</v>
      </c>
      <c r="K2427" s="133">
        <f>IFERROR(__xludf.DUMMYFUNCTION("""COMPUTED_VALUE"""),78.0)</f>
        <v>78</v>
      </c>
      <c r="L2427" s="133">
        <f>IFERROR(__xludf.DUMMYFUNCTION("""COMPUTED_VALUE"""),12.0)</f>
        <v>12</v>
      </c>
      <c r="M2427" s="133">
        <f>IFERROR(__xludf.DUMMYFUNCTION("""COMPUTED_VALUE"""),90.0)</f>
        <v>90</v>
      </c>
      <c r="N2427" s="152" t="str">
        <f>IFERROR(__xludf.DUMMYFUNCTION("""COMPUTED_VALUE"""),"Model 3 LR AWD")</f>
        <v>Model 3 LR AWD</v>
      </c>
      <c r="O2427" s="152" t="str">
        <f>IFERROR(__xludf.DUMMYFUNCTION("""COMPUTED_VALUE"""),"Deep Blue Metallic")</f>
        <v>Deep Blue Metallic</v>
      </c>
      <c r="P2427" s="153" t="str">
        <f>IFERROR(__xludf.DUMMYFUNCTION("""COMPUTED_VALUE"""),"18 inch Aero")</f>
        <v>18 inch Aero</v>
      </c>
      <c r="Q2427" s="152" t="str">
        <f>IFERROR(__xludf.DUMMYFUNCTION("""COMPUTED_VALUE"""),"Black seats")</f>
        <v>Black seats</v>
      </c>
      <c r="R2427" s="149" t="str">
        <f>IFERROR(__xludf.DUMMYFUNCTION("""COMPUTED_VALUE"""),"Full Self-Driving")</f>
        <v>Full Self-Driving</v>
      </c>
      <c r="S2427" s="149"/>
      <c r="T2427" s="145"/>
      <c r="U2427" s="145"/>
      <c r="V2427" s="145"/>
      <c r="W2427" s="136"/>
      <c r="X2427" s="137" t="str">
        <f>IFERROR(__xludf.DUMMYFUNCTION("""COMPUTED_VALUE"""),"Excellent")</f>
        <v>Excellent</v>
      </c>
      <c r="Y2427" s="138" t="str">
        <f>IFERROR(__xludf.DUMMYFUNCTION("""COMPUTED_VALUE"""),"Excellent")</f>
        <v>Excellent</v>
      </c>
      <c r="Z2427" s="138" t="str">
        <f>IFERROR(__xludf.DUMMYFUNCTION("""COMPUTED_VALUE"""),"Excellent")</f>
        <v>Excellent</v>
      </c>
      <c r="AA2427" s="138" t="str">
        <f>IFERROR(__xludf.DUMMYFUNCTION("""COMPUTED_VALUE"""),"Excellent")</f>
        <v>Excellent</v>
      </c>
      <c r="AB2427" s="138" t="str">
        <f>IFERROR(__xludf.DUMMYFUNCTION("""COMPUTED_VALUE"""),"Very Good")</f>
        <v>Very Good</v>
      </c>
      <c r="AC2427" s="139"/>
      <c r="AD2427" s="139"/>
      <c r="AE2427" s="139"/>
      <c r="AF2427" s="140"/>
      <c r="AG2427" s="136" t="str">
        <f>IFERROR(__xludf.DUMMYFUNCTION("""COMPUTED_VALUE"""),"Edit Design button disappeared on 10/31/2018")</f>
        <v>Edit Design button disappeared on 10/31/2018</v>
      </c>
      <c r="AH2427" s="157">
        <f>IFERROR(__xludf.DUMMYFUNCTION("""COMPUTED_VALUE"""),43430.45149907408)</f>
        <v>43430.4515</v>
      </c>
      <c r="AI2427" s="138"/>
      <c r="AJ2427" s="138"/>
      <c r="AK2427" s="138"/>
      <c r="AL2427" s="142"/>
    </row>
    <row r="2428" ht="20.25" customHeight="1">
      <c r="A2428" s="155" t="str">
        <f>IFERROR(__xludf.DUMMYFUNCTION("""COMPUTED_VALUE"""),"allx")</f>
        <v>allx</v>
      </c>
      <c r="B2428" s="149"/>
      <c r="C2428" s="149" t="str">
        <f>IFERROR(__xludf.DUMMYFUNCTION("""COMPUTED_VALUE"""),"NJ")</f>
        <v>NJ</v>
      </c>
      <c r="D2428" s="149" t="str">
        <f>IFERROR(__xludf.DUMMYFUNCTION("""COMPUTED_VALUE"""),"USA")</f>
        <v>USA</v>
      </c>
      <c r="E2428" s="156">
        <f>IFERROR(__xludf.DUMMYFUNCTION("""COMPUTED_VALUE"""),43337.0)</f>
        <v>43337</v>
      </c>
      <c r="F2428" s="129">
        <f>IFERROR(__xludf.DUMMYFUNCTION("""COMPUTED_VALUE"""),43350.0)</f>
        <v>43350</v>
      </c>
      <c r="G2428" s="154"/>
      <c r="H2428" s="131">
        <f>IFERROR(__xludf.DUMMYFUNCTION("""COMPUTED_VALUE"""),99655.0)</f>
        <v>99655</v>
      </c>
      <c r="I2428" s="144"/>
      <c r="J2428" s="129">
        <f>IFERROR(__xludf.DUMMYFUNCTION("""COMPUTED_VALUE"""),43371.0)</f>
        <v>43371</v>
      </c>
      <c r="K2428" s="133">
        <f>IFERROR(__xludf.DUMMYFUNCTION("""COMPUTED_VALUE"""),13.0)</f>
        <v>13</v>
      </c>
      <c r="L2428" s="133">
        <f>IFERROR(__xludf.DUMMYFUNCTION("""COMPUTED_VALUE"""),21.0)</f>
        <v>21</v>
      </c>
      <c r="M2428" s="133">
        <f>IFERROR(__xludf.DUMMYFUNCTION("""COMPUTED_VALUE"""),34.0)</f>
        <v>34</v>
      </c>
      <c r="N2428" s="152" t="str">
        <f>IFERROR(__xludf.DUMMYFUNCTION("""COMPUTED_VALUE"""),"Model 3 Performance")</f>
        <v>Model 3 Performance</v>
      </c>
      <c r="O2428" s="152" t="str">
        <f>IFERROR(__xludf.DUMMYFUNCTION("""COMPUTED_VALUE"""),"Red Multi-Coat")</f>
        <v>Red Multi-Coat</v>
      </c>
      <c r="P2428" s="153" t="str">
        <f>IFERROR(__xludf.DUMMYFUNCTION("""COMPUTED_VALUE"""),"18 inch Aero")</f>
        <v>18 inch Aero</v>
      </c>
      <c r="Q2428" s="152" t="str">
        <f>IFERROR(__xludf.DUMMYFUNCTION("""COMPUTED_VALUE"""),"White seats")</f>
        <v>White seats</v>
      </c>
      <c r="R2428" s="149" t="str">
        <f>IFERROR(__xludf.DUMMYFUNCTION("""COMPUTED_VALUE"""),"Enhanced Autopilot")</f>
        <v>Enhanced Autopilot</v>
      </c>
      <c r="S2428" s="149"/>
      <c r="T2428" s="145"/>
      <c r="U2428" s="145"/>
      <c r="V2428" s="145"/>
      <c r="W2428" s="136"/>
      <c r="X2428" s="137" t="str">
        <f>IFERROR(__xludf.DUMMYFUNCTION("""COMPUTED_VALUE"""),"Very Good")</f>
        <v>Very Good</v>
      </c>
      <c r="Y2428" s="138" t="str">
        <f>IFERROR(__xludf.DUMMYFUNCTION("""COMPUTED_VALUE"""),"Excellent")</f>
        <v>Excellent</v>
      </c>
      <c r="Z2428" s="138" t="str">
        <f>IFERROR(__xludf.DUMMYFUNCTION("""COMPUTED_VALUE"""),"Excellent")</f>
        <v>Excellent</v>
      </c>
      <c r="AA2428" s="138" t="str">
        <f>IFERROR(__xludf.DUMMYFUNCTION("""COMPUTED_VALUE"""),"Poor")</f>
        <v>Poor</v>
      </c>
      <c r="AB2428" s="138" t="str">
        <f>IFERROR(__xludf.DUMMYFUNCTION("""COMPUTED_VALUE"""),"Good")</f>
        <v>Good</v>
      </c>
      <c r="AC2428" s="139"/>
      <c r="AD2428" s="139"/>
      <c r="AE2428" s="139"/>
      <c r="AF2428" s="140"/>
      <c r="AG2428" s="136"/>
      <c r="AH2428" s="157">
        <f>IFERROR(__xludf.DUMMYFUNCTION("""COMPUTED_VALUE"""),43378.86636194445)</f>
        <v>43378.86636</v>
      </c>
      <c r="AI2428" s="138"/>
      <c r="AJ2428" s="138"/>
      <c r="AK2428" s="138"/>
      <c r="AL2428" s="142"/>
    </row>
    <row r="2429" ht="20.25" customHeight="1">
      <c r="A2429" s="155" t="str">
        <f>IFERROR(__xludf.DUMMYFUNCTION("""COMPUTED_VALUE"""),"atwerkuser")</f>
        <v>atwerkuser</v>
      </c>
      <c r="B2429" s="149" t="str">
        <f>IFERROR(__xludf.DUMMYFUNCTION("""COMPUTED_VALUE"""),"Minneapolis ")</f>
        <v>Minneapolis </v>
      </c>
      <c r="C2429" s="149" t="str">
        <f>IFERROR(__xludf.DUMMYFUNCTION("""COMPUTED_VALUE"""),"MN")</f>
        <v>MN</v>
      </c>
      <c r="D2429" s="149" t="str">
        <f>IFERROR(__xludf.DUMMYFUNCTION("""COMPUTED_VALUE"""),"USA")</f>
        <v>USA</v>
      </c>
      <c r="E2429" s="156">
        <f>IFERROR(__xludf.DUMMYFUNCTION("""COMPUTED_VALUE"""),43337.0)</f>
        <v>43337</v>
      </c>
      <c r="F2429" s="129">
        <f>IFERROR(__xludf.DUMMYFUNCTION("""COMPUTED_VALUE"""),43357.0)</f>
        <v>43357</v>
      </c>
      <c r="G2429" s="154"/>
      <c r="H2429" s="131">
        <f>IFERROR(__xludf.DUMMYFUNCTION("""COMPUTED_VALUE"""),62845.0)</f>
        <v>62845</v>
      </c>
      <c r="I2429" s="144"/>
      <c r="J2429" s="129">
        <f>IFERROR(__xludf.DUMMYFUNCTION("""COMPUTED_VALUE"""),43364.0)</f>
        <v>43364</v>
      </c>
      <c r="K2429" s="133">
        <f>IFERROR(__xludf.DUMMYFUNCTION("""COMPUTED_VALUE"""),20.0)</f>
        <v>20</v>
      </c>
      <c r="L2429" s="133">
        <f>IFERROR(__xludf.DUMMYFUNCTION("""COMPUTED_VALUE"""),7.0)</f>
        <v>7</v>
      </c>
      <c r="M2429" s="133">
        <f>IFERROR(__xludf.DUMMYFUNCTION("""COMPUTED_VALUE"""),27.0)</f>
        <v>27</v>
      </c>
      <c r="N2429" s="152" t="str">
        <f>IFERROR(__xludf.DUMMYFUNCTION("""COMPUTED_VALUE"""),"Model 3 LR")</f>
        <v>Model 3 LR</v>
      </c>
      <c r="O2429" s="152" t="str">
        <f>IFERROR(__xludf.DUMMYFUNCTION("""COMPUTED_VALUE"""),"Solid Black")</f>
        <v>Solid Black</v>
      </c>
      <c r="P2429" s="153" t="str">
        <f>IFERROR(__xludf.DUMMYFUNCTION("""COMPUTED_VALUE"""),"18 inch Aero")</f>
        <v>18 inch Aero</v>
      </c>
      <c r="Q2429" s="152" t="str">
        <f>IFERROR(__xludf.DUMMYFUNCTION("""COMPUTED_VALUE"""),"Black seats")</f>
        <v>Black seats</v>
      </c>
      <c r="R2429" s="149" t="str">
        <f>IFERROR(__xludf.DUMMYFUNCTION("""COMPUTED_VALUE"""),"None")</f>
        <v>None</v>
      </c>
      <c r="S2429" s="149"/>
      <c r="T2429" s="145"/>
      <c r="U2429" s="145"/>
      <c r="V2429" s="145"/>
      <c r="W2429" s="136"/>
      <c r="X2429" s="137" t="str">
        <f>IFERROR(__xludf.DUMMYFUNCTION("""COMPUTED_VALUE"""),"Excellent")</f>
        <v>Excellent</v>
      </c>
      <c r="Y2429" s="138" t="str">
        <f>IFERROR(__xludf.DUMMYFUNCTION("""COMPUTED_VALUE"""),"Excellent")</f>
        <v>Excellent</v>
      </c>
      <c r="Z2429" s="138" t="str">
        <f>IFERROR(__xludf.DUMMYFUNCTION("""COMPUTED_VALUE"""),"Very Good")</f>
        <v>Very Good</v>
      </c>
      <c r="AA2429" s="138" t="str">
        <f>IFERROR(__xludf.DUMMYFUNCTION("""COMPUTED_VALUE"""),"Very Good")</f>
        <v>Very Good</v>
      </c>
      <c r="AB2429" s="138" t="str">
        <f>IFERROR(__xludf.DUMMYFUNCTION("""COMPUTED_VALUE"""),"Excellent")</f>
        <v>Excellent</v>
      </c>
      <c r="AC2429" s="139">
        <f>IFERROR(__xludf.DUMMYFUNCTION("""COMPUTED_VALUE"""),1.0)</f>
        <v>1</v>
      </c>
      <c r="AD2429" s="139">
        <f>IFERROR(__xludf.DUMMYFUNCTION("""COMPUTED_VALUE"""),0.0)</f>
        <v>0</v>
      </c>
      <c r="AE2429" s="139"/>
      <c r="AF2429" s="140"/>
      <c r="AG2429" s="136"/>
      <c r="AH2429" s="157">
        <f>IFERROR(__xludf.DUMMYFUNCTION("""COMPUTED_VALUE"""),43370.89929873842)</f>
        <v>43370.8993</v>
      </c>
      <c r="AI2429" s="138"/>
      <c r="AJ2429" s="138"/>
      <c r="AK2429" s="138"/>
      <c r="AL2429" s="142"/>
    </row>
    <row r="2430" ht="20.25" customHeight="1">
      <c r="A2430" s="155" t="str">
        <f>IFERROR(__xludf.DUMMYFUNCTION("""COMPUTED_VALUE"""),"JennGa")</f>
        <v>JennGa</v>
      </c>
      <c r="B2430" s="149"/>
      <c r="C2430" s="149" t="str">
        <f>IFERROR(__xludf.DUMMYFUNCTION("""COMPUTED_VALUE"""),"GA")</f>
        <v>GA</v>
      </c>
      <c r="D2430" s="149" t="str">
        <f>IFERROR(__xludf.DUMMYFUNCTION("""COMPUTED_VALUE"""),"USA")</f>
        <v>USA</v>
      </c>
      <c r="E2430" s="156">
        <f>IFERROR(__xludf.DUMMYFUNCTION("""COMPUTED_VALUE"""),43337.0)</f>
        <v>43337</v>
      </c>
      <c r="F2430" s="129">
        <f>IFERROR(__xludf.DUMMYFUNCTION("""COMPUTED_VALUE"""),43373.0)</f>
        <v>43373</v>
      </c>
      <c r="G2430" s="154"/>
      <c r="H2430" s="131">
        <f>IFERROR(__xludf.DUMMYFUNCTION("""COMPUTED_VALUE"""),84855.0)</f>
        <v>84855</v>
      </c>
      <c r="I2430" s="144" t="str">
        <f>IFERROR(__xludf.DUMMYFUNCTION("""COMPUTED_VALUE"""),"09/18")</f>
        <v>09/18</v>
      </c>
      <c r="J2430" s="129">
        <f>IFERROR(__xludf.DUMMYFUNCTION("""COMPUTED_VALUE"""),43393.0)</f>
        <v>43393</v>
      </c>
      <c r="K2430" s="133">
        <f>IFERROR(__xludf.DUMMYFUNCTION("""COMPUTED_VALUE"""),36.0)</f>
        <v>36</v>
      </c>
      <c r="L2430" s="133">
        <f>IFERROR(__xludf.DUMMYFUNCTION("""COMPUTED_VALUE"""),20.0)</f>
        <v>20</v>
      </c>
      <c r="M2430" s="133">
        <f>IFERROR(__xludf.DUMMYFUNCTION("""COMPUTED_VALUE"""),56.0)</f>
        <v>56</v>
      </c>
      <c r="N2430" s="152" t="str">
        <f>IFERROR(__xludf.DUMMYFUNCTION("""COMPUTED_VALUE"""),"Model 3 Performance")</f>
        <v>Model 3 Performance</v>
      </c>
      <c r="O2430" s="152" t="str">
        <f>IFERROR(__xludf.DUMMYFUNCTION("""COMPUTED_VALUE"""),"Midnight Silver Metallic")</f>
        <v>Midnight Silver Metallic</v>
      </c>
      <c r="P2430" s="153" t="str">
        <f>IFERROR(__xludf.DUMMYFUNCTION("""COMPUTED_VALUE"""),"18 inch Aero")</f>
        <v>18 inch Aero</v>
      </c>
      <c r="Q2430" s="152" t="str">
        <f>IFERROR(__xludf.DUMMYFUNCTION("""COMPUTED_VALUE"""),"Black seats")</f>
        <v>Black seats</v>
      </c>
      <c r="R2430" s="149" t="str">
        <f>IFERROR(__xludf.DUMMYFUNCTION("""COMPUTED_VALUE"""),"Enhanced Autopilot")</f>
        <v>Enhanced Autopilot</v>
      </c>
      <c r="S2430" s="149"/>
      <c r="T2430" s="145"/>
      <c r="U2430" s="145"/>
      <c r="V2430" s="145"/>
      <c r="W2430" s="136"/>
      <c r="X2430" s="137" t="str">
        <f>IFERROR(__xludf.DUMMYFUNCTION("""COMPUTED_VALUE"""),"Excellent")</f>
        <v>Excellent</v>
      </c>
      <c r="Y2430" s="138" t="str">
        <f>IFERROR(__xludf.DUMMYFUNCTION("""COMPUTED_VALUE"""),"Very Good")</f>
        <v>Very Good</v>
      </c>
      <c r="Z2430" s="138" t="str">
        <f>IFERROR(__xludf.DUMMYFUNCTION("""COMPUTED_VALUE"""),"Good")</f>
        <v>Good</v>
      </c>
      <c r="AA2430" s="138" t="str">
        <f>IFERROR(__xludf.DUMMYFUNCTION("""COMPUTED_VALUE"""),"Good")</f>
        <v>Good</v>
      </c>
      <c r="AB2430" s="138" t="str">
        <f>IFERROR(__xludf.DUMMYFUNCTION("""COMPUTED_VALUE"""),"Very Good")</f>
        <v>Very Good</v>
      </c>
      <c r="AC2430" s="139">
        <f>IFERROR(__xludf.DUMMYFUNCTION("""COMPUTED_VALUE"""),10.0)</f>
        <v>10</v>
      </c>
      <c r="AD2430" s="139">
        <f>IFERROR(__xludf.DUMMYFUNCTION("""COMPUTED_VALUE"""),0.0)</f>
        <v>0</v>
      </c>
      <c r="AE2430" s="139"/>
      <c r="AF2430" s="140"/>
      <c r="AG2430" s="136" t="str">
        <f>IFERROR(__xludf.DUMMYFUNCTION("""COMPUTED_VALUE"""),"waiting to be scheduled  to fix paint/interior defects")</f>
        <v>waiting to be scheduled  to fix paint/interior defects</v>
      </c>
      <c r="AH2430" s="157">
        <f>IFERROR(__xludf.DUMMYFUNCTION("""COMPUTED_VALUE"""),43429.488412719904)</f>
        <v>43429.48841</v>
      </c>
      <c r="AI2430" s="138"/>
      <c r="AJ2430" s="138"/>
      <c r="AK2430" s="138"/>
      <c r="AL2430" s="142"/>
    </row>
    <row r="2431" ht="20.25" customHeight="1">
      <c r="A2431" s="155" t="str">
        <f>IFERROR(__xludf.DUMMYFUNCTION("""COMPUTED_VALUE"""),"XKWIZIT")</f>
        <v>XKWIZIT</v>
      </c>
      <c r="B2431" s="149" t="str">
        <f>IFERROR(__xludf.DUMMYFUNCTION("""COMPUTED_VALUE"""),"Folsom, CA")</f>
        <v>Folsom, CA</v>
      </c>
      <c r="C2431" s="149" t="str">
        <f>IFERROR(__xludf.DUMMYFUNCTION("""COMPUTED_VALUE"""),"CA")</f>
        <v>CA</v>
      </c>
      <c r="D2431" s="149" t="str">
        <f>IFERROR(__xludf.DUMMYFUNCTION("""COMPUTED_VALUE"""),"USA")</f>
        <v>USA</v>
      </c>
      <c r="E2431" s="156">
        <f>IFERROR(__xludf.DUMMYFUNCTION("""COMPUTED_VALUE"""),43337.0)</f>
        <v>43337</v>
      </c>
      <c r="F2431" s="129">
        <f>IFERROR(__xludf.DUMMYFUNCTION("""COMPUTED_VALUE"""),43341.0)</f>
        <v>43341</v>
      </c>
      <c r="G2431" s="154"/>
      <c r="H2431" s="131">
        <f>IFERROR(__xludf.DUMMYFUNCTION("""COMPUTED_VALUE"""),78236.0)</f>
        <v>78236</v>
      </c>
      <c r="I2431" s="144"/>
      <c r="J2431" s="129">
        <f>IFERROR(__xludf.DUMMYFUNCTION("""COMPUTED_VALUE"""),43354.0)</f>
        <v>43354</v>
      </c>
      <c r="K2431" s="133">
        <f>IFERROR(__xludf.DUMMYFUNCTION("""COMPUTED_VALUE"""),4.0)</f>
        <v>4</v>
      </c>
      <c r="L2431" s="133">
        <f>IFERROR(__xludf.DUMMYFUNCTION("""COMPUTED_VALUE"""),13.0)</f>
        <v>13</v>
      </c>
      <c r="M2431" s="133">
        <f>IFERROR(__xludf.DUMMYFUNCTION("""COMPUTED_VALUE"""),17.0)</f>
        <v>17</v>
      </c>
      <c r="N2431" s="152" t="str">
        <f>IFERROR(__xludf.DUMMYFUNCTION("""COMPUTED_VALUE"""),"Model 3 LR")</f>
        <v>Model 3 LR</v>
      </c>
      <c r="O2431" s="152" t="str">
        <f>IFERROR(__xludf.DUMMYFUNCTION("""COMPUTED_VALUE"""),"Obsidian Black Metallic")</f>
        <v>Obsidian Black Metallic</v>
      </c>
      <c r="P2431" s="153" t="str">
        <f>IFERROR(__xludf.DUMMYFUNCTION("""COMPUTED_VALUE"""),"19 inch Sport")</f>
        <v>19 inch Sport</v>
      </c>
      <c r="Q2431" s="152" t="str">
        <f>IFERROR(__xludf.DUMMYFUNCTION("""COMPUTED_VALUE"""),"Black seats")</f>
        <v>Black seats</v>
      </c>
      <c r="R2431" s="149" t="str">
        <f>IFERROR(__xludf.DUMMYFUNCTION("""COMPUTED_VALUE"""),"Full Self-Driving")</f>
        <v>Full Self-Driving</v>
      </c>
      <c r="S2431" s="149"/>
      <c r="T2431" s="145"/>
      <c r="U2431" s="145"/>
      <c r="V2431" s="145"/>
      <c r="W2431" s="136"/>
      <c r="X2431" s="137" t="str">
        <f>IFERROR(__xludf.DUMMYFUNCTION("""COMPUTED_VALUE"""),"Excellent")</f>
        <v>Excellent</v>
      </c>
      <c r="Y2431" s="138" t="str">
        <f>IFERROR(__xludf.DUMMYFUNCTION("""COMPUTED_VALUE"""),"Excellent")</f>
        <v>Excellent</v>
      </c>
      <c r="Z2431" s="138" t="str">
        <f>IFERROR(__xludf.DUMMYFUNCTION("""COMPUTED_VALUE"""),"Excellent")</f>
        <v>Excellent</v>
      </c>
      <c r="AA2431" s="138" t="str">
        <f>IFERROR(__xludf.DUMMYFUNCTION("""COMPUTED_VALUE"""),"Excellent")</f>
        <v>Excellent</v>
      </c>
      <c r="AB2431" s="138" t="str">
        <f>IFERROR(__xludf.DUMMYFUNCTION("""COMPUTED_VALUE"""),"Excellent")</f>
        <v>Excellent</v>
      </c>
      <c r="AC2431" s="139">
        <f>IFERROR(__xludf.DUMMYFUNCTION("""COMPUTED_VALUE"""),1.0)</f>
        <v>1</v>
      </c>
      <c r="AD2431" s="139"/>
      <c r="AE2431" s="139"/>
      <c r="AF2431" s="140"/>
      <c r="AG2431" s="136" t="str">
        <f>IFERROR(__xludf.DUMMYFUNCTION("""COMPUTED_VALUE"""),"Came with Aero wheels - got Due Bill to install 19"" Sport")</f>
        <v>Came with Aero wheels - got Due Bill to install 19" Sport</v>
      </c>
      <c r="AH2431" s="157">
        <f>IFERROR(__xludf.DUMMYFUNCTION("""COMPUTED_VALUE"""),43358.43105518518)</f>
        <v>43358.43106</v>
      </c>
      <c r="AI2431" s="138"/>
      <c r="AJ2431" s="138"/>
      <c r="AK2431" s="138"/>
      <c r="AL2431" s="142"/>
    </row>
    <row r="2432" ht="20.25" customHeight="1">
      <c r="A2432" s="155" t="str">
        <f>IFERROR(__xludf.DUMMYFUNCTION("""COMPUTED_VALUE"""),"invalid")</f>
        <v>invalid</v>
      </c>
      <c r="B2432" s="149"/>
      <c r="C2432" s="149" t="str">
        <f>IFERROR(__xludf.DUMMYFUNCTION("""COMPUTED_VALUE"""),"CA")</f>
        <v>CA</v>
      </c>
      <c r="D2432" s="149" t="str">
        <f>IFERROR(__xludf.DUMMYFUNCTION("""COMPUTED_VALUE"""),"USA")</f>
        <v>USA</v>
      </c>
      <c r="E2432" s="156">
        <f>IFERROR(__xludf.DUMMYFUNCTION("""COMPUTED_VALUE"""),43336.0)</f>
        <v>43336</v>
      </c>
      <c r="F2432" s="129">
        <f>IFERROR(__xludf.DUMMYFUNCTION("""COMPUTED_VALUE"""),43349.0)</f>
        <v>43349</v>
      </c>
      <c r="G2432" s="154"/>
      <c r="H2432" s="131">
        <f>IFERROR(__xludf.DUMMYFUNCTION("""COMPUTED_VALUE"""),84155.0)</f>
        <v>84155</v>
      </c>
      <c r="I2432" s="144" t="str">
        <f>IFERROR(__xludf.DUMMYFUNCTION("""COMPUTED_VALUE"""),"08/18")</f>
        <v>08/18</v>
      </c>
      <c r="J2432" s="129">
        <f>IFERROR(__xludf.DUMMYFUNCTION("""COMPUTED_VALUE"""),43351.0)</f>
        <v>43351</v>
      </c>
      <c r="K2432" s="133">
        <f>IFERROR(__xludf.DUMMYFUNCTION("""COMPUTED_VALUE"""),13.0)</f>
        <v>13</v>
      </c>
      <c r="L2432" s="133">
        <f>IFERROR(__xludf.DUMMYFUNCTION("""COMPUTED_VALUE"""),2.0)</f>
        <v>2</v>
      </c>
      <c r="M2432" s="133">
        <f>IFERROR(__xludf.DUMMYFUNCTION("""COMPUTED_VALUE"""),15.0)</f>
        <v>15</v>
      </c>
      <c r="N2432" s="152" t="str">
        <f>IFERROR(__xludf.DUMMYFUNCTION("""COMPUTED_VALUE"""),"Model 3 Performance")</f>
        <v>Model 3 Performance</v>
      </c>
      <c r="O2432" s="152" t="str">
        <f>IFERROR(__xludf.DUMMYFUNCTION("""COMPUTED_VALUE"""),"Pearl White Multi-Coat")</f>
        <v>Pearl White Multi-Coat</v>
      </c>
      <c r="P2432" s="153" t="str">
        <f>IFERROR(__xludf.DUMMYFUNCTION("""COMPUTED_VALUE"""),"20 inch Sport")</f>
        <v>20 inch Sport</v>
      </c>
      <c r="Q2432" s="152" t="str">
        <f>IFERROR(__xludf.DUMMYFUNCTION("""COMPUTED_VALUE"""),"Black seats")</f>
        <v>Black seats</v>
      </c>
      <c r="R2432" s="149" t="str">
        <f>IFERROR(__xludf.DUMMYFUNCTION("""COMPUTED_VALUE"""),"Enhanced Autopilot")</f>
        <v>Enhanced Autopilot</v>
      </c>
      <c r="S2432" s="149"/>
      <c r="T2432" s="145"/>
      <c r="U2432" s="145"/>
      <c r="V2432" s="145"/>
      <c r="W2432" s="136"/>
      <c r="X2432" s="137" t="str">
        <f>IFERROR(__xludf.DUMMYFUNCTION("""COMPUTED_VALUE"""),"Very Good")</f>
        <v>Very Good</v>
      </c>
      <c r="Y2432" s="138" t="str">
        <f>IFERROR(__xludf.DUMMYFUNCTION("""COMPUTED_VALUE"""),"Very Good")</f>
        <v>Very Good</v>
      </c>
      <c r="Z2432" s="138" t="str">
        <f>IFERROR(__xludf.DUMMYFUNCTION("""COMPUTED_VALUE"""),"Excellent")</f>
        <v>Excellent</v>
      </c>
      <c r="AA2432" s="138" t="str">
        <f>IFERROR(__xludf.DUMMYFUNCTION("""COMPUTED_VALUE"""),"Good")</f>
        <v>Good</v>
      </c>
      <c r="AB2432" s="138" t="str">
        <f>IFERROR(__xludf.DUMMYFUNCTION("""COMPUTED_VALUE"""),"Good")</f>
        <v>Good</v>
      </c>
      <c r="AC2432" s="139"/>
      <c r="AD2432" s="139"/>
      <c r="AE2432" s="139"/>
      <c r="AF2432" s="140"/>
      <c r="AG2432" s="136"/>
      <c r="AH2432" s="157">
        <f>IFERROR(__xludf.DUMMYFUNCTION("""COMPUTED_VALUE"""),43353.45030738426)</f>
        <v>43353.45031</v>
      </c>
      <c r="AI2432" s="138"/>
      <c r="AJ2432" s="138"/>
      <c r="AK2432" s="138"/>
      <c r="AL2432" s="142"/>
    </row>
    <row r="2433" ht="20.25" customHeight="1">
      <c r="A2433" s="155" t="str">
        <f>IFERROR(__xludf.DUMMYFUNCTION("""COMPUTED_VALUE"""),"LABlues911")</f>
        <v>LABlues911</v>
      </c>
      <c r="B2433" s="149" t="str">
        <f>IFERROR(__xludf.DUMMYFUNCTION("""COMPUTED_VALUE"""),"Azusa")</f>
        <v>Azusa</v>
      </c>
      <c r="C2433" s="149" t="str">
        <f>IFERROR(__xludf.DUMMYFUNCTION("""COMPUTED_VALUE"""),"CA")</f>
        <v>CA</v>
      </c>
      <c r="D2433" s="149" t="str">
        <f>IFERROR(__xludf.DUMMYFUNCTION("""COMPUTED_VALUE"""),"USA")</f>
        <v>USA</v>
      </c>
      <c r="E2433" s="156">
        <f>IFERROR(__xludf.DUMMYFUNCTION("""COMPUTED_VALUE"""),43336.0)</f>
        <v>43336</v>
      </c>
      <c r="F2433" s="129">
        <f>IFERROR(__xludf.DUMMYFUNCTION("""COMPUTED_VALUE"""),43346.0)</f>
        <v>43346</v>
      </c>
      <c r="G2433" s="154"/>
      <c r="H2433" s="131">
        <f>IFERROR(__xludf.DUMMYFUNCTION("""COMPUTED_VALUE"""),89755.0)</f>
        <v>89755</v>
      </c>
      <c r="I2433" s="144" t="str">
        <f>IFERROR(__xludf.DUMMYFUNCTION("""COMPUTED_VALUE"""),"08/18")</f>
        <v>08/18</v>
      </c>
      <c r="J2433" s="129">
        <f>IFERROR(__xludf.DUMMYFUNCTION("""COMPUTED_VALUE"""),43361.0)</f>
        <v>43361</v>
      </c>
      <c r="K2433" s="133">
        <f>IFERROR(__xludf.DUMMYFUNCTION("""COMPUTED_VALUE"""),10.0)</f>
        <v>10</v>
      </c>
      <c r="L2433" s="133">
        <f>IFERROR(__xludf.DUMMYFUNCTION("""COMPUTED_VALUE"""),15.0)</f>
        <v>15</v>
      </c>
      <c r="M2433" s="133">
        <f>IFERROR(__xludf.DUMMYFUNCTION("""COMPUTED_VALUE"""),25.0)</f>
        <v>25</v>
      </c>
      <c r="N2433" s="152" t="str">
        <f>IFERROR(__xludf.DUMMYFUNCTION("""COMPUTED_VALUE"""),"Model 3 LR")</f>
        <v>Model 3 LR</v>
      </c>
      <c r="O2433" s="152" t="str">
        <f>IFERROR(__xludf.DUMMYFUNCTION("""COMPUTED_VALUE"""),"Deep Blue Metallic")</f>
        <v>Deep Blue Metallic</v>
      </c>
      <c r="P2433" s="153" t="str">
        <f>IFERROR(__xludf.DUMMYFUNCTION("""COMPUTED_VALUE"""),"18 inch Aero")</f>
        <v>18 inch Aero</v>
      </c>
      <c r="Q2433" s="152" t="str">
        <f>IFERROR(__xludf.DUMMYFUNCTION("""COMPUTED_VALUE"""),"Black seats")</f>
        <v>Black seats</v>
      </c>
      <c r="R2433" s="149" t="str">
        <f>IFERROR(__xludf.DUMMYFUNCTION("""COMPUTED_VALUE"""),"None")</f>
        <v>None</v>
      </c>
      <c r="S2433" s="149"/>
      <c r="T2433" s="145"/>
      <c r="U2433" s="145"/>
      <c r="V2433" s="145"/>
      <c r="W2433" s="136"/>
      <c r="X2433" s="137" t="str">
        <f>IFERROR(__xludf.DUMMYFUNCTION("""COMPUTED_VALUE"""),"Excellent")</f>
        <v>Excellent</v>
      </c>
      <c r="Y2433" s="138" t="str">
        <f>IFERROR(__xludf.DUMMYFUNCTION("""COMPUTED_VALUE"""),"Excellent")</f>
        <v>Excellent</v>
      </c>
      <c r="Z2433" s="138" t="str">
        <f>IFERROR(__xludf.DUMMYFUNCTION("""COMPUTED_VALUE"""),"Excellent")</f>
        <v>Excellent</v>
      </c>
      <c r="AA2433" s="138" t="str">
        <f>IFERROR(__xludf.DUMMYFUNCTION("""COMPUTED_VALUE"""),"Excellent")</f>
        <v>Excellent</v>
      </c>
      <c r="AB2433" s="138" t="str">
        <f>IFERROR(__xludf.DUMMYFUNCTION("""COMPUTED_VALUE"""),"Excellent")</f>
        <v>Excellent</v>
      </c>
      <c r="AC2433" s="139">
        <f>IFERROR(__xludf.DUMMYFUNCTION("""COMPUTED_VALUE"""),0.0)</f>
        <v>0</v>
      </c>
      <c r="AD2433" s="139">
        <f>IFERROR(__xludf.DUMMYFUNCTION("""COMPUTED_VALUE"""),0.0)</f>
        <v>0</v>
      </c>
      <c r="AE2433" s="139">
        <f>IFERROR(__xludf.DUMMYFUNCTION("""COMPUTED_VALUE"""),0.0)</f>
        <v>0</v>
      </c>
      <c r="AF2433" s="140"/>
      <c r="AG2433" s="136"/>
      <c r="AH2433" s="157">
        <f>IFERROR(__xludf.DUMMYFUNCTION("""COMPUTED_VALUE"""),43417.685814687495)</f>
        <v>43417.68581</v>
      </c>
      <c r="AI2433" s="138"/>
      <c r="AJ2433" s="138"/>
      <c r="AK2433" s="138"/>
      <c r="AL2433" s="142"/>
    </row>
    <row r="2434" ht="20.25" customHeight="1">
      <c r="A2434" s="155" t="str">
        <f>IFERROR(__xludf.DUMMYFUNCTION("""COMPUTED_VALUE"""),"poorelephant")</f>
        <v>poorelephant</v>
      </c>
      <c r="B2434" s="149" t="str">
        <f>IFERROR(__xludf.DUMMYFUNCTION("""COMPUTED_VALUE"""),"West Orange")</f>
        <v>West Orange</v>
      </c>
      <c r="C2434" s="149" t="str">
        <f>IFERROR(__xludf.DUMMYFUNCTION("""COMPUTED_VALUE"""),"NJ")</f>
        <v>NJ</v>
      </c>
      <c r="D2434" s="149" t="str">
        <f>IFERROR(__xludf.DUMMYFUNCTION("""COMPUTED_VALUE"""),"USA")</f>
        <v>USA</v>
      </c>
      <c r="E2434" s="156">
        <f>IFERROR(__xludf.DUMMYFUNCTION("""COMPUTED_VALUE"""),43336.0)</f>
        <v>43336</v>
      </c>
      <c r="F2434" s="129">
        <f>IFERROR(__xludf.DUMMYFUNCTION("""COMPUTED_VALUE"""),43347.0)</f>
        <v>43347</v>
      </c>
      <c r="G2434" s="154"/>
      <c r="H2434" s="131">
        <f>IFERROR(__xludf.DUMMYFUNCTION("""COMPUTED_VALUE"""),25855.0)</f>
        <v>25855</v>
      </c>
      <c r="I2434" s="144" t="str">
        <f>IFERROR(__xludf.DUMMYFUNCTION("""COMPUTED_VALUE"""),"06/18")</f>
        <v>06/18</v>
      </c>
      <c r="J2434" s="129">
        <f>IFERROR(__xludf.DUMMYFUNCTION("""COMPUTED_VALUE"""),43349.0)</f>
        <v>43349</v>
      </c>
      <c r="K2434" s="133">
        <f>IFERROR(__xludf.DUMMYFUNCTION("""COMPUTED_VALUE"""),11.0)</f>
        <v>11</v>
      </c>
      <c r="L2434" s="133">
        <f>IFERROR(__xludf.DUMMYFUNCTION("""COMPUTED_VALUE"""),2.0)</f>
        <v>2</v>
      </c>
      <c r="M2434" s="133">
        <f>IFERROR(__xludf.DUMMYFUNCTION("""COMPUTED_VALUE"""),13.0)</f>
        <v>13</v>
      </c>
      <c r="N2434" s="152" t="str">
        <f>IFERROR(__xludf.DUMMYFUNCTION("""COMPUTED_VALUE"""),"Model 3 LR")</f>
        <v>Model 3 LR</v>
      </c>
      <c r="O2434" s="152" t="str">
        <f>IFERROR(__xludf.DUMMYFUNCTION("""COMPUTED_VALUE"""),"Midnight Silver Metallic")</f>
        <v>Midnight Silver Metallic</v>
      </c>
      <c r="P2434" s="153" t="str">
        <f>IFERROR(__xludf.DUMMYFUNCTION("""COMPUTED_VALUE"""),"18 inch Aero")</f>
        <v>18 inch Aero</v>
      </c>
      <c r="Q2434" s="152" t="str">
        <f>IFERROR(__xludf.DUMMYFUNCTION("""COMPUTED_VALUE"""),"Black seats")</f>
        <v>Black seats</v>
      </c>
      <c r="R2434" s="149" t="str">
        <f>IFERROR(__xludf.DUMMYFUNCTION("""COMPUTED_VALUE"""),"Enhanced Autopilot")</f>
        <v>Enhanced Autopilot</v>
      </c>
      <c r="S2434" s="149"/>
      <c r="T2434" s="145"/>
      <c r="U2434" s="145"/>
      <c r="V2434" s="145"/>
      <c r="W2434" s="136"/>
      <c r="X2434" s="137" t="str">
        <f>IFERROR(__xludf.DUMMYFUNCTION("""COMPUTED_VALUE"""),"Excellent")</f>
        <v>Excellent</v>
      </c>
      <c r="Y2434" s="138" t="str">
        <f>IFERROR(__xludf.DUMMYFUNCTION("""COMPUTED_VALUE"""),"Excellent")</f>
        <v>Excellent</v>
      </c>
      <c r="Z2434" s="138" t="str">
        <f>IFERROR(__xludf.DUMMYFUNCTION("""COMPUTED_VALUE"""),"Excellent")</f>
        <v>Excellent</v>
      </c>
      <c r="AA2434" s="138" t="str">
        <f>IFERROR(__xludf.DUMMYFUNCTION("""COMPUTED_VALUE"""),"Excellent")</f>
        <v>Excellent</v>
      </c>
      <c r="AB2434" s="138" t="str">
        <f>IFERROR(__xludf.DUMMYFUNCTION("""COMPUTED_VALUE"""),"Excellent")</f>
        <v>Excellent</v>
      </c>
      <c r="AC2434" s="139"/>
      <c r="AD2434" s="139"/>
      <c r="AE2434" s="139"/>
      <c r="AF2434" s="140"/>
      <c r="AG2434" s="136"/>
      <c r="AH2434" s="157">
        <f>IFERROR(__xludf.DUMMYFUNCTION("""COMPUTED_VALUE"""),43350.62288857639)</f>
        <v>43350.62289</v>
      </c>
      <c r="AI2434" s="138"/>
      <c r="AJ2434" s="138"/>
      <c r="AK2434" s="138"/>
      <c r="AL2434" s="142"/>
    </row>
    <row r="2435" ht="20.25" customHeight="1">
      <c r="A2435" s="155" t="str">
        <f>IFERROR(__xludf.DUMMYFUNCTION("""COMPUTED_VALUE"""),"Smoken")</f>
        <v>Smoken</v>
      </c>
      <c r="B2435" s="149" t="str">
        <f>IFERROR(__xludf.DUMMYFUNCTION("""COMPUTED_VALUE"""),"Destin")</f>
        <v>Destin</v>
      </c>
      <c r="C2435" s="149" t="str">
        <f>IFERROR(__xludf.DUMMYFUNCTION("""COMPUTED_VALUE"""),"FL")</f>
        <v>FL</v>
      </c>
      <c r="D2435" s="149" t="str">
        <f>IFERROR(__xludf.DUMMYFUNCTION("""COMPUTED_VALUE"""),"USA")</f>
        <v>USA</v>
      </c>
      <c r="E2435" s="156">
        <f>IFERROR(__xludf.DUMMYFUNCTION("""COMPUTED_VALUE"""),43336.0)</f>
        <v>43336</v>
      </c>
      <c r="F2435" s="129">
        <f>IFERROR(__xludf.DUMMYFUNCTION("""COMPUTED_VALUE"""),43351.0)</f>
        <v>43351</v>
      </c>
      <c r="G2435" s="154"/>
      <c r="H2435" s="131">
        <f>IFERROR(__xludf.DUMMYFUNCTION("""COMPUTED_VALUE"""),55255.0)</f>
        <v>55255</v>
      </c>
      <c r="I2435" s="144" t="str">
        <f>IFERROR(__xludf.DUMMYFUNCTION("""COMPUTED_VALUE"""),"07/18")</f>
        <v>07/18</v>
      </c>
      <c r="J2435" s="129">
        <f>IFERROR(__xludf.DUMMYFUNCTION("""COMPUTED_VALUE"""),43373.0)</f>
        <v>43373</v>
      </c>
      <c r="K2435" s="133">
        <f>IFERROR(__xludf.DUMMYFUNCTION("""COMPUTED_VALUE"""),15.0)</f>
        <v>15</v>
      </c>
      <c r="L2435" s="133">
        <f>IFERROR(__xludf.DUMMYFUNCTION("""COMPUTED_VALUE"""),22.0)</f>
        <v>22</v>
      </c>
      <c r="M2435" s="133">
        <f>IFERROR(__xludf.DUMMYFUNCTION("""COMPUTED_VALUE"""),37.0)</f>
        <v>37</v>
      </c>
      <c r="N2435" s="152" t="str">
        <f>IFERROR(__xludf.DUMMYFUNCTION("""COMPUTED_VALUE"""),"Model 3 Performance")</f>
        <v>Model 3 Performance</v>
      </c>
      <c r="O2435" s="152" t="str">
        <f>IFERROR(__xludf.DUMMYFUNCTION("""COMPUTED_VALUE"""),"Midnight Silver Metallic")</f>
        <v>Midnight Silver Metallic</v>
      </c>
      <c r="P2435" s="153" t="str">
        <f>IFERROR(__xludf.DUMMYFUNCTION("""COMPUTED_VALUE"""),"20 inch Sport")</f>
        <v>20 inch Sport</v>
      </c>
      <c r="Q2435" s="152" t="str">
        <f>IFERROR(__xludf.DUMMYFUNCTION("""COMPUTED_VALUE"""),"White seats")</f>
        <v>White seats</v>
      </c>
      <c r="R2435" s="149" t="str">
        <f>IFERROR(__xludf.DUMMYFUNCTION("""COMPUTED_VALUE"""),"Enhanced Autopilot")</f>
        <v>Enhanced Autopilot</v>
      </c>
      <c r="S2435" s="149"/>
      <c r="T2435" s="145"/>
      <c r="U2435" s="145"/>
      <c r="V2435" s="145"/>
      <c r="W2435" s="136"/>
      <c r="X2435" s="137" t="str">
        <f>IFERROR(__xludf.DUMMYFUNCTION("""COMPUTED_VALUE"""),"Excellent")</f>
        <v>Excellent</v>
      </c>
      <c r="Y2435" s="138" t="str">
        <f>IFERROR(__xludf.DUMMYFUNCTION("""COMPUTED_VALUE"""),"Excellent")</f>
        <v>Excellent</v>
      </c>
      <c r="Z2435" s="138" t="str">
        <f>IFERROR(__xludf.DUMMYFUNCTION("""COMPUTED_VALUE"""),"Excellent")</f>
        <v>Excellent</v>
      </c>
      <c r="AA2435" s="138" t="str">
        <f>IFERROR(__xludf.DUMMYFUNCTION("""COMPUTED_VALUE"""),"Poor")</f>
        <v>Poor</v>
      </c>
      <c r="AB2435" s="138" t="str">
        <f>IFERROR(__xludf.DUMMYFUNCTION("""COMPUTED_VALUE"""),"Fair")</f>
        <v>Fair</v>
      </c>
      <c r="AC2435" s="139">
        <f>IFERROR(__xludf.DUMMYFUNCTION("""COMPUTED_VALUE"""),0.0)</f>
        <v>0</v>
      </c>
      <c r="AD2435" s="139">
        <f>IFERROR(__xludf.DUMMYFUNCTION("""COMPUTED_VALUE"""),0.0)</f>
        <v>0</v>
      </c>
      <c r="AE2435" s="139">
        <f>IFERROR(__xludf.DUMMYFUNCTION("""COMPUTED_VALUE"""),0.0)</f>
        <v>0</v>
      </c>
      <c r="AF2435" s="140"/>
      <c r="AG2435" s="136"/>
      <c r="AH2435" s="157">
        <f>IFERROR(__xludf.DUMMYFUNCTION("""COMPUTED_VALUE"""),43389.73154097222)</f>
        <v>43389.73154</v>
      </c>
      <c r="AI2435" s="138"/>
      <c r="AJ2435" s="138"/>
      <c r="AK2435" s="138"/>
      <c r="AL2435" s="142"/>
    </row>
    <row r="2436" ht="20.25" customHeight="1">
      <c r="A2436" s="155" t="str">
        <f>IFERROR(__xludf.DUMMYFUNCTION("""COMPUTED_VALUE"""),"GRTesla")</f>
        <v>GRTesla</v>
      </c>
      <c r="B2436" s="149" t="str">
        <f>IFERROR(__xludf.DUMMYFUNCTION("""COMPUTED_VALUE"""),"Grand Rapids")</f>
        <v>Grand Rapids</v>
      </c>
      <c r="C2436" s="149" t="str">
        <f>IFERROR(__xludf.DUMMYFUNCTION("""COMPUTED_VALUE"""),"MI")</f>
        <v>MI</v>
      </c>
      <c r="D2436" s="149" t="str">
        <f>IFERROR(__xludf.DUMMYFUNCTION("""COMPUTED_VALUE"""),"USA")</f>
        <v>USA</v>
      </c>
      <c r="E2436" s="156">
        <f>IFERROR(__xludf.DUMMYFUNCTION("""COMPUTED_VALUE"""),43335.0)</f>
        <v>43335</v>
      </c>
      <c r="F2436" s="129">
        <f>IFERROR(__xludf.DUMMYFUNCTION("""COMPUTED_VALUE"""),43366.0)</f>
        <v>43366</v>
      </c>
      <c r="G2436" s="154"/>
      <c r="H2436" s="131">
        <f>IFERROR(__xludf.DUMMYFUNCTION("""COMPUTED_VALUE"""),103849.0)</f>
        <v>103849</v>
      </c>
      <c r="I2436" s="144" t="str">
        <f>IFERROR(__xludf.DUMMYFUNCTION("""COMPUTED_VALUE"""),"09/18")</f>
        <v>09/18</v>
      </c>
      <c r="J2436" s="129">
        <f>IFERROR(__xludf.DUMMYFUNCTION("""COMPUTED_VALUE"""),43369.0)</f>
        <v>43369</v>
      </c>
      <c r="K2436" s="133">
        <f>IFERROR(__xludf.DUMMYFUNCTION("""COMPUTED_VALUE"""),31.0)</f>
        <v>31</v>
      </c>
      <c r="L2436" s="133">
        <f>IFERROR(__xludf.DUMMYFUNCTION("""COMPUTED_VALUE"""),3.0)</f>
        <v>3</v>
      </c>
      <c r="M2436" s="133">
        <f>IFERROR(__xludf.DUMMYFUNCTION("""COMPUTED_VALUE"""),34.0)</f>
        <v>34</v>
      </c>
      <c r="N2436" s="152" t="str">
        <f>IFERROR(__xludf.DUMMYFUNCTION("""COMPUTED_VALUE"""),"Model 3 LR AWD")</f>
        <v>Model 3 LR AWD</v>
      </c>
      <c r="O2436" s="152" t="str">
        <f>IFERROR(__xludf.DUMMYFUNCTION("""COMPUTED_VALUE"""),"Midnight Silver Metallic")</f>
        <v>Midnight Silver Metallic</v>
      </c>
      <c r="P2436" s="153" t="str">
        <f>IFERROR(__xludf.DUMMYFUNCTION("""COMPUTED_VALUE"""),"18 inch Aero")</f>
        <v>18 inch Aero</v>
      </c>
      <c r="Q2436" s="152" t="str">
        <f>IFERROR(__xludf.DUMMYFUNCTION("""COMPUTED_VALUE"""),"Black seats")</f>
        <v>Black seats</v>
      </c>
      <c r="R2436" s="149" t="str">
        <f>IFERROR(__xludf.DUMMYFUNCTION("""COMPUTED_VALUE"""),"Enhanced Autopilot")</f>
        <v>Enhanced Autopilot</v>
      </c>
      <c r="S2436" s="149"/>
      <c r="T2436" s="145"/>
      <c r="U2436" s="145"/>
      <c r="V2436" s="145"/>
      <c r="W2436" s="136"/>
      <c r="X2436" s="137" t="str">
        <f>IFERROR(__xludf.DUMMYFUNCTION("""COMPUTED_VALUE"""),"Excellent")</f>
        <v>Excellent</v>
      </c>
      <c r="Y2436" s="138" t="str">
        <f>IFERROR(__xludf.DUMMYFUNCTION("""COMPUTED_VALUE"""),"Excellent")</f>
        <v>Excellent</v>
      </c>
      <c r="Z2436" s="138" t="str">
        <f>IFERROR(__xludf.DUMMYFUNCTION("""COMPUTED_VALUE"""),"Excellent")</f>
        <v>Excellent</v>
      </c>
      <c r="AA2436" s="138" t="str">
        <f>IFERROR(__xludf.DUMMYFUNCTION("""COMPUTED_VALUE"""),"Excellent")</f>
        <v>Excellent</v>
      </c>
      <c r="AB2436" s="138" t="str">
        <f>IFERROR(__xludf.DUMMYFUNCTION("""COMPUTED_VALUE"""),"Excellent")</f>
        <v>Excellent</v>
      </c>
      <c r="AC2436" s="139">
        <f>IFERROR(__xludf.DUMMYFUNCTION("""COMPUTED_VALUE"""),1.0)</f>
        <v>1</v>
      </c>
      <c r="AD2436" s="139"/>
      <c r="AE2436" s="139"/>
      <c r="AF2436" s="140"/>
      <c r="AG2436" s="136"/>
      <c r="AH2436" s="157">
        <f>IFERROR(__xludf.DUMMYFUNCTION("""COMPUTED_VALUE"""),43370.55132388889)</f>
        <v>43370.55132</v>
      </c>
      <c r="AI2436" s="138"/>
      <c r="AJ2436" s="138"/>
      <c r="AK2436" s="138"/>
      <c r="AL2436" s="142"/>
    </row>
    <row r="2437" ht="20.25" customHeight="1">
      <c r="A2437" s="155" t="str">
        <f>IFERROR(__xludf.DUMMYFUNCTION("""COMPUTED_VALUE"""),"Shanie")</f>
        <v>Shanie</v>
      </c>
      <c r="B2437" s="149"/>
      <c r="C2437" s="149" t="str">
        <f>IFERROR(__xludf.DUMMYFUNCTION("""COMPUTED_VALUE"""),"RI")</f>
        <v>RI</v>
      </c>
      <c r="D2437" s="149" t="str">
        <f>IFERROR(__xludf.DUMMYFUNCTION("""COMPUTED_VALUE"""),"USA")</f>
        <v>USA</v>
      </c>
      <c r="E2437" s="156">
        <f>IFERROR(__xludf.DUMMYFUNCTION("""COMPUTED_VALUE"""),43335.0)</f>
        <v>43335</v>
      </c>
      <c r="F2437" s="129">
        <f>IFERROR(__xludf.DUMMYFUNCTION("""COMPUTED_VALUE"""),43360.0)</f>
        <v>43360</v>
      </c>
      <c r="G2437" s="154"/>
      <c r="H2437" s="131">
        <f>IFERROR(__xludf.DUMMYFUNCTION("""COMPUTED_VALUE"""),64655.0)</f>
        <v>64655</v>
      </c>
      <c r="I2437" s="144"/>
      <c r="J2437" s="129">
        <f>IFERROR(__xludf.DUMMYFUNCTION("""COMPUTED_VALUE"""),43371.0)</f>
        <v>43371</v>
      </c>
      <c r="K2437" s="133">
        <f>IFERROR(__xludf.DUMMYFUNCTION("""COMPUTED_VALUE"""),25.0)</f>
        <v>25</v>
      </c>
      <c r="L2437" s="133">
        <f>IFERROR(__xludf.DUMMYFUNCTION("""COMPUTED_VALUE"""),11.0)</f>
        <v>11</v>
      </c>
      <c r="M2437" s="133">
        <f>IFERROR(__xludf.DUMMYFUNCTION("""COMPUTED_VALUE"""),36.0)</f>
        <v>36</v>
      </c>
      <c r="N2437" s="152" t="str">
        <f>IFERROR(__xludf.DUMMYFUNCTION("""COMPUTED_VALUE"""),"Model 3 LR AWD")</f>
        <v>Model 3 LR AWD</v>
      </c>
      <c r="O2437" s="152" t="str">
        <f>IFERROR(__xludf.DUMMYFUNCTION("""COMPUTED_VALUE"""),"Deep Blue Metallic")</f>
        <v>Deep Blue Metallic</v>
      </c>
      <c r="P2437" s="153" t="str">
        <f>IFERROR(__xludf.DUMMYFUNCTION("""COMPUTED_VALUE"""),"18 inch Aero")</f>
        <v>18 inch Aero</v>
      </c>
      <c r="Q2437" s="152" t="str">
        <f>IFERROR(__xludf.DUMMYFUNCTION("""COMPUTED_VALUE"""),"Black seats")</f>
        <v>Black seats</v>
      </c>
      <c r="R2437" s="149" t="str">
        <f>IFERROR(__xludf.DUMMYFUNCTION("""COMPUTED_VALUE"""),"Enhanced Autopilot")</f>
        <v>Enhanced Autopilot</v>
      </c>
      <c r="S2437" s="149"/>
      <c r="T2437" s="145"/>
      <c r="U2437" s="145"/>
      <c r="V2437" s="145"/>
      <c r="W2437" s="136"/>
      <c r="X2437" s="137" t="str">
        <f>IFERROR(__xludf.DUMMYFUNCTION("""COMPUTED_VALUE"""),"Very Good")</f>
        <v>Very Good</v>
      </c>
      <c r="Y2437" s="138" t="str">
        <f>IFERROR(__xludf.DUMMYFUNCTION("""COMPUTED_VALUE"""),"Excellent")</f>
        <v>Excellent</v>
      </c>
      <c r="Z2437" s="138" t="str">
        <f>IFERROR(__xludf.DUMMYFUNCTION("""COMPUTED_VALUE"""),"Excellent")</f>
        <v>Excellent</v>
      </c>
      <c r="AA2437" s="138" t="str">
        <f>IFERROR(__xludf.DUMMYFUNCTION("""COMPUTED_VALUE"""),"Poor")</f>
        <v>Poor</v>
      </c>
      <c r="AB2437" s="138" t="str">
        <f>IFERROR(__xludf.DUMMYFUNCTION("""COMPUTED_VALUE"""),"Fair")</f>
        <v>Fair</v>
      </c>
      <c r="AC2437" s="139">
        <f>IFERROR(__xludf.DUMMYFUNCTION("""COMPUTED_VALUE"""),2.0)</f>
        <v>2</v>
      </c>
      <c r="AD2437" s="139"/>
      <c r="AE2437" s="139"/>
      <c r="AF2437" s="140"/>
      <c r="AG2437" s="136" t="str">
        <f>IFERROR(__xludf.DUMMYFUNCTION("""COMPUTED_VALUE"""),"Delivery was late. Home Delivery. Communication was awful. Car is great.")</f>
        <v>Delivery was late. Home Delivery. Communication was awful. Car is great.</v>
      </c>
      <c r="AH2437" s="157">
        <f>IFERROR(__xludf.DUMMYFUNCTION("""COMPUTED_VALUE"""),43382.299616006945)</f>
        <v>43382.29962</v>
      </c>
      <c r="AI2437" s="138"/>
      <c r="AJ2437" s="138"/>
      <c r="AK2437" s="138"/>
      <c r="AL2437" s="142"/>
    </row>
    <row r="2438" ht="20.25" customHeight="1">
      <c r="A2438" s="155" t="str">
        <f>IFERROR(__xludf.DUMMYFUNCTION("""COMPUTED_VALUE"""),"Thx44")</f>
        <v>Thx44</v>
      </c>
      <c r="B2438" s="149" t="str">
        <f>IFERROR(__xludf.DUMMYFUNCTION("""COMPUTED_VALUE"""),"Phoenixville, PA")</f>
        <v>Phoenixville, PA</v>
      </c>
      <c r="C2438" s="149" t="str">
        <f>IFERROR(__xludf.DUMMYFUNCTION("""COMPUTED_VALUE"""),"PA")</f>
        <v>PA</v>
      </c>
      <c r="D2438" s="149" t="str">
        <f>IFERROR(__xludf.DUMMYFUNCTION("""COMPUTED_VALUE"""),"USA")</f>
        <v>USA</v>
      </c>
      <c r="E2438" s="156">
        <f>IFERROR(__xludf.DUMMYFUNCTION("""COMPUTED_VALUE"""),43335.0)</f>
        <v>43335</v>
      </c>
      <c r="F2438" s="129">
        <f>IFERROR(__xludf.DUMMYFUNCTION("""COMPUTED_VALUE"""),43339.0)</f>
        <v>43339</v>
      </c>
      <c r="G2438" s="154"/>
      <c r="H2438" s="131">
        <f>IFERROR(__xludf.DUMMYFUNCTION("""COMPUTED_VALUE"""),77455.0)</f>
        <v>77455</v>
      </c>
      <c r="I2438" s="144" t="str">
        <f>IFERROR(__xludf.DUMMYFUNCTION("""COMPUTED_VALUE"""),"08/18")</f>
        <v>08/18</v>
      </c>
      <c r="J2438" s="129">
        <f>IFERROR(__xludf.DUMMYFUNCTION("""COMPUTED_VALUE"""),43358.0)</f>
        <v>43358</v>
      </c>
      <c r="K2438" s="133">
        <f>IFERROR(__xludf.DUMMYFUNCTION("""COMPUTED_VALUE"""),4.0)</f>
        <v>4</v>
      </c>
      <c r="L2438" s="133">
        <f>IFERROR(__xludf.DUMMYFUNCTION("""COMPUTED_VALUE"""),19.0)</f>
        <v>19</v>
      </c>
      <c r="M2438" s="133">
        <f>IFERROR(__xludf.DUMMYFUNCTION("""COMPUTED_VALUE"""),23.0)</f>
        <v>23</v>
      </c>
      <c r="N2438" s="152" t="str">
        <f>IFERROR(__xludf.DUMMYFUNCTION("""COMPUTED_VALUE"""),"Model 3 LR")</f>
        <v>Model 3 LR</v>
      </c>
      <c r="O2438" s="152" t="str">
        <f>IFERROR(__xludf.DUMMYFUNCTION("""COMPUTED_VALUE"""),"Midnight Silver Metallic")</f>
        <v>Midnight Silver Metallic</v>
      </c>
      <c r="P2438" s="153" t="str">
        <f>IFERROR(__xludf.DUMMYFUNCTION("""COMPUTED_VALUE"""),"18 inch Aero")</f>
        <v>18 inch Aero</v>
      </c>
      <c r="Q2438" s="152" t="str">
        <f>IFERROR(__xludf.DUMMYFUNCTION("""COMPUTED_VALUE"""),"Black seats")</f>
        <v>Black seats</v>
      </c>
      <c r="R2438" s="149" t="str">
        <f>IFERROR(__xludf.DUMMYFUNCTION("""COMPUTED_VALUE"""),"None")</f>
        <v>None</v>
      </c>
      <c r="S2438" s="149"/>
      <c r="T2438" s="145"/>
      <c r="U2438" s="145"/>
      <c r="V2438" s="145"/>
      <c r="W2438" s="136"/>
      <c r="X2438" s="137" t="str">
        <f>IFERROR(__xludf.DUMMYFUNCTION("""COMPUTED_VALUE"""),"Excellent")</f>
        <v>Excellent</v>
      </c>
      <c r="Y2438" s="138" t="str">
        <f>IFERROR(__xludf.DUMMYFUNCTION("""COMPUTED_VALUE"""),"Excellent")</f>
        <v>Excellent</v>
      </c>
      <c r="Z2438" s="138" t="str">
        <f>IFERROR(__xludf.DUMMYFUNCTION("""COMPUTED_VALUE"""),"Excellent")</f>
        <v>Excellent</v>
      </c>
      <c r="AA2438" s="138" t="str">
        <f>IFERROR(__xludf.DUMMYFUNCTION("""COMPUTED_VALUE"""),"Good")</f>
        <v>Good</v>
      </c>
      <c r="AB2438" s="138" t="str">
        <f>IFERROR(__xludf.DUMMYFUNCTION("""COMPUTED_VALUE"""),"Excellent")</f>
        <v>Excellent</v>
      </c>
      <c r="AC2438" s="139"/>
      <c r="AD2438" s="139"/>
      <c r="AE2438" s="139"/>
      <c r="AF2438" s="140"/>
      <c r="AG2438" s="136"/>
      <c r="AH2438" s="157">
        <f>IFERROR(__xludf.DUMMYFUNCTION("""COMPUTED_VALUE"""),43362.517909988426)</f>
        <v>43362.51791</v>
      </c>
      <c r="AI2438" s="138"/>
      <c r="AJ2438" s="138"/>
      <c r="AK2438" s="138"/>
      <c r="AL2438" s="142"/>
    </row>
    <row r="2439" ht="20.25" customHeight="1">
      <c r="A2439" s="155" t="str">
        <f>IFERROR(__xludf.DUMMYFUNCTION("""COMPUTED_VALUE"""),"jester2114")</f>
        <v>jester2114</v>
      </c>
      <c r="B2439" s="149" t="str">
        <f>IFERROR(__xludf.DUMMYFUNCTION("""COMPUTED_VALUE"""),"Santa Clarita")</f>
        <v>Santa Clarita</v>
      </c>
      <c r="C2439" s="149" t="str">
        <f>IFERROR(__xludf.DUMMYFUNCTION("""COMPUTED_VALUE"""),"CA")</f>
        <v>CA</v>
      </c>
      <c r="D2439" s="149" t="str">
        <f>IFERROR(__xludf.DUMMYFUNCTION("""COMPUTED_VALUE"""),"USA")</f>
        <v>USA</v>
      </c>
      <c r="E2439" s="156">
        <f>IFERROR(__xludf.DUMMYFUNCTION("""COMPUTED_VALUE"""),43334.0)</f>
        <v>43334</v>
      </c>
      <c r="F2439" s="129"/>
      <c r="G2439" s="154"/>
      <c r="H2439" s="131">
        <f>IFERROR(__xludf.DUMMYFUNCTION("""COMPUTED_VALUE"""),11155.0)</f>
        <v>11155</v>
      </c>
      <c r="I2439" s="144"/>
      <c r="J2439" s="129">
        <f>IFERROR(__xludf.DUMMYFUNCTION("""COMPUTED_VALUE"""),43370.0)</f>
        <v>43370</v>
      </c>
      <c r="K2439" s="133"/>
      <c r="L2439" s="133"/>
      <c r="M2439" s="133">
        <f>IFERROR(__xludf.DUMMYFUNCTION("""COMPUTED_VALUE"""),36.0)</f>
        <v>36</v>
      </c>
      <c r="N2439" s="152" t="str">
        <f>IFERROR(__xludf.DUMMYFUNCTION("""COMPUTED_VALUE"""),"Model 3 LR AWD")</f>
        <v>Model 3 LR AWD</v>
      </c>
      <c r="O2439" s="152" t="str">
        <f>IFERROR(__xludf.DUMMYFUNCTION("""COMPUTED_VALUE"""),"Pearl White Multi-Coat")</f>
        <v>Pearl White Multi-Coat</v>
      </c>
      <c r="P2439" s="153" t="str">
        <f>IFERROR(__xludf.DUMMYFUNCTION("""COMPUTED_VALUE"""),"19 inch Sport")</f>
        <v>19 inch Sport</v>
      </c>
      <c r="Q2439" s="152" t="str">
        <f>IFERROR(__xludf.DUMMYFUNCTION("""COMPUTED_VALUE"""),"Black seats")</f>
        <v>Black seats</v>
      </c>
      <c r="R2439" s="149" t="str">
        <f>IFERROR(__xludf.DUMMYFUNCTION("""COMPUTED_VALUE"""),"Full Self-Driving")</f>
        <v>Full Self-Driving</v>
      </c>
      <c r="S2439" s="149"/>
      <c r="T2439" s="145"/>
      <c r="U2439" s="145"/>
      <c r="V2439" s="145"/>
      <c r="W2439" s="136"/>
      <c r="X2439" s="137" t="str">
        <f>IFERROR(__xludf.DUMMYFUNCTION("""COMPUTED_VALUE"""),"Excellent")</f>
        <v>Excellent</v>
      </c>
      <c r="Y2439" s="138" t="str">
        <f>IFERROR(__xludf.DUMMYFUNCTION("""COMPUTED_VALUE"""),"Excellent")</f>
        <v>Excellent</v>
      </c>
      <c r="Z2439" s="138" t="str">
        <f>IFERROR(__xludf.DUMMYFUNCTION("""COMPUTED_VALUE"""),"Excellent")</f>
        <v>Excellent</v>
      </c>
      <c r="AA2439" s="138" t="str">
        <f>IFERROR(__xludf.DUMMYFUNCTION("""COMPUTED_VALUE"""),"Excellent")</f>
        <v>Excellent</v>
      </c>
      <c r="AB2439" s="138" t="str">
        <f>IFERROR(__xludf.DUMMYFUNCTION("""COMPUTED_VALUE"""),"Very Good")</f>
        <v>Very Good</v>
      </c>
      <c r="AC2439" s="139">
        <f>IFERROR(__xludf.DUMMYFUNCTION("""COMPUTED_VALUE"""),0.0)</f>
        <v>0</v>
      </c>
      <c r="AD2439" s="139"/>
      <c r="AE2439" s="139"/>
      <c r="AF2439" s="140"/>
      <c r="AG2439" s="136"/>
      <c r="AH2439" s="157">
        <f>IFERROR(__xludf.DUMMYFUNCTION("""COMPUTED_VALUE"""),43370.599824467594)</f>
        <v>43370.59982</v>
      </c>
      <c r="AI2439" s="138"/>
      <c r="AJ2439" s="138"/>
      <c r="AK2439" s="138"/>
      <c r="AL2439" s="142"/>
    </row>
    <row r="2440" ht="20.25" customHeight="1">
      <c r="A2440" s="155" t="str">
        <f>IFERROR(__xludf.DUMMYFUNCTION("""COMPUTED_VALUE"""),"dwmurphy2")</f>
        <v>dwmurphy2</v>
      </c>
      <c r="B2440" s="149"/>
      <c r="C2440" s="149" t="str">
        <f>IFERROR(__xludf.DUMMYFUNCTION("""COMPUTED_VALUE"""),"OH")</f>
        <v>OH</v>
      </c>
      <c r="D2440" s="149" t="str">
        <f>IFERROR(__xludf.DUMMYFUNCTION("""COMPUTED_VALUE"""),"USA")</f>
        <v>USA</v>
      </c>
      <c r="E2440" s="156">
        <f>IFERROR(__xludf.DUMMYFUNCTION("""COMPUTED_VALUE"""),43333.0)</f>
        <v>43333</v>
      </c>
      <c r="F2440" s="129">
        <f>IFERROR(__xludf.DUMMYFUNCTION("""COMPUTED_VALUE"""),43364.0)</f>
        <v>43364</v>
      </c>
      <c r="G2440" s="154"/>
      <c r="H2440" s="131">
        <f>IFERROR(__xludf.DUMMYFUNCTION("""COMPUTED_VALUE"""),67191.0)</f>
        <v>67191</v>
      </c>
      <c r="I2440" s="144"/>
      <c r="J2440" s="129">
        <f>IFERROR(__xludf.DUMMYFUNCTION("""COMPUTED_VALUE"""),43368.0)</f>
        <v>43368</v>
      </c>
      <c r="K2440" s="133">
        <f>IFERROR(__xludf.DUMMYFUNCTION("""COMPUTED_VALUE"""),31.0)</f>
        <v>31</v>
      </c>
      <c r="L2440" s="133">
        <f>IFERROR(__xludf.DUMMYFUNCTION("""COMPUTED_VALUE"""),4.0)</f>
        <v>4</v>
      </c>
      <c r="M2440" s="133">
        <f>IFERROR(__xludf.DUMMYFUNCTION("""COMPUTED_VALUE"""),35.0)</f>
        <v>35</v>
      </c>
      <c r="N2440" s="152" t="str">
        <f>IFERROR(__xludf.DUMMYFUNCTION("""COMPUTED_VALUE"""),"Model 3 LR AWD")</f>
        <v>Model 3 LR AWD</v>
      </c>
      <c r="O2440" s="152" t="str">
        <f>IFERROR(__xludf.DUMMYFUNCTION("""COMPUTED_VALUE"""),"Pearl White Multi-Coat")</f>
        <v>Pearl White Multi-Coat</v>
      </c>
      <c r="P2440" s="153" t="str">
        <f>IFERROR(__xludf.DUMMYFUNCTION("""COMPUTED_VALUE"""),"18 inch Aero")</f>
        <v>18 inch Aero</v>
      </c>
      <c r="Q2440" s="152" t="str">
        <f>IFERROR(__xludf.DUMMYFUNCTION("""COMPUTED_VALUE"""),"Black seats")</f>
        <v>Black seats</v>
      </c>
      <c r="R2440" s="149" t="str">
        <f>IFERROR(__xludf.DUMMYFUNCTION("""COMPUTED_VALUE"""),"Enhanced Autopilot")</f>
        <v>Enhanced Autopilot</v>
      </c>
      <c r="S2440" s="149"/>
      <c r="T2440" s="145"/>
      <c r="U2440" s="145"/>
      <c r="V2440" s="145"/>
      <c r="W2440" s="136"/>
      <c r="X2440" s="137" t="str">
        <f>IFERROR(__xludf.DUMMYFUNCTION("""COMPUTED_VALUE"""),"Very Good")</f>
        <v>Very Good</v>
      </c>
      <c r="Y2440" s="138" t="str">
        <f>IFERROR(__xludf.DUMMYFUNCTION("""COMPUTED_VALUE"""),"Excellent")</f>
        <v>Excellent</v>
      </c>
      <c r="Z2440" s="138" t="str">
        <f>IFERROR(__xludf.DUMMYFUNCTION("""COMPUTED_VALUE"""),"Excellent")</f>
        <v>Excellent</v>
      </c>
      <c r="AA2440" s="138" t="str">
        <f>IFERROR(__xludf.DUMMYFUNCTION("""COMPUTED_VALUE"""),"Very Good")</f>
        <v>Very Good</v>
      </c>
      <c r="AB2440" s="138" t="str">
        <f>IFERROR(__xludf.DUMMYFUNCTION("""COMPUTED_VALUE"""),"Very Good")</f>
        <v>Very Good</v>
      </c>
      <c r="AC2440" s="139"/>
      <c r="AD2440" s="139"/>
      <c r="AE2440" s="139"/>
      <c r="AF2440" s="140"/>
      <c r="AG2440" s="136"/>
      <c r="AH2440" s="157">
        <f>IFERROR(__xludf.DUMMYFUNCTION("""COMPUTED_VALUE"""),43372.78866853009)</f>
        <v>43372.78867</v>
      </c>
      <c r="AI2440" s="138"/>
      <c r="AJ2440" s="138"/>
      <c r="AK2440" s="138"/>
      <c r="AL2440" s="142"/>
    </row>
    <row r="2441" ht="20.25" customHeight="1">
      <c r="A2441" s="155" t="str">
        <f>IFERROR(__xludf.DUMMYFUNCTION("""COMPUTED_VALUE"""),"ffwdtime")</f>
        <v>ffwdtime</v>
      </c>
      <c r="B2441" s="149" t="str">
        <f>IFERROR(__xludf.DUMMYFUNCTION("""COMPUTED_VALUE"""),"Portland")</f>
        <v>Portland</v>
      </c>
      <c r="C2441" s="149" t="str">
        <f>IFERROR(__xludf.DUMMYFUNCTION("""COMPUTED_VALUE"""),"OR")</f>
        <v>OR</v>
      </c>
      <c r="D2441" s="149" t="str">
        <f>IFERROR(__xludf.DUMMYFUNCTION("""COMPUTED_VALUE"""),"USA")</f>
        <v>USA</v>
      </c>
      <c r="E2441" s="156">
        <f>IFERROR(__xludf.DUMMYFUNCTION("""COMPUTED_VALUE"""),43333.0)</f>
        <v>43333</v>
      </c>
      <c r="F2441" s="129">
        <f>IFERROR(__xludf.DUMMYFUNCTION("""COMPUTED_VALUE"""),43344.0)</f>
        <v>43344</v>
      </c>
      <c r="G2441" s="154"/>
      <c r="H2441" s="131">
        <f>IFERROR(__xludf.DUMMYFUNCTION("""COMPUTED_VALUE"""),59155.0)</f>
        <v>59155</v>
      </c>
      <c r="I2441" s="144" t="str">
        <f>IFERROR(__xludf.DUMMYFUNCTION("""COMPUTED_VALUE"""),"07/18")</f>
        <v>07/18</v>
      </c>
      <c r="J2441" s="129">
        <f>IFERROR(__xludf.DUMMYFUNCTION("""COMPUTED_VALUE"""),43350.0)</f>
        <v>43350</v>
      </c>
      <c r="K2441" s="133">
        <f>IFERROR(__xludf.DUMMYFUNCTION("""COMPUTED_VALUE"""),11.0)</f>
        <v>11</v>
      </c>
      <c r="L2441" s="133">
        <f>IFERROR(__xludf.DUMMYFUNCTION("""COMPUTED_VALUE"""),6.0)</f>
        <v>6</v>
      </c>
      <c r="M2441" s="133">
        <f>IFERROR(__xludf.DUMMYFUNCTION("""COMPUTED_VALUE"""),17.0)</f>
        <v>17</v>
      </c>
      <c r="N2441" s="152" t="str">
        <f>IFERROR(__xludf.DUMMYFUNCTION("""COMPUTED_VALUE"""),"Model 3 LR")</f>
        <v>Model 3 LR</v>
      </c>
      <c r="O2441" s="152" t="str">
        <f>IFERROR(__xludf.DUMMYFUNCTION("""COMPUTED_VALUE"""),"Midnight Silver Metallic")</f>
        <v>Midnight Silver Metallic</v>
      </c>
      <c r="P2441" s="153" t="str">
        <f>IFERROR(__xludf.DUMMYFUNCTION("""COMPUTED_VALUE"""),"18 inch Aero")</f>
        <v>18 inch Aero</v>
      </c>
      <c r="Q2441" s="152" t="str">
        <f>IFERROR(__xludf.DUMMYFUNCTION("""COMPUTED_VALUE"""),"Black seats")</f>
        <v>Black seats</v>
      </c>
      <c r="R2441" s="149" t="str">
        <f>IFERROR(__xludf.DUMMYFUNCTION("""COMPUTED_VALUE"""),"None")</f>
        <v>None</v>
      </c>
      <c r="S2441" s="149"/>
      <c r="T2441" s="145"/>
      <c r="U2441" s="145"/>
      <c r="V2441" s="145"/>
      <c r="W2441" s="136"/>
      <c r="X2441" s="137" t="str">
        <f>IFERROR(__xludf.DUMMYFUNCTION("""COMPUTED_VALUE"""),"Excellent")</f>
        <v>Excellent</v>
      </c>
      <c r="Y2441" s="138" t="str">
        <f>IFERROR(__xludf.DUMMYFUNCTION("""COMPUTED_VALUE"""),"Excellent")</f>
        <v>Excellent</v>
      </c>
      <c r="Z2441" s="138" t="str">
        <f>IFERROR(__xludf.DUMMYFUNCTION("""COMPUTED_VALUE"""),"Excellent")</f>
        <v>Excellent</v>
      </c>
      <c r="AA2441" s="138" t="str">
        <f>IFERROR(__xludf.DUMMYFUNCTION("""COMPUTED_VALUE"""),"Excellent")</f>
        <v>Excellent</v>
      </c>
      <c r="AB2441" s="138" t="str">
        <f>IFERROR(__xludf.DUMMYFUNCTION("""COMPUTED_VALUE"""),"Excellent")</f>
        <v>Excellent</v>
      </c>
      <c r="AC2441" s="139"/>
      <c r="AD2441" s="139"/>
      <c r="AE2441" s="139"/>
      <c r="AF2441" s="140"/>
      <c r="AG2441" s="136"/>
      <c r="AH2441" s="157">
        <f>IFERROR(__xludf.DUMMYFUNCTION("""COMPUTED_VALUE"""),43353.26232795139)</f>
        <v>43353.26233</v>
      </c>
      <c r="AI2441" s="138"/>
      <c r="AJ2441" s="138"/>
      <c r="AK2441" s="138"/>
      <c r="AL2441" s="142"/>
    </row>
    <row r="2442" ht="20.25" customHeight="1">
      <c r="A2442" s="155" t="str">
        <f>IFERROR(__xludf.DUMMYFUNCTION("""COMPUTED_VALUE"""),"blckholehorizon")</f>
        <v>blckholehorizon</v>
      </c>
      <c r="B2442" s="149" t="str">
        <f>IFERROR(__xludf.DUMMYFUNCTION("""COMPUTED_VALUE"""),"Chicago")</f>
        <v>Chicago</v>
      </c>
      <c r="C2442" s="149" t="str">
        <f>IFERROR(__xludf.DUMMYFUNCTION("""COMPUTED_VALUE"""),"IL")</f>
        <v>IL</v>
      </c>
      <c r="D2442" s="149" t="str">
        <f>IFERROR(__xludf.DUMMYFUNCTION("""COMPUTED_VALUE"""),"USA")</f>
        <v>USA</v>
      </c>
      <c r="E2442" s="156">
        <f>IFERROR(__xludf.DUMMYFUNCTION("""COMPUTED_VALUE"""),43332.0)</f>
        <v>43332</v>
      </c>
      <c r="F2442" s="129">
        <f>IFERROR(__xludf.DUMMYFUNCTION("""COMPUTED_VALUE"""),43339.0)</f>
        <v>43339</v>
      </c>
      <c r="G2442" s="154"/>
      <c r="H2442" s="131">
        <f>IFERROR(__xludf.DUMMYFUNCTION("""COMPUTED_VALUE"""),60155.0)</f>
        <v>60155</v>
      </c>
      <c r="I2442" s="144"/>
      <c r="J2442" s="129">
        <f>IFERROR(__xludf.DUMMYFUNCTION("""COMPUTED_VALUE"""),43355.0)</f>
        <v>43355</v>
      </c>
      <c r="K2442" s="133">
        <f>IFERROR(__xludf.DUMMYFUNCTION("""COMPUTED_VALUE"""),7.0)</f>
        <v>7</v>
      </c>
      <c r="L2442" s="133">
        <f>IFERROR(__xludf.DUMMYFUNCTION("""COMPUTED_VALUE"""),16.0)</f>
        <v>16</v>
      </c>
      <c r="M2442" s="133">
        <f>IFERROR(__xludf.DUMMYFUNCTION("""COMPUTED_VALUE"""),23.0)</f>
        <v>23</v>
      </c>
      <c r="N2442" s="152" t="str">
        <f>IFERROR(__xludf.DUMMYFUNCTION("""COMPUTED_VALUE"""),"Model 3 LR")</f>
        <v>Model 3 LR</v>
      </c>
      <c r="O2442" s="152" t="str">
        <f>IFERROR(__xludf.DUMMYFUNCTION("""COMPUTED_VALUE"""),"Deep Blue Metallic")</f>
        <v>Deep Blue Metallic</v>
      </c>
      <c r="P2442" s="153" t="str">
        <f>IFERROR(__xludf.DUMMYFUNCTION("""COMPUTED_VALUE"""),"19 inch Sport")</f>
        <v>19 inch Sport</v>
      </c>
      <c r="Q2442" s="152" t="str">
        <f>IFERROR(__xludf.DUMMYFUNCTION("""COMPUTED_VALUE"""),"Black seats")</f>
        <v>Black seats</v>
      </c>
      <c r="R2442" s="149" t="str">
        <f>IFERROR(__xludf.DUMMYFUNCTION("""COMPUTED_VALUE"""),"Enhanced Autopilot")</f>
        <v>Enhanced Autopilot</v>
      </c>
      <c r="S2442" s="149"/>
      <c r="T2442" s="145"/>
      <c r="U2442" s="145"/>
      <c r="V2442" s="145"/>
      <c r="W2442" s="136"/>
      <c r="X2442" s="137" t="str">
        <f>IFERROR(__xludf.DUMMYFUNCTION("""COMPUTED_VALUE"""),"Very Good")</f>
        <v>Very Good</v>
      </c>
      <c r="Y2442" s="138" t="str">
        <f>IFERROR(__xludf.DUMMYFUNCTION("""COMPUTED_VALUE"""),"Very Good")</f>
        <v>Very Good</v>
      </c>
      <c r="Z2442" s="138" t="str">
        <f>IFERROR(__xludf.DUMMYFUNCTION("""COMPUTED_VALUE"""),"Very Good")</f>
        <v>Very Good</v>
      </c>
      <c r="AA2442" s="138" t="str">
        <f>IFERROR(__xludf.DUMMYFUNCTION("""COMPUTED_VALUE"""),"Poor")</f>
        <v>Poor</v>
      </c>
      <c r="AB2442" s="138" t="str">
        <f>IFERROR(__xludf.DUMMYFUNCTION("""COMPUTED_VALUE"""),"Good")</f>
        <v>Good</v>
      </c>
      <c r="AC2442" s="139"/>
      <c r="AD2442" s="139"/>
      <c r="AE2442" s="139"/>
      <c r="AF2442" s="140"/>
      <c r="AG2442" s="136"/>
      <c r="AH2442" s="157">
        <f>IFERROR(__xludf.DUMMYFUNCTION("""COMPUTED_VALUE"""),43364.822941273145)</f>
        <v>43364.82294</v>
      </c>
      <c r="AI2442" s="138"/>
      <c r="AJ2442" s="138"/>
      <c r="AK2442" s="138"/>
      <c r="AL2442" s="142"/>
    </row>
    <row r="2443" ht="20.25" customHeight="1">
      <c r="A2443" s="155" t="str">
        <f>IFERROR(__xludf.DUMMYFUNCTION("""COMPUTED_VALUE"""),"drew")</f>
        <v>drew</v>
      </c>
      <c r="B2443" s="149" t="str">
        <f>IFERROR(__xludf.DUMMYFUNCTION("""COMPUTED_VALUE"""),"Corte Madera")</f>
        <v>Corte Madera</v>
      </c>
      <c r="C2443" s="149" t="str">
        <f>IFERROR(__xludf.DUMMYFUNCTION("""COMPUTED_VALUE"""),"CA")</f>
        <v>CA</v>
      </c>
      <c r="D2443" s="149" t="str">
        <f>IFERROR(__xludf.DUMMYFUNCTION("""COMPUTED_VALUE"""),"USA")</f>
        <v>USA</v>
      </c>
      <c r="E2443" s="156">
        <f>IFERROR(__xludf.DUMMYFUNCTION("""COMPUTED_VALUE"""),43332.0)</f>
        <v>43332</v>
      </c>
      <c r="F2443" s="129">
        <f>IFERROR(__xludf.DUMMYFUNCTION("""COMPUTED_VALUE"""),43369.0)</f>
        <v>43369</v>
      </c>
      <c r="G2443" s="154"/>
      <c r="H2443" s="131">
        <f>IFERROR(__xludf.DUMMYFUNCTION("""COMPUTED_VALUE"""),94672.0)</f>
        <v>94672</v>
      </c>
      <c r="I2443" s="144" t="str">
        <f>IFERROR(__xludf.DUMMYFUNCTION("""COMPUTED_VALUE"""),"09/18")</f>
        <v>09/18</v>
      </c>
      <c r="J2443" s="129">
        <f>IFERROR(__xludf.DUMMYFUNCTION("""COMPUTED_VALUE"""),43370.0)</f>
        <v>43370</v>
      </c>
      <c r="K2443" s="133">
        <f>IFERROR(__xludf.DUMMYFUNCTION("""COMPUTED_VALUE"""),37.0)</f>
        <v>37</v>
      </c>
      <c r="L2443" s="133">
        <f>IFERROR(__xludf.DUMMYFUNCTION("""COMPUTED_VALUE"""),1.0)</f>
        <v>1</v>
      </c>
      <c r="M2443" s="133">
        <f>IFERROR(__xludf.DUMMYFUNCTION("""COMPUTED_VALUE"""),38.0)</f>
        <v>38</v>
      </c>
      <c r="N2443" s="152" t="str">
        <f>IFERROR(__xludf.DUMMYFUNCTION("""COMPUTED_VALUE"""),"Model 3 LR AWD")</f>
        <v>Model 3 LR AWD</v>
      </c>
      <c r="O2443" s="152" t="str">
        <f>IFERROR(__xludf.DUMMYFUNCTION("""COMPUTED_VALUE"""),"Pearl White Multi-Coat")</f>
        <v>Pearl White Multi-Coat</v>
      </c>
      <c r="P2443" s="153" t="str">
        <f>IFERROR(__xludf.DUMMYFUNCTION("""COMPUTED_VALUE"""),"18 inch Aero")</f>
        <v>18 inch Aero</v>
      </c>
      <c r="Q2443" s="152" t="str">
        <f>IFERROR(__xludf.DUMMYFUNCTION("""COMPUTED_VALUE"""),"Black seats")</f>
        <v>Black seats</v>
      </c>
      <c r="R2443" s="149" t="str">
        <f>IFERROR(__xludf.DUMMYFUNCTION("""COMPUTED_VALUE"""),"Enhanced Autopilot")</f>
        <v>Enhanced Autopilot</v>
      </c>
      <c r="S2443" s="149"/>
      <c r="T2443" s="145"/>
      <c r="U2443" s="145"/>
      <c r="V2443" s="145"/>
      <c r="W2443" s="136"/>
      <c r="X2443" s="137" t="str">
        <f>IFERROR(__xludf.DUMMYFUNCTION("""COMPUTED_VALUE"""),"Excellent")</f>
        <v>Excellent</v>
      </c>
      <c r="Y2443" s="138" t="str">
        <f>IFERROR(__xludf.DUMMYFUNCTION("""COMPUTED_VALUE"""),"Excellent")</f>
        <v>Excellent</v>
      </c>
      <c r="Z2443" s="138" t="str">
        <f>IFERROR(__xludf.DUMMYFUNCTION("""COMPUTED_VALUE"""),"Excellent")</f>
        <v>Excellent</v>
      </c>
      <c r="AA2443" s="138" t="str">
        <f>IFERROR(__xludf.DUMMYFUNCTION("""COMPUTED_VALUE"""),"Very Good")</f>
        <v>Very Good</v>
      </c>
      <c r="AB2443" s="138" t="str">
        <f>IFERROR(__xludf.DUMMYFUNCTION("""COMPUTED_VALUE"""),"Very Good")</f>
        <v>Very Good</v>
      </c>
      <c r="AC2443" s="139">
        <f>IFERROR(__xludf.DUMMYFUNCTION("""COMPUTED_VALUE"""),0.0)</f>
        <v>0</v>
      </c>
      <c r="AD2443" s="139"/>
      <c r="AE2443" s="139"/>
      <c r="AF2443" s="140"/>
      <c r="AG2443" s="136"/>
      <c r="AH2443" s="157">
        <f>IFERROR(__xludf.DUMMYFUNCTION("""COMPUTED_VALUE"""),43373.34464797453)</f>
        <v>43373.34465</v>
      </c>
      <c r="AI2443" s="138"/>
      <c r="AJ2443" s="138"/>
      <c r="AK2443" s="138"/>
      <c r="AL2443" s="142"/>
    </row>
    <row r="2444" ht="20.25" customHeight="1">
      <c r="A2444" s="155" t="str">
        <f>IFERROR(__xludf.DUMMYFUNCTION("""COMPUTED_VALUE"""),"goingcoastal")</f>
        <v>goingcoastal</v>
      </c>
      <c r="B2444" s="149"/>
      <c r="C2444" s="149" t="str">
        <f>IFERROR(__xludf.DUMMYFUNCTION("""COMPUTED_VALUE"""),"CA")</f>
        <v>CA</v>
      </c>
      <c r="D2444" s="149" t="str">
        <f>IFERROR(__xludf.DUMMYFUNCTION("""COMPUTED_VALUE"""),"USA")</f>
        <v>USA</v>
      </c>
      <c r="E2444" s="156">
        <f>IFERROR(__xludf.DUMMYFUNCTION("""COMPUTED_VALUE"""),43332.0)</f>
        <v>43332</v>
      </c>
      <c r="F2444" s="129">
        <f>IFERROR(__xludf.DUMMYFUNCTION("""COMPUTED_VALUE"""),43366.0)</f>
        <v>43366</v>
      </c>
      <c r="G2444" s="154"/>
      <c r="H2444" s="131">
        <f>IFERROR(__xludf.DUMMYFUNCTION("""COMPUTED_VALUE"""),92455.0)</f>
        <v>92455</v>
      </c>
      <c r="I2444" s="144" t="str">
        <f>IFERROR(__xludf.DUMMYFUNCTION("""COMPUTED_VALUE"""),"09/18")</f>
        <v>09/18</v>
      </c>
      <c r="J2444" s="129">
        <f>IFERROR(__xludf.DUMMYFUNCTION("""COMPUTED_VALUE"""),43369.0)</f>
        <v>43369</v>
      </c>
      <c r="K2444" s="133">
        <f>IFERROR(__xludf.DUMMYFUNCTION("""COMPUTED_VALUE"""),34.0)</f>
        <v>34</v>
      </c>
      <c r="L2444" s="133">
        <f>IFERROR(__xludf.DUMMYFUNCTION("""COMPUTED_VALUE"""),3.0)</f>
        <v>3</v>
      </c>
      <c r="M2444" s="133">
        <f>IFERROR(__xludf.DUMMYFUNCTION("""COMPUTED_VALUE"""),37.0)</f>
        <v>37</v>
      </c>
      <c r="N2444" s="152" t="str">
        <f>IFERROR(__xludf.DUMMYFUNCTION("""COMPUTED_VALUE"""),"Model 3 Performance")</f>
        <v>Model 3 Performance</v>
      </c>
      <c r="O2444" s="152" t="str">
        <f>IFERROR(__xludf.DUMMYFUNCTION("""COMPUTED_VALUE"""),"Pearl White Multi-Coat")</f>
        <v>Pearl White Multi-Coat</v>
      </c>
      <c r="P2444" s="153" t="str">
        <f>IFERROR(__xludf.DUMMYFUNCTION("""COMPUTED_VALUE"""),"18 inch Aero")</f>
        <v>18 inch Aero</v>
      </c>
      <c r="Q2444" s="152" t="str">
        <f>IFERROR(__xludf.DUMMYFUNCTION("""COMPUTED_VALUE"""),"Black seats")</f>
        <v>Black seats</v>
      </c>
      <c r="R2444" s="149" t="str">
        <f>IFERROR(__xludf.DUMMYFUNCTION("""COMPUTED_VALUE"""),"Enhanced Autopilot")</f>
        <v>Enhanced Autopilot</v>
      </c>
      <c r="S2444" s="149"/>
      <c r="T2444" s="145"/>
      <c r="U2444" s="145"/>
      <c r="V2444" s="145"/>
      <c r="W2444" s="136"/>
      <c r="X2444" s="137" t="str">
        <f>IFERROR(__xludf.DUMMYFUNCTION("""COMPUTED_VALUE"""),"Very Good")</f>
        <v>Very Good</v>
      </c>
      <c r="Y2444" s="138" t="str">
        <f>IFERROR(__xludf.DUMMYFUNCTION("""COMPUTED_VALUE"""),"Excellent")</f>
        <v>Excellent</v>
      </c>
      <c r="Z2444" s="138" t="str">
        <f>IFERROR(__xludf.DUMMYFUNCTION("""COMPUTED_VALUE"""),"Very Good")</f>
        <v>Very Good</v>
      </c>
      <c r="AA2444" s="138" t="str">
        <f>IFERROR(__xludf.DUMMYFUNCTION("""COMPUTED_VALUE"""),"Good")</f>
        <v>Good</v>
      </c>
      <c r="AB2444" s="138" t="str">
        <f>IFERROR(__xludf.DUMMYFUNCTION("""COMPUTED_VALUE"""),"Very Good")</f>
        <v>Very Good</v>
      </c>
      <c r="AC2444" s="139"/>
      <c r="AD2444" s="139"/>
      <c r="AE2444" s="139"/>
      <c r="AF2444" s="140"/>
      <c r="AG2444" s="136"/>
      <c r="AH2444" s="157">
        <f>IFERROR(__xludf.DUMMYFUNCTION("""COMPUTED_VALUE"""),43370.58532212963)</f>
        <v>43370.58532</v>
      </c>
      <c r="AI2444" s="138"/>
      <c r="AJ2444" s="138"/>
      <c r="AK2444" s="138"/>
      <c r="AL2444" s="142"/>
    </row>
    <row r="2445" ht="20.25" customHeight="1">
      <c r="A2445" s="155" t="str">
        <f>IFERROR(__xludf.DUMMYFUNCTION("""COMPUTED_VALUE"""),"Teslagoat")</f>
        <v>Teslagoat</v>
      </c>
      <c r="B2445" s="149"/>
      <c r="C2445" s="149" t="str">
        <f>IFERROR(__xludf.DUMMYFUNCTION("""COMPUTED_VALUE"""),"FL")</f>
        <v>FL</v>
      </c>
      <c r="D2445" s="149" t="str">
        <f>IFERROR(__xludf.DUMMYFUNCTION("""COMPUTED_VALUE"""),"USA")</f>
        <v>USA</v>
      </c>
      <c r="E2445" s="156">
        <f>IFERROR(__xludf.DUMMYFUNCTION("""COMPUTED_VALUE"""),43332.0)</f>
        <v>43332</v>
      </c>
      <c r="F2445" s="129">
        <f>IFERROR(__xludf.DUMMYFUNCTION("""COMPUTED_VALUE"""),43342.0)</f>
        <v>43342</v>
      </c>
      <c r="G2445" s="154"/>
      <c r="H2445" s="131">
        <f>IFERROR(__xludf.DUMMYFUNCTION("""COMPUTED_VALUE"""),74595.0)</f>
        <v>74595</v>
      </c>
      <c r="I2445" s="144" t="str">
        <f>IFERROR(__xludf.DUMMYFUNCTION("""COMPUTED_VALUE"""),"08/18")</f>
        <v>08/18</v>
      </c>
      <c r="J2445" s="129">
        <f>IFERROR(__xludf.DUMMYFUNCTION("""COMPUTED_VALUE"""),43363.0)</f>
        <v>43363</v>
      </c>
      <c r="K2445" s="133">
        <f>IFERROR(__xludf.DUMMYFUNCTION("""COMPUTED_VALUE"""),10.0)</f>
        <v>10</v>
      </c>
      <c r="L2445" s="133">
        <f>IFERROR(__xludf.DUMMYFUNCTION("""COMPUTED_VALUE"""),21.0)</f>
        <v>21</v>
      </c>
      <c r="M2445" s="133">
        <f>IFERROR(__xludf.DUMMYFUNCTION("""COMPUTED_VALUE"""),31.0)</f>
        <v>31</v>
      </c>
      <c r="N2445" s="152" t="str">
        <f>IFERROR(__xludf.DUMMYFUNCTION("""COMPUTED_VALUE"""),"Model 3 Performance")</f>
        <v>Model 3 Performance</v>
      </c>
      <c r="O2445" s="152" t="str">
        <f>IFERROR(__xludf.DUMMYFUNCTION("""COMPUTED_VALUE"""),"Pearl White Multi-Coat")</f>
        <v>Pearl White Multi-Coat</v>
      </c>
      <c r="P2445" s="153" t="str">
        <f>IFERROR(__xludf.DUMMYFUNCTION("""COMPUTED_VALUE"""),"20 inch Sport")</f>
        <v>20 inch Sport</v>
      </c>
      <c r="Q2445" s="152" t="str">
        <f>IFERROR(__xludf.DUMMYFUNCTION("""COMPUTED_VALUE"""),"White seats")</f>
        <v>White seats</v>
      </c>
      <c r="R2445" s="149" t="str">
        <f>IFERROR(__xludf.DUMMYFUNCTION("""COMPUTED_VALUE"""),"Enhanced Autopilot")</f>
        <v>Enhanced Autopilot</v>
      </c>
      <c r="S2445" s="149"/>
      <c r="T2445" s="145"/>
      <c r="U2445" s="145"/>
      <c r="V2445" s="145"/>
      <c r="W2445" s="136"/>
      <c r="X2445" s="137" t="str">
        <f>IFERROR(__xludf.DUMMYFUNCTION("""COMPUTED_VALUE"""),"Poor")</f>
        <v>Poor</v>
      </c>
      <c r="Y2445" s="138" t="str">
        <f>IFERROR(__xludf.DUMMYFUNCTION("""COMPUTED_VALUE"""),"Excellent")</f>
        <v>Excellent</v>
      </c>
      <c r="Z2445" s="138" t="str">
        <f>IFERROR(__xludf.DUMMYFUNCTION("""COMPUTED_VALUE"""),"Fair")</f>
        <v>Fair</v>
      </c>
      <c r="AA2445" s="138" t="str">
        <f>IFERROR(__xludf.DUMMYFUNCTION("""COMPUTED_VALUE"""),"Fair")</f>
        <v>Fair</v>
      </c>
      <c r="AB2445" s="138" t="str">
        <f>IFERROR(__xludf.DUMMYFUNCTION("""COMPUTED_VALUE"""),"Fair")</f>
        <v>Fair</v>
      </c>
      <c r="AC2445" s="139">
        <f>IFERROR(__xludf.DUMMYFUNCTION("""COMPUTED_VALUE"""),3.0)</f>
        <v>3</v>
      </c>
      <c r="AD2445" s="139">
        <f>IFERROR(__xludf.DUMMYFUNCTION("""COMPUTED_VALUE"""),0.0)</f>
        <v>0</v>
      </c>
      <c r="AE2445" s="139"/>
      <c r="AF2445" s="140"/>
      <c r="AG2445" s="136" t="str">
        <f>IFERROR(__xludf.DUMMYFUNCTION("""COMPUTED_VALUE"""),"Bumper misaligned white color doesn't match the rest of the car color, fronk(hood misaligned), car had 17 miles on it. Notification of tire size change after leaving delivery center. Tesla has not called yet to offer adjustment or explinations of the extr"&amp;"a miles and or wheel size change indication.")</f>
        <v>Bumper misaligned white color doesn't match the rest of the car color, fronk(hood misaligned), car had 17 miles on it. Notification of tire size change after leaving delivery center. Tesla has not called yet to offer adjustment or explinations of the extra miles and or wheel size change indication.</v>
      </c>
      <c r="AH2445" s="157">
        <f>IFERROR(__xludf.DUMMYFUNCTION("""COMPUTED_VALUE"""),43365.857719328706)</f>
        <v>43365.85772</v>
      </c>
      <c r="AI2445" s="138"/>
      <c r="AJ2445" s="138"/>
      <c r="AK2445" s="138"/>
      <c r="AL2445" s="142"/>
    </row>
    <row r="2446" ht="20.25" customHeight="1">
      <c r="A2446" s="155" t="str">
        <f>IFERROR(__xludf.DUMMYFUNCTION("""COMPUTED_VALUE"""),"eric1856")</f>
        <v>eric1856</v>
      </c>
      <c r="B2446" s="149"/>
      <c r="C2446" s="149" t="str">
        <f>IFERROR(__xludf.DUMMYFUNCTION("""COMPUTED_VALUE"""),"ON")</f>
        <v>ON</v>
      </c>
      <c r="D2446" s="149" t="str">
        <f>IFERROR(__xludf.DUMMYFUNCTION("""COMPUTED_VALUE"""),"Canada")</f>
        <v>Canada</v>
      </c>
      <c r="E2446" s="156">
        <f>IFERROR(__xludf.DUMMYFUNCTION("""COMPUTED_VALUE"""),43331.0)</f>
        <v>43331</v>
      </c>
      <c r="F2446" s="129">
        <f>IFERROR(__xludf.DUMMYFUNCTION("""COMPUTED_VALUE"""),43344.0)</f>
        <v>43344</v>
      </c>
      <c r="G2446" s="154"/>
      <c r="H2446" s="131">
        <f>IFERROR(__xludf.DUMMYFUNCTION("""COMPUTED_VALUE"""),107955.0)</f>
        <v>107955</v>
      </c>
      <c r="I2446" s="144"/>
      <c r="J2446" s="129">
        <f>IFERROR(__xludf.DUMMYFUNCTION("""COMPUTED_VALUE"""),43363.0)</f>
        <v>43363</v>
      </c>
      <c r="K2446" s="133">
        <f>IFERROR(__xludf.DUMMYFUNCTION("""COMPUTED_VALUE"""),13.0)</f>
        <v>13</v>
      </c>
      <c r="L2446" s="133">
        <f>IFERROR(__xludf.DUMMYFUNCTION("""COMPUTED_VALUE"""),19.0)</f>
        <v>19</v>
      </c>
      <c r="M2446" s="133">
        <f>IFERROR(__xludf.DUMMYFUNCTION("""COMPUTED_VALUE"""),32.0)</f>
        <v>32</v>
      </c>
      <c r="N2446" s="152" t="str">
        <f>IFERROR(__xludf.DUMMYFUNCTION("""COMPUTED_VALUE"""),"Model 3 LR AWD")</f>
        <v>Model 3 LR AWD</v>
      </c>
      <c r="O2446" s="152" t="str">
        <f>IFERROR(__xludf.DUMMYFUNCTION("""COMPUTED_VALUE"""),"Midnight Silver Metallic")</f>
        <v>Midnight Silver Metallic</v>
      </c>
      <c r="P2446" s="153" t="str">
        <f>IFERROR(__xludf.DUMMYFUNCTION("""COMPUTED_VALUE"""),"19 inch Sport")</f>
        <v>19 inch Sport</v>
      </c>
      <c r="Q2446" s="152" t="str">
        <f>IFERROR(__xludf.DUMMYFUNCTION("""COMPUTED_VALUE"""),"White seats")</f>
        <v>White seats</v>
      </c>
      <c r="R2446" s="149" t="str">
        <f>IFERROR(__xludf.DUMMYFUNCTION("""COMPUTED_VALUE"""),"Full Self-Driving")</f>
        <v>Full Self-Driving</v>
      </c>
      <c r="S2446" s="149"/>
      <c r="T2446" s="145"/>
      <c r="U2446" s="145"/>
      <c r="V2446" s="145"/>
      <c r="W2446" s="136"/>
      <c r="X2446" s="137" t="str">
        <f>IFERROR(__xludf.DUMMYFUNCTION("""COMPUTED_VALUE"""),"Excellent")</f>
        <v>Excellent</v>
      </c>
      <c r="Y2446" s="138" t="str">
        <f>IFERROR(__xludf.DUMMYFUNCTION("""COMPUTED_VALUE"""),"Excellent")</f>
        <v>Excellent</v>
      </c>
      <c r="Z2446" s="138" t="str">
        <f>IFERROR(__xludf.DUMMYFUNCTION("""COMPUTED_VALUE"""),"Fair")</f>
        <v>Fair</v>
      </c>
      <c r="AA2446" s="138" t="str">
        <f>IFERROR(__xludf.DUMMYFUNCTION("""COMPUTED_VALUE"""),"Fair")</f>
        <v>Fair</v>
      </c>
      <c r="AB2446" s="138" t="str">
        <f>IFERROR(__xludf.DUMMYFUNCTION("""COMPUTED_VALUE"""),"Very Good")</f>
        <v>Very Good</v>
      </c>
      <c r="AC2446" s="139">
        <f>IFERROR(__xludf.DUMMYFUNCTION("""COMPUTED_VALUE"""),1.0)</f>
        <v>1</v>
      </c>
      <c r="AD2446" s="139"/>
      <c r="AE2446" s="139"/>
      <c r="AF2446" s="140"/>
      <c r="AG2446" s="136" t="str">
        <f>IFERROR(__xludf.DUMMYFUNCTION("""COMPUTED_VALUE"""),"Entire hood needing repainting due to defects")</f>
        <v>Entire hood needing repainting due to defects</v>
      </c>
      <c r="AH2446" s="157">
        <f>IFERROR(__xludf.DUMMYFUNCTION("""COMPUTED_VALUE"""),43364.41235165509)</f>
        <v>43364.41235</v>
      </c>
      <c r="AI2446" s="138"/>
      <c r="AJ2446" s="138"/>
      <c r="AK2446" s="138"/>
      <c r="AL2446" s="142"/>
    </row>
    <row r="2447" ht="20.25" customHeight="1">
      <c r="A2447" s="155" t="str">
        <f>IFERROR(__xludf.DUMMYFUNCTION("""COMPUTED_VALUE"""),"hucktheb")</f>
        <v>hucktheb</v>
      </c>
      <c r="B2447" s="149" t="str">
        <f>IFERROR(__xludf.DUMMYFUNCTION("""COMPUTED_VALUE"""),"Rochester")</f>
        <v>Rochester</v>
      </c>
      <c r="C2447" s="149" t="str">
        <f>IFERROR(__xludf.DUMMYFUNCTION("""COMPUTED_VALUE"""),"MN")</f>
        <v>MN</v>
      </c>
      <c r="D2447" s="149" t="str">
        <f>IFERROR(__xludf.DUMMYFUNCTION("""COMPUTED_VALUE"""),"USA")</f>
        <v>USA</v>
      </c>
      <c r="E2447" s="156">
        <f>IFERROR(__xludf.DUMMYFUNCTION("""COMPUTED_VALUE"""),43331.0)</f>
        <v>43331</v>
      </c>
      <c r="F2447" s="129">
        <f>IFERROR(__xludf.DUMMYFUNCTION("""COMPUTED_VALUE"""),43361.0)</f>
        <v>43361</v>
      </c>
      <c r="G2447" s="154"/>
      <c r="H2447" s="131">
        <f>IFERROR(__xludf.DUMMYFUNCTION("""COMPUTED_VALUE"""),103033.0)</f>
        <v>103033</v>
      </c>
      <c r="I2447" s="144" t="str">
        <f>IFERROR(__xludf.DUMMYFUNCTION("""COMPUTED_VALUE"""),"09/18")</f>
        <v>09/18</v>
      </c>
      <c r="J2447" s="129">
        <f>IFERROR(__xludf.DUMMYFUNCTION("""COMPUTED_VALUE"""),43372.0)</f>
        <v>43372</v>
      </c>
      <c r="K2447" s="133">
        <f>IFERROR(__xludf.DUMMYFUNCTION("""COMPUTED_VALUE"""),30.0)</f>
        <v>30</v>
      </c>
      <c r="L2447" s="133">
        <f>IFERROR(__xludf.DUMMYFUNCTION("""COMPUTED_VALUE"""),11.0)</f>
        <v>11</v>
      </c>
      <c r="M2447" s="133">
        <f>IFERROR(__xludf.DUMMYFUNCTION("""COMPUTED_VALUE"""),41.0)</f>
        <v>41</v>
      </c>
      <c r="N2447" s="152" t="str">
        <f>IFERROR(__xludf.DUMMYFUNCTION("""COMPUTED_VALUE"""),"Model 3 LR AWD")</f>
        <v>Model 3 LR AWD</v>
      </c>
      <c r="O2447" s="152" t="str">
        <f>IFERROR(__xludf.DUMMYFUNCTION("""COMPUTED_VALUE"""),"Solid Black")</f>
        <v>Solid Black</v>
      </c>
      <c r="P2447" s="153" t="str">
        <f>IFERROR(__xludf.DUMMYFUNCTION("""COMPUTED_VALUE"""),"18 inch Aero")</f>
        <v>18 inch Aero</v>
      </c>
      <c r="Q2447" s="152" t="str">
        <f>IFERROR(__xludf.DUMMYFUNCTION("""COMPUTED_VALUE"""),"Black seats")</f>
        <v>Black seats</v>
      </c>
      <c r="R2447" s="149" t="str">
        <f>IFERROR(__xludf.DUMMYFUNCTION("""COMPUTED_VALUE"""),"Full Self-Driving")</f>
        <v>Full Self-Driving</v>
      </c>
      <c r="S2447" s="149"/>
      <c r="T2447" s="145"/>
      <c r="U2447" s="145"/>
      <c r="V2447" s="145"/>
      <c r="W2447" s="136"/>
      <c r="X2447" s="137" t="str">
        <f>IFERROR(__xludf.DUMMYFUNCTION("""COMPUTED_VALUE"""),"Excellent")</f>
        <v>Excellent</v>
      </c>
      <c r="Y2447" s="138" t="str">
        <f>IFERROR(__xludf.DUMMYFUNCTION("""COMPUTED_VALUE"""),"Excellent")</f>
        <v>Excellent</v>
      </c>
      <c r="Z2447" s="138" t="str">
        <f>IFERROR(__xludf.DUMMYFUNCTION("""COMPUTED_VALUE"""),"Excellent")</f>
        <v>Excellent</v>
      </c>
      <c r="AA2447" s="138" t="str">
        <f>IFERROR(__xludf.DUMMYFUNCTION("""COMPUTED_VALUE"""),"Excellent")</f>
        <v>Excellent</v>
      </c>
      <c r="AB2447" s="138" t="str">
        <f>IFERROR(__xludf.DUMMYFUNCTION("""COMPUTED_VALUE"""),"Excellent")</f>
        <v>Excellent</v>
      </c>
      <c r="AC2447" s="139">
        <f>IFERROR(__xludf.DUMMYFUNCTION("""COMPUTED_VALUE"""),0.0)</f>
        <v>0</v>
      </c>
      <c r="AD2447" s="139">
        <f>IFERROR(__xludf.DUMMYFUNCTION("""COMPUTED_VALUE"""),0.0)</f>
        <v>0</v>
      </c>
      <c r="AE2447" s="139">
        <f>IFERROR(__xludf.DUMMYFUNCTION("""COMPUTED_VALUE"""),0.0)</f>
        <v>0</v>
      </c>
      <c r="AF2447" s="140"/>
      <c r="AG2447" s="136"/>
      <c r="AH2447" s="157">
        <f>IFERROR(__xludf.DUMMYFUNCTION("""COMPUTED_VALUE"""),43392.42870583333)</f>
        <v>43392.42871</v>
      </c>
      <c r="AI2447" s="138"/>
      <c r="AJ2447" s="138"/>
      <c r="AK2447" s="138"/>
      <c r="AL2447" s="142"/>
    </row>
    <row r="2448" ht="20.25" customHeight="1">
      <c r="A2448" s="155" t="str">
        <f>IFERROR(__xludf.DUMMYFUNCTION("""COMPUTED_VALUE"""),"jlquinn")</f>
        <v>jlquinn</v>
      </c>
      <c r="B2448" s="149" t="str">
        <f>IFERROR(__xludf.DUMMYFUNCTION("""COMPUTED_VALUE"""),"North Salem")</f>
        <v>North Salem</v>
      </c>
      <c r="C2448" s="149" t="str">
        <f>IFERROR(__xludf.DUMMYFUNCTION("""COMPUTED_VALUE"""),"NY")</f>
        <v>NY</v>
      </c>
      <c r="D2448" s="149" t="str">
        <f>IFERROR(__xludf.DUMMYFUNCTION("""COMPUTED_VALUE"""),"USA")</f>
        <v>USA</v>
      </c>
      <c r="E2448" s="156">
        <f>IFERROR(__xludf.DUMMYFUNCTION("""COMPUTED_VALUE"""),43331.0)</f>
        <v>43331</v>
      </c>
      <c r="F2448" s="129">
        <f>IFERROR(__xludf.DUMMYFUNCTION("""COMPUTED_VALUE"""),43358.0)</f>
        <v>43358</v>
      </c>
      <c r="G2448" s="154"/>
      <c r="H2448" s="131">
        <f>IFERROR(__xludf.DUMMYFUNCTION("""COMPUTED_VALUE"""),97755.0)</f>
        <v>97755</v>
      </c>
      <c r="I2448" s="144"/>
      <c r="J2448" s="129">
        <f>IFERROR(__xludf.DUMMYFUNCTION("""COMPUTED_VALUE"""),43367.0)</f>
        <v>43367</v>
      </c>
      <c r="K2448" s="133">
        <f>IFERROR(__xludf.DUMMYFUNCTION("""COMPUTED_VALUE"""),27.0)</f>
        <v>27</v>
      </c>
      <c r="L2448" s="133">
        <f>IFERROR(__xludf.DUMMYFUNCTION("""COMPUTED_VALUE"""),9.0)</f>
        <v>9</v>
      </c>
      <c r="M2448" s="133">
        <f>IFERROR(__xludf.DUMMYFUNCTION("""COMPUTED_VALUE"""),36.0)</f>
        <v>36</v>
      </c>
      <c r="N2448" s="152" t="str">
        <f>IFERROR(__xludf.DUMMYFUNCTION("""COMPUTED_VALUE"""),"Model 3 Performance")</f>
        <v>Model 3 Performance</v>
      </c>
      <c r="O2448" s="152" t="str">
        <f>IFERROR(__xludf.DUMMYFUNCTION("""COMPUTED_VALUE"""),"Deep Blue Metallic")</f>
        <v>Deep Blue Metallic</v>
      </c>
      <c r="P2448" s="153" t="str">
        <f>IFERROR(__xludf.DUMMYFUNCTION("""COMPUTED_VALUE"""),"18 inch Aero")</f>
        <v>18 inch Aero</v>
      </c>
      <c r="Q2448" s="152" t="str">
        <f>IFERROR(__xludf.DUMMYFUNCTION("""COMPUTED_VALUE"""),"White seats")</f>
        <v>White seats</v>
      </c>
      <c r="R2448" s="149" t="str">
        <f>IFERROR(__xludf.DUMMYFUNCTION("""COMPUTED_VALUE"""),"None")</f>
        <v>None</v>
      </c>
      <c r="S2448" s="149"/>
      <c r="T2448" s="145"/>
      <c r="U2448" s="145"/>
      <c r="V2448" s="145"/>
      <c r="W2448" s="136"/>
      <c r="X2448" s="137" t="str">
        <f>IFERROR(__xludf.DUMMYFUNCTION("""COMPUTED_VALUE"""),"Excellent")</f>
        <v>Excellent</v>
      </c>
      <c r="Y2448" s="138" t="str">
        <f>IFERROR(__xludf.DUMMYFUNCTION("""COMPUTED_VALUE"""),"Excellent")</f>
        <v>Excellent</v>
      </c>
      <c r="Z2448" s="138" t="str">
        <f>IFERROR(__xludf.DUMMYFUNCTION("""COMPUTED_VALUE"""),"Excellent")</f>
        <v>Excellent</v>
      </c>
      <c r="AA2448" s="138" t="str">
        <f>IFERROR(__xludf.DUMMYFUNCTION("""COMPUTED_VALUE"""),"Fair")</f>
        <v>Fair</v>
      </c>
      <c r="AB2448" s="138" t="str">
        <f>IFERROR(__xludf.DUMMYFUNCTION("""COMPUTED_VALUE"""),"Good")</f>
        <v>Good</v>
      </c>
      <c r="AC2448" s="139"/>
      <c r="AD2448" s="139"/>
      <c r="AE2448" s="139"/>
      <c r="AF2448" s="140"/>
      <c r="AG2448" s="136"/>
      <c r="AH2448" s="157">
        <f>IFERROR(__xludf.DUMMYFUNCTION("""COMPUTED_VALUE"""),43367.93407829861)</f>
        <v>43367.93408</v>
      </c>
      <c r="AI2448" s="138"/>
      <c r="AJ2448" s="138"/>
      <c r="AK2448" s="138"/>
      <c r="AL2448" s="142"/>
    </row>
    <row r="2449" ht="20.25" customHeight="1">
      <c r="A2449" s="155" t="str">
        <f>IFERROR(__xludf.DUMMYFUNCTION("""COMPUTED_VALUE"""),"notsnowflake")</f>
        <v>notsnowflake</v>
      </c>
      <c r="B2449" s="149"/>
      <c r="C2449" s="149" t="str">
        <f>IFERROR(__xludf.DUMMYFUNCTION("""COMPUTED_VALUE"""),"MD")</f>
        <v>MD</v>
      </c>
      <c r="D2449" s="149" t="str">
        <f>IFERROR(__xludf.DUMMYFUNCTION("""COMPUTED_VALUE"""),"USA")</f>
        <v>USA</v>
      </c>
      <c r="E2449" s="156">
        <f>IFERROR(__xludf.DUMMYFUNCTION("""COMPUTED_VALUE"""),43331.0)</f>
        <v>43331</v>
      </c>
      <c r="F2449" s="129">
        <f>IFERROR(__xludf.DUMMYFUNCTION("""COMPUTED_VALUE"""),43377.0)</f>
        <v>43377</v>
      </c>
      <c r="G2449" s="154"/>
      <c r="H2449" s="131">
        <f>IFERROR(__xludf.DUMMYFUNCTION("""COMPUTED_VALUE"""),115755.0)</f>
        <v>115755</v>
      </c>
      <c r="I2449" s="144" t="str">
        <f>IFERROR(__xludf.DUMMYFUNCTION("""COMPUTED_VALUE"""),"10/18")</f>
        <v>10/18</v>
      </c>
      <c r="J2449" s="129">
        <f>IFERROR(__xludf.DUMMYFUNCTION("""COMPUTED_VALUE"""),43407.0)</f>
        <v>43407</v>
      </c>
      <c r="K2449" s="133">
        <f>IFERROR(__xludf.DUMMYFUNCTION("""COMPUTED_VALUE"""),46.0)</f>
        <v>46</v>
      </c>
      <c r="L2449" s="133">
        <f>IFERROR(__xludf.DUMMYFUNCTION("""COMPUTED_VALUE"""),30.0)</f>
        <v>30</v>
      </c>
      <c r="M2449" s="133">
        <f>IFERROR(__xludf.DUMMYFUNCTION("""COMPUTED_VALUE"""),76.0)</f>
        <v>76</v>
      </c>
      <c r="N2449" s="152" t="str">
        <f>IFERROR(__xludf.DUMMYFUNCTION("""COMPUTED_VALUE"""),"Model 3 LR AWD")</f>
        <v>Model 3 LR AWD</v>
      </c>
      <c r="O2449" s="152" t="str">
        <f>IFERROR(__xludf.DUMMYFUNCTION("""COMPUTED_VALUE"""),"Solid Black")</f>
        <v>Solid Black</v>
      </c>
      <c r="P2449" s="153" t="str">
        <f>IFERROR(__xludf.DUMMYFUNCTION("""COMPUTED_VALUE"""),"19 inch Sport")</f>
        <v>19 inch Sport</v>
      </c>
      <c r="Q2449" s="152" t="str">
        <f>IFERROR(__xludf.DUMMYFUNCTION("""COMPUTED_VALUE"""),"Black seats")</f>
        <v>Black seats</v>
      </c>
      <c r="R2449" s="149" t="str">
        <f>IFERROR(__xludf.DUMMYFUNCTION("""COMPUTED_VALUE"""),"None")</f>
        <v>None</v>
      </c>
      <c r="S2449" s="149"/>
      <c r="T2449" s="145"/>
      <c r="U2449" s="145"/>
      <c r="V2449" s="145"/>
      <c r="W2449" s="136"/>
      <c r="X2449" s="137" t="str">
        <f>IFERROR(__xludf.DUMMYFUNCTION("""COMPUTED_VALUE"""),"Very Good")</f>
        <v>Very Good</v>
      </c>
      <c r="Y2449" s="138" t="str">
        <f>IFERROR(__xludf.DUMMYFUNCTION("""COMPUTED_VALUE"""),"Excellent")</f>
        <v>Excellent</v>
      </c>
      <c r="Z2449" s="138" t="str">
        <f>IFERROR(__xludf.DUMMYFUNCTION("""COMPUTED_VALUE"""),"Very Good")</f>
        <v>Very Good</v>
      </c>
      <c r="AA2449" s="138" t="str">
        <f>IFERROR(__xludf.DUMMYFUNCTION("""COMPUTED_VALUE"""),"Fair")</f>
        <v>Fair</v>
      </c>
      <c r="AB2449" s="138" t="str">
        <f>IFERROR(__xludf.DUMMYFUNCTION("""COMPUTED_VALUE"""),"Fair")</f>
        <v>Fair</v>
      </c>
      <c r="AC2449" s="139">
        <f>IFERROR(__xludf.DUMMYFUNCTION("""COMPUTED_VALUE"""),1.0)</f>
        <v>1</v>
      </c>
      <c r="AD2449" s="139">
        <f>IFERROR(__xludf.DUMMYFUNCTION("""COMPUTED_VALUE"""),0.0)</f>
        <v>0</v>
      </c>
      <c r="AE2449" s="139">
        <f>IFERROR(__xludf.DUMMYFUNCTION("""COMPUTED_VALUE"""),0.0)</f>
        <v>0</v>
      </c>
      <c r="AF2449" s="140"/>
      <c r="AG2449" s="136" t="str">
        <f>IFERROR(__xludf.DUMMYFUNCTION("""COMPUTED_VALUE"""),"Actual deliver date was a day early.  ")</f>
        <v>Actual deliver date was a day early.  </v>
      </c>
      <c r="AH2449" s="157">
        <f>IFERROR(__xludf.DUMMYFUNCTION("""COMPUTED_VALUE"""),43407.25224524306)</f>
        <v>43407.25225</v>
      </c>
      <c r="AI2449" s="138"/>
      <c r="AJ2449" s="138"/>
      <c r="AK2449" s="138"/>
      <c r="AL2449" s="142"/>
    </row>
    <row r="2450" ht="20.25" customHeight="1">
      <c r="A2450" s="155" t="str">
        <f>IFERROR(__xludf.DUMMYFUNCTION("""COMPUTED_VALUE"""),"QMax3")</f>
        <v>QMax3</v>
      </c>
      <c r="B2450" s="149" t="str">
        <f>IFERROR(__xludf.DUMMYFUNCTION("""COMPUTED_VALUE"""),"Tampa")</f>
        <v>Tampa</v>
      </c>
      <c r="C2450" s="149" t="str">
        <f>IFERROR(__xludf.DUMMYFUNCTION("""COMPUTED_VALUE"""),"FL")</f>
        <v>FL</v>
      </c>
      <c r="D2450" s="149" t="str">
        <f>IFERROR(__xludf.DUMMYFUNCTION("""COMPUTED_VALUE"""),"USA")</f>
        <v>USA</v>
      </c>
      <c r="E2450" s="156">
        <f>IFERROR(__xludf.DUMMYFUNCTION("""COMPUTED_VALUE"""),43331.0)</f>
        <v>43331</v>
      </c>
      <c r="F2450" s="129">
        <f>IFERROR(__xludf.DUMMYFUNCTION("""COMPUTED_VALUE"""),43333.0)</f>
        <v>43333</v>
      </c>
      <c r="G2450" s="154"/>
      <c r="H2450" s="131">
        <f>IFERROR(__xludf.DUMMYFUNCTION("""COMPUTED_VALUE"""),46755.0)</f>
        <v>46755</v>
      </c>
      <c r="I2450" s="144" t="str">
        <f>IFERROR(__xludf.DUMMYFUNCTION("""COMPUTED_VALUE"""),"06/18")</f>
        <v>06/18</v>
      </c>
      <c r="J2450" s="129">
        <f>IFERROR(__xludf.DUMMYFUNCTION("""COMPUTED_VALUE"""),43343.0)</f>
        <v>43343</v>
      </c>
      <c r="K2450" s="133">
        <f>IFERROR(__xludf.DUMMYFUNCTION("""COMPUTED_VALUE"""),2.0)</f>
        <v>2</v>
      </c>
      <c r="L2450" s="133">
        <f>IFERROR(__xludf.DUMMYFUNCTION("""COMPUTED_VALUE"""),10.0)</f>
        <v>10</v>
      </c>
      <c r="M2450" s="133">
        <f>IFERROR(__xludf.DUMMYFUNCTION("""COMPUTED_VALUE"""),12.0)</f>
        <v>12</v>
      </c>
      <c r="N2450" s="152" t="str">
        <f>IFERROR(__xludf.DUMMYFUNCTION("""COMPUTED_VALUE"""),"Model 3 LR")</f>
        <v>Model 3 LR</v>
      </c>
      <c r="O2450" s="152" t="str">
        <f>IFERROR(__xludf.DUMMYFUNCTION("""COMPUTED_VALUE"""),"Silver Metallic")</f>
        <v>Silver Metallic</v>
      </c>
      <c r="P2450" s="153" t="str">
        <f>IFERROR(__xludf.DUMMYFUNCTION("""COMPUTED_VALUE"""),"19 inch Sport")</f>
        <v>19 inch Sport</v>
      </c>
      <c r="Q2450" s="152" t="str">
        <f>IFERROR(__xludf.DUMMYFUNCTION("""COMPUTED_VALUE"""),"Black seats")</f>
        <v>Black seats</v>
      </c>
      <c r="R2450" s="149" t="str">
        <f>IFERROR(__xludf.DUMMYFUNCTION("""COMPUTED_VALUE"""),"Enhanced Autopilot")</f>
        <v>Enhanced Autopilot</v>
      </c>
      <c r="S2450" s="149"/>
      <c r="T2450" s="145"/>
      <c r="U2450" s="145"/>
      <c r="V2450" s="145"/>
      <c r="W2450" s="136"/>
      <c r="X2450" s="137" t="str">
        <f>IFERROR(__xludf.DUMMYFUNCTION("""COMPUTED_VALUE"""),"Very Good")</f>
        <v>Very Good</v>
      </c>
      <c r="Y2450" s="138" t="str">
        <f>IFERROR(__xludf.DUMMYFUNCTION("""COMPUTED_VALUE"""),"Very Good")</f>
        <v>Very Good</v>
      </c>
      <c r="Z2450" s="138" t="str">
        <f>IFERROR(__xludf.DUMMYFUNCTION("""COMPUTED_VALUE"""),"Very Good")</f>
        <v>Very Good</v>
      </c>
      <c r="AA2450" s="138" t="str">
        <f>IFERROR(__xludf.DUMMYFUNCTION("""COMPUTED_VALUE"""),"Poor")</f>
        <v>Poor</v>
      </c>
      <c r="AB2450" s="138" t="str">
        <f>IFERROR(__xludf.DUMMYFUNCTION("""COMPUTED_VALUE"""),"Good")</f>
        <v>Good</v>
      </c>
      <c r="AC2450" s="139">
        <f>IFERROR(__xludf.DUMMYFUNCTION("""COMPUTED_VALUE"""),1.0)</f>
        <v>1</v>
      </c>
      <c r="AD2450" s="139">
        <f>IFERROR(__xludf.DUMMYFUNCTION("""COMPUTED_VALUE"""),1.0)</f>
        <v>1</v>
      </c>
      <c r="AE2450" s="139">
        <f>IFERROR(__xludf.DUMMYFUNCTION("""COMPUTED_VALUE"""),7.0)</f>
        <v>7</v>
      </c>
      <c r="AF2450" s="140"/>
      <c r="AG2450" s="136" t="str">
        <f>IFERROR(__xludf.DUMMYFUNCTION("""COMPUTED_VALUE"""),"Delivery date pushed back from 8-28 to 8-31 by CS")</f>
        <v>Delivery date pushed back from 8-28 to 8-31 by CS</v>
      </c>
      <c r="AH2450" s="157">
        <f>IFERROR(__xludf.DUMMYFUNCTION("""COMPUTED_VALUE"""),43350.57218243055)</f>
        <v>43350.57218</v>
      </c>
      <c r="AI2450" s="138"/>
      <c r="AJ2450" s="138"/>
      <c r="AK2450" s="138"/>
      <c r="AL2450" s="142"/>
    </row>
    <row r="2451" ht="20.25" customHeight="1">
      <c r="A2451" s="155" t="str">
        <f>IFERROR(__xludf.DUMMYFUNCTION("""COMPUTED_VALUE"""),"QS")</f>
        <v>QS</v>
      </c>
      <c r="B2451" s="149" t="str">
        <f>IFERROR(__xludf.DUMMYFUNCTION("""COMPUTED_VALUE"""),"San Francisco")</f>
        <v>San Francisco</v>
      </c>
      <c r="C2451" s="149" t="str">
        <f>IFERROR(__xludf.DUMMYFUNCTION("""COMPUTED_VALUE"""),"CA")</f>
        <v>CA</v>
      </c>
      <c r="D2451" s="149" t="str">
        <f>IFERROR(__xludf.DUMMYFUNCTION("""COMPUTED_VALUE"""),"USA")</f>
        <v>USA</v>
      </c>
      <c r="E2451" s="156">
        <f>IFERROR(__xludf.DUMMYFUNCTION("""COMPUTED_VALUE"""),43331.0)</f>
        <v>43331</v>
      </c>
      <c r="F2451" s="129">
        <f>IFERROR(__xludf.DUMMYFUNCTION("""COMPUTED_VALUE"""),43356.0)</f>
        <v>43356</v>
      </c>
      <c r="G2451" s="154"/>
      <c r="H2451" s="131">
        <f>IFERROR(__xludf.DUMMYFUNCTION("""COMPUTED_VALUE"""),84335.0)</f>
        <v>84335</v>
      </c>
      <c r="I2451" s="144" t="str">
        <f>IFERROR(__xludf.DUMMYFUNCTION("""COMPUTED_VALUE"""),"09/18")</f>
        <v>09/18</v>
      </c>
      <c r="J2451" s="129">
        <f>IFERROR(__xludf.DUMMYFUNCTION("""COMPUTED_VALUE"""),43358.0)</f>
        <v>43358</v>
      </c>
      <c r="K2451" s="133">
        <f>IFERROR(__xludf.DUMMYFUNCTION("""COMPUTED_VALUE"""),25.0)</f>
        <v>25</v>
      </c>
      <c r="L2451" s="133">
        <f>IFERROR(__xludf.DUMMYFUNCTION("""COMPUTED_VALUE"""),2.0)</f>
        <v>2</v>
      </c>
      <c r="M2451" s="133">
        <f>IFERROR(__xludf.DUMMYFUNCTION("""COMPUTED_VALUE"""),27.0)</f>
        <v>27</v>
      </c>
      <c r="N2451" s="152" t="str">
        <f>IFERROR(__xludf.DUMMYFUNCTION("""COMPUTED_VALUE"""),"Model 3 Performance")</f>
        <v>Model 3 Performance</v>
      </c>
      <c r="O2451" s="152" t="str">
        <f>IFERROR(__xludf.DUMMYFUNCTION("""COMPUTED_VALUE"""),"Pearl White Multi-Coat")</f>
        <v>Pearl White Multi-Coat</v>
      </c>
      <c r="P2451" s="153" t="str">
        <f>IFERROR(__xludf.DUMMYFUNCTION("""COMPUTED_VALUE"""),"20 inch Sport")</f>
        <v>20 inch Sport</v>
      </c>
      <c r="Q2451" s="152" t="str">
        <f>IFERROR(__xludf.DUMMYFUNCTION("""COMPUTED_VALUE"""),"Black seats")</f>
        <v>Black seats</v>
      </c>
      <c r="R2451" s="149" t="str">
        <f>IFERROR(__xludf.DUMMYFUNCTION("""COMPUTED_VALUE"""),"Enhanced Autopilot")</f>
        <v>Enhanced Autopilot</v>
      </c>
      <c r="S2451" s="149"/>
      <c r="T2451" s="145"/>
      <c r="U2451" s="145"/>
      <c r="V2451" s="145"/>
      <c r="W2451" s="136"/>
      <c r="X2451" s="137" t="str">
        <f>IFERROR(__xludf.DUMMYFUNCTION("""COMPUTED_VALUE"""),"Fair")</f>
        <v>Fair</v>
      </c>
      <c r="Y2451" s="138" t="str">
        <f>IFERROR(__xludf.DUMMYFUNCTION("""COMPUTED_VALUE"""),"Very Good")</f>
        <v>Very Good</v>
      </c>
      <c r="Z2451" s="138" t="str">
        <f>IFERROR(__xludf.DUMMYFUNCTION("""COMPUTED_VALUE"""),"Very Good")</f>
        <v>Very Good</v>
      </c>
      <c r="AA2451" s="138" t="str">
        <f>IFERROR(__xludf.DUMMYFUNCTION("""COMPUTED_VALUE"""),"Excellent")</f>
        <v>Excellent</v>
      </c>
      <c r="AB2451" s="138" t="str">
        <f>IFERROR(__xludf.DUMMYFUNCTION("""COMPUTED_VALUE"""),"Excellent")</f>
        <v>Excellent</v>
      </c>
      <c r="AC2451" s="139"/>
      <c r="AD2451" s="139"/>
      <c r="AE2451" s="139"/>
      <c r="AF2451" s="140"/>
      <c r="AG2451" s="136"/>
      <c r="AH2451" s="157">
        <f>IFERROR(__xludf.DUMMYFUNCTION("""COMPUTED_VALUE"""),43359.510868923615)</f>
        <v>43359.51087</v>
      </c>
      <c r="AI2451" s="138"/>
      <c r="AJ2451" s="138"/>
      <c r="AK2451" s="138"/>
      <c r="AL2451" s="142"/>
    </row>
    <row r="2452" ht="20.25" customHeight="1">
      <c r="A2452" s="155" t="str">
        <f>IFERROR(__xludf.DUMMYFUNCTION("""COMPUTED_VALUE"""),"reddy")</f>
        <v>reddy</v>
      </c>
      <c r="B2452" s="149" t="str">
        <f>IFERROR(__xludf.DUMMYFUNCTION("""COMPUTED_VALUE"""),"Texas")</f>
        <v>Texas</v>
      </c>
      <c r="C2452" s="149" t="str">
        <f>IFERROR(__xludf.DUMMYFUNCTION("""COMPUTED_VALUE"""),"TX")</f>
        <v>TX</v>
      </c>
      <c r="D2452" s="149" t="str">
        <f>IFERROR(__xludf.DUMMYFUNCTION("""COMPUTED_VALUE"""),"USA")</f>
        <v>USA</v>
      </c>
      <c r="E2452" s="156">
        <f>IFERROR(__xludf.DUMMYFUNCTION("""COMPUTED_VALUE"""),43331.0)</f>
        <v>43331</v>
      </c>
      <c r="F2452" s="129">
        <f>IFERROR(__xludf.DUMMYFUNCTION("""COMPUTED_VALUE"""),43342.0)</f>
        <v>43342</v>
      </c>
      <c r="G2452" s="154"/>
      <c r="H2452" s="131">
        <f>IFERROR(__xludf.DUMMYFUNCTION("""COMPUTED_VALUE"""),99755.0)</f>
        <v>99755</v>
      </c>
      <c r="I2452" s="144"/>
      <c r="J2452" s="129">
        <f>IFERROR(__xludf.DUMMYFUNCTION("""COMPUTED_VALUE"""),43353.0)</f>
        <v>43353</v>
      </c>
      <c r="K2452" s="133">
        <f>IFERROR(__xludf.DUMMYFUNCTION("""COMPUTED_VALUE"""),11.0)</f>
        <v>11</v>
      </c>
      <c r="L2452" s="133">
        <f>IFERROR(__xludf.DUMMYFUNCTION("""COMPUTED_VALUE"""),11.0)</f>
        <v>11</v>
      </c>
      <c r="M2452" s="133">
        <f>IFERROR(__xludf.DUMMYFUNCTION("""COMPUTED_VALUE"""),22.0)</f>
        <v>22</v>
      </c>
      <c r="N2452" s="152" t="str">
        <f>IFERROR(__xludf.DUMMYFUNCTION("""COMPUTED_VALUE"""),"Model 3 LR AWD")</f>
        <v>Model 3 LR AWD</v>
      </c>
      <c r="O2452" s="152" t="str">
        <f>IFERROR(__xludf.DUMMYFUNCTION("""COMPUTED_VALUE"""),"Deep Blue Metallic")</f>
        <v>Deep Blue Metallic</v>
      </c>
      <c r="P2452" s="153" t="str">
        <f>IFERROR(__xludf.DUMMYFUNCTION("""COMPUTED_VALUE"""),"18 inch Aero")</f>
        <v>18 inch Aero</v>
      </c>
      <c r="Q2452" s="152" t="str">
        <f>IFERROR(__xludf.DUMMYFUNCTION("""COMPUTED_VALUE"""),"White seats")</f>
        <v>White seats</v>
      </c>
      <c r="R2452" s="149" t="str">
        <f>IFERROR(__xludf.DUMMYFUNCTION("""COMPUTED_VALUE"""),"None")</f>
        <v>None</v>
      </c>
      <c r="S2452" s="149"/>
      <c r="T2452" s="145"/>
      <c r="U2452" s="145"/>
      <c r="V2452" s="145"/>
      <c r="W2452" s="136"/>
      <c r="X2452" s="137" t="str">
        <f>IFERROR(__xludf.DUMMYFUNCTION("""COMPUTED_VALUE"""),"Excellent")</f>
        <v>Excellent</v>
      </c>
      <c r="Y2452" s="138" t="str">
        <f>IFERROR(__xludf.DUMMYFUNCTION("""COMPUTED_VALUE"""),"Excellent")</f>
        <v>Excellent</v>
      </c>
      <c r="Z2452" s="138" t="str">
        <f>IFERROR(__xludf.DUMMYFUNCTION("""COMPUTED_VALUE"""),"Excellent")</f>
        <v>Excellent</v>
      </c>
      <c r="AA2452" s="138" t="str">
        <f>IFERROR(__xludf.DUMMYFUNCTION("""COMPUTED_VALUE"""),"Excellent")</f>
        <v>Excellent</v>
      </c>
      <c r="AB2452" s="138" t="str">
        <f>IFERROR(__xludf.DUMMYFUNCTION("""COMPUTED_VALUE"""),"Excellent")</f>
        <v>Excellent</v>
      </c>
      <c r="AC2452" s="139">
        <f>IFERROR(__xludf.DUMMYFUNCTION("""COMPUTED_VALUE"""),0.0)</f>
        <v>0</v>
      </c>
      <c r="AD2452" s="139">
        <f>IFERROR(__xludf.DUMMYFUNCTION("""COMPUTED_VALUE"""),0.0)</f>
        <v>0</v>
      </c>
      <c r="AE2452" s="139">
        <f>IFERROR(__xludf.DUMMYFUNCTION("""COMPUTED_VALUE"""),0.0)</f>
        <v>0</v>
      </c>
      <c r="AF2452" s="140"/>
      <c r="AG2452" s="136"/>
      <c r="AH2452" s="157">
        <f>IFERROR(__xludf.DUMMYFUNCTION("""COMPUTED_VALUE"""),43353.86421472222)</f>
        <v>43353.86421</v>
      </c>
      <c r="AI2452" s="138"/>
      <c r="AJ2452" s="138"/>
      <c r="AK2452" s="138"/>
      <c r="AL2452" s="142"/>
    </row>
    <row r="2453" ht="20.25" customHeight="1">
      <c r="A2453" s="155" t="str">
        <f>IFERROR(__xludf.DUMMYFUNCTION("""COMPUTED_VALUE"""),"thegdgteer")</f>
        <v>thegdgteer</v>
      </c>
      <c r="B2453" s="149" t="str">
        <f>IFERROR(__xludf.DUMMYFUNCTION("""COMPUTED_VALUE"""),"Fort Collins, CO")</f>
        <v>Fort Collins, CO</v>
      </c>
      <c r="C2453" s="149" t="str">
        <f>IFERROR(__xludf.DUMMYFUNCTION("""COMPUTED_VALUE"""),"CO")</f>
        <v>CO</v>
      </c>
      <c r="D2453" s="149" t="str">
        <f>IFERROR(__xludf.DUMMYFUNCTION("""COMPUTED_VALUE"""),"USA")</f>
        <v>USA</v>
      </c>
      <c r="E2453" s="156">
        <f>IFERROR(__xludf.DUMMYFUNCTION("""COMPUTED_VALUE"""),43331.0)</f>
        <v>43331</v>
      </c>
      <c r="F2453" s="129">
        <f>IFERROR(__xludf.DUMMYFUNCTION("""COMPUTED_VALUE"""),43367.0)</f>
        <v>43367</v>
      </c>
      <c r="G2453" s="154"/>
      <c r="H2453" s="131">
        <f>IFERROR(__xludf.DUMMYFUNCTION("""COMPUTED_VALUE"""),103055.0)</f>
        <v>103055</v>
      </c>
      <c r="I2453" s="144"/>
      <c r="J2453" s="129">
        <f>IFERROR(__xludf.DUMMYFUNCTION("""COMPUTED_VALUE"""),43372.0)</f>
        <v>43372</v>
      </c>
      <c r="K2453" s="133">
        <f>IFERROR(__xludf.DUMMYFUNCTION("""COMPUTED_VALUE"""),36.0)</f>
        <v>36</v>
      </c>
      <c r="L2453" s="133">
        <f>IFERROR(__xludf.DUMMYFUNCTION("""COMPUTED_VALUE"""),5.0)</f>
        <v>5</v>
      </c>
      <c r="M2453" s="133">
        <f>IFERROR(__xludf.DUMMYFUNCTION("""COMPUTED_VALUE"""),41.0)</f>
        <v>41</v>
      </c>
      <c r="N2453" s="152" t="str">
        <f>IFERROR(__xludf.DUMMYFUNCTION("""COMPUTED_VALUE"""),"Model 3 LR AWD")</f>
        <v>Model 3 LR AWD</v>
      </c>
      <c r="O2453" s="152" t="str">
        <f>IFERROR(__xludf.DUMMYFUNCTION("""COMPUTED_VALUE"""),"Solid Black")</f>
        <v>Solid Black</v>
      </c>
      <c r="P2453" s="153" t="str">
        <f>IFERROR(__xludf.DUMMYFUNCTION("""COMPUTED_VALUE"""),"18 inch Aero")</f>
        <v>18 inch Aero</v>
      </c>
      <c r="Q2453" s="152" t="str">
        <f>IFERROR(__xludf.DUMMYFUNCTION("""COMPUTED_VALUE"""),"Black seats")</f>
        <v>Black seats</v>
      </c>
      <c r="R2453" s="149" t="str">
        <f>IFERROR(__xludf.DUMMYFUNCTION("""COMPUTED_VALUE"""),"Full Self-Driving")</f>
        <v>Full Self-Driving</v>
      </c>
      <c r="S2453" s="149"/>
      <c r="T2453" s="145"/>
      <c r="U2453" s="145"/>
      <c r="V2453" s="145"/>
      <c r="W2453" s="136"/>
      <c r="X2453" s="137" t="str">
        <f>IFERROR(__xludf.DUMMYFUNCTION("""COMPUTED_VALUE"""),"Excellent")</f>
        <v>Excellent</v>
      </c>
      <c r="Y2453" s="138" t="str">
        <f>IFERROR(__xludf.DUMMYFUNCTION("""COMPUTED_VALUE"""),"Excellent")</f>
        <v>Excellent</v>
      </c>
      <c r="Z2453" s="138" t="str">
        <f>IFERROR(__xludf.DUMMYFUNCTION("""COMPUTED_VALUE"""),"Very Good")</f>
        <v>Very Good</v>
      </c>
      <c r="AA2453" s="138" t="str">
        <f>IFERROR(__xludf.DUMMYFUNCTION("""COMPUTED_VALUE"""),"Fair")</f>
        <v>Fair</v>
      </c>
      <c r="AB2453" s="138" t="str">
        <f>IFERROR(__xludf.DUMMYFUNCTION("""COMPUTED_VALUE"""),"Fair")</f>
        <v>Fair</v>
      </c>
      <c r="AC2453" s="139"/>
      <c r="AD2453" s="139"/>
      <c r="AE2453" s="139"/>
      <c r="AF2453" s="140"/>
      <c r="AG2453" s="136"/>
      <c r="AH2453" s="157">
        <f>IFERROR(__xludf.DUMMYFUNCTION("""COMPUTED_VALUE"""),43383.76400252315)</f>
        <v>43383.764</v>
      </c>
      <c r="AI2453" s="138"/>
      <c r="AJ2453" s="138"/>
      <c r="AK2453" s="138"/>
      <c r="AL2453" s="142"/>
    </row>
    <row r="2454" ht="20.25" customHeight="1">
      <c r="A2454" s="155" t="str">
        <f>IFERROR(__xludf.DUMMYFUNCTION("""COMPUTED_VALUE"""),"Airtower")</f>
        <v>Airtower</v>
      </c>
      <c r="B2454" s="149" t="str">
        <f>IFERROR(__xludf.DUMMYFUNCTION("""COMPUTED_VALUE"""),"Los Angeles")</f>
        <v>Los Angeles</v>
      </c>
      <c r="C2454" s="149" t="str">
        <f>IFERROR(__xludf.DUMMYFUNCTION("""COMPUTED_VALUE"""),"CA")</f>
        <v>CA</v>
      </c>
      <c r="D2454" s="149" t="str">
        <f>IFERROR(__xludf.DUMMYFUNCTION("""COMPUTED_VALUE"""),"USA")</f>
        <v>USA</v>
      </c>
      <c r="E2454" s="156">
        <f>IFERROR(__xludf.DUMMYFUNCTION("""COMPUTED_VALUE"""),43330.0)</f>
        <v>43330</v>
      </c>
      <c r="F2454" s="129">
        <f>IFERROR(__xludf.DUMMYFUNCTION("""COMPUTED_VALUE"""),43335.0)</f>
        <v>43335</v>
      </c>
      <c r="G2454" s="154"/>
      <c r="H2454" s="131">
        <f>IFERROR(__xludf.DUMMYFUNCTION("""COMPUTED_VALUE"""),51855.0)</f>
        <v>51855</v>
      </c>
      <c r="I2454" s="144"/>
      <c r="J2454" s="129">
        <f>IFERROR(__xludf.DUMMYFUNCTION("""COMPUTED_VALUE"""),43342.0)</f>
        <v>43342</v>
      </c>
      <c r="K2454" s="133">
        <f>IFERROR(__xludf.DUMMYFUNCTION("""COMPUTED_VALUE"""),5.0)</f>
        <v>5</v>
      </c>
      <c r="L2454" s="133">
        <f>IFERROR(__xludf.DUMMYFUNCTION("""COMPUTED_VALUE"""),7.0)</f>
        <v>7</v>
      </c>
      <c r="M2454" s="133">
        <f>IFERROR(__xludf.DUMMYFUNCTION("""COMPUTED_VALUE"""),12.0)</f>
        <v>12</v>
      </c>
      <c r="N2454" s="152" t="str">
        <f>IFERROR(__xludf.DUMMYFUNCTION("""COMPUTED_VALUE"""),"Model 3 LR")</f>
        <v>Model 3 LR</v>
      </c>
      <c r="O2454" s="152" t="str">
        <f>IFERROR(__xludf.DUMMYFUNCTION("""COMPUTED_VALUE"""),"Solid Black")</f>
        <v>Solid Black</v>
      </c>
      <c r="P2454" s="153" t="str">
        <f>IFERROR(__xludf.DUMMYFUNCTION("""COMPUTED_VALUE"""),"18 inch Aero")</f>
        <v>18 inch Aero</v>
      </c>
      <c r="Q2454" s="152" t="str">
        <f>IFERROR(__xludf.DUMMYFUNCTION("""COMPUTED_VALUE"""),"Black seats")</f>
        <v>Black seats</v>
      </c>
      <c r="R2454" s="149" t="str">
        <f>IFERROR(__xludf.DUMMYFUNCTION("""COMPUTED_VALUE"""),"None")</f>
        <v>None</v>
      </c>
      <c r="S2454" s="149"/>
      <c r="T2454" s="145"/>
      <c r="U2454" s="145"/>
      <c r="V2454" s="145"/>
      <c r="W2454" s="136"/>
      <c r="X2454" s="137" t="str">
        <f>IFERROR(__xludf.DUMMYFUNCTION("""COMPUTED_VALUE"""),"Excellent")</f>
        <v>Excellent</v>
      </c>
      <c r="Y2454" s="138" t="str">
        <f>IFERROR(__xludf.DUMMYFUNCTION("""COMPUTED_VALUE"""),"Very Good")</f>
        <v>Very Good</v>
      </c>
      <c r="Z2454" s="138" t="str">
        <f>IFERROR(__xludf.DUMMYFUNCTION("""COMPUTED_VALUE"""),"Good")</f>
        <v>Good</v>
      </c>
      <c r="AA2454" s="138" t="str">
        <f>IFERROR(__xludf.DUMMYFUNCTION("""COMPUTED_VALUE"""),"Very Good")</f>
        <v>Very Good</v>
      </c>
      <c r="AB2454" s="138" t="str">
        <f>IFERROR(__xludf.DUMMYFUNCTION("""COMPUTED_VALUE"""),"Excellent")</f>
        <v>Excellent</v>
      </c>
      <c r="AC2454" s="139">
        <f>IFERROR(__xludf.DUMMYFUNCTION("""COMPUTED_VALUE"""),1.0)</f>
        <v>1</v>
      </c>
      <c r="AD2454" s="139">
        <f>IFERROR(__xludf.DUMMYFUNCTION("""COMPUTED_VALUE"""),1.0)</f>
        <v>1</v>
      </c>
      <c r="AE2454" s="139">
        <f>IFERROR(__xludf.DUMMYFUNCTION("""COMPUTED_VALUE"""),0.0)</f>
        <v>0</v>
      </c>
      <c r="AF2454" s="140"/>
      <c r="AG2454" s="136"/>
      <c r="AH2454" s="157">
        <f>IFERROR(__xludf.DUMMYFUNCTION("""COMPUTED_VALUE"""),43344.72644079861)</f>
        <v>43344.72644</v>
      </c>
      <c r="AI2454" s="138"/>
      <c r="AJ2454" s="138"/>
      <c r="AK2454" s="138"/>
      <c r="AL2454" s="142"/>
    </row>
    <row r="2455" ht="20.25" customHeight="1">
      <c r="A2455" s="155" t="str">
        <f>IFERROR(__xludf.DUMMYFUNCTION("""COMPUTED_VALUE"""),"ATLBMW")</f>
        <v>ATLBMW</v>
      </c>
      <c r="B2455" s="149" t="str">
        <f>IFERROR(__xludf.DUMMYFUNCTION("""COMPUTED_VALUE"""),"Atlanta")</f>
        <v>Atlanta</v>
      </c>
      <c r="C2455" s="149" t="str">
        <f>IFERROR(__xludf.DUMMYFUNCTION("""COMPUTED_VALUE"""),"GA")</f>
        <v>GA</v>
      </c>
      <c r="D2455" s="149" t="str">
        <f>IFERROR(__xludf.DUMMYFUNCTION("""COMPUTED_VALUE"""),"USA")</f>
        <v>USA</v>
      </c>
      <c r="E2455" s="156">
        <f>IFERROR(__xludf.DUMMYFUNCTION("""COMPUTED_VALUE"""),43330.0)</f>
        <v>43330</v>
      </c>
      <c r="F2455" s="129">
        <f>IFERROR(__xludf.DUMMYFUNCTION("""COMPUTED_VALUE"""),43336.0)</f>
        <v>43336</v>
      </c>
      <c r="G2455" s="154"/>
      <c r="H2455" s="131">
        <f>IFERROR(__xludf.DUMMYFUNCTION("""COMPUTED_VALUE"""),60055.0)</f>
        <v>60055</v>
      </c>
      <c r="I2455" s="144" t="str">
        <f>IFERROR(__xludf.DUMMYFUNCTION("""COMPUTED_VALUE"""),"07/18")</f>
        <v>07/18</v>
      </c>
      <c r="J2455" s="129">
        <f>IFERROR(__xludf.DUMMYFUNCTION("""COMPUTED_VALUE"""),43358.0)</f>
        <v>43358</v>
      </c>
      <c r="K2455" s="133">
        <f>IFERROR(__xludf.DUMMYFUNCTION("""COMPUTED_VALUE"""),6.0)</f>
        <v>6</v>
      </c>
      <c r="L2455" s="133">
        <f>IFERROR(__xludf.DUMMYFUNCTION("""COMPUTED_VALUE"""),22.0)</f>
        <v>22</v>
      </c>
      <c r="M2455" s="133">
        <f>IFERROR(__xludf.DUMMYFUNCTION("""COMPUTED_VALUE"""),28.0)</f>
        <v>28</v>
      </c>
      <c r="N2455" s="152" t="str">
        <f>IFERROR(__xludf.DUMMYFUNCTION("""COMPUTED_VALUE"""),"Model 3 LR")</f>
        <v>Model 3 LR</v>
      </c>
      <c r="O2455" s="152" t="str">
        <f>IFERROR(__xludf.DUMMYFUNCTION("""COMPUTED_VALUE"""),"Deep Blue Metallic")</f>
        <v>Deep Blue Metallic</v>
      </c>
      <c r="P2455" s="153" t="str">
        <f>IFERROR(__xludf.DUMMYFUNCTION("""COMPUTED_VALUE"""),"19 inch Sport")</f>
        <v>19 inch Sport</v>
      </c>
      <c r="Q2455" s="152" t="str">
        <f>IFERROR(__xludf.DUMMYFUNCTION("""COMPUTED_VALUE"""),"Black seats")</f>
        <v>Black seats</v>
      </c>
      <c r="R2455" s="149" t="str">
        <f>IFERROR(__xludf.DUMMYFUNCTION("""COMPUTED_VALUE"""),"Enhanced Autopilot")</f>
        <v>Enhanced Autopilot</v>
      </c>
      <c r="S2455" s="149"/>
      <c r="T2455" s="145"/>
      <c r="U2455" s="145"/>
      <c r="V2455" s="145"/>
      <c r="W2455" s="136"/>
      <c r="X2455" s="137" t="str">
        <f>IFERROR(__xludf.DUMMYFUNCTION("""COMPUTED_VALUE"""),"Very Good")</f>
        <v>Very Good</v>
      </c>
      <c r="Y2455" s="138" t="str">
        <f>IFERROR(__xludf.DUMMYFUNCTION("""COMPUTED_VALUE"""),"Excellent")</f>
        <v>Excellent</v>
      </c>
      <c r="Z2455" s="138" t="str">
        <f>IFERROR(__xludf.DUMMYFUNCTION("""COMPUTED_VALUE"""),"Excellent")</f>
        <v>Excellent</v>
      </c>
      <c r="AA2455" s="138" t="str">
        <f>IFERROR(__xludf.DUMMYFUNCTION("""COMPUTED_VALUE"""),"Poor")</f>
        <v>Poor</v>
      </c>
      <c r="AB2455" s="138" t="str">
        <f>IFERROR(__xludf.DUMMYFUNCTION("""COMPUTED_VALUE"""),"Good")</f>
        <v>Good</v>
      </c>
      <c r="AC2455" s="139">
        <f>IFERROR(__xludf.DUMMYFUNCTION("""COMPUTED_VALUE"""),4.0)</f>
        <v>4</v>
      </c>
      <c r="AD2455" s="139">
        <f>IFERROR(__xludf.DUMMYFUNCTION("""COMPUTED_VALUE"""),2.0)</f>
        <v>2</v>
      </c>
      <c r="AE2455" s="139">
        <f>IFERROR(__xludf.DUMMYFUNCTION("""COMPUTED_VALUE"""),4.0)</f>
        <v>4</v>
      </c>
      <c r="AF2455" s="140"/>
      <c r="AG2455" s="136"/>
      <c r="AH2455" s="157">
        <f>IFERROR(__xludf.DUMMYFUNCTION("""COMPUTED_VALUE"""),43371.26297355325)</f>
        <v>43371.26297</v>
      </c>
      <c r="AI2455" s="138"/>
      <c r="AJ2455" s="138"/>
      <c r="AK2455" s="138"/>
      <c r="AL2455" s="142"/>
    </row>
    <row r="2456" ht="20.25" customHeight="1">
      <c r="A2456" s="155" t="str">
        <f>IFERROR(__xludf.DUMMYFUNCTION("""COMPUTED_VALUE"""),"Hoppy")</f>
        <v>Hoppy</v>
      </c>
      <c r="B2456" s="149" t="str">
        <f>IFERROR(__xludf.DUMMYFUNCTION("""COMPUTED_VALUE"""),"NJ")</f>
        <v>NJ</v>
      </c>
      <c r="C2456" s="149" t="str">
        <f>IFERROR(__xludf.DUMMYFUNCTION("""COMPUTED_VALUE"""),"NJ")</f>
        <v>NJ</v>
      </c>
      <c r="D2456" s="149" t="str">
        <f>IFERROR(__xludf.DUMMYFUNCTION("""COMPUTED_VALUE"""),"USA")</f>
        <v>USA</v>
      </c>
      <c r="E2456" s="156">
        <f>IFERROR(__xludf.DUMMYFUNCTION("""COMPUTED_VALUE"""),43330.0)</f>
        <v>43330</v>
      </c>
      <c r="F2456" s="129">
        <f>IFERROR(__xludf.DUMMYFUNCTION("""COMPUTED_VALUE"""),43360.0)</f>
        <v>43360</v>
      </c>
      <c r="G2456" s="154"/>
      <c r="H2456" s="131">
        <f>IFERROR(__xludf.DUMMYFUNCTION("""COMPUTED_VALUE"""),87355.0)</f>
        <v>87355</v>
      </c>
      <c r="I2456" s="144"/>
      <c r="J2456" s="129">
        <f>IFERROR(__xludf.DUMMYFUNCTION("""COMPUTED_VALUE"""),43369.0)</f>
        <v>43369</v>
      </c>
      <c r="K2456" s="133">
        <f>IFERROR(__xludf.DUMMYFUNCTION("""COMPUTED_VALUE"""),30.0)</f>
        <v>30</v>
      </c>
      <c r="L2456" s="133">
        <f>IFERROR(__xludf.DUMMYFUNCTION("""COMPUTED_VALUE"""),9.0)</f>
        <v>9</v>
      </c>
      <c r="M2456" s="133">
        <f>IFERROR(__xludf.DUMMYFUNCTION("""COMPUTED_VALUE"""),39.0)</f>
        <v>39</v>
      </c>
      <c r="N2456" s="152" t="str">
        <f>IFERROR(__xludf.DUMMYFUNCTION("""COMPUTED_VALUE"""),"Model 3 LR AWD")</f>
        <v>Model 3 LR AWD</v>
      </c>
      <c r="O2456" s="152" t="str">
        <f>IFERROR(__xludf.DUMMYFUNCTION("""COMPUTED_VALUE"""),"Midnight Silver Metallic")</f>
        <v>Midnight Silver Metallic</v>
      </c>
      <c r="P2456" s="153" t="str">
        <f>IFERROR(__xludf.DUMMYFUNCTION("""COMPUTED_VALUE"""),"18 inch Aero")</f>
        <v>18 inch Aero</v>
      </c>
      <c r="Q2456" s="152" t="str">
        <f>IFERROR(__xludf.DUMMYFUNCTION("""COMPUTED_VALUE"""),"Black seats")</f>
        <v>Black seats</v>
      </c>
      <c r="R2456" s="149" t="str">
        <f>IFERROR(__xludf.DUMMYFUNCTION("""COMPUTED_VALUE"""),"Enhanced Autopilot")</f>
        <v>Enhanced Autopilot</v>
      </c>
      <c r="S2456" s="149"/>
      <c r="T2456" s="145"/>
      <c r="U2456" s="145"/>
      <c r="V2456" s="145"/>
      <c r="W2456" s="136"/>
      <c r="X2456" s="137" t="str">
        <f>IFERROR(__xludf.DUMMYFUNCTION("""COMPUTED_VALUE"""),"Good")</f>
        <v>Good</v>
      </c>
      <c r="Y2456" s="138" t="str">
        <f>IFERROR(__xludf.DUMMYFUNCTION("""COMPUTED_VALUE"""),"Good")</f>
        <v>Good</v>
      </c>
      <c r="Z2456" s="138" t="str">
        <f>IFERROR(__xludf.DUMMYFUNCTION("""COMPUTED_VALUE"""),"Very Good")</f>
        <v>Very Good</v>
      </c>
      <c r="AA2456" s="138" t="str">
        <f>IFERROR(__xludf.DUMMYFUNCTION("""COMPUTED_VALUE"""),"Very Good")</f>
        <v>Very Good</v>
      </c>
      <c r="AB2456" s="138" t="str">
        <f>IFERROR(__xludf.DUMMYFUNCTION("""COMPUTED_VALUE"""),"Fair")</f>
        <v>Fair</v>
      </c>
      <c r="AC2456" s="139"/>
      <c r="AD2456" s="139"/>
      <c r="AE2456" s="139"/>
      <c r="AF2456" s="140"/>
      <c r="AG2456" s="136"/>
      <c r="AH2456" s="157">
        <f>IFERROR(__xludf.DUMMYFUNCTION("""COMPUTED_VALUE"""),43369.67921741898)</f>
        <v>43369.67922</v>
      </c>
      <c r="AI2456" s="138"/>
      <c r="AJ2456" s="138"/>
      <c r="AK2456" s="138"/>
      <c r="AL2456" s="142"/>
    </row>
    <row r="2457" ht="20.25" customHeight="1">
      <c r="A2457" s="155" t="str">
        <f>IFERROR(__xludf.DUMMYFUNCTION("""COMPUTED_VALUE"""),"jqwest1906")</f>
        <v>jqwest1906</v>
      </c>
      <c r="B2457" s="149" t="str">
        <f>IFERROR(__xludf.DUMMYFUNCTION("""COMPUTED_VALUE"""),"Valley Township")</f>
        <v>Valley Township</v>
      </c>
      <c r="C2457" s="149" t="str">
        <f>IFERROR(__xludf.DUMMYFUNCTION("""COMPUTED_VALUE"""),"PA")</f>
        <v>PA</v>
      </c>
      <c r="D2457" s="149" t="str">
        <f>IFERROR(__xludf.DUMMYFUNCTION("""COMPUTED_VALUE"""),"USA")</f>
        <v>USA</v>
      </c>
      <c r="E2457" s="156">
        <f>IFERROR(__xludf.DUMMYFUNCTION("""COMPUTED_VALUE"""),43330.0)</f>
        <v>43330</v>
      </c>
      <c r="F2457" s="129"/>
      <c r="G2457" s="154"/>
      <c r="H2457" s="131"/>
      <c r="I2457" s="144"/>
      <c r="J2457" s="129">
        <f>IFERROR(__xludf.DUMMYFUNCTION("""COMPUTED_VALUE"""),42736.0)</f>
        <v>42736</v>
      </c>
      <c r="K2457" s="133"/>
      <c r="L2457" s="133"/>
      <c r="M2457" s="133"/>
      <c r="N2457" s="152" t="str">
        <f>IFERROR(__xludf.DUMMYFUNCTION("""COMPUTED_VALUE"""),"Model 3 LR AWD")</f>
        <v>Model 3 LR AWD</v>
      </c>
      <c r="O2457" s="152" t="str">
        <f>IFERROR(__xludf.DUMMYFUNCTION("""COMPUTED_VALUE"""),"Silver Metallic")</f>
        <v>Silver Metallic</v>
      </c>
      <c r="P2457" s="153" t="str">
        <f>IFERROR(__xludf.DUMMYFUNCTION("""COMPUTED_VALUE"""),"19 inch Sport")</f>
        <v>19 inch Sport</v>
      </c>
      <c r="Q2457" s="152" t="str">
        <f>IFERROR(__xludf.DUMMYFUNCTION("""COMPUTED_VALUE"""),"Black seats")</f>
        <v>Black seats</v>
      </c>
      <c r="R2457" s="149" t="str">
        <f>IFERROR(__xludf.DUMMYFUNCTION("""COMPUTED_VALUE"""),"Full Self-Driving")</f>
        <v>Full Self-Driving</v>
      </c>
      <c r="S2457" s="149"/>
      <c r="T2457" s="145"/>
      <c r="U2457" s="145"/>
      <c r="V2457" s="145"/>
      <c r="W2457" s="136"/>
      <c r="X2457" s="137"/>
      <c r="Y2457" s="138"/>
      <c r="Z2457" s="138"/>
      <c r="AA2457" s="138" t="str">
        <f>IFERROR(__xludf.DUMMYFUNCTION("""COMPUTED_VALUE"""),"Good")</f>
        <v>Good</v>
      </c>
      <c r="AB2457" s="138"/>
      <c r="AC2457" s="139"/>
      <c r="AD2457" s="139"/>
      <c r="AE2457" s="139"/>
      <c r="AF2457" s="140"/>
      <c r="AG2457" s="136"/>
      <c r="AH2457" s="157">
        <f>IFERROR(__xludf.DUMMYFUNCTION("""COMPUTED_VALUE"""),43380.83798038194)</f>
        <v>43380.83798</v>
      </c>
      <c r="AI2457" s="138"/>
      <c r="AJ2457" s="138"/>
      <c r="AK2457" s="138"/>
      <c r="AL2457" s="142"/>
    </row>
    <row r="2458" ht="20.25" customHeight="1">
      <c r="A2458" s="155" t="str">
        <f>IFERROR(__xludf.DUMMYFUNCTION("""COMPUTED_VALUE"""),"paranoidroid")</f>
        <v>paranoidroid</v>
      </c>
      <c r="B2458" s="149" t="str">
        <f>IFERROR(__xludf.DUMMYFUNCTION("""COMPUTED_VALUE"""),"San Francisco")</f>
        <v>San Francisco</v>
      </c>
      <c r="C2458" s="149" t="str">
        <f>IFERROR(__xludf.DUMMYFUNCTION("""COMPUTED_VALUE"""),"CA")</f>
        <v>CA</v>
      </c>
      <c r="D2458" s="149" t="str">
        <f>IFERROR(__xludf.DUMMYFUNCTION("""COMPUTED_VALUE"""),"USA")</f>
        <v>USA</v>
      </c>
      <c r="E2458" s="156">
        <f>IFERROR(__xludf.DUMMYFUNCTION("""COMPUTED_VALUE"""),43330.0)</f>
        <v>43330</v>
      </c>
      <c r="F2458" s="129">
        <f>IFERROR(__xludf.DUMMYFUNCTION("""COMPUTED_VALUE"""),43351.0)</f>
        <v>43351</v>
      </c>
      <c r="G2458" s="154"/>
      <c r="H2458" s="131">
        <f>IFERROR(__xludf.DUMMYFUNCTION("""COMPUTED_VALUE"""),84255.0)</f>
        <v>84255</v>
      </c>
      <c r="I2458" s="144"/>
      <c r="J2458" s="129">
        <f>IFERROR(__xludf.DUMMYFUNCTION("""COMPUTED_VALUE"""),43357.0)</f>
        <v>43357</v>
      </c>
      <c r="K2458" s="133">
        <f>IFERROR(__xludf.DUMMYFUNCTION("""COMPUTED_VALUE"""),21.0)</f>
        <v>21</v>
      </c>
      <c r="L2458" s="133">
        <f>IFERROR(__xludf.DUMMYFUNCTION("""COMPUTED_VALUE"""),6.0)</f>
        <v>6</v>
      </c>
      <c r="M2458" s="133">
        <f>IFERROR(__xludf.DUMMYFUNCTION("""COMPUTED_VALUE"""),27.0)</f>
        <v>27</v>
      </c>
      <c r="N2458" s="152" t="str">
        <f>IFERROR(__xludf.DUMMYFUNCTION("""COMPUTED_VALUE"""),"Model 3 Performance")</f>
        <v>Model 3 Performance</v>
      </c>
      <c r="O2458" s="152" t="str">
        <f>IFERROR(__xludf.DUMMYFUNCTION("""COMPUTED_VALUE"""),"Pearl White Multi-Coat")</f>
        <v>Pearl White Multi-Coat</v>
      </c>
      <c r="P2458" s="153" t="str">
        <f>IFERROR(__xludf.DUMMYFUNCTION("""COMPUTED_VALUE"""),"20 inch Sport")</f>
        <v>20 inch Sport</v>
      </c>
      <c r="Q2458" s="152" t="str">
        <f>IFERROR(__xludf.DUMMYFUNCTION("""COMPUTED_VALUE"""),"Black seats")</f>
        <v>Black seats</v>
      </c>
      <c r="R2458" s="149" t="str">
        <f>IFERROR(__xludf.DUMMYFUNCTION("""COMPUTED_VALUE"""),"Full Self-Driving")</f>
        <v>Full Self-Driving</v>
      </c>
      <c r="S2458" s="149"/>
      <c r="T2458" s="145"/>
      <c r="U2458" s="145"/>
      <c r="V2458" s="145"/>
      <c r="W2458" s="136"/>
      <c r="X2458" s="137" t="str">
        <f>IFERROR(__xludf.DUMMYFUNCTION("""COMPUTED_VALUE"""),"Good")</f>
        <v>Good</v>
      </c>
      <c r="Y2458" s="138" t="str">
        <f>IFERROR(__xludf.DUMMYFUNCTION("""COMPUTED_VALUE"""),"Very Good")</f>
        <v>Very Good</v>
      </c>
      <c r="Z2458" s="138" t="str">
        <f>IFERROR(__xludf.DUMMYFUNCTION("""COMPUTED_VALUE"""),"Very Good")</f>
        <v>Very Good</v>
      </c>
      <c r="AA2458" s="138" t="str">
        <f>IFERROR(__xludf.DUMMYFUNCTION("""COMPUTED_VALUE"""),"Fair")</f>
        <v>Fair</v>
      </c>
      <c r="AB2458" s="138" t="str">
        <f>IFERROR(__xludf.DUMMYFUNCTION("""COMPUTED_VALUE"""),"Very Good")</f>
        <v>Very Good</v>
      </c>
      <c r="AC2458" s="139"/>
      <c r="AD2458" s="139"/>
      <c r="AE2458" s="139"/>
      <c r="AF2458" s="140"/>
      <c r="AG2458" s="136"/>
      <c r="AH2458" s="157">
        <f>IFERROR(__xludf.DUMMYFUNCTION("""COMPUTED_VALUE"""),43357.95419896991)</f>
        <v>43357.9542</v>
      </c>
      <c r="AI2458" s="138"/>
      <c r="AJ2458" s="138"/>
      <c r="AK2458" s="138"/>
      <c r="AL2458" s="142"/>
    </row>
    <row r="2459" ht="20.25" customHeight="1">
      <c r="A2459" s="155" t="str">
        <f>IFERROR(__xludf.DUMMYFUNCTION("""COMPUTED_VALUE"""),"diabox")</f>
        <v>diabox</v>
      </c>
      <c r="B2459" s="149" t="str">
        <f>IFERROR(__xludf.DUMMYFUNCTION("""COMPUTED_VALUE"""),"Tampa")</f>
        <v>Tampa</v>
      </c>
      <c r="C2459" s="149" t="str">
        <f>IFERROR(__xludf.DUMMYFUNCTION("""COMPUTED_VALUE"""),"FL")</f>
        <v>FL</v>
      </c>
      <c r="D2459" s="149" t="str">
        <f>IFERROR(__xludf.DUMMYFUNCTION("""COMPUTED_VALUE"""),"USA")</f>
        <v>USA</v>
      </c>
      <c r="E2459" s="156">
        <f>IFERROR(__xludf.DUMMYFUNCTION("""COMPUTED_VALUE"""),43329.0)</f>
        <v>43329</v>
      </c>
      <c r="F2459" s="129">
        <f>IFERROR(__xludf.DUMMYFUNCTION("""COMPUTED_VALUE"""),43354.0)</f>
        <v>43354</v>
      </c>
      <c r="G2459" s="154"/>
      <c r="H2459" s="131">
        <f>IFERROR(__xludf.DUMMYFUNCTION("""COMPUTED_VALUE"""),82855.0)</f>
        <v>82855</v>
      </c>
      <c r="I2459" s="144" t="str">
        <f>IFERROR(__xludf.DUMMYFUNCTION("""COMPUTED_VALUE"""),"09/18")</f>
        <v>09/18</v>
      </c>
      <c r="J2459" s="129">
        <f>IFERROR(__xludf.DUMMYFUNCTION("""COMPUTED_VALUE"""),43371.0)</f>
        <v>43371</v>
      </c>
      <c r="K2459" s="133">
        <f>IFERROR(__xludf.DUMMYFUNCTION("""COMPUTED_VALUE"""),25.0)</f>
        <v>25</v>
      </c>
      <c r="L2459" s="133">
        <f>IFERROR(__xludf.DUMMYFUNCTION("""COMPUTED_VALUE"""),17.0)</f>
        <v>17</v>
      </c>
      <c r="M2459" s="133">
        <f>IFERROR(__xludf.DUMMYFUNCTION("""COMPUTED_VALUE"""),42.0)</f>
        <v>42</v>
      </c>
      <c r="N2459" s="152" t="str">
        <f>IFERROR(__xludf.DUMMYFUNCTION("""COMPUTED_VALUE"""),"Model 3 Performance")</f>
        <v>Model 3 Performance</v>
      </c>
      <c r="O2459" s="152" t="str">
        <f>IFERROR(__xludf.DUMMYFUNCTION("""COMPUTED_VALUE"""),"Midnight Silver Metallic")</f>
        <v>Midnight Silver Metallic</v>
      </c>
      <c r="P2459" s="153" t="str">
        <f>IFERROR(__xludf.DUMMYFUNCTION("""COMPUTED_VALUE"""),"20 inch Sport")</f>
        <v>20 inch Sport</v>
      </c>
      <c r="Q2459" s="152" t="str">
        <f>IFERROR(__xludf.DUMMYFUNCTION("""COMPUTED_VALUE"""),"Black seats")</f>
        <v>Black seats</v>
      </c>
      <c r="R2459" s="149" t="str">
        <f>IFERROR(__xludf.DUMMYFUNCTION("""COMPUTED_VALUE"""),"Full Self-Driving")</f>
        <v>Full Self-Driving</v>
      </c>
      <c r="S2459" s="149"/>
      <c r="T2459" s="145"/>
      <c r="U2459" s="145"/>
      <c r="V2459" s="145"/>
      <c r="W2459" s="136"/>
      <c r="X2459" s="137" t="str">
        <f>IFERROR(__xludf.DUMMYFUNCTION("""COMPUTED_VALUE"""),"Excellent")</f>
        <v>Excellent</v>
      </c>
      <c r="Y2459" s="138" t="str">
        <f>IFERROR(__xludf.DUMMYFUNCTION("""COMPUTED_VALUE"""),"Excellent")</f>
        <v>Excellent</v>
      </c>
      <c r="Z2459" s="138" t="str">
        <f>IFERROR(__xludf.DUMMYFUNCTION("""COMPUTED_VALUE"""),"Very Good")</f>
        <v>Very Good</v>
      </c>
      <c r="AA2459" s="138" t="str">
        <f>IFERROR(__xludf.DUMMYFUNCTION("""COMPUTED_VALUE"""),"Excellent")</f>
        <v>Excellent</v>
      </c>
      <c r="AB2459" s="138" t="str">
        <f>IFERROR(__xludf.DUMMYFUNCTION("""COMPUTED_VALUE"""),"Very Good")</f>
        <v>Very Good</v>
      </c>
      <c r="AC2459" s="139"/>
      <c r="AD2459" s="139"/>
      <c r="AE2459" s="139"/>
      <c r="AF2459" s="140"/>
      <c r="AG2459" s="136" t="str">
        <f>IFERROR(__xludf.DUMMYFUNCTION("""COMPUTED_VALUE"""),"Delivery pushed back 2 weeks, but now slipped in before end of Sept.")</f>
        <v>Delivery pushed back 2 weeks, but now slipped in before end of Sept.</v>
      </c>
      <c r="AH2459" s="157">
        <f>IFERROR(__xludf.DUMMYFUNCTION("""COMPUTED_VALUE"""),43372.95619821759)</f>
        <v>43372.9562</v>
      </c>
      <c r="AI2459" s="138"/>
      <c r="AJ2459" s="138"/>
      <c r="AK2459" s="138"/>
      <c r="AL2459" s="142"/>
    </row>
    <row r="2460" ht="20.25" customHeight="1">
      <c r="A2460" s="155" t="str">
        <f>IFERROR(__xludf.DUMMYFUNCTION("""COMPUTED_VALUE"""),"JBmodel3")</f>
        <v>JBmodel3</v>
      </c>
      <c r="B2460" s="149" t="str">
        <f>IFERROR(__xludf.DUMMYFUNCTION("""COMPUTED_VALUE"""),"Arlington")</f>
        <v>Arlington</v>
      </c>
      <c r="C2460" s="149" t="str">
        <f>IFERROR(__xludf.DUMMYFUNCTION("""COMPUTED_VALUE"""),"VA")</f>
        <v>VA</v>
      </c>
      <c r="D2460" s="149" t="str">
        <f>IFERROR(__xludf.DUMMYFUNCTION("""COMPUTED_VALUE"""),"USA")</f>
        <v>USA</v>
      </c>
      <c r="E2460" s="156">
        <f>IFERROR(__xludf.DUMMYFUNCTION("""COMPUTED_VALUE"""),43329.0)</f>
        <v>43329</v>
      </c>
      <c r="F2460" s="129">
        <f>IFERROR(__xludf.DUMMYFUNCTION("""COMPUTED_VALUE"""),43358.0)</f>
        <v>43358</v>
      </c>
      <c r="G2460" s="154"/>
      <c r="H2460" s="131">
        <f>IFERROR(__xludf.DUMMYFUNCTION("""COMPUTED_VALUE"""),55485.0)</f>
        <v>55485</v>
      </c>
      <c r="I2460" s="144" t="str">
        <f>IFERROR(__xludf.DUMMYFUNCTION("""COMPUTED_VALUE"""),"08/18")</f>
        <v>08/18</v>
      </c>
      <c r="J2460" s="129">
        <f>IFERROR(__xludf.DUMMYFUNCTION("""COMPUTED_VALUE"""),43365.0)</f>
        <v>43365</v>
      </c>
      <c r="K2460" s="133">
        <f>IFERROR(__xludf.DUMMYFUNCTION("""COMPUTED_VALUE"""),29.0)</f>
        <v>29</v>
      </c>
      <c r="L2460" s="133">
        <f>IFERROR(__xludf.DUMMYFUNCTION("""COMPUTED_VALUE"""),7.0)</f>
        <v>7</v>
      </c>
      <c r="M2460" s="133">
        <f>IFERROR(__xludf.DUMMYFUNCTION("""COMPUTED_VALUE"""),36.0)</f>
        <v>36</v>
      </c>
      <c r="N2460" s="152" t="str">
        <f>IFERROR(__xludf.DUMMYFUNCTION("""COMPUTED_VALUE"""),"Model 3 Performance")</f>
        <v>Model 3 Performance</v>
      </c>
      <c r="O2460" s="152" t="str">
        <f>IFERROR(__xludf.DUMMYFUNCTION("""COMPUTED_VALUE"""),"Red Multi-Coat")</f>
        <v>Red Multi-Coat</v>
      </c>
      <c r="P2460" s="153" t="str">
        <f>IFERROR(__xludf.DUMMYFUNCTION("""COMPUTED_VALUE"""),"20 inch Sport")</f>
        <v>20 inch Sport</v>
      </c>
      <c r="Q2460" s="152" t="str">
        <f>IFERROR(__xludf.DUMMYFUNCTION("""COMPUTED_VALUE"""),"White seats")</f>
        <v>White seats</v>
      </c>
      <c r="R2460" s="149" t="str">
        <f>IFERROR(__xludf.DUMMYFUNCTION("""COMPUTED_VALUE"""),"Full Self-Driving")</f>
        <v>Full Self-Driving</v>
      </c>
      <c r="S2460" s="149"/>
      <c r="T2460" s="145"/>
      <c r="U2460" s="145"/>
      <c r="V2460" s="145"/>
      <c r="W2460" s="136"/>
      <c r="X2460" s="137" t="str">
        <f>IFERROR(__xludf.DUMMYFUNCTION("""COMPUTED_VALUE"""),"Fair")</f>
        <v>Fair</v>
      </c>
      <c r="Y2460" s="138" t="str">
        <f>IFERROR(__xludf.DUMMYFUNCTION("""COMPUTED_VALUE"""),"Very Good")</f>
        <v>Very Good</v>
      </c>
      <c r="Z2460" s="138" t="str">
        <f>IFERROR(__xludf.DUMMYFUNCTION("""COMPUTED_VALUE"""),"Fair")</f>
        <v>Fair</v>
      </c>
      <c r="AA2460" s="138" t="str">
        <f>IFERROR(__xludf.DUMMYFUNCTION("""COMPUTED_VALUE"""),"Very Good")</f>
        <v>Very Good</v>
      </c>
      <c r="AB2460" s="138" t="str">
        <f>IFERROR(__xludf.DUMMYFUNCTION("""COMPUTED_VALUE"""),"Poor")</f>
        <v>Poor</v>
      </c>
      <c r="AC2460" s="139"/>
      <c r="AD2460" s="139"/>
      <c r="AE2460" s="139"/>
      <c r="AF2460" s="140"/>
      <c r="AG2460" s="136"/>
      <c r="AH2460" s="157">
        <f>IFERROR(__xludf.DUMMYFUNCTION("""COMPUTED_VALUE"""),43365.64883650463)</f>
        <v>43365.64884</v>
      </c>
      <c r="AI2460" s="138"/>
      <c r="AJ2460" s="138"/>
      <c r="AK2460" s="138"/>
      <c r="AL2460" s="142"/>
    </row>
    <row r="2461" ht="20.25" customHeight="1">
      <c r="A2461" s="155" t="str">
        <f>IFERROR(__xludf.DUMMYFUNCTION("""COMPUTED_VALUE"""),"Larryfl")</f>
        <v>Larryfl</v>
      </c>
      <c r="B2461" s="149" t="str">
        <f>IFERROR(__xludf.DUMMYFUNCTION("""COMPUTED_VALUE"""),"Ft Lauderdale")</f>
        <v>Ft Lauderdale</v>
      </c>
      <c r="C2461" s="149" t="str">
        <f>IFERROR(__xludf.DUMMYFUNCTION("""COMPUTED_VALUE"""),"FL")</f>
        <v>FL</v>
      </c>
      <c r="D2461" s="149" t="str">
        <f>IFERROR(__xludf.DUMMYFUNCTION("""COMPUTED_VALUE"""),"USA")</f>
        <v>USA</v>
      </c>
      <c r="E2461" s="156">
        <f>IFERROR(__xludf.DUMMYFUNCTION("""COMPUTED_VALUE"""),43329.0)</f>
        <v>43329</v>
      </c>
      <c r="F2461" s="129">
        <f>IFERROR(__xludf.DUMMYFUNCTION("""COMPUTED_VALUE"""),43349.0)</f>
        <v>43349</v>
      </c>
      <c r="G2461" s="154"/>
      <c r="H2461" s="131">
        <f>IFERROR(__xludf.DUMMYFUNCTION("""COMPUTED_VALUE"""),83931.0)</f>
        <v>83931</v>
      </c>
      <c r="I2461" s="144"/>
      <c r="J2461" s="129">
        <f>IFERROR(__xludf.DUMMYFUNCTION("""COMPUTED_VALUE"""),43373.0)</f>
        <v>43373</v>
      </c>
      <c r="K2461" s="133">
        <f>IFERROR(__xludf.DUMMYFUNCTION("""COMPUTED_VALUE"""),20.0)</f>
        <v>20</v>
      </c>
      <c r="L2461" s="133">
        <f>IFERROR(__xludf.DUMMYFUNCTION("""COMPUTED_VALUE"""),24.0)</f>
        <v>24</v>
      </c>
      <c r="M2461" s="133">
        <f>IFERROR(__xludf.DUMMYFUNCTION("""COMPUTED_VALUE"""),44.0)</f>
        <v>44</v>
      </c>
      <c r="N2461" s="152" t="str">
        <f>IFERROR(__xludf.DUMMYFUNCTION("""COMPUTED_VALUE"""),"Model 3 Performance")</f>
        <v>Model 3 Performance</v>
      </c>
      <c r="O2461" s="152" t="str">
        <f>IFERROR(__xludf.DUMMYFUNCTION("""COMPUTED_VALUE"""),"Deep Blue Metallic")</f>
        <v>Deep Blue Metallic</v>
      </c>
      <c r="P2461" s="153" t="str">
        <f>IFERROR(__xludf.DUMMYFUNCTION("""COMPUTED_VALUE"""),"20 inch Sport")</f>
        <v>20 inch Sport</v>
      </c>
      <c r="Q2461" s="152" t="str">
        <f>IFERROR(__xludf.DUMMYFUNCTION("""COMPUTED_VALUE"""),"Black seats")</f>
        <v>Black seats</v>
      </c>
      <c r="R2461" s="149" t="str">
        <f>IFERROR(__xludf.DUMMYFUNCTION("""COMPUTED_VALUE"""),"Enhanced Autopilot")</f>
        <v>Enhanced Autopilot</v>
      </c>
      <c r="S2461" s="149"/>
      <c r="T2461" s="145"/>
      <c r="U2461" s="145"/>
      <c r="V2461" s="145"/>
      <c r="W2461" s="136"/>
      <c r="X2461" s="137" t="str">
        <f>IFERROR(__xludf.DUMMYFUNCTION("""COMPUTED_VALUE"""),"Very Good")</f>
        <v>Very Good</v>
      </c>
      <c r="Y2461" s="138" t="str">
        <f>IFERROR(__xludf.DUMMYFUNCTION("""COMPUTED_VALUE"""),"Very Good")</f>
        <v>Very Good</v>
      </c>
      <c r="Z2461" s="138" t="str">
        <f>IFERROR(__xludf.DUMMYFUNCTION("""COMPUTED_VALUE"""),"Good")</f>
        <v>Good</v>
      </c>
      <c r="AA2461" s="138" t="str">
        <f>IFERROR(__xludf.DUMMYFUNCTION("""COMPUTED_VALUE"""),"Fair")</f>
        <v>Fair</v>
      </c>
      <c r="AB2461" s="138" t="str">
        <f>IFERROR(__xludf.DUMMYFUNCTION("""COMPUTED_VALUE"""),"Very Good")</f>
        <v>Very Good</v>
      </c>
      <c r="AC2461" s="139">
        <f>IFERROR(__xludf.DUMMYFUNCTION("""COMPUTED_VALUE"""),4.0)</f>
        <v>4</v>
      </c>
      <c r="AD2461" s="139">
        <f>IFERROR(__xludf.DUMMYFUNCTION("""COMPUTED_VALUE"""),1.0)</f>
        <v>1</v>
      </c>
      <c r="AE2461" s="139">
        <f>IFERROR(__xludf.DUMMYFUNCTION("""COMPUTED_VALUE"""),2.0)</f>
        <v>2</v>
      </c>
      <c r="AF2461" s="140"/>
      <c r="AG2461" s="136"/>
      <c r="AH2461" s="157">
        <f>IFERROR(__xludf.DUMMYFUNCTION("""COMPUTED_VALUE"""),43419.49421966435)</f>
        <v>43419.49422</v>
      </c>
      <c r="AI2461" s="138"/>
      <c r="AJ2461" s="138"/>
      <c r="AK2461" s="138"/>
      <c r="AL2461" s="142"/>
    </row>
    <row r="2462" ht="20.25" customHeight="1">
      <c r="A2462" s="155" t="str">
        <f>IFERROR(__xludf.DUMMYFUNCTION("""COMPUTED_VALUE"""),"Louisville")</f>
        <v>Louisville</v>
      </c>
      <c r="B2462" s="149" t="str">
        <f>IFERROR(__xludf.DUMMYFUNCTION("""COMPUTED_VALUE"""),"Louisville")</f>
        <v>Louisville</v>
      </c>
      <c r="C2462" s="149" t="str">
        <f>IFERROR(__xludf.DUMMYFUNCTION("""COMPUTED_VALUE"""),"KY")</f>
        <v>KY</v>
      </c>
      <c r="D2462" s="149" t="str">
        <f>IFERROR(__xludf.DUMMYFUNCTION("""COMPUTED_VALUE"""),"USA")</f>
        <v>USA</v>
      </c>
      <c r="E2462" s="156">
        <f>IFERROR(__xludf.DUMMYFUNCTION("""COMPUTED_VALUE"""),43329.0)</f>
        <v>43329</v>
      </c>
      <c r="F2462" s="129">
        <f>IFERROR(__xludf.DUMMYFUNCTION("""COMPUTED_VALUE"""),43348.0)</f>
        <v>43348</v>
      </c>
      <c r="G2462" s="154"/>
      <c r="H2462" s="131">
        <f>IFERROR(__xludf.DUMMYFUNCTION("""COMPUTED_VALUE"""),78255.0)</f>
        <v>78255</v>
      </c>
      <c r="I2462" s="144" t="str">
        <f>IFERROR(__xludf.DUMMYFUNCTION("""COMPUTED_VALUE"""),"08/18")</f>
        <v>08/18</v>
      </c>
      <c r="J2462" s="129">
        <f>IFERROR(__xludf.DUMMYFUNCTION("""COMPUTED_VALUE"""),43358.0)</f>
        <v>43358</v>
      </c>
      <c r="K2462" s="133">
        <f>IFERROR(__xludf.DUMMYFUNCTION("""COMPUTED_VALUE"""),19.0)</f>
        <v>19</v>
      </c>
      <c r="L2462" s="133">
        <f>IFERROR(__xludf.DUMMYFUNCTION("""COMPUTED_VALUE"""),10.0)</f>
        <v>10</v>
      </c>
      <c r="M2462" s="133">
        <f>IFERROR(__xludf.DUMMYFUNCTION("""COMPUTED_VALUE"""),29.0)</f>
        <v>29</v>
      </c>
      <c r="N2462" s="152" t="str">
        <f>IFERROR(__xludf.DUMMYFUNCTION("""COMPUTED_VALUE"""),"Model 3 LR")</f>
        <v>Model 3 LR</v>
      </c>
      <c r="O2462" s="152" t="str">
        <f>IFERROR(__xludf.DUMMYFUNCTION("""COMPUTED_VALUE"""),"Solid Black")</f>
        <v>Solid Black</v>
      </c>
      <c r="P2462" s="153" t="str">
        <f>IFERROR(__xludf.DUMMYFUNCTION("""COMPUTED_VALUE"""),"18 inch Aero")</f>
        <v>18 inch Aero</v>
      </c>
      <c r="Q2462" s="152" t="str">
        <f>IFERROR(__xludf.DUMMYFUNCTION("""COMPUTED_VALUE"""),"Black seats")</f>
        <v>Black seats</v>
      </c>
      <c r="R2462" s="149" t="str">
        <f>IFERROR(__xludf.DUMMYFUNCTION("""COMPUTED_VALUE"""),"Enhanced Autopilot")</f>
        <v>Enhanced Autopilot</v>
      </c>
      <c r="S2462" s="149"/>
      <c r="T2462" s="145"/>
      <c r="U2462" s="145"/>
      <c r="V2462" s="145"/>
      <c r="W2462" s="136"/>
      <c r="X2462" s="137" t="str">
        <f>IFERROR(__xludf.DUMMYFUNCTION("""COMPUTED_VALUE"""),"Very Good")</f>
        <v>Very Good</v>
      </c>
      <c r="Y2462" s="138" t="str">
        <f>IFERROR(__xludf.DUMMYFUNCTION("""COMPUTED_VALUE"""),"Excellent")</f>
        <v>Excellent</v>
      </c>
      <c r="Z2462" s="138" t="str">
        <f>IFERROR(__xludf.DUMMYFUNCTION("""COMPUTED_VALUE"""),"Very Good")</f>
        <v>Very Good</v>
      </c>
      <c r="AA2462" s="138" t="str">
        <f>IFERROR(__xludf.DUMMYFUNCTION("""COMPUTED_VALUE"""),"Good")</f>
        <v>Good</v>
      </c>
      <c r="AB2462" s="138" t="str">
        <f>IFERROR(__xludf.DUMMYFUNCTION("""COMPUTED_VALUE"""),"Very Good")</f>
        <v>Very Good</v>
      </c>
      <c r="AC2462" s="139"/>
      <c r="AD2462" s="139"/>
      <c r="AE2462" s="139"/>
      <c r="AF2462" s="140"/>
      <c r="AG2462" s="136"/>
      <c r="AH2462" s="157">
        <f>IFERROR(__xludf.DUMMYFUNCTION("""COMPUTED_VALUE"""),43372.32937399305)</f>
        <v>43372.32937</v>
      </c>
      <c r="AI2462" s="138"/>
      <c r="AJ2462" s="138"/>
      <c r="AK2462" s="138"/>
      <c r="AL2462" s="142"/>
    </row>
    <row r="2463" ht="20.25" customHeight="1">
      <c r="A2463" s="155" t="str">
        <f>IFERROR(__xludf.DUMMYFUNCTION("""COMPUTED_VALUE"""),"santxo")</f>
        <v>santxo</v>
      </c>
      <c r="B2463" s="149" t="str">
        <f>IFERROR(__xludf.DUMMYFUNCTION("""COMPUTED_VALUE"""),"Redwood City")</f>
        <v>Redwood City</v>
      </c>
      <c r="C2463" s="149" t="str">
        <f>IFERROR(__xludf.DUMMYFUNCTION("""COMPUTED_VALUE"""),"CA")</f>
        <v>CA</v>
      </c>
      <c r="D2463" s="149" t="str">
        <f>IFERROR(__xludf.DUMMYFUNCTION("""COMPUTED_VALUE"""),"USA")</f>
        <v>USA</v>
      </c>
      <c r="E2463" s="156">
        <f>IFERROR(__xludf.DUMMYFUNCTION("""COMPUTED_VALUE"""),43329.0)</f>
        <v>43329</v>
      </c>
      <c r="F2463" s="129">
        <f>IFERROR(__xludf.DUMMYFUNCTION("""COMPUTED_VALUE"""),43335.0)</f>
        <v>43335</v>
      </c>
      <c r="G2463" s="154"/>
      <c r="H2463" s="131">
        <f>IFERROR(__xludf.DUMMYFUNCTION("""COMPUTED_VALUE"""),50955.0)</f>
        <v>50955</v>
      </c>
      <c r="I2463" s="144"/>
      <c r="J2463" s="129">
        <f>IFERROR(__xludf.DUMMYFUNCTION("""COMPUTED_VALUE"""),43340.0)</f>
        <v>43340</v>
      </c>
      <c r="K2463" s="133">
        <f>IFERROR(__xludf.DUMMYFUNCTION("""COMPUTED_VALUE"""),6.0)</f>
        <v>6</v>
      </c>
      <c r="L2463" s="133">
        <f>IFERROR(__xludf.DUMMYFUNCTION("""COMPUTED_VALUE"""),5.0)</f>
        <v>5</v>
      </c>
      <c r="M2463" s="133">
        <f>IFERROR(__xludf.DUMMYFUNCTION("""COMPUTED_VALUE"""),11.0)</f>
        <v>11</v>
      </c>
      <c r="N2463" s="152" t="str">
        <f>IFERROR(__xludf.DUMMYFUNCTION("""COMPUTED_VALUE"""),"Model 3 LR")</f>
        <v>Model 3 LR</v>
      </c>
      <c r="O2463" s="152" t="str">
        <f>IFERROR(__xludf.DUMMYFUNCTION("""COMPUTED_VALUE"""),"Midnight Silver Metallic")</f>
        <v>Midnight Silver Metallic</v>
      </c>
      <c r="P2463" s="153" t="str">
        <f>IFERROR(__xludf.DUMMYFUNCTION("""COMPUTED_VALUE"""),"18 inch Aero")</f>
        <v>18 inch Aero</v>
      </c>
      <c r="Q2463" s="152" t="str">
        <f>IFERROR(__xludf.DUMMYFUNCTION("""COMPUTED_VALUE"""),"Black seats")</f>
        <v>Black seats</v>
      </c>
      <c r="R2463" s="149" t="str">
        <f>IFERROR(__xludf.DUMMYFUNCTION("""COMPUTED_VALUE"""),"Enhanced Autopilot")</f>
        <v>Enhanced Autopilot</v>
      </c>
      <c r="S2463" s="149"/>
      <c r="T2463" s="145"/>
      <c r="U2463" s="145"/>
      <c r="V2463" s="145"/>
      <c r="W2463" s="136"/>
      <c r="X2463" s="137" t="str">
        <f>IFERROR(__xludf.DUMMYFUNCTION("""COMPUTED_VALUE"""),"Excellent")</f>
        <v>Excellent</v>
      </c>
      <c r="Y2463" s="138" t="str">
        <f>IFERROR(__xludf.DUMMYFUNCTION("""COMPUTED_VALUE"""),"Excellent")</f>
        <v>Excellent</v>
      </c>
      <c r="Z2463" s="138" t="str">
        <f>IFERROR(__xludf.DUMMYFUNCTION("""COMPUTED_VALUE"""),"Excellent")</f>
        <v>Excellent</v>
      </c>
      <c r="AA2463" s="138" t="str">
        <f>IFERROR(__xludf.DUMMYFUNCTION("""COMPUTED_VALUE"""),"Very Good")</f>
        <v>Very Good</v>
      </c>
      <c r="AB2463" s="138" t="str">
        <f>IFERROR(__xludf.DUMMYFUNCTION("""COMPUTED_VALUE"""),"Excellent")</f>
        <v>Excellent</v>
      </c>
      <c r="AC2463" s="139"/>
      <c r="AD2463" s="139"/>
      <c r="AE2463" s="139"/>
      <c r="AF2463" s="140"/>
      <c r="AG2463" s="136"/>
      <c r="AH2463" s="157">
        <f>IFERROR(__xludf.DUMMYFUNCTION("""COMPUTED_VALUE"""),43340.96631236112)</f>
        <v>43340.96631</v>
      </c>
      <c r="AI2463" s="138"/>
      <c r="AJ2463" s="138"/>
      <c r="AK2463" s="138"/>
      <c r="AL2463" s="142"/>
    </row>
    <row r="2464" ht="20.25" customHeight="1">
      <c r="A2464" s="155" t="str">
        <f>IFERROR(__xludf.DUMMYFUNCTION("""COMPUTED_VALUE"""),"sjg98")</f>
        <v>sjg98</v>
      </c>
      <c r="B2464" s="149" t="str">
        <f>IFERROR(__xludf.DUMMYFUNCTION("""COMPUTED_VALUE"""),"Brooklyn")</f>
        <v>Brooklyn</v>
      </c>
      <c r="C2464" s="149" t="str">
        <f>IFERROR(__xludf.DUMMYFUNCTION("""COMPUTED_VALUE"""),"NY")</f>
        <v>NY</v>
      </c>
      <c r="D2464" s="149" t="str">
        <f>IFERROR(__xludf.DUMMYFUNCTION("""COMPUTED_VALUE"""),"USA")</f>
        <v>USA</v>
      </c>
      <c r="E2464" s="156">
        <f>IFERROR(__xludf.DUMMYFUNCTION("""COMPUTED_VALUE"""),43329.0)</f>
        <v>43329</v>
      </c>
      <c r="F2464" s="129">
        <f>IFERROR(__xludf.DUMMYFUNCTION("""COMPUTED_VALUE"""),43353.0)</f>
        <v>43353</v>
      </c>
      <c r="G2464" s="154"/>
      <c r="H2464" s="131">
        <f>IFERROR(__xludf.DUMMYFUNCTION("""COMPUTED_VALUE"""),70655.0)</f>
        <v>70655</v>
      </c>
      <c r="I2464" s="144"/>
      <c r="J2464" s="129">
        <f>IFERROR(__xludf.DUMMYFUNCTION("""COMPUTED_VALUE"""),43370.0)</f>
        <v>43370</v>
      </c>
      <c r="K2464" s="133">
        <f>IFERROR(__xludf.DUMMYFUNCTION("""COMPUTED_VALUE"""),24.0)</f>
        <v>24</v>
      </c>
      <c r="L2464" s="133">
        <f>IFERROR(__xludf.DUMMYFUNCTION("""COMPUTED_VALUE"""),17.0)</f>
        <v>17</v>
      </c>
      <c r="M2464" s="133">
        <f>IFERROR(__xludf.DUMMYFUNCTION("""COMPUTED_VALUE"""),41.0)</f>
        <v>41</v>
      </c>
      <c r="N2464" s="152" t="str">
        <f>IFERROR(__xludf.DUMMYFUNCTION("""COMPUTED_VALUE"""),"Model 3 LR AWD")</f>
        <v>Model 3 LR AWD</v>
      </c>
      <c r="O2464" s="152" t="str">
        <f>IFERROR(__xludf.DUMMYFUNCTION("""COMPUTED_VALUE"""),"Obsidian Black Metallic")</f>
        <v>Obsidian Black Metallic</v>
      </c>
      <c r="P2464" s="153" t="str">
        <f>IFERROR(__xludf.DUMMYFUNCTION("""COMPUTED_VALUE"""),"18 inch Aero")</f>
        <v>18 inch Aero</v>
      </c>
      <c r="Q2464" s="152" t="str">
        <f>IFERROR(__xludf.DUMMYFUNCTION("""COMPUTED_VALUE"""),"Black seats")</f>
        <v>Black seats</v>
      </c>
      <c r="R2464" s="149" t="str">
        <f>IFERROR(__xludf.DUMMYFUNCTION("""COMPUTED_VALUE"""),"Enhanced Autopilot")</f>
        <v>Enhanced Autopilot</v>
      </c>
      <c r="S2464" s="149"/>
      <c r="T2464" s="145"/>
      <c r="U2464" s="145"/>
      <c r="V2464" s="145"/>
      <c r="W2464" s="136"/>
      <c r="X2464" s="137" t="str">
        <f>IFERROR(__xludf.DUMMYFUNCTION("""COMPUTED_VALUE"""),"Very Good")</f>
        <v>Very Good</v>
      </c>
      <c r="Y2464" s="138" t="str">
        <f>IFERROR(__xludf.DUMMYFUNCTION("""COMPUTED_VALUE"""),"Very Good")</f>
        <v>Very Good</v>
      </c>
      <c r="Z2464" s="138" t="str">
        <f>IFERROR(__xludf.DUMMYFUNCTION("""COMPUTED_VALUE"""),"Excellent")</f>
        <v>Excellent</v>
      </c>
      <c r="AA2464" s="138" t="str">
        <f>IFERROR(__xludf.DUMMYFUNCTION("""COMPUTED_VALUE"""),"Good")</f>
        <v>Good</v>
      </c>
      <c r="AB2464" s="138" t="str">
        <f>IFERROR(__xludf.DUMMYFUNCTION("""COMPUTED_VALUE"""),"Very Good")</f>
        <v>Very Good</v>
      </c>
      <c r="AC2464" s="139">
        <f>IFERROR(__xludf.DUMMYFUNCTION("""COMPUTED_VALUE"""),1.0)</f>
        <v>1</v>
      </c>
      <c r="AD2464" s="139"/>
      <c r="AE2464" s="139"/>
      <c r="AF2464" s="140"/>
      <c r="AG2464" s="136"/>
      <c r="AH2464" s="157">
        <f>IFERROR(__xludf.DUMMYFUNCTION("""COMPUTED_VALUE"""),43371.57500931713)</f>
        <v>43371.57501</v>
      </c>
      <c r="AI2464" s="138"/>
      <c r="AJ2464" s="138"/>
      <c r="AK2464" s="138"/>
      <c r="AL2464" s="142"/>
    </row>
    <row r="2465" ht="20.25" customHeight="1">
      <c r="A2465" s="155" t="str">
        <f>IFERROR(__xludf.DUMMYFUNCTION("""COMPUTED_VALUE"""),"TK")</f>
        <v>TK</v>
      </c>
      <c r="B2465" s="149" t="str">
        <f>IFERROR(__xludf.DUMMYFUNCTION("""COMPUTED_VALUE"""),"Col. Springs")</f>
        <v>Col. Springs</v>
      </c>
      <c r="C2465" s="149" t="str">
        <f>IFERROR(__xludf.DUMMYFUNCTION("""COMPUTED_VALUE"""),"CO")</f>
        <v>CO</v>
      </c>
      <c r="D2465" s="149" t="str">
        <f>IFERROR(__xludf.DUMMYFUNCTION("""COMPUTED_VALUE"""),"USA")</f>
        <v>USA</v>
      </c>
      <c r="E2465" s="156">
        <f>IFERROR(__xludf.DUMMYFUNCTION("""COMPUTED_VALUE"""),43329.0)</f>
        <v>43329</v>
      </c>
      <c r="F2465" s="129">
        <f>IFERROR(__xludf.DUMMYFUNCTION("""COMPUTED_VALUE"""),43337.0)</f>
        <v>43337</v>
      </c>
      <c r="G2465" s="154"/>
      <c r="H2465" s="131">
        <f>IFERROR(__xludf.DUMMYFUNCTION("""COMPUTED_VALUE"""),62655.0)</f>
        <v>62655</v>
      </c>
      <c r="I2465" s="144" t="str">
        <f>IFERROR(__xludf.DUMMYFUNCTION("""COMPUTED_VALUE"""),"08/18")</f>
        <v>08/18</v>
      </c>
      <c r="J2465" s="129">
        <f>IFERROR(__xludf.DUMMYFUNCTION("""COMPUTED_VALUE"""),43354.0)</f>
        <v>43354</v>
      </c>
      <c r="K2465" s="133">
        <f>IFERROR(__xludf.DUMMYFUNCTION("""COMPUTED_VALUE"""),8.0)</f>
        <v>8</v>
      </c>
      <c r="L2465" s="133">
        <f>IFERROR(__xludf.DUMMYFUNCTION("""COMPUTED_VALUE"""),17.0)</f>
        <v>17</v>
      </c>
      <c r="M2465" s="133">
        <f>IFERROR(__xludf.DUMMYFUNCTION("""COMPUTED_VALUE"""),25.0)</f>
        <v>25</v>
      </c>
      <c r="N2465" s="152" t="str">
        <f>IFERROR(__xludf.DUMMYFUNCTION("""COMPUTED_VALUE"""),"Model 3 LR")</f>
        <v>Model 3 LR</v>
      </c>
      <c r="O2465" s="152" t="str">
        <f>IFERROR(__xludf.DUMMYFUNCTION("""COMPUTED_VALUE"""),"Solid Black")</f>
        <v>Solid Black</v>
      </c>
      <c r="P2465" s="153" t="str">
        <f>IFERROR(__xludf.DUMMYFUNCTION("""COMPUTED_VALUE"""),"19 inch Sport")</f>
        <v>19 inch Sport</v>
      </c>
      <c r="Q2465" s="152" t="str">
        <f>IFERROR(__xludf.DUMMYFUNCTION("""COMPUTED_VALUE"""),"Black seats")</f>
        <v>Black seats</v>
      </c>
      <c r="R2465" s="149" t="str">
        <f>IFERROR(__xludf.DUMMYFUNCTION("""COMPUTED_VALUE"""),"None")</f>
        <v>None</v>
      </c>
      <c r="S2465" s="149"/>
      <c r="T2465" s="145"/>
      <c r="U2465" s="145"/>
      <c r="V2465" s="145"/>
      <c r="W2465" s="136"/>
      <c r="X2465" s="137" t="str">
        <f>IFERROR(__xludf.DUMMYFUNCTION("""COMPUTED_VALUE"""),"Excellent")</f>
        <v>Excellent</v>
      </c>
      <c r="Y2465" s="138" t="str">
        <f>IFERROR(__xludf.DUMMYFUNCTION("""COMPUTED_VALUE"""),"Very Good")</f>
        <v>Very Good</v>
      </c>
      <c r="Z2465" s="138" t="str">
        <f>IFERROR(__xludf.DUMMYFUNCTION("""COMPUTED_VALUE"""),"Very Good")</f>
        <v>Very Good</v>
      </c>
      <c r="AA2465" s="138" t="str">
        <f>IFERROR(__xludf.DUMMYFUNCTION("""COMPUTED_VALUE"""),"Fair")</f>
        <v>Fair</v>
      </c>
      <c r="AB2465" s="138" t="str">
        <f>IFERROR(__xludf.DUMMYFUNCTION("""COMPUTED_VALUE"""),"Fair")</f>
        <v>Fair</v>
      </c>
      <c r="AC2465" s="139"/>
      <c r="AD2465" s="139"/>
      <c r="AE2465" s="139"/>
      <c r="AF2465" s="140"/>
      <c r="AG2465" s="136"/>
      <c r="AH2465" s="157">
        <f>IFERROR(__xludf.DUMMYFUNCTION("""COMPUTED_VALUE"""),43361.161741979166)</f>
        <v>43361.16174</v>
      </c>
      <c r="AI2465" s="138"/>
      <c r="AJ2465" s="138"/>
      <c r="AK2465" s="138"/>
      <c r="AL2465" s="142"/>
    </row>
    <row r="2466" ht="20.25" customHeight="1">
      <c r="A2466" s="155" t="str">
        <f>IFERROR(__xludf.DUMMYFUNCTION("""COMPUTED_VALUE"""),"Etheberge")</f>
        <v>Etheberge</v>
      </c>
      <c r="B2466" s="149" t="str">
        <f>IFERROR(__xludf.DUMMYFUNCTION("""COMPUTED_VALUE"""),"Boston")</f>
        <v>Boston</v>
      </c>
      <c r="C2466" s="149" t="str">
        <f>IFERROR(__xludf.DUMMYFUNCTION("""COMPUTED_VALUE"""),"MA")</f>
        <v>MA</v>
      </c>
      <c r="D2466" s="149" t="str">
        <f>IFERROR(__xludf.DUMMYFUNCTION("""COMPUTED_VALUE"""),"USA")</f>
        <v>USA</v>
      </c>
      <c r="E2466" s="156">
        <f>IFERROR(__xludf.DUMMYFUNCTION("""COMPUTED_VALUE"""),43328.0)</f>
        <v>43328</v>
      </c>
      <c r="F2466" s="129">
        <f>IFERROR(__xludf.DUMMYFUNCTION("""COMPUTED_VALUE"""),43356.0)</f>
        <v>43356</v>
      </c>
      <c r="G2466" s="154"/>
      <c r="H2466" s="131">
        <f>IFERROR(__xludf.DUMMYFUNCTION("""COMPUTED_VALUE"""),63295.0)</f>
        <v>63295</v>
      </c>
      <c r="I2466" s="144" t="str">
        <f>IFERROR(__xludf.DUMMYFUNCTION("""COMPUTED_VALUE"""),"09/18")</f>
        <v>09/18</v>
      </c>
      <c r="J2466" s="129">
        <f>IFERROR(__xludf.DUMMYFUNCTION("""COMPUTED_VALUE"""),43371.0)</f>
        <v>43371</v>
      </c>
      <c r="K2466" s="133">
        <f>IFERROR(__xludf.DUMMYFUNCTION("""COMPUTED_VALUE"""),28.0)</f>
        <v>28</v>
      </c>
      <c r="L2466" s="133">
        <f>IFERROR(__xludf.DUMMYFUNCTION("""COMPUTED_VALUE"""),15.0)</f>
        <v>15</v>
      </c>
      <c r="M2466" s="133">
        <f>IFERROR(__xludf.DUMMYFUNCTION("""COMPUTED_VALUE"""),43.0)</f>
        <v>43</v>
      </c>
      <c r="N2466" s="152" t="str">
        <f>IFERROR(__xludf.DUMMYFUNCTION("""COMPUTED_VALUE"""),"Model 3 Performance")</f>
        <v>Model 3 Performance</v>
      </c>
      <c r="O2466" s="152" t="str">
        <f>IFERROR(__xludf.DUMMYFUNCTION("""COMPUTED_VALUE"""),"Red Multi-Coat")</f>
        <v>Red Multi-Coat</v>
      </c>
      <c r="P2466" s="153" t="str">
        <f>IFERROR(__xludf.DUMMYFUNCTION("""COMPUTED_VALUE"""),"20 inch Sport")</f>
        <v>20 inch Sport</v>
      </c>
      <c r="Q2466" s="152" t="str">
        <f>IFERROR(__xludf.DUMMYFUNCTION("""COMPUTED_VALUE"""),"Black seats")</f>
        <v>Black seats</v>
      </c>
      <c r="R2466" s="149" t="str">
        <f>IFERROR(__xludf.DUMMYFUNCTION("""COMPUTED_VALUE"""),"Full Self-Driving")</f>
        <v>Full Self-Driving</v>
      </c>
      <c r="S2466" s="149"/>
      <c r="T2466" s="145"/>
      <c r="U2466" s="145"/>
      <c r="V2466" s="145"/>
      <c r="W2466" s="136"/>
      <c r="X2466" s="137" t="str">
        <f>IFERROR(__xludf.DUMMYFUNCTION("""COMPUTED_VALUE"""),"Very Good")</f>
        <v>Very Good</v>
      </c>
      <c r="Y2466" s="138" t="str">
        <f>IFERROR(__xludf.DUMMYFUNCTION("""COMPUTED_VALUE"""),"Very Good")</f>
        <v>Very Good</v>
      </c>
      <c r="Z2466" s="138" t="str">
        <f>IFERROR(__xludf.DUMMYFUNCTION("""COMPUTED_VALUE"""),"Poor")</f>
        <v>Poor</v>
      </c>
      <c r="AA2466" s="138" t="str">
        <f>IFERROR(__xludf.DUMMYFUNCTION("""COMPUTED_VALUE"""),"Good")</f>
        <v>Good</v>
      </c>
      <c r="AB2466" s="138" t="str">
        <f>IFERROR(__xludf.DUMMYFUNCTION("""COMPUTED_VALUE"""),"Very Good")</f>
        <v>Very Good</v>
      </c>
      <c r="AC2466" s="139">
        <f>IFERROR(__xludf.DUMMYFUNCTION("""COMPUTED_VALUE"""),12.0)</f>
        <v>12</v>
      </c>
      <c r="AD2466" s="139">
        <f>IFERROR(__xludf.DUMMYFUNCTION("""COMPUTED_VALUE"""),1.0)</f>
        <v>1</v>
      </c>
      <c r="AE2466" s="139">
        <f>IFERROR(__xludf.DUMMYFUNCTION("""COMPUTED_VALUE"""),14.0)</f>
        <v>14</v>
      </c>
      <c r="AF2466" s="140"/>
      <c r="AG2466" s="136" t="str">
        <f>IFERROR(__xludf.DUMMYFUNCTION("""COMPUTED_VALUE"""),"Paint issues required the front bumper and fenders to be repainted.  In the coming weeks it will also need to go to my detail shop for paint correction to take care of other issues not requiring a repaint. ")</f>
        <v>Paint issues required the front bumper and fenders to be repainted.  In the coming weeks it will also need to go to my detail shop for paint correction to take care of other issues not requiring a repaint. </v>
      </c>
      <c r="AH2466" s="157">
        <f>IFERROR(__xludf.DUMMYFUNCTION("""COMPUTED_VALUE"""),43391.2284515625)</f>
        <v>43391.22845</v>
      </c>
      <c r="AI2466" s="138"/>
      <c r="AJ2466" s="138"/>
      <c r="AK2466" s="138"/>
      <c r="AL2466" s="142"/>
    </row>
    <row r="2467" ht="20.25" customHeight="1">
      <c r="A2467" s="155" t="str">
        <f>IFERROR(__xludf.DUMMYFUNCTION("""COMPUTED_VALUE"""),"goodkol")</f>
        <v>goodkol</v>
      </c>
      <c r="B2467" s="149" t="str">
        <f>IFERROR(__xludf.DUMMYFUNCTION("""COMPUTED_VALUE"""),"Indio")</f>
        <v>Indio</v>
      </c>
      <c r="C2467" s="149" t="str">
        <f>IFERROR(__xludf.DUMMYFUNCTION("""COMPUTED_VALUE"""),"CA")</f>
        <v>CA</v>
      </c>
      <c r="D2467" s="149" t="str">
        <f>IFERROR(__xludf.DUMMYFUNCTION("""COMPUTED_VALUE"""),"USA")</f>
        <v>USA</v>
      </c>
      <c r="E2467" s="156">
        <f>IFERROR(__xludf.DUMMYFUNCTION("""COMPUTED_VALUE"""),43328.0)</f>
        <v>43328</v>
      </c>
      <c r="F2467" s="129">
        <f>IFERROR(__xludf.DUMMYFUNCTION("""COMPUTED_VALUE"""),43329.0)</f>
        <v>43329</v>
      </c>
      <c r="G2467" s="154"/>
      <c r="H2467" s="131">
        <f>IFERROR(__xludf.DUMMYFUNCTION("""COMPUTED_VALUE"""),79155.0)</f>
        <v>79155</v>
      </c>
      <c r="I2467" s="144" t="str">
        <f>IFERROR(__xludf.DUMMYFUNCTION("""COMPUTED_VALUE"""),"08/18")</f>
        <v>08/18</v>
      </c>
      <c r="J2467" s="129">
        <f>IFERROR(__xludf.DUMMYFUNCTION("""COMPUTED_VALUE"""),43341.0)</f>
        <v>43341</v>
      </c>
      <c r="K2467" s="133">
        <f>IFERROR(__xludf.DUMMYFUNCTION("""COMPUTED_VALUE"""),1.0)</f>
        <v>1</v>
      </c>
      <c r="L2467" s="133">
        <f>IFERROR(__xludf.DUMMYFUNCTION("""COMPUTED_VALUE"""),12.0)</f>
        <v>12</v>
      </c>
      <c r="M2467" s="133">
        <f>IFERROR(__xludf.DUMMYFUNCTION("""COMPUTED_VALUE"""),13.0)</f>
        <v>13</v>
      </c>
      <c r="N2467" s="152" t="str">
        <f>IFERROR(__xludf.DUMMYFUNCTION("""COMPUTED_VALUE"""),"Model 3 Performance")</f>
        <v>Model 3 Performance</v>
      </c>
      <c r="O2467" s="152" t="str">
        <f>IFERROR(__xludf.DUMMYFUNCTION("""COMPUTED_VALUE"""),"Midnight Silver Metallic")</f>
        <v>Midnight Silver Metallic</v>
      </c>
      <c r="P2467" s="153" t="str">
        <f>IFERROR(__xludf.DUMMYFUNCTION("""COMPUTED_VALUE"""),"20 inch Sport")</f>
        <v>20 inch Sport</v>
      </c>
      <c r="Q2467" s="152" t="str">
        <f>IFERROR(__xludf.DUMMYFUNCTION("""COMPUTED_VALUE"""),"White seats")</f>
        <v>White seats</v>
      </c>
      <c r="R2467" s="149" t="str">
        <f>IFERROR(__xludf.DUMMYFUNCTION("""COMPUTED_VALUE"""),"Full Self-Driving")</f>
        <v>Full Self-Driving</v>
      </c>
      <c r="S2467" s="149"/>
      <c r="T2467" s="145"/>
      <c r="U2467" s="145"/>
      <c r="V2467" s="145"/>
      <c r="W2467" s="136"/>
      <c r="X2467" s="137" t="str">
        <f>IFERROR(__xludf.DUMMYFUNCTION("""COMPUTED_VALUE"""),"Excellent")</f>
        <v>Excellent</v>
      </c>
      <c r="Y2467" s="138" t="str">
        <f>IFERROR(__xludf.DUMMYFUNCTION("""COMPUTED_VALUE"""),"Very Good")</f>
        <v>Very Good</v>
      </c>
      <c r="Z2467" s="138" t="str">
        <f>IFERROR(__xludf.DUMMYFUNCTION("""COMPUTED_VALUE"""),"Very Good")</f>
        <v>Very Good</v>
      </c>
      <c r="AA2467" s="138" t="str">
        <f>IFERROR(__xludf.DUMMYFUNCTION("""COMPUTED_VALUE"""),"Very Good")</f>
        <v>Very Good</v>
      </c>
      <c r="AB2467" s="138" t="str">
        <f>IFERROR(__xludf.DUMMYFUNCTION("""COMPUTED_VALUE"""),"Very Good")</f>
        <v>Very Good</v>
      </c>
      <c r="AC2467" s="139">
        <f>IFERROR(__xludf.DUMMYFUNCTION("""COMPUTED_VALUE"""),1.0)</f>
        <v>1</v>
      </c>
      <c r="AD2467" s="139"/>
      <c r="AE2467" s="139"/>
      <c r="AF2467" s="140"/>
      <c r="AG2467" s="136" t="str">
        <f>IFERROR(__xludf.DUMMYFUNCTION("""COMPUTED_VALUE"""),"Delivery called 8/23 to tell me there was some cosmetic issues with the charge port and they needed to keep it an extra day to fix.")</f>
        <v>Delivery called 8/23 to tell me there was some cosmetic issues with the charge port and they needed to keep it an extra day to fix.</v>
      </c>
      <c r="AH2467" s="157">
        <f>IFERROR(__xludf.DUMMYFUNCTION("""COMPUTED_VALUE"""),43341.97611555556)</f>
        <v>43341.97612</v>
      </c>
      <c r="AI2467" s="138"/>
      <c r="AJ2467" s="138"/>
      <c r="AK2467" s="138"/>
      <c r="AL2467" s="142"/>
    </row>
    <row r="2468" ht="20.25" customHeight="1">
      <c r="A2468" s="155" t="str">
        <f>IFERROR(__xludf.DUMMYFUNCTION("""COMPUTED_VALUE"""),"hampton3")</f>
        <v>hampton3</v>
      </c>
      <c r="B2468" s="149" t="str">
        <f>IFERROR(__xludf.DUMMYFUNCTION("""COMPUTED_VALUE"""),"long island")</f>
        <v>long island</v>
      </c>
      <c r="C2468" s="149" t="str">
        <f>IFERROR(__xludf.DUMMYFUNCTION("""COMPUTED_VALUE"""),"NY")</f>
        <v>NY</v>
      </c>
      <c r="D2468" s="149" t="str">
        <f>IFERROR(__xludf.DUMMYFUNCTION("""COMPUTED_VALUE"""),"USA")</f>
        <v>USA</v>
      </c>
      <c r="E2468" s="156">
        <f>IFERROR(__xludf.DUMMYFUNCTION("""COMPUTED_VALUE"""),43328.0)</f>
        <v>43328</v>
      </c>
      <c r="F2468" s="129">
        <f>IFERROR(__xludf.DUMMYFUNCTION("""COMPUTED_VALUE"""),43363.0)</f>
        <v>43363</v>
      </c>
      <c r="G2468" s="154"/>
      <c r="H2468" s="131"/>
      <c r="I2468" s="144" t="str">
        <f>IFERROR(__xludf.DUMMYFUNCTION("""COMPUTED_VALUE"""),"08/18")</f>
        <v>08/18</v>
      </c>
      <c r="J2468" s="129">
        <f>IFERROR(__xludf.DUMMYFUNCTION("""COMPUTED_VALUE"""),43365.0)</f>
        <v>43365</v>
      </c>
      <c r="K2468" s="133">
        <f>IFERROR(__xludf.DUMMYFUNCTION("""COMPUTED_VALUE"""),35.0)</f>
        <v>35</v>
      </c>
      <c r="L2468" s="133">
        <f>IFERROR(__xludf.DUMMYFUNCTION("""COMPUTED_VALUE"""),2.0)</f>
        <v>2</v>
      </c>
      <c r="M2468" s="133">
        <f>IFERROR(__xludf.DUMMYFUNCTION("""COMPUTED_VALUE"""),37.0)</f>
        <v>37</v>
      </c>
      <c r="N2468" s="152" t="str">
        <f>IFERROR(__xludf.DUMMYFUNCTION("""COMPUTED_VALUE"""),"Model 3 Performance")</f>
        <v>Model 3 Performance</v>
      </c>
      <c r="O2468" s="152" t="str">
        <f>IFERROR(__xludf.DUMMYFUNCTION("""COMPUTED_VALUE"""),"Midnight Silver Metallic")</f>
        <v>Midnight Silver Metallic</v>
      </c>
      <c r="P2468" s="153" t="str">
        <f>IFERROR(__xludf.DUMMYFUNCTION("""COMPUTED_VALUE"""),"18 inch Aero")</f>
        <v>18 inch Aero</v>
      </c>
      <c r="Q2468" s="152" t="str">
        <f>IFERROR(__xludf.DUMMYFUNCTION("""COMPUTED_VALUE"""),"White seats")</f>
        <v>White seats</v>
      </c>
      <c r="R2468" s="149" t="str">
        <f>IFERROR(__xludf.DUMMYFUNCTION("""COMPUTED_VALUE"""),"Enhanced Autopilot")</f>
        <v>Enhanced Autopilot</v>
      </c>
      <c r="S2468" s="149"/>
      <c r="T2468" s="145"/>
      <c r="U2468" s="145"/>
      <c r="V2468" s="145"/>
      <c r="W2468" s="136"/>
      <c r="X2468" s="137" t="str">
        <f>IFERROR(__xludf.DUMMYFUNCTION("""COMPUTED_VALUE"""),"Excellent")</f>
        <v>Excellent</v>
      </c>
      <c r="Y2468" s="138" t="str">
        <f>IFERROR(__xludf.DUMMYFUNCTION("""COMPUTED_VALUE"""),"Excellent")</f>
        <v>Excellent</v>
      </c>
      <c r="Z2468" s="138" t="str">
        <f>IFERROR(__xludf.DUMMYFUNCTION("""COMPUTED_VALUE"""),"Excellent")</f>
        <v>Excellent</v>
      </c>
      <c r="AA2468" s="138" t="str">
        <f>IFERROR(__xludf.DUMMYFUNCTION("""COMPUTED_VALUE"""),"Good")</f>
        <v>Good</v>
      </c>
      <c r="AB2468" s="138" t="str">
        <f>IFERROR(__xludf.DUMMYFUNCTION("""COMPUTED_VALUE"""),"Good")</f>
        <v>Good</v>
      </c>
      <c r="AC2468" s="139">
        <f>IFERROR(__xludf.DUMMYFUNCTION("""COMPUTED_VALUE"""),0.0)</f>
        <v>0</v>
      </c>
      <c r="AD2468" s="139"/>
      <c r="AE2468" s="139"/>
      <c r="AF2468" s="140"/>
      <c r="AG2468" s="136"/>
      <c r="AH2468" s="157">
        <f>IFERROR(__xludf.DUMMYFUNCTION("""COMPUTED_VALUE"""),43390.81559697917)</f>
        <v>43390.8156</v>
      </c>
      <c r="AI2468" s="138"/>
      <c r="AJ2468" s="138"/>
      <c r="AK2468" s="138"/>
      <c r="AL2468" s="142"/>
    </row>
    <row r="2469" ht="20.25" customHeight="1">
      <c r="A2469" s="155" t="str">
        <f>IFERROR(__xludf.DUMMYFUNCTION("""COMPUTED_VALUE"""),"kamisama")</f>
        <v>kamisama</v>
      </c>
      <c r="B2469" s="149" t="str">
        <f>IFERROR(__xludf.DUMMYFUNCTION("""COMPUTED_VALUE"""),"Roseville")</f>
        <v>Roseville</v>
      </c>
      <c r="C2469" s="149" t="str">
        <f>IFERROR(__xludf.DUMMYFUNCTION("""COMPUTED_VALUE"""),"CA")</f>
        <v>CA</v>
      </c>
      <c r="D2469" s="149" t="str">
        <f>IFERROR(__xludf.DUMMYFUNCTION("""COMPUTED_VALUE"""),"USA")</f>
        <v>USA</v>
      </c>
      <c r="E2469" s="156">
        <f>IFERROR(__xludf.DUMMYFUNCTION("""COMPUTED_VALUE"""),43328.0)</f>
        <v>43328</v>
      </c>
      <c r="F2469" s="129">
        <f>IFERROR(__xludf.DUMMYFUNCTION("""COMPUTED_VALUE"""),43367.0)</f>
        <v>43367</v>
      </c>
      <c r="G2469" s="154"/>
      <c r="H2469" s="131">
        <f>IFERROR(__xludf.DUMMYFUNCTION("""COMPUTED_VALUE"""),105255.0)</f>
        <v>105255</v>
      </c>
      <c r="I2469" s="144" t="str">
        <f>IFERROR(__xludf.DUMMYFUNCTION("""COMPUTED_VALUE"""),"09/18")</f>
        <v>09/18</v>
      </c>
      <c r="J2469" s="129">
        <f>IFERROR(__xludf.DUMMYFUNCTION("""COMPUTED_VALUE"""),43372.0)</f>
        <v>43372</v>
      </c>
      <c r="K2469" s="133">
        <f>IFERROR(__xludf.DUMMYFUNCTION("""COMPUTED_VALUE"""),39.0)</f>
        <v>39</v>
      </c>
      <c r="L2469" s="133">
        <f>IFERROR(__xludf.DUMMYFUNCTION("""COMPUTED_VALUE"""),5.0)</f>
        <v>5</v>
      </c>
      <c r="M2469" s="133">
        <f>IFERROR(__xludf.DUMMYFUNCTION("""COMPUTED_VALUE"""),44.0)</f>
        <v>44</v>
      </c>
      <c r="N2469" s="152" t="str">
        <f>IFERROR(__xludf.DUMMYFUNCTION("""COMPUTED_VALUE"""),"Model 3 LR AWD")</f>
        <v>Model 3 LR AWD</v>
      </c>
      <c r="O2469" s="152" t="str">
        <f>IFERROR(__xludf.DUMMYFUNCTION("""COMPUTED_VALUE"""),"Deep Blue Metallic")</f>
        <v>Deep Blue Metallic</v>
      </c>
      <c r="P2469" s="153" t="str">
        <f>IFERROR(__xludf.DUMMYFUNCTION("""COMPUTED_VALUE"""),"18 inch Aero")</f>
        <v>18 inch Aero</v>
      </c>
      <c r="Q2469" s="152" t="str">
        <f>IFERROR(__xludf.DUMMYFUNCTION("""COMPUTED_VALUE"""),"Black seats")</f>
        <v>Black seats</v>
      </c>
      <c r="R2469" s="149" t="str">
        <f>IFERROR(__xludf.DUMMYFUNCTION("""COMPUTED_VALUE"""),"Enhanced Autopilot")</f>
        <v>Enhanced Autopilot</v>
      </c>
      <c r="S2469" s="149"/>
      <c r="T2469" s="145"/>
      <c r="U2469" s="145"/>
      <c r="V2469" s="145"/>
      <c r="W2469" s="136"/>
      <c r="X2469" s="137"/>
      <c r="Y2469" s="138"/>
      <c r="Z2469" s="138"/>
      <c r="AA2469" s="138" t="str">
        <f>IFERROR(__xludf.DUMMYFUNCTION("""COMPUTED_VALUE"""),"Poor")</f>
        <v>Poor</v>
      </c>
      <c r="AB2469" s="138" t="str">
        <f>IFERROR(__xludf.DUMMYFUNCTION("""COMPUTED_VALUE"""),"Fair")</f>
        <v>Fair</v>
      </c>
      <c r="AC2469" s="139"/>
      <c r="AD2469" s="139"/>
      <c r="AE2469" s="139"/>
      <c r="AF2469" s="140"/>
      <c r="AG2469" s="136"/>
      <c r="AH2469" s="157">
        <f>IFERROR(__xludf.DUMMYFUNCTION("""COMPUTED_VALUE"""),43374.551627430556)</f>
        <v>43374.55163</v>
      </c>
      <c r="AI2469" s="138"/>
      <c r="AJ2469" s="138"/>
      <c r="AK2469" s="138"/>
      <c r="AL2469" s="142"/>
    </row>
    <row r="2470" ht="20.25" customHeight="1">
      <c r="A2470" s="155" t="str">
        <f>IFERROR(__xludf.DUMMYFUNCTION("""COMPUTED_VALUE"""),"mhuang2286")</f>
        <v>mhuang2286</v>
      </c>
      <c r="B2470" s="149" t="str">
        <f>IFERROR(__xludf.DUMMYFUNCTION("""COMPUTED_VALUE"""),"San Francisco")</f>
        <v>San Francisco</v>
      </c>
      <c r="C2470" s="149" t="str">
        <f>IFERROR(__xludf.DUMMYFUNCTION("""COMPUTED_VALUE"""),"CA")</f>
        <v>CA</v>
      </c>
      <c r="D2470" s="149" t="str">
        <f>IFERROR(__xludf.DUMMYFUNCTION("""COMPUTED_VALUE"""),"USA")</f>
        <v>USA</v>
      </c>
      <c r="E2470" s="156">
        <f>IFERROR(__xludf.DUMMYFUNCTION("""COMPUTED_VALUE"""),43328.0)</f>
        <v>43328</v>
      </c>
      <c r="F2470" s="129">
        <f>IFERROR(__xludf.DUMMYFUNCTION("""COMPUTED_VALUE"""),43369.0)</f>
        <v>43369</v>
      </c>
      <c r="G2470" s="154"/>
      <c r="H2470" s="131">
        <f>IFERROR(__xludf.DUMMYFUNCTION("""COMPUTED_VALUE"""),73355.0)</f>
        <v>73355</v>
      </c>
      <c r="I2470" s="144"/>
      <c r="J2470" s="129">
        <f>IFERROR(__xludf.DUMMYFUNCTION("""COMPUTED_VALUE"""),43373.0)</f>
        <v>43373</v>
      </c>
      <c r="K2470" s="133">
        <f>IFERROR(__xludf.DUMMYFUNCTION("""COMPUTED_VALUE"""),41.0)</f>
        <v>41</v>
      </c>
      <c r="L2470" s="133">
        <f>IFERROR(__xludf.DUMMYFUNCTION("""COMPUTED_VALUE"""),4.0)</f>
        <v>4</v>
      </c>
      <c r="M2470" s="133">
        <f>IFERROR(__xludf.DUMMYFUNCTION("""COMPUTED_VALUE"""),45.0)</f>
        <v>45</v>
      </c>
      <c r="N2470" s="152" t="str">
        <f>IFERROR(__xludf.DUMMYFUNCTION("""COMPUTED_VALUE"""),"Model 3 LR AWD")</f>
        <v>Model 3 LR AWD</v>
      </c>
      <c r="O2470" s="152" t="str">
        <f>IFERROR(__xludf.DUMMYFUNCTION("""COMPUTED_VALUE"""),"Solid Black")</f>
        <v>Solid Black</v>
      </c>
      <c r="P2470" s="153" t="str">
        <f>IFERROR(__xludf.DUMMYFUNCTION("""COMPUTED_VALUE"""),"18 inch Aero")</f>
        <v>18 inch Aero</v>
      </c>
      <c r="Q2470" s="152" t="str">
        <f>IFERROR(__xludf.DUMMYFUNCTION("""COMPUTED_VALUE"""),"Black seats")</f>
        <v>Black seats</v>
      </c>
      <c r="R2470" s="149" t="str">
        <f>IFERROR(__xludf.DUMMYFUNCTION("""COMPUTED_VALUE"""),"None")</f>
        <v>None</v>
      </c>
      <c r="S2470" s="149"/>
      <c r="T2470" s="145"/>
      <c r="U2470" s="145"/>
      <c r="V2470" s="145"/>
      <c r="W2470" s="136"/>
      <c r="X2470" s="137" t="str">
        <f>IFERROR(__xludf.DUMMYFUNCTION("""COMPUTED_VALUE"""),"Excellent")</f>
        <v>Excellent</v>
      </c>
      <c r="Y2470" s="138" t="str">
        <f>IFERROR(__xludf.DUMMYFUNCTION("""COMPUTED_VALUE"""),"Excellent")</f>
        <v>Excellent</v>
      </c>
      <c r="Z2470" s="138" t="str">
        <f>IFERROR(__xludf.DUMMYFUNCTION("""COMPUTED_VALUE"""),"Excellent")</f>
        <v>Excellent</v>
      </c>
      <c r="AA2470" s="138" t="str">
        <f>IFERROR(__xludf.DUMMYFUNCTION("""COMPUTED_VALUE"""),"Fair")</f>
        <v>Fair</v>
      </c>
      <c r="AB2470" s="138" t="str">
        <f>IFERROR(__xludf.DUMMYFUNCTION("""COMPUTED_VALUE"""),"Good")</f>
        <v>Good</v>
      </c>
      <c r="AC2470" s="139"/>
      <c r="AD2470" s="139"/>
      <c r="AE2470" s="139"/>
      <c r="AF2470" s="140"/>
      <c r="AG2470" s="136"/>
      <c r="AH2470" s="157">
        <f>IFERROR(__xludf.DUMMYFUNCTION("""COMPUTED_VALUE"""),43377.55188140047)</f>
        <v>43377.55188</v>
      </c>
      <c r="AI2470" s="138"/>
      <c r="AJ2470" s="138"/>
      <c r="AK2470" s="138"/>
      <c r="AL2470" s="142"/>
    </row>
    <row r="2471" ht="20.25" customHeight="1">
      <c r="A2471" s="155" t="str">
        <f>IFERROR(__xludf.DUMMYFUNCTION("""COMPUTED_VALUE"""),"JAYT")</f>
        <v>JAYT</v>
      </c>
      <c r="B2471" s="149"/>
      <c r="C2471" s="149" t="str">
        <f>IFERROR(__xludf.DUMMYFUNCTION("""COMPUTED_VALUE"""),"CA")</f>
        <v>CA</v>
      </c>
      <c r="D2471" s="149" t="str">
        <f>IFERROR(__xludf.DUMMYFUNCTION("""COMPUTED_VALUE"""),"USA")</f>
        <v>USA</v>
      </c>
      <c r="E2471" s="156">
        <f>IFERROR(__xludf.DUMMYFUNCTION("""COMPUTED_VALUE"""),43327.0)</f>
        <v>43327</v>
      </c>
      <c r="F2471" s="129"/>
      <c r="G2471" s="154"/>
      <c r="H2471" s="131">
        <f>IFERROR(__xludf.DUMMYFUNCTION("""COMPUTED_VALUE"""),84255.0)</f>
        <v>84255</v>
      </c>
      <c r="I2471" s="144"/>
      <c r="J2471" s="129">
        <f>IFERROR(__xludf.DUMMYFUNCTION("""COMPUTED_VALUE"""),43370.0)</f>
        <v>43370</v>
      </c>
      <c r="K2471" s="133"/>
      <c r="L2471" s="133"/>
      <c r="M2471" s="133">
        <f>IFERROR(__xludf.DUMMYFUNCTION("""COMPUTED_VALUE"""),43.0)</f>
        <v>43</v>
      </c>
      <c r="N2471" s="152" t="str">
        <f>IFERROR(__xludf.DUMMYFUNCTION("""COMPUTED_VALUE"""),"Model 3 Performance")</f>
        <v>Model 3 Performance</v>
      </c>
      <c r="O2471" s="152" t="str">
        <f>IFERROR(__xludf.DUMMYFUNCTION("""COMPUTED_VALUE"""),"Pearl White Multi-Coat")</f>
        <v>Pearl White Multi-Coat</v>
      </c>
      <c r="P2471" s="153" t="str">
        <f>IFERROR(__xludf.DUMMYFUNCTION("""COMPUTED_VALUE"""),"20 inch Sport")</f>
        <v>20 inch Sport</v>
      </c>
      <c r="Q2471" s="152" t="str">
        <f>IFERROR(__xludf.DUMMYFUNCTION("""COMPUTED_VALUE"""),"Black seats")</f>
        <v>Black seats</v>
      </c>
      <c r="R2471" s="149" t="str">
        <f>IFERROR(__xludf.DUMMYFUNCTION("""COMPUTED_VALUE"""),"Enhanced Autopilot")</f>
        <v>Enhanced Autopilot</v>
      </c>
      <c r="S2471" s="149"/>
      <c r="T2471" s="145"/>
      <c r="U2471" s="145"/>
      <c r="V2471" s="145"/>
      <c r="W2471" s="136"/>
      <c r="X2471" s="137" t="str">
        <f>IFERROR(__xludf.DUMMYFUNCTION("""COMPUTED_VALUE"""),"Good")</f>
        <v>Good</v>
      </c>
      <c r="Y2471" s="138" t="str">
        <f>IFERROR(__xludf.DUMMYFUNCTION("""COMPUTED_VALUE"""),"Excellent")</f>
        <v>Excellent</v>
      </c>
      <c r="Z2471" s="138" t="str">
        <f>IFERROR(__xludf.DUMMYFUNCTION("""COMPUTED_VALUE"""),"Excellent")</f>
        <v>Excellent</v>
      </c>
      <c r="AA2471" s="138" t="str">
        <f>IFERROR(__xludf.DUMMYFUNCTION("""COMPUTED_VALUE"""),"Poor")</f>
        <v>Poor</v>
      </c>
      <c r="AB2471" s="138" t="str">
        <f>IFERROR(__xludf.DUMMYFUNCTION("""COMPUTED_VALUE"""),"Poor")</f>
        <v>Poor</v>
      </c>
      <c r="AC2471" s="139">
        <f>IFERROR(__xludf.DUMMYFUNCTION("""COMPUTED_VALUE"""),1.0)</f>
        <v>1</v>
      </c>
      <c r="AD2471" s="139">
        <f>IFERROR(__xludf.DUMMYFUNCTION("""COMPUTED_VALUE"""),1.0)</f>
        <v>1</v>
      </c>
      <c r="AE2471" s="139"/>
      <c r="AF2471" s="140"/>
      <c r="AG2471" s="136"/>
      <c r="AH2471" s="157">
        <f>IFERROR(__xludf.DUMMYFUNCTION("""COMPUTED_VALUE"""),43376.60447709491)</f>
        <v>43376.60448</v>
      </c>
      <c r="AI2471" s="138"/>
      <c r="AJ2471" s="138"/>
      <c r="AK2471" s="138"/>
      <c r="AL2471" s="142"/>
    </row>
    <row r="2472" ht="20.25" customHeight="1">
      <c r="A2472" s="155" t="str">
        <f>IFERROR(__xludf.DUMMYFUNCTION("""COMPUTED_VALUE"""),"m3awdsd")</f>
        <v>m3awdsd</v>
      </c>
      <c r="B2472" s="149" t="str">
        <f>IFERROR(__xludf.DUMMYFUNCTION("""COMPUTED_VALUE"""),"San Diego")</f>
        <v>San Diego</v>
      </c>
      <c r="C2472" s="149" t="str">
        <f>IFERROR(__xludf.DUMMYFUNCTION("""COMPUTED_VALUE"""),"CA")</f>
        <v>CA</v>
      </c>
      <c r="D2472" s="149" t="str">
        <f>IFERROR(__xludf.DUMMYFUNCTION("""COMPUTED_VALUE"""),"USA")</f>
        <v>USA</v>
      </c>
      <c r="E2472" s="156">
        <f>IFERROR(__xludf.DUMMYFUNCTION("""COMPUTED_VALUE"""),43327.0)</f>
        <v>43327</v>
      </c>
      <c r="F2472" s="129">
        <f>IFERROR(__xludf.DUMMYFUNCTION("""COMPUTED_VALUE"""),43367.0)</f>
        <v>43367</v>
      </c>
      <c r="G2472" s="154"/>
      <c r="H2472" s="131"/>
      <c r="I2472" s="144"/>
      <c r="J2472" s="129">
        <f>IFERROR(__xludf.DUMMYFUNCTION("""COMPUTED_VALUE"""),43372.0)</f>
        <v>43372</v>
      </c>
      <c r="K2472" s="133">
        <f>IFERROR(__xludf.DUMMYFUNCTION("""COMPUTED_VALUE"""),40.0)</f>
        <v>40</v>
      </c>
      <c r="L2472" s="133">
        <f>IFERROR(__xludf.DUMMYFUNCTION("""COMPUTED_VALUE"""),5.0)</f>
        <v>5</v>
      </c>
      <c r="M2472" s="133">
        <f>IFERROR(__xludf.DUMMYFUNCTION("""COMPUTED_VALUE"""),45.0)</f>
        <v>45</v>
      </c>
      <c r="N2472" s="152" t="str">
        <f>IFERROR(__xludf.DUMMYFUNCTION("""COMPUTED_VALUE"""),"Model 3 LR AWD")</f>
        <v>Model 3 LR AWD</v>
      </c>
      <c r="O2472" s="152" t="str">
        <f>IFERROR(__xludf.DUMMYFUNCTION("""COMPUTED_VALUE"""),"Silver Metallic")</f>
        <v>Silver Metallic</v>
      </c>
      <c r="P2472" s="153" t="str">
        <f>IFERROR(__xludf.DUMMYFUNCTION("""COMPUTED_VALUE"""),"18 inch Aero")</f>
        <v>18 inch Aero</v>
      </c>
      <c r="Q2472" s="152" t="str">
        <f>IFERROR(__xludf.DUMMYFUNCTION("""COMPUTED_VALUE"""),"Black seats")</f>
        <v>Black seats</v>
      </c>
      <c r="R2472" s="149" t="str">
        <f>IFERROR(__xludf.DUMMYFUNCTION("""COMPUTED_VALUE"""),"Enhanced Autopilot")</f>
        <v>Enhanced Autopilot</v>
      </c>
      <c r="S2472" s="149"/>
      <c r="T2472" s="145"/>
      <c r="U2472" s="145"/>
      <c r="V2472" s="145"/>
      <c r="W2472" s="136"/>
      <c r="X2472" s="137" t="str">
        <f>IFERROR(__xludf.DUMMYFUNCTION("""COMPUTED_VALUE"""),"Very Good")</f>
        <v>Very Good</v>
      </c>
      <c r="Y2472" s="138" t="str">
        <f>IFERROR(__xludf.DUMMYFUNCTION("""COMPUTED_VALUE"""),"Excellent")</f>
        <v>Excellent</v>
      </c>
      <c r="Z2472" s="138" t="str">
        <f>IFERROR(__xludf.DUMMYFUNCTION("""COMPUTED_VALUE"""),"Excellent")</f>
        <v>Excellent</v>
      </c>
      <c r="AA2472" s="138" t="str">
        <f>IFERROR(__xludf.DUMMYFUNCTION("""COMPUTED_VALUE"""),"Good")</f>
        <v>Good</v>
      </c>
      <c r="AB2472" s="138" t="str">
        <f>IFERROR(__xludf.DUMMYFUNCTION("""COMPUTED_VALUE"""),"Fair")</f>
        <v>Fair</v>
      </c>
      <c r="AC2472" s="139"/>
      <c r="AD2472" s="139"/>
      <c r="AE2472" s="139"/>
      <c r="AF2472" s="140"/>
      <c r="AG2472" s="136" t="str">
        <f>IFERROR(__xludf.DUMMYFUNCTION("""COMPUTED_VALUE"""),"Ordered EAP but was not enabled at delivery")</f>
        <v>Ordered EAP but was not enabled at delivery</v>
      </c>
      <c r="AH2472" s="157">
        <f>IFERROR(__xludf.DUMMYFUNCTION("""COMPUTED_VALUE"""),43378.602056180556)</f>
        <v>43378.60206</v>
      </c>
      <c r="AI2472" s="138"/>
      <c r="AJ2472" s="138"/>
      <c r="AK2472" s="138"/>
      <c r="AL2472" s="142"/>
    </row>
    <row r="2473" ht="20.25" customHeight="1">
      <c r="A2473" s="155" t="str">
        <f>IFERROR(__xludf.DUMMYFUNCTION("""COMPUTED_VALUE"""),"Macgreiner")</f>
        <v>Macgreiner</v>
      </c>
      <c r="B2473" s="149" t="str">
        <f>IFERROR(__xludf.DUMMYFUNCTION("""COMPUTED_VALUE"""),"MD")</f>
        <v>MD</v>
      </c>
      <c r="C2473" s="149" t="str">
        <f>IFERROR(__xludf.DUMMYFUNCTION("""COMPUTED_VALUE"""),"MD")</f>
        <v>MD</v>
      </c>
      <c r="D2473" s="149" t="str">
        <f>IFERROR(__xludf.DUMMYFUNCTION("""COMPUTED_VALUE"""),"USA")</f>
        <v>USA</v>
      </c>
      <c r="E2473" s="156">
        <f>IFERROR(__xludf.DUMMYFUNCTION("""COMPUTED_VALUE"""),43327.0)</f>
        <v>43327</v>
      </c>
      <c r="F2473" s="129">
        <f>IFERROR(__xludf.DUMMYFUNCTION("""COMPUTED_VALUE"""),43350.0)</f>
        <v>43350</v>
      </c>
      <c r="G2473" s="154"/>
      <c r="H2473" s="131">
        <f>IFERROR(__xludf.DUMMYFUNCTION("""COMPUTED_VALUE"""),97455.0)</f>
        <v>97455</v>
      </c>
      <c r="I2473" s="144" t="str">
        <f>IFERROR(__xludf.DUMMYFUNCTION("""COMPUTED_VALUE"""),"08/18")</f>
        <v>08/18</v>
      </c>
      <c r="J2473" s="129">
        <f>IFERROR(__xludf.DUMMYFUNCTION("""COMPUTED_VALUE"""),43365.0)</f>
        <v>43365</v>
      </c>
      <c r="K2473" s="133">
        <f>IFERROR(__xludf.DUMMYFUNCTION("""COMPUTED_VALUE"""),23.0)</f>
        <v>23</v>
      </c>
      <c r="L2473" s="133">
        <f>IFERROR(__xludf.DUMMYFUNCTION("""COMPUTED_VALUE"""),15.0)</f>
        <v>15</v>
      </c>
      <c r="M2473" s="133">
        <f>IFERROR(__xludf.DUMMYFUNCTION("""COMPUTED_VALUE"""),38.0)</f>
        <v>38</v>
      </c>
      <c r="N2473" s="152" t="str">
        <f>IFERROR(__xludf.DUMMYFUNCTION("""COMPUTED_VALUE"""),"Model 3 Performance")</f>
        <v>Model 3 Performance</v>
      </c>
      <c r="O2473" s="152" t="str">
        <f>IFERROR(__xludf.DUMMYFUNCTION("""COMPUTED_VALUE"""),"Red Multi-Coat")</f>
        <v>Red Multi-Coat</v>
      </c>
      <c r="P2473" s="153" t="str">
        <f>IFERROR(__xludf.DUMMYFUNCTION("""COMPUTED_VALUE"""),"18 inch Aero")</f>
        <v>18 inch Aero</v>
      </c>
      <c r="Q2473" s="152" t="str">
        <f>IFERROR(__xludf.DUMMYFUNCTION("""COMPUTED_VALUE"""),"White seats")</f>
        <v>White seats</v>
      </c>
      <c r="R2473" s="149" t="str">
        <f>IFERROR(__xludf.DUMMYFUNCTION("""COMPUTED_VALUE"""),"Enhanced Autopilot")</f>
        <v>Enhanced Autopilot</v>
      </c>
      <c r="S2473" s="149"/>
      <c r="T2473" s="145"/>
      <c r="U2473" s="145"/>
      <c r="V2473" s="145"/>
      <c r="W2473" s="136"/>
      <c r="X2473" s="137" t="str">
        <f>IFERROR(__xludf.DUMMYFUNCTION("""COMPUTED_VALUE"""),"Excellent")</f>
        <v>Excellent</v>
      </c>
      <c r="Y2473" s="138" t="str">
        <f>IFERROR(__xludf.DUMMYFUNCTION("""COMPUTED_VALUE"""),"Excellent")</f>
        <v>Excellent</v>
      </c>
      <c r="Z2473" s="138" t="str">
        <f>IFERROR(__xludf.DUMMYFUNCTION("""COMPUTED_VALUE"""),"Excellent")</f>
        <v>Excellent</v>
      </c>
      <c r="AA2473" s="138" t="str">
        <f>IFERROR(__xludf.DUMMYFUNCTION("""COMPUTED_VALUE"""),"Poor")</f>
        <v>Poor</v>
      </c>
      <c r="AB2473" s="138" t="str">
        <f>IFERROR(__xludf.DUMMYFUNCTION("""COMPUTED_VALUE"""),"Very Good")</f>
        <v>Very Good</v>
      </c>
      <c r="AC2473" s="139">
        <f>IFERROR(__xludf.DUMMYFUNCTION("""COMPUTED_VALUE"""),1.0)</f>
        <v>1</v>
      </c>
      <c r="AD2473" s="139"/>
      <c r="AE2473" s="139"/>
      <c r="AF2473" s="140"/>
      <c r="AG2473" s="136"/>
      <c r="AH2473" s="157">
        <f>IFERROR(__xludf.DUMMYFUNCTION("""COMPUTED_VALUE"""),43366.237390601855)</f>
        <v>43366.23739</v>
      </c>
      <c r="AI2473" s="138"/>
      <c r="AJ2473" s="138"/>
      <c r="AK2473" s="138"/>
      <c r="AL2473" s="142"/>
    </row>
    <row r="2474" ht="20.25" customHeight="1">
      <c r="A2474" s="155" t="str">
        <f>IFERROR(__xludf.DUMMYFUNCTION("""COMPUTED_VALUE"""),"meringoff")</f>
        <v>meringoff</v>
      </c>
      <c r="B2474" s="149" t="str">
        <f>IFERROR(__xludf.DUMMYFUNCTION("""COMPUTED_VALUE"""),"Rockville")</f>
        <v>Rockville</v>
      </c>
      <c r="C2474" s="149" t="str">
        <f>IFERROR(__xludf.DUMMYFUNCTION("""COMPUTED_VALUE"""),"MD")</f>
        <v>MD</v>
      </c>
      <c r="D2474" s="149" t="str">
        <f>IFERROR(__xludf.DUMMYFUNCTION("""COMPUTED_VALUE"""),"USA")</f>
        <v>USA</v>
      </c>
      <c r="E2474" s="156">
        <f>IFERROR(__xludf.DUMMYFUNCTION("""COMPUTED_VALUE"""),43327.0)</f>
        <v>43327</v>
      </c>
      <c r="F2474" s="129">
        <f>IFERROR(__xludf.DUMMYFUNCTION("""COMPUTED_VALUE"""),43346.0)</f>
        <v>43346</v>
      </c>
      <c r="G2474" s="154"/>
      <c r="H2474" s="131">
        <f>IFERROR(__xludf.DUMMYFUNCTION("""COMPUTED_VALUE"""),96780.0)</f>
        <v>96780</v>
      </c>
      <c r="I2474" s="144"/>
      <c r="J2474" s="129">
        <f>IFERROR(__xludf.DUMMYFUNCTION("""COMPUTED_VALUE"""),43349.0)</f>
        <v>43349</v>
      </c>
      <c r="K2474" s="133">
        <f>IFERROR(__xludf.DUMMYFUNCTION("""COMPUTED_VALUE"""),19.0)</f>
        <v>19</v>
      </c>
      <c r="L2474" s="133">
        <f>IFERROR(__xludf.DUMMYFUNCTION("""COMPUTED_VALUE"""),3.0)</f>
        <v>3</v>
      </c>
      <c r="M2474" s="133">
        <f>IFERROR(__xludf.DUMMYFUNCTION("""COMPUTED_VALUE"""),22.0)</f>
        <v>22</v>
      </c>
      <c r="N2474" s="152" t="str">
        <f>IFERROR(__xludf.DUMMYFUNCTION("""COMPUTED_VALUE"""),"Model 3 LR AWD")</f>
        <v>Model 3 LR AWD</v>
      </c>
      <c r="O2474" s="152" t="str">
        <f>IFERROR(__xludf.DUMMYFUNCTION("""COMPUTED_VALUE"""),"Pearl White Multi-Coat")</f>
        <v>Pearl White Multi-Coat</v>
      </c>
      <c r="P2474" s="153" t="str">
        <f>IFERROR(__xludf.DUMMYFUNCTION("""COMPUTED_VALUE"""),"18 inch Aero")</f>
        <v>18 inch Aero</v>
      </c>
      <c r="Q2474" s="152" t="str">
        <f>IFERROR(__xludf.DUMMYFUNCTION("""COMPUTED_VALUE"""),"White seats")</f>
        <v>White seats</v>
      </c>
      <c r="R2474" s="149" t="str">
        <f>IFERROR(__xludf.DUMMYFUNCTION("""COMPUTED_VALUE"""),"Full Self-Driving")</f>
        <v>Full Self-Driving</v>
      </c>
      <c r="S2474" s="149"/>
      <c r="T2474" s="145"/>
      <c r="U2474" s="145"/>
      <c r="V2474" s="145"/>
      <c r="W2474" s="136"/>
      <c r="X2474" s="137" t="str">
        <f>IFERROR(__xludf.DUMMYFUNCTION("""COMPUTED_VALUE"""),"Fair")</f>
        <v>Fair</v>
      </c>
      <c r="Y2474" s="138" t="str">
        <f>IFERROR(__xludf.DUMMYFUNCTION("""COMPUTED_VALUE"""),"Good")</f>
        <v>Good</v>
      </c>
      <c r="Z2474" s="138" t="str">
        <f>IFERROR(__xludf.DUMMYFUNCTION("""COMPUTED_VALUE"""),"Very Good")</f>
        <v>Very Good</v>
      </c>
      <c r="AA2474" s="138" t="str">
        <f>IFERROR(__xludf.DUMMYFUNCTION("""COMPUTED_VALUE"""),"Very Good")</f>
        <v>Very Good</v>
      </c>
      <c r="AB2474" s="138" t="str">
        <f>IFERROR(__xludf.DUMMYFUNCTION("""COMPUTED_VALUE"""),"Very Good")</f>
        <v>Very Good</v>
      </c>
      <c r="AC2474" s="139">
        <f>IFERROR(__xludf.DUMMYFUNCTION("""COMPUTED_VALUE"""),2.0)</f>
        <v>2</v>
      </c>
      <c r="AD2474" s="139">
        <f>IFERROR(__xludf.DUMMYFUNCTION("""COMPUTED_VALUE"""),1.0)</f>
        <v>1</v>
      </c>
      <c r="AE2474" s="139"/>
      <c r="AF2474" s="140"/>
      <c r="AG2474" s="136" t="str">
        <f>IFERROR(__xludf.DUMMYFUNCTION("""COMPUTED_VALUE"""),"found 7 small things. 3 gap issues and one interior panal issue above passager door. The hood is sort bent in more on left then right. Set up app for thursday to fix 7 issues. Also, had creaking sound opening and closing center console. They said they fix"&amp;" all of it. Will see. Getting wrapped and ceramic till wednesday then taking to tesla SC on thurdsay. ")</f>
        <v>found 7 small things. 3 gap issues and one interior panal issue above passager door. The hood is sort bent in more on left then right. Set up app for thursday to fix 7 issues. Also, had creaking sound opening and closing center console. They said they fix all of it. Will see. Getting wrapped and ceramic till wednesday then taking to tesla SC on thurdsay. </v>
      </c>
      <c r="AH2474" s="157">
        <f>IFERROR(__xludf.DUMMYFUNCTION("""COMPUTED_VALUE"""),43350.47217256945)</f>
        <v>43350.47217</v>
      </c>
      <c r="AI2474" s="138"/>
      <c r="AJ2474" s="138"/>
      <c r="AK2474" s="138"/>
      <c r="AL2474" s="142"/>
    </row>
    <row r="2475" ht="20.25" customHeight="1">
      <c r="A2475" s="155" t="str">
        <f>IFERROR(__xludf.DUMMYFUNCTION("""COMPUTED_VALUE"""),"pmppk")</f>
        <v>pmppk</v>
      </c>
      <c r="B2475" s="149" t="str">
        <f>IFERROR(__xludf.DUMMYFUNCTION("""COMPUTED_VALUE"""),"Oakland")</f>
        <v>Oakland</v>
      </c>
      <c r="C2475" s="149" t="str">
        <f>IFERROR(__xludf.DUMMYFUNCTION("""COMPUTED_VALUE"""),"CA")</f>
        <v>CA</v>
      </c>
      <c r="D2475" s="149" t="str">
        <f>IFERROR(__xludf.DUMMYFUNCTION("""COMPUTED_VALUE"""),"USA")</f>
        <v>USA</v>
      </c>
      <c r="E2475" s="156">
        <f>IFERROR(__xludf.DUMMYFUNCTION("""COMPUTED_VALUE"""),43327.0)</f>
        <v>43327</v>
      </c>
      <c r="F2475" s="129">
        <f>IFERROR(__xludf.DUMMYFUNCTION("""COMPUTED_VALUE"""),43353.0)</f>
        <v>43353</v>
      </c>
      <c r="G2475" s="154"/>
      <c r="H2475" s="131">
        <f>IFERROR(__xludf.DUMMYFUNCTION("""COMPUTED_VALUE"""),80655.0)</f>
        <v>80655</v>
      </c>
      <c r="I2475" s="144" t="str">
        <f>IFERROR(__xludf.DUMMYFUNCTION("""COMPUTED_VALUE"""),"09/18")</f>
        <v>09/18</v>
      </c>
      <c r="J2475" s="129">
        <f>IFERROR(__xludf.DUMMYFUNCTION("""COMPUTED_VALUE"""),43358.0)</f>
        <v>43358</v>
      </c>
      <c r="K2475" s="133">
        <f>IFERROR(__xludf.DUMMYFUNCTION("""COMPUTED_VALUE"""),26.0)</f>
        <v>26</v>
      </c>
      <c r="L2475" s="133">
        <f>IFERROR(__xludf.DUMMYFUNCTION("""COMPUTED_VALUE"""),5.0)</f>
        <v>5</v>
      </c>
      <c r="M2475" s="133">
        <f>IFERROR(__xludf.DUMMYFUNCTION("""COMPUTED_VALUE"""),31.0)</f>
        <v>31</v>
      </c>
      <c r="N2475" s="152" t="str">
        <f>IFERROR(__xludf.DUMMYFUNCTION("""COMPUTED_VALUE"""),"Model 3 Performance")</f>
        <v>Model 3 Performance</v>
      </c>
      <c r="O2475" s="152" t="str">
        <f>IFERROR(__xludf.DUMMYFUNCTION("""COMPUTED_VALUE"""),"Deep Blue Metallic")</f>
        <v>Deep Blue Metallic</v>
      </c>
      <c r="P2475" s="153" t="str">
        <f>IFERROR(__xludf.DUMMYFUNCTION("""COMPUTED_VALUE"""),"20 inch Sport")</f>
        <v>20 inch Sport</v>
      </c>
      <c r="Q2475" s="152" t="str">
        <f>IFERROR(__xludf.DUMMYFUNCTION("""COMPUTED_VALUE"""),"White seats")</f>
        <v>White seats</v>
      </c>
      <c r="R2475" s="149" t="str">
        <f>IFERROR(__xludf.DUMMYFUNCTION("""COMPUTED_VALUE"""),"Full Self-Driving")</f>
        <v>Full Self-Driving</v>
      </c>
      <c r="S2475" s="149"/>
      <c r="T2475" s="145"/>
      <c r="U2475" s="145"/>
      <c r="V2475" s="145"/>
      <c r="W2475" s="136"/>
      <c r="X2475" s="137" t="str">
        <f>IFERROR(__xludf.DUMMYFUNCTION("""COMPUTED_VALUE"""),"Very Good")</f>
        <v>Very Good</v>
      </c>
      <c r="Y2475" s="138" t="str">
        <f>IFERROR(__xludf.DUMMYFUNCTION("""COMPUTED_VALUE"""),"Excellent")</f>
        <v>Excellent</v>
      </c>
      <c r="Z2475" s="138" t="str">
        <f>IFERROR(__xludf.DUMMYFUNCTION("""COMPUTED_VALUE"""),"Very Good")</f>
        <v>Very Good</v>
      </c>
      <c r="AA2475" s="138" t="str">
        <f>IFERROR(__xludf.DUMMYFUNCTION("""COMPUTED_VALUE"""),"Good")</f>
        <v>Good</v>
      </c>
      <c r="AB2475" s="138" t="str">
        <f>IFERROR(__xludf.DUMMYFUNCTION("""COMPUTED_VALUE"""),"Very Good")</f>
        <v>Very Good</v>
      </c>
      <c r="AC2475" s="139">
        <f>IFERROR(__xludf.DUMMYFUNCTION("""COMPUTED_VALUE"""),2.0)</f>
        <v>2</v>
      </c>
      <c r="AD2475" s="139"/>
      <c r="AE2475" s="139"/>
      <c r="AF2475" s="140"/>
      <c r="AG2475" s="136"/>
      <c r="AH2475" s="157">
        <f>IFERROR(__xludf.DUMMYFUNCTION("""COMPUTED_VALUE"""),43359.08794439815)</f>
        <v>43359.08794</v>
      </c>
      <c r="AI2475" s="138"/>
      <c r="AJ2475" s="138"/>
      <c r="AK2475" s="138"/>
      <c r="AL2475" s="142"/>
    </row>
    <row r="2476" ht="20.25" customHeight="1">
      <c r="A2476" s="155" t="str">
        <f>IFERROR(__xludf.DUMMYFUNCTION("""COMPUTED_VALUE"""),"fatecrew2000")</f>
        <v>fatecrew2000</v>
      </c>
      <c r="B2476" s="149" t="str">
        <f>IFERROR(__xludf.DUMMYFUNCTION("""COMPUTED_VALUE"""),"Seattle")</f>
        <v>Seattle</v>
      </c>
      <c r="C2476" s="149" t="str">
        <f>IFERROR(__xludf.DUMMYFUNCTION("""COMPUTED_VALUE"""),"WA")</f>
        <v>WA</v>
      </c>
      <c r="D2476" s="149" t="str">
        <f>IFERROR(__xludf.DUMMYFUNCTION("""COMPUTED_VALUE"""),"USA")</f>
        <v>USA</v>
      </c>
      <c r="E2476" s="156">
        <f>IFERROR(__xludf.DUMMYFUNCTION("""COMPUTED_VALUE"""),43326.0)</f>
        <v>43326</v>
      </c>
      <c r="F2476" s="129">
        <f>IFERROR(__xludf.DUMMYFUNCTION("""COMPUTED_VALUE"""),43349.0)</f>
        <v>43349</v>
      </c>
      <c r="G2476" s="154"/>
      <c r="H2476" s="131">
        <f>IFERROR(__xludf.DUMMYFUNCTION("""COMPUTED_VALUE"""),84155.0)</f>
        <v>84155</v>
      </c>
      <c r="I2476" s="144" t="str">
        <f>IFERROR(__xludf.DUMMYFUNCTION("""COMPUTED_VALUE"""),"08/18")</f>
        <v>08/18</v>
      </c>
      <c r="J2476" s="129">
        <f>IFERROR(__xludf.DUMMYFUNCTION("""COMPUTED_VALUE"""),43370.0)</f>
        <v>43370</v>
      </c>
      <c r="K2476" s="133">
        <f>IFERROR(__xludf.DUMMYFUNCTION("""COMPUTED_VALUE"""),23.0)</f>
        <v>23</v>
      </c>
      <c r="L2476" s="133">
        <f>IFERROR(__xludf.DUMMYFUNCTION("""COMPUTED_VALUE"""),21.0)</f>
        <v>21</v>
      </c>
      <c r="M2476" s="133">
        <f>IFERROR(__xludf.DUMMYFUNCTION("""COMPUTED_VALUE"""),44.0)</f>
        <v>44</v>
      </c>
      <c r="N2476" s="152" t="str">
        <f>IFERROR(__xludf.DUMMYFUNCTION("""COMPUTED_VALUE"""),"Model 3 Performance")</f>
        <v>Model 3 Performance</v>
      </c>
      <c r="O2476" s="152" t="str">
        <f>IFERROR(__xludf.DUMMYFUNCTION("""COMPUTED_VALUE"""),"Pearl White Multi-Coat")</f>
        <v>Pearl White Multi-Coat</v>
      </c>
      <c r="P2476" s="153" t="str">
        <f>IFERROR(__xludf.DUMMYFUNCTION("""COMPUTED_VALUE"""),"20 inch Sport")</f>
        <v>20 inch Sport</v>
      </c>
      <c r="Q2476" s="152" t="str">
        <f>IFERROR(__xludf.DUMMYFUNCTION("""COMPUTED_VALUE"""),"Black seats")</f>
        <v>Black seats</v>
      </c>
      <c r="R2476" s="149" t="str">
        <f>IFERROR(__xludf.DUMMYFUNCTION("""COMPUTED_VALUE"""),"None")</f>
        <v>None</v>
      </c>
      <c r="S2476" s="149"/>
      <c r="T2476" s="145"/>
      <c r="U2476" s="145"/>
      <c r="V2476" s="145"/>
      <c r="W2476" s="136"/>
      <c r="X2476" s="137" t="str">
        <f>IFERROR(__xludf.DUMMYFUNCTION("""COMPUTED_VALUE"""),"Excellent")</f>
        <v>Excellent</v>
      </c>
      <c r="Y2476" s="138" t="str">
        <f>IFERROR(__xludf.DUMMYFUNCTION("""COMPUTED_VALUE"""),"Excellent")</f>
        <v>Excellent</v>
      </c>
      <c r="Z2476" s="138" t="str">
        <f>IFERROR(__xludf.DUMMYFUNCTION("""COMPUTED_VALUE"""),"Excellent")</f>
        <v>Excellent</v>
      </c>
      <c r="AA2476" s="138" t="str">
        <f>IFERROR(__xludf.DUMMYFUNCTION("""COMPUTED_VALUE"""),"Good")</f>
        <v>Good</v>
      </c>
      <c r="AB2476" s="138" t="str">
        <f>IFERROR(__xludf.DUMMYFUNCTION("""COMPUTED_VALUE"""),"Excellent")</f>
        <v>Excellent</v>
      </c>
      <c r="AC2476" s="139">
        <f>IFERROR(__xludf.DUMMYFUNCTION("""COMPUTED_VALUE"""),1.0)</f>
        <v>1</v>
      </c>
      <c r="AD2476" s="139"/>
      <c r="AE2476" s="139"/>
      <c r="AF2476" s="140"/>
      <c r="AG2476" s="136"/>
      <c r="AH2476" s="157">
        <f>IFERROR(__xludf.DUMMYFUNCTION("""COMPUTED_VALUE"""),43370.69497869213)</f>
        <v>43370.69498</v>
      </c>
      <c r="AI2476" s="138"/>
      <c r="AJ2476" s="138"/>
      <c r="AK2476" s="138"/>
      <c r="AL2476" s="142"/>
    </row>
    <row r="2477" ht="20.25" customHeight="1">
      <c r="A2477" s="155" t="str">
        <f>IFERROR(__xludf.DUMMYFUNCTION("""COMPUTED_VALUE"""),"monsteri")</f>
        <v>monsteri</v>
      </c>
      <c r="B2477" s="149" t="str">
        <f>IFERROR(__xludf.DUMMYFUNCTION("""COMPUTED_VALUE"""),"Edmonton")</f>
        <v>Edmonton</v>
      </c>
      <c r="C2477" s="149" t="str">
        <f>IFERROR(__xludf.DUMMYFUNCTION("""COMPUTED_VALUE"""),"AB")</f>
        <v>AB</v>
      </c>
      <c r="D2477" s="149" t="str">
        <f>IFERROR(__xludf.DUMMYFUNCTION("""COMPUTED_VALUE"""),"Canada")</f>
        <v>Canada</v>
      </c>
      <c r="E2477" s="156">
        <f>IFERROR(__xludf.DUMMYFUNCTION("""COMPUTED_VALUE"""),43326.0)</f>
        <v>43326</v>
      </c>
      <c r="F2477" s="129">
        <f>IFERROR(__xludf.DUMMYFUNCTION("""COMPUTED_VALUE"""),43353.0)</f>
        <v>43353</v>
      </c>
      <c r="G2477" s="154"/>
      <c r="H2477" s="131">
        <f>IFERROR(__xludf.DUMMYFUNCTION("""COMPUTED_VALUE"""),107055.0)</f>
        <v>107055</v>
      </c>
      <c r="I2477" s="144" t="str">
        <f>IFERROR(__xludf.DUMMYFUNCTION("""COMPUTED_VALUE"""),"09/18")</f>
        <v>09/18</v>
      </c>
      <c r="J2477" s="129">
        <f>IFERROR(__xludf.DUMMYFUNCTION("""COMPUTED_VALUE"""),43365.0)</f>
        <v>43365</v>
      </c>
      <c r="K2477" s="133">
        <f>IFERROR(__xludf.DUMMYFUNCTION("""COMPUTED_VALUE"""),27.0)</f>
        <v>27</v>
      </c>
      <c r="L2477" s="133">
        <f>IFERROR(__xludf.DUMMYFUNCTION("""COMPUTED_VALUE"""),12.0)</f>
        <v>12</v>
      </c>
      <c r="M2477" s="133">
        <f>IFERROR(__xludf.DUMMYFUNCTION("""COMPUTED_VALUE"""),39.0)</f>
        <v>39</v>
      </c>
      <c r="N2477" s="152" t="str">
        <f>IFERROR(__xludf.DUMMYFUNCTION("""COMPUTED_VALUE"""),"Model 3 LR AWD")</f>
        <v>Model 3 LR AWD</v>
      </c>
      <c r="O2477" s="152" t="str">
        <f>IFERROR(__xludf.DUMMYFUNCTION("""COMPUTED_VALUE"""),"Deep Blue Metallic")</f>
        <v>Deep Blue Metallic</v>
      </c>
      <c r="P2477" s="153" t="str">
        <f>IFERROR(__xludf.DUMMYFUNCTION("""COMPUTED_VALUE"""),"18 inch Aero")</f>
        <v>18 inch Aero</v>
      </c>
      <c r="Q2477" s="152" t="str">
        <f>IFERROR(__xludf.DUMMYFUNCTION("""COMPUTED_VALUE"""),"Black seats")</f>
        <v>Black seats</v>
      </c>
      <c r="R2477" s="149" t="str">
        <f>IFERROR(__xludf.DUMMYFUNCTION("""COMPUTED_VALUE"""),"Enhanced Autopilot")</f>
        <v>Enhanced Autopilot</v>
      </c>
      <c r="S2477" s="149"/>
      <c r="T2477" s="145"/>
      <c r="U2477" s="145"/>
      <c r="V2477" s="145"/>
      <c r="W2477" s="136"/>
      <c r="X2477" s="137" t="str">
        <f>IFERROR(__xludf.DUMMYFUNCTION("""COMPUTED_VALUE"""),"Very Good")</f>
        <v>Very Good</v>
      </c>
      <c r="Y2477" s="138" t="str">
        <f>IFERROR(__xludf.DUMMYFUNCTION("""COMPUTED_VALUE"""),"Excellent")</f>
        <v>Excellent</v>
      </c>
      <c r="Z2477" s="138" t="str">
        <f>IFERROR(__xludf.DUMMYFUNCTION("""COMPUTED_VALUE"""),"Excellent")</f>
        <v>Excellent</v>
      </c>
      <c r="AA2477" s="138" t="str">
        <f>IFERROR(__xludf.DUMMYFUNCTION("""COMPUTED_VALUE"""),"Poor")</f>
        <v>Poor</v>
      </c>
      <c r="AB2477" s="138" t="str">
        <f>IFERROR(__xludf.DUMMYFUNCTION("""COMPUTED_VALUE"""),"Very Good")</f>
        <v>Very Good</v>
      </c>
      <c r="AC2477" s="139">
        <f>IFERROR(__xludf.DUMMYFUNCTION("""COMPUTED_VALUE"""),1.0)</f>
        <v>1</v>
      </c>
      <c r="AD2477" s="139"/>
      <c r="AE2477" s="139"/>
      <c r="AF2477" s="140"/>
      <c r="AG2477" s="136"/>
      <c r="AH2477" s="157">
        <f>IFERROR(__xludf.DUMMYFUNCTION("""COMPUTED_VALUE"""),43369.888278287035)</f>
        <v>43369.88828</v>
      </c>
      <c r="AI2477" s="138"/>
      <c r="AJ2477" s="138"/>
      <c r="AK2477" s="138"/>
      <c r="AL2477" s="142"/>
    </row>
    <row r="2478" ht="20.25" customHeight="1">
      <c r="A2478" s="155" t="str">
        <f>IFERROR(__xludf.DUMMYFUNCTION("""COMPUTED_VALUE"""),"roarkrd")</f>
        <v>roarkrd</v>
      </c>
      <c r="B2478" s="149" t="str">
        <f>IFERROR(__xludf.DUMMYFUNCTION("""COMPUTED_VALUE"""),"Columbia")</f>
        <v>Columbia</v>
      </c>
      <c r="C2478" s="149" t="str">
        <f>IFERROR(__xludf.DUMMYFUNCTION("""COMPUTED_VALUE"""),"MO")</f>
        <v>MO</v>
      </c>
      <c r="D2478" s="149" t="str">
        <f>IFERROR(__xludf.DUMMYFUNCTION("""COMPUTED_VALUE"""),"USA")</f>
        <v>USA</v>
      </c>
      <c r="E2478" s="156">
        <f>IFERROR(__xludf.DUMMYFUNCTION("""COMPUTED_VALUE"""),43326.0)</f>
        <v>43326</v>
      </c>
      <c r="F2478" s="129">
        <f>IFERROR(__xludf.DUMMYFUNCTION("""COMPUTED_VALUE"""),43339.0)</f>
        <v>43339</v>
      </c>
      <c r="G2478" s="154"/>
      <c r="H2478" s="131">
        <f>IFERROR(__xludf.DUMMYFUNCTION("""COMPUTED_VALUE"""),78202.0)</f>
        <v>78202</v>
      </c>
      <c r="I2478" s="144" t="str">
        <f>IFERROR(__xludf.DUMMYFUNCTION("""COMPUTED_VALUE"""),"08/18")</f>
        <v>08/18</v>
      </c>
      <c r="J2478" s="129">
        <f>IFERROR(__xludf.DUMMYFUNCTION("""COMPUTED_VALUE"""),43350.0)</f>
        <v>43350</v>
      </c>
      <c r="K2478" s="133">
        <f>IFERROR(__xludf.DUMMYFUNCTION("""COMPUTED_VALUE"""),13.0)</f>
        <v>13</v>
      </c>
      <c r="L2478" s="133">
        <f>IFERROR(__xludf.DUMMYFUNCTION("""COMPUTED_VALUE"""),11.0)</f>
        <v>11</v>
      </c>
      <c r="M2478" s="133">
        <f>IFERROR(__xludf.DUMMYFUNCTION("""COMPUTED_VALUE"""),24.0)</f>
        <v>24</v>
      </c>
      <c r="N2478" s="152" t="str">
        <f>IFERROR(__xludf.DUMMYFUNCTION("""COMPUTED_VALUE"""),"Model 3 LR")</f>
        <v>Model 3 LR</v>
      </c>
      <c r="O2478" s="152" t="str">
        <f>IFERROR(__xludf.DUMMYFUNCTION("""COMPUTED_VALUE"""),"Solid Black")</f>
        <v>Solid Black</v>
      </c>
      <c r="P2478" s="153" t="str">
        <f>IFERROR(__xludf.DUMMYFUNCTION("""COMPUTED_VALUE"""),"18 inch Aero")</f>
        <v>18 inch Aero</v>
      </c>
      <c r="Q2478" s="152" t="str">
        <f>IFERROR(__xludf.DUMMYFUNCTION("""COMPUTED_VALUE"""),"Black seats")</f>
        <v>Black seats</v>
      </c>
      <c r="R2478" s="149" t="str">
        <f>IFERROR(__xludf.DUMMYFUNCTION("""COMPUTED_VALUE"""),"None")</f>
        <v>None</v>
      </c>
      <c r="S2478" s="149"/>
      <c r="T2478" s="145"/>
      <c r="U2478" s="145"/>
      <c r="V2478" s="145"/>
      <c r="W2478" s="136"/>
      <c r="X2478" s="137" t="str">
        <f>IFERROR(__xludf.DUMMYFUNCTION("""COMPUTED_VALUE"""),"Excellent")</f>
        <v>Excellent</v>
      </c>
      <c r="Y2478" s="138" t="str">
        <f>IFERROR(__xludf.DUMMYFUNCTION("""COMPUTED_VALUE"""),"Excellent")</f>
        <v>Excellent</v>
      </c>
      <c r="Z2478" s="138" t="str">
        <f>IFERROR(__xludf.DUMMYFUNCTION("""COMPUTED_VALUE"""),"Very Good")</f>
        <v>Very Good</v>
      </c>
      <c r="AA2478" s="138" t="str">
        <f>IFERROR(__xludf.DUMMYFUNCTION("""COMPUTED_VALUE"""),"Good")</f>
        <v>Good</v>
      </c>
      <c r="AB2478" s="138" t="str">
        <f>IFERROR(__xludf.DUMMYFUNCTION("""COMPUTED_VALUE"""),"Very Good")</f>
        <v>Very Good</v>
      </c>
      <c r="AC2478" s="139">
        <f>IFERROR(__xludf.DUMMYFUNCTION("""COMPUTED_VALUE"""),3.0)</f>
        <v>3</v>
      </c>
      <c r="AD2478" s="139">
        <f>IFERROR(__xludf.DUMMYFUNCTION("""COMPUTED_VALUE"""),1.0)</f>
        <v>1</v>
      </c>
      <c r="AE2478" s="139">
        <f>IFERROR(__xludf.DUMMYFUNCTION("""COMPUTED_VALUE"""),0.0)</f>
        <v>0</v>
      </c>
      <c r="AF2478" s="140"/>
      <c r="AG2478" s="136" t="str">
        <f>IFERROR(__xludf.DUMMYFUNCTION("""COMPUTED_VALUE"""),"UMC button will not open charge port, front passenger window doesn't roll down all the way, left turn signal does not function properly (no 3 signal option, gets stuck on)")</f>
        <v>UMC button will not open charge port, front passenger window doesn't roll down all the way, left turn signal does not function properly (no 3 signal option, gets stuck on)</v>
      </c>
      <c r="AH2478" s="157">
        <f>IFERROR(__xludf.DUMMYFUNCTION("""COMPUTED_VALUE"""),43354.573483796295)</f>
        <v>43354.57348</v>
      </c>
      <c r="AI2478" s="138"/>
      <c r="AJ2478" s="138"/>
      <c r="AK2478" s="138"/>
      <c r="AL2478" s="142"/>
    </row>
    <row r="2479" ht="20.25" customHeight="1">
      <c r="A2479" s="155" t="str">
        <f>IFERROR(__xludf.DUMMYFUNCTION("""COMPUTED_VALUE"""),"Six Years And Counting")</f>
        <v>Six Years And Counting</v>
      </c>
      <c r="B2479" s="149" t="str">
        <f>IFERROR(__xludf.DUMMYFUNCTION("""COMPUTED_VALUE"""),"Boston, MA")</f>
        <v>Boston, MA</v>
      </c>
      <c r="C2479" s="149" t="str">
        <f>IFERROR(__xludf.DUMMYFUNCTION("""COMPUTED_VALUE"""),"MA")</f>
        <v>MA</v>
      </c>
      <c r="D2479" s="149" t="str">
        <f>IFERROR(__xludf.DUMMYFUNCTION("""COMPUTED_VALUE"""),"USA")</f>
        <v>USA</v>
      </c>
      <c r="E2479" s="156">
        <f>IFERROR(__xludf.DUMMYFUNCTION("""COMPUTED_VALUE"""),43326.0)</f>
        <v>43326</v>
      </c>
      <c r="F2479" s="129">
        <f>IFERROR(__xludf.DUMMYFUNCTION("""COMPUTED_VALUE"""),43340.0)</f>
        <v>43340</v>
      </c>
      <c r="G2479" s="154"/>
      <c r="H2479" s="131">
        <f>IFERROR(__xludf.DUMMYFUNCTION("""COMPUTED_VALUE"""),99855.0)</f>
        <v>99855</v>
      </c>
      <c r="I2479" s="144"/>
      <c r="J2479" s="129">
        <f>IFERROR(__xludf.DUMMYFUNCTION("""COMPUTED_VALUE"""),43368.0)</f>
        <v>43368</v>
      </c>
      <c r="K2479" s="133">
        <f>IFERROR(__xludf.DUMMYFUNCTION("""COMPUTED_VALUE"""),14.0)</f>
        <v>14</v>
      </c>
      <c r="L2479" s="133">
        <f>IFERROR(__xludf.DUMMYFUNCTION("""COMPUTED_VALUE"""),28.0)</f>
        <v>28</v>
      </c>
      <c r="M2479" s="133">
        <f>IFERROR(__xludf.DUMMYFUNCTION("""COMPUTED_VALUE"""),42.0)</f>
        <v>42</v>
      </c>
      <c r="N2479" s="152" t="str">
        <f>IFERROR(__xludf.DUMMYFUNCTION("""COMPUTED_VALUE"""),"Model 3 LR AWD")</f>
        <v>Model 3 LR AWD</v>
      </c>
      <c r="O2479" s="152" t="str">
        <f>IFERROR(__xludf.DUMMYFUNCTION("""COMPUTED_VALUE"""),"Deep Blue Metallic")</f>
        <v>Deep Blue Metallic</v>
      </c>
      <c r="P2479" s="153" t="str">
        <f>IFERROR(__xludf.DUMMYFUNCTION("""COMPUTED_VALUE"""),"18 inch Aero")</f>
        <v>18 inch Aero</v>
      </c>
      <c r="Q2479" s="152" t="str">
        <f>IFERROR(__xludf.DUMMYFUNCTION("""COMPUTED_VALUE"""),"White seats")</f>
        <v>White seats</v>
      </c>
      <c r="R2479" s="149" t="str">
        <f>IFERROR(__xludf.DUMMYFUNCTION("""COMPUTED_VALUE"""),"None")</f>
        <v>None</v>
      </c>
      <c r="S2479" s="149"/>
      <c r="T2479" s="145"/>
      <c r="U2479" s="145"/>
      <c r="V2479" s="145"/>
      <c r="W2479" s="136"/>
      <c r="X2479" s="137" t="str">
        <f>IFERROR(__xludf.DUMMYFUNCTION("""COMPUTED_VALUE"""),"Excellent")</f>
        <v>Excellent</v>
      </c>
      <c r="Y2479" s="138" t="str">
        <f>IFERROR(__xludf.DUMMYFUNCTION("""COMPUTED_VALUE"""),"Excellent")</f>
        <v>Excellent</v>
      </c>
      <c r="Z2479" s="138" t="str">
        <f>IFERROR(__xludf.DUMMYFUNCTION("""COMPUTED_VALUE"""),"Excellent")</f>
        <v>Excellent</v>
      </c>
      <c r="AA2479" s="138" t="str">
        <f>IFERROR(__xludf.DUMMYFUNCTION("""COMPUTED_VALUE"""),"Very Good")</f>
        <v>Very Good</v>
      </c>
      <c r="AB2479" s="138" t="str">
        <f>IFERROR(__xludf.DUMMYFUNCTION("""COMPUTED_VALUE"""),"Excellent")</f>
        <v>Excellent</v>
      </c>
      <c r="AC2479" s="139">
        <f>IFERROR(__xludf.DUMMYFUNCTION("""COMPUTED_VALUE"""),0.0)</f>
        <v>0</v>
      </c>
      <c r="AD2479" s="139"/>
      <c r="AE2479" s="139"/>
      <c r="AF2479" s="140"/>
      <c r="AG2479" s="136"/>
      <c r="AH2479" s="157">
        <f>IFERROR(__xludf.DUMMYFUNCTION("""COMPUTED_VALUE"""),43368.38713444444)</f>
        <v>43368.38713</v>
      </c>
      <c r="AI2479" s="138"/>
      <c r="AJ2479" s="138"/>
      <c r="AK2479" s="138"/>
      <c r="AL2479" s="142"/>
    </row>
    <row r="2480" ht="20.25" customHeight="1">
      <c r="A2480" s="155" t="str">
        <f>IFERROR(__xludf.DUMMYFUNCTION("""COMPUTED_VALUE"""),"ssssly")</f>
        <v>ssssly</v>
      </c>
      <c r="B2480" s="149" t="str">
        <f>IFERROR(__xludf.DUMMYFUNCTION("""COMPUTED_VALUE"""),"Orlando")</f>
        <v>Orlando</v>
      </c>
      <c r="C2480" s="149" t="str">
        <f>IFERROR(__xludf.DUMMYFUNCTION("""COMPUTED_VALUE"""),"FL")</f>
        <v>FL</v>
      </c>
      <c r="D2480" s="149" t="str">
        <f>IFERROR(__xludf.DUMMYFUNCTION("""COMPUTED_VALUE"""),"USA")</f>
        <v>USA</v>
      </c>
      <c r="E2480" s="156">
        <f>IFERROR(__xludf.DUMMYFUNCTION("""COMPUTED_VALUE"""),43326.0)</f>
        <v>43326</v>
      </c>
      <c r="F2480" s="129">
        <f>IFERROR(__xludf.DUMMYFUNCTION("""COMPUTED_VALUE"""),43365.0)</f>
        <v>43365</v>
      </c>
      <c r="G2480" s="154"/>
      <c r="H2480" s="131">
        <f>IFERROR(__xludf.DUMMYFUNCTION("""COMPUTED_VALUE"""),80764.0)</f>
        <v>80764</v>
      </c>
      <c r="I2480" s="144" t="str">
        <f>IFERROR(__xludf.DUMMYFUNCTION("""COMPUTED_VALUE"""),"09/18")</f>
        <v>09/18</v>
      </c>
      <c r="J2480" s="129">
        <f>IFERROR(__xludf.DUMMYFUNCTION("""COMPUTED_VALUE"""),43382.0)</f>
        <v>43382</v>
      </c>
      <c r="K2480" s="133">
        <f>IFERROR(__xludf.DUMMYFUNCTION("""COMPUTED_VALUE"""),39.0)</f>
        <v>39</v>
      </c>
      <c r="L2480" s="133">
        <f>IFERROR(__xludf.DUMMYFUNCTION("""COMPUTED_VALUE"""),17.0)</f>
        <v>17</v>
      </c>
      <c r="M2480" s="133">
        <f>IFERROR(__xludf.DUMMYFUNCTION("""COMPUTED_VALUE"""),56.0)</f>
        <v>56</v>
      </c>
      <c r="N2480" s="152" t="str">
        <f>IFERROR(__xludf.DUMMYFUNCTION("""COMPUTED_VALUE"""),"Model 3 Performance")</f>
        <v>Model 3 Performance</v>
      </c>
      <c r="O2480" s="152" t="str">
        <f>IFERROR(__xludf.DUMMYFUNCTION("""COMPUTED_VALUE"""),"Deep Blue Metallic")</f>
        <v>Deep Blue Metallic</v>
      </c>
      <c r="P2480" s="153" t="str">
        <f>IFERROR(__xludf.DUMMYFUNCTION("""COMPUTED_VALUE"""),"20 inch Sport")</f>
        <v>20 inch Sport</v>
      </c>
      <c r="Q2480" s="152" t="str">
        <f>IFERROR(__xludf.DUMMYFUNCTION("""COMPUTED_VALUE"""),"White seats")</f>
        <v>White seats</v>
      </c>
      <c r="R2480" s="149" t="str">
        <f>IFERROR(__xludf.DUMMYFUNCTION("""COMPUTED_VALUE"""),"Enhanced Autopilot")</f>
        <v>Enhanced Autopilot</v>
      </c>
      <c r="S2480" s="149"/>
      <c r="T2480" s="145"/>
      <c r="U2480" s="145"/>
      <c r="V2480" s="145"/>
      <c r="W2480" s="136"/>
      <c r="X2480" s="137" t="str">
        <f>IFERROR(__xludf.DUMMYFUNCTION("""COMPUTED_VALUE"""),"Very Good")</f>
        <v>Very Good</v>
      </c>
      <c r="Y2480" s="138" t="str">
        <f>IFERROR(__xludf.DUMMYFUNCTION("""COMPUTED_VALUE"""),"Excellent")</f>
        <v>Excellent</v>
      </c>
      <c r="Z2480" s="138" t="str">
        <f>IFERROR(__xludf.DUMMYFUNCTION("""COMPUTED_VALUE"""),"Excellent")</f>
        <v>Excellent</v>
      </c>
      <c r="AA2480" s="138" t="str">
        <f>IFERROR(__xludf.DUMMYFUNCTION("""COMPUTED_VALUE"""),"Poor")</f>
        <v>Poor</v>
      </c>
      <c r="AB2480" s="138" t="str">
        <f>IFERROR(__xludf.DUMMYFUNCTION("""COMPUTED_VALUE"""),"Very Good")</f>
        <v>Very Good</v>
      </c>
      <c r="AC2480" s="139">
        <f>IFERROR(__xludf.DUMMYFUNCTION("""COMPUTED_VALUE"""),1.0)</f>
        <v>1</v>
      </c>
      <c r="AD2480" s="139">
        <f>IFERROR(__xludf.DUMMYFUNCTION("""COMPUTED_VALUE"""),1.0)</f>
        <v>1</v>
      </c>
      <c r="AE2480" s="139">
        <f>IFERROR(__xludf.DUMMYFUNCTION("""COMPUTED_VALUE"""),0.0)</f>
        <v>0</v>
      </c>
      <c r="AF2480" s="140"/>
      <c r="AG2480" s="136" t="str">
        <f>IFERROR(__xludf.DUMMYFUNCTION("""COMPUTED_VALUE""")," Vin changed removed on 9/21 new VIN assigned 9/30; Delivery adjusted 4 times; 9/28, 10/1, 10/6, 10/10; Moved back to 10/9 on 10/8; throughout the entire delivery process I had to be proactive as Tesla wasn't")</f>
        <v> Vin changed removed on 9/21 new VIN assigned 9/30; Delivery adjusted 4 times; 9/28, 10/1, 10/6, 10/10; Moved back to 10/9 on 10/8; throughout the entire delivery process I had to be proactive as Tesla wasn't</v>
      </c>
      <c r="AH2480" s="157">
        <f>IFERROR(__xludf.DUMMYFUNCTION("""COMPUTED_VALUE"""),43401.60965915509)</f>
        <v>43401.60966</v>
      </c>
      <c r="AI2480" s="138"/>
      <c r="AJ2480" s="138"/>
      <c r="AK2480" s="138"/>
      <c r="AL2480" s="142"/>
    </row>
    <row r="2481" ht="20.25" customHeight="1">
      <c r="A2481" s="155" t="str">
        <f>IFERROR(__xludf.DUMMYFUNCTION("""COMPUTED_VALUE"""),"Toadmanor")</f>
        <v>Toadmanor</v>
      </c>
      <c r="B2481" s="149" t="str">
        <f>IFERROR(__xludf.DUMMYFUNCTION("""COMPUTED_VALUE"""),"Twin City Area")</f>
        <v>Twin City Area</v>
      </c>
      <c r="C2481" s="149" t="str">
        <f>IFERROR(__xludf.DUMMYFUNCTION("""COMPUTED_VALUE"""),"MN")</f>
        <v>MN</v>
      </c>
      <c r="D2481" s="149" t="str">
        <f>IFERROR(__xludf.DUMMYFUNCTION("""COMPUTED_VALUE"""),"USA")</f>
        <v>USA</v>
      </c>
      <c r="E2481" s="156">
        <f>IFERROR(__xludf.DUMMYFUNCTION("""COMPUTED_VALUE"""),43326.0)</f>
        <v>43326</v>
      </c>
      <c r="F2481" s="129">
        <f>IFERROR(__xludf.DUMMYFUNCTION("""COMPUTED_VALUE"""),43329.0)</f>
        <v>43329</v>
      </c>
      <c r="G2481" s="154"/>
      <c r="H2481" s="131">
        <f>IFERROR(__xludf.DUMMYFUNCTION("""COMPUTED_VALUE"""),58755.0)</f>
        <v>58755</v>
      </c>
      <c r="I2481" s="144" t="str">
        <f>IFERROR(__xludf.DUMMYFUNCTION("""COMPUTED_VALUE"""),"07/18")</f>
        <v>07/18</v>
      </c>
      <c r="J2481" s="129">
        <f>IFERROR(__xludf.DUMMYFUNCTION("""COMPUTED_VALUE"""),43336.0)</f>
        <v>43336</v>
      </c>
      <c r="K2481" s="133">
        <f>IFERROR(__xludf.DUMMYFUNCTION("""COMPUTED_VALUE"""),3.0)</f>
        <v>3</v>
      </c>
      <c r="L2481" s="133">
        <f>IFERROR(__xludf.DUMMYFUNCTION("""COMPUTED_VALUE"""),7.0)</f>
        <v>7</v>
      </c>
      <c r="M2481" s="133">
        <f>IFERROR(__xludf.DUMMYFUNCTION("""COMPUTED_VALUE"""),10.0)</f>
        <v>10</v>
      </c>
      <c r="N2481" s="152" t="str">
        <f>IFERROR(__xludf.DUMMYFUNCTION("""COMPUTED_VALUE"""),"Model 3 LR")</f>
        <v>Model 3 LR</v>
      </c>
      <c r="O2481" s="152" t="str">
        <f>IFERROR(__xludf.DUMMYFUNCTION("""COMPUTED_VALUE"""),"Silver Metallic")</f>
        <v>Silver Metallic</v>
      </c>
      <c r="P2481" s="153" t="str">
        <f>IFERROR(__xludf.DUMMYFUNCTION("""COMPUTED_VALUE"""),"18 inch Aero")</f>
        <v>18 inch Aero</v>
      </c>
      <c r="Q2481" s="152" t="str">
        <f>IFERROR(__xludf.DUMMYFUNCTION("""COMPUTED_VALUE"""),"Black seats")</f>
        <v>Black seats</v>
      </c>
      <c r="R2481" s="149" t="str">
        <f>IFERROR(__xludf.DUMMYFUNCTION("""COMPUTED_VALUE"""),"Enhanced Autopilot")</f>
        <v>Enhanced Autopilot</v>
      </c>
      <c r="S2481" s="149"/>
      <c r="T2481" s="145"/>
      <c r="U2481" s="145"/>
      <c r="V2481" s="145"/>
      <c r="W2481" s="136"/>
      <c r="X2481" s="137" t="str">
        <f>IFERROR(__xludf.DUMMYFUNCTION("""COMPUTED_VALUE"""),"Very Good")</f>
        <v>Very Good</v>
      </c>
      <c r="Y2481" s="138" t="str">
        <f>IFERROR(__xludf.DUMMYFUNCTION("""COMPUTED_VALUE"""),"Excellent")</f>
        <v>Excellent</v>
      </c>
      <c r="Z2481" s="138" t="str">
        <f>IFERROR(__xludf.DUMMYFUNCTION("""COMPUTED_VALUE"""),"Excellent")</f>
        <v>Excellent</v>
      </c>
      <c r="AA2481" s="138" t="str">
        <f>IFERROR(__xludf.DUMMYFUNCTION("""COMPUTED_VALUE"""),"Good")</f>
        <v>Good</v>
      </c>
      <c r="AB2481" s="138" t="str">
        <f>IFERROR(__xludf.DUMMYFUNCTION("""COMPUTED_VALUE"""),"Good")</f>
        <v>Good</v>
      </c>
      <c r="AC2481" s="139"/>
      <c r="AD2481" s="139"/>
      <c r="AE2481" s="139"/>
      <c r="AF2481" s="140"/>
      <c r="AG2481" s="136"/>
      <c r="AH2481" s="157">
        <f>IFERROR(__xludf.DUMMYFUNCTION("""COMPUTED_VALUE"""),43339.162881250006)</f>
        <v>43339.16288</v>
      </c>
      <c r="AI2481" s="138"/>
      <c r="AJ2481" s="138"/>
      <c r="AK2481" s="138"/>
      <c r="AL2481" s="142"/>
    </row>
    <row r="2482" ht="20.25" customHeight="1">
      <c r="A2482" s="155" t="str">
        <f>IFERROR(__xludf.DUMMYFUNCTION("""COMPUTED_VALUE"""),"twryan3")</f>
        <v>twryan3</v>
      </c>
      <c r="B2482" s="149" t="str">
        <f>IFERROR(__xludf.DUMMYFUNCTION("""COMPUTED_VALUE"""),"Memphis")</f>
        <v>Memphis</v>
      </c>
      <c r="C2482" s="149" t="str">
        <f>IFERROR(__xludf.DUMMYFUNCTION("""COMPUTED_VALUE"""),"TN")</f>
        <v>TN</v>
      </c>
      <c r="D2482" s="149" t="str">
        <f>IFERROR(__xludf.DUMMYFUNCTION("""COMPUTED_VALUE"""),"USA")</f>
        <v>USA</v>
      </c>
      <c r="E2482" s="156">
        <f>IFERROR(__xludf.DUMMYFUNCTION("""COMPUTED_VALUE"""),43326.0)</f>
        <v>43326</v>
      </c>
      <c r="F2482" s="129">
        <f>IFERROR(__xludf.DUMMYFUNCTION("""COMPUTED_VALUE"""),43395.0)</f>
        <v>43395</v>
      </c>
      <c r="G2482" s="154"/>
      <c r="H2482" s="131">
        <f>IFERROR(__xludf.DUMMYFUNCTION("""COMPUTED_VALUE"""),109355.0)</f>
        <v>109355</v>
      </c>
      <c r="I2482" s="144" t="str">
        <f>IFERROR(__xludf.DUMMYFUNCTION("""COMPUTED_VALUE"""),"10/18")</f>
        <v>10/18</v>
      </c>
      <c r="J2482" s="129">
        <f>IFERROR(__xludf.DUMMYFUNCTION("""COMPUTED_VALUE"""),43410.0)</f>
        <v>43410</v>
      </c>
      <c r="K2482" s="133">
        <f>IFERROR(__xludf.DUMMYFUNCTION("""COMPUTED_VALUE"""),69.0)</f>
        <v>69</v>
      </c>
      <c r="L2482" s="133">
        <f>IFERROR(__xludf.DUMMYFUNCTION("""COMPUTED_VALUE"""),15.0)</f>
        <v>15</v>
      </c>
      <c r="M2482" s="133">
        <f>IFERROR(__xludf.DUMMYFUNCTION("""COMPUTED_VALUE"""),84.0)</f>
        <v>84</v>
      </c>
      <c r="N2482" s="152" t="str">
        <f>IFERROR(__xludf.DUMMYFUNCTION("""COMPUTED_VALUE"""),"Model 3 LR AWD")</f>
        <v>Model 3 LR AWD</v>
      </c>
      <c r="O2482" s="152" t="str">
        <f>IFERROR(__xludf.DUMMYFUNCTION("""COMPUTED_VALUE"""),"Obsidian Black Metallic")</f>
        <v>Obsidian Black Metallic</v>
      </c>
      <c r="P2482" s="153" t="str">
        <f>IFERROR(__xludf.DUMMYFUNCTION("""COMPUTED_VALUE"""),"19 inch Sport")</f>
        <v>19 inch Sport</v>
      </c>
      <c r="Q2482" s="152" t="str">
        <f>IFERROR(__xludf.DUMMYFUNCTION("""COMPUTED_VALUE"""),"Black seats")</f>
        <v>Black seats</v>
      </c>
      <c r="R2482" s="149" t="str">
        <f>IFERROR(__xludf.DUMMYFUNCTION("""COMPUTED_VALUE"""),"Enhanced Autopilot")</f>
        <v>Enhanced Autopilot</v>
      </c>
      <c r="S2482" s="149"/>
      <c r="T2482" s="145"/>
      <c r="U2482" s="145"/>
      <c r="V2482" s="145"/>
      <c r="W2482" s="136"/>
      <c r="X2482" s="137" t="str">
        <f>IFERROR(__xludf.DUMMYFUNCTION("""COMPUTED_VALUE"""),"Excellent")</f>
        <v>Excellent</v>
      </c>
      <c r="Y2482" s="138" t="str">
        <f>IFERROR(__xludf.DUMMYFUNCTION("""COMPUTED_VALUE"""),"Excellent")</f>
        <v>Excellent</v>
      </c>
      <c r="Z2482" s="138" t="str">
        <f>IFERROR(__xludf.DUMMYFUNCTION("""COMPUTED_VALUE"""),"Very Good")</f>
        <v>Very Good</v>
      </c>
      <c r="AA2482" s="138" t="str">
        <f>IFERROR(__xludf.DUMMYFUNCTION("""COMPUTED_VALUE"""),"Fair")</f>
        <v>Fair</v>
      </c>
      <c r="AB2482" s="138" t="str">
        <f>IFERROR(__xludf.DUMMYFUNCTION("""COMPUTED_VALUE"""),"Excellent")</f>
        <v>Excellent</v>
      </c>
      <c r="AC2482" s="139"/>
      <c r="AD2482" s="139"/>
      <c r="AE2482" s="139"/>
      <c r="AF2482" s="140"/>
      <c r="AG2482" s="136" t="str">
        <f>IFERROR(__xludf.DUMMYFUNCTION("""COMPUTED_VALUE"""),"The delivery team in Vegas were abysmal, to the point of lying to me.  Nashville was great.")</f>
        <v>The delivery team in Vegas were abysmal, to the point of lying to me.  Nashville was great.</v>
      </c>
      <c r="AH2482" s="157">
        <f>IFERROR(__xludf.DUMMYFUNCTION("""COMPUTED_VALUE"""),43411.35649302083)</f>
        <v>43411.35649</v>
      </c>
      <c r="AI2482" s="138"/>
      <c r="AJ2482" s="138"/>
      <c r="AK2482" s="138"/>
      <c r="AL2482" s="142"/>
    </row>
    <row r="2483" ht="20.25" customHeight="1">
      <c r="A2483" s="155" t="str">
        <f>IFERROR(__xludf.DUMMYFUNCTION("""COMPUTED_VALUE"""),"AFJAYMO")</f>
        <v>AFJAYMO</v>
      </c>
      <c r="B2483" s="149" t="str">
        <f>IFERROR(__xludf.DUMMYFUNCTION("""COMPUTED_VALUE"""),"Belpre")</f>
        <v>Belpre</v>
      </c>
      <c r="C2483" s="149" t="str">
        <f>IFERROR(__xludf.DUMMYFUNCTION("""COMPUTED_VALUE"""),"OH")</f>
        <v>OH</v>
      </c>
      <c r="D2483" s="149" t="str">
        <f>IFERROR(__xludf.DUMMYFUNCTION("""COMPUTED_VALUE"""),"USA")</f>
        <v>USA</v>
      </c>
      <c r="E2483" s="156">
        <f>IFERROR(__xludf.DUMMYFUNCTION("""COMPUTED_VALUE"""),43325.0)</f>
        <v>43325</v>
      </c>
      <c r="F2483" s="129">
        <f>IFERROR(__xludf.DUMMYFUNCTION("""COMPUTED_VALUE"""),43344.0)</f>
        <v>43344</v>
      </c>
      <c r="G2483" s="154"/>
      <c r="H2483" s="131">
        <f>IFERROR(__xludf.DUMMYFUNCTION("""COMPUTED_VALUE"""),101023.0)</f>
        <v>101023</v>
      </c>
      <c r="I2483" s="144" t="str">
        <f>IFERROR(__xludf.DUMMYFUNCTION("""COMPUTED_VALUE"""),"09/18")</f>
        <v>09/18</v>
      </c>
      <c r="J2483" s="129">
        <f>IFERROR(__xludf.DUMMYFUNCTION("""COMPUTED_VALUE"""),43372.0)</f>
        <v>43372</v>
      </c>
      <c r="K2483" s="133">
        <f>IFERROR(__xludf.DUMMYFUNCTION("""COMPUTED_VALUE"""),19.0)</f>
        <v>19</v>
      </c>
      <c r="L2483" s="133">
        <f>IFERROR(__xludf.DUMMYFUNCTION("""COMPUTED_VALUE"""),28.0)</f>
        <v>28</v>
      </c>
      <c r="M2483" s="133">
        <f>IFERROR(__xludf.DUMMYFUNCTION("""COMPUTED_VALUE"""),47.0)</f>
        <v>47</v>
      </c>
      <c r="N2483" s="152" t="str">
        <f>IFERROR(__xludf.DUMMYFUNCTION("""COMPUTED_VALUE"""),"Model 3 LR AWD")</f>
        <v>Model 3 LR AWD</v>
      </c>
      <c r="O2483" s="152" t="str">
        <f>IFERROR(__xludf.DUMMYFUNCTION("""COMPUTED_VALUE"""),"Deep Blue Metallic")</f>
        <v>Deep Blue Metallic</v>
      </c>
      <c r="P2483" s="153" t="str">
        <f>IFERROR(__xludf.DUMMYFUNCTION("""COMPUTED_VALUE"""),"19 inch Sport")</f>
        <v>19 inch Sport</v>
      </c>
      <c r="Q2483" s="152" t="str">
        <f>IFERROR(__xludf.DUMMYFUNCTION("""COMPUTED_VALUE"""),"White seats")</f>
        <v>White seats</v>
      </c>
      <c r="R2483" s="149" t="str">
        <f>IFERROR(__xludf.DUMMYFUNCTION("""COMPUTED_VALUE"""),"Enhanced Autopilot")</f>
        <v>Enhanced Autopilot</v>
      </c>
      <c r="S2483" s="149"/>
      <c r="T2483" s="145"/>
      <c r="U2483" s="145"/>
      <c r="V2483" s="145"/>
      <c r="W2483" s="136"/>
      <c r="X2483" s="137" t="str">
        <f>IFERROR(__xludf.DUMMYFUNCTION("""COMPUTED_VALUE"""),"Excellent")</f>
        <v>Excellent</v>
      </c>
      <c r="Y2483" s="138" t="str">
        <f>IFERROR(__xludf.DUMMYFUNCTION("""COMPUTED_VALUE"""),"Excellent")</f>
        <v>Excellent</v>
      </c>
      <c r="Z2483" s="138" t="str">
        <f>IFERROR(__xludf.DUMMYFUNCTION("""COMPUTED_VALUE"""),"Very Good")</f>
        <v>Very Good</v>
      </c>
      <c r="AA2483" s="138" t="str">
        <f>IFERROR(__xludf.DUMMYFUNCTION("""COMPUTED_VALUE"""),"Poor")</f>
        <v>Poor</v>
      </c>
      <c r="AB2483" s="138" t="str">
        <f>IFERROR(__xludf.DUMMYFUNCTION("""COMPUTED_VALUE"""),"Good")</f>
        <v>Good</v>
      </c>
      <c r="AC2483" s="139"/>
      <c r="AD2483" s="139"/>
      <c r="AE2483" s="139"/>
      <c r="AF2483" s="140"/>
      <c r="AG2483" s="136" t="str">
        <f>IFERROR(__xludf.DUMMYFUNCTION("""COMPUTED_VALUE"""),"My previous VIN was delivered to someone with an earlier reservation/scheduled delivery date. New VIN assigned at Delivery Center, wasn't matched with an existing customer. Got upgraded wheels and white interior for original configuration price!!!")</f>
        <v>My previous VIN was delivered to someone with an earlier reservation/scheduled delivery date. New VIN assigned at Delivery Center, wasn't matched with an existing customer. Got upgraded wheels and white interior for original configuration price!!!</v>
      </c>
      <c r="AH2483" s="157">
        <f>IFERROR(__xludf.DUMMYFUNCTION("""COMPUTED_VALUE"""),43376.73398821759)</f>
        <v>43376.73399</v>
      </c>
      <c r="AI2483" s="138"/>
      <c r="AJ2483" s="138"/>
      <c r="AK2483" s="138"/>
      <c r="AL2483" s="142"/>
    </row>
    <row r="2484" ht="20.25" customHeight="1">
      <c r="A2484" s="155" t="str">
        <f>IFERROR(__xludf.DUMMYFUNCTION("""COMPUTED_VALUE"""),"jbenamy")</f>
        <v>jbenamy</v>
      </c>
      <c r="B2484" s="149" t="str">
        <f>IFERROR(__xludf.DUMMYFUNCTION("""COMPUTED_VALUE"""),"Atlanta, GA")</f>
        <v>Atlanta, GA</v>
      </c>
      <c r="C2484" s="149" t="str">
        <f>IFERROR(__xludf.DUMMYFUNCTION("""COMPUTED_VALUE"""),"GA")</f>
        <v>GA</v>
      </c>
      <c r="D2484" s="149" t="str">
        <f>IFERROR(__xludf.DUMMYFUNCTION("""COMPUTED_VALUE"""),"USA")</f>
        <v>USA</v>
      </c>
      <c r="E2484" s="156">
        <f>IFERROR(__xludf.DUMMYFUNCTION("""COMPUTED_VALUE"""),43325.0)</f>
        <v>43325</v>
      </c>
      <c r="F2484" s="129">
        <f>IFERROR(__xludf.DUMMYFUNCTION("""COMPUTED_VALUE"""),43332.0)</f>
        <v>43332</v>
      </c>
      <c r="G2484" s="154"/>
      <c r="H2484" s="131">
        <f>IFERROR(__xludf.DUMMYFUNCTION("""COMPUTED_VALUE"""),79155.0)</f>
        <v>79155</v>
      </c>
      <c r="I2484" s="144" t="str">
        <f>IFERROR(__xludf.DUMMYFUNCTION("""COMPUTED_VALUE"""),"08/18")</f>
        <v>08/18</v>
      </c>
      <c r="J2484" s="129">
        <f>IFERROR(__xludf.DUMMYFUNCTION("""COMPUTED_VALUE"""),43344.0)</f>
        <v>43344</v>
      </c>
      <c r="K2484" s="133">
        <f>IFERROR(__xludf.DUMMYFUNCTION("""COMPUTED_VALUE"""),7.0)</f>
        <v>7</v>
      </c>
      <c r="L2484" s="133">
        <f>IFERROR(__xludf.DUMMYFUNCTION("""COMPUTED_VALUE"""),12.0)</f>
        <v>12</v>
      </c>
      <c r="M2484" s="133">
        <f>IFERROR(__xludf.DUMMYFUNCTION("""COMPUTED_VALUE"""),19.0)</f>
        <v>19</v>
      </c>
      <c r="N2484" s="152" t="str">
        <f>IFERROR(__xludf.DUMMYFUNCTION("""COMPUTED_VALUE"""),"Model 3 Performance")</f>
        <v>Model 3 Performance</v>
      </c>
      <c r="O2484" s="152" t="str">
        <f>IFERROR(__xludf.DUMMYFUNCTION("""COMPUTED_VALUE"""),"Midnight Silver Metallic")</f>
        <v>Midnight Silver Metallic</v>
      </c>
      <c r="P2484" s="153" t="str">
        <f>IFERROR(__xludf.DUMMYFUNCTION("""COMPUTED_VALUE"""),"20 inch Sport")</f>
        <v>20 inch Sport</v>
      </c>
      <c r="Q2484" s="152" t="str">
        <f>IFERROR(__xludf.DUMMYFUNCTION("""COMPUTED_VALUE"""),"White seats")</f>
        <v>White seats</v>
      </c>
      <c r="R2484" s="149" t="str">
        <f>IFERROR(__xludf.DUMMYFUNCTION("""COMPUTED_VALUE"""),"Full Self-Driving")</f>
        <v>Full Self-Driving</v>
      </c>
      <c r="S2484" s="149"/>
      <c r="T2484" s="145"/>
      <c r="U2484" s="145"/>
      <c r="V2484" s="145"/>
      <c r="W2484" s="136"/>
      <c r="X2484" s="137" t="str">
        <f>IFERROR(__xludf.DUMMYFUNCTION("""COMPUTED_VALUE"""),"Fair")</f>
        <v>Fair</v>
      </c>
      <c r="Y2484" s="138" t="str">
        <f>IFERROR(__xludf.DUMMYFUNCTION("""COMPUTED_VALUE"""),"Very Good")</f>
        <v>Very Good</v>
      </c>
      <c r="Z2484" s="138" t="str">
        <f>IFERROR(__xludf.DUMMYFUNCTION("""COMPUTED_VALUE"""),"Fair")</f>
        <v>Fair</v>
      </c>
      <c r="AA2484" s="138" t="str">
        <f>IFERROR(__xludf.DUMMYFUNCTION("""COMPUTED_VALUE"""),"Good")</f>
        <v>Good</v>
      </c>
      <c r="AB2484" s="138" t="str">
        <f>IFERROR(__xludf.DUMMYFUNCTION("""COMPUTED_VALUE"""),"Poor")</f>
        <v>Poor</v>
      </c>
      <c r="AC2484" s="139">
        <f>IFERROR(__xludf.DUMMYFUNCTION("""COMPUTED_VALUE"""),4.0)</f>
        <v>4</v>
      </c>
      <c r="AD2484" s="139">
        <f>IFERROR(__xludf.DUMMYFUNCTION("""COMPUTED_VALUE"""),1.0)</f>
        <v>1</v>
      </c>
      <c r="AE2484" s="139">
        <f>IFERROR(__xludf.DUMMYFUNCTION("""COMPUTED_VALUE"""),2.0)</f>
        <v>2</v>
      </c>
      <c r="AF2484" s="140"/>
      <c r="AG2484" s="136" t="str">
        <f>IFERROR(__xludf.DUMMYFUNCTION("""COMPUTED_VALUE"""),"Read about my delivery experience at https://forums.tesla.com/forum/forums/terrible-delivery-experience-defective-model-3-atlanta-decatur-store")</f>
        <v>Read about my delivery experience at https://forums.tesla.com/forum/forums/terrible-delivery-experience-defective-model-3-atlanta-decatur-store</v>
      </c>
      <c r="AH2484" s="157">
        <f>IFERROR(__xludf.DUMMYFUNCTION("""COMPUTED_VALUE"""),43357.43770131944)</f>
        <v>43357.4377</v>
      </c>
      <c r="AI2484" s="138"/>
      <c r="AJ2484" s="138"/>
      <c r="AK2484" s="138"/>
      <c r="AL2484" s="142"/>
    </row>
    <row r="2485" ht="20.25" customHeight="1">
      <c r="A2485" s="155" t="str">
        <f>IFERROR(__xludf.DUMMYFUNCTION("""COMPUTED_VALUE"""),"lemkepf")</f>
        <v>lemkepf</v>
      </c>
      <c r="B2485" s="149" t="str">
        <f>IFERROR(__xludf.DUMMYFUNCTION("""COMPUTED_VALUE"""),"Elkhorn")</f>
        <v>Elkhorn</v>
      </c>
      <c r="C2485" s="149" t="str">
        <f>IFERROR(__xludf.DUMMYFUNCTION("""COMPUTED_VALUE"""),"WI")</f>
        <v>WI</v>
      </c>
      <c r="D2485" s="149" t="str">
        <f>IFERROR(__xludf.DUMMYFUNCTION("""COMPUTED_VALUE"""),"USA")</f>
        <v>USA</v>
      </c>
      <c r="E2485" s="156">
        <f>IFERROR(__xludf.DUMMYFUNCTION("""COMPUTED_VALUE"""),43325.0)</f>
        <v>43325</v>
      </c>
      <c r="F2485" s="129">
        <f>IFERROR(__xludf.DUMMYFUNCTION("""COMPUTED_VALUE"""),43350.0)</f>
        <v>43350</v>
      </c>
      <c r="G2485" s="154"/>
      <c r="H2485" s="131">
        <f>IFERROR(__xludf.DUMMYFUNCTION("""COMPUTED_VALUE"""),57246.0)</f>
        <v>57246</v>
      </c>
      <c r="I2485" s="144"/>
      <c r="J2485" s="129">
        <f>IFERROR(__xludf.DUMMYFUNCTION("""COMPUTED_VALUE"""),43355.0)</f>
        <v>43355</v>
      </c>
      <c r="K2485" s="133">
        <f>IFERROR(__xludf.DUMMYFUNCTION("""COMPUTED_VALUE"""),25.0)</f>
        <v>25</v>
      </c>
      <c r="L2485" s="133">
        <f>IFERROR(__xludf.DUMMYFUNCTION("""COMPUTED_VALUE"""),5.0)</f>
        <v>5</v>
      </c>
      <c r="M2485" s="133">
        <f>IFERROR(__xludf.DUMMYFUNCTION("""COMPUTED_VALUE"""),30.0)</f>
        <v>30</v>
      </c>
      <c r="N2485" s="152" t="str">
        <f>IFERROR(__xludf.DUMMYFUNCTION("""COMPUTED_VALUE"""),"Model 3 LR")</f>
        <v>Model 3 LR</v>
      </c>
      <c r="O2485" s="152" t="str">
        <f>IFERROR(__xludf.DUMMYFUNCTION("""COMPUTED_VALUE"""),"Pearl White Multi-Coat")</f>
        <v>Pearl White Multi-Coat</v>
      </c>
      <c r="P2485" s="153" t="str">
        <f>IFERROR(__xludf.DUMMYFUNCTION("""COMPUTED_VALUE"""),"18 inch Aero")</f>
        <v>18 inch Aero</v>
      </c>
      <c r="Q2485" s="152" t="str">
        <f>IFERROR(__xludf.DUMMYFUNCTION("""COMPUTED_VALUE"""),"Black seats")</f>
        <v>Black seats</v>
      </c>
      <c r="R2485" s="149" t="str">
        <f>IFERROR(__xludf.DUMMYFUNCTION("""COMPUTED_VALUE"""),"None")</f>
        <v>None</v>
      </c>
      <c r="S2485" s="149"/>
      <c r="T2485" s="145"/>
      <c r="U2485" s="145"/>
      <c r="V2485" s="145"/>
      <c r="W2485" s="136"/>
      <c r="X2485" s="137" t="str">
        <f>IFERROR(__xludf.DUMMYFUNCTION("""COMPUTED_VALUE"""),"Very Good")</f>
        <v>Very Good</v>
      </c>
      <c r="Y2485" s="138" t="str">
        <f>IFERROR(__xludf.DUMMYFUNCTION("""COMPUTED_VALUE"""),"Good")</f>
        <v>Good</v>
      </c>
      <c r="Z2485" s="138" t="str">
        <f>IFERROR(__xludf.DUMMYFUNCTION("""COMPUTED_VALUE"""),"Very Good")</f>
        <v>Very Good</v>
      </c>
      <c r="AA2485" s="138" t="str">
        <f>IFERROR(__xludf.DUMMYFUNCTION("""COMPUTED_VALUE"""),"Good")</f>
        <v>Good</v>
      </c>
      <c r="AB2485" s="138" t="str">
        <f>IFERROR(__xludf.DUMMYFUNCTION("""COMPUTED_VALUE"""),"Very Good")</f>
        <v>Very Good</v>
      </c>
      <c r="AC2485" s="139">
        <f>IFERROR(__xludf.DUMMYFUNCTION("""COMPUTED_VALUE"""),0.0)</f>
        <v>0</v>
      </c>
      <c r="AD2485" s="139">
        <f>IFERROR(__xludf.DUMMYFUNCTION("""COMPUTED_VALUE"""),0.0)</f>
        <v>0</v>
      </c>
      <c r="AE2485" s="139">
        <f>IFERROR(__xludf.DUMMYFUNCTION("""COMPUTED_VALUE"""),0.0)</f>
        <v>0</v>
      </c>
      <c r="AF2485" s="140"/>
      <c r="AG2485" s="136"/>
      <c r="AH2485" s="157">
        <f>IFERROR(__xludf.DUMMYFUNCTION("""COMPUTED_VALUE"""),43376.5229309375)</f>
        <v>43376.52293</v>
      </c>
      <c r="AI2485" s="138"/>
      <c r="AJ2485" s="138"/>
      <c r="AK2485" s="138"/>
      <c r="AL2485" s="142"/>
    </row>
    <row r="2486" ht="20.25" customHeight="1">
      <c r="A2486" s="155" t="str">
        <f>IFERROR(__xludf.DUMMYFUNCTION("""COMPUTED_VALUE"""),"metalcoat")</f>
        <v>metalcoat</v>
      </c>
      <c r="B2486" s="149" t="str">
        <f>IFERROR(__xludf.DUMMYFUNCTION("""COMPUTED_VALUE"""),"Northern NY")</f>
        <v>Northern NY</v>
      </c>
      <c r="C2486" s="149" t="str">
        <f>IFERROR(__xludf.DUMMYFUNCTION("""COMPUTED_VALUE"""),"NY")</f>
        <v>NY</v>
      </c>
      <c r="D2486" s="149" t="str">
        <f>IFERROR(__xludf.DUMMYFUNCTION("""COMPUTED_VALUE"""),"USA")</f>
        <v>USA</v>
      </c>
      <c r="E2486" s="156">
        <f>IFERROR(__xludf.DUMMYFUNCTION("""COMPUTED_VALUE"""),43325.0)</f>
        <v>43325</v>
      </c>
      <c r="F2486" s="129">
        <f>IFERROR(__xludf.DUMMYFUNCTION("""COMPUTED_VALUE"""),43395.0)</f>
        <v>43395</v>
      </c>
      <c r="G2486" s="154"/>
      <c r="H2486" s="131">
        <f>IFERROR(__xludf.DUMMYFUNCTION("""COMPUTED_VALUE"""),72542.0)</f>
        <v>72542</v>
      </c>
      <c r="I2486" s="144"/>
      <c r="J2486" s="129">
        <f>IFERROR(__xludf.DUMMYFUNCTION("""COMPUTED_VALUE"""),43400.0)</f>
        <v>43400</v>
      </c>
      <c r="K2486" s="133">
        <f>IFERROR(__xludf.DUMMYFUNCTION("""COMPUTED_VALUE"""),70.0)</f>
        <v>70</v>
      </c>
      <c r="L2486" s="133">
        <f>IFERROR(__xludf.DUMMYFUNCTION("""COMPUTED_VALUE"""),5.0)</f>
        <v>5</v>
      </c>
      <c r="M2486" s="133">
        <f>IFERROR(__xludf.DUMMYFUNCTION("""COMPUTED_VALUE"""),75.0)</f>
        <v>75</v>
      </c>
      <c r="N2486" s="152" t="str">
        <f>IFERROR(__xludf.DUMMYFUNCTION("""COMPUTED_VALUE"""),"Model 3 Performance")</f>
        <v>Model 3 Performance</v>
      </c>
      <c r="O2486" s="152" t="str">
        <f>IFERROR(__xludf.DUMMYFUNCTION("""COMPUTED_VALUE"""),"Solid Black")</f>
        <v>Solid Black</v>
      </c>
      <c r="P2486" s="153" t="str">
        <f>IFERROR(__xludf.DUMMYFUNCTION("""COMPUTED_VALUE"""),"20 inch Sport")</f>
        <v>20 inch Sport</v>
      </c>
      <c r="Q2486" s="152" t="str">
        <f>IFERROR(__xludf.DUMMYFUNCTION("""COMPUTED_VALUE"""),"Black seats")</f>
        <v>Black seats</v>
      </c>
      <c r="R2486" s="149" t="str">
        <f>IFERROR(__xludf.DUMMYFUNCTION("""COMPUTED_VALUE"""),"Full Self-Driving")</f>
        <v>Full Self-Driving</v>
      </c>
      <c r="S2486" s="149"/>
      <c r="T2486" s="145"/>
      <c r="U2486" s="145"/>
      <c r="V2486" s="145"/>
      <c r="W2486" s="136"/>
      <c r="X2486" s="137" t="str">
        <f>IFERROR(__xludf.DUMMYFUNCTION("""COMPUTED_VALUE"""),"Excellent")</f>
        <v>Excellent</v>
      </c>
      <c r="Y2486" s="138" t="str">
        <f>IFERROR(__xludf.DUMMYFUNCTION("""COMPUTED_VALUE"""),"Excellent")</f>
        <v>Excellent</v>
      </c>
      <c r="Z2486" s="138" t="str">
        <f>IFERROR(__xludf.DUMMYFUNCTION("""COMPUTED_VALUE"""),"Very Good")</f>
        <v>Very Good</v>
      </c>
      <c r="AA2486" s="138" t="str">
        <f>IFERROR(__xludf.DUMMYFUNCTION("""COMPUTED_VALUE"""),"Fair")</f>
        <v>Fair</v>
      </c>
      <c r="AB2486" s="138" t="str">
        <f>IFERROR(__xludf.DUMMYFUNCTION("""COMPUTED_VALUE"""),"Fair")</f>
        <v>Fair</v>
      </c>
      <c r="AC2486" s="139">
        <f>IFERROR(__xludf.DUMMYFUNCTION("""COMPUTED_VALUE"""),0.0)</f>
        <v>0</v>
      </c>
      <c r="AD2486" s="139">
        <f>IFERROR(__xludf.DUMMYFUNCTION("""COMPUTED_VALUE"""),0.0)</f>
        <v>0</v>
      </c>
      <c r="AE2486" s="139">
        <f>IFERROR(__xludf.DUMMYFUNCTION("""COMPUTED_VALUE"""),0.0)</f>
        <v>0</v>
      </c>
      <c r="AF2486" s="140"/>
      <c r="AG2486" s="136"/>
      <c r="AH2486" s="157">
        <f>IFERROR(__xludf.DUMMYFUNCTION("""COMPUTED_VALUE"""),43409.310831539355)</f>
        <v>43409.31083</v>
      </c>
      <c r="AI2486" s="138"/>
      <c r="AJ2486" s="138"/>
      <c r="AK2486" s="138"/>
      <c r="AL2486" s="142"/>
    </row>
    <row r="2487" ht="20.25" customHeight="1">
      <c r="A2487" s="155" t="str">
        <f>IFERROR(__xludf.DUMMYFUNCTION("""COMPUTED_VALUE"""),"MikeATL")</f>
        <v>MikeATL</v>
      </c>
      <c r="B2487" s="149" t="str">
        <f>IFERROR(__xludf.DUMMYFUNCTION("""COMPUTED_VALUE"""),"Atlanta")</f>
        <v>Atlanta</v>
      </c>
      <c r="C2487" s="149" t="str">
        <f>IFERROR(__xludf.DUMMYFUNCTION("""COMPUTED_VALUE"""),"GA")</f>
        <v>GA</v>
      </c>
      <c r="D2487" s="149" t="str">
        <f>IFERROR(__xludf.DUMMYFUNCTION("""COMPUTED_VALUE"""),"USA")</f>
        <v>USA</v>
      </c>
      <c r="E2487" s="156">
        <f>IFERROR(__xludf.DUMMYFUNCTION("""COMPUTED_VALUE"""),43325.0)</f>
        <v>43325</v>
      </c>
      <c r="F2487" s="129">
        <f>IFERROR(__xludf.DUMMYFUNCTION("""COMPUTED_VALUE"""),43354.0)</f>
        <v>43354</v>
      </c>
      <c r="G2487" s="154"/>
      <c r="H2487" s="131">
        <f>IFERROR(__xludf.DUMMYFUNCTION("""COMPUTED_VALUE"""),99655.0)</f>
        <v>99655</v>
      </c>
      <c r="I2487" s="144" t="str">
        <f>IFERROR(__xludf.DUMMYFUNCTION("""COMPUTED_VALUE"""),"08/18")</f>
        <v>08/18</v>
      </c>
      <c r="J2487" s="129">
        <f>IFERROR(__xludf.DUMMYFUNCTION("""COMPUTED_VALUE"""),43365.0)</f>
        <v>43365</v>
      </c>
      <c r="K2487" s="133">
        <f>IFERROR(__xludf.DUMMYFUNCTION("""COMPUTED_VALUE"""),29.0)</f>
        <v>29</v>
      </c>
      <c r="L2487" s="133">
        <f>IFERROR(__xludf.DUMMYFUNCTION("""COMPUTED_VALUE"""),11.0)</f>
        <v>11</v>
      </c>
      <c r="M2487" s="133">
        <f>IFERROR(__xludf.DUMMYFUNCTION("""COMPUTED_VALUE"""),40.0)</f>
        <v>40</v>
      </c>
      <c r="N2487" s="152" t="str">
        <f>IFERROR(__xludf.DUMMYFUNCTION("""COMPUTED_VALUE"""),"Model 3 Performance")</f>
        <v>Model 3 Performance</v>
      </c>
      <c r="O2487" s="152" t="str">
        <f>IFERROR(__xludf.DUMMYFUNCTION("""COMPUTED_VALUE"""),"Red Multi-Coat")</f>
        <v>Red Multi-Coat</v>
      </c>
      <c r="P2487" s="153" t="str">
        <f>IFERROR(__xludf.DUMMYFUNCTION("""COMPUTED_VALUE"""),"18 inch Aero")</f>
        <v>18 inch Aero</v>
      </c>
      <c r="Q2487" s="152" t="str">
        <f>IFERROR(__xludf.DUMMYFUNCTION("""COMPUTED_VALUE"""),"White seats")</f>
        <v>White seats</v>
      </c>
      <c r="R2487" s="149" t="str">
        <f>IFERROR(__xludf.DUMMYFUNCTION("""COMPUTED_VALUE"""),"Full Self-Driving")</f>
        <v>Full Self-Driving</v>
      </c>
      <c r="S2487" s="149"/>
      <c r="T2487" s="145"/>
      <c r="U2487" s="145"/>
      <c r="V2487" s="145"/>
      <c r="W2487" s="136"/>
      <c r="X2487" s="137" t="str">
        <f>IFERROR(__xludf.DUMMYFUNCTION("""COMPUTED_VALUE"""),"Excellent")</f>
        <v>Excellent</v>
      </c>
      <c r="Y2487" s="138" t="str">
        <f>IFERROR(__xludf.DUMMYFUNCTION("""COMPUTED_VALUE"""),"Excellent")</f>
        <v>Excellent</v>
      </c>
      <c r="Z2487" s="138" t="str">
        <f>IFERROR(__xludf.DUMMYFUNCTION("""COMPUTED_VALUE"""),"Excellent")</f>
        <v>Excellent</v>
      </c>
      <c r="AA2487" s="138" t="str">
        <f>IFERROR(__xludf.DUMMYFUNCTION("""COMPUTED_VALUE"""),"Good")</f>
        <v>Good</v>
      </c>
      <c r="AB2487" s="138" t="str">
        <f>IFERROR(__xludf.DUMMYFUNCTION("""COMPUTED_VALUE"""),"Very Good")</f>
        <v>Very Good</v>
      </c>
      <c r="AC2487" s="139">
        <f>IFERROR(__xludf.DUMMYFUNCTION("""COMPUTED_VALUE"""),1.0)</f>
        <v>1</v>
      </c>
      <c r="AD2487" s="139">
        <f>IFERROR(__xludf.DUMMYFUNCTION("""COMPUTED_VALUE"""),0.0)</f>
        <v>0</v>
      </c>
      <c r="AE2487" s="139">
        <f>IFERROR(__xludf.DUMMYFUNCTION("""COMPUTED_VALUE"""),0.0)</f>
        <v>0</v>
      </c>
      <c r="AF2487" s="140"/>
      <c r="AG2487" s="136" t="str">
        <f>IFERROR(__xludf.DUMMYFUNCTION("""COMPUTED_VALUE"""),"my one defect was fixed at Delivery")</f>
        <v>my one defect was fixed at Delivery</v>
      </c>
      <c r="AH2487" s="157">
        <f>IFERROR(__xludf.DUMMYFUNCTION("""COMPUTED_VALUE"""),43381.22376986111)</f>
        <v>43381.22377</v>
      </c>
      <c r="AI2487" s="138"/>
      <c r="AJ2487" s="138"/>
      <c r="AK2487" s="138"/>
      <c r="AL2487" s="142"/>
    </row>
    <row r="2488" ht="20.25" customHeight="1">
      <c r="A2488" s="155" t="str">
        <f>IFERROR(__xludf.DUMMYFUNCTION("""COMPUTED_VALUE"""),"mikes_1999")</f>
        <v>mikes_1999</v>
      </c>
      <c r="B2488" s="149" t="str">
        <f>IFERROR(__xludf.DUMMYFUNCTION("""COMPUTED_VALUE"""),"Pittsburgh")</f>
        <v>Pittsburgh</v>
      </c>
      <c r="C2488" s="149" t="str">
        <f>IFERROR(__xludf.DUMMYFUNCTION("""COMPUTED_VALUE"""),"PA")</f>
        <v>PA</v>
      </c>
      <c r="D2488" s="149" t="str">
        <f>IFERROR(__xludf.DUMMYFUNCTION("""COMPUTED_VALUE"""),"USA")</f>
        <v>USA</v>
      </c>
      <c r="E2488" s="156">
        <f>IFERROR(__xludf.DUMMYFUNCTION("""COMPUTED_VALUE"""),43325.0)</f>
        <v>43325</v>
      </c>
      <c r="F2488" s="129">
        <f>IFERROR(__xludf.DUMMYFUNCTION("""COMPUTED_VALUE"""),43382.0)</f>
        <v>43382</v>
      </c>
      <c r="G2488" s="154"/>
      <c r="H2488" s="131">
        <f>IFERROR(__xludf.DUMMYFUNCTION("""COMPUTED_VALUE"""),115955.0)</f>
        <v>115955</v>
      </c>
      <c r="I2488" s="144"/>
      <c r="J2488" s="129">
        <f>IFERROR(__xludf.DUMMYFUNCTION("""COMPUTED_VALUE"""),43392.0)</f>
        <v>43392</v>
      </c>
      <c r="K2488" s="133">
        <f>IFERROR(__xludf.DUMMYFUNCTION("""COMPUTED_VALUE"""),57.0)</f>
        <v>57</v>
      </c>
      <c r="L2488" s="133">
        <f>IFERROR(__xludf.DUMMYFUNCTION("""COMPUTED_VALUE"""),10.0)</f>
        <v>10</v>
      </c>
      <c r="M2488" s="133">
        <f>IFERROR(__xludf.DUMMYFUNCTION("""COMPUTED_VALUE"""),67.0)</f>
        <v>67</v>
      </c>
      <c r="N2488" s="152" t="str">
        <f>IFERROR(__xludf.DUMMYFUNCTION("""COMPUTED_VALUE"""),"Model 3 LR AWD")</f>
        <v>Model 3 LR AWD</v>
      </c>
      <c r="O2488" s="152" t="str">
        <f>IFERROR(__xludf.DUMMYFUNCTION("""COMPUTED_VALUE"""),"Red Multi-Coat")</f>
        <v>Red Multi-Coat</v>
      </c>
      <c r="P2488" s="153" t="str">
        <f>IFERROR(__xludf.DUMMYFUNCTION("""COMPUTED_VALUE"""),"19 inch Sport")</f>
        <v>19 inch Sport</v>
      </c>
      <c r="Q2488" s="152" t="str">
        <f>IFERROR(__xludf.DUMMYFUNCTION("""COMPUTED_VALUE"""),"Black seats")</f>
        <v>Black seats</v>
      </c>
      <c r="R2488" s="149" t="str">
        <f>IFERROR(__xludf.DUMMYFUNCTION("""COMPUTED_VALUE"""),"Full Self-Driving")</f>
        <v>Full Self-Driving</v>
      </c>
      <c r="S2488" s="149"/>
      <c r="T2488" s="145"/>
      <c r="U2488" s="145"/>
      <c r="V2488" s="145"/>
      <c r="W2488" s="136"/>
      <c r="X2488" s="137" t="str">
        <f>IFERROR(__xludf.DUMMYFUNCTION("""COMPUTED_VALUE"""),"Excellent")</f>
        <v>Excellent</v>
      </c>
      <c r="Y2488" s="138" t="str">
        <f>IFERROR(__xludf.DUMMYFUNCTION("""COMPUTED_VALUE"""),"Excellent")</f>
        <v>Excellent</v>
      </c>
      <c r="Z2488" s="138" t="str">
        <f>IFERROR(__xludf.DUMMYFUNCTION("""COMPUTED_VALUE"""),"Very Good")</f>
        <v>Very Good</v>
      </c>
      <c r="AA2488" s="138" t="str">
        <f>IFERROR(__xludf.DUMMYFUNCTION("""COMPUTED_VALUE"""),"Fair")</f>
        <v>Fair</v>
      </c>
      <c r="AB2488" s="138" t="str">
        <f>IFERROR(__xludf.DUMMYFUNCTION("""COMPUTED_VALUE"""),"Excellent")</f>
        <v>Excellent</v>
      </c>
      <c r="AC2488" s="139"/>
      <c r="AD2488" s="139"/>
      <c r="AE2488" s="139"/>
      <c r="AF2488" s="140"/>
      <c r="AG2488" s="136"/>
      <c r="AH2488" s="157">
        <f>IFERROR(__xludf.DUMMYFUNCTION("""COMPUTED_VALUE"""),43394.59933655093)</f>
        <v>43394.59934</v>
      </c>
      <c r="AI2488" s="138"/>
      <c r="AJ2488" s="138"/>
      <c r="AK2488" s="138"/>
      <c r="AL2488" s="142"/>
    </row>
    <row r="2489" ht="20.25" customHeight="1">
      <c r="A2489" s="155" t="str">
        <f>IFERROR(__xludf.DUMMYFUNCTION("""COMPUTED_VALUE"""),"navinsiri")</f>
        <v>navinsiri</v>
      </c>
      <c r="B2489" s="149" t="str">
        <f>IFERROR(__xludf.DUMMYFUNCTION("""COMPUTED_VALUE"""),"Central NJ")</f>
        <v>Central NJ</v>
      </c>
      <c r="C2489" s="149" t="str">
        <f>IFERROR(__xludf.DUMMYFUNCTION("""COMPUTED_VALUE"""),"NJ")</f>
        <v>NJ</v>
      </c>
      <c r="D2489" s="149" t="str">
        <f>IFERROR(__xludf.DUMMYFUNCTION("""COMPUTED_VALUE"""),"USA")</f>
        <v>USA</v>
      </c>
      <c r="E2489" s="156">
        <f>IFERROR(__xludf.DUMMYFUNCTION("""COMPUTED_VALUE"""),43325.0)</f>
        <v>43325</v>
      </c>
      <c r="F2489" s="129">
        <f>IFERROR(__xludf.DUMMYFUNCTION("""COMPUTED_VALUE"""),43326.0)</f>
        <v>43326</v>
      </c>
      <c r="G2489" s="154"/>
      <c r="H2489" s="131">
        <f>IFERROR(__xludf.DUMMYFUNCTION("""COMPUTED_VALUE"""),55220.0)</f>
        <v>55220</v>
      </c>
      <c r="I2489" s="144"/>
      <c r="J2489" s="129">
        <f>IFERROR(__xludf.DUMMYFUNCTION("""COMPUTED_VALUE"""),43339.0)</f>
        <v>43339</v>
      </c>
      <c r="K2489" s="133">
        <f>IFERROR(__xludf.DUMMYFUNCTION("""COMPUTED_VALUE"""),1.0)</f>
        <v>1</v>
      </c>
      <c r="L2489" s="133">
        <f>IFERROR(__xludf.DUMMYFUNCTION("""COMPUTED_VALUE"""),13.0)</f>
        <v>13</v>
      </c>
      <c r="M2489" s="133">
        <f>IFERROR(__xludf.DUMMYFUNCTION("""COMPUTED_VALUE"""),14.0)</f>
        <v>14</v>
      </c>
      <c r="N2489" s="152" t="str">
        <f>IFERROR(__xludf.DUMMYFUNCTION("""COMPUTED_VALUE"""),"Model 3 Performance")</f>
        <v>Model 3 Performance</v>
      </c>
      <c r="O2489" s="152" t="str">
        <f>IFERROR(__xludf.DUMMYFUNCTION("""COMPUTED_VALUE"""),"Midnight Silver Metallic")</f>
        <v>Midnight Silver Metallic</v>
      </c>
      <c r="P2489" s="153" t="str">
        <f>IFERROR(__xludf.DUMMYFUNCTION("""COMPUTED_VALUE"""),"20 inch Sport")</f>
        <v>20 inch Sport</v>
      </c>
      <c r="Q2489" s="152" t="str">
        <f>IFERROR(__xludf.DUMMYFUNCTION("""COMPUTED_VALUE"""),"White seats")</f>
        <v>White seats</v>
      </c>
      <c r="R2489" s="149" t="str">
        <f>IFERROR(__xludf.DUMMYFUNCTION("""COMPUTED_VALUE"""),"Enhanced Autopilot")</f>
        <v>Enhanced Autopilot</v>
      </c>
      <c r="S2489" s="149"/>
      <c r="T2489" s="145"/>
      <c r="U2489" s="145"/>
      <c r="V2489" s="145"/>
      <c r="W2489" s="136"/>
      <c r="X2489" s="137" t="str">
        <f>IFERROR(__xludf.DUMMYFUNCTION("""COMPUTED_VALUE"""),"Excellent")</f>
        <v>Excellent</v>
      </c>
      <c r="Y2489" s="138" t="str">
        <f>IFERROR(__xludf.DUMMYFUNCTION("""COMPUTED_VALUE"""),"Excellent")</f>
        <v>Excellent</v>
      </c>
      <c r="Z2489" s="138" t="str">
        <f>IFERROR(__xludf.DUMMYFUNCTION("""COMPUTED_VALUE"""),"Fair")</f>
        <v>Fair</v>
      </c>
      <c r="AA2489" s="138" t="str">
        <f>IFERROR(__xludf.DUMMYFUNCTION("""COMPUTED_VALUE"""),"Excellent")</f>
        <v>Excellent</v>
      </c>
      <c r="AB2489" s="138" t="str">
        <f>IFERROR(__xludf.DUMMYFUNCTION("""COMPUTED_VALUE"""),"Very Good")</f>
        <v>Very Good</v>
      </c>
      <c r="AC2489" s="139"/>
      <c r="AD2489" s="139"/>
      <c r="AE2489" s="139"/>
      <c r="AF2489" s="140"/>
      <c r="AG2489" s="136"/>
      <c r="AH2489" s="157">
        <f>IFERROR(__xludf.DUMMYFUNCTION("""COMPUTED_VALUE"""),43339.73103784722)</f>
        <v>43339.73104</v>
      </c>
      <c r="AI2489" s="138"/>
      <c r="AJ2489" s="138"/>
      <c r="AK2489" s="138"/>
      <c r="AL2489" s="142"/>
    </row>
    <row r="2490" ht="20.25" customHeight="1">
      <c r="A2490" s="155" t="str">
        <f>IFERROR(__xludf.DUMMYFUNCTION("""COMPUTED_VALUE"""),"ohaq")</f>
        <v>ohaq</v>
      </c>
      <c r="B2490" s="149" t="str">
        <f>IFERROR(__xludf.DUMMYFUNCTION("""COMPUTED_VALUE"""),"Ypsilanti")</f>
        <v>Ypsilanti</v>
      </c>
      <c r="C2490" s="149" t="str">
        <f>IFERROR(__xludf.DUMMYFUNCTION("""COMPUTED_VALUE"""),"MI")</f>
        <v>MI</v>
      </c>
      <c r="D2490" s="149" t="str">
        <f>IFERROR(__xludf.DUMMYFUNCTION("""COMPUTED_VALUE"""),"USA")</f>
        <v>USA</v>
      </c>
      <c r="E2490" s="156">
        <f>IFERROR(__xludf.DUMMYFUNCTION("""COMPUTED_VALUE"""),43325.0)</f>
        <v>43325</v>
      </c>
      <c r="F2490" s="129">
        <f>IFERROR(__xludf.DUMMYFUNCTION("""COMPUTED_VALUE"""),43353.0)</f>
        <v>43353</v>
      </c>
      <c r="G2490" s="154"/>
      <c r="H2490" s="131">
        <f>IFERROR(__xludf.DUMMYFUNCTION("""COMPUTED_VALUE"""),66255.0)</f>
        <v>66255</v>
      </c>
      <c r="I2490" s="144" t="str">
        <f>IFERROR(__xludf.DUMMYFUNCTION("""COMPUTED_VALUE"""),"08/18")</f>
        <v>08/18</v>
      </c>
      <c r="J2490" s="129">
        <f>IFERROR(__xludf.DUMMYFUNCTION("""COMPUTED_VALUE"""),43371.0)</f>
        <v>43371</v>
      </c>
      <c r="K2490" s="133">
        <f>IFERROR(__xludf.DUMMYFUNCTION("""COMPUTED_VALUE"""),28.0)</f>
        <v>28</v>
      </c>
      <c r="L2490" s="133">
        <f>IFERROR(__xludf.DUMMYFUNCTION("""COMPUTED_VALUE"""),18.0)</f>
        <v>18</v>
      </c>
      <c r="M2490" s="133">
        <f>IFERROR(__xludf.DUMMYFUNCTION("""COMPUTED_VALUE"""),46.0)</f>
        <v>46</v>
      </c>
      <c r="N2490" s="152" t="str">
        <f>IFERROR(__xludf.DUMMYFUNCTION("""COMPUTED_VALUE"""),"Model 3 LR AWD")</f>
        <v>Model 3 LR AWD</v>
      </c>
      <c r="O2490" s="152" t="str">
        <f>IFERROR(__xludf.DUMMYFUNCTION("""COMPUTED_VALUE"""),"Midnight Silver Metallic")</f>
        <v>Midnight Silver Metallic</v>
      </c>
      <c r="P2490" s="153" t="str">
        <f>IFERROR(__xludf.DUMMYFUNCTION("""COMPUTED_VALUE"""),"18 inch Aero")</f>
        <v>18 inch Aero</v>
      </c>
      <c r="Q2490" s="152" t="str">
        <f>IFERROR(__xludf.DUMMYFUNCTION("""COMPUTED_VALUE"""),"Black seats")</f>
        <v>Black seats</v>
      </c>
      <c r="R2490" s="149" t="str">
        <f>IFERROR(__xludf.DUMMYFUNCTION("""COMPUTED_VALUE"""),"Enhanced Autopilot")</f>
        <v>Enhanced Autopilot</v>
      </c>
      <c r="S2490" s="149"/>
      <c r="T2490" s="145"/>
      <c r="U2490" s="145"/>
      <c r="V2490" s="145"/>
      <c r="W2490" s="136"/>
      <c r="X2490" s="137" t="str">
        <f>IFERROR(__xludf.DUMMYFUNCTION("""COMPUTED_VALUE"""),"Good")</f>
        <v>Good</v>
      </c>
      <c r="Y2490" s="138" t="str">
        <f>IFERROR(__xludf.DUMMYFUNCTION("""COMPUTED_VALUE"""),"Very Good")</f>
        <v>Very Good</v>
      </c>
      <c r="Z2490" s="138" t="str">
        <f>IFERROR(__xludf.DUMMYFUNCTION("""COMPUTED_VALUE"""),"Excellent")</f>
        <v>Excellent</v>
      </c>
      <c r="AA2490" s="138" t="str">
        <f>IFERROR(__xludf.DUMMYFUNCTION("""COMPUTED_VALUE"""),"Poor")</f>
        <v>Poor</v>
      </c>
      <c r="AB2490" s="138" t="str">
        <f>IFERROR(__xludf.DUMMYFUNCTION("""COMPUTED_VALUE"""),"Good")</f>
        <v>Good</v>
      </c>
      <c r="AC2490" s="139"/>
      <c r="AD2490" s="139"/>
      <c r="AE2490" s="139"/>
      <c r="AF2490" s="140"/>
      <c r="AG2490" s="136" t="str">
        <f>IFERROR(__xludf.DUMMYFUNCTION("""COMPUTED_VALUE"""),"Requested Home delivery as service center 180 mi away, which may cause some delay")</f>
        <v>Requested Home delivery as service center 180 mi away, which may cause some delay</v>
      </c>
      <c r="AH2490" s="157">
        <f>IFERROR(__xludf.DUMMYFUNCTION("""COMPUTED_VALUE"""),43374.8710258912)</f>
        <v>43374.87103</v>
      </c>
      <c r="AI2490" s="138"/>
      <c r="AJ2490" s="138"/>
      <c r="AK2490" s="138"/>
      <c r="AL2490" s="142"/>
    </row>
    <row r="2491" ht="20.25" customHeight="1">
      <c r="A2491" s="155" t="str">
        <f>IFERROR(__xludf.DUMMYFUNCTION("""COMPUTED_VALUE"""),"sheldon.mike")</f>
        <v>sheldon.mike</v>
      </c>
      <c r="B2491" s="149"/>
      <c r="C2491" s="149" t="str">
        <f>IFERROR(__xludf.DUMMYFUNCTION("""COMPUTED_VALUE"""),"CA")</f>
        <v>CA</v>
      </c>
      <c r="D2491" s="149" t="str">
        <f>IFERROR(__xludf.DUMMYFUNCTION("""COMPUTED_VALUE"""),"USA")</f>
        <v>USA</v>
      </c>
      <c r="E2491" s="156">
        <f>IFERROR(__xludf.DUMMYFUNCTION("""COMPUTED_VALUE"""),43325.0)</f>
        <v>43325</v>
      </c>
      <c r="F2491" s="129">
        <f>IFERROR(__xludf.DUMMYFUNCTION("""COMPUTED_VALUE"""),43367.0)</f>
        <v>43367</v>
      </c>
      <c r="G2491" s="154"/>
      <c r="H2491" s="131">
        <f>IFERROR(__xludf.DUMMYFUNCTION("""COMPUTED_VALUE"""),90355.0)</f>
        <v>90355</v>
      </c>
      <c r="I2491" s="144" t="str">
        <f>IFERROR(__xludf.DUMMYFUNCTION("""COMPUTED_VALUE"""),"09/18")</f>
        <v>09/18</v>
      </c>
      <c r="J2491" s="129">
        <f>IFERROR(__xludf.DUMMYFUNCTION("""COMPUTED_VALUE"""),43373.0)</f>
        <v>43373</v>
      </c>
      <c r="K2491" s="133">
        <f>IFERROR(__xludf.DUMMYFUNCTION("""COMPUTED_VALUE"""),42.0)</f>
        <v>42</v>
      </c>
      <c r="L2491" s="133">
        <f>IFERROR(__xludf.DUMMYFUNCTION("""COMPUTED_VALUE"""),6.0)</f>
        <v>6</v>
      </c>
      <c r="M2491" s="133">
        <f>IFERROR(__xludf.DUMMYFUNCTION("""COMPUTED_VALUE"""),48.0)</f>
        <v>48</v>
      </c>
      <c r="N2491" s="152" t="str">
        <f>IFERROR(__xludf.DUMMYFUNCTION("""COMPUTED_VALUE"""),"Model 3 Performance")</f>
        <v>Model 3 Performance</v>
      </c>
      <c r="O2491" s="152" t="str">
        <f>IFERROR(__xludf.DUMMYFUNCTION("""COMPUTED_VALUE"""),"Pearl White Multi-Coat")</f>
        <v>Pearl White Multi-Coat</v>
      </c>
      <c r="P2491" s="153" t="str">
        <f>IFERROR(__xludf.DUMMYFUNCTION("""COMPUTED_VALUE"""),"18 inch Aero")</f>
        <v>18 inch Aero</v>
      </c>
      <c r="Q2491" s="152" t="str">
        <f>IFERROR(__xludf.DUMMYFUNCTION("""COMPUTED_VALUE"""),"Black seats")</f>
        <v>Black seats</v>
      </c>
      <c r="R2491" s="149" t="str">
        <f>IFERROR(__xludf.DUMMYFUNCTION("""COMPUTED_VALUE"""),"Full Self-Driving")</f>
        <v>Full Self-Driving</v>
      </c>
      <c r="S2491" s="149"/>
      <c r="T2491" s="145"/>
      <c r="U2491" s="145"/>
      <c r="V2491" s="145"/>
      <c r="W2491" s="136"/>
      <c r="X2491" s="137" t="str">
        <f>IFERROR(__xludf.DUMMYFUNCTION("""COMPUTED_VALUE"""),"Excellent")</f>
        <v>Excellent</v>
      </c>
      <c r="Y2491" s="138" t="str">
        <f>IFERROR(__xludf.DUMMYFUNCTION("""COMPUTED_VALUE"""),"Excellent")</f>
        <v>Excellent</v>
      </c>
      <c r="Z2491" s="138" t="str">
        <f>IFERROR(__xludf.DUMMYFUNCTION("""COMPUTED_VALUE"""),"Excellent")</f>
        <v>Excellent</v>
      </c>
      <c r="AA2491" s="138" t="str">
        <f>IFERROR(__xludf.DUMMYFUNCTION("""COMPUTED_VALUE"""),"Excellent")</f>
        <v>Excellent</v>
      </c>
      <c r="AB2491" s="138" t="str">
        <f>IFERROR(__xludf.DUMMYFUNCTION("""COMPUTED_VALUE"""),"Excellent")</f>
        <v>Excellent</v>
      </c>
      <c r="AC2491" s="139"/>
      <c r="AD2491" s="139"/>
      <c r="AE2491" s="139"/>
      <c r="AF2491" s="140"/>
      <c r="AG2491" s="136" t="str">
        <f>IFERROR(__xludf.DUMMYFUNCTION("""COMPUTED_VALUE"""),"Paint, panel alignment, interior, all perfect at delivery.")</f>
        <v>Paint, panel alignment, interior, all perfect at delivery.</v>
      </c>
      <c r="AH2491" s="157">
        <f>IFERROR(__xludf.DUMMYFUNCTION("""COMPUTED_VALUE"""),43377.398592743055)</f>
        <v>43377.39859</v>
      </c>
      <c r="AI2491" s="138"/>
      <c r="AJ2491" s="138"/>
      <c r="AK2491" s="138"/>
      <c r="AL2491" s="142"/>
    </row>
    <row r="2492" ht="20.25" customHeight="1">
      <c r="A2492" s="155" t="str">
        <f>IFERROR(__xludf.DUMMYFUNCTION("""COMPUTED_VALUE"""),"Tifighter")</f>
        <v>Tifighter</v>
      </c>
      <c r="B2492" s="149" t="str">
        <f>IFERROR(__xludf.DUMMYFUNCTION("""COMPUTED_VALUE"""),"Tacoma ")</f>
        <v>Tacoma </v>
      </c>
      <c r="C2492" s="149" t="str">
        <f>IFERROR(__xludf.DUMMYFUNCTION("""COMPUTED_VALUE"""),"WA")</f>
        <v>WA</v>
      </c>
      <c r="D2492" s="149" t="str">
        <f>IFERROR(__xludf.DUMMYFUNCTION("""COMPUTED_VALUE"""),"USA")</f>
        <v>USA</v>
      </c>
      <c r="E2492" s="156">
        <f>IFERROR(__xludf.DUMMYFUNCTION("""COMPUTED_VALUE"""),43325.0)</f>
        <v>43325</v>
      </c>
      <c r="F2492" s="129"/>
      <c r="G2492" s="154"/>
      <c r="H2492" s="131">
        <f>IFERROR(__xludf.DUMMYFUNCTION("""COMPUTED_VALUE"""),105155.0)</f>
        <v>105155</v>
      </c>
      <c r="I2492" s="144"/>
      <c r="J2492" s="129">
        <f>IFERROR(__xludf.DUMMYFUNCTION("""COMPUTED_VALUE"""),43372.0)</f>
        <v>43372</v>
      </c>
      <c r="K2492" s="133"/>
      <c r="L2492" s="133"/>
      <c r="M2492" s="133">
        <f>IFERROR(__xludf.DUMMYFUNCTION("""COMPUTED_VALUE"""),47.0)</f>
        <v>47</v>
      </c>
      <c r="N2492" s="152" t="str">
        <f>IFERROR(__xludf.DUMMYFUNCTION("""COMPUTED_VALUE"""),"Model 3 Performance")</f>
        <v>Model 3 Performance</v>
      </c>
      <c r="O2492" s="152" t="str">
        <f>IFERROR(__xludf.DUMMYFUNCTION("""COMPUTED_VALUE"""),"Deep Blue Metallic")</f>
        <v>Deep Blue Metallic</v>
      </c>
      <c r="P2492" s="153" t="str">
        <f>IFERROR(__xludf.DUMMYFUNCTION("""COMPUTED_VALUE"""),"18 inch Aero")</f>
        <v>18 inch Aero</v>
      </c>
      <c r="Q2492" s="152" t="str">
        <f>IFERROR(__xludf.DUMMYFUNCTION("""COMPUTED_VALUE"""),"Black seats")</f>
        <v>Black seats</v>
      </c>
      <c r="R2492" s="149" t="str">
        <f>IFERROR(__xludf.DUMMYFUNCTION("""COMPUTED_VALUE"""),"Enhanced Autopilot")</f>
        <v>Enhanced Autopilot</v>
      </c>
      <c r="S2492" s="149"/>
      <c r="T2492" s="145"/>
      <c r="U2492" s="145"/>
      <c r="V2492" s="145"/>
      <c r="W2492" s="136"/>
      <c r="X2492" s="137" t="str">
        <f>IFERROR(__xludf.DUMMYFUNCTION("""COMPUTED_VALUE"""),"Excellent")</f>
        <v>Excellent</v>
      </c>
      <c r="Y2492" s="138" t="str">
        <f>IFERROR(__xludf.DUMMYFUNCTION("""COMPUTED_VALUE"""),"Very Good")</f>
        <v>Very Good</v>
      </c>
      <c r="Z2492" s="138" t="str">
        <f>IFERROR(__xludf.DUMMYFUNCTION("""COMPUTED_VALUE"""),"Very Good")</f>
        <v>Very Good</v>
      </c>
      <c r="AA2492" s="138" t="str">
        <f>IFERROR(__xludf.DUMMYFUNCTION("""COMPUTED_VALUE"""),"Fair")</f>
        <v>Fair</v>
      </c>
      <c r="AB2492" s="138" t="str">
        <f>IFERROR(__xludf.DUMMYFUNCTION("""COMPUTED_VALUE"""),"Very Good")</f>
        <v>Very Good</v>
      </c>
      <c r="AC2492" s="139"/>
      <c r="AD2492" s="139"/>
      <c r="AE2492" s="139"/>
      <c r="AF2492" s="140"/>
      <c r="AG2492" s="136"/>
      <c r="AH2492" s="157">
        <f>IFERROR(__xludf.DUMMYFUNCTION("""COMPUTED_VALUE"""),43371.801591261574)</f>
        <v>43371.80159</v>
      </c>
      <c r="AI2492" s="138"/>
      <c r="AJ2492" s="138"/>
      <c r="AK2492" s="138"/>
      <c r="AL2492" s="142"/>
    </row>
    <row r="2493" ht="20.25" customHeight="1">
      <c r="A2493" s="155" t="str">
        <f>IFERROR(__xludf.DUMMYFUNCTION("""COMPUTED_VALUE"""),"ElJefe")</f>
        <v>ElJefe</v>
      </c>
      <c r="B2493" s="149" t="str">
        <f>IFERROR(__xludf.DUMMYFUNCTION("""COMPUTED_VALUE"""),"Pasadena, CA")</f>
        <v>Pasadena, CA</v>
      </c>
      <c r="C2493" s="149" t="str">
        <f>IFERROR(__xludf.DUMMYFUNCTION("""COMPUTED_VALUE"""),"CA")</f>
        <v>CA</v>
      </c>
      <c r="D2493" s="149" t="str">
        <f>IFERROR(__xludf.DUMMYFUNCTION("""COMPUTED_VALUE"""),"USA")</f>
        <v>USA</v>
      </c>
      <c r="E2493" s="156">
        <f>IFERROR(__xludf.DUMMYFUNCTION("""COMPUTED_VALUE"""),43324.0)</f>
        <v>43324</v>
      </c>
      <c r="F2493" s="129">
        <f>IFERROR(__xludf.DUMMYFUNCTION("""COMPUTED_VALUE"""),43360.0)</f>
        <v>43360</v>
      </c>
      <c r="G2493" s="154"/>
      <c r="H2493" s="131">
        <f>IFERROR(__xludf.DUMMYFUNCTION("""COMPUTED_VALUE"""),83069.0)</f>
        <v>83069</v>
      </c>
      <c r="I2493" s="144"/>
      <c r="J2493" s="129">
        <f>IFERROR(__xludf.DUMMYFUNCTION("""COMPUTED_VALUE"""),43365.0)</f>
        <v>43365</v>
      </c>
      <c r="K2493" s="133">
        <f>IFERROR(__xludf.DUMMYFUNCTION("""COMPUTED_VALUE"""),36.0)</f>
        <v>36</v>
      </c>
      <c r="L2493" s="133">
        <f>IFERROR(__xludf.DUMMYFUNCTION("""COMPUTED_VALUE"""),5.0)</f>
        <v>5</v>
      </c>
      <c r="M2493" s="133">
        <f>IFERROR(__xludf.DUMMYFUNCTION("""COMPUTED_VALUE"""),41.0)</f>
        <v>41</v>
      </c>
      <c r="N2493" s="152" t="str">
        <f>IFERROR(__xludf.DUMMYFUNCTION("""COMPUTED_VALUE"""),"Model 3 Performance")</f>
        <v>Model 3 Performance</v>
      </c>
      <c r="O2493" s="152" t="str">
        <f>IFERROR(__xludf.DUMMYFUNCTION("""COMPUTED_VALUE"""),"Midnight Silver Metallic")</f>
        <v>Midnight Silver Metallic</v>
      </c>
      <c r="P2493" s="153" t="str">
        <f>IFERROR(__xludf.DUMMYFUNCTION("""COMPUTED_VALUE"""),"20 inch Sport")</f>
        <v>20 inch Sport</v>
      </c>
      <c r="Q2493" s="152" t="str">
        <f>IFERROR(__xludf.DUMMYFUNCTION("""COMPUTED_VALUE"""),"Black seats")</f>
        <v>Black seats</v>
      </c>
      <c r="R2493" s="149" t="str">
        <f>IFERROR(__xludf.DUMMYFUNCTION("""COMPUTED_VALUE"""),"None")</f>
        <v>None</v>
      </c>
      <c r="S2493" s="149"/>
      <c r="T2493" s="145"/>
      <c r="U2493" s="145"/>
      <c r="V2493" s="145"/>
      <c r="W2493" s="136"/>
      <c r="X2493" s="137" t="str">
        <f>IFERROR(__xludf.DUMMYFUNCTION("""COMPUTED_VALUE"""),"Excellent")</f>
        <v>Excellent</v>
      </c>
      <c r="Y2493" s="138" t="str">
        <f>IFERROR(__xludf.DUMMYFUNCTION("""COMPUTED_VALUE"""),"Excellent")</f>
        <v>Excellent</v>
      </c>
      <c r="Z2493" s="138"/>
      <c r="AA2493" s="138" t="str">
        <f>IFERROR(__xludf.DUMMYFUNCTION("""COMPUTED_VALUE"""),"Very Good")</f>
        <v>Very Good</v>
      </c>
      <c r="AB2493" s="138" t="str">
        <f>IFERROR(__xludf.DUMMYFUNCTION("""COMPUTED_VALUE"""),"Excellent")</f>
        <v>Excellent</v>
      </c>
      <c r="AC2493" s="139"/>
      <c r="AD2493" s="139"/>
      <c r="AE2493" s="139"/>
      <c r="AF2493" s="140"/>
      <c r="AG2493" s="136"/>
      <c r="AH2493" s="157">
        <f>IFERROR(__xludf.DUMMYFUNCTION("""COMPUTED_VALUE"""),43367.90642197917)</f>
        <v>43367.90642</v>
      </c>
      <c r="AI2493" s="138"/>
      <c r="AJ2493" s="138"/>
      <c r="AK2493" s="138"/>
      <c r="AL2493" s="142"/>
    </row>
    <row r="2494" ht="20.25" customHeight="1">
      <c r="A2494" s="155" t="str">
        <f>IFERROR(__xludf.DUMMYFUNCTION("""COMPUTED_VALUE"""),"Mironskii")</f>
        <v>Mironskii</v>
      </c>
      <c r="B2494" s="149" t="str">
        <f>IFERROR(__xludf.DUMMYFUNCTION("""COMPUTED_VALUE"""),"Bromont")</f>
        <v>Bromont</v>
      </c>
      <c r="C2494" s="149" t="str">
        <f>IFERROR(__xludf.DUMMYFUNCTION("""COMPUTED_VALUE"""),"QC")</f>
        <v>QC</v>
      </c>
      <c r="D2494" s="149" t="str">
        <f>IFERROR(__xludf.DUMMYFUNCTION("""COMPUTED_VALUE"""),"Canada")</f>
        <v>Canada</v>
      </c>
      <c r="E2494" s="156">
        <f>IFERROR(__xludf.DUMMYFUNCTION("""COMPUTED_VALUE"""),43324.0)</f>
        <v>43324</v>
      </c>
      <c r="F2494" s="129">
        <f>IFERROR(__xludf.DUMMYFUNCTION("""COMPUTED_VALUE"""),43347.0)</f>
        <v>43347</v>
      </c>
      <c r="G2494" s="154"/>
      <c r="H2494" s="131">
        <f>IFERROR(__xludf.DUMMYFUNCTION("""COMPUTED_VALUE"""),108055.0)</f>
        <v>108055</v>
      </c>
      <c r="I2494" s="144"/>
      <c r="J2494" s="129">
        <f>IFERROR(__xludf.DUMMYFUNCTION("""COMPUTED_VALUE"""),43371.0)</f>
        <v>43371</v>
      </c>
      <c r="K2494" s="133">
        <f>IFERROR(__xludf.DUMMYFUNCTION("""COMPUTED_VALUE"""),23.0)</f>
        <v>23</v>
      </c>
      <c r="L2494" s="133">
        <f>IFERROR(__xludf.DUMMYFUNCTION("""COMPUTED_VALUE"""),24.0)</f>
        <v>24</v>
      </c>
      <c r="M2494" s="133">
        <f>IFERROR(__xludf.DUMMYFUNCTION("""COMPUTED_VALUE"""),47.0)</f>
        <v>47</v>
      </c>
      <c r="N2494" s="152" t="str">
        <f>IFERROR(__xludf.DUMMYFUNCTION("""COMPUTED_VALUE"""),"Model 3 LR AWD")</f>
        <v>Model 3 LR AWD</v>
      </c>
      <c r="O2494" s="152" t="str">
        <f>IFERROR(__xludf.DUMMYFUNCTION("""COMPUTED_VALUE"""),"Red Multi-Coat")</f>
        <v>Red Multi-Coat</v>
      </c>
      <c r="P2494" s="153" t="str">
        <f>IFERROR(__xludf.DUMMYFUNCTION("""COMPUTED_VALUE"""),"18 inch Aero")</f>
        <v>18 inch Aero</v>
      </c>
      <c r="Q2494" s="152" t="str">
        <f>IFERROR(__xludf.DUMMYFUNCTION("""COMPUTED_VALUE"""),"White seats")</f>
        <v>White seats</v>
      </c>
      <c r="R2494" s="149" t="str">
        <f>IFERROR(__xludf.DUMMYFUNCTION("""COMPUTED_VALUE"""),"Enhanced Autopilot")</f>
        <v>Enhanced Autopilot</v>
      </c>
      <c r="S2494" s="149"/>
      <c r="T2494" s="145"/>
      <c r="U2494" s="145"/>
      <c r="V2494" s="145"/>
      <c r="W2494" s="136"/>
      <c r="X2494" s="137" t="str">
        <f>IFERROR(__xludf.DUMMYFUNCTION("""COMPUTED_VALUE"""),"Excellent")</f>
        <v>Excellent</v>
      </c>
      <c r="Y2494" s="138" t="str">
        <f>IFERROR(__xludf.DUMMYFUNCTION("""COMPUTED_VALUE"""),"Excellent")</f>
        <v>Excellent</v>
      </c>
      <c r="Z2494" s="138" t="str">
        <f>IFERROR(__xludf.DUMMYFUNCTION("""COMPUTED_VALUE"""),"Excellent")</f>
        <v>Excellent</v>
      </c>
      <c r="AA2494" s="138" t="str">
        <f>IFERROR(__xludf.DUMMYFUNCTION("""COMPUTED_VALUE"""),"Very Good")</f>
        <v>Very Good</v>
      </c>
      <c r="AB2494" s="138" t="str">
        <f>IFERROR(__xludf.DUMMYFUNCTION("""COMPUTED_VALUE"""),"Excellent")</f>
        <v>Excellent</v>
      </c>
      <c r="AC2494" s="139">
        <f>IFERROR(__xludf.DUMMYFUNCTION("""COMPUTED_VALUE"""),0.0)</f>
        <v>0</v>
      </c>
      <c r="AD2494" s="139">
        <f>IFERROR(__xludf.DUMMYFUNCTION("""COMPUTED_VALUE"""),0.0)</f>
        <v>0</v>
      </c>
      <c r="AE2494" s="139">
        <f>IFERROR(__xludf.DUMMYFUNCTION("""COMPUTED_VALUE"""),0.0)</f>
        <v>0</v>
      </c>
      <c r="AF2494" s="140"/>
      <c r="AG2494" s="136"/>
      <c r="AH2494" s="157">
        <f>IFERROR(__xludf.DUMMYFUNCTION("""COMPUTED_VALUE"""),43399.58684989583)</f>
        <v>43399.58685</v>
      </c>
      <c r="AI2494" s="138"/>
      <c r="AJ2494" s="138"/>
      <c r="AK2494" s="138"/>
      <c r="AL2494" s="142"/>
    </row>
    <row r="2495" ht="20.25" customHeight="1">
      <c r="A2495" s="155" t="str">
        <f>IFERROR(__xludf.DUMMYFUNCTION("""COMPUTED_VALUE"""),"newtonkp")</f>
        <v>newtonkp</v>
      </c>
      <c r="B2495" s="149" t="str">
        <f>IFERROR(__xludf.DUMMYFUNCTION("""COMPUTED_VALUE"""),"Montreal")</f>
        <v>Montreal</v>
      </c>
      <c r="C2495" s="149" t="str">
        <f>IFERROR(__xludf.DUMMYFUNCTION("""COMPUTED_VALUE"""),"QC")</f>
        <v>QC</v>
      </c>
      <c r="D2495" s="149" t="str">
        <f>IFERROR(__xludf.DUMMYFUNCTION("""COMPUTED_VALUE"""),"Canada")</f>
        <v>Canada</v>
      </c>
      <c r="E2495" s="156">
        <f>IFERROR(__xludf.DUMMYFUNCTION("""COMPUTED_VALUE"""),43324.0)</f>
        <v>43324</v>
      </c>
      <c r="F2495" s="129">
        <f>IFERROR(__xludf.DUMMYFUNCTION("""COMPUTED_VALUE"""),43256.0)</f>
        <v>43256</v>
      </c>
      <c r="G2495" s="154"/>
      <c r="H2495" s="131">
        <f>IFERROR(__xludf.DUMMYFUNCTION("""COMPUTED_VALUE"""),108055.0)</f>
        <v>108055</v>
      </c>
      <c r="I2495" s="144" t="str">
        <f>IFERROR(__xludf.DUMMYFUNCTION("""COMPUTED_VALUE"""),"08/18")</f>
        <v>08/18</v>
      </c>
      <c r="J2495" s="129">
        <f>IFERROR(__xludf.DUMMYFUNCTION("""COMPUTED_VALUE"""),43363.0)</f>
        <v>43363</v>
      </c>
      <c r="K2495" s="133"/>
      <c r="L2495" s="133">
        <f>IFERROR(__xludf.DUMMYFUNCTION("""COMPUTED_VALUE"""),107.0)</f>
        <v>107</v>
      </c>
      <c r="M2495" s="133">
        <f>IFERROR(__xludf.DUMMYFUNCTION("""COMPUTED_VALUE"""),39.0)</f>
        <v>39</v>
      </c>
      <c r="N2495" s="152" t="str">
        <f>IFERROR(__xludf.DUMMYFUNCTION("""COMPUTED_VALUE"""),"Model 3 Performance")</f>
        <v>Model 3 Performance</v>
      </c>
      <c r="O2495" s="152" t="str">
        <f>IFERROR(__xludf.DUMMYFUNCTION("""COMPUTED_VALUE"""),"Deep Blue Metallic")</f>
        <v>Deep Blue Metallic</v>
      </c>
      <c r="P2495" s="153" t="str">
        <f>IFERROR(__xludf.DUMMYFUNCTION("""COMPUTED_VALUE"""),"18 inch Aero")</f>
        <v>18 inch Aero</v>
      </c>
      <c r="Q2495" s="152" t="str">
        <f>IFERROR(__xludf.DUMMYFUNCTION("""COMPUTED_VALUE"""),"White seats")</f>
        <v>White seats</v>
      </c>
      <c r="R2495" s="149" t="str">
        <f>IFERROR(__xludf.DUMMYFUNCTION("""COMPUTED_VALUE"""),"Enhanced Autopilot")</f>
        <v>Enhanced Autopilot</v>
      </c>
      <c r="S2495" s="149"/>
      <c r="T2495" s="145"/>
      <c r="U2495" s="145"/>
      <c r="V2495" s="145"/>
      <c r="W2495" s="136"/>
      <c r="X2495" s="137" t="str">
        <f>IFERROR(__xludf.DUMMYFUNCTION("""COMPUTED_VALUE"""),"Excellent")</f>
        <v>Excellent</v>
      </c>
      <c r="Y2495" s="138" t="str">
        <f>IFERROR(__xludf.DUMMYFUNCTION("""COMPUTED_VALUE"""),"Excellent")</f>
        <v>Excellent</v>
      </c>
      <c r="Z2495" s="138" t="str">
        <f>IFERROR(__xludf.DUMMYFUNCTION("""COMPUTED_VALUE"""),"Very Good")</f>
        <v>Very Good</v>
      </c>
      <c r="AA2495" s="138" t="str">
        <f>IFERROR(__xludf.DUMMYFUNCTION("""COMPUTED_VALUE"""),"Poor")</f>
        <v>Poor</v>
      </c>
      <c r="AB2495" s="138" t="str">
        <f>IFERROR(__xludf.DUMMYFUNCTION("""COMPUTED_VALUE"""),"Excellent")</f>
        <v>Excellent</v>
      </c>
      <c r="AC2495" s="139"/>
      <c r="AD2495" s="139"/>
      <c r="AE2495" s="139"/>
      <c r="AF2495" s="140"/>
      <c r="AG2495" s="136" t="str">
        <f>IFERROR(__xludf.DUMMYFUNCTION("""COMPUTED_VALUE"""),"Change configuration for Performance August 20 2018")</f>
        <v>Change configuration for Performance August 20 2018</v>
      </c>
      <c r="AH2495" s="157">
        <f>IFERROR(__xludf.DUMMYFUNCTION("""COMPUTED_VALUE"""),43366.53166538195)</f>
        <v>43366.53167</v>
      </c>
      <c r="AI2495" s="138"/>
      <c r="AJ2495" s="138"/>
      <c r="AK2495" s="138"/>
      <c r="AL2495" s="142"/>
    </row>
    <row r="2496" ht="20.25" customHeight="1">
      <c r="A2496" s="155" t="str">
        <f>IFERROR(__xludf.DUMMYFUNCTION("""COMPUTED_VALUE"""),"domo")</f>
        <v>domo</v>
      </c>
      <c r="B2496" s="149" t="str">
        <f>IFERROR(__xludf.DUMMYFUNCTION("""COMPUTED_VALUE"""),"San Diego")</f>
        <v>San Diego</v>
      </c>
      <c r="C2496" s="149" t="str">
        <f>IFERROR(__xludf.DUMMYFUNCTION("""COMPUTED_VALUE"""),"CA")</f>
        <v>CA</v>
      </c>
      <c r="D2496" s="149" t="str">
        <f>IFERROR(__xludf.DUMMYFUNCTION("""COMPUTED_VALUE"""),"USA")</f>
        <v>USA</v>
      </c>
      <c r="E2496" s="156">
        <f>IFERROR(__xludf.DUMMYFUNCTION("""COMPUTED_VALUE"""),43323.0)</f>
        <v>43323</v>
      </c>
      <c r="F2496" s="129">
        <f>IFERROR(__xludf.DUMMYFUNCTION("""COMPUTED_VALUE"""),43327.0)</f>
        <v>43327</v>
      </c>
      <c r="G2496" s="154"/>
      <c r="H2496" s="131">
        <f>IFERROR(__xludf.DUMMYFUNCTION("""COMPUTED_VALUE"""),57255.0)</f>
        <v>57255</v>
      </c>
      <c r="I2496" s="144" t="str">
        <f>IFERROR(__xludf.DUMMYFUNCTION("""COMPUTED_VALUE"""),"08/18")</f>
        <v>08/18</v>
      </c>
      <c r="J2496" s="129">
        <f>IFERROR(__xludf.DUMMYFUNCTION("""COMPUTED_VALUE"""),43333.0)</f>
        <v>43333</v>
      </c>
      <c r="K2496" s="133">
        <f>IFERROR(__xludf.DUMMYFUNCTION("""COMPUTED_VALUE"""),4.0)</f>
        <v>4</v>
      </c>
      <c r="L2496" s="133">
        <f>IFERROR(__xludf.DUMMYFUNCTION("""COMPUTED_VALUE"""),6.0)</f>
        <v>6</v>
      </c>
      <c r="M2496" s="133">
        <f>IFERROR(__xludf.DUMMYFUNCTION("""COMPUTED_VALUE"""),10.0)</f>
        <v>10</v>
      </c>
      <c r="N2496" s="152" t="str">
        <f>IFERROR(__xludf.DUMMYFUNCTION("""COMPUTED_VALUE"""),"Model 3 LR")</f>
        <v>Model 3 LR</v>
      </c>
      <c r="O2496" s="152" t="str">
        <f>IFERROR(__xludf.DUMMYFUNCTION("""COMPUTED_VALUE"""),"Pearl White Multi-Coat")</f>
        <v>Pearl White Multi-Coat</v>
      </c>
      <c r="P2496" s="153" t="str">
        <f>IFERROR(__xludf.DUMMYFUNCTION("""COMPUTED_VALUE"""),"18 inch Aero")</f>
        <v>18 inch Aero</v>
      </c>
      <c r="Q2496" s="152" t="str">
        <f>IFERROR(__xludf.DUMMYFUNCTION("""COMPUTED_VALUE"""),"Black seats")</f>
        <v>Black seats</v>
      </c>
      <c r="R2496" s="149" t="str">
        <f>IFERROR(__xludf.DUMMYFUNCTION("""COMPUTED_VALUE"""),"Enhanced Autopilot")</f>
        <v>Enhanced Autopilot</v>
      </c>
      <c r="S2496" s="149"/>
      <c r="T2496" s="145"/>
      <c r="U2496" s="145"/>
      <c r="V2496" s="145"/>
      <c r="W2496" s="136"/>
      <c r="X2496" s="137" t="str">
        <f>IFERROR(__xludf.DUMMYFUNCTION("""COMPUTED_VALUE"""),"Excellent")</f>
        <v>Excellent</v>
      </c>
      <c r="Y2496" s="138" t="str">
        <f>IFERROR(__xludf.DUMMYFUNCTION("""COMPUTED_VALUE"""),"Very Good")</f>
        <v>Very Good</v>
      </c>
      <c r="Z2496" s="138" t="str">
        <f>IFERROR(__xludf.DUMMYFUNCTION("""COMPUTED_VALUE"""),"Excellent")</f>
        <v>Excellent</v>
      </c>
      <c r="AA2496" s="138" t="str">
        <f>IFERROR(__xludf.DUMMYFUNCTION("""COMPUTED_VALUE"""),"Excellent")</f>
        <v>Excellent</v>
      </c>
      <c r="AB2496" s="138" t="str">
        <f>IFERROR(__xludf.DUMMYFUNCTION("""COMPUTED_VALUE"""),"Good")</f>
        <v>Good</v>
      </c>
      <c r="AC2496" s="139"/>
      <c r="AD2496" s="139"/>
      <c r="AE2496" s="139"/>
      <c r="AF2496" s="140"/>
      <c r="AG2496" s="136"/>
      <c r="AH2496" s="157">
        <f>IFERROR(__xludf.DUMMYFUNCTION("""COMPUTED_VALUE"""),43334.91590541667)</f>
        <v>43334.91591</v>
      </c>
      <c r="AI2496" s="138"/>
      <c r="AJ2496" s="138"/>
      <c r="AK2496" s="138"/>
      <c r="AL2496" s="142"/>
    </row>
    <row r="2497" ht="20.25" customHeight="1">
      <c r="A2497" s="155" t="str">
        <f>IFERROR(__xludf.DUMMYFUNCTION("""COMPUTED_VALUE"""),"pcbrhit")</f>
        <v>pcbrhit</v>
      </c>
      <c r="B2497" s="149" t="str">
        <f>IFERROR(__xludf.DUMMYFUNCTION("""COMPUTED_VALUE"""),"Richmond")</f>
        <v>Richmond</v>
      </c>
      <c r="C2497" s="149" t="str">
        <f>IFERROR(__xludf.DUMMYFUNCTION("""COMPUTED_VALUE"""),"VA")</f>
        <v>VA</v>
      </c>
      <c r="D2497" s="149" t="str">
        <f>IFERROR(__xludf.DUMMYFUNCTION("""COMPUTED_VALUE"""),"USA")</f>
        <v>USA</v>
      </c>
      <c r="E2497" s="156">
        <f>IFERROR(__xludf.DUMMYFUNCTION("""COMPUTED_VALUE"""),43323.0)</f>
        <v>43323</v>
      </c>
      <c r="F2497" s="129">
        <f>IFERROR(__xludf.DUMMYFUNCTION("""COMPUTED_VALUE"""),43367.0)</f>
        <v>43367</v>
      </c>
      <c r="G2497" s="154"/>
      <c r="H2497" s="131">
        <f>IFERROR(__xludf.DUMMYFUNCTION("""COMPUTED_VALUE"""),42155.0)</f>
        <v>42155</v>
      </c>
      <c r="I2497" s="144" t="str">
        <f>IFERROR(__xludf.DUMMYFUNCTION("""COMPUTED_VALUE"""),"07/18")</f>
        <v>07/18</v>
      </c>
      <c r="J2497" s="129">
        <f>IFERROR(__xludf.DUMMYFUNCTION("""COMPUTED_VALUE"""),43369.0)</f>
        <v>43369</v>
      </c>
      <c r="K2497" s="133">
        <f>IFERROR(__xludf.DUMMYFUNCTION("""COMPUTED_VALUE"""),44.0)</f>
        <v>44</v>
      </c>
      <c r="L2497" s="133">
        <f>IFERROR(__xludf.DUMMYFUNCTION("""COMPUTED_VALUE"""),2.0)</f>
        <v>2</v>
      </c>
      <c r="M2497" s="133">
        <f>IFERROR(__xludf.DUMMYFUNCTION("""COMPUTED_VALUE"""),46.0)</f>
        <v>46</v>
      </c>
      <c r="N2497" s="152" t="str">
        <f>IFERROR(__xludf.DUMMYFUNCTION("""COMPUTED_VALUE"""),"Model 3 LR")</f>
        <v>Model 3 LR</v>
      </c>
      <c r="O2497" s="152" t="str">
        <f>IFERROR(__xludf.DUMMYFUNCTION("""COMPUTED_VALUE"""),"Silver Metallic")</f>
        <v>Silver Metallic</v>
      </c>
      <c r="P2497" s="153" t="str">
        <f>IFERROR(__xludf.DUMMYFUNCTION("""COMPUTED_VALUE"""),"18 inch Aero")</f>
        <v>18 inch Aero</v>
      </c>
      <c r="Q2497" s="152" t="str">
        <f>IFERROR(__xludf.DUMMYFUNCTION("""COMPUTED_VALUE"""),"Black seats")</f>
        <v>Black seats</v>
      </c>
      <c r="R2497" s="149" t="str">
        <f>IFERROR(__xludf.DUMMYFUNCTION("""COMPUTED_VALUE"""),"Enhanced Autopilot")</f>
        <v>Enhanced Autopilot</v>
      </c>
      <c r="S2497" s="149"/>
      <c r="T2497" s="145"/>
      <c r="U2497" s="145"/>
      <c r="V2497" s="145"/>
      <c r="W2497" s="136"/>
      <c r="X2497" s="137"/>
      <c r="Y2497" s="138"/>
      <c r="Z2497" s="138"/>
      <c r="AA2497" s="138" t="str">
        <f>IFERROR(__xludf.DUMMYFUNCTION("""COMPUTED_VALUE"""),"Very Good")</f>
        <v>Very Good</v>
      </c>
      <c r="AB2497" s="138" t="str">
        <f>IFERROR(__xludf.DUMMYFUNCTION("""COMPUTED_VALUE"""),"Excellent")</f>
        <v>Excellent</v>
      </c>
      <c r="AC2497" s="139"/>
      <c r="AD2497" s="139"/>
      <c r="AE2497" s="139"/>
      <c r="AF2497" s="140"/>
      <c r="AG2497" s="136"/>
      <c r="AH2497" s="157">
        <f>IFERROR(__xludf.DUMMYFUNCTION("""COMPUTED_VALUE"""),43369.72824174768)</f>
        <v>43369.72824</v>
      </c>
      <c r="AI2497" s="138"/>
      <c r="AJ2497" s="138"/>
      <c r="AK2497" s="138"/>
      <c r="AL2497" s="142"/>
    </row>
    <row r="2498" ht="20.25" customHeight="1">
      <c r="A2498" s="155" t="str">
        <f>IFERROR(__xludf.DUMMYFUNCTION("""COMPUTED_VALUE"""),"sminty7")</f>
        <v>sminty7</v>
      </c>
      <c r="B2498" s="149" t="str">
        <f>IFERROR(__xludf.DUMMYFUNCTION("""COMPUTED_VALUE"""),"Kirkland")</f>
        <v>Kirkland</v>
      </c>
      <c r="C2498" s="149" t="str">
        <f>IFERROR(__xludf.DUMMYFUNCTION("""COMPUTED_VALUE"""),"WA")</f>
        <v>WA</v>
      </c>
      <c r="D2498" s="149" t="str">
        <f>IFERROR(__xludf.DUMMYFUNCTION("""COMPUTED_VALUE"""),"USA")</f>
        <v>USA</v>
      </c>
      <c r="E2498" s="156">
        <f>IFERROR(__xludf.DUMMYFUNCTION("""COMPUTED_VALUE"""),43323.0)</f>
        <v>43323</v>
      </c>
      <c r="F2498" s="129">
        <f>IFERROR(__xludf.DUMMYFUNCTION("""COMPUTED_VALUE"""),43366.0)</f>
        <v>43366</v>
      </c>
      <c r="G2498" s="154"/>
      <c r="H2498" s="131">
        <f>IFERROR(__xludf.DUMMYFUNCTION("""COMPUTED_VALUE"""),92355.0)</f>
        <v>92355</v>
      </c>
      <c r="I2498" s="144"/>
      <c r="J2498" s="129">
        <f>IFERROR(__xludf.DUMMYFUNCTION("""COMPUTED_VALUE"""),43370.0)</f>
        <v>43370</v>
      </c>
      <c r="K2498" s="133">
        <f>IFERROR(__xludf.DUMMYFUNCTION("""COMPUTED_VALUE"""),43.0)</f>
        <v>43</v>
      </c>
      <c r="L2498" s="133">
        <f>IFERROR(__xludf.DUMMYFUNCTION("""COMPUTED_VALUE"""),4.0)</f>
        <v>4</v>
      </c>
      <c r="M2498" s="133">
        <f>IFERROR(__xludf.DUMMYFUNCTION("""COMPUTED_VALUE"""),47.0)</f>
        <v>47</v>
      </c>
      <c r="N2498" s="152" t="str">
        <f>IFERROR(__xludf.DUMMYFUNCTION("""COMPUTED_VALUE"""),"Model 3 LR AWD")</f>
        <v>Model 3 LR AWD</v>
      </c>
      <c r="O2498" s="152" t="str">
        <f>IFERROR(__xludf.DUMMYFUNCTION("""COMPUTED_VALUE"""),"Pearl White Multi-Coat")</f>
        <v>Pearl White Multi-Coat</v>
      </c>
      <c r="P2498" s="153" t="str">
        <f>IFERROR(__xludf.DUMMYFUNCTION("""COMPUTED_VALUE"""),"18 inch Aero")</f>
        <v>18 inch Aero</v>
      </c>
      <c r="Q2498" s="152" t="str">
        <f>IFERROR(__xludf.DUMMYFUNCTION("""COMPUTED_VALUE"""),"Black seats")</f>
        <v>Black seats</v>
      </c>
      <c r="R2498" s="149" t="str">
        <f>IFERROR(__xludf.DUMMYFUNCTION("""COMPUTED_VALUE"""),"Enhanced Autopilot")</f>
        <v>Enhanced Autopilot</v>
      </c>
      <c r="S2498" s="149"/>
      <c r="T2498" s="145"/>
      <c r="U2498" s="145"/>
      <c r="V2498" s="145"/>
      <c r="W2498" s="136"/>
      <c r="X2498" s="137" t="str">
        <f>IFERROR(__xludf.DUMMYFUNCTION("""COMPUTED_VALUE"""),"Excellent")</f>
        <v>Excellent</v>
      </c>
      <c r="Y2498" s="138" t="str">
        <f>IFERROR(__xludf.DUMMYFUNCTION("""COMPUTED_VALUE"""),"Excellent")</f>
        <v>Excellent</v>
      </c>
      <c r="Z2498" s="138" t="str">
        <f>IFERROR(__xludf.DUMMYFUNCTION("""COMPUTED_VALUE"""),"Excellent")</f>
        <v>Excellent</v>
      </c>
      <c r="AA2498" s="138" t="str">
        <f>IFERROR(__xludf.DUMMYFUNCTION("""COMPUTED_VALUE"""),"Good")</f>
        <v>Good</v>
      </c>
      <c r="AB2498" s="138" t="str">
        <f>IFERROR(__xludf.DUMMYFUNCTION("""COMPUTED_VALUE"""),"Very Good")</f>
        <v>Very Good</v>
      </c>
      <c r="AC2498" s="139">
        <f>IFERROR(__xludf.DUMMYFUNCTION("""COMPUTED_VALUE"""),1.0)</f>
        <v>1</v>
      </c>
      <c r="AD2498" s="139">
        <f>IFERROR(__xludf.DUMMYFUNCTION("""COMPUTED_VALUE"""),1.0)</f>
        <v>1</v>
      </c>
      <c r="AE2498" s="139">
        <f>IFERROR(__xludf.DUMMYFUNCTION("""COMPUTED_VALUE"""),1.0)</f>
        <v>1</v>
      </c>
      <c r="AF2498" s="140"/>
      <c r="AG2498" s="136"/>
      <c r="AH2498" s="157">
        <f>IFERROR(__xludf.DUMMYFUNCTION("""COMPUTED_VALUE"""),43396.428388506945)</f>
        <v>43396.42839</v>
      </c>
      <c r="AI2498" s="138"/>
      <c r="AJ2498" s="138"/>
      <c r="AK2498" s="138"/>
      <c r="AL2498" s="142"/>
    </row>
    <row r="2499" ht="20.25" customHeight="1">
      <c r="A2499" s="155" t="str">
        <f>IFERROR(__xludf.DUMMYFUNCTION("""COMPUTED_VALUE"""),"starter146")</f>
        <v>starter146</v>
      </c>
      <c r="B2499" s="149" t="str">
        <f>IFERROR(__xludf.DUMMYFUNCTION("""COMPUTED_VALUE"""),"Los Angeles")</f>
        <v>Los Angeles</v>
      </c>
      <c r="C2499" s="149" t="str">
        <f>IFERROR(__xludf.DUMMYFUNCTION("""COMPUTED_VALUE"""),"CA")</f>
        <v>CA</v>
      </c>
      <c r="D2499" s="149" t="str">
        <f>IFERROR(__xludf.DUMMYFUNCTION("""COMPUTED_VALUE"""),"USA")</f>
        <v>USA</v>
      </c>
      <c r="E2499" s="156">
        <f>IFERROR(__xludf.DUMMYFUNCTION("""COMPUTED_VALUE"""),43323.0)</f>
        <v>43323</v>
      </c>
      <c r="F2499" s="129"/>
      <c r="G2499" s="154"/>
      <c r="H2499" s="131">
        <f>IFERROR(__xludf.DUMMYFUNCTION("""COMPUTED_VALUE"""),102255.0)</f>
        <v>102255</v>
      </c>
      <c r="I2499" s="144" t="str">
        <f>IFERROR(__xludf.DUMMYFUNCTION("""COMPUTED_VALUE"""),"10/18")</f>
        <v>10/18</v>
      </c>
      <c r="J2499" s="129">
        <f>IFERROR(__xludf.DUMMYFUNCTION("""COMPUTED_VALUE"""),43394.0)</f>
        <v>43394</v>
      </c>
      <c r="K2499" s="133"/>
      <c r="L2499" s="133"/>
      <c r="M2499" s="133">
        <f>IFERROR(__xludf.DUMMYFUNCTION("""COMPUTED_VALUE"""),71.0)</f>
        <v>71</v>
      </c>
      <c r="N2499" s="152" t="str">
        <f>IFERROR(__xludf.DUMMYFUNCTION("""COMPUTED_VALUE"""),"Model 3 LR")</f>
        <v>Model 3 LR</v>
      </c>
      <c r="O2499" s="152" t="str">
        <f>IFERROR(__xludf.DUMMYFUNCTION("""COMPUTED_VALUE"""),"Deep Blue Metallic")</f>
        <v>Deep Blue Metallic</v>
      </c>
      <c r="P2499" s="153" t="str">
        <f>IFERROR(__xludf.DUMMYFUNCTION("""COMPUTED_VALUE"""),"18 inch Aero")</f>
        <v>18 inch Aero</v>
      </c>
      <c r="Q2499" s="152" t="str">
        <f>IFERROR(__xludf.DUMMYFUNCTION("""COMPUTED_VALUE"""),"Black seats")</f>
        <v>Black seats</v>
      </c>
      <c r="R2499" s="149" t="str">
        <f>IFERROR(__xludf.DUMMYFUNCTION("""COMPUTED_VALUE"""),"Enhanced Autopilot")</f>
        <v>Enhanced Autopilot</v>
      </c>
      <c r="S2499" s="149"/>
      <c r="T2499" s="145"/>
      <c r="U2499" s="145"/>
      <c r="V2499" s="145"/>
      <c r="W2499" s="136"/>
      <c r="X2499" s="137" t="str">
        <f>IFERROR(__xludf.DUMMYFUNCTION("""COMPUTED_VALUE"""),"Excellent")</f>
        <v>Excellent</v>
      </c>
      <c r="Y2499" s="138" t="str">
        <f>IFERROR(__xludf.DUMMYFUNCTION("""COMPUTED_VALUE"""),"Excellent")</f>
        <v>Excellent</v>
      </c>
      <c r="Z2499" s="138" t="str">
        <f>IFERROR(__xludf.DUMMYFUNCTION("""COMPUTED_VALUE"""),"Excellent")</f>
        <v>Excellent</v>
      </c>
      <c r="AA2499" s="138" t="str">
        <f>IFERROR(__xludf.DUMMYFUNCTION("""COMPUTED_VALUE"""),"Very Good")</f>
        <v>Very Good</v>
      </c>
      <c r="AB2499" s="138" t="str">
        <f>IFERROR(__xludf.DUMMYFUNCTION("""COMPUTED_VALUE"""),"Poor")</f>
        <v>Poor</v>
      </c>
      <c r="AC2499" s="139">
        <f>IFERROR(__xludf.DUMMYFUNCTION("""COMPUTED_VALUE"""),0.0)</f>
        <v>0</v>
      </c>
      <c r="AD2499" s="139">
        <f>IFERROR(__xludf.DUMMYFUNCTION("""COMPUTED_VALUE"""),0.0)</f>
        <v>0</v>
      </c>
      <c r="AE2499" s="139">
        <f>IFERROR(__xludf.DUMMYFUNCTION("""COMPUTED_VALUE"""),0.0)</f>
        <v>0</v>
      </c>
      <c r="AF2499" s="140"/>
      <c r="AG2499" s="136" t="str">
        <f>IFERROR(__xludf.DUMMYFUNCTION("""COMPUTED_VALUE"""),"Car looked great except for the delivery experience. We were told to figure everything out ourselves and the advisor just left. Not a way to sell a luxury car. ")</f>
        <v>Car looked great except for the delivery experience. We were told to figure everything out ourselves and the advisor just left. Not a way to sell a luxury car. </v>
      </c>
      <c r="AH2499" s="157">
        <f>IFERROR(__xludf.DUMMYFUNCTION("""COMPUTED_VALUE"""),43394.94209129629)</f>
        <v>43394.94209</v>
      </c>
      <c r="AI2499" s="138"/>
      <c r="AJ2499" s="138"/>
      <c r="AK2499" s="138"/>
      <c r="AL2499" s="142"/>
    </row>
    <row r="2500" ht="20.25" customHeight="1">
      <c r="A2500" s="169" t="str">
        <f>IFERROR(__xludf.DUMMYFUNCTION("""COMPUTED_VALUE"""),"stlmizzoufan")</f>
        <v>stlmizzoufan</v>
      </c>
      <c r="B2500" s="170" t="str">
        <f>IFERROR(__xludf.DUMMYFUNCTION("""COMPUTED_VALUE"""),"St Louis")</f>
        <v>St Louis</v>
      </c>
      <c r="C2500" s="170" t="str">
        <f>IFERROR(__xludf.DUMMYFUNCTION("""COMPUTED_VALUE"""),"MO")</f>
        <v>MO</v>
      </c>
      <c r="D2500" s="170" t="str">
        <f>IFERROR(__xludf.DUMMYFUNCTION("""COMPUTED_VALUE"""),"USA")</f>
        <v>USA</v>
      </c>
      <c r="E2500" s="171">
        <f>IFERROR(__xludf.DUMMYFUNCTION("""COMPUTED_VALUE"""),43323.0)</f>
        <v>43323</v>
      </c>
      <c r="F2500" s="172">
        <f>IFERROR(__xludf.DUMMYFUNCTION("""COMPUTED_VALUE"""),43381.0)</f>
        <v>43381</v>
      </c>
      <c r="G2500" s="173"/>
      <c r="H2500" s="174">
        <f>IFERROR(__xludf.DUMMYFUNCTION("""COMPUTED_VALUE"""),103455.0)</f>
        <v>103455</v>
      </c>
      <c r="I2500" s="175" t="str">
        <f>IFERROR(__xludf.DUMMYFUNCTION("""COMPUTED_VALUE"""),"10/18")</f>
        <v>10/18</v>
      </c>
      <c r="J2500" s="172">
        <f>IFERROR(__xludf.DUMMYFUNCTION("""COMPUTED_VALUE"""),43399.0)</f>
        <v>43399</v>
      </c>
      <c r="K2500" s="176">
        <f>IFERROR(__xludf.DUMMYFUNCTION("""COMPUTED_VALUE"""),58.0)</f>
        <v>58</v>
      </c>
      <c r="L2500" s="176">
        <f>IFERROR(__xludf.DUMMYFUNCTION("""COMPUTED_VALUE"""),18.0)</f>
        <v>18</v>
      </c>
      <c r="M2500" s="176">
        <f>IFERROR(__xludf.DUMMYFUNCTION("""COMPUTED_VALUE"""),76.0)</f>
        <v>76</v>
      </c>
      <c r="N2500" s="177" t="str">
        <f>IFERROR(__xludf.DUMMYFUNCTION("""COMPUTED_VALUE"""),"Model 3 Performance")</f>
        <v>Model 3 Performance</v>
      </c>
      <c r="O2500" s="177" t="str">
        <f>IFERROR(__xludf.DUMMYFUNCTION("""COMPUTED_VALUE"""),"Solid Black")</f>
        <v>Solid Black</v>
      </c>
      <c r="P2500" s="178" t="str">
        <f>IFERROR(__xludf.DUMMYFUNCTION("""COMPUTED_VALUE"""),"19 inch Sport")</f>
        <v>19 inch Sport</v>
      </c>
      <c r="Q2500" s="177" t="str">
        <f>IFERROR(__xludf.DUMMYFUNCTION("""COMPUTED_VALUE"""),"Black seats")</f>
        <v>Black seats</v>
      </c>
      <c r="R2500" s="170" t="str">
        <f>IFERROR(__xludf.DUMMYFUNCTION("""COMPUTED_VALUE"""),"None")</f>
        <v>None</v>
      </c>
      <c r="S2500" s="170"/>
      <c r="T2500" s="179"/>
      <c r="U2500" s="179"/>
      <c r="V2500" s="179"/>
      <c r="W2500" s="180"/>
      <c r="X2500" s="181" t="str">
        <f>IFERROR(__xludf.DUMMYFUNCTION("""COMPUTED_VALUE"""),"Very Good")</f>
        <v>Very Good</v>
      </c>
      <c r="Y2500" s="182" t="str">
        <f>IFERROR(__xludf.DUMMYFUNCTION("""COMPUTED_VALUE"""),"Excellent")</f>
        <v>Excellent</v>
      </c>
      <c r="Z2500" s="182" t="str">
        <f>IFERROR(__xludf.DUMMYFUNCTION("""COMPUTED_VALUE"""),"Excellent")</f>
        <v>Excellent</v>
      </c>
      <c r="AA2500" s="182" t="str">
        <f>IFERROR(__xludf.DUMMYFUNCTION("""COMPUTED_VALUE"""),"Fair")</f>
        <v>Fair</v>
      </c>
      <c r="AB2500" s="182" t="str">
        <f>IFERROR(__xludf.DUMMYFUNCTION("""COMPUTED_VALUE"""),"Good")</f>
        <v>Good</v>
      </c>
      <c r="AC2500" s="183">
        <f>IFERROR(__xludf.DUMMYFUNCTION("""COMPUTED_VALUE"""),0.0)</f>
        <v>0</v>
      </c>
      <c r="AD2500" s="183">
        <f>IFERROR(__xludf.DUMMYFUNCTION("""COMPUTED_VALUE"""),0.0)</f>
        <v>0</v>
      </c>
      <c r="AE2500" s="183">
        <f>IFERROR(__xludf.DUMMYFUNCTION("""COMPUTED_VALUE"""),0.0)</f>
        <v>0</v>
      </c>
      <c r="AF2500" s="184"/>
      <c r="AG2500" s="180"/>
      <c r="AH2500" s="185">
        <f>IFERROR(__xludf.DUMMYFUNCTION("""COMPUTED_VALUE"""),43527.844277268516)</f>
        <v>43527.84428</v>
      </c>
      <c r="AI2500" s="182"/>
      <c r="AJ2500" s="182"/>
      <c r="AK2500" s="182"/>
      <c r="AL2500" s="182"/>
    </row>
    <row r="2501" ht="20.25" customHeight="1">
      <c r="A2501" s="169" t="str">
        <f>IFERROR(__xludf.DUMMYFUNCTION("""COMPUTED_VALUE"""),"briansedz")</f>
        <v>briansedz</v>
      </c>
      <c r="B2501" s="170" t="str">
        <f>IFERROR(__xludf.DUMMYFUNCTION("""COMPUTED_VALUE"""),"Canton")</f>
        <v>Canton</v>
      </c>
      <c r="C2501" s="170" t="str">
        <f>IFERROR(__xludf.DUMMYFUNCTION("""COMPUTED_VALUE"""),"OH")</f>
        <v>OH</v>
      </c>
      <c r="D2501" s="170" t="str">
        <f>IFERROR(__xludf.DUMMYFUNCTION("""COMPUTED_VALUE"""),"USA")</f>
        <v>USA</v>
      </c>
      <c r="E2501" s="171">
        <f>IFERROR(__xludf.DUMMYFUNCTION("""COMPUTED_VALUE"""),43322.0)</f>
        <v>43322</v>
      </c>
      <c r="F2501" s="172">
        <f>IFERROR(__xludf.DUMMYFUNCTION("""COMPUTED_VALUE"""),43364.0)</f>
        <v>43364</v>
      </c>
      <c r="G2501" s="173"/>
      <c r="H2501" s="174">
        <f>IFERROR(__xludf.DUMMYFUNCTION("""COMPUTED_VALUE"""),78155.0)</f>
        <v>78155</v>
      </c>
      <c r="I2501" s="175"/>
      <c r="J2501" s="172">
        <f>IFERROR(__xludf.DUMMYFUNCTION("""COMPUTED_VALUE"""),43371.0)</f>
        <v>43371</v>
      </c>
      <c r="K2501" s="176">
        <f>IFERROR(__xludf.DUMMYFUNCTION("""COMPUTED_VALUE"""),42.0)</f>
        <v>42</v>
      </c>
      <c r="L2501" s="176">
        <f>IFERROR(__xludf.DUMMYFUNCTION("""COMPUTED_VALUE"""),7.0)</f>
        <v>7</v>
      </c>
      <c r="M2501" s="176">
        <f>IFERROR(__xludf.DUMMYFUNCTION("""COMPUTED_VALUE"""),49.0)</f>
        <v>49</v>
      </c>
      <c r="N2501" s="177" t="str">
        <f>IFERROR(__xludf.DUMMYFUNCTION("""COMPUTED_VALUE"""),"Model 3 LR")</f>
        <v>Model 3 LR</v>
      </c>
      <c r="O2501" s="177" t="str">
        <f>IFERROR(__xludf.DUMMYFUNCTION("""COMPUTED_VALUE"""),"Solid Black")</f>
        <v>Solid Black</v>
      </c>
      <c r="P2501" s="178" t="str">
        <f>IFERROR(__xludf.DUMMYFUNCTION("""COMPUTED_VALUE"""),"18 inch Aero")</f>
        <v>18 inch Aero</v>
      </c>
      <c r="Q2501" s="177" t="str">
        <f>IFERROR(__xludf.DUMMYFUNCTION("""COMPUTED_VALUE"""),"Black seats")</f>
        <v>Black seats</v>
      </c>
      <c r="R2501" s="170" t="str">
        <f>IFERROR(__xludf.DUMMYFUNCTION("""COMPUTED_VALUE"""),"None")</f>
        <v>None</v>
      </c>
      <c r="S2501" s="170"/>
      <c r="T2501" s="179"/>
      <c r="U2501" s="179"/>
      <c r="V2501" s="179"/>
      <c r="W2501" s="180"/>
      <c r="X2501" s="181" t="str">
        <f>IFERROR(__xludf.DUMMYFUNCTION("""COMPUTED_VALUE"""),"Excellent")</f>
        <v>Excellent</v>
      </c>
      <c r="Y2501" s="182" t="str">
        <f>IFERROR(__xludf.DUMMYFUNCTION("""COMPUTED_VALUE"""),"Excellent")</f>
        <v>Excellent</v>
      </c>
      <c r="Z2501" s="182" t="str">
        <f>IFERROR(__xludf.DUMMYFUNCTION("""COMPUTED_VALUE"""),"Excellent")</f>
        <v>Excellent</v>
      </c>
      <c r="AA2501" s="182" t="str">
        <f>IFERROR(__xludf.DUMMYFUNCTION("""COMPUTED_VALUE"""),"Poor")</f>
        <v>Poor</v>
      </c>
      <c r="AB2501" s="182" t="str">
        <f>IFERROR(__xludf.DUMMYFUNCTION("""COMPUTED_VALUE"""),"Fair")</f>
        <v>Fair</v>
      </c>
      <c r="AC2501" s="183">
        <f>IFERROR(__xludf.DUMMYFUNCTION("""COMPUTED_VALUE"""),0.0)</f>
        <v>0</v>
      </c>
      <c r="AD2501" s="183">
        <f>IFERROR(__xludf.DUMMYFUNCTION("""COMPUTED_VALUE"""),0.0)</f>
        <v>0</v>
      </c>
      <c r="AE2501" s="183">
        <f>IFERROR(__xludf.DUMMYFUNCTION("""COMPUTED_VALUE"""),0.0)</f>
        <v>0</v>
      </c>
      <c r="AF2501" s="184"/>
      <c r="AG2501" s="180" t="str">
        <f>IFERROR(__xludf.DUMMYFUNCTION("""COMPUTED_VALUE"""),"Delivery delayed and VIN changed.")</f>
        <v>Delivery delayed and VIN changed.</v>
      </c>
      <c r="AH2501" s="185">
        <f>IFERROR(__xludf.DUMMYFUNCTION("""COMPUTED_VALUE"""),43403.420115277775)</f>
        <v>43403.42012</v>
      </c>
      <c r="AI2501" s="182"/>
      <c r="AJ2501" s="182"/>
      <c r="AK2501" s="182"/>
      <c r="AL2501" s="182"/>
    </row>
    <row r="2502" ht="20.25" customHeight="1">
      <c r="A2502" s="169" t="str">
        <f>IFERROR(__xludf.DUMMYFUNCTION("""COMPUTED_VALUE"""),"bunhuns")</f>
        <v>bunhuns</v>
      </c>
      <c r="B2502" s="170" t="str">
        <f>IFERROR(__xludf.DUMMYFUNCTION("""COMPUTED_VALUE"""),"Sandy Spring")</f>
        <v>Sandy Spring</v>
      </c>
      <c r="C2502" s="170" t="str">
        <f>IFERROR(__xludf.DUMMYFUNCTION("""COMPUTED_VALUE"""),"MD")</f>
        <v>MD</v>
      </c>
      <c r="D2502" s="170" t="str">
        <f>IFERROR(__xludf.DUMMYFUNCTION("""COMPUTED_VALUE"""),"USA")</f>
        <v>USA</v>
      </c>
      <c r="E2502" s="171">
        <f>IFERROR(__xludf.DUMMYFUNCTION("""COMPUTED_VALUE"""),43322.0)</f>
        <v>43322</v>
      </c>
      <c r="F2502" s="172">
        <f>IFERROR(__xludf.DUMMYFUNCTION("""COMPUTED_VALUE"""),43334.0)</f>
        <v>43334</v>
      </c>
      <c r="G2502" s="173"/>
      <c r="H2502" s="174">
        <f>IFERROR(__xludf.DUMMYFUNCTION("""COMPUTED_VALUE"""),24955.0)</f>
        <v>24955</v>
      </c>
      <c r="I2502" s="175" t="str">
        <f>IFERROR(__xludf.DUMMYFUNCTION("""COMPUTED_VALUE"""),"06/18")</f>
        <v>06/18</v>
      </c>
      <c r="J2502" s="172">
        <f>IFERROR(__xludf.DUMMYFUNCTION("""COMPUTED_VALUE"""),43336.0)</f>
        <v>43336</v>
      </c>
      <c r="K2502" s="176">
        <f>IFERROR(__xludf.DUMMYFUNCTION("""COMPUTED_VALUE"""),12.0)</f>
        <v>12</v>
      </c>
      <c r="L2502" s="176">
        <f>IFERROR(__xludf.DUMMYFUNCTION("""COMPUTED_VALUE"""),2.0)</f>
        <v>2</v>
      </c>
      <c r="M2502" s="176">
        <f>IFERROR(__xludf.DUMMYFUNCTION("""COMPUTED_VALUE"""),14.0)</f>
        <v>14</v>
      </c>
      <c r="N2502" s="177" t="str">
        <f>IFERROR(__xludf.DUMMYFUNCTION("""COMPUTED_VALUE"""),"Model 3 LR")</f>
        <v>Model 3 LR</v>
      </c>
      <c r="O2502" s="177" t="str">
        <f>IFERROR(__xludf.DUMMYFUNCTION("""COMPUTED_VALUE"""),"Deep Blue Metallic")</f>
        <v>Deep Blue Metallic</v>
      </c>
      <c r="P2502" s="178" t="str">
        <f>IFERROR(__xludf.DUMMYFUNCTION("""COMPUTED_VALUE"""),"19 inch Sport")</f>
        <v>19 inch Sport</v>
      </c>
      <c r="Q2502" s="177" t="str">
        <f>IFERROR(__xludf.DUMMYFUNCTION("""COMPUTED_VALUE"""),"Black seats")</f>
        <v>Black seats</v>
      </c>
      <c r="R2502" s="170" t="str">
        <f>IFERROR(__xludf.DUMMYFUNCTION("""COMPUTED_VALUE"""),"Enhanced Autopilot")</f>
        <v>Enhanced Autopilot</v>
      </c>
      <c r="S2502" s="170"/>
      <c r="T2502" s="179"/>
      <c r="U2502" s="179"/>
      <c r="V2502" s="179"/>
      <c r="W2502" s="180"/>
      <c r="X2502" s="181" t="str">
        <f>IFERROR(__xludf.DUMMYFUNCTION("""COMPUTED_VALUE"""),"Excellent")</f>
        <v>Excellent</v>
      </c>
      <c r="Y2502" s="182" t="str">
        <f>IFERROR(__xludf.DUMMYFUNCTION("""COMPUTED_VALUE"""),"Excellent")</f>
        <v>Excellent</v>
      </c>
      <c r="Z2502" s="182" t="str">
        <f>IFERROR(__xludf.DUMMYFUNCTION("""COMPUTED_VALUE"""),"Excellent")</f>
        <v>Excellent</v>
      </c>
      <c r="AA2502" s="182" t="str">
        <f>IFERROR(__xludf.DUMMYFUNCTION("""COMPUTED_VALUE"""),"Good")</f>
        <v>Good</v>
      </c>
      <c r="AB2502" s="182" t="str">
        <f>IFERROR(__xludf.DUMMYFUNCTION("""COMPUTED_VALUE"""),"Excellent")</f>
        <v>Excellent</v>
      </c>
      <c r="AC2502" s="183"/>
      <c r="AD2502" s="183"/>
      <c r="AE2502" s="183"/>
      <c r="AF2502" s="184"/>
      <c r="AG2502" s="180"/>
      <c r="AH2502" s="185">
        <f>IFERROR(__xludf.DUMMYFUNCTION("""COMPUTED_VALUE"""),43341.41858802084)</f>
        <v>43341.41859</v>
      </c>
      <c r="AI2502" s="182"/>
      <c r="AJ2502" s="182"/>
      <c r="AK2502" s="182"/>
      <c r="AL2502" s="182"/>
    </row>
    <row r="2503" ht="20.25" customHeight="1">
      <c r="A2503" s="169" t="str">
        <f>IFERROR(__xludf.DUMMYFUNCTION("""COMPUTED_VALUE"""),"ck867")</f>
        <v>ck867</v>
      </c>
      <c r="B2503" s="170"/>
      <c r="C2503" s="170" t="str">
        <f>IFERROR(__xludf.DUMMYFUNCTION("""COMPUTED_VALUE"""),"CA")</f>
        <v>CA</v>
      </c>
      <c r="D2503" s="170" t="str">
        <f>IFERROR(__xludf.DUMMYFUNCTION("""COMPUTED_VALUE"""),"USA")</f>
        <v>USA</v>
      </c>
      <c r="E2503" s="171">
        <f>IFERROR(__xludf.DUMMYFUNCTION("""COMPUTED_VALUE"""),43322.0)</f>
        <v>43322</v>
      </c>
      <c r="F2503" s="172">
        <f>IFERROR(__xludf.DUMMYFUNCTION("""COMPUTED_VALUE"""),43326.0)</f>
        <v>43326</v>
      </c>
      <c r="G2503" s="173"/>
      <c r="H2503" s="174">
        <f>IFERROR(__xludf.DUMMYFUNCTION("""COMPUTED_VALUE"""),44455.0)</f>
        <v>44455</v>
      </c>
      <c r="I2503" s="175" t="str">
        <f>IFERROR(__xludf.DUMMYFUNCTION("""COMPUTED_VALUE"""),"07/18")</f>
        <v>07/18</v>
      </c>
      <c r="J2503" s="172">
        <f>IFERROR(__xludf.DUMMYFUNCTION("""COMPUTED_VALUE"""),43330.0)</f>
        <v>43330</v>
      </c>
      <c r="K2503" s="176">
        <f>IFERROR(__xludf.DUMMYFUNCTION("""COMPUTED_VALUE"""),4.0)</f>
        <v>4</v>
      </c>
      <c r="L2503" s="176">
        <f>IFERROR(__xludf.DUMMYFUNCTION("""COMPUTED_VALUE"""),4.0)</f>
        <v>4</v>
      </c>
      <c r="M2503" s="176">
        <f>IFERROR(__xludf.DUMMYFUNCTION("""COMPUTED_VALUE"""),8.0)</f>
        <v>8</v>
      </c>
      <c r="N2503" s="177" t="str">
        <f>IFERROR(__xludf.DUMMYFUNCTION("""COMPUTED_VALUE"""),"Model 3 LR")</f>
        <v>Model 3 LR</v>
      </c>
      <c r="O2503" s="177" t="str">
        <f>IFERROR(__xludf.DUMMYFUNCTION("""COMPUTED_VALUE"""),"Pearl White Multi-Coat")</f>
        <v>Pearl White Multi-Coat</v>
      </c>
      <c r="P2503" s="178" t="str">
        <f>IFERROR(__xludf.DUMMYFUNCTION("""COMPUTED_VALUE"""),"18 inch Aero")</f>
        <v>18 inch Aero</v>
      </c>
      <c r="Q2503" s="177" t="str">
        <f>IFERROR(__xludf.DUMMYFUNCTION("""COMPUTED_VALUE"""),"Black seats")</f>
        <v>Black seats</v>
      </c>
      <c r="R2503" s="170" t="str">
        <f>IFERROR(__xludf.DUMMYFUNCTION("""COMPUTED_VALUE"""),"Enhanced Autopilot")</f>
        <v>Enhanced Autopilot</v>
      </c>
      <c r="S2503" s="170"/>
      <c r="T2503" s="179"/>
      <c r="U2503" s="179"/>
      <c r="V2503" s="179"/>
      <c r="W2503" s="180"/>
      <c r="X2503" s="181" t="str">
        <f>IFERROR(__xludf.DUMMYFUNCTION("""COMPUTED_VALUE"""),"Very Good")</f>
        <v>Very Good</v>
      </c>
      <c r="Y2503" s="182" t="str">
        <f>IFERROR(__xludf.DUMMYFUNCTION("""COMPUTED_VALUE"""),"Very Good")</f>
        <v>Very Good</v>
      </c>
      <c r="Z2503" s="182" t="str">
        <f>IFERROR(__xludf.DUMMYFUNCTION("""COMPUTED_VALUE"""),"Very Good")</f>
        <v>Very Good</v>
      </c>
      <c r="AA2503" s="182" t="str">
        <f>IFERROR(__xludf.DUMMYFUNCTION("""COMPUTED_VALUE"""),"Fair")</f>
        <v>Fair</v>
      </c>
      <c r="AB2503" s="182" t="str">
        <f>IFERROR(__xludf.DUMMYFUNCTION("""COMPUTED_VALUE"""),"Excellent")</f>
        <v>Excellent</v>
      </c>
      <c r="AC2503" s="183">
        <f>IFERROR(__xludf.DUMMYFUNCTION("""COMPUTED_VALUE"""),0.0)</f>
        <v>0</v>
      </c>
      <c r="AD2503" s="183">
        <f>IFERROR(__xludf.DUMMYFUNCTION("""COMPUTED_VALUE"""),0.0)</f>
        <v>0</v>
      </c>
      <c r="AE2503" s="183">
        <f>IFERROR(__xludf.DUMMYFUNCTION("""COMPUTED_VALUE"""),0.0)</f>
        <v>0</v>
      </c>
      <c r="AF2503" s="184"/>
      <c r="AG2503" s="180"/>
      <c r="AH2503" s="185">
        <f>IFERROR(__xludf.DUMMYFUNCTION("""COMPUTED_VALUE"""),43334.2834358449)</f>
        <v>43334.28344</v>
      </c>
      <c r="AI2503" s="182"/>
      <c r="AJ2503" s="182"/>
      <c r="AK2503" s="182"/>
      <c r="AL2503" s="182"/>
    </row>
    <row r="2504" ht="20.25" customHeight="1">
      <c r="A2504" s="169" t="str">
        <f>IFERROR(__xludf.DUMMYFUNCTION("""COMPUTED_VALUE"""),"gadevrie")</f>
        <v>gadevrie</v>
      </c>
      <c r="B2504" s="170" t="str">
        <f>IFERROR(__xludf.DUMMYFUNCTION("""COMPUTED_VALUE"""),"Indianapolis")</f>
        <v>Indianapolis</v>
      </c>
      <c r="C2504" s="170" t="str">
        <f>IFERROR(__xludf.DUMMYFUNCTION("""COMPUTED_VALUE"""),"IN")</f>
        <v>IN</v>
      </c>
      <c r="D2504" s="170" t="str">
        <f>IFERROR(__xludf.DUMMYFUNCTION("""COMPUTED_VALUE"""),"USA")</f>
        <v>USA</v>
      </c>
      <c r="E2504" s="171">
        <f>IFERROR(__xludf.DUMMYFUNCTION("""COMPUTED_VALUE"""),43322.0)</f>
        <v>43322</v>
      </c>
      <c r="F2504" s="172">
        <f>IFERROR(__xludf.DUMMYFUNCTION("""COMPUTED_VALUE"""),43328.0)</f>
        <v>43328</v>
      </c>
      <c r="G2504" s="173"/>
      <c r="H2504" s="174">
        <f>IFERROR(__xludf.DUMMYFUNCTION("""COMPUTED_VALUE"""),56723.0)</f>
        <v>56723</v>
      </c>
      <c r="I2504" s="175" t="str">
        <f>IFERROR(__xludf.DUMMYFUNCTION("""COMPUTED_VALUE"""),"07/18")</f>
        <v>07/18</v>
      </c>
      <c r="J2504" s="172">
        <f>IFERROR(__xludf.DUMMYFUNCTION("""COMPUTED_VALUE"""),43350.0)</f>
        <v>43350</v>
      </c>
      <c r="K2504" s="176">
        <f>IFERROR(__xludf.DUMMYFUNCTION("""COMPUTED_VALUE"""),6.0)</f>
        <v>6</v>
      </c>
      <c r="L2504" s="176">
        <f>IFERROR(__xludf.DUMMYFUNCTION("""COMPUTED_VALUE"""),22.0)</f>
        <v>22</v>
      </c>
      <c r="M2504" s="176">
        <f>IFERROR(__xludf.DUMMYFUNCTION("""COMPUTED_VALUE"""),28.0)</f>
        <v>28</v>
      </c>
      <c r="N2504" s="177" t="str">
        <f>IFERROR(__xludf.DUMMYFUNCTION("""COMPUTED_VALUE"""),"Model 3 LR")</f>
        <v>Model 3 LR</v>
      </c>
      <c r="O2504" s="177" t="str">
        <f>IFERROR(__xludf.DUMMYFUNCTION("""COMPUTED_VALUE"""),"Solid Black")</f>
        <v>Solid Black</v>
      </c>
      <c r="P2504" s="178" t="str">
        <f>IFERROR(__xludf.DUMMYFUNCTION("""COMPUTED_VALUE"""),"18 inch Aero")</f>
        <v>18 inch Aero</v>
      </c>
      <c r="Q2504" s="177" t="str">
        <f>IFERROR(__xludf.DUMMYFUNCTION("""COMPUTED_VALUE"""),"Black seats")</f>
        <v>Black seats</v>
      </c>
      <c r="R2504" s="170" t="str">
        <f>IFERROR(__xludf.DUMMYFUNCTION("""COMPUTED_VALUE"""),"None")</f>
        <v>None</v>
      </c>
      <c r="S2504" s="170"/>
      <c r="T2504" s="179"/>
      <c r="U2504" s="179"/>
      <c r="V2504" s="179"/>
      <c r="W2504" s="180"/>
      <c r="X2504" s="181" t="str">
        <f>IFERROR(__xludf.DUMMYFUNCTION("""COMPUTED_VALUE"""),"Good")</f>
        <v>Good</v>
      </c>
      <c r="Y2504" s="182" t="str">
        <f>IFERROR(__xludf.DUMMYFUNCTION("""COMPUTED_VALUE"""),"Very Good")</f>
        <v>Very Good</v>
      </c>
      <c r="Z2504" s="182" t="str">
        <f>IFERROR(__xludf.DUMMYFUNCTION("""COMPUTED_VALUE"""),"Excellent")</f>
        <v>Excellent</v>
      </c>
      <c r="AA2504" s="182" t="str">
        <f>IFERROR(__xludf.DUMMYFUNCTION("""COMPUTED_VALUE"""),"Excellent")</f>
        <v>Excellent</v>
      </c>
      <c r="AB2504" s="182" t="str">
        <f>IFERROR(__xludf.DUMMYFUNCTION("""COMPUTED_VALUE"""),"Excellent")</f>
        <v>Excellent</v>
      </c>
      <c r="AC2504" s="183"/>
      <c r="AD2504" s="183"/>
      <c r="AE2504" s="183"/>
      <c r="AF2504" s="184"/>
      <c r="AG2504" s="180" t="str">
        <f>IFERROR(__xludf.DUMMYFUNCTION("""COMPUTED_VALUE"""),"ISA Says out of production and ""in transit"" in San Francisco now.")</f>
        <v>ISA Says out of production and "in transit" in San Francisco now.</v>
      </c>
      <c r="AH2504" s="185">
        <f>IFERROR(__xludf.DUMMYFUNCTION("""COMPUTED_VALUE"""),43351.82088076389)</f>
        <v>43351.82088</v>
      </c>
      <c r="AI2504" s="182"/>
      <c r="AJ2504" s="182"/>
      <c r="AK2504" s="182"/>
      <c r="AL2504" s="182"/>
    </row>
    <row r="2505" ht="20.25" customHeight="1">
      <c r="A2505" s="169" t="str">
        <f>IFERROR(__xludf.DUMMYFUNCTION("""COMPUTED_VALUE"""),"iamec")</f>
        <v>iamec</v>
      </c>
      <c r="B2505" s="170" t="str">
        <f>IFERROR(__xludf.DUMMYFUNCTION("""COMPUTED_VALUE"""),"Bellevue")</f>
        <v>Bellevue</v>
      </c>
      <c r="C2505" s="170" t="str">
        <f>IFERROR(__xludf.DUMMYFUNCTION("""COMPUTED_VALUE"""),"WA")</f>
        <v>WA</v>
      </c>
      <c r="D2505" s="170" t="str">
        <f>IFERROR(__xludf.DUMMYFUNCTION("""COMPUTED_VALUE"""),"USA")</f>
        <v>USA</v>
      </c>
      <c r="E2505" s="171">
        <f>IFERROR(__xludf.DUMMYFUNCTION("""COMPUTED_VALUE"""),43322.0)</f>
        <v>43322</v>
      </c>
      <c r="F2505" s="172">
        <f>IFERROR(__xludf.DUMMYFUNCTION("""COMPUTED_VALUE"""),43332.0)</f>
        <v>43332</v>
      </c>
      <c r="G2505" s="173"/>
      <c r="H2505" s="174">
        <f>IFERROR(__xludf.DUMMYFUNCTION("""COMPUTED_VALUE"""),66455.0)</f>
        <v>66455</v>
      </c>
      <c r="I2505" s="175" t="str">
        <f>IFERROR(__xludf.DUMMYFUNCTION("""COMPUTED_VALUE"""),"08/18")</f>
        <v>08/18</v>
      </c>
      <c r="J2505" s="172">
        <f>IFERROR(__xludf.DUMMYFUNCTION("""COMPUTED_VALUE"""),43344.0)</f>
        <v>43344</v>
      </c>
      <c r="K2505" s="176">
        <f>IFERROR(__xludf.DUMMYFUNCTION("""COMPUTED_VALUE"""),10.0)</f>
        <v>10</v>
      </c>
      <c r="L2505" s="176">
        <f>IFERROR(__xludf.DUMMYFUNCTION("""COMPUTED_VALUE"""),12.0)</f>
        <v>12</v>
      </c>
      <c r="M2505" s="176">
        <f>IFERROR(__xludf.DUMMYFUNCTION("""COMPUTED_VALUE"""),22.0)</f>
        <v>22</v>
      </c>
      <c r="N2505" s="177" t="str">
        <f>IFERROR(__xludf.DUMMYFUNCTION("""COMPUTED_VALUE"""),"Model 3 LR AWD")</f>
        <v>Model 3 LR AWD</v>
      </c>
      <c r="O2505" s="177" t="str">
        <f>IFERROR(__xludf.DUMMYFUNCTION("""COMPUTED_VALUE"""),"Midnight Silver Metallic")</f>
        <v>Midnight Silver Metallic</v>
      </c>
      <c r="P2505" s="178" t="str">
        <f>IFERROR(__xludf.DUMMYFUNCTION("""COMPUTED_VALUE"""),"18 inch Aero")</f>
        <v>18 inch Aero</v>
      </c>
      <c r="Q2505" s="177" t="str">
        <f>IFERROR(__xludf.DUMMYFUNCTION("""COMPUTED_VALUE"""),"Black seats")</f>
        <v>Black seats</v>
      </c>
      <c r="R2505" s="170" t="str">
        <f>IFERROR(__xludf.DUMMYFUNCTION("""COMPUTED_VALUE"""),"Enhanced Autopilot")</f>
        <v>Enhanced Autopilot</v>
      </c>
      <c r="S2505" s="170"/>
      <c r="T2505" s="179"/>
      <c r="U2505" s="179"/>
      <c r="V2505" s="179"/>
      <c r="W2505" s="180"/>
      <c r="X2505" s="181" t="str">
        <f>IFERROR(__xludf.DUMMYFUNCTION("""COMPUTED_VALUE"""),"Very Good")</f>
        <v>Very Good</v>
      </c>
      <c r="Y2505" s="182" t="str">
        <f>IFERROR(__xludf.DUMMYFUNCTION("""COMPUTED_VALUE"""),"Very Good")</f>
        <v>Very Good</v>
      </c>
      <c r="Z2505" s="182" t="str">
        <f>IFERROR(__xludf.DUMMYFUNCTION("""COMPUTED_VALUE"""),"Very Good")</f>
        <v>Very Good</v>
      </c>
      <c r="AA2505" s="182" t="str">
        <f>IFERROR(__xludf.DUMMYFUNCTION("""COMPUTED_VALUE"""),"Good")</f>
        <v>Good</v>
      </c>
      <c r="AB2505" s="182" t="str">
        <f>IFERROR(__xludf.DUMMYFUNCTION("""COMPUTED_VALUE"""),"Fair")</f>
        <v>Fair</v>
      </c>
      <c r="AC2505" s="183">
        <f>IFERROR(__xludf.DUMMYFUNCTION("""COMPUTED_VALUE"""),5.0)</f>
        <v>5</v>
      </c>
      <c r="AD2505" s="183">
        <f>IFERROR(__xludf.DUMMYFUNCTION("""COMPUTED_VALUE"""),1.0)</f>
        <v>1</v>
      </c>
      <c r="AE2505" s="183"/>
      <c r="AF2505" s="184"/>
      <c r="AG2505" s="180"/>
      <c r="AH2505" s="185">
        <f>IFERROR(__xludf.DUMMYFUNCTION("""COMPUTED_VALUE"""),43350.005639386574)</f>
        <v>43350.00564</v>
      </c>
      <c r="AI2505" s="182"/>
      <c r="AJ2505" s="182"/>
      <c r="AK2505" s="182"/>
      <c r="AL2505" s="182"/>
    </row>
    <row r="2506" ht="20.25" customHeight="1">
      <c r="A2506" s="169" t="str">
        <f>IFERROR(__xludf.DUMMYFUNCTION("""COMPUTED_VALUE"""),"TK")</f>
        <v>TK</v>
      </c>
      <c r="B2506" s="170" t="str">
        <f>IFERROR(__xludf.DUMMYFUNCTION("""COMPUTED_VALUE"""),"Bay Area")</f>
        <v>Bay Area</v>
      </c>
      <c r="C2506" s="170" t="str">
        <f>IFERROR(__xludf.DUMMYFUNCTION("""COMPUTED_VALUE"""),"CA")</f>
        <v>CA</v>
      </c>
      <c r="D2506" s="170" t="str">
        <f>IFERROR(__xludf.DUMMYFUNCTION("""COMPUTED_VALUE"""),"USA")</f>
        <v>USA</v>
      </c>
      <c r="E2506" s="171">
        <f>IFERROR(__xludf.DUMMYFUNCTION("""COMPUTED_VALUE"""),43322.0)</f>
        <v>43322</v>
      </c>
      <c r="F2506" s="172">
        <f>IFERROR(__xludf.DUMMYFUNCTION("""COMPUTED_VALUE"""),43350.0)</f>
        <v>43350</v>
      </c>
      <c r="G2506" s="173"/>
      <c r="H2506" s="174">
        <f>IFERROR(__xludf.DUMMYFUNCTION("""COMPUTED_VALUE"""),79255.0)</f>
        <v>79255</v>
      </c>
      <c r="I2506" s="175" t="str">
        <f>IFERROR(__xludf.DUMMYFUNCTION("""COMPUTED_VALUE"""),"08/18")</f>
        <v>08/18</v>
      </c>
      <c r="J2506" s="172">
        <f>IFERROR(__xludf.DUMMYFUNCTION("""COMPUTED_VALUE"""),43357.0)</f>
        <v>43357</v>
      </c>
      <c r="K2506" s="176">
        <f>IFERROR(__xludf.DUMMYFUNCTION("""COMPUTED_VALUE"""),28.0)</f>
        <v>28</v>
      </c>
      <c r="L2506" s="176">
        <f>IFERROR(__xludf.DUMMYFUNCTION("""COMPUTED_VALUE"""),7.0)</f>
        <v>7</v>
      </c>
      <c r="M2506" s="176">
        <f>IFERROR(__xludf.DUMMYFUNCTION("""COMPUTED_VALUE"""),35.0)</f>
        <v>35</v>
      </c>
      <c r="N2506" s="177" t="str">
        <f>IFERROR(__xludf.DUMMYFUNCTION("""COMPUTED_VALUE"""),"Model 3 Performance")</f>
        <v>Model 3 Performance</v>
      </c>
      <c r="O2506" s="177" t="str">
        <f>IFERROR(__xludf.DUMMYFUNCTION("""COMPUTED_VALUE"""),"Midnight Silver Metallic")</f>
        <v>Midnight Silver Metallic</v>
      </c>
      <c r="P2506" s="178" t="str">
        <f>IFERROR(__xludf.DUMMYFUNCTION("""COMPUTED_VALUE"""),"20 inch Sport")</f>
        <v>20 inch Sport</v>
      </c>
      <c r="Q2506" s="177" t="str">
        <f>IFERROR(__xludf.DUMMYFUNCTION("""COMPUTED_VALUE"""),"White seats")</f>
        <v>White seats</v>
      </c>
      <c r="R2506" s="170" t="str">
        <f>IFERROR(__xludf.DUMMYFUNCTION("""COMPUTED_VALUE"""),"Enhanced Autopilot")</f>
        <v>Enhanced Autopilot</v>
      </c>
      <c r="S2506" s="170"/>
      <c r="T2506" s="179"/>
      <c r="U2506" s="179"/>
      <c r="V2506" s="179"/>
      <c r="W2506" s="180"/>
      <c r="X2506" s="181" t="str">
        <f>IFERROR(__xludf.DUMMYFUNCTION("""COMPUTED_VALUE"""),"Very Good")</f>
        <v>Very Good</v>
      </c>
      <c r="Y2506" s="182" t="str">
        <f>IFERROR(__xludf.DUMMYFUNCTION("""COMPUTED_VALUE"""),"Excellent")</f>
        <v>Excellent</v>
      </c>
      <c r="Z2506" s="182" t="str">
        <f>IFERROR(__xludf.DUMMYFUNCTION("""COMPUTED_VALUE"""),"Excellent")</f>
        <v>Excellent</v>
      </c>
      <c r="AA2506" s="182" t="str">
        <f>IFERROR(__xludf.DUMMYFUNCTION("""COMPUTED_VALUE"""),"Good")</f>
        <v>Good</v>
      </c>
      <c r="AB2506" s="182" t="str">
        <f>IFERROR(__xludf.DUMMYFUNCTION("""COMPUTED_VALUE"""),"Excellent")</f>
        <v>Excellent</v>
      </c>
      <c r="AC2506" s="183"/>
      <c r="AD2506" s="183"/>
      <c r="AE2506" s="183"/>
      <c r="AF2506" s="184"/>
      <c r="AG2506" s="180" t="str">
        <f>IFERROR(__xludf.DUMMYFUNCTION("""COMPUTED_VALUE"""),"Added PUP on 9/6")</f>
        <v>Added PUP on 9/6</v>
      </c>
      <c r="AH2506" s="185">
        <f>IFERROR(__xludf.DUMMYFUNCTION("""COMPUTED_VALUE"""),43357.7451685301)</f>
        <v>43357.74517</v>
      </c>
      <c r="AI2506" s="182"/>
      <c r="AJ2506" s="182"/>
      <c r="AK2506" s="182"/>
      <c r="AL2506" s="182"/>
    </row>
    <row r="2507" ht="20.25" customHeight="1">
      <c r="A2507" s="169" t="str">
        <f>IFERROR(__xludf.DUMMYFUNCTION("""COMPUTED_VALUE"""),"c2w")</f>
        <v>c2w</v>
      </c>
      <c r="B2507" s="170"/>
      <c r="C2507" s="170" t="str">
        <f>IFERROR(__xludf.DUMMYFUNCTION("""COMPUTED_VALUE"""),"CA")</f>
        <v>CA</v>
      </c>
      <c r="D2507" s="170" t="str">
        <f>IFERROR(__xludf.DUMMYFUNCTION("""COMPUTED_VALUE"""),"USA")</f>
        <v>USA</v>
      </c>
      <c r="E2507" s="171">
        <f>IFERROR(__xludf.DUMMYFUNCTION("""COMPUTED_VALUE"""),43321.0)</f>
        <v>43321</v>
      </c>
      <c r="F2507" s="172">
        <f>IFERROR(__xludf.DUMMYFUNCTION("""COMPUTED_VALUE"""),43361.0)</f>
        <v>43361</v>
      </c>
      <c r="G2507" s="173"/>
      <c r="H2507" s="174"/>
      <c r="I2507" s="175"/>
      <c r="J2507" s="172">
        <f>IFERROR(__xludf.DUMMYFUNCTION("""COMPUTED_VALUE"""),43364.0)</f>
        <v>43364</v>
      </c>
      <c r="K2507" s="176">
        <f>IFERROR(__xludf.DUMMYFUNCTION("""COMPUTED_VALUE"""),40.0)</f>
        <v>40</v>
      </c>
      <c r="L2507" s="176">
        <f>IFERROR(__xludf.DUMMYFUNCTION("""COMPUTED_VALUE"""),3.0)</f>
        <v>3</v>
      </c>
      <c r="M2507" s="176">
        <f>IFERROR(__xludf.DUMMYFUNCTION("""COMPUTED_VALUE"""),43.0)</f>
        <v>43</v>
      </c>
      <c r="N2507" s="177" t="str">
        <f>IFERROR(__xludf.DUMMYFUNCTION("""COMPUTED_VALUE"""),"Model 3 LR AWD")</f>
        <v>Model 3 LR AWD</v>
      </c>
      <c r="O2507" s="177" t="str">
        <f>IFERROR(__xludf.DUMMYFUNCTION("""COMPUTED_VALUE"""),"Midnight Silver Metallic")</f>
        <v>Midnight Silver Metallic</v>
      </c>
      <c r="P2507" s="178" t="str">
        <f>IFERROR(__xludf.DUMMYFUNCTION("""COMPUTED_VALUE"""),"19 inch Sport")</f>
        <v>19 inch Sport</v>
      </c>
      <c r="Q2507" s="177" t="str">
        <f>IFERROR(__xludf.DUMMYFUNCTION("""COMPUTED_VALUE"""),"Black seats")</f>
        <v>Black seats</v>
      </c>
      <c r="R2507" s="170" t="str">
        <f>IFERROR(__xludf.DUMMYFUNCTION("""COMPUTED_VALUE"""),"Enhanced Autopilot")</f>
        <v>Enhanced Autopilot</v>
      </c>
      <c r="S2507" s="170"/>
      <c r="T2507" s="179"/>
      <c r="U2507" s="179"/>
      <c r="V2507" s="179"/>
      <c r="W2507" s="180"/>
      <c r="X2507" s="181" t="str">
        <f>IFERROR(__xludf.DUMMYFUNCTION("""COMPUTED_VALUE"""),"Excellent")</f>
        <v>Excellent</v>
      </c>
      <c r="Y2507" s="182" t="str">
        <f>IFERROR(__xludf.DUMMYFUNCTION("""COMPUTED_VALUE"""),"Excellent")</f>
        <v>Excellent</v>
      </c>
      <c r="Z2507" s="182" t="str">
        <f>IFERROR(__xludf.DUMMYFUNCTION("""COMPUTED_VALUE"""),"Excellent")</f>
        <v>Excellent</v>
      </c>
      <c r="AA2507" s="182" t="str">
        <f>IFERROR(__xludf.DUMMYFUNCTION("""COMPUTED_VALUE"""),"Fair")</f>
        <v>Fair</v>
      </c>
      <c r="AB2507" s="182" t="str">
        <f>IFERROR(__xludf.DUMMYFUNCTION("""COMPUTED_VALUE"""),"Good")</f>
        <v>Good</v>
      </c>
      <c r="AC2507" s="183"/>
      <c r="AD2507" s="183"/>
      <c r="AE2507" s="183"/>
      <c r="AF2507" s="184"/>
      <c r="AG2507" s="180"/>
      <c r="AH2507" s="185">
        <f>IFERROR(__xludf.DUMMYFUNCTION("""COMPUTED_VALUE"""),43366.29646707176)</f>
        <v>43366.29647</v>
      </c>
      <c r="AI2507" s="182"/>
      <c r="AJ2507" s="182"/>
      <c r="AK2507" s="182"/>
      <c r="AL2507" s="182"/>
    </row>
    <row r="2508" ht="20.25" customHeight="1">
      <c r="A2508" s="169" t="str">
        <f>IFERROR(__xludf.DUMMYFUNCTION("""COMPUTED_VALUE"""),"CKKMaGe")</f>
        <v>CKKMaGe</v>
      </c>
      <c r="B2508" s="170" t="str">
        <f>IFERROR(__xludf.DUMMYFUNCTION("""COMPUTED_VALUE"""),"Los Angeles")</f>
        <v>Los Angeles</v>
      </c>
      <c r="C2508" s="170" t="str">
        <f>IFERROR(__xludf.DUMMYFUNCTION("""COMPUTED_VALUE"""),"CA")</f>
        <v>CA</v>
      </c>
      <c r="D2508" s="170" t="str">
        <f>IFERROR(__xludf.DUMMYFUNCTION("""COMPUTED_VALUE"""),"USA")</f>
        <v>USA</v>
      </c>
      <c r="E2508" s="171">
        <f>IFERROR(__xludf.DUMMYFUNCTION("""COMPUTED_VALUE"""),43321.0)</f>
        <v>43321</v>
      </c>
      <c r="F2508" s="172">
        <f>IFERROR(__xludf.DUMMYFUNCTION("""COMPUTED_VALUE"""),43364.0)</f>
        <v>43364</v>
      </c>
      <c r="G2508" s="173"/>
      <c r="H2508" s="174">
        <f>IFERROR(__xludf.DUMMYFUNCTION("""COMPUTED_VALUE"""),107755.0)</f>
        <v>107755</v>
      </c>
      <c r="I2508" s="175" t="str">
        <f>IFERROR(__xludf.DUMMYFUNCTION("""COMPUTED_VALUE"""),"09/18")</f>
        <v>09/18</v>
      </c>
      <c r="J2508" s="172">
        <f>IFERROR(__xludf.DUMMYFUNCTION("""COMPUTED_VALUE"""),43369.0)</f>
        <v>43369</v>
      </c>
      <c r="K2508" s="176">
        <f>IFERROR(__xludf.DUMMYFUNCTION("""COMPUTED_VALUE"""),43.0)</f>
        <v>43</v>
      </c>
      <c r="L2508" s="176">
        <f>IFERROR(__xludf.DUMMYFUNCTION("""COMPUTED_VALUE"""),5.0)</f>
        <v>5</v>
      </c>
      <c r="M2508" s="176">
        <f>IFERROR(__xludf.DUMMYFUNCTION("""COMPUTED_VALUE"""),48.0)</f>
        <v>48</v>
      </c>
      <c r="N2508" s="177" t="str">
        <f>IFERROR(__xludf.DUMMYFUNCTION("""COMPUTED_VALUE"""),"Model 3 Performance")</f>
        <v>Model 3 Performance</v>
      </c>
      <c r="O2508" s="177" t="str">
        <f>IFERROR(__xludf.DUMMYFUNCTION("""COMPUTED_VALUE"""),"Obsidian Black Metallic")</f>
        <v>Obsidian Black Metallic</v>
      </c>
      <c r="P2508" s="178" t="str">
        <f>IFERROR(__xludf.DUMMYFUNCTION("""COMPUTED_VALUE"""),"20 inch Sport")</f>
        <v>20 inch Sport</v>
      </c>
      <c r="Q2508" s="177" t="str">
        <f>IFERROR(__xludf.DUMMYFUNCTION("""COMPUTED_VALUE"""),"Black seats")</f>
        <v>Black seats</v>
      </c>
      <c r="R2508" s="170" t="str">
        <f>IFERROR(__xludf.DUMMYFUNCTION("""COMPUTED_VALUE"""),"Full Self-Driving")</f>
        <v>Full Self-Driving</v>
      </c>
      <c r="S2508" s="170"/>
      <c r="T2508" s="179"/>
      <c r="U2508" s="179"/>
      <c r="V2508" s="179"/>
      <c r="W2508" s="180"/>
      <c r="X2508" s="181" t="str">
        <f>IFERROR(__xludf.DUMMYFUNCTION("""COMPUTED_VALUE"""),"Excellent")</f>
        <v>Excellent</v>
      </c>
      <c r="Y2508" s="182" t="str">
        <f>IFERROR(__xludf.DUMMYFUNCTION("""COMPUTED_VALUE"""),"Excellent")</f>
        <v>Excellent</v>
      </c>
      <c r="Z2508" s="182" t="str">
        <f>IFERROR(__xludf.DUMMYFUNCTION("""COMPUTED_VALUE"""),"Excellent")</f>
        <v>Excellent</v>
      </c>
      <c r="AA2508" s="182" t="str">
        <f>IFERROR(__xludf.DUMMYFUNCTION("""COMPUTED_VALUE"""),"Excellent")</f>
        <v>Excellent</v>
      </c>
      <c r="AB2508" s="182" t="str">
        <f>IFERROR(__xludf.DUMMYFUNCTION("""COMPUTED_VALUE"""),"Excellent")</f>
        <v>Excellent</v>
      </c>
      <c r="AC2508" s="183">
        <f>IFERROR(__xludf.DUMMYFUNCTION("""COMPUTED_VALUE"""),0.0)</f>
        <v>0</v>
      </c>
      <c r="AD2508" s="183">
        <f>IFERROR(__xludf.DUMMYFUNCTION("""COMPUTED_VALUE"""),0.0)</f>
        <v>0</v>
      </c>
      <c r="AE2508" s="183">
        <f>IFERROR(__xludf.DUMMYFUNCTION("""COMPUTED_VALUE"""),0.0)</f>
        <v>0</v>
      </c>
      <c r="AF2508" s="184"/>
      <c r="AG2508" s="180"/>
      <c r="AH2508" s="185">
        <f>IFERROR(__xludf.DUMMYFUNCTION("""COMPUTED_VALUE"""),43390.438138182864)</f>
        <v>43390.43814</v>
      </c>
      <c r="AI2508" s="182"/>
      <c r="AJ2508" s="182"/>
      <c r="AK2508" s="182"/>
      <c r="AL2508" s="182"/>
    </row>
    <row r="2509" ht="20.25" customHeight="1">
      <c r="A2509" s="169" t="str">
        <f>IFERROR(__xludf.DUMMYFUNCTION("""COMPUTED_VALUE"""),"nmm3")</f>
        <v>nmm3</v>
      </c>
      <c r="B2509" s="170" t="str">
        <f>IFERROR(__xludf.DUMMYFUNCTION("""COMPUTED_VALUE"""),"New Mexico")</f>
        <v>New Mexico</v>
      </c>
      <c r="C2509" s="170" t="str">
        <f>IFERROR(__xludf.DUMMYFUNCTION("""COMPUTED_VALUE"""),"NM")</f>
        <v>NM</v>
      </c>
      <c r="D2509" s="170" t="str">
        <f>IFERROR(__xludf.DUMMYFUNCTION("""COMPUTED_VALUE"""),"USA")</f>
        <v>USA</v>
      </c>
      <c r="E2509" s="171">
        <f>IFERROR(__xludf.DUMMYFUNCTION("""COMPUTED_VALUE"""),43321.0)</f>
        <v>43321</v>
      </c>
      <c r="F2509" s="172"/>
      <c r="G2509" s="173"/>
      <c r="H2509" s="174">
        <f>IFERROR(__xludf.DUMMYFUNCTION("""COMPUTED_VALUE"""),87455.0)</f>
        <v>87455</v>
      </c>
      <c r="I2509" s="175" t="str">
        <f>IFERROR(__xludf.DUMMYFUNCTION("""COMPUTED_VALUE"""),"09/18")</f>
        <v>09/18</v>
      </c>
      <c r="J2509" s="172">
        <f>IFERROR(__xludf.DUMMYFUNCTION("""COMPUTED_VALUE"""),43385.0)</f>
        <v>43385</v>
      </c>
      <c r="K2509" s="176"/>
      <c r="L2509" s="176"/>
      <c r="M2509" s="176">
        <f>IFERROR(__xludf.DUMMYFUNCTION("""COMPUTED_VALUE"""),64.0)</f>
        <v>64</v>
      </c>
      <c r="N2509" s="177" t="str">
        <f>IFERROR(__xludf.DUMMYFUNCTION("""COMPUTED_VALUE"""),"Model 3 LR AWD")</f>
        <v>Model 3 LR AWD</v>
      </c>
      <c r="O2509" s="177" t="str">
        <f>IFERROR(__xludf.DUMMYFUNCTION("""COMPUTED_VALUE"""),"Silver Metallic")</f>
        <v>Silver Metallic</v>
      </c>
      <c r="P2509" s="178" t="str">
        <f>IFERROR(__xludf.DUMMYFUNCTION("""COMPUTED_VALUE"""),"18 inch Aero")</f>
        <v>18 inch Aero</v>
      </c>
      <c r="Q2509" s="177" t="str">
        <f>IFERROR(__xludf.DUMMYFUNCTION("""COMPUTED_VALUE"""),"Black seats")</f>
        <v>Black seats</v>
      </c>
      <c r="R2509" s="170" t="str">
        <f>IFERROR(__xludf.DUMMYFUNCTION("""COMPUTED_VALUE"""),"Enhanced Autopilot")</f>
        <v>Enhanced Autopilot</v>
      </c>
      <c r="S2509" s="170"/>
      <c r="T2509" s="179"/>
      <c r="U2509" s="179"/>
      <c r="V2509" s="179"/>
      <c r="W2509" s="180"/>
      <c r="X2509" s="181" t="str">
        <f>IFERROR(__xludf.DUMMYFUNCTION("""COMPUTED_VALUE"""),"Excellent")</f>
        <v>Excellent</v>
      </c>
      <c r="Y2509" s="182" t="str">
        <f>IFERROR(__xludf.DUMMYFUNCTION("""COMPUTED_VALUE"""),"Excellent")</f>
        <v>Excellent</v>
      </c>
      <c r="Z2509" s="182" t="str">
        <f>IFERROR(__xludf.DUMMYFUNCTION("""COMPUTED_VALUE"""),"Excellent")</f>
        <v>Excellent</v>
      </c>
      <c r="AA2509" s="182" t="str">
        <f>IFERROR(__xludf.DUMMYFUNCTION("""COMPUTED_VALUE"""),"Fair")</f>
        <v>Fair</v>
      </c>
      <c r="AB2509" s="182" t="str">
        <f>IFERROR(__xludf.DUMMYFUNCTION("""COMPUTED_VALUE"""),"Very Good")</f>
        <v>Very Good</v>
      </c>
      <c r="AC2509" s="183">
        <f>IFERROR(__xludf.DUMMYFUNCTION("""COMPUTED_VALUE"""),0.0)</f>
        <v>0</v>
      </c>
      <c r="AD2509" s="183">
        <f>IFERROR(__xludf.DUMMYFUNCTION("""COMPUTED_VALUE"""),0.0)</f>
        <v>0</v>
      </c>
      <c r="AE2509" s="183">
        <f>IFERROR(__xludf.DUMMYFUNCTION("""COMPUTED_VALUE"""),0.0)</f>
        <v>0</v>
      </c>
      <c r="AF2509" s="184"/>
      <c r="AG2509" s="180"/>
      <c r="AH2509" s="185">
        <f>IFERROR(__xludf.DUMMYFUNCTION("""COMPUTED_VALUE"""),43390.35866759259)</f>
        <v>43390.35867</v>
      </c>
      <c r="AI2509" s="182"/>
      <c r="AJ2509" s="182"/>
      <c r="AK2509" s="182"/>
      <c r="AL2509" s="182"/>
    </row>
    <row r="2510" ht="20.25" customHeight="1">
      <c r="A2510" s="169" t="str">
        <f>IFERROR(__xludf.DUMMYFUNCTION("""COMPUTED_VALUE"""),"Sytus")</f>
        <v>Sytus</v>
      </c>
      <c r="B2510" s="170" t="str">
        <f>IFERROR(__xludf.DUMMYFUNCTION("""COMPUTED_VALUE"""),"Austin")</f>
        <v>Austin</v>
      </c>
      <c r="C2510" s="170" t="str">
        <f>IFERROR(__xludf.DUMMYFUNCTION("""COMPUTED_VALUE"""),"TX")</f>
        <v>TX</v>
      </c>
      <c r="D2510" s="170" t="str">
        <f>IFERROR(__xludf.DUMMYFUNCTION("""COMPUTED_VALUE"""),"USA")</f>
        <v>USA</v>
      </c>
      <c r="E2510" s="171">
        <f>IFERROR(__xludf.DUMMYFUNCTION("""COMPUTED_VALUE"""),43321.0)</f>
        <v>43321</v>
      </c>
      <c r="F2510" s="172">
        <f>IFERROR(__xludf.DUMMYFUNCTION("""COMPUTED_VALUE"""),43325.0)</f>
        <v>43325</v>
      </c>
      <c r="G2510" s="173"/>
      <c r="H2510" s="174">
        <f>IFERROR(__xludf.DUMMYFUNCTION("""COMPUTED_VALUE"""),60855.0)</f>
        <v>60855</v>
      </c>
      <c r="I2510" s="175"/>
      <c r="J2510" s="172">
        <f>IFERROR(__xludf.DUMMYFUNCTION("""COMPUTED_VALUE"""),43343.0)</f>
        <v>43343</v>
      </c>
      <c r="K2510" s="176">
        <f>IFERROR(__xludf.DUMMYFUNCTION("""COMPUTED_VALUE"""),4.0)</f>
        <v>4</v>
      </c>
      <c r="L2510" s="176">
        <f>IFERROR(__xludf.DUMMYFUNCTION("""COMPUTED_VALUE"""),18.0)</f>
        <v>18</v>
      </c>
      <c r="M2510" s="176">
        <f>IFERROR(__xludf.DUMMYFUNCTION("""COMPUTED_VALUE"""),22.0)</f>
        <v>22</v>
      </c>
      <c r="N2510" s="177" t="str">
        <f>IFERROR(__xludf.DUMMYFUNCTION("""COMPUTED_VALUE"""),"Model 3 LR")</f>
        <v>Model 3 LR</v>
      </c>
      <c r="O2510" s="177" t="str">
        <f>IFERROR(__xludf.DUMMYFUNCTION("""COMPUTED_VALUE"""),"Silver Metallic")</f>
        <v>Silver Metallic</v>
      </c>
      <c r="P2510" s="178" t="str">
        <f>IFERROR(__xludf.DUMMYFUNCTION("""COMPUTED_VALUE"""),"19 inch Sport")</f>
        <v>19 inch Sport</v>
      </c>
      <c r="Q2510" s="177" t="str">
        <f>IFERROR(__xludf.DUMMYFUNCTION("""COMPUTED_VALUE"""),"Black seats")</f>
        <v>Black seats</v>
      </c>
      <c r="R2510" s="170" t="str">
        <f>IFERROR(__xludf.DUMMYFUNCTION("""COMPUTED_VALUE"""),"Enhanced Autopilot")</f>
        <v>Enhanced Autopilot</v>
      </c>
      <c r="S2510" s="170"/>
      <c r="T2510" s="179"/>
      <c r="U2510" s="179"/>
      <c r="V2510" s="179"/>
      <c r="W2510" s="180"/>
      <c r="X2510" s="181" t="str">
        <f>IFERROR(__xludf.DUMMYFUNCTION("""COMPUTED_VALUE"""),"Excellent")</f>
        <v>Excellent</v>
      </c>
      <c r="Y2510" s="182" t="str">
        <f>IFERROR(__xludf.DUMMYFUNCTION("""COMPUTED_VALUE"""),"Excellent")</f>
        <v>Excellent</v>
      </c>
      <c r="Z2510" s="182" t="str">
        <f>IFERROR(__xludf.DUMMYFUNCTION("""COMPUTED_VALUE"""),"Fair")</f>
        <v>Fair</v>
      </c>
      <c r="AA2510" s="182" t="str">
        <f>IFERROR(__xludf.DUMMYFUNCTION("""COMPUTED_VALUE"""),"Good")</f>
        <v>Good</v>
      </c>
      <c r="AB2510" s="182" t="str">
        <f>IFERROR(__xludf.DUMMYFUNCTION("""COMPUTED_VALUE"""),"Good")</f>
        <v>Good</v>
      </c>
      <c r="AC2510" s="183"/>
      <c r="AD2510" s="183"/>
      <c r="AE2510" s="183"/>
      <c r="AF2510" s="184"/>
      <c r="AG2510" s="180"/>
      <c r="AH2510" s="185">
        <f>IFERROR(__xludf.DUMMYFUNCTION("""COMPUTED_VALUE"""),43344.38309519676)</f>
        <v>43344.3831</v>
      </c>
      <c r="AI2510" s="182"/>
      <c r="AJ2510" s="182"/>
      <c r="AK2510" s="182"/>
      <c r="AL2510" s="182"/>
    </row>
    <row r="2511" ht="20.25" customHeight="1">
      <c r="A2511" s="169" t="str">
        <f>IFERROR(__xludf.DUMMYFUNCTION("""COMPUTED_VALUE"""),"Amp3d")</f>
        <v>Amp3d</v>
      </c>
      <c r="B2511" s="170"/>
      <c r="C2511" s="170" t="str">
        <f>IFERROR(__xludf.DUMMYFUNCTION("""COMPUTED_VALUE"""),"NC")</f>
        <v>NC</v>
      </c>
      <c r="D2511" s="170" t="str">
        <f>IFERROR(__xludf.DUMMYFUNCTION("""COMPUTED_VALUE"""),"USA")</f>
        <v>USA</v>
      </c>
      <c r="E2511" s="171">
        <f>IFERROR(__xludf.DUMMYFUNCTION("""COMPUTED_VALUE"""),43320.0)</f>
        <v>43320</v>
      </c>
      <c r="F2511" s="172">
        <f>IFERROR(__xludf.DUMMYFUNCTION("""COMPUTED_VALUE"""),43385.0)</f>
        <v>43385</v>
      </c>
      <c r="G2511" s="173"/>
      <c r="H2511" s="174">
        <f>IFERROR(__xludf.DUMMYFUNCTION("""COMPUTED_VALUE"""),75655.0)</f>
        <v>75655</v>
      </c>
      <c r="I2511" s="175" t="str">
        <f>IFERROR(__xludf.DUMMYFUNCTION("""COMPUTED_VALUE"""),"08/18")</f>
        <v>08/18</v>
      </c>
      <c r="J2511" s="172">
        <f>IFERROR(__xludf.DUMMYFUNCTION("""COMPUTED_VALUE"""),43386.0)</f>
        <v>43386</v>
      </c>
      <c r="K2511" s="176">
        <f>IFERROR(__xludf.DUMMYFUNCTION("""COMPUTED_VALUE"""),65.0)</f>
        <v>65</v>
      </c>
      <c r="L2511" s="176">
        <f>IFERROR(__xludf.DUMMYFUNCTION("""COMPUTED_VALUE"""),1.0)</f>
        <v>1</v>
      </c>
      <c r="M2511" s="176">
        <f>IFERROR(__xludf.DUMMYFUNCTION("""COMPUTED_VALUE"""),66.0)</f>
        <v>66</v>
      </c>
      <c r="N2511" s="177" t="str">
        <f>IFERROR(__xludf.DUMMYFUNCTION("""COMPUTED_VALUE"""),"Model 3 Performance")</f>
        <v>Model 3 Performance</v>
      </c>
      <c r="O2511" s="177" t="str">
        <f>IFERROR(__xludf.DUMMYFUNCTION("""COMPUTED_VALUE"""),"Pearl White Multi-Coat")</f>
        <v>Pearl White Multi-Coat</v>
      </c>
      <c r="P2511" s="178" t="str">
        <f>IFERROR(__xludf.DUMMYFUNCTION("""COMPUTED_VALUE"""),"20 inch Sport")</f>
        <v>20 inch Sport</v>
      </c>
      <c r="Q2511" s="177" t="str">
        <f>IFERROR(__xludf.DUMMYFUNCTION("""COMPUTED_VALUE"""),"Black seats")</f>
        <v>Black seats</v>
      </c>
      <c r="R2511" s="170" t="str">
        <f>IFERROR(__xludf.DUMMYFUNCTION("""COMPUTED_VALUE"""),"Full Self-Driving")</f>
        <v>Full Self-Driving</v>
      </c>
      <c r="S2511" s="170"/>
      <c r="T2511" s="179"/>
      <c r="U2511" s="179"/>
      <c r="V2511" s="179"/>
      <c r="W2511" s="180"/>
      <c r="X2511" s="181" t="str">
        <f>IFERROR(__xludf.DUMMYFUNCTION("""COMPUTED_VALUE"""),"Good")</f>
        <v>Good</v>
      </c>
      <c r="Y2511" s="182" t="str">
        <f>IFERROR(__xludf.DUMMYFUNCTION("""COMPUTED_VALUE"""),"Excellent")</f>
        <v>Excellent</v>
      </c>
      <c r="Z2511" s="182" t="str">
        <f>IFERROR(__xludf.DUMMYFUNCTION("""COMPUTED_VALUE"""),"Fair")</f>
        <v>Fair</v>
      </c>
      <c r="AA2511" s="182" t="str">
        <f>IFERROR(__xludf.DUMMYFUNCTION("""COMPUTED_VALUE"""),"Fair")</f>
        <v>Fair</v>
      </c>
      <c r="AB2511" s="182" t="str">
        <f>IFERROR(__xludf.DUMMYFUNCTION("""COMPUTED_VALUE"""),"Good")</f>
        <v>Good</v>
      </c>
      <c r="AC2511" s="183">
        <f>IFERROR(__xludf.DUMMYFUNCTION("""COMPUTED_VALUE"""),4.0)</f>
        <v>4</v>
      </c>
      <c r="AD2511" s="183">
        <f>IFERROR(__xludf.DUMMYFUNCTION("""COMPUTED_VALUE"""),0.0)</f>
        <v>0</v>
      </c>
      <c r="AE2511" s="183"/>
      <c r="AF2511" s="184"/>
      <c r="AG2511" s="180"/>
      <c r="AH2511" s="185">
        <f>IFERROR(__xludf.DUMMYFUNCTION("""COMPUTED_VALUE"""),43403.59762685185)</f>
        <v>43403.59763</v>
      </c>
      <c r="AI2511" s="182"/>
      <c r="AJ2511" s="182"/>
      <c r="AK2511" s="182"/>
      <c r="AL2511" s="182"/>
    </row>
    <row r="2512" ht="20.25" customHeight="1">
      <c r="A2512" s="169" t="str">
        <f>IFERROR(__xludf.DUMMYFUNCTION("""COMPUTED_VALUE"""),"bcflick")</f>
        <v>bcflick</v>
      </c>
      <c r="B2512" s="170" t="str">
        <f>IFERROR(__xludf.DUMMYFUNCTION("""COMPUTED_VALUE"""),"Tehachapi")</f>
        <v>Tehachapi</v>
      </c>
      <c r="C2512" s="170" t="str">
        <f>IFERROR(__xludf.DUMMYFUNCTION("""COMPUTED_VALUE"""),"CA")</f>
        <v>CA</v>
      </c>
      <c r="D2512" s="170" t="str">
        <f>IFERROR(__xludf.DUMMYFUNCTION("""COMPUTED_VALUE"""),"USA")</f>
        <v>USA</v>
      </c>
      <c r="E2512" s="171">
        <f>IFERROR(__xludf.DUMMYFUNCTION("""COMPUTED_VALUE"""),43320.0)</f>
        <v>43320</v>
      </c>
      <c r="F2512" s="172">
        <f>IFERROR(__xludf.DUMMYFUNCTION("""COMPUTED_VALUE"""),43369.0)</f>
        <v>43369</v>
      </c>
      <c r="G2512" s="173"/>
      <c r="H2512" s="174">
        <f>IFERROR(__xludf.DUMMYFUNCTION("""COMPUTED_VALUE"""),94285.0)</f>
        <v>94285</v>
      </c>
      <c r="I2512" s="175" t="str">
        <f>IFERROR(__xludf.DUMMYFUNCTION("""COMPUTED_VALUE"""),"09/18")</f>
        <v>09/18</v>
      </c>
      <c r="J2512" s="172">
        <f>IFERROR(__xludf.DUMMYFUNCTION("""COMPUTED_VALUE"""),43372.0)</f>
        <v>43372</v>
      </c>
      <c r="K2512" s="176">
        <f>IFERROR(__xludf.DUMMYFUNCTION("""COMPUTED_VALUE"""),49.0)</f>
        <v>49</v>
      </c>
      <c r="L2512" s="176">
        <f>IFERROR(__xludf.DUMMYFUNCTION("""COMPUTED_VALUE"""),3.0)</f>
        <v>3</v>
      </c>
      <c r="M2512" s="176">
        <f>IFERROR(__xludf.DUMMYFUNCTION("""COMPUTED_VALUE"""),52.0)</f>
        <v>52</v>
      </c>
      <c r="N2512" s="177" t="str">
        <f>IFERROR(__xludf.DUMMYFUNCTION("""COMPUTED_VALUE"""),"Model 3 LR AWD")</f>
        <v>Model 3 LR AWD</v>
      </c>
      <c r="O2512" s="177" t="str">
        <f>IFERROR(__xludf.DUMMYFUNCTION("""COMPUTED_VALUE"""),"Red Multi-Coat")</f>
        <v>Red Multi-Coat</v>
      </c>
      <c r="P2512" s="178" t="str">
        <f>IFERROR(__xludf.DUMMYFUNCTION("""COMPUTED_VALUE"""),"18 inch Aero")</f>
        <v>18 inch Aero</v>
      </c>
      <c r="Q2512" s="177" t="str">
        <f>IFERROR(__xludf.DUMMYFUNCTION("""COMPUTED_VALUE"""),"Black seats")</f>
        <v>Black seats</v>
      </c>
      <c r="R2512" s="170" t="str">
        <f>IFERROR(__xludf.DUMMYFUNCTION("""COMPUTED_VALUE"""),"None")</f>
        <v>None</v>
      </c>
      <c r="S2512" s="170"/>
      <c r="T2512" s="179"/>
      <c r="U2512" s="179"/>
      <c r="V2512" s="179"/>
      <c r="W2512" s="180"/>
      <c r="X2512" s="181" t="str">
        <f>IFERROR(__xludf.DUMMYFUNCTION("""COMPUTED_VALUE"""),"Excellent")</f>
        <v>Excellent</v>
      </c>
      <c r="Y2512" s="182" t="str">
        <f>IFERROR(__xludf.DUMMYFUNCTION("""COMPUTED_VALUE"""),"Excellent")</f>
        <v>Excellent</v>
      </c>
      <c r="Z2512" s="182" t="str">
        <f>IFERROR(__xludf.DUMMYFUNCTION("""COMPUTED_VALUE"""),"Very Good")</f>
        <v>Very Good</v>
      </c>
      <c r="AA2512" s="182" t="str">
        <f>IFERROR(__xludf.DUMMYFUNCTION("""COMPUTED_VALUE"""),"Fair")</f>
        <v>Fair</v>
      </c>
      <c r="AB2512" s="182" t="str">
        <f>IFERROR(__xludf.DUMMYFUNCTION("""COMPUTED_VALUE"""),"Excellent")</f>
        <v>Excellent</v>
      </c>
      <c r="AC2512" s="183">
        <f>IFERROR(__xludf.DUMMYFUNCTION("""COMPUTED_VALUE"""),1.0)</f>
        <v>1</v>
      </c>
      <c r="AD2512" s="183"/>
      <c r="AE2512" s="183"/>
      <c r="AF2512" s="184"/>
      <c r="AG2512" s="180"/>
      <c r="AH2512" s="185">
        <f>IFERROR(__xludf.DUMMYFUNCTION("""COMPUTED_VALUE"""),43374.52595038194)</f>
        <v>43374.52595</v>
      </c>
      <c r="AI2512" s="182"/>
      <c r="AJ2512" s="182"/>
      <c r="AK2512" s="182"/>
      <c r="AL2512" s="182"/>
    </row>
    <row r="2513" ht="20.25" customHeight="1">
      <c r="A2513" s="169" t="str">
        <f>IFERROR(__xludf.DUMMYFUNCTION("""COMPUTED_VALUE"""),"JE")</f>
        <v>JE</v>
      </c>
      <c r="B2513" s="170" t="str">
        <f>IFERROR(__xludf.DUMMYFUNCTION("""COMPUTED_VALUE"""),"Chandler")</f>
        <v>Chandler</v>
      </c>
      <c r="C2513" s="170" t="str">
        <f>IFERROR(__xludf.DUMMYFUNCTION("""COMPUTED_VALUE"""),"AZ")</f>
        <v>AZ</v>
      </c>
      <c r="D2513" s="170" t="str">
        <f>IFERROR(__xludf.DUMMYFUNCTION("""COMPUTED_VALUE"""),"USA")</f>
        <v>USA</v>
      </c>
      <c r="E2513" s="171">
        <f>IFERROR(__xludf.DUMMYFUNCTION("""COMPUTED_VALUE"""),43320.0)</f>
        <v>43320</v>
      </c>
      <c r="F2513" s="172">
        <f>IFERROR(__xludf.DUMMYFUNCTION("""COMPUTED_VALUE"""),43354.0)</f>
        <v>43354</v>
      </c>
      <c r="G2513" s="173"/>
      <c r="H2513" s="174">
        <f>IFERROR(__xludf.DUMMYFUNCTION("""COMPUTED_VALUE"""),74755.0)</f>
        <v>74755</v>
      </c>
      <c r="I2513" s="175" t="str">
        <f>IFERROR(__xludf.DUMMYFUNCTION("""COMPUTED_VALUE"""),"09/18")</f>
        <v>09/18</v>
      </c>
      <c r="J2513" s="172">
        <f>IFERROR(__xludf.DUMMYFUNCTION("""COMPUTED_VALUE"""),43360.0)</f>
        <v>43360</v>
      </c>
      <c r="K2513" s="176">
        <f>IFERROR(__xludf.DUMMYFUNCTION("""COMPUTED_VALUE"""),34.0)</f>
        <v>34</v>
      </c>
      <c r="L2513" s="176">
        <f>IFERROR(__xludf.DUMMYFUNCTION("""COMPUTED_VALUE"""),6.0)</f>
        <v>6</v>
      </c>
      <c r="M2513" s="176">
        <f>IFERROR(__xludf.DUMMYFUNCTION("""COMPUTED_VALUE"""),40.0)</f>
        <v>40</v>
      </c>
      <c r="N2513" s="177" t="str">
        <f>IFERROR(__xludf.DUMMYFUNCTION("""COMPUTED_VALUE"""),"Model 3 Performance")</f>
        <v>Model 3 Performance</v>
      </c>
      <c r="O2513" s="177" t="str">
        <f>IFERROR(__xludf.DUMMYFUNCTION("""COMPUTED_VALUE"""),"Red Multi-Coat")</f>
        <v>Red Multi-Coat</v>
      </c>
      <c r="P2513" s="178" t="str">
        <f>IFERROR(__xludf.DUMMYFUNCTION("""COMPUTED_VALUE"""),"20 inch Sport")</f>
        <v>20 inch Sport</v>
      </c>
      <c r="Q2513" s="177" t="str">
        <f>IFERROR(__xludf.DUMMYFUNCTION("""COMPUTED_VALUE"""),"White seats")</f>
        <v>White seats</v>
      </c>
      <c r="R2513" s="170" t="str">
        <f>IFERROR(__xludf.DUMMYFUNCTION("""COMPUTED_VALUE"""),"Full Self-Driving")</f>
        <v>Full Self-Driving</v>
      </c>
      <c r="S2513" s="170"/>
      <c r="T2513" s="179"/>
      <c r="U2513" s="179"/>
      <c r="V2513" s="179"/>
      <c r="W2513" s="180"/>
      <c r="X2513" s="181" t="str">
        <f>IFERROR(__xludf.DUMMYFUNCTION("""COMPUTED_VALUE"""),"Excellent")</f>
        <v>Excellent</v>
      </c>
      <c r="Y2513" s="182" t="str">
        <f>IFERROR(__xludf.DUMMYFUNCTION("""COMPUTED_VALUE"""),"Excellent")</f>
        <v>Excellent</v>
      </c>
      <c r="Z2513" s="182" t="str">
        <f>IFERROR(__xludf.DUMMYFUNCTION("""COMPUTED_VALUE"""),"Good")</f>
        <v>Good</v>
      </c>
      <c r="AA2513" s="182" t="str">
        <f>IFERROR(__xludf.DUMMYFUNCTION("""COMPUTED_VALUE"""),"Excellent")</f>
        <v>Excellent</v>
      </c>
      <c r="AB2513" s="182" t="str">
        <f>IFERROR(__xludf.DUMMYFUNCTION("""COMPUTED_VALUE"""),"Very Good")</f>
        <v>Very Good</v>
      </c>
      <c r="AC2513" s="183">
        <f>IFERROR(__xludf.DUMMYFUNCTION("""COMPUTED_VALUE"""),2.0)</f>
        <v>2</v>
      </c>
      <c r="AD2513" s="183">
        <f>IFERROR(__xludf.DUMMYFUNCTION("""COMPUTED_VALUE"""),1.0)</f>
        <v>1</v>
      </c>
      <c r="AE2513" s="183">
        <f>IFERROR(__xludf.DUMMYFUNCTION("""COMPUTED_VALUE"""),0.0)</f>
        <v>0</v>
      </c>
      <c r="AF2513" s="184"/>
      <c r="AG2513" s="180"/>
      <c r="AH2513" s="185">
        <f>IFERROR(__xludf.DUMMYFUNCTION("""COMPUTED_VALUE"""),43388.43495047453)</f>
        <v>43388.43495</v>
      </c>
      <c r="AI2513" s="182"/>
      <c r="AJ2513" s="182"/>
      <c r="AK2513" s="182"/>
      <c r="AL2513" s="182"/>
    </row>
    <row r="2514" ht="20.25" customHeight="1">
      <c r="A2514" s="169" t="str">
        <f>IFERROR(__xludf.DUMMYFUNCTION("""COMPUTED_VALUE"""),"tezzla")</f>
        <v>tezzla</v>
      </c>
      <c r="B2514" s="170" t="str">
        <f>IFERROR(__xludf.DUMMYFUNCTION("""COMPUTED_VALUE"""),"Los Angeles")</f>
        <v>Los Angeles</v>
      </c>
      <c r="C2514" s="170" t="str">
        <f>IFERROR(__xludf.DUMMYFUNCTION("""COMPUTED_VALUE"""),"CA")</f>
        <v>CA</v>
      </c>
      <c r="D2514" s="170" t="str">
        <f>IFERROR(__xludf.DUMMYFUNCTION("""COMPUTED_VALUE"""),"USA")</f>
        <v>USA</v>
      </c>
      <c r="E2514" s="171">
        <f>IFERROR(__xludf.DUMMYFUNCTION("""COMPUTED_VALUE"""),43320.0)</f>
        <v>43320</v>
      </c>
      <c r="F2514" s="172">
        <f>IFERROR(__xludf.DUMMYFUNCTION("""COMPUTED_VALUE"""),43370.0)</f>
        <v>43370</v>
      </c>
      <c r="G2514" s="173"/>
      <c r="H2514" s="174">
        <f>IFERROR(__xludf.DUMMYFUNCTION("""COMPUTED_VALUE"""),93802.0)</f>
        <v>93802</v>
      </c>
      <c r="I2514" s="175"/>
      <c r="J2514" s="172">
        <f>IFERROR(__xludf.DUMMYFUNCTION("""COMPUTED_VALUE"""),43374.0)</f>
        <v>43374</v>
      </c>
      <c r="K2514" s="176">
        <f>IFERROR(__xludf.DUMMYFUNCTION("""COMPUTED_VALUE"""),50.0)</f>
        <v>50</v>
      </c>
      <c r="L2514" s="176">
        <f>IFERROR(__xludf.DUMMYFUNCTION("""COMPUTED_VALUE"""),4.0)</f>
        <v>4</v>
      </c>
      <c r="M2514" s="176">
        <f>IFERROR(__xludf.DUMMYFUNCTION("""COMPUTED_VALUE"""),54.0)</f>
        <v>54</v>
      </c>
      <c r="N2514" s="177" t="str">
        <f>IFERROR(__xludf.DUMMYFUNCTION("""COMPUTED_VALUE"""),"Model 3 LR AWD")</f>
        <v>Model 3 LR AWD</v>
      </c>
      <c r="O2514" s="177" t="str">
        <f>IFERROR(__xludf.DUMMYFUNCTION("""COMPUTED_VALUE"""),"Pearl White Multi-Coat")</f>
        <v>Pearl White Multi-Coat</v>
      </c>
      <c r="P2514" s="178" t="str">
        <f>IFERROR(__xludf.DUMMYFUNCTION("""COMPUTED_VALUE"""),"18 inch Aero")</f>
        <v>18 inch Aero</v>
      </c>
      <c r="Q2514" s="177" t="str">
        <f>IFERROR(__xludf.DUMMYFUNCTION("""COMPUTED_VALUE"""),"Black seats")</f>
        <v>Black seats</v>
      </c>
      <c r="R2514" s="170" t="str">
        <f>IFERROR(__xludf.DUMMYFUNCTION("""COMPUTED_VALUE"""),"Enhanced Autopilot")</f>
        <v>Enhanced Autopilot</v>
      </c>
      <c r="S2514" s="170"/>
      <c r="T2514" s="179"/>
      <c r="U2514" s="179"/>
      <c r="V2514" s="179"/>
      <c r="W2514" s="180"/>
      <c r="X2514" s="181" t="str">
        <f>IFERROR(__xludf.DUMMYFUNCTION("""COMPUTED_VALUE"""),"Excellent")</f>
        <v>Excellent</v>
      </c>
      <c r="Y2514" s="182" t="str">
        <f>IFERROR(__xludf.DUMMYFUNCTION("""COMPUTED_VALUE"""),"Excellent")</f>
        <v>Excellent</v>
      </c>
      <c r="Z2514" s="182" t="str">
        <f>IFERROR(__xludf.DUMMYFUNCTION("""COMPUTED_VALUE"""),"Excellent")</f>
        <v>Excellent</v>
      </c>
      <c r="AA2514" s="182" t="str">
        <f>IFERROR(__xludf.DUMMYFUNCTION("""COMPUTED_VALUE"""),"Good")</f>
        <v>Good</v>
      </c>
      <c r="AB2514" s="182" t="str">
        <f>IFERROR(__xludf.DUMMYFUNCTION("""COMPUTED_VALUE"""),"Excellent")</f>
        <v>Excellent</v>
      </c>
      <c r="AC2514" s="183">
        <f>IFERROR(__xludf.DUMMYFUNCTION("""COMPUTED_VALUE"""),0.0)</f>
        <v>0</v>
      </c>
      <c r="AD2514" s="183">
        <f>IFERROR(__xludf.DUMMYFUNCTION("""COMPUTED_VALUE"""),0.0)</f>
        <v>0</v>
      </c>
      <c r="AE2514" s="183">
        <f>IFERROR(__xludf.DUMMYFUNCTION("""COMPUTED_VALUE"""),0.0)</f>
        <v>0</v>
      </c>
      <c r="AF2514" s="184"/>
      <c r="AG2514" s="180" t="str">
        <f>IFERROR(__xludf.DUMMYFUNCTION("""COMPUTED_VALUE"""),"Delivery email on 9-6-18")</f>
        <v>Delivery email on 9-6-18</v>
      </c>
      <c r="AH2514" s="185">
        <f>IFERROR(__xludf.DUMMYFUNCTION("""COMPUTED_VALUE"""),43402.40364010417)</f>
        <v>43402.40364</v>
      </c>
      <c r="AI2514" s="182"/>
      <c r="AJ2514" s="182"/>
      <c r="AK2514" s="182"/>
      <c r="AL2514" s="182"/>
    </row>
    <row r="2515" ht="20.25" customHeight="1">
      <c r="A2515" s="169" t="str">
        <f>IFERROR(__xludf.DUMMYFUNCTION("""COMPUTED_VALUE"""),"adk")</f>
        <v>adk</v>
      </c>
      <c r="B2515" s="170" t="str">
        <f>IFERROR(__xludf.DUMMYFUNCTION("""COMPUTED_VALUE"""),"Chicago")</f>
        <v>Chicago</v>
      </c>
      <c r="C2515" s="170" t="str">
        <f>IFERROR(__xludf.DUMMYFUNCTION("""COMPUTED_VALUE"""),"IL")</f>
        <v>IL</v>
      </c>
      <c r="D2515" s="170" t="str">
        <f>IFERROR(__xludf.DUMMYFUNCTION("""COMPUTED_VALUE"""),"USA")</f>
        <v>USA</v>
      </c>
      <c r="E2515" s="171">
        <f>IFERROR(__xludf.DUMMYFUNCTION("""COMPUTED_VALUE"""),43319.0)</f>
        <v>43319</v>
      </c>
      <c r="F2515" s="172">
        <f>IFERROR(__xludf.DUMMYFUNCTION("""COMPUTED_VALUE"""),43364.0)</f>
        <v>43364</v>
      </c>
      <c r="G2515" s="173"/>
      <c r="H2515" s="174">
        <f>IFERROR(__xludf.DUMMYFUNCTION("""COMPUTED_VALUE"""),103655.0)</f>
        <v>103655</v>
      </c>
      <c r="I2515" s="175"/>
      <c r="J2515" s="172">
        <f>IFERROR(__xludf.DUMMYFUNCTION("""COMPUTED_VALUE"""),43369.0)</f>
        <v>43369</v>
      </c>
      <c r="K2515" s="176">
        <f>IFERROR(__xludf.DUMMYFUNCTION("""COMPUTED_VALUE"""),45.0)</f>
        <v>45</v>
      </c>
      <c r="L2515" s="176">
        <f>IFERROR(__xludf.DUMMYFUNCTION("""COMPUTED_VALUE"""),5.0)</f>
        <v>5</v>
      </c>
      <c r="M2515" s="176">
        <f>IFERROR(__xludf.DUMMYFUNCTION("""COMPUTED_VALUE"""),50.0)</f>
        <v>50</v>
      </c>
      <c r="N2515" s="177" t="str">
        <f>IFERROR(__xludf.DUMMYFUNCTION("""COMPUTED_VALUE"""),"Model 3 Performance")</f>
        <v>Model 3 Performance</v>
      </c>
      <c r="O2515" s="177" t="str">
        <f>IFERROR(__xludf.DUMMYFUNCTION("""COMPUTED_VALUE"""),"Midnight Silver Metallic")</f>
        <v>Midnight Silver Metallic</v>
      </c>
      <c r="P2515" s="178" t="str">
        <f>IFERROR(__xludf.DUMMYFUNCTION("""COMPUTED_VALUE"""),"18 inch Aero")</f>
        <v>18 inch Aero</v>
      </c>
      <c r="Q2515" s="177" t="str">
        <f>IFERROR(__xludf.DUMMYFUNCTION("""COMPUTED_VALUE"""),"Black seats")</f>
        <v>Black seats</v>
      </c>
      <c r="R2515" s="170" t="str">
        <f>IFERROR(__xludf.DUMMYFUNCTION("""COMPUTED_VALUE"""),"Full Self-Driving")</f>
        <v>Full Self-Driving</v>
      </c>
      <c r="S2515" s="170"/>
      <c r="T2515" s="179"/>
      <c r="U2515" s="179"/>
      <c r="V2515" s="179"/>
      <c r="W2515" s="180"/>
      <c r="X2515" s="181" t="str">
        <f>IFERROR(__xludf.DUMMYFUNCTION("""COMPUTED_VALUE"""),"Excellent")</f>
        <v>Excellent</v>
      </c>
      <c r="Y2515" s="182" t="str">
        <f>IFERROR(__xludf.DUMMYFUNCTION("""COMPUTED_VALUE"""),"Excellent")</f>
        <v>Excellent</v>
      </c>
      <c r="Z2515" s="182" t="str">
        <f>IFERROR(__xludf.DUMMYFUNCTION("""COMPUTED_VALUE"""),"Very Good")</f>
        <v>Very Good</v>
      </c>
      <c r="AA2515" s="182" t="str">
        <f>IFERROR(__xludf.DUMMYFUNCTION("""COMPUTED_VALUE"""),"Poor")</f>
        <v>Poor</v>
      </c>
      <c r="AB2515" s="182" t="str">
        <f>IFERROR(__xludf.DUMMYFUNCTION("""COMPUTED_VALUE"""),"Fair")</f>
        <v>Fair</v>
      </c>
      <c r="AC2515" s="183"/>
      <c r="AD2515" s="183"/>
      <c r="AE2515" s="183"/>
      <c r="AF2515" s="184"/>
      <c r="AG2515" s="180"/>
      <c r="AH2515" s="185">
        <f>IFERROR(__xludf.DUMMYFUNCTION("""COMPUTED_VALUE"""),43374.78867347222)</f>
        <v>43374.78867</v>
      </c>
      <c r="AI2515" s="182"/>
      <c r="AJ2515" s="182"/>
      <c r="AK2515" s="182"/>
      <c r="AL2515" s="182"/>
    </row>
    <row r="2516" ht="20.25" customHeight="1">
      <c r="A2516" s="169" t="str">
        <f>IFERROR(__xludf.DUMMYFUNCTION("""COMPUTED_VALUE"""),"attack7777")</f>
        <v>attack7777</v>
      </c>
      <c r="B2516" s="170" t="str">
        <f>IFERROR(__xludf.DUMMYFUNCTION("""COMPUTED_VALUE"""),"Raleigh")</f>
        <v>Raleigh</v>
      </c>
      <c r="C2516" s="170" t="str">
        <f>IFERROR(__xludf.DUMMYFUNCTION("""COMPUTED_VALUE"""),"NC")</f>
        <v>NC</v>
      </c>
      <c r="D2516" s="170" t="str">
        <f>IFERROR(__xludf.DUMMYFUNCTION("""COMPUTED_VALUE"""),"USA")</f>
        <v>USA</v>
      </c>
      <c r="E2516" s="171">
        <f>IFERROR(__xludf.DUMMYFUNCTION("""COMPUTED_VALUE"""),43319.0)</f>
        <v>43319</v>
      </c>
      <c r="F2516" s="172">
        <f>IFERROR(__xludf.DUMMYFUNCTION("""COMPUTED_VALUE"""),43367.0)</f>
        <v>43367</v>
      </c>
      <c r="G2516" s="173"/>
      <c r="H2516" s="174">
        <f>IFERROR(__xludf.DUMMYFUNCTION("""COMPUTED_VALUE"""),99355.0)</f>
        <v>99355</v>
      </c>
      <c r="I2516" s="175"/>
      <c r="J2516" s="172">
        <f>IFERROR(__xludf.DUMMYFUNCTION("""COMPUTED_VALUE"""),43371.0)</f>
        <v>43371</v>
      </c>
      <c r="K2516" s="176">
        <f>IFERROR(__xludf.DUMMYFUNCTION("""COMPUTED_VALUE"""),48.0)</f>
        <v>48</v>
      </c>
      <c r="L2516" s="176">
        <f>IFERROR(__xludf.DUMMYFUNCTION("""COMPUTED_VALUE"""),4.0)</f>
        <v>4</v>
      </c>
      <c r="M2516" s="176">
        <f>IFERROR(__xludf.DUMMYFUNCTION("""COMPUTED_VALUE"""),52.0)</f>
        <v>52</v>
      </c>
      <c r="N2516" s="177" t="str">
        <f>IFERROR(__xludf.DUMMYFUNCTION("""COMPUTED_VALUE"""),"Model 3 LR AWD")</f>
        <v>Model 3 LR AWD</v>
      </c>
      <c r="O2516" s="177" t="str">
        <f>IFERROR(__xludf.DUMMYFUNCTION("""COMPUTED_VALUE"""),"Obsidian Black Metallic")</f>
        <v>Obsidian Black Metallic</v>
      </c>
      <c r="P2516" s="178" t="str">
        <f>IFERROR(__xludf.DUMMYFUNCTION("""COMPUTED_VALUE"""),"19 inch Sport")</f>
        <v>19 inch Sport</v>
      </c>
      <c r="Q2516" s="177" t="str">
        <f>IFERROR(__xludf.DUMMYFUNCTION("""COMPUTED_VALUE"""),"White seats")</f>
        <v>White seats</v>
      </c>
      <c r="R2516" s="170" t="str">
        <f>IFERROR(__xludf.DUMMYFUNCTION("""COMPUTED_VALUE"""),"Full Self-Driving")</f>
        <v>Full Self-Driving</v>
      </c>
      <c r="S2516" s="170"/>
      <c r="T2516" s="179"/>
      <c r="U2516" s="179"/>
      <c r="V2516" s="179"/>
      <c r="W2516" s="180"/>
      <c r="X2516" s="181" t="str">
        <f>IFERROR(__xludf.DUMMYFUNCTION("""COMPUTED_VALUE"""),"Excellent")</f>
        <v>Excellent</v>
      </c>
      <c r="Y2516" s="182" t="str">
        <f>IFERROR(__xludf.DUMMYFUNCTION("""COMPUTED_VALUE"""),"Excellent")</f>
        <v>Excellent</v>
      </c>
      <c r="Z2516" s="182" t="str">
        <f>IFERROR(__xludf.DUMMYFUNCTION("""COMPUTED_VALUE"""),"Very Good")</f>
        <v>Very Good</v>
      </c>
      <c r="AA2516" s="182" t="str">
        <f>IFERROR(__xludf.DUMMYFUNCTION("""COMPUTED_VALUE"""),"Fair")</f>
        <v>Fair</v>
      </c>
      <c r="AB2516" s="182" t="str">
        <f>IFERROR(__xludf.DUMMYFUNCTION("""COMPUTED_VALUE"""),"Good")</f>
        <v>Good</v>
      </c>
      <c r="AC2516" s="183">
        <f>IFERROR(__xludf.DUMMYFUNCTION("""COMPUTED_VALUE"""),3.0)</f>
        <v>3</v>
      </c>
      <c r="AD2516" s="183"/>
      <c r="AE2516" s="183"/>
      <c r="AF2516" s="184"/>
      <c r="AG2516" s="180"/>
      <c r="AH2516" s="185">
        <f>IFERROR(__xludf.DUMMYFUNCTION("""COMPUTED_VALUE"""),43382.38668585648)</f>
        <v>43382.38669</v>
      </c>
      <c r="AI2516" s="182"/>
      <c r="AJ2516" s="182"/>
      <c r="AK2516" s="182"/>
      <c r="AL2516" s="182"/>
    </row>
    <row r="2517" ht="20.25" customHeight="1">
      <c r="A2517" s="169" t="str">
        <f>IFERROR(__xludf.DUMMYFUNCTION("""COMPUTED_VALUE"""),"VishVish")</f>
        <v>VishVish</v>
      </c>
      <c r="B2517" s="170" t="str">
        <f>IFERROR(__xludf.DUMMYFUNCTION("""COMPUTED_VALUE"""),"Northern VA")</f>
        <v>Northern VA</v>
      </c>
      <c r="C2517" s="170" t="str">
        <f>IFERROR(__xludf.DUMMYFUNCTION("""COMPUTED_VALUE"""),"VA")</f>
        <v>VA</v>
      </c>
      <c r="D2517" s="170" t="str">
        <f>IFERROR(__xludf.DUMMYFUNCTION("""COMPUTED_VALUE"""),"USA")</f>
        <v>USA</v>
      </c>
      <c r="E2517" s="171">
        <f>IFERROR(__xludf.DUMMYFUNCTION("""COMPUTED_VALUE"""),43319.0)</f>
        <v>43319</v>
      </c>
      <c r="F2517" s="172">
        <f>IFERROR(__xludf.DUMMYFUNCTION("""COMPUTED_VALUE"""),43334.0)</f>
        <v>43334</v>
      </c>
      <c r="G2517" s="173"/>
      <c r="H2517" s="174">
        <f>IFERROR(__xludf.DUMMYFUNCTION("""COMPUTED_VALUE"""),24214.0)</f>
        <v>24214</v>
      </c>
      <c r="I2517" s="175" t="str">
        <f>IFERROR(__xludf.DUMMYFUNCTION("""COMPUTED_VALUE"""),"06/18")</f>
        <v>06/18</v>
      </c>
      <c r="J2517" s="172">
        <f>IFERROR(__xludf.DUMMYFUNCTION("""COMPUTED_VALUE"""),43341.0)</f>
        <v>43341</v>
      </c>
      <c r="K2517" s="176">
        <f>IFERROR(__xludf.DUMMYFUNCTION("""COMPUTED_VALUE"""),15.0)</f>
        <v>15</v>
      </c>
      <c r="L2517" s="176">
        <f>IFERROR(__xludf.DUMMYFUNCTION("""COMPUTED_VALUE"""),7.0)</f>
        <v>7</v>
      </c>
      <c r="M2517" s="176">
        <f>IFERROR(__xludf.DUMMYFUNCTION("""COMPUTED_VALUE"""),22.0)</f>
        <v>22</v>
      </c>
      <c r="N2517" s="177" t="str">
        <f>IFERROR(__xludf.DUMMYFUNCTION("""COMPUTED_VALUE"""),"Model 3 LR")</f>
        <v>Model 3 LR</v>
      </c>
      <c r="O2517" s="177" t="str">
        <f>IFERROR(__xludf.DUMMYFUNCTION("""COMPUTED_VALUE"""),"Midnight Silver Metallic")</f>
        <v>Midnight Silver Metallic</v>
      </c>
      <c r="P2517" s="178" t="str">
        <f>IFERROR(__xludf.DUMMYFUNCTION("""COMPUTED_VALUE"""),"19 inch Sport")</f>
        <v>19 inch Sport</v>
      </c>
      <c r="Q2517" s="177" t="str">
        <f>IFERROR(__xludf.DUMMYFUNCTION("""COMPUTED_VALUE"""),"Black seats")</f>
        <v>Black seats</v>
      </c>
      <c r="R2517" s="170" t="str">
        <f>IFERROR(__xludf.DUMMYFUNCTION("""COMPUTED_VALUE"""),"None")</f>
        <v>None</v>
      </c>
      <c r="S2517" s="170"/>
      <c r="T2517" s="179"/>
      <c r="U2517" s="179"/>
      <c r="V2517" s="179"/>
      <c r="W2517" s="180"/>
      <c r="X2517" s="181" t="str">
        <f>IFERROR(__xludf.DUMMYFUNCTION("""COMPUTED_VALUE"""),"Excellent")</f>
        <v>Excellent</v>
      </c>
      <c r="Y2517" s="182" t="str">
        <f>IFERROR(__xludf.DUMMYFUNCTION("""COMPUTED_VALUE"""),"Excellent")</f>
        <v>Excellent</v>
      </c>
      <c r="Z2517" s="182" t="str">
        <f>IFERROR(__xludf.DUMMYFUNCTION("""COMPUTED_VALUE"""),"Excellent")</f>
        <v>Excellent</v>
      </c>
      <c r="AA2517" s="182" t="str">
        <f>IFERROR(__xludf.DUMMYFUNCTION("""COMPUTED_VALUE"""),"Fair")</f>
        <v>Fair</v>
      </c>
      <c r="AB2517" s="182" t="str">
        <f>IFERROR(__xludf.DUMMYFUNCTION("""COMPUTED_VALUE"""),"Very Good")</f>
        <v>Very Good</v>
      </c>
      <c r="AC2517" s="183"/>
      <c r="AD2517" s="183"/>
      <c r="AE2517" s="183"/>
      <c r="AF2517" s="184"/>
      <c r="AG2517" s="180"/>
      <c r="AH2517" s="185">
        <f>IFERROR(__xludf.DUMMYFUNCTION("""COMPUTED_VALUE"""),43362.73646800926)</f>
        <v>43362.73647</v>
      </c>
      <c r="AI2517" s="182"/>
      <c r="AJ2517" s="182"/>
      <c r="AK2517" s="182"/>
      <c r="AL2517" s="182"/>
    </row>
    <row r="2518" ht="20.25" customHeight="1">
      <c r="A2518" s="169" t="str">
        <f>IFERROR(__xludf.DUMMYFUNCTION("""COMPUTED_VALUE"""),"deadward2")</f>
        <v>deadward2</v>
      </c>
      <c r="B2518" s="170" t="str">
        <f>IFERROR(__xludf.DUMMYFUNCTION("""COMPUTED_VALUE"""),"Los Angeles")</f>
        <v>Los Angeles</v>
      </c>
      <c r="C2518" s="170" t="str">
        <f>IFERROR(__xludf.DUMMYFUNCTION("""COMPUTED_VALUE"""),"CA")</f>
        <v>CA</v>
      </c>
      <c r="D2518" s="170" t="str">
        <f>IFERROR(__xludf.DUMMYFUNCTION("""COMPUTED_VALUE"""),"USA")</f>
        <v>USA</v>
      </c>
      <c r="E2518" s="171">
        <f>IFERROR(__xludf.DUMMYFUNCTION("""COMPUTED_VALUE"""),43318.0)</f>
        <v>43318</v>
      </c>
      <c r="F2518" s="172">
        <f>IFERROR(__xludf.DUMMYFUNCTION("""COMPUTED_VALUE"""),43368.0)</f>
        <v>43368</v>
      </c>
      <c r="G2518" s="173"/>
      <c r="H2518" s="174">
        <f>IFERROR(__xludf.DUMMYFUNCTION("""COMPUTED_VALUE"""),44955.0)</f>
        <v>44955</v>
      </c>
      <c r="I2518" s="175"/>
      <c r="J2518" s="172">
        <f>IFERROR(__xludf.DUMMYFUNCTION("""COMPUTED_VALUE"""),43371.0)</f>
        <v>43371</v>
      </c>
      <c r="K2518" s="176">
        <f>IFERROR(__xludf.DUMMYFUNCTION("""COMPUTED_VALUE"""),50.0)</f>
        <v>50</v>
      </c>
      <c r="L2518" s="176">
        <f>IFERROR(__xludf.DUMMYFUNCTION("""COMPUTED_VALUE"""),3.0)</f>
        <v>3</v>
      </c>
      <c r="M2518" s="176">
        <f>IFERROR(__xludf.DUMMYFUNCTION("""COMPUTED_VALUE"""),53.0)</f>
        <v>53</v>
      </c>
      <c r="N2518" s="177" t="str">
        <f>IFERROR(__xludf.DUMMYFUNCTION("""COMPUTED_VALUE"""),"Model 3 LR")</f>
        <v>Model 3 LR</v>
      </c>
      <c r="O2518" s="177" t="str">
        <f>IFERROR(__xludf.DUMMYFUNCTION("""COMPUTED_VALUE"""),"Deep Blue Metallic")</f>
        <v>Deep Blue Metallic</v>
      </c>
      <c r="P2518" s="178" t="str">
        <f>IFERROR(__xludf.DUMMYFUNCTION("""COMPUTED_VALUE"""),"18 inch Aero")</f>
        <v>18 inch Aero</v>
      </c>
      <c r="Q2518" s="177" t="str">
        <f>IFERROR(__xludf.DUMMYFUNCTION("""COMPUTED_VALUE"""),"Black seats")</f>
        <v>Black seats</v>
      </c>
      <c r="R2518" s="170" t="str">
        <f>IFERROR(__xludf.DUMMYFUNCTION("""COMPUTED_VALUE"""),"None")</f>
        <v>None</v>
      </c>
      <c r="S2518" s="170"/>
      <c r="T2518" s="179"/>
      <c r="U2518" s="179"/>
      <c r="V2518" s="179"/>
      <c r="W2518" s="180"/>
      <c r="X2518" s="181"/>
      <c r="Y2518" s="182"/>
      <c r="Z2518" s="182"/>
      <c r="AA2518" s="182" t="str">
        <f>IFERROR(__xludf.DUMMYFUNCTION("""COMPUTED_VALUE"""),"Poor")</f>
        <v>Poor</v>
      </c>
      <c r="AB2518" s="182"/>
      <c r="AC2518" s="183"/>
      <c r="AD2518" s="183"/>
      <c r="AE2518" s="183"/>
      <c r="AF2518" s="184"/>
      <c r="AG2518" s="180" t="str">
        <f>IFERROR(__xludf.DUMMYFUNCTION("""COMPUTED_VALUE"""),"Backend issue prevented delivery from being scheduled. It took me 2+ weeks of calls, emails, and visits to be scheduled.")</f>
        <v>Backend issue prevented delivery from being scheduled. It took me 2+ weeks of calls, emails, and visits to be scheduled.</v>
      </c>
      <c r="AH2518" s="185">
        <f>IFERROR(__xludf.DUMMYFUNCTION("""COMPUTED_VALUE"""),43368.66945390046)</f>
        <v>43368.66945</v>
      </c>
      <c r="AI2518" s="182"/>
      <c r="AJ2518" s="182"/>
      <c r="AK2518" s="182"/>
      <c r="AL2518" s="182"/>
    </row>
    <row r="2519" ht="20.25" customHeight="1">
      <c r="A2519" s="169" t="str">
        <f>IFERROR(__xludf.DUMMYFUNCTION("""COMPUTED_VALUE"""),"duc748")</f>
        <v>duc748</v>
      </c>
      <c r="B2519" s="170" t="str">
        <f>IFERROR(__xludf.DUMMYFUNCTION("""COMPUTED_VALUE"""),"SF Bay Area")</f>
        <v>SF Bay Area</v>
      </c>
      <c r="C2519" s="170" t="str">
        <f>IFERROR(__xludf.DUMMYFUNCTION("""COMPUTED_VALUE"""),"CA")</f>
        <v>CA</v>
      </c>
      <c r="D2519" s="170" t="str">
        <f>IFERROR(__xludf.DUMMYFUNCTION("""COMPUTED_VALUE"""),"USA")</f>
        <v>USA</v>
      </c>
      <c r="E2519" s="171">
        <f>IFERROR(__xludf.DUMMYFUNCTION("""COMPUTED_VALUE"""),43318.0)</f>
        <v>43318</v>
      </c>
      <c r="F2519" s="172">
        <f>IFERROR(__xludf.DUMMYFUNCTION("""COMPUTED_VALUE"""),43337.0)</f>
        <v>43337</v>
      </c>
      <c r="G2519" s="173"/>
      <c r="H2519" s="174"/>
      <c r="I2519" s="175" t="str">
        <f>IFERROR(__xludf.DUMMYFUNCTION("""COMPUTED_VALUE"""),"08/18")</f>
        <v>08/18</v>
      </c>
      <c r="J2519" s="172">
        <f>IFERROR(__xludf.DUMMYFUNCTION("""COMPUTED_VALUE"""),43339.0)</f>
        <v>43339</v>
      </c>
      <c r="K2519" s="176">
        <f>IFERROR(__xludf.DUMMYFUNCTION("""COMPUTED_VALUE"""),19.0)</f>
        <v>19</v>
      </c>
      <c r="L2519" s="176">
        <f>IFERROR(__xludf.DUMMYFUNCTION("""COMPUTED_VALUE"""),2.0)</f>
        <v>2</v>
      </c>
      <c r="M2519" s="176">
        <f>IFERROR(__xludf.DUMMYFUNCTION("""COMPUTED_VALUE"""),21.0)</f>
        <v>21</v>
      </c>
      <c r="N2519" s="177" t="str">
        <f>IFERROR(__xludf.DUMMYFUNCTION("""COMPUTED_VALUE"""),"Model 3 Performance")</f>
        <v>Model 3 Performance</v>
      </c>
      <c r="O2519" s="177" t="str">
        <f>IFERROR(__xludf.DUMMYFUNCTION("""COMPUTED_VALUE"""),"Midnight Silver Metallic")</f>
        <v>Midnight Silver Metallic</v>
      </c>
      <c r="P2519" s="178" t="str">
        <f>IFERROR(__xludf.DUMMYFUNCTION("""COMPUTED_VALUE"""),"20 inch Sport")</f>
        <v>20 inch Sport</v>
      </c>
      <c r="Q2519" s="177" t="str">
        <f>IFERROR(__xludf.DUMMYFUNCTION("""COMPUTED_VALUE"""),"Black seats")</f>
        <v>Black seats</v>
      </c>
      <c r="R2519" s="170" t="str">
        <f>IFERROR(__xludf.DUMMYFUNCTION("""COMPUTED_VALUE"""),"Full Self-Driving")</f>
        <v>Full Self-Driving</v>
      </c>
      <c r="S2519" s="170"/>
      <c r="T2519" s="179"/>
      <c r="U2519" s="179"/>
      <c r="V2519" s="179"/>
      <c r="W2519" s="180"/>
      <c r="X2519" s="181" t="str">
        <f>IFERROR(__xludf.DUMMYFUNCTION("""COMPUTED_VALUE"""),"Very Good")</f>
        <v>Very Good</v>
      </c>
      <c r="Y2519" s="182" t="str">
        <f>IFERROR(__xludf.DUMMYFUNCTION("""COMPUTED_VALUE"""),"Excellent")</f>
        <v>Excellent</v>
      </c>
      <c r="Z2519" s="182" t="str">
        <f>IFERROR(__xludf.DUMMYFUNCTION("""COMPUTED_VALUE"""),"Very Good")</f>
        <v>Very Good</v>
      </c>
      <c r="AA2519" s="182" t="str">
        <f>IFERROR(__xludf.DUMMYFUNCTION("""COMPUTED_VALUE"""),"Excellent")</f>
        <v>Excellent</v>
      </c>
      <c r="AB2519" s="182" t="str">
        <f>IFERROR(__xludf.DUMMYFUNCTION("""COMPUTED_VALUE"""),"Very Good")</f>
        <v>Very Good</v>
      </c>
      <c r="AC2519" s="183">
        <f>IFERROR(__xludf.DUMMYFUNCTION("""COMPUTED_VALUE"""),2.0)</f>
        <v>2</v>
      </c>
      <c r="AD2519" s="183"/>
      <c r="AE2519" s="183"/>
      <c r="AF2519" s="184"/>
      <c r="AG2519" s="180"/>
      <c r="AH2519" s="185">
        <f>IFERROR(__xludf.DUMMYFUNCTION("""COMPUTED_VALUE"""),43340.607242314814)</f>
        <v>43340.60724</v>
      </c>
      <c r="AI2519" s="182"/>
      <c r="AJ2519" s="182"/>
      <c r="AK2519" s="182"/>
      <c r="AL2519" s="182"/>
    </row>
    <row r="2520" ht="20.25" customHeight="1">
      <c r="A2520" s="169" t="str">
        <f>IFERROR(__xludf.DUMMYFUNCTION("""COMPUTED_VALUE"""),"mym3")</f>
        <v>mym3</v>
      </c>
      <c r="B2520" s="170" t="str">
        <f>IFERROR(__xludf.DUMMYFUNCTION("""COMPUTED_VALUE"""),"Phoenixville")</f>
        <v>Phoenixville</v>
      </c>
      <c r="C2520" s="170" t="str">
        <f>IFERROR(__xludf.DUMMYFUNCTION("""COMPUTED_VALUE"""),"PA")</f>
        <v>PA</v>
      </c>
      <c r="D2520" s="170" t="str">
        <f>IFERROR(__xludf.DUMMYFUNCTION("""COMPUTED_VALUE"""),"USA")</f>
        <v>USA</v>
      </c>
      <c r="E2520" s="171">
        <f>IFERROR(__xludf.DUMMYFUNCTION("""COMPUTED_VALUE"""),43318.0)</f>
        <v>43318</v>
      </c>
      <c r="F2520" s="172">
        <f>IFERROR(__xludf.DUMMYFUNCTION("""COMPUTED_VALUE"""),43373.0)</f>
        <v>43373</v>
      </c>
      <c r="G2520" s="173"/>
      <c r="H2520" s="174">
        <f>IFERROR(__xludf.DUMMYFUNCTION("""COMPUTED_VALUE"""),97455.0)</f>
        <v>97455</v>
      </c>
      <c r="I2520" s="175" t="str">
        <f>IFERROR(__xludf.DUMMYFUNCTION("""COMPUTED_VALUE"""),"08/18")</f>
        <v>08/18</v>
      </c>
      <c r="J2520" s="172">
        <f>IFERROR(__xludf.DUMMYFUNCTION("""COMPUTED_VALUE"""),43375.0)</f>
        <v>43375</v>
      </c>
      <c r="K2520" s="176">
        <f>IFERROR(__xludf.DUMMYFUNCTION("""COMPUTED_VALUE"""),55.0)</f>
        <v>55</v>
      </c>
      <c r="L2520" s="176">
        <f>IFERROR(__xludf.DUMMYFUNCTION("""COMPUTED_VALUE"""),2.0)</f>
        <v>2</v>
      </c>
      <c r="M2520" s="176">
        <f>IFERROR(__xludf.DUMMYFUNCTION("""COMPUTED_VALUE"""),57.0)</f>
        <v>57</v>
      </c>
      <c r="N2520" s="177" t="str">
        <f>IFERROR(__xludf.DUMMYFUNCTION("""COMPUTED_VALUE"""),"Model 3 LR AWD")</f>
        <v>Model 3 LR AWD</v>
      </c>
      <c r="O2520" s="177" t="str">
        <f>IFERROR(__xludf.DUMMYFUNCTION("""COMPUTED_VALUE"""),"Red Multi-Coat")</f>
        <v>Red Multi-Coat</v>
      </c>
      <c r="P2520" s="178" t="str">
        <f>IFERROR(__xludf.DUMMYFUNCTION("""COMPUTED_VALUE"""),"19 inch Sport")</f>
        <v>19 inch Sport</v>
      </c>
      <c r="Q2520" s="177" t="str">
        <f>IFERROR(__xludf.DUMMYFUNCTION("""COMPUTED_VALUE"""),"White seats")</f>
        <v>White seats</v>
      </c>
      <c r="R2520" s="170" t="str">
        <f>IFERROR(__xludf.DUMMYFUNCTION("""COMPUTED_VALUE"""),"Enhanced Autopilot")</f>
        <v>Enhanced Autopilot</v>
      </c>
      <c r="S2520" s="170"/>
      <c r="T2520" s="179"/>
      <c r="U2520" s="179"/>
      <c r="V2520" s="179"/>
      <c r="W2520" s="180"/>
      <c r="X2520" s="181" t="str">
        <f>IFERROR(__xludf.DUMMYFUNCTION("""COMPUTED_VALUE"""),"Very Good")</f>
        <v>Very Good</v>
      </c>
      <c r="Y2520" s="182" t="str">
        <f>IFERROR(__xludf.DUMMYFUNCTION("""COMPUTED_VALUE"""),"Very Good")</f>
        <v>Very Good</v>
      </c>
      <c r="Z2520" s="182" t="str">
        <f>IFERROR(__xludf.DUMMYFUNCTION("""COMPUTED_VALUE"""),"Fair")</f>
        <v>Fair</v>
      </c>
      <c r="AA2520" s="182" t="str">
        <f>IFERROR(__xludf.DUMMYFUNCTION("""COMPUTED_VALUE"""),"Poor")</f>
        <v>Poor</v>
      </c>
      <c r="AB2520" s="182" t="str">
        <f>IFERROR(__xludf.DUMMYFUNCTION("""COMPUTED_VALUE"""),"Fair")</f>
        <v>Fair</v>
      </c>
      <c r="AC2520" s="183">
        <f>IFERROR(__xludf.DUMMYFUNCTION("""COMPUTED_VALUE"""),2.0)</f>
        <v>2</v>
      </c>
      <c r="AD2520" s="183">
        <f>IFERROR(__xludf.DUMMYFUNCTION("""COMPUTED_VALUE"""),1.0)</f>
        <v>1</v>
      </c>
      <c r="AE2520" s="183">
        <f>IFERROR(__xludf.DUMMYFUNCTION("""COMPUTED_VALUE"""),1.0)</f>
        <v>1</v>
      </c>
      <c r="AF2520" s="184"/>
      <c r="AG2520" s="180"/>
      <c r="AH2520" s="185">
        <f>IFERROR(__xludf.DUMMYFUNCTION("""COMPUTED_VALUE"""),43377.69205770834)</f>
        <v>43377.69206</v>
      </c>
      <c r="AI2520" s="182"/>
      <c r="AJ2520" s="182"/>
      <c r="AK2520" s="182"/>
      <c r="AL2520" s="182"/>
    </row>
    <row r="2521" ht="20.25" customHeight="1">
      <c r="A2521" s="169" t="str">
        <f>IFERROR(__xludf.DUMMYFUNCTION("""COMPUTED_VALUE"""),"pdr")</f>
        <v>pdr</v>
      </c>
      <c r="B2521" s="170" t="str">
        <f>IFERROR(__xludf.DUMMYFUNCTION("""COMPUTED_VALUE"""),"San Francisco")</f>
        <v>San Francisco</v>
      </c>
      <c r="C2521" s="170" t="str">
        <f>IFERROR(__xludf.DUMMYFUNCTION("""COMPUTED_VALUE"""),"CA")</f>
        <v>CA</v>
      </c>
      <c r="D2521" s="170" t="str">
        <f>IFERROR(__xludf.DUMMYFUNCTION("""COMPUTED_VALUE"""),"USA")</f>
        <v>USA</v>
      </c>
      <c r="E2521" s="171">
        <f>IFERROR(__xludf.DUMMYFUNCTION("""COMPUTED_VALUE"""),43318.0)</f>
        <v>43318</v>
      </c>
      <c r="F2521" s="172">
        <f>IFERROR(__xludf.DUMMYFUNCTION("""COMPUTED_VALUE"""),43366.0)</f>
        <v>43366</v>
      </c>
      <c r="G2521" s="173"/>
      <c r="H2521" s="174">
        <f>IFERROR(__xludf.DUMMYFUNCTION("""COMPUTED_VALUE"""),115955.0)</f>
        <v>115955</v>
      </c>
      <c r="I2521" s="175" t="str">
        <f>IFERROR(__xludf.DUMMYFUNCTION("""COMPUTED_VALUE"""),"09/18")</f>
        <v>09/18</v>
      </c>
      <c r="J2521" s="172">
        <f>IFERROR(__xludf.DUMMYFUNCTION("""COMPUTED_VALUE"""),43371.0)</f>
        <v>43371</v>
      </c>
      <c r="K2521" s="176">
        <f>IFERROR(__xludf.DUMMYFUNCTION("""COMPUTED_VALUE"""),48.0)</f>
        <v>48</v>
      </c>
      <c r="L2521" s="176">
        <f>IFERROR(__xludf.DUMMYFUNCTION("""COMPUTED_VALUE"""),5.0)</f>
        <v>5</v>
      </c>
      <c r="M2521" s="176">
        <f>IFERROR(__xludf.DUMMYFUNCTION("""COMPUTED_VALUE"""),53.0)</f>
        <v>53</v>
      </c>
      <c r="N2521" s="177" t="str">
        <f>IFERROR(__xludf.DUMMYFUNCTION("""COMPUTED_VALUE"""),"Model 3 LR AWD")</f>
        <v>Model 3 LR AWD</v>
      </c>
      <c r="O2521" s="177" t="str">
        <f>IFERROR(__xludf.DUMMYFUNCTION("""COMPUTED_VALUE"""),"Deep Blue Metallic")</f>
        <v>Deep Blue Metallic</v>
      </c>
      <c r="P2521" s="178" t="str">
        <f>IFERROR(__xludf.DUMMYFUNCTION("""COMPUTED_VALUE"""),"19 inch Sport")</f>
        <v>19 inch Sport</v>
      </c>
      <c r="Q2521" s="177" t="str">
        <f>IFERROR(__xludf.DUMMYFUNCTION("""COMPUTED_VALUE"""),"Black seats")</f>
        <v>Black seats</v>
      </c>
      <c r="R2521" s="170" t="str">
        <f>IFERROR(__xludf.DUMMYFUNCTION("""COMPUTED_VALUE"""),"None")</f>
        <v>None</v>
      </c>
      <c r="S2521" s="170"/>
      <c r="T2521" s="179"/>
      <c r="U2521" s="179"/>
      <c r="V2521" s="179"/>
      <c r="W2521" s="180"/>
      <c r="X2521" s="181" t="str">
        <f>IFERROR(__xludf.DUMMYFUNCTION("""COMPUTED_VALUE"""),"Good")</f>
        <v>Good</v>
      </c>
      <c r="Y2521" s="182" t="str">
        <f>IFERROR(__xludf.DUMMYFUNCTION("""COMPUTED_VALUE"""),"Very Good")</f>
        <v>Very Good</v>
      </c>
      <c r="Z2521" s="182" t="str">
        <f>IFERROR(__xludf.DUMMYFUNCTION("""COMPUTED_VALUE"""),"Very Good")</f>
        <v>Very Good</v>
      </c>
      <c r="AA2521" s="182" t="str">
        <f>IFERROR(__xludf.DUMMYFUNCTION("""COMPUTED_VALUE"""),"Good")</f>
        <v>Good</v>
      </c>
      <c r="AB2521" s="182" t="str">
        <f>IFERROR(__xludf.DUMMYFUNCTION("""COMPUTED_VALUE"""),"Very Good")</f>
        <v>Very Good</v>
      </c>
      <c r="AC2521" s="183"/>
      <c r="AD2521" s="183"/>
      <c r="AE2521" s="183"/>
      <c r="AF2521" s="184"/>
      <c r="AG2521" s="180"/>
      <c r="AH2521" s="185">
        <f>IFERROR(__xludf.DUMMYFUNCTION("""COMPUTED_VALUE"""),43374.28025613426)</f>
        <v>43374.28026</v>
      </c>
      <c r="AI2521" s="182"/>
      <c r="AJ2521" s="182"/>
      <c r="AK2521" s="182"/>
      <c r="AL2521" s="182"/>
    </row>
    <row r="2522" ht="20.25" customHeight="1">
      <c r="A2522" s="169" t="str">
        <f>IFERROR(__xludf.DUMMYFUNCTION("""COMPUTED_VALUE"""),"SG")</f>
        <v>SG</v>
      </c>
      <c r="B2522" s="170" t="str">
        <f>IFERROR(__xludf.DUMMYFUNCTION("""COMPUTED_VALUE"""),"Mt. Pleasant")</f>
        <v>Mt. Pleasant</v>
      </c>
      <c r="C2522" s="170" t="str">
        <f>IFERROR(__xludf.DUMMYFUNCTION("""COMPUTED_VALUE"""),"SC")</f>
        <v>SC</v>
      </c>
      <c r="D2522" s="170" t="str">
        <f>IFERROR(__xludf.DUMMYFUNCTION("""COMPUTED_VALUE"""),"USA")</f>
        <v>USA</v>
      </c>
      <c r="E2522" s="171">
        <f>IFERROR(__xludf.DUMMYFUNCTION("""COMPUTED_VALUE"""),43318.0)</f>
        <v>43318</v>
      </c>
      <c r="F2522" s="172">
        <f>IFERROR(__xludf.DUMMYFUNCTION("""COMPUTED_VALUE"""),43341.0)</f>
        <v>43341</v>
      </c>
      <c r="G2522" s="173"/>
      <c r="H2522" s="174">
        <f>IFERROR(__xludf.DUMMYFUNCTION("""COMPUTED_VALUE"""),99391.0)</f>
        <v>99391</v>
      </c>
      <c r="I2522" s="175"/>
      <c r="J2522" s="172">
        <f>IFERROR(__xludf.DUMMYFUNCTION("""COMPUTED_VALUE"""),43363.0)</f>
        <v>43363</v>
      </c>
      <c r="K2522" s="176">
        <f>IFERROR(__xludf.DUMMYFUNCTION("""COMPUTED_VALUE"""),23.0)</f>
        <v>23</v>
      </c>
      <c r="L2522" s="176">
        <f>IFERROR(__xludf.DUMMYFUNCTION("""COMPUTED_VALUE"""),22.0)</f>
        <v>22</v>
      </c>
      <c r="M2522" s="176">
        <f>IFERROR(__xludf.DUMMYFUNCTION("""COMPUTED_VALUE"""),45.0)</f>
        <v>45</v>
      </c>
      <c r="N2522" s="177" t="str">
        <f>IFERROR(__xludf.DUMMYFUNCTION("""COMPUTED_VALUE"""),"Model 3 LR AWD")</f>
        <v>Model 3 LR AWD</v>
      </c>
      <c r="O2522" s="177" t="str">
        <f>IFERROR(__xludf.DUMMYFUNCTION("""COMPUTED_VALUE"""),"Midnight Silver Metallic")</f>
        <v>Midnight Silver Metallic</v>
      </c>
      <c r="P2522" s="178" t="str">
        <f>IFERROR(__xludf.DUMMYFUNCTION("""COMPUTED_VALUE"""),"18 inch Aero")</f>
        <v>18 inch Aero</v>
      </c>
      <c r="Q2522" s="177" t="str">
        <f>IFERROR(__xludf.DUMMYFUNCTION("""COMPUTED_VALUE"""),"White seats")</f>
        <v>White seats</v>
      </c>
      <c r="R2522" s="170" t="str">
        <f>IFERROR(__xludf.DUMMYFUNCTION("""COMPUTED_VALUE"""),"Enhanced Autopilot")</f>
        <v>Enhanced Autopilot</v>
      </c>
      <c r="S2522" s="170"/>
      <c r="T2522" s="179"/>
      <c r="U2522" s="179"/>
      <c r="V2522" s="179"/>
      <c r="W2522" s="180"/>
      <c r="X2522" s="181" t="str">
        <f>IFERROR(__xludf.DUMMYFUNCTION("""COMPUTED_VALUE"""),"Very Good")</f>
        <v>Very Good</v>
      </c>
      <c r="Y2522" s="182" t="str">
        <f>IFERROR(__xludf.DUMMYFUNCTION("""COMPUTED_VALUE"""),"Very Good")</f>
        <v>Very Good</v>
      </c>
      <c r="Z2522" s="182" t="str">
        <f>IFERROR(__xludf.DUMMYFUNCTION("""COMPUTED_VALUE"""),"Very Good")</f>
        <v>Very Good</v>
      </c>
      <c r="AA2522" s="182" t="str">
        <f>IFERROR(__xludf.DUMMYFUNCTION("""COMPUTED_VALUE"""),"Very Good")</f>
        <v>Very Good</v>
      </c>
      <c r="AB2522" s="182" t="str">
        <f>IFERROR(__xludf.DUMMYFUNCTION("""COMPUTED_VALUE"""),"Good")</f>
        <v>Good</v>
      </c>
      <c r="AC2522" s="183"/>
      <c r="AD2522" s="183"/>
      <c r="AE2522" s="183"/>
      <c r="AF2522" s="184"/>
      <c r="AG2522" s="180"/>
      <c r="AH2522" s="185">
        <f>IFERROR(__xludf.DUMMYFUNCTION("""COMPUTED_VALUE"""),43364.45005462963)</f>
        <v>43364.45005</v>
      </c>
      <c r="AI2522" s="182"/>
      <c r="AJ2522" s="182"/>
      <c r="AK2522" s="182"/>
      <c r="AL2522" s="182"/>
    </row>
    <row r="2523" ht="20.25" customHeight="1">
      <c r="A2523" s="169" t="str">
        <f>IFERROR(__xludf.DUMMYFUNCTION("""COMPUTED_VALUE"""),"aces")</f>
        <v>aces</v>
      </c>
      <c r="B2523" s="170" t="str">
        <f>IFERROR(__xludf.DUMMYFUNCTION("""COMPUTED_VALUE"""),"Vancouver")</f>
        <v>Vancouver</v>
      </c>
      <c r="C2523" s="170" t="str">
        <f>IFERROR(__xludf.DUMMYFUNCTION("""COMPUTED_VALUE"""),"BC")</f>
        <v>BC</v>
      </c>
      <c r="D2523" s="170" t="str">
        <f>IFERROR(__xludf.DUMMYFUNCTION("""COMPUTED_VALUE"""),"Canada")</f>
        <v>Canada</v>
      </c>
      <c r="E2523" s="171">
        <f>IFERROR(__xludf.DUMMYFUNCTION("""COMPUTED_VALUE"""),43317.0)</f>
        <v>43317</v>
      </c>
      <c r="F2523" s="172">
        <f>IFERROR(__xludf.DUMMYFUNCTION("""COMPUTED_VALUE"""),43362.0)</f>
        <v>43362</v>
      </c>
      <c r="G2523" s="173"/>
      <c r="H2523" s="174">
        <f>IFERROR(__xludf.DUMMYFUNCTION("""COMPUTED_VALUE"""),109755.0)</f>
        <v>109755</v>
      </c>
      <c r="I2523" s="175" t="str">
        <f>IFERROR(__xludf.DUMMYFUNCTION("""COMPUTED_VALUE"""),"09/18")</f>
        <v>09/18</v>
      </c>
      <c r="J2523" s="172">
        <f>IFERROR(__xludf.DUMMYFUNCTION("""COMPUTED_VALUE"""),43368.0)</f>
        <v>43368</v>
      </c>
      <c r="K2523" s="176">
        <f>IFERROR(__xludf.DUMMYFUNCTION("""COMPUTED_VALUE"""),45.0)</f>
        <v>45</v>
      </c>
      <c r="L2523" s="176">
        <f>IFERROR(__xludf.DUMMYFUNCTION("""COMPUTED_VALUE"""),6.0)</f>
        <v>6</v>
      </c>
      <c r="M2523" s="176">
        <f>IFERROR(__xludf.DUMMYFUNCTION("""COMPUTED_VALUE"""),51.0)</f>
        <v>51</v>
      </c>
      <c r="N2523" s="177" t="str">
        <f>IFERROR(__xludf.DUMMYFUNCTION("""COMPUTED_VALUE"""),"Model 3 LR AWD")</f>
        <v>Model 3 LR AWD</v>
      </c>
      <c r="O2523" s="177" t="str">
        <f>IFERROR(__xludf.DUMMYFUNCTION("""COMPUTED_VALUE"""),"Deep Blue Metallic")</f>
        <v>Deep Blue Metallic</v>
      </c>
      <c r="P2523" s="178" t="str">
        <f>IFERROR(__xludf.DUMMYFUNCTION("""COMPUTED_VALUE"""),"18 inch Aero")</f>
        <v>18 inch Aero</v>
      </c>
      <c r="Q2523" s="177" t="str">
        <f>IFERROR(__xludf.DUMMYFUNCTION("""COMPUTED_VALUE"""),"Black seats")</f>
        <v>Black seats</v>
      </c>
      <c r="R2523" s="170" t="str">
        <f>IFERROR(__xludf.DUMMYFUNCTION("""COMPUTED_VALUE"""),"None")</f>
        <v>None</v>
      </c>
      <c r="S2523" s="170"/>
      <c r="T2523" s="179"/>
      <c r="U2523" s="179"/>
      <c r="V2523" s="179"/>
      <c r="W2523" s="180"/>
      <c r="X2523" s="181" t="str">
        <f>IFERROR(__xludf.DUMMYFUNCTION("""COMPUTED_VALUE"""),"Excellent")</f>
        <v>Excellent</v>
      </c>
      <c r="Y2523" s="182" t="str">
        <f>IFERROR(__xludf.DUMMYFUNCTION("""COMPUTED_VALUE"""),"Excellent")</f>
        <v>Excellent</v>
      </c>
      <c r="Z2523" s="182" t="str">
        <f>IFERROR(__xludf.DUMMYFUNCTION("""COMPUTED_VALUE"""),"Excellent")</f>
        <v>Excellent</v>
      </c>
      <c r="AA2523" s="182" t="str">
        <f>IFERROR(__xludf.DUMMYFUNCTION("""COMPUTED_VALUE"""),"Good")</f>
        <v>Good</v>
      </c>
      <c r="AB2523" s="182" t="str">
        <f>IFERROR(__xludf.DUMMYFUNCTION("""COMPUTED_VALUE"""),"Very Good")</f>
        <v>Very Good</v>
      </c>
      <c r="AC2523" s="183"/>
      <c r="AD2523" s="183"/>
      <c r="AE2523" s="183"/>
      <c r="AF2523" s="184"/>
      <c r="AG2523" s="180"/>
      <c r="AH2523" s="185">
        <f>IFERROR(__xludf.DUMMYFUNCTION("""COMPUTED_VALUE"""),43368.906722685184)</f>
        <v>43368.90672</v>
      </c>
      <c r="AI2523" s="182"/>
      <c r="AJ2523" s="182"/>
      <c r="AK2523" s="182"/>
      <c r="AL2523" s="182"/>
    </row>
    <row r="2524" ht="20.25" customHeight="1">
      <c r="A2524" s="169" t="str">
        <f>IFERROR(__xludf.DUMMYFUNCTION("""COMPUTED_VALUE"""),"crashd0g")</f>
        <v>crashd0g</v>
      </c>
      <c r="B2524" s="170"/>
      <c r="C2524" s="170" t="str">
        <f>IFERROR(__xludf.DUMMYFUNCTION("""COMPUTED_VALUE"""),"FL")</f>
        <v>FL</v>
      </c>
      <c r="D2524" s="170" t="str">
        <f>IFERROR(__xludf.DUMMYFUNCTION("""COMPUTED_VALUE"""),"USA")</f>
        <v>USA</v>
      </c>
      <c r="E2524" s="171">
        <f>IFERROR(__xludf.DUMMYFUNCTION("""COMPUTED_VALUE"""),43317.0)</f>
        <v>43317</v>
      </c>
      <c r="F2524" s="172">
        <f>IFERROR(__xludf.DUMMYFUNCTION("""COMPUTED_VALUE"""),43339.0)</f>
        <v>43339</v>
      </c>
      <c r="G2524" s="173"/>
      <c r="H2524" s="174">
        <f>IFERROR(__xludf.DUMMYFUNCTION("""COMPUTED_VALUE"""),56620.0)</f>
        <v>56620</v>
      </c>
      <c r="I2524" s="175" t="str">
        <f>IFERROR(__xludf.DUMMYFUNCTION("""COMPUTED_VALUE"""),"08/18")</f>
        <v>08/18</v>
      </c>
      <c r="J2524" s="172">
        <f>IFERROR(__xludf.DUMMYFUNCTION("""COMPUTED_VALUE"""),43351.0)</f>
        <v>43351</v>
      </c>
      <c r="K2524" s="176">
        <f>IFERROR(__xludf.DUMMYFUNCTION("""COMPUTED_VALUE"""),22.0)</f>
        <v>22</v>
      </c>
      <c r="L2524" s="176">
        <f>IFERROR(__xludf.DUMMYFUNCTION("""COMPUTED_VALUE"""),12.0)</f>
        <v>12</v>
      </c>
      <c r="M2524" s="176">
        <f>IFERROR(__xludf.DUMMYFUNCTION("""COMPUTED_VALUE"""),34.0)</f>
        <v>34</v>
      </c>
      <c r="N2524" s="177" t="str">
        <f>IFERROR(__xludf.DUMMYFUNCTION("""COMPUTED_VALUE"""),"Model 3 LR")</f>
        <v>Model 3 LR</v>
      </c>
      <c r="O2524" s="177" t="str">
        <f>IFERROR(__xludf.DUMMYFUNCTION("""COMPUTED_VALUE"""),"Solid Black")</f>
        <v>Solid Black</v>
      </c>
      <c r="P2524" s="178" t="str">
        <f>IFERROR(__xludf.DUMMYFUNCTION("""COMPUTED_VALUE"""),"18 inch Aero")</f>
        <v>18 inch Aero</v>
      </c>
      <c r="Q2524" s="177" t="str">
        <f>IFERROR(__xludf.DUMMYFUNCTION("""COMPUTED_VALUE"""),"Black seats")</f>
        <v>Black seats</v>
      </c>
      <c r="R2524" s="170" t="str">
        <f>IFERROR(__xludf.DUMMYFUNCTION("""COMPUTED_VALUE"""),"None")</f>
        <v>None</v>
      </c>
      <c r="S2524" s="170"/>
      <c r="T2524" s="179"/>
      <c r="U2524" s="179"/>
      <c r="V2524" s="179"/>
      <c r="W2524" s="180"/>
      <c r="X2524" s="181" t="str">
        <f>IFERROR(__xludf.DUMMYFUNCTION("""COMPUTED_VALUE"""),"Excellent")</f>
        <v>Excellent</v>
      </c>
      <c r="Y2524" s="182" t="str">
        <f>IFERROR(__xludf.DUMMYFUNCTION("""COMPUTED_VALUE"""),"Excellent")</f>
        <v>Excellent</v>
      </c>
      <c r="Z2524" s="182" t="str">
        <f>IFERROR(__xludf.DUMMYFUNCTION("""COMPUTED_VALUE"""),"Excellent")</f>
        <v>Excellent</v>
      </c>
      <c r="AA2524" s="182" t="str">
        <f>IFERROR(__xludf.DUMMYFUNCTION("""COMPUTED_VALUE"""),"Excellent")</f>
        <v>Excellent</v>
      </c>
      <c r="AB2524" s="182" t="str">
        <f>IFERROR(__xludf.DUMMYFUNCTION("""COMPUTED_VALUE"""),"Excellent")</f>
        <v>Excellent</v>
      </c>
      <c r="AC2524" s="183">
        <f>IFERROR(__xludf.DUMMYFUNCTION("""COMPUTED_VALUE"""),0.0)</f>
        <v>0</v>
      </c>
      <c r="AD2524" s="183">
        <f>IFERROR(__xludf.DUMMYFUNCTION("""COMPUTED_VALUE"""),0.0)</f>
        <v>0</v>
      </c>
      <c r="AE2524" s="183"/>
      <c r="AF2524" s="184"/>
      <c r="AG2524" s="180"/>
      <c r="AH2524" s="185">
        <f>IFERROR(__xludf.DUMMYFUNCTION("""COMPUTED_VALUE"""),43356.35673675926)</f>
        <v>43356.35674</v>
      </c>
      <c r="AI2524" s="182"/>
      <c r="AJ2524" s="182"/>
      <c r="AK2524" s="182"/>
      <c r="AL2524" s="182"/>
    </row>
    <row r="2525" ht="20.25" customHeight="1">
      <c r="A2525" s="169" t="str">
        <f>IFERROR(__xludf.DUMMYFUNCTION("""COMPUTED_VALUE"""),"django")</f>
        <v>django</v>
      </c>
      <c r="B2525" s="170" t="str">
        <f>IFERROR(__xludf.DUMMYFUNCTION("""COMPUTED_VALUE"""),"Pittsburgh")</f>
        <v>Pittsburgh</v>
      </c>
      <c r="C2525" s="170" t="str">
        <f>IFERROR(__xludf.DUMMYFUNCTION("""COMPUTED_VALUE"""),"PA")</f>
        <v>PA</v>
      </c>
      <c r="D2525" s="170" t="str">
        <f>IFERROR(__xludf.DUMMYFUNCTION("""COMPUTED_VALUE"""),"USA")</f>
        <v>USA</v>
      </c>
      <c r="E2525" s="171">
        <f>IFERROR(__xludf.DUMMYFUNCTION("""COMPUTED_VALUE"""),43317.0)</f>
        <v>43317</v>
      </c>
      <c r="F2525" s="172">
        <f>IFERROR(__xludf.DUMMYFUNCTION("""COMPUTED_VALUE"""),43390.0)</f>
        <v>43390</v>
      </c>
      <c r="G2525" s="173"/>
      <c r="H2525" s="174">
        <f>IFERROR(__xludf.DUMMYFUNCTION("""COMPUTED_VALUE"""),89655.0)</f>
        <v>89655</v>
      </c>
      <c r="I2525" s="175"/>
      <c r="J2525" s="172">
        <f>IFERROR(__xludf.DUMMYFUNCTION("""COMPUTED_VALUE"""),43400.0)</f>
        <v>43400</v>
      </c>
      <c r="K2525" s="176">
        <f>IFERROR(__xludf.DUMMYFUNCTION("""COMPUTED_VALUE"""),73.0)</f>
        <v>73</v>
      </c>
      <c r="L2525" s="176">
        <f>IFERROR(__xludf.DUMMYFUNCTION("""COMPUTED_VALUE"""),10.0)</f>
        <v>10</v>
      </c>
      <c r="M2525" s="176">
        <f>IFERROR(__xludf.DUMMYFUNCTION("""COMPUTED_VALUE"""),83.0)</f>
        <v>83</v>
      </c>
      <c r="N2525" s="177" t="str">
        <f>IFERROR(__xludf.DUMMYFUNCTION("""COMPUTED_VALUE"""),"Model 3 LR AWD")</f>
        <v>Model 3 LR AWD</v>
      </c>
      <c r="O2525" s="177" t="str">
        <f>IFERROR(__xludf.DUMMYFUNCTION("""COMPUTED_VALUE"""),"Midnight Silver Metallic")</f>
        <v>Midnight Silver Metallic</v>
      </c>
      <c r="P2525" s="178" t="str">
        <f>IFERROR(__xludf.DUMMYFUNCTION("""COMPUTED_VALUE"""),"18 inch Aero")</f>
        <v>18 inch Aero</v>
      </c>
      <c r="Q2525" s="177" t="str">
        <f>IFERROR(__xludf.DUMMYFUNCTION("""COMPUTED_VALUE"""),"Black seats")</f>
        <v>Black seats</v>
      </c>
      <c r="R2525" s="170" t="str">
        <f>IFERROR(__xludf.DUMMYFUNCTION("""COMPUTED_VALUE"""),"Enhanced Autopilot")</f>
        <v>Enhanced Autopilot</v>
      </c>
      <c r="S2525" s="170"/>
      <c r="T2525" s="179"/>
      <c r="U2525" s="179"/>
      <c r="V2525" s="179"/>
      <c r="W2525" s="180"/>
      <c r="X2525" s="181" t="str">
        <f>IFERROR(__xludf.DUMMYFUNCTION("""COMPUTED_VALUE"""),"Excellent")</f>
        <v>Excellent</v>
      </c>
      <c r="Y2525" s="182" t="str">
        <f>IFERROR(__xludf.DUMMYFUNCTION("""COMPUTED_VALUE"""),"Excellent")</f>
        <v>Excellent</v>
      </c>
      <c r="Z2525" s="182" t="str">
        <f>IFERROR(__xludf.DUMMYFUNCTION("""COMPUTED_VALUE"""),"Excellent")</f>
        <v>Excellent</v>
      </c>
      <c r="AA2525" s="182" t="str">
        <f>IFERROR(__xludf.DUMMYFUNCTION("""COMPUTED_VALUE"""),"Fair")</f>
        <v>Fair</v>
      </c>
      <c r="AB2525" s="182" t="str">
        <f>IFERROR(__xludf.DUMMYFUNCTION("""COMPUTED_VALUE"""),"Excellent")</f>
        <v>Excellent</v>
      </c>
      <c r="AC2525" s="183">
        <f>IFERROR(__xludf.DUMMYFUNCTION("""COMPUTED_VALUE"""),0.0)</f>
        <v>0</v>
      </c>
      <c r="AD2525" s="183"/>
      <c r="AE2525" s="183"/>
      <c r="AF2525" s="184"/>
      <c r="AG2525" s="180"/>
      <c r="AH2525" s="185">
        <f>IFERROR(__xludf.DUMMYFUNCTION("""COMPUTED_VALUE"""),43403.35044785879)</f>
        <v>43403.35045</v>
      </c>
      <c r="AI2525" s="182"/>
      <c r="AJ2525" s="182"/>
      <c r="AK2525" s="182"/>
      <c r="AL2525" s="182"/>
    </row>
    <row r="2526" ht="20.25" customHeight="1">
      <c r="A2526" s="169" t="str">
        <f>IFERROR(__xludf.DUMMYFUNCTION("""COMPUTED_VALUE"""),"fourteenfour")</f>
        <v>fourteenfour</v>
      </c>
      <c r="B2526" s="170" t="str">
        <f>IFERROR(__xludf.DUMMYFUNCTION("""COMPUTED_VALUE"""),"Dallas")</f>
        <v>Dallas</v>
      </c>
      <c r="C2526" s="170" t="str">
        <f>IFERROR(__xludf.DUMMYFUNCTION("""COMPUTED_VALUE"""),"GA")</f>
        <v>GA</v>
      </c>
      <c r="D2526" s="170" t="str">
        <f>IFERROR(__xludf.DUMMYFUNCTION("""COMPUTED_VALUE"""),"USA")</f>
        <v>USA</v>
      </c>
      <c r="E2526" s="171">
        <f>IFERROR(__xludf.DUMMYFUNCTION("""COMPUTED_VALUE"""),43317.0)</f>
        <v>43317</v>
      </c>
      <c r="F2526" s="172">
        <f>IFERROR(__xludf.DUMMYFUNCTION("""COMPUTED_VALUE"""),43313.0)</f>
        <v>43313</v>
      </c>
      <c r="G2526" s="173"/>
      <c r="H2526" s="174">
        <f>IFERROR(__xludf.DUMMYFUNCTION("""COMPUTED_VALUE"""),59004.0)</f>
        <v>59004</v>
      </c>
      <c r="I2526" s="175"/>
      <c r="J2526" s="172">
        <f>IFERROR(__xludf.DUMMYFUNCTION("""COMPUTED_VALUE"""),43341.0)</f>
        <v>43341</v>
      </c>
      <c r="K2526" s="176"/>
      <c r="L2526" s="176">
        <f>IFERROR(__xludf.DUMMYFUNCTION("""COMPUTED_VALUE"""),28.0)</f>
        <v>28</v>
      </c>
      <c r="M2526" s="176">
        <f>IFERROR(__xludf.DUMMYFUNCTION("""COMPUTED_VALUE"""),24.0)</f>
        <v>24</v>
      </c>
      <c r="N2526" s="177" t="str">
        <f>IFERROR(__xludf.DUMMYFUNCTION("""COMPUTED_VALUE"""),"Model 3 LR")</f>
        <v>Model 3 LR</v>
      </c>
      <c r="O2526" s="177" t="str">
        <f>IFERROR(__xludf.DUMMYFUNCTION("""COMPUTED_VALUE"""),"Deep Blue Metallic")</f>
        <v>Deep Blue Metallic</v>
      </c>
      <c r="P2526" s="178" t="str">
        <f>IFERROR(__xludf.DUMMYFUNCTION("""COMPUTED_VALUE"""),"18 inch Aero")</f>
        <v>18 inch Aero</v>
      </c>
      <c r="Q2526" s="177" t="str">
        <f>IFERROR(__xludf.DUMMYFUNCTION("""COMPUTED_VALUE"""),"Black seats")</f>
        <v>Black seats</v>
      </c>
      <c r="R2526" s="170" t="str">
        <f>IFERROR(__xludf.DUMMYFUNCTION("""COMPUTED_VALUE"""),"Enhanced Autopilot")</f>
        <v>Enhanced Autopilot</v>
      </c>
      <c r="S2526" s="170"/>
      <c r="T2526" s="179"/>
      <c r="U2526" s="179"/>
      <c r="V2526" s="179"/>
      <c r="W2526" s="180"/>
      <c r="X2526" s="181" t="str">
        <f>IFERROR(__xludf.DUMMYFUNCTION("""COMPUTED_VALUE"""),"Excellent")</f>
        <v>Excellent</v>
      </c>
      <c r="Y2526" s="182" t="str">
        <f>IFERROR(__xludf.DUMMYFUNCTION("""COMPUTED_VALUE"""),"Excellent")</f>
        <v>Excellent</v>
      </c>
      <c r="Z2526" s="182" t="str">
        <f>IFERROR(__xludf.DUMMYFUNCTION("""COMPUTED_VALUE"""),"Excellent")</f>
        <v>Excellent</v>
      </c>
      <c r="AA2526" s="182" t="str">
        <f>IFERROR(__xludf.DUMMYFUNCTION("""COMPUTED_VALUE"""),"Very Good")</f>
        <v>Very Good</v>
      </c>
      <c r="AB2526" s="182" t="str">
        <f>IFERROR(__xludf.DUMMYFUNCTION("""COMPUTED_VALUE"""),"Fair")</f>
        <v>Fair</v>
      </c>
      <c r="AC2526" s="183">
        <f>IFERROR(__xludf.DUMMYFUNCTION("""COMPUTED_VALUE"""),0.0)</f>
        <v>0</v>
      </c>
      <c r="AD2526" s="183">
        <f>IFERROR(__xludf.DUMMYFUNCTION("""COMPUTED_VALUE"""),0.0)</f>
        <v>0</v>
      </c>
      <c r="AE2526" s="183">
        <f>IFERROR(__xludf.DUMMYFUNCTION("""COMPUTED_VALUE"""),0.0)</f>
        <v>0</v>
      </c>
      <c r="AF2526" s="184"/>
      <c r="AG2526" s="180" t="str">
        <f>IFERROR(__xludf.DUMMYFUNCTION("""COMPUTED_VALUE"""),"MVPA had wrong total, almost ended deal")</f>
        <v>MVPA had wrong total, almost ended deal</v>
      </c>
      <c r="AH2526" s="185">
        <f>IFERROR(__xludf.DUMMYFUNCTION("""COMPUTED_VALUE"""),43341.66943722223)</f>
        <v>43341.66944</v>
      </c>
      <c r="AI2526" s="182"/>
      <c r="AJ2526" s="182"/>
      <c r="AK2526" s="182"/>
      <c r="AL2526" s="182"/>
    </row>
    <row r="2527" ht="20.25" customHeight="1">
      <c r="A2527" s="169" t="str">
        <f>IFERROR(__xludf.DUMMYFUNCTION("""COMPUTED_VALUE"""),"Milli")</f>
        <v>Milli</v>
      </c>
      <c r="B2527" s="170" t="str">
        <f>IFERROR(__xludf.DUMMYFUNCTION("""COMPUTED_VALUE"""),"Arlington, VA")</f>
        <v>Arlington, VA</v>
      </c>
      <c r="C2527" s="170" t="str">
        <f>IFERROR(__xludf.DUMMYFUNCTION("""COMPUTED_VALUE"""),"VA")</f>
        <v>VA</v>
      </c>
      <c r="D2527" s="170" t="str">
        <f>IFERROR(__xludf.DUMMYFUNCTION("""COMPUTED_VALUE"""),"USA")</f>
        <v>USA</v>
      </c>
      <c r="E2527" s="171">
        <f>IFERROR(__xludf.DUMMYFUNCTION("""COMPUTED_VALUE"""),43317.0)</f>
        <v>43317</v>
      </c>
      <c r="F2527" s="172">
        <f>IFERROR(__xludf.DUMMYFUNCTION("""COMPUTED_VALUE"""),43372.0)</f>
        <v>43372</v>
      </c>
      <c r="G2527" s="173"/>
      <c r="H2527" s="174">
        <f>IFERROR(__xludf.DUMMYFUNCTION("""COMPUTED_VALUE"""),97765.0)</f>
        <v>97765</v>
      </c>
      <c r="I2527" s="175"/>
      <c r="J2527" s="172">
        <f>IFERROR(__xludf.DUMMYFUNCTION("""COMPUTED_VALUE"""),43372.0)</f>
        <v>43372</v>
      </c>
      <c r="K2527" s="176">
        <f>IFERROR(__xludf.DUMMYFUNCTION("""COMPUTED_VALUE"""),55.0)</f>
        <v>55</v>
      </c>
      <c r="L2527" s="176">
        <f>IFERROR(__xludf.DUMMYFUNCTION("""COMPUTED_VALUE"""),0.0)</f>
        <v>0</v>
      </c>
      <c r="M2527" s="176">
        <f>IFERROR(__xludf.DUMMYFUNCTION("""COMPUTED_VALUE"""),55.0)</f>
        <v>55</v>
      </c>
      <c r="N2527" s="177" t="str">
        <f>IFERROR(__xludf.DUMMYFUNCTION("""COMPUTED_VALUE"""),"Model 3 LR AWD")</f>
        <v>Model 3 LR AWD</v>
      </c>
      <c r="O2527" s="177" t="str">
        <f>IFERROR(__xludf.DUMMYFUNCTION("""COMPUTED_VALUE"""),"Deep Blue Metallic")</f>
        <v>Deep Blue Metallic</v>
      </c>
      <c r="P2527" s="178" t="str">
        <f>IFERROR(__xludf.DUMMYFUNCTION("""COMPUTED_VALUE"""),"19 inch Sport")</f>
        <v>19 inch Sport</v>
      </c>
      <c r="Q2527" s="177" t="str">
        <f>IFERROR(__xludf.DUMMYFUNCTION("""COMPUTED_VALUE"""),"White seats")</f>
        <v>White seats</v>
      </c>
      <c r="R2527" s="170" t="str">
        <f>IFERROR(__xludf.DUMMYFUNCTION("""COMPUTED_VALUE"""),"Enhanced Autopilot")</f>
        <v>Enhanced Autopilot</v>
      </c>
      <c r="S2527" s="170"/>
      <c r="T2527" s="179"/>
      <c r="U2527" s="179"/>
      <c r="V2527" s="179"/>
      <c r="W2527" s="180"/>
      <c r="X2527" s="181" t="str">
        <f>IFERROR(__xludf.DUMMYFUNCTION("""COMPUTED_VALUE"""),"Excellent")</f>
        <v>Excellent</v>
      </c>
      <c r="Y2527" s="182" t="str">
        <f>IFERROR(__xludf.DUMMYFUNCTION("""COMPUTED_VALUE"""),"Excellent")</f>
        <v>Excellent</v>
      </c>
      <c r="Z2527" s="182" t="str">
        <f>IFERROR(__xludf.DUMMYFUNCTION("""COMPUTED_VALUE"""),"Excellent")</f>
        <v>Excellent</v>
      </c>
      <c r="AA2527" s="182" t="str">
        <f>IFERROR(__xludf.DUMMYFUNCTION("""COMPUTED_VALUE"""),"Very Good")</f>
        <v>Very Good</v>
      </c>
      <c r="AB2527" s="182" t="str">
        <f>IFERROR(__xludf.DUMMYFUNCTION("""COMPUTED_VALUE"""),"Excellent")</f>
        <v>Excellent</v>
      </c>
      <c r="AC2527" s="183">
        <f>IFERROR(__xludf.DUMMYFUNCTION("""COMPUTED_VALUE"""),0.0)</f>
        <v>0</v>
      </c>
      <c r="AD2527" s="183">
        <f>IFERROR(__xludf.DUMMYFUNCTION("""COMPUTED_VALUE"""),0.0)</f>
        <v>0</v>
      </c>
      <c r="AE2527" s="183"/>
      <c r="AF2527" s="184"/>
      <c r="AG2527" s="180"/>
      <c r="AH2527" s="185">
        <f>IFERROR(__xludf.DUMMYFUNCTION("""COMPUTED_VALUE"""),43372.82963684028)</f>
        <v>43372.82964</v>
      </c>
      <c r="AI2527" s="182"/>
      <c r="AJ2527" s="182"/>
      <c r="AK2527" s="182"/>
      <c r="AL2527" s="182"/>
    </row>
    <row r="2528" ht="20.25" customHeight="1">
      <c r="A2528" s="169" t="str">
        <f>IFERROR(__xludf.DUMMYFUNCTION("""COMPUTED_VALUE"""),"Randy7fx")</f>
        <v>Randy7fx</v>
      </c>
      <c r="B2528" s="170" t="str">
        <f>IFERROR(__xludf.DUMMYFUNCTION("""COMPUTED_VALUE"""),"Charlotte")</f>
        <v>Charlotte</v>
      </c>
      <c r="C2528" s="170" t="str">
        <f>IFERROR(__xludf.DUMMYFUNCTION("""COMPUTED_VALUE"""),"NC")</f>
        <v>NC</v>
      </c>
      <c r="D2528" s="170" t="str">
        <f>IFERROR(__xludf.DUMMYFUNCTION("""COMPUTED_VALUE"""),"USA")</f>
        <v>USA</v>
      </c>
      <c r="E2528" s="171">
        <f>IFERROR(__xludf.DUMMYFUNCTION("""COMPUTED_VALUE"""),43317.0)</f>
        <v>43317</v>
      </c>
      <c r="F2528" s="172">
        <f>IFERROR(__xludf.DUMMYFUNCTION("""COMPUTED_VALUE"""),43342.0)</f>
        <v>43342</v>
      </c>
      <c r="G2528" s="173"/>
      <c r="H2528" s="174">
        <f>IFERROR(__xludf.DUMMYFUNCTION("""COMPUTED_VALUE"""),99223.0)</f>
        <v>99223</v>
      </c>
      <c r="I2528" s="175" t="str">
        <f>IFERROR(__xludf.DUMMYFUNCTION("""COMPUTED_VALUE"""),"08/18")</f>
        <v>08/18</v>
      </c>
      <c r="J2528" s="172">
        <f>IFERROR(__xludf.DUMMYFUNCTION("""COMPUTED_VALUE"""),43372.0)</f>
        <v>43372</v>
      </c>
      <c r="K2528" s="176">
        <f>IFERROR(__xludf.DUMMYFUNCTION("""COMPUTED_VALUE"""),25.0)</f>
        <v>25</v>
      </c>
      <c r="L2528" s="176">
        <f>IFERROR(__xludf.DUMMYFUNCTION("""COMPUTED_VALUE"""),30.0)</f>
        <v>30</v>
      </c>
      <c r="M2528" s="176">
        <f>IFERROR(__xludf.DUMMYFUNCTION("""COMPUTED_VALUE"""),55.0)</f>
        <v>55</v>
      </c>
      <c r="N2528" s="177" t="str">
        <f>IFERROR(__xludf.DUMMYFUNCTION("""COMPUTED_VALUE"""),"Model 3 Performance")</f>
        <v>Model 3 Performance</v>
      </c>
      <c r="O2528" s="177" t="str">
        <f>IFERROR(__xludf.DUMMYFUNCTION("""COMPUTED_VALUE"""),"Solid Black")</f>
        <v>Solid Black</v>
      </c>
      <c r="P2528" s="178" t="str">
        <f>IFERROR(__xludf.DUMMYFUNCTION("""COMPUTED_VALUE"""),"18 inch Aero")</f>
        <v>18 inch Aero</v>
      </c>
      <c r="Q2528" s="177" t="str">
        <f>IFERROR(__xludf.DUMMYFUNCTION("""COMPUTED_VALUE"""),"White seats")</f>
        <v>White seats</v>
      </c>
      <c r="R2528" s="170" t="str">
        <f>IFERROR(__xludf.DUMMYFUNCTION("""COMPUTED_VALUE"""),"Full Self-Driving")</f>
        <v>Full Self-Driving</v>
      </c>
      <c r="S2528" s="170"/>
      <c r="T2528" s="179"/>
      <c r="U2528" s="179"/>
      <c r="V2528" s="179"/>
      <c r="W2528" s="180"/>
      <c r="X2528" s="181" t="str">
        <f>IFERROR(__xludf.DUMMYFUNCTION("""COMPUTED_VALUE"""),"Excellent")</f>
        <v>Excellent</v>
      </c>
      <c r="Y2528" s="182" t="str">
        <f>IFERROR(__xludf.DUMMYFUNCTION("""COMPUTED_VALUE"""),"Good")</f>
        <v>Good</v>
      </c>
      <c r="Z2528" s="182" t="str">
        <f>IFERROR(__xludf.DUMMYFUNCTION("""COMPUTED_VALUE"""),"Very Good")</f>
        <v>Very Good</v>
      </c>
      <c r="AA2528" s="182" t="str">
        <f>IFERROR(__xludf.DUMMYFUNCTION("""COMPUTED_VALUE"""),"Excellent")</f>
        <v>Excellent</v>
      </c>
      <c r="AB2528" s="182" t="str">
        <f>IFERROR(__xludf.DUMMYFUNCTION("""COMPUTED_VALUE"""),"Excellent")</f>
        <v>Excellent</v>
      </c>
      <c r="AC2528" s="183"/>
      <c r="AD2528" s="183"/>
      <c r="AE2528" s="183"/>
      <c r="AF2528" s="184"/>
      <c r="AG2528" s="180"/>
      <c r="AH2528" s="185">
        <f>IFERROR(__xludf.DUMMYFUNCTION("""COMPUTED_VALUE"""),43374.19501512732)</f>
        <v>43374.19502</v>
      </c>
      <c r="AI2528" s="182"/>
      <c r="AJ2528" s="182"/>
      <c r="AK2528" s="182"/>
      <c r="AL2528" s="182"/>
    </row>
    <row r="2529" ht="20.25" customHeight="1">
      <c r="A2529" s="169" t="str">
        <f>IFERROR(__xludf.DUMMYFUNCTION("""COMPUTED_VALUE"""),"Taxmandan")</f>
        <v>Taxmandan</v>
      </c>
      <c r="B2529" s="170" t="str">
        <f>IFERROR(__xludf.DUMMYFUNCTION("""COMPUTED_VALUE"""),"Scottsdale")</f>
        <v>Scottsdale</v>
      </c>
      <c r="C2529" s="170" t="str">
        <f>IFERROR(__xludf.DUMMYFUNCTION("""COMPUTED_VALUE"""),"AZ")</f>
        <v>AZ</v>
      </c>
      <c r="D2529" s="170" t="str">
        <f>IFERROR(__xludf.DUMMYFUNCTION("""COMPUTED_VALUE"""),"USA")</f>
        <v>USA</v>
      </c>
      <c r="E2529" s="171">
        <f>IFERROR(__xludf.DUMMYFUNCTION("""COMPUTED_VALUE"""),43317.0)</f>
        <v>43317</v>
      </c>
      <c r="F2529" s="172">
        <f>IFERROR(__xludf.DUMMYFUNCTION("""COMPUTED_VALUE"""),43320.0)</f>
        <v>43320</v>
      </c>
      <c r="G2529" s="173"/>
      <c r="H2529" s="174">
        <f>IFERROR(__xludf.DUMMYFUNCTION("""COMPUTED_VALUE"""),58035.0)</f>
        <v>58035</v>
      </c>
      <c r="I2529" s="175" t="str">
        <f>IFERROR(__xludf.DUMMYFUNCTION("""COMPUTED_VALUE"""),"07/18")</f>
        <v>07/18</v>
      </c>
      <c r="J2529" s="172">
        <f>IFERROR(__xludf.DUMMYFUNCTION("""COMPUTED_VALUE"""),43323.0)</f>
        <v>43323</v>
      </c>
      <c r="K2529" s="176">
        <f>IFERROR(__xludf.DUMMYFUNCTION("""COMPUTED_VALUE"""),3.0)</f>
        <v>3</v>
      </c>
      <c r="L2529" s="176">
        <f>IFERROR(__xludf.DUMMYFUNCTION("""COMPUTED_VALUE"""),3.0)</f>
        <v>3</v>
      </c>
      <c r="M2529" s="176">
        <f>IFERROR(__xludf.DUMMYFUNCTION("""COMPUTED_VALUE"""),6.0)</f>
        <v>6</v>
      </c>
      <c r="N2529" s="177" t="str">
        <f>IFERROR(__xludf.DUMMYFUNCTION("""COMPUTED_VALUE"""),"Model 3 LR")</f>
        <v>Model 3 LR</v>
      </c>
      <c r="O2529" s="177" t="str">
        <f>IFERROR(__xludf.DUMMYFUNCTION("""COMPUTED_VALUE"""),"Deep Blue Metallic")</f>
        <v>Deep Blue Metallic</v>
      </c>
      <c r="P2529" s="178" t="str">
        <f>IFERROR(__xludf.DUMMYFUNCTION("""COMPUTED_VALUE"""),"19 inch Sport")</f>
        <v>19 inch Sport</v>
      </c>
      <c r="Q2529" s="177" t="str">
        <f>IFERROR(__xludf.DUMMYFUNCTION("""COMPUTED_VALUE"""),"Black seats")</f>
        <v>Black seats</v>
      </c>
      <c r="R2529" s="170" t="str">
        <f>IFERROR(__xludf.DUMMYFUNCTION("""COMPUTED_VALUE"""),"Enhanced Autopilot")</f>
        <v>Enhanced Autopilot</v>
      </c>
      <c r="S2529" s="170"/>
      <c r="T2529" s="179"/>
      <c r="U2529" s="179"/>
      <c r="V2529" s="179"/>
      <c r="W2529" s="180"/>
      <c r="X2529" s="181" t="str">
        <f>IFERROR(__xludf.DUMMYFUNCTION("""COMPUTED_VALUE"""),"Very Good")</f>
        <v>Very Good</v>
      </c>
      <c r="Y2529" s="182" t="str">
        <f>IFERROR(__xludf.DUMMYFUNCTION("""COMPUTED_VALUE"""),"Very Good")</f>
        <v>Very Good</v>
      </c>
      <c r="Z2529" s="182" t="str">
        <f>IFERROR(__xludf.DUMMYFUNCTION("""COMPUTED_VALUE"""),"Very Good")</f>
        <v>Very Good</v>
      </c>
      <c r="AA2529" s="182" t="str">
        <f>IFERROR(__xludf.DUMMYFUNCTION("""COMPUTED_VALUE"""),"Good")</f>
        <v>Good</v>
      </c>
      <c r="AB2529" s="182" t="str">
        <f>IFERROR(__xludf.DUMMYFUNCTION("""COMPUTED_VALUE"""),"Fair")</f>
        <v>Fair</v>
      </c>
      <c r="AC2529" s="183"/>
      <c r="AD2529" s="183"/>
      <c r="AE2529" s="183"/>
      <c r="AF2529" s="184"/>
      <c r="AG2529" s="180"/>
      <c r="AH2529" s="185">
        <f>IFERROR(__xludf.DUMMYFUNCTION("""COMPUTED_VALUE"""),43324.327989652775)</f>
        <v>43324.32799</v>
      </c>
      <c r="AI2529" s="182"/>
      <c r="AJ2529" s="182"/>
      <c r="AK2529" s="182"/>
      <c r="AL2529" s="182"/>
    </row>
    <row r="2530" ht="20.25" customHeight="1">
      <c r="A2530" s="169" t="str">
        <f>IFERROR(__xludf.DUMMYFUNCTION("""COMPUTED_VALUE"""),"AQubit")</f>
        <v>AQubit</v>
      </c>
      <c r="B2530" s="170"/>
      <c r="C2530" s="170" t="str">
        <f>IFERROR(__xludf.DUMMYFUNCTION("""COMPUTED_VALUE"""),"MO")</f>
        <v>MO</v>
      </c>
      <c r="D2530" s="170" t="str">
        <f>IFERROR(__xludf.DUMMYFUNCTION("""COMPUTED_VALUE"""),"USA")</f>
        <v>USA</v>
      </c>
      <c r="E2530" s="171">
        <f>IFERROR(__xludf.DUMMYFUNCTION("""COMPUTED_VALUE"""),43316.0)</f>
        <v>43316</v>
      </c>
      <c r="F2530" s="172">
        <f>IFERROR(__xludf.DUMMYFUNCTION("""COMPUTED_VALUE"""),43333.0)</f>
        <v>43333</v>
      </c>
      <c r="G2530" s="173"/>
      <c r="H2530" s="174">
        <f>IFERROR(__xludf.DUMMYFUNCTION("""COMPUTED_VALUE"""),96355.0)</f>
        <v>96355</v>
      </c>
      <c r="I2530" s="175"/>
      <c r="J2530" s="172">
        <f>IFERROR(__xludf.DUMMYFUNCTION("""COMPUTED_VALUE"""),43362.0)</f>
        <v>43362</v>
      </c>
      <c r="K2530" s="176">
        <f>IFERROR(__xludf.DUMMYFUNCTION("""COMPUTED_VALUE"""),17.0)</f>
        <v>17</v>
      </c>
      <c r="L2530" s="176">
        <f>IFERROR(__xludf.DUMMYFUNCTION("""COMPUTED_VALUE"""),29.0)</f>
        <v>29</v>
      </c>
      <c r="M2530" s="176">
        <f>IFERROR(__xludf.DUMMYFUNCTION("""COMPUTED_VALUE"""),46.0)</f>
        <v>46</v>
      </c>
      <c r="N2530" s="177" t="str">
        <f>IFERROR(__xludf.DUMMYFUNCTION("""COMPUTED_VALUE"""),"Model 3 LR AWD")</f>
        <v>Model 3 LR AWD</v>
      </c>
      <c r="O2530" s="177" t="str">
        <f>IFERROR(__xludf.DUMMYFUNCTION("""COMPUTED_VALUE"""),"Red Multi-Coat")</f>
        <v>Red Multi-Coat</v>
      </c>
      <c r="P2530" s="178" t="str">
        <f>IFERROR(__xludf.DUMMYFUNCTION("""COMPUTED_VALUE"""),"18 inch Aero")</f>
        <v>18 inch Aero</v>
      </c>
      <c r="Q2530" s="177" t="str">
        <f>IFERROR(__xludf.DUMMYFUNCTION("""COMPUTED_VALUE"""),"White seats")</f>
        <v>White seats</v>
      </c>
      <c r="R2530" s="170" t="str">
        <f>IFERROR(__xludf.DUMMYFUNCTION("""COMPUTED_VALUE"""),"Enhanced Autopilot")</f>
        <v>Enhanced Autopilot</v>
      </c>
      <c r="S2530" s="170"/>
      <c r="T2530" s="179"/>
      <c r="U2530" s="179"/>
      <c r="V2530" s="179"/>
      <c r="W2530" s="180"/>
      <c r="X2530" s="181" t="str">
        <f>IFERROR(__xludf.DUMMYFUNCTION("""COMPUTED_VALUE"""),"Very Good")</f>
        <v>Very Good</v>
      </c>
      <c r="Y2530" s="182" t="str">
        <f>IFERROR(__xludf.DUMMYFUNCTION("""COMPUTED_VALUE"""),"Excellent")</f>
        <v>Excellent</v>
      </c>
      <c r="Z2530" s="182" t="str">
        <f>IFERROR(__xludf.DUMMYFUNCTION("""COMPUTED_VALUE"""),"Very Good")</f>
        <v>Very Good</v>
      </c>
      <c r="AA2530" s="182" t="str">
        <f>IFERROR(__xludf.DUMMYFUNCTION("""COMPUTED_VALUE"""),"Good")</f>
        <v>Good</v>
      </c>
      <c r="AB2530" s="182" t="str">
        <f>IFERROR(__xludf.DUMMYFUNCTION("""COMPUTED_VALUE"""),"Very Good")</f>
        <v>Very Good</v>
      </c>
      <c r="AC2530" s="183">
        <f>IFERROR(__xludf.DUMMYFUNCTION("""COMPUTED_VALUE"""),2.0)</f>
        <v>2</v>
      </c>
      <c r="AD2530" s="183"/>
      <c r="AE2530" s="183"/>
      <c r="AF2530" s="184"/>
      <c r="AG2530" s="180"/>
      <c r="AH2530" s="185">
        <f>IFERROR(__xludf.DUMMYFUNCTION("""COMPUTED_VALUE"""),43369.738061909724)</f>
        <v>43369.73806</v>
      </c>
      <c r="AI2530" s="182"/>
      <c r="AJ2530" s="182"/>
      <c r="AK2530" s="182"/>
      <c r="AL2530" s="182"/>
    </row>
    <row r="2531" ht="20.25" customHeight="1">
      <c r="A2531" s="169" t="str">
        <f>IFERROR(__xludf.DUMMYFUNCTION("""COMPUTED_VALUE"""),"JTW77")</f>
        <v>JTW77</v>
      </c>
      <c r="B2531" s="170" t="str">
        <f>IFERROR(__xludf.DUMMYFUNCTION("""COMPUTED_VALUE"""),"Green Bay")</f>
        <v>Green Bay</v>
      </c>
      <c r="C2531" s="170" t="str">
        <f>IFERROR(__xludf.DUMMYFUNCTION("""COMPUTED_VALUE"""),"WI")</f>
        <v>WI</v>
      </c>
      <c r="D2531" s="170" t="str">
        <f>IFERROR(__xludf.DUMMYFUNCTION("""COMPUTED_VALUE"""),"USA")</f>
        <v>USA</v>
      </c>
      <c r="E2531" s="171">
        <f>IFERROR(__xludf.DUMMYFUNCTION("""COMPUTED_VALUE"""),43316.0)</f>
        <v>43316</v>
      </c>
      <c r="F2531" s="172">
        <f>IFERROR(__xludf.DUMMYFUNCTION("""COMPUTED_VALUE"""),43335.0)</f>
        <v>43335</v>
      </c>
      <c r="G2531" s="173"/>
      <c r="H2531" s="174">
        <f>IFERROR(__xludf.DUMMYFUNCTION("""COMPUTED_VALUE"""),64888.0)</f>
        <v>64888</v>
      </c>
      <c r="I2531" s="175" t="str">
        <f>IFERROR(__xludf.DUMMYFUNCTION("""COMPUTED_VALUE"""),"08/18")</f>
        <v>08/18</v>
      </c>
      <c r="J2531" s="172">
        <f>IFERROR(__xludf.DUMMYFUNCTION("""COMPUTED_VALUE"""),43356.0)</f>
        <v>43356</v>
      </c>
      <c r="K2531" s="176">
        <f>IFERROR(__xludf.DUMMYFUNCTION("""COMPUTED_VALUE"""),19.0)</f>
        <v>19</v>
      </c>
      <c r="L2531" s="176">
        <f>IFERROR(__xludf.DUMMYFUNCTION("""COMPUTED_VALUE"""),21.0)</f>
        <v>21</v>
      </c>
      <c r="M2531" s="176">
        <f>IFERROR(__xludf.DUMMYFUNCTION("""COMPUTED_VALUE"""),40.0)</f>
        <v>40</v>
      </c>
      <c r="N2531" s="177" t="str">
        <f>IFERROR(__xludf.DUMMYFUNCTION("""COMPUTED_VALUE"""),"Model 3 LR AWD")</f>
        <v>Model 3 LR AWD</v>
      </c>
      <c r="O2531" s="177" t="str">
        <f>IFERROR(__xludf.DUMMYFUNCTION("""COMPUTED_VALUE"""),"Deep Blue Metallic")</f>
        <v>Deep Blue Metallic</v>
      </c>
      <c r="P2531" s="178" t="str">
        <f>IFERROR(__xludf.DUMMYFUNCTION("""COMPUTED_VALUE"""),"18 inch Aero")</f>
        <v>18 inch Aero</v>
      </c>
      <c r="Q2531" s="177" t="str">
        <f>IFERROR(__xludf.DUMMYFUNCTION("""COMPUTED_VALUE"""),"Black seats")</f>
        <v>Black seats</v>
      </c>
      <c r="R2531" s="170" t="str">
        <f>IFERROR(__xludf.DUMMYFUNCTION("""COMPUTED_VALUE"""),"Enhanced Autopilot")</f>
        <v>Enhanced Autopilot</v>
      </c>
      <c r="S2531" s="170"/>
      <c r="T2531" s="179"/>
      <c r="U2531" s="179"/>
      <c r="V2531" s="179"/>
      <c r="W2531" s="180"/>
      <c r="X2531" s="181" t="str">
        <f>IFERROR(__xludf.DUMMYFUNCTION("""COMPUTED_VALUE"""),"Excellent")</f>
        <v>Excellent</v>
      </c>
      <c r="Y2531" s="182" t="str">
        <f>IFERROR(__xludf.DUMMYFUNCTION("""COMPUTED_VALUE"""),"Excellent")</f>
        <v>Excellent</v>
      </c>
      <c r="Z2531" s="182" t="str">
        <f>IFERROR(__xludf.DUMMYFUNCTION("""COMPUTED_VALUE"""),"Excellent")</f>
        <v>Excellent</v>
      </c>
      <c r="AA2531" s="182" t="str">
        <f>IFERROR(__xludf.DUMMYFUNCTION("""COMPUTED_VALUE"""),"Excellent")</f>
        <v>Excellent</v>
      </c>
      <c r="AB2531" s="182" t="str">
        <f>IFERROR(__xludf.DUMMYFUNCTION("""COMPUTED_VALUE"""),"Excellent")</f>
        <v>Excellent</v>
      </c>
      <c r="AC2531" s="183"/>
      <c r="AD2531" s="183"/>
      <c r="AE2531" s="183"/>
      <c r="AF2531" s="184"/>
      <c r="AG2531" s="180"/>
      <c r="AH2531" s="185">
        <f>IFERROR(__xludf.DUMMYFUNCTION("""COMPUTED_VALUE"""),43356.81257883102)</f>
        <v>43356.81258</v>
      </c>
      <c r="AI2531" s="182"/>
      <c r="AJ2531" s="182"/>
      <c r="AK2531" s="182"/>
      <c r="AL2531" s="182"/>
    </row>
    <row r="2532" ht="20.25" customHeight="1">
      <c r="A2532" s="169" t="str">
        <f>IFERROR(__xludf.DUMMYFUNCTION("""COMPUTED_VALUE"""),"MSpikah")</f>
        <v>MSpikah</v>
      </c>
      <c r="B2532" s="170" t="str">
        <f>IFERROR(__xludf.DUMMYFUNCTION("""COMPUTED_VALUE"""),"Grand Rapids")</f>
        <v>Grand Rapids</v>
      </c>
      <c r="C2532" s="170" t="str">
        <f>IFERROR(__xludf.DUMMYFUNCTION("""COMPUTED_VALUE"""),"MI")</f>
        <v>MI</v>
      </c>
      <c r="D2532" s="170" t="str">
        <f>IFERROR(__xludf.DUMMYFUNCTION("""COMPUTED_VALUE"""),"USA")</f>
        <v>USA</v>
      </c>
      <c r="E2532" s="171">
        <f>IFERROR(__xludf.DUMMYFUNCTION("""COMPUTED_VALUE"""),43316.0)</f>
        <v>43316</v>
      </c>
      <c r="F2532" s="172">
        <f>IFERROR(__xludf.DUMMYFUNCTION("""COMPUTED_VALUE"""),43330.0)</f>
        <v>43330</v>
      </c>
      <c r="G2532" s="173"/>
      <c r="H2532" s="174">
        <f>IFERROR(__xludf.DUMMYFUNCTION("""COMPUTED_VALUE"""),66055.0)</f>
        <v>66055</v>
      </c>
      <c r="I2532" s="175" t="str">
        <f>IFERROR(__xludf.DUMMYFUNCTION("""COMPUTED_VALUE"""),"08/18")</f>
        <v>08/18</v>
      </c>
      <c r="J2532" s="172">
        <f>IFERROR(__xludf.DUMMYFUNCTION("""COMPUTED_VALUE"""),43344.0)</f>
        <v>43344</v>
      </c>
      <c r="K2532" s="176">
        <f>IFERROR(__xludf.DUMMYFUNCTION("""COMPUTED_VALUE"""),14.0)</f>
        <v>14</v>
      </c>
      <c r="L2532" s="176">
        <f>IFERROR(__xludf.DUMMYFUNCTION("""COMPUTED_VALUE"""),14.0)</f>
        <v>14</v>
      </c>
      <c r="M2532" s="176">
        <f>IFERROR(__xludf.DUMMYFUNCTION("""COMPUTED_VALUE"""),28.0)</f>
        <v>28</v>
      </c>
      <c r="N2532" s="177" t="str">
        <f>IFERROR(__xludf.DUMMYFUNCTION("""COMPUTED_VALUE"""),"Model 3 LR AWD")</f>
        <v>Model 3 LR AWD</v>
      </c>
      <c r="O2532" s="177" t="str">
        <f>IFERROR(__xludf.DUMMYFUNCTION("""COMPUTED_VALUE"""),"Midnight Silver Metallic")</f>
        <v>Midnight Silver Metallic</v>
      </c>
      <c r="P2532" s="178" t="str">
        <f>IFERROR(__xludf.DUMMYFUNCTION("""COMPUTED_VALUE"""),"18 inch Aero")</f>
        <v>18 inch Aero</v>
      </c>
      <c r="Q2532" s="177" t="str">
        <f>IFERROR(__xludf.DUMMYFUNCTION("""COMPUTED_VALUE"""),"Black seats")</f>
        <v>Black seats</v>
      </c>
      <c r="R2532" s="170" t="str">
        <f>IFERROR(__xludf.DUMMYFUNCTION("""COMPUTED_VALUE"""),"Enhanced Autopilot")</f>
        <v>Enhanced Autopilot</v>
      </c>
      <c r="S2532" s="170"/>
      <c r="T2532" s="179"/>
      <c r="U2532" s="179"/>
      <c r="V2532" s="179"/>
      <c r="W2532" s="180"/>
      <c r="X2532" s="181" t="str">
        <f>IFERROR(__xludf.DUMMYFUNCTION("""COMPUTED_VALUE"""),"Very Good")</f>
        <v>Very Good</v>
      </c>
      <c r="Y2532" s="182" t="str">
        <f>IFERROR(__xludf.DUMMYFUNCTION("""COMPUTED_VALUE"""),"Excellent")</f>
        <v>Excellent</v>
      </c>
      <c r="Z2532" s="182" t="str">
        <f>IFERROR(__xludf.DUMMYFUNCTION("""COMPUTED_VALUE"""),"Excellent")</f>
        <v>Excellent</v>
      </c>
      <c r="AA2532" s="182" t="str">
        <f>IFERROR(__xludf.DUMMYFUNCTION("""COMPUTED_VALUE"""),"Poor")</f>
        <v>Poor</v>
      </c>
      <c r="AB2532" s="182" t="str">
        <f>IFERROR(__xludf.DUMMYFUNCTION("""COMPUTED_VALUE"""),"Poor")</f>
        <v>Poor</v>
      </c>
      <c r="AC2532" s="183"/>
      <c r="AD2532" s="183"/>
      <c r="AE2532" s="183"/>
      <c r="AF2532" s="184"/>
      <c r="AG2532" s="180" t="str">
        <f>IFERROR(__xludf.DUMMYFUNCTION("""COMPUTED_VALUE"""),"First Tesla contact 8/13, delivery date scheduled 8/15. Delivery date was 8/25, then postponed one week")</f>
        <v>First Tesla contact 8/13, delivery date scheduled 8/15. Delivery date was 8/25, then postponed one week</v>
      </c>
      <c r="AH2532" s="185">
        <f>IFERROR(__xludf.DUMMYFUNCTION("""COMPUTED_VALUE"""),43353.42646104166)</f>
        <v>43353.42646</v>
      </c>
      <c r="AI2532" s="182"/>
      <c r="AJ2532" s="182"/>
      <c r="AK2532" s="182"/>
      <c r="AL2532" s="182"/>
    </row>
    <row r="2533" ht="20.25" customHeight="1">
      <c r="A2533" s="169" t="str">
        <f>IFERROR(__xludf.DUMMYFUNCTION("""COMPUTED_VALUE"""),"TGA")</f>
        <v>TGA</v>
      </c>
      <c r="B2533" s="170"/>
      <c r="C2533" s="170" t="str">
        <f>IFERROR(__xludf.DUMMYFUNCTION("""COMPUTED_VALUE"""),"CA")</f>
        <v>CA</v>
      </c>
      <c r="D2533" s="170" t="str">
        <f>IFERROR(__xludf.DUMMYFUNCTION("""COMPUTED_VALUE"""),"USA")</f>
        <v>USA</v>
      </c>
      <c r="E2533" s="171">
        <f>IFERROR(__xludf.DUMMYFUNCTION("""COMPUTED_VALUE"""),43316.0)</f>
        <v>43316</v>
      </c>
      <c r="F2533" s="172">
        <f>IFERROR(__xludf.DUMMYFUNCTION("""COMPUTED_VALUE"""),43321.0)</f>
        <v>43321</v>
      </c>
      <c r="G2533" s="173"/>
      <c r="H2533" s="174">
        <f>IFERROR(__xludf.DUMMYFUNCTION("""COMPUTED_VALUE"""),63927.0)</f>
        <v>63927</v>
      </c>
      <c r="I2533" s="175" t="str">
        <f>IFERROR(__xludf.DUMMYFUNCTION("""COMPUTED_VALUE"""),"03/18")</f>
        <v>03/18</v>
      </c>
      <c r="J2533" s="172">
        <f>IFERROR(__xludf.DUMMYFUNCTION("""COMPUTED_VALUE"""),43331.0)</f>
        <v>43331</v>
      </c>
      <c r="K2533" s="176">
        <f>IFERROR(__xludf.DUMMYFUNCTION("""COMPUTED_VALUE"""),5.0)</f>
        <v>5</v>
      </c>
      <c r="L2533" s="176">
        <f>IFERROR(__xludf.DUMMYFUNCTION("""COMPUTED_VALUE"""),10.0)</f>
        <v>10</v>
      </c>
      <c r="M2533" s="176">
        <f>IFERROR(__xludf.DUMMYFUNCTION("""COMPUTED_VALUE"""),15.0)</f>
        <v>15</v>
      </c>
      <c r="N2533" s="177" t="str">
        <f>IFERROR(__xludf.DUMMYFUNCTION("""COMPUTED_VALUE"""),"Model 3 LR AWD")</f>
        <v>Model 3 LR AWD</v>
      </c>
      <c r="O2533" s="177" t="str">
        <f>IFERROR(__xludf.DUMMYFUNCTION("""COMPUTED_VALUE"""),"Deep Blue Metallic")</f>
        <v>Deep Blue Metallic</v>
      </c>
      <c r="P2533" s="178" t="str">
        <f>IFERROR(__xludf.DUMMYFUNCTION("""COMPUTED_VALUE"""),"19 inch Sport")</f>
        <v>19 inch Sport</v>
      </c>
      <c r="Q2533" s="177" t="str">
        <f>IFERROR(__xludf.DUMMYFUNCTION("""COMPUTED_VALUE"""),"Black seats")</f>
        <v>Black seats</v>
      </c>
      <c r="R2533" s="170" t="str">
        <f>IFERROR(__xludf.DUMMYFUNCTION("""COMPUTED_VALUE"""),"Enhanced Autopilot")</f>
        <v>Enhanced Autopilot</v>
      </c>
      <c r="S2533" s="170"/>
      <c r="T2533" s="179"/>
      <c r="U2533" s="179"/>
      <c r="V2533" s="179"/>
      <c r="W2533" s="180"/>
      <c r="X2533" s="181" t="str">
        <f>IFERROR(__xludf.DUMMYFUNCTION("""COMPUTED_VALUE"""),"Excellent")</f>
        <v>Excellent</v>
      </c>
      <c r="Y2533" s="182" t="str">
        <f>IFERROR(__xludf.DUMMYFUNCTION("""COMPUTED_VALUE"""),"Excellent")</f>
        <v>Excellent</v>
      </c>
      <c r="Z2533" s="182" t="str">
        <f>IFERROR(__xludf.DUMMYFUNCTION("""COMPUTED_VALUE"""),"Fair")</f>
        <v>Fair</v>
      </c>
      <c r="AA2533" s="182" t="str">
        <f>IFERROR(__xludf.DUMMYFUNCTION("""COMPUTED_VALUE"""),"Very Good")</f>
        <v>Very Good</v>
      </c>
      <c r="AB2533" s="182" t="str">
        <f>IFERROR(__xludf.DUMMYFUNCTION("""COMPUTED_VALUE"""),"Good")</f>
        <v>Good</v>
      </c>
      <c r="AC2533" s="183">
        <f>IFERROR(__xludf.DUMMYFUNCTION("""COMPUTED_VALUE"""),2.0)</f>
        <v>2</v>
      </c>
      <c r="AD2533" s="183"/>
      <c r="AE2533" s="183"/>
      <c r="AF2533" s="184"/>
      <c r="AG2533" s="180"/>
      <c r="AH2533" s="185">
        <f>IFERROR(__xludf.DUMMYFUNCTION("""COMPUTED_VALUE"""),43332.744137650465)</f>
        <v>43332.74414</v>
      </c>
      <c r="AI2533" s="182"/>
      <c r="AJ2533" s="182"/>
      <c r="AK2533" s="182"/>
      <c r="AL2533" s="182"/>
    </row>
    <row r="2534" ht="20.25" customHeight="1">
      <c r="A2534" s="169" t="str">
        <f>IFERROR(__xludf.DUMMYFUNCTION("""COMPUTED_VALUE"""),"Trav")</f>
        <v>Trav</v>
      </c>
      <c r="B2534" s="170" t="str">
        <f>IFERROR(__xludf.DUMMYFUNCTION("""COMPUTED_VALUE"""),"Asheville")</f>
        <v>Asheville</v>
      </c>
      <c r="C2534" s="170" t="str">
        <f>IFERROR(__xludf.DUMMYFUNCTION("""COMPUTED_VALUE"""),"NC")</f>
        <v>NC</v>
      </c>
      <c r="D2534" s="170" t="str">
        <f>IFERROR(__xludf.DUMMYFUNCTION("""COMPUTED_VALUE"""),"USA")</f>
        <v>USA</v>
      </c>
      <c r="E2534" s="171">
        <f>IFERROR(__xludf.DUMMYFUNCTION("""COMPUTED_VALUE"""),43316.0)</f>
        <v>43316</v>
      </c>
      <c r="F2534" s="172">
        <f>IFERROR(__xludf.DUMMYFUNCTION("""COMPUTED_VALUE"""),43349.0)</f>
        <v>43349</v>
      </c>
      <c r="G2534" s="173"/>
      <c r="H2534" s="174">
        <f>IFERROR(__xludf.DUMMYFUNCTION("""COMPUTED_VALUE"""),72335.0)</f>
        <v>72335</v>
      </c>
      <c r="I2534" s="175"/>
      <c r="J2534" s="172">
        <f>IFERROR(__xludf.DUMMYFUNCTION("""COMPUTED_VALUE"""),43366.0)</f>
        <v>43366</v>
      </c>
      <c r="K2534" s="176">
        <f>IFERROR(__xludf.DUMMYFUNCTION("""COMPUTED_VALUE"""),33.0)</f>
        <v>33</v>
      </c>
      <c r="L2534" s="176">
        <f>IFERROR(__xludf.DUMMYFUNCTION("""COMPUTED_VALUE"""),17.0)</f>
        <v>17</v>
      </c>
      <c r="M2534" s="176">
        <f>IFERROR(__xludf.DUMMYFUNCTION("""COMPUTED_VALUE"""),50.0)</f>
        <v>50</v>
      </c>
      <c r="N2534" s="177" t="str">
        <f>IFERROR(__xludf.DUMMYFUNCTION("""COMPUTED_VALUE"""),"Model 3 Performance")</f>
        <v>Model 3 Performance</v>
      </c>
      <c r="O2534" s="177" t="str">
        <f>IFERROR(__xludf.DUMMYFUNCTION("""COMPUTED_VALUE"""),"Deep Blue Metallic")</f>
        <v>Deep Blue Metallic</v>
      </c>
      <c r="P2534" s="178" t="str">
        <f>IFERROR(__xludf.DUMMYFUNCTION("""COMPUTED_VALUE"""),"20 inch Sport")</f>
        <v>20 inch Sport</v>
      </c>
      <c r="Q2534" s="177" t="str">
        <f>IFERROR(__xludf.DUMMYFUNCTION("""COMPUTED_VALUE"""),"Black seats")</f>
        <v>Black seats</v>
      </c>
      <c r="R2534" s="170" t="str">
        <f>IFERROR(__xludf.DUMMYFUNCTION("""COMPUTED_VALUE"""),"Enhanced Autopilot")</f>
        <v>Enhanced Autopilot</v>
      </c>
      <c r="S2534" s="170"/>
      <c r="T2534" s="179"/>
      <c r="U2534" s="179"/>
      <c r="V2534" s="179"/>
      <c r="W2534" s="180"/>
      <c r="X2534" s="181" t="str">
        <f>IFERROR(__xludf.DUMMYFUNCTION("""COMPUTED_VALUE"""),"Excellent")</f>
        <v>Excellent</v>
      </c>
      <c r="Y2534" s="182" t="str">
        <f>IFERROR(__xludf.DUMMYFUNCTION("""COMPUTED_VALUE"""),"Excellent")</f>
        <v>Excellent</v>
      </c>
      <c r="Z2534" s="182" t="str">
        <f>IFERROR(__xludf.DUMMYFUNCTION("""COMPUTED_VALUE"""),"Fair")</f>
        <v>Fair</v>
      </c>
      <c r="AA2534" s="182" t="str">
        <f>IFERROR(__xludf.DUMMYFUNCTION("""COMPUTED_VALUE"""),"Excellent")</f>
        <v>Excellent</v>
      </c>
      <c r="AB2534" s="182" t="str">
        <f>IFERROR(__xludf.DUMMYFUNCTION("""COMPUTED_VALUE"""),"Excellent")</f>
        <v>Excellent</v>
      </c>
      <c r="AC2534" s="183">
        <f>IFERROR(__xludf.DUMMYFUNCTION("""COMPUTED_VALUE"""),8.0)</f>
        <v>8</v>
      </c>
      <c r="AD2534" s="183"/>
      <c r="AE2534" s="183"/>
      <c r="AF2534" s="184"/>
      <c r="AG2534" s="180" t="str">
        <f>IFERROR(__xludf.DUMMYFUNCTION("""COMPUTED_VALUE"""),"Was Oct.-Dec. time frame now says September ")</f>
        <v>Was Oct.-Dec. time frame now says September </v>
      </c>
      <c r="AH2534" s="185">
        <f>IFERROR(__xludf.DUMMYFUNCTION("""COMPUTED_VALUE"""),43367.30864497685)</f>
        <v>43367.30864</v>
      </c>
      <c r="AI2534" s="182"/>
      <c r="AJ2534" s="182"/>
      <c r="AK2534" s="182"/>
      <c r="AL2534" s="182"/>
    </row>
    <row r="2535" ht="20.25" customHeight="1">
      <c r="A2535" s="169" t="str">
        <f>IFERROR(__xludf.DUMMYFUNCTION("""COMPUTED_VALUE"""),"PA-Pilot")</f>
        <v>PA-Pilot</v>
      </c>
      <c r="B2535" s="170" t="str">
        <f>IFERROR(__xludf.DUMMYFUNCTION("""COMPUTED_VALUE"""),"Bucks County")</f>
        <v>Bucks County</v>
      </c>
      <c r="C2535" s="170" t="str">
        <f>IFERROR(__xludf.DUMMYFUNCTION("""COMPUTED_VALUE"""),"PA")</f>
        <v>PA</v>
      </c>
      <c r="D2535" s="170" t="str">
        <f>IFERROR(__xludf.DUMMYFUNCTION("""COMPUTED_VALUE"""),"USA")</f>
        <v>USA</v>
      </c>
      <c r="E2535" s="171">
        <f>IFERROR(__xludf.DUMMYFUNCTION("""COMPUTED_VALUE"""),43315.0)</f>
        <v>43315</v>
      </c>
      <c r="F2535" s="172">
        <f>IFERROR(__xludf.DUMMYFUNCTION("""COMPUTED_VALUE"""),43396.0)</f>
        <v>43396</v>
      </c>
      <c r="G2535" s="173"/>
      <c r="H2535" s="174">
        <f>IFERROR(__xludf.DUMMYFUNCTION("""COMPUTED_VALUE"""),83258.0)</f>
        <v>83258</v>
      </c>
      <c r="I2535" s="175" t="str">
        <f>IFERROR(__xludf.DUMMYFUNCTION("""COMPUTED_VALUE"""),"10/18")</f>
        <v>10/18</v>
      </c>
      <c r="J2535" s="172">
        <f>IFERROR(__xludf.DUMMYFUNCTION("""COMPUTED_VALUE"""),43414.0)</f>
        <v>43414</v>
      </c>
      <c r="K2535" s="176">
        <f>IFERROR(__xludf.DUMMYFUNCTION("""COMPUTED_VALUE"""),81.0)</f>
        <v>81</v>
      </c>
      <c r="L2535" s="176">
        <f>IFERROR(__xludf.DUMMYFUNCTION("""COMPUTED_VALUE"""),18.0)</f>
        <v>18</v>
      </c>
      <c r="M2535" s="176">
        <f>IFERROR(__xludf.DUMMYFUNCTION("""COMPUTED_VALUE"""),99.0)</f>
        <v>99</v>
      </c>
      <c r="N2535" s="177" t="str">
        <f>IFERROR(__xludf.DUMMYFUNCTION("""COMPUTED_VALUE"""),"Model 3 Performance")</f>
        <v>Model 3 Performance</v>
      </c>
      <c r="O2535" s="177" t="str">
        <f>IFERROR(__xludf.DUMMYFUNCTION("""COMPUTED_VALUE"""),"Midnight Silver Metallic")</f>
        <v>Midnight Silver Metallic</v>
      </c>
      <c r="P2535" s="178" t="str">
        <f>IFERROR(__xludf.DUMMYFUNCTION("""COMPUTED_VALUE"""),"20 inch Sport")</f>
        <v>20 inch Sport</v>
      </c>
      <c r="Q2535" s="177" t="str">
        <f>IFERROR(__xludf.DUMMYFUNCTION("""COMPUTED_VALUE"""),"Black seats")</f>
        <v>Black seats</v>
      </c>
      <c r="R2535" s="170" t="str">
        <f>IFERROR(__xludf.DUMMYFUNCTION("""COMPUTED_VALUE"""),"Enhanced Autopilot")</f>
        <v>Enhanced Autopilot</v>
      </c>
      <c r="S2535" s="170"/>
      <c r="T2535" s="179"/>
      <c r="U2535" s="179"/>
      <c r="V2535" s="179"/>
      <c r="W2535" s="180"/>
      <c r="X2535" s="181" t="str">
        <f>IFERROR(__xludf.DUMMYFUNCTION("""COMPUTED_VALUE"""),"Very Good")</f>
        <v>Very Good</v>
      </c>
      <c r="Y2535" s="182" t="str">
        <f>IFERROR(__xludf.DUMMYFUNCTION("""COMPUTED_VALUE"""),"Very Good")</f>
        <v>Very Good</v>
      </c>
      <c r="Z2535" s="182" t="str">
        <f>IFERROR(__xludf.DUMMYFUNCTION("""COMPUTED_VALUE"""),"Very Good")</f>
        <v>Very Good</v>
      </c>
      <c r="AA2535" s="182" t="str">
        <f>IFERROR(__xludf.DUMMYFUNCTION("""COMPUTED_VALUE"""),"Poor")</f>
        <v>Poor</v>
      </c>
      <c r="AB2535" s="182" t="str">
        <f>IFERROR(__xludf.DUMMYFUNCTION("""COMPUTED_VALUE"""),"Very Good")</f>
        <v>Very Good</v>
      </c>
      <c r="AC2535" s="183"/>
      <c r="AD2535" s="183"/>
      <c r="AE2535" s="183"/>
      <c r="AF2535" s="184"/>
      <c r="AG2535" s="180" t="str">
        <f>IFERROR(__xludf.DUMMYFUNCTION("""COMPUTED_VALUE"""),"deferred delivery, original VIN Assigned 8/17/19")</f>
        <v>deferred delivery, original VIN Assigned 8/17/19</v>
      </c>
      <c r="AH2535" s="185">
        <f>IFERROR(__xludf.DUMMYFUNCTION("""COMPUTED_VALUE"""),43415.76685318287)</f>
        <v>43415.76685</v>
      </c>
      <c r="AI2535" s="182"/>
      <c r="AJ2535" s="182"/>
      <c r="AK2535" s="182"/>
      <c r="AL2535" s="182"/>
    </row>
    <row r="2536" ht="20.25" customHeight="1">
      <c r="A2536" s="169" t="str">
        <f>IFERROR(__xludf.DUMMYFUNCTION("""COMPUTED_VALUE"""),"Paul EV")</f>
        <v>Paul EV</v>
      </c>
      <c r="B2536" s="170" t="str">
        <f>IFERROR(__xludf.DUMMYFUNCTION("""COMPUTED_VALUE"""),"San Jose")</f>
        <v>San Jose</v>
      </c>
      <c r="C2536" s="170" t="str">
        <f>IFERROR(__xludf.DUMMYFUNCTION("""COMPUTED_VALUE"""),"CA")</f>
        <v>CA</v>
      </c>
      <c r="D2536" s="170" t="str">
        <f>IFERROR(__xludf.DUMMYFUNCTION("""COMPUTED_VALUE"""),"USA")</f>
        <v>USA</v>
      </c>
      <c r="E2536" s="171">
        <f>IFERROR(__xludf.DUMMYFUNCTION("""COMPUTED_VALUE"""),43315.0)</f>
        <v>43315</v>
      </c>
      <c r="F2536" s="172">
        <f>IFERROR(__xludf.DUMMYFUNCTION("""COMPUTED_VALUE"""),43368.0)</f>
        <v>43368</v>
      </c>
      <c r="G2536" s="173"/>
      <c r="H2536" s="174">
        <f>IFERROR(__xludf.DUMMYFUNCTION("""COMPUTED_VALUE"""),84925.0)</f>
        <v>84925</v>
      </c>
      <c r="I2536" s="175" t="str">
        <f>IFERROR(__xludf.DUMMYFUNCTION("""COMPUTED_VALUE"""),"09/18")</f>
        <v>09/18</v>
      </c>
      <c r="J2536" s="172">
        <f>IFERROR(__xludf.DUMMYFUNCTION("""COMPUTED_VALUE"""),43372.0)</f>
        <v>43372</v>
      </c>
      <c r="K2536" s="176">
        <f>IFERROR(__xludf.DUMMYFUNCTION("""COMPUTED_VALUE"""),53.0)</f>
        <v>53</v>
      </c>
      <c r="L2536" s="176">
        <f>IFERROR(__xludf.DUMMYFUNCTION("""COMPUTED_VALUE"""),4.0)</f>
        <v>4</v>
      </c>
      <c r="M2536" s="176">
        <f>IFERROR(__xludf.DUMMYFUNCTION("""COMPUTED_VALUE"""),57.0)</f>
        <v>57</v>
      </c>
      <c r="N2536" s="177" t="str">
        <f>IFERROR(__xludf.DUMMYFUNCTION("""COMPUTED_VALUE"""),"Model 3 LR AWD")</f>
        <v>Model 3 LR AWD</v>
      </c>
      <c r="O2536" s="177" t="str">
        <f>IFERROR(__xludf.DUMMYFUNCTION("""COMPUTED_VALUE"""),"Red Multi-Coat")</f>
        <v>Red Multi-Coat</v>
      </c>
      <c r="P2536" s="178" t="str">
        <f>IFERROR(__xludf.DUMMYFUNCTION("""COMPUTED_VALUE"""),"18 inch Aero")</f>
        <v>18 inch Aero</v>
      </c>
      <c r="Q2536" s="177" t="str">
        <f>IFERROR(__xludf.DUMMYFUNCTION("""COMPUTED_VALUE"""),"Black seats")</f>
        <v>Black seats</v>
      </c>
      <c r="R2536" s="170" t="str">
        <f>IFERROR(__xludf.DUMMYFUNCTION("""COMPUTED_VALUE"""),"Full Self-Driving")</f>
        <v>Full Self-Driving</v>
      </c>
      <c r="S2536" s="170"/>
      <c r="T2536" s="179"/>
      <c r="U2536" s="179"/>
      <c r="V2536" s="179"/>
      <c r="W2536" s="180"/>
      <c r="X2536" s="181" t="str">
        <f>IFERROR(__xludf.DUMMYFUNCTION("""COMPUTED_VALUE"""),"Excellent")</f>
        <v>Excellent</v>
      </c>
      <c r="Y2536" s="182" t="str">
        <f>IFERROR(__xludf.DUMMYFUNCTION("""COMPUTED_VALUE"""),"Very Good")</f>
        <v>Very Good</v>
      </c>
      <c r="Z2536" s="182" t="str">
        <f>IFERROR(__xludf.DUMMYFUNCTION("""COMPUTED_VALUE"""),"Excellent")</f>
        <v>Excellent</v>
      </c>
      <c r="AA2536" s="182" t="str">
        <f>IFERROR(__xludf.DUMMYFUNCTION("""COMPUTED_VALUE"""),"Very Good")</f>
        <v>Very Good</v>
      </c>
      <c r="AB2536" s="182" t="str">
        <f>IFERROR(__xludf.DUMMYFUNCTION("""COMPUTED_VALUE"""),"Excellent")</f>
        <v>Excellent</v>
      </c>
      <c r="AC2536" s="183"/>
      <c r="AD2536" s="183"/>
      <c r="AE2536" s="183"/>
      <c r="AF2536" s="184"/>
      <c r="AG2536" s="180"/>
      <c r="AH2536" s="185">
        <f>IFERROR(__xludf.DUMMYFUNCTION("""COMPUTED_VALUE"""),43374.05620840278)</f>
        <v>43374.05621</v>
      </c>
      <c r="AI2536" s="182"/>
      <c r="AJ2536" s="182"/>
      <c r="AK2536" s="182"/>
      <c r="AL2536" s="182"/>
    </row>
    <row r="2537" ht="20.25" customHeight="1">
      <c r="A2537" s="169" t="str">
        <f>IFERROR(__xludf.DUMMYFUNCTION("""COMPUTED_VALUE"""),"Sbujold76")</f>
        <v>Sbujold76</v>
      </c>
      <c r="B2537" s="170" t="str">
        <f>IFERROR(__xludf.DUMMYFUNCTION("""COMPUTED_VALUE"""),"Montreal")</f>
        <v>Montreal</v>
      </c>
      <c r="C2537" s="170" t="str">
        <f>IFERROR(__xludf.DUMMYFUNCTION("""COMPUTED_VALUE"""),"QC")</f>
        <v>QC</v>
      </c>
      <c r="D2537" s="170" t="str">
        <f>IFERROR(__xludf.DUMMYFUNCTION("""COMPUTED_VALUE"""),"Canada")</f>
        <v>Canada</v>
      </c>
      <c r="E2537" s="171">
        <f>IFERROR(__xludf.DUMMYFUNCTION("""COMPUTED_VALUE"""),43315.0)</f>
        <v>43315</v>
      </c>
      <c r="F2537" s="172">
        <f>IFERROR(__xludf.DUMMYFUNCTION("""COMPUTED_VALUE"""),43347.0)</f>
        <v>43347</v>
      </c>
      <c r="G2537" s="173"/>
      <c r="H2537" s="174">
        <f>IFERROR(__xludf.DUMMYFUNCTION("""COMPUTED_VALUE"""),108151.0)</f>
        <v>108151</v>
      </c>
      <c r="I2537" s="175" t="str">
        <f>IFERROR(__xludf.DUMMYFUNCTION("""COMPUTED_VALUE"""),"08/18")</f>
        <v>08/18</v>
      </c>
      <c r="J2537" s="172">
        <f>IFERROR(__xludf.DUMMYFUNCTION("""COMPUTED_VALUE"""),43371.0)</f>
        <v>43371</v>
      </c>
      <c r="K2537" s="176">
        <f>IFERROR(__xludf.DUMMYFUNCTION("""COMPUTED_VALUE"""),32.0)</f>
        <v>32</v>
      </c>
      <c r="L2537" s="176">
        <f>IFERROR(__xludf.DUMMYFUNCTION("""COMPUTED_VALUE"""),24.0)</f>
        <v>24</v>
      </c>
      <c r="M2537" s="176">
        <f>IFERROR(__xludf.DUMMYFUNCTION("""COMPUTED_VALUE"""),56.0)</f>
        <v>56</v>
      </c>
      <c r="N2537" s="177" t="str">
        <f>IFERROR(__xludf.DUMMYFUNCTION("""COMPUTED_VALUE"""),"Model 3 Performance")</f>
        <v>Model 3 Performance</v>
      </c>
      <c r="O2537" s="177" t="str">
        <f>IFERROR(__xludf.DUMMYFUNCTION("""COMPUTED_VALUE"""),"Deep Blue Metallic")</f>
        <v>Deep Blue Metallic</v>
      </c>
      <c r="P2537" s="178" t="str">
        <f>IFERROR(__xludf.DUMMYFUNCTION("""COMPUTED_VALUE"""),"20 inch Sport")</f>
        <v>20 inch Sport</v>
      </c>
      <c r="Q2537" s="177" t="str">
        <f>IFERROR(__xludf.DUMMYFUNCTION("""COMPUTED_VALUE"""),"White seats")</f>
        <v>White seats</v>
      </c>
      <c r="R2537" s="170" t="str">
        <f>IFERROR(__xludf.DUMMYFUNCTION("""COMPUTED_VALUE"""),"Full Self-Driving")</f>
        <v>Full Self-Driving</v>
      </c>
      <c r="S2537" s="170"/>
      <c r="T2537" s="179"/>
      <c r="U2537" s="179"/>
      <c r="V2537" s="179"/>
      <c r="W2537" s="180"/>
      <c r="X2537" s="181" t="str">
        <f>IFERROR(__xludf.DUMMYFUNCTION("""COMPUTED_VALUE"""),"Excellent")</f>
        <v>Excellent</v>
      </c>
      <c r="Y2537" s="182" t="str">
        <f>IFERROR(__xludf.DUMMYFUNCTION("""COMPUTED_VALUE"""),"Excellent")</f>
        <v>Excellent</v>
      </c>
      <c r="Z2537" s="182" t="str">
        <f>IFERROR(__xludf.DUMMYFUNCTION("""COMPUTED_VALUE"""),"Excellent")</f>
        <v>Excellent</v>
      </c>
      <c r="AA2537" s="182" t="str">
        <f>IFERROR(__xludf.DUMMYFUNCTION("""COMPUTED_VALUE"""),"Excellent")</f>
        <v>Excellent</v>
      </c>
      <c r="AB2537" s="182" t="str">
        <f>IFERROR(__xludf.DUMMYFUNCTION("""COMPUTED_VALUE"""),"Excellent")</f>
        <v>Excellent</v>
      </c>
      <c r="AC2537" s="183">
        <f>IFERROR(__xludf.DUMMYFUNCTION("""COMPUTED_VALUE"""),1.0)</f>
        <v>1</v>
      </c>
      <c r="AD2537" s="183">
        <f>IFERROR(__xludf.DUMMYFUNCTION("""COMPUTED_VALUE"""),0.0)</f>
        <v>0</v>
      </c>
      <c r="AE2537" s="183">
        <f>IFERROR(__xludf.DUMMYFUNCTION("""COMPUTED_VALUE"""),0.0)</f>
        <v>0</v>
      </c>
      <c r="AF2537" s="184"/>
      <c r="AG2537" s="180" t="str">
        <f>IFERROR(__xludf.DUMMYFUNCTION("""COMPUTED_VALUE"""),"Car in perfect condition ")</f>
        <v>Car in perfect condition </v>
      </c>
      <c r="AH2537" s="185">
        <f>IFERROR(__xludf.DUMMYFUNCTION("""COMPUTED_VALUE"""),43376.41333848379)</f>
        <v>43376.41334</v>
      </c>
      <c r="AI2537" s="182"/>
      <c r="AJ2537" s="182"/>
      <c r="AK2537" s="182"/>
      <c r="AL2537" s="182"/>
    </row>
    <row r="2538" ht="20.25" customHeight="1">
      <c r="A2538" s="169" t="str">
        <f>IFERROR(__xludf.DUMMYFUNCTION("""COMPUTED_VALUE"""),"Mue4")</f>
        <v>Mue4</v>
      </c>
      <c r="B2538" s="170" t="str">
        <f>IFERROR(__xludf.DUMMYFUNCTION("""COMPUTED_VALUE"""),"Minneapolis")</f>
        <v>Minneapolis</v>
      </c>
      <c r="C2538" s="170" t="str">
        <f>IFERROR(__xludf.DUMMYFUNCTION("""COMPUTED_VALUE"""),"MN")</f>
        <v>MN</v>
      </c>
      <c r="D2538" s="170" t="str">
        <f>IFERROR(__xludf.DUMMYFUNCTION("""COMPUTED_VALUE"""),"USA")</f>
        <v>USA</v>
      </c>
      <c r="E2538" s="171">
        <f>IFERROR(__xludf.DUMMYFUNCTION("""COMPUTED_VALUE"""),43314.0)</f>
        <v>43314</v>
      </c>
      <c r="F2538" s="172">
        <f>IFERROR(__xludf.DUMMYFUNCTION("""COMPUTED_VALUE"""),43377.0)</f>
        <v>43377</v>
      </c>
      <c r="G2538" s="173"/>
      <c r="H2538" s="174">
        <f>IFERROR(__xludf.DUMMYFUNCTION("""COMPUTED_VALUE"""),71729.0)</f>
        <v>71729</v>
      </c>
      <c r="I2538" s="175"/>
      <c r="J2538" s="172">
        <f>IFERROR(__xludf.DUMMYFUNCTION("""COMPUTED_VALUE"""),43391.0)</f>
        <v>43391</v>
      </c>
      <c r="K2538" s="176">
        <f>IFERROR(__xludf.DUMMYFUNCTION("""COMPUTED_VALUE"""),63.0)</f>
        <v>63</v>
      </c>
      <c r="L2538" s="176">
        <f>IFERROR(__xludf.DUMMYFUNCTION("""COMPUTED_VALUE"""),14.0)</f>
        <v>14</v>
      </c>
      <c r="M2538" s="176">
        <f>IFERROR(__xludf.DUMMYFUNCTION("""COMPUTED_VALUE"""),77.0)</f>
        <v>77</v>
      </c>
      <c r="N2538" s="177" t="str">
        <f>IFERROR(__xludf.DUMMYFUNCTION("""COMPUTED_VALUE"""),"Model 3 LR AWD")</f>
        <v>Model 3 LR AWD</v>
      </c>
      <c r="O2538" s="177" t="str">
        <f>IFERROR(__xludf.DUMMYFUNCTION("""COMPUTED_VALUE"""),"Obsidian Black Metallic")</f>
        <v>Obsidian Black Metallic</v>
      </c>
      <c r="P2538" s="178" t="str">
        <f>IFERROR(__xludf.DUMMYFUNCTION("""COMPUTED_VALUE"""),"19 inch Sport")</f>
        <v>19 inch Sport</v>
      </c>
      <c r="Q2538" s="177" t="str">
        <f>IFERROR(__xludf.DUMMYFUNCTION("""COMPUTED_VALUE"""),"Black seats")</f>
        <v>Black seats</v>
      </c>
      <c r="R2538" s="170" t="str">
        <f>IFERROR(__xludf.DUMMYFUNCTION("""COMPUTED_VALUE"""),"None")</f>
        <v>None</v>
      </c>
      <c r="S2538" s="170"/>
      <c r="T2538" s="179"/>
      <c r="U2538" s="179"/>
      <c r="V2538" s="179"/>
      <c r="W2538" s="180"/>
      <c r="X2538" s="181" t="str">
        <f>IFERROR(__xludf.DUMMYFUNCTION("""COMPUTED_VALUE"""),"Excellent")</f>
        <v>Excellent</v>
      </c>
      <c r="Y2538" s="182" t="str">
        <f>IFERROR(__xludf.DUMMYFUNCTION("""COMPUTED_VALUE"""),"Excellent")</f>
        <v>Excellent</v>
      </c>
      <c r="Z2538" s="182" t="str">
        <f>IFERROR(__xludf.DUMMYFUNCTION("""COMPUTED_VALUE"""),"Very Good")</f>
        <v>Very Good</v>
      </c>
      <c r="AA2538" s="182" t="str">
        <f>IFERROR(__xludf.DUMMYFUNCTION("""COMPUTED_VALUE"""),"Good")</f>
        <v>Good</v>
      </c>
      <c r="AB2538" s="182" t="str">
        <f>IFERROR(__xludf.DUMMYFUNCTION("""COMPUTED_VALUE"""),"Very Good")</f>
        <v>Very Good</v>
      </c>
      <c r="AC2538" s="183">
        <f>IFERROR(__xludf.DUMMYFUNCTION("""COMPUTED_VALUE"""),3.0)</f>
        <v>3</v>
      </c>
      <c r="AD2538" s="183"/>
      <c r="AE2538" s="183"/>
      <c r="AF2538" s="184"/>
      <c r="AG2538" s="180"/>
      <c r="AH2538" s="185">
        <f>IFERROR(__xludf.DUMMYFUNCTION("""COMPUTED_VALUE"""),43398.30713165509)</f>
        <v>43398.30713</v>
      </c>
      <c r="AI2538" s="182"/>
      <c r="AJ2538" s="182"/>
      <c r="AK2538" s="182"/>
      <c r="AL2538" s="182"/>
    </row>
    <row r="2539" ht="20.25" customHeight="1">
      <c r="A2539" s="169" t="str">
        <f>IFERROR(__xludf.DUMMYFUNCTION("""COMPUTED_VALUE"""),"captainb8")</f>
        <v>captainb8</v>
      </c>
      <c r="B2539" s="170" t="str">
        <f>IFERROR(__xludf.DUMMYFUNCTION("""COMPUTED_VALUE"""),"Cincinnati")</f>
        <v>Cincinnati</v>
      </c>
      <c r="C2539" s="170" t="str">
        <f>IFERROR(__xludf.DUMMYFUNCTION("""COMPUTED_VALUE"""),"OH")</f>
        <v>OH</v>
      </c>
      <c r="D2539" s="170" t="str">
        <f>IFERROR(__xludf.DUMMYFUNCTION("""COMPUTED_VALUE"""),"USA")</f>
        <v>USA</v>
      </c>
      <c r="E2539" s="171">
        <f>IFERROR(__xludf.DUMMYFUNCTION("""COMPUTED_VALUE"""),43313.0)</f>
        <v>43313</v>
      </c>
      <c r="F2539" s="172">
        <f>IFERROR(__xludf.DUMMYFUNCTION("""COMPUTED_VALUE"""),43371.0)</f>
        <v>43371</v>
      </c>
      <c r="G2539" s="173"/>
      <c r="H2539" s="174">
        <f>IFERROR(__xludf.DUMMYFUNCTION("""COMPUTED_VALUE"""),87855.0)</f>
        <v>87855</v>
      </c>
      <c r="I2539" s="175" t="str">
        <f>IFERROR(__xludf.DUMMYFUNCTION("""COMPUTED_VALUE"""),"09/18")</f>
        <v>09/18</v>
      </c>
      <c r="J2539" s="172">
        <f>IFERROR(__xludf.DUMMYFUNCTION("""COMPUTED_VALUE"""),43373.0)</f>
        <v>43373</v>
      </c>
      <c r="K2539" s="176">
        <f>IFERROR(__xludf.DUMMYFUNCTION("""COMPUTED_VALUE"""),58.0)</f>
        <v>58</v>
      </c>
      <c r="L2539" s="176">
        <f>IFERROR(__xludf.DUMMYFUNCTION("""COMPUTED_VALUE"""),2.0)</f>
        <v>2</v>
      </c>
      <c r="M2539" s="176">
        <f>IFERROR(__xludf.DUMMYFUNCTION("""COMPUTED_VALUE"""),60.0)</f>
        <v>60</v>
      </c>
      <c r="N2539" s="177" t="str">
        <f>IFERROR(__xludf.DUMMYFUNCTION("""COMPUTED_VALUE"""),"Model 3 LR AWD")</f>
        <v>Model 3 LR AWD</v>
      </c>
      <c r="O2539" s="177" t="str">
        <f>IFERROR(__xludf.DUMMYFUNCTION("""COMPUTED_VALUE"""),"Red Multi-Coat")</f>
        <v>Red Multi-Coat</v>
      </c>
      <c r="P2539" s="178" t="str">
        <f>IFERROR(__xludf.DUMMYFUNCTION("""COMPUTED_VALUE"""),"19 inch Sport")</f>
        <v>19 inch Sport</v>
      </c>
      <c r="Q2539" s="177" t="str">
        <f>IFERROR(__xludf.DUMMYFUNCTION("""COMPUTED_VALUE"""),"Black seats")</f>
        <v>Black seats</v>
      </c>
      <c r="R2539" s="170" t="str">
        <f>IFERROR(__xludf.DUMMYFUNCTION("""COMPUTED_VALUE"""),"Enhanced Autopilot")</f>
        <v>Enhanced Autopilot</v>
      </c>
      <c r="S2539" s="170"/>
      <c r="T2539" s="179"/>
      <c r="U2539" s="179"/>
      <c r="V2539" s="179"/>
      <c r="W2539" s="180"/>
      <c r="X2539" s="181" t="str">
        <f>IFERROR(__xludf.DUMMYFUNCTION("""COMPUTED_VALUE"""),"Excellent")</f>
        <v>Excellent</v>
      </c>
      <c r="Y2539" s="182" t="str">
        <f>IFERROR(__xludf.DUMMYFUNCTION("""COMPUTED_VALUE"""),"Excellent")</f>
        <v>Excellent</v>
      </c>
      <c r="Z2539" s="182" t="str">
        <f>IFERROR(__xludf.DUMMYFUNCTION("""COMPUTED_VALUE"""),"Excellent")</f>
        <v>Excellent</v>
      </c>
      <c r="AA2539" s="182" t="str">
        <f>IFERROR(__xludf.DUMMYFUNCTION("""COMPUTED_VALUE"""),"Good")</f>
        <v>Good</v>
      </c>
      <c r="AB2539" s="182" t="str">
        <f>IFERROR(__xludf.DUMMYFUNCTION("""COMPUTED_VALUE"""),"Excellent")</f>
        <v>Excellent</v>
      </c>
      <c r="AC2539" s="183"/>
      <c r="AD2539" s="183"/>
      <c r="AE2539" s="183"/>
      <c r="AF2539" s="184"/>
      <c r="AG2539" s="180"/>
      <c r="AH2539" s="185">
        <f>IFERROR(__xludf.DUMMYFUNCTION("""COMPUTED_VALUE"""),43376.25111423611)</f>
        <v>43376.25111</v>
      </c>
      <c r="AI2539" s="182"/>
      <c r="AJ2539" s="182"/>
      <c r="AK2539" s="182"/>
      <c r="AL2539" s="182"/>
    </row>
    <row r="2540" ht="20.25" customHeight="1">
      <c r="A2540" s="169" t="str">
        <f>IFERROR(__xludf.DUMMYFUNCTION("""COMPUTED_VALUE"""),"Dad-Mobile")</f>
        <v>Dad-Mobile</v>
      </c>
      <c r="B2540" s="170"/>
      <c r="C2540" s="170" t="str">
        <f>IFERROR(__xludf.DUMMYFUNCTION("""COMPUTED_VALUE"""),"FL")</f>
        <v>FL</v>
      </c>
      <c r="D2540" s="170" t="str">
        <f>IFERROR(__xludf.DUMMYFUNCTION("""COMPUTED_VALUE"""),"USA")</f>
        <v>USA</v>
      </c>
      <c r="E2540" s="171">
        <f>IFERROR(__xludf.DUMMYFUNCTION("""COMPUTED_VALUE"""),43313.0)</f>
        <v>43313</v>
      </c>
      <c r="F2540" s="172">
        <f>IFERROR(__xludf.DUMMYFUNCTION("""COMPUTED_VALUE"""),43388.0)</f>
        <v>43388</v>
      </c>
      <c r="G2540" s="173"/>
      <c r="H2540" s="174">
        <f>IFERROR(__xludf.DUMMYFUNCTION("""COMPUTED_VALUE"""),118555.0)</f>
        <v>118555</v>
      </c>
      <c r="I2540" s="175"/>
      <c r="J2540" s="172">
        <f>IFERROR(__xludf.DUMMYFUNCTION("""COMPUTED_VALUE"""),43421.0)</f>
        <v>43421</v>
      </c>
      <c r="K2540" s="176">
        <f>IFERROR(__xludf.DUMMYFUNCTION("""COMPUTED_VALUE"""),75.0)</f>
        <v>75</v>
      </c>
      <c r="L2540" s="176">
        <f>IFERROR(__xludf.DUMMYFUNCTION("""COMPUTED_VALUE"""),33.0)</f>
        <v>33</v>
      </c>
      <c r="M2540" s="176">
        <f>IFERROR(__xludf.DUMMYFUNCTION("""COMPUTED_VALUE"""),108.0)</f>
        <v>108</v>
      </c>
      <c r="N2540" s="177" t="str">
        <f>IFERROR(__xludf.DUMMYFUNCTION("""COMPUTED_VALUE"""),"Model 3 LR AWD")</f>
        <v>Model 3 LR AWD</v>
      </c>
      <c r="O2540" s="177" t="str">
        <f>IFERROR(__xludf.DUMMYFUNCTION("""COMPUTED_VALUE"""),"Solid Black")</f>
        <v>Solid Black</v>
      </c>
      <c r="P2540" s="178" t="str">
        <f>IFERROR(__xludf.DUMMYFUNCTION("""COMPUTED_VALUE"""),"18 inch Aero")</f>
        <v>18 inch Aero</v>
      </c>
      <c r="Q2540" s="177" t="str">
        <f>IFERROR(__xludf.DUMMYFUNCTION("""COMPUTED_VALUE"""),"Black seats")</f>
        <v>Black seats</v>
      </c>
      <c r="R2540" s="170" t="str">
        <f>IFERROR(__xludf.DUMMYFUNCTION("""COMPUTED_VALUE"""),"Full Self-Driving")</f>
        <v>Full Self-Driving</v>
      </c>
      <c r="S2540" s="170"/>
      <c r="T2540" s="179"/>
      <c r="U2540" s="179"/>
      <c r="V2540" s="179"/>
      <c r="W2540" s="180"/>
      <c r="X2540" s="181" t="str">
        <f>IFERROR(__xludf.DUMMYFUNCTION("""COMPUTED_VALUE"""),"Excellent")</f>
        <v>Excellent</v>
      </c>
      <c r="Y2540" s="182" t="str">
        <f>IFERROR(__xludf.DUMMYFUNCTION("""COMPUTED_VALUE"""),"Excellent")</f>
        <v>Excellent</v>
      </c>
      <c r="Z2540" s="182" t="str">
        <f>IFERROR(__xludf.DUMMYFUNCTION("""COMPUTED_VALUE"""),"Excellent")</f>
        <v>Excellent</v>
      </c>
      <c r="AA2540" s="182" t="str">
        <f>IFERROR(__xludf.DUMMYFUNCTION("""COMPUTED_VALUE"""),"Good")</f>
        <v>Good</v>
      </c>
      <c r="AB2540" s="182" t="str">
        <f>IFERROR(__xludf.DUMMYFUNCTION("""COMPUTED_VALUE"""),"Very Good")</f>
        <v>Very Good</v>
      </c>
      <c r="AC2540" s="183"/>
      <c r="AD2540" s="183"/>
      <c r="AE2540" s="183"/>
      <c r="AF2540" s="184"/>
      <c r="AG2540" s="180"/>
      <c r="AH2540" s="185">
        <f>IFERROR(__xludf.DUMMYFUNCTION("""COMPUTED_VALUE"""),43422.706952025466)</f>
        <v>43422.70695</v>
      </c>
      <c r="AI2540" s="182"/>
      <c r="AJ2540" s="182"/>
      <c r="AK2540" s="182"/>
      <c r="AL2540" s="182"/>
    </row>
    <row r="2541" ht="20.25" customHeight="1">
      <c r="A2541" s="169" t="str">
        <f>IFERROR(__xludf.DUMMYFUNCTION("""COMPUTED_VALUE"""),"evpulse")</f>
        <v>evpulse</v>
      </c>
      <c r="B2541" s="170" t="str">
        <f>IFERROR(__xludf.DUMMYFUNCTION("""COMPUTED_VALUE"""),"San Diego")</f>
        <v>San Diego</v>
      </c>
      <c r="C2541" s="170" t="str">
        <f>IFERROR(__xludf.DUMMYFUNCTION("""COMPUTED_VALUE"""),"CA")</f>
        <v>CA</v>
      </c>
      <c r="D2541" s="170" t="str">
        <f>IFERROR(__xludf.DUMMYFUNCTION("""COMPUTED_VALUE"""),"USA")</f>
        <v>USA</v>
      </c>
      <c r="E2541" s="171">
        <f>IFERROR(__xludf.DUMMYFUNCTION("""COMPUTED_VALUE"""),43313.0)</f>
        <v>43313</v>
      </c>
      <c r="F2541" s="172">
        <f>IFERROR(__xludf.DUMMYFUNCTION("""COMPUTED_VALUE"""),43347.0)</f>
        <v>43347</v>
      </c>
      <c r="G2541" s="173"/>
      <c r="H2541" s="174">
        <f>IFERROR(__xludf.DUMMYFUNCTION("""COMPUTED_VALUE"""),73117.0)</f>
        <v>73117</v>
      </c>
      <c r="I2541" s="175" t="str">
        <f>IFERROR(__xludf.DUMMYFUNCTION("""COMPUTED_VALUE"""),"08/18")</f>
        <v>08/18</v>
      </c>
      <c r="J2541" s="172">
        <f>IFERROR(__xludf.DUMMYFUNCTION("""COMPUTED_VALUE"""),43351.0)</f>
        <v>43351</v>
      </c>
      <c r="K2541" s="176">
        <f>IFERROR(__xludf.DUMMYFUNCTION("""COMPUTED_VALUE"""),34.0)</f>
        <v>34</v>
      </c>
      <c r="L2541" s="176">
        <f>IFERROR(__xludf.DUMMYFUNCTION("""COMPUTED_VALUE"""),4.0)</f>
        <v>4</v>
      </c>
      <c r="M2541" s="176">
        <f>IFERROR(__xludf.DUMMYFUNCTION("""COMPUTED_VALUE"""),38.0)</f>
        <v>38</v>
      </c>
      <c r="N2541" s="177" t="str">
        <f>IFERROR(__xludf.DUMMYFUNCTION("""COMPUTED_VALUE"""),"Model 3 Performance")</f>
        <v>Model 3 Performance</v>
      </c>
      <c r="O2541" s="177" t="str">
        <f>IFERROR(__xludf.DUMMYFUNCTION("""COMPUTED_VALUE"""),"Midnight Silver Metallic")</f>
        <v>Midnight Silver Metallic</v>
      </c>
      <c r="P2541" s="178" t="str">
        <f>IFERROR(__xludf.DUMMYFUNCTION("""COMPUTED_VALUE"""),"20 inch Sport")</f>
        <v>20 inch Sport</v>
      </c>
      <c r="Q2541" s="177" t="str">
        <f>IFERROR(__xludf.DUMMYFUNCTION("""COMPUTED_VALUE"""),"Black seats")</f>
        <v>Black seats</v>
      </c>
      <c r="R2541" s="170" t="str">
        <f>IFERROR(__xludf.DUMMYFUNCTION("""COMPUTED_VALUE"""),"Full Self-Driving")</f>
        <v>Full Self-Driving</v>
      </c>
      <c r="S2541" s="170"/>
      <c r="T2541" s="179"/>
      <c r="U2541" s="179"/>
      <c r="V2541" s="179"/>
      <c r="W2541" s="180"/>
      <c r="X2541" s="181" t="str">
        <f>IFERROR(__xludf.DUMMYFUNCTION("""COMPUTED_VALUE"""),"Very Good")</f>
        <v>Very Good</v>
      </c>
      <c r="Y2541" s="182" t="str">
        <f>IFERROR(__xludf.DUMMYFUNCTION("""COMPUTED_VALUE"""),"Excellent")</f>
        <v>Excellent</v>
      </c>
      <c r="Z2541" s="182" t="str">
        <f>IFERROR(__xludf.DUMMYFUNCTION("""COMPUTED_VALUE"""),"Excellent")</f>
        <v>Excellent</v>
      </c>
      <c r="AA2541" s="182" t="str">
        <f>IFERROR(__xludf.DUMMYFUNCTION("""COMPUTED_VALUE"""),"Excellent")</f>
        <v>Excellent</v>
      </c>
      <c r="AB2541" s="182" t="str">
        <f>IFERROR(__xludf.DUMMYFUNCTION("""COMPUTED_VALUE"""),"Excellent")</f>
        <v>Excellent</v>
      </c>
      <c r="AC2541" s="183"/>
      <c r="AD2541" s="183"/>
      <c r="AE2541" s="183"/>
      <c r="AF2541" s="184"/>
      <c r="AG2541" s="180"/>
      <c r="AH2541" s="185">
        <f>IFERROR(__xludf.DUMMYFUNCTION("""COMPUTED_VALUE"""),43351.88789327546)</f>
        <v>43351.88789</v>
      </c>
      <c r="AI2541" s="182"/>
      <c r="AJ2541" s="182"/>
      <c r="AK2541" s="182"/>
      <c r="AL2541" s="182"/>
    </row>
    <row r="2542" ht="20.25" customHeight="1">
      <c r="A2542" s="169" t="str">
        <f>IFERROR(__xludf.DUMMYFUNCTION("""COMPUTED_VALUE"""),"tigerrr")</f>
        <v>tigerrr</v>
      </c>
      <c r="B2542" s="170" t="str">
        <f>IFERROR(__xludf.DUMMYFUNCTION("""COMPUTED_VALUE"""),"Holland")</f>
        <v>Holland</v>
      </c>
      <c r="C2542" s="170" t="str">
        <f>IFERROR(__xludf.DUMMYFUNCTION("""COMPUTED_VALUE"""),"MI")</f>
        <v>MI</v>
      </c>
      <c r="D2542" s="170" t="str">
        <f>IFERROR(__xludf.DUMMYFUNCTION("""COMPUTED_VALUE"""),"USA")</f>
        <v>USA</v>
      </c>
      <c r="E2542" s="171">
        <f>IFERROR(__xludf.DUMMYFUNCTION("""COMPUTED_VALUE"""),43313.0)</f>
        <v>43313</v>
      </c>
      <c r="F2542" s="172">
        <f>IFERROR(__xludf.DUMMYFUNCTION("""COMPUTED_VALUE"""),43344.0)</f>
        <v>43344</v>
      </c>
      <c r="G2542" s="173"/>
      <c r="H2542" s="174">
        <f>IFERROR(__xludf.DUMMYFUNCTION("""COMPUTED_VALUE"""),90755.0)</f>
        <v>90755</v>
      </c>
      <c r="I2542" s="175" t="str">
        <f>IFERROR(__xludf.DUMMYFUNCTION("""COMPUTED_VALUE"""),"09/18")</f>
        <v>09/18</v>
      </c>
      <c r="J2542" s="172">
        <f>IFERROR(__xludf.DUMMYFUNCTION("""COMPUTED_VALUE"""),43370.0)</f>
        <v>43370</v>
      </c>
      <c r="K2542" s="176">
        <f>IFERROR(__xludf.DUMMYFUNCTION("""COMPUTED_VALUE"""),31.0)</f>
        <v>31</v>
      </c>
      <c r="L2542" s="176">
        <f>IFERROR(__xludf.DUMMYFUNCTION("""COMPUTED_VALUE"""),26.0)</f>
        <v>26</v>
      </c>
      <c r="M2542" s="176">
        <f>IFERROR(__xludf.DUMMYFUNCTION("""COMPUTED_VALUE"""),57.0)</f>
        <v>57</v>
      </c>
      <c r="N2542" s="177" t="str">
        <f>IFERROR(__xludf.DUMMYFUNCTION("""COMPUTED_VALUE"""),"Model 3 LR AWD")</f>
        <v>Model 3 LR AWD</v>
      </c>
      <c r="O2542" s="177" t="str">
        <f>IFERROR(__xludf.DUMMYFUNCTION("""COMPUTED_VALUE"""),"Midnight Silver Metallic")</f>
        <v>Midnight Silver Metallic</v>
      </c>
      <c r="P2542" s="178" t="str">
        <f>IFERROR(__xludf.DUMMYFUNCTION("""COMPUTED_VALUE"""),"19 inch Sport")</f>
        <v>19 inch Sport</v>
      </c>
      <c r="Q2542" s="177" t="str">
        <f>IFERROR(__xludf.DUMMYFUNCTION("""COMPUTED_VALUE"""),"Black seats")</f>
        <v>Black seats</v>
      </c>
      <c r="R2542" s="170" t="str">
        <f>IFERROR(__xludf.DUMMYFUNCTION("""COMPUTED_VALUE"""),"Full Self-Driving")</f>
        <v>Full Self-Driving</v>
      </c>
      <c r="S2542" s="170"/>
      <c r="T2542" s="179"/>
      <c r="U2542" s="179"/>
      <c r="V2542" s="179"/>
      <c r="W2542" s="180"/>
      <c r="X2542" s="181" t="str">
        <f>IFERROR(__xludf.DUMMYFUNCTION("""COMPUTED_VALUE"""),"Excellent")</f>
        <v>Excellent</v>
      </c>
      <c r="Y2542" s="182" t="str">
        <f>IFERROR(__xludf.DUMMYFUNCTION("""COMPUTED_VALUE"""),"Excellent")</f>
        <v>Excellent</v>
      </c>
      <c r="Z2542" s="182" t="str">
        <f>IFERROR(__xludf.DUMMYFUNCTION("""COMPUTED_VALUE"""),"Very Good")</f>
        <v>Very Good</v>
      </c>
      <c r="AA2542" s="182" t="str">
        <f>IFERROR(__xludf.DUMMYFUNCTION("""COMPUTED_VALUE"""),"Good")</f>
        <v>Good</v>
      </c>
      <c r="AB2542" s="182" t="str">
        <f>IFERROR(__xludf.DUMMYFUNCTION("""COMPUTED_VALUE"""),"Good")</f>
        <v>Good</v>
      </c>
      <c r="AC2542" s="183"/>
      <c r="AD2542" s="183"/>
      <c r="AE2542" s="183"/>
      <c r="AF2542" s="184"/>
      <c r="AG2542" s="180"/>
      <c r="AH2542" s="185">
        <f>IFERROR(__xludf.DUMMYFUNCTION("""COMPUTED_VALUE"""),43381.41244988426)</f>
        <v>43381.41245</v>
      </c>
      <c r="AI2542" s="182"/>
      <c r="AJ2542" s="182"/>
      <c r="AK2542" s="182"/>
      <c r="AL2542" s="182"/>
    </row>
    <row r="2543" ht="20.25" customHeight="1">
      <c r="A2543" s="169" t="str">
        <f>IFERROR(__xludf.DUMMYFUNCTION("""COMPUTED_VALUE"""),"Tommy Bahama")</f>
        <v>Tommy Bahama</v>
      </c>
      <c r="B2543" s="170"/>
      <c r="C2543" s="170" t="str">
        <f>IFERROR(__xludf.DUMMYFUNCTION("""COMPUTED_VALUE"""),"OK")</f>
        <v>OK</v>
      </c>
      <c r="D2543" s="170" t="str">
        <f>IFERROR(__xludf.DUMMYFUNCTION("""COMPUTED_VALUE"""),"USA")</f>
        <v>USA</v>
      </c>
      <c r="E2543" s="171">
        <f>IFERROR(__xludf.DUMMYFUNCTION("""COMPUTED_VALUE"""),43313.0)</f>
        <v>43313</v>
      </c>
      <c r="F2543" s="172">
        <f>IFERROR(__xludf.DUMMYFUNCTION("""COMPUTED_VALUE"""),43342.0)</f>
        <v>43342</v>
      </c>
      <c r="G2543" s="173"/>
      <c r="H2543" s="174">
        <f>IFERROR(__xludf.DUMMYFUNCTION("""COMPUTED_VALUE"""),69655.0)</f>
        <v>69655</v>
      </c>
      <c r="I2543" s="175" t="str">
        <f>IFERROR(__xludf.DUMMYFUNCTION("""COMPUTED_VALUE"""),"08/18")</f>
        <v>08/18</v>
      </c>
      <c r="J2543" s="172">
        <f>IFERROR(__xludf.DUMMYFUNCTION("""COMPUTED_VALUE"""),43353.0)</f>
        <v>43353</v>
      </c>
      <c r="K2543" s="176">
        <f>IFERROR(__xludf.DUMMYFUNCTION("""COMPUTED_VALUE"""),29.0)</f>
        <v>29</v>
      </c>
      <c r="L2543" s="176">
        <f>IFERROR(__xludf.DUMMYFUNCTION("""COMPUTED_VALUE"""),11.0)</f>
        <v>11</v>
      </c>
      <c r="M2543" s="176">
        <f>IFERROR(__xludf.DUMMYFUNCTION("""COMPUTED_VALUE"""),40.0)</f>
        <v>40</v>
      </c>
      <c r="N2543" s="177" t="str">
        <f>IFERROR(__xludf.DUMMYFUNCTION("""COMPUTED_VALUE"""),"Model 3 Performance")</f>
        <v>Model 3 Performance</v>
      </c>
      <c r="O2543" s="177" t="str">
        <f>IFERROR(__xludf.DUMMYFUNCTION("""COMPUTED_VALUE"""),"Obsidian Black Metallic")</f>
        <v>Obsidian Black Metallic</v>
      </c>
      <c r="P2543" s="178" t="str">
        <f>IFERROR(__xludf.DUMMYFUNCTION("""COMPUTED_VALUE"""),"20 inch Sport")</f>
        <v>20 inch Sport</v>
      </c>
      <c r="Q2543" s="177" t="str">
        <f>IFERROR(__xludf.DUMMYFUNCTION("""COMPUTED_VALUE"""),"Black seats")</f>
        <v>Black seats</v>
      </c>
      <c r="R2543" s="170" t="str">
        <f>IFERROR(__xludf.DUMMYFUNCTION("""COMPUTED_VALUE"""),"Enhanced Autopilot")</f>
        <v>Enhanced Autopilot</v>
      </c>
      <c r="S2543" s="170"/>
      <c r="T2543" s="179"/>
      <c r="U2543" s="179"/>
      <c r="V2543" s="179"/>
      <c r="W2543" s="180"/>
      <c r="X2543" s="181" t="str">
        <f>IFERROR(__xludf.DUMMYFUNCTION("""COMPUTED_VALUE"""),"Excellent")</f>
        <v>Excellent</v>
      </c>
      <c r="Y2543" s="182" t="str">
        <f>IFERROR(__xludf.DUMMYFUNCTION("""COMPUTED_VALUE"""),"Excellent")</f>
        <v>Excellent</v>
      </c>
      <c r="Z2543" s="182" t="str">
        <f>IFERROR(__xludf.DUMMYFUNCTION("""COMPUTED_VALUE"""),"Fair")</f>
        <v>Fair</v>
      </c>
      <c r="AA2543" s="182" t="str">
        <f>IFERROR(__xludf.DUMMYFUNCTION("""COMPUTED_VALUE"""),"Good")</f>
        <v>Good</v>
      </c>
      <c r="AB2543" s="182" t="str">
        <f>IFERROR(__xludf.DUMMYFUNCTION("""COMPUTED_VALUE"""),"Good")</f>
        <v>Good</v>
      </c>
      <c r="AC2543" s="183"/>
      <c r="AD2543" s="183"/>
      <c r="AE2543" s="183"/>
      <c r="AF2543" s="184"/>
      <c r="AG2543" s="180"/>
      <c r="AH2543" s="185">
        <f>IFERROR(__xludf.DUMMYFUNCTION("""COMPUTED_VALUE"""),43354.30999540509)</f>
        <v>43354.31</v>
      </c>
      <c r="AI2543" s="182"/>
      <c r="AJ2543" s="182"/>
      <c r="AK2543" s="182"/>
      <c r="AL2543" s="182"/>
    </row>
    <row r="2544" ht="20.25" customHeight="1">
      <c r="A2544" s="169" t="str">
        <f>IFERROR(__xludf.DUMMYFUNCTION("""COMPUTED_VALUE"""),"wakachamo")</f>
        <v>wakachamo</v>
      </c>
      <c r="B2544" s="170"/>
      <c r="C2544" s="170" t="str">
        <f>IFERROR(__xludf.DUMMYFUNCTION("""COMPUTED_VALUE"""),"CA")</f>
        <v>CA</v>
      </c>
      <c r="D2544" s="170" t="str">
        <f>IFERROR(__xludf.DUMMYFUNCTION("""COMPUTED_VALUE"""),"USA")</f>
        <v>USA</v>
      </c>
      <c r="E2544" s="171">
        <f>IFERROR(__xludf.DUMMYFUNCTION("""COMPUTED_VALUE"""),43313.0)</f>
        <v>43313</v>
      </c>
      <c r="F2544" s="172">
        <f>IFERROR(__xludf.DUMMYFUNCTION("""COMPUTED_VALUE"""),43319.0)</f>
        <v>43319</v>
      </c>
      <c r="G2544" s="173"/>
      <c r="H2544" s="174">
        <f>IFERROR(__xludf.DUMMYFUNCTION("""COMPUTED_VALUE"""),42655.0)</f>
        <v>42655</v>
      </c>
      <c r="I2544" s="175" t="str">
        <f>IFERROR(__xludf.DUMMYFUNCTION("""COMPUTED_VALUE"""),"06/18")</f>
        <v>06/18</v>
      </c>
      <c r="J2544" s="172">
        <f>IFERROR(__xludf.DUMMYFUNCTION("""COMPUTED_VALUE"""),43325.0)</f>
        <v>43325</v>
      </c>
      <c r="K2544" s="176">
        <f>IFERROR(__xludf.DUMMYFUNCTION("""COMPUTED_VALUE"""),6.0)</f>
        <v>6</v>
      </c>
      <c r="L2544" s="176">
        <f>IFERROR(__xludf.DUMMYFUNCTION("""COMPUTED_VALUE"""),6.0)</f>
        <v>6</v>
      </c>
      <c r="M2544" s="176">
        <f>IFERROR(__xludf.DUMMYFUNCTION("""COMPUTED_VALUE"""),12.0)</f>
        <v>12</v>
      </c>
      <c r="N2544" s="177" t="str">
        <f>IFERROR(__xludf.DUMMYFUNCTION("""COMPUTED_VALUE"""),"Model 3 LR")</f>
        <v>Model 3 LR</v>
      </c>
      <c r="O2544" s="177" t="str">
        <f>IFERROR(__xludf.DUMMYFUNCTION("""COMPUTED_VALUE"""),"Deep Blue Metallic")</f>
        <v>Deep Blue Metallic</v>
      </c>
      <c r="P2544" s="178" t="str">
        <f>IFERROR(__xludf.DUMMYFUNCTION("""COMPUTED_VALUE"""),"19 inch Sport")</f>
        <v>19 inch Sport</v>
      </c>
      <c r="Q2544" s="177" t="str">
        <f>IFERROR(__xludf.DUMMYFUNCTION("""COMPUTED_VALUE"""),"Black seats")</f>
        <v>Black seats</v>
      </c>
      <c r="R2544" s="170" t="str">
        <f>IFERROR(__xludf.DUMMYFUNCTION("""COMPUTED_VALUE"""),"Enhanced Autopilot")</f>
        <v>Enhanced Autopilot</v>
      </c>
      <c r="S2544" s="170"/>
      <c r="T2544" s="179"/>
      <c r="U2544" s="179"/>
      <c r="V2544" s="179"/>
      <c r="W2544" s="180"/>
      <c r="X2544" s="181" t="str">
        <f>IFERROR(__xludf.DUMMYFUNCTION("""COMPUTED_VALUE"""),"Excellent")</f>
        <v>Excellent</v>
      </c>
      <c r="Y2544" s="182" t="str">
        <f>IFERROR(__xludf.DUMMYFUNCTION("""COMPUTED_VALUE"""),"Good")</f>
        <v>Good</v>
      </c>
      <c r="Z2544" s="182" t="str">
        <f>IFERROR(__xludf.DUMMYFUNCTION("""COMPUTED_VALUE"""),"Excellent")</f>
        <v>Excellent</v>
      </c>
      <c r="AA2544" s="182" t="str">
        <f>IFERROR(__xludf.DUMMYFUNCTION("""COMPUTED_VALUE"""),"Good")</f>
        <v>Good</v>
      </c>
      <c r="AB2544" s="182" t="str">
        <f>IFERROR(__xludf.DUMMYFUNCTION("""COMPUTED_VALUE"""),"Very Good")</f>
        <v>Very Good</v>
      </c>
      <c r="AC2544" s="183">
        <f>IFERROR(__xludf.DUMMYFUNCTION("""COMPUTED_VALUE"""),0.0)</f>
        <v>0</v>
      </c>
      <c r="AD2544" s="183">
        <f>IFERROR(__xludf.DUMMYFUNCTION("""COMPUTED_VALUE"""),0.0)</f>
        <v>0</v>
      </c>
      <c r="AE2544" s="183">
        <f>IFERROR(__xludf.DUMMYFUNCTION("""COMPUTED_VALUE"""),0.0)</f>
        <v>0</v>
      </c>
      <c r="AF2544" s="184"/>
      <c r="AG2544" s="180"/>
      <c r="AH2544" s="185">
        <f>IFERROR(__xludf.DUMMYFUNCTION("""COMPUTED_VALUE"""),43335.92710148149)</f>
        <v>43335.9271</v>
      </c>
      <c r="AI2544" s="182"/>
      <c r="AJ2544" s="182"/>
      <c r="AK2544" s="182"/>
      <c r="AL2544" s="182"/>
    </row>
    <row r="2545" ht="20.25" customHeight="1">
      <c r="A2545" s="169" t="str">
        <f>IFERROR(__xludf.DUMMYFUNCTION("""COMPUTED_VALUE"""),"eric_in_co")</f>
        <v>eric_in_co</v>
      </c>
      <c r="B2545" s="170" t="str">
        <f>IFERROR(__xludf.DUMMYFUNCTION("""COMPUTED_VALUE"""),"Denver suburbs")</f>
        <v>Denver suburbs</v>
      </c>
      <c r="C2545" s="170" t="str">
        <f>IFERROR(__xludf.DUMMYFUNCTION("""COMPUTED_VALUE"""),"CO")</f>
        <v>CO</v>
      </c>
      <c r="D2545" s="170" t="str">
        <f>IFERROR(__xludf.DUMMYFUNCTION("""COMPUTED_VALUE"""),"USA")</f>
        <v>USA</v>
      </c>
      <c r="E2545" s="171">
        <f>IFERROR(__xludf.DUMMYFUNCTION("""COMPUTED_VALUE"""),43312.0)</f>
        <v>43312</v>
      </c>
      <c r="F2545" s="172">
        <f>IFERROR(__xludf.DUMMYFUNCTION("""COMPUTED_VALUE"""),43368.0)</f>
        <v>43368</v>
      </c>
      <c r="G2545" s="173"/>
      <c r="H2545" s="174">
        <f>IFERROR(__xludf.DUMMYFUNCTION("""COMPUTED_VALUE"""),104755.0)</f>
        <v>104755</v>
      </c>
      <c r="I2545" s="175" t="str">
        <f>IFERROR(__xludf.DUMMYFUNCTION("""COMPUTED_VALUE"""),"09/18")</f>
        <v>09/18</v>
      </c>
      <c r="J2545" s="172">
        <f>IFERROR(__xludf.DUMMYFUNCTION("""COMPUTED_VALUE"""),43371.0)</f>
        <v>43371</v>
      </c>
      <c r="K2545" s="176">
        <f>IFERROR(__xludf.DUMMYFUNCTION("""COMPUTED_VALUE"""),56.0)</f>
        <v>56</v>
      </c>
      <c r="L2545" s="176">
        <f>IFERROR(__xludf.DUMMYFUNCTION("""COMPUTED_VALUE"""),3.0)</f>
        <v>3</v>
      </c>
      <c r="M2545" s="176">
        <f>IFERROR(__xludf.DUMMYFUNCTION("""COMPUTED_VALUE"""),59.0)</f>
        <v>59</v>
      </c>
      <c r="N2545" s="177" t="str">
        <f>IFERROR(__xludf.DUMMYFUNCTION("""COMPUTED_VALUE"""),"Model 3 LR AWD")</f>
        <v>Model 3 LR AWD</v>
      </c>
      <c r="O2545" s="177" t="str">
        <f>IFERROR(__xludf.DUMMYFUNCTION("""COMPUTED_VALUE"""),"Red Multi-Coat")</f>
        <v>Red Multi-Coat</v>
      </c>
      <c r="P2545" s="178" t="str">
        <f>IFERROR(__xludf.DUMMYFUNCTION("""COMPUTED_VALUE"""),"18 inch Aero")</f>
        <v>18 inch Aero</v>
      </c>
      <c r="Q2545" s="177" t="str">
        <f>IFERROR(__xludf.DUMMYFUNCTION("""COMPUTED_VALUE"""),"Black seats")</f>
        <v>Black seats</v>
      </c>
      <c r="R2545" s="170" t="str">
        <f>IFERROR(__xludf.DUMMYFUNCTION("""COMPUTED_VALUE"""),"None")</f>
        <v>None</v>
      </c>
      <c r="S2545" s="170"/>
      <c r="T2545" s="179"/>
      <c r="U2545" s="179"/>
      <c r="V2545" s="179"/>
      <c r="W2545" s="180"/>
      <c r="X2545" s="181" t="str">
        <f>IFERROR(__xludf.DUMMYFUNCTION("""COMPUTED_VALUE"""),"Very Good")</f>
        <v>Very Good</v>
      </c>
      <c r="Y2545" s="182" t="str">
        <f>IFERROR(__xludf.DUMMYFUNCTION("""COMPUTED_VALUE"""),"Very Good")</f>
        <v>Very Good</v>
      </c>
      <c r="Z2545" s="182" t="str">
        <f>IFERROR(__xludf.DUMMYFUNCTION("""COMPUTED_VALUE"""),"Very Good")</f>
        <v>Very Good</v>
      </c>
      <c r="AA2545" s="182" t="str">
        <f>IFERROR(__xludf.DUMMYFUNCTION("""COMPUTED_VALUE"""),"Fair")</f>
        <v>Fair</v>
      </c>
      <c r="AB2545" s="182" t="str">
        <f>IFERROR(__xludf.DUMMYFUNCTION("""COMPUTED_VALUE"""),"Very Good")</f>
        <v>Very Good</v>
      </c>
      <c r="AC2545" s="183">
        <f>IFERROR(__xludf.DUMMYFUNCTION("""COMPUTED_VALUE"""),1.0)</f>
        <v>1</v>
      </c>
      <c r="AD2545" s="183">
        <f>IFERROR(__xludf.DUMMYFUNCTION("""COMPUTED_VALUE"""),1.0)</f>
        <v>1</v>
      </c>
      <c r="AE2545" s="183">
        <f>IFERROR(__xludf.DUMMYFUNCTION("""COMPUTED_VALUE"""),0.0)</f>
        <v>0</v>
      </c>
      <c r="AF2545" s="184"/>
      <c r="AG2545" s="180"/>
      <c r="AH2545" s="185">
        <f>IFERROR(__xludf.DUMMYFUNCTION("""COMPUTED_VALUE"""),43417.632178495376)</f>
        <v>43417.63218</v>
      </c>
      <c r="AI2545" s="182"/>
      <c r="AJ2545" s="182"/>
      <c r="AK2545" s="182"/>
      <c r="AL2545" s="182"/>
    </row>
    <row r="2546" ht="20.25" customHeight="1">
      <c r="A2546" s="169" t="str">
        <f>IFERROR(__xludf.DUMMYFUNCTION("""COMPUTED_VALUE"""),"FalconHeavy")</f>
        <v>FalconHeavy</v>
      </c>
      <c r="B2546" s="170" t="str">
        <f>IFERROR(__xludf.DUMMYFUNCTION("""COMPUTED_VALUE"""),"Omaha")</f>
        <v>Omaha</v>
      </c>
      <c r="C2546" s="170" t="str">
        <f>IFERROR(__xludf.DUMMYFUNCTION("""COMPUTED_VALUE"""),"NE")</f>
        <v>NE</v>
      </c>
      <c r="D2546" s="170" t="str">
        <f>IFERROR(__xludf.DUMMYFUNCTION("""COMPUTED_VALUE"""),"USA")</f>
        <v>USA</v>
      </c>
      <c r="E2546" s="171">
        <f>IFERROR(__xludf.DUMMYFUNCTION("""COMPUTED_VALUE"""),43312.0)</f>
        <v>43312</v>
      </c>
      <c r="F2546" s="172">
        <f>IFERROR(__xludf.DUMMYFUNCTION("""COMPUTED_VALUE"""),43347.0)</f>
        <v>43347</v>
      </c>
      <c r="G2546" s="173"/>
      <c r="H2546" s="174">
        <f>IFERROR(__xludf.DUMMYFUNCTION("""COMPUTED_VALUE"""),61555.0)</f>
        <v>61555</v>
      </c>
      <c r="I2546" s="175" t="str">
        <f>IFERROR(__xludf.DUMMYFUNCTION("""COMPUTED_VALUE"""),"08/18")</f>
        <v>08/18</v>
      </c>
      <c r="J2546" s="172">
        <f>IFERROR(__xludf.DUMMYFUNCTION("""COMPUTED_VALUE"""),43364.0)</f>
        <v>43364</v>
      </c>
      <c r="K2546" s="176">
        <f>IFERROR(__xludf.DUMMYFUNCTION("""COMPUTED_VALUE"""),35.0)</f>
        <v>35</v>
      </c>
      <c r="L2546" s="176">
        <f>IFERROR(__xludf.DUMMYFUNCTION("""COMPUTED_VALUE"""),17.0)</f>
        <v>17</v>
      </c>
      <c r="M2546" s="176">
        <f>IFERROR(__xludf.DUMMYFUNCTION("""COMPUTED_VALUE"""),52.0)</f>
        <v>52</v>
      </c>
      <c r="N2546" s="177" t="str">
        <f>IFERROR(__xludf.DUMMYFUNCTION("""COMPUTED_VALUE"""),"Model 3 LR")</f>
        <v>Model 3 LR</v>
      </c>
      <c r="O2546" s="177" t="str">
        <f>IFERROR(__xludf.DUMMYFUNCTION("""COMPUTED_VALUE"""),"Red Multi-Coat")</f>
        <v>Red Multi-Coat</v>
      </c>
      <c r="P2546" s="178" t="str">
        <f>IFERROR(__xludf.DUMMYFUNCTION("""COMPUTED_VALUE"""),"19 inch Sport")</f>
        <v>19 inch Sport</v>
      </c>
      <c r="Q2546" s="177" t="str">
        <f>IFERROR(__xludf.DUMMYFUNCTION("""COMPUTED_VALUE"""),"Black seats")</f>
        <v>Black seats</v>
      </c>
      <c r="R2546" s="170" t="str">
        <f>IFERROR(__xludf.DUMMYFUNCTION("""COMPUTED_VALUE"""),"None")</f>
        <v>None</v>
      </c>
      <c r="S2546" s="170"/>
      <c r="T2546" s="179"/>
      <c r="U2546" s="179"/>
      <c r="V2546" s="179"/>
      <c r="W2546" s="180"/>
      <c r="X2546" s="181" t="str">
        <f>IFERROR(__xludf.DUMMYFUNCTION("""COMPUTED_VALUE"""),"Very Good")</f>
        <v>Very Good</v>
      </c>
      <c r="Y2546" s="182" t="str">
        <f>IFERROR(__xludf.DUMMYFUNCTION("""COMPUTED_VALUE"""),"Very Good")</f>
        <v>Very Good</v>
      </c>
      <c r="Z2546" s="182" t="str">
        <f>IFERROR(__xludf.DUMMYFUNCTION("""COMPUTED_VALUE"""),"Very Good")</f>
        <v>Very Good</v>
      </c>
      <c r="AA2546" s="182" t="str">
        <f>IFERROR(__xludf.DUMMYFUNCTION("""COMPUTED_VALUE"""),"Excellent")</f>
        <v>Excellent</v>
      </c>
      <c r="AB2546" s="182" t="str">
        <f>IFERROR(__xludf.DUMMYFUNCTION("""COMPUTED_VALUE"""),"Very Good")</f>
        <v>Very Good</v>
      </c>
      <c r="AC2546" s="183">
        <f>IFERROR(__xludf.DUMMYFUNCTION("""COMPUTED_VALUE"""),1.0)</f>
        <v>1</v>
      </c>
      <c r="AD2546" s="183">
        <f>IFERROR(__xludf.DUMMYFUNCTION("""COMPUTED_VALUE"""),1.0)</f>
        <v>1</v>
      </c>
      <c r="AE2546" s="183">
        <f>IFERROR(__xludf.DUMMYFUNCTION("""COMPUTED_VALUE"""),0.0)</f>
        <v>0</v>
      </c>
      <c r="AF2546" s="184"/>
      <c r="AG2546" s="180"/>
      <c r="AH2546" s="185">
        <f>IFERROR(__xludf.DUMMYFUNCTION("""COMPUTED_VALUE"""),43367.2021609838)</f>
        <v>43367.20216</v>
      </c>
      <c r="AI2546" s="182"/>
      <c r="AJ2546" s="182"/>
      <c r="AK2546" s="182"/>
      <c r="AL2546" s="182"/>
    </row>
    <row r="2547" ht="20.25" customHeight="1">
      <c r="A2547" s="169" t="str">
        <f>IFERROR(__xludf.DUMMYFUNCTION("""COMPUTED_VALUE"""),"flny")</f>
        <v>flny</v>
      </c>
      <c r="B2547" s="170" t="str">
        <f>IFERROR(__xludf.DUMMYFUNCTION("""COMPUTED_VALUE"""),"NYC suburbs")</f>
        <v>NYC suburbs</v>
      </c>
      <c r="C2547" s="170" t="str">
        <f>IFERROR(__xludf.DUMMYFUNCTION("""COMPUTED_VALUE"""),"NY")</f>
        <v>NY</v>
      </c>
      <c r="D2547" s="170" t="str">
        <f>IFERROR(__xludf.DUMMYFUNCTION("""COMPUTED_VALUE"""),"USA")</f>
        <v>USA</v>
      </c>
      <c r="E2547" s="171">
        <f>IFERROR(__xludf.DUMMYFUNCTION("""COMPUTED_VALUE"""),43312.0)</f>
        <v>43312</v>
      </c>
      <c r="F2547" s="172">
        <f>IFERROR(__xludf.DUMMYFUNCTION("""COMPUTED_VALUE"""),43381.0)</f>
        <v>43381</v>
      </c>
      <c r="G2547" s="173"/>
      <c r="H2547" s="174">
        <f>IFERROR(__xludf.DUMMYFUNCTION("""COMPUTED_VALUE"""),116555.0)</f>
        <v>116555</v>
      </c>
      <c r="I2547" s="175"/>
      <c r="J2547" s="172">
        <f>IFERROR(__xludf.DUMMYFUNCTION("""COMPUTED_VALUE"""),43393.0)</f>
        <v>43393</v>
      </c>
      <c r="K2547" s="176">
        <f>IFERROR(__xludf.DUMMYFUNCTION("""COMPUTED_VALUE"""),69.0)</f>
        <v>69</v>
      </c>
      <c r="L2547" s="176">
        <f>IFERROR(__xludf.DUMMYFUNCTION("""COMPUTED_VALUE"""),12.0)</f>
        <v>12</v>
      </c>
      <c r="M2547" s="176">
        <f>IFERROR(__xludf.DUMMYFUNCTION("""COMPUTED_VALUE"""),81.0)</f>
        <v>81</v>
      </c>
      <c r="N2547" s="177" t="str">
        <f>IFERROR(__xludf.DUMMYFUNCTION("""COMPUTED_VALUE"""),"Model 3 LR AWD")</f>
        <v>Model 3 LR AWD</v>
      </c>
      <c r="O2547" s="177" t="str">
        <f>IFERROR(__xludf.DUMMYFUNCTION("""COMPUTED_VALUE"""),"Midnight Silver Metallic")</f>
        <v>Midnight Silver Metallic</v>
      </c>
      <c r="P2547" s="178" t="str">
        <f>IFERROR(__xludf.DUMMYFUNCTION("""COMPUTED_VALUE"""),"19 inch Sport")</f>
        <v>19 inch Sport</v>
      </c>
      <c r="Q2547" s="177" t="str">
        <f>IFERROR(__xludf.DUMMYFUNCTION("""COMPUTED_VALUE"""),"Black seats")</f>
        <v>Black seats</v>
      </c>
      <c r="R2547" s="170" t="str">
        <f>IFERROR(__xludf.DUMMYFUNCTION("""COMPUTED_VALUE"""),"Enhanced Autopilot")</f>
        <v>Enhanced Autopilot</v>
      </c>
      <c r="S2547" s="170"/>
      <c r="T2547" s="179"/>
      <c r="U2547" s="179"/>
      <c r="V2547" s="179"/>
      <c r="W2547" s="180"/>
      <c r="X2547" s="181" t="str">
        <f>IFERROR(__xludf.DUMMYFUNCTION("""COMPUTED_VALUE"""),"Excellent")</f>
        <v>Excellent</v>
      </c>
      <c r="Y2547" s="182" t="str">
        <f>IFERROR(__xludf.DUMMYFUNCTION("""COMPUTED_VALUE"""),"Excellent")</f>
        <v>Excellent</v>
      </c>
      <c r="Z2547" s="182" t="str">
        <f>IFERROR(__xludf.DUMMYFUNCTION("""COMPUTED_VALUE"""),"Very Good")</f>
        <v>Very Good</v>
      </c>
      <c r="AA2547" s="182" t="str">
        <f>IFERROR(__xludf.DUMMYFUNCTION("""COMPUTED_VALUE"""),"Fair")</f>
        <v>Fair</v>
      </c>
      <c r="AB2547" s="182" t="str">
        <f>IFERROR(__xludf.DUMMYFUNCTION("""COMPUTED_VALUE"""),"Very Good")</f>
        <v>Very Good</v>
      </c>
      <c r="AC2547" s="183"/>
      <c r="AD2547" s="183"/>
      <c r="AE2547" s="183"/>
      <c r="AF2547" s="184"/>
      <c r="AG2547" s="180"/>
      <c r="AH2547" s="185">
        <f>IFERROR(__xludf.DUMMYFUNCTION("""COMPUTED_VALUE"""),43395.192826087965)</f>
        <v>43395.19283</v>
      </c>
      <c r="AI2547" s="182"/>
      <c r="AJ2547" s="182"/>
      <c r="AK2547" s="182"/>
      <c r="AL2547" s="182"/>
    </row>
    <row r="2548" ht="20.25" customHeight="1">
      <c r="A2548" s="169" t="str">
        <f>IFERROR(__xludf.DUMMYFUNCTION("""COMPUTED_VALUE"""),"im.thatoneguy")</f>
        <v>im.thatoneguy</v>
      </c>
      <c r="B2548" s="170" t="str">
        <f>IFERROR(__xludf.DUMMYFUNCTION("""COMPUTED_VALUE"""),"Seattle")</f>
        <v>Seattle</v>
      </c>
      <c r="C2548" s="170" t="str">
        <f>IFERROR(__xludf.DUMMYFUNCTION("""COMPUTED_VALUE"""),"WA")</f>
        <v>WA</v>
      </c>
      <c r="D2548" s="170" t="str">
        <f>IFERROR(__xludf.DUMMYFUNCTION("""COMPUTED_VALUE"""),"USA")</f>
        <v>USA</v>
      </c>
      <c r="E2548" s="171">
        <f>IFERROR(__xludf.DUMMYFUNCTION("""COMPUTED_VALUE"""),43312.0)</f>
        <v>43312</v>
      </c>
      <c r="F2548" s="172"/>
      <c r="G2548" s="173"/>
      <c r="H2548" s="174">
        <f>IFERROR(__xludf.DUMMYFUNCTION("""COMPUTED_VALUE"""),51275.0)</f>
        <v>51275</v>
      </c>
      <c r="I2548" s="175"/>
      <c r="J2548" s="172">
        <f>IFERROR(__xludf.DUMMYFUNCTION("""COMPUTED_VALUE"""),43327.0)</f>
        <v>43327</v>
      </c>
      <c r="K2548" s="176"/>
      <c r="L2548" s="176"/>
      <c r="M2548" s="176">
        <f>IFERROR(__xludf.DUMMYFUNCTION("""COMPUTED_VALUE"""),15.0)</f>
        <v>15</v>
      </c>
      <c r="N2548" s="177" t="str">
        <f>IFERROR(__xludf.DUMMYFUNCTION("""COMPUTED_VALUE"""),"Model 3 LR")</f>
        <v>Model 3 LR</v>
      </c>
      <c r="O2548" s="177" t="str">
        <f>IFERROR(__xludf.DUMMYFUNCTION("""COMPUTED_VALUE"""),"Pearl White Multi-Coat")</f>
        <v>Pearl White Multi-Coat</v>
      </c>
      <c r="P2548" s="178" t="str">
        <f>IFERROR(__xludf.DUMMYFUNCTION("""COMPUTED_VALUE"""),"18 inch Aero")</f>
        <v>18 inch Aero</v>
      </c>
      <c r="Q2548" s="177" t="str">
        <f>IFERROR(__xludf.DUMMYFUNCTION("""COMPUTED_VALUE"""),"Black seats")</f>
        <v>Black seats</v>
      </c>
      <c r="R2548" s="170" t="str">
        <f>IFERROR(__xludf.DUMMYFUNCTION("""COMPUTED_VALUE"""),"Enhanced Autopilot")</f>
        <v>Enhanced Autopilot</v>
      </c>
      <c r="S2548" s="170"/>
      <c r="T2548" s="179"/>
      <c r="U2548" s="179"/>
      <c r="V2548" s="179"/>
      <c r="W2548" s="180"/>
      <c r="X2548" s="181" t="str">
        <f>IFERROR(__xludf.DUMMYFUNCTION("""COMPUTED_VALUE"""),"Very Good")</f>
        <v>Very Good</v>
      </c>
      <c r="Y2548" s="182" t="str">
        <f>IFERROR(__xludf.DUMMYFUNCTION("""COMPUTED_VALUE"""),"Good")</f>
        <v>Good</v>
      </c>
      <c r="Z2548" s="182" t="str">
        <f>IFERROR(__xludf.DUMMYFUNCTION("""COMPUTED_VALUE"""),"Very Good")</f>
        <v>Very Good</v>
      </c>
      <c r="AA2548" s="182" t="str">
        <f>IFERROR(__xludf.DUMMYFUNCTION("""COMPUTED_VALUE"""),"Poor")</f>
        <v>Poor</v>
      </c>
      <c r="AB2548" s="182" t="str">
        <f>IFERROR(__xludf.DUMMYFUNCTION("""COMPUTED_VALUE"""),"Fair")</f>
        <v>Fair</v>
      </c>
      <c r="AC2548" s="183">
        <f>IFERROR(__xludf.DUMMYFUNCTION("""COMPUTED_VALUE"""),6.0)</f>
        <v>6</v>
      </c>
      <c r="AD2548" s="183">
        <f>IFERROR(__xludf.DUMMYFUNCTION("""COMPUTED_VALUE"""),1.0)</f>
        <v>1</v>
      </c>
      <c r="AE2548" s="183">
        <f>IFERROR(__xludf.DUMMYFUNCTION("""COMPUTED_VALUE"""),10.0)</f>
        <v>10</v>
      </c>
      <c r="AF2548" s="184"/>
      <c r="AG2548" s="180"/>
      <c r="AH2548" s="185">
        <f>IFERROR(__xludf.DUMMYFUNCTION("""COMPUTED_VALUE"""),43377.52745685185)</f>
        <v>43377.52746</v>
      </c>
      <c r="AI2548" s="182"/>
      <c r="AJ2548" s="182"/>
      <c r="AK2548" s="182"/>
      <c r="AL2548" s="182"/>
    </row>
    <row r="2549" ht="20.25" customHeight="1">
      <c r="A2549" s="169" t="str">
        <f>IFERROR(__xludf.DUMMYFUNCTION("""COMPUTED_VALUE"""),"rjz")</f>
        <v>rjz</v>
      </c>
      <c r="B2549" s="170" t="str">
        <f>IFERROR(__xludf.DUMMYFUNCTION("""COMPUTED_VALUE"""),"Baltimore")</f>
        <v>Baltimore</v>
      </c>
      <c r="C2549" s="170" t="str">
        <f>IFERROR(__xludf.DUMMYFUNCTION("""COMPUTED_VALUE"""),"MD")</f>
        <v>MD</v>
      </c>
      <c r="D2549" s="170" t="str">
        <f>IFERROR(__xludf.DUMMYFUNCTION("""COMPUTED_VALUE"""),"USA")</f>
        <v>USA</v>
      </c>
      <c r="E2549" s="171">
        <f>IFERROR(__xludf.DUMMYFUNCTION("""COMPUTED_VALUE"""),43312.0)</f>
        <v>43312</v>
      </c>
      <c r="F2549" s="172">
        <f>IFERROR(__xludf.DUMMYFUNCTION("""COMPUTED_VALUE"""),43409.0)</f>
        <v>43409</v>
      </c>
      <c r="G2549" s="173"/>
      <c r="H2549" s="174">
        <f>IFERROR(__xludf.DUMMYFUNCTION("""COMPUTED_VALUE"""),93987.0)</f>
        <v>93987</v>
      </c>
      <c r="I2549" s="175" t="str">
        <f>IFERROR(__xludf.DUMMYFUNCTION("""COMPUTED_VALUE"""),"10/18")</f>
        <v>10/18</v>
      </c>
      <c r="J2549" s="172">
        <f>IFERROR(__xludf.DUMMYFUNCTION("""COMPUTED_VALUE"""),43418.0)</f>
        <v>43418</v>
      </c>
      <c r="K2549" s="176">
        <f>IFERROR(__xludf.DUMMYFUNCTION("""COMPUTED_VALUE"""),97.0)</f>
        <v>97</v>
      </c>
      <c r="L2549" s="176">
        <f>IFERROR(__xludf.DUMMYFUNCTION("""COMPUTED_VALUE"""),9.0)</f>
        <v>9</v>
      </c>
      <c r="M2549" s="176">
        <f>IFERROR(__xludf.DUMMYFUNCTION("""COMPUTED_VALUE"""),106.0)</f>
        <v>106</v>
      </c>
      <c r="N2549" s="177" t="str">
        <f>IFERROR(__xludf.DUMMYFUNCTION("""COMPUTED_VALUE"""),"Model 3 LR AWD")</f>
        <v>Model 3 LR AWD</v>
      </c>
      <c r="O2549" s="177" t="str">
        <f>IFERROR(__xludf.DUMMYFUNCTION("""COMPUTED_VALUE"""),"Solid Black")</f>
        <v>Solid Black</v>
      </c>
      <c r="P2549" s="178" t="str">
        <f>IFERROR(__xludf.DUMMYFUNCTION("""COMPUTED_VALUE"""),"18 inch Aero")</f>
        <v>18 inch Aero</v>
      </c>
      <c r="Q2549" s="177" t="str">
        <f>IFERROR(__xludf.DUMMYFUNCTION("""COMPUTED_VALUE"""),"Black seats")</f>
        <v>Black seats</v>
      </c>
      <c r="R2549" s="170" t="str">
        <f>IFERROR(__xludf.DUMMYFUNCTION("""COMPUTED_VALUE"""),"None")</f>
        <v>None</v>
      </c>
      <c r="S2549" s="170"/>
      <c r="T2549" s="179"/>
      <c r="U2549" s="179"/>
      <c r="V2549" s="179"/>
      <c r="W2549" s="180"/>
      <c r="X2549" s="181" t="str">
        <f>IFERROR(__xludf.DUMMYFUNCTION("""COMPUTED_VALUE"""),"Excellent")</f>
        <v>Excellent</v>
      </c>
      <c r="Y2549" s="182" t="str">
        <f>IFERROR(__xludf.DUMMYFUNCTION("""COMPUTED_VALUE"""),"Excellent")</f>
        <v>Excellent</v>
      </c>
      <c r="Z2549" s="182" t="str">
        <f>IFERROR(__xludf.DUMMYFUNCTION("""COMPUTED_VALUE"""),"Excellent")</f>
        <v>Excellent</v>
      </c>
      <c r="AA2549" s="182" t="str">
        <f>IFERROR(__xludf.DUMMYFUNCTION("""COMPUTED_VALUE"""),"Very Good")</f>
        <v>Very Good</v>
      </c>
      <c r="AB2549" s="182" t="str">
        <f>IFERROR(__xludf.DUMMYFUNCTION("""COMPUTED_VALUE"""),"Excellent")</f>
        <v>Excellent</v>
      </c>
      <c r="AC2549" s="183"/>
      <c r="AD2549" s="183"/>
      <c r="AE2549" s="183"/>
      <c r="AF2549" s="184"/>
      <c r="AG2549" s="180"/>
      <c r="AH2549" s="185">
        <f>IFERROR(__xludf.DUMMYFUNCTION("""COMPUTED_VALUE"""),43439.33565612268)</f>
        <v>43439.33566</v>
      </c>
      <c r="AI2549" s="182"/>
      <c r="AJ2549" s="182"/>
      <c r="AK2549" s="182"/>
      <c r="AL2549" s="182"/>
    </row>
    <row r="2550" ht="20.25" customHeight="1">
      <c r="A2550" s="169" t="str">
        <f>IFERROR(__xludf.DUMMYFUNCTION("""COMPUTED_VALUE"""),"SoFlaJul31")</f>
        <v>SoFlaJul31</v>
      </c>
      <c r="B2550" s="170" t="str">
        <f>IFERROR(__xludf.DUMMYFUNCTION("""COMPUTED_VALUE"""),"West Palm Beach")</f>
        <v>West Palm Beach</v>
      </c>
      <c r="C2550" s="170" t="str">
        <f>IFERROR(__xludf.DUMMYFUNCTION("""COMPUTED_VALUE"""),"FL")</f>
        <v>FL</v>
      </c>
      <c r="D2550" s="170" t="str">
        <f>IFERROR(__xludf.DUMMYFUNCTION("""COMPUTED_VALUE"""),"USA")</f>
        <v>USA</v>
      </c>
      <c r="E2550" s="171">
        <f>IFERROR(__xludf.DUMMYFUNCTION("""COMPUTED_VALUE"""),43312.0)</f>
        <v>43312</v>
      </c>
      <c r="F2550" s="172">
        <f>IFERROR(__xludf.DUMMYFUNCTION("""COMPUTED_VALUE"""),43327.0)</f>
        <v>43327</v>
      </c>
      <c r="G2550" s="173"/>
      <c r="H2550" s="174">
        <f>IFERROR(__xludf.DUMMYFUNCTION("""COMPUTED_VALUE"""),47564.0)</f>
        <v>47564</v>
      </c>
      <c r="I2550" s="175" t="str">
        <f>IFERROR(__xludf.DUMMYFUNCTION("""COMPUTED_VALUE"""),"07/18")</f>
        <v>07/18</v>
      </c>
      <c r="J2550" s="172">
        <f>IFERROR(__xludf.DUMMYFUNCTION("""COMPUTED_VALUE"""),43339.0)</f>
        <v>43339</v>
      </c>
      <c r="K2550" s="176">
        <f>IFERROR(__xludf.DUMMYFUNCTION("""COMPUTED_VALUE"""),15.0)</f>
        <v>15</v>
      </c>
      <c r="L2550" s="176">
        <f>IFERROR(__xludf.DUMMYFUNCTION("""COMPUTED_VALUE"""),12.0)</f>
        <v>12</v>
      </c>
      <c r="M2550" s="176">
        <f>IFERROR(__xludf.DUMMYFUNCTION("""COMPUTED_VALUE"""),27.0)</f>
        <v>27</v>
      </c>
      <c r="N2550" s="177" t="str">
        <f>IFERROR(__xludf.DUMMYFUNCTION("""COMPUTED_VALUE"""),"Model 3 LR")</f>
        <v>Model 3 LR</v>
      </c>
      <c r="O2550" s="177" t="str">
        <f>IFERROR(__xludf.DUMMYFUNCTION("""COMPUTED_VALUE"""),"Midnight Silver Metallic")</f>
        <v>Midnight Silver Metallic</v>
      </c>
      <c r="P2550" s="178" t="str">
        <f>IFERROR(__xludf.DUMMYFUNCTION("""COMPUTED_VALUE"""),"18 inch Aero")</f>
        <v>18 inch Aero</v>
      </c>
      <c r="Q2550" s="177" t="str">
        <f>IFERROR(__xludf.DUMMYFUNCTION("""COMPUTED_VALUE"""),"Black seats")</f>
        <v>Black seats</v>
      </c>
      <c r="R2550" s="170" t="str">
        <f>IFERROR(__xludf.DUMMYFUNCTION("""COMPUTED_VALUE"""),"Full Self-Driving")</f>
        <v>Full Self-Driving</v>
      </c>
      <c r="S2550" s="170"/>
      <c r="T2550" s="179"/>
      <c r="U2550" s="179"/>
      <c r="V2550" s="179"/>
      <c r="W2550" s="180"/>
      <c r="X2550" s="181" t="str">
        <f>IFERROR(__xludf.DUMMYFUNCTION("""COMPUTED_VALUE"""),"Fair")</f>
        <v>Fair</v>
      </c>
      <c r="Y2550" s="182" t="str">
        <f>IFERROR(__xludf.DUMMYFUNCTION("""COMPUTED_VALUE"""),"Very Good")</f>
        <v>Very Good</v>
      </c>
      <c r="Z2550" s="182" t="str">
        <f>IFERROR(__xludf.DUMMYFUNCTION("""COMPUTED_VALUE"""),"Very Good")</f>
        <v>Very Good</v>
      </c>
      <c r="AA2550" s="182" t="str">
        <f>IFERROR(__xludf.DUMMYFUNCTION("""COMPUTED_VALUE"""),"Poor")</f>
        <v>Poor</v>
      </c>
      <c r="AB2550" s="182" t="str">
        <f>IFERROR(__xludf.DUMMYFUNCTION("""COMPUTED_VALUE"""),"Very Good")</f>
        <v>Very Good</v>
      </c>
      <c r="AC2550" s="183">
        <f>IFERROR(__xludf.DUMMYFUNCTION("""COMPUTED_VALUE"""),0.0)</f>
        <v>0</v>
      </c>
      <c r="AD2550" s="183">
        <f>IFERROR(__xludf.DUMMYFUNCTION("""COMPUTED_VALUE"""),2.0)</f>
        <v>2</v>
      </c>
      <c r="AE2550" s="183">
        <f>IFERROR(__xludf.DUMMYFUNCTION("""COMPUTED_VALUE"""),3.0)</f>
        <v>3</v>
      </c>
      <c r="AF2550" s="184"/>
      <c r="AG2550" s="180"/>
      <c r="AH2550" s="185">
        <f>IFERROR(__xludf.DUMMYFUNCTION("""COMPUTED_VALUE"""),43349.484655266206)</f>
        <v>43349.48466</v>
      </c>
      <c r="AI2550" s="182"/>
      <c r="AJ2550" s="182"/>
      <c r="AK2550" s="182"/>
      <c r="AL2550" s="182"/>
    </row>
    <row r="2551" ht="20.25" customHeight="1">
      <c r="A2551" s="169" t="str">
        <f>IFERROR(__xludf.DUMMYFUNCTION("""COMPUTED_VALUE"""),"tomc603")</f>
        <v>tomc603</v>
      </c>
      <c r="B2551" s="170" t="str">
        <f>IFERROR(__xludf.DUMMYFUNCTION("""COMPUTED_VALUE"""),"Hooksett")</f>
        <v>Hooksett</v>
      </c>
      <c r="C2551" s="170" t="str">
        <f>IFERROR(__xludf.DUMMYFUNCTION("""COMPUTED_VALUE"""),"NH")</f>
        <v>NH</v>
      </c>
      <c r="D2551" s="170" t="str">
        <f>IFERROR(__xludf.DUMMYFUNCTION("""COMPUTED_VALUE"""),"USA")</f>
        <v>USA</v>
      </c>
      <c r="E2551" s="171">
        <f>IFERROR(__xludf.DUMMYFUNCTION("""COMPUTED_VALUE"""),43312.0)</f>
        <v>43312</v>
      </c>
      <c r="F2551" s="172">
        <f>IFERROR(__xludf.DUMMYFUNCTION("""COMPUTED_VALUE"""),43350.0)</f>
        <v>43350</v>
      </c>
      <c r="G2551" s="173"/>
      <c r="H2551" s="174">
        <f>IFERROR(__xludf.DUMMYFUNCTION("""COMPUTED_VALUE"""),63245.0)</f>
        <v>63245</v>
      </c>
      <c r="I2551" s="175" t="str">
        <f>IFERROR(__xludf.DUMMYFUNCTION("""COMPUTED_VALUE"""),"08/18")</f>
        <v>08/18</v>
      </c>
      <c r="J2551" s="172">
        <f>IFERROR(__xludf.DUMMYFUNCTION("""COMPUTED_VALUE"""),43377.0)</f>
        <v>43377</v>
      </c>
      <c r="K2551" s="176">
        <f>IFERROR(__xludf.DUMMYFUNCTION("""COMPUTED_VALUE"""),38.0)</f>
        <v>38</v>
      </c>
      <c r="L2551" s="176">
        <f>IFERROR(__xludf.DUMMYFUNCTION("""COMPUTED_VALUE"""),27.0)</f>
        <v>27</v>
      </c>
      <c r="M2551" s="176">
        <f>IFERROR(__xludf.DUMMYFUNCTION("""COMPUTED_VALUE"""),65.0)</f>
        <v>65</v>
      </c>
      <c r="N2551" s="177" t="str">
        <f>IFERROR(__xludf.DUMMYFUNCTION("""COMPUTED_VALUE"""),"Model 3 Performance")</f>
        <v>Model 3 Performance</v>
      </c>
      <c r="O2551" s="177" t="str">
        <f>IFERROR(__xludf.DUMMYFUNCTION("""COMPUTED_VALUE"""),"Red Multi-Coat")</f>
        <v>Red Multi-Coat</v>
      </c>
      <c r="P2551" s="178" t="str">
        <f>IFERROR(__xludf.DUMMYFUNCTION("""COMPUTED_VALUE"""),"20 inch Sport")</f>
        <v>20 inch Sport</v>
      </c>
      <c r="Q2551" s="177" t="str">
        <f>IFERROR(__xludf.DUMMYFUNCTION("""COMPUTED_VALUE"""),"Black seats")</f>
        <v>Black seats</v>
      </c>
      <c r="R2551" s="170" t="str">
        <f>IFERROR(__xludf.DUMMYFUNCTION("""COMPUTED_VALUE"""),"Enhanced Autopilot")</f>
        <v>Enhanced Autopilot</v>
      </c>
      <c r="S2551" s="170"/>
      <c r="T2551" s="179"/>
      <c r="U2551" s="179"/>
      <c r="V2551" s="179"/>
      <c r="W2551" s="180"/>
      <c r="X2551" s="181" t="str">
        <f>IFERROR(__xludf.DUMMYFUNCTION("""COMPUTED_VALUE"""),"Excellent")</f>
        <v>Excellent</v>
      </c>
      <c r="Y2551" s="182" t="str">
        <f>IFERROR(__xludf.DUMMYFUNCTION("""COMPUTED_VALUE"""),"Excellent")</f>
        <v>Excellent</v>
      </c>
      <c r="Z2551" s="182" t="str">
        <f>IFERROR(__xludf.DUMMYFUNCTION("""COMPUTED_VALUE"""),"Excellent")</f>
        <v>Excellent</v>
      </c>
      <c r="AA2551" s="182" t="str">
        <f>IFERROR(__xludf.DUMMYFUNCTION("""COMPUTED_VALUE"""),"Poor")</f>
        <v>Poor</v>
      </c>
      <c r="AB2551" s="182" t="str">
        <f>IFERROR(__xludf.DUMMYFUNCTION("""COMPUTED_VALUE"""),"Good")</f>
        <v>Good</v>
      </c>
      <c r="AC2551" s="183">
        <f>IFERROR(__xludf.DUMMYFUNCTION("""COMPUTED_VALUE"""),0.0)</f>
        <v>0</v>
      </c>
      <c r="AD2551" s="183"/>
      <c r="AE2551" s="183"/>
      <c r="AF2551" s="184"/>
      <c r="AG2551" s="180" t="str">
        <f>IFERROR(__xludf.DUMMYFUNCTION("""COMPUTED_VALUE"""),"I tried several times to have a new delivery specialist assigned because mine just stopped responding for weeks. I now have a car I can't drive because he still hasn't sent the registration pack.")</f>
        <v>I tried several times to have a new delivery specialist assigned because mine just stopped responding for weeks. I now have a car I can't drive because he still hasn't sent the registration pack.</v>
      </c>
      <c r="AH2551" s="185">
        <f>IFERROR(__xludf.DUMMYFUNCTION("""COMPUTED_VALUE"""),43377.51632443287)</f>
        <v>43377.51632</v>
      </c>
      <c r="AI2551" s="182"/>
      <c r="AJ2551" s="182"/>
      <c r="AK2551" s="182"/>
      <c r="AL2551" s="182"/>
    </row>
    <row r="2552" ht="20.25" customHeight="1">
      <c r="A2552" s="169" t="str">
        <f>IFERROR(__xludf.DUMMYFUNCTION("""COMPUTED_VALUE"""),"wee")</f>
        <v>wee</v>
      </c>
      <c r="B2552" s="170" t="str">
        <f>IFERROR(__xludf.DUMMYFUNCTION("""COMPUTED_VALUE"""),"San Jose")</f>
        <v>San Jose</v>
      </c>
      <c r="C2552" s="170" t="str">
        <f>IFERROR(__xludf.DUMMYFUNCTION("""COMPUTED_VALUE"""),"CA")</f>
        <v>CA</v>
      </c>
      <c r="D2552" s="170" t="str">
        <f>IFERROR(__xludf.DUMMYFUNCTION("""COMPUTED_VALUE"""),"USA")</f>
        <v>USA</v>
      </c>
      <c r="E2552" s="171">
        <f>IFERROR(__xludf.DUMMYFUNCTION("""COMPUTED_VALUE"""),43312.0)</f>
        <v>43312</v>
      </c>
      <c r="F2552" s="172">
        <f>IFERROR(__xludf.DUMMYFUNCTION("""COMPUTED_VALUE"""),43366.0)</f>
        <v>43366</v>
      </c>
      <c r="G2552" s="173"/>
      <c r="H2552" s="174">
        <f>IFERROR(__xludf.DUMMYFUNCTION("""COMPUTED_VALUE"""),112455.0)</f>
        <v>112455</v>
      </c>
      <c r="I2552" s="175" t="str">
        <f>IFERROR(__xludf.DUMMYFUNCTION("""COMPUTED_VALUE"""),"09/18")</f>
        <v>09/18</v>
      </c>
      <c r="J2552" s="172">
        <f>IFERROR(__xludf.DUMMYFUNCTION("""COMPUTED_VALUE"""),43367.0)</f>
        <v>43367</v>
      </c>
      <c r="K2552" s="176">
        <f>IFERROR(__xludf.DUMMYFUNCTION("""COMPUTED_VALUE"""),54.0)</f>
        <v>54</v>
      </c>
      <c r="L2552" s="176">
        <f>IFERROR(__xludf.DUMMYFUNCTION("""COMPUTED_VALUE"""),1.0)</f>
        <v>1</v>
      </c>
      <c r="M2552" s="176">
        <f>IFERROR(__xludf.DUMMYFUNCTION("""COMPUTED_VALUE"""),55.0)</f>
        <v>55</v>
      </c>
      <c r="N2552" s="177" t="str">
        <f>IFERROR(__xludf.DUMMYFUNCTION("""COMPUTED_VALUE"""),"Model 3 Performance")</f>
        <v>Model 3 Performance</v>
      </c>
      <c r="O2552" s="177" t="str">
        <f>IFERROR(__xludf.DUMMYFUNCTION("""COMPUTED_VALUE"""),"Midnight Silver Metallic")</f>
        <v>Midnight Silver Metallic</v>
      </c>
      <c r="P2552" s="178" t="str">
        <f>IFERROR(__xludf.DUMMYFUNCTION("""COMPUTED_VALUE"""),"18 inch Aero")</f>
        <v>18 inch Aero</v>
      </c>
      <c r="Q2552" s="177" t="str">
        <f>IFERROR(__xludf.DUMMYFUNCTION("""COMPUTED_VALUE"""),"Black seats")</f>
        <v>Black seats</v>
      </c>
      <c r="R2552" s="170" t="str">
        <f>IFERROR(__xludf.DUMMYFUNCTION("""COMPUTED_VALUE"""),"Enhanced Autopilot")</f>
        <v>Enhanced Autopilot</v>
      </c>
      <c r="S2552" s="170"/>
      <c r="T2552" s="179"/>
      <c r="U2552" s="179"/>
      <c r="V2552" s="179"/>
      <c r="W2552" s="180"/>
      <c r="X2552" s="181" t="str">
        <f>IFERROR(__xludf.DUMMYFUNCTION("""COMPUTED_VALUE"""),"Excellent")</f>
        <v>Excellent</v>
      </c>
      <c r="Y2552" s="182" t="str">
        <f>IFERROR(__xludf.DUMMYFUNCTION("""COMPUTED_VALUE"""),"Excellent")</f>
        <v>Excellent</v>
      </c>
      <c r="Z2552" s="182" t="str">
        <f>IFERROR(__xludf.DUMMYFUNCTION("""COMPUTED_VALUE"""),"Very Good")</f>
        <v>Very Good</v>
      </c>
      <c r="AA2552" s="182" t="str">
        <f>IFERROR(__xludf.DUMMYFUNCTION("""COMPUTED_VALUE"""),"Fair")</f>
        <v>Fair</v>
      </c>
      <c r="AB2552" s="182" t="str">
        <f>IFERROR(__xludf.DUMMYFUNCTION("""COMPUTED_VALUE"""),"Good")</f>
        <v>Good</v>
      </c>
      <c r="AC2552" s="183">
        <f>IFERROR(__xludf.DUMMYFUNCTION("""COMPUTED_VALUE"""),2.0)</f>
        <v>2</v>
      </c>
      <c r="AD2552" s="183"/>
      <c r="AE2552" s="183"/>
      <c r="AF2552" s="184"/>
      <c r="AG2552" s="180"/>
      <c r="AH2552" s="185">
        <f>IFERROR(__xludf.DUMMYFUNCTION("""COMPUTED_VALUE"""),43368.883496504626)</f>
        <v>43368.8835</v>
      </c>
      <c r="AI2552" s="182"/>
      <c r="AJ2552" s="182"/>
      <c r="AK2552" s="182"/>
      <c r="AL2552" s="182"/>
    </row>
    <row r="2553" ht="20.25" customHeight="1">
      <c r="A2553" s="169" t="str">
        <f>IFERROR(__xludf.DUMMYFUNCTION("""COMPUTED_VALUE"""),"allanak")</f>
        <v>allanak</v>
      </c>
      <c r="B2553" s="170" t="str">
        <f>IFERROR(__xludf.DUMMYFUNCTION("""COMPUTED_VALUE"""),"Las Vegas")</f>
        <v>Las Vegas</v>
      </c>
      <c r="C2553" s="170" t="str">
        <f>IFERROR(__xludf.DUMMYFUNCTION("""COMPUTED_VALUE"""),"NV")</f>
        <v>NV</v>
      </c>
      <c r="D2553" s="170" t="str">
        <f>IFERROR(__xludf.DUMMYFUNCTION("""COMPUTED_VALUE"""),"USA")</f>
        <v>USA</v>
      </c>
      <c r="E2553" s="171">
        <f>IFERROR(__xludf.DUMMYFUNCTION("""COMPUTED_VALUE"""),43311.0)</f>
        <v>43311</v>
      </c>
      <c r="F2553" s="172">
        <f>IFERROR(__xludf.DUMMYFUNCTION("""COMPUTED_VALUE"""),43312.0)</f>
        <v>43312</v>
      </c>
      <c r="G2553" s="173"/>
      <c r="H2553" s="174">
        <f>IFERROR(__xludf.DUMMYFUNCTION("""COMPUTED_VALUE"""),55255.0)</f>
        <v>55255</v>
      </c>
      <c r="I2553" s="175"/>
      <c r="J2553" s="172">
        <f>IFERROR(__xludf.DUMMYFUNCTION("""COMPUTED_VALUE"""),43319.0)</f>
        <v>43319</v>
      </c>
      <c r="K2553" s="176">
        <f>IFERROR(__xludf.DUMMYFUNCTION("""COMPUTED_VALUE"""),1.0)</f>
        <v>1</v>
      </c>
      <c r="L2553" s="176">
        <f>IFERROR(__xludf.DUMMYFUNCTION("""COMPUTED_VALUE"""),7.0)</f>
        <v>7</v>
      </c>
      <c r="M2553" s="176">
        <f>IFERROR(__xludf.DUMMYFUNCTION("""COMPUTED_VALUE"""),8.0)</f>
        <v>8</v>
      </c>
      <c r="N2553" s="177" t="str">
        <f>IFERROR(__xludf.DUMMYFUNCTION("""COMPUTED_VALUE"""),"Model 3 Performance")</f>
        <v>Model 3 Performance</v>
      </c>
      <c r="O2553" s="177" t="str">
        <f>IFERROR(__xludf.DUMMYFUNCTION("""COMPUTED_VALUE"""),"Midnight Silver Metallic")</f>
        <v>Midnight Silver Metallic</v>
      </c>
      <c r="P2553" s="178" t="str">
        <f>IFERROR(__xludf.DUMMYFUNCTION("""COMPUTED_VALUE"""),"20 inch Sport")</f>
        <v>20 inch Sport</v>
      </c>
      <c r="Q2553" s="177" t="str">
        <f>IFERROR(__xludf.DUMMYFUNCTION("""COMPUTED_VALUE"""),"White seats")</f>
        <v>White seats</v>
      </c>
      <c r="R2553" s="170" t="str">
        <f>IFERROR(__xludf.DUMMYFUNCTION("""COMPUTED_VALUE"""),"Enhanced Autopilot")</f>
        <v>Enhanced Autopilot</v>
      </c>
      <c r="S2553" s="170"/>
      <c r="T2553" s="179"/>
      <c r="U2553" s="179"/>
      <c r="V2553" s="179"/>
      <c r="W2553" s="180"/>
      <c r="X2553" s="181" t="str">
        <f>IFERROR(__xludf.DUMMYFUNCTION("""COMPUTED_VALUE"""),"Excellent")</f>
        <v>Excellent</v>
      </c>
      <c r="Y2553" s="182" t="str">
        <f>IFERROR(__xludf.DUMMYFUNCTION("""COMPUTED_VALUE"""),"Excellent")</f>
        <v>Excellent</v>
      </c>
      <c r="Z2553" s="182" t="str">
        <f>IFERROR(__xludf.DUMMYFUNCTION("""COMPUTED_VALUE"""),"Very Good")</f>
        <v>Very Good</v>
      </c>
      <c r="AA2553" s="182" t="str">
        <f>IFERROR(__xludf.DUMMYFUNCTION("""COMPUTED_VALUE"""),"Very Good")</f>
        <v>Very Good</v>
      </c>
      <c r="AB2553" s="182" t="str">
        <f>IFERROR(__xludf.DUMMYFUNCTION("""COMPUTED_VALUE"""),"Excellent")</f>
        <v>Excellent</v>
      </c>
      <c r="AC2553" s="183">
        <f>IFERROR(__xludf.DUMMYFUNCTION("""COMPUTED_VALUE"""),1.0)</f>
        <v>1</v>
      </c>
      <c r="AD2553" s="183"/>
      <c r="AE2553" s="183"/>
      <c r="AF2553" s="184"/>
      <c r="AG2553" s="180"/>
      <c r="AH2553" s="185">
        <f>IFERROR(__xludf.DUMMYFUNCTION("""COMPUTED_VALUE"""),43322.49458140047)</f>
        <v>43322.49458</v>
      </c>
      <c r="AI2553" s="182"/>
      <c r="AJ2553" s="182"/>
      <c r="AK2553" s="182"/>
      <c r="AL2553" s="182"/>
    </row>
    <row r="2554" ht="20.25" customHeight="1">
      <c r="A2554" s="169" t="str">
        <f>IFERROR(__xludf.DUMMYFUNCTION("""COMPUTED_VALUE"""),"Ares")</f>
        <v>Ares</v>
      </c>
      <c r="B2554" s="170" t="str">
        <f>IFERROR(__xludf.DUMMYFUNCTION("""COMPUTED_VALUE"""),"Auburn Hills")</f>
        <v>Auburn Hills</v>
      </c>
      <c r="C2554" s="170" t="str">
        <f>IFERROR(__xludf.DUMMYFUNCTION("""COMPUTED_VALUE"""),"MI")</f>
        <v>MI</v>
      </c>
      <c r="D2554" s="170" t="str">
        <f>IFERROR(__xludf.DUMMYFUNCTION("""COMPUTED_VALUE"""),"USA")</f>
        <v>USA</v>
      </c>
      <c r="E2554" s="171">
        <f>IFERROR(__xludf.DUMMYFUNCTION("""COMPUTED_VALUE"""),43311.0)</f>
        <v>43311</v>
      </c>
      <c r="F2554" s="172">
        <f>IFERROR(__xludf.DUMMYFUNCTION("""COMPUTED_VALUE"""),43375.0)</f>
        <v>43375</v>
      </c>
      <c r="G2554" s="173"/>
      <c r="H2554" s="174">
        <f>IFERROR(__xludf.DUMMYFUNCTION("""COMPUTED_VALUE"""),94355.0)</f>
        <v>94355</v>
      </c>
      <c r="I2554" s="175"/>
      <c r="J2554" s="172">
        <f>IFERROR(__xludf.DUMMYFUNCTION("""COMPUTED_VALUE"""),43386.0)</f>
        <v>43386</v>
      </c>
      <c r="K2554" s="176">
        <f>IFERROR(__xludf.DUMMYFUNCTION("""COMPUTED_VALUE"""),64.0)</f>
        <v>64</v>
      </c>
      <c r="L2554" s="176">
        <f>IFERROR(__xludf.DUMMYFUNCTION("""COMPUTED_VALUE"""),11.0)</f>
        <v>11</v>
      </c>
      <c r="M2554" s="176">
        <f>IFERROR(__xludf.DUMMYFUNCTION("""COMPUTED_VALUE"""),75.0)</f>
        <v>75</v>
      </c>
      <c r="N2554" s="177" t="str">
        <f>IFERROR(__xludf.DUMMYFUNCTION("""COMPUTED_VALUE"""),"Model 3 LR AWD")</f>
        <v>Model 3 LR AWD</v>
      </c>
      <c r="O2554" s="177" t="str">
        <f>IFERROR(__xludf.DUMMYFUNCTION("""COMPUTED_VALUE"""),"Red Multi-Coat")</f>
        <v>Red Multi-Coat</v>
      </c>
      <c r="P2554" s="178" t="str">
        <f>IFERROR(__xludf.DUMMYFUNCTION("""COMPUTED_VALUE"""),"18 inch Aero")</f>
        <v>18 inch Aero</v>
      </c>
      <c r="Q2554" s="177" t="str">
        <f>IFERROR(__xludf.DUMMYFUNCTION("""COMPUTED_VALUE"""),"Black seats")</f>
        <v>Black seats</v>
      </c>
      <c r="R2554" s="170" t="str">
        <f>IFERROR(__xludf.DUMMYFUNCTION("""COMPUTED_VALUE"""),"Enhanced Autopilot")</f>
        <v>Enhanced Autopilot</v>
      </c>
      <c r="S2554" s="170"/>
      <c r="T2554" s="179"/>
      <c r="U2554" s="179"/>
      <c r="V2554" s="179"/>
      <c r="W2554" s="180"/>
      <c r="X2554" s="181" t="str">
        <f>IFERROR(__xludf.DUMMYFUNCTION("""COMPUTED_VALUE"""),"Excellent")</f>
        <v>Excellent</v>
      </c>
      <c r="Y2554" s="182" t="str">
        <f>IFERROR(__xludf.DUMMYFUNCTION("""COMPUTED_VALUE"""),"Very Good")</f>
        <v>Very Good</v>
      </c>
      <c r="Z2554" s="182" t="str">
        <f>IFERROR(__xludf.DUMMYFUNCTION("""COMPUTED_VALUE"""),"Excellent")</f>
        <v>Excellent</v>
      </c>
      <c r="AA2554" s="182" t="str">
        <f>IFERROR(__xludf.DUMMYFUNCTION("""COMPUTED_VALUE"""),"Poor")</f>
        <v>Poor</v>
      </c>
      <c r="AB2554" s="182" t="str">
        <f>IFERROR(__xludf.DUMMYFUNCTION("""COMPUTED_VALUE"""),"Very Good")</f>
        <v>Very Good</v>
      </c>
      <c r="AC2554" s="183">
        <f>IFERROR(__xludf.DUMMYFUNCTION("""COMPUTED_VALUE"""),1.0)</f>
        <v>1</v>
      </c>
      <c r="AD2554" s="183"/>
      <c r="AE2554" s="183"/>
      <c r="AF2554" s="184"/>
      <c r="AG2554" s="180"/>
      <c r="AH2554" s="185">
        <f>IFERROR(__xludf.DUMMYFUNCTION("""COMPUTED_VALUE"""),43386.79635107639)</f>
        <v>43386.79635</v>
      </c>
      <c r="AI2554" s="182"/>
      <c r="AJ2554" s="182"/>
      <c r="AK2554" s="182"/>
      <c r="AL2554" s="182"/>
    </row>
    <row r="2555" ht="20.25" customHeight="1">
      <c r="A2555" s="169" t="str">
        <f>IFERROR(__xludf.DUMMYFUNCTION("""COMPUTED_VALUE"""),"Imfallible")</f>
        <v>Imfallible</v>
      </c>
      <c r="B2555" s="170" t="str">
        <f>IFERROR(__xludf.DUMMYFUNCTION("""COMPUTED_VALUE"""),"Los Angeles")</f>
        <v>Los Angeles</v>
      </c>
      <c r="C2555" s="170" t="str">
        <f>IFERROR(__xludf.DUMMYFUNCTION("""COMPUTED_VALUE"""),"CA")</f>
        <v>CA</v>
      </c>
      <c r="D2555" s="170" t="str">
        <f>IFERROR(__xludf.DUMMYFUNCTION("""COMPUTED_VALUE"""),"USA")</f>
        <v>USA</v>
      </c>
      <c r="E2555" s="171">
        <f>IFERROR(__xludf.DUMMYFUNCTION("""COMPUTED_VALUE"""),43311.0)</f>
        <v>43311</v>
      </c>
      <c r="F2555" s="172"/>
      <c r="G2555" s="173"/>
      <c r="H2555" s="174">
        <f>IFERROR(__xludf.DUMMYFUNCTION("""COMPUTED_VALUE"""),43255.0)</f>
        <v>43255</v>
      </c>
      <c r="I2555" s="175" t="str">
        <f>IFERROR(__xludf.DUMMYFUNCTION("""COMPUTED_VALUE"""),"07/18")</f>
        <v>07/18</v>
      </c>
      <c r="J2555" s="172">
        <f>IFERROR(__xludf.DUMMYFUNCTION("""COMPUTED_VALUE"""),43317.0)</f>
        <v>43317</v>
      </c>
      <c r="K2555" s="176"/>
      <c r="L2555" s="176"/>
      <c r="M2555" s="176">
        <f>IFERROR(__xludf.DUMMYFUNCTION("""COMPUTED_VALUE"""),6.0)</f>
        <v>6</v>
      </c>
      <c r="N2555" s="177" t="str">
        <f>IFERROR(__xludf.DUMMYFUNCTION("""COMPUTED_VALUE"""),"Model 3 LR")</f>
        <v>Model 3 LR</v>
      </c>
      <c r="O2555" s="177" t="str">
        <f>IFERROR(__xludf.DUMMYFUNCTION("""COMPUTED_VALUE"""),"Deep Blue Metallic")</f>
        <v>Deep Blue Metallic</v>
      </c>
      <c r="P2555" s="178" t="str">
        <f>IFERROR(__xludf.DUMMYFUNCTION("""COMPUTED_VALUE"""),"18 inch Aero")</f>
        <v>18 inch Aero</v>
      </c>
      <c r="Q2555" s="177" t="str">
        <f>IFERROR(__xludf.DUMMYFUNCTION("""COMPUTED_VALUE"""),"Black seats")</f>
        <v>Black seats</v>
      </c>
      <c r="R2555" s="170" t="str">
        <f>IFERROR(__xludf.DUMMYFUNCTION("""COMPUTED_VALUE"""),"Enhanced Autopilot")</f>
        <v>Enhanced Autopilot</v>
      </c>
      <c r="S2555" s="170"/>
      <c r="T2555" s="179"/>
      <c r="U2555" s="179"/>
      <c r="V2555" s="179"/>
      <c r="W2555" s="180"/>
      <c r="X2555" s="181" t="str">
        <f>IFERROR(__xludf.DUMMYFUNCTION("""COMPUTED_VALUE"""),"Excellent")</f>
        <v>Excellent</v>
      </c>
      <c r="Y2555" s="182" t="str">
        <f>IFERROR(__xludf.DUMMYFUNCTION("""COMPUTED_VALUE"""),"Excellent")</f>
        <v>Excellent</v>
      </c>
      <c r="Z2555" s="182" t="str">
        <f>IFERROR(__xludf.DUMMYFUNCTION("""COMPUTED_VALUE"""),"Excellent")</f>
        <v>Excellent</v>
      </c>
      <c r="AA2555" s="182" t="str">
        <f>IFERROR(__xludf.DUMMYFUNCTION("""COMPUTED_VALUE"""),"Good")</f>
        <v>Good</v>
      </c>
      <c r="AB2555" s="182" t="str">
        <f>IFERROR(__xludf.DUMMYFUNCTION("""COMPUTED_VALUE"""),"Excellent")</f>
        <v>Excellent</v>
      </c>
      <c r="AC2555" s="183">
        <f>IFERROR(__xludf.DUMMYFUNCTION("""COMPUTED_VALUE"""),0.0)</f>
        <v>0</v>
      </c>
      <c r="AD2555" s="183">
        <f>IFERROR(__xludf.DUMMYFUNCTION("""COMPUTED_VALUE"""),0.0)</f>
        <v>0</v>
      </c>
      <c r="AE2555" s="183">
        <f>IFERROR(__xludf.DUMMYFUNCTION("""COMPUTED_VALUE"""),0.0)</f>
        <v>0</v>
      </c>
      <c r="AF2555" s="184"/>
      <c r="AG2555" s="180"/>
      <c r="AH2555" s="185">
        <f>IFERROR(__xludf.DUMMYFUNCTION("""COMPUTED_VALUE"""),43339.75827630787)</f>
        <v>43339.75828</v>
      </c>
      <c r="AI2555" s="182"/>
      <c r="AJ2555" s="182"/>
      <c r="AK2555" s="182"/>
      <c r="AL2555" s="182"/>
    </row>
    <row r="2556" ht="20.25" customHeight="1">
      <c r="A2556" s="169" t="str">
        <f>IFERROR(__xludf.DUMMYFUNCTION("""COMPUTED_VALUE"""),"knowlan")</f>
        <v>knowlan</v>
      </c>
      <c r="B2556" s="170" t="str">
        <f>IFERROR(__xludf.DUMMYFUNCTION("""COMPUTED_VALUE"""),"South Surrey, BC")</f>
        <v>South Surrey, BC</v>
      </c>
      <c r="C2556" s="170" t="str">
        <f>IFERROR(__xludf.DUMMYFUNCTION("""COMPUTED_VALUE"""),"BC")</f>
        <v>BC</v>
      </c>
      <c r="D2556" s="170" t="str">
        <f>IFERROR(__xludf.DUMMYFUNCTION("""COMPUTED_VALUE"""),"Canada")</f>
        <v>Canada</v>
      </c>
      <c r="E2556" s="171">
        <f>IFERROR(__xludf.DUMMYFUNCTION("""COMPUTED_VALUE"""),43311.0)</f>
        <v>43311</v>
      </c>
      <c r="F2556" s="172">
        <f>IFERROR(__xludf.DUMMYFUNCTION("""COMPUTED_VALUE"""),43354.0)</f>
        <v>43354</v>
      </c>
      <c r="G2556" s="173"/>
      <c r="H2556" s="174">
        <f>IFERROR(__xludf.DUMMYFUNCTION("""COMPUTED_VALUE"""),107055.0)</f>
        <v>107055</v>
      </c>
      <c r="I2556" s="175"/>
      <c r="J2556" s="172">
        <f>IFERROR(__xludf.DUMMYFUNCTION("""COMPUTED_VALUE"""),43361.0)</f>
        <v>43361</v>
      </c>
      <c r="K2556" s="176">
        <f>IFERROR(__xludf.DUMMYFUNCTION("""COMPUTED_VALUE"""),43.0)</f>
        <v>43</v>
      </c>
      <c r="L2556" s="176">
        <f>IFERROR(__xludf.DUMMYFUNCTION("""COMPUTED_VALUE"""),7.0)</f>
        <v>7</v>
      </c>
      <c r="M2556" s="176">
        <f>IFERROR(__xludf.DUMMYFUNCTION("""COMPUTED_VALUE"""),50.0)</f>
        <v>50</v>
      </c>
      <c r="N2556" s="177" t="str">
        <f>IFERROR(__xludf.DUMMYFUNCTION("""COMPUTED_VALUE"""),"Model 3 LR AWD")</f>
        <v>Model 3 LR AWD</v>
      </c>
      <c r="O2556" s="177" t="str">
        <f>IFERROR(__xludf.DUMMYFUNCTION("""COMPUTED_VALUE"""),"Red Multi-Coat")</f>
        <v>Red Multi-Coat</v>
      </c>
      <c r="P2556" s="178" t="str">
        <f>IFERROR(__xludf.DUMMYFUNCTION("""COMPUTED_VALUE"""),"18 inch Aero")</f>
        <v>18 inch Aero</v>
      </c>
      <c r="Q2556" s="177" t="str">
        <f>IFERROR(__xludf.DUMMYFUNCTION("""COMPUTED_VALUE"""),"Black seats")</f>
        <v>Black seats</v>
      </c>
      <c r="R2556" s="170" t="str">
        <f>IFERROR(__xludf.DUMMYFUNCTION("""COMPUTED_VALUE"""),"Enhanced Autopilot")</f>
        <v>Enhanced Autopilot</v>
      </c>
      <c r="S2556" s="170"/>
      <c r="T2556" s="179"/>
      <c r="U2556" s="179"/>
      <c r="V2556" s="179"/>
      <c r="W2556" s="180"/>
      <c r="X2556" s="181" t="str">
        <f>IFERROR(__xludf.DUMMYFUNCTION("""COMPUTED_VALUE"""),"Excellent")</f>
        <v>Excellent</v>
      </c>
      <c r="Y2556" s="182" t="str">
        <f>IFERROR(__xludf.DUMMYFUNCTION("""COMPUTED_VALUE"""),"Excellent")</f>
        <v>Excellent</v>
      </c>
      <c r="Z2556" s="182" t="str">
        <f>IFERROR(__xludf.DUMMYFUNCTION("""COMPUTED_VALUE"""),"Very Good")</f>
        <v>Very Good</v>
      </c>
      <c r="AA2556" s="182" t="str">
        <f>IFERROR(__xludf.DUMMYFUNCTION("""COMPUTED_VALUE"""),"Poor")</f>
        <v>Poor</v>
      </c>
      <c r="AB2556" s="182" t="str">
        <f>IFERROR(__xludf.DUMMYFUNCTION("""COMPUTED_VALUE"""),"Good")</f>
        <v>Good</v>
      </c>
      <c r="AC2556" s="183"/>
      <c r="AD2556" s="183"/>
      <c r="AE2556" s="183"/>
      <c r="AF2556" s="184"/>
      <c r="AG2556" s="180" t="str">
        <f>IFERROR(__xludf.DUMMYFUNCTION("""COMPUTED_VALUE"""),"Tesla changed expected delivery date")</f>
        <v>Tesla changed expected delivery date</v>
      </c>
      <c r="AH2556" s="185">
        <f>IFERROR(__xludf.DUMMYFUNCTION("""COMPUTED_VALUE"""),43369.18699560185)</f>
        <v>43369.187</v>
      </c>
      <c r="AI2556" s="182"/>
      <c r="AJ2556" s="182"/>
      <c r="AK2556" s="182"/>
      <c r="AL2556" s="182"/>
    </row>
    <row r="2557" ht="20.25" customHeight="1">
      <c r="A2557" s="169" t="str">
        <f>IFERROR(__xludf.DUMMYFUNCTION("""COMPUTED_VALUE"""),"macpito")</f>
        <v>macpito</v>
      </c>
      <c r="B2557" s="170" t="str">
        <f>IFERROR(__xludf.DUMMYFUNCTION("""COMPUTED_VALUE"""),"Orange County")</f>
        <v>Orange County</v>
      </c>
      <c r="C2557" s="170" t="str">
        <f>IFERROR(__xludf.DUMMYFUNCTION("""COMPUTED_VALUE"""),"CA")</f>
        <v>CA</v>
      </c>
      <c r="D2557" s="170" t="str">
        <f>IFERROR(__xludf.DUMMYFUNCTION("""COMPUTED_VALUE"""),"USA")</f>
        <v>USA</v>
      </c>
      <c r="E2557" s="171">
        <f>IFERROR(__xludf.DUMMYFUNCTION("""COMPUTED_VALUE"""),43311.0)</f>
        <v>43311</v>
      </c>
      <c r="F2557" s="172">
        <f>IFERROR(__xludf.DUMMYFUNCTION("""COMPUTED_VALUE"""),43365.0)</f>
        <v>43365</v>
      </c>
      <c r="G2557" s="173"/>
      <c r="H2557" s="174">
        <f>IFERROR(__xludf.DUMMYFUNCTION("""COMPUTED_VALUE"""),103483.0)</f>
        <v>103483</v>
      </c>
      <c r="I2557" s="175"/>
      <c r="J2557" s="172">
        <f>IFERROR(__xludf.DUMMYFUNCTION("""COMPUTED_VALUE"""),43368.0)</f>
        <v>43368</v>
      </c>
      <c r="K2557" s="176">
        <f>IFERROR(__xludf.DUMMYFUNCTION("""COMPUTED_VALUE"""),54.0)</f>
        <v>54</v>
      </c>
      <c r="L2557" s="176">
        <f>IFERROR(__xludf.DUMMYFUNCTION("""COMPUTED_VALUE"""),3.0)</f>
        <v>3</v>
      </c>
      <c r="M2557" s="176">
        <f>IFERROR(__xludf.DUMMYFUNCTION("""COMPUTED_VALUE"""),57.0)</f>
        <v>57</v>
      </c>
      <c r="N2557" s="177" t="str">
        <f>IFERROR(__xludf.DUMMYFUNCTION("""COMPUTED_VALUE"""),"Model 3 LR AWD")</f>
        <v>Model 3 LR AWD</v>
      </c>
      <c r="O2557" s="177" t="str">
        <f>IFERROR(__xludf.DUMMYFUNCTION("""COMPUTED_VALUE"""),"Solid Black")</f>
        <v>Solid Black</v>
      </c>
      <c r="P2557" s="178" t="str">
        <f>IFERROR(__xludf.DUMMYFUNCTION("""COMPUTED_VALUE"""),"18 inch Aero")</f>
        <v>18 inch Aero</v>
      </c>
      <c r="Q2557" s="177" t="str">
        <f>IFERROR(__xludf.DUMMYFUNCTION("""COMPUTED_VALUE"""),"Black seats")</f>
        <v>Black seats</v>
      </c>
      <c r="R2557" s="170" t="str">
        <f>IFERROR(__xludf.DUMMYFUNCTION("""COMPUTED_VALUE"""),"Enhanced Autopilot")</f>
        <v>Enhanced Autopilot</v>
      </c>
      <c r="S2557" s="170"/>
      <c r="T2557" s="179"/>
      <c r="U2557" s="179"/>
      <c r="V2557" s="179"/>
      <c r="W2557" s="180"/>
      <c r="X2557" s="181" t="str">
        <f>IFERROR(__xludf.DUMMYFUNCTION("""COMPUTED_VALUE"""),"Excellent")</f>
        <v>Excellent</v>
      </c>
      <c r="Y2557" s="182" t="str">
        <f>IFERROR(__xludf.DUMMYFUNCTION("""COMPUTED_VALUE"""),"Excellent")</f>
        <v>Excellent</v>
      </c>
      <c r="Z2557" s="182" t="str">
        <f>IFERROR(__xludf.DUMMYFUNCTION("""COMPUTED_VALUE"""),"Good")</f>
        <v>Good</v>
      </c>
      <c r="AA2557" s="182" t="str">
        <f>IFERROR(__xludf.DUMMYFUNCTION("""COMPUTED_VALUE"""),"Fair")</f>
        <v>Fair</v>
      </c>
      <c r="AB2557" s="182" t="str">
        <f>IFERROR(__xludf.DUMMYFUNCTION("""COMPUTED_VALUE"""),"Excellent")</f>
        <v>Excellent</v>
      </c>
      <c r="AC2557" s="183">
        <f>IFERROR(__xludf.DUMMYFUNCTION("""COMPUTED_VALUE"""),0.0)</f>
        <v>0</v>
      </c>
      <c r="AD2557" s="183">
        <f>IFERROR(__xludf.DUMMYFUNCTION("""COMPUTED_VALUE"""),0.0)</f>
        <v>0</v>
      </c>
      <c r="AE2557" s="183">
        <f>IFERROR(__xludf.DUMMYFUNCTION("""COMPUTED_VALUE"""),0.0)</f>
        <v>0</v>
      </c>
      <c r="AF2557" s="184"/>
      <c r="AG2557" s="180"/>
      <c r="AH2557" s="185">
        <f>IFERROR(__xludf.DUMMYFUNCTION("""COMPUTED_VALUE"""),43378.45458496528)</f>
        <v>43378.45458</v>
      </c>
      <c r="AI2557" s="182"/>
      <c r="AJ2557" s="182"/>
      <c r="AK2557" s="182"/>
      <c r="AL2557" s="182"/>
    </row>
    <row r="2558" ht="20.25" customHeight="1">
      <c r="A2558" s="169" t="str">
        <f>IFERROR(__xludf.DUMMYFUNCTION("""COMPUTED_VALUE"""),"GromitATL")</f>
        <v>GromitATL</v>
      </c>
      <c r="B2558" s="170" t="str">
        <f>IFERROR(__xludf.DUMMYFUNCTION("""COMPUTED_VALUE"""),"Atlanta")</f>
        <v>Atlanta</v>
      </c>
      <c r="C2558" s="170" t="str">
        <f>IFERROR(__xludf.DUMMYFUNCTION("""COMPUTED_VALUE"""),"GA")</f>
        <v>GA</v>
      </c>
      <c r="D2558" s="170" t="str">
        <f>IFERROR(__xludf.DUMMYFUNCTION("""COMPUTED_VALUE"""),"USA")</f>
        <v>USA</v>
      </c>
      <c r="E2558" s="171">
        <f>IFERROR(__xludf.DUMMYFUNCTION("""COMPUTED_VALUE"""),43310.0)</f>
        <v>43310</v>
      </c>
      <c r="F2558" s="172">
        <f>IFERROR(__xludf.DUMMYFUNCTION("""COMPUTED_VALUE"""),43385.0)</f>
        <v>43385</v>
      </c>
      <c r="G2558" s="173"/>
      <c r="H2558" s="174">
        <f>IFERROR(__xludf.DUMMYFUNCTION("""COMPUTED_VALUE"""),116755.0)</f>
        <v>116755</v>
      </c>
      <c r="I2558" s="175" t="str">
        <f>IFERROR(__xludf.DUMMYFUNCTION("""COMPUTED_VALUE"""),"10/18")</f>
        <v>10/18</v>
      </c>
      <c r="J2558" s="172">
        <f>IFERROR(__xludf.DUMMYFUNCTION("""COMPUTED_VALUE"""),43400.0)</f>
        <v>43400</v>
      </c>
      <c r="K2558" s="176">
        <f>IFERROR(__xludf.DUMMYFUNCTION("""COMPUTED_VALUE"""),75.0)</f>
        <v>75</v>
      </c>
      <c r="L2558" s="176">
        <f>IFERROR(__xludf.DUMMYFUNCTION("""COMPUTED_VALUE"""),15.0)</f>
        <v>15</v>
      </c>
      <c r="M2558" s="176">
        <f>IFERROR(__xludf.DUMMYFUNCTION("""COMPUTED_VALUE"""),90.0)</f>
        <v>90</v>
      </c>
      <c r="N2558" s="177" t="str">
        <f>IFERROR(__xludf.DUMMYFUNCTION("""COMPUTED_VALUE"""),"Model 3 LR AWD")</f>
        <v>Model 3 LR AWD</v>
      </c>
      <c r="O2558" s="177" t="str">
        <f>IFERROR(__xludf.DUMMYFUNCTION("""COMPUTED_VALUE"""),"Midnight Silver Metallic")</f>
        <v>Midnight Silver Metallic</v>
      </c>
      <c r="P2558" s="178" t="str">
        <f>IFERROR(__xludf.DUMMYFUNCTION("""COMPUTED_VALUE"""),"19 inch Sport")</f>
        <v>19 inch Sport</v>
      </c>
      <c r="Q2558" s="177" t="str">
        <f>IFERROR(__xludf.DUMMYFUNCTION("""COMPUTED_VALUE"""),"Black seats")</f>
        <v>Black seats</v>
      </c>
      <c r="R2558" s="170" t="str">
        <f>IFERROR(__xludf.DUMMYFUNCTION("""COMPUTED_VALUE"""),"Enhanced Autopilot")</f>
        <v>Enhanced Autopilot</v>
      </c>
      <c r="S2558" s="170"/>
      <c r="T2558" s="179"/>
      <c r="U2558" s="179"/>
      <c r="V2558" s="179"/>
      <c r="W2558" s="180"/>
      <c r="X2558" s="181" t="str">
        <f>IFERROR(__xludf.DUMMYFUNCTION("""COMPUTED_VALUE"""),"Very Good")</f>
        <v>Very Good</v>
      </c>
      <c r="Y2558" s="182" t="str">
        <f>IFERROR(__xludf.DUMMYFUNCTION("""COMPUTED_VALUE"""),"Excellent")</f>
        <v>Excellent</v>
      </c>
      <c r="Z2558" s="182" t="str">
        <f>IFERROR(__xludf.DUMMYFUNCTION("""COMPUTED_VALUE"""),"Very Good")</f>
        <v>Very Good</v>
      </c>
      <c r="AA2558" s="182" t="str">
        <f>IFERROR(__xludf.DUMMYFUNCTION("""COMPUTED_VALUE"""),"Fair")</f>
        <v>Fair</v>
      </c>
      <c r="AB2558" s="182" t="str">
        <f>IFERROR(__xludf.DUMMYFUNCTION("""COMPUTED_VALUE"""),"Fair")</f>
        <v>Fair</v>
      </c>
      <c r="AC2558" s="183">
        <f>IFERROR(__xludf.DUMMYFUNCTION("""COMPUTED_VALUE"""),5.0)</f>
        <v>5</v>
      </c>
      <c r="AD2558" s="183"/>
      <c r="AE2558" s="183"/>
      <c r="AF2558" s="184"/>
      <c r="AG2558" s="180"/>
      <c r="AH2558" s="185">
        <f>IFERROR(__xludf.DUMMYFUNCTION("""COMPUTED_VALUE"""),43401.27651747685)</f>
        <v>43401.27652</v>
      </c>
      <c r="AI2558" s="182"/>
      <c r="AJ2558" s="182"/>
      <c r="AK2558" s="182"/>
      <c r="AL2558" s="182"/>
    </row>
    <row r="2559" ht="20.25" customHeight="1">
      <c r="A2559" s="169" t="str">
        <f>IFERROR(__xludf.DUMMYFUNCTION("""COMPUTED_VALUE"""),"Ski Pow")</f>
        <v>Ski Pow</v>
      </c>
      <c r="B2559" s="170" t="str">
        <f>IFERROR(__xludf.DUMMYFUNCTION("""COMPUTED_VALUE"""),"Boise")</f>
        <v>Boise</v>
      </c>
      <c r="C2559" s="170" t="str">
        <f>IFERROR(__xludf.DUMMYFUNCTION("""COMPUTED_VALUE"""),"ID")</f>
        <v>ID</v>
      </c>
      <c r="D2559" s="170" t="str">
        <f>IFERROR(__xludf.DUMMYFUNCTION("""COMPUTED_VALUE"""),"USA")</f>
        <v>USA</v>
      </c>
      <c r="E2559" s="171">
        <f>IFERROR(__xludf.DUMMYFUNCTION("""COMPUTED_VALUE"""),43310.0)</f>
        <v>43310</v>
      </c>
      <c r="F2559" s="172">
        <f>IFERROR(__xludf.DUMMYFUNCTION("""COMPUTED_VALUE"""),43385.0)</f>
        <v>43385</v>
      </c>
      <c r="G2559" s="173"/>
      <c r="H2559" s="174">
        <f>IFERROR(__xludf.DUMMYFUNCTION("""COMPUTED_VALUE"""),94620.0)</f>
        <v>94620</v>
      </c>
      <c r="I2559" s="175" t="str">
        <f>IFERROR(__xludf.DUMMYFUNCTION("""COMPUTED_VALUE"""),"10/18")</f>
        <v>10/18</v>
      </c>
      <c r="J2559" s="172">
        <f>IFERROR(__xludf.DUMMYFUNCTION("""COMPUTED_VALUE"""),43394.0)</f>
        <v>43394</v>
      </c>
      <c r="K2559" s="176">
        <f>IFERROR(__xludf.DUMMYFUNCTION("""COMPUTED_VALUE"""),75.0)</f>
        <v>75</v>
      </c>
      <c r="L2559" s="176">
        <f>IFERROR(__xludf.DUMMYFUNCTION("""COMPUTED_VALUE"""),9.0)</f>
        <v>9</v>
      </c>
      <c r="M2559" s="176">
        <f>IFERROR(__xludf.DUMMYFUNCTION("""COMPUTED_VALUE"""),84.0)</f>
        <v>84</v>
      </c>
      <c r="N2559" s="177" t="str">
        <f>IFERROR(__xludf.DUMMYFUNCTION("""COMPUTED_VALUE"""),"Model 3 LR AWD")</f>
        <v>Model 3 LR AWD</v>
      </c>
      <c r="O2559" s="177" t="str">
        <f>IFERROR(__xludf.DUMMYFUNCTION("""COMPUTED_VALUE"""),"Deep Blue Metallic")</f>
        <v>Deep Blue Metallic</v>
      </c>
      <c r="P2559" s="178" t="str">
        <f>IFERROR(__xludf.DUMMYFUNCTION("""COMPUTED_VALUE"""),"18 inch Aero")</f>
        <v>18 inch Aero</v>
      </c>
      <c r="Q2559" s="177" t="str">
        <f>IFERROR(__xludf.DUMMYFUNCTION("""COMPUTED_VALUE"""),"Black seats")</f>
        <v>Black seats</v>
      </c>
      <c r="R2559" s="170" t="str">
        <f>IFERROR(__xludf.DUMMYFUNCTION("""COMPUTED_VALUE"""),"Enhanced Autopilot")</f>
        <v>Enhanced Autopilot</v>
      </c>
      <c r="S2559" s="170"/>
      <c r="T2559" s="179"/>
      <c r="U2559" s="179"/>
      <c r="V2559" s="179"/>
      <c r="W2559" s="180"/>
      <c r="X2559" s="181" t="str">
        <f>IFERROR(__xludf.DUMMYFUNCTION("""COMPUTED_VALUE"""),"Excellent")</f>
        <v>Excellent</v>
      </c>
      <c r="Y2559" s="182" t="str">
        <f>IFERROR(__xludf.DUMMYFUNCTION("""COMPUTED_VALUE"""),"Excellent")</f>
        <v>Excellent</v>
      </c>
      <c r="Z2559" s="182" t="str">
        <f>IFERROR(__xludf.DUMMYFUNCTION("""COMPUTED_VALUE"""),"Excellent")</f>
        <v>Excellent</v>
      </c>
      <c r="AA2559" s="182" t="str">
        <f>IFERROR(__xludf.DUMMYFUNCTION("""COMPUTED_VALUE"""),"Excellent")</f>
        <v>Excellent</v>
      </c>
      <c r="AB2559" s="182" t="str">
        <f>IFERROR(__xludf.DUMMYFUNCTION("""COMPUTED_VALUE"""),"Poor")</f>
        <v>Poor</v>
      </c>
      <c r="AC2559" s="183">
        <f>IFERROR(__xludf.DUMMYFUNCTION("""COMPUTED_VALUE"""),0.0)</f>
        <v>0</v>
      </c>
      <c r="AD2559" s="183">
        <f>IFERROR(__xludf.DUMMYFUNCTION("""COMPUTED_VALUE"""),0.0)</f>
        <v>0</v>
      </c>
      <c r="AE2559" s="183">
        <f>IFERROR(__xludf.DUMMYFUNCTION("""COMPUTED_VALUE"""),0.0)</f>
        <v>0</v>
      </c>
      <c r="AF2559" s="184"/>
      <c r="AG2559" s="180" t="str">
        <f>IFERROR(__xludf.DUMMYFUNCTION("""COMPUTED_VALUE"""),"Poor communication on delivery. Car Delivered to my house, don't live near dealer")</f>
        <v>Poor communication on delivery. Car Delivered to my house, don't live near dealer</v>
      </c>
      <c r="AH2559" s="185">
        <f>IFERROR(__xludf.DUMMYFUNCTION("""COMPUTED_VALUE"""),43397.5840358912)</f>
        <v>43397.58404</v>
      </c>
      <c r="AI2559" s="182"/>
      <c r="AJ2559" s="182"/>
      <c r="AK2559" s="182"/>
      <c r="AL2559" s="182"/>
    </row>
    <row r="2560" ht="20.25" customHeight="1">
      <c r="A2560" s="169" t="str">
        <f>IFERROR(__xludf.DUMMYFUNCTION("""COMPUTED_VALUE"""),"terry1white")</f>
        <v>terry1white</v>
      </c>
      <c r="B2560" s="170" t="str">
        <f>IFERROR(__xludf.DUMMYFUNCTION("""COMPUTED_VALUE"""),"Atlanta")</f>
        <v>Atlanta</v>
      </c>
      <c r="C2560" s="170" t="str">
        <f>IFERROR(__xludf.DUMMYFUNCTION("""COMPUTED_VALUE"""),"GA")</f>
        <v>GA</v>
      </c>
      <c r="D2560" s="170" t="str">
        <f>IFERROR(__xludf.DUMMYFUNCTION("""COMPUTED_VALUE"""),"USA")</f>
        <v>USA</v>
      </c>
      <c r="E2560" s="171">
        <f>IFERROR(__xludf.DUMMYFUNCTION("""COMPUTED_VALUE"""),43310.0)</f>
        <v>43310</v>
      </c>
      <c r="F2560" s="172">
        <f>IFERROR(__xludf.DUMMYFUNCTION("""COMPUTED_VALUE"""),43333.0)</f>
        <v>43333</v>
      </c>
      <c r="G2560" s="173"/>
      <c r="H2560" s="174">
        <f>IFERROR(__xludf.DUMMYFUNCTION("""COMPUTED_VALUE"""),70355.0)</f>
        <v>70355</v>
      </c>
      <c r="I2560" s="175" t="str">
        <f>IFERROR(__xludf.DUMMYFUNCTION("""COMPUTED_VALUE"""),"08/18")</f>
        <v>08/18</v>
      </c>
      <c r="J2560" s="172">
        <f>IFERROR(__xludf.DUMMYFUNCTION("""COMPUTED_VALUE"""),43345.0)</f>
        <v>43345</v>
      </c>
      <c r="K2560" s="176">
        <f>IFERROR(__xludf.DUMMYFUNCTION("""COMPUTED_VALUE"""),23.0)</f>
        <v>23</v>
      </c>
      <c r="L2560" s="176">
        <f>IFERROR(__xludf.DUMMYFUNCTION("""COMPUTED_VALUE"""),12.0)</f>
        <v>12</v>
      </c>
      <c r="M2560" s="176">
        <f>IFERROR(__xludf.DUMMYFUNCTION("""COMPUTED_VALUE"""),35.0)</f>
        <v>35</v>
      </c>
      <c r="N2560" s="177" t="str">
        <f>IFERROR(__xludf.DUMMYFUNCTION("""COMPUTED_VALUE"""),"Model 3 LR")</f>
        <v>Model 3 LR</v>
      </c>
      <c r="O2560" s="177" t="str">
        <f>IFERROR(__xludf.DUMMYFUNCTION("""COMPUTED_VALUE"""),"Obsidian Black Metallic")</f>
        <v>Obsidian Black Metallic</v>
      </c>
      <c r="P2560" s="178" t="str">
        <f>IFERROR(__xludf.DUMMYFUNCTION("""COMPUTED_VALUE"""),"18 inch Aero")</f>
        <v>18 inch Aero</v>
      </c>
      <c r="Q2560" s="177" t="str">
        <f>IFERROR(__xludf.DUMMYFUNCTION("""COMPUTED_VALUE"""),"Black seats")</f>
        <v>Black seats</v>
      </c>
      <c r="R2560" s="170" t="str">
        <f>IFERROR(__xludf.DUMMYFUNCTION("""COMPUTED_VALUE"""),"Enhanced Autopilot")</f>
        <v>Enhanced Autopilot</v>
      </c>
      <c r="S2560" s="170"/>
      <c r="T2560" s="179"/>
      <c r="U2560" s="179"/>
      <c r="V2560" s="179"/>
      <c r="W2560" s="180"/>
      <c r="X2560" s="181" t="str">
        <f>IFERROR(__xludf.DUMMYFUNCTION("""COMPUTED_VALUE"""),"Excellent")</f>
        <v>Excellent</v>
      </c>
      <c r="Y2560" s="182" t="str">
        <f>IFERROR(__xludf.DUMMYFUNCTION("""COMPUTED_VALUE"""),"Excellent")</f>
        <v>Excellent</v>
      </c>
      <c r="Z2560" s="182" t="str">
        <f>IFERROR(__xludf.DUMMYFUNCTION("""COMPUTED_VALUE"""),"Good")</f>
        <v>Good</v>
      </c>
      <c r="AA2560" s="182" t="str">
        <f>IFERROR(__xludf.DUMMYFUNCTION("""COMPUTED_VALUE"""),"Very Good")</f>
        <v>Very Good</v>
      </c>
      <c r="AB2560" s="182" t="str">
        <f>IFERROR(__xludf.DUMMYFUNCTION("""COMPUTED_VALUE"""),"Very Good")</f>
        <v>Very Good</v>
      </c>
      <c r="AC2560" s="183">
        <f>IFERROR(__xludf.DUMMYFUNCTION("""COMPUTED_VALUE"""),1.0)</f>
        <v>1</v>
      </c>
      <c r="AD2560" s="183"/>
      <c r="AE2560" s="183"/>
      <c r="AF2560" s="184"/>
      <c r="AG2560" s="180"/>
      <c r="AH2560" s="185">
        <f>IFERROR(__xludf.DUMMYFUNCTION("""COMPUTED_VALUE"""),43346.74379505787)</f>
        <v>43346.7438</v>
      </c>
      <c r="AI2560" s="182"/>
      <c r="AJ2560" s="182"/>
      <c r="AK2560" s="182"/>
      <c r="AL2560" s="182"/>
    </row>
    <row r="2561" ht="20.25" customHeight="1">
      <c r="A2561" s="169" t="str">
        <f>IFERROR(__xludf.DUMMYFUNCTION("""COMPUTED_VALUE"""),"Dieter")</f>
        <v>Dieter</v>
      </c>
      <c r="B2561" s="170"/>
      <c r="C2561" s="170" t="str">
        <f>IFERROR(__xludf.DUMMYFUNCTION("""COMPUTED_VALUE"""),"RI")</f>
        <v>RI</v>
      </c>
      <c r="D2561" s="170" t="str">
        <f>IFERROR(__xludf.DUMMYFUNCTION("""COMPUTED_VALUE"""),"USA")</f>
        <v>USA</v>
      </c>
      <c r="E2561" s="171">
        <f>IFERROR(__xludf.DUMMYFUNCTION("""COMPUTED_VALUE"""),43309.0)</f>
        <v>43309</v>
      </c>
      <c r="F2561" s="172">
        <f>IFERROR(__xludf.DUMMYFUNCTION("""COMPUTED_VALUE"""),43348.0)</f>
        <v>43348</v>
      </c>
      <c r="G2561" s="173"/>
      <c r="H2561" s="174">
        <f>IFERROR(__xludf.DUMMYFUNCTION("""COMPUTED_VALUE"""),91555.0)</f>
        <v>91555</v>
      </c>
      <c r="I2561" s="175"/>
      <c r="J2561" s="172">
        <f>IFERROR(__xludf.DUMMYFUNCTION("""COMPUTED_VALUE"""),43379.0)</f>
        <v>43379</v>
      </c>
      <c r="K2561" s="176">
        <f>IFERROR(__xludf.DUMMYFUNCTION("""COMPUTED_VALUE"""),39.0)</f>
        <v>39</v>
      </c>
      <c r="L2561" s="176">
        <f>IFERROR(__xludf.DUMMYFUNCTION("""COMPUTED_VALUE"""),31.0)</f>
        <v>31</v>
      </c>
      <c r="M2561" s="176">
        <f>IFERROR(__xludf.DUMMYFUNCTION("""COMPUTED_VALUE"""),70.0)</f>
        <v>70</v>
      </c>
      <c r="N2561" s="177" t="str">
        <f>IFERROR(__xludf.DUMMYFUNCTION("""COMPUTED_VALUE"""),"Model 3 LR AWD")</f>
        <v>Model 3 LR AWD</v>
      </c>
      <c r="O2561" s="177" t="str">
        <f>IFERROR(__xludf.DUMMYFUNCTION("""COMPUTED_VALUE"""),"Red Multi-Coat")</f>
        <v>Red Multi-Coat</v>
      </c>
      <c r="P2561" s="178" t="str">
        <f>IFERROR(__xludf.DUMMYFUNCTION("""COMPUTED_VALUE"""),"18 inch Aero")</f>
        <v>18 inch Aero</v>
      </c>
      <c r="Q2561" s="177" t="str">
        <f>IFERROR(__xludf.DUMMYFUNCTION("""COMPUTED_VALUE"""),"Black seats")</f>
        <v>Black seats</v>
      </c>
      <c r="R2561" s="170" t="str">
        <f>IFERROR(__xludf.DUMMYFUNCTION("""COMPUTED_VALUE"""),"Enhanced Autopilot")</f>
        <v>Enhanced Autopilot</v>
      </c>
      <c r="S2561" s="170"/>
      <c r="T2561" s="179"/>
      <c r="U2561" s="179"/>
      <c r="V2561" s="179"/>
      <c r="W2561" s="180"/>
      <c r="X2561" s="181" t="str">
        <f>IFERROR(__xludf.DUMMYFUNCTION("""COMPUTED_VALUE"""),"Very Good")</f>
        <v>Very Good</v>
      </c>
      <c r="Y2561" s="182" t="str">
        <f>IFERROR(__xludf.DUMMYFUNCTION("""COMPUTED_VALUE"""),"Very Good")</f>
        <v>Very Good</v>
      </c>
      <c r="Z2561" s="182" t="str">
        <f>IFERROR(__xludf.DUMMYFUNCTION("""COMPUTED_VALUE"""),"Very Good")</f>
        <v>Very Good</v>
      </c>
      <c r="AA2561" s="182" t="str">
        <f>IFERROR(__xludf.DUMMYFUNCTION("""COMPUTED_VALUE"""),"Poor")</f>
        <v>Poor</v>
      </c>
      <c r="AB2561" s="182" t="str">
        <f>IFERROR(__xludf.DUMMYFUNCTION("""COMPUTED_VALUE"""),"Fair")</f>
        <v>Fair</v>
      </c>
      <c r="AC2561" s="183"/>
      <c r="AD2561" s="183"/>
      <c r="AE2561" s="183"/>
      <c r="AF2561" s="184"/>
      <c r="AG2561" s="180"/>
      <c r="AH2561" s="185">
        <f>IFERROR(__xludf.DUMMYFUNCTION("""COMPUTED_VALUE"""),43385.19832802084)</f>
        <v>43385.19833</v>
      </c>
      <c r="AI2561" s="182"/>
      <c r="AJ2561" s="182"/>
      <c r="AK2561" s="182"/>
      <c r="AL2561" s="182"/>
    </row>
    <row r="2562" ht="20.25" customHeight="1">
      <c r="A2562" s="169" t="str">
        <f>IFERROR(__xludf.DUMMYFUNCTION("""COMPUTED_VALUE"""),"rducpl (2)")</f>
        <v>rducpl (2)</v>
      </c>
      <c r="B2562" s="170" t="str">
        <f>IFERROR(__xludf.DUMMYFUNCTION("""COMPUTED_VALUE"""),"Durham")</f>
        <v>Durham</v>
      </c>
      <c r="C2562" s="170" t="str">
        <f>IFERROR(__xludf.DUMMYFUNCTION("""COMPUTED_VALUE"""),"NC")</f>
        <v>NC</v>
      </c>
      <c r="D2562" s="170" t="str">
        <f>IFERROR(__xludf.DUMMYFUNCTION("""COMPUTED_VALUE"""),"USA")</f>
        <v>USA</v>
      </c>
      <c r="E2562" s="171">
        <f>IFERROR(__xludf.DUMMYFUNCTION("""COMPUTED_VALUE"""),43309.0)</f>
        <v>43309</v>
      </c>
      <c r="F2562" s="172">
        <f>IFERROR(__xludf.DUMMYFUNCTION("""COMPUTED_VALUE"""),43320.0)</f>
        <v>43320</v>
      </c>
      <c r="G2562" s="173"/>
      <c r="H2562" s="174">
        <f>IFERROR(__xludf.DUMMYFUNCTION("""COMPUTED_VALUE"""),55755.0)</f>
        <v>55755</v>
      </c>
      <c r="I2562" s="175" t="str">
        <f>IFERROR(__xludf.DUMMYFUNCTION("""COMPUTED_VALUE"""),"07/18")</f>
        <v>07/18</v>
      </c>
      <c r="J2562" s="172">
        <f>IFERROR(__xludf.DUMMYFUNCTION("""COMPUTED_VALUE"""),43341.0)</f>
        <v>43341</v>
      </c>
      <c r="K2562" s="176">
        <f>IFERROR(__xludf.DUMMYFUNCTION("""COMPUTED_VALUE"""),11.0)</f>
        <v>11</v>
      </c>
      <c r="L2562" s="176">
        <f>IFERROR(__xludf.DUMMYFUNCTION("""COMPUTED_VALUE"""),21.0)</f>
        <v>21</v>
      </c>
      <c r="M2562" s="176">
        <f>IFERROR(__xludf.DUMMYFUNCTION("""COMPUTED_VALUE"""),32.0)</f>
        <v>32</v>
      </c>
      <c r="N2562" s="177" t="str">
        <f>IFERROR(__xludf.DUMMYFUNCTION("""COMPUTED_VALUE"""),"Model 3 Performance")</f>
        <v>Model 3 Performance</v>
      </c>
      <c r="O2562" s="177" t="str">
        <f>IFERROR(__xludf.DUMMYFUNCTION("""COMPUTED_VALUE"""),"Pearl White Multi-Coat")</f>
        <v>Pearl White Multi-Coat</v>
      </c>
      <c r="P2562" s="178" t="str">
        <f>IFERROR(__xludf.DUMMYFUNCTION("""COMPUTED_VALUE"""),"20 inch Sport")</f>
        <v>20 inch Sport</v>
      </c>
      <c r="Q2562" s="177" t="str">
        <f>IFERROR(__xludf.DUMMYFUNCTION("""COMPUTED_VALUE"""),"White seats")</f>
        <v>White seats</v>
      </c>
      <c r="R2562" s="170" t="str">
        <f>IFERROR(__xludf.DUMMYFUNCTION("""COMPUTED_VALUE"""),"Full Self-Driving")</f>
        <v>Full Self-Driving</v>
      </c>
      <c r="S2562" s="170"/>
      <c r="T2562" s="179"/>
      <c r="U2562" s="179"/>
      <c r="V2562" s="179"/>
      <c r="W2562" s="180"/>
      <c r="X2562" s="181" t="str">
        <f>IFERROR(__xludf.DUMMYFUNCTION("""COMPUTED_VALUE"""),"Very Good")</f>
        <v>Very Good</v>
      </c>
      <c r="Y2562" s="182" t="str">
        <f>IFERROR(__xludf.DUMMYFUNCTION("""COMPUTED_VALUE"""),"Excellent")</f>
        <v>Excellent</v>
      </c>
      <c r="Z2562" s="182" t="str">
        <f>IFERROR(__xludf.DUMMYFUNCTION("""COMPUTED_VALUE"""),"Poor")</f>
        <v>Poor</v>
      </c>
      <c r="AA2562" s="182" t="str">
        <f>IFERROR(__xludf.DUMMYFUNCTION("""COMPUTED_VALUE"""),"Fair")</f>
        <v>Fair</v>
      </c>
      <c r="AB2562" s="182" t="str">
        <f>IFERROR(__xludf.DUMMYFUNCTION("""COMPUTED_VALUE"""),"Excellent")</f>
        <v>Excellent</v>
      </c>
      <c r="AC2562" s="183"/>
      <c r="AD2562" s="183"/>
      <c r="AE2562" s="183"/>
      <c r="AF2562" s="184"/>
      <c r="AG2562" s="180"/>
      <c r="AH2562" s="185">
        <f>IFERROR(__xludf.DUMMYFUNCTION("""COMPUTED_VALUE"""),43341.569682465284)</f>
        <v>43341.56968</v>
      </c>
      <c r="AI2562" s="182"/>
      <c r="AJ2562" s="182"/>
      <c r="AK2562" s="182"/>
      <c r="AL2562" s="182"/>
    </row>
    <row r="2563" ht="20.25" customHeight="1">
      <c r="A2563" s="169" t="str">
        <f>IFERROR(__xludf.DUMMYFUNCTION("""COMPUTED_VALUE"""),"twm01")</f>
        <v>twm01</v>
      </c>
      <c r="B2563" s="170" t="str">
        <f>IFERROR(__xludf.DUMMYFUNCTION("""COMPUTED_VALUE"""),"Tampa")</f>
        <v>Tampa</v>
      </c>
      <c r="C2563" s="170" t="str">
        <f>IFERROR(__xludf.DUMMYFUNCTION("""COMPUTED_VALUE"""),"FL")</f>
        <v>FL</v>
      </c>
      <c r="D2563" s="170" t="str">
        <f>IFERROR(__xludf.DUMMYFUNCTION("""COMPUTED_VALUE"""),"USA")</f>
        <v>USA</v>
      </c>
      <c r="E2563" s="171">
        <f>IFERROR(__xludf.DUMMYFUNCTION("""COMPUTED_VALUE"""),43309.0)</f>
        <v>43309</v>
      </c>
      <c r="F2563" s="172">
        <f>IFERROR(__xludf.DUMMYFUNCTION("""COMPUTED_VALUE"""),43318.0)</f>
        <v>43318</v>
      </c>
      <c r="G2563" s="173"/>
      <c r="H2563" s="174">
        <f>IFERROR(__xludf.DUMMYFUNCTION("""COMPUTED_VALUE"""),59055.0)</f>
        <v>59055</v>
      </c>
      <c r="I2563" s="175" t="str">
        <f>IFERROR(__xludf.DUMMYFUNCTION("""COMPUTED_VALUE"""),"08/18")</f>
        <v>08/18</v>
      </c>
      <c r="J2563" s="172">
        <f>IFERROR(__xludf.DUMMYFUNCTION("""COMPUTED_VALUE"""),43332.0)</f>
        <v>43332</v>
      </c>
      <c r="K2563" s="176">
        <f>IFERROR(__xludf.DUMMYFUNCTION("""COMPUTED_VALUE"""),9.0)</f>
        <v>9</v>
      </c>
      <c r="L2563" s="176">
        <f>IFERROR(__xludf.DUMMYFUNCTION("""COMPUTED_VALUE"""),14.0)</f>
        <v>14</v>
      </c>
      <c r="M2563" s="176">
        <f>IFERROR(__xludf.DUMMYFUNCTION("""COMPUTED_VALUE"""),23.0)</f>
        <v>23</v>
      </c>
      <c r="N2563" s="177" t="str">
        <f>IFERROR(__xludf.DUMMYFUNCTION("""COMPUTED_VALUE"""),"Model 3 LR")</f>
        <v>Model 3 LR</v>
      </c>
      <c r="O2563" s="177" t="str">
        <f>IFERROR(__xludf.DUMMYFUNCTION("""COMPUTED_VALUE"""),"Deep Blue Metallic")</f>
        <v>Deep Blue Metallic</v>
      </c>
      <c r="P2563" s="178" t="str">
        <f>IFERROR(__xludf.DUMMYFUNCTION("""COMPUTED_VALUE"""),"18 inch Aero")</f>
        <v>18 inch Aero</v>
      </c>
      <c r="Q2563" s="177" t="str">
        <f>IFERROR(__xludf.DUMMYFUNCTION("""COMPUTED_VALUE"""),"Black seats")</f>
        <v>Black seats</v>
      </c>
      <c r="R2563" s="170" t="str">
        <f>IFERROR(__xludf.DUMMYFUNCTION("""COMPUTED_VALUE"""),"Full Self-Driving")</f>
        <v>Full Self-Driving</v>
      </c>
      <c r="S2563" s="170"/>
      <c r="T2563" s="179"/>
      <c r="U2563" s="179"/>
      <c r="V2563" s="179"/>
      <c r="W2563" s="180"/>
      <c r="X2563" s="181" t="str">
        <f>IFERROR(__xludf.DUMMYFUNCTION("""COMPUTED_VALUE"""),"Fair")</f>
        <v>Fair</v>
      </c>
      <c r="Y2563" s="182" t="str">
        <f>IFERROR(__xludf.DUMMYFUNCTION("""COMPUTED_VALUE"""),"Very Good")</f>
        <v>Very Good</v>
      </c>
      <c r="Z2563" s="182" t="str">
        <f>IFERROR(__xludf.DUMMYFUNCTION("""COMPUTED_VALUE"""),"Poor")</f>
        <v>Poor</v>
      </c>
      <c r="AA2563" s="182" t="str">
        <f>IFERROR(__xludf.DUMMYFUNCTION("""COMPUTED_VALUE"""),"Very Good")</f>
        <v>Very Good</v>
      </c>
      <c r="AB2563" s="182" t="str">
        <f>IFERROR(__xludf.DUMMYFUNCTION("""COMPUTED_VALUE"""),"Fair")</f>
        <v>Fair</v>
      </c>
      <c r="AC2563" s="183">
        <f>IFERROR(__xludf.DUMMYFUNCTION("""COMPUTED_VALUE"""),5.0)</f>
        <v>5</v>
      </c>
      <c r="AD2563" s="183">
        <f>IFERROR(__xludf.DUMMYFUNCTION("""COMPUTED_VALUE"""),1.0)</f>
        <v>1</v>
      </c>
      <c r="AE2563" s="183">
        <f>IFERROR(__xludf.DUMMYFUNCTION("""COMPUTED_VALUE"""),5.0)</f>
        <v>5</v>
      </c>
      <c r="AF2563" s="184"/>
      <c r="AG2563" s="180" t="str">
        <f>IFERROR(__xludf.DUMMYFUNCTION("""COMPUTED_VALUE"""),"Original delivery date 8/24/18")</f>
        <v>Original delivery date 8/24/18</v>
      </c>
      <c r="AH2563" s="185">
        <f>IFERROR(__xludf.DUMMYFUNCTION("""COMPUTED_VALUE"""),43347.31927246528)</f>
        <v>43347.31927</v>
      </c>
      <c r="AI2563" s="182"/>
      <c r="AJ2563" s="182"/>
      <c r="AK2563" s="182"/>
      <c r="AL2563" s="182"/>
    </row>
    <row r="2564" ht="20.25" customHeight="1">
      <c r="A2564" s="169" t="str">
        <f>IFERROR(__xludf.DUMMYFUNCTION("""COMPUTED_VALUE"""),"Brandonee916")</f>
        <v>Brandonee916</v>
      </c>
      <c r="B2564" s="170" t="str">
        <f>IFERROR(__xludf.DUMMYFUNCTION("""COMPUTED_VALUE"""),"Sacramento")</f>
        <v>Sacramento</v>
      </c>
      <c r="C2564" s="170" t="str">
        <f>IFERROR(__xludf.DUMMYFUNCTION("""COMPUTED_VALUE"""),"CA")</f>
        <v>CA</v>
      </c>
      <c r="D2564" s="170" t="str">
        <f>IFERROR(__xludf.DUMMYFUNCTION("""COMPUTED_VALUE"""),"USA")</f>
        <v>USA</v>
      </c>
      <c r="E2564" s="171">
        <f>IFERROR(__xludf.DUMMYFUNCTION("""COMPUTED_VALUE"""),43308.0)</f>
        <v>43308</v>
      </c>
      <c r="F2564" s="172">
        <f>IFERROR(__xludf.DUMMYFUNCTION("""COMPUTED_VALUE"""),43332.0)</f>
        <v>43332</v>
      </c>
      <c r="G2564" s="173"/>
      <c r="H2564" s="174">
        <f>IFERROR(__xludf.DUMMYFUNCTION("""COMPUTED_VALUE"""),72646.0)</f>
        <v>72646</v>
      </c>
      <c r="I2564" s="175"/>
      <c r="J2564" s="172">
        <f>IFERROR(__xludf.DUMMYFUNCTION("""COMPUTED_VALUE"""),43351.0)</f>
        <v>43351</v>
      </c>
      <c r="K2564" s="176">
        <f>IFERROR(__xludf.DUMMYFUNCTION("""COMPUTED_VALUE"""),24.0)</f>
        <v>24</v>
      </c>
      <c r="L2564" s="176">
        <f>IFERROR(__xludf.DUMMYFUNCTION("""COMPUTED_VALUE"""),19.0)</f>
        <v>19</v>
      </c>
      <c r="M2564" s="176">
        <f>IFERROR(__xludf.DUMMYFUNCTION("""COMPUTED_VALUE"""),43.0)</f>
        <v>43</v>
      </c>
      <c r="N2564" s="177" t="str">
        <f>IFERROR(__xludf.DUMMYFUNCTION("""COMPUTED_VALUE"""),"Model 3 Performance")</f>
        <v>Model 3 Performance</v>
      </c>
      <c r="O2564" s="177" t="str">
        <f>IFERROR(__xludf.DUMMYFUNCTION("""COMPUTED_VALUE"""),"Pearl White Multi-Coat")</f>
        <v>Pearl White Multi-Coat</v>
      </c>
      <c r="P2564" s="178" t="str">
        <f>IFERROR(__xludf.DUMMYFUNCTION("""COMPUTED_VALUE"""),"20 inch Sport")</f>
        <v>20 inch Sport</v>
      </c>
      <c r="Q2564" s="177" t="str">
        <f>IFERROR(__xludf.DUMMYFUNCTION("""COMPUTED_VALUE"""),"Black seats")</f>
        <v>Black seats</v>
      </c>
      <c r="R2564" s="170" t="str">
        <f>IFERROR(__xludf.DUMMYFUNCTION("""COMPUTED_VALUE"""),"Enhanced Autopilot")</f>
        <v>Enhanced Autopilot</v>
      </c>
      <c r="S2564" s="170"/>
      <c r="T2564" s="179"/>
      <c r="U2564" s="179"/>
      <c r="V2564" s="179"/>
      <c r="W2564" s="180"/>
      <c r="X2564" s="181" t="str">
        <f>IFERROR(__xludf.DUMMYFUNCTION("""COMPUTED_VALUE"""),"Very Good")</f>
        <v>Very Good</v>
      </c>
      <c r="Y2564" s="182" t="str">
        <f>IFERROR(__xludf.DUMMYFUNCTION("""COMPUTED_VALUE"""),"Excellent")</f>
        <v>Excellent</v>
      </c>
      <c r="Z2564" s="182" t="str">
        <f>IFERROR(__xludf.DUMMYFUNCTION("""COMPUTED_VALUE"""),"Poor")</f>
        <v>Poor</v>
      </c>
      <c r="AA2564" s="182" t="str">
        <f>IFERROR(__xludf.DUMMYFUNCTION("""COMPUTED_VALUE"""),"Good")</f>
        <v>Good</v>
      </c>
      <c r="AB2564" s="182" t="str">
        <f>IFERROR(__xludf.DUMMYFUNCTION("""COMPUTED_VALUE"""),"Excellent")</f>
        <v>Excellent</v>
      </c>
      <c r="AC2564" s="183">
        <f>IFERROR(__xludf.DUMMYFUNCTION("""COMPUTED_VALUE"""),8.0)</f>
        <v>8</v>
      </c>
      <c r="AD2564" s="183">
        <f>IFERROR(__xludf.DUMMYFUNCTION("""COMPUTED_VALUE"""),2.0)</f>
        <v>2</v>
      </c>
      <c r="AE2564" s="183">
        <f>IFERROR(__xludf.DUMMYFUNCTION("""COMPUTED_VALUE"""),30.0)</f>
        <v>30</v>
      </c>
      <c r="AF2564" s="184"/>
      <c r="AG2564" s="180" t="str">
        <f>IFERROR(__xludf.DUMMYFUNCTION("""COMPUTED_VALUE"""),"Pretty severe paint issues, bubbles all over clear coat")</f>
        <v>Pretty severe paint issues, bubbles all over clear coat</v>
      </c>
      <c r="AH2564" s="185">
        <f>IFERROR(__xludf.DUMMYFUNCTION("""COMPUTED_VALUE"""),43399.49832306713)</f>
        <v>43399.49832</v>
      </c>
      <c r="AI2564" s="182"/>
      <c r="AJ2564" s="182"/>
      <c r="AK2564" s="182"/>
      <c r="AL2564" s="182"/>
    </row>
    <row r="2565" ht="20.25" customHeight="1">
      <c r="A2565" s="169" t="str">
        <f>IFERROR(__xludf.DUMMYFUNCTION("""COMPUTED_VALUE"""),"EugeneVig")</f>
        <v>EugeneVig</v>
      </c>
      <c r="B2565" s="170" t="str">
        <f>IFERROR(__xludf.DUMMYFUNCTION("""COMPUTED_VALUE"""),"Bay Area")</f>
        <v>Bay Area</v>
      </c>
      <c r="C2565" s="170" t="str">
        <f>IFERROR(__xludf.DUMMYFUNCTION("""COMPUTED_VALUE"""),"CA")</f>
        <v>CA</v>
      </c>
      <c r="D2565" s="170" t="str">
        <f>IFERROR(__xludf.DUMMYFUNCTION("""COMPUTED_VALUE"""),"USA")</f>
        <v>USA</v>
      </c>
      <c r="E2565" s="171">
        <f>IFERROR(__xludf.DUMMYFUNCTION("""COMPUTED_VALUE"""),43308.0)</f>
        <v>43308</v>
      </c>
      <c r="F2565" s="172">
        <f>IFERROR(__xludf.DUMMYFUNCTION("""COMPUTED_VALUE"""),43372.0)</f>
        <v>43372</v>
      </c>
      <c r="G2565" s="173"/>
      <c r="H2565" s="174">
        <f>IFERROR(__xludf.DUMMYFUNCTION("""COMPUTED_VALUE"""),7879.0)</f>
        <v>7879</v>
      </c>
      <c r="I2565" s="175" t="str">
        <f>IFERROR(__xludf.DUMMYFUNCTION("""COMPUTED_VALUE"""),"02/18")</f>
        <v>02/18</v>
      </c>
      <c r="J2565" s="172">
        <f>IFERROR(__xludf.DUMMYFUNCTION("""COMPUTED_VALUE"""),43400.0)</f>
        <v>43400</v>
      </c>
      <c r="K2565" s="176">
        <f>IFERROR(__xludf.DUMMYFUNCTION("""COMPUTED_VALUE"""),64.0)</f>
        <v>64</v>
      </c>
      <c r="L2565" s="176">
        <f>IFERROR(__xludf.DUMMYFUNCTION("""COMPUTED_VALUE"""),28.0)</f>
        <v>28</v>
      </c>
      <c r="M2565" s="176">
        <f>IFERROR(__xludf.DUMMYFUNCTION("""COMPUTED_VALUE"""),92.0)</f>
        <v>92</v>
      </c>
      <c r="N2565" s="177" t="str">
        <f>IFERROR(__xludf.DUMMYFUNCTION("""COMPUTED_VALUE"""),"Model 3 LR")</f>
        <v>Model 3 LR</v>
      </c>
      <c r="O2565" s="177" t="str">
        <f>IFERROR(__xludf.DUMMYFUNCTION("""COMPUTED_VALUE"""),"Silver Metallic")</f>
        <v>Silver Metallic</v>
      </c>
      <c r="P2565" s="178" t="str">
        <f>IFERROR(__xludf.DUMMYFUNCTION("""COMPUTED_VALUE"""),"19 inch Sport")</f>
        <v>19 inch Sport</v>
      </c>
      <c r="Q2565" s="177" t="str">
        <f>IFERROR(__xludf.DUMMYFUNCTION("""COMPUTED_VALUE"""),"Black seats")</f>
        <v>Black seats</v>
      </c>
      <c r="R2565" s="170" t="str">
        <f>IFERROR(__xludf.DUMMYFUNCTION("""COMPUTED_VALUE"""),"None")</f>
        <v>None</v>
      </c>
      <c r="S2565" s="170"/>
      <c r="T2565" s="179"/>
      <c r="U2565" s="179"/>
      <c r="V2565" s="179"/>
      <c r="W2565" s="180"/>
      <c r="X2565" s="181" t="str">
        <f>IFERROR(__xludf.DUMMYFUNCTION("""COMPUTED_VALUE"""),"Good")</f>
        <v>Good</v>
      </c>
      <c r="Y2565" s="182" t="str">
        <f>IFERROR(__xludf.DUMMYFUNCTION("""COMPUTED_VALUE"""),"Good")</f>
        <v>Good</v>
      </c>
      <c r="Z2565" s="182" t="str">
        <f>IFERROR(__xludf.DUMMYFUNCTION("""COMPUTED_VALUE"""),"Very Good")</f>
        <v>Very Good</v>
      </c>
      <c r="AA2565" s="182" t="str">
        <f>IFERROR(__xludf.DUMMYFUNCTION("""COMPUTED_VALUE"""),"Poor")</f>
        <v>Poor</v>
      </c>
      <c r="AB2565" s="182" t="str">
        <f>IFERROR(__xludf.DUMMYFUNCTION("""COMPUTED_VALUE"""),"Poor")</f>
        <v>Poor</v>
      </c>
      <c r="AC2565" s="183"/>
      <c r="AD2565" s="183"/>
      <c r="AE2565" s="183"/>
      <c r="AF2565" s="184"/>
      <c r="AG2565" s="180" t="str">
        <f>IFERROR(__xludf.DUMMYFUNCTION("""COMPUTED_VALUE"""),"Didn't accept the delivery")</f>
        <v>Didn't accept the delivery</v>
      </c>
      <c r="AH2565" s="185">
        <f>IFERROR(__xludf.DUMMYFUNCTION("""COMPUTED_VALUE"""),43412.98298166667)</f>
        <v>43412.98298</v>
      </c>
      <c r="AI2565" s="182"/>
      <c r="AJ2565" s="182"/>
      <c r="AK2565" s="182"/>
      <c r="AL2565" s="182"/>
    </row>
    <row r="2566" ht="20.25" customHeight="1">
      <c r="A2566" s="169" t="str">
        <f>IFERROR(__xludf.DUMMYFUNCTION("""COMPUTED_VALUE"""),"FranceUSA ")</f>
        <v>FranceUSA </v>
      </c>
      <c r="B2566" s="170" t="str">
        <f>IFERROR(__xludf.DUMMYFUNCTION("""COMPUTED_VALUE"""),"MN ")</f>
        <v>MN </v>
      </c>
      <c r="C2566" s="170" t="str">
        <f>IFERROR(__xludf.DUMMYFUNCTION("""COMPUTED_VALUE"""),"MN")</f>
        <v>MN</v>
      </c>
      <c r="D2566" s="170" t="str">
        <f>IFERROR(__xludf.DUMMYFUNCTION("""COMPUTED_VALUE"""),"USA")</f>
        <v>USA</v>
      </c>
      <c r="E2566" s="171">
        <f>IFERROR(__xludf.DUMMYFUNCTION("""COMPUTED_VALUE"""),43308.0)</f>
        <v>43308</v>
      </c>
      <c r="F2566" s="172">
        <f>IFERROR(__xludf.DUMMYFUNCTION("""COMPUTED_VALUE"""),43325.0)</f>
        <v>43325</v>
      </c>
      <c r="G2566" s="173"/>
      <c r="H2566" s="174">
        <f>IFERROR(__xludf.DUMMYFUNCTION("""COMPUTED_VALUE"""),55491.0)</f>
        <v>55491</v>
      </c>
      <c r="I2566" s="175"/>
      <c r="J2566" s="172">
        <f>IFERROR(__xludf.DUMMYFUNCTION("""COMPUTED_VALUE"""),43343.0)</f>
        <v>43343</v>
      </c>
      <c r="K2566" s="176">
        <f>IFERROR(__xludf.DUMMYFUNCTION("""COMPUTED_VALUE"""),17.0)</f>
        <v>17</v>
      </c>
      <c r="L2566" s="176">
        <f>IFERROR(__xludf.DUMMYFUNCTION("""COMPUTED_VALUE"""),18.0)</f>
        <v>18</v>
      </c>
      <c r="M2566" s="176">
        <f>IFERROR(__xludf.DUMMYFUNCTION("""COMPUTED_VALUE"""),35.0)</f>
        <v>35</v>
      </c>
      <c r="N2566" s="177" t="str">
        <f>IFERROR(__xludf.DUMMYFUNCTION("""COMPUTED_VALUE"""),"Model 3 Performance")</f>
        <v>Model 3 Performance</v>
      </c>
      <c r="O2566" s="177" t="str">
        <f>IFERROR(__xludf.DUMMYFUNCTION("""COMPUTED_VALUE"""),"Red Multi-Coat")</f>
        <v>Red Multi-Coat</v>
      </c>
      <c r="P2566" s="178" t="str">
        <f>IFERROR(__xludf.DUMMYFUNCTION("""COMPUTED_VALUE"""),"20 inch Sport")</f>
        <v>20 inch Sport</v>
      </c>
      <c r="Q2566" s="177" t="str">
        <f>IFERROR(__xludf.DUMMYFUNCTION("""COMPUTED_VALUE"""),"White seats")</f>
        <v>White seats</v>
      </c>
      <c r="R2566" s="170" t="str">
        <f>IFERROR(__xludf.DUMMYFUNCTION("""COMPUTED_VALUE"""),"Enhanced Autopilot")</f>
        <v>Enhanced Autopilot</v>
      </c>
      <c r="S2566" s="170"/>
      <c r="T2566" s="179"/>
      <c r="U2566" s="179"/>
      <c r="V2566" s="179"/>
      <c r="W2566" s="180"/>
      <c r="X2566" s="181"/>
      <c r="Y2566" s="182"/>
      <c r="Z2566" s="182"/>
      <c r="AA2566" s="182"/>
      <c r="AB2566" s="182"/>
      <c r="AC2566" s="183">
        <f>IFERROR(__xludf.DUMMYFUNCTION("""COMPUTED_VALUE"""),1.0)</f>
        <v>1</v>
      </c>
      <c r="AD2566" s="183">
        <f>IFERROR(__xludf.DUMMYFUNCTION("""COMPUTED_VALUE"""),0.0)</f>
        <v>0</v>
      </c>
      <c r="AE2566" s="183"/>
      <c r="AF2566" s="184"/>
      <c r="AG2566" s="180"/>
      <c r="AH2566" s="185">
        <f>IFERROR(__xludf.DUMMYFUNCTION("""COMPUTED_VALUE"""),43363.00694119213)</f>
        <v>43363.00694</v>
      </c>
      <c r="AI2566" s="182"/>
      <c r="AJ2566" s="182"/>
      <c r="AK2566" s="182"/>
      <c r="AL2566" s="182"/>
    </row>
    <row r="2567" ht="20.25" customHeight="1">
      <c r="A2567" s="169" t="str">
        <f>IFERROR(__xludf.DUMMYFUNCTION("""COMPUTED_VALUE"""),"jarensberg")</f>
        <v>jarensberg</v>
      </c>
      <c r="B2567" s="170" t="str">
        <f>IFERROR(__xludf.DUMMYFUNCTION("""COMPUTED_VALUE"""),"Kansas City")</f>
        <v>Kansas City</v>
      </c>
      <c r="C2567" s="170" t="str">
        <f>IFERROR(__xludf.DUMMYFUNCTION("""COMPUTED_VALUE"""),"MO")</f>
        <v>MO</v>
      </c>
      <c r="D2567" s="170" t="str">
        <f>IFERROR(__xludf.DUMMYFUNCTION("""COMPUTED_VALUE"""),"USA")</f>
        <v>USA</v>
      </c>
      <c r="E2567" s="171">
        <f>IFERROR(__xludf.DUMMYFUNCTION("""COMPUTED_VALUE"""),43308.0)</f>
        <v>43308</v>
      </c>
      <c r="F2567" s="172">
        <f>IFERROR(__xludf.DUMMYFUNCTION("""COMPUTED_VALUE"""),43353.0)</f>
        <v>43353</v>
      </c>
      <c r="G2567" s="173"/>
      <c r="H2567" s="174">
        <f>IFERROR(__xludf.DUMMYFUNCTION("""COMPUTED_VALUE"""),74455.0)</f>
        <v>74455</v>
      </c>
      <c r="I2567" s="175"/>
      <c r="J2567" s="172">
        <f>IFERROR(__xludf.DUMMYFUNCTION("""COMPUTED_VALUE"""),43359.0)</f>
        <v>43359</v>
      </c>
      <c r="K2567" s="176">
        <f>IFERROR(__xludf.DUMMYFUNCTION("""COMPUTED_VALUE"""),45.0)</f>
        <v>45</v>
      </c>
      <c r="L2567" s="176">
        <f>IFERROR(__xludf.DUMMYFUNCTION("""COMPUTED_VALUE"""),6.0)</f>
        <v>6</v>
      </c>
      <c r="M2567" s="176">
        <f>IFERROR(__xludf.DUMMYFUNCTION("""COMPUTED_VALUE"""),51.0)</f>
        <v>51</v>
      </c>
      <c r="N2567" s="177" t="str">
        <f>IFERROR(__xludf.DUMMYFUNCTION("""COMPUTED_VALUE"""),"Model 3 Performance")</f>
        <v>Model 3 Performance</v>
      </c>
      <c r="O2567" s="177" t="str">
        <f>IFERROR(__xludf.DUMMYFUNCTION("""COMPUTED_VALUE"""),"Pearl White Multi-Coat")</f>
        <v>Pearl White Multi-Coat</v>
      </c>
      <c r="P2567" s="178" t="str">
        <f>IFERROR(__xludf.DUMMYFUNCTION("""COMPUTED_VALUE"""),"20 inch Sport")</f>
        <v>20 inch Sport</v>
      </c>
      <c r="Q2567" s="177" t="str">
        <f>IFERROR(__xludf.DUMMYFUNCTION("""COMPUTED_VALUE"""),"White seats")</f>
        <v>White seats</v>
      </c>
      <c r="R2567" s="170" t="str">
        <f>IFERROR(__xludf.DUMMYFUNCTION("""COMPUTED_VALUE"""),"Enhanced Autopilot")</f>
        <v>Enhanced Autopilot</v>
      </c>
      <c r="S2567" s="170"/>
      <c r="T2567" s="179"/>
      <c r="U2567" s="179"/>
      <c r="V2567" s="179"/>
      <c r="W2567" s="180"/>
      <c r="X2567" s="181" t="str">
        <f>IFERROR(__xludf.DUMMYFUNCTION("""COMPUTED_VALUE"""),"Excellent")</f>
        <v>Excellent</v>
      </c>
      <c r="Y2567" s="182" t="str">
        <f>IFERROR(__xludf.DUMMYFUNCTION("""COMPUTED_VALUE"""),"Excellent")</f>
        <v>Excellent</v>
      </c>
      <c r="Z2567" s="182" t="str">
        <f>IFERROR(__xludf.DUMMYFUNCTION("""COMPUTED_VALUE"""),"Excellent")</f>
        <v>Excellent</v>
      </c>
      <c r="AA2567" s="182" t="str">
        <f>IFERROR(__xludf.DUMMYFUNCTION("""COMPUTED_VALUE"""),"Fair")</f>
        <v>Fair</v>
      </c>
      <c r="AB2567" s="182" t="str">
        <f>IFERROR(__xludf.DUMMYFUNCTION("""COMPUTED_VALUE"""),"Excellent")</f>
        <v>Excellent</v>
      </c>
      <c r="AC2567" s="183">
        <f>IFERROR(__xludf.DUMMYFUNCTION("""COMPUTED_VALUE"""),0.0)</f>
        <v>0</v>
      </c>
      <c r="AD2567" s="183">
        <f>IFERROR(__xludf.DUMMYFUNCTION("""COMPUTED_VALUE"""),0.0)</f>
        <v>0</v>
      </c>
      <c r="AE2567" s="183"/>
      <c r="AF2567" s="184"/>
      <c r="AG2567" s="180"/>
      <c r="AH2567" s="185">
        <f>IFERROR(__xludf.DUMMYFUNCTION("""COMPUTED_VALUE"""),43360.798025613425)</f>
        <v>43360.79803</v>
      </c>
      <c r="AI2567" s="182"/>
      <c r="AJ2567" s="182"/>
      <c r="AK2567" s="182"/>
      <c r="AL2567" s="182"/>
    </row>
    <row r="2568" ht="20.25" customHeight="1">
      <c r="A2568" s="169" t="str">
        <f>IFERROR(__xludf.DUMMYFUNCTION("""COMPUTED_VALUE"""),"mod3co")</f>
        <v>mod3co</v>
      </c>
      <c r="B2568" s="170"/>
      <c r="C2568" s="170" t="str">
        <f>IFERROR(__xludf.DUMMYFUNCTION("""COMPUTED_VALUE"""),"CO")</f>
        <v>CO</v>
      </c>
      <c r="D2568" s="170" t="str">
        <f>IFERROR(__xludf.DUMMYFUNCTION("""COMPUTED_VALUE"""),"USA")</f>
        <v>USA</v>
      </c>
      <c r="E2568" s="171">
        <f>IFERROR(__xludf.DUMMYFUNCTION("""COMPUTED_VALUE"""),43308.0)</f>
        <v>43308</v>
      </c>
      <c r="F2568" s="172">
        <f>IFERROR(__xludf.DUMMYFUNCTION("""COMPUTED_VALUE"""),43340.0)</f>
        <v>43340</v>
      </c>
      <c r="G2568" s="173"/>
      <c r="H2568" s="174">
        <f>IFERROR(__xludf.DUMMYFUNCTION("""COMPUTED_VALUE"""),55255.0)</f>
        <v>55255</v>
      </c>
      <c r="I2568" s="175" t="str">
        <f>IFERROR(__xludf.DUMMYFUNCTION("""COMPUTED_VALUE"""),"08/18")</f>
        <v>08/18</v>
      </c>
      <c r="J2568" s="172">
        <f>IFERROR(__xludf.DUMMYFUNCTION("""COMPUTED_VALUE"""),43351.0)</f>
        <v>43351</v>
      </c>
      <c r="K2568" s="176">
        <f>IFERROR(__xludf.DUMMYFUNCTION("""COMPUTED_VALUE"""),32.0)</f>
        <v>32</v>
      </c>
      <c r="L2568" s="176">
        <f>IFERROR(__xludf.DUMMYFUNCTION("""COMPUTED_VALUE"""),11.0)</f>
        <v>11</v>
      </c>
      <c r="M2568" s="176">
        <f>IFERROR(__xludf.DUMMYFUNCTION("""COMPUTED_VALUE"""),43.0)</f>
        <v>43</v>
      </c>
      <c r="N2568" s="177" t="str">
        <f>IFERROR(__xludf.DUMMYFUNCTION("""COMPUTED_VALUE"""),"Model 3 Performance")</f>
        <v>Model 3 Performance</v>
      </c>
      <c r="O2568" s="177" t="str">
        <f>IFERROR(__xludf.DUMMYFUNCTION("""COMPUTED_VALUE"""),"Silver Metallic")</f>
        <v>Silver Metallic</v>
      </c>
      <c r="P2568" s="178" t="str">
        <f>IFERROR(__xludf.DUMMYFUNCTION("""COMPUTED_VALUE"""),"20 inch Sport")</f>
        <v>20 inch Sport</v>
      </c>
      <c r="Q2568" s="177" t="str">
        <f>IFERROR(__xludf.DUMMYFUNCTION("""COMPUTED_VALUE"""),"White seats")</f>
        <v>White seats</v>
      </c>
      <c r="R2568" s="170" t="str">
        <f>IFERROR(__xludf.DUMMYFUNCTION("""COMPUTED_VALUE"""),"Enhanced Autopilot")</f>
        <v>Enhanced Autopilot</v>
      </c>
      <c r="S2568" s="170"/>
      <c r="T2568" s="179"/>
      <c r="U2568" s="179"/>
      <c r="V2568" s="179"/>
      <c r="W2568" s="180"/>
      <c r="X2568" s="181" t="str">
        <f>IFERROR(__xludf.DUMMYFUNCTION("""COMPUTED_VALUE"""),"Very Good")</f>
        <v>Very Good</v>
      </c>
      <c r="Y2568" s="182" t="str">
        <f>IFERROR(__xludf.DUMMYFUNCTION("""COMPUTED_VALUE"""),"Very Good")</f>
        <v>Very Good</v>
      </c>
      <c r="Z2568" s="182" t="str">
        <f>IFERROR(__xludf.DUMMYFUNCTION("""COMPUTED_VALUE"""),"Very Good")</f>
        <v>Very Good</v>
      </c>
      <c r="AA2568" s="182" t="str">
        <f>IFERROR(__xludf.DUMMYFUNCTION("""COMPUTED_VALUE"""),"Fair")</f>
        <v>Fair</v>
      </c>
      <c r="AB2568" s="182" t="str">
        <f>IFERROR(__xludf.DUMMYFUNCTION("""COMPUTED_VALUE"""),"Good")</f>
        <v>Good</v>
      </c>
      <c r="AC2568" s="183"/>
      <c r="AD2568" s="183"/>
      <c r="AE2568" s="183"/>
      <c r="AF2568" s="184"/>
      <c r="AG2568" s="180"/>
      <c r="AH2568" s="185">
        <f>IFERROR(__xludf.DUMMYFUNCTION("""COMPUTED_VALUE"""),43351.713094872684)</f>
        <v>43351.71309</v>
      </c>
      <c r="AI2568" s="182"/>
      <c r="AJ2568" s="182"/>
      <c r="AK2568" s="182"/>
      <c r="AL2568" s="182"/>
    </row>
    <row r="2569" ht="20.25" customHeight="1">
      <c r="A2569" s="169" t="str">
        <f>IFERROR(__xludf.DUMMYFUNCTION("""COMPUTED_VALUE"""),"rachelhikes")</f>
        <v>rachelhikes</v>
      </c>
      <c r="B2569" s="170" t="str">
        <f>IFERROR(__xludf.DUMMYFUNCTION("""COMPUTED_VALUE"""),"Los Altos")</f>
        <v>Los Altos</v>
      </c>
      <c r="C2569" s="170" t="str">
        <f>IFERROR(__xludf.DUMMYFUNCTION("""COMPUTED_VALUE"""),"CA")</f>
        <v>CA</v>
      </c>
      <c r="D2569" s="170" t="str">
        <f>IFERROR(__xludf.DUMMYFUNCTION("""COMPUTED_VALUE"""),"USA")</f>
        <v>USA</v>
      </c>
      <c r="E2569" s="171">
        <f>IFERROR(__xludf.DUMMYFUNCTION("""COMPUTED_VALUE"""),43308.0)</f>
        <v>43308</v>
      </c>
      <c r="F2569" s="172">
        <f>IFERROR(__xludf.DUMMYFUNCTION("""COMPUTED_VALUE"""),43366.0)</f>
        <v>43366</v>
      </c>
      <c r="G2569" s="173"/>
      <c r="H2569" s="174">
        <f>IFERROR(__xludf.DUMMYFUNCTION("""COMPUTED_VALUE"""),91655.0)</f>
        <v>91655</v>
      </c>
      <c r="I2569" s="175" t="str">
        <f>IFERROR(__xludf.DUMMYFUNCTION("""COMPUTED_VALUE"""),"09/18")</f>
        <v>09/18</v>
      </c>
      <c r="J2569" s="172">
        <f>IFERROR(__xludf.DUMMYFUNCTION("""COMPUTED_VALUE"""),43369.0)</f>
        <v>43369</v>
      </c>
      <c r="K2569" s="176">
        <f>IFERROR(__xludf.DUMMYFUNCTION("""COMPUTED_VALUE"""),58.0)</f>
        <v>58</v>
      </c>
      <c r="L2569" s="176">
        <f>IFERROR(__xludf.DUMMYFUNCTION("""COMPUTED_VALUE"""),3.0)</f>
        <v>3</v>
      </c>
      <c r="M2569" s="176">
        <f>IFERROR(__xludf.DUMMYFUNCTION("""COMPUTED_VALUE"""),61.0)</f>
        <v>61</v>
      </c>
      <c r="N2569" s="177" t="str">
        <f>IFERROR(__xludf.DUMMYFUNCTION("""COMPUTED_VALUE"""),"Model 3 LR AWD")</f>
        <v>Model 3 LR AWD</v>
      </c>
      <c r="O2569" s="177" t="str">
        <f>IFERROR(__xludf.DUMMYFUNCTION("""COMPUTED_VALUE"""),"Red Multi-Coat")</f>
        <v>Red Multi-Coat</v>
      </c>
      <c r="P2569" s="178" t="str">
        <f>IFERROR(__xludf.DUMMYFUNCTION("""COMPUTED_VALUE"""),"18 inch Aero")</f>
        <v>18 inch Aero</v>
      </c>
      <c r="Q2569" s="177" t="str">
        <f>IFERROR(__xludf.DUMMYFUNCTION("""COMPUTED_VALUE"""),"Black seats")</f>
        <v>Black seats</v>
      </c>
      <c r="R2569" s="170" t="str">
        <f>IFERROR(__xludf.DUMMYFUNCTION("""COMPUTED_VALUE"""),"None")</f>
        <v>None</v>
      </c>
      <c r="S2569" s="170"/>
      <c r="T2569" s="179"/>
      <c r="U2569" s="179"/>
      <c r="V2569" s="179"/>
      <c r="W2569" s="180"/>
      <c r="X2569" s="181" t="str">
        <f>IFERROR(__xludf.DUMMYFUNCTION("""COMPUTED_VALUE"""),"Excellent")</f>
        <v>Excellent</v>
      </c>
      <c r="Y2569" s="182" t="str">
        <f>IFERROR(__xludf.DUMMYFUNCTION("""COMPUTED_VALUE"""),"Excellent")</f>
        <v>Excellent</v>
      </c>
      <c r="Z2569" s="182" t="str">
        <f>IFERROR(__xludf.DUMMYFUNCTION("""COMPUTED_VALUE"""),"Excellent")</f>
        <v>Excellent</v>
      </c>
      <c r="AA2569" s="182" t="str">
        <f>IFERROR(__xludf.DUMMYFUNCTION("""COMPUTED_VALUE"""),"Excellent")</f>
        <v>Excellent</v>
      </c>
      <c r="AB2569" s="182" t="str">
        <f>IFERROR(__xludf.DUMMYFUNCTION("""COMPUTED_VALUE"""),"Excellent")</f>
        <v>Excellent</v>
      </c>
      <c r="AC2569" s="183">
        <f>IFERROR(__xludf.DUMMYFUNCTION("""COMPUTED_VALUE"""),0.0)</f>
        <v>0</v>
      </c>
      <c r="AD2569" s="183">
        <f>IFERROR(__xludf.DUMMYFUNCTION("""COMPUTED_VALUE"""),0.0)</f>
        <v>0</v>
      </c>
      <c r="AE2569" s="183">
        <f>IFERROR(__xludf.DUMMYFUNCTION("""COMPUTED_VALUE"""),0.0)</f>
        <v>0</v>
      </c>
      <c r="AF2569" s="184"/>
      <c r="AG2569" s="180"/>
      <c r="AH2569" s="185">
        <f>IFERROR(__xludf.DUMMYFUNCTION("""COMPUTED_VALUE"""),43404.81913145834)</f>
        <v>43404.81913</v>
      </c>
      <c r="AI2569" s="182"/>
      <c r="AJ2569" s="182"/>
      <c r="AK2569" s="182"/>
      <c r="AL2569" s="182"/>
    </row>
    <row r="2570" ht="20.25" customHeight="1">
      <c r="A2570" s="169" t="str">
        <f>IFERROR(__xludf.DUMMYFUNCTION("""COMPUTED_VALUE"""),"rtmd")</f>
        <v>rtmd</v>
      </c>
      <c r="B2570" s="170"/>
      <c r="C2570" s="170" t="str">
        <f>IFERROR(__xludf.DUMMYFUNCTION("""COMPUTED_VALUE"""),"VA")</f>
        <v>VA</v>
      </c>
      <c r="D2570" s="170" t="str">
        <f>IFERROR(__xludf.DUMMYFUNCTION("""COMPUTED_VALUE"""),"USA")</f>
        <v>USA</v>
      </c>
      <c r="E2570" s="171">
        <f>IFERROR(__xludf.DUMMYFUNCTION("""COMPUTED_VALUE"""),43308.0)</f>
        <v>43308</v>
      </c>
      <c r="F2570" s="172">
        <f>IFERROR(__xludf.DUMMYFUNCTION("""COMPUTED_VALUE"""),43358.0)</f>
        <v>43358</v>
      </c>
      <c r="G2570" s="173"/>
      <c r="H2570" s="174">
        <f>IFERROR(__xludf.DUMMYFUNCTION("""COMPUTED_VALUE"""),96379.0)</f>
        <v>96379</v>
      </c>
      <c r="I2570" s="175"/>
      <c r="J2570" s="172">
        <f>IFERROR(__xludf.DUMMYFUNCTION("""COMPUTED_VALUE"""),43365.0)</f>
        <v>43365</v>
      </c>
      <c r="K2570" s="176">
        <f>IFERROR(__xludf.DUMMYFUNCTION("""COMPUTED_VALUE"""),50.0)</f>
        <v>50</v>
      </c>
      <c r="L2570" s="176">
        <f>IFERROR(__xludf.DUMMYFUNCTION("""COMPUTED_VALUE"""),7.0)</f>
        <v>7</v>
      </c>
      <c r="M2570" s="176">
        <f>IFERROR(__xludf.DUMMYFUNCTION("""COMPUTED_VALUE"""),57.0)</f>
        <v>57</v>
      </c>
      <c r="N2570" s="177" t="str">
        <f>IFERROR(__xludf.DUMMYFUNCTION("""COMPUTED_VALUE"""),"Model 3 LR AWD")</f>
        <v>Model 3 LR AWD</v>
      </c>
      <c r="O2570" s="177" t="str">
        <f>IFERROR(__xludf.DUMMYFUNCTION("""COMPUTED_VALUE"""),"Red Multi-Coat")</f>
        <v>Red Multi-Coat</v>
      </c>
      <c r="P2570" s="178" t="str">
        <f>IFERROR(__xludf.DUMMYFUNCTION("""COMPUTED_VALUE"""),"18 inch Aero")</f>
        <v>18 inch Aero</v>
      </c>
      <c r="Q2570" s="177" t="str">
        <f>IFERROR(__xludf.DUMMYFUNCTION("""COMPUTED_VALUE"""),"White seats")</f>
        <v>White seats</v>
      </c>
      <c r="R2570" s="170" t="str">
        <f>IFERROR(__xludf.DUMMYFUNCTION("""COMPUTED_VALUE"""),"None")</f>
        <v>None</v>
      </c>
      <c r="S2570" s="170"/>
      <c r="T2570" s="179"/>
      <c r="U2570" s="179"/>
      <c r="V2570" s="179"/>
      <c r="W2570" s="180"/>
      <c r="X2570" s="181" t="str">
        <f>IFERROR(__xludf.DUMMYFUNCTION("""COMPUTED_VALUE"""),"Excellent")</f>
        <v>Excellent</v>
      </c>
      <c r="Y2570" s="182" t="str">
        <f>IFERROR(__xludf.DUMMYFUNCTION("""COMPUTED_VALUE"""),"Excellent")</f>
        <v>Excellent</v>
      </c>
      <c r="Z2570" s="182" t="str">
        <f>IFERROR(__xludf.DUMMYFUNCTION("""COMPUTED_VALUE"""),"Excellent")</f>
        <v>Excellent</v>
      </c>
      <c r="AA2570" s="182" t="str">
        <f>IFERROR(__xludf.DUMMYFUNCTION("""COMPUTED_VALUE"""),"Fair")</f>
        <v>Fair</v>
      </c>
      <c r="AB2570" s="182" t="str">
        <f>IFERROR(__xludf.DUMMYFUNCTION("""COMPUTED_VALUE"""),"Good")</f>
        <v>Good</v>
      </c>
      <c r="AC2570" s="183"/>
      <c r="AD2570" s="183"/>
      <c r="AE2570" s="183"/>
      <c r="AF2570" s="184"/>
      <c r="AG2570" s="180"/>
      <c r="AH2570" s="185">
        <f>IFERROR(__xludf.DUMMYFUNCTION("""COMPUTED_VALUE"""),43367.42078677083)</f>
        <v>43367.42079</v>
      </c>
      <c r="AI2570" s="182"/>
      <c r="AJ2570" s="182"/>
      <c r="AK2570" s="182"/>
      <c r="AL2570" s="182"/>
    </row>
    <row r="2571" ht="20.25" customHeight="1">
      <c r="A2571" s="169" t="str">
        <f>IFERROR(__xludf.DUMMYFUNCTION("""COMPUTED_VALUE"""),"SamC")</f>
        <v>SamC</v>
      </c>
      <c r="B2571" s="170" t="str">
        <f>IFERROR(__xludf.DUMMYFUNCTION("""COMPUTED_VALUE"""),"Dallas")</f>
        <v>Dallas</v>
      </c>
      <c r="C2571" s="170" t="str">
        <f>IFERROR(__xludf.DUMMYFUNCTION("""COMPUTED_VALUE"""),"TX")</f>
        <v>TX</v>
      </c>
      <c r="D2571" s="170" t="str">
        <f>IFERROR(__xludf.DUMMYFUNCTION("""COMPUTED_VALUE"""),"USA")</f>
        <v>USA</v>
      </c>
      <c r="E2571" s="171">
        <f>IFERROR(__xludf.DUMMYFUNCTION("""COMPUTED_VALUE"""),43308.0)</f>
        <v>43308</v>
      </c>
      <c r="F2571" s="172">
        <f>IFERROR(__xludf.DUMMYFUNCTION("""COMPUTED_VALUE"""),43322.0)</f>
        <v>43322</v>
      </c>
      <c r="G2571" s="173"/>
      <c r="H2571" s="174">
        <f>IFERROR(__xludf.DUMMYFUNCTION("""COMPUTED_VALUE"""),47161.0)</f>
        <v>47161</v>
      </c>
      <c r="I2571" s="175"/>
      <c r="J2571" s="172">
        <f>IFERROR(__xludf.DUMMYFUNCTION("""COMPUTED_VALUE"""),43361.0)</f>
        <v>43361</v>
      </c>
      <c r="K2571" s="176">
        <f>IFERROR(__xludf.DUMMYFUNCTION("""COMPUTED_VALUE"""),14.0)</f>
        <v>14</v>
      </c>
      <c r="L2571" s="176">
        <f>IFERROR(__xludf.DUMMYFUNCTION("""COMPUTED_VALUE"""),39.0)</f>
        <v>39</v>
      </c>
      <c r="M2571" s="176">
        <f>IFERROR(__xludf.DUMMYFUNCTION("""COMPUTED_VALUE"""),53.0)</f>
        <v>53</v>
      </c>
      <c r="N2571" s="177" t="str">
        <f>IFERROR(__xludf.DUMMYFUNCTION("""COMPUTED_VALUE"""),"Model 3 LR")</f>
        <v>Model 3 LR</v>
      </c>
      <c r="O2571" s="177" t="str">
        <f>IFERROR(__xludf.DUMMYFUNCTION("""COMPUTED_VALUE"""),"Red Multi-Coat")</f>
        <v>Red Multi-Coat</v>
      </c>
      <c r="P2571" s="178" t="str">
        <f>IFERROR(__xludf.DUMMYFUNCTION("""COMPUTED_VALUE"""),"18 inch Aero")</f>
        <v>18 inch Aero</v>
      </c>
      <c r="Q2571" s="177" t="str">
        <f>IFERROR(__xludf.DUMMYFUNCTION("""COMPUTED_VALUE"""),"Black seats")</f>
        <v>Black seats</v>
      </c>
      <c r="R2571" s="170" t="str">
        <f>IFERROR(__xludf.DUMMYFUNCTION("""COMPUTED_VALUE"""),"Enhanced Autopilot")</f>
        <v>Enhanced Autopilot</v>
      </c>
      <c r="S2571" s="170"/>
      <c r="T2571" s="179"/>
      <c r="U2571" s="179"/>
      <c r="V2571" s="179"/>
      <c r="W2571" s="180"/>
      <c r="X2571" s="181" t="str">
        <f>IFERROR(__xludf.DUMMYFUNCTION("""COMPUTED_VALUE"""),"Very Good")</f>
        <v>Very Good</v>
      </c>
      <c r="Y2571" s="182" t="str">
        <f>IFERROR(__xludf.DUMMYFUNCTION("""COMPUTED_VALUE"""),"Good")</f>
        <v>Good</v>
      </c>
      <c r="Z2571" s="182" t="str">
        <f>IFERROR(__xludf.DUMMYFUNCTION("""COMPUTED_VALUE"""),"Very Good")</f>
        <v>Very Good</v>
      </c>
      <c r="AA2571" s="182" t="str">
        <f>IFERROR(__xludf.DUMMYFUNCTION("""COMPUTED_VALUE"""),"Poor")</f>
        <v>Poor</v>
      </c>
      <c r="AB2571" s="182" t="str">
        <f>IFERROR(__xludf.DUMMYFUNCTION("""COMPUTED_VALUE"""),"Good")</f>
        <v>Good</v>
      </c>
      <c r="AC2571" s="183"/>
      <c r="AD2571" s="183"/>
      <c r="AE2571" s="183"/>
      <c r="AF2571" s="184"/>
      <c r="AG2571" s="180"/>
      <c r="AH2571" s="185">
        <f>IFERROR(__xludf.DUMMYFUNCTION("""COMPUTED_VALUE"""),43362.72398439815)</f>
        <v>43362.72398</v>
      </c>
      <c r="AI2571" s="182"/>
      <c r="AJ2571" s="182"/>
      <c r="AK2571" s="182"/>
      <c r="AL2571" s="182"/>
    </row>
    <row r="2572" ht="20.25" customHeight="1">
      <c r="A2572" s="169" t="str">
        <f>IFERROR(__xludf.DUMMYFUNCTION("""COMPUTED_VALUE"""),"Scottman71")</f>
        <v>Scottman71</v>
      </c>
      <c r="B2572" s="170" t="str">
        <f>IFERROR(__xludf.DUMMYFUNCTION("""COMPUTED_VALUE"""),"Los Angeles")</f>
        <v>Los Angeles</v>
      </c>
      <c r="C2572" s="170" t="str">
        <f>IFERROR(__xludf.DUMMYFUNCTION("""COMPUTED_VALUE"""),"CA")</f>
        <v>CA</v>
      </c>
      <c r="D2572" s="170" t="str">
        <f>IFERROR(__xludf.DUMMYFUNCTION("""COMPUTED_VALUE"""),"USA")</f>
        <v>USA</v>
      </c>
      <c r="E2572" s="171">
        <f>IFERROR(__xludf.DUMMYFUNCTION("""COMPUTED_VALUE"""),43308.0)</f>
        <v>43308</v>
      </c>
      <c r="F2572" s="172">
        <f>IFERROR(__xludf.DUMMYFUNCTION("""COMPUTED_VALUE"""),43313.0)</f>
        <v>43313</v>
      </c>
      <c r="G2572" s="173"/>
      <c r="H2572" s="174">
        <f>IFERROR(__xludf.DUMMYFUNCTION("""COMPUTED_VALUE"""),57955.0)</f>
        <v>57955</v>
      </c>
      <c r="I2572" s="175" t="str">
        <f>IFERROR(__xludf.DUMMYFUNCTION("""COMPUTED_VALUE"""),"08/18")</f>
        <v>08/18</v>
      </c>
      <c r="J2572" s="172">
        <f>IFERROR(__xludf.DUMMYFUNCTION("""COMPUTED_VALUE"""),43324.0)</f>
        <v>43324</v>
      </c>
      <c r="K2572" s="176">
        <f>IFERROR(__xludf.DUMMYFUNCTION("""COMPUTED_VALUE"""),5.0)</f>
        <v>5</v>
      </c>
      <c r="L2572" s="176">
        <f>IFERROR(__xludf.DUMMYFUNCTION("""COMPUTED_VALUE"""),11.0)</f>
        <v>11</v>
      </c>
      <c r="M2572" s="176">
        <f>IFERROR(__xludf.DUMMYFUNCTION("""COMPUTED_VALUE"""),16.0)</f>
        <v>16</v>
      </c>
      <c r="N2572" s="177" t="str">
        <f>IFERROR(__xludf.DUMMYFUNCTION("""COMPUTED_VALUE"""),"Model 3 LR")</f>
        <v>Model 3 LR</v>
      </c>
      <c r="O2572" s="177" t="str">
        <f>IFERROR(__xludf.DUMMYFUNCTION("""COMPUTED_VALUE"""),"Midnight Silver Metallic")</f>
        <v>Midnight Silver Metallic</v>
      </c>
      <c r="P2572" s="178" t="str">
        <f>IFERROR(__xludf.DUMMYFUNCTION("""COMPUTED_VALUE"""),"18 inch Aero")</f>
        <v>18 inch Aero</v>
      </c>
      <c r="Q2572" s="177" t="str">
        <f>IFERROR(__xludf.DUMMYFUNCTION("""COMPUTED_VALUE"""),"Black seats")</f>
        <v>Black seats</v>
      </c>
      <c r="R2572" s="170" t="str">
        <f>IFERROR(__xludf.DUMMYFUNCTION("""COMPUTED_VALUE"""),"Enhanced Autopilot")</f>
        <v>Enhanced Autopilot</v>
      </c>
      <c r="S2572" s="170"/>
      <c r="T2572" s="179"/>
      <c r="U2572" s="179"/>
      <c r="V2572" s="179"/>
      <c r="W2572" s="180"/>
      <c r="X2572" s="181" t="str">
        <f>IFERROR(__xludf.DUMMYFUNCTION("""COMPUTED_VALUE"""),"Excellent")</f>
        <v>Excellent</v>
      </c>
      <c r="Y2572" s="182" t="str">
        <f>IFERROR(__xludf.DUMMYFUNCTION("""COMPUTED_VALUE"""),"Very Good")</f>
        <v>Very Good</v>
      </c>
      <c r="Z2572" s="182" t="str">
        <f>IFERROR(__xludf.DUMMYFUNCTION("""COMPUTED_VALUE"""),"Very Good")</f>
        <v>Very Good</v>
      </c>
      <c r="AA2572" s="182" t="str">
        <f>IFERROR(__xludf.DUMMYFUNCTION("""COMPUTED_VALUE"""),"Excellent")</f>
        <v>Excellent</v>
      </c>
      <c r="AB2572" s="182" t="str">
        <f>IFERROR(__xludf.DUMMYFUNCTION("""COMPUTED_VALUE"""),"Excellent")</f>
        <v>Excellent</v>
      </c>
      <c r="AC2572" s="183">
        <f>IFERROR(__xludf.DUMMYFUNCTION("""COMPUTED_VALUE"""),2.0)</f>
        <v>2</v>
      </c>
      <c r="AD2572" s="183">
        <f>IFERROR(__xludf.DUMMYFUNCTION("""COMPUTED_VALUE"""),1.0)</f>
        <v>1</v>
      </c>
      <c r="AE2572" s="183"/>
      <c r="AF2572" s="184"/>
      <c r="AG2572" s="180"/>
      <c r="AH2572" s="185">
        <f>IFERROR(__xludf.DUMMYFUNCTION("""COMPUTED_VALUE"""),43339.83101365741)</f>
        <v>43339.83101</v>
      </c>
      <c r="AI2572" s="182"/>
      <c r="AJ2572" s="182"/>
      <c r="AK2572" s="182"/>
      <c r="AL2572" s="182"/>
    </row>
    <row r="2573" ht="20.25" customHeight="1">
      <c r="A2573" s="169" t="str">
        <f>IFERROR(__xludf.DUMMYFUNCTION("""COMPUTED_VALUE"""),"wbhokie")</f>
        <v>wbhokie</v>
      </c>
      <c r="B2573" s="170" t="str">
        <f>IFERROR(__xludf.DUMMYFUNCTION("""COMPUTED_VALUE"""),"NOVA")</f>
        <v>NOVA</v>
      </c>
      <c r="C2573" s="170" t="str">
        <f>IFERROR(__xludf.DUMMYFUNCTION("""COMPUTED_VALUE"""),"VA")</f>
        <v>VA</v>
      </c>
      <c r="D2573" s="170" t="str">
        <f>IFERROR(__xludf.DUMMYFUNCTION("""COMPUTED_VALUE"""),"USA")</f>
        <v>USA</v>
      </c>
      <c r="E2573" s="171">
        <f>IFERROR(__xludf.DUMMYFUNCTION("""COMPUTED_VALUE"""),43308.0)</f>
        <v>43308</v>
      </c>
      <c r="F2573" s="172">
        <f>IFERROR(__xludf.DUMMYFUNCTION("""COMPUTED_VALUE"""),43346.0)</f>
        <v>43346</v>
      </c>
      <c r="G2573" s="173"/>
      <c r="H2573" s="174">
        <f>IFERROR(__xludf.DUMMYFUNCTION("""COMPUTED_VALUE"""),99655.0)</f>
        <v>99655</v>
      </c>
      <c r="I2573" s="175"/>
      <c r="J2573" s="172">
        <f>IFERROR(__xludf.DUMMYFUNCTION("""COMPUTED_VALUE"""),43358.0)</f>
        <v>43358</v>
      </c>
      <c r="K2573" s="176">
        <f>IFERROR(__xludf.DUMMYFUNCTION("""COMPUTED_VALUE"""),38.0)</f>
        <v>38</v>
      </c>
      <c r="L2573" s="176">
        <f>IFERROR(__xludf.DUMMYFUNCTION("""COMPUTED_VALUE"""),12.0)</f>
        <v>12</v>
      </c>
      <c r="M2573" s="176">
        <f>IFERROR(__xludf.DUMMYFUNCTION("""COMPUTED_VALUE"""),50.0)</f>
        <v>50</v>
      </c>
      <c r="N2573" s="177" t="str">
        <f>IFERROR(__xludf.DUMMYFUNCTION("""COMPUTED_VALUE"""),"Model 3 Performance")</f>
        <v>Model 3 Performance</v>
      </c>
      <c r="O2573" s="177" t="str">
        <f>IFERROR(__xludf.DUMMYFUNCTION("""COMPUTED_VALUE"""),"Red Multi-Coat")</f>
        <v>Red Multi-Coat</v>
      </c>
      <c r="P2573" s="178" t="str">
        <f>IFERROR(__xludf.DUMMYFUNCTION("""COMPUTED_VALUE"""),"18 inch Aero")</f>
        <v>18 inch Aero</v>
      </c>
      <c r="Q2573" s="177" t="str">
        <f>IFERROR(__xludf.DUMMYFUNCTION("""COMPUTED_VALUE"""),"White seats")</f>
        <v>White seats</v>
      </c>
      <c r="R2573" s="170" t="str">
        <f>IFERROR(__xludf.DUMMYFUNCTION("""COMPUTED_VALUE"""),"Enhanced Autopilot")</f>
        <v>Enhanced Autopilot</v>
      </c>
      <c r="S2573" s="170"/>
      <c r="T2573" s="179"/>
      <c r="U2573" s="179"/>
      <c r="V2573" s="179"/>
      <c r="W2573" s="180"/>
      <c r="X2573" s="181" t="str">
        <f>IFERROR(__xludf.DUMMYFUNCTION("""COMPUTED_VALUE"""),"Excellent")</f>
        <v>Excellent</v>
      </c>
      <c r="Y2573" s="182" t="str">
        <f>IFERROR(__xludf.DUMMYFUNCTION("""COMPUTED_VALUE"""),"Excellent")</f>
        <v>Excellent</v>
      </c>
      <c r="Z2573" s="182" t="str">
        <f>IFERROR(__xludf.DUMMYFUNCTION("""COMPUTED_VALUE"""),"Excellent")</f>
        <v>Excellent</v>
      </c>
      <c r="AA2573" s="182" t="str">
        <f>IFERROR(__xludf.DUMMYFUNCTION("""COMPUTED_VALUE"""),"Very Good")</f>
        <v>Very Good</v>
      </c>
      <c r="AB2573" s="182" t="str">
        <f>IFERROR(__xludf.DUMMYFUNCTION("""COMPUTED_VALUE"""),"Very Good")</f>
        <v>Very Good</v>
      </c>
      <c r="AC2573" s="183">
        <f>IFERROR(__xludf.DUMMYFUNCTION("""COMPUTED_VALUE"""),0.0)</f>
        <v>0</v>
      </c>
      <c r="AD2573" s="183">
        <f>IFERROR(__xludf.DUMMYFUNCTION("""COMPUTED_VALUE"""),0.0)</f>
        <v>0</v>
      </c>
      <c r="AE2573" s="183">
        <f>IFERROR(__xludf.DUMMYFUNCTION("""COMPUTED_VALUE"""),0.0)</f>
        <v>0</v>
      </c>
      <c r="AF2573" s="184"/>
      <c r="AG2573" s="180"/>
      <c r="AH2573" s="185">
        <f>IFERROR(__xludf.DUMMYFUNCTION("""COMPUTED_VALUE"""),43374.51975943287)</f>
        <v>43374.51976</v>
      </c>
      <c r="AI2573" s="182"/>
      <c r="AJ2573" s="182"/>
      <c r="AK2573" s="182"/>
      <c r="AL2573" s="182"/>
    </row>
    <row r="2574" ht="20.25" customHeight="1">
      <c r="A2574" s="169" t="str">
        <f>IFERROR(__xludf.DUMMYFUNCTION("""COMPUTED_VALUE"""),"Desibrainp")</f>
        <v>Desibrainp</v>
      </c>
      <c r="B2574" s="170" t="str">
        <f>IFERROR(__xludf.DUMMYFUNCTION("""COMPUTED_VALUE"""),"Dallas")</f>
        <v>Dallas</v>
      </c>
      <c r="C2574" s="170" t="str">
        <f>IFERROR(__xludf.DUMMYFUNCTION("""COMPUTED_VALUE"""),"TX")</f>
        <v>TX</v>
      </c>
      <c r="D2574" s="170" t="str">
        <f>IFERROR(__xludf.DUMMYFUNCTION("""COMPUTED_VALUE"""),"USA")</f>
        <v>USA</v>
      </c>
      <c r="E2574" s="171">
        <f>IFERROR(__xludf.DUMMYFUNCTION("""COMPUTED_VALUE"""),43307.0)</f>
        <v>43307</v>
      </c>
      <c r="F2574" s="172">
        <f>IFERROR(__xludf.DUMMYFUNCTION("""COMPUTED_VALUE"""),43369.0)</f>
        <v>43369</v>
      </c>
      <c r="G2574" s="173"/>
      <c r="H2574" s="174">
        <f>IFERROR(__xludf.DUMMYFUNCTION("""COMPUTED_VALUE"""),115955.0)</f>
        <v>115955</v>
      </c>
      <c r="I2574" s="175" t="str">
        <f>IFERROR(__xludf.DUMMYFUNCTION("""COMPUTED_VALUE"""),"09/18")</f>
        <v>09/18</v>
      </c>
      <c r="J2574" s="172">
        <f>IFERROR(__xludf.DUMMYFUNCTION("""COMPUTED_VALUE"""),43371.0)</f>
        <v>43371</v>
      </c>
      <c r="K2574" s="176">
        <f>IFERROR(__xludf.DUMMYFUNCTION("""COMPUTED_VALUE"""),62.0)</f>
        <v>62</v>
      </c>
      <c r="L2574" s="176">
        <f>IFERROR(__xludf.DUMMYFUNCTION("""COMPUTED_VALUE"""),2.0)</f>
        <v>2</v>
      </c>
      <c r="M2574" s="176">
        <f>IFERROR(__xludf.DUMMYFUNCTION("""COMPUTED_VALUE"""),64.0)</f>
        <v>64</v>
      </c>
      <c r="N2574" s="177" t="str">
        <f>IFERROR(__xludf.DUMMYFUNCTION("""COMPUTED_VALUE"""),"Model 3 LR AWD")</f>
        <v>Model 3 LR AWD</v>
      </c>
      <c r="O2574" s="177" t="str">
        <f>IFERROR(__xludf.DUMMYFUNCTION("""COMPUTED_VALUE"""),"Deep Blue Metallic")</f>
        <v>Deep Blue Metallic</v>
      </c>
      <c r="P2574" s="178" t="str">
        <f>IFERROR(__xludf.DUMMYFUNCTION("""COMPUTED_VALUE"""),"19 inch Sport")</f>
        <v>19 inch Sport</v>
      </c>
      <c r="Q2574" s="177" t="str">
        <f>IFERROR(__xludf.DUMMYFUNCTION("""COMPUTED_VALUE"""),"Black seats")</f>
        <v>Black seats</v>
      </c>
      <c r="R2574" s="170" t="str">
        <f>IFERROR(__xludf.DUMMYFUNCTION("""COMPUTED_VALUE"""),"Full Self-Driving")</f>
        <v>Full Self-Driving</v>
      </c>
      <c r="S2574" s="170"/>
      <c r="T2574" s="179"/>
      <c r="U2574" s="179"/>
      <c r="V2574" s="179"/>
      <c r="W2574" s="180"/>
      <c r="X2574" s="181" t="str">
        <f>IFERROR(__xludf.DUMMYFUNCTION("""COMPUTED_VALUE"""),"Very Good")</f>
        <v>Very Good</v>
      </c>
      <c r="Y2574" s="182" t="str">
        <f>IFERROR(__xludf.DUMMYFUNCTION("""COMPUTED_VALUE"""),"Very Good")</f>
        <v>Very Good</v>
      </c>
      <c r="Z2574" s="182" t="str">
        <f>IFERROR(__xludf.DUMMYFUNCTION("""COMPUTED_VALUE"""),"Good")</f>
        <v>Good</v>
      </c>
      <c r="AA2574" s="182" t="str">
        <f>IFERROR(__xludf.DUMMYFUNCTION("""COMPUTED_VALUE"""),"Fair")</f>
        <v>Fair</v>
      </c>
      <c r="AB2574" s="182" t="str">
        <f>IFERROR(__xludf.DUMMYFUNCTION("""COMPUTED_VALUE"""),"Fair")</f>
        <v>Fair</v>
      </c>
      <c r="AC2574" s="183">
        <f>IFERROR(__xludf.DUMMYFUNCTION("""COMPUTED_VALUE"""),3.0)</f>
        <v>3</v>
      </c>
      <c r="AD2574" s="183"/>
      <c r="AE2574" s="183"/>
      <c r="AF2574" s="184"/>
      <c r="AG2574" s="180" t="str">
        <f>IFERROR(__xludf.DUMMYFUNCTION("""COMPUTED_VALUE"""),"Modified 8/26/18 to deep blue metallic from metallic silver ")</f>
        <v>Modified 8/26/18 to deep blue metallic from metallic silver </v>
      </c>
      <c r="AH2574" s="185">
        <f>IFERROR(__xludf.DUMMYFUNCTION("""COMPUTED_VALUE"""),43372.73664993056)</f>
        <v>43372.73665</v>
      </c>
      <c r="AI2574" s="182"/>
      <c r="AJ2574" s="182"/>
      <c r="AK2574" s="182"/>
      <c r="AL2574" s="182"/>
    </row>
    <row r="2575" ht="20.25" customHeight="1">
      <c r="A2575" s="169" t="str">
        <f>IFERROR(__xludf.DUMMYFUNCTION("""COMPUTED_VALUE"""),"Green Mtn EV")</f>
        <v>Green Mtn EV</v>
      </c>
      <c r="B2575" s="170" t="str">
        <f>IFERROR(__xludf.DUMMYFUNCTION("""COMPUTED_VALUE"""),"Burlington")</f>
        <v>Burlington</v>
      </c>
      <c r="C2575" s="170" t="str">
        <f>IFERROR(__xludf.DUMMYFUNCTION("""COMPUTED_VALUE"""),"VT")</f>
        <v>VT</v>
      </c>
      <c r="D2575" s="170" t="str">
        <f>IFERROR(__xludf.DUMMYFUNCTION("""COMPUTED_VALUE"""),"USA")</f>
        <v>USA</v>
      </c>
      <c r="E2575" s="171">
        <f>IFERROR(__xludf.DUMMYFUNCTION("""COMPUTED_VALUE"""),43307.0)</f>
        <v>43307</v>
      </c>
      <c r="F2575" s="172">
        <f>IFERROR(__xludf.DUMMYFUNCTION("""COMPUTED_VALUE"""),43409.0)</f>
        <v>43409</v>
      </c>
      <c r="G2575" s="173"/>
      <c r="H2575" s="174">
        <f>IFERROR(__xludf.DUMMYFUNCTION("""COMPUTED_VALUE"""),115171.0)</f>
        <v>115171</v>
      </c>
      <c r="I2575" s="175" t="str">
        <f>IFERROR(__xludf.DUMMYFUNCTION("""COMPUTED_VALUE"""),"10/18")</f>
        <v>10/18</v>
      </c>
      <c r="J2575" s="172">
        <f>IFERROR(__xludf.DUMMYFUNCTION("""COMPUTED_VALUE"""),43414.0)</f>
        <v>43414</v>
      </c>
      <c r="K2575" s="176">
        <f>IFERROR(__xludf.DUMMYFUNCTION("""COMPUTED_VALUE"""),102.0)</f>
        <v>102</v>
      </c>
      <c r="L2575" s="176">
        <f>IFERROR(__xludf.DUMMYFUNCTION("""COMPUTED_VALUE"""),5.0)</f>
        <v>5</v>
      </c>
      <c r="M2575" s="176">
        <f>IFERROR(__xludf.DUMMYFUNCTION("""COMPUTED_VALUE"""),107.0)</f>
        <v>107</v>
      </c>
      <c r="N2575" s="177" t="str">
        <f>IFERROR(__xludf.DUMMYFUNCTION("""COMPUTED_VALUE"""),"Model 3 LR AWD")</f>
        <v>Model 3 LR AWD</v>
      </c>
      <c r="O2575" s="177" t="str">
        <f>IFERROR(__xludf.DUMMYFUNCTION("""COMPUTED_VALUE"""),"Deep Blue Metallic")</f>
        <v>Deep Blue Metallic</v>
      </c>
      <c r="P2575" s="178" t="str">
        <f>IFERROR(__xludf.DUMMYFUNCTION("""COMPUTED_VALUE"""),"18 inch Aero")</f>
        <v>18 inch Aero</v>
      </c>
      <c r="Q2575" s="177" t="str">
        <f>IFERROR(__xludf.DUMMYFUNCTION("""COMPUTED_VALUE"""),"Black seats")</f>
        <v>Black seats</v>
      </c>
      <c r="R2575" s="170" t="str">
        <f>IFERROR(__xludf.DUMMYFUNCTION("""COMPUTED_VALUE"""),"None")</f>
        <v>None</v>
      </c>
      <c r="S2575" s="170"/>
      <c r="T2575" s="179"/>
      <c r="U2575" s="179"/>
      <c r="V2575" s="179"/>
      <c r="W2575" s="180"/>
      <c r="X2575" s="181" t="str">
        <f>IFERROR(__xludf.DUMMYFUNCTION("""COMPUTED_VALUE"""),"Excellent")</f>
        <v>Excellent</v>
      </c>
      <c r="Y2575" s="182" t="str">
        <f>IFERROR(__xludf.DUMMYFUNCTION("""COMPUTED_VALUE"""),"Excellent")</f>
        <v>Excellent</v>
      </c>
      <c r="Z2575" s="182" t="str">
        <f>IFERROR(__xludf.DUMMYFUNCTION("""COMPUTED_VALUE"""),"Excellent")</f>
        <v>Excellent</v>
      </c>
      <c r="AA2575" s="182" t="str">
        <f>IFERROR(__xludf.DUMMYFUNCTION("""COMPUTED_VALUE"""),"Very Good")</f>
        <v>Very Good</v>
      </c>
      <c r="AB2575" s="182" t="str">
        <f>IFERROR(__xludf.DUMMYFUNCTION("""COMPUTED_VALUE"""),"Very Good")</f>
        <v>Very Good</v>
      </c>
      <c r="AC2575" s="183"/>
      <c r="AD2575" s="183"/>
      <c r="AE2575" s="183"/>
      <c r="AF2575" s="184"/>
      <c r="AG2575" s="180"/>
      <c r="AH2575" s="185">
        <f>IFERROR(__xludf.DUMMYFUNCTION("""COMPUTED_VALUE"""),43420.31135857639)</f>
        <v>43420.31136</v>
      </c>
      <c r="AI2575" s="182"/>
      <c r="AJ2575" s="182"/>
      <c r="AK2575" s="182"/>
      <c r="AL2575" s="182"/>
    </row>
    <row r="2576" ht="20.25" customHeight="1">
      <c r="A2576" s="169" t="str">
        <f>IFERROR(__xludf.DUMMYFUNCTION("""COMPUTED_VALUE"""),"SnoToxic")</f>
        <v>SnoToxic</v>
      </c>
      <c r="B2576" s="170" t="str">
        <f>IFERROR(__xludf.DUMMYFUNCTION("""COMPUTED_VALUE"""),"Seattle")</f>
        <v>Seattle</v>
      </c>
      <c r="C2576" s="170" t="str">
        <f>IFERROR(__xludf.DUMMYFUNCTION("""COMPUTED_VALUE"""),"WA")</f>
        <v>WA</v>
      </c>
      <c r="D2576" s="170" t="str">
        <f>IFERROR(__xludf.DUMMYFUNCTION("""COMPUTED_VALUE"""),"USA")</f>
        <v>USA</v>
      </c>
      <c r="E2576" s="171">
        <f>IFERROR(__xludf.DUMMYFUNCTION("""COMPUTED_VALUE"""),43307.0)</f>
        <v>43307</v>
      </c>
      <c r="F2576" s="172">
        <f>IFERROR(__xludf.DUMMYFUNCTION("""COMPUTED_VALUE"""),43322.0)</f>
        <v>43322</v>
      </c>
      <c r="G2576" s="173"/>
      <c r="H2576" s="174">
        <f>IFERROR(__xludf.DUMMYFUNCTION("""COMPUTED_VALUE"""),75055.0)</f>
        <v>75055</v>
      </c>
      <c r="I2576" s="175" t="str">
        <f>IFERROR(__xludf.DUMMYFUNCTION("""COMPUTED_VALUE"""),"08/18")</f>
        <v>08/18</v>
      </c>
      <c r="J2576" s="172">
        <f>IFERROR(__xludf.DUMMYFUNCTION("""COMPUTED_VALUE"""),43347.0)</f>
        <v>43347</v>
      </c>
      <c r="K2576" s="176">
        <f>IFERROR(__xludf.DUMMYFUNCTION("""COMPUTED_VALUE"""),15.0)</f>
        <v>15</v>
      </c>
      <c r="L2576" s="176">
        <f>IFERROR(__xludf.DUMMYFUNCTION("""COMPUTED_VALUE"""),25.0)</f>
        <v>25</v>
      </c>
      <c r="M2576" s="176">
        <f>IFERROR(__xludf.DUMMYFUNCTION("""COMPUTED_VALUE"""),40.0)</f>
        <v>40</v>
      </c>
      <c r="N2576" s="177" t="str">
        <f>IFERROR(__xludf.DUMMYFUNCTION("""COMPUTED_VALUE"""),"Model 3 LR AWD")</f>
        <v>Model 3 LR AWD</v>
      </c>
      <c r="O2576" s="177" t="str">
        <f>IFERROR(__xludf.DUMMYFUNCTION("""COMPUTED_VALUE"""),"Red Multi-Coat")</f>
        <v>Red Multi-Coat</v>
      </c>
      <c r="P2576" s="178" t="str">
        <f>IFERROR(__xludf.DUMMYFUNCTION("""COMPUTED_VALUE"""),"18 inch Aero")</f>
        <v>18 inch Aero</v>
      </c>
      <c r="Q2576" s="177" t="str">
        <f>IFERROR(__xludf.DUMMYFUNCTION("""COMPUTED_VALUE"""),"White seats")</f>
        <v>White seats</v>
      </c>
      <c r="R2576" s="170" t="str">
        <f>IFERROR(__xludf.DUMMYFUNCTION("""COMPUTED_VALUE"""),"Full Self-Driving")</f>
        <v>Full Self-Driving</v>
      </c>
      <c r="S2576" s="170"/>
      <c r="T2576" s="179"/>
      <c r="U2576" s="179"/>
      <c r="V2576" s="179"/>
      <c r="W2576" s="180"/>
      <c r="X2576" s="181" t="str">
        <f>IFERROR(__xludf.DUMMYFUNCTION("""COMPUTED_VALUE"""),"Very Good")</f>
        <v>Very Good</v>
      </c>
      <c r="Y2576" s="182" t="str">
        <f>IFERROR(__xludf.DUMMYFUNCTION("""COMPUTED_VALUE"""),"Good")</f>
        <v>Good</v>
      </c>
      <c r="Z2576" s="182" t="str">
        <f>IFERROR(__xludf.DUMMYFUNCTION("""COMPUTED_VALUE"""),"Good")</f>
        <v>Good</v>
      </c>
      <c r="AA2576" s="182" t="str">
        <f>IFERROR(__xludf.DUMMYFUNCTION("""COMPUTED_VALUE"""),"Fair")</f>
        <v>Fair</v>
      </c>
      <c r="AB2576" s="182" t="str">
        <f>IFERROR(__xludf.DUMMYFUNCTION("""COMPUTED_VALUE"""),"Good")</f>
        <v>Good</v>
      </c>
      <c r="AC2576" s="183">
        <f>IFERROR(__xludf.DUMMYFUNCTION("""COMPUTED_VALUE"""),4.0)</f>
        <v>4</v>
      </c>
      <c r="AD2576" s="183">
        <f>IFERROR(__xludf.DUMMYFUNCTION("""COMPUTED_VALUE"""),1.0)</f>
        <v>1</v>
      </c>
      <c r="AE2576" s="183"/>
      <c r="AF2576" s="184"/>
      <c r="AG2576" s="180"/>
      <c r="AH2576" s="185">
        <f>IFERROR(__xludf.DUMMYFUNCTION("""COMPUTED_VALUE"""),43358.405394942136)</f>
        <v>43358.40539</v>
      </c>
      <c r="AI2576" s="182"/>
      <c r="AJ2576" s="182"/>
      <c r="AK2576" s="182"/>
      <c r="AL2576" s="182"/>
    </row>
    <row r="2577" ht="20.25" customHeight="1">
      <c r="A2577" s="169" t="str">
        <f>IFERROR(__xludf.DUMMYFUNCTION("""COMPUTED_VALUE"""),"vltwggn")</f>
        <v>vltwggn</v>
      </c>
      <c r="B2577" s="170" t="str">
        <f>IFERROR(__xludf.DUMMYFUNCTION("""COMPUTED_VALUE"""),"Sunnyvale")</f>
        <v>Sunnyvale</v>
      </c>
      <c r="C2577" s="170" t="str">
        <f>IFERROR(__xludf.DUMMYFUNCTION("""COMPUTED_VALUE"""),"CA")</f>
        <v>CA</v>
      </c>
      <c r="D2577" s="170" t="str">
        <f>IFERROR(__xludf.DUMMYFUNCTION("""COMPUTED_VALUE"""),"USA")</f>
        <v>USA</v>
      </c>
      <c r="E2577" s="171">
        <f>IFERROR(__xludf.DUMMYFUNCTION("""COMPUTED_VALUE"""),43307.0)</f>
        <v>43307</v>
      </c>
      <c r="F2577" s="172">
        <f>IFERROR(__xludf.DUMMYFUNCTION("""COMPUTED_VALUE"""),43311.0)</f>
        <v>43311</v>
      </c>
      <c r="G2577" s="173"/>
      <c r="H2577" s="174">
        <f>IFERROR(__xludf.DUMMYFUNCTION("""COMPUTED_VALUE"""),74051.0)</f>
        <v>74051</v>
      </c>
      <c r="I2577" s="175" t="str">
        <f>IFERROR(__xludf.DUMMYFUNCTION("""COMPUTED_VALUE"""),"07/18")</f>
        <v>07/18</v>
      </c>
      <c r="J2577" s="172">
        <f>IFERROR(__xludf.DUMMYFUNCTION("""COMPUTED_VALUE"""),43316.0)</f>
        <v>43316</v>
      </c>
      <c r="K2577" s="176">
        <f>IFERROR(__xludf.DUMMYFUNCTION("""COMPUTED_VALUE"""),4.0)</f>
        <v>4</v>
      </c>
      <c r="L2577" s="176">
        <f>IFERROR(__xludf.DUMMYFUNCTION("""COMPUTED_VALUE"""),5.0)</f>
        <v>5</v>
      </c>
      <c r="M2577" s="176">
        <f>IFERROR(__xludf.DUMMYFUNCTION("""COMPUTED_VALUE"""),9.0)</f>
        <v>9</v>
      </c>
      <c r="N2577" s="177" t="str">
        <f>IFERROR(__xludf.DUMMYFUNCTION("""COMPUTED_VALUE"""),"Model 3 Performance")</f>
        <v>Model 3 Performance</v>
      </c>
      <c r="O2577" s="177" t="str">
        <f>IFERROR(__xludf.DUMMYFUNCTION("""COMPUTED_VALUE"""),"Solid Black")</f>
        <v>Solid Black</v>
      </c>
      <c r="P2577" s="178" t="str">
        <f>IFERROR(__xludf.DUMMYFUNCTION("""COMPUTED_VALUE"""),"20 inch Sport")</f>
        <v>20 inch Sport</v>
      </c>
      <c r="Q2577" s="177" t="str">
        <f>IFERROR(__xludf.DUMMYFUNCTION("""COMPUTED_VALUE"""),"White seats")</f>
        <v>White seats</v>
      </c>
      <c r="R2577" s="170" t="str">
        <f>IFERROR(__xludf.DUMMYFUNCTION("""COMPUTED_VALUE"""),"None")</f>
        <v>None</v>
      </c>
      <c r="S2577" s="170"/>
      <c r="T2577" s="179"/>
      <c r="U2577" s="179"/>
      <c r="V2577" s="179"/>
      <c r="W2577" s="180"/>
      <c r="X2577" s="181" t="str">
        <f>IFERROR(__xludf.DUMMYFUNCTION("""COMPUTED_VALUE"""),"Very Good")</f>
        <v>Very Good</v>
      </c>
      <c r="Y2577" s="182" t="str">
        <f>IFERROR(__xludf.DUMMYFUNCTION("""COMPUTED_VALUE"""),"Excellent")</f>
        <v>Excellent</v>
      </c>
      <c r="Z2577" s="182" t="str">
        <f>IFERROR(__xludf.DUMMYFUNCTION("""COMPUTED_VALUE"""),"Very Good")</f>
        <v>Very Good</v>
      </c>
      <c r="AA2577" s="182" t="str">
        <f>IFERROR(__xludf.DUMMYFUNCTION("""COMPUTED_VALUE"""),"Very Good")</f>
        <v>Very Good</v>
      </c>
      <c r="AB2577" s="182" t="str">
        <f>IFERROR(__xludf.DUMMYFUNCTION("""COMPUTED_VALUE"""),"Very Good")</f>
        <v>Very Good</v>
      </c>
      <c r="AC2577" s="183">
        <f>IFERROR(__xludf.DUMMYFUNCTION("""COMPUTED_VALUE"""),3.0)</f>
        <v>3</v>
      </c>
      <c r="AD2577" s="183">
        <f>IFERROR(__xludf.DUMMYFUNCTION("""COMPUTED_VALUE"""),1.0)</f>
        <v>1</v>
      </c>
      <c r="AE2577" s="183"/>
      <c r="AF2577" s="184"/>
      <c r="AG2577" s="180"/>
      <c r="AH2577" s="185">
        <f>IFERROR(__xludf.DUMMYFUNCTION("""COMPUTED_VALUE"""),43321.58261590278)</f>
        <v>43321.58262</v>
      </c>
      <c r="AI2577" s="182"/>
      <c r="AJ2577" s="182"/>
      <c r="AK2577" s="182"/>
      <c r="AL2577" s="182"/>
    </row>
    <row r="2578" ht="20.25" customHeight="1">
      <c r="A2578" s="169" t="str">
        <f>IFERROR(__xludf.DUMMYFUNCTION("""COMPUTED_VALUE"""),"wstamaria")</f>
        <v>wstamaria</v>
      </c>
      <c r="B2578" s="170" t="str">
        <f>IFERROR(__xludf.DUMMYFUNCTION("""COMPUTED_VALUE"""),"Los Angeles")</f>
        <v>Los Angeles</v>
      </c>
      <c r="C2578" s="170" t="str">
        <f>IFERROR(__xludf.DUMMYFUNCTION("""COMPUTED_VALUE"""),"CA")</f>
        <v>CA</v>
      </c>
      <c r="D2578" s="170" t="str">
        <f>IFERROR(__xludf.DUMMYFUNCTION("""COMPUTED_VALUE"""),"USA")</f>
        <v>USA</v>
      </c>
      <c r="E2578" s="171">
        <f>IFERROR(__xludf.DUMMYFUNCTION("""COMPUTED_VALUE"""),43307.0)</f>
        <v>43307</v>
      </c>
      <c r="F2578" s="172">
        <f>IFERROR(__xludf.DUMMYFUNCTION("""COMPUTED_VALUE"""),43308.0)</f>
        <v>43308</v>
      </c>
      <c r="G2578" s="173"/>
      <c r="H2578" s="174">
        <f>IFERROR(__xludf.DUMMYFUNCTION("""COMPUTED_VALUE"""),66733.0)</f>
        <v>66733</v>
      </c>
      <c r="I2578" s="175" t="str">
        <f>IFERROR(__xludf.DUMMYFUNCTION("""COMPUTED_VALUE"""),"07/18")</f>
        <v>07/18</v>
      </c>
      <c r="J2578" s="172">
        <f>IFERROR(__xludf.DUMMYFUNCTION("""COMPUTED_VALUE"""),43316.0)</f>
        <v>43316</v>
      </c>
      <c r="K2578" s="176">
        <f>IFERROR(__xludf.DUMMYFUNCTION("""COMPUTED_VALUE"""),1.0)</f>
        <v>1</v>
      </c>
      <c r="L2578" s="176">
        <f>IFERROR(__xludf.DUMMYFUNCTION("""COMPUTED_VALUE"""),8.0)</f>
        <v>8</v>
      </c>
      <c r="M2578" s="176">
        <f>IFERROR(__xludf.DUMMYFUNCTION("""COMPUTED_VALUE"""),9.0)</f>
        <v>9</v>
      </c>
      <c r="N2578" s="177" t="str">
        <f>IFERROR(__xludf.DUMMYFUNCTION("""COMPUTED_VALUE"""),"Model 3 LR AWD")</f>
        <v>Model 3 LR AWD</v>
      </c>
      <c r="O2578" s="177" t="str">
        <f>IFERROR(__xludf.DUMMYFUNCTION("""COMPUTED_VALUE"""),"Pearl White Multi-Coat")</f>
        <v>Pearl White Multi-Coat</v>
      </c>
      <c r="P2578" s="178" t="str">
        <f>IFERROR(__xludf.DUMMYFUNCTION("""COMPUTED_VALUE"""),"18 inch Aero")</f>
        <v>18 inch Aero</v>
      </c>
      <c r="Q2578" s="177" t="str">
        <f>IFERROR(__xludf.DUMMYFUNCTION("""COMPUTED_VALUE"""),"Black seats")</f>
        <v>Black seats</v>
      </c>
      <c r="R2578" s="170" t="str">
        <f>IFERROR(__xludf.DUMMYFUNCTION("""COMPUTED_VALUE"""),"None")</f>
        <v>None</v>
      </c>
      <c r="S2578" s="170"/>
      <c r="T2578" s="179"/>
      <c r="U2578" s="179"/>
      <c r="V2578" s="179"/>
      <c r="W2578" s="180"/>
      <c r="X2578" s="181" t="str">
        <f>IFERROR(__xludf.DUMMYFUNCTION("""COMPUTED_VALUE"""),"Very Good")</f>
        <v>Very Good</v>
      </c>
      <c r="Y2578" s="182" t="str">
        <f>IFERROR(__xludf.DUMMYFUNCTION("""COMPUTED_VALUE"""),"Very Good")</f>
        <v>Very Good</v>
      </c>
      <c r="Z2578" s="182" t="str">
        <f>IFERROR(__xludf.DUMMYFUNCTION("""COMPUTED_VALUE"""),"Very Good")</f>
        <v>Very Good</v>
      </c>
      <c r="AA2578" s="182" t="str">
        <f>IFERROR(__xludf.DUMMYFUNCTION("""COMPUTED_VALUE"""),"Fair")</f>
        <v>Fair</v>
      </c>
      <c r="AB2578" s="182" t="str">
        <f>IFERROR(__xludf.DUMMYFUNCTION("""COMPUTED_VALUE"""),"Fair")</f>
        <v>Fair</v>
      </c>
      <c r="AC2578" s="183">
        <f>IFERROR(__xludf.DUMMYFUNCTION("""COMPUTED_VALUE"""),6.0)</f>
        <v>6</v>
      </c>
      <c r="AD2578" s="183">
        <f>IFERROR(__xludf.DUMMYFUNCTION("""COMPUTED_VALUE"""),0.0)</f>
        <v>0</v>
      </c>
      <c r="AE2578" s="183">
        <f>IFERROR(__xludf.DUMMYFUNCTION("""COMPUTED_VALUE"""),23.0)</f>
        <v>23</v>
      </c>
      <c r="AF2578" s="184"/>
      <c r="AG2578" s="180"/>
      <c r="AH2578" s="185">
        <f>IFERROR(__xludf.DUMMYFUNCTION("""COMPUTED_VALUE"""),43369.43967104167)</f>
        <v>43369.43967</v>
      </c>
      <c r="AI2578" s="182"/>
      <c r="AJ2578" s="182"/>
      <c r="AK2578" s="182"/>
      <c r="AL2578" s="182"/>
    </row>
    <row r="2579" ht="20.25" customHeight="1">
      <c r="A2579" s="169" t="str">
        <f>IFERROR(__xludf.DUMMYFUNCTION("""COMPUTED_VALUE"""),"aekemmerer")</f>
        <v>aekemmerer</v>
      </c>
      <c r="B2579" s="170" t="str">
        <f>IFERROR(__xludf.DUMMYFUNCTION("""COMPUTED_VALUE"""),"Scottsdale")</f>
        <v>Scottsdale</v>
      </c>
      <c r="C2579" s="170" t="str">
        <f>IFERROR(__xludf.DUMMYFUNCTION("""COMPUTED_VALUE"""),"AZ")</f>
        <v>AZ</v>
      </c>
      <c r="D2579" s="170" t="str">
        <f>IFERROR(__xludf.DUMMYFUNCTION("""COMPUTED_VALUE"""),"USA")</f>
        <v>USA</v>
      </c>
      <c r="E2579" s="171">
        <f>IFERROR(__xludf.DUMMYFUNCTION("""COMPUTED_VALUE"""),43306.0)</f>
        <v>43306</v>
      </c>
      <c r="F2579" s="172">
        <f>IFERROR(__xludf.DUMMYFUNCTION("""COMPUTED_VALUE"""),43349.0)</f>
        <v>43349</v>
      </c>
      <c r="G2579" s="173"/>
      <c r="H2579" s="174">
        <f>IFERROR(__xludf.DUMMYFUNCTION("""COMPUTED_VALUE"""),65155.0)</f>
        <v>65155</v>
      </c>
      <c r="I2579" s="175" t="str">
        <f>IFERROR(__xludf.DUMMYFUNCTION("""COMPUTED_VALUE"""),"08/18")</f>
        <v>08/18</v>
      </c>
      <c r="J2579" s="172">
        <f>IFERROR(__xludf.DUMMYFUNCTION("""COMPUTED_VALUE"""),43359.0)</f>
        <v>43359</v>
      </c>
      <c r="K2579" s="176">
        <f>IFERROR(__xludf.DUMMYFUNCTION("""COMPUTED_VALUE"""),43.0)</f>
        <v>43</v>
      </c>
      <c r="L2579" s="176">
        <f>IFERROR(__xludf.DUMMYFUNCTION("""COMPUTED_VALUE"""),10.0)</f>
        <v>10</v>
      </c>
      <c r="M2579" s="176">
        <f>IFERROR(__xludf.DUMMYFUNCTION("""COMPUTED_VALUE"""),53.0)</f>
        <v>53</v>
      </c>
      <c r="N2579" s="177" t="str">
        <f>IFERROR(__xludf.DUMMYFUNCTION("""COMPUTED_VALUE"""),"Model 3 LR AWD")</f>
        <v>Model 3 LR AWD</v>
      </c>
      <c r="O2579" s="177" t="str">
        <f>IFERROR(__xludf.DUMMYFUNCTION("""COMPUTED_VALUE"""),"Silver Metallic")</f>
        <v>Silver Metallic</v>
      </c>
      <c r="P2579" s="178" t="str">
        <f>IFERROR(__xludf.DUMMYFUNCTION("""COMPUTED_VALUE"""),"18 inch Aero")</f>
        <v>18 inch Aero</v>
      </c>
      <c r="Q2579" s="177" t="str">
        <f>IFERROR(__xludf.DUMMYFUNCTION("""COMPUTED_VALUE"""),"Black seats")</f>
        <v>Black seats</v>
      </c>
      <c r="R2579" s="170" t="str">
        <f>IFERROR(__xludf.DUMMYFUNCTION("""COMPUTED_VALUE"""),"Full Self-Driving")</f>
        <v>Full Self-Driving</v>
      </c>
      <c r="S2579" s="170"/>
      <c r="T2579" s="179"/>
      <c r="U2579" s="179"/>
      <c r="V2579" s="179"/>
      <c r="W2579" s="180"/>
      <c r="X2579" s="181" t="str">
        <f>IFERROR(__xludf.DUMMYFUNCTION("""COMPUTED_VALUE"""),"Excellent")</f>
        <v>Excellent</v>
      </c>
      <c r="Y2579" s="182" t="str">
        <f>IFERROR(__xludf.DUMMYFUNCTION("""COMPUTED_VALUE"""),"Very Good")</f>
        <v>Very Good</v>
      </c>
      <c r="Z2579" s="182" t="str">
        <f>IFERROR(__xludf.DUMMYFUNCTION("""COMPUTED_VALUE"""),"Excellent")</f>
        <v>Excellent</v>
      </c>
      <c r="AA2579" s="182" t="str">
        <f>IFERROR(__xludf.DUMMYFUNCTION("""COMPUTED_VALUE"""),"Poor")</f>
        <v>Poor</v>
      </c>
      <c r="AB2579" s="182" t="str">
        <f>IFERROR(__xludf.DUMMYFUNCTION("""COMPUTED_VALUE"""),"Very Good")</f>
        <v>Very Good</v>
      </c>
      <c r="AC2579" s="183">
        <f>IFERROR(__xludf.DUMMYFUNCTION("""COMPUTED_VALUE"""),3.0)</f>
        <v>3</v>
      </c>
      <c r="AD2579" s="183">
        <f>IFERROR(__xludf.DUMMYFUNCTION("""COMPUTED_VALUE"""),1.0)</f>
        <v>1</v>
      </c>
      <c r="AE2579" s="183">
        <f>IFERROR(__xludf.DUMMYFUNCTION("""COMPUTED_VALUE"""),0.0)</f>
        <v>0</v>
      </c>
      <c r="AF2579" s="184"/>
      <c r="AG2579" s="180"/>
      <c r="AH2579" s="185">
        <f>IFERROR(__xludf.DUMMYFUNCTION("""COMPUTED_VALUE"""),43392.43762482639)</f>
        <v>43392.43762</v>
      </c>
      <c r="AI2579" s="182"/>
      <c r="AJ2579" s="182"/>
      <c r="AK2579" s="182"/>
      <c r="AL2579" s="182"/>
    </row>
    <row r="2580" ht="20.25" customHeight="1">
      <c r="A2580" s="169" t="str">
        <f>IFERROR(__xludf.DUMMYFUNCTION("""COMPUTED_VALUE"""),"Bmer1rick")</f>
        <v>Bmer1rick</v>
      </c>
      <c r="B2580" s="170" t="str">
        <f>IFERROR(__xludf.DUMMYFUNCTION("""COMPUTED_VALUE"""),"Tampa")</f>
        <v>Tampa</v>
      </c>
      <c r="C2580" s="170" t="str">
        <f>IFERROR(__xludf.DUMMYFUNCTION("""COMPUTED_VALUE"""),"FL")</f>
        <v>FL</v>
      </c>
      <c r="D2580" s="170" t="str">
        <f>IFERROR(__xludf.DUMMYFUNCTION("""COMPUTED_VALUE"""),"USA")</f>
        <v>USA</v>
      </c>
      <c r="E2580" s="171">
        <f>IFERROR(__xludf.DUMMYFUNCTION("""COMPUTED_VALUE"""),43306.0)</f>
        <v>43306</v>
      </c>
      <c r="F2580" s="172">
        <f>IFERROR(__xludf.DUMMYFUNCTION("""COMPUTED_VALUE"""),43374.0)</f>
        <v>43374</v>
      </c>
      <c r="G2580" s="173"/>
      <c r="H2580" s="174">
        <f>IFERROR(__xludf.DUMMYFUNCTION("""COMPUTED_VALUE"""),114455.0)</f>
        <v>114455</v>
      </c>
      <c r="I2580" s="175" t="str">
        <f>IFERROR(__xludf.DUMMYFUNCTION("""COMPUTED_VALUE"""),"10/18")</f>
        <v>10/18</v>
      </c>
      <c r="J2580" s="172">
        <f>IFERROR(__xludf.DUMMYFUNCTION("""COMPUTED_VALUE"""),43414.0)</f>
        <v>43414</v>
      </c>
      <c r="K2580" s="176">
        <f>IFERROR(__xludf.DUMMYFUNCTION("""COMPUTED_VALUE"""),68.0)</f>
        <v>68</v>
      </c>
      <c r="L2580" s="176">
        <f>IFERROR(__xludf.DUMMYFUNCTION("""COMPUTED_VALUE"""),40.0)</f>
        <v>40</v>
      </c>
      <c r="M2580" s="176">
        <f>IFERROR(__xludf.DUMMYFUNCTION("""COMPUTED_VALUE"""),108.0)</f>
        <v>108</v>
      </c>
      <c r="N2580" s="177" t="str">
        <f>IFERROR(__xludf.DUMMYFUNCTION("""COMPUTED_VALUE"""),"Model 3 LR AWD")</f>
        <v>Model 3 LR AWD</v>
      </c>
      <c r="O2580" s="177" t="str">
        <f>IFERROR(__xludf.DUMMYFUNCTION("""COMPUTED_VALUE"""),"Midnight Silver Metallic")</f>
        <v>Midnight Silver Metallic</v>
      </c>
      <c r="P2580" s="178" t="str">
        <f>IFERROR(__xludf.DUMMYFUNCTION("""COMPUTED_VALUE"""),"18 inch Aero")</f>
        <v>18 inch Aero</v>
      </c>
      <c r="Q2580" s="177" t="str">
        <f>IFERROR(__xludf.DUMMYFUNCTION("""COMPUTED_VALUE"""),"Black seats")</f>
        <v>Black seats</v>
      </c>
      <c r="R2580" s="170" t="str">
        <f>IFERROR(__xludf.DUMMYFUNCTION("""COMPUTED_VALUE"""),"Enhanced Autopilot")</f>
        <v>Enhanced Autopilot</v>
      </c>
      <c r="S2580" s="170"/>
      <c r="T2580" s="179"/>
      <c r="U2580" s="179"/>
      <c r="V2580" s="179"/>
      <c r="W2580" s="180"/>
      <c r="X2580" s="181" t="str">
        <f>IFERROR(__xludf.DUMMYFUNCTION("""COMPUTED_VALUE"""),"Very Good")</f>
        <v>Very Good</v>
      </c>
      <c r="Y2580" s="182" t="str">
        <f>IFERROR(__xludf.DUMMYFUNCTION("""COMPUTED_VALUE"""),"Very Good")</f>
        <v>Very Good</v>
      </c>
      <c r="Z2580" s="182" t="str">
        <f>IFERROR(__xludf.DUMMYFUNCTION("""COMPUTED_VALUE"""),"Very Good")</f>
        <v>Very Good</v>
      </c>
      <c r="AA2580" s="182" t="str">
        <f>IFERROR(__xludf.DUMMYFUNCTION("""COMPUTED_VALUE"""),"Very Good")</f>
        <v>Very Good</v>
      </c>
      <c r="AB2580" s="182" t="str">
        <f>IFERROR(__xludf.DUMMYFUNCTION("""COMPUTED_VALUE"""),"Very Good")</f>
        <v>Very Good</v>
      </c>
      <c r="AC2580" s="183">
        <f>IFERROR(__xludf.DUMMYFUNCTION("""COMPUTED_VALUE"""),3.0)</f>
        <v>3</v>
      </c>
      <c r="AD2580" s="183">
        <f>IFERROR(__xludf.DUMMYFUNCTION("""COMPUTED_VALUE"""),0.0)</f>
        <v>0</v>
      </c>
      <c r="AE2580" s="183">
        <f>IFERROR(__xludf.DUMMYFUNCTION("""COMPUTED_VALUE"""),0.0)</f>
        <v>0</v>
      </c>
      <c r="AF2580" s="184"/>
      <c r="AG2580" s="180"/>
      <c r="AH2580" s="185">
        <f>IFERROR(__xludf.DUMMYFUNCTION("""COMPUTED_VALUE"""),43418.356768125)</f>
        <v>43418.35677</v>
      </c>
      <c r="AI2580" s="182"/>
      <c r="AJ2580" s="182"/>
      <c r="AK2580" s="182"/>
      <c r="AL2580" s="182"/>
    </row>
    <row r="2581" ht="20.25" customHeight="1">
      <c r="A2581" s="169" t="str">
        <f>IFERROR(__xludf.DUMMYFUNCTION("""COMPUTED_VALUE"""),"edrlee")</f>
        <v>edrlee</v>
      </c>
      <c r="B2581" s="170" t="str">
        <f>IFERROR(__xludf.DUMMYFUNCTION("""COMPUTED_VALUE"""),"Sacramento")</f>
        <v>Sacramento</v>
      </c>
      <c r="C2581" s="170" t="str">
        <f>IFERROR(__xludf.DUMMYFUNCTION("""COMPUTED_VALUE"""),"CA")</f>
        <v>CA</v>
      </c>
      <c r="D2581" s="170" t="str">
        <f>IFERROR(__xludf.DUMMYFUNCTION("""COMPUTED_VALUE"""),"USA")</f>
        <v>USA</v>
      </c>
      <c r="E2581" s="171">
        <f>IFERROR(__xludf.DUMMYFUNCTION("""COMPUTED_VALUE"""),43306.0)</f>
        <v>43306</v>
      </c>
      <c r="F2581" s="172">
        <f>IFERROR(__xludf.DUMMYFUNCTION("""COMPUTED_VALUE"""),43312.0)</f>
        <v>43312</v>
      </c>
      <c r="G2581" s="173"/>
      <c r="H2581" s="174"/>
      <c r="I2581" s="175"/>
      <c r="J2581" s="172">
        <f>IFERROR(__xludf.DUMMYFUNCTION("""COMPUTED_VALUE"""),43323.0)</f>
        <v>43323</v>
      </c>
      <c r="K2581" s="176">
        <f>IFERROR(__xludf.DUMMYFUNCTION("""COMPUTED_VALUE"""),6.0)</f>
        <v>6</v>
      </c>
      <c r="L2581" s="176">
        <f>IFERROR(__xludf.DUMMYFUNCTION("""COMPUTED_VALUE"""),11.0)</f>
        <v>11</v>
      </c>
      <c r="M2581" s="176">
        <f>IFERROR(__xludf.DUMMYFUNCTION("""COMPUTED_VALUE"""),17.0)</f>
        <v>17</v>
      </c>
      <c r="N2581" s="177" t="str">
        <f>IFERROR(__xludf.DUMMYFUNCTION("""COMPUTED_VALUE"""),"Model 3 LR")</f>
        <v>Model 3 LR</v>
      </c>
      <c r="O2581" s="177" t="str">
        <f>IFERROR(__xludf.DUMMYFUNCTION("""COMPUTED_VALUE"""),"Midnight Silver Metallic")</f>
        <v>Midnight Silver Metallic</v>
      </c>
      <c r="P2581" s="178" t="str">
        <f>IFERROR(__xludf.DUMMYFUNCTION("""COMPUTED_VALUE"""),"18 inch Aero")</f>
        <v>18 inch Aero</v>
      </c>
      <c r="Q2581" s="177" t="str">
        <f>IFERROR(__xludf.DUMMYFUNCTION("""COMPUTED_VALUE"""),"Black seats")</f>
        <v>Black seats</v>
      </c>
      <c r="R2581" s="170" t="str">
        <f>IFERROR(__xludf.DUMMYFUNCTION("""COMPUTED_VALUE"""),"Enhanced Autopilot")</f>
        <v>Enhanced Autopilot</v>
      </c>
      <c r="S2581" s="170"/>
      <c r="T2581" s="179"/>
      <c r="U2581" s="179"/>
      <c r="V2581" s="179"/>
      <c r="W2581" s="180"/>
      <c r="X2581" s="181" t="str">
        <f>IFERROR(__xludf.DUMMYFUNCTION("""COMPUTED_VALUE"""),"Excellent")</f>
        <v>Excellent</v>
      </c>
      <c r="Y2581" s="182" t="str">
        <f>IFERROR(__xludf.DUMMYFUNCTION("""COMPUTED_VALUE"""),"Very Good")</f>
        <v>Very Good</v>
      </c>
      <c r="Z2581" s="182" t="str">
        <f>IFERROR(__xludf.DUMMYFUNCTION("""COMPUTED_VALUE"""),"Excellent")</f>
        <v>Excellent</v>
      </c>
      <c r="AA2581" s="182" t="str">
        <f>IFERROR(__xludf.DUMMYFUNCTION("""COMPUTED_VALUE"""),"Excellent")</f>
        <v>Excellent</v>
      </c>
      <c r="AB2581" s="182" t="str">
        <f>IFERROR(__xludf.DUMMYFUNCTION("""COMPUTED_VALUE"""),"Excellent")</f>
        <v>Excellent</v>
      </c>
      <c r="AC2581" s="183">
        <f>IFERROR(__xludf.DUMMYFUNCTION("""COMPUTED_VALUE"""),2.0)</f>
        <v>2</v>
      </c>
      <c r="AD2581" s="183"/>
      <c r="AE2581" s="183"/>
      <c r="AF2581" s="184"/>
      <c r="AG2581" s="180" t="str">
        <f>IFERROR(__xludf.DUMMYFUNCTION("""COMPUTED_VALUE"""),"EncodedVIN showed up 7/31/18")</f>
        <v>EncodedVIN showed up 7/31/18</v>
      </c>
      <c r="AH2581" s="185">
        <f>IFERROR(__xludf.DUMMYFUNCTION("""COMPUTED_VALUE"""),43324.91613663194)</f>
        <v>43324.91614</v>
      </c>
      <c r="AI2581" s="182"/>
      <c r="AJ2581" s="182"/>
      <c r="AK2581" s="182"/>
      <c r="AL2581" s="182"/>
    </row>
    <row r="2582" ht="20.25" customHeight="1">
      <c r="A2582" s="169" t="str">
        <f>IFERROR(__xludf.DUMMYFUNCTION("""COMPUTED_VALUE"""),"gtg529s")</f>
        <v>gtg529s</v>
      </c>
      <c r="B2582" s="170" t="str">
        <f>IFERROR(__xludf.DUMMYFUNCTION("""COMPUTED_VALUE"""),"Atlanta")</f>
        <v>Atlanta</v>
      </c>
      <c r="C2582" s="170" t="str">
        <f>IFERROR(__xludf.DUMMYFUNCTION("""COMPUTED_VALUE"""),"GA")</f>
        <v>GA</v>
      </c>
      <c r="D2582" s="170" t="str">
        <f>IFERROR(__xludf.DUMMYFUNCTION("""COMPUTED_VALUE"""),"USA")</f>
        <v>USA</v>
      </c>
      <c r="E2582" s="171">
        <f>IFERROR(__xludf.DUMMYFUNCTION("""COMPUTED_VALUE"""),43306.0)</f>
        <v>43306</v>
      </c>
      <c r="F2582" s="172">
        <f>IFERROR(__xludf.DUMMYFUNCTION("""COMPUTED_VALUE"""),43314.0)</f>
        <v>43314</v>
      </c>
      <c r="G2582" s="173"/>
      <c r="H2582" s="174">
        <f>IFERROR(__xludf.DUMMYFUNCTION("""COMPUTED_VALUE"""),53405.0)</f>
        <v>53405</v>
      </c>
      <c r="I2582" s="175" t="str">
        <f>IFERROR(__xludf.DUMMYFUNCTION("""COMPUTED_VALUE"""),"08/18")</f>
        <v>08/18</v>
      </c>
      <c r="J2582" s="172">
        <f>IFERROR(__xludf.DUMMYFUNCTION("""COMPUTED_VALUE"""),43332.0)</f>
        <v>43332</v>
      </c>
      <c r="K2582" s="176">
        <f>IFERROR(__xludf.DUMMYFUNCTION("""COMPUTED_VALUE"""),8.0)</f>
        <v>8</v>
      </c>
      <c r="L2582" s="176">
        <f>IFERROR(__xludf.DUMMYFUNCTION("""COMPUTED_VALUE"""),18.0)</f>
        <v>18</v>
      </c>
      <c r="M2582" s="176">
        <f>IFERROR(__xludf.DUMMYFUNCTION("""COMPUTED_VALUE"""),26.0)</f>
        <v>26</v>
      </c>
      <c r="N2582" s="177" t="str">
        <f>IFERROR(__xludf.DUMMYFUNCTION("""COMPUTED_VALUE"""),"Model 3 LR")</f>
        <v>Model 3 LR</v>
      </c>
      <c r="O2582" s="177" t="str">
        <f>IFERROR(__xludf.DUMMYFUNCTION("""COMPUTED_VALUE"""),"Midnight Silver Metallic")</f>
        <v>Midnight Silver Metallic</v>
      </c>
      <c r="P2582" s="178" t="str">
        <f>IFERROR(__xludf.DUMMYFUNCTION("""COMPUTED_VALUE"""),"18 inch Aero")</f>
        <v>18 inch Aero</v>
      </c>
      <c r="Q2582" s="177" t="str">
        <f>IFERROR(__xludf.DUMMYFUNCTION("""COMPUTED_VALUE"""),"Black seats")</f>
        <v>Black seats</v>
      </c>
      <c r="R2582" s="170" t="str">
        <f>IFERROR(__xludf.DUMMYFUNCTION("""COMPUTED_VALUE"""),"None")</f>
        <v>None</v>
      </c>
      <c r="S2582" s="170"/>
      <c r="T2582" s="179"/>
      <c r="U2582" s="179"/>
      <c r="V2582" s="179"/>
      <c r="W2582" s="180"/>
      <c r="X2582" s="181" t="str">
        <f>IFERROR(__xludf.DUMMYFUNCTION("""COMPUTED_VALUE"""),"Excellent")</f>
        <v>Excellent</v>
      </c>
      <c r="Y2582" s="182" t="str">
        <f>IFERROR(__xludf.DUMMYFUNCTION("""COMPUTED_VALUE"""),"Excellent")</f>
        <v>Excellent</v>
      </c>
      <c r="Z2582" s="182" t="str">
        <f>IFERROR(__xludf.DUMMYFUNCTION("""COMPUTED_VALUE"""),"Excellent")</f>
        <v>Excellent</v>
      </c>
      <c r="AA2582" s="182" t="str">
        <f>IFERROR(__xludf.DUMMYFUNCTION("""COMPUTED_VALUE"""),"Good")</f>
        <v>Good</v>
      </c>
      <c r="AB2582" s="182" t="str">
        <f>IFERROR(__xludf.DUMMYFUNCTION("""COMPUTED_VALUE"""),"Good")</f>
        <v>Good</v>
      </c>
      <c r="AC2582" s="183">
        <f>IFERROR(__xludf.DUMMYFUNCTION("""COMPUTED_VALUE"""),0.0)</f>
        <v>0</v>
      </c>
      <c r="AD2582" s="183">
        <f>IFERROR(__xludf.DUMMYFUNCTION("""COMPUTED_VALUE"""),0.0)</f>
        <v>0</v>
      </c>
      <c r="AE2582" s="183">
        <f>IFERROR(__xludf.DUMMYFUNCTION("""COMPUTED_VALUE"""),0.0)</f>
        <v>0</v>
      </c>
      <c r="AF2582" s="184"/>
      <c r="AG2582" s="180"/>
      <c r="AH2582" s="185">
        <f>IFERROR(__xludf.DUMMYFUNCTION("""COMPUTED_VALUE"""),43334.46985158565)</f>
        <v>43334.46985</v>
      </c>
      <c r="AI2582" s="182"/>
      <c r="AJ2582" s="182"/>
      <c r="AK2582" s="182"/>
      <c r="AL2582" s="182"/>
    </row>
    <row r="2583" ht="20.25" customHeight="1">
      <c r="A2583" s="169" t="str">
        <f>IFERROR(__xludf.DUMMYFUNCTION("""COMPUTED_VALUE"""),"It's Ken")</f>
        <v>It's Ken</v>
      </c>
      <c r="B2583" s="170" t="str">
        <f>IFERROR(__xludf.DUMMYFUNCTION("""COMPUTED_VALUE"""),"Colleyville")</f>
        <v>Colleyville</v>
      </c>
      <c r="C2583" s="170" t="str">
        <f>IFERROR(__xludf.DUMMYFUNCTION("""COMPUTED_VALUE"""),"TX")</f>
        <v>TX</v>
      </c>
      <c r="D2583" s="170" t="str">
        <f>IFERROR(__xludf.DUMMYFUNCTION("""COMPUTED_VALUE"""),"USA")</f>
        <v>USA</v>
      </c>
      <c r="E2583" s="171">
        <f>IFERROR(__xludf.DUMMYFUNCTION("""COMPUTED_VALUE"""),43306.0)</f>
        <v>43306</v>
      </c>
      <c r="F2583" s="172">
        <f>IFERROR(__xludf.DUMMYFUNCTION("""COMPUTED_VALUE"""),43331.0)</f>
        <v>43331</v>
      </c>
      <c r="G2583" s="173"/>
      <c r="H2583" s="174">
        <f>IFERROR(__xludf.DUMMYFUNCTION("""COMPUTED_VALUE"""),61515.0)</f>
        <v>61515</v>
      </c>
      <c r="I2583" s="175" t="str">
        <f>IFERROR(__xludf.DUMMYFUNCTION("""COMPUTED_VALUE"""),"08/18")</f>
        <v>08/18</v>
      </c>
      <c r="J2583" s="172">
        <f>IFERROR(__xludf.DUMMYFUNCTION("""COMPUTED_VALUE"""),43368.0)</f>
        <v>43368</v>
      </c>
      <c r="K2583" s="176">
        <f>IFERROR(__xludf.DUMMYFUNCTION("""COMPUTED_VALUE"""),25.0)</f>
        <v>25</v>
      </c>
      <c r="L2583" s="176">
        <f>IFERROR(__xludf.DUMMYFUNCTION("""COMPUTED_VALUE"""),37.0)</f>
        <v>37</v>
      </c>
      <c r="M2583" s="176">
        <f>IFERROR(__xludf.DUMMYFUNCTION("""COMPUTED_VALUE"""),62.0)</f>
        <v>62</v>
      </c>
      <c r="N2583" s="177" t="str">
        <f>IFERROR(__xludf.DUMMYFUNCTION("""COMPUTED_VALUE"""),"Model 3 LR")</f>
        <v>Model 3 LR</v>
      </c>
      <c r="O2583" s="177" t="str">
        <f>IFERROR(__xludf.DUMMYFUNCTION("""COMPUTED_VALUE"""),"Red Multi-Coat")</f>
        <v>Red Multi-Coat</v>
      </c>
      <c r="P2583" s="178" t="str">
        <f>IFERROR(__xludf.DUMMYFUNCTION("""COMPUTED_VALUE"""),"19 inch Sport")</f>
        <v>19 inch Sport</v>
      </c>
      <c r="Q2583" s="177" t="str">
        <f>IFERROR(__xludf.DUMMYFUNCTION("""COMPUTED_VALUE"""),"Black seats")</f>
        <v>Black seats</v>
      </c>
      <c r="R2583" s="170" t="str">
        <f>IFERROR(__xludf.DUMMYFUNCTION("""COMPUTED_VALUE"""),"Enhanced Autopilot")</f>
        <v>Enhanced Autopilot</v>
      </c>
      <c r="S2583" s="170"/>
      <c r="T2583" s="179"/>
      <c r="U2583" s="179"/>
      <c r="V2583" s="179"/>
      <c r="W2583" s="180"/>
      <c r="X2583" s="181" t="str">
        <f>IFERROR(__xludf.DUMMYFUNCTION("""COMPUTED_VALUE"""),"Good")</f>
        <v>Good</v>
      </c>
      <c r="Y2583" s="182" t="str">
        <f>IFERROR(__xludf.DUMMYFUNCTION("""COMPUTED_VALUE"""),"Good")</f>
        <v>Good</v>
      </c>
      <c r="Z2583" s="182" t="str">
        <f>IFERROR(__xludf.DUMMYFUNCTION("""COMPUTED_VALUE"""),"Good")</f>
        <v>Good</v>
      </c>
      <c r="AA2583" s="182" t="str">
        <f>IFERROR(__xludf.DUMMYFUNCTION("""COMPUTED_VALUE"""),"Good")</f>
        <v>Good</v>
      </c>
      <c r="AB2583" s="182" t="str">
        <f>IFERROR(__xludf.DUMMYFUNCTION("""COMPUTED_VALUE"""),"Fair")</f>
        <v>Fair</v>
      </c>
      <c r="AC2583" s="183">
        <f>IFERROR(__xludf.DUMMYFUNCTION("""COMPUTED_VALUE"""),0.0)</f>
        <v>0</v>
      </c>
      <c r="AD2583" s="183">
        <f>IFERROR(__xludf.DUMMYFUNCTION("""COMPUTED_VALUE"""),0.0)</f>
        <v>0</v>
      </c>
      <c r="AE2583" s="183">
        <f>IFERROR(__xludf.DUMMYFUNCTION("""COMPUTED_VALUE"""),0.0)</f>
        <v>0</v>
      </c>
      <c r="AF2583" s="184"/>
      <c r="AG2583" s="180"/>
      <c r="AH2583" s="185">
        <f>IFERROR(__xludf.DUMMYFUNCTION("""COMPUTED_VALUE"""),43449.24599664351)</f>
        <v>43449.246</v>
      </c>
      <c r="AI2583" s="182"/>
      <c r="AJ2583" s="182"/>
      <c r="AK2583" s="182"/>
      <c r="AL2583" s="182"/>
    </row>
    <row r="2584" ht="20.25" customHeight="1">
      <c r="A2584" s="169" t="str">
        <f>IFERROR(__xludf.DUMMYFUNCTION("""COMPUTED_VALUE"""),"jathanm7")</f>
        <v>jathanm7</v>
      </c>
      <c r="B2584" s="170" t="str">
        <f>IFERROR(__xludf.DUMMYFUNCTION("""COMPUTED_VALUE"""),"Los Angeles")</f>
        <v>Los Angeles</v>
      </c>
      <c r="C2584" s="170" t="str">
        <f>IFERROR(__xludf.DUMMYFUNCTION("""COMPUTED_VALUE"""),"CA")</f>
        <v>CA</v>
      </c>
      <c r="D2584" s="170" t="str">
        <f>IFERROR(__xludf.DUMMYFUNCTION("""COMPUTED_VALUE"""),"USA")</f>
        <v>USA</v>
      </c>
      <c r="E2584" s="171">
        <f>IFERROR(__xludf.DUMMYFUNCTION("""COMPUTED_VALUE"""),43306.0)</f>
        <v>43306</v>
      </c>
      <c r="F2584" s="172">
        <f>IFERROR(__xludf.DUMMYFUNCTION("""COMPUTED_VALUE"""),43342.0)</f>
        <v>43342</v>
      </c>
      <c r="G2584" s="173"/>
      <c r="H2584" s="174">
        <f>IFERROR(__xludf.DUMMYFUNCTION("""COMPUTED_VALUE"""),74610.0)</f>
        <v>74610</v>
      </c>
      <c r="I2584" s="175"/>
      <c r="J2584" s="172">
        <f>IFERROR(__xludf.DUMMYFUNCTION("""COMPUTED_VALUE"""),43356.0)</f>
        <v>43356</v>
      </c>
      <c r="K2584" s="176">
        <f>IFERROR(__xludf.DUMMYFUNCTION("""COMPUTED_VALUE"""),36.0)</f>
        <v>36</v>
      </c>
      <c r="L2584" s="176">
        <f>IFERROR(__xludf.DUMMYFUNCTION("""COMPUTED_VALUE"""),14.0)</f>
        <v>14</v>
      </c>
      <c r="M2584" s="176">
        <f>IFERROR(__xludf.DUMMYFUNCTION("""COMPUTED_VALUE"""),50.0)</f>
        <v>50</v>
      </c>
      <c r="N2584" s="177" t="str">
        <f>IFERROR(__xludf.DUMMYFUNCTION("""COMPUTED_VALUE"""),"Model 3 Performance")</f>
        <v>Model 3 Performance</v>
      </c>
      <c r="O2584" s="177" t="str">
        <f>IFERROR(__xludf.DUMMYFUNCTION("""COMPUTED_VALUE"""),"Pearl White Multi-Coat")</f>
        <v>Pearl White Multi-Coat</v>
      </c>
      <c r="P2584" s="178" t="str">
        <f>IFERROR(__xludf.DUMMYFUNCTION("""COMPUTED_VALUE"""),"20 inch Sport")</f>
        <v>20 inch Sport</v>
      </c>
      <c r="Q2584" s="177" t="str">
        <f>IFERROR(__xludf.DUMMYFUNCTION("""COMPUTED_VALUE"""),"White seats")</f>
        <v>White seats</v>
      </c>
      <c r="R2584" s="170" t="str">
        <f>IFERROR(__xludf.DUMMYFUNCTION("""COMPUTED_VALUE"""),"Full Self-Driving")</f>
        <v>Full Self-Driving</v>
      </c>
      <c r="S2584" s="170"/>
      <c r="T2584" s="179"/>
      <c r="U2584" s="179"/>
      <c r="V2584" s="179"/>
      <c r="W2584" s="180"/>
      <c r="X2584" s="181" t="str">
        <f>IFERROR(__xludf.DUMMYFUNCTION("""COMPUTED_VALUE"""),"Excellent")</f>
        <v>Excellent</v>
      </c>
      <c r="Y2584" s="182" t="str">
        <f>IFERROR(__xludf.DUMMYFUNCTION("""COMPUTED_VALUE"""),"Excellent")</f>
        <v>Excellent</v>
      </c>
      <c r="Z2584" s="182" t="str">
        <f>IFERROR(__xludf.DUMMYFUNCTION("""COMPUTED_VALUE"""),"Excellent")</f>
        <v>Excellent</v>
      </c>
      <c r="AA2584" s="182" t="str">
        <f>IFERROR(__xludf.DUMMYFUNCTION("""COMPUTED_VALUE"""),"Poor")</f>
        <v>Poor</v>
      </c>
      <c r="AB2584" s="182" t="str">
        <f>IFERROR(__xludf.DUMMYFUNCTION("""COMPUTED_VALUE"""),"Good")</f>
        <v>Good</v>
      </c>
      <c r="AC2584" s="183">
        <f>IFERROR(__xludf.DUMMYFUNCTION("""COMPUTED_VALUE"""),1.0)</f>
        <v>1</v>
      </c>
      <c r="AD2584" s="183"/>
      <c r="AE2584" s="183"/>
      <c r="AF2584" s="184"/>
      <c r="AG2584" s="180"/>
      <c r="AH2584" s="185">
        <f>IFERROR(__xludf.DUMMYFUNCTION("""COMPUTED_VALUE"""),43357.34326920139)</f>
        <v>43357.34327</v>
      </c>
      <c r="AI2584" s="182"/>
      <c r="AJ2584" s="182"/>
      <c r="AK2584" s="182"/>
      <c r="AL2584" s="182"/>
    </row>
    <row r="2585" ht="20.25" customHeight="1">
      <c r="A2585" s="169" t="str">
        <f>IFERROR(__xludf.DUMMYFUNCTION("""COMPUTED_VALUE"""),"KamChiChris")</f>
        <v>KamChiChris</v>
      </c>
      <c r="B2585" s="170" t="str">
        <f>IFERROR(__xludf.DUMMYFUNCTION("""COMPUTED_VALUE"""),"Cupertino")</f>
        <v>Cupertino</v>
      </c>
      <c r="C2585" s="170" t="str">
        <f>IFERROR(__xludf.DUMMYFUNCTION("""COMPUTED_VALUE"""),"CA")</f>
        <v>CA</v>
      </c>
      <c r="D2585" s="170" t="str">
        <f>IFERROR(__xludf.DUMMYFUNCTION("""COMPUTED_VALUE"""),"USA")</f>
        <v>USA</v>
      </c>
      <c r="E2585" s="171">
        <f>IFERROR(__xludf.DUMMYFUNCTION("""COMPUTED_VALUE"""),43306.0)</f>
        <v>43306</v>
      </c>
      <c r="F2585" s="172">
        <f>IFERROR(__xludf.DUMMYFUNCTION("""COMPUTED_VALUE"""),43341.0)</f>
        <v>43341</v>
      </c>
      <c r="G2585" s="173"/>
      <c r="H2585" s="174">
        <f>IFERROR(__xludf.DUMMYFUNCTION("""COMPUTED_VALUE"""),72955.0)</f>
        <v>72955</v>
      </c>
      <c r="I2585" s="175" t="str">
        <f>IFERROR(__xludf.DUMMYFUNCTION("""COMPUTED_VALUE"""),"08/18")</f>
        <v>08/18</v>
      </c>
      <c r="J2585" s="172">
        <f>IFERROR(__xludf.DUMMYFUNCTION("""COMPUTED_VALUE"""),43346.0)</f>
        <v>43346</v>
      </c>
      <c r="K2585" s="176">
        <f>IFERROR(__xludf.DUMMYFUNCTION("""COMPUTED_VALUE"""),35.0)</f>
        <v>35</v>
      </c>
      <c r="L2585" s="176">
        <f>IFERROR(__xludf.DUMMYFUNCTION("""COMPUTED_VALUE"""),5.0)</f>
        <v>5</v>
      </c>
      <c r="M2585" s="176">
        <f>IFERROR(__xludf.DUMMYFUNCTION("""COMPUTED_VALUE"""),40.0)</f>
        <v>40</v>
      </c>
      <c r="N2585" s="177" t="str">
        <f>IFERROR(__xludf.DUMMYFUNCTION("""COMPUTED_VALUE"""),"Model 3 Performance")</f>
        <v>Model 3 Performance</v>
      </c>
      <c r="O2585" s="177" t="str">
        <f>IFERROR(__xludf.DUMMYFUNCTION("""COMPUTED_VALUE"""),"Midnight Silver Metallic")</f>
        <v>Midnight Silver Metallic</v>
      </c>
      <c r="P2585" s="178" t="str">
        <f>IFERROR(__xludf.DUMMYFUNCTION("""COMPUTED_VALUE"""),"20 inch Sport")</f>
        <v>20 inch Sport</v>
      </c>
      <c r="Q2585" s="177" t="str">
        <f>IFERROR(__xludf.DUMMYFUNCTION("""COMPUTED_VALUE"""),"Black seats")</f>
        <v>Black seats</v>
      </c>
      <c r="R2585" s="170" t="str">
        <f>IFERROR(__xludf.DUMMYFUNCTION("""COMPUTED_VALUE"""),"Full Self-Driving")</f>
        <v>Full Self-Driving</v>
      </c>
      <c r="S2585" s="170"/>
      <c r="T2585" s="179"/>
      <c r="U2585" s="179"/>
      <c r="V2585" s="179"/>
      <c r="W2585" s="180"/>
      <c r="X2585" s="181" t="str">
        <f>IFERROR(__xludf.DUMMYFUNCTION("""COMPUTED_VALUE"""),"Very Good")</f>
        <v>Very Good</v>
      </c>
      <c r="Y2585" s="182" t="str">
        <f>IFERROR(__xludf.DUMMYFUNCTION("""COMPUTED_VALUE"""),"Good")</f>
        <v>Good</v>
      </c>
      <c r="Z2585" s="182" t="str">
        <f>IFERROR(__xludf.DUMMYFUNCTION("""COMPUTED_VALUE"""),"Fair")</f>
        <v>Fair</v>
      </c>
      <c r="AA2585" s="182" t="str">
        <f>IFERROR(__xludf.DUMMYFUNCTION("""COMPUTED_VALUE"""),"Poor")</f>
        <v>Poor</v>
      </c>
      <c r="AB2585" s="182" t="str">
        <f>IFERROR(__xludf.DUMMYFUNCTION("""COMPUTED_VALUE"""),"Good")</f>
        <v>Good</v>
      </c>
      <c r="AC2585" s="183"/>
      <c r="AD2585" s="183"/>
      <c r="AE2585" s="183"/>
      <c r="AF2585" s="184"/>
      <c r="AG2585" s="180"/>
      <c r="AH2585" s="185">
        <f>IFERROR(__xludf.DUMMYFUNCTION("""COMPUTED_VALUE"""),43351.918695474546)</f>
        <v>43351.9187</v>
      </c>
      <c r="AI2585" s="182"/>
      <c r="AJ2585" s="182"/>
      <c r="AK2585" s="182"/>
      <c r="AL2585" s="182"/>
    </row>
    <row r="2586" ht="20.25" customHeight="1">
      <c r="A2586" s="169" t="str">
        <f>IFERROR(__xludf.DUMMYFUNCTION("""COMPUTED_VALUE"""),"NotAnEngineer1")</f>
        <v>NotAnEngineer1</v>
      </c>
      <c r="B2586" s="170" t="str">
        <f>IFERROR(__xludf.DUMMYFUNCTION("""COMPUTED_VALUE"""),"Seattle")</f>
        <v>Seattle</v>
      </c>
      <c r="C2586" s="170" t="str">
        <f>IFERROR(__xludf.DUMMYFUNCTION("""COMPUTED_VALUE"""),"WA")</f>
        <v>WA</v>
      </c>
      <c r="D2586" s="170" t="str">
        <f>IFERROR(__xludf.DUMMYFUNCTION("""COMPUTED_VALUE"""),"USA")</f>
        <v>USA</v>
      </c>
      <c r="E2586" s="171">
        <f>IFERROR(__xludf.DUMMYFUNCTION("""COMPUTED_VALUE"""),43306.0)</f>
        <v>43306</v>
      </c>
      <c r="F2586" s="172">
        <f>IFERROR(__xludf.DUMMYFUNCTION("""COMPUTED_VALUE"""),43313.0)</f>
        <v>43313</v>
      </c>
      <c r="G2586" s="173"/>
      <c r="H2586" s="174">
        <f>IFERROR(__xludf.DUMMYFUNCTION("""COMPUTED_VALUE"""),73155.0)</f>
        <v>73155</v>
      </c>
      <c r="I2586" s="175" t="str">
        <f>IFERROR(__xludf.DUMMYFUNCTION("""COMPUTED_VALUE"""),"08/18")</f>
        <v>08/18</v>
      </c>
      <c r="J2586" s="172">
        <f>IFERROR(__xludf.DUMMYFUNCTION("""COMPUTED_VALUE"""),43370.0)</f>
        <v>43370</v>
      </c>
      <c r="K2586" s="176">
        <f>IFERROR(__xludf.DUMMYFUNCTION("""COMPUTED_VALUE"""),7.0)</f>
        <v>7</v>
      </c>
      <c r="L2586" s="176">
        <f>IFERROR(__xludf.DUMMYFUNCTION("""COMPUTED_VALUE"""),57.0)</f>
        <v>57</v>
      </c>
      <c r="M2586" s="176">
        <f>IFERROR(__xludf.DUMMYFUNCTION("""COMPUTED_VALUE"""),64.0)</f>
        <v>64</v>
      </c>
      <c r="N2586" s="177" t="str">
        <f>IFERROR(__xludf.DUMMYFUNCTION("""COMPUTED_VALUE"""),"Model 3 Performance")</f>
        <v>Model 3 Performance</v>
      </c>
      <c r="O2586" s="177" t="str">
        <f>IFERROR(__xludf.DUMMYFUNCTION("""COMPUTED_VALUE"""),"Midnight Silver Metallic")</f>
        <v>Midnight Silver Metallic</v>
      </c>
      <c r="P2586" s="178" t="str">
        <f>IFERROR(__xludf.DUMMYFUNCTION("""COMPUTED_VALUE"""),"20 inch Sport")</f>
        <v>20 inch Sport</v>
      </c>
      <c r="Q2586" s="177" t="str">
        <f>IFERROR(__xludf.DUMMYFUNCTION("""COMPUTED_VALUE"""),"Black seats")</f>
        <v>Black seats</v>
      </c>
      <c r="R2586" s="170" t="str">
        <f>IFERROR(__xludf.DUMMYFUNCTION("""COMPUTED_VALUE"""),"Full Self-Driving")</f>
        <v>Full Self-Driving</v>
      </c>
      <c r="S2586" s="170"/>
      <c r="T2586" s="179"/>
      <c r="U2586" s="179"/>
      <c r="V2586" s="179"/>
      <c r="W2586" s="180"/>
      <c r="X2586" s="181" t="str">
        <f>IFERROR(__xludf.DUMMYFUNCTION("""COMPUTED_VALUE"""),"Very Good")</f>
        <v>Very Good</v>
      </c>
      <c r="Y2586" s="182" t="str">
        <f>IFERROR(__xludf.DUMMYFUNCTION("""COMPUTED_VALUE"""),"Excellent")</f>
        <v>Excellent</v>
      </c>
      <c r="Z2586" s="182" t="str">
        <f>IFERROR(__xludf.DUMMYFUNCTION("""COMPUTED_VALUE"""),"Very Good")</f>
        <v>Very Good</v>
      </c>
      <c r="AA2586" s="182" t="str">
        <f>IFERROR(__xludf.DUMMYFUNCTION("""COMPUTED_VALUE"""),"Excellent")</f>
        <v>Excellent</v>
      </c>
      <c r="AB2586" s="182" t="str">
        <f>IFERROR(__xludf.DUMMYFUNCTION("""COMPUTED_VALUE"""),"Poor")</f>
        <v>Poor</v>
      </c>
      <c r="AC2586" s="183">
        <f>IFERROR(__xludf.DUMMYFUNCTION("""COMPUTED_VALUE"""),0.0)</f>
        <v>0</v>
      </c>
      <c r="AD2586" s="183">
        <f>IFERROR(__xludf.DUMMYFUNCTION("""COMPUTED_VALUE"""),0.0)</f>
        <v>0</v>
      </c>
      <c r="AE2586" s="183">
        <f>IFERROR(__xludf.DUMMYFUNCTION("""COMPUTED_VALUE"""),0.0)</f>
        <v>0</v>
      </c>
      <c r="AF2586" s="184"/>
      <c r="AG2586" s="180"/>
      <c r="AH2586" s="185">
        <f>IFERROR(__xludf.DUMMYFUNCTION("""COMPUTED_VALUE"""),43379.8433849537)</f>
        <v>43379.84338</v>
      </c>
      <c r="AI2586" s="182"/>
      <c r="AJ2586" s="182"/>
      <c r="AK2586" s="182"/>
      <c r="AL2586" s="182"/>
    </row>
    <row r="2587" ht="20.25" customHeight="1">
      <c r="A2587" s="169" t="str">
        <f>IFERROR(__xludf.DUMMYFUNCTION("""COMPUTED_VALUE"""),"tcxoman")</f>
        <v>tcxoman</v>
      </c>
      <c r="B2587" s="170" t="str">
        <f>IFERROR(__xludf.DUMMYFUNCTION("""COMPUTED_VALUE"""),"Chicago Area")</f>
        <v>Chicago Area</v>
      </c>
      <c r="C2587" s="170" t="str">
        <f>IFERROR(__xludf.DUMMYFUNCTION("""COMPUTED_VALUE"""),"IL")</f>
        <v>IL</v>
      </c>
      <c r="D2587" s="170" t="str">
        <f>IFERROR(__xludf.DUMMYFUNCTION("""COMPUTED_VALUE"""),"USA")</f>
        <v>USA</v>
      </c>
      <c r="E2587" s="171">
        <f>IFERROR(__xludf.DUMMYFUNCTION("""COMPUTED_VALUE"""),43306.0)</f>
        <v>43306</v>
      </c>
      <c r="F2587" s="172">
        <f>IFERROR(__xludf.DUMMYFUNCTION("""COMPUTED_VALUE"""),43355.0)</f>
        <v>43355</v>
      </c>
      <c r="G2587" s="173"/>
      <c r="H2587" s="174">
        <f>IFERROR(__xludf.DUMMYFUNCTION("""COMPUTED_VALUE"""),97255.0)</f>
        <v>97255</v>
      </c>
      <c r="I2587" s="175" t="str">
        <f>IFERROR(__xludf.DUMMYFUNCTION("""COMPUTED_VALUE"""),"09/18")</f>
        <v>09/18</v>
      </c>
      <c r="J2587" s="172">
        <f>IFERROR(__xludf.DUMMYFUNCTION("""COMPUTED_VALUE"""),43363.0)</f>
        <v>43363</v>
      </c>
      <c r="K2587" s="176">
        <f>IFERROR(__xludf.DUMMYFUNCTION("""COMPUTED_VALUE"""),49.0)</f>
        <v>49</v>
      </c>
      <c r="L2587" s="176">
        <f>IFERROR(__xludf.DUMMYFUNCTION("""COMPUTED_VALUE"""),8.0)</f>
        <v>8</v>
      </c>
      <c r="M2587" s="176">
        <f>IFERROR(__xludf.DUMMYFUNCTION("""COMPUTED_VALUE"""),57.0)</f>
        <v>57</v>
      </c>
      <c r="N2587" s="177" t="str">
        <f>IFERROR(__xludf.DUMMYFUNCTION("""COMPUTED_VALUE"""),"Model 3 LR AWD")</f>
        <v>Model 3 LR AWD</v>
      </c>
      <c r="O2587" s="177" t="str">
        <f>IFERROR(__xludf.DUMMYFUNCTION("""COMPUTED_VALUE"""),"Midnight Silver Metallic")</f>
        <v>Midnight Silver Metallic</v>
      </c>
      <c r="P2587" s="178" t="str">
        <f>IFERROR(__xludf.DUMMYFUNCTION("""COMPUTED_VALUE"""),"19 inch Sport")</f>
        <v>19 inch Sport</v>
      </c>
      <c r="Q2587" s="177" t="str">
        <f>IFERROR(__xludf.DUMMYFUNCTION("""COMPUTED_VALUE"""),"White seats")</f>
        <v>White seats</v>
      </c>
      <c r="R2587" s="170" t="str">
        <f>IFERROR(__xludf.DUMMYFUNCTION("""COMPUTED_VALUE"""),"Full Self-Driving")</f>
        <v>Full Self-Driving</v>
      </c>
      <c r="S2587" s="170"/>
      <c r="T2587" s="179"/>
      <c r="U2587" s="179"/>
      <c r="V2587" s="179"/>
      <c r="W2587" s="180"/>
      <c r="X2587" s="181" t="str">
        <f>IFERROR(__xludf.DUMMYFUNCTION("""COMPUTED_VALUE"""),"Very Good")</f>
        <v>Very Good</v>
      </c>
      <c r="Y2587" s="182" t="str">
        <f>IFERROR(__xludf.DUMMYFUNCTION("""COMPUTED_VALUE"""),"Good")</f>
        <v>Good</v>
      </c>
      <c r="Z2587" s="182" t="str">
        <f>IFERROR(__xludf.DUMMYFUNCTION("""COMPUTED_VALUE"""),"Very Good")</f>
        <v>Very Good</v>
      </c>
      <c r="AA2587" s="182" t="str">
        <f>IFERROR(__xludf.DUMMYFUNCTION("""COMPUTED_VALUE"""),"Very Good")</f>
        <v>Very Good</v>
      </c>
      <c r="AB2587" s="182" t="str">
        <f>IFERROR(__xludf.DUMMYFUNCTION("""COMPUTED_VALUE"""),"Very Good")</f>
        <v>Very Good</v>
      </c>
      <c r="AC2587" s="183">
        <f>IFERROR(__xludf.DUMMYFUNCTION("""COMPUTED_VALUE"""),0.0)</f>
        <v>0</v>
      </c>
      <c r="AD2587" s="183"/>
      <c r="AE2587" s="183"/>
      <c r="AF2587" s="184"/>
      <c r="AG2587" s="180" t="str">
        <f>IFERROR(__xludf.DUMMYFUNCTION("""COMPUTED_VALUE"""),"Changed from Silver to Midnight Silver 8/29")</f>
        <v>Changed from Silver to Midnight Silver 8/29</v>
      </c>
      <c r="AH2587" s="185">
        <f>IFERROR(__xludf.DUMMYFUNCTION("""COMPUTED_VALUE"""),43384.81972957176)</f>
        <v>43384.81973</v>
      </c>
      <c r="AI2587" s="182"/>
      <c r="AJ2587" s="182"/>
      <c r="AK2587" s="182"/>
      <c r="AL2587" s="182"/>
    </row>
    <row r="2588" ht="20.25" customHeight="1">
      <c r="A2588" s="169" t="str">
        <f>IFERROR(__xludf.DUMMYFUNCTION("""COMPUTED_VALUE"""),"*Shrug*")</f>
        <v>*Shrug*</v>
      </c>
      <c r="B2588" s="170" t="str">
        <f>IFERROR(__xludf.DUMMYFUNCTION("""COMPUTED_VALUE"""),"Woodinville")</f>
        <v>Woodinville</v>
      </c>
      <c r="C2588" s="170" t="str">
        <f>IFERROR(__xludf.DUMMYFUNCTION("""COMPUTED_VALUE"""),"WA")</f>
        <v>WA</v>
      </c>
      <c r="D2588" s="170" t="str">
        <f>IFERROR(__xludf.DUMMYFUNCTION("""COMPUTED_VALUE"""),"USA")</f>
        <v>USA</v>
      </c>
      <c r="E2588" s="171">
        <f>IFERROR(__xludf.DUMMYFUNCTION("""COMPUTED_VALUE"""),43305.0)</f>
        <v>43305</v>
      </c>
      <c r="F2588" s="172">
        <f>IFERROR(__xludf.DUMMYFUNCTION("""COMPUTED_VALUE"""),43328.0)</f>
        <v>43328</v>
      </c>
      <c r="G2588" s="173"/>
      <c r="H2588" s="174">
        <f>IFERROR(__xludf.DUMMYFUNCTION("""COMPUTED_VALUE"""),64155.0)</f>
        <v>64155</v>
      </c>
      <c r="I2588" s="175" t="str">
        <f>IFERROR(__xludf.DUMMYFUNCTION("""COMPUTED_VALUE"""),"08/18")</f>
        <v>08/18</v>
      </c>
      <c r="J2588" s="172">
        <f>IFERROR(__xludf.DUMMYFUNCTION("""COMPUTED_VALUE"""),43339.0)</f>
        <v>43339</v>
      </c>
      <c r="K2588" s="176">
        <f>IFERROR(__xludf.DUMMYFUNCTION("""COMPUTED_VALUE"""),23.0)</f>
        <v>23</v>
      </c>
      <c r="L2588" s="176">
        <f>IFERROR(__xludf.DUMMYFUNCTION("""COMPUTED_VALUE"""),11.0)</f>
        <v>11</v>
      </c>
      <c r="M2588" s="176">
        <f>IFERROR(__xludf.DUMMYFUNCTION("""COMPUTED_VALUE"""),34.0)</f>
        <v>34</v>
      </c>
      <c r="N2588" s="177" t="str">
        <f>IFERROR(__xludf.DUMMYFUNCTION("""COMPUTED_VALUE"""),"Model 3 LR AWD")</f>
        <v>Model 3 LR AWD</v>
      </c>
      <c r="O2588" s="177" t="str">
        <f>IFERROR(__xludf.DUMMYFUNCTION("""COMPUTED_VALUE"""),"Red Multi-Coat")</f>
        <v>Red Multi-Coat</v>
      </c>
      <c r="P2588" s="178" t="str">
        <f>IFERROR(__xludf.DUMMYFUNCTION("""COMPUTED_VALUE"""),"18 inch Aero")</f>
        <v>18 inch Aero</v>
      </c>
      <c r="Q2588" s="177" t="str">
        <f>IFERROR(__xludf.DUMMYFUNCTION("""COMPUTED_VALUE"""),"Black seats")</f>
        <v>Black seats</v>
      </c>
      <c r="R2588" s="170" t="str">
        <f>IFERROR(__xludf.DUMMYFUNCTION("""COMPUTED_VALUE"""),"Enhanced Autopilot")</f>
        <v>Enhanced Autopilot</v>
      </c>
      <c r="S2588" s="170"/>
      <c r="T2588" s="179"/>
      <c r="U2588" s="179"/>
      <c r="V2588" s="179"/>
      <c r="W2588" s="180"/>
      <c r="X2588" s="181" t="str">
        <f>IFERROR(__xludf.DUMMYFUNCTION("""COMPUTED_VALUE"""),"Very Good")</f>
        <v>Very Good</v>
      </c>
      <c r="Y2588" s="182" t="str">
        <f>IFERROR(__xludf.DUMMYFUNCTION("""COMPUTED_VALUE"""),"Very Good")</f>
        <v>Very Good</v>
      </c>
      <c r="Z2588" s="182" t="str">
        <f>IFERROR(__xludf.DUMMYFUNCTION("""COMPUTED_VALUE"""),"Good")</f>
        <v>Good</v>
      </c>
      <c r="AA2588" s="182" t="str">
        <f>IFERROR(__xludf.DUMMYFUNCTION("""COMPUTED_VALUE"""),"Poor")</f>
        <v>Poor</v>
      </c>
      <c r="AB2588" s="182" t="str">
        <f>IFERROR(__xludf.DUMMYFUNCTION("""COMPUTED_VALUE"""),"Good")</f>
        <v>Good</v>
      </c>
      <c r="AC2588" s="183">
        <f>IFERROR(__xludf.DUMMYFUNCTION("""COMPUTED_VALUE"""),2.0)</f>
        <v>2</v>
      </c>
      <c r="AD2588" s="183">
        <f>IFERROR(__xludf.DUMMYFUNCTION("""COMPUTED_VALUE"""),1.0)</f>
        <v>1</v>
      </c>
      <c r="AE2588" s="183">
        <f>IFERROR(__xludf.DUMMYFUNCTION("""COMPUTED_VALUE"""),1.0)</f>
        <v>1</v>
      </c>
      <c r="AF2588" s="184"/>
      <c r="AG2588" s="180"/>
      <c r="AH2588" s="185">
        <f>IFERROR(__xludf.DUMMYFUNCTION("""COMPUTED_VALUE"""),43430.393841400466)</f>
        <v>43430.39384</v>
      </c>
      <c r="AI2588" s="182"/>
      <c r="AJ2588" s="182"/>
      <c r="AK2588" s="182"/>
      <c r="AL2588" s="182"/>
    </row>
    <row r="2589" ht="20.25" customHeight="1">
      <c r="A2589" s="169" t="str">
        <f>IFERROR(__xludf.DUMMYFUNCTION("""COMPUTED_VALUE"""),"CarlSagan")</f>
        <v>CarlSagan</v>
      </c>
      <c r="B2589" s="170" t="str">
        <f>IFERROR(__xludf.DUMMYFUNCTION("""COMPUTED_VALUE"""),"Boston")</f>
        <v>Boston</v>
      </c>
      <c r="C2589" s="170" t="str">
        <f>IFERROR(__xludf.DUMMYFUNCTION("""COMPUTED_VALUE"""),"MA")</f>
        <v>MA</v>
      </c>
      <c r="D2589" s="170" t="str">
        <f>IFERROR(__xludf.DUMMYFUNCTION("""COMPUTED_VALUE"""),"USA")</f>
        <v>USA</v>
      </c>
      <c r="E2589" s="171">
        <f>IFERROR(__xludf.DUMMYFUNCTION("""COMPUTED_VALUE"""),43305.0)</f>
        <v>43305</v>
      </c>
      <c r="F2589" s="172">
        <f>IFERROR(__xludf.DUMMYFUNCTION("""COMPUTED_VALUE"""),43320.0)</f>
        <v>43320</v>
      </c>
      <c r="G2589" s="173"/>
      <c r="H2589" s="174">
        <f>IFERROR(__xludf.DUMMYFUNCTION("""COMPUTED_VALUE"""),56055.0)</f>
        <v>56055</v>
      </c>
      <c r="I2589" s="175"/>
      <c r="J2589" s="172">
        <f>IFERROR(__xludf.DUMMYFUNCTION("""COMPUTED_VALUE"""),43341.0)</f>
        <v>43341</v>
      </c>
      <c r="K2589" s="176">
        <f>IFERROR(__xludf.DUMMYFUNCTION("""COMPUTED_VALUE"""),15.0)</f>
        <v>15</v>
      </c>
      <c r="L2589" s="176">
        <f>IFERROR(__xludf.DUMMYFUNCTION("""COMPUTED_VALUE"""),21.0)</f>
        <v>21</v>
      </c>
      <c r="M2589" s="176">
        <f>IFERROR(__xludf.DUMMYFUNCTION("""COMPUTED_VALUE"""),36.0)</f>
        <v>36</v>
      </c>
      <c r="N2589" s="177" t="str">
        <f>IFERROR(__xludf.DUMMYFUNCTION("""COMPUTED_VALUE"""),"Model 3 LR AWD")</f>
        <v>Model 3 LR AWD</v>
      </c>
      <c r="O2589" s="177" t="str">
        <f>IFERROR(__xludf.DUMMYFUNCTION("""COMPUTED_VALUE"""),"Red Multi-Coat")</f>
        <v>Red Multi-Coat</v>
      </c>
      <c r="P2589" s="178" t="str">
        <f>IFERROR(__xludf.DUMMYFUNCTION("""COMPUTED_VALUE"""),"18 inch Aero")</f>
        <v>18 inch Aero</v>
      </c>
      <c r="Q2589" s="177" t="str">
        <f>IFERROR(__xludf.DUMMYFUNCTION("""COMPUTED_VALUE"""),"White seats")</f>
        <v>White seats</v>
      </c>
      <c r="R2589" s="170" t="str">
        <f>IFERROR(__xludf.DUMMYFUNCTION("""COMPUTED_VALUE"""),"Enhanced Autopilot")</f>
        <v>Enhanced Autopilot</v>
      </c>
      <c r="S2589" s="170"/>
      <c r="T2589" s="179"/>
      <c r="U2589" s="179"/>
      <c r="V2589" s="179"/>
      <c r="W2589" s="180"/>
      <c r="X2589" s="181" t="str">
        <f>IFERROR(__xludf.DUMMYFUNCTION("""COMPUTED_VALUE"""),"Excellent")</f>
        <v>Excellent</v>
      </c>
      <c r="Y2589" s="182" t="str">
        <f>IFERROR(__xludf.DUMMYFUNCTION("""COMPUTED_VALUE"""),"Very Good")</f>
        <v>Very Good</v>
      </c>
      <c r="Z2589" s="182" t="str">
        <f>IFERROR(__xludf.DUMMYFUNCTION("""COMPUTED_VALUE"""),"Good")</f>
        <v>Good</v>
      </c>
      <c r="AA2589" s="182" t="str">
        <f>IFERROR(__xludf.DUMMYFUNCTION("""COMPUTED_VALUE"""),"Poor")</f>
        <v>Poor</v>
      </c>
      <c r="AB2589" s="182" t="str">
        <f>IFERROR(__xludf.DUMMYFUNCTION("""COMPUTED_VALUE"""),"Excellent")</f>
        <v>Excellent</v>
      </c>
      <c r="AC2589" s="183">
        <f>IFERROR(__xludf.DUMMYFUNCTION("""COMPUTED_VALUE"""),3.0)</f>
        <v>3</v>
      </c>
      <c r="AD2589" s="183"/>
      <c r="AE2589" s="183"/>
      <c r="AF2589" s="184"/>
      <c r="AG2589" s="180"/>
      <c r="AH2589" s="185">
        <f>IFERROR(__xludf.DUMMYFUNCTION("""COMPUTED_VALUE"""),43343.23878568287)</f>
        <v>43343.23879</v>
      </c>
      <c r="AI2589" s="182"/>
      <c r="AJ2589" s="182"/>
      <c r="AK2589" s="182"/>
      <c r="AL2589" s="182"/>
    </row>
    <row r="2590" ht="20.25" customHeight="1">
      <c r="A2590" s="169" t="str">
        <f>IFERROR(__xludf.DUMMYFUNCTION("""COMPUTED_VALUE"""),"gravedee")</f>
        <v>gravedee</v>
      </c>
      <c r="B2590" s="170" t="str">
        <f>IFERROR(__xludf.DUMMYFUNCTION("""COMPUTED_VALUE"""),"Southern California")</f>
        <v>Southern California</v>
      </c>
      <c r="C2590" s="170" t="str">
        <f>IFERROR(__xludf.DUMMYFUNCTION("""COMPUTED_VALUE"""),"CA")</f>
        <v>CA</v>
      </c>
      <c r="D2590" s="170" t="str">
        <f>IFERROR(__xludf.DUMMYFUNCTION("""COMPUTED_VALUE"""),"USA")</f>
        <v>USA</v>
      </c>
      <c r="E2590" s="171">
        <f>IFERROR(__xludf.DUMMYFUNCTION("""COMPUTED_VALUE"""),43305.0)</f>
        <v>43305</v>
      </c>
      <c r="F2590" s="172">
        <f>IFERROR(__xludf.DUMMYFUNCTION("""COMPUTED_VALUE"""),43336.0)</f>
        <v>43336</v>
      </c>
      <c r="G2590" s="173"/>
      <c r="H2590" s="174">
        <f>IFERROR(__xludf.DUMMYFUNCTION("""COMPUTED_VALUE"""),96655.0)</f>
        <v>96655</v>
      </c>
      <c r="I2590" s="175" t="str">
        <f>IFERROR(__xludf.DUMMYFUNCTION("""COMPUTED_VALUE"""),"08/18")</f>
        <v>08/18</v>
      </c>
      <c r="J2590" s="172">
        <f>IFERROR(__xludf.DUMMYFUNCTION("""COMPUTED_VALUE"""),43342.0)</f>
        <v>43342</v>
      </c>
      <c r="K2590" s="176">
        <f>IFERROR(__xludf.DUMMYFUNCTION("""COMPUTED_VALUE"""),31.0)</f>
        <v>31</v>
      </c>
      <c r="L2590" s="176">
        <f>IFERROR(__xludf.DUMMYFUNCTION("""COMPUTED_VALUE"""),6.0)</f>
        <v>6</v>
      </c>
      <c r="M2590" s="176">
        <f>IFERROR(__xludf.DUMMYFUNCTION("""COMPUTED_VALUE"""),37.0)</f>
        <v>37</v>
      </c>
      <c r="N2590" s="177" t="str">
        <f>IFERROR(__xludf.DUMMYFUNCTION("""COMPUTED_VALUE"""),"Model 3 LR AWD")</f>
        <v>Model 3 LR AWD</v>
      </c>
      <c r="O2590" s="177" t="str">
        <f>IFERROR(__xludf.DUMMYFUNCTION("""COMPUTED_VALUE"""),"Pearl White Multi-Coat")</f>
        <v>Pearl White Multi-Coat</v>
      </c>
      <c r="P2590" s="178" t="str">
        <f>IFERROR(__xludf.DUMMYFUNCTION("""COMPUTED_VALUE"""),"18 inch Aero")</f>
        <v>18 inch Aero</v>
      </c>
      <c r="Q2590" s="177" t="str">
        <f>IFERROR(__xludf.DUMMYFUNCTION("""COMPUTED_VALUE"""),"White seats")</f>
        <v>White seats</v>
      </c>
      <c r="R2590" s="170" t="str">
        <f>IFERROR(__xludf.DUMMYFUNCTION("""COMPUTED_VALUE"""),"Full Self-Driving")</f>
        <v>Full Self-Driving</v>
      </c>
      <c r="S2590" s="170"/>
      <c r="T2590" s="179"/>
      <c r="U2590" s="179"/>
      <c r="V2590" s="179"/>
      <c r="W2590" s="180"/>
      <c r="X2590" s="181" t="str">
        <f>IFERROR(__xludf.DUMMYFUNCTION("""COMPUTED_VALUE"""),"Excellent")</f>
        <v>Excellent</v>
      </c>
      <c r="Y2590" s="182" t="str">
        <f>IFERROR(__xludf.DUMMYFUNCTION("""COMPUTED_VALUE"""),"Excellent")</f>
        <v>Excellent</v>
      </c>
      <c r="Z2590" s="182" t="str">
        <f>IFERROR(__xludf.DUMMYFUNCTION("""COMPUTED_VALUE"""),"Excellent")</f>
        <v>Excellent</v>
      </c>
      <c r="AA2590" s="182" t="str">
        <f>IFERROR(__xludf.DUMMYFUNCTION("""COMPUTED_VALUE"""),"Poor")</f>
        <v>Poor</v>
      </c>
      <c r="AB2590" s="182" t="str">
        <f>IFERROR(__xludf.DUMMYFUNCTION("""COMPUTED_VALUE"""),"Fair")</f>
        <v>Fair</v>
      </c>
      <c r="AC2590" s="183"/>
      <c r="AD2590" s="183"/>
      <c r="AE2590" s="183"/>
      <c r="AF2590" s="184"/>
      <c r="AG2590" s="180"/>
      <c r="AH2590" s="185">
        <f>IFERROR(__xludf.DUMMYFUNCTION("""COMPUTED_VALUE"""),43343.43880568287)</f>
        <v>43343.43881</v>
      </c>
      <c r="AI2590" s="182"/>
      <c r="AJ2590" s="182"/>
      <c r="AK2590" s="182"/>
      <c r="AL2590" s="182"/>
    </row>
    <row r="2591" ht="20.25" customHeight="1">
      <c r="A2591" s="169" t="str">
        <f>IFERROR(__xludf.DUMMYFUNCTION("""COMPUTED_VALUE"""),"ithorien")</f>
        <v>ithorien</v>
      </c>
      <c r="B2591" s="170" t="str">
        <f>IFERROR(__xludf.DUMMYFUNCTION("""COMPUTED_VALUE"""),"Chicago")</f>
        <v>Chicago</v>
      </c>
      <c r="C2591" s="170" t="str">
        <f>IFERROR(__xludf.DUMMYFUNCTION("""COMPUTED_VALUE"""),"IL")</f>
        <v>IL</v>
      </c>
      <c r="D2591" s="170" t="str">
        <f>IFERROR(__xludf.DUMMYFUNCTION("""COMPUTED_VALUE"""),"USA")</f>
        <v>USA</v>
      </c>
      <c r="E2591" s="171">
        <f>IFERROR(__xludf.DUMMYFUNCTION("""COMPUTED_VALUE"""),43305.0)</f>
        <v>43305</v>
      </c>
      <c r="F2591" s="172">
        <f>IFERROR(__xludf.DUMMYFUNCTION("""COMPUTED_VALUE"""),43391.0)</f>
        <v>43391</v>
      </c>
      <c r="G2591" s="173"/>
      <c r="H2591" s="174">
        <f>IFERROR(__xludf.DUMMYFUNCTION("""COMPUTED_VALUE"""),114512.0)</f>
        <v>114512</v>
      </c>
      <c r="I2591" s="175" t="str">
        <f>IFERROR(__xludf.DUMMYFUNCTION("""COMPUTED_VALUE"""),"10/18")</f>
        <v>10/18</v>
      </c>
      <c r="J2591" s="172">
        <f>IFERROR(__xludf.DUMMYFUNCTION("""COMPUTED_VALUE"""),43406.0)</f>
        <v>43406</v>
      </c>
      <c r="K2591" s="176">
        <f>IFERROR(__xludf.DUMMYFUNCTION("""COMPUTED_VALUE"""),86.0)</f>
        <v>86</v>
      </c>
      <c r="L2591" s="176">
        <f>IFERROR(__xludf.DUMMYFUNCTION("""COMPUTED_VALUE"""),15.0)</f>
        <v>15</v>
      </c>
      <c r="M2591" s="176">
        <f>IFERROR(__xludf.DUMMYFUNCTION("""COMPUTED_VALUE"""),101.0)</f>
        <v>101</v>
      </c>
      <c r="N2591" s="177" t="str">
        <f>IFERROR(__xludf.DUMMYFUNCTION("""COMPUTED_VALUE"""),"Model 3 LR AWD")</f>
        <v>Model 3 LR AWD</v>
      </c>
      <c r="O2591" s="177" t="str">
        <f>IFERROR(__xludf.DUMMYFUNCTION("""COMPUTED_VALUE"""),"Midnight Silver Metallic")</f>
        <v>Midnight Silver Metallic</v>
      </c>
      <c r="P2591" s="178" t="str">
        <f>IFERROR(__xludf.DUMMYFUNCTION("""COMPUTED_VALUE"""),"18 inch Aero")</f>
        <v>18 inch Aero</v>
      </c>
      <c r="Q2591" s="177" t="str">
        <f>IFERROR(__xludf.DUMMYFUNCTION("""COMPUTED_VALUE"""),"Black seats")</f>
        <v>Black seats</v>
      </c>
      <c r="R2591" s="170" t="str">
        <f>IFERROR(__xludf.DUMMYFUNCTION("""COMPUTED_VALUE"""),"Enhanced Autopilot")</f>
        <v>Enhanced Autopilot</v>
      </c>
      <c r="S2591" s="170"/>
      <c r="T2591" s="179"/>
      <c r="U2591" s="179"/>
      <c r="V2591" s="179"/>
      <c r="W2591" s="180"/>
      <c r="X2591" s="181" t="str">
        <f>IFERROR(__xludf.DUMMYFUNCTION("""COMPUTED_VALUE"""),"Excellent")</f>
        <v>Excellent</v>
      </c>
      <c r="Y2591" s="182" t="str">
        <f>IFERROR(__xludf.DUMMYFUNCTION("""COMPUTED_VALUE"""),"Excellent")</f>
        <v>Excellent</v>
      </c>
      <c r="Z2591" s="182" t="str">
        <f>IFERROR(__xludf.DUMMYFUNCTION("""COMPUTED_VALUE"""),"Excellent")</f>
        <v>Excellent</v>
      </c>
      <c r="AA2591" s="182" t="str">
        <f>IFERROR(__xludf.DUMMYFUNCTION("""COMPUTED_VALUE"""),"Very Good")</f>
        <v>Very Good</v>
      </c>
      <c r="AB2591" s="182" t="str">
        <f>IFERROR(__xludf.DUMMYFUNCTION("""COMPUTED_VALUE"""),"Excellent")</f>
        <v>Excellent</v>
      </c>
      <c r="AC2591" s="183"/>
      <c r="AD2591" s="183"/>
      <c r="AE2591" s="183"/>
      <c r="AF2591" s="184"/>
      <c r="AG2591" s="180"/>
      <c r="AH2591" s="185">
        <f>IFERROR(__xludf.DUMMYFUNCTION("""COMPUTED_VALUE"""),43407.75130255787)</f>
        <v>43407.7513</v>
      </c>
      <c r="AI2591" s="182"/>
      <c r="AJ2591" s="182"/>
      <c r="AK2591" s="182"/>
      <c r="AL2591" s="182"/>
    </row>
    <row r="2592" ht="20.25" customHeight="1">
      <c r="A2592" s="169" t="str">
        <f>IFERROR(__xludf.DUMMYFUNCTION("""COMPUTED_VALUE"""),"jenkman")</f>
        <v>jenkman</v>
      </c>
      <c r="B2592" s="170" t="str">
        <f>IFERROR(__xludf.DUMMYFUNCTION("""COMPUTED_VALUE"""),"Raleigh")</f>
        <v>Raleigh</v>
      </c>
      <c r="C2592" s="170" t="str">
        <f>IFERROR(__xludf.DUMMYFUNCTION("""COMPUTED_VALUE"""),"NC")</f>
        <v>NC</v>
      </c>
      <c r="D2592" s="170" t="str">
        <f>IFERROR(__xludf.DUMMYFUNCTION("""COMPUTED_VALUE"""),"USA")</f>
        <v>USA</v>
      </c>
      <c r="E2592" s="171">
        <f>IFERROR(__xludf.DUMMYFUNCTION("""COMPUTED_VALUE"""),43305.0)</f>
        <v>43305</v>
      </c>
      <c r="F2592" s="172">
        <f>IFERROR(__xludf.DUMMYFUNCTION("""COMPUTED_VALUE"""),43306.0)</f>
        <v>43306</v>
      </c>
      <c r="G2592" s="173"/>
      <c r="H2592" s="174">
        <f>IFERROR(__xludf.DUMMYFUNCTION("""COMPUTED_VALUE"""),59955.0)</f>
        <v>59955</v>
      </c>
      <c r="I2592" s="175" t="str">
        <f>IFERROR(__xludf.DUMMYFUNCTION("""COMPUTED_VALUE"""),"07/18")</f>
        <v>07/18</v>
      </c>
      <c r="J2592" s="172">
        <f>IFERROR(__xludf.DUMMYFUNCTION("""COMPUTED_VALUE"""),43330.0)</f>
        <v>43330</v>
      </c>
      <c r="K2592" s="176">
        <f>IFERROR(__xludf.DUMMYFUNCTION("""COMPUTED_VALUE"""),1.0)</f>
        <v>1</v>
      </c>
      <c r="L2592" s="176">
        <f>IFERROR(__xludf.DUMMYFUNCTION("""COMPUTED_VALUE"""),24.0)</f>
        <v>24</v>
      </c>
      <c r="M2592" s="176">
        <f>IFERROR(__xludf.DUMMYFUNCTION("""COMPUTED_VALUE"""),25.0)</f>
        <v>25</v>
      </c>
      <c r="N2592" s="177" t="str">
        <f>IFERROR(__xludf.DUMMYFUNCTION("""COMPUTED_VALUE"""),"Model 3 LR")</f>
        <v>Model 3 LR</v>
      </c>
      <c r="O2592" s="177" t="str">
        <f>IFERROR(__xludf.DUMMYFUNCTION("""COMPUTED_VALUE"""),"Deep Blue Metallic")</f>
        <v>Deep Blue Metallic</v>
      </c>
      <c r="P2592" s="178" t="str">
        <f>IFERROR(__xludf.DUMMYFUNCTION("""COMPUTED_VALUE"""),"19 inch Sport")</f>
        <v>19 inch Sport</v>
      </c>
      <c r="Q2592" s="177" t="str">
        <f>IFERROR(__xludf.DUMMYFUNCTION("""COMPUTED_VALUE"""),"Black seats")</f>
        <v>Black seats</v>
      </c>
      <c r="R2592" s="170" t="str">
        <f>IFERROR(__xludf.DUMMYFUNCTION("""COMPUTED_VALUE"""),"None")</f>
        <v>None</v>
      </c>
      <c r="S2592" s="170"/>
      <c r="T2592" s="179"/>
      <c r="U2592" s="179"/>
      <c r="V2592" s="179"/>
      <c r="W2592" s="180"/>
      <c r="X2592" s="181" t="str">
        <f>IFERROR(__xludf.DUMMYFUNCTION("""COMPUTED_VALUE"""),"Very Good")</f>
        <v>Very Good</v>
      </c>
      <c r="Y2592" s="182" t="str">
        <f>IFERROR(__xludf.DUMMYFUNCTION("""COMPUTED_VALUE"""),"Very Good")</f>
        <v>Very Good</v>
      </c>
      <c r="Z2592" s="182" t="str">
        <f>IFERROR(__xludf.DUMMYFUNCTION("""COMPUTED_VALUE"""),"Very Good")</f>
        <v>Very Good</v>
      </c>
      <c r="AA2592" s="182" t="str">
        <f>IFERROR(__xludf.DUMMYFUNCTION("""COMPUTED_VALUE"""),"Good")</f>
        <v>Good</v>
      </c>
      <c r="AB2592" s="182" t="str">
        <f>IFERROR(__xludf.DUMMYFUNCTION("""COMPUTED_VALUE"""),"Very Good")</f>
        <v>Very Good</v>
      </c>
      <c r="AC2592" s="183">
        <f>IFERROR(__xludf.DUMMYFUNCTION("""COMPUTED_VALUE"""),2.0)</f>
        <v>2</v>
      </c>
      <c r="AD2592" s="183">
        <f>IFERROR(__xludf.DUMMYFUNCTION("""COMPUTED_VALUE"""),1.0)</f>
        <v>1</v>
      </c>
      <c r="AE2592" s="183">
        <f>IFERROR(__xludf.DUMMYFUNCTION("""COMPUTED_VALUE"""),4.0)</f>
        <v>4</v>
      </c>
      <c r="AF2592" s="184"/>
      <c r="AG2592" s="180"/>
      <c r="AH2592" s="185">
        <f>IFERROR(__xludf.DUMMYFUNCTION("""COMPUTED_VALUE"""),43382.30459881944)</f>
        <v>43382.3046</v>
      </c>
      <c r="AI2592" s="182"/>
      <c r="AJ2592" s="182"/>
      <c r="AK2592" s="182"/>
      <c r="AL2592" s="182"/>
    </row>
    <row r="2593" ht="20.25" customHeight="1">
      <c r="A2593" s="169" t="str">
        <f>IFERROR(__xludf.DUMMYFUNCTION("""COMPUTED_VALUE"""),"Leisurelee")</f>
        <v>Leisurelee</v>
      </c>
      <c r="B2593" s="170" t="str">
        <f>IFERROR(__xludf.DUMMYFUNCTION("""COMPUTED_VALUE"""),"San Diego")</f>
        <v>San Diego</v>
      </c>
      <c r="C2593" s="170" t="str">
        <f>IFERROR(__xludf.DUMMYFUNCTION("""COMPUTED_VALUE"""),"CA")</f>
        <v>CA</v>
      </c>
      <c r="D2593" s="170" t="str">
        <f>IFERROR(__xludf.DUMMYFUNCTION("""COMPUTED_VALUE"""),"USA")</f>
        <v>USA</v>
      </c>
      <c r="E2593" s="171">
        <f>IFERROR(__xludf.DUMMYFUNCTION("""COMPUTED_VALUE"""),43305.0)</f>
        <v>43305</v>
      </c>
      <c r="F2593" s="172">
        <f>IFERROR(__xludf.DUMMYFUNCTION("""COMPUTED_VALUE"""),43339.0)</f>
        <v>43339</v>
      </c>
      <c r="G2593" s="173"/>
      <c r="H2593" s="174">
        <f>IFERROR(__xludf.DUMMYFUNCTION("""COMPUTED_VALUE"""),99177.0)</f>
        <v>99177</v>
      </c>
      <c r="I2593" s="175" t="str">
        <f>IFERROR(__xludf.DUMMYFUNCTION("""COMPUTED_VALUE"""),"08/18")</f>
        <v>08/18</v>
      </c>
      <c r="J2593" s="172">
        <f>IFERROR(__xludf.DUMMYFUNCTION("""COMPUTED_VALUE"""),43349.0)</f>
        <v>43349</v>
      </c>
      <c r="K2593" s="176">
        <f>IFERROR(__xludf.DUMMYFUNCTION("""COMPUTED_VALUE"""),34.0)</f>
        <v>34</v>
      </c>
      <c r="L2593" s="176">
        <f>IFERROR(__xludf.DUMMYFUNCTION("""COMPUTED_VALUE"""),10.0)</f>
        <v>10</v>
      </c>
      <c r="M2593" s="176">
        <f>IFERROR(__xludf.DUMMYFUNCTION("""COMPUTED_VALUE"""),44.0)</f>
        <v>44</v>
      </c>
      <c r="N2593" s="177" t="str">
        <f>IFERROR(__xludf.DUMMYFUNCTION("""COMPUTED_VALUE"""),"Model 3 LR AWD")</f>
        <v>Model 3 LR AWD</v>
      </c>
      <c r="O2593" s="177" t="str">
        <f>IFERROR(__xludf.DUMMYFUNCTION("""COMPUTED_VALUE"""),"Solid Black")</f>
        <v>Solid Black</v>
      </c>
      <c r="P2593" s="178" t="str">
        <f>IFERROR(__xludf.DUMMYFUNCTION("""COMPUTED_VALUE"""),"18 inch Aero")</f>
        <v>18 inch Aero</v>
      </c>
      <c r="Q2593" s="177" t="str">
        <f>IFERROR(__xludf.DUMMYFUNCTION("""COMPUTED_VALUE"""),"White seats")</f>
        <v>White seats</v>
      </c>
      <c r="R2593" s="170" t="str">
        <f>IFERROR(__xludf.DUMMYFUNCTION("""COMPUTED_VALUE"""),"Enhanced Autopilot")</f>
        <v>Enhanced Autopilot</v>
      </c>
      <c r="S2593" s="170"/>
      <c r="T2593" s="179"/>
      <c r="U2593" s="179"/>
      <c r="V2593" s="179"/>
      <c r="W2593" s="180"/>
      <c r="X2593" s="181" t="str">
        <f>IFERROR(__xludf.DUMMYFUNCTION("""COMPUTED_VALUE"""),"Excellent")</f>
        <v>Excellent</v>
      </c>
      <c r="Y2593" s="182" t="str">
        <f>IFERROR(__xludf.DUMMYFUNCTION("""COMPUTED_VALUE"""),"Excellent")</f>
        <v>Excellent</v>
      </c>
      <c r="Z2593" s="182" t="str">
        <f>IFERROR(__xludf.DUMMYFUNCTION("""COMPUTED_VALUE"""),"Very Good")</f>
        <v>Very Good</v>
      </c>
      <c r="AA2593" s="182" t="str">
        <f>IFERROR(__xludf.DUMMYFUNCTION("""COMPUTED_VALUE"""),"Excellent")</f>
        <v>Excellent</v>
      </c>
      <c r="AB2593" s="182" t="str">
        <f>IFERROR(__xludf.DUMMYFUNCTION("""COMPUTED_VALUE"""),"Excellent")</f>
        <v>Excellent</v>
      </c>
      <c r="AC2593" s="183">
        <f>IFERROR(__xludf.DUMMYFUNCTION("""COMPUTED_VALUE"""),0.0)</f>
        <v>0</v>
      </c>
      <c r="AD2593" s="183">
        <f>IFERROR(__xludf.DUMMYFUNCTION("""COMPUTED_VALUE"""),0.0)</f>
        <v>0</v>
      </c>
      <c r="AE2593" s="183">
        <f>IFERROR(__xludf.DUMMYFUNCTION("""COMPUTED_VALUE"""),0.0)</f>
        <v>0</v>
      </c>
      <c r="AF2593" s="184"/>
      <c r="AG2593" s="180"/>
      <c r="AH2593" s="185">
        <f>IFERROR(__xludf.DUMMYFUNCTION("""COMPUTED_VALUE"""),43359.1807275)</f>
        <v>43359.18073</v>
      </c>
      <c r="AI2593" s="182"/>
      <c r="AJ2593" s="182"/>
      <c r="AK2593" s="182"/>
      <c r="AL2593" s="182"/>
    </row>
    <row r="2594" ht="20.25" customHeight="1">
      <c r="A2594" s="169" t="str">
        <f>IFERROR(__xludf.DUMMYFUNCTION("""COMPUTED_VALUE"""),"Passim")</f>
        <v>Passim</v>
      </c>
      <c r="B2594" s="170" t="str">
        <f>IFERROR(__xludf.DUMMYFUNCTION("""COMPUTED_VALUE"""),"Outside Philly ")</f>
        <v>Outside Philly </v>
      </c>
      <c r="C2594" s="170" t="str">
        <f>IFERROR(__xludf.DUMMYFUNCTION("""COMPUTED_VALUE"""),"PA")</f>
        <v>PA</v>
      </c>
      <c r="D2594" s="170" t="str">
        <f>IFERROR(__xludf.DUMMYFUNCTION("""COMPUTED_VALUE"""),"USA")</f>
        <v>USA</v>
      </c>
      <c r="E2594" s="171">
        <f>IFERROR(__xludf.DUMMYFUNCTION("""COMPUTED_VALUE"""),43305.0)</f>
        <v>43305</v>
      </c>
      <c r="F2594" s="172">
        <f>IFERROR(__xludf.DUMMYFUNCTION("""COMPUTED_VALUE"""),43311.0)</f>
        <v>43311</v>
      </c>
      <c r="G2594" s="173"/>
      <c r="H2594" s="174">
        <f>IFERROR(__xludf.DUMMYFUNCTION("""COMPUTED_VALUE"""),45004.0)</f>
        <v>45004</v>
      </c>
      <c r="I2594" s="175" t="str">
        <f>IFERROR(__xludf.DUMMYFUNCTION("""COMPUTED_VALUE"""),"07/18")</f>
        <v>07/18</v>
      </c>
      <c r="J2594" s="172">
        <f>IFERROR(__xludf.DUMMYFUNCTION("""COMPUTED_VALUE"""),43321.0)</f>
        <v>43321</v>
      </c>
      <c r="K2594" s="176">
        <f>IFERROR(__xludf.DUMMYFUNCTION("""COMPUTED_VALUE"""),6.0)</f>
        <v>6</v>
      </c>
      <c r="L2594" s="176">
        <f>IFERROR(__xludf.DUMMYFUNCTION("""COMPUTED_VALUE"""),10.0)</f>
        <v>10</v>
      </c>
      <c r="M2594" s="176">
        <f>IFERROR(__xludf.DUMMYFUNCTION("""COMPUTED_VALUE"""),16.0)</f>
        <v>16</v>
      </c>
      <c r="N2594" s="177" t="str">
        <f>IFERROR(__xludf.DUMMYFUNCTION("""COMPUTED_VALUE"""),"Model 3 LR")</f>
        <v>Model 3 LR</v>
      </c>
      <c r="O2594" s="177" t="str">
        <f>IFERROR(__xludf.DUMMYFUNCTION("""COMPUTED_VALUE"""),"Deep Blue Metallic")</f>
        <v>Deep Blue Metallic</v>
      </c>
      <c r="P2594" s="178" t="str">
        <f>IFERROR(__xludf.DUMMYFUNCTION("""COMPUTED_VALUE"""),"18 inch Aero")</f>
        <v>18 inch Aero</v>
      </c>
      <c r="Q2594" s="177" t="str">
        <f>IFERROR(__xludf.DUMMYFUNCTION("""COMPUTED_VALUE"""),"Black seats")</f>
        <v>Black seats</v>
      </c>
      <c r="R2594" s="170" t="str">
        <f>IFERROR(__xludf.DUMMYFUNCTION("""COMPUTED_VALUE"""),"Enhanced Autopilot")</f>
        <v>Enhanced Autopilot</v>
      </c>
      <c r="S2594" s="170"/>
      <c r="T2594" s="179"/>
      <c r="U2594" s="179"/>
      <c r="V2594" s="179"/>
      <c r="W2594" s="180"/>
      <c r="X2594" s="181" t="str">
        <f>IFERROR(__xludf.DUMMYFUNCTION("""COMPUTED_VALUE"""),"Excellent")</f>
        <v>Excellent</v>
      </c>
      <c r="Y2594" s="182" t="str">
        <f>IFERROR(__xludf.DUMMYFUNCTION("""COMPUTED_VALUE"""),"Excellent")</f>
        <v>Excellent</v>
      </c>
      <c r="Z2594" s="182" t="str">
        <f>IFERROR(__xludf.DUMMYFUNCTION("""COMPUTED_VALUE"""),"Excellent")</f>
        <v>Excellent</v>
      </c>
      <c r="AA2594" s="182" t="str">
        <f>IFERROR(__xludf.DUMMYFUNCTION("""COMPUTED_VALUE"""),"Excellent")</f>
        <v>Excellent</v>
      </c>
      <c r="AB2594" s="182" t="str">
        <f>IFERROR(__xludf.DUMMYFUNCTION("""COMPUTED_VALUE"""),"Excellent")</f>
        <v>Excellent</v>
      </c>
      <c r="AC2594" s="183"/>
      <c r="AD2594" s="183"/>
      <c r="AE2594" s="183"/>
      <c r="AF2594" s="184"/>
      <c r="AG2594" s="180" t="str">
        <f>IFERROR(__xludf.DUMMYFUNCTION("""COMPUTED_VALUE"""),"EAP not configured! Unknown ETA to fix.")</f>
        <v>EAP not configured! Unknown ETA to fix.</v>
      </c>
      <c r="AH2594" s="185">
        <f>IFERROR(__xludf.DUMMYFUNCTION("""COMPUTED_VALUE"""),43321.7604433449)</f>
        <v>43321.76044</v>
      </c>
      <c r="AI2594" s="182"/>
      <c r="AJ2594" s="182"/>
      <c r="AK2594" s="182"/>
      <c r="AL2594" s="182"/>
    </row>
    <row r="2595" ht="20.25" customHeight="1">
      <c r="A2595" s="169" t="str">
        <f>IFERROR(__xludf.DUMMYFUNCTION("""COMPUTED_VALUE"""),"roxybalboaguy")</f>
        <v>roxybalboaguy</v>
      </c>
      <c r="B2595" s="170" t="str">
        <f>IFERROR(__xludf.DUMMYFUNCTION("""COMPUTED_VALUE"""),"Irvine")</f>
        <v>Irvine</v>
      </c>
      <c r="C2595" s="170" t="str">
        <f>IFERROR(__xludf.DUMMYFUNCTION("""COMPUTED_VALUE"""),"CA")</f>
        <v>CA</v>
      </c>
      <c r="D2595" s="170" t="str">
        <f>IFERROR(__xludf.DUMMYFUNCTION("""COMPUTED_VALUE"""),"USA")</f>
        <v>USA</v>
      </c>
      <c r="E2595" s="171">
        <f>IFERROR(__xludf.DUMMYFUNCTION("""COMPUTED_VALUE"""),43305.0)</f>
        <v>43305</v>
      </c>
      <c r="F2595" s="172">
        <f>IFERROR(__xludf.DUMMYFUNCTION("""COMPUTED_VALUE"""),43367.0)</f>
        <v>43367</v>
      </c>
      <c r="G2595" s="173"/>
      <c r="H2595" s="174">
        <f>IFERROR(__xludf.DUMMYFUNCTION("""COMPUTED_VALUE"""),114655.0)</f>
        <v>114655</v>
      </c>
      <c r="I2595" s="175" t="str">
        <f>IFERROR(__xludf.DUMMYFUNCTION("""COMPUTED_VALUE"""),"09/18")</f>
        <v>09/18</v>
      </c>
      <c r="J2595" s="172">
        <f>IFERROR(__xludf.DUMMYFUNCTION("""COMPUTED_VALUE"""),43371.0)</f>
        <v>43371</v>
      </c>
      <c r="K2595" s="176">
        <f>IFERROR(__xludf.DUMMYFUNCTION("""COMPUTED_VALUE"""),62.0)</f>
        <v>62</v>
      </c>
      <c r="L2595" s="176">
        <f>IFERROR(__xludf.DUMMYFUNCTION("""COMPUTED_VALUE"""),4.0)</f>
        <v>4</v>
      </c>
      <c r="M2595" s="176">
        <f>IFERROR(__xludf.DUMMYFUNCTION("""COMPUTED_VALUE"""),66.0)</f>
        <v>66</v>
      </c>
      <c r="N2595" s="177" t="str">
        <f>IFERROR(__xludf.DUMMYFUNCTION("""COMPUTED_VALUE"""),"Model 3 LR AWD")</f>
        <v>Model 3 LR AWD</v>
      </c>
      <c r="O2595" s="177" t="str">
        <f>IFERROR(__xludf.DUMMYFUNCTION("""COMPUTED_VALUE"""),"Red Multi-Coat")</f>
        <v>Red Multi-Coat</v>
      </c>
      <c r="P2595" s="178" t="str">
        <f>IFERROR(__xludf.DUMMYFUNCTION("""COMPUTED_VALUE"""),"18 inch Aero")</f>
        <v>18 inch Aero</v>
      </c>
      <c r="Q2595" s="177" t="str">
        <f>IFERROR(__xludf.DUMMYFUNCTION("""COMPUTED_VALUE"""),"Black seats")</f>
        <v>Black seats</v>
      </c>
      <c r="R2595" s="170" t="str">
        <f>IFERROR(__xludf.DUMMYFUNCTION("""COMPUTED_VALUE"""),"None")</f>
        <v>None</v>
      </c>
      <c r="S2595" s="170"/>
      <c r="T2595" s="179"/>
      <c r="U2595" s="179"/>
      <c r="V2595" s="179"/>
      <c r="W2595" s="180"/>
      <c r="X2595" s="181" t="str">
        <f>IFERROR(__xludf.DUMMYFUNCTION("""COMPUTED_VALUE"""),"Excellent")</f>
        <v>Excellent</v>
      </c>
      <c r="Y2595" s="182" t="str">
        <f>IFERROR(__xludf.DUMMYFUNCTION("""COMPUTED_VALUE"""),"Excellent")</f>
        <v>Excellent</v>
      </c>
      <c r="Z2595" s="182" t="str">
        <f>IFERROR(__xludf.DUMMYFUNCTION("""COMPUTED_VALUE"""),"Very Good")</f>
        <v>Very Good</v>
      </c>
      <c r="AA2595" s="182" t="str">
        <f>IFERROR(__xludf.DUMMYFUNCTION("""COMPUTED_VALUE"""),"Excellent")</f>
        <v>Excellent</v>
      </c>
      <c r="AB2595" s="182" t="str">
        <f>IFERROR(__xludf.DUMMYFUNCTION("""COMPUTED_VALUE"""),"Very Good")</f>
        <v>Very Good</v>
      </c>
      <c r="AC2595" s="183"/>
      <c r="AD2595" s="183"/>
      <c r="AE2595" s="183"/>
      <c r="AF2595" s="184"/>
      <c r="AG2595" s="180"/>
      <c r="AH2595" s="185">
        <f>IFERROR(__xludf.DUMMYFUNCTION("""COMPUTED_VALUE"""),43372.32723819445)</f>
        <v>43372.32724</v>
      </c>
      <c r="AI2595" s="182"/>
      <c r="AJ2595" s="182"/>
      <c r="AK2595" s="182"/>
      <c r="AL2595" s="182"/>
    </row>
    <row r="2596" ht="20.25" customHeight="1">
      <c r="A2596" s="169" t="str">
        <f>IFERROR(__xludf.DUMMYFUNCTION("""COMPUTED_VALUE"""),"Superspectral")</f>
        <v>Superspectral</v>
      </c>
      <c r="B2596" s="170" t="str">
        <f>IFERROR(__xludf.DUMMYFUNCTION("""COMPUTED_VALUE"""),"Ann Arbor")</f>
        <v>Ann Arbor</v>
      </c>
      <c r="C2596" s="170" t="str">
        <f>IFERROR(__xludf.DUMMYFUNCTION("""COMPUTED_VALUE"""),"MI")</f>
        <v>MI</v>
      </c>
      <c r="D2596" s="170" t="str">
        <f>IFERROR(__xludf.DUMMYFUNCTION("""COMPUTED_VALUE"""),"USA")</f>
        <v>USA</v>
      </c>
      <c r="E2596" s="171">
        <f>IFERROR(__xludf.DUMMYFUNCTION("""COMPUTED_VALUE"""),43305.0)</f>
        <v>43305</v>
      </c>
      <c r="F2596" s="172">
        <f>IFERROR(__xludf.DUMMYFUNCTION("""COMPUTED_VALUE"""),43353.0)</f>
        <v>43353</v>
      </c>
      <c r="G2596" s="173"/>
      <c r="H2596" s="174">
        <f>IFERROR(__xludf.DUMMYFUNCTION("""COMPUTED_VALUE"""),63290.0)</f>
        <v>63290</v>
      </c>
      <c r="I2596" s="175" t="str">
        <f>IFERROR(__xludf.DUMMYFUNCTION("""COMPUTED_VALUE"""),"09/18")</f>
        <v>09/18</v>
      </c>
      <c r="J2596" s="172">
        <f>IFERROR(__xludf.DUMMYFUNCTION("""COMPUTED_VALUE"""),43360.0)</f>
        <v>43360</v>
      </c>
      <c r="K2596" s="176">
        <f>IFERROR(__xludf.DUMMYFUNCTION("""COMPUTED_VALUE"""),48.0)</f>
        <v>48</v>
      </c>
      <c r="L2596" s="176">
        <f>IFERROR(__xludf.DUMMYFUNCTION("""COMPUTED_VALUE"""),7.0)</f>
        <v>7</v>
      </c>
      <c r="M2596" s="176">
        <f>IFERROR(__xludf.DUMMYFUNCTION("""COMPUTED_VALUE"""),55.0)</f>
        <v>55</v>
      </c>
      <c r="N2596" s="177" t="str">
        <f>IFERROR(__xludf.DUMMYFUNCTION("""COMPUTED_VALUE"""),"Model 3 Performance")</f>
        <v>Model 3 Performance</v>
      </c>
      <c r="O2596" s="177" t="str">
        <f>IFERROR(__xludf.DUMMYFUNCTION("""COMPUTED_VALUE"""),"Red Multi-Coat")</f>
        <v>Red Multi-Coat</v>
      </c>
      <c r="P2596" s="178" t="str">
        <f>IFERROR(__xludf.DUMMYFUNCTION("""COMPUTED_VALUE"""),"20 inch Sport")</f>
        <v>20 inch Sport</v>
      </c>
      <c r="Q2596" s="177" t="str">
        <f>IFERROR(__xludf.DUMMYFUNCTION("""COMPUTED_VALUE"""),"Black seats")</f>
        <v>Black seats</v>
      </c>
      <c r="R2596" s="170" t="str">
        <f>IFERROR(__xludf.DUMMYFUNCTION("""COMPUTED_VALUE"""),"Enhanced Autopilot")</f>
        <v>Enhanced Autopilot</v>
      </c>
      <c r="S2596" s="170"/>
      <c r="T2596" s="179"/>
      <c r="U2596" s="179"/>
      <c r="V2596" s="179"/>
      <c r="W2596" s="180"/>
      <c r="X2596" s="181" t="str">
        <f>IFERROR(__xludf.DUMMYFUNCTION("""COMPUTED_VALUE"""),"Excellent")</f>
        <v>Excellent</v>
      </c>
      <c r="Y2596" s="182" t="str">
        <f>IFERROR(__xludf.DUMMYFUNCTION("""COMPUTED_VALUE"""),"Excellent")</f>
        <v>Excellent</v>
      </c>
      <c r="Z2596" s="182" t="str">
        <f>IFERROR(__xludf.DUMMYFUNCTION("""COMPUTED_VALUE"""),"Excellent")</f>
        <v>Excellent</v>
      </c>
      <c r="AA2596" s="182" t="str">
        <f>IFERROR(__xludf.DUMMYFUNCTION("""COMPUTED_VALUE"""),"Very Good")</f>
        <v>Very Good</v>
      </c>
      <c r="AB2596" s="182" t="str">
        <f>IFERROR(__xludf.DUMMYFUNCTION("""COMPUTED_VALUE"""),"Very Good")</f>
        <v>Very Good</v>
      </c>
      <c r="AC2596" s="183"/>
      <c r="AD2596" s="183"/>
      <c r="AE2596" s="183"/>
      <c r="AF2596" s="184"/>
      <c r="AG2596" s="180"/>
      <c r="AH2596" s="185">
        <f>IFERROR(__xludf.DUMMYFUNCTION("""COMPUTED_VALUE"""),43372.83700035879)</f>
        <v>43372.837</v>
      </c>
      <c r="AI2596" s="182"/>
      <c r="AJ2596" s="182"/>
      <c r="AK2596" s="182"/>
      <c r="AL2596" s="182"/>
    </row>
    <row r="2597" ht="20.25" customHeight="1">
      <c r="A2597" s="169" t="str">
        <f>IFERROR(__xludf.DUMMYFUNCTION("""COMPUTED_VALUE"""),"Superspectral")</f>
        <v>Superspectral</v>
      </c>
      <c r="B2597" s="170" t="str">
        <f>IFERROR(__xludf.DUMMYFUNCTION("""COMPUTED_VALUE"""),"Ann Arbor ")</f>
        <v>Ann Arbor </v>
      </c>
      <c r="C2597" s="170" t="str">
        <f>IFERROR(__xludf.DUMMYFUNCTION("""COMPUTED_VALUE"""),"MI")</f>
        <v>MI</v>
      </c>
      <c r="D2597" s="170" t="str">
        <f>IFERROR(__xludf.DUMMYFUNCTION("""COMPUTED_VALUE"""),"USA")</f>
        <v>USA</v>
      </c>
      <c r="E2597" s="171">
        <f>IFERROR(__xludf.DUMMYFUNCTION("""COMPUTED_VALUE"""),43305.0)</f>
        <v>43305</v>
      </c>
      <c r="F2597" s="172">
        <f>IFERROR(__xludf.DUMMYFUNCTION("""COMPUTED_VALUE"""),43350.0)</f>
        <v>43350</v>
      </c>
      <c r="G2597" s="173"/>
      <c r="H2597" s="174">
        <f>IFERROR(__xludf.DUMMYFUNCTION("""COMPUTED_VALUE"""),63290.0)</f>
        <v>63290</v>
      </c>
      <c r="I2597" s="175"/>
      <c r="J2597" s="172">
        <f>IFERROR(__xludf.DUMMYFUNCTION("""COMPUTED_VALUE"""),43371.0)</f>
        <v>43371</v>
      </c>
      <c r="K2597" s="176">
        <f>IFERROR(__xludf.DUMMYFUNCTION("""COMPUTED_VALUE"""),45.0)</f>
        <v>45</v>
      </c>
      <c r="L2597" s="176">
        <f>IFERROR(__xludf.DUMMYFUNCTION("""COMPUTED_VALUE"""),21.0)</f>
        <v>21</v>
      </c>
      <c r="M2597" s="176">
        <f>IFERROR(__xludf.DUMMYFUNCTION("""COMPUTED_VALUE"""),66.0)</f>
        <v>66</v>
      </c>
      <c r="N2597" s="177" t="str">
        <f>IFERROR(__xludf.DUMMYFUNCTION("""COMPUTED_VALUE"""),"Model 3 Performance")</f>
        <v>Model 3 Performance</v>
      </c>
      <c r="O2597" s="177" t="str">
        <f>IFERROR(__xludf.DUMMYFUNCTION("""COMPUTED_VALUE"""),"Red Multi-Coat")</f>
        <v>Red Multi-Coat</v>
      </c>
      <c r="P2597" s="178" t="str">
        <f>IFERROR(__xludf.DUMMYFUNCTION("""COMPUTED_VALUE"""),"20 inch Sport")</f>
        <v>20 inch Sport</v>
      </c>
      <c r="Q2597" s="177" t="str">
        <f>IFERROR(__xludf.DUMMYFUNCTION("""COMPUTED_VALUE"""),"Black seats")</f>
        <v>Black seats</v>
      </c>
      <c r="R2597" s="170" t="str">
        <f>IFERROR(__xludf.DUMMYFUNCTION("""COMPUTED_VALUE"""),"Enhanced Autopilot")</f>
        <v>Enhanced Autopilot</v>
      </c>
      <c r="S2597" s="170"/>
      <c r="T2597" s="179"/>
      <c r="U2597" s="179"/>
      <c r="V2597" s="179"/>
      <c r="W2597" s="180"/>
      <c r="X2597" s="181" t="str">
        <f>IFERROR(__xludf.DUMMYFUNCTION("""COMPUTED_VALUE"""),"Excellent")</f>
        <v>Excellent</v>
      </c>
      <c r="Y2597" s="182" t="str">
        <f>IFERROR(__xludf.DUMMYFUNCTION("""COMPUTED_VALUE"""),"Excellent")</f>
        <v>Excellent</v>
      </c>
      <c r="Z2597" s="182" t="str">
        <f>IFERROR(__xludf.DUMMYFUNCTION("""COMPUTED_VALUE"""),"Excellent")</f>
        <v>Excellent</v>
      </c>
      <c r="AA2597" s="182" t="str">
        <f>IFERROR(__xludf.DUMMYFUNCTION("""COMPUTED_VALUE"""),"Good")</f>
        <v>Good</v>
      </c>
      <c r="AB2597" s="182" t="str">
        <f>IFERROR(__xludf.DUMMYFUNCTION("""COMPUTED_VALUE"""),"Very Good")</f>
        <v>Very Good</v>
      </c>
      <c r="AC2597" s="183">
        <f>IFERROR(__xludf.DUMMYFUNCTION("""COMPUTED_VALUE"""),0.0)</f>
        <v>0</v>
      </c>
      <c r="AD2597" s="183">
        <f>IFERROR(__xludf.DUMMYFUNCTION("""COMPUTED_VALUE"""),0.0)</f>
        <v>0</v>
      </c>
      <c r="AE2597" s="183">
        <f>IFERROR(__xludf.DUMMYFUNCTION("""COMPUTED_VALUE"""),0.0)</f>
        <v>0</v>
      </c>
      <c r="AF2597" s="184"/>
      <c r="AG2597" s="180"/>
      <c r="AH2597" s="185">
        <f>IFERROR(__xludf.DUMMYFUNCTION("""COMPUTED_VALUE"""),43404.35594519677)</f>
        <v>43404.35595</v>
      </c>
      <c r="AI2597" s="182"/>
      <c r="AJ2597" s="182"/>
      <c r="AK2597" s="182"/>
      <c r="AL2597" s="182"/>
    </row>
    <row r="2598" ht="20.25" customHeight="1">
      <c r="A2598" s="169" t="str">
        <f>IFERROR(__xludf.DUMMYFUNCTION("""COMPUTED_VALUE"""),"9voltman")</f>
        <v>9voltman</v>
      </c>
      <c r="B2598" s="170" t="str">
        <f>IFERROR(__xludf.DUMMYFUNCTION("""COMPUTED_VALUE"""),"Rockville, MD")</f>
        <v>Rockville, MD</v>
      </c>
      <c r="C2598" s="170" t="str">
        <f>IFERROR(__xludf.DUMMYFUNCTION("""COMPUTED_VALUE"""),"MD")</f>
        <v>MD</v>
      </c>
      <c r="D2598" s="170" t="str">
        <f>IFERROR(__xludf.DUMMYFUNCTION("""COMPUTED_VALUE"""),"USA")</f>
        <v>USA</v>
      </c>
      <c r="E2598" s="171">
        <f>IFERROR(__xludf.DUMMYFUNCTION("""COMPUTED_VALUE"""),43304.0)</f>
        <v>43304</v>
      </c>
      <c r="F2598" s="172"/>
      <c r="G2598" s="173"/>
      <c r="H2598" s="174">
        <f>IFERROR(__xludf.DUMMYFUNCTION("""COMPUTED_VALUE"""),104860.0)</f>
        <v>104860</v>
      </c>
      <c r="I2598" s="175"/>
      <c r="J2598" s="172">
        <f>IFERROR(__xludf.DUMMYFUNCTION("""COMPUTED_VALUE"""),43420.0)</f>
        <v>43420</v>
      </c>
      <c r="K2598" s="176"/>
      <c r="L2598" s="176"/>
      <c r="M2598" s="176">
        <f>IFERROR(__xludf.DUMMYFUNCTION("""COMPUTED_VALUE"""),116.0)</f>
        <v>116</v>
      </c>
      <c r="N2598" s="177" t="str">
        <f>IFERROR(__xludf.DUMMYFUNCTION("""COMPUTED_VALUE"""),"Model 3 LR AWD")</f>
        <v>Model 3 LR AWD</v>
      </c>
      <c r="O2598" s="177" t="str">
        <f>IFERROR(__xludf.DUMMYFUNCTION("""COMPUTED_VALUE"""),"Red Multi-Coat")</f>
        <v>Red Multi-Coat</v>
      </c>
      <c r="P2598" s="178" t="str">
        <f>IFERROR(__xludf.DUMMYFUNCTION("""COMPUTED_VALUE"""),"18 inch Aero")</f>
        <v>18 inch Aero</v>
      </c>
      <c r="Q2598" s="177" t="str">
        <f>IFERROR(__xludf.DUMMYFUNCTION("""COMPUTED_VALUE"""),"Black seats")</f>
        <v>Black seats</v>
      </c>
      <c r="R2598" s="170" t="str">
        <f>IFERROR(__xludf.DUMMYFUNCTION("""COMPUTED_VALUE"""),"None")</f>
        <v>None</v>
      </c>
      <c r="S2598" s="170"/>
      <c r="T2598" s="179"/>
      <c r="U2598" s="179"/>
      <c r="V2598" s="179"/>
      <c r="W2598" s="180"/>
      <c r="X2598" s="181" t="str">
        <f>IFERROR(__xludf.DUMMYFUNCTION("""COMPUTED_VALUE"""),"Excellent")</f>
        <v>Excellent</v>
      </c>
      <c r="Y2598" s="182" t="str">
        <f>IFERROR(__xludf.DUMMYFUNCTION("""COMPUTED_VALUE"""),"Excellent")</f>
        <v>Excellent</v>
      </c>
      <c r="Z2598" s="182" t="str">
        <f>IFERROR(__xludf.DUMMYFUNCTION("""COMPUTED_VALUE"""),"Excellent")</f>
        <v>Excellent</v>
      </c>
      <c r="AA2598" s="182" t="str">
        <f>IFERROR(__xludf.DUMMYFUNCTION("""COMPUTED_VALUE"""),"Excellent")</f>
        <v>Excellent</v>
      </c>
      <c r="AB2598" s="182" t="str">
        <f>IFERROR(__xludf.DUMMYFUNCTION("""COMPUTED_VALUE"""),"Excellent")</f>
        <v>Excellent</v>
      </c>
      <c r="AC2598" s="183"/>
      <c r="AD2598" s="183"/>
      <c r="AE2598" s="183"/>
      <c r="AF2598" s="184"/>
      <c r="AG2598" s="180"/>
      <c r="AH2598" s="185">
        <f>IFERROR(__xludf.DUMMYFUNCTION("""COMPUTED_VALUE"""),43423.38880385417)</f>
        <v>43423.3888</v>
      </c>
      <c r="AI2598" s="182"/>
      <c r="AJ2598" s="182"/>
      <c r="AK2598" s="182"/>
      <c r="AL2598" s="182"/>
    </row>
    <row r="2599" ht="20.25" customHeight="1">
      <c r="A2599" s="169" t="str">
        <f>IFERROR(__xludf.DUMMYFUNCTION("""COMPUTED_VALUE"""),"bobalou25")</f>
        <v>bobalou25</v>
      </c>
      <c r="B2599" s="170" t="str">
        <f>IFERROR(__xludf.DUMMYFUNCTION("""COMPUTED_VALUE"""),"Clay")</f>
        <v>Clay</v>
      </c>
      <c r="C2599" s="170" t="str">
        <f>IFERROR(__xludf.DUMMYFUNCTION("""COMPUTED_VALUE"""),"NY")</f>
        <v>NY</v>
      </c>
      <c r="D2599" s="170" t="str">
        <f>IFERROR(__xludf.DUMMYFUNCTION("""COMPUTED_VALUE"""),"USA")</f>
        <v>USA</v>
      </c>
      <c r="E2599" s="171">
        <f>IFERROR(__xludf.DUMMYFUNCTION("""COMPUTED_VALUE"""),43304.0)</f>
        <v>43304</v>
      </c>
      <c r="F2599" s="172">
        <f>IFERROR(__xludf.DUMMYFUNCTION("""COMPUTED_VALUE"""),43390.0)</f>
        <v>43390</v>
      </c>
      <c r="G2599" s="173"/>
      <c r="H2599" s="174">
        <f>IFERROR(__xludf.DUMMYFUNCTION("""COMPUTED_VALUE"""),117195.0)</f>
        <v>117195</v>
      </c>
      <c r="I2599" s="175" t="str">
        <f>IFERROR(__xludf.DUMMYFUNCTION("""COMPUTED_VALUE"""),"10/18")</f>
        <v>10/18</v>
      </c>
      <c r="J2599" s="172">
        <f>IFERROR(__xludf.DUMMYFUNCTION("""COMPUTED_VALUE"""),43393.0)</f>
        <v>43393</v>
      </c>
      <c r="K2599" s="176">
        <f>IFERROR(__xludf.DUMMYFUNCTION("""COMPUTED_VALUE"""),86.0)</f>
        <v>86</v>
      </c>
      <c r="L2599" s="176">
        <f>IFERROR(__xludf.DUMMYFUNCTION("""COMPUTED_VALUE"""),3.0)</f>
        <v>3</v>
      </c>
      <c r="M2599" s="176">
        <f>IFERROR(__xludf.DUMMYFUNCTION("""COMPUTED_VALUE"""),89.0)</f>
        <v>89</v>
      </c>
      <c r="N2599" s="177" t="str">
        <f>IFERROR(__xludf.DUMMYFUNCTION("""COMPUTED_VALUE"""),"Model 3 LR AWD")</f>
        <v>Model 3 LR AWD</v>
      </c>
      <c r="O2599" s="177" t="str">
        <f>IFERROR(__xludf.DUMMYFUNCTION("""COMPUTED_VALUE"""),"Red Multi-Coat")</f>
        <v>Red Multi-Coat</v>
      </c>
      <c r="P2599" s="178" t="str">
        <f>IFERROR(__xludf.DUMMYFUNCTION("""COMPUTED_VALUE"""),"19 inch Sport")</f>
        <v>19 inch Sport</v>
      </c>
      <c r="Q2599" s="177" t="str">
        <f>IFERROR(__xludf.DUMMYFUNCTION("""COMPUTED_VALUE"""),"Black seats")</f>
        <v>Black seats</v>
      </c>
      <c r="R2599" s="170" t="str">
        <f>IFERROR(__xludf.DUMMYFUNCTION("""COMPUTED_VALUE"""),"Enhanced Autopilot")</f>
        <v>Enhanced Autopilot</v>
      </c>
      <c r="S2599" s="170"/>
      <c r="T2599" s="179"/>
      <c r="U2599" s="179"/>
      <c r="V2599" s="179"/>
      <c r="W2599" s="180"/>
      <c r="X2599" s="181" t="str">
        <f>IFERROR(__xludf.DUMMYFUNCTION("""COMPUTED_VALUE"""),"Excellent")</f>
        <v>Excellent</v>
      </c>
      <c r="Y2599" s="182" t="str">
        <f>IFERROR(__xludf.DUMMYFUNCTION("""COMPUTED_VALUE"""),"Excellent")</f>
        <v>Excellent</v>
      </c>
      <c r="Z2599" s="182" t="str">
        <f>IFERROR(__xludf.DUMMYFUNCTION("""COMPUTED_VALUE"""),"Excellent")</f>
        <v>Excellent</v>
      </c>
      <c r="AA2599" s="182" t="str">
        <f>IFERROR(__xludf.DUMMYFUNCTION("""COMPUTED_VALUE"""),"Good")</f>
        <v>Good</v>
      </c>
      <c r="AB2599" s="182" t="str">
        <f>IFERROR(__xludf.DUMMYFUNCTION("""COMPUTED_VALUE"""),"Very Good")</f>
        <v>Very Good</v>
      </c>
      <c r="AC2599" s="183"/>
      <c r="AD2599" s="183"/>
      <c r="AE2599" s="183"/>
      <c r="AF2599" s="184"/>
      <c r="AG2599" s="180"/>
      <c r="AH2599" s="185">
        <f>IFERROR(__xludf.DUMMYFUNCTION("""COMPUTED_VALUE"""),43398.74347138889)</f>
        <v>43398.74347</v>
      </c>
      <c r="AI2599" s="182"/>
      <c r="AJ2599" s="182"/>
      <c r="AK2599" s="182"/>
      <c r="AL2599" s="182"/>
    </row>
    <row r="2600" ht="20.25" customHeight="1">
      <c r="A2600" s="169" t="str">
        <f>IFERROR(__xludf.DUMMYFUNCTION("""COMPUTED_VALUE"""),"Clunkasaurus")</f>
        <v>Clunkasaurus</v>
      </c>
      <c r="B2600" s="170"/>
      <c r="C2600" s="170" t="str">
        <f>IFERROR(__xludf.DUMMYFUNCTION("""COMPUTED_VALUE"""),"NJ")</f>
        <v>NJ</v>
      </c>
      <c r="D2600" s="170" t="str">
        <f>IFERROR(__xludf.DUMMYFUNCTION("""COMPUTED_VALUE"""),"USA")</f>
        <v>USA</v>
      </c>
      <c r="E2600" s="171">
        <f>IFERROR(__xludf.DUMMYFUNCTION("""COMPUTED_VALUE"""),43304.0)</f>
        <v>43304</v>
      </c>
      <c r="F2600" s="172"/>
      <c r="G2600" s="173"/>
      <c r="H2600" s="174">
        <f>IFERROR(__xludf.DUMMYFUNCTION("""COMPUTED_VALUE"""),100755.0)</f>
        <v>100755</v>
      </c>
      <c r="I2600" s="175"/>
      <c r="J2600" s="172">
        <f>IFERROR(__xludf.DUMMYFUNCTION("""COMPUTED_VALUE"""),43384.0)</f>
        <v>43384</v>
      </c>
      <c r="K2600" s="176"/>
      <c r="L2600" s="176"/>
      <c r="M2600" s="176">
        <f>IFERROR(__xludf.DUMMYFUNCTION("""COMPUTED_VALUE"""),80.0)</f>
        <v>80</v>
      </c>
      <c r="N2600" s="177" t="str">
        <f>IFERROR(__xludf.DUMMYFUNCTION("""COMPUTED_VALUE"""),"Model 3 LR AWD")</f>
        <v>Model 3 LR AWD</v>
      </c>
      <c r="O2600" s="177" t="str">
        <f>IFERROR(__xludf.DUMMYFUNCTION("""COMPUTED_VALUE"""),"Red Multi-Coat")</f>
        <v>Red Multi-Coat</v>
      </c>
      <c r="P2600" s="178" t="str">
        <f>IFERROR(__xludf.DUMMYFUNCTION("""COMPUTED_VALUE"""),"19 inch Sport")</f>
        <v>19 inch Sport</v>
      </c>
      <c r="Q2600" s="177" t="str">
        <f>IFERROR(__xludf.DUMMYFUNCTION("""COMPUTED_VALUE"""),"White seats")</f>
        <v>White seats</v>
      </c>
      <c r="R2600" s="170" t="str">
        <f>IFERROR(__xludf.DUMMYFUNCTION("""COMPUTED_VALUE"""),"None")</f>
        <v>None</v>
      </c>
      <c r="S2600" s="170"/>
      <c r="T2600" s="179"/>
      <c r="U2600" s="179"/>
      <c r="V2600" s="179"/>
      <c r="W2600" s="180"/>
      <c r="X2600" s="181" t="str">
        <f>IFERROR(__xludf.DUMMYFUNCTION("""COMPUTED_VALUE"""),"Good")</f>
        <v>Good</v>
      </c>
      <c r="Y2600" s="182" t="str">
        <f>IFERROR(__xludf.DUMMYFUNCTION("""COMPUTED_VALUE"""),"Excellent")</f>
        <v>Excellent</v>
      </c>
      <c r="Z2600" s="182" t="str">
        <f>IFERROR(__xludf.DUMMYFUNCTION("""COMPUTED_VALUE"""),"Excellent")</f>
        <v>Excellent</v>
      </c>
      <c r="AA2600" s="182" t="str">
        <f>IFERROR(__xludf.DUMMYFUNCTION("""COMPUTED_VALUE"""),"Good")</f>
        <v>Good</v>
      </c>
      <c r="AB2600" s="182" t="str">
        <f>IFERROR(__xludf.DUMMYFUNCTION("""COMPUTED_VALUE"""),"Excellent")</f>
        <v>Excellent</v>
      </c>
      <c r="AC2600" s="183">
        <f>IFERROR(__xludf.DUMMYFUNCTION("""COMPUTED_VALUE"""),0.0)</f>
        <v>0</v>
      </c>
      <c r="AD2600" s="183">
        <f>IFERROR(__xludf.DUMMYFUNCTION("""COMPUTED_VALUE"""),0.0)</f>
        <v>0</v>
      </c>
      <c r="AE2600" s="183">
        <f>IFERROR(__xludf.DUMMYFUNCTION("""COMPUTED_VALUE"""),0.0)</f>
        <v>0</v>
      </c>
      <c r="AF2600" s="184"/>
      <c r="AG2600" s="180"/>
      <c r="AH2600" s="185">
        <f>IFERROR(__xludf.DUMMYFUNCTION("""COMPUTED_VALUE"""),43390.511533159726)</f>
        <v>43390.51153</v>
      </c>
      <c r="AI2600" s="182"/>
      <c r="AJ2600" s="182"/>
      <c r="AK2600" s="182"/>
      <c r="AL2600" s="182"/>
    </row>
    <row r="2601" ht="20.25" customHeight="1">
      <c r="A2601" s="169" t="str">
        <f>IFERROR(__xludf.DUMMYFUNCTION("""COMPUTED_VALUE"""),"daveCO")</f>
        <v>daveCO</v>
      </c>
      <c r="B2601" s="170" t="str">
        <f>IFERROR(__xludf.DUMMYFUNCTION("""COMPUTED_VALUE"""),"Highlands Ranch")</f>
        <v>Highlands Ranch</v>
      </c>
      <c r="C2601" s="170" t="str">
        <f>IFERROR(__xludf.DUMMYFUNCTION("""COMPUTED_VALUE"""),"CO")</f>
        <v>CO</v>
      </c>
      <c r="D2601" s="170" t="str">
        <f>IFERROR(__xludf.DUMMYFUNCTION("""COMPUTED_VALUE"""),"USA")</f>
        <v>USA</v>
      </c>
      <c r="E2601" s="171">
        <f>IFERROR(__xludf.DUMMYFUNCTION("""COMPUTED_VALUE"""),43304.0)</f>
        <v>43304</v>
      </c>
      <c r="F2601" s="172">
        <f>IFERROR(__xludf.DUMMYFUNCTION("""COMPUTED_VALUE"""),43357.0)</f>
        <v>43357</v>
      </c>
      <c r="G2601" s="173"/>
      <c r="H2601" s="174">
        <f>IFERROR(__xludf.DUMMYFUNCTION("""COMPUTED_VALUE"""),100908.0)</f>
        <v>100908</v>
      </c>
      <c r="I2601" s="175" t="str">
        <f>IFERROR(__xludf.DUMMYFUNCTION("""COMPUTED_VALUE"""),"09/18")</f>
        <v>09/18</v>
      </c>
      <c r="J2601" s="172">
        <f>IFERROR(__xludf.DUMMYFUNCTION("""COMPUTED_VALUE"""),43365.0)</f>
        <v>43365</v>
      </c>
      <c r="K2601" s="176">
        <f>IFERROR(__xludf.DUMMYFUNCTION("""COMPUTED_VALUE"""),53.0)</f>
        <v>53</v>
      </c>
      <c r="L2601" s="176">
        <f>IFERROR(__xludf.DUMMYFUNCTION("""COMPUTED_VALUE"""),8.0)</f>
        <v>8</v>
      </c>
      <c r="M2601" s="176">
        <f>IFERROR(__xludf.DUMMYFUNCTION("""COMPUTED_VALUE"""),61.0)</f>
        <v>61</v>
      </c>
      <c r="N2601" s="177" t="str">
        <f>IFERROR(__xludf.DUMMYFUNCTION("""COMPUTED_VALUE"""),"Model 3 LR AWD")</f>
        <v>Model 3 LR AWD</v>
      </c>
      <c r="O2601" s="177" t="str">
        <f>IFERROR(__xludf.DUMMYFUNCTION("""COMPUTED_VALUE"""),"Deep Blue Metallic")</f>
        <v>Deep Blue Metallic</v>
      </c>
      <c r="P2601" s="178" t="str">
        <f>IFERROR(__xludf.DUMMYFUNCTION("""COMPUTED_VALUE"""),"19 inch Sport")</f>
        <v>19 inch Sport</v>
      </c>
      <c r="Q2601" s="177" t="str">
        <f>IFERROR(__xludf.DUMMYFUNCTION("""COMPUTED_VALUE"""),"White seats")</f>
        <v>White seats</v>
      </c>
      <c r="R2601" s="170" t="str">
        <f>IFERROR(__xludf.DUMMYFUNCTION("""COMPUTED_VALUE"""),"Enhanced Autopilot")</f>
        <v>Enhanced Autopilot</v>
      </c>
      <c r="S2601" s="170"/>
      <c r="T2601" s="179"/>
      <c r="U2601" s="179"/>
      <c r="V2601" s="179"/>
      <c r="W2601" s="180"/>
      <c r="X2601" s="181" t="str">
        <f>IFERROR(__xludf.DUMMYFUNCTION("""COMPUTED_VALUE"""),"Excellent")</f>
        <v>Excellent</v>
      </c>
      <c r="Y2601" s="182" t="str">
        <f>IFERROR(__xludf.DUMMYFUNCTION("""COMPUTED_VALUE"""),"Excellent")</f>
        <v>Excellent</v>
      </c>
      <c r="Z2601" s="182" t="str">
        <f>IFERROR(__xludf.DUMMYFUNCTION("""COMPUTED_VALUE"""),"Excellent")</f>
        <v>Excellent</v>
      </c>
      <c r="AA2601" s="182" t="str">
        <f>IFERROR(__xludf.DUMMYFUNCTION("""COMPUTED_VALUE"""),"Excellent")</f>
        <v>Excellent</v>
      </c>
      <c r="AB2601" s="182" t="str">
        <f>IFERROR(__xludf.DUMMYFUNCTION("""COMPUTED_VALUE"""),"Good")</f>
        <v>Good</v>
      </c>
      <c r="AC2601" s="183"/>
      <c r="AD2601" s="183"/>
      <c r="AE2601" s="183"/>
      <c r="AF2601" s="184"/>
      <c r="AG2601" s="180"/>
      <c r="AH2601" s="185">
        <f>IFERROR(__xludf.DUMMYFUNCTION("""COMPUTED_VALUE"""),43367.402229178246)</f>
        <v>43367.40223</v>
      </c>
      <c r="AI2601" s="182"/>
      <c r="AJ2601" s="182"/>
      <c r="AK2601" s="182"/>
      <c r="AL2601" s="182"/>
    </row>
    <row r="2602" ht="20.25" customHeight="1">
      <c r="A2602" s="169" t="str">
        <f>IFERROR(__xludf.DUMMYFUNCTION("""COMPUTED_VALUE"""),"henrytsla")</f>
        <v>henrytsla</v>
      </c>
      <c r="B2602" s="170"/>
      <c r="C2602" s="170" t="str">
        <f>IFERROR(__xludf.DUMMYFUNCTION("""COMPUTED_VALUE"""),"GA")</f>
        <v>GA</v>
      </c>
      <c r="D2602" s="170" t="str">
        <f>IFERROR(__xludf.DUMMYFUNCTION("""COMPUTED_VALUE"""),"USA")</f>
        <v>USA</v>
      </c>
      <c r="E2602" s="171">
        <f>IFERROR(__xludf.DUMMYFUNCTION("""COMPUTED_VALUE"""),43304.0)</f>
        <v>43304</v>
      </c>
      <c r="F2602" s="172">
        <f>IFERROR(__xludf.DUMMYFUNCTION("""COMPUTED_VALUE"""),43306.0)</f>
        <v>43306</v>
      </c>
      <c r="G2602" s="173"/>
      <c r="H2602" s="174">
        <f>IFERROR(__xludf.DUMMYFUNCTION("""COMPUTED_VALUE"""),45355.0)</f>
        <v>45355</v>
      </c>
      <c r="I2602" s="175" t="str">
        <f>IFERROR(__xludf.DUMMYFUNCTION("""COMPUTED_VALUE"""),"07/18")</f>
        <v>07/18</v>
      </c>
      <c r="J2602" s="172">
        <f>IFERROR(__xludf.DUMMYFUNCTION("""COMPUTED_VALUE"""),43332.0)</f>
        <v>43332</v>
      </c>
      <c r="K2602" s="176">
        <f>IFERROR(__xludf.DUMMYFUNCTION("""COMPUTED_VALUE"""),2.0)</f>
        <v>2</v>
      </c>
      <c r="L2602" s="176">
        <f>IFERROR(__xludf.DUMMYFUNCTION("""COMPUTED_VALUE"""),26.0)</f>
        <v>26</v>
      </c>
      <c r="M2602" s="176">
        <f>IFERROR(__xludf.DUMMYFUNCTION("""COMPUTED_VALUE"""),28.0)</f>
        <v>28</v>
      </c>
      <c r="N2602" s="177" t="str">
        <f>IFERROR(__xludf.DUMMYFUNCTION("""COMPUTED_VALUE"""),"Model 3 LR")</f>
        <v>Model 3 LR</v>
      </c>
      <c r="O2602" s="177" t="str">
        <f>IFERROR(__xludf.DUMMYFUNCTION("""COMPUTED_VALUE"""),"Midnight Silver Metallic")</f>
        <v>Midnight Silver Metallic</v>
      </c>
      <c r="P2602" s="178" t="str">
        <f>IFERROR(__xludf.DUMMYFUNCTION("""COMPUTED_VALUE"""),"18 inch Aero")</f>
        <v>18 inch Aero</v>
      </c>
      <c r="Q2602" s="177" t="str">
        <f>IFERROR(__xludf.DUMMYFUNCTION("""COMPUTED_VALUE"""),"Black seats")</f>
        <v>Black seats</v>
      </c>
      <c r="R2602" s="170" t="str">
        <f>IFERROR(__xludf.DUMMYFUNCTION("""COMPUTED_VALUE"""),"Enhanced Autopilot")</f>
        <v>Enhanced Autopilot</v>
      </c>
      <c r="S2602" s="170"/>
      <c r="T2602" s="179"/>
      <c r="U2602" s="179"/>
      <c r="V2602" s="179"/>
      <c r="W2602" s="180"/>
      <c r="X2602" s="181" t="str">
        <f>IFERROR(__xludf.DUMMYFUNCTION("""COMPUTED_VALUE"""),"Good")</f>
        <v>Good</v>
      </c>
      <c r="Y2602" s="182" t="str">
        <f>IFERROR(__xludf.DUMMYFUNCTION("""COMPUTED_VALUE"""),"Very Good")</f>
        <v>Very Good</v>
      </c>
      <c r="Z2602" s="182" t="str">
        <f>IFERROR(__xludf.DUMMYFUNCTION("""COMPUTED_VALUE"""),"Very Good")</f>
        <v>Very Good</v>
      </c>
      <c r="AA2602" s="182" t="str">
        <f>IFERROR(__xludf.DUMMYFUNCTION("""COMPUTED_VALUE"""),"Poor")</f>
        <v>Poor</v>
      </c>
      <c r="AB2602" s="182" t="str">
        <f>IFERROR(__xludf.DUMMYFUNCTION("""COMPUTED_VALUE"""),"Good")</f>
        <v>Good</v>
      </c>
      <c r="AC2602" s="183"/>
      <c r="AD2602" s="183"/>
      <c r="AE2602" s="183"/>
      <c r="AF2602" s="184"/>
      <c r="AG2602" s="180"/>
      <c r="AH2602" s="185">
        <f>IFERROR(__xludf.DUMMYFUNCTION("""COMPUTED_VALUE"""),43343.33621704861)</f>
        <v>43343.33622</v>
      </c>
      <c r="AI2602" s="182"/>
      <c r="AJ2602" s="182"/>
      <c r="AK2602" s="182"/>
      <c r="AL2602" s="182"/>
    </row>
    <row r="2603" ht="20.25" customHeight="1">
      <c r="A2603" s="169" t="str">
        <f>IFERROR(__xludf.DUMMYFUNCTION("""COMPUTED_VALUE"""),"MizzouTesla")</f>
        <v>MizzouTesla</v>
      </c>
      <c r="B2603" s="170" t="str">
        <f>IFERROR(__xludf.DUMMYFUNCTION("""COMPUTED_VALUE"""),"Springfield")</f>
        <v>Springfield</v>
      </c>
      <c r="C2603" s="170" t="str">
        <f>IFERROR(__xludf.DUMMYFUNCTION("""COMPUTED_VALUE"""),"MO")</f>
        <v>MO</v>
      </c>
      <c r="D2603" s="170" t="str">
        <f>IFERROR(__xludf.DUMMYFUNCTION("""COMPUTED_VALUE"""),"USA")</f>
        <v>USA</v>
      </c>
      <c r="E2603" s="171">
        <f>IFERROR(__xludf.DUMMYFUNCTION("""COMPUTED_VALUE"""),43304.0)</f>
        <v>43304</v>
      </c>
      <c r="F2603" s="172"/>
      <c r="G2603" s="173"/>
      <c r="H2603" s="174">
        <f>IFERROR(__xludf.DUMMYFUNCTION("""COMPUTED_VALUE"""),87655.0)</f>
        <v>87655</v>
      </c>
      <c r="I2603" s="175" t="str">
        <f>IFERROR(__xludf.DUMMYFUNCTION("""COMPUTED_VALUE"""),"09/18")</f>
        <v>09/18</v>
      </c>
      <c r="J2603" s="172">
        <f>IFERROR(__xludf.DUMMYFUNCTION("""COMPUTED_VALUE"""),43381.0)</f>
        <v>43381</v>
      </c>
      <c r="K2603" s="176"/>
      <c r="L2603" s="176"/>
      <c r="M2603" s="176">
        <f>IFERROR(__xludf.DUMMYFUNCTION("""COMPUTED_VALUE"""),77.0)</f>
        <v>77</v>
      </c>
      <c r="N2603" s="177" t="str">
        <f>IFERROR(__xludf.DUMMYFUNCTION("""COMPUTED_VALUE"""),"Model 3 LR AWD")</f>
        <v>Model 3 LR AWD</v>
      </c>
      <c r="O2603" s="177" t="str">
        <f>IFERROR(__xludf.DUMMYFUNCTION("""COMPUTED_VALUE"""),"Silver Metallic")</f>
        <v>Silver Metallic</v>
      </c>
      <c r="P2603" s="178" t="str">
        <f>IFERROR(__xludf.DUMMYFUNCTION("""COMPUTED_VALUE"""),"19 inch Sport")</f>
        <v>19 inch Sport</v>
      </c>
      <c r="Q2603" s="177" t="str">
        <f>IFERROR(__xludf.DUMMYFUNCTION("""COMPUTED_VALUE"""),"Black seats")</f>
        <v>Black seats</v>
      </c>
      <c r="R2603" s="170" t="str">
        <f>IFERROR(__xludf.DUMMYFUNCTION("""COMPUTED_VALUE"""),"Enhanced Autopilot")</f>
        <v>Enhanced Autopilot</v>
      </c>
      <c r="S2603" s="170"/>
      <c r="T2603" s="179"/>
      <c r="U2603" s="179"/>
      <c r="V2603" s="179"/>
      <c r="W2603" s="180"/>
      <c r="X2603" s="181" t="str">
        <f>IFERROR(__xludf.DUMMYFUNCTION("""COMPUTED_VALUE"""),"Excellent")</f>
        <v>Excellent</v>
      </c>
      <c r="Y2603" s="182" t="str">
        <f>IFERROR(__xludf.DUMMYFUNCTION("""COMPUTED_VALUE"""),"Excellent")</f>
        <v>Excellent</v>
      </c>
      <c r="Z2603" s="182" t="str">
        <f>IFERROR(__xludf.DUMMYFUNCTION("""COMPUTED_VALUE"""),"Excellent")</f>
        <v>Excellent</v>
      </c>
      <c r="AA2603" s="182" t="str">
        <f>IFERROR(__xludf.DUMMYFUNCTION("""COMPUTED_VALUE"""),"Fair")</f>
        <v>Fair</v>
      </c>
      <c r="AB2603" s="182" t="str">
        <f>IFERROR(__xludf.DUMMYFUNCTION("""COMPUTED_VALUE"""),"Excellent")</f>
        <v>Excellent</v>
      </c>
      <c r="AC2603" s="183"/>
      <c r="AD2603" s="183"/>
      <c r="AE2603" s="183"/>
      <c r="AF2603" s="184"/>
      <c r="AG2603" s="180" t="str">
        <f>IFERROR(__xludf.DUMMYFUNCTION("""COMPUTED_VALUE"""),"Delivery was delayed for 10 days because car didn't show up in time for original September 28 Delivery")</f>
        <v>Delivery was delayed for 10 days because car didn't show up in time for original September 28 Delivery</v>
      </c>
      <c r="AH2603" s="185">
        <f>IFERROR(__xludf.DUMMYFUNCTION("""COMPUTED_VALUE"""),43384.51458574075)</f>
        <v>43384.51459</v>
      </c>
      <c r="AI2603" s="182"/>
      <c r="AJ2603" s="182"/>
      <c r="AK2603" s="182"/>
      <c r="AL2603" s="182"/>
    </row>
    <row r="2604" ht="20.25" customHeight="1">
      <c r="A2604" s="169" t="str">
        <f>IFERROR(__xludf.DUMMYFUNCTION("""COMPUTED_VALUE"""),"SpartacusMaximus")</f>
        <v>SpartacusMaximus</v>
      </c>
      <c r="B2604" s="170"/>
      <c r="C2604" s="170" t="str">
        <f>IFERROR(__xludf.DUMMYFUNCTION("""COMPUTED_VALUE"""),"CA")</f>
        <v>CA</v>
      </c>
      <c r="D2604" s="170" t="str">
        <f>IFERROR(__xludf.DUMMYFUNCTION("""COMPUTED_VALUE"""),"USA")</f>
        <v>USA</v>
      </c>
      <c r="E2604" s="171">
        <f>IFERROR(__xludf.DUMMYFUNCTION("""COMPUTED_VALUE"""),43304.0)</f>
        <v>43304</v>
      </c>
      <c r="F2604" s="172">
        <f>IFERROR(__xludf.DUMMYFUNCTION("""COMPUTED_VALUE"""),43349.0)</f>
        <v>43349</v>
      </c>
      <c r="G2604" s="173"/>
      <c r="H2604" s="174">
        <f>IFERROR(__xludf.DUMMYFUNCTION("""COMPUTED_VALUE"""),97155.0)</f>
        <v>97155</v>
      </c>
      <c r="I2604" s="175" t="str">
        <f>IFERROR(__xludf.DUMMYFUNCTION("""COMPUTED_VALUE"""),"08/18")</f>
        <v>08/18</v>
      </c>
      <c r="J2604" s="172">
        <f>IFERROR(__xludf.DUMMYFUNCTION("""COMPUTED_VALUE"""),43352.0)</f>
        <v>43352</v>
      </c>
      <c r="K2604" s="176">
        <f>IFERROR(__xludf.DUMMYFUNCTION("""COMPUTED_VALUE"""),45.0)</f>
        <v>45</v>
      </c>
      <c r="L2604" s="176">
        <f>IFERROR(__xludf.DUMMYFUNCTION("""COMPUTED_VALUE"""),3.0)</f>
        <v>3</v>
      </c>
      <c r="M2604" s="176">
        <f>IFERROR(__xludf.DUMMYFUNCTION("""COMPUTED_VALUE"""),48.0)</f>
        <v>48</v>
      </c>
      <c r="N2604" s="177" t="str">
        <f>IFERROR(__xludf.DUMMYFUNCTION("""COMPUTED_VALUE"""),"Model 3 LR AWD")</f>
        <v>Model 3 LR AWD</v>
      </c>
      <c r="O2604" s="177" t="str">
        <f>IFERROR(__xludf.DUMMYFUNCTION("""COMPUTED_VALUE"""),"Midnight Silver Metallic")</f>
        <v>Midnight Silver Metallic</v>
      </c>
      <c r="P2604" s="178" t="str">
        <f>IFERROR(__xludf.DUMMYFUNCTION("""COMPUTED_VALUE"""),"19 inch Sport")</f>
        <v>19 inch Sport</v>
      </c>
      <c r="Q2604" s="177" t="str">
        <f>IFERROR(__xludf.DUMMYFUNCTION("""COMPUTED_VALUE"""),"White seats")</f>
        <v>White seats</v>
      </c>
      <c r="R2604" s="170" t="str">
        <f>IFERROR(__xludf.DUMMYFUNCTION("""COMPUTED_VALUE"""),"Enhanced Autopilot")</f>
        <v>Enhanced Autopilot</v>
      </c>
      <c r="S2604" s="170"/>
      <c r="T2604" s="179"/>
      <c r="U2604" s="179"/>
      <c r="V2604" s="179"/>
      <c r="W2604" s="180"/>
      <c r="X2604" s="181" t="str">
        <f>IFERROR(__xludf.DUMMYFUNCTION("""COMPUTED_VALUE"""),"Excellent")</f>
        <v>Excellent</v>
      </c>
      <c r="Y2604" s="182" t="str">
        <f>IFERROR(__xludf.DUMMYFUNCTION("""COMPUTED_VALUE"""),"Excellent")</f>
        <v>Excellent</v>
      </c>
      <c r="Z2604" s="182" t="str">
        <f>IFERROR(__xludf.DUMMYFUNCTION("""COMPUTED_VALUE"""),"Excellent")</f>
        <v>Excellent</v>
      </c>
      <c r="AA2604" s="182" t="str">
        <f>IFERROR(__xludf.DUMMYFUNCTION("""COMPUTED_VALUE"""),"Good")</f>
        <v>Good</v>
      </c>
      <c r="AB2604" s="182" t="str">
        <f>IFERROR(__xludf.DUMMYFUNCTION("""COMPUTED_VALUE"""),"Very Good")</f>
        <v>Very Good</v>
      </c>
      <c r="AC2604" s="183"/>
      <c r="AD2604" s="183"/>
      <c r="AE2604" s="183"/>
      <c r="AF2604" s="184"/>
      <c r="AG2604" s="180"/>
      <c r="AH2604" s="185">
        <f>IFERROR(__xludf.DUMMYFUNCTION("""COMPUTED_VALUE"""),43354.87115844908)</f>
        <v>43354.87116</v>
      </c>
      <c r="AI2604" s="182"/>
      <c r="AJ2604" s="182"/>
      <c r="AK2604" s="182"/>
      <c r="AL2604" s="182"/>
    </row>
    <row r="2605" ht="20.25" customHeight="1">
      <c r="A2605" s="169" t="str">
        <f>IFERROR(__xludf.DUMMYFUNCTION("""COMPUTED_VALUE"""),"tp1996")</f>
        <v>tp1996</v>
      </c>
      <c r="B2605" s="170" t="str">
        <f>IFERROR(__xludf.DUMMYFUNCTION("""COMPUTED_VALUE"""),"Cherry Hill")</f>
        <v>Cherry Hill</v>
      </c>
      <c r="C2605" s="170" t="str">
        <f>IFERROR(__xludf.DUMMYFUNCTION("""COMPUTED_VALUE"""),"NJ")</f>
        <v>NJ</v>
      </c>
      <c r="D2605" s="170" t="str">
        <f>IFERROR(__xludf.DUMMYFUNCTION("""COMPUTED_VALUE"""),"USA")</f>
        <v>USA</v>
      </c>
      <c r="E2605" s="171">
        <f>IFERROR(__xludf.DUMMYFUNCTION("""COMPUTED_VALUE"""),43304.0)</f>
        <v>43304</v>
      </c>
      <c r="F2605" s="172">
        <f>IFERROR(__xludf.DUMMYFUNCTION("""COMPUTED_VALUE"""),43322.0)</f>
        <v>43322</v>
      </c>
      <c r="G2605" s="173"/>
      <c r="H2605" s="174">
        <f>IFERROR(__xludf.DUMMYFUNCTION("""COMPUTED_VALUE"""),66955.0)</f>
        <v>66955</v>
      </c>
      <c r="I2605" s="175"/>
      <c r="J2605" s="172">
        <f>IFERROR(__xludf.DUMMYFUNCTION("""COMPUTED_VALUE"""),43341.0)</f>
        <v>43341</v>
      </c>
      <c r="K2605" s="176">
        <f>IFERROR(__xludf.DUMMYFUNCTION("""COMPUTED_VALUE"""),18.0)</f>
        <v>18</v>
      </c>
      <c r="L2605" s="176">
        <f>IFERROR(__xludf.DUMMYFUNCTION("""COMPUTED_VALUE"""),19.0)</f>
        <v>19</v>
      </c>
      <c r="M2605" s="176">
        <f>IFERROR(__xludf.DUMMYFUNCTION("""COMPUTED_VALUE"""),37.0)</f>
        <v>37</v>
      </c>
      <c r="N2605" s="177" t="str">
        <f>IFERROR(__xludf.DUMMYFUNCTION("""COMPUTED_VALUE"""),"Model 3 LR AWD")</f>
        <v>Model 3 LR AWD</v>
      </c>
      <c r="O2605" s="177" t="str">
        <f>IFERROR(__xludf.DUMMYFUNCTION("""COMPUTED_VALUE"""),"Pearl White Multi-Coat")</f>
        <v>Pearl White Multi-Coat</v>
      </c>
      <c r="P2605" s="178" t="str">
        <f>IFERROR(__xludf.DUMMYFUNCTION("""COMPUTED_VALUE"""),"18 inch Aero")</f>
        <v>18 inch Aero</v>
      </c>
      <c r="Q2605" s="177" t="str">
        <f>IFERROR(__xludf.DUMMYFUNCTION("""COMPUTED_VALUE"""),"Black seats")</f>
        <v>Black seats</v>
      </c>
      <c r="R2605" s="170" t="str">
        <f>IFERROR(__xludf.DUMMYFUNCTION("""COMPUTED_VALUE"""),"Enhanced Autopilot")</f>
        <v>Enhanced Autopilot</v>
      </c>
      <c r="S2605" s="170"/>
      <c r="T2605" s="179"/>
      <c r="U2605" s="179"/>
      <c r="V2605" s="179"/>
      <c r="W2605" s="180"/>
      <c r="X2605" s="181" t="str">
        <f>IFERROR(__xludf.DUMMYFUNCTION("""COMPUTED_VALUE"""),"Excellent")</f>
        <v>Excellent</v>
      </c>
      <c r="Y2605" s="182" t="str">
        <f>IFERROR(__xludf.DUMMYFUNCTION("""COMPUTED_VALUE"""),"Excellent")</f>
        <v>Excellent</v>
      </c>
      <c r="Z2605" s="182" t="str">
        <f>IFERROR(__xludf.DUMMYFUNCTION("""COMPUTED_VALUE"""),"Good")</f>
        <v>Good</v>
      </c>
      <c r="AA2605" s="182" t="str">
        <f>IFERROR(__xludf.DUMMYFUNCTION("""COMPUTED_VALUE"""),"Very Good")</f>
        <v>Very Good</v>
      </c>
      <c r="AB2605" s="182" t="str">
        <f>IFERROR(__xludf.DUMMYFUNCTION("""COMPUTED_VALUE"""),"Excellent")</f>
        <v>Excellent</v>
      </c>
      <c r="AC2605" s="183"/>
      <c r="AD2605" s="183"/>
      <c r="AE2605" s="183"/>
      <c r="AF2605" s="184"/>
      <c r="AG2605" s="180"/>
      <c r="AH2605" s="185">
        <f>IFERROR(__xludf.DUMMYFUNCTION("""COMPUTED_VALUE"""),43341.867555428245)</f>
        <v>43341.86756</v>
      </c>
      <c r="AI2605" s="182"/>
      <c r="AJ2605" s="182"/>
      <c r="AK2605" s="182"/>
      <c r="AL2605" s="182"/>
    </row>
    <row r="2606" ht="20.25" customHeight="1">
      <c r="A2606" s="169" t="str">
        <f>IFERROR(__xludf.DUMMYFUNCTION("""COMPUTED_VALUE"""),"UTC")</f>
        <v>UTC</v>
      </c>
      <c r="B2606" s="170" t="str">
        <f>IFERROR(__xludf.DUMMYFUNCTION("""COMPUTED_VALUE"""),"Baltimore")</f>
        <v>Baltimore</v>
      </c>
      <c r="C2606" s="170" t="str">
        <f>IFERROR(__xludf.DUMMYFUNCTION("""COMPUTED_VALUE"""),"MD")</f>
        <v>MD</v>
      </c>
      <c r="D2606" s="170" t="str">
        <f>IFERROR(__xludf.DUMMYFUNCTION("""COMPUTED_VALUE"""),"USA")</f>
        <v>USA</v>
      </c>
      <c r="E2606" s="171">
        <f>IFERROR(__xludf.DUMMYFUNCTION("""COMPUTED_VALUE"""),43304.0)</f>
        <v>43304</v>
      </c>
      <c r="F2606" s="172">
        <f>IFERROR(__xludf.DUMMYFUNCTION("""COMPUTED_VALUE"""),43311.0)</f>
        <v>43311</v>
      </c>
      <c r="G2606" s="173"/>
      <c r="H2606" s="174">
        <f>IFERROR(__xludf.DUMMYFUNCTION("""COMPUTED_VALUE"""),54655.0)</f>
        <v>54655</v>
      </c>
      <c r="I2606" s="175"/>
      <c r="J2606" s="172">
        <f>IFERROR(__xludf.DUMMYFUNCTION("""COMPUTED_VALUE"""),43323.0)</f>
        <v>43323</v>
      </c>
      <c r="K2606" s="176">
        <f>IFERROR(__xludf.DUMMYFUNCTION("""COMPUTED_VALUE"""),7.0)</f>
        <v>7</v>
      </c>
      <c r="L2606" s="176">
        <f>IFERROR(__xludf.DUMMYFUNCTION("""COMPUTED_VALUE"""),12.0)</f>
        <v>12</v>
      </c>
      <c r="M2606" s="176">
        <f>IFERROR(__xludf.DUMMYFUNCTION("""COMPUTED_VALUE"""),19.0)</f>
        <v>19</v>
      </c>
      <c r="N2606" s="177" t="str">
        <f>IFERROR(__xludf.DUMMYFUNCTION("""COMPUTED_VALUE"""),"Model 3 LR AWD")</f>
        <v>Model 3 LR AWD</v>
      </c>
      <c r="O2606" s="177" t="str">
        <f>IFERROR(__xludf.DUMMYFUNCTION("""COMPUTED_VALUE"""),"Pearl White Multi-Coat")</f>
        <v>Pearl White Multi-Coat</v>
      </c>
      <c r="P2606" s="178" t="str">
        <f>IFERROR(__xludf.DUMMYFUNCTION("""COMPUTED_VALUE"""),"18 inch Aero")</f>
        <v>18 inch Aero</v>
      </c>
      <c r="Q2606" s="177" t="str">
        <f>IFERROR(__xludf.DUMMYFUNCTION("""COMPUTED_VALUE"""),"Black seats")</f>
        <v>Black seats</v>
      </c>
      <c r="R2606" s="170" t="str">
        <f>IFERROR(__xludf.DUMMYFUNCTION("""COMPUTED_VALUE"""),"None")</f>
        <v>None</v>
      </c>
      <c r="S2606" s="170"/>
      <c r="T2606" s="179"/>
      <c r="U2606" s="179"/>
      <c r="V2606" s="179"/>
      <c r="W2606" s="180"/>
      <c r="X2606" s="181" t="str">
        <f>IFERROR(__xludf.DUMMYFUNCTION("""COMPUTED_VALUE"""),"Very Good")</f>
        <v>Very Good</v>
      </c>
      <c r="Y2606" s="182" t="str">
        <f>IFERROR(__xludf.DUMMYFUNCTION("""COMPUTED_VALUE"""),"Excellent")</f>
        <v>Excellent</v>
      </c>
      <c r="Z2606" s="182" t="str">
        <f>IFERROR(__xludf.DUMMYFUNCTION("""COMPUTED_VALUE"""),"Fair")</f>
        <v>Fair</v>
      </c>
      <c r="AA2606" s="182" t="str">
        <f>IFERROR(__xludf.DUMMYFUNCTION("""COMPUTED_VALUE"""),"Fair")</f>
        <v>Fair</v>
      </c>
      <c r="AB2606" s="182" t="str">
        <f>IFERROR(__xludf.DUMMYFUNCTION("""COMPUTED_VALUE"""),"Very Good")</f>
        <v>Very Good</v>
      </c>
      <c r="AC2606" s="183">
        <f>IFERROR(__xludf.DUMMYFUNCTION("""COMPUTED_VALUE"""),4.0)</f>
        <v>4</v>
      </c>
      <c r="AD2606" s="183"/>
      <c r="AE2606" s="183"/>
      <c r="AF2606" s="184"/>
      <c r="AG2606" s="180"/>
      <c r="AH2606" s="185">
        <f>IFERROR(__xludf.DUMMYFUNCTION("""COMPUTED_VALUE"""),43331.82425370371)</f>
        <v>43331.82425</v>
      </c>
      <c r="AI2606" s="182"/>
      <c r="AJ2606" s="182"/>
      <c r="AK2606" s="182"/>
      <c r="AL2606" s="182"/>
    </row>
    <row r="2607" ht="20.25" customHeight="1">
      <c r="A2607" s="169" t="str">
        <f>IFERROR(__xludf.DUMMYFUNCTION("""COMPUTED_VALUE"""),"zahmbie")</f>
        <v>zahmbie</v>
      </c>
      <c r="B2607" s="170" t="str">
        <f>IFERROR(__xludf.DUMMYFUNCTION("""COMPUTED_VALUE"""),"Atlanta, GA")</f>
        <v>Atlanta, GA</v>
      </c>
      <c r="C2607" s="170" t="str">
        <f>IFERROR(__xludf.DUMMYFUNCTION("""COMPUTED_VALUE"""),"GA")</f>
        <v>GA</v>
      </c>
      <c r="D2607" s="170" t="str">
        <f>IFERROR(__xludf.DUMMYFUNCTION("""COMPUTED_VALUE"""),"USA")</f>
        <v>USA</v>
      </c>
      <c r="E2607" s="171">
        <f>IFERROR(__xludf.DUMMYFUNCTION("""COMPUTED_VALUE"""),43304.0)</f>
        <v>43304</v>
      </c>
      <c r="F2607" s="172">
        <f>IFERROR(__xludf.DUMMYFUNCTION("""COMPUTED_VALUE"""),43312.0)</f>
        <v>43312</v>
      </c>
      <c r="G2607" s="173"/>
      <c r="H2607" s="174">
        <f>IFERROR(__xludf.DUMMYFUNCTION("""COMPUTED_VALUE"""),46255.0)</f>
        <v>46255</v>
      </c>
      <c r="I2607" s="175"/>
      <c r="J2607" s="172">
        <f>IFERROR(__xludf.DUMMYFUNCTION("""COMPUTED_VALUE"""),43318.0)</f>
        <v>43318</v>
      </c>
      <c r="K2607" s="176">
        <f>IFERROR(__xludf.DUMMYFUNCTION("""COMPUTED_VALUE"""),8.0)</f>
        <v>8</v>
      </c>
      <c r="L2607" s="176">
        <f>IFERROR(__xludf.DUMMYFUNCTION("""COMPUTED_VALUE"""),6.0)</f>
        <v>6</v>
      </c>
      <c r="M2607" s="176">
        <f>IFERROR(__xludf.DUMMYFUNCTION("""COMPUTED_VALUE"""),14.0)</f>
        <v>14</v>
      </c>
      <c r="N2607" s="177" t="str">
        <f>IFERROR(__xludf.DUMMYFUNCTION("""COMPUTED_VALUE"""),"Model 3 LR")</f>
        <v>Model 3 LR</v>
      </c>
      <c r="O2607" s="177" t="str">
        <f>IFERROR(__xludf.DUMMYFUNCTION("""COMPUTED_VALUE"""),"Midnight Silver Metallic")</f>
        <v>Midnight Silver Metallic</v>
      </c>
      <c r="P2607" s="178" t="str">
        <f>IFERROR(__xludf.DUMMYFUNCTION("""COMPUTED_VALUE"""),"18 inch Aero")</f>
        <v>18 inch Aero</v>
      </c>
      <c r="Q2607" s="177" t="str">
        <f>IFERROR(__xludf.DUMMYFUNCTION("""COMPUTED_VALUE"""),"Black seats")</f>
        <v>Black seats</v>
      </c>
      <c r="R2607" s="170" t="str">
        <f>IFERROR(__xludf.DUMMYFUNCTION("""COMPUTED_VALUE"""),"Enhanced Autopilot")</f>
        <v>Enhanced Autopilot</v>
      </c>
      <c r="S2607" s="170"/>
      <c r="T2607" s="179"/>
      <c r="U2607" s="179"/>
      <c r="V2607" s="179"/>
      <c r="W2607" s="180"/>
      <c r="X2607" s="181" t="str">
        <f>IFERROR(__xludf.DUMMYFUNCTION("""COMPUTED_VALUE"""),"Excellent")</f>
        <v>Excellent</v>
      </c>
      <c r="Y2607" s="182" t="str">
        <f>IFERROR(__xludf.DUMMYFUNCTION("""COMPUTED_VALUE"""),"Excellent")</f>
        <v>Excellent</v>
      </c>
      <c r="Z2607" s="182" t="str">
        <f>IFERROR(__xludf.DUMMYFUNCTION("""COMPUTED_VALUE"""),"Excellent")</f>
        <v>Excellent</v>
      </c>
      <c r="AA2607" s="182" t="str">
        <f>IFERROR(__xludf.DUMMYFUNCTION("""COMPUTED_VALUE"""),"Fair")</f>
        <v>Fair</v>
      </c>
      <c r="AB2607" s="182" t="str">
        <f>IFERROR(__xludf.DUMMYFUNCTION("""COMPUTED_VALUE"""),"Very Good")</f>
        <v>Very Good</v>
      </c>
      <c r="AC2607" s="183"/>
      <c r="AD2607" s="183"/>
      <c r="AE2607" s="183"/>
      <c r="AF2607" s="184"/>
      <c r="AG2607" s="180"/>
      <c r="AH2607" s="185">
        <f>IFERROR(__xludf.DUMMYFUNCTION("""COMPUTED_VALUE"""),43318.52092686343)</f>
        <v>43318.52093</v>
      </c>
      <c r="AI2607" s="182"/>
      <c r="AJ2607" s="182"/>
      <c r="AK2607" s="182"/>
      <c r="AL2607" s="182"/>
    </row>
    <row r="2608" ht="20.25" customHeight="1">
      <c r="A2608" s="169" t="str">
        <f>IFERROR(__xludf.DUMMYFUNCTION("""COMPUTED_VALUE"""),"goochct")</f>
        <v>goochct</v>
      </c>
      <c r="B2608" s="170" t="str">
        <f>IFERROR(__xludf.DUMMYFUNCTION("""COMPUTED_VALUE"""),"Calgary")</f>
        <v>Calgary</v>
      </c>
      <c r="C2608" s="170" t="str">
        <f>IFERROR(__xludf.DUMMYFUNCTION("""COMPUTED_VALUE"""),"AB")</f>
        <v>AB</v>
      </c>
      <c r="D2608" s="170" t="str">
        <f>IFERROR(__xludf.DUMMYFUNCTION("""COMPUTED_VALUE"""),"Canada")</f>
        <v>Canada</v>
      </c>
      <c r="E2608" s="171">
        <f>IFERROR(__xludf.DUMMYFUNCTION("""COMPUTED_VALUE"""),43303.0)</f>
        <v>43303</v>
      </c>
      <c r="F2608" s="172">
        <f>IFERROR(__xludf.DUMMYFUNCTION("""COMPUTED_VALUE"""),43334.0)</f>
        <v>43334</v>
      </c>
      <c r="G2608" s="173"/>
      <c r="H2608" s="174">
        <f>IFERROR(__xludf.DUMMYFUNCTION("""COMPUTED_VALUE"""),95855.0)</f>
        <v>95855</v>
      </c>
      <c r="I2608" s="175"/>
      <c r="J2608" s="172">
        <f>IFERROR(__xludf.DUMMYFUNCTION("""COMPUTED_VALUE"""),43341.0)</f>
        <v>43341</v>
      </c>
      <c r="K2608" s="176">
        <f>IFERROR(__xludf.DUMMYFUNCTION("""COMPUTED_VALUE"""),31.0)</f>
        <v>31</v>
      </c>
      <c r="L2608" s="176">
        <f>IFERROR(__xludf.DUMMYFUNCTION("""COMPUTED_VALUE"""),7.0)</f>
        <v>7</v>
      </c>
      <c r="M2608" s="176">
        <f>IFERROR(__xludf.DUMMYFUNCTION("""COMPUTED_VALUE"""),38.0)</f>
        <v>38</v>
      </c>
      <c r="N2608" s="177" t="str">
        <f>IFERROR(__xludf.DUMMYFUNCTION("""COMPUTED_VALUE"""),"Model 3 LR")</f>
        <v>Model 3 LR</v>
      </c>
      <c r="O2608" s="177" t="str">
        <f>IFERROR(__xludf.DUMMYFUNCTION("""COMPUTED_VALUE"""),"Deep Blue Metallic")</f>
        <v>Deep Blue Metallic</v>
      </c>
      <c r="P2608" s="178" t="str">
        <f>IFERROR(__xludf.DUMMYFUNCTION("""COMPUTED_VALUE"""),"19 inch Sport")</f>
        <v>19 inch Sport</v>
      </c>
      <c r="Q2608" s="177" t="str">
        <f>IFERROR(__xludf.DUMMYFUNCTION("""COMPUTED_VALUE"""),"Black seats")</f>
        <v>Black seats</v>
      </c>
      <c r="R2608" s="170" t="str">
        <f>IFERROR(__xludf.DUMMYFUNCTION("""COMPUTED_VALUE"""),"Enhanced Autopilot")</f>
        <v>Enhanced Autopilot</v>
      </c>
      <c r="S2608" s="170"/>
      <c r="T2608" s="179"/>
      <c r="U2608" s="179"/>
      <c r="V2608" s="179"/>
      <c r="W2608" s="180"/>
      <c r="X2608" s="181" t="str">
        <f>IFERROR(__xludf.DUMMYFUNCTION("""COMPUTED_VALUE"""),"Very Good")</f>
        <v>Very Good</v>
      </c>
      <c r="Y2608" s="182" t="str">
        <f>IFERROR(__xludf.DUMMYFUNCTION("""COMPUTED_VALUE"""),"Excellent")</f>
        <v>Excellent</v>
      </c>
      <c r="Z2608" s="182" t="str">
        <f>IFERROR(__xludf.DUMMYFUNCTION("""COMPUTED_VALUE"""),"Good")</f>
        <v>Good</v>
      </c>
      <c r="AA2608" s="182" t="str">
        <f>IFERROR(__xludf.DUMMYFUNCTION("""COMPUTED_VALUE"""),"Very Good")</f>
        <v>Very Good</v>
      </c>
      <c r="AB2608" s="182" t="str">
        <f>IFERROR(__xludf.DUMMYFUNCTION("""COMPUTED_VALUE"""),"Excellent")</f>
        <v>Excellent</v>
      </c>
      <c r="AC2608" s="183">
        <f>IFERROR(__xludf.DUMMYFUNCTION("""COMPUTED_VALUE"""),2.0)</f>
        <v>2</v>
      </c>
      <c r="AD2608" s="183">
        <f>IFERROR(__xludf.DUMMYFUNCTION("""COMPUTED_VALUE"""),0.0)</f>
        <v>0</v>
      </c>
      <c r="AE2608" s="183"/>
      <c r="AF2608" s="184"/>
      <c r="AG2608" s="180"/>
      <c r="AH2608" s="185">
        <f>IFERROR(__xludf.DUMMYFUNCTION("""COMPUTED_VALUE"""),43341.56372751157)</f>
        <v>43341.56373</v>
      </c>
      <c r="AI2608" s="182"/>
      <c r="AJ2608" s="182"/>
      <c r="AK2608" s="182"/>
      <c r="AL2608" s="182"/>
    </row>
    <row r="2609" ht="20.25" customHeight="1">
      <c r="A2609" s="169" t="str">
        <f>IFERROR(__xludf.DUMMYFUNCTION("""COMPUTED_VALUE"""),"woodisgood")</f>
        <v>woodisgood</v>
      </c>
      <c r="B2609" s="170" t="str">
        <f>IFERROR(__xludf.DUMMYFUNCTION("""COMPUTED_VALUE"""),"SF Bay Area")</f>
        <v>SF Bay Area</v>
      </c>
      <c r="C2609" s="170" t="str">
        <f>IFERROR(__xludf.DUMMYFUNCTION("""COMPUTED_VALUE"""),"CA")</f>
        <v>CA</v>
      </c>
      <c r="D2609" s="170" t="str">
        <f>IFERROR(__xludf.DUMMYFUNCTION("""COMPUTED_VALUE"""),"USA")</f>
        <v>USA</v>
      </c>
      <c r="E2609" s="171">
        <f>IFERROR(__xludf.DUMMYFUNCTION("""COMPUTED_VALUE"""),43303.0)</f>
        <v>43303</v>
      </c>
      <c r="F2609" s="172">
        <f>IFERROR(__xludf.DUMMYFUNCTION("""COMPUTED_VALUE"""),43304.0)</f>
        <v>43304</v>
      </c>
      <c r="G2609" s="173"/>
      <c r="H2609" s="174">
        <f>IFERROR(__xludf.DUMMYFUNCTION("""COMPUTED_VALUE"""),26755.0)</f>
        <v>26755</v>
      </c>
      <c r="I2609" s="175" t="str">
        <f>IFERROR(__xludf.DUMMYFUNCTION("""COMPUTED_VALUE"""),"06/18")</f>
        <v>06/18</v>
      </c>
      <c r="J2609" s="172">
        <f>IFERROR(__xludf.DUMMYFUNCTION("""COMPUTED_VALUE"""),43313.0)</f>
        <v>43313</v>
      </c>
      <c r="K2609" s="176">
        <f>IFERROR(__xludf.DUMMYFUNCTION("""COMPUTED_VALUE"""),1.0)</f>
        <v>1</v>
      </c>
      <c r="L2609" s="176">
        <f>IFERROR(__xludf.DUMMYFUNCTION("""COMPUTED_VALUE"""),9.0)</f>
        <v>9</v>
      </c>
      <c r="M2609" s="176">
        <f>IFERROR(__xludf.DUMMYFUNCTION("""COMPUTED_VALUE"""),10.0)</f>
        <v>10</v>
      </c>
      <c r="N2609" s="177" t="str">
        <f>IFERROR(__xludf.DUMMYFUNCTION("""COMPUTED_VALUE"""),"Model 3 LR")</f>
        <v>Model 3 LR</v>
      </c>
      <c r="O2609" s="177" t="str">
        <f>IFERROR(__xludf.DUMMYFUNCTION("""COMPUTED_VALUE"""),"Midnight Silver Metallic")</f>
        <v>Midnight Silver Metallic</v>
      </c>
      <c r="P2609" s="178" t="str">
        <f>IFERROR(__xludf.DUMMYFUNCTION("""COMPUTED_VALUE"""),"18 inch Aero")</f>
        <v>18 inch Aero</v>
      </c>
      <c r="Q2609" s="177" t="str">
        <f>IFERROR(__xludf.DUMMYFUNCTION("""COMPUTED_VALUE"""),"Black seats")</f>
        <v>Black seats</v>
      </c>
      <c r="R2609" s="170" t="str">
        <f>IFERROR(__xludf.DUMMYFUNCTION("""COMPUTED_VALUE"""),"Enhanced Autopilot")</f>
        <v>Enhanced Autopilot</v>
      </c>
      <c r="S2609" s="170"/>
      <c r="T2609" s="179"/>
      <c r="U2609" s="179"/>
      <c r="V2609" s="179"/>
      <c r="W2609" s="180"/>
      <c r="X2609" s="181" t="str">
        <f>IFERROR(__xludf.DUMMYFUNCTION("""COMPUTED_VALUE"""),"Good")</f>
        <v>Good</v>
      </c>
      <c r="Y2609" s="182" t="str">
        <f>IFERROR(__xludf.DUMMYFUNCTION("""COMPUTED_VALUE"""),"Good")</f>
        <v>Good</v>
      </c>
      <c r="Z2609" s="182" t="str">
        <f>IFERROR(__xludf.DUMMYFUNCTION("""COMPUTED_VALUE"""),"Very Good")</f>
        <v>Very Good</v>
      </c>
      <c r="AA2609" s="182" t="str">
        <f>IFERROR(__xludf.DUMMYFUNCTION("""COMPUTED_VALUE"""),"Good")</f>
        <v>Good</v>
      </c>
      <c r="AB2609" s="182" t="str">
        <f>IFERROR(__xludf.DUMMYFUNCTION("""COMPUTED_VALUE"""),"Good")</f>
        <v>Good</v>
      </c>
      <c r="AC2609" s="183"/>
      <c r="AD2609" s="183"/>
      <c r="AE2609" s="183"/>
      <c r="AF2609" s="184"/>
      <c r="AG2609" s="180"/>
      <c r="AH2609" s="185">
        <f>IFERROR(__xludf.DUMMYFUNCTION("""COMPUTED_VALUE"""),43314.51879744213)</f>
        <v>43314.5188</v>
      </c>
      <c r="AI2609" s="182"/>
      <c r="AJ2609" s="182"/>
      <c r="AK2609" s="182"/>
      <c r="AL2609" s="182"/>
    </row>
    <row r="2610" ht="20.25" customHeight="1">
      <c r="A2610" s="169" t="str">
        <f>IFERROR(__xludf.DUMMYFUNCTION("""COMPUTED_VALUE"""),"Lopaka")</f>
        <v>Lopaka</v>
      </c>
      <c r="B2610" s="170"/>
      <c r="C2610" s="170" t="str">
        <f>IFERROR(__xludf.DUMMYFUNCTION("""COMPUTED_VALUE"""),"VA")</f>
        <v>VA</v>
      </c>
      <c r="D2610" s="170" t="str">
        <f>IFERROR(__xludf.DUMMYFUNCTION("""COMPUTED_VALUE"""),"USA")</f>
        <v>USA</v>
      </c>
      <c r="E2610" s="171">
        <f>IFERROR(__xludf.DUMMYFUNCTION("""COMPUTED_VALUE"""),43302.0)</f>
        <v>43302</v>
      </c>
      <c r="F2610" s="172">
        <f>IFERROR(__xludf.DUMMYFUNCTION("""COMPUTED_VALUE"""),43366.0)</f>
        <v>43366</v>
      </c>
      <c r="G2610" s="173"/>
      <c r="H2610" s="174">
        <f>IFERROR(__xludf.DUMMYFUNCTION("""COMPUTED_VALUE"""),82355.0)</f>
        <v>82355</v>
      </c>
      <c r="I2610" s="175"/>
      <c r="J2610" s="172">
        <f>IFERROR(__xludf.DUMMYFUNCTION("""COMPUTED_VALUE"""),43372.0)</f>
        <v>43372</v>
      </c>
      <c r="K2610" s="176">
        <f>IFERROR(__xludf.DUMMYFUNCTION("""COMPUTED_VALUE"""),64.0)</f>
        <v>64</v>
      </c>
      <c r="L2610" s="176">
        <f>IFERROR(__xludf.DUMMYFUNCTION("""COMPUTED_VALUE"""),6.0)</f>
        <v>6</v>
      </c>
      <c r="M2610" s="176">
        <f>IFERROR(__xludf.DUMMYFUNCTION("""COMPUTED_VALUE"""),70.0)</f>
        <v>70</v>
      </c>
      <c r="N2610" s="177" t="str">
        <f>IFERROR(__xludf.DUMMYFUNCTION("""COMPUTED_VALUE"""),"Model 3 Performance")</f>
        <v>Model 3 Performance</v>
      </c>
      <c r="O2610" s="177" t="str">
        <f>IFERROR(__xludf.DUMMYFUNCTION("""COMPUTED_VALUE"""),"Solid Black")</f>
        <v>Solid Black</v>
      </c>
      <c r="P2610" s="178" t="str">
        <f>IFERROR(__xludf.DUMMYFUNCTION("""COMPUTED_VALUE"""),"20 inch Sport")</f>
        <v>20 inch Sport</v>
      </c>
      <c r="Q2610" s="177" t="str">
        <f>IFERROR(__xludf.DUMMYFUNCTION("""COMPUTED_VALUE"""),"Black seats")</f>
        <v>Black seats</v>
      </c>
      <c r="R2610" s="170" t="str">
        <f>IFERROR(__xludf.DUMMYFUNCTION("""COMPUTED_VALUE"""),"Full Self-Driving")</f>
        <v>Full Self-Driving</v>
      </c>
      <c r="S2610" s="170"/>
      <c r="T2610" s="179"/>
      <c r="U2610" s="179"/>
      <c r="V2610" s="179"/>
      <c r="W2610" s="180"/>
      <c r="X2610" s="181"/>
      <c r="Y2610" s="182"/>
      <c r="Z2610" s="182"/>
      <c r="AA2610" s="182" t="str">
        <f>IFERROR(__xludf.DUMMYFUNCTION("""COMPUTED_VALUE"""),"Fair")</f>
        <v>Fair</v>
      </c>
      <c r="AB2610" s="182"/>
      <c r="AC2610" s="183"/>
      <c r="AD2610" s="183"/>
      <c r="AE2610" s="183"/>
      <c r="AF2610" s="184"/>
      <c r="AG2610" s="180" t="str">
        <f>IFERROR(__xludf.DUMMYFUNCTION("""COMPUTED_VALUE"""),"Reconfigured to red/white on 8/12; re-reconfigured to black/black on 8/27")</f>
        <v>Reconfigured to red/white on 8/12; re-reconfigured to black/black on 8/27</v>
      </c>
      <c r="AH2610" s="185">
        <f>IFERROR(__xludf.DUMMYFUNCTION("""COMPUTED_VALUE"""),43366.50568760416)</f>
        <v>43366.50569</v>
      </c>
      <c r="AI2610" s="182"/>
      <c r="AJ2610" s="182"/>
      <c r="AK2610" s="182"/>
      <c r="AL2610" s="182"/>
    </row>
    <row r="2611" ht="20.25" customHeight="1">
      <c r="A2611" s="169" t="str">
        <f>IFERROR(__xludf.DUMMYFUNCTION("""COMPUTED_VALUE"""),"regnayt")</f>
        <v>regnayt</v>
      </c>
      <c r="B2611" s="170" t="str">
        <f>IFERROR(__xludf.DUMMYFUNCTION("""COMPUTED_VALUE"""),"DFW")</f>
        <v>DFW</v>
      </c>
      <c r="C2611" s="170" t="str">
        <f>IFERROR(__xludf.DUMMYFUNCTION("""COMPUTED_VALUE"""),"TX")</f>
        <v>TX</v>
      </c>
      <c r="D2611" s="170" t="str">
        <f>IFERROR(__xludf.DUMMYFUNCTION("""COMPUTED_VALUE"""),"USA")</f>
        <v>USA</v>
      </c>
      <c r="E2611" s="171">
        <f>IFERROR(__xludf.DUMMYFUNCTION("""COMPUTED_VALUE"""),43302.0)</f>
        <v>43302</v>
      </c>
      <c r="F2611" s="172">
        <f>IFERROR(__xludf.DUMMYFUNCTION("""COMPUTED_VALUE"""),43375.0)</f>
        <v>43375</v>
      </c>
      <c r="G2611" s="173"/>
      <c r="H2611" s="174">
        <f>IFERROR(__xludf.DUMMYFUNCTION("""COMPUTED_VALUE"""),116055.0)</f>
        <v>116055</v>
      </c>
      <c r="I2611" s="175"/>
      <c r="J2611" s="172">
        <f>IFERROR(__xludf.DUMMYFUNCTION("""COMPUTED_VALUE"""),43384.0)</f>
        <v>43384</v>
      </c>
      <c r="K2611" s="176">
        <f>IFERROR(__xludf.DUMMYFUNCTION("""COMPUTED_VALUE"""),73.0)</f>
        <v>73</v>
      </c>
      <c r="L2611" s="176">
        <f>IFERROR(__xludf.DUMMYFUNCTION("""COMPUTED_VALUE"""),9.0)</f>
        <v>9</v>
      </c>
      <c r="M2611" s="176">
        <f>IFERROR(__xludf.DUMMYFUNCTION("""COMPUTED_VALUE"""),82.0)</f>
        <v>82</v>
      </c>
      <c r="N2611" s="177" t="str">
        <f>IFERROR(__xludf.DUMMYFUNCTION("""COMPUTED_VALUE"""),"Model 3 LR AWD")</f>
        <v>Model 3 LR AWD</v>
      </c>
      <c r="O2611" s="177" t="str">
        <f>IFERROR(__xludf.DUMMYFUNCTION("""COMPUTED_VALUE"""),"Deep Blue Metallic")</f>
        <v>Deep Blue Metallic</v>
      </c>
      <c r="P2611" s="178" t="str">
        <f>IFERROR(__xludf.DUMMYFUNCTION("""COMPUTED_VALUE"""),"19 inch Sport")</f>
        <v>19 inch Sport</v>
      </c>
      <c r="Q2611" s="177" t="str">
        <f>IFERROR(__xludf.DUMMYFUNCTION("""COMPUTED_VALUE"""),"Black seats")</f>
        <v>Black seats</v>
      </c>
      <c r="R2611" s="170" t="str">
        <f>IFERROR(__xludf.DUMMYFUNCTION("""COMPUTED_VALUE"""),"Enhanced Autopilot")</f>
        <v>Enhanced Autopilot</v>
      </c>
      <c r="S2611" s="170"/>
      <c r="T2611" s="179"/>
      <c r="U2611" s="179"/>
      <c r="V2611" s="179"/>
      <c r="W2611" s="180"/>
      <c r="X2611" s="181" t="str">
        <f>IFERROR(__xludf.DUMMYFUNCTION("""COMPUTED_VALUE"""),"Very Good")</f>
        <v>Very Good</v>
      </c>
      <c r="Y2611" s="182" t="str">
        <f>IFERROR(__xludf.DUMMYFUNCTION("""COMPUTED_VALUE"""),"Very Good")</f>
        <v>Very Good</v>
      </c>
      <c r="Z2611" s="182" t="str">
        <f>IFERROR(__xludf.DUMMYFUNCTION("""COMPUTED_VALUE"""),"Very Good")</f>
        <v>Very Good</v>
      </c>
      <c r="AA2611" s="182" t="str">
        <f>IFERROR(__xludf.DUMMYFUNCTION("""COMPUTED_VALUE"""),"Very Good")</f>
        <v>Very Good</v>
      </c>
      <c r="AB2611" s="182" t="str">
        <f>IFERROR(__xludf.DUMMYFUNCTION("""COMPUTED_VALUE"""),"Very Good")</f>
        <v>Very Good</v>
      </c>
      <c r="AC2611" s="183"/>
      <c r="AD2611" s="183"/>
      <c r="AE2611" s="183"/>
      <c r="AF2611" s="184"/>
      <c r="AG2611" s="180"/>
      <c r="AH2611" s="185">
        <f>IFERROR(__xludf.DUMMYFUNCTION("""COMPUTED_VALUE"""),43384.81548946759)</f>
        <v>43384.81549</v>
      </c>
      <c r="AI2611" s="182"/>
      <c r="AJ2611" s="182"/>
      <c r="AK2611" s="182"/>
      <c r="AL2611" s="182"/>
    </row>
    <row r="2612" ht="20.25" customHeight="1">
      <c r="A2612" s="169" t="str">
        <f>IFERROR(__xludf.DUMMYFUNCTION("""COMPUTED_VALUE"""),"coltsdude")</f>
        <v>coltsdude</v>
      </c>
      <c r="B2612" s="170" t="str">
        <f>IFERROR(__xludf.DUMMYFUNCTION("""COMPUTED_VALUE"""),"Fishers")</f>
        <v>Fishers</v>
      </c>
      <c r="C2612" s="170" t="str">
        <f>IFERROR(__xludf.DUMMYFUNCTION("""COMPUTED_VALUE"""),"IN")</f>
        <v>IN</v>
      </c>
      <c r="D2612" s="170" t="str">
        <f>IFERROR(__xludf.DUMMYFUNCTION("""COMPUTED_VALUE"""),"USA")</f>
        <v>USA</v>
      </c>
      <c r="E2612" s="171">
        <f>IFERROR(__xludf.DUMMYFUNCTION("""COMPUTED_VALUE"""),43301.0)</f>
        <v>43301</v>
      </c>
      <c r="F2612" s="172"/>
      <c r="G2612" s="173"/>
      <c r="H2612" s="174">
        <f>IFERROR(__xludf.DUMMYFUNCTION("""COMPUTED_VALUE"""),87455.0)</f>
        <v>87455</v>
      </c>
      <c r="I2612" s="175"/>
      <c r="J2612" s="172">
        <f>IFERROR(__xludf.DUMMYFUNCTION("""COMPUTED_VALUE"""),43378.0)</f>
        <v>43378</v>
      </c>
      <c r="K2612" s="176"/>
      <c r="L2612" s="176"/>
      <c r="M2612" s="176">
        <f>IFERROR(__xludf.DUMMYFUNCTION("""COMPUTED_VALUE"""),77.0)</f>
        <v>77</v>
      </c>
      <c r="N2612" s="177" t="str">
        <f>IFERROR(__xludf.DUMMYFUNCTION("""COMPUTED_VALUE"""),"Model 3 LR AWD")</f>
        <v>Model 3 LR AWD</v>
      </c>
      <c r="O2612" s="177" t="str">
        <f>IFERROR(__xludf.DUMMYFUNCTION("""COMPUTED_VALUE"""),"Midnight Silver Metallic")</f>
        <v>Midnight Silver Metallic</v>
      </c>
      <c r="P2612" s="178" t="str">
        <f>IFERROR(__xludf.DUMMYFUNCTION("""COMPUTED_VALUE"""),"19 inch Sport")</f>
        <v>19 inch Sport</v>
      </c>
      <c r="Q2612" s="177" t="str">
        <f>IFERROR(__xludf.DUMMYFUNCTION("""COMPUTED_VALUE"""),"Black seats")</f>
        <v>Black seats</v>
      </c>
      <c r="R2612" s="170" t="str">
        <f>IFERROR(__xludf.DUMMYFUNCTION("""COMPUTED_VALUE"""),"Full Self-Driving")</f>
        <v>Full Self-Driving</v>
      </c>
      <c r="S2612" s="170"/>
      <c r="T2612" s="179"/>
      <c r="U2612" s="179"/>
      <c r="V2612" s="179"/>
      <c r="W2612" s="180"/>
      <c r="X2612" s="181"/>
      <c r="Y2612" s="182"/>
      <c r="Z2612" s="182"/>
      <c r="AA2612" s="182" t="str">
        <f>IFERROR(__xludf.DUMMYFUNCTION("""COMPUTED_VALUE"""),"Excellent")</f>
        <v>Excellent</v>
      </c>
      <c r="AB2612" s="182"/>
      <c r="AC2612" s="183"/>
      <c r="AD2612" s="183"/>
      <c r="AE2612" s="183"/>
      <c r="AF2612" s="184"/>
      <c r="AG2612" s="180"/>
      <c r="AH2612" s="185">
        <f>IFERROR(__xludf.DUMMYFUNCTION("""COMPUTED_VALUE"""),43377.33241849537)</f>
        <v>43377.33242</v>
      </c>
      <c r="AI2612" s="182"/>
      <c r="AJ2612" s="182"/>
      <c r="AK2612" s="182"/>
      <c r="AL2612" s="182"/>
    </row>
    <row r="2613" ht="20.25" customHeight="1">
      <c r="A2613" s="169" t="str">
        <f>IFERROR(__xludf.DUMMYFUNCTION("""COMPUTED_VALUE"""),"donnakt")</f>
        <v>donnakt</v>
      </c>
      <c r="B2613" s="170" t="str">
        <f>IFERROR(__xludf.DUMMYFUNCTION("""COMPUTED_VALUE"""),"Orange County")</f>
        <v>Orange County</v>
      </c>
      <c r="C2613" s="170" t="str">
        <f>IFERROR(__xludf.DUMMYFUNCTION("""COMPUTED_VALUE"""),"CA")</f>
        <v>CA</v>
      </c>
      <c r="D2613" s="170" t="str">
        <f>IFERROR(__xludf.DUMMYFUNCTION("""COMPUTED_VALUE"""),"USA")</f>
        <v>USA</v>
      </c>
      <c r="E2613" s="171">
        <f>IFERROR(__xludf.DUMMYFUNCTION("""COMPUTED_VALUE"""),43301.0)</f>
        <v>43301</v>
      </c>
      <c r="F2613" s="172">
        <f>IFERROR(__xludf.DUMMYFUNCTION("""COMPUTED_VALUE"""),43313.0)</f>
        <v>43313</v>
      </c>
      <c r="G2613" s="173"/>
      <c r="H2613" s="174">
        <f>IFERROR(__xludf.DUMMYFUNCTION("""COMPUTED_VALUE"""),53225.0)</f>
        <v>53225</v>
      </c>
      <c r="I2613" s="175"/>
      <c r="J2613" s="172">
        <f>IFERROR(__xludf.DUMMYFUNCTION("""COMPUTED_VALUE"""),43343.0)</f>
        <v>43343</v>
      </c>
      <c r="K2613" s="176">
        <f>IFERROR(__xludf.DUMMYFUNCTION("""COMPUTED_VALUE"""),12.0)</f>
        <v>12</v>
      </c>
      <c r="L2613" s="176">
        <f>IFERROR(__xludf.DUMMYFUNCTION("""COMPUTED_VALUE"""),30.0)</f>
        <v>30</v>
      </c>
      <c r="M2613" s="176">
        <f>IFERROR(__xludf.DUMMYFUNCTION("""COMPUTED_VALUE"""),42.0)</f>
        <v>42</v>
      </c>
      <c r="N2613" s="177" t="str">
        <f>IFERROR(__xludf.DUMMYFUNCTION("""COMPUTED_VALUE"""),"Model 3 LR")</f>
        <v>Model 3 LR</v>
      </c>
      <c r="O2613" s="177" t="str">
        <f>IFERROR(__xludf.DUMMYFUNCTION("""COMPUTED_VALUE"""),"Pearl White Multi-Coat")</f>
        <v>Pearl White Multi-Coat</v>
      </c>
      <c r="P2613" s="178" t="str">
        <f>IFERROR(__xludf.DUMMYFUNCTION("""COMPUTED_VALUE"""),"18 inch Aero")</f>
        <v>18 inch Aero</v>
      </c>
      <c r="Q2613" s="177" t="str">
        <f>IFERROR(__xludf.DUMMYFUNCTION("""COMPUTED_VALUE"""),"Black seats")</f>
        <v>Black seats</v>
      </c>
      <c r="R2613" s="170" t="str">
        <f>IFERROR(__xludf.DUMMYFUNCTION("""COMPUTED_VALUE"""),"Enhanced Autopilot")</f>
        <v>Enhanced Autopilot</v>
      </c>
      <c r="S2613" s="170"/>
      <c r="T2613" s="179"/>
      <c r="U2613" s="179"/>
      <c r="V2613" s="179"/>
      <c r="W2613" s="180"/>
      <c r="X2613" s="181" t="str">
        <f>IFERROR(__xludf.DUMMYFUNCTION("""COMPUTED_VALUE"""),"Very Good")</f>
        <v>Very Good</v>
      </c>
      <c r="Y2613" s="182" t="str">
        <f>IFERROR(__xludf.DUMMYFUNCTION("""COMPUTED_VALUE"""),"Good")</f>
        <v>Good</v>
      </c>
      <c r="Z2613" s="182" t="str">
        <f>IFERROR(__xludf.DUMMYFUNCTION("""COMPUTED_VALUE"""),"Good")</f>
        <v>Good</v>
      </c>
      <c r="AA2613" s="182" t="str">
        <f>IFERROR(__xludf.DUMMYFUNCTION("""COMPUTED_VALUE"""),"Poor")</f>
        <v>Poor</v>
      </c>
      <c r="AB2613" s="182" t="str">
        <f>IFERROR(__xludf.DUMMYFUNCTION("""COMPUTED_VALUE"""),"Good")</f>
        <v>Good</v>
      </c>
      <c r="AC2613" s="183">
        <f>IFERROR(__xludf.DUMMYFUNCTION("""COMPUTED_VALUE"""),3.0)</f>
        <v>3</v>
      </c>
      <c r="AD2613" s="183"/>
      <c r="AE2613" s="183"/>
      <c r="AF2613" s="184"/>
      <c r="AG2613" s="180" t="str">
        <f>IFERROR(__xludf.DUMMYFUNCTION("""COMPUTED_VALUE"""),"Cancelled delivery 8/7/18, new VIN assigned 8/27")</f>
        <v>Cancelled delivery 8/7/18, new VIN assigned 8/27</v>
      </c>
      <c r="AH2613" s="185">
        <f>IFERROR(__xludf.DUMMYFUNCTION("""COMPUTED_VALUE"""),43344.299175416665)</f>
        <v>43344.29918</v>
      </c>
      <c r="AI2613" s="182"/>
      <c r="AJ2613" s="182"/>
      <c r="AK2613" s="182"/>
      <c r="AL2613" s="182"/>
    </row>
    <row r="2614" ht="20.25" customHeight="1">
      <c r="A2614" s="169" t="str">
        <f>IFERROR(__xludf.DUMMYFUNCTION("""COMPUTED_VALUE"""),"Smallfootprint")</f>
        <v>Smallfootprint</v>
      </c>
      <c r="B2614" s="170" t="str">
        <f>IFERROR(__xludf.DUMMYFUNCTION("""COMPUTED_VALUE"""),"Water Mill")</f>
        <v>Water Mill</v>
      </c>
      <c r="C2614" s="170" t="str">
        <f>IFERROR(__xludf.DUMMYFUNCTION("""COMPUTED_VALUE"""),"NY")</f>
        <v>NY</v>
      </c>
      <c r="D2614" s="170" t="str">
        <f>IFERROR(__xludf.DUMMYFUNCTION("""COMPUTED_VALUE"""),"USA")</f>
        <v>USA</v>
      </c>
      <c r="E2614" s="171">
        <f>IFERROR(__xludf.DUMMYFUNCTION("""COMPUTED_VALUE"""),43301.0)</f>
        <v>43301</v>
      </c>
      <c r="F2614" s="172">
        <f>IFERROR(__xludf.DUMMYFUNCTION("""COMPUTED_VALUE"""),43385.0)</f>
        <v>43385</v>
      </c>
      <c r="G2614" s="173"/>
      <c r="H2614" s="174">
        <f>IFERROR(__xludf.DUMMYFUNCTION("""COMPUTED_VALUE"""),93130.0)</f>
        <v>93130</v>
      </c>
      <c r="I2614" s="175"/>
      <c r="J2614" s="172">
        <f>IFERROR(__xludf.DUMMYFUNCTION("""COMPUTED_VALUE"""),43388.0)</f>
        <v>43388</v>
      </c>
      <c r="K2614" s="176">
        <f>IFERROR(__xludf.DUMMYFUNCTION("""COMPUTED_VALUE"""),84.0)</f>
        <v>84</v>
      </c>
      <c r="L2614" s="176">
        <f>IFERROR(__xludf.DUMMYFUNCTION("""COMPUTED_VALUE"""),3.0)</f>
        <v>3</v>
      </c>
      <c r="M2614" s="176">
        <f>IFERROR(__xludf.DUMMYFUNCTION("""COMPUTED_VALUE"""),87.0)</f>
        <v>87</v>
      </c>
      <c r="N2614" s="177" t="str">
        <f>IFERROR(__xludf.DUMMYFUNCTION("""COMPUTED_VALUE"""),"Model 3 LR AWD")</f>
        <v>Model 3 LR AWD</v>
      </c>
      <c r="O2614" s="177" t="str">
        <f>IFERROR(__xludf.DUMMYFUNCTION("""COMPUTED_VALUE"""),"Midnight Silver Metallic")</f>
        <v>Midnight Silver Metallic</v>
      </c>
      <c r="P2614" s="178" t="str">
        <f>IFERROR(__xludf.DUMMYFUNCTION("""COMPUTED_VALUE"""),"18 inch Aero")</f>
        <v>18 inch Aero</v>
      </c>
      <c r="Q2614" s="177" t="str">
        <f>IFERROR(__xludf.DUMMYFUNCTION("""COMPUTED_VALUE"""),"Black seats")</f>
        <v>Black seats</v>
      </c>
      <c r="R2614" s="170" t="str">
        <f>IFERROR(__xludf.DUMMYFUNCTION("""COMPUTED_VALUE"""),"Enhanced Autopilot")</f>
        <v>Enhanced Autopilot</v>
      </c>
      <c r="S2614" s="170"/>
      <c r="T2614" s="179"/>
      <c r="U2614" s="179"/>
      <c r="V2614" s="179"/>
      <c r="W2614" s="180"/>
      <c r="X2614" s="181"/>
      <c r="Y2614" s="182"/>
      <c r="Z2614" s="182"/>
      <c r="AA2614" s="182" t="str">
        <f>IFERROR(__xludf.DUMMYFUNCTION("""COMPUTED_VALUE"""),"Poor")</f>
        <v>Poor</v>
      </c>
      <c r="AB2614" s="182"/>
      <c r="AC2614" s="183"/>
      <c r="AD2614" s="183"/>
      <c r="AE2614" s="183"/>
      <c r="AF2614" s="184"/>
      <c r="AG2614" s="180"/>
      <c r="AH2614" s="185">
        <f>IFERROR(__xludf.DUMMYFUNCTION("""COMPUTED_VALUE"""),43385.45697593749)</f>
        <v>43385.45698</v>
      </c>
      <c r="AI2614" s="182"/>
      <c r="AJ2614" s="182"/>
      <c r="AK2614" s="182"/>
      <c r="AL2614" s="182"/>
    </row>
    <row r="2615" ht="20.25" customHeight="1">
      <c r="A2615" s="169" t="str">
        <f>IFERROR(__xludf.DUMMYFUNCTION("""COMPUTED_VALUE"""),"srjinatl")</f>
        <v>srjinatl</v>
      </c>
      <c r="B2615" s="170" t="str">
        <f>IFERROR(__xludf.DUMMYFUNCTION("""COMPUTED_VALUE"""),"Marietta")</f>
        <v>Marietta</v>
      </c>
      <c r="C2615" s="170" t="str">
        <f>IFERROR(__xludf.DUMMYFUNCTION("""COMPUTED_VALUE"""),"GA")</f>
        <v>GA</v>
      </c>
      <c r="D2615" s="170" t="str">
        <f>IFERROR(__xludf.DUMMYFUNCTION("""COMPUTED_VALUE"""),"USA")</f>
        <v>USA</v>
      </c>
      <c r="E2615" s="171">
        <f>IFERROR(__xludf.DUMMYFUNCTION("""COMPUTED_VALUE"""),43301.0)</f>
        <v>43301</v>
      </c>
      <c r="F2615" s="172">
        <f>IFERROR(__xludf.DUMMYFUNCTION("""COMPUTED_VALUE"""),43379.0)</f>
        <v>43379</v>
      </c>
      <c r="G2615" s="173"/>
      <c r="H2615" s="174">
        <f>IFERROR(__xludf.DUMMYFUNCTION("""COMPUTED_VALUE"""),94055.0)</f>
        <v>94055</v>
      </c>
      <c r="I2615" s="175"/>
      <c r="J2615" s="172">
        <f>IFERROR(__xludf.DUMMYFUNCTION("""COMPUTED_VALUE"""),43405.0)</f>
        <v>43405</v>
      </c>
      <c r="K2615" s="176">
        <f>IFERROR(__xludf.DUMMYFUNCTION("""COMPUTED_VALUE"""),78.0)</f>
        <v>78</v>
      </c>
      <c r="L2615" s="176">
        <f>IFERROR(__xludf.DUMMYFUNCTION("""COMPUTED_VALUE"""),26.0)</f>
        <v>26</v>
      </c>
      <c r="M2615" s="176">
        <f>IFERROR(__xludf.DUMMYFUNCTION("""COMPUTED_VALUE"""),104.0)</f>
        <v>104</v>
      </c>
      <c r="N2615" s="177" t="str">
        <f>IFERROR(__xludf.DUMMYFUNCTION("""COMPUTED_VALUE"""),"Model 3 LR AWD")</f>
        <v>Model 3 LR AWD</v>
      </c>
      <c r="O2615" s="177" t="str">
        <f>IFERROR(__xludf.DUMMYFUNCTION("""COMPUTED_VALUE"""),"Midnight Silver Metallic")</f>
        <v>Midnight Silver Metallic</v>
      </c>
      <c r="P2615" s="178" t="str">
        <f>IFERROR(__xludf.DUMMYFUNCTION("""COMPUTED_VALUE"""),"18 inch Aero")</f>
        <v>18 inch Aero</v>
      </c>
      <c r="Q2615" s="177" t="str">
        <f>IFERROR(__xludf.DUMMYFUNCTION("""COMPUTED_VALUE"""),"Black seats")</f>
        <v>Black seats</v>
      </c>
      <c r="R2615" s="170" t="str">
        <f>IFERROR(__xludf.DUMMYFUNCTION("""COMPUTED_VALUE"""),"Full Self-Driving")</f>
        <v>Full Self-Driving</v>
      </c>
      <c r="S2615" s="170"/>
      <c r="T2615" s="179"/>
      <c r="U2615" s="179"/>
      <c r="V2615" s="179"/>
      <c r="W2615" s="180"/>
      <c r="X2615" s="181" t="str">
        <f>IFERROR(__xludf.DUMMYFUNCTION("""COMPUTED_VALUE"""),"Excellent")</f>
        <v>Excellent</v>
      </c>
      <c r="Y2615" s="182" t="str">
        <f>IFERROR(__xludf.DUMMYFUNCTION("""COMPUTED_VALUE"""),"Excellent")</f>
        <v>Excellent</v>
      </c>
      <c r="Z2615" s="182" t="str">
        <f>IFERROR(__xludf.DUMMYFUNCTION("""COMPUTED_VALUE"""),"Excellent")</f>
        <v>Excellent</v>
      </c>
      <c r="AA2615" s="182" t="str">
        <f>IFERROR(__xludf.DUMMYFUNCTION("""COMPUTED_VALUE"""),"Good")</f>
        <v>Good</v>
      </c>
      <c r="AB2615" s="182" t="str">
        <f>IFERROR(__xludf.DUMMYFUNCTION("""COMPUTED_VALUE"""),"Good")</f>
        <v>Good</v>
      </c>
      <c r="AC2615" s="183">
        <f>IFERROR(__xludf.DUMMYFUNCTION("""COMPUTED_VALUE"""),0.0)</f>
        <v>0</v>
      </c>
      <c r="AD2615" s="183">
        <f>IFERROR(__xludf.DUMMYFUNCTION("""COMPUTED_VALUE"""),0.0)</f>
        <v>0</v>
      </c>
      <c r="AE2615" s="183">
        <f>IFERROR(__xludf.DUMMYFUNCTION("""COMPUTED_VALUE"""),0.0)</f>
        <v>0</v>
      </c>
      <c r="AF2615" s="184"/>
      <c r="AG2615" s="180"/>
      <c r="AH2615" s="185">
        <f>IFERROR(__xludf.DUMMYFUNCTION("""COMPUTED_VALUE"""),43760.23147363426)</f>
        <v>43760.23147</v>
      </c>
      <c r="AI2615" s="182"/>
      <c r="AJ2615" s="182"/>
      <c r="AK2615" s="182"/>
      <c r="AL2615" s="182"/>
    </row>
    <row r="2616" ht="20.25" customHeight="1">
      <c r="A2616" s="169" t="str">
        <f>IFERROR(__xludf.DUMMYFUNCTION("""COMPUTED_VALUE"""),"superdullboy")</f>
        <v>superdullboy</v>
      </c>
      <c r="B2616" s="170" t="str">
        <f>IFERROR(__xludf.DUMMYFUNCTION("""COMPUTED_VALUE"""),"Phoenix")</f>
        <v>Phoenix</v>
      </c>
      <c r="C2616" s="170" t="str">
        <f>IFERROR(__xludf.DUMMYFUNCTION("""COMPUTED_VALUE"""),"AZ")</f>
        <v>AZ</v>
      </c>
      <c r="D2616" s="170" t="str">
        <f>IFERROR(__xludf.DUMMYFUNCTION("""COMPUTED_VALUE"""),"USA")</f>
        <v>USA</v>
      </c>
      <c r="E2616" s="171">
        <f>IFERROR(__xludf.DUMMYFUNCTION("""COMPUTED_VALUE"""),43301.0)</f>
        <v>43301</v>
      </c>
      <c r="F2616" s="172">
        <f>IFERROR(__xludf.DUMMYFUNCTION("""COMPUTED_VALUE"""),43304.0)</f>
        <v>43304</v>
      </c>
      <c r="G2616" s="173"/>
      <c r="H2616" s="174">
        <f>IFERROR(__xludf.DUMMYFUNCTION("""COMPUTED_VALUE"""),50908.0)</f>
        <v>50908</v>
      </c>
      <c r="I2616" s="175" t="str">
        <f>IFERROR(__xludf.DUMMYFUNCTION("""COMPUTED_VALUE"""),"07/18")</f>
        <v>07/18</v>
      </c>
      <c r="J2616" s="172">
        <f>IFERROR(__xludf.DUMMYFUNCTION("""COMPUTED_VALUE"""),43306.0)</f>
        <v>43306</v>
      </c>
      <c r="K2616" s="176">
        <f>IFERROR(__xludf.DUMMYFUNCTION("""COMPUTED_VALUE"""),3.0)</f>
        <v>3</v>
      </c>
      <c r="L2616" s="176">
        <f>IFERROR(__xludf.DUMMYFUNCTION("""COMPUTED_VALUE"""),2.0)</f>
        <v>2</v>
      </c>
      <c r="M2616" s="176">
        <f>IFERROR(__xludf.DUMMYFUNCTION("""COMPUTED_VALUE"""),5.0)</f>
        <v>5</v>
      </c>
      <c r="N2616" s="177" t="str">
        <f>IFERROR(__xludf.DUMMYFUNCTION("""COMPUTED_VALUE"""),"Model 3 LR")</f>
        <v>Model 3 LR</v>
      </c>
      <c r="O2616" s="177" t="str">
        <f>IFERROR(__xludf.DUMMYFUNCTION("""COMPUTED_VALUE"""),"Silver Metallic")</f>
        <v>Silver Metallic</v>
      </c>
      <c r="P2616" s="178" t="str">
        <f>IFERROR(__xludf.DUMMYFUNCTION("""COMPUTED_VALUE"""),"19 inch Sport")</f>
        <v>19 inch Sport</v>
      </c>
      <c r="Q2616" s="177" t="str">
        <f>IFERROR(__xludf.DUMMYFUNCTION("""COMPUTED_VALUE"""),"Black seats")</f>
        <v>Black seats</v>
      </c>
      <c r="R2616" s="170" t="str">
        <f>IFERROR(__xludf.DUMMYFUNCTION("""COMPUTED_VALUE"""),"Full Self-Driving")</f>
        <v>Full Self-Driving</v>
      </c>
      <c r="S2616" s="170"/>
      <c r="T2616" s="179"/>
      <c r="U2616" s="179"/>
      <c r="V2616" s="179"/>
      <c r="W2616" s="180"/>
      <c r="X2616" s="181" t="str">
        <f>IFERROR(__xludf.DUMMYFUNCTION("""COMPUTED_VALUE"""),"Excellent")</f>
        <v>Excellent</v>
      </c>
      <c r="Y2616" s="182" t="str">
        <f>IFERROR(__xludf.DUMMYFUNCTION("""COMPUTED_VALUE"""),"Excellent")</f>
        <v>Excellent</v>
      </c>
      <c r="Z2616" s="182" t="str">
        <f>IFERROR(__xludf.DUMMYFUNCTION("""COMPUTED_VALUE"""),"Excellent")</f>
        <v>Excellent</v>
      </c>
      <c r="AA2616" s="182" t="str">
        <f>IFERROR(__xludf.DUMMYFUNCTION("""COMPUTED_VALUE"""),"Good")</f>
        <v>Good</v>
      </c>
      <c r="AB2616" s="182" t="str">
        <f>IFERROR(__xludf.DUMMYFUNCTION("""COMPUTED_VALUE"""),"Fair")</f>
        <v>Fair</v>
      </c>
      <c r="AC2616" s="183"/>
      <c r="AD2616" s="183"/>
      <c r="AE2616" s="183"/>
      <c r="AF2616" s="184"/>
      <c r="AG2616" s="180"/>
      <c r="AH2616" s="185">
        <f>IFERROR(__xludf.DUMMYFUNCTION("""COMPUTED_VALUE"""),43306.669378402774)</f>
        <v>43306.66938</v>
      </c>
      <c r="AI2616" s="182"/>
      <c r="AJ2616" s="182"/>
      <c r="AK2616" s="182"/>
      <c r="AL2616" s="182"/>
    </row>
    <row r="2617" ht="20.25" customHeight="1">
      <c r="A2617" s="169" t="str">
        <f>IFERROR(__xludf.DUMMYFUNCTION("""COMPUTED_VALUE"""),"tmlowe")</f>
        <v>tmlowe</v>
      </c>
      <c r="B2617" s="170" t="str">
        <f>IFERROR(__xludf.DUMMYFUNCTION("""COMPUTED_VALUE"""),"San Jose")</f>
        <v>San Jose</v>
      </c>
      <c r="C2617" s="170" t="str">
        <f>IFERROR(__xludf.DUMMYFUNCTION("""COMPUTED_VALUE"""),"CA")</f>
        <v>CA</v>
      </c>
      <c r="D2617" s="170" t="str">
        <f>IFERROR(__xludf.DUMMYFUNCTION("""COMPUTED_VALUE"""),"USA")</f>
        <v>USA</v>
      </c>
      <c r="E2617" s="171">
        <f>IFERROR(__xludf.DUMMYFUNCTION("""COMPUTED_VALUE"""),43301.0)</f>
        <v>43301</v>
      </c>
      <c r="F2617" s="172">
        <f>IFERROR(__xludf.DUMMYFUNCTION("""COMPUTED_VALUE"""),43311.0)</f>
        <v>43311</v>
      </c>
      <c r="G2617" s="173"/>
      <c r="H2617" s="174">
        <f>IFERROR(__xludf.DUMMYFUNCTION("""COMPUTED_VALUE"""),41455.0)</f>
        <v>41455</v>
      </c>
      <c r="I2617" s="175" t="str">
        <f>IFERROR(__xludf.DUMMYFUNCTION("""COMPUTED_VALUE"""),"06/18")</f>
        <v>06/18</v>
      </c>
      <c r="J2617" s="172">
        <f>IFERROR(__xludf.DUMMYFUNCTION("""COMPUTED_VALUE"""),43315.0)</f>
        <v>43315</v>
      </c>
      <c r="K2617" s="176">
        <f>IFERROR(__xludf.DUMMYFUNCTION("""COMPUTED_VALUE"""),10.0)</f>
        <v>10</v>
      </c>
      <c r="L2617" s="176">
        <f>IFERROR(__xludf.DUMMYFUNCTION("""COMPUTED_VALUE"""),4.0)</f>
        <v>4</v>
      </c>
      <c r="M2617" s="176">
        <f>IFERROR(__xludf.DUMMYFUNCTION("""COMPUTED_VALUE"""),14.0)</f>
        <v>14</v>
      </c>
      <c r="N2617" s="177" t="str">
        <f>IFERROR(__xludf.DUMMYFUNCTION("""COMPUTED_VALUE"""),"Model 3 LR")</f>
        <v>Model 3 LR</v>
      </c>
      <c r="O2617" s="177" t="str">
        <f>IFERROR(__xludf.DUMMYFUNCTION("""COMPUTED_VALUE"""),"Deep Blue Metallic")</f>
        <v>Deep Blue Metallic</v>
      </c>
      <c r="P2617" s="178" t="str">
        <f>IFERROR(__xludf.DUMMYFUNCTION("""COMPUTED_VALUE"""),"18 inch Aero")</f>
        <v>18 inch Aero</v>
      </c>
      <c r="Q2617" s="177" t="str">
        <f>IFERROR(__xludf.DUMMYFUNCTION("""COMPUTED_VALUE"""),"Black seats")</f>
        <v>Black seats</v>
      </c>
      <c r="R2617" s="170" t="str">
        <f>IFERROR(__xludf.DUMMYFUNCTION("""COMPUTED_VALUE"""),"Enhanced Autopilot")</f>
        <v>Enhanced Autopilot</v>
      </c>
      <c r="S2617" s="170"/>
      <c r="T2617" s="179"/>
      <c r="U2617" s="179"/>
      <c r="V2617" s="179"/>
      <c r="W2617" s="180"/>
      <c r="X2617" s="181" t="str">
        <f>IFERROR(__xludf.DUMMYFUNCTION("""COMPUTED_VALUE"""),"Excellent")</f>
        <v>Excellent</v>
      </c>
      <c r="Y2617" s="182" t="str">
        <f>IFERROR(__xludf.DUMMYFUNCTION("""COMPUTED_VALUE"""),"Excellent")</f>
        <v>Excellent</v>
      </c>
      <c r="Z2617" s="182" t="str">
        <f>IFERROR(__xludf.DUMMYFUNCTION("""COMPUTED_VALUE"""),"Excellent")</f>
        <v>Excellent</v>
      </c>
      <c r="AA2617" s="182" t="str">
        <f>IFERROR(__xludf.DUMMYFUNCTION("""COMPUTED_VALUE"""),"Excellent")</f>
        <v>Excellent</v>
      </c>
      <c r="AB2617" s="182" t="str">
        <f>IFERROR(__xludf.DUMMYFUNCTION("""COMPUTED_VALUE"""),"Excellent")</f>
        <v>Excellent</v>
      </c>
      <c r="AC2617" s="183">
        <f>IFERROR(__xludf.DUMMYFUNCTION("""COMPUTED_VALUE"""),0.0)</f>
        <v>0</v>
      </c>
      <c r="AD2617" s="183"/>
      <c r="AE2617" s="183"/>
      <c r="AF2617" s="184"/>
      <c r="AG2617" s="180" t="str">
        <f>IFERROR(__xludf.DUMMYFUNCTION("""COMPUTED_VALUE"""),"Great experience!  Jumped in line, only waited one week after reserving car to get notice it was ready (lucky?)")</f>
        <v>Great experience!  Jumped in line, only waited one week after reserving car to get notice it was ready (lucky?)</v>
      </c>
      <c r="AH2617" s="185">
        <f>IFERROR(__xludf.DUMMYFUNCTION("""COMPUTED_VALUE"""),43325.571524074076)</f>
        <v>43325.57152</v>
      </c>
      <c r="AI2617" s="182"/>
      <c r="AJ2617" s="182"/>
      <c r="AK2617" s="182"/>
      <c r="AL2617" s="182"/>
    </row>
    <row r="2618" ht="20.25" customHeight="1">
      <c r="A2618" s="169" t="str">
        <f>IFERROR(__xludf.DUMMYFUNCTION("""COMPUTED_VALUE"""),"1deepthink")</f>
        <v>1deepthink</v>
      </c>
      <c r="B2618" s="170" t="str">
        <f>IFERROR(__xludf.DUMMYFUNCTION("""COMPUTED_VALUE"""),"Salt Lake City")</f>
        <v>Salt Lake City</v>
      </c>
      <c r="C2618" s="170" t="str">
        <f>IFERROR(__xludf.DUMMYFUNCTION("""COMPUTED_VALUE"""),"UT")</f>
        <v>UT</v>
      </c>
      <c r="D2618" s="170" t="str">
        <f>IFERROR(__xludf.DUMMYFUNCTION("""COMPUTED_VALUE"""),"USA")</f>
        <v>USA</v>
      </c>
      <c r="E2618" s="171">
        <f>IFERROR(__xludf.DUMMYFUNCTION("""COMPUTED_VALUE"""),43300.0)</f>
        <v>43300</v>
      </c>
      <c r="F2618" s="172">
        <f>IFERROR(__xludf.DUMMYFUNCTION("""COMPUTED_VALUE"""),43362.0)</f>
        <v>43362</v>
      </c>
      <c r="G2618" s="173"/>
      <c r="H2618" s="174">
        <f>IFERROR(__xludf.DUMMYFUNCTION("""COMPUTED_VALUE"""),88355.0)</f>
        <v>88355</v>
      </c>
      <c r="I2618" s="175"/>
      <c r="J2618" s="172">
        <f>IFERROR(__xludf.DUMMYFUNCTION("""COMPUTED_VALUE"""),43368.0)</f>
        <v>43368</v>
      </c>
      <c r="K2618" s="176">
        <f>IFERROR(__xludf.DUMMYFUNCTION("""COMPUTED_VALUE"""),62.0)</f>
        <v>62</v>
      </c>
      <c r="L2618" s="176">
        <f>IFERROR(__xludf.DUMMYFUNCTION("""COMPUTED_VALUE"""),6.0)</f>
        <v>6</v>
      </c>
      <c r="M2618" s="176">
        <f>IFERROR(__xludf.DUMMYFUNCTION("""COMPUTED_VALUE"""),68.0)</f>
        <v>68</v>
      </c>
      <c r="N2618" s="177" t="str">
        <f>IFERROR(__xludf.DUMMYFUNCTION("""COMPUTED_VALUE"""),"Model 3 LR AWD")</f>
        <v>Model 3 LR AWD</v>
      </c>
      <c r="O2618" s="177" t="str">
        <f>IFERROR(__xludf.DUMMYFUNCTION("""COMPUTED_VALUE"""),"Deep Blue Metallic")</f>
        <v>Deep Blue Metallic</v>
      </c>
      <c r="P2618" s="178" t="str">
        <f>IFERROR(__xludf.DUMMYFUNCTION("""COMPUTED_VALUE"""),"19 inch Sport")</f>
        <v>19 inch Sport</v>
      </c>
      <c r="Q2618" s="177" t="str">
        <f>IFERROR(__xludf.DUMMYFUNCTION("""COMPUTED_VALUE"""),"Black seats")</f>
        <v>Black seats</v>
      </c>
      <c r="R2618" s="170" t="str">
        <f>IFERROR(__xludf.DUMMYFUNCTION("""COMPUTED_VALUE"""),"Full Self-Driving")</f>
        <v>Full Self-Driving</v>
      </c>
      <c r="S2618" s="170"/>
      <c r="T2618" s="179"/>
      <c r="U2618" s="179"/>
      <c r="V2618" s="179"/>
      <c r="W2618" s="180"/>
      <c r="X2618" s="181" t="str">
        <f>IFERROR(__xludf.DUMMYFUNCTION("""COMPUTED_VALUE"""),"Excellent")</f>
        <v>Excellent</v>
      </c>
      <c r="Y2618" s="182" t="str">
        <f>IFERROR(__xludf.DUMMYFUNCTION("""COMPUTED_VALUE"""),"Excellent")</f>
        <v>Excellent</v>
      </c>
      <c r="Z2618" s="182" t="str">
        <f>IFERROR(__xludf.DUMMYFUNCTION("""COMPUTED_VALUE"""),"Excellent")</f>
        <v>Excellent</v>
      </c>
      <c r="AA2618" s="182" t="str">
        <f>IFERROR(__xludf.DUMMYFUNCTION("""COMPUTED_VALUE"""),"Good")</f>
        <v>Good</v>
      </c>
      <c r="AB2618" s="182" t="str">
        <f>IFERROR(__xludf.DUMMYFUNCTION("""COMPUTED_VALUE"""),"Very Good")</f>
        <v>Very Good</v>
      </c>
      <c r="AC2618" s="183">
        <f>IFERROR(__xludf.DUMMYFUNCTION("""COMPUTED_VALUE"""),1.0)</f>
        <v>1</v>
      </c>
      <c r="AD2618" s="183">
        <f>IFERROR(__xludf.DUMMYFUNCTION("""COMPUTED_VALUE"""),1.0)</f>
        <v>1</v>
      </c>
      <c r="AE2618" s="183">
        <f>IFERROR(__xludf.DUMMYFUNCTION("""COMPUTED_VALUE"""),1.0)</f>
        <v>1</v>
      </c>
      <c r="AF2618" s="184"/>
      <c r="AG2618" s="180"/>
      <c r="AH2618" s="185">
        <f>IFERROR(__xludf.DUMMYFUNCTION("""COMPUTED_VALUE"""),43377.581489108794)</f>
        <v>43377.58149</v>
      </c>
      <c r="AI2618" s="182"/>
      <c r="AJ2618" s="182"/>
      <c r="AK2618" s="182"/>
      <c r="AL2618" s="182"/>
    </row>
    <row r="2619" ht="20.25" customHeight="1">
      <c r="A2619" s="169" t="str">
        <f>IFERROR(__xludf.DUMMYFUNCTION("""COMPUTED_VALUE"""),"darthvad3ric")</f>
        <v>darthvad3ric</v>
      </c>
      <c r="B2619" s="170" t="str">
        <f>IFERROR(__xludf.DUMMYFUNCTION("""COMPUTED_VALUE"""),"Bay Area")</f>
        <v>Bay Area</v>
      </c>
      <c r="C2619" s="170" t="str">
        <f>IFERROR(__xludf.DUMMYFUNCTION("""COMPUTED_VALUE"""),"CA")</f>
        <v>CA</v>
      </c>
      <c r="D2619" s="170" t="str">
        <f>IFERROR(__xludf.DUMMYFUNCTION("""COMPUTED_VALUE"""),"USA")</f>
        <v>USA</v>
      </c>
      <c r="E2619" s="171">
        <f>IFERROR(__xludf.DUMMYFUNCTION("""COMPUTED_VALUE"""),43300.0)</f>
        <v>43300</v>
      </c>
      <c r="F2619" s="172">
        <f>IFERROR(__xludf.DUMMYFUNCTION("""COMPUTED_VALUE"""),43310.0)</f>
        <v>43310</v>
      </c>
      <c r="G2619" s="173"/>
      <c r="H2619" s="174">
        <f>IFERROR(__xludf.DUMMYFUNCTION("""COMPUTED_VALUE"""),63055.0)</f>
        <v>63055</v>
      </c>
      <c r="I2619" s="175" t="str">
        <f>IFERROR(__xludf.DUMMYFUNCTION("""COMPUTED_VALUE"""),"07/18")</f>
        <v>07/18</v>
      </c>
      <c r="J2619" s="172">
        <f>IFERROR(__xludf.DUMMYFUNCTION("""COMPUTED_VALUE"""),43315.0)</f>
        <v>43315</v>
      </c>
      <c r="K2619" s="176">
        <f>IFERROR(__xludf.DUMMYFUNCTION("""COMPUTED_VALUE"""),10.0)</f>
        <v>10</v>
      </c>
      <c r="L2619" s="176">
        <f>IFERROR(__xludf.DUMMYFUNCTION("""COMPUTED_VALUE"""),5.0)</f>
        <v>5</v>
      </c>
      <c r="M2619" s="176">
        <f>IFERROR(__xludf.DUMMYFUNCTION("""COMPUTED_VALUE"""),15.0)</f>
        <v>15</v>
      </c>
      <c r="N2619" s="177" t="str">
        <f>IFERROR(__xludf.DUMMYFUNCTION("""COMPUTED_VALUE"""),"Model 3 Performance")</f>
        <v>Model 3 Performance</v>
      </c>
      <c r="O2619" s="177" t="str">
        <f>IFERROR(__xludf.DUMMYFUNCTION("""COMPUTED_VALUE"""),"Pearl White Multi-Coat")</f>
        <v>Pearl White Multi-Coat</v>
      </c>
      <c r="P2619" s="178" t="str">
        <f>IFERROR(__xludf.DUMMYFUNCTION("""COMPUTED_VALUE"""),"18 inch Aero")</f>
        <v>18 inch Aero</v>
      </c>
      <c r="Q2619" s="177" t="str">
        <f>IFERROR(__xludf.DUMMYFUNCTION("""COMPUTED_VALUE"""),"Black seats")</f>
        <v>Black seats</v>
      </c>
      <c r="R2619" s="170" t="str">
        <f>IFERROR(__xludf.DUMMYFUNCTION("""COMPUTED_VALUE"""),"Full Self-Driving")</f>
        <v>Full Self-Driving</v>
      </c>
      <c r="S2619" s="170"/>
      <c r="T2619" s="179"/>
      <c r="U2619" s="179"/>
      <c r="V2619" s="179"/>
      <c r="W2619" s="180"/>
      <c r="X2619" s="181" t="str">
        <f>IFERROR(__xludf.DUMMYFUNCTION("""COMPUTED_VALUE"""),"Excellent")</f>
        <v>Excellent</v>
      </c>
      <c r="Y2619" s="182" t="str">
        <f>IFERROR(__xludf.DUMMYFUNCTION("""COMPUTED_VALUE"""),"Excellent")</f>
        <v>Excellent</v>
      </c>
      <c r="Z2619" s="182" t="str">
        <f>IFERROR(__xludf.DUMMYFUNCTION("""COMPUTED_VALUE"""),"Fair")</f>
        <v>Fair</v>
      </c>
      <c r="AA2619" s="182" t="str">
        <f>IFERROR(__xludf.DUMMYFUNCTION("""COMPUTED_VALUE"""),"Very Good")</f>
        <v>Very Good</v>
      </c>
      <c r="AB2619" s="182" t="str">
        <f>IFERROR(__xludf.DUMMYFUNCTION("""COMPUTED_VALUE"""),"Poor")</f>
        <v>Poor</v>
      </c>
      <c r="AC2619" s="183">
        <f>IFERROR(__xludf.DUMMYFUNCTION("""COMPUTED_VALUE"""),2.0)</f>
        <v>2</v>
      </c>
      <c r="AD2619" s="183"/>
      <c r="AE2619" s="183"/>
      <c r="AF2619" s="184"/>
      <c r="AG2619" s="180"/>
      <c r="AH2619" s="185">
        <f>IFERROR(__xludf.DUMMYFUNCTION("""COMPUTED_VALUE"""),43315.97495251158)</f>
        <v>43315.97495</v>
      </c>
      <c r="AI2619" s="182"/>
      <c r="AJ2619" s="182"/>
      <c r="AK2619" s="182"/>
      <c r="AL2619" s="182"/>
    </row>
    <row r="2620" ht="20.25" customHeight="1">
      <c r="A2620" s="169" t="str">
        <f>IFERROR(__xludf.DUMMYFUNCTION("""COMPUTED_VALUE"""),"JeffJ")</f>
        <v>JeffJ</v>
      </c>
      <c r="B2620" s="170" t="str">
        <f>IFERROR(__xludf.DUMMYFUNCTION("""COMPUTED_VALUE"""),"Nashville, TN")</f>
        <v>Nashville, TN</v>
      </c>
      <c r="C2620" s="170" t="str">
        <f>IFERROR(__xludf.DUMMYFUNCTION("""COMPUTED_VALUE"""),"TN")</f>
        <v>TN</v>
      </c>
      <c r="D2620" s="170" t="str">
        <f>IFERROR(__xludf.DUMMYFUNCTION("""COMPUTED_VALUE"""),"USA")</f>
        <v>USA</v>
      </c>
      <c r="E2620" s="171">
        <f>IFERROR(__xludf.DUMMYFUNCTION("""COMPUTED_VALUE"""),43300.0)</f>
        <v>43300</v>
      </c>
      <c r="F2620" s="172">
        <f>IFERROR(__xludf.DUMMYFUNCTION("""COMPUTED_VALUE"""),43303.0)</f>
        <v>43303</v>
      </c>
      <c r="G2620" s="173"/>
      <c r="H2620" s="174">
        <f>IFERROR(__xludf.DUMMYFUNCTION("""COMPUTED_VALUE"""),52355.0)</f>
        <v>52355</v>
      </c>
      <c r="I2620" s="175"/>
      <c r="J2620" s="172">
        <f>IFERROR(__xludf.DUMMYFUNCTION("""COMPUTED_VALUE"""),43319.0)</f>
        <v>43319</v>
      </c>
      <c r="K2620" s="176">
        <f>IFERROR(__xludf.DUMMYFUNCTION("""COMPUTED_VALUE"""),3.0)</f>
        <v>3</v>
      </c>
      <c r="L2620" s="176">
        <f>IFERROR(__xludf.DUMMYFUNCTION("""COMPUTED_VALUE"""),16.0)</f>
        <v>16</v>
      </c>
      <c r="M2620" s="176">
        <f>IFERROR(__xludf.DUMMYFUNCTION("""COMPUTED_VALUE"""),19.0)</f>
        <v>19</v>
      </c>
      <c r="N2620" s="177" t="str">
        <f>IFERROR(__xludf.DUMMYFUNCTION("""COMPUTED_VALUE"""),"Model 3 LR")</f>
        <v>Model 3 LR</v>
      </c>
      <c r="O2620" s="177" t="str">
        <f>IFERROR(__xludf.DUMMYFUNCTION("""COMPUTED_VALUE"""),"Red Multi-Coat")</f>
        <v>Red Multi-Coat</v>
      </c>
      <c r="P2620" s="178" t="str">
        <f>IFERROR(__xludf.DUMMYFUNCTION("""COMPUTED_VALUE"""),"18 inch Aero")</f>
        <v>18 inch Aero</v>
      </c>
      <c r="Q2620" s="177" t="str">
        <f>IFERROR(__xludf.DUMMYFUNCTION("""COMPUTED_VALUE"""),"Black seats")</f>
        <v>Black seats</v>
      </c>
      <c r="R2620" s="170" t="str">
        <f>IFERROR(__xludf.DUMMYFUNCTION("""COMPUTED_VALUE"""),"Enhanced Autopilot")</f>
        <v>Enhanced Autopilot</v>
      </c>
      <c r="S2620" s="170"/>
      <c r="T2620" s="179"/>
      <c r="U2620" s="179"/>
      <c r="V2620" s="179"/>
      <c r="W2620" s="180"/>
      <c r="X2620" s="181" t="str">
        <f>IFERROR(__xludf.DUMMYFUNCTION("""COMPUTED_VALUE"""),"Excellent")</f>
        <v>Excellent</v>
      </c>
      <c r="Y2620" s="182" t="str">
        <f>IFERROR(__xludf.DUMMYFUNCTION("""COMPUTED_VALUE"""),"Excellent")</f>
        <v>Excellent</v>
      </c>
      <c r="Z2620" s="182" t="str">
        <f>IFERROR(__xludf.DUMMYFUNCTION("""COMPUTED_VALUE"""),"Excellent")</f>
        <v>Excellent</v>
      </c>
      <c r="AA2620" s="182" t="str">
        <f>IFERROR(__xludf.DUMMYFUNCTION("""COMPUTED_VALUE"""),"Very Good")</f>
        <v>Very Good</v>
      </c>
      <c r="AB2620" s="182" t="str">
        <f>IFERROR(__xludf.DUMMYFUNCTION("""COMPUTED_VALUE"""),"Very Good")</f>
        <v>Very Good</v>
      </c>
      <c r="AC2620" s="183"/>
      <c r="AD2620" s="183"/>
      <c r="AE2620" s="183"/>
      <c r="AF2620" s="184"/>
      <c r="AG2620" s="180"/>
      <c r="AH2620" s="185">
        <f>IFERROR(__xludf.DUMMYFUNCTION("""COMPUTED_VALUE"""),43325.787290983804)</f>
        <v>43325.78729</v>
      </c>
      <c r="AI2620" s="182"/>
      <c r="AJ2620" s="182"/>
      <c r="AK2620" s="182"/>
      <c r="AL2620" s="182"/>
    </row>
    <row r="2621" ht="20.25" customHeight="1">
      <c r="A2621" s="169" t="str">
        <f>IFERROR(__xludf.DUMMYFUNCTION("""COMPUTED_VALUE"""),"trothenberg1")</f>
        <v>trothenberg1</v>
      </c>
      <c r="B2621" s="170" t="str">
        <f>IFERROR(__xludf.DUMMYFUNCTION("""COMPUTED_VALUE"""),"Virginia")</f>
        <v>Virginia</v>
      </c>
      <c r="C2621" s="170" t="str">
        <f>IFERROR(__xludf.DUMMYFUNCTION("""COMPUTED_VALUE"""),"VA")</f>
        <v>VA</v>
      </c>
      <c r="D2621" s="170" t="str">
        <f>IFERROR(__xludf.DUMMYFUNCTION("""COMPUTED_VALUE"""),"USA")</f>
        <v>USA</v>
      </c>
      <c r="E2621" s="171">
        <f>IFERROR(__xludf.DUMMYFUNCTION("""COMPUTED_VALUE"""),43300.0)</f>
        <v>43300</v>
      </c>
      <c r="F2621" s="172">
        <f>IFERROR(__xludf.DUMMYFUNCTION("""COMPUTED_VALUE"""),43354.0)</f>
        <v>43354</v>
      </c>
      <c r="G2621" s="173"/>
      <c r="H2621" s="174">
        <f>IFERROR(__xludf.DUMMYFUNCTION("""COMPUTED_VALUE"""),72755.0)</f>
        <v>72755</v>
      </c>
      <c r="I2621" s="175" t="str">
        <f>IFERROR(__xludf.DUMMYFUNCTION("""COMPUTED_VALUE"""),"09/18")</f>
        <v>09/18</v>
      </c>
      <c r="J2621" s="172">
        <f>IFERROR(__xludf.DUMMYFUNCTION("""COMPUTED_VALUE"""),43372.0)</f>
        <v>43372</v>
      </c>
      <c r="K2621" s="176">
        <f>IFERROR(__xludf.DUMMYFUNCTION("""COMPUTED_VALUE"""),54.0)</f>
        <v>54</v>
      </c>
      <c r="L2621" s="176">
        <f>IFERROR(__xludf.DUMMYFUNCTION("""COMPUTED_VALUE"""),18.0)</f>
        <v>18</v>
      </c>
      <c r="M2621" s="176">
        <f>IFERROR(__xludf.DUMMYFUNCTION("""COMPUTED_VALUE"""),72.0)</f>
        <v>72</v>
      </c>
      <c r="N2621" s="177" t="str">
        <f>IFERROR(__xludf.DUMMYFUNCTION("""COMPUTED_VALUE"""),"Model 3 Performance")</f>
        <v>Model 3 Performance</v>
      </c>
      <c r="O2621" s="177" t="str">
        <f>IFERROR(__xludf.DUMMYFUNCTION("""COMPUTED_VALUE"""),"Red Multi-Coat")</f>
        <v>Red Multi-Coat</v>
      </c>
      <c r="P2621" s="178" t="str">
        <f>IFERROR(__xludf.DUMMYFUNCTION("""COMPUTED_VALUE"""),"20 inch Sport")</f>
        <v>20 inch Sport</v>
      </c>
      <c r="Q2621" s="177" t="str">
        <f>IFERROR(__xludf.DUMMYFUNCTION("""COMPUTED_VALUE"""),"Black seats")</f>
        <v>Black seats</v>
      </c>
      <c r="R2621" s="170" t="str">
        <f>IFERROR(__xludf.DUMMYFUNCTION("""COMPUTED_VALUE"""),"Enhanced Autopilot")</f>
        <v>Enhanced Autopilot</v>
      </c>
      <c r="S2621" s="170"/>
      <c r="T2621" s="179"/>
      <c r="U2621" s="179"/>
      <c r="V2621" s="179"/>
      <c r="W2621" s="180"/>
      <c r="X2621" s="181" t="str">
        <f>IFERROR(__xludf.DUMMYFUNCTION("""COMPUTED_VALUE"""),"Very Good")</f>
        <v>Very Good</v>
      </c>
      <c r="Y2621" s="182" t="str">
        <f>IFERROR(__xludf.DUMMYFUNCTION("""COMPUTED_VALUE"""),"Excellent")</f>
        <v>Excellent</v>
      </c>
      <c r="Z2621" s="182" t="str">
        <f>IFERROR(__xludf.DUMMYFUNCTION("""COMPUTED_VALUE"""),"Excellent")</f>
        <v>Excellent</v>
      </c>
      <c r="AA2621" s="182" t="str">
        <f>IFERROR(__xludf.DUMMYFUNCTION("""COMPUTED_VALUE"""),"Fair")</f>
        <v>Fair</v>
      </c>
      <c r="AB2621" s="182" t="str">
        <f>IFERROR(__xludf.DUMMYFUNCTION("""COMPUTED_VALUE"""),"Good")</f>
        <v>Good</v>
      </c>
      <c r="AC2621" s="183"/>
      <c r="AD2621" s="183"/>
      <c r="AE2621" s="183"/>
      <c r="AF2621" s="184"/>
      <c r="AG2621" s="180"/>
      <c r="AH2621" s="185">
        <f>IFERROR(__xludf.DUMMYFUNCTION("""COMPUTED_VALUE"""),43374.64509767361)</f>
        <v>43374.6451</v>
      </c>
      <c r="AI2621" s="182"/>
      <c r="AJ2621" s="182"/>
      <c r="AK2621" s="182"/>
      <c r="AL2621" s="182"/>
    </row>
    <row r="2622" ht="20.25" customHeight="1">
      <c r="A2622" s="169" t="str">
        <f>IFERROR(__xludf.DUMMYFUNCTION("""COMPUTED_VALUE"""),"ZoomDoggie")</f>
        <v>ZoomDoggie</v>
      </c>
      <c r="B2622" s="170" t="str">
        <f>IFERROR(__xludf.DUMMYFUNCTION("""COMPUTED_VALUE"""),"Salem")</f>
        <v>Salem</v>
      </c>
      <c r="C2622" s="170" t="str">
        <f>IFERROR(__xludf.DUMMYFUNCTION("""COMPUTED_VALUE"""),"VA")</f>
        <v>VA</v>
      </c>
      <c r="D2622" s="170" t="str">
        <f>IFERROR(__xludf.DUMMYFUNCTION("""COMPUTED_VALUE"""),"USA")</f>
        <v>USA</v>
      </c>
      <c r="E2622" s="171">
        <f>IFERROR(__xludf.DUMMYFUNCTION("""COMPUTED_VALUE"""),43300.0)</f>
        <v>43300</v>
      </c>
      <c r="F2622" s="172">
        <f>IFERROR(__xludf.DUMMYFUNCTION("""COMPUTED_VALUE"""),43382.0)</f>
        <v>43382</v>
      </c>
      <c r="G2622" s="173"/>
      <c r="H2622" s="174">
        <f>IFERROR(__xludf.DUMMYFUNCTION("""COMPUTED_VALUE"""),94655.0)</f>
        <v>94655</v>
      </c>
      <c r="I2622" s="175"/>
      <c r="J2622" s="172">
        <f>IFERROR(__xludf.DUMMYFUNCTION("""COMPUTED_VALUE"""),43404.0)</f>
        <v>43404</v>
      </c>
      <c r="K2622" s="176">
        <f>IFERROR(__xludf.DUMMYFUNCTION("""COMPUTED_VALUE"""),82.0)</f>
        <v>82</v>
      </c>
      <c r="L2622" s="176">
        <f>IFERROR(__xludf.DUMMYFUNCTION("""COMPUTED_VALUE"""),22.0)</f>
        <v>22</v>
      </c>
      <c r="M2622" s="176">
        <f>IFERROR(__xludf.DUMMYFUNCTION("""COMPUTED_VALUE"""),104.0)</f>
        <v>104</v>
      </c>
      <c r="N2622" s="177" t="str">
        <f>IFERROR(__xludf.DUMMYFUNCTION("""COMPUTED_VALUE"""),"Model 3 LR AWD")</f>
        <v>Model 3 LR AWD</v>
      </c>
      <c r="O2622" s="177" t="str">
        <f>IFERROR(__xludf.DUMMYFUNCTION("""COMPUTED_VALUE"""),"Deep Blue Metallic")</f>
        <v>Deep Blue Metallic</v>
      </c>
      <c r="P2622" s="178" t="str">
        <f>IFERROR(__xludf.DUMMYFUNCTION("""COMPUTED_VALUE"""),"18 inch Aero")</f>
        <v>18 inch Aero</v>
      </c>
      <c r="Q2622" s="177" t="str">
        <f>IFERROR(__xludf.DUMMYFUNCTION("""COMPUTED_VALUE"""),"Black seats")</f>
        <v>Black seats</v>
      </c>
      <c r="R2622" s="170" t="str">
        <f>IFERROR(__xludf.DUMMYFUNCTION("""COMPUTED_VALUE"""),"None")</f>
        <v>None</v>
      </c>
      <c r="S2622" s="170"/>
      <c r="T2622" s="179"/>
      <c r="U2622" s="179"/>
      <c r="V2622" s="179"/>
      <c r="W2622" s="180"/>
      <c r="X2622" s="181" t="str">
        <f>IFERROR(__xludf.DUMMYFUNCTION("""COMPUTED_VALUE"""),"Excellent")</f>
        <v>Excellent</v>
      </c>
      <c r="Y2622" s="182" t="str">
        <f>IFERROR(__xludf.DUMMYFUNCTION("""COMPUTED_VALUE"""),"Excellent")</f>
        <v>Excellent</v>
      </c>
      <c r="Z2622" s="182" t="str">
        <f>IFERROR(__xludf.DUMMYFUNCTION("""COMPUTED_VALUE"""),"Excellent")</f>
        <v>Excellent</v>
      </c>
      <c r="AA2622" s="182" t="str">
        <f>IFERROR(__xludf.DUMMYFUNCTION("""COMPUTED_VALUE"""),"Excellent")</f>
        <v>Excellent</v>
      </c>
      <c r="AB2622" s="182" t="str">
        <f>IFERROR(__xludf.DUMMYFUNCTION("""COMPUTED_VALUE"""),"Excellent")</f>
        <v>Excellent</v>
      </c>
      <c r="AC2622" s="183"/>
      <c r="AD2622" s="183"/>
      <c r="AE2622" s="183"/>
      <c r="AF2622" s="184"/>
      <c r="AG2622" s="180" t="str">
        <f>IFERROR(__xludf.DUMMYFUNCTION("""COMPUTED_VALUE"""),"declined August.  Resched 10/30 to 31")</f>
        <v>declined August.  Resched 10/30 to 31</v>
      </c>
      <c r="AH2622" s="185">
        <f>IFERROR(__xludf.DUMMYFUNCTION("""COMPUTED_VALUE"""),43404.76265266203)</f>
        <v>43404.76265</v>
      </c>
      <c r="AI2622" s="182"/>
      <c r="AJ2622" s="182"/>
      <c r="AK2622" s="182"/>
      <c r="AL2622" s="182"/>
    </row>
    <row r="2623" ht="20.25" customHeight="1">
      <c r="A2623" s="169" t="str">
        <f>IFERROR(__xludf.DUMMYFUNCTION("""COMPUTED_VALUE"""),"AllAboutJake")</f>
        <v>AllAboutJake</v>
      </c>
      <c r="B2623" s="170"/>
      <c r="C2623" s="170" t="str">
        <f>IFERROR(__xludf.DUMMYFUNCTION("""COMPUTED_VALUE"""),"NJ")</f>
        <v>NJ</v>
      </c>
      <c r="D2623" s="170" t="str">
        <f>IFERROR(__xludf.DUMMYFUNCTION("""COMPUTED_VALUE"""),"USA")</f>
        <v>USA</v>
      </c>
      <c r="E2623" s="171">
        <f>IFERROR(__xludf.DUMMYFUNCTION("""COMPUTED_VALUE"""),43299.0)</f>
        <v>43299</v>
      </c>
      <c r="F2623" s="172">
        <f>IFERROR(__xludf.DUMMYFUNCTION("""COMPUTED_VALUE"""),43354.0)</f>
        <v>43354</v>
      </c>
      <c r="G2623" s="173"/>
      <c r="H2623" s="174">
        <f>IFERROR(__xludf.DUMMYFUNCTION("""COMPUTED_VALUE"""),103855.0)</f>
        <v>103855</v>
      </c>
      <c r="I2623" s="175" t="str">
        <f>IFERROR(__xludf.DUMMYFUNCTION("""COMPUTED_VALUE"""),"09/18")</f>
        <v>09/18</v>
      </c>
      <c r="J2623" s="172">
        <f>IFERROR(__xludf.DUMMYFUNCTION("""COMPUTED_VALUE"""),43371.0)</f>
        <v>43371</v>
      </c>
      <c r="K2623" s="176">
        <f>IFERROR(__xludf.DUMMYFUNCTION("""COMPUTED_VALUE"""),55.0)</f>
        <v>55</v>
      </c>
      <c r="L2623" s="176">
        <f>IFERROR(__xludf.DUMMYFUNCTION("""COMPUTED_VALUE"""),17.0)</f>
        <v>17</v>
      </c>
      <c r="M2623" s="176">
        <f>IFERROR(__xludf.DUMMYFUNCTION("""COMPUTED_VALUE"""),72.0)</f>
        <v>72</v>
      </c>
      <c r="N2623" s="177" t="str">
        <f>IFERROR(__xludf.DUMMYFUNCTION("""COMPUTED_VALUE"""),"Model 3 LR AWD")</f>
        <v>Model 3 LR AWD</v>
      </c>
      <c r="O2623" s="177" t="str">
        <f>IFERROR(__xludf.DUMMYFUNCTION("""COMPUTED_VALUE"""),"Midnight Silver Metallic")</f>
        <v>Midnight Silver Metallic</v>
      </c>
      <c r="P2623" s="178" t="str">
        <f>IFERROR(__xludf.DUMMYFUNCTION("""COMPUTED_VALUE"""),"18 inch Aero")</f>
        <v>18 inch Aero</v>
      </c>
      <c r="Q2623" s="177" t="str">
        <f>IFERROR(__xludf.DUMMYFUNCTION("""COMPUTED_VALUE"""),"Black seats")</f>
        <v>Black seats</v>
      </c>
      <c r="R2623" s="170" t="str">
        <f>IFERROR(__xludf.DUMMYFUNCTION("""COMPUTED_VALUE"""),"Full Self-Driving")</f>
        <v>Full Self-Driving</v>
      </c>
      <c r="S2623" s="170"/>
      <c r="T2623" s="179"/>
      <c r="U2623" s="179"/>
      <c r="V2623" s="179"/>
      <c r="W2623" s="180"/>
      <c r="X2623" s="181" t="str">
        <f>IFERROR(__xludf.DUMMYFUNCTION("""COMPUTED_VALUE"""),"Very Good")</f>
        <v>Very Good</v>
      </c>
      <c r="Y2623" s="182" t="str">
        <f>IFERROR(__xludf.DUMMYFUNCTION("""COMPUTED_VALUE"""),"Very Good")</f>
        <v>Very Good</v>
      </c>
      <c r="Z2623" s="182" t="str">
        <f>IFERROR(__xludf.DUMMYFUNCTION("""COMPUTED_VALUE"""),"Very Good")</f>
        <v>Very Good</v>
      </c>
      <c r="AA2623" s="182" t="str">
        <f>IFERROR(__xludf.DUMMYFUNCTION("""COMPUTED_VALUE"""),"Good")</f>
        <v>Good</v>
      </c>
      <c r="AB2623" s="182" t="str">
        <f>IFERROR(__xludf.DUMMYFUNCTION("""COMPUTED_VALUE"""),"Good")</f>
        <v>Good</v>
      </c>
      <c r="AC2623" s="183"/>
      <c r="AD2623" s="183"/>
      <c r="AE2623" s="183"/>
      <c r="AF2623" s="184"/>
      <c r="AG2623" s="180"/>
      <c r="AH2623" s="185">
        <f>IFERROR(__xludf.DUMMYFUNCTION("""COMPUTED_VALUE"""),43373.36156255787)</f>
        <v>43373.36156</v>
      </c>
      <c r="AI2623" s="182"/>
      <c r="AJ2623" s="182"/>
      <c r="AK2623" s="182"/>
      <c r="AL2623" s="182"/>
    </row>
    <row r="2624" ht="20.25" customHeight="1">
      <c r="A2624" s="169" t="str">
        <f>IFERROR(__xludf.DUMMYFUNCTION("""COMPUTED_VALUE"""),"bman")</f>
        <v>bman</v>
      </c>
      <c r="B2624" s="170"/>
      <c r="C2624" s="170" t="str">
        <f>IFERROR(__xludf.DUMMYFUNCTION("""COMPUTED_VALUE"""),"MI")</f>
        <v>MI</v>
      </c>
      <c r="D2624" s="170" t="str">
        <f>IFERROR(__xludf.DUMMYFUNCTION("""COMPUTED_VALUE"""),"USA")</f>
        <v>USA</v>
      </c>
      <c r="E2624" s="171">
        <f>IFERROR(__xludf.DUMMYFUNCTION("""COMPUTED_VALUE"""),43299.0)</f>
        <v>43299</v>
      </c>
      <c r="F2624" s="172">
        <f>IFERROR(__xludf.DUMMYFUNCTION("""COMPUTED_VALUE"""),43318.0)</f>
        <v>43318</v>
      </c>
      <c r="G2624" s="173"/>
      <c r="H2624" s="174">
        <f>IFERROR(__xludf.DUMMYFUNCTION("""COMPUTED_VALUE"""),68855.0)</f>
        <v>68855</v>
      </c>
      <c r="I2624" s="175" t="str">
        <f>IFERROR(__xludf.DUMMYFUNCTION("""COMPUTED_VALUE"""),"07/18")</f>
        <v>07/18</v>
      </c>
      <c r="J2624" s="172">
        <f>IFERROR(__xludf.DUMMYFUNCTION("""COMPUTED_VALUE"""),43333.0)</f>
        <v>43333</v>
      </c>
      <c r="K2624" s="176">
        <f>IFERROR(__xludf.DUMMYFUNCTION("""COMPUTED_VALUE"""),19.0)</f>
        <v>19</v>
      </c>
      <c r="L2624" s="176">
        <f>IFERROR(__xludf.DUMMYFUNCTION("""COMPUTED_VALUE"""),15.0)</f>
        <v>15</v>
      </c>
      <c r="M2624" s="176">
        <f>IFERROR(__xludf.DUMMYFUNCTION("""COMPUTED_VALUE"""),34.0)</f>
        <v>34</v>
      </c>
      <c r="N2624" s="177" t="str">
        <f>IFERROR(__xludf.DUMMYFUNCTION("""COMPUTED_VALUE"""),"Model 3 LR AWD")</f>
        <v>Model 3 LR AWD</v>
      </c>
      <c r="O2624" s="177" t="str">
        <f>IFERROR(__xludf.DUMMYFUNCTION("""COMPUTED_VALUE"""),"Midnight Silver Metallic")</f>
        <v>Midnight Silver Metallic</v>
      </c>
      <c r="P2624" s="178" t="str">
        <f>IFERROR(__xludf.DUMMYFUNCTION("""COMPUTED_VALUE"""),"19 inch Sport")</f>
        <v>19 inch Sport</v>
      </c>
      <c r="Q2624" s="177" t="str">
        <f>IFERROR(__xludf.DUMMYFUNCTION("""COMPUTED_VALUE"""),"Black seats")</f>
        <v>Black seats</v>
      </c>
      <c r="R2624" s="170" t="str">
        <f>IFERROR(__xludf.DUMMYFUNCTION("""COMPUTED_VALUE"""),"Enhanced Autopilot")</f>
        <v>Enhanced Autopilot</v>
      </c>
      <c r="S2624" s="170"/>
      <c r="T2624" s="179"/>
      <c r="U2624" s="179"/>
      <c r="V2624" s="179"/>
      <c r="W2624" s="180"/>
      <c r="X2624" s="181" t="str">
        <f>IFERROR(__xludf.DUMMYFUNCTION("""COMPUTED_VALUE"""),"Very Good")</f>
        <v>Very Good</v>
      </c>
      <c r="Y2624" s="182" t="str">
        <f>IFERROR(__xludf.DUMMYFUNCTION("""COMPUTED_VALUE"""),"Very Good")</f>
        <v>Very Good</v>
      </c>
      <c r="Z2624" s="182" t="str">
        <f>IFERROR(__xludf.DUMMYFUNCTION("""COMPUTED_VALUE"""),"Very Good")</f>
        <v>Very Good</v>
      </c>
      <c r="AA2624" s="182" t="str">
        <f>IFERROR(__xludf.DUMMYFUNCTION("""COMPUTED_VALUE"""),"Very Good")</f>
        <v>Very Good</v>
      </c>
      <c r="AB2624" s="182" t="str">
        <f>IFERROR(__xludf.DUMMYFUNCTION("""COMPUTED_VALUE"""),"Very Good")</f>
        <v>Very Good</v>
      </c>
      <c r="AC2624" s="183"/>
      <c r="AD2624" s="183"/>
      <c r="AE2624" s="183"/>
      <c r="AF2624" s="184"/>
      <c r="AG2624" s="180"/>
      <c r="AH2624" s="185">
        <f>IFERROR(__xludf.DUMMYFUNCTION("""COMPUTED_VALUE"""),43346.64759069445)</f>
        <v>43346.64759</v>
      </c>
      <c r="AI2624" s="182"/>
      <c r="AJ2624" s="182"/>
      <c r="AK2624" s="182"/>
      <c r="AL2624" s="182"/>
    </row>
    <row r="2625" ht="20.25" customHeight="1">
      <c r="A2625" s="169" t="str">
        <f>IFERROR(__xludf.DUMMYFUNCTION("""COMPUTED_VALUE"""),"CalOkie")</f>
        <v>CalOkie</v>
      </c>
      <c r="B2625" s="170" t="str">
        <f>IFERROR(__xludf.DUMMYFUNCTION("""COMPUTED_VALUE"""),"Los Angeles")</f>
        <v>Los Angeles</v>
      </c>
      <c r="C2625" s="170" t="str">
        <f>IFERROR(__xludf.DUMMYFUNCTION("""COMPUTED_VALUE"""),"CA")</f>
        <v>CA</v>
      </c>
      <c r="D2625" s="170" t="str">
        <f>IFERROR(__xludf.DUMMYFUNCTION("""COMPUTED_VALUE"""),"USA")</f>
        <v>USA</v>
      </c>
      <c r="E2625" s="171">
        <f>IFERROR(__xludf.DUMMYFUNCTION("""COMPUTED_VALUE"""),43299.0)</f>
        <v>43299</v>
      </c>
      <c r="F2625" s="172"/>
      <c r="G2625" s="173"/>
      <c r="H2625" s="174">
        <f>IFERROR(__xludf.DUMMYFUNCTION("""COMPUTED_VALUE"""),77275.0)</f>
        <v>77275</v>
      </c>
      <c r="I2625" s="175"/>
      <c r="J2625" s="172">
        <f>IFERROR(__xludf.DUMMYFUNCTION("""COMPUTED_VALUE"""),43351.0)</f>
        <v>43351</v>
      </c>
      <c r="K2625" s="176"/>
      <c r="L2625" s="176"/>
      <c r="M2625" s="176">
        <f>IFERROR(__xludf.DUMMYFUNCTION("""COMPUTED_VALUE"""),52.0)</f>
        <v>52</v>
      </c>
      <c r="N2625" s="177" t="str">
        <f>IFERROR(__xludf.DUMMYFUNCTION("""COMPUTED_VALUE"""),"Model 3 LR")</f>
        <v>Model 3 LR</v>
      </c>
      <c r="O2625" s="177" t="str">
        <f>IFERROR(__xludf.DUMMYFUNCTION("""COMPUTED_VALUE"""),"Silver Metallic")</f>
        <v>Silver Metallic</v>
      </c>
      <c r="P2625" s="178" t="str">
        <f>IFERROR(__xludf.DUMMYFUNCTION("""COMPUTED_VALUE"""),"18 inch Aero")</f>
        <v>18 inch Aero</v>
      </c>
      <c r="Q2625" s="177" t="str">
        <f>IFERROR(__xludf.DUMMYFUNCTION("""COMPUTED_VALUE"""),"Black seats")</f>
        <v>Black seats</v>
      </c>
      <c r="R2625" s="170" t="str">
        <f>IFERROR(__xludf.DUMMYFUNCTION("""COMPUTED_VALUE"""),"None")</f>
        <v>None</v>
      </c>
      <c r="S2625" s="170"/>
      <c r="T2625" s="179"/>
      <c r="U2625" s="179"/>
      <c r="V2625" s="179"/>
      <c r="W2625" s="180"/>
      <c r="X2625" s="181" t="str">
        <f>IFERROR(__xludf.DUMMYFUNCTION("""COMPUTED_VALUE"""),"Excellent")</f>
        <v>Excellent</v>
      </c>
      <c r="Y2625" s="182" t="str">
        <f>IFERROR(__xludf.DUMMYFUNCTION("""COMPUTED_VALUE"""),"Excellent")</f>
        <v>Excellent</v>
      </c>
      <c r="Z2625" s="182" t="str">
        <f>IFERROR(__xludf.DUMMYFUNCTION("""COMPUTED_VALUE"""),"Excellent")</f>
        <v>Excellent</v>
      </c>
      <c r="AA2625" s="182" t="str">
        <f>IFERROR(__xludf.DUMMYFUNCTION("""COMPUTED_VALUE"""),"Excellent")</f>
        <v>Excellent</v>
      </c>
      <c r="AB2625" s="182" t="str">
        <f>IFERROR(__xludf.DUMMYFUNCTION("""COMPUTED_VALUE"""),"Excellent")</f>
        <v>Excellent</v>
      </c>
      <c r="AC2625" s="183"/>
      <c r="AD2625" s="183"/>
      <c r="AE2625" s="183"/>
      <c r="AF2625" s="184"/>
      <c r="AG2625" s="180"/>
      <c r="AH2625" s="185">
        <f>IFERROR(__xludf.DUMMYFUNCTION("""COMPUTED_VALUE"""),43351.97711187501)</f>
        <v>43351.97711</v>
      </c>
      <c r="AI2625" s="182"/>
      <c r="AJ2625" s="182"/>
      <c r="AK2625" s="182"/>
      <c r="AL2625" s="182"/>
    </row>
    <row r="2626" ht="20.25" customHeight="1">
      <c r="A2626" s="169" t="str">
        <f>IFERROR(__xludf.DUMMYFUNCTION("""COMPUTED_VALUE"""),"cds")</f>
        <v>cds</v>
      </c>
      <c r="B2626" s="170" t="str">
        <f>IFERROR(__xludf.DUMMYFUNCTION("""COMPUTED_VALUE"""),"Portland")</f>
        <v>Portland</v>
      </c>
      <c r="C2626" s="170" t="str">
        <f>IFERROR(__xludf.DUMMYFUNCTION("""COMPUTED_VALUE"""),"OR")</f>
        <v>OR</v>
      </c>
      <c r="D2626" s="170" t="str">
        <f>IFERROR(__xludf.DUMMYFUNCTION("""COMPUTED_VALUE"""),"USA")</f>
        <v>USA</v>
      </c>
      <c r="E2626" s="171">
        <f>IFERROR(__xludf.DUMMYFUNCTION("""COMPUTED_VALUE"""),43299.0)</f>
        <v>43299</v>
      </c>
      <c r="F2626" s="172">
        <f>IFERROR(__xludf.DUMMYFUNCTION("""COMPUTED_VALUE"""),43368.0)</f>
        <v>43368</v>
      </c>
      <c r="G2626" s="173"/>
      <c r="H2626" s="174">
        <f>IFERROR(__xludf.DUMMYFUNCTION("""COMPUTED_VALUE"""),89955.0)</f>
        <v>89955</v>
      </c>
      <c r="I2626" s="175" t="str">
        <f>IFERROR(__xludf.DUMMYFUNCTION("""COMPUTED_VALUE"""),"09/18")</f>
        <v>09/18</v>
      </c>
      <c r="J2626" s="172">
        <f>IFERROR(__xludf.DUMMYFUNCTION("""COMPUTED_VALUE"""),43372.0)</f>
        <v>43372</v>
      </c>
      <c r="K2626" s="176">
        <f>IFERROR(__xludf.DUMMYFUNCTION("""COMPUTED_VALUE"""),69.0)</f>
        <v>69</v>
      </c>
      <c r="L2626" s="176">
        <f>IFERROR(__xludf.DUMMYFUNCTION("""COMPUTED_VALUE"""),4.0)</f>
        <v>4</v>
      </c>
      <c r="M2626" s="176">
        <f>IFERROR(__xludf.DUMMYFUNCTION("""COMPUTED_VALUE"""),73.0)</f>
        <v>73</v>
      </c>
      <c r="N2626" s="177" t="str">
        <f>IFERROR(__xludf.DUMMYFUNCTION("""COMPUTED_VALUE"""),"Model 3 LR AWD")</f>
        <v>Model 3 LR AWD</v>
      </c>
      <c r="O2626" s="177" t="str">
        <f>IFERROR(__xludf.DUMMYFUNCTION("""COMPUTED_VALUE"""),"Silver Metallic")</f>
        <v>Silver Metallic</v>
      </c>
      <c r="P2626" s="178" t="str">
        <f>IFERROR(__xludf.DUMMYFUNCTION("""COMPUTED_VALUE"""),"18 inch Aero")</f>
        <v>18 inch Aero</v>
      </c>
      <c r="Q2626" s="177" t="str">
        <f>IFERROR(__xludf.DUMMYFUNCTION("""COMPUTED_VALUE"""),"Black seats")</f>
        <v>Black seats</v>
      </c>
      <c r="R2626" s="170" t="str">
        <f>IFERROR(__xludf.DUMMYFUNCTION("""COMPUTED_VALUE"""),"Enhanced Autopilot")</f>
        <v>Enhanced Autopilot</v>
      </c>
      <c r="S2626" s="170"/>
      <c r="T2626" s="179"/>
      <c r="U2626" s="179"/>
      <c r="V2626" s="179"/>
      <c r="W2626" s="180"/>
      <c r="X2626" s="181" t="str">
        <f>IFERROR(__xludf.DUMMYFUNCTION("""COMPUTED_VALUE"""),"Excellent")</f>
        <v>Excellent</v>
      </c>
      <c r="Y2626" s="182" t="str">
        <f>IFERROR(__xludf.DUMMYFUNCTION("""COMPUTED_VALUE"""),"Excellent")</f>
        <v>Excellent</v>
      </c>
      <c r="Z2626" s="182" t="str">
        <f>IFERROR(__xludf.DUMMYFUNCTION("""COMPUTED_VALUE"""),"Excellent")</f>
        <v>Excellent</v>
      </c>
      <c r="AA2626" s="182" t="str">
        <f>IFERROR(__xludf.DUMMYFUNCTION("""COMPUTED_VALUE"""),"Very Good")</f>
        <v>Very Good</v>
      </c>
      <c r="AB2626" s="182" t="str">
        <f>IFERROR(__xludf.DUMMYFUNCTION("""COMPUTED_VALUE"""),"Very Good")</f>
        <v>Very Good</v>
      </c>
      <c r="AC2626" s="183"/>
      <c r="AD2626" s="183"/>
      <c r="AE2626" s="183"/>
      <c r="AF2626" s="184"/>
      <c r="AG2626" s="180"/>
      <c r="AH2626" s="185">
        <f>IFERROR(__xludf.DUMMYFUNCTION("""COMPUTED_VALUE"""),43373.43932083333)</f>
        <v>43373.43932</v>
      </c>
      <c r="AI2626" s="182"/>
      <c r="AJ2626" s="182"/>
      <c r="AK2626" s="182"/>
      <c r="AL2626" s="182"/>
    </row>
    <row r="2627" ht="20.25" customHeight="1">
      <c r="A2627" s="169" t="str">
        <f>IFERROR(__xludf.DUMMYFUNCTION("""COMPUTED_VALUE"""),"zibefy")</f>
        <v>zibefy</v>
      </c>
      <c r="B2627" s="170" t="str">
        <f>IFERROR(__xludf.DUMMYFUNCTION("""COMPUTED_VALUE"""),"Herriman")</f>
        <v>Herriman</v>
      </c>
      <c r="C2627" s="170" t="str">
        <f>IFERROR(__xludf.DUMMYFUNCTION("""COMPUTED_VALUE"""),"UT")</f>
        <v>UT</v>
      </c>
      <c r="D2627" s="170" t="str">
        <f>IFERROR(__xludf.DUMMYFUNCTION("""COMPUTED_VALUE"""),"USA")</f>
        <v>USA</v>
      </c>
      <c r="E2627" s="171">
        <f>IFERROR(__xludf.DUMMYFUNCTION("""COMPUTED_VALUE"""),43299.0)</f>
        <v>43299</v>
      </c>
      <c r="F2627" s="172">
        <f>IFERROR(__xludf.DUMMYFUNCTION("""COMPUTED_VALUE"""),43300.0)</f>
        <v>43300</v>
      </c>
      <c r="G2627" s="173"/>
      <c r="H2627" s="174">
        <f>IFERROR(__xludf.DUMMYFUNCTION("""COMPUTED_VALUE"""),45755.0)</f>
        <v>45755</v>
      </c>
      <c r="I2627" s="175" t="str">
        <f>IFERROR(__xludf.DUMMYFUNCTION("""COMPUTED_VALUE"""),"07/18")</f>
        <v>07/18</v>
      </c>
      <c r="J2627" s="172">
        <f>IFERROR(__xludf.DUMMYFUNCTION("""COMPUTED_VALUE"""),43301.0)</f>
        <v>43301</v>
      </c>
      <c r="K2627" s="176">
        <f>IFERROR(__xludf.DUMMYFUNCTION("""COMPUTED_VALUE"""),1.0)</f>
        <v>1</v>
      </c>
      <c r="L2627" s="176">
        <f>IFERROR(__xludf.DUMMYFUNCTION("""COMPUTED_VALUE"""),1.0)</f>
        <v>1</v>
      </c>
      <c r="M2627" s="176">
        <f>IFERROR(__xludf.DUMMYFUNCTION("""COMPUTED_VALUE"""),2.0)</f>
        <v>2</v>
      </c>
      <c r="N2627" s="177" t="str">
        <f>IFERROR(__xludf.DUMMYFUNCTION("""COMPUTED_VALUE"""),"Model 3 LR")</f>
        <v>Model 3 LR</v>
      </c>
      <c r="O2627" s="177" t="str">
        <f>IFERROR(__xludf.DUMMYFUNCTION("""COMPUTED_VALUE"""),"Red Multi-Coat")</f>
        <v>Red Multi-Coat</v>
      </c>
      <c r="P2627" s="178" t="str">
        <f>IFERROR(__xludf.DUMMYFUNCTION("""COMPUTED_VALUE"""),"18 inch Aero")</f>
        <v>18 inch Aero</v>
      </c>
      <c r="Q2627" s="177" t="str">
        <f>IFERROR(__xludf.DUMMYFUNCTION("""COMPUTED_VALUE"""),"Black seats")</f>
        <v>Black seats</v>
      </c>
      <c r="R2627" s="170" t="str">
        <f>IFERROR(__xludf.DUMMYFUNCTION("""COMPUTED_VALUE"""),"Enhanced Autopilot")</f>
        <v>Enhanced Autopilot</v>
      </c>
      <c r="S2627" s="170"/>
      <c r="T2627" s="179"/>
      <c r="U2627" s="179"/>
      <c r="V2627" s="179"/>
      <c r="W2627" s="180"/>
      <c r="X2627" s="181" t="str">
        <f>IFERROR(__xludf.DUMMYFUNCTION("""COMPUTED_VALUE"""),"Excellent")</f>
        <v>Excellent</v>
      </c>
      <c r="Y2627" s="182" t="str">
        <f>IFERROR(__xludf.DUMMYFUNCTION("""COMPUTED_VALUE"""),"Excellent")</f>
        <v>Excellent</v>
      </c>
      <c r="Z2627" s="182" t="str">
        <f>IFERROR(__xludf.DUMMYFUNCTION("""COMPUTED_VALUE"""),"Excellent")</f>
        <v>Excellent</v>
      </c>
      <c r="AA2627" s="182" t="str">
        <f>IFERROR(__xludf.DUMMYFUNCTION("""COMPUTED_VALUE"""),"Excellent")</f>
        <v>Excellent</v>
      </c>
      <c r="AB2627" s="182" t="str">
        <f>IFERROR(__xludf.DUMMYFUNCTION("""COMPUTED_VALUE"""),"Excellent")</f>
        <v>Excellent</v>
      </c>
      <c r="AC2627" s="183">
        <f>IFERROR(__xludf.DUMMYFUNCTION("""COMPUTED_VALUE"""),0.0)</f>
        <v>0</v>
      </c>
      <c r="AD2627" s="183">
        <f>IFERROR(__xludf.DUMMYFUNCTION("""COMPUTED_VALUE"""),0.0)</f>
        <v>0</v>
      </c>
      <c r="AE2627" s="183">
        <f>IFERROR(__xludf.DUMMYFUNCTION("""COMPUTED_VALUE"""),0.0)</f>
        <v>0</v>
      </c>
      <c r="AF2627" s="184"/>
      <c r="AG2627" s="180" t="str">
        <f>IFERROR(__xludf.DUMMYFUNCTION("""COMPUTED_VALUE"""),"Was going to wait for short range and white interior. Then just went for it :)")</f>
        <v>Was going to wait for short range and white interior. Then just went for it :)</v>
      </c>
      <c r="AH2627" s="185">
        <f>IFERROR(__xludf.DUMMYFUNCTION("""COMPUTED_VALUE"""),43301.85266280093)</f>
        <v>43301.85266</v>
      </c>
      <c r="AI2627" s="182"/>
      <c r="AJ2627" s="182"/>
      <c r="AK2627" s="182"/>
      <c r="AL2627" s="182"/>
    </row>
    <row r="2628" ht="20.25" customHeight="1">
      <c r="A2628" s="169" t="str">
        <f>IFERROR(__xludf.DUMMYFUNCTION("""COMPUTED_VALUE"""),"omo")</f>
        <v>omo</v>
      </c>
      <c r="B2628" s="170"/>
      <c r="C2628" s="170" t="str">
        <f>IFERROR(__xludf.DUMMYFUNCTION("""COMPUTED_VALUE"""),"NJ")</f>
        <v>NJ</v>
      </c>
      <c r="D2628" s="170" t="str">
        <f>IFERROR(__xludf.DUMMYFUNCTION("""COMPUTED_VALUE"""),"USA")</f>
        <v>USA</v>
      </c>
      <c r="E2628" s="171">
        <f>IFERROR(__xludf.DUMMYFUNCTION("""COMPUTED_VALUE"""),43298.0)</f>
        <v>43298</v>
      </c>
      <c r="F2628" s="172">
        <f>IFERROR(__xludf.DUMMYFUNCTION("""COMPUTED_VALUE"""),43299.0)</f>
        <v>43299</v>
      </c>
      <c r="G2628" s="173"/>
      <c r="H2628" s="174">
        <f>IFERROR(__xludf.DUMMYFUNCTION("""COMPUTED_VALUE"""),42555.0)</f>
        <v>42555</v>
      </c>
      <c r="I2628" s="175"/>
      <c r="J2628" s="172">
        <f>IFERROR(__xludf.DUMMYFUNCTION("""COMPUTED_VALUE"""),43312.0)</f>
        <v>43312</v>
      </c>
      <c r="K2628" s="176">
        <f>IFERROR(__xludf.DUMMYFUNCTION("""COMPUTED_VALUE"""),1.0)</f>
        <v>1</v>
      </c>
      <c r="L2628" s="176">
        <f>IFERROR(__xludf.DUMMYFUNCTION("""COMPUTED_VALUE"""),13.0)</f>
        <v>13</v>
      </c>
      <c r="M2628" s="176">
        <f>IFERROR(__xludf.DUMMYFUNCTION("""COMPUTED_VALUE"""),14.0)</f>
        <v>14</v>
      </c>
      <c r="N2628" s="177" t="str">
        <f>IFERROR(__xludf.DUMMYFUNCTION("""COMPUTED_VALUE"""),"Model 3 LR")</f>
        <v>Model 3 LR</v>
      </c>
      <c r="O2628" s="177" t="str">
        <f>IFERROR(__xludf.DUMMYFUNCTION("""COMPUTED_VALUE"""),"Solid Black")</f>
        <v>Solid Black</v>
      </c>
      <c r="P2628" s="178" t="str">
        <f>IFERROR(__xludf.DUMMYFUNCTION("""COMPUTED_VALUE"""),"19 inch Sport")</f>
        <v>19 inch Sport</v>
      </c>
      <c r="Q2628" s="177" t="str">
        <f>IFERROR(__xludf.DUMMYFUNCTION("""COMPUTED_VALUE"""),"Black seats")</f>
        <v>Black seats</v>
      </c>
      <c r="R2628" s="170" t="str">
        <f>IFERROR(__xludf.DUMMYFUNCTION("""COMPUTED_VALUE"""),"Enhanced Autopilot")</f>
        <v>Enhanced Autopilot</v>
      </c>
      <c r="S2628" s="170"/>
      <c r="T2628" s="179"/>
      <c r="U2628" s="179"/>
      <c r="V2628" s="179"/>
      <c r="W2628" s="180"/>
      <c r="X2628" s="181" t="str">
        <f>IFERROR(__xludf.DUMMYFUNCTION("""COMPUTED_VALUE"""),"Very Good")</f>
        <v>Very Good</v>
      </c>
      <c r="Y2628" s="182" t="str">
        <f>IFERROR(__xludf.DUMMYFUNCTION("""COMPUTED_VALUE"""),"Very Good")</f>
        <v>Very Good</v>
      </c>
      <c r="Z2628" s="182" t="str">
        <f>IFERROR(__xludf.DUMMYFUNCTION("""COMPUTED_VALUE"""),"Excellent")</f>
        <v>Excellent</v>
      </c>
      <c r="AA2628" s="182" t="str">
        <f>IFERROR(__xludf.DUMMYFUNCTION("""COMPUTED_VALUE"""),"Excellent")</f>
        <v>Excellent</v>
      </c>
      <c r="AB2628" s="182" t="str">
        <f>IFERROR(__xludf.DUMMYFUNCTION("""COMPUTED_VALUE"""),"Very Good")</f>
        <v>Very Good</v>
      </c>
      <c r="AC2628" s="183"/>
      <c r="AD2628" s="183"/>
      <c r="AE2628" s="183"/>
      <c r="AF2628" s="184"/>
      <c r="AG2628" s="180"/>
      <c r="AH2628" s="185">
        <f>IFERROR(__xludf.DUMMYFUNCTION("""COMPUTED_VALUE"""),43312.657276655096)</f>
        <v>43312.65728</v>
      </c>
      <c r="AI2628" s="182"/>
      <c r="AJ2628" s="182"/>
      <c r="AK2628" s="182"/>
      <c r="AL2628" s="182"/>
    </row>
    <row r="2629" ht="20.25" customHeight="1">
      <c r="A2629" s="169" t="str">
        <f>IFERROR(__xludf.DUMMYFUNCTION("""COMPUTED_VALUE"""),"smartwaterer")</f>
        <v>smartwaterer</v>
      </c>
      <c r="B2629" s="170" t="str">
        <f>IFERROR(__xludf.DUMMYFUNCTION("""COMPUTED_VALUE"""),"Norfolk")</f>
        <v>Norfolk</v>
      </c>
      <c r="C2629" s="170" t="str">
        <f>IFERROR(__xludf.DUMMYFUNCTION("""COMPUTED_VALUE"""),"VA")</f>
        <v>VA</v>
      </c>
      <c r="D2629" s="170" t="str">
        <f>IFERROR(__xludf.DUMMYFUNCTION("""COMPUTED_VALUE"""),"USA")</f>
        <v>USA</v>
      </c>
      <c r="E2629" s="171">
        <f>IFERROR(__xludf.DUMMYFUNCTION("""COMPUTED_VALUE"""),43298.0)</f>
        <v>43298</v>
      </c>
      <c r="F2629" s="172">
        <f>IFERROR(__xludf.DUMMYFUNCTION("""COMPUTED_VALUE"""),43339.0)</f>
        <v>43339</v>
      </c>
      <c r="G2629" s="173"/>
      <c r="H2629" s="174">
        <f>IFERROR(__xludf.DUMMYFUNCTION("""COMPUTED_VALUE"""),66755.0)</f>
        <v>66755</v>
      </c>
      <c r="I2629" s="175"/>
      <c r="J2629" s="172">
        <f>IFERROR(__xludf.DUMMYFUNCTION("""COMPUTED_VALUE"""),43349.0)</f>
        <v>43349</v>
      </c>
      <c r="K2629" s="176">
        <f>IFERROR(__xludf.DUMMYFUNCTION("""COMPUTED_VALUE"""),41.0)</f>
        <v>41</v>
      </c>
      <c r="L2629" s="176">
        <f>IFERROR(__xludf.DUMMYFUNCTION("""COMPUTED_VALUE"""),10.0)</f>
        <v>10</v>
      </c>
      <c r="M2629" s="176">
        <f>IFERROR(__xludf.DUMMYFUNCTION("""COMPUTED_VALUE"""),51.0)</f>
        <v>51</v>
      </c>
      <c r="N2629" s="177" t="str">
        <f>IFERROR(__xludf.DUMMYFUNCTION("""COMPUTED_VALUE"""),"Model 3 LR AWD")</f>
        <v>Model 3 LR AWD</v>
      </c>
      <c r="O2629" s="177" t="str">
        <f>IFERROR(__xludf.DUMMYFUNCTION("""COMPUTED_VALUE"""),"Pearl White Multi-Coat")</f>
        <v>Pearl White Multi-Coat</v>
      </c>
      <c r="P2629" s="178" t="str">
        <f>IFERROR(__xludf.DUMMYFUNCTION("""COMPUTED_VALUE"""),"18 inch Aero")</f>
        <v>18 inch Aero</v>
      </c>
      <c r="Q2629" s="177" t="str">
        <f>IFERROR(__xludf.DUMMYFUNCTION("""COMPUTED_VALUE"""),"Black seats")</f>
        <v>Black seats</v>
      </c>
      <c r="R2629" s="170" t="str">
        <f>IFERROR(__xludf.DUMMYFUNCTION("""COMPUTED_VALUE"""),"Enhanced Autopilot")</f>
        <v>Enhanced Autopilot</v>
      </c>
      <c r="S2629" s="170"/>
      <c r="T2629" s="179"/>
      <c r="U2629" s="179"/>
      <c r="V2629" s="179"/>
      <c r="W2629" s="180"/>
      <c r="X2629" s="181" t="str">
        <f>IFERROR(__xludf.DUMMYFUNCTION("""COMPUTED_VALUE"""),"Excellent")</f>
        <v>Excellent</v>
      </c>
      <c r="Y2629" s="182" t="str">
        <f>IFERROR(__xludf.DUMMYFUNCTION("""COMPUTED_VALUE"""),"Excellent")</f>
        <v>Excellent</v>
      </c>
      <c r="Z2629" s="182" t="str">
        <f>IFERROR(__xludf.DUMMYFUNCTION("""COMPUTED_VALUE"""),"Very Good")</f>
        <v>Very Good</v>
      </c>
      <c r="AA2629" s="182" t="str">
        <f>IFERROR(__xludf.DUMMYFUNCTION("""COMPUTED_VALUE"""),"Excellent")</f>
        <v>Excellent</v>
      </c>
      <c r="AB2629" s="182" t="str">
        <f>IFERROR(__xludf.DUMMYFUNCTION("""COMPUTED_VALUE"""),"Very Good")</f>
        <v>Very Good</v>
      </c>
      <c r="AC2629" s="183">
        <f>IFERROR(__xludf.DUMMYFUNCTION("""COMPUTED_VALUE"""),2.0)</f>
        <v>2</v>
      </c>
      <c r="AD2629" s="183"/>
      <c r="AE2629" s="183"/>
      <c r="AF2629" s="184"/>
      <c r="AG2629" s="180"/>
      <c r="AH2629" s="185">
        <f>IFERROR(__xludf.DUMMYFUNCTION("""COMPUTED_VALUE"""),43352.81635457176)</f>
        <v>43352.81635</v>
      </c>
      <c r="AI2629" s="182"/>
      <c r="AJ2629" s="182"/>
      <c r="AK2629" s="182"/>
      <c r="AL2629" s="182"/>
    </row>
    <row r="2630" ht="20.25" customHeight="1">
      <c r="A2630" s="169" t="str">
        <f>IFERROR(__xludf.DUMMYFUNCTION("""COMPUTED_VALUE"""),"TeslaDallas")</f>
        <v>TeslaDallas</v>
      </c>
      <c r="B2630" s="170"/>
      <c r="C2630" s="170" t="str">
        <f>IFERROR(__xludf.DUMMYFUNCTION("""COMPUTED_VALUE"""),"TX")</f>
        <v>TX</v>
      </c>
      <c r="D2630" s="170" t="str">
        <f>IFERROR(__xludf.DUMMYFUNCTION("""COMPUTED_VALUE"""),"USA")</f>
        <v>USA</v>
      </c>
      <c r="E2630" s="171">
        <f>IFERROR(__xludf.DUMMYFUNCTION("""COMPUTED_VALUE"""),43298.0)</f>
        <v>43298</v>
      </c>
      <c r="F2630" s="172">
        <f>IFERROR(__xludf.DUMMYFUNCTION("""COMPUTED_VALUE"""),43326.0)</f>
        <v>43326</v>
      </c>
      <c r="G2630" s="173"/>
      <c r="H2630" s="174">
        <f>IFERROR(__xludf.DUMMYFUNCTION("""COMPUTED_VALUE"""),38905.0)</f>
        <v>38905</v>
      </c>
      <c r="I2630" s="175"/>
      <c r="J2630" s="172">
        <f>IFERROR(__xludf.DUMMYFUNCTION("""COMPUTED_VALUE"""),43342.0)</f>
        <v>43342</v>
      </c>
      <c r="K2630" s="176">
        <f>IFERROR(__xludf.DUMMYFUNCTION("""COMPUTED_VALUE"""),28.0)</f>
        <v>28</v>
      </c>
      <c r="L2630" s="176">
        <f>IFERROR(__xludf.DUMMYFUNCTION("""COMPUTED_VALUE"""),16.0)</f>
        <v>16</v>
      </c>
      <c r="M2630" s="176">
        <f>IFERROR(__xludf.DUMMYFUNCTION("""COMPUTED_VALUE"""),44.0)</f>
        <v>44</v>
      </c>
      <c r="N2630" s="177" t="str">
        <f>IFERROR(__xludf.DUMMYFUNCTION("""COMPUTED_VALUE"""),"Model 3 LR")</f>
        <v>Model 3 LR</v>
      </c>
      <c r="O2630" s="177" t="str">
        <f>IFERROR(__xludf.DUMMYFUNCTION("""COMPUTED_VALUE"""),"Pearl White Multi-Coat")</f>
        <v>Pearl White Multi-Coat</v>
      </c>
      <c r="P2630" s="178" t="str">
        <f>IFERROR(__xludf.DUMMYFUNCTION("""COMPUTED_VALUE"""),"19 inch Sport")</f>
        <v>19 inch Sport</v>
      </c>
      <c r="Q2630" s="177" t="str">
        <f>IFERROR(__xludf.DUMMYFUNCTION("""COMPUTED_VALUE"""),"Black seats")</f>
        <v>Black seats</v>
      </c>
      <c r="R2630" s="170" t="str">
        <f>IFERROR(__xludf.DUMMYFUNCTION("""COMPUTED_VALUE"""),"Enhanced Autopilot")</f>
        <v>Enhanced Autopilot</v>
      </c>
      <c r="S2630" s="170"/>
      <c r="T2630" s="179"/>
      <c r="U2630" s="179"/>
      <c r="V2630" s="179"/>
      <c r="W2630" s="180"/>
      <c r="X2630" s="181" t="str">
        <f>IFERROR(__xludf.DUMMYFUNCTION("""COMPUTED_VALUE"""),"Excellent")</f>
        <v>Excellent</v>
      </c>
      <c r="Y2630" s="182" t="str">
        <f>IFERROR(__xludf.DUMMYFUNCTION("""COMPUTED_VALUE"""),"Excellent")</f>
        <v>Excellent</v>
      </c>
      <c r="Z2630" s="182" t="str">
        <f>IFERROR(__xludf.DUMMYFUNCTION("""COMPUTED_VALUE"""),"Excellent")</f>
        <v>Excellent</v>
      </c>
      <c r="AA2630" s="182" t="str">
        <f>IFERROR(__xludf.DUMMYFUNCTION("""COMPUTED_VALUE"""),"Fair")</f>
        <v>Fair</v>
      </c>
      <c r="AB2630" s="182" t="str">
        <f>IFERROR(__xludf.DUMMYFUNCTION("""COMPUTED_VALUE"""),"Very Good")</f>
        <v>Very Good</v>
      </c>
      <c r="AC2630" s="183">
        <f>IFERROR(__xludf.DUMMYFUNCTION("""COMPUTED_VALUE"""),0.0)</f>
        <v>0</v>
      </c>
      <c r="AD2630" s="183">
        <f>IFERROR(__xludf.DUMMYFUNCTION("""COMPUTED_VALUE"""),0.0)</f>
        <v>0</v>
      </c>
      <c r="AE2630" s="183">
        <f>IFERROR(__xludf.DUMMYFUNCTION("""COMPUTED_VALUE"""),0.0)</f>
        <v>0</v>
      </c>
      <c r="AF2630" s="184"/>
      <c r="AG2630" s="180"/>
      <c r="AH2630" s="185">
        <f>IFERROR(__xludf.DUMMYFUNCTION("""COMPUTED_VALUE"""),43354.3625306713)</f>
        <v>43354.36253</v>
      </c>
      <c r="AI2630" s="182"/>
      <c r="AJ2630" s="182"/>
      <c r="AK2630" s="182"/>
      <c r="AL2630" s="182"/>
    </row>
    <row r="2631" ht="20.25" customHeight="1">
      <c r="A2631" s="169" t="str">
        <f>IFERROR(__xludf.DUMMYFUNCTION("""COMPUTED_VALUE"""),"williamwashere")</f>
        <v>williamwashere</v>
      </c>
      <c r="B2631" s="170" t="str">
        <f>IFERROR(__xludf.DUMMYFUNCTION("""COMPUTED_VALUE"""),"Houston")</f>
        <v>Houston</v>
      </c>
      <c r="C2631" s="170" t="str">
        <f>IFERROR(__xludf.DUMMYFUNCTION("""COMPUTED_VALUE"""),"TX")</f>
        <v>TX</v>
      </c>
      <c r="D2631" s="170" t="str">
        <f>IFERROR(__xludf.DUMMYFUNCTION("""COMPUTED_VALUE"""),"USA")</f>
        <v>USA</v>
      </c>
      <c r="E2631" s="171">
        <f>IFERROR(__xludf.DUMMYFUNCTION("""COMPUTED_VALUE"""),43298.0)</f>
        <v>43298</v>
      </c>
      <c r="F2631" s="172">
        <f>IFERROR(__xludf.DUMMYFUNCTION("""COMPUTED_VALUE"""),43332.0)</f>
        <v>43332</v>
      </c>
      <c r="G2631" s="173"/>
      <c r="H2631" s="174">
        <f>IFERROR(__xludf.DUMMYFUNCTION("""COMPUTED_VALUE"""),95955.0)</f>
        <v>95955</v>
      </c>
      <c r="I2631" s="175"/>
      <c r="J2631" s="172">
        <f>IFERROR(__xludf.DUMMYFUNCTION("""COMPUTED_VALUE"""),43364.0)</f>
        <v>43364</v>
      </c>
      <c r="K2631" s="176">
        <f>IFERROR(__xludf.DUMMYFUNCTION("""COMPUTED_VALUE"""),34.0)</f>
        <v>34</v>
      </c>
      <c r="L2631" s="176">
        <f>IFERROR(__xludf.DUMMYFUNCTION("""COMPUTED_VALUE"""),32.0)</f>
        <v>32</v>
      </c>
      <c r="M2631" s="176">
        <f>IFERROR(__xludf.DUMMYFUNCTION("""COMPUTED_VALUE"""),66.0)</f>
        <v>66</v>
      </c>
      <c r="N2631" s="177" t="str">
        <f>IFERROR(__xludf.DUMMYFUNCTION("""COMPUTED_VALUE"""),"Model 3 LR AWD")</f>
        <v>Model 3 LR AWD</v>
      </c>
      <c r="O2631" s="177" t="str">
        <f>IFERROR(__xludf.DUMMYFUNCTION("""COMPUTED_VALUE"""),"Obsidian Black Metallic")</f>
        <v>Obsidian Black Metallic</v>
      </c>
      <c r="P2631" s="178" t="str">
        <f>IFERROR(__xludf.DUMMYFUNCTION("""COMPUTED_VALUE"""),"18 inch Aero")</f>
        <v>18 inch Aero</v>
      </c>
      <c r="Q2631" s="177" t="str">
        <f>IFERROR(__xludf.DUMMYFUNCTION("""COMPUTED_VALUE"""),"White seats")</f>
        <v>White seats</v>
      </c>
      <c r="R2631" s="170" t="str">
        <f>IFERROR(__xludf.DUMMYFUNCTION("""COMPUTED_VALUE"""),"Full Self-Driving")</f>
        <v>Full Self-Driving</v>
      </c>
      <c r="S2631" s="170"/>
      <c r="T2631" s="179"/>
      <c r="U2631" s="179"/>
      <c r="V2631" s="179"/>
      <c r="W2631" s="180"/>
      <c r="X2631" s="181" t="str">
        <f>IFERROR(__xludf.DUMMYFUNCTION("""COMPUTED_VALUE"""),"Excellent")</f>
        <v>Excellent</v>
      </c>
      <c r="Y2631" s="182" t="str">
        <f>IFERROR(__xludf.DUMMYFUNCTION("""COMPUTED_VALUE"""),"Excellent")</f>
        <v>Excellent</v>
      </c>
      <c r="Z2631" s="182" t="str">
        <f>IFERROR(__xludf.DUMMYFUNCTION("""COMPUTED_VALUE"""),"Fair")</f>
        <v>Fair</v>
      </c>
      <c r="AA2631" s="182" t="str">
        <f>IFERROR(__xludf.DUMMYFUNCTION("""COMPUTED_VALUE"""),"Excellent")</f>
        <v>Excellent</v>
      </c>
      <c r="AB2631" s="182" t="str">
        <f>IFERROR(__xludf.DUMMYFUNCTION("""COMPUTED_VALUE"""),"Excellent")</f>
        <v>Excellent</v>
      </c>
      <c r="AC2631" s="183">
        <f>IFERROR(__xludf.DUMMYFUNCTION("""COMPUTED_VALUE"""),2.0)</f>
        <v>2</v>
      </c>
      <c r="AD2631" s="183">
        <f>IFERROR(__xludf.DUMMYFUNCTION("""COMPUTED_VALUE"""),1.0)</f>
        <v>1</v>
      </c>
      <c r="AE2631" s="183">
        <f>IFERROR(__xludf.DUMMYFUNCTION("""COMPUTED_VALUE"""),2.0)</f>
        <v>2</v>
      </c>
      <c r="AF2631" s="184"/>
      <c r="AG2631" s="180"/>
      <c r="AH2631" s="185">
        <f>IFERROR(__xludf.DUMMYFUNCTION("""COMPUTED_VALUE"""),43371.44866032408)</f>
        <v>43371.44866</v>
      </c>
      <c r="AI2631" s="182"/>
      <c r="AJ2631" s="182"/>
      <c r="AK2631" s="182"/>
      <c r="AL2631" s="182"/>
    </row>
    <row r="2632" ht="20.25" customHeight="1">
      <c r="A2632" s="169" t="str">
        <f>IFERROR(__xludf.DUMMYFUNCTION("""COMPUTED_VALUE"""),"Bham")</f>
        <v>Bham</v>
      </c>
      <c r="B2632" s="170" t="str">
        <f>IFERROR(__xludf.DUMMYFUNCTION("""COMPUTED_VALUE"""),"Thousand Oaks")</f>
        <v>Thousand Oaks</v>
      </c>
      <c r="C2632" s="170" t="str">
        <f>IFERROR(__xludf.DUMMYFUNCTION("""COMPUTED_VALUE"""),"CA")</f>
        <v>CA</v>
      </c>
      <c r="D2632" s="170" t="str">
        <f>IFERROR(__xludf.DUMMYFUNCTION("""COMPUTED_VALUE"""),"USA")</f>
        <v>USA</v>
      </c>
      <c r="E2632" s="171">
        <f>IFERROR(__xludf.DUMMYFUNCTION("""COMPUTED_VALUE"""),43297.0)</f>
        <v>43297</v>
      </c>
      <c r="F2632" s="172">
        <f>IFERROR(__xludf.DUMMYFUNCTION("""COMPUTED_VALUE"""),43298.0)</f>
        <v>43298</v>
      </c>
      <c r="G2632" s="173"/>
      <c r="H2632" s="174">
        <f>IFERROR(__xludf.DUMMYFUNCTION("""COMPUTED_VALUE"""),41183.0)</f>
        <v>41183</v>
      </c>
      <c r="I2632" s="175" t="str">
        <f>IFERROR(__xludf.DUMMYFUNCTION("""COMPUTED_VALUE"""),"07/18")</f>
        <v>07/18</v>
      </c>
      <c r="J2632" s="172">
        <f>IFERROR(__xludf.DUMMYFUNCTION("""COMPUTED_VALUE"""),43308.0)</f>
        <v>43308</v>
      </c>
      <c r="K2632" s="176">
        <f>IFERROR(__xludf.DUMMYFUNCTION("""COMPUTED_VALUE"""),1.0)</f>
        <v>1</v>
      </c>
      <c r="L2632" s="176">
        <f>IFERROR(__xludf.DUMMYFUNCTION("""COMPUTED_VALUE"""),10.0)</f>
        <v>10</v>
      </c>
      <c r="M2632" s="176">
        <f>IFERROR(__xludf.DUMMYFUNCTION("""COMPUTED_VALUE"""),11.0)</f>
        <v>11</v>
      </c>
      <c r="N2632" s="177" t="str">
        <f>IFERROR(__xludf.DUMMYFUNCTION("""COMPUTED_VALUE"""),"Model 3 LR")</f>
        <v>Model 3 LR</v>
      </c>
      <c r="O2632" s="177" t="str">
        <f>IFERROR(__xludf.DUMMYFUNCTION("""COMPUTED_VALUE"""),"Pearl White Multi-Coat")</f>
        <v>Pearl White Multi-Coat</v>
      </c>
      <c r="P2632" s="178" t="str">
        <f>IFERROR(__xludf.DUMMYFUNCTION("""COMPUTED_VALUE"""),"18 inch Aero")</f>
        <v>18 inch Aero</v>
      </c>
      <c r="Q2632" s="177" t="str">
        <f>IFERROR(__xludf.DUMMYFUNCTION("""COMPUTED_VALUE"""),"Black seats")</f>
        <v>Black seats</v>
      </c>
      <c r="R2632" s="170" t="str">
        <f>IFERROR(__xludf.DUMMYFUNCTION("""COMPUTED_VALUE"""),"Enhanced Autopilot")</f>
        <v>Enhanced Autopilot</v>
      </c>
      <c r="S2632" s="170"/>
      <c r="T2632" s="179"/>
      <c r="U2632" s="179"/>
      <c r="V2632" s="179"/>
      <c r="W2632" s="180"/>
      <c r="X2632" s="181" t="str">
        <f>IFERROR(__xludf.DUMMYFUNCTION("""COMPUTED_VALUE"""),"Excellent")</f>
        <v>Excellent</v>
      </c>
      <c r="Y2632" s="182" t="str">
        <f>IFERROR(__xludf.DUMMYFUNCTION("""COMPUTED_VALUE"""),"Excellent")</f>
        <v>Excellent</v>
      </c>
      <c r="Z2632" s="182" t="str">
        <f>IFERROR(__xludf.DUMMYFUNCTION("""COMPUTED_VALUE"""),"Excellent")</f>
        <v>Excellent</v>
      </c>
      <c r="AA2632" s="182" t="str">
        <f>IFERROR(__xludf.DUMMYFUNCTION("""COMPUTED_VALUE"""),"Very Good")</f>
        <v>Very Good</v>
      </c>
      <c r="AB2632" s="182" t="str">
        <f>IFERROR(__xludf.DUMMYFUNCTION("""COMPUTED_VALUE"""),"Very Good")</f>
        <v>Very Good</v>
      </c>
      <c r="AC2632" s="183"/>
      <c r="AD2632" s="183"/>
      <c r="AE2632" s="183"/>
      <c r="AF2632" s="184"/>
      <c r="AG2632" s="180"/>
      <c r="AH2632" s="185">
        <f>IFERROR(__xludf.DUMMYFUNCTION("""COMPUTED_VALUE"""),43316.68662375)</f>
        <v>43316.68662</v>
      </c>
      <c r="AI2632" s="182"/>
      <c r="AJ2632" s="182"/>
      <c r="AK2632" s="182"/>
      <c r="AL2632" s="182"/>
    </row>
    <row r="2633" ht="20.25" customHeight="1">
      <c r="A2633" s="169" t="str">
        <f>IFERROR(__xludf.DUMMYFUNCTION("""COMPUTED_VALUE"""),"Cubbs")</f>
        <v>Cubbs</v>
      </c>
      <c r="B2633" s="170"/>
      <c r="C2633" s="170" t="str">
        <f>IFERROR(__xludf.DUMMYFUNCTION("""COMPUTED_VALUE"""),"MD")</f>
        <v>MD</v>
      </c>
      <c r="D2633" s="170" t="str">
        <f>IFERROR(__xludf.DUMMYFUNCTION("""COMPUTED_VALUE"""),"USA")</f>
        <v>USA</v>
      </c>
      <c r="E2633" s="171">
        <f>IFERROR(__xludf.DUMMYFUNCTION("""COMPUTED_VALUE"""),43297.0)</f>
        <v>43297</v>
      </c>
      <c r="F2633" s="172"/>
      <c r="G2633" s="173"/>
      <c r="H2633" s="174">
        <f>IFERROR(__xludf.DUMMYFUNCTION("""COMPUTED_VALUE"""),117755.0)</f>
        <v>117755</v>
      </c>
      <c r="I2633" s="175"/>
      <c r="J2633" s="172">
        <f>IFERROR(__xludf.DUMMYFUNCTION("""COMPUTED_VALUE"""),43400.0)</f>
        <v>43400</v>
      </c>
      <c r="K2633" s="176"/>
      <c r="L2633" s="176"/>
      <c r="M2633" s="176">
        <f>IFERROR(__xludf.DUMMYFUNCTION("""COMPUTED_VALUE"""),103.0)</f>
        <v>103</v>
      </c>
      <c r="N2633" s="177" t="str">
        <f>IFERROR(__xludf.DUMMYFUNCTION("""COMPUTED_VALUE"""),"Model 3 LR AWD")</f>
        <v>Model 3 LR AWD</v>
      </c>
      <c r="O2633" s="177" t="str">
        <f>IFERROR(__xludf.DUMMYFUNCTION("""COMPUTED_VALUE"""),"Pearl White Multi-Coat")</f>
        <v>Pearl White Multi-Coat</v>
      </c>
      <c r="P2633" s="178" t="str">
        <f>IFERROR(__xludf.DUMMYFUNCTION("""COMPUTED_VALUE"""),"19 inch Sport")</f>
        <v>19 inch Sport</v>
      </c>
      <c r="Q2633" s="177" t="str">
        <f>IFERROR(__xludf.DUMMYFUNCTION("""COMPUTED_VALUE"""),"Black seats")</f>
        <v>Black seats</v>
      </c>
      <c r="R2633" s="170" t="str">
        <f>IFERROR(__xludf.DUMMYFUNCTION("""COMPUTED_VALUE"""),"None")</f>
        <v>None</v>
      </c>
      <c r="S2633" s="170"/>
      <c r="T2633" s="179"/>
      <c r="U2633" s="179"/>
      <c r="V2633" s="179"/>
      <c r="W2633" s="180"/>
      <c r="X2633" s="181" t="str">
        <f>IFERROR(__xludf.DUMMYFUNCTION("""COMPUTED_VALUE"""),"Excellent")</f>
        <v>Excellent</v>
      </c>
      <c r="Y2633" s="182" t="str">
        <f>IFERROR(__xludf.DUMMYFUNCTION("""COMPUTED_VALUE"""),"Excellent")</f>
        <v>Excellent</v>
      </c>
      <c r="Z2633" s="182" t="str">
        <f>IFERROR(__xludf.DUMMYFUNCTION("""COMPUTED_VALUE"""),"Excellent")</f>
        <v>Excellent</v>
      </c>
      <c r="AA2633" s="182" t="str">
        <f>IFERROR(__xludf.DUMMYFUNCTION("""COMPUTED_VALUE"""),"Very Good")</f>
        <v>Very Good</v>
      </c>
      <c r="AB2633" s="182" t="str">
        <f>IFERROR(__xludf.DUMMYFUNCTION("""COMPUTED_VALUE"""),"Excellent")</f>
        <v>Excellent</v>
      </c>
      <c r="AC2633" s="183"/>
      <c r="AD2633" s="183"/>
      <c r="AE2633" s="183"/>
      <c r="AF2633" s="184"/>
      <c r="AG2633" s="180"/>
      <c r="AH2633" s="185">
        <f>IFERROR(__xludf.DUMMYFUNCTION("""COMPUTED_VALUE"""),43407.63831)</f>
        <v>43407.63831</v>
      </c>
      <c r="AI2633" s="182"/>
      <c r="AJ2633" s="182"/>
      <c r="AK2633" s="182"/>
      <c r="AL2633" s="182"/>
    </row>
    <row r="2634" ht="20.25" customHeight="1">
      <c r="A2634" s="169" t="str">
        <f>IFERROR(__xludf.DUMMYFUNCTION("""COMPUTED_VALUE"""),"FieldGuide")</f>
        <v>FieldGuide</v>
      </c>
      <c r="B2634" s="170" t="str">
        <f>IFERROR(__xludf.DUMMYFUNCTION("""COMPUTED_VALUE"""),"Chicago")</f>
        <v>Chicago</v>
      </c>
      <c r="C2634" s="170" t="str">
        <f>IFERROR(__xludf.DUMMYFUNCTION("""COMPUTED_VALUE"""),"IL")</f>
        <v>IL</v>
      </c>
      <c r="D2634" s="170" t="str">
        <f>IFERROR(__xludf.DUMMYFUNCTION("""COMPUTED_VALUE"""),"USA")</f>
        <v>USA</v>
      </c>
      <c r="E2634" s="171">
        <f>IFERROR(__xludf.DUMMYFUNCTION("""COMPUTED_VALUE"""),43297.0)</f>
        <v>43297</v>
      </c>
      <c r="F2634" s="172">
        <f>IFERROR(__xludf.DUMMYFUNCTION("""COMPUTED_VALUE"""),43319.0)</f>
        <v>43319</v>
      </c>
      <c r="G2634" s="173"/>
      <c r="H2634" s="174">
        <f>IFERROR(__xludf.DUMMYFUNCTION("""COMPUTED_VALUE"""),55155.0)</f>
        <v>55155</v>
      </c>
      <c r="I2634" s="175" t="str">
        <f>IFERROR(__xludf.DUMMYFUNCTION("""COMPUTED_VALUE"""),"07/18")</f>
        <v>07/18</v>
      </c>
      <c r="J2634" s="172">
        <f>IFERROR(__xludf.DUMMYFUNCTION("""COMPUTED_VALUE"""),43326.0)</f>
        <v>43326</v>
      </c>
      <c r="K2634" s="176">
        <f>IFERROR(__xludf.DUMMYFUNCTION("""COMPUTED_VALUE"""),22.0)</f>
        <v>22</v>
      </c>
      <c r="L2634" s="176">
        <f>IFERROR(__xludf.DUMMYFUNCTION("""COMPUTED_VALUE"""),7.0)</f>
        <v>7</v>
      </c>
      <c r="M2634" s="176">
        <f>IFERROR(__xludf.DUMMYFUNCTION("""COMPUTED_VALUE"""),29.0)</f>
        <v>29</v>
      </c>
      <c r="N2634" s="177" t="str">
        <f>IFERROR(__xludf.DUMMYFUNCTION("""COMPUTED_VALUE"""),"Model 3 Performance")</f>
        <v>Model 3 Performance</v>
      </c>
      <c r="O2634" s="177" t="str">
        <f>IFERROR(__xludf.DUMMYFUNCTION("""COMPUTED_VALUE"""),"Midnight Silver Metallic")</f>
        <v>Midnight Silver Metallic</v>
      </c>
      <c r="P2634" s="178" t="str">
        <f>IFERROR(__xludf.DUMMYFUNCTION("""COMPUTED_VALUE"""),"20 inch Sport")</f>
        <v>20 inch Sport</v>
      </c>
      <c r="Q2634" s="177" t="str">
        <f>IFERROR(__xludf.DUMMYFUNCTION("""COMPUTED_VALUE"""),"White seats")</f>
        <v>White seats</v>
      </c>
      <c r="R2634" s="170" t="str">
        <f>IFERROR(__xludf.DUMMYFUNCTION("""COMPUTED_VALUE"""),"Enhanced Autopilot")</f>
        <v>Enhanced Autopilot</v>
      </c>
      <c r="S2634" s="170"/>
      <c r="T2634" s="179"/>
      <c r="U2634" s="179"/>
      <c r="V2634" s="179"/>
      <c r="W2634" s="180"/>
      <c r="X2634" s="181" t="str">
        <f>IFERROR(__xludf.DUMMYFUNCTION("""COMPUTED_VALUE"""),"Very Good")</f>
        <v>Very Good</v>
      </c>
      <c r="Y2634" s="182" t="str">
        <f>IFERROR(__xludf.DUMMYFUNCTION("""COMPUTED_VALUE"""),"Excellent")</f>
        <v>Excellent</v>
      </c>
      <c r="Z2634" s="182" t="str">
        <f>IFERROR(__xludf.DUMMYFUNCTION("""COMPUTED_VALUE"""),"Very Good")</f>
        <v>Very Good</v>
      </c>
      <c r="AA2634" s="182" t="str">
        <f>IFERROR(__xludf.DUMMYFUNCTION("""COMPUTED_VALUE"""),"Poor")</f>
        <v>Poor</v>
      </c>
      <c r="AB2634" s="182" t="str">
        <f>IFERROR(__xludf.DUMMYFUNCTION("""COMPUTED_VALUE"""),"Poor")</f>
        <v>Poor</v>
      </c>
      <c r="AC2634" s="183">
        <f>IFERROR(__xludf.DUMMYFUNCTION("""COMPUTED_VALUE"""),10.0)</f>
        <v>10</v>
      </c>
      <c r="AD2634" s="183"/>
      <c r="AE2634" s="183"/>
      <c r="AF2634" s="184"/>
      <c r="AG2634" s="180"/>
      <c r="AH2634" s="185">
        <f>IFERROR(__xludf.DUMMYFUNCTION("""COMPUTED_VALUE"""),43332.53984853009)</f>
        <v>43332.53985</v>
      </c>
      <c r="AI2634" s="182"/>
      <c r="AJ2634" s="182"/>
      <c r="AK2634" s="182"/>
      <c r="AL2634" s="182"/>
    </row>
    <row r="2635" ht="20.25" customHeight="1">
      <c r="A2635" s="169" t="str">
        <f>IFERROR(__xludf.DUMMYFUNCTION("""COMPUTED_VALUE"""),"MassUser")</f>
        <v>MassUser</v>
      </c>
      <c r="B2635" s="170" t="str">
        <f>IFERROR(__xludf.DUMMYFUNCTION("""COMPUTED_VALUE"""),"Boston metro")</f>
        <v>Boston metro</v>
      </c>
      <c r="C2635" s="170" t="str">
        <f>IFERROR(__xludf.DUMMYFUNCTION("""COMPUTED_VALUE"""),"MA")</f>
        <v>MA</v>
      </c>
      <c r="D2635" s="170" t="str">
        <f>IFERROR(__xludf.DUMMYFUNCTION("""COMPUTED_VALUE"""),"USA")</f>
        <v>USA</v>
      </c>
      <c r="E2635" s="171">
        <f>IFERROR(__xludf.DUMMYFUNCTION("""COMPUTED_VALUE"""),43297.0)</f>
        <v>43297</v>
      </c>
      <c r="F2635" s="172">
        <f>IFERROR(__xludf.DUMMYFUNCTION("""COMPUTED_VALUE"""),43307.0)</f>
        <v>43307</v>
      </c>
      <c r="G2635" s="173"/>
      <c r="H2635" s="174">
        <f>IFERROR(__xludf.DUMMYFUNCTION("""COMPUTED_VALUE"""),45263.0)</f>
        <v>45263</v>
      </c>
      <c r="I2635" s="175"/>
      <c r="J2635" s="172">
        <f>IFERROR(__xludf.DUMMYFUNCTION("""COMPUTED_VALUE"""),43327.0)</f>
        <v>43327</v>
      </c>
      <c r="K2635" s="176">
        <f>IFERROR(__xludf.DUMMYFUNCTION("""COMPUTED_VALUE"""),10.0)</f>
        <v>10</v>
      </c>
      <c r="L2635" s="176">
        <f>IFERROR(__xludf.DUMMYFUNCTION("""COMPUTED_VALUE"""),20.0)</f>
        <v>20</v>
      </c>
      <c r="M2635" s="176">
        <f>IFERROR(__xludf.DUMMYFUNCTION("""COMPUTED_VALUE"""),30.0)</f>
        <v>30</v>
      </c>
      <c r="N2635" s="177" t="str">
        <f>IFERROR(__xludf.DUMMYFUNCTION("""COMPUTED_VALUE"""),"Model 3 LR")</f>
        <v>Model 3 LR</v>
      </c>
      <c r="O2635" s="177" t="str">
        <f>IFERROR(__xludf.DUMMYFUNCTION("""COMPUTED_VALUE"""),"Midnight Silver Metallic")</f>
        <v>Midnight Silver Metallic</v>
      </c>
      <c r="P2635" s="178" t="str">
        <f>IFERROR(__xludf.DUMMYFUNCTION("""COMPUTED_VALUE"""),"18 inch Aero")</f>
        <v>18 inch Aero</v>
      </c>
      <c r="Q2635" s="177" t="str">
        <f>IFERROR(__xludf.DUMMYFUNCTION("""COMPUTED_VALUE"""),"Black seats")</f>
        <v>Black seats</v>
      </c>
      <c r="R2635" s="170" t="str">
        <f>IFERROR(__xludf.DUMMYFUNCTION("""COMPUTED_VALUE"""),"Enhanced Autopilot")</f>
        <v>Enhanced Autopilot</v>
      </c>
      <c r="S2635" s="170"/>
      <c r="T2635" s="179"/>
      <c r="U2635" s="179"/>
      <c r="V2635" s="179"/>
      <c r="W2635" s="180"/>
      <c r="X2635" s="181" t="str">
        <f>IFERROR(__xludf.DUMMYFUNCTION("""COMPUTED_VALUE"""),"Very Good")</f>
        <v>Very Good</v>
      </c>
      <c r="Y2635" s="182" t="str">
        <f>IFERROR(__xludf.DUMMYFUNCTION("""COMPUTED_VALUE"""),"Good")</f>
        <v>Good</v>
      </c>
      <c r="Z2635" s="182" t="str">
        <f>IFERROR(__xludf.DUMMYFUNCTION("""COMPUTED_VALUE"""),"Very Good")</f>
        <v>Very Good</v>
      </c>
      <c r="AA2635" s="182" t="str">
        <f>IFERROR(__xludf.DUMMYFUNCTION("""COMPUTED_VALUE"""),"Very Good")</f>
        <v>Very Good</v>
      </c>
      <c r="AB2635" s="182" t="str">
        <f>IFERROR(__xludf.DUMMYFUNCTION("""COMPUTED_VALUE"""),"Fair")</f>
        <v>Fair</v>
      </c>
      <c r="AC2635" s="183"/>
      <c r="AD2635" s="183"/>
      <c r="AE2635" s="183"/>
      <c r="AF2635" s="184"/>
      <c r="AG2635" s="180"/>
      <c r="AH2635" s="185">
        <f>IFERROR(__xludf.DUMMYFUNCTION("""COMPUTED_VALUE"""),43327.726252071756)</f>
        <v>43327.72625</v>
      </c>
      <c r="AI2635" s="182"/>
      <c r="AJ2635" s="182"/>
      <c r="AK2635" s="182"/>
      <c r="AL2635" s="182"/>
    </row>
    <row r="2636" ht="20.25" customHeight="1">
      <c r="A2636" s="169" t="str">
        <f>IFERROR(__xludf.DUMMYFUNCTION("""COMPUTED_VALUE"""),"ModelNforNerd")</f>
        <v>ModelNforNerd</v>
      </c>
      <c r="B2636" s="170" t="str">
        <f>IFERROR(__xludf.DUMMYFUNCTION("""COMPUTED_VALUE"""),"Ayer")</f>
        <v>Ayer</v>
      </c>
      <c r="C2636" s="170" t="str">
        <f>IFERROR(__xludf.DUMMYFUNCTION("""COMPUTED_VALUE"""),"MA")</f>
        <v>MA</v>
      </c>
      <c r="D2636" s="170" t="str">
        <f>IFERROR(__xludf.DUMMYFUNCTION("""COMPUTED_VALUE"""),"USA")</f>
        <v>USA</v>
      </c>
      <c r="E2636" s="171">
        <f>IFERROR(__xludf.DUMMYFUNCTION("""COMPUTED_VALUE"""),43297.0)</f>
        <v>43297</v>
      </c>
      <c r="F2636" s="172">
        <f>IFERROR(__xludf.DUMMYFUNCTION("""COMPUTED_VALUE"""),43301.0)</f>
        <v>43301</v>
      </c>
      <c r="G2636" s="173"/>
      <c r="H2636" s="174">
        <f>IFERROR(__xludf.DUMMYFUNCTION("""COMPUTED_VALUE"""),62955.0)</f>
        <v>62955</v>
      </c>
      <c r="I2636" s="175" t="str">
        <f>IFERROR(__xludf.DUMMYFUNCTION("""COMPUTED_VALUE"""),"07/18")</f>
        <v>07/18</v>
      </c>
      <c r="J2636" s="172">
        <f>IFERROR(__xludf.DUMMYFUNCTION("""COMPUTED_VALUE"""),43322.0)</f>
        <v>43322</v>
      </c>
      <c r="K2636" s="176">
        <f>IFERROR(__xludf.DUMMYFUNCTION("""COMPUTED_VALUE"""),4.0)</f>
        <v>4</v>
      </c>
      <c r="L2636" s="176">
        <f>IFERROR(__xludf.DUMMYFUNCTION("""COMPUTED_VALUE"""),21.0)</f>
        <v>21</v>
      </c>
      <c r="M2636" s="176">
        <f>IFERROR(__xludf.DUMMYFUNCTION("""COMPUTED_VALUE"""),25.0)</f>
        <v>25</v>
      </c>
      <c r="N2636" s="177" t="str">
        <f>IFERROR(__xludf.DUMMYFUNCTION("""COMPUTED_VALUE"""),"Model 3 Performance")</f>
        <v>Model 3 Performance</v>
      </c>
      <c r="O2636" s="177" t="str">
        <f>IFERROR(__xludf.DUMMYFUNCTION("""COMPUTED_VALUE"""),"Midnight Silver Metallic")</f>
        <v>Midnight Silver Metallic</v>
      </c>
      <c r="P2636" s="178" t="str">
        <f>IFERROR(__xludf.DUMMYFUNCTION("""COMPUTED_VALUE"""),"18 inch Aero")</f>
        <v>18 inch Aero</v>
      </c>
      <c r="Q2636" s="177" t="str">
        <f>IFERROR(__xludf.DUMMYFUNCTION("""COMPUTED_VALUE"""),"Black seats")</f>
        <v>Black seats</v>
      </c>
      <c r="R2636" s="170" t="str">
        <f>IFERROR(__xludf.DUMMYFUNCTION("""COMPUTED_VALUE"""),"Enhanced Autopilot")</f>
        <v>Enhanced Autopilot</v>
      </c>
      <c r="S2636" s="170"/>
      <c r="T2636" s="179"/>
      <c r="U2636" s="179"/>
      <c r="V2636" s="179"/>
      <c r="W2636" s="180"/>
      <c r="X2636" s="181" t="str">
        <f>IFERROR(__xludf.DUMMYFUNCTION("""COMPUTED_VALUE"""),"Excellent")</f>
        <v>Excellent</v>
      </c>
      <c r="Y2636" s="182" t="str">
        <f>IFERROR(__xludf.DUMMYFUNCTION("""COMPUTED_VALUE"""),"Excellent")</f>
        <v>Excellent</v>
      </c>
      <c r="Z2636" s="182" t="str">
        <f>IFERROR(__xludf.DUMMYFUNCTION("""COMPUTED_VALUE"""),"Excellent")</f>
        <v>Excellent</v>
      </c>
      <c r="AA2636" s="182" t="str">
        <f>IFERROR(__xludf.DUMMYFUNCTION("""COMPUTED_VALUE"""),"Very Good")</f>
        <v>Very Good</v>
      </c>
      <c r="AB2636" s="182" t="str">
        <f>IFERROR(__xludf.DUMMYFUNCTION("""COMPUTED_VALUE"""),"Excellent")</f>
        <v>Excellent</v>
      </c>
      <c r="AC2636" s="183"/>
      <c r="AD2636" s="183"/>
      <c r="AE2636" s="183"/>
      <c r="AF2636" s="184"/>
      <c r="AG2636" s="180" t="str">
        <f>IFERROR(__xludf.DUMMYFUNCTION("""COMPUTED_VALUE"""),"OMG....P3D is an AMAZING MACHINE!!!!")</f>
        <v>OMG....P3D is an AMAZING MACHINE!!!!</v>
      </c>
      <c r="AH2636" s="185">
        <f>IFERROR(__xludf.DUMMYFUNCTION("""COMPUTED_VALUE"""),43324.79038075232)</f>
        <v>43324.79038</v>
      </c>
      <c r="AI2636" s="182"/>
      <c r="AJ2636" s="182"/>
      <c r="AK2636" s="182"/>
      <c r="AL2636" s="182"/>
    </row>
    <row r="2637" ht="20.25" customHeight="1">
      <c r="A2637" s="169" t="str">
        <f>IFERROR(__xludf.DUMMYFUNCTION("""COMPUTED_VALUE"""),"Rfd")</f>
        <v>Rfd</v>
      </c>
      <c r="B2637" s="170" t="str">
        <f>IFERROR(__xludf.DUMMYFUNCTION("""COMPUTED_VALUE"""),"Sacramento ")</f>
        <v>Sacramento </v>
      </c>
      <c r="C2637" s="170" t="str">
        <f>IFERROR(__xludf.DUMMYFUNCTION("""COMPUTED_VALUE"""),"CA")</f>
        <v>CA</v>
      </c>
      <c r="D2637" s="170" t="str">
        <f>IFERROR(__xludf.DUMMYFUNCTION("""COMPUTED_VALUE"""),"USA")</f>
        <v>USA</v>
      </c>
      <c r="E2637" s="171">
        <f>IFERROR(__xludf.DUMMYFUNCTION("""COMPUTED_VALUE"""),43297.0)</f>
        <v>43297</v>
      </c>
      <c r="F2637" s="172">
        <f>IFERROR(__xludf.DUMMYFUNCTION("""COMPUTED_VALUE"""),43366.0)</f>
        <v>43366</v>
      </c>
      <c r="G2637" s="173"/>
      <c r="H2637" s="174">
        <f>IFERROR(__xludf.DUMMYFUNCTION("""COMPUTED_VALUE"""),10555.0)</f>
        <v>10555</v>
      </c>
      <c r="I2637" s="175" t="str">
        <f>IFERROR(__xludf.DUMMYFUNCTION("""COMPUTED_VALUE"""),"09/18")</f>
        <v>09/18</v>
      </c>
      <c r="J2637" s="172">
        <f>IFERROR(__xludf.DUMMYFUNCTION("""COMPUTED_VALUE"""),43373.0)</f>
        <v>43373</v>
      </c>
      <c r="K2637" s="176">
        <f>IFERROR(__xludf.DUMMYFUNCTION("""COMPUTED_VALUE"""),69.0)</f>
        <v>69</v>
      </c>
      <c r="L2637" s="176">
        <f>IFERROR(__xludf.DUMMYFUNCTION("""COMPUTED_VALUE"""),7.0)</f>
        <v>7</v>
      </c>
      <c r="M2637" s="176">
        <f>IFERROR(__xludf.DUMMYFUNCTION("""COMPUTED_VALUE"""),76.0)</f>
        <v>76</v>
      </c>
      <c r="N2637" s="177" t="str">
        <f>IFERROR(__xludf.DUMMYFUNCTION("""COMPUTED_VALUE"""),"Model 3 LR AWD")</f>
        <v>Model 3 LR AWD</v>
      </c>
      <c r="O2637" s="177" t="str">
        <f>IFERROR(__xludf.DUMMYFUNCTION("""COMPUTED_VALUE"""),"Deep Blue Metallic")</f>
        <v>Deep Blue Metallic</v>
      </c>
      <c r="P2637" s="178" t="str">
        <f>IFERROR(__xludf.DUMMYFUNCTION("""COMPUTED_VALUE"""),"18 inch Aero")</f>
        <v>18 inch Aero</v>
      </c>
      <c r="Q2637" s="177" t="str">
        <f>IFERROR(__xludf.DUMMYFUNCTION("""COMPUTED_VALUE"""),"Black seats")</f>
        <v>Black seats</v>
      </c>
      <c r="R2637" s="170" t="str">
        <f>IFERROR(__xludf.DUMMYFUNCTION("""COMPUTED_VALUE"""),"Enhanced Autopilot")</f>
        <v>Enhanced Autopilot</v>
      </c>
      <c r="S2637" s="170"/>
      <c r="T2637" s="179"/>
      <c r="U2637" s="179"/>
      <c r="V2637" s="179"/>
      <c r="W2637" s="180"/>
      <c r="X2637" s="181" t="str">
        <f>IFERROR(__xludf.DUMMYFUNCTION("""COMPUTED_VALUE"""),"Excellent")</f>
        <v>Excellent</v>
      </c>
      <c r="Y2637" s="182" t="str">
        <f>IFERROR(__xludf.DUMMYFUNCTION("""COMPUTED_VALUE"""),"Excellent")</f>
        <v>Excellent</v>
      </c>
      <c r="Z2637" s="182" t="str">
        <f>IFERROR(__xludf.DUMMYFUNCTION("""COMPUTED_VALUE"""),"Excellent")</f>
        <v>Excellent</v>
      </c>
      <c r="AA2637" s="182" t="str">
        <f>IFERROR(__xludf.DUMMYFUNCTION("""COMPUTED_VALUE"""),"Excellent")</f>
        <v>Excellent</v>
      </c>
      <c r="AB2637" s="182" t="str">
        <f>IFERROR(__xludf.DUMMYFUNCTION("""COMPUTED_VALUE"""),"Excellent")</f>
        <v>Excellent</v>
      </c>
      <c r="AC2637" s="183"/>
      <c r="AD2637" s="183"/>
      <c r="AE2637" s="183"/>
      <c r="AF2637" s="184"/>
      <c r="AG2637" s="180" t="str">
        <f>IFERROR(__xludf.DUMMYFUNCTION("""COMPUTED_VALUE"""),"Changed from 19”to 18” Aeros 7/29")</f>
        <v>Changed from 19”to 18” Aeros 7/29</v>
      </c>
      <c r="AH2637" s="185">
        <f>IFERROR(__xludf.DUMMYFUNCTION("""COMPUTED_VALUE"""),43373.539245405096)</f>
        <v>43373.53925</v>
      </c>
      <c r="AI2637" s="182"/>
      <c r="AJ2637" s="182"/>
      <c r="AK2637" s="182"/>
      <c r="AL2637" s="182"/>
    </row>
    <row r="2638" ht="20.25" customHeight="1">
      <c r="A2638" s="169" t="str">
        <f>IFERROR(__xludf.DUMMYFUNCTION("""COMPUTED_VALUE"""),"secret")</f>
        <v>secret</v>
      </c>
      <c r="B2638" s="170" t="str">
        <f>IFERROR(__xludf.DUMMYFUNCTION("""COMPUTED_VALUE"""),"Vancouver")</f>
        <v>Vancouver</v>
      </c>
      <c r="C2638" s="170" t="str">
        <f>IFERROR(__xludf.DUMMYFUNCTION("""COMPUTED_VALUE"""),"BC")</f>
        <v>BC</v>
      </c>
      <c r="D2638" s="170" t="str">
        <f>IFERROR(__xludf.DUMMYFUNCTION("""COMPUTED_VALUE"""),"Canada")</f>
        <v>Canada</v>
      </c>
      <c r="E2638" s="171">
        <f>IFERROR(__xludf.DUMMYFUNCTION("""COMPUTED_VALUE"""),43297.0)</f>
        <v>43297</v>
      </c>
      <c r="F2638" s="172"/>
      <c r="G2638" s="173"/>
      <c r="H2638" s="174">
        <f>IFERROR(__xludf.DUMMYFUNCTION("""COMPUTED_VALUE"""),108155.0)</f>
        <v>108155</v>
      </c>
      <c r="I2638" s="175"/>
      <c r="J2638" s="172">
        <f>IFERROR(__xludf.DUMMYFUNCTION("""COMPUTED_VALUE"""),43365.0)</f>
        <v>43365</v>
      </c>
      <c r="K2638" s="176"/>
      <c r="L2638" s="176"/>
      <c r="M2638" s="176">
        <f>IFERROR(__xludf.DUMMYFUNCTION("""COMPUTED_VALUE"""),68.0)</f>
        <v>68</v>
      </c>
      <c r="N2638" s="177" t="str">
        <f>IFERROR(__xludf.DUMMYFUNCTION("""COMPUTED_VALUE"""),"Model 3 Performance")</f>
        <v>Model 3 Performance</v>
      </c>
      <c r="O2638" s="177" t="str">
        <f>IFERROR(__xludf.DUMMYFUNCTION("""COMPUTED_VALUE"""),"Pearl White Multi-Coat")</f>
        <v>Pearl White Multi-Coat</v>
      </c>
      <c r="P2638" s="178" t="str">
        <f>IFERROR(__xludf.DUMMYFUNCTION("""COMPUTED_VALUE"""),"20 inch Sport")</f>
        <v>20 inch Sport</v>
      </c>
      <c r="Q2638" s="177" t="str">
        <f>IFERROR(__xludf.DUMMYFUNCTION("""COMPUTED_VALUE"""),"White seats")</f>
        <v>White seats</v>
      </c>
      <c r="R2638" s="170" t="str">
        <f>IFERROR(__xludf.DUMMYFUNCTION("""COMPUTED_VALUE"""),"Full Self-Driving")</f>
        <v>Full Self-Driving</v>
      </c>
      <c r="S2638" s="170"/>
      <c r="T2638" s="179"/>
      <c r="U2638" s="179"/>
      <c r="V2638" s="179"/>
      <c r="W2638" s="180"/>
      <c r="X2638" s="181"/>
      <c r="Y2638" s="182"/>
      <c r="Z2638" s="182"/>
      <c r="AA2638" s="182" t="str">
        <f>IFERROR(__xludf.DUMMYFUNCTION("""COMPUTED_VALUE"""),"Poor")</f>
        <v>Poor</v>
      </c>
      <c r="AB2638" s="182"/>
      <c r="AC2638" s="183"/>
      <c r="AD2638" s="183"/>
      <c r="AE2638" s="183"/>
      <c r="AF2638" s="184"/>
      <c r="AG2638" s="180"/>
      <c r="AH2638" s="185">
        <f>IFERROR(__xludf.DUMMYFUNCTION("""COMPUTED_VALUE"""),43365.30409344908)</f>
        <v>43365.30409</v>
      </c>
      <c r="AI2638" s="182"/>
      <c r="AJ2638" s="182"/>
      <c r="AK2638" s="182"/>
      <c r="AL2638" s="182"/>
    </row>
    <row r="2639" ht="20.25" customHeight="1">
      <c r="A2639" s="169" t="str">
        <f>IFERROR(__xludf.DUMMYFUNCTION("""COMPUTED_VALUE"""),"Sivam")</f>
        <v>Sivam</v>
      </c>
      <c r="B2639" s="170"/>
      <c r="C2639" s="170" t="str">
        <f>IFERROR(__xludf.DUMMYFUNCTION("""COMPUTED_VALUE"""),"MD")</f>
        <v>MD</v>
      </c>
      <c r="D2639" s="170" t="str">
        <f>IFERROR(__xludf.DUMMYFUNCTION("""COMPUTED_VALUE"""),"USA")</f>
        <v>USA</v>
      </c>
      <c r="E2639" s="171">
        <f>IFERROR(__xludf.DUMMYFUNCTION("""COMPUTED_VALUE"""),43297.0)</f>
        <v>43297</v>
      </c>
      <c r="F2639" s="172">
        <f>IFERROR(__xludf.DUMMYFUNCTION("""COMPUTED_VALUE"""),43339.0)</f>
        <v>43339</v>
      </c>
      <c r="G2639" s="173"/>
      <c r="H2639" s="174">
        <f>IFERROR(__xludf.DUMMYFUNCTION("""COMPUTED_VALUE"""),53755.0)</f>
        <v>53755</v>
      </c>
      <c r="I2639" s="175" t="str">
        <f>IFERROR(__xludf.DUMMYFUNCTION("""COMPUTED_VALUE"""),"08/18")</f>
        <v>08/18</v>
      </c>
      <c r="J2639" s="172">
        <f>IFERROR(__xludf.DUMMYFUNCTION("""COMPUTED_VALUE"""),43365.0)</f>
        <v>43365</v>
      </c>
      <c r="K2639" s="176">
        <f>IFERROR(__xludf.DUMMYFUNCTION("""COMPUTED_VALUE"""),42.0)</f>
        <v>42</v>
      </c>
      <c r="L2639" s="176">
        <f>IFERROR(__xludf.DUMMYFUNCTION("""COMPUTED_VALUE"""),26.0)</f>
        <v>26</v>
      </c>
      <c r="M2639" s="176">
        <f>IFERROR(__xludf.DUMMYFUNCTION("""COMPUTED_VALUE"""),68.0)</f>
        <v>68</v>
      </c>
      <c r="N2639" s="177" t="str">
        <f>IFERROR(__xludf.DUMMYFUNCTION("""COMPUTED_VALUE"""),"Model 3 LR")</f>
        <v>Model 3 LR</v>
      </c>
      <c r="O2639" s="177" t="str">
        <f>IFERROR(__xludf.DUMMYFUNCTION("""COMPUTED_VALUE"""),"Pearl White Multi-Coat")</f>
        <v>Pearl White Multi-Coat</v>
      </c>
      <c r="P2639" s="178" t="str">
        <f>IFERROR(__xludf.DUMMYFUNCTION("""COMPUTED_VALUE"""),"19 inch Sport")</f>
        <v>19 inch Sport</v>
      </c>
      <c r="Q2639" s="177" t="str">
        <f>IFERROR(__xludf.DUMMYFUNCTION("""COMPUTED_VALUE"""),"Black seats")</f>
        <v>Black seats</v>
      </c>
      <c r="R2639" s="170" t="str">
        <f>IFERROR(__xludf.DUMMYFUNCTION("""COMPUTED_VALUE"""),"Enhanced Autopilot")</f>
        <v>Enhanced Autopilot</v>
      </c>
      <c r="S2639" s="170"/>
      <c r="T2639" s="179"/>
      <c r="U2639" s="179"/>
      <c r="V2639" s="179"/>
      <c r="W2639" s="180"/>
      <c r="X2639" s="181" t="str">
        <f>IFERROR(__xludf.DUMMYFUNCTION("""COMPUTED_VALUE"""),"Fair")</f>
        <v>Fair</v>
      </c>
      <c r="Y2639" s="182" t="str">
        <f>IFERROR(__xludf.DUMMYFUNCTION("""COMPUTED_VALUE"""),"Good")</f>
        <v>Good</v>
      </c>
      <c r="Z2639" s="182" t="str">
        <f>IFERROR(__xludf.DUMMYFUNCTION("""COMPUTED_VALUE"""),"Good")</f>
        <v>Good</v>
      </c>
      <c r="AA2639" s="182" t="str">
        <f>IFERROR(__xludf.DUMMYFUNCTION("""COMPUTED_VALUE"""),"Poor")</f>
        <v>Poor</v>
      </c>
      <c r="AB2639" s="182" t="str">
        <f>IFERROR(__xludf.DUMMYFUNCTION("""COMPUTED_VALUE"""),"Fair")</f>
        <v>Fair</v>
      </c>
      <c r="AC2639" s="183">
        <f>IFERROR(__xludf.DUMMYFUNCTION("""COMPUTED_VALUE"""),11.0)</f>
        <v>11</v>
      </c>
      <c r="AD2639" s="183">
        <f>IFERROR(__xludf.DUMMYFUNCTION("""COMPUTED_VALUE"""),2.0)</f>
        <v>2</v>
      </c>
      <c r="AE2639" s="183">
        <f>IFERROR(__xludf.DUMMYFUNCTION("""COMPUTED_VALUE"""),2.0)</f>
        <v>2</v>
      </c>
      <c r="AF2639" s="184"/>
      <c r="AG2639" s="180"/>
      <c r="AH2639" s="185">
        <f>IFERROR(__xludf.DUMMYFUNCTION("""COMPUTED_VALUE"""),43380.52017042824)</f>
        <v>43380.52017</v>
      </c>
      <c r="AI2639" s="182"/>
      <c r="AJ2639" s="182"/>
      <c r="AK2639" s="182"/>
      <c r="AL2639" s="182"/>
    </row>
    <row r="2640" ht="20.25" customHeight="1">
      <c r="A2640" s="169" t="str">
        <f>IFERROR(__xludf.DUMMYFUNCTION("""COMPUTED_VALUE"""),"smsiegel33")</f>
        <v>smsiegel33</v>
      </c>
      <c r="B2640" s="170" t="str">
        <f>IFERROR(__xludf.DUMMYFUNCTION("""COMPUTED_VALUE"""),"St. Louis")</f>
        <v>St. Louis</v>
      </c>
      <c r="C2640" s="170" t="str">
        <f>IFERROR(__xludf.DUMMYFUNCTION("""COMPUTED_VALUE"""),"MO")</f>
        <v>MO</v>
      </c>
      <c r="D2640" s="170" t="str">
        <f>IFERROR(__xludf.DUMMYFUNCTION("""COMPUTED_VALUE"""),"USA")</f>
        <v>USA</v>
      </c>
      <c r="E2640" s="171">
        <f>IFERROR(__xludf.DUMMYFUNCTION("""COMPUTED_VALUE"""),43297.0)</f>
        <v>43297</v>
      </c>
      <c r="F2640" s="172">
        <f>IFERROR(__xludf.DUMMYFUNCTION("""COMPUTED_VALUE"""),43374.0)</f>
        <v>43374</v>
      </c>
      <c r="G2640" s="173"/>
      <c r="H2640" s="174">
        <f>IFERROR(__xludf.DUMMYFUNCTION("""COMPUTED_VALUE"""),85155.0)</f>
        <v>85155</v>
      </c>
      <c r="I2640" s="175" t="str">
        <f>IFERROR(__xludf.DUMMYFUNCTION("""COMPUTED_VALUE"""),"09/18")</f>
        <v>09/18</v>
      </c>
      <c r="J2640" s="172">
        <f>IFERROR(__xludf.DUMMYFUNCTION("""COMPUTED_VALUE"""),43392.0)</f>
        <v>43392</v>
      </c>
      <c r="K2640" s="176">
        <f>IFERROR(__xludf.DUMMYFUNCTION("""COMPUTED_VALUE"""),77.0)</f>
        <v>77</v>
      </c>
      <c r="L2640" s="176">
        <f>IFERROR(__xludf.DUMMYFUNCTION("""COMPUTED_VALUE"""),18.0)</f>
        <v>18</v>
      </c>
      <c r="M2640" s="176">
        <f>IFERROR(__xludf.DUMMYFUNCTION("""COMPUTED_VALUE"""),95.0)</f>
        <v>95</v>
      </c>
      <c r="N2640" s="177" t="str">
        <f>IFERROR(__xludf.DUMMYFUNCTION("""COMPUTED_VALUE"""),"Model 3 LR AWD")</f>
        <v>Model 3 LR AWD</v>
      </c>
      <c r="O2640" s="177" t="str">
        <f>IFERROR(__xludf.DUMMYFUNCTION("""COMPUTED_VALUE"""),"Deep Blue Metallic")</f>
        <v>Deep Blue Metallic</v>
      </c>
      <c r="P2640" s="178" t="str">
        <f>IFERROR(__xludf.DUMMYFUNCTION("""COMPUTED_VALUE"""),"18 inch Aero")</f>
        <v>18 inch Aero</v>
      </c>
      <c r="Q2640" s="177" t="str">
        <f>IFERROR(__xludf.DUMMYFUNCTION("""COMPUTED_VALUE"""),"Black seats")</f>
        <v>Black seats</v>
      </c>
      <c r="R2640" s="170" t="str">
        <f>IFERROR(__xludf.DUMMYFUNCTION("""COMPUTED_VALUE"""),"None")</f>
        <v>None</v>
      </c>
      <c r="S2640" s="170"/>
      <c r="T2640" s="179"/>
      <c r="U2640" s="179"/>
      <c r="V2640" s="179"/>
      <c r="W2640" s="180"/>
      <c r="X2640" s="181" t="str">
        <f>IFERROR(__xludf.DUMMYFUNCTION("""COMPUTED_VALUE"""),"Very Good")</f>
        <v>Very Good</v>
      </c>
      <c r="Y2640" s="182" t="str">
        <f>IFERROR(__xludf.DUMMYFUNCTION("""COMPUTED_VALUE"""),"Very Good")</f>
        <v>Very Good</v>
      </c>
      <c r="Z2640" s="182" t="str">
        <f>IFERROR(__xludf.DUMMYFUNCTION("""COMPUTED_VALUE"""),"Very Good")</f>
        <v>Very Good</v>
      </c>
      <c r="AA2640" s="182" t="str">
        <f>IFERROR(__xludf.DUMMYFUNCTION("""COMPUTED_VALUE"""),"Good")</f>
        <v>Good</v>
      </c>
      <c r="AB2640" s="182" t="str">
        <f>IFERROR(__xludf.DUMMYFUNCTION("""COMPUTED_VALUE"""),"Very Good")</f>
        <v>Very Good</v>
      </c>
      <c r="AC2640" s="183"/>
      <c r="AD2640" s="183"/>
      <c r="AE2640" s="183"/>
      <c r="AF2640" s="184"/>
      <c r="AG2640" s="180"/>
      <c r="AH2640" s="185">
        <f>IFERROR(__xludf.DUMMYFUNCTION("""COMPUTED_VALUE"""),43404.19239171296)</f>
        <v>43404.19239</v>
      </c>
      <c r="AI2640" s="182"/>
      <c r="AJ2640" s="182"/>
      <c r="AK2640" s="182"/>
      <c r="AL2640" s="182"/>
    </row>
    <row r="2641" ht="20.25" customHeight="1">
      <c r="A2641" s="169" t="str">
        <f>IFERROR(__xludf.DUMMYFUNCTION("""COMPUTED_VALUE"""),"spicyblackpepper")</f>
        <v>spicyblackpepper</v>
      </c>
      <c r="B2641" s="170" t="str">
        <f>IFERROR(__xludf.DUMMYFUNCTION("""COMPUTED_VALUE"""),"Corvallis")</f>
        <v>Corvallis</v>
      </c>
      <c r="C2641" s="170" t="str">
        <f>IFERROR(__xludf.DUMMYFUNCTION("""COMPUTED_VALUE"""),"OR")</f>
        <v>OR</v>
      </c>
      <c r="D2641" s="170" t="str">
        <f>IFERROR(__xludf.DUMMYFUNCTION("""COMPUTED_VALUE"""),"USA")</f>
        <v>USA</v>
      </c>
      <c r="E2641" s="171">
        <f>IFERROR(__xludf.DUMMYFUNCTION("""COMPUTED_VALUE"""),43297.0)</f>
        <v>43297</v>
      </c>
      <c r="F2641" s="172">
        <f>IFERROR(__xludf.DUMMYFUNCTION("""COMPUTED_VALUE"""),43349.0)</f>
        <v>43349</v>
      </c>
      <c r="G2641" s="173"/>
      <c r="H2641" s="174">
        <f>IFERROR(__xludf.DUMMYFUNCTION("""COMPUTED_VALUE"""),91189.0)</f>
        <v>91189</v>
      </c>
      <c r="I2641" s="175" t="str">
        <f>IFERROR(__xludf.DUMMYFUNCTION("""COMPUTED_VALUE"""),"09/18")</f>
        <v>09/18</v>
      </c>
      <c r="J2641" s="172">
        <f>IFERROR(__xludf.DUMMYFUNCTION("""COMPUTED_VALUE"""),43369.0)</f>
        <v>43369</v>
      </c>
      <c r="K2641" s="176">
        <f>IFERROR(__xludf.DUMMYFUNCTION("""COMPUTED_VALUE"""),52.0)</f>
        <v>52</v>
      </c>
      <c r="L2641" s="176">
        <f>IFERROR(__xludf.DUMMYFUNCTION("""COMPUTED_VALUE"""),20.0)</f>
        <v>20</v>
      </c>
      <c r="M2641" s="176">
        <f>IFERROR(__xludf.DUMMYFUNCTION("""COMPUTED_VALUE"""),72.0)</f>
        <v>72</v>
      </c>
      <c r="N2641" s="177" t="str">
        <f>IFERROR(__xludf.DUMMYFUNCTION("""COMPUTED_VALUE"""),"Model 3 LR AWD")</f>
        <v>Model 3 LR AWD</v>
      </c>
      <c r="O2641" s="177" t="str">
        <f>IFERROR(__xludf.DUMMYFUNCTION("""COMPUTED_VALUE"""),"Midnight Silver Metallic")</f>
        <v>Midnight Silver Metallic</v>
      </c>
      <c r="P2641" s="178" t="str">
        <f>IFERROR(__xludf.DUMMYFUNCTION("""COMPUTED_VALUE"""),"19 inch Sport")</f>
        <v>19 inch Sport</v>
      </c>
      <c r="Q2641" s="177" t="str">
        <f>IFERROR(__xludf.DUMMYFUNCTION("""COMPUTED_VALUE"""),"Black seats")</f>
        <v>Black seats</v>
      </c>
      <c r="R2641" s="170" t="str">
        <f>IFERROR(__xludf.DUMMYFUNCTION("""COMPUTED_VALUE"""),"Autopilot")</f>
        <v>Autopilot</v>
      </c>
      <c r="S2641" s="170"/>
      <c r="T2641" s="179"/>
      <c r="U2641" s="179"/>
      <c r="V2641" s="179"/>
      <c r="W2641" s="180"/>
      <c r="X2641" s="181" t="str">
        <f>IFERROR(__xludf.DUMMYFUNCTION("""COMPUTED_VALUE"""),"Very Good")</f>
        <v>Very Good</v>
      </c>
      <c r="Y2641" s="182" t="str">
        <f>IFERROR(__xludf.DUMMYFUNCTION("""COMPUTED_VALUE"""),"Very Good")</f>
        <v>Very Good</v>
      </c>
      <c r="Z2641" s="182" t="str">
        <f>IFERROR(__xludf.DUMMYFUNCTION("""COMPUTED_VALUE"""),"Fair")</f>
        <v>Fair</v>
      </c>
      <c r="AA2641" s="182" t="str">
        <f>IFERROR(__xludf.DUMMYFUNCTION("""COMPUTED_VALUE"""),"Poor")</f>
        <v>Poor</v>
      </c>
      <c r="AB2641" s="182" t="str">
        <f>IFERROR(__xludf.DUMMYFUNCTION("""COMPUTED_VALUE"""),"Excellent")</f>
        <v>Excellent</v>
      </c>
      <c r="AC2641" s="183">
        <f>IFERROR(__xludf.DUMMYFUNCTION("""COMPUTED_VALUE"""),1.0)</f>
        <v>1</v>
      </c>
      <c r="AD2641" s="183">
        <f>IFERROR(__xludf.DUMMYFUNCTION("""COMPUTED_VALUE"""),1.0)</f>
        <v>1</v>
      </c>
      <c r="AE2641" s="183">
        <f>IFERROR(__xludf.DUMMYFUNCTION("""COMPUTED_VALUE"""),0.0)</f>
        <v>0</v>
      </c>
      <c r="AF2641" s="184"/>
      <c r="AG2641" s="180"/>
      <c r="AH2641" s="185">
        <f>IFERROR(__xludf.DUMMYFUNCTION("""COMPUTED_VALUE"""),43602.46514386574)</f>
        <v>43602.46514</v>
      </c>
      <c r="AI2641" s="182"/>
      <c r="AJ2641" s="182"/>
      <c r="AK2641" s="182"/>
      <c r="AL2641" s="182"/>
    </row>
    <row r="2642" ht="20.25" customHeight="1">
      <c r="A2642" s="169" t="str">
        <f>IFERROR(__xludf.DUMMYFUNCTION("""COMPUTED_VALUE"""),"Arrewar")</f>
        <v>Arrewar</v>
      </c>
      <c r="B2642" s="170" t="str">
        <f>IFERROR(__xludf.DUMMYFUNCTION("""COMPUTED_VALUE"""),"Los Angeles")</f>
        <v>Los Angeles</v>
      </c>
      <c r="C2642" s="170" t="str">
        <f>IFERROR(__xludf.DUMMYFUNCTION("""COMPUTED_VALUE"""),"CA")</f>
        <v>CA</v>
      </c>
      <c r="D2642" s="170" t="str">
        <f>IFERROR(__xludf.DUMMYFUNCTION("""COMPUTED_VALUE"""),"USA")</f>
        <v>USA</v>
      </c>
      <c r="E2642" s="171">
        <f>IFERROR(__xludf.DUMMYFUNCTION("""COMPUTED_VALUE"""),43295.0)</f>
        <v>43295</v>
      </c>
      <c r="F2642" s="172"/>
      <c r="G2642" s="173"/>
      <c r="H2642" s="174">
        <f>IFERROR(__xludf.DUMMYFUNCTION("""COMPUTED_VALUE"""),55025.0)</f>
        <v>55025</v>
      </c>
      <c r="I2642" s="175"/>
      <c r="J2642" s="172">
        <f>IFERROR(__xludf.DUMMYFUNCTION("""COMPUTED_VALUE"""),43341.0)</f>
        <v>43341</v>
      </c>
      <c r="K2642" s="176"/>
      <c r="L2642" s="176"/>
      <c r="M2642" s="176">
        <f>IFERROR(__xludf.DUMMYFUNCTION("""COMPUTED_VALUE"""),46.0)</f>
        <v>46</v>
      </c>
      <c r="N2642" s="177" t="str">
        <f>IFERROR(__xludf.DUMMYFUNCTION("""COMPUTED_VALUE"""),"Model 3 LR AWD")</f>
        <v>Model 3 LR AWD</v>
      </c>
      <c r="O2642" s="177" t="str">
        <f>IFERROR(__xludf.DUMMYFUNCTION("""COMPUTED_VALUE"""),"Red Multi-Coat")</f>
        <v>Red Multi-Coat</v>
      </c>
      <c r="P2642" s="178" t="str">
        <f>IFERROR(__xludf.DUMMYFUNCTION("""COMPUTED_VALUE"""),"19 inch Sport")</f>
        <v>19 inch Sport</v>
      </c>
      <c r="Q2642" s="177" t="str">
        <f>IFERROR(__xludf.DUMMYFUNCTION("""COMPUTED_VALUE"""),"Black seats")</f>
        <v>Black seats</v>
      </c>
      <c r="R2642" s="170" t="str">
        <f>IFERROR(__xludf.DUMMYFUNCTION("""COMPUTED_VALUE"""),"Enhanced Autopilot")</f>
        <v>Enhanced Autopilot</v>
      </c>
      <c r="S2642" s="170"/>
      <c r="T2642" s="179"/>
      <c r="U2642" s="179"/>
      <c r="V2642" s="179"/>
      <c r="W2642" s="180"/>
      <c r="X2642" s="181" t="str">
        <f>IFERROR(__xludf.DUMMYFUNCTION("""COMPUTED_VALUE"""),"Excellent")</f>
        <v>Excellent</v>
      </c>
      <c r="Y2642" s="182" t="str">
        <f>IFERROR(__xludf.DUMMYFUNCTION("""COMPUTED_VALUE"""),"Excellent")</f>
        <v>Excellent</v>
      </c>
      <c r="Z2642" s="182" t="str">
        <f>IFERROR(__xludf.DUMMYFUNCTION("""COMPUTED_VALUE"""),"Very Good")</f>
        <v>Very Good</v>
      </c>
      <c r="AA2642" s="182" t="str">
        <f>IFERROR(__xludf.DUMMYFUNCTION("""COMPUTED_VALUE"""),"Excellent")</f>
        <v>Excellent</v>
      </c>
      <c r="AB2642" s="182" t="str">
        <f>IFERROR(__xludf.DUMMYFUNCTION("""COMPUTED_VALUE"""),"Very Good")</f>
        <v>Very Good</v>
      </c>
      <c r="AC2642" s="183"/>
      <c r="AD2642" s="183"/>
      <c r="AE2642" s="183"/>
      <c r="AF2642" s="184"/>
      <c r="AG2642" s="180"/>
      <c r="AH2642" s="185">
        <f>IFERROR(__xludf.DUMMYFUNCTION("""COMPUTED_VALUE"""),43342.0637175)</f>
        <v>43342.06372</v>
      </c>
      <c r="AI2642" s="182"/>
      <c r="AJ2642" s="182"/>
      <c r="AK2642" s="182"/>
      <c r="AL2642" s="182"/>
    </row>
    <row r="2643" ht="20.25" customHeight="1">
      <c r="A2643" s="169" t="str">
        <f>IFERROR(__xludf.DUMMYFUNCTION("""COMPUTED_VALUE"""),"dnssup")</f>
        <v>dnssup</v>
      </c>
      <c r="B2643" s="170" t="str">
        <f>IFERROR(__xludf.DUMMYFUNCTION("""COMPUTED_VALUE"""),"Detroit")</f>
        <v>Detroit</v>
      </c>
      <c r="C2643" s="170" t="str">
        <f>IFERROR(__xludf.DUMMYFUNCTION("""COMPUTED_VALUE"""),"MI")</f>
        <v>MI</v>
      </c>
      <c r="D2643" s="170" t="str">
        <f>IFERROR(__xludf.DUMMYFUNCTION("""COMPUTED_VALUE"""),"USA")</f>
        <v>USA</v>
      </c>
      <c r="E2643" s="171">
        <f>IFERROR(__xludf.DUMMYFUNCTION("""COMPUTED_VALUE"""),43295.0)</f>
        <v>43295</v>
      </c>
      <c r="F2643" s="172">
        <f>IFERROR(__xludf.DUMMYFUNCTION("""COMPUTED_VALUE"""),43349.0)</f>
        <v>43349</v>
      </c>
      <c r="G2643" s="173"/>
      <c r="H2643" s="174">
        <f>IFERROR(__xludf.DUMMYFUNCTION("""COMPUTED_VALUE"""),67055.0)</f>
        <v>67055</v>
      </c>
      <c r="I2643" s="175"/>
      <c r="J2643" s="172">
        <f>IFERROR(__xludf.DUMMYFUNCTION("""COMPUTED_VALUE"""),43358.0)</f>
        <v>43358</v>
      </c>
      <c r="K2643" s="176">
        <f>IFERROR(__xludf.DUMMYFUNCTION("""COMPUTED_VALUE"""),54.0)</f>
        <v>54</v>
      </c>
      <c r="L2643" s="176">
        <f>IFERROR(__xludf.DUMMYFUNCTION("""COMPUTED_VALUE"""),9.0)</f>
        <v>9</v>
      </c>
      <c r="M2643" s="176">
        <f>IFERROR(__xludf.DUMMYFUNCTION("""COMPUTED_VALUE"""),63.0)</f>
        <v>63</v>
      </c>
      <c r="N2643" s="177" t="str">
        <f>IFERROR(__xludf.DUMMYFUNCTION("""COMPUTED_VALUE"""),"Model 3 LR AWD")</f>
        <v>Model 3 LR AWD</v>
      </c>
      <c r="O2643" s="177" t="str">
        <f>IFERROR(__xludf.DUMMYFUNCTION("""COMPUTED_VALUE"""),"Pearl White Multi-Coat")</f>
        <v>Pearl White Multi-Coat</v>
      </c>
      <c r="P2643" s="178" t="str">
        <f>IFERROR(__xludf.DUMMYFUNCTION("""COMPUTED_VALUE"""),"18 inch Aero")</f>
        <v>18 inch Aero</v>
      </c>
      <c r="Q2643" s="177" t="str">
        <f>IFERROR(__xludf.DUMMYFUNCTION("""COMPUTED_VALUE"""),"Black seats")</f>
        <v>Black seats</v>
      </c>
      <c r="R2643" s="170" t="str">
        <f>IFERROR(__xludf.DUMMYFUNCTION("""COMPUTED_VALUE"""),"Enhanced Autopilot")</f>
        <v>Enhanced Autopilot</v>
      </c>
      <c r="S2643" s="170"/>
      <c r="T2643" s="179"/>
      <c r="U2643" s="179"/>
      <c r="V2643" s="179"/>
      <c r="W2643" s="180"/>
      <c r="X2643" s="181" t="str">
        <f>IFERROR(__xludf.DUMMYFUNCTION("""COMPUTED_VALUE"""),"Very Good")</f>
        <v>Very Good</v>
      </c>
      <c r="Y2643" s="182" t="str">
        <f>IFERROR(__xludf.DUMMYFUNCTION("""COMPUTED_VALUE"""),"Excellent")</f>
        <v>Excellent</v>
      </c>
      <c r="Z2643" s="182" t="str">
        <f>IFERROR(__xludf.DUMMYFUNCTION("""COMPUTED_VALUE"""),"Excellent")</f>
        <v>Excellent</v>
      </c>
      <c r="AA2643" s="182" t="str">
        <f>IFERROR(__xludf.DUMMYFUNCTION("""COMPUTED_VALUE"""),"Fair")</f>
        <v>Fair</v>
      </c>
      <c r="AB2643" s="182" t="str">
        <f>IFERROR(__xludf.DUMMYFUNCTION("""COMPUTED_VALUE"""),"Excellent")</f>
        <v>Excellent</v>
      </c>
      <c r="AC2643" s="183">
        <f>IFERROR(__xludf.DUMMYFUNCTION("""COMPUTED_VALUE"""),0.0)</f>
        <v>0</v>
      </c>
      <c r="AD2643" s="183">
        <f>IFERROR(__xludf.DUMMYFUNCTION("""COMPUTED_VALUE"""),0.0)</f>
        <v>0</v>
      </c>
      <c r="AE2643" s="183">
        <f>IFERROR(__xludf.DUMMYFUNCTION("""COMPUTED_VALUE"""),0.0)</f>
        <v>0</v>
      </c>
      <c r="AF2643" s="184"/>
      <c r="AG2643" s="180"/>
      <c r="AH2643" s="185">
        <f>IFERROR(__xludf.DUMMYFUNCTION("""COMPUTED_VALUE"""),43361.7802355787)</f>
        <v>43361.78024</v>
      </c>
      <c r="AI2643" s="182"/>
      <c r="AJ2643" s="182"/>
      <c r="AK2643" s="182"/>
      <c r="AL2643" s="182"/>
    </row>
    <row r="2644" ht="20.25" customHeight="1">
      <c r="A2644" s="169" t="str">
        <f>IFERROR(__xludf.DUMMYFUNCTION("""COMPUTED_VALUE"""),"reengne")</f>
        <v>reengne</v>
      </c>
      <c r="B2644" s="170" t="str">
        <f>IFERROR(__xludf.DUMMYFUNCTION("""COMPUTED_VALUE"""),"Columbia")</f>
        <v>Columbia</v>
      </c>
      <c r="C2644" s="170" t="str">
        <f>IFERROR(__xludf.DUMMYFUNCTION("""COMPUTED_VALUE"""),"MD")</f>
        <v>MD</v>
      </c>
      <c r="D2644" s="170" t="str">
        <f>IFERROR(__xludf.DUMMYFUNCTION("""COMPUTED_VALUE"""),"USA")</f>
        <v>USA</v>
      </c>
      <c r="E2644" s="171">
        <f>IFERROR(__xludf.DUMMYFUNCTION("""COMPUTED_VALUE"""),43295.0)</f>
        <v>43295</v>
      </c>
      <c r="F2644" s="172">
        <f>IFERROR(__xludf.DUMMYFUNCTION("""COMPUTED_VALUE"""),43327.0)</f>
        <v>43327</v>
      </c>
      <c r="G2644" s="173"/>
      <c r="H2644" s="174">
        <f>IFERROR(__xludf.DUMMYFUNCTION("""COMPUTED_VALUE"""),64106.0)</f>
        <v>64106</v>
      </c>
      <c r="I2644" s="175" t="str">
        <f>IFERROR(__xludf.DUMMYFUNCTION("""COMPUTED_VALUE"""),"08/18")</f>
        <v>08/18</v>
      </c>
      <c r="J2644" s="172">
        <f>IFERROR(__xludf.DUMMYFUNCTION("""COMPUTED_VALUE"""),43343.0)</f>
        <v>43343</v>
      </c>
      <c r="K2644" s="176">
        <f>IFERROR(__xludf.DUMMYFUNCTION("""COMPUTED_VALUE"""),32.0)</f>
        <v>32</v>
      </c>
      <c r="L2644" s="176">
        <f>IFERROR(__xludf.DUMMYFUNCTION("""COMPUTED_VALUE"""),16.0)</f>
        <v>16</v>
      </c>
      <c r="M2644" s="176">
        <f>IFERROR(__xludf.DUMMYFUNCTION("""COMPUTED_VALUE"""),48.0)</f>
        <v>48</v>
      </c>
      <c r="N2644" s="177" t="str">
        <f>IFERROR(__xludf.DUMMYFUNCTION("""COMPUTED_VALUE"""),"Model 3 LR AWD")</f>
        <v>Model 3 LR AWD</v>
      </c>
      <c r="O2644" s="177" t="str">
        <f>IFERROR(__xludf.DUMMYFUNCTION("""COMPUTED_VALUE"""),"Red Multi-Coat")</f>
        <v>Red Multi-Coat</v>
      </c>
      <c r="P2644" s="178" t="str">
        <f>IFERROR(__xludf.DUMMYFUNCTION("""COMPUTED_VALUE"""),"18 inch Aero")</f>
        <v>18 inch Aero</v>
      </c>
      <c r="Q2644" s="177" t="str">
        <f>IFERROR(__xludf.DUMMYFUNCTION("""COMPUTED_VALUE"""),"Black seats")</f>
        <v>Black seats</v>
      </c>
      <c r="R2644" s="170" t="str">
        <f>IFERROR(__xludf.DUMMYFUNCTION("""COMPUTED_VALUE"""),"None")</f>
        <v>None</v>
      </c>
      <c r="S2644" s="170"/>
      <c r="T2644" s="179"/>
      <c r="U2644" s="179"/>
      <c r="V2644" s="179"/>
      <c r="W2644" s="180"/>
      <c r="X2644" s="181" t="str">
        <f>IFERROR(__xludf.DUMMYFUNCTION("""COMPUTED_VALUE"""),"Very Good")</f>
        <v>Very Good</v>
      </c>
      <c r="Y2644" s="182" t="str">
        <f>IFERROR(__xludf.DUMMYFUNCTION("""COMPUTED_VALUE"""),"Very Good")</f>
        <v>Very Good</v>
      </c>
      <c r="Z2644" s="182" t="str">
        <f>IFERROR(__xludf.DUMMYFUNCTION("""COMPUTED_VALUE"""),"Very Good")</f>
        <v>Very Good</v>
      </c>
      <c r="AA2644" s="182" t="str">
        <f>IFERROR(__xludf.DUMMYFUNCTION("""COMPUTED_VALUE"""),"Fair")</f>
        <v>Fair</v>
      </c>
      <c r="AB2644" s="182" t="str">
        <f>IFERROR(__xludf.DUMMYFUNCTION("""COMPUTED_VALUE"""),"Very Good")</f>
        <v>Very Good</v>
      </c>
      <c r="AC2644" s="183"/>
      <c r="AD2644" s="183"/>
      <c r="AE2644" s="183"/>
      <c r="AF2644" s="184"/>
      <c r="AG2644" s="180"/>
      <c r="AH2644" s="185">
        <f>IFERROR(__xludf.DUMMYFUNCTION("""COMPUTED_VALUE"""),43344.52411979166)</f>
        <v>43344.52412</v>
      </c>
      <c r="AI2644" s="182"/>
      <c r="AJ2644" s="182"/>
      <c r="AK2644" s="182"/>
      <c r="AL2644" s="182"/>
    </row>
    <row r="2645" ht="20.25" customHeight="1">
      <c r="A2645" s="169" t="str">
        <f>IFERROR(__xludf.DUMMYFUNCTION("""COMPUTED_VALUE"""),"Trinit3")</f>
        <v>Trinit3</v>
      </c>
      <c r="B2645" s="170" t="str">
        <f>IFERROR(__xludf.DUMMYFUNCTION("""COMPUTED_VALUE"""),"So CAl")</f>
        <v>So CAl</v>
      </c>
      <c r="C2645" s="170" t="str">
        <f>IFERROR(__xludf.DUMMYFUNCTION("""COMPUTED_VALUE"""),"CA")</f>
        <v>CA</v>
      </c>
      <c r="D2645" s="170" t="str">
        <f>IFERROR(__xludf.DUMMYFUNCTION("""COMPUTED_VALUE"""),"USA")</f>
        <v>USA</v>
      </c>
      <c r="E2645" s="171">
        <f>IFERROR(__xludf.DUMMYFUNCTION("""COMPUTED_VALUE"""),43295.0)</f>
        <v>43295</v>
      </c>
      <c r="F2645" s="172">
        <f>IFERROR(__xludf.DUMMYFUNCTION("""COMPUTED_VALUE"""),43318.0)</f>
        <v>43318</v>
      </c>
      <c r="G2645" s="173"/>
      <c r="H2645" s="174">
        <f>IFERROR(__xludf.DUMMYFUNCTION("""COMPUTED_VALUE"""),67455.0)</f>
        <v>67455</v>
      </c>
      <c r="I2645" s="175" t="str">
        <f>IFERROR(__xludf.DUMMYFUNCTION("""COMPUTED_VALUE"""),"08/18")</f>
        <v>08/18</v>
      </c>
      <c r="J2645" s="172">
        <f>IFERROR(__xludf.DUMMYFUNCTION("""COMPUTED_VALUE"""),43338.0)</f>
        <v>43338</v>
      </c>
      <c r="K2645" s="176">
        <f>IFERROR(__xludf.DUMMYFUNCTION("""COMPUTED_VALUE"""),23.0)</f>
        <v>23</v>
      </c>
      <c r="L2645" s="176">
        <f>IFERROR(__xludf.DUMMYFUNCTION("""COMPUTED_VALUE"""),20.0)</f>
        <v>20</v>
      </c>
      <c r="M2645" s="176">
        <f>IFERROR(__xludf.DUMMYFUNCTION("""COMPUTED_VALUE"""),43.0)</f>
        <v>43</v>
      </c>
      <c r="N2645" s="177" t="str">
        <f>IFERROR(__xludf.DUMMYFUNCTION("""COMPUTED_VALUE"""),"Model 3 LR AWD")</f>
        <v>Model 3 LR AWD</v>
      </c>
      <c r="O2645" s="177" t="str">
        <f>IFERROR(__xludf.DUMMYFUNCTION("""COMPUTED_VALUE"""),"Pearl White Multi-Coat")</f>
        <v>Pearl White Multi-Coat</v>
      </c>
      <c r="P2645" s="178" t="str">
        <f>IFERROR(__xludf.DUMMYFUNCTION("""COMPUTED_VALUE"""),"19 inch Sport")</f>
        <v>19 inch Sport</v>
      </c>
      <c r="Q2645" s="177" t="str">
        <f>IFERROR(__xludf.DUMMYFUNCTION("""COMPUTED_VALUE"""),"Black seats")</f>
        <v>Black seats</v>
      </c>
      <c r="R2645" s="170" t="str">
        <f>IFERROR(__xludf.DUMMYFUNCTION("""COMPUTED_VALUE"""),"Enhanced Autopilot")</f>
        <v>Enhanced Autopilot</v>
      </c>
      <c r="S2645" s="170"/>
      <c r="T2645" s="179"/>
      <c r="U2645" s="179"/>
      <c r="V2645" s="179"/>
      <c r="W2645" s="180"/>
      <c r="X2645" s="181" t="str">
        <f>IFERROR(__xludf.DUMMYFUNCTION("""COMPUTED_VALUE"""),"Excellent")</f>
        <v>Excellent</v>
      </c>
      <c r="Y2645" s="182" t="str">
        <f>IFERROR(__xludf.DUMMYFUNCTION("""COMPUTED_VALUE"""),"Excellent")</f>
        <v>Excellent</v>
      </c>
      <c r="Z2645" s="182" t="str">
        <f>IFERROR(__xludf.DUMMYFUNCTION("""COMPUTED_VALUE"""),"Excellent")</f>
        <v>Excellent</v>
      </c>
      <c r="AA2645" s="182" t="str">
        <f>IFERROR(__xludf.DUMMYFUNCTION("""COMPUTED_VALUE"""),"Good")</f>
        <v>Good</v>
      </c>
      <c r="AB2645" s="182" t="str">
        <f>IFERROR(__xludf.DUMMYFUNCTION("""COMPUTED_VALUE"""),"Excellent")</f>
        <v>Excellent</v>
      </c>
      <c r="AC2645" s="183">
        <f>IFERROR(__xludf.DUMMYFUNCTION("""COMPUTED_VALUE"""),0.0)</f>
        <v>0</v>
      </c>
      <c r="AD2645" s="183">
        <f>IFERROR(__xludf.DUMMYFUNCTION("""COMPUTED_VALUE"""),0.0)</f>
        <v>0</v>
      </c>
      <c r="AE2645" s="183">
        <f>IFERROR(__xludf.DUMMYFUNCTION("""COMPUTED_VALUE"""),0.0)</f>
        <v>0</v>
      </c>
      <c r="AF2645" s="184"/>
      <c r="AG2645" s="180"/>
      <c r="AH2645" s="185">
        <f>IFERROR(__xludf.DUMMYFUNCTION("""COMPUTED_VALUE"""),43338.83582130787)</f>
        <v>43338.83582</v>
      </c>
      <c r="AI2645" s="182"/>
      <c r="AJ2645" s="182"/>
      <c r="AK2645" s="182"/>
      <c r="AL2645" s="182"/>
    </row>
    <row r="2646" ht="20.25" customHeight="1">
      <c r="A2646" s="169" t="str">
        <f>IFERROR(__xludf.DUMMYFUNCTION("""COMPUTED_VALUE"""),"twmmmom")</f>
        <v>twmmmom</v>
      </c>
      <c r="B2646" s="170"/>
      <c r="C2646" s="170" t="str">
        <f>IFERROR(__xludf.DUMMYFUNCTION("""COMPUTED_VALUE"""),"CO")</f>
        <v>CO</v>
      </c>
      <c r="D2646" s="170" t="str">
        <f>IFERROR(__xludf.DUMMYFUNCTION("""COMPUTED_VALUE"""),"USA")</f>
        <v>USA</v>
      </c>
      <c r="E2646" s="171">
        <f>IFERROR(__xludf.DUMMYFUNCTION("""COMPUTED_VALUE"""),43295.0)</f>
        <v>43295</v>
      </c>
      <c r="F2646" s="172">
        <f>IFERROR(__xludf.DUMMYFUNCTION("""COMPUTED_VALUE"""),43341.0)</f>
        <v>43341</v>
      </c>
      <c r="G2646" s="173"/>
      <c r="H2646" s="174">
        <f>IFERROR(__xludf.DUMMYFUNCTION("""COMPUTED_VALUE"""),81234.0)</f>
        <v>81234</v>
      </c>
      <c r="I2646" s="175" t="str">
        <f>IFERROR(__xludf.DUMMYFUNCTION("""COMPUTED_VALUE"""),"08/18")</f>
        <v>08/18</v>
      </c>
      <c r="J2646" s="172">
        <f>IFERROR(__xludf.DUMMYFUNCTION("""COMPUTED_VALUE"""),43356.0)</f>
        <v>43356</v>
      </c>
      <c r="K2646" s="176">
        <f>IFERROR(__xludf.DUMMYFUNCTION("""COMPUTED_VALUE"""),46.0)</f>
        <v>46</v>
      </c>
      <c r="L2646" s="176">
        <f>IFERROR(__xludf.DUMMYFUNCTION("""COMPUTED_VALUE"""),15.0)</f>
        <v>15</v>
      </c>
      <c r="M2646" s="176">
        <f>IFERROR(__xludf.DUMMYFUNCTION("""COMPUTED_VALUE"""),61.0)</f>
        <v>61</v>
      </c>
      <c r="N2646" s="177" t="str">
        <f>IFERROR(__xludf.DUMMYFUNCTION("""COMPUTED_VALUE"""),"Model 3 LR AWD")</f>
        <v>Model 3 LR AWD</v>
      </c>
      <c r="O2646" s="177" t="str">
        <f>IFERROR(__xludf.DUMMYFUNCTION("""COMPUTED_VALUE"""),"Midnight Silver Metallic")</f>
        <v>Midnight Silver Metallic</v>
      </c>
      <c r="P2646" s="178" t="str">
        <f>IFERROR(__xludf.DUMMYFUNCTION("""COMPUTED_VALUE"""),"18 inch Aero")</f>
        <v>18 inch Aero</v>
      </c>
      <c r="Q2646" s="177" t="str">
        <f>IFERROR(__xludf.DUMMYFUNCTION("""COMPUTED_VALUE"""),"Black seats")</f>
        <v>Black seats</v>
      </c>
      <c r="R2646" s="170" t="str">
        <f>IFERROR(__xludf.DUMMYFUNCTION("""COMPUTED_VALUE"""),"Enhanced Autopilot")</f>
        <v>Enhanced Autopilot</v>
      </c>
      <c r="S2646" s="170"/>
      <c r="T2646" s="179"/>
      <c r="U2646" s="179"/>
      <c r="V2646" s="179"/>
      <c r="W2646" s="180"/>
      <c r="X2646" s="181" t="str">
        <f>IFERROR(__xludf.DUMMYFUNCTION("""COMPUTED_VALUE"""),"Very Good")</f>
        <v>Very Good</v>
      </c>
      <c r="Y2646" s="182" t="str">
        <f>IFERROR(__xludf.DUMMYFUNCTION("""COMPUTED_VALUE"""),"Very Good")</f>
        <v>Very Good</v>
      </c>
      <c r="Z2646" s="182" t="str">
        <f>IFERROR(__xludf.DUMMYFUNCTION("""COMPUTED_VALUE"""),"Very Good")</f>
        <v>Very Good</v>
      </c>
      <c r="AA2646" s="182" t="str">
        <f>IFERROR(__xludf.DUMMYFUNCTION("""COMPUTED_VALUE"""),"Fair")</f>
        <v>Fair</v>
      </c>
      <c r="AB2646" s="182" t="str">
        <f>IFERROR(__xludf.DUMMYFUNCTION("""COMPUTED_VALUE"""),"Good")</f>
        <v>Good</v>
      </c>
      <c r="AC2646" s="183"/>
      <c r="AD2646" s="183"/>
      <c r="AE2646" s="183"/>
      <c r="AF2646" s="184"/>
      <c r="AG2646" s="180"/>
      <c r="AH2646" s="185">
        <f>IFERROR(__xludf.DUMMYFUNCTION("""COMPUTED_VALUE"""),43358.94820363426)</f>
        <v>43358.9482</v>
      </c>
      <c r="AI2646" s="182"/>
      <c r="AJ2646" s="182"/>
      <c r="AK2646" s="182"/>
      <c r="AL2646" s="182"/>
    </row>
    <row r="2647" ht="20.25" customHeight="1">
      <c r="A2647" s="169" t="str">
        <f>IFERROR(__xludf.DUMMYFUNCTION("""COMPUTED_VALUE"""),"Val ")</f>
        <v>Val </v>
      </c>
      <c r="B2647" s="170" t="str">
        <f>IFERROR(__xludf.DUMMYFUNCTION("""COMPUTED_VALUE"""),"Pheonix Metro")</f>
        <v>Pheonix Metro</v>
      </c>
      <c r="C2647" s="170" t="str">
        <f>IFERROR(__xludf.DUMMYFUNCTION("""COMPUTED_VALUE"""),"AZ")</f>
        <v>AZ</v>
      </c>
      <c r="D2647" s="170" t="str">
        <f>IFERROR(__xludf.DUMMYFUNCTION("""COMPUTED_VALUE"""),"USA")</f>
        <v>USA</v>
      </c>
      <c r="E2647" s="171">
        <f>IFERROR(__xludf.DUMMYFUNCTION("""COMPUTED_VALUE"""),43295.0)</f>
        <v>43295</v>
      </c>
      <c r="F2647" s="172">
        <f>IFERROR(__xludf.DUMMYFUNCTION("""COMPUTED_VALUE"""),43369.0)</f>
        <v>43369</v>
      </c>
      <c r="G2647" s="173"/>
      <c r="H2647" s="174">
        <f>IFERROR(__xludf.DUMMYFUNCTION("""COMPUTED_VALUE"""),73555.0)</f>
        <v>73555</v>
      </c>
      <c r="I2647" s="175"/>
      <c r="J2647" s="172">
        <f>IFERROR(__xludf.DUMMYFUNCTION("""COMPUTED_VALUE"""),43373.0)</f>
        <v>43373</v>
      </c>
      <c r="K2647" s="176">
        <f>IFERROR(__xludf.DUMMYFUNCTION("""COMPUTED_VALUE"""),74.0)</f>
        <v>74</v>
      </c>
      <c r="L2647" s="176">
        <f>IFERROR(__xludf.DUMMYFUNCTION("""COMPUTED_VALUE"""),4.0)</f>
        <v>4</v>
      </c>
      <c r="M2647" s="176">
        <f>IFERROR(__xludf.DUMMYFUNCTION("""COMPUTED_VALUE"""),78.0)</f>
        <v>78</v>
      </c>
      <c r="N2647" s="177" t="str">
        <f>IFERROR(__xludf.DUMMYFUNCTION("""COMPUTED_VALUE"""),"Model 3 LR AWD")</f>
        <v>Model 3 LR AWD</v>
      </c>
      <c r="O2647" s="177" t="str">
        <f>IFERROR(__xludf.DUMMYFUNCTION("""COMPUTED_VALUE"""),"Deep Blue Metallic")</f>
        <v>Deep Blue Metallic</v>
      </c>
      <c r="P2647" s="178" t="str">
        <f>IFERROR(__xludf.DUMMYFUNCTION("""COMPUTED_VALUE"""),"18 inch Aero")</f>
        <v>18 inch Aero</v>
      </c>
      <c r="Q2647" s="177" t="str">
        <f>IFERROR(__xludf.DUMMYFUNCTION("""COMPUTED_VALUE"""),"Black seats")</f>
        <v>Black seats</v>
      </c>
      <c r="R2647" s="170" t="str">
        <f>IFERROR(__xludf.DUMMYFUNCTION("""COMPUTED_VALUE"""),"Enhanced Autopilot")</f>
        <v>Enhanced Autopilot</v>
      </c>
      <c r="S2647" s="170"/>
      <c r="T2647" s="179"/>
      <c r="U2647" s="179"/>
      <c r="V2647" s="179"/>
      <c r="W2647" s="180"/>
      <c r="X2647" s="181" t="str">
        <f>IFERROR(__xludf.DUMMYFUNCTION("""COMPUTED_VALUE"""),"Very Good")</f>
        <v>Very Good</v>
      </c>
      <c r="Y2647" s="182" t="str">
        <f>IFERROR(__xludf.DUMMYFUNCTION("""COMPUTED_VALUE"""),"Excellent")</f>
        <v>Excellent</v>
      </c>
      <c r="Z2647" s="182" t="str">
        <f>IFERROR(__xludf.DUMMYFUNCTION("""COMPUTED_VALUE"""),"Very Good")</f>
        <v>Very Good</v>
      </c>
      <c r="AA2647" s="182" t="str">
        <f>IFERROR(__xludf.DUMMYFUNCTION("""COMPUTED_VALUE"""),"Poor")</f>
        <v>Poor</v>
      </c>
      <c r="AB2647" s="182" t="str">
        <f>IFERROR(__xludf.DUMMYFUNCTION("""COMPUTED_VALUE"""),"Very Good")</f>
        <v>Very Good</v>
      </c>
      <c r="AC2647" s="183">
        <f>IFERROR(__xludf.DUMMYFUNCTION("""COMPUTED_VALUE"""),1.0)</f>
        <v>1</v>
      </c>
      <c r="AD2647" s="183">
        <f>IFERROR(__xludf.DUMMYFUNCTION("""COMPUTED_VALUE"""),1.0)</f>
        <v>1</v>
      </c>
      <c r="AE2647" s="183">
        <f>IFERROR(__xludf.DUMMYFUNCTION("""COMPUTED_VALUE"""),0.0)</f>
        <v>0</v>
      </c>
      <c r="AF2647" s="184"/>
      <c r="AG2647" s="180"/>
      <c r="AH2647" s="185">
        <f>IFERROR(__xludf.DUMMYFUNCTION("""COMPUTED_VALUE"""),43406.785289363426)</f>
        <v>43406.78529</v>
      </c>
      <c r="AI2647" s="182"/>
      <c r="AJ2647" s="182"/>
      <c r="AK2647" s="182"/>
      <c r="AL2647" s="182"/>
    </row>
    <row r="2648" ht="20.25" customHeight="1">
      <c r="A2648" s="169" t="str">
        <f>IFERROR(__xludf.DUMMYFUNCTION("""COMPUTED_VALUE"""),"bobcio")</f>
        <v>bobcio</v>
      </c>
      <c r="B2648" s="170" t="str">
        <f>IFERROR(__xludf.DUMMYFUNCTION("""COMPUTED_VALUE"""),"El Dorado Hills")</f>
        <v>El Dorado Hills</v>
      </c>
      <c r="C2648" s="170" t="str">
        <f>IFERROR(__xludf.DUMMYFUNCTION("""COMPUTED_VALUE"""),"CA")</f>
        <v>CA</v>
      </c>
      <c r="D2648" s="170" t="str">
        <f>IFERROR(__xludf.DUMMYFUNCTION("""COMPUTED_VALUE"""),"USA")</f>
        <v>USA</v>
      </c>
      <c r="E2648" s="171">
        <f>IFERROR(__xludf.DUMMYFUNCTION("""COMPUTED_VALUE"""),43294.0)</f>
        <v>43294</v>
      </c>
      <c r="F2648" s="172">
        <f>IFERROR(__xludf.DUMMYFUNCTION("""COMPUTED_VALUE"""),43364.0)</f>
        <v>43364</v>
      </c>
      <c r="G2648" s="173"/>
      <c r="H2648" s="174">
        <f>IFERROR(__xludf.DUMMYFUNCTION("""COMPUTED_VALUE"""),97655.0)</f>
        <v>97655</v>
      </c>
      <c r="I2648" s="175" t="str">
        <f>IFERROR(__xludf.DUMMYFUNCTION("""COMPUTED_VALUE"""),"09/18")</f>
        <v>09/18</v>
      </c>
      <c r="J2648" s="172">
        <f>IFERROR(__xludf.DUMMYFUNCTION("""COMPUTED_VALUE"""),43367.0)</f>
        <v>43367</v>
      </c>
      <c r="K2648" s="176">
        <f>IFERROR(__xludf.DUMMYFUNCTION("""COMPUTED_VALUE"""),70.0)</f>
        <v>70</v>
      </c>
      <c r="L2648" s="176">
        <f>IFERROR(__xludf.DUMMYFUNCTION("""COMPUTED_VALUE"""),3.0)</f>
        <v>3</v>
      </c>
      <c r="M2648" s="176">
        <f>IFERROR(__xludf.DUMMYFUNCTION("""COMPUTED_VALUE"""),73.0)</f>
        <v>73</v>
      </c>
      <c r="N2648" s="177" t="str">
        <f>IFERROR(__xludf.DUMMYFUNCTION("""COMPUTED_VALUE"""),"Model 3 LR AWD")</f>
        <v>Model 3 LR AWD</v>
      </c>
      <c r="O2648" s="177" t="str">
        <f>IFERROR(__xludf.DUMMYFUNCTION("""COMPUTED_VALUE"""),"Red Multi-Coat")</f>
        <v>Red Multi-Coat</v>
      </c>
      <c r="P2648" s="178" t="str">
        <f>IFERROR(__xludf.DUMMYFUNCTION("""COMPUTED_VALUE"""),"19 inch Sport")</f>
        <v>19 inch Sport</v>
      </c>
      <c r="Q2648" s="177" t="str">
        <f>IFERROR(__xludf.DUMMYFUNCTION("""COMPUTED_VALUE"""),"White seats")</f>
        <v>White seats</v>
      </c>
      <c r="R2648" s="170" t="str">
        <f>IFERROR(__xludf.DUMMYFUNCTION("""COMPUTED_VALUE"""),"Enhanced Autopilot")</f>
        <v>Enhanced Autopilot</v>
      </c>
      <c r="S2648" s="170"/>
      <c r="T2648" s="179"/>
      <c r="U2648" s="179"/>
      <c r="V2648" s="179"/>
      <c r="W2648" s="180"/>
      <c r="X2648" s="181" t="str">
        <f>IFERROR(__xludf.DUMMYFUNCTION("""COMPUTED_VALUE"""),"Very Good")</f>
        <v>Very Good</v>
      </c>
      <c r="Y2648" s="182" t="str">
        <f>IFERROR(__xludf.DUMMYFUNCTION("""COMPUTED_VALUE"""),"Excellent")</f>
        <v>Excellent</v>
      </c>
      <c r="Z2648" s="182" t="str">
        <f>IFERROR(__xludf.DUMMYFUNCTION("""COMPUTED_VALUE"""),"Excellent")</f>
        <v>Excellent</v>
      </c>
      <c r="AA2648" s="182" t="str">
        <f>IFERROR(__xludf.DUMMYFUNCTION("""COMPUTED_VALUE"""),"Excellent")</f>
        <v>Excellent</v>
      </c>
      <c r="AB2648" s="182" t="str">
        <f>IFERROR(__xludf.DUMMYFUNCTION("""COMPUTED_VALUE"""),"Very Good")</f>
        <v>Very Good</v>
      </c>
      <c r="AC2648" s="183">
        <f>IFERROR(__xludf.DUMMYFUNCTION("""COMPUTED_VALUE"""),3.0)</f>
        <v>3</v>
      </c>
      <c r="AD2648" s="183"/>
      <c r="AE2648" s="183"/>
      <c r="AF2648" s="184"/>
      <c r="AG2648" s="180"/>
      <c r="AH2648" s="185">
        <f>IFERROR(__xludf.DUMMYFUNCTION("""COMPUTED_VALUE"""),43382.88804505787)</f>
        <v>43382.88805</v>
      </c>
      <c r="AI2648" s="182"/>
      <c r="AJ2648" s="182"/>
      <c r="AK2648" s="182"/>
      <c r="AL2648" s="182"/>
    </row>
    <row r="2649" ht="20.25" customHeight="1">
      <c r="A2649" s="169" t="str">
        <f>IFERROR(__xludf.DUMMYFUNCTION("""COMPUTED_VALUE"""),"camsqu")</f>
        <v>camsqu</v>
      </c>
      <c r="B2649" s="170" t="str">
        <f>IFERROR(__xludf.DUMMYFUNCTION("""COMPUTED_VALUE"""),"Santa Barbara")</f>
        <v>Santa Barbara</v>
      </c>
      <c r="C2649" s="170" t="str">
        <f>IFERROR(__xludf.DUMMYFUNCTION("""COMPUTED_VALUE"""),"CA")</f>
        <v>CA</v>
      </c>
      <c r="D2649" s="170" t="str">
        <f>IFERROR(__xludf.DUMMYFUNCTION("""COMPUTED_VALUE"""),"USA")</f>
        <v>USA</v>
      </c>
      <c r="E2649" s="171">
        <f>IFERROR(__xludf.DUMMYFUNCTION("""COMPUTED_VALUE"""),43294.0)</f>
        <v>43294</v>
      </c>
      <c r="F2649" s="172">
        <f>IFERROR(__xludf.DUMMYFUNCTION("""COMPUTED_VALUE"""),43311.0)</f>
        <v>43311</v>
      </c>
      <c r="G2649" s="173"/>
      <c r="H2649" s="174">
        <f>IFERROR(__xludf.DUMMYFUNCTION("""COMPUTED_VALUE"""),19434.0)</f>
        <v>19434</v>
      </c>
      <c r="I2649" s="175" t="str">
        <f>IFERROR(__xludf.DUMMYFUNCTION("""COMPUTED_VALUE"""),"06/18")</f>
        <v>06/18</v>
      </c>
      <c r="J2649" s="172">
        <f>IFERROR(__xludf.DUMMYFUNCTION("""COMPUTED_VALUE"""),43313.0)</f>
        <v>43313</v>
      </c>
      <c r="K2649" s="176">
        <f>IFERROR(__xludf.DUMMYFUNCTION("""COMPUTED_VALUE"""),17.0)</f>
        <v>17</v>
      </c>
      <c r="L2649" s="176">
        <f>IFERROR(__xludf.DUMMYFUNCTION("""COMPUTED_VALUE"""),2.0)</f>
        <v>2</v>
      </c>
      <c r="M2649" s="176">
        <f>IFERROR(__xludf.DUMMYFUNCTION("""COMPUTED_VALUE"""),19.0)</f>
        <v>19</v>
      </c>
      <c r="N2649" s="177" t="str">
        <f>IFERROR(__xludf.DUMMYFUNCTION("""COMPUTED_VALUE"""),"Model 3 LR")</f>
        <v>Model 3 LR</v>
      </c>
      <c r="O2649" s="177" t="str">
        <f>IFERROR(__xludf.DUMMYFUNCTION("""COMPUTED_VALUE"""),"Deep Blue Metallic")</f>
        <v>Deep Blue Metallic</v>
      </c>
      <c r="P2649" s="178" t="str">
        <f>IFERROR(__xludf.DUMMYFUNCTION("""COMPUTED_VALUE"""),"18 inch Aero")</f>
        <v>18 inch Aero</v>
      </c>
      <c r="Q2649" s="177" t="str">
        <f>IFERROR(__xludf.DUMMYFUNCTION("""COMPUTED_VALUE"""),"Black seats")</f>
        <v>Black seats</v>
      </c>
      <c r="R2649" s="170" t="str">
        <f>IFERROR(__xludf.DUMMYFUNCTION("""COMPUTED_VALUE"""),"Enhanced Autopilot")</f>
        <v>Enhanced Autopilot</v>
      </c>
      <c r="S2649" s="170"/>
      <c r="T2649" s="179"/>
      <c r="U2649" s="179"/>
      <c r="V2649" s="179"/>
      <c r="W2649" s="180"/>
      <c r="X2649" s="181" t="str">
        <f>IFERROR(__xludf.DUMMYFUNCTION("""COMPUTED_VALUE"""),"Excellent")</f>
        <v>Excellent</v>
      </c>
      <c r="Y2649" s="182" t="str">
        <f>IFERROR(__xludf.DUMMYFUNCTION("""COMPUTED_VALUE"""),"Excellent")</f>
        <v>Excellent</v>
      </c>
      <c r="Z2649" s="182" t="str">
        <f>IFERROR(__xludf.DUMMYFUNCTION("""COMPUTED_VALUE"""),"Excellent")</f>
        <v>Excellent</v>
      </c>
      <c r="AA2649" s="182" t="str">
        <f>IFERROR(__xludf.DUMMYFUNCTION("""COMPUTED_VALUE"""),"Fair")</f>
        <v>Fair</v>
      </c>
      <c r="AB2649" s="182" t="str">
        <f>IFERROR(__xludf.DUMMYFUNCTION("""COMPUTED_VALUE"""),"Very Good")</f>
        <v>Very Good</v>
      </c>
      <c r="AC2649" s="183">
        <f>IFERROR(__xludf.DUMMYFUNCTION("""COMPUTED_VALUE"""),2.0)</f>
        <v>2</v>
      </c>
      <c r="AD2649" s="183">
        <f>IFERROR(__xludf.DUMMYFUNCTION("""COMPUTED_VALUE"""),0.0)</f>
        <v>0</v>
      </c>
      <c r="AE2649" s="183"/>
      <c r="AF2649" s="184"/>
      <c r="AG2649" s="180" t="str">
        <f>IFERROR(__xludf.DUMMYFUNCTION("""COMPUTED_VALUE"""),"Glovebox won't open since delivery, still waiting for service")</f>
        <v>Glovebox won't open since delivery, still waiting for service</v>
      </c>
      <c r="AH2649" s="185">
        <f>IFERROR(__xludf.DUMMYFUNCTION("""COMPUTED_VALUE"""),43335.72988934028)</f>
        <v>43335.72989</v>
      </c>
      <c r="AI2649" s="182"/>
      <c r="AJ2649" s="182"/>
      <c r="AK2649" s="182"/>
      <c r="AL2649" s="182"/>
    </row>
    <row r="2650" ht="20.25" customHeight="1">
      <c r="A2650" s="169" t="str">
        <f>IFERROR(__xludf.DUMMYFUNCTION("""COMPUTED_VALUE"""),"GMIAMI78")</f>
        <v>GMIAMI78</v>
      </c>
      <c r="B2650" s="170" t="str">
        <f>IFERROR(__xludf.DUMMYFUNCTION("""COMPUTED_VALUE"""),"Miami")</f>
        <v>Miami</v>
      </c>
      <c r="C2650" s="170" t="str">
        <f>IFERROR(__xludf.DUMMYFUNCTION("""COMPUTED_VALUE"""),"FL")</f>
        <v>FL</v>
      </c>
      <c r="D2650" s="170" t="str">
        <f>IFERROR(__xludf.DUMMYFUNCTION("""COMPUTED_VALUE"""),"USA")</f>
        <v>USA</v>
      </c>
      <c r="E2650" s="171">
        <f>IFERROR(__xludf.DUMMYFUNCTION("""COMPUTED_VALUE"""),43294.0)</f>
        <v>43294</v>
      </c>
      <c r="F2650" s="172">
        <f>IFERROR(__xludf.DUMMYFUNCTION("""COMPUTED_VALUE"""),43302.0)</f>
        <v>43302</v>
      </c>
      <c r="G2650" s="173"/>
      <c r="H2650" s="174">
        <f>IFERROR(__xludf.DUMMYFUNCTION("""COMPUTED_VALUE"""),44555.0)</f>
        <v>44555</v>
      </c>
      <c r="I2650" s="175"/>
      <c r="J2650" s="172">
        <f>IFERROR(__xludf.DUMMYFUNCTION("""COMPUTED_VALUE"""),43314.0)</f>
        <v>43314</v>
      </c>
      <c r="K2650" s="176">
        <f>IFERROR(__xludf.DUMMYFUNCTION("""COMPUTED_VALUE"""),8.0)</f>
        <v>8</v>
      </c>
      <c r="L2650" s="176">
        <f>IFERROR(__xludf.DUMMYFUNCTION("""COMPUTED_VALUE"""),12.0)</f>
        <v>12</v>
      </c>
      <c r="M2650" s="176">
        <f>IFERROR(__xludf.DUMMYFUNCTION("""COMPUTED_VALUE"""),20.0)</f>
        <v>20</v>
      </c>
      <c r="N2650" s="177" t="str">
        <f>IFERROR(__xludf.DUMMYFUNCTION("""COMPUTED_VALUE"""),"Model 3 LR")</f>
        <v>Model 3 LR</v>
      </c>
      <c r="O2650" s="177" t="str">
        <f>IFERROR(__xludf.DUMMYFUNCTION("""COMPUTED_VALUE"""),"Midnight Silver Metallic")</f>
        <v>Midnight Silver Metallic</v>
      </c>
      <c r="P2650" s="178" t="str">
        <f>IFERROR(__xludf.DUMMYFUNCTION("""COMPUTED_VALUE"""),"18 inch Aero")</f>
        <v>18 inch Aero</v>
      </c>
      <c r="Q2650" s="177" t="str">
        <f>IFERROR(__xludf.DUMMYFUNCTION("""COMPUTED_VALUE"""),"Black seats")</f>
        <v>Black seats</v>
      </c>
      <c r="R2650" s="170" t="str">
        <f>IFERROR(__xludf.DUMMYFUNCTION("""COMPUTED_VALUE"""),"Enhanced Autopilot")</f>
        <v>Enhanced Autopilot</v>
      </c>
      <c r="S2650" s="170"/>
      <c r="T2650" s="179"/>
      <c r="U2650" s="179"/>
      <c r="V2650" s="179"/>
      <c r="W2650" s="180"/>
      <c r="X2650" s="181" t="str">
        <f>IFERROR(__xludf.DUMMYFUNCTION("""COMPUTED_VALUE"""),"Excellent")</f>
        <v>Excellent</v>
      </c>
      <c r="Y2650" s="182" t="str">
        <f>IFERROR(__xludf.DUMMYFUNCTION("""COMPUTED_VALUE"""),"Very Good")</f>
        <v>Very Good</v>
      </c>
      <c r="Z2650" s="182" t="str">
        <f>IFERROR(__xludf.DUMMYFUNCTION("""COMPUTED_VALUE"""),"Very Good")</f>
        <v>Very Good</v>
      </c>
      <c r="AA2650" s="182" t="str">
        <f>IFERROR(__xludf.DUMMYFUNCTION("""COMPUTED_VALUE"""),"Excellent")</f>
        <v>Excellent</v>
      </c>
      <c r="AB2650" s="182" t="str">
        <f>IFERROR(__xludf.DUMMYFUNCTION("""COMPUTED_VALUE"""),"Excellent")</f>
        <v>Excellent</v>
      </c>
      <c r="AC2650" s="183">
        <f>IFERROR(__xludf.DUMMYFUNCTION("""COMPUTED_VALUE"""),3.0)</f>
        <v>3</v>
      </c>
      <c r="AD2650" s="183">
        <f>IFERROR(__xludf.DUMMYFUNCTION("""COMPUTED_VALUE"""),1.0)</f>
        <v>1</v>
      </c>
      <c r="AE2650" s="183">
        <f>IFERROR(__xludf.DUMMYFUNCTION("""COMPUTED_VALUE"""),2.0)</f>
        <v>2</v>
      </c>
      <c r="AF2650" s="184"/>
      <c r="AG2650" s="180"/>
      <c r="AH2650" s="185">
        <f>IFERROR(__xludf.DUMMYFUNCTION("""COMPUTED_VALUE"""),43357.50833104167)</f>
        <v>43357.50833</v>
      </c>
      <c r="AI2650" s="182"/>
      <c r="AJ2650" s="182"/>
      <c r="AK2650" s="182"/>
      <c r="AL2650" s="182"/>
    </row>
    <row r="2651" ht="20.25" customHeight="1">
      <c r="A2651" s="169" t="str">
        <f>IFERROR(__xludf.DUMMYFUNCTION("""COMPUTED_VALUE"""),"jaman77")</f>
        <v>jaman77</v>
      </c>
      <c r="B2651" s="170" t="str">
        <f>IFERROR(__xludf.DUMMYFUNCTION("""COMPUTED_VALUE"""),"Denver")</f>
        <v>Denver</v>
      </c>
      <c r="C2651" s="170" t="str">
        <f>IFERROR(__xludf.DUMMYFUNCTION("""COMPUTED_VALUE"""),"CO")</f>
        <v>CO</v>
      </c>
      <c r="D2651" s="170" t="str">
        <f>IFERROR(__xludf.DUMMYFUNCTION("""COMPUTED_VALUE"""),"USA")</f>
        <v>USA</v>
      </c>
      <c r="E2651" s="171">
        <f>IFERROR(__xludf.DUMMYFUNCTION("""COMPUTED_VALUE"""),43294.0)</f>
        <v>43294</v>
      </c>
      <c r="F2651" s="172">
        <f>IFERROR(__xludf.DUMMYFUNCTION("""COMPUTED_VALUE"""),43364.0)</f>
        <v>43364</v>
      </c>
      <c r="G2651" s="173"/>
      <c r="H2651" s="174">
        <f>IFERROR(__xludf.DUMMYFUNCTION("""COMPUTED_VALUE"""),91555.0)</f>
        <v>91555</v>
      </c>
      <c r="I2651" s="175" t="str">
        <f>IFERROR(__xludf.DUMMYFUNCTION("""COMPUTED_VALUE"""),"08/18")</f>
        <v>08/18</v>
      </c>
      <c r="J2651" s="172">
        <f>IFERROR(__xludf.DUMMYFUNCTION("""COMPUTED_VALUE"""),43368.0)</f>
        <v>43368</v>
      </c>
      <c r="K2651" s="176">
        <f>IFERROR(__xludf.DUMMYFUNCTION("""COMPUTED_VALUE"""),70.0)</f>
        <v>70</v>
      </c>
      <c r="L2651" s="176">
        <f>IFERROR(__xludf.DUMMYFUNCTION("""COMPUTED_VALUE"""),4.0)</f>
        <v>4</v>
      </c>
      <c r="M2651" s="176">
        <f>IFERROR(__xludf.DUMMYFUNCTION("""COMPUTED_VALUE"""),74.0)</f>
        <v>74</v>
      </c>
      <c r="N2651" s="177" t="str">
        <f>IFERROR(__xludf.DUMMYFUNCTION("""COMPUTED_VALUE"""),"Model 3 LR AWD")</f>
        <v>Model 3 LR AWD</v>
      </c>
      <c r="O2651" s="177" t="str">
        <f>IFERROR(__xludf.DUMMYFUNCTION("""COMPUTED_VALUE"""),"Red Multi-Coat")</f>
        <v>Red Multi-Coat</v>
      </c>
      <c r="P2651" s="178" t="str">
        <f>IFERROR(__xludf.DUMMYFUNCTION("""COMPUTED_VALUE"""),"19 inch Sport")</f>
        <v>19 inch Sport</v>
      </c>
      <c r="Q2651" s="177" t="str">
        <f>IFERROR(__xludf.DUMMYFUNCTION("""COMPUTED_VALUE"""),"Black seats")</f>
        <v>Black seats</v>
      </c>
      <c r="R2651" s="170" t="str">
        <f>IFERROR(__xludf.DUMMYFUNCTION("""COMPUTED_VALUE"""),"Enhanced Autopilot")</f>
        <v>Enhanced Autopilot</v>
      </c>
      <c r="S2651" s="170"/>
      <c r="T2651" s="179"/>
      <c r="U2651" s="179"/>
      <c r="V2651" s="179"/>
      <c r="W2651" s="180"/>
      <c r="X2651" s="181" t="str">
        <f>IFERROR(__xludf.DUMMYFUNCTION("""COMPUTED_VALUE"""),"Excellent")</f>
        <v>Excellent</v>
      </c>
      <c r="Y2651" s="182" t="str">
        <f>IFERROR(__xludf.DUMMYFUNCTION("""COMPUTED_VALUE"""),"Excellent")</f>
        <v>Excellent</v>
      </c>
      <c r="Z2651" s="182" t="str">
        <f>IFERROR(__xludf.DUMMYFUNCTION("""COMPUTED_VALUE"""),"Excellent")</f>
        <v>Excellent</v>
      </c>
      <c r="AA2651" s="182" t="str">
        <f>IFERROR(__xludf.DUMMYFUNCTION("""COMPUTED_VALUE"""),"Good")</f>
        <v>Good</v>
      </c>
      <c r="AB2651" s="182" t="str">
        <f>IFERROR(__xludf.DUMMYFUNCTION("""COMPUTED_VALUE"""),"Excellent")</f>
        <v>Excellent</v>
      </c>
      <c r="AC2651" s="183">
        <f>IFERROR(__xludf.DUMMYFUNCTION("""COMPUTED_VALUE"""),0.0)</f>
        <v>0</v>
      </c>
      <c r="AD2651" s="183"/>
      <c r="AE2651" s="183">
        <f>IFERROR(__xludf.DUMMYFUNCTION("""COMPUTED_VALUE"""),0.0)</f>
        <v>0</v>
      </c>
      <c r="AF2651" s="184"/>
      <c r="AG2651" s="180"/>
      <c r="AH2651" s="185">
        <f>IFERROR(__xludf.DUMMYFUNCTION("""COMPUTED_VALUE"""),43368.800578124996)</f>
        <v>43368.80058</v>
      </c>
      <c r="AI2651" s="182"/>
      <c r="AJ2651" s="182"/>
      <c r="AK2651" s="182"/>
      <c r="AL2651" s="182"/>
    </row>
    <row r="2652" ht="20.25" customHeight="1">
      <c r="A2652" s="169" t="str">
        <f>IFERROR(__xludf.DUMMYFUNCTION("""COMPUTED_VALUE"""),"M3OH")</f>
        <v>M3OH</v>
      </c>
      <c r="B2652" s="170" t="str">
        <f>IFERROR(__xludf.DUMMYFUNCTION("""COMPUTED_VALUE"""),"Cincinnati ")</f>
        <v>Cincinnati </v>
      </c>
      <c r="C2652" s="170" t="str">
        <f>IFERROR(__xludf.DUMMYFUNCTION("""COMPUTED_VALUE"""),"OH")</f>
        <v>OH</v>
      </c>
      <c r="D2652" s="170" t="str">
        <f>IFERROR(__xludf.DUMMYFUNCTION("""COMPUTED_VALUE"""),"USA")</f>
        <v>USA</v>
      </c>
      <c r="E2652" s="171">
        <f>IFERROR(__xludf.DUMMYFUNCTION("""COMPUTED_VALUE"""),43294.0)</f>
        <v>43294</v>
      </c>
      <c r="F2652" s="172">
        <f>IFERROR(__xludf.DUMMYFUNCTION("""COMPUTED_VALUE"""),43350.0)</f>
        <v>43350</v>
      </c>
      <c r="G2652" s="173"/>
      <c r="H2652" s="174">
        <f>IFERROR(__xludf.DUMMYFUNCTION("""COMPUTED_VALUE"""),66555.0)</f>
        <v>66555</v>
      </c>
      <c r="I2652" s="175"/>
      <c r="J2652" s="172">
        <f>IFERROR(__xludf.DUMMYFUNCTION("""COMPUTED_VALUE"""),43355.0)</f>
        <v>43355</v>
      </c>
      <c r="K2652" s="176">
        <f>IFERROR(__xludf.DUMMYFUNCTION("""COMPUTED_VALUE"""),56.0)</f>
        <v>56</v>
      </c>
      <c r="L2652" s="176">
        <f>IFERROR(__xludf.DUMMYFUNCTION("""COMPUTED_VALUE"""),5.0)</f>
        <v>5</v>
      </c>
      <c r="M2652" s="176">
        <f>IFERROR(__xludf.DUMMYFUNCTION("""COMPUTED_VALUE"""),61.0)</f>
        <v>61</v>
      </c>
      <c r="N2652" s="177" t="str">
        <f>IFERROR(__xludf.DUMMYFUNCTION("""COMPUTED_VALUE"""),"Model 3 LR AWD")</f>
        <v>Model 3 LR AWD</v>
      </c>
      <c r="O2652" s="177" t="str">
        <f>IFERROR(__xludf.DUMMYFUNCTION("""COMPUTED_VALUE"""),"Midnight Silver Metallic")</f>
        <v>Midnight Silver Metallic</v>
      </c>
      <c r="P2652" s="178" t="str">
        <f>IFERROR(__xludf.DUMMYFUNCTION("""COMPUTED_VALUE"""),"18 inch Aero")</f>
        <v>18 inch Aero</v>
      </c>
      <c r="Q2652" s="177" t="str">
        <f>IFERROR(__xludf.DUMMYFUNCTION("""COMPUTED_VALUE"""),"Black seats")</f>
        <v>Black seats</v>
      </c>
      <c r="R2652" s="170" t="str">
        <f>IFERROR(__xludf.DUMMYFUNCTION("""COMPUTED_VALUE"""),"Enhanced Autopilot")</f>
        <v>Enhanced Autopilot</v>
      </c>
      <c r="S2652" s="170"/>
      <c r="T2652" s="179"/>
      <c r="U2652" s="179"/>
      <c r="V2652" s="179"/>
      <c r="W2652" s="180"/>
      <c r="X2652" s="181" t="str">
        <f>IFERROR(__xludf.DUMMYFUNCTION("""COMPUTED_VALUE"""),"Excellent")</f>
        <v>Excellent</v>
      </c>
      <c r="Y2652" s="182" t="str">
        <f>IFERROR(__xludf.DUMMYFUNCTION("""COMPUTED_VALUE"""),"Excellent")</f>
        <v>Excellent</v>
      </c>
      <c r="Z2652" s="182" t="str">
        <f>IFERROR(__xludf.DUMMYFUNCTION("""COMPUTED_VALUE"""),"Excellent")</f>
        <v>Excellent</v>
      </c>
      <c r="AA2652" s="182" t="str">
        <f>IFERROR(__xludf.DUMMYFUNCTION("""COMPUTED_VALUE"""),"Excellent")</f>
        <v>Excellent</v>
      </c>
      <c r="AB2652" s="182" t="str">
        <f>IFERROR(__xludf.DUMMYFUNCTION("""COMPUTED_VALUE"""),"Excellent")</f>
        <v>Excellent</v>
      </c>
      <c r="AC2652" s="183">
        <f>IFERROR(__xludf.DUMMYFUNCTION("""COMPUTED_VALUE"""),0.0)</f>
        <v>0</v>
      </c>
      <c r="AD2652" s="183"/>
      <c r="AE2652" s="183"/>
      <c r="AF2652" s="184"/>
      <c r="AG2652" s="180" t="str">
        <f>IFERROR(__xludf.DUMMYFUNCTION("""COMPUTED_VALUE"""),"Delivery accelerated from Sep 21 to Sep 12")</f>
        <v>Delivery accelerated from Sep 21 to Sep 12</v>
      </c>
      <c r="AH2652" s="185">
        <f>IFERROR(__xludf.DUMMYFUNCTION("""COMPUTED_VALUE"""),43363.33383771991)</f>
        <v>43363.33384</v>
      </c>
      <c r="AI2652" s="182"/>
      <c r="AJ2652" s="182"/>
      <c r="AK2652" s="182"/>
      <c r="AL2652" s="182"/>
    </row>
    <row r="2653" ht="20.25" customHeight="1">
      <c r="A2653" s="169" t="str">
        <f>IFERROR(__xludf.DUMMYFUNCTION("""COMPUTED_VALUE"""),"MattAtHazmat")</f>
        <v>MattAtHazmat</v>
      </c>
      <c r="B2653" s="170" t="str">
        <f>IFERROR(__xludf.DUMMYFUNCTION("""COMPUTED_VALUE"""),"Austin")</f>
        <v>Austin</v>
      </c>
      <c r="C2653" s="170" t="str">
        <f>IFERROR(__xludf.DUMMYFUNCTION("""COMPUTED_VALUE"""),"TX")</f>
        <v>TX</v>
      </c>
      <c r="D2653" s="170" t="str">
        <f>IFERROR(__xludf.DUMMYFUNCTION("""COMPUTED_VALUE"""),"USA")</f>
        <v>USA</v>
      </c>
      <c r="E2653" s="171">
        <f>IFERROR(__xludf.DUMMYFUNCTION("""COMPUTED_VALUE"""),43294.0)</f>
        <v>43294</v>
      </c>
      <c r="F2653" s="172">
        <f>IFERROR(__xludf.DUMMYFUNCTION("""COMPUTED_VALUE"""),43377.0)</f>
        <v>43377</v>
      </c>
      <c r="G2653" s="173"/>
      <c r="H2653" s="174">
        <f>IFERROR(__xludf.DUMMYFUNCTION("""COMPUTED_VALUE"""),104455.0)</f>
        <v>104455</v>
      </c>
      <c r="I2653" s="175" t="str">
        <f>IFERROR(__xludf.DUMMYFUNCTION("""COMPUTED_VALUE"""),"10/18")</f>
        <v>10/18</v>
      </c>
      <c r="J2653" s="172">
        <f>IFERROR(__xludf.DUMMYFUNCTION("""COMPUTED_VALUE"""),43386.0)</f>
        <v>43386</v>
      </c>
      <c r="K2653" s="176">
        <f>IFERROR(__xludf.DUMMYFUNCTION("""COMPUTED_VALUE"""),83.0)</f>
        <v>83</v>
      </c>
      <c r="L2653" s="176">
        <f>IFERROR(__xludf.DUMMYFUNCTION("""COMPUTED_VALUE"""),9.0)</f>
        <v>9</v>
      </c>
      <c r="M2653" s="176">
        <f>IFERROR(__xludf.DUMMYFUNCTION("""COMPUTED_VALUE"""),92.0)</f>
        <v>92</v>
      </c>
      <c r="N2653" s="177" t="str">
        <f>IFERROR(__xludf.DUMMYFUNCTION("""COMPUTED_VALUE"""),"Model 3 Performance")</f>
        <v>Model 3 Performance</v>
      </c>
      <c r="O2653" s="177" t="str">
        <f>IFERROR(__xludf.DUMMYFUNCTION("""COMPUTED_VALUE"""),"Silver Metallic")</f>
        <v>Silver Metallic</v>
      </c>
      <c r="P2653" s="178" t="str">
        <f>IFERROR(__xludf.DUMMYFUNCTION("""COMPUTED_VALUE"""),"18 inch Aero")</f>
        <v>18 inch Aero</v>
      </c>
      <c r="Q2653" s="177" t="str">
        <f>IFERROR(__xludf.DUMMYFUNCTION("""COMPUTED_VALUE"""),"Black seats")</f>
        <v>Black seats</v>
      </c>
      <c r="R2653" s="170" t="str">
        <f>IFERROR(__xludf.DUMMYFUNCTION("""COMPUTED_VALUE"""),"None")</f>
        <v>None</v>
      </c>
      <c r="S2653" s="170"/>
      <c r="T2653" s="179"/>
      <c r="U2653" s="179"/>
      <c r="V2653" s="179"/>
      <c r="W2653" s="180"/>
      <c r="X2653" s="181" t="str">
        <f>IFERROR(__xludf.DUMMYFUNCTION("""COMPUTED_VALUE"""),"Poor")</f>
        <v>Poor</v>
      </c>
      <c r="Y2653" s="182" t="str">
        <f>IFERROR(__xludf.DUMMYFUNCTION("""COMPUTED_VALUE"""),"Good")</f>
        <v>Good</v>
      </c>
      <c r="Z2653" s="182" t="str">
        <f>IFERROR(__xludf.DUMMYFUNCTION("""COMPUTED_VALUE"""),"Good")</f>
        <v>Good</v>
      </c>
      <c r="AA2653" s="182" t="str">
        <f>IFERROR(__xludf.DUMMYFUNCTION("""COMPUTED_VALUE"""),"Poor")</f>
        <v>Poor</v>
      </c>
      <c r="AB2653" s="182" t="str">
        <f>IFERROR(__xludf.DUMMYFUNCTION("""COMPUTED_VALUE"""),"Good")</f>
        <v>Good</v>
      </c>
      <c r="AC2653" s="183"/>
      <c r="AD2653" s="183"/>
      <c r="AE2653" s="183"/>
      <c r="AF2653" s="184"/>
      <c r="AG2653" s="180"/>
      <c r="AH2653" s="185">
        <f>IFERROR(__xludf.DUMMYFUNCTION("""COMPUTED_VALUE"""),43391.22190087963)</f>
        <v>43391.2219</v>
      </c>
      <c r="AI2653" s="182"/>
      <c r="AJ2653" s="182"/>
      <c r="AK2653" s="182"/>
      <c r="AL2653" s="182"/>
    </row>
    <row r="2654" ht="20.25" customHeight="1">
      <c r="A2654" s="169" t="str">
        <f>IFERROR(__xludf.DUMMYFUNCTION("""COMPUTED_VALUE"""),"Ojaicate")</f>
        <v>Ojaicate</v>
      </c>
      <c r="B2654" s="170" t="str">
        <f>IFERROR(__xludf.DUMMYFUNCTION("""COMPUTED_VALUE"""),"Ojai")</f>
        <v>Ojai</v>
      </c>
      <c r="C2654" s="170" t="str">
        <f>IFERROR(__xludf.DUMMYFUNCTION("""COMPUTED_VALUE"""),"CA")</f>
        <v>CA</v>
      </c>
      <c r="D2654" s="170" t="str">
        <f>IFERROR(__xludf.DUMMYFUNCTION("""COMPUTED_VALUE"""),"USA")</f>
        <v>USA</v>
      </c>
      <c r="E2654" s="171">
        <f>IFERROR(__xludf.DUMMYFUNCTION("""COMPUTED_VALUE"""),43294.0)</f>
        <v>43294</v>
      </c>
      <c r="F2654" s="172">
        <f>IFERROR(__xludf.DUMMYFUNCTION("""COMPUTED_VALUE"""),43355.0)</f>
        <v>43355</v>
      </c>
      <c r="G2654" s="173"/>
      <c r="H2654" s="174">
        <f>IFERROR(__xludf.DUMMYFUNCTION("""COMPUTED_VALUE"""),79555.0)</f>
        <v>79555</v>
      </c>
      <c r="I2654" s="175"/>
      <c r="J2654" s="172">
        <f>IFERROR(__xludf.DUMMYFUNCTION("""COMPUTED_VALUE"""),43368.0)</f>
        <v>43368</v>
      </c>
      <c r="K2654" s="176">
        <f>IFERROR(__xludf.DUMMYFUNCTION("""COMPUTED_VALUE"""),61.0)</f>
        <v>61</v>
      </c>
      <c r="L2654" s="176">
        <f>IFERROR(__xludf.DUMMYFUNCTION("""COMPUTED_VALUE"""),13.0)</f>
        <v>13</v>
      </c>
      <c r="M2654" s="176">
        <f>IFERROR(__xludf.DUMMYFUNCTION("""COMPUTED_VALUE"""),74.0)</f>
        <v>74</v>
      </c>
      <c r="N2654" s="177" t="str">
        <f>IFERROR(__xludf.DUMMYFUNCTION("""COMPUTED_VALUE"""),"Model 3 Performance")</f>
        <v>Model 3 Performance</v>
      </c>
      <c r="O2654" s="177" t="str">
        <f>IFERROR(__xludf.DUMMYFUNCTION("""COMPUTED_VALUE"""),"Silver Metallic")</f>
        <v>Silver Metallic</v>
      </c>
      <c r="P2654" s="178" t="str">
        <f>IFERROR(__xludf.DUMMYFUNCTION("""COMPUTED_VALUE"""),"20 inch Sport")</f>
        <v>20 inch Sport</v>
      </c>
      <c r="Q2654" s="177" t="str">
        <f>IFERROR(__xludf.DUMMYFUNCTION("""COMPUTED_VALUE"""),"White seats")</f>
        <v>White seats</v>
      </c>
      <c r="R2654" s="170" t="str">
        <f>IFERROR(__xludf.DUMMYFUNCTION("""COMPUTED_VALUE"""),"Enhanced Autopilot")</f>
        <v>Enhanced Autopilot</v>
      </c>
      <c r="S2654" s="170"/>
      <c r="T2654" s="179"/>
      <c r="U2654" s="179"/>
      <c r="V2654" s="179"/>
      <c r="W2654" s="180"/>
      <c r="X2654" s="181" t="str">
        <f>IFERROR(__xludf.DUMMYFUNCTION("""COMPUTED_VALUE"""),"Excellent")</f>
        <v>Excellent</v>
      </c>
      <c r="Y2654" s="182" t="str">
        <f>IFERROR(__xludf.DUMMYFUNCTION("""COMPUTED_VALUE"""),"Excellent")</f>
        <v>Excellent</v>
      </c>
      <c r="Z2654" s="182" t="str">
        <f>IFERROR(__xludf.DUMMYFUNCTION("""COMPUTED_VALUE"""),"Excellent")</f>
        <v>Excellent</v>
      </c>
      <c r="AA2654" s="182" t="str">
        <f>IFERROR(__xludf.DUMMYFUNCTION("""COMPUTED_VALUE"""),"Very Good")</f>
        <v>Very Good</v>
      </c>
      <c r="AB2654" s="182" t="str">
        <f>IFERROR(__xludf.DUMMYFUNCTION("""COMPUTED_VALUE"""),"Very Good")</f>
        <v>Very Good</v>
      </c>
      <c r="AC2654" s="183">
        <f>IFERROR(__xludf.DUMMYFUNCTION("""COMPUTED_VALUE"""),2.0)</f>
        <v>2</v>
      </c>
      <c r="AD2654" s="183">
        <f>IFERROR(__xludf.DUMMYFUNCTION("""COMPUTED_VALUE"""),0.0)</f>
        <v>0</v>
      </c>
      <c r="AE2654" s="183">
        <f>IFERROR(__xludf.DUMMYFUNCTION("""COMPUTED_VALUE"""),0.0)</f>
        <v>0</v>
      </c>
      <c r="AF2654" s="184"/>
      <c r="AG2654" s="180"/>
      <c r="AH2654" s="185">
        <f>IFERROR(__xludf.DUMMYFUNCTION("""COMPUTED_VALUE"""),43369.94900071759)</f>
        <v>43369.949</v>
      </c>
      <c r="AI2654" s="182"/>
      <c r="AJ2654" s="182"/>
      <c r="AK2654" s="182"/>
      <c r="AL2654" s="182"/>
    </row>
    <row r="2655" ht="20.25" customHeight="1">
      <c r="A2655" s="169" t="str">
        <f>IFERROR(__xludf.DUMMYFUNCTION("""COMPUTED_VALUE"""),"Pied")</f>
        <v>Pied</v>
      </c>
      <c r="B2655" s="170" t="str">
        <f>IFERROR(__xludf.DUMMYFUNCTION("""COMPUTED_VALUE"""),"Bay Area")</f>
        <v>Bay Area</v>
      </c>
      <c r="C2655" s="170" t="str">
        <f>IFERROR(__xludf.DUMMYFUNCTION("""COMPUTED_VALUE"""),"CA")</f>
        <v>CA</v>
      </c>
      <c r="D2655" s="170" t="str">
        <f>IFERROR(__xludf.DUMMYFUNCTION("""COMPUTED_VALUE"""),"USA")</f>
        <v>USA</v>
      </c>
      <c r="E2655" s="171">
        <f>IFERROR(__xludf.DUMMYFUNCTION("""COMPUTED_VALUE"""),43294.0)</f>
        <v>43294</v>
      </c>
      <c r="F2655" s="172">
        <f>IFERROR(__xludf.DUMMYFUNCTION("""COMPUTED_VALUE"""),43346.0)</f>
        <v>43346</v>
      </c>
      <c r="G2655" s="173"/>
      <c r="H2655" s="174">
        <f>IFERROR(__xludf.DUMMYFUNCTION("""COMPUTED_VALUE"""),112455.0)</f>
        <v>112455</v>
      </c>
      <c r="I2655" s="175" t="str">
        <f>IFERROR(__xludf.DUMMYFUNCTION("""COMPUTED_VALUE"""),"09/18")</f>
        <v>09/18</v>
      </c>
      <c r="J2655" s="172">
        <f>IFERROR(__xludf.DUMMYFUNCTION("""COMPUTED_VALUE"""),43371.0)</f>
        <v>43371</v>
      </c>
      <c r="K2655" s="176">
        <f>IFERROR(__xludf.DUMMYFUNCTION("""COMPUTED_VALUE"""),52.0)</f>
        <v>52</v>
      </c>
      <c r="L2655" s="176">
        <f>IFERROR(__xludf.DUMMYFUNCTION("""COMPUTED_VALUE"""),25.0)</f>
        <v>25</v>
      </c>
      <c r="M2655" s="176">
        <f>IFERROR(__xludf.DUMMYFUNCTION("""COMPUTED_VALUE"""),77.0)</f>
        <v>77</v>
      </c>
      <c r="N2655" s="177" t="str">
        <f>IFERROR(__xludf.DUMMYFUNCTION("""COMPUTED_VALUE"""),"Model 3 LR AWD")</f>
        <v>Model 3 LR AWD</v>
      </c>
      <c r="O2655" s="177" t="str">
        <f>IFERROR(__xludf.DUMMYFUNCTION("""COMPUTED_VALUE"""),"Midnight Silver Metallic")</f>
        <v>Midnight Silver Metallic</v>
      </c>
      <c r="P2655" s="178" t="str">
        <f>IFERROR(__xludf.DUMMYFUNCTION("""COMPUTED_VALUE"""),"18 inch Aero")</f>
        <v>18 inch Aero</v>
      </c>
      <c r="Q2655" s="177" t="str">
        <f>IFERROR(__xludf.DUMMYFUNCTION("""COMPUTED_VALUE"""),"Black seats")</f>
        <v>Black seats</v>
      </c>
      <c r="R2655" s="170" t="str">
        <f>IFERROR(__xludf.DUMMYFUNCTION("""COMPUTED_VALUE"""),"None")</f>
        <v>None</v>
      </c>
      <c r="S2655" s="170"/>
      <c r="T2655" s="179"/>
      <c r="U2655" s="179"/>
      <c r="V2655" s="179"/>
      <c r="W2655" s="180"/>
      <c r="X2655" s="181" t="str">
        <f>IFERROR(__xludf.DUMMYFUNCTION("""COMPUTED_VALUE"""),"Excellent")</f>
        <v>Excellent</v>
      </c>
      <c r="Y2655" s="182" t="str">
        <f>IFERROR(__xludf.DUMMYFUNCTION("""COMPUTED_VALUE"""),"Excellent")</f>
        <v>Excellent</v>
      </c>
      <c r="Z2655" s="182" t="str">
        <f>IFERROR(__xludf.DUMMYFUNCTION("""COMPUTED_VALUE"""),"Excellent")</f>
        <v>Excellent</v>
      </c>
      <c r="AA2655" s="182" t="str">
        <f>IFERROR(__xludf.DUMMYFUNCTION("""COMPUTED_VALUE"""),"Excellent")</f>
        <v>Excellent</v>
      </c>
      <c r="AB2655" s="182" t="str">
        <f>IFERROR(__xludf.DUMMYFUNCTION("""COMPUTED_VALUE"""),"Excellent")</f>
        <v>Excellent</v>
      </c>
      <c r="AC2655" s="183"/>
      <c r="AD2655" s="183"/>
      <c r="AE2655" s="183"/>
      <c r="AF2655" s="184"/>
      <c r="AG2655" s="180"/>
      <c r="AH2655" s="185">
        <f>IFERROR(__xludf.DUMMYFUNCTION("""COMPUTED_VALUE"""),43385.31865768518)</f>
        <v>43385.31866</v>
      </c>
      <c r="AI2655" s="182"/>
      <c r="AJ2655" s="182"/>
      <c r="AK2655" s="182"/>
      <c r="AL2655" s="182"/>
    </row>
    <row r="2656" ht="20.25" customHeight="1">
      <c r="A2656" s="169" t="str">
        <f>IFERROR(__xludf.DUMMYFUNCTION("""COMPUTED_VALUE"""),"puglet")</f>
        <v>puglet</v>
      </c>
      <c r="B2656" s="170" t="str">
        <f>IFERROR(__xludf.DUMMYFUNCTION("""COMPUTED_VALUE"""),"Tempe")</f>
        <v>Tempe</v>
      </c>
      <c r="C2656" s="170" t="str">
        <f>IFERROR(__xludf.DUMMYFUNCTION("""COMPUTED_VALUE"""),"AZ")</f>
        <v>AZ</v>
      </c>
      <c r="D2656" s="170" t="str">
        <f>IFERROR(__xludf.DUMMYFUNCTION("""COMPUTED_VALUE"""),"USA")</f>
        <v>USA</v>
      </c>
      <c r="E2656" s="171">
        <f>IFERROR(__xludf.DUMMYFUNCTION("""COMPUTED_VALUE"""),43294.0)</f>
        <v>43294</v>
      </c>
      <c r="F2656" s="172">
        <f>IFERROR(__xludf.DUMMYFUNCTION("""COMPUTED_VALUE"""),43334.0)</f>
        <v>43334</v>
      </c>
      <c r="G2656" s="173"/>
      <c r="H2656" s="174">
        <f>IFERROR(__xludf.DUMMYFUNCTION("""COMPUTED_VALUE"""),96455.0)</f>
        <v>96455</v>
      </c>
      <c r="I2656" s="175" t="str">
        <f>IFERROR(__xludf.DUMMYFUNCTION("""COMPUTED_VALUE"""),"08/18")</f>
        <v>08/18</v>
      </c>
      <c r="J2656" s="172">
        <f>IFERROR(__xludf.DUMMYFUNCTION("""COMPUTED_VALUE"""),43341.0)</f>
        <v>43341</v>
      </c>
      <c r="K2656" s="176">
        <f>IFERROR(__xludf.DUMMYFUNCTION("""COMPUTED_VALUE"""),40.0)</f>
        <v>40</v>
      </c>
      <c r="L2656" s="176">
        <f>IFERROR(__xludf.DUMMYFUNCTION("""COMPUTED_VALUE"""),7.0)</f>
        <v>7</v>
      </c>
      <c r="M2656" s="176">
        <f>IFERROR(__xludf.DUMMYFUNCTION("""COMPUTED_VALUE"""),47.0)</f>
        <v>47</v>
      </c>
      <c r="N2656" s="177" t="str">
        <f>IFERROR(__xludf.DUMMYFUNCTION("""COMPUTED_VALUE"""),"Model 3 LR AWD")</f>
        <v>Model 3 LR AWD</v>
      </c>
      <c r="O2656" s="177" t="str">
        <f>IFERROR(__xludf.DUMMYFUNCTION("""COMPUTED_VALUE"""),"Deep Blue Metallic")</f>
        <v>Deep Blue Metallic</v>
      </c>
      <c r="P2656" s="178" t="str">
        <f>IFERROR(__xludf.DUMMYFUNCTION("""COMPUTED_VALUE"""),"18 inch Aero")</f>
        <v>18 inch Aero</v>
      </c>
      <c r="Q2656" s="177" t="str">
        <f>IFERROR(__xludf.DUMMYFUNCTION("""COMPUTED_VALUE"""),"White seats")</f>
        <v>White seats</v>
      </c>
      <c r="R2656" s="170" t="str">
        <f>IFERROR(__xludf.DUMMYFUNCTION("""COMPUTED_VALUE"""),"Enhanced Autopilot")</f>
        <v>Enhanced Autopilot</v>
      </c>
      <c r="S2656" s="170"/>
      <c r="T2656" s="179"/>
      <c r="U2656" s="179"/>
      <c r="V2656" s="179"/>
      <c r="W2656" s="180"/>
      <c r="X2656" s="181" t="str">
        <f>IFERROR(__xludf.DUMMYFUNCTION("""COMPUTED_VALUE"""),"Excellent")</f>
        <v>Excellent</v>
      </c>
      <c r="Y2656" s="182" t="str">
        <f>IFERROR(__xludf.DUMMYFUNCTION("""COMPUTED_VALUE"""),"Excellent")</f>
        <v>Excellent</v>
      </c>
      <c r="Z2656" s="182" t="str">
        <f>IFERROR(__xludf.DUMMYFUNCTION("""COMPUTED_VALUE"""),"Good")</f>
        <v>Good</v>
      </c>
      <c r="AA2656" s="182" t="str">
        <f>IFERROR(__xludf.DUMMYFUNCTION("""COMPUTED_VALUE"""),"Good")</f>
        <v>Good</v>
      </c>
      <c r="AB2656" s="182" t="str">
        <f>IFERROR(__xludf.DUMMYFUNCTION("""COMPUTED_VALUE"""),"Good")</f>
        <v>Good</v>
      </c>
      <c r="AC2656" s="183">
        <f>IFERROR(__xludf.DUMMYFUNCTION("""COMPUTED_VALUE"""),0.0)</f>
        <v>0</v>
      </c>
      <c r="AD2656" s="183"/>
      <c r="AE2656" s="183"/>
      <c r="AF2656" s="184"/>
      <c r="AG2656" s="180" t="str">
        <f>IFERROR(__xludf.DUMMYFUNCTION("""COMPUTED_VALUE"""),"Edit button went away on 19 August 2018")</f>
        <v>Edit button went away on 19 August 2018</v>
      </c>
      <c r="AH2656" s="185">
        <f>IFERROR(__xludf.DUMMYFUNCTION("""COMPUTED_VALUE"""),43345.64212318287)</f>
        <v>43345.64212</v>
      </c>
      <c r="AI2656" s="182"/>
      <c r="AJ2656" s="182"/>
      <c r="AK2656" s="182"/>
      <c r="AL2656" s="182"/>
    </row>
    <row r="2657" ht="20.25" customHeight="1">
      <c r="A2657" s="169" t="str">
        <f>IFERROR(__xludf.DUMMYFUNCTION("""COMPUTED_VALUE"""),"dragonsurge")</f>
        <v>dragonsurge</v>
      </c>
      <c r="B2657" s="170"/>
      <c r="C2657" s="170" t="str">
        <f>IFERROR(__xludf.DUMMYFUNCTION("""COMPUTED_VALUE"""),"NH")</f>
        <v>NH</v>
      </c>
      <c r="D2657" s="170" t="str">
        <f>IFERROR(__xludf.DUMMYFUNCTION("""COMPUTED_VALUE"""),"USA")</f>
        <v>USA</v>
      </c>
      <c r="E2657" s="171">
        <f>IFERROR(__xludf.DUMMYFUNCTION("""COMPUTED_VALUE"""),43293.0)</f>
        <v>43293</v>
      </c>
      <c r="F2657" s="172">
        <f>IFERROR(__xludf.DUMMYFUNCTION("""COMPUTED_VALUE"""),43395.0)</f>
        <v>43395</v>
      </c>
      <c r="G2657" s="173"/>
      <c r="H2657" s="174">
        <f>IFERROR(__xludf.DUMMYFUNCTION("""COMPUTED_VALUE"""),111455.0)</f>
        <v>111455</v>
      </c>
      <c r="I2657" s="175"/>
      <c r="J2657" s="172">
        <f>IFERROR(__xludf.DUMMYFUNCTION("""COMPUTED_VALUE"""),43405.0)</f>
        <v>43405</v>
      </c>
      <c r="K2657" s="176">
        <f>IFERROR(__xludf.DUMMYFUNCTION("""COMPUTED_VALUE"""),102.0)</f>
        <v>102</v>
      </c>
      <c r="L2657" s="176">
        <f>IFERROR(__xludf.DUMMYFUNCTION("""COMPUTED_VALUE"""),10.0)</f>
        <v>10</v>
      </c>
      <c r="M2657" s="176">
        <f>IFERROR(__xludf.DUMMYFUNCTION("""COMPUTED_VALUE"""),112.0)</f>
        <v>112</v>
      </c>
      <c r="N2657" s="177" t="str">
        <f>IFERROR(__xludf.DUMMYFUNCTION("""COMPUTED_VALUE"""),"Model 3 LR AWD")</f>
        <v>Model 3 LR AWD</v>
      </c>
      <c r="O2657" s="177" t="str">
        <f>IFERROR(__xludf.DUMMYFUNCTION("""COMPUTED_VALUE"""),"Red Multi-Coat")</f>
        <v>Red Multi-Coat</v>
      </c>
      <c r="P2657" s="178" t="str">
        <f>IFERROR(__xludf.DUMMYFUNCTION("""COMPUTED_VALUE"""),"19 inch Sport")</f>
        <v>19 inch Sport</v>
      </c>
      <c r="Q2657" s="177" t="str">
        <f>IFERROR(__xludf.DUMMYFUNCTION("""COMPUTED_VALUE"""),"Black seats")</f>
        <v>Black seats</v>
      </c>
      <c r="R2657" s="170" t="str">
        <f>IFERROR(__xludf.DUMMYFUNCTION("""COMPUTED_VALUE"""),"None")</f>
        <v>None</v>
      </c>
      <c r="S2657" s="170"/>
      <c r="T2657" s="179"/>
      <c r="U2657" s="179"/>
      <c r="V2657" s="179"/>
      <c r="W2657" s="180"/>
      <c r="X2657" s="181" t="str">
        <f>IFERROR(__xludf.DUMMYFUNCTION("""COMPUTED_VALUE"""),"Excellent")</f>
        <v>Excellent</v>
      </c>
      <c r="Y2657" s="182" t="str">
        <f>IFERROR(__xludf.DUMMYFUNCTION("""COMPUTED_VALUE"""),"Excellent")</f>
        <v>Excellent</v>
      </c>
      <c r="Z2657" s="182" t="str">
        <f>IFERROR(__xludf.DUMMYFUNCTION("""COMPUTED_VALUE"""),"Excellent")</f>
        <v>Excellent</v>
      </c>
      <c r="AA2657" s="182" t="str">
        <f>IFERROR(__xludf.DUMMYFUNCTION("""COMPUTED_VALUE"""),"Poor")</f>
        <v>Poor</v>
      </c>
      <c r="AB2657" s="182" t="str">
        <f>IFERROR(__xludf.DUMMYFUNCTION("""COMPUTED_VALUE"""),"Fair")</f>
        <v>Fair</v>
      </c>
      <c r="AC2657" s="183"/>
      <c r="AD2657" s="183"/>
      <c r="AE2657" s="183"/>
      <c r="AF2657" s="184"/>
      <c r="AG2657" s="180"/>
      <c r="AH2657" s="185">
        <f>IFERROR(__xludf.DUMMYFUNCTION("""COMPUTED_VALUE"""),43408.67720689815)</f>
        <v>43408.67721</v>
      </c>
      <c r="AI2657" s="182"/>
      <c r="AJ2657" s="182"/>
      <c r="AK2657" s="182"/>
      <c r="AL2657" s="182"/>
    </row>
    <row r="2658" ht="20.25" customHeight="1">
      <c r="A2658" s="169" t="str">
        <f>IFERROR(__xludf.DUMMYFUNCTION("""COMPUTED_VALUE"""),"franc210")</f>
        <v>franc210</v>
      </c>
      <c r="B2658" s="170" t="str">
        <f>IFERROR(__xludf.DUMMYFUNCTION("""COMPUTED_VALUE"""),"Long Island")</f>
        <v>Long Island</v>
      </c>
      <c r="C2658" s="170" t="str">
        <f>IFERROR(__xludf.DUMMYFUNCTION("""COMPUTED_VALUE"""),"NY")</f>
        <v>NY</v>
      </c>
      <c r="D2658" s="170" t="str">
        <f>IFERROR(__xludf.DUMMYFUNCTION("""COMPUTED_VALUE"""),"USA")</f>
        <v>USA</v>
      </c>
      <c r="E2658" s="171">
        <f>IFERROR(__xludf.DUMMYFUNCTION("""COMPUTED_VALUE"""),43293.0)</f>
        <v>43293</v>
      </c>
      <c r="F2658" s="172">
        <f>IFERROR(__xludf.DUMMYFUNCTION("""COMPUTED_VALUE"""),43363.0)</f>
        <v>43363</v>
      </c>
      <c r="G2658" s="173"/>
      <c r="H2658" s="174">
        <f>IFERROR(__xludf.DUMMYFUNCTION("""COMPUTED_VALUE"""),86918.0)</f>
        <v>86918</v>
      </c>
      <c r="I2658" s="175" t="str">
        <f>IFERROR(__xludf.DUMMYFUNCTION("""COMPUTED_VALUE"""),"09/18")</f>
        <v>09/18</v>
      </c>
      <c r="J2658" s="172">
        <f>IFERROR(__xludf.DUMMYFUNCTION("""COMPUTED_VALUE"""),43370.0)</f>
        <v>43370</v>
      </c>
      <c r="K2658" s="176">
        <f>IFERROR(__xludf.DUMMYFUNCTION("""COMPUTED_VALUE"""),70.0)</f>
        <v>70</v>
      </c>
      <c r="L2658" s="176">
        <f>IFERROR(__xludf.DUMMYFUNCTION("""COMPUTED_VALUE"""),7.0)</f>
        <v>7</v>
      </c>
      <c r="M2658" s="176">
        <f>IFERROR(__xludf.DUMMYFUNCTION("""COMPUTED_VALUE"""),77.0)</f>
        <v>77</v>
      </c>
      <c r="N2658" s="177" t="str">
        <f>IFERROR(__xludf.DUMMYFUNCTION("""COMPUTED_VALUE"""),"Model 3 LR AWD")</f>
        <v>Model 3 LR AWD</v>
      </c>
      <c r="O2658" s="177" t="str">
        <f>IFERROR(__xludf.DUMMYFUNCTION("""COMPUTED_VALUE"""),"Midnight Silver Metallic")</f>
        <v>Midnight Silver Metallic</v>
      </c>
      <c r="P2658" s="178" t="str">
        <f>IFERROR(__xludf.DUMMYFUNCTION("""COMPUTED_VALUE"""),"18 inch Aero")</f>
        <v>18 inch Aero</v>
      </c>
      <c r="Q2658" s="177" t="str">
        <f>IFERROR(__xludf.DUMMYFUNCTION("""COMPUTED_VALUE"""),"Black seats")</f>
        <v>Black seats</v>
      </c>
      <c r="R2658" s="170" t="str">
        <f>IFERROR(__xludf.DUMMYFUNCTION("""COMPUTED_VALUE"""),"Enhanced Autopilot")</f>
        <v>Enhanced Autopilot</v>
      </c>
      <c r="S2658" s="170"/>
      <c r="T2658" s="179"/>
      <c r="U2658" s="179"/>
      <c r="V2658" s="179"/>
      <c r="W2658" s="180"/>
      <c r="X2658" s="181" t="str">
        <f>IFERROR(__xludf.DUMMYFUNCTION("""COMPUTED_VALUE"""),"Excellent")</f>
        <v>Excellent</v>
      </c>
      <c r="Y2658" s="182" t="str">
        <f>IFERROR(__xludf.DUMMYFUNCTION("""COMPUTED_VALUE"""),"Excellent")</f>
        <v>Excellent</v>
      </c>
      <c r="Z2658" s="182" t="str">
        <f>IFERROR(__xludf.DUMMYFUNCTION("""COMPUTED_VALUE"""),"Excellent")</f>
        <v>Excellent</v>
      </c>
      <c r="AA2658" s="182" t="str">
        <f>IFERROR(__xludf.DUMMYFUNCTION("""COMPUTED_VALUE"""),"Very Good")</f>
        <v>Very Good</v>
      </c>
      <c r="AB2658" s="182" t="str">
        <f>IFERROR(__xludf.DUMMYFUNCTION("""COMPUTED_VALUE"""),"Good")</f>
        <v>Good</v>
      </c>
      <c r="AC2658" s="183"/>
      <c r="AD2658" s="183"/>
      <c r="AE2658" s="183"/>
      <c r="AF2658" s="184"/>
      <c r="AG2658" s="180"/>
      <c r="AH2658" s="185">
        <f>IFERROR(__xludf.DUMMYFUNCTION("""COMPUTED_VALUE"""),43375.85424314815)</f>
        <v>43375.85424</v>
      </c>
      <c r="AI2658" s="182"/>
      <c r="AJ2658" s="182"/>
      <c r="AK2658" s="182"/>
      <c r="AL2658" s="182"/>
    </row>
    <row r="2659" ht="20.25" customHeight="1">
      <c r="A2659" s="169" t="str">
        <f>IFERROR(__xludf.DUMMYFUNCTION("""COMPUTED_VALUE"""),"GadgetMan")</f>
        <v>GadgetMan</v>
      </c>
      <c r="B2659" s="170" t="str">
        <f>IFERROR(__xludf.DUMMYFUNCTION("""COMPUTED_VALUE"""),"Cherry Hill")</f>
        <v>Cherry Hill</v>
      </c>
      <c r="C2659" s="170" t="str">
        <f>IFERROR(__xludf.DUMMYFUNCTION("""COMPUTED_VALUE"""),"NJ")</f>
        <v>NJ</v>
      </c>
      <c r="D2659" s="170" t="str">
        <f>IFERROR(__xludf.DUMMYFUNCTION("""COMPUTED_VALUE"""),"USA")</f>
        <v>USA</v>
      </c>
      <c r="E2659" s="171">
        <f>IFERROR(__xludf.DUMMYFUNCTION("""COMPUTED_VALUE"""),43293.0)</f>
        <v>43293</v>
      </c>
      <c r="F2659" s="172">
        <f>IFERROR(__xludf.DUMMYFUNCTION("""COMPUTED_VALUE"""),43348.0)</f>
        <v>43348</v>
      </c>
      <c r="G2659" s="173"/>
      <c r="H2659" s="174">
        <f>IFERROR(__xludf.DUMMYFUNCTION("""COMPUTED_VALUE"""),69255.0)</f>
        <v>69255</v>
      </c>
      <c r="I2659" s="175" t="str">
        <f>IFERROR(__xludf.DUMMYFUNCTION("""COMPUTED_VALUE"""),"08/18")</f>
        <v>08/18</v>
      </c>
      <c r="J2659" s="172">
        <f>IFERROR(__xludf.DUMMYFUNCTION("""COMPUTED_VALUE"""),43362.0)</f>
        <v>43362</v>
      </c>
      <c r="K2659" s="176">
        <f>IFERROR(__xludf.DUMMYFUNCTION("""COMPUTED_VALUE"""),55.0)</f>
        <v>55</v>
      </c>
      <c r="L2659" s="176">
        <f>IFERROR(__xludf.DUMMYFUNCTION("""COMPUTED_VALUE"""),14.0)</f>
        <v>14</v>
      </c>
      <c r="M2659" s="176">
        <f>IFERROR(__xludf.DUMMYFUNCTION("""COMPUTED_VALUE"""),69.0)</f>
        <v>69</v>
      </c>
      <c r="N2659" s="177" t="str">
        <f>IFERROR(__xludf.DUMMYFUNCTION("""COMPUTED_VALUE"""),"Model 3 LR AWD")</f>
        <v>Model 3 LR AWD</v>
      </c>
      <c r="O2659" s="177" t="str">
        <f>IFERROR(__xludf.DUMMYFUNCTION("""COMPUTED_VALUE"""),"Silver Metallic")</f>
        <v>Silver Metallic</v>
      </c>
      <c r="P2659" s="178" t="str">
        <f>IFERROR(__xludf.DUMMYFUNCTION("""COMPUTED_VALUE"""),"19 inch Sport")</f>
        <v>19 inch Sport</v>
      </c>
      <c r="Q2659" s="177" t="str">
        <f>IFERROR(__xludf.DUMMYFUNCTION("""COMPUTED_VALUE"""),"Black seats")</f>
        <v>Black seats</v>
      </c>
      <c r="R2659" s="170" t="str">
        <f>IFERROR(__xludf.DUMMYFUNCTION("""COMPUTED_VALUE"""),"Full Self-Driving")</f>
        <v>Full Self-Driving</v>
      </c>
      <c r="S2659" s="170"/>
      <c r="T2659" s="179"/>
      <c r="U2659" s="179"/>
      <c r="V2659" s="179"/>
      <c r="W2659" s="180"/>
      <c r="X2659" s="181" t="str">
        <f>IFERROR(__xludf.DUMMYFUNCTION("""COMPUTED_VALUE"""),"Excellent")</f>
        <v>Excellent</v>
      </c>
      <c r="Y2659" s="182" t="str">
        <f>IFERROR(__xludf.DUMMYFUNCTION("""COMPUTED_VALUE"""),"Excellent")</f>
        <v>Excellent</v>
      </c>
      <c r="Z2659" s="182" t="str">
        <f>IFERROR(__xludf.DUMMYFUNCTION("""COMPUTED_VALUE"""),"Excellent")</f>
        <v>Excellent</v>
      </c>
      <c r="AA2659" s="182" t="str">
        <f>IFERROR(__xludf.DUMMYFUNCTION("""COMPUTED_VALUE"""),"Excellent")</f>
        <v>Excellent</v>
      </c>
      <c r="AB2659" s="182" t="str">
        <f>IFERROR(__xludf.DUMMYFUNCTION("""COMPUTED_VALUE"""),"Excellent")</f>
        <v>Excellent</v>
      </c>
      <c r="AC2659" s="183"/>
      <c r="AD2659" s="183"/>
      <c r="AE2659" s="183"/>
      <c r="AF2659" s="184"/>
      <c r="AG2659" s="180"/>
      <c r="AH2659" s="185">
        <f>IFERROR(__xludf.DUMMYFUNCTION("""COMPUTED_VALUE"""),43362.45508175926)</f>
        <v>43362.45508</v>
      </c>
      <c r="AI2659" s="182"/>
      <c r="AJ2659" s="182"/>
      <c r="AK2659" s="182"/>
      <c r="AL2659" s="182"/>
    </row>
    <row r="2660" ht="20.25" customHeight="1">
      <c r="A2660" s="169" t="str">
        <f>IFERROR(__xludf.DUMMYFUNCTION("""COMPUTED_VALUE"""),"Jjr")</f>
        <v>Jjr</v>
      </c>
      <c r="B2660" s="170" t="str">
        <f>IFERROR(__xludf.DUMMYFUNCTION("""COMPUTED_VALUE"""),"Indianapolis")</f>
        <v>Indianapolis</v>
      </c>
      <c r="C2660" s="170" t="str">
        <f>IFERROR(__xludf.DUMMYFUNCTION("""COMPUTED_VALUE"""),"IN")</f>
        <v>IN</v>
      </c>
      <c r="D2660" s="170" t="str">
        <f>IFERROR(__xludf.DUMMYFUNCTION("""COMPUTED_VALUE"""),"USA")</f>
        <v>USA</v>
      </c>
      <c r="E2660" s="171">
        <f>IFERROR(__xludf.DUMMYFUNCTION("""COMPUTED_VALUE"""),43293.0)</f>
        <v>43293</v>
      </c>
      <c r="F2660" s="172">
        <f>IFERROR(__xludf.DUMMYFUNCTION("""COMPUTED_VALUE"""),43312.0)</f>
        <v>43312</v>
      </c>
      <c r="G2660" s="173"/>
      <c r="H2660" s="174">
        <f>IFERROR(__xludf.DUMMYFUNCTION("""COMPUTED_VALUE"""),54255.0)</f>
        <v>54255</v>
      </c>
      <c r="I2660" s="175" t="str">
        <f>IFERROR(__xludf.DUMMYFUNCTION("""COMPUTED_VALUE"""),"07/18")</f>
        <v>07/18</v>
      </c>
      <c r="J2660" s="172">
        <f>IFERROR(__xludf.DUMMYFUNCTION("""COMPUTED_VALUE"""),43333.0)</f>
        <v>43333</v>
      </c>
      <c r="K2660" s="176">
        <f>IFERROR(__xludf.DUMMYFUNCTION("""COMPUTED_VALUE"""),19.0)</f>
        <v>19</v>
      </c>
      <c r="L2660" s="176">
        <f>IFERROR(__xludf.DUMMYFUNCTION("""COMPUTED_VALUE"""),21.0)</f>
        <v>21</v>
      </c>
      <c r="M2660" s="176">
        <f>IFERROR(__xludf.DUMMYFUNCTION("""COMPUTED_VALUE"""),40.0)</f>
        <v>40</v>
      </c>
      <c r="N2660" s="177" t="str">
        <f>IFERROR(__xludf.DUMMYFUNCTION("""COMPUTED_VALUE"""),"Model 3 LR AWD")</f>
        <v>Model 3 LR AWD</v>
      </c>
      <c r="O2660" s="177" t="str">
        <f>IFERROR(__xludf.DUMMYFUNCTION("""COMPUTED_VALUE"""),"Midnight Silver Metallic")</f>
        <v>Midnight Silver Metallic</v>
      </c>
      <c r="P2660" s="178" t="str">
        <f>IFERROR(__xludf.DUMMYFUNCTION("""COMPUTED_VALUE"""),"18 inch Aero")</f>
        <v>18 inch Aero</v>
      </c>
      <c r="Q2660" s="177" t="str">
        <f>IFERROR(__xludf.DUMMYFUNCTION("""COMPUTED_VALUE"""),"Black seats")</f>
        <v>Black seats</v>
      </c>
      <c r="R2660" s="170" t="str">
        <f>IFERROR(__xludf.DUMMYFUNCTION("""COMPUTED_VALUE"""),"Enhanced Autopilot")</f>
        <v>Enhanced Autopilot</v>
      </c>
      <c r="S2660" s="170"/>
      <c r="T2660" s="179"/>
      <c r="U2660" s="179"/>
      <c r="V2660" s="179"/>
      <c r="W2660" s="180"/>
      <c r="X2660" s="181" t="str">
        <f>IFERROR(__xludf.DUMMYFUNCTION("""COMPUTED_VALUE"""),"Very Good")</f>
        <v>Very Good</v>
      </c>
      <c r="Y2660" s="182" t="str">
        <f>IFERROR(__xludf.DUMMYFUNCTION("""COMPUTED_VALUE"""),"Excellent")</f>
        <v>Excellent</v>
      </c>
      <c r="Z2660" s="182" t="str">
        <f>IFERROR(__xludf.DUMMYFUNCTION("""COMPUTED_VALUE"""),"Excellent")</f>
        <v>Excellent</v>
      </c>
      <c r="AA2660" s="182" t="str">
        <f>IFERROR(__xludf.DUMMYFUNCTION("""COMPUTED_VALUE"""),"Very Good")</f>
        <v>Very Good</v>
      </c>
      <c r="AB2660" s="182" t="str">
        <f>IFERROR(__xludf.DUMMYFUNCTION("""COMPUTED_VALUE"""),"Very Good")</f>
        <v>Very Good</v>
      </c>
      <c r="AC2660" s="183">
        <f>IFERROR(__xludf.DUMMYFUNCTION("""COMPUTED_VALUE"""),0.0)</f>
        <v>0</v>
      </c>
      <c r="AD2660" s="183">
        <f>IFERROR(__xludf.DUMMYFUNCTION("""COMPUTED_VALUE"""),0.0)</f>
        <v>0</v>
      </c>
      <c r="AE2660" s="183">
        <f>IFERROR(__xludf.DUMMYFUNCTION("""COMPUTED_VALUE"""),0.0)</f>
        <v>0</v>
      </c>
      <c r="AF2660" s="184"/>
      <c r="AG2660" s="180" t="str">
        <f>IFERROR(__xludf.DUMMYFUNCTION("""COMPUTED_VALUE"""),"Day 1 linewaiter. Waited to configure for personal reasons (changing jobs) in summer 2018")</f>
        <v>Day 1 linewaiter. Waited to configure for personal reasons (changing jobs) in summer 2018</v>
      </c>
      <c r="AH2660" s="185">
        <f>IFERROR(__xludf.DUMMYFUNCTION("""COMPUTED_VALUE"""),43335.759606099535)</f>
        <v>43335.75961</v>
      </c>
      <c r="AI2660" s="182"/>
      <c r="AJ2660" s="182"/>
      <c r="AK2660" s="182"/>
      <c r="AL2660" s="182"/>
    </row>
    <row r="2661" ht="20.25" customHeight="1">
      <c r="A2661" s="169" t="str">
        <f>IFERROR(__xludf.DUMMYFUNCTION("""COMPUTED_VALUE"""),"Kermee")</f>
        <v>Kermee</v>
      </c>
      <c r="B2661" s="170" t="str">
        <f>IFERROR(__xludf.DUMMYFUNCTION("""COMPUTED_VALUE"""),"Bellevue")</f>
        <v>Bellevue</v>
      </c>
      <c r="C2661" s="170" t="str">
        <f>IFERROR(__xludf.DUMMYFUNCTION("""COMPUTED_VALUE"""),"WA")</f>
        <v>WA</v>
      </c>
      <c r="D2661" s="170" t="str">
        <f>IFERROR(__xludf.DUMMYFUNCTION("""COMPUTED_VALUE"""),"USA")</f>
        <v>USA</v>
      </c>
      <c r="E2661" s="171">
        <f>IFERROR(__xludf.DUMMYFUNCTION("""COMPUTED_VALUE"""),43293.0)</f>
        <v>43293</v>
      </c>
      <c r="F2661" s="172">
        <f>IFERROR(__xludf.DUMMYFUNCTION("""COMPUTED_VALUE"""),43328.0)</f>
        <v>43328</v>
      </c>
      <c r="G2661" s="173"/>
      <c r="H2661" s="174">
        <f>IFERROR(__xludf.DUMMYFUNCTION("""COMPUTED_VALUE"""),70555.0)</f>
        <v>70555</v>
      </c>
      <c r="I2661" s="175" t="str">
        <f>IFERROR(__xludf.DUMMYFUNCTION("""COMPUTED_VALUE"""),"08/18")</f>
        <v>08/18</v>
      </c>
      <c r="J2661" s="172">
        <f>IFERROR(__xludf.DUMMYFUNCTION("""COMPUTED_VALUE"""),43339.0)</f>
        <v>43339</v>
      </c>
      <c r="K2661" s="176">
        <f>IFERROR(__xludf.DUMMYFUNCTION("""COMPUTED_VALUE"""),35.0)</f>
        <v>35</v>
      </c>
      <c r="L2661" s="176">
        <f>IFERROR(__xludf.DUMMYFUNCTION("""COMPUTED_VALUE"""),11.0)</f>
        <v>11</v>
      </c>
      <c r="M2661" s="176">
        <f>IFERROR(__xludf.DUMMYFUNCTION("""COMPUTED_VALUE"""),46.0)</f>
        <v>46</v>
      </c>
      <c r="N2661" s="177" t="str">
        <f>IFERROR(__xludf.DUMMYFUNCTION("""COMPUTED_VALUE"""),"Model 3 LR AWD")</f>
        <v>Model 3 LR AWD</v>
      </c>
      <c r="O2661" s="177" t="str">
        <f>IFERROR(__xludf.DUMMYFUNCTION("""COMPUTED_VALUE"""),"Obsidian Black Metallic")</f>
        <v>Obsidian Black Metallic</v>
      </c>
      <c r="P2661" s="178" t="str">
        <f>IFERROR(__xludf.DUMMYFUNCTION("""COMPUTED_VALUE"""),"18 inch Aero")</f>
        <v>18 inch Aero</v>
      </c>
      <c r="Q2661" s="177" t="str">
        <f>IFERROR(__xludf.DUMMYFUNCTION("""COMPUTED_VALUE"""),"Black seats")</f>
        <v>Black seats</v>
      </c>
      <c r="R2661" s="170" t="str">
        <f>IFERROR(__xludf.DUMMYFUNCTION("""COMPUTED_VALUE"""),"Enhanced Autopilot")</f>
        <v>Enhanced Autopilot</v>
      </c>
      <c r="S2661" s="170"/>
      <c r="T2661" s="179"/>
      <c r="U2661" s="179"/>
      <c r="V2661" s="179"/>
      <c r="W2661" s="180"/>
      <c r="X2661" s="181" t="str">
        <f>IFERROR(__xludf.DUMMYFUNCTION("""COMPUTED_VALUE"""),"Very Good")</f>
        <v>Very Good</v>
      </c>
      <c r="Y2661" s="182" t="str">
        <f>IFERROR(__xludf.DUMMYFUNCTION("""COMPUTED_VALUE"""),"Very Good")</f>
        <v>Very Good</v>
      </c>
      <c r="Z2661" s="182" t="str">
        <f>IFERROR(__xludf.DUMMYFUNCTION("""COMPUTED_VALUE"""),"Very Good")</f>
        <v>Very Good</v>
      </c>
      <c r="AA2661" s="182" t="str">
        <f>IFERROR(__xludf.DUMMYFUNCTION("""COMPUTED_VALUE"""),"Very Good")</f>
        <v>Very Good</v>
      </c>
      <c r="AB2661" s="182" t="str">
        <f>IFERROR(__xludf.DUMMYFUNCTION("""COMPUTED_VALUE"""),"Very Good")</f>
        <v>Very Good</v>
      </c>
      <c r="AC2661" s="183">
        <f>IFERROR(__xludf.DUMMYFUNCTION("""COMPUTED_VALUE"""),0.0)</f>
        <v>0</v>
      </c>
      <c r="AD2661" s="183">
        <f>IFERROR(__xludf.DUMMYFUNCTION("""COMPUTED_VALUE"""),0.0)</f>
        <v>0</v>
      </c>
      <c r="AE2661" s="183">
        <f>IFERROR(__xludf.DUMMYFUNCTION("""COMPUTED_VALUE"""),0.0)</f>
        <v>0</v>
      </c>
      <c r="AF2661" s="184"/>
      <c r="AG2661" s="180"/>
      <c r="AH2661" s="185">
        <f>IFERROR(__xludf.DUMMYFUNCTION("""COMPUTED_VALUE"""),43360.75057321759)</f>
        <v>43360.75057</v>
      </c>
      <c r="AI2661" s="182"/>
      <c r="AJ2661" s="182"/>
      <c r="AK2661" s="182"/>
      <c r="AL2661" s="182"/>
    </row>
    <row r="2662" ht="20.25" customHeight="1">
      <c r="A2662" s="169" t="str">
        <f>IFERROR(__xludf.DUMMYFUNCTION("""COMPUTED_VALUE"""),"mike7801")</f>
        <v>mike7801</v>
      </c>
      <c r="B2662" s="170" t="str">
        <f>IFERROR(__xludf.DUMMYFUNCTION("""COMPUTED_VALUE"""),"Cincinnati")</f>
        <v>Cincinnati</v>
      </c>
      <c r="C2662" s="170" t="str">
        <f>IFERROR(__xludf.DUMMYFUNCTION("""COMPUTED_VALUE"""),"OH")</f>
        <v>OH</v>
      </c>
      <c r="D2662" s="170" t="str">
        <f>IFERROR(__xludf.DUMMYFUNCTION("""COMPUTED_VALUE"""),"USA")</f>
        <v>USA</v>
      </c>
      <c r="E2662" s="171">
        <f>IFERROR(__xludf.DUMMYFUNCTION("""COMPUTED_VALUE"""),43293.0)</f>
        <v>43293</v>
      </c>
      <c r="F2662" s="172">
        <f>IFERROR(__xludf.DUMMYFUNCTION("""COMPUTED_VALUE"""),43318.0)</f>
        <v>43318</v>
      </c>
      <c r="G2662" s="173"/>
      <c r="H2662" s="174">
        <f>IFERROR(__xludf.DUMMYFUNCTION("""COMPUTED_VALUE"""),68655.0)</f>
        <v>68655</v>
      </c>
      <c r="I2662" s="175" t="str">
        <f>IFERROR(__xludf.DUMMYFUNCTION("""COMPUTED_VALUE"""),"08/18")</f>
        <v>08/18</v>
      </c>
      <c r="J2662" s="172">
        <f>IFERROR(__xludf.DUMMYFUNCTION("""COMPUTED_VALUE"""),43335.0)</f>
        <v>43335</v>
      </c>
      <c r="K2662" s="176">
        <f>IFERROR(__xludf.DUMMYFUNCTION("""COMPUTED_VALUE"""),25.0)</f>
        <v>25</v>
      </c>
      <c r="L2662" s="176">
        <f>IFERROR(__xludf.DUMMYFUNCTION("""COMPUTED_VALUE"""),17.0)</f>
        <v>17</v>
      </c>
      <c r="M2662" s="176">
        <f>IFERROR(__xludf.DUMMYFUNCTION("""COMPUTED_VALUE"""),42.0)</f>
        <v>42</v>
      </c>
      <c r="N2662" s="177" t="str">
        <f>IFERROR(__xludf.DUMMYFUNCTION("""COMPUTED_VALUE"""),"Model 3 LR AWD")</f>
        <v>Model 3 LR AWD</v>
      </c>
      <c r="O2662" s="177" t="str">
        <f>IFERROR(__xludf.DUMMYFUNCTION("""COMPUTED_VALUE"""),"Midnight Silver Metallic")</f>
        <v>Midnight Silver Metallic</v>
      </c>
      <c r="P2662" s="178" t="str">
        <f>IFERROR(__xludf.DUMMYFUNCTION("""COMPUTED_VALUE"""),"19 inch Sport")</f>
        <v>19 inch Sport</v>
      </c>
      <c r="Q2662" s="177" t="str">
        <f>IFERROR(__xludf.DUMMYFUNCTION("""COMPUTED_VALUE"""),"Black seats")</f>
        <v>Black seats</v>
      </c>
      <c r="R2662" s="170" t="str">
        <f>IFERROR(__xludf.DUMMYFUNCTION("""COMPUTED_VALUE"""),"Enhanced Autopilot")</f>
        <v>Enhanced Autopilot</v>
      </c>
      <c r="S2662" s="170"/>
      <c r="T2662" s="179"/>
      <c r="U2662" s="179"/>
      <c r="V2662" s="179"/>
      <c r="W2662" s="180"/>
      <c r="X2662" s="181" t="str">
        <f>IFERROR(__xludf.DUMMYFUNCTION("""COMPUTED_VALUE"""),"Excellent")</f>
        <v>Excellent</v>
      </c>
      <c r="Y2662" s="182" t="str">
        <f>IFERROR(__xludf.DUMMYFUNCTION("""COMPUTED_VALUE"""),"Excellent")</f>
        <v>Excellent</v>
      </c>
      <c r="Z2662" s="182" t="str">
        <f>IFERROR(__xludf.DUMMYFUNCTION("""COMPUTED_VALUE"""),"Excellent")</f>
        <v>Excellent</v>
      </c>
      <c r="AA2662" s="182" t="str">
        <f>IFERROR(__xludf.DUMMYFUNCTION("""COMPUTED_VALUE"""),"Fair")</f>
        <v>Fair</v>
      </c>
      <c r="AB2662" s="182" t="str">
        <f>IFERROR(__xludf.DUMMYFUNCTION("""COMPUTED_VALUE"""),"Very Good")</f>
        <v>Very Good</v>
      </c>
      <c r="AC2662" s="183"/>
      <c r="AD2662" s="183"/>
      <c r="AE2662" s="183"/>
      <c r="AF2662" s="184"/>
      <c r="AG2662" s="180"/>
      <c r="AH2662" s="185">
        <f>IFERROR(__xludf.DUMMYFUNCTION("""COMPUTED_VALUE"""),43335.60115905092)</f>
        <v>43335.60116</v>
      </c>
      <c r="AI2662" s="182"/>
      <c r="AJ2662" s="182"/>
      <c r="AK2662" s="182"/>
      <c r="AL2662" s="182"/>
    </row>
    <row r="2663" ht="20.25" customHeight="1">
      <c r="A2663" s="169" t="str">
        <f>IFERROR(__xludf.DUMMYFUNCTION("""COMPUTED_VALUE"""),"Thistledown")</f>
        <v>Thistledown</v>
      </c>
      <c r="B2663" s="170" t="str">
        <f>IFERROR(__xludf.DUMMYFUNCTION("""COMPUTED_VALUE"""),"Austin")</f>
        <v>Austin</v>
      </c>
      <c r="C2663" s="170" t="str">
        <f>IFERROR(__xludf.DUMMYFUNCTION("""COMPUTED_VALUE"""),"TX")</f>
        <v>TX</v>
      </c>
      <c r="D2663" s="170" t="str">
        <f>IFERROR(__xludf.DUMMYFUNCTION("""COMPUTED_VALUE"""),"USA")</f>
        <v>USA</v>
      </c>
      <c r="E2663" s="171">
        <f>IFERROR(__xludf.DUMMYFUNCTION("""COMPUTED_VALUE"""),43293.0)</f>
        <v>43293</v>
      </c>
      <c r="F2663" s="172">
        <f>IFERROR(__xludf.DUMMYFUNCTION("""COMPUTED_VALUE"""),43345.0)</f>
        <v>43345</v>
      </c>
      <c r="G2663" s="173"/>
      <c r="H2663" s="174">
        <f>IFERROR(__xludf.DUMMYFUNCTION("""COMPUTED_VALUE"""),99555.0)</f>
        <v>99555</v>
      </c>
      <c r="I2663" s="175" t="str">
        <f>IFERROR(__xludf.DUMMYFUNCTION("""COMPUTED_VALUE"""),"08/18")</f>
        <v>08/18</v>
      </c>
      <c r="J2663" s="172">
        <f>IFERROR(__xludf.DUMMYFUNCTION("""COMPUTED_VALUE"""),43368.0)</f>
        <v>43368</v>
      </c>
      <c r="K2663" s="176">
        <f>IFERROR(__xludf.DUMMYFUNCTION("""COMPUTED_VALUE"""),52.0)</f>
        <v>52</v>
      </c>
      <c r="L2663" s="176">
        <f>IFERROR(__xludf.DUMMYFUNCTION("""COMPUTED_VALUE"""),23.0)</f>
        <v>23</v>
      </c>
      <c r="M2663" s="176">
        <f>IFERROR(__xludf.DUMMYFUNCTION("""COMPUTED_VALUE"""),75.0)</f>
        <v>75</v>
      </c>
      <c r="N2663" s="177" t="str">
        <f>IFERROR(__xludf.DUMMYFUNCTION("""COMPUTED_VALUE"""),"Model 3 Performance")</f>
        <v>Model 3 Performance</v>
      </c>
      <c r="O2663" s="177" t="str">
        <f>IFERROR(__xludf.DUMMYFUNCTION("""COMPUTED_VALUE"""),"Red Multi-Coat")</f>
        <v>Red Multi-Coat</v>
      </c>
      <c r="P2663" s="178" t="str">
        <f>IFERROR(__xludf.DUMMYFUNCTION("""COMPUTED_VALUE"""),"18 inch Aero")</f>
        <v>18 inch Aero</v>
      </c>
      <c r="Q2663" s="177" t="str">
        <f>IFERROR(__xludf.DUMMYFUNCTION("""COMPUTED_VALUE"""),"White seats")</f>
        <v>White seats</v>
      </c>
      <c r="R2663" s="170" t="str">
        <f>IFERROR(__xludf.DUMMYFUNCTION("""COMPUTED_VALUE"""),"Enhanced Autopilot")</f>
        <v>Enhanced Autopilot</v>
      </c>
      <c r="S2663" s="170"/>
      <c r="T2663" s="179"/>
      <c r="U2663" s="179"/>
      <c r="V2663" s="179"/>
      <c r="W2663" s="180"/>
      <c r="X2663" s="181" t="str">
        <f>IFERROR(__xludf.DUMMYFUNCTION("""COMPUTED_VALUE"""),"Excellent")</f>
        <v>Excellent</v>
      </c>
      <c r="Y2663" s="182" t="str">
        <f>IFERROR(__xludf.DUMMYFUNCTION("""COMPUTED_VALUE"""),"Excellent")</f>
        <v>Excellent</v>
      </c>
      <c r="Z2663" s="182" t="str">
        <f>IFERROR(__xludf.DUMMYFUNCTION("""COMPUTED_VALUE"""),"Excellent")</f>
        <v>Excellent</v>
      </c>
      <c r="AA2663" s="182" t="str">
        <f>IFERROR(__xludf.DUMMYFUNCTION("""COMPUTED_VALUE"""),"Excellent")</f>
        <v>Excellent</v>
      </c>
      <c r="AB2663" s="182" t="str">
        <f>IFERROR(__xludf.DUMMYFUNCTION("""COMPUTED_VALUE"""),"Very Good")</f>
        <v>Very Good</v>
      </c>
      <c r="AC2663" s="183"/>
      <c r="AD2663" s="183"/>
      <c r="AE2663" s="183"/>
      <c r="AF2663" s="184"/>
      <c r="AG2663" s="180"/>
      <c r="AH2663" s="185">
        <f>IFERROR(__xludf.DUMMYFUNCTION("""COMPUTED_VALUE"""),43368.50529585648)</f>
        <v>43368.5053</v>
      </c>
      <c r="AI2663" s="182"/>
      <c r="AJ2663" s="182"/>
      <c r="AK2663" s="182"/>
      <c r="AL2663" s="182"/>
    </row>
    <row r="2664" ht="20.25" customHeight="1">
      <c r="A2664" s="169" t="str">
        <f>IFERROR(__xludf.DUMMYFUNCTION("""COMPUTED_VALUE"""),"y3ac")</f>
        <v>y3ac</v>
      </c>
      <c r="B2664" s="170" t="str">
        <f>IFERROR(__xludf.DUMMYFUNCTION("""COMPUTED_VALUE"""),"Lehi")</f>
        <v>Lehi</v>
      </c>
      <c r="C2664" s="170" t="str">
        <f>IFERROR(__xludf.DUMMYFUNCTION("""COMPUTED_VALUE"""),"UT")</f>
        <v>UT</v>
      </c>
      <c r="D2664" s="170" t="str">
        <f>IFERROR(__xludf.DUMMYFUNCTION("""COMPUTED_VALUE"""),"USA")</f>
        <v>USA</v>
      </c>
      <c r="E2664" s="171">
        <f>IFERROR(__xludf.DUMMYFUNCTION("""COMPUTED_VALUE"""),43293.0)</f>
        <v>43293</v>
      </c>
      <c r="F2664" s="172">
        <f>IFERROR(__xludf.DUMMYFUNCTION("""COMPUTED_VALUE"""),43367.0)</f>
        <v>43367</v>
      </c>
      <c r="G2664" s="173"/>
      <c r="H2664" s="174">
        <f>IFERROR(__xludf.DUMMYFUNCTION("""COMPUTED_VALUE"""),104555.0)</f>
        <v>104555</v>
      </c>
      <c r="I2664" s="175"/>
      <c r="J2664" s="172">
        <f>IFERROR(__xludf.DUMMYFUNCTION("""COMPUTED_VALUE"""),43372.0)</f>
        <v>43372</v>
      </c>
      <c r="K2664" s="176">
        <f>IFERROR(__xludf.DUMMYFUNCTION("""COMPUTED_VALUE"""),74.0)</f>
        <v>74</v>
      </c>
      <c r="L2664" s="176">
        <f>IFERROR(__xludf.DUMMYFUNCTION("""COMPUTED_VALUE"""),5.0)</f>
        <v>5</v>
      </c>
      <c r="M2664" s="176">
        <f>IFERROR(__xludf.DUMMYFUNCTION("""COMPUTED_VALUE"""),79.0)</f>
        <v>79</v>
      </c>
      <c r="N2664" s="177" t="str">
        <f>IFERROR(__xludf.DUMMYFUNCTION("""COMPUTED_VALUE"""),"Model 3 LR AWD")</f>
        <v>Model 3 LR AWD</v>
      </c>
      <c r="O2664" s="177" t="str">
        <f>IFERROR(__xludf.DUMMYFUNCTION("""COMPUTED_VALUE"""),"Red Multi-Coat")</f>
        <v>Red Multi-Coat</v>
      </c>
      <c r="P2664" s="178" t="str">
        <f>IFERROR(__xludf.DUMMYFUNCTION("""COMPUTED_VALUE"""),"18 inch Aero")</f>
        <v>18 inch Aero</v>
      </c>
      <c r="Q2664" s="177" t="str">
        <f>IFERROR(__xludf.DUMMYFUNCTION("""COMPUTED_VALUE"""),"Black seats")</f>
        <v>Black seats</v>
      </c>
      <c r="R2664" s="170" t="str">
        <f>IFERROR(__xludf.DUMMYFUNCTION("""COMPUTED_VALUE"""),"Full Self-Driving")</f>
        <v>Full Self-Driving</v>
      </c>
      <c r="S2664" s="170"/>
      <c r="T2664" s="179"/>
      <c r="U2664" s="179"/>
      <c r="V2664" s="179"/>
      <c r="W2664" s="180"/>
      <c r="X2664" s="181" t="str">
        <f>IFERROR(__xludf.DUMMYFUNCTION("""COMPUTED_VALUE"""),"Excellent")</f>
        <v>Excellent</v>
      </c>
      <c r="Y2664" s="182" t="str">
        <f>IFERROR(__xludf.DUMMYFUNCTION("""COMPUTED_VALUE"""),"Excellent")</f>
        <v>Excellent</v>
      </c>
      <c r="Z2664" s="182" t="str">
        <f>IFERROR(__xludf.DUMMYFUNCTION("""COMPUTED_VALUE"""),"Excellent")</f>
        <v>Excellent</v>
      </c>
      <c r="AA2664" s="182" t="str">
        <f>IFERROR(__xludf.DUMMYFUNCTION("""COMPUTED_VALUE"""),"Fair")</f>
        <v>Fair</v>
      </c>
      <c r="AB2664" s="182" t="str">
        <f>IFERROR(__xludf.DUMMYFUNCTION("""COMPUTED_VALUE"""),"Excellent")</f>
        <v>Excellent</v>
      </c>
      <c r="AC2664" s="183">
        <f>IFERROR(__xludf.DUMMYFUNCTION("""COMPUTED_VALUE"""),1.0)</f>
        <v>1</v>
      </c>
      <c r="AD2664" s="183">
        <f>IFERROR(__xludf.DUMMYFUNCTION("""COMPUTED_VALUE"""),1.0)</f>
        <v>1</v>
      </c>
      <c r="AE2664" s="183"/>
      <c r="AF2664" s="184"/>
      <c r="AG2664" s="180" t="str">
        <f>IFERROR(__xludf.DUMMYFUNCTION("""COMPUTED_VALUE"""),"Aug 8, added FSD, estimate pushed back")</f>
        <v>Aug 8, added FSD, estimate pushed back</v>
      </c>
      <c r="AH2664" s="185">
        <f>IFERROR(__xludf.DUMMYFUNCTION("""COMPUTED_VALUE"""),43370.37625613426)</f>
        <v>43370.37626</v>
      </c>
      <c r="AI2664" s="182"/>
      <c r="AJ2664" s="182"/>
      <c r="AK2664" s="182"/>
      <c r="AL2664" s="182"/>
    </row>
    <row r="2665" ht="20.25" customHeight="1">
      <c r="A2665" s="169" t="str">
        <f>IFERROR(__xludf.DUMMYFUNCTION("""COMPUTED_VALUE"""),"zero_divide_1")</f>
        <v>zero_divide_1</v>
      </c>
      <c r="B2665" s="170" t="str">
        <f>IFERROR(__xludf.DUMMYFUNCTION("""COMPUTED_VALUE"""),"Murrieta")</f>
        <v>Murrieta</v>
      </c>
      <c r="C2665" s="170" t="str">
        <f>IFERROR(__xludf.DUMMYFUNCTION("""COMPUTED_VALUE"""),"CA")</f>
        <v>CA</v>
      </c>
      <c r="D2665" s="170" t="str">
        <f>IFERROR(__xludf.DUMMYFUNCTION("""COMPUTED_VALUE"""),"USA")</f>
        <v>USA</v>
      </c>
      <c r="E2665" s="171">
        <f>IFERROR(__xludf.DUMMYFUNCTION("""COMPUTED_VALUE"""),43293.0)</f>
        <v>43293</v>
      </c>
      <c r="F2665" s="172">
        <f>IFERROR(__xludf.DUMMYFUNCTION("""COMPUTED_VALUE"""),43316.0)</f>
        <v>43316</v>
      </c>
      <c r="G2665" s="173"/>
      <c r="H2665" s="174">
        <f>IFERROR(__xludf.DUMMYFUNCTION("""COMPUTED_VALUE"""),51355.0)</f>
        <v>51355</v>
      </c>
      <c r="I2665" s="175" t="str">
        <f>IFERROR(__xludf.DUMMYFUNCTION("""COMPUTED_VALUE"""),"08/18")</f>
        <v>08/18</v>
      </c>
      <c r="J2665" s="172">
        <f>IFERROR(__xludf.DUMMYFUNCTION("""COMPUTED_VALUE"""),43327.0)</f>
        <v>43327</v>
      </c>
      <c r="K2665" s="176">
        <f>IFERROR(__xludf.DUMMYFUNCTION("""COMPUTED_VALUE"""),23.0)</f>
        <v>23</v>
      </c>
      <c r="L2665" s="176">
        <f>IFERROR(__xludf.DUMMYFUNCTION("""COMPUTED_VALUE"""),11.0)</f>
        <v>11</v>
      </c>
      <c r="M2665" s="176">
        <f>IFERROR(__xludf.DUMMYFUNCTION("""COMPUTED_VALUE"""),34.0)</f>
        <v>34</v>
      </c>
      <c r="N2665" s="177" t="str">
        <f>IFERROR(__xludf.DUMMYFUNCTION("""COMPUTED_VALUE"""),"Model 3 LR")</f>
        <v>Model 3 LR</v>
      </c>
      <c r="O2665" s="177" t="str">
        <f>IFERROR(__xludf.DUMMYFUNCTION("""COMPUTED_VALUE"""),"Red Multi-Coat")</f>
        <v>Red Multi-Coat</v>
      </c>
      <c r="P2665" s="178" t="str">
        <f>IFERROR(__xludf.DUMMYFUNCTION("""COMPUTED_VALUE"""),"18 inch Aero")</f>
        <v>18 inch Aero</v>
      </c>
      <c r="Q2665" s="177" t="str">
        <f>IFERROR(__xludf.DUMMYFUNCTION("""COMPUTED_VALUE"""),"Black seats")</f>
        <v>Black seats</v>
      </c>
      <c r="R2665" s="170" t="str">
        <f>IFERROR(__xludf.DUMMYFUNCTION("""COMPUTED_VALUE"""),"Enhanced Autopilot")</f>
        <v>Enhanced Autopilot</v>
      </c>
      <c r="S2665" s="170"/>
      <c r="T2665" s="179"/>
      <c r="U2665" s="179"/>
      <c r="V2665" s="179"/>
      <c r="W2665" s="180"/>
      <c r="X2665" s="181" t="str">
        <f>IFERROR(__xludf.DUMMYFUNCTION("""COMPUTED_VALUE"""),"Very Good")</f>
        <v>Very Good</v>
      </c>
      <c r="Y2665" s="182" t="str">
        <f>IFERROR(__xludf.DUMMYFUNCTION("""COMPUTED_VALUE"""),"Excellent")</f>
        <v>Excellent</v>
      </c>
      <c r="Z2665" s="182" t="str">
        <f>IFERROR(__xludf.DUMMYFUNCTION("""COMPUTED_VALUE"""),"Excellent")</f>
        <v>Excellent</v>
      </c>
      <c r="AA2665" s="182" t="str">
        <f>IFERROR(__xludf.DUMMYFUNCTION("""COMPUTED_VALUE"""),"Excellent")</f>
        <v>Excellent</v>
      </c>
      <c r="AB2665" s="182" t="str">
        <f>IFERROR(__xludf.DUMMYFUNCTION("""COMPUTED_VALUE"""),"Excellent")</f>
        <v>Excellent</v>
      </c>
      <c r="AC2665" s="183">
        <f>IFERROR(__xludf.DUMMYFUNCTION("""COMPUTED_VALUE"""),1.0)</f>
        <v>1</v>
      </c>
      <c r="AD2665" s="183">
        <f>IFERROR(__xludf.DUMMYFUNCTION("""COMPUTED_VALUE"""),1.0)</f>
        <v>1</v>
      </c>
      <c r="AE2665" s="183">
        <f>IFERROR(__xludf.DUMMYFUNCTION("""COMPUTED_VALUE"""),1.0)</f>
        <v>1</v>
      </c>
      <c r="AF2665" s="184"/>
      <c r="AG2665" s="180"/>
      <c r="AH2665" s="185">
        <f>IFERROR(__xludf.DUMMYFUNCTION("""COMPUTED_VALUE"""),43337.79717533565)</f>
        <v>43337.79718</v>
      </c>
      <c r="AI2665" s="182"/>
      <c r="AJ2665" s="182"/>
      <c r="AK2665" s="182"/>
      <c r="AL2665" s="182"/>
    </row>
    <row r="2666" ht="20.25" customHeight="1">
      <c r="A2666" s="169" t="str">
        <f>IFERROR(__xludf.DUMMYFUNCTION("""COMPUTED_VALUE"""),"18aar")</f>
        <v>18aar</v>
      </c>
      <c r="B2666" s="170"/>
      <c r="C2666" s="170" t="str">
        <f>IFERROR(__xludf.DUMMYFUNCTION("""COMPUTED_VALUE"""),"MA")</f>
        <v>MA</v>
      </c>
      <c r="D2666" s="170" t="str">
        <f>IFERROR(__xludf.DUMMYFUNCTION("""COMPUTED_VALUE"""),"USA")</f>
        <v>USA</v>
      </c>
      <c r="E2666" s="171">
        <f>IFERROR(__xludf.DUMMYFUNCTION("""COMPUTED_VALUE"""),43292.0)</f>
        <v>43292</v>
      </c>
      <c r="F2666" s="172">
        <f>IFERROR(__xludf.DUMMYFUNCTION("""COMPUTED_VALUE"""),43416.0)</f>
        <v>43416</v>
      </c>
      <c r="G2666" s="173"/>
      <c r="H2666" s="174"/>
      <c r="I2666" s="175"/>
      <c r="J2666" s="172">
        <f>IFERROR(__xludf.DUMMYFUNCTION("""COMPUTED_VALUE"""),43420.0)</f>
        <v>43420</v>
      </c>
      <c r="K2666" s="176">
        <f>IFERROR(__xludf.DUMMYFUNCTION("""COMPUTED_VALUE"""),124.0)</f>
        <v>124</v>
      </c>
      <c r="L2666" s="176">
        <f>IFERROR(__xludf.DUMMYFUNCTION("""COMPUTED_VALUE"""),4.0)</f>
        <v>4</v>
      </c>
      <c r="M2666" s="176">
        <f>IFERROR(__xludf.DUMMYFUNCTION("""COMPUTED_VALUE"""),128.0)</f>
        <v>128</v>
      </c>
      <c r="N2666" s="177" t="str">
        <f>IFERROR(__xludf.DUMMYFUNCTION("""COMPUTED_VALUE"""),"Model 3 LR AWD")</f>
        <v>Model 3 LR AWD</v>
      </c>
      <c r="O2666" s="177" t="str">
        <f>IFERROR(__xludf.DUMMYFUNCTION("""COMPUTED_VALUE"""),"Deep Blue Metallic")</f>
        <v>Deep Blue Metallic</v>
      </c>
      <c r="P2666" s="178" t="str">
        <f>IFERROR(__xludf.DUMMYFUNCTION("""COMPUTED_VALUE"""),"18 inch Aero")</f>
        <v>18 inch Aero</v>
      </c>
      <c r="Q2666" s="177" t="str">
        <f>IFERROR(__xludf.DUMMYFUNCTION("""COMPUTED_VALUE"""),"Black seats")</f>
        <v>Black seats</v>
      </c>
      <c r="R2666" s="170" t="str">
        <f>IFERROR(__xludf.DUMMYFUNCTION("""COMPUTED_VALUE"""),"None")</f>
        <v>None</v>
      </c>
      <c r="S2666" s="170"/>
      <c r="T2666" s="179"/>
      <c r="U2666" s="179"/>
      <c r="V2666" s="179"/>
      <c r="W2666" s="180"/>
      <c r="X2666" s="181" t="str">
        <f>IFERROR(__xludf.DUMMYFUNCTION("""COMPUTED_VALUE"""),"Very Good")</f>
        <v>Very Good</v>
      </c>
      <c r="Y2666" s="182" t="str">
        <f>IFERROR(__xludf.DUMMYFUNCTION("""COMPUTED_VALUE"""),"Excellent")</f>
        <v>Excellent</v>
      </c>
      <c r="Z2666" s="182" t="str">
        <f>IFERROR(__xludf.DUMMYFUNCTION("""COMPUTED_VALUE"""),"Excellent")</f>
        <v>Excellent</v>
      </c>
      <c r="AA2666" s="182" t="str">
        <f>IFERROR(__xludf.DUMMYFUNCTION("""COMPUTED_VALUE"""),"Fair")</f>
        <v>Fair</v>
      </c>
      <c r="AB2666" s="182" t="str">
        <f>IFERROR(__xludf.DUMMYFUNCTION("""COMPUTED_VALUE"""),"Good")</f>
        <v>Good</v>
      </c>
      <c r="AC2666" s="183">
        <f>IFERROR(__xludf.DUMMYFUNCTION("""COMPUTED_VALUE"""),1.0)</f>
        <v>1</v>
      </c>
      <c r="AD2666" s="183"/>
      <c r="AE2666" s="183"/>
      <c r="AF2666" s="184"/>
      <c r="AG2666" s="180"/>
      <c r="AH2666" s="185">
        <f>IFERROR(__xludf.DUMMYFUNCTION("""COMPUTED_VALUE"""),43430.551378240736)</f>
        <v>43430.55138</v>
      </c>
      <c r="AI2666" s="182"/>
      <c r="AJ2666" s="182"/>
      <c r="AK2666" s="182"/>
      <c r="AL2666" s="182"/>
    </row>
    <row r="2667" ht="20.25" customHeight="1">
      <c r="A2667" s="169" t="str">
        <f>IFERROR(__xludf.DUMMYFUNCTION("""COMPUTED_VALUE"""),"abdhsc23")</f>
        <v>abdhsc23</v>
      </c>
      <c r="B2667" s="170" t="str">
        <f>IFERROR(__xludf.DUMMYFUNCTION("""COMPUTED_VALUE"""),"Los Angeles")</f>
        <v>Los Angeles</v>
      </c>
      <c r="C2667" s="170" t="str">
        <f>IFERROR(__xludf.DUMMYFUNCTION("""COMPUTED_VALUE"""),"CA")</f>
        <v>CA</v>
      </c>
      <c r="D2667" s="170" t="str">
        <f>IFERROR(__xludf.DUMMYFUNCTION("""COMPUTED_VALUE"""),"USA")</f>
        <v>USA</v>
      </c>
      <c r="E2667" s="171">
        <f>IFERROR(__xludf.DUMMYFUNCTION("""COMPUTED_VALUE"""),43292.0)</f>
        <v>43292</v>
      </c>
      <c r="F2667" s="172">
        <f>IFERROR(__xludf.DUMMYFUNCTION("""COMPUTED_VALUE"""),43364.0)</f>
        <v>43364</v>
      </c>
      <c r="G2667" s="173"/>
      <c r="H2667" s="174">
        <f>IFERROR(__xludf.DUMMYFUNCTION("""COMPUTED_VALUE"""),71755.0)</f>
        <v>71755</v>
      </c>
      <c r="I2667" s="175"/>
      <c r="J2667" s="172">
        <f>IFERROR(__xludf.DUMMYFUNCTION("""COMPUTED_VALUE"""),43370.0)</f>
        <v>43370</v>
      </c>
      <c r="K2667" s="176">
        <f>IFERROR(__xludf.DUMMYFUNCTION("""COMPUTED_VALUE"""),72.0)</f>
        <v>72</v>
      </c>
      <c r="L2667" s="176">
        <f>IFERROR(__xludf.DUMMYFUNCTION("""COMPUTED_VALUE"""),6.0)</f>
        <v>6</v>
      </c>
      <c r="M2667" s="176">
        <f>IFERROR(__xludf.DUMMYFUNCTION("""COMPUTED_VALUE"""),78.0)</f>
        <v>78</v>
      </c>
      <c r="N2667" s="177" t="str">
        <f>IFERROR(__xludf.DUMMYFUNCTION("""COMPUTED_VALUE"""),"Model 3 LR AWD")</f>
        <v>Model 3 LR AWD</v>
      </c>
      <c r="O2667" s="177" t="str">
        <f>IFERROR(__xludf.DUMMYFUNCTION("""COMPUTED_VALUE"""),"Obsidian Black Metallic")</f>
        <v>Obsidian Black Metallic</v>
      </c>
      <c r="P2667" s="178" t="str">
        <f>IFERROR(__xludf.DUMMYFUNCTION("""COMPUTED_VALUE"""),"19 inch Sport")</f>
        <v>19 inch Sport</v>
      </c>
      <c r="Q2667" s="177" t="str">
        <f>IFERROR(__xludf.DUMMYFUNCTION("""COMPUTED_VALUE"""),"Black seats")</f>
        <v>Black seats</v>
      </c>
      <c r="R2667" s="170" t="str">
        <f>IFERROR(__xludf.DUMMYFUNCTION("""COMPUTED_VALUE"""),"Enhanced Autopilot")</f>
        <v>Enhanced Autopilot</v>
      </c>
      <c r="S2667" s="170"/>
      <c r="T2667" s="179"/>
      <c r="U2667" s="179"/>
      <c r="V2667" s="179"/>
      <c r="W2667" s="180"/>
      <c r="X2667" s="181" t="str">
        <f>IFERROR(__xludf.DUMMYFUNCTION("""COMPUTED_VALUE"""),"Excellent")</f>
        <v>Excellent</v>
      </c>
      <c r="Y2667" s="182" t="str">
        <f>IFERROR(__xludf.DUMMYFUNCTION("""COMPUTED_VALUE"""),"Excellent")</f>
        <v>Excellent</v>
      </c>
      <c r="Z2667" s="182" t="str">
        <f>IFERROR(__xludf.DUMMYFUNCTION("""COMPUTED_VALUE"""),"Very Good")</f>
        <v>Very Good</v>
      </c>
      <c r="AA2667" s="182" t="str">
        <f>IFERROR(__xludf.DUMMYFUNCTION("""COMPUTED_VALUE"""),"Good")</f>
        <v>Good</v>
      </c>
      <c r="AB2667" s="182" t="str">
        <f>IFERROR(__xludf.DUMMYFUNCTION("""COMPUTED_VALUE"""),"Very Good")</f>
        <v>Very Good</v>
      </c>
      <c r="AC2667" s="183"/>
      <c r="AD2667" s="183"/>
      <c r="AE2667" s="183"/>
      <c r="AF2667" s="184"/>
      <c r="AG2667" s="180"/>
      <c r="AH2667" s="185">
        <f>IFERROR(__xludf.DUMMYFUNCTION("""COMPUTED_VALUE"""),43370.55497916667)</f>
        <v>43370.55498</v>
      </c>
      <c r="AI2667" s="182"/>
      <c r="AJ2667" s="182"/>
      <c r="AK2667" s="182"/>
      <c r="AL2667" s="182"/>
    </row>
    <row r="2668" ht="20.25" customHeight="1">
      <c r="A2668" s="169" t="str">
        <f>IFERROR(__xludf.DUMMYFUNCTION("""COMPUTED_VALUE"""),"ThreePixel")</f>
        <v>ThreePixel</v>
      </c>
      <c r="B2668" s="170" t="str">
        <f>IFERROR(__xludf.DUMMYFUNCTION("""COMPUTED_VALUE"""),"Sterling Heights")</f>
        <v>Sterling Heights</v>
      </c>
      <c r="C2668" s="170" t="str">
        <f>IFERROR(__xludf.DUMMYFUNCTION("""COMPUTED_VALUE"""),"MI")</f>
        <v>MI</v>
      </c>
      <c r="D2668" s="170" t="str">
        <f>IFERROR(__xludf.DUMMYFUNCTION("""COMPUTED_VALUE"""),"USA")</f>
        <v>USA</v>
      </c>
      <c r="E2668" s="171">
        <f>IFERROR(__xludf.DUMMYFUNCTION("""COMPUTED_VALUE"""),43292.0)</f>
        <v>43292</v>
      </c>
      <c r="F2668" s="172">
        <f>IFERROR(__xludf.DUMMYFUNCTION("""COMPUTED_VALUE"""),43369.0)</f>
        <v>43369</v>
      </c>
      <c r="G2668" s="173"/>
      <c r="H2668" s="174">
        <f>IFERROR(__xludf.DUMMYFUNCTION("""COMPUTED_VALUE"""),91955.0)</f>
        <v>91955</v>
      </c>
      <c r="I2668" s="175"/>
      <c r="J2668" s="172">
        <f>IFERROR(__xludf.DUMMYFUNCTION("""COMPUTED_VALUE"""),43371.0)</f>
        <v>43371</v>
      </c>
      <c r="K2668" s="176">
        <f>IFERROR(__xludf.DUMMYFUNCTION("""COMPUTED_VALUE"""),77.0)</f>
        <v>77</v>
      </c>
      <c r="L2668" s="176">
        <f>IFERROR(__xludf.DUMMYFUNCTION("""COMPUTED_VALUE"""),2.0)</f>
        <v>2</v>
      </c>
      <c r="M2668" s="176">
        <f>IFERROR(__xludf.DUMMYFUNCTION("""COMPUTED_VALUE"""),79.0)</f>
        <v>79</v>
      </c>
      <c r="N2668" s="177" t="str">
        <f>IFERROR(__xludf.DUMMYFUNCTION("""COMPUTED_VALUE"""),"Model 3 LR AWD")</f>
        <v>Model 3 LR AWD</v>
      </c>
      <c r="O2668" s="177" t="str">
        <f>IFERROR(__xludf.DUMMYFUNCTION("""COMPUTED_VALUE"""),"Deep Blue Metallic")</f>
        <v>Deep Blue Metallic</v>
      </c>
      <c r="P2668" s="178" t="str">
        <f>IFERROR(__xludf.DUMMYFUNCTION("""COMPUTED_VALUE"""),"18 inch Aero")</f>
        <v>18 inch Aero</v>
      </c>
      <c r="Q2668" s="177" t="str">
        <f>IFERROR(__xludf.DUMMYFUNCTION("""COMPUTED_VALUE"""),"Black seats")</f>
        <v>Black seats</v>
      </c>
      <c r="R2668" s="170" t="str">
        <f>IFERROR(__xludf.DUMMYFUNCTION("""COMPUTED_VALUE"""),"None")</f>
        <v>None</v>
      </c>
      <c r="S2668" s="170"/>
      <c r="T2668" s="179"/>
      <c r="U2668" s="179"/>
      <c r="V2668" s="179"/>
      <c r="W2668" s="180"/>
      <c r="X2668" s="181" t="str">
        <f>IFERROR(__xludf.DUMMYFUNCTION("""COMPUTED_VALUE"""),"Excellent")</f>
        <v>Excellent</v>
      </c>
      <c r="Y2668" s="182" t="str">
        <f>IFERROR(__xludf.DUMMYFUNCTION("""COMPUTED_VALUE"""),"Excellent")</f>
        <v>Excellent</v>
      </c>
      <c r="Z2668" s="182" t="str">
        <f>IFERROR(__xludf.DUMMYFUNCTION("""COMPUTED_VALUE"""),"Excellent")</f>
        <v>Excellent</v>
      </c>
      <c r="AA2668" s="182" t="str">
        <f>IFERROR(__xludf.DUMMYFUNCTION("""COMPUTED_VALUE"""),"Good")</f>
        <v>Good</v>
      </c>
      <c r="AB2668" s="182" t="str">
        <f>IFERROR(__xludf.DUMMYFUNCTION("""COMPUTED_VALUE"""),"Excellent")</f>
        <v>Excellent</v>
      </c>
      <c r="AC2668" s="183"/>
      <c r="AD2668" s="183"/>
      <c r="AE2668" s="183"/>
      <c r="AF2668" s="184"/>
      <c r="AG2668" s="180"/>
      <c r="AH2668" s="185">
        <f>IFERROR(__xludf.DUMMYFUNCTION("""COMPUTED_VALUE"""),43375.47785231482)</f>
        <v>43375.47785</v>
      </c>
      <c r="AI2668" s="182"/>
      <c r="AJ2668" s="182"/>
      <c r="AK2668" s="182"/>
      <c r="AL2668" s="182"/>
    </row>
    <row r="2669" ht="20.25" customHeight="1">
      <c r="A2669" s="169" t="str">
        <f>IFERROR(__xludf.DUMMYFUNCTION("""COMPUTED_VALUE"""),"Tynamic77")</f>
        <v>Tynamic77</v>
      </c>
      <c r="B2669" s="170" t="str">
        <f>IFERROR(__xludf.DUMMYFUNCTION("""COMPUTED_VALUE"""),"Tempe")</f>
        <v>Tempe</v>
      </c>
      <c r="C2669" s="170" t="str">
        <f>IFERROR(__xludf.DUMMYFUNCTION("""COMPUTED_VALUE"""),"AZ")</f>
        <v>AZ</v>
      </c>
      <c r="D2669" s="170" t="str">
        <f>IFERROR(__xludf.DUMMYFUNCTION("""COMPUTED_VALUE"""),"USA")</f>
        <v>USA</v>
      </c>
      <c r="E2669" s="171">
        <f>IFERROR(__xludf.DUMMYFUNCTION("""COMPUTED_VALUE"""),43292.0)</f>
        <v>43292</v>
      </c>
      <c r="F2669" s="172">
        <f>IFERROR(__xludf.DUMMYFUNCTION("""COMPUTED_VALUE"""),43368.0)</f>
        <v>43368</v>
      </c>
      <c r="G2669" s="173"/>
      <c r="H2669" s="174">
        <f>IFERROR(__xludf.DUMMYFUNCTION("""COMPUTED_VALUE"""),93235.0)</f>
        <v>93235</v>
      </c>
      <c r="I2669" s="175" t="str">
        <f>IFERROR(__xludf.DUMMYFUNCTION("""COMPUTED_VALUE"""),"09/18")</f>
        <v>09/18</v>
      </c>
      <c r="J2669" s="172">
        <f>IFERROR(__xludf.DUMMYFUNCTION("""COMPUTED_VALUE"""),43372.0)</f>
        <v>43372</v>
      </c>
      <c r="K2669" s="176">
        <f>IFERROR(__xludf.DUMMYFUNCTION("""COMPUTED_VALUE"""),76.0)</f>
        <v>76</v>
      </c>
      <c r="L2669" s="176">
        <f>IFERROR(__xludf.DUMMYFUNCTION("""COMPUTED_VALUE"""),4.0)</f>
        <v>4</v>
      </c>
      <c r="M2669" s="176">
        <f>IFERROR(__xludf.DUMMYFUNCTION("""COMPUTED_VALUE"""),80.0)</f>
        <v>80</v>
      </c>
      <c r="N2669" s="177" t="str">
        <f>IFERROR(__xludf.DUMMYFUNCTION("""COMPUTED_VALUE"""),"Model 3 LR AWD")</f>
        <v>Model 3 LR AWD</v>
      </c>
      <c r="O2669" s="177" t="str">
        <f>IFERROR(__xludf.DUMMYFUNCTION("""COMPUTED_VALUE"""),"Midnight Silver Metallic")</f>
        <v>Midnight Silver Metallic</v>
      </c>
      <c r="P2669" s="178" t="str">
        <f>IFERROR(__xludf.DUMMYFUNCTION("""COMPUTED_VALUE"""),"18 inch Aero")</f>
        <v>18 inch Aero</v>
      </c>
      <c r="Q2669" s="177" t="str">
        <f>IFERROR(__xludf.DUMMYFUNCTION("""COMPUTED_VALUE"""),"Black seats")</f>
        <v>Black seats</v>
      </c>
      <c r="R2669" s="170" t="str">
        <f>IFERROR(__xludf.DUMMYFUNCTION("""COMPUTED_VALUE"""),"None")</f>
        <v>None</v>
      </c>
      <c r="S2669" s="170"/>
      <c r="T2669" s="179"/>
      <c r="U2669" s="179"/>
      <c r="V2669" s="179"/>
      <c r="W2669" s="180"/>
      <c r="X2669" s="181" t="str">
        <f>IFERROR(__xludf.DUMMYFUNCTION("""COMPUTED_VALUE"""),"Excellent")</f>
        <v>Excellent</v>
      </c>
      <c r="Y2669" s="182" t="str">
        <f>IFERROR(__xludf.DUMMYFUNCTION("""COMPUTED_VALUE"""),"Very Good")</f>
        <v>Very Good</v>
      </c>
      <c r="Z2669" s="182" t="str">
        <f>IFERROR(__xludf.DUMMYFUNCTION("""COMPUTED_VALUE"""),"Very Good")</f>
        <v>Very Good</v>
      </c>
      <c r="AA2669" s="182" t="str">
        <f>IFERROR(__xludf.DUMMYFUNCTION("""COMPUTED_VALUE"""),"Excellent")</f>
        <v>Excellent</v>
      </c>
      <c r="AB2669" s="182" t="str">
        <f>IFERROR(__xludf.DUMMYFUNCTION("""COMPUTED_VALUE"""),"Fair")</f>
        <v>Fair</v>
      </c>
      <c r="AC2669" s="183">
        <f>IFERROR(__xludf.DUMMYFUNCTION("""COMPUTED_VALUE"""),3.0)</f>
        <v>3</v>
      </c>
      <c r="AD2669" s="183">
        <f>IFERROR(__xludf.DUMMYFUNCTION("""COMPUTED_VALUE"""),0.0)</f>
        <v>0</v>
      </c>
      <c r="AE2669" s="183"/>
      <c r="AF2669" s="184"/>
      <c r="AG2669" s="180"/>
      <c r="AH2669" s="185">
        <f>IFERROR(__xludf.DUMMYFUNCTION("""COMPUTED_VALUE"""),43418.55618180556)</f>
        <v>43418.55618</v>
      </c>
      <c r="AI2669" s="182"/>
      <c r="AJ2669" s="182"/>
      <c r="AK2669" s="182"/>
      <c r="AL2669" s="182"/>
    </row>
    <row r="2670" ht="20.25" customHeight="1">
      <c r="A2670" s="169" t="str">
        <f>IFERROR(__xludf.DUMMYFUNCTION("""COMPUTED_VALUE"""),"cmog")</f>
        <v>cmog</v>
      </c>
      <c r="B2670" s="170"/>
      <c r="C2670" s="170" t="str">
        <f>IFERROR(__xludf.DUMMYFUNCTION("""COMPUTED_VALUE"""),"GA")</f>
        <v>GA</v>
      </c>
      <c r="D2670" s="170" t="str">
        <f>IFERROR(__xludf.DUMMYFUNCTION("""COMPUTED_VALUE"""),"USA")</f>
        <v>USA</v>
      </c>
      <c r="E2670" s="171">
        <f>IFERROR(__xludf.DUMMYFUNCTION("""COMPUTED_VALUE"""),43291.0)</f>
        <v>43291</v>
      </c>
      <c r="F2670" s="172">
        <f>IFERROR(__xludf.DUMMYFUNCTION("""COMPUTED_VALUE"""),43312.0)</f>
        <v>43312</v>
      </c>
      <c r="G2670" s="173"/>
      <c r="H2670" s="174">
        <f>IFERROR(__xludf.DUMMYFUNCTION("""COMPUTED_VALUE"""),59855.0)</f>
        <v>59855</v>
      </c>
      <c r="I2670" s="175" t="str">
        <f>IFERROR(__xludf.DUMMYFUNCTION("""COMPUTED_VALUE"""),"07/18")</f>
        <v>07/18</v>
      </c>
      <c r="J2670" s="172">
        <f>IFERROR(__xludf.DUMMYFUNCTION("""COMPUTED_VALUE"""),43323.0)</f>
        <v>43323</v>
      </c>
      <c r="K2670" s="176">
        <f>IFERROR(__xludf.DUMMYFUNCTION("""COMPUTED_VALUE"""),21.0)</f>
        <v>21</v>
      </c>
      <c r="L2670" s="176">
        <f>IFERROR(__xludf.DUMMYFUNCTION("""COMPUTED_VALUE"""),11.0)</f>
        <v>11</v>
      </c>
      <c r="M2670" s="176">
        <f>IFERROR(__xludf.DUMMYFUNCTION("""COMPUTED_VALUE"""),32.0)</f>
        <v>32</v>
      </c>
      <c r="N2670" s="177" t="str">
        <f>IFERROR(__xludf.DUMMYFUNCTION("""COMPUTED_VALUE"""),"Model 3 LR")</f>
        <v>Model 3 LR</v>
      </c>
      <c r="O2670" s="177" t="str">
        <f>IFERROR(__xludf.DUMMYFUNCTION("""COMPUTED_VALUE"""),"Deep Blue Metallic")</f>
        <v>Deep Blue Metallic</v>
      </c>
      <c r="P2670" s="178" t="str">
        <f>IFERROR(__xludf.DUMMYFUNCTION("""COMPUTED_VALUE"""),"18 inch Aero")</f>
        <v>18 inch Aero</v>
      </c>
      <c r="Q2670" s="177" t="str">
        <f>IFERROR(__xludf.DUMMYFUNCTION("""COMPUTED_VALUE"""),"Black seats")</f>
        <v>Black seats</v>
      </c>
      <c r="R2670" s="170" t="str">
        <f>IFERROR(__xludf.DUMMYFUNCTION("""COMPUTED_VALUE"""),"Enhanced Autopilot")</f>
        <v>Enhanced Autopilot</v>
      </c>
      <c r="S2670" s="170"/>
      <c r="T2670" s="179"/>
      <c r="U2670" s="179"/>
      <c r="V2670" s="179"/>
      <c r="W2670" s="180"/>
      <c r="X2670" s="181" t="str">
        <f>IFERROR(__xludf.DUMMYFUNCTION("""COMPUTED_VALUE"""),"Very Good")</f>
        <v>Very Good</v>
      </c>
      <c r="Y2670" s="182" t="str">
        <f>IFERROR(__xludf.DUMMYFUNCTION("""COMPUTED_VALUE"""),"Excellent")</f>
        <v>Excellent</v>
      </c>
      <c r="Z2670" s="182" t="str">
        <f>IFERROR(__xludf.DUMMYFUNCTION("""COMPUTED_VALUE"""),"Good")</f>
        <v>Good</v>
      </c>
      <c r="AA2670" s="182" t="str">
        <f>IFERROR(__xludf.DUMMYFUNCTION("""COMPUTED_VALUE"""),"Very Good")</f>
        <v>Very Good</v>
      </c>
      <c r="AB2670" s="182" t="str">
        <f>IFERROR(__xludf.DUMMYFUNCTION("""COMPUTED_VALUE"""),"Very Good")</f>
        <v>Very Good</v>
      </c>
      <c r="AC2670" s="183"/>
      <c r="AD2670" s="183"/>
      <c r="AE2670" s="183"/>
      <c r="AF2670" s="184"/>
      <c r="AG2670" s="180"/>
      <c r="AH2670" s="185">
        <f>IFERROR(__xludf.DUMMYFUNCTION("""COMPUTED_VALUE"""),43324.36595493056)</f>
        <v>43324.36595</v>
      </c>
      <c r="AI2670" s="182"/>
      <c r="AJ2670" s="182"/>
      <c r="AK2670" s="182"/>
      <c r="AL2670" s="182"/>
    </row>
    <row r="2671" ht="20.25" customHeight="1">
      <c r="A2671" s="169" t="str">
        <f>IFERROR(__xludf.DUMMYFUNCTION("""COMPUTED_VALUE"""),"CrazyCoconut")</f>
        <v>CrazyCoconut</v>
      </c>
      <c r="B2671" s="170" t="str">
        <f>IFERROR(__xludf.DUMMYFUNCTION("""COMPUTED_VALUE"""),"Austin")</f>
        <v>Austin</v>
      </c>
      <c r="C2671" s="170" t="str">
        <f>IFERROR(__xludf.DUMMYFUNCTION("""COMPUTED_VALUE"""),"TX")</f>
        <v>TX</v>
      </c>
      <c r="D2671" s="170" t="str">
        <f>IFERROR(__xludf.DUMMYFUNCTION("""COMPUTED_VALUE"""),"USA")</f>
        <v>USA</v>
      </c>
      <c r="E2671" s="171">
        <f>IFERROR(__xludf.DUMMYFUNCTION("""COMPUTED_VALUE"""),43291.0)</f>
        <v>43291</v>
      </c>
      <c r="F2671" s="172">
        <f>IFERROR(__xludf.DUMMYFUNCTION("""COMPUTED_VALUE"""),43354.0)</f>
        <v>43354</v>
      </c>
      <c r="G2671" s="173"/>
      <c r="H2671" s="174">
        <f>IFERROR(__xludf.DUMMYFUNCTION("""COMPUTED_VALUE"""),84255.0)</f>
        <v>84255</v>
      </c>
      <c r="I2671" s="175" t="str">
        <f>IFERROR(__xludf.DUMMYFUNCTION("""COMPUTED_VALUE"""),"09/18")</f>
        <v>09/18</v>
      </c>
      <c r="J2671" s="172">
        <f>IFERROR(__xludf.DUMMYFUNCTION("""COMPUTED_VALUE"""),43364.0)</f>
        <v>43364</v>
      </c>
      <c r="K2671" s="176">
        <f>IFERROR(__xludf.DUMMYFUNCTION("""COMPUTED_VALUE"""),63.0)</f>
        <v>63</v>
      </c>
      <c r="L2671" s="176">
        <f>IFERROR(__xludf.DUMMYFUNCTION("""COMPUTED_VALUE"""),10.0)</f>
        <v>10</v>
      </c>
      <c r="M2671" s="176">
        <f>IFERROR(__xludf.DUMMYFUNCTION("""COMPUTED_VALUE"""),73.0)</f>
        <v>73</v>
      </c>
      <c r="N2671" s="177" t="str">
        <f>IFERROR(__xludf.DUMMYFUNCTION("""COMPUTED_VALUE"""),"Model 3 Performance")</f>
        <v>Model 3 Performance</v>
      </c>
      <c r="O2671" s="177" t="str">
        <f>IFERROR(__xludf.DUMMYFUNCTION("""COMPUTED_VALUE"""),"Pearl White Multi-Coat")</f>
        <v>Pearl White Multi-Coat</v>
      </c>
      <c r="P2671" s="178" t="str">
        <f>IFERROR(__xludf.DUMMYFUNCTION("""COMPUTED_VALUE"""),"20 inch Sport")</f>
        <v>20 inch Sport</v>
      </c>
      <c r="Q2671" s="177" t="str">
        <f>IFERROR(__xludf.DUMMYFUNCTION("""COMPUTED_VALUE"""),"Black seats")</f>
        <v>Black seats</v>
      </c>
      <c r="R2671" s="170" t="str">
        <f>IFERROR(__xludf.DUMMYFUNCTION("""COMPUTED_VALUE"""),"Enhanced Autopilot")</f>
        <v>Enhanced Autopilot</v>
      </c>
      <c r="S2671" s="170"/>
      <c r="T2671" s="179"/>
      <c r="U2671" s="179"/>
      <c r="V2671" s="179"/>
      <c r="W2671" s="180"/>
      <c r="X2671" s="181" t="str">
        <f>IFERROR(__xludf.DUMMYFUNCTION("""COMPUTED_VALUE"""),"Excellent")</f>
        <v>Excellent</v>
      </c>
      <c r="Y2671" s="182" t="str">
        <f>IFERROR(__xludf.DUMMYFUNCTION("""COMPUTED_VALUE"""),"Excellent")</f>
        <v>Excellent</v>
      </c>
      <c r="Z2671" s="182" t="str">
        <f>IFERROR(__xludf.DUMMYFUNCTION("""COMPUTED_VALUE"""),"Excellent")</f>
        <v>Excellent</v>
      </c>
      <c r="AA2671" s="182" t="str">
        <f>IFERROR(__xludf.DUMMYFUNCTION("""COMPUTED_VALUE"""),"Excellent")</f>
        <v>Excellent</v>
      </c>
      <c r="AB2671" s="182" t="str">
        <f>IFERROR(__xludf.DUMMYFUNCTION("""COMPUTED_VALUE"""),"Fair")</f>
        <v>Fair</v>
      </c>
      <c r="AC2671" s="183">
        <f>IFERROR(__xludf.DUMMYFUNCTION("""COMPUTED_VALUE"""),0.0)</f>
        <v>0</v>
      </c>
      <c r="AD2671" s="183">
        <f>IFERROR(__xludf.DUMMYFUNCTION("""COMPUTED_VALUE"""),0.0)</f>
        <v>0</v>
      </c>
      <c r="AE2671" s="183">
        <f>IFERROR(__xludf.DUMMYFUNCTION("""COMPUTED_VALUE"""),0.0)</f>
        <v>0</v>
      </c>
      <c r="AF2671" s="184"/>
      <c r="AG2671" s="180"/>
      <c r="AH2671" s="185">
        <f>IFERROR(__xludf.DUMMYFUNCTION("""COMPUTED_VALUE"""),43367.53414577546)</f>
        <v>43367.53415</v>
      </c>
      <c r="AI2671" s="182"/>
      <c r="AJ2671" s="182"/>
      <c r="AK2671" s="182"/>
      <c r="AL2671" s="182"/>
    </row>
    <row r="2672" ht="20.25" customHeight="1">
      <c r="A2672" s="169" t="str">
        <f>IFERROR(__xludf.DUMMYFUNCTION("""COMPUTED_VALUE"""),"Steve440")</f>
        <v>Steve440</v>
      </c>
      <c r="B2672" s="170"/>
      <c r="C2672" s="170" t="str">
        <f>IFERROR(__xludf.DUMMYFUNCTION("""COMPUTED_VALUE"""),"PA")</f>
        <v>PA</v>
      </c>
      <c r="D2672" s="170" t="str">
        <f>IFERROR(__xludf.DUMMYFUNCTION("""COMPUTED_VALUE"""),"USA")</f>
        <v>USA</v>
      </c>
      <c r="E2672" s="171">
        <f>IFERROR(__xludf.DUMMYFUNCTION("""COMPUTED_VALUE"""),43291.0)</f>
        <v>43291</v>
      </c>
      <c r="F2672" s="172">
        <f>IFERROR(__xludf.DUMMYFUNCTION("""COMPUTED_VALUE"""),43383.0)</f>
        <v>43383</v>
      </c>
      <c r="G2672" s="173"/>
      <c r="H2672" s="174">
        <f>IFERROR(__xludf.DUMMYFUNCTION("""COMPUTED_VALUE"""),87555.0)</f>
        <v>87555</v>
      </c>
      <c r="I2672" s="175"/>
      <c r="J2672" s="172">
        <f>IFERROR(__xludf.DUMMYFUNCTION("""COMPUTED_VALUE"""),43400.0)</f>
        <v>43400</v>
      </c>
      <c r="K2672" s="176">
        <f>IFERROR(__xludf.DUMMYFUNCTION("""COMPUTED_VALUE"""),92.0)</f>
        <v>92</v>
      </c>
      <c r="L2672" s="176">
        <f>IFERROR(__xludf.DUMMYFUNCTION("""COMPUTED_VALUE"""),17.0)</f>
        <v>17</v>
      </c>
      <c r="M2672" s="176">
        <f>IFERROR(__xludf.DUMMYFUNCTION("""COMPUTED_VALUE"""),109.0)</f>
        <v>109</v>
      </c>
      <c r="N2672" s="177" t="str">
        <f>IFERROR(__xludf.DUMMYFUNCTION("""COMPUTED_VALUE"""),"Model 3 LR AWD")</f>
        <v>Model 3 LR AWD</v>
      </c>
      <c r="O2672" s="177" t="str">
        <f>IFERROR(__xludf.DUMMYFUNCTION("""COMPUTED_VALUE"""),"Silver Metallic")</f>
        <v>Silver Metallic</v>
      </c>
      <c r="P2672" s="178" t="str">
        <f>IFERROR(__xludf.DUMMYFUNCTION("""COMPUTED_VALUE"""),"19 inch Sport")</f>
        <v>19 inch Sport</v>
      </c>
      <c r="Q2672" s="177" t="str">
        <f>IFERROR(__xludf.DUMMYFUNCTION("""COMPUTED_VALUE"""),"Black seats")</f>
        <v>Black seats</v>
      </c>
      <c r="R2672" s="170" t="str">
        <f>IFERROR(__xludf.DUMMYFUNCTION("""COMPUTED_VALUE"""),"None")</f>
        <v>None</v>
      </c>
      <c r="S2672" s="170"/>
      <c r="T2672" s="179"/>
      <c r="U2672" s="179"/>
      <c r="V2672" s="179"/>
      <c r="W2672" s="180"/>
      <c r="X2672" s="181" t="str">
        <f>IFERROR(__xludf.DUMMYFUNCTION("""COMPUTED_VALUE"""),"Very Good")</f>
        <v>Very Good</v>
      </c>
      <c r="Y2672" s="182" t="str">
        <f>IFERROR(__xludf.DUMMYFUNCTION("""COMPUTED_VALUE"""),"Excellent")</f>
        <v>Excellent</v>
      </c>
      <c r="Z2672" s="182" t="str">
        <f>IFERROR(__xludf.DUMMYFUNCTION("""COMPUTED_VALUE"""),"Excellent")</f>
        <v>Excellent</v>
      </c>
      <c r="AA2672" s="182" t="str">
        <f>IFERROR(__xludf.DUMMYFUNCTION("""COMPUTED_VALUE"""),"Very Good")</f>
        <v>Very Good</v>
      </c>
      <c r="AB2672" s="182" t="str">
        <f>IFERROR(__xludf.DUMMYFUNCTION("""COMPUTED_VALUE"""),"Very Good")</f>
        <v>Very Good</v>
      </c>
      <c r="AC2672" s="183"/>
      <c r="AD2672" s="183"/>
      <c r="AE2672" s="183"/>
      <c r="AF2672" s="184"/>
      <c r="AG2672" s="180"/>
      <c r="AH2672" s="185">
        <f>IFERROR(__xludf.DUMMYFUNCTION("""COMPUTED_VALUE"""),43401.67422609954)</f>
        <v>43401.67423</v>
      </c>
      <c r="AI2672" s="182"/>
      <c r="AJ2672" s="182"/>
      <c r="AK2672" s="182"/>
      <c r="AL2672" s="182"/>
    </row>
    <row r="2673" ht="20.25" customHeight="1">
      <c r="A2673" s="169" t="str">
        <f>IFERROR(__xludf.DUMMYFUNCTION("""COMPUTED_VALUE"""),"thealb")</f>
        <v>thealb</v>
      </c>
      <c r="B2673" s="170" t="str">
        <f>IFERROR(__xludf.DUMMYFUNCTION("""COMPUTED_VALUE"""),"Dallas")</f>
        <v>Dallas</v>
      </c>
      <c r="C2673" s="170" t="str">
        <f>IFERROR(__xludf.DUMMYFUNCTION("""COMPUTED_VALUE"""),"TX")</f>
        <v>TX</v>
      </c>
      <c r="D2673" s="170" t="str">
        <f>IFERROR(__xludf.DUMMYFUNCTION("""COMPUTED_VALUE"""),"USA")</f>
        <v>USA</v>
      </c>
      <c r="E2673" s="171">
        <f>IFERROR(__xludf.DUMMYFUNCTION("""COMPUTED_VALUE"""),43291.0)</f>
        <v>43291</v>
      </c>
      <c r="F2673" s="172">
        <f>IFERROR(__xludf.DUMMYFUNCTION("""COMPUTED_VALUE"""),43320.0)</f>
        <v>43320</v>
      </c>
      <c r="G2673" s="173"/>
      <c r="H2673" s="174">
        <f>IFERROR(__xludf.DUMMYFUNCTION("""COMPUTED_VALUE"""),56955.0)</f>
        <v>56955</v>
      </c>
      <c r="I2673" s="175" t="str">
        <f>IFERROR(__xludf.DUMMYFUNCTION("""COMPUTED_VALUE"""),"07/18")</f>
        <v>07/18</v>
      </c>
      <c r="J2673" s="172">
        <f>IFERROR(__xludf.DUMMYFUNCTION("""COMPUTED_VALUE"""),43354.0)</f>
        <v>43354</v>
      </c>
      <c r="K2673" s="176">
        <f>IFERROR(__xludf.DUMMYFUNCTION("""COMPUTED_VALUE"""),29.0)</f>
        <v>29</v>
      </c>
      <c r="L2673" s="176">
        <f>IFERROR(__xludf.DUMMYFUNCTION("""COMPUTED_VALUE"""),34.0)</f>
        <v>34</v>
      </c>
      <c r="M2673" s="176">
        <f>IFERROR(__xludf.DUMMYFUNCTION("""COMPUTED_VALUE"""),63.0)</f>
        <v>63</v>
      </c>
      <c r="N2673" s="177" t="str">
        <f>IFERROR(__xludf.DUMMYFUNCTION("""COMPUTED_VALUE"""),"Model 3 LR")</f>
        <v>Model 3 LR</v>
      </c>
      <c r="O2673" s="177" t="str">
        <f>IFERROR(__xludf.DUMMYFUNCTION("""COMPUTED_VALUE"""),"Solid Black")</f>
        <v>Solid Black</v>
      </c>
      <c r="P2673" s="178" t="str">
        <f>IFERROR(__xludf.DUMMYFUNCTION("""COMPUTED_VALUE"""),"18 inch Aero")</f>
        <v>18 inch Aero</v>
      </c>
      <c r="Q2673" s="177" t="str">
        <f>IFERROR(__xludf.DUMMYFUNCTION("""COMPUTED_VALUE"""),"Black seats")</f>
        <v>Black seats</v>
      </c>
      <c r="R2673" s="170" t="str">
        <f>IFERROR(__xludf.DUMMYFUNCTION("""COMPUTED_VALUE"""),"Enhanced Autopilot")</f>
        <v>Enhanced Autopilot</v>
      </c>
      <c r="S2673" s="170"/>
      <c r="T2673" s="179"/>
      <c r="U2673" s="179"/>
      <c r="V2673" s="179"/>
      <c r="W2673" s="180"/>
      <c r="X2673" s="181" t="str">
        <f>IFERROR(__xludf.DUMMYFUNCTION("""COMPUTED_VALUE"""),"Fair")</f>
        <v>Fair</v>
      </c>
      <c r="Y2673" s="182" t="str">
        <f>IFERROR(__xludf.DUMMYFUNCTION("""COMPUTED_VALUE"""),"Very Good")</f>
        <v>Very Good</v>
      </c>
      <c r="Z2673" s="182" t="str">
        <f>IFERROR(__xludf.DUMMYFUNCTION("""COMPUTED_VALUE"""),"Very Good")</f>
        <v>Very Good</v>
      </c>
      <c r="AA2673" s="182" t="str">
        <f>IFERROR(__xludf.DUMMYFUNCTION("""COMPUTED_VALUE"""),"Excellent")</f>
        <v>Excellent</v>
      </c>
      <c r="AB2673" s="182" t="str">
        <f>IFERROR(__xludf.DUMMYFUNCTION("""COMPUTED_VALUE"""),"Very Good")</f>
        <v>Very Good</v>
      </c>
      <c r="AC2673" s="183"/>
      <c r="AD2673" s="183"/>
      <c r="AE2673" s="183"/>
      <c r="AF2673" s="184"/>
      <c r="AG2673" s="180"/>
      <c r="AH2673" s="185">
        <f>IFERROR(__xludf.DUMMYFUNCTION("""COMPUTED_VALUE"""),43363.379049282405)</f>
        <v>43363.37905</v>
      </c>
      <c r="AI2673" s="182"/>
      <c r="AJ2673" s="182"/>
      <c r="AK2673" s="182"/>
      <c r="AL2673" s="182"/>
    </row>
    <row r="2674" ht="20.25" customHeight="1">
      <c r="A2674" s="169" t="str">
        <f>IFERROR(__xludf.DUMMYFUNCTION("""COMPUTED_VALUE"""),"Christophe")</f>
        <v>Christophe</v>
      </c>
      <c r="B2674" s="170" t="str">
        <f>IFERROR(__xludf.DUMMYFUNCTION("""COMPUTED_VALUE"""),"Atlanta")</f>
        <v>Atlanta</v>
      </c>
      <c r="C2674" s="170" t="str">
        <f>IFERROR(__xludf.DUMMYFUNCTION("""COMPUTED_VALUE"""),"GA")</f>
        <v>GA</v>
      </c>
      <c r="D2674" s="170" t="str">
        <f>IFERROR(__xludf.DUMMYFUNCTION("""COMPUTED_VALUE"""),"USA")</f>
        <v>USA</v>
      </c>
      <c r="E2674" s="171">
        <f>IFERROR(__xludf.DUMMYFUNCTION("""COMPUTED_VALUE"""),43290.0)</f>
        <v>43290</v>
      </c>
      <c r="F2674" s="172">
        <f>IFERROR(__xludf.DUMMYFUNCTION("""COMPUTED_VALUE"""),43304.0)</f>
        <v>43304</v>
      </c>
      <c r="G2674" s="173"/>
      <c r="H2674" s="174">
        <f>IFERROR(__xludf.DUMMYFUNCTION("""COMPUTED_VALUE"""),33558.0)</f>
        <v>33558</v>
      </c>
      <c r="I2674" s="175" t="str">
        <f>IFERROR(__xludf.DUMMYFUNCTION("""COMPUTED_VALUE"""),"06/18")</f>
        <v>06/18</v>
      </c>
      <c r="J2674" s="172">
        <f>IFERROR(__xludf.DUMMYFUNCTION("""COMPUTED_VALUE"""),43306.0)</f>
        <v>43306</v>
      </c>
      <c r="K2674" s="176">
        <f>IFERROR(__xludf.DUMMYFUNCTION("""COMPUTED_VALUE"""),14.0)</f>
        <v>14</v>
      </c>
      <c r="L2674" s="176">
        <f>IFERROR(__xludf.DUMMYFUNCTION("""COMPUTED_VALUE"""),2.0)</f>
        <v>2</v>
      </c>
      <c r="M2674" s="176">
        <f>IFERROR(__xludf.DUMMYFUNCTION("""COMPUTED_VALUE"""),16.0)</f>
        <v>16</v>
      </c>
      <c r="N2674" s="177" t="str">
        <f>IFERROR(__xludf.DUMMYFUNCTION("""COMPUTED_VALUE"""),"Model 3 LR")</f>
        <v>Model 3 LR</v>
      </c>
      <c r="O2674" s="177" t="str">
        <f>IFERROR(__xludf.DUMMYFUNCTION("""COMPUTED_VALUE"""),"Midnight Silver Metallic")</f>
        <v>Midnight Silver Metallic</v>
      </c>
      <c r="P2674" s="178" t="str">
        <f>IFERROR(__xludf.DUMMYFUNCTION("""COMPUTED_VALUE"""),"18 inch Aero")</f>
        <v>18 inch Aero</v>
      </c>
      <c r="Q2674" s="177" t="str">
        <f>IFERROR(__xludf.DUMMYFUNCTION("""COMPUTED_VALUE"""),"Black seats")</f>
        <v>Black seats</v>
      </c>
      <c r="R2674" s="170" t="str">
        <f>IFERROR(__xludf.DUMMYFUNCTION("""COMPUTED_VALUE"""),"Enhanced Autopilot")</f>
        <v>Enhanced Autopilot</v>
      </c>
      <c r="S2674" s="170"/>
      <c r="T2674" s="179"/>
      <c r="U2674" s="179"/>
      <c r="V2674" s="179"/>
      <c r="W2674" s="180"/>
      <c r="X2674" s="181" t="str">
        <f>IFERROR(__xludf.DUMMYFUNCTION("""COMPUTED_VALUE"""),"Very Good")</f>
        <v>Very Good</v>
      </c>
      <c r="Y2674" s="182" t="str">
        <f>IFERROR(__xludf.DUMMYFUNCTION("""COMPUTED_VALUE"""),"Very Good")</f>
        <v>Very Good</v>
      </c>
      <c r="Z2674" s="182" t="str">
        <f>IFERROR(__xludf.DUMMYFUNCTION("""COMPUTED_VALUE"""),"Very Good")</f>
        <v>Very Good</v>
      </c>
      <c r="AA2674" s="182" t="str">
        <f>IFERROR(__xludf.DUMMYFUNCTION("""COMPUTED_VALUE"""),"Good")</f>
        <v>Good</v>
      </c>
      <c r="AB2674" s="182" t="str">
        <f>IFERROR(__xludf.DUMMYFUNCTION("""COMPUTED_VALUE"""),"Poor")</f>
        <v>Poor</v>
      </c>
      <c r="AC2674" s="183"/>
      <c r="AD2674" s="183"/>
      <c r="AE2674" s="183"/>
      <c r="AF2674" s="184"/>
      <c r="AG2674" s="180"/>
      <c r="AH2674" s="185">
        <f>IFERROR(__xludf.DUMMYFUNCTION("""COMPUTED_VALUE"""),43306.83430414352)</f>
        <v>43306.8343</v>
      </c>
      <c r="AI2674" s="182"/>
      <c r="AJ2674" s="182"/>
      <c r="AK2674" s="182"/>
      <c r="AL2674" s="182"/>
    </row>
    <row r="2675" ht="20.25" customHeight="1">
      <c r="A2675" s="169" t="str">
        <f>IFERROR(__xludf.DUMMYFUNCTION("""COMPUTED_VALUE"""),"MercedesBez")</f>
        <v>MercedesBez</v>
      </c>
      <c r="B2675" s="170" t="str">
        <f>IFERROR(__xludf.DUMMYFUNCTION("""COMPUTED_VALUE"""),"SLC")</f>
        <v>SLC</v>
      </c>
      <c r="C2675" s="170" t="str">
        <f>IFERROR(__xludf.DUMMYFUNCTION("""COMPUTED_VALUE"""),"UT")</f>
        <v>UT</v>
      </c>
      <c r="D2675" s="170" t="str">
        <f>IFERROR(__xludf.DUMMYFUNCTION("""COMPUTED_VALUE"""),"USA")</f>
        <v>USA</v>
      </c>
      <c r="E2675" s="171">
        <f>IFERROR(__xludf.DUMMYFUNCTION("""COMPUTED_VALUE"""),43290.0)</f>
        <v>43290</v>
      </c>
      <c r="F2675" s="172">
        <f>IFERROR(__xludf.DUMMYFUNCTION("""COMPUTED_VALUE"""),43375.0)</f>
        <v>43375</v>
      </c>
      <c r="G2675" s="173"/>
      <c r="H2675" s="174">
        <f>IFERROR(__xludf.DUMMYFUNCTION("""COMPUTED_VALUE"""),111655.0)</f>
        <v>111655</v>
      </c>
      <c r="I2675" s="175"/>
      <c r="J2675" s="172">
        <f>IFERROR(__xludf.DUMMYFUNCTION("""COMPUTED_VALUE"""),43378.0)</f>
        <v>43378</v>
      </c>
      <c r="K2675" s="176">
        <f>IFERROR(__xludf.DUMMYFUNCTION("""COMPUTED_VALUE"""),85.0)</f>
        <v>85</v>
      </c>
      <c r="L2675" s="176">
        <f>IFERROR(__xludf.DUMMYFUNCTION("""COMPUTED_VALUE"""),3.0)</f>
        <v>3</v>
      </c>
      <c r="M2675" s="176">
        <f>IFERROR(__xludf.DUMMYFUNCTION("""COMPUTED_VALUE"""),88.0)</f>
        <v>88</v>
      </c>
      <c r="N2675" s="177" t="str">
        <f>IFERROR(__xludf.DUMMYFUNCTION("""COMPUTED_VALUE"""),"Model 3 LR AWD")</f>
        <v>Model 3 LR AWD</v>
      </c>
      <c r="O2675" s="177" t="str">
        <f>IFERROR(__xludf.DUMMYFUNCTION("""COMPUTED_VALUE"""),"Pearl White Multi-Coat")</f>
        <v>Pearl White Multi-Coat</v>
      </c>
      <c r="P2675" s="178" t="str">
        <f>IFERROR(__xludf.DUMMYFUNCTION("""COMPUTED_VALUE"""),"19 inch Sport")</f>
        <v>19 inch Sport</v>
      </c>
      <c r="Q2675" s="177" t="str">
        <f>IFERROR(__xludf.DUMMYFUNCTION("""COMPUTED_VALUE"""),"Black seats")</f>
        <v>Black seats</v>
      </c>
      <c r="R2675" s="170" t="str">
        <f>IFERROR(__xludf.DUMMYFUNCTION("""COMPUTED_VALUE"""),"Full Self-Driving")</f>
        <v>Full Self-Driving</v>
      </c>
      <c r="S2675" s="170"/>
      <c r="T2675" s="179"/>
      <c r="U2675" s="179"/>
      <c r="V2675" s="179"/>
      <c r="W2675" s="180"/>
      <c r="X2675" s="181" t="str">
        <f>IFERROR(__xludf.DUMMYFUNCTION("""COMPUTED_VALUE"""),"Excellent")</f>
        <v>Excellent</v>
      </c>
      <c r="Y2675" s="182" t="str">
        <f>IFERROR(__xludf.DUMMYFUNCTION("""COMPUTED_VALUE"""),"Excellent")</f>
        <v>Excellent</v>
      </c>
      <c r="Z2675" s="182" t="str">
        <f>IFERROR(__xludf.DUMMYFUNCTION("""COMPUTED_VALUE"""),"Very Good")</f>
        <v>Very Good</v>
      </c>
      <c r="AA2675" s="182" t="str">
        <f>IFERROR(__xludf.DUMMYFUNCTION("""COMPUTED_VALUE"""),"Good")</f>
        <v>Good</v>
      </c>
      <c r="AB2675" s="182" t="str">
        <f>IFERROR(__xludf.DUMMYFUNCTION("""COMPUTED_VALUE"""),"Excellent")</f>
        <v>Excellent</v>
      </c>
      <c r="AC2675" s="183"/>
      <c r="AD2675" s="183"/>
      <c r="AE2675" s="183"/>
      <c r="AF2675" s="184"/>
      <c r="AG2675" s="180" t="str">
        <f>IFERROR(__xludf.DUMMYFUNCTION("""COMPUTED_VALUE"""),"Delivery moved from 9/20 to 9/27 to 10/15 to 10/5 New VIN Assigned")</f>
        <v>Delivery moved from 9/20 to 9/27 to 10/15 to 10/5 New VIN Assigned</v>
      </c>
      <c r="AH2675" s="185">
        <f>IFERROR(__xludf.DUMMYFUNCTION("""COMPUTED_VALUE"""),43378.52524340278)</f>
        <v>43378.52524</v>
      </c>
      <c r="AI2675" s="182"/>
      <c r="AJ2675" s="182"/>
      <c r="AK2675" s="182"/>
      <c r="AL2675" s="182"/>
    </row>
    <row r="2676" ht="20.25" customHeight="1">
      <c r="A2676" s="169" t="str">
        <f>IFERROR(__xludf.DUMMYFUNCTION("""COMPUTED_VALUE"""),"Perry")</f>
        <v>Perry</v>
      </c>
      <c r="B2676" s="170" t="str">
        <f>IFERROR(__xludf.DUMMYFUNCTION("""COMPUTED_VALUE"""),"San Jose")</f>
        <v>San Jose</v>
      </c>
      <c r="C2676" s="170" t="str">
        <f>IFERROR(__xludf.DUMMYFUNCTION("""COMPUTED_VALUE"""),"CA")</f>
        <v>CA</v>
      </c>
      <c r="D2676" s="170" t="str">
        <f>IFERROR(__xludf.DUMMYFUNCTION("""COMPUTED_VALUE"""),"USA")</f>
        <v>USA</v>
      </c>
      <c r="E2676" s="171">
        <f>IFERROR(__xludf.DUMMYFUNCTION("""COMPUTED_VALUE"""),43290.0)</f>
        <v>43290</v>
      </c>
      <c r="F2676" s="172">
        <f>IFERROR(__xludf.DUMMYFUNCTION("""COMPUTED_VALUE"""),43350.0)</f>
        <v>43350</v>
      </c>
      <c r="G2676" s="173"/>
      <c r="H2676" s="174">
        <f>IFERROR(__xludf.DUMMYFUNCTION("""COMPUTED_VALUE"""),99455.0)</f>
        <v>99455</v>
      </c>
      <c r="I2676" s="175"/>
      <c r="J2676" s="172">
        <f>IFERROR(__xludf.DUMMYFUNCTION("""COMPUTED_VALUE"""),43355.0)</f>
        <v>43355</v>
      </c>
      <c r="K2676" s="176">
        <f>IFERROR(__xludf.DUMMYFUNCTION("""COMPUTED_VALUE"""),60.0)</f>
        <v>60</v>
      </c>
      <c r="L2676" s="176">
        <f>IFERROR(__xludf.DUMMYFUNCTION("""COMPUTED_VALUE"""),5.0)</f>
        <v>5</v>
      </c>
      <c r="M2676" s="176">
        <f>IFERROR(__xludf.DUMMYFUNCTION("""COMPUTED_VALUE"""),65.0)</f>
        <v>65</v>
      </c>
      <c r="N2676" s="177" t="str">
        <f>IFERROR(__xludf.DUMMYFUNCTION("""COMPUTED_VALUE"""),"Model 3 Performance")</f>
        <v>Model 3 Performance</v>
      </c>
      <c r="O2676" s="177" t="str">
        <f>IFERROR(__xludf.DUMMYFUNCTION("""COMPUTED_VALUE"""),"Midnight Silver Metallic")</f>
        <v>Midnight Silver Metallic</v>
      </c>
      <c r="P2676" s="178" t="str">
        <f>IFERROR(__xludf.DUMMYFUNCTION("""COMPUTED_VALUE"""),"18 inch Aero")</f>
        <v>18 inch Aero</v>
      </c>
      <c r="Q2676" s="177" t="str">
        <f>IFERROR(__xludf.DUMMYFUNCTION("""COMPUTED_VALUE"""),"White seats")</f>
        <v>White seats</v>
      </c>
      <c r="R2676" s="170" t="str">
        <f>IFERROR(__xludf.DUMMYFUNCTION("""COMPUTED_VALUE"""),"None")</f>
        <v>None</v>
      </c>
      <c r="S2676" s="170"/>
      <c r="T2676" s="179"/>
      <c r="U2676" s="179"/>
      <c r="V2676" s="179"/>
      <c r="W2676" s="180"/>
      <c r="X2676" s="181" t="str">
        <f>IFERROR(__xludf.DUMMYFUNCTION("""COMPUTED_VALUE"""),"Poor")</f>
        <v>Poor</v>
      </c>
      <c r="Y2676" s="182" t="str">
        <f>IFERROR(__xludf.DUMMYFUNCTION("""COMPUTED_VALUE"""),"Fair")</f>
        <v>Fair</v>
      </c>
      <c r="Z2676" s="182" t="str">
        <f>IFERROR(__xludf.DUMMYFUNCTION("""COMPUTED_VALUE"""),"Poor")</f>
        <v>Poor</v>
      </c>
      <c r="AA2676" s="182" t="str">
        <f>IFERROR(__xludf.DUMMYFUNCTION("""COMPUTED_VALUE"""),"Good")</f>
        <v>Good</v>
      </c>
      <c r="AB2676" s="182" t="str">
        <f>IFERROR(__xludf.DUMMYFUNCTION("""COMPUTED_VALUE"""),"Fair")</f>
        <v>Fair</v>
      </c>
      <c r="AC2676" s="183">
        <f>IFERROR(__xludf.DUMMYFUNCTION("""COMPUTED_VALUE"""),7.0)</f>
        <v>7</v>
      </c>
      <c r="AD2676" s="183">
        <f>IFERROR(__xludf.DUMMYFUNCTION("""COMPUTED_VALUE"""),2.0)</f>
        <v>2</v>
      </c>
      <c r="AE2676" s="183">
        <f>IFERROR(__xludf.DUMMYFUNCTION("""COMPUTED_VALUE"""),30.0)</f>
        <v>30</v>
      </c>
      <c r="AF2676" s="184"/>
      <c r="AG2676" s="180"/>
      <c r="AH2676" s="185">
        <f>IFERROR(__xludf.DUMMYFUNCTION("""COMPUTED_VALUE"""),43405.98400346065)</f>
        <v>43405.984</v>
      </c>
      <c r="AI2676" s="182"/>
      <c r="AJ2676" s="182"/>
      <c r="AK2676" s="182"/>
      <c r="AL2676" s="182"/>
    </row>
    <row r="2677" ht="20.25" customHeight="1">
      <c r="A2677" s="169" t="str">
        <f>IFERROR(__xludf.DUMMYFUNCTION("""COMPUTED_VALUE"""),"alpacadom")</f>
        <v>alpacadom</v>
      </c>
      <c r="B2677" s="170" t="str">
        <f>IFERROR(__xludf.DUMMYFUNCTION("""COMPUTED_VALUE"""),"Seattle")</f>
        <v>Seattle</v>
      </c>
      <c r="C2677" s="170" t="str">
        <f>IFERROR(__xludf.DUMMYFUNCTION("""COMPUTED_VALUE"""),"WA")</f>
        <v>WA</v>
      </c>
      <c r="D2677" s="170" t="str">
        <f>IFERROR(__xludf.DUMMYFUNCTION("""COMPUTED_VALUE"""),"USA")</f>
        <v>USA</v>
      </c>
      <c r="E2677" s="171">
        <f>IFERROR(__xludf.DUMMYFUNCTION("""COMPUTED_VALUE"""),43289.0)</f>
        <v>43289</v>
      </c>
      <c r="F2677" s="172">
        <f>IFERROR(__xludf.DUMMYFUNCTION("""COMPUTED_VALUE"""),43322.0)</f>
        <v>43322</v>
      </c>
      <c r="G2677" s="173"/>
      <c r="H2677" s="174">
        <f>IFERROR(__xludf.DUMMYFUNCTION("""COMPUTED_VALUE"""),73455.0)</f>
        <v>73455</v>
      </c>
      <c r="I2677" s="175"/>
      <c r="J2677" s="172">
        <f>IFERROR(__xludf.DUMMYFUNCTION("""COMPUTED_VALUE"""),43327.0)</f>
        <v>43327</v>
      </c>
      <c r="K2677" s="176">
        <f>IFERROR(__xludf.DUMMYFUNCTION("""COMPUTED_VALUE"""),33.0)</f>
        <v>33</v>
      </c>
      <c r="L2677" s="176">
        <f>IFERROR(__xludf.DUMMYFUNCTION("""COMPUTED_VALUE"""),5.0)</f>
        <v>5</v>
      </c>
      <c r="M2677" s="176">
        <f>IFERROR(__xludf.DUMMYFUNCTION("""COMPUTED_VALUE"""),38.0)</f>
        <v>38</v>
      </c>
      <c r="N2677" s="177" t="str">
        <f>IFERROR(__xludf.DUMMYFUNCTION("""COMPUTED_VALUE"""),"Model 3 Performance")</f>
        <v>Model 3 Performance</v>
      </c>
      <c r="O2677" s="177" t="str">
        <f>IFERROR(__xludf.DUMMYFUNCTION("""COMPUTED_VALUE"""),"Red Multi-Coat")</f>
        <v>Red Multi-Coat</v>
      </c>
      <c r="P2677" s="178" t="str">
        <f>IFERROR(__xludf.DUMMYFUNCTION("""COMPUTED_VALUE"""),"18 inch Aero")</f>
        <v>18 inch Aero</v>
      </c>
      <c r="Q2677" s="177" t="str">
        <f>IFERROR(__xludf.DUMMYFUNCTION("""COMPUTED_VALUE"""),"Black seats")</f>
        <v>Black seats</v>
      </c>
      <c r="R2677" s="170" t="str">
        <f>IFERROR(__xludf.DUMMYFUNCTION("""COMPUTED_VALUE"""),"Enhanced Autopilot")</f>
        <v>Enhanced Autopilot</v>
      </c>
      <c r="S2677" s="170"/>
      <c r="T2677" s="179"/>
      <c r="U2677" s="179"/>
      <c r="V2677" s="179"/>
      <c r="W2677" s="180"/>
      <c r="X2677" s="181" t="str">
        <f>IFERROR(__xludf.DUMMYFUNCTION("""COMPUTED_VALUE"""),"Good")</f>
        <v>Good</v>
      </c>
      <c r="Y2677" s="182" t="str">
        <f>IFERROR(__xludf.DUMMYFUNCTION("""COMPUTED_VALUE"""),"Very Good")</f>
        <v>Very Good</v>
      </c>
      <c r="Z2677" s="182" t="str">
        <f>IFERROR(__xludf.DUMMYFUNCTION("""COMPUTED_VALUE"""),"Very Good")</f>
        <v>Very Good</v>
      </c>
      <c r="AA2677" s="182" t="str">
        <f>IFERROR(__xludf.DUMMYFUNCTION("""COMPUTED_VALUE"""),"Good")</f>
        <v>Good</v>
      </c>
      <c r="AB2677" s="182" t="str">
        <f>IFERROR(__xludf.DUMMYFUNCTION("""COMPUTED_VALUE"""),"Very Good")</f>
        <v>Very Good</v>
      </c>
      <c r="AC2677" s="183"/>
      <c r="AD2677" s="183"/>
      <c r="AE2677" s="183"/>
      <c r="AF2677" s="184"/>
      <c r="AG2677" s="180"/>
      <c r="AH2677" s="185">
        <f>IFERROR(__xludf.DUMMYFUNCTION("""COMPUTED_VALUE"""),43327.71370118056)</f>
        <v>43327.7137</v>
      </c>
      <c r="AI2677" s="182"/>
      <c r="AJ2677" s="182"/>
      <c r="AK2677" s="182"/>
      <c r="AL2677" s="182"/>
    </row>
    <row r="2678" ht="20.25" customHeight="1">
      <c r="A2678" s="169" t="str">
        <f>IFERROR(__xludf.DUMMYFUNCTION("""COMPUTED_VALUE"""),"Dunati")</f>
        <v>Dunati</v>
      </c>
      <c r="B2678" s="170" t="str">
        <f>IFERROR(__xludf.DUMMYFUNCTION("""COMPUTED_VALUE"""),"Bellevue")</f>
        <v>Bellevue</v>
      </c>
      <c r="C2678" s="170" t="str">
        <f>IFERROR(__xludf.DUMMYFUNCTION("""COMPUTED_VALUE"""),"WA")</f>
        <v>WA</v>
      </c>
      <c r="D2678" s="170" t="str">
        <f>IFERROR(__xludf.DUMMYFUNCTION("""COMPUTED_VALUE"""),"USA")</f>
        <v>USA</v>
      </c>
      <c r="E2678" s="171">
        <f>IFERROR(__xludf.DUMMYFUNCTION("""COMPUTED_VALUE"""),43289.0)</f>
        <v>43289</v>
      </c>
      <c r="F2678" s="172">
        <f>IFERROR(__xludf.DUMMYFUNCTION("""COMPUTED_VALUE"""),43332.0)</f>
        <v>43332</v>
      </c>
      <c r="G2678" s="173"/>
      <c r="H2678" s="174">
        <f>IFERROR(__xludf.DUMMYFUNCTION("""COMPUTED_VALUE"""),72455.0)</f>
        <v>72455</v>
      </c>
      <c r="I2678" s="175"/>
      <c r="J2678" s="172">
        <f>IFERROR(__xludf.DUMMYFUNCTION("""COMPUTED_VALUE"""),43340.0)</f>
        <v>43340</v>
      </c>
      <c r="K2678" s="176">
        <f>IFERROR(__xludf.DUMMYFUNCTION("""COMPUTED_VALUE"""),43.0)</f>
        <v>43</v>
      </c>
      <c r="L2678" s="176">
        <f>IFERROR(__xludf.DUMMYFUNCTION("""COMPUTED_VALUE"""),8.0)</f>
        <v>8</v>
      </c>
      <c r="M2678" s="176">
        <f>IFERROR(__xludf.DUMMYFUNCTION("""COMPUTED_VALUE"""),51.0)</f>
        <v>51</v>
      </c>
      <c r="N2678" s="177" t="str">
        <f>IFERROR(__xludf.DUMMYFUNCTION("""COMPUTED_VALUE"""),"Model 3 Performance")</f>
        <v>Model 3 Performance</v>
      </c>
      <c r="O2678" s="177" t="str">
        <f>IFERROR(__xludf.DUMMYFUNCTION("""COMPUTED_VALUE"""),"Solid Black")</f>
        <v>Solid Black</v>
      </c>
      <c r="P2678" s="178" t="str">
        <f>IFERROR(__xludf.DUMMYFUNCTION("""COMPUTED_VALUE"""),"20 inch Sport")</f>
        <v>20 inch Sport</v>
      </c>
      <c r="Q2678" s="177" t="str">
        <f>IFERROR(__xludf.DUMMYFUNCTION("""COMPUTED_VALUE"""),"Black seats")</f>
        <v>Black seats</v>
      </c>
      <c r="R2678" s="170" t="str">
        <f>IFERROR(__xludf.DUMMYFUNCTION("""COMPUTED_VALUE"""),"Enhanced Autopilot")</f>
        <v>Enhanced Autopilot</v>
      </c>
      <c r="S2678" s="170"/>
      <c r="T2678" s="179"/>
      <c r="U2678" s="179"/>
      <c r="V2678" s="179"/>
      <c r="W2678" s="180"/>
      <c r="X2678" s="181" t="str">
        <f>IFERROR(__xludf.DUMMYFUNCTION("""COMPUTED_VALUE"""),"Very Good")</f>
        <v>Very Good</v>
      </c>
      <c r="Y2678" s="182" t="str">
        <f>IFERROR(__xludf.DUMMYFUNCTION("""COMPUTED_VALUE"""),"Very Good")</f>
        <v>Very Good</v>
      </c>
      <c r="Z2678" s="182" t="str">
        <f>IFERROR(__xludf.DUMMYFUNCTION("""COMPUTED_VALUE"""),"Very Good")</f>
        <v>Very Good</v>
      </c>
      <c r="AA2678" s="182" t="str">
        <f>IFERROR(__xludf.DUMMYFUNCTION("""COMPUTED_VALUE"""),"Fair")</f>
        <v>Fair</v>
      </c>
      <c r="AB2678" s="182" t="str">
        <f>IFERROR(__xludf.DUMMYFUNCTION("""COMPUTED_VALUE"""),"Very Good")</f>
        <v>Very Good</v>
      </c>
      <c r="AC2678" s="183"/>
      <c r="AD2678" s="183"/>
      <c r="AE2678" s="183"/>
      <c r="AF2678" s="184"/>
      <c r="AG2678" s="180"/>
      <c r="AH2678" s="185">
        <f>IFERROR(__xludf.DUMMYFUNCTION("""COMPUTED_VALUE"""),43341.97071972222)</f>
        <v>43341.97072</v>
      </c>
      <c r="AI2678" s="182"/>
      <c r="AJ2678" s="182"/>
      <c r="AK2678" s="182"/>
      <c r="AL2678" s="182"/>
    </row>
    <row r="2679" ht="20.25" customHeight="1">
      <c r="A2679" s="169" t="str">
        <f>IFERROR(__xludf.DUMMYFUNCTION("""COMPUTED_VALUE"""),"pangolina")</f>
        <v>pangolina</v>
      </c>
      <c r="B2679" s="170"/>
      <c r="C2679" s="170" t="str">
        <f>IFERROR(__xludf.DUMMYFUNCTION("""COMPUTED_VALUE"""),"TX")</f>
        <v>TX</v>
      </c>
      <c r="D2679" s="170" t="str">
        <f>IFERROR(__xludf.DUMMYFUNCTION("""COMPUTED_VALUE"""),"USA")</f>
        <v>USA</v>
      </c>
      <c r="E2679" s="171">
        <f>IFERROR(__xludf.DUMMYFUNCTION("""COMPUTED_VALUE"""),43289.0)</f>
        <v>43289</v>
      </c>
      <c r="F2679" s="172">
        <f>IFERROR(__xludf.DUMMYFUNCTION("""COMPUTED_VALUE"""),43365.0)</f>
        <v>43365</v>
      </c>
      <c r="G2679" s="173"/>
      <c r="H2679" s="174">
        <f>IFERROR(__xludf.DUMMYFUNCTION("""COMPUTED_VALUE"""),97755.0)</f>
        <v>97755</v>
      </c>
      <c r="I2679" s="175" t="str">
        <f>IFERROR(__xludf.DUMMYFUNCTION("""COMPUTED_VALUE"""),"09/18")</f>
        <v>09/18</v>
      </c>
      <c r="J2679" s="172">
        <f>IFERROR(__xludf.DUMMYFUNCTION("""COMPUTED_VALUE"""),43372.0)</f>
        <v>43372</v>
      </c>
      <c r="K2679" s="176">
        <f>IFERROR(__xludf.DUMMYFUNCTION("""COMPUTED_VALUE"""),76.0)</f>
        <v>76</v>
      </c>
      <c r="L2679" s="176">
        <f>IFERROR(__xludf.DUMMYFUNCTION("""COMPUTED_VALUE"""),7.0)</f>
        <v>7</v>
      </c>
      <c r="M2679" s="176">
        <f>IFERROR(__xludf.DUMMYFUNCTION("""COMPUTED_VALUE"""),83.0)</f>
        <v>83</v>
      </c>
      <c r="N2679" s="177" t="str">
        <f>IFERROR(__xludf.DUMMYFUNCTION("""COMPUTED_VALUE"""),"Model 3 LR AWD")</f>
        <v>Model 3 LR AWD</v>
      </c>
      <c r="O2679" s="177" t="str">
        <f>IFERROR(__xludf.DUMMYFUNCTION("""COMPUTED_VALUE"""),"Deep Blue Metallic")</f>
        <v>Deep Blue Metallic</v>
      </c>
      <c r="P2679" s="178" t="str">
        <f>IFERROR(__xludf.DUMMYFUNCTION("""COMPUTED_VALUE"""),"19 inch Sport")</f>
        <v>19 inch Sport</v>
      </c>
      <c r="Q2679" s="177" t="str">
        <f>IFERROR(__xludf.DUMMYFUNCTION("""COMPUTED_VALUE"""),"White seats")</f>
        <v>White seats</v>
      </c>
      <c r="R2679" s="170" t="str">
        <f>IFERROR(__xludf.DUMMYFUNCTION("""COMPUTED_VALUE"""),"None")</f>
        <v>None</v>
      </c>
      <c r="S2679" s="170"/>
      <c r="T2679" s="179"/>
      <c r="U2679" s="179"/>
      <c r="V2679" s="179"/>
      <c r="W2679" s="180"/>
      <c r="X2679" s="181" t="str">
        <f>IFERROR(__xludf.DUMMYFUNCTION("""COMPUTED_VALUE"""),"Excellent")</f>
        <v>Excellent</v>
      </c>
      <c r="Y2679" s="182" t="str">
        <f>IFERROR(__xludf.DUMMYFUNCTION("""COMPUTED_VALUE"""),"Excellent")</f>
        <v>Excellent</v>
      </c>
      <c r="Z2679" s="182" t="str">
        <f>IFERROR(__xludf.DUMMYFUNCTION("""COMPUTED_VALUE"""),"Very Good")</f>
        <v>Very Good</v>
      </c>
      <c r="AA2679" s="182" t="str">
        <f>IFERROR(__xludf.DUMMYFUNCTION("""COMPUTED_VALUE"""),"Very Good")</f>
        <v>Very Good</v>
      </c>
      <c r="AB2679" s="182" t="str">
        <f>IFERROR(__xludf.DUMMYFUNCTION("""COMPUTED_VALUE"""),"Very Good")</f>
        <v>Very Good</v>
      </c>
      <c r="AC2679" s="183"/>
      <c r="AD2679" s="183">
        <f>IFERROR(__xludf.DUMMYFUNCTION("""COMPUTED_VALUE"""),1.0)</f>
        <v>1</v>
      </c>
      <c r="AE2679" s="183"/>
      <c r="AF2679" s="184"/>
      <c r="AG2679" s="180"/>
      <c r="AH2679" s="185">
        <f>IFERROR(__xludf.DUMMYFUNCTION("""COMPUTED_VALUE"""),43408.909125972226)</f>
        <v>43408.90913</v>
      </c>
      <c r="AI2679" s="182"/>
      <c r="AJ2679" s="182"/>
      <c r="AK2679" s="182"/>
      <c r="AL2679" s="182"/>
    </row>
    <row r="2680" ht="20.25" customHeight="1">
      <c r="A2680" s="169" t="str">
        <f>IFERROR(__xludf.DUMMYFUNCTION("""COMPUTED_VALUE"""),"Alchemy9477")</f>
        <v>Alchemy9477</v>
      </c>
      <c r="B2680" s="170" t="str">
        <f>IFERROR(__xludf.DUMMYFUNCTION("""COMPUTED_VALUE"""),"parker")</f>
        <v>parker</v>
      </c>
      <c r="C2680" s="170" t="str">
        <f>IFERROR(__xludf.DUMMYFUNCTION("""COMPUTED_VALUE"""),"CO")</f>
        <v>CO</v>
      </c>
      <c r="D2680" s="170" t="str">
        <f>IFERROR(__xludf.DUMMYFUNCTION("""COMPUTED_VALUE"""),"USA")</f>
        <v>USA</v>
      </c>
      <c r="E2680" s="171">
        <f>IFERROR(__xludf.DUMMYFUNCTION("""COMPUTED_VALUE"""),43288.0)</f>
        <v>43288</v>
      </c>
      <c r="F2680" s="172">
        <f>IFERROR(__xludf.DUMMYFUNCTION("""COMPUTED_VALUE"""),43362.0)</f>
        <v>43362</v>
      </c>
      <c r="G2680" s="173"/>
      <c r="H2680" s="174">
        <f>IFERROR(__xludf.DUMMYFUNCTION("""COMPUTED_VALUE"""),90680.0)</f>
        <v>90680</v>
      </c>
      <c r="I2680" s="175" t="str">
        <f>IFERROR(__xludf.DUMMYFUNCTION("""COMPUTED_VALUE"""),"09/18")</f>
        <v>09/18</v>
      </c>
      <c r="J2680" s="172">
        <f>IFERROR(__xludf.DUMMYFUNCTION("""COMPUTED_VALUE"""),43368.0)</f>
        <v>43368</v>
      </c>
      <c r="K2680" s="176">
        <f>IFERROR(__xludf.DUMMYFUNCTION("""COMPUTED_VALUE"""),74.0)</f>
        <v>74</v>
      </c>
      <c r="L2680" s="176">
        <f>IFERROR(__xludf.DUMMYFUNCTION("""COMPUTED_VALUE"""),6.0)</f>
        <v>6</v>
      </c>
      <c r="M2680" s="176">
        <f>IFERROR(__xludf.DUMMYFUNCTION("""COMPUTED_VALUE"""),80.0)</f>
        <v>80</v>
      </c>
      <c r="N2680" s="177" t="str">
        <f>IFERROR(__xludf.DUMMYFUNCTION("""COMPUTED_VALUE"""),"Model 3 LR AWD")</f>
        <v>Model 3 LR AWD</v>
      </c>
      <c r="O2680" s="177" t="str">
        <f>IFERROR(__xludf.DUMMYFUNCTION("""COMPUTED_VALUE"""),"Midnight Silver Metallic")</f>
        <v>Midnight Silver Metallic</v>
      </c>
      <c r="P2680" s="178" t="str">
        <f>IFERROR(__xludf.DUMMYFUNCTION("""COMPUTED_VALUE"""),"19 inch Sport")</f>
        <v>19 inch Sport</v>
      </c>
      <c r="Q2680" s="177" t="str">
        <f>IFERROR(__xludf.DUMMYFUNCTION("""COMPUTED_VALUE"""),"Black seats")</f>
        <v>Black seats</v>
      </c>
      <c r="R2680" s="170" t="str">
        <f>IFERROR(__xludf.DUMMYFUNCTION("""COMPUTED_VALUE"""),"Full Self-Driving")</f>
        <v>Full Self-Driving</v>
      </c>
      <c r="S2680" s="170"/>
      <c r="T2680" s="179"/>
      <c r="U2680" s="179"/>
      <c r="V2680" s="179"/>
      <c r="W2680" s="180"/>
      <c r="X2680" s="181" t="str">
        <f>IFERROR(__xludf.DUMMYFUNCTION("""COMPUTED_VALUE"""),"Very Good")</f>
        <v>Very Good</v>
      </c>
      <c r="Y2680" s="182" t="str">
        <f>IFERROR(__xludf.DUMMYFUNCTION("""COMPUTED_VALUE"""),"Very Good")</f>
        <v>Very Good</v>
      </c>
      <c r="Z2680" s="182" t="str">
        <f>IFERROR(__xludf.DUMMYFUNCTION("""COMPUTED_VALUE"""),"Excellent")</f>
        <v>Excellent</v>
      </c>
      <c r="AA2680" s="182" t="str">
        <f>IFERROR(__xludf.DUMMYFUNCTION("""COMPUTED_VALUE"""),"Fair")</f>
        <v>Fair</v>
      </c>
      <c r="AB2680" s="182" t="str">
        <f>IFERROR(__xludf.DUMMYFUNCTION("""COMPUTED_VALUE"""),"Good")</f>
        <v>Good</v>
      </c>
      <c r="AC2680" s="183"/>
      <c r="AD2680" s="183"/>
      <c r="AE2680" s="183"/>
      <c r="AF2680" s="184"/>
      <c r="AG2680" s="180"/>
      <c r="AH2680" s="185">
        <f>IFERROR(__xludf.DUMMYFUNCTION("""COMPUTED_VALUE"""),43373.34351537037)</f>
        <v>43373.34352</v>
      </c>
      <c r="AI2680" s="182"/>
      <c r="AJ2680" s="182"/>
      <c r="AK2680" s="182"/>
      <c r="AL2680" s="182"/>
    </row>
    <row r="2681" ht="20.25" customHeight="1">
      <c r="A2681" s="169" t="str">
        <f>IFERROR(__xludf.DUMMYFUNCTION("""COMPUTED_VALUE"""),"asmockler")</f>
        <v>asmockler</v>
      </c>
      <c r="B2681" s="170" t="str">
        <f>IFERROR(__xludf.DUMMYFUNCTION("""COMPUTED_VALUE"""),"Cambridge")</f>
        <v>Cambridge</v>
      </c>
      <c r="C2681" s="170" t="str">
        <f>IFERROR(__xludf.DUMMYFUNCTION("""COMPUTED_VALUE"""),"MA")</f>
        <v>MA</v>
      </c>
      <c r="D2681" s="170" t="str">
        <f>IFERROR(__xludf.DUMMYFUNCTION("""COMPUTED_VALUE"""),"USA")</f>
        <v>USA</v>
      </c>
      <c r="E2681" s="171">
        <f>IFERROR(__xludf.DUMMYFUNCTION("""COMPUTED_VALUE"""),43288.0)</f>
        <v>43288</v>
      </c>
      <c r="F2681" s="172">
        <f>IFERROR(__xludf.DUMMYFUNCTION("""COMPUTED_VALUE"""),43397.0)</f>
        <v>43397</v>
      </c>
      <c r="G2681" s="173"/>
      <c r="H2681" s="174">
        <f>IFERROR(__xludf.DUMMYFUNCTION("""COMPUTED_VALUE"""),117848.0)</f>
        <v>117848</v>
      </c>
      <c r="I2681" s="175" t="str">
        <f>IFERROR(__xludf.DUMMYFUNCTION("""COMPUTED_VALUE"""),"10/18")</f>
        <v>10/18</v>
      </c>
      <c r="J2681" s="172">
        <f>IFERROR(__xludf.DUMMYFUNCTION("""COMPUTED_VALUE"""),43410.0)</f>
        <v>43410</v>
      </c>
      <c r="K2681" s="176">
        <f>IFERROR(__xludf.DUMMYFUNCTION("""COMPUTED_VALUE"""),109.0)</f>
        <v>109</v>
      </c>
      <c r="L2681" s="176">
        <f>IFERROR(__xludf.DUMMYFUNCTION("""COMPUTED_VALUE"""),13.0)</f>
        <v>13</v>
      </c>
      <c r="M2681" s="176">
        <f>IFERROR(__xludf.DUMMYFUNCTION("""COMPUTED_VALUE"""),122.0)</f>
        <v>122</v>
      </c>
      <c r="N2681" s="177" t="str">
        <f>IFERROR(__xludf.DUMMYFUNCTION("""COMPUTED_VALUE"""),"Model 3 LR AWD")</f>
        <v>Model 3 LR AWD</v>
      </c>
      <c r="O2681" s="177" t="str">
        <f>IFERROR(__xludf.DUMMYFUNCTION("""COMPUTED_VALUE"""),"Pearl White Multi-Coat")</f>
        <v>Pearl White Multi-Coat</v>
      </c>
      <c r="P2681" s="178" t="str">
        <f>IFERROR(__xludf.DUMMYFUNCTION("""COMPUTED_VALUE"""),"19 inch Sport")</f>
        <v>19 inch Sport</v>
      </c>
      <c r="Q2681" s="177" t="str">
        <f>IFERROR(__xludf.DUMMYFUNCTION("""COMPUTED_VALUE"""),"Black seats")</f>
        <v>Black seats</v>
      </c>
      <c r="R2681" s="170" t="str">
        <f>IFERROR(__xludf.DUMMYFUNCTION("""COMPUTED_VALUE"""),"Enhanced Autopilot")</f>
        <v>Enhanced Autopilot</v>
      </c>
      <c r="S2681" s="170"/>
      <c r="T2681" s="179"/>
      <c r="U2681" s="179"/>
      <c r="V2681" s="179"/>
      <c r="W2681" s="180"/>
      <c r="X2681" s="181" t="str">
        <f>IFERROR(__xludf.DUMMYFUNCTION("""COMPUTED_VALUE"""),"Excellent")</f>
        <v>Excellent</v>
      </c>
      <c r="Y2681" s="182" t="str">
        <f>IFERROR(__xludf.DUMMYFUNCTION("""COMPUTED_VALUE"""),"Excellent")</f>
        <v>Excellent</v>
      </c>
      <c r="Z2681" s="182" t="str">
        <f>IFERROR(__xludf.DUMMYFUNCTION("""COMPUTED_VALUE"""),"Very Good")</f>
        <v>Very Good</v>
      </c>
      <c r="AA2681" s="182" t="str">
        <f>IFERROR(__xludf.DUMMYFUNCTION("""COMPUTED_VALUE"""),"Fair")</f>
        <v>Fair</v>
      </c>
      <c r="AB2681" s="182" t="str">
        <f>IFERROR(__xludf.DUMMYFUNCTION("""COMPUTED_VALUE"""),"Very Good")</f>
        <v>Very Good</v>
      </c>
      <c r="AC2681" s="183"/>
      <c r="AD2681" s="183"/>
      <c r="AE2681" s="183"/>
      <c r="AF2681" s="184"/>
      <c r="AG2681" s="180"/>
      <c r="AH2681" s="185">
        <f>IFERROR(__xludf.DUMMYFUNCTION("""COMPUTED_VALUE"""),43412.22788878473)</f>
        <v>43412.22789</v>
      </c>
      <c r="AI2681" s="182"/>
      <c r="AJ2681" s="182"/>
      <c r="AK2681" s="182"/>
      <c r="AL2681" s="182"/>
    </row>
    <row r="2682" ht="20.25" customHeight="1">
      <c r="A2682" s="169" t="str">
        <f>IFERROR(__xludf.DUMMYFUNCTION("""COMPUTED_VALUE"""),"DCTesla")</f>
        <v>DCTesla</v>
      </c>
      <c r="B2682" s="170"/>
      <c r="C2682" s="170" t="str">
        <f>IFERROR(__xludf.DUMMYFUNCTION("""COMPUTED_VALUE"""),"VA")</f>
        <v>VA</v>
      </c>
      <c r="D2682" s="170" t="str">
        <f>IFERROR(__xludf.DUMMYFUNCTION("""COMPUTED_VALUE"""),"USA")</f>
        <v>USA</v>
      </c>
      <c r="E2682" s="171">
        <f>IFERROR(__xludf.DUMMYFUNCTION("""COMPUTED_VALUE"""),43288.0)</f>
        <v>43288</v>
      </c>
      <c r="F2682" s="172">
        <f>IFERROR(__xludf.DUMMYFUNCTION("""COMPUTED_VALUE"""),43391.0)</f>
        <v>43391</v>
      </c>
      <c r="G2682" s="173"/>
      <c r="H2682" s="174">
        <f>IFERROR(__xludf.DUMMYFUNCTION("""COMPUTED_VALUE"""),104055.0)</f>
        <v>104055</v>
      </c>
      <c r="I2682" s="175" t="str">
        <f>IFERROR(__xludf.DUMMYFUNCTION("""COMPUTED_VALUE"""),"10/18")</f>
        <v>10/18</v>
      </c>
      <c r="J2682" s="172">
        <f>IFERROR(__xludf.DUMMYFUNCTION("""COMPUTED_VALUE"""),43406.0)</f>
        <v>43406</v>
      </c>
      <c r="K2682" s="176">
        <f>IFERROR(__xludf.DUMMYFUNCTION("""COMPUTED_VALUE"""),103.0)</f>
        <v>103</v>
      </c>
      <c r="L2682" s="176">
        <f>IFERROR(__xludf.DUMMYFUNCTION("""COMPUTED_VALUE"""),15.0)</f>
        <v>15</v>
      </c>
      <c r="M2682" s="176">
        <f>IFERROR(__xludf.DUMMYFUNCTION("""COMPUTED_VALUE"""),118.0)</f>
        <v>118</v>
      </c>
      <c r="N2682" s="177" t="str">
        <f>IFERROR(__xludf.DUMMYFUNCTION("""COMPUTED_VALUE"""),"Model 3 LR AWD")</f>
        <v>Model 3 LR AWD</v>
      </c>
      <c r="O2682" s="177" t="str">
        <f>IFERROR(__xludf.DUMMYFUNCTION("""COMPUTED_VALUE"""),"Midnight Silver Metallic")</f>
        <v>Midnight Silver Metallic</v>
      </c>
      <c r="P2682" s="178" t="str">
        <f>IFERROR(__xludf.DUMMYFUNCTION("""COMPUTED_VALUE"""),"18 inch Aero")</f>
        <v>18 inch Aero</v>
      </c>
      <c r="Q2682" s="177" t="str">
        <f>IFERROR(__xludf.DUMMYFUNCTION("""COMPUTED_VALUE"""),"Black seats")</f>
        <v>Black seats</v>
      </c>
      <c r="R2682" s="170" t="str">
        <f>IFERROR(__xludf.DUMMYFUNCTION("""COMPUTED_VALUE"""),"Enhanced Autopilot")</f>
        <v>Enhanced Autopilot</v>
      </c>
      <c r="S2682" s="170"/>
      <c r="T2682" s="179"/>
      <c r="U2682" s="179"/>
      <c r="V2682" s="179"/>
      <c r="W2682" s="180"/>
      <c r="X2682" s="181" t="str">
        <f>IFERROR(__xludf.DUMMYFUNCTION("""COMPUTED_VALUE"""),"Good")</f>
        <v>Good</v>
      </c>
      <c r="Y2682" s="182" t="str">
        <f>IFERROR(__xludf.DUMMYFUNCTION("""COMPUTED_VALUE"""),"Good")</f>
        <v>Good</v>
      </c>
      <c r="Z2682" s="182" t="str">
        <f>IFERROR(__xludf.DUMMYFUNCTION("""COMPUTED_VALUE"""),"Good")</f>
        <v>Good</v>
      </c>
      <c r="AA2682" s="182" t="str">
        <f>IFERROR(__xludf.DUMMYFUNCTION("""COMPUTED_VALUE"""),"Fair")</f>
        <v>Fair</v>
      </c>
      <c r="AB2682" s="182" t="str">
        <f>IFERROR(__xludf.DUMMYFUNCTION("""COMPUTED_VALUE"""),"Poor")</f>
        <v>Poor</v>
      </c>
      <c r="AC2682" s="183">
        <f>IFERROR(__xludf.DUMMYFUNCTION("""COMPUTED_VALUE"""),0.0)</f>
        <v>0</v>
      </c>
      <c r="AD2682" s="183">
        <f>IFERROR(__xludf.DUMMYFUNCTION("""COMPUTED_VALUE"""),1.0)</f>
        <v>1</v>
      </c>
      <c r="AE2682" s="183">
        <f>IFERROR(__xludf.DUMMYFUNCTION("""COMPUTED_VALUE"""),0.0)</f>
        <v>0</v>
      </c>
      <c r="AF2682" s="184"/>
      <c r="AG2682" s="180"/>
      <c r="AH2682" s="185">
        <f>IFERROR(__xludf.DUMMYFUNCTION("""COMPUTED_VALUE"""),43406.83728310185)</f>
        <v>43406.83728</v>
      </c>
      <c r="AI2682" s="182"/>
      <c r="AJ2682" s="182"/>
      <c r="AK2682" s="182"/>
      <c r="AL2682" s="182"/>
    </row>
    <row r="2683" ht="20.25" customHeight="1">
      <c r="A2683" s="169" t="str">
        <f>IFERROR(__xludf.DUMMYFUNCTION("""COMPUTED_VALUE"""),"DocBrad")</f>
        <v>DocBrad</v>
      </c>
      <c r="B2683" s="170" t="str">
        <f>IFERROR(__xludf.DUMMYFUNCTION("""COMPUTED_VALUE"""),"Dayton")</f>
        <v>Dayton</v>
      </c>
      <c r="C2683" s="170" t="str">
        <f>IFERROR(__xludf.DUMMYFUNCTION("""COMPUTED_VALUE"""),"OH")</f>
        <v>OH</v>
      </c>
      <c r="D2683" s="170" t="str">
        <f>IFERROR(__xludf.DUMMYFUNCTION("""COMPUTED_VALUE"""),"USA")</f>
        <v>USA</v>
      </c>
      <c r="E2683" s="171">
        <f>IFERROR(__xludf.DUMMYFUNCTION("""COMPUTED_VALUE"""),43288.0)</f>
        <v>43288</v>
      </c>
      <c r="F2683" s="172">
        <f>IFERROR(__xludf.DUMMYFUNCTION("""COMPUTED_VALUE"""),43369.0)</f>
        <v>43369</v>
      </c>
      <c r="G2683" s="173"/>
      <c r="H2683" s="174">
        <f>IFERROR(__xludf.DUMMYFUNCTION("""COMPUTED_VALUE"""),91063.0)</f>
        <v>91063</v>
      </c>
      <c r="I2683" s="175" t="str">
        <f>IFERROR(__xludf.DUMMYFUNCTION("""COMPUTED_VALUE"""),"09/18")</f>
        <v>09/18</v>
      </c>
      <c r="J2683" s="172">
        <f>IFERROR(__xludf.DUMMYFUNCTION("""COMPUTED_VALUE"""),43379.0)</f>
        <v>43379</v>
      </c>
      <c r="K2683" s="176">
        <f>IFERROR(__xludf.DUMMYFUNCTION("""COMPUTED_VALUE"""),81.0)</f>
        <v>81</v>
      </c>
      <c r="L2683" s="176">
        <f>IFERROR(__xludf.DUMMYFUNCTION("""COMPUTED_VALUE"""),10.0)</f>
        <v>10</v>
      </c>
      <c r="M2683" s="176">
        <f>IFERROR(__xludf.DUMMYFUNCTION("""COMPUTED_VALUE"""),91.0)</f>
        <v>91</v>
      </c>
      <c r="N2683" s="177" t="str">
        <f>IFERROR(__xludf.DUMMYFUNCTION("""COMPUTED_VALUE"""),"Model 3 Performance")</f>
        <v>Model 3 Performance</v>
      </c>
      <c r="O2683" s="177" t="str">
        <f>IFERROR(__xludf.DUMMYFUNCTION("""COMPUTED_VALUE"""),"Midnight Silver Metallic")</f>
        <v>Midnight Silver Metallic</v>
      </c>
      <c r="P2683" s="178" t="str">
        <f>IFERROR(__xludf.DUMMYFUNCTION("""COMPUTED_VALUE"""),"18 inch Aero")</f>
        <v>18 inch Aero</v>
      </c>
      <c r="Q2683" s="177" t="str">
        <f>IFERROR(__xludf.DUMMYFUNCTION("""COMPUTED_VALUE"""),"Black seats")</f>
        <v>Black seats</v>
      </c>
      <c r="R2683" s="170" t="str">
        <f>IFERROR(__xludf.DUMMYFUNCTION("""COMPUTED_VALUE"""),"Full Self-Driving")</f>
        <v>Full Self-Driving</v>
      </c>
      <c r="S2683" s="170"/>
      <c r="T2683" s="179"/>
      <c r="U2683" s="179"/>
      <c r="V2683" s="179"/>
      <c r="W2683" s="180"/>
      <c r="X2683" s="181" t="str">
        <f>IFERROR(__xludf.DUMMYFUNCTION("""COMPUTED_VALUE"""),"Very Good")</f>
        <v>Very Good</v>
      </c>
      <c r="Y2683" s="182" t="str">
        <f>IFERROR(__xludf.DUMMYFUNCTION("""COMPUTED_VALUE"""),"Excellent")</f>
        <v>Excellent</v>
      </c>
      <c r="Z2683" s="182" t="str">
        <f>IFERROR(__xludf.DUMMYFUNCTION("""COMPUTED_VALUE"""),"Excellent")</f>
        <v>Excellent</v>
      </c>
      <c r="AA2683" s="182" t="str">
        <f>IFERROR(__xludf.DUMMYFUNCTION("""COMPUTED_VALUE"""),"Fair")</f>
        <v>Fair</v>
      </c>
      <c r="AB2683" s="182" t="str">
        <f>IFERROR(__xludf.DUMMYFUNCTION("""COMPUTED_VALUE"""),"Good")</f>
        <v>Good</v>
      </c>
      <c r="AC2683" s="183">
        <f>IFERROR(__xludf.DUMMYFUNCTION("""COMPUTED_VALUE"""),2.0)</f>
        <v>2</v>
      </c>
      <c r="AD2683" s="183">
        <f>IFERROR(__xludf.DUMMYFUNCTION("""COMPUTED_VALUE"""),1.0)</f>
        <v>1</v>
      </c>
      <c r="AE2683" s="183"/>
      <c r="AF2683" s="184"/>
      <c r="AG2683" s="180"/>
      <c r="AH2683" s="185">
        <f>IFERROR(__xludf.DUMMYFUNCTION("""COMPUTED_VALUE"""),43380.762843391196)</f>
        <v>43380.76284</v>
      </c>
      <c r="AI2683" s="182"/>
      <c r="AJ2683" s="182"/>
      <c r="AK2683" s="182"/>
      <c r="AL2683" s="182"/>
    </row>
    <row r="2684" ht="20.25" customHeight="1">
      <c r="A2684" s="169" t="str">
        <f>IFERROR(__xludf.DUMMYFUNCTION("""COMPUTED_VALUE"""),"Niduag")</f>
        <v>Niduag</v>
      </c>
      <c r="B2684" s="170" t="str">
        <f>IFERROR(__xludf.DUMMYFUNCTION("""COMPUTED_VALUE"""),"Seattle")</f>
        <v>Seattle</v>
      </c>
      <c r="C2684" s="170" t="str">
        <f>IFERROR(__xludf.DUMMYFUNCTION("""COMPUTED_VALUE"""),"WA")</f>
        <v>WA</v>
      </c>
      <c r="D2684" s="170" t="str">
        <f>IFERROR(__xludf.DUMMYFUNCTION("""COMPUTED_VALUE"""),"USA")</f>
        <v>USA</v>
      </c>
      <c r="E2684" s="171">
        <f>IFERROR(__xludf.DUMMYFUNCTION("""COMPUTED_VALUE"""),43288.0)</f>
        <v>43288</v>
      </c>
      <c r="F2684" s="172">
        <f>IFERROR(__xludf.DUMMYFUNCTION("""COMPUTED_VALUE"""),43368.0)</f>
        <v>43368</v>
      </c>
      <c r="G2684" s="173"/>
      <c r="H2684" s="174">
        <f>IFERROR(__xludf.DUMMYFUNCTION("""COMPUTED_VALUE"""),114662.0)</f>
        <v>114662</v>
      </c>
      <c r="I2684" s="175"/>
      <c r="J2684" s="172">
        <f>IFERROR(__xludf.DUMMYFUNCTION("""COMPUTED_VALUE"""),43375.0)</f>
        <v>43375</v>
      </c>
      <c r="K2684" s="176">
        <f>IFERROR(__xludf.DUMMYFUNCTION("""COMPUTED_VALUE"""),80.0)</f>
        <v>80</v>
      </c>
      <c r="L2684" s="176">
        <f>IFERROR(__xludf.DUMMYFUNCTION("""COMPUTED_VALUE"""),7.0)</f>
        <v>7</v>
      </c>
      <c r="M2684" s="176">
        <f>IFERROR(__xludf.DUMMYFUNCTION("""COMPUTED_VALUE"""),87.0)</f>
        <v>87</v>
      </c>
      <c r="N2684" s="177" t="str">
        <f>IFERROR(__xludf.DUMMYFUNCTION("""COMPUTED_VALUE"""),"Model 3 LR AWD")</f>
        <v>Model 3 LR AWD</v>
      </c>
      <c r="O2684" s="177" t="str">
        <f>IFERROR(__xludf.DUMMYFUNCTION("""COMPUTED_VALUE"""),"Red Multi-Coat")</f>
        <v>Red Multi-Coat</v>
      </c>
      <c r="P2684" s="178" t="str">
        <f>IFERROR(__xludf.DUMMYFUNCTION("""COMPUTED_VALUE"""),"18 inch Aero")</f>
        <v>18 inch Aero</v>
      </c>
      <c r="Q2684" s="177" t="str">
        <f>IFERROR(__xludf.DUMMYFUNCTION("""COMPUTED_VALUE"""),"Black seats")</f>
        <v>Black seats</v>
      </c>
      <c r="R2684" s="170" t="str">
        <f>IFERROR(__xludf.DUMMYFUNCTION("""COMPUTED_VALUE"""),"Full Self-Driving")</f>
        <v>Full Self-Driving</v>
      </c>
      <c r="S2684" s="170"/>
      <c r="T2684" s="179"/>
      <c r="U2684" s="179"/>
      <c r="V2684" s="179"/>
      <c r="W2684" s="180"/>
      <c r="X2684" s="181" t="str">
        <f>IFERROR(__xludf.DUMMYFUNCTION("""COMPUTED_VALUE"""),"Excellent")</f>
        <v>Excellent</v>
      </c>
      <c r="Y2684" s="182" t="str">
        <f>IFERROR(__xludf.DUMMYFUNCTION("""COMPUTED_VALUE"""),"Excellent")</f>
        <v>Excellent</v>
      </c>
      <c r="Z2684" s="182" t="str">
        <f>IFERROR(__xludf.DUMMYFUNCTION("""COMPUTED_VALUE"""),"Excellent")</f>
        <v>Excellent</v>
      </c>
      <c r="AA2684" s="182" t="str">
        <f>IFERROR(__xludf.DUMMYFUNCTION("""COMPUTED_VALUE"""),"Excellent")</f>
        <v>Excellent</v>
      </c>
      <c r="AB2684" s="182" t="str">
        <f>IFERROR(__xludf.DUMMYFUNCTION("""COMPUTED_VALUE"""),"Excellent")</f>
        <v>Excellent</v>
      </c>
      <c r="AC2684" s="183">
        <f>IFERROR(__xludf.DUMMYFUNCTION("""COMPUTED_VALUE"""),0.0)</f>
        <v>0</v>
      </c>
      <c r="AD2684" s="183">
        <f>IFERROR(__xludf.DUMMYFUNCTION("""COMPUTED_VALUE"""),0.0)</f>
        <v>0</v>
      </c>
      <c r="AE2684" s="183">
        <f>IFERROR(__xludf.DUMMYFUNCTION("""COMPUTED_VALUE"""),0.0)</f>
        <v>0</v>
      </c>
      <c r="AF2684" s="184"/>
      <c r="AG2684" s="180"/>
      <c r="AH2684" s="185">
        <f>IFERROR(__xludf.DUMMYFUNCTION("""COMPUTED_VALUE"""),43375.64601849537)</f>
        <v>43375.64602</v>
      </c>
      <c r="AI2684" s="182"/>
      <c r="AJ2684" s="182"/>
      <c r="AK2684" s="182"/>
      <c r="AL2684" s="182"/>
    </row>
    <row r="2685" ht="20.25" customHeight="1">
      <c r="A2685" s="169" t="str">
        <f>IFERROR(__xludf.DUMMYFUNCTION("""COMPUTED_VALUE"""),"PQrocks")</f>
        <v>PQrocks</v>
      </c>
      <c r="B2685" s="170" t="str">
        <f>IFERROR(__xludf.DUMMYFUNCTION("""COMPUTED_VALUE"""),"San Diego")</f>
        <v>San Diego</v>
      </c>
      <c r="C2685" s="170" t="str">
        <f>IFERROR(__xludf.DUMMYFUNCTION("""COMPUTED_VALUE"""),"CA")</f>
        <v>CA</v>
      </c>
      <c r="D2685" s="170" t="str">
        <f>IFERROR(__xludf.DUMMYFUNCTION("""COMPUTED_VALUE"""),"USA")</f>
        <v>USA</v>
      </c>
      <c r="E2685" s="171">
        <f>IFERROR(__xludf.DUMMYFUNCTION("""COMPUTED_VALUE"""),43288.0)</f>
        <v>43288</v>
      </c>
      <c r="F2685" s="172">
        <f>IFERROR(__xludf.DUMMYFUNCTION("""COMPUTED_VALUE"""),43370.0)</f>
        <v>43370</v>
      </c>
      <c r="G2685" s="173"/>
      <c r="H2685" s="174">
        <f>IFERROR(__xludf.DUMMYFUNCTION("""COMPUTED_VALUE"""),93636.0)</f>
        <v>93636</v>
      </c>
      <c r="I2685" s="175" t="str">
        <f>IFERROR(__xludf.DUMMYFUNCTION("""COMPUTED_VALUE"""),"09/18")</f>
        <v>09/18</v>
      </c>
      <c r="J2685" s="172">
        <f>IFERROR(__xludf.DUMMYFUNCTION("""COMPUTED_VALUE"""),43373.0)</f>
        <v>43373</v>
      </c>
      <c r="K2685" s="176">
        <f>IFERROR(__xludf.DUMMYFUNCTION("""COMPUTED_VALUE"""),82.0)</f>
        <v>82</v>
      </c>
      <c r="L2685" s="176">
        <f>IFERROR(__xludf.DUMMYFUNCTION("""COMPUTED_VALUE"""),3.0)</f>
        <v>3</v>
      </c>
      <c r="M2685" s="176">
        <f>IFERROR(__xludf.DUMMYFUNCTION("""COMPUTED_VALUE"""),85.0)</f>
        <v>85</v>
      </c>
      <c r="N2685" s="177" t="str">
        <f>IFERROR(__xludf.DUMMYFUNCTION("""COMPUTED_VALUE"""),"Model 3 LR AWD")</f>
        <v>Model 3 LR AWD</v>
      </c>
      <c r="O2685" s="177" t="str">
        <f>IFERROR(__xludf.DUMMYFUNCTION("""COMPUTED_VALUE"""),"Deep Blue Metallic")</f>
        <v>Deep Blue Metallic</v>
      </c>
      <c r="P2685" s="178" t="str">
        <f>IFERROR(__xludf.DUMMYFUNCTION("""COMPUTED_VALUE"""),"18 inch Aero")</f>
        <v>18 inch Aero</v>
      </c>
      <c r="Q2685" s="177" t="str">
        <f>IFERROR(__xludf.DUMMYFUNCTION("""COMPUTED_VALUE"""),"Black seats")</f>
        <v>Black seats</v>
      </c>
      <c r="R2685" s="170" t="str">
        <f>IFERROR(__xludf.DUMMYFUNCTION("""COMPUTED_VALUE"""),"None")</f>
        <v>None</v>
      </c>
      <c r="S2685" s="170"/>
      <c r="T2685" s="179"/>
      <c r="U2685" s="179"/>
      <c r="V2685" s="179"/>
      <c r="W2685" s="180"/>
      <c r="X2685" s="181" t="str">
        <f>IFERROR(__xludf.DUMMYFUNCTION("""COMPUTED_VALUE"""),"Good")</f>
        <v>Good</v>
      </c>
      <c r="Y2685" s="182" t="str">
        <f>IFERROR(__xludf.DUMMYFUNCTION("""COMPUTED_VALUE"""),"Excellent")</f>
        <v>Excellent</v>
      </c>
      <c r="Z2685" s="182" t="str">
        <f>IFERROR(__xludf.DUMMYFUNCTION("""COMPUTED_VALUE"""),"Very Good")</f>
        <v>Very Good</v>
      </c>
      <c r="AA2685" s="182" t="str">
        <f>IFERROR(__xludf.DUMMYFUNCTION("""COMPUTED_VALUE"""),"Good")</f>
        <v>Good</v>
      </c>
      <c r="AB2685" s="182" t="str">
        <f>IFERROR(__xludf.DUMMYFUNCTION("""COMPUTED_VALUE"""),"Good")</f>
        <v>Good</v>
      </c>
      <c r="AC2685" s="183">
        <f>IFERROR(__xludf.DUMMYFUNCTION("""COMPUTED_VALUE"""),0.0)</f>
        <v>0</v>
      </c>
      <c r="AD2685" s="183">
        <f>IFERROR(__xludf.DUMMYFUNCTION("""COMPUTED_VALUE"""),0.0)</f>
        <v>0</v>
      </c>
      <c r="AE2685" s="183">
        <f>IFERROR(__xludf.DUMMYFUNCTION("""COMPUTED_VALUE"""),0.0)</f>
        <v>0</v>
      </c>
      <c r="AF2685" s="184"/>
      <c r="AG2685" s="180"/>
      <c r="AH2685" s="185">
        <f>IFERROR(__xludf.DUMMYFUNCTION("""COMPUTED_VALUE"""),43409.91045412037)</f>
        <v>43409.91045</v>
      </c>
      <c r="AI2685" s="182"/>
      <c r="AJ2685" s="182"/>
      <c r="AK2685" s="182"/>
      <c r="AL2685" s="182"/>
    </row>
    <row r="2686" ht="20.25" customHeight="1">
      <c r="A2686" s="169" t="str">
        <f>IFERROR(__xludf.DUMMYFUNCTION("""COMPUTED_VALUE"""),"Traxx")</f>
        <v>Traxx</v>
      </c>
      <c r="B2686" s="170" t="str">
        <f>IFERROR(__xludf.DUMMYFUNCTION("""COMPUTED_VALUE"""),"Vancouver")</f>
        <v>Vancouver</v>
      </c>
      <c r="C2686" s="170" t="str">
        <f>IFERROR(__xludf.DUMMYFUNCTION("""COMPUTED_VALUE"""),"BC")</f>
        <v>BC</v>
      </c>
      <c r="D2686" s="170" t="str">
        <f>IFERROR(__xludf.DUMMYFUNCTION("""COMPUTED_VALUE"""),"Canada")</f>
        <v>Canada</v>
      </c>
      <c r="E2686" s="171">
        <f>IFERROR(__xludf.DUMMYFUNCTION("""COMPUTED_VALUE"""),43288.0)</f>
        <v>43288</v>
      </c>
      <c r="F2686" s="172">
        <f>IFERROR(__xludf.DUMMYFUNCTION("""COMPUTED_VALUE"""),43362.0)</f>
        <v>43362</v>
      </c>
      <c r="G2686" s="173"/>
      <c r="H2686" s="174">
        <f>IFERROR(__xludf.DUMMYFUNCTION("""COMPUTED_VALUE"""),110855.0)</f>
        <v>110855</v>
      </c>
      <c r="I2686" s="175" t="str">
        <f>IFERROR(__xludf.DUMMYFUNCTION("""COMPUTED_VALUE"""),"09/18")</f>
        <v>09/18</v>
      </c>
      <c r="J2686" s="172">
        <f>IFERROR(__xludf.DUMMYFUNCTION("""COMPUTED_VALUE"""),43366.0)</f>
        <v>43366</v>
      </c>
      <c r="K2686" s="176">
        <f>IFERROR(__xludf.DUMMYFUNCTION("""COMPUTED_VALUE"""),74.0)</f>
        <v>74</v>
      </c>
      <c r="L2686" s="176">
        <f>IFERROR(__xludf.DUMMYFUNCTION("""COMPUTED_VALUE"""),4.0)</f>
        <v>4</v>
      </c>
      <c r="M2686" s="176">
        <f>IFERROR(__xludf.DUMMYFUNCTION("""COMPUTED_VALUE"""),78.0)</f>
        <v>78</v>
      </c>
      <c r="N2686" s="177" t="str">
        <f>IFERROR(__xludf.DUMMYFUNCTION("""COMPUTED_VALUE"""),"Model 3 LR AWD")</f>
        <v>Model 3 LR AWD</v>
      </c>
      <c r="O2686" s="177" t="str">
        <f>IFERROR(__xludf.DUMMYFUNCTION("""COMPUTED_VALUE"""),"Midnight Silver Metallic")</f>
        <v>Midnight Silver Metallic</v>
      </c>
      <c r="P2686" s="178" t="str">
        <f>IFERROR(__xludf.DUMMYFUNCTION("""COMPUTED_VALUE"""),"19 inch Sport")</f>
        <v>19 inch Sport</v>
      </c>
      <c r="Q2686" s="177" t="str">
        <f>IFERROR(__xludf.DUMMYFUNCTION("""COMPUTED_VALUE"""),"Black seats")</f>
        <v>Black seats</v>
      </c>
      <c r="R2686" s="170" t="str">
        <f>IFERROR(__xludf.DUMMYFUNCTION("""COMPUTED_VALUE"""),"None")</f>
        <v>None</v>
      </c>
      <c r="S2686" s="170"/>
      <c r="T2686" s="179"/>
      <c r="U2686" s="179"/>
      <c r="V2686" s="179"/>
      <c r="W2686" s="180"/>
      <c r="X2686" s="181" t="str">
        <f>IFERROR(__xludf.DUMMYFUNCTION("""COMPUTED_VALUE"""),"Excellent")</f>
        <v>Excellent</v>
      </c>
      <c r="Y2686" s="182" t="str">
        <f>IFERROR(__xludf.DUMMYFUNCTION("""COMPUTED_VALUE"""),"Excellent")</f>
        <v>Excellent</v>
      </c>
      <c r="Z2686" s="182" t="str">
        <f>IFERROR(__xludf.DUMMYFUNCTION("""COMPUTED_VALUE"""),"Excellent")</f>
        <v>Excellent</v>
      </c>
      <c r="AA2686" s="182" t="str">
        <f>IFERROR(__xludf.DUMMYFUNCTION("""COMPUTED_VALUE"""),"Fair")</f>
        <v>Fair</v>
      </c>
      <c r="AB2686" s="182" t="str">
        <f>IFERROR(__xludf.DUMMYFUNCTION("""COMPUTED_VALUE"""),"Very Good")</f>
        <v>Very Good</v>
      </c>
      <c r="AC2686" s="183">
        <f>IFERROR(__xludf.DUMMYFUNCTION("""COMPUTED_VALUE"""),0.0)</f>
        <v>0</v>
      </c>
      <c r="AD2686" s="183"/>
      <c r="AE2686" s="183"/>
      <c r="AF2686" s="184"/>
      <c r="AG2686" s="180"/>
      <c r="AH2686" s="185">
        <f>IFERROR(__xludf.DUMMYFUNCTION("""COMPUTED_VALUE"""),43373.73716474538)</f>
        <v>43373.73716</v>
      </c>
      <c r="AI2686" s="182"/>
      <c r="AJ2686" s="182"/>
      <c r="AK2686" s="182"/>
      <c r="AL2686" s="182"/>
    </row>
    <row r="2687" ht="20.25" customHeight="1">
      <c r="A2687" s="169" t="str">
        <f>IFERROR(__xludf.DUMMYFUNCTION("""COMPUTED_VALUE"""),"benihect")</f>
        <v>benihect</v>
      </c>
      <c r="B2687" s="170" t="str">
        <f>IFERROR(__xludf.DUMMYFUNCTION("""COMPUTED_VALUE"""),"Chicago")</f>
        <v>Chicago</v>
      </c>
      <c r="C2687" s="170" t="str">
        <f>IFERROR(__xludf.DUMMYFUNCTION("""COMPUTED_VALUE"""),"IL")</f>
        <v>IL</v>
      </c>
      <c r="D2687" s="170" t="str">
        <f>IFERROR(__xludf.DUMMYFUNCTION("""COMPUTED_VALUE"""),"USA")</f>
        <v>USA</v>
      </c>
      <c r="E2687" s="171">
        <f>IFERROR(__xludf.DUMMYFUNCTION("""COMPUTED_VALUE"""),43287.0)</f>
        <v>43287</v>
      </c>
      <c r="F2687" s="172">
        <f>IFERROR(__xludf.DUMMYFUNCTION("""COMPUTED_VALUE"""),43340.0)</f>
        <v>43340</v>
      </c>
      <c r="G2687" s="173"/>
      <c r="H2687" s="174">
        <f>IFERROR(__xludf.DUMMYFUNCTION("""COMPUTED_VALUE"""),79255.0)</f>
        <v>79255</v>
      </c>
      <c r="I2687" s="175" t="str">
        <f>IFERROR(__xludf.DUMMYFUNCTION("""COMPUTED_VALUE"""),"08/18")</f>
        <v>08/18</v>
      </c>
      <c r="J2687" s="172">
        <f>IFERROR(__xludf.DUMMYFUNCTION("""COMPUTED_VALUE"""),43360.0)</f>
        <v>43360</v>
      </c>
      <c r="K2687" s="176">
        <f>IFERROR(__xludf.DUMMYFUNCTION("""COMPUTED_VALUE"""),53.0)</f>
        <v>53</v>
      </c>
      <c r="L2687" s="176">
        <f>IFERROR(__xludf.DUMMYFUNCTION("""COMPUTED_VALUE"""),20.0)</f>
        <v>20</v>
      </c>
      <c r="M2687" s="176">
        <f>IFERROR(__xludf.DUMMYFUNCTION("""COMPUTED_VALUE"""),73.0)</f>
        <v>73</v>
      </c>
      <c r="N2687" s="177" t="str">
        <f>IFERROR(__xludf.DUMMYFUNCTION("""COMPUTED_VALUE"""),"Model 3 Performance")</f>
        <v>Model 3 Performance</v>
      </c>
      <c r="O2687" s="177" t="str">
        <f>IFERROR(__xludf.DUMMYFUNCTION("""COMPUTED_VALUE"""),"Midnight Silver Metallic")</f>
        <v>Midnight Silver Metallic</v>
      </c>
      <c r="P2687" s="178" t="str">
        <f>IFERROR(__xludf.DUMMYFUNCTION("""COMPUTED_VALUE"""),"20 inch Sport")</f>
        <v>20 inch Sport</v>
      </c>
      <c r="Q2687" s="177" t="str">
        <f>IFERROR(__xludf.DUMMYFUNCTION("""COMPUTED_VALUE"""),"White seats")</f>
        <v>White seats</v>
      </c>
      <c r="R2687" s="170" t="str">
        <f>IFERROR(__xludf.DUMMYFUNCTION("""COMPUTED_VALUE"""),"Enhanced Autopilot")</f>
        <v>Enhanced Autopilot</v>
      </c>
      <c r="S2687" s="170"/>
      <c r="T2687" s="179"/>
      <c r="U2687" s="179"/>
      <c r="V2687" s="179"/>
      <c r="W2687" s="180"/>
      <c r="X2687" s="181" t="str">
        <f>IFERROR(__xludf.DUMMYFUNCTION("""COMPUTED_VALUE"""),"Excellent")</f>
        <v>Excellent</v>
      </c>
      <c r="Y2687" s="182" t="str">
        <f>IFERROR(__xludf.DUMMYFUNCTION("""COMPUTED_VALUE"""),"Excellent")</f>
        <v>Excellent</v>
      </c>
      <c r="Z2687" s="182" t="str">
        <f>IFERROR(__xludf.DUMMYFUNCTION("""COMPUTED_VALUE"""),"Excellent")</f>
        <v>Excellent</v>
      </c>
      <c r="AA2687" s="182" t="str">
        <f>IFERROR(__xludf.DUMMYFUNCTION("""COMPUTED_VALUE"""),"Good")</f>
        <v>Good</v>
      </c>
      <c r="AB2687" s="182" t="str">
        <f>IFERROR(__xludf.DUMMYFUNCTION("""COMPUTED_VALUE"""),"Fair")</f>
        <v>Fair</v>
      </c>
      <c r="AC2687" s="183"/>
      <c r="AD2687" s="183"/>
      <c r="AE2687" s="183"/>
      <c r="AF2687" s="184"/>
      <c r="AG2687" s="180"/>
      <c r="AH2687" s="185">
        <f>IFERROR(__xludf.DUMMYFUNCTION("""COMPUTED_VALUE"""),43360.789252256945)</f>
        <v>43360.78925</v>
      </c>
      <c r="AI2687" s="182"/>
      <c r="AJ2687" s="182"/>
      <c r="AK2687" s="182"/>
      <c r="AL2687" s="182"/>
    </row>
    <row r="2688" ht="20.25" customHeight="1">
      <c r="A2688" s="169" t="str">
        <f>IFERROR(__xludf.DUMMYFUNCTION("""COMPUTED_VALUE"""),"fjs21")</f>
        <v>fjs21</v>
      </c>
      <c r="B2688" s="170" t="str">
        <f>IFERROR(__xludf.DUMMYFUNCTION("""COMPUTED_VALUE"""),"Buffalo")</f>
        <v>Buffalo</v>
      </c>
      <c r="C2688" s="170" t="str">
        <f>IFERROR(__xludf.DUMMYFUNCTION("""COMPUTED_VALUE"""),"NY")</f>
        <v>NY</v>
      </c>
      <c r="D2688" s="170" t="str">
        <f>IFERROR(__xludf.DUMMYFUNCTION("""COMPUTED_VALUE"""),"USA")</f>
        <v>USA</v>
      </c>
      <c r="E2688" s="171">
        <f>IFERROR(__xludf.DUMMYFUNCTION("""COMPUTED_VALUE"""),43287.0)</f>
        <v>43287</v>
      </c>
      <c r="F2688" s="172">
        <f>IFERROR(__xludf.DUMMYFUNCTION("""COMPUTED_VALUE"""),43341.0)</f>
        <v>43341</v>
      </c>
      <c r="G2688" s="173"/>
      <c r="H2688" s="174">
        <f>IFERROR(__xludf.DUMMYFUNCTION("""COMPUTED_VALUE"""),86755.0)</f>
        <v>86755</v>
      </c>
      <c r="I2688" s="175"/>
      <c r="J2688" s="172">
        <f>IFERROR(__xludf.DUMMYFUNCTION("""COMPUTED_VALUE"""),43357.0)</f>
        <v>43357</v>
      </c>
      <c r="K2688" s="176">
        <f>IFERROR(__xludf.DUMMYFUNCTION("""COMPUTED_VALUE"""),54.0)</f>
        <v>54</v>
      </c>
      <c r="L2688" s="176">
        <f>IFERROR(__xludf.DUMMYFUNCTION("""COMPUTED_VALUE"""),16.0)</f>
        <v>16</v>
      </c>
      <c r="M2688" s="176">
        <f>IFERROR(__xludf.DUMMYFUNCTION("""COMPUTED_VALUE"""),70.0)</f>
        <v>70</v>
      </c>
      <c r="N2688" s="177" t="str">
        <f>IFERROR(__xludf.DUMMYFUNCTION("""COMPUTED_VALUE"""),"Model 3 LR AWD")</f>
        <v>Model 3 LR AWD</v>
      </c>
      <c r="O2688" s="177" t="str">
        <f>IFERROR(__xludf.DUMMYFUNCTION("""COMPUTED_VALUE"""),"Solid Black")</f>
        <v>Solid Black</v>
      </c>
      <c r="P2688" s="178" t="str">
        <f>IFERROR(__xludf.DUMMYFUNCTION("""COMPUTED_VALUE"""),"19 inch Sport")</f>
        <v>19 inch Sport</v>
      </c>
      <c r="Q2688" s="177" t="str">
        <f>IFERROR(__xludf.DUMMYFUNCTION("""COMPUTED_VALUE"""),"Black seats")</f>
        <v>Black seats</v>
      </c>
      <c r="R2688" s="170" t="str">
        <f>IFERROR(__xludf.DUMMYFUNCTION("""COMPUTED_VALUE"""),"Enhanced Autopilot")</f>
        <v>Enhanced Autopilot</v>
      </c>
      <c r="S2688" s="170"/>
      <c r="T2688" s="179"/>
      <c r="U2688" s="179"/>
      <c r="V2688" s="179"/>
      <c r="W2688" s="180"/>
      <c r="X2688" s="181" t="str">
        <f>IFERROR(__xludf.DUMMYFUNCTION("""COMPUTED_VALUE"""),"Excellent")</f>
        <v>Excellent</v>
      </c>
      <c r="Y2688" s="182" t="str">
        <f>IFERROR(__xludf.DUMMYFUNCTION("""COMPUTED_VALUE"""),"Excellent")</f>
        <v>Excellent</v>
      </c>
      <c r="Z2688" s="182" t="str">
        <f>IFERROR(__xludf.DUMMYFUNCTION("""COMPUTED_VALUE"""),"Excellent")</f>
        <v>Excellent</v>
      </c>
      <c r="AA2688" s="182" t="str">
        <f>IFERROR(__xludf.DUMMYFUNCTION("""COMPUTED_VALUE"""),"Excellent")</f>
        <v>Excellent</v>
      </c>
      <c r="AB2688" s="182" t="str">
        <f>IFERROR(__xludf.DUMMYFUNCTION("""COMPUTED_VALUE"""),"Very Good")</f>
        <v>Very Good</v>
      </c>
      <c r="AC2688" s="183"/>
      <c r="AD2688" s="183"/>
      <c r="AE2688" s="183"/>
      <c r="AF2688" s="184"/>
      <c r="AG2688" s="180"/>
      <c r="AH2688" s="185">
        <f>IFERROR(__xludf.DUMMYFUNCTION("""COMPUTED_VALUE"""),43360.82110101851)</f>
        <v>43360.8211</v>
      </c>
      <c r="AI2688" s="182"/>
      <c r="AJ2688" s="182"/>
      <c r="AK2688" s="182"/>
      <c r="AL2688" s="182"/>
    </row>
    <row r="2689" ht="20.25" customHeight="1">
      <c r="A2689" s="169" t="str">
        <f>IFERROR(__xludf.DUMMYFUNCTION("""COMPUTED_VALUE"""),"mrpeet")</f>
        <v>mrpeet</v>
      </c>
      <c r="B2689" s="170" t="str">
        <f>IFERROR(__xludf.DUMMYFUNCTION("""COMPUTED_VALUE"""),"Bay Area")</f>
        <v>Bay Area</v>
      </c>
      <c r="C2689" s="170" t="str">
        <f>IFERROR(__xludf.DUMMYFUNCTION("""COMPUTED_VALUE"""),"CA")</f>
        <v>CA</v>
      </c>
      <c r="D2689" s="170" t="str">
        <f>IFERROR(__xludf.DUMMYFUNCTION("""COMPUTED_VALUE"""),"USA")</f>
        <v>USA</v>
      </c>
      <c r="E2689" s="171">
        <f>IFERROR(__xludf.DUMMYFUNCTION("""COMPUTED_VALUE"""),43287.0)</f>
        <v>43287</v>
      </c>
      <c r="F2689" s="172">
        <f>IFERROR(__xludf.DUMMYFUNCTION("""COMPUTED_VALUE"""),43366.0)</f>
        <v>43366</v>
      </c>
      <c r="G2689" s="173"/>
      <c r="H2689" s="174">
        <f>IFERROR(__xludf.DUMMYFUNCTION("""COMPUTED_VALUE"""),112455.0)</f>
        <v>112455</v>
      </c>
      <c r="I2689" s="175" t="str">
        <f>IFERROR(__xludf.DUMMYFUNCTION("""COMPUTED_VALUE"""),"09/18")</f>
        <v>09/18</v>
      </c>
      <c r="J2689" s="172">
        <f>IFERROR(__xludf.DUMMYFUNCTION("""COMPUTED_VALUE"""),43372.0)</f>
        <v>43372</v>
      </c>
      <c r="K2689" s="176">
        <f>IFERROR(__xludf.DUMMYFUNCTION("""COMPUTED_VALUE"""),79.0)</f>
        <v>79</v>
      </c>
      <c r="L2689" s="176">
        <f>IFERROR(__xludf.DUMMYFUNCTION("""COMPUTED_VALUE"""),6.0)</f>
        <v>6</v>
      </c>
      <c r="M2689" s="176">
        <f>IFERROR(__xludf.DUMMYFUNCTION("""COMPUTED_VALUE"""),85.0)</f>
        <v>85</v>
      </c>
      <c r="N2689" s="177" t="str">
        <f>IFERROR(__xludf.DUMMYFUNCTION("""COMPUTED_VALUE"""),"Model 3 Performance")</f>
        <v>Model 3 Performance</v>
      </c>
      <c r="O2689" s="177" t="str">
        <f>IFERROR(__xludf.DUMMYFUNCTION("""COMPUTED_VALUE"""),"Midnight Silver Metallic")</f>
        <v>Midnight Silver Metallic</v>
      </c>
      <c r="P2689" s="178" t="str">
        <f>IFERROR(__xludf.DUMMYFUNCTION("""COMPUTED_VALUE"""),"18 inch Aero")</f>
        <v>18 inch Aero</v>
      </c>
      <c r="Q2689" s="177" t="str">
        <f>IFERROR(__xludf.DUMMYFUNCTION("""COMPUTED_VALUE"""),"Black seats")</f>
        <v>Black seats</v>
      </c>
      <c r="R2689" s="170" t="str">
        <f>IFERROR(__xludf.DUMMYFUNCTION("""COMPUTED_VALUE"""),"Enhanced Autopilot")</f>
        <v>Enhanced Autopilot</v>
      </c>
      <c r="S2689" s="170"/>
      <c r="T2689" s="179"/>
      <c r="U2689" s="179"/>
      <c r="V2689" s="179"/>
      <c r="W2689" s="180"/>
      <c r="X2689" s="181" t="str">
        <f>IFERROR(__xludf.DUMMYFUNCTION("""COMPUTED_VALUE"""),"Excellent")</f>
        <v>Excellent</v>
      </c>
      <c r="Y2689" s="182" t="str">
        <f>IFERROR(__xludf.DUMMYFUNCTION("""COMPUTED_VALUE"""),"Good")</f>
        <v>Good</v>
      </c>
      <c r="Z2689" s="182" t="str">
        <f>IFERROR(__xludf.DUMMYFUNCTION("""COMPUTED_VALUE"""),"Fair")</f>
        <v>Fair</v>
      </c>
      <c r="AA2689" s="182" t="str">
        <f>IFERROR(__xludf.DUMMYFUNCTION("""COMPUTED_VALUE"""),"Poor")</f>
        <v>Poor</v>
      </c>
      <c r="AB2689" s="182" t="str">
        <f>IFERROR(__xludf.DUMMYFUNCTION("""COMPUTED_VALUE"""),"Poor")</f>
        <v>Poor</v>
      </c>
      <c r="AC2689" s="183">
        <f>IFERROR(__xludf.DUMMYFUNCTION("""COMPUTED_VALUE"""),2.0)</f>
        <v>2</v>
      </c>
      <c r="AD2689" s="183">
        <f>IFERROR(__xludf.DUMMYFUNCTION("""COMPUTED_VALUE"""),1.0)</f>
        <v>1</v>
      </c>
      <c r="AE2689" s="183">
        <f>IFERROR(__xludf.DUMMYFUNCTION("""COMPUTED_VALUE"""),0.0)</f>
        <v>0</v>
      </c>
      <c r="AF2689" s="184"/>
      <c r="AG2689" s="180"/>
      <c r="AH2689" s="185">
        <f>IFERROR(__xludf.DUMMYFUNCTION("""COMPUTED_VALUE"""),43375.56763063657)</f>
        <v>43375.56763</v>
      </c>
      <c r="AI2689" s="182"/>
      <c r="AJ2689" s="182"/>
      <c r="AK2689" s="182"/>
      <c r="AL2689" s="182"/>
    </row>
    <row r="2690" ht="20.25" customHeight="1">
      <c r="A2690" s="169" t="str">
        <f>IFERROR(__xludf.DUMMYFUNCTION("""COMPUTED_VALUE"""),"NotReallyAnM3")</f>
        <v>NotReallyAnM3</v>
      </c>
      <c r="B2690" s="170"/>
      <c r="C2690" s="170" t="str">
        <f>IFERROR(__xludf.DUMMYFUNCTION("""COMPUTED_VALUE"""),"CA")</f>
        <v>CA</v>
      </c>
      <c r="D2690" s="170" t="str">
        <f>IFERROR(__xludf.DUMMYFUNCTION("""COMPUTED_VALUE"""),"USA")</f>
        <v>USA</v>
      </c>
      <c r="E2690" s="171">
        <f>IFERROR(__xludf.DUMMYFUNCTION("""COMPUTED_VALUE"""),43287.0)</f>
        <v>43287</v>
      </c>
      <c r="F2690" s="172"/>
      <c r="G2690" s="173"/>
      <c r="H2690" s="174">
        <f>IFERROR(__xludf.DUMMYFUNCTION("""COMPUTED_VALUE"""),92155.0)</f>
        <v>92155</v>
      </c>
      <c r="I2690" s="175"/>
      <c r="J2690" s="172">
        <f>IFERROR(__xludf.DUMMYFUNCTION("""COMPUTED_VALUE"""),43365.0)</f>
        <v>43365</v>
      </c>
      <c r="K2690" s="176"/>
      <c r="L2690" s="176"/>
      <c r="M2690" s="176">
        <f>IFERROR(__xludf.DUMMYFUNCTION("""COMPUTED_VALUE"""),78.0)</f>
        <v>78</v>
      </c>
      <c r="N2690" s="177" t="str">
        <f>IFERROR(__xludf.DUMMYFUNCTION("""COMPUTED_VALUE"""),"Model 3 LR AWD")</f>
        <v>Model 3 LR AWD</v>
      </c>
      <c r="O2690" s="177" t="str">
        <f>IFERROR(__xludf.DUMMYFUNCTION("""COMPUTED_VALUE"""),"Deep Blue Metallic")</f>
        <v>Deep Blue Metallic</v>
      </c>
      <c r="P2690" s="178" t="str">
        <f>IFERROR(__xludf.DUMMYFUNCTION("""COMPUTED_VALUE"""),"19 inch Sport")</f>
        <v>19 inch Sport</v>
      </c>
      <c r="Q2690" s="177" t="str">
        <f>IFERROR(__xludf.DUMMYFUNCTION("""COMPUTED_VALUE"""),"Black seats")</f>
        <v>Black seats</v>
      </c>
      <c r="R2690" s="170" t="str">
        <f>IFERROR(__xludf.DUMMYFUNCTION("""COMPUTED_VALUE"""),"Enhanced Autopilot")</f>
        <v>Enhanced Autopilot</v>
      </c>
      <c r="S2690" s="170"/>
      <c r="T2690" s="179"/>
      <c r="U2690" s="179"/>
      <c r="V2690" s="179"/>
      <c r="W2690" s="180"/>
      <c r="X2690" s="181" t="str">
        <f>IFERROR(__xludf.DUMMYFUNCTION("""COMPUTED_VALUE"""),"Very Good")</f>
        <v>Very Good</v>
      </c>
      <c r="Y2690" s="182" t="str">
        <f>IFERROR(__xludf.DUMMYFUNCTION("""COMPUTED_VALUE"""),"Fair")</f>
        <v>Fair</v>
      </c>
      <c r="Z2690" s="182" t="str">
        <f>IFERROR(__xludf.DUMMYFUNCTION("""COMPUTED_VALUE"""),"Good")</f>
        <v>Good</v>
      </c>
      <c r="AA2690" s="182" t="str">
        <f>IFERROR(__xludf.DUMMYFUNCTION("""COMPUTED_VALUE"""),"Excellent")</f>
        <v>Excellent</v>
      </c>
      <c r="AB2690" s="182" t="str">
        <f>IFERROR(__xludf.DUMMYFUNCTION("""COMPUTED_VALUE"""),"Poor")</f>
        <v>Poor</v>
      </c>
      <c r="AC2690" s="183">
        <f>IFERROR(__xludf.DUMMYFUNCTION("""COMPUTED_VALUE"""),3.0)</f>
        <v>3</v>
      </c>
      <c r="AD2690" s="183"/>
      <c r="AE2690" s="183"/>
      <c r="AF2690" s="184"/>
      <c r="AG2690" s="180"/>
      <c r="AH2690" s="185">
        <f>IFERROR(__xludf.DUMMYFUNCTION("""COMPUTED_VALUE"""),43381.64672978009)</f>
        <v>43381.64673</v>
      </c>
      <c r="AI2690" s="182"/>
      <c r="AJ2690" s="182"/>
      <c r="AK2690" s="182"/>
      <c r="AL2690" s="182"/>
    </row>
    <row r="2691" ht="20.25" customHeight="1">
      <c r="A2691" s="169" t="str">
        <f>IFERROR(__xludf.DUMMYFUNCTION("""COMPUTED_VALUE"""),"ReneeV")</f>
        <v>ReneeV</v>
      </c>
      <c r="B2691" s="170" t="str">
        <f>IFERROR(__xludf.DUMMYFUNCTION("""COMPUTED_VALUE"""),"Minneapolis")</f>
        <v>Minneapolis</v>
      </c>
      <c r="C2691" s="170" t="str">
        <f>IFERROR(__xludf.DUMMYFUNCTION("""COMPUTED_VALUE"""),"MN")</f>
        <v>MN</v>
      </c>
      <c r="D2691" s="170" t="str">
        <f>IFERROR(__xludf.DUMMYFUNCTION("""COMPUTED_VALUE"""),"USA")</f>
        <v>USA</v>
      </c>
      <c r="E2691" s="171">
        <f>IFERROR(__xludf.DUMMYFUNCTION("""COMPUTED_VALUE"""),43287.0)</f>
        <v>43287</v>
      </c>
      <c r="F2691" s="172">
        <f>IFERROR(__xludf.DUMMYFUNCTION("""COMPUTED_VALUE"""),43312.0)</f>
        <v>43312</v>
      </c>
      <c r="G2691" s="173"/>
      <c r="H2691" s="174">
        <f>IFERROR(__xludf.DUMMYFUNCTION("""COMPUTED_VALUE"""),46155.0)</f>
        <v>46155</v>
      </c>
      <c r="I2691" s="175"/>
      <c r="J2691" s="172">
        <f>IFERROR(__xludf.DUMMYFUNCTION("""COMPUTED_VALUE"""),43323.0)</f>
        <v>43323</v>
      </c>
      <c r="K2691" s="176">
        <f>IFERROR(__xludf.DUMMYFUNCTION("""COMPUTED_VALUE"""),25.0)</f>
        <v>25</v>
      </c>
      <c r="L2691" s="176">
        <f>IFERROR(__xludf.DUMMYFUNCTION("""COMPUTED_VALUE"""),11.0)</f>
        <v>11</v>
      </c>
      <c r="M2691" s="176">
        <f>IFERROR(__xludf.DUMMYFUNCTION("""COMPUTED_VALUE"""),36.0)</f>
        <v>36</v>
      </c>
      <c r="N2691" s="177" t="str">
        <f>IFERROR(__xludf.DUMMYFUNCTION("""COMPUTED_VALUE"""),"Model 3 LR")</f>
        <v>Model 3 LR</v>
      </c>
      <c r="O2691" s="177" t="str">
        <f>IFERROR(__xludf.DUMMYFUNCTION("""COMPUTED_VALUE"""),"Solid Black")</f>
        <v>Solid Black</v>
      </c>
      <c r="P2691" s="178" t="str">
        <f>IFERROR(__xludf.DUMMYFUNCTION("""COMPUTED_VALUE"""),"18 inch Aero")</f>
        <v>18 inch Aero</v>
      </c>
      <c r="Q2691" s="177" t="str">
        <f>IFERROR(__xludf.DUMMYFUNCTION("""COMPUTED_VALUE"""),"Black seats")</f>
        <v>Black seats</v>
      </c>
      <c r="R2691" s="170" t="str">
        <f>IFERROR(__xludf.DUMMYFUNCTION("""COMPUTED_VALUE"""),"Enhanced Autopilot")</f>
        <v>Enhanced Autopilot</v>
      </c>
      <c r="S2691" s="170"/>
      <c r="T2691" s="179"/>
      <c r="U2691" s="179"/>
      <c r="V2691" s="179"/>
      <c r="W2691" s="180"/>
      <c r="X2691" s="181" t="str">
        <f>IFERROR(__xludf.DUMMYFUNCTION("""COMPUTED_VALUE"""),"Excellent")</f>
        <v>Excellent</v>
      </c>
      <c r="Y2691" s="182" t="str">
        <f>IFERROR(__xludf.DUMMYFUNCTION("""COMPUTED_VALUE"""),"Excellent")</f>
        <v>Excellent</v>
      </c>
      <c r="Z2691" s="182" t="str">
        <f>IFERROR(__xludf.DUMMYFUNCTION("""COMPUTED_VALUE"""),"Fair")</f>
        <v>Fair</v>
      </c>
      <c r="AA2691" s="182" t="str">
        <f>IFERROR(__xludf.DUMMYFUNCTION("""COMPUTED_VALUE"""),"Poor")</f>
        <v>Poor</v>
      </c>
      <c r="AB2691" s="182" t="str">
        <f>IFERROR(__xludf.DUMMYFUNCTION("""COMPUTED_VALUE"""),"Poor")</f>
        <v>Poor</v>
      </c>
      <c r="AC2691" s="183">
        <f>IFERROR(__xludf.DUMMYFUNCTION("""COMPUTED_VALUE"""),3.0)</f>
        <v>3</v>
      </c>
      <c r="AD2691" s="183">
        <f>IFERROR(__xludf.DUMMYFUNCTION("""COMPUTED_VALUE"""),0.0)</f>
        <v>0</v>
      </c>
      <c r="AE2691" s="183">
        <f>IFERROR(__xludf.DUMMYFUNCTION("""COMPUTED_VALUE"""),0.0)</f>
        <v>0</v>
      </c>
      <c r="AF2691" s="184"/>
      <c r="AG2691" s="180" t="str">
        <f>IFERROR(__xludf.DUMMYFUNCTION("""COMPUTED_VALUE"""),"Mirror had a paint defect. Windows don't roll down properly. Charger has a ground fault defect.")</f>
        <v>Mirror had a paint defect. Windows don't roll down properly. Charger has a ground fault defect.</v>
      </c>
      <c r="AH2691" s="185">
        <f>IFERROR(__xludf.DUMMYFUNCTION("""COMPUTED_VALUE"""),43325.31991799769)</f>
        <v>43325.31992</v>
      </c>
      <c r="AI2691" s="182"/>
      <c r="AJ2691" s="182"/>
      <c r="AK2691" s="182"/>
      <c r="AL2691" s="182"/>
    </row>
    <row r="2692" ht="20.25" customHeight="1">
      <c r="A2692" s="169" t="str">
        <f>IFERROR(__xludf.DUMMYFUNCTION("""COMPUTED_VALUE"""),"Utah John")</f>
        <v>Utah John</v>
      </c>
      <c r="B2692" s="170" t="str">
        <f>IFERROR(__xludf.DUMMYFUNCTION("""COMPUTED_VALUE"""),"Torrey")</f>
        <v>Torrey</v>
      </c>
      <c r="C2692" s="170" t="str">
        <f>IFERROR(__xludf.DUMMYFUNCTION("""COMPUTED_VALUE"""),"UT")</f>
        <v>UT</v>
      </c>
      <c r="D2692" s="170" t="str">
        <f>IFERROR(__xludf.DUMMYFUNCTION("""COMPUTED_VALUE"""),"USA")</f>
        <v>USA</v>
      </c>
      <c r="E2692" s="171">
        <f>IFERROR(__xludf.DUMMYFUNCTION("""COMPUTED_VALUE"""),43287.0)</f>
        <v>43287</v>
      </c>
      <c r="F2692" s="172">
        <f>IFERROR(__xludf.DUMMYFUNCTION("""COMPUTED_VALUE"""),43377.0)</f>
        <v>43377</v>
      </c>
      <c r="G2692" s="173"/>
      <c r="H2692" s="174">
        <f>IFERROR(__xludf.DUMMYFUNCTION("""COMPUTED_VALUE"""),84963.0)</f>
        <v>84963</v>
      </c>
      <c r="I2692" s="175" t="str">
        <f>IFERROR(__xludf.DUMMYFUNCTION("""COMPUTED_VALUE"""),"09/18")</f>
        <v>09/18</v>
      </c>
      <c r="J2692" s="172">
        <f>IFERROR(__xludf.DUMMYFUNCTION("""COMPUTED_VALUE"""),43383.0)</f>
        <v>43383</v>
      </c>
      <c r="K2692" s="176">
        <f>IFERROR(__xludf.DUMMYFUNCTION("""COMPUTED_VALUE"""),90.0)</f>
        <v>90</v>
      </c>
      <c r="L2692" s="176">
        <f>IFERROR(__xludf.DUMMYFUNCTION("""COMPUTED_VALUE"""),6.0)</f>
        <v>6</v>
      </c>
      <c r="M2692" s="176">
        <f>IFERROR(__xludf.DUMMYFUNCTION("""COMPUTED_VALUE"""),96.0)</f>
        <v>96</v>
      </c>
      <c r="N2692" s="177" t="str">
        <f>IFERROR(__xludf.DUMMYFUNCTION("""COMPUTED_VALUE"""),"Model 3 LR AWD")</f>
        <v>Model 3 LR AWD</v>
      </c>
      <c r="O2692" s="177" t="str">
        <f>IFERROR(__xludf.DUMMYFUNCTION("""COMPUTED_VALUE"""),"Red Multi-Coat")</f>
        <v>Red Multi-Coat</v>
      </c>
      <c r="P2692" s="178" t="str">
        <f>IFERROR(__xludf.DUMMYFUNCTION("""COMPUTED_VALUE"""),"18 inch Aero")</f>
        <v>18 inch Aero</v>
      </c>
      <c r="Q2692" s="177" t="str">
        <f>IFERROR(__xludf.DUMMYFUNCTION("""COMPUTED_VALUE"""),"Black seats")</f>
        <v>Black seats</v>
      </c>
      <c r="R2692" s="170" t="str">
        <f>IFERROR(__xludf.DUMMYFUNCTION("""COMPUTED_VALUE"""),"None")</f>
        <v>None</v>
      </c>
      <c r="S2692" s="170"/>
      <c r="T2692" s="179"/>
      <c r="U2692" s="179"/>
      <c r="V2692" s="179"/>
      <c r="W2692" s="180"/>
      <c r="X2692" s="181" t="str">
        <f>IFERROR(__xludf.DUMMYFUNCTION("""COMPUTED_VALUE"""),"Excellent")</f>
        <v>Excellent</v>
      </c>
      <c r="Y2692" s="182" t="str">
        <f>IFERROR(__xludf.DUMMYFUNCTION("""COMPUTED_VALUE"""),"Excellent")</f>
        <v>Excellent</v>
      </c>
      <c r="Z2692" s="182" t="str">
        <f>IFERROR(__xludf.DUMMYFUNCTION("""COMPUTED_VALUE"""),"Excellent")</f>
        <v>Excellent</v>
      </c>
      <c r="AA2692" s="182" t="str">
        <f>IFERROR(__xludf.DUMMYFUNCTION("""COMPUTED_VALUE"""),"Good")</f>
        <v>Good</v>
      </c>
      <c r="AB2692" s="182" t="str">
        <f>IFERROR(__xludf.DUMMYFUNCTION("""COMPUTED_VALUE"""),"Good")</f>
        <v>Good</v>
      </c>
      <c r="AC2692" s="183"/>
      <c r="AD2692" s="183"/>
      <c r="AE2692" s="183"/>
      <c r="AF2692" s="184"/>
      <c r="AG2692" s="180" t="str">
        <f>IFERROR(__xludf.DUMMYFUNCTION("""COMPUTED_VALUE"""),"10 minutes in and out for delivery, fine")</f>
        <v>10 minutes in and out for delivery, fine</v>
      </c>
      <c r="AH2692" s="185">
        <f>IFERROR(__xludf.DUMMYFUNCTION("""COMPUTED_VALUE"""),43381.71677591435)</f>
        <v>43381.71678</v>
      </c>
      <c r="AI2692" s="182"/>
      <c r="AJ2692" s="182"/>
      <c r="AK2692" s="182"/>
      <c r="AL2692" s="182"/>
    </row>
    <row r="2693" ht="20.25" customHeight="1">
      <c r="A2693" s="169" t="str">
        <f>IFERROR(__xludf.DUMMYFUNCTION("""COMPUTED_VALUE"""),"ChipsAhoya")</f>
        <v>ChipsAhoya</v>
      </c>
      <c r="B2693" s="170" t="str">
        <f>IFERROR(__xludf.DUMMYFUNCTION("""COMPUTED_VALUE"""),"Omaha")</f>
        <v>Omaha</v>
      </c>
      <c r="C2693" s="170" t="str">
        <f>IFERROR(__xludf.DUMMYFUNCTION("""COMPUTED_VALUE"""),"NE")</f>
        <v>NE</v>
      </c>
      <c r="D2693" s="170" t="str">
        <f>IFERROR(__xludf.DUMMYFUNCTION("""COMPUTED_VALUE"""),"USA")</f>
        <v>USA</v>
      </c>
      <c r="E2693" s="171">
        <f>IFERROR(__xludf.DUMMYFUNCTION("""COMPUTED_VALUE"""),43286.0)</f>
        <v>43286</v>
      </c>
      <c r="F2693" s="172">
        <f>IFERROR(__xludf.DUMMYFUNCTION("""COMPUTED_VALUE"""),43371.0)</f>
        <v>43371</v>
      </c>
      <c r="G2693" s="173"/>
      <c r="H2693" s="174">
        <f>IFERROR(__xludf.DUMMYFUNCTION("""COMPUTED_VALUE"""),100455.0)</f>
        <v>100455</v>
      </c>
      <c r="I2693" s="175"/>
      <c r="J2693" s="172">
        <f>IFERROR(__xludf.DUMMYFUNCTION("""COMPUTED_VALUE"""),43371.0)</f>
        <v>43371</v>
      </c>
      <c r="K2693" s="176">
        <f>IFERROR(__xludf.DUMMYFUNCTION("""COMPUTED_VALUE"""),85.0)</f>
        <v>85</v>
      </c>
      <c r="L2693" s="176">
        <f>IFERROR(__xludf.DUMMYFUNCTION("""COMPUTED_VALUE"""),0.0)</f>
        <v>0</v>
      </c>
      <c r="M2693" s="176">
        <f>IFERROR(__xludf.DUMMYFUNCTION("""COMPUTED_VALUE"""),85.0)</f>
        <v>85</v>
      </c>
      <c r="N2693" s="177" t="str">
        <f>IFERROR(__xludf.DUMMYFUNCTION("""COMPUTED_VALUE"""),"Model 3 LR AWD")</f>
        <v>Model 3 LR AWD</v>
      </c>
      <c r="O2693" s="177" t="str">
        <f>IFERROR(__xludf.DUMMYFUNCTION("""COMPUTED_VALUE"""),"Midnight Silver Metallic")</f>
        <v>Midnight Silver Metallic</v>
      </c>
      <c r="P2693" s="178" t="str">
        <f>IFERROR(__xludf.DUMMYFUNCTION("""COMPUTED_VALUE"""),"19 inch Sport")</f>
        <v>19 inch Sport</v>
      </c>
      <c r="Q2693" s="177" t="str">
        <f>IFERROR(__xludf.DUMMYFUNCTION("""COMPUTED_VALUE"""),"White seats")</f>
        <v>White seats</v>
      </c>
      <c r="R2693" s="170" t="str">
        <f>IFERROR(__xludf.DUMMYFUNCTION("""COMPUTED_VALUE"""),"Full Self-Driving")</f>
        <v>Full Self-Driving</v>
      </c>
      <c r="S2693" s="170"/>
      <c r="T2693" s="179"/>
      <c r="U2693" s="179"/>
      <c r="V2693" s="179"/>
      <c r="W2693" s="180"/>
      <c r="X2693" s="181" t="str">
        <f>IFERROR(__xludf.DUMMYFUNCTION("""COMPUTED_VALUE"""),"Excellent")</f>
        <v>Excellent</v>
      </c>
      <c r="Y2693" s="182" t="str">
        <f>IFERROR(__xludf.DUMMYFUNCTION("""COMPUTED_VALUE"""),"Excellent")</f>
        <v>Excellent</v>
      </c>
      <c r="Z2693" s="182" t="str">
        <f>IFERROR(__xludf.DUMMYFUNCTION("""COMPUTED_VALUE"""),"Excellent")</f>
        <v>Excellent</v>
      </c>
      <c r="AA2693" s="182" t="str">
        <f>IFERROR(__xludf.DUMMYFUNCTION("""COMPUTED_VALUE"""),"Very Good")</f>
        <v>Very Good</v>
      </c>
      <c r="AB2693" s="182"/>
      <c r="AC2693" s="183"/>
      <c r="AD2693" s="183"/>
      <c r="AE2693" s="183"/>
      <c r="AF2693" s="184"/>
      <c r="AG2693" s="180"/>
      <c r="AH2693" s="185">
        <f>IFERROR(__xludf.DUMMYFUNCTION("""COMPUTED_VALUE"""),43372.884194687496)</f>
        <v>43372.88419</v>
      </c>
      <c r="AI2693" s="182"/>
      <c r="AJ2693" s="182"/>
      <c r="AK2693" s="182"/>
      <c r="AL2693" s="182"/>
    </row>
    <row r="2694" ht="20.25" customHeight="1">
      <c r="A2694" s="169" t="str">
        <f>IFERROR(__xludf.DUMMYFUNCTION("""COMPUTED_VALUE"""),"gooseserbus")</f>
        <v>gooseserbus</v>
      </c>
      <c r="B2694" s="170" t="str">
        <f>IFERROR(__xludf.DUMMYFUNCTION("""COMPUTED_VALUE"""),"Montreal")</f>
        <v>Montreal</v>
      </c>
      <c r="C2694" s="170" t="str">
        <f>IFERROR(__xludf.DUMMYFUNCTION("""COMPUTED_VALUE"""),"QC")</f>
        <v>QC</v>
      </c>
      <c r="D2694" s="170" t="str">
        <f>IFERROR(__xludf.DUMMYFUNCTION("""COMPUTED_VALUE"""),"Canada")</f>
        <v>Canada</v>
      </c>
      <c r="E2694" s="171">
        <f>IFERROR(__xludf.DUMMYFUNCTION("""COMPUTED_VALUE"""),43286.0)</f>
        <v>43286</v>
      </c>
      <c r="F2694" s="172">
        <f>IFERROR(__xludf.DUMMYFUNCTION("""COMPUTED_VALUE"""),43407.0)</f>
        <v>43407</v>
      </c>
      <c r="G2694" s="173"/>
      <c r="H2694" s="174">
        <f>IFERROR(__xludf.DUMMYFUNCTION("""COMPUTED_VALUE"""),127055.0)</f>
        <v>127055</v>
      </c>
      <c r="I2694" s="175"/>
      <c r="J2694" s="172">
        <f>IFERROR(__xludf.DUMMYFUNCTION("""COMPUTED_VALUE"""),43411.0)</f>
        <v>43411</v>
      </c>
      <c r="K2694" s="176">
        <f>IFERROR(__xludf.DUMMYFUNCTION("""COMPUTED_VALUE"""),121.0)</f>
        <v>121</v>
      </c>
      <c r="L2694" s="176">
        <f>IFERROR(__xludf.DUMMYFUNCTION("""COMPUTED_VALUE"""),4.0)</f>
        <v>4</v>
      </c>
      <c r="M2694" s="176">
        <f>IFERROR(__xludf.DUMMYFUNCTION("""COMPUTED_VALUE"""),125.0)</f>
        <v>125</v>
      </c>
      <c r="N2694" s="177" t="str">
        <f>IFERROR(__xludf.DUMMYFUNCTION("""COMPUTED_VALUE"""),"Model 3 LR AWD")</f>
        <v>Model 3 LR AWD</v>
      </c>
      <c r="O2694" s="177" t="str">
        <f>IFERROR(__xludf.DUMMYFUNCTION("""COMPUTED_VALUE"""),"Deep Blue Metallic")</f>
        <v>Deep Blue Metallic</v>
      </c>
      <c r="P2694" s="178" t="str">
        <f>IFERROR(__xludf.DUMMYFUNCTION("""COMPUTED_VALUE"""),"18 inch Aero")</f>
        <v>18 inch Aero</v>
      </c>
      <c r="Q2694" s="177" t="str">
        <f>IFERROR(__xludf.DUMMYFUNCTION("""COMPUTED_VALUE"""),"Black seats")</f>
        <v>Black seats</v>
      </c>
      <c r="R2694" s="170" t="str">
        <f>IFERROR(__xludf.DUMMYFUNCTION("""COMPUTED_VALUE"""),"None")</f>
        <v>None</v>
      </c>
      <c r="S2694" s="170"/>
      <c r="T2694" s="179"/>
      <c r="U2694" s="179"/>
      <c r="V2694" s="179"/>
      <c r="W2694" s="180"/>
      <c r="X2694" s="181" t="str">
        <f>IFERROR(__xludf.DUMMYFUNCTION("""COMPUTED_VALUE"""),"Excellent")</f>
        <v>Excellent</v>
      </c>
      <c r="Y2694" s="182" t="str">
        <f>IFERROR(__xludf.DUMMYFUNCTION("""COMPUTED_VALUE"""),"Excellent")</f>
        <v>Excellent</v>
      </c>
      <c r="Z2694" s="182" t="str">
        <f>IFERROR(__xludf.DUMMYFUNCTION("""COMPUTED_VALUE"""),"Excellent")</f>
        <v>Excellent</v>
      </c>
      <c r="AA2694" s="182" t="str">
        <f>IFERROR(__xludf.DUMMYFUNCTION("""COMPUTED_VALUE"""),"Good")</f>
        <v>Good</v>
      </c>
      <c r="AB2694" s="182" t="str">
        <f>IFERROR(__xludf.DUMMYFUNCTION("""COMPUTED_VALUE"""),"Very Good")</f>
        <v>Very Good</v>
      </c>
      <c r="AC2694" s="183"/>
      <c r="AD2694" s="183"/>
      <c r="AE2694" s="183"/>
      <c r="AF2694" s="184"/>
      <c r="AG2694" s="180"/>
      <c r="AH2694" s="185">
        <f>IFERROR(__xludf.DUMMYFUNCTION("""COMPUTED_VALUE"""),43411.81532321759)</f>
        <v>43411.81532</v>
      </c>
      <c r="AI2694" s="182"/>
      <c r="AJ2694" s="182"/>
      <c r="AK2694" s="182"/>
      <c r="AL2694" s="182"/>
    </row>
    <row r="2695" ht="20.25" customHeight="1">
      <c r="A2695" s="169" t="str">
        <f>IFERROR(__xludf.DUMMYFUNCTION("""COMPUTED_VALUE"""),"Packerfan735")</f>
        <v>Packerfan735</v>
      </c>
      <c r="B2695" s="170" t="str">
        <f>IFERROR(__xludf.DUMMYFUNCTION("""COMPUTED_VALUE"""),"Boston")</f>
        <v>Boston</v>
      </c>
      <c r="C2695" s="170" t="str">
        <f>IFERROR(__xludf.DUMMYFUNCTION("""COMPUTED_VALUE"""),"MA")</f>
        <v>MA</v>
      </c>
      <c r="D2695" s="170" t="str">
        <f>IFERROR(__xludf.DUMMYFUNCTION("""COMPUTED_VALUE"""),"USA")</f>
        <v>USA</v>
      </c>
      <c r="E2695" s="171">
        <f>IFERROR(__xludf.DUMMYFUNCTION("""COMPUTED_VALUE"""),43286.0)</f>
        <v>43286</v>
      </c>
      <c r="F2695" s="172">
        <f>IFERROR(__xludf.DUMMYFUNCTION("""COMPUTED_VALUE"""),43356.0)</f>
        <v>43356</v>
      </c>
      <c r="G2695" s="173"/>
      <c r="H2695" s="174">
        <f>IFERROR(__xludf.DUMMYFUNCTION("""COMPUTED_VALUE"""),73151.0)</f>
        <v>73151</v>
      </c>
      <c r="I2695" s="175"/>
      <c r="J2695" s="172">
        <f>IFERROR(__xludf.DUMMYFUNCTION("""COMPUTED_VALUE"""),43371.0)</f>
        <v>43371</v>
      </c>
      <c r="K2695" s="176">
        <f>IFERROR(__xludf.DUMMYFUNCTION("""COMPUTED_VALUE"""),70.0)</f>
        <v>70</v>
      </c>
      <c r="L2695" s="176">
        <f>IFERROR(__xludf.DUMMYFUNCTION("""COMPUTED_VALUE"""),15.0)</f>
        <v>15</v>
      </c>
      <c r="M2695" s="176">
        <f>IFERROR(__xludf.DUMMYFUNCTION("""COMPUTED_VALUE"""),85.0)</f>
        <v>85</v>
      </c>
      <c r="N2695" s="177" t="str">
        <f>IFERROR(__xludf.DUMMYFUNCTION("""COMPUTED_VALUE"""),"Model 3 Performance")</f>
        <v>Model 3 Performance</v>
      </c>
      <c r="O2695" s="177" t="str">
        <f>IFERROR(__xludf.DUMMYFUNCTION("""COMPUTED_VALUE"""),"Midnight Silver Metallic")</f>
        <v>Midnight Silver Metallic</v>
      </c>
      <c r="P2695" s="178" t="str">
        <f>IFERROR(__xludf.DUMMYFUNCTION("""COMPUTED_VALUE"""),"20 inch Sport")</f>
        <v>20 inch Sport</v>
      </c>
      <c r="Q2695" s="177" t="str">
        <f>IFERROR(__xludf.DUMMYFUNCTION("""COMPUTED_VALUE"""),"Black seats")</f>
        <v>Black seats</v>
      </c>
      <c r="R2695" s="170" t="str">
        <f>IFERROR(__xludf.DUMMYFUNCTION("""COMPUTED_VALUE"""),"Full Self-Driving")</f>
        <v>Full Self-Driving</v>
      </c>
      <c r="S2695" s="170"/>
      <c r="T2695" s="179"/>
      <c r="U2695" s="179"/>
      <c r="V2695" s="179"/>
      <c r="W2695" s="180"/>
      <c r="X2695" s="181" t="str">
        <f>IFERROR(__xludf.DUMMYFUNCTION("""COMPUTED_VALUE"""),"Very Good")</f>
        <v>Very Good</v>
      </c>
      <c r="Y2695" s="182" t="str">
        <f>IFERROR(__xludf.DUMMYFUNCTION("""COMPUTED_VALUE"""),"Very Good")</f>
        <v>Very Good</v>
      </c>
      <c r="Z2695" s="182" t="str">
        <f>IFERROR(__xludf.DUMMYFUNCTION("""COMPUTED_VALUE"""),"Very Good")</f>
        <v>Very Good</v>
      </c>
      <c r="AA2695" s="182" t="str">
        <f>IFERROR(__xludf.DUMMYFUNCTION("""COMPUTED_VALUE"""),"Poor")</f>
        <v>Poor</v>
      </c>
      <c r="AB2695" s="182" t="str">
        <f>IFERROR(__xludf.DUMMYFUNCTION("""COMPUTED_VALUE"""),"Very Good")</f>
        <v>Very Good</v>
      </c>
      <c r="AC2695" s="183">
        <f>IFERROR(__xludf.DUMMYFUNCTION("""COMPUTED_VALUE"""),3.0)</f>
        <v>3</v>
      </c>
      <c r="AD2695" s="183">
        <f>IFERROR(__xludf.DUMMYFUNCTION("""COMPUTED_VALUE"""),1.0)</f>
        <v>1</v>
      </c>
      <c r="AE2695" s="183"/>
      <c r="AF2695" s="184"/>
      <c r="AG2695" s="180"/>
      <c r="AH2695" s="185">
        <f>IFERROR(__xludf.DUMMYFUNCTION("""COMPUTED_VALUE"""),43373.75200364583)</f>
        <v>43373.752</v>
      </c>
      <c r="AI2695" s="182"/>
      <c r="AJ2695" s="182"/>
      <c r="AK2695" s="182"/>
      <c r="AL2695" s="182"/>
    </row>
    <row r="2696" ht="20.25" customHeight="1">
      <c r="A2696" s="169" t="str">
        <f>IFERROR(__xludf.DUMMYFUNCTION("""COMPUTED_VALUE"""),"Pimentaco")</f>
        <v>Pimentaco</v>
      </c>
      <c r="B2696" s="170" t="str">
        <f>IFERROR(__xludf.DUMMYFUNCTION("""COMPUTED_VALUE"""),"Boston")</f>
        <v>Boston</v>
      </c>
      <c r="C2696" s="170" t="str">
        <f>IFERROR(__xludf.DUMMYFUNCTION("""COMPUTED_VALUE"""),"MA")</f>
        <v>MA</v>
      </c>
      <c r="D2696" s="170" t="str">
        <f>IFERROR(__xludf.DUMMYFUNCTION("""COMPUTED_VALUE"""),"USA")</f>
        <v>USA</v>
      </c>
      <c r="E2696" s="171">
        <f>IFERROR(__xludf.DUMMYFUNCTION("""COMPUTED_VALUE"""),43286.0)</f>
        <v>43286</v>
      </c>
      <c r="F2696" s="172">
        <f>IFERROR(__xludf.DUMMYFUNCTION("""COMPUTED_VALUE"""),43416.0)</f>
        <v>43416</v>
      </c>
      <c r="G2696" s="173"/>
      <c r="H2696" s="174">
        <f>IFERROR(__xludf.DUMMYFUNCTION("""COMPUTED_VALUE"""),105255.0)</f>
        <v>105255</v>
      </c>
      <c r="I2696" s="175"/>
      <c r="J2696" s="172">
        <f>IFERROR(__xludf.DUMMYFUNCTION("""COMPUTED_VALUE"""),43424.0)</f>
        <v>43424</v>
      </c>
      <c r="K2696" s="176">
        <f>IFERROR(__xludf.DUMMYFUNCTION("""COMPUTED_VALUE"""),130.0)</f>
        <v>130</v>
      </c>
      <c r="L2696" s="176">
        <f>IFERROR(__xludf.DUMMYFUNCTION("""COMPUTED_VALUE"""),8.0)</f>
        <v>8</v>
      </c>
      <c r="M2696" s="176">
        <f>IFERROR(__xludf.DUMMYFUNCTION("""COMPUTED_VALUE"""),138.0)</f>
        <v>138</v>
      </c>
      <c r="N2696" s="177" t="str">
        <f>IFERROR(__xludf.DUMMYFUNCTION("""COMPUTED_VALUE"""),"Model 3 LR AWD")</f>
        <v>Model 3 LR AWD</v>
      </c>
      <c r="O2696" s="177" t="str">
        <f>IFERROR(__xludf.DUMMYFUNCTION("""COMPUTED_VALUE"""),"Deep Blue Metallic")</f>
        <v>Deep Blue Metallic</v>
      </c>
      <c r="P2696" s="178" t="str">
        <f>IFERROR(__xludf.DUMMYFUNCTION("""COMPUTED_VALUE"""),"18 inch Aero")</f>
        <v>18 inch Aero</v>
      </c>
      <c r="Q2696" s="177" t="str">
        <f>IFERROR(__xludf.DUMMYFUNCTION("""COMPUTED_VALUE"""),"Black seats")</f>
        <v>Black seats</v>
      </c>
      <c r="R2696" s="170" t="str">
        <f>IFERROR(__xludf.DUMMYFUNCTION("""COMPUTED_VALUE"""),"Enhanced Autopilot")</f>
        <v>Enhanced Autopilot</v>
      </c>
      <c r="S2696" s="170"/>
      <c r="T2696" s="179"/>
      <c r="U2696" s="179"/>
      <c r="V2696" s="179"/>
      <c r="W2696" s="180"/>
      <c r="X2696" s="181" t="str">
        <f>IFERROR(__xludf.DUMMYFUNCTION("""COMPUTED_VALUE"""),"Good")</f>
        <v>Good</v>
      </c>
      <c r="Y2696" s="182" t="str">
        <f>IFERROR(__xludf.DUMMYFUNCTION("""COMPUTED_VALUE"""),"Very Good")</f>
        <v>Very Good</v>
      </c>
      <c r="Z2696" s="182" t="str">
        <f>IFERROR(__xludf.DUMMYFUNCTION("""COMPUTED_VALUE"""),"Very Good")</f>
        <v>Very Good</v>
      </c>
      <c r="AA2696" s="182" t="str">
        <f>IFERROR(__xludf.DUMMYFUNCTION("""COMPUTED_VALUE"""),"Very Good")</f>
        <v>Very Good</v>
      </c>
      <c r="AB2696" s="182" t="str">
        <f>IFERROR(__xludf.DUMMYFUNCTION("""COMPUTED_VALUE"""),"Good")</f>
        <v>Good</v>
      </c>
      <c r="AC2696" s="183"/>
      <c r="AD2696" s="183"/>
      <c r="AE2696" s="183"/>
      <c r="AF2696" s="184"/>
      <c r="AG2696" s="180"/>
      <c r="AH2696" s="185">
        <f>IFERROR(__xludf.DUMMYFUNCTION("""COMPUTED_VALUE"""),43433.55475111111)</f>
        <v>43433.55475</v>
      </c>
      <c r="AI2696" s="182"/>
      <c r="AJ2696" s="182"/>
      <c r="AK2696" s="182"/>
      <c r="AL2696" s="182"/>
    </row>
    <row r="2697" ht="20.25" customHeight="1">
      <c r="A2697" s="169" t="str">
        <f>IFERROR(__xludf.DUMMYFUNCTION("""COMPUTED_VALUE"""),"skidisk")</f>
        <v>skidisk</v>
      </c>
      <c r="B2697" s="170" t="str">
        <f>IFERROR(__xludf.DUMMYFUNCTION("""COMPUTED_VALUE"""),"Mountain View")</f>
        <v>Mountain View</v>
      </c>
      <c r="C2697" s="170" t="str">
        <f>IFERROR(__xludf.DUMMYFUNCTION("""COMPUTED_VALUE"""),"CA")</f>
        <v>CA</v>
      </c>
      <c r="D2697" s="170" t="str">
        <f>IFERROR(__xludf.DUMMYFUNCTION("""COMPUTED_VALUE"""),"USA")</f>
        <v>USA</v>
      </c>
      <c r="E2697" s="171">
        <f>IFERROR(__xludf.DUMMYFUNCTION("""COMPUTED_VALUE"""),43286.0)</f>
        <v>43286</v>
      </c>
      <c r="F2697" s="172">
        <f>IFERROR(__xludf.DUMMYFUNCTION("""COMPUTED_VALUE"""),43307.0)</f>
        <v>43307</v>
      </c>
      <c r="G2697" s="173"/>
      <c r="H2697" s="174">
        <f>IFERROR(__xludf.DUMMYFUNCTION("""COMPUTED_VALUE"""),76376.0)</f>
        <v>76376</v>
      </c>
      <c r="I2697" s="175" t="str">
        <f>IFERROR(__xludf.DUMMYFUNCTION("""COMPUTED_VALUE"""),"08/18")</f>
        <v>08/18</v>
      </c>
      <c r="J2697" s="172">
        <f>IFERROR(__xludf.DUMMYFUNCTION("""COMPUTED_VALUE"""),43315.0)</f>
        <v>43315</v>
      </c>
      <c r="K2697" s="176">
        <f>IFERROR(__xludf.DUMMYFUNCTION("""COMPUTED_VALUE"""),21.0)</f>
        <v>21</v>
      </c>
      <c r="L2697" s="176">
        <f>IFERROR(__xludf.DUMMYFUNCTION("""COMPUTED_VALUE"""),8.0)</f>
        <v>8</v>
      </c>
      <c r="M2697" s="176">
        <f>IFERROR(__xludf.DUMMYFUNCTION("""COMPUTED_VALUE"""),29.0)</f>
        <v>29</v>
      </c>
      <c r="N2697" s="177" t="str">
        <f>IFERROR(__xludf.DUMMYFUNCTION("""COMPUTED_VALUE"""),"Model 3 LR")</f>
        <v>Model 3 LR</v>
      </c>
      <c r="O2697" s="177" t="str">
        <f>IFERROR(__xludf.DUMMYFUNCTION("""COMPUTED_VALUE"""),"Deep Blue Metallic")</f>
        <v>Deep Blue Metallic</v>
      </c>
      <c r="P2697" s="178" t="str">
        <f>IFERROR(__xludf.DUMMYFUNCTION("""COMPUTED_VALUE"""),"18 inch Aero")</f>
        <v>18 inch Aero</v>
      </c>
      <c r="Q2697" s="177" t="str">
        <f>IFERROR(__xludf.DUMMYFUNCTION("""COMPUTED_VALUE"""),"Black seats")</f>
        <v>Black seats</v>
      </c>
      <c r="R2697" s="170" t="str">
        <f>IFERROR(__xludf.DUMMYFUNCTION("""COMPUTED_VALUE"""),"Enhanced Autopilot")</f>
        <v>Enhanced Autopilot</v>
      </c>
      <c r="S2697" s="170"/>
      <c r="T2697" s="179"/>
      <c r="U2697" s="179"/>
      <c r="V2697" s="179"/>
      <c r="W2697" s="180"/>
      <c r="X2697" s="181" t="str">
        <f>IFERROR(__xludf.DUMMYFUNCTION("""COMPUTED_VALUE"""),"Excellent")</f>
        <v>Excellent</v>
      </c>
      <c r="Y2697" s="182" t="str">
        <f>IFERROR(__xludf.DUMMYFUNCTION("""COMPUTED_VALUE"""),"Excellent")</f>
        <v>Excellent</v>
      </c>
      <c r="Z2697" s="182" t="str">
        <f>IFERROR(__xludf.DUMMYFUNCTION("""COMPUTED_VALUE"""),"Excellent")</f>
        <v>Excellent</v>
      </c>
      <c r="AA2697" s="182" t="str">
        <f>IFERROR(__xludf.DUMMYFUNCTION("""COMPUTED_VALUE"""),"Excellent")</f>
        <v>Excellent</v>
      </c>
      <c r="AB2697" s="182" t="str">
        <f>IFERROR(__xludf.DUMMYFUNCTION("""COMPUTED_VALUE"""),"Excellent")</f>
        <v>Excellent</v>
      </c>
      <c r="AC2697" s="183">
        <f>IFERROR(__xludf.DUMMYFUNCTION("""COMPUTED_VALUE"""),1.0)</f>
        <v>1</v>
      </c>
      <c r="AD2697" s="183">
        <f>IFERROR(__xludf.DUMMYFUNCTION("""COMPUTED_VALUE"""),2.0)</f>
        <v>2</v>
      </c>
      <c r="AE2697" s="183">
        <f>IFERROR(__xludf.DUMMYFUNCTION("""COMPUTED_VALUE"""),0.0)</f>
        <v>0</v>
      </c>
      <c r="AF2697" s="184"/>
      <c r="AG2697" s="180" t="str">
        <f>IFERROR(__xludf.DUMMYFUNCTION("""COMPUTED_VALUE"""),"First car ""could not be revived"" from Lathrop lot so new car provided at last minute")</f>
        <v>First car "could not be revived" from Lathrop lot so new car provided at last minute</v>
      </c>
      <c r="AH2697" s="185">
        <f>IFERROR(__xludf.DUMMYFUNCTION("""COMPUTED_VALUE"""),43349.655649942135)</f>
        <v>43349.65565</v>
      </c>
      <c r="AI2697" s="182"/>
      <c r="AJ2697" s="182"/>
      <c r="AK2697" s="182"/>
      <c r="AL2697" s="182"/>
    </row>
    <row r="2698" ht="20.25" customHeight="1">
      <c r="A2698" s="169" t="str">
        <f>IFERROR(__xludf.DUMMYFUNCTION("""COMPUTED_VALUE"""),"bsrober3")</f>
        <v>bsrober3</v>
      </c>
      <c r="B2698" s="170" t="str">
        <f>IFERROR(__xludf.DUMMYFUNCTION("""COMPUTED_VALUE"""),"Raleigh")</f>
        <v>Raleigh</v>
      </c>
      <c r="C2698" s="170" t="str">
        <f>IFERROR(__xludf.DUMMYFUNCTION("""COMPUTED_VALUE"""),"NC")</f>
        <v>NC</v>
      </c>
      <c r="D2698" s="170" t="str">
        <f>IFERROR(__xludf.DUMMYFUNCTION("""COMPUTED_VALUE"""),"USA")</f>
        <v>USA</v>
      </c>
      <c r="E2698" s="171">
        <f>IFERROR(__xludf.DUMMYFUNCTION("""COMPUTED_VALUE"""),43285.0)</f>
        <v>43285</v>
      </c>
      <c r="F2698" s="172">
        <f>IFERROR(__xludf.DUMMYFUNCTION("""COMPUTED_VALUE"""),43307.0)</f>
        <v>43307</v>
      </c>
      <c r="G2698" s="173"/>
      <c r="H2698" s="174">
        <f>IFERROR(__xludf.DUMMYFUNCTION("""COMPUTED_VALUE"""),40455.0)</f>
        <v>40455</v>
      </c>
      <c r="I2698" s="175"/>
      <c r="J2698" s="172">
        <f>IFERROR(__xludf.DUMMYFUNCTION("""COMPUTED_VALUE"""),43320.0)</f>
        <v>43320</v>
      </c>
      <c r="K2698" s="176">
        <f>IFERROR(__xludf.DUMMYFUNCTION("""COMPUTED_VALUE"""),22.0)</f>
        <v>22</v>
      </c>
      <c r="L2698" s="176">
        <f>IFERROR(__xludf.DUMMYFUNCTION("""COMPUTED_VALUE"""),13.0)</f>
        <v>13</v>
      </c>
      <c r="M2698" s="176">
        <f>IFERROR(__xludf.DUMMYFUNCTION("""COMPUTED_VALUE"""),35.0)</f>
        <v>35</v>
      </c>
      <c r="N2698" s="177" t="str">
        <f>IFERROR(__xludf.DUMMYFUNCTION("""COMPUTED_VALUE"""),"Model 3 LR")</f>
        <v>Model 3 LR</v>
      </c>
      <c r="O2698" s="177" t="str">
        <f>IFERROR(__xludf.DUMMYFUNCTION("""COMPUTED_VALUE"""),"Pearl White Multi-Coat")</f>
        <v>Pearl White Multi-Coat</v>
      </c>
      <c r="P2698" s="178" t="str">
        <f>IFERROR(__xludf.DUMMYFUNCTION("""COMPUTED_VALUE"""),"18 inch Aero")</f>
        <v>18 inch Aero</v>
      </c>
      <c r="Q2698" s="177" t="str">
        <f>IFERROR(__xludf.DUMMYFUNCTION("""COMPUTED_VALUE"""),"Black seats")</f>
        <v>Black seats</v>
      </c>
      <c r="R2698" s="170" t="str">
        <f>IFERROR(__xludf.DUMMYFUNCTION("""COMPUTED_VALUE"""),"None")</f>
        <v>None</v>
      </c>
      <c r="S2698" s="170"/>
      <c r="T2698" s="179"/>
      <c r="U2698" s="179"/>
      <c r="V2698" s="179"/>
      <c r="W2698" s="180"/>
      <c r="X2698" s="181" t="str">
        <f>IFERROR(__xludf.DUMMYFUNCTION("""COMPUTED_VALUE"""),"Excellent")</f>
        <v>Excellent</v>
      </c>
      <c r="Y2698" s="182" t="str">
        <f>IFERROR(__xludf.DUMMYFUNCTION("""COMPUTED_VALUE"""),"Very Good")</f>
        <v>Very Good</v>
      </c>
      <c r="Z2698" s="182" t="str">
        <f>IFERROR(__xludf.DUMMYFUNCTION("""COMPUTED_VALUE"""),"Very Good")</f>
        <v>Very Good</v>
      </c>
      <c r="AA2698" s="182" t="str">
        <f>IFERROR(__xludf.DUMMYFUNCTION("""COMPUTED_VALUE"""),"Excellent")</f>
        <v>Excellent</v>
      </c>
      <c r="AB2698" s="182" t="str">
        <f>IFERROR(__xludf.DUMMYFUNCTION("""COMPUTED_VALUE"""),"Excellent")</f>
        <v>Excellent</v>
      </c>
      <c r="AC2698" s="183">
        <f>IFERROR(__xludf.DUMMYFUNCTION("""COMPUTED_VALUE"""),2.0)</f>
        <v>2</v>
      </c>
      <c r="AD2698" s="183">
        <f>IFERROR(__xludf.DUMMYFUNCTION("""COMPUTED_VALUE"""),1.0)</f>
        <v>1</v>
      </c>
      <c r="AE2698" s="183">
        <f>IFERROR(__xludf.DUMMYFUNCTION("""COMPUTED_VALUE"""),3.0)</f>
        <v>3</v>
      </c>
      <c r="AF2698" s="184"/>
      <c r="AG2698" s="180"/>
      <c r="AH2698" s="185">
        <f>IFERROR(__xludf.DUMMYFUNCTION("""COMPUTED_VALUE"""),43384.34474092593)</f>
        <v>43384.34474</v>
      </c>
      <c r="AI2698" s="182"/>
      <c r="AJ2698" s="182"/>
      <c r="AK2698" s="182"/>
      <c r="AL2698" s="182"/>
    </row>
    <row r="2699" ht="20.25" customHeight="1">
      <c r="A2699" s="169" t="str">
        <f>IFERROR(__xludf.DUMMYFUNCTION("""COMPUTED_VALUE"""),"mac41099")</f>
        <v>mac41099</v>
      </c>
      <c r="B2699" s="170" t="str">
        <f>IFERROR(__xludf.DUMMYFUNCTION("""COMPUTED_VALUE"""),"Pittsburgh")</f>
        <v>Pittsburgh</v>
      </c>
      <c r="C2699" s="170" t="str">
        <f>IFERROR(__xludf.DUMMYFUNCTION("""COMPUTED_VALUE"""),"PA")</f>
        <v>PA</v>
      </c>
      <c r="D2699" s="170" t="str">
        <f>IFERROR(__xludf.DUMMYFUNCTION("""COMPUTED_VALUE"""),"USA")</f>
        <v>USA</v>
      </c>
      <c r="E2699" s="171">
        <f>IFERROR(__xludf.DUMMYFUNCTION("""COMPUTED_VALUE"""),43285.0)</f>
        <v>43285</v>
      </c>
      <c r="F2699" s="172">
        <f>IFERROR(__xludf.DUMMYFUNCTION("""COMPUTED_VALUE"""),43344.0)</f>
        <v>43344</v>
      </c>
      <c r="G2699" s="173"/>
      <c r="H2699" s="174">
        <f>IFERROR(__xludf.DUMMYFUNCTION("""COMPUTED_VALUE"""),103755.0)</f>
        <v>103755</v>
      </c>
      <c r="I2699" s="175"/>
      <c r="J2699" s="172">
        <f>IFERROR(__xludf.DUMMYFUNCTION("""COMPUTED_VALUE"""),43381.0)</f>
        <v>43381</v>
      </c>
      <c r="K2699" s="176">
        <f>IFERROR(__xludf.DUMMYFUNCTION("""COMPUTED_VALUE"""),59.0)</f>
        <v>59</v>
      </c>
      <c r="L2699" s="176">
        <f>IFERROR(__xludf.DUMMYFUNCTION("""COMPUTED_VALUE"""),37.0)</f>
        <v>37</v>
      </c>
      <c r="M2699" s="176">
        <f>IFERROR(__xludf.DUMMYFUNCTION("""COMPUTED_VALUE"""),96.0)</f>
        <v>96</v>
      </c>
      <c r="N2699" s="177" t="str">
        <f>IFERROR(__xludf.DUMMYFUNCTION("""COMPUTED_VALUE"""),"Model 3 LR AWD")</f>
        <v>Model 3 LR AWD</v>
      </c>
      <c r="O2699" s="177" t="str">
        <f>IFERROR(__xludf.DUMMYFUNCTION("""COMPUTED_VALUE"""),"Midnight Silver Metallic")</f>
        <v>Midnight Silver Metallic</v>
      </c>
      <c r="P2699" s="178" t="str">
        <f>IFERROR(__xludf.DUMMYFUNCTION("""COMPUTED_VALUE"""),"18 inch Aero")</f>
        <v>18 inch Aero</v>
      </c>
      <c r="Q2699" s="177" t="str">
        <f>IFERROR(__xludf.DUMMYFUNCTION("""COMPUTED_VALUE"""),"Black seats")</f>
        <v>Black seats</v>
      </c>
      <c r="R2699" s="170" t="str">
        <f>IFERROR(__xludf.DUMMYFUNCTION("""COMPUTED_VALUE"""),"Enhanced Autopilot")</f>
        <v>Enhanced Autopilot</v>
      </c>
      <c r="S2699" s="170"/>
      <c r="T2699" s="179"/>
      <c r="U2699" s="179"/>
      <c r="V2699" s="179"/>
      <c r="W2699" s="180"/>
      <c r="X2699" s="181" t="str">
        <f>IFERROR(__xludf.DUMMYFUNCTION("""COMPUTED_VALUE"""),"Very Good")</f>
        <v>Very Good</v>
      </c>
      <c r="Y2699" s="182" t="str">
        <f>IFERROR(__xludf.DUMMYFUNCTION("""COMPUTED_VALUE"""),"Very Good")</f>
        <v>Very Good</v>
      </c>
      <c r="Z2699" s="182" t="str">
        <f>IFERROR(__xludf.DUMMYFUNCTION("""COMPUTED_VALUE"""),"Excellent")</f>
        <v>Excellent</v>
      </c>
      <c r="AA2699" s="182" t="str">
        <f>IFERROR(__xludf.DUMMYFUNCTION("""COMPUTED_VALUE"""),"Fair")</f>
        <v>Fair</v>
      </c>
      <c r="AB2699" s="182" t="str">
        <f>IFERROR(__xludf.DUMMYFUNCTION("""COMPUTED_VALUE"""),"Fair")</f>
        <v>Fair</v>
      </c>
      <c r="AC2699" s="183"/>
      <c r="AD2699" s="183"/>
      <c r="AE2699" s="183"/>
      <c r="AF2699" s="184"/>
      <c r="AG2699" s="180"/>
      <c r="AH2699" s="185">
        <f>IFERROR(__xludf.DUMMYFUNCTION("""COMPUTED_VALUE"""),43384.47104094907)</f>
        <v>43384.47104</v>
      </c>
      <c r="AI2699" s="182"/>
      <c r="AJ2699" s="182"/>
      <c r="AK2699" s="182"/>
      <c r="AL2699" s="182"/>
    </row>
    <row r="2700" ht="20.25" customHeight="1">
      <c r="A2700" s="169" t="str">
        <f>IFERROR(__xludf.DUMMYFUNCTION("""COMPUTED_VALUE"""),"Madonegirl")</f>
        <v>Madonegirl</v>
      </c>
      <c r="B2700" s="170" t="str">
        <f>IFERROR(__xludf.DUMMYFUNCTION("""COMPUTED_VALUE"""),"Denver area")</f>
        <v>Denver area</v>
      </c>
      <c r="C2700" s="170" t="str">
        <f>IFERROR(__xludf.DUMMYFUNCTION("""COMPUTED_VALUE"""),"CO")</f>
        <v>CO</v>
      </c>
      <c r="D2700" s="170" t="str">
        <f>IFERROR(__xludf.DUMMYFUNCTION("""COMPUTED_VALUE"""),"USA")</f>
        <v>USA</v>
      </c>
      <c r="E2700" s="171">
        <f>IFERROR(__xludf.DUMMYFUNCTION("""COMPUTED_VALUE"""),43285.0)</f>
        <v>43285</v>
      </c>
      <c r="F2700" s="172">
        <f>IFERROR(__xludf.DUMMYFUNCTION("""COMPUTED_VALUE"""),43373.0)</f>
        <v>43373</v>
      </c>
      <c r="G2700" s="173"/>
      <c r="H2700" s="174">
        <f>IFERROR(__xludf.DUMMYFUNCTION("""COMPUTED_VALUE"""),93122.0)</f>
        <v>93122</v>
      </c>
      <c r="I2700" s="175" t="str">
        <f>IFERROR(__xludf.DUMMYFUNCTION("""COMPUTED_VALUE"""),"09/18")</f>
        <v>09/18</v>
      </c>
      <c r="J2700" s="172">
        <f>IFERROR(__xludf.DUMMYFUNCTION("""COMPUTED_VALUE"""),43378.0)</f>
        <v>43378</v>
      </c>
      <c r="K2700" s="176">
        <f>IFERROR(__xludf.DUMMYFUNCTION("""COMPUTED_VALUE"""),88.0)</f>
        <v>88</v>
      </c>
      <c r="L2700" s="176">
        <f>IFERROR(__xludf.DUMMYFUNCTION("""COMPUTED_VALUE"""),5.0)</f>
        <v>5</v>
      </c>
      <c r="M2700" s="176">
        <f>IFERROR(__xludf.DUMMYFUNCTION("""COMPUTED_VALUE"""),93.0)</f>
        <v>93</v>
      </c>
      <c r="N2700" s="177" t="str">
        <f>IFERROR(__xludf.DUMMYFUNCTION("""COMPUTED_VALUE"""),"Model 3 LR AWD")</f>
        <v>Model 3 LR AWD</v>
      </c>
      <c r="O2700" s="177" t="str">
        <f>IFERROR(__xludf.DUMMYFUNCTION("""COMPUTED_VALUE"""),"Midnight Silver Metallic")</f>
        <v>Midnight Silver Metallic</v>
      </c>
      <c r="P2700" s="178" t="str">
        <f>IFERROR(__xludf.DUMMYFUNCTION("""COMPUTED_VALUE"""),"18 inch Aero")</f>
        <v>18 inch Aero</v>
      </c>
      <c r="Q2700" s="177" t="str">
        <f>IFERROR(__xludf.DUMMYFUNCTION("""COMPUTED_VALUE"""),"Black seats")</f>
        <v>Black seats</v>
      </c>
      <c r="R2700" s="170" t="str">
        <f>IFERROR(__xludf.DUMMYFUNCTION("""COMPUTED_VALUE"""),"Enhanced Autopilot")</f>
        <v>Enhanced Autopilot</v>
      </c>
      <c r="S2700" s="170"/>
      <c r="T2700" s="179"/>
      <c r="U2700" s="179"/>
      <c r="V2700" s="179"/>
      <c r="W2700" s="180"/>
      <c r="X2700" s="181" t="str">
        <f>IFERROR(__xludf.DUMMYFUNCTION("""COMPUTED_VALUE"""),"Excellent")</f>
        <v>Excellent</v>
      </c>
      <c r="Y2700" s="182" t="str">
        <f>IFERROR(__xludf.DUMMYFUNCTION("""COMPUTED_VALUE"""),"Excellent")</f>
        <v>Excellent</v>
      </c>
      <c r="Z2700" s="182" t="str">
        <f>IFERROR(__xludf.DUMMYFUNCTION("""COMPUTED_VALUE"""),"Excellent")</f>
        <v>Excellent</v>
      </c>
      <c r="AA2700" s="182" t="str">
        <f>IFERROR(__xludf.DUMMYFUNCTION("""COMPUTED_VALUE"""),"Very Good")</f>
        <v>Very Good</v>
      </c>
      <c r="AB2700" s="182" t="str">
        <f>IFERROR(__xludf.DUMMYFUNCTION("""COMPUTED_VALUE"""),"Excellent")</f>
        <v>Excellent</v>
      </c>
      <c r="AC2700" s="183"/>
      <c r="AD2700" s="183"/>
      <c r="AE2700" s="183"/>
      <c r="AF2700" s="184"/>
      <c r="AG2700" s="180"/>
      <c r="AH2700" s="185">
        <f>IFERROR(__xludf.DUMMYFUNCTION("""COMPUTED_VALUE"""),43379.21257136574)</f>
        <v>43379.21257</v>
      </c>
      <c r="AI2700" s="182"/>
      <c r="AJ2700" s="182"/>
      <c r="AK2700" s="182"/>
      <c r="AL2700" s="182"/>
    </row>
    <row r="2701" ht="20.25" customHeight="1">
      <c r="A2701" s="169" t="str">
        <f>IFERROR(__xludf.DUMMYFUNCTION("""COMPUTED_VALUE"""),"pabloaiz")</f>
        <v>pabloaiz</v>
      </c>
      <c r="B2701" s="170" t="str">
        <f>IFERROR(__xludf.DUMMYFUNCTION("""COMPUTED_VALUE"""),"Spring")</f>
        <v>Spring</v>
      </c>
      <c r="C2701" s="170" t="str">
        <f>IFERROR(__xludf.DUMMYFUNCTION("""COMPUTED_VALUE"""),"TX")</f>
        <v>TX</v>
      </c>
      <c r="D2701" s="170" t="str">
        <f>IFERROR(__xludf.DUMMYFUNCTION("""COMPUTED_VALUE"""),"USA")</f>
        <v>USA</v>
      </c>
      <c r="E2701" s="171">
        <f>IFERROR(__xludf.DUMMYFUNCTION("""COMPUTED_VALUE"""),43285.0)</f>
        <v>43285</v>
      </c>
      <c r="F2701" s="172">
        <f>IFERROR(__xludf.DUMMYFUNCTION("""COMPUTED_VALUE"""),43332.0)</f>
        <v>43332</v>
      </c>
      <c r="G2701" s="173"/>
      <c r="H2701" s="174">
        <f>IFERROR(__xludf.DUMMYFUNCTION("""COMPUTED_VALUE"""),96055.0)</f>
        <v>96055</v>
      </c>
      <c r="I2701" s="175"/>
      <c r="J2701" s="172">
        <f>IFERROR(__xludf.DUMMYFUNCTION("""COMPUTED_VALUE"""),43361.0)</f>
        <v>43361</v>
      </c>
      <c r="K2701" s="176">
        <f>IFERROR(__xludf.DUMMYFUNCTION("""COMPUTED_VALUE"""),47.0)</f>
        <v>47</v>
      </c>
      <c r="L2701" s="176">
        <f>IFERROR(__xludf.DUMMYFUNCTION("""COMPUTED_VALUE"""),29.0)</f>
        <v>29</v>
      </c>
      <c r="M2701" s="176">
        <f>IFERROR(__xludf.DUMMYFUNCTION("""COMPUTED_VALUE"""),76.0)</f>
        <v>76</v>
      </c>
      <c r="N2701" s="177" t="str">
        <f>IFERROR(__xludf.DUMMYFUNCTION("""COMPUTED_VALUE"""),"Model 3 LR AWD")</f>
        <v>Model 3 LR AWD</v>
      </c>
      <c r="O2701" s="177" t="str">
        <f>IFERROR(__xludf.DUMMYFUNCTION("""COMPUTED_VALUE"""),"Midnight Silver Metallic")</f>
        <v>Midnight Silver Metallic</v>
      </c>
      <c r="P2701" s="178" t="str">
        <f>IFERROR(__xludf.DUMMYFUNCTION("""COMPUTED_VALUE"""),"18 inch Aero")</f>
        <v>18 inch Aero</v>
      </c>
      <c r="Q2701" s="177" t="str">
        <f>IFERROR(__xludf.DUMMYFUNCTION("""COMPUTED_VALUE"""),"White seats")</f>
        <v>White seats</v>
      </c>
      <c r="R2701" s="170" t="str">
        <f>IFERROR(__xludf.DUMMYFUNCTION("""COMPUTED_VALUE"""),"Full Self-Driving")</f>
        <v>Full Self-Driving</v>
      </c>
      <c r="S2701" s="170"/>
      <c r="T2701" s="179"/>
      <c r="U2701" s="179"/>
      <c r="V2701" s="179"/>
      <c r="W2701" s="180"/>
      <c r="X2701" s="181" t="str">
        <f>IFERROR(__xludf.DUMMYFUNCTION("""COMPUTED_VALUE"""),"Good")</f>
        <v>Good</v>
      </c>
      <c r="Y2701" s="182" t="str">
        <f>IFERROR(__xludf.DUMMYFUNCTION("""COMPUTED_VALUE"""),"Very Good")</f>
        <v>Very Good</v>
      </c>
      <c r="Z2701" s="182" t="str">
        <f>IFERROR(__xludf.DUMMYFUNCTION("""COMPUTED_VALUE"""),"Very Good")</f>
        <v>Very Good</v>
      </c>
      <c r="AA2701" s="182" t="str">
        <f>IFERROR(__xludf.DUMMYFUNCTION("""COMPUTED_VALUE"""),"Excellent")</f>
        <v>Excellent</v>
      </c>
      <c r="AB2701" s="182" t="str">
        <f>IFERROR(__xludf.DUMMYFUNCTION("""COMPUTED_VALUE"""),"Good")</f>
        <v>Good</v>
      </c>
      <c r="AC2701" s="183"/>
      <c r="AD2701" s="183"/>
      <c r="AE2701" s="183"/>
      <c r="AF2701" s="184"/>
      <c r="AG2701" s="180"/>
      <c r="AH2701" s="185">
        <f>IFERROR(__xludf.DUMMYFUNCTION("""COMPUTED_VALUE"""),43364.72271252315)</f>
        <v>43364.72271</v>
      </c>
      <c r="AI2701" s="182"/>
      <c r="AJ2701" s="182"/>
      <c r="AK2701" s="182"/>
      <c r="AL2701" s="182"/>
    </row>
    <row r="2702" ht="20.25" customHeight="1">
      <c r="A2702" s="169" t="str">
        <f>IFERROR(__xludf.DUMMYFUNCTION("""COMPUTED_VALUE"""),"patrikkjonsson")</f>
        <v>patrikkjonsson</v>
      </c>
      <c r="B2702" s="170" t="str">
        <f>IFERROR(__xludf.DUMMYFUNCTION("""COMPUTED_VALUE"""),"95139")</f>
        <v>95139</v>
      </c>
      <c r="C2702" s="170" t="str">
        <f>IFERROR(__xludf.DUMMYFUNCTION("""COMPUTED_VALUE"""),"CA")</f>
        <v>CA</v>
      </c>
      <c r="D2702" s="170" t="str">
        <f>IFERROR(__xludf.DUMMYFUNCTION("""COMPUTED_VALUE"""),"USA")</f>
        <v>USA</v>
      </c>
      <c r="E2702" s="171">
        <f>IFERROR(__xludf.DUMMYFUNCTION("""COMPUTED_VALUE"""),43285.0)</f>
        <v>43285</v>
      </c>
      <c r="F2702" s="172"/>
      <c r="G2702" s="173"/>
      <c r="H2702" s="174">
        <f>IFERROR(__xludf.DUMMYFUNCTION("""COMPUTED_VALUE"""),65607.0)</f>
        <v>65607</v>
      </c>
      <c r="I2702" s="175"/>
      <c r="J2702" s="172">
        <f>IFERROR(__xludf.DUMMYFUNCTION("""COMPUTED_VALUE"""),43367.0)</f>
        <v>43367</v>
      </c>
      <c r="K2702" s="176"/>
      <c r="L2702" s="176"/>
      <c r="M2702" s="176">
        <f>IFERROR(__xludf.DUMMYFUNCTION("""COMPUTED_VALUE"""),82.0)</f>
        <v>82</v>
      </c>
      <c r="N2702" s="177" t="str">
        <f>IFERROR(__xludf.DUMMYFUNCTION("""COMPUTED_VALUE"""),"Model 3 LR AWD")</f>
        <v>Model 3 LR AWD</v>
      </c>
      <c r="O2702" s="177" t="str">
        <f>IFERROR(__xludf.DUMMYFUNCTION("""COMPUTED_VALUE"""),"Red Multi-Coat")</f>
        <v>Red Multi-Coat</v>
      </c>
      <c r="P2702" s="178" t="str">
        <f>IFERROR(__xludf.DUMMYFUNCTION("""COMPUTED_VALUE"""),"19 inch Sport")</f>
        <v>19 inch Sport</v>
      </c>
      <c r="Q2702" s="177" t="str">
        <f>IFERROR(__xludf.DUMMYFUNCTION("""COMPUTED_VALUE"""),"Black seats")</f>
        <v>Black seats</v>
      </c>
      <c r="R2702" s="170" t="str">
        <f>IFERROR(__xludf.DUMMYFUNCTION("""COMPUTED_VALUE"""),"Full Self-Driving")</f>
        <v>Full Self-Driving</v>
      </c>
      <c r="S2702" s="170"/>
      <c r="T2702" s="179"/>
      <c r="U2702" s="179"/>
      <c r="V2702" s="179"/>
      <c r="W2702" s="180"/>
      <c r="X2702" s="181" t="str">
        <f>IFERROR(__xludf.DUMMYFUNCTION("""COMPUTED_VALUE"""),"Excellent")</f>
        <v>Excellent</v>
      </c>
      <c r="Y2702" s="182" t="str">
        <f>IFERROR(__xludf.DUMMYFUNCTION("""COMPUTED_VALUE"""),"Excellent")</f>
        <v>Excellent</v>
      </c>
      <c r="Z2702" s="182" t="str">
        <f>IFERROR(__xludf.DUMMYFUNCTION("""COMPUTED_VALUE"""),"Excellent")</f>
        <v>Excellent</v>
      </c>
      <c r="AA2702" s="182" t="str">
        <f>IFERROR(__xludf.DUMMYFUNCTION("""COMPUTED_VALUE"""),"Excellent")</f>
        <v>Excellent</v>
      </c>
      <c r="AB2702" s="182" t="str">
        <f>IFERROR(__xludf.DUMMYFUNCTION("""COMPUTED_VALUE"""),"Excellent")</f>
        <v>Excellent</v>
      </c>
      <c r="AC2702" s="183"/>
      <c r="AD2702" s="183"/>
      <c r="AE2702" s="183"/>
      <c r="AF2702" s="184"/>
      <c r="AG2702" s="180"/>
      <c r="AH2702" s="185">
        <f>IFERROR(__xludf.DUMMYFUNCTION("""COMPUTED_VALUE"""),43368.49099508101)</f>
        <v>43368.491</v>
      </c>
      <c r="AI2702" s="182"/>
      <c r="AJ2702" s="182"/>
      <c r="AK2702" s="182"/>
      <c r="AL2702" s="182"/>
    </row>
    <row r="2703" ht="20.25" customHeight="1">
      <c r="A2703" s="169" t="str">
        <f>IFERROR(__xludf.DUMMYFUNCTION("""COMPUTED_VALUE"""),"awall")</f>
        <v>awall</v>
      </c>
      <c r="B2703" s="170"/>
      <c r="C2703" s="170" t="str">
        <f>IFERROR(__xludf.DUMMYFUNCTION("""COMPUTED_VALUE"""),"MA")</f>
        <v>MA</v>
      </c>
      <c r="D2703" s="170" t="str">
        <f>IFERROR(__xludf.DUMMYFUNCTION("""COMPUTED_VALUE"""),"USA")</f>
        <v>USA</v>
      </c>
      <c r="E2703" s="171">
        <f>IFERROR(__xludf.DUMMYFUNCTION("""COMPUTED_VALUE"""),43284.0)</f>
        <v>43284</v>
      </c>
      <c r="F2703" s="172">
        <f>IFERROR(__xludf.DUMMYFUNCTION("""COMPUTED_VALUE"""),43327.0)</f>
        <v>43327</v>
      </c>
      <c r="G2703" s="173"/>
      <c r="H2703" s="174">
        <f>IFERROR(__xludf.DUMMYFUNCTION("""COMPUTED_VALUE"""),70501.0)</f>
        <v>70501</v>
      </c>
      <c r="I2703" s="175"/>
      <c r="J2703" s="172">
        <f>IFERROR(__xludf.DUMMYFUNCTION("""COMPUTED_VALUE"""),43351.0)</f>
        <v>43351</v>
      </c>
      <c r="K2703" s="176">
        <f>IFERROR(__xludf.DUMMYFUNCTION("""COMPUTED_VALUE"""),43.0)</f>
        <v>43</v>
      </c>
      <c r="L2703" s="176">
        <f>IFERROR(__xludf.DUMMYFUNCTION("""COMPUTED_VALUE"""),24.0)</f>
        <v>24</v>
      </c>
      <c r="M2703" s="176">
        <f>IFERROR(__xludf.DUMMYFUNCTION("""COMPUTED_VALUE"""),67.0)</f>
        <v>67</v>
      </c>
      <c r="N2703" s="177" t="str">
        <f>IFERROR(__xludf.DUMMYFUNCTION("""COMPUTED_VALUE"""),"Model 3 LR AWD")</f>
        <v>Model 3 LR AWD</v>
      </c>
      <c r="O2703" s="177" t="str">
        <f>IFERROR(__xludf.DUMMYFUNCTION("""COMPUTED_VALUE"""),"Obsidian Black Metallic")</f>
        <v>Obsidian Black Metallic</v>
      </c>
      <c r="P2703" s="178" t="str">
        <f>IFERROR(__xludf.DUMMYFUNCTION("""COMPUTED_VALUE"""),"18 inch Aero")</f>
        <v>18 inch Aero</v>
      </c>
      <c r="Q2703" s="177" t="str">
        <f>IFERROR(__xludf.DUMMYFUNCTION("""COMPUTED_VALUE"""),"Black seats")</f>
        <v>Black seats</v>
      </c>
      <c r="R2703" s="170" t="str">
        <f>IFERROR(__xludf.DUMMYFUNCTION("""COMPUTED_VALUE"""),"Full Self-Driving")</f>
        <v>Full Self-Driving</v>
      </c>
      <c r="S2703" s="170"/>
      <c r="T2703" s="179"/>
      <c r="U2703" s="179"/>
      <c r="V2703" s="179"/>
      <c r="W2703" s="180"/>
      <c r="X2703" s="181" t="str">
        <f>IFERROR(__xludf.DUMMYFUNCTION("""COMPUTED_VALUE"""),"Excellent")</f>
        <v>Excellent</v>
      </c>
      <c r="Y2703" s="182" t="str">
        <f>IFERROR(__xludf.DUMMYFUNCTION("""COMPUTED_VALUE"""),"Excellent")</f>
        <v>Excellent</v>
      </c>
      <c r="Z2703" s="182" t="str">
        <f>IFERROR(__xludf.DUMMYFUNCTION("""COMPUTED_VALUE"""),"Good")</f>
        <v>Good</v>
      </c>
      <c r="AA2703" s="182" t="str">
        <f>IFERROR(__xludf.DUMMYFUNCTION("""COMPUTED_VALUE"""),"Fair")</f>
        <v>Fair</v>
      </c>
      <c r="AB2703" s="182" t="str">
        <f>IFERROR(__xludf.DUMMYFUNCTION("""COMPUTED_VALUE"""),"Very Good")</f>
        <v>Very Good</v>
      </c>
      <c r="AC2703" s="183">
        <f>IFERROR(__xludf.DUMMYFUNCTION("""COMPUTED_VALUE"""),0.0)</f>
        <v>0</v>
      </c>
      <c r="AD2703" s="183">
        <f>IFERROR(__xludf.DUMMYFUNCTION("""COMPUTED_VALUE"""),0.0)</f>
        <v>0</v>
      </c>
      <c r="AE2703" s="183"/>
      <c r="AF2703" s="184"/>
      <c r="AG2703" s="180" t="str">
        <f>IFERROR(__xludf.DUMMYFUNCTION("""COMPUTED_VALUE"""),"I was concerned when I went to pick up the car as I had not heard from anyone at Tesla since initially scheduling my appointment with the central delivery office.   I was surprised there was not even an email the night before.")</f>
        <v>I was concerned when I went to pick up the car as I had not heard from anyone at Tesla since initially scheduling my appointment with the central delivery office.   I was surprised there was not even an email the night before.</v>
      </c>
      <c r="AH2703" s="185">
        <f>IFERROR(__xludf.DUMMYFUNCTION("""COMPUTED_VALUE"""),43354.75290303241)</f>
        <v>43354.7529</v>
      </c>
      <c r="AI2703" s="182"/>
      <c r="AJ2703" s="182"/>
      <c r="AK2703" s="182"/>
      <c r="AL2703" s="182"/>
    </row>
    <row r="2704" ht="20.25" customHeight="1">
      <c r="A2704" s="169" t="str">
        <f>IFERROR(__xludf.DUMMYFUNCTION("""COMPUTED_VALUE"""),"derelicte")</f>
        <v>derelicte</v>
      </c>
      <c r="B2704" s="170" t="str">
        <f>IFERROR(__xludf.DUMMYFUNCTION("""COMPUTED_VALUE"""),"Los Angeles")</f>
        <v>Los Angeles</v>
      </c>
      <c r="C2704" s="170" t="str">
        <f>IFERROR(__xludf.DUMMYFUNCTION("""COMPUTED_VALUE"""),"CA")</f>
        <v>CA</v>
      </c>
      <c r="D2704" s="170" t="str">
        <f>IFERROR(__xludf.DUMMYFUNCTION("""COMPUTED_VALUE"""),"USA")</f>
        <v>USA</v>
      </c>
      <c r="E2704" s="171">
        <f>IFERROR(__xludf.DUMMYFUNCTION("""COMPUTED_VALUE"""),43284.0)</f>
        <v>43284</v>
      </c>
      <c r="F2704" s="172">
        <f>IFERROR(__xludf.DUMMYFUNCTION("""COMPUTED_VALUE"""),43343.0)</f>
        <v>43343</v>
      </c>
      <c r="G2704" s="173"/>
      <c r="H2704" s="174">
        <f>IFERROR(__xludf.DUMMYFUNCTION("""COMPUTED_VALUE"""),56253.0)</f>
        <v>56253</v>
      </c>
      <c r="I2704" s="175"/>
      <c r="J2704" s="172">
        <f>IFERROR(__xludf.DUMMYFUNCTION("""COMPUTED_VALUE"""),43349.0)</f>
        <v>43349</v>
      </c>
      <c r="K2704" s="176">
        <f>IFERROR(__xludf.DUMMYFUNCTION("""COMPUTED_VALUE"""),59.0)</f>
        <v>59</v>
      </c>
      <c r="L2704" s="176">
        <f>IFERROR(__xludf.DUMMYFUNCTION("""COMPUTED_VALUE"""),6.0)</f>
        <v>6</v>
      </c>
      <c r="M2704" s="176">
        <f>IFERROR(__xludf.DUMMYFUNCTION("""COMPUTED_VALUE"""),65.0)</f>
        <v>65</v>
      </c>
      <c r="N2704" s="177" t="str">
        <f>IFERROR(__xludf.DUMMYFUNCTION("""COMPUTED_VALUE"""),"Model 3 Performance")</f>
        <v>Model 3 Performance</v>
      </c>
      <c r="O2704" s="177" t="str">
        <f>IFERROR(__xludf.DUMMYFUNCTION("""COMPUTED_VALUE"""),"Red Multi-Coat")</f>
        <v>Red Multi-Coat</v>
      </c>
      <c r="P2704" s="178" t="str">
        <f>IFERROR(__xludf.DUMMYFUNCTION("""COMPUTED_VALUE"""),"20 inch Sport")</f>
        <v>20 inch Sport</v>
      </c>
      <c r="Q2704" s="177" t="str">
        <f>IFERROR(__xludf.DUMMYFUNCTION("""COMPUTED_VALUE"""),"White seats")</f>
        <v>White seats</v>
      </c>
      <c r="R2704" s="170" t="str">
        <f>IFERROR(__xludf.DUMMYFUNCTION("""COMPUTED_VALUE"""),"Full Self-Driving")</f>
        <v>Full Self-Driving</v>
      </c>
      <c r="S2704" s="170"/>
      <c r="T2704" s="179"/>
      <c r="U2704" s="179"/>
      <c r="V2704" s="179"/>
      <c r="W2704" s="180"/>
      <c r="X2704" s="181" t="str">
        <f>IFERROR(__xludf.DUMMYFUNCTION("""COMPUTED_VALUE"""),"Excellent")</f>
        <v>Excellent</v>
      </c>
      <c r="Y2704" s="182" t="str">
        <f>IFERROR(__xludf.DUMMYFUNCTION("""COMPUTED_VALUE"""),"Excellent")</f>
        <v>Excellent</v>
      </c>
      <c r="Z2704" s="182" t="str">
        <f>IFERROR(__xludf.DUMMYFUNCTION("""COMPUTED_VALUE"""),"Excellent")</f>
        <v>Excellent</v>
      </c>
      <c r="AA2704" s="182" t="str">
        <f>IFERROR(__xludf.DUMMYFUNCTION("""COMPUTED_VALUE"""),"Very Good")</f>
        <v>Very Good</v>
      </c>
      <c r="AB2704" s="182" t="str">
        <f>IFERROR(__xludf.DUMMYFUNCTION("""COMPUTED_VALUE"""),"Very Good")</f>
        <v>Very Good</v>
      </c>
      <c r="AC2704" s="183">
        <f>IFERROR(__xludf.DUMMYFUNCTION("""COMPUTED_VALUE"""),3.0)</f>
        <v>3</v>
      </c>
      <c r="AD2704" s="183"/>
      <c r="AE2704" s="183"/>
      <c r="AF2704" s="184"/>
      <c r="AG2704" s="180"/>
      <c r="AH2704" s="185">
        <f>IFERROR(__xludf.DUMMYFUNCTION("""COMPUTED_VALUE"""),43349.55655893518)</f>
        <v>43349.55656</v>
      </c>
      <c r="AI2704" s="182"/>
      <c r="AJ2704" s="182"/>
      <c r="AK2704" s="182"/>
      <c r="AL2704" s="182"/>
    </row>
    <row r="2705" ht="20.25" customHeight="1">
      <c r="A2705" s="169" t="str">
        <f>IFERROR(__xludf.DUMMYFUNCTION("""COMPUTED_VALUE"""),"duvall348")</f>
        <v>duvall348</v>
      </c>
      <c r="B2705" s="170" t="str">
        <f>IFERROR(__xludf.DUMMYFUNCTION("""COMPUTED_VALUE"""),"York")</f>
        <v>York</v>
      </c>
      <c r="C2705" s="170" t="str">
        <f>IFERROR(__xludf.DUMMYFUNCTION("""COMPUTED_VALUE"""),"PA")</f>
        <v>PA</v>
      </c>
      <c r="D2705" s="170" t="str">
        <f>IFERROR(__xludf.DUMMYFUNCTION("""COMPUTED_VALUE"""),"USA")</f>
        <v>USA</v>
      </c>
      <c r="E2705" s="171">
        <f>IFERROR(__xludf.DUMMYFUNCTION("""COMPUTED_VALUE"""),43284.0)</f>
        <v>43284</v>
      </c>
      <c r="F2705" s="172">
        <f>IFERROR(__xludf.DUMMYFUNCTION("""COMPUTED_VALUE"""),43311.0)</f>
        <v>43311</v>
      </c>
      <c r="G2705" s="173"/>
      <c r="H2705" s="174">
        <f>IFERROR(__xludf.DUMMYFUNCTION("""COMPUTED_VALUE"""),45815.0)</f>
        <v>45815</v>
      </c>
      <c r="I2705" s="175" t="str">
        <f>IFERROR(__xludf.DUMMYFUNCTION("""COMPUTED_VALUE"""),"07/18")</f>
        <v>07/18</v>
      </c>
      <c r="J2705" s="172">
        <f>IFERROR(__xludf.DUMMYFUNCTION("""COMPUTED_VALUE"""),43326.0)</f>
        <v>43326</v>
      </c>
      <c r="K2705" s="176">
        <f>IFERROR(__xludf.DUMMYFUNCTION("""COMPUTED_VALUE"""),27.0)</f>
        <v>27</v>
      </c>
      <c r="L2705" s="176">
        <f>IFERROR(__xludf.DUMMYFUNCTION("""COMPUTED_VALUE"""),15.0)</f>
        <v>15</v>
      </c>
      <c r="M2705" s="176">
        <f>IFERROR(__xludf.DUMMYFUNCTION("""COMPUTED_VALUE"""),42.0)</f>
        <v>42</v>
      </c>
      <c r="N2705" s="177" t="str">
        <f>IFERROR(__xludf.DUMMYFUNCTION("""COMPUTED_VALUE"""),"Model 3 LR")</f>
        <v>Model 3 LR</v>
      </c>
      <c r="O2705" s="177" t="str">
        <f>IFERROR(__xludf.DUMMYFUNCTION("""COMPUTED_VALUE"""),"Midnight Silver Metallic")</f>
        <v>Midnight Silver Metallic</v>
      </c>
      <c r="P2705" s="178" t="str">
        <f>IFERROR(__xludf.DUMMYFUNCTION("""COMPUTED_VALUE"""),"18 inch Aero")</f>
        <v>18 inch Aero</v>
      </c>
      <c r="Q2705" s="177" t="str">
        <f>IFERROR(__xludf.DUMMYFUNCTION("""COMPUTED_VALUE"""),"Black seats")</f>
        <v>Black seats</v>
      </c>
      <c r="R2705" s="170" t="str">
        <f>IFERROR(__xludf.DUMMYFUNCTION("""COMPUTED_VALUE"""),"Enhanced Autopilot")</f>
        <v>Enhanced Autopilot</v>
      </c>
      <c r="S2705" s="170"/>
      <c r="T2705" s="179"/>
      <c r="U2705" s="179"/>
      <c r="V2705" s="179"/>
      <c r="W2705" s="180"/>
      <c r="X2705" s="181" t="str">
        <f>IFERROR(__xludf.DUMMYFUNCTION("""COMPUTED_VALUE"""),"Excellent")</f>
        <v>Excellent</v>
      </c>
      <c r="Y2705" s="182" t="str">
        <f>IFERROR(__xludf.DUMMYFUNCTION("""COMPUTED_VALUE"""),"Excellent")</f>
        <v>Excellent</v>
      </c>
      <c r="Z2705" s="182" t="str">
        <f>IFERROR(__xludf.DUMMYFUNCTION("""COMPUTED_VALUE"""),"Very Good")</f>
        <v>Very Good</v>
      </c>
      <c r="AA2705" s="182" t="str">
        <f>IFERROR(__xludf.DUMMYFUNCTION("""COMPUTED_VALUE"""),"Excellent")</f>
        <v>Excellent</v>
      </c>
      <c r="AB2705" s="182" t="str">
        <f>IFERROR(__xludf.DUMMYFUNCTION("""COMPUTED_VALUE"""),"Excellent")</f>
        <v>Excellent</v>
      </c>
      <c r="AC2705" s="183">
        <f>IFERROR(__xludf.DUMMYFUNCTION("""COMPUTED_VALUE"""),1.0)</f>
        <v>1</v>
      </c>
      <c r="AD2705" s="183">
        <f>IFERROR(__xludf.DUMMYFUNCTION("""COMPUTED_VALUE"""),1.0)</f>
        <v>1</v>
      </c>
      <c r="AE2705" s="183">
        <f>IFERROR(__xludf.DUMMYFUNCTION("""COMPUTED_VALUE"""),7.0)</f>
        <v>7</v>
      </c>
      <c r="AF2705" s="184"/>
      <c r="AG2705" s="180"/>
      <c r="AH2705" s="185">
        <f>IFERROR(__xludf.DUMMYFUNCTION("""COMPUTED_VALUE"""),43345.35139969907)</f>
        <v>43345.3514</v>
      </c>
      <c r="AI2705" s="182"/>
      <c r="AJ2705" s="182"/>
      <c r="AK2705" s="182"/>
      <c r="AL2705" s="182"/>
    </row>
    <row r="2706" ht="20.25" customHeight="1">
      <c r="A2706" s="169" t="str">
        <f>IFERROR(__xludf.DUMMYFUNCTION("""COMPUTED_VALUE"""),"ilv2roam")</f>
        <v>ilv2roam</v>
      </c>
      <c r="B2706" s="170" t="str">
        <f>IFERROR(__xludf.DUMMYFUNCTION("""COMPUTED_VALUE"""),"Dana Point")</f>
        <v>Dana Point</v>
      </c>
      <c r="C2706" s="170" t="str">
        <f>IFERROR(__xludf.DUMMYFUNCTION("""COMPUTED_VALUE"""),"CA")</f>
        <v>CA</v>
      </c>
      <c r="D2706" s="170" t="str">
        <f>IFERROR(__xludf.DUMMYFUNCTION("""COMPUTED_VALUE"""),"USA")</f>
        <v>USA</v>
      </c>
      <c r="E2706" s="171">
        <f>IFERROR(__xludf.DUMMYFUNCTION("""COMPUTED_VALUE"""),43284.0)</f>
        <v>43284</v>
      </c>
      <c r="F2706" s="172">
        <f>IFERROR(__xludf.DUMMYFUNCTION("""COMPUTED_VALUE"""),43368.0)</f>
        <v>43368</v>
      </c>
      <c r="G2706" s="173"/>
      <c r="H2706" s="174">
        <f>IFERROR(__xludf.DUMMYFUNCTION("""COMPUTED_VALUE"""),69423.0)</f>
        <v>69423</v>
      </c>
      <c r="I2706" s="175"/>
      <c r="J2706" s="172">
        <f>IFERROR(__xludf.DUMMYFUNCTION("""COMPUTED_VALUE"""),43369.0)</f>
        <v>43369</v>
      </c>
      <c r="K2706" s="176">
        <f>IFERROR(__xludf.DUMMYFUNCTION("""COMPUTED_VALUE"""),84.0)</f>
        <v>84</v>
      </c>
      <c r="L2706" s="176">
        <f>IFERROR(__xludf.DUMMYFUNCTION("""COMPUTED_VALUE"""),1.0)</f>
        <v>1</v>
      </c>
      <c r="M2706" s="176">
        <f>IFERROR(__xludf.DUMMYFUNCTION("""COMPUTED_VALUE"""),85.0)</f>
        <v>85</v>
      </c>
      <c r="N2706" s="177" t="str">
        <f>IFERROR(__xludf.DUMMYFUNCTION("""COMPUTED_VALUE"""),"Model 3 LR AWD")</f>
        <v>Model 3 LR AWD</v>
      </c>
      <c r="O2706" s="177" t="str">
        <f>IFERROR(__xludf.DUMMYFUNCTION("""COMPUTED_VALUE"""),"Silver Metallic")</f>
        <v>Silver Metallic</v>
      </c>
      <c r="P2706" s="178" t="str">
        <f>IFERROR(__xludf.DUMMYFUNCTION("""COMPUTED_VALUE"""),"19 inch Sport")</f>
        <v>19 inch Sport</v>
      </c>
      <c r="Q2706" s="177" t="str">
        <f>IFERROR(__xludf.DUMMYFUNCTION("""COMPUTED_VALUE"""),"Black seats")</f>
        <v>Black seats</v>
      </c>
      <c r="R2706" s="170" t="str">
        <f>IFERROR(__xludf.DUMMYFUNCTION("""COMPUTED_VALUE"""),"Full Self-Driving")</f>
        <v>Full Self-Driving</v>
      </c>
      <c r="S2706" s="170"/>
      <c r="T2706" s="179"/>
      <c r="U2706" s="179"/>
      <c r="V2706" s="179"/>
      <c r="W2706" s="180"/>
      <c r="X2706" s="181" t="str">
        <f>IFERROR(__xludf.DUMMYFUNCTION("""COMPUTED_VALUE"""),"Very Good")</f>
        <v>Very Good</v>
      </c>
      <c r="Y2706" s="182" t="str">
        <f>IFERROR(__xludf.DUMMYFUNCTION("""COMPUTED_VALUE"""),"Excellent")</f>
        <v>Excellent</v>
      </c>
      <c r="Z2706" s="182" t="str">
        <f>IFERROR(__xludf.DUMMYFUNCTION("""COMPUTED_VALUE"""),"Very Good")</f>
        <v>Very Good</v>
      </c>
      <c r="AA2706" s="182" t="str">
        <f>IFERROR(__xludf.DUMMYFUNCTION("""COMPUTED_VALUE"""),"Very Good")</f>
        <v>Very Good</v>
      </c>
      <c r="AB2706" s="182" t="str">
        <f>IFERROR(__xludf.DUMMYFUNCTION("""COMPUTED_VALUE"""),"Very Good")</f>
        <v>Very Good</v>
      </c>
      <c r="AC2706" s="183"/>
      <c r="AD2706" s="183"/>
      <c r="AE2706" s="183"/>
      <c r="AF2706" s="184"/>
      <c r="AG2706" s="180"/>
      <c r="AH2706" s="185">
        <f>IFERROR(__xludf.DUMMYFUNCTION("""COMPUTED_VALUE"""),43369.89720670139)</f>
        <v>43369.89721</v>
      </c>
      <c r="AI2706" s="182"/>
      <c r="AJ2706" s="182"/>
      <c r="AK2706" s="182"/>
      <c r="AL2706" s="182"/>
    </row>
    <row r="2707" ht="20.25" customHeight="1">
      <c r="A2707" s="169" t="str">
        <f>IFERROR(__xludf.DUMMYFUNCTION("""COMPUTED_VALUE"""),"stupidlazydog")</f>
        <v>stupidlazydog</v>
      </c>
      <c r="B2707" s="170"/>
      <c r="C2707" s="170" t="str">
        <f>IFERROR(__xludf.DUMMYFUNCTION("""COMPUTED_VALUE"""),"CT")</f>
        <v>CT</v>
      </c>
      <c r="D2707" s="170" t="str">
        <f>IFERROR(__xludf.DUMMYFUNCTION("""COMPUTED_VALUE"""),"USA")</f>
        <v>USA</v>
      </c>
      <c r="E2707" s="171">
        <f>IFERROR(__xludf.DUMMYFUNCTION("""COMPUTED_VALUE"""),43284.0)</f>
        <v>43284</v>
      </c>
      <c r="F2707" s="172">
        <f>IFERROR(__xludf.DUMMYFUNCTION("""COMPUTED_VALUE"""),43347.0)</f>
        <v>43347</v>
      </c>
      <c r="G2707" s="173"/>
      <c r="H2707" s="174">
        <f>IFERROR(__xludf.DUMMYFUNCTION("""COMPUTED_VALUE"""),99855.0)</f>
        <v>99855</v>
      </c>
      <c r="I2707" s="175" t="str">
        <f>IFERROR(__xludf.DUMMYFUNCTION("""COMPUTED_VALUE"""),"08/18")</f>
        <v>08/18</v>
      </c>
      <c r="J2707" s="172">
        <f>IFERROR(__xludf.DUMMYFUNCTION("""COMPUTED_VALUE"""),43367.0)</f>
        <v>43367</v>
      </c>
      <c r="K2707" s="176">
        <f>IFERROR(__xludf.DUMMYFUNCTION("""COMPUTED_VALUE"""),63.0)</f>
        <v>63</v>
      </c>
      <c r="L2707" s="176">
        <f>IFERROR(__xludf.DUMMYFUNCTION("""COMPUTED_VALUE"""),20.0)</f>
        <v>20</v>
      </c>
      <c r="M2707" s="176">
        <f>IFERROR(__xludf.DUMMYFUNCTION("""COMPUTED_VALUE"""),83.0)</f>
        <v>83</v>
      </c>
      <c r="N2707" s="177" t="str">
        <f>IFERROR(__xludf.DUMMYFUNCTION("""COMPUTED_VALUE"""),"Model 3 LR AWD")</f>
        <v>Model 3 LR AWD</v>
      </c>
      <c r="O2707" s="177" t="str">
        <f>IFERROR(__xludf.DUMMYFUNCTION("""COMPUTED_VALUE"""),"Deep Blue Metallic")</f>
        <v>Deep Blue Metallic</v>
      </c>
      <c r="P2707" s="178" t="str">
        <f>IFERROR(__xludf.DUMMYFUNCTION("""COMPUTED_VALUE"""),"18 inch Aero")</f>
        <v>18 inch Aero</v>
      </c>
      <c r="Q2707" s="177" t="str">
        <f>IFERROR(__xludf.DUMMYFUNCTION("""COMPUTED_VALUE"""),"White seats")</f>
        <v>White seats</v>
      </c>
      <c r="R2707" s="170" t="str">
        <f>IFERROR(__xludf.DUMMYFUNCTION("""COMPUTED_VALUE"""),"None")</f>
        <v>None</v>
      </c>
      <c r="S2707" s="170"/>
      <c r="T2707" s="179"/>
      <c r="U2707" s="179"/>
      <c r="V2707" s="179"/>
      <c r="W2707" s="180"/>
      <c r="X2707" s="181" t="str">
        <f>IFERROR(__xludf.DUMMYFUNCTION("""COMPUTED_VALUE"""),"Very Good")</f>
        <v>Very Good</v>
      </c>
      <c r="Y2707" s="182" t="str">
        <f>IFERROR(__xludf.DUMMYFUNCTION("""COMPUTED_VALUE"""),"Excellent")</f>
        <v>Excellent</v>
      </c>
      <c r="Z2707" s="182" t="str">
        <f>IFERROR(__xludf.DUMMYFUNCTION("""COMPUTED_VALUE"""),"Good")</f>
        <v>Good</v>
      </c>
      <c r="AA2707" s="182" t="str">
        <f>IFERROR(__xludf.DUMMYFUNCTION("""COMPUTED_VALUE"""),"Very Good")</f>
        <v>Very Good</v>
      </c>
      <c r="AB2707" s="182" t="str">
        <f>IFERROR(__xludf.DUMMYFUNCTION("""COMPUTED_VALUE"""),"Very Good")</f>
        <v>Very Good</v>
      </c>
      <c r="AC2707" s="183">
        <f>IFERROR(__xludf.DUMMYFUNCTION("""COMPUTED_VALUE"""),1.0)</f>
        <v>1</v>
      </c>
      <c r="AD2707" s="183"/>
      <c r="AE2707" s="183"/>
      <c r="AF2707" s="184"/>
      <c r="AG2707" s="180"/>
      <c r="AH2707" s="185">
        <f>IFERROR(__xludf.DUMMYFUNCTION("""COMPUTED_VALUE"""),43368.77721340278)</f>
        <v>43368.77721</v>
      </c>
      <c r="AI2707" s="182"/>
      <c r="AJ2707" s="182"/>
      <c r="AK2707" s="182"/>
      <c r="AL2707" s="182"/>
    </row>
    <row r="2708" ht="20.25" customHeight="1">
      <c r="A2708" s="169" t="str">
        <f>IFERROR(__xludf.DUMMYFUNCTION("""COMPUTED_VALUE"""),"clostridium")</f>
        <v>clostridium</v>
      </c>
      <c r="B2708" s="170" t="str">
        <f>IFERROR(__xludf.DUMMYFUNCTION("""COMPUTED_VALUE"""),"Cleveland")</f>
        <v>Cleveland</v>
      </c>
      <c r="C2708" s="170" t="str">
        <f>IFERROR(__xludf.DUMMYFUNCTION("""COMPUTED_VALUE"""),"OH")</f>
        <v>OH</v>
      </c>
      <c r="D2708" s="170" t="str">
        <f>IFERROR(__xludf.DUMMYFUNCTION("""COMPUTED_VALUE"""),"USA")</f>
        <v>USA</v>
      </c>
      <c r="E2708" s="171">
        <f>IFERROR(__xludf.DUMMYFUNCTION("""COMPUTED_VALUE"""),43283.0)</f>
        <v>43283</v>
      </c>
      <c r="F2708" s="172">
        <f>IFERROR(__xludf.DUMMYFUNCTION("""COMPUTED_VALUE"""),43375.0)</f>
        <v>43375</v>
      </c>
      <c r="G2708" s="173"/>
      <c r="H2708" s="174">
        <f>IFERROR(__xludf.DUMMYFUNCTION("""COMPUTED_VALUE"""),93155.0)</f>
        <v>93155</v>
      </c>
      <c r="I2708" s="175"/>
      <c r="J2708" s="172">
        <f>IFERROR(__xludf.DUMMYFUNCTION("""COMPUTED_VALUE"""),43389.0)</f>
        <v>43389</v>
      </c>
      <c r="K2708" s="176">
        <f>IFERROR(__xludf.DUMMYFUNCTION("""COMPUTED_VALUE"""),92.0)</f>
        <v>92</v>
      </c>
      <c r="L2708" s="176">
        <f>IFERROR(__xludf.DUMMYFUNCTION("""COMPUTED_VALUE"""),14.0)</f>
        <v>14</v>
      </c>
      <c r="M2708" s="176">
        <f>IFERROR(__xludf.DUMMYFUNCTION("""COMPUTED_VALUE"""),106.0)</f>
        <v>106</v>
      </c>
      <c r="N2708" s="177" t="str">
        <f>IFERROR(__xludf.DUMMYFUNCTION("""COMPUTED_VALUE"""),"Model 3 Performance")</f>
        <v>Model 3 Performance</v>
      </c>
      <c r="O2708" s="177" t="str">
        <f>IFERROR(__xludf.DUMMYFUNCTION("""COMPUTED_VALUE"""),"Midnight Silver Metallic")</f>
        <v>Midnight Silver Metallic</v>
      </c>
      <c r="P2708" s="178" t="str">
        <f>IFERROR(__xludf.DUMMYFUNCTION("""COMPUTED_VALUE"""),"18 inch Aero")</f>
        <v>18 inch Aero</v>
      </c>
      <c r="Q2708" s="177" t="str">
        <f>IFERROR(__xludf.DUMMYFUNCTION("""COMPUTED_VALUE"""),"Black seats")</f>
        <v>Black seats</v>
      </c>
      <c r="R2708" s="170" t="str">
        <f>IFERROR(__xludf.DUMMYFUNCTION("""COMPUTED_VALUE"""),"Full Self-Driving")</f>
        <v>Full Self-Driving</v>
      </c>
      <c r="S2708" s="170"/>
      <c r="T2708" s="179"/>
      <c r="U2708" s="179"/>
      <c r="V2708" s="179"/>
      <c r="W2708" s="180"/>
      <c r="X2708" s="181" t="str">
        <f>IFERROR(__xludf.DUMMYFUNCTION("""COMPUTED_VALUE"""),"Excellent")</f>
        <v>Excellent</v>
      </c>
      <c r="Y2708" s="182" t="str">
        <f>IFERROR(__xludf.DUMMYFUNCTION("""COMPUTED_VALUE"""),"Excellent")</f>
        <v>Excellent</v>
      </c>
      <c r="Z2708" s="182" t="str">
        <f>IFERROR(__xludf.DUMMYFUNCTION("""COMPUTED_VALUE"""),"Very Good")</f>
        <v>Very Good</v>
      </c>
      <c r="AA2708" s="182" t="str">
        <f>IFERROR(__xludf.DUMMYFUNCTION("""COMPUTED_VALUE"""),"Poor")</f>
        <v>Poor</v>
      </c>
      <c r="AB2708" s="182" t="str">
        <f>IFERROR(__xludf.DUMMYFUNCTION("""COMPUTED_VALUE"""),"Excellent")</f>
        <v>Excellent</v>
      </c>
      <c r="AC2708" s="183"/>
      <c r="AD2708" s="183"/>
      <c r="AE2708" s="183"/>
      <c r="AF2708" s="184"/>
      <c r="AG2708" s="180" t="str">
        <f>IFERROR(__xludf.DUMMYFUNCTION("""COMPUTED_VALUE"""),"Pre-sales comms a disaster with conflicting information and poor response to questions.  Delivery delayed multiple times.  Uncertainty that it would finally happen less than 24 hours prior to when I got car due to confusion over financing which was becaus"&amp;"e most people at Tesla didn't know negative equity could be rolled into new loan even though Tesla account website showed it could be.")</f>
        <v>Pre-sales comms a disaster with conflicting information and poor response to questions.  Delivery delayed multiple times.  Uncertainty that it would finally happen less than 24 hours prior to when I got car due to confusion over financing which was because most people at Tesla didn't know negative equity could be rolled into new loan even though Tesla account website showed it could be.</v>
      </c>
      <c r="AH2708" s="185">
        <f>IFERROR(__xludf.DUMMYFUNCTION("""COMPUTED_VALUE"""),43393.42154563658)</f>
        <v>43393.42155</v>
      </c>
      <c r="AI2708" s="182"/>
      <c r="AJ2708" s="182"/>
      <c r="AK2708" s="182"/>
      <c r="AL2708" s="182"/>
    </row>
    <row r="2709" ht="20.25" customHeight="1">
      <c r="A2709" s="169" t="str">
        <f>IFERROR(__xludf.DUMMYFUNCTION("""COMPUTED_VALUE"""),"DeaneG")</f>
        <v>DeaneG</v>
      </c>
      <c r="B2709" s="170" t="str">
        <f>IFERROR(__xludf.DUMMYFUNCTION("""COMPUTED_VALUE"""),"Cupertino")</f>
        <v>Cupertino</v>
      </c>
      <c r="C2709" s="170" t="str">
        <f>IFERROR(__xludf.DUMMYFUNCTION("""COMPUTED_VALUE"""),"CA")</f>
        <v>CA</v>
      </c>
      <c r="D2709" s="170" t="str">
        <f>IFERROR(__xludf.DUMMYFUNCTION("""COMPUTED_VALUE"""),"USA")</f>
        <v>USA</v>
      </c>
      <c r="E2709" s="171">
        <f>IFERROR(__xludf.DUMMYFUNCTION("""COMPUTED_VALUE"""),43283.0)</f>
        <v>43283</v>
      </c>
      <c r="F2709" s="172">
        <f>IFERROR(__xludf.DUMMYFUNCTION("""COMPUTED_VALUE"""),43350.0)</f>
        <v>43350</v>
      </c>
      <c r="G2709" s="173"/>
      <c r="H2709" s="174">
        <f>IFERROR(__xludf.DUMMYFUNCTION("""COMPUTED_VALUE"""),96855.0)</f>
        <v>96855</v>
      </c>
      <c r="I2709" s="175" t="str">
        <f>IFERROR(__xludf.DUMMYFUNCTION("""COMPUTED_VALUE"""),"09/18")</f>
        <v>09/18</v>
      </c>
      <c r="J2709" s="172">
        <f>IFERROR(__xludf.DUMMYFUNCTION("""COMPUTED_VALUE"""),43350.0)</f>
        <v>43350</v>
      </c>
      <c r="K2709" s="176">
        <f>IFERROR(__xludf.DUMMYFUNCTION("""COMPUTED_VALUE"""),67.0)</f>
        <v>67</v>
      </c>
      <c r="L2709" s="176">
        <f>IFERROR(__xludf.DUMMYFUNCTION("""COMPUTED_VALUE"""),0.0)</f>
        <v>0</v>
      </c>
      <c r="M2709" s="176">
        <f>IFERROR(__xludf.DUMMYFUNCTION("""COMPUTED_VALUE"""),67.0)</f>
        <v>67</v>
      </c>
      <c r="N2709" s="177" t="str">
        <f>IFERROR(__xludf.DUMMYFUNCTION("""COMPUTED_VALUE"""),"Model 3 Performance")</f>
        <v>Model 3 Performance</v>
      </c>
      <c r="O2709" s="177" t="str">
        <f>IFERROR(__xludf.DUMMYFUNCTION("""COMPUTED_VALUE"""),"Pearl White Multi-Coat")</f>
        <v>Pearl White Multi-Coat</v>
      </c>
      <c r="P2709" s="178" t="str">
        <f>IFERROR(__xludf.DUMMYFUNCTION("""COMPUTED_VALUE"""),"18 inch Aero")</f>
        <v>18 inch Aero</v>
      </c>
      <c r="Q2709" s="177" t="str">
        <f>IFERROR(__xludf.DUMMYFUNCTION("""COMPUTED_VALUE"""),"White seats")</f>
        <v>White seats</v>
      </c>
      <c r="R2709" s="170" t="str">
        <f>IFERROR(__xludf.DUMMYFUNCTION("""COMPUTED_VALUE"""),"Enhanced Autopilot")</f>
        <v>Enhanced Autopilot</v>
      </c>
      <c r="S2709" s="170"/>
      <c r="T2709" s="179"/>
      <c r="U2709" s="179"/>
      <c r="V2709" s="179"/>
      <c r="W2709" s="180"/>
      <c r="X2709" s="181" t="str">
        <f>IFERROR(__xludf.DUMMYFUNCTION("""COMPUTED_VALUE"""),"Excellent")</f>
        <v>Excellent</v>
      </c>
      <c r="Y2709" s="182" t="str">
        <f>IFERROR(__xludf.DUMMYFUNCTION("""COMPUTED_VALUE"""),"Excellent")</f>
        <v>Excellent</v>
      </c>
      <c r="Z2709" s="182" t="str">
        <f>IFERROR(__xludf.DUMMYFUNCTION("""COMPUTED_VALUE"""),"Excellent")</f>
        <v>Excellent</v>
      </c>
      <c r="AA2709" s="182" t="str">
        <f>IFERROR(__xludf.DUMMYFUNCTION("""COMPUTED_VALUE"""),"Fair")</f>
        <v>Fair</v>
      </c>
      <c r="AB2709" s="182" t="str">
        <f>IFERROR(__xludf.DUMMYFUNCTION("""COMPUTED_VALUE"""),"Excellent")</f>
        <v>Excellent</v>
      </c>
      <c r="AC2709" s="183"/>
      <c r="AD2709" s="183"/>
      <c r="AE2709" s="183"/>
      <c r="AF2709" s="184"/>
      <c r="AG2709" s="180"/>
      <c r="AH2709" s="185">
        <f>IFERROR(__xludf.DUMMYFUNCTION("""COMPUTED_VALUE"""),43350.66752688657)</f>
        <v>43350.66753</v>
      </c>
      <c r="AI2709" s="182"/>
      <c r="AJ2709" s="182"/>
      <c r="AK2709" s="182"/>
      <c r="AL2709" s="182"/>
    </row>
    <row r="2710" ht="20.25" customHeight="1">
      <c r="A2710" s="169" t="str">
        <f>IFERROR(__xludf.DUMMYFUNCTION("""COMPUTED_VALUE"""),"encierro98")</f>
        <v>encierro98</v>
      </c>
      <c r="B2710" s="170" t="str">
        <f>IFERROR(__xludf.DUMMYFUNCTION("""COMPUTED_VALUE"""),"Houston")</f>
        <v>Houston</v>
      </c>
      <c r="C2710" s="170" t="str">
        <f>IFERROR(__xludf.DUMMYFUNCTION("""COMPUTED_VALUE"""),"TX")</f>
        <v>TX</v>
      </c>
      <c r="D2710" s="170" t="str">
        <f>IFERROR(__xludf.DUMMYFUNCTION("""COMPUTED_VALUE"""),"USA")</f>
        <v>USA</v>
      </c>
      <c r="E2710" s="171">
        <f>IFERROR(__xludf.DUMMYFUNCTION("""COMPUTED_VALUE"""),43283.0)</f>
        <v>43283</v>
      </c>
      <c r="F2710" s="172">
        <f>IFERROR(__xludf.DUMMYFUNCTION("""COMPUTED_VALUE"""),43344.0)</f>
        <v>43344</v>
      </c>
      <c r="G2710" s="173"/>
      <c r="H2710" s="174">
        <f>IFERROR(__xludf.DUMMYFUNCTION("""COMPUTED_VALUE"""),77155.0)</f>
        <v>77155</v>
      </c>
      <c r="I2710" s="175" t="str">
        <f>IFERROR(__xludf.DUMMYFUNCTION("""COMPUTED_VALUE"""),"09/18")</f>
        <v>09/18</v>
      </c>
      <c r="J2710" s="172">
        <f>IFERROR(__xludf.DUMMYFUNCTION("""COMPUTED_VALUE"""),43371.0)</f>
        <v>43371</v>
      </c>
      <c r="K2710" s="176">
        <f>IFERROR(__xludf.DUMMYFUNCTION("""COMPUTED_VALUE"""),61.0)</f>
        <v>61</v>
      </c>
      <c r="L2710" s="176">
        <f>IFERROR(__xludf.DUMMYFUNCTION("""COMPUTED_VALUE"""),27.0)</f>
        <v>27</v>
      </c>
      <c r="M2710" s="176">
        <f>IFERROR(__xludf.DUMMYFUNCTION("""COMPUTED_VALUE"""),88.0)</f>
        <v>88</v>
      </c>
      <c r="N2710" s="177" t="str">
        <f>IFERROR(__xludf.DUMMYFUNCTION("""COMPUTED_VALUE"""),"Model 3 LR AWD")</f>
        <v>Model 3 LR AWD</v>
      </c>
      <c r="O2710" s="177" t="str">
        <f>IFERROR(__xludf.DUMMYFUNCTION("""COMPUTED_VALUE"""),"Obsidian Black Metallic")</f>
        <v>Obsidian Black Metallic</v>
      </c>
      <c r="P2710" s="178" t="str">
        <f>IFERROR(__xludf.DUMMYFUNCTION("""COMPUTED_VALUE"""),"18 inch Aero")</f>
        <v>18 inch Aero</v>
      </c>
      <c r="Q2710" s="177" t="str">
        <f>IFERROR(__xludf.DUMMYFUNCTION("""COMPUTED_VALUE"""),"Black seats")</f>
        <v>Black seats</v>
      </c>
      <c r="R2710" s="170" t="str">
        <f>IFERROR(__xludf.DUMMYFUNCTION("""COMPUTED_VALUE"""),"Full Self-Driving")</f>
        <v>Full Self-Driving</v>
      </c>
      <c r="S2710" s="170"/>
      <c r="T2710" s="179"/>
      <c r="U2710" s="179"/>
      <c r="V2710" s="179"/>
      <c r="W2710" s="180"/>
      <c r="X2710" s="181" t="str">
        <f>IFERROR(__xludf.DUMMYFUNCTION("""COMPUTED_VALUE"""),"Excellent")</f>
        <v>Excellent</v>
      </c>
      <c r="Y2710" s="182" t="str">
        <f>IFERROR(__xludf.DUMMYFUNCTION("""COMPUTED_VALUE"""),"Excellent")</f>
        <v>Excellent</v>
      </c>
      <c r="Z2710" s="182" t="str">
        <f>IFERROR(__xludf.DUMMYFUNCTION("""COMPUTED_VALUE"""),"Excellent")</f>
        <v>Excellent</v>
      </c>
      <c r="AA2710" s="182" t="str">
        <f>IFERROR(__xludf.DUMMYFUNCTION("""COMPUTED_VALUE"""),"Excellent")</f>
        <v>Excellent</v>
      </c>
      <c r="AB2710" s="182" t="str">
        <f>IFERROR(__xludf.DUMMYFUNCTION("""COMPUTED_VALUE"""),"Excellent")</f>
        <v>Excellent</v>
      </c>
      <c r="AC2710" s="183">
        <f>IFERROR(__xludf.DUMMYFUNCTION("""COMPUTED_VALUE"""),1.0)</f>
        <v>1</v>
      </c>
      <c r="AD2710" s="183"/>
      <c r="AE2710" s="183"/>
      <c r="AF2710" s="184"/>
      <c r="AG2710" s="180"/>
      <c r="AH2710" s="185">
        <f>IFERROR(__xludf.DUMMYFUNCTION("""COMPUTED_VALUE"""),43375.79144685186)</f>
        <v>43375.79145</v>
      </c>
      <c r="AI2710" s="182"/>
      <c r="AJ2710" s="182"/>
      <c r="AK2710" s="182"/>
      <c r="AL2710" s="182"/>
    </row>
    <row r="2711" ht="20.25" customHeight="1">
      <c r="A2711" s="169" t="str">
        <f>IFERROR(__xludf.DUMMYFUNCTION("""COMPUTED_VALUE"""),"Hiddencamper")</f>
        <v>Hiddencamper</v>
      </c>
      <c r="B2711" s="170"/>
      <c r="C2711" s="170" t="str">
        <f>IFERROR(__xludf.DUMMYFUNCTION("""COMPUTED_VALUE"""),"IL")</f>
        <v>IL</v>
      </c>
      <c r="D2711" s="170" t="str">
        <f>IFERROR(__xludf.DUMMYFUNCTION("""COMPUTED_VALUE"""),"USA")</f>
        <v>USA</v>
      </c>
      <c r="E2711" s="171">
        <f>IFERROR(__xludf.DUMMYFUNCTION("""COMPUTED_VALUE"""),43283.0)</f>
        <v>43283</v>
      </c>
      <c r="F2711" s="172">
        <f>IFERROR(__xludf.DUMMYFUNCTION("""COMPUTED_VALUE"""),43334.0)</f>
        <v>43334</v>
      </c>
      <c r="G2711" s="173"/>
      <c r="H2711" s="174">
        <f>IFERROR(__xludf.DUMMYFUNCTION("""COMPUTED_VALUE"""),51955.0)</f>
        <v>51955</v>
      </c>
      <c r="I2711" s="175"/>
      <c r="J2711" s="172">
        <f>IFERROR(__xludf.DUMMYFUNCTION("""COMPUTED_VALUE"""),43350.0)</f>
        <v>43350</v>
      </c>
      <c r="K2711" s="176">
        <f>IFERROR(__xludf.DUMMYFUNCTION("""COMPUTED_VALUE"""),51.0)</f>
        <v>51</v>
      </c>
      <c r="L2711" s="176">
        <f>IFERROR(__xludf.DUMMYFUNCTION("""COMPUTED_VALUE"""),16.0)</f>
        <v>16</v>
      </c>
      <c r="M2711" s="176">
        <f>IFERROR(__xludf.DUMMYFUNCTION("""COMPUTED_VALUE"""),67.0)</f>
        <v>67</v>
      </c>
      <c r="N2711" s="177" t="str">
        <f>IFERROR(__xludf.DUMMYFUNCTION("""COMPUTED_VALUE"""),"Model 3 LR")</f>
        <v>Model 3 LR</v>
      </c>
      <c r="O2711" s="177" t="str">
        <f>IFERROR(__xludf.DUMMYFUNCTION("""COMPUTED_VALUE"""),"Pearl White Multi-Coat")</f>
        <v>Pearl White Multi-Coat</v>
      </c>
      <c r="P2711" s="178" t="str">
        <f>IFERROR(__xludf.DUMMYFUNCTION("""COMPUTED_VALUE"""),"19 inch Sport")</f>
        <v>19 inch Sport</v>
      </c>
      <c r="Q2711" s="177" t="str">
        <f>IFERROR(__xludf.DUMMYFUNCTION("""COMPUTED_VALUE"""),"Black seats")</f>
        <v>Black seats</v>
      </c>
      <c r="R2711" s="170" t="str">
        <f>IFERROR(__xludf.DUMMYFUNCTION("""COMPUTED_VALUE"""),"Enhanced Autopilot")</f>
        <v>Enhanced Autopilot</v>
      </c>
      <c r="S2711" s="170"/>
      <c r="T2711" s="179"/>
      <c r="U2711" s="179"/>
      <c r="V2711" s="179"/>
      <c r="W2711" s="180"/>
      <c r="X2711" s="181" t="str">
        <f>IFERROR(__xludf.DUMMYFUNCTION("""COMPUTED_VALUE"""),"Very Good")</f>
        <v>Very Good</v>
      </c>
      <c r="Y2711" s="182" t="str">
        <f>IFERROR(__xludf.DUMMYFUNCTION("""COMPUTED_VALUE"""),"Excellent")</f>
        <v>Excellent</v>
      </c>
      <c r="Z2711" s="182" t="str">
        <f>IFERROR(__xludf.DUMMYFUNCTION("""COMPUTED_VALUE"""),"Excellent")</f>
        <v>Excellent</v>
      </c>
      <c r="AA2711" s="182" t="str">
        <f>IFERROR(__xludf.DUMMYFUNCTION("""COMPUTED_VALUE"""),"Fair")</f>
        <v>Fair</v>
      </c>
      <c r="AB2711" s="182" t="str">
        <f>IFERROR(__xludf.DUMMYFUNCTION("""COMPUTED_VALUE"""),"Good")</f>
        <v>Good</v>
      </c>
      <c r="AC2711" s="183">
        <f>IFERROR(__xludf.DUMMYFUNCTION("""COMPUTED_VALUE"""),1.0)</f>
        <v>1</v>
      </c>
      <c r="AD2711" s="183">
        <f>IFERROR(__xludf.DUMMYFUNCTION("""COMPUTED_VALUE"""),0.0)</f>
        <v>0</v>
      </c>
      <c r="AE2711" s="183">
        <f>IFERROR(__xludf.DUMMYFUNCTION("""COMPUTED_VALUE"""),0.0)</f>
        <v>0</v>
      </c>
      <c r="AF2711" s="184"/>
      <c r="AG2711" s="180"/>
      <c r="AH2711" s="185">
        <f>IFERROR(__xludf.DUMMYFUNCTION("""COMPUTED_VALUE"""),43358.56033700231)</f>
        <v>43358.56034</v>
      </c>
      <c r="AI2711" s="182"/>
      <c r="AJ2711" s="182"/>
      <c r="AK2711" s="182"/>
      <c r="AL2711" s="182"/>
    </row>
    <row r="2712" ht="20.25" customHeight="1">
      <c r="A2712" s="169" t="str">
        <f>IFERROR(__xludf.DUMMYFUNCTION("""COMPUTED_VALUE"""),"Isles22")</f>
        <v>Isles22</v>
      </c>
      <c r="B2712" s="170" t="str">
        <f>IFERROR(__xludf.DUMMYFUNCTION("""COMPUTED_VALUE"""),"Smithtown")</f>
        <v>Smithtown</v>
      </c>
      <c r="C2712" s="170" t="str">
        <f>IFERROR(__xludf.DUMMYFUNCTION("""COMPUTED_VALUE"""),"NY")</f>
        <v>NY</v>
      </c>
      <c r="D2712" s="170" t="str">
        <f>IFERROR(__xludf.DUMMYFUNCTION("""COMPUTED_VALUE"""),"USA")</f>
        <v>USA</v>
      </c>
      <c r="E2712" s="171">
        <f>IFERROR(__xludf.DUMMYFUNCTION("""COMPUTED_VALUE"""),43283.0)</f>
        <v>43283</v>
      </c>
      <c r="F2712" s="172">
        <f>IFERROR(__xludf.DUMMYFUNCTION("""COMPUTED_VALUE"""),43355.0)</f>
        <v>43355</v>
      </c>
      <c r="G2712" s="173"/>
      <c r="H2712" s="174">
        <f>IFERROR(__xludf.DUMMYFUNCTION("""COMPUTED_VALUE"""),97855.0)</f>
        <v>97855</v>
      </c>
      <c r="I2712" s="175"/>
      <c r="J2712" s="172">
        <f>IFERROR(__xludf.DUMMYFUNCTION("""COMPUTED_VALUE"""),43368.0)</f>
        <v>43368</v>
      </c>
      <c r="K2712" s="176">
        <f>IFERROR(__xludf.DUMMYFUNCTION("""COMPUTED_VALUE"""),72.0)</f>
        <v>72</v>
      </c>
      <c r="L2712" s="176">
        <f>IFERROR(__xludf.DUMMYFUNCTION("""COMPUTED_VALUE"""),13.0)</f>
        <v>13</v>
      </c>
      <c r="M2712" s="176">
        <f>IFERROR(__xludf.DUMMYFUNCTION("""COMPUTED_VALUE"""),85.0)</f>
        <v>85</v>
      </c>
      <c r="N2712" s="177" t="str">
        <f>IFERROR(__xludf.DUMMYFUNCTION("""COMPUTED_VALUE"""),"Model 3 LR AWD")</f>
        <v>Model 3 LR AWD</v>
      </c>
      <c r="O2712" s="177" t="str">
        <f>IFERROR(__xludf.DUMMYFUNCTION("""COMPUTED_VALUE"""),"Deep Blue Metallic")</f>
        <v>Deep Blue Metallic</v>
      </c>
      <c r="P2712" s="178" t="str">
        <f>IFERROR(__xludf.DUMMYFUNCTION("""COMPUTED_VALUE"""),"19 inch Sport")</f>
        <v>19 inch Sport</v>
      </c>
      <c r="Q2712" s="177" t="str">
        <f>IFERROR(__xludf.DUMMYFUNCTION("""COMPUTED_VALUE"""),"White seats")</f>
        <v>White seats</v>
      </c>
      <c r="R2712" s="170" t="str">
        <f>IFERROR(__xludf.DUMMYFUNCTION("""COMPUTED_VALUE"""),"None")</f>
        <v>None</v>
      </c>
      <c r="S2712" s="170"/>
      <c r="T2712" s="179"/>
      <c r="U2712" s="179"/>
      <c r="V2712" s="179"/>
      <c r="W2712" s="180"/>
      <c r="X2712" s="181" t="str">
        <f>IFERROR(__xludf.DUMMYFUNCTION("""COMPUTED_VALUE"""),"Very Good")</f>
        <v>Very Good</v>
      </c>
      <c r="Y2712" s="182" t="str">
        <f>IFERROR(__xludf.DUMMYFUNCTION("""COMPUTED_VALUE"""),"Very Good")</f>
        <v>Very Good</v>
      </c>
      <c r="Z2712" s="182" t="str">
        <f>IFERROR(__xludf.DUMMYFUNCTION("""COMPUTED_VALUE"""),"Good")</f>
        <v>Good</v>
      </c>
      <c r="AA2712" s="182" t="str">
        <f>IFERROR(__xludf.DUMMYFUNCTION("""COMPUTED_VALUE"""),"Fair")</f>
        <v>Fair</v>
      </c>
      <c r="AB2712" s="182" t="str">
        <f>IFERROR(__xludf.DUMMYFUNCTION("""COMPUTED_VALUE"""),"Fair")</f>
        <v>Fair</v>
      </c>
      <c r="AC2712" s="183">
        <f>IFERROR(__xludf.DUMMYFUNCTION("""COMPUTED_VALUE"""),1.0)</f>
        <v>1</v>
      </c>
      <c r="AD2712" s="183"/>
      <c r="AE2712" s="183"/>
      <c r="AF2712" s="184"/>
      <c r="AG2712" s="180"/>
      <c r="AH2712" s="185">
        <f>IFERROR(__xludf.DUMMYFUNCTION("""COMPUTED_VALUE"""),43369.786076076394)</f>
        <v>43369.78608</v>
      </c>
      <c r="AI2712" s="182"/>
      <c r="AJ2712" s="182"/>
      <c r="AK2712" s="182"/>
      <c r="AL2712" s="182"/>
    </row>
    <row r="2713" ht="20.25" customHeight="1">
      <c r="A2713" s="169" t="str">
        <f>IFERROR(__xludf.DUMMYFUNCTION("""COMPUTED_VALUE"""),"likelyasquid")</f>
        <v>likelyasquid</v>
      </c>
      <c r="B2713" s="170"/>
      <c r="C2713" s="170" t="str">
        <f>IFERROR(__xludf.DUMMYFUNCTION("""COMPUTED_VALUE"""),"FL")</f>
        <v>FL</v>
      </c>
      <c r="D2713" s="170" t="str">
        <f>IFERROR(__xludf.DUMMYFUNCTION("""COMPUTED_VALUE"""),"USA")</f>
        <v>USA</v>
      </c>
      <c r="E2713" s="171">
        <f>IFERROR(__xludf.DUMMYFUNCTION("""COMPUTED_VALUE"""),43283.0)</f>
        <v>43283</v>
      </c>
      <c r="F2713" s="172">
        <f>IFERROR(__xludf.DUMMYFUNCTION("""COMPUTED_VALUE"""),43314.0)</f>
        <v>43314</v>
      </c>
      <c r="G2713" s="173"/>
      <c r="H2713" s="174">
        <f>IFERROR(__xludf.DUMMYFUNCTION("""COMPUTED_VALUE"""),51202.0)</f>
        <v>51202</v>
      </c>
      <c r="I2713" s="175" t="str">
        <f>IFERROR(__xludf.DUMMYFUNCTION("""COMPUTED_VALUE"""),"07/18")</f>
        <v>07/18</v>
      </c>
      <c r="J2713" s="172">
        <f>IFERROR(__xludf.DUMMYFUNCTION("""COMPUTED_VALUE"""),43330.0)</f>
        <v>43330</v>
      </c>
      <c r="K2713" s="176">
        <f>IFERROR(__xludf.DUMMYFUNCTION("""COMPUTED_VALUE"""),31.0)</f>
        <v>31</v>
      </c>
      <c r="L2713" s="176">
        <f>IFERROR(__xludf.DUMMYFUNCTION("""COMPUTED_VALUE"""),16.0)</f>
        <v>16</v>
      </c>
      <c r="M2713" s="176">
        <f>IFERROR(__xludf.DUMMYFUNCTION("""COMPUTED_VALUE"""),47.0)</f>
        <v>47</v>
      </c>
      <c r="N2713" s="177" t="str">
        <f>IFERROR(__xludf.DUMMYFUNCTION("""COMPUTED_VALUE"""),"Model 3 LR")</f>
        <v>Model 3 LR</v>
      </c>
      <c r="O2713" s="177" t="str">
        <f>IFERROR(__xludf.DUMMYFUNCTION("""COMPUTED_VALUE"""),"Pearl White Multi-Coat")</f>
        <v>Pearl White Multi-Coat</v>
      </c>
      <c r="P2713" s="178" t="str">
        <f>IFERROR(__xludf.DUMMYFUNCTION("""COMPUTED_VALUE"""),"18 inch Aero")</f>
        <v>18 inch Aero</v>
      </c>
      <c r="Q2713" s="177" t="str">
        <f>IFERROR(__xludf.DUMMYFUNCTION("""COMPUTED_VALUE"""),"Black seats")</f>
        <v>Black seats</v>
      </c>
      <c r="R2713" s="170" t="str">
        <f>IFERROR(__xludf.DUMMYFUNCTION("""COMPUTED_VALUE"""),"Enhanced Autopilot")</f>
        <v>Enhanced Autopilot</v>
      </c>
      <c r="S2713" s="170"/>
      <c r="T2713" s="179"/>
      <c r="U2713" s="179"/>
      <c r="V2713" s="179"/>
      <c r="W2713" s="180"/>
      <c r="X2713" s="181" t="str">
        <f>IFERROR(__xludf.DUMMYFUNCTION("""COMPUTED_VALUE"""),"Excellent")</f>
        <v>Excellent</v>
      </c>
      <c r="Y2713" s="182" t="str">
        <f>IFERROR(__xludf.DUMMYFUNCTION("""COMPUTED_VALUE"""),"Very Good")</f>
        <v>Very Good</v>
      </c>
      <c r="Z2713" s="182" t="str">
        <f>IFERROR(__xludf.DUMMYFUNCTION("""COMPUTED_VALUE"""),"Good")</f>
        <v>Good</v>
      </c>
      <c r="AA2713" s="182" t="str">
        <f>IFERROR(__xludf.DUMMYFUNCTION("""COMPUTED_VALUE"""),"Very Good")</f>
        <v>Very Good</v>
      </c>
      <c r="AB2713" s="182" t="str">
        <f>IFERROR(__xludf.DUMMYFUNCTION("""COMPUTED_VALUE"""),"Good")</f>
        <v>Good</v>
      </c>
      <c r="AC2713" s="183">
        <f>IFERROR(__xludf.DUMMYFUNCTION("""COMPUTED_VALUE"""),2.0)</f>
        <v>2</v>
      </c>
      <c r="AD2713" s="183"/>
      <c r="AE2713" s="183"/>
      <c r="AF2713" s="184"/>
      <c r="AG2713" s="180"/>
      <c r="AH2713" s="185">
        <f>IFERROR(__xludf.DUMMYFUNCTION("""COMPUTED_VALUE"""),43333.688277002315)</f>
        <v>43333.68828</v>
      </c>
      <c r="AI2713" s="182"/>
      <c r="AJ2713" s="182"/>
      <c r="AK2713" s="182"/>
      <c r="AL2713" s="182"/>
    </row>
    <row r="2714" ht="20.25" customHeight="1">
      <c r="A2714" s="169" t="str">
        <f>IFERROR(__xludf.DUMMYFUNCTION("""COMPUTED_VALUE"""),"Slidely")</f>
        <v>Slidely</v>
      </c>
      <c r="B2714" s="170" t="str">
        <f>IFERROR(__xludf.DUMMYFUNCTION("""COMPUTED_VALUE"""),"Dallas")</f>
        <v>Dallas</v>
      </c>
      <c r="C2714" s="170" t="str">
        <f>IFERROR(__xludf.DUMMYFUNCTION("""COMPUTED_VALUE"""),"TX")</f>
        <v>TX</v>
      </c>
      <c r="D2714" s="170" t="str">
        <f>IFERROR(__xludf.DUMMYFUNCTION("""COMPUTED_VALUE"""),"USA")</f>
        <v>USA</v>
      </c>
      <c r="E2714" s="171">
        <f>IFERROR(__xludf.DUMMYFUNCTION("""COMPUTED_VALUE"""),43283.0)</f>
        <v>43283</v>
      </c>
      <c r="F2714" s="172">
        <f>IFERROR(__xludf.DUMMYFUNCTION("""COMPUTED_VALUE"""),43378.0)</f>
        <v>43378</v>
      </c>
      <c r="G2714" s="173"/>
      <c r="H2714" s="174">
        <f>IFERROR(__xludf.DUMMYFUNCTION("""COMPUTED_VALUE"""),104380.0)</f>
        <v>104380</v>
      </c>
      <c r="I2714" s="175" t="str">
        <f>IFERROR(__xludf.DUMMYFUNCTION("""COMPUTED_VALUE"""),"10/18")</f>
        <v>10/18</v>
      </c>
      <c r="J2714" s="172">
        <f>IFERROR(__xludf.DUMMYFUNCTION("""COMPUTED_VALUE"""),43384.0)</f>
        <v>43384</v>
      </c>
      <c r="K2714" s="176">
        <f>IFERROR(__xludf.DUMMYFUNCTION("""COMPUTED_VALUE"""),95.0)</f>
        <v>95</v>
      </c>
      <c r="L2714" s="176">
        <f>IFERROR(__xludf.DUMMYFUNCTION("""COMPUTED_VALUE"""),6.0)</f>
        <v>6</v>
      </c>
      <c r="M2714" s="176">
        <f>IFERROR(__xludf.DUMMYFUNCTION("""COMPUTED_VALUE"""),101.0)</f>
        <v>101</v>
      </c>
      <c r="N2714" s="177" t="str">
        <f>IFERROR(__xludf.DUMMYFUNCTION("""COMPUTED_VALUE"""),"Model 3 Performance")</f>
        <v>Model 3 Performance</v>
      </c>
      <c r="O2714" s="177" t="str">
        <f>IFERROR(__xludf.DUMMYFUNCTION("""COMPUTED_VALUE"""),"Silver Metallic")</f>
        <v>Silver Metallic</v>
      </c>
      <c r="P2714" s="178" t="str">
        <f>IFERROR(__xludf.DUMMYFUNCTION("""COMPUTED_VALUE"""),"18 inch Aero")</f>
        <v>18 inch Aero</v>
      </c>
      <c r="Q2714" s="177" t="str">
        <f>IFERROR(__xludf.DUMMYFUNCTION("""COMPUTED_VALUE"""),"Black seats")</f>
        <v>Black seats</v>
      </c>
      <c r="R2714" s="170" t="str">
        <f>IFERROR(__xludf.DUMMYFUNCTION("""COMPUTED_VALUE"""),"Full Self-Driving")</f>
        <v>Full Self-Driving</v>
      </c>
      <c r="S2714" s="170"/>
      <c r="T2714" s="179"/>
      <c r="U2714" s="179"/>
      <c r="V2714" s="179"/>
      <c r="W2714" s="180"/>
      <c r="X2714" s="181" t="str">
        <f>IFERROR(__xludf.DUMMYFUNCTION("""COMPUTED_VALUE"""),"Very Good")</f>
        <v>Very Good</v>
      </c>
      <c r="Y2714" s="182" t="str">
        <f>IFERROR(__xludf.DUMMYFUNCTION("""COMPUTED_VALUE"""),"Excellent")</f>
        <v>Excellent</v>
      </c>
      <c r="Z2714" s="182" t="str">
        <f>IFERROR(__xludf.DUMMYFUNCTION("""COMPUTED_VALUE"""),"Excellent")</f>
        <v>Excellent</v>
      </c>
      <c r="AA2714" s="182" t="str">
        <f>IFERROR(__xludf.DUMMYFUNCTION("""COMPUTED_VALUE"""),"Excellent")</f>
        <v>Excellent</v>
      </c>
      <c r="AB2714" s="182" t="str">
        <f>IFERROR(__xludf.DUMMYFUNCTION("""COMPUTED_VALUE"""),"Very Good")</f>
        <v>Very Good</v>
      </c>
      <c r="AC2714" s="183"/>
      <c r="AD2714" s="183"/>
      <c r="AE2714" s="183"/>
      <c r="AF2714" s="184"/>
      <c r="AG2714" s="180"/>
      <c r="AH2714" s="185">
        <f>IFERROR(__xludf.DUMMYFUNCTION("""COMPUTED_VALUE"""),43387.49548107639)</f>
        <v>43387.49548</v>
      </c>
      <c r="AI2714" s="182"/>
      <c r="AJ2714" s="182"/>
      <c r="AK2714" s="182"/>
      <c r="AL2714" s="182"/>
    </row>
    <row r="2715" ht="20.25" customHeight="1">
      <c r="A2715" s="169" t="str">
        <f>IFERROR(__xludf.DUMMYFUNCTION("""COMPUTED_VALUE"""),"Varkias41")</f>
        <v>Varkias41</v>
      </c>
      <c r="B2715" s="170" t="str">
        <f>IFERROR(__xludf.DUMMYFUNCTION("""COMPUTED_VALUE"""),"Hunterdon")</f>
        <v>Hunterdon</v>
      </c>
      <c r="C2715" s="170" t="str">
        <f>IFERROR(__xludf.DUMMYFUNCTION("""COMPUTED_VALUE"""),"NJ")</f>
        <v>NJ</v>
      </c>
      <c r="D2715" s="170" t="str">
        <f>IFERROR(__xludf.DUMMYFUNCTION("""COMPUTED_VALUE"""),"USA")</f>
        <v>USA</v>
      </c>
      <c r="E2715" s="171">
        <f>IFERROR(__xludf.DUMMYFUNCTION("""COMPUTED_VALUE"""),43283.0)</f>
        <v>43283</v>
      </c>
      <c r="F2715" s="172">
        <f>IFERROR(__xludf.DUMMYFUNCTION("""COMPUTED_VALUE"""),43370.0)</f>
        <v>43370</v>
      </c>
      <c r="G2715" s="173"/>
      <c r="H2715" s="174">
        <f>IFERROR(__xludf.DUMMYFUNCTION("""COMPUTED_VALUE"""),96197.0)</f>
        <v>96197</v>
      </c>
      <c r="I2715" s="175" t="str">
        <f>IFERROR(__xludf.DUMMYFUNCTION("""COMPUTED_VALUE"""),"08/18")</f>
        <v>08/18</v>
      </c>
      <c r="J2715" s="172">
        <f>IFERROR(__xludf.DUMMYFUNCTION("""COMPUTED_VALUE"""),43371.0)</f>
        <v>43371</v>
      </c>
      <c r="K2715" s="176">
        <f>IFERROR(__xludf.DUMMYFUNCTION("""COMPUTED_VALUE"""),87.0)</f>
        <v>87</v>
      </c>
      <c r="L2715" s="176">
        <f>IFERROR(__xludf.DUMMYFUNCTION("""COMPUTED_VALUE"""),1.0)</f>
        <v>1</v>
      </c>
      <c r="M2715" s="176">
        <f>IFERROR(__xludf.DUMMYFUNCTION("""COMPUTED_VALUE"""),88.0)</f>
        <v>88</v>
      </c>
      <c r="N2715" s="177" t="str">
        <f>IFERROR(__xludf.DUMMYFUNCTION("""COMPUTED_VALUE"""),"Model 3 LR AWD")</f>
        <v>Model 3 LR AWD</v>
      </c>
      <c r="O2715" s="177" t="str">
        <f>IFERROR(__xludf.DUMMYFUNCTION("""COMPUTED_VALUE"""),"Silver Metallic")</f>
        <v>Silver Metallic</v>
      </c>
      <c r="P2715" s="178" t="str">
        <f>IFERROR(__xludf.DUMMYFUNCTION("""COMPUTED_VALUE"""),"18 inch Aero")</f>
        <v>18 inch Aero</v>
      </c>
      <c r="Q2715" s="177" t="str">
        <f>IFERROR(__xludf.DUMMYFUNCTION("""COMPUTED_VALUE"""),"White seats")</f>
        <v>White seats</v>
      </c>
      <c r="R2715" s="170" t="str">
        <f>IFERROR(__xludf.DUMMYFUNCTION("""COMPUTED_VALUE"""),"Enhanced Autopilot")</f>
        <v>Enhanced Autopilot</v>
      </c>
      <c r="S2715" s="170"/>
      <c r="T2715" s="179"/>
      <c r="U2715" s="179"/>
      <c r="V2715" s="179"/>
      <c r="W2715" s="180"/>
      <c r="X2715" s="181" t="str">
        <f>IFERROR(__xludf.DUMMYFUNCTION("""COMPUTED_VALUE"""),"Very Good")</f>
        <v>Very Good</v>
      </c>
      <c r="Y2715" s="182" t="str">
        <f>IFERROR(__xludf.DUMMYFUNCTION("""COMPUTED_VALUE"""),"Very Good")</f>
        <v>Very Good</v>
      </c>
      <c r="Z2715" s="182" t="str">
        <f>IFERROR(__xludf.DUMMYFUNCTION("""COMPUTED_VALUE"""),"Excellent")</f>
        <v>Excellent</v>
      </c>
      <c r="AA2715" s="182" t="str">
        <f>IFERROR(__xludf.DUMMYFUNCTION("""COMPUTED_VALUE"""),"Fair")</f>
        <v>Fair</v>
      </c>
      <c r="AB2715" s="182" t="str">
        <f>IFERROR(__xludf.DUMMYFUNCTION("""COMPUTED_VALUE"""),"Very Good")</f>
        <v>Very Good</v>
      </c>
      <c r="AC2715" s="183"/>
      <c r="AD2715" s="183"/>
      <c r="AE2715" s="183"/>
      <c r="AF2715" s="184"/>
      <c r="AG2715" s="180"/>
      <c r="AH2715" s="185">
        <f>IFERROR(__xludf.DUMMYFUNCTION("""COMPUTED_VALUE"""),43374.464726840284)</f>
        <v>43374.46473</v>
      </c>
      <c r="AI2715" s="182"/>
      <c r="AJ2715" s="182"/>
      <c r="AK2715" s="182"/>
      <c r="AL2715" s="182"/>
    </row>
    <row r="2716" ht="20.25" customHeight="1">
      <c r="A2716" s="169" t="str">
        <f>IFERROR(__xludf.DUMMYFUNCTION("""COMPUTED_VALUE"""),"KeithF1138")</f>
        <v>KeithF1138</v>
      </c>
      <c r="B2716" s="170" t="str">
        <f>IFERROR(__xludf.DUMMYFUNCTION("""COMPUTED_VALUE"""),"Lemont")</f>
        <v>Lemont</v>
      </c>
      <c r="C2716" s="170" t="str">
        <f>IFERROR(__xludf.DUMMYFUNCTION("""COMPUTED_VALUE"""),"IL")</f>
        <v>IL</v>
      </c>
      <c r="D2716" s="170" t="str">
        <f>IFERROR(__xludf.DUMMYFUNCTION("""COMPUTED_VALUE"""),"USA")</f>
        <v>USA</v>
      </c>
      <c r="E2716" s="171">
        <f>IFERROR(__xludf.DUMMYFUNCTION("""COMPUTED_VALUE"""),43282.0)</f>
        <v>43282</v>
      </c>
      <c r="F2716" s="172">
        <f>IFERROR(__xludf.DUMMYFUNCTION("""COMPUTED_VALUE"""),43325.0)</f>
        <v>43325</v>
      </c>
      <c r="G2716" s="173"/>
      <c r="H2716" s="174">
        <f>IFERROR(__xludf.DUMMYFUNCTION("""COMPUTED_VALUE"""),63628.0)</f>
        <v>63628</v>
      </c>
      <c r="I2716" s="175"/>
      <c r="J2716" s="172">
        <f>IFERROR(__xludf.DUMMYFUNCTION("""COMPUTED_VALUE"""),43350.0)</f>
        <v>43350</v>
      </c>
      <c r="K2716" s="176">
        <f>IFERROR(__xludf.DUMMYFUNCTION("""COMPUTED_VALUE"""),43.0)</f>
        <v>43</v>
      </c>
      <c r="L2716" s="176">
        <f>IFERROR(__xludf.DUMMYFUNCTION("""COMPUTED_VALUE"""),25.0)</f>
        <v>25</v>
      </c>
      <c r="M2716" s="176">
        <f>IFERROR(__xludf.DUMMYFUNCTION("""COMPUTED_VALUE"""),68.0)</f>
        <v>68</v>
      </c>
      <c r="N2716" s="177" t="str">
        <f>IFERROR(__xludf.DUMMYFUNCTION("""COMPUTED_VALUE"""),"Model 3 LR AWD")</f>
        <v>Model 3 LR AWD</v>
      </c>
      <c r="O2716" s="177" t="str">
        <f>IFERROR(__xludf.DUMMYFUNCTION("""COMPUTED_VALUE"""),"Deep Blue Metallic")</f>
        <v>Deep Blue Metallic</v>
      </c>
      <c r="P2716" s="178" t="str">
        <f>IFERROR(__xludf.DUMMYFUNCTION("""COMPUTED_VALUE"""),"19 inch Sport")</f>
        <v>19 inch Sport</v>
      </c>
      <c r="Q2716" s="177" t="str">
        <f>IFERROR(__xludf.DUMMYFUNCTION("""COMPUTED_VALUE"""),"Black seats")</f>
        <v>Black seats</v>
      </c>
      <c r="R2716" s="170" t="str">
        <f>IFERROR(__xludf.DUMMYFUNCTION("""COMPUTED_VALUE"""),"Enhanced Autopilot")</f>
        <v>Enhanced Autopilot</v>
      </c>
      <c r="S2716" s="170"/>
      <c r="T2716" s="179"/>
      <c r="U2716" s="179"/>
      <c r="V2716" s="179"/>
      <c r="W2716" s="180"/>
      <c r="X2716" s="181" t="str">
        <f>IFERROR(__xludf.DUMMYFUNCTION("""COMPUTED_VALUE"""),"Excellent")</f>
        <v>Excellent</v>
      </c>
      <c r="Y2716" s="182" t="str">
        <f>IFERROR(__xludf.DUMMYFUNCTION("""COMPUTED_VALUE"""),"Excellent")</f>
        <v>Excellent</v>
      </c>
      <c r="Z2716" s="182" t="str">
        <f>IFERROR(__xludf.DUMMYFUNCTION("""COMPUTED_VALUE"""),"Very Good")</f>
        <v>Very Good</v>
      </c>
      <c r="AA2716" s="182" t="str">
        <f>IFERROR(__xludf.DUMMYFUNCTION("""COMPUTED_VALUE"""),"Fair")</f>
        <v>Fair</v>
      </c>
      <c r="AB2716" s="182" t="str">
        <f>IFERROR(__xludf.DUMMYFUNCTION("""COMPUTED_VALUE"""),"Good")</f>
        <v>Good</v>
      </c>
      <c r="AC2716" s="183"/>
      <c r="AD2716" s="183"/>
      <c r="AE2716" s="183"/>
      <c r="AF2716" s="184"/>
      <c r="AG2716" s="180"/>
      <c r="AH2716" s="185">
        <f>IFERROR(__xludf.DUMMYFUNCTION("""COMPUTED_VALUE"""),43353.23293265047)</f>
        <v>43353.23293</v>
      </c>
      <c r="AI2716" s="182"/>
      <c r="AJ2716" s="182"/>
      <c r="AK2716" s="182"/>
      <c r="AL2716" s="182"/>
    </row>
    <row r="2717" ht="20.25" customHeight="1">
      <c r="A2717" s="169" t="str">
        <f>IFERROR(__xludf.DUMMYFUNCTION("""COMPUTED_VALUE"""),"Little1er")</f>
        <v>Little1er</v>
      </c>
      <c r="B2717" s="170" t="str">
        <f>IFERROR(__xludf.DUMMYFUNCTION("""COMPUTED_VALUE"""),"SF Bay Area")</f>
        <v>SF Bay Area</v>
      </c>
      <c r="C2717" s="170" t="str">
        <f>IFERROR(__xludf.DUMMYFUNCTION("""COMPUTED_VALUE"""),"CA")</f>
        <v>CA</v>
      </c>
      <c r="D2717" s="170" t="str">
        <f>IFERROR(__xludf.DUMMYFUNCTION("""COMPUTED_VALUE"""),"USA")</f>
        <v>USA</v>
      </c>
      <c r="E2717" s="171">
        <f>IFERROR(__xludf.DUMMYFUNCTION("""COMPUTED_VALUE"""),43282.0)</f>
        <v>43282</v>
      </c>
      <c r="F2717" s="172">
        <f>IFERROR(__xludf.DUMMYFUNCTION("""COMPUTED_VALUE"""),43350.0)</f>
        <v>43350</v>
      </c>
      <c r="G2717" s="173"/>
      <c r="H2717" s="174">
        <f>IFERROR(__xludf.DUMMYFUNCTION("""COMPUTED_VALUE"""),72764.0)</f>
        <v>72764</v>
      </c>
      <c r="I2717" s="175"/>
      <c r="J2717" s="172">
        <f>IFERROR(__xludf.DUMMYFUNCTION("""COMPUTED_VALUE"""),43358.0)</f>
        <v>43358</v>
      </c>
      <c r="K2717" s="176">
        <f>IFERROR(__xludf.DUMMYFUNCTION("""COMPUTED_VALUE"""),68.0)</f>
        <v>68</v>
      </c>
      <c r="L2717" s="176">
        <f>IFERROR(__xludf.DUMMYFUNCTION("""COMPUTED_VALUE"""),8.0)</f>
        <v>8</v>
      </c>
      <c r="M2717" s="176">
        <f>IFERROR(__xludf.DUMMYFUNCTION("""COMPUTED_VALUE"""),76.0)</f>
        <v>76</v>
      </c>
      <c r="N2717" s="177" t="str">
        <f>IFERROR(__xludf.DUMMYFUNCTION("""COMPUTED_VALUE"""),"Model 3 Performance")</f>
        <v>Model 3 Performance</v>
      </c>
      <c r="O2717" s="177" t="str">
        <f>IFERROR(__xludf.DUMMYFUNCTION("""COMPUTED_VALUE"""),"Pearl White Multi-Coat")</f>
        <v>Pearl White Multi-Coat</v>
      </c>
      <c r="P2717" s="178" t="str">
        <f>IFERROR(__xludf.DUMMYFUNCTION("""COMPUTED_VALUE"""),"20 inch Sport")</f>
        <v>20 inch Sport</v>
      </c>
      <c r="Q2717" s="177" t="str">
        <f>IFERROR(__xludf.DUMMYFUNCTION("""COMPUTED_VALUE"""),"Black seats")</f>
        <v>Black seats</v>
      </c>
      <c r="R2717" s="170" t="str">
        <f>IFERROR(__xludf.DUMMYFUNCTION("""COMPUTED_VALUE"""),"Full Self-Driving")</f>
        <v>Full Self-Driving</v>
      </c>
      <c r="S2717" s="170"/>
      <c r="T2717" s="179"/>
      <c r="U2717" s="179"/>
      <c r="V2717" s="179"/>
      <c r="W2717" s="180"/>
      <c r="X2717" s="181" t="str">
        <f>IFERROR(__xludf.DUMMYFUNCTION("""COMPUTED_VALUE"""),"Fair")</f>
        <v>Fair</v>
      </c>
      <c r="Y2717" s="182" t="str">
        <f>IFERROR(__xludf.DUMMYFUNCTION("""COMPUTED_VALUE"""),"Poor")</f>
        <v>Poor</v>
      </c>
      <c r="Z2717" s="182" t="str">
        <f>IFERROR(__xludf.DUMMYFUNCTION("""COMPUTED_VALUE"""),"Poor")</f>
        <v>Poor</v>
      </c>
      <c r="AA2717" s="182" t="str">
        <f>IFERROR(__xludf.DUMMYFUNCTION("""COMPUTED_VALUE"""),"Fair")</f>
        <v>Fair</v>
      </c>
      <c r="AB2717" s="182" t="str">
        <f>IFERROR(__xludf.DUMMYFUNCTION("""COMPUTED_VALUE"""),"Good")</f>
        <v>Good</v>
      </c>
      <c r="AC2717" s="183">
        <f>IFERROR(__xludf.DUMMYFUNCTION("""COMPUTED_VALUE"""),10.0)</f>
        <v>10</v>
      </c>
      <c r="AD2717" s="183"/>
      <c r="AE2717" s="183"/>
      <c r="AF2717" s="184"/>
      <c r="AG2717" s="180"/>
      <c r="AH2717" s="185">
        <f>IFERROR(__xludf.DUMMYFUNCTION("""COMPUTED_VALUE"""),43359.031221446756)</f>
        <v>43359.03122</v>
      </c>
      <c r="AI2717" s="182"/>
      <c r="AJ2717" s="182"/>
      <c r="AK2717" s="182"/>
      <c r="AL2717" s="182"/>
    </row>
    <row r="2718" ht="20.25" customHeight="1">
      <c r="A2718" s="169" t="str">
        <f>IFERROR(__xludf.DUMMYFUNCTION("""COMPUTED_VALUE"""),"mej16489")</f>
        <v>mej16489</v>
      </c>
      <c r="B2718" s="170" t="str">
        <f>IFERROR(__xludf.DUMMYFUNCTION("""COMPUTED_VALUE"""),"Southern California")</f>
        <v>Southern California</v>
      </c>
      <c r="C2718" s="170" t="str">
        <f>IFERROR(__xludf.DUMMYFUNCTION("""COMPUTED_VALUE"""),"CA")</f>
        <v>CA</v>
      </c>
      <c r="D2718" s="170" t="str">
        <f>IFERROR(__xludf.DUMMYFUNCTION("""COMPUTED_VALUE"""),"USA")</f>
        <v>USA</v>
      </c>
      <c r="E2718" s="171">
        <f>IFERROR(__xludf.DUMMYFUNCTION("""COMPUTED_VALUE"""),43282.0)</f>
        <v>43282</v>
      </c>
      <c r="F2718" s="172">
        <f>IFERROR(__xludf.DUMMYFUNCTION("""COMPUTED_VALUE"""),43371.0)</f>
        <v>43371</v>
      </c>
      <c r="G2718" s="173"/>
      <c r="H2718" s="174">
        <f>IFERROR(__xludf.DUMMYFUNCTION("""COMPUTED_VALUE"""),111501.0)</f>
        <v>111501</v>
      </c>
      <c r="I2718" s="175" t="str">
        <f>IFERROR(__xludf.DUMMYFUNCTION("""COMPUTED_VALUE"""),"09/18")</f>
        <v>09/18</v>
      </c>
      <c r="J2718" s="172">
        <f>IFERROR(__xludf.DUMMYFUNCTION("""COMPUTED_VALUE"""),43373.0)</f>
        <v>43373</v>
      </c>
      <c r="K2718" s="176">
        <f>IFERROR(__xludf.DUMMYFUNCTION("""COMPUTED_VALUE"""),89.0)</f>
        <v>89</v>
      </c>
      <c r="L2718" s="176">
        <f>IFERROR(__xludf.DUMMYFUNCTION("""COMPUTED_VALUE"""),2.0)</f>
        <v>2</v>
      </c>
      <c r="M2718" s="176">
        <f>IFERROR(__xludf.DUMMYFUNCTION("""COMPUTED_VALUE"""),91.0)</f>
        <v>91</v>
      </c>
      <c r="N2718" s="177" t="str">
        <f>IFERROR(__xludf.DUMMYFUNCTION("""COMPUTED_VALUE"""),"Model 3 LR AWD")</f>
        <v>Model 3 LR AWD</v>
      </c>
      <c r="O2718" s="177" t="str">
        <f>IFERROR(__xludf.DUMMYFUNCTION("""COMPUTED_VALUE"""),"Red Multi-Coat")</f>
        <v>Red Multi-Coat</v>
      </c>
      <c r="P2718" s="178" t="str">
        <f>IFERROR(__xludf.DUMMYFUNCTION("""COMPUTED_VALUE"""),"19 inch Sport")</f>
        <v>19 inch Sport</v>
      </c>
      <c r="Q2718" s="177" t="str">
        <f>IFERROR(__xludf.DUMMYFUNCTION("""COMPUTED_VALUE"""),"Black seats")</f>
        <v>Black seats</v>
      </c>
      <c r="R2718" s="170" t="str">
        <f>IFERROR(__xludf.DUMMYFUNCTION("""COMPUTED_VALUE"""),"None")</f>
        <v>None</v>
      </c>
      <c r="S2718" s="170"/>
      <c r="T2718" s="179"/>
      <c r="U2718" s="179"/>
      <c r="V2718" s="179"/>
      <c r="W2718" s="180"/>
      <c r="X2718" s="181" t="str">
        <f>IFERROR(__xludf.DUMMYFUNCTION("""COMPUTED_VALUE"""),"Excellent")</f>
        <v>Excellent</v>
      </c>
      <c r="Y2718" s="182" t="str">
        <f>IFERROR(__xludf.DUMMYFUNCTION("""COMPUTED_VALUE"""),"Excellent")</f>
        <v>Excellent</v>
      </c>
      <c r="Z2718" s="182" t="str">
        <f>IFERROR(__xludf.DUMMYFUNCTION("""COMPUTED_VALUE"""),"Very Good")</f>
        <v>Very Good</v>
      </c>
      <c r="AA2718" s="182" t="str">
        <f>IFERROR(__xludf.DUMMYFUNCTION("""COMPUTED_VALUE"""),"Good")</f>
        <v>Good</v>
      </c>
      <c r="AB2718" s="182" t="str">
        <f>IFERROR(__xludf.DUMMYFUNCTION("""COMPUTED_VALUE"""),"Fair")</f>
        <v>Fair</v>
      </c>
      <c r="AC2718" s="183">
        <f>IFERROR(__xludf.DUMMYFUNCTION("""COMPUTED_VALUE"""),2.0)</f>
        <v>2</v>
      </c>
      <c r="AD2718" s="183">
        <f>IFERROR(__xludf.DUMMYFUNCTION("""COMPUTED_VALUE"""),0.0)</f>
        <v>0</v>
      </c>
      <c r="AE2718" s="183">
        <f>IFERROR(__xludf.DUMMYFUNCTION("""COMPUTED_VALUE"""),0.0)</f>
        <v>0</v>
      </c>
      <c r="AF2718" s="184"/>
      <c r="AG2718" s="180"/>
      <c r="AH2718" s="185">
        <f>IFERROR(__xludf.DUMMYFUNCTION("""COMPUTED_VALUE"""),43407.42727357638)</f>
        <v>43407.42727</v>
      </c>
      <c r="AI2718" s="182"/>
      <c r="AJ2718" s="182"/>
      <c r="AK2718" s="182"/>
      <c r="AL2718" s="182"/>
    </row>
    <row r="2719" ht="20.25" customHeight="1">
      <c r="A2719" s="169" t="str">
        <f>IFERROR(__xludf.DUMMYFUNCTION("""COMPUTED_VALUE"""),"Phatman113")</f>
        <v>Phatman113</v>
      </c>
      <c r="B2719" s="170" t="str">
        <f>IFERROR(__xludf.DUMMYFUNCTION("""COMPUTED_VALUE"""),"Seattle")</f>
        <v>Seattle</v>
      </c>
      <c r="C2719" s="170" t="str">
        <f>IFERROR(__xludf.DUMMYFUNCTION("""COMPUTED_VALUE"""),"WA")</f>
        <v>WA</v>
      </c>
      <c r="D2719" s="170" t="str">
        <f>IFERROR(__xludf.DUMMYFUNCTION("""COMPUTED_VALUE"""),"USA")</f>
        <v>USA</v>
      </c>
      <c r="E2719" s="171">
        <f>IFERROR(__xludf.DUMMYFUNCTION("""COMPUTED_VALUE"""),43282.0)</f>
        <v>43282</v>
      </c>
      <c r="F2719" s="172">
        <f>IFERROR(__xludf.DUMMYFUNCTION("""COMPUTED_VALUE"""),43329.0)</f>
        <v>43329</v>
      </c>
      <c r="G2719" s="173"/>
      <c r="H2719" s="174">
        <f>IFERROR(__xludf.DUMMYFUNCTION("""COMPUTED_VALUE"""),64595.0)</f>
        <v>64595</v>
      </c>
      <c r="I2719" s="175" t="str">
        <f>IFERROR(__xludf.DUMMYFUNCTION("""COMPUTED_VALUE"""),"08/18")</f>
        <v>08/18</v>
      </c>
      <c r="J2719" s="172">
        <f>IFERROR(__xludf.DUMMYFUNCTION("""COMPUTED_VALUE"""),43335.0)</f>
        <v>43335</v>
      </c>
      <c r="K2719" s="176">
        <f>IFERROR(__xludf.DUMMYFUNCTION("""COMPUTED_VALUE"""),47.0)</f>
        <v>47</v>
      </c>
      <c r="L2719" s="176">
        <f>IFERROR(__xludf.DUMMYFUNCTION("""COMPUTED_VALUE"""),6.0)</f>
        <v>6</v>
      </c>
      <c r="M2719" s="176">
        <f>IFERROR(__xludf.DUMMYFUNCTION("""COMPUTED_VALUE"""),53.0)</f>
        <v>53</v>
      </c>
      <c r="N2719" s="177" t="str">
        <f>IFERROR(__xludf.DUMMYFUNCTION("""COMPUTED_VALUE"""),"Model 3 LR AWD")</f>
        <v>Model 3 LR AWD</v>
      </c>
      <c r="O2719" s="177" t="str">
        <f>IFERROR(__xludf.DUMMYFUNCTION("""COMPUTED_VALUE"""),"Deep Blue Metallic")</f>
        <v>Deep Blue Metallic</v>
      </c>
      <c r="P2719" s="178" t="str">
        <f>IFERROR(__xludf.DUMMYFUNCTION("""COMPUTED_VALUE"""),"18 inch Aero")</f>
        <v>18 inch Aero</v>
      </c>
      <c r="Q2719" s="177" t="str">
        <f>IFERROR(__xludf.DUMMYFUNCTION("""COMPUTED_VALUE"""),"Black seats")</f>
        <v>Black seats</v>
      </c>
      <c r="R2719" s="170" t="str">
        <f>IFERROR(__xludf.DUMMYFUNCTION("""COMPUTED_VALUE"""),"Enhanced Autopilot")</f>
        <v>Enhanced Autopilot</v>
      </c>
      <c r="S2719" s="170"/>
      <c r="T2719" s="179"/>
      <c r="U2719" s="179"/>
      <c r="V2719" s="179"/>
      <c r="W2719" s="180"/>
      <c r="X2719" s="181" t="str">
        <f>IFERROR(__xludf.DUMMYFUNCTION("""COMPUTED_VALUE"""),"Very Good")</f>
        <v>Very Good</v>
      </c>
      <c r="Y2719" s="182" t="str">
        <f>IFERROR(__xludf.DUMMYFUNCTION("""COMPUTED_VALUE"""),"Very Good")</f>
        <v>Very Good</v>
      </c>
      <c r="Z2719" s="182" t="str">
        <f>IFERROR(__xludf.DUMMYFUNCTION("""COMPUTED_VALUE"""),"Good")</f>
        <v>Good</v>
      </c>
      <c r="AA2719" s="182" t="str">
        <f>IFERROR(__xludf.DUMMYFUNCTION("""COMPUTED_VALUE"""),"Good")</f>
        <v>Good</v>
      </c>
      <c r="AB2719" s="182" t="str">
        <f>IFERROR(__xludf.DUMMYFUNCTION("""COMPUTED_VALUE"""),"Poor")</f>
        <v>Poor</v>
      </c>
      <c r="AC2719" s="183">
        <f>IFERROR(__xludf.DUMMYFUNCTION("""COMPUTED_VALUE"""),2.0)</f>
        <v>2</v>
      </c>
      <c r="AD2719" s="183">
        <f>IFERROR(__xludf.DUMMYFUNCTION("""COMPUTED_VALUE"""),0.0)</f>
        <v>0</v>
      </c>
      <c r="AE2719" s="183">
        <f>IFERROR(__xludf.DUMMYFUNCTION("""COMPUTED_VALUE"""),0.0)</f>
        <v>0</v>
      </c>
      <c r="AF2719" s="184"/>
      <c r="AG2719" s="180"/>
      <c r="AH2719" s="185">
        <f>IFERROR(__xludf.DUMMYFUNCTION("""COMPUTED_VALUE"""),43355.382376747686)</f>
        <v>43355.38238</v>
      </c>
      <c r="AI2719" s="182"/>
      <c r="AJ2719" s="182"/>
      <c r="AK2719" s="182"/>
      <c r="AL2719" s="182"/>
    </row>
    <row r="2720" ht="20.25" customHeight="1">
      <c r="A2720" s="169" t="str">
        <f>IFERROR(__xludf.DUMMYFUNCTION("""COMPUTED_VALUE"""),"pinik5")</f>
        <v>pinik5</v>
      </c>
      <c r="B2720" s="170"/>
      <c r="C2720" s="170" t="str">
        <f>IFERROR(__xludf.DUMMYFUNCTION("""COMPUTED_VALUE"""),"CT")</f>
        <v>CT</v>
      </c>
      <c r="D2720" s="170" t="str">
        <f>IFERROR(__xludf.DUMMYFUNCTION("""COMPUTED_VALUE"""),"USA")</f>
        <v>USA</v>
      </c>
      <c r="E2720" s="171">
        <f>IFERROR(__xludf.DUMMYFUNCTION("""COMPUTED_VALUE"""),43282.0)</f>
        <v>43282</v>
      </c>
      <c r="F2720" s="172">
        <f>IFERROR(__xludf.DUMMYFUNCTION("""COMPUTED_VALUE"""),43354.0)</f>
        <v>43354</v>
      </c>
      <c r="G2720" s="173"/>
      <c r="H2720" s="174">
        <f>IFERROR(__xludf.DUMMYFUNCTION("""COMPUTED_VALUE"""),76991.0)</f>
        <v>76991</v>
      </c>
      <c r="I2720" s="175" t="str">
        <f>IFERROR(__xludf.DUMMYFUNCTION("""COMPUTED_VALUE"""),"08/18")</f>
        <v>08/18</v>
      </c>
      <c r="J2720" s="172">
        <f>IFERROR(__xludf.DUMMYFUNCTION("""COMPUTED_VALUE"""),43363.0)</f>
        <v>43363</v>
      </c>
      <c r="K2720" s="176">
        <f>IFERROR(__xludf.DUMMYFUNCTION("""COMPUTED_VALUE"""),72.0)</f>
        <v>72</v>
      </c>
      <c r="L2720" s="176">
        <f>IFERROR(__xludf.DUMMYFUNCTION("""COMPUTED_VALUE"""),9.0)</f>
        <v>9</v>
      </c>
      <c r="M2720" s="176">
        <f>IFERROR(__xludf.DUMMYFUNCTION("""COMPUTED_VALUE"""),81.0)</f>
        <v>81</v>
      </c>
      <c r="N2720" s="177" t="str">
        <f>IFERROR(__xludf.DUMMYFUNCTION("""COMPUTED_VALUE"""),"Model 3 LR AWD")</f>
        <v>Model 3 LR AWD</v>
      </c>
      <c r="O2720" s="177" t="str">
        <f>IFERROR(__xludf.DUMMYFUNCTION("""COMPUTED_VALUE"""),"Midnight Silver Metallic")</f>
        <v>Midnight Silver Metallic</v>
      </c>
      <c r="P2720" s="178" t="str">
        <f>IFERROR(__xludf.DUMMYFUNCTION("""COMPUTED_VALUE"""),"19 inch Sport")</f>
        <v>19 inch Sport</v>
      </c>
      <c r="Q2720" s="177" t="str">
        <f>IFERROR(__xludf.DUMMYFUNCTION("""COMPUTED_VALUE"""),"Black seats")</f>
        <v>Black seats</v>
      </c>
      <c r="R2720" s="170" t="str">
        <f>IFERROR(__xludf.DUMMYFUNCTION("""COMPUTED_VALUE"""),"Enhanced Autopilot")</f>
        <v>Enhanced Autopilot</v>
      </c>
      <c r="S2720" s="170"/>
      <c r="T2720" s="179"/>
      <c r="U2720" s="179"/>
      <c r="V2720" s="179"/>
      <c r="W2720" s="180"/>
      <c r="X2720" s="181" t="str">
        <f>IFERROR(__xludf.DUMMYFUNCTION("""COMPUTED_VALUE"""),"Excellent")</f>
        <v>Excellent</v>
      </c>
      <c r="Y2720" s="182" t="str">
        <f>IFERROR(__xludf.DUMMYFUNCTION("""COMPUTED_VALUE"""),"Excellent")</f>
        <v>Excellent</v>
      </c>
      <c r="Z2720" s="182" t="str">
        <f>IFERROR(__xludf.DUMMYFUNCTION("""COMPUTED_VALUE"""),"Excellent")</f>
        <v>Excellent</v>
      </c>
      <c r="AA2720" s="182" t="str">
        <f>IFERROR(__xludf.DUMMYFUNCTION("""COMPUTED_VALUE"""),"Fair")</f>
        <v>Fair</v>
      </c>
      <c r="AB2720" s="182" t="str">
        <f>IFERROR(__xludf.DUMMYFUNCTION("""COMPUTED_VALUE"""),"Very Good")</f>
        <v>Very Good</v>
      </c>
      <c r="AC2720" s="183"/>
      <c r="AD2720" s="183"/>
      <c r="AE2720" s="183"/>
      <c r="AF2720" s="184"/>
      <c r="AG2720" s="180" t="str">
        <f>IFERROR(__xludf.DUMMYFUNCTION("""COMPUTED_VALUE"""),"Took delivery 9/30/18")</f>
        <v>Took delivery 9/30/18</v>
      </c>
      <c r="AH2720" s="185">
        <f>IFERROR(__xludf.DUMMYFUNCTION("""COMPUTED_VALUE"""),43374.25620560184)</f>
        <v>43374.25621</v>
      </c>
      <c r="AI2720" s="182"/>
      <c r="AJ2720" s="182"/>
      <c r="AK2720" s="182"/>
      <c r="AL2720" s="182"/>
    </row>
    <row r="2721" ht="20.25" customHeight="1">
      <c r="A2721" s="169" t="str">
        <f>IFERROR(__xludf.DUMMYFUNCTION("""COMPUTED_VALUE"""),"rohyn")</f>
        <v>rohyn</v>
      </c>
      <c r="B2721" s="170"/>
      <c r="C2721" s="170" t="str">
        <f>IFERROR(__xludf.DUMMYFUNCTION("""COMPUTED_VALUE"""),"TX")</f>
        <v>TX</v>
      </c>
      <c r="D2721" s="170" t="str">
        <f>IFERROR(__xludf.DUMMYFUNCTION("""COMPUTED_VALUE"""),"USA")</f>
        <v>USA</v>
      </c>
      <c r="E2721" s="171">
        <f>IFERROR(__xludf.DUMMYFUNCTION("""COMPUTED_VALUE"""),43282.0)</f>
        <v>43282</v>
      </c>
      <c r="F2721" s="172">
        <f>IFERROR(__xludf.DUMMYFUNCTION("""COMPUTED_VALUE"""),43364.0)</f>
        <v>43364</v>
      </c>
      <c r="G2721" s="173"/>
      <c r="H2721" s="174">
        <f>IFERROR(__xludf.DUMMYFUNCTION("""COMPUTED_VALUE"""),55055.0)</f>
        <v>55055</v>
      </c>
      <c r="I2721" s="175" t="str">
        <f>IFERROR(__xludf.DUMMYFUNCTION("""COMPUTED_VALUE"""),"07/18")</f>
        <v>07/18</v>
      </c>
      <c r="J2721" s="172">
        <f>IFERROR(__xludf.DUMMYFUNCTION("""COMPUTED_VALUE"""),43371.0)</f>
        <v>43371</v>
      </c>
      <c r="K2721" s="176">
        <f>IFERROR(__xludf.DUMMYFUNCTION("""COMPUTED_VALUE"""),82.0)</f>
        <v>82</v>
      </c>
      <c r="L2721" s="176">
        <f>IFERROR(__xludf.DUMMYFUNCTION("""COMPUTED_VALUE"""),7.0)</f>
        <v>7</v>
      </c>
      <c r="M2721" s="176">
        <f>IFERROR(__xludf.DUMMYFUNCTION("""COMPUTED_VALUE"""),89.0)</f>
        <v>89</v>
      </c>
      <c r="N2721" s="177" t="str">
        <f>IFERROR(__xludf.DUMMYFUNCTION("""COMPUTED_VALUE"""),"Model 3 LR AWD")</f>
        <v>Model 3 LR AWD</v>
      </c>
      <c r="O2721" s="177" t="str">
        <f>IFERROR(__xludf.DUMMYFUNCTION("""COMPUTED_VALUE"""),"Pearl White Multi-Coat")</f>
        <v>Pearl White Multi-Coat</v>
      </c>
      <c r="P2721" s="178" t="str">
        <f>IFERROR(__xludf.DUMMYFUNCTION("""COMPUTED_VALUE"""),"18 inch Aero")</f>
        <v>18 inch Aero</v>
      </c>
      <c r="Q2721" s="177" t="str">
        <f>IFERROR(__xludf.DUMMYFUNCTION("""COMPUTED_VALUE"""),"Black seats")</f>
        <v>Black seats</v>
      </c>
      <c r="R2721" s="170" t="str">
        <f>IFERROR(__xludf.DUMMYFUNCTION("""COMPUTED_VALUE"""),"Enhanced Autopilot")</f>
        <v>Enhanced Autopilot</v>
      </c>
      <c r="S2721" s="170"/>
      <c r="T2721" s="179"/>
      <c r="U2721" s="179"/>
      <c r="V2721" s="179"/>
      <c r="W2721" s="180"/>
      <c r="X2721" s="181" t="str">
        <f>IFERROR(__xludf.DUMMYFUNCTION("""COMPUTED_VALUE"""),"Very Good")</f>
        <v>Very Good</v>
      </c>
      <c r="Y2721" s="182" t="str">
        <f>IFERROR(__xludf.DUMMYFUNCTION("""COMPUTED_VALUE"""),"Excellent")</f>
        <v>Excellent</v>
      </c>
      <c r="Z2721" s="182" t="str">
        <f>IFERROR(__xludf.DUMMYFUNCTION("""COMPUTED_VALUE"""),"Excellent")</f>
        <v>Excellent</v>
      </c>
      <c r="AA2721" s="182" t="str">
        <f>IFERROR(__xludf.DUMMYFUNCTION("""COMPUTED_VALUE"""),"Very Good")</f>
        <v>Very Good</v>
      </c>
      <c r="AB2721" s="182" t="str">
        <f>IFERROR(__xludf.DUMMYFUNCTION("""COMPUTED_VALUE"""),"Excellent")</f>
        <v>Excellent</v>
      </c>
      <c r="AC2721" s="183">
        <f>IFERROR(__xludf.DUMMYFUNCTION("""COMPUTED_VALUE"""),12.0)</f>
        <v>12</v>
      </c>
      <c r="AD2721" s="183">
        <f>IFERROR(__xludf.DUMMYFUNCTION("""COMPUTED_VALUE"""),2.0)</f>
        <v>2</v>
      </c>
      <c r="AE2721" s="183">
        <f>IFERROR(__xludf.DUMMYFUNCTION("""COMPUTED_VALUE"""),2.0)</f>
        <v>2</v>
      </c>
      <c r="AF2721" s="184"/>
      <c r="AG2721" s="180" t="str">
        <f>IFERROR(__xludf.DUMMYFUNCTION("""COMPUTED_VALUE"""),"Delivery: Sep. '18 - Nov. '18")</f>
        <v>Delivery: Sep. '18 - Nov. '18</v>
      </c>
      <c r="AH2721" s="185">
        <f>IFERROR(__xludf.DUMMYFUNCTION("""COMPUTED_VALUE"""),43407.01345834491)</f>
        <v>43407.01346</v>
      </c>
      <c r="AI2721" s="182"/>
      <c r="AJ2721" s="182"/>
      <c r="AK2721" s="182"/>
      <c r="AL2721" s="182"/>
    </row>
    <row r="2722" ht="20.25" customHeight="1">
      <c r="A2722" s="169" t="str">
        <f>IFERROR(__xludf.DUMMYFUNCTION("""COMPUTED_VALUE"""),"shizza77")</f>
        <v>shizza77</v>
      </c>
      <c r="B2722" s="170" t="str">
        <f>IFERROR(__xludf.DUMMYFUNCTION("""COMPUTED_VALUE"""),"Bay Area, CA")</f>
        <v>Bay Area, CA</v>
      </c>
      <c r="C2722" s="170" t="str">
        <f>IFERROR(__xludf.DUMMYFUNCTION("""COMPUTED_VALUE"""),"CA")</f>
        <v>CA</v>
      </c>
      <c r="D2722" s="170" t="str">
        <f>IFERROR(__xludf.DUMMYFUNCTION("""COMPUTED_VALUE"""),"USA")</f>
        <v>USA</v>
      </c>
      <c r="E2722" s="171">
        <f>IFERROR(__xludf.DUMMYFUNCTION("""COMPUTED_VALUE"""),43282.0)</f>
        <v>43282</v>
      </c>
      <c r="F2722" s="172">
        <f>IFERROR(__xludf.DUMMYFUNCTION("""COMPUTED_VALUE"""),43364.0)</f>
        <v>43364</v>
      </c>
      <c r="G2722" s="173"/>
      <c r="H2722" s="174">
        <f>IFERROR(__xludf.DUMMYFUNCTION("""COMPUTED_VALUE"""),92411.0)</f>
        <v>92411</v>
      </c>
      <c r="I2722" s="175" t="str">
        <f>IFERROR(__xludf.DUMMYFUNCTION("""COMPUTED_VALUE"""),"09/18")</f>
        <v>09/18</v>
      </c>
      <c r="J2722" s="172">
        <f>IFERROR(__xludf.DUMMYFUNCTION("""COMPUTED_VALUE"""),43369.0)</f>
        <v>43369</v>
      </c>
      <c r="K2722" s="176">
        <f>IFERROR(__xludf.DUMMYFUNCTION("""COMPUTED_VALUE"""),82.0)</f>
        <v>82</v>
      </c>
      <c r="L2722" s="176">
        <f>IFERROR(__xludf.DUMMYFUNCTION("""COMPUTED_VALUE"""),5.0)</f>
        <v>5</v>
      </c>
      <c r="M2722" s="176">
        <f>IFERROR(__xludf.DUMMYFUNCTION("""COMPUTED_VALUE"""),87.0)</f>
        <v>87</v>
      </c>
      <c r="N2722" s="177" t="str">
        <f>IFERROR(__xludf.DUMMYFUNCTION("""COMPUTED_VALUE"""),"Model 3 LR AWD")</f>
        <v>Model 3 LR AWD</v>
      </c>
      <c r="O2722" s="177" t="str">
        <f>IFERROR(__xludf.DUMMYFUNCTION("""COMPUTED_VALUE"""),"Pearl White Multi-Coat")</f>
        <v>Pearl White Multi-Coat</v>
      </c>
      <c r="P2722" s="178" t="str">
        <f>IFERROR(__xludf.DUMMYFUNCTION("""COMPUTED_VALUE"""),"18 inch Aero")</f>
        <v>18 inch Aero</v>
      </c>
      <c r="Q2722" s="177" t="str">
        <f>IFERROR(__xludf.DUMMYFUNCTION("""COMPUTED_VALUE"""),"Black seats")</f>
        <v>Black seats</v>
      </c>
      <c r="R2722" s="170" t="str">
        <f>IFERROR(__xludf.DUMMYFUNCTION("""COMPUTED_VALUE"""),"None")</f>
        <v>None</v>
      </c>
      <c r="S2722" s="170"/>
      <c r="T2722" s="179"/>
      <c r="U2722" s="179"/>
      <c r="V2722" s="179"/>
      <c r="W2722" s="180"/>
      <c r="X2722" s="181" t="str">
        <f>IFERROR(__xludf.DUMMYFUNCTION("""COMPUTED_VALUE"""),"Excellent")</f>
        <v>Excellent</v>
      </c>
      <c r="Y2722" s="182" t="str">
        <f>IFERROR(__xludf.DUMMYFUNCTION("""COMPUTED_VALUE"""),"Excellent")</f>
        <v>Excellent</v>
      </c>
      <c r="Z2722" s="182" t="str">
        <f>IFERROR(__xludf.DUMMYFUNCTION("""COMPUTED_VALUE"""),"Excellent")</f>
        <v>Excellent</v>
      </c>
      <c r="AA2722" s="182" t="str">
        <f>IFERROR(__xludf.DUMMYFUNCTION("""COMPUTED_VALUE"""),"Fair")</f>
        <v>Fair</v>
      </c>
      <c r="AB2722" s="182" t="str">
        <f>IFERROR(__xludf.DUMMYFUNCTION("""COMPUTED_VALUE"""),"Good")</f>
        <v>Good</v>
      </c>
      <c r="AC2722" s="183">
        <f>IFERROR(__xludf.DUMMYFUNCTION("""COMPUTED_VALUE"""),1.0)</f>
        <v>1</v>
      </c>
      <c r="AD2722" s="183"/>
      <c r="AE2722" s="183"/>
      <c r="AF2722" s="184"/>
      <c r="AG2722" s="180"/>
      <c r="AH2722" s="185">
        <f>IFERROR(__xludf.DUMMYFUNCTION("""COMPUTED_VALUE"""),43370.43903829861)</f>
        <v>43370.43904</v>
      </c>
      <c r="AI2722" s="182"/>
      <c r="AJ2722" s="182"/>
      <c r="AK2722" s="182"/>
      <c r="AL2722" s="182"/>
    </row>
    <row r="2723" ht="20.25" customHeight="1">
      <c r="A2723" s="169" t="str">
        <f>IFERROR(__xludf.DUMMYFUNCTION("""COMPUTED_VALUE"""),"sloper")</f>
        <v>sloper</v>
      </c>
      <c r="B2723" s="170" t="str">
        <f>IFERROR(__xludf.DUMMYFUNCTION("""COMPUTED_VALUE"""),"Brooklyn")</f>
        <v>Brooklyn</v>
      </c>
      <c r="C2723" s="170" t="str">
        <f>IFERROR(__xludf.DUMMYFUNCTION("""COMPUTED_VALUE"""),"NY")</f>
        <v>NY</v>
      </c>
      <c r="D2723" s="170" t="str">
        <f>IFERROR(__xludf.DUMMYFUNCTION("""COMPUTED_VALUE"""),"USA")</f>
        <v>USA</v>
      </c>
      <c r="E2723" s="171">
        <f>IFERROR(__xludf.DUMMYFUNCTION("""COMPUTED_VALUE"""),43282.0)</f>
        <v>43282</v>
      </c>
      <c r="F2723" s="172">
        <f>IFERROR(__xludf.DUMMYFUNCTION("""COMPUTED_VALUE"""),43336.0)</f>
        <v>43336</v>
      </c>
      <c r="G2723" s="173"/>
      <c r="H2723" s="174">
        <f>IFERROR(__xludf.DUMMYFUNCTION("""COMPUTED_VALUE"""),96075.0)</f>
        <v>96075</v>
      </c>
      <c r="I2723" s="175"/>
      <c r="J2723" s="172">
        <f>IFERROR(__xludf.DUMMYFUNCTION("""COMPUTED_VALUE"""),43363.0)</f>
        <v>43363</v>
      </c>
      <c r="K2723" s="176">
        <f>IFERROR(__xludf.DUMMYFUNCTION("""COMPUTED_VALUE"""),54.0)</f>
        <v>54</v>
      </c>
      <c r="L2723" s="176">
        <f>IFERROR(__xludf.DUMMYFUNCTION("""COMPUTED_VALUE"""),27.0)</f>
        <v>27</v>
      </c>
      <c r="M2723" s="176">
        <f>IFERROR(__xludf.DUMMYFUNCTION("""COMPUTED_VALUE"""),81.0)</f>
        <v>81</v>
      </c>
      <c r="N2723" s="177" t="str">
        <f>IFERROR(__xludf.DUMMYFUNCTION("""COMPUTED_VALUE"""),"Model 3 LR AWD")</f>
        <v>Model 3 LR AWD</v>
      </c>
      <c r="O2723" s="177" t="str">
        <f>IFERROR(__xludf.DUMMYFUNCTION("""COMPUTED_VALUE"""),"Midnight Silver Metallic")</f>
        <v>Midnight Silver Metallic</v>
      </c>
      <c r="P2723" s="178" t="str">
        <f>IFERROR(__xludf.DUMMYFUNCTION("""COMPUTED_VALUE"""),"18 inch Aero")</f>
        <v>18 inch Aero</v>
      </c>
      <c r="Q2723" s="177" t="str">
        <f>IFERROR(__xludf.DUMMYFUNCTION("""COMPUTED_VALUE"""),"White seats")</f>
        <v>White seats</v>
      </c>
      <c r="R2723" s="170" t="str">
        <f>IFERROR(__xludf.DUMMYFUNCTION("""COMPUTED_VALUE"""),"Enhanced Autopilot")</f>
        <v>Enhanced Autopilot</v>
      </c>
      <c r="S2723" s="170"/>
      <c r="T2723" s="179"/>
      <c r="U2723" s="179"/>
      <c r="V2723" s="179"/>
      <c r="W2723" s="180"/>
      <c r="X2723" s="181" t="str">
        <f>IFERROR(__xludf.DUMMYFUNCTION("""COMPUTED_VALUE"""),"Very Good")</f>
        <v>Very Good</v>
      </c>
      <c r="Y2723" s="182" t="str">
        <f>IFERROR(__xludf.DUMMYFUNCTION("""COMPUTED_VALUE"""),"Excellent")</f>
        <v>Excellent</v>
      </c>
      <c r="Z2723" s="182" t="str">
        <f>IFERROR(__xludf.DUMMYFUNCTION("""COMPUTED_VALUE"""),"Excellent")</f>
        <v>Excellent</v>
      </c>
      <c r="AA2723" s="182" t="str">
        <f>IFERROR(__xludf.DUMMYFUNCTION("""COMPUTED_VALUE"""),"Fair")</f>
        <v>Fair</v>
      </c>
      <c r="AB2723" s="182" t="str">
        <f>IFERROR(__xludf.DUMMYFUNCTION("""COMPUTED_VALUE"""),"Excellent")</f>
        <v>Excellent</v>
      </c>
      <c r="AC2723" s="183"/>
      <c r="AD2723" s="183"/>
      <c r="AE2723" s="183"/>
      <c r="AF2723" s="184"/>
      <c r="AG2723" s="180" t="str">
        <f>IFERROR(__xludf.DUMMYFUNCTION("""COMPUTED_VALUE"""),"First delivery date was missed by 12 days")</f>
        <v>First delivery date was missed by 12 days</v>
      </c>
      <c r="AH2723" s="185">
        <f>IFERROR(__xludf.DUMMYFUNCTION("""COMPUTED_VALUE"""),43369.737910034724)</f>
        <v>43369.73791</v>
      </c>
      <c r="AI2723" s="182"/>
      <c r="AJ2723" s="182"/>
      <c r="AK2723" s="182"/>
      <c r="AL2723" s="182"/>
    </row>
    <row r="2724" ht="20.25" customHeight="1">
      <c r="A2724" s="169" t="str">
        <f>IFERROR(__xludf.DUMMYFUNCTION("""COMPUTED_VALUE"""),"Ultracell")</f>
        <v>Ultracell</v>
      </c>
      <c r="B2724" s="170" t="str">
        <f>IFERROR(__xludf.DUMMYFUNCTION("""COMPUTED_VALUE"""),"Fairfax")</f>
        <v>Fairfax</v>
      </c>
      <c r="C2724" s="170" t="str">
        <f>IFERROR(__xludf.DUMMYFUNCTION("""COMPUTED_VALUE"""),"VA")</f>
        <v>VA</v>
      </c>
      <c r="D2724" s="170" t="str">
        <f>IFERROR(__xludf.DUMMYFUNCTION("""COMPUTED_VALUE"""),"USA")</f>
        <v>USA</v>
      </c>
      <c r="E2724" s="171">
        <f>IFERROR(__xludf.DUMMYFUNCTION("""COMPUTED_VALUE"""),43282.0)</f>
        <v>43282</v>
      </c>
      <c r="F2724" s="172">
        <f>IFERROR(__xludf.DUMMYFUNCTION("""COMPUTED_VALUE"""),43381.0)</f>
        <v>43381</v>
      </c>
      <c r="G2724" s="173"/>
      <c r="H2724" s="174">
        <f>IFERROR(__xludf.DUMMYFUNCTION("""COMPUTED_VALUE"""),94555.0)</f>
        <v>94555</v>
      </c>
      <c r="I2724" s="175" t="str">
        <f>IFERROR(__xludf.DUMMYFUNCTION("""COMPUTED_VALUE"""),"10/18")</f>
        <v>10/18</v>
      </c>
      <c r="J2724" s="172">
        <f>IFERROR(__xludf.DUMMYFUNCTION("""COMPUTED_VALUE"""),43407.0)</f>
        <v>43407</v>
      </c>
      <c r="K2724" s="176">
        <f>IFERROR(__xludf.DUMMYFUNCTION("""COMPUTED_VALUE"""),99.0)</f>
        <v>99</v>
      </c>
      <c r="L2724" s="176">
        <f>IFERROR(__xludf.DUMMYFUNCTION("""COMPUTED_VALUE"""),26.0)</f>
        <v>26</v>
      </c>
      <c r="M2724" s="176">
        <f>IFERROR(__xludf.DUMMYFUNCTION("""COMPUTED_VALUE"""),125.0)</f>
        <v>125</v>
      </c>
      <c r="N2724" s="177" t="str">
        <f>IFERROR(__xludf.DUMMYFUNCTION("""COMPUTED_VALUE"""),"Model 3 LR AWD")</f>
        <v>Model 3 LR AWD</v>
      </c>
      <c r="O2724" s="177" t="str">
        <f>IFERROR(__xludf.DUMMYFUNCTION("""COMPUTED_VALUE"""),"Deep Blue Metallic")</f>
        <v>Deep Blue Metallic</v>
      </c>
      <c r="P2724" s="178" t="str">
        <f>IFERROR(__xludf.DUMMYFUNCTION("""COMPUTED_VALUE"""),"18 inch Aero")</f>
        <v>18 inch Aero</v>
      </c>
      <c r="Q2724" s="177" t="str">
        <f>IFERROR(__xludf.DUMMYFUNCTION("""COMPUTED_VALUE"""),"Black seats")</f>
        <v>Black seats</v>
      </c>
      <c r="R2724" s="170" t="str">
        <f>IFERROR(__xludf.DUMMYFUNCTION("""COMPUTED_VALUE"""),"Enhanced Autopilot")</f>
        <v>Enhanced Autopilot</v>
      </c>
      <c r="S2724" s="170"/>
      <c r="T2724" s="179"/>
      <c r="U2724" s="179"/>
      <c r="V2724" s="179"/>
      <c r="W2724" s="180"/>
      <c r="X2724" s="181" t="str">
        <f>IFERROR(__xludf.DUMMYFUNCTION("""COMPUTED_VALUE"""),"Excellent")</f>
        <v>Excellent</v>
      </c>
      <c r="Y2724" s="182" t="str">
        <f>IFERROR(__xludf.DUMMYFUNCTION("""COMPUTED_VALUE"""),"Excellent")</f>
        <v>Excellent</v>
      </c>
      <c r="Z2724" s="182" t="str">
        <f>IFERROR(__xludf.DUMMYFUNCTION("""COMPUTED_VALUE"""),"Excellent")</f>
        <v>Excellent</v>
      </c>
      <c r="AA2724" s="182" t="str">
        <f>IFERROR(__xludf.DUMMYFUNCTION("""COMPUTED_VALUE"""),"Good")</f>
        <v>Good</v>
      </c>
      <c r="AB2724" s="182" t="str">
        <f>IFERROR(__xludf.DUMMYFUNCTION("""COMPUTED_VALUE"""),"Poor")</f>
        <v>Poor</v>
      </c>
      <c r="AC2724" s="183"/>
      <c r="AD2724" s="183"/>
      <c r="AE2724" s="183"/>
      <c r="AF2724" s="184"/>
      <c r="AG2724" s="180"/>
      <c r="AH2724" s="185">
        <f>IFERROR(__xludf.DUMMYFUNCTION("""COMPUTED_VALUE"""),43410.83918837963)</f>
        <v>43410.83919</v>
      </c>
      <c r="AI2724" s="182"/>
      <c r="AJ2724" s="182"/>
      <c r="AK2724" s="182"/>
      <c r="AL2724" s="182"/>
    </row>
    <row r="2725" ht="20.25" customHeight="1">
      <c r="A2725" s="169" t="str">
        <f>IFERROR(__xludf.DUMMYFUNCTION("""COMPUTED_VALUE"""),"viperdriver69")</f>
        <v>viperdriver69</v>
      </c>
      <c r="B2725" s="170" t="str">
        <f>IFERROR(__xludf.DUMMYFUNCTION("""COMPUTED_VALUE"""),"SLC")</f>
        <v>SLC</v>
      </c>
      <c r="C2725" s="170" t="str">
        <f>IFERROR(__xludf.DUMMYFUNCTION("""COMPUTED_VALUE"""),"UT")</f>
        <v>UT</v>
      </c>
      <c r="D2725" s="170" t="str">
        <f>IFERROR(__xludf.DUMMYFUNCTION("""COMPUTED_VALUE"""),"USA")</f>
        <v>USA</v>
      </c>
      <c r="E2725" s="171">
        <f>IFERROR(__xludf.DUMMYFUNCTION("""COMPUTED_VALUE"""),43282.0)</f>
        <v>43282</v>
      </c>
      <c r="F2725" s="172">
        <f>IFERROR(__xludf.DUMMYFUNCTION("""COMPUTED_VALUE"""),43368.0)</f>
        <v>43368</v>
      </c>
      <c r="G2725" s="173"/>
      <c r="H2725" s="174">
        <f>IFERROR(__xludf.DUMMYFUNCTION("""COMPUTED_VALUE"""),89770.0)</f>
        <v>89770</v>
      </c>
      <c r="I2725" s="175"/>
      <c r="J2725" s="172">
        <f>IFERROR(__xludf.DUMMYFUNCTION("""COMPUTED_VALUE"""),43372.0)</f>
        <v>43372</v>
      </c>
      <c r="K2725" s="176">
        <f>IFERROR(__xludf.DUMMYFUNCTION("""COMPUTED_VALUE"""),86.0)</f>
        <v>86</v>
      </c>
      <c r="L2725" s="176">
        <f>IFERROR(__xludf.DUMMYFUNCTION("""COMPUTED_VALUE"""),4.0)</f>
        <v>4</v>
      </c>
      <c r="M2725" s="176">
        <f>IFERROR(__xludf.DUMMYFUNCTION("""COMPUTED_VALUE"""),90.0)</f>
        <v>90</v>
      </c>
      <c r="N2725" s="177" t="str">
        <f>IFERROR(__xludf.DUMMYFUNCTION("""COMPUTED_VALUE"""),"Model 3 LR AWD")</f>
        <v>Model 3 LR AWD</v>
      </c>
      <c r="O2725" s="177" t="str">
        <f>IFERROR(__xludf.DUMMYFUNCTION("""COMPUTED_VALUE"""),"Midnight Silver Metallic")</f>
        <v>Midnight Silver Metallic</v>
      </c>
      <c r="P2725" s="178" t="str">
        <f>IFERROR(__xludf.DUMMYFUNCTION("""COMPUTED_VALUE"""),"18 inch Aero")</f>
        <v>18 inch Aero</v>
      </c>
      <c r="Q2725" s="177" t="str">
        <f>IFERROR(__xludf.DUMMYFUNCTION("""COMPUTED_VALUE"""),"Black seats")</f>
        <v>Black seats</v>
      </c>
      <c r="R2725" s="170" t="str">
        <f>IFERROR(__xludf.DUMMYFUNCTION("""COMPUTED_VALUE"""),"Enhanced Autopilot")</f>
        <v>Enhanced Autopilot</v>
      </c>
      <c r="S2725" s="170"/>
      <c r="T2725" s="179"/>
      <c r="U2725" s="179"/>
      <c r="V2725" s="179"/>
      <c r="W2725" s="180"/>
      <c r="X2725" s="181" t="str">
        <f>IFERROR(__xludf.DUMMYFUNCTION("""COMPUTED_VALUE"""),"Excellent")</f>
        <v>Excellent</v>
      </c>
      <c r="Y2725" s="182" t="str">
        <f>IFERROR(__xludf.DUMMYFUNCTION("""COMPUTED_VALUE"""),"Excellent")</f>
        <v>Excellent</v>
      </c>
      <c r="Z2725" s="182" t="str">
        <f>IFERROR(__xludf.DUMMYFUNCTION("""COMPUTED_VALUE"""),"Excellent")</f>
        <v>Excellent</v>
      </c>
      <c r="AA2725" s="182" t="str">
        <f>IFERROR(__xludf.DUMMYFUNCTION("""COMPUTED_VALUE"""),"Fair")</f>
        <v>Fair</v>
      </c>
      <c r="AB2725" s="182" t="str">
        <f>IFERROR(__xludf.DUMMYFUNCTION("""COMPUTED_VALUE"""),"Good")</f>
        <v>Good</v>
      </c>
      <c r="AC2725" s="183">
        <f>IFERROR(__xludf.DUMMYFUNCTION("""COMPUTED_VALUE"""),2.0)</f>
        <v>2</v>
      </c>
      <c r="AD2725" s="183">
        <f>IFERROR(__xludf.DUMMYFUNCTION("""COMPUTED_VALUE"""),0.0)</f>
        <v>0</v>
      </c>
      <c r="AE2725" s="183">
        <f>IFERROR(__xludf.DUMMYFUNCTION("""COMPUTED_VALUE"""),0.0)</f>
        <v>0</v>
      </c>
      <c r="AF2725" s="184"/>
      <c r="AG2725" s="180"/>
      <c r="AH2725" s="185">
        <f>IFERROR(__xludf.DUMMYFUNCTION("""COMPUTED_VALUE"""),43374.96511777778)</f>
        <v>43374.96512</v>
      </c>
      <c r="AI2725" s="182"/>
      <c r="AJ2725" s="182"/>
      <c r="AK2725" s="182"/>
      <c r="AL2725" s="182"/>
    </row>
    <row r="2726" ht="20.25" customHeight="1">
      <c r="A2726" s="169" t="str">
        <f>IFERROR(__xludf.DUMMYFUNCTION("""COMPUTED_VALUE"""),"vkapadia")</f>
        <v>vkapadia</v>
      </c>
      <c r="B2726" s="170" t="str">
        <f>IFERROR(__xludf.DUMMYFUNCTION("""COMPUTED_VALUE"""),"Seattle")</f>
        <v>Seattle</v>
      </c>
      <c r="C2726" s="170" t="str">
        <f>IFERROR(__xludf.DUMMYFUNCTION("""COMPUTED_VALUE"""),"WA")</f>
        <v>WA</v>
      </c>
      <c r="D2726" s="170" t="str">
        <f>IFERROR(__xludf.DUMMYFUNCTION("""COMPUTED_VALUE"""),"USA")</f>
        <v>USA</v>
      </c>
      <c r="E2726" s="171">
        <f>IFERROR(__xludf.DUMMYFUNCTION("""COMPUTED_VALUE"""),43282.0)</f>
        <v>43282</v>
      </c>
      <c r="F2726" s="172">
        <f>IFERROR(__xludf.DUMMYFUNCTION("""COMPUTED_VALUE"""),43368.0)</f>
        <v>43368</v>
      </c>
      <c r="G2726" s="173"/>
      <c r="H2726" s="174">
        <f>IFERROR(__xludf.DUMMYFUNCTION("""COMPUTED_VALUE"""),114925.0)</f>
        <v>114925</v>
      </c>
      <c r="I2726" s="175" t="str">
        <f>IFERROR(__xludf.DUMMYFUNCTION("""COMPUTED_VALUE"""),"09/18")</f>
        <v>09/18</v>
      </c>
      <c r="J2726" s="172">
        <f>IFERROR(__xludf.DUMMYFUNCTION("""COMPUTED_VALUE"""),43373.0)</f>
        <v>43373</v>
      </c>
      <c r="K2726" s="176">
        <f>IFERROR(__xludf.DUMMYFUNCTION("""COMPUTED_VALUE"""),86.0)</f>
        <v>86</v>
      </c>
      <c r="L2726" s="176">
        <f>IFERROR(__xludf.DUMMYFUNCTION("""COMPUTED_VALUE"""),5.0)</f>
        <v>5</v>
      </c>
      <c r="M2726" s="176">
        <f>IFERROR(__xludf.DUMMYFUNCTION("""COMPUTED_VALUE"""),91.0)</f>
        <v>91</v>
      </c>
      <c r="N2726" s="177" t="str">
        <f>IFERROR(__xludf.DUMMYFUNCTION("""COMPUTED_VALUE"""),"Model 3 LR AWD")</f>
        <v>Model 3 LR AWD</v>
      </c>
      <c r="O2726" s="177" t="str">
        <f>IFERROR(__xludf.DUMMYFUNCTION("""COMPUTED_VALUE"""),"Deep Blue Metallic")</f>
        <v>Deep Blue Metallic</v>
      </c>
      <c r="P2726" s="178" t="str">
        <f>IFERROR(__xludf.DUMMYFUNCTION("""COMPUTED_VALUE"""),"18 inch Aero")</f>
        <v>18 inch Aero</v>
      </c>
      <c r="Q2726" s="177" t="str">
        <f>IFERROR(__xludf.DUMMYFUNCTION("""COMPUTED_VALUE"""),"Black seats")</f>
        <v>Black seats</v>
      </c>
      <c r="R2726" s="170" t="str">
        <f>IFERROR(__xludf.DUMMYFUNCTION("""COMPUTED_VALUE"""),"Full Self-Driving")</f>
        <v>Full Self-Driving</v>
      </c>
      <c r="S2726" s="170"/>
      <c r="T2726" s="179"/>
      <c r="U2726" s="179"/>
      <c r="V2726" s="179"/>
      <c r="W2726" s="180"/>
      <c r="X2726" s="181" t="str">
        <f>IFERROR(__xludf.DUMMYFUNCTION("""COMPUTED_VALUE"""),"Very Good")</f>
        <v>Very Good</v>
      </c>
      <c r="Y2726" s="182" t="str">
        <f>IFERROR(__xludf.DUMMYFUNCTION("""COMPUTED_VALUE"""),"Excellent")</f>
        <v>Excellent</v>
      </c>
      <c r="Z2726" s="182" t="str">
        <f>IFERROR(__xludf.DUMMYFUNCTION("""COMPUTED_VALUE"""),"Excellent")</f>
        <v>Excellent</v>
      </c>
      <c r="AA2726" s="182" t="str">
        <f>IFERROR(__xludf.DUMMYFUNCTION("""COMPUTED_VALUE"""),"Good")</f>
        <v>Good</v>
      </c>
      <c r="AB2726" s="182" t="str">
        <f>IFERROR(__xludf.DUMMYFUNCTION("""COMPUTED_VALUE"""),"Excellent")</f>
        <v>Excellent</v>
      </c>
      <c r="AC2726" s="183">
        <f>IFERROR(__xludf.DUMMYFUNCTION("""COMPUTED_VALUE"""),3.0)</f>
        <v>3</v>
      </c>
      <c r="AD2726" s="183">
        <f>IFERROR(__xludf.DUMMYFUNCTION("""COMPUTED_VALUE"""),0.0)</f>
        <v>0</v>
      </c>
      <c r="AE2726" s="183">
        <f>IFERROR(__xludf.DUMMYFUNCTION("""COMPUTED_VALUE"""),0.0)</f>
        <v>0</v>
      </c>
      <c r="AF2726" s="184"/>
      <c r="AG2726" s="180" t="str">
        <f>IFERROR(__xludf.DUMMYFUNCTION("""COMPUTED_VALUE"""),"Love my car!")</f>
        <v>Love my car!</v>
      </c>
      <c r="AH2726" s="185">
        <f>IFERROR(__xludf.DUMMYFUNCTION("""COMPUTED_VALUE"""),43411.36642552083)</f>
        <v>43411.36643</v>
      </c>
      <c r="AI2726" s="182"/>
      <c r="AJ2726" s="182"/>
      <c r="AK2726" s="182"/>
      <c r="AL2726" s="182"/>
    </row>
    <row r="2727" ht="20.25" customHeight="1">
      <c r="A2727" s="169" t="str">
        <f>IFERROR(__xludf.DUMMYFUNCTION("""COMPUTED_VALUE"""),"zzz")</f>
        <v>zzz</v>
      </c>
      <c r="B2727" s="170"/>
      <c r="C2727" s="170" t="str">
        <f>IFERROR(__xludf.DUMMYFUNCTION("""COMPUTED_VALUE"""),"CA")</f>
        <v>CA</v>
      </c>
      <c r="D2727" s="170" t="str">
        <f>IFERROR(__xludf.DUMMYFUNCTION("""COMPUTED_VALUE"""),"USA")</f>
        <v>USA</v>
      </c>
      <c r="E2727" s="171">
        <f>IFERROR(__xludf.DUMMYFUNCTION("""COMPUTED_VALUE"""),43282.0)</f>
        <v>43282</v>
      </c>
      <c r="F2727" s="172">
        <f>IFERROR(__xludf.DUMMYFUNCTION("""COMPUTED_VALUE"""),43286.0)</f>
        <v>43286</v>
      </c>
      <c r="G2727" s="173"/>
      <c r="H2727" s="174">
        <f>IFERROR(__xludf.DUMMYFUNCTION("""COMPUTED_VALUE"""),40655.0)</f>
        <v>40655</v>
      </c>
      <c r="I2727" s="175" t="str">
        <f>IFERROR(__xludf.DUMMYFUNCTION("""COMPUTED_VALUE"""),"05/18")</f>
        <v>05/18</v>
      </c>
      <c r="J2727" s="172">
        <f>IFERROR(__xludf.DUMMYFUNCTION("""COMPUTED_VALUE"""),43297.0)</f>
        <v>43297</v>
      </c>
      <c r="K2727" s="176">
        <f>IFERROR(__xludf.DUMMYFUNCTION("""COMPUTED_VALUE"""),4.0)</f>
        <v>4</v>
      </c>
      <c r="L2727" s="176">
        <f>IFERROR(__xludf.DUMMYFUNCTION("""COMPUTED_VALUE"""),11.0)</f>
        <v>11</v>
      </c>
      <c r="M2727" s="176">
        <f>IFERROR(__xludf.DUMMYFUNCTION("""COMPUTED_VALUE"""),15.0)</f>
        <v>15</v>
      </c>
      <c r="N2727" s="177" t="str">
        <f>IFERROR(__xludf.DUMMYFUNCTION("""COMPUTED_VALUE"""),"Model 3 LR")</f>
        <v>Model 3 LR</v>
      </c>
      <c r="O2727" s="177" t="str">
        <f>IFERROR(__xludf.DUMMYFUNCTION("""COMPUTED_VALUE"""),"Solid Black")</f>
        <v>Solid Black</v>
      </c>
      <c r="P2727" s="178" t="str">
        <f>IFERROR(__xludf.DUMMYFUNCTION("""COMPUTED_VALUE"""),"18 inch Aero")</f>
        <v>18 inch Aero</v>
      </c>
      <c r="Q2727" s="177" t="str">
        <f>IFERROR(__xludf.DUMMYFUNCTION("""COMPUTED_VALUE"""),"Black seats")</f>
        <v>Black seats</v>
      </c>
      <c r="R2727" s="170" t="str">
        <f>IFERROR(__xludf.DUMMYFUNCTION("""COMPUTED_VALUE"""),"Enhanced Autopilot")</f>
        <v>Enhanced Autopilot</v>
      </c>
      <c r="S2727" s="170"/>
      <c r="T2727" s="179"/>
      <c r="U2727" s="179"/>
      <c r="V2727" s="179"/>
      <c r="W2727" s="180"/>
      <c r="X2727" s="181" t="str">
        <f>IFERROR(__xludf.DUMMYFUNCTION("""COMPUTED_VALUE"""),"Excellent")</f>
        <v>Excellent</v>
      </c>
      <c r="Y2727" s="182" t="str">
        <f>IFERROR(__xludf.DUMMYFUNCTION("""COMPUTED_VALUE"""),"Excellent")</f>
        <v>Excellent</v>
      </c>
      <c r="Z2727" s="182" t="str">
        <f>IFERROR(__xludf.DUMMYFUNCTION("""COMPUTED_VALUE"""),"Excellent")</f>
        <v>Excellent</v>
      </c>
      <c r="AA2727" s="182" t="str">
        <f>IFERROR(__xludf.DUMMYFUNCTION("""COMPUTED_VALUE"""),"Excellent")</f>
        <v>Excellent</v>
      </c>
      <c r="AB2727" s="182" t="str">
        <f>IFERROR(__xludf.DUMMYFUNCTION("""COMPUTED_VALUE"""),"Excellent")</f>
        <v>Excellent</v>
      </c>
      <c r="AC2727" s="183">
        <f>IFERROR(__xludf.DUMMYFUNCTION("""COMPUTED_VALUE"""),0.0)</f>
        <v>0</v>
      </c>
      <c r="AD2727" s="183">
        <f>IFERROR(__xludf.DUMMYFUNCTION("""COMPUTED_VALUE"""),0.0)</f>
        <v>0</v>
      </c>
      <c r="AE2727" s="183">
        <f>IFERROR(__xludf.DUMMYFUNCTION("""COMPUTED_VALUE"""),0.0)</f>
        <v>0</v>
      </c>
      <c r="AF2727" s="184"/>
      <c r="AG2727" s="180"/>
      <c r="AH2727" s="185">
        <f>IFERROR(__xludf.DUMMYFUNCTION("""COMPUTED_VALUE"""),43329.88235493056)</f>
        <v>43329.88235</v>
      </c>
      <c r="AI2727" s="182"/>
      <c r="AJ2727" s="182"/>
      <c r="AK2727" s="182"/>
      <c r="AL2727" s="182"/>
    </row>
    <row r="2728" ht="20.25" customHeight="1">
      <c r="A2728" s="169" t="str">
        <f>IFERROR(__xludf.DUMMYFUNCTION("""COMPUTED_VALUE"""),"AdamJWang")</f>
        <v>AdamJWang</v>
      </c>
      <c r="B2728" s="170" t="str">
        <f>IFERROR(__xludf.DUMMYFUNCTION("""COMPUTED_VALUE"""),"California")</f>
        <v>California</v>
      </c>
      <c r="C2728" s="170" t="str">
        <f>IFERROR(__xludf.DUMMYFUNCTION("""COMPUTED_VALUE"""),"CA")</f>
        <v>CA</v>
      </c>
      <c r="D2728" s="170" t="str">
        <f>IFERROR(__xludf.DUMMYFUNCTION("""COMPUTED_VALUE"""),"USA")</f>
        <v>USA</v>
      </c>
      <c r="E2728" s="171">
        <f>IFERROR(__xludf.DUMMYFUNCTION("""COMPUTED_VALUE"""),43281.0)</f>
        <v>43281</v>
      </c>
      <c r="F2728" s="172">
        <f>IFERROR(__xludf.DUMMYFUNCTION("""COMPUTED_VALUE"""),43342.0)</f>
        <v>43342</v>
      </c>
      <c r="G2728" s="173"/>
      <c r="H2728" s="174">
        <f>IFERROR(__xludf.DUMMYFUNCTION("""COMPUTED_VALUE"""),66655.0)</f>
        <v>66655</v>
      </c>
      <c r="I2728" s="175"/>
      <c r="J2728" s="172">
        <f>IFERROR(__xludf.DUMMYFUNCTION("""COMPUTED_VALUE"""),43348.0)</f>
        <v>43348</v>
      </c>
      <c r="K2728" s="176">
        <f>IFERROR(__xludf.DUMMYFUNCTION("""COMPUTED_VALUE"""),61.0)</f>
        <v>61</v>
      </c>
      <c r="L2728" s="176">
        <f>IFERROR(__xludf.DUMMYFUNCTION("""COMPUTED_VALUE"""),6.0)</f>
        <v>6</v>
      </c>
      <c r="M2728" s="176">
        <f>IFERROR(__xludf.DUMMYFUNCTION("""COMPUTED_VALUE"""),67.0)</f>
        <v>67</v>
      </c>
      <c r="N2728" s="177" t="str">
        <f>IFERROR(__xludf.DUMMYFUNCTION("""COMPUTED_VALUE"""),"Model 3 LR AWD")</f>
        <v>Model 3 LR AWD</v>
      </c>
      <c r="O2728" s="177" t="str">
        <f>IFERROR(__xludf.DUMMYFUNCTION("""COMPUTED_VALUE"""),"Midnight Silver Metallic")</f>
        <v>Midnight Silver Metallic</v>
      </c>
      <c r="P2728" s="178" t="str">
        <f>IFERROR(__xludf.DUMMYFUNCTION("""COMPUTED_VALUE"""),"18 inch Aero")</f>
        <v>18 inch Aero</v>
      </c>
      <c r="Q2728" s="177" t="str">
        <f>IFERROR(__xludf.DUMMYFUNCTION("""COMPUTED_VALUE"""),"Black seats")</f>
        <v>Black seats</v>
      </c>
      <c r="R2728" s="170" t="str">
        <f>IFERROR(__xludf.DUMMYFUNCTION("""COMPUTED_VALUE"""),"Enhanced Autopilot")</f>
        <v>Enhanced Autopilot</v>
      </c>
      <c r="S2728" s="170"/>
      <c r="T2728" s="179"/>
      <c r="U2728" s="179"/>
      <c r="V2728" s="179"/>
      <c r="W2728" s="180"/>
      <c r="X2728" s="181" t="str">
        <f>IFERROR(__xludf.DUMMYFUNCTION("""COMPUTED_VALUE"""),"Excellent")</f>
        <v>Excellent</v>
      </c>
      <c r="Y2728" s="182" t="str">
        <f>IFERROR(__xludf.DUMMYFUNCTION("""COMPUTED_VALUE"""),"Very Good")</f>
        <v>Very Good</v>
      </c>
      <c r="Z2728" s="182" t="str">
        <f>IFERROR(__xludf.DUMMYFUNCTION("""COMPUTED_VALUE"""),"Excellent")</f>
        <v>Excellent</v>
      </c>
      <c r="AA2728" s="182" t="str">
        <f>IFERROR(__xludf.DUMMYFUNCTION("""COMPUTED_VALUE"""),"Very Good")</f>
        <v>Very Good</v>
      </c>
      <c r="AB2728" s="182" t="str">
        <f>IFERROR(__xludf.DUMMYFUNCTION("""COMPUTED_VALUE"""),"Excellent")</f>
        <v>Excellent</v>
      </c>
      <c r="AC2728" s="183"/>
      <c r="AD2728" s="183"/>
      <c r="AE2728" s="183"/>
      <c r="AF2728" s="184"/>
      <c r="AG2728" s="180"/>
      <c r="AH2728" s="185">
        <f>IFERROR(__xludf.DUMMYFUNCTION("""COMPUTED_VALUE"""),43349.858072951385)</f>
        <v>43349.85807</v>
      </c>
      <c r="AI2728" s="182"/>
      <c r="AJ2728" s="182"/>
      <c r="AK2728" s="182"/>
      <c r="AL2728" s="182"/>
    </row>
    <row r="2729" ht="20.25" customHeight="1">
      <c r="A2729" s="169" t="str">
        <f>IFERROR(__xludf.DUMMYFUNCTION("""COMPUTED_VALUE"""),"antrel")</f>
        <v>antrel</v>
      </c>
      <c r="B2729" s="170" t="str">
        <f>IFERROR(__xludf.DUMMYFUNCTION("""COMPUTED_VALUE"""),"Roseville")</f>
        <v>Roseville</v>
      </c>
      <c r="C2729" s="170" t="str">
        <f>IFERROR(__xludf.DUMMYFUNCTION("""COMPUTED_VALUE"""),"CA")</f>
        <v>CA</v>
      </c>
      <c r="D2729" s="170" t="str">
        <f>IFERROR(__xludf.DUMMYFUNCTION("""COMPUTED_VALUE"""),"USA")</f>
        <v>USA</v>
      </c>
      <c r="E2729" s="171">
        <f>IFERROR(__xludf.DUMMYFUNCTION("""COMPUTED_VALUE"""),43281.0)</f>
        <v>43281</v>
      </c>
      <c r="F2729" s="172">
        <f>IFERROR(__xludf.DUMMYFUNCTION("""COMPUTED_VALUE"""),43297.0)</f>
        <v>43297</v>
      </c>
      <c r="G2729" s="173"/>
      <c r="H2729" s="174">
        <f>IFERROR(__xludf.DUMMYFUNCTION("""COMPUTED_VALUE"""),28262.0)</f>
        <v>28262</v>
      </c>
      <c r="I2729" s="175" t="str">
        <f>IFERROR(__xludf.DUMMYFUNCTION("""COMPUTED_VALUE"""),"06/18")</f>
        <v>06/18</v>
      </c>
      <c r="J2729" s="172">
        <f>IFERROR(__xludf.DUMMYFUNCTION("""COMPUTED_VALUE"""),43314.0)</f>
        <v>43314</v>
      </c>
      <c r="K2729" s="176">
        <f>IFERROR(__xludf.DUMMYFUNCTION("""COMPUTED_VALUE"""),16.0)</f>
        <v>16</v>
      </c>
      <c r="L2729" s="176">
        <f>IFERROR(__xludf.DUMMYFUNCTION("""COMPUTED_VALUE"""),17.0)</f>
        <v>17</v>
      </c>
      <c r="M2729" s="176">
        <f>IFERROR(__xludf.DUMMYFUNCTION("""COMPUTED_VALUE"""),33.0)</f>
        <v>33</v>
      </c>
      <c r="N2729" s="177" t="str">
        <f>IFERROR(__xludf.DUMMYFUNCTION("""COMPUTED_VALUE"""),"Model 3 LR")</f>
        <v>Model 3 LR</v>
      </c>
      <c r="O2729" s="177" t="str">
        <f>IFERROR(__xludf.DUMMYFUNCTION("""COMPUTED_VALUE"""),"Midnight Silver Metallic")</f>
        <v>Midnight Silver Metallic</v>
      </c>
      <c r="P2729" s="178" t="str">
        <f>IFERROR(__xludf.DUMMYFUNCTION("""COMPUTED_VALUE"""),"18 inch Aero")</f>
        <v>18 inch Aero</v>
      </c>
      <c r="Q2729" s="177" t="str">
        <f>IFERROR(__xludf.DUMMYFUNCTION("""COMPUTED_VALUE"""),"Black seats")</f>
        <v>Black seats</v>
      </c>
      <c r="R2729" s="170" t="str">
        <f>IFERROR(__xludf.DUMMYFUNCTION("""COMPUTED_VALUE"""),"Enhanced Autopilot")</f>
        <v>Enhanced Autopilot</v>
      </c>
      <c r="S2729" s="170"/>
      <c r="T2729" s="179"/>
      <c r="U2729" s="179"/>
      <c r="V2729" s="179"/>
      <c r="W2729" s="180"/>
      <c r="X2729" s="181" t="str">
        <f>IFERROR(__xludf.DUMMYFUNCTION("""COMPUTED_VALUE"""),"Excellent")</f>
        <v>Excellent</v>
      </c>
      <c r="Y2729" s="182" t="str">
        <f>IFERROR(__xludf.DUMMYFUNCTION("""COMPUTED_VALUE"""),"Excellent")</f>
        <v>Excellent</v>
      </c>
      <c r="Z2729" s="182" t="str">
        <f>IFERROR(__xludf.DUMMYFUNCTION("""COMPUTED_VALUE"""),"Excellent")</f>
        <v>Excellent</v>
      </c>
      <c r="AA2729" s="182" t="str">
        <f>IFERROR(__xludf.DUMMYFUNCTION("""COMPUTED_VALUE"""),"Very Good")</f>
        <v>Very Good</v>
      </c>
      <c r="AB2729" s="182" t="str">
        <f>IFERROR(__xludf.DUMMYFUNCTION("""COMPUTED_VALUE"""),"Good")</f>
        <v>Good</v>
      </c>
      <c r="AC2729" s="183"/>
      <c r="AD2729" s="183"/>
      <c r="AE2729" s="183"/>
      <c r="AF2729" s="184"/>
      <c r="AG2729" s="180"/>
      <c r="AH2729" s="185">
        <f>IFERROR(__xludf.DUMMYFUNCTION("""COMPUTED_VALUE"""),43314.961759687496)</f>
        <v>43314.96176</v>
      </c>
      <c r="AI2729" s="182"/>
      <c r="AJ2729" s="182"/>
      <c r="AK2729" s="182"/>
      <c r="AL2729" s="182"/>
    </row>
    <row r="2730" ht="20.25" customHeight="1">
      <c r="A2730" s="169" t="str">
        <f>IFERROR(__xludf.DUMMYFUNCTION("""COMPUTED_VALUE"""),"b0n3z")</f>
        <v>b0n3z</v>
      </c>
      <c r="B2730" s="170" t="str">
        <f>IFERROR(__xludf.DUMMYFUNCTION("""COMPUTED_VALUE"""),"Orange")</f>
        <v>Orange</v>
      </c>
      <c r="C2730" s="170" t="str">
        <f>IFERROR(__xludf.DUMMYFUNCTION("""COMPUTED_VALUE"""),"CA")</f>
        <v>CA</v>
      </c>
      <c r="D2730" s="170" t="str">
        <f>IFERROR(__xludf.DUMMYFUNCTION("""COMPUTED_VALUE"""),"USA")</f>
        <v>USA</v>
      </c>
      <c r="E2730" s="171">
        <f>IFERROR(__xludf.DUMMYFUNCTION("""COMPUTED_VALUE"""),43281.0)</f>
        <v>43281</v>
      </c>
      <c r="F2730" s="172">
        <f>IFERROR(__xludf.DUMMYFUNCTION("""COMPUTED_VALUE"""),43304.0)</f>
        <v>43304</v>
      </c>
      <c r="G2730" s="173"/>
      <c r="H2730" s="174">
        <f>IFERROR(__xludf.DUMMYFUNCTION("""COMPUTED_VALUE"""),55855.0)</f>
        <v>55855</v>
      </c>
      <c r="I2730" s="175" t="str">
        <f>IFERROR(__xludf.DUMMYFUNCTION("""COMPUTED_VALUE"""),"07/18")</f>
        <v>07/18</v>
      </c>
      <c r="J2730" s="172">
        <f>IFERROR(__xludf.DUMMYFUNCTION("""COMPUTED_VALUE"""),43309.0)</f>
        <v>43309</v>
      </c>
      <c r="K2730" s="176">
        <f>IFERROR(__xludf.DUMMYFUNCTION("""COMPUTED_VALUE"""),23.0)</f>
        <v>23</v>
      </c>
      <c r="L2730" s="176">
        <f>IFERROR(__xludf.DUMMYFUNCTION("""COMPUTED_VALUE"""),5.0)</f>
        <v>5</v>
      </c>
      <c r="M2730" s="176">
        <f>IFERROR(__xludf.DUMMYFUNCTION("""COMPUTED_VALUE"""),28.0)</f>
        <v>28</v>
      </c>
      <c r="N2730" s="177" t="str">
        <f>IFERROR(__xludf.DUMMYFUNCTION("""COMPUTED_VALUE"""),"Model 3 Performance")</f>
        <v>Model 3 Performance</v>
      </c>
      <c r="O2730" s="177" t="str">
        <f>IFERROR(__xludf.DUMMYFUNCTION("""COMPUTED_VALUE"""),"Pearl White Multi-Coat")</f>
        <v>Pearl White Multi-Coat</v>
      </c>
      <c r="P2730" s="178" t="str">
        <f>IFERROR(__xludf.DUMMYFUNCTION("""COMPUTED_VALUE"""),"20 inch Sport")</f>
        <v>20 inch Sport</v>
      </c>
      <c r="Q2730" s="177" t="str">
        <f>IFERROR(__xludf.DUMMYFUNCTION("""COMPUTED_VALUE"""),"White seats")</f>
        <v>White seats</v>
      </c>
      <c r="R2730" s="170" t="str">
        <f>IFERROR(__xludf.DUMMYFUNCTION("""COMPUTED_VALUE"""),"Enhanced Autopilot")</f>
        <v>Enhanced Autopilot</v>
      </c>
      <c r="S2730" s="170"/>
      <c r="T2730" s="179"/>
      <c r="U2730" s="179"/>
      <c r="V2730" s="179"/>
      <c r="W2730" s="180"/>
      <c r="X2730" s="181" t="str">
        <f>IFERROR(__xludf.DUMMYFUNCTION("""COMPUTED_VALUE"""),"Very Good")</f>
        <v>Very Good</v>
      </c>
      <c r="Y2730" s="182" t="str">
        <f>IFERROR(__xludf.DUMMYFUNCTION("""COMPUTED_VALUE"""),"Very Good")</f>
        <v>Very Good</v>
      </c>
      <c r="Z2730" s="182" t="str">
        <f>IFERROR(__xludf.DUMMYFUNCTION("""COMPUTED_VALUE"""),"Very Good")</f>
        <v>Very Good</v>
      </c>
      <c r="AA2730" s="182" t="str">
        <f>IFERROR(__xludf.DUMMYFUNCTION("""COMPUTED_VALUE"""),"Excellent")</f>
        <v>Excellent</v>
      </c>
      <c r="AB2730" s="182" t="str">
        <f>IFERROR(__xludf.DUMMYFUNCTION("""COMPUTED_VALUE"""),"Fair")</f>
        <v>Fair</v>
      </c>
      <c r="AC2730" s="183">
        <f>IFERROR(__xludf.DUMMYFUNCTION("""COMPUTED_VALUE"""),3.0)</f>
        <v>3</v>
      </c>
      <c r="AD2730" s="183">
        <f>IFERROR(__xludf.DUMMYFUNCTION("""COMPUTED_VALUE"""),1.0)</f>
        <v>1</v>
      </c>
      <c r="AE2730" s="183">
        <f>IFERROR(__xludf.DUMMYFUNCTION("""COMPUTED_VALUE"""),10.0)</f>
        <v>10</v>
      </c>
      <c r="AF2730" s="184"/>
      <c r="AG2730" s="180" t="str">
        <f>IFERROR(__xludf.DUMMYFUNCTION("""COMPUTED_VALUE"""),"So quick and it handles like it's on rails.")</f>
        <v>So quick and it handles like it's on rails.</v>
      </c>
      <c r="AH2730" s="185">
        <f>IFERROR(__xludf.DUMMYFUNCTION("""COMPUTED_VALUE"""),43379.397697025466)</f>
        <v>43379.3977</v>
      </c>
      <c r="AI2730" s="182"/>
      <c r="AJ2730" s="182"/>
      <c r="AK2730" s="182"/>
      <c r="AL2730" s="182"/>
    </row>
    <row r="2731" ht="20.25" customHeight="1">
      <c r="A2731" s="169" t="str">
        <f>IFERROR(__xludf.DUMMYFUNCTION("""COMPUTED_VALUE"""),"bcotesla3")</f>
        <v>bcotesla3</v>
      </c>
      <c r="B2731" s="170" t="str">
        <f>IFERROR(__xludf.DUMMYFUNCTION("""COMPUTED_VALUE"""),"Torrance")</f>
        <v>Torrance</v>
      </c>
      <c r="C2731" s="170" t="str">
        <f>IFERROR(__xludf.DUMMYFUNCTION("""COMPUTED_VALUE"""),"CA")</f>
        <v>CA</v>
      </c>
      <c r="D2731" s="170" t="str">
        <f>IFERROR(__xludf.DUMMYFUNCTION("""COMPUTED_VALUE"""),"USA")</f>
        <v>USA</v>
      </c>
      <c r="E2731" s="171">
        <f>IFERROR(__xludf.DUMMYFUNCTION("""COMPUTED_VALUE"""),43281.0)</f>
        <v>43281</v>
      </c>
      <c r="F2731" s="172">
        <f>IFERROR(__xludf.DUMMYFUNCTION("""COMPUTED_VALUE"""),43329.0)</f>
        <v>43329</v>
      </c>
      <c r="G2731" s="173"/>
      <c r="H2731" s="174">
        <f>IFERROR(__xludf.DUMMYFUNCTION("""COMPUTED_VALUE"""),70155.0)</f>
        <v>70155</v>
      </c>
      <c r="I2731" s="175"/>
      <c r="J2731" s="172">
        <f>IFERROR(__xludf.DUMMYFUNCTION("""COMPUTED_VALUE"""),43331.0)</f>
        <v>43331</v>
      </c>
      <c r="K2731" s="176">
        <f>IFERROR(__xludf.DUMMYFUNCTION("""COMPUTED_VALUE"""),48.0)</f>
        <v>48</v>
      </c>
      <c r="L2731" s="176">
        <f>IFERROR(__xludf.DUMMYFUNCTION("""COMPUTED_VALUE"""),2.0)</f>
        <v>2</v>
      </c>
      <c r="M2731" s="176">
        <f>IFERROR(__xludf.DUMMYFUNCTION("""COMPUTED_VALUE"""),50.0)</f>
        <v>50</v>
      </c>
      <c r="N2731" s="177" t="str">
        <f>IFERROR(__xludf.DUMMYFUNCTION("""COMPUTED_VALUE"""),"Model 3 LR")</f>
        <v>Model 3 LR</v>
      </c>
      <c r="O2731" s="177" t="str">
        <f>IFERROR(__xludf.DUMMYFUNCTION("""COMPUTED_VALUE"""),"Obsidian Black Metallic")</f>
        <v>Obsidian Black Metallic</v>
      </c>
      <c r="P2731" s="178" t="str">
        <f>IFERROR(__xludf.DUMMYFUNCTION("""COMPUTED_VALUE"""),"18 inch Aero")</f>
        <v>18 inch Aero</v>
      </c>
      <c r="Q2731" s="177" t="str">
        <f>IFERROR(__xludf.DUMMYFUNCTION("""COMPUTED_VALUE"""),"Black seats")</f>
        <v>Black seats</v>
      </c>
      <c r="R2731" s="170" t="str">
        <f>IFERROR(__xludf.DUMMYFUNCTION("""COMPUTED_VALUE"""),"Enhanced Autopilot")</f>
        <v>Enhanced Autopilot</v>
      </c>
      <c r="S2731" s="170"/>
      <c r="T2731" s="179"/>
      <c r="U2731" s="179"/>
      <c r="V2731" s="179"/>
      <c r="W2731" s="180"/>
      <c r="X2731" s="181" t="str">
        <f>IFERROR(__xludf.DUMMYFUNCTION("""COMPUTED_VALUE"""),"Excellent")</f>
        <v>Excellent</v>
      </c>
      <c r="Y2731" s="182" t="str">
        <f>IFERROR(__xludf.DUMMYFUNCTION("""COMPUTED_VALUE"""),"Excellent")</f>
        <v>Excellent</v>
      </c>
      <c r="Z2731" s="182" t="str">
        <f>IFERROR(__xludf.DUMMYFUNCTION("""COMPUTED_VALUE"""),"Excellent")</f>
        <v>Excellent</v>
      </c>
      <c r="AA2731" s="182" t="str">
        <f>IFERROR(__xludf.DUMMYFUNCTION("""COMPUTED_VALUE"""),"Excellent")</f>
        <v>Excellent</v>
      </c>
      <c r="AB2731" s="182" t="str">
        <f>IFERROR(__xludf.DUMMYFUNCTION("""COMPUTED_VALUE"""),"Very Good")</f>
        <v>Very Good</v>
      </c>
      <c r="AC2731" s="183">
        <f>IFERROR(__xludf.DUMMYFUNCTION("""COMPUTED_VALUE"""),0.0)</f>
        <v>0</v>
      </c>
      <c r="AD2731" s="183">
        <f>IFERROR(__xludf.DUMMYFUNCTION("""COMPUTED_VALUE"""),0.0)</f>
        <v>0</v>
      </c>
      <c r="AE2731" s="183">
        <f>IFERROR(__xludf.DUMMYFUNCTION("""COMPUTED_VALUE"""),0.0)</f>
        <v>0</v>
      </c>
      <c r="AF2731" s="184"/>
      <c r="AG2731" s="180"/>
      <c r="AH2731" s="185">
        <f>IFERROR(__xludf.DUMMYFUNCTION("""COMPUTED_VALUE"""),43334.73681810185)</f>
        <v>43334.73682</v>
      </c>
      <c r="AI2731" s="182"/>
      <c r="AJ2731" s="182"/>
      <c r="AK2731" s="182"/>
      <c r="AL2731" s="182"/>
    </row>
    <row r="2732" ht="20.25" customHeight="1">
      <c r="A2732" s="169" t="str">
        <f>IFERROR(__xludf.DUMMYFUNCTION("""COMPUTED_VALUE"""),"BK1369")</f>
        <v>BK1369</v>
      </c>
      <c r="B2732" s="170" t="str">
        <f>IFERROR(__xludf.DUMMYFUNCTION("""COMPUTED_VALUE"""),"Raleigh")</f>
        <v>Raleigh</v>
      </c>
      <c r="C2732" s="170" t="str">
        <f>IFERROR(__xludf.DUMMYFUNCTION("""COMPUTED_VALUE"""),"NC")</f>
        <v>NC</v>
      </c>
      <c r="D2732" s="170" t="str">
        <f>IFERROR(__xludf.DUMMYFUNCTION("""COMPUTED_VALUE"""),"USA")</f>
        <v>USA</v>
      </c>
      <c r="E2732" s="171">
        <f>IFERROR(__xludf.DUMMYFUNCTION("""COMPUTED_VALUE"""),43281.0)</f>
        <v>43281</v>
      </c>
      <c r="F2732" s="172">
        <f>IFERROR(__xludf.DUMMYFUNCTION("""COMPUTED_VALUE"""),43361.0)</f>
        <v>43361</v>
      </c>
      <c r="G2732" s="173"/>
      <c r="H2732" s="174">
        <f>IFERROR(__xludf.DUMMYFUNCTION("""COMPUTED_VALUE"""),69855.0)</f>
        <v>69855</v>
      </c>
      <c r="I2732" s="175" t="str">
        <f>IFERROR(__xludf.DUMMYFUNCTION("""COMPUTED_VALUE"""),"08/18")</f>
        <v>08/18</v>
      </c>
      <c r="J2732" s="172">
        <f>IFERROR(__xludf.DUMMYFUNCTION("""COMPUTED_VALUE"""),43368.0)</f>
        <v>43368</v>
      </c>
      <c r="K2732" s="176">
        <f>IFERROR(__xludf.DUMMYFUNCTION("""COMPUTED_VALUE"""),80.0)</f>
        <v>80</v>
      </c>
      <c r="L2732" s="176">
        <f>IFERROR(__xludf.DUMMYFUNCTION("""COMPUTED_VALUE"""),7.0)</f>
        <v>7</v>
      </c>
      <c r="M2732" s="176">
        <f>IFERROR(__xludf.DUMMYFUNCTION("""COMPUTED_VALUE"""),87.0)</f>
        <v>87</v>
      </c>
      <c r="N2732" s="177" t="str">
        <f>IFERROR(__xludf.DUMMYFUNCTION("""COMPUTED_VALUE"""),"Model 3 LR AWD")</f>
        <v>Model 3 LR AWD</v>
      </c>
      <c r="O2732" s="177" t="str">
        <f>IFERROR(__xludf.DUMMYFUNCTION("""COMPUTED_VALUE"""),"Midnight Silver Metallic")</f>
        <v>Midnight Silver Metallic</v>
      </c>
      <c r="P2732" s="178" t="str">
        <f>IFERROR(__xludf.DUMMYFUNCTION("""COMPUTED_VALUE"""),"18 inch Aero")</f>
        <v>18 inch Aero</v>
      </c>
      <c r="Q2732" s="177" t="str">
        <f>IFERROR(__xludf.DUMMYFUNCTION("""COMPUTED_VALUE"""),"Black seats")</f>
        <v>Black seats</v>
      </c>
      <c r="R2732" s="170" t="str">
        <f>IFERROR(__xludf.DUMMYFUNCTION("""COMPUTED_VALUE"""),"Enhanced Autopilot")</f>
        <v>Enhanced Autopilot</v>
      </c>
      <c r="S2732" s="170"/>
      <c r="T2732" s="179"/>
      <c r="U2732" s="179"/>
      <c r="V2732" s="179"/>
      <c r="W2732" s="180"/>
      <c r="X2732" s="181" t="str">
        <f>IFERROR(__xludf.DUMMYFUNCTION("""COMPUTED_VALUE"""),"Very Good")</f>
        <v>Very Good</v>
      </c>
      <c r="Y2732" s="182" t="str">
        <f>IFERROR(__xludf.DUMMYFUNCTION("""COMPUTED_VALUE"""),"Excellent")</f>
        <v>Excellent</v>
      </c>
      <c r="Z2732" s="182" t="str">
        <f>IFERROR(__xludf.DUMMYFUNCTION("""COMPUTED_VALUE"""),"Very Good")</f>
        <v>Very Good</v>
      </c>
      <c r="AA2732" s="182" t="str">
        <f>IFERROR(__xludf.DUMMYFUNCTION("""COMPUTED_VALUE"""),"Good")</f>
        <v>Good</v>
      </c>
      <c r="AB2732" s="182" t="str">
        <f>IFERROR(__xludf.DUMMYFUNCTION("""COMPUTED_VALUE"""),"Very Good")</f>
        <v>Very Good</v>
      </c>
      <c r="AC2732" s="183">
        <f>IFERROR(__xludf.DUMMYFUNCTION("""COMPUTED_VALUE"""),2.0)</f>
        <v>2</v>
      </c>
      <c r="AD2732" s="183"/>
      <c r="AE2732" s="183"/>
      <c r="AF2732" s="184"/>
      <c r="AG2732" s="180" t="str">
        <f>IFERROR(__xludf.DUMMYFUNCTION("""COMPUTED_VALUE"""),"Actual Delivery = 9/26/2018.  Chose to drive to Charlotte, NC instead of waiting for Home Delivery. ")</f>
        <v>Actual Delivery = 9/26/2018.  Chose to drive to Charlotte, NC instead of waiting for Home Delivery. </v>
      </c>
      <c r="AH2732" s="185">
        <f>IFERROR(__xludf.DUMMYFUNCTION("""COMPUTED_VALUE"""),43375.685639375)</f>
        <v>43375.68564</v>
      </c>
      <c r="AI2732" s="182"/>
      <c r="AJ2732" s="182"/>
      <c r="AK2732" s="182"/>
      <c r="AL2732" s="182"/>
    </row>
    <row r="2733" ht="20.25" customHeight="1">
      <c r="A2733" s="169" t="str">
        <f>IFERROR(__xludf.DUMMYFUNCTION("""COMPUTED_VALUE"""),"bob davis")</f>
        <v>bob davis</v>
      </c>
      <c r="B2733" s="170" t="str">
        <f>IFERROR(__xludf.DUMMYFUNCTION("""COMPUTED_VALUE"""),"exeter ")</f>
        <v>exeter </v>
      </c>
      <c r="C2733" s="170" t="str">
        <f>IFERROR(__xludf.DUMMYFUNCTION("""COMPUTED_VALUE"""),"NH")</f>
        <v>NH</v>
      </c>
      <c r="D2733" s="170" t="str">
        <f>IFERROR(__xludf.DUMMYFUNCTION("""COMPUTED_VALUE"""),"USA")</f>
        <v>USA</v>
      </c>
      <c r="E2733" s="171">
        <f>IFERROR(__xludf.DUMMYFUNCTION("""COMPUTED_VALUE"""),43281.0)</f>
        <v>43281</v>
      </c>
      <c r="F2733" s="172">
        <f>IFERROR(__xludf.DUMMYFUNCTION("""COMPUTED_VALUE"""),43252.0)</f>
        <v>43252</v>
      </c>
      <c r="G2733" s="173"/>
      <c r="H2733" s="174">
        <f>IFERROR(__xludf.DUMMYFUNCTION("""COMPUTED_VALUE"""),35255.0)</f>
        <v>35255</v>
      </c>
      <c r="I2733" s="175"/>
      <c r="J2733" s="172">
        <f>IFERROR(__xludf.DUMMYFUNCTION("""COMPUTED_VALUE"""),43299.0)</f>
        <v>43299</v>
      </c>
      <c r="K2733" s="176"/>
      <c r="L2733" s="176">
        <f>IFERROR(__xludf.DUMMYFUNCTION("""COMPUTED_VALUE"""),47.0)</f>
        <v>47</v>
      </c>
      <c r="M2733" s="176">
        <f>IFERROR(__xludf.DUMMYFUNCTION("""COMPUTED_VALUE"""),18.0)</f>
        <v>18</v>
      </c>
      <c r="N2733" s="177" t="str">
        <f>IFERROR(__xludf.DUMMYFUNCTION("""COMPUTED_VALUE"""),"Model 3 LR")</f>
        <v>Model 3 LR</v>
      </c>
      <c r="O2733" s="177" t="str">
        <f>IFERROR(__xludf.DUMMYFUNCTION("""COMPUTED_VALUE"""),"Pearl White Multi-Coat")</f>
        <v>Pearl White Multi-Coat</v>
      </c>
      <c r="P2733" s="178" t="str">
        <f>IFERROR(__xludf.DUMMYFUNCTION("""COMPUTED_VALUE"""),"18 inch Aero")</f>
        <v>18 inch Aero</v>
      </c>
      <c r="Q2733" s="177"/>
      <c r="R2733" s="170" t="str">
        <f>IFERROR(__xludf.DUMMYFUNCTION("""COMPUTED_VALUE"""),"Enhanced Autopilot")</f>
        <v>Enhanced Autopilot</v>
      </c>
      <c r="S2733" s="170"/>
      <c r="T2733" s="179"/>
      <c r="U2733" s="179"/>
      <c r="V2733" s="179"/>
      <c r="W2733" s="180"/>
      <c r="X2733" s="181" t="str">
        <f>IFERROR(__xludf.DUMMYFUNCTION("""COMPUTED_VALUE"""),"Very Good")</f>
        <v>Very Good</v>
      </c>
      <c r="Y2733" s="182" t="str">
        <f>IFERROR(__xludf.DUMMYFUNCTION("""COMPUTED_VALUE"""),"Excellent")</f>
        <v>Excellent</v>
      </c>
      <c r="Z2733" s="182" t="str">
        <f>IFERROR(__xludf.DUMMYFUNCTION("""COMPUTED_VALUE"""),"Excellent")</f>
        <v>Excellent</v>
      </c>
      <c r="AA2733" s="182" t="str">
        <f>IFERROR(__xludf.DUMMYFUNCTION("""COMPUTED_VALUE"""),"Excellent")</f>
        <v>Excellent</v>
      </c>
      <c r="AB2733" s="182" t="str">
        <f>IFERROR(__xludf.DUMMYFUNCTION("""COMPUTED_VALUE"""),"Excellent")</f>
        <v>Excellent</v>
      </c>
      <c r="AC2733" s="183">
        <f>IFERROR(__xludf.DUMMYFUNCTION("""COMPUTED_VALUE"""),0.0)</f>
        <v>0</v>
      </c>
      <c r="AD2733" s="183">
        <f>IFERROR(__xludf.DUMMYFUNCTION("""COMPUTED_VALUE"""),0.0)</f>
        <v>0</v>
      </c>
      <c r="AE2733" s="183">
        <f>IFERROR(__xludf.DUMMYFUNCTION("""COMPUTED_VALUE"""),0.0)</f>
        <v>0</v>
      </c>
      <c r="AF2733" s="184"/>
      <c r="AG2733" s="180" t="str">
        <f>IFERROR(__xludf.DUMMYFUNCTION("""COMPUTED_VALUE"""),"might get a slight mismatch on height of frunk on each side. Maybe a 1/16"" difference between left and right. ")</f>
        <v>might get a slight mismatch on height of frunk on each side. Maybe a 1/16" difference between left and right. </v>
      </c>
      <c r="AH2733" s="185">
        <f>IFERROR(__xludf.DUMMYFUNCTION("""COMPUTED_VALUE"""),43334.57870582176)</f>
        <v>43334.57871</v>
      </c>
      <c r="AI2733" s="182"/>
      <c r="AJ2733" s="182"/>
      <c r="AK2733" s="182"/>
      <c r="AL2733" s="182"/>
    </row>
    <row r="2734" ht="20.25" customHeight="1">
      <c r="A2734" s="169" t="str">
        <f>IFERROR(__xludf.DUMMYFUNCTION("""COMPUTED_VALUE"""),"btp125")</f>
        <v>btp125</v>
      </c>
      <c r="B2734" s="170" t="str">
        <f>IFERROR(__xludf.DUMMYFUNCTION("""COMPUTED_VALUE"""),"Saratoga")</f>
        <v>Saratoga</v>
      </c>
      <c r="C2734" s="170" t="str">
        <f>IFERROR(__xludf.DUMMYFUNCTION("""COMPUTED_VALUE"""),"CA")</f>
        <v>CA</v>
      </c>
      <c r="D2734" s="170" t="str">
        <f>IFERROR(__xludf.DUMMYFUNCTION("""COMPUTED_VALUE"""),"USA")</f>
        <v>USA</v>
      </c>
      <c r="E2734" s="171">
        <f>IFERROR(__xludf.DUMMYFUNCTION("""COMPUTED_VALUE"""),43281.0)</f>
        <v>43281</v>
      </c>
      <c r="F2734" s="172">
        <f>IFERROR(__xludf.DUMMYFUNCTION("""COMPUTED_VALUE"""),43351.0)</f>
        <v>43351</v>
      </c>
      <c r="G2734" s="173"/>
      <c r="H2734" s="174">
        <f>IFERROR(__xludf.DUMMYFUNCTION("""COMPUTED_VALUE"""),66955.0)</f>
        <v>66955</v>
      </c>
      <c r="I2734" s="175" t="str">
        <f>IFERROR(__xludf.DUMMYFUNCTION("""COMPUTED_VALUE"""),"08/18")</f>
        <v>08/18</v>
      </c>
      <c r="J2734" s="172">
        <f>IFERROR(__xludf.DUMMYFUNCTION("""COMPUTED_VALUE"""),43351.0)</f>
        <v>43351</v>
      </c>
      <c r="K2734" s="176">
        <f>IFERROR(__xludf.DUMMYFUNCTION("""COMPUTED_VALUE"""),70.0)</f>
        <v>70</v>
      </c>
      <c r="L2734" s="176">
        <f>IFERROR(__xludf.DUMMYFUNCTION("""COMPUTED_VALUE"""),0.0)</f>
        <v>0</v>
      </c>
      <c r="M2734" s="176">
        <f>IFERROR(__xludf.DUMMYFUNCTION("""COMPUTED_VALUE"""),70.0)</f>
        <v>70</v>
      </c>
      <c r="N2734" s="177" t="str">
        <f>IFERROR(__xludf.DUMMYFUNCTION("""COMPUTED_VALUE"""),"Model 3 LR AWD")</f>
        <v>Model 3 LR AWD</v>
      </c>
      <c r="O2734" s="177" t="str">
        <f>IFERROR(__xludf.DUMMYFUNCTION("""COMPUTED_VALUE"""),"Pearl White Multi-Coat")</f>
        <v>Pearl White Multi-Coat</v>
      </c>
      <c r="P2734" s="178" t="str">
        <f>IFERROR(__xludf.DUMMYFUNCTION("""COMPUTED_VALUE"""),"18 inch Aero")</f>
        <v>18 inch Aero</v>
      </c>
      <c r="Q2734" s="177" t="str">
        <f>IFERROR(__xludf.DUMMYFUNCTION("""COMPUTED_VALUE"""),"Black seats")</f>
        <v>Black seats</v>
      </c>
      <c r="R2734" s="170" t="str">
        <f>IFERROR(__xludf.DUMMYFUNCTION("""COMPUTED_VALUE"""),"Full Self-Driving")</f>
        <v>Full Self-Driving</v>
      </c>
      <c r="S2734" s="170"/>
      <c r="T2734" s="179"/>
      <c r="U2734" s="179"/>
      <c r="V2734" s="179"/>
      <c r="W2734" s="180"/>
      <c r="X2734" s="181" t="str">
        <f>IFERROR(__xludf.DUMMYFUNCTION("""COMPUTED_VALUE"""),"Good")</f>
        <v>Good</v>
      </c>
      <c r="Y2734" s="182" t="str">
        <f>IFERROR(__xludf.DUMMYFUNCTION("""COMPUTED_VALUE"""),"Very Good")</f>
        <v>Very Good</v>
      </c>
      <c r="Z2734" s="182" t="str">
        <f>IFERROR(__xludf.DUMMYFUNCTION("""COMPUTED_VALUE"""),"Very Good")</f>
        <v>Very Good</v>
      </c>
      <c r="AA2734" s="182" t="str">
        <f>IFERROR(__xludf.DUMMYFUNCTION("""COMPUTED_VALUE"""),"Poor")</f>
        <v>Poor</v>
      </c>
      <c r="AB2734" s="182" t="str">
        <f>IFERROR(__xludf.DUMMYFUNCTION("""COMPUTED_VALUE"""),"Poor")</f>
        <v>Poor</v>
      </c>
      <c r="AC2734" s="183"/>
      <c r="AD2734" s="183"/>
      <c r="AE2734" s="183"/>
      <c r="AF2734" s="184"/>
      <c r="AG2734" s="180"/>
      <c r="AH2734" s="185">
        <f>IFERROR(__xludf.DUMMYFUNCTION("""COMPUTED_VALUE"""),43353.78563722222)</f>
        <v>43353.78564</v>
      </c>
      <c r="AI2734" s="182"/>
      <c r="AJ2734" s="182"/>
      <c r="AK2734" s="182"/>
      <c r="AL2734" s="182"/>
    </row>
    <row r="2735" ht="20.25" customHeight="1">
      <c r="A2735" s="169" t="str">
        <f>IFERROR(__xludf.DUMMYFUNCTION("""COMPUTED_VALUE"""),"CABLUE")</f>
        <v>CABLUE</v>
      </c>
      <c r="B2735" s="170" t="str">
        <f>IFERROR(__xludf.DUMMYFUNCTION("""COMPUTED_VALUE"""),"Northern CA")</f>
        <v>Northern CA</v>
      </c>
      <c r="C2735" s="170" t="str">
        <f>IFERROR(__xludf.DUMMYFUNCTION("""COMPUTED_VALUE"""),"CA")</f>
        <v>CA</v>
      </c>
      <c r="D2735" s="170" t="str">
        <f>IFERROR(__xludf.DUMMYFUNCTION("""COMPUTED_VALUE"""),"USA")</f>
        <v>USA</v>
      </c>
      <c r="E2735" s="171">
        <f>IFERROR(__xludf.DUMMYFUNCTION("""COMPUTED_VALUE"""),43281.0)</f>
        <v>43281</v>
      </c>
      <c r="F2735" s="172">
        <f>IFERROR(__xludf.DUMMYFUNCTION("""COMPUTED_VALUE"""),43385.0)</f>
        <v>43385</v>
      </c>
      <c r="G2735" s="173"/>
      <c r="H2735" s="174">
        <f>IFERROR(__xludf.DUMMYFUNCTION("""COMPUTED_VALUE"""),83397.0)</f>
        <v>83397</v>
      </c>
      <c r="I2735" s="175"/>
      <c r="J2735" s="172">
        <f>IFERROR(__xludf.DUMMYFUNCTION("""COMPUTED_VALUE"""),43386.0)</f>
        <v>43386</v>
      </c>
      <c r="K2735" s="176">
        <f>IFERROR(__xludf.DUMMYFUNCTION("""COMPUTED_VALUE"""),104.0)</f>
        <v>104</v>
      </c>
      <c r="L2735" s="176">
        <f>IFERROR(__xludf.DUMMYFUNCTION("""COMPUTED_VALUE"""),1.0)</f>
        <v>1</v>
      </c>
      <c r="M2735" s="176">
        <f>IFERROR(__xludf.DUMMYFUNCTION("""COMPUTED_VALUE"""),105.0)</f>
        <v>105</v>
      </c>
      <c r="N2735" s="177" t="str">
        <f>IFERROR(__xludf.DUMMYFUNCTION("""COMPUTED_VALUE"""),"Model 3 Performance")</f>
        <v>Model 3 Performance</v>
      </c>
      <c r="O2735" s="177" t="str">
        <f>IFERROR(__xludf.DUMMYFUNCTION("""COMPUTED_VALUE"""),"Silver Metallic")</f>
        <v>Silver Metallic</v>
      </c>
      <c r="P2735" s="178" t="str">
        <f>IFERROR(__xludf.DUMMYFUNCTION("""COMPUTED_VALUE"""),"20 inch Sport")</f>
        <v>20 inch Sport</v>
      </c>
      <c r="Q2735" s="177" t="str">
        <f>IFERROR(__xludf.DUMMYFUNCTION("""COMPUTED_VALUE"""),"Black seats")</f>
        <v>Black seats</v>
      </c>
      <c r="R2735" s="170" t="str">
        <f>IFERROR(__xludf.DUMMYFUNCTION("""COMPUTED_VALUE"""),"Enhanced Autopilot")</f>
        <v>Enhanced Autopilot</v>
      </c>
      <c r="S2735" s="170"/>
      <c r="T2735" s="179"/>
      <c r="U2735" s="179"/>
      <c r="V2735" s="179"/>
      <c r="W2735" s="180"/>
      <c r="X2735" s="181" t="str">
        <f>IFERROR(__xludf.DUMMYFUNCTION("""COMPUTED_VALUE"""),"Excellent")</f>
        <v>Excellent</v>
      </c>
      <c r="Y2735" s="182" t="str">
        <f>IFERROR(__xludf.DUMMYFUNCTION("""COMPUTED_VALUE"""),"Excellent")</f>
        <v>Excellent</v>
      </c>
      <c r="Z2735" s="182" t="str">
        <f>IFERROR(__xludf.DUMMYFUNCTION("""COMPUTED_VALUE"""),"Excellent")</f>
        <v>Excellent</v>
      </c>
      <c r="AA2735" s="182" t="str">
        <f>IFERROR(__xludf.DUMMYFUNCTION("""COMPUTED_VALUE"""),"Poor")</f>
        <v>Poor</v>
      </c>
      <c r="AB2735" s="182" t="str">
        <f>IFERROR(__xludf.DUMMYFUNCTION("""COMPUTED_VALUE"""),"Fair")</f>
        <v>Fair</v>
      </c>
      <c r="AC2735" s="183"/>
      <c r="AD2735" s="183">
        <f>IFERROR(__xludf.DUMMYFUNCTION("""COMPUTED_VALUE"""),1.0)</f>
        <v>1</v>
      </c>
      <c r="AE2735" s="183"/>
      <c r="AF2735" s="184"/>
      <c r="AG2735" s="180" t="str">
        <f>IFERROR(__xludf.DUMMYFUNCTION("""COMPUTED_VALUE"""),"Autopilot was not there as it should have been.  Three error messages on day 3, before 100 miles.  In shop now, day 3.  Not too concerned though.")</f>
        <v>Autopilot was not there as it should have been.  Three error messages on day 3, before 100 miles.  In shop now, day 3.  Not too concerned though.</v>
      </c>
      <c r="AH2735" s="185">
        <f>IFERROR(__xludf.DUMMYFUNCTION("""COMPUTED_VALUE"""),43388.6047482986)</f>
        <v>43388.60475</v>
      </c>
      <c r="AI2735" s="182"/>
      <c r="AJ2735" s="182"/>
      <c r="AK2735" s="182"/>
      <c r="AL2735" s="182"/>
    </row>
    <row r="2736" ht="20.25" customHeight="1">
      <c r="A2736" s="169" t="str">
        <f>IFERROR(__xludf.DUMMYFUNCTION("""COMPUTED_VALUE"""),"cdeleo")</f>
        <v>cdeleo</v>
      </c>
      <c r="B2736" s="170" t="str">
        <f>IFERROR(__xludf.DUMMYFUNCTION("""COMPUTED_VALUE"""),"Rochester")</f>
        <v>Rochester</v>
      </c>
      <c r="C2736" s="170" t="str">
        <f>IFERROR(__xludf.DUMMYFUNCTION("""COMPUTED_VALUE"""),"NY")</f>
        <v>NY</v>
      </c>
      <c r="D2736" s="170" t="str">
        <f>IFERROR(__xludf.DUMMYFUNCTION("""COMPUTED_VALUE"""),"USA")</f>
        <v>USA</v>
      </c>
      <c r="E2736" s="171">
        <f>IFERROR(__xludf.DUMMYFUNCTION("""COMPUTED_VALUE"""),43281.0)</f>
        <v>43281</v>
      </c>
      <c r="F2736" s="172">
        <f>IFERROR(__xludf.DUMMYFUNCTION("""COMPUTED_VALUE"""),43418.0)</f>
        <v>43418</v>
      </c>
      <c r="G2736" s="173"/>
      <c r="H2736" s="174">
        <f>IFERROR(__xludf.DUMMYFUNCTION("""COMPUTED_VALUE"""),113355.0)</f>
        <v>113355</v>
      </c>
      <c r="I2736" s="175" t="str">
        <f>IFERROR(__xludf.DUMMYFUNCTION("""COMPUTED_VALUE"""),"10/18")</f>
        <v>10/18</v>
      </c>
      <c r="J2736" s="172">
        <f>IFERROR(__xludf.DUMMYFUNCTION("""COMPUTED_VALUE"""),43423.0)</f>
        <v>43423</v>
      </c>
      <c r="K2736" s="176">
        <f>IFERROR(__xludf.DUMMYFUNCTION("""COMPUTED_VALUE"""),137.0)</f>
        <v>137</v>
      </c>
      <c r="L2736" s="176">
        <f>IFERROR(__xludf.DUMMYFUNCTION("""COMPUTED_VALUE"""),5.0)</f>
        <v>5</v>
      </c>
      <c r="M2736" s="176">
        <f>IFERROR(__xludf.DUMMYFUNCTION("""COMPUTED_VALUE"""),142.0)</f>
        <v>142</v>
      </c>
      <c r="N2736" s="177" t="str">
        <f>IFERROR(__xludf.DUMMYFUNCTION("""COMPUTED_VALUE"""),"Model 3 LR AWD")</f>
        <v>Model 3 LR AWD</v>
      </c>
      <c r="O2736" s="177" t="str">
        <f>IFERROR(__xludf.DUMMYFUNCTION("""COMPUTED_VALUE"""),"Silver Metallic")</f>
        <v>Silver Metallic</v>
      </c>
      <c r="P2736" s="178" t="str">
        <f>IFERROR(__xludf.DUMMYFUNCTION("""COMPUTED_VALUE"""),"18 inch Aero")</f>
        <v>18 inch Aero</v>
      </c>
      <c r="Q2736" s="177" t="str">
        <f>IFERROR(__xludf.DUMMYFUNCTION("""COMPUTED_VALUE"""),"Black seats")</f>
        <v>Black seats</v>
      </c>
      <c r="R2736" s="170" t="str">
        <f>IFERROR(__xludf.DUMMYFUNCTION("""COMPUTED_VALUE"""),"None")</f>
        <v>None</v>
      </c>
      <c r="S2736" s="170"/>
      <c r="T2736" s="179"/>
      <c r="U2736" s="179"/>
      <c r="V2736" s="179"/>
      <c r="W2736" s="180"/>
      <c r="X2736" s="181" t="str">
        <f>IFERROR(__xludf.DUMMYFUNCTION("""COMPUTED_VALUE"""),"Very Good")</f>
        <v>Very Good</v>
      </c>
      <c r="Y2736" s="182" t="str">
        <f>IFERROR(__xludf.DUMMYFUNCTION("""COMPUTED_VALUE"""),"Excellent")</f>
        <v>Excellent</v>
      </c>
      <c r="Z2736" s="182" t="str">
        <f>IFERROR(__xludf.DUMMYFUNCTION("""COMPUTED_VALUE"""),"Excellent")</f>
        <v>Excellent</v>
      </c>
      <c r="AA2736" s="182" t="str">
        <f>IFERROR(__xludf.DUMMYFUNCTION("""COMPUTED_VALUE"""),"Good")</f>
        <v>Good</v>
      </c>
      <c r="AB2736" s="182" t="str">
        <f>IFERROR(__xludf.DUMMYFUNCTION("""COMPUTED_VALUE"""),"Very Good")</f>
        <v>Very Good</v>
      </c>
      <c r="AC2736" s="183"/>
      <c r="AD2736" s="183"/>
      <c r="AE2736" s="183"/>
      <c r="AF2736" s="184"/>
      <c r="AG2736" s="180"/>
      <c r="AH2736" s="185">
        <f>IFERROR(__xludf.DUMMYFUNCTION("""COMPUTED_VALUE"""),43424.81850064815)</f>
        <v>43424.8185</v>
      </c>
      <c r="AI2736" s="182"/>
      <c r="AJ2736" s="182"/>
      <c r="AK2736" s="182"/>
      <c r="AL2736" s="182"/>
    </row>
    <row r="2737" ht="20.25" customHeight="1">
      <c r="A2737" s="169" t="str">
        <f>IFERROR(__xludf.DUMMYFUNCTION("""COMPUTED_VALUE"""),"Chak")</f>
        <v>Chak</v>
      </c>
      <c r="B2737" s="170" t="str">
        <f>IFERROR(__xludf.DUMMYFUNCTION("""COMPUTED_VALUE"""),"Richmond")</f>
        <v>Richmond</v>
      </c>
      <c r="C2737" s="170" t="str">
        <f>IFERROR(__xludf.DUMMYFUNCTION("""COMPUTED_VALUE"""),"VA")</f>
        <v>VA</v>
      </c>
      <c r="D2737" s="170" t="str">
        <f>IFERROR(__xludf.DUMMYFUNCTION("""COMPUTED_VALUE"""),"USA")</f>
        <v>USA</v>
      </c>
      <c r="E2737" s="171">
        <f>IFERROR(__xludf.DUMMYFUNCTION("""COMPUTED_VALUE"""),43281.0)</f>
        <v>43281</v>
      </c>
      <c r="F2737" s="172">
        <f>IFERROR(__xludf.DUMMYFUNCTION("""COMPUTED_VALUE"""),43332.0)</f>
        <v>43332</v>
      </c>
      <c r="G2737" s="173"/>
      <c r="H2737" s="174">
        <f>IFERROR(__xludf.DUMMYFUNCTION("""COMPUTED_VALUE"""),54555.0)</f>
        <v>54555</v>
      </c>
      <c r="I2737" s="175" t="str">
        <f>IFERROR(__xludf.DUMMYFUNCTION("""COMPUTED_VALUE"""),"08/18")</f>
        <v>08/18</v>
      </c>
      <c r="J2737" s="172">
        <f>IFERROR(__xludf.DUMMYFUNCTION("""COMPUTED_VALUE"""),43353.0)</f>
        <v>43353</v>
      </c>
      <c r="K2737" s="176">
        <f>IFERROR(__xludf.DUMMYFUNCTION("""COMPUTED_VALUE"""),51.0)</f>
        <v>51</v>
      </c>
      <c r="L2737" s="176">
        <f>IFERROR(__xludf.DUMMYFUNCTION("""COMPUTED_VALUE"""),21.0)</f>
        <v>21</v>
      </c>
      <c r="M2737" s="176">
        <f>IFERROR(__xludf.DUMMYFUNCTION("""COMPUTED_VALUE"""),72.0)</f>
        <v>72</v>
      </c>
      <c r="N2737" s="177" t="str">
        <f>IFERROR(__xludf.DUMMYFUNCTION("""COMPUTED_VALUE"""),"Model 3 LR AWD")</f>
        <v>Model 3 LR AWD</v>
      </c>
      <c r="O2737" s="177" t="str">
        <f>IFERROR(__xludf.DUMMYFUNCTION("""COMPUTED_VALUE"""),"Red Multi-Coat")</f>
        <v>Red Multi-Coat</v>
      </c>
      <c r="P2737" s="178" t="str">
        <f>IFERROR(__xludf.DUMMYFUNCTION("""COMPUTED_VALUE"""),"18 inch Aero")</f>
        <v>18 inch Aero</v>
      </c>
      <c r="Q2737" s="177" t="str">
        <f>IFERROR(__xludf.DUMMYFUNCTION("""COMPUTED_VALUE"""),"Black seats")</f>
        <v>Black seats</v>
      </c>
      <c r="R2737" s="170" t="str">
        <f>IFERROR(__xludf.DUMMYFUNCTION("""COMPUTED_VALUE"""),"Enhanced Autopilot")</f>
        <v>Enhanced Autopilot</v>
      </c>
      <c r="S2737" s="170"/>
      <c r="T2737" s="179"/>
      <c r="U2737" s="179"/>
      <c r="V2737" s="179"/>
      <c r="W2737" s="180"/>
      <c r="X2737" s="181" t="str">
        <f>IFERROR(__xludf.DUMMYFUNCTION("""COMPUTED_VALUE"""),"Very Good")</f>
        <v>Very Good</v>
      </c>
      <c r="Y2737" s="182" t="str">
        <f>IFERROR(__xludf.DUMMYFUNCTION("""COMPUTED_VALUE"""),"Excellent")</f>
        <v>Excellent</v>
      </c>
      <c r="Z2737" s="182" t="str">
        <f>IFERROR(__xludf.DUMMYFUNCTION("""COMPUTED_VALUE"""),"Excellent")</f>
        <v>Excellent</v>
      </c>
      <c r="AA2737" s="182" t="str">
        <f>IFERROR(__xludf.DUMMYFUNCTION("""COMPUTED_VALUE"""),"Very Good")</f>
        <v>Very Good</v>
      </c>
      <c r="AB2737" s="182" t="str">
        <f>IFERROR(__xludf.DUMMYFUNCTION("""COMPUTED_VALUE"""),"Very Good")</f>
        <v>Very Good</v>
      </c>
      <c r="AC2737" s="183">
        <f>IFERROR(__xludf.DUMMYFUNCTION("""COMPUTED_VALUE"""),3.0)</f>
        <v>3</v>
      </c>
      <c r="AD2737" s="183"/>
      <c r="AE2737" s="183"/>
      <c r="AF2737" s="184"/>
      <c r="AG2737" s="180"/>
      <c r="AH2737" s="185">
        <f>IFERROR(__xludf.DUMMYFUNCTION("""COMPUTED_VALUE"""),43353.550744039356)</f>
        <v>43353.55074</v>
      </c>
      <c r="AI2737" s="182"/>
      <c r="AJ2737" s="182"/>
      <c r="AK2737" s="182"/>
      <c r="AL2737" s="182"/>
    </row>
    <row r="2738" ht="20.25" customHeight="1">
      <c r="A2738" s="169" t="str">
        <f>IFERROR(__xludf.DUMMYFUNCTION("""COMPUTED_VALUE"""),"cohnaj")</f>
        <v>cohnaj</v>
      </c>
      <c r="B2738" s="170" t="str">
        <f>IFERROR(__xludf.DUMMYFUNCTION("""COMPUTED_VALUE"""),"Cincinnati")</f>
        <v>Cincinnati</v>
      </c>
      <c r="C2738" s="170" t="str">
        <f>IFERROR(__xludf.DUMMYFUNCTION("""COMPUTED_VALUE"""),"OH")</f>
        <v>OH</v>
      </c>
      <c r="D2738" s="170" t="str">
        <f>IFERROR(__xludf.DUMMYFUNCTION("""COMPUTED_VALUE"""),"USA")</f>
        <v>USA</v>
      </c>
      <c r="E2738" s="171">
        <f>IFERROR(__xludf.DUMMYFUNCTION("""COMPUTED_VALUE"""),43281.0)</f>
        <v>43281</v>
      </c>
      <c r="F2738" s="172">
        <f>IFERROR(__xludf.DUMMYFUNCTION("""COMPUTED_VALUE"""),43321.0)</f>
        <v>43321</v>
      </c>
      <c r="G2738" s="173"/>
      <c r="H2738" s="174">
        <f>IFERROR(__xludf.DUMMYFUNCTION("""COMPUTED_VALUE"""),89155.0)</f>
        <v>89155</v>
      </c>
      <c r="I2738" s="175" t="str">
        <f>IFERROR(__xludf.DUMMYFUNCTION("""COMPUTED_VALUE"""),"08/18")</f>
        <v>08/18</v>
      </c>
      <c r="J2738" s="172">
        <f>IFERROR(__xludf.DUMMYFUNCTION("""COMPUTED_VALUE"""),43350.0)</f>
        <v>43350</v>
      </c>
      <c r="K2738" s="176">
        <f>IFERROR(__xludf.DUMMYFUNCTION("""COMPUTED_VALUE"""),40.0)</f>
        <v>40</v>
      </c>
      <c r="L2738" s="176">
        <f>IFERROR(__xludf.DUMMYFUNCTION("""COMPUTED_VALUE"""),29.0)</f>
        <v>29</v>
      </c>
      <c r="M2738" s="176">
        <f>IFERROR(__xludf.DUMMYFUNCTION("""COMPUTED_VALUE"""),69.0)</f>
        <v>69</v>
      </c>
      <c r="N2738" s="177" t="str">
        <f>IFERROR(__xludf.DUMMYFUNCTION("""COMPUTED_VALUE"""),"Model 3 LR")</f>
        <v>Model 3 LR</v>
      </c>
      <c r="O2738" s="177" t="str">
        <f>IFERROR(__xludf.DUMMYFUNCTION("""COMPUTED_VALUE"""),"Obsidian Black Metallic")</f>
        <v>Obsidian Black Metallic</v>
      </c>
      <c r="P2738" s="178" t="str">
        <f>IFERROR(__xludf.DUMMYFUNCTION("""COMPUTED_VALUE"""),"18 inch Aero")</f>
        <v>18 inch Aero</v>
      </c>
      <c r="Q2738" s="177" t="str">
        <f>IFERROR(__xludf.DUMMYFUNCTION("""COMPUTED_VALUE"""),"Black seats")</f>
        <v>Black seats</v>
      </c>
      <c r="R2738" s="170" t="str">
        <f>IFERROR(__xludf.DUMMYFUNCTION("""COMPUTED_VALUE"""),"Enhanced Autopilot")</f>
        <v>Enhanced Autopilot</v>
      </c>
      <c r="S2738" s="170"/>
      <c r="T2738" s="179"/>
      <c r="U2738" s="179"/>
      <c r="V2738" s="179"/>
      <c r="W2738" s="180"/>
      <c r="X2738" s="181" t="str">
        <f>IFERROR(__xludf.DUMMYFUNCTION("""COMPUTED_VALUE"""),"Very Good")</f>
        <v>Very Good</v>
      </c>
      <c r="Y2738" s="182" t="str">
        <f>IFERROR(__xludf.DUMMYFUNCTION("""COMPUTED_VALUE"""),"Excellent")</f>
        <v>Excellent</v>
      </c>
      <c r="Z2738" s="182" t="str">
        <f>IFERROR(__xludf.DUMMYFUNCTION("""COMPUTED_VALUE"""),"Very Good")</f>
        <v>Very Good</v>
      </c>
      <c r="AA2738" s="182" t="str">
        <f>IFERROR(__xludf.DUMMYFUNCTION("""COMPUTED_VALUE"""),"Fair")</f>
        <v>Fair</v>
      </c>
      <c r="AB2738" s="182" t="str">
        <f>IFERROR(__xludf.DUMMYFUNCTION("""COMPUTED_VALUE"""),"Excellent")</f>
        <v>Excellent</v>
      </c>
      <c r="AC2738" s="183">
        <f>IFERROR(__xludf.DUMMYFUNCTION("""COMPUTED_VALUE"""),3.0)</f>
        <v>3</v>
      </c>
      <c r="AD2738" s="183">
        <f>IFERROR(__xludf.DUMMYFUNCTION("""COMPUTED_VALUE"""),2.0)</f>
        <v>2</v>
      </c>
      <c r="AE2738" s="183">
        <f>IFERROR(__xludf.DUMMYFUNCTION("""COMPUTED_VALUE"""),1.0)</f>
        <v>1</v>
      </c>
      <c r="AF2738" s="184"/>
      <c r="AG2738" s="180" t="str">
        <f>IFERROR(__xludf.DUMMYFUNCTION("""COMPUTED_VALUE"""),"1 bad proximity sensor from day 1.  2 minor spots on hood that needed buffed out.  Gap on passenger side between two doors was big at top, very small at bottom.")</f>
        <v>1 bad proximity sensor from day 1.  2 minor spots on hood that needed buffed out.  Gap on passenger side between two doors was big at top, very small at bottom.</v>
      </c>
      <c r="AH2738" s="185">
        <f>IFERROR(__xludf.DUMMYFUNCTION("""COMPUTED_VALUE"""),43369.52499452546)</f>
        <v>43369.52499</v>
      </c>
      <c r="AI2738" s="182"/>
      <c r="AJ2738" s="182"/>
      <c r="AK2738" s="182"/>
      <c r="AL2738" s="182"/>
    </row>
    <row r="2739" ht="20.25" customHeight="1">
      <c r="A2739" s="169" t="str">
        <f>IFERROR(__xludf.DUMMYFUNCTION("""COMPUTED_VALUE"""),"Crouch ")</f>
        <v>Crouch </v>
      </c>
      <c r="B2739" s="170"/>
      <c r="C2739" s="170" t="str">
        <f>IFERROR(__xludf.DUMMYFUNCTION("""COMPUTED_VALUE"""),"NJ")</f>
        <v>NJ</v>
      </c>
      <c r="D2739" s="170" t="str">
        <f>IFERROR(__xludf.DUMMYFUNCTION("""COMPUTED_VALUE"""),"USA")</f>
        <v>USA</v>
      </c>
      <c r="E2739" s="171">
        <f>IFERROR(__xludf.DUMMYFUNCTION("""COMPUTED_VALUE"""),43281.0)</f>
        <v>43281</v>
      </c>
      <c r="F2739" s="172"/>
      <c r="G2739" s="173"/>
      <c r="H2739" s="174">
        <f>IFERROR(__xludf.DUMMYFUNCTION("""COMPUTED_VALUE"""),25755.0)</f>
        <v>25755</v>
      </c>
      <c r="I2739" s="175" t="str">
        <f>IFERROR(__xludf.DUMMYFUNCTION("""COMPUTED_VALUE"""),"06/18")</f>
        <v>06/18</v>
      </c>
      <c r="J2739" s="172">
        <f>IFERROR(__xludf.DUMMYFUNCTION("""COMPUTED_VALUE"""),43294.0)</f>
        <v>43294</v>
      </c>
      <c r="K2739" s="176"/>
      <c r="L2739" s="176"/>
      <c r="M2739" s="176">
        <f>IFERROR(__xludf.DUMMYFUNCTION("""COMPUTED_VALUE"""),13.0)</f>
        <v>13</v>
      </c>
      <c r="N2739" s="177" t="str">
        <f>IFERROR(__xludf.DUMMYFUNCTION("""COMPUTED_VALUE"""),"Model 3 LR")</f>
        <v>Model 3 LR</v>
      </c>
      <c r="O2739" s="177" t="str">
        <f>IFERROR(__xludf.DUMMYFUNCTION("""COMPUTED_VALUE"""),"Midnight Silver Metallic")</f>
        <v>Midnight Silver Metallic</v>
      </c>
      <c r="P2739" s="178" t="str">
        <f>IFERROR(__xludf.DUMMYFUNCTION("""COMPUTED_VALUE"""),"18 inch Aero")</f>
        <v>18 inch Aero</v>
      </c>
      <c r="Q2739" s="177" t="str">
        <f>IFERROR(__xludf.DUMMYFUNCTION("""COMPUTED_VALUE"""),"Black seats")</f>
        <v>Black seats</v>
      </c>
      <c r="R2739" s="170" t="str">
        <f>IFERROR(__xludf.DUMMYFUNCTION("""COMPUTED_VALUE"""),"None")</f>
        <v>None</v>
      </c>
      <c r="S2739" s="170"/>
      <c r="T2739" s="179"/>
      <c r="U2739" s="179"/>
      <c r="V2739" s="179"/>
      <c r="W2739" s="180"/>
      <c r="X2739" s="181" t="str">
        <f>IFERROR(__xludf.DUMMYFUNCTION("""COMPUTED_VALUE"""),"Excellent")</f>
        <v>Excellent</v>
      </c>
      <c r="Y2739" s="182" t="str">
        <f>IFERROR(__xludf.DUMMYFUNCTION("""COMPUTED_VALUE"""),"Very Good")</f>
        <v>Very Good</v>
      </c>
      <c r="Z2739" s="182" t="str">
        <f>IFERROR(__xludf.DUMMYFUNCTION("""COMPUTED_VALUE"""),"Excellent")</f>
        <v>Excellent</v>
      </c>
      <c r="AA2739" s="182" t="str">
        <f>IFERROR(__xludf.DUMMYFUNCTION("""COMPUTED_VALUE"""),"Good")</f>
        <v>Good</v>
      </c>
      <c r="AB2739" s="182" t="str">
        <f>IFERROR(__xludf.DUMMYFUNCTION("""COMPUTED_VALUE"""),"Good")</f>
        <v>Good</v>
      </c>
      <c r="AC2739" s="183">
        <f>IFERROR(__xludf.DUMMYFUNCTION("""COMPUTED_VALUE"""),2.0)</f>
        <v>2</v>
      </c>
      <c r="AD2739" s="183">
        <f>IFERROR(__xludf.DUMMYFUNCTION("""COMPUTED_VALUE"""),2.0)</f>
        <v>2</v>
      </c>
      <c r="AE2739" s="183">
        <f>IFERROR(__xludf.DUMMYFUNCTION("""COMPUTED_VALUE"""),0.0)</f>
        <v>0</v>
      </c>
      <c r="AF2739" s="184"/>
      <c r="AG2739" s="180"/>
      <c r="AH2739" s="185">
        <f>IFERROR(__xludf.DUMMYFUNCTION("""COMPUTED_VALUE"""),43433.424054131945)</f>
        <v>43433.42405</v>
      </c>
      <c r="AI2739" s="182"/>
      <c r="AJ2739" s="182"/>
      <c r="AK2739" s="182"/>
      <c r="AL2739" s="182"/>
    </row>
    <row r="2740" ht="20.25" customHeight="1">
      <c r="A2740" s="169" t="str">
        <f>IFERROR(__xludf.DUMMYFUNCTION("""COMPUTED_VALUE"""),"cusman")</f>
        <v>cusman</v>
      </c>
      <c r="B2740" s="170" t="str">
        <f>IFERROR(__xludf.DUMMYFUNCTION("""COMPUTED_VALUE"""),"Fort Worth")</f>
        <v>Fort Worth</v>
      </c>
      <c r="C2740" s="170" t="str">
        <f>IFERROR(__xludf.DUMMYFUNCTION("""COMPUTED_VALUE"""),"TX")</f>
        <v>TX</v>
      </c>
      <c r="D2740" s="170" t="str">
        <f>IFERROR(__xludf.DUMMYFUNCTION("""COMPUTED_VALUE"""),"USA")</f>
        <v>USA</v>
      </c>
      <c r="E2740" s="171">
        <f>IFERROR(__xludf.DUMMYFUNCTION("""COMPUTED_VALUE"""),43281.0)</f>
        <v>43281</v>
      </c>
      <c r="F2740" s="172">
        <f>IFERROR(__xludf.DUMMYFUNCTION("""COMPUTED_VALUE"""),43341.0)</f>
        <v>43341</v>
      </c>
      <c r="G2740" s="173"/>
      <c r="H2740" s="174">
        <f>IFERROR(__xludf.DUMMYFUNCTION("""COMPUTED_VALUE"""),76985.0)</f>
        <v>76985</v>
      </c>
      <c r="I2740" s="175" t="str">
        <f>IFERROR(__xludf.DUMMYFUNCTION("""COMPUTED_VALUE"""),"08/18")</f>
        <v>08/18</v>
      </c>
      <c r="J2740" s="172">
        <f>IFERROR(__xludf.DUMMYFUNCTION("""COMPUTED_VALUE"""),43358.0)</f>
        <v>43358</v>
      </c>
      <c r="K2740" s="176">
        <f>IFERROR(__xludf.DUMMYFUNCTION("""COMPUTED_VALUE"""),60.0)</f>
        <v>60</v>
      </c>
      <c r="L2740" s="176">
        <f>IFERROR(__xludf.DUMMYFUNCTION("""COMPUTED_VALUE"""),17.0)</f>
        <v>17</v>
      </c>
      <c r="M2740" s="176">
        <f>IFERROR(__xludf.DUMMYFUNCTION("""COMPUTED_VALUE"""),77.0)</f>
        <v>77</v>
      </c>
      <c r="N2740" s="177" t="str">
        <f>IFERROR(__xludf.DUMMYFUNCTION("""COMPUTED_VALUE"""),"Model 3 LR AWD")</f>
        <v>Model 3 LR AWD</v>
      </c>
      <c r="O2740" s="177" t="str">
        <f>IFERROR(__xludf.DUMMYFUNCTION("""COMPUTED_VALUE"""),"Midnight Silver Metallic")</f>
        <v>Midnight Silver Metallic</v>
      </c>
      <c r="P2740" s="178" t="str">
        <f>IFERROR(__xludf.DUMMYFUNCTION("""COMPUTED_VALUE"""),"19 inch Sport")</f>
        <v>19 inch Sport</v>
      </c>
      <c r="Q2740" s="177" t="str">
        <f>IFERROR(__xludf.DUMMYFUNCTION("""COMPUTED_VALUE"""),"Black seats")</f>
        <v>Black seats</v>
      </c>
      <c r="R2740" s="170" t="str">
        <f>IFERROR(__xludf.DUMMYFUNCTION("""COMPUTED_VALUE"""),"Full Self-Driving")</f>
        <v>Full Self-Driving</v>
      </c>
      <c r="S2740" s="170"/>
      <c r="T2740" s="179"/>
      <c r="U2740" s="179"/>
      <c r="V2740" s="179"/>
      <c r="W2740" s="180"/>
      <c r="X2740" s="181" t="str">
        <f>IFERROR(__xludf.DUMMYFUNCTION("""COMPUTED_VALUE"""),"Very Good")</f>
        <v>Very Good</v>
      </c>
      <c r="Y2740" s="182" t="str">
        <f>IFERROR(__xludf.DUMMYFUNCTION("""COMPUTED_VALUE"""),"Excellent")</f>
        <v>Excellent</v>
      </c>
      <c r="Z2740" s="182" t="str">
        <f>IFERROR(__xludf.DUMMYFUNCTION("""COMPUTED_VALUE"""),"Excellent")</f>
        <v>Excellent</v>
      </c>
      <c r="AA2740" s="182" t="str">
        <f>IFERROR(__xludf.DUMMYFUNCTION("""COMPUTED_VALUE"""),"Very Good")</f>
        <v>Very Good</v>
      </c>
      <c r="AB2740" s="182" t="str">
        <f>IFERROR(__xludf.DUMMYFUNCTION("""COMPUTED_VALUE"""),"Very Good")</f>
        <v>Very Good</v>
      </c>
      <c r="AC2740" s="183">
        <f>IFERROR(__xludf.DUMMYFUNCTION("""COMPUTED_VALUE"""),0.0)</f>
        <v>0</v>
      </c>
      <c r="AD2740" s="183">
        <f>IFERROR(__xludf.DUMMYFUNCTION("""COMPUTED_VALUE"""),0.0)</f>
        <v>0</v>
      </c>
      <c r="AE2740" s="183">
        <f>IFERROR(__xludf.DUMMYFUNCTION("""COMPUTED_VALUE"""),0.0)</f>
        <v>0</v>
      </c>
      <c r="AF2740" s="184"/>
      <c r="AG2740" s="180" t="str">
        <f>IFERROR(__xludf.DUMMYFUNCTION("""COMPUTED_VALUE"""),"Initial reservation date 04/01/2016")</f>
        <v>Initial reservation date 04/01/2016</v>
      </c>
      <c r="AH2740" s="185">
        <f>IFERROR(__xludf.DUMMYFUNCTION("""COMPUTED_VALUE"""),43381.580116481484)</f>
        <v>43381.58012</v>
      </c>
      <c r="AI2740" s="182"/>
      <c r="AJ2740" s="182"/>
      <c r="AK2740" s="182"/>
      <c r="AL2740" s="182"/>
    </row>
    <row r="2741" ht="20.25" customHeight="1">
      <c r="A2741" s="169" t="str">
        <f>IFERROR(__xludf.DUMMYFUNCTION("""COMPUTED_VALUE"""),"dantidote ")</f>
        <v>dantidote </v>
      </c>
      <c r="B2741" s="170"/>
      <c r="C2741" s="170" t="str">
        <f>IFERROR(__xludf.DUMMYFUNCTION("""COMPUTED_VALUE"""),"MI")</f>
        <v>MI</v>
      </c>
      <c r="D2741" s="170" t="str">
        <f>IFERROR(__xludf.DUMMYFUNCTION("""COMPUTED_VALUE"""),"USA")</f>
        <v>USA</v>
      </c>
      <c r="E2741" s="171">
        <f>IFERROR(__xludf.DUMMYFUNCTION("""COMPUTED_VALUE"""),43281.0)</f>
        <v>43281</v>
      </c>
      <c r="F2741" s="172">
        <f>IFERROR(__xludf.DUMMYFUNCTION("""COMPUTED_VALUE"""),43360.0)</f>
        <v>43360</v>
      </c>
      <c r="G2741" s="173"/>
      <c r="H2741" s="174">
        <f>IFERROR(__xludf.DUMMYFUNCTION("""COMPUTED_VALUE"""),89055.0)</f>
        <v>89055</v>
      </c>
      <c r="I2741" s="175" t="str">
        <f>IFERROR(__xludf.DUMMYFUNCTION("""COMPUTED_VALUE"""),"09/18")</f>
        <v>09/18</v>
      </c>
      <c r="J2741" s="172">
        <f>IFERROR(__xludf.DUMMYFUNCTION("""COMPUTED_VALUE"""),43373.0)</f>
        <v>43373</v>
      </c>
      <c r="K2741" s="176">
        <f>IFERROR(__xludf.DUMMYFUNCTION("""COMPUTED_VALUE"""),79.0)</f>
        <v>79</v>
      </c>
      <c r="L2741" s="176">
        <f>IFERROR(__xludf.DUMMYFUNCTION("""COMPUTED_VALUE"""),13.0)</f>
        <v>13</v>
      </c>
      <c r="M2741" s="176">
        <f>IFERROR(__xludf.DUMMYFUNCTION("""COMPUTED_VALUE"""),92.0)</f>
        <v>92</v>
      </c>
      <c r="N2741" s="177" t="str">
        <f>IFERROR(__xludf.DUMMYFUNCTION("""COMPUTED_VALUE"""),"Model 3 LR AWD")</f>
        <v>Model 3 LR AWD</v>
      </c>
      <c r="O2741" s="177" t="str">
        <f>IFERROR(__xludf.DUMMYFUNCTION("""COMPUTED_VALUE"""),"Pearl White Multi-Coat")</f>
        <v>Pearl White Multi-Coat</v>
      </c>
      <c r="P2741" s="178" t="str">
        <f>IFERROR(__xludf.DUMMYFUNCTION("""COMPUTED_VALUE"""),"19 inch Sport")</f>
        <v>19 inch Sport</v>
      </c>
      <c r="Q2741" s="177" t="str">
        <f>IFERROR(__xludf.DUMMYFUNCTION("""COMPUTED_VALUE"""),"Black seats")</f>
        <v>Black seats</v>
      </c>
      <c r="R2741" s="170" t="str">
        <f>IFERROR(__xludf.DUMMYFUNCTION("""COMPUTED_VALUE"""),"Enhanced Autopilot")</f>
        <v>Enhanced Autopilot</v>
      </c>
      <c r="S2741" s="170"/>
      <c r="T2741" s="179"/>
      <c r="U2741" s="179"/>
      <c r="V2741" s="179"/>
      <c r="W2741" s="180"/>
      <c r="X2741" s="181" t="str">
        <f>IFERROR(__xludf.DUMMYFUNCTION("""COMPUTED_VALUE"""),"Excellent")</f>
        <v>Excellent</v>
      </c>
      <c r="Y2741" s="182" t="str">
        <f>IFERROR(__xludf.DUMMYFUNCTION("""COMPUTED_VALUE"""),"Excellent")</f>
        <v>Excellent</v>
      </c>
      <c r="Z2741" s="182" t="str">
        <f>IFERROR(__xludf.DUMMYFUNCTION("""COMPUTED_VALUE"""),"Excellent")</f>
        <v>Excellent</v>
      </c>
      <c r="AA2741" s="182" t="str">
        <f>IFERROR(__xludf.DUMMYFUNCTION("""COMPUTED_VALUE"""),"Fair")</f>
        <v>Fair</v>
      </c>
      <c r="AB2741" s="182" t="str">
        <f>IFERROR(__xludf.DUMMYFUNCTION("""COMPUTED_VALUE"""),"Excellent")</f>
        <v>Excellent</v>
      </c>
      <c r="AC2741" s="183"/>
      <c r="AD2741" s="183"/>
      <c r="AE2741" s="183"/>
      <c r="AF2741" s="184"/>
      <c r="AG2741" s="180" t="str">
        <f>IFERROR(__xludf.DUMMYFUNCTION("""COMPUTED_VALUE"""),"Originally scheduled for 9/18, Tesla delayed to 9/25, then 9/30")</f>
        <v>Originally scheduled for 9/18, Tesla delayed to 9/25, then 9/30</v>
      </c>
      <c r="AH2741" s="185">
        <f>IFERROR(__xludf.DUMMYFUNCTION("""COMPUTED_VALUE"""),43377.22103377315)</f>
        <v>43377.22103</v>
      </c>
      <c r="AI2741" s="182"/>
      <c r="AJ2741" s="182"/>
      <c r="AK2741" s="182"/>
      <c r="AL2741" s="182"/>
    </row>
    <row r="2742" ht="20.25" customHeight="1">
      <c r="A2742" s="169" t="str">
        <f>IFERROR(__xludf.DUMMYFUNCTION("""COMPUTED_VALUE"""),"Dexterryu")</f>
        <v>Dexterryu</v>
      </c>
      <c r="B2742" s="170" t="str">
        <f>IFERROR(__xludf.DUMMYFUNCTION("""COMPUTED_VALUE"""),"Cleveland")</f>
        <v>Cleveland</v>
      </c>
      <c r="C2742" s="170" t="str">
        <f>IFERROR(__xludf.DUMMYFUNCTION("""COMPUTED_VALUE"""),"OH")</f>
        <v>OH</v>
      </c>
      <c r="D2742" s="170" t="str">
        <f>IFERROR(__xludf.DUMMYFUNCTION("""COMPUTED_VALUE"""),"USA")</f>
        <v>USA</v>
      </c>
      <c r="E2742" s="171">
        <f>IFERROR(__xludf.DUMMYFUNCTION("""COMPUTED_VALUE"""),43281.0)</f>
        <v>43281</v>
      </c>
      <c r="F2742" s="172">
        <f>IFERROR(__xludf.DUMMYFUNCTION("""COMPUTED_VALUE"""),43373.0)</f>
        <v>43373</v>
      </c>
      <c r="G2742" s="173"/>
      <c r="H2742" s="174">
        <f>IFERROR(__xludf.DUMMYFUNCTION("""COMPUTED_VALUE"""),94155.0)</f>
        <v>94155</v>
      </c>
      <c r="I2742" s="175" t="str">
        <f>IFERROR(__xludf.DUMMYFUNCTION("""COMPUTED_VALUE"""),"09/18")</f>
        <v>09/18</v>
      </c>
      <c r="J2742" s="172">
        <f>IFERROR(__xludf.DUMMYFUNCTION("""COMPUTED_VALUE"""),43379.0)</f>
        <v>43379</v>
      </c>
      <c r="K2742" s="176">
        <f>IFERROR(__xludf.DUMMYFUNCTION("""COMPUTED_VALUE"""),92.0)</f>
        <v>92</v>
      </c>
      <c r="L2742" s="176">
        <f>IFERROR(__xludf.DUMMYFUNCTION("""COMPUTED_VALUE"""),6.0)</f>
        <v>6</v>
      </c>
      <c r="M2742" s="176">
        <f>IFERROR(__xludf.DUMMYFUNCTION("""COMPUTED_VALUE"""),98.0)</f>
        <v>98</v>
      </c>
      <c r="N2742" s="177" t="str">
        <f>IFERROR(__xludf.DUMMYFUNCTION("""COMPUTED_VALUE"""),"Model 3 LR AWD")</f>
        <v>Model 3 LR AWD</v>
      </c>
      <c r="O2742" s="177" t="str">
        <f>IFERROR(__xludf.DUMMYFUNCTION("""COMPUTED_VALUE"""),"Midnight Silver Metallic")</f>
        <v>Midnight Silver Metallic</v>
      </c>
      <c r="P2742" s="178" t="str">
        <f>IFERROR(__xludf.DUMMYFUNCTION("""COMPUTED_VALUE"""),"18 inch Aero")</f>
        <v>18 inch Aero</v>
      </c>
      <c r="Q2742" s="177" t="str">
        <f>IFERROR(__xludf.DUMMYFUNCTION("""COMPUTED_VALUE"""),"Black seats")</f>
        <v>Black seats</v>
      </c>
      <c r="R2742" s="170" t="str">
        <f>IFERROR(__xludf.DUMMYFUNCTION("""COMPUTED_VALUE"""),"None")</f>
        <v>None</v>
      </c>
      <c r="S2742" s="170"/>
      <c r="T2742" s="179"/>
      <c r="U2742" s="179"/>
      <c r="V2742" s="179"/>
      <c r="W2742" s="180"/>
      <c r="X2742" s="181" t="str">
        <f>IFERROR(__xludf.DUMMYFUNCTION("""COMPUTED_VALUE"""),"Very Good")</f>
        <v>Very Good</v>
      </c>
      <c r="Y2742" s="182" t="str">
        <f>IFERROR(__xludf.DUMMYFUNCTION("""COMPUTED_VALUE"""),"Excellent")</f>
        <v>Excellent</v>
      </c>
      <c r="Z2742" s="182" t="str">
        <f>IFERROR(__xludf.DUMMYFUNCTION("""COMPUTED_VALUE"""),"Very Good")</f>
        <v>Very Good</v>
      </c>
      <c r="AA2742" s="182" t="str">
        <f>IFERROR(__xludf.DUMMYFUNCTION("""COMPUTED_VALUE"""),"Good")</f>
        <v>Good</v>
      </c>
      <c r="AB2742" s="182" t="str">
        <f>IFERROR(__xludf.DUMMYFUNCTION("""COMPUTED_VALUE"""),"Very Good")</f>
        <v>Very Good</v>
      </c>
      <c r="AC2742" s="183">
        <f>IFERROR(__xludf.DUMMYFUNCTION("""COMPUTED_VALUE"""),3.0)</f>
        <v>3</v>
      </c>
      <c r="AD2742" s="183">
        <f>IFERROR(__xludf.DUMMYFUNCTION("""COMPUTED_VALUE"""),0.0)</f>
        <v>0</v>
      </c>
      <c r="AE2742" s="183">
        <f>IFERROR(__xludf.DUMMYFUNCTION("""COMPUTED_VALUE"""),0.0)</f>
        <v>0</v>
      </c>
      <c r="AF2742" s="184"/>
      <c r="AG2742" s="180"/>
      <c r="AH2742" s="185">
        <f>IFERROR(__xludf.DUMMYFUNCTION("""COMPUTED_VALUE"""),43404.64367525463)</f>
        <v>43404.64368</v>
      </c>
      <c r="AI2742" s="182"/>
      <c r="AJ2742" s="182"/>
      <c r="AK2742" s="182"/>
      <c r="AL2742" s="182"/>
    </row>
    <row r="2743" ht="20.25" customHeight="1">
      <c r="A2743" s="169" t="str">
        <f>IFERROR(__xludf.DUMMYFUNCTION("""COMPUTED_VALUE"""),"DiamondDevil")</f>
        <v>DiamondDevil</v>
      </c>
      <c r="B2743" s="170" t="str">
        <f>IFERROR(__xludf.DUMMYFUNCTION("""COMPUTED_VALUE"""),"Chandler")</f>
        <v>Chandler</v>
      </c>
      <c r="C2743" s="170" t="str">
        <f>IFERROR(__xludf.DUMMYFUNCTION("""COMPUTED_VALUE"""),"AZ")</f>
        <v>AZ</v>
      </c>
      <c r="D2743" s="170" t="str">
        <f>IFERROR(__xludf.DUMMYFUNCTION("""COMPUTED_VALUE"""),"USA")</f>
        <v>USA</v>
      </c>
      <c r="E2743" s="171">
        <f>IFERROR(__xludf.DUMMYFUNCTION("""COMPUTED_VALUE"""),43281.0)</f>
        <v>43281</v>
      </c>
      <c r="F2743" s="172">
        <f>IFERROR(__xludf.DUMMYFUNCTION("""COMPUTED_VALUE"""),43349.0)</f>
        <v>43349</v>
      </c>
      <c r="G2743" s="173"/>
      <c r="H2743" s="174">
        <f>IFERROR(__xludf.DUMMYFUNCTION("""COMPUTED_VALUE"""),83955.0)</f>
        <v>83955</v>
      </c>
      <c r="I2743" s="175" t="str">
        <f>IFERROR(__xludf.DUMMYFUNCTION("""COMPUTED_VALUE"""),"09/18")</f>
        <v>09/18</v>
      </c>
      <c r="J2743" s="172">
        <f>IFERROR(__xludf.DUMMYFUNCTION("""COMPUTED_VALUE"""),43358.0)</f>
        <v>43358</v>
      </c>
      <c r="K2743" s="176">
        <f>IFERROR(__xludf.DUMMYFUNCTION("""COMPUTED_VALUE"""),68.0)</f>
        <v>68</v>
      </c>
      <c r="L2743" s="176">
        <f>IFERROR(__xludf.DUMMYFUNCTION("""COMPUTED_VALUE"""),9.0)</f>
        <v>9</v>
      </c>
      <c r="M2743" s="176">
        <f>IFERROR(__xludf.DUMMYFUNCTION("""COMPUTED_VALUE"""),77.0)</f>
        <v>77</v>
      </c>
      <c r="N2743" s="177" t="str">
        <f>IFERROR(__xludf.DUMMYFUNCTION("""COMPUTED_VALUE"""),"Model 3 Performance")</f>
        <v>Model 3 Performance</v>
      </c>
      <c r="O2743" s="177" t="str">
        <f>IFERROR(__xludf.DUMMYFUNCTION("""COMPUTED_VALUE"""),"Deep Blue Metallic")</f>
        <v>Deep Blue Metallic</v>
      </c>
      <c r="P2743" s="178" t="str">
        <f>IFERROR(__xludf.DUMMYFUNCTION("""COMPUTED_VALUE"""),"20 inch Sport")</f>
        <v>20 inch Sport</v>
      </c>
      <c r="Q2743" s="177" t="str">
        <f>IFERROR(__xludf.DUMMYFUNCTION("""COMPUTED_VALUE"""),"Black seats")</f>
        <v>Black seats</v>
      </c>
      <c r="R2743" s="170" t="str">
        <f>IFERROR(__xludf.DUMMYFUNCTION("""COMPUTED_VALUE"""),"Enhanced Autopilot")</f>
        <v>Enhanced Autopilot</v>
      </c>
      <c r="S2743" s="170"/>
      <c r="T2743" s="179"/>
      <c r="U2743" s="179"/>
      <c r="V2743" s="179"/>
      <c r="W2743" s="180"/>
      <c r="X2743" s="181" t="str">
        <f>IFERROR(__xludf.DUMMYFUNCTION("""COMPUTED_VALUE"""),"Excellent")</f>
        <v>Excellent</v>
      </c>
      <c r="Y2743" s="182" t="str">
        <f>IFERROR(__xludf.DUMMYFUNCTION("""COMPUTED_VALUE"""),"Excellent")</f>
        <v>Excellent</v>
      </c>
      <c r="Z2743" s="182" t="str">
        <f>IFERROR(__xludf.DUMMYFUNCTION("""COMPUTED_VALUE"""),"Excellent")</f>
        <v>Excellent</v>
      </c>
      <c r="AA2743" s="182" t="str">
        <f>IFERROR(__xludf.DUMMYFUNCTION("""COMPUTED_VALUE"""),"Fair")</f>
        <v>Fair</v>
      </c>
      <c r="AB2743" s="182" t="str">
        <f>IFERROR(__xludf.DUMMYFUNCTION("""COMPUTED_VALUE"""),"Excellent")</f>
        <v>Excellent</v>
      </c>
      <c r="AC2743" s="183"/>
      <c r="AD2743" s="183"/>
      <c r="AE2743" s="183"/>
      <c r="AF2743" s="184"/>
      <c r="AG2743" s="180"/>
      <c r="AH2743" s="185">
        <f>IFERROR(__xludf.DUMMYFUNCTION("""COMPUTED_VALUE"""),43358.599058576394)</f>
        <v>43358.59906</v>
      </c>
      <c r="AI2743" s="182"/>
      <c r="AJ2743" s="182"/>
      <c r="AK2743" s="182"/>
      <c r="AL2743" s="182"/>
    </row>
    <row r="2744" ht="20.25" customHeight="1">
      <c r="A2744" s="169" t="str">
        <f>IFERROR(__xludf.DUMMYFUNCTION("""COMPUTED_VALUE"""),"Ender3204")</f>
        <v>Ender3204</v>
      </c>
      <c r="B2744" s="170" t="str">
        <f>IFERROR(__xludf.DUMMYFUNCTION("""COMPUTED_VALUE"""),"Austin")</f>
        <v>Austin</v>
      </c>
      <c r="C2744" s="170" t="str">
        <f>IFERROR(__xludf.DUMMYFUNCTION("""COMPUTED_VALUE"""),"TX")</f>
        <v>TX</v>
      </c>
      <c r="D2744" s="170" t="str">
        <f>IFERROR(__xludf.DUMMYFUNCTION("""COMPUTED_VALUE"""),"USA")</f>
        <v>USA</v>
      </c>
      <c r="E2744" s="171">
        <f>IFERROR(__xludf.DUMMYFUNCTION("""COMPUTED_VALUE"""),43281.0)</f>
        <v>43281</v>
      </c>
      <c r="F2744" s="172">
        <f>IFERROR(__xludf.DUMMYFUNCTION("""COMPUTED_VALUE"""),43314.0)</f>
        <v>43314</v>
      </c>
      <c r="G2744" s="173"/>
      <c r="H2744" s="174">
        <f>IFERROR(__xludf.DUMMYFUNCTION("""COMPUTED_VALUE"""),33955.0)</f>
        <v>33955</v>
      </c>
      <c r="I2744" s="175" t="str">
        <f>IFERROR(__xludf.DUMMYFUNCTION("""COMPUTED_VALUE"""),"06/18")</f>
        <v>06/18</v>
      </c>
      <c r="J2744" s="172">
        <f>IFERROR(__xludf.DUMMYFUNCTION("""COMPUTED_VALUE"""),43335.0)</f>
        <v>43335</v>
      </c>
      <c r="K2744" s="176">
        <f>IFERROR(__xludf.DUMMYFUNCTION("""COMPUTED_VALUE"""),33.0)</f>
        <v>33</v>
      </c>
      <c r="L2744" s="176">
        <f>IFERROR(__xludf.DUMMYFUNCTION("""COMPUTED_VALUE"""),21.0)</f>
        <v>21</v>
      </c>
      <c r="M2744" s="176">
        <f>IFERROR(__xludf.DUMMYFUNCTION("""COMPUTED_VALUE"""),54.0)</f>
        <v>54</v>
      </c>
      <c r="N2744" s="177" t="str">
        <f>IFERROR(__xludf.DUMMYFUNCTION("""COMPUTED_VALUE"""),"Model 3 LR")</f>
        <v>Model 3 LR</v>
      </c>
      <c r="O2744" s="177" t="str">
        <f>IFERROR(__xludf.DUMMYFUNCTION("""COMPUTED_VALUE"""),"Midnight Silver Metallic")</f>
        <v>Midnight Silver Metallic</v>
      </c>
      <c r="P2744" s="178" t="str">
        <f>IFERROR(__xludf.DUMMYFUNCTION("""COMPUTED_VALUE"""),"18 inch Aero")</f>
        <v>18 inch Aero</v>
      </c>
      <c r="Q2744" s="177" t="str">
        <f>IFERROR(__xludf.DUMMYFUNCTION("""COMPUTED_VALUE"""),"Black seats")</f>
        <v>Black seats</v>
      </c>
      <c r="R2744" s="170" t="str">
        <f>IFERROR(__xludf.DUMMYFUNCTION("""COMPUTED_VALUE"""),"Enhanced Autopilot")</f>
        <v>Enhanced Autopilot</v>
      </c>
      <c r="S2744" s="170"/>
      <c r="T2744" s="179"/>
      <c r="U2744" s="179"/>
      <c r="V2744" s="179"/>
      <c r="W2744" s="180"/>
      <c r="X2744" s="181" t="str">
        <f>IFERROR(__xludf.DUMMYFUNCTION("""COMPUTED_VALUE"""),"Excellent")</f>
        <v>Excellent</v>
      </c>
      <c r="Y2744" s="182" t="str">
        <f>IFERROR(__xludf.DUMMYFUNCTION("""COMPUTED_VALUE"""),"Excellent")</f>
        <v>Excellent</v>
      </c>
      <c r="Z2744" s="182" t="str">
        <f>IFERROR(__xludf.DUMMYFUNCTION("""COMPUTED_VALUE"""),"Excellent")</f>
        <v>Excellent</v>
      </c>
      <c r="AA2744" s="182" t="str">
        <f>IFERROR(__xludf.DUMMYFUNCTION("""COMPUTED_VALUE"""),"Excellent")</f>
        <v>Excellent</v>
      </c>
      <c r="AB2744" s="182" t="str">
        <f>IFERROR(__xludf.DUMMYFUNCTION("""COMPUTED_VALUE"""),"Excellent")</f>
        <v>Excellent</v>
      </c>
      <c r="AC2744" s="183">
        <f>IFERROR(__xludf.DUMMYFUNCTION("""COMPUTED_VALUE"""),0.0)</f>
        <v>0</v>
      </c>
      <c r="AD2744" s="183">
        <f>IFERROR(__xludf.DUMMYFUNCTION("""COMPUTED_VALUE"""),0.0)</f>
        <v>0</v>
      </c>
      <c r="AE2744" s="183">
        <f>IFERROR(__xludf.DUMMYFUNCTION("""COMPUTED_VALUE"""),0.0)</f>
        <v>0</v>
      </c>
      <c r="AF2744" s="184"/>
      <c r="AG2744" s="180"/>
      <c r="AH2744" s="185">
        <f>IFERROR(__xludf.DUMMYFUNCTION("""COMPUTED_VALUE"""),43338.5910246875)</f>
        <v>43338.59102</v>
      </c>
      <c r="AI2744" s="182"/>
      <c r="AJ2744" s="182"/>
      <c r="AK2744" s="182"/>
      <c r="AL2744" s="182"/>
    </row>
    <row r="2745" ht="20.25" customHeight="1">
      <c r="A2745" s="169" t="str">
        <f>IFERROR(__xludf.DUMMYFUNCTION("""COMPUTED_VALUE"""),"eppyphotog")</f>
        <v>eppyphotog</v>
      </c>
      <c r="B2745" s="170" t="str">
        <f>IFERROR(__xludf.DUMMYFUNCTION("""COMPUTED_VALUE"""),"Phoenix")</f>
        <v>Phoenix</v>
      </c>
      <c r="C2745" s="170" t="str">
        <f>IFERROR(__xludf.DUMMYFUNCTION("""COMPUTED_VALUE"""),"AZ")</f>
        <v>AZ</v>
      </c>
      <c r="D2745" s="170" t="str">
        <f>IFERROR(__xludf.DUMMYFUNCTION("""COMPUTED_VALUE"""),"USA")</f>
        <v>USA</v>
      </c>
      <c r="E2745" s="171">
        <f>IFERROR(__xludf.DUMMYFUNCTION("""COMPUTED_VALUE"""),43281.0)</f>
        <v>43281</v>
      </c>
      <c r="F2745" s="172">
        <f>IFERROR(__xludf.DUMMYFUNCTION("""COMPUTED_VALUE"""),43304.0)</f>
        <v>43304</v>
      </c>
      <c r="G2745" s="173"/>
      <c r="H2745" s="174">
        <f>IFERROR(__xludf.DUMMYFUNCTION("""COMPUTED_VALUE"""),40055.0)</f>
        <v>40055</v>
      </c>
      <c r="I2745" s="175" t="str">
        <f>IFERROR(__xludf.DUMMYFUNCTION("""COMPUTED_VALUE"""),"07/18")</f>
        <v>07/18</v>
      </c>
      <c r="J2745" s="172">
        <f>IFERROR(__xludf.DUMMYFUNCTION("""COMPUTED_VALUE"""),43312.0)</f>
        <v>43312</v>
      </c>
      <c r="K2745" s="176">
        <f>IFERROR(__xludf.DUMMYFUNCTION("""COMPUTED_VALUE"""),23.0)</f>
        <v>23</v>
      </c>
      <c r="L2745" s="176">
        <f>IFERROR(__xludf.DUMMYFUNCTION("""COMPUTED_VALUE"""),8.0)</f>
        <v>8</v>
      </c>
      <c r="M2745" s="176">
        <f>IFERROR(__xludf.DUMMYFUNCTION("""COMPUTED_VALUE"""),31.0)</f>
        <v>31</v>
      </c>
      <c r="N2745" s="177" t="str">
        <f>IFERROR(__xludf.DUMMYFUNCTION("""COMPUTED_VALUE"""),"Model 3 LR")</f>
        <v>Model 3 LR</v>
      </c>
      <c r="O2745" s="177" t="str">
        <f>IFERROR(__xludf.DUMMYFUNCTION("""COMPUTED_VALUE"""),"Midnight Silver Metallic")</f>
        <v>Midnight Silver Metallic</v>
      </c>
      <c r="P2745" s="178" t="str">
        <f>IFERROR(__xludf.DUMMYFUNCTION("""COMPUTED_VALUE"""),"18 inch Aero")</f>
        <v>18 inch Aero</v>
      </c>
      <c r="Q2745" s="177" t="str">
        <f>IFERROR(__xludf.DUMMYFUNCTION("""COMPUTED_VALUE"""),"Black seats")</f>
        <v>Black seats</v>
      </c>
      <c r="R2745" s="170" t="str">
        <f>IFERROR(__xludf.DUMMYFUNCTION("""COMPUTED_VALUE"""),"None")</f>
        <v>None</v>
      </c>
      <c r="S2745" s="170"/>
      <c r="T2745" s="179"/>
      <c r="U2745" s="179"/>
      <c r="V2745" s="179"/>
      <c r="W2745" s="180"/>
      <c r="X2745" s="181" t="str">
        <f>IFERROR(__xludf.DUMMYFUNCTION("""COMPUTED_VALUE"""),"Excellent")</f>
        <v>Excellent</v>
      </c>
      <c r="Y2745" s="182" t="str">
        <f>IFERROR(__xludf.DUMMYFUNCTION("""COMPUTED_VALUE"""),"Excellent")</f>
        <v>Excellent</v>
      </c>
      <c r="Z2745" s="182" t="str">
        <f>IFERROR(__xludf.DUMMYFUNCTION("""COMPUTED_VALUE"""),"Excellent")</f>
        <v>Excellent</v>
      </c>
      <c r="AA2745" s="182" t="str">
        <f>IFERROR(__xludf.DUMMYFUNCTION("""COMPUTED_VALUE"""),"Very Good")</f>
        <v>Very Good</v>
      </c>
      <c r="AB2745" s="182" t="str">
        <f>IFERROR(__xludf.DUMMYFUNCTION("""COMPUTED_VALUE"""),"Good")</f>
        <v>Good</v>
      </c>
      <c r="AC2745" s="183">
        <f>IFERROR(__xludf.DUMMYFUNCTION("""COMPUTED_VALUE"""),0.0)</f>
        <v>0</v>
      </c>
      <c r="AD2745" s="183">
        <f>IFERROR(__xludf.DUMMYFUNCTION("""COMPUTED_VALUE"""),0.0)</f>
        <v>0</v>
      </c>
      <c r="AE2745" s="183">
        <f>IFERROR(__xludf.DUMMYFUNCTION("""COMPUTED_VALUE"""),0.0)</f>
        <v>0</v>
      </c>
      <c r="AF2745" s="184"/>
      <c r="AG2745" s="180" t="str">
        <f>IFERROR(__xludf.DUMMYFUNCTION("""COMPUTED_VALUE"""),"Most amazing car I have ever owned")</f>
        <v>Most amazing car I have ever owned</v>
      </c>
      <c r="AH2745" s="185">
        <f>IFERROR(__xludf.DUMMYFUNCTION("""COMPUTED_VALUE"""),43359.78736174769)</f>
        <v>43359.78736</v>
      </c>
      <c r="AI2745" s="182"/>
      <c r="AJ2745" s="182"/>
      <c r="AK2745" s="182"/>
      <c r="AL2745" s="182"/>
    </row>
    <row r="2746" ht="20.25" customHeight="1">
      <c r="A2746" s="169" t="str">
        <f>IFERROR(__xludf.DUMMYFUNCTION("""COMPUTED_VALUE"""),"Flipper52")</f>
        <v>Flipper52</v>
      </c>
      <c r="B2746" s="170" t="str">
        <f>IFERROR(__xludf.DUMMYFUNCTION("""COMPUTED_VALUE"""),"Milwaukee")</f>
        <v>Milwaukee</v>
      </c>
      <c r="C2746" s="170" t="str">
        <f>IFERROR(__xludf.DUMMYFUNCTION("""COMPUTED_VALUE"""),"WI")</f>
        <v>WI</v>
      </c>
      <c r="D2746" s="170" t="str">
        <f>IFERROR(__xludf.DUMMYFUNCTION("""COMPUTED_VALUE"""),"USA")</f>
        <v>USA</v>
      </c>
      <c r="E2746" s="171">
        <f>IFERROR(__xludf.DUMMYFUNCTION("""COMPUTED_VALUE"""),43281.0)</f>
        <v>43281</v>
      </c>
      <c r="F2746" s="172">
        <f>IFERROR(__xludf.DUMMYFUNCTION("""COMPUTED_VALUE"""),43349.0)</f>
        <v>43349</v>
      </c>
      <c r="G2746" s="173"/>
      <c r="H2746" s="174">
        <f>IFERROR(__xludf.DUMMYFUNCTION("""COMPUTED_VALUE"""),91255.0)</f>
        <v>91255</v>
      </c>
      <c r="I2746" s="175" t="str">
        <f>IFERROR(__xludf.DUMMYFUNCTION("""COMPUTED_VALUE"""),"09/18")</f>
        <v>09/18</v>
      </c>
      <c r="J2746" s="172">
        <f>IFERROR(__xludf.DUMMYFUNCTION("""COMPUTED_VALUE"""),43372.0)</f>
        <v>43372</v>
      </c>
      <c r="K2746" s="176">
        <f>IFERROR(__xludf.DUMMYFUNCTION("""COMPUTED_VALUE"""),68.0)</f>
        <v>68</v>
      </c>
      <c r="L2746" s="176">
        <f>IFERROR(__xludf.DUMMYFUNCTION("""COMPUTED_VALUE"""),23.0)</f>
        <v>23</v>
      </c>
      <c r="M2746" s="176">
        <f>IFERROR(__xludf.DUMMYFUNCTION("""COMPUTED_VALUE"""),91.0)</f>
        <v>91</v>
      </c>
      <c r="N2746" s="177" t="str">
        <f>IFERROR(__xludf.DUMMYFUNCTION("""COMPUTED_VALUE"""),"Model 3 LR AWD")</f>
        <v>Model 3 LR AWD</v>
      </c>
      <c r="O2746" s="177" t="str">
        <f>IFERROR(__xludf.DUMMYFUNCTION("""COMPUTED_VALUE"""),"Silver Metallic")</f>
        <v>Silver Metallic</v>
      </c>
      <c r="P2746" s="178" t="str">
        <f>IFERROR(__xludf.DUMMYFUNCTION("""COMPUTED_VALUE"""),"18 inch Aero")</f>
        <v>18 inch Aero</v>
      </c>
      <c r="Q2746" s="177" t="str">
        <f>IFERROR(__xludf.DUMMYFUNCTION("""COMPUTED_VALUE"""),"Black seats")</f>
        <v>Black seats</v>
      </c>
      <c r="R2746" s="170" t="str">
        <f>IFERROR(__xludf.DUMMYFUNCTION("""COMPUTED_VALUE"""),"Enhanced Autopilot")</f>
        <v>Enhanced Autopilot</v>
      </c>
      <c r="S2746" s="170"/>
      <c r="T2746" s="179"/>
      <c r="U2746" s="179"/>
      <c r="V2746" s="179"/>
      <c r="W2746" s="180"/>
      <c r="X2746" s="181" t="str">
        <f>IFERROR(__xludf.DUMMYFUNCTION("""COMPUTED_VALUE"""),"Excellent")</f>
        <v>Excellent</v>
      </c>
      <c r="Y2746" s="182" t="str">
        <f>IFERROR(__xludf.DUMMYFUNCTION("""COMPUTED_VALUE"""),"Excellent")</f>
        <v>Excellent</v>
      </c>
      <c r="Z2746" s="182" t="str">
        <f>IFERROR(__xludf.DUMMYFUNCTION("""COMPUTED_VALUE"""),"Excellent")</f>
        <v>Excellent</v>
      </c>
      <c r="AA2746" s="182" t="str">
        <f>IFERROR(__xludf.DUMMYFUNCTION("""COMPUTED_VALUE"""),"Excellent")</f>
        <v>Excellent</v>
      </c>
      <c r="AB2746" s="182" t="str">
        <f>IFERROR(__xludf.DUMMYFUNCTION("""COMPUTED_VALUE"""),"Very Good")</f>
        <v>Very Good</v>
      </c>
      <c r="AC2746" s="183">
        <f>IFERROR(__xludf.DUMMYFUNCTION("""COMPUTED_VALUE"""),0.0)</f>
        <v>0</v>
      </c>
      <c r="AD2746" s="183"/>
      <c r="AE2746" s="183"/>
      <c r="AF2746" s="184"/>
      <c r="AG2746" s="180" t="str">
        <f>IFERROR(__xludf.DUMMYFUNCTION("""COMPUTED_VALUE"""),"Originally was 9/22, they moved to 9/29")</f>
        <v>Originally was 9/22, they moved to 9/29</v>
      </c>
      <c r="AH2746" s="185">
        <f>IFERROR(__xludf.DUMMYFUNCTION("""COMPUTED_VALUE"""),43374.5159569213)</f>
        <v>43374.51596</v>
      </c>
      <c r="AI2746" s="182"/>
      <c r="AJ2746" s="182"/>
      <c r="AK2746" s="182"/>
      <c r="AL2746" s="182"/>
    </row>
    <row r="2747" ht="20.25" customHeight="1">
      <c r="A2747" s="169" t="str">
        <f>IFERROR(__xludf.DUMMYFUNCTION("""COMPUTED_VALUE"""),"forkliter")</f>
        <v>forkliter</v>
      </c>
      <c r="B2747" s="170" t="str">
        <f>IFERROR(__xludf.DUMMYFUNCTION("""COMPUTED_VALUE"""),"Rochester")</f>
        <v>Rochester</v>
      </c>
      <c r="C2747" s="170" t="str">
        <f>IFERROR(__xludf.DUMMYFUNCTION("""COMPUTED_VALUE"""),"NY")</f>
        <v>NY</v>
      </c>
      <c r="D2747" s="170" t="str">
        <f>IFERROR(__xludf.DUMMYFUNCTION("""COMPUTED_VALUE"""),"USA")</f>
        <v>USA</v>
      </c>
      <c r="E2747" s="171">
        <f>IFERROR(__xludf.DUMMYFUNCTION("""COMPUTED_VALUE"""),43281.0)</f>
        <v>43281</v>
      </c>
      <c r="F2747" s="172">
        <f>IFERROR(__xludf.DUMMYFUNCTION("""COMPUTED_VALUE"""),43378.0)</f>
        <v>43378</v>
      </c>
      <c r="G2747" s="173"/>
      <c r="H2747" s="174">
        <f>IFERROR(__xludf.DUMMYFUNCTION("""COMPUTED_VALUE"""),94855.0)</f>
        <v>94855</v>
      </c>
      <c r="I2747" s="175" t="str">
        <f>IFERROR(__xludf.DUMMYFUNCTION("""COMPUTED_VALUE"""),"10/18")</f>
        <v>10/18</v>
      </c>
      <c r="J2747" s="172">
        <f>IFERROR(__xludf.DUMMYFUNCTION("""COMPUTED_VALUE"""),43413.0)</f>
        <v>43413</v>
      </c>
      <c r="K2747" s="176">
        <f>IFERROR(__xludf.DUMMYFUNCTION("""COMPUTED_VALUE"""),97.0)</f>
        <v>97</v>
      </c>
      <c r="L2747" s="176">
        <f>IFERROR(__xludf.DUMMYFUNCTION("""COMPUTED_VALUE"""),35.0)</f>
        <v>35</v>
      </c>
      <c r="M2747" s="176">
        <f>IFERROR(__xludf.DUMMYFUNCTION("""COMPUTED_VALUE"""),132.0)</f>
        <v>132</v>
      </c>
      <c r="N2747" s="177" t="str">
        <f>IFERROR(__xludf.DUMMYFUNCTION("""COMPUTED_VALUE"""),"Model 3 LR AWD")</f>
        <v>Model 3 LR AWD</v>
      </c>
      <c r="O2747" s="177" t="str">
        <f>IFERROR(__xludf.DUMMYFUNCTION("""COMPUTED_VALUE"""),"Pearl White Multi-Coat")</f>
        <v>Pearl White Multi-Coat</v>
      </c>
      <c r="P2747" s="178" t="str">
        <f>IFERROR(__xludf.DUMMYFUNCTION("""COMPUTED_VALUE"""),"18 inch Aero")</f>
        <v>18 inch Aero</v>
      </c>
      <c r="Q2747" s="177" t="str">
        <f>IFERROR(__xludf.DUMMYFUNCTION("""COMPUTED_VALUE"""),"Black seats")</f>
        <v>Black seats</v>
      </c>
      <c r="R2747" s="170" t="str">
        <f>IFERROR(__xludf.DUMMYFUNCTION("""COMPUTED_VALUE"""),"Enhanced Autopilot")</f>
        <v>Enhanced Autopilot</v>
      </c>
      <c r="S2747" s="170"/>
      <c r="T2747" s="179"/>
      <c r="U2747" s="179"/>
      <c r="V2747" s="179"/>
      <c r="W2747" s="180"/>
      <c r="X2747" s="181" t="str">
        <f>IFERROR(__xludf.DUMMYFUNCTION("""COMPUTED_VALUE"""),"Good")</f>
        <v>Good</v>
      </c>
      <c r="Y2747" s="182" t="str">
        <f>IFERROR(__xludf.DUMMYFUNCTION("""COMPUTED_VALUE"""),"Fair")</f>
        <v>Fair</v>
      </c>
      <c r="Z2747" s="182" t="str">
        <f>IFERROR(__xludf.DUMMYFUNCTION("""COMPUTED_VALUE"""),"Poor")</f>
        <v>Poor</v>
      </c>
      <c r="AA2747" s="182" t="str">
        <f>IFERROR(__xludf.DUMMYFUNCTION("""COMPUTED_VALUE"""),"Poor")</f>
        <v>Poor</v>
      </c>
      <c r="AB2747" s="182" t="str">
        <f>IFERROR(__xludf.DUMMYFUNCTION("""COMPUTED_VALUE"""),"Fair")</f>
        <v>Fair</v>
      </c>
      <c r="AC2747" s="183">
        <f>IFERROR(__xludf.DUMMYFUNCTION("""COMPUTED_VALUE"""),5.0)</f>
        <v>5</v>
      </c>
      <c r="AD2747" s="183">
        <f>IFERROR(__xludf.DUMMYFUNCTION("""COMPUTED_VALUE"""),0.0)</f>
        <v>0</v>
      </c>
      <c r="AE2747" s="183">
        <f>IFERROR(__xludf.DUMMYFUNCTION("""COMPUTED_VALUE"""),0.0)</f>
        <v>0</v>
      </c>
      <c r="AF2747" s="184"/>
      <c r="AG2747" s="180" t="str">
        <f>IFERROR(__xludf.DUMMYFUNCTION("""COMPUTED_VALUE"""),"Alignment wrong. They sold original car out from under me")</f>
        <v>Alignment wrong. They sold original car out from under me</v>
      </c>
      <c r="AH2747" s="185">
        <f>IFERROR(__xludf.DUMMYFUNCTION("""COMPUTED_VALUE"""),43441.50202972222)</f>
        <v>43441.50203</v>
      </c>
      <c r="AI2747" s="182"/>
      <c r="AJ2747" s="182"/>
      <c r="AK2747" s="182"/>
      <c r="AL2747" s="182"/>
    </row>
    <row r="2748" ht="20.25" customHeight="1">
      <c r="A2748" s="169" t="str">
        <f>IFERROR(__xludf.DUMMYFUNCTION("""COMPUTED_VALUE"""),"Frieda's Boss")</f>
        <v>Frieda's Boss</v>
      </c>
      <c r="B2748" s="170" t="str">
        <f>IFERROR(__xludf.DUMMYFUNCTION("""COMPUTED_VALUE"""),"Portland")</f>
        <v>Portland</v>
      </c>
      <c r="C2748" s="170" t="str">
        <f>IFERROR(__xludf.DUMMYFUNCTION("""COMPUTED_VALUE"""),"OR")</f>
        <v>OR</v>
      </c>
      <c r="D2748" s="170" t="str">
        <f>IFERROR(__xludf.DUMMYFUNCTION("""COMPUTED_VALUE"""),"USA")</f>
        <v>USA</v>
      </c>
      <c r="E2748" s="171">
        <f>IFERROR(__xludf.DUMMYFUNCTION("""COMPUTED_VALUE"""),43281.0)</f>
        <v>43281</v>
      </c>
      <c r="F2748" s="172">
        <f>IFERROR(__xludf.DUMMYFUNCTION("""COMPUTED_VALUE"""),43365.0)</f>
        <v>43365</v>
      </c>
      <c r="G2748" s="173"/>
      <c r="H2748" s="174">
        <f>IFERROR(__xludf.DUMMYFUNCTION("""COMPUTED_VALUE"""),65355.0)</f>
        <v>65355</v>
      </c>
      <c r="I2748" s="175" t="str">
        <f>IFERROR(__xludf.DUMMYFUNCTION("""COMPUTED_VALUE"""),"09/18")</f>
        <v>09/18</v>
      </c>
      <c r="J2748" s="172">
        <f>IFERROR(__xludf.DUMMYFUNCTION("""COMPUTED_VALUE"""),43370.0)</f>
        <v>43370</v>
      </c>
      <c r="K2748" s="176">
        <f>IFERROR(__xludf.DUMMYFUNCTION("""COMPUTED_VALUE"""),84.0)</f>
        <v>84</v>
      </c>
      <c r="L2748" s="176">
        <f>IFERROR(__xludf.DUMMYFUNCTION("""COMPUTED_VALUE"""),5.0)</f>
        <v>5</v>
      </c>
      <c r="M2748" s="176">
        <f>IFERROR(__xludf.DUMMYFUNCTION("""COMPUTED_VALUE"""),89.0)</f>
        <v>89</v>
      </c>
      <c r="N2748" s="177" t="str">
        <f>IFERROR(__xludf.DUMMYFUNCTION("""COMPUTED_VALUE"""),"Model 3 LR AWD")</f>
        <v>Model 3 LR AWD</v>
      </c>
      <c r="O2748" s="177" t="str">
        <f>IFERROR(__xludf.DUMMYFUNCTION("""COMPUTED_VALUE"""),"Silver Metallic")</f>
        <v>Silver Metallic</v>
      </c>
      <c r="P2748" s="178" t="str">
        <f>IFERROR(__xludf.DUMMYFUNCTION("""COMPUTED_VALUE"""),"18 inch Aero")</f>
        <v>18 inch Aero</v>
      </c>
      <c r="Q2748" s="177" t="str">
        <f>IFERROR(__xludf.DUMMYFUNCTION("""COMPUTED_VALUE"""),"Black seats")</f>
        <v>Black seats</v>
      </c>
      <c r="R2748" s="170" t="str">
        <f>IFERROR(__xludf.DUMMYFUNCTION("""COMPUTED_VALUE"""),"None")</f>
        <v>None</v>
      </c>
      <c r="S2748" s="170"/>
      <c r="T2748" s="179"/>
      <c r="U2748" s="179"/>
      <c r="V2748" s="179"/>
      <c r="W2748" s="180"/>
      <c r="X2748" s="181" t="str">
        <f>IFERROR(__xludf.DUMMYFUNCTION("""COMPUTED_VALUE"""),"Excellent")</f>
        <v>Excellent</v>
      </c>
      <c r="Y2748" s="182" t="str">
        <f>IFERROR(__xludf.DUMMYFUNCTION("""COMPUTED_VALUE"""),"Very Good")</f>
        <v>Very Good</v>
      </c>
      <c r="Z2748" s="182" t="str">
        <f>IFERROR(__xludf.DUMMYFUNCTION("""COMPUTED_VALUE"""),"Very Good")</f>
        <v>Very Good</v>
      </c>
      <c r="AA2748" s="182" t="str">
        <f>IFERROR(__xludf.DUMMYFUNCTION("""COMPUTED_VALUE"""),"Poor")</f>
        <v>Poor</v>
      </c>
      <c r="AB2748" s="182" t="str">
        <f>IFERROR(__xludf.DUMMYFUNCTION("""COMPUTED_VALUE"""),"Poor")</f>
        <v>Poor</v>
      </c>
      <c r="AC2748" s="183"/>
      <c r="AD2748" s="183"/>
      <c r="AE2748" s="183"/>
      <c r="AF2748" s="184"/>
      <c r="AG2748" s="180"/>
      <c r="AH2748" s="185">
        <f>IFERROR(__xludf.DUMMYFUNCTION("""COMPUTED_VALUE"""),43372.14196945602)</f>
        <v>43372.14197</v>
      </c>
      <c r="AI2748" s="182"/>
      <c r="AJ2748" s="182"/>
      <c r="AK2748" s="182"/>
      <c r="AL2748" s="182"/>
    </row>
    <row r="2749" ht="20.25" customHeight="1">
      <c r="A2749" s="169" t="str">
        <f>IFERROR(__xludf.DUMMYFUNCTION("""COMPUTED_VALUE"""),"geniuzdesign")</f>
        <v>geniuzdesign</v>
      </c>
      <c r="B2749" s="170" t="str">
        <f>IFERROR(__xludf.DUMMYFUNCTION("""COMPUTED_VALUE"""),"West Palm Beach")</f>
        <v>West Palm Beach</v>
      </c>
      <c r="C2749" s="170" t="str">
        <f>IFERROR(__xludf.DUMMYFUNCTION("""COMPUTED_VALUE"""),"FL")</f>
        <v>FL</v>
      </c>
      <c r="D2749" s="170" t="str">
        <f>IFERROR(__xludf.DUMMYFUNCTION("""COMPUTED_VALUE"""),"USA")</f>
        <v>USA</v>
      </c>
      <c r="E2749" s="171">
        <f>IFERROR(__xludf.DUMMYFUNCTION("""COMPUTED_VALUE"""),43281.0)</f>
        <v>43281</v>
      </c>
      <c r="F2749" s="172">
        <f>IFERROR(__xludf.DUMMYFUNCTION("""COMPUTED_VALUE"""),43432.0)</f>
        <v>43432</v>
      </c>
      <c r="G2749" s="173"/>
      <c r="H2749" s="174">
        <f>IFERROR(__xludf.DUMMYFUNCTION("""COMPUTED_VALUE"""),122975.0)</f>
        <v>122975</v>
      </c>
      <c r="I2749" s="175" t="str">
        <f>IFERROR(__xludf.DUMMYFUNCTION("""COMPUTED_VALUE"""),"10/18")</f>
        <v>10/18</v>
      </c>
      <c r="J2749" s="172">
        <f>IFERROR(__xludf.DUMMYFUNCTION("""COMPUTED_VALUE"""),43444.0)</f>
        <v>43444</v>
      </c>
      <c r="K2749" s="176">
        <f>IFERROR(__xludf.DUMMYFUNCTION("""COMPUTED_VALUE"""),151.0)</f>
        <v>151</v>
      </c>
      <c r="L2749" s="176">
        <f>IFERROR(__xludf.DUMMYFUNCTION("""COMPUTED_VALUE"""),12.0)</f>
        <v>12</v>
      </c>
      <c r="M2749" s="176">
        <f>IFERROR(__xludf.DUMMYFUNCTION("""COMPUTED_VALUE"""),163.0)</f>
        <v>163</v>
      </c>
      <c r="N2749" s="177" t="str">
        <f>IFERROR(__xludf.DUMMYFUNCTION("""COMPUTED_VALUE"""),"Model 3 LR")</f>
        <v>Model 3 LR</v>
      </c>
      <c r="O2749" s="177" t="str">
        <f>IFERROR(__xludf.DUMMYFUNCTION("""COMPUTED_VALUE"""),"Solid Black")</f>
        <v>Solid Black</v>
      </c>
      <c r="P2749" s="178" t="str">
        <f>IFERROR(__xludf.DUMMYFUNCTION("""COMPUTED_VALUE"""),"18 inch Aero")</f>
        <v>18 inch Aero</v>
      </c>
      <c r="Q2749" s="177" t="str">
        <f>IFERROR(__xludf.DUMMYFUNCTION("""COMPUTED_VALUE"""),"Black seats")</f>
        <v>Black seats</v>
      </c>
      <c r="R2749" s="170" t="str">
        <f>IFERROR(__xludf.DUMMYFUNCTION("""COMPUTED_VALUE"""),"None")</f>
        <v>None</v>
      </c>
      <c r="S2749" s="170"/>
      <c r="T2749" s="179"/>
      <c r="U2749" s="179"/>
      <c r="V2749" s="179"/>
      <c r="W2749" s="180"/>
      <c r="X2749" s="181" t="str">
        <f>IFERROR(__xludf.DUMMYFUNCTION("""COMPUTED_VALUE"""),"Excellent")</f>
        <v>Excellent</v>
      </c>
      <c r="Y2749" s="182" t="str">
        <f>IFERROR(__xludf.DUMMYFUNCTION("""COMPUTED_VALUE"""),"Excellent")</f>
        <v>Excellent</v>
      </c>
      <c r="Z2749" s="182" t="str">
        <f>IFERROR(__xludf.DUMMYFUNCTION("""COMPUTED_VALUE"""),"Excellent")</f>
        <v>Excellent</v>
      </c>
      <c r="AA2749" s="182" t="str">
        <f>IFERROR(__xludf.DUMMYFUNCTION("""COMPUTED_VALUE"""),"Excellent")</f>
        <v>Excellent</v>
      </c>
      <c r="AB2749" s="182" t="str">
        <f>IFERROR(__xludf.DUMMYFUNCTION("""COMPUTED_VALUE"""),"Excellent")</f>
        <v>Excellent</v>
      </c>
      <c r="AC2749" s="183">
        <f>IFERROR(__xludf.DUMMYFUNCTION("""COMPUTED_VALUE"""),1.0)</f>
        <v>1</v>
      </c>
      <c r="AD2749" s="183">
        <f>IFERROR(__xludf.DUMMYFUNCTION("""COMPUTED_VALUE"""),0.0)</f>
        <v>0</v>
      </c>
      <c r="AE2749" s="183">
        <f>IFERROR(__xludf.DUMMYFUNCTION("""COMPUTED_VALUE"""),0.0)</f>
        <v>0</v>
      </c>
      <c r="AF2749" s="184"/>
      <c r="AG2749" s="180"/>
      <c r="AH2749" s="185">
        <f>IFERROR(__xludf.DUMMYFUNCTION("""COMPUTED_VALUE"""),43458.36497447917)</f>
        <v>43458.36497</v>
      </c>
      <c r="AI2749" s="182"/>
      <c r="AJ2749" s="182"/>
      <c r="AK2749" s="182"/>
      <c r="AL2749" s="182"/>
    </row>
    <row r="2750" ht="20.25" customHeight="1">
      <c r="A2750" s="169" t="str">
        <f>IFERROR(__xludf.DUMMYFUNCTION("""COMPUTED_VALUE"""),"GHS4316")</f>
        <v>GHS4316</v>
      </c>
      <c r="B2750" s="170" t="str">
        <f>IFERROR(__xludf.DUMMYFUNCTION("""COMPUTED_VALUE"""),"Kingston")</f>
        <v>Kingston</v>
      </c>
      <c r="C2750" s="170" t="str">
        <f>IFERROR(__xludf.DUMMYFUNCTION("""COMPUTED_VALUE"""),"NY")</f>
        <v>NY</v>
      </c>
      <c r="D2750" s="170" t="str">
        <f>IFERROR(__xludf.DUMMYFUNCTION("""COMPUTED_VALUE"""),"USA")</f>
        <v>USA</v>
      </c>
      <c r="E2750" s="171">
        <f>IFERROR(__xludf.DUMMYFUNCTION("""COMPUTED_VALUE"""),43281.0)</f>
        <v>43281</v>
      </c>
      <c r="F2750" s="172">
        <f>IFERROR(__xludf.DUMMYFUNCTION("""COMPUTED_VALUE"""),43383.0)</f>
        <v>43383</v>
      </c>
      <c r="G2750" s="173"/>
      <c r="H2750" s="174">
        <f>IFERROR(__xludf.DUMMYFUNCTION("""COMPUTED_VALUE"""),70775.0)</f>
        <v>70775</v>
      </c>
      <c r="I2750" s="175" t="str">
        <f>IFERROR(__xludf.DUMMYFUNCTION("""COMPUTED_VALUE"""),"09/18")</f>
        <v>09/18</v>
      </c>
      <c r="J2750" s="172">
        <f>IFERROR(__xludf.DUMMYFUNCTION("""COMPUTED_VALUE"""),43389.0)</f>
        <v>43389</v>
      </c>
      <c r="K2750" s="176">
        <f>IFERROR(__xludf.DUMMYFUNCTION("""COMPUTED_VALUE"""),102.0)</f>
        <v>102</v>
      </c>
      <c r="L2750" s="176">
        <f>IFERROR(__xludf.DUMMYFUNCTION("""COMPUTED_VALUE"""),6.0)</f>
        <v>6</v>
      </c>
      <c r="M2750" s="176">
        <f>IFERROR(__xludf.DUMMYFUNCTION("""COMPUTED_VALUE"""),108.0)</f>
        <v>108</v>
      </c>
      <c r="N2750" s="177" t="str">
        <f>IFERROR(__xludf.DUMMYFUNCTION("""COMPUTED_VALUE"""),"Model 3 LR AWD")</f>
        <v>Model 3 LR AWD</v>
      </c>
      <c r="O2750" s="177" t="str">
        <f>IFERROR(__xludf.DUMMYFUNCTION("""COMPUTED_VALUE"""),"Obsidian Black Metallic")</f>
        <v>Obsidian Black Metallic</v>
      </c>
      <c r="P2750" s="178" t="str">
        <f>IFERROR(__xludf.DUMMYFUNCTION("""COMPUTED_VALUE"""),"18 inch Aero")</f>
        <v>18 inch Aero</v>
      </c>
      <c r="Q2750" s="177" t="str">
        <f>IFERROR(__xludf.DUMMYFUNCTION("""COMPUTED_VALUE"""),"Black seats")</f>
        <v>Black seats</v>
      </c>
      <c r="R2750" s="170" t="str">
        <f>IFERROR(__xludf.DUMMYFUNCTION("""COMPUTED_VALUE"""),"Full Self-Driving")</f>
        <v>Full Self-Driving</v>
      </c>
      <c r="S2750" s="170"/>
      <c r="T2750" s="179"/>
      <c r="U2750" s="179"/>
      <c r="V2750" s="179"/>
      <c r="W2750" s="180"/>
      <c r="X2750" s="181" t="str">
        <f>IFERROR(__xludf.DUMMYFUNCTION("""COMPUTED_VALUE"""),"Very Good")</f>
        <v>Very Good</v>
      </c>
      <c r="Y2750" s="182" t="str">
        <f>IFERROR(__xludf.DUMMYFUNCTION("""COMPUTED_VALUE"""),"Very Good")</f>
        <v>Very Good</v>
      </c>
      <c r="Z2750" s="182" t="str">
        <f>IFERROR(__xludf.DUMMYFUNCTION("""COMPUTED_VALUE"""),"Very Good")</f>
        <v>Very Good</v>
      </c>
      <c r="AA2750" s="182" t="str">
        <f>IFERROR(__xludf.DUMMYFUNCTION("""COMPUTED_VALUE"""),"Very Good")</f>
        <v>Very Good</v>
      </c>
      <c r="AB2750" s="182" t="str">
        <f>IFERROR(__xludf.DUMMYFUNCTION("""COMPUTED_VALUE"""),"Fair")</f>
        <v>Fair</v>
      </c>
      <c r="AC2750" s="183">
        <f>IFERROR(__xludf.DUMMYFUNCTION("""COMPUTED_VALUE"""),0.0)</f>
        <v>0</v>
      </c>
      <c r="AD2750" s="183">
        <f>IFERROR(__xludf.DUMMYFUNCTION("""COMPUTED_VALUE"""),0.0)</f>
        <v>0</v>
      </c>
      <c r="AE2750" s="183">
        <f>IFERROR(__xludf.DUMMYFUNCTION("""COMPUTED_VALUE"""),0.0)</f>
        <v>0</v>
      </c>
      <c r="AF2750" s="184"/>
      <c r="AG2750" s="180" t="str">
        <f>IFERROR(__xludf.DUMMYFUNCTION("""COMPUTED_VALUE"""),"Reserved 12/25/2017. The car is amazing, sticks to the road like glue and is a pleasure to drive.")</f>
        <v>Reserved 12/25/2017. The car is amazing, sticks to the road like glue and is a pleasure to drive.</v>
      </c>
      <c r="AH2750" s="185">
        <f>IFERROR(__xludf.DUMMYFUNCTION("""COMPUTED_VALUE"""),43414.28891210648)</f>
        <v>43414.28891</v>
      </c>
      <c r="AI2750" s="182"/>
      <c r="AJ2750" s="182"/>
      <c r="AK2750" s="182"/>
      <c r="AL2750" s="182"/>
    </row>
    <row r="2751" ht="20.25" customHeight="1">
      <c r="A2751" s="169" t="str">
        <f>IFERROR(__xludf.DUMMYFUNCTION("""COMPUTED_VALUE"""),"grues")</f>
        <v>grues</v>
      </c>
      <c r="B2751" s="170" t="str">
        <f>IFERROR(__xludf.DUMMYFUNCTION("""COMPUTED_VALUE"""),"Melbourne")</f>
        <v>Melbourne</v>
      </c>
      <c r="C2751" s="170" t="str">
        <f>IFERROR(__xludf.DUMMYFUNCTION("""COMPUTED_VALUE"""),"FL")</f>
        <v>FL</v>
      </c>
      <c r="D2751" s="170" t="str">
        <f>IFERROR(__xludf.DUMMYFUNCTION("""COMPUTED_VALUE"""),"USA")</f>
        <v>USA</v>
      </c>
      <c r="E2751" s="171">
        <f>IFERROR(__xludf.DUMMYFUNCTION("""COMPUTED_VALUE"""),43281.0)</f>
        <v>43281</v>
      </c>
      <c r="F2751" s="172">
        <f>IFERROR(__xludf.DUMMYFUNCTION("""COMPUTED_VALUE"""),43390.0)</f>
        <v>43390</v>
      </c>
      <c r="G2751" s="173"/>
      <c r="H2751" s="174">
        <f>IFERROR(__xludf.DUMMYFUNCTION("""COMPUTED_VALUE"""),93355.0)</f>
        <v>93355</v>
      </c>
      <c r="I2751" s="175" t="str">
        <f>IFERROR(__xludf.DUMMYFUNCTION("""COMPUTED_VALUE"""),"10/18")</f>
        <v>10/18</v>
      </c>
      <c r="J2751" s="172">
        <f>IFERROR(__xludf.DUMMYFUNCTION("""COMPUTED_VALUE"""),43407.0)</f>
        <v>43407</v>
      </c>
      <c r="K2751" s="176">
        <f>IFERROR(__xludf.DUMMYFUNCTION("""COMPUTED_VALUE"""),109.0)</f>
        <v>109</v>
      </c>
      <c r="L2751" s="176">
        <f>IFERROR(__xludf.DUMMYFUNCTION("""COMPUTED_VALUE"""),17.0)</f>
        <v>17</v>
      </c>
      <c r="M2751" s="176">
        <f>IFERROR(__xludf.DUMMYFUNCTION("""COMPUTED_VALUE"""),126.0)</f>
        <v>126</v>
      </c>
      <c r="N2751" s="177" t="str">
        <f>IFERROR(__xludf.DUMMYFUNCTION("""COMPUTED_VALUE"""),"Model 3 LR AWD")</f>
        <v>Model 3 LR AWD</v>
      </c>
      <c r="O2751" s="177" t="str">
        <f>IFERROR(__xludf.DUMMYFUNCTION("""COMPUTED_VALUE"""),"Silver Metallic")</f>
        <v>Silver Metallic</v>
      </c>
      <c r="P2751" s="178" t="str">
        <f>IFERROR(__xludf.DUMMYFUNCTION("""COMPUTED_VALUE"""),"18 inch Aero")</f>
        <v>18 inch Aero</v>
      </c>
      <c r="Q2751" s="177" t="str">
        <f>IFERROR(__xludf.DUMMYFUNCTION("""COMPUTED_VALUE"""),"Black seats")</f>
        <v>Black seats</v>
      </c>
      <c r="R2751" s="170" t="str">
        <f>IFERROR(__xludf.DUMMYFUNCTION("""COMPUTED_VALUE"""),"Enhanced Autopilot")</f>
        <v>Enhanced Autopilot</v>
      </c>
      <c r="S2751" s="170"/>
      <c r="T2751" s="179"/>
      <c r="U2751" s="179"/>
      <c r="V2751" s="179"/>
      <c r="W2751" s="180"/>
      <c r="X2751" s="181" t="str">
        <f>IFERROR(__xludf.DUMMYFUNCTION("""COMPUTED_VALUE"""),"Excellent")</f>
        <v>Excellent</v>
      </c>
      <c r="Y2751" s="182" t="str">
        <f>IFERROR(__xludf.DUMMYFUNCTION("""COMPUTED_VALUE"""),"Excellent")</f>
        <v>Excellent</v>
      </c>
      <c r="Z2751" s="182" t="str">
        <f>IFERROR(__xludf.DUMMYFUNCTION("""COMPUTED_VALUE"""),"Excellent")</f>
        <v>Excellent</v>
      </c>
      <c r="AA2751" s="182" t="str">
        <f>IFERROR(__xludf.DUMMYFUNCTION("""COMPUTED_VALUE"""),"Excellent")</f>
        <v>Excellent</v>
      </c>
      <c r="AB2751" s="182" t="str">
        <f>IFERROR(__xludf.DUMMYFUNCTION("""COMPUTED_VALUE"""),"Excellent")</f>
        <v>Excellent</v>
      </c>
      <c r="AC2751" s="183"/>
      <c r="AD2751" s="183"/>
      <c r="AE2751" s="183"/>
      <c r="AF2751" s="184"/>
      <c r="AG2751" s="180"/>
      <c r="AH2751" s="185">
        <f>IFERROR(__xludf.DUMMYFUNCTION("""COMPUTED_VALUE"""),43409.37759260416)</f>
        <v>43409.37759</v>
      </c>
      <c r="AI2751" s="182"/>
      <c r="AJ2751" s="182"/>
      <c r="AK2751" s="182"/>
      <c r="AL2751" s="182"/>
    </row>
    <row r="2752" ht="20.25" customHeight="1">
      <c r="A2752" s="169" t="str">
        <f>IFERROR(__xludf.DUMMYFUNCTION("""COMPUTED_VALUE"""),"gurtburns")</f>
        <v>gurtburns</v>
      </c>
      <c r="B2752" s="170" t="str">
        <f>IFERROR(__xludf.DUMMYFUNCTION("""COMPUTED_VALUE"""),"Pittsburgh")</f>
        <v>Pittsburgh</v>
      </c>
      <c r="C2752" s="170" t="str">
        <f>IFERROR(__xludf.DUMMYFUNCTION("""COMPUTED_VALUE"""),"PA")</f>
        <v>PA</v>
      </c>
      <c r="D2752" s="170" t="str">
        <f>IFERROR(__xludf.DUMMYFUNCTION("""COMPUTED_VALUE"""),"USA")</f>
        <v>USA</v>
      </c>
      <c r="E2752" s="171">
        <f>IFERROR(__xludf.DUMMYFUNCTION("""COMPUTED_VALUE"""),43281.0)</f>
        <v>43281</v>
      </c>
      <c r="F2752" s="172"/>
      <c r="G2752" s="173"/>
      <c r="H2752" s="174">
        <f>IFERROR(__xludf.DUMMYFUNCTION("""COMPUTED_VALUE"""),74455.0)</f>
        <v>74455</v>
      </c>
      <c r="I2752" s="175" t="str">
        <f>IFERROR(__xludf.DUMMYFUNCTION("""COMPUTED_VALUE"""),"07/18")</f>
        <v>07/18</v>
      </c>
      <c r="J2752" s="172">
        <f>IFERROR(__xludf.DUMMYFUNCTION("""COMPUTED_VALUE"""),43326.0)</f>
        <v>43326</v>
      </c>
      <c r="K2752" s="176"/>
      <c r="L2752" s="176"/>
      <c r="M2752" s="176">
        <f>IFERROR(__xludf.DUMMYFUNCTION("""COMPUTED_VALUE"""),45.0)</f>
        <v>45</v>
      </c>
      <c r="N2752" s="177" t="str">
        <f>IFERROR(__xludf.DUMMYFUNCTION("""COMPUTED_VALUE"""),"Model 3 Performance")</f>
        <v>Model 3 Performance</v>
      </c>
      <c r="O2752" s="177" t="str">
        <f>IFERROR(__xludf.DUMMYFUNCTION("""COMPUTED_VALUE"""),"Midnight Silver Metallic")</f>
        <v>Midnight Silver Metallic</v>
      </c>
      <c r="P2752" s="178" t="str">
        <f>IFERROR(__xludf.DUMMYFUNCTION("""COMPUTED_VALUE"""),"20 inch Sport")</f>
        <v>20 inch Sport</v>
      </c>
      <c r="Q2752" s="177" t="str">
        <f>IFERROR(__xludf.DUMMYFUNCTION("""COMPUTED_VALUE"""),"White seats")</f>
        <v>White seats</v>
      </c>
      <c r="R2752" s="170" t="str">
        <f>IFERROR(__xludf.DUMMYFUNCTION("""COMPUTED_VALUE"""),"Full Self-Driving")</f>
        <v>Full Self-Driving</v>
      </c>
      <c r="S2752" s="170"/>
      <c r="T2752" s="179"/>
      <c r="U2752" s="179"/>
      <c r="V2752" s="179"/>
      <c r="W2752" s="180"/>
      <c r="X2752" s="181" t="str">
        <f>IFERROR(__xludf.DUMMYFUNCTION("""COMPUTED_VALUE"""),"Excellent")</f>
        <v>Excellent</v>
      </c>
      <c r="Y2752" s="182" t="str">
        <f>IFERROR(__xludf.DUMMYFUNCTION("""COMPUTED_VALUE"""),"Excellent")</f>
        <v>Excellent</v>
      </c>
      <c r="Z2752" s="182" t="str">
        <f>IFERROR(__xludf.DUMMYFUNCTION("""COMPUTED_VALUE"""),"Excellent")</f>
        <v>Excellent</v>
      </c>
      <c r="AA2752" s="182" t="str">
        <f>IFERROR(__xludf.DUMMYFUNCTION("""COMPUTED_VALUE"""),"Excellent")</f>
        <v>Excellent</v>
      </c>
      <c r="AB2752" s="182" t="str">
        <f>IFERROR(__xludf.DUMMYFUNCTION("""COMPUTED_VALUE"""),"Excellent")</f>
        <v>Excellent</v>
      </c>
      <c r="AC2752" s="183">
        <f>IFERROR(__xludf.DUMMYFUNCTION("""COMPUTED_VALUE"""),3.0)</f>
        <v>3</v>
      </c>
      <c r="AD2752" s="183">
        <f>IFERROR(__xludf.DUMMYFUNCTION("""COMPUTED_VALUE"""),2.0)</f>
        <v>2</v>
      </c>
      <c r="AE2752" s="183">
        <f>IFERROR(__xludf.DUMMYFUNCTION("""COMPUTED_VALUE"""),2.0)</f>
        <v>2</v>
      </c>
      <c r="AF2752" s="184"/>
      <c r="AG2752" s="180"/>
      <c r="AH2752" s="185">
        <f>IFERROR(__xludf.DUMMYFUNCTION("""COMPUTED_VALUE"""),43341.42738527778)</f>
        <v>43341.42739</v>
      </c>
      <c r="AI2752" s="182"/>
      <c r="AJ2752" s="182"/>
      <c r="AK2752" s="182"/>
      <c r="AL2752" s="182"/>
    </row>
    <row r="2753" ht="20.25" customHeight="1">
      <c r="A2753" s="169" t="str">
        <f>IFERROR(__xludf.DUMMYFUNCTION("""COMPUTED_VALUE"""),"Holmern")</f>
        <v>Holmern</v>
      </c>
      <c r="B2753" s="170" t="str">
        <f>IFERROR(__xludf.DUMMYFUNCTION("""COMPUTED_VALUE"""),"Austin")</f>
        <v>Austin</v>
      </c>
      <c r="C2753" s="170" t="str">
        <f>IFERROR(__xludf.DUMMYFUNCTION("""COMPUTED_VALUE"""),"TX")</f>
        <v>TX</v>
      </c>
      <c r="D2753" s="170" t="str">
        <f>IFERROR(__xludf.DUMMYFUNCTION("""COMPUTED_VALUE"""),"USA")</f>
        <v>USA</v>
      </c>
      <c r="E2753" s="171">
        <f>IFERROR(__xludf.DUMMYFUNCTION("""COMPUTED_VALUE"""),43281.0)</f>
        <v>43281</v>
      </c>
      <c r="F2753" s="172">
        <f>IFERROR(__xludf.DUMMYFUNCTION("""COMPUTED_VALUE"""),43312.0)</f>
        <v>43312</v>
      </c>
      <c r="G2753" s="173"/>
      <c r="H2753" s="174">
        <f>IFERROR(__xludf.DUMMYFUNCTION("""COMPUTED_VALUE"""),73855.0)</f>
        <v>73855</v>
      </c>
      <c r="I2753" s="175" t="str">
        <f>IFERROR(__xludf.DUMMYFUNCTION("""COMPUTED_VALUE"""),"07/18")</f>
        <v>07/18</v>
      </c>
      <c r="J2753" s="172">
        <f>IFERROR(__xludf.DUMMYFUNCTION("""COMPUTED_VALUE"""),43326.0)</f>
        <v>43326</v>
      </c>
      <c r="K2753" s="176">
        <f>IFERROR(__xludf.DUMMYFUNCTION("""COMPUTED_VALUE"""),31.0)</f>
        <v>31</v>
      </c>
      <c r="L2753" s="176">
        <f>IFERROR(__xludf.DUMMYFUNCTION("""COMPUTED_VALUE"""),14.0)</f>
        <v>14</v>
      </c>
      <c r="M2753" s="176">
        <f>IFERROR(__xludf.DUMMYFUNCTION("""COMPUTED_VALUE"""),45.0)</f>
        <v>45</v>
      </c>
      <c r="N2753" s="177" t="str">
        <f>IFERROR(__xludf.DUMMYFUNCTION("""COMPUTED_VALUE"""),"Model 3 Performance")</f>
        <v>Model 3 Performance</v>
      </c>
      <c r="O2753" s="177" t="str">
        <f>IFERROR(__xludf.DUMMYFUNCTION("""COMPUTED_VALUE"""),"Pearl White Multi-Coat")</f>
        <v>Pearl White Multi-Coat</v>
      </c>
      <c r="P2753" s="178" t="str">
        <f>IFERROR(__xludf.DUMMYFUNCTION("""COMPUTED_VALUE"""),"18 inch Aero")</f>
        <v>18 inch Aero</v>
      </c>
      <c r="Q2753" s="177" t="str">
        <f>IFERROR(__xludf.DUMMYFUNCTION("""COMPUTED_VALUE"""),"Black seats")</f>
        <v>Black seats</v>
      </c>
      <c r="R2753" s="170" t="str">
        <f>IFERROR(__xludf.DUMMYFUNCTION("""COMPUTED_VALUE"""),"Enhanced Autopilot")</f>
        <v>Enhanced Autopilot</v>
      </c>
      <c r="S2753" s="170"/>
      <c r="T2753" s="179"/>
      <c r="U2753" s="179"/>
      <c r="V2753" s="179"/>
      <c r="W2753" s="180"/>
      <c r="X2753" s="181" t="str">
        <f>IFERROR(__xludf.DUMMYFUNCTION("""COMPUTED_VALUE"""),"Excellent")</f>
        <v>Excellent</v>
      </c>
      <c r="Y2753" s="182" t="str">
        <f>IFERROR(__xludf.DUMMYFUNCTION("""COMPUTED_VALUE"""),"Excellent")</f>
        <v>Excellent</v>
      </c>
      <c r="Z2753" s="182" t="str">
        <f>IFERROR(__xludf.DUMMYFUNCTION("""COMPUTED_VALUE"""),"Very Good")</f>
        <v>Very Good</v>
      </c>
      <c r="AA2753" s="182" t="str">
        <f>IFERROR(__xludf.DUMMYFUNCTION("""COMPUTED_VALUE"""),"Excellent")</f>
        <v>Excellent</v>
      </c>
      <c r="AB2753" s="182" t="str">
        <f>IFERROR(__xludf.DUMMYFUNCTION("""COMPUTED_VALUE"""),"Excellent")</f>
        <v>Excellent</v>
      </c>
      <c r="AC2753" s="183"/>
      <c r="AD2753" s="183"/>
      <c r="AE2753" s="183"/>
      <c r="AF2753" s="184"/>
      <c r="AG2753" s="180"/>
      <c r="AH2753" s="185">
        <f>IFERROR(__xludf.DUMMYFUNCTION("""COMPUTED_VALUE"""),43327.91677550926)</f>
        <v>43327.91678</v>
      </c>
      <c r="AI2753" s="182"/>
      <c r="AJ2753" s="182"/>
      <c r="AK2753" s="182"/>
      <c r="AL2753" s="182"/>
    </row>
    <row r="2754" ht="20.25" customHeight="1">
      <c r="A2754" s="169" t="str">
        <f>IFERROR(__xludf.DUMMYFUNCTION("""COMPUTED_VALUE"""),"jasonrdi")</f>
        <v>jasonrdi</v>
      </c>
      <c r="B2754" s="170"/>
      <c r="C2754" s="170" t="str">
        <f>IFERROR(__xludf.DUMMYFUNCTION("""COMPUTED_VALUE"""),"CA")</f>
        <v>CA</v>
      </c>
      <c r="D2754" s="170" t="str">
        <f>IFERROR(__xludf.DUMMYFUNCTION("""COMPUTED_VALUE"""),"USA")</f>
        <v>USA</v>
      </c>
      <c r="E2754" s="171">
        <f>IFERROR(__xludf.DUMMYFUNCTION("""COMPUTED_VALUE"""),43281.0)</f>
        <v>43281</v>
      </c>
      <c r="F2754" s="172">
        <f>IFERROR(__xludf.DUMMYFUNCTION("""COMPUTED_VALUE"""),43293.0)</f>
        <v>43293</v>
      </c>
      <c r="G2754" s="173"/>
      <c r="H2754" s="174">
        <f>IFERROR(__xludf.DUMMYFUNCTION("""COMPUTED_VALUE"""),48855.0)</f>
        <v>48855</v>
      </c>
      <c r="I2754" s="175"/>
      <c r="J2754" s="172">
        <f>IFERROR(__xludf.DUMMYFUNCTION("""COMPUTED_VALUE"""),43302.0)</f>
        <v>43302</v>
      </c>
      <c r="K2754" s="176">
        <f>IFERROR(__xludf.DUMMYFUNCTION("""COMPUTED_VALUE"""),12.0)</f>
        <v>12</v>
      </c>
      <c r="L2754" s="176">
        <f>IFERROR(__xludf.DUMMYFUNCTION("""COMPUTED_VALUE"""),9.0)</f>
        <v>9</v>
      </c>
      <c r="M2754" s="176">
        <f>IFERROR(__xludf.DUMMYFUNCTION("""COMPUTED_VALUE"""),21.0)</f>
        <v>21</v>
      </c>
      <c r="N2754" s="177" t="str">
        <f>IFERROR(__xludf.DUMMYFUNCTION("""COMPUTED_VALUE"""),"Model 3 LR")</f>
        <v>Model 3 LR</v>
      </c>
      <c r="O2754" s="177" t="str">
        <f>IFERROR(__xludf.DUMMYFUNCTION("""COMPUTED_VALUE"""),"Red Multi-Coat")</f>
        <v>Red Multi-Coat</v>
      </c>
      <c r="P2754" s="178" t="str">
        <f>IFERROR(__xludf.DUMMYFUNCTION("""COMPUTED_VALUE"""),"19 inch Sport")</f>
        <v>19 inch Sport</v>
      </c>
      <c r="Q2754" s="177" t="str">
        <f>IFERROR(__xludf.DUMMYFUNCTION("""COMPUTED_VALUE"""),"Black seats")</f>
        <v>Black seats</v>
      </c>
      <c r="R2754" s="170" t="str">
        <f>IFERROR(__xludf.DUMMYFUNCTION("""COMPUTED_VALUE"""),"Enhanced Autopilot")</f>
        <v>Enhanced Autopilot</v>
      </c>
      <c r="S2754" s="170"/>
      <c r="T2754" s="179"/>
      <c r="U2754" s="179"/>
      <c r="V2754" s="179"/>
      <c r="W2754" s="180"/>
      <c r="X2754" s="181" t="str">
        <f>IFERROR(__xludf.DUMMYFUNCTION("""COMPUTED_VALUE"""),"Excellent")</f>
        <v>Excellent</v>
      </c>
      <c r="Y2754" s="182" t="str">
        <f>IFERROR(__xludf.DUMMYFUNCTION("""COMPUTED_VALUE"""),"Excellent")</f>
        <v>Excellent</v>
      </c>
      <c r="Z2754" s="182" t="str">
        <f>IFERROR(__xludf.DUMMYFUNCTION("""COMPUTED_VALUE"""),"Good")</f>
        <v>Good</v>
      </c>
      <c r="AA2754" s="182" t="str">
        <f>IFERROR(__xludf.DUMMYFUNCTION("""COMPUTED_VALUE"""),"Very Good")</f>
        <v>Very Good</v>
      </c>
      <c r="AB2754" s="182" t="str">
        <f>IFERROR(__xludf.DUMMYFUNCTION("""COMPUTED_VALUE"""),"Very Good")</f>
        <v>Very Good</v>
      </c>
      <c r="AC2754" s="183">
        <f>IFERROR(__xludf.DUMMYFUNCTION("""COMPUTED_VALUE"""),2.0)</f>
        <v>2</v>
      </c>
      <c r="AD2754" s="183"/>
      <c r="AE2754" s="183"/>
      <c r="AF2754" s="184"/>
      <c r="AG2754" s="180"/>
      <c r="AH2754" s="185">
        <f>IFERROR(__xludf.DUMMYFUNCTION("""COMPUTED_VALUE"""),43304.96042045139)</f>
        <v>43304.96042</v>
      </c>
      <c r="AI2754" s="182"/>
      <c r="AJ2754" s="182"/>
      <c r="AK2754" s="182"/>
      <c r="AL2754" s="182"/>
    </row>
    <row r="2755" ht="20.25" customHeight="1">
      <c r="A2755" s="169" t="str">
        <f>IFERROR(__xludf.DUMMYFUNCTION("""COMPUTED_VALUE"""),"jb")</f>
        <v>jb</v>
      </c>
      <c r="B2755" s="170" t="str">
        <f>IFERROR(__xludf.DUMMYFUNCTION("""COMPUTED_VALUE"""),"Boulder")</f>
        <v>Boulder</v>
      </c>
      <c r="C2755" s="170" t="str">
        <f>IFERROR(__xludf.DUMMYFUNCTION("""COMPUTED_VALUE"""),"CO")</f>
        <v>CO</v>
      </c>
      <c r="D2755" s="170" t="str">
        <f>IFERROR(__xludf.DUMMYFUNCTION("""COMPUTED_VALUE"""),"USA")</f>
        <v>USA</v>
      </c>
      <c r="E2755" s="171">
        <f>IFERROR(__xludf.DUMMYFUNCTION("""COMPUTED_VALUE"""),43281.0)</f>
        <v>43281</v>
      </c>
      <c r="F2755" s="172">
        <f>IFERROR(__xludf.DUMMYFUNCTION("""COMPUTED_VALUE"""),43377.0)</f>
        <v>43377</v>
      </c>
      <c r="G2755" s="173"/>
      <c r="H2755" s="174">
        <f>IFERROR(__xludf.DUMMYFUNCTION("""COMPUTED_VALUE"""),116955.0)</f>
        <v>116955</v>
      </c>
      <c r="I2755" s="175" t="str">
        <f>IFERROR(__xludf.DUMMYFUNCTION("""COMPUTED_VALUE"""),"10/18")</f>
        <v>10/18</v>
      </c>
      <c r="J2755" s="172">
        <f>IFERROR(__xludf.DUMMYFUNCTION("""COMPUTED_VALUE"""),43386.0)</f>
        <v>43386</v>
      </c>
      <c r="K2755" s="176">
        <f>IFERROR(__xludf.DUMMYFUNCTION("""COMPUTED_VALUE"""),96.0)</f>
        <v>96</v>
      </c>
      <c r="L2755" s="176">
        <f>IFERROR(__xludf.DUMMYFUNCTION("""COMPUTED_VALUE"""),9.0)</f>
        <v>9</v>
      </c>
      <c r="M2755" s="176">
        <f>IFERROR(__xludf.DUMMYFUNCTION("""COMPUTED_VALUE"""),105.0)</f>
        <v>105</v>
      </c>
      <c r="N2755" s="177" t="str">
        <f>IFERROR(__xludf.DUMMYFUNCTION("""COMPUTED_VALUE"""),"Model 3 LR AWD")</f>
        <v>Model 3 LR AWD</v>
      </c>
      <c r="O2755" s="177" t="str">
        <f>IFERROR(__xludf.DUMMYFUNCTION("""COMPUTED_VALUE"""),"Silver Metallic")</f>
        <v>Silver Metallic</v>
      </c>
      <c r="P2755" s="178" t="str">
        <f>IFERROR(__xludf.DUMMYFUNCTION("""COMPUTED_VALUE"""),"19 inch Sport")</f>
        <v>19 inch Sport</v>
      </c>
      <c r="Q2755" s="177" t="str">
        <f>IFERROR(__xludf.DUMMYFUNCTION("""COMPUTED_VALUE"""),"Black seats")</f>
        <v>Black seats</v>
      </c>
      <c r="R2755" s="170" t="str">
        <f>IFERROR(__xludf.DUMMYFUNCTION("""COMPUTED_VALUE"""),"None")</f>
        <v>None</v>
      </c>
      <c r="S2755" s="170"/>
      <c r="T2755" s="179"/>
      <c r="U2755" s="179"/>
      <c r="V2755" s="179"/>
      <c r="W2755" s="180"/>
      <c r="X2755" s="181" t="str">
        <f>IFERROR(__xludf.DUMMYFUNCTION("""COMPUTED_VALUE"""),"Excellent")</f>
        <v>Excellent</v>
      </c>
      <c r="Y2755" s="182" t="str">
        <f>IFERROR(__xludf.DUMMYFUNCTION("""COMPUTED_VALUE"""),"Excellent")</f>
        <v>Excellent</v>
      </c>
      <c r="Z2755" s="182" t="str">
        <f>IFERROR(__xludf.DUMMYFUNCTION("""COMPUTED_VALUE"""),"Excellent")</f>
        <v>Excellent</v>
      </c>
      <c r="AA2755" s="182" t="str">
        <f>IFERROR(__xludf.DUMMYFUNCTION("""COMPUTED_VALUE"""),"Poor")</f>
        <v>Poor</v>
      </c>
      <c r="AB2755" s="182" t="str">
        <f>IFERROR(__xludf.DUMMYFUNCTION("""COMPUTED_VALUE"""),"Excellent")</f>
        <v>Excellent</v>
      </c>
      <c r="AC2755" s="183"/>
      <c r="AD2755" s="183"/>
      <c r="AE2755" s="183"/>
      <c r="AF2755" s="184"/>
      <c r="AG2755" s="180"/>
      <c r="AH2755" s="185">
        <f>IFERROR(__xludf.DUMMYFUNCTION("""COMPUTED_VALUE"""),43388.62842811343)</f>
        <v>43388.62843</v>
      </c>
      <c r="AI2755" s="182"/>
      <c r="AJ2755" s="182"/>
      <c r="AK2755" s="182"/>
      <c r="AL2755" s="182"/>
    </row>
    <row r="2756" ht="20.25" customHeight="1">
      <c r="A2756" s="169" t="str">
        <f>IFERROR(__xludf.DUMMYFUNCTION("""COMPUTED_VALUE"""),"Jedi2155")</f>
        <v>Jedi2155</v>
      </c>
      <c r="B2756" s="170" t="str">
        <f>IFERROR(__xludf.DUMMYFUNCTION("""COMPUTED_VALUE"""),"Diamond Bar")</f>
        <v>Diamond Bar</v>
      </c>
      <c r="C2756" s="170" t="str">
        <f>IFERROR(__xludf.DUMMYFUNCTION("""COMPUTED_VALUE"""),"CA")</f>
        <v>CA</v>
      </c>
      <c r="D2756" s="170" t="str">
        <f>IFERROR(__xludf.DUMMYFUNCTION("""COMPUTED_VALUE"""),"USA")</f>
        <v>USA</v>
      </c>
      <c r="E2756" s="171">
        <f>IFERROR(__xludf.DUMMYFUNCTION("""COMPUTED_VALUE"""),43281.0)</f>
        <v>43281</v>
      </c>
      <c r="F2756" s="172">
        <f>IFERROR(__xludf.DUMMYFUNCTION("""COMPUTED_VALUE"""),43334.0)</f>
        <v>43334</v>
      </c>
      <c r="G2756" s="173"/>
      <c r="H2756" s="174">
        <f>IFERROR(__xludf.DUMMYFUNCTION("""COMPUTED_VALUE"""),74128.0)</f>
        <v>74128</v>
      </c>
      <c r="I2756" s="175"/>
      <c r="J2756" s="172">
        <f>IFERROR(__xludf.DUMMYFUNCTION("""COMPUTED_VALUE"""),43371.0)</f>
        <v>43371</v>
      </c>
      <c r="K2756" s="176">
        <f>IFERROR(__xludf.DUMMYFUNCTION("""COMPUTED_VALUE"""),53.0)</f>
        <v>53</v>
      </c>
      <c r="L2756" s="176">
        <f>IFERROR(__xludf.DUMMYFUNCTION("""COMPUTED_VALUE"""),37.0)</f>
        <v>37</v>
      </c>
      <c r="M2756" s="176">
        <f>IFERROR(__xludf.DUMMYFUNCTION("""COMPUTED_VALUE"""),90.0)</f>
        <v>90</v>
      </c>
      <c r="N2756" s="177" t="str">
        <f>IFERROR(__xludf.DUMMYFUNCTION("""COMPUTED_VALUE"""),"Model 3 Performance")</f>
        <v>Model 3 Performance</v>
      </c>
      <c r="O2756" s="177" t="str">
        <f>IFERROR(__xludf.DUMMYFUNCTION("""COMPUTED_VALUE"""),"Deep Blue Metallic")</f>
        <v>Deep Blue Metallic</v>
      </c>
      <c r="P2756" s="178" t="str">
        <f>IFERROR(__xludf.DUMMYFUNCTION("""COMPUTED_VALUE"""),"20 inch Sport")</f>
        <v>20 inch Sport</v>
      </c>
      <c r="Q2756" s="177" t="str">
        <f>IFERROR(__xludf.DUMMYFUNCTION("""COMPUTED_VALUE"""),"White seats")</f>
        <v>White seats</v>
      </c>
      <c r="R2756" s="170" t="str">
        <f>IFERROR(__xludf.DUMMYFUNCTION("""COMPUTED_VALUE"""),"Full Self-Driving")</f>
        <v>Full Self-Driving</v>
      </c>
      <c r="S2756" s="170"/>
      <c r="T2756" s="179"/>
      <c r="U2756" s="179"/>
      <c r="V2756" s="179"/>
      <c r="W2756" s="180"/>
      <c r="X2756" s="181" t="str">
        <f>IFERROR(__xludf.DUMMYFUNCTION("""COMPUTED_VALUE"""),"Excellent")</f>
        <v>Excellent</v>
      </c>
      <c r="Y2756" s="182" t="str">
        <f>IFERROR(__xludf.DUMMYFUNCTION("""COMPUTED_VALUE"""),"Excellent")</f>
        <v>Excellent</v>
      </c>
      <c r="Z2756" s="182" t="str">
        <f>IFERROR(__xludf.DUMMYFUNCTION("""COMPUTED_VALUE"""),"Very Good")</f>
        <v>Very Good</v>
      </c>
      <c r="AA2756" s="182" t="str">
        <f>IFERROR(__xludf.DUMMYFUNCTION("""COMPUTED_VALUE"""),"Poor")</f>
        <v>Poor</v>
      </c>
      <c r="AB2756" s="182" t="str">
        <f>IFERROR(__xludf.DUMMYFUNCTION("""COMPUTED_VALUE"""),"Poor")</f>
        <v>Poor</v>
      </c>
      <c r="AC2756" s="183"/>
      <c r="AD2756" s="183"/>
      <c r="AE2756" s="183"/>
      <c r="AF2756" s="184"/>
      <c r="AG2756" s="180" t="str">
        <f>IFERROR(__xludf.DUMMYFUNCTION("""COMPUTED_VALUE"""),"Reserved 4/10/2018. Ordered AWD 6/30. Edited AWD to RWD on 7/22. RWD VIN assigned 7/26. RWD scheduled 8/8/18 but failed pre-delivery inspection (589xx). 8/10 canceled RWD -&gt; AWD-Performance. 8/15/18 AWD Performance entered system. 8/22 VIN assigned 8/30 d"&amp;"elivery. 8/28 delivery was canceled saying car was not built yet. 9/13 scheduled for 9/28 delivery. 9/28 delivery was delayed to 9/30. Visited Delivery center and switched to demo car w/ 20"" VIN: 741xx with discount.")</f>
        <v>Reserved 4/10/2018. Ordered AWD 6/30. Edited AWD to RWD on 7/22. RWD VIN assigned 7/26. RWD scheduled 8/8/18 but failed pre-delivery inspection (589xx). 8/10 canceled RWD -&gt; AWD-Performance. 8/15/18 AWD Performance entered system. 8/22 VIN assigned 8/30 delivery. 8/28 delivery was canceled saying car was not built yet. 9/13 scheduled for 9/28 delivery. 9/28 delivery was delayed to 9/30. Visited Delivery center and switched to demo car w/ 20" VIN: 741xx with discount.</v>
      </c>
      <c r="AH2756" s="185">
        <f>IFERROR(__xludf.DUMMYFUNCTION("""COMPUTED_VALUE"""),43370.03421997686)</f>
        <v>43370.03422</v>
      </c>
      <c r="AI2756" s="182"/>
      <c r="AJ2756" s="182"/>
      <c r="AK2756" s="182"/>
      <c r="AL2756" s="182"/>
    </row>
    <row r="2757" ht="20.25" customHeight="1">
      <c r="A2757" s="169" t="str">
        <f>IFERROR(__xludf.DUMMYFUNCTION("""COMPUTED_VALUE"""),"jhtesla")</f>
        <v>jhtesla</v>
      </c>
      <c r="B2757" s="170"/>
      <c r="C2757" s="170" t="str">
        <f>IFERROR(__xludf.DUMMYFUNCTION("""COMPUTED_VALUE"""),"VA")</f>
        <v>VA</v>
      </c>
      <c r="D2757" s="170" t="str">
        <f>IFERROR(__xludf.DUMMYFUNCTION("""COMPUTED_VALUE"""),"USA")</f>
        <v>USA</v>
      </c>
      <c r="E2757" s="171">
        <f>IFERROR(__xludf.DUMMYFUNCTION("""COMPUTED_VALUE"""),43281.0)</f>
        <v>43281</v>
      </c>
      <c r="F2757" s="172">
        <f>IFERROR(__xludf.DUMMYFUNCTION("""COMPUTED_VALUE"""),43341.0)</f>
        <v>43341</v>
      </c>
      <c r="G2757" s="173"/>
      <c r="H2757" s="174">
        <f>IFERROR(__xludf.DUMMYFUNCTION("""COMPUTED_VALUE"""),71455.0)</f>
        <v>71455</v>
      </c>
      <c r="I2757" s="175"/>
      <c r="J2757" s="172">
        <f>IFERROR(__xludf.DUMMYFUNCTION("""COMPUTED_VALUE"""),43360.0)</f>
        <v>43360</v>
      </c>
      <c r="K2757" s="176">
        <f>IFERROR(__xludf.DUMMYFUNCTION("""COMPUTED_VALUE"""),60.0)</f>
        <v>60</v>
      </c>
      <c r="L2757" s="176">
        <f>IFERROR(__xludf.DUMMYFUNCTION("""COMPUTED_VALUE"""),19.0)</f>
        <v>19</v>
      </c>
      <c r="M2757" s="176">
        <f>IFERROR(__xludf.DUMMYFUNCTION("""COMPUTED_VALUE"""),79.0)</f>
        <v>79</v>
      </c>
      <c r="N2757" s="177" t="str">
        <f>IFERROR(__xludf.DUMMYFUNCTION("""COMPUTED_VALUE"""),"Model 3 LR AWD")</f>
        <v>Model 3 LR AWD</v>
      </c>
      <c r="O2757" s="177" t="str">
        <f>IFERROR(__xludf.DUMMYFUNCTION("""COMPUTED_VALUE"""),"Obsidian Black Metallic")</f>
        <v>Obsidian Black Metallic</v>
      </c>
      <c r="P2757" s="178" t="str">
        <f>IFERROR(__xludf.DUMMYFUNCTION("""COMPUTED_VALUE"""),"19 inch Sport")</f>
        <v>19 inch Sport</v>
      </c>
      <c r="Q2757" s="177" t="str">
        <f>IFERROR(__xludf.DUMMYFUNCTION("""COMPUTED_VALUE"""),"Black seats")</f>
        <v>Black seats</v>
      </c>
      <c r="R2757" s="170" t="str">
        <f>IFERROR(__xludf.DUMMYFUNCTION("""COMPUTED_VALUE"""),"Full Self-Driving")</f>
        <v>Full Self-Driving</v>
      </c>
      <c r="S2757" s="170"/>
      <c r="T2757" s="179"/>
      <c r="U2757" s="179"/>
      <c r="V2757" s="179"/>
      <c r="W2757" s="180"/>
      <c r="X2757" s="181" t="str">
        <f>IFERROR(__xludf.DUMMYFUNCTION("""COMPUTED_VALUE"""),"Excellent")</f>
        <v>Excellent</v>
      </c>
      <c r="Y2757" s="182" t="str">
        <f>IFERROR(__xludf.DUMMYFUNCTION("""COMPUTED_VALUE"""),"Excellent")</f>
        <v>Excellent</v>
      </c>
      <c r="Z2757" s="182" t="str">
        <f>IFERROR(__xludf.DUMMYFUNCTION("""COMPUTED_VALUE"""),"Excellent")</f>
        <v>Excellent</v>
      </c>
      <c r="AA2757" s="182" t="str">
        <f>IFERROR(__xludf.DUMMYFUNCTION("""COMPUTED_VALUE"""),"Excellent")</f>
        <v>Excellent</v>
      </c>
      <c r="AB2757" s="182" t="str">
        <f>IFERROR(__xludf.DUMMYFUNCTION("""COMPUTED_VALUE"""),"Very Good")</f>
        <v>Very Good</v>
      </c>
      <c r="AC2757" s="183"/>
      <c r="AD2757" s="183"/>
      <c r="AE2757" s="183"/>
      <c r="AF2757" s="184"/>
      <c r="AG2757" s="180"/>
      <c r="AH2757" s="185">
        <f>IFERROR(__xludf.DUMMYFUNCTION("""COMPUTED_VALUE"""),43363.27751703704)</f>
        <v>43363.27752</v>
      </c>
      <c r="AI2757" s="182"/>
      <c r="AJ2757" s="182"/>
      <c r="AK2757" s="182"/>
      <c r="AL2757" s="182"/>
    </row>
    <row r="2758" ht="20.25" customHeight="1">
      <c r="A2758" s="169" t="str">
        <f>IFERROR(__xludf.DUMMYFUNCTION("""COMPUTED_VALUE"""),"jimmicka")</f>
        <v>jimmicka</v>
      </c>
      <c r="B2758" s="170" t="str">
        <f>IFERROR(__xludf.DUMMYFUNCTION("""COMPUTED_VALUE"""),"Hoboken")</f>
        <v>Hoboken</v>
      </c>
      <c r="C2758" s="170" t="str">
        <f>IFERROR(__xludf.DUMMYFUNCTION("""COMPUTED_VALUE"""),"NJ")</f>
        <v>NJ</v>
      </c>
      <c r="D2758" s="170" t="str">
        <f>IFERROR(__xludf.DUMMYFUNCTION("""COMPUTED_VALUE"""),"USA")</f>
        <v>USA</v>
      </c>
      <c r="E2758" s="171">
        <f>IFERROR(__xludf.DUMMYFUNCTION("""COMPUTED_VALUE"""),43281.0)</f>
        <v>43281</v>
      </c>
      <c r="F2758" s="172">
        <f>IFERROR(__xludf.DUMMYFUNCTION("""COMPUTED_VALUE"""),43349.0)</f>
        <v>43349</v>
      </c>
      <c r="G2758" s="173"/>
      <c r="H2758" s="174">
        <f>IFERROR(__xludf.DUMMYFUNCTION("""COMPUTED_VALUE"""),97955.0)</f>
        <v>97955</v>
      </c>
      <c r="I2758" s="175" t="str">
        <f>IFERROR(__xludf.DUMMYFUNCTION("""COMPUTED_VALUE"""),"09/18")</f>
        <v>09/18</v>
      </c>
      <c r="J2758" s="172">
        <f>IFERROR(__xludf.DUMMYFUNCTION("""COMPUTED_VALUE"""),43365.0)</f>
        <v>43365</v>
      </c>
      <c r="K2758" s="176">
        <f>IFERROR(__xludf.DUMMYFUNCTION("""COMPUTED_VALUE"""),68.0)</f>
        <v>68</v>
      </c>
      <c r="L2758" s="176">
        <f>IFERROR(__xludf.DUMMYFUNCTION("""COMPUTED_VALUE"""),16.0)</f>
        <v>16</v>
      </c>
      <c r="M2758" s="176">
        <f>IFERROR(__xludf.DUMMYFUNCTION("""COMPUTED_VALUE"""),84.0)</f>
        <v>84</v>
      </c>
      <c r="N2758" s="177" t="str">
        <f>IFERROR(__xludf.DUMMYFUNCTION("""COMPUTED_VALUE"""),"Model 3 LR AWD")</f>
        <v>Model 3 LR AWD</v>
      </c>
      <c r="O2758" s="177" t="str">
        <f>IFERROR(__xludf.DUMMYFUNCTION("""COMPUTED_VALUE"""),"Pearl White Multi-Coat")</f>
        <v>Pearl White Multi-Coat</v>
      </c>
      <c r="P2758" s="178" t="str">
        <f>IFERROR(__xludf.DUMMYFUNCTION("""COMPUTED_VALUE"""),"19 inch Sport")</f>
        <v>19 inch Sport</v>
      </c>
      <c r="Q2758" s="177" t="str">
        <f>IFERROR(__xludf.DUMMYFUNCTION("""COMPUTED_VALUE"""),"White seats")</f>
        <v>White seats</v>
      </c>
      <c r="R2758" s="170" t="str">
        <f>IFERROR(__xludf.DUMMYFUNCTION("""COMPUTED_VALUE"""),"Full Self-Driving")</f>
        <v>Full Self-Driving</v>
      </c>
      <c r="S2758" s="170"/>
      <c r="T2758" s="179"/>
      <c r="U2758" s="179"/>
      <c r="V2758" s="179"/>
      <c r="W2758" s="180"/>
      <c r="X2758" s="181" t="str">
        <f>IFERROR(__xludf.DUMMYFUNCTION("""COMPUTED_VALUE"""),"Excellent")</f>
        <v>Excellent</v>
      </c>
      <c r="Y2758" s="182" t="str">
        <f>IFERROR(__xludf.DUMMYFUNCTION("""COMPUTED_VALUE"""),"Excellent")</f>
        <v>Excellent</v>
      </c>
      <c r="Z2758" s="182" t="str">
        <f>IFERROR(__xludf.DUMMYFUNCTION("""COMPUTED_VALUE"""),"Excellent")</f>
        <v>Excellent</v>
      </c>
      <c r="AA2758" s="182" t="str">
        <f>IFERROR(__xludf.DUMMYFUNCTION("""COMPUTED_VALUE"""),"Excellent")</f>
        <v>Excellent</v>
      </c>
      <c r="AB2758" s="182" t="str">
        <f>IFERROR(__xludf.DUMMYFUNCTION("""COMPUTED_VALUE"""),"Excellent")</f>
        <v>Excellent</v>
      </c>
      <c r="AC2758" s="183">
        <f>IFERROR(__xludf.DUMMYFUNCTION("""COMPUTED_VALUE"""),1.0)</f>
        <v>1</v>
      </c>
      <c r="AD2758" s="183">
        <f>IFERROR(__xludf.DUMMYFUNCTION("""COMPUTED_VALUE"""),1.0)</f>
        <v>1</v>
      </c>
      <c r="AE2758" s="183">
        <f>IFERROR(__xludf.DUMMYFUNCTION("""COMPUTED_VALUE"""),0.0)</f>
        <v>0</v>
      </c>
      <c r="AF2758" s="184"/>
      <c r="AG2758" s="180"/>
      <c r="AH2758" s="185">
        <f>IFERROR(__xludf.DUMMYFUNCTION("""COMPUTED_VALUE"""),43403.08141385416)</f>
        <v>43403.08141</v>
      </c>
      <c r="AI2758" s="182"/>
      <c r="AJ2758" s="182"/>
      <c r="AK2758" s="182"/>
      <c r="AL2758" s="182"/>
    </row>
    <row r="2759" ht="20.25" customHeight="1">
      <c r="A2759" s="169" t="str">
        <f>IFERROR(__xludf.DUMMYFUNCTION("""COMPUTED_VALUE"""),"jman0808")</f>
        <v>jman0808</v>
      </c>
      <c r="B2759" s="170" t="str">
        <f>IFERROR(__xludf.DUMMYFUNCTION("""COMPUTED_VALUE"""),"Castle Rock")</f>
        <v>Castle Rock</v>
      </c>
      <c r="C2759" s="170" t="str">
        <f>IFERROR(__xludf.DUMMYFUNCTION("""COMPUTED_VALUE"""),"CO")</f>
        <v>CO</v>
      </c>
      <c r="D2759" s="170" t="str">
        <f>IFERROR(__xludf.DUMMYFUNCTION("""COMPUTED_VALUE"""),"USA")</f>
        <v>USA</v>
      </c>
      <c r="E2759" s="171">
        <f>IFERROR(__xludf.DUMMYFUNCTION("""COMPUTED_VALUE"""),43281.0)</f>
        <v>43281</v>
      </c>
      <c r="F2759" s="172">
        <f>IFERROR(__xludf.DUMMYFUNCTION("""COMPUTED_VALUE"""),43364.0)</f>
        <v>43364</v>
      </c>
      <c r="G2759" s="173"/>
      <c r="H2759" s="174">
        <f>IFERROR(__xludf.DUMMYFUNCTION("""COMPUTED_VALUE"""),86955.0)</f>
        <v>86955</v>
      </c>
      <c r="I2759" s="175" t="str">
        <f>IFERROR(__xludf.DUMMYFUNCTION("""COMPUTED_VALUE"""),"09/18")</f>
        <v>09/18</v>
      </c>
      <c r="J2759" s="172">
        <f>IFERROR(__xludf.DUMMYFUNCTION("""COMPUTED_VALUE"""),43368.0)</f>
        <v>43368</v>
      </c>
      <c r="K2759" s="176">
        <f>IFERROR(__xludf.DUMMYFUNCTION("""COMPUTED_VALUE"""),83.0)</f>
        <v>83</v>
      </c>
      <c r="L2759" s="176">
        <f>IFERROR(__xludf.DUMMYFUNCTION("""COMPUTED_VALUE"""),4.0)</f>
        <v>4</v>
      </c>
      <c r="M2759" s="176">
        <f>IFERROR(__xludf.DUMMYFUNCTION("""COMPUTED_VALUE"""),87.0)</f>
        <v>87</v>
      </c>
      <c r="N2759" s="177" t="str">
        <f>IFERROR(__xludf.DUMMYFUNCTION("""COMPUTED_VALUE"""),"Model 3 LR AWD")</f>
        <v>Model 3 LR AWD</v>
      </c>
      <c r="O2759" s="177" t="str">
        <f>IFERROR(__xludf.DUMMYFUNCTION("""COMPUTED_VALUE"""),"Midnight Silver Metallic")</f>
        <v>Midnight Silver Metallic</v>
      </c>
      <c r="P2759" s="178" t="str">
        <f>IFERROR(__xludf.DUMMYFUNCTION("""COMPUTED_VALUE"""),"19 inch Sport")</f>
        <v>19 inch Sport</v>
      </c>
      <c r="Q2759" s="177" t="str">
        <f>IFERROR(__xludf.DUMMYFUNCTION("""COMPUTED_VALUE"""),"Black seats")</f>
        <v>Black seats</v>
      </c>
      <c r="R2759" s="170" t="str">
        <f>IFERROR(__xludf.DUMMYFUNCTION("""COMPUTED_VALUE"""),"None")</f>
        <v>None</v>
      </c>
      <c r="S2759" s="170"/>
      <c r="T2759" s="179"/>
      <c r="U2759" s="179"/>
      <c r="V2759" s="179"/>
      <c r="W2759" s="180"/>
      <c r="X2759" s="181" t="str">
        <f>IFERROR(__xludf.DUMMYFUNCTION("""COMPUTED_VALUE"""),"Very Good")</f>
        <v>Very Good</v>
      </c>
      <c r="Y2759" s="182" t="str">
        <f>IFERROR(__xludf.DUMMYFUNCTION("""COMPUTED_VALUE"""),"Excellent")</f>
        <v>Excellent</v>
      </c>
      <c r="Z2759" s="182" t="str">
        <f>IFERROR(__xludf.DUMMYFUNCTION("""COMPUTED_VALUE"""),"Very Good")</f>
        <v>Very Good</v>
      </c>
      <c r="AA2759" s="182" t="str">
        <f>IFERROR(__xludf.DUMMYFUNCTION("""COMPUTED_VALUE"""),"Fair")</f>
        <v>Fair</v>
      </c>
      <c r="AB2759" s="182" t="str">
        <f>IFERROR(__xludf.DUMMYFUNCTION("""COMPUTED_VALUE"""),"Very Good")</f>
        <v>Very Good</v>
      </c>
      <c r="AC2759" s="183">
        <f>IFERROR(__xludf.DUMMYFUNCTION("""COMPUTED_VALUE"""),1.0)</f>
        <v>1</v>
      </c>
      <c r="AD2759" s="183">
        <f>IFERROR(__xludf.DUMMYFUNCTION("""COMPUTED_VALUE"""),1.0)</f>
        <v>1</v>
      </c>
      <c r="AE2759" s="183"/>
      <c r="AF2759" s="184"/>
      <c r="AG2759" s="180"/>
      <c r="AH2759" s="185">
        <f>IFERROR(__xludf.DUMMYFUNCTION("""COMPUTED_VALUE"""),43382.30998864584)</f>
        <v>43382.30999</v>
      </c>
      <c r="AI2759" s="182"/>
      <c r="AJ2759" s="182"/>
      <c r="AK2759" s="182"/>
      <c r="AL2759" s="182"/>
    </row>
    <row r="2760" ht="20.25" customHeight="1">
      <c r="A2760" s="169" t="str">
        <f>IFERROR(__xludf.DUMMYFUNCTION("""COMPUTED_VALUE"""),"joe93021_")</f>
        <v>joe93021_</v>
      </c>
      <c r="B2760" s="170" t="str">
        <f>IFERROR(__xludf.DUMMYFUNCTION("""COMPUTED_VALUE"""),"_")</f>
        <v>_</v>
      </c>
      <c r="C2760" s="170" t="str">
        <f>IFERROR(__xludf.DUMMYFUNCTION("""COMPUTED_VALUE"""),"CA")</f>
        <v>CA</v>
      </c>
      <c r="D2760" s="170" t="str">
        <f>IFERROR(__xludf.DUMMYFUNCTION("""COMPUTED_VALUE"""),"USA")</f>
        <v>USA</v>
      </c>
      <c r="E2760" s="171">
        <f>IFERROR(__xludf.DUMMYFUNCTION("""COMPUTED_VALUE"""),43281.0)</f>
        <v>43281</v>
      </c>
      <c r="F2760" s="172">
        <f>IFERROR(__xludf.DUMMYFUNCTION("""COMPUTED_VALUE"""),43326.0)</f>
        <v>43326</v>
      </c>
      <c r="G2760" s="173"/>
      <c r="H2760" s="174">
        <f>IFERROR(__xludf.DUMMYFUNCTION("""COMPUTED_VALUE"""),61656.0)</f>
        <v>61656</v>
      </c>
      <c r="I2760" s="175" t="str">
        <f>IFERROR(__xludf.DUMMYFUNCTION("""COMPUTED_VALUE"""),"08/18")</f>
        <v>08/18</v>
      </c>
      <c r="J2760" s="172">
        <f>IFERROR(__xludf.DUMMYFUNCTION("""COMPUTED_VALUE"""),43339.0)</f>
        <v>43339</v>
      </c>
      <c r="K2760" s="176">
        <f>IFERROR(__xludf.DUMMYFUNCTION("""COMPUTED_VALUE"""),45.0)</f>
        <v>45</v>
      </c>
      <c r="L2760" s="176">
        <f>IFERROR(__xludf.DUMMYFUNCTION("""COMPUTED_VALUE"""),13.0)</f>
        <v>13</v>
      </c>
      <c r="M2760" s="176">
        <f>IFERROR(__xludf.DUMMYFUNCTION("""COMPUTED_VALUE"""),58.0)</f>
        <v>58</v>
      </c>
      <c r="N2760" s="177" t="str">
        <f>IFERROR(__xludf.DUMMYFUNCTION("""COMPUTED_VALUE"""),"Model 3 LR")</f>
        <v>Model 3 LR</v>
      </c>
      <c r="O2760" s="177" t="str">
        <f>IFERROR(__xludf.DUMMYFUNCTION("""COMPUTED_VALUE"""),"Red Multi-Coat")</f>
        <v>Red Multi-Coat</v>
      </c>
      <c r="P2760" s="178" t="str">
        <f>IFERROR(__xludf.DUMMYFUNCTION("""COMPUTED_VALUE"""),"19 inch Sport")</f>
        <v>19 inch Sport</v>
      </c>
      <c r="Q2760" s="177" t="str">
        <f>IFERROR(__xludf.DUMMYFUNCTION("""COMPUTED_VALUE"""),"Black seats")</f>
        <v>Black seats</v>
      </c>
      <c r="R2760" s="170" t="str">
        <f>IFERROR(__xludf.DUMMYFUNCTION("""COMPUTED_VALUE"""),"None")</f>
        <v>None</v>
      </c>
      <c r="S2760" s="170"/>
      <c r="T2760" s="179"/>
      <c r="U2760" s="179"/>
      <c r="V2760" s="179"/>
      <c r="W2760" s="180"/>
      <c r="X2760" s="181" t="str">
        <f>IFERROR(__xludf.DUMMYFUNCTION("""COMPUTED_VALUE"""),"Excellent")</f>
        <v>Excellent</v>
      </c>
      <c r="Y2760" s="182" t="str">
        <f>IFERROR(__xludf.DUMMYFUNCTION("""COMPUTED_VALUE"""),"Excellent")</f>
        <v>Excellent</v>
      </c>
      <c r="Z2760" s="182" t="str">
        <f>IFERROR(__xludf.DUMMYFUNCTION("""COMPUTED_VALUE"""),"Excellent")</f>
        <v>Excellent</v>
      </c>
      <c r="AA2760" s="182" t="str">
        <f>IFERROR(__xludf.DUMMYFUNCTION("""COMPUTED_VALUE"""),"Very Good")</f>
        <v>Very Good</v>
      </c>
      <c r="AB2760" s="182" t="str">
        <f>IFERROR(__xludf.DUMMYFUNCTION("""COMPUTED_VALUE"""),"Excellent")</f>
        <v>Excellent</v>
      </c>
      <c r="AC2760" s="183"/>
      <c r="AD2760" s="183"/>
      <c r="AE2760" s="183"/>
      <c r="AF2760" s="184"/>
      <c r="AG2760" s="180" t="str">
        <f>IFERROR(__xludf.DUMMYFUNCTION("""COMPUTED_VALUE"""),"_")</f>
        <v>_</v>
      </c>
      <c r="AH2760" s="185">
        <f>IFERROR(__xludf.DUMMYFUNCTION("""COMPUTED_VALUE"""),43350.31771293981)</f>
        <v>43350.31771</v>
      </c>
      <c r="AI2760" s="182"/>
      <c r="AJ2760" s="182"/>
      <c r="AK2760" s="182"/>
      <c r="AL2760" s="182"/>
    </row>
    <row r="2761" ht="20.25" customHeight="1">
      <c r="A2761" s="169" t="str">
        <f>IFERROR(__xludf.DUMMYFUNCTION("""COMPUTED_VALUE"""),"jpmerriman")</f>
        <v>jpmerriman</v>
      </c>
      <c r="B2761" s="170" t="str">
        <f>IFERROR(__xludf.DUMMYFUNCTION("""COMPUTED_VALUE"""),"Summit COunty")</f>
        <v>Summit COunty</v>
      </c>
      <c r="C2761" s="170" t="str">
        <f>IFERROR(__xludf.DUMMYFUNCTION("""COMPUTED_VALUE"""),"CO")</f>
        <v>CO</v>
      </c>
      <c r="D2761" s="170" t="str">
        <f>IFERROR(__xludf.DUMMYFUNCTION("""COMPUTED_VALUE"""),"USA")</f>
        <v>USA</v>
      </c>
      <c r="E2761" s="171">
        <f>IFERROR(__xludf.DUMMYFUNCTION("""COMPUTED_VALUE"""),43281.0)</f>
        <v>43281</v>
      </c>
      <c r="F2761" s="172">
        <f>IFERROR(__xludf.DUMMYFUNCTION("""COMPUTED_VALUE"""),43333.0)</f>
        <v>43333</v>
      </c>
      <c r="G2761" s="173"/>
      <c r="H2761" s="174">
        <f>IFERROR(__xludf.DUMMYFUNCTION("""COMPUTED_VALUE"""),64655.0)</f>
        <v>64655</v>
      </c>
      <c r="I2761" s="175"/>
      <c r="J2761" s="172">
        <f>IFERROR(__xludf.DUMMYFUNCTION("""COMPUTED_VALUE"""),43367.0)</f>
        <v>43367</v>
      </c>
      <c r="K2761" s="176">
        <f>IFERROR(__xludf.DUMMYFUNCTION("""COMPUTED_VALUE"""),52.0)</f>
        <v>52</v>
      </c>
      <c r="L2761" s="176">
        <f>IFERROR(__xludf.DUMMYFUNCTION("""COMPUTED_VALUE"""),34.0)</f>
        <v>34</v>
      </c>
      <c r="M2761" s="176">
        <f>IFERROR(__xludf.DUMMYFUNCTION("""COMPUTED_VALUE"""),86.0)</f>
        <v>86</v>
      </c>
      <c r="N2761" s="177" t="str">
        <f>IFERROR(__xludf.DUMMYFUNCTION("""COMPUTED_VALUE"""),"Model 3 LR AWD")</f>
        <v>Model 3 LR AWD</v>
      </c>
      <c r="O2761" s="177" t="str">
        <f>IFERROR(__xludf.DUMMYFUNCTION("""COMPUTED_VALUE"""),"Deep Blue Metallic")</f>
        <v>Deep Blue Metallic</v>
      </c>
      <c r="P2761" s="178" t="str">
        <f>IFERROR(__xludf.DUMMYFUNCTION("""COMPUTED_VALUE"""),"18 inch Aero")</f>
        <v>18 inch Aero</v>
      </c>
      <c r="Q2761" s="177" t="str">
        <f>IFERROR(__xludf.DUMMYFUNCTION("""COMPUTED_VALUE"""),"Black seats")</f>
        <v>Black seats</v>
      </c>
      <c r="R2761" s="170" t="str">
        <f>IFERROR(__xludf.DUMMYFUNCTION("""COMPUTED_VALUE"""),"Enhanced Autopilot")</f>
        <v>Enhanced Autopilot</v>
      </c>
      <c r="S2761" s="170"/>
      <c r="T2761" s="179"/>
      <c r="U2761" s="179"/>
      <c r="V2761" s="179"/>
      <c r="W2761" s="180"/>
      <c r="X2761" s="181" t="str">
        <f>IFERROR(__xludf.DUMMYFUNCTION("""COMPUTED_VALUE"""),"Excellent")</f>
        <v>Excellent</v>
      </c>
      <c r="Y2761" s="182" t="str">
        <f>IFERROR(__xludf.DUMMYFUNCTION("""COMPUTED_VALUE"""),"Excellent")</f>
        <v>Excellent</v>
      </c>
      <c r="Z2761" s="182" t="str">
        <f>IFERROR(__xludf.DUMMYFUNCTION("""COMPUTED_VALUE"""),"Very Good")</f>
        <v>Very Good</v>
      </c>
      <c r="AA2761" s="182" t="str">
        <f>IFERROR(__xludf.DUMMYFUNCTION("""COMPUTED_VALUE"""),"Excellent")</f>
        <v>Excellent</v>
      </c>
      <c r="AB2761" s="182" t="str">
        <f>IFERROR(__xludf.DUMMYFUNCTION("""COMPUTED_VALUE"""),"Poor")</f>
        <v>Poor</v>
      </c>
      <c r="AC2761" s="183">
        <f>IFERROR(__xludf.DUMMYFUNCTION("""COMPUTED_VALUE"""),1.0)</f>
        <v>1</v>
      </c>
      <c r="AD2761" s="183"/>
      <c r="AE2761" s="183"/>
      <c r="AF2761" s="184"/>
      <c r="AG2761" s="180"/>
      <c r="AH2761" s="185">
        <f>IFERROR(__xludf.DUMMYFUNCTION("""COMPUTED_VALUE"""),43365.27740384259)</f>
        <v>43365.2774</v>
      </c>
      <c r="AI2761" s="182"/>
      <c r="AJ2761" s="182"/>
      <c r="AK2761" s="182"/>
      <c r="AL2761" s="182"/>
    </row>
    <row r="2762" ht="20.25" customHeight="1">
      <c r="A2762" s="169" t="str">
        <f>IFERROR(__xludf.DUMMYFUNCTION("""COMPUTED_VALUE"""),"JPWhite")</f>
        <v>JPWhite</v>
      </c>
      <c r="B2762" s="170" t="str">
        <f>IFERROR(__xludf.DUMMYFUNCTION("""COMPUTED_VALUE"""),"Hendersonville")</f>
        <v>Hendersonville</v>
      </c>
      <c r="C2762" s="170" t="str">
        <f>IFERROR(__xludf.DUMMYFUNCTION("""COMPUTED_VALUE"""),"TN")</f>
        <v>TN</v>
      </c>
      <c r="D2762" s="170" t="str">
        <f>IFERROR(__xludf.DUMMYFUNCTION("""COMPUTED_VALUE"""),"USA")</f>
        <v>USA</v>
      </c>
      <c r="E2762" s="171">
        <f>IFERROR(__xludf.DUMMYFUNCTION("""COMPUTED_VALUE"""),43281.0)</f>
        <v>43281</v>
      </c>
      <c r="F2762" s="172">
        <f>IFERROR(__xludf.DUMMYFUNCTION("""COMPUTED_VALUE"""),43381.0)</f>
        <v>43381</v>
      </c>
      <c r="G2762" s="173"/>
      <c r="H2762" s="174">
        <f>IFERROR(__xludf.DUMMYFUNCTION("""COMPUTED_VALUE"""),94589.0)</f>
        <v>94589</v>
      </c>
      <c r="I2762" s="175" t="str">
        <f>IFERROR(__xludf.DUMMYFUNCTION("""COMPUTED_VALUE"""),"10/18")</f>
        <v>10/18</v>
      </c>
      <c r="J2762" s="172">
        <f>IFERROR(__xludf.DUMMYFUNCTION("""COMPUTED_VALUE"""),43402.0)</f>
        <v>43402</v>
      </c>
      <c r="K2762" s="176">
        <f>IFERROR(__xludf.DUMMYFUNCTION("""COMPUTED_VALUE"""),100.0)</f>
        <v>100</v>
      </c>
      <c r="L2762" s="176">
        <f>IFERROR(__xludf.DUMMYFUNCTION("""COMPUTED_VALUE"""),21.0)</f>
        <v>21</v>
      </c>
      <c r="M2762" s="176">
        <f>IFERROR(__xludf.DUMMYFUNCTION("""COMPUTED_VALUE"""),121.0)</f>
        <v>121</v>
      </c>
      <c r="N2762" s="177" t="str">
        <f>IFERROR(__xludf.DUMMYFUNCTION("""COMPUTED_VALUE"""),"Model 3 LR AWD")</f>
        <v>Model 3 LR AWD</v>
      </c>
      <c r="O2762" s="177" t="str">
        <f>IFERROR(__xludf.DUMMYFUNCTION("""COMPUTED_VALUE"""),"Deep Blue Metallic")</f>
        <v>Deep Blue Metallic</v>
      </c>
      <c r="P2762" s="178" t="str">
        <f>IFERROR(__xludf.DUMMYFUNCTION("""COMPUTED_VALUE"""),"18 inch Aero")</f>
        <v>18 inch Aero</v>
      </c>
      <c r="Q2762" s="177" t="str">
        <f>IFERROR(__xludf.DUMMYFUNCTION("""COMPUTED_VALUE"""),"Black seats")</f>
        <v>Black seats</v>
      </c>
      <c r="R2762" s="170" t="str">
        <f>IFERROR(__xludf.DUMMYFUNCTION("""COMPUTED_VALUE"""),"None")</f>
        <v>None</v>
      </c>
      <c r="S2762" s="170"/>
      <c r="T2762" s="179"/>
      <c r="U2762" s="179"/>
      <c r="V2762" s="179"/>
      <c r="W2762" s="180"/>
      <c r="X2762" s="181" t="str">
        <f>IFERROR(__xludf.DUMMYFUNCTION("""COMPUTED_VALUE"""),"Excellent")</f>
        <v>Excellent</v>
      </c>
      <c r="Y2762" s="182" t="str">
        <f>IFERROR(__xludf.DUMMYFUNCTION("""COMPUTED_VALUE"""),"Excellent")</f>
        <v>Excellent</v>
      </c>
      <c r="Z2762" s="182" t="str">
        <f>IFERROR(__xludf.DUMMYFUNCTION("""COMPUTED_VALUE"""),"Excellent")</f>
        <v>Excellent</v>
      </c>
      <c r="AA2762" s="182" t="str">
        <f>IFERROR(__xludf.DUMMYFUNCTION("""COMPUTED_VALUE"""),"Excellent")</f>
        <v>Excellent</v>
      </c>
      <c r="AB2762" s="182" t="str">
        <f>IFERROR(__xludf.DUMMYFUNCTION("""COMPUTED_VALUE"""),"Excellent")</f>
        <v>Excellent</v>
      </c>
      <c r="AC2762" s="183">
        <f>IFERROR(__xludf.DUMMYFUNCTION("""COMPUTED_VALUE"""),0.0)</f>
        <v>0</v>
      </c>
      <c r="AD2762" s="183">
        <f>IFERROR(__xludf.DUMMYFUNCTION("""COMPUTED_VALUE"""),0.0)</f>
        <v>0</v>
      </c>
      <c r="AE2762" s="183">
        <f>IFERROR(__xludf.DUMMYFUNCTION("""COMPUTED_VALUE"""),0.0)</f>
        <v>0</v>
      </c>
      <c r="AF2762" s="184"/>
      <c r="AG2762" s="180"/>
      <c r="AH2762" s="185">
        <f>IFERROR(__xludf.DUMMYFUNCTION("""COMPUTED_VALUE"""),43406.6475885301)</f>
        <v>43406.64759</v>
      </c>
      <c r="AI2762" s="182"/>
      <c r="AJ2762" s="182"/>
      <c r="AK2762" s="182"/>
      <c r="AL2762" s="182"/>
    </row>
    <row r="2763" ht="20.25" customHeight="1">
      <c r="A2763" s="169" t="str">
        <f>IFERROR(__xludf.DUMMYFUNCTION("""COMPUTED_VALUE"""),"kryond")</f>
        <v>kryond</v>
      </c>
      <c r="B2763" s="170"/>
      <c r="C2763" s="170" t="str">
        <f>IFERROR(__xludf.DUMMYFUNCTION("""COMPUTED_VALUE"""),"VA")</f>
        <v>VA</v>
      </c>
      <c r="D2763" s="170" t="str">
        <f>IFERROR(__xludf.DUMMYFUNCTION("""COMPUTED_VALUE"""),"USA")</f>
        <v>USA</v>
      </c>
      <c r="E2763" s="171">
        <f>IFERROR(__xludf.DUMMYFUNCTION("""COMPUTED_VALUE"""),43281.0)</f>
        <v>43281</v>
      </c>
      <c r="F2763" s="172">
        <f>IFERROR(__xludf.DUMMYFUNCTION("""COMPUTED_VALUE"""),43330.0)</f>
        <v>43330</v>
      </c>
      <c r="G2763" s="173"/>
      <c r="H2763" s="174">
        <f>IFERROR(__xludf.DUMMYFUNCTION("""COMPUTED_VALUE"""),70253.0)</f>
        <v>70253</v>
      </c>
      <c r="I2763" s="175" t="str">
        <f>IFERROR(__xludf.DUMMYFUNCTION("""COMPUTED_VALUE"""),"08/18")</f>
        <v>08/18</v>
      </c>
      <c r="J2763" s="172">
        <f>IFERROR(__xludf.DUMMYFUNCTION("""COMPUTED_VALUE"""),43337.0)</f>
        <v>43337</v>
      </c>
      <c r="K2763" s="176">
        <f>IFERROR(__xludf.DUMMYFUNCTION("""COMPUTED_VALUE"""),49.0)</f>
        <v>49</v>
      </c>
      <c r="L2763" s="176">
        <f>IFERROR(__xludf.DUMMYFUNCTION("""COMPUTED_VALUE"""),7.0)</f>
        <v>7</v>
      </c>
      <c r="M2763" s="176">
        <f>IFERROR(__xludf.DUMMYFUNCTION("""COMPUTED_VALUE"""),56.0)</f>
        <v>56</v>
      </c>
      <c r="N2763" s="177" t="str">
        <f>IFERROR(__xludf.DUMMYFUNCTION("""COMPUTED_VALUE"""),"Model 3 LR")</f>
        <v>Model 3 LR</v>
      </c>
      <c r="O2763" s="177" t="str">
        <f>IFERROR(__xludf.DUMMYFUNCTION("""COMPUTED_VALUE"""),"Obsidian Black Metallic")</f>
        <v>Obsidian Black Metallic</v>
      </c>
      <c r="P2763" s="178" t="str">
        <f>IFERROR(__xludf.DUMMYFUNCTION("""COMPUTED_VALUE"""),"18 inch Aero")</f>
        <v>18 inch Aero</v>
      </c>
      <c r="Q2763" s="177" t="str">
        <f>IFERROR(__xludf.DUMMYFUNCTION("""COMPUTED_VALUE"""),"Black seats")</f>
        <v>Black seats</v>
      </c>
      <c r="R2763" s="170" t="str">
        <f>IFERROR(__xludf.DUMMYFUNCTION("""COMPUTED_VALUE"""),"Enhanced Autopilot")</f>
        <v>Enhanced Autopilot</v>
      </c>
      <c r="S2763" s="170"/>
      <c r="T2763" s="179"/>
      <c r="U2763" s="179"/>
      <c r="V2763" s="179"/>
      <c r="W2763" s="180"/>
      <c r="X2763" s="181" t="str">
        <f>IFERROR(__xludf.DUMMYFUNCTION("""COMPUTED_VALUE"""),"Very Good")</f>
        <v>Very Good</v>
      </c>
      <c r="Y2763" s="182" t="str">
        <f>IFERROR(__xludf.DUMMYFUNCTION("""COMPUTED_VALUE"""),"Excellent")</f>
        <v>Excellent</v>
      </c>
      <c r="Z2763" s="182" t="str">
        <f>IFERROR(__xludf.DUMMYFUNCTION("""COMPUTED_VALUE"""),"Excellent")</f>
        <v>Excellent</v>
      </c>
      <c r="AA2763" s="182" t="str">
        <f>IFERROR(__xludf.DUMMYFUNCTION("""COMPUTED_VALUE"""),"Very Good")</f>
        <v>Very Good</v>
      </c>
      <c r="AB2763" s="182" t="str">
        <f>IFERROR(__xludf.DUMMYFUNCTION("""COMPUTED_VALUE"""),"Excellent")</f>
        <v>Excellent</v>
      </c>
      <c r="AC2763" s="183">
        <f>IFERROR(__xludf.DUMMYFUNCTION("""COMPUTED_VALUE"""),0.0)</f>
        <v>0</v>
      </c>
      <c r="AD2763" s="183">
        <f>IFERROR(__xludf.DUMMYFUNCTION("""COMPUTED_VALUE"""),0.0)</f>
        <v>0</v>
      </c>
      <c r="AE2763" s="183">
        <f>IFERROR(__xludf.DUMMYFUNCTION("""COMPUTED_VALUE"""),0.0)</f>
        <v>0</v>
      </c>
      <c r="AF2763" s="184"/>
      <c r="AG2763" s="180"/>
      <c r="AH2763" s="185">
        <f>IFERROR(__xludf.DUMMYFUNCTION("""COMPUTED_VALUE"""),43359.807159965276)</f>
        <v>43359.80716</v>
      </c>
      <c r="AI2763" s="182"/>
      <c r="AJ2763" s="182"/>
      <c r="AK2763" s="182"/>
      <c r="AL2763" s="182"/>
    </row>
    <row r="2764" ht="20.25" customHeight="1">
      <c r="A2764" s="169" t="str">
        <f>IFERROR(__xludf.DUMMYFUNCTION("""COMPUTED_VALUE"""),"Kuzzy")</f>
        <v>Kuzzy</v>
      </c>
      <c r="B2764" s="170" t="str">
        <f>IFERROR(__xludf.DUMMYFUNCTION("""COMPUTED_VALUE"""),"Milford")</f>
        <v>Milford</v>
      </c>
      <c r="C2764" s="170" t="str">
        <f>IFERROR(__xludf.DUMMYFUNCTION("""COMPUTED_VALUE"""),"MA")</f>
        <v>MA</v>
      </c>
      <c r="D2764" s="170" t="str">
        <f>IFERROR(__xludf.DUMMYFUNCTION("""COMPUTED_VALUE"""),"USA")</f>
        <v>USA</v>
      </c>
      <c r="E2764" s="171">
        <f>IFERROR(__xludf.DUMMYFUNCTION("""COMPUTED_VALUE"""),43281.0)</f>
        <v>43281</v>
      </c>
      <c r="F2764" s="172">
        <f>IFERROR(__xludf.DUMMYFUNCTION("""COMPUTED_VALUE"""),43361.0)</f>
        <v>43361</v>
      </c>
      <c r="G2764" s="173"/>
      <c r="H2764" s="174">
        <f>IFERROR(__xludf.DUMMYFUNCTION("""COMPUTED_VALUE"""),54855.0)</f>
        <v>54855</v>
      </c>
      <c r="I2764" s="175" t="str">
        <f>IFERROR(__xludf.DUMMYFUNCTION("""COMPUTED_VALUE"""),"08/18")</f>
        <v>08/18</v>
      </c>
      <c r="J2764" s="172">
        <f>IFERROR(__xludf.DUMMYFUNCTION("""COMPUTED_VALUE"""),43371.0)</f>
        <v>43371</v>
      </c>
      <c r="K2764" s="176">
        <f>IFERROR(__xludf.DUMMYFUNCTION("""COMPUTED_VALUE"""),80.0)</f>
        <v>80</v>
      </c>
      <c r="L2764" s="176">
        <f>IFERROR(__xludf.DUMMYFUNCTION("""COMPUTED_VALUE"""),10.0)</f>
        <v>10</v>
      </c>
      <c r="M2764" s="176">
        <f>IFERROR(__xludf.DUMMYFUNCTION("""COMPUTED_VALUE"""),90.0)</f>
        <v>90</v>
      </c>
      <c r="N2764" s="177" t="str">
        <f>IFERROR(__xludf.DUMMYFUNCTION("""COMPUTED_VALUE"""),"Model 3 LR AWD")</f>
        <v>Model 3 LR AWD</v>
      </c>
      <c r="O2764" s="177" t="str">
        <f>IFERROR(__xludf.DUMMYFUNCTION("""COMPUTED_VALUE"""),"Deep Blue Metallic")</f>
        <v>Deep Blue Metallic</v>
      </c>
      <c r="P2764" s="178" t="str">
        <f>IFERROR(__xludf.DUMMYFUNCTION("""COMPUTED_VALUE"""),"18 inch Aero")</f>
        <v>18 inch Aero</v>
      </c>
      <c r="Q2764" s="177" t="str">
        <f>IFERROR(__xludf.DUMMYFUNCTION("""COMPUTED_VALUE"""),"Black seats")</f>
        <v>Black seats</v>
      </c>
      <c r="R2764" s="170" t="str">
        <f>IFERROR(__xludf.DUMMYFUNCTION("""COMPUTED_VALUE"""),"Enhanced Autopilot")</f>
        <v>Enhanced Autopilot</v>
      </c>
      <c r="S2764" s="170"/>
      <c r="T2764" s="179"/>
      <c r="U2764" s="179"/>
      <c r="V2764" s="179"/>
      <c r="W2764" s="180"/>
      <c r="X2764" s="181" t="str">
        <f>IFERROR(__xludf.DUMMYFUNCTION("""COMPUTED_VALUE"""),"Excellent")</f>
        <v>Excellent</v>
      </c>
      <c r="Y2764" s="182" t="str">
        <f>IFERROR(__xludf.DUMMYFUNCTION("""COMPUTED_VALUE"""),"Excellent")</f>
        <v>Excellent</v>
      </c>
      <c r="Z2764" s="182" t="str">
        <f>IFERROR(__xludf.DUMMYFUNCTION("""COMPUTED_VALUE"""),"Excellent")</f>
        <v>Excellent</v>
      </c>
      <c r="AA2764" s="182" t="str">
        <f>IFERROR(__xludf.DUMMYFUNCTION("""COMPUTED_VALUE"""),"Good")</f>
        <v>Good</v>
      </c>
      <c r="AB2764" s="182" t="str">
        <f>IFERROR(__xludf.DUMMYFUNCTION("""COMPUTED_VALUE"""),"Excellent")</f>
        <v>Excellent</v>
      </c>
      <c r="AC2764" s="183">
        <f>IFERROR(__xludf.DUMMYFUNCTION("""COMPUTED_VALUE"""),5.0)</f>
        <v>5</v>
      </c>
      <c r="AD2764" s="183">
        <f>IFERROR(__xludf.DUMMYFUNCTION("""COMPUTED_VALUE"""),1.0)</f>
        <v>1</v>
      </c>
      <c r="AE2764" s="183">
        <f>IFERROR(__xludf.DUMMYFUNCTION("""COMPUTED_VALUE"""),1.0)</f>
        <v>1</v>
      </c>
      <c r="AF2764" s="184"/>
      <c r="AG2764" s="180"/>
      <c r="AH2764" s="185">
        <f>IFERROR(__xludf.DUMMYFUNCTION("""COMPUTED_VALUE"""),43399.55037751158)</f>
        <v>43399.55038</v>
      </c>
      <c r="AI2764" s="182"/>
      <c r="AJ2764" s="182"/>
      <c r="AK2764" s="182"/>
      <c r="AL2764" s="182"/>
    </row>
    <row r="2765" ht="20.25" customHeight="1">
      <c r="A2765" s="169" t="str">
        <f>IFERROR(__xludf.DUMMYFUNCTION("""COMPUTED_VALUE"""),"Mike521")</f>
        <v>Mike521</v>
      </c>
      <c r="B2765" s="170" t="str">
        <f>IFERROR(__xludf.DUMMYFUNCTION("""COMPUTED_VALUE"""),"Long Island")</f>
        <v>Long Island</v>
      </c>
      <c r="C2765" s="170" t="str">
        <f>IFERROR(__xludf.DUMMYFUNCTION("""COMPUTED_VALUE"""),"NY")</f>
        <v>NY</v>
      </c>
      <c r="D2765" s="170" t="str">
        <f>IFERROR(__xludf.DUMMYFUNCTION("""COMPUTED_VALUE"""),"USA")</f>
        <v>USA</v>
      </c>
      <c r="E2765" s="171">
        <f>IFERROR(__xludf.DUMMYFUNCTION("""COMPUTED_VALUE"""),43281.0)</f>
        <v>43281</v>
      </c>
      <c r="F2765" s="172">
        <f>IFERROR(__xludf.DUMMYFUNCTION("""COMPUTED_VALUE"""),43353.0)</f>
        <v>43353</v>
      </c>
      <c r="G2765" s="173"/>
      <c r="H2765" s="174">
        <f>IFERROR(__xludf.DUMMYFUNCTION("""COMPUTED_VALUE"""),97755.0)</f>
        <v>97755</v>
      </c>
      <c r="I2765" s="175" t="str">
        <f>IFERROR(__xludf.DUMMYFUNCTION("""COMPUTED_VALUE"""),"08/18")</f>
        <v>08/18</v>
      </c>
      <c r="J2765" s="172">
        <f>IFERROR(__xludf.DUMMYFUNCTION("""COMPUTED_VALUE"""),43365.0)</f>
        <v>43365</v>
      </c>
      <c r="K2765" s="176">
        <f>IFERROR(__xludf.DUMMYFUNCTION("""COMPUTED_VALUE"""),72.0)</f>
        <v>72</v>
      </c>
      <c r="L2765" s="176">
        <f>IFERROR(__xludf.DUMMYFUNCTION("""COMPUTED_VALUE"""),12.0)</f>
        <v>12</v>
      </c>
      <c r="M2765" s="176">
        <f>IFERROR(__xludf.DUMMYFUNCTION("""COMPUTED_VALUE"""),84.0)</f>
        <v>84</v>
      </c>
      <c r="N2765" s="177" t="str">
        <f>IFERROR(__xludf.DUMMYFUNCTION("""COMPUTED_VALUE"""),"Model 3 Performance")</f>
        <v>Model 3 Performance</v>
      </c>
      <c r="O2765" s="177" t="str">
        <f>IFERROR(__xludf.DUMMYFUNCTION("""COMPUTED_VALUE"""),"Deep Blue Metallic")</f>
        <v>Deep Blue Metallic</v>
      </c>
      <c r="P2765" s="178" t="str">
        <f>IFERROR(__xludf.DUMMYFUNCTION("""COMPUTED_VALUE"""),"18 inch Aero")</f>
        <v>18 inch Aero</v>
      </c>
      <c r="Q2765" s="177" t="str">
        <f>IFERROR(__xludf.DUMMYFUNCTION("""COMPUTED_VALUE"""),"White seats")</f>
        <v>White seats</v>
      </c>
      <c r="R2765" s="170" t="str">
        <f>IFERROR(__xludf.DUMMYFUNCTION("""COMPUTED_VALUE"""),"Full Self-Driving")</f>
        <v>Full Self-Driving</v>
      </c>
      <c r="S2765" s="170"/>
      <c r="T2765" s="179"/>
      <c r="U2765" s="179"/>
      <c r="V2765" s="179"/>
      <c r="W2765" s="180"/>
      <c r="X2765" s="181" t="str">
        <f>IFERROR(__xludf.DUMMYFUNCTION("""COMPUTED_VALUE"""),"Excellent")</f>
        <v>Excellent</v>
      </c>
      <c r="Y2765" s="182" t="str">
        <f>IFERROR(__xludf.DUMMYFUNCTION("""COMPUTED_VALUE"""),"Excellent")</f>
        <v>Excellent</v>
      </c>
      <c r="Z2765" s="182" t="str">
        <f>IFERROR(__xludf.DUMMYFUNCTION("""COMPUTED_VALUE"""),"Very Good")</f>
        <v>Very Good</v>
      </c>
      <c r="AA2765" s="182" t="str">
        <f>IFERROR(__xludf.DUMMYFUNCTION("""COMPUTED_VALUE"""),"Excellent")</f>
        <v>Excellent</v>
      </c>
      <c r="AB2765" s="182" t="str">
        <f>IFERROR(__xludf.DUMMYFUNCTION("""COMPUTED_VALUE"""),"Excellent")</f>
        <v>Excellent</v>
      </c>
      <c r="AC2765" s="183"/>
      <c r="AD2765" s="183"/>
      <c r="AE2765" s="183"/>
      <c r="AF2765" s="184"/>
      <c r="AG2765" s="180"/>
      <c r="AH2765" s="185">
        <f>IFERROR(__xludf.DUMMYFUNCTION("""COMPUTED_VALUE"""),43366.19851846065)</f>
        <v>43366.19852</v>
      </c>
      <c r="AI2765" s="182"/>
      <c r="AJ2765" s="182"/>
      <c r="AK2765" s="182"/>
      <c r="AL2765" s="182"/>
    </row>
    <row r="2766" ht="20.25" customHeight="1">
      <c r="A2766" s="169" t="str">
        <f>IFERROR(__xludf.DUMMYFUNCTION("""COMPUTED_VALUE"""),"mithrandr12345")</f>
        <v>mithrandr12345</v>
      </c>
      <c r="B2766" s="170" t="str">
        <f>IFERROR(__xludf.DUMMYFUNCTION("""COMPUTED_VALUE"""),"Boulder")</f>
        <v>Boulder</v>
      </c>
      <c r="C2766" s="170" t="str">
        <f>IFERROR(__xludf.DUMMYFUNCTION("""COMPUTED_VALUE"""),"CO")</f>
        <v>CO</v>
      </c>
      <c r="D2766" s="170" t="str">
        <f>IFERROR(__xludf.DUMMYFUNCTION("""COMPUTED_VALUE"""),"USA")</f>
        <v>USA</v>
      </c>
      <c r="E2766" s="171">
        <f>IFERROR(__xludf.DUMMYFUNCTION("""COMPUTED_VALUE"""),43281.0)</f>
        <v>43281</v>
      </c>
      <c r="F2766" s="172">
        <f>IFERROR(__xludf.DUMMYFUNCTION("""COMPUTED_VALUE"""),43336.0)</f>
        <v>43336</v>
      </c>
      <c r="G2766" s="173"/>
      <c r="H2766" s="174">
        <f>IFERROR(__xludf.DUMMYFUNCTION("""COMPUTED_VALUE"""),96313.0)</f>
        <v>96313</v>
      </c>
      <c r="I2766" s="175"/>
      <c r="J2766" s="172">
        <f>IFERROR(__xludf.DUMMYFUNCTION("""COMPUTED_VALUE"""),43347.0)</f>
        <v>43347</v>
      </c>
      <c r="K2766" s="176">
        <f>IFERROR(__xludf.DUMMYFUNCTION("""COMPUTED_VALUE"""),55.0)</f>
        <v>55</v>
      </c>
      <c r="L2766" s="176">
        <f>IFERROR(__xludf.DUMMYFUNCTION("""COMPUTED_VALUE"""),11.0)</f>
        <v>11</v>
      </c>
      <c r="M2766" s="176">
        <f>IFERROR(__xludf.DUMMYFUNCTION("""COMPUTED_VALUE"""),66.0)</f>
        <v>66</v>
      </c>
      <c r="N2766" s="177" t="str">
        <f>IFERROR(__xludf.DUMMYFUNCTION("""COMPUTED_VALUE"""),"Model 3 LR AWD")</f>
        <v>Model 3 LR AWD</v>
      </c>
      <c r="O2766" s="177" t="str">
        <f>IFERROR(__xludf.DUMMYFUNCTION("""COMPUTED_VALUE"""),"Red Multi-Coat")</f>
        <v>Red Multi-Coat</v>
      </c>
      <c r="P2766" s="178" t="str">
        <f>IFERROR(__xludf.DUMMYFUNCTION("""COMPUTED_VALUE"""),"18 inch Aero")</f>
        <v>18 inch Aero</v>
      </c>
      <c r="Q2766" s="177" t="str">
        <f>IFERROR(__xludf.DUMMYFUNCTION("""COMPUTED_VALUE"""),"White seats")</f>
        <v>White seats</v>
      </c>
      <c r="R2766" s="170" t="str">
        <f>IFERROR(__xludf.DUMMYFUNCTION("""COMPUTED_VALUE"""),"Enhanced Autopilot")</f>
        <v>Enhanced Autopilot</v>
      </c>
      <c r="S2766" s="170"/>
      <c r="T2766" s="179"/>
      <c r="U2766" s="179"/>
      <c r="V2766" s="179"/>
      <c r="W2766" s="180"/>
      <c r="X2766" s="181" t="str">
        <f>IFERROR(__xludf.DUMMYFUNCTION("""COMPUTED_VALUE"""),"Excellent")</f>
        <v>Excellent</v>
      </c>
      <c r="Y2766" s="182" t="str">
        <f>IFERROR(__xludf.DUMMYFUNCTION("""COMPUTED_VALUE"""),"Excellent")</f>
        <v>Excellent</v>
      </c>
      <c r="Z2766" s="182" t="str">
        <f>IFERROR(__xludf.DUMMYFUNCTION("""COMPUTED_VALUE"""),"Excellent")</f>
        <v>Excellent</v>
      </c>
      <c r="AA2766" s="182" t="str">
        <f>IFERROR(__xludf.DUMMYFUNCTION("""COMPUTED_VALUE"""),"Good")</f>
        <v>Good</v>
      </c>
      <c r="AB2766" s="182" t="str">
        <f>IFERROR(__xludf.DUMMYFUNCTION("""COMPUTED_VALUE"""),"Fair")</f>
        <v>Fair</v>
      </c>
      <c r="AC2766" s="183"/>
      <c r="AD2766" s="183"/>
      <c r="AE2766" s="183"/>
      <c r="AF2766" s="184"/>
      <c r="AG2766" s="180"/>
      <c r="AH2766" s="185">
        <f>IFERROR(__xludf.DUMMYFUNCTION("""COMPUTED_VALUE"""),43348.85076209491)</f>
        <v>43348.85076</v>
      </c>
      <c r="AI2766" s="182"/>
      <c r="AJ2766" s="182"/>
      <c r="AK2766" s="182"/>
      <c r="AL2766" s="182"/>
    </row>
    <row r="2767" ht="20.25" customHeight="1">
      <c r="A2767" s="169" t="str">
        <f>IFERROR(__xludf.DUMMYFUNCTION("""COMPUTED_VALUE"""),"Monroematt")</f>
        <v>Monroematt</v>
      </c>
      <c r="B2767" s="170"/>
      <c r="C2767" s="170" t="str">
        <f>IFERROR(__xludf.DUMMYFUNCTION("""COMPUTED_VALUE"""),"NJ")</f>
        <v>NJ</v>
      </c>
      <c r="D2767" s="170" t="str">
        <f>IFERROR(__xludf.DUMMYFUNCTION("""COMPUTED_VALUE"""),"USA")</f>
        <v>USA</v>
      </c>
      <c r="E2767" s="171">
        <f>IFERROR(__xludf.DUMMYFUNCTION("""COMPUTED_VALUE"""),43281.0)</f>
        <v>43281</v>
      </c>
      <c r="F2767" s="172"/>
      <c r="G2767" s="173"/>
      <c r="H2767" s="174">
        <f>IFERROR(__xludf.DUMMYFUNCTION("""COMPUTED_VALUE"""),681855.0)</f>
        <v>681855</v>
      </c>
      <c r="I2767" s="175"/>
      <c r="J2767" s="172">
        <f>IFERROR(__xludf.DUMMYFUNCTION("""COMPUTED_VALUE"""),43356.0)</f>
        <v>43356</v>
      </c>
      <c r="K2767" s="176"/>
      <c r="L2767" s="176"/>
      <c r="M2767" s="176">
        <f>IFERROR(__xludf.DUMMYFUNCTION("""COMPUTED_VALUE"""),75.0)</f>
        <v>75</v>
      </c>
      <c r="N2767" s="177" t="str">
        <f>IFERROR(__xludf.DUMMYFUNCTION("""COMPUTED_VALUE"""),"Model 3 LR AWD")</f>
        <v>Model 3 LR AWD</v>
      </c>
      <c r="O2767" s="177" t="str">
        <f>IFERROR(__xludf.DUMMYFUNCTION("""COMPUTED_VALUE"""),"Solid Black")</f>
        <v>Solid Black</v>
      </c>
      <c r="P2767" s="178" t="str">
        <f>IFERROR(__xludf.DUMMYFUNCTION("""COMPUTED_VALUE"""),"18 inch Aero")</f>
        <v>18 inch Aero</v>
      </c>
      <c r="Q2767" s="177" t="str">
        <f>IFERROR(__xludf.DUMMYFUNCTION("""COMPUTED_VALUE"""),"Black seats")</f>
        <v>Black seats</v>
      </c>
      <c r="R2767" s="170" t="str">
        <f>IFERROR(__xludf.DUMMYFUNCTION("""COMPUTED_VALUE"""),"Full Self-Driving")</f>
        <v>Full Self-Driving</v>
      </c>
      <c r="S2767" s="170"/>
      <c r="T2767" s="179"/>
      <c r="U2767" s="179"/>
      <c r="V2767" s="179"/>
      <c r="W2767" s="180"/>
      <c r="X2767" s="181" t="str">
        <f>IFERROR(__xludf.DUMMYFUNCTION("""COMPUTED_VALUE"""),"Excellent")</f>
        <v>Excellent</v>
      </c>
      <c r="Y2767" s="182" t="str">
        <f>IFERROR(__xludf.DUMMYFUNCTION("""COMPUTED_VALUE"""),"Excellent")</f>
        <v>Excellent</v>
      </c>
      <c r="Z2767" s="182" t="str">
        <f>IFERROR(__xludf.DUMMYFUNCTION("""COMPUTED_VALUE"""),"Excellent")</f>
        <v>Excellent</v>
      </c>
      <c r="AA2767" s="182" t="str">
        <f>IFERROR(__xludf.DUMMYFUNCTION("""COMPUTED_VALUE"""),"Very Good")</f>
        <v>Very Good</v>
      </c>
      <c r="AB2767" s="182" t="str">
        <f>IFERROR(__xludf.DUMMYFUNCTION("""COMPUTED_VALUE"""),"Fair")</f>
        <v>Fair</v>
      </c>
      <c r="AC2767" s="183"/>
      <c r="AD2767" s="183"/>
      <c r="AE2767" s="183"/>
      <c r="AF2767" s="184"/>
      <c r="AG2767" s="180"/>
      <c r="AH2767" s="185">
        <f>IFERROR(__xludf.DUMMYFUNCTION("""COMPUTED_VALUE"""),43361.66679915509)</f>
        <v>43361.6668</v>
      </c>
      <c r="AI2767" s="182"/>
      <c r="AJ2767" s="182"/>
      <c r="AK2767" s="182"/>
      <c r="AL2767" s="182"/>
    </row>
    <row r="2768" ht="20.25" customHeight="1">
      <c r="A2768" s="169" t="str">
        <f>IFERROR(__xludf.DUMMYFUNCTION("""COMPUTED_VALUE"""),"mudit234")</f>
        <v>mudit234</v>
      </c>
      <c r="B2768" s="170" t="str">
        <f>IFERROR(__xludf.DUMMYFUNCTION("""COMPUTED_VALUE"""),"San Francisco Bay Area")</f>
        <v>San Francisco Bay Area</v>
      </c>
      <c r="C2768" s="170" t="str">
        <f>IFERROR(__xludf.DUMMYFUNCTION("""COMPUTED_VALUE"""),"CA")</f>
        <v>CA</v>
      </c>
      <c r="D2768" s="170" t="str">
        <f>IFERROR(__xludf.DUMMYFUNCTION("""COMPUTED_VALUE"""),"USA")</f>
        <v>USA</v>
      </c>
      <c r="E2768" s="171">
        <f>IFERROR(__xludf.DUMMYFUNCTION("""COMPUTED_VALUE"""),43281.0)</f>
        <v>43281</v>
      </c>
      <c r="F2768" s="172">
        <f>IFERROR(__xludf.DUMMYFUNCTION("""COMPUTED_VALUE"""),43350.0)</f>
        <v>43350</v>
      </c>
      <c r="G2768" s="173"/>
      <c r="H2768" s="174">
        <f>IFERROR(__xludf.DUMMYFUNCTION("""COMPUTED_VALUE"""),64319.0)</f>
        <v>64319</v>
      </c>
      <c r="I2768" s="175"/>
      <c r="J2768" s="172">
        <f>IFERROR(__xludf.DUMMYFUNCTION("""COMPUTED_VALUE"""),43356.0)</f>
        <v>43356</v>
      </c>
      <c r="K2768" s="176">
        <f>IFERROR(__xludf.DUMMYFUNCTION("""COMPUTED_VALUE"""),69.0)</f>
        <v>69</v>
      </c>
      <c r="L2768" s="176">
        <f>IFERROR(__xludf.DUMMYFUNCTION("""COMPUTED_VALUE"""),6.0)</f>
        <v>6</v>
      </c>
      <c r="M2768" s="176">
        <f>IFERROR(__xludf.DUMMYFUNCTION("""COMPUTED_VALUE"""),75.0)</f>
        <v>75</v>
      </c>
      <c r="N2768" s="177" t="str">
        <f>IFERROR(__xludf.DUMMYFUNCTION("""COMPUTED_VALUE"""),"Model 3 LR AWD")</f>
        <v>Model 3 LR AWD</v>
      </c>
      <c r="O2768" s="177" t="str">
        <f>IFERROR(__xludf.DUMMYFUNCTION("""COMPUTED_VALUE"""),"Red Multi-Coat")</f>
        <v>Red Multi-Coat</v>
      </c>
      <c r="P2768" s="178" t="str">
        <f>IFERROR(__xludf.DUMMYFUNCTION("""COMPUTED_VALUE"""),"18 inch Aero")</f>
        <v>18 inch Aero</v>
      </c>
      <c r="Q2768" s="177" t="str">
        <f>IFERROR(__xludf.DUMMYFUNCTION("""COMPUTED_VALUE"""),"Black seats")</f>
        <v>Black seats</v>
      </c>
      <c r="R2768" s="170" t="str">
        <f>IFERROR(__xludf.DUMMYFUNCTION("""COMPUTED_VALUE"""),"Enhanced Autopilot")</f>
        <v>Enhanced Autopilot</v>
      </c>
      <c r="S2768" s="170"/>
      <c r="T2768" s="179"/>
      <c r="U2768" s="179"/>
      <c r="V2768" s="179"/>
      <c r="W2768" s="180"/>
      <c r="X2768" s="181" t="str">
        <f>IFERROR(__xludf.DUMMYFUNCTION("""COMPUTED_VALUE"""),"Good")</f>
        <v>Good</v>
      </c>
      <c r="Y2768" s="182" t="str">
        <f>IFERROR(__xludf.DUMMYFUNCTION("""COMPUTED_VALUE"""),"Very Good")</f>
        <v>Very Good</v>
      </c>
      <c r="Z2768" s="182" t="str">
        <f>IFERROR(__xludf.DUMMYFUNCTION("""COMPUTED_VALUE"""),"Excellent")</f>
        <v>Excellent</v>
      </c>
      <c r="AA2768" s="182" t="str">
        <f>IFERROR(__xludf.DUMMYFUNCTION("""COMPUTED_VALUE"""),"Fair")</f>
        <v>Fair</v>
      </c>
      <c r="AB2768" s="182" t="str">
        <f>IFERROR(__xludf.DUMMYFUNCTION("""COMPUTED_VALUE"""),"Fair")</f>
        <v>Fair</v>
      </c>
      <c r="AC2768" s="183"/>
      <c r="AD2768" s="183"/>
      <c r="AE2768" s="183"/>
      <c r="AF2768" s="184"/>
      <c r="AG2768" s="180"/>
      <c r="AH2768" s="185">
        <f>IFERROR(__xludf.DUMMYFUNCTION("""COMPUTED_VALUE"""),43357.47332733796)</f>
        <v>43357.47333</v>
      </c>
      <c r="AI2768" s="182"/>
      <c r="AJ2768" s="182"/>
      <c r="AK2768" s="182"/>
      <c r="AL2768" s="182"/>
    </row>
    <row r="2769" ht="20.25" customHeight="1">
      <c r="A2769" s="169" t="str">
        <f>IFERROR(__xludf.DUMMYFUNCTION("""COMPUTED_VALUE"""),"natmaster")</f>
        <v>natmaster</v>
      </c>
      <c r="B2769" s="170" t="str">
        <f>IFERROR(__xludf.DUMMYFUNCTION("""COMPUTED_VALUE"""),"SF Bay Area")</f>
        <v>SF Bay Area</v>
      </c>
      <c r="C2769" s="170" t="str">
        <f>IFERROR(__xludf.DUMMYFUNCTION("""COMPUTED_VALUE"""),"CA")</f>
        <v>CA</v>
      </c>
      <c r="D2769" s="170" t="str">
        <f>IFERROR(__xludf.DUMMYFUNCTION("""COMPUTED_VALUE"""),"USA")</f>
        <v>USA</v>
      </c>
      <c r="E2769" s="171">
        <f>IFERROR(__xludf.DUMMYFUNCTION("""COMPUTED_VALUE"""),43281.0)</f>
        <v>43281</v>
      </c>
      <c r="F2769" s="172">
        <f>IFERROR(__xludf.DUMMYFUNCTION("""COMPUTED_VALUE"""),43365.0)</f>
        <v>43365</v>
      </c>
      <c r="G2769" s="173"/>
      <c r="H2769" s="174">
        <f>IFERROR(__xludf.DUMMYFUNCTION("""COMPUTED_VALUE"""),104755.0)</f>
        <v>104755</v>
      </c>
      <c r="I2769" s="175" t="str">
        <f>IFERROR(__xludf.DUMMYFUNCTION("""COMPUTED_VALUE"""),"09/18")</f>
        <v>09/18</v>
      </c>
      <c r="J2769" s="172">
        <f>IFERROR(__xludf.DUMMYFUNCTION("""COMPUTED_VALUE"""),43369.0)</f>
        <v>43369</v>
      </c>
      <c r="K2769" s="176">
        <f>IFERROR(__xludf.DUMMYFUNCTION("""COMPUTED_VALUE"""),84.0)</f>
        <v>84</v>
      </c>
      <c r="L2769" s="176">
        <f>IFERROR(__xludf.DUMMYFUNCTION("""COMPUTED_VALUE"""),4.0)</f>
        <v>4</v>
      </c>
      <c r="M2769" s="176">
        <f>IFERROR(__xludf.DUMMYFUNCTION("""COMPUTED_VALUE"""),88.0)</f>
        <v>88</v>
      </c>
      <c r="N2769" s="177" t="str">
        <f>IFERROR(__xludf.DUMMYFUNCTION("""COMPUTED_VALUE"""),"Model 3 LR AWD")</f>
        <v>Model 3 LR AWD</v>
      </c>
      <c r="O2769" s="177" t="str">
        <f>IFERROR(__xludf.DUMMYFUNCTION("""COMPUTED_VALUE"""),"Red Multi-Coat")</f>
        <v>Red Multi-Coat</v>
      </c>
      <c r="P2769" s="178" t="str">
        <f>IFERROR(__xludf.DUMMYFUNCTION("""COMPUTED_VALUE"""),"18 inch Aero")</f>
        <v>18 inch Aero</v>
      </c>
      <c r="Q2769" s="177" t="str">
        <f>IFERROR(__xludf.DUMMYFUNCTION("""COMPUTED_VALUE"""),"Black seats")</f>
        <v>Black seats</v>
      </c>
      <c r="R2769" s="170" t="str">
        <f>IFERROR(__xludf.DUMMYFUNCTION("""COMPUTED_VALUE"""),"Enhanced Autopilot")</f>
        <v>Enhanced Autopilot</v>
      </c>
      <c r="S2769" s="170"/>
      <c r="T2769" s="179"/>
      <c r="U2769" s="179"/>
      <c r="V2769" s="179"/>
      <c r="W2769" s="180"/>
      <c r="X2769" s="181" t="str">
        <f>IFERROR(__xludf.DUMMYFUNCTION("""COMPUTED_VALUE"""),"Excellent")</f>
        <v>Excellent</v>
      </c>
      <c r="Y2769" s="182" t="str">
        <f>IFERROR(__xludf.DUMMYFUNCTION("""COMPUTED_VALUE"""),"Excellent")</f>
        <v>Excellent</v>
      </c>
      <c r="Z2769" s="182" t="str">
        <f>IFERROR(__xludf.DUMMYFUNCTION("""COMPUTED_VALUE"""),"Very Good")</f>
        <v>Very Good</v>
      </c>
      <c r="AA2769" s="182" t="str">
        <f>IFERROR(__xludf.DUMMYFUNCTION("""COMPUTED_VALUE"""),"Fair")</f>
        <v>Fair</v>
      </c>
      <c r="AB2769" s="182" t="str">
        <f>IFERROR(__xludf.DUMMYFUNCTION("""COMPUTED_VALUE"""),"Good")</f>
        <v>Good</v>
      </c>
      <c r="AC2769" s="183">
        <f>IFERROR(__xludf.DUMMYFUNCTION("""COMPUTED_VALUE"""),1.0)</f>
        <v>1</v>
      </c>
      <c r="AD2769" s="183"/>
      <c r="AE2769" s="183"/>
      <c r="AF2769" s="184"/>
      <c r="AG2769" s="180"/>
      <c r="AH2769" s="185">
        <f>IFERROR(__xludf.DUMMYFUNCTION("""COMPUTED_VALUE"""),43369.65153872685)</f>
        <v>43369.65154</v>
      </c>
      <c r="AI2769" s="182"/>
      <c r="AJ2769" s="182"/>
      <c r="AK2769" s="182"/>
      <c r="AL2769" s="182"/>
    </row>
    <row r="2770" ht="20.25" customHeight="1">
      <c r="A2770" s="169" t="str">
        <f>IFERROR(__xludf.DUMMYFUNCTION("""COMPUTED_VALUE"""),"Nils")</f>
        <v>Nils</v>
      </c>
      <c r="B2770" s="170" t="str">
        <f>IFERROR(__xludf.DUMMYFUNCTION("""COMPUTED_VALUE"""),"Waitsfield")</f>
        <v>Waitsfield</v>
      </c>
      <c r="C2770" s="170" t="str">
        <f>IFERROR(__xludf.DUMMYFUNCTION("""COMPUTED_VALUE"""),"VT")</f>
        <v>VT</v>
      </c>
      <c r="D2770" s="170" t="str">
        <f>IFERROR(__xludf.DUMMYFUNCTION("""COMPUTED_VALUE"""),"USA")</f>
        <v>USA</v>
      </c>
      <c r="E2770" s="171">
        <f>IFERROR(__xludf.DUMMYFUNCTION("""COMPUTED_VALUE"""),43281.0)</f>
        <v>43281</v>
      </c>
      <c r="F2770" s="172">
        <f>IFERROR(__xludf.DUMMYFUNCTION("""COMPUTED_VALUE"""),43327.0)</f>
        <v>43327</v>
      </c>
      <c r="G2770" s="173"/>
      <c r="H2770" s="174">
        <f>IFERROR(__xludf.DUMMYFUNCTION("""COMPUTED_VALUE"""),54467.0)</f>
        <v>54467</v>
      </c>
      <c r="I2770" s="175" t="str">
        <f>IFERROR(__xludf.DUMMYFUNCTION("""COMPUTED_VALUE"""),"07/18")</f>
        <v>07/18</v>
      </c>
      <c r="J2770" s="172">
        <f>IFERROR(__xludf.DUMMYFUNCTION("""COMPUTED_VALUE"""),43357.0)</f>
        <v>43357</v>
      </c>
      <c r="K2770" s="176">
        <f>IFERROR(__xludf.DUMMYFUNCTION("""COMPUTED_VALUE"""),46.0)</f>
        <v>46</v>
      </c>
      <c r="L2770" s="176">
        <f>IFERROR(__xludf.DUMMYFUNCTION("""COMPUTED_VALUE"""),30.0)</f>
        <v>30</v>
      </c>
      <c r="M2770" s="176">
        <f>IFERROR(__xludf.DUMMYFUNCTION("""COMPUTED_VALUE"""),76.0)</f>
        <v>76</v>
      </c>
      <c r="N2770" s="177" t="str">
        <f>IFERROR(__xludf.DUMMYFUNCTION("""COMPUTED_VALUE"""),"Model 3 LR AWD")</f>
        <v>Model 3 LR AWD</v>
      </c>
      <c r="O2770" s="177" t="str">
        <f>IFERROR(__xludf.DUMMYFUNCTION("""COMPUTED_VALUE"""),"Silver Metallic")</f>
        <v>Silver Metallic</v>
      </c>
      <c r="P2770" s="178" t="str">
        <f>IFERROR(__xludf.DUMMYFUNCTION("""COMPUTED_VALUE"""),"18 inch Aero")</f>
        <v>18 inch Aero</v>
      </c>
      <c r="Q2770" s="177" t="str">
        <f>IFERROR(__xludf.DUMMYFUNCTION("""COMPUTED_VALUE"""),"Black seats")</f>
        <v>Black seats</v>
      </c>
      <c r="R2770" s="170" t="str">
        <f>IFERROR(__xludf.DUMMYFUNCTION("""COMPUTED_VALUE"""),"Enhanced Autopilot")</f>
        <v>Enhanced Autopilot</v>
      </c>
      <c r="S2770" s="170"/>
      <c r="T2770" s="179"/>
      <c r="U2770" s="179"/>
      <c r="V2770" s="179"/>
      <c r="W2770" s="180"/>
      <c r="X2770" s="181" t="str">
        <f>IFERROR(__xludf.DUMMYFUNCTION("""COMPUTED_VALUE"""),"Very Good")</f>
        <v>Very Good</v>
      </c>
      <c r="Y2770" s="182" t="str">
        <f>IFERROR(__xludf.DUMMYFUNCTION("""COMPUTED_VALUE"""),"Very Good")</f>
        <v>Very Good</v>
      </c>
      <c r="Z2770" s="182" t="str">
        <f>IFERROR(__xludf.DUMMYFUNCTION("""COMPUTED_VALUE"""),"Very Good")</f>
        <v>Very Good</v>
      </c>
      <c r="AA2770" s="182" t="str">
        <f>IFERROR(__xludf.DUMMYFUNCTION("""COMPUTED_VALUE"""),"Fair")</f>
        <v>Fair</v>
      </c>
      <c r="AB2770" s="182" t="str">
        <f>IFERROR(__xludf.DUMMYFUNCTION("""COMPUTED_VALUE"""),"Poor")</f>
        <v>Poor</v>
      </c>
      <c r="AC2770" s="183">
        <f>IFERROR(__xludf.DUMMYFUNCTION("""COMPUTED_VALUE"""),0.0)</f>
        <v>0</v>
      </c>
      <c r="AD2770" s="183">
        <f>IFERROR(__xludf.DUMMYFUNCTION("""COMPUTED_VALUE"""),0.0)</f>
        <v>0</v>
      </c>
      <c r="AE2770" s="183">
        <f>IFERROR(__xludf.DUMMYFUNCTION("""COMPUTED_VALUE"""),0.0)</f>
        <v>0</v>
      </c>
      <c r="AF2770" s="184"/>
      <c r="AG2770" s="180" t="str">
        <f>IFERROR(__xludf.DUMMYFUNCTION("""COMPUTED_VALUE"""),"Customer service wait times are unacceptably long. Delivery had three weeks of false starts because they didn't have enough drivers for our home delivery.")</f>
        <v>Customer service wait times are unacceptably long. Delivery had three weeks of false starts because they didn't have enough drivers for our home delivery.</v>
      </c>
      <c r="AH2770" s="185">
        <f>IFERROR(__xludf.DUMMYFUNCTION("""COMPUTED_VALUE"""),43391.338660775466)</f>
        <v>43391.33866</v>
      </c>
      <c r="AI2770" s="182"/>
      <c r="AJ2770" s="182"/>
      <c r="AK2770" s="182"/>
      <c r="AL2770" s="182"/>
    </row>
    <row r="2771" ht="20.25" customHeight="1">
      <c r="A2771" s="169" t="str">
        <f>IFERROR(__xludf.DUMMYFUNCTION("""COMPUTED_VALUE"""),"nmm34")</f>
        <v>nmm34</v>
      </c>
      <c r="B2771" s="170" t="str">
        <f>IFERROR(__xludf.DUMMYFUNCTION("""COMPUTED_VALUE"""),"Houston")</f>
        <v>Houston</v>
      </c>
      <c r="C2771" s="170" t="str">
        <f>IFERROR(__xludf.DUMMYFUNCTION("""COMPUTED_VALUE"""),"TX")</f>
        <v>TX</v>
      </c>
      <c r="D2771" s="170" t="str">
        <f>IFERROR(__xludf.DUMMYFUNCTION("""COMPUTED_VALUE"""),"USA")</f>
        <v>USA</v>
      </c>
      <c r="E2771" s="171">
        <f>IFERROR(__xludf.DUMMYFUNCTION("""COMPUTED_VALUE"""),43281.0)</f>
        <v>43281</v>
      </c>
      <c r="F2771" s="172">
        <f>IFERROR(__xludf.DUMMYFUNCTION("""COMPUTED_VALUE"""),43300.0)</f>
        <v>43300</v>
      </c>
      <c r="G2771" s="173"/>
      <c r="H2771" s="174">
        <f>IFERROR(__xludf.DUMMYFUNCTION("""COMPUTED_VALUE"""),57855.0)</f>
        <v>57855</v>
      </c>
      <c r="I2771" s="175"/>
      <c r="J2771" s="172">
        <f>IFERROR(__xludf.DUMMYFUNCTION("""COMPUTED_VALUE"""),43335.0)</f>
        <v>43335</v>
      </c>
      <c r="K2771" s="176">
        <f>IFERROR(__xludf.DUMMYFUNCTION("""COMPUTED_VALUE"""),19.0)</f>
        <v>19</v>
      </c>
      <c r="L2771" s="176">
        <f>IFERROR(__xludf.DUMMYFUNCTION("""COMPUTED_VALUE"""),35.0)</f>
        <v>35</v>
      </c>
      <c r="M2771" s="176">
        <f>IFERROR(__xludf.DUMMYFUNCTION("""COMPUTED_VALUE"""),54.0)</f>
        <v>54</v>
      </c>
      <c r="N2771" s="177" t="str">
        <f>IFERROR(__xludf.DUMMYFUNCTION("""COMPUTED_VALUE"""),"Model 3 LR")</f>
        <v>Model 3 LR</v>
      </c>
      <c r="O2771" s="177" t="str">
        <f>IFERROR(__xludf.DUMMYFUNCTION("""COMPUTED_VALUE"""),"Pearl White Multi-Coat")</f>
        <v>Pearl White Multi-Coat</v>
      </c>
      <c r="P2771" s="178" t="str">
        <f>IFERROR(__xludf.DUMMYFUNCTION("""COMPUTED_VALUE"""),"19 inch Sport")</f>
        <v>19 inch Sport</v>
      </c>
      <c r="Q2771" s="177" t="str">
        <f>IFERROR(__xludf.DUMMYFUNCTION("""COMPUTED_VALUE"""),"Black seats")</f>
        <v>Black seats</v>
      </c>
      <c r="R2771" s="170" t="str">
        <f>IFERROR(__xludf.DUMMYFUNCTION("""COMPUTED_VALUE"""),"Enhanced Autopilot")</f>
        <v>Enhanced Autopilot</v>
      </c>
      <c r="S2771" s="170"/>
      <c r="T2771" s="179"/>
      <c r="U2771" s="179"/>
      <c r="V2771" s="179"/>
      <c r="W2771" s="180"/>
      <c r="X2771" s="181" t="str">
        <f>IFERROR(__xludf.DUMMYFUNCTION("""COMPUTED_VALUE"""),"Excellent")</f>
        <v>Excellent</v>
      </c>
      <c r="Y2771" s="182" t="str">
        <f>IFERROR(__xludf.DUMMYFUNCTION("""COMPUTED_VALUE"""),"Excellent")</f>
        <v>Excellent</v>
      </c>
      <c r="Z2771" s="182" t="str">
        <f>IFERROR(__xludf.DUMMYFUNCTION("""COMPUTED_VALUE"""),"Excellent")</f>
        <v>Excellent</v>
      </c>
      <c r="AA2771" s="182" t="str">
        <f>IFERROR(__xludf.DUMMYFUNCTION("""COMPUTED_VALUE"""),"Fair")</f>
        <v>Fair</v>
      </c>
      <c r="AB2771" s="182" t="str">
        <f>IFERROR(__xludf.DUMMYFUNCTION("""COMPUTED_VALUE"""),"Excellent")</f>
        <v>Excellent</v>
      </c>
      <c r="AC2771" s="183"/>
      <c r="AD2771" s="183"/>
      <c r="AE2771" s="183"/>
      <c r="AF2771" s="184"/>
      <c r="AG2771" s="180"/>
      <c r="AH2771" s="185">
        <f>IFERROR(__xludf.DUMMYFUNCTION("""COMPUTED_VALUE"""),43339.6820983449)</f>
        <v>43339.6821</v>
      </c>
      <c r="AI2771" s="182"/>
      <c r="AJ2771" s="182"/>
      <c r="AK2771" s="182"/>
      <c r="AL2771" s="182"/>
    </row>
    <row r="2772" ht="20.25" customHeight="1">
      <c r="A2772" s="169" t="str">
        <f>IFERROR(__xludf.DUMMYFUNCTION("""COMPUTED_VALUE"""),"normr")</f>
        <v>normr</v>
      </c>
      <c r="B2772" s="170" t="str">
        <f>IFERROR(__xludf.DUMMYFUNCTION("""COMPUTED_VALUE"""),"Fort Lauderdale")</f>
        <v>Fort Lauderdale</v>
      </c>
      <c r="C2772" s="170" t="str">
        <f>IFERROR(__xludf.DUMMYFUNCTION("""COMPUTED_VALUE"""),"FL")</f>
        <v>FL</v>
      </c>
      <c r="D2772" s="170" t="str">
        <f>IFERROR(__xludf.DUMMYFUNCTION("""COMPUTED_VALUE"""),"USA")</f>
        <v>USA</v>
      </c>
      <c r="E2772" s="171">
        <f>IFERROR(__xludf.DUMMYFUNCTION("""COMPUTED_VALUE"""),43281.0)</f>
        <v>43281</v>
      </c>
      <c r="F2772" s="172">
        <f>IFERROR(__xludf.DUMMYFUNCTION("""COMPUTED_VALUE"""),43293.0)</f>
        <v>43293</v>
      </c>
      <c r="G2772" s="173"/>
      <c r="H2772" s="174">
        <f>IFERROR(__xludf.DUMMYFUNCTION("""COMPUTED_VALUE"""),39974.0)</f>
        <v>39974</v>
      </c>
      <c r="I2772" s="175"/>
      <c r="J2772" s="172">
        <f>IFERROR(__xludf.DUMMYFUNCTION("""COMPUTED_VALUE"""),43315.0)</f>
        <v>43315</v>
      </c>
      <c r="K2772" s="176">
        <f>IFERROR(__xludf.DUMMYFUNCTION("""COMPUTED_VALUE"""),12.0)</f>
        <v>12</v>
      </c>
      <c r="L2772" s="176">
        <f>IFERROR(__xludf.DUMMYFUNCTION("""COMPUTED_VALUE"""),22.0)</f>
        <v>22</v>
      </c>
      <c r="M2772" s="176">
        <f>IFERROR(__xludf.DUMMYFUNCTION("""COMPUTED_VALUE"""),34.0)</f>
        <v>34</v>
      </c>
      <c r="N2772" s="177" t="str">
        <f>IFERROR(__xludf.DUMMYFUNCTION("""COMPUTED_VALUE"""),"Model 3 LR")</f>
        <v>Model 3 LR</v>
      </c>
      <c r="O2772" s="177" t="str">
        <f>IFERROR(__xludf.DUMMYFUNCTION("""COMPUTED_VALUE"""),"Deep Blue Metallic")</f>
        <v>Deep Blue Metallic</v>
      </c>
      <c r="P2772" s="178" t="str">
        <f>IFERROR(__xludf.DUMMYFUNCTION("""COMPUTED_VALUE"""),"18 inch Aero")</f>
        <v>18 inch Aero</v>
      </c>
      <c r="Q2772" s="177" t="str">
        <f>IFERROR(__xludf.DUMMYFUNCTION("""COMPUTED_VALUE"""),"Black seats")</f>
        <v>Black seats</v>
      </c>
      <c r="R2772" s="170" t="str">
        <f>IFERROR(__xludf.DUMMYFUNCTION("""COMPUTED_VALUE"""),"Full Self-Driving")</f>
        <v>Full Self-Driving</v>
      </c>
      <c r="S2772" s="170"/>
      <c r="T2772" s="179"/>
      <c r="U2772" s="179"/>
      <c r="V2772" s="179"/>
      <c r="W2772" s="180"/>
      <c r="X2772" s="181" t="str">
        <f>IFERROR(__xludf.DUMMYFUNCTION("""COMPUTED_VALUE"""),"Excellent")</f>
        <v>Excellent</v>
      </c>
      <c r="Y2772" s="182" t="str">
        <f>IFERROR(__xludf.DUMMYFUNCTION("""COMPUTED_VALUE"""),"Excellent")</f>
        <v>Excellent</v>
      </c>
      <c r="Z2772" s="182" t="str">
        <f>IFERROR(__xludf.DUMMYFUNCTION("""COMPUTED_VALUE"""),"Very Good")</f>
        <v>Very Good</v>
      </c>
      <c r="AA2772" s="182" t="str">
        <f>IFERROR(__xludf.DUMMYFUNCTION("""COMPUTED_VALUE"""),"Fair")</f>
        <v>Fair</v>
      </c>
      <c r="AB2772" s="182" t="str">
        <f>IFERROR(__xludf.DUMMYFUNCTION("""COMPUTED_VALUE"""),"Very Good")</f>
        <v>Very Good</v>
      </c>
      <c r="AC2772" s="183">
        <f>IFERROR(__xludf.DUMMYFUNCTION("""COMPUTED_VALUE"""),0.0)</f>
        <v>0</v>
      </c>
      <c r="AD2772" s="183">
        <f>IFERROR(__xludf.DUMMYFUNCTION("""COMPUTED_VALUE"""),0.0)</f>
        <v>0</v>
      </c>
      <c r="AE2772" s="183"/>
      <c r="AF2772" s="184"/>
      <c r="AG2772" s="180"/>
      <c r="AH2772" s="185">
        <f>IFERROR(__xludf.DUMMYFUNCTION("""COMPUTED_VALUE"""),43335.22645059028)</f>
        <v>43335.22645</v>
      </c>
      <c r="AI2772" s="182"/>
      <c r="AJ2772" s="182"/>
      <c r="AK2772" s="182"/>
      <c r="AL2772" s="182"/>
    </row>
    <row r="2773" ht="20.25" customHeight="1">
      <c r="A2773" s="169" t="str">
        <f>IFERROR(__xludf.DUMMYFUNCTION("""COMPUTED_VALUE"""),"ObstinateObsidian")</f>
        <v>ObstinateObsidian</v>
      </c>
      <c r="B2773" s="170" t="str">
        <f>IFERROR(__xludf.DUMMYFUNCTION("""COMPUTED_VALUE"""),"Oxford")</f>
        <v>Oxford</v>
      </c>
      <c r="C2773" s="170" t="str">
        <f>IFERROR(__xludf.DUMMYFUNCTION("""COMPUTED_VALUE"""),"MS")</f>
        <v>MS</v>
      </c>
      <c r="D2773" s="170" t="str">
        <f>IFERROR(__xludf.DUMMYFUNCTION("""COMPUTED_VALUE"""),"USA")</f>
        <v>USA</v>
      </c>
      <c r="E2773" s="171">
        <f>IFERROR(__xludf.DUMMYFUNCTION("""COMPUTED_VALUE"""),43281.0)</f>
        <v>43281</v>
      </c>
      <c r="F2773" s="172">
        <f>IFERROR(__xludf.DUMMYFUNCTION("""COMPUTED_VALUE"""),43404.0)</f>
        <v>43404</v>
      </c>
      <c r="G2773" s="173"/>
      <c r="H2773" s="174">
        <f>IFERROR(__xludf.DUMMYFUNCTION("""COMPUTED_VALUE"""),110055.0)</f>
        <v>110055</v>
      </c>
      <c r="I2773" s="175" t="str">
        <f>IFERROR(__xludf.DUMMYFUNCTION("""COMPUTED_VALUE"""),"10/18")</f>
        <v>10/18</v>
      </c>
      <c r="J2773" s="172">
        <f>IFERROR(__xludf.DUMMYFUNCTION("""COMPUTED_VALUE"""),43407.0)</f>
        <v>43407</v>
      </c>
      <c r="K2773" s="176">
        <f>IFERROR(__xludf.DUMMYFUNCTION("""COMPUTED_VALUE"""),123.0)</f>
        <v>123</v>
      </c>
      <c r="L2773" s="176">
        <f>IFERROR(__xludf.DUMMYFUNCTION("""COMPUTED_VALUE"""),3.0)</f>
        <v>3</v>
      </c>
      <c r="M2773" s="176">
        <f>IFERROR(__xludf.DUMMYFUNCTION("""COMPUTED_VALUE"""),126.0)</f>
        <v>126</v>
      </c>
      <c r="N2773" s="177" t="str">
        <f>IFERROR(__xludf.DUMMYFUNCTION("""COMPUTED_VALUE"""),"Model 3 LR AWD")</f>
        <v>Model 3 LR AWD</v>
      </c>
      <c r="O2773" s="177" t="str">
        <f>IFERROR(__xludf.DUMMYFUNCTION("""COMPUTED_VALUE"""),"Obsidian Black Metallic")</f>
        <v>Obsidian Black Metallic</v>
      </c>
      <c r="P2773" s="178" t="str">
        <f>IFERROR(__xludf.DUMMYFUNCTION("""COMPUTED_VALUE"""),"19 inch Sport")</f>
        <v>19 inch Sport</v>
      </c>
      <c r="Q2773" s="177" t="str">
        <f>IFERROR(__xludf.DUMMYFUNCTION("""COMPUTED_VALUE"""),"Black seats")</f>
        <v>Black seats</v>
      </c>
      <c r="R2773" s="170" t="str">
        <f>IFERROR(__xludf.DUMMYFUNCTION("""COMPUTED_VALUE"""),"Full Self-Driving")</f>
        <v>Full Self-Driving</v>
      </c>
      <c r="S2773" s="170"/>
      <c r="T2773" s="179"/>
      <c r="U2773" s="179"/>
      <c r="V2773" s="179"/>
      <c r="W2773" s="180"/>
      <c r="X2773" s="181" t="str">
        <f>IFERROR(__xludf.DUMMYFUNCTION("""COMPUTED_VALUE"""),"Excellent")</f>
        <v>Excellent</v>
      </c>
      <c r="Y2773" s="182" t="str">
        <f>IFERROR(__xludf.DUMMYFUNCTION("""COMPUTED_VALUE"""),"Excellent")</f>
        <v>Excellent</v>
      </c>
      <c r="Z2773" s="182" t="str">
        <f>IFERROR(__xludf.DUMMYFUNCTION("""COMPUTED_VALUE"""),"Excellent")</f>
        <v>Excellent</v>
      </c>
      <c r="AA2773" s="182" t="str">
        <f>IFERROR(__xludf.DUMMYFUNCTION("""COMPUTED_VALUE"""),"Very Good")</f>
        <v>Very Good</v>
      </c>
      <c r="AB2773" s="182" t="str">
        <f>IFERROR(__xludf.DUMMYFUNCTION("""COMPUTED_VALUE"""),"Excellent")</f>
        <v>Excellent</v>
      </c>
      <c r="AC2773" s="183">
        <f>IFERROR(__xludf.DUMMYFUNCTION("""COMPUTED_VALUE"""),0.0)</f>
        <v>0</v>
      </c>
      <c r="AD2773" s="183">
        <f>IFERROR(__xludf.DUMMYFUNCTION("""COMPUTED_VALUE"""),0.0)</f>
        <v>0</v>
      </c>
      <c r="AE2773" s="183">
        <f>IFERROR(__xludf.DUMMYFUNCTION("""COMPUTED_VALUE"""),0.0)</f>
        <v>0</v>
      </c>
      <c r="AF2773" s="184"/>
      <c r="AG2773" s="180"/>
      <c r="AH2773" s="185">
        <f>IFERROR(__xludf.DUMMYFUNCTION("""COMPUTED_VALUE"""),43421.360919571765)</f>
        <v>43421.36092</v>
      </c>
      <c r="AI2773" s="182"/>
      <c r="AJ2773" s="182"/>
      <c r="AK2773" s="182"/>
      <c r="AL2773" s="182"/>
    </row>
    <row r="2774" ht="20.25" customHeight="1">
      <c r="A2774" s="169" t="str">
        <f>IFERROR(__xludf.DUMMYFUNCTION("""COMPUTED_VALUE"""),"onesleepyshadow")</f>
        <v>onesleepyshadow</v>
      </c>
      <c r="B2774" s="170" t="str">
        <f>IFERROR(__xludf.DUMMYFUNCTION("""COMPUTED_VALUE"""),"Atlanta")</f>
        <v>Atlanta</v>
      </c>
      <c r="C2774" s="170" t="str">
        <f>IFERROR(__xludf.DUMMYFUNCTION("""COMPUTED_VALUE"""),"GA")</f>
        <v>GA</v>
      </c>
      <c r="D2774" s="170" t="str">
        <f>IFERROR(__xludf.DUMMYFUNCTION("""COMPUTED_VALUE"""),"USA")</f>
        <v>USA</v>
      </c>
      <c r="E2774" s="171">
        <f>IFERROR(__xludf.DUMMYFUNCTION("""COMPUTED_VALUE"""),43281.0)</f>
        <v>43281</v>
      </c>
      <c r="F2774" s="172">
        <f>IFERROR(__xludf.DUMMYFUNCTION("""COMPUTED_VALUE"""),43340.0)</f>
        <v>43340</v>
      </c>
      <c r="G2774" s="173"/>
      <c r="H2774" s="174">
        <f>IFERROR(__xludf.DUMMYFUNCTION("""COMPUTED_VALUE"""),64555.0)</f>
        <v>64555</v>
      </c>
      <c r="I2774" s="175" t="str">
        <f>IFERROR(__xludf.DUMMYFUNCTION("""COMPUTED_VALUE"""),"08/18")</f>
        <v>08/18</v>
      </c>
      <c r="J2774" s="172">
        <f>IFERROR(__xludf.DUMMYFUNCTION("""COMPUTED_VALUE"""),43344.0)</f>
        <v>43344</v>
      </c>
      <c r="K2774" s="176">
        <f>IFERROR(__xludf.DUMMYFUNCTION("""COMPUTED_VALUE"""),59.0)</f>
        <v>59</v>
      </c>
      <c r="L2774" s="176">
        <f>IFERROR(__xludf.DUMMYFUNCTION("""COMPUTED_VALUE"""),4.0)</f>
        <v>4</v>
      </c>
      <c r="M2774" s="176">
        <f>IFERROR(__xludf.DUMMYFUNCTION("""COMPUTED_VALUE"""),63.0)</f>
        <v>63</v>
      </c>
      <c r="N2774" s="177" t="str">
        <f>IFERROR(__xludf.DUMMYFUNCTION("""COMPUTED_VALUE"""),"Model 3 LR AWD")</f>
        <v>Model 3 LR AWD</v>
      </c>
      <c r="O2774" s="177" t="str">
        <f>IFERROR(__xludf.DUMMYFUNCTION("""COMPUTED_VALUE"""),"Deep Blue Metallic")</f>
        <v>Deep Blue Metallic</v>
      </c>
      <c r="P2774" s="178" t="str">
        <f>IFERROR(__xludf.DUMMYFUNCTION("""COMPUTED_VALUE"""),"18 inch Aero")</f>
        <v>18 inch Aero</v>
      </c>
      <c r="Q2774" s="177" t="str">
        <f>IFERROR(__xludf.DUMMYFUNCTION("""COMPUTED_VALUE"""),"Black seats")</f>
        <v>Black seats</v>
      </c>
      <c r="R2774" s="170" t="str">
        <f>IFERROR(__xludf.DUMMYFUNCTION("""COMPUTED_VALUE"""),"Enhanced Autopilot")</f>
        <v>Enhanced Autopilot</v>
      </c>
      <c r="S2774" s="170"/>
      <c r="T2774" s="179"/>
      <c r="U2774" s="179"/>
      <c r="V2774" s="179"/>
      <c r="W2774" s="180"/>
      <c r="X2774" s="181" t="str">
        <f>IFERROR(__xludf.DUMMYFUNCTION("""COMPUTED_VALUE"""),"Excellent")</f>
        <v>Excellent</v>
      </c>
      <c r="Y2774" s="182" t="str">
        <f>IFERROR(__xludf.DUMMYFUNCTION("""COMPUTED_VALUE"""),"Excellent")</f>
        <v>Excellent</v>
      </c>
      <c r="Z2774" s="182" t="str">
        <f>IFERROR(__xludf.DUMMYFUNCTION("""COMPUTED_VALUE"""),"Good")</f>
        <v>Good</v>
      </c>
      <c r="AA2774" s="182" t="str">
        <f>IFERROR(__xludf.DUMMYFUNCTION("""COMPUTED_VALUE"""),"Poor")</f>
        <v>Poor</v>
      </c>
      <c r="AB2774" s="182" t="str">
        <f>IFERROR(__xludf.DUMMYFUNCTION("""COMPUTED_VALUE"""),"Poor")</f>
        <v>Poor</v>
      </c>
      <c r="AC2774" s="183">
        <f>IFERROR(__xludf.DUMMYFUNCTION("""COMPUTED_VALUE"""),4.0)</f>
        <v>4</v>
      </c>
      <c r="AD2774" s="183"/>
      <c r="AE2774" s="183"/>
      <c r="AF2774" s="184"/>
      <c r="AG2774" s="180" t="str">
        <f>IFERROR(__xludf.DUMMYFUNCTION("""COMPUTED_VALUE"""),"Day 1 Holder. I really wanted SR + Premium but given the timeline and the tax credit I'm going with LR. I removed auto pilot to make up the difference")</f>
        <v>Day 1 Holder. I really wanted SR + Premium but given the timeline and the tax credit I'm going with LR. I removed auto pilot to make up the difference</v>
      </c>
      <c r="AH2774" s="185">
        <f>IFERROR(__xludf.DUMMYFUNCTION("""COMPUTED_VALUE"""),43345.496997662034)</f>
        <v>43345.497</v>
      </c>
      <c r="AI2774" s="182"/>
      <c r="AJ2774" s="182"/>
      <c r="AK2774" s="182"/>
      <c r="AL2774" s="182"/>
    </row>
    <row r="2775" ht="20.25" customHeight="1">
      <c r="A2775" s="169" t="str">
        <f>IFERROR(__xludf.DUMMYFUNCTION("""COMPUTED_VALUE"""),"oniichansugoi")</f>
        <v>oniichansugoi</v>
      </c>
      <c r="B2775" s="170"/>
      <c r="C2775" s="170" t="str">
        <f>IFERROR(__xludf.DUMMYFUNCTION("""COMPUTED_VALUE"""),"WA")</f>
        <v>WA</v>
      </c>
      <c r="D2775" s="170" t="str">
        <f>IFERROR(__xludf.DUMMYFUNCTION("""COMPUTED_VALUE"""),"USA")</f>
        <v>USA</v>
      </c>
      <c r="E2775" s="171">
        <f>IFERROR(__xludf.DUMMYFUNCTION("""COMPUTED_VALUE"""),43281.0)</f>
        <v>43281</v>
      </c>
      <c r="F2775" s="172">
        <f>IFERROR(__xludf.DUMMYFUNCTION("""COMPUTED_VALUE"""),43298.0)</f>
        <v>43298</v>
      </c>
      <c r="G2775" s="173"/>
      <c r="H2775" s="174">
        <f>IFERROR(__xludf.DUMMYFUNCTION("""COMPUTED_VALUE"""),35425.0)</f>
        <v>35425</v>
      </c>
      <c r="I2775" s="175"/>
      <c r="J2775" s="172">
        <f>IFERROR(__xludf.DUMMYFUNCTION("""COMPUTED_VALUE"""),43312.0)</f>
        <v>43312</v>
      </c>
      <c r="K2775" s="176">
        <f>IFERROR(__xludf.DUMMYFUNCTION("""COMPUTED_VALUE"""),17.0)</f>
        <v>17</v>
      </c>
      <c r="L2775" s="176">
        <f>IFERROR(__xludf.DUMMYFUNCTION("""COMPUTED_VALUE"""),14.0)</f>
        <v>14</v>
      </c>
      <c r="M2775" s="176">
        <f>IFERROR(__xludf.DUMMYFUNCTION("""COMPUTED_VALUE"""),31.0)</f>
        <v>31</v>
      </c>
      <c r="N2775" s="177" t="str">
        <f>IFERROR(__xludf.DUMMYFUNCTION("""COMPUTED_VALUE"""),"Model 3 LR")</f>
        <v>Model 3 LR</v>
      </c>
      <c r="O2775" s="177" t="str">
        <f>IFERROR(__xludf.DUMMYFUNCTION("""COMPUTED_VALUE"""),"Solid Black")</f>
        <v>Solid Black</v>
      </c>
      <c r="P2775" s="178" t="str">
        <f>IFERROR(__xludf.DUMMYFUNCTION("""COMPUTED_VALUE"""),"18 inch Aero")</f>
        <v>18 inch Aero</v>
      </c>
      <c r="Q2775" s="177" t="str">
        <f>IFERROR(__xludf.DUMMYFUNCTION("""COMPUTED_VALUE"""),"Black seats")</f>
        <v>Black seats</v>
      </c>
      <c r="R2775" s="170" t="str">
        <f>IFERROR(__xludf.DUMMYFUNCTION("""COMPUTED_VALUE"""),"None")</f>
        <v>None</v>
      </c>
      <c r="S2775" s="170"/>
      <c r="T2775" s="179"/>
      <c r="U2775" s="179"/>
      <c r="V2775" s="179"/>
      <c r="W2775" s="180"/>
      <c r="X2775" s="181" t="str">
        <f>IFERROR(__xludf.DUMMYFUNCTION("""COMPUTED_VALUE"""),"Excellent")</f>
        <v>Excellent</v>
      </c>
      <c r="Y2775" s="182" t="str">
        <f>IFERROR(__xludf.DUMMYFUNCTION("""COMPUTED_VALUE"""),"Very Good")</f>
        <v>Very Good</v>
      </c>
      <c r="Z2775" s="182" t="str">
        <f>IFERROR(__xludf.DUMMYFUNCTION("""COMPUTED_VALUE"""),"Very Good")</f>
        <v>Very Good</v>
      </c>
      <c r="AA2775" s="182" t="str">
        <f>IFERROR(__xludf.DUMMYFUNCTION("""COMPUTED_VALUE"""),"Very Good")</f>
        <v>Very Good</v>
      </c>
      <c r="AB2775" s="182" t="str">
        <f>IFERROR(__xludf.DUMMYFUNCTION("""COMPUTED_VALUE"""),"Very Good")</f>
        <v>Very Good</v>
      </c>
      <c r="AC2775" s="183">
        <f>IFERROR(__xludf.DUMMYFUNCTION("""COMPUTED_VALUE"""),0.0)</f>
        <v>0</v>
      </c>
      <c r="AD2775" s="183"/>
      <c r="AE2775" s="183"/>
      <c r="AF2775" s="184"/>
      <c r="AG2775" s="180"/>
      <c r="AH2775" s="185">
        <f>IFERROR(__xludf.DUMMYFUNCTION("""COMPUTED_VALUE"""),43325.73519900462)</f>
        <v>43325.7352</v>
      </c>
      <c r="AI2775" s="182"/>
      <c r="AJ2775" s="182"/>
      <c r="AK2775" s="182"/>
      <c r="AL2775" s="182"/>
    </row>
    <row r="2776" ht="20.25" customHeight="1">
      <c r="A2776" s="169" t="str">
        <f>IFERROR(__xludf.DUMMYFUNCTION("""COMPUTED_VALUE"""),"pele34")</f>
        <v>pele34</v>
      </c>
      <c r="B2776" s="170" t="str">
        <f>IFERROR(__xludf.DUMMYFUNCTION("""COMPUTED_VALUE"""),"Seattle")</f>
        <v>Seattle</v>
      </c>
      <c r="C2776" s="170" t="str">
        <f>IFERROR(__xludf.DUMMYFUNCTION("""COMPUTED_VALUE"""),"WA")</f>
        <v>WA</v>
      </c>
      <c r="D2776" s="170" t="str">
        <f>IFERROR(__xludf.DUMMYFUNCTION("""COMPUTED_VALUE"""),"USA")</f>
        <v>USA</v>
      </c>
      <c r="E2776" s="171">
        <f>IFERROR(__xludf.DUMMYFUNCTION("""COMPUTED_VALUE"""),43281.0)</f>
        <v>43281</v>
      </c>
      <c r="F2776" s="172">
        <f>IFERROR(__xludf.DUMMYFUNCTION("""COMPUTED_VALUE"""),43336.0)</f>
        <v>43336</v>
      </c>
      <c r="G2776" s="173"/>
      <c r="H2776" s="174">
        <f>IFERROR(__xludf.DUMMYFUNCTION("""COMPUTED_VALUE"""),66495.0)</f>
        <v>66495</v>
      </c>
      <c r="I2776" s="175"/>
      <c r="J2776" s="172">
        <f>IFERROR(__xludf.DUMMYFUNCTION("""COMPUTED_VALUE"""),43347.0)</f>
        <v>43347</v>
      </c>
      <c r="K2776" s="176">
        <f>IFERROR(__xludf.DUMMYFUNCTION("""COMPUTED_VALUE"""),55.0)</f>
        <v>55</v>
      </c>
      <c r="L2776" s="176">
        <f>IFERROR(__xludf.DUMMYFUNCTION("""COMPUTED_VALUE"""),11.0)</f>
        <v>11</v>
      </c>
      <c r="M2776" s="176">
        <f>IFERROR(__xludf.DUMMYFUNCTION("""COMPUTED_VALUE"""),66.0)</f>
        <v>66</v>
      </c>
      <c r="N2776" s="177" t="str">
        <f>IFERROR(__xludf.DUMMYFUNCTION("""COMPUTED_VALUE"""),"Model 3 LR AWD")</f>
        <v>Model 3 LR AWD</v>
      </c>
      <c r="O2776" s="177" t="str">
        <f>IFERROR(__xludf.DUMMYFUNCTION("""COMPUTED_VALUE"""),"Midnight Silver Metallic")</f>
        <v>Midnight Silver Metallic</v>
      </c>
      <c r="P2776" s="178" t="str">
        <f>IFERROR(__xludf.DUMMYFUNCTION("""COMPUTED_VALUE"""),"18 inch Aero")</f>
        <v>18 inch Aero</v>
      </c>
      <c r="Q2776" s="177" t="str">
        <f>IFERROR(__xludf.DUMMYFUNCTION("""COMPUTED_VALUE"""),"Black seats")</f>
        <v>Black seats</v>
      </c>
      <c r="R2776" s="170" t="str">
        <f>IFERROR(__xludf.DUMMYFUNCTION("""COMPUTED_VALUE"""),"Enhanced Autopilot")</f>
        <v>Enhanced Autopilot</v>
      </c>
      <c r="S2776" s="170"/>
      <c r="T2776" s="179"/>
      <c r="U2776" s="179"/>
      <c r="V2776" s="179"/>
      <c r="W2776" s="180"/>
      <c r="X2776" s="181" t="str">
        <f>IFERROR(__xludf.DUMMYFUNCTION("""COMPUTED_VALUE"""),"Good")</f>
        <v>Good</v>
      </c>
      <c r="Y2776" s="182" t="str">
        <f>IFERROR(__xludf.DUMMYFUNCTION("""COMPUTED_VALUE"""),"Very Good")</f>
        <v>Very Good</v>
      </c>
      <c r="Z2776" s="182" t="str">
        <f>IFERROR(__xludf.DUMMYFUNCTION("""COMPUTED_VALUE"""),"Very Good")</f>
        <v>Very Good</v>
      </c>
      <c r="AA2776" s="182" t="str">
        <f>IFERROR(__xludf.DUMMYFUNCTION("""COMPUTED_VALUE"""),"Good")</f>
        <v>Good</v>
      </c>
      <c r="AB2776" s="182" t="str">
        <f>IFERROR(__xludf.DUMMYFUNCTION("""COMPUTED_VALUE"""),"Fair")</f>
        <v>Fair</v>
      </c>
      <c r="AC2776" s="183"/>
      <c r="AD2776" s="183"/>
      <c r="AE2776" s="183"/>
      <c r="AF2776" s="184"/>
      <c r="AG2776" s="180"/>
      <c r="AH2776" s="185">
        <f>IFERROR(__xludf.DUMMYFUNCTION("""COMPUTED_VALUE"""),43347.87974145833)</f>
        <v>43347.87974</v>
      </c>
      <c r="AI2776" s="182"/>
      <c r="AJ2776" s="182"/>
      <c r="AK2776" s="182"/>
      <c r="AL2776" s="182"/>
    </row>
    <row r="2777" ht="20.25" customHeight="1">
      <c r="A2777" s="169" t="str">
        <f>IFERROR(__xludf.DUMMYFUNCTION("""COMPUTED_VALUE"""),"pellet")</f>
        <v>pellet</v>
      </c>
      <c r="B2777" s="170" t="str">
        <f>IFERROR(__xludf.DUMMYFUNCTION("""COMPUTED_VALUE"""),"Jacksonville")</f>
        <v>Jacksonville</v>
      </c>
      <c r="C2777" s="170" t="str">
        <f>IFERROR(__xludf.DUMMYFUNCTION("""COMPUTED_VALUE"""),"FL")</f>
        <v>FL</v>
      </c>
      <c r="D2777" s="170" t="str">
        <f>IFERROR(__xludf.DUMMYFUNCTION("""COMPUTED_VALUE"""),"USA")</f>
        <v>USA</v>
      </c>
      <c r="E2777" s="171">
        <f>IFERROR(__xludf.DUMMYFUNCTION("""COMPUTED_VALUE"""),43281.0)</f>
        <v>43281</v>
      </c>
      <c r="F2777" s="172">
        <f>IFERROR(__xludf.DUMMYFUNCTION("""COMPUTED_VALUE"""),43423.0)</f>
        <v>43423</v>
      </c>
      <c r="G2777" s="173"/>
      <c r="H2777" s="174">
        <f>IFERROR(__xludf.DUMMYFUNCTION("""COMPUTED_VALUE"""),134195.0)</f>
        <v>134195</v>
      </c>
      <c r="I2777" s="175"/>
      <c r="J2777" s="172">
        <f>IFERROR(__xludf.DUMMYFUNCTION("""COMPUTED_VALUE"""),43430.0)</f>
        <v>43430</v>
      </c>
      <c r="K2777" s="176">
        <f>IFERROR(__xludf.DUMMYFUNCTION("""COMPUTED_VALUE"""),142.0)</f>
        <v>142</v>
      </c>
      <c r="L2777" s="176">
        <f>IFERROR(__xludf.DUMMYFUNCTION("""COMPUTED_VALUE"""),7.0)</f>
        <v>7</v>
      </c>
      <c r="M2777" s="176">
        <f>IFERROR(__xludf.DUMMYFUNCTION("""COMPUTED_VALUE"""),149.0)</f>
        <v>149</v>
      </c>
      <c r="N2777" s="177" t="str">
        <f>IFERROR(__xludf.DUMMYFUNCTION("""COMPUTED_VALUE"""),"Model 3 LR AWD")</f>
        <v>Model 3 LR AWD</v>
      </c>
      <c r="O2777" s="177" t="str">
        <f>IFERROR(__xludf.DUMMYFUNCTION("""COMPUTED_VALUE"""),"Pearl White Multi-Coat")</f>
        <v>Pearl White Multi-Coat</v>
      </c>
      <c r="P2777" s="178" t="str">
        <f>IFERROR(__xludf.DUMMYFUNCTION("""COMPUTED_VALUE"""),"19 inch Sport")</f>
        <v>19 inch Sport</v>
      </c>
      <c r="Q2777" s="177" t="str">
        <f>IFERROR(__xludf.DUMMYFUNCTION("""COMPUTED_VALUE"""),"Black seats")</f>
        <v>Black seats</v>
      </c>
      <c r="R2777" s="170" t="str">
        <f>IFERROR(__xludf.DUMMYFUNCTION("""COMPUTED_VALUE"""),"Full Self-Driving")</f>
        <v>Full Self-Driving</v>
      </c>
      <c r="S2777" s="170"/>
      <c r="T2777" s="179"/>
      <c r="U2777" s="179"/>
      <c r="V2777" s="179"/>
      <c r="W2777" s="180"/>
      <c r="X2777" s="181" t="str">
        <f>IFERROR(__xludf.DUMMYFUNCTION("""COMPUTED_VALUE"""),"Excellent")</f>
        <v>Excellent</v>
      </c>
      <c r="Y2777" s="182" t="str">
        <f>IFERROR(__xludf.DUMMYFUNCTION("""COMPUTED_VALUE"""),"Excellent")</f>
        <v>Excellent</v>
      </c>
      <c r="Z2777" s="182" t="str">
        <f>IFERROR(__xludf.DUMMYFUNCTION("""COMPUTED_VALUE"""),"Very Good")</f>
        <v>Very Good</v>
      </c>
      <c r="AA2777" s="182" t="str">
        <f>IFERROR(__xludf.DUMMYFUNCTION("""COMPUTED_VALUE"""),"Excellent")</f>
        <v>Excellent</v>
      </c>
      <c r="AB2777" s="182" t="str">
        <f>IFERROR(__xludf.DUMMYFUNCTION("""COMPUTED_VALUE"""),"Excellent")</f>
        <v>Excellent</v>
      </c>
      <c r="AC2777" s="183">
        <f>IFERROR(__xludf.DUMMYFUNCTION("""COMPUTED_VALUE"""),2.0)</f>
        <v>2</v>
      </c>
      <c r="AD2777" s="183">
        <f>IFERROR(__xludf.DUMMYFUNCTION("""COMPUTED_VALUE"""),0.0)</f>
        <v>0</v>
      </c>
      <c r="AE2777" s="183">
        <f>IFERROR(__xludf.DUMMYFUNCTION("""COMPUTED_VALUE"""),0.0)</f>
        <v>0</v>
      </c>
      <c r="AF2777" s="184"/>
      <c r="AG2777" s="180"/>
      <c r="AH2777" s="185">
        <f>IFERROR(__xludf.DUMMYFUNCTION("""COMPUTED_VALUE"""),43541.74064099537)</f>
        <v>43541.74064</v>
      </c>
      <c r="AI2777" s="182"/>
      <c r="AJ2777" s="182"/>
      <c r="AK2777" s="182"/>
      <c r="AL2777" s="182"/>
    </row>
    <row r="2778" ht="20.25" customHeight="1">
      <c r="A2778" s="169" t="str">
        <f>IFERROR(__xludf.DUMMYFUNCTION("""COMPUTED_VALUE"""),"Provis81")</f>
        <v>Provis81</v>
      </c>
      <c r="B2778" s="170" t="str">
        <f>IFERROR(__xludf.DUMMYFUNCTION("""COMPUTED_VALUE"""),"Oklahoma City")</f>
        <v>Oklahoma City</v>
      </c>
      <c r="C2778" s="170" t="str">
        <f>IFERROR(__xludf.DUMMYFUNCTION("""COMPUTED_VALUE"""),"OK")</f>
        <v>OK</v>
      </c>
      <c r="D2778" s="170" t="str">
        <f>IFERROR(__xludf.DUMMYFUNCTION("""COMPUTED_VALUE"""),"USA")</f>
        <v>USA</v>
      </c>
      <c r="E2778" s="171">
        <f>IFERROR(__xludf.DUMMYFUNCTION("""COMPUTED_VALUE"""),43281.0)</f>
        <v>43281</v>
      </c>
      <c r="F2778" s="172">
        <f>IFERROR(__xludf.DUMMYFUNCTION("""COMPUTED_VALUE"""),43357.0)</f>
        <v>43357</v>
      </c>
      <c r="G2778" s="173"/>
      <c r="H2778" s="174">
        <f>IFERROR(__xludf.DUMMYFUNCTION("""COMPUTED_VALUE"""),74155.0)</f>
        <v>74155</v>
      </c>
      <c r="I2778" s="175"/>
      <c r="J2778" s="172">
        <f>IFERROR(__xludf.DUMMYFUNCTION("""COMPUTED_VALUE"""),43373.0)</f>
        <v>43373</v>
      </c>
      <c r="K2778" s="176">
        <f>IFERROR(__xludf.DUMMYFUNCTION("""COMPUTED_VALUE"""),76.0)</f>
        <v>76</v>
      </c>
      <c r="L2778" s="176">
        <f>IFERROR(__xludf.DUMMYFUNCTION("""COMPUTED_VALUE"""),16.0)</f>
        <v>16</v>
      </c>
      <c r="M2778" s="176">
        <f>IFERROR(__xludf.DUMMYFUNCTION("""COMPUTED_VALUE"""),92.0)</f>
        <v>92</v>
      </c>
      <c r="N2778" s="177" t="str">
        <f>IFERROR(__xludf.DUMMYFUNCTION("""COMPUTED_VALUE"""),"Model 3 Performance")</f>
        <v>Model 3 Performance</v>
      </c>
      <c r="O2778" s="177" t="str">
        <f>IFERROR(__xludf.DUMMYFUNCTION("""COMPUTED_VALUE"""),"Deep Blue Metallic")</f>
        <v>Deep Blue Metallic</v>
      </c>
      <c r="P2778" s="178" t="str">
        <f>IFERROR(__xludf.DUMMYFUNCTION("""COMPUTED_VALUE"""),"20 inch Sport")</f>
        <v>20 inch Sport</v>
      </c>
      <c r="Q2778" s="177" t="str">
        <f>IFERROR(__xludf.DUMMYFUNCTION("""COMPUTED_VALUE"""),"White seats")</f>
        <v>White seats</v>
      </c>
      <c r="R2778" s="170" t="str">
        <f>IFERROR(__xludf.DUMMYFUNCTION("""COMPUTED_VALUE"""),"Full Self-Driving")</f>
        <v>Full Self-Driving</v>
      </c>
      <c r="S2778" s="170"/>
      <c r="T2778" s="179"/>
      <c r="U2778" s="179"/>
      <c r="V2778" s="179"/>
      <c r="W2778" s="180"/>
      <c r="X2778" s="181"/>
      <c r="Y2778" s="182"/>
      <c r="Z2778" s="182"/>
      <c r="AA2778" s="182"/>
      <c r="AB2778" s="182"/>
      <c r="AC2778" s="183">
        <f>IFERROR(__xludf.DUMMYFUNCTION("""COMPUTED_VALUE"""),0.0)</f>
        <v>0</v>
      </c>
      <c r="AD2778" s="183">
        <f>IFERROR(__xludf.DUMMYFUNCTION("""COMPUTED_VALUE"""),0.0)</f>
        <v>0</v>
      </c>
      <c r="AE2778" s="183">
        <f>IFERROR(__xludf.DUMMYFUNCTION("""COMPUTED_VALUE"""),0.0)</f>
        <v>0</v>
      </c>
      <c r="AF2778" s="184"/>
      <c r="AG2778" s="180"/>
      <c r="AH2778" s="185">
        <f>IFERROR(__xludf.DUMMYFUNCTION("""COMPUTED_VALUE"""),43373.66795769676)</f>
        <v>43373.66796</v>
      </c>
      <c r="AI2778" s="182"/>
      <c r="AJ2778" s="182"/>
      <c r="AK2778" s="182"/>
      <c r="AL2778" s="182"/>
    </row>
    <row r="2779" ht="20.25" customHeight="1">
      <c r="A2779" s="169" t="str">
        <f>IFERROR(__xludf.DUMMYFUNCTION("""COMPUTED_VALUE"""),"raleedy")</f>
        <v>raleedy</v>
      </c>
      <c r="B2779" s="170" t="str">
        <f>IFERROR(__xludf.DUMMYFUNCTION("""COMPUTED_VALUE"""),"Portland")</f>
        <v>Portland</v>
      </c>
      <c r="C2779" s="170" t="str">
        <f>IFERROR(__xludf.DUMMYFUNCTION("""COMPUTED_VALUE"""),"OR")</f>
        <v>OR</v>
      </c>
      <c r="D2779" s="170" t="str">
        <f>IFERROR(__xludf.DUMMYFUNCTION("""COMPUTED_VALUE"""),"USA")</f>
        <v>USA</v>
      </c>
      <c r="E2779" s="171">
        <f>IFERROR(__xludf.DUMMYFUNCTION("""COMPUTED_VALUE"""),43281.0)</f>
        <v>43281</v>
      </c>
      <c r="F2779" s="172">
        <f>IFERROR(__xludf.DUMMYFUNCTION("""COMPUTED_VALUE"""),43369.0)</f>
        <v>43369</v>
      </c>
      <c r="G2779" s="173"/>
      <c r="H2779" s="174">
        <f>IFERROR(__xludf.DUMMYFUNCTION("""COMPUTED_VALUE"""),90043.0)</f>
        <v>90043</v>
      </c>
      <c r="I2779" s="175" t="str">
        <f>IFERROR(__xludf.DUMMYFUNCTION("""COMPUTED_VALUE"""),"09/18")</f>
        <v>09/18</v>
      </c>
      <c r="J2779" s="172">
        <f>IFERROR(__xludf.DUMMYFUNCTION("""COMPUTED_VALUE"""),43373.0)</f>
        <v>43373</v>
      </c>
      <c r="K2779" s="176">
        <f>IFERROR(__xludf.DUMMYFUNCTION("""COMPUTED_VALUE"""),88.0)</f>
        <v>88</v>
      </c>
      <c r="L2779" s="176">
        <f>IFERROR(__xludf.DUMMYFUNCTION("""COMPUTED_VALUE"""),4.0)</f>
        <v>4</v>
      </c>
      <c r="M2779" s="176">
        <f>IFERROR(__xludf.DUMMYFUNCTION("""COMPUTED_VALUE"""),92.0)</f>
        <v>92</v>
      </c>
      <c r="N2779" s="177" t="str">
        <f>IFERROR(__xludf.DUMMYFUNCTION("""COMPUTED_VALUE"""),"Model 3 LR AWD")</f>
        <v>Model 3 LR AWD</v>
      </c>
      <c r="O2779" s="177" t="str">
        <f>IFERROR(__xludf.DUMMYFUNCTION("""COMPUTED_VALUE"""),"Red Multi-Coat")</f>
        <v>Red Multi-Coat</v>
      </c>
      <c r="P2779" s="178" t="str">
        <f>IFERROR(__xludf.DUMMYFUNCTION("""COMPUTED_VALUE"""),"18 inch Aero")</f>
        <v>18 inch Aero</v>
      </c>
      <c r="Q2779" s="177" t="str">
        <f>IFERROR(__xludf.DUMMYFUNCTION("""COMPUTED_VALUE"""),"Black seats")</f>
        <v>Black seats</v>
      </c>
      <c r="R2779" s="170" t="str">
        <f>IFERROR(__xludf.DUMMYFUNCTION("""COMPUTED_VALUE"""),"Full Self-Driving")</f>
        <v>Full Self-Driving</v>
      </c>
      <c r="S2779" s="170"/>
      <c r="T2779" s="179"/>
      <c r="U2779" s="179"/>
      <c r="V2779" s="179"/>
      <c r="W2779" s="180"/>
      <c r="X2779" s="181" t="str">
        <f>IFERROR(__xludf.DUMMYFUNCTION("""COMPUTED_VALUE"""),"Excellent")</f>
        <v>Excellent</v>
      </c>
      <c r="Y2779" s="182" t="str">
        <f>IFERROR(__xludf.DUMMYFUNCTION("""COMPUTED_VALUE"""),"Excellent")</f>
        <v>Excellent</v>
      </c>
      <c r="Z2779" s="182" t="str">
        <f>IFERROR(__xludf.DUMMYFUNCTION("""COMPUTED_VALUE"""),"Excellent")</f>
        <v>Excellent</v>
      </c>
      <c r="AA2779" s="182" t="str">
        <f>IFERROR(__xludf.DUMMYFUNCTION("""COMPUTED_VALUE"""),"Excellent")</f>
        <v>Excellent</v>
      </c>
      <c r="AB2779" s="182" t="str">
        <f>IFERROR(__xludf.DUMMYFUNCTION("""COMPUTED_VALUE"""),"Excellent")</f>
        <v>Excellent</v>
      </c>
      <c r="AC2779" s="183">
        <f>IFERROR(__xludf.DUMMYFUNCTION("""COMPUTED_VALUE"""),1.0)</f>
        <v>1</v>
      </c>
      <c r="AD2779" s="183">
        <f>IFERROR(__xludf.DUMMYFUNCTION("""COMPUTED_VALUE"""),1.0)</f>
        <v>1</v>
      </c>
      <c r="AE2779" s="183">
        <f>IFERROR(__xludf.DUMMYFUNCTION("""COMPUTED_VALUE"""),0.0)</f>
        <v>0</v>
      </c>
      <c r="AF2779" s="184"/>
      <c r="AG2779" s="180"/>
      <c r="AH2779" s="185">
        <f>IFERROR(__xludf.DUMMYFUNCTION("""COMPUTED_VALUE"""),43509.2147734375)</f>
        <v>43509.21477</v>
      </c>
      <c r="AI2779" s="182"/>
      <c r="AJ2779" s="182"/>
      <c r="AK2779" s="182"/>
      <c r="AL2779" s="182"/>
    </row>
    <row r="2780" ht="20.25" customHeight="1">
      <c r="A2780" s="169" t="str">
        <f>IFERROR(__xludf.DUMMYFUNCTION("""COMPUTED_VALUE"""),"redblotch83")</f>
        <v>redblotch83</v>
      </c>
      <c r="B2780" s="170" t="str">
        <f>IFERROR(__xludf.DUMMYFUNCTION("""COMPUTED_VALUE"""),"Los Angeles")</f>
        <v>Los Angeles</v>
      </c>
      <c r="C2780" s="170" t="str">
        <f>IFERROR(__xludf.DUMMYFUNCTION("""COMPUTED_VALUE"""),"CA")</f>
        <v>CA</v>
      </c>
      <c r="D2780" s="170" t="str">
        <f>IFERROR(__xludf.DUMMYFUNCTION("""COMPUTED_VALUE"""),"USA")</f>
        <v>USA</v>
      </c>
      <c r="E2780" s="171">
        <f>IFERROR(__xludf.DUMMYFUNCTION("""COMPUTED_VALUE"""),43281.0)</f>
        <v>43281</v>
      </c>
      <c r="F2780" s="172">
        <f>IFERROR(__xludf.DUMMYFUNCTION("""COMPUTED_VALUE"""),43325.0)</f>
        <v>43325</v>
      </c>
      <c r="G2780" s="173"/>
      <c r="H2780" s="174">
        <f>IFERROR(__xludf.DUMMYFUNCTION("""COMPUTED_VALUE"""),69055.0)</f>
        <v>69055</v>
      </c>
      <c r="I2780" s="175" t="str">
        <f>IFERROR(__xludf.DUMMYFUNCTION("""COMPUTED_VALUE"""),"08/18")</f>
        <v>08/18</v>
      </c>
      <c r="J2780" s="172">
        <f>IFERROR(__xludf.DUMMYFUNCTION("""COMPUTED_VALUE"""),43335.0)</f>
        <v>43335</v>
      </c>
      <c r="K2780" s="176">
        <f>IFERROR(__xludf.DUMMYFUNCTION("""COMPUTED_VALUE"""),44.0)</f>
        <v>44</v>
      </c>
      <c r="L2780" s="176">
        <f>IFERROR(__xludf.DUMMYFUNCTION("""COMPUTED_VALUE"""),10.0)</f>
        <v>10</v>
      </c>
      <c r="M2780" s="176">
        <f>IFERROR(__xludf.DUMMYFUNCTION("""COMPUTED_VALUE"""),54.0)</f>
        <v>54</v>
      </c>
      <c r="N2780" s="177" t="str">
        <f>IFERROR(__xludf.DUMMYFUNCTION("""COMPUTED_VALUE"""),"Model 3 LR AWD")</f>
        <v>Model 3 LR AWD</v>
      </c>
      <c r="O2780" s="177" t="str">
        <f>IFERROR(__xludf.DUMMYFUNCTION("""COMPUTED_VALUE"""),"Midnight Silver Metallic")</f>
        <v>Midnight Silver Metallic</v>
      </c>
      <c r="P2780" s="178" t="str">
        <f>IFERROR(__xludf.DUMMYFUNCTION("""COMPUTED_VALUE"""),"19 inch Sport")</f>
        <v>19 inch Sport</v>
      </c>
      <c r="Q2780" s="177" t="str">
        <f>IFERROR(__xludf.DUMMYFUNCTION("""COMPUTED_VALUE"""),"Black seats")</f>
        <v>Black seats</v>
      </c>
      <c r="R2780" s="170" t="str">
        <f>IFERROR(__xludf.DUMMYFUNCTION("""COMPUTED_VALUE"""),"Enhanced Autopilot")</f>
        <v>Enhanced Autopilot</v>
      </c>
      <c r="S2780" s="170"/>
      <c r="T2780" s="179"/>
      <c r="U2780" s="179"/>
      <c r="V2780" s="179"/>
      <c r="W2780" s="180"/>
      <c r="X2780" s="181" t="str">
        <f>IFERROR(__xludf.DUMMYFUNCTION("""COMPUTED_VALUE"""),"Excellent")</f>
        <v>Excellent</v>
      </c>
      <c r="Y2780" s="182" t="str">
        <f>IFERROR(__xludf.DUMMYFUNCTION("""COMPUTED_VALUE"""),"Excellent")</f>
        <v>Excellent</v>
      </c>
      <c r="Z2780" s="182" t="str">
        <f>IFERROR(__xludf.DUMMYFUNCTION("""COMPUTED_VALUE"""),"Very Good")</f>
        <v>Very Good</v>
      </c>
      <c r="AA2780" s="182" t="str">
        <f>IFERROR(__xludf.DUMMYFUNCTION("""COMPUTED_VALUE"""),"Very Good")</f>
        <v>Very Good</v>
      </c>
      <c r="AB2780" s="182" t="str">
        <f>IFERROR(__xludf.DUMMYFUNCTION("""COMPUTED_VALUE"""),"Excellent")</f>
        <v>Excellent</v>
      </c>
      <c r="AC2780" s="183">
        <f>IFERROR(__xludf.DUMMYFUNCTION("""COMPUTED_VALUE"""),3.0)</f>
        <v>3</v>
      </c>
      <c r="AD2780" s="183">
        <f>IFERROR(__xludf.DUMMYFUNCTION("""COMPUTED_VALUE"""),1.0)</f>
        <v>1</v>
      </c>
      <c r="AE2780" s="183">
        <f>IFERROR(__xludf.DUMMYFUNCTION("""COMPUTED_VALUE"""),15.0)</f>
        <v>15</v>
      </c>
      <c r="AF2780" s="184"/>
      <c r="AG2780" s="180" t="str">
        <f>IFERROR(__xludf.DUMMYFUNCTION("""COMPUTED_VALUE"""),"I took my Model 3 into service for 3 small issues.  1. A small chip that was present on delivery. 2. My turn signal was malfunctioning. 3. My passenger side fog light had popped out of the front bumper housing.  My local servie center was slammed, so they"&amp;" kept my car for 15 days.  I don't think they were even able to start addressing the issues with my vehicle until a few days after I had dropped it off.  But, they provided me with a loaner (S 75D), so I don't really have anything to complain about. ")</f>
        <v>I took my Model 3 into service for 3 small issues.  1. A small chip that was present on delivery. 2. My turn signal was malfunctioning. 3. My passenger side fog light had popped out of the front bumper housing.  My local servie center was slammed, so they kept my car for 15 days.  I don't think they were even able to start addressing the issues with my vehicle until a few days after I had dropped it off.  But, they provided me with a loaner (S 75D), so I don't really have anything to complain about. </v>
      </c>
      <c r="AH2780" s="185">
        <f>IFERROR(__xludf.DUMMYFUNCTION("""COMPUTED_VALUE"""),43377.406342118054)</f>
        <v>43377.40634</v>
      </c>
      <c r="AI2780" s="182"/>
      <c r="AJ2780" s="182"/>
      <c r="AK2780" s="182"/>
      <c r="AL2780" s="182"/>
    </row>
    <row r="2781" ht="20.25" customHeight="1">
      <c r="A2781" s="169" t="str">
        <f>IFERROR(__xludf.DUMMYFUNCTION("""COMPUTED_VALUE"""),"rgrtes")</f>
        <v>rgrtes</v>
      </c>
      <c r="B2781" s="170" t="str">
        <f>IFERROR(__xludf.DUMMYFUNCTION("""COMPUTED_VALUE"""),"springfield")</f>
        <v>springfield</v>
      </c>
      <c r="C2781" s="170" t="str">
        <f>IFERROR(__xludf.DUMMYFUNCTION("""COMPUTED_VALUE"""),"NJ")</f>
        <v>NJ</v>
      </c>
      <c r="D2781" s="170" t="str">
        <f>IFERROR(__xludf.DUMMYFUNCTION("""COMPUTED_VALUE"""),"USA")</f>
        <v>USA</v>
      </c>
      <c r="E2781" s="171">
        <f>IFERROR(__xludf.DUMMYFUNCTION("""COMPUTED_VALUE"""),43281.0)</f>
        <v>43281</v>
      </c>
      <c r="F2781" s="172">
        <f>IFERROR(__xludf.DUMMYFUNCTION("""COMPUTED_VALUE"""),43296.0)</f>
        <v>43296</v>
      </c>
      <c r="G2781" s="173"/>
      <c r="H2781" s="174">
        <f>IFERROR(__xludf.DUMMYFUNCTION("""COMPUTED_VALUE"""),39855.0)</f>
        <v>39855</v>
      </c>
      <c r="I2781" s="175"/>
      <c r="J2781" s="172">
        <f>IFERROR(__xludf.DUMMYFUNCTION("""COMPUTED_VALUE"""),43311.0)</f>
        <v>43311</v>
      </c>
      <c r="K2781" s="176">
        <f>IFERROR(__xludf.DUMMYFUNCTION("""COMPUTED_VALUE"""),15.0)</f>
        <v>15</v>
      </c>
      <c r="L2781" s="176">
        <f>IFERROR(__xludf.DUMMYFUNCTION("""COMPUTED_VALUE"""),15.0)</f>
        <v>15</v>
      </c>
      <c r="M2781" s="176">
        <f>IFERROR(__xludf.DUMMYFUNCTION("""COMPUTED_VALUE"""),30.0)</f>
        <v>30</v>
      </c>
      <c r="N2781" s="177" t="str">
        <f>IFERROR(__xludf.DUMMYFUNCTION("""COMPUTED_VALUE"""),"Model 3 LR")</f>
        <v>Model 3 LR</v>
      </c>
      <c r="O2781" s="177" t="str">
        <f>IFERROR(__xludf.DUMMYFUNCTION("""COMPUTED_VALUE"""),"Red Multi-Coat")</f>
        <v>Red Multi-Coat</v>
      </c>
      <c r="P2781" s="178" t="str">
        <f>IFERROR(__xludf.DUMMYFUNCTION("""COMPUTED_VALUE"""),"18 inch Aero")</f>
        <v>18 inch Aero</v>
      </c>
      <c r="Q2781" s="177" t="str">
        <f>IFERROR(__xludf.DUMMYFUNCTION("""COMPUTED_VALUE"""),"Black seats")</f>
        <v>Black seats</v>
      </c>
      <c r="R2781" s="170" t="str">
        <f>IFERROR(__xludf.DUMMYFUNCTION("""COMPUTED_VALUE"""),"None")</f>
        <v>None</v>
      </c>
      <c r="S2781" s="170"/>
      <c r="T2781" s="179"/>
      <c r="U2781" s="179"/>
      <c r="V2781" s="179"/>
      <c r="W2781" s="180"/>
      <c r="X2781" s="181" t="str">
        <f>IFERROR(__xludf.DUMMYFUNCTION("""COMPUTED_VALUE"""),"Excellent")</f>
        <v>Excellent</v>
      </c>
      <c r="Y2781" s="182" t="str">
        <f>IFERROR(__xludf.DUMMYFUNCTION("""COMPUTED_VALUE"""),"Excellent")</f>
        <v>Excellent</v>
      </c>
      <c r="Z2781" s="182" t="str">
        <f>IFERROR(__xludf.DUMMYFUNCTION("""COMPUTED_VALUE"""),"Excellent")</f>
        <v>Excellent</v>
      </c>
      <c r="AA2781" s="182" t="str">
        <f>IFERROR(__xludf.DUMMYFUNCTION("""COMPUTED_VALUE"""),"Excellent")</f>
        <v>Excellent</v>
      </c>
      <c r="AB2781" s="182" t="str">
        <f>IFERROR(__xludf.DUMMYFUNCTION("""COMPUTED_VALUE"""),"Excellent")</f>
        <v>Excellent</v>
      </c>
      <c r="AC2781" s="183"/>
      <c r="AD2781" s="183"/>
      <c r="AE2781" s="183"/>
      <c r="AF2781" s="184"/>
      <c r="AG2781" s="180" t="str">
        <f>IFERROR(__xludf.DUMMYFUNCTION("""COMPUTED_VALUE"""),"Love it everyday!")</f>
        <v>Love it everyday!</v>
      </c>
      <c r="AH2781" s="185">
        <f>IFERROR(__xludf.DUMMYFUNCTION("""COMPUTED_VALUE"""),43320.27868820602)</f>
        <v>43320.27869</v>
      </c>
      <c r="AI2781" s="182"/>
      <c r="AJ2781" s="182"/>
      <c r="AK2781" s="182"/>
      <c r="AL2781" s="182"/>
    </row>
    <row r="2782" ht="20.25" customHeight="1">
      <c r="A2782" s="169" t="str">
        <f>IFERROR(__xludf.DUMMYFUNCTION("""COMPUTED_VALUE"""),"rtsui11")</f>
        <v>rtsui11</v>
      </c>
      <c r="B2782" s="170" t="str">
        <f>IFERROR(__xludf.DUMMYFUNCTION("""COMPUTED_VALUE"""),"Westminster")</f>
        <v>Westminster</v>
      </c>
      <c r="C2782" s="170" t="str">
        <f>IFERROR(__xludf.DUMMYFUNCTION("""COMPUTED_VALUE"""),"CO")</f>
        <v>CO</v>
      </c>
      <c r="D2782" s="170" t="str">
        <f>IFERROR(__xludf.DUMMYFUNCTION("""COMPUTED_VALUE"""),"USA")</f>
        <v>USA</v>
      </c>
      <c r="E2782" s="171">
        <f>IFERROR(__xludf.DUMMYFUNCTION("""COMPUTED_VALUE"""),43281.0)</f>
        <v>43281</v>
      </c>
      <c r="F2782" s="172"/>
      <c r="G2782" s="173"/>
      <c r="H2782" s="174"/>
      <c r="I2782" s="175"/>
      <c r="J2782" s="172">
        <f>IFERROR(__xludf.DUMMYFUNCTION("""COMPUTED_VALUE"""),2666959.0)</f>
        <v>2666959</v>
      </c>
      <c r="K2782" s="176"/>
      <c r="L2782" s="176"/>
      <c r="M2782" s="176"/>
      <c r="N2782" s="177" t="str">
        <f>IFERROR(__xludf.DUMMYFUNCTION("""COMPUTED_VALUE"""),"Model 3 LR AWD")</f>
        <v>Model 3 LR AWD</v>
      </c>
      <c r="O2782" s="177" t="str">
        <f>IFERROR(__xludf.DUMMYFUNCTION("""COMPUTED_VALUE"""),"Silver Metallic")</f>
        <v>Silver Metallic</v>
      </c>
      <c r="P2782" s="178" t="str">
        <f>IFERROR(__xludf.DUMMYFUNCTION("""COMPUTED_VALUE"""),"18 inch Aero")</f>
        <v>18 inch Aero</v>
      </c>
      <c r="Q2782" s="177" t="str">
        <f>IFERROR(__xludf.DUMMYFUNCTION("""COMPUTED_VALUE"""),"Black seats")</f>
        <v>Black seats</v>
      </c>
      <c r="R2782" s="170" t="str">
        <f>IFERROR(__xludf.DUMMYFUNCTION("""COMPUTED_VALUE"""),"None")</f>
        <v>None</v>
      </c>
      <c r="S2782" s="170"/>
      <c r="T2782" s="179"/>
      <c r="U2782" s="179"/>
      <c r="V2782" s="179"/>
      <c r="W2782" s="180"/>
      <c r="X2782" s="181"/>
      <c r="Y2782" s="182"/>
      <c r="Z2782" s="182"/>
      <c r="AA2782" s="182"/>
      <c r="AB2782" s="182"/>
      <c r="AC2782" s="183"/>
      <c r="AD2782" s="183"/>
      <c r="AE2782" s="183"/>
      <c r="AF2782" s="184"/>
      <c r="AG2782" s="180"/>
      <c r="AH2782" s="185">
        <f>IFERROR(__xludf.DUMMYFUNCTION("""COMPUTED_VALUE"""),43383.496528668984)</f>
        <v>43383.49653</v>
      </c>
      <c r="AI2782" s="182"/>
      <c r="AJ2782" s="182"/>
      <c r="AK2782" s="182"/>
      <c r="AL2782" s="182"/>
    </row>
    <row r="2783" ht="20.25" customHeight="1">
      <c r="A2783" s="169" t="str">
        <f>IFERROR(__xludf.DUMMYFUNCTION("""COMPUTED_VALUE"""),"Scuba1815")</f>
        <v>Scuba1815</v>
      </c>
      <c r="B2783" s="170" t="str">
        <f>IFERROR(__xludf.DUMMYFUNCTION("""COMPUTED_VALUE"""),"Salt Lake")</f>
        <v>Salt Lake</v>
      </c>
      <c r="C2783" s="170" t="str">
        <f>IFERROR(__xludf.DUMMYFUNCTION("""COMPUTED_VALUE"""),"UT")</f>
        <v>UT</v>
      </c>
      <c r="D2783" s="170" t="str">
        <f>IFERROR(__xludf.DUMMYFUNCTION("""COMPUTED_VALUE"""),"USA")</f>
        <v>USA</v>
      </c>
      <c r="E2783" s="171">
        <f>IFERROR(__xludf.DUMMYFUNCTION("""COMPUTED_VALUE"""),43281.0)</f>
        <v>43281</v>
      </c>
      <c r="F2783" s="172">
        <f>IFERROR(__xludf.DUMMYFUNCTION("""COMPUTED_VALUE"""),43364.0)</f>
        <v>43364</v>
      </c>
      <c r="G2783" s="173"/>
      <c r="H2783" s="174">
        <f>IFERROR(__xludf.DUMMYFUNCTION("""COMPUTED_VALUE"""),91255.0)</f>
        <v>91255</v>
      </c>
      <c r="I2783" s="175"/>
      <c r="J2783" s="172">
        <f>IFERROR(__xludf.DUMMYFUNCTION("""COMPUTED_VALUE"""),43369.0)</f>
        <v>43369</v>
      </c>
      <c r="K2783" s="176">
        <f>IFERROR(__xludf.DUMMYFUNCTION("""COMPUTED_VALUE"""),83.0)</f>
        <v>83</v>
      </c>
      <c r="L2783" s="176">
        <f>IFERROR(__xludf.DUMMYFUNCTION("""COMPUTED_VALUE"""),5.0)</f>
        <v>5</v>
      </c>
      <c r="M2783" s="176">
        <f>IFERROR(__xludf.DUMMYFUNCTION("""COMPUTED_VALUE"""),88.0)</f>
        <v>88</v>
      </c>
      <c r="N2783" s="177" t="str">
        <f>IFERROR(__xludf.DUMMYFUNCTION("""COMPUTED_VALUE"""),"Model 3 LR AWD")</f>
        <v>Model 3 LR AWD</v>
      </c>
      <c r="O2783" s="177" t="str">
        <f>IFERROR(__xludf.DUMMYFUNCTION("""COMPUTED_VALUE"""),"Silver Metallic")</f>
        <v>Silver Metallic</v>
      </c>
      <c r="P2783" s="178" t="str">
        <f>IFERROR(__xludf.DUMMYFUNCTION("""COMPUTED_VALUE"""),"19 inch Sport")</f>
        <v>19 inch Sport</v>
      </c>
      <c r="Q2783" s="177" t="str">
        <f>IFERROR(__xludf.DUMMYFUNCTION("""COMPUTED_VALUE"""),"Black seats")</f>
        <v>Black seats</v>
      </c>
      <c r="R2783" s="170" t="str">
        <f>IFERROR(__xludf.DUMMYFUNCTION("""COMPUTED_VALUE"""),"None")</f>
        <v>None</v>
      </c>
      <c r="S2783" s="170"/>
      <c r="T2783" s="179"/>
      <c r="U2783" s="179"/>
      <c r="V2783" s="179"/>
      <c r="W2783" s="180"/>
      <c r="X2783" s="181" t="str">
        <f>IFERROR(__xludf.DUMMYFUNCTION("""COMPUTED_VALUE"""),"Excellent")</f>
        <v>Excellent</v>
      </c>
      <c r="Y2783" s="182" t="str">
        <f>IFERROR(__xludf.DUMMYFUNCTION("""COMPUTED_VALUE"""),"Excellent")</f>
        <v>Excellent</v>
      </c>
      <c r="Z2783" s="182" t="str">
        <f>IFERROR(__xludf.DUMMYFUNCTION("""COMPUTED_VALUE"""),"Very Good")</f>
        <v>Very Good</v>
      </c>
      <c r="AA2783" s="182" t="str">
        <f>IFERROR(__xludf.DUMMYFUNCTION("""COMPUTED_VALUE"""),"Fair")</f>
        <v>Fair</v>
      </c>
      <c r="AB2783" s="182" t="str">
        <f>IFERROR(__xludf.DUMMYFUNCTION("""COMPUTED_VALUE"""),"Excellent")</f>
        <v>Excellent</v>
      </c>
      <c r="AC2783" s="183">
        <f>IFERROR(__xludf.DUMMYFUNCTION("""COMPUTED_VALUE"""),2.0)</f>
        <v>2</v>
      </c>
      <c r="AD2783" s="183"/>
      <c r="AE2783" s="183"/>
      <c r="AF2783" s="184"/>
      <c r="AG2783" s="180"/>
      <c r="AH2783" s="185">
        <f>IFERROR(__xludf.DUMMYFUNCTION("""COMPUTED_VALUE"""),43371.672967743056)</f>
        <v>43371.67297</v>
      </c>
      <c r="AI2783" s="182"/>
      <c r="AJ2783" s="182"/>
      <c r="AK2783" s="182"/>
      <c r="AL2783" s="182"/>
    </row>
    <row r="2784" ht="20.25" customHeight="1">
      <c r="A2784" s="169" t="str">
        <f>IFERROR(__xludf.DUMMYFUNCTION("""COMPUTED_VALUE"""),"selector")</f>
        <v>selector</v>
      </c>
      <c r="B2784" s="170" t="str">
        <f>IFERROR(__xludf.DUMMYFUNCTION("""COMPUTED_VALUE"""),"Fremont")</f>
        <v>Fremont</v>
      </c>
      <c r="C2784" s="170" t="str">
        <f>IFERROR(__xludf.DUMMYFUNCTION("""COMPUTED_VALUE"""),"CA")</f>
        <v>CA</v>
      </c>
      <c r="D2784" s="170" t="str">
        <f>IFERROR(__xludf.DUMMYFUNCTION("""COMPUTED_VALUE"""),"USA")</f>
        <v>USA</v>
      </c>
      <c r="E2784" s="171">
        <f>IFERROR(__xludf.DUMMYFUNCTION("""COMPUTED_VALUE"""),43281.0)</f>
        <v>43281</v>
      </c>
      <c r="F2784" s="172">
        <f>IFERROR(__xludf.DUMMYFUNCTION("""COMPUTED_VALUE"""),43350.0)</f>
        <v>43350</v>
      </c>
      <c r="G2784" s="173"/>
      <c r="H2784" s="174">
        <f>IFERROR(__xludf.DUMMYFUNCTION("""COMPUTED_VALUE"""),64855.0)</f>
        <v>64855</v>
      </c>
      <c r="I2784" s="175" t="str">
        <f>IFERROR(__xludf.DUMMYFUNCTION("""COMPUTED_VALUE"""),"09/18")</f>
        <v>09/18</v>
      </c>
      <c r="J2784" s="172">
        <f>IFERROR(__xludf.DUMMYFUNCTION("""COMPUTED_VALUE"""),43354.0)</f>
        <v>43354</v>
      </c>
      <c r="K2784" s="176">
        <f>IFERROR(__xludf.DUMMYFUNCTION("""COMPUTED_VALUE"""),69.0)</f>
        <v>69</v>
      </c>
      <c r="L2784" s="176">
        <f>IFERROR(__xludf.DUMMYFUNCTION("""COMPUTED_VALUE"""),4.0)</f>
        <v>4</v>
      </c>
      <c r="M2784" s="176">
        <f>IFERROR(__xludf.DUMMYFUNCTION("""COMPUTED_VALUE"""),73.0)</f>
        <v>73</v>
      </c>
      <c r="N2784" s="177" t="str">
        <f>IFERROR(__xludf.DUMMYFUNCTION("""COMPUTED_VALUE"""),"Model 3 LR AWD")</f>
        <v>Model 3 LR AWD</v>
      </c>
      <c r="O2784" s="177" t="str">
        <f>IFERROR(__xludf.DUMMYFUNCTION("""COMPUTED_VALUE"""),"Deep Blue Metallic")</f>
        <v>Deep Blue Metallic</v>
      </c>
      <c r="P2784" s="178" t="str">
        <f>IFERROR(__xludf.DUMMYFUNCTION("""COMPUTED_VALUE"""),"18 inch Aero")</f>
        <v>18 inch Aero</v>
      </c>
      <c r="Q2784" s="177" t="str">
        <f>IFERROR(__xludf.DUMMYFUNCTION("""COMPUTED_VALUE"""),"Black seats")</f>
        <v>Black seats</v>
      </c>
      <c r="R2784" s="170" t="str">
        <f>IFERROR(__xludf.DUMMYFUNCTION("""COMPUTED_VALUE"""),"Full Self-Driving")</f>
        <v>Full Self-Driving</v>
      </c>
      <c r="S2784" s="170"/>
      <c r="T2784" s="179"/>
      <c r="U2784" s="179"/>
      <c r="V2784" s="179"/>
      <c r="W2784" s="180"/>
      <c r="X2784" s="181" t="str">
        <f>IFERROR(__xludf.DUMMYFUNCTION("""COMPUTED_VALUE"""),"Excellent")</f>
        <v>Excellent</v>
      </c>
      <c r="Y2784" s="182" t="str">
        <f>IFERROR(__xludf.DUMMYFUNCTION("""COMPUTED_VALUE"""),"Excellent")</f>
        <v>Excellent</v>
      </c>
      <c r="Z2784" s="182" t="str">
        <f>IFERROR(__xludf.DUMMYFUNCTION("""COMPUTED_VALUE"""),"Very Good")</f>
        <v>Very Good</v>
      </c>
      <c r="AA2784" s="182" t="str">
        <f>IFERROR(__xludf.DUMMYFUNCTION("""COMPUTED_VALUE"""),"Very Good")</f>
        <v>Very Good</v>
      </c>
      <c r="AB2784" s="182" t="str">
        <f>IFERROR(__xludf.DUMMYFUNCTION("""COMPUTED_VALUE"""),"Excellent")</f>
        <v>Excellent</v>
      </c>
      <c r="AC2784" s="183">
        <f>IFERROR(__xludf.DUMMYFUNCTION("""COMPUTED_VALUE"""),0.0)</f>
        <v>0</v>
      </c>
      <c r="AD2784" s="183">
        <f>IFERROR(__xludf.DUMMYFUNCTION("""COMPUTED_VALUE"""),0.0)</f>
        <v>0</v>
      </c>
      <c r="AE2784" s="183">
        <f>IFERROR(__xludf.DUMMYFUNCTION("""COMPUTED_VALUE"""),0.0)</f>
        <v>0</v>
      </c>
      <c r="AF2784" s="184"/>
      <c r="AG2784" s="180"/>
      <c r="AH2784" s="185">
        <f>IFERROR(__xludf.DUMMYFUNCTION("""COMPUTED_VALUE"""),43374.49451449074)</f>
        <v>43374.49451</v>
      </c>
      <c r="AI2784" s="182"/>
      <c r="AJ2784" s="182"/>
      <c r="AK2784" s="182"/>
      <c r="AL2784" s="182"/>
    </row>
    <row r="2785" ht="20.25" customHeight="1">
      <c r="A2785" s="169" t="str">
        <f>IFERROR(__xludf.DUMMYFUNCTION("""COMPUTED_VALUE"""),"seratonik")</f>
        <v>seratonik</v>
      </c>
      <c r="B2785" s="170" t="str">
        <f>IFERROR(__xludf.DUMMYFUNCTION("""COMPUTED_VALUE"""),"Kelowna")</f>
        <v>Kelowna</v>
      </c>
      <c r="C2785" s="170" t="str">
        <f>IFERROR(__xludf.DUMMYFUNCTION("""COMPUTED_VALUE"""),"BC")</f>
        <v>BC</v>
      </c>
      <c r="D2785" s="170" t="str">
        <f>IFERROR(__xludf.DUMMYFUNCTION("""COMPUTED_VALUE"""),"Canada")</f>
        <v>Canada</v>
      </c>
      <c r="E2785" s="171">
        <f>IFERROR(__xludf.DUMMYFUNCTION("""COMPUTED_VALUE"""),43281.0)</f>
        <v>43281</v>
      </c>
      <c r="F2785" s="172">
        <f>IFERROR(__xludf.DUMMYFUNCTION("""COMPUTED_VALUE"""),43360.0)</f>
        <v>43360</v>
      </c>
      <c r="G2785" s="173"/>
      <c r="H2785" s="174">
        <f>IFERROR(__xludf.DUMMYFUNCTION("""COMPUTED_VALUE"""),110885.0)</f>
        <v>110885</v>
      </c>
      <c r="I2785" s="175" t="str">
        <f>IFERROR(__xludf.DUMMYFUNCTION("""COMPUTED_VALUE"""),"09/18")</f>
        <v>09/18</v>
      </c>
      <c r="J2785" s="172">
        <f>IFERROR(__xludf.DUMMYFUNCTION("""COMPUTED_VALUE"""),43368.0)</f>
        <v>43368</v>
      </c>
      <c r="K2785" s="176">
        <f>IFERROR(__xludf.DUMMYFUNCTION("""COMPUTED_VALUE"""),79.0)</f>
        <v>79</v>
      </c>
      <c r="L2785" s="176">
        <f>IFERROR(__xludf.DUMMYFUNCTION("""COMPUTED_VALUE"""),8.0)</f>
        <v>8</v>
      </c>
      <c r="M2785" s="176">
        <f>IFERROR(__xludf.DUMMYFUNCTION("""COMPUTED_VALUE"""),87.0)</f>
        <v>87</v>
      </c>
      <c r="N2785" s="177" t="str">
        <f>IFERROR(__xludf.DUMMYFUNCTION("""COMPUTED_VALUE"""),"Model 3 LR AWD")</f>
        <v>Model 3 LR AWD</v>
      </c>
      <c r="O2785" s="177" t="str">
        <f>IFERROR(__xludf.DUMMYFUNCTION("""COMPUTED_VALUE"""),"Midnight Silver Metallic")</f>
        <v>Midnight Silver Metallic</v>
      </c>
      <c r="P2785" s="178" t="str">
        <f>IFERROR(__xludf.DUMMYFUNCTION("""COMPUTED_VALUE"""),"19 inch Sport")</f>
        <v>19 inch Sport</v>
      </c>
      <c r="Q2785" s="177" t="str">
        <f>IFERROR(__xludf.DUMMYFUNCTION("""COMPUTED_VALUE"""),"Black seats")</f>
        <v>Black seats</v>
      </c>
      <c r="R2785" s="170" t="str">
        <f>IFERROR(__xludf.DUMMYFUNCTION("""COMPUTED_VALUE"""),"None")</f>
        <v>None</v>
      </c>
      <c r="S2785" s="170"/>
      <c r="T2785" s="179"/>
      <c r="U2785" s="179"/>
      <c r="V2785" s="179"/>
      <c r="W2785" s="180"/>
      <c r="X2785" s="181" t="str">
        <f>IFERROR(__xludf.DUMMYFUNCTION("""COMPUTED_VALUE"""),"Excellent")</f>
        <v>Excellent</v>
      </c>
      <c r="Y2785" s="182" t="str">
        <f>IFERROR(__xludf.DUMMYFUNCTION("""COMPUTED_VALUE"""),"Very Good")</f>
        <v>Very Good</v>
      </c>
      <c r="Z2785" s="182" t="str">
        <f>IFERROR(__xludf.DUMMYFUNCTION("""COMPUTED_VALUE"""),"Very Good")</f>
        <v>Very Good</v>
      </c>
      <c r="AA2785" s="182" t="str">
        <f>IFERROR(__xludf.DUMMYFUNCTION("""COMPUTED_VALUE"""),"Fair")</f>
        <v>Fair</v>
      </c>
      <c r="AB2785" s="182" t="str">
        <f>IFERROR(__xludf.DUMMYFUNCTION("""COMPUTED_VALUE"""),"Excellent")</f>
        <v>Excellent</v>
      </c>
      <c r="AC2785" s="183">
        <f>IFERROR(__xludf.DUMMYFUNCTION("""COMPUTED_VALUE"""),1.0)</f>
        <v>1</v>
      </c>
      <c r="AD2785" s="183">
        <f>IFERROR(__xludf.DUMMYFUNCTION("""COMPUTED_VALUE"""),0.0)</f>
        <v>0</v>
      </c>
      <c r="AE2785" s="183">
        <f>IFERROR(__xludf.DUMMYFUNCTION("""COMPUTED_VALUE"""),0.0)</f>
        <v>0</v>
      </c>
      <c r="AF2785" s="184"/>
      <c r="AG2785" s="180"/>
      <c r="AH2785" s="185">
        <f>IFERROR(__xludf.DUMMYFUNCTION("""COMPUTED_VALUE"""),43398.65234299769)</f>
        <v>43398.65234</v>
      </c>
      <c r="AI2785" s="182"/>
      <c r="AJ2785" s="182"/>
      <c r="AK2785" s="182"/>
      <c r="AL2785" s="182"/>
    </row>
    <row r="2786" ht="20.25" customHeight="1">
      <c r="A2786" s="169" t="str">
        <f>IFERROR(__xludf.DUMMYFUNCTION("""COMPUTED_VALUE"""),"Slessie")</f>
        <v>Slessie</v>
      </c>
      <c r="B2786" s="170" t="str">
        <f>IFERROR(__xludf.DUMMYFUNCTION("""COMPUTED_VALUE"""),"SoCal")</f>
        <v>SoCal</v>
      </c>
      <c r="C2786" s="170" t="str">
        <f>IFERROR(__xludf.DUMMYFUNCTION("""COMPUTED_VALUE"""),"CA")</f>
        <v>CA</v>
      </c>
      <c r="D2786" s="170" t="str">
        <f>IFERROR(__xludf.DUMMYFUNCTION("""COMPUTED_VALUE"""),"USA")</f>
        <v>USA</v>
      </c>
      <c r="E2786" s="171">
        <f>IFERROR(__xludf.DUMMYFUNCTION("""COMPUTED_VALUE"""),43281.0)</f>
        <v>43281</v>
      </c>
      <c r="F2786" s="172">
        <f>IFERROR(__xludf.DUMMYFUNCTION("""COMPUTED_VALUE"""),43329.0)</f>
        <v>43329</v>
      </c>
      <c r="G2786" s="173"/>
      <c r="H2786" s="174">
        <f>IFERROR(__xludf.DUMMYFUNCTION("""COMPUTED_VALUE"""),57855.0)</f>
        <v>57855</v>
      </c>
      <c r="I2786" s="175" t="str">
        <f>IFERROR(__xludf.DUMMYFUNCTION("""COMPUTED_VALUE"""),"08/18")</f>
        <v>08/18</v>
      </c>
      <c r="J2786" s="172">
        <f>IFERROR(__xludf.DUMMYFUNCTION("""COMPUTED_VALUE"""),43337.0)</f>
        <v>43337</v>
      </c>
      <c r="K2786" s="176">
        <f>IFERROR(__xludf.DUMMYFUNCTION("""COMPUTED_VALUE"""),48.0)</f>
        <v>48</v>
      </c>
      <c r="L2786" s="176">
        <f>IFERROR(__xludf.DUMMYFUNCTION("""COMPUTED_VALUE"""),8.0)</f>
        <v>8</v>
      </c>
      <c r="M2786" s="176">
        <f>IFERROR(__xludf.DUMMYFUNCTION("""COMPUTED_VALUE"""),56.0)</f>
        <v>56</v>
      </c>
      <c r="N2786" s="177" t="str">
        <f>IFERROR(__xludf.DUMMYFUNCTION("""COMPUTED_VALUE"""),"Model 3 LR")</f>
        <v>Model 3 LR</v>
      </c>
      <c r="O2786" s="177" t="str">
        <f>IFERROR(__xludf.DUMMYFUNCTION("""COMPUTED_VALUE"""),"Solid Black")</f>
        <v>Solid Black</v>
      </c>
      <c r="P2786" s="178" t="str">
        <f>IFERROR(__xludf.DUMMYFUNCTION("""COMPUTED_VALUE"""),"18 inch Aero")</f>
        <v>18 inch Aero</v>
      </c>
      <c r="Q2786" s="177" t="str">
        <f>IFERROR(__xludf.DUMMYFUNCTION("""COMPUTED_VALUE"""),"Black seats")</f>
        <v>Black seats</v>
      </c>
      <c r="R2786" s="170" t="str">
        <f>IFERROR(__xludf.DUMMYFUNCTION("""COMPUTED_VALUE"""),"Full Self-Driving")</f>
        <v>Full Self-Driving</v>
      </c>
      <c r="S2786" s="170"/>
      <c r="T2786" s="179"/>
      <c r="U2786" s="179"/>
      <c r="V2786" s="179"/>
      <c r="W2786" s="180"/>
      <c r="X2786" s="181" t="str">
        <f>IFERROR(__xludf.DUMMYFUNCTION("""COMPUTED_VALUE"""),"Very Good")</f>
        <v>Very Good</v>
      </c>
      <c r="Y2786" s="182" t="str">
        <f>IFERROR(__xludf.DUMMYFUNCTION("""COMPUTED_VALUE"""),"Very Good")</f>
        <v>Very Good</v>
      </c>
      <c r="Z2786" s="182" t="str">
        <f>IFERROR(__xludf.DUMMYFUNCTION("""COMPUTED_VALUE"""),"Good")</f>
        <v>Good</v>
      </c>
      <c r="AA2786" s="182" t="str">
        <f>IFERROR(__xludf.DUMMYFUNCTION("""COMPUTED_VALUE"""),"Good")</f>
        <v>Good</v>
      </c>
      <c r="AB2786" s="182" t="str">
        <f>IFERROR(__xludf.DUMMYFUNCTION("""COMPUTED_VALUE"""),"Good")</f>
        <v>Good</v>
      </c>
      <c r="AC2786" s="183">
        <f>IFERROR(__xludf.DUMMYFUNCTION("""COMPUTED_VALUE"""),0.0)</f>
        <v>0</v>
      </c>
      <c r="AD2786" s="183"/>
      <c r="AE2786" s="183"/>
      <c r="AF2786" s="184"/>
      <c r="AG2786" s="180"/>
      <c r="AH2786" s="185">
        <f>IFERROR(__xludf.DUMMYFUNCTION("""COMPUTED_VALUE"""),43343.63377921296)</f>
        <v>43343.63378</v>
      </c>
      <c r="AI2786" s="182"/>
      <c r="AJ2786" s="182"/>
      <c r="AK2786" s="182"/>
      <c r="AL2786" s="182"/>
    </row>
    <row r="2787" ht="20.25" customHeight="1">
      <c r="A2787" s="169" t="str">
        <f>IFERROR(__xludf.DUMMYFUNCTION("""COMPUTED_VALUE"""),"soccerik")</f>
        <v>soccerik</v>
      </c>
      <c r="B2787" s="170" t="str">
        <f>IFERROR(__xludf.DUMMYFUNCTION("""COMPUTED_VALUE"""),"San Francisco")</f>
        <v>San Francisco</v>
      </c>
      <c r="C2787" s="170" t="str">
        <f>IFERROR(__xludf.DUMMYFUNCTION("""COMPUTED_VALUE"""),"CA")</f>
        <v>CA</v>
      </c>
      <c r="D2787" s="170" t="str">
        <f>IFERROR(__xludf.DUMMYFUNCTION("""COMPUTED_VALUE"""),"USA")</f>
        <v>USA</v>
      </c>
      <c r="E2787" s="171">
        <f>IFERROR(__xludf.DUMMYFUNCTION("""COMPUTED_VALUE"""),43281.0)</f>
        <v>43281</v>
      </c>
      <c r="F2787" s="172">
        <f>IFERROR(__xludf.DUMMYFUNCTION("""COMPUTED_VALUE"""),43325.0)</f>
        <v>43325</v>
      </c>
      <c r="G2787" s="173"/>
      <c r="H2787" s="174">
        <f>IFERROR(__xludf.DUMMYFUNCTION("""COMPUTED_VALUE"""),66955.0)</f>
        <v>66955</v>
      </c>
      <c r="I2787" s="175" t="str">
        <f>IFERROR(__xludf.DUMMYFUNCTION("""COMPUTED_VALUE"""),"08/18")</f>
        <v>08/18</v>
      </c>
      <c r="J2787" s="172">
        <f>IFERROR(__xludf.DUMMYFUNCTION("""COMPUTED_VALUE"""),43330.0)</f>
        <v>43330</v>
      </c>
      <c r="K2787" s="176">
        <f>IFERROR(__xludf.DUMMYFUNCTION("""COMPUTED_VALUE"""),44.0)</f>
        <v>44</v>
      </c>
      <c r="L2787" s="176">
        <f>IFERROR(__xludf.DUMMYFUNCTION("""COMPUTED_VALUE"""),5.0)</f>
        <v>5</v>
      </c>
      <c r="M2787" s="176">
        <f>IFERROR(__xludf.DUMMYFUNCTION("""COMPUTED_VALUE"""),49.0)</f>
        <v>49</v>
      </c>
      <c r="N2787" s="177" t="str">
        <f>IFERROR(__xludf.DUMMYFUNCTION("""COMPUTED_VALUE"""),"Model 3 LR AWD")</f>
        <v>Model 3 LR AWD</v>
      </c>
      <c r="O2787" s="177" t="str">
        <f>IFERROR(__xludf.DUMMYFUNCTION("""COMPUTED_VALUE"""),"Pearl White Multi-Coat")</f>
        <v>Pearl White Multi-Coat</v>
      </c>
      <c r="P2787" s="178" t="str">
        <f>IFERROR(__xludf.DUMMYFUNCTION("""COMPUTED_VALUE"""),"18 inch Aero")</f>
        <v>18 inch Aero</v>
      </c>
      <c r="Q2787" s="177" t="str">
        <f>IFERROR(__xludf.DUMMYFUNCTION("""COMPUTED_VALUE"""),"Black seats")</f>
        <v>Black seats</v>
      </c>
      <c r="R2787" s="170" t="str">
        <f>IFERROR(__xludf.DUMMYFUNCTION("""COMPUTED_VALUE"""),"Full Self-Driving")</f>
        <v>Full Self-Driving</v>
      </c>
      <c r="S2787" s="170"/>
      <c r="T2787" s="179"/>
      <c r="U2787" s="179"/>
      <c r="V2787" s="179"/>
      <c r="W2787" s="180"/>
      <c r="X2787" s="181" t="str">
        <f>IFERROR(__xludf.DUMMYFUNCTION("""COMPUTED_VALUE"""),"Excellent")</f>
        <v>Excellent</v>
      </c>
      <c r="Y2787" s="182" t="str">
        <f>IFERROR(__xludf.DUMMYFUNCTION("""COMPUTED_VALUE"""),"Excellent")</f>
        <v>Excellent</v>
      </c>
      <c r="Z2787" s="182" t="str">
        <f>IFERROR(__xludf.DUMMYFUNCTION("""COMPUTED_VALUE"""),"Very Good")</f>
        <v>Very Good</v>
      </c>
      <c r="AA2787" s="182" t="str">
        <f>IFERROR(__xludf.DUMMYFUNCTION("""COMPUTED_VALUE"""),"Excellent")</f>
        <v>Excellent</v>
      </c>
      <c r="AB2787" s="182" t="str">
        <f>IFERROR(__xludf.DUMMYFUNCTION("""COMPUTED_VALUE"""),"Excellent")</f>
        <v>Excellent</v>
      </c>
      <c r="AC2787" s="183">
        <f>IFERROR(__xludf.DUMMYFUNCTION("""COMPUTED_VALUE"""),1.0)</f>
        <v>1</v>
      </c>
      <c r="AD2787" s="183">
        <f>IFERROR(__xludf.DUMMYFUNCTION("""COMPUTED_VALUE"""),0.0)</f>
        <v>0</v>
      </c>
      <c r="AE2787" s="183">
        <f>IFERROR(__xludf.DUMMYFUNCTION("""COMPUTED_VALUE"""),0.0)</f>
        <v>0</v>
      </c>
      <c r="AF2787" s="184"/>
      <c r="AG2787" s="180"/>
      <c r="AH2787" s="185">
        <f>IFERROR(__xludf.DUMMYFUNCTION("""COMPUTED_VALUE"""),43346.912566562496)</f>
        <v>43346.91257</v>
      </c>
      <c r="AI2787" s="182"/>
      <c r="AJ2787" s="182"/>
      <c r="AK2787" s="182"/>
      <c r="AL2787" s="182"/>
    </row>
    <row r="2788" ht="20.25" customHeight="1">
      <c r="A2788" s="169" t="str">
        <f>IFERROR(__xludf.DUMMYFUNCTION("""COMPUTED_VALUE"""),"Steven")</f>
        <v>Steven</v>
      </c>
      <c r="B2788" s="170" t="str">
        <f>IFERROR(__xludf.DUMMYFUNCTION("""COMPUTED_VALUE"""),"Warner Robins")</f>
        <v>Warner Robins</v>
      </c>
      <c r="C2788" s="170" t="str">
        <f>IFERROR(__xludf.DUMMYFUNCTION("""COMPUTED_VALUE"""),"GA")</f>
        <v>GA</v>
      </c>
      <c r="D2788" s="170" t="str">
        <f>IFERROR(__xludf.DUMMYFUNCTION("""COMPUTED_VALUE"""),"USA")</f>
        <v>USA</v>
      </c>
      <c r="E2788" s="171">
        <f>IFERROR(__xludf.DUMMYFUNCTION("""COMPUTED_VALUE"""),43281.0)</f>
        <v>43281</v>
      </c>
      <c r="F2788" s="172">
        <f>IFERROR(__xludf.DUMMYFUNCTION("""COMPUTED_VALUE"""),43313.0)</f>
        <v>43313</v>
      </c>
      <c r="G2788" s="173"/>
      <c r="H2788" s="174">
        <f>IFERROR(__xludf.DUMMYFUNCTION("""COMPUTED_VALUE"""),51265.0)</f>
        <v>51265</v>
      </c>
      <c r="I2788" s="175" t="str">
        <f>IFERROR(__xludf.DUMMYFUNCTION("""COMPUTED_VALUE"""),"08/18")</f>
        <v>08/18</v>
      </c>
      <c r="J2788" s="172">
        <f>IFERROR(__xludf.DUMMYFUNCTION("""COMPUTED_VALUE"""),43331.0)</f>
        <v>43331</v>
      </c>
      <c r="K2788" s="176">
        <f>IFERROR(__xludf.DUMMYFUNCTION("""COMPUTED_VALUE"""),32.0)</f>
        <v>32</v>
      </c>
      <c r="L2788" s="176">
        <f>IFERROR(__xludf.DUMMYFUNCTION("""COMPUTED_VALUE"""),18.0)</f>
        <v>18</v>
      </c>
      <c r="M2788" s="176">
        <f>IFERROR(__xludf.DUMMYFUNCTION("""COMPUTED_VALUE"""),50.0)</f>
        <v>50</v>
      </c>
      <c r="N2788" s="177" t="str">
        <f>IFERROR(__xludf.DUMMYFUNCTION("""COMPUTED_VALUE"""),"Model 3 LR")</f>
        <v>Model 3 LR</v>
      </c>
      <c r="O2788" s="177" t="str">
        <f>IFERROR(__xludf.DUMMYFUNCTION("""COMPUTED_VALUE"""),"Pearl White Multi-Coat")</f>
        <v>Pearl White Multi-Coat</v>
      </c>
      <c r="P2788" s="178" t="str">
        <f>IFERROR(__xludf.DUMMYFUNCTION("""COMPUTED_VALUE"""),"18 inch Aero")</f>
        <v>18 inch Aero</v>
      </c>
      <c r="Q2788" s="177" t="str">
        <f>IFERROR(__xludf.DUMMYFUNCTION("""COMPUTED_VALUE"""),"Black seats")</f>
        <v>Black seats</v>
      </c>
      <c r="R2788" s="170" t="str">
        <f>IFERROR(__xludf.DUMMYFUNCTION("""COMPUTED_VALUE"""),"Enhanced Autopilot")</f>
        <v>Enhanced Autopilot</v>
      </c>
      <c r="S2788" s="170"/>
      <c r="T2788" s="179"/>
      <c r="U2788" s="179"/>
      <c r="V2788" s="179"/>
      <c r="W2788" s="180"/>
      <c r="X2788" s="181" t="str">
        <f>IFERROR(__xludf.DUMMYFUNCTION("""COMPUTED_VALUE"""),"Excellent")</f>
        <v>Excellent</v>
      </c>
      <c r="Y2788" s="182" t="str">
        <f>IFERROR(__xludf.DUMMYFUNCTION("""COMPUTED_VALUE"""),"Excellent")</f>
        <v>Excellent</v>
      </c>
      <c r="Z2788" s="182" t="str">
        <f>IFERROR(__xludf.DUMMYFUNCTION("""COMPUTED_VALUE"""),"Very Good")</f>
        <v>Very Good</v>
      </c>
      <c r="AA2788" s="182" t="str">
        <f>IFERROR(__xludf.DUMMYFUNCTION("""COMPUTED_VALUE"""),"Excellent")</f>
        <v>Excellent</v>
      </c>
      <c r="AB2788" s="182" t="str">
        <f>IFERROR(__xludf.DUMMYFUNCTION("""COMPUTED_VALUE"""),"Excellent")</f>
        <v>Excellent</v>
      </c>
      <c r="AC2788" s="183"/>
      <c r="AD2788" s="183"/>
      <c r="AE2788" s="183"/>
      <c r="AF2788" s="184"/>
      <c r="AG2788" s="180"/>
      <c r="AH2788" s="185">
        <f>IFERROR(__xludf.DUMMYFUNCTION("""COMPUTED_VALUE"""),43331.70806319445)</f>
        <v>43331.70806</v>
      </c>
      <c r="AI2788" s="182"/>
      <c r="AJ2788" s="182"/>
      <c r="AK2788" s="182"/>
      <c r="AL2788" s="182"/>
    </row>
    <row r="2789" ht="20.25" customHeight="1">
      <c r="A2789" s="169" t="str">
        <f>IFERROR(__xludf.DUMMYFUNCTION("""COMPUTED_VALUE"""),"steveybaby")</f>
        <v>steveybaby</v>
      </c>
      <c r="B2789" s="170" t="str">
        <f>IFERROR(__xludf.DUMMYFUNCTION("""COMPUTED_VALUE"""),"Oakland")</f>
        <v>Oakland</v>
      </c>
      <c r="C2789" s="170" t="str">
        <f>IFERROR(__xludf.DUMMYFUNCTION("""COMPUTED_VALUE"""),"CA")</f>
        <v>CA</v>
      </c>
      <c r="D2789" s="170" t="str">
        <f>IFERROR(__xludf.DUMMYFUNCTION("""COMPUTED_VALUE"""),"USA")</f>
        <v>USA</v>
      </c>
      <c r="E2789" s="171">
        <f>IFERROR(__xludf.DUMMYFUNCTION("""COMPUTED_VALUE"""),43281.0)</f>
        <v>43281</v>
      </c>
      <c r="F2789" s="172">
        <f>IFERROR(__xludf.DUMMYFUNCTION("""COMPUTED_VALUE"""),43308.0)</f>
        <v>43308</v>
      </c>
      <c r="G2789" s="173"/>
      <c r="H2789" s="174">
        <f>IFERROR(__xludf.DUMMYFUNCTION("""COMPUTED_VALUE"""),53255.0)</f>
        <v>53255</v>
      </c>
      <c r="I2789" s="175"/>
      <c r="J2789" s="172">
        <f>IFERROR(__xludf.DUMMYFUNCTION("""COMPUTED_VALUE"""),43315.0)</f>
        <v>43315</v>
      </c>
      <c r="K2789" s="176">
        <f>IFERROR(__xludf.DUMMYFUNCTION("""COMPUTED_VALUE"""),27.0)</f>
        <v>27</v>
      </c>
      <c r="L2789" s="176">
        <f>IFERROR(__xludf.DUMMYFUNCTION("""COMPUTED_VALUE"""),7.0)</f>
        <v>7</v>
      </c>
      <c r="M2789" s="176">
        <f>IFERROR(__xludf.DUMMYFUNCTION("""COMPUTED_VALUE"""),34.0)</f>
        <v>34</v>
      </c>
      <c r="N2789" s="177" t="str">
        <f>IFERROR(__xludf.DUMMYFUNCTION("""COMPUTED_VALUE"""),"Model 3 LR")</f>
        <v>Model 3 LR</v>
      </c>
      <c r="O2789" s="177" t="str">
        <f>IFERROR(__xludf.DUMMYFUNCTION("""COMPUTED_VALUE"""),"Red Multi-Coat")</f>
        <v>Red Multi-Coat</v>
      </c>
      <c r="P2789" s="178" t="str">
        <f>IFERROR(__xludf.DUMMYFUNCTION("""COMPUTED_VALUE"""),"18 inch Aero")</f>
        <v>18 inch Aero</v>
      </c>
      <c r="Q2789" s="177" t="str">
        <f>IFERROR(__xludf.DUMMYFUNCTION("""COMPUTED_VALUE"""),"Black seats")</f>
        <v>Black seats</v>
      </c>
      <c r="R2789" s="170" t="str">
        <f>IFERROR(__xludf.DUMMYFUNCTION("""COMPUTED_VALUE"""),"Enhanced Autopilot")</f>
        <v>Enhanced Autopilot</v>
      </c>
      <c r="S2789" s="170"/>
      <c r="T2789" s="179"/>
      <c r="U2789" s="179"/>
      <c r="V2789" s="179"/>
      <c r="W2789" s="180"/>
      <c r="X2789" s="181" t="str">
        <f>IFERROR(__xludf.DUMMYFUNCTION("""COMPUTED_VALUE"""),"Excellent")</f>
        <v>Excellent</v>
      </c>
      <c r="Y2789" s="182" t="str">
        <f>IFERROR(__xludf.DUMMYFUNCTION("""COMPUTED_VALUE"""),"Excellent")</f>
        <v>Excellent</v>
      </c>
      <c r="Z2789" s="182" t="str">
        <f>IFERROR(__xludf.DUMMYFUNCTION("""COMPUTED_VALUE"""),"Very Good")</f>
        <v>Very Good</v>
      </c>
      <c r="AA2789" s="182" t="str">
        <f>IFERROR(__xludf.DUMMYFUNCTION("""COMPUTED_VALUE"""),"Good")</f>
        <v>Good</v>
      </c>
      <c r="AB2789" s="182" t="str">
        <f>IFERROR(__xludf.DUMMYFUNCTION("""COMPUTED_VALUE"""),"Good")</f>
        <v>Good</v>
      </c>
      <c r="AC2789" s="183">
        <f>IFERROR(__xludf.DUMMYFUNCTION("""COMPUTED_VALUE"""),1.0)</f>
        <v>1</v>
      </c>
      <c r="AD2789" s="183">
        <f>IFERROR(__xludf.DUMMYFUNCTION("""COMPUTED_VALUE"""),0.0)</f>
        <v>0</v>
      </c>
      <c r="AE2789" s="183">
        <f>IFERROR(__xludf.DUMMYFUNCTION("""COMPUTED_VALUE"""),0.0)</f>
        <v>0</v>
      </c>
      <c r="AF2789" s="184"/>
      <c r="AG2789" s="180" t="str">
        <f>IFERROR(__xludf.DUMMYFUNCTION("""COMPUTED_VALUE"""),"EAP not enabled correctly.")</f>
        <v>EAP not enabled correctly.</v>
      </c>
      <c r="AH2789" s="185">
        <f>IFERROR(__xludf.DUMMYFUNCTION("""COMPUTED_VALUE"""),43318.541958194444)</f>
        <v>43318.54196</v>
      </c>
      <c r="AI2789" s="182"/>
      <c r="AJ2789" s="182"/>
      <c r="AK2789" s="182"/>
      <c r="AL2789" s="182"/>
    </row>
    <row r="2790" ht="20.25" customHeight="1">
      <c r="A2790" s="169" t="str">
        <f>IFERROR(__xludf.DUMMYFUNCTION("""COMPUTED_VALUE"""),"Svetlin")</f>
        <v>Svetlin</v>
      </c>
      <c r="B2790" s="170" t="str">
        <f>IFERROR(__xludf.DUMMYFUNCTION("""COMPUTED_VALUE"""),"Boston")</f>
        <v>Boston</v>
      </c>
      <c r="C2790" s="170" t="str">
        <f>IFERROR(__xludf.DUMMYFUNCTION("""COMPUTED_VALUE"""),"MA")</f>
        <v>MA</v>
      </c>
      <c r="D2790" s="170" t="str">
        <f>IFERROR(__xludf.DUMMYFUNCTION("""COMPUTED_VALUE"""),"USA")</f>
        <v>USA</v>
      </c>
      <c r="E2790" s="171">
        <f>IFERROR(__xludf.DUMMYFUNCTION("""COMPUTED_VALUE"""),43281.0)</f>
        <v>43281</v>
      </c>
      <c r="F2790" s="172">
        <f>IFERROR(__xludf.DUMMYFUNCTION("""COMPUTED_VALUE"""),43339.0)</f>
        <v>43339</v>
      </c>
      <c r="G2790" s="173"/>
      <c r="H2790" s="174">
        <f>IFERROR(__xludf.DUMMYFUNCTION("""COMPUTED_VALUE"""),54155.0)</f>
        <v>54155</v>
      </c>
      <c r="I2790" s="175" t="str">
        <f>IFERROR(__xludf.DUMMYFUNCTION("""COMPUTED_VALUE"""),"07/18")</f>
        <v>07/18</v>
      </c>
      <c r="J2790" s="172">
        <f>IFERROR(__xludf.DUMMYFUNCTION("""COMPUTED_VALUE"""),43350.0)</f>
        <v>43350</v>
      </c>
      <c r="K2790" s="176">
        <f>IFERROR(__xludf.DUMMYFUNCTION("""COMPUTED_VALUE"""),58.0)</f>
        <v>58</v>
      </c>
      <c r="L2790" s="176">
        <f>IFERROR(__xludf.DUMMYFUNCTION("""COMPUTED_VALUE"""),11.0)</f>
        <v>11</v>
      </c>
      <c r="M2790" s="176">
        <f>IFERROR(__xludf.DUMMYFUNCTION("""COMPUTED_VALUE"""),69.0)</f>
        <v>69</v>
      </c>
      <c r="N2790" s="177" t="str">
        <f>IFERROR(__xludf.DUMMYFUNCTION("""COMPUTED_VALUE"""),"Model 3 LR AWD")</f>
        <v>Model 3 LR AWD</v>
      </c>
      <c r="O2790" s="177" t="str">
        <f>IFERROR(__xludf.DUMMYFUNCTION("""COMPUTED_VALUE"""),"Pearl White Multi-Coat")</f>
        <v>Pearl White Multi-Coat</v>
      </c>
      <c r="P2790" s="178" t="str">
        <f>IFERROR(__xludf.DUMMYFUNCTION("""COMPUTED_VALUE"""),"18 inch Aero")</f>
        <v>18 inch Aero</v>
      </c>
      <c r="Q2790" s="177" t="str">
        <f>IFERROR(__xludf.DUMMYFUNCTION("""COMPUTED_VALUE"""),"Black seats")</f>
        <v>Black seats</v>
      </c>
      <c r="R2790" s="170" t="str">
        <f>IFERROR(__xludf.DUMMYFUNCTION("""COMPUTED_VALUE"""),"None")</f>
        <v>None</v>
      </c>
      <c r="S2790" s="170"/>
      <c r="T2790" s="179"/>
      <c r="U2790" s="179"/>
      <c r="V2790" s="179"/>
      <c r="W2790" s="180"/>
      <c r="X2790" s="181" t="str">
        <f>IFERROR(__xludf.DUMMYFUNCTION("""COMPUTED_VALUE"""),"Very Good")</f>
        <v>Very Good</v>
      </c>
      <c r="Y2790" s="182" t="str">
        <f>IFERROR(__xludf.DUMMYFUNCTION("""COMPUTED_VALUE"""),"Excellent")</f>
        <v>Excellent</v>
      </c>
      <c r="Z2790" s="182" t="str">
        <f>IFERROR(__xludf.DUMMYFUNCTION("""COMPUTED_VALUE"""),"Excellent")</f>
        <v>Excellent</v>
      </c>
      <c r="AA2790" s="182" t="str">
        <f>IFERROR(__xludf.DUMMYFUNCTION("""COMPUTED_VALUE"""),"Excellent")</f>
        <v>Excellent</v>
      </c>
      <c r="AB2790" s="182" t="str">
        <f>IFERROR(__xludf.DUMMYFUNCTION("""COMPUTED_VALUE"""),"Excellent")</f>
        <v>Excellent</v>
      </c>
      <c r="AC2790" s="183">
        <f>IFERROR(__xludf.DUMMYFUNCTION("""COMPUTED_VALUE"""),0.0)</f>
        <v>0</v>
      </c>
      <c r="AD2790" s="183">
        <f>IFERROR(__xludf.DUMMYFUNCTION("""COMPUTED_VALUE"""),0.0)</f>
        <v>0</v>
      </c>
      <c r="AE2790" s="183">
        <f>IFERROR(__xludf.DUMMYFUNCTION("""COMPUTED_VALUE"""),0.0)</f>
        <v>0</v>
      </c>
      <c r="AF2790" s="184"/>
      <c r="AG2790" s="180"/>
      <c r="AH2790" s="185">
        <f>IFERROR(__xludf.DUMMYFUNCTION("""COMPUTED_VALUE"""),43353.36790320602)</f>
        <v>43353.3679</v>
      </c>
      <c r="AI2790" s="182"/>
      <c r="AJ2790" s="182"/>
      <c r="AK2790" s="182"/>
      <c r="AL2790" s="182"/>
    </row>
    <row r="2791" ht="20.25" customHeight="1">
      <c r="A2791" s="169" t="str">
        <f>IFERROR(__xludf.DUMMYFUNCTION("""COMPUTED_VALUE"""),"systemBuilder")</f>
        <v>systemBuilder</v>
      </c>
      <c r="B2791" s="170" t="str">
        <f>IFERROR(__xludf.DUMMYFUNCTION("""COMPUTED_VALUE"""),"Palo Alto")</f>
        <v>Palo Alto</v>
      </c>
      <c r="C2791" s="170" t="str">
        <f>IFERROR(__xludf.DUMMYFUNCTION("""COMPUTED_VALUE"""),"CA")</f>
        <v>CA</v>
      </c>
      <c r="D2791" s="170" t="str">
        <f>IFERROR(__xludf.DUMMYFUNCTION("""COMPUTED_VALUE"""),"USA")</f>
        <v>USA</v>
      </c>
      <c r="E2791" s="171">
        <f>IFERROR(__xludf.DUMMYFUNCTION("""COMPUTED_VALUE"""),43281.0)</f>
        <v>43281</v>
      </c>
      <c r="F2791" s="172">
        <f>IFERROR(__xludf.DUMMYFUNCTION("""COMPUTED_VALUE"""),43350.0)</f>
        <v>43350</v>
      </c>
      <c r="G2791" s="173"/>
      <c r="H2791" s="174">
        <f>IFERROR(__xludf.DUMMYFUNCTION("""COMPUTED_VALUE"""),63057.0)</f>
        <v>63057</v>
      </c>
      <c r="I2791" s="175" t="str">
        <f>IFERROR(__xludf.DUMMYFUNCTION("""COMPUTED_VALUE"""),"08/18")</f>
        <v>08/18</v>
      </c>
      <c r="J2791" s="172">
        <f>IFERROR(__xludf.DUMMYFUNCTION("""COMPUTED_VALUE"""),43355.0)</f>
        <v>43355</v>
      </c>
      <c r="K2791" s="176">
        <f>IFERROR(__xludf.DUMMYFUNCTION("""COMPUTED_VALUE"""),69.0)</f>
        <v>69</v>
      </c>
      <c r="L2791" s="176">
        <f>IFERROR(__xludf.DUMMYFUNCTION("""COMPUTED_VALUE"""),5.0)</f>
        <v>5</v>
      </c>
      <c r="M2791" s="176">
        <f>IFERROR(__xludf.DUMMYFUNCTION("""COMPUTED_VALUE"""),74.0)</f>
        <v>74</v>
      </c>
      <c r="N2791" s="177" t="str">
        <f>IFERROR(__xludf.DUMMYFUNCTION("""COMPUTED_VALUE"""),"Model 3 Performance")</f>
        <v>Model 3 Performance</v>
      </c>
      <c r="O2791" s="177" t="str">
        <f>IFERROR(__xludf.DUMMYFUNCTION("""COMPUTED_VALUE"""),"Deep Blue Metallic")</f>
        <v>Deep Blue Metallic</v>
      </c>
      <c r="P2791" s="178" t="str">
        <f>IFERROR(__xludf.DUMMYFUNCTION("""COMPUTED_VALUE"""),"20 inch Sport")</f>
        <v>20 inch Sport</v>
      </c>
      <c r="Q2791" s="177" t="str">
        <f>IFERROR(__xludf.DUMMYFUNCTION("""COMPUTED_VALUE"""),"Black seats")</f>
        <v>Black seats</v>
      </c>
      <c r="R2791" s="170" t="str">
        <f>IFERROR(__xludf.DUMMYFUNCTION("""COMPUTED_VALUE"""),"None")</f>
        <v>None</v>
      </c>
      <c r="S2791" s="170"/>
      <c r="T2791" s="179"/>
      <c r="U2791" s="179"/>
      <c r="V2791" s="179"/>
      <c r="W2791" s="180"/>
      <c r="X2791" s="181" t="str">
        <f>IFERROR(__xludf.DUMMYFUNCTION("""COMPUTED_VALUE"""),"Excellent")</f>
        <v>Excellent</v>
      </c>
      <c r="Y2791" s="182" t="str">
        <f>IFERROR(__xludf.DUMMYFUNCTION("""COMPUTED_VALUE"""),"Excellent")</f>
        <v>Excellent</v>
      </c>
      <c r="Z2791" s="182" t="str">
        <f>IFERROR(__xludf.DUMMYFUNCTION("""COMPUTED_VALUE"""),"Excellent")</f>
        <v>Excellent</v>
      </c>
      <c r="AA2791" s="182" t="str">
        <f>IFERROR(__xludf.DUMMYFUNCTION("""COMPUTED_VALUE"""),"Good")</f>
        <v>Good</v>
      </c>
      <c r="AB2791" s="182" t="str">
        <f>IFERROR(__xludf.DUMMYFUNCTION("""COMPUTED_VALUE"""),"Excellent")</f>
        <v>Excellent</v>
      </c>
      <c r="AC2791" s="183">
        <f>IFERROR(__xludf.DUMMYFUNCTION("""COMPUTED_VALUE"""),0.0)</f>
        <v>0</v>
      </c>
      <c r="AD2791" s="183">
        <f>IFERROR(__xludf.DUMMYFUNCTION("""COMPUTED_VALUE"""),1.0)</f>
        <v>1</v>
      </c>
      <c r="AE2791" s="183">
        <f>IFERROR(__xludf.DUMMYFUNCTION("""COMPUTED_VALUE"""),0.0)</f>
        <v>0</v>
      </c>
      <c r="AF2791" s="184"/>
      <c r="AG2791" s="180" t="str">
        <f>IFERROR(__xludf.DUMMYFUNCTION("""COMPUTED_VALUE"""),"Bought 3 extra keycards, hence the ranger visit.")</f>
        <v>Bought 3 extra keycards, hence the ranger visit.</v>
      </c>
      <c r="AH2791" s="185">
        <f>IFERROR(__xludf.DUMMYFUNCTION("""COMPUTED_VALUE"""),43369.76865824073)</f>
        <v>43369.76866</v>
      </c>
      <c r="AI2791" s="182"/>
      <c r="AJ2791" s="182"/>
      <c r="AK2791" s="182"/>
      <c r="AL2791" s="182"/>
    </row>
    <row r="2792" ht="20.25" customHeight="1">
      <c r="A2792" s="169" t="str">
        <f>IFERROR(__xludf.DUMMYFUNCTION("""COMPUTED_VALUE"""),"tdisonedrive")</f>
        <v>tdisonedrive</v>
      </c>
      <c r="B2792" s="170" t="str">
        <f>IFERROR(__xludf.DUMMYFUNCTION("""COMPUTED_VALUE"""),"Rockville")</f>
        <v>Rockville</v>
      </c>
      <c r="C2792" s="170" t="str">
        <f>IFERROR(__xludf.DUMMYFUNCTION("""COMPUTED_VALUE"""),"MD")</f>
        <v>MD</v>
      </c>
      <c r="D2792" s="170" t="str">
        <f>IFERROR(__xludf.DUMMYFUNCTION("""COMPUTED_VALUE"""),"USA")</f>
        <v>USA</v>
      </c>
      <c r="E2792" s="171">
        <f>IFERROR(__xludf.DUMMYFUNCTION("""COMPUTED_VALUE"""),43281.0)</f>
        <v>43281</v>
      </c>
      <c r="F2792" s="172">
        <f>IFERROR(__xludf.DUMMYFUNCTION("""COMPUTED_VALUE"""),43396.0)</f>
        <v>43396</v>
      </c>
      <c r="G2792" s="173"/>
      <c r="H2792" s="174">
        <f>IFERROR(__xludf.DUMMYFUNCTION("""COMPUTED_VALUE"""),118755.0)</f>
        <v>118755</v>
      </c>
      <c r="I2792" s="175"/>
      <c r="J2792" s="172">
        <f>IFERROR(__xludf.DUMMYFUNCTION("""COMPUTED_VALUE"""),43414.0)</f>
        <v>43414</v>
      </c>
      <c r="K2792" s="176">
        <f>IFERROR(__xludf.DUMMYFUNCTION("""COMPUTED_VALUE"""),115.0)</f>
        <v>115</v>
      </c>
      <c r="L2792" s="176">
        <f>IFERROR(__xludf.DUMMYFUNCTION("""COMPUTED_VALUE"""),18.0)</f>
        <v>18</v>
      </c>
      <c r="M2792" s="176">
        <f>IFERROR(__xludf.DUMMYFUNCTION("""COMPUTED_VALUE"""),133.0)</f>
        <v>133</v>
      </c>
      <c r="N2792" s="177" t="str">
        <f>IFERROR(__xludf.DUMMYFUNCTION("""COMPUTED_VALUE"""),"Model 3 LR AWD")</f>
        <v>Model 3 LR AWD</v>
      </c>
      <c r="O2792" s="177" t="str">
        <f>IFERROR(__xludf.DUMMYFUNCTION("""COMPUTED_VALUE"""),"Solid Black")</f>
        <v>Solid Black</v>
      </c>
      <c r="P2792" s="178" t="str">
        <f>IFERROR(__xludf.DUMMYFUNCTION("""COMPUTED_VALUE"""),"18 inch Aero")</f>
        <v>18 inch Aero</v>
      </c>
      <c r="Q2792" s="177" t="str">
        <f>IFERROR(__xludf.DUMMYFUNCTION("""COMPUTED_VALUE"""),"Black seats")</f>
        <v>Black seats</v>
      </c>
      <c r="R2792" s="170" t="str">
        <f>IFERROR(__xludf.DUMMYFUNCTION("""COMPUTED_VALUE"""),"None")</f>
        <v>None</v>
      </c>
      <c r="S2792" s="170"/>
      <c r="T2792" s="179"/>
      <c r="U2792" s="179"/>
      <c r="V2792" s="179"/>
      <c r="W2792" s="180"/>
      <c r="X2792" s="181" t="str">
        <f>IFERROR(__xludf.DUMMYFUNCTION("""COMPUTED_VALUE"""),"Very Good")</f>
        <v>Very Good</v>
      </c>
      <c r="Y2792" s="182" t="str">
        <f>IFERROR(__xludf.DUMMYFUNCTION("""COMPUTED_VALUE"""),"Excellent")</f>
        <v>Excellent</v>
      </c>
      <c r="Z2792" s="182" t="str">
        <f>IFERROR(__xludf.DUMMYFUNCTION("""COMPUTED_VALUE"""),"Excellent")</f>
        <v>Excellent</v>
      </c>
      <c r="AA2792" s="182" t="str">
        <f>IFERROR(__xludf.DUMMYFUNCTION("""COMPUTED_VALUE"""),"Very Good")</f>
        <v>Very Good</v>
      </c>
      <c r="AB2792" s="182" t="str">
        <f>IFERROR(__xludf.DUMMYFUNCTION("""COMPUTED_VALUE"""),"Excellent")</f>
        <v>Excellent</v>
      </c>
      <c r="AC2792" s="183">
        <f>IFERROR(__xludf.DUMMYFUNCTION("""COMPUTED_VALUE"""),1.0)</f>
        <v>1</v>
      </c>
      <c r="AD2792" s="183">
        <f>IFERROR(__xludf.DUMMYFUNCTION("""COMPUTED_VALUE"""),1.0)</f>
        <v>1</v>
      </c>
      <c r="AE2792" s="183"/>
      <c r="AF2792" s="184"/>
      <c r="AG2792" s="180"/>
      <c r="AH2792" s="185">
        <f>IFERROR(__xludf.DUMMYFUNCTION("""COMPUTED_VALUE"""),43417.850248738425)</f>
        <v>43417.85025</v>
      </c>
      <c r="AI2792" s="182"/>
      <c r="AJ2792" s="182"/>
      <c r="AK2792" s="182"/>
      <c r="AL2792" s="182"/>
    </row>
    <row r="2793" ht="20.25" customHeight="1">
      <c r="A2793" s="169" t="str">
        <f>IFERROR(__xludf.DUMMYFUNCTION("""COMPUTED_VALUE"""),"ThomasStrange")</f>
        <v>ThomasStrange</v>
      </c>
      <c r="B2793" s="170" t="str">
        <f>IFERROR(__xludf.DUMMYFUNCTION("""COMPUTED_VALUE"""),"Roseville")</f>
        <v>Roseville</v>
      </c>
      <c r="C2793" s="170" t="str">
        <f>IFERROR(__xludf.DUMMYFUNCTION("""COMPUTED_VALUE"""),"CA")</f>
        <v>CA</v>
      </c>
      <c r="D2793" s="170" t="str">
        <f>IFERROR(__xludf.DUMMYFUNCTION("""COMPUTED_VALUE"""),"USA")</f>
        <v>USA</v>
      </c>
      <c r="E2793" s="171">
        <f>IFERROR(__xludf.DUMMYFUNCTION("""COMPUTED_VALUE"""),43281.0)</f>
        <v>43281</v>
      </c>
      <c r="F2793" s="172">
        <f>IFERROR(__xludf.DUMMYFUNCTION("""COMPUTED_VALUE"""),43342.0)</f>
        <v>43342</v>
      </c>
      <c r="G2793" s="173"/>
      <c r="H2793" s="174">
        <f>IFERROR(__xludf.DUMMYFUNCTION("""COMPUTED_VALUE"""),65255.0)</f>
        <v>65255</v>
      </c>
      <c r="I2793" s="175" t="str">
        <f>IFERROR(__xludf.DUMMYFUNCTION("""COMPUTED_VALUE"""),"08/18")</f>
        <v>08/18</v>
      </c>
      <c r="J2793" s="172">
        <f>IFERROR(__xludf.DUMMYFUNCTION("""COMPUTED_VALUE"""),43351.0)</f>
        <v>43351</v>
      </c>
      <c r="K2793" s="176">
        <f>IFERROR(__xludf.DUMMYFUNCTION("""COMPUTED_VALUE"""),61.0)</f>
        <v>61</v>
      </c>
      <c r="L2793" s="176">
        <f>IFERROR(__xludf.DUMMYFUNCTION("""COMPUTED_VALUE"""),9.0)</f>
        <v>9</v>
      </c>
      <c r="M2793" s="176">
        <f>IFERROR(__xludf.DUMMYFUNCTION("""COMPUTED_VALUE"""),70.0)</f>
        <v>70</v>
      </c>
      <c r="N2793" s="177" t="str">
        <f>IFERROR(__xludf.DUMMYFUNCTION("""COMPUTED_VALUE"""),"Model 3 LR AWD")</f>
        <v>Model 3 LR AWD</v>
      </c>
      <c r="O2793" s="177" t="str">
        <f>IFERROR(__xludf.DUMMYFUNCTION("""COMPUTED_VALUE"""),"Silver Metallic")</f>
        <v>Silver Metallic</v>
      </c>
      <c r="P2793" s="178" t="str">
        <f>IFERROR(__xludf.DUMMYFUNCTION("""COMPUTED_VALUE"""),"18 inch Aero")</f>
        <v>18 inch Aero</v>
      </c>
      <c r="Q2793" s="177" t="str">
        <f>IFERROR(__xludf.DUMMYFUNCTION("""COMPUTED_VALUE"""),"Black seats")</f>
        <v>Black seats</v>
      </c>
      <c r="R2793" s="170" t="str">
        <f>IFERROR(__xludf.DUMMYFUNCTION("""COMPUTED_VALUE"""),"Enhanced Autopilot")</f>
        <v>Enhanced Autopilot</v>
      </c>
      <c r="S2793" s="170"/>
      <c r="T2793" s="179"/>
      <c r="U2793" s="179"/>
      <c r="V2793" s="179"/>
      <c r="W2793" s="180"/>
      <c r="X2793" s="181" t="str">
        <f>IFERROR(__xludf.DUMMYFUNCTION("""COMPUTED_VALUE"""),"Excellent")</f>
        <v>Excellent</v>
      </c>
      <c r="Y2793" s="182" t="str">
        <f>IFERROR(__xludf.DUMMYFUNCTION("""COMPUTED_VALUE"""),"Excellent")</f>
        <v>Excellent</v>
      </c>
      <c r="Z2793" s="182" t="str">
        <f>IFERROR(__xludf.DUMMYFUNCTION("""COMPUTED_VALUE"""),"Excellent")</f>
        <v>Excellent</v>
      </c>
      <c r="AA2793" s="182" t="str">
        <f>IFERROR(__xludf.DUMMYFUNCTION("""COMPUTED_VALUE"""),"Poor")</f>
        <v>Poor</v>
      </c>
      <c r="AB2793" s="182" t="str">
        <f>IFERROR(__xludf.DUMMYFUNCTION("""COMPUTED_VALUE"""),"Excellent")</f>
        <v>Excellent</v>
      </c>
      <c r="AC2793" s="183">
        <f>IFERROR(__xludf.DUMMYFUNCTION("""COMPUTED_VALUE"""),2.0)</f>
        <v>2</v>
      </c>
      <c r="AD2793" s="183">
        <f>IFERROR(__xludf.DUMMYFUNCTION("""COMPUTED_VALUE"""),0.0)</f>
        <v>0</v>
      </c>
      <c r="AE2793" s="183">
        <f>IFERROR(__xludf.DUMMYFUNCTION("""COMPUTED_VALUE"""),0.0)</f>
        <v>0</v>
      </c>
      <c r="AF2793" s="184"/>
      <c r="AG2793" s="180" t="str">
        <f>IFERROR(__xludf.DUMMYFUNCTION("""COMPUTED_VALUE"""),"Paint defects were extremely minor (only issues)")</f>
        <v>Paint defects were extremely minor (only issues)</v>
      </c>
      <c r="AH2793" s="185">
        <f>IFERROR(__xludf.DUMMYFUNCTION("""COMPUTED_VALUE"""),43353.38540533564)</f>
        <v>43353.38541</v>
      </c>
      <c r="AI2793" s="182"/>
      <c r="AJ2793" s="182"/>
      <c r="AK2793" s="182"/>
      <c r="AL2793" s="182"/>
    </row>
    <row r="2794" ht="20.25" customHeight="1">
      <c r="A2794" s="169" t="str">
        <f>IFERROR(__xludf.DUMMYFUNCTION("""COMPUTED_VALUE"""),"Tim")</f>
        <v>Tim</v>
      </c>
      <c r="B2794" s="170" t="str">
        <f>IFERROR(__xludf.DUMMYFUNCTION("""COMPUTED_VALUE"""),"Jacksonville ")</f>
        <v>Jacksonville </v>
      </c>
      <c r="C2794" s="170" t="str">
        <f>IFERROR(__xludf.DUMMYFUNCTION("""COMPUTED_VALUE"""),"FL")</f>
        <v>FL</v>
      </c>
      <c r="D2794" s="170" t="str">
        <f>IFERROR(__xludf.DUMMYFUNCTION("""COMPUTED_VALUE"""),"USA")</f>
        <v>USA</v>
      </c>
      <c r="E2794" s="171">
        <f>IFERROR(__xludf.DUMMYFUNCTION("""COMPUTED_VALUE"""),43281.0)</f>
        <v>43281</v>
      </c>
      <c r="F2794" s="172">
        <f>IFERROR(__xludf.DUMMYFUNCTION("""COMPUTED_VALUE"""),43339.0)</f>
        <v>43339</v>
      </c>
      <c r="G2794" s="173"/>
      <c r="H2794" s="174">
        <f>IFERROR(__xludf.DUMMYFUNCTION("""COMPUTED_VALUE"""),88255.0)</f>
        <v>88255</v>
      </c>
      <c r="I2794" s="175" t="str">
        <f>IFERROR(__xludf.DUMMYFUNCTION("""COMPUTED_VALUE"""),"08/18")</f>
        <v>08/18</v>
      </c>
      <c r="J2794" s="172">
        <f>IFERROR(__xludf.DUMMYFUNCTION("""COMPUTED_VALUE"""),43357.0)</f>
        <v>43357</v>
      </c>
      <c r="K2794" s="176">
        <f>IFERROR(__xludf.DUMMYFUNCTION("""COMPUTED_VALUE"""),58.0)</f>
        <v>58</v>
      </c>
      <c r="L2794" s="176">
        <f>IFERROR(__xludf.DUMMYFUNCTION("""COMPUTED_VALUE"""),18.0)</f>
        <v>18</v>
      </c>
      <c r="M2794" s="176">
        <f>IFERROR(__xludf.DUMMYFUNCTION("""COMPUTED_VALUE"""),76.0)</f>
        <v>76</v>
      </c>
      <c r="N2794" s="177" t="str">
        <f>IFERROR(__xludf.DUMMYFUNCTION("""COMPUTED_VALUE"""),"Model 3 LR AWD")</f>
        <v>Model 3 LR AWD</v>
      </c>
      <c r="O2794" s="177" t="str">
        <f>IFERROR(__xludf.DUMMYFUNCTION("""COMPUTED_VALUE"""),"Deep Blue Metallic")</f>
        <v>Deep Blue Metallic</v>
      </c>
      <c r="P2794" s="178" t="str">
        <f>IFERROR(__xludf.DUMMYFUNCTION("""COMPUTED_VALUE"""),"19 inch Sport")</f>
        <v>19 inch Sport</v>
      </c>
      <c r="Q2794" s="177" t="str">
        <f>IFERROR(__xludf.DUMMYFUNCTION("""COMPUTED_VALUE"""),"Black seats")</f>
        <v>Black seats</v>
      </c>
      <c r="R2794" s="170" t="str">
        <f>IFERROR(__xludf.DUMMYFUNCTION("""COMPUTED_VALUE"""),"Full Self-Driving")</f>
        <v>Full Self-Driving</v>
      </c>
      <c r="S2794" s="170"/>
      <c r="T2794" s="179"/>
      <c r="U2794" s="179"/>
      <c r="V2794" s="179"/>
      <c r="W2794" s="180"/>
      <c r="X2794" s="181" t="str">
        <f>IFERROR(__xludf.DUMMYFUNCTION("""COMPUTED_VALUE"""),"Excellent")</f>
        <v>Excellent</v>
      </c>
      <c r="Y2794" s="182" t="str">
        <f>IFERROR(__xludf.DUMMYFUNCTION("""COMPUTED_VALUE"""),"Excellent")</f>
        <v>Excellent</v>
      </c>
      <c r="Z2794" s="182" t="str">
        <f>IFERROR(__xludf.DUMMYFUNCTION("""COMPUTED_VALUE"""),"Excellent")</f>
        <v>Excellent</v>
      </c>
      <c r="AA2794" s="182" t="str">
        <f>IFERROR(__xludf.DUMMYFUNCTION("""COMPUTED_VALUE"""),"Good")</f>
        <v>Good</v>
      </c>
      <c r="AB2794" s="182" t="str">
        <f>IFERROR(__xludf.DUMMYFUNCTION("""COMPUTED_VALUE"""),"Very Good")</f>
        <v>Very Good</v>
      </c>
      <c r="AC2794" s="183">
        <f>IFERROR(__xludf.DUMMYFUNCTION("""COMPUTED_VALUE"""),2.0)</f>
        <v>2</v>
      </c>
      <c r="AD2794" s="183">
        <f>IFERROR(__xludf.DUMMYFUNCTION("""COMPUTED_VALUE"""),1.0)</f>
        <v>1</v>
      </c>
      <c r="AE2794" s="183"/>
      <c r="AF2794" s="184"/>
      <c r="AG2794" s="180"/>
      <c r="AH2794" s="185">
        <f>IFERROR(__xludf.DUMMYFUNCTION("""COMPUTED_VALUE"""),43361.71710298611)</f>
        <v>43361.7171</v>
      </c>
      <c r="AI2794" s="182"/>
      <c r="AJ2794" s="182"/>
      <c r="AK2794" s="182"/>
      <c r="AL2794" s="182"/>
    </row>
    <row r="2795" ht="20.25" customHeight="1">
      <c r="A2795" s="169" t="str">
        <f>IFERROR(__xludf.DUMMYFUNCTION("""COMPUTED_VALUE"""),"TJcos (2)")</f>
        <v>TJcos (2)</v>
      </c>
      <c r="B2795" s="170" t="str">
        <f>IFERROR(__xludf.DUMMYFUNCTION("""COMPUTED_VALUE"""),"Colorado Springs")</f>
        <v>Colorado Springs</v>
      </c>
      <c r="C2795" s="170" t="str">
        <f>IFERROR(__xludf.DUMMYFUNCTION("""COMPUTED_VALUE"""),"CO")</f>
        <v>CO</v>
      </c>
      <c r="D2795" s="170" t="str">
        <f>IFERROR(__xludf.DUMMYFUNCTION("""COMPUTED_VALUE"""),"USA")</f>
        <v>USA</v>
      </c>
      <c r="E2795" s="171">
        <f>IFERROR(__xludf.DUMMYFUNCTION("""COMPUTED_VALUE"""),43281.0)</f>
        <v>43281</v>
      </c>
      <c r="F2795" s="172">
        <f>IFERROR(__xludf.DUMMYFUNCTION("""COMPUTED_VALUE"""),43368.0)</f>
        <v>43368</v>
      </c>
      <c r="G2795" s="173"/>
      <c r="H2795" s="174">
        <f>IFERROR(__xludf.DUMMYFUNCTION("""COMPUTED_VALUE"""),104755.0)</f>
        <v>104755</v>
      </c>
      <c r="I2795" s="175" t="str">
        <f>IFERROR(__xludf.DUMMYFUNCTION("""COMPUTED_VALUE"""),"09/18")</f>
        <v>09/18</v>
      </c>
      <c r="J2795" s="172">
        <f>IFERROR(__xludf.DUMMYFUNCTION("""COMPUTED_VALUE"""),43371.0)</f>
        <v>43371</v>
      </c>
      <c r="K2795" s="176">
        <f>IFERROR(__xludf.DUMMYFUNCTION("""COMPUTED_VALUE"""),87.0)</f>
        <v>87</v>
      </c>
      <c r="L2795" s="176">
        <f>IFERROR(__xludf.DUMMYFUNCTION("""COMPUTED_VALUE"""),3.0)</f>
        <v>3</v>
      </c>
      <c r="M2795" s="176">
        <f>IFERROR(__xludf.DUMMYFUNCTION("""COMPUTED_VALUE"""),90.0)</f>
        <v>90</v>
      </c>
      <c r="N2795" s="177" t="str">
        <f>IFERROR(__xludf.DUMMYFUNCTION("""COMPUTED_VALUE"""),"Model 3 LR AWD")</f>
        <v>Model 3 LR AWD</v>
      </c>
      <c r="O2795" s="177" t="str">
        <f>IFERROR(__xludf.DUMMYFUNCTION("""COMPUTED_VALUE"""),"Red Multi-Coat")</f>
        <v>Red Multi-Coat</v>
      </c>
      <c r="P2795" s="178" t="str">
        <f>IFERROR(__xludf.DUMMYFUNCTION("""COMPUTED_VALUE"""),"18 inch Aero")</f>
        <v>18 inch Aero</v>
      </c>
      <c r="Q2795" s="177" t="str">
        <f>IFERROR(__xludf.DUMMYFUNCTION("""COMPUTED_VALUE"""),"Black seats")</f>
        <v>Black seats</v>
      </c>
      <c r="R2795" s="170" t="str">
        <f>IFERROR(__xludf.DUMMYFUNCTION("""COMPUTED_VALUE"""),"Full Self-Driving")</f>
        <v>Full Self-Driving</v>
      </c>
      <c r="S2795" s="170"/>
      <c r="T2795" s="179"/>
      <c r="U2795" s="179"/>
      <c r="V2795" s="179"/>
      <c r="W2795" s="180"/>
      <c r="X2795" s="181" t="str">
        <f>IFERROR(__xludf.DUMMYFUNCTION("""COMPUTED_VALUE"""),"Excellent")</f>
        <v>Excellent</v>
      </c>
      <c r="Y2795" s="182" t="str">
        <f>IFERROR(__xludf.DUMMYFUNCTION("""COMPUTED_VALUE"""),"Excellent")</f>
        <v>Excellent</v>
      </c>
      <c r="Z2795" s="182" t="str">
        <f>IFERROR(__xludf.DUMMYFUNCTION("""COMPUTED_VALUE"""),"Very Good")</f>
        <v>Very Good</v>
      </c>
      <c r="AA2795" s="182" t="str">
        <f>IFERROR(__xludf.DUMMYFUNCTION("""COMPUTED_VALUE"""),"Poor")</f>
        <v>Poor</v>
      </c>
      <c r="AB2795" s="182" t="str">
        <f>IFERROR(__xludf.DUMMYFUNCTION("""COMPUTED_VALUE"""),"Poor")</f>
        <v>Poor</v>
      </c>
      <c r="AC2795" s="183"/>
      <c r="AD2795" s="183"/>
      <c r="AE2795" s="183"/>
      <c r="AF2795" s="184"/>
      <c r="AG2795" s="180"/>
      <c r="AH2795" s="185">
        <f>IFERROR(__xludf.DUMMYFUNCTION("""COMPUTED_VALUE"""),43373.40884452546)</f>
        <v>43373.40884</v>
      </c>
      <c r="AI2795" s="182"/>
      <c r="AJ2795" s="182"/>
      <c r="AK2795" s="182"/>
      <c r="AL2795" s="182"/>
    </row>
    <row r="2796" ht="20.25" customHeight="1">
      <c r="A2796" s="169" t="str">
        <f>IFERROR(__xludf.DUMMYFUNCTION("""COMPUTED_VALUE"""),"tsdobbs")</f>
        <v>tsdobbs</v>
      </c>
      <c r="B2796" s="170" t="str">
        <f>IFERROR(__xludf.DUMMYFUNCTION("""COMPUTED_VALUE"""),"LaMirada")</f>
        <v>LaMirada</v>
      </c>
      <c r="C2796" s="170" t="str">
        <f>IFERROR(__xludf.DUMMYFUNCTION("""COMPUTED_VALUE"""),"CA")</f>
        <v>CA</v>
      </c>
      <c r="D2796" s="170" t="str">
        <f>IFERROR(__xludf.DUMMYFUNCTION("""COMPUTED_VALUE"""),"USA")</f>
        <v>USA</v>
      </c>
      <c r="E2796" s="171">
        <f>IFERROR(__xludf.DUMMYFUNCTION("""COMPUTED_VALUE"""),43281.0)</f>
        <v>43281</v>
      </c>
      <c r="F2796" s="172">
        <f>IFERROR(__xludf.DUMMYFUNCTION("""COMPUTED_VALUE"""),43302.0)</f>
        <v>43302</v>
      </c>
      <c r="G2796" s="173"/>
      <c r="H2796" s="174">
        <f>IFERROR(__xludf.DUMMYFUNCTION("""COMPUTED_VALUE"""),50755.0)</f>
        <v>50755</v>
      </c>
      <c r="I2796" s="175"/>
      <c r="J2796" s="172">
        <f>IFERROR(__xludf.DUMMYFUNCTION("""COMPUTED_VALUE"""),43311.0)</f>
        <v>43311</v>
      </c>
      <c r="K2796" s="176">
        <f>IFERROR(__xludf.DUMMYFUNCTION("""COMPUTED_VALUE"""),21.0)</f>
        <v>21</v>
      </c>
      <c r="L2796" s="176">
        <f>IFERROR(__xludf.DUMMYFUNCTION("""COMPUTED_VALUE"""),9.0)</f>
        <v>9</v>
      </c>
      <c r="M2796" s="176">
        <f>IFERROR(__xludf.DUMMYFUNCTION("""COMPUTED_VALUE"""),30.0)</f>
        <v>30</v>
      </c>
      <c r="N2796" s="177" t="str">
        <f>IFERROR(__xludf.DUMMYFUNCTION("""COMPUTED_VALUE"""),"Model 3 LR")</f>
        <v>Model 3 LR</v>
      </c>
      <c r="O2796" s="177" t="str">
        <f>IFERROR(__xludf.DUMMYFUNCTION("""COMPUTED_VALUE"""),"Red Multi-Coat")</f>
        <v>Red Multi-Coat</v>
      </c>
      <c r="P2796" s="178" t="str">
        <f>IFERROR(__xludf.DUMMYFUNCTION("""COMPUTED_VALUE"""),"19 inch Sport")</f>
        <v>19 inch Sport</v>
      </c>
      <c r="Q2796" s="177" t="str">
        <f>IFERROR(__xludf.DUMMYFUNCTION("""COMPUTED_VALUE"""),"Black seats")</f>
        <v>Black seats</v>
      </c>
      <c r="R2796" s="170" t="str">
        <f>IFERROR(__xludf.DUMMYFUNCTION("""COMPUTED_VALUE"""),"Enhanced Autopilot")</f>
        <v>Enhanced Autopilot</v>
      </c>
      <c r="S2796" s="170"/>
      <c r="T2796" s="179"/>
      <c r="U2796" s="179"/>
      <c r="V2796" s="179"/>
      <c r="W2796" s="180"/>
      <c r="X2796" s="181" t="str">
        <f>IFERROR(__xludf.DUMMYFUNCTION("""COMPUTED_VALUE"""),"Excellent")</f>
        <v>Excellent</v>
      </c>
      <c r="Y2796" s="182" t="str">
        <f>IFERROR(__xludf.DUMMYFUNCTION("""COMPUTED_VALUE"""),"Excellent")</f>
        <v>Excellent</v>
      </c>
      <c r="Z2796" s="182" t="str">
        <f>IFERROR(__xludf.DUMMYFUNCTION("""COMPUTED_VALUE"""),"Very Good")</f>
        <v>Very Good</v>
      </c>
      <c r="AA2796" s="182" t="str">
        <f>IFERROR(__xludf.DUMMYFUNCTION("""COMPUTED_VALUE"""),"Good")</f>
        <v>Good</v>
      </c>
      <c r="AB2796" s="182" t="str">
        <f>IFERROR(__xludf.DUMMYFUNCTION("""COMPUTED_VALUE"""),"Very Good")</f>
        <v>Very Good</v>
      </c>
      <c r="AC2796" s="183">
        <f>IFERROR(__xludf.DUMMYFUNCTION("""COMPUTED_VALUE"""),3.0)</f>
        <v>3</v>
      </c>
      <c r="AD2796" s="183"/>
      <c r="AE2796" s="183"/>
      <c r="AF2796" s="184"/>
      <c r="AG2796" s="180"/>
      <c r="AH2796" s="185">
        <f>IFERROR(__xludf.DUMMYFUNCTION("""COMPUTED_VALUE"""),43314.86901903935)</f>
        <v>43314.86902</v>
      </c>
      <c r="AI2796" s="182"/>
      <c r="AJ2796" s="182"/>
      <c r="AK2796" s="182"/>
      <c r="AL2796" s="182"/>
    </row>
    <row r="2797" ht="20.25" customHeight="1">
      <c r="A2797" s="169" t="str">
        <f>IFERROR(__xludf.DUMMYFUNCTION("""COMPUTED_VALUE"""),"twaddington")</f>
        <v>twaddington</v>
      </c>
      <c r="B2797" s="170" t="str">
        <f>IFERROR(__xludf.DUMMYFUNCTION("""COMPUTED_VALUE"""),"Portland")</f>
        <v>Portland</v>
      </c>
      <c r="C2797" s="170" t="str">
        <f>IFERROR(__xludf.DUMMYFUNCTION("""COMPUTED_VALUE"""),"OR")</f>
        <v>OR</v>
      </c>
      <c r="D2797" s="170" t="str">
        <f>IFERROR(__xludf.DUMMYFUNCTION("""COMPUTED_VALUE"""),"USA")</f>
        <v>USA</v>
      </c>
      <c r="E2797" s="171">
        <f>IFERROR(__xludf.DUMMYFUNCTION("""COMPUTED_VALUE"""),43281.0)</f>
        <v>43281</v>
      </c>
      <c r="F2797" s="172">
        <f>IFERROR(__xludf.DUMMYFUNCTION("""COMPUTED_VALUE"""),43368.0)</f>
        <v>43368</v>
      </c>
      <c r="G2797" s="173"/>
      <c r="H2797" s="174">
        <f>IFERROR(__xludf.DUMMYFUNCTION("""COMPUTED_VALUE"""),85408.0)</f>
        <v>85408</v>
      </c>
      <c r="I2797" s="175" t="str">
        <f>IFERROR(__xludf.DUMMYFUNCTION("""COMPUTED_VALUE"""),"09/18")</f>
        <v>09/18</v>
      </c>
      <c r="J2797" s="172">
        <f>IFERROR(__xludf.DUMMYFUNCTION("""COMPUTED_VALUE"""),43371.0)</f>
        <v>43371</v>
      </c>
      <c r="K2797" s="176">
        <f>IFERROR(__xludf.DUMMYFUNCTION("""COMPUTED_VALUE"""),87.0)</f>
        <v>87</v>
      </c>
      <c r="L2797" s="176">
        <f>IFERROR(__xludf.DUMMYFUNCTION("""COMPUTED_VALUE"""),3.0)</f>
        <v>3</v>
      </c>
      <c r="M2797" s="176">
        <f>IFERROR(__xludf.DUMMYFUNCTION("""COMPUTED_VALUE"""),90.0)</f>
        <v>90</v>
      </c>
      <c r="N2797" s="177" t="str">
        <f>IFERROR(__xludf.DUMMYFUNCTION("""COMPUTED_VALUE"""),"Model 3 LR AWD")</f>
        <v>Model 3 LR AWD</v>
      </c>
      <c r="O2797" s="177" t="str">
        <f>IFERROR(__xludf.DUMMYFUNCTION("""COMPUTED_VALUE"""),"Pearl White Multi-Coat")</f>
        <v>Pearl White Multi-Coat</v>
      </c>
      <c r="P2797" s="178" t="str">
        <f>IFERROR(__xludf.DUMMYFUNCTION("""COMPUTED_VALUE"""),"18 inch Aero")</f>
        <v>18 inch Aero</v>
      </c>
      <c r="Q2797" s="177" t="str">
        <f>IFERROR(__xludf.DUMMYFUNCTION("""COMPUTED_VALUE"""),"Black seats")</f>
        <v>Black seats</v>
      </c>
      <c r="R2797" s="170" t="str">
        <f>IFERROR(__xludf.DUMMYFUNCTION("""COMPUTED_VALUE"""),"None")</f>
        <v>None</v>
      </c>
      <c r="S2797" s="170"/>
      <c r="T2797" s="179"/>
      <c r="U2797" s="179"/>
      <c r="V2797" s="179"/>
      <c r="W2797" s="180"/>
      <c r="X2797" s="181" t="str">
        <f>IFERROR(__xludf.DUMMYFUNCTION("""COMPUTED_VALUE"""),"Very Good")</f>
        <v>Very Good</v>
      </c>
      <c r="Y2797" s="182" t="str">
        <f>IFERROR(__xludf.DUMMYFUNCTION("""COMPUTED_VALUE"""),"Excellent")</f>
        <v>Excellent</v>
      </c>
      <c r="Z2797" s="182" t="str">
        <f>IFERROR(__xludf.DUMMYFUNCTION("""COMPUTED_VALUE"""),"Very Good")</f>
        <v>Very Good</v>
      </c>
      <c r="AA2797" s="182" t="str">
        <f>IFERROR(__xludf.DUMMYFUNCTION("""COMPUTED_VALUE"""),"Fair")</f>
        <v>Fair</v>
      </c>
      <c r="AB2797" s="182" t="str">
        <f>IFERROR(__xludf.DUMMYFUNCTION("""COMPUTED_VALUE"""),"Fair")</f>
        <v>Fair</v>
      </c>
      <c r="AC2797" s="183"/>
      <c r="AD2797" s="183"/>
      <c r="AE2797" s="183"/>
      <c r="AF2797" s="184"/>
      <c r="AG2797" s="180"/>
      <c r="AH2797" s="185">
        <f>IFERROR(__xludf.DUMMYFUNCTION("""COMPUTED_VALUE"""),43372.52381086806)</f>
        <v>43372.52381</v>
      </c>
      <c r="AI2797" s="182"/>
      <c r="AJ2797" s="182"/>
      <c r="AK2797" s="182"/>
      <c r="AL2797" s="182"/>
    </row>
    <row r="2798" ht="20.25" customHeight="1">
      <c r="A2798" s="169" t="str">
        <f>IFERROR(__xludf.DUMMYFUNCTION("""COMPUTED_VALUE"""),"webdbbt")</f>
        <v>webdbbt</v>
      </c>
      <c r="B2798" s="170" t="str">
        <f>IFERROR(__xludf.DUMMYFUNCTION("""COMPUTED_VALUE"""),"Burlington")</f>
        <v>Burlington</v>
      </c>
      <c r="C2798" s="170" t="str">
        <f>IFERROR(__xludf.DUMMYFUNCTION("""COMPUTED_VALUE"""),"NJ")</f>
        <v>NJ</v>
      </c>
      <c r="D2798" s="170" t="str">
        <f>IFERROR(__xludf.DUMMYFUNCTION("""COMPUTED_VALUE"""),"USA")</f>
        <v>USA</v>
      </c>
      <c r="E2798" s="171">
        <f>IFERROR(__xludf.DUMMYFUNCTION("""COMPUTED_VALUE"""),43281.0)</f>
        <v>43281</v>
      </c>
      <c r="F2798" s="172">
        <f>IFERROR(__xludf.DUMMYFUNCTION("""COMPUTED_VALUE"""),43388.0)</f>
        <v>43388</v>
      </c>
      <c r="G2798" s="173"/>
      <c r="H2798" s="174">
        <f>IFERROR(__xludf.DUMMYFUNCTION("""COMPUTED_VALUE"""),105395.0)</f>
        <v>105395</v>
      </c>
      <c r="I2798" s="175" t="str">
        <f>IFERROR(__xludf.DUMMYFUNCTION("""COMPUTED_VALUE"""),"10/18")</f>
        <v>10/18</v>
      </c>
      <c r="J2798" s="172">
        <f>IFERROR(__xludf.DUMMYFUNCTION("""COMPUTED_VALUE"""),43427.0)</f>
        <v>43427</v>
      </c>
      <c r="K2798" s="176">
        <f>IFERROR(__xludf.DUMMYFUNCTION("""COMPUTED_VALUE"""),107.0)</f>
        <v>107</v>
      </c>
      <c r="L2798" s="176">
        <f>IFERROR(__xludf.DUMMYFUNCTION("""COMPUTED_VALUE"""),39.0)</f>
        <v>39</v>
      </c>
      <c r="M2798" s="176">
        <f>IFERROR(__xludf.DUMMYFUNCTION("""COMPUTED_VALUE"""),146.0)</f>
        <v>146</v>
      </c>
      <c r="N2798" s="177" t="str">
        <f>IFERROR(__xludf.DUMMYFUNCTION("""COMPUTED_VALUE"""),"Model 3 LR AWD")</f>
        <v>Model 3 LR AWD</v>
      </c>
      <c r="O2798" s="177" t="str">
        <f>IFERROR(__xludf.DUMMYFUNCTION("""COMPUTED_VALUE"""),"Deep Blue Metallic")</f>
        <v>Deep Blue Metallic</v>
      </c>
      <c r="P2798" s="178" t="str">
        <f>IFERROR(__xludf.DUMMYFUNCTION("""COMPUTED_VALUE"""),"18 inch Aero")</f>
        <v>18 inch Aero</v>
      </c>
      <c r="Q2798" s="177" t="str">
        <f>IFERROR(__xludf.DUMMYFUNCTION("""COMPUTED_VALUE"""),"Black seats")</f>
        <v>Black seats</v>
      </c>
      <c r="R2798" s="170" t="str">
        <f>IFERROR(__xludf.DUMMYFUNCTION("""COMPUTED_VALUE"""),"None")</f>
        <v>None</v>
      </c>
      <c r="S2798" s="170"/>
      <c r="T2798" s="179"/>
      <c r="U2798" s="179"/>
      <c r="V2798" s="179"/>
      <c r="W2798" s="180"/>
      <c r="X2798" s="181" t="str">
        <f>IFERROR(__xludf.DUMMYFUNCTION("""COMPUTED_VALUE"""),"Poor")</f>
        <v>Poor</v>
      </c>
      <c r="Y2798" s="182" t="str">
        <f>IFERROR(__xludf.DUMMYFUNCTION("""COMPUTED_VALUE"""),"Excellent")</f>
        <v>Excellent</v>
      </c>
      <c r="Z2798" s="182" t="str">
        <f>IFERROR(__xludf.DUMMYFUNCTION("""COMPUTED_VALUE"""),"Excellent")</f>
        <v>Excellent</v>
      </c>
      <c r="AA2798" s="182" t="str">
        <f>IFERROR(__xludf.DUMMYFUNCTION("""COMPUTED_VALUE"""),"Good")</f>
        <v>Good</v>
      </c>
      <c r="AB2798" s="182" t="str">
        <f>IFERROR(__xludf.DUMMYFUNCTION("""COMPUTED_VALUE"""),"Excellent")</f>
        <v>Excellent</v>
      </c>
      <c r="AC2798" s="183">
        <f>IFERROR(__xludf.DUMMYFUNCTION("""COMPUTED_VALUE"""),3.0)</f>
        <v>3</v>
      </c>
      <c r="AD2798" s="183"/>
      <c r="AE2798" s="183"/>
      <c r="AF2798" s="184"/>
      <c r="AG2798" s="180" t="str">
        <f>IFERROR(__xludf.DUMMYFUNCTION("""COMPUTED_VALUE"""),"Car delivered with tape on door sill to prevent rear door rubbing on sill. Both rear doors misaligned. Underbody cover loose.")</f>
        <v>Car delivered with tape on door sill to prevent rear door rubbing on sill. Both rear doors misaligned. Underbody cover loose.</v>
      </c>
      <c r="AH2798" s="185">
        <f>IFERROR(__xludf.DUMMYFUNCTION("""COMPUTED_VALUE"""),43428.72759206019)</f>
        <v>43428.72759</v>
      </c>
      <c r="AI2798" s="182"/>
      <c r="AJ2798" s="182"/>
      <c r="AK2798" s="182"/>
      <c r="AL2798" s="182"/>
    </row>
    <row r="2799" ht="20.25" customHeight="1">
      <c r="A2799" s="169" t="str">
        <f>IFERROR(__xludf.DUMMYFUNCTION("""COMPUTED_VALUE"""),"Wondermegs")</f>
        <v>Wondermegs</v>
      </c>
      <c r="B2799" s="170" t="str">
        <f>IFERROR(__xludf.DUMMYFUNCTION("""COMPUTED_VALUE"""),"Kirkland")</f>
        <v>Kirkland</v>
      </c>
      <c r="C2799" s="170" t="str">
        <f>IFERROR(__xludf.DUMMYFUNCTION("""COMPUTED_VALUE"""),"WA")</f>
        <v>WA</v>
      </c>
      <c r="D2799" s="170" t="str">
        <f>IFERROR(__xludf.DUMMYFUNCTION("""COMPUTED_VALUE"""),"USA")</f>
        <v>USA</v>
      </c>
      <c r="E2799" s="171">
        <f>IFERROR(__xludf.DUMMYFUNCTION("""COMPUTED_VALUE"""),43281.0)</f>
        <v>43281</v>
      </c>
      <c r="F2799" s="172">
        <f>IFERROR(__xludf.DUMMYFUNCTION("""COMPUTED_VALUE"""),43349.0)</f>
        <v>43349</v>
      </c>
      <c r="G2799" s="173"/>
      <c r="H2799" s="174">
        <f>IFERROR(__xludf.DUMMYFUNCTION("""COMPUTED_VALUE"""),87155.0)</f>
        <v>87155</v>
      </c>
      <c r="I2799" s="175" t="str">
        <f>IFERROR(__xludf.DUMMYFUNCTION("""COMPUTED_VALUE"""),"08/18")</f>
        <v>08/18</v>
      </c>
      <c r="J2799" s="172">
        <f>IFERROR(__xludf.DUMMYFUNCTION("""COMPUTED_VALUE"""),43388.0)</f>
        <v>43388</v>
      </c>
      <c r="K2799" s="176">
        <f>IFERROR(__xludf.DUMMYFUNCTION("""COMPUTED_VALUE"""),68.0)</f>
        <v>68</v>
      </c>
      <c r="L2799" s="176">
        <f>IFERROR(__xludf.DUMMYFUNCTION("""COMPUTED_VALUE"""),39.0)</f>
        <v>39</v>
      </c>
      <c r="M2799" s="176">
        <f>IFERROR(__xludf.DUMMYFUNCTION("""COMPUTED_VALUE"""),107.0)</f>
        <v>107</v>
      </c>
      <c r="N2799" s="177" t="str">
        <f>IFERROR(__xludf.DUMMYFUNCTION("""COMPUTED_VALUE"""),"Model 3 LR AWD")</f>
        <v>Model 3 LR AWD</v>
      </c>
      <c r="O2799" s="177" t="str">
        <f>IFERROR(__xludf.DUMMYFUNCTION("""COMPUTED_VALUE"""),"Midnight Silver Metallic")</f>
        <v>Midnight Silver Metallic</v>
      </c>
      <c r="P2799" s="178" t="str">
        <f>IFERROR(__xludf.DUMMYFUNCTION("""COMPUTED_VALUE"""),"18 inch Aero")</f>
        <v>18 inch Aero</v>
      </c>
      <c r="Q2799" s="177" t="str">
        <f>IFERROR(__xludf.DUMMYFUNCTION("""COMPUTED_VALUE"""),"Black seats")</f>
        <v>Black seats</v>
      </c>
      <c r="R2799" s="170" t="str">
        <f>IFERROR(__xludf.DUMMYFUNCTION("""COMPUTED_VALUE"""),"Enhanced Autopilot")</f>
        <v>Enhanced Autopilot</v>
      </c>
      <c r="S2799" s="170"/>
      <c r="T2799" s="179"/>
      <c r="U2799" s="179"/>
      <c r="V2799" s="179"/>
      <c r="W2799" s="180"/>
      <c r="X2799" s="181" t="str">
        <f>IFERROR(__xludf.DUMMYFUNCTION("""COMPUTED_VALUE"""),"Excellent")</f>
        <v>Excellent</v>
      </c>
      <c r="Y2799" s="182" t="str">
        <f>IFERROR(__xludf.DUMMYFUNCTION("""COMPUTED_VALUE"""),"Excellent")</f>
        <v>Excellent</v>
      </c>
      <c r="Z2799" s="182" t="str">
        <f>IFERROR(__xludf.DUMMYFUNCTION("""COMPUTED_VALUE"""),"Excellent")</f>
        <v>Excellent</v>
      </c>
      <c r="AA2799" s="182" t="str">
        <f>IFERROR(__xludf.DUMMYFUNCTION("""COMPUTED_VALUE"""),"Poor")</f>
        <v>Poor</v>
      </c>
      <c r="AB2799" s="182" t="str">
        <f>IFERROR(__xludf.DUMMYFUNCTION("""COMPUTED_VALUE"""),"Fair")</f>
        <v>Fair</v>
      </c>
      <c r="AC2799" s="183">
        <f>IFERROR(__xludf.DUMMYFUNCTION("""COMPUTED_VALUE"""),0.0)</f>
        <v>0</v>
      </c>
      <c r="AD2799" s="183">
        <f>IFERROR(__xludf.DUMMYFUNCTION("""COMPUTED_VALUE"""),0.0)</f>
        <v>0</v>
      </c>
      <c r="AE2799" s="183">
        <f>IFERROR(__xludf.DUMMYFUNCTION("""COMPUTED_VALUE"""),0.0)</f>
        <v>0</v>
      </c>
      <c r="AF2799" s="184"/>
      <c r="AG2799" s="180"/>
      <c r="AH2799" s="185">
        <f>IFERROR(__xludf.DUMMYFUNCTION("""COMPUTED_VALUE"""),43430.363866631946)</f>
        <v>43430.36387</v>
      </c>
      <c r="AI2799" s="182"/>
      <c r="AJ2799" s="182"/>
      <c r="AK2799" s="182"/>
      <c r="AL2799" s="182"/>
    </row>
    <row r="2800" ht="20.25" customHeight="1">
      <c r="A2800" s="169" t="str">
        <f>IFERROR(__xludf.DUMMYFUNCTION("""COMPUTED_VALUE"""),"ZaphodB")</f>
        <v>ZaphodB</v>
      </c>
      <c r="B2800" s="170"/>
      <c r="C2800" s="170" t="str">
        <f>IFERROR(__xludf.DUMMYFUNCTION("""COMPUTED_VALUE"""),"CA")</f>
        <v>CA</v>
      </c>
      <c r="D2800" s="170" t="str">
        <f>IFERROR(__xludf.DUMMYFUNCTION("""COMPUTED_VALUE"""),"USA")</f>
        <v>USA</v>
      </c>
      <c r="E2800" s="171">
        <f>IFERROR(__xludf.DUMMYFUNCTION("""COMPUTED_VALUE"""),43281.0)</f>
        <v>43281</v>
      </c>
      <c r="F2800" s="172">
        <f>IFERROR(__xludf.DUMMYFUNCTION("""COMPUTED_VALUE"""),43320.0)</f>
        <v>43320</v>
      </c>
      <c r="G2800" s="173"/>
      <c r="H2800" s="174">
        <f>IFERROR(__xludf.DUMMYFUNCTION("""COMPUTED_VALUE"""),67555.0)</f>
        <v>67555</v>
      </c>
      <c r="I2800" s="175" t="str">
        <f>IFERROR(__xludf.DUMMYFUNCTION("""COMPUTED_VALUE"""),"08/18")</f>
        <v>08/18</v>
      </c>
      <c r="J2800" s="172">
        <f>IFERROR(__xludf.DUMMYFUNCTION("""COMPUTED_VALUE"""),43323.0)</f>
        <v>43323</v>
      </c>
      <c r="K2800" s="176">
        <f>IFERROR(__xludf.DUMMYFUNCTION("""COMPUTED_VALUE"""),39.0)</f>
        <v>39</v>
      </c>
      <c r="L2800" s="176">
        <f>IFERROR(__xludf.DUMMYFUNCTION("""COMPUTED_VALUE"""),3.0)</f>
        <v>3</v>
      </c>
      <c r="M2800" s="176">
        <f>IFERROR(__xludf.DUMMYFUNCTION("""COMPUTED_VALUE"""),42.0)</f>
        <v>42</v>
      </c>
      <c r="N2800" s="177" t="str">
        <f>IFERROR(__xludf.DUMMYFUNCTION("""COMPUTED_VALUE"""),"Model 3 LR AWD")</f>
        <v>Model 3 LR AWD</v>
      </c>
      <c r="O2800" s="177" t="str">
        <f>IFERROR(__xludf.DUMMYFUNCTION("""COMPUTED_VALUE"""),"Pearl White Multi-Coat")</f>
        <v>Pearl White Multi-Coat</v>
      </c>
      <c r="P2800" s="178" t="str">
        <f>IFERROR(__xludf.DUMMYFUNCTION("""COMPUTED_VALUE"""),"19 inch Sport")</f>
        <v>19 inch Sport</v>
      </c>
      <c r="Q2800" s="177" t="str">
        <f>IFERROR(__xludf.DUMMYFUNCTION("""COMPUTED_VALUE"""),"Black seats")</f>
        <v>Black seats</v>
      </c>
      <c r="R2800" s="170" t="str">
        <f>IFERROR(__xludf.DUMMYFUNCTION("""COMPUTED_VALUE"""),"Full Self-Driving")</f>
        <v>Full Self-Driving</v>
      </c>
      <c r="S2800" s="170"/>
      <c r="T2800" s="179"/>
      <c r="U2800" s="179"/>
      <c r="V2800" s="179"/>
      <c r="W2800" s="180"/>
      <c r="X2800" s="181" t="str">
        <f>IFERROR(__xludf.DUMMYFUNCTION("""COMPUTED_VALUE"""),"Excellent")</f>
        <v>Excellent</v>
      </c>
      <c r="Y2800" s="182" t="str">
        <f>IFERROR(__xludf.DUMMYFUNCTION("""COMPUTED_VALUE"""),"Very Good")</f>
        <v>Very Good</v>
      </c>
      <c r="Z2800" s="182" t="str">
        <f>IFERROR(__xludf.DUMMYFUNCTION("""COMPUTED_VALUE"""),"Excellent")</f>
        <v>Excellent</v>
      </c>
      <c r="AA2800" s="182" t="str">
        <f>IFERROR(__xludf.DUMMYFUNCTION("""COMPUTED_VALUE"""),"Fair")</f>
        <v>Fair</v>
      </c>
      <c r="AB2800" s="182" t="str">
        <f>IFERROR(__xludf.DUMMYFUNCTION("""COMPUTED_VALUE"""),"Fair")</f>
        <v>Fair</v>
      </c>
      <c r="AC2800" s="183"/>
      <c r="AD2800" s="183"/>
      <c r="AE2800" s="183"/>
      <c r="AF2800" s="184"/>
      <c r="AG2800" s="180"/>
      <c r="AH2800" s="185">
        <f>IFERROR(__xludf.DUMMYFUNCTION("""COMPUTED_VALUE"""),43324.51851666666)</f>
        <v>43324.51852</v>
      </c>
      <c r="AI2800" s="182"/>
      <c r="AJ2800" s="182"/>
      <c r="AK2800" s="182"/>
      <c r="AL2800" s="182"/>
    </row>
    <row r="2801" ht="20.25" customHeight="1">
      <c r="A2801" s="169" t="str">
        <f>IFERROR(__xludf.DUMMYFUNCTION("""COMPUTED_VALUE"""),"3m3s")</f>
        <v>3m3s</v>
      </c>
      <c r="B2801" s="170" t="str">
        <f>IFERROR(__xludf.DUMMYFUNCTION("""COMPUTED_VALUE"""),"CA")</f>
        <v>CA</v>
      </c>
      <c r="C2801" s="170" t="str">
        <f>IFERROR(__xludf.DUMMYFUNCTION("""COMPUTED_VALUE"""),"CA")</f>
        <v>CA</v>
      </c>
      <c r="D2801" s="170" t="str">
        <f>IFERROR(__xludf.DUMMYFUNCTION("""COMPUTED_VALUE"""),"USA")</f>
        <v>USA</v>
      </c>
      <c r="E2801" s="171">
        <f>IFERROR(__xludf.DUMMYFUNCTION("""COMPUTED_VALUE"""),43280.0)</f>
        <v>43280</v>
      </c>
      <c r="F2801" s="172">
        <f>IFERROR(__xludf.DUMMYFUNCTION("""COMPUTED_VALUE"""),43320.0)</f>
        <v>43320</v>
      </c>
      <c r="G2801" s="173"/>
      <c r="H2801" s="174">
        <f>IFERROR(__xludf.DUMMYFUNCTION("""COMPUTED_VALUE"""),72255.0)</f>
        <v>72255</v>
      </c>
      <c r="I2801" s="175" t="str">
        <f>IFERROR(__xludf.DUMMYFUNCTION("""COMPUTED_VALUE"""),"08/18")</f>
        <v>08/18</v>
      </c>
      <c r="J2801" s="172">
        <f>IFERROR(__xludf.DUMMYFUNCTION("""COMPUTED_VALUE"""),43333.0)</f>
        <v>43333</v>
      </c>
      <c r="K2801" s="176">
        <f>IFERROR(__xludf.DUMMYFUNCTION("""COMPUTED_VALUE"""),40.0)</f>
        <v>40</v>
      </c>
      <c r="L2801" s="176">
        <f>IFERROR(__xludf.DUMMYFUNCTION("""COMPUTED_VALUE"""),13.0)</f>
        <v>13</v>
      </c>
      <c r="M2801" s="176">
        <f>IFERROR(__xludf.DUMMYFUNCTION("""COMPUTED_VALUE"""),53.0)</f>
        <v>53</v>
      </c>
      <c r="N2801" s="177" t="str">
        <f>IFERROR(__xludf.DUMMYFUNCTION("""COMPUTED_VALUE"""),"Model 3 Performance")</f>
        <v>Model 3 Performance</v>
      </c>
      <c r="O2801" s="177" t="str">
        <f>IFERROR(__xludf.DUMMYFUNCTION("""COMPUTED_VALUE"""),"Deep Blue Metallic")</f>
        <v>Deep Blue Metallic</v>
      </c>
      <c r="P2801" s="178" t="str">
        <f>IFERROR(__xludf.DUMMYFUNCTION("""COMPUTED_VALUE"""),"20 inch Sport")</f>
        <v>20 inch Sport</v>
      </c>
      <c r="Q2801" s="177" t="str">
        <f>IFERROR(__xludf.DUMMYFUNCTION("""COMPUTED_VALUE"""),"Black seats")</f>
        <v>Black seats</v>
      </c>
      <c r="R2801" s="170" t="str">
        <f>IFERROR(__xludf.DUMMYFUNCTION("""COMPUTED_VALUE"""),"Enhanced Autopilot")</f>
        <v>Enhanced Autopilot</v>
      </c>
      <c r="S2801" s="170"/>
      <c r="T2801" s="179"/>
      <c r="U2801" s="179"/>
      <c r="V2801" s="179"/>
      <c r="W2801" s="180"/>
      <c r="X2801" s="181" t="str">
        <f>IFERROR(__xludf.DUMMYFUNCTION("""COMPUTED_VALUE"""),"Excellent")</f>
        <v>Excellent</v>
      </c>
      <c r="Y2801" s="182" t="str">
        <f>IFERROR(__xludf.DUMMYFUNCTION("""COMPUTED_VALUE"""),"Excellent")</f>
        <v>Excellent</v>
      </c>
      <c r="Z2801" s="182" t="str">
        <f>IFERROR(__xludf.DUMMYFUNCTION("""COMPUTED_VALUE"""),"Very Good")</f>
        <v>Very Good</v>
      </c>
      <c r="AA2801" s="182" t="str">
        <f>IFERROR(__xludf.DUMMYFUNCTION("""COMPUTED_VALUE"""),"Poor")</f>
        <v>Poor</v>
      </c>
      <c r="AB2801" s="182" t="str">
        <f>IFERROR(__xludf.DUMMYFUNCTION("""COMPUTED_VALUE"""),"Fair")</f>
        <v>Fair</v>
      </c>
      <c r="AC2801" s="183">
        <f>IFERROR(__xludf.DUMMYFUNCTION("""COMPUTED_VALUE"""),0.0)</f>
        <v>0</v>
      </c>
      <c r="AD2801" s="183">
        <f>IFERROR(__xludf.DUMMYFUNCTION("""COMPUTED_VALUE"""),0.0)</f>
        <v>0</v>
      </c>
      <c r="AE2801" s="183"/>
      <c r="AF2801" s="184"/>
      <c r="AG2801" s="180"/>
      <c r="AH2801" s="185">
        <f>IFERROR(__xludf.DUMMYFUNCTION("""COMPUTED_VALUE"""),43365.8896962963)</f>
        <v>43365.8897</v>
      </c>
      <c r="AI2801" s="182"/>
      <c r="AJ2801" s="182"/>
      <c r="AK2801" s="182"/>
      <c r="AL2801" s="182"/>
    </row>
    <row r="2802" ht="20.25" customHeight="1">
      <c r="A2802" s="169" t="str">
        <f>IFERROR(__xludf.DUMMYFUNCTION("""COMPUTED_VALUE"""),"4EAXFM")</f>
        <v>4EAXFM</v>
      </c>
      <c r="B2802" s="170"/>
      <c r="C2802" s="170" t="str">
        <f>IFERROR(__xludf.DUMMYFUNCTION("""COMPUTED_VALUE"""),"CO")</f>
        <v>CO</v>
      </c>
      <c r="D2802" s="170" t="str">
        <f>IFERROR(__xludf.DUMMYFUNCTION("""COMPUTED_VALUE"""),"USA")</f>
        <v>USA</v>
      </c>
      <c r="E2802" s="171">
        <f>IFERROR(__xludf.DUMMYFUNCTION("""COMPUTED_VALUE"""),43280.0)</f>
        <v>43280</v>
      </c>
      <c r="F2802" s="172">
        <f>IFERROR(__xludf.DUMMYFUNCTION("""COMPUTED_VALUE"""),43293.0)</f>
        <v>43293</v>
      </c>
      <c r="G2802" s="173"/>
      <c r="H2802" s="174">
        <f>IFERROR(__xludf.DUMMYFUNCTION("""COMPUTED_VALUE"""),51755.0)</f>
        <v>51755</v>
      </c>
      <c r="I2802" s="175"/>
      <c r="J2802" s="172">
        <f>IFERROR(__xludf.DUMMYFUNCTION("""COMPUTED_VALUE"""),43298.0)</f>
        <v>43298</v>
      </c>
      <c r="K2802" s="176">
        <f>IFERROR(__xludf.DUMMYFUNCTION("""COMPUTED_VALUE"""),13.0)</f>
        <v>13</v>
      </c>
      <c r="L2802" s="176">
        <f>IFERROR(__xludf.DUMMYFUNCTION("""COMPUTED_VALUE"""),5.0)</f>
        <v>5</v>
      </c>
      <c r="M2802" s="176">
        <f>IFERROR(__xludf.DUMMYFUNCTION("""COMPUTED_VALUE"""),18.0)</f>
        <v>18</v>
      </c>
      <c r="N2802" s="177" t="str">
        <f>IFERROR(__xludf.DUMMYFUNCTION("""COMPUTED_VALUE"""),"Model 3 LR")</f>
        <v>Model 3 LR</v>
      </c>
      <c r="O2802" s="177" t="str">
        <f>IFERROR(__xludf.DUMMYFUNCTION("""COMPUTED_VALUE"""),"Solid Black")</f>
        <v>Solid Black</v>
      </c>
      <c r="P2802" s="178" t="str">
        <f>IFERROR(__xludf.DUMMYFUNCTION("""COMPUTED_VALUE"""),"18 inch Aero")</f>
        <v>18 inch Aero</v>
      </c>
      <c r="Q2802" s="177" t="str">
        <f>IFERROR(__xludf.DUMMYFUNCTION("""COMPUTED_VALUE"""),"Black seats")</f>
        <v>Black seats</v>
      </c>
      <c r="R2802" s="170" t="str">
        <f>IFERROR(__xludf.DUMMYFUNCTION("""COMPUTED_VALUE"""),"None")</f>
        <v>None</v>
      </c>
      <c r="S2802" s="170"/>
      <c r="T2802" s="179"/>
      <c r="U2802" s="179"/>
      <c r="V2802" s="179"/>
      <c r="W2802" s="180"/>
      <c r="X2802" s="181" t="str">
        <f>IFERROR(__xludf.DUMMYFUNCTION("""COMPUTED_VALUE"""),"Excellent")</f>
        <v>Excellent</v>
      </c>
      <c r="Y2802" s="182" t="str">
        <f>IFERROR(__xludf.DUMMYFUNCTION("""COMPUTED_VALUE"""),"Excellent")</f>
        <v>Excellent</v>
      </c>
      <c r="Z2802" s="182" t="str">
        <f>IFERROR(__xludf.DUMMYFUNCTION("""COMPUTED_VALUE"""),"Excellent")</f>
        <v>Excellent</v>
      </c>
      <c r="AA2802" s="182" t="str">
        <f>IFERROR(__xludf.DUMMYFUNCTION("""COMPUTED_VALUE"""),"Excellent")</f>
        <v>Excellent</v>
      </c>
      <c r="AB2802" s="182" t="str">
        <f>IFERROR(__xludf.DUMMYFUNCTION("""COMPUTED_VALUE"""),"Excellent")</f>
        <v>Excellent</v>
      </c>
      <c r="AC2802" s="183">
        <f>IFERROR(__xludf.DUMMYFUNCTION("""COMPUTED_VALUE"""),0.0)</f>
        <v>0</v>
      </c>
      <c r="AD2802" s="183">
        <f>IFERROR(__xludf.DUMMYFUNCTION("""COMPUTED_VALUE"""),0.0)</f>
        <v>0</v>
      </c>
      <c r="AE2802" s="183">
        <f>IFERROR(__xludf.DUMMYFUNCTION("""COMPUTED_VALUE"""),0.0)</f>
        <v>0</v>
      </c>
      <c r="AF2802" s="184"/>
      <c r="AG2802" s="180"/>
      <c r="AH2802" s="185">
        <f>IFERROR(__xludf.DUMMYFUNCTION("""COMPUTED_VALUE"""),43302.46306538195)</f>
        <v>43302.46307</v>
      </c>
      <c r="AI2802" s="182"/>
      <c r="AJ2802" s="182"/>
      <c r="AK2802" s="182"/>
      <c r="AL2802" s="182"/>
    </row>
    <row r="2803" ht="20.25" customHeight="1">
      <c r="A2803" s="169" t="str">
        <f>IFERROR(__xludf.DUMMYFUNCTION("""COMPUTED_VALUE"""),"AmbiguousTwo")</f>
        <v>AmbiguousTwo</v>
      </c>
      <c r="B2803" s="170" t="str">
        <f>IFERROR(__xludf.DUMMYFUNCTION("""COMPUTED_VALUE"""),"Herndon")</f>
        <v>Herndon</v>
      </c>
      <c r="C2803" s="170" t="str">
        <f>IFERROR(__xludf.DUMMYFUNCTION("""COMPUTED_VALUE"""),"VA")</f>
        <v>VA</v>
      </c>
      <c r="D2803" s="170" t="str">
        <f>IFERROR(__xludf.DUMMYFUNCTION("""COMPUTED_VALUE"""),"USA")</f>
        <v>USA</v>
      </c>
      <c r="E2803" s="171">
        <f>IFERROR(__xludf.DUMMYFUNCTION("""COMPUTED_VALUE"""),43280.0)</f>
        <v>43280</v>
      </c>
      <c r="F2803" s="172">
        <f>IFERROR(__xludf.DUMMYFUNCTION("""COMPUTED_VALUE"""),43381.0)</f>
        <v>43381</v>
      </c>
      <c r="G2803" s="173"/>
      <c r="H2803" s="174">
        <f>IFERROR(__xludf.DUMMYFUNCTION("""COMPUTED_VALUE"""),104155.0)</f>
        <v>104155</v>
      </c>
      <c r="I2803" s="175" t="str">
        <f>IFERROR(__xludf.DUMMYFUNCTION("""COMPUTED_VALUE"""),"10/18")</f>
        <v>10/18</v>
      </c>
      <c r="J2803" s="172">
        <f>IFERROR(__xludf.DUMMYFUNCTION("""COMPUTED_VALUE"""),43406.0)</f>
        <v>43406</v>
      </c>
      <c r="K2803" s="176">
        <f>IFERROR(__xludf.DUMMYFUNCTION("""COMPUTED_VALUE"""),101.0)</f>
        <v>101</v>
      </c>
      <c r="L2803" s="176">
        <f>IFERROR(__xludf.DUMMYFUNCTION("""COMPUTED_VALUE"""),25.0)</f>
        <v>25</v>
      </c>
      <c r="M2803" s="176">
        <f>IFERROR(__xludf.DUMMYFUNCTION("""COMPUTED_VALUE"""),126.0)</f>
        <v>126</v>
      </c>
      <c r="N2803" s="177" t="str">
        <f>IFERROR(__xludf.DUMMYFUNCTION("""COMPUTED_VALUE"""),"Model 3 LR AWD")</f>
        <v>Model 3 LR AWD</v>
      </c>
      <c r="O2803" s="177" t="str">
        <f>IFERROR(__xludf.DUMMYFUNCTION("""COMPUTED_VALUE"""),"Midnight Silver Metallic")</f>
        <v>Midnight Silver Metallic</v>
      </c>
      <c r="P2803" s="178" t="str">
        <f>IFERROR(__xludf.DUMMYFUNCTION("""COMPUTED_VALUE"""),"18 inch Aero")</f>
        <v>18 inch Aero</v>
      </c>
      <c r="Q2803" s="177" t="str">
        <f>IFERROR(__xludf.DUMMYFUNCTION("""COMPUTED_VALUE"""),"Black seats")</f>
        <v>Black seats</v>
      </c>
      <c r="R2803" s="170" t="str">
        <f>IFERROR(__xludf.DUMMYFUNCTION("""COMPUTED_VALUE"""),"Full Self-Driving")</f>
        <v>Full Self-Driving</v>
      </c>
      <c r="S2803" s="170"/>
      <c r="T2803" s="179"/>
      <c r="U2803" s="179"/>
      <c r="V2803" s="179"/>
      <c r="W2803" s="180"/>
      <c r="X2803" s="181" t="str">
        <f>IFERROR(__xludf.DUMMYFUNCTION("""COMPUTED_VALUE"""),"Very Good")</f>
        <v>Very Good</v>
      </c>
      <c r="Y2803" s="182" t="str">
        <f>IFERROR(__xludf.DUMMYFUNCTION("""COMPUTED_VALUE"""),"Excellent")</f>
        <v>Excellent</v>
      </c>
      <c r="Z2803" s="182" t="str">
        <f>IFERROR(__xludf.DUMMYFUNCTION("""COMPUTED_VALUE"""),"Excellent")</f>
        <v>Excellent</v>
      </c>
      <c r="AA2803" s="182" t="str">
        <f>IFERROR(__xludf.DUMMYFUNCTION("""COMPUTED_VALUE"""),"Poor")</f>
        <v>Poor</v>
      </c>
      <c r="AB2803" s="182" t="str">
        <f>IFERROR(__xludf.DUMMYFUNCTION("""COMPUTED_VALUE"""),"Excellent")</f>
        <v>Excellent</v>
      </c>
      <c r="AC2803" s="183">
        <f>IFERROR(__xludf.DUMMYFUNCTION("""COMPUTED_VALUE"""),1.0)</f>
        <v>1</v>
      </c>
      <c r="AD2803" s="183">
        <f>IFERROR(__xludf.DUMMYFUNCTION("""COMPUTED_VALUE"""),0.0)</f>
        <v>0</v>
      </c>
      <c r="AE2803" s="183">
        <f>IFERROR(__xludf.DUMMYFUNCTION("""COMPUTED_VALUE"""),0.0)</f>
        <v>0</v>
      </c>
      <c r="AF2803" s="184"/>
      <c r="AG2803" s="180"/>
      <c r="AH2803" s="185">
        <f>IFERROR(__xludf.DUMMYFUNCTION("""COMPUTED_VALUE"""),43409.31012577546)</f>
        <v>43409.31013</v>
      </c>
      <c r="AI2803" s="182"/>
      <c r="AJ2803" s="182"/>
      <c r="AK2803" s="182"/>
      <c r="AL2803" s="182"/>
    </row>
    <row r="2804" ht="20.25" customHeight="1">
      <c r="A2804" s="169" t="str">
        <f>IFERROR(__xludf.DUMMYFUNCTION("""COMPUTED_VALUE"""),"bkmartin")</f>
        <v>bkmartin</v>
      </c>
      <c r="B2804" s="170" t="str">
        <f>IFERROR(__xludf.DUMMYFUNCTION("""COMPUTED_VALUE"""),"Cary")</f>
        <v>Cary</v>
      </c>
      <c r="C2804" s="170" t="str">
        <f>IFERROR(__xludf.DUMMYFUNCTION("""COMPUTED_VALUE"""),"NC")</f>
        <v>NC</v>
      </c>
      <c r="D2804" s="170" t="str">
        <f>IFERROR(__xludf.DUMMYFUNCTION("""COMPUTED_VALUE"""),"USA")</f>
        <v>USA</v>
      </c>
      <c r="E2804" s="171">
        <f>IFERROR(__xludf.DUMMYFUNCTION("""COMPUTED_VALUE"""),43280.0)</f>
        <v>43280</v>
      </c>
      <c r="F2804" s="172">
        <f>IFERROR(__xludf.DUMMYFUNCTION("""COMPUTED_VALUE"""),43356.0)</f>
        <v>43356</v>
      </c>
      <c r="G2804" s="173"/>
      <c r="H2804" s="174">
        <f>IFERROR(__xludf.DUMMYFUNCTION("""COMPUTED_VALUE"""),63155.0)</f>
        <v>63155</v>
      </c>
      <c r="I2804" s="175"/>
      <c r="J2804" s="172">
        <f>IFERROR(__xludf.DUMMYFUNCTION("""COMPUTED_VALUE"""),43370.0)</f>
        <v>43370</v>
      </c>
      <c r="K2804" s="176">
        <f>IFERROR(__xludf.DUMMYFUNCTION("""COMPUTED_VALUE"""),76.0)</f>
        <v>76</v>
      </c>
      <c r="L2804" s="176">
        <f>IFERROR(__xludf.DUMMYFUNCTION("""COMPUTED_VALUE"""),14.0)</f>
        <v>14</v>
      </c>
      <c r="M2804" s="176">
        <f>IFERROR(__xludf.DUMMYFUNCTION("""COMPUTED_VALUE"""),90.0)</f>
        <v>90</v>
      </c>
      <c r="N2804" s="177" t="str">
        <f>IFERROR(__xludf.DUMMYFUNCTION("""COMPUTED_VALUE"""),"Model 3 Performance")</f>
        <v>Model 3 Performance</v>
      </c>
      <c r="O2804" s="177" t="str">
        <f>IFERROR(__xludf.DUMMYFUNCTION("""COMPUTED_VALUE"""),"Red Multi-Coat")</f>
        <v>Red Multi-Coat</v>
      </c>
      <c r="P2804" s="178" t="str">
        <f>IFERROR(__xludf.DUMMYFUNCTION("""COMPUTED_VALUE"""),"20 inch Sport")</f>
        <v>20 inch Sport</v>
      </c>
      <c r="Q2804" s="177" t="str">
        <f>IFERROR(__xludf.DUMMYFUNCTION("""COMPUTED_VALUE"""),"Black seats")</f>
        <v>Black seats</v>
      </c>
      <c r="R2804" s="170" t="str">
        <f>IFERROR(__xludf.DUMMYFUNCTION("""COMPUTED_VALUE"""),"Enhanced Autopilot")</f>
        <v>Enhanced Autopilot</v>
      </c>
      <c r="S2804" s="170"/>
      <c r="T2804" s="179"/>
      <c r="U2804" s="179"/>
      <c r="V2804" s="179"/>
      <c r="W2804" s="180"/>
      <c r="X2804" s="181" t="str">
        <f>IFERROR(__xludf.DUMMYFUNCTION("""COMPUTED_VALUE"""),"Very Good")</f>
        <v>Very Good</v>
      </c>
      <c r="Y2804" s="182" t="str">
        <f>IFERROR(__xludf.DUMMYFUNCTION("""COMPUTED_VALUE"""),"Very Good")</f>
        <v>Very Good</v>
      </c>
      <c r="Z2804" s="182" t="str">
        <f>IFERROR(__xludf.DUMMYFUNCTION("""COMPUTED_VALUE"""),"Very Good")</f>
        <v>Very Good</v>
      </c>
      <c r="AA2804" s="182" t="str">
        <f>IFERROR(__xludf.DUMMYFUNCTION("""COMPUTED_VALUE"""),"Poor")</f>
        <v>Poor</v>
      </c>
      <c r="AB2804" s="182" t="str">
        <f>IFERROR(__xludf.DUMMYFUNCTION("""COMPUTED_VALUE"""),"Fair")</f>
        <v>Fair</v>
      </c>
      <c r="AC2804" s="183">
        <f>IFERROR(__xludf.DUMMYFUNCTION("""COMPUTED_VALUE"""),4.0)</f>
        <v>4</v>
      </c>
      <c r="AD2804" s="183"/>
      <c r="AE2804" s="183"/>
      <c r="AF2804" s="184"/>
      <c r="AG2804" s="180"/>
      <c r="AH2804" s="185">
        <f>IFERROR(__xludf.DUMMYFUNCTION("""COMPUTED_VALUE"""),43372.402136666664)</f>
        <v>43372.40214</v>
      </c>
      <c r="AI2804" s="182"/>
      <c r="AJ2804" s="182"/>
      <c r="AK2804" s="182"/>
      <c r="AL2804" s="182"/>
    </row>
    <row r="2805" ht="20.25" customHeight="1">
      <c r="A2805" s="169" t="str">
        <f>IFERROR(__xludf.DUMMYFUNCTION("""COMPUTED_VALUE"""),"blinkmandude")</f>
        <v>blinkmandude</v>
      </c>
      <c r="B2805" s="170" t="str">
        <f>IFERROR(__xludf.DUMMYFUNCTION("""COMPUTED_VALUE"""),"Melbourne, FL")</f>
        <v>Melbourne, FL</v>
      </c>
      <c r="C2805" s="170" t="str">
        <f>IFERROR(__xludf.DUMMYFUNCTION("""COMPUTED_VALUE"""),"FL")</f>
        <v>FL</v>
      </c>
      <c r="D2805" s="170" t="str">
        <f>IFERROR(__xludf.DUMMYFUNCTION("""COMPUTED_VALUE"""),"USA")</f>
        <v>USA</v>
      </c>
      <c r="E2805" s="171">
        <f>IFERROR(__xludf.DUMMYFUNCTION("""COMPUTED_VALUE"""),43280.0)</f>
        <v>43280</v>
      </c>
      <c r="F2805" s="172">
        <f>IFERROR(__xludf.DUMMYFUNCTION("""COMPUTED_VALUE"""),43392.0)</f>
        <v>43392</v>
      </c>
      <c r="G2805" s="173"/>
      <c r="H2805" s="174">
        <f>IFERROR(__xludf.DUMMYFUNCTION("""COMPUTED_VALUE"""),94055.0)</f>
        <v>94055</v>
      </c>
      <c r="I2805" s="175" t="str">
        <f>IFERROR(__xludf.DUMMYFUNCTION("""COMPUTED_VALUE"""),"10/18")</f>
        <v>10/18</v>
      </c>
      <c r="J2805" s="172">
        <f>IFERROR(__xludf.DUMMYFUNCTION("""COMPUTED_VALUE"""),43399.0)</f>
        <v>43399</v>
      </c>
      <c r="K2805" s="176">
        <f>IFERROR(__xludf.DUMMYFUNCTION("""COMPUTED_VALUE"""),112.0)</f>
        <v>112</v>
      </c>
      <c r="L2805" s="176">
        <f>IFERROR(__xludf.DUMMYFUNCTION("""COMPUTED_VALUE"""),7.0)</f>
        <v>7</v>
      </c>
      <c r="M2805" s="176">
        <f>IFERROR(__xludf.DUMMYFUNCTION("""COMPUTED_VALUE"""),119.0)</f>
        <v>119</v>
      </c>
      <c r="N2805" s="177" t="str">
        <f>IFERROR(__xludf.DUMMYFUNCTION("""COMPUTED_VALUE"""),"Model 3 LR AWD")</f>
        <v>Model 3 LR AWD</v>
      </c>
      <c r="O2805" s="177" t="str">
        <f>IFERROR(__xludf.DUMMYFUNCTION("""COMPUTED_VALUE"""),"Midnight Silver Metallic")</f>
        <v>Midnight Silver Metallic</v>
      </c>
      <c r="P2805" s="178" t="str">
        <f>IFERROR(__xludf.DUMMYFUNCTION("""COMPUTED_VALUE"""),"18 inch Aero")</f>
        <v>18 inch Aero</v>
      </c>
      <c r="Q2805" s="177" t="str">
        <f>IFERROR(__xludf.DUMMYFUNCTION("""COMPUTED_VALUE"""),"Black seats")</f>
        <v>Black seats</v>
      </c>
      <c r="R2805" s="170" t="str">
        <f>IFERROR(__xludf.DUMMYFUNCTION("""COMPUTED_VALUE"""),"None")</f>
        <v>None</v>
      </c>
      <c r="S2805" s="170"/>
      <c r="T2805" s="179"/>
      <c r="U2805" s="179"/>
      <c r="V2805" s="179"/>
      <c r="W2805" s="180"/>
      <c r="X2805" s="181" t="str">
        <f>IFERROR(__xludf.DUMMYFUNCTION("""COMPUTED_VALUE"""),"Excellent")</f>
        <v>Excellent</v>
      </c>
      <c r="Y2805" s="182" t="str">
        <f>IFERROR(__xludf.DUMMYFUNCTION("""COMPUTED_VALUE"""),"Excellent")</f>
        <v>Excellent</v>
      </c>
      <c r="Z2805" s="182" t="str">
        <f>IFERROR(__xludf.DUMMYFUNCTION("""COMPUTED_VALUE"""),"Excellent")</f>
        <v>Excellent</v>
      </c>
      <c r="AA2805" s="182" t="str">
        <f>IFERROR(__xludf.DUMMYFUNCTION("""COMPUTED_VALUE"""),"Good")</f>
        <v>Good</v>
      </c>
      <c r="AB2805" s="182" t="str">
        <f>IFERROR(__xludf.DUMMYFUNCTION("""COMPUTED_VALUE"""),"Excellent")</f>
        <v>Excellent</v>
      </c>
      <c r="AC2805" s="183"/>
      <c r="AD2805" s="183"/>
      <c r="AE2805" s="183"/>
      <c r="AF2805" s="184"/>
      <c r="AG2805" s="180"/>
      <c r="AH2805" s="185">
        <f>IFERROR(__xludf.DUMMYFUNCTION("""COMPUTED_VALUE"""),43408.35630313658)</f>
        <v>43408.3563</v>
      </c>
      <c r="AI2805" s="182"/>
      <c r="AJ2805" s="182"/>
      <c r="AK2805" s="182"/>
      <c r="AL2805" s="182"/>
    </row>
    <row r="2806" ht="20.25" customHeight="1">
      <c r="A2806" s="169" t="str">
        <f>IFERROR(__xludf.DUMMYFUNCTION("""COMPUTED_VALUE"""),"boriszima")</f>
        <v>boriszima</v>
      </c>
      <c r="B2806" s="170" t="str">
        <f>IFERROR(__xludf.DUMMYFUNCTION("""COMPUTED_VALUE"""),"San Fernando Valley,")</f>
        <v>San Fernando Valley,</v>
      </c>
      <c r="C2806" s="170" t="str">
        <f>IFERROR(__xludf.DUMMYFUNCTION("""COMPUTED_VALUE"""),"CA")</f>
        <v>CA</v>
      </c>
      <c r="D2806" s="170" t="str">
        <f>IFERROR(__xludf.DUMMYFUNCTION("""COMPUTED_VALUE"""),"USA")</f>
        <v>USA</v>
      </c>
      <c r="E2806" s="171">
        <f>IFERROR(__xludf.DUMMYFUNCTION("""COMPUTED_VALUE"""),43280.0)</f>
        <v>43280</v>
      </c>
      <c r="F2806" s="172">
        <f>IFERROR(__xludf.DUMMYFUNCTION("""COMPUTED_VALUE"""),43317.0)</f>
        <v>43317</v>
      </c>
      <c r="G2806" s="173"/>
      <c r="H2806" s="174">
        <f>IFERROR(__xludf.DUMMYFUNCTION("""COMPUTED_VALUE"""),67555.0)</f>
        <v>67555</v>
      </c>
      <c r="I2806" s="175"/>
      <c r="J2806" s="172">
        <f>IFERROR(__xludf.DUMMYFUNCTION("""COMPUTED_VALUE"""),43326.0)</f>
        <v>43326</v>
      </c>
      <c r="K2806" s="176">
        <f>IFERROR(__xludf.DUMMYFUNCTION("""COMPUTED_VALUE"""),37.0)</f>
        <v>37</v>
      </c>
      <c r="L2806" s="176">
        <f>IFERROR(__xludf.DUMMYFUNCTION("""COMPUTED_VALUE"""),9.0)</f>
        <v>9</v>
      </c>
      <c r="M2806" s="176">
        <f>IFERROR(__xludf.DUMMYFUNCTION("""COMPUTED_VALUE"""),46.0)</f>
        <v>46</v>
      </c>
      <c r="N2806" s="177" t="str">
        <f>IFERROR(__xludf.DUMMYFUNCTION("""COMPUTED_VALUE"""),"Model 3 LR AWD")</f>
        <v>Model 3 LR AWD</v>
      </c>
      <c r="O2806" s="177" t="str">
        <f>IFERROR(__xludf.DUMMYFUNCTION("""COMPUTED_VALUE"""),"Pearl White Multi-Coat")</f>
        <v>Pearl White Multi-Coat</v>
      </c>
      <c r="P2806" s="178" t="str">
        <f>IFERROR(__xludf.DUMMYFUNCTION("""COMPUTED_VALUE"""),"19 inch Sport")</f>
        <v>19 inch Sport</v>
      </c>
      <c r="Q2806" s="177" t="str">
        <f>IFERROR(__xludf.DUMMYFUNCTION("""COMPUTED_VALUE"""),"Black seats")</f>
        <v>Black seats</v>
      </c>
      <c r="R2806" s="170" t="str">
        <f>IFERROR(__xludf.DUMMYFUNCTION("""COMPUTED_VALUE"""),"Enhanced Autopilot")</f>
        <v>Enhanced Autopilot</v>
      </c>
      <c r="S2806" s="170"/>
      <c r="T2806" s="179"/>
      <c r="U2806" s="179"/>
      <c r="V2806" s="179"/>
      <c r="W2806" s="180"/>
      <c r="X2806" s="181" t="str">
        <f>IFERROR(__xludf.DUMMYFUNCTION("""COMPUTED_VALUE"""),"Excellent")</f>
        <v>Excellent</v>
      </c>
      <c r="Y2806" s="182" t="str">
        <f>IFERROR(__xludf.DUMMYFUNCTION("""COMPUTED_VALUE"""),"Excellent")</f>
        <v>Excellent</v>
      </c>
      <c r="Z2806" s="182" t="str">
        <f>IFERROR(__xludf.DUMMYFUNCTION("""COMPUTED_VALUE"""),"Excellent")</f>
        <v>Excellent</v>
      </c>
      <c r="AA2806" s="182" t="str">
        <f>IFERROR(__xludf.DUMMYFUNCTION("""COMPUTED_VALUE"""),"Very Good")</f>
        <v>Very Good</v>
      </c>
      <c r="AB2806" s="182" t="str">
        <f>IFERROR(__xludf.DUMMYFUNCTION("""COMPUTED_VALUE"""),"Excellent")</f>
        <v>Excellent</v>
      </c>
      <c r="AC2806" s="183"/>
      <c r="AD2806" s="183"/>
      <c r="AE2806" s="183"/>
      <c r="AF2806" s="184"/>
      <c r="AG2806" s="180"/>
      <c r="AH2806" s="185">
        <f>IFERROR(__xludf.DUMMYFUNCTION("""COMPUTED_VALUE"""),43326.946564872684)</f>
        <v>43326.94656</v>
      </c>
      <c r="AI2806" s="182"/>
      <c r="AJ2806" s="182"/>
      <c r="AK2806" s="182"/>
      <c r="AL2806" s="182"/>
    </row>
    <row r="2807" ht="20.25" customHeight="1">
      <c r="A2807" s="169" t="str">
        <f>IFERROR(__xludf.DUMMYFUNCTION("""COMPUTED_VALUE"""),"bradbomb")</f>
        <v>bradbomb</v>
      </c>
      <c r="B2807" s="170" t="str">
        <f>IFERROR(__xludf.DUMMYFUNCTION("""COMPUTED_VALUE"""),"Los Angeles, CA")</f>
        <v>Los Angeles, CA</v>
      </c>
      <c r="C2807" s="170" t="str">
        <f>IFERROR(__xludf.DUMMYFUNCTION("""COMPUTED_VALUE"""),"CA")</f>
        <v>CA</v>
      </c>
      <c r="D2807" s="170" t="str">
        <f>IFERROR(__xludf.DUMMYFUNCTION("""COMPUTED_VALUE"""),"USA")</f>
        <v>USA</v>
      </c>
      <c r="E2807" s="171">
        <f>IFERROR(__xludf.DUMMYFUNCTION("""COMPUTED_VALUE"""),43280.0)</f>
        <v>43280</v>
      </c>
      <c r="F2807" s="172">
        <f>IFERROR(__xludf.DUMMYFUNCTION("""COMPUTED_VALUE"""),43292.0)</f>
        <v>43292</v>
      </c>
      <c r="G2807" s="173"/>
      <c r="H2807" s="174">
        <f>IFERROR(__xludf.DUMMYFUNCTION("""COMPUTED_VALUE"""),39715.0)</f>
        <v>39715</v>
      </c>
      <c r="I2807" s="175" t="str">
        <f>IFERROR(__xludf.DUMMYFUNCTION("""COMPUTED_VALUE"""),"07/18")</f>
        <v>07/18</v>
      </c>
      <c r="J2807" s="172">
        <f>IFERROR(__xludf.DUMMYFUNCTION("""COMPUTED_VALUE"""),43302.0)</f>
        <v>43302</v>
      </c>
      <c r="K2807" s="176">
        <f>IFERROR(__xludf.DUMMYFUNCTION("""COMPUTED_VALUE"""),12.0)</f>
        <v>12</v>
      </c>
      <c r="L2807" s="176">
        <f>IFERROR(__xludf.DUMMYFUNCTION("""COMPUTED_VALUE"""),10.0)</f>
        <v>10</v>
      </c>
      <c r="M2807" s="176">
        <f>IFERROR(__xludf.DUMMYFUNCTION("""COMPUTED_VALUE"""),22.0)</f>
        <v>22</v>
      </c>
      <c r="N2807" s="177" t="str">
        <f>IFERROR(__xludf.DUMMYFUNCTION("""COMPUTED_VALUE"""),"Model 3 LR")</f>
        <v>Model 3 LR</v>
      </c>
      <c r="O2807" s="177" t="str">
        <f>IFERROR(__xludf.DUMMYFUNCTION("""COMPUTED_VALUE"""),"Solid Black")</f>
        <v>Solid Black</v>
      </c>
      <c r="P2807" s="178" t="str">
        <f>IFERROR(__xludf.DUMMYFUNCTION("""COMPUTED_VALUE"""),"18 inch Aero")</f>
        <v>18 inch Aero</v>
      </c>
      <c r="Q2807" s="177" t="str">
        <f>IFERROR(__xludf.DUMMYFUNCTION("""COMPUTED_VALUE"""),"Black seats")</f>
        <v>Black seats</v>
      </c>
      <c r="R2807" s="170" t="str">
        <f>IFERROR(__xludf.DUMMYFUNCTION("""COMPUTED_VALUE"""),"Enhanced Autopilot")</f>
        <v>Enhanced Autopilot</v>
      </c>
      <c r="S2807" s="170"/>
      <c r="T2807" s="179"/>
      <c r="U2807" s="179"/>
      <c r="V2807" s="179"/>
      <c r="W2807" s="180"/>
      <c r="X2807" s="181" t="str">
        <f>IFERROR(__xludf.DUMMYFUNCTION("""COMPUTED_VALUE"""),"Very Good")</f>
        <v>Very Good</v>
      </c>
      <c r="Y2807" s="182" t="str">
        <f>IFERROR(__xludf.DUMMYFUNCTION("""COMPUTED_VALUE"""),"Excellent")</f>
        <v>Excellent</v>
      </c>
      <c r="Z2807" s="182" t="str">
        <f>IFERROR(__xludf.DUMMYFUNCTION("""COMPUTED_VALUE"""),"Very Good")</f>
        <v>Very Good</v>
      </c>
      <c r="AA2807" s="182" t="str">
        <f>IFERROR(__xludf.DUMMYFUNCTION("""COMPUTED_VALUE"""),"Good")</f>
        <v>Good</v>
      </c>
      <c r="AB2807" s="182" t="str">
        <f>IFERROR(__xludf.DUMMYFUNCTION("""COMPUTED_VALUE"""),"Very Good")</f>
        <v>Very Good</v>
      </c>
      <c r="AC2807" s="183"/>
      <c r="AD2807" s="183"/>
      <c r="AE2807" s="183"/>
      <c r="AF2807" s="184"/>
      <c r="AG2807" s="180"/>
      <c r="AH2807" s="185">
        <f>IFERROR(__xludf.DUMMYFUNCTION("""COMPUTED_VALUE"""),43304.62611572917)</f>
        <v>43304.62612</v>
      </c>
      <c r="AI2807" s="182"/>
      <c r="AJ2807" s="182"/>
      <c r="AK2807" s="182"/>
      <c r="AL2807" s="182"/>
    </row>
    <row r="2808" ht="20.25" customHeight="1">
      <c r="A2808" s="169" t="str">
        <f>IFERROR(__xludf.DUMMYFUNCTION("""COMPUTED_VALUE"""),"brendanbk")</f>
        <v>brendanbk</v>
      </c>
      <c r="B2808" s="170" t="str">
        <f>IFERROR(__xludf.DUMMYFUNCTION("""COMPUTED_VALUE"""),"Philadelphia")</f>
        <v>Philadelphia</v>
      </c>
      <c r="C2808" s="170" t="str">
        <f>IFERROR(__xludf.DUMMYFUNCTION("""COMPUTED_VALUE"""),"PA")</f>
        <v>PA</v>
      </c>
      <c r="D2808" s="170" t="str">
        <f>IFERROR(__xludf.DUMMYFUNCTION("""COMPUTED_VALUE"""),"USA")</f>
        <v>USA</v>
      </c>
      <c r="E2808" s="171">
        <f>IFERROR(__xludf.DUMMYFUNCTION("""COMPUTED_VALUE"""),43280.0)</f>
        <v>43280</v>
      </c>
      <c r="F2808" s="172">
        <f>IFERROR(__xludf.DUMMYFUNCTION("""COMPUTED_VALUE"""),43356.0)</f>
        <v>43356</v>
      </c>
      <c r="G2808" s="173"/>
      <c r="H2808" s="174">
        <f>IFERROR(__xludf.DUMMYFUNCTION("""COMPUTED_VALUE"""),69703.0)</f>
        <v>69703</v>
      </c>
      <c r="I2808" s="175" t="str">
        <f>IFERROR(__xludf.DUMMYFUNCTION("""COMPUTED_VALUE"""),"09/18")</f>
        <v>09/18</v>
      </c>
      <c r="J2808" s="172">
        <f>IFERROR(__xludf.DUMMYFUNCTION("""COMPUTED_VALUE"""),43377.0)</f>
        <v>43377</v>
      </c>
      <c r="K2808" s="176">
        <f>IFERROR(__xludf.DUMMYFUNCTION("""COMPUTED_VALUE"""),76.0)</f>
        <v>76</v>
      </c>
      <c r="L2808" s="176">
        <f>IFERROR(__xludf.DUMMYFUNCTION("""COMPUTED_VALUE"""),21.0)</f>
        <v>21</v>
      </c>
      <c r="M2808" s="176">
        <f>IFERROR(__xludf.DUMMYFUNCTION("""COMPUTED_VALUE"""),97.0)</f>
        <v>97</v>
      </c>
      <c r="N2808" s="177" t="str">
        <f>IFERROR(__xludf.DUMMYFUNCTION("""COMPUTED_VALUE"""),"Model 3 Performance")</f>
        <v>Model 3 Performance</v>
      </c>
      <c r="O2808" s="177" t="str">
        <f>IFERROR(__xludf.DUMMYFUNCTION("""COMPUTED_VALUE"""),"Obsidian Black Metallic")</f>
        <v>Obsidian Black Metallic</v>
      </c>
      <c r="P2808" s="178" t="str">
        <f>IFERROR(__xludf.DUMMYFUNCTION("""COMPUTED_VALUE"""),"20 inch Sport")</f>
        <v>20 inch Sport</v>
      </c>
      <c r="Q2808" s="177" t="str">
        <f>IFERROR(__xludf.DUMMYFUNCTION("""COMPUTED_VALUE"""),"Black seats")</f>
        <v>Black seats</v>
      </c>
      <c r="R2808" s="170" t="str">
        <f>IFERROR(__xludf.DUMMYFUNCTION("""COMPUTED_VALUE"""),"Enhanced Autopilot")</f>
        <v>Enhanced Autopilot</v>
      </c>
      <c r="S2808" s="170"/>
      <c r="T2808" s="179"/>
      <c r="U2808" s="179"/>
      <c r="V2808" s="179"/>
      <c r="W2808" s="180"/>
      <c r="X2808" s="181" t="str">
        <f>IFERROR(__xludf.DUMMYFUNCTION("""COMPUTED_VALUE"""),"Very Good")</f>
        <v>Very Good</v>
      </c>
      <c r="Y2808" s="182" t="str">
        <f>IFERROR(__xludf.DUMMYFUNCTION("""COMPUTED_VALUE"""),"Very Good")</f>
        <v>Very Good</v>
      </c>
      <c r="Z2808" s="182" t="str">
        <f>IFERROR(__xludf.DUMMYFUNCTION("""COMPUTED_VALUE"""),"Good")</f>
        <v>Good</v>
      </c>
      <c r="AA2808" s="182" t="str">
        <f>IFERROR(__xludf.DUMMYFUNCTION("""COMPUTED_VALUE"""),"Good")</f>
        <v>Good</v>
      </c>
      <c r="AB2808" s="182" t="str">
        <f>IFERROR(__xludf.DUMMYFUNCTION("""COMPUTED_VALUE"""),"Good")</f>
        <v>Good</v>
      </c>
      <c r="AC2808" s="183"/>
      <c r="AD2808" s="183"/>
      <c r="AE2808" s="183"/>
      <c r="AF2808" s="184"/>
      <c r="AG2808" s="180"/>
      <c r="AH2808" s="185">
        <f>IFERROR(__xludf.DUMMYFUNCTION("""COMPUTED_VALUE"""),43381.43369275463)</f>
        <v>43381.43369</v>
      </c>
      <c r="AI2808" s="182"/>
      <c r="AJ2808" s="182"/>
      <c r="AK2808" s="182"/>
      <c r="AL2808" s="182"/>
    </row>
    <row r="2809" ht="20.25" customHeight="1">
      <c r="A2809" s="169" t="str">
        <f>IFERROR(__xludf.DUMMYFUNCTION("""COMPUTED_VALUE"""),"brobison")</f>
        <v>brobison</v>
      </c>
      <c r="B2809" s="170" t="str">
        <f>IFERROR(__xludf.DUMMYFUNCTION("""COMPUTED_VALUE"""),"San Antonio")</f>
        <v>San Antonio</v>
      </c>
      <c r="C2809" s="170" t="str">
        <f>IFERROR(__xludf.DUMMYFUNCTION("""COMPUTED_VALUE"""),"TX")</f>
        <v>TX</v>
      </c>
      <c r="D2809" s="170" t="str">
        <f>IFERROR(__xludf.DUMMYFUNCTION("""COMPUTED_VALUE"""),"USA")</f>
        <v>USA</v>
      </c>
      <c r="E2809" s="171">
        <f>IFERROR(__xludf.DUMMYFUNCTION("""COMPUTED_VALUE"""),43280.0)</f>
        <v>43280</v>
      </c>
      <c r="F2809" s="172">
        <f>IFERROR(__xludf.DUMMYFUNCTION("""COMPUTED_VALUE"""),43301.0)</f>
        <v>43301</v>
      </c>
      <c r="G2809" s="173"/>
      <c r="H2809" s="174">
        <f>IFERROR(__xludf.DUMMYFUNCTION("""COMPUTED_VALUE"""),30832.0)</f>
        <v>30832</v>
      </c>
      <c r="I2809" s="175" t="str">
        <f>IFERROR(__xludf.DUMMYFUNCTION("""COMPUTED_VALUE"""),"06/18")</f>
        <v>06/18</v>
      </c>
      <c r="J2809" s="172">
        <f>IFERROR(__xludf.DUMMYFUNCTION("""COMPUTED_VALUE"""),43323.0)</f>
        <v>43323</v>
      </c>
      <c r="K2809" s="176">
        <f>IFERROR(__xludf.DUMMYFUNCTION("""COMPUTED_VALUE"""),21.0)</f>
        <v>21</v>
      </c>
      <c r="L2809" s="176">
        <f>IFERROR(__xludf.DUMMYFUNCTION("""COMPUTED_VALUE"""),22.0)</f>
        <v>22</v>
      </c>
      <c r="M2809" s="176">
        <f>IFERROR(__xludf.DUMMYFUNCTION("""COMPUTED_VALUE"""),43.0)</f>
        <v>43</v>
      </c>
      <c r="N2809" s="177" t="str">
        <f>IFERROR(__xludf.DUMMYFUNCTION("""COMPUTED_VALUE"""),"Model 3 LR")</f>
        <v>Model 3 LR</v>
      </c>
      <c r="O2809" s="177" t="str">
        <f>IFERROR(__xludf.DUMMYFUNCTION("""COMPUTED_VALUE"""),"Deep Blue Metallic")</f>
        <v>Deep Blue Metallic</v>
      </c>
      <c r="P2809" s="178" t="str">
        <f>IFERROR(__xludf.DUMMYFUNCTION("""COMPUTED_VALUE"""),"18 inch Aero")</f>
        <v>18 inch Aero</v>
      </c>
      <c r="Q2809" s="177" t="str">
        <f>IFERROR(__xludf.DUMMYFUNCTION("""COMPUTED_VALUE"""),"Black seats")</f>
        <v>Black seats</v>
      </c>
      <c r="R2809" s="170" t="str">
        <f>IFERROR(__xludf.DUMMYFUNCTION("""COMPUTED_VALUE"""),"None")</f>
        <v>None</v>
      </c>
      <c r="S2809" s="170"/>
      <c r="T2809" s="179"/>
      <c r="U2809" s="179"/>
      <c r="V2809" s="179"/>
      <c r="W2809" s="180"/>
      <c r="X2809" s="181" t="str">
        <f>IFERROR(__xludf.DUMMYFUNCTION("""COMPUTED_VALUE"""),"Excellent")</f>
        <v>Excellent</v>
      </c>
      <c r="Y2809" s="182" t="str">
        <f>IFERROR(__xludf.DUMMYFUNCTION("""COMPUTED_VALUE"""),"Excellent")</f>
        <v>Excellent</v>
      </c>
      <c r="Z2809" s="182" t="str">
        <f>IFERROR(__xludf.DUMMYFUNCTION("""COMPUTED_VALUE"""),"Excellent")</f>
        <v>Excellent</v>
      </c>
      <c r="AA2809" s="182" t="str">
        <f>IFERROR(__xludf.DUMMYFUNCTION("""COMPUTED_VALUE"""),"Good")</f>
        <v>Good</v>
      </c>
      <c r="AB2809" s="182" t="str">
        <f>IFERROR(__xludf.DUMMYFUNCTION("""COMPUTED_VALUE"""),"Good")</f>
        <v>Good</v>
      </c>
      <c r="AC2809" s="183"/>
      <c r="AD2809" s="183"/>
      <c r="AE2809" s="183"/>
      <c r="AF2809" s="184"/>
      <c r="AG2809" s="180"/>
      <c r="AH2809" s="185">
        <f>IFERROR(__xludf.DUMMYFUNCTION("""COMPUTED_VALUE"""),43326.21263083334)</f>
        <v>43326.21263</v>
      </c>
      <c r="AI2809" s="182"/>
      <c r="AJ2809" s="182"/>
      <c r="AK2809" s="182"/>
      <c r="AL2809" s="182"/>
    </row>
    <row r="2810" ht="20.25" customHeight="1">
      <c r="A2810" s="169" t="str">
        <f>IFERROR(__xludf.DUMMYFUNCTION("""COMPUTED_VALUE"""),"BruceMA")</f>
        <v>BruceMA</v>
      </c>
      <c r="B2810" s="170"/>
      <c r="C2810" s="170" t="str">
        <f>IFERROR(__xludf.DUMMYFUNCTION("""COMPUTED_VALUE"""),"MA")</f>
        <v>MA</v>
      </c>
      <c r="D2810" s="170" t="str">
        <f>IFERROR(__xludf.DUMMYFUNCTION("""COMPUTED_VALUE"""),"USA")</f>
        <v>USA</v>
      </c>
      <c r="E2810" s="171">
        <f>IFERROR(__xludf.DUMMYFUNCTION("""COMPUTED_VALUE"""),43280.0)</f>
        <v>43280</v>
      </c>
      <c r="F2810" s="172">
        <f>IFERROR(__xludf.DUMMYFUNCTION("""COMPUTED_VALUE"""),43340.0)</f>
        <v>43340</v>
      </c>
      <c r="G2810" s="173"/>
      <c r="H2810" s="174">
        <f>IFERROR(__xludf.DUMMYFUNCTION("""COMPUTED_VALUE"""),68521.0)</f>
        <v>68521</v>
      </c>
      <c r="I2810" s="175" t="str">
        <f>IFERROR(__xludf.DUMMYFUNCTION("""COMPUTED_VALUE"""),"08/18")</f>
        <v>08/18</v>
      </c>
      <c r="J2810" s="172">
        <f>IFERROR(__xludf.DUMMYFUNCTION("""COMPUTED_VALUE"""),43365.0)</f>
        <v>43365</v>
      </c>
      <c r="K2810" s="176">
        <f>IFERROR(__xludf.DUMMYFUNCTION("""COMPUTED_VALUE"""),60.0)</f>
        <v>60</v>
      </c>
      <c r="L2810" s="176">
        <f>IFERROR(__xludf.DUMMYFUNCTION("""COMPUTED_VALUE"""),25.0)</f>
        <v>25</v>
      </c>
      <c r="M2810" s="176">
        <f>IFERROR(__xludf.DUMMYFUNCTION("""COMPUTED_VALUE"""),85.0)</f>
        <v>85</v>
      </c>
      <c r="N2810" s="177" t="str">
        <f>IFERROR(__xludf.DUMMYFUNCTION("""COMPUTED_VALUE"""),"Model 3 LR AWD")</f>
        <v>Model 3 LR AWD</v>
      </c>
      <c r="O2810" s="177" t="str">
        <f>IFERROR(__xludf.DUMMYFUNCTION("""COMPUTED_VALUE"""),"Solid Black")</f>
        <v>Solid Black</v>
      </c>
      <c r="P2810" s="178" t="str">
        <f>IFERROR(__xludf.DUMMYFUNCTION("""COMPUTED_VALUE"""),"18 inch Aero")</f>
        <v>18 inch Aero</v>
      </c>
      <c r="Q2810" s="177" t="str">
        <f>IFERROR(__xludf.DUMMYFUNCTION("""COMPUTED_VALUE"""),"Black seats")</f>
        <v>Black seats</v>
      </c>
      <c r="R2810" s="170" t="str">
        <f>IFERROR(__xludf.DUMMYFUNCTION("""COMPUTED_VALUE"""),"Enhanced Autopilot")</f>
        <v>Enhanced Autopilot</v>
      </c>
      <c r="S2810" s="170"/>
      <c r="T2810" s="179"/>
      <c r="U2810" s="179"/>
      <c r="V2810" s="179"/>
      <c r="W2810" s="180"/>
      <c r="X2810" s="181" t="str">
        <f>IFERROR(__xludf.DUMMYFUNCTION("""COMPUTED_VALUE"""),"Excellent")</f>
        <v>Excellent</v>
      </c>
      <c r="Y2810" s="182" t="str">
        <f>IFERROR(__xludf.DUMMYFUNCTION("""COMPUTED_VALUE"""),"Excellent")</f>
        <v>Excellent</v>
      </c>
      <c r="Z2810" s="182" t="str">
        <f>IFERROR(__xludf.DUMMYFUNCTION("""COMPUTED_VALUE"""),"Excellent")</f>
        <v>Excellent</v>
      </c>
      <c r="AA2810" s="182" t="str">
        <f>IFERROR(__xludf.DUMMYFUNCTION("""COMPUTED_VALUE"""),"Excellent")</f>
        <v>Excellent</v>
      </c>
      <c r="AB2810" s="182" t="str">
        <f>IFERROR(__xludf.DUMMYFUNCTION("""COMPUTED_VALUE"""),"Excellent")</f>
        <v>Excellent</v>
      </c>
      <c r="AC2810" s="183">
        <f>IFERROR(__xludf.DUMMYFUNCTION("""COMPUTED_VALUE"""),0.0)</f>
        <v>0</v>
      </c>
      <c r="AD2810" s="183">
        <f>IFERROR(__xludf.DUMMYFUNCTION("""COMPUTED_VALUE"""),0.0)</f>
        <v>0</v>
      </c>
      <c r="AE2810" s="183">
        <f>IFERROR(__xludf.DUMMYFUNCTION("""COMPUTED_VALUE"""),0.0)</f>
        <v>0</v>
      </c>
      <c r="AF2810" s="184"/>
      <c r="AG2810" s="180" t="str">
        <f>IFERROR(__xludf.DUMMYFUNCTION("""COMPUTED_VALUE"""),"Great car.  only issue is that the screen has rebooted 2 times while driving in the first 30 days")</f>
        <v>Great car.  only issue is that the screen has rebooted 2 times while driving in the first 30 days</v>
      </c>
      <c r="AH2810" s="185">
        <f>IFERROR(__xludf.DUMMYFUNCTION("""COMPUTED_VALUE"""),43397.350781273155)</f>
        <v>43397.35078</v>
      </c>
      <c r="AI2810" s="182"/>
      <c r="AJ2810" s="182"/>
      <c r="AK2810" s="182"/>
      <c r="AL2810" s="182"/>
    </row>
    <row r="2811" ht="20.25" customHeight="1">
      <c r="A2811" s="169" t="str">
        <f>IFERROR(__xludf.DUMMYFUNCTION("""COMPUTED_VALUE"""),"changsteer")</f>
        <v>changsteer</v>
      </c>
      <c r="B2811" s="170" t="str">
        <f>IFERROR(__xludf.DUMMYFUNCTION("""COMPUTED_VALUE"""),"North Potomac")</f>
        <v>North Potomac</v>
      </c>
      <c r="C2811" s="170" t="str">
        <f>IFERROR(__xludf.DUMMYFUNCTION("""COMPUTED_VALUE"""),"MD")</f>
        <v>MD</v>
      </c>
      <c r="D2811" s="170" t="str">
        <f>IFERROR(__xludf.DUMMYFUNCTION("""COMPUTED_VALUE"""),"USA")</f>
        <v>USA</v>
      </c>
      <c r="E2811" s="171">
        <f>IFERROR(__xludf.DUMMYFUNCTION("""COMPUTED_VALUE"""),43280.0)</f>
        <v>43280</v>
      </c>
      <c r="F2811" s="172">
        <f>IFERROR(__xludf.DUMMYFUNCTION("""COMPUTED_VALUE"""),43284.0)</f>
        <v>43284</v>
      </c>
      <c r="G2811" s="173"/>
      <c r="H2811" s="174">
        <f>IFERROR(__xludf.DUMMYFUNCTION("""COMPUTED_VALUE"""),34455.0)</f>
        <v>34455</v>
      </c>
      <c r="I2811" s="175" t="str">
        <f>IFERROR(__xludf.DUMMYFUNCTION("""COMPUTED_VALUE"""),"06/18")</f>
        <v>06/18</v>
      </c>
      <c r="J2811" s="172">
        <f>IFERROR(__xludf.DUMMYFUNCTION("""COMPUTED_VALUE"""),43297.0)</f>
        <v>43297</v>
      </c>
      <c r="K2811" s="176">
        <f>IFERROR(__xludf.DUMMYFUNCTION("""COMPUTED_VALUE"""),4.0)</f>
        <v>4</v>
      </c>
      <c r="L2811" s="176">
        <f>IFERROR(__xludf.DUMMYFUNCTION("""COMPUTED_VALUE"""),13.0)</f>
        <v>13</v>
      </c>
      <c r="M2811" s="176">
        <f>IFERROR(__xludf.DUMMYFUNCTION("""COMPUTED_VALUE"""),17.0)</f>
        <v>17</v>
      </c>
      <c r="N2811" s="177" t="str">
        <f>IFERROR(__xludf.DUMMYFUNCTION("""COMPUTED_VALUE"""),"Model 3 LR")</f>
        <v>Model 3 LR</v>
      </c>
      <c r="O2811" s="177" t="str">
        <f>IFERROR(__xludf.DUMMYFUNCTION("""COMPUTED_VALUE"""),"Midnight Silver Metallic")</f>
        <v>Midnight Silver Metallic</v>
      </c>
      <c r="P2811" s="178" t="str">
        <f>IFERROR(__xludf.DUMMYFUNCTION("""COMPUTED_VALUE"""),"18 inch Aero")</f>
        <v>18 inch Aero</v>
      </c>
      <c r="Q2811" s="177" t="str">
        <f>IFERROR(__xludf.DUMMYFUNCTION("""COMPUTED_VALUE"""),"Black seats")</f>
        <v>Black seats</v>
      </c>
      <c r="R2811" s="170" t="str">
        <f>IFERROR(__xludf.DUMMYFUNCTION("""COMPUTED_VALUE"""),"Enhanced Autopilot")</f>
        <v>Enhanced Autopilot</v>
      </c>
      <c r="S2811" s="170"/>
      <c r="T2811" s="179"/>
      <c r="U2811" s="179"/>
      <c r="V2811" s="179"/>
      <c r="W2811" s="180"/>
      <c r="X2811" s="181" t="str">
        <f>IFERROR(__xludf.DUMMYFUNCTION("""COMPUTED_VALUE"""),"Very Good")</f>
        <v>Very Good</v>
      </c>
      <c r="Y2811" s="182" t="str">
        <f>IFERROR(__xludf.DUMMYFUNCTION("""COMPUTED_VALUE"""),"Excellent")</f>
        <v>Excellent</v>
      </c>
      <c r="Z2811" s="182" t="str">
        <f>IFERROR(__xludf.DUMMYFUNCTION("""COMPUTED_VALUE"""),"Very Good")</f>
        <v>Very Good</v>
      </c>
      <c r="AA2811" s="182" t="str">
        <f>IFERROR(__xludf.DUMMYFUNCTION("""COMPUTED_VALUE"""),"Very Good")</f>
        <v>Very Good</v>
      </c>
      <c r="AB2811" s="182" t="str">
        <f>IFERROR(__xludf.DUMMYFUNCTION("""COMPUTED_VALUE"""),"Very Good")</f>
        <v>Very Good</v>
      </c>
      <c r="AC2811" s="183">
        <f>IFERROR(__xludf.DUMMYFUNCTION("""COMPUTED_VALUE"""),1.0)</f>
        <v>1</v>
      </c>
      <c r="AD2811" s="183">
        <f>IFERROR(__xludf.DUMMYFUNCTION("""COMPUTED_VALUE"""),1.0)</f>
        <v>1</v>
      </c>
      <c r="AE2811" s="183">
        <f>IFERROR(__xludf.DUMMYFUNCTION("""COMPUTED_VALUE"""),0.0)</f>
        <v>0</v>
      </c>
      <c r="AF2811" s="184"/>
      <c r="AG2811" s="180"/>
      <c r="AH2811" s="185">
        <f>IFERROR(__xludf.DUMMYFUNCTION("""COMPUTED_VALUE"""),43332.20777113426)</f>
        <v>43332.20777</v>
      </c>
      <c r="AI2811" s="182"/>
      <c r="AJ2811" s="182"/>
      <c r="AK2811" s="182"/>
      <c r="AL2811" s="182"/>
    </row>
    <row r="2812" ht="20.25" customHeight="1">
      <c r="A2812" s="169" t="str">
        <f>IFERROR(__xludf.DUMMYFUNCTION("""COMPUTED_VALUE"""),"CJSF2323")</f>
        <v>CJSF2323</v>
      </c>
      <c r="B2812" s="170" t="str">
        <f>IFERROR(__xludf.DUMMYFUNCTION("""COMPUTED_VALUE"""),"Pittsburgh")</f>
        <v>Pittsburgh</v>
      </c>
      <c r="C2812" s="170" t="str">
        <f>IFERROR(__xludf.DUMMYFUNCTION("""COMPUTED_VALUE"""),"PA")</f>
        <v>PA</v>
      </c>
      <c r="D2812" s="170" t="str">
        <f>IFERROR(__xludf.DUMMYFUNCTION("""COMPUTED_VALUE"""),"USA")</f>
        <v>USA</v>
      </c>
      <c r="E2812" s="171">
        <f>IFERROR(__xludf.DUMMYFUNCTION("""COMPUTED_VALUE"""),43280.0)</f>
        <v>43280</v>
      </c>
      <c r="F2812" s="172">
        <f>IFERROR(__xludf.DUMMYFUNCTION("""COMPUTED_VALUE"""),43409.0)</f>
        <v>43409</v>
      </c>
      <c r="G2812" s="173"/>
      <c r="H2812" s="174">
        <f>IFERROR(__xludf.DUMMYFUNCTION("""COMPUTED_VALUE"""),62755.0)</f>
        <v>62755</v>
      </c>
      <c r="I2812" s="175" t="str">
        <f>IFERROR(__xludf.DUMMYFUNCTION("""COMPUTED_VALUE"""),"11/18")</f>
        <v>11/18</v>
      </c>
      <c r="J2812" s="172">
        <f>IFERROR(__xludf.DUMMYFUNCTION("""COMPUTED_VALUE"""),43425.0)</f>
        <v>43425</v>
      </c>
      <c r="K2812" s="176">
        <f>IFERROR(__xludf.DUMMYFUNCTION("""COMPUTED_VALUE"""),129.0)</f>
        <v>129</v>
      </c>
      <c r="L2812" s="176">
        <f>IFERROR(__xludf.DUMMYFUNCTION("""COMPUTED_VALUE"""),16.0)</f>
        <v>16</v>
      </c>
      <c r="M2812" s="176">
        <f>IFERROR(__xludf.DUMMYFUNCTION("""COMPUTED_VALUE"""),145.0)</f>
        <v>145</v>
      </c>
      <c r="N2812" s="177" t="str">
        <f>IFERROR(__xludf.DUMMYFUNCTION("""COMPUTED_VALUE"""),"Model 3 LR")</f>
        <v>Model 3 LR</v>
      </c>
      <c r="O2812" s="177" t="str">
        <f>IFERROR(__xludf.DUMMYFUNCTION("""COMPUTED_VALUE"""),"Red Multi-Coat")</f>
        <v>Red Multi-Coat</v>
      </c>
      <c r="P2812" s="178" t="str">
        <f>IFERROR(__xludf.DUMMYFUNCTION("""COMPUTED_VALUE"""),"18 inch Aero")</f>
        <v>18 inch Aero</v>
      </c>
      <c r="Q2812" s="177" t="str">
        <f>IFERROR(__xludf.DUMMYFUNCTION("""COMPUTED_VALUE"""),"Black seats")</f>
        <v>Black seats</v>
      </c>
      <c r="R2812" s="170" t="str">
        <f>IFERROR(__xludf.DUMMYFUNCTION("""COMPUTED_VALUE"""),"Enhanced Autopilot")</f>
        <v>Enhanced Autopilot</v>
      </c>
      <c r="S2812" s="170"/>
      <c r="T2812" s="179"/>
      <c r="U2812" s="179"/>
      <c r="V2812" s="179"/>
      <c r="W2812" s="180"/>
      <c r="X2812" s="181" t="str">
        <f>IFERROR(__xludf.DUMMYFUNCTION("""COMPUTED_VALUE"""),"Excellent")</f>
        <v>Excellent</v>
      </c>
      <c r="Y2812" s="182" t="str">
        <f>IFERROR(__xludf.DUMMYFUNCTION("""COMPUTED_VALUE"""),"Excellent")</f>
        <v>Excellent</v>
      </c>
      <c r="Z2812" s="182" t="str">
        <f>IFERROR(__xludf.DUMMYFUNCTION("""COMPUTED_VALUE"""),"Excellent")</f>
        <v>Excellent</v>
      </c>
      <c r="AA2812" s="182" t="str">
        <f>IFERROR(__xludf.DUMMYFUNCTION("""COMPUTED_VALUE"""),"Excellent")</f>
        <v>Excellent</v>
      </c>
      <c r="AB2812" s="182" t="str">
        <f>IFERROR(__xludf.DUMMYFUNCTION("""COMPUTED_VALUE"""),"Excellent")</f>
        <v>Excellent</v>
      </c>
      <c r="AC2812" s="183"/>
      <c r="AD2812" s="183"/>
      <c r="AE2812" s="183"/>
      <c r="AF2812" s="184"/>
      <c r="AG2812" s="180"/>
      <c r="AH2812" s="185">
        <f>IFERROR(__xludf.DUMMYFUNCTION("""COMPUTED_VALUE"""),43428.354898275466)</f>
        <v>43428.3549</v>
      </c>
      <c r="AI2812" s="182"/>
      <c r="AJ2812" s="182"/>
      <c r="AK2812" s="182"/>
      <c r="AL2812" s="182"/>
    </row>
    <row r="2813" ht="20.25" customHeight="1">
      <c r="A2813" s="169" t="str">
        <f>IFERROR(__xludf.DUMMYFUNCTION("""COMPUTED_VALUE"""),"CrisL")</f>
        <v>CrisL</v>
      </c>
      <c r="B2813" s="170" t="str">
        <f>IFERROR(__xludf.DUMMYFUNCTION("""COMPUTED_VALUE"""),"Los Angeles")</f>
        <v>Los Angeles</v>
      </c>
      <c r="C2813" s="170" t="str">
        <f>IFERROR(__xludf.DUMMYFUNCTION("""COMPUTED_VALUE"""),"CA")</f>
        <v>CA</v>
      </c>
      <c r="D2813" s="170" t="str">
        <f>IFERROR(__xludf.DUMMYFUNCTION("""COMPUTED_VALUE"""),"USA")</f>
        <v>USA</v>
      </c>
      <c r="E2813" s="171">
        <f>IFERROR(__xludf.DUMMYFUNCTION("""COMPUTED_VALUE"""),43280.0)</f>
        <v>43280</v>
      </c>
      <c r="F2813" s="172">
        <f>IFERROR(__xludf.DUMMYFUNCTION("""COMPUTED_VALUE"""),43361.0)</f>
        <v>43361</v>
      </c>
      <c r="G2813" s="173"/>
      <c r="H2813" s="174">
        <f>IFERROR(__xludf.DUMMYFUNCTION("""COMPUTED_VALUE"""),77165.0)</f>
        <v>77165</v>
      </c>
      <c r="I2813" s="175" t="str">
        <f>IFERROR(__xludf.DUMMYFUNCTION("""COMPUTED_VALUE"""),"09/18")</f>
        <v>09/18</v>
      </c>
      <c r="J2813" s="172">
        <f>IFERROR(__xludf.DUMMYFUNCTION("""COMPUTED_VALUE"""),43363.0)</f>
        <v>43363</v>
      </c>
      <c r="K2813" s="176">
        <f>IFERROR(__xludf.DUMMYFUNCTION("""COMPUTED_VALUE"""),81.0)</f>
        <v>81</v>
      </c>
      <c r="L2813" s="176">
        <f>IFERROR(__xludf.DUMMYFUNCTION("""COMPUTED_VALUE"""),2.0)</f>
        <v>2</v>
      </c>
      <c r="M2813" s="176">
        <f>IFERROR(__xludf.DUMMYFUNCTION("""COMPUTED_VALUE"""),83.0)</f>
        <v>83</v>
      </c>
      <c r="N2813" s="177" t="str">
        <f>IFERROR(__xludf.DUMMYFUNCTION("""COMPUTED_VALUE"""),"Model 3 LR AWD")</f>
        <v>Model 3 LR AWD</v>
      </c>
      <c r="O2813" s="177" t="str">
        <f>IFERROR(__xludf.DUMMYFUNCTION("""COMPUTED_VALUE"""),"Obsidian Black Metallic")</f>
        <v>Obsidian Black Metallic</v>
      </c>
      <c r="P2813" s="178" t="str">
        <f>IFERROR(__xludf.DUMMYFUNCTION("""COMPUTED_VALUE"""),"18 inch Aero")</f>
        <v>18 inch Aero</v>
      </c>
      <c r="Q2813" s="177" t="str">
        <f>IFERROR(__xludf.DUMMYFUNCTION("""COMPUTED_VALUE"""),"Black seats")</f>
        <v>Black seats</v>
      </c>
      <c r="R2813" s="170" t="str">
        <f>IFERROR(__xludf.DUMMYFUNCTION("""COMPUTED_VALUE"""),"Full Self-Driving")</f>
        <v>Full Self-Driving</v>
      </c>
      <c r="S2813" s="170"/>
      <c r="T2813" s="179"/>
      <c r="U2813" s="179"/>
      <c r="V2813" s="179"/>
      <c r="W2813" s="180"/>
      <c r="X2813" s="181" t="str">
        <f>IFERROR(__xludf.DUMMYFUNCTION("""COMPUTED_VALUE"""),"Excellent")</f>
        <v>Excellent</v>
      </c>
      <c r="Y2813" s="182" t="str">
        <f>IFERROR(__xludf.DUMMYFUNCTION("""COMPUTED_VALUE"""),"Excellent")</f>
        <v>Excellent</v>
      </c>
      <c r="Z2813" s="182" t="str">
        <f>IFERROR(__xludf.DUMMYFUNCTION("""COMPUTED_VALUE"""),"Excellent")</f>
        <v>Excellent</v>
      </c>
      <c r="AA2813" s="182" t="str">
        <f>IFERROR(__xludf.DUMMYFUNCTION("""COMPUTED_VALUE"""),"Very Good")</f>
        <v>Very Good</v>
      </c>
      <c r="AB2813" s="182" t="str">
        <f>IFERROR(__xludf.DUMMYFUNCTION("""COMPUTED_VALUE"""),"Very Good")</f>
        <v>Very Good</v>
      </c>
      <c r="AC2813" s="183"/>
      <c r="AD2813" s="183"/>
      <c r="AE2813" s="183"/>
      <c r="AF2813" s="184"/>
      <c r="AG2813" s="180"/>
      <c r="AH2813" s="185">
        <f>IFERROR(__xludf.DUMMYFUNCTION("""COMPUTED_VALUE"""),43366.67338008102)</f>
        <v>43366.67338</v>
      </c>
      <c r="AI2813" s="182"/>
      <c r="AJ2813" s="182"/>
      <c r="AK2813" s="182"/>
      <c r="AL2813" s="182"/>
    </row>
    <row r="2814" ht="20.25" customHeight="1">
      <c r="A2814" s="169" t="str">
        <f>IFERROR(__xludf.DUMMYFUNCTION("""COMPUTED_VALUE"""),"da_man1980")</f>
        <v>da_man1980</v>
      </c>
      <c r="B2814" s="170" t="str">
        <f>IFERROR(__xludf.DUMMYFUNCTION("""COMPUTED_VALUE"""),"Boston")</f>
        <v>Boston</v>
      </c>
      <c r="C2814" s="170" t="str">
        <f>IFERROR(__xludf.DUMMYFUNCTION("""COMPUTED_VALUE"""),"MA")</f>
        <v>MA</v>
      </c>
      <c r="D2814" s="170" t="str">
        <f>IFERROR(__xludf.DUMMYFUNCTION("""COMPUTED_VALUE"""),"USA")</f>
        <v>USA</v>
      </c>
      <c r="E2814" s="171">
        <f>IFERROR(__xludf.DUMMYFUNCTION("""COMPUTED_VALUE"""),43280.0)</f>
        <v>43280</v>
      </c>
      <c r="F2814" s="172">
        <f>IFERROR(__xludf.DUMMYFUNCTION("""COMPUTED_VALUE"""),43357.0)</f>
        <v>43357</v>
      </c>
      <c r="G2814" s="173"/>
      <c r="H2814" s="174">
        <f>IFERROR(__xludf.DUMMYFUNCTION("""COMPUTED_VALUE"""),70655.0)</f>
        <v>70655</v>
      </c>
      <c r="I2814" s="175" t="str">
        <f>IFERROR(__xludf.DUMMYFUNCTION("""COMPUTED_VALUE"""),"09/18")</f>
        <v>09/18</v>
      </c>
      <c r="J2814" s="172">
        <f>IFERROR(__xludf.DUMMYFUNCTION("""COMPUTED_VALUE"""),43371.0)</f>
        <v>43371</v>
      </c>
      <c r="K2814" s="176">
        <f>IFERROR(__xludf.DUMMYFUNCTION("""COMPUTED_VALUE"""),77.0)</f>
        <v>77</v>
      </c>
      <c r="L2814" s="176">
        <f>IFERROR(__xludf.DUMMYFUNCTION("""COMPUTED_VALUE"""),14.0)</f>
        <v>14</v>
      </c>
      <c r="M2814" s="176">
        <f>IFERROR(__xludf.DUMMYFUNCTION("""COMPUTED_VALUE"""),91.0)</f>
        <v>91</v>
      </c>
      <c r="N2814" s="177" t="str">
        <f>IFERROR(__xludf.DUMMYFUNCTION("""COMPUTED_VALUE"""),"Model 3 LR AWD")</f>
        <v>Model 3 LR AWD</v>
      </c>
      <c r="O2814" s="177" t="str">
        <f>IFERROR(__xludf.DUMMYFUNCTION("""COMPUTED_VALUE"""),"Obsidian Black Metallic")</f>
        <v>Obsidian Black Metallic</v>
      </c>
      <c r="P2814" s="178" t="str">
        <f>IFERROR(__xludf.DUMMYFUNCTION("""COMPUTED_VALUE"""),"18 inch Aero")</f>
        <v>18 inch Aero</v>
      </c>
      <c r="Q2814" s="177" t="str">
        <f>IFERROR(__xludf.DUMMYFUNCTION("""COMPUTED_VALUE"""),"Black seats")</f>
        <v>Black seats</v>
      </c>
      <c r="R2814" s="170" t="str">
        <f>IFERROR(__xludf.DUMMYFUNCTION("""COMPUTED_VALUE"""),"Enhanced Autopilot")</f>
        <v>Enhanced Autopilot</v>
      </c>
      <c r="S2814" s="170"/>
      <c r="T2814" s="179"/>
      <c r="U2814" s="179"/>
      <c r="V2814" s="179"/>
      <c r="W2814" s="180"/>
      <c r="X2814" s="181" t="str">
        <f>IFERROR(__xludf.DUMMYFUNCTION("""COMPUTED_VALUE"""),"Excellent")</f>
        <v>Excellent</v>
      </c>
      <c r="Y2814" s="182" t="str">
        <f>IFERROR(__xludf.DUMMYFUNCTION("""COMPUTED_VALUE"""),"Excellent")</f>
        <v>Excellent</v>
      </c>
      <c r="Z2814" s="182" t="str">
        <f>IFERROR(__xludf.DUMMYFUNCTION("""COMPUTED_VALUE"""),"Excellent")</f>
        <v>Excellent</v>
      </c>
      <c r="AA2814" s="182" t="str">
        <f>IFERROR(__xludf.DUMMYFUNCTION("""COMPUTED_VALUE"""),"Very Good")</f>
        <v>Very Good</v>
      </c>
      <c r="AB2814" s="182" t="str">
        <f>IFERROR(__xludf.DUMMYFUNCTION("""COMPUTED_VALUE"""),"Good")</f>
        <v>Good</v>
      </c>
      <c r="AC2814" s="183">
        <f>IFERROR(__xludf.DUMMYFUNCTION("""COMPUTED_VALUE"""),0.0)</f>
        <v>0</v>
      </c>
      <c r="AD2814" s="183">
        <f>IFERROR(__xludf.DUMMYFUNCTION("""COMPUTED_VALUE"""),0.0)</f>
        <v>0</v>
      </c>
      <c r="AE2814" s="183">
        <f>IFERROR(__xludf.DUMMYFUNCTION("""COMPUTED_VALUE"""),0.0)</f>
        <v>0</v>
      </c>
      <c r="AF2814" s="184"/>
      <c r="AG2814" s="180"/>
      <c r="AH2814" s="185">
        <f>IFERROR(__xludf.DUMMYFUNCTION("""COMPUTED_VALUE"""),43379.44730907407)</f>
        <v>43379.44731</v>
      </c>
      <c r="AI2814" s="182"/>
      <c r="AJ2814" s="182"/>
      <c r="AK2814" s="182"/>
      <c r="AL2814" s="182"/>
    </row>
    <row r="2815" ht="20.25" customHeight="1">
      <c r="A2815" s="169" t="str">
        <f>IFERROR(__xludf.DUMMYFUNCTION("""COMPUTED_VALUE"""),"dark-stormy")</f>
        <v>dark-stormy</v>
      </c>
      <c r="B2815" s="170" t="str">
        <f>IFERROR(__xludf.DUMMYFUNCTION("""COMPUTED_VALUE"""),"Bay Area")</f>
        <v>Bay Area</v>
      </c>
      <c r="C2815" s="170" t="str">
        <f>IFERROR(__xludf.DUMMYFUNCTION("""COMPUTED_VALUE"""),"CA")</f>
        <v>CA</v>
      </c>
      <c r="D2815" s="170" t="str">
        <f>IFERROR(__xludf.DUMMYFUNCTION("""COMPUTED_VALUE"""),"USA")</f>
        <v>USA</v>
      </c>
      <c r="E2815" s="171">
        <f>IFERROR(__xludf.DUMMYFUNCTION("""COMPUTED_VALUE"""),43280.0)</f>
        <v>43280</v>
      </c>
      <c r="F2815" s="172">
        <f>IFERROR(__xludf.DUMMYFUNCTION("""COMPUTED_VALUE"""),43343.0)</f>
        <v>43343</v>
      </c>
      <c r="G2815" s="173"/>
      <c r="H2815" s="174">
        <f>IFERROR(__xludf.DUMMYFUNCTION("""COMPUTED_VALUE"""),68555.0)</f>
        <v>68555</v>
      </c>
      <c r="I2815" s="175"/>
      <c r="J2815" s="172">
        <f>IFERROR(__xludf.DUMMYFUNCTION("""COMPUTED_VALUE"""),43348.0)</f>
        <v>43348</v>
      </c>
      <c r="K2815" s="176">
        <f>IFERROR(__xludf.DUMMYFUNCTION("""COMPUTED_VALUE"""),63.0)</f>
        <v>63</v>
      </c>
      <c r="L2815" s="176">
        <f>IFERROR(__xludf.DUMMYFUNCTION("""COMPUTED_VALUE"""),5.0)</f>
        <v>5</v>
      </c>
      <c r="M2815" s="176">
        <f>IFERROR(__xludf.DUMMYFUNCTION("""COMPUTED_VALUE"""),68.0)</f>
        <v>68</v>
      </c>
      <c r="N2815" s="177" t="str">
        <f>IFERROR(__xludf.DUMMYFUNCTION("""COMPUTED_VALUE"""),"Model 3 LR AWD")</f>
        <v>Model 3 LR AWD</v>
      </c>
      <c r="O2815" s="177" t="str">
        <f>IFERROR(__xludf.DUMMYFUNCTION("""COMPUTED_VALUE"""),"Solid Black")</f>
        <v>Solid Black</v>
      </c>
      <c r="P2815" s="178" t="str">
        <f>IFERROR(__xludf.DUMMYFUNCTION("""COMPUTED_VALUE"""),"18 inch Aero")</f>
        <v>18 inch Aero</v>
      </c>
      <c r="Q2815" s="177" t="str">
        <f>IFERROR(__xludf.DUMMYFUNCTION("""COMPUTED_VALUE"""),"Black seats")</f>
        <v>Black seats</v>
      </c>
      <c r="R2815" s="170" t="str">
        <f>IFERROR(__xludf.DUMMYFUNCTION("""COMPUTED_VALUE"""),"Enhanced Autopilot")</f>
        <v>Enhanced Autopilot</v>
      </c>
      <c r="S2815" s="170"/>
      <c r="T2815" s="179"/>
      <c r="U2815" s="179"/>
      <c r="V2815" s="179"/>
      <c r="W2815" s="180"/>
      <c r="X2815" s="181" t="str">
        <f>IFERROR(__xludf.DUMMYFUNCTION("""COMPUTED_VALUE"""),"Excellent")</f>
        <v>Excellent</v>
      </c>
      <c r="Y2815" s="182" t="str">
        <f>IFERROR(__xludf.DUMMYFUNCTION("""COMPUTED_VALUE"""),"Excellent")</f>
        <v>Excellent</v>
      </c>
      <c r="Z2815" s="182" t="str">
        <f>IFERROR(__xludf.DUMMYFUNCTION("""COMPUTED_VALUE"""),"Very Good")</f>
        <v>Very Good</v>
      </c>
      <c r="AA2815" s="182" t="str">
        <f>IFERROR(__xludf.DUMMYFUNCTION("""COMPUTED_VALUE"""),"Very Good")</f>
        <v>Very Good</v>
      </c>
      <c r="AB2815" s="182" t="str">
        <f>IFERROR(__xludf.DUMMYFUNCTION("""COMPUTED_VALUE"""),"Excellent")</f>
        <v>Excellent</v>
      </c>
      <c r="AC2815" s="183"/>
      <c r="AD2815" s="183"/>
      <c r="AE2815" s="183"/>
      <c r="AF2815" s="184"/>
      <c r="AG2815" s="180" t="str">
        <f>IFERROR(__xludf.DUMMYFUNCTION("""COMPUTED_VALUE"""),"EAP was ordered at configuration but still not enabled at delivery +2 days")</f>
        <v>EAP was ordered at configuration but still not enabled at delivery +2 days</v>
      </c>
      <c r="AH2815" s="185">
        <f>IFERROR(__xludf.DUMMYFUNCTION("""COMPUTED_VALUE"""),43350.60806175926)</f>
        <v>43350.60806</v>
      </c>
      <c r="AI2815" s="182"/>
      <c r="AJ2815" s="182"/>
      <c r="AK2815" s="182"/>
      <c r="AL2815" s="182"/>
    </row>
    <row r="2816" ht="20.25" customHeight="1">
      <c r="A2816" s="169" t="str">
        <f>IFERROR(__xludf.DUMMYFUNCTION("""COMPUTED_VALUE"""),"Djimmy")</f>
        <v>Djimmy</v>
      </c>
      <c r="B2816" s="170"/>
      <c r="C2816" s="170" t="str">
        <f>IFERROR(__xludf.DUMMYFUNCTION("""COMPUTED_VALUE"""),"NJ")</f>
        <v>NJ</v>
      </c>
      <c r="D2816" s="170" t="str">
        <f>IFERROR(__xludf.DUMMYFUNCTION("""COMPUTED_VALUE"""),"USA")</f>
        <v>USA</v>
      </c>
      <c r="E2816" s="171">
        <f>IFERROR(__xludf.DUMMYFUNCTION("""COMPUTED_VALUE"""),43280.0)</f>
        <v>43280</v>
      </c>
      <c r="F2816" s="172">
        <f>IFERROR(__xludf.DUMMYFUNCTION("""COMPUTED_VALUE"""),43313.0)</f>
        <v>43313</v>
      </c>
      <c r="G2816" s="173"/>
      <c r="H2816" s="174">
        <f>IFERROR(__xludf.DUMMYFUNCTION("""COMPUTED_VALUE"""),55055.0)</f>
        <v>55055</v>
      </c>
      <c r="I2816" s="175" t="str">
        <f>IFERROR(__xludf.DUMMYFUNCTION("""COMPUTED_VALUE"""),"08/18")</f>
        <v>08/18</v>
      </c>
      <c r="J2816" s="172">
        <f>IFERROR(__xludf.DUMMYFUNCTION("""COMPUTED_VALUE"""),43353.0)</f>
        <v>43353</v>
      </c>
      <c r="K2816" s="176">
        <f>IFERROR(__xludf.DUMMYFUNCTION("""COMPUTED_VALUE"""),33.0)</f>
        <v>33</v>
      </c>
      <c r="L2816" s="176">
        <f>IFERROR(__xludf.DUMMYFUNCTION("""COMPUTED_VALUE"""),40.0)</f>
        <v>40</v>
      </c>
      <c r="M2816" s="176">
        <f>IFERROR(__xludf.DUMMYFUNCTION("""COMPUTED_VALUE"""),73.0)</f>
        <v>73</v>
      </c>
      <c r="N2816" s="177" t="str">
        <f>IFERROR(__xludf.DUMMYFUNCTION("""COMPUTED_VALUE"""),"Model 3 LR AWD")</f>
        <v>Model 3 LR AWD</v>
      </c>
      <c r="O2816" s="177" t="str">
        <f>IFERROR(__xludf.DUMMYFUNCTION("""COMPUTED_VALUE"""),"Red Multi-Coat")</f>
        <v>Red Multi-Coat</v>
      </c>
      <c r="P2816" s="178" t="str">
        <f>IFERROR(__xludf.DUMMYFUNCTION("""COMPUTED_VALUE"""),"18 inch Aero")</f>
        <v>18 inch Aero</v>
      </c>
      <c r="Q2816" s="177" t="str">
        <f>IFERROR(__xludf.DUMMYFUNCTION("""COMPUTED_VALUE"""),"Black seats")</f>
        <v>Black seats</v>
      </c>
      <c r="R2816" s="170" t="str">
        <f>IFERROR(__xludf.DUMMYFUNCTION("""COMPUTED_VALUE"""),"Full Self-Driving")</f>
        <v>Full Self-Driving</v>
      </c>
      <c r="S2816" s="170"/>
      <c r="T2816" s="179"/>
      <c r="U2816" s="179"/>
      <c r="V2816" s="179"/>
      <c r="W2816" s="180"/>
      <c r="X2816" s="181" t="str">
        <f>IFERROR(__xludf.DUMMYFUNCTION("""COMPUTED_VALUE"""),"Excellent")</f>
        <v>Excellent</v>
      </c>
      <c r="Y2816" s="182" t="str">
        <f>IFERROR(__xludf.DUMMYFUNCTION("""COMPUTED_VALUE"""),"Very Good")</f>
        <v>Very Good</v>
      </c>
      <c r="Z2816" s="182" t="str">
        <f>IFERROR(__xludf.DUMMYFUNCTION("""COMPUTED_VALUE"""),"Very Good")</f>
        <v>Very Good</v>
      </c>
      <c r="AA2816" s="182" t="str">
        <f>IFERROR(__xludf.DUMMYFUNCTION("""COMPUTED_VALUE"""),"Excellent")</f>
        <v>Excellent</v>
      </c>
      <c r="AB2816" s="182" t="str">
        <f>IFERROR(__xludf.DUMMYFUNCTION("""COMPUTED_VALUE"""),"Very Good")</f>
        <v>Very Good</v>
      </c>
      <c r="AC2816" s="183">
        <f>IFERROR(__xludf.DUMMYFUNCTION("""COMPUTED_VALUE"""),0.0)</f>
        <v>0</v>
      </c>
      <c r="AD2816" s="183">
        <f>IFERROR(__xludf.DUMMYFUNCTION("""COMPUTED_VALUE"""),0.0)</f>
        <v>0</v>
      </c>
      <c r="AE2816" s="183">
        <f>IFERROR(__xludf.DUMMYFUNCTION("""COMPUTED_VALUE"""),0.0)</f>
        <v>0</v>
      </c>
      <c r="AF2816" s="184"/>
      <c r="AG2816" s="180"/>
      <c r="AH2816" s="185">
        <f>IFERROR(__xludf.DUMMYFUNCTION("""COMPUTED_VALUE"""),43362.13345623842)</f>
        <v>43362.13346</v>
      </c>
      <c r="AI2816" s="182"/>
      <c r="AJ2816" s="182"/>
      <c r="AK2816" s="182"/>
      <c r="AL2816" s="182"/>
    </row>
    <row r="2817" ht="20.25" customHeight="1">
      <c r="A2817" s="169" t="str">
        <f>IFERROR(__xludf.DUMMYFUNCTION("""COMPUTED_VALUE"""),"dl")</f>
        <v>dl</v>
      </c>
      <c r="B2817" s="170" t="str">
        <f>IFERROR(__xludf.DUMMYFUNCTION("""COMPUTED_VALUE"""),"bay area")</f>
        <v>bay area</v>
      </c>
      <c r="C2817" s="170" t="str">
        <f>IFERROR(__xludf.DUMMYFUNCTION("""COMPUTED_VALUE"""),"CA")</f>
        <v>CA</v>
      </c>
      <c r="D2817" s="170" t="str">
        <f>IFERROR(__xludf.DUMMYFUNCTION("""COMPUTED_VALUE"""),"USA")</f>
        <v>USA</v>
      </c>
      <c r="E2817" s="171">
        <f>IFERROR(__xludf.DUMMYFUNCTION("""COMPUTED_VALUE"""),43280.0)</f>
        <v>43280</v>
      </c>
      <c r="F2817" s="172">
        <f>IFERROR(__xludf.DUMMYFUNCTION("""COMPUTED_VALUE"""),43355.0)</f>
        <v>43355</v>
      </c>
      <c r="G2817" s="173"/>
      <c r="H2817" s="174">
        <f>IFERROR(__xludf.DUMMYFUNCTION("""COMPUTED_VALUE"""),100555.0)</f>
        <v>100555</v>
      </c>
      <c r="I2817" s="175" t="str">
        <f>IFERROR(__xludf.DUMMYFUNCTION("""COMPUTED_VALUE"""),"09/18")</f>
        <v>09/18</v>
      </c>
      <c r="J2817" s="172">
        <f>IFERROR(__xludf.DUMMYFUNCTION("""COMPUTED_VALUE"""),43370.0)</f>
        <v>43370</v>
      </c>
      <c r="K2817" s="176">
        <f>IFERROR(__xludf.DUMMYFUNCTION("""COMPUTED_VALUE"""),75.0)</f>
        <v>75</v>
      </c>
      <c r="L2817" s="176">
        <f>IFERROR(__xludf.DUMMYFUNCTION("""COMPUTED_VALUE"""),15.0)</f>
        <v>15</v>
      </c>
      <c r="M2817" s="176">
        <f>IFERROR(__xludf.DUMMYFUNCTION("""COMPUTED_VALUE"""),90.0)</f>
        <v>90</v>
      </c>
      <c r="N2817" s="177" t="str">
        <f>IFERROR(__xludf.DUMMYFUNCTION("""COMPUTED_VALUE"""),"Model 3 LR AWD")</f>
        <v>Model 3 LR AWD</v>
      </c>
      <c r="O2817" s="177" t="str">
        <f>IFERROR(__xludf.DUMMYFUNCTION("""COMPUTED_VALUE"""),"Midnight Silver Metallic")</f>
        <v>Midnight Silver Metallic</v>
      </c>
      <c r="P2817" s="178" t="str">
        <f>IFERROR(__xludf.DUMMYFUNCTION("""COMPUTED_VALUE"""),"19 inch Sport")</f>
        <v>19 inch Sport</v>
      </c>
      <c r="Q2817" s="177" t="str">
        <f>IFERROR(__xludf.DUMMYFUNCTION("""COMPUTED_VALUE"""),"White seats")</f>
        <v>White seats</v>
      </c>
      <c r="R2817" s="170" t="str">
        <f>IFERROR(__xludf.DUMMYFUNCTION("""COMPUTED_VALUE"""),"None")</f>
        <v>None</v>
      </c>
      <c r="S2817" s="170"/>
      <c r="T2817" s="179"/>
      <c r="U2817" s="179"/>
      <c r="V2817" s="179"/>
      <c r="W2817" s="180"/>
      <c r="X2817" s="181" t="str">
        <f>IFERROR(__xludf.DUMMYFUNCTION("""COMPUTED_VALUE"""),"Very Good")</f>
        <v>Very Good</v>
      </c>
      <c r="Y2817" s="182" t="str">
        <f>IFERROR(__xludf.DUMMYFUNCTION("""COMPUTED_VALUE"""),"Good")</f>
        <v>Good</v>
      </c>
      <c r="Z2817" s="182" t="str">
        <f>IFERROR(__xludf.DUMMYFUNCTION("""COMPUTED_VALUE"""),"Excellent")</f>
        <v>Excellent</v>
      </c>
      <c r="AA2817" s="182" t="str">
        <f>IFERROR(__xludf.DUMMYFUNCTION("""COMPUTED_VALUE"""),"Poor")</f>
        <v>Poor</v>
      </c>
      <c r="AB2817" s="182" t="str">
        <f>IFERROR(__xludf.DUMMYFUNCTION("""COMPUTED_VALUE"""),"Excellent")</f>
        <v>Excellent</v>
      </c>
      <c r="AC2817" s="183">
        <f>IFERROR(__xludf.DUMMYFUNCTION("""COMPUTED_VALUE"""),1.0)</f>
        <v>1</v>
      </c>
      <c r="AD2817" s="183">
        <f>IFERROR(__xludf.DUMMYFUNCTION("""COMPUTED_VALUE"""),1.0)</f>
        <v>1</v>
      </c>
      <c r="AE2817" s="183"/>
      <c r="AF2817" s="184"/>
      <c r="AG2817" s="180"/>
      <c r="AH2817" s="185">
        <f>IFERROR(__xludf.DUMMYFUNCTION("""COMPUTED_VALUE"""),43371.68709525463)</f>
        <v>43371.6871</v>
      </c>
      <c r="AI2817" s="182"/>
      <c r="AJ2817" s="182"/>
      <c r="AK2817" s="182"/>
      <c r="AL2817" s="182"/>
    </row>
    <row r="2818" ht="20.25" customHeight="1">
      <c r="A2818" s="169" t="str">
        <f>IFERROR(__xludf.DUMMYFUNCTION("""COMPUTED_VALUE"""),"drgoks")</f>
        <v>drgoks</v>
      </c>
      <c r="B2818" s="170" t="str">
        <f>IFERROR(__xludf.DUMMYFUNCTION("""COMPUTED_VALUE"""),"Greensboro")</f>
        <v>Greensboro</v>
      </c>
      <c r="C2818" s="170" t="str">
        <f>IFERROR(__xludf.DUMMYFUNCTION("""COMPUTED_VALUE"""),"NC")</f>
        <v>NC</v>
      </c>
      <c r="D2818" s="170" t="str">
        <f>IFERROR(__xludf.DUMMYFUNCTION("""COMPUTED_VALUE"""),"USA")</f>
        <v>USA</v>
      </c>
      <c r="E2818" s="171">
        <f>IFERROR(__xludf.DUMMYFUNCTION("""COMPUTED_VALUE"""),43280.0)</f>
        <v>43280</v>
      </c>
      <c r="F2818" s="172">
        <f>IFERROR(__xludf.DUMMYFUNCTION("""COMPUTED_VALUE"""),43332.0)</f>
        <v>43332</v>
      </c>
      <c r="G2818" s="173"/>
      <c r="H2818" s="174">
        <f>IFERROR(__xludf.DUMMYFUNCTION("""COMPUTED_VALUE"""),66255.0)</f>
        <v>66255</v>
      </c>
      <c r="I2818" s="175" t="str">
        <f>IFERROR(__xludf.DUMMYFUNCTION("""COMPUTED_VALUE"""),"08/18")</f>
        <v>08/18</v>
      </c>
      <c r="J2818" s="172">
        <f>IFERROR(__xludf.DUMMYFUNCTION("""COMPUTED_VALUE"""),43344.0)</f>
        <v>43344</v>
      </c>
      <c r="K2818" s="176">
        <f>IFERROR(__xludf.DUMMYFUNCTION("""COMPUTED_VALUE"""),52.0)</f>
        <v>52</v>
      </c>
      <c r="L2818" s="176">
        <f>IFERROR(__xludf.DUMMYFUNCTION("""COMPUTED_VALUE"""),12.0)</f>
        <v>12</v>
      </c>
      <c r="M2818" s="176">
        <f>IFERROR(__xludf.DUMMYFUNCTION("""COMPUTED_VALUE"""),64.0)</f>
        <v>64</v>
      </c>
      <c r="N2818" s="177" t="str">
        <f>IFERROR(__xludf.DUMMYFUNCTION("""COMPUTED_VALUE"""),"Model 3 LR AWD")</f>
        <v>Model 3 LR AWD</v>
      </c>
      <c r="O2818" s="177" t="str">
        <f>IFERROR(__xludf.DUMMYFUNCTION("""COMPUTED_VALUE"""),"Midnight Silver Metallic")</f>
        <v>Midnight Silver Metallic</v>
      </c>
      <c r="P2818" s="178" t="str">
        <f>IFERROR(__xludf.DUMMYFUNCTION("""COMPUTED_VALUE"""),"18 inch Aero")</f>
        <v>18 inch Aero</v>
      </c>
      <c r="Q2818" s="177" t="str">
        <f>IFERROR(__xludf.DUMMYFUNCTION("""COMPUTED_VALUE"""),"Black seats")</f>
        <v>Black seats</v>
      </c>
      <c r="R2818" s="170" t="str">
        <f>IFERROR(__xludf.DUMMYFUNCTION("""COMPUTED_VALUE"""),"Enhanced Autopilot")</f>
        <v>Enhanced Autopilot</v>
      </c>
      <c r="S2818" s="170"/>
      <c r="T2818" s="179"/>
      <c r="U2818" s="179"/>
      <c r="V2818" s="179"/>
      <c r="W2818" s="180"/>
      <c r="X2818" s="181" t="str">
        <f>IFERROR(__xludf.DUMMYFUNCTION("""COMPUTED_VALUE"""),"Excellent")</f>
        <v>Excellent</v>
      </c>
      <c r="Y2818" s="182" t="str">
        <f>IFERROR(__xludf.DUMMYFUNCTION("""COMPUTED_VALUE"""),"Excellent")</f>
        <v>Excellent</v>
      </c>
      <c r="Z2818" s="182" t="str">
        <f>IFERROR(__xludf.DUMMYFUNCTION("""COMPUTED_VALUE"""),"Very Good")</f>
        <v>Very Good</v>
      </c>
      <c r="AA2818" s="182" t="str">
        <f>IFERROR(__xludf.DUMMYFUNCTION("""COMPUTED_VALUE"""),"Excellent")</f>
        <v>Excellent</v>
      </c>
      <c r="AB2818" s="182" t="str">
        <f>IFERROR(__xludf.DUMMYFUNCTION("""COMPUTED_VALUE"""),"Very Good")</f>
        <v>Very Good</v>
      </c>
      <c r="AC2818" s="183"/>
      <c r="AD2818" s="183"/>
      <c r="AE2818" s="183"/>
      <c r="AF2818" s="184"/>
      <c r="AG2818" s="180"/>
      <c r="AH2818" s="185">
        <f>IFERROR(__xludf.DUMMYFUNCTION("""COMPUTED_VALUE"""),43344.698985243056)</f>
        <v>43344.69899</v>
      </c>
      <c r="AI2818" s="182"/>
      <c r="AJ2818" s="182"/>
      <c r="AK2818" s="182"/>
      <c r="AL2818" s="182"/>
    </row>
    <row r="2819" ht="20.25" customHeight="1">
      <c r="A2819" s="169" t="str">
        <f>IFERROR(__xludf.DUMMYFUNCTION("""COMPUTED_VALUE"""),"dysruptor")</f>
        <v>dysruptor</v>
      </c>
      <c r="B2819" s="170" t="str">
        <f>IFERROR(__xludf.DUMMYFUNCTION("""COMPUTED_VALUE"""),"Greenville")</f>
        <v>Greenville</v>
      </c>
      <c r="C2819" s="170" t="str">
        <f>IFERROR(__xludf.DUMMYFUNCTION("""COMPUTED_VALUE"""),"SC")</f>
        <v>SC</v>
      </c>
      <c r="D2819" s="170" t="str">
        <f>IFERROR(__xludf.DUMMYFUNCTION("""COMPUTED_VALUE"""),"USA")</f>
        <v>USA</v>
      </c>
      <c r="E2819" s="171">
        <f>IFERROR(__xludf.DUMMYFUNCTION("""COMPUTED_VALUE"""),43280.0)</f>
        <v>43280</v>
      </c>
      <c r="F2819" s="172">
        <f>IFERROR(__xludf.DUMMYFUNCTION("""COMPUTED_VALUE"""),43290.0)</f>
        <v>43290</v>
      </c>
      <c r="G2819" s="173"/>
      <c r="H2819" s="174">
        <f>IFERROR(__xludf.DUMMYFUNCTION("""COMPUTED_VALUE"""),24215.0)</f>
        <v>24215</v>
      </c>
      <c r="I2819" s="175" t="str">
        <f>IFERROR(__xludf.DUMMYFUNCTION("""COMPUTED_VALUE"""),"06/18")</f>
        <v>06/18</v>
      </c>
      <c r="J2819" s="172">
        <f>IFERROR(__xludf.DUMMYFUNCTION("""COMPUTED_VALUE"""),43305.0)</f>
        <v>43305</v>
      </c>
      <c r="K2819" s="176">
        <f>IFERROR(__xludf.DUMMYFUNCTION("""COMPUTED_VALUE"""),10.0)</f>
        <v>10</v>
      </c>
      <c r="L2819" s="176">
        <f>IFERROR(__xludf.DUMMYFUNCTION("""COMPUTED_VALUE"""),15.0)</f>
        <v>15</v>
      </c>
      <c r="M2819" s="176">
        <f>IFERROR(__xludf.DUMMYFUNCTION("""COMPUTED_VALUE"""),25.0)</f>
        <v>25</v>
      </c>
      <c r="N2819" s="177" t="str">
        <f>IFERROR(__xludf.DUMMYFUNCTION("""COMPUTED_VALUE"""),"Model 3 LR")</f>
        <v>Model 3 LR</v>
      </c>
      <c r="O2819" s="177" t="str">
        <f>IFERROR(__xludf.DUMMYFUNCTION("""COMPUTED_VALUE"""),"Midnight Silver Metallic")</f>
        <v>Midnight Silver Metallic</v>
      </c>
      <c r="P2819" s="178" t="str">
        <f>IFERROR(__xludf.DUMMYFUNCTION("""COMPUTED_VALUE"""),"19 inch Sport")</f>
        <v>19 inch Sport</v>
      </c>
      <c r="Q2819" s="177" t="str">
        <f>IFERROR(__xludf.DUMMYFUNCTION("""COMPUTED_VALUE"""),"Black seats")</f>
        <v>Black seats</v>
      </c>
      <c r="R2819" s="170" t="str">
        <f>IFERROR(__xludf.DUMMYFUNCTION("""COMPUTED_VALUE"""),"Enhanced Autopilot")</f>
        <v>Enhanced Autopilot</v>
      </c>
      <c r="S2819" s="170"/>
      <c r="T2819" s="179"/>
      <c r="U2819" s="179"/>
      <c r="V2819" s="179"/>
      <c r="W2819" s="180"/>
      <c r="X2819" s="181" t="str">
        <f>IFERROR(__xludf.DUMMYFUNCTION("""COMPUTED_VALUE"""),"Good")</f>
        <v>Good</v>
      </c>
      <c r="Y2819" s="182" t="str">
        <f>IFERROR(__xludf.DUMMYFUNCTION("""COMPUTED_VALUE"""),"Excellent")</f>
        <v>Excellent</v>
      </c>
      <c r="Z2819" s="182" t="str">
        <f>IFERROR(__xludf.DUMMYFUNCTION("""COMPUTED_VALUE"""),"Fair")</f>
        <v>Fair</v>
      </c>
      <c r="AA2819" s="182" t="str">
        <f>IFERROR(__xludf.DUMMYFUNCTION("""COMPUTED_VALUE"""),"Fair")</f>
        <v>Fair</v>
      </c>
      <c r="AB2819" s="182" t="str">
        <f>IFERROR(__xludf.DUMMYFUNCTION("""COMPUTED_VALUE"""),"Very Good")</f>
        <v>Very Good</v>
      </c>
      <c r="AC2819" s="183">
        <f>IFERROR(__xludf.DUMMYFUNCTION("""COMPUTED_VALUE"""),3.0)</f>
        <v>3</v>
      </c>
      <c r="AD2819" s="183">
        <f>IFERROR(__xludf.DUMMYFUNCTION("""COMPUTED_VALUE"""),1.0)</f>
        <v>1</v>
      </c>
      <c r="AE2819" s="183"/>
      <c r="AF2819" s="184"/>
      <c r="AG2819" s="180"/>
      <c r="AH2819" s="185">
        <f>IFERROR(__xludf.DUMMYFUNCTION("""COMPUTED_VALUE"""),43307.649099409726)</f>
        <v>43307.6491</v>
      </c>
      <c r="AI2819" s="182"/>
      <c r="AJ2819" s="182"/>
      <c r="AK2819" s="182"/>
      <c r="AL2819" s="182"/>
    </row>
    <row r="2820" ht="20.25" customHeight="1">
      <c r="A2820" s="169" t="str">
        <f>IFERROR(__xludf.DUMMYFUNCTION("""COMPUTED_VALUE"""),"evannole")</f>
        <v>evannole</v>
      </c>
      <c r="B2820" s="170" t="str">
        <f>IFERROR(__xludf.DUMMYFUNCTION("""COMPUTED_VALUE"""),"Marietta")</f>
        <v>Marietta</v>
      </c>
      <c r="C2820" s="170" t="str">
        <f>IFERROR(__xludf.DUMMYFUNCTION("""COMPUTED_VALUE"""),"GA")</f>
        <v>GA</v>
      </c>
      <c r="D2820" s="170" t="str">
        <f>IFERROR(__xludf.DUMMYFUNCTION("""COMPUTED_VALUE"""),"USA")</f>
        <v>USA</v>
      </c>
      <c r="E2820" s="171">
        <f>IFERROR(__xludf.DUMMYFUNCTION("""COMPUTED_VALUE"""),43280.0)</f>
        <v>43280</v>
      </c>
      <c r="F2820" s="172">
        <f>IFERROR(__xludf.DUMMYFUNCTION("""COMPUTED_VALUE"""),43287.0)</f>
        <v>43287</v>
      </c>
      <c r="G2820" s="173"/>
      <c r="H2820" s="174">
        <f>IFERROR(__xludf.DUMMYFUNCTION("""COMPUTED_VALUE"""),33855.0)</f>
        <v>33855</v>
      </c>
      <c r="I2820" s="175" t="str">
        <f>IFERROR(__xludf.DUMMYFUNCTION("""COMPUTED_VALUE"""),"06/18")</f>
        <v>06/18</v>
      </c>
      <c r="J2820" s="172">
        <f>IFERROR(__xludf.DUMMYFUNCTION("""COMPUTED_VALUE"""),43294.0)</f>
        <v>43294</v>
      </c>
      <c r="K2820" s="176">
        <f>IFERROR(__xludf.DUMMYFUNCTION("""COMPUTED_VALUE"""),7.0)</f>
        <v>7</v>
      </c>
      <c r="L2820" s="176">
        <f>IFERROR(__xludf.DUMMYFUNCTION("""COMPUTED_VALUE"""),7.0)</f>
        <v>7</v>
      </c>
      <c r="M2820" s="176">
        <f>IFERROR(__xludf.DUMMYFUNCTION("""COMPUTED_VALUE"""),14.0)</f>
        <v>14</v>
      </c>
      <c r="N2820" s="177" t="str">
        <f>IFERROR(__xludf.DUMMYFUNCTION("""COMPUTED_VALUE"""),"Model 3 LR")</f>
        <v>Model 3 LR</v>
      </c>
      <c r="O2820" s="177" t="str">
        <f>IFERROR(__xludf.DUMMYFUNCTION("""COMPUTED_VALUE"""),"Midnight Silver Metallic")</f>
        <v>Midnight Silver Metallic</v>
      </c>
      <c r="P2820" s="178" t="str">
        <f>IFERROR(__xludf.DUMMYFUNCTION("""COMPUTED_VALUE"""),"18 inch Aero")</f>
        <v>18 inch Aero</v>
      </c>
      <c r="Q2820" s="177" t="str">
        <f>IFERROR(__xludf.DUMMYFUNCTION("""COMPUTED_VALUE"""),"Black seats")</f>
        <v>Black seats</v>
      </c>
      <c r="R2820" s="170" t="str">
        <f>IFERROR(__xludf.DUMMYFUNCTION("""COMPUTED_VALUE"""),"Enhanced Autopilot")</f>
        <v>Enhanced Autopilot</v>
      </c>
      <c r="S2820" s="170"/>
      <c r="T2820" s="179"/>
      <c r="U2820" s="179"/>
      <c r="V2820" s="179"/>
      <c r="W2820" s="180"/>
      <c r="X2820" s="181" t="str">
        <f>IFERROR(__xludf.DUMMYFUNCTION("""COMPUTED_VALUE"""),"Excellent")</f>
        <v>Excellent</v>
      </c>
      <c r="Y2820" s="182" t="str">
        <f>IFERROR(__xludf.DUMMYFUNCTION("""COMPUTED_VALUE"""),"Excellent")</f>
        <v>Excellent</v>
      </c>
      <c r="Z2820" s="182" t="str">
        <f>IFERROR(__xludf.DUMMYFUNCTION("""COMPUTED_VALUE"""),"Excellent")</f>
        <v>Excellent</v>
      </c>
      <c r="AA2820" s="182" t="str">
        <f>IFERROR(__xludf.DUMMYFUNCTION("""COMPUTED_VALUE"""),"Very Good")</f>
        <v>Very Good</v>
      </c>
      <c r="AB2820" s="182" t="str">
        <f>IFERROR(__xludf.DUMMYFUNCTION("""COMPUTED_VALUE"""),"Very Good")</f>
        <v>Very Good</v>
      </c>
      <c r="AC2820" s="183"/>
      <c r="AD2820" s="183"/>
      <c r="AE2820" s="183"/>
      <c r="AF2820" s="184"/>
      <c r="AG2820" s="180"/>
      <c r="AH2820" s="185">
        <f>IFERROR(__xludf.DUMMYFUNCTION("""COMPUTED_VALUE"""),43312.71838466435)</f>
        <v>43312.71838</v>
      </c>
      <c r="AI2820" s="182"/>
      <c r="AJ2820" s="182"/>
      <c r="AK2820" s="182"/>
      <c r="AL2820" s="182"/>
    </row>
    <row r="2821" ht="20.25" customHeight="1">
      <c r="A2821" s="169" t="str">
        <f>IFERROR(__xludf.DUMMYFUNCTION("""COMPUTED_VALUE"""),"fisherking")</f>
        <v>fisherking</v>
      </c>
      <c r="B2821" s="170" t="str">
        <f>IFERROR(__xludf.DUMMYFUNCTION("""COMPUTED_VALUE"""),"Dallas")</f>
        <v>Dallas</v>
      </c>
      <c r="C2821" s="170" t="str">
        <f>IFERROR(__xludf.DUMMYFUNCTION("""COMPUTED_VALUE"""),"TX")</f>
        <v>TX</v>
      </c>
      <c r="D2821" s="170" t="str">
        <f>IFERROR(__xludf.DUMMYFUNCTION("""COMPUTED_VALUE"""),"USA")</f>
        <v>USA</v>
      </c>
      <c r="E2821" s="171">
        <f>IFERROR(__xludf.DUMMYFUNCTION("""COMPUTED_VALUE"""),43280.0)</f>
        <v>43280</v>
      </c>
      <c r="F2821" s="172"/>
      <c r="G2821" s="173"/>
      <c r="H2821" s="174">
        <f>IFERROR(__xludf.DUMMYFUNCTION("""COMPUTED_VALUE"""),89755.0)</f>
        <v>89755</v>
      </c>
      <c r="I2821" s="175" t="str">
        <f>IFERROR(__xludf.DUMMYFUNCTION("""COMPUTED_VALUE"""),"10/18")</f>
        <v>10/18</v>
      </c>
      <c r="J2821" s="172">
        <f>IFERROR(__xludf.DUMMYFUNCTION("""COMPUTED_VALUE"""),43406.0)</f>
        <v>43406</v>
      </c>
      <c r="K2821" s="176"/>
      <c r="L2821" s="176"/>
      <c r="M2821" s="176">
        <f>IFERROR(__xludf.DUMMYFUNCTION("""COMPUTED_VALUE"""),126.0)</f>
        <v>126</v>
      </c>
      <c r="N2821" s="177" t="str">
        <f>IFERROR(__xludf.DUMMYFUNCTION("""COMPUTED_VALUE"""),"Model 3 LR AWD")</f>
        <v>Model 3 LR AWD</v>
      </c>
      <c r="O2821" s="177" t="str">
        <f>IFERROR(__xludf.DUMMYFUNCTION("""COMPUTED_VALUE"""),"Midnight Silver Metallic")</f>
        <v>Midnight Silver Metallic</v>
      </c>
      <c r="P2821" s="178" t="str">
        <f>IFERROR(__xludf.DUMMYFUNCTION("""COMPUTED_VALUE"""),"18 inch Aero")</f>
        <v>18 inch Aero</v>
      </c>
      <c r="Q2821" s="177" t="str">
        <f>IFERROR(__xludf.DUMMYFUNCTION("""COMPUTED_VALUE"""),"Black seats")</f>
        <v>Black seats</v>
      </c>
      <c r="R2821" s="170" t="str">
        <f>IFERROR(__xludf.DUMMYFUNCTION("""COMPUTED_VALUE"""),"Full Self-Driving")</f>
        <v>Full Self-Driving</v>
      </c>
      <c r="S2821" s="170"/>
      <c r="T2821" s="179"/>
      <c r="U2821" s="179"/>
      <c r="V2821" s="179"/>
      <c r="W2821" s="180"/>
      <c r="X2821" s="181" t="str">
        <f>IFERROR(__xludf.DUMMYFUNCTION("""COMPUTED_VALUE"""),"Excellent")</f>
        <v>Excellent</v>
      </c>
      <c r="Y2821" s="182" t="str">
        <f>IFERROR(__xludf.DUMMYFUNCTION("""COMPUTED_VALUE"""),"Excellent")</f>
        <v>Excellent</v>
      </c>
      <c r="Z2821" s="182" t="str">
        <f>IFERROR(__xludf.DUMMYFUNCTION("""COMPUTED_VALUE"""),"Good")</f>
        <v>Good</v>
      </c>
      <c r="AA2821" s="182" t="str">
        <f>IFERROR(__xludf.DUMMYFUNCTION("""COMPUTED_VALUE"""),"Very Good")</f>
        <v>Very Good</v>
      </c>
      <c r="AB2821" s="182" t="str">
        <f>IFERROR(__xludf.DUMMYFUNCTION("""COMPUTED_VALUE"""),"Very Good")</f>
        <v>Very Good</v>
      </c>
      <c r="AC2821" s="183">
        <f>IFERROR(__xludf.DUMMYFUNCTION("""COMPUTED_VALUE"""),3.0)</f>
        <v>3</v>
      </c>
      <c r="AD2821" s="183"/>
      <c r="AE2821" s="183"/>
      <c r="AF2821" s="184"/>
      <c r="AG2821" s="180"/>
      <c r="AH2821" s="185">
        <f>IFERROR(__xludf.DUMMYFUNCTION("""COMPUTED_VALUE"""),43407.85436087963)</f>
        <v>43407.85436</v>
      </c>
      <c r="AI2821" s="182"/>
      <c r="AJ2821" s="182"/>
      <c r="AK2821" s="182"/>
      <c r="AL2821" s="182"/>
    </row>
    <row r="2822" ht="20.25" customHeight="1">
      <c r="A2822" s="169" t="str">
        <f>IFERROR(__xludf.DUMMYFUNCTION("""COMPUTED_VALUE"""),"flatcoke")</f>
        <v>flatcoke</v>
      </c>
      <c r="B2822" s="170" t="str">
        <f>IFERROR(__xludf.DUMMYFUNCTION("""COMPUTED_VALUE"""),"WEST METRO")</f>
        <v>WEST METRO</v>
      </c>
      <c r="C2822" s="170" t="str">
        <f>IFERROR(__xludf.DUMMYFUNCTION("""COMPUTED_VALUE"""),"MN")</f>
        <v>MN</v>
      </c>
      <c r="D2822" s="170" t="str">
        <f>IFERROR(__xludf.DUMMYFUNCTION("""COMPUTED_VALUE"""),"USA")</f>
        <v>USA</v>
      </c>
      <c r="E2822" s="171">
        <f>IFERROR(__xludf.DUMMYFUNCTION("""COMPUTED_VALUE"""),43280.0)</f>
        <v>43280</v>
      </c>
      <c r="F2822" s="172">
        <f>IFERROR(__xludf.DUMMYFUNCTION("""COMPUTED_VALUE"""),43356.0)</f>
        <v>43356</v>
      </c>
      <c r="G2822" s="173"/>
      <c r="H2822" s="174">
        <f>IFERROR(__xludf.DUMMYFUNCTION("""COMPUTED_VALUE"""),77155.0)</f>
        <v>77155</v>
      </c>
      <c r="I2822" s="175" t="str">
        <f>IFERROR(__xludf.DUMMYFUNCTION("""COMPUTED_VALUE"""),"09/18")</f>
        <v>09/18</v>
      </c>
      <c r="J2822" s="172">
        <f>IFERROR(__xludf.DUMMYFUNCTION("""COMPUTED_VALUE"""),43370.0)</f>
        <v>43370</v>
      </c>
      <c r="K2822" s="176">
        <f>IFERROR(__xludf.DUMMYFUNCTION("""COMPUTED_VALUE"""),76.0)</f>
        <v>76</v>
      </c>
      <c r="L2822" s="176">
        <f>IFERROR(__xludf.DUMMYFUNCTION("""COMPUTED_VALUE"""),14.0)</f>
        <v>14</v>
      </c>
      <c r="M2822" s="176">
        <f>IFERROR(__xludf.DUMMYFUNCTION("""COMPUTED_VALUE"""),90.0)</f>
        <v>90</v>
      </c>
      <c r="N2822" s="177" t="str">
        <f>IFERROR(__xludf.DUMMYFUNCTION("""COMPUTED_VALUE"""),"Model 3 Performance")</f>
        <v>Model 3 Performance</v>
      </c>
      <c r="O2822" s="177" t="str">
        <f>IFERROR(__xludf.DUMMYFUNCTION("""COMPUTED_VALUE"""),"Obsidian Black Metallic")</f>
        <v>Obsidian Black Metallic</v>
      </c>
      <c r="P2822" s="178" t="str">
        <f>IFERROR(__xludf.DUMMYFUNCTION("""COMPUTED_VALUE"""),"18 inch Aero")</f>
        <v>18 inch Aero</v>
      </c>
      <c r="Q2822" s="177" t="str">
        <f>IFERROR(__xludf.DUMMYFUNCTION("""COMPUTED_VALUE"""),"Black seats")</f>
        <v>Black seats</v>
      </c>
      <c r="R2822" s="170" t="str">
        <f>IFERROR(__xludf.DUMMYFUNCTION("""COMPUTED_VALUE"""),"Enhanced Autopilot")</f>
        <v>Enhanced Autopilot</v>
      </c>
      <c r="S2822" s="170"/>
      <c r="T2822" s="179"/>
      <c r="U2822" s="179"/>
      <c r="V2822" s="179"/>
      <c r="W2822" s="180"/>
      <c r="X2822" s="181" t="str">
        <f>IFERROR(__xludf.DUMMYFUNCTION("""COMPUTED_VALUE"""),"Very Good")</f>
        <v>Very Good</v>
      </c>
      <c r="Y2822" s="182" t="str">
        <f>IFERROR(__xludf.DUMMYFUNCTION("""COMPUTED_VALUE"""),"Good")</f>
        <v>Good</v>
      </c>
      <c r="Z2822" s="182" t="str">
        <f>IFERROR(__xludf.DUMMYFUNCTION("""COMPUTED_VALUE"""),"Poor")</f>
        <v>Poor</v>
      </c>
      <c r="AA2822" s="182" t="str">
        <f>IFERROR(__xludf.DUMMYFUNCTION("""COMPUTED_VALUE"""),"Very Good")</f>
        <v>Very Good</v>
      </c>
      <c r="AB2822" s="182" t="str">
        <f>IFERROR(__xludf.DUMMYFUNCTION("""COMPUTED_VALUE"""),"Excellent")</f>
        <v>Excellent</v>
      </c>
      <c r="AC2822" s="183">
        <f>IFERROR(__xludf.DUMMYFUNCTION("""COMPUTED_VALUE"""),3.0)</f>
        <v>3</v>
      </c>
      <c r="AD2822" s="183">
        <f>IFERROR(__xludf.DUMMYFUNCTION("""COMPUTED_VALUE"""),0.0)</f>
        <v>0</v>
      </c>
      <c r="AE2822" s="183"/>
      <c r="AF2822" s="184"/>
      <c r="AG2822" s="180" t="str">
        <f>IFERROR(__xludf.DUMMYFUNCTION("""COMPUTED_VALUE"""),"Original scheduled for 9/18 delivery, delayed by Tesla ; Paint specks on rear bumper and front hood, light scratches on front hood, glue residue on glass roof, charging rate won't go above 40A")</f>
        <v>Original scheduled for 9/18 delivery, delayed by Tesla ; Paint specks on rear bumper and front hood, light scratches on front hood, glue residue on glass roof, charging rate won't go above 40A</v>
      </c>
      <c r="AH2822" s="185">
        <f>IFERROR(__xludf.DUMMYFUNCTION("""COMPUTED_VALUE"""),43377.496114305555)</f>
        <v>43377.49611</v>
      </c>
      <c r="AI2822" s="182"/>
      <c r="AJ2822" s="182"/>
      <c r="AK2822" s="182"/>
      <c r="AL2822" s="182"/>
    </row>
    <row r="2823" ht="20.25" customHeight="1">
      <c r="A2823" s="169" t="str">
        <f>IFERROR(__xludf.DUMMYFUNCTION("""COMPUTED_VALUE"""),"floccinau")</f>
        <v>floccinau</v>
      </c>
      <c r="B2823" s="170" t="str">
        <f>IFERROR(__xludf.DUMMYFUNCTION("""COMPUTED_VALUE"""),"USA")</f>
        <v>USA</v>
      </c>
      <c r="C2823" s="170" t="str">
        <f>IFERROR(__xludf.DUMMYFUNCTION("""COMPUTED_VALUE"""),"GA")</f>
        <v>GA</v>
      </c>
      <c r="D2823" s="170" t="str">
        <f>IFERROR(__xludf.DUMMYFUNCTION("""COMPUTED_VALUE"""),"USA")</f>
        <v>USA</v>
      </c>
      <c r="E2823" s="171">
        <f>IFERROR(__xludf.DUMMYFUNCTION("""COMPUTED_VALUE"""),43280.0)</f>
        <v>43280</v>
      </c>
      <c r="F2823" s="172">
        <f>IFERROR(__xludf.DUMMYFUNCTION("""COMPUTED_VALUE"""),43291.0)</f>
        <v>43291</v>
      </c>
      <c r="G2823" s="173"/>
      <c r="H2823" s="174">
        <f>IFERROR(__xludf.DUMMYFUNCTION("""COMPUTED_VALUE"""),41955.0)</f>
        <v>41955</v>
      </c>
      <c r="I2823" s="175" t="str">
        <f>IFERROR(__xludf.DUMMYFUNCTION("""COMPUTED_VALUE"""),"07/18")</f>
        <v>07/18</v>
      </c>
      <c r="J2823" s="172">
        <f>IFERROR(__xludf.DUMMYFUNCTION("""COMPUTED_VALUE"""),43302.0)</f>
        <v>43302</v>
      </c>
      <c r="K2823" s="176">
        <f>IFERROR(__xludf.DUMMYFUNCTION("""COMPUTED_VALUE"""),11.0)</f>
        <v>11</v>
      </c>
      <c r="L2823" s="176">
        <f>IFERROR(__xludf.DUMMYFUNCTION("""COMPUTED_VALUE"""),11.0)</f>
        <v>11</v>
      </c>
      <c r="M2823" s="176">
        <f>IFERROR(__xludf.DUMMYFUNCTION("""COMPUTED_VALUE"""),22.0)</f>
        <v>22</v>
      </c>
      <c r="N2823" s="177" t="str">
        <f>IFERROR(__xludf.DUMMYFUNCTION("""COMPUTED_VALUE"""),"Model 3 LR")</f>
        <v>Model 3 LR</v>
      </c>
      <c r="O2823" s="177" t="str">
        <f>IFERROR(__xludf.DUMMYFUNCTION("""COMPUTED_VALUE"""),"Deep Blue Metallic")</f>
        <v>Deep Blue Metallic</v>
      </c>
      <c r="P2823" s="178" t="str">
        <f>IFERROR(__xludf.DUMMYFUNCTION("""COMPUTED_VALUE"""),"18 inch Aero")</f>
        <v>18 inch Aero</v>
      </c>
      <c r="Q2823" s="177" t="str">
        <f>IFERROR(__xludf.DUMMYFUNCTION("""COMPUTED_VALUE"""),"Black seats")</f>
        <v>Black seats</v>
      </c>
      <c r="R2823" s="170" t="str">
        <f>IFERROR(__xludf.DUMMYFUNCTION("""COMPUTED_VALUE"""),"Enhanced Autopilot")</f>
        <v>Enhanced Autopilot</v>
      </c>
      <c r="S2823" s="170"/>
      <c r="T2823" s="179"/>
      <c r="U2823" s="179"/>
      <c r="V2823" s="179"/>
      <c r="W2823" s="180"/>
      <c r="X2823" s="181" t="str">
        <f>IFERROR(__xludf.DUMMYFUNCTION("""COMPUTED_VALUE"""),"Very Good")</f>
        <v>Very Good</v>
      </c>
      <c r="Y2823" s="182" t="str">
        <f>IFERROR(__xludf.DUMMYFUNCTION("""COMPUTED_VALUE"""),"Very Good")</f>
        <v>Very Good</v>
      </c>
      <c r="Z2823" s="182" t="str">
        <f>IFERROR(__xludf.DUMMYFUNCTION("""COMPUTED_VALUE"""),"Excellent")</f>
        <v>Excellent</v>
      </c>
      <c r="AA2823" s="182" t="str">
        <f>IFERROR(__xludf.DUMMYFUNCTION("""COMPUTED_VALUE"""),"Excellent")</f>
        <v>Excellent</v>
      </c>
      <c r="AB2823" s="182" t="str">
        <f>IFERROR(__xludf.DUMMYFUNCTION("""COMPUTED_VALUE"""),"Good")</f>
        <v>Good</v>
      </c>
      <c r="AC2823" s="183"/>
      <c r="AD2823" s="183"/>
      <c r="AE2823" s="183"/>
      <c r="AF2823" s="184"/>
      <c r="AG2823" s="180"/>
      <c r="AH2823" s="185">
        <f>IFERROR(__xludf.DUMMYFUNCTION("""COMPUTED_VALUE"""),43304.13738118056)</f>
        <v>43304.13738</v>
      </c>
      <c r="AI2823" s="182"/>
      <c r="AJ2823" s="182"/>
      <c r="AK2823" s="182"/>
      <c r="AL2823" s="182"/>
    </row>
    <row r="2824" ht="20.25" customHeight="1">
      <c r="A2824" s="169" t="str">
        <f>IFERROR(__xludf.DUMMYFUNCTION("""COMPUTED_VALUE"""),"FlyGuy")</f>
        <v>FlyGuy</v>
      </c>
      <c r="B2824" s="170"/>
      <c r="C2824" s="170" t="str">
        <f>IFERROR(__xludf.DUMMYFUNCTION("""COMPUTED_VALUE"""),"WI")</f>
        <v>WI</v>
      </c>
      <c r="D2824" s="170" t="str">
        <f>IFERROR(__xludf.DUMMYFUNCTION("""COMPUTED_VALUE"""),"USA")</f>
        <v>USA</v>
      </c>
      <c r="E2824" s="171">
        <f>IFERROR(__xludf.DUMMYFUNCTION("""COMPUTED_VALUE"""),43280.0)</f>
        <v>43280</v>
      </c>
      <c r="F2824" s="172">
        <f>IFERROR(__xludf.DUMMYFUNCTION("""COMPUTED_VALUE"""),43319.0)</f>
        <v>43319</v>
      </c>
      <c r="G2824" s="173"/>
      <c r="H2824" s="174">
        <f>IFERROR(__xludf.DUMMYFUNCTION("""COMPUTED_VALUE"""),32655.0)</f>
        <v>32655</v>
      </c>
      <c r="I2824" s="175" t="str">
        <f>IFERROR(__xludf.DUMMYFUNCTION("""COMPUTED_VALUE"""),"06/18")</f>
        <v>06/18</v>
      </c>
      <c r="J2824" s="172">
        <f>IFERROR(__xludf.DUMMYFUNCTION("""COMPUTED_VALUE"""),43327.0)</f>
        <v>43327</v>
      </c>
      <c r="K2824" s="176">
        <f>IFERROR(__xludf.DUMMYFUNCTION("""COMPUTED_VALUE"""),39.0)</f>
        <v>39</v>
      </c>
      <c r="L2824" s="176">
        <f>IFERROR(__xludf.DUMMYFUNCTION("""COMPUTED_VALUE"""),8.0)</f>
        <v>8</v>
      </c>
      <c r="M2824" s="176">
        <f>IFERROR(__xludf.DUMMYFUNCTION("""COMPUTED_VALUE"""),47.0)</f>
        <v>47</v>
      </c>
      <c r="N2824" s="177" t="str">
        <f>IFERROR(__xludf.DUMMYFUNCTION("""COMPUTED_VALUE"""),"Model 3 LR")</f>
        <v>Model 3 LR</v>
      </c>
      <c r="O2824" s="177" t="str">
        <f>IFERROR(__xludf.DUMMYFUNCTION("""COMPUTED_VALUE"""),"Deep Blue Metallic")</f>
        <v>Deep Blue Metallic</v>
      </c>
      <c r="P2824" s="178" t="str">
        <f>IFERROR(__xludf.DUMMYFUNCTION("""COMPUTED_VALUE"""),"18 inch Aero")</f>
        <v>18 inch Aero</v>
      </c>
      <c r="Q2824" s="177" t="str">
        <f>IFERROR(__xludf.DUMMYFUNCTION("""COMPUTED_VALUE"""),"Black seats")</f>
        <v>Black seats</v>
      </c>
      <c r="R2824" s="170" t="str">
        <f>IFERROR(__xludf.DUMMYFUNCTION("""COMPUTED_VALUE"""),"Enhanced Autopilot")</f>
        <v>Enhanced Autopilot</v>
      </c>
      <c r="S2824" s="170"/>
      <c r="T2824" s="179"/>
      <c r="U2824" s="179"/>
      <c r="V2824" s="179"/>
      <c r="W2824" s="180"/>
      <c r="X2824" s="181" t="str">
        <f>IFERROR(__xludf.DUMMYFUNCTION("""COMPUTED_VALUE"""),"Excellent")</f>
        <v>Excellent</v>
      </c>
      <c r="Y2824" s="182" t="str">
        <f>IFERROR(__xludf.DUMMYFUNCTION("""COMPUTED_VALUE"""),"Excellent")</f>
        <v>Excellent</v>
      </c>
      <c r="Z2824" s="182" t="str">
        <f>IFERROR(__xludf.DUMMYFUNCTION("""COMPUTED_VALUE"""),"Excellent")</f>
        <v>Excellent</v>
      </c>
      <c r="AA2824" s="182" t="str">
        <f>IFERROR(__xludf.DUMMYFUNCTION("""COMPUTED_VALUE"""),"Poor")</f>
        <v>Poor</v>
      </c>
      <c r="AB2824" s="182" t="str">
        <f>IFERROR(__xludf.DUMMYFUNCTION("""COMPUTED_VALUE"""),"Poor")</f>
        <v>Poor</v>
      </c>
      <c r="AC2824" s="183"/>
      <c r="AD2824" s="183">
        <f>IFERROR(__xludf.DUMMYFUNCTION("""COMPUTED_VALUE"""),1.0)</f>
        <v>1</v>
      </c>
      <c r="AE2824" s="183">
        <f>IFERROR(__xludf.DUMMYFUNCTION("""COMPUTED_VALUE"""),0.0)</f>
        <v>0</v>
      </c>
      <c r="AF2824" s="184"/>
      <c r="AG2824" s="180" t="str">
        <f>IFERROR(__xludf.DUMMYFUNCTION("""COMPUTED_VALUE"""),"28 days - ranger replaced 12 V battery")</f>
        <v>28 days - ranger replaced 12 V battery</v>
      </c>
      <c r="AH2824" s="185">
        <f>IFERROR(__xludf.DUMMYFUNCTION("""COMPUTED_VALUE"""),43357.51350876157)</f>
        <v>43357.51351</v>
      </c>
      <c r="AI2824" s="182"/>
      <c r="AJ2824" s="182"/>
      <c r="AK2824" s="182"/>
      <c r="AL2824" s="182"/>
    </row>
    <row r="2825" ht="20.25" customHeight="1">
      <c r="A2825" s="169" t="str">
        <f>IFERROR(__xludf.DUMMYFUNCTION("""COMPUTED_VALUE"""),"FourOhFour")</f>
        <v>FourOhFour</v>
      </c>
      <c r="B2825" s="170"/>
      <c r="C2825" s="170" t="str">
        <f>IFERROR(__xludf.DUMMYFUNCTION("""COMPUTED_VALUE"""),"CT")</f>
        <v>CT</v>
      </c>
      <c r="D2825" s="170" t="str">
        <f>IFERROR(__xludf.DUMMYFUNCTION("""COMPUTED_VALUE"""),"USA")</f>
        <v>USA</v>
      </c>
      <c r="E2825" s="171">
        <f>IFERROR(__xludf.DUMMYFUNCTION("""COMPUTED_VALUE"""),43280.0)</f>
        <v>43280</v>
      </c>
      <c r="F2825" s="172">
        <f>IFERROR(__xludf.DUMMYFUNCTION("""COMPUTED_VALUE"""),43347.0)</f>
        <v>43347</v>
      </c>
      <c r="G2825" s="173"/>
      <c r="H2825" s="174">
        <f>IFERROR(__xludf.DUMMYFUNCTION("""COMPUTED_VALUE"""),96355.0)</f>
        <v>96355</v>
      </c>
      <c r="I2825" s="175" t="str">
        <f>IFERROR(__xludf.DUMMYFUNCTION("""COMPUTED_VALUE"""),"08/18")</f>
        <v>08/18</v>
      </c>
      <c r="J2825" s="172">
        <f>IFERROR(__xludf.DUMMYFUNCTION("""COMPUTED_VALUE"""),43355.0)</f>
        <v>43355</v>
      </c>
      <c r="K2825" s="176">
        <f>IFERROR(__xludf.DUMMYFUNCTION("""COMPUTED_VALUE"""),67.0)</f>
        <v>67</v>
      </c>
      <c r="L2825" s="176">
        <f>IFERROR(__xludf.DUMMYFUNCTION("""COMPUTED_VALUE"""),8.0)</f>
        <v>8</v>
      </c>
      <c r="M2825" s="176">
        <f>IFERROR(__xludf.DUMMYFUNCTION("""COMPUTED_VALUE"""),75.0)</f>
        <v>75</v>
      </c>
      <c r="N2825" s="177" t="str">
        <f>IFERROR(__xludf.DUMMYFUNCTION("""COMPUTED_VALUE"""),"Model 3 LR AWD")</f>
        <v>Model 3 LR AWD</v>
      </c>
      <c r="O2825" s="177" t="str">
        <f>IFERROR(__xludf.DUMMYFUNCTION("""COMPUTED_VALUE"""),"Red Multi-Coat")</f>
        <v>Red Multi-Coat</v>
      </c>
      <c r="P2825" s="178" t="str">
        <f>IFERROR(__xludf.DUMMYFUNCTION("""COMPUTED_VALUE"""),"18 inch Aero")</f>
        <v>18 inch Aero</v>
      </c>
      <c r="Q2825" s="177" t="str">
        <f>IFERROR(__xludf.DUMMYFUNCTION("""COMPUTED_VALUE"""),"White seats")</f>
        <v>White seats</v>
      </c>
      <c r="R2825" s="170" t="str">
        <f>IFERROR(__xludf.DUMMYFUNCTION("""COMPUTED_VALUE"""),"None")</f>
        <v>None</v>
      </c>
      <c r="S2825" s="170"/>
      <c r="T2825" s="179"/>
      <c r="U2825" s="179"/>
      <c r="V2825" s="179"/>
      <c r="W2825" s="180"/>
      <c r="X2825" s="181" t="str">
        <f>IFERROR(__xludf.DUMMYFUNCTION("""COMPUTED_VALUE"""),"Excellent")</f>
        <v>Excellent</v>
      </c>
      <c r="Y2825" s="182" t="str">
        <f>IFERROR(__xludf.DUMMYFUNCTION("""COMPUTED_VALUE"""),"Good")</f>
        <v>Good</v>
      </c>
      <c r="Z2825" s="182" t="str">
        <f>IFERROR(__xludf.DUMMYFUNCTION("""COMPUTED_VALUE"""),"Fair")</f>
        <v>Fair</v>
      </c>
      <c r="AA2825" s="182" t="str">
        <f>IFERROR(__xludf.DUMMYFUNCTION("""COMPUTED_VALUE"""),"Fair")</f>
        <v>Fair</v>
      </c>
      <c r="AB2825" s="182" t="str">
        <f>IFERROR(__xludf.DUMMYFUNCTION("""COMPUTED_VALUE"""),"Excellent")</f>
        <v>Excellent</v>
      </c>
      <c r="AC2825" s="183">
        <f>IFERROR(__xludf.DUMMYFUNCTION("""COMPUTED_VALUE"""),5.0)</f>
        <v>5</v>
      </c>
      <c r="AD2825" s="183">
        <f>IFERROR(__xludf.DUMMYFUNCTION("""COMPUTED_VALUE"""),2.0)</f>
        <v>2</v>
      </c>
      <c r="AE2825" s="183">
        <f>IFERROR(__xludf.DUMMYFUNCTION("""COMPUTED_VALUE"""),4.0)</f>
        <v>4</v>
      </c>
      <c r="AF2825" s="184"/>
      <c r="AG2825" s="180"/>
      <c r="AH2825" s="185">
        <f>IFERROR(__xludf.DUMMYFUNCTION("""COMPUTED_VALUE"""),43378.37082114583)</f>
        <v>43378.37082</v>
      </c>
      <c r="AI2825" s="182"/>
      <c r="AJ2825" s="182"/>
      <c r="AK2825" s="182"/>
      <c r="AL2825" s="182"/>
    </row>
    <row r="2826" ht="20.25" customHeight="1">
      <c r="A2826" s="169" t="str">
        <f>IFERROR(__xludf.DUMMYFUNCTION("""COMPUTED_VALUE"""),"garibaldi")</f>
        <v>garibaldi</v>
      </c>
      <c r="B2826" s="170" t="str">
        <f>IFERROR(__xludf.DUMMYFUNCTION("""COMPUTED_VALUE"""),"Seattle")</f>
        <v>Seattle</v>
      </c>
      <c r="C2826" s="170" t="str">
        <f>IFERROR(__xludf.DUMMYFUNCTION("""COMPUTED_VALUE"""),"WA")</f>
        <v>WA</v>
      </c>
      <c r="D2826" s="170" t="str">
        <f>IFERROR(__xludf.DUMMYFUNCTION("""COMPUTED_VALUE"""),"USA")</f>
        <v>USA</v>
      </c>
      <c r="E2826" s="171">
        <f>IFERROR(__xludf.DUMMYFUNCTION("""COMPUTED_VALUE"""),43280.0)</f>
        <v>43280</v>
      </c>
      <c r="F2826" s="172"/>
      <c r="G2826" s="173"/>
      <c r="H2826" s="174">
        <f>IFERROR(__xludf.DUMMYFUNCTION("""COMPUTED_VALUE"""),97555.0)</f>
        <v>97555</v>
      </c>
      <c r="I2826" s="175" t="str">
        <f>IFERROR(__xludf.DUMMYFUNCTION("""COMPUTED_VALUE"""),"09/18")</f>
        <v>09/18</v>
      </c>
      <c r="J2826" s="172">
        <f>IFERROR(__xludf.DUMMYFUNCTION("""COMPUTED_VALUE"""),43365.0)</f>
        <v>43365</v>
      </c>
      <c r="K2826" s="176"/>
      <c r="L2826" s="176"/>
      <c r="M2826" s="176">
        <f>IFERROR(__xludf.DUMMYFUNCTION("""COMPUTED_VALUE"""),85.0)</f>
        <v>85</v>
      </c>
      <c r="N2826" s="177" t="str">
        <f>IFERROR(__xludf.DUMMYFUNCTION("""COMPUTED_VALUE"""),"Model 3 LR AWD")</f>
        <v>Model 3 LR AWD</v>
      </c>
      <c r="O2826" s="177" t="str">
        <f>IFERROR(__xludf.DUMMYFUNCTION("""COMPUTED_VALUE"""),"Red Multi-Coat")</f>
        <v>Red Multi-Coat</v>
      </c>
      <c r="P2826" s="178" t="str">
        <f>IFERROR(__xludf.DUMMYFUNCTION("""COMPUTED_VALUE"""),"19 inch Sport")</f>
        <v>19 inch Sport</v>
      </c>
      <c r="Q2826" s="177" t="str">
        <f>IFERROR(__xludf.DUMMYFUNCTION("""COMPUTED_VALUE"""),"White seats")</f>
        <v>White seats</v>
      </c>
      <c r="R2826" s="170" t="str">
        <f>IFERROR(__xludf.DUMMYFUNCTION("""COMPUTED_VALUE"""),"None")</f>
        <v>None</v>
      </c>
      <c r="S2826" s="170"/>
      <c r="T2826" s="179"/>
      <c r="U2826" s="179"/>
      <c r="V2826" s="179"/>
      <c r="W2826" s="180"/>
      <c r="X2826" s="181" t="str">
        <f>IFERROR(__xludf.DUMMYFUNCTION("""COMPUTED_VALUE"""),"Poor")</f>
        <v>Poor</v>
      </c>
      <c r="Y2826" s="182" t="str">
        <f>IFERROR(__xludf.DUMMYFUNCTION("""COMPUTED_VALUE"""),"Fair")</f>
        <v>Fair</v>
      </c>
      <c r="Z2826" s="182" t="str">
        <f>IFERROR(__xludf.DUMMYFUNCTION("""COMPUTED_VALUE"""),"Excellent")</f>
        <v>Excellent</v>
      </c>
      <c r="AA2826" s="182" t="str">
        <f>IFERROR(__xludf.DUMMYFUNCTION("""COMPUTED_VALUE"""),"Excellent")</f>
        <v>Excellent</v>
      </c>
      <c r="AB2826" s="182" t="str">
        <f>IFERROR(__xludf.DUMMYFUNCTION("""COMPUTED_VALUE"""),"Excellent")</f>
        <v>Excellent</v>
      </c>
      <c r="AC2826" s="183">
        <f>IFERROR(__xludf.DUMMYFUNCTION("""COMPUTED_VALUE"""),4.0)</f>
        <v>4</v>
      </c>
      <c r="AD2826" s="183">
        <f>IFERROR(__xludf.DUMMYFUNCTION("""COMPUTED_VALUE"""),2.0)</f>
        <v>2</v>
      </c>
      <c r="AE2826" s="183">
        <f>IFERROR(__xludf.DUMMYFUNCTION("""COMPUTED_VALUE"""),2.0)</f>
        <v>2</v>
      </c>
      <c r="AF2826" s="184"/>
      <c r="AG2826" s="180"/>
      <c r="AH2826" s="185">
        <f>IFERROR(__xludf.DUMMYFUNCTION("""COMPUTED_VALUE"""),43396.50666228009)</f>
        <v>43396.50666</v>
      </c>
      <c r="AI2826" s="182"/>
      <c r="AJ2826" s="182"/>
      <c r="AK2826" s="182"/>
      <c r="AL2826" s="182"/>
    </row>
    <row r="2827" ht="20.25" customHeight="1">
      <c r="A2827" s="169" t="str">
        <f>IFERROR(__xludf.DUMMYFUNCTION("""COMPUTED_VALUE"""),"glamisduner")</f>
        <v>glamisduner</v>
      </c>
      <c r="B2827" s="170" t="str">
        <f>IFERROR(__xludf.DUMMYFUNCTION("""COMPUTED_VALUE"""),"San Diego")</f>
        <v>San Diego</v>
      </c>
      <c r="C2827" s="170" t="str">
        <f>IFERROR(__xludf.DUMMYFUNCTION("""COMPUTED_VALUE"""),"CA")</f>
        <v>CA</v>
      </c>
      <c r="D2827" s="170" t="str">
        <f>IFERROR(__xludf.DUMMYFUNCTION("""COMPUTED_VALUE"""),"USA")</f>
        <v>USA</v>
      </c>
      <c r="E2827" s="171">
        <f>IFERROR(__xludf.DUMMYFUNCTION("""COMPUTED_VALUE"""),43280.0)</f>
        <v>43280</v>
      </c>
      <c r="F2827" s="172">
        <f>IFERROR(__xludf.DUMMYFUNCTION("""COMPUTED_VALUE"""),43388.0)</f>
        <v>43388</v>
      </c>
      <c r="G2827" s="173"/>
      <c r="H2827" s="174">
        <f>IFERROR(__xludf.DUMMYFUNCTION("""COMPUTED_VALUE"""),74855.0)</f>
        <v>74855</v>
      </c>
      <c r="I2827" s="175" t="str">
        <f>IFERROR(__xludf.DUMMYFUNCTION("""COMPUTED_VALUE"""),"09/18")</f>
        <v>09/18</v>
      </c>
      <c r="J2827" s="172">
        <f>IFERROR(__xludf.DUMMYFUNCTION("""COMPUTED_VALUE"""),43389.0)</f>
        <v>43389</v>
      </c>
      <c r="K2827" s="176">
        <f>IFERROR(__xludf.DUMMYFUNCTION("""COMPUTED_VALUE"""),108.0)</f>
        <v>108</v>
      </c>
      <c r="L2827" s="176">
        <f>IFERROR(__xludf.DUMMYFUNCTION("""COMPUTED_VALUE"""),1.0)</f>
        <v>1</v>
      </c>
      <c r="M2827" s="176">
        <f>IFERROR(__xludf.DUMMYFUNCTION("""COMPUTED_VALUE"""),109.0)</f>
        <v>109</v>
      </c>
      <c r="N2827" s="177" t="str">
        <f>IFERROR(__xludf.DUMMYFUNCTION("""COMPUTED_VALUE"""),"Model 3 Performance")</f>
        <v>Model 3 Performance</v>
      </c>
      <c r="O2827" s="177" t="str">
        <f>IFERROR(__xludf.DUMMYFUNCTION("""COMPUTED_VALUE"""),"Pearl White Multi-Coat")</f>
        <v>Pearl White Multi-Coat</v>
      </c>
      <c r="P2827" s="178" t="str">
        <f>IFERROR(__xludf.DUMMYFUNCTION("""COMPUTED_VALUE"""),"18 inch Aero")</f>
        <v>18 inch Aero</v>
      </c>
      <c r="Q2827" s="177" t="str">
        <f>IFERROR(__xludf.DUMMYFUNCTION("""COMPUTED_VALUE"""),"White seats")</f>
        <v>White seats</v>
      </c>
      <c r="R2827" s="170" t="str">
        <f>IFERROR(__xludf.DUMMYFUNCTION("""COMPUTED_VALUE"""),"Enhanced Autopilot")</f>
        <v>Enhanced Autopilot</v>
      </c>
      <c r="S2827" s="170"/>
      <c r="T2827" s="179"/>
      <c r="U2827" s="179"/>
      <c r="V2827" s="179"/>
      <c r="W2827" s="180"/>
      <c r="X2827" s="181" t="str">
        <f>IFERROR(__xludf.DUMMYFUNCTION("""COMPUTED_VALUE"""),"Poor")</f>
        <v>Poor</v>
      </c>
      <c r="Y2827" s="182" t="str">
        <f>IFERROR(__xludf.DUMMYFUNCTION("""COMPUTED_VALUE"""),"Very Good")</f>
        <v>Very Good</v>
      </c>
      <c r="Z2827" s="182" t="str">
        <f>IFERROR(__xludf.DUMMYFUNCTION("""COMPUTED_VALUE"""),"Fair")</f>
        <v>Fair</v>
      </c>
      <c r="AA2827" s="182" t="str">
        <f>IFERROR(__xludf.DUMMYFUNCTION("""COMPUTED_VALUE"""),"Poor")</f>
        <v>Poor</v>
      </c>
      <c r="AB2827" s="182" t="str">
        <f>IFERROR(__xludf.DUMMYFUNCTION("""COMPUTED_VALUE"""),"Poor")</f>
        <v>Poor</v>
      </c>
      <c r="AC2827" s="183">
        <f>IFERROR(__xludf.DUMMYFUNCTION("""COMPUTED_VALUE"""),6.0)</f>
        <v>6</v>
      </c>
      <c r="AD2827" s="183">
        <f>IFERROR(__xludf.DUMMYFUNCTION("""COMPUTED_VALUE"""),1.0)</f>
        <v>1</v>
      </c>
      <c r="AE2827" s="183"/>
      <c r="AF2827" s="184"/>
      <c r="AG2827" s="180" t="str">
        <f>IFERROR(__xludf.DUMMYFUNCTION("""COMPUTED_VALUE"""),"They replaced my rejected car with someone elses rejected car.  Not the quality you expect to see in a nearly $80k vehicle.  Hopefully the 4 panels that need paint and the trunk and frunk can all be fixed and re-aligned we will see...")</f>
        <v>They replaced my rejected car with someone elses rejected car.  Not the quality you expect to see in a nearly $80k vehicle.  Hopefully the 4 panels that need paint and the trunk and frunk can all be fixed and re-aligned we will see...</v>
      </c>
      <c r="AH2827" s="185">
        <f>IFERROR(__xludf.DUMMYFUNCTION("""COMPUTED_VALUE"""),43396.68791302083)</f>
        <v>43396.68791</v>
      </c>
      <c r="AI2827" s="182"/>
      <c r="AJ2827" s="182"/>
      <c r="AK2827" s="182"/>
      <c r="AL2827" s="182"/>
    </row>
    <row r="2828" ht="20.25" customHeight="1">
      <c r="A2828" s="169" t="str">
        <f>IFERROR(__xludf.DUMMYFUNCTION("""COMPUTED_VALUE"""),"hw_wiz")</f>
        <v>hw_wiz</v>
      </c>
      <c r="B2828" s="170" t="str">
        <f>IFERROR(__xludf.DUMMYFUNCTION("""COMPUTED_VALUE"""),"Sunnyvale")</f>
        <v>Sunnyvale</v>
      </c>
      <c r="C2828" s="170" t="str">
        <f>IFERROR(__xludf.DUMMYFUNCTION("""COMPUTED_VALUE"""),"CA")</f>
        <v>CA</v>
      </c>
      <c r="D2828" s="170" t="str">
        <f>IFERROR(__xludf.DUMMYFUNCTION("""COMPUTED_VALUE"""),"USA")</f>
        <v>USA</v>
      </c>
      <c r="E2828" s="171">
        <f>IFERROR(__xludf.DUMMYFUNCTION("""COMPUTED_VALUE"""),43280.0)</f>
        <v>43280</v>
      </c>
      <c r="F2828" s="172"/>
      <c r="G2828" s="173"/>
      <c r="H2828" s="174">
        <f>IFERROR(__xludf.DUMMYFUNCTION("""COMPUTED_VALUE"""),116055.0)</f>
        <v>116055</v>
      </c>
      <c r="I2828" s="175" t="str">
        <f>IFERROR(__xludf.DUMMYFUNCTION("""COMPUTED_VALUE"""),"09/18")</f>
        <v>09/18</v>
      </c>
      <c r="J2828" s="172">
        <f>IFERROR(__xludf.DUMMYFUNCTION("""COMPUTED_VALUE"""),43369.0)</f>
        <v>43369</v>
      </c>
      <c r="K2828" s="176"/>
      <c r="L2828" s="176"/>
      <c r="M2828" s="176">
        <f>IFERROR(__xludf.DUMMYFUNCTION("""COMPUTED_VALUE"""),89.0)</f>
        <v>89</v>
      </c>
      <c r="N2828" s="177" t="str">
        <f>IFERROR(__xludf.DUMMYFUNCTION("""COMPUTED_VALUE"""),"Model 3 LR AWD")</f>
        <v>Model 3 LR AWD</v>
      </c>
      <c r="O2828" s="177" t="str">
        <f>IFERROR(__xludf.DUMMYFUNCTION("""COMPUTED_VALUE"""),"Deep Blue Metallic")</f>
        <v>Deep Blue Metallic</v>
      </c>
      <c r="P2828" s="178" t="str">
        <f>IFERROR(__xludf.DUMMYFUNCTION("""COMPUTED_VALUE"""),"19 inch Sport")</f>
        <v>19 inch Sport</v>
      </c>
      <c r="Q2828" s="177" t="str">
        <f>IFERROR(__xludf.DUMMYFUNCTION("""COMPUTED_VALUE"""),"Black seats")</f>
        <v>Black seats</v>
      </c>
      <c r="R2828" s="170" t="str">
        <f>IFERROR(__xludf.DUMMYFUNCTION("""COMPUTED_VALUE"""),"None")</f>
        <v>None</v>
      </c>
      <c r="S2828" s="170"/>
      <c r="T2828" s="179"/>
      <c r="U2828" s="179"/>
      <c r="V2828" s="179"/>
      <c r="W2828" s="180"/>
      <c r="X2828" s="181" t="str">
        <f>IFERROR(__xludf.DUMMYFUNCTION("""COMPUTED_VALUE"""),"Excellent")</f>
        <v>Excellent</v>
      </c>
      <c r="Y2828" s="182" t="str">
        <f>IFERROR(__xludf.DUMMYFUNCTION("""COMPUTED_VALUE"""),"Excellent")</f>
        <v>Excellent</v>
      </c>
      <c r="Z2828" s="182" t="str">
        <f>IFERROR(__xludf.DUMMYFUNCTION("""COMPUTED_VALUE"""),"Excellent")</f>
        <v>Excellent</v>
      </c>
      <c r="AA2828" s="182" t="str">
        <f>IFERROR(__xludf.DUMMYFUNCTION("""COMPUTED_VALUE"""),"Excellent")</f>
        <v>Excellent</v>
      </c>
      <c r="AB2828" s="182" t="str">
        <f>IFERROR(__xludf.DUMMYFUNCTION("""COMPUTED_VALUE"""),"Excellent")</f>
        <v>Excellent</v>
      </c>
      <c r="AC2828" s="183"/>
      <c r="AD2828" s="183"/>
      <c r="AE2828" s="183"/>
      <c r="AF2828" s="184"/>
      <c r="AG2828" s="180"/>
      <c r="AH2828" s="185">
        <f>IFERROR(__xludf.DUMMYFUNCTION("""COMPUTED_VALUE"""),43370.40646366899)</f>
        <v>43370.40646</v>
      </c>
      <c r="AI2828" s="182"/>
      <c r="AJ2828" s="182"/>
      <c r="AK2828" s="182"/>
      <c r="AL2828" s="182"/>
    </row>
    <row r="2829" ht="20.25" customHeight="1">
      <c r="A2829" s="169" t="str">
        <f>IFERROR(__xludf.DUMMYFUNCTION("""COMPUTED_VALUE"""),"jiserrab")</f>
        <v>jiserrab</v>
      </c>
      <c r="B2829" s="170" t="str">
        <f>IFERROR(__xludf.DUMMYFUNCTION("""COMPUTED_VALUE"""),"Rolling Hills Estates (LA area)")</f>
        <v>Rolling Hills Estates (LA area)</v>
      </c>
      <c r="C2829" s="170" t="str">
        <f>IFERROR(__xludf.DUMMYFUNCTION("""COMPUTED_VALUE"""),"CA")</f>
        <v>CA</v>
      </c>
      <c r="D2829" s="170" t="str">
        <f>IFERROR(__xludf.DUMMYFUNCTION("""COMPUTED_VALUE"""),"USA")</f>
        <v>USA</v>
      </c>
      <c r="E2829" s="171">
        <f>IFERROR(__xludf.DUMMYFUNCTION("""COMPUTED_VALUE"""),43280.0)</f>
        <v>43280</v>
      </c>
      <c r="F2829" s="172">
        <f>IFERROR(__xludf.DUMMYFUNCTION("""COMPUTED_VALUE"""),43367.0)</f>
        <v>43367</v>
      </c>
      <c r="G2829" s="173"/>
      <c r="H2829" s="174">
        <f>IFERROR(__xludf.DUMMYFUNCTION("""COMPUTED_VALUE"""),91067.0)</f>
        <v>91067</v>
      </c>
      <c r="I2829" s="175" t="str">
        <f>IFERROR(__xludf.DUMMYFUNCTION("""COMPUTED_VALUE"""),"09/18")</f>
        <v>09/18</v>
      </c>
      <c r="J2829" s="172">
        <f>IFERROR(__xludf.DUMMYFUNCTION("""COMPUTED_VALUE"""),43372.0)</f>
        <v>43372</v>
      </c>
      <c r="K2829" s="176">
        <f>IFERROR(__xludf.DUMMYFUNCTION("""COMPUTED_VALUE"""),87.0)</f>
        <v>87</v>
      </c>
      <c r="L2829" s="176">
        <f>IFERROR(__xludf.DUMMYFUNCTION("""COMPUTED_VALUE"""),5.0)</f>
        <v>5</v>
      </c>
      <c r="M2829" s="176">
        <f>IFERROR(__xludf.DUMMYFUNCTION("""COMPUTED_VALUE"""),92.0)</f>
        <v>92</v>
      </c>
      <c r="N2829" s="177" t="str">
        <f>IFERROR(__xludf.DUMMYFUNCTION("""COMPUTED_VALUE"""),"Model 3 LR AWD")</f>
        <v>Model 3 LR AWD</v>
      </c>
      <c r="O2829" s="177" t="str">
        <f>IFERROR(__xludf.DUMMYFUNCTION("""COMPUTED_VALUE"""),"Midnight Silver Metallic")</f>
        <v>Midnight Silver Metallic</v>
      </c>
      <c r="P2829" s="178" t="str">
        <f>IFERROR(__xludf.DUMMYFUNCTION("""COMPUTED_VALUE"""),"19 inch Sport")</f>
        <v>19 inch Sport</v>
      </c>
      <c r="Q2829" s="177" t="str">
        <f>IFERROR(__xludf.DUMMYFUNCTION("""COMPUTED_VALUE"""),"Black seats")</f>
        <v>Black seats</v>
      </c>
      <c r="R2829" s="170" t="str">
        <f>IFERROR(__xludf.DUMMYFUNCTION("""COMPUTED_VALUE"""),"Enhanced Autopilot")</f>
        <v>Enhanced Autopilot</v>
      </c>
      <c r="S2829" s="170"/>
      <c r="T2829" s="179"/>
      <c r="U2829" s="179"/>
      <c r="V2829" s="179"/>
      <c r="W2829" s="180"/>
      <c r="X2829" s="181" t="str">
        <f>IFERROR(__xludf.DUMMYFUNCTION("""COMPUTED_VALUE"""),"Excellent")</f>
        <v>Excellent</v>
      </c>
      <c r="Y2829" s="182" t="str">
        <f>IFERROR(__xludf.DUMMYFUNCTION("""COMPUTED_VALUE"""),"Excellent")</f>
        <v>Excellent</v>
      </c>
      <c r="Z2829" s="182" t="str">
        <f>IFERROR(__xludf.DUMMYFUNCTION("""COMPUTED_VALUE"""),"Excellent")</f>
        <v>Excellent</v>
      </c>
      <c r="AA2829" s="182" t="str">
        <f>IFERROR(__xludf.DUMMYFUNCTION("""COMPUTED_VALUE"""),"Excellent")</f>
        <v>Excellent</v>
      </c>
      <c r="AB2829" s="182" t="str">
        <f>IFERROR(__xludf.DUMMYFUNCTION("""COMPUTED_VALUE"""),"Excellent")</f>
        <v>Excellent</v>
      </c>
      <c r="AC2829" s="183"/>
      <c r="AD2829" s="183"/>
      <c r="AE2829" s="183"/>
      <c r="AF2829" s="184"/>
      <c r="AG2829" s="180"/>
      <c r="AH2829" s="185">
        <f>IFERROR(__xludf.DUMMYFUNCTION("""COMPUTED_VALUE"""),43374.513452210645)</f>
        <v>43374.51345</v>
      </c>
      <c r="AI2829" s="182"/>
      <c r="AJ2829" s="182"/>
      <c r="AK2829" s="182"/>
      <c r="AL2829" s="182"/>
    </row>
    <row r="2830" ht="20.25" customHeight="1">
      <c r="A2830" s="169" t="str">
        <f>IFERROR(__xludf.DUMMYFUNCTION("""COMPUTED_VALUE"""),"jlbs")</f>
        <v>jlbs</v>
      </c>
      <c r="B2830" s="170" t="str">
        <f>IFERROR(__xludf.DUMMYFUNCTION("""COMPUTED_VALUE"""),"Annapolis")</f>
        <v>Annapolis</v>
      </c>
      <c r="C2830" s="170" t="str">
        <f>IFERROR(__xludf.DUMMYFUNCTION("""COMPUTED_VALUE"""),"MD")</f>
        <v>MD</v>
      </c>
      <c r="D2830" s="170" t="str">
        <f>IFERROR(__xludf.DUMMYFUNCTION("""COMPUTED_VALUE"""),"USA")</f>
        <v>USA</v>
      </c>
      <c r="E2830" s="171">
        <f>IFERROR(__xludf.DUMMYFUNCTION("""COMPUTED_VALUE"""),43280.0)</f>
        <v>43280</v>
      </c>
      <c r="F2830" s="172">
        <f>IFERROR(__xludf.DUMMYFUNCTION("""COMPUTED_VALUE"""),43326.0)</f>
        <v>43326</v>
      </c>
      <c r="G2830" s="173"/>
      <c r="H2830" s="174">
        <f>IFERROR(__xludf.DUMMYFUNCTION("""COMPUTED_VALUE"""),68155.0)</f>
        <v>68155</v>
      </c>
      <c r="I2830" s="175" t="str">
        <f>IFERROR(__xludf.DUMMYFUNCTION("""COMPUTED_VALUE"""),"08/18")</f>
        <v>08/18</v>
      </c>
      <c r="J2830" s="172">
        <f>IFERROR(__xludf.DUMMYFUNCTION("""COMPUTED_VALUE"""),43344.0)</f>
        <v>43344</v>
      </c>
      <c r="K2830" s="176">
        <f>IFERROR(__xludf.DUMMYFUNCTION("""COMPUTED_VALUE"""),46.0)</f>
        <v>46</v>
      </c>
      <c r="L2830" s="176">
        <f>IFERROR(__xludf.DUMMYFUNCTION("""COMPUTED_VALUE"""),18.0)</f>
        <v>18</v>
      </c>
      <c r="M2830" s="176">
        <f>IFERROR(__xludf.DUMMYFUNCTION("""COMPUTED_VALUE"""),64.0)</f>
        <v>64</v>
      </c>
      <c r="N2830" s="177" t="str">
        <f>IFERROR(__xludf.DUMMYFUNCTION("""COMPUTED_VALUE"""),"Model 3 LR AWD")</f>
        <v>Model 3 LR AWD</v>
      </c>
      <c r="O2830" s="177" t="str">
        <f>IFERROR(__xludf.DUMMYFUNCTION("""COMPUTED_VALUE"""),"Solid Black")</f>
        <v>Solid Black</v>
      </c>
      <c r="P2830" s="178" t="str">
        <f>IFERROR(__xludf.DUMMYFUNCTION("""COMPUTED_VALUE"""),"18 inch Aero")</f>
        <v>18 inch Aero</v>
      </c>
      <c r="Q2830" s="177" t="str">
        <f>IFERROR(__xludf.DUMMYFUNCTION("""COMPUTED_VALUE"""),"Black seats")</f>
        <v>Black seats</v>
      </c>
      <c r="R2830" s="170" t="str">
        <f>IFERROR(__xludf.DUMMYFUNCTION("""COMPUTED_VALUE"""),"None")</f>
        <v>None</v>
      </c>
      <c r="S2830" s="170"/>
      <c r="T2830" s="179"/>
      <c r="U2830" s="179"/>
      <c r="V2830" s="179"/>
      <c r="W2830" s="180"/>
      <c r="X2830" s="181" t="str">
        <f>IFERROR(__xludf.DUMMYFUNCTION("""COMPUTED_VALUE"""),"Excellent")</f>
        <v>Excellent</v>
      </c>
      <c r="Y2830" s="182" t="str">
        <f>IFERROR(__xludf.DUMMYFUNCTION("""COMPUTED_VALUE"""),"Excellent")</f>
        <v>Excellent</v>
      </c>
      <c r="Z2830" s="182" t="str">
        <f>IFERROR(__xludf.DUMMYFUNCTION("""COMPUTED_VALUE"""),"Excellent")</f>
        <v>Excellent</v>
      </c>
      <c r="AA2830" s="182" t="str">
        <f>IFERROR(__xludf.DUMMYFUNCTION("""COMPUTED_VALUE"""),"Excellent")</f>
        <v>Excellent</v>
      </c>
      <c r="AB2830" s="182" t="str">
        <f>IFERROR(__xludf.DUMMYFUNCTION("""COMPUTED_VALUE"""),"Excellent")</f>
        <v>Excellent</v>
      </c>
      <c r="AC2830" s="183"/>
      <c r="AD2830" s="183"/>
      <c r="AE2830" s="183"/>
      <c r="AF2830" s="184"/>
      <c r="AG2830" s="180"/>
      <c r="AH2830" s="185">
        <f>IFERROR(__xludf.DUMMYFUNCTION("""COMPUTED_VALUE"""),43347.77432711806)</f>
        <v>43347.77433</v>
      </c>
      <c r="AI2830" s="182"/>
      <c r="AJ2830" s="182"/>
      <c r="AK2830" s="182"/>
      <c r="AL2830" s="182"/>
    </row>
    <row r="2831" ht="20.25" customHeight="1">
      <c r="A2831" s="169" t="str">
        <f>IFERROR(__xludf.DUMMYFUNCTION("""COMPUTED_VALUE"""),"jmanzi")</f>
        <v>jmanzi</v>
      </c>
      <c r="B2831" s="170" t="str">
        <f>IFERROR(__xludf.DUMMYFUNCTION("""COMPUTED_VALUE"""),"Sacramento")</f>
        <v>Sacramento</v>
      </c>
      <c r="C2831" s="170" t="str">
        <f>IFERROR(__xludf.DUMMYFUNCTION("""COMPUTED_VALUE"""),"CA")</f>
        <v>CA</v>
      </c>
      <c r="D2831" s="170" t="str">
        <f>IFERROR(__xludf.DUMMYFUNCTION("""COMPUTED_VALUE"""),"USA")</f>
        <v>USA</v>
      </c>
      <c r="E2831" s="171">
        <f>IFERROR(__xludf.DUMMYFUNCTION("""COMPUTED_VALUE"""),43280.0)</f>
        <v>43280</v>
      </c>
      <c r="F2831" s="172">
        <f>IFERROR(__xludf.DUMMYFUNCTION("""COMPUTED_VALUE"""),43357.0)</f>
        <v>43357</v>
      </c>
      <c r="G2831" s="173"/>
      <c r="H2831" s="174">
        <f>IFERROR(__xludf.DUMMYFUNCTION("""COMPUTED_VALUE"""),96695.0)</f>
        <v>96695</v>
      </c>
      <c r="I2831" s="175" t="str">
        <f>IFERROR(__xludf.DUMMYFUNCTION("""COMPUTED_VALUE"""),"08/18")</f>
        <v>08/18</v>
      </c>
      <c r="J2831" s="172">
        <f>IFERROR(__xludf.DUMMYFUNCTION("""COMPUTED_VALUE"""),43365.0)</f>
        <v>43365</v>
      </c>
      <c r="K2831" s="176">
        <f>IFERROR(__xludf.DUMMYFUNCTION("""COMPUTED_VALUE"""),77.0)</f>
        <v>77</v>
      </c>
      <c r="L2831" s="176">
        <f>IFERROR(__xludf.DUMMYFUNCTION("""COMPUTED_VALUE"""),8.0)</f>
        <v>8</v>
      </c>
      <c r="M2831" s="176">
        <f>IFERROR(__xludf.DUMMYFUNCTION("""COMPUTED_VALUE"""),85.0)</f>
        <v>85</v>
      </c>
      <c r="N2831" s="177" t="str">
        <f>IFERROR(__xludf.DUMMYFUNCTION("""COMPUTED_VALUE"""),"Model 3 LR AWD")</f>
        <v>Model 3 LR AWD</v>
      </c>
      <c r="O2831" s="177" t="str">
        <f>IFERROR(__xludf.DUMMYFUNCTION("""COMPUTED_VALUE"""),"Pearl White Multi-Coat")</f>
        <v>Pearl White Multi-Coat</v>
      </c>
      <c r="P2831" s="178" t="str">
        <f>IFERROR(__xludf.DUMMYFUNCTION("""COMPUTED_VALUE"""),"18 inch Aero")</f>
        <v>18 inch Aero</v>
      </c>
      <c r="Q2831" s="177" t="str">
        <f>IFERROR(__xludf.DUMMYFUNCTION("""COMPUTED_VALUE"""),"White seats")</f>
        <v>White seats</v>
      </c>
      <c r="R2831" s="170" t="str">
        <f>IFERROR(__xludf.DUMMYFUNCTION("""COMPUTED_VALUE"""),"Enhanced Autopilot")</f>
        <v>Enhanced Autopilot</v>
      </c>
      <c r="S2831" s="170"/>
      <c r="T2831" s="179"/>
      <c r="U2831" s="179"/>
      <c r="V2831" s="179"/>
      <c r="W2831" s="180"/>
      <c r="X2831" s="181" t="str">
        <f>IFERROR(__xludf.DUMMYFUNCTION("""COMPUTED_VALUE"""),"Good")</f>
        <v>Good</v>
      </c>
      <c r="Y2831" s="182" t="str">
        <f>IFERROR(__xludf.DUMMYFUNCTION("""COMPUTED_VALUE"""),"Excellent")</f>
        <v>Excellent</v>
      </c>
      <c r="Z2831" s="182" t="str">
        <f>IFERROR(__xludf.DUMMYFUNCTION("""COMPUTED_VALUE"""),"Very Good")</f>
        <v>Very Good</v>
      </c>
      <c r="AA2831" s="182" t="str">
        <f>IFERROR(__xludf.DUMMYFUNCTION("""COMPUTED_VALUE"""),"Excellent")</f>
        <v>Excellent</v>
      </c>
      <c r="AB2831" s="182" t="str">
        <f>IFERROR(__xludf.DUMMYFUNCTION("""COMPUTED_VALUE"""),"Good")</f>
        <v>Good</v>
      </c>
      <c r="AC2831" s="183">
        <f>IFERROR(__xludf.DUMMYFUNCTION("""COMPUTED_VALUE"""),1.0)</f>
        <v>1</v>
      </c>
      <c r="AD2831" s="183"/>
      <c r="AE2831" s="183"/>
      <c r="AF2831" s="184"/>
      <c r="AG2831" s="180" t="str">
        <f>IFERROR(__xludf.DUMMYFUNCTION("""COMPUTED_VALUE"""),"Changed to white seats 8/17. Changed to Aero's 9/5. Planning on no cap look")</f>
        <v>Changed to white seats 8/17. Changed to Aero's 9/5. Planning on no cap look</v>
      </c>
      <c r="AH2831" s="185">
        <f>IFERROR(__xludf.DUMMYFUNCTION("""COMPUTED_VALUE"""),43367.43770160879)</f>
        <v>43367.4377</v>
      </c>
      <c r="AI2831" s="182"/>
      <c r="AJ2831" s="182"/>
      <c r="AK2831" s="182"/>
      <c r="AL2831" s="182"/>
    </row>
    <row r="2832" ht="20.25" customHeight="1">
      <c r="A2832" s="169" t="str">
        <f>IFERROR(__xludf.DUMMYFUNCTION("""COMPUTED_VALUE"""),"JohnBaca")</f>
        <v>JohnBaca</v>
      </c>
      <c r="B2832" s="170" t="str">
        <f>IFERROR(__xludf.DUMMYFUNCTION("""COMPUTED_VALUE"""),"Middleton")</f>
        <v>Middleton</v>
      </c>
      <c r="C2832" s="170" t="str">
        <f>IFERROR(__xludf.DUMMYFUNCTION("""COMPUTED_VALUE"""),"WI")</f>
        <v>WI</v>
      </c>
      <c r="D2832" s="170" t="str">
        <f>IFERROR(__xludf.DUMMYFUNCTION("""COMPUTED_VALUE"""),"USA")</f>
        <v>USA</v>
      </c>
      <c r="E2832" s="171">
        <f>IFERROR(__xludf.DUMMYFUNCTION("""COMPUTED_VALUE"""),43280.0)</f>
        <v>43280</v>
      </c>
      <c r="F2832" s="172">
        <f>IFERROR(__xludf.DUMMYFUNCTION("""COMPUTED_VALUE"""),43374.0)</f>
        <v>43374</v>
      </c>
      <c r="G2832" s="173"/>
      <c r="H2832" s="174">
        <f>IFERROR(__xludf.DUMMYFUNCTION("""COMPUTED_VALUE"""),85055.0)</f>
        <v>85055</v>
      </c>
      <c r="I2832" s="175"/>
      <c r="J2832" s="172">
        <f>IFERROR(__xludf.DUMMYFUNCTION("""COMPUTED_VALUE"""),43381.0)</f>
        <v>43381</v>
      </c>
      <c r="K2832" s="176">
        <f>IFERROR(__xludf.DUMMYFUNCTION("""COMPUTED_VALUE"""),94.0)</f>
        <v>94</v>
      </c>
      <c r="L2832" s="176">
        <f>IFERROR(__xludf.DUMMYFUNCTION("""COMPUTED_VALUE"""),7.0)</f>
        <v>7</v>
      </c>
      <c r="M2832" s="176">
        <f>IFERROR(__xludf.DUMMYFUNCTION("""COMPUTED_VALUE"""),101.0)</f>
        <v>101</v>
      </c>
      <c r="N2832" s="177" t="str">
        <f>IFERROR(__xludf.DUMMYFUNCTION("""COMPUTED_VALUE"""),"Model 3 LR AWD")</f>
        <v>Model 3 LR AWD</v>
      </c>
      <c r="O2832" s="177" t="str">
        <f>IFERROR(__xludf.DUMMYFUNCTION("""COMPUTED_VALUE"""),"Red Multi-Coat")</f>
        <v>Red Multi-Coat</v>
      </c>
      <c r="P2832" s="178" t="str">
        <f>IFERROR(__xludf.DUMMYFUNCTION("""COMPUTED_VALUE"""),"18 inch Aero")</f>
        <v>18 inch Aero</v>
      </c>
      <c r="Q2832" s="177" t="str">
        <f>IFERROR(__xludf.DUMMYFUNCTION("""COMPUTED_VALUE"""),"Black seats")</f>
        <v>Black seats</v>
      </c>
      <c r="R2832" s="170" t="str">
        <f>IFERROR(__xludf.DUMMYFUNCTION("""COMPUTED_VALUE"""),"Enhanced Autopilot")</f>
        <v>Enhanced Autopilot</v>
      </c>
      <c r="S2832" s="170"/>
      <c r="T2832" s="179"/>
      <c r="U2832" s="179"/>
      <c r="V2832" s="179"/>
      <c r="W2832" s="180"/>
      <c r="X2832" s="181" t="str">
        <f>IFERROR(__xludf.DUMMYFUNCTION("""COMPUTED_VALUE"""),"Excellent")</f>
        <v>Excellent</v>
      </c>
      <c r="Y2832" s="182" t="str">
        <f>IFERROR(__xludf.DUMMYFUNCTION("""COMPUTED_VALUE"""),"Excellent")</f>
        <v>Excellent</v>
      </c>
      <c r="Z2832" s="182" t="str">
        <f>IFERROR(__xludf.DUMMYFUNCTION("""COMPUTED_VALUE"""),"Excellent")</f>
        <v>Excellent</v>
      </c>
      <c r="AA2832" s="182" t="str">
        <f>IFERROR(__xludf.DUMMYFUNCTION("""COMPUTED_VALUE"""),"Fair")</f>
        <v>Fair</v>
      </c>
      <c r="AB2832" s="182" t="str">
        <f>IFERROR(__xludf.DUMMYFUNCTION("""COMPUTED_VALUE"""),"Good")</f>
        <v>Good</v>
      </c>
      <c r="AC2832" s="183"/>
      <c r="AD2832" s="183"/>
      <c r="AE2832" s="183"/>
      <c r="AF2832" s="184"/>
      <c r="AG2832" s="180" t="str">
        <f>IFERROR(__xludf.DUMMYFUNCTION("""COMPUTED_VALUE"""),"Reserved 12/14/17; estd Sept-Nov 2018; scheduling email rec'd 9/6/18; 9/24 delivery cancelled; 10/2 delivery cancelled; 10/8 delivery in Westmont")</f>
        <v>Reserved 12/14/17; estd Sept-Nov 2018; scheduling email rec'd 9/6/18; 9/24 delivery cancelled; 10/2 delivery cancelled; 10/8 delivery in Westmont</v>
      </c>
      <c r="AH2832" s="185">
        <f>IFERROR(__xludf.DUMMYFUNCTION("""COMPUTED_VALUE"""),43381.60069273148)</f>
        <v>43381.60069</v>
      </c>
      <c r="AI2832" s="182"/>
      <c r="AJ2832" s="182"/>
      <c r="AK2832" s="182"/>
      <c r="AL2832" s="182"/>
    </row>
    <row r="2833" ht="20.25" customHeight="1">
      <c r="A2833" s="169" t="str">
        <f>IFERROR(__xludf.DUMMYFUNCTION("""COMPUTED_VALUE"""),"jonnat")</f>
        <v>jonnat</v>
      </c>
      <c r="B2833" s="170" t="str">
        <f>IFERROR(__xludf.DUMMYFUNCTION("""COMPUTED_VALUE"""),"NJ")</f>
        <v>NJ</v>
      </c>
      <c r="C2833" s="170" t="str">
        <f>IFERROR(__xludf.DUMMYFUNCTION("""COMPUTED_VALUE"""),"NJ")</f>
        <v>NJ</v>
      </c>
      <c r="D2833" s="170" t="str">
        <f>IFERROR(__xludf.DUMMYFUNCTION("""COMPUTED_VALUE"""),"USA")</f>
        <v>USA</v>
      </c>
      <c r="E2833" s="171">
        <f>IFERROR(__xludf.DUMMYFUNCTION("""COMPUTED_VALUE"""),43280.0)</f>
        <v>43280</v>
      </c>
      <c r="F2833" s="172"/>
      <c r="G2833" s="173"/>
      <c r="H2833" s="174">
        <f>IFERROR(__xludf.DUMMYFUNCTION("""COMPUTED_VALUE"""),69155.0)</f>
        <v>69155</v>
      </c>
      <c r="I2833" s="175"/>
      <c r="J2833" s="172">
        <f>IFERROR(__xludf.DUMMYFUNCTION("""COMPUTED_VALUE"""),43357.0)</f>
        <v>43357</v>
      </c>
      <c r="K2833" s="176"/>
      <c r="L2833" s="176"/>
      <c r="M2833" s="176">
        <f>IFERROR(__xludf.DUMMYFUNCTION("""COMPUTED_VALUE"""),77.0)</f>
        <v>77</v>
      </c>
      <c r="N2833" s="177" t="str">
        <f>IFERROR(__xludf.DUMMYFUNCTION("""COMPUTED_VALUE"""),"Model 3 LR AWD")</f>
        <v>Model 3 LR AWD</v>
      </c>
      <c r="O2833" s="177" t="str">
        <f>IFERROR(__xludf.DUMMYFUNCTION("""COMPUTED_VALUE"""),"Midnight Silver Metallic")</f>
        <v>Midnight Silver Metallic</v>
      </c>
      <c r="P2833" s="178" t="str">
        <f>IFERROR(__xludf.DUMMYFUNCTION("""COMPUTED_VALUE"""),"19 inch Sport")</f>
        <v>19 inch Sport</v>
      </c>
      <c r="Q2833" s="177" t="str">
        <f>IFERROR(__xludf.DUMMYFUNCTION("""COMPUTED_VALUE"""),"Black seats")</f>
        <v>Black seats</v>
      </c>
      <c r="R2833" s="170" t="str">
        <f>IFERROR(__xludf.DUMMYFUNCTION("""COMPUTED_VALUE"""),"Enhanced Autopilot")</f>
        <v>Enhanced Autopilot</v>
      </c>
      <c r="S2833" s="170"/>
      <c r="T2833" s="179"/>
      <c r="U2833" s="179"/>
      <c r="V2833" s="179"/>
      <c r="W2833" s="180"/>
      <c r="X2833" s="181" t="str">
        <f>IFERROR(__xludf.DUMMYFUNCTION("""COMPUTED_VALUE"""),"Very Good")</f>
        <v>Very Good</v>
      </c>
      <c r="Y2833" s="182" t="str">
        <f>IFERROR(__xludf.DUMMYFUNCTION("""COMPUTED_VALUE"""),"Excellent")</f>
        <v>Excellent</v>
      </c>
      <c r="Z2833" s="182" t="str">
        <f>IFERROR(__xludf.DUMMYFUNCTION("""COMPUTED_VALUE"""),"Very Good")</f>
        <v>Very Good</v>
      </c>
      <c r="AA2833" s="182" t="str">
        <f>IFERROR(__xludf.DUMMYFUNCTION("""COMPUTED_VALUE"""),"Good")</f>
        <v>Good</v>
      </c>
      <c r="AB2833" s="182" t="str">
        <f>IFERROR(__xludf.DUMMYFUNCTION("""COMPUTED_VALUE"""),"Fair")</f>
        <v>Fair</v>
      </c>
      <c r="AC2833" s="183">
        <f>IFERROR(__xludf.DUMMYFUNCTION("""COMPUTED_VALUE"""),1.0)</f>
        <v>1</v>
      </c>
      <c r="AD2833" s="183">
        <f>IFERROR(__xludf.DUMMYFUNCTION("""COMPUTED_VALUE"""),1.0)</f>
        <v>1</v>
      </c>
      <c r="AE2833" s="183">
        <f>IFERROR(__xludf.DUMMYFUNCTION("""COMPUTED_VALUE"""),0.0)</f>
        <v>0</v>
      </c>
      <c r="AF2833" s="184"/>
      <c r="AG2833" s="180"/>
      <c r="AH2833" s="185">
        <f>IFERROR(__xludf.DUMMYFUNCTION("""COMPUTED_VALUE"""),43377.44228998843)</f>
        <v>43377.44229</v>
      </c>
      <c r="AI2833" s="182"/>
      <c r="AJ2833" s="182"/>
      <c r="AK2833" s="182"/>
      <c r="AL2833" s="182"/>
    </row>
    <row r="2834" ht="20.25" customHeight="1">
      <c r="A2834" s="169" t="str">
        <f>IFERROR(__xludf.DUMMYFUNCTION("""COMPUTED_VALUE"""),"jrc0yne")</f>
        <v>jrc0yne</v>
      </c>
      <c r="B2834" s="170" t="str">
        <f>IFERROR(__xludf.DUMMYFUNCTION("""COMPUTED_VALUE"""),"Jacksonville, FL")</f>
        <v>Jacksonville, FL</v>
      </c>
      <c r="C2834" s="170" t="str">
        <f>IFERROR(__xludf.DUMMYFUNCTION("""COMPUTED_VALUE"""),"FL")</f>
        <v>FL</v>
      </c>
      <c r="D2834" s="170" t="str">
        <f>IFERROR(__xludf.DUMMYFUNCTION("""COMPUTED_VALUE"""),"USA")</f>
        <v>USA</v>
      </c>
      <c r="E2834" s="171">
        <f>IFERROR(__xludf.DUMMYFUNCTION("""COMPUTED_VALUE"""),43280.0)</f>
        <v>43280</v>
      </c>
      <c r="F2834" s="172">
        <f>IFERROR(__xludf.DUMMYFUNCTION("""COMPUTED_VALUE"""),43327.0)</f>
        <v>43327</v>
      </c>
      <c r="G2834" s="173"/>
      <c r="H2834" s="174">
        <f>IFERROR(__xludf.DUMMYFUNCTION("""COMPUTED_VALUE"""),68255.0)</f>
        <v>68255</v>
      </c>
      <c r="I2834" s="175" t="str">
        <f>IFERROR(__xludf.DUMMYFUNCTION("""COMPUTED_VALUE"""),"08/18")</f>
        <v>08/18</v>
      </c>
      <c r="J2834" s="172">
        <f>IFERROR(__xludf.DUMMYFUNCTION("""COMPUTED_VALUE"""),43351.0)</f>
        <v>43351</v>
      </c>
      <c r="K2834" s="176">
        <f>IFERROR(__xludf.DUMMYFUNCTION("""COMPUTED_VALUE"""),47.0)</f>
        <v>47</v>
      </c>
      <c r="L2834" s="176">
        <f>IFERROR(__xludf.DUMMYFUNCTION("""COMPUTED_VALUE"""),24.0)</f>
        <v>24</v>
      </c>
      <c r="M2834" s="176">
        <f>IFERROR(__xludf.DUMMYFUNCTION("""COMPUTED_VALUE"""),71.0)</f>
        <v>71</v>
      </c>
      <c r="N2834" s="177" t="str">
        <f>IFERROR(__xludf.DUMMYFUNCTION("""COMPUTED_VALUE"""),"Model 3 LR AWD")</f>
        <v>Model 3 LR AWD</v>
      </c>
      <c r="O2834" s="177" t="str">
        <f>IFERROR(__xludf.DUMMYFUNCTION("""COMPUTED_VALUE"""),"Solid Black")</f>
        <v>Solid Black</v>
      </c>
      <c r="P2834" s="178" t="str">
        <f>IFERROR(__xludf.DUMMYFUNCTION("""COMPUTED_VALUE"""),"18 inch Aero")</f>
        <v>18 inch Aero</v>
      </c>
      <c r="Q2834" s="177" t="str">
        <f>IFERROR(__xludf.DUMMYFUNCTION("""COMPUTED_VALUE"""),"Black seats")</f>
        <v>Black seats</v>
      </c>
      <c r="R2834" s="170" t="str">
        <f>IFERROR(__xludf.DUMMYFUNCTION("""COMPUTED_VALUE"""),"Enhanced Autopilot")</f>
        <v>Enhanced Autopilot</v>
      </c>
      <c r="S2834" s="170"/>
      <c r="T2834" s="179"/>
      <c r="U2834" s="179"/>
      <c r="V2834" s="179"/>
      <c r="W2834" s="180"/>
      <c r="X2834" s="181" t="str">
        <f>IFERROR(__xludf.DUMMYFUNCTION("""COMPUTED_VALUE"""),"Excellent")</f>
        <v>Excellent</v>
      </c>
      <c r="Y2834" s="182" t="str">
        <f>IFERROR(__xludf.DUMMYFUNCTION("""COMPUTED_VALUE"""),"Excellent")</f>
        <v>Excellent</v>
      </c>
      <c r="Z2834" s="182" t="str">
        <f>IFERROR(__xludf.DUMMYFUNCTION("""COMPUTED_VALUE"""),"Very Good")</f>
        <v>Very Good</v>
      </c>
      <c r="AA2834" s="182" t="str">
        <f>IFERROR(__xludf.DUMMYFUNCTION("""COMPUTED_VALUE"""),"Fair")</f>
        <v>Fair</v>
      </c>
      <c r="AB2834" s="182" t="str">
        <f>IFERROR(__xludf.DUMMYFUNCTION("""COMPUTED_VALUE"""),"Good")</f>
        <v>Good</v>
      </c>
      <c r="AC2834" s="183">
        <f>IFERROR(__xludf.DUMMYFUNCTION("""COMPUTED_VALUE"""),3.0)</f>
        <v>3</v>
      </c>
      <c r="AD2834" s="183"/>
      <c r="AE2834" s="183"/>
      <c r="AF2834" s="184"/>
      <c r="AG2834" s="180"/>
      <c r="AH2834" s="185">
        <f>IFERROR(__xludf.DUMMYFUNCTION("""COMPUTED_VALUE"""),43352.304915740744)</f>
        <v>43352.30492</v>
      </c>
      <c r="AI2834" s="182"/>
      <c r="AJ2834" s="182"/>
      <c r="AK2834" s="182"/>
      <c r="AL2834" s="182"/>
    </row>
    <row r="2835" ht="20.25" customHeight="1">
      <c r="A2835" s="169" t="str">
        <f>IFERROR(__xludf.DUMMYFUNCTION("""COMPUTED_VALUE"""),"Justintime")</f>
        <v>Justintime</v>
      </c>
      <c r="B2835" s="170" t="str">
        <f>IFERROR(__xludf.DUMMYFUNCTION("""COMPUTED_VALUE"""),"San Francisco")</f>
        <v>San Francisco</v>
      </c>
      <c r="C2835" s="170" t="str">
        <f>IFERROR(__xludf.DUMMYFUNCTION("""COMPUTED_VALUE"""),"CA")</f>
        <v>CA</v>
      </c>
      <c r="D2835" s="170" t="str">
        <f>IFERROR(__xludf.DUMMYFUNCTION("""COMPUTED_VALUE"""),"USA")</f>
        <v>USA</v>
      </c>
      <c r="E2835" s="171">
        <f>IFERROR(__xludf.DUMMYFUNCTION("""COMPUTED_VALUE"""),43280.0)</f>
        <v>43280</v>
      </c>
      <c r="F2835" s="172">
        <f>IFERROR(__xludf.DUMMYFUNCTION("""COMPUTED_VALUE"""),43313.0)</f>
        <v>43313</v>
      </c>
      <c r="G2835" s="173"/>
      <c r="H2835" s="174">
        <f>IFERROR(__xludf.DUMMYFUNCTION("""COMPUTED_VALUE"""),96055.0)</f>
        <v>96055</v>
      </c>
      <c r="I2835" s="175" t="str">
        <f>IFERROR(__xludf.DUMMYFUNCTION("""COMPUTED_VALUE"""),"08/18")</f>
        <v>08/18</v>
      </c>
      <c r="J2835" s="172">
        <f>IFERROR(__xludf.DUMMYFUNCTION("""COMPUTED_VALUE"""),43343.0)</f>
        <v>43343</v>
      </c>
      <c r="K2835" s="176">
        <f>IFERROR(__xludf.DUMMYFUNCTION("""COMPUTED_VALUE"""),33.0)</f>
        <v>33</v>
      </c>
      <c r="L2835" s="176">
        <f>IFERROR(__xludf.DUMMYFUNCTION("""COMPUTED_VALUE"""),30.0)</f>
        <v>30</v>
      </c>
      <c r="M2835" s="176">
        <f>IFERROR(__xludf.DUMMYFUNCTION("""COMPUTED_VALUE"""),63.0)</f>
        <v>63</v>
      </c>
      <c r="N2835" s="177" t="str">
        <f>IFERROR(__xludf.DUMMYFUNCTION("""COMPUTED_VALUE"""),"Model 3 LR AWD")</f>
        <v>Model 3 LR AWD</v>
      </c>
      <c r="O2835" s="177" t="str">
        <f>IFERROR(__xludf.DUMMYFUNCTION("""COMPUTED_VALUE"""),"Midnight Silver Metallic")</f>
        <v>Midnight Silver Metallic</v>
      </c>
      <c r="P2835" s="178" t="str">
        <f>IFERROR(__xludf.DUMMYFUNCTION("""COMPUTED_VALUE"""),"18 inch Aero")</f>
        <v>18 inch Aero</v>
      </c>
      <c r="Q2835" s="177" t="str">
        <f>IFERROR(__xludf.DUMMYFUNCTION("""COMPUTED_VALUE"""),"White seats")</f>
        <v>White seats</v>
      </c>
      <c r="R2835" s="170" t="str">
        <f>IFERROR(__xludf.DUMMYFUNCTION("""COMPUTED_VALUE"""),"None")</f>
        <v>None</v>
      </c>
      <c r="S2835" s="170"/>
      <c r="T2835" s="179"/>
      <c r="U2835" s="179"/>
      <c r="V2835" s="179"/>
      <c r="W2835" s="180"/>
      <c r="X2835" s="181" t="str">
        <f>IFERROR(__xludf.DUMMYFUNCTION("""COMPUTED_VALUE"""),"Fair")</f>
        <v>Fair</v>
      </c>
      <c r="Y2835" s="182" t="str">
        <f>IFERROR(__xludf.DUMMYFUNCTION("""COMPUTED_VALUE"""),"Very Good")</f>
        <v>Very Good</v>
      </c>
      <c r="Z2835" s="182" t="str">
        <f>IFERROR(__xludf.DUMMYFUNCTION("""COMPUTED_VALUE"""),"Very Good")</f>
        <v>Very Good</v>
      </c>
      <c r="AA2835" s="182" t="str">
        <f>IFERROR(__xludf.DUMMYFUNCTION("""COMPUTED_VALUE"""),"Excellent")</f>
        <v>Excellent</v>
      </c>
      <c r="AB2835" s="182" t="str">
        <f>IFERROR(__xludf.DUMMYFUNCTION("""COMPUTED_VALUE"""),"Good")</f>
        <v>Good</v>
      </c>
      <c r="AC2835" s="183">
        <f>IFERROR(__xludf.DUMMYFUNCTION("""COMPUTED_VALUE"""),4.0)</f>
        <v>4</v>
      </c>
      <c r="AD2835" s="183"/>
      <c r="AE2835" s="183"/>
      <c r="AF2835" s="184"/>
      <c r="AG2835" s="180"/>
      <c r="AH2835" s="185">
        <f>IFERROR(__xludf.DUMMYFUNCTION("""COMPUTED_VALUE"""),43347.36742204861)</f>
        <v>43347.36742</v>
      </c>
      <c r="AI2835" s="182"/>
      <c r="AJ2835" s="182"/>
      <c r="AK2835" s="182"/>
      <c r="AL2835" s="182"/>
    </row>
    <row r="2836" ht="20.25" customHeight="1">
      <c r="A2836" s="169" t="str">
        <f>IFERROR(__xludf.DUMMYFUNCTION("""COMPUTED_VALUE"""),"JustMe")</f>
        <v>JustMe</v>
      </c>
      <c r="B2836" s="170"/>
      <c r="C2836" s="170" t="str">
        <f>IFERROR(__xludf.DUMMYFUNCTION("""COMPUTED_VALUE"""),"FL")</f>
        <v>FL</v>
      </c>
      <c r="D2836" s="170" t="str">
        <f>IFERROR(__xludf.DUMMYFUNCTION("""COMPUTED_VALUE"""),"USA")</f>
        <v>USA</v>
      </c>
      <c r="E2836" s="171">
        <f>IFERROR(__xludf.DUMMYFUNCTION("""COMPUTED_VALUE"""),43280.0)</f>
        <v>43280</v>
      </c>
      <c r="F2836" s="172">
        <f>IFERROR(__xludf.DUMMYFUNCTION("""COMPUTED_VALUE"""),43284.0)</f>
        <v>43284</v>
      </c>
      <c r="G2836" s="173"/>
      <c r="H2836" s="174">
        <f>IFERROR(__xludf.DUMMYFUNCTION("""COMPUTED_VALUE"""),32655.0)</f>
        <v>32655</v>
      </c>
      <c r="I2836" s="175"/>
      <c r="J2836" s="172">
        <f>IFERROR(__xludf.DUMMYFUNCTION("""COMPUTED_VALUE"""),43288.0)</f>
        <v>43288</v>
      </c>
      <c r="K2836" s="176">
        <f>IFERROR(__xludf.DUMMYFUNCTION("""COMPUTED_VALUE"""),4.0)</f>
        <v>4</v>
      </c>
      <c r="L2836" s="176">
        <f>IFERROR(__xludf.DUMMYFUNCTION("""COMPUTED_VALUE"""),4.0)</f>
        <v>4</v>
      </c>
      <c r="M2836" s="176">
        <f>IFERROR(__xludf.DUMMYFUNCTION("""COMPUTED_VALUE"""),8.0)</f>
        <v>8</v>
      </c>
      <c r="N2836" s="177" t="str">
        <f>IFERROR(__xludf.DUMMYFUNCTION("""COMPUTED_VALUE"""),"Model 3 LR")</f>
        <v>Model 3 LR</v>
      </c>
      <c r="O2836" s="177" t="str">
        <f>IFERROR(__xludf.DUMMYFUNCTION("""COMPUTED_VALUE"""),"Deep Blue Metallic")</f>
        <v>Deep Blue Metallic</v>
      </c>
      <c r="P2836" s="178" t="str">
        <f>IFERROR(__xludf.DUMMYFUNCTION("""COMPUTED_VALUE"""),"18 inch Aero")</f>
        <v>18 inch Aero</v>
      </c>
      <c r="Q2836" s="177" t="str">
        <f>IFERROR(__xludf.DUMMYFUNCTION("""COMPUTED_VALUE"""),"Black seats")</f>
        <v>Black seats</v>
      </c>
      <c r="R2836" s="170" t="str">
        <f>IFERROR(__xludf.DUMMYFUNCTION("""COMPUTED_VALUE"""),"Full Self-Driving")</f>
        <v>Full Self-Driving</v>
      </c>
      <c r="S2836" s="170"/>
      <c r="T2836" s="179"/>
      <c r="U2836" s="179"/>
      <c r="V2836" s="179"/>
      <c r="W2836" s="180"/>
      <c r="X2836" s="181" t="str">
        <f>IFERROR(__xludf.DUMMYFUNCTION("""COMPUTED_VALUE"""),"Very Good")</f>
        <v>Very Good</v>
      </c>
      <c r="Y2836" s="182" t="str">
        <f>IFERROR(__xludf.DUMMYFUNCTION("""COMPUTED_VALUE"""),"Fair")</f>
        <v>Fair</v>
      </c>
      <c r="Z2836" s="182" t="str">
        <f>IFERROR(__xludf.DUMMYFUNCTION("""COMPUTED_VALUE"""),"Very Good")</f>
        <v>Very Good</v>
      </c>
      <c r="AA2836" s="182" t="str">
        <f>IFERROR(__xludf.DUMMYFUNCTION("""COMPUTED_VALUE"""),"Poor")</f>
        <v>Poor</v>
      </c>
      <c r="AB2836" s="182" t="str">
        <f>IFERROR(__xludf.DUMMYFUNCTION("""COMPUTED_VALUE"""),"Excellent")</f>
        <v>Excellent</v>
      </c>
      <c r="AC2836" s="183"/>
      <c r="AD2836" s="183"/>
      <c r="AE2836" s="183"/>
      <c r="AF2836" s="184"/>
      <c r="AG2836" s="180"/>
      <c r="AH2836" s="185">
        <f>IFERROR(__xludf.DUMMYFUNCTION("""COMPUTED_VALUE"""),43291.753919826384)</f>
        <v>43291.75392</v>
      </c>
      <c r="AI2836" s="182"/>
      <c r="AJ2836" s="182"/>
      <c r="AK2836" s="182"/>
      <c r="AL2836" s="182"/>
    </row>
    <row r="2837" ht="20.25" customHeight="1">
      <c r="A2837" s="169" t="str">
        <f>IFERROR(__xludf.DUMMYFUNCTION("""COMPUTED_VALUE"""),"khraiv")</f>
        <v>khraiv</v>
      </c>
      <c r="B2837" s="170"/>
      <c r="C2837" s="170" t="str">
        <f>IFERROR(__xludf.DUMMYFUNCTION("""COMPUTED_VALUE"""),"AZ")</f>
        <v>AZ</v>
      </c>
      <c r="D2837" s="170" t="str">
        <f>IFERROR(__xludf.DUMMYFUNCTION("""COMPUTED_VALUE"""),"USA")</f>
        <v>USA</v>
      </c>
      <c r="E2837" s="171">
        <f>IFERROR(__xludf.DUMMYFUNCTION("""COMPUTED_VALUE"""),43280.0)</f>
        <v>43280</v>
      </c>
      <c r="F2837" s="172">
        <f>IFERROR(__xludf.DUMMYFUNCTION("""COMPUTED_VALUE"""),43328.0)</f>
        <v>43328</v>
      </c>
      <c r="G2837" s="173"/>
      <c r="H2837" s="174">
        <f>IFERROR(__xludf.DUMMYFUNCTION("""COMPUTED_VALUE"""),55455.0)</f>
        <v>55455</v>
      </c>
      <c r="I2837" s="175" t="str">
        <f>IFERROR(__xludf.DUMMYFUNCTION("""COMPUTED_VALUE"""),"08/18")</f>
        <v>08/18</v>
      </c>
      <c r="J2837" s="172">
        <f>IFERROR(__xludf.DUMMYFUNCTION("""COMPUTED_VALUE"""),43335.0)</f>
        <v>43335</v>
      </c>
      <c r="K2837" s="176">
        <f>IFERROR(__xludf.DUMMYFUNCTION("""COMPUTED_VALUE"""),48.0)</f>
        <v>48</v>
      </c>
      <c r="L2837" s="176">
        <f>IFERROR(__xludf.DUMMYFUNCTION("""COMPUTED_VALUE"""),7.0)</f>
        <v>7</v>
      </c>
      <c r="M2837" s="176">
        <f>IFERROR(__xludf.DUMMYFUNCTION("""COMPUTED_VALUE"""),55.0)</f>
        <v>55</v>
      </c>
      <c r="N2837" s="177" t="str">
        <f>IFERROR(__xludf.DUMMYFUNCTION("""COMPUTED_VALUE"""),"Model 3 Performance")</f>
        <v>Model 3 Performance</v>
      </c>
      <c r="O2837" s="177" t="str">
        <f>IFERROR(__xludf.DUMMYFUNCTION("""COMPUTED_VALUE"""),"Red Multi-Coat")</f>
        <v>Red Multi-Coat</v>
      </c>
      <c r="P2837" s="178" t="str">
        <f>IFERROR(__xludf.DUMMYFUNCTION("""COMPUTED_VALUE"""),"20 inch Sport")</f>
        <v>20 inch Sport</v>
      </c>
      <c r="Q2837" s="177" t="str">
        <f>IFERROR(__xludf.DUMMYFUNCTION("""COMPUTED_VALUE"""),"White seats")</f>
        <v>White seats</v>
      </c>
      <c r="R2837" s="170" t="str">
        <f>IFERROR(__xludf.DUMMYFUNCTION("""COMPUTED_VALUE"""),"Full Self-Driving")</f>
        <v>Full Self-Driving</v>
      </c>
      <c r="S2837" s="170"/>
      <c r="T2837" s="179"/>
      <c r="U2837" s="179"/>
      <c r="V2837" s="179"/>
      <c r="W2837" s="180"/>
      <c r="X2837" s="181" t="str">
        <f>IFERROR(__xludf.DUMMYFUNCTION("""COMPUTED_VALUE"""),"Poor")</f>
        <v>Poor</v>
      </c>
      <c r="Y2837" s="182" t="str">
        <f>IFERROR(__xludf.DUMMYFUNCTION("""COMPUTED_VALUE"""),"Excellent")</f>
        <v>Excellent</v>
      </c>
      <c r="Z2837" s="182" t="str">
        <f>IFERROR(__xludf.DUMMYFUNCTION("""COMPUTED_VALUE"""),"Very Good")</f>
        <v>Very Good</v>
      </c>
      <c r="AA2837" s="182" t="str">
        <f>IFERROR(__xludf.DUMMYFUNCTION("""COMPUTED_VALUE"""),"Very Good")</f>
        <v>Very Good</v>
      </c>
      <c r="AB2837" s="182" t="str">
        <f>IFERROR(__xludf.DUMMYFUNCTION("""COMPUTED_VALUE"""),"Excellent")</f>
        <v>Excellent</v>
      </c>
      <c r="AC2837" s="183">
        <f>IFERROR(__xludf.DUMMYFUNCTION("""COMPUTED_VALUE"""),2.0)</f>
        <v>2</v>
      </c>
      <c r="AD2837" s="183">
        <f>IFERROR(__xludf.DUMMYFUNCTION("""COMPUTED_VALUE"""),1.0)</f>
        <v>1</v>
      </c>
      <c r="AE2837" s="183"/>
      <c r="AF2837" s="184"/>
      <c r="AG2837" s="180"/>
      <c r="AH2837" s="185">
        <f>IFERROR(__xludf.DUMMYFUNCTION("""COMPUTED_VALUE"""),43336.383959618055)</f>
        <v>43336.38396</v>
      </c>
      <c r="AI2837" s="182"/>
      <c r="AJ2837" s="182"/>
      <c r="AK2837" s="182"/>
      <c r="AL2837" s="182"/>
    </row>
    <row r="2838" ht="20.25" customHeight="1">
      <c r="A2838" s="169" t="str">
        <f>IFERROR(__xludf.DUMMYFUNCTION("""COMPUTED_VALUE"""),"KLS")</f>
        <v>KLS</v>
      </c>
      <c r="B2838" s="170" t="str">
        <f>IFERROR(__xludf.DUMMYFUNCTION("""COMPUTED_VALUE"""),"Seattle")</f>
        <v>Seattle</v>
      </c>
      <c r="C2838" s="170" t="str">
        <f>IFERROR(__xludf.DUMMYFUNCTION("""COMPUTED_VALUE"""),"WA")</f>
        <v>WA</v>
      </c>
      <c r="D2838" s="170" t="str">
        <f>IFERROR(__xludf.DUMMYFUNCTION("""COMPUTED_VALUE"""),"USA")</f>
        <v>USA</v>
      </c>
      <c r="E2838" s="171">
        <f>IFERROR(__xludf.DUMMYFUNCTION("""COMPUTED_VALUE"""),43280.0)</f>
        <v>43280</v>
      </c>
      <c r="F2838" s="172">
        <f>IFERROR(__xludf.DUMMYFUNCTION("""COMPUTED_VALUE"""),43325.0)</f>
        <v>43325</v>
      </c>
      <c r="G2838" s="173"/>
      <c r="H2838" s="174">
        <f>IFERROR(__xludf.DUMMYFUNCTION("""COMPUTED_VALUE"""),70555.0)</f>
        <v>70555</v>
      </c>
      <c r="I2838" s="175" t="str">
        <f>IFERROR(__xludf.DUMMYFUNCTION("""COMPUTED_VALUE"""),"08/18")</f>
        <v>08/18</v>
      </c>
      <c r="J2838" s="172">
        <f>IFERROR(__xludf.DUMMYFUNCTION("""COMPUTED_VALUE"""),43335.0)</f>
        <v>43335</v>
      </c>
      <c r="K2838" s="176">
        <f>IFERROR(__xludf.DUMMYFUNCTION("""COMPUTED_VALUE"""),45.0)</f>
        <v>45</v>
      </c>
      <c r="L2838" s="176">
        <f>IFERROR(__xludf.DUMMYFUNCTION("""COMPUTED_VALUE"""),10.0)</f>
        <v>10</v>
      </c>
      <c r="M2838" s="176">
        <f>IFERROR(__xludf.DUMMYFUNCTION("""COMPUTED_VALUE"""),55.0)</f>
        <v>55</v>
      </c>
      <c r="N2838" s="177" t="str">
        <f>IFERROR(__xludf.DUMMYFUNCTION("""COMPUTED_VALUE"""),"Model 3 LR AWD")</f>
        <v>Model 3 LR AWD</v>
      </c>
      <c r="O2838" s="177" t="str">
        <f>IFERROR(__xludf.DUMMYFUNCTION("""COMPUTED_VALUE"""),"Obsidian Black Metallic")</f>
        <v>Obsidian Black Metallic</v>
      </c>
      <c r="P2838" s="178" t="str">
        <f>IFERROR(__xludf.DUMMYFUNCTION("""COMPUTED_VALUE"""),"18 inch Aero")</f>
        <v>18 inch Aero</v>
      </c>
      <c r="Q2838" s="177" t="str">
        <f>IFERROR(__xludf.DUMMYFUNCTION("""COMPUTED_VALUE"""),"Black seats")</f>
        <v>Black seats</v>
      </c>
      <c r="R2838" s="170" t="str">
        <f>IFERROR(__xludf.DUMMYFUNCTION("""COMPUTED_VALUE"""),"Enhanced Autopilot")</f>
        <v>Enhanced Autopilot</v>
      </c>
      <c r="S2838" s="170"/>
      <c r="T2838" s="179"/>
      <c r="U2838" s="179"/>
      <c r="V2838" s="179"/>
      <c r="W2838" s="180"/>
      <c r="X2838" s="181" t="str">
        <f>IFERROR(__xludf.DUMMYFUNCTION("""COMPUTED_VALUE"""),"Very Good")</f>
        <v>Very Good</v>
      </c>
      <c r="Y2838" s="182" t="str">
        <f>IFERROR(__xludf.DUMMYFUNCTION("""COMPUTED_VALUE"""),"Very Good")</f>
        <v>Very Good</v>
      </c>
      <c r="Z2838" s="182" t="str">
        <f>IFERROR(__xludf.DUMMYFUNCTION("""COMPUTED_VALUE"""),"Very Good")</f>
        <v>Very Good</v>
      </c>
      <c r="AA2838" s="182" t="str">
        <f>IFERROR(__xludf.DUMMYFUNCTION("""COMPUTED_VALUE"""),"Very Good")</f>
        <v>Very Good</v>
      </c>
      <c r="AB2838" s="182" t="str">
        <f>IFERROR(__xludf.DUMMYFUNCTION("""COMPUTED_VALUE"""),"Very Good")</f>
        <v>Very Good</v>
      </c>
      <c r="AC2838" s="183">
        <f>IFERROR(__xludf.DUMMYFUNCTION("""COMPUTED_VALUE"""),1.0)</f>
        <v>1</v>
      </c>
      <c r="AD2838" s="183">
        <f>IFERROR(__xludf.DUMMYFUNCTION("""COMPUTED_VALUE"""),1.0)</f>
        <v>1</v>
      </c>
      <c r="AE2838" s="183">
        <f>IFERROR(__xludf.DUMMYFUNCTION("""COMPUTED_VALUE"""),0.0)</f>
        <v>0</v>
      </c>
      <c r="AF2838" s="184"/>
      <c r="AG2838" s="180" t="str">
        <f>IFERROR(__xludf.DUMMYFUNCTION("""COMPUTED_VALUE"""),"I love my car!")</f>
        <v>I love my car!</v>
      </c>
      <c r="AH2838" s="185">
        <f>IFERROR(__xludf.DUMMYFUNCTION("""COMPUTED_VALUE"""),43354.89519357639)</f>
        <v>43354.89519</v>
      </c>
      <c r="AI2838" s="182"/>
      <c r="AJ2838" s="182"/>
      <c r="AK2838" s="182"/>
      <c r="AL2838" s="182"/>
    </row>
    <row r="2839" ht="20.25" customHeight="1">
      <c r="A2839" s="169" t="str">
        <f>IFERROR(__xludf.DUMMYFUNCTION("""COMPUTED_VALUE"""),"Kuriente")</f>
        <v>Kuriente</v>
      </c>
      <c r="B2839" s="170" t="str">
        <f>IFERROR(__xludf.DUMMYFUNCTION("""COMPUTED_VALUE"""),"Delaware")</f>
        <v>Delaware</v>
      </c>
      <c r="C2839" s="170" t="str">
        <f>IFERROR(__xludf.DUMMYFUNCTION("""COMPUTED_VALUE"""),"DE")</f>
        <v>DE</v>
      </c>
      <c r="D2839" s="170" t="str">
        <f>IFERROR(__xludf.DUMMYFUNCTION("""COMPUTED_VALUE"""),"USA")</f>
        <v>USA</v>
      </c>
      <c r="E2839" s="171">
        <f>IFERROR(__xludf.DUMMYFUNCTION("""COMPUTED_VALUE"""),43280.0)</f>
        <v>43280</v>
      </c>
      <c r="F2839" s="172">
        <f>IFERROR(__xludf.DUMMYFUNCTION("""COMPUTED_VALUE"""),43386.0)</f>
        <v>43386</v>
      </c>
      <c r="G2839" s="173"/>
      <c r="H2839" s="174">
        <f>IFERROR(__xludf.DUMMYFUNCTION("""COMPUTED_VALUE"""),93879.0)</f>
        <v>93879</v>
      </c>
      <c r="I2839" s="175"/>
      <c r="J2839" s="172">
        <f>IFERROR(__xludf.DUMMYFUNCTION("""COMPUTED_VALUE"""),43386.0)</f>
        <v>43386</v>
      </c>
      <c r="K2839" s="176">
        <f>IFERROR(__xludf.DUMMYFUNCTION("""COMPUTED_VALUE"""),106.0)</f>
        <v>106</v>
      </c>
      <c r="L2839" s="176">
        <f>IFERROR(__xludf.DUMMYFUNCTION("""COMPUTED_VALUE"""),0.0)</f>
        <v>0</v>
      </c>
      <c r="M2839" s="176">
        <f>IFERROR(__xludf.DUMMYFUNCTION("""COMPUTED_VALUE"""),106.0)</f>
        <v>106</v>
      </c>
      <c r="N2839" s="177" t="str">
        <f>IFERROR(__xludf.DUMMYFUNCTION("""COMPUTED_VALUE"""),"Model 3 LR AWD")</f>
        <v>Model 3 LR AWD</v>
      </c>
      <c r="O2839" s="177" t="str">
        <f>IFERROR(__xludf.DUMMYFUNCTION("""COMPUTED_VALUE"""),"Pearl White Multi-Coat")</f>
        <v>Pearl White Multi-Coat</v>
      </c>
      <c r="P2839" s="178" t="str">
        <f>IFERROR(__xludf.DUMMYFUNCTION("""COMPUTED_VALUE"""),"18 inch Aero")</f>
        <v>18 inch Aero</v>
      </c>
      <c r="Q2839" s="177" t="str">
        <f>IFERROR(__xludf.DUMMYFUNCTION("""COMPUTED_VALUE"""),"Black seats")</f>
        <v>Black seats</v>
      </c>
      <c r="R2839" s="170" t="str">
        <f>IFERROR(__xludf.DUMMYFUNCTION("""COMPUTED_VALUE"""),"Full Self-Driving")</f>
        <v>Full Self-Driving</v>
      </c>
      <c r="S2839" s="170"/>
      <c r="T2839" s="179"/>
      <c r="U2839" s="179"/>
      <c r="V2839" s="179"/>
      <c r="W2839" s="180"/>
      <c r="X2839" s="181" t="str">
        <f>IFERROR(__xludf.DUMMYFUNCTION("""COMPUTED_VALUE"""),"Very Good")</f>
        <v>Very Good</v>
      </c>
      <c r="Y2839" s="182" t="str">
        <f>IFERROR(__xludf.DUMMYFUNCTION("""COMPUTED_VALUE"""),"Excellent")</f>
        <v>Excellent</v>
      </c>
      <c r="Z2839" s="182" t="str">
        <f>IFERROR(__xludf.DUMMYFUNCTION("""COMPUTED_VALUE"""),"Very Good")</f>
        <v>Very Good</v>
      </c>
      <c r="AA2839" s="182" t="str">
        <f>IFERROR(__xludf.DUMMYFUNCTION("""COMPUTED_VALUE"""),"Poor")</f>
        <v>Poor</v>
      </c>
      <c r="AB2839" s="182" t="str">
        <f>IFERROR(__xludf.DUMMYFUNCTION("""COMPUTED_VALUE"""),"Very Good")</f>
        <v>Very Good</v>
      </c>
      <c r="AC2839" s="183">
        <f>IFERROR(__xludf.DUMMYFUNCTION("""COMPUTED_VALUE"""),2.0)</f>
        <v>2</v>
      </c>
      <c r="AD2839" s="183">
        <f>IFERROR(__xludf.DUMMYFUNCTION("""COMPUTED_VALUE"""),0.0)</f>
        <v>0</v>
      </c>
      <c r="AE2839" s="183">
        <f>IFERROR(__xludf.DUMMYFUNCTION("""COMPUTED_VALUE"""),1.0)</f>
        <v>1</v>
      </c>
      <c r="AF2839" s="184"/>
      <c r="AG2839" s="180"/>
      <c r="AH2839" s="185">
        <f>IFERROR(__xludf.DUMMYFUNCTION("""COMPUTED_VALUE"""),43395.7195216551)</f>
        <v>43395.71952</v>
      </c>
      <c r="AI2839" s="182"/>
      <c r="AJ2839" s="182"/>
      <c r="AK2839" s="182"/>
      <c r="AL2839" s="182"/>
    </row>
    <row r="2840" ht="20.25" customHeight="1">
      <c r="A2840" s="169" t="str">
        <f>IFERROR(__xludf.DUMMYFUNCTION("""COMPUTED_VALUE"""),"luckyy")</f>
        <v>luckyy</v>
      </c>
      <c r="B2840" s="170" t="str">
        <f>IFERROR(__xludf.DUMMYFUNCTION("""COMPUTED_VALUE"""),"Champlain Valley")</f>
        <v>Champlain Valley</v>
      </c>
      <c r="C2840" s="170" t="str">
        <f>IFERROR(__xludf.DUMMYFUNCTION("""COMPUTED_VALUE"""),"VT")</f>
        <v>VT</v>
      </c>
      <c r="D2840" s="170" t="str">
        <f>IFERROR(__xludf.DUMMYFUNCTION("""COMPUTED_VALUE"""),"USA")</f>
        <v>USA</v>
      </c>
      <c r="E2840" s="171">
        <f>IFERROR(__xludf.DUMMYFUNCTION("""COMPUTED_VALUE"""),43280.0)</f>
        <v>43280</v>
      </c>
      <c r="F2840" s="172">
        <f>IFERROR(__xludf.DUMMYFUNCTION("""COMPUTED_VALUE"""),43350.0)</f>
        <v>43350</v>
      </c>
      <c r="G2840" s="173"/>
      <c r="H2840" s="174">
        <f>IFERROR(__xludf.DUMMYFUNCTION("""COMPUTED_VALUE"""),66355.0)</f>
        <v>66355</v>
      </c>
      <c r="I2840" s="175" t="str">
        <f>IFERROR(__xludf.DUMMYFUNCTION("""COMPUTED_VALUE"""),"08/18")</f>
        <v>08/18</v>
      </c>
      <c r="J2840" s="172">
        <f>IFERROR(__xludf.DUMMYFUNCTION("""COMPUTED_VALUE"""),43373.0)</f>
        <v>43373</v>
      </c>
      <c r="K2840" s="176">
        <f>IFERROR(__xludf.DUMMYFUNCTION("""COMPUTED_VALUE"""),70.0)</f>
        <v>70</v>
      </c>
      <c r="L2840" s="176">
        <f>IFERROR(__xludf.DUMMYFUNCTION("""COMPUTED_VALUE"""),23.0)</f>
        <v>23</v>
      </c>
      <c r="M2840" s="176">
        <f>IFERROR(__xludf.DUMMYFUNCTION("""COMPUTED_VALUE"""),93.0)</f>
        <v>93</v>
      </c>
      <c r="N2840" s="177" t="str">
        <f>IFERROR(__xludf.DUMMYFUNCTION("""COMPUTED_VALUE"""),"Model 3 LR AWD")</f>
        <v>Model 3 LR AWD</v>
      </c>
      <c r="O2840" s="177" t="str">
        <f>IFERROR(__xludf.DUMMYFUNCTION("""COMPUTED_VALUE"""),"Midnight Silver Metallic")</f>
        <v>Midnight Silver Metallic</v>
      </c>
      <c r="P2840" s="178" t="str">
        <f>IFERROR(__xludf.DUMMYFUNCTION("""COMPUTED_VALUE"""),"18 inch Aero")</f>
        <v>18 inch Aero</v>
      </c>
      <c r="Q2840" s="177" t="str">
        <f>IFERROR(__xludf.DUMMYFUNCTION("""COMPUTED_VALUE"""),"Black seats")</f>
        <v>Black seats</v>
      </c>
      <c r="R2840" s="170" t="str">
        <f>IFERROR(__xludf.DUMMYFUNCTION("""COMPUTED_VALUE"""),"Enhanced Autopilot")</f>
        <v>Enhanced Autopilot</v>
      </c>
      <c r="S2840" s="170"/>
      <c r="T2840" s="179"/>
      <c r="U2840" s="179"/>
      <c r="V2840" s="179"/>
      <c r="W2840" s="180"/>
      <c r="X2840" s="181" t="str">
        <f>IFERROR(__xludf.DUMMYFUNCTION("""COMPUTED_VALUE"""),"Excellent")</f>
        <v>Excellent</v>
      </c>
      <c r="Y2840" s="182" t="str">
        <f>IFERROR(__xludf.DUMMYFUNCTION("""COMPUTED_VALUE"""),"Excellent")</f>
        <v>Excellent</v>
      </c>
      <c r="Z2840" s="182" t="str">
        <f>IFERROR(__xludf.DUMMYFUNCTION("""COMPUTED_VALUE"""),"Very Good")</f>
        <v>Very Good</v>
      </c>
      <c r="AA2840" s="182" t="str">
        <f>IFERROR(__xludf.DUMMYFUNCTION("""COMPUTED_VALUE"""),"Good")</f>
        <v>Good</v>
      </c>
      <c r="AB2840" s="182" t="str">
        <f>IFERROR(__xludf.DUMMYFUNCTION("""COMPUTED_VALUE"""),"Fair")</f>
        <v>Fair</v>
      </c>
      <c r="AC2840" s="183"/>
      <c r="AD2840" s="183"/>
      <c r="AE2840" s="183"/>
      <c r="AF2840" s="184"/>
      <c r="AG2840" s="180"/>
      <c r="AH2840" s="185">
        <f>IFERROR(__xludf.DUMMYFUNCTION("""COMPUTED_VALUE"""),43376.816747476856)</f>
        <v>43376.81675</v>
      </c>
      <c r="AI2840" s="182"/>
      <c r="AJ2840" s="182"/>
      <c r="AK2840" s="182"/>
      <c r="AL2840" s="182"/>
    </row>
    <row r="2841" ht="20.25" customHeight="1">
      <c r="A2841" s="169" t="str">
        <f>IFERROR(__xludf.DUMMYFUNCTION("""COMPUTED_VALUE"""),"MB")</f>
        <v>MB</v>
      </c>
      <c r="B2841" s="170" t="str">
        <f>IFERROR(__xludf.DUMMYFUNCTION("""COMPUTED_VALUE"""),"Staten island")</f>
        <v>Staten island</v>
      </c>
      <c r="C2841" s="170" t="str">
        <f>IFERROR(__xludf.DUMMYFUNCTION("""COMPUTED_VALUE"""),"NY")</f>
        <v>NY</v>
      </c>
      <c r="D2841" s="170" t="str">
        <f>IFERROR(__xludf.DUMMYFUNCTION("""COMPUTED_VALUE"""),"USA")</f>
        <v>USA</v>
      </c>
      <c r="E2841" s="171">
        <f>IFERROR(__xludf.DUMMYFUNCTION("""COMPUTED_VALUE"""),43280.0)</f>
        <v>43280</v>
      </c>
      <c r="F2841" s="172"/>
      <c r="G2841" s="173"/>
      <c r="H2841" s="174">
        <f>IFERROR(__xludf.DUMMYFUNCTION("""COMPUTED_VALUE"""),73255.0)</f>
        <v>73255</v>
      </c>
      <c r="I2841" s="175" t="str">
        <f>IFERROR(__xludf.DUMMYFUNCTION("""COMPUTED_VALUE"""),"08/18")</f>
        <v>08/18</v>
      </c>
      <c r="J2841" s="172">
        <f>IFERROR(__xludf.DUMMYFUNCTION("""COMPUTED_VALUE"""),43360.0)</f>
        <v>43360</v>
      </c>
      <c r="K2841" s="176"/>
      <c r="L2841" s="176"/>
      <c r="M2841" s="176">
        <f>IFERROR(__xludf.DUMMYFUNCTION("""COMPUTED_VALUE"""),80.0)</f>
        <v>80</v>
      </c>
      <c r="N2841" s="177" t="str">
        <f>IFERROR(__xludf.DUMMYFUNCTION("""COMPUTED_VALUE"""),"Model 3 LR AWD")</f>
        <v>Model 3 LR AWD</v>
      </c>
      <c r="O2841" s="177" t="str">
        <f>IFERROR(__xludf.DUMMYFUNCTION("""COMPUTED_VALUE"""),"Solid Black")</f>
        <v>Solid Black</v>
      </c>
      <c r="P2841" s="178" t="str">
        <f>IFERROR(__xludf.DUMMYFUNCTION("""COMPUTED_VALUE"""),"19 inch Sport")</f>
        <v>19 inch Sport</v>
      </c>
      <c r="Q2841" s="177" t="str">
        <f>IFERROR(__xludf.DUMMYFUNCTION("""COMPUTED_VALUE"""),"Black seats")</f>
        <v>Black seats</v>
      </c>
      <c r="R2841" s="170" t="str">
        <f>IFERROR(__xludf.DUMMYFUNCTION("""COMPUTED_VALUE"""),"None")</f>
        <v>None</v>
      </c>
      <c r="S2841" s="170"/>
      <c r="T2841" s="179"/>
      <c r="U2841" s="179"/>
      <c r="V2841" s="179"/>
      <c r="W2841" s="180"/>
      <c r="X2841" s="181" t="str">
        <f>IFERROR(__xludf.DUMMYFUNCTION("""COMPUTED_VALUE"""),"Good")</f>
        <v>Good</v>
      </c>
      <c r="Y2841" s="182" t="str">
        <f>IFERROR(__xludf.DUMMYFUNCTION("""COMPUTED_VALUE"""),"Excellent")</f>
        <v>Excellent</v>
      </c>
      <c r="Z2841" s="182" t="str">
        <f>IFERROR(__xludf.DUMMYFUNCTION("""COMPUTED_VALUE"""),"Excellent")</f>
        <v>Excellent</v>
      </c>
      <c r="AA2841" s="182" t="str">
        <f>IFERROR(__xludf.DUMMYFUNCTION("""COMPUTED_VALUE"""),"Fair")</f>
        <v>Fair</v>
      </c>
      <c r="AB2841" s="182" t="str">
        <f>IFERROR(__xludf.DUMMYFUNCTION("""COMPUTED_VALUE"""),"Excellent")</f>
        <v>Excellent</v>
      </c>
      <c r="AC2841" s="183">
        <f>IFERROR(__xludf.DUMMYFUNCTION("""COMPUTED_VALUE"""),1.0)</f>
        <v>1</v>
      </c>
      <c r="AD2841" s="183"/>
      <c r="AE2841" s="183"/>
      <c r="AF2841" s="184"/>
      <c r="AG2841" s="180"/>
      <c r="AH2841" s="185">
        <f>IFERROR(__xludf.DUMMYFUNCTION("""COMPUTED_VALUE"""),43364.33507170139)</f>
        <v>43364.33507</v>
      </c>
      <c r="AI2841" s="182"/>
      <c r="AJ2841" s="182"/>
      <c r="AK2841" s="182"/>
      <c r="AL2841" s="182"/>
    </row>
    <row r="2842" ht="20.25" customHeight="1">
      <c r="A2842" s="169" t="str">
        <f>IFERROR(__xludf.DUMMYFUNCTION("""COMPUTED_VALUE"""),"mdfraz")</f>
        <v>mdfraz</v>
      </c>
      <c r="B2842" s="170" t="str">
        <f>IFERROR(__xludf.DUMMYFUNCTION("""COMPUTED_VALUE"""),"Lenexa")</f>
        <v>Lenexa</v>
      </c>
      <c r="C2842" s="170" t="str">
        <f>IFERROR(__xludf.DUMMYFUNCTION("""COMPUTED_VALUE"""),"KS")</f>
        <v>KS</v>
      </c>
      <c r="D2842" s="170" t="str">
        <f>IFERROR(__xludf.DUMMYFUNCTION("""COMPUTED_VALUE"""),"USA")</f>
        <v>USA</v>
      </c>
      <c r="E2842" s="171">
        <f>IFERROR(__xludf.DUMMYFUNCTION("""COMPUTED_VALUE"""),43280.0)</f>
        <v>43280</v>
      </c>
      <c r="F2842" s="172">
        <f>IFERROR(__xludf.DUMMYFUNCTION("""COMPUTED_VALUE"""),43285.0)</f>
        <v>43285</v>
      </c>
      <c r="G2842" s="173"/>
      <c r="H2842" s="174">
        <f>IFERROR(__xludf.DUMMYFUNCTION("""COMPUTED_VALUE"""),28155.0)</f>
        <v>28155</v>
      </c>
      <c r="I2842" s="175" t="str">
        <f>IFERROR(__xludf.DUMMYFUNCTION("""COMPUTED_VALUE"""),"06/18")</f>
        <v>06/18</v>
      </c>
      <c r="J2842" s="172">
        <f>IFERROR(__xludf.DUMMYFUNCTION("""COMPUTED_VALUE"""),43302.0)</f>
        <v>43302</v>
      </c>
      <c r="K2842" s="176">
        <f>IFERROR(__xludf.DUMMYFUNCTION("""COMPUTED_VALUE"""),5.0)</f>
        <v>5</v>
      </c>
      <c r="L2842" s="176">
        <f>IFERROR(__xludf.DUMMYFUNCTION("""COMPUTED_VALUE"""),17.0)</f>
        <v>17</v>
      </c>
      <c r="M2842" s="176">
        <f>IFERROR(__xludf.DUMMYFUNCTION("""COMPUTED_VALUE"""),22.0)</f>
        <v>22</v>
      </c>
      <c r="N2842" s="177" t="str">
        <f>IFERROR(__xludf.DUMMYFUNCTION("""COMPUTED_VALUE"""),"Model 3 SR")</f>
        <v>Model 3 SR</v>
      </c>
      <c r="O2842" s="177" t="str">
        <f>IFERROR(__xludf.DUMMYFUNCTION("""COMPUTED_VALUE"""),"Midnight Silver Metallic")</f>
        <v>Midnight Silver Metallic</v>
      </c>
      <c r="P2842" s="178" t="str">
        <f>IFERROR(__xludf.DUMMYFUNCTION("""COMPUTED_VALUE"""),"18 inch Aero")</f>
        <v>18 inch Aero</v>
      </c>
      <c r="Q2842" s="177" t="str">
        <f>IFERROR(__xludf.DUMMYFUNCTION("""COMPUTED_VALUE"""),"Black seats")</f>
        <v>Black seats</v>
      </c>
      <c r="R2842" s="170" t="str">
        <f>IFERROR(__xludf.DUMMYFUNCTION("""COMPUTED_VALUE"""),"None")</f>
        <v>None</v>
      </c>
      <c r="S2842" s="170"/>
      <c r="T2842" s="179"/>
      <c r="U2842" s="179"/>
      <c r="V2842" s="179"/>
      <c r="W2842" s="180"/>
      <c r="X2842" s="181" t="str">
        <f>IFERROR(__xludf.DUMMYFUNCTION("""COMPUTED_VALUE"""),"Very Good")</f>
        <v>Very Good</v>
      </c>
      <c r="Y2842" s="182" t="str">
        <f>IFERROR(__xludf.DUMMYFUNCTION("""COMPUTED_VALUE"""),"Excellent")</f>
        <v>Excellent</v>
      </c>
      <c r="Z2842" s="182" t="str">
        <f>IFERROR(__xludf.DUMMYFUNCTION("""COMPUTED_VALUE"""),"Excellent")</f>
        <v>Excellent</v>
      </c>
      <c r="AA2842" s="182" t="str">
        <f>IFERROR(__xludf.DUMMYFUNCTION("""COMPUTED_VALUE"""),"Excellent")</f>
        <v>Excellent</v>
      </c>
      <c r="AB2842" s="182" t="str">
        <f>IFERROR(__xludf.DUMMYFUNCTION("""COMPUTED_VALUE"""),"Excellent")</f>
        <v>Excellent</v>
      </c>
      <c r="AC2842" s="183"/>
      <c r="AD2842" s="183"/>
      <c r="AE2842" s="183"/>
      <c r="AF2842" s="184"/>
      <c r="AG2842" s="180"/>
      <c r="AH2842" s="185">
        <f>IFERROR(__xludf.DUMMYFUNCTION("""COMPUTED_VALUE"""),43303.920691122694)</f>
        <v>43303.92069</v>
      </c>
      <c r="AI2842" s="182"/>
      <c r="AJ2842" s="182"/>
      <c r="AK2842" s="182"/>
      <c r="AL2842" s="182"/>
    </row>
    <row r="2843" ht="20.25" customHeight="1">
      <c r="A2843" s="169" t="str">
        <f>IFERROR(__xludf.DUMMYFUNCTION("""COMPUTED_VALUE"""),"Mpalmieri1203")</f>
        <v>Mpalmieri1203</v>
      </c>
      <c r="B2843" s="170" t="str">
        <f>IFERROR(__xludf.DUMMYFUNCTION("""COMPUTED_VALUE"""),"Poughkeepsie")</f>
        <v>Poughkeepsie</v>
      </c>
      <c r="C2843" s="170" t="str">
        <f>IFERROR(__xludf.DUMMYFUNCTION("""COMPUTED_VALUE"""),"NY")</f>
        <v>NY</v>
      </c>
      <c r="D2843" s="170" t="str">
        <f>IFERROR(__xludf.DUMMYFUNCTION("""COMPUTED_VALUE"""),"USA")</f>
        <v>USA</v>
      </c>
      <c r="E2843" s="171">
        <f>IFERROR(__xludf.DUMMYFUNCTION("""COMPUTED_VALUE"""),43280.0)</f>
        <v>43280</v>
      </c>
      <c r="F2843" s="172">
        <f>IFERROR(__xludf.DUMMYFUNCTION("""COMPUTED_VALUE"""),43295.0)</f>
        <v>43295</v>
      </c>
      <c r="G2843" s="173"/>
      <c r="H2843" s="174">
        <f>IFERROR(__xludf.DUMMYFUNCTION("""COMPUTED_VALUE"""),30494.0)</f>
        <v>30494</v>
      </c>
      <c r="I2843" s="175" t="str">
        <f>IFERROR(__xludf.DUMMYFUNCTION("""COMPUTED_VALUE"""),"06/18")</f>
        <v>06/18</v>
      </c>
      <c r="J2843" s="172">
        <f>IFERROR(__xludf.DUMMYFUNCTION("""COMPUTED_VALUE"""),43298.0)</f>
        <v>43298</v>
      </c>
      <c r="K2843" s="176">
        <f>IFERROR(__xludf.DUMMYFUNCTION("""COMPUTED_VALUE"""),15.0)</f>
        <v>15</v>
      </c>
      <c r="L2843" s="176">
        <f>IFERROR(__xludf.DUMMYFUNCTION("""COMPUTED_VALUE"""),3.0)</f>
        <v>3</v>
      </c>
      <c r="M2843" s="176">
        <f>IFERROR(__xludf.DUMMYFUNCTION("""COMPUTED_VALUE"""),18.0)</f>
        <v>18</v>
      </c>
      <c r="N2843" s="177" t="str">
        <f>IFERROR(__xludf.DUMMYFUNCTION("""COMPUTED_VALUE"""),"Model 3 LR")</f>
        <v>Model 3 LR</v>
      </c>
      <c r="O2843" s="177" t="str">
        <f>IFERROR(__xludf.DUMMYFUNCTION("""COMPUTED_VALUE"""),"Midnight Silver Metallic")</f>
        <v>Midnight Silver Metallic</v>
      </c>
      <c r="P2843" s="178" t="str">
        <f>IFERROR(__xludf.DUMMYFUNCTION("""COMPUTED_VALUE"""),"18 inch Aero")</f>
        <v>18 inch Aero</v>
      </c>
      <c r="Q2843" s="177" t="str">
        <f>IFERROR(__xludf.DUMMYFUNCTION("""COMPUTED_VALUE"""),"Black seats")</f>
        <v>Black seats</v>
      </c>
      <c r="R2843" s="170" t="str">
        <f>IFERROR(__xludf.DUMMYFUNCTION("""COMPUTED_VALUE"""),"None")</f>
        <v>None</v>
      </c>
      <c r="S2843" s="170"/>
      <c r="T2843" s="179"/>
      <c r="U2843" s="179"/>
      <c r="V2843" s="179"/>
      <c r="W2843" s="180"/>
      <c r="X2843" s="181" t="str">
        <f>IFERROR(__xludf.DUMMYFUNCTION("""COMPUTED_VALUE"""),"Excellent")</f>
        <v>Excellent</v>
      </c>
      <c r="Y2843" s="182" t="str">
        <f>IFERROR(__xludf.DUMMYFUNCTION("""COMPUTED_VALUE"""),"Excellent")</f>
        <v>Excellent</v>
      </c>
      <c r="Z2843" s="182" t="str">
        <f>IFERROR(__xludf.DUMMYFUNCTION("""COMPUTED_VALUE"""),"Excellent")</f>
        <v>Excellent</v>
      </c>
      <c r="AA2843" s="182" t="str">
        <f>IFERROR(__xludf.DUMMYFUNCTION("""COMPUTED_VALUE"""),"Good")</f>
        <v>Good</v>
      </c>
      <c r="AB2843" s="182" t="str">
        <f>IFERROR(__xludf.DUMMYFUNCTION("""COMPUTED_VALUE"""),"Excellent")</f>
        <v>Excellent</v>
      </c>
      <c r="AC2843" s="183">
        <f>IFERROR(__xludf.DUMMYFUNCTION("""COMPUTED_VALUE"""),0.0)</f>
        <v>0</v>
      </c>
      <c r="AD2843" s="183"/>
      <c r="AE2843" s="183"/>
      <c r="AF2843" s="184"/>
      <c r="AG2843" s="180"/>
      <c r="AH2843" s="185">
        <f>IFERROR(__xludf.DUMMYFUNCTION("""COMPUTED_VALUE"""),43298.64545832176)</f>
        <v>43298.64546</v>
      </c>
      <c r="AI2843" s="182"/>
      <c r="AJ2843" s="182"/>
      <c r="AK2843" s="182"/>
      <c r="AL2843" s="182"/>
    </row>
    <row r="2844" ht="20.25" customHeight="1">
      <c r="A2844" s="169" t="str">
        <f>IFERROR(__xludf.DUMMYFUNCTION("""COMPUTED_VALUE"""),"mscott")</f>
        <v>mscott</v>
      </c>
      <c r="B2844" s="170" t="str">
        <f>IFERROR(__xludf.DUMMYFUNCTION("""COMPUTED_VALUE"""),"Colorado Springs")</f>
        <v>Colorado Springs</v>
      </c>
      <c r="C2844" s="170" t="str">
        <f>IFERROR(__xludf.DUMMYFUNCTION("""COMPUTED_VALUE"""),"CO")</f>
        <v>CO</v>
      </c>
      <c r="D2844" s="170" t="str">
        <f>IFERROR(__xludf.DUMMYFUNCTION("""COMPUTED_VALUE"""),"USA")</f>
        <v>USA</v>
      </c>
      <c r="E2844" s="171">
        <f>IFERROR(__xludf.DUMMYFUNCTION("""COMPUTED_VALUE"""),43280.0)</f>
        <v>43280</v>
      </c>
      <c r="F2844" s="172"/>
      <c r="G2844" s="173"/>
      <c r="H2844" s="174">
        <f>IFERROR(__xludf.DUMMYFUNCTION("""COMPUTED_VALUE"""),99868.0)</f>
        <v>99868</v>
      </c>
      <c r="I2844" s="175"/>
      <c r="J2844" s="172">
        <f>IFERROR(__xludf.DUMMYFUNCTION("""COMPUTED_VALUE"""),43368.0)</f>
        <v>43368</v>
      </c>
      <c r="K2844" s="176"/>
      <c r="L2844" s="176"/>
      <c r="M2844" s="176">
        <f>IFERROR(__xludf.DUMMYFUNCTION("""COMPUTED_VALUE"""),88.0)</f>
        <v>88</v>
      </c>
      <c r="N2844" s="177" t="str">
        <f>IFERROR(__xludf.DUMMYFUNCTION("""COMPUTED_VALUE"""),"Model 3 Performance")</f>
        <v>Model 3 Performance</v>
      </c>
      <c r="O2844" s="177" t="str">
        <f>IFERROR(__xludf.DUMMYFUNCTION("""COMPUTED_VALUE"""),"Deep Blue Metallic")</f>
        <v>Deep Blue Metallic</v>
      </c>
      <c r="P2844" s="178" t="str">
        <f>IFERROR(__xludf.DUMMYFUNCTION("""COMPUTED_VALUE"""),"18 inch Aero")</f>
        <v>18 inch Aero</v>
      </c>
      <c r="Q2844" s="177" t="str">
        <f>IFERROR(__xludf.DUMMYFUNCTION("""COMPUTED_VALUE"""),"White seats")</f>
        <v>White seats</v>
      </c>
      <c r="R2844" s="170" t="str">
        <f>IFERROR(__xludf.DUMMYFUNCTION("""COMPUTED_VALUE"""),"Enhanced Autopilot")</f>
        <v>Enhanced Autopilot</v>
      </c>
      <c r="S2844" s="170"/>
      <c r="T2844" s="179"/>
      <c r="U2844" s="179"/>
      <c r="V2844" s="179"/>
      <c r="W2844" s="180"/>
      <c r="X2844" s="181" t="str">
        <f>IFERROR(__xludf.DUMMYFUNCTION("""COMPUTED_VALUE"""),"Excellent")</f>
        <v>Excellent</v>
      </c>
      <c r="Y2844" s="182" t="str">
        <f>IFERROR(__xludf.DUMMYFUNCTION("""COMPUTED_VALUE"""),"Excellent")</f>
        <v>Excellent</v>
      </c>
      <c r="Z2844" s="182" t="str">
        <f>IFERROR(__xludf.DUMMYFUNCTION("""COMPUTED_VALUE"""),"Poor")</f>
        <v>Poor</v>
      </c>
      <c r="AA2844" s="182" t="str">
        <f>IFERROR(__xludf.DUMMYFUNCTION("""COMPUTED_VALUE"""),"Fair")</f>
        <v>Fair</v>
      </c>
      <c r="AB2844" s="182" t="str">
        <f>IFERROR(__xludf.DUMMYFUNCTION("""COMPUTED_VALUE"""),"Poor")</f>
        <v>Poor</v>
      </c>
      <c r="AC2844" s="183">
        <f>IFERROR(__xludf.DUMMYFUNCTION("""COMPUTED_VALUE"""),5.0)</f>
        <v>5</v>
      </c>
      <c r="AD2844" s="183">
        <f>IFERROR(__xludf.DUMMYFUNCTION("""COMPUTED_VALUE"""),1.0)</f>
        <v>1</v>
      </c>
      <c r="AE2844" s="183">
        <f>IFERROR(__xludf.DUMMYFUNCTION("""COMPUTED_VALUE"""),21.0)</f>
        <v>21</v>
      </c>
      <c r="AF2844" s="184"/>
      <c r="AG2844" s="180"/>
      <c r="AH2844" s="185">
        <f>IFERROR(__xludf.DUMMYFUNCTION("""COMPUTED_VALUE"""),43396.524394155094)</f>
        <v>43396.52439</v>
      </c>
      <c r="AI2844" s="182"/>
      <c r="AJ2844" s="182"/>
      <c r="AK2844" s="182"/>
      <c r="AL2844" s="182"/>
    </row>
    <row r="2845" ht="20.25" customHeight="1">
      <c r="A2845" s="169" t="str">
        <f>IFERROR(__xludf.DUMMYFUNCTION("""COMPUTED_VALUE"""),"mudba")</f>
        <v>mudba</v>
      </c>
      <c r="B2845" s="170" t="str">
        <f>IFERROR(__xludf.DUMMYFUNCTION("""COMPUTED_VALUE"""),"Chicago")</f>
        <v>Chicago</v>
      </c>
      <c r="C2845" s="170" t="str">
        <f>IFERROR(__xludf.DUMMYFUNCTION("""COMPUTED_VALUE"""),"IL")</f>
        <v>IL</v>
      </c>
      <c r="D2845" s="170" t="str">
        <f>IFERROR(__xludf.DUMMYFUNCTION("""COMPUTED_VALUE"""),"USA")</f>
        <v>USA</v>
      </c>
      <c r="E2845" s="171">
        <f>IFERROR(__xludf.DUMMYFUNCTION("""COMPUTED_VALUE"""),43280.0)</f>
        <v>43280</v>
      </c>
      <c r="F2845" s="172">
        <f>IFERROR(__xludf.DUMMYFUNCTION("""COMPUTED_VALUE"""),43361.0)</f>
        <v>43361</v>
      </c>
      <c r="G2845" s="173"/>
      <c r="H2845" s="174">
        <f>IFERROR(__xludf.DUMMYFUNCTION("""COMPUTED_VALUE"""),88055.0)</f>
        <v>88055</v>
      </c>
      <c r="I2845" s="175" t="str">
        <f>IFERROR(__xludf.DUMMYFUNCTION("""COMPUTED_VALUE"""),"09/18")</f>
        <v>09/18</v>
      </c>
      <c r="J2845" s="172">
        <f>IFERROR(__xludf.DUMMYFUNCTION("""COMPUTED_VALUE"""),43372.0)</f>
        <v>43372</v>
      </c>
      <c r="K2845" s="176">
        <f>IFERROR(__xludf.DUMMYFUNCTION("""COMPUTED_VALUE"""),81.0)</f>
        <v>81</v>
      </c>
      <c r="L2845" s="176">
        <f>IFERROR(__xludf.DUMMYFUNCTION("""COMPUTED_VALUE"""),11.0)</f>
        <v>11</v>
      </c>
      <c r="M2845" s="176">
        <f>IFERROR(__xludf.DUMMYFUNCTION("""COMPUTED_VALUE"""),92.0)</f>
        <v>92</v>
      </c>
      <c r="N2845" s="177" t="str">
        <f>IFERROR(__xludf.DUMMYFUNCTION("""COMPUTED_VALUE"""),"Model 3 LR AWD")</f>
        <v>Model 3 LR AWD</v>
      </c>
      <c r="O2845" s="177" t="str">
        <f>IFERROR(__xludf.DUMMYFUNCTION("""COMPUTED_VALUE"""),"Red Multi-Coat")</f>
        <v>Red Multi-Coat</v>
      </c>
      <c r="P2845" s="178" t="str">
        <f>IFERROR(__xludf.DUMMYFUNCTION("""COMPUTED_VALUE"""),"18 inch Aero")</f>
        <v>18 inch Aero</v>
      </c>
      <c r="Q2845" s="177" t="str">
        <f>IFERROR(__xludf.DUMMYFUNCTION("""COMPUTED_VALUE"""),"Black seats")</f>
        <v>Black seats</v>
      </c>
      <c r="R2845" s="170" t="str">
        <f>IFERROR(__xludf.DUMMYFUNCTION("""COMPUTED_VALUE"""),"Enhanced Autopilot")</f>
        <v>Enhanced Autopilot</v>
      </c>
      <c r="S2845" s="170"/>
      <c r="T2845" s="179"/>
      <c r="U2845" s="179"/>
      <c r="V2845" s="179"/>
      <c r="W2845" s="180"/>
      <c r="X2845" s="181" t="str">
        <f>IFERROR(__xludf.DUMMYFUNCTION("""COMPUTED_VALUE"""),"Very Good")</f>
        <v>Very Good</v>
      </c>
      <c r="Y2845" s="182" t="str">
        <f>IFERROR(__xludf.DUMMYFUNCTION("""COMPUTED_VALUE"""),"Very Good")</f>
        <v>Very Good</v>
      </c>
      <c r="Z2845" s="182" t="str">
        <f>IFERROR(__xludf.DUMMYFUNCTION("""COMPUTED_VALUE"""),"Good")</f>
        <v>Good</v>
      </c>
      <c r="AA2845" s="182" t="str">
        <f>IFERROR(__xludf.DUMMYFUNCTION("""COMPUTED_VALUE"""),"Very Good")</f>
        <v>Very Good</v>
      </c>
      <c r="AB2845" s="182" t="str">
        <f>IFERROR(__xludf.DUMMYFUNCTION("""COMPUTED_VALUE"""),"Poor")</f>
        <v>Poor</v>
      </c>
      <c r="AC2845" s="183">
        <f>IFERROR(__xludf.DUMMYFUNCTION("""COMPUTED_VALUE"""),2.0)</f>
        <v>2</v>
      </c>
      <c r="AD2845" s="183">
        <f>IFERROR(__xludf.DUMMYFUNCTION("""COMPUTED_VALUE"""),1.0)</f>
        <v>1</v>
      </c>
      <c r="AE2845" s="183">
        <f>IFERROR(__xludf.DUMMYFUNCTION("""COMPUTED_VALUE"""),2.0)</f>
        <v>2</v>
      </c>
      <c r="AF2845" s="184"/>
      <c r="AG2845" s="180"/>
      <c r="AH2845" s="185">
        <f>IFERROR(__xludf.DUMMYFUNCTION("""COMPUTED_VALUE"""),43377.731765046294)</f>
        <v>43377.73177</v>
      </c>
      <c r="AI2845" s="182"/>
      <c r="AJ2845" s="182"/>
      <c r="AK2845" s="182"/>
      <c r="AL2845" s="182"/>
    </row>
    <row r="2846" ht="20.25" customHeight="1">
      <c r="A2846" s="169" t="str">
        <f>IFERROR(__xludf.DUMMYFUNCTION("""COMPUTED_VALUE"""),"nabolito")</f>
        <v>nabolito</v>
      </c>
      <c r="B2846" s="170" t="str">
        <f>IFERROR(__xludf.DUMMYFUNCTION("""COMPUTED_VALUE"""),"Gatineau ")</f>
        <v>Gatineau </v>
      </c>
      <c r="C2846" s="170" t="str">
        <f>IFERROR(__xludf.DUMMYFUNCTION("""COMPUTED_VALUE"""),"QC")</f>
        <v>QC</v>
      </c>
      <c r="D2846" s="170" t="str">
        <f>IFERROR(__xludf.DUMMYFUNCTION("""COMPUTED_VALUE"""),"Canada")</f>
        <v>Canada</v>
      </c>
      <c r="E2846" s="171">
        <f>IFERROR(__xludf.DUMMYFUNCTION("""COMPUTED_VALUE"""),43280.0)</f>
        <v>43280</v>
      </c>
      <c r="F2846" s="172">
        <f>IFERROR(__xludf.DUMMYFUNCTION("""COMPUTED_VALUE"""),43347.0)</f>
        <v>43347</v>
      </c>
      <c r="G2846" s="173"/>
      <c r="H2846" s="174">
        <f>IFERROR(__xludf.DUMMYFUNCTION("""COMPUTED_VALUE"""),107155.0)</f>
        <v>107155</v>
      </c>
      <c r="I2846" s="175" t="str">
        <f>IFERROR(__xludf.DUMMYFUNCTION("""COMPUTED_VALUE"""),"09/18")</f>
        <v>09/18</v>
      </c>
      <c r="J2846" s="172">
        <f>IFERROR(__xludf.DUMMYFUNCTION("""COMPUTED_VALUE"""),43369.0)</f>
        <v>43369</v>
      </c>
      <c r="K2846" s="176">
        <f>IFERROR(__xludf.DUMMYFUNCTION("""COMPUTED_VALUE"""),67.0)</f>
        <v>67</v>
      </c>
      <c r="L2846" s="176">
        <f>IFERROR(__xludf.DUMMYFUNCTION("""COMPUTED_VALUE"""),22.0)</f>
        <v>22</v>
      </c>
      <c r="M2846" s="176">
        <f>IFERROR(__xludf.DUMMYFUNCTION("""COMPUTED_VALUE"""),89.0)</f>
        <v>89</v>
      </c>
      <c r="N2846" s="177" t="str">
        <f>IFERROR(__xludf.DUMMYFUNCTION("""COMPUTED_VALUE"""),"Model 3 LR AWD")</f>
        <v>Model 3 LR AWD</v>
      </c>
      <c r="O2846" s="177" t="str">
        <f>IFERROR(__xludf.DUMMYFUNCTION("""COMPUTED_VALUE"""),"Deep Blue Metallic")</f>
        <v>Deep Blue Metallic</v>
      </c>
      <c r="P2846" s="178" t="str">
        <f>IFERROR(__xludf.DUMMYFUNCTION("""COMPUTED_VALUE"""),"18 inch Aero")</f>
        <v>18 inch Aero</v>
      </c>
      <c r="Q2846" s="177" t="str">
        <f>IFERROR(__xludf.DUMMYFUNCTION("""COMPUTED_VALUE"""),"Black seats")</f>
        <v>Black seats</v>
      </c>
      <c r="R2846" s="170" t="str">
        <f>IFERROR(__xludf.DUMMYFUNCTION("""COMPUTED_VALUE"""),"Enhanced Autopilot")</f>
        <v>Enhanced Autopilot</v>
      </c>
      <c r="S2846" s="170"/>
      <c r="T2846" s="179"/>
      <c r="U2846" s="179"/>
      <c r="V2846" s="179"/>
      <c r="W2846" s="180"/>
      <c r="X2846" s="181" t="str">
        <f>IFERROR(__xludf.DUMMYFUNCTION("""COMPUTED_VALUE"""),"Good")</f>
        <v>Good</v>
      </c>
      <c r="Y2846" s="182" t="str">
        <f>IFERROR(__xludf.DUMMYFUNCTION("""COMPUTED_VALUE"""),"Very Good")</f>
        <v>Very Good</v>
      </c>
      <c r="Z2846" s="182" t="str">
        <f>IFERROR(__xludf.DUMMYFUNCTION("""COMPUTED_VALUE"""),"Very Good")</f>
        <v>Very Good</v>
      </c>
      <c r="AA2846" s="182" t="str">
        <f>IFERROR(__xludf.DUMMYFUNCTION("""COMPUTED_VALUE"""),"Fair")</f>
        <v>Fair</v>
      </c>
      <c r="AB2846" s="182" t="str">
        <f>IFERROR(__xludf.DUMMYFUNCTION("""COMPUTED_VALUE"""),"Fair")</f>
        <v>Fair</v>
      </c>
      <c r="AC2846" s="183">
        <f>IFERROR(__xludf.DUMMYFUNCTION("""COMPUTED_VALUE"""),0.0)</f>
        <v>0</v>
      </c>
      <c r="AD2846" s="183">
        <f>IFERROR(__xludf.DUMMYFUNCTION("""COMPUTED_VALUE"""),0.0)</f>
        <v>0</v>
      </c>
      <c r="AE2846" s="183">
        <f>IFERROR(__xludf.DUMMYFUNCTION("""COMPUTED_VALUE"""),0.0)</f>
        <v>0</v>
      </c>
      <c r="AF2846" s="184"/>
      <c r="AG2846" s="180"/>
      <c r="AH2846" s="185">
        <f>IFERROR(__xludf.DUMMYFUNCTION("""COMPUTED_VALUE"""),43375.59107731481)</f>
        <v>43375.59108</v>
      </c>
      <c r="AI2846" s="182"/>
      <c r="AJ2846" s="182"/>
      <c r="AK2846" s="182"/>
      <c r="AL2846" s="182"/>
    </row>
    <row r="2847" ht="20.25" customHeight="1">
      <c r="A2847" s="169" t="str">
        <f>IFERROR(__xludf.DUMMYFUNCTION("""COMPUTED_VALUE"""),"NetworkNerd")</f>
        <v>NetworkNerd</v>
      </c>
      <c r="B2847" s="170" t="str">
        <f>IFERROR(__xludf.DUMMYFUNCTION("""COMPUTED_VALUE"""),"Camarillo")</f>
        <v>Camarillo</v>
      </c>
      <c r="C2847" s="170" t="str">
        <f>IFERROR(__xludf.DUMMYFUNCTION("""COMPUTED_VALUE"""),"CA")</f>
        <v>CA</v>
      </c>
      <c r="D2847" s="170" t="str">
        <f>IFERROR(__xludf.DUMMYFUNCTION("""COMPUTED_VALUE"""),"USA")</f>
        <v>USA</v>
      </c>
      <c r="E2847" s="171">
        <f>IFERROR(__xludf.DUMMYFUNCTION("""COMPUTED_VALUE"""),43280.0)</f>
        <v>43280</v>
      </c>
      <c r="F2847" s="172">
        <f>IFERROR(__xludf.DUMMYFUNCTION("""COMPUTED_VALUE"""),43339.0)</f>
        <v>43339</v>
      </c>
      <c r="G2847" s="173"/>
      <c r="H2847" s="174">
        <f>IFERROR(__xludf.DUMMYFUNCTION("""COMPUTED_VALUE"""),72155.0)</f>
        <v>72155</v>
      </c>
      <c r="I2847" s="175" t="str">
        <f>IFERROR(__xludf.DUMMYFUNCTION("""COMPUTED_VALUE"""),"08/18")</f>
        <v>08/18</v>
      </c>
      <c r="J2847" s="172">
        <f>IFERROR(__xludf.DUMMYFUNCTION("""COMPUTED_VALUE"""),43348.0)</f>
        <v>43348</v>
      </c>
      <c r="K2847" s="176">
        <f>IFERROR(__xludf.DUMMYFUNCTION("""COMPUTED_VALUE"""),59.0)</f>
        <v>59</v>
      </c>
      <c r="L2847" s="176">
        <f>IFERROR(__xludf.DUMMYFUNCTION("""COMPUTED_VALUE"""),9.0)</f>
        <v>9</v>
      </c>
      <c r="M2847" s="176">
        <f>IFERROR(__xludf.DUMMYFUNCTION("""COMPUTED_VALUE"""),68.0)</f>
        <v>68</v>
      </c>
      <c r="N2847" s="177" t="str">
        <f>IFERROR(__xludf.DUMMYFUNCTION("""COMPUTED_VALUE"""),"Model 3 Performance")</f>
        <v>Model 3 Performance</v>
      </c>
      <c r="O2847" s="177" t="str">
        <f>IFERROR(__xludf.DUMMYFUNCTION("""COMPUTED_VALUE"""),"Silver Metallic")</f>
        <v>Silver Metallic</v>
      </c>
      <c r="P2847" s="178" t="str">
        <f>IFERROR(__xludf.DUMMYFUNCTION("""COMPUTED_VALUE"""),"20 inch Sport")</f>
        <v>20 inch Sport</v>
      </c>
      <c r="Q2847" s="177" t="str">
        <f>IFERROR(__xludf.DUMMYFUNCTION("""COMPUTED_VALUE"""),"Black seats")</f>
        <v>Black seats</v>
      </c>
      <c r="R2847" s="170" t="str">
        <f>IFERROR(__xludf.DUMMYFUNCTION("""COMPUTED_VALUE"""),"Full Self-Driving")</f>
        <v>Full Self-Driving</v>
      </c>
      <c r="S2847" s="170"/>
      <c r="T2847" s="179"/>
      <c r="U2847" s="179"/>
      <c r="V2847" s="179"/>
      <c r="W2847" s="180"/>
      <c r="X2847" s="181" t="str">
        <f>IFERROR(__xludf.DUMMYFUNCTION("""COMPUTED_VALUE"""),"Excellent")</f>
        <v>Excellent</v>
      </c>
      <c r="Y2847" s="182" t="str">
        <f>IFERROR(__xludf.DUMMYFUNCTION("""COMPUTED_VALUE"""),"Excellent")</f>
        <v>Excellent</v>
      </c>
      <c r="Z2847" s="182" t="str">
        <f>IFERROR(__xludf.DUMMYFUNCTION("""COMPUTED_VALUE"""),"Excellent")</f>
        <v>Excellent</v>
      </c>
      <c r="AA2847" s="182" t="str">
        <f>IFERROR(__xludf.DUMMYFUNCTION("""COMPUTED_VALUE"""),"Excellent")</f>
        <v>Excellent</v>
      </c>
      <c r="AB2847" s="182" t="str">
        <f>IFERROR(__xludf.DUMMYFUNCTION("""COMPUTED_VALUE"""),"Excellent")</f>
        <v>Excellent</v>
      </c>
      <c r="AC2847" s="183">
        <f>IFERROR(__xludf.DUMMYFUNCTION("""COMPUTED_VALUE"""),0.0)</f>
        <v>0</v>
      </c>
      <c r="AD2847" s="183">
        <f>IFERROR(__xludf.DUMMYFUNCTION("""COMPUTED_VALUE"""),0.0)</f>
        <v>0</v>
      </c>
      <c r="AE2847" s="183"/>
      <c r="AF2847" s="184"/>
      <c r="AG2847" s="180" t="str">
        <f>IFERROR(__xludf.DUMMYFUNCTION("""COMPUTED_VALUE"""),"Perfect vehicle")</f>
        <v>Perfect vehicle</v>
      </c>
      <c r="AH2847" s="185">
        <f>IFERROR(__xludf.DUMMYFUNCTION("""COMPUTED_VALUE"""),43372.83421609953)</f>
        <v>43372.83422</v>
      </c>
      <c r="AI2847" s="182"/>
      <c r="AJ2847" s="182"/>
      <c r="AK2847" s="182"/>
      <c r="AL2847" s="182"/>
    </row>
    <row r="2848" ht="20.25" customHeight="1">
      <c r="A2848" s="169" t="str">
        <f>IFERROR(__xludf.DUMMYFUNCTION("""COMPUTED_VALUE"""),"NightStorm")</f>
        <v>NightStorm</v>
      </c>
      <c r="B2848" s="170" t="str">
        <f>IFERROR(__xludf.DUMMYFUNCTION("""COMPUTED_VALUE"""),"Windham")</f>
        <v>Windham</v>
      </c>
      <c r="C2848" s="170" t="str">
        <f>IFERROR(__xludf.DUMMYFUNCTION("""COMPUTED_VALUE"""),"NH")</f>
        <v>NH</v>
      </c>
      <c r="D2848" s="170" t="str">
        <f>IFERROR(__xludf.DUMMYFUNCTION("""COMPUTED_VALUE"""),"USA")</f>
        <v>USA</v>
      </c>
      <c r="E2848" s="171">
        <f>IFERROR(__xludf.DUMMYFUNCTION("""COMPUTED_VALUE"""),43280.0)</f>
        <v>43280</v>
      </c>
      <c r="F2848" s="172">
        <f>IFERROR(__xludf.DUMMYFUNCTION("""COMPUTED_VALUE"""),43344.0)</f>
        <v>43344</v>
      </c>
      <c r="G2848" s="173"/>
      <c r="H2848" s="174">
        <f>IFERROR(__xludf.DUMMYFUNCTION("""COMPUTED_VALUE"""),96155.0)</f>
        <v>96155</v>
      </c>
      <c r="I2848" s="175" t="str">
        <f>IFERROR(__xludf.DUMMYFUNCTION("""COMPUTED_VALUE"""),"08/18")</f>
        <v>08/18</v>
      </c>
      <c r="J2848" s="172">
        <f>IFERROR(__xludf.DUMMYFUNCTION("""COMPUTED_VALUE"""),43358.0)</f>
        <v>43358</v>
      </c>
      <c r="K2848" s="176">
        <f>IFERROR(__xludf.DUMMYFUNCTION("""COMPUTED_VALUE"""),64.0)</f>
        <v>64</v>
      </c>
      <c r="L2848" s="176">
        <f>IFERROR(__xludf.DUMMYFUNCTION("""COMPUTED_VALUE"""),14.0)</f>
        <v>14</v>
      </c>
      <c r="M2848" s="176">
        <f>IFERROR(__xludf.DUMMYFUNCTION("""COMPUTED_VALUE"""),78.0)</f>
        <v>78</v>
      </c>
      <c r="N2848" s="177" t="str">
        <f>IFERROR(__xludf.DUMMYFUNCTION("""COMPUTED_VALUE"""),"Model 3 LR AWD")</f>
        <v>Model 3 LR AWD</v>
      </c>
      <c r="O2848" s="177" t="str">
        <f>IFERROR(__xludf.DUMMYFUNCTION("""COMPUTED_VALUE"""),"Midnight Silver Metallic")</f>
        <v>Midnight Silver Metallic</v>
      </c>
      <c r="P2848" s="178" t="str">
        <f>IFERROR(__xludf.DUMMYFUNCTION("""COMPUTED_VALUE"""),"18 inch Aero")</f>
        <v>18 inch Aero</v>
      </c>
      <c r="Q2848" s="177" t="str">
        <f>IFERROR(__xludf.DUMMYFUNCTION("""COMPUTED_VALUE"""),"White seats")</f>
        <v>White seats</v>
      </c>
      <c r="R2848" s="170" t="str">
        <f>IFERROR(__xludf.DUMMYFUNCTION("""COMPUTED_VALUE"""),"None")</f>
        <v>None</v>
      </c>
      <c r="S2848" s="170"/>
      <c r="T2848" s="179"/>
      <c r="U2848" s="179"/>
      <c r="V2848" s="179"/>
      <c r="W2848" s="180"/>
      <c r="X2848" s="181" t="str">
        <f>IFERROR(__xludf.DUMMYFUNCTION("""COMPUTED_VALUE"""),"Excellent")</f>
        <v>Excellent</v>
      </c>
      <c r="Y2848" s="182" t="str">
        <f>IFERROR(__xludf.DUMMYFUNCTION("""COMPUTED_VALUE"""),"Excellent")</f>
        <v>Excellent</v>
      </c>
      <c r="Z2848" s="182" t="str">
        <f>IFERROR(__xludf.DUMMYFUNCTION("""COMPUTED_VALUE"""),"Excellent")</f>
        <v>Excellent</v>
      </c>
      <c r="AA2848" s="182" t="str">
        <f>IFERROR(__xludf.DUMMYFUNCTION("""COMPUTED_VALUE"""),"Good")</f>
        <v>Good</v>
      </c>
      <c r="AB2848" s="182" t="str">
        <f>IFERROR(__xludf.DUMMYFUNCTION("""COMPUTED_VALUE"""),"Very Good")</f>
        <v>Very Good</v>
      </c>
      <c r="AC2848" s="183"/>
      <c r="AD2848" s="183"/>
      <c r="AE2848" s="183"/>
      <c r="AF2848" s="184"/>
      <c r="AG2848" s="180"/>
      <c r="AH2848" s="185">
        <f>IFERROR(__xludf.DUMMYFUNCTION("""COMPUTED_VALUE"""),43360.82746645833)</f>
        <v>43360.82747</v>
      </c>
      <c r="AI2848" s="182"/>
      <c r="AJ2848" s="182"/>
      <c r="AK2848" s="182"/>
      <c r="AL2848" s="182"/>
    </row>
    <row r="2849" ht="20.25" customHeight="1">
      <c r="A2849" s="169" t="str">
        <f>IFERROR(__xludf.DUMMYFUNCTION("""COMPUTED_VALUE"""),"onelife11")</f>
        <v>onelife11</v>
      </c>
      <c r="B2849" s="170" t="str">
        <f>IFERROR(__xludf.DUMMYFUNCTION("""COMPUTED_VALUE"""),"Tampa")</f>
        <v>Tampa</v>
      </c>
      <c r="C2849" s="170" t="str">
        <f>IFERROR(__xludf.DUMMYFUNCTION("""COMPUTED_VALUE"""),"FL")</f>
        <v>FL</v>
      </c>
      <c r="D2849" s="170" t="str">
        <f>IFERROR(__xludf.DUMMYFUNCTION("""COMPUTED_VALUE"""),"USA")</f>
        <v>USA</v>
      </c>
      <c r="E2849" s="171">
        <f>IFERROR(__xludf.DUMMYFUNCTION("""COMPUTED_VALUE"""),43280.0)</f>
        <v>43280</v>
      </c>
      <c r="F2849" s="172">
        <f>IFERROR(__xludf.DUMMYFUNCTION("""COMPUTED_VALUE"""),43369.0)</f>
        <v>43369</v>
      </c>
      <c r="G2849" s="173"/>
      <c r="H2849" s="174">
        <f>IFERROR(__xludf.DUMMYFUNCTION("""COMPUTED_VALUE"""),48555.0)</f>
        <v>48555</v>
      </c>
      <c r="I2849" s="175"/>
      <c r="J2849" s="172">
        <f>IFERROR(__xludf.DUMMYFUNCTION("""COMPUTED_VALUE"""),43373.0)</f>
        <v>43373</v>
      </c>
      <c r="K2849" s="176">
        <f>IFERROR(__xludf.DUMMYFUNCTION("""COMPUTED_VALUE"""),89.0)</f>
        <v>89</v>
      </c>
      <c r="L2849" s="176">
        <f>IFERROR(__xludf.DUMMYFUNCTION("""COMPUTED_VALUE"""),4.0)</f>
        <v>4</v>
      </c>
      <c r="M2849" s="176">
        <f>IFERROR(__xludf.DUMMYFUNCTION("""COMPUTED_VALUE"""),93.0)</f>
        <v>93</v>
      </c>
      <c r="N2849" s="177" t="str">
        <f>IFERROR(__xludf.DUMMYFUNCTION("""COMPUTED_VALUE"""),"Model 3 LR")</f>
        <v>Model 3 LR</v>
      </c>
      <c r="O2849" s="177" t="str">
        <f>IFERROR(__xludf.DUMMYFUNCTION("""COMPUTED_VALUE"""),"Solid Black")</f>
        <v>Solid Black</v>
      </c>
      <c r="P2849" s="178" t="str">
        <f>IFERROR(__xludf.DUMMYFUNCTION("""COMPUTED_VALUE"""),"19 inch Sport")</f>
        <v>19 inch Sport</v>
      </c>
      <c r="Q2849" s="177" t="str">
        <f>IFERROR(__xludf.DUMMYFUNCTION("""COMPUTED_VALUE"""),"Black seats")</f>
        <v>Black seats</v>
      </c>
      <c r="R2849" s="170" t="str">
        <f>IFERROR(__xludf.DUMMYFUNCTION("""COMPUTED_VALUE"""),"Enhanced Autopilot")</f>
        <v>Enhanced Autopilot</v>
      </c>
      <c r="S2849" s="170"/>
      <c r="T2849" s="179"/>
      <c r="U2849" s="179"/>
      <c r="V2849" s="179"/>
      <c r="W2849" s="180"/>
      <c r="X2849" s="181" t="str">
        <f>IFERROR(__xludf.DUMMYFUNCTION("""COMPUTED_VALUE"""),"Excellent")</f>
        <v>Excellent</v>
      </c>
      <c r="Y2849" s="182" t="str">
        <f>IFERROR(__xludf.DUMMYFUNCTION("""COMPUTED_VALUE"""),"Excellent")</f>
        <v>Excellent</v>
      </c>
      <c r="Z2849" s="182" t="str">
        <f>IFERROR(__xludf.DUMMYFUNCTION("""COMPUTED_VALUE"""),"Very Good")</f>
        <v>Very Good</v>
      </c>
      <c r="AA2849" s="182" t="str">
        <f>IFERROR(__xludf.DUMMYFUNCTION("""COMPUTED_VALUE"""),"Very Good")</f>
        <v>Very Good</v>
      </c>
      <c r="AB2849" s="182" t="str">
        <f>IFERROR(__xludf.DUMMYFUNCTION("""COMPUTED_VALUE"""),"Very Good")</f>
        <v>Very Good</v>
      </c>
      <c r="AC2849" s="183"/>
      <c r="AD2849" s="183"/>
      <c r="AE2849" s="183"/>
      <c r="AF2849" s="184"/>
      <c r="AG2849" s="180"/>
      <c r="AH2849" s="185">
        <f>IFERROR(__xludf.DUMMYFUNCTION("""COMPUTED_VALUE"""),43373.83437804398)</f>
        <v>43373.83438</v>
      </c>
      <c r="AI2849" s="182"/>
      <c r="AJ2849" s="182"/>
      <c r="AK2849" s="182"/>
      <c r="AL2849" s="182"/>
    </row>
    <row r="2850" ht="20.25" customHeight="1">
      <c r="A2850" s="169" t="str">
        <f>IFERROR(__xludf.DUMMYFUNCTION("""COMPUTED_VALUE"""),"Pachena")</f>
        <v>Pachena</v>
      </c>
      <c r="B2850" s="170" t="str">
        <f>IFERROR(__xludf.DUMMYFUNCTION("""COMPUTED_VALUE"""),"Surrey")</f>
        <v>Surrey</v>
      </c>
      <c r="C2850" s="170" t="str">
        <f>IFERROR(__xludf.DUMMYFUNCTION("""COMPUTED_VALUE"""),"BC")</f>
        <v>BC</v>
      </c>
      <c r="D2850" s="170" t="str">
        <f>IFERROR(__xludf.DUMMYFUNCTION("""COMPUTED_VALUE"""),"Canada")</f>
        <v>Canada</v>
      </c>
      <c r="E2850" s="171">
        <f>IFERROR(__xludf.DUMMYFUNCTION("""COMPUTED_VALUE"""),43280.0)</f>
        <v>43280</v>
      </c>
      <c r="F2850" s="172">
        <f>IFERROR(__xludf.DUMMYFUNCTION("""COMPUTED_VALUE"""),43354.0)</f>
        <v>43354</v>
      </c>
      <c r="G2850" s="173"/>
      <c r="H2850" s="174">
        <f>IFERROR(__xludf.DUMMYFUNCTION("""COMPUTED_VALUE"""),107055.0)</f>
        <v>107055</v>
      </c>
      <c r="I2850" s="175" t="str">
        <f>IFERROR(__xludf.DUMMYFUNCTION("""COMPUTED_VALUE"""),"09/18")</f>
        <v>09/18</v>
      </c>
      <c r="J2850" s="172">
        <f>IFERROR(__xludf.DUMMYFUNCTION("""COMPUTED_VALUE"""),43361.0)</f>
        <v>43361</v>
      </c>
      <c r="K2850" s="176">
        <f>IFERROR(__xludf.DUMMYFUNCTION("""COMPUTED_VALUE"""),74.0)</f>
        <v>74</v>
      </c>
      <c r="L2850" s="176">
        <f>IFERROR(__xludf.DUMMYFUNCTION("""COMPUTED_VALUE"""),7.0)</f>
        <v>7</v>
      </c>
      <c r="M2850" s="176">
        <f>IFERROR(__xludf.DUMMYFUNCTION("""COMPUTED_VALUE"""),81.0)</f>
        <v>81</v>
      </c>
      <c r="N2850" s="177" t="str">
        <f>IFERROR(__xludf.DUMMYFUNCTION("""COMPUTED_VALUE"""),"Model 3 LR AWD")</f>
        <v>Model 3 LR AWD</v>
      </c>
      <c r="O2850" s="177" t="str">
        <f>IFERROR(__xludf.DUMMYFUNCTION("""COMPUTED_VALUE"""),"Red Multi-Coat")</f>
        <v>Red Multi-Coat</v>
      </c>
      <c r="P2850" s="178" t="str">
        <f>IFERROR(__xludf.DUMMYFUNCTION("""COMPUTED_VALUE"""),"18 inch Aero")</f>
        <v>18 inch Aero</v>
      </c>
      <c r="Q2850" s="177" t="str">
        <f>IFERROR(__xludf.DUMMYFUNCTION("""COMPUTED_VALUE"""),"Black seats")</f>
        <v>Black seats</v>
      </c>
      <c r="R2850" s="170" t="str">
        <f>IFERROR(__xludf.DUMMYFUNCTION("""COMPUTED_VALUE"""),"Enhanced Autopilot")</f>
        <v>Enhanced Autopilot</v>
      </c>
      <c r="S2850" s="170"/>
      <c r="T2850" s="179"/>
      <c r="U2850" s="179"/>
      <c r="V2850" s="179"/>
      <c r="W2850" s="180"/>
      <c r="X2850" s="181" t="str">
        <f>IFERROR(__xludf.DUMMYFUNCTION("""COMPUTED_VALUE"""),"Very Good")</f>
        <v>Very Good</v>
      </c>
      <c r="Y2850" s="182" t="str">
        <f>IFERROR(__xludf.DUMMYFUNCTION("""COMPUTED_VALUE"""),"Excellent")</f>
        <v>Excellent</v>
      </c>
      <c r="Z2850" s="182" t="str">
        <f>IFERROR(__xludf.DUMMYFUNCTION("""COMPUTED_VALUE"""),"Excellent")</f>
        <v>Excellent</v>
      </c>
      <c r="AA2850" s="182" t="str">
        <f>IFERROR(__xludf.DUMMYFUNCTION("""COMPUTED_VALUE"""),"Fair")</f>
        <v>Fair</v>
      </c>
      <c r="AB2850" s="182" t="str">
        <f>IFERROR(__xludf.DUMMYFUNCTION("""COMPUTED_VALUE"""),"Very Good")</f>
        <v>Very Good</v>
      </c>
      <c r="AC2850" s="183"/>
      <c r="AD2850" s="183"/>
      <c r="AE2850" s="183"/>
      <c r="AF2850" s="184"/>
      <c r="AG2850" s="180"/>
      <c r="AH2850" s="185">
        <f>IFERROR(__xludf.DUMMYFUNCTION("""COMPUTED_VALUE"""),43361.93043916667)</f>
        <v>43361.93044</v>
      </c>
      <c r="AI2850" s="182"/>
      <c r="AJ2850" s="182"/>
      <c r="AK2850" s="182"/>
      <c r="AL2850" s="182"/>
    </row>
    <row r="2851" ht="20.25" customHeight="1">
      <c r="A2851" s="169" t="str">
        <f>IFERROR(__xludf.DUMMYFUNCTION("""COMPUTED_VALUE"""),"pogopipsqueak")</f>
        <v>pogopipsqueak</v>
      </c>
      <c r="B2851" s="170" t="str">
        <f>IFERROR(__xludf.DUMMYFUNCTION("""COMPUTED_VALUE"""),"Ashburn")</f>
        <v>Ashburn</v>
      </c>
      <c r="C2851" s="170" t="str">
        <f>IFERROR(__xludf.DUMMYFUNCTION("""COMPUTED_VALUE"""),"VA")</f>
        <v>VA</v>
      </c>
      <c r="D2851" s="170" t="str">
        <f>IFERROR(__xludf.DUMMYFUNCTION("""COMPUTED_VALUE"""),"USA")</f>
        <v>USA</v>
      </c>
      <c r="E2851" s="171">
        <f>IFERROR(__xludf.DUMMYFUNCTION("""COMPUTED_VALUE"""),43280.0)</f>
        <v>43280</v>
      </c>
      <c r="F2851" s="172">
        <f>IFERROR(__xludf.DUMMYFUNCTION("""COMPUTED_VALUE"""),43374.0)</f>
        <v>43374</v>
      </c>
      <c r="G2851" s="173"/>
      <c r="H2851" s="174">
        <f>IFERROR(__xludf.DUMMYFUNCTION("""COMPUTED_VALUE"""),117455.0)</f>
        <v>117455</v>
      </c>
      <c r="I2851" s="175"/>
      <c r="J2851" s="172">
        <f>IFERROR(__xludf.DUMMYFUNCTION("""COMPUTED_VALUE"""),43399.0)</f>
        <v>43399</v>
      </c>
      <c r="K2851" s="176">
        <f>IFERROR(__xludf.DUMMYFUNCTION("""COMPUTED_VALUE"""),94.0)</f>
        <v>94</v>
      </c>
      <c r="L2851" s="176">
        <f>IFERROR(__xludf.DUMMYFUNCTION("""COMPUTED_VALUE"""),25.0)</f>
        <v>25</v>
      </c>
      <c r="M2851" s="176">
        <f>IFERROR(__xludf.DUMMYFUNCTION("""COMPUTED_VALUE"""),119.0)</f>
        <v>119</v>
      </c>
      <c r="N2851" s="177" t="str">
        <f>IFERROR(__xludf.DUMMYFUNCTION("""COMPUTED_VALUE"""),"Model 3 LR AWD")</f>
        <v>Model 3 LR AWD</v>
      </c>
      <c r="O2851" s="177" t="str">
        <f>IFERROR(__xludf.DUMMYFUNCTION("""COMPUTED_VALUE"""),"Deep Blue Metallic")</f>
        <v>Deep Blue Metallic</v>
      </c>
      <c r="P2851" s="178" t="str">
        <f>IFERROR(__xludf.DUMMYFUNCTION("""COMPUTED_VALUE"""),"19 inch Sport")</f>
        <v>19 inch Sport</v>
      </c>
      <c r="Q2851" s="177" t="str">
        <f>IFERROR(__xludf.DUMMYFUNCTION("""COMPUTED_VALUE"""),"Black seats")</f>
        <v>Black seats</v>
      </c>
      <c r="R2851" s="170" t="str">
        <f>IFERROR(__xludf.DUMMYFUNCTION("""COMPUTED_VALUE"""),"Full Self-Driving")</f>
        <v>Full Self-Driving</v>
      </c>
      <c r="S2851" s="170"/>
      <c r="T2851" s="179"/>
      <c r="U2851" s="179"/>
      <c r="V2851" s="179"/>
      <c r="W2851" s="180"/>
      <c r="X2851" s="181" t="str">
        <f>IFERROR(__xludf.DUMMYFUNCTION("""COMPUTED_VALUE"""),"Excellent")</f>
        <v>Excellent</v>
      </c>
      <c r="Y2851" s="182" t="str">
        <f>IFERROR(__xludf.DUMMYFUNCTION("""COMPUTED_VALUE"""),"Excellent")</f>
        <v>Excellent</v>
      </c>
      <c r="Z2851" s="182" t="str">
        <f>IFERROR(__xludf.DUMMYFUNCTION("""COMPUTED_VALUE"""),"Excellent")</f>
        <v>Excellent</v>
      </c>
      <c r="AA2851" s="182" t="str">
        <f>IFERROR(__xludf.DUMMYFUNCTION("""COMPUTED_VALUE"""),"Very Good")</f>
        <v>Very Good</v>
      </c>
      <c r="AB2851" s="182" t="str">
        <f>IFERROR(__xludf.DUMMYFUNCTION("""COMPUTED_VALUE"""),"Good")</f>
        <v>Good</v>
      </c>
      <c r="AC2851" s="183"/>
      <c r="AD2851" s="183"/>
      <c r="AE2851" s="183"/>
      <c r="AF2851" s="184"/>
      <c r="AG2851" s="180"/>
      <c r="AH2851" s="185">
        <f>IFERROR(__xludf.DUMMYFUNCTION("""COMPUTED_VALUE"""),43404.55949966435)</f>
        <v>43404.5595</v>
      </c>
      <c r="AI2851" s="182"/>
      <c r="AJ2851" s="182"/>
      <c r="AK2851" s="182"/>
      <c r="AL2851" s="182"/>
    </row>
    <row r="2852" ht="20.25" customHeight="1">
      <c r="A2852" s="169" t="str">
        <f>IFERROR(__xludf.DUMMYFUNCTION("""COMPUTED_VALUE"""),"psi")</f>
        <v>psi</v>
      </c>
      <c r="B2852" s="170" t="str">
        <f>IFERROR(__xludf.DUMMYFUNCTION("""COMPUTED_VALUE"""),"Sacramento")</f>
        <v>Sacramento</v>
      </c>
      <c r="C2852" s="170" t="str">
        <f>IFERROR(__xludf.DUMMYFUNCTION("""COMPUTED_VALUE"""),"CA")</f>
        <v>CA</v>
      </c>
      <c r="D2852" s="170" t="str">
        <f>IFERROR(__xludf.DUMMYFUNCTION("""COMPUTED_VALUE"""),"USA")</f>
        <v>USA</v>
      </c>
      <c r="E2852" s="171">
        <f>IFERROR(__xludf.DUMMYFUNCTION("""COMPUTED_VALUE"""),43280.0)</f>
        <v>43280</v>
      </c>
      <c r="F2852" s="172">
        <f>IFERROR(__xludf.DUMMYFUNCTION("""COMPUTED_VALUE"""),43334.0)</f>
        <v>43334</v>
      </c>
      <c r="G2852" s="173"/>
      <c r="H2852" s="174">
        <f>IFERROR(__xludf.DUMMYFUNCTION("""COMPUTED_VALUE"""),96655.0)</f>
        <v>96655</v>
      </c>
      <c r="I2852" s="175" t="str">
        <f>IFERROR(__xludf.DUMMYFUNCTION("""COMPUTED_VALUE"""),"08/18")</f>
        <v>08/18</v>
      </c>
      <c r="J2852" s="172">
        <f>IFERROR(__xludf.DUMMYFUNCTION("""COMPUTED_VALUE"""),43340.0)</f>
        <v>43340</v>
      </c>
      <c r="K2852" s="176">
        <f>IFERROR(__xludf.DUMMYFUNCTION("""COMPUTED_VALUE"""),54.0)</f>
        <v>54</v>
      </c>
      <c r="L2852" s="176">
        <f>IFERROR(__xludf.DUMMYFUNCTION("""COMPUTED_VALUE"""),6.0)</f>
        <v>6</v>
      </c>
      <c r="M2852" s="176">
        <f>IFERROR(__xludf.DUMMYFUNCTION("""COMPUTED_VALUE"""),60.0)</f>
        <v>60</v>
      </c>
      <c r="N2852" s="177" t="str">
        <f>IFERROR(__xludf.DUMMYFUNCTION("""COMPUTED_VALUE"""),"Model 3 LR AWD")</f>
        <v>Model 3 LR AWD</v>
      </c>
      <c r="O2852" s="177" t="str">
        <f>IFERROR(__xludf.DUMMYFUNCTION("""COMPUTED_VALUE"""),"Deep Blue Metallic")</f>
        <v>Deep Blue Metallic</v>
      </c>
      <c r="P2852" s="178" t="str">
        <f>IFERROR(__xludf.DUMMYFUNCTION("""COMPUTED_VALUE"""),"18 inch Aero")</f>
        <v>18 inch Aero</v>
      </c>
      <c r="Q2852" s="177" t="str">
        <f>IFERROR(__xludf.DUMMYFUNCTION("""COMPUTED_VALUE"""),"White seats")</f>
        <v>White seats</v>
      </c>
      <c r="R2852" s="170" t="str">
        <f>IFERROR(__xludf.DUMMYFUNCTION("""COMPUTED_VALUE"""),"Full Self-Driving")</f>
        <v>Full Self-Driving</v>
      </c>
      <c r="S2852" s="170"/>
      <c r="T2852" s="179"/>
      <c r="U2852" s="179"/>
      <c r="V2852" s="179"/>
      <c r="W2852" s="180"/>
      <c r="X2852" s="181" t="str">
        <f>IFERROR(__xludf.DUMMYFUNCTION("""COMPUTED_VALUE"""),"Good")</f>
        <v>Good</v>
      </c>
      <c r="Y2852" s="182" t="str">
        <f>IFERROR(__xludf.DUMMYFUNCTION("""COMPUTED_VALUE"""),"Very Good")</f>
        <v>Very Good</v>
      </c>
      <c r="Z2852" s="182" t="str">
        <f>IFERROR(__xludf.DUMMYFUNCTION("""COMPUTED_VALUE"""),"Good")</f>
        <v>Good</v>
      </c>
      <c r="AA2852" s="182" t="str">
        <f>IFERROR(__xludf.DUMMYFUNCTION("""COMPUTED_VALUE"""),"Excellent")</f>
        <v>Excellent</v>
      </c>
      <c r="AB2852" s="182" t="str">
        <f>IFERROR(__xludf.DUMMYFUNCTION("""COMPUTED_VALUE"""),"Fair")</f>
        <v>Fair</v>
      </c>
      <c r="AC2852" s="183">
        <f>IFERROR(__xludf.DUMMYFUNCTION("""COMPUTED_VALUE"""),2.0)</f>
        <v>2</v>
      </c>
      <c r="AD2852" s="183"/>
      <c r="AE2852" s="183"/>
      <c r="AF2852" s="184"/>
      <c r="AG2852" s="180" t="str">
        <f>IFERROR(__xludf.DUMMYFUNCTION("""COMPUTED_VALUE"""),"6/29/18 - Config'd, 7/10/18 - Change to FSD, 7/24/18 - Changed to white seats &amp; blue exterior, Est Delivery Oct-Dec, 8/28/18 - DELIVERED!")</f>
        <v>6/29/18 - Config'd, 7/10/18 - Change to FSD, 7/24/18 - Changed to white seats &amp; blue exterior, Est Delivery Oct-Dec, 8/28/18 - DELIVERED!</v>
      </c>
      <c r="AH2852" s="185">
        <f>IFERROR(__xludf.DUMMYFUNCTION("""COMPUTED_VALUE"""),43347.35493685185)</f>
        <v>43347.35494</v>
      </c>
      <c r="AI2852" s="182"/>
      <c r="AJ2852" s="182"/>
      <c r="AK2852" s="182"/>
      <c r="AL2852" s="182"/>
    </row>
    <row r="2853" ht="20.25" customHeight="1">
      <c r="A2853" s="169" t="str">
        <f>IFERROR(__xludf.DUMMYFUNCTION("""COMPUTED_VALUE"""),"rascal151")</f>
        <v>rascal151</v>
      </c>
      <c r="B2853" s="170"/>
      <c r="C2853" s="170" t="str">
        <f>IFERROR(__xludf.DUMMYFUNCTION("""COMPUTED_VALUE"""),"MD")</f>
        <v>MD</v>
      </c>
      <c r="D2853" s="170" t="str">
        <f>IFERROR(__xludf.DUMMYFUNCTION("""COMPUTED_VALUE"""),"USA")</f>
        <v>USA</v>
      </c>
      <c r="E2853" s="171">
        <f>IFERROR(__xludf.DUMMYFUNCTION("""COMPUTED_VALUE"""),43280.0)</f>
        <v>43280</v>
      </c>
      <c r="F2853" s="172">
        <f>IFERROR(__xludf.DUMMYFUNCTION("""COMPUTED_VALUE"""),43325.0)</f>
        <v>43325</v>
      </c>
      <c r="G2853" s="173"/>
      <c r="H2853" s="174">
        <f>IFERROR(__xludf.DUMMYFUNCTION("""COMPUTED_VALUE"""),65985.0)</f>
        <v>65985</v>
      </c>
      <c r="I2853" s="175"/>
      <c r="J2853" s="172">
        <f>IFERROR(__xludf.DUMMYFUNCTION("""COMPUTED_VALUE"""),43354.0)</f>
        <v>43354</v>
      </c>
      <c r="K2853" s="176">
        <f>IFERROR(__xludf.DUMMYFUNCTION("""COMPUTED_VALUE"""),45.0)</f>
        <v>45</v>
      </c>
      <c r="L2853" s="176">
        <f>IFERROR(__xludf.DUMMYFUNCTION("""COMPUTED_VALUE"""),29.0)</f>
        <v>29</v>
      </c>
      <c r="M2853" s="176">
        <f>IFERROR(__xludf.DUMMYFUNCTION("""COMPUTED_VALUE"""),74.0)</f>
        <v>74</v>
      </c>
      <c r="N2853" s="177" t="str">
        <f>IFERROR(__xludf.DUMMYFUNCTION("""COMPUTED_VALUE"""),"Model 3 LR AWD")</f>
        <v>Model 3 LR AWD</v>
      </c>
      <c r="O2853" s="177" t="str">
        <f>IFERROR(__xludf.DUMMYFUNCTION("""COMPUTED_VALUE"""),"Midnight Silver Metallic")</f>
        <v>Midnight Silver Metallic</v>
      </c>
      <c r="P2853" s="178" t="str">
        <f>IFERROR(__xludf.DUMMYFUNCTION("""COMPUTED_VALUE"""),"18 inch Aero")</f>
        <v>18 inch Aero</v>
      </c>
      <c r="Q2853" s="177" t="str">
        <f>IFERROR(__xludf.DUMMYFUNCTION("""COMPUTED_VALUE"""),"Black seats")</f>
        <v>Black seats</v>
      </c>
      <c r="R2853" s="170" t="str">
        <f>IFERROR(__xludf.DUMMYFUNCTION("""COMPUTED_VALUE"""),"Enhanced Autopilot")</f>
        <v>Enhanced Autopilot</v>
      </c>
      <c r="S2853" s="170"/>
      <c r="T2853" s="179"/>
      <c r="U2853" s="179"/>
      <c r="V2853" s="179"/>
      <c r="W2853" s="180"/>
      <c r="X2853" s="181" t="str">
        <f>IFERROR(__xludf.DUMMYFUNCTION("""COMPUTED_VALUE"""),"Excellent")</f>
        <v>Excellent</v>
      </c>
      <c r="Y2853" s="182" t="str">
        <f>IFERROR(__xludf.DUMMYFUNCTION("""COMPUTED_VALUE"""),"Excellent")</f>
        <v>Excellent</v>
      </c>
      <c r="Z2853" s="182" t="str">
        <f>IFERROR(__xludf.DUMMYFUNCTION("""COMPUTED_VALUE"""),"Excellent")</f>
        <v>Excellent</v>
      </c>
      <c r="AA2853" s="182" t="str">
        <f>IFERROR(__xludf.DUMMYFUNCTION("""COMPUTED_VALUE"""),"Fair")</f>
        <v>Fair</v>
      </c>
      <c r="AB2853" s="182" t="str">
        <f>IFERROR(__xludf.DUMMYFUNCTION("""COMPUTED_VALUE"""),"Good")</f>
        <v>Good</v>
      </c>
      <c r="AC2853" s="183">
        <f>IFERROR(__xludf.DUMMYFUNCTION("""COMPUTED_VALUE"""),0.0)</f>
        <v>0</v>
      </c>
      <c r="AD2853" s="183">
        <f>IFERROR(__xludf.DUMMYFUNCTION("""COMPUTED_VALUE"""),0.0)</f>
        <v>0</v>
      </c>
      <c r="AE2853" s="183">
        <f>IFERROR(__xludf.DUMMYFUNCTION("""COMPUTED_VALUE"""),0.0)</f>
        <v>0</v>
      </c>
      <c r="AF2853" s="184"/>
      <c r="AG2853" s="180"/>
      <c r="AH2853" s="185">
        <f>IFERROR(__xludf.DUMMYFUNCTION("""COMPUTED_VALUE"""),43383.424432465275)</f>
        <v>43383.42443</v>
      </c>
      <c r="AI2853" s="182"/>
      <c r="AJ2853" s="182"/>
      <c r="AK2853" s="182"/>
      <c r="AL2853" s="182"/>
    </row>
    <row r="2854" ht="20.25" customHeight="1">
      <c r="A2854" s="169" t="str">
        <f>IFERROR(__xludf.DUMMYFUNCTION("""COMPUTED_VALUE"""),"RCKrazY")</f>
        <v>RCKrazY</v>
      </c>
      <c r="B2854" s="170" t="str">
        <f>IFERROR(__xludf.DUMMYFUNCTION("""COMPUTED_VALUE"""),"San Jose")</f>
        <v>San Jose</v>
      </c>
      <c r="C2854" s="170" t="str">
        <f>IFERROR(__xludf.DUMMYFUNCTION("""COMPUTED_VALUE"""),"CA")</f>
        <v>CA</v>
      </c>
      <c r="D2854" s="170" t="str">
        <f>IFERROR(__xludf.DUMMYFUNCTION("""COMPUTED_VALUE"""),"USA")</f>
        <v>USA</v>
      </c>
      <c r="E2854" s="171">
        <f>IFERROR(__xludf.DUMMYFUNCTION("""COMPUTED_VALUE"""),43280.0)</f>
        <v>43280</v>
      </c>
      <c r="F2854" s="172">
        <f>IFERROR(__xludf.DUMMYFUNCTION("""COMPUTED_VALUE"""),43362.0)</f>
        <v>43362</v>
      </c>
      <c r="G2854" s="173"/>
      <c r="H2854" s="174">
        <f>IFERROR(__xludf.DUMMYFUNCTION("""COMPUTED_VALUE"""),90855.0)</f>
        <v>90855</v>
      </c>
      <c r="I2854" s="175" t="str">
        <f>IFERROR(__xludf.DUMMYFUNCTION("""COMPUTED_VALUE"""),"09/18")</f>
        <v>09/18</v>
      </c>
      <c r="J2854" s="172">
        <f>IFERROR(__xludf.DUMMYFUNCTION("""COMPUTED_VALUE"""),43362.0)</f>
        <v>43362</v>
      </c>
      <c r="K2854" s="176">
        <f>IFERROR(__xludf.DUMMYFUNCTION("""COMPUTED_VALUE"""),82.0)</f>
        <v>82</v>
      </c>
      <c r="L2854" s="176">
        <f>IFERROR(__xludf.DUMMYFUNCTION("""COMPUTED_VALUE"""),0.0)</f>
        <v>0</v>
      </c>
      <c r="M2854" s="176">
        <f>IFERROR(__xludf.DUMMYFUNCTION("""COMPUTED_VALUE"""),82.0)</f>
        <v>82</v>
      </c>
      <c r="N2854" s="177" t="str">
        <f>IFERROR(__xludf.DUMMYFUNCTION("""COMPUTED_VALUE"""),"Model 3 LR AWD")</f>
        <v>Model 3 LR AWD</v>
      </c>
      <c r="O2854" s="177" t="str">
        <f>IFERROR(__xludf.DUMMYFUNCTION("""COMPUTED_VALUE"""),"Midnight Silver Metallic")</f>
        <v>Midnight Silver Metallic</v>
      </c>
      <c r="P2854" s="178" t="str">
        <f>IFERROR(__xludf.DUMMYFUNCTION("""COMPUTED_VALUE"""),"19 inch Sport")</f>
        <v>19 inch Sport</v>
      </c>
      <c r="Q2854" s="177" t="str">
        <f>IFERROR(__xludf.DUMMYFUNCTION("""COMPUTED_VALUE"""),"Black seats")</f>
        <v>Black seats</v>
      </c>
      <c r="R2854" s="170" t="str">
        <f>IFERROR(__xludf.DUMMYFUNCTION("""COMPUTED_VALUE"""),"Enhanced Autopilot")</f>
        <v>Enhanced Autopilot</v>
      </c>
      <c r="S2854" s="170"/>
      <c r="T2854" s="179"/>
      <c r="U2854" s="179"/>
      <c r="V2854" s="179"/>
      <c r="W2854" s="180"/>
      <c r="X2854" s="181" t="str">
        <f>IFERROR(__xludf.DUMMYFUNCTION("""COMPUTED_VALUE"""),"Excellent")</f>
        <v>Excellent</v>
      </c>
      <c r="Y2854" s="182" t="str">
        <f>IFERROR(__xludf.DUMMYFUNCTION("""COMPUTED_VALUE"""),"Excellent")</f>
        <v>Excellent</v>
      </c>
      <c r="Z2854" s="182" t="str">
        <f>IFERROR(__xludf.DUMMYFUNCTION("""COMPUTED_VALUE"""),"Excellent")</f>
        <v>Excellent</v>
      </c>
      <c r="AA2854" s="182" t="str">
        <f>IFERROR(__xludf.DUMMYFUNCTION("""COMPUTED_VALUE"""),"Excellent")</f>
        <v>Excellent</v>
      </c>
      <c r="AB2854" s="182" t="str">
        <f>IFERROR(__xludf.DUMMYFUNCTION("""COMPUTED_VALUE"""),"Excellent")</f>
        <v>Excellent</v>
      </c>
      <c r="AC2854" s="183">
        <f>IFERROR(__xludf.DUMMYFUNCTION("""COMPUTED_VALUE"""),0.0)</f>
        <v>0</v>
      </c>
      <c r="AD2854" s="183">
        <f>IFERROR(__xludf.DUMMYFUNCTION("""COMPUTED_VALUE"""),0.0)</f>
        <v>0</v>
      </c>
      <c r="AE2854" s="183">
        <f>IFERROR(__xludf.DUMMYFUNCTION("""COMPUTED_VALUE"""),0.0)</f>
        <v>0</v>
      </c>
      <c r="AF2854" s="184"/>
      <c r="AG2854" s="180" t="str">
        <f>IFERROR(__xludf.DUMMYFUNCTION("""COMPUTED_VALUE"""),"Direct home delivery from production before scheduled delivery date. Delivery time was too short - rep allocated only 10min for delivery!")</f>
        <v>Direct home delivery from production before scheduled delivery date. Delivery time was too short - rep allocated only 10min for delivery!</v>
      </c>
      <c r="AH2854" s="185">
        <f>IFERROR(__xludf.DUMMYFUNCTION("""COMPUTED_VALUE"""),43372.33708362268)</f>
        <v>43372.33708</v>
      </c>
      <c r="AI2854" s="182"/>
      <c r="AJ2854" s="182"/>
      <c r="AK2854" s="182"/>
      <c r="AL2854" s="182"/>
    </row>
    <row r="2855" ht="20.25" customHeight="1">
      <c r="A2855" s="169" t="str">
        <f>IFERROR(__xludf.DUMMYFUNCTION("""COMPUTED_VALUE"""),"rcroman")</f>
        <v>rcroman</v>
      </c>
      <c r="B2855" s="170" t="str">
        <f>IFERROR(__xludf.DUMMYFUNCTION("""COMPUTED_VALUE"""),"Austin")</f>
        <v>Austin</v>
      </c>
      <c r="C2855" s="170" t="str">
        <f>IFERROR(__xludf.DUMMYFUNCTION("""COMPUTED_VALUE"""),"TX")</f>
        <v>TX</v>
      </c>
      <c r="D2855" s="170" t="str">
        <f>IFERROR(__xludf.DUMMYFUNCTION("""COMPUTED_VALUE"""),"USA")</f>
        <v>USA</v>
      </c>
      <c r="E2855" s="171">
        <f>IFERROR(__xludf.DUMMYFUNCTION("""COMPUTED_VALUE"""),43280.0)</f>
        <v>43280</v>
      </c>
      <c r="F2855" s="172">
        <f>IFERROR(__xludf.DUMMYFUNCTION("""COMPUTED_VALUE"""),43382.0)</f>
        <v>43382</v>
      </c>
      <c r="G2855" s="173"/>
      <c r="H2855" s="174">
        <f>IFERROR(__xludf.DUMMYFUNCTION("""COMPUTED_VALUE"""),94392.0)</f>
        <v>94392</v>
      </c>
      <c r="I2855" s="175" t="str">
        <f>IFERROR(__xludf.DUMMYFUNCTION("""COMPUTED_VALUE"""),"10/18")</f>
        <v>10/18</v>
      </c>
      <c r="J2855" s="172">
        <f>IFERROR(__xludf.DUMMYFUNCTION("""COMPUTED_VALUE"""),43392.0)</f>
        <v>43392</v>
      </c>
      <c r="K2855" s="176">
        <f>IFERROR(__xludf.DUMMYFUNCTION("""COMPUTED_VALUE"""),102.0)</f>
        <v>102</v>
      </c>
      <c r="L2855" s="176">
        <f>IFERROR(__xludf.DUMMYFUNCTION("""COMPUTED_VALUE"""),10.0)</f>
        <v>10</v>
      </c>
      <c r="M2855" s="176">
        <f>IFERROR(__xludf.DUMMYFUNCTION("""COMPUTED_VALUE"""),112.0)</f>
        <v>112</v>
      </c>
      <c r="N2855" s="177" t="str">
        <f>IFERROR(__xludf.DUMMYFUNCTION("""COMPUTED_VALUE"""),"Model 3 Performance")</f>
        <v>Model 3 Performance</v>
      </c>
      <c r="O2855" s="177" t="str">
        <f>IFERROR(__xludf.DUMMYFUNCTION("""COMPUTED_VALUE"""),"Red Multi-Coat")</f>
        <v>Red Multi-Coat</v>
      </c>
      <c r="P2855" s="178" t="str">
        <f>IFERROR(__xludf.DUMMYFUNCTION("""COMPUTED_VALUE"""),"18 inch Aero")</f>
        <v>18 inch Aero</v>
      </c>
      <c r="Q2855" s="177" t="str">
        <f>IFERROR(__xludf.DUMMYFUNCTION("""COMPUTED_VALUE"""),"Black seats")</f>
        <v>Black seats</v>
      </c>
      <c r="R2855" s="170" t="str">
        <f>IFERROR(__xludf.DUMMYFUNCTION("""COMPUTED_VALUE"""),"Enhanced Autopilot")</f>
        <v>Enhanced Autopilot</v>
      </c>
      <c r="S2855" s="170"/>
      <c r="T2855" s="179"/>
      <c r="U2855" s="179"/>
      <c r="V2855" s="179"/>
      <c r="W2855" s="180"/>
      <c r="X2855" s="181" t="str">
        <f>IFERROR(__xludf.DUMMYFUNCTION("""COMPUTED_VALUE"""),"Excellent")</f>
        <v>Excellent</v>
      </c>
      <c r="Y2855" s="182" t="str">
        <f>IFERROR(__xludf.DUMMYFUNCTION("""COMPUTED_VALUE"""),"Excellent")</f>
        <v>Excellent</v>
      </c>
      <c r="Z2855" s="182" t="str">
        <f>IFERROR(__xludf.DUMMYFUNCTION("""COMPUTED_VALUE"""),"Excellent")</f>
        <v>Excellent</v>
      </c>
      <c r="AA2855" s="182" t="str">
        <f>IFERROR(__xludf.DUMMYFUNCTION("""COMPUTED_VALUE"""),"Good")</f>
        <v>Good</v>
      </c>
      <c r="AB2855" s="182" t="str">
        <f>IFERROR(__xludf.DUMMYFUNCTION("""COMPUTED_VALUE"""),"Very Good")</f>
        <v>Very Good</v>
      </c>
      <c r="AC2855" s="183"/>
      <c r="AD2855" s="183"/>
      <c r="AE2855" s="183"/>
      <c r="AF2855" s="184"/>
      <c r="AG2855" s="180"/>
      <c r="AH2855" s="185">
        <f>IFERROR(__xludf.DUMMYFUNCTION("""COMPUTED_VALUE"""),43392.53399347222)</f>
        <v>43392.53399</v>
      </c>
      <c r="AI2855" s="182"/>
      <c r="AJ2855" s="182"/>
      <c r="AK2855" s="182"/>
      <c r="AL2855" s="182"/>
    </row>
    <row r="2856" ht="20.25" customHeight="1">
      <c r="A2856" s="169" t="str">
        <f>IFERROR(__xludf.DUMMYFUNCTION("""COMPUTED_VALUE"""),"robd")</f>
        <v>robd</v>
      </c>
      <c r="B2856" s="170" t="str">
        <f>IFERROR(__xludf.DUMMYFUNCTION("""COMPUTED_VALUE"""),"Longmont")</f>
        <v>Longmont</v>
      </c>
      <c r="C2856" s="170" t="str">
        <f>IFERROR(__xludf.DUMMYFUNCTION("""COMPUTED_VALUE"""),"CO")</f>
        <v>CO</v>
      </c>
      <c r="D2856" s="170" t="str">
        <f>IFERROR(__xludf.DUMMYFUNCTION("""COMPUTED_VALUE"""),"USA")</f>
        <v>USA</v>
      </c>
      <c r="E2856" s="171">
        <f>IFERROR(__xludf.DUMMYFUNCTION("""COMPUTED_VALUE"""),43280.0)</f>
        <v>43280</v>
      </c>
      <c r="F2856" s="172">
        <f>IFERROR(__xludf.DUMMYFUNCTION("""COMPUTED_VALUE"""),43365.0)</f>
        <v>43365</v>
      </c>
      <c r="G2856" s="173"/>
      <c r="H2856" s="174">
        <f>IFERROR(__xludf.DUMMYFUNCTION("""COMPUTED_VALUE"""),91655.0)</f>
        <v>91655</v>
      </c>
      <c r="I2856" s="175" t="str">
        <f>IFERROR(__xludf.DUMMYFUNCTION("""COMPUTED_VALUE"""),"09/18")</f>
        <v>09/18</v>
      </c>
      <c r="J2856" s="172">
        <f>IFERROR(__xludf.DUMMYFUNCTION("""COMPUTED_VALUE"""),43371.0)</f>
        <v>43371</v>
      </c>
      <c r="K2856" s="176">
        <f>IFERROR(__xludf.DUMMYFUNCTION("""COMPUTED_VALUE"""),85.0)</f>
        <v>85</v>
      </c>
      <c r="L2856" s="176">
        <f>IFERROR(__xludf.DUMMYFUNCTION("""COMPUTED_VALUE"""),6.0)</f>
        <v>6</v>
      </c>
      <c r="M2856" s="176">
        <f>IFERROR(__xludf.DUMMYFUNCTION("""COMPUTED_VALUE"""),91.0)</f>
        <v>91</v>
      </c>
      <c r="N2856" s="177" t="str">
        <f>IFERROR(__xludf.DUMMYFUNCTION("""COMPUTED_VALUE"""),"Model 3 LR AWD")</f>
        <v>Model 3 LR AWD</v>
      </c>
      <c r="O2856" s="177" t="str">
        <f>IFERROR(__xludf.DUMMYFUNCTION("""COMPUTED_VALUE"""),"Red Multi-Coat")</f>
        <v>Red Multi-Coat</v>
      </c>
      <c r="P2856" s="178" t="str">
        <f>IFERROR(__xludf.DUMMYFUNCTION("""COMPUTED_VALUE"""),"18 inch Aero")</f>
        <v>18 inch Aero</v>
      </c>
      <c r="Q2856" s="177" t="str">
        <f>IFERROR(__xludf.DUMMYFUNCTION("""COMPUTED_VALUE"""),"Black seats")</f>
        <v>Black seats</v>
      </c>
      <c r="R2856" s="170" t="str">
        <f>IFERROR(__xludf.DUMMYFUNCTION("""COMPUTED_VALUE"""),"Enhanced Autopilot")</f>
        <v>Enhanced Autopilot</v>
      </c>
      <c r="S2856" s="170"/>
      <c r="T2856" s="179"/>
      <c r="U2856" s="179"/>
      <c r="V2856" s="179"/>
      <c r="W2856" s="180"/>
      <c r="X2856" s="181" t="str">
        <f>IFERROR(__xludf.DUMMYFUNCTION("""COMPUTED_VALUE"""),"Excellent")</f>
        <v>Excellent</v>
      </c>
      <c r="Y2856" s="182" t="str">
        <f>IFERROR(__xludf.DUMMYFUNCTION("""COMPUTED_VALUE"""),"Excellent")</f>
        <v>Excellent</v>
      </c>
      <c r="Z2856" s="182" t="str">
        <f>IFERROR(__xludf.DUMMYFUNCTION("""COMPUTED_VALUE"""),"Excellent")</f>
        <v>Excellent</v>
      </c>
      <c r="AA2856" s="182" t="str">
        <f>IFERROR(__xludf.DUMMYFUNCTION("""COMPUTED_VALUE"""),"Very Good")</f>
        <v>Very Good</v>
      </c>
      <c r="AB2856" s="182" t="str">
        <f>IFERROR(__xludf.DUMMYFUNCTION("""COMPUTED_VALUE"""),"Excellent")</f>
        <v>Excellent</v>
      </c>
      <c r="AC2856" s="183"/>
      <c r="AD2856" s="183"/>
      <c r="AE2856" s="183"/>
      <c r="AF2856" s="184"/>
      <c r="AG2856" s="180"/>
      <c r="AH2856" s="185">
        <f>IFERROR(__xludf.DUMMYFUNCTION("""COMPUTED_VALUE"""),43371.50473915509)</f>
        <v>43371.50474</v>
      </c>
      <c r="AI2856" s="182"/>
      <c r="AJ2856" s="182"/>
      <c r="AK2856" s="182"/>
      <c r="AL2856" s="182"/>
    </row>
    <row r="2857" ht="20.25" customHeight="1">
      <c r="A2857" s="169" t="str">
        <f>IFERROR(__xludf.DUMMYFUNCTION("""COMPUTED_VALUE"""),"seekingModel3")</f>
        <v>seekingModel3</v>
      </c>
      <c r="B2857" s="170" t="str">
        <f>IFERROR(__xludf.DUMMYFUNCTION("""COMPUTED_VALUE"""),"Austin")</f>
        <v>Austin</v>
      </c>
      <c r="C2857" s="170" t="str">
        <f>IFERROR(__xludf.DUMMYFUNCTION("""COMPUTED_VALUE"""),"TX")</f>
        <v>TX</v>
      </c>
      <c r="D2857" s="170" t="str">
        <f>IFERROR(__xludf.DUMMYFUNCTION("""COMPUTED_VALUE"""),"USA")</f>
        <v>USA</v>
      </c>
      <c r="E2857" s="171">
        <f>IFERROR(__xludf.DUMMYFUNCTION("""COMPUTED_VALUE"""),43280.0)</f>
        <v>43280</v>
      </c>
      <c r="F2857" s="172">
        <f>IFERROR(__xludf.DUMMYFUNCTION("""COMPUTED_VALUE"""),43332.0)</f>
        <v>43332</v>
      </c>
      <c r="G2857" s="173"/>
      <c r="H2857" s="174">
        <f>IFERROR(__xludf.DUMMYFUNCTION("""COMPUTED_VALUE"""),71125.0)</f>
        <v>71125</v>
      </c>
      <c r="I2857" s="175" t="str">
        <f>IFERROR(__xludf.DUMMYFUNCTION("""COMPUTED_VALUE"""),"08/18")</f>
        <v>08/18</v>
      </c>
      <c r="J2857" s="172">
        <f>IFERROR(__xludf.DUMMYFUNCTION("""COMPUTED_VALUE"""),43367.0)</f>
        <v>43367</v>
      </c>
      <c r="K2857" s="176">
        <f>IFERROR(__xludf.DUMMYFUNCTION("""COMPUTED_VALUE"""),52.0)</f>
        <v>52</v>
      </c>
      <c r="L2857" s="176">
        <f>IFERROR(__xludf.DUMMYFUNCTION("""COMPUTED_VALUE"""),35.0)</f>
        <v>35</v>
      </c>
      <c r="M2857" s="176">
        <f>IFERROR(__xludf.DUMMYFUNCTION("""COMPUTED_VALUE"""),87.0)</f>
        <v>87</v>
      </c>
      <c r="N2857" s="177" t="str">
        <f>IFERROR(__xludf.DUMMYFUNCTION("""COMPUTED_VALUE"""),"Model 3 LR")</f>
        <v>Model 3 LR</v>
      </c>
      <c r="O2857" s="177" t="str">
        <f>IFERROR(__xludf.DUMMYFUNCTION("""COMPUTED_VALUE"""),"Obsidian Black Metallic")</f>
        <v>Obsidian Black Metallic</v>
      </c>
      <c r="P2857" s="178" t="str">
        <f>IFERROR(__xludf.DUMMYFUNCTION("""COMPUTED_VALUE"""),"19 inch Sport")</f>
        <v>19 inch Sport</v>
      </c>
      <c r="Q2857" s="177" t="str">
        <f>IFERROR(__xludf.DUMMYFUNCTION("""COMPUTED_VALUE"""),"Black seats")</f>
        <v>Black seats</v>
      </c>
      <c r="R2857" s="170" t="str">
        <f>IFERROR(__xludf.DUMMYFUNCTION("""COMPUTED_VALUE"""),"Enhanced Autopilot")</f>
        <v>Enhanced Autopilot</v>
      </c>
      <c r="S2857" s="170"/>
      <c r="T2857" s="179"/>
      <c r="U2857" s="179"/>
      <c r="V2857" s="179"/>
      <c r="W2857" s="180"/>
      <c r="X2857" s="181" t="str">
        <f>IFERROR(__xludf.DUMMYFUNCTION("""COMPUTED_VALUE"""),"Excellent")</f>
        <v>Excellent</v>
      </c>
      <c r="Y2857" s="182" t="str">
        <f>IFERROR(__xludf.DUMMYFUNCTION("""COMPUTED_VALUE"""),"Excellent")</f>
        <v>Excellent</v>
      </c>
      <c r="Z2857" s="182" t="str">
        <f>IFERROR(__xludf.DUMMYFUNCTION("""COMPUTED_VALUE"""),"Excellent")</f>
        <v>Excellent</v>
      </c>
      <c r="AA2857" s="182" t="str">
        <f>IFERROR(__xludf.DUMMYFUNCTION("""COMPUTED_VALUE"""),"Very Good")</f>
        <v>Very Good</v>
      </c>
      <c r="AB2857" s="182" t="str">
        <f>IFERROR(__xludf.DUMMYFUNCTION("""COMPUTED_VALUE"""),"Very Good")</f>
        <v>Very Good</v>
      </c>
      <c r="AC2857" s="183">
        <f>IFERROR(__xludf.DUMMYFUNCTION("""COMPUTED_VALUE"""),1.0)</f>
        <v>1</v>
      </c>
      <c r="AD2857" s="183">
        <f>IFERROR(__xludf.DUMMYFUNCTION("""COMPUTED_VALUE"""),0.0)</f>
        <v>0</v>
      </c>
      <c r="AE2857" s="183">
        <f>IFERROR(__xludf.DUMMYFUNCTION("""COMPUTED_VALUE"""),0.0)</f>
        <v>0</v>
      </c>
      <c r="AF2857" s="184"/>
      <c r="AG2857" s="180"/>
      <c r="AH2857" s="185">
        <f>IFERROR(__xludf.DUMMYFUNCTION("""COMPUTED_VALUE"""),43372.25956880787)</f>
        <v>43372.25957</v>
      </c>
      <c r="AI2857" s="182"/>
      <c r="AJ2857" s="182"/>
      <c r="AK2857" s="182"/>
      <c r="AL2857" s="182"/>
    </row>
    <row r="2858" ht="20.25" customHeight="1">
      <c r="A2858" s="169" t="str">
        <f>IFERROR(__xludf.DUMMYFUNCTION("""COMPUTED_VALUE"""),"Stream3")</f>
        <v>Stream3</v>
      </c>
      <c r="B2858" s="170"/>
      <c r="C2858" s="170" t="str">
        <f>IFERROR(__xludf.DUMMYFUNCTION("""COMPUTED_VALUE"""),"OH")</f>
        <v>OH</v>
      </c>
      <c r="D2858" s="170" t="str">
        <f>IFERROR(__xludf.DUMMYFUNCTION("""COMPUTED_VALUE"""),"USA")</f>
        <v>USA</v>
      </c>
      <c r="E2858" s="171">
        <f>IFERROR(__xludf.DUMMYFUNCTION("""COMPUTED_VALUE"""),43280.0)</f>
        <v>43280</v>
      </c>
      <c r="F2858" s="172">
        <f>IFERROR(__xludf.DUMMYFUNCTION("""COMPUTED_VALUE"""),43318.0)</f>
        <v>43318</v>
      </c>
      <c r="G2858" s="173"/>
      <c r="H2858" s="174">
        <f>IFERROR(__xludf.DUMMYFUNCTION("""COMPUTED_VALUE"""),68555.0)</f>
        <v>68555</v>
      </c>
      <c r="I2858" s="175"/>
      <c r="J2858" s="172">
        <f>IFERROR(__xludf.DUMMYFUNCTION("""COMPUTED_VALUE"""),43336.0)</f>
        <v>43336</v>
      </c>
      <c r="K2858" s="176">
        <f>IFERROR(__xludf.DUMMYFUNCTION("""COMPUTED_VALUE"""),38.0)</f>
        <v>38</v>
      </c>
      <c r="L2858" s="176">
        <f>IFERROR(__xludf.DUMMYFUNCTION("""COMPUTED_VALUE"""),18.0)</f>
        <v>18</v>
      </c>
      <c r="M2858" s="176">
        <f>IFERROR(__xludf.DUMMYFUNCTION("""COMPUTED_VALUE"""),56.0)</f>
        <v>56</v>
      </c>
      <c r="N2858" s="177" t="str">
        <f>IFERROR(__xludf.DUMMYFUNCTION("""COMPUTED_VALUE"""),"Model 3 LR AWD")</f>
        <v>Model 3 LR AWD</v>
      </c>
      <c r="O2858" s="177" t="str">
        <f>IFERROR(__xludf.DUMMYFUNCTION("""COMPUTED_VALUE"""),"Midnight Silver Metallic")</f>
        <v>Midnight Silver Metallic</v>
      </c>
      <c r="P2858" s="178" t="str">
        <f>IFERROR(__xludf.DUMMYFUNCTION("""COMPUTED_VALUE"""),"19 inch Sport")</f>
        <v>19 inch Sport</v>
      </c>
      <c r="Q2858" s="177" t="str">
        <f>IFERROR(__xludf.DUMMYFUNCTION("""COMPUTED_VALUE"""),"Black seats")</f>
        <v>Black seats</v>
      </c>
      <c r="R2858" s="170" t="str">
        <f>IFERROR(__xludf.DUMMYFUNCTION("""COMPUTED_VALUE"""),"None")</f>
        <v>None</v>
      </c>
      <c r="S2858" s="170"/>
      <c r="T2858" s="179"/>
      <c r="U2858" s="179"/>
      <c r="V2858" s="179"/>
      <c r="W2858" s="180"/>
      <c r="X2858" s="181" t="str">
        <f>IFERROR(__xludf.DUMMYFUNCTION("""COMPUTED_VALUE"""),"Excellent")</f>
        <v>Excellent</v>
      </c>
      <c r="Y2858" s="182" t="str">
        <f>IFERROR(__xludf.DUMMYFUNCTION("""COMPUTED_VALUE"""),"Excellent")</f>
        <v>Excellent</v>
      </c>
      <c r="Z2858" s="182" t="str">
        <f>IFERROR(__xludf.DUMMYFUNCTION("""COMPUTED_VALUE"""),"Excellent")</f>
        <v>Excellent</v>
      </c>
      <c r="AA2858" s="182" t="str">
        <f>IFERROR(__xludf.DUMMYFUNCTION("""COMPUTED_VALUE"""),"Excellent")</f>
        <v>Excellent</v>
      </c>
      <c r="AB2858" s="182" t="str">
        <f>IFERROR(__xludf.DUMMYFUNCTION("""COMPUTED_VALUE"""),"Excellent")</f>
        <v>Excellent</v>
      </c>
      <c r="AC2858" s="183"/>
      <c r="AD2858" s="183"/>
      <c r="AE2858" s="183"/>
      <c r="AF2858" s="184"/>
      <c r="AG2858" s="180"/>
      <c r="AH2858" s="185">
        <f>IFERROR(__xludf.DUMMYFUNCTION("""COMPUTED_VALUE"""),43340.82168925926)</f>
        <v>43340.82169</v>
      </c>
      <c r="AI2858" s="182"/>
      <c r="AJ2858" s="182"/>
      <c r="AK2858" s="182"/>
      <c r="AL2858" s="182"/>
    </row>
    <row r="2859" ht="20.25" customHeight="1">
      <c r="A2859" s="169" t="str">
        <f>IFERROR(__xludf.DUMMYFUNCTION("""COMPUTED_VALUE"""),"SuperFreq")</f>
        <v>SuperFreq</v>
      </c>
      <c r="B2859" s="170" t="str">
        <f>IFERROR(__xludf.DUMMYFUNCTION("""COMPUTED_VALUE"""),"Denver")</f>
        <v>Denver</v>
      </c>
      <c r="C2859" s="170" t="str">
        <f>IFERROR(__xludf.DUMMYFUNCTION("""COMPUTED_VALUE"""),"CO")</f>
        <v>CO</v>
      </c>
      <c r="D2859" s="170" t="str">
        <f>IFERROR(__xludf.DUMMYFUNCTION("""COMPUTED_VALUE"""),"USA")</f>
        <v>USA</v>
      </c>
      <c r="E2859" s="171">
        <f>IFERROR(__xludf.DUMMYFUNCTION("""COMPUTED_VALUE"""),43280.0)</f>
        <v>43280</v>
      </c>
      <c r="F2859" s="172">
        <f>IFERROR(__xludf.DUMMYFUNCTION("""COMPUTED_VALUE"""),43341.0)</f>
        <v>43341</v>
      </c>
      <c r="G2859" s="173"/>
      <c r="H2859" s="174">
        <f>IFERROR(__xludf.DUMMYFUNCTION("""COMPUTED_VALUE"""),63055.0)</f>
        <v>63055</v>
      </c>
      <c r="I2859" s="175"/>
      <c r="J2859" s="172">
        <f>IFERROR(__xludf.DUMMYFUNCTION("""COMPUTED_VALUE"""),43348.0)</f>
        <v>43348</v>
      </c>
      <c r="K2859" s="176">
        <f>IFERROR(__xludf.DUMMYFUNCTION("""COMPUTED_VALUE"""),61.0)</f>
        <v>61</v>
      </c>
      <c r="L2859" s="176">
        <f>IFERROR(__xludf.DUMMYFUNCTION("""COMPUTED_VALUE"""),7.0)</f>
        <v>7</v>
      </c>
      <c r="M2859" s="176">
        <f>IFERROR(__xludf.DUMMYFUNCTION("""COMPUTED_VALUE"""),68.0)</f>
        <v>68</v>
      </c>
      <c r="N2859" s="177" t="str">
        <f>IFERROR(__xludf.DUMMYFUNCTION("""COMPUTED_VALUE"""),"Model 3 Performance")</f>
        <v>Model 3 Performance</v>
      </c>
      <c r="O2859" s="177" t="str">
        <f>IFERROR(__xludf.DUMMYFUNCTION("""COMPUTED_VALUE"""),"Midnight Silver Metallic")</f>
        <v>Midnight Silver Metallic</v>
      </c>
      <c r="P2859" s="178" t="str">
        <f>IFERROR(__xludf.DUMMYFUNCTION("""COMPUTED_VALUE"""),"20 inch Sport")</f>
        <v>20 inch Sport</v>
      </c>
      <c r="Q2859" s="177" t="str">
        <f>IFERROR(__xludf.DUMMYFUNCTION("""COMPUTED_VALUE"""),"Black seats")</f>
        <v>Black seats</v>
      </c>
      <c r="R2859" s="170" t="str">
        <f>IFERROR(__xludf.DUMMYFUNCTION("""COMPUTED_VALUE"""),"Full Self-Driving")</f>
        <v>Full Self-Driving</v>
      </c>
      <c r="S2859" s="170"/>
      <c r="T2859" s="179"/>
      <c r="U2859" s="179"/>
      <c r="V2859" s="179"/>
      <c r="W2859" s="180"/>
      <c r="X2859" s="181" t="str">
        <f>IFERROR(__xludf.DUMMYFUNCTION("""COMPUTED_VALUE"""),"Very Good")</f>
        <v>Very Good</v>
      </c>
      <c r="Y2859" s="182" t="str">
        <f>IFERROR(__xludf.DUMMYFUNCTION("""COMPUTED_VALUE"""),"Very Good")</f>
        <v>Very Good</v>
      </c>
      <c r="Z2859" s="182" t="str">
        <f>IFERROR(__xludf.DUMMYFUNCTION("""COMPUTED_VALUE"""),"Very Good")</f>
        <v>Very Good</v>
      </c>
      <c r="AA2859" s="182" t="str">
        <f>IFERROR(__xludf.DUMMYFUNCTION("""COMPUTED_VALUE"""),"Very Good")</f>
        <v>Very Good</v>
      </c>
      <c r="AB2859" s="182" t="str">
        <f>IFERROR(__xludf.DUMMYFUNCTION("""COMPUTED_VALUE"""),"Very Good")</f>
        <v>Very Good</v>
      </c>
      <c r="AC2859" s="183"/>
      <c r="AD2859" s="183"/>
      <c r="AE2859" s="183"/>
      <c r="AF2859" s="184"/>
      <c r="AG2859" s="180"/>
      <c r="AH2859" s="185">
        <f>IFERROR(__xludf.DUMMYFUNCTION("""COMPUTED_VALUE"""),43348.80852459491)</f>
        <v>43348.80852</v>
      </c>
      <c r="AI2859" s="182"/>
      <c r="AJ2859" s="182"/>
      <c r="AK2859" s="182"/>
      <c r="AL2859" s="182"/>
    </row>
    <row r="2860" ht="20.25" customHeight="1">
      <c r="A2860" s="169" t="str">
        <f>IFERROR(__xludf.DUMMYFUNCTION("""COMPUTED_VALUE"""),"tagyrit")</f>
        <v>tagyrit</v>
      </c>
      <c r="B2860" s="170"/>
      <c r="C2860" s="170" t="str">
        <f>IFERROR(__xludf.DUMMYFUNCTION("""COMPUTED_VALUE"""),"GA")</f>
        <v>GA</v>
      </c>
      <c r="D2860" s="170" t="str">
        <f>IFERROR(__xludf.DUMMYFUNCTION("""COMPUTED_VALUE"""),"USA")</f>
        <v>USA</v>
      </c>
      <c r="E2860" s="171">
        <f>IFERROR(__xludf.DUMMYFUNCTION("""COMPUTED_VALUE"""),43280.0)</f>
        <v>43280</v>
      </c>
      <c r="F2860" s="172">
        <f>IFERROR(__xludf.DUMMYFUNCTION("""COMPUTED_VALUE"""),43282.0)</f>
        <v>43282</v>
      </c>
      <c r="G2860" s="173"/>
      <c r="H2860" s="174">
        <f>IFERROR(__xludf.DUMMYFUNCTION("""COMPUTED_VALUE"""),25255.0)</f>
        <v>25255</v>
      </c>
      <c r="I2860" s="175" t="str">
        <f>IFERROR(__xludf.DUMMYFUNCTION("""COMPUTED_VALUE"""),"06/18")</f>
        <v>06/18</v>
      </c>
      <c r="J2860" s="172">
        <f>IFERROR(__xludf.DUMMYFUNCTION("""COMPUTED_VALUE"""),43299.0)</f>
        <v>43299</v>
      </c>
      <c r="K2860" s="176">
        <f>IFERROR(__xludf.DUMMYFUNCTION("""COMPUTED_VALUE"""),2.0)</f>
        <v>2</v>
      </c>
      <c r="L2860" s="176">
        <f>IFERROR(__xludf.DUMMYFUNCTION("""COMPUTED_VALUE"""),17.0)</f>
        <v>17</v>
      </c>
      <c r="M2860" s="176">
        <f>IFERROR(__xludf.DUMMYFUNCTION("""COMPUTED_VALUE"""),19.0)</f>
        <v>19</v>
      </c>
      <c r="N2860" s="177" t="str">
        <f>IFERROR(__xludf.DUMMYFUNCTION("""COMPUTED_VALUE"""),"Model 3 LR")</f>
        <v>Model 3 LR</v>
      </c>
      <c r="O2860" s="177" t="str">
        <f>IFERROR(__xludf.DUMMYFUNCTION("""COMPUTED_VALUE"""),"Pearl White Multi-Coat")</f>
        <v>Pearl White Multi-Coat</v>
      </c>
      <c r="P2860" s="178" t="str">
        <f>IFERROR(__xludf.DUMMYFUNCTION("""COMPUTED_VALUE"""),"19 inch Sport")</f>
        <v>19 inch Sport</v>
      </c>
      <c r="Q2860" s="177" t="str">
        <f>IFERROR(__xludf.DUMMYFUNCTION("""COMPUTED_VALUE"""),"Black seats")</f>
        <v>Black seats</v>
      </c>
      <c r="R2860" s="170" t="str">
        <f>IFERROR(__xludf.DUMMYFUNCTION("""COMPUTED_VALUE"""),"None")</f>
        <v>None</v>
      </c>
      <c r="S2860" s="170"/>
      <c r="T2860" s="179"/>
      <c r="U2860" s="179"/>
      <c r="V2860" s="179"/>
      <c r="W2860" s="180"/>
      <c r="X2860" s="181" t="str">
        <f>IFERROR(__xludf.DUMMYFUNCTION("""COMPUTED_VALUE"""),"Fair")</f>
        <v>Fair</v>
      </c>
      <c r="Y2860" s="182" t="str">
        <f>IFERROR(__xludf.DUMMYFUNCTION("""COMPUTED_VALUE"""),"Fair")</f>
        <v>Fair</v>
      </c>
      <c r="Z2860" s="182" t="str">
        <f>IFERROR(__xludf.DUMMYFUNCTION("""COMPUTED_VALUE"""),"Very Good")</f>
        <v>Very Good</v>
      </c>
      <c r="AA2860" s="182" t="str">
        <f>IFERROR(__xludf.DUMMYFUNCTION("""COMPUTED_VALUE"""),"Very Good")</f>
        <v>Very Good</v>
      </c>
      <c r="AB2860" s="182" t="str">
        <f>IFERROR(__xludf.DUMMYFUNCTION("""COMPUTED_VALUE"""),"Very Good")</f>
        <v>Very Good</v>
      </c>
      <c r="AC2860" s="183">
        <f>IFERROR(__xludf.DUMMYFUNCTION("""COMPUTED_VALUE"""),2.0)</f>
        <v>2</v>
      </c>
      <c r="AD2860" s="183"/>
      <c r="AE2860" s="183"/>
      <c r="AF2860" s="184"/>
      <c r="AG2860" s="180"/>
      <c r="AH2860" s="185">
        <f>IFERROR(__xludf.DUMMYFUNCTION("""COMPUTED_VALUE"""),43308.80720650463)</f>
        <v>43308.80721</v>
      </c>
      <c r="AI2860" s="182"/>
      <c r="AJ2860" s="182"/>
      <c r="AK2860" s="182"/>
      <c r="AL2860" s="182"/>
    </row>
    <row r="2861" ht="20.25" customHeight="1">
      <c r="A2861" s="169" t="str">
        <f>IFERROR(__xludf.DUMMYFUNCTION("""COMPUTED_VALUE"""),"tentimesodds")</f>
        <v>tentimesodds</v>
      </c>
      <c r="B2861" s="170"/>
      <c r="C2861" s="170" t="str">
        <f>IFERROR(__xludf.DUMMYFUNCTION("""COMPUTED_VALUE"""),"VA")</f>
        <v>VA</v>
      </c>
      <c r="D2861" s="170" t="str">
        <f>IFERROR(__xludf.DUMMYFUNCTION("""COMPUTED_VALUE"""),"USA")</f>
        <v>USA</v>
      </c>
      <c r="E2861" s="171">
        <f>IFERROR(__xludf.DUMMYFUNCTION("""COMPUTED_VALUE"""),43280.0)</f>
        <v>43280</v>
      </c>
      <c r="F2861" s="172">
        <f>IFERROR(__xludf.DUMMYFUNCTION("""COMPUTED_VALUE"""),43329.0)</f>
        <v>43329</v>
      </c>
      <c r="G2861" s="173"/>
      <c r="H2861" s="174">
        <f>IFERROR(__xludf.DUMMYFUNCTION("""COMPUTED_VALUE"""),64555.0)</f>
        <v>64555</v>
      </c>
      <c r="I2861" s="175" t="str">
        <f>IFERROR(__xludf.DUMMYFUNCTION("""COMPUTED_VALUE"""),"08/18")</f>
        <v>08/18</v>
      </c>
      <c r="J2861" s="172">
        <f>IFERROR(__xludf.DUMMYFUNCTION("""COMPUTED_VALUE"""),43349.0)</f>
        <v>43349</v>
      </c>
      <c r="K2861" s="176">
        <f>IFERROR(__xludf.DUMMYFUNCTION("""COMPUTED_VALUE"""),49.0)</f>
        <v>49</v>
      </c>
      <c r="L2861" s="176">
        <f>IFERROR(__xludf.DUMMYFUNCTION("""COMPUTED_VALUE"""),20.0)</f>
        <v>20</v>
      </c>
      <c r="M2861" s="176">
        <f>IFERROR(__xludf.DUMMYFUNCTION("""COMPUTED_VALUE"""),69.0)</f>
        <v>69</v>
      </c>
      <c r="N2861" s="177" t="str">
        <f>IFERROR(__xludf.DUMMYFUNCTION("""COMPUTED_VALUE"""),"Model 3 LR AWD")</f>
        <v>Model 3 LR AWD</v>
      </c>
      <c r="O2861" s="177" t="str">
        <f>IFERROR(__xludf.DUMMYFUNCTION("""COMPUTED_VALUE"""),"Deep Blue Metallic")</f>
        <v>Deep Blue Metallic</v>
      </c>
      <c r="P2861" s="178" t="str">
        <f>IFERROR(__xludf.DUMMYFUNCTION("""COMPUTED_VALUE"""),"18 inch Aero")</f>
        <v>18 inch Aero</v>
      </c>
      <c r="Q2861" s="177" t="str">
        <f>IFERROR(__xludf.DUMMYFUNCTION("""COMPUTED_VALUE"""),"Black seats")</f>
        <v>Black seats</v>
      </c>
      <c r="R2861" s="170" t="str">
        <f>IFERROR(__xludf.DUMMYFUNCTION("""COMPUTED_VALUE"""),"Enhanced Autopilot")</f>
        <v>Enhanced Autopilot</v>
      </c>
      <c r="S2861" s="170"/>
      <c r="T2861" s="179"/>
      <c r="U2861" s="179"/>
      <c r="V2861" s="179"/>
      <c r="W2861" s="180"/>
      <c r="X2861" s="181" t="str">
        <f>IFERROR(__xludf.DUMMYFUNCTION("""COMPUTED_VALUE"""),"Very Good")</f>
        <v>Very Good</v>
      </c>
      <c r="Y2861" s="182" t="str">
        <f>IFERROR(__xludf.DUMMYFUNCTION("""COMPUTED_VALUE"""),"Excellent")</f>
        <v>Excellent</v>
      </c>
      <c r="Z2861" s="182" t="str">
        <f>IFERROR(__xludf.DUMMYFUNCTION("""COMPUTED_VALUE"""),"Good")</f>
        <v>Good</v>
      </c>
      <c r="AA2861" s="182" t="str">
        <f>IFERROR(__xludf.DUMMYFUNCTION("""COMPUTED_VALUE"""),"Very Good")</f>
        <v>Very Good</v>
      </c>
      <c r="AB2861" s="182" t="str">
        <f>IFERROR(__xludf.DUMMYFUNCTION("""COMPUTED_VALUE"""),"Very Good")</f>
        <v>Very Good</v>
      </c>
      <c r="AC2861" s="183"/>
      <c r="AD2861" s="183"/>
      <c r="AE2861" s="183"/>
      <c r="AF2861" s="184"/>
      <c r="AG2861" s="180"/>
      <c r="AH2861" s="185">
        <f>IFERROR(__xludf.DUMMYFUNCTION("""COMPUTED_VALUE"""),43350.356604456014)</f>
        <v>43350.3566</v>
      </c>
      <c r="AI2861" s="182"/>
      <c r="AJ2861" s="182"/>
      <c r="AK2861" s="182"/>
      <c r="AL2861" s="182"/>
    </row>
    <row r="2862" ht="20.25" customHeight="1">
      <c r="A2862" s="169" t="str">
        <f>IFERROR(__xludf.DUMMYFUNCTION("""COMPUTED_VALUE"""),"Teslunatic")</f>
        <v>Teslunatic</v>
      </c>
      <c r="B2862" s="170" t="str">
        <f>IFERROR(__xludf.DUMMYFUNCTION("""COMPUTED_VALUE"""),"Knoxville")</f>
        <v>Knoxville</v>
      </c>
      <c r="C2862" s="170" t="str">
        <f>IFERROR(__xludf.DUMMYFUNCTION("""COMPUTED_VALUE"""),"TN")</f>
        <v>TN</v>
      </c>
      <c r="D2862" s="170" t="str">
        <f>IFERROR(__xludf.DUMMYFUNCTION("""COMPUTED_VALUE"""),"USA")</f>
        <v>USA</v>
      </c>
      <c r="E2862" s="171">
        <f>IFERROR(__xludf.DUMMYFUNCTION("""COMPUTED_VALUE"""),43280.0)</f>
        <v>43280</v>
      </c>
      <c r="F2862" s="172"/>
      <c r="G2862" s="173"/>
      <c r="H2862" s="174">
        <f>IFERROR(__xludf.DUMMYFUNCTION("""COMPUTED_VALUE"""),99955.0)</f>
        <v>99955</v>
      </c>
      <c r="I2862" s="175"/>
      <c r="J2862" s="172">
        <f>IFERROR(__xludf.DUMMYFUNCTION("""COMPUTED_VALUE"""),43359.0)</f>
        <v>43359</v>
      </c>
      <c r="K2862" s="176"/>
      <c r="L2862" s="176"/>
      <c r="M2862" s="176">
        <f>IFERROR(__xludf.DUMMYFUNCTION("""COMPUTED_VALUE"""),79.0)</f>
        <v>79</v>
      </c>
      <c r="N2862" s="177" t="str">
        <f>IFERROR(__xludf.DUMMYFUNCTION("""COMPUTED_VALUE"""),"Model 3 LR AWD")</f>
        <v>Model 3 LR AWD</v>
      </c>
      <c r="O2862" s="177" t="str">
        <f>IFERROR(__xludf.DUMMYFUNCTION("""COMPUTED_VALUE"""),"Deep Blue Metallic")</f>
        <v>Deep Blue Metallic</v>
      </c>
      <c r="P2862" s="178" t="str">
        <f>IFERROR(__xludf.DUMMYFUNCTION("""COMPUTED_VALUE"""),"19 inch Sport")</f>
        <v>19 inch Sport</v>
      </c>
      <c r="Q2862" s="177" t="str">
        <f>IFERROR(__xludf.DUMMYFUNCTION("""COMPUTED_VALUE"""),"White seats")</f>
        <v>White seats</v>
      </c>
      <c r="R2862" s="170" t="str">
        <f>IFERROR(__xludf.DUMMYFUNCTION("""COMPUTED_VALUE"""),"Enhanced Autopilot")</f>
        <v>Enhanced Autopilot</v>
      </c>
      <c r="S2862" s="170"/>
      <c r="T2862" s="179"/>
      <c r="U2862" s="179"/>
      <c r="V2862" s="179"/>
      <c r="W2862" s="180"/>
      <c r="X2862" s="181" t="str">
        <f>IFERROR(__xludf.DUMMYFUNCTION("""COMPUTED_VALUE"""),"Excellent")</f>
        <v>Excellent</v>
      </c>
      <c r="Y2862" s="182" t="str">
        <f>IFERROR(__xludf.DUMMYFUNCTION("""COMPUTED_VALUE"""),"Excellent")</f>
        <v>Excellent</v>
      </c>
      <c r="Z2862" s="182" t="str">
        <f>IFERROR(__xludf.DUMMYFUNCTION("""COMPUTED_VALUE"""),"Very Good")</f>
        <v>Very Good</v>
      </c>
      <c r="AA2862" s="182" t="str">
        <f>IFERROR(__xludf.DUMMYFUNCTION("""COMPUTED_VALUE"""),"Excellent")</f>
        <v>Excellent</v>
      </c>
      <c r="AB2862" s="182" t="str">
        <f>IFERROR(__xludf.DUMMYFUNCTION("""COMPUTED_VALUE"""),"Excellent")</f>
        <v>Excellent</v>
      </c>
      <c r="AC2862" s="183"/>
      <c r="AD2862" s="183">
        <f>IFERROR(__xludf.DUMMYFUNCTION("""COMPUTED_VALUE"""),1.0)</f>
        <v>1</v>
      </c>
      <c r="AE2862" s="183"/>
      <c r="AF2862" s="184"/>
      <c r="AG2862" s="180"/>
      <c r="AH2862" s="185">
        <f>IFERROR(__xludf.DUMMYFUNCTION("""COMPUTED_VALUE"""),43361.87965517361)</f>
        <v>43361.87966</v>
      </c>
      <c r="AI2862" s="182"/>
      <c r="AJ2862" s="182"/>
      <c r="AK2862" s="182"/>
      <c r="AL2862" s="182"/>
    </row>
    <row r="2863" ht="20.25" customHeight="1">
      <c r="A2863" s="169" t="str">
        <f>IFERROR(__xludf.DUMMYFUNCTION("""COMPUTED_VALUE"""),"TKW")</f>
        <v>TKW</v>
      </c>
      <c r="B2863" s="170" t="str">
        <f>IFERROR(__xludf.DUMMYFUNCTION("""COMPUTED_VALUE"""),"Upstate NY. 3.5 hours from nearest delivery center")</f>
        <v>Upstate NY. 3.5 hours from nearest delivery center</v>
      </c>
      <c r="C2863" s="170" t="str">
        <f>IFERROR(__xludf.DUMMYFUNCTION("""COMPUTED_VALUE"""),"NY")</f>
        <v>NY</v>
      </c>
      <c r="D2863" s="170" t="str">
        <f>IFERROR(__xludf.DUMMYFUNCTION("""COMPUTED_VALUE"""),"USA")</f>
        <v>USA</v>
      </c>
      <c r="E2863" s="171">
        <f>IFERROR(__xludf.DUMMYFUNCTION("""COMPUTED_VALUE"""),43280.0)</f>
        <v>43280</v>
      </c>
      <c r="F2863" s="172">
        <f>IFERROR(__xludf.DUMMYFUNCTION("""COMPUTED_VALUE"""),43362.0)</f>
        <v>43362</v>
      </c>
      <c r="G2863" s="173"/>
      <c r="H2863" s="174">
        <f>IFERROR(__xludf.DUMMYFUNCTION("""COMPUTED_VALUE"""),103355.0)</f>
        <v>103355</v>
      </c>
      <c r="I2863" s="175" t="str">
        <f>IFERROR(__xludf.DUMMYFUNCTION("""COMPUTED_VALUE"""),"09/18")</f>
        <v>09/18</v>
      </c>
      <c r="J2863" s="172">
        <f>IFERROR(__xludf.DUMMYFUNCTION("""COMPUTED_VALUE"""),43371.0)</f>
        <v>43371</v>
      </c>
      <c r="K2863" s="176">
        <f>IFERROR(__xludf.DUMMYFUNCTION("""COMPUTED_VALUE"""),82.0)</f>
        <v>82</v>
      </c>
      <c r="L2863" s="176">
        <f>IFERROR(__xludf.DUMMYFUNCTION("""COMPUTED_VALUE"""),9.0)</f>
        <v>9</v>
      </c>
      <c r="M2863" s="176">
        <f>IFERROR(__xludf.DUMMYFUNCTION("""COMPUTED_VALUE"""),91.0)</f>
        <v>91</v>
      </c>
      <c r="N2863" s="177" t="str">
        <f>IFERROR(__xludf.DUMMYFUNCTION("""COMPUTED_VALUE"""),"Model 3 LR AWD")</f>
        <v>Model 3 LR AWD</v>
      </c>
      <c r="O2863" s="177" t="str">
        <f>IFERROR(__xludf.DUMMYFUNCTION("""COMPUTED_VALUE"""),"Solid Black")</f>
        <v>Solid Black</v>
      </c>
      <c r="P2863" s="178" t="str">
        <f>IFERROR(__xludf.DUMMYFUNCTION("""COMPUTED_VALUE"""),"18 inch Aero")</f>
        <v>18 inch Aero</v>
      </c>
      <c r="Q2863" s="177" t="str">
        <f>IFERROR(__xludf.DUMMYFUNCTION("""COMPUTED_VALUE"""),"Black seats")</f>
        <v>Black seats</v>
      </c>
      <c r="R2863" s="170" t="str">
        <f>IFERROR(__xludf.DUMMYFUNCTION("""COMPUTED_VALUE"""),"Enhanced Autopilot")</f>
        <v>Enhanced Autopilot</v>
      </c>
      <c r="S2863" s="170"/>
      <c r="T2863" s="179"/>
      <c r="U2863" s="179"/>
      <c r="V2863" s="179"/>
      <c r="W2863" s="180"/>
      <c r="X2863" s="181" t="str">
        <f>IFERROR(__xludf.DUMMYFUNCTION("""COMPUTED_VALUE"""),"Excellent")</f>
        <v>Excellent</v>
      </c>
      <c r="Y2863" s="182" t="str">
        <f>IFERROR(__xludf.DUMMYFUNCTION("""COMPUTED_VALUE"""),"Excellent")</f>
        <v>Excellent</v>
      </c>
      <c r="Z2863" s="182" t="str">
        <f>IFERROR(__xludf.DUMMYFUNCTION("""COMPUTED_VALUE"""),"Very Good")</f>
        <v>Very Good</v>
      </c>
      <c r="AA2863" s="182" t="str">
        <f>IFERROR(__xludf.DUMMYFUNCTION("""COMPUTED_VALUE"""),"Good")</f>
        <v>Good</v>
      </c>
      <c r="AB2863" s="182" t="str">
        <f>IFERROR(__xludf.DUMMYFUNCTION("""COMPUTED_VALUE"""),"Fair")</f>
        <v>Fair</v>
      </c>
      <c r="AC2863" s="183"/>
      <c r="AD2863" s="183"/>
      <c r="AE2863" s="183"/>
      <c r="AF2863" s="184"/>
      <c r="AG2863" s="180" t="str">
        <f>IFERROR(__xludf.DUMMYFUNCTION("""COMPUTED_VALUE"""),"Few days delay and a different VIN later, no contact from home delivery team in a week, so driving to pickup instead. THEN, ground team says repairs needed to drivetrain, so canceled delivery.3rd VIN assigned.")</f>
        <v>Few days delay and a different VIN later, no contact from home delivery team in a week, so driving to pickup instead. THEN, ground team says repairs needed to drivetrain, so canceled delivery.3rd VIN assigned.</v>
      </c>
      <c r="AH2863" s="185">
        <f>IFERROR(__xludf.DUMMYFUNCTION("""COMPUTED_VALUE"""),43372.70436068287)</f>
        <v>43372.70436</v>
      </c>
      <c r="AI2863" s="182"/>
      <c r="AJ2863" s="182"/>
      <c r="AK2863" s="182"/>
      <c r="AL2863" s="182"/>
    </row>
    <row r="2864" ht="20.25" customHeight="1">
      <c r="A2864" s="169" t="str">
        <f>IFERROR(__xludf.DUMMYFUNCTION("""COMPUTED_VALUE"""),"Troy916")</f>
        <v>Troy916</v>
      </c>
      <c r="B2864" s="170" t="str">
        <f>IFERROR(__xludf.DUMMYFUNCTION("""COMPUTED_VALUE"""),"Sacramento")</f>
        <v>Sacramento</v>
      </c>
      <c r="C2864" s="170" t="str">
        <f>IFERROR(__xludf.DUMMYFUNCTION("""COMPUTED_VALUE"""),"CA")</f>
        <v>CA</v>
      </c>
      <c r="D2864" s="170" t="str">
        <f>IFERROR(__xludf.DUMMYFUNCTION("""COMPUTED_VALUE"""),"USA")</f>
        <v>USA</v>
      </c>
      <c r="E2864" s="171">
        <f>IFERROR(__xludf.DUMMYFUNCTION("""COMPUTED_VALUE"""),43280.0)</f>
        <v>43280</v>
      </c>
      <c r="F2864" s="172">
        <f>IFERROR(__xludf.DUMMYFUNCTION("""COMPUTED_VALUE"""),43284.0)</f>
        <v>43284</v>
      </c>
      <c r="G2864" s="173"/>
      <c r="H2864" s="174">
        <f>IFERROR(__xludf.DUMMYFUNCTION("""COMPUTED_VALUE"""),43855.0)</f>
        <v>43855</v>
      </c>
      <c r="I2864" s="175" t="str">
        <f>IFERROR(__xludf.DUMMYFUNCTION("""COMPUTED_VALUE"""),"06/18")</f>
        <v>06/18</v>
      </c>
      <c r="J2864" s="172">
        <f>IFERROR(__xludf.DUMMYFUNCTION("""COMPUTED_VALUE"""),43304.0)</f>
        <v>43304</v>
      </c>
      <c r="K2864" s="176">
        <f>IFERROR(__xludf.DUMMYFUNCTION("""COMPUTED_VALUE"""),4.0)</f>
        <v>4</v>
      </c>
      <c r="L2864" s="176">
        <f>IFERROR(__xludf.DUMMYFUNCTION("""COMPUTED_VALUE"""),20.0)</f>
        <v>20</v>
      </c>
      <c r="M2864" s="176">
        <f>IFERROR(__xludf.DUMMYFUNCTION("""COMPUTED_VALUE"""),24.0)</f>
        <v>24</v>
      </c>
      <c r="N2864" s="177" t="str">
        <f>IFERROR(__xludf.DUMMYFUNCTION("""COMPUTED_VALUE"""),"Model 3 LR")</f>
        <v>Model 3 LR</v>
      </c>
      <c r="O2864" s="177" t="str">
        <f>IFERROR(__xludf.DUMMYFUNCTION("""COMPUTED_VALUE"""),"Silver Metallic")</f>
        <v>Silver Metallic</v>
      </c>
      <c r="P2864" s="178" t="str">
        <f>IFERROR(__xludf.DUMMYFUNCTION("""COMPUTED_VALUE"""),"18 inch Aero")</f>
        <v>18 inch Aero</v>
      </c>
      <c r="Q2864" s="177" t="str">
        <f>IFERROR(__xludf.DUMMYFUNCTION("""COMPUTED_VALUE"""),"Black seats")</f>
        <v>Black seats</v>
      </c>
      <c r="R2864" s="170" t="str">
        <f>IFERROR(__xludf.DUMMYFUNCTION("""COMPUTED_VALUE"""),"Full Self-Driving")</f>
        <v>Full Self-Driving</v>
      </c>
      <c r="S2864" s="170"/>
      <c r="T2864" s="179"/>
      <c r="U2864" s="179"/>
      <c r="V2864" s="179"/>
      <c r="W2864" s="180"/>
      <c r="X2864" s="181" t="str">
        <f>IFERROR(__xludf.DUMMYFUNCTION("""COMPUTED_VALUE"""),"Excellent")</f>
        <v>Excellent</v>
      </c>
      <c r="Y2864" s="182" t="str">
        <f>IFERROR(__xludf.DUMMYFUNCTION("""COMPUTED_VALUE"""),"Excellent")</f>
        <v>Excellent</v>
      </c>
      <c r="Z2864" s="182" t="str">
        <f>IFERROR(__xludf.DUMMYFUNCTION("""COMPUTED_VALUE"""),"Excellent")</f>
        <v>Excellent</v>
      </c>
      <c r="AA2864" s="182" t="str">
        <f>IFERROR(__xludf.DUMMYFUNCTION("""COMPUTED_VALUE"""),"Excellent")</f>
        <v>Excellent</v>
      </c>
      <c r="AB2864" s="182" t="str">
        <f>IFERROR(__xludf.DUMMYFUNCTION("""COMPUTED_VALUE"""),"Very Good")</f>
        <v>Very Good</v>
      </c>
      <c r="AC2864" s="183"/>
      <c r="AD2864" s="183"/>
      <c r="AE2864" s="183"/>
      <c r="AF2864" s="184"/>
      <c r="AG2864" s="180"/>
      <c r="AH2864" s="185">
        <f>IFERROR(__xludf.DUMMYFUNCTION("""COMPUTED_VALUE"""),43304.78335550926)</f>
        <v>43304.78336</v>
      </c>
      <c r="AI2864" s="182"/>
      <c r="AJ2864" s="182"/>
      <c r="AK2864" s="182"/>
      <c r="AL2864" s="182"/>
    </row>
    <row r="2865" ht="20.25" customHeight="1">
      <c r="A2865" s="169" t="str">
        <f>IFERROR(__xludf.DUMMYFUNCTION("""COMPUTED_VALUE"""),"walt")</f>
        <v>walt</v>
      </c>
      <c r="B2865" s="170" t="str">
        <f>IFERROR(__xludf.DUMMYFUNCTION("""COMPUTED_VALUE"""),"Killingly")</f>
        <v>Killingly</v>
      </c>
      <c r="C2865" s="170" t="str">
        <f>IFERROR(__xludf.DUMMYFUNCTION("""COMPUTED_VALUE"""),"CT")</f>
        <v>CT</v>
      </c>
      <c r="D2865" s="170" t="str">
        <f>IFERROR(__xludf.DUMMYFUNCTION("""COMPUTED_VALUE"""),"USA")</f>
        <v>USA</v>
      </c>
      <c r="E2865" s="171">
        <f>IFERROR(__xludf.DUMMYFUNCTION("""COMPUTED_VALUE"""),43280.0)</f>
        <v>43280</v>
      </c>
      <c r="F2865" s="172">
        <f>IFERROR(__xludf.DUMMYFUNCTION("""COMPUTED_VALUE"""),43392.0)</f>
        <v>43392</v>
      </c>
      <c r="G2865" s="173"/>
      <c r="H2865" s="174">
        <f>IFERROR(__xludf.DUMMYFUNCTION("""COMPUTED_VALUE"""),114755.0)</f>
        <v>114755</v>
      </c>
      <c r="I2865" s="175" t="str">
        <f>IFERROR(__xludf.DUMMYFUNCTION("""COMPUTED_VALUE"""),"10/18")</f>
        <v>10/18</v>
      </c>
      <c r="J2865" s="172">
        <f>IFERROR(__xludf.DUMMYFUNCTION("""COMPUTED_VALUE"""),43776.0)</f>
        <v>43776</v>
      </c>
      <c r="K2865" s="176">
        <f>IFERROR(__xludf.DUMMYFUNCTION("""COMPUTED_VALUE"""),112.0)</f>
        <v>112</v>
      </c>
      <c r="L2865" s="176">
        <f>IFERROR(__xludf.DUMMYFUNCTION("""COMPUTED_VALUE"""),384.0)</f>
        <v>384</v>
      </c>
      <c r="M2865" s="176">
        <f>IFERROR(__xludf.DUMMYFUNCTION("""COMPUTED_VALUE"""),496.0)</f>
        <v>496</v>
      </c>
      <c r="N2865" s="177" t="str">
        <f>IFERROR(__xludf.DUMMYFUNCTION("""COMPUTED_VALUE"""),"Model 3 LR AWD")</f>
        <v>Model 3 LR AWD</v>
      </c>
      <c r="O2865" s="177" t="str">
        <f>IFERROR(__xludf.DUMMYFUNCTION("""COMPUTED_VALUE"""),"Red Multi-Coat")</f>
        <v>Red Multi-Coat</v>
      </c>
      <c r="P2865" s="178" t="str">
        <f>IFERROR(__xludf.DUMMYFUNCTION("""COMPUTED_VALUE"""),"18 inch Aero")</f>
        <v>18 inch Aero</v>
      </c>
      <c r="Q2865" s="177" t="str">
        <f>IFERROR(__xludf.DUMMYFUNCTION("""COMPUTED_VALUE"""),"Black seats")</f>
        <v>Black seats</v>
      </c>
      <c r="R2865" s="170" t="str">
        <f>IFERROR(__xludf.DUMMYFUNCTION("""COMPUTED_VALUE"""),"Full Self-Driving")</f>
        <v>Full Self-Driving</v>
      </c>
      <c r="S2865" s="170"/>
      <c r="T2865" s="179"/>
      <c r="U2865" s="179"/>
      <c r="V2865" s="179"/>
      <c r="W2865" s="180"/>
      <c r="X2865" s="181" t="str">
        <f>IFERROR(__xludf.DUMMYFUNCTION("""COMPUTED_VALUE"""),"Excellent")</f>
        <v>Excellent</v>
      </c>
      <c r="Y2865" s="182" t="str">
        <f>IFERROR(__xludf.DUMMYFUNCTION("""COMPUTED_VALUE"""),"Excellent")</f>
        <v>Excellent</v>
      </c>
      <c r="Z2865" s="182" t="str">
        <f>IFERROR(__xludf.DUMMYFUNCTION("""COMPUTED_VALUE"""),"Excellent")</f>
        <v>Excellent</v>
      </c>
      <c r="AA2865" s="182" t="str">
        <f>IFERROR(__xludf.DUMMYFUNCTION("""COMPUTED_VALUE"""),"Excellent")</f>
        <v>Excellent</v>
      </c>
      <c r="AB2865" s="182" t="str">
        <f>IFERROR(__xludf.DUMMYFUNCTION("""COMPUTED_VALUE"""),"Poor")</f>
        <v>Poor</v>
      </c>
      <c r="AC2865" s="183">
        <f>IFERROR(__xludf.DUMMYFUNCTION("""COMPUTED_VALUE"""),0.0)</f>
        <v>0</v>
      </c>
      <c r="AD2865" s="183">
        <f>IFERROR(__xludf.DUMMYFUNCTION("""COMPUTED_VALUE"""),0.0)</f>
        <v>0</v>
      </c>
      <c r="AE2865" s="183">
        <f>IFERROR(__xludf.DUMMYFUNCTION("""COMPUTED_VALUE"""),0.0)</f>
        <v>0</v>
      </c>
      <c r="AF2865" s="184"/>
      <c r="AG2865" s="180"/>
      <c r="AH2865" s="185">
        <f>IFERROR(__xludf.DUMMYFUNCTION("""COMPUTED_VALUE"""),43564.48854788194)</f>
        <v>43564.48855</v>
      </c>
      <c r="AI2865" s="182"/>
      <c r="AJ2865" s="182"/>
      <c r="AK2865" s="182"/>
      <c r="AL2865" s="182"/>
    </row>
    <row r="2866" ht="20.25" customHeight="1">
      <c r="A2866" s="169" t="str">
        <f>IFERROR(__xludf.DUMMYFUNCTION("""COMPUTED_VALUE"""),"30cl")</f>
        <v>30cl</v>
      </c>
      <c r="B2866" s="170" t="str">
        <f>IFERROR(__xludf.DUMMYFUNCTION("""COMPUTED_VALUE"""),"Buffalo Grove")</f>
        <v>Buffalo Grove</v>
      </c>
      <c r="C2866" s="170" t="str">
        <f>IFERROR(__xludf.DUMMYFUNCTION("""COMPUTED_VALUE"""),"IL")</f>
        <v>IL</v>
      </c>
      <c r="D2866" s="170" t="str">
        <f>IFERROR(__xludf.DUMMYFUNCTION("""COMPUTED_VALUE"""),"USA")</f>
        <v>USA</v>
      </c>
      <c r="E2866" s="171">
        <f>IFERROR(__xludf.DUMMYFUNCTION("""COMPUTED_VALUE"""),43279.0)</f>
        <v>43279</v>
      </c>
      <c r="F2866" s="172">
        <f>IFERROR(__xludf.DUMMYFUNCTION("""COMPUTED_VALUE"""),43361.0)</f>
        <v>43361</v>
      </c>
      <c r="G2866" s="173"/>
      <c r="H2866" s="174">
        <f>IFERROR(__xludf.DUMMYFUNCTION("""COMPUTED_VALUE"""),87455.0)</f>
        <v>87455</v>
      </c>
      <c r="I2866" s="175"/>
      <c r="J2866" s="172">
        <f>IFERROR(__xludf.DUMMYFUNCTION("""COMPUTED_VALUE"""),43370.0)</f>
        <v>43370</v>
      </c>
      <c r="K2866" s="176">
        <f>IFERROR(__xludf.DUMMYFUNCTION("""COMPUTED_VALUE"""),82.0)</f>
        <v>82</v>
      </c>
      <c r="L2866" s="176">
        <f>IFERROR(__xludf.DUMMYFUNCTION("""COMPUTED_VALUE"""),9.0)</f>
        <v>9</v>
      </c>
      <c r="M2866" s="176">
        <f>IFERROR(__xludf.DUMMYFUNCTION("""COMPUTED_VALUE"""),91.0)</f>
        <v>91</v>
      </c>
      <c r="N2866" s="177" t="str">
        <f>IFERROR(__xludf.DUMMYFUNCTION("""COMPUTED_VALUE"""),"Model 3 LR AWD")</f>
        <v>Model 3 LR AWD</v>
      </c>
      <c r="O2866" s="177" t="str">
        <f>IFERROR(__xludf.DUMMYFUNCTION("""COMPUTED_VALUE"""),"Midnight Silver Metallic")</f>
        <v>Midnight Silver Metallic</v>
      </c>
      <c r="P2866" s="178" t="str">
        <f>IFERROR(__xludf.DUMMYFUNCTION("""COMPUTED_VALUE"""),"19 inch Sport")</f>
        <v>19 inch Sport</v>
      </c>
      <c r="Q2866" s="177" t="str">
        <f>IFERROR(__xludf.DUMMYFUNCTION("""COMPUTED_VALUE"""),"Black seats")</f>
        <v>Black seats</v>
      </c>
      <c r="R2866" s="170" t="str">
        <f>IFERROR(__xludf.DUMMYFUNCTION("""COMPUTED_VALUE"""),"None")</f>
        <v>None</v>
      </c>
      <c r="S2866" s="170"/>
      <c r="T2866" s="179"/>
      <c r="U2866" s="179"/>
      <c r="V2866" s="179"/>
      <c r="W2866" s="180"/>
      <c r="X2866" s="181" t="str">
        <f>IFERROR(__xludf.DUMMYFUNCTION("""COMPUTED_VALUE"""),"Excellent")</f>
        <v>Excellent</v>
      </c>
      <c r="Y2866" s="182" t="str">
        <f>IFERROR(__xludf.DUMMYFUNCTION("""COMPUTED_VALUE"""),"Excellent")</f>
        <v>Excellent</v>
      </c>
      <c r="Z2866" s="182" t="str">
        <f>IFERROR(__xludf.DUMMYFUNCTION("""COMPUTED_VALUE"""),"Very Good")</f>
        <v>Very Good</v>
      </c>
      <c r="AA2866" s="182" t="str">
        <f>IFERROR(__xludf.DUMMYFUNCTION("""COMPUTED_VALUE"""),"Fair")</f>
        <v>Fair</v>
      </c>
      <c r="AB2866" s="182" t="str">
        <f>IFERROR(__xludf.DUMMYFUNCTION("""COMPUTED_VALUE"""),"Good")</f>
        <v>Good</v>
      </c>
      <c r="AC2866" s="183">
        <f>IFERROR(__xludf.DUMMYFUNCTION("""COMPUTED_VALUE"""),2.0)</f>
        <v>2</v>
      </c>
      <c r="AD2866" s="183">
        <f>IFERROR(__xludf.DUMMYFUNCTION("""COMPUTED_VALUE"""),1.0)</f>
        <v>1</v>
      </c>
      <c r="AE2866" s="183"/>
      <c r="AF2866" s="184"/>
      <c r="AG2866" s="180"/>
      <c r="AH2866" s="185">
        <f>IFERROR(__xludf.DUMMYFUNCTION("""COMPUTED_VALUE"""),43375.39100394676)</f>
        <v>43375.391</v>
      </c>
      <c r="AI2866" s="182"/>
      <c r="AJ2866" s="182"/>
      <c r="AK2866" s="182"/>
      <c r="AL2866" s="182"/>
    </row>
    <row r="2867" ht="20.25" customHeight="1">
      <c r="A2867" s="169" t="str">
        <f>IFERROR(__xludf.DUMMYFUNCTION("""COMPUTED_VALUE"""),"aef218")</f>
        <v>aef218</v>
      </c>
      <c r="B2867" s="170" t="str">
        <f>IFERROR(__xludf.DUMMYFUNCTION("""COMPUTED_VALUE"""),"Atlanta")</f>
        <v>Atlanta</v>
      </c>
      <c r="C2867" s="170" t="str">
        <f>IFERROR(__xludf.DUMMYFUNCTION("""COMPUTED_VALUE"""),"GA")</f>
        <v>GA</v>
      </c>
      <c r="D2867" s="170" t="str">
        <f>IFERROR(__xludf.DUMMYFUNCTION("""COMPUTED_VALUE"""),"USA")</f>
        <v>USA</v>
      </c>
      <c r="E2867" s="171">
        <f>IFERROR(__xludf.DUMMYFUNCTION("""COMPUTED_VALUE"""),43279.0)</f>
        <v>43279</v>
      </c>
      <c r="F2867" s="172">
        <f>IFERROR(__xludf.DUMMYFUNCTION("""COMPUTED_VALUE"""),43385.0)</f>
        <v>43385</v>
      </c>
      <c r="G2867" s="173"/>
      <c r="H2867" s="174">
        <f>IFERROR(__xludf.DUMMYFUNCTION("""COMPUTED_VALUE"""),121153.0)</f>
        <v>121153</v>
      </c>
      <c r="I2867" s="175" t="str">
        <f>IFERROR(__xludf.DUMMYFUNCTION("""COMPUTED_VALUE"""),"10/18")</f>
        <v>10/18</v>
      </c>
      <c r="J2867" s="172">
        <f>IFERROR(__xludf.DUMMYFUNCTION("""COMPUTED_VALUE"""),43401.0)</f>
        <v>43401</v>
      </c>
      <c r="K2867" s="176">
        <f>IFERROR(__xludf.DUMMYFUNCTION("""COMPUTED_VALUE"""),106.0)</f>
        <v>106</v>
      </c>
      <c r="L2867" s="176">
        <f>IFERROR(__xludf.DUMMYFUNCTION("""COMPUTED_VALUE"""),16.0)</f>
        <v>16</v>
      </c>
      <c r="M2867" s="176">
        <f>IFERROR(__xludf.DUMMYFUNCTION("""COMPUTED_VALUE"""),122.0)</f>
        <v>122</v>
      </c>
      <c r="N2867" s="177" t="str">
        <f>IFERROR(__xludf.DUMMYFUNCTION("""COMPUTED_VALUE"""),"Model 3 LR AWD")</f>
        <v>Model 3 LR AWD</v>
      </c>
      <c r="O2867" s="177" t="str">
        <f>IFERROR(__xludf.DUMMYFUNCTION("""COMPUTED_VALUE"""),"Midnight Silver Metallic")</f>
        <v>Midnight Silver Metallic</v>
      </c>
      <c r="P2867" s="178" t="str">
        <f>IFERROR(__xludf.DUMMYFUNCTION("""COMPUTED_VALUE"""),"19 inch Sport")</f>
        <v>19 inch Sport</v>
      </c>
      <c r="Q2867" s="177" t="str">
        <f>IFERROR(__xludf.DUMMYFUNCTION("""COMPUTED_VALUE"""),"Black seats")</f>
        <v>Black seats</v>
      </c>
      <c r="R2867" s="170" t="str">
        <f>IFERROR(__xludf.DUMMYFUNCTION("""COMPUTED_VALUE"""),"Full Self-Driving")</f>
        <v>Full Self-Driving</v>
      </c>
      <c r="S2867" s="170"/>
      <c r="T2867" s="179"/>
      <c r="U2867" s="179"/>
      <c r="V2867" s="179"/>
      <c r="W2867" s="180"/>
      <c r="X2867" s="181" t="str">
        <f>IFERROR(__xludf.DUMMYFUNCTION("""COMPUTED_VALUE"""),"Excellent")</f>
        <v>Excellent</v>
      </c>
      <c r="Y2867" s="182" t="str">
        <f>IFERROR(__xludf.DUMMYFUNCTION("""COMPUTED_VALUE"""),"Excellent")</f>
        <v>Excellent</v>
      </c>
      <c r="Z2867" s="182" t="str">
        <f>IFERROR(__xludf.DUMMYFUNCTION("""COMPUTED_VALUE"""),"Excellent")</f>
        <v>Excellent</v>
      </c>
      <c r="AA2867" s="182" t="str">
        <f>IFERROR(__xludf.DUMMYFUNCTION("""COMPUTED_VALUE"""),"Excellent")</f>
        <v>Excellent</v>
      </c>
      <c r="AB2867" s="182" t="str">
        <f>IFERROR(__xludf.DUMMYFUNCTION("""COMPUTED_VALUE"""),"Excellent")</f>
        <v>Excellent</v>
      </c>
      <c r="AC2867" s="183"/>
      <c r="AD2867" s="183"/>
      <c r="AE2867" s="183"/>
      <c r="AF2867" s="184"/>
      <c r="AG2867" s="180"/>
      <c r="AH2867" s="185">
        <f>IFERROR(__xludf.DUMMYFUNCTION("""COMPUTED_VALUE"""),43402.223133680556)</f>
        <v>43402.22313</v>
      </c>
      <c r="AI2867" s="182"/>
      <c r="AJ2867" s="182"/>
      <c r="AK2867" s="182"/>
      <c r="AL2867" s="182"/>
    </row>
    <row r="2868" ht="20.25" customHeight="1">
      <c r="A2868" s="169" t="str">
        <f>IFERROR(__xludf.DUMMYFUNCTION("""COMPUTED_VALUE"""),"Ales")</f>
        <v>Ales</v>
      </c>
      <c r="B2868" s="170" t="str">
        <f>IFERROR(__xludf.DUMMYFUNCTION("""COMPUTED_VALUE"""),"La Crescenta")</f>
        <v>La Crescenta</v>
      </c>
      <c r="C2868" s="170" t="str">
        <f>IFERROR(__xludf.DUMMYFUNCTION("""COMPUTED_VALUE"""),"CA")</f>
        <v>CA</v>
      </c>
      <c r="D2868" s="170" t="str">
        <f>IFERROR(__xludf.DUMMYFUNCTION("""COMPUTED_VALUE"""),"USA")</f>
        <v>USA</v>
      </c>
      <c r="E2868" s="171">
        <f>IFERROR(__xludf.DUMMYFUNCTION("""COMPUTED_VALUE"""),43279.0)</f>
        <v>43279</v>
      </c>
      <c r="F2868" s="172">
        <f>IFERROR(__xludf.DUMMYFUNCTION("""COMPUTED_VALUE"""),43358.0)</f>
        <v>43358</v>
      </c>
      <c r="G2868" s="173"/>
      <c r="H2868" s="174">
        <f>IFERROR(__xludf.DUMMYFUNCTION("""COMPUTED_VALUE"""),75355.0)</f>
        <v>75355</v>
      </c>
      <c r="I2868" s="175"/>
      <c r="J2868" s="172">
        <f>IFERROR(__xludf.DUMMYFUNCTION("""COMPUTED_VALUE"""),43361.0)</f>
        <v>43361</v>
      </c>
      <c r="K2868" s="176">
        <f>IFERROR(__xludf.DUMMYFUNCTION("""COMPUTED_VALUE"""),79.0)</f>
        <v>79</v>
      </c>
      <c r="L2868" s="176">
        <f>IFERROR(__xludf.DUMMYFUNCTION("""COMPUTED_VALUE"""),3.0)</f>
        <v>3</v>
      </c>
      <c r="M2868" s="176">
        <f>IFERROR(__xludf.DUMMYFUNCTION("""COMPUTED_VALUE"""),82.0)</f>
        <v>82</v>
      </c>
      <c r="N2868" s="177" t="str">
        <f>IFERROR(__xludf.DUMMYFUNCTION("""COMPUTED_VALUE"""),"Model 3 Performance")</f>
        <v>Model 3 Performance</v>
      </c>
      <c r="O2868" s="177" t="str">
        <f>IFERROR(__xludf.DUMMYFUNCTION("""COMPUTED_VALUE"""),"Red Multi-Coat")</f>
        <v>Red Multi-Coat</v>
      </c>
      <c r="P2868" s="178" t="str">
        <f>IFERROR(__xludf.DUMMYFUNCTION("""COMPUTED_VALUE"""),"20 inch Sport")</f>
        <v>20 inch Sport</v>
      </c>
      <c r="Q2868" s="177" t="str">
        <f>IFERROR(__xludf.DUMMYFUNCTION("""COMPUTED_VALUE"""),"Black seats")</f>
        <v>Black seats</v>
      </c>
      <c r="R2868" s="170" t="str">
        <f>IFERROR(__xludf.DUMMYFUNCTION("""COMPUTED_VALUE"""),"Full Self-Driving")</f>
        <v>Full Self-Driving</v>
      </c>
      <c r="S2868" s="170"/>
      <c r="T2868" s="179"/>
      <c r="U2868" s="179"/>
      <c r="V2868" s="179"/>
      <c r="W2868" s="180"/>
      <c r="X2868" s="181" t="str">
        <f>IFERROR(__xludf.DUMMYFUNCTION("""COMPUTED_VALUE"""),"Excellent")</f>
        <v>Excellent</v>
      </c>
      <c r="Y2868" s="182" t="str">
        <f>IFERROR(__xludf.DUMMYFUNCTION("""COMPUTED_VALUE"""),"Excellent")</f>
        <v>Excellent</v>
      </c>
      <c r="Z2868" s="182" t="str">
        <f>IFERROR(__xludf.DUMMYFUNCTION("""COMPUTED_VALUE"""),"Excellent")</f>
        <v>Excellent</v>
      </c>
      <c r="AA2868" s="182" t="str">
        <f>IFERROR(__xludf.DUMMYFUNCTION("""COMPUTED_VALUE"""),"Excellent")</f>
        <v>Excellent</v>
      </c>
      <c r="AB2868" s="182" t="str">
        <f>IFERROR(__xludf.DUMMYFUNCTION("""COMPUTED_VALUE"""),"Excellent")</f>
        <v>Excellent</v>
      </c>
      <c r="AC2868" s="183"/>
      <c r="AD2868" s="183"/>
      <c r="AE2868" s="183"/>
      <c r="AF2868" s="184"/>
      <c r="AG2868" s="180"/>
      <c r="AH2868" s="185">
        <f>IFERROR(__xludf.DUMMYFUNCTION("""COMPUTED_VALUE"""),43366.35246033565)</f>
        <v>43366.35246</v>
      </c>
      <c r="AI2868" s="182"/>
      <c r="AJ2868" s="182"/>
      <c r="AK2868" s="182"/>
      <c r="AL2868" s="182"/>
    </row>
    <row r="2869" ht="20.25" customHeight="1">
      <c r="A2869" s="169" t="str">
        <f>IFERROR(__xludf.DUMMYFUNCTION("""COMPUTED_VALUE"""),"Anonymous")</f>
        <v>Anonymous</v>
      </c>
      <c r="B2869" s="170" t="str">
        <f>IFERROR(__xludf.DUMMYFUNCTION("""COMPUTED_VALUE"""),"Sunrise")</f>
        <v>Sunrise</v>
      </c>
      <c r="C2869" s="170" t="str">
        <f>IFERROR(__xludf.DUMMYFUNCTION("""COMPUTED_VALUE"""),"FL")</f>
        <v>FL</v>
      </c>
      <c r="D2869" s="170" t="str">
        <f>IFERROR(__xludf.DUMMYFUNCTION("""COMPUTED_VALUE"""),"USA")</f>
        <v>USA</v>
      </c>
      <c r="E2869" s="171">
        <f>IFERROR(__xludf.DUMMYFUNCTION("""COMPUTED_VALUE"""),43279.0)</f>
        <v>43279</v>
      </c>
      <c r="F2869" s="172">
        <f>IFERROR(__xludf.DUMMYFUNCTION("""COMPUTED_VALUE"""),43321.0)</f>
        <v>43321</v>
      </c>
      <c r="G2869" s="173"/>
      <c r="H2869" s="174">
        <f>IFERROR(__xludf.DUMMYFUNCTION("""COMPUTED_VALUE"""),67555.0)</f>
        <v>67555</v>
      </c>
      <c r="I2869" s="175"/>
      <c r="J2869" s="172">
        <f>IFERROR(__xludf.DUMMYFUNCTION("""COMPUTED_VALUE"""),43335.0)</f>
        <v>43335</v>
      </c>
      <c r="K2869" s="176">
        <f>IFERROR(__xludf.DUMMYFUNCTION("""COMPUTED_VALUE"""),42.0)</f>
        <v>42</v>
      </c>
      <c r="L2869" s="176">
        <f>IFERROR(__xludf.DUMMYFUNCTION("""COMPUTED_VALUE"""),14.0)</f>
        <v>14</v>
      </c>
      <c r="M2869" s="176">
        <f>IFERROR(__xludf.DUMMYFUNCTION("""COMPUTED_VALUE"""),56.0)</f>
        <v>56</v>
      </c>
      <c r="N2869" s="177" t="str">
        <f>IFERROR(__xludf.DUMMYFUNCTION("""COMPUTED_VALUE"""),"Model 3 LR AWD")</f>
        <v>Model 3 LR AWD</v>
      </c>
      <c r="O2869" s="177" t="str">
        <f>IFERROR(__xludf.DUMMYFUNCTION("""COMPUTED_VALUE"""),"Pearl White Multi-Coat")</f>
        <v>Pearl White Multi-Coat</v>
      </c>
      <c r="P2869" s="178" t="str">
        <f>IFERROR(__xludf.DUMMYFUNCTION("""COMPUTED_VALUE"""),"19 inch Sport")</f>
        <v>19 inch Sport</v>
      </c>
      <c r="Q2869" s="177" t="str">
        <f>IFERROR(__xludf.DUMMYFUNCTION("""COMPUTED_VALUE"""),"Black seats")</f>
        <v>Black seats</v>
      </c>
      <c r="R2869" s="170" t="str">
        <f>IFERROR(__xludf.DUMMYFUNCTION("""COMPUTED_VALUE"""),"None")</f>
        <v>None</v>
      </c>
      <c r="S2869" s="170"/>
      <c r="T2869" s="179"/>
      <c r="U2869" s="179"/>
      <c r="V2869" s="179"/>
      <c r="W2869" s="180"/>
      <c r="X2869" s="181" t="str">
        <f>IFERROR(__xludf.DUMMYFUNCTION("""COMPUTED_VALUE"""),"Very Good")</f>
        <v>Very Good</v>
      </c>
      <c r="Y2869" s="182" t="str">
        <f>IFERROR(__xludf.DUMMYFUNCTION("""COMPUTED_VALUE"""),"Excellent")</f>
        <v>Excellent</v>
      </c>
      <c r="Z2869" s="182" t="str">
        <f>IFERROR(__xludf.DUMMYFUNCTION("""COMPUTED_VALUE"""),"Excellent")</f>
        <v>Excellent</v>
      </c>
      <c r="AA2869" s="182" t="str">
        <f>IFERROR(__xludf.DUMMYFUNCTION("""COMPUTED_VALUE"""),"Good")</f>
        <v>Good</v>
      </c>
      <c r="AB2869" s="182" t="str">
        <f>IFERROR(__xludf.DUMMYFUNCTION("""COMPUTED_VALUE"""),"Excellent")</f>
        <v>Excellent</v>
      </c>
      <c r="AC2869" s="183">
        <f>IFERROR(__xludf.DUMMYFUNCTION("""COMPUTED_VALUE"""),1.0)</f>
        <v>1</v>
      </c>
      <c r="AD2869" s="183">
        <f>IFERROR(__xludf.DUMMYFUNCTION("""COMPUTED_VALUE"""),0.0)</f>
        <v>0</v>
      </c>
      <c r="AE2869" s="183">
        <f>IFERROR(__xludf.DUMMYFUNCTION("""COMPUTED_VALUE"""),0.0)</f>
        <v>0</v>
      </c>
      <c r="AF2869" s="184"/>
      <c r="AG2869" s="180" t="str">
        <f>IFERROR(__xludf.DUMMYFUNCTION("""COMPUTED_VALUE"""),"This car (spaceship?) is a dream!")</f>
        <v>This car (spaceship?) is a dream!</v>
      </c>
      <c r="AH2869" s="185">
        <f>IFERROR(__xludf.DUMMYFUNCTION("""COMPUTED_VALUE"""),43341.87614295139)</f>
        <v>43341.87614</v>
      </c>
      <c r="AI2869" s="182"/>
      <c r="AJ2869" s="182"/>
      <c r="AK2869" s="182"/>
      <c r="AL2869" s="182"/>
    </row>
    <row r="2870" ht="20.25" customHeight="1">
      <c r="A2870" s="169" t="str">
        <f>IFERROR(__xludf.DUMMYFUNCTION("""COMPUTED_VALUE"""),"AP")</f>
        <v>AP</v>
      </c>
      <c r="B2870" s="170" t="str">
        <f>IFERROR(__xludf.DUMMYFUNCTION("""COMPUTED_VALUE"""),"El Cerrito")</f>
        <v>El Cerrito</v>
      </c>
      <c r="C2870" s="170" t="str">
        <f>IFERROR(__xludf.DUMMYFUNCTION("""COMPUTED_VALUE"""),"CA")</f>
        <v>CA</v>
      </c>
      <c r="D2870" s="170" t="str">
        <f>IFERROR(__xludf.DUMMYFUNCTION("""COMPUTED_VALUE"""),"USA")</f>
        <v>USA</v>
      </c>
      <c r="E2870" s="171">
        <f>IFERROR(__xludf.DUMMYFUNCTION("""COMPUTED_VALUE"""),43279.0)</f>
        <v>43279</v>
      </c>
      <c r="F2870" s="172"/>
      <c r="G2870" s="173"/>
      <c r="H2870" s="174">
        <f>IFERROR(__xludf.DUMMYFUNCTION("""COMPUTED_VALUE"""),63119.0)</f>
        <v>63119</v>
      </c>
      <c r="I2870" s="175"/>
      <c r="J2870" s="172">
        <f>IFERROR(__xludf.DUMMYFUNCTION("""COMPUTED_VALUE"""),43345.0)</f>
        <v>43345</v>
      </c>
      <c r="K2870" s="176"/>
      <c r="L2870" s="176"/>
      <c r="M2870" s="176">
        <f>IFERROR(__xludf.DUMMYFUNCTION("""COMPUTED_VALUE"""),66.0)</f>
        <v>66</v>
      </c>
      <c r="N2870" s="177" t="str">
        <f>IFERROR(__xludf.DUMMYFUNCTION("""COMPUTED_VALUE"""),"Model 3 Performance")</f>
        <v>Model 3 Performance</v>
      </c>
      <c r="O2870" s="177" t="str">
        <f>IFERROR(__xludf.DUMMYFUNCTION("""COMPUTED_VALUE"""),"Red Multi-Coat")</f>
        <v>Red Multi-Coat</v>
      </c>
      <c r="P2870" s="178" t="str">
        <f>IFERROR(__xludf.DUMMYFUNCTION("""COMPUTED_VALUE"""),"20 inch Sport")</f>
        <v>20 inch Sport</v>
      </c>
      <c r="Q2870" s="177" t="str">
        <f>IFERROR(__xludf.DUMMYFUNCTION("""COMPUTED_VALUE"""),"Black seats")</f>
        <v>Black seats</v>
      </c>
      <c r="R2870" s="170" t="str">
        <f>IFERROR(__xludf.DUMMYFUNCTION("""COMPUTED_VALUE"""),"Enhanced Autopilot")</f>
        <v>Enhanced Autopilot</v>
      </c>
      <c r="S2870" s="170"/>
      <c r="T2870" s="179"/>
      <c r="U2870" s="179"/>
      <c r="V2870" s="179"/>
      <c r="W2870" s="180"/>
      <c r="X2870" s="181" t="str">
        <f>IFERROR(__xludf.DUMMYFUNCTION("""COMPUTED_VALUE"""),"Excellent")</f>
        <v>Excellent</v>
      </c>
      <c r="Y2870" s="182" t="str">
        <f>IFERROR(__xludf.DUMMYFUNCTION("""COMPUTED_VALUE"""),"Excellent")</f>
        <v>Excellent</v>
      </c>
      <c r="Z2870" s="182" t="str">
        <f>IFERROR(__xludf.DUMMYFUNCTION("""COMPUTED_VALUE"""),"Excellent")</f>
        <v>Excellent</v>
      </c>
      <c r="AA2870" s="182" t="str">
        <f>IFERROR(__xludf.DUMMYFUNCTION("""COMPUTED_VALUE"""),"Excellent")</f>
        <v>Excellent</v>
      </c>
      <c r="AB2870" s="182" t="str">
        <f>IFERROR(__xludf.DUMMYFUNCTION("""COMPUTED_VALUE"""),"Excellent")</f>
        <v>Excellent</v>
      </c>
      <c r="AC2870" s="183"/>
      <c r="AD2870" s="183"/>
      <c r="AE2870" s="183"/>
      <c r="AF2870" s="184"/>
      <c r="AG2870" s="180"/>
      <c r="AH2870" s="185">
        <f>IFERROR(__xludf.DUMMYFUNCTION("""COMPUTED_VALUE"""),43345.71087116898)</f>
        <v>43345.71087</v>
      </c>
      <c r="AI2870" s="182"/>
      <c r="AJ2870" s="182"/>
      <c r="AK2870" s="182"/>
      <c r="AL2870" s="182"/>
    </row>
    <row r="2871" ht="20.25" customHeight="1">
      <c r="A2871" s="169" t="str">
        <f>IFERROR(__xludf.DUMMYFUNCTION("""COMPUTED_VALUE"""),"atobrandon")</f>
        <v>atobrandon</v>
      </c>
      <c r="B2871" s="170" t="str">
        <f>IFERROR(__xludf.DUMMYFUNCTION("""COMPUTED_VALUE"""),"Enterprise, AL")</f>
        <v>Enterprise, AL</v>
      </c>
      <c r="C2871" s="170" t="str">
        <f>IFERROR(__xludf.DUMMYFUNCTION("""COMPUTED_VALUE"""),"AL")</f>
        <v>AL</v>
      </c>
      <c r="D2871" s="170" t="str">
        <f>IFERROR(__xludf.DUMMYFUNCTION("""COMPUTED_VALUE"""),"USA")</f>
        <v>USA</v>
      </c>
      <c r="E2871" s="171">
        <f>IFERROR(__xludf.DUMMYFUNCTION("""COMPUTED_VALUE"""),43279.0)</f>
        <v>43279</v>
      </c>
      <c r="F2871" s="172">
        <f>IFERROR(__xludf.DUMMYFUNCTION("""COMPUTED_VALUE"""),43287.0)</f>
        <v>43287</v>
      </c>
      <c r="G2871" s="173"/>
      <c r="H2871" s="174">
        <f>IFERROR(__xludf.DUMMYFUNCTION("""COMPUTED_VALUE"""),38643.0)</f>
        <v>38643</v>
      </c>
      <c r="I2871" s="175" t="str">
        <f>IFERROR(__xludf.DUMMYFUNCTION("""COMPUTED_VALUE"""),"06/18")</f>
        <v>06/18</v>
      </c>
      <c r="J2871" s="172">
        <f>IFERROR(__xludf.DUMMYFUNCTION("""COMPUTED_VALUE"""),43306.0)</f>
        <v>43306</v>
      </c>
      <c r="K2871" s="176">
        <f>IFERROR(__xludf.DUMMYFUNCTION("""COMPUTED_VALUE"""),8.0)</f>
        <v>8</v>
      </c>
      <c r="L2871" s="176">
        <f>IFERROR(__xludf.DUMMYFUNCTION("""COMPUTED_VALUE"""),19.0)</f>
        <v>19</v>
      </c>
      <c r="M2871" s="176">
        <f>IFERROR(__xludf.DUMMYFUNCTION("""COMPUTED_VALUE"""),27.0)</f>
        <v>27</v>
      </c>
      <c r="N2871" s="177" t="str">
        <f>IFERROR(__xludf.DUMMYFUNCTION("""COMPUTED_VALUE"""),"Model 3 LR")</f>
        <v>Model 3 LR</v>
      </c>
      <c r="O2871" s="177" t="str">
        <f>IFERROR(__xludf.DUMMYFUNCTION("""COMPUTED_VALUE"""),"Deep Blue Metallic")</f>
        <v>Deep Blue Metallic</v>
      </c>
      <c r="P2871" s="178" t="str">
        <f>IFERROR(__xludf.DUMMYFUNCTION("""COMPUTED_VALUE"""),"18 inch Aero")</f>
        <v>18 inch Aero</v>
      </c>
      <c r="Q2871" s="177" t="str">
        <f>IFERROR(__xludf.DUMMYFUNCTION("""COMPUTED_VALUE"""),"Black seats")</f>
        <v>Black seats</v>
      </c>
      <c r="R2871" s="170" t="str">
        <f>IFERROR(__xludf.DUMMYFUNCTION("""COMPUTED_VALUE"""),"Full Self-Driving")</f>
        <v>Full Self-Driving</v>
      </c>
      <c r="S2871" s="170"/>
      <c r="T2871" s="179"/>
      <c r="U2871" s="179"/>
      <c r="V2871" s="179"/>
      <c r="W2871" s="180"/>
      <c r="X2871" s="181" t="str">
        <f>IFERROR(__xludf.DUMMYFUNCTION("""COMPUTED_VALUE"""),"Excellent")</f>
        <v>Excellent</v>
      </c>
      <c r="Y2871" s="182" t="str">
        <f>IFERROR(__xludf.DUMMYFUNCTION("""COMPUTED_VALUE"""),"Excellent")</f>
        <v>Excellent</v>
      </c>
      <c r="Z2871" s="182" t="str">
        <f>IFERROR(__xludf.DUMMYFUNCTION("""COMPUTED_VALUE"""),"Very Good")</f>
        <v>Very Good</v>
      </c>
      <c r="AA2871" s="182" t="str">
        <f>IFERROR(__xludf.DUMMYFUNCTION("""COMPUTED_VALUE"""),"Fair")</f>
        <v>Fair</v>
      </c>
      <c r="AB2871" s="182" t="str">
        <f>IFERROR(__xludf.DUMMYFUNCTION("""COMPUTED_VALUE"""),"Poor")</f>
        <v>Poor</v>
      </c>
      <c r="AC2871" s="183">
        <f>IFERROR(__xludf.DUMMYFUNCTION("""COMPUTED_VALUE"""),2.0)</f>
        <v>2</v>
      </c>
      <c r="AD2871" s="183">
        <f>IFERROR(__xludf.DUMMYFUNCTION("""COMPUTED_VALUE"""),0.0)</f>
        <v>0</v>
      </c>
      <c r="AE2871" s="183">
        <f>IFERROR(__xludf.DUMMYFUNCTION("""COMPUTED_VALUE"""),0.0)</f>
        <v>0</v>
      </c>
      <c r="AF2871" s="184"/>
      <c r="AG2871" s="180" t="str">
        <f>IFERROR(__xludf.DUMMYFUNCTION("""COMPUTED_VALUE"""),"My issues have not been fixed yet.")</f>
        <v>My issues have not been fixed yet.</v>
      </c>
      <c r="AH2871" s="185">
        <f>IFERROR(__xludf.DUMMYFUNCTION("""COMPUTED_VALUE"""),43323.37144207176)</f>
        <v>43323.37144</v>
      </c>
      <c r="AI2871" s="182"/>
      <c r="AJ2871" s="182"/>
      <c r="AK2871" s="182"/>
      <c r="AL2871" s="182"/>
    </row>
    <row r="2872" ht="20.25" customHeight="1">
      <c r="A2872" s="169" t="str">
        <f>IFERROR(__xludf.DUMMYFUNCTION("""COMPUTED_VALUE"""),"BaneSilvermoon")</f>
        <v>BaneSilvermoon</v>
      </c>
      <c r="B2872" s="170" t="str">
        <f>IFERROR(__xludf.DUMMYFUNCTION("""COMPUTED_VALUE"""),"Louisville")</f>
        <v>Louisville</v>
      </c>
      <c r="C2872" s="170" t="str">
        <f>IFERROR(__xludf.DUMMYFUNCTION("""COMPUTED_VALUE"""),"KY")</f>
        <v>KY</v>
      </c>
      <c r="D2872" s="170" t="str">
        <f>IFERROR(__xludf.DUMMYFUNCTION("""COMPUTED_VALUE"""),"USA")</f>
        <v>USA</v>
      </c>
      <c r="E2872" s="171">
        <f>IFERROR(__xludf.DUMMYFUNCTION("""COMPUTED_VALUE"""),43279.0)</f>
        <v>43279</v>
      </c>
      <c r="F2872" s="172">
        <f>IFERROR(__xludf.DUMMYFUNCTION("""COMPUTED_VALUE"""),43365.0)</f>
        <v>43365</v>
      </c>
      <c r="G2872" s="173"/>
      <c r="H2872" s="174">
        <f>IFERROR(__xludf.DUMMYFUNCTION("""COMPUTED_VALUE"""),77155.0)</f>
        <v>77155</v>
      </c>
      <c r="I2872" s="175" t="str">
        <f>IFERROR(__xludf.DUMMYFUNCTION("""COMPUTED_VALUE"""),"09/18")</f>
        <v>09/18</v>
      </c>
      <c r="J2872" s="172">
        <f>IFERROR(__xludf.DUMMYFUNCTION("""COMPUTED_VALUE"""),43372.0)</f>
        <v>43372</v>
      </c>
      <c r="K2872" s="176">
        <f>IFERROR(__xludf.DUMMYFUNCTION("""COMPUTED_VALUE"""),86.0)</f>
        <v>86</v>
      </c>
      <c r="L2872" s="176">
        <f>IFERROR(__xludf.DUMMYFUNCTION("""COMPUTED_VALUE"""),7.0)</f>
        <v>7</v>
      </c>
      <c r="M2872" s="176">
        <f>IFERROR(__xludf.DUMMYFUNCTION("""COMPUTED_VALUE"""),93.0)</f>
        <v>93</v>
      </c>
      <c r="N2872" s="177" t="str">
        <f>IFERROR(__xludf.DUMMYFUNCTION("""COMPUTED_VALUE"""),"Model 3 LR AWD")</f>
        <v>Model 3 LR AWD</v>
      </c>
      <c r="O2872" s="177" t="str">
        <f>IFERROR(__xludf.DUMMYFUNCTION("""COMPUTED_VALUE"""),"Obsidian Black Metallic")</f>
        <v>Obsidian Black Metallic</v>
      </c>
      <c r="P2872" s="178" t="str">
        <f>IFERROR(__xludf.DUMMYFUNCTION("""COMPUTED_VALUE"""),"18 inch Aero")</f>
        <v>18 inch Aero</v>
      </c>
      <c r="Q2872" s="177" t="str">
        <f>IFERROR(__xludf.DUMMYFUNCTION("""COMPUTED_VALUE"""),"Black seats")</f>
        <v>Black seats</v>
      </c>
      <c r="R2872" s="170" t="str">
        <f>IFERROR(__xludf.DUMMYFUNCTION("""COMPUTED_VALUE"""),"Full Self-Driving")</f>
        <v>Full Self-Driving</v>
      </c>
      <c r="S2872" s="170"/>
      <c r="T2872" s="179"/>
      <c r="U2872" s="179"/>
      <c r="V2872" s="179"/>
      <c r="W2872" s="180"/>
      <c r="X2872" s="181" t="str">
        <f>IFERROR(__xludf.DUMMYFUNCTION("""COMPUTED_VALUE"""),"Very Good")</f>
        <v>Very Good</v>
      </c>
      <c r="Y2872" s="182" t="str">
        <f>IFERROR(__xludf.DUMMYFUNCTION("""COMPUTED_VALUE"""),"Excellent")</f>
        <v>Excellent</v>
      </c>
      <c r="Z2872" s="182" t="str">
        <f>IFERROR(__xludf.DUMMYFUNCTION("""COMPUTED_VALUE"""),"Very Good")</f>
        <v>Very Good</v>
      </c>
      <c r="AA2872" s="182" t="str">
        <f>IFERROR(__xludf.DUMMYFUNCTION("""COMPUTED_VALUE"""),"Fair")</f>
        <v>Fair</v>
      </c>
      <c r="AB2872" s="182" t="str">
        <f>IFERROR(__xludf.DUMMYFUNCTION("""COMPUTED_VALUE"""),"Excellent")</f>
        <v>Excellent</v>
      </c>
      <c r="AC2872" s="183">
        <f>IFERROR(__xludf.DUMMYFUNCTION("""COMPUTED_VALUE"""),2.0)</f>
        <v>2</v>
      </c>
      <c r="AD2872" s="183">
        <f>IFERROR(__xludf.DUMMYFUNCTION("""COMPUTED_VALUE"""),0.0)</f>
        <v>0</v>
      </c>
      <c r="AE2872" s="183">
        <f>IFERROR(__xludf.DUMMYFUNCTION("""COMPUTED_VALUE"""),0.0)</f>
        <v>0</v>
      </c>
      <c r="AF2872" s="184"/>
      <c r="AG2872" s="180" t="str">
        <f>IFERROR(__xludf.DUMMYFUNCTION("""COMPUTED_VALUE"""),"Two panel alignment issues fixed in 15 minutes at delivery")</f>
        <v>Two panel alignment issues fixed in 15 minutes at delivery</v>
      </c>
      <c r="AH2872" s="185">
        <f>IFERROR(__xludf.DUMMYFUNCTION("""COMPUTED_VALUE"""),43388.23523927083)</f>
        <v>43388.23524</v>
      </c>
      <c r="AI2872" s="182"/>
      <c r="AJ2872" s="182"/>
      <c r="AK2872" s="182"/>
      <c r="AL2872" s="182"/>
    </row>
    <row r="2873" ht="20.25" customHeight="1">
      <c r="A2873" s="169" t="str">
        <f>IFERROR(__xludf.DUMMYFUNCTION("""COMPUTED_VALUE"""),"BarryRG")</f>
        <v>BarryRG</v>
      </c>
      <c r="B2873" s="170" t="str">
        <f>IFERROR(__xludf.DUMMYFUNCTION("""COMPUTED_VALUE"""),"Sacramento")</f>
        <v>Sacramento</v>
      </c>
      <c r="C2873" s="170" t="str">
        <f>IFERROR(__xludf.DUMMYFUNCTION("""COMPUTED_VALUE"""),"CA")</f>
        <v>CA</v>
      </c>
      <c r="D2873" s="170" t="str">
        <f>IFERROR(__xludf.DUMMYFUNCTION("""COMPUTED_VALUE"""),"USA")</f>
        <v>USA</v>
      </c>
      <c r="E2873" s="171">
        <f>IFERROR(__xludf.DUMMYFUNCTION("""COMPUTED_VALUE"""),43279.0)</f>
        <v>43279</v>
      </c>
      <c r="F2873" s="172">
        <f>IFERROR(__xludf.DUMMYFUNCTION("""COMPUTED_VALUE"""),43301.0)</f>
        <v>43301</v>
      </c>
      <c r="G2873" s="173"/>
      <c r="H2873" s="174">
        <f>IFERROR(__xludf.DUMMYFUNCTION("""COMPUTED_VALUE"""),45755.0)</f>
        <v>45755</v>
      </c>
      <c r="I2873" s="175"/>
      <c r="J2873" s="172">
        <f>IFERROR(__xludf.DUMMYFUNCTION("""COMPUTED_VALUE"""),43301.0)</f>
        <v>43301</v>
      </c>
      <c r="K2873" s="176">
        <f>IFERROR(__xludf.DUMMYFUNCTION("""COMPUTED_VALUE"""),22.0)</f>
        <v>22</v>
      </c>
      <c r="L2873" s="176">
        <f>IFERROR(__xludf.DUMMYFUNCTION("""COMPUTED_VALUE"""),0.0)</f>
        <v>0</v>
      </c>
      <c r="M2873" s="176">
        <f>IFERROR(__xludf.DUMMYFUNCTION("""COMPUTED_VALUE"""),22.0)</f>
        <v>22</v>
      </c>
      <c r="N2873" s="177" t="str">
        <f>IFERROR(__xludf.DUMMYFUNCTION("""COMPUTED_VALUE"""),"Model 3 LR")</f>
        <v>Model 3 LR</v>
      </c>
      <c r="O2873" s="177" t="str">
        <f>IFERROR(__xludf.DUMMYFUNCTION("""COMPUTED_VALUE"""),"Red Multi-Coat")</f>
        <v>Red Multi-Coat</v>
      </c>
      <c r="P2873" s="178" t="str">
        <f>IFERROR(__xludf.DUMMYFUNCTION("""COMPUTED_VALUE"""),"18 inch Aero")</f>
        <v>18 inch Aero</v>
      </c>
      <c r="Q2873" s="177" t="str">
        <f>IFERROR(__xludf.DUMMYFUNCTION("""COMPUTED_VALUE"""),"Black seats")</f>
        <v>Black seats</v>
      </c>
      <c r="R2873" s="170" t="str">
        <f>IFERROR(__xludf.DUMMYFUNCTION("""COMPUTED_VALUE"""),"Enhanced Autopilot")</f>
        <v>Enhanced Autopilot</v>
      </c>
      <c r="S2873" s="170"/>
      <c r="T2873" s="179"/>
      <c r="U2873" s="179"/>
      <c r="V2873" s="179"/>
      <c r="W2873" s="180"/>
      <c r="X2873" s="181" t="str">
        <f>IFERROR(__xludf.DUMMYFUNCTION("""COMPUTED_VALUE"""),"Good")</f>
        <v>Good</v>
      </c>
      <c r="Y2873" s="182" t="str">
        <f>IFERROR(__xludf.DUMMYFUNCTION("""COMPUTED_VALUE"""),"Good")</f>
        <v>Good</v>
      </c>
      <c r="Z2873" s="182" t="str">
        <f>IFERROR(__xludf.DUMMYFUNCTION("""COMPUTED_VALUE"""),"Poor")</f>
        <v>Poor</v>
      </c>
      <c r="AA2873" s="182" t="str">
        <f>IFERROR(__xludf.DUMMYFUNCTION("""COMPUTED_VALUE"""),"Good")</f>
        <v>Good</v>
      </c>
      <c r="AB2873" s="182" t="str">
        <f>IFERROR(__xludf.DUMMYFUNCTION("""COMPUTED_VALUE"""),"Poor")</f>
        <v>Poor</v>
      </c>
      <c r="AC2873" s="183">
        <f>IFERROR(__xludf.DUMMYFUNCTION("""COMPUTED_VALUE"""),10.0)</f>
        <v>10</v>
      </c>
      <c r="AD2873" s="183">
        <f>IFERROR(__xludf.DUMMYFUNCTION("""COMPUTED_VALUE"""),2.0)</f>
        <v>2</v>
      </c>
      <c r="AE2873" s="183">
        <f>IFERROR(__xludf.DUMMYFUNCTION("""COMPUTED_VALUE"""),10.0)</f>
        <v>10</v>
      </c>
      <c r="AF2873" s="184"/>
      <c r="AG2873" s="180"/>
      <c r="AH2873" s="185">
        <f>IFERROR(__xludf.DUMMYFUNCTION("""COMPUTED_VALUE"""),43335.39399304398)</f>
        <v>43335.39399</v>
      </c>
      <c r="AI2873" s="182"/>
      <c r="AJ2873" s="182"/>
      <c r="AK2873" s="182"/>
      <c r="AL2873" s="182"/>
    </row>
    <row r="2874" ht="20.25" customHeight="1">
      <c r="A2874" s="169" t="str">
        <f>IFERROR(__xludf.DUMMYFUNCTION("""COMPUTED_VALUE"""),"bawwsa")</f>
        <v>bawwsa</v>
      </c>
      <c r="B2874" s="170" t="str">
        <f>IFERROR(__xludf.DUMMYFUNCTION("""COMPUTED_VALUE"""),"Sacramento")</f>
        <v>Sacramento</v>
      </c>
      <c r="C2874" s="170" t="str">
        <f>IFERROR(__xludf.DUMMYFUNCTION("""COMPUTED_VALUE"""),"CA")</f>
        <v>CA</v>
      </c>
      <c r="D2874" s="170" t="str">
        <f>IFERROR(__xludf.DUMMYFUNCTION("""COMPUTED_VALUE"""),"USA")</f>
        <v>USA</v>
      </c>
      <c r="E2874" s="171">
        <f>IFERROR(__xludf.DUMMYFUNCTION("""COMPUTED_VALUE"""),43279.0)</f>
        <v>43279</v>
      </c>
      <c r="F2874" s="172">
        <f>IFERROR(__xludf.DUMMYFUNCTION("""COMPUTED_VALUE"""),43290.0)</f>
        <v>43290</v>
      </c>
      <c r="G2874" s="173"/>
      <c r="H2874" s="174">
        <f>IFERROR(__xludf.DUMMYFUNCTION("""COMPUTED_VALUE"""),41855.0)</f>
        <v>41855</v>
      </c>
      <c r="I2874" s="175"/>
      <c r="J2874" s="172">
        <f>IFERROR(__xludf.DUMMYFUNCTION("""COMPUTED_VALUE"""),43300.0)</f>
        <v>43300</v>
      </c>
      <c r="K2874" s="176">
        <f>IFERROR(__xludf.DUMMYFUNCTION("""COMPUTED_VALUE"""),11.0)</f>
        <v>11</v>
      </c>
      <c r="L2874" s="176">
        <f>IFERROR(__xludf.DUMMYFUNCTION("""COMPUTED_VALUE"""),10.0)</f>
        <v>10</v>
      </c>
      <c r="M2874" s="176">
        <f>IFERROR(__xludf.DUMMYFUNCTION("""COMPUTED_VALUE"""),21.0)</f>
        <v>21</v>
      </c>
      <c r="N2874" s="177" t="str">
        <f>IFERROR(__xludf.DUMMYFUNCTION("""COMPUTED_VALUE"""),"Model 3 LR")</f>
        <v>Model 3 LR</v>
      </c>
      <c r="O2874" s="177" t="str">
        <f>IFERROR(__xludf.DUMMYFUNCTION("""COMPUTED_VALUE"""),"Pearl White Multi-Coat")</f>
        <v>Pearl White Multi-Coat</v>
      </c>
      <c r="P2874" s="178" t="str">
        <f>IFERROR(__xludf.DUMMYFUNCTION("""COMPUTED_VALUE"""),"18 inch Aero")</f>
        <v>18 inch Aero</v>
      </c>
      <c r="Q2874" s="177" t="str">
        <f>IFERROR(__xludf.DUMMYFUNCTION("""COMPUTED_VALUE"""),"Black seats")</f>
        <v>Black seats</v>
      </c>
      <c r="R2874" s="170" t="str">
        <f>IFERROR(__xludf.DUMMYFUNCTION("""COMPUTED_VALUE"""),"Enhanced Autopilot")</f>
        <v>Enhanced Autopilot</v>
      </c>
      <c r="S2874" s="170"/>
      <c r="T2874" s="179"/>
      <c r="U2874" s="179"/>
      <c r="V2874" s="179"/>
      <c r="W2874" s="180"/>
      <c r="X2874" s="181" t="str">
        <f>IFERROR(__xludf.DUMMYFUNCTION("""COMPUTED_VALUE"""),"Very Good")</f>
        <v>Very Good</v>
      </c>
      <c r="Y2874" s="182" t="str">
        <f>IFERROR(__xludf.DUMMYFUNCTION("""COMPUTED_VALUE"""),"Excellent")</f>
        <v>Excellent</v>
      </c>
      <c r="Z2874" s="182" t="str">
        <f>IFERROR(__xludf.DUMMYFUNCTION("""COMPUTED_VALUE"""),"Excellent")</f>
        <v>Excellent</v>
      </c>
      <c r="AA2874" s="182" t="str">
        <f>IFERROR(__xludf.DUMMYFUNCTION("""COMPUTED_VALUE"""),"Good")</f>
        <v>Good</v>
      </c>
      <c r="AB2874" s="182" t="str">
        <f>IFERROR(__xludf.DUMMYFUNCTION("""COMPUTED_VALUE"""),"Very Good")</f>
        <v>Very Good</v>
      </c>
      <c r="AC2874" s="183">
        <f>IFERROR(__xludf.DUMMYFUNCTION("""COMPUTED_VALUE"""),2.0)</f>
        <v>2</v>
      </c>
      <c r="AD2874" s="183">
        <f>IFERROR(__xludf.DUMMYFUNCTION("""COMPUTED_VALUE"""),1.0)</f>
        <v>1</v>
      </c>
      <c r="AE2874" s="183"/>
      <c r="AF2874" s="184"/>
      <c r="AG2874" s="180" t="str">
        <f>IFERROR(__xludf.DUMMYFUNCTION("""COMPUTED_VALUE"""),"Reserved Dec. 2017")</f>
        <v>Reserved Dec. 2017</v>
      </c>
      <c r="AH2874" s="185">
        <f>IFERROR(__xludf.DUMMYFUNCTION("""COMPUTED_VALUE"""),43301.884490509256)</f>
        <v>43301.88449</v>
      </c>
      <c r="AI2874" s="182"/>
      <c r="AJ2874" s="182"/>
      <c r="AK2874" s="182"/>
      <c r="AL2874" s="182"/>
    </row>
    <row r="2875" ht="20.25" customHeight="1">
      <c r="A2875" s="169" t="str">
        <f>IFERROR(__xludf.DUMMYFUNCTION("""COMPUTED_VALUE"""),"benn")</f>
        <v>benn</v>
      </c>
      <c r="B2875" s="170" t="str">
        <f>IFERROR(__xludf.DUMMYFUNCTION("""COMPUTED_VALUE"""),"Pittsburgh")</f>
        <v>Pittsburgh</v>
      </c>
      <c r="C2875" s="170" t="str">
        <f>IFERROR(__xludf.DUMMYFUNCTION("""COMPUTED_VALUE"""),"PA")</f>
        <v>PA</v>
      </c>
      <c r="D2875" s="170" t="str">
        <f>IFERROR(__xludf.DUMMYFUNCTION("""COMPUTED_VALUE"""),"USA")</f>
        <v>USA</v>
      </c>
      <c r="E2875" s="171">
        <f>IFERROR(__xludf.DUMMYFUNCTION("""COMPUTED_VALUE"""),43279.0)</f>
        <v>43279</v>
      </c>
      <c r="F2875" s="172">
        <f>IFERROR(__xludf.DUMMYFUNCTION("""COMPUTED_VALUE"""),43328.0)</f>
        <v>43328</v>
      </c>
      <c r="G2875" s="173"/>
      <c r="H2875" s="174">
        <f>IFERROR(__xludf.DUMMYFUNCTION("""COMPUTED_VALUE"""),68955.0)</f>
        <v>68955</v>
      </c>
      <c r="I2875" s="175" t="str">
        <f>IFERROR(__xludf.DUMMYFUNCTION("""COMPUTED_VALUE"""),"08/18")</f>
        <v>08/18</v>
      </c>
      <c r="J2875" s="172">
        <f>IFERROR(__xludf.DUMMYFUNCTION("""COMPUTED_VALUE"""),43335.0)</f>
        <v>43335</v>
      </c>
      <c r="K2875" s="176">
        <f>IFERROR(__xludf.DUMMYFUNCTION("""COMPUTED_VALUE"""),49.0)</f>
        <v>49</v>
      </c>
      <c r="L2875" s="176">
        <f>IFERROR(__xludf.DUMMYFUNCTION("""COMPUTED_VALUE"""),7.0)</f>
        <v>7</v>
      </c>
      <c r="M2875" s="176">
        <f>IFERROR(__xludf.DUMMYFUNCTION("""COMPUTED_VALUE"""),56.0)</f>
        <v>56</v>
      </c>
      <c r="N2875" s="177" t="str">
        <f>IFERROR(__xludf.DUMMYFUNCTION("""COMPUTED_VALUE"""),"Model 3 LR AWD")</f>
        <v>Model 3 LR AWD</v>
      </c>
      <c r="O2875" s="177" t="str">
        <f>IFERROR(__xludf.DUMMYFUNCTION("""COMPUTED_VALUE"""),"Midnight Silver Metallic")</f>
        <v>Midnight Silver Metallic</v>
      </c>
      <c r="P2875" s="178" t="str">
        <f>IFERROR(__xludf.DUMMYFUNCTION("""COMPUTED_VALUE"""),"19 inch Sport")</f>
        <v>19 inch Sport</v>
      </c>
      <c r="Q2875" s="177" t="str">
        <f>IFERROR(__xludf.DUMMYFUNCTION("""COMPUTED_VALUE"""),"Black seats")</f>
        <v>Black seats</v>
      </c>
      <c r="R2875" s="170" t="str">
        <f>IFERROR(__xludf.DUMMYFUNCTION("""COMPUTED_VALUE"""),"Full Self-Driving")</f>
        <v>Full Self-Driving</v>
      </c>
      <c r="S2875" s="170"/>
      <c r="T2875" s="179"/>
      <c r="U2875" s="179"/>
      <c r="V2875" s="179"/>
      <c r="W2875" s="180"/>
      <c r="X2875" s="181" t="str">
        <f>IFERROR(__xludf.DUMMYFUNCTION("""COMPUTED_VALUE"""),"Excellent")</f>
        <v>Excellent</v>
      </c>
      <c r="Y2875" s="182" t="str">
        <f>IFERROR(__xludf.DUMMYFUNCTION("""COMPUTED_VALUE"""),"Excellent")</f>
        <v>Excellent</v>
      </c>
      <c r="Z2875" s="182" t="str">
        <f>IFERROR(__xludf.DUMMYFUNCTION("""COMPUTED_VALUE"""),"Excellent")</f>
        <v>Excellent</v>
      </c>
      <c r="AA2875" s="182" t="str">
        <f>IFERROR(__xludf.DUMMYFUNCTION("""COMPUTED_VALUE"""),"Good")</f>
        <v>Good</v>
      </c>
      <c r="AB2875" s="182" t="str">
        <f>IFERROR(__xludf.DUMMYFUNCTION("""COMPUTED_VALUE"""),"Very Good")</f>
        <v>Very Good</v>
      </c>
      <c r="AC2875" s="183">
        <f>IFERROR(__xludf.DUMMYFUNCTION("""COMPUTED_VALUE"""),0.0)</f>
        <v>0</v>
      </c>
      <c r="AD2875" s="183">
        <f>IFERROR(__xludf.DUMMYFUNCTION("""COMPUTED_VALUE"""),0.0)</f>
        <v>0</v>
      </c>
      <c r="AE2875" s="183">
        <f>IFERROR(__xludf.DUMMYFUNCTION("""COMPUTED_VALUE"""),0.0)</f>
        <v>0</v>
      </c>
      <c r="AF2875" s="184"/>
      <c r="AG2875" s="180"/>
      <c r="AH2875" s="185">
        <f>IFERROR(__xludf.DUMMYFUNCTION("""COMPUTED_VALUE"""),43403.21374060185)</f>
        <v>43403.21374</v>
      </c>
      <c r="AI2875" s="182"/>
      <c r="AJ2875" s="182"/>
      <c r="AK2875" s="182"/>
      <c r="AL2875" s="182"/>
    </row>
    <row r="2876" ht="20.25" customHeight="1">
      <c r="A2876" s="169" t="str">
        <f>IFERROR(__xludf.DUMMYFUNCTION("""COMPUTED_VALUE"""),"bergs")</f>
        <v>bergs</v>
      </c>
      <c r="B2876" s="170" t="str">
        <f>IFERROR(__xludf.DUMMYFUNCTION("""COMPUTED_VALUE"""),"woodside")</f>
        <v>woodside</v>
      </c>
      <c r="C2876" s="170" t="str">
        <f>IFERROR(__xludf.DUMMYFUNCTION("""COMPUTED_VALUE"""),"CA")</f>
        <v>CA</v>
      </c>
      <c r="D2876" s="170" t="str">
        <f>IFERROR(__xludf.DUMMYFUNCTION("""COMPUTED_VALUE"""),"USA")</f>
        <v>USA</v>
      </c>
      <c r="E2876" s="171">
        <f>IFERROR(__xludf.DUMMYFUNCTION("""COMPUTED_VALUE"""),43279.0)</f>
        <v>43279</v>
      </c>
      <c r="F2876" s="172">
        <f>IFERROR(__xludf.DUMMYFUNCTION("""COMPUTED_VALUE"""),43343.0)</f>
        <v>43343</v>
      </c>
      <c r="G2876" s="173"/>
      <c r="H2876" s="174">
        <f>IFERROR(__xludf.DUMMYFUNCTION("""COMPUTED_VALUE"""),67155.0)</f>
        <v>67155</v>
      </c>
      <c r="I2876" s="175" t="str">
        <f>IFERROR(__xludf.DUMMYFUNCTION("""COMPUTED_VALUE"""),"09/18")</f>
        <v>09/18</v>
      </c>
      <c r="J2876" s="172">
        <f>IFERROR(__xludf.DUMMYFUNCTION("""COMPUTED_VALUE"""),43348.0)</f>
        <v>43348</v>
      </c>
      <c r="K2876" s="176">
        <f>IFERROR(__xludf.DUMMYFUNCTION("""COMPUTED_VALUE"""),64.0)</f>
        <v>64</v>
      </c>
      <c r="L2876" s="176">
        <f>IFERROR(__xludf.DUMMYFUNCTION("""COMPUTED_VALUE"""),5.0)</f>
        <v>5</v>
      </c>
      <c r="M2876" s="176">
        <f>IFERROR(__xludf.DUMMYFUNCTION("""COMPUTED_VALUE"""),69.0)</f>
        <v>69</v>
      </c>
      <c r="N2876" s="177" t="str">
        <f>IFERROR(__xludf.DUMMYFUNCTION("""COMPUTED_VALUE"""),"Model 3 LR AWD")</f>
        <v>Model 3 LR AWD</v>
      </c>
      <c r="O2876" s="177" t="str">
        <f>IFERROR(__xludf.DUMMYFUNCTION("""COMPUTED_VALUE"""),"Pearl White Multi-Coat")</f>
        <v>Pearl White Multi-Coat</v>
      </c>
      <c r="P2876" s="178" t="str">
        <f>IFERROR(__xludf.DUMMYFUNCTION("""COMPUTED_VALUE"""),"18 inch Aero")</f>
        <v>18 inch Aero</v>
      </c>
      <c r="Q2876" s="177" t="str">
        <f>IFERROR(__xludf.DUMMYFUNCTION("""COMPUTED_VALUE"""),"Black seats")</f>
        <v>Black seats</v>
      </c>
      <c r="R2876" s="170" t="str">
        <f>IFERROR(__xludf.DUMMYFUNCTION("""COMPUTED_VALUE"""),"Full Self-Driving")</f>
        <v>Full Self-Driving</v>
      </c>
      <c r="S2876" s="170"/>
      <c r="T2876" s="179"/>
      <c r="U2876" s="179"/>
      <c r="V2876" s="179"/>
      <c r="W2876" s="180"/>
      <c r="X2876" s="181" t="str">
        <f>IFERROR(__xludf.DUMMYFUNCTION("""COMPUTED_VALUE"""),"Fair")</f>
        <v>Fair</v>
      </c>
      <c r="Y2876" s="182" t="str">
        <f>IFERROR(__xludf.DUMMYFUNCTION("""COMPUTED_VALUE"""),"Good")</f>
        <v>Good</v>
      </c>
      <c r="Z2876" s="182" t="str">
        <f>IFERROR(__xludf.DUMMYFUNCTION("""COMPUTED_VALUE"""),"Very Good")</f>
        <v>Very Good</v>
      </c>
      <c r="AA2876" s="182" t="str">
        <f>IFERROR(__xludf.DUMMYFUNCTION("""COMPUTED_VALUE"""),"Poor")</f>
        <v>Poor</v>
      </c>
      <c r="AB2876" s="182" t="str">
        <f>IFERROR(__xludf.DUMMYFUNCTION("""COMPUTED_VALUE"""),"Fair")</f>
        <v>Fair</v>
      </c>
      <c r="AC2876" s="183">
        <f>IFERROR(__xludf.DUMMYFUNCTION("""COMPUTED_VALUE"""),10.0)</f>
        <v>10</v>
      </c>
      <c r="AD2876" s="183">
        <f>IFERROR(__xludf.DUMMYFUNCTION("""COMPUTED_VALUE"""),1.0)</f>
        <v>1</v>
      </c>
      <c r="AE2876" s="183">
        <f>IFERROR(__xludf.DUMMYFUNCTION("""COMPUTED_VALUE"""),4.0)</f>
        <v>4</v>
      </c>
      <c r="AF2876" s="184"/>
      <c r="AG2876" s="180"/>
      <c r="AH2876" s="185">
        <f>IFERROR(__xludf.DUMMYFUNCTION("""COMPUTED_VALUE"""),43361.65590143518)</f>
        <v>43361.6559</v>
      </c>
      <c r="AI2876" s="182"/>
      <c r="AJ2876" s="182"/>
      <c r="AK2876" s="182"/>
      <c r="AL2876" s="182"/>
    </row>
    <row r="2877" ht="20.25" customHeight="1">
      <c r="A2877" s="169" t="str">
        <f>IFERROR(__xludf.DUMMYFUNCTION("""COMPUTED_VALUE"""),"berthelson")</f>
        <v>berthelson</v>
      </c>
      <c r="B2877" s="170" t="str">
        <f>IFERROR(__xludf.DUMMYFUNCTION("""COMPUTED_VALUE"""),"Monroe")</f>
        <v>Monroe</v>
      </c>
      <c r="C2877" s="170" t="str">
        <f>IFERROR(__xludf.DUMMYFUNCTION("""COMPUTED_VALUE"""),"WA")</f>
        <v>WA</v>
      </c>
      <c r="D2877" s="170" t="str">
        <f>IFERROR(__xludf.DUMMYFUNCTION("""COMPUTED_VALUE"""),"USA")</f>
        <v>USA</v>
      </c>
      <c r="E2877" s="171">
        <f>IFERROR(__xludf.DUMMYFUNCTION("""COMPUTED_VALUE"""),43279.0)</f>
        <v>43279</v>
      </c>
      <c r="F2877" s="172">
        <f>IFERROR(__xludf.DUMMYFUNCTION("""COMPUTED_VALUE"""),43305.0)</f>
        <v>43305</v>
      </c>
      <c r="G2877" s="173"/>
      <c r="H2877" s="174">
        <f>IFERROR(__xludf.DUMMYFUNCTION("""COMPUTED_VALUE"""),42185.0)</f>
        <v>42185</v>
      </c>
      <c r="I2877" s="175"/>
      <c r="J2877" s="172">
        <f>IFERROR(__xludf.DUMMYFUNCTION("""COMPUTED_VALUE"""),43312.0)</f>
        <v>43312</v>
      </c>
      <c r="K2877" s="176">
        <f>IFERROR(__xludf.DUMMYFUNCTION("""COMPUTED_VALUE"""),26.0)</f>
        <v>26</v>
      </c>
      <c r="L2877" s="176">
        <f>IFERROR(__xludf.DUMMYFUNCTION("""COMPUTED_VALUE"""),7.0)</f>
        <v>7</v>
      </c>
      <c r="M2877" s="176">
        <f>IFERROR(__xludf.DUMMYFUNCTION("""COMPUTED_VALUE"""),33.0)</f>
        <v>33</v>
      </c>
      <c r="N2877" s="177" t="str">
        <f>IFERROR(__xludf.DUMMYFUNCTION("""COMPUTED_VALUE"""),"Model 3 LR")</f>
        <v>Model 3 LR</v>
      </c>
      <c r="O2877" s="177" t="str">
        <f>IFERROR(__xludf.DUMMYFUNCTION("""COMPUTED_VALUE"""),"Pearl White Multi-Coat")</f>
        <v>Pearl White Multi-Coat</v>
      </c>
      <c r="P2877" s="178" t="str">
        <f>IFERROR(__xludf.DUMMYFUNCTION("""COMPUTED_VALUE"""),"18 inch Aero")</f>
        <v>18 inch Aero</v>
      </c>
      <c r="Q2877" s="177" t="str">
        <f>IFERROR(__xludf.DUMMYFUNCTION("""COMPUTED_VALUE"""),"Black seats")</f>
        <v>Black seats</v>
      </c>
      <c r="R2877" s="170" t="str">
        <f>IFERROR(__xludf.DUMMYFUNCTION("""COMPUTED_VALUE"""),"Enhanced Autopilot")</f>
        <v>Enhanced Autopilot</v>
      </c>
      <c r="S2877" s="170"/>
      <c r="T2877" s="179"/>
      <c r="U2877" s="179"/>
      <c r="V2877" s="179"/>
      <c r="W2877" s="180"/>
      <c r="X2877" s="181" t="str">
        <f>IFERROR(__xludf.DUMMYFUNCTION("""COMPUTED_VALUE"""),"Good")</f>
        <v>Good</v>
      </c>
      <c r="Y2877" s="182" t="str">
        <f>IFERROR(__xludf.DUMMYFUNCTION("""COMPUTED_VALUE"""),"Excellent")</f>
        <v>Excellent</v>
      </c>
      <c r="Z2877" s="182" t="str">
        <f>IFERROR(__xludf.DUMMYFUNCTION("""COMPUTED_VALUE"""),"Excellent")</f>
        <v>Excellent</v>
      </c>
      <c r="AA2877" s="182" t="str">
        <f>IFERROR(__xludf.DUMMYFUNCTION("""COMPUTED_VALUE"""),"Fair")</f>
        <v>Fair</v>
      </c>
      <c r="AB2877" s="182" t="str">
        <f>IFERROR(__xludf.DUMMYFUNCTION("""COMPUTED_VALUE"""),"Excellent")</f>
        <v>Excellent</v>
      </c>
      <c r="AC2877" s="183"/>
      <c r="AD2877" s="183"/>
      <c r="AE2877" s="183"/>
      <c r="AF2877" s="184"/>
      <c r="AG2877" s="180"/>
      <c r="AH2877" s="185">
        <f>IFERROR(__xludf.DUMMYFUNCTION("""COMPUTED_VALUE"""),43314.240398379625)</f>
        <v>43314.2404</v>
      </c>
      <c r="AI2877" s="182"/>
      <c r="AJ2877" s="182"/>
      <c r="AK2877" s="182"/>
      <c r="AL2877" s="182"/>
    </row>
    <row r="2878" ht="20.25" customHeight="1">
      <c r="A2878" s="169" t="str">
        <f>IFERROR(__xludf.DUMMYFUNCTION("""COMPUTED_VALUE"""),"birdybird")</f>
        <v>birdybird</v>
      </c>
      <c r="B2878" s="170" t="str">
        <f>IFERROR(__xludf.DUMMYFUNCTION("""COMPUTED_VALUE"""),"Melbourne")</f>
        <v>Melbourne</v>
      </c>
      <c r="C2878" s="170" t="str">
        <f>IFERROR(__xludf.DUMMYFUNCTION("""COMPUTED_VALUE"""),"FL")</f>
        <v>FL</v>
      </c>
      <c r="D2878" s="170" t="str">
        <f>IFERROR(__xludf.DUMMYFUNCTION("""COMPUTED_VALUE"""),"USA")</f>
        <v>USA</v>
      </c>
      <c r="E2878" s="171">
        <f>IFERROR(__xludf.DUMMYFUNCTION("""COMPUTED_VALUE"""),43279.0)</f>
        <v>43279</v>
      </c>
      <c r="F2878" s="172">
        <f>IFERROR(__xludf.DUMMYFUNCTION("""COMPUTED_VALUE"""),43286.0)</f>
        <v>43286</v>
      </c>
      <c r="G2878" s="173"/>
      <c r="H2878" s="174">
        <f>IFERROR(__xludf.DUMMYFUNCTION("""COMPUTED_VALUE"""),32355.0)</f>
        <v>32355</v>
      </c>
      <c r="I2878" s="175" t="str">
        <f>IFERROR(__xludf.DUMMYFUNCTION("""COMPUTED_VALUE"""),"06/18")</f>
        <v>06/18</v>
      </c>
      <c r="J2878" s="172">
        <f>IFERROR(__xludf.DUMMYFUNCTION("""COMPUTED_VALUE"""),43288.0)</f>
        <v>43288</v>
      </c>
      <c r="K2878" s="176">
        <f>IFERROR(__xludf.DUMMYFUNCTION("""COMPUTED_VALUE"""),7.0)</f>
        <v>7</v>
      </c>
      <c r="L2878" s="176">
        <f>IFERROR(__xludf.DUMMYFUNCTION("""COMPUTED_VALUE"""),2.0)</f>
        <v>2</v>
      </c>
      <c r="M2878" s="176">
        <f>IFERROR(__xludf.DUMMYFUNCTION("""COMPUTED_VALUE"""),9.0)</f>
        <v>9</v>
      </c>
      <c r="N2878" s="177" t="str">
        <f>IFERROR(__xludf.DUMMYFUNCTION("""COMPUTED_VALUE"""),"Model 3 LR")</f>
        <v>Model 3 LR</v>
      </c>
      <c r="O2878" s="177" t="str">
        <f>IFERROR(__xludf.DUMMYFUNCTION("""COMPUTED_VALUE"""),"Solid Black")</f>
        <v>Solid Black</v>
      </c>
      <c r="P2878" s="178" t="str">
        <f>IFERROR(__xludf.DUMMYFUNCTION("""COMPUTED_VALUE"""),"18 inch Aero")</f>
        <v>18 inch Aero</v>
      </c>
      <c r="Q2878" s="177" t="str">
        <f>IFERROR(__xludf.DUMMYFUNCTION("""COMPUTED_VALUE"""),"Black seats")</f>
        <v>Black seats</v>
      </c>
      <c r="R2878" s="170" t="str">
        <f>IFERROR(__xludf.DUMMYFUNCTION("""COMPUTED_VALUE"""),"Full Self-Driving")</f>
        <v>Full Self-Driving</v>
      </c>
      <c r="S2878" s="170"/>
      <c r="T2878" s="179"/>
      <c r="U2878" s="179"/>
      <c r="V2878" s="179"/>
      <c r="W2878" s="180"/>
      <c r="X2878" s="181" t="str">
        <f>IFERROR(__xludf.DUMMYFUNCTION("""COMPUTED_VALUE"""),"Very Good")</f>
        <v>Very Good</v>
      </c>
      <c r="Y2878" s="182" t="str">
        <f>IFERROR(__xludf.DUMMYFUNCTION("""COMPUTED_VALUE"""),"Excellent")</f>
        <v>Excellent</v>
      </c>
      <c r="Z2878" s="182" t="str">
        <f>IFERROR(__xludf.DUMMYFUNCTION("""COMPUTED_VALUE"""),"Excellent")</f>
        <v>Excellent</v>
      </c>
      <c r="AA2878" s="182" t="str">
        <f>IFERROR(__xludf.DUMMYFUNCTION("""COMPUTED_VALUE"""),"Fair")</f>
        <v>Fair</v>
      </c>
      <c r="AB2878" s="182" t="str">
        <f>IFERROR(__xludf.DUMMYFUNCTION("""COMPUTED_VALUE"""),"Excellent")</f>
        <v>Excellent</v>
      </c>
      <c r="AC2878" s="183">
        <f>IFERROR(__xludf.DUMMYFUNCTION("""COMPUTED_VALUE"""),0.0)</f>
        <v>0</v>
      </c>
      <c r="AD2878" s="183"/>
      <c r="AE2878" s="183"/>
      <c r="AF2878" s="184"/>
      <c r="AG2878" s="180"/>
      <c r="AH2878" s="185">
        <f>IFERROR(__xludf.DUMMYFUNCTION("""COMPUTED_VALUE"""),43288.66257680555)</f>
        <v>43288.66258</v>
      </c>
      <c r="AI2878" s="182"/>
      <c r="AJ2878" s="182"/>
      <c r="AK2878" s="182"/>
      <c r="AL2878" s="182"/>
    </row>
    <row r="2879" ht="20.25" customHeight="1">
      <c r="A2879" s="169" t="str">
        <f>IFERROR(__xludf.DUMMYFUNCTION("""COMPUTED_VALUE"""),"BlastedPrism")</f>
        <v>BlastedPrism</v>
      </c>
      <c r="B2879" s="170" t="str">
        <f>IFERROR(__xludf.DUMMYFUNCTION("""COMPUTED_VALUE"""),"White Lake")</f>
        <v>White Lake</v>
      </c>
      <c r="C2879" s="170" t="str">
        <f>IFERROR(__xludf.DUMMYFUNCTION("""COMPUTED_VALUE"""),"MI")</f>
        <v>MI</v>
      </c>
      <c r="D2879" s="170" t="str">
        <f>IFERROR(__xludf.DUMMYFUNCTION("""COMPUTED_VALUE"""),"USA")</f>
        <v>USA</v>
      </c>
      <c r="E2879" s="171">
        <f>IFERROR(__xludf.DUMMYFUNCTION("""COMPUTED_VALUE"""),43279.0)</f>
        <v>43279</v>
      </c>
      <c r="F2879" s="172">
        <f>IFERROR(__xludf.DUMMYFUNCTION("""COMPUTED_VALUE"""),43280.0)</f>
        <v>43280</v>
      </c>
      <c r="G2879" s="173"/>
      <c r="H2879" s="174">
        <f>IFERROR(__xludf.DUMMYFUNCTION("""COMPUTED_VALUE"""),23335.0)</f>
        <v>23335</v>
      </c>
      <c r="I2879" s="175"/>
      <c r="J2879" s="172">
        <f>IFERROR(__xludf.DUMMYFUNCTION("""COMPUTED_VALUE"""),43284.0)</f>
        <v>43284</v>
      </c>
      <c r="K2879" s="176">
        <f>IFERROR(__xludf.DUMMYFUNCTION("""COMPUTED_VALUE"""),1.0)</f>
        <v>1</v>
      </c>
      <c r="L2879" s="176">
        <f>IFERROR(__xludf.DUMMYFUNCTION("""COMPUTED_VALUE"""),4.0)</f>
        <v>4</v>
      </c>
      <c r="M2879" s="176">
        <f>IFERROR(__xludf.DUMMYFUNCTION("""COMPUTED_VALUE"""),5.0)</f>
        <v>5</v>
      </c>
      <c r="N2879" s="177" t="str">
        <f>IFERROR(__xludf.DUMMYFUNCTION("""COMPUTED_VALUE"""),"Model 3 LR")</f>
        <v>Model 3 LR</v>
      </c>
      <c r="O2879" s="177" t="str">
        <f>IFERROR(__xludf.DUMMYFUNCTION("""COMPUTED_VALUE"""),"Pearl White Multi-Coat")</f>
        <v>Pearl White Multi-Coat</v>
      </c>
      <c r="P2879" s="178" t="str">
        <f>IFERROR(__xludf.DUMMYFUNCTION("""COMPUTED_VALUE"""),"18 inch Aero")</f>
        <v>18 inch Aero</v>
      </c>
      <c r="Q2879" s="177" t="str">
        <f>IFERROR(__xludf.DUMMYFUNCTION("""COMPUTED_VALUE"""),"Black seats")</f>
        <v>Black seats</v>
      </c>
      <c r="R2879" s="170" t="str">
        <f>IFERROR(__xludf.DUMMYFUNCTION("""COMPUTED_VALUE"""),"Full Self-Driving")</f>
        <v>Full Self-Driving</v>
      </c>
      <c r="S2879" s="170"/>
      <c r="T2879" s="179"/>
      <c r="U2879" s="179"/>
      <c r="V2879" s="179"/>
      <c r="W2879" s="180"/>
      <c r="X2879" s="181" t="str">
        <f>IFERROR(__xludf.DUMMYFUNCTION("""COMPUTED_VALUE"""),"Excellent")</f>
        <v>Excellent</v>
      </c>
      <c r="Y2879" s="182" t="str">
        <f>IFERROR(__xludf.DUMMYFUNCTION("""COMPUTED_VALUE"""),"Excellent")</f>
        <v>Excellent</v>
      </c>
      <c r="Z2879" s="182" t="str">
        <f>IFERROR(__xludf.DUMMYFUNCTION("""COMPUTED_VALUE"""),"Excellent")</f>
        <v>Excellent</v>
      </c>
      <c r="AA2879" s="182" t="str">
        <f>IFERROR(__xludf.DUMMYFUNCTION("""COMPUTED_VALUE"""),"Excellent")</f>
        <v>Excellent</v>
      </c>
      <c r="AB2879" s="182" t="str">
        <f>IFERROR(__xludf.DUMMYFUNCTION("""COMPUTED_VALUE"""),"Excellent")</f>
        <v>Excellent</v>
      </c>
      <c r="AC2879" s="183">
        <f>IFERROR(__xludf.DUMMYFUNCTION("""COMPUTED_VALUE"""),0.0)</f>
        <v>0</v>
      </c>
      <c r="AD2879" s="183">
        <f>IFERROR(__xludf.DUMMYFUNCTION("""COMPUTED_VALUE"""),0.0)</f>
        <v>0</v>
      </c>
      <c r="AE2879" s="183">
        <f>IFERROR(__xludf.DUMMYFUNCTION("""COMPUTED_VALUE"""),0.0)</f>
        <v>0</v>
      </c>
      <c r="AF2879" s="184"/>
      <c r="AG2879" s="180"/>
      <c r="AH2879" s="185">
        <f>IFERROR(__xludf.DUMMYFUNCTION("""COMPUTED_VALUE"""),43577.53556681713)</f>
        <v>43577.53557</v>
      </c>
      <c r="AI2879" s="182"/>
      <c r="AJ2879" s="182"/>
      <c r="AK2879" s="182"/>
      <c r="AL2879" s="182"/>
    </row>
    <row r="2880" ht="20.25" customHeight="1">
      <c r="A2880" s="169" t="str">
        <f>IFERROR(__xludf.DUMMYFUNCTION("""COMPUTED_VALUE"""),"Blue_Monster")</f>
        <v>Blue_Monster</v>
      </c>
      <c r="B2880" s="170" t="str">
        <f>IFERROR(__xludf.DUMMYFUNCTION("""COMPUTED_VALUE"""),"Aurora")</f>
        <v>Aurora</v>
      </c>
      <c r="C2880" s="170" t="str">
        <f>IFERROR(__xludf.DUMMYFUNCTION("""COMPUTED_VALUE"""),"CO")</f>
        <v>CO</v>
      </c>
      <c r="D2880" s="170" t="str">
        <f>IFERROR(__xludf.DUMMYFUNCTION("""COMPUTED_VALUE"""),"USA")</f>
        <v>USA</v>
      </c>
      <c r="E2880" s="171">
        <f>IFERROR(__xludf.DUMMYFUNCTION("""COMPUTED_VALUE"""),43279.0)</f>
        <v>43279</v>
      </c>
      <c r="F2880" s="172">
        <f>IFERROR(__xludf.DUMMYFUNCTION("""COMPUTED_VALUE"""),43368.0)</f>
        <v>43368</v>
      </c>
      <c r="G2880" s="173"/>
      <c r="H2880" s="174">
        <f>IFERROR(__xludf.DUMMYFUNCTION("""COMPUTED_VALUE"""),114855.0)</f>
        <v>114855</v>
      </c>
      <c r="I2880" s="175" t="str">
        <f>IFERROR(__xludf.DUMMYFUNCTION("""COMPUTED_VALUE"""),"09/18")</f>
        <v>09/18</v>
      </c>
      <c r="J2880" s="172">
        <f>IFERROR(__xludf.DUMMYFUNCTION("""COMPUTED_VALUE"""),43372.0)</f>
        <v>43372</v>
      </c>
      <c r="K2880" s="176">
        <f>IFERROR(__xludf.DUMMYFUNCTION("""COMPUTED_VALUE"""),89.0)</f>
        <v>89</v>
      </c>
      <c r="L2880" s="176">
        <f>IFERROR(__xludf.DUMMYFUNCTION("""COMPUTED_VALUE"""),4.0)</f>
        <v>4</v>
      </c>
      <c r="M2880" s="176">
        <f>IFERROR(__xludf.DUMMYFUNCTION("""COMPUTED_VALUE"""),93.0)</f>
        <v>93</v>
      </c>
      <c r="N2880" s="177" t="str">
        <f>IFERROR(__xludf.DUMMYFUNCTION("""COMPUTED_VALUE"""),"Model 3 Performance")</f>
        <v>Model 3 Performance</v>
      </c>
      <c r="O2880" s="177" t="str">
        <f>IFERROR(__xludf.DUMMYFUNCTION("""COMPUTED_VALUE"""),"Deep Blue Metallic")</f>
        <v>Deep Blue Metallic</v>
      </c>
      <c r="P2880" s="178" t="str">
        <f>IFERROR(__xludf.DUMMYFUNCTION("""COMPUTED_VALUE"""),"18 inch Aero")</f>
        <v>18 inch Aero</v>
      </c>
      <c r="Q2880" s="177" t="str">
        <f>IFERROR(__xludf.DUMMYFUNCTION("""COMPUTED_VALUE"""),"Black seats")</f>
        <v>Black seats</v>
      </c>
      <c r="R2880" s="170" t="str">
        <f>IFERROR(__xludf.DUMMYFUNCTION("""COMPUTED_VALUE"""),"None")</f>
        <v>None</v>
      </c>
      <c r="S2880" s="170"/>
      <c r="T2880" s="179"/>
      <c r="U2880" s="179"/>
      <c r="V2880" s="179"/>
      <c r="W2880" s="180"/>
      <c r="X2880" s="181" t="str">
        <f>IFERROR(__xludf.DUMMYFUNCTION("""COMPUTED_VALUE"""),"Excellent")</f>
        <v>Excellent</v>
      </c>
      <c r="Y2880" s="182" t="str">
        <f>IFERROR(__xludf.DUMMYFUNCTION("""COMPUTED_VALUE"""),"Excellent")</f>
        <v>Excellent</v>
      </c>
      <c r="Z2880" s="182" t="str">
        <f>IFERROR(__xludf.DUMMYFUNCTION("""COMPUTED_VALUE"""),"Excellent")</f>
        <v>Excellent</v>
      </c>
      <c r="AA2880" s="182" t="str">
        <f>IFERROR(__xludf.DUMMYFUNCTION("""COMPUTED_VALUE"""),"Very Good")</f>
        <v>Very Good</v>
      </c>
      <c r="AB2880" s="182" t="str">
        <f>IFERROR(__xludf.DUMMYFUNCTION("""COMPUTED_VALUE"""),"Very Good")</f>
        <v>Very Good</v>
      </c>
      <c r="AC2880" s="183">
        <f>IFERROR(__xludf.DUMMYFUNCTION("""COMPUTED_VALUE"""),1.0)</f>
        <v>1</v>
      </c>
      <c r="AD2880" s="183">
        <f>IFERROR(__xludf.DUMMYFUNCTION("""COMPUTED_VALUE"""),1.0)</f>
        <v>1</v>
      </c>
      <c r="AE2880" s="183">
        <f>IFERROR(__xludf.DUMMYFUNCTION("""COMPUTED_VALUE"""),0.0)</f>
        <v>0</v>
      </c>
      <c r="AF2880" s="184"/>
      <c r="AG2880" s="180" t="str">
        <f>IFERROR(__xludf.DUMMYFUNCTION("""COMPUTED_VALUE"""),"Left Blinker unpredictable turn off")</f>
        <v>Left Blinker unpredictable turn off</v>
      </c>
      <c r="AH2880" s="185">
        <f>IFERROR(__xludf.DUMMYFUNCTION("""COMPUTED_VALUE"""),43421.42163513889)</f>
        <v>43421.42164</v>
      </c>
      <c r="AI2880" s="182"/>
      <c r="AJ2880" s="182"/>
      <c r="AK2880" s="182"/>
      <c r="AL2880" s="182"/>
    </row>
    <row r="2881" ht="20.25" customHeight="1">
      <c r="A2881" s="169" t="str">
        <f>IFERROR(__xludf.DUMMYFUNCTION("""COMPUTED_VALUE"""),"bmfm124")</f>
        <v>bmfm124</v>
      </c>
      <c r="B2881" s="170" t="str">
        <f>IFERROR(__xludf.DUMMYFUNCTION("""COMPUTED_VALUE"""),"Los Angeles")</f>
        <v>Los Angeles</v>
      </c>
      <c r="C2881" s="170" t="str">
        <f>IFERROR(__xludf.DUMMYFUNCTION("""COMPUTED_VALUE"""),"CA")</f>
        <v>CA</v>
      </c>
      <c r="D2881" s="170" t="str">
        <f>IFERROR(__xludf.DUMMYFUNCTION("""COMPUTED_VALUE"""),"USA")</f>
        <v>USA</v>
      </c>
      <c r="E2881" s="171">
        <f>IFERROR(__xludf.DUMMYFUNCTION("""COMPUTED_VALUE"""),43279.0)</f>
        <v>43279</v>
      </c>
      <c r="F2881" s="172">
        <f>IFERROR(__xludf.DUMMYFUNCTION("""COMPUTED_VALUE"""),43350.0)</f>
        <v>43350</v>
      </c>
      <c r="G2881" s="173"/>
      <c r="H2881" s="174">
        <f>IFERROR(__xludf.DUMMYFUNCTION("""COMPUTED_VALUE"""),53912.0)</f>
        <v>53912</v>
      </c>
      <c r="I2881" s="175" t="str">
        <f>IFERROR(__xludf.DUMMYFUNCTION("""COMPUTED_VALUE"""),"07/18")</f>
        <v>07/18</v>
      </c>
      <c r="J2881" s="172">
        <f>IFERROR(__xludf.DUMMYFUNCTION("""COMPUTED_VALUE"""),43356.0)</f>
        <v>43356</v>
      </c>
      <c r="K2881" s="176">
        <f>IFERROR(__xludf.DUMMYFUNCTION("""COMPUTED_VALUE"""),71.0)</f>
        <v>71</v>
      </c>
      <c r="L2881" s="176">
        <f>IFERROR(__xludf.DUMMYFUNCTION("""COMPUTED_VALUE"""),6.0)</f>
        <v>6</v>
      </c>
      <c r="M2881" s="176">
        <f>IFERROR(__xludf.DUMMYFUNCTION("""COMPUTED_VALUE"""),77.0)</f>
        <v>77</v>
      </c>
      <c r="N2881" s="177" t="str">
        <f>IFERROR(__xludf.DUMMYFUNCTION("""COMPUTED_VALUE"""),"Model 3 LR")</f>
        <v>Model 3 LR</v>
      </c>
      <c r="O2881" s="177" t="str">
        <f>IFERROR(__xludf.DUMMYFUNCTION("""COMPUTED_VALUE"""),"Deep Blue Metallic")</f>
        <v>Deep Blue Metallic</v>
      </c>
      <c r="P2881" s="178" t="str">
        <f>IFERROR(__xludf.DUMMYFUNCTION("""COMPUTED_VALUE"""),"18 inch Aero")</f>
        <v>18 inch Aero</v>
      </c>
      <c r="Q2881" s="177" t="str">
        <f>IFERROR(__xludf.DUMMYFUNCTION("""COMPUTED_VALUE"""),"Black seats")</f>
        <v>Black seats</v>
      </c>
      <c r="R2881" s="170" t="str">
        <f>IFERROR(__xludf.DUMMYFUNCTION("""COMPUTED_VALUE"""),"Enhanced Autopilot")</f>
        <v>Enhanced Autopilot</v>
      </c>
      <c r="S2881" s="170"/>
      <c r="T2881" s="179"/>
      <c r="U2881" s="179"/>
      <c r="V2881" s="179"/>
      <c r="W2881" s="180"/>
      <c r="X2881" s="181" t="str">
        <f>IFERROR(__xludf.DUMMYFUNCTION("""COMPUTED_VALUE"""),"Very Good")</f>
        <v>Very Good</v>
      </c>
      <c r="Y2881" s="182" t="str">
        <f>IFERROR(__xludf.DUMMYFUNCTION("""COMPUTED_VALUE"""),"Excellent")</f>
        <v>Excellent</v>
      </c>
      <c r="Z2881" s="182" t="str">
        <f>IFERROR(__xludf.DUMMYFUNCTION("""COMPUTED_VALUE"""),"Excellent")</f>
        <v>Excellent</v>
      </c>
      <c r="AA2881" s="182" t="str">
        <f>IFERROR(__xludf.DUMMYFUNCTION("""COMPUTED_VALUE"""),"Good")</f>
        <v>Good</v>
      </c>
      <c r="AB2881" s="182" t="str">
        <f>IFERROR(__xludf.DUMMYFUNCTION("""COMPUTED_VALUE"""),"Excellent")</f>
        <v>Excellent</v>
      </c>
      <c r="AC2881" s="183">
        <f>IFERROR(__xludf.DUMMYFUNCTION("""COMPUTED_VALUE"""),1.0)</f>
        <v>1</v>
      </c>
      <c r="AD2881" s="183">
        <f>IFERROR(__xludf.DUMMYFUNCTION("""COMPUTED_VALUE"""),0.0)</f>
        <v>0</v>
      </c>
      <c r="AE2881" s="183">
        <f>IFERROR(__xludf.DUMMYFUNCTION("""COMPUTED_VALUE"""),0.0)</f>
        <v>0</v>
      </c>
      <c r="AF2881" s="184"/>
      <c r="AG2881" s="180" t="str">
        <f>IFERROR(__xludf.DUMMYFUNCTION("""COMPUTED_VALUE"""),"Panel on front driver's side wheel well is slightly misaligned. Have not yet taken it in to get fixed.")</f>
        <v>Panel on front driver's side wheel well is slightly misaligned. Have not yet taken it in to get fixed.</v>
      </c>
      <c r="AH2881" s="185">
        <f>IFERROR(__xludf.DUMMYFUNCTION("""COMPUTED_VALUE"""),43398.570937731485)</f>
        <v>43398.57094</v>
      </c>
      <c r="AI2881" s="182"/>
      <c r="AJ2881" s="182"/>
      <c r="AK2881" s="182"/>
      <c r="AL2881" s="182"/>
    </row>
    <row r="2882" ht="20.25" customHeight="1">
      <c r="A2882" s="169" t="str">
        <f>IFERROR(__xludf.DUMMYFUNCTION("""COMPUTED_VALUE"""),"bobb721")</f>
        <v>bobb721</v>
      </c>
      <c r="B2882" s="170" t="str">
        <f>IFERROR(__xludf.DUMMYFUNCTION("""COMPUTED_VALUE"""),"Fresno")</f>
        <v>Fresno</v>
      </c>
      <c r="C2882" s="170" t="str">
        <f>IFERROR(__xludf.DUMMYFUNCTION("""COMPUTED_VALUE"""),"CA")</f>
        <v>CA</v>
      </c>
      <c r="D2882" s="170" t="str">
        <f>IFERROR(__xludf.DUMMYFUNCTION("""COMPUTED_VALUE"""),"USA")</f>
        <v>USA</v>
      </c>
      <c r="E2882" s="171">
        <f>IFERROR(__xludf.DUMMYFUNCTION("""COMPUTED_VALUE"""),43279.0)</f>
        <v>43279</v>
      </c>
      <c r="F2882" s="172">
        <f>IFERROR(__xludf.DUMMYFUNCTION("""COMPUTED_VALUE"""),43360.0)</f>
        <v>43360</v>
      </c>
      <c r="G2882" s="173"/>
      <c r="H2882" s="174">
        <f>IFERROR(__xludf.DUMMYFUNCTION("""COMPUTED_VALUE"""),67555.0)</f>
        <v>67555</v>
      </c>
      <c r="I2882" s="175" t="str">
        <f>IFERROR(__xludf.DUMMYFUNCTION("""COMPUTED_VALUE"""),"09/18")</f>
        <v>09/18</v>
      </c>
      <c r="J2882" s="172">
        <f>IFERROR(__xludf.DUMMYFUNCTION("""COMPUTED_VALUE"""),43363.0)</f>
        <v>43363</v>
      </c>
      <c r="K2882" s="176">
        <f>IFERROR(__xludf.DUMMYFUNCTION("""COMPUTED_VALUE"""),81.0)</f>
        <v>81</v>
      </c>
      <c r="L2882" s="176">
        <f>IFERROR(__xludf.DUMMYFUNCTION("""COMPUTED_VALUE"""),3.0)</f>
        <v>3</v>
      </c>
      <c r="M2882" s="176">
        <f>IFERROR(__xludf.DUMMYFUNCTION("""COMPUTED_VALUE"""),84.0)</f>
        <v>84</v>
      </c>
      <c r="N2882" s="177" t="str">
        <f>IFERROR(__xludf.DUMMYFUNCTION("""COMPUTED_VALUE"""),"Model 3 LR AWD")</f>
        <v>Model 3 LR AWD</v>
      </c>
      <c r="O2882" s="177" t="str">
        <f>IFERROR(__xludf.DUMMYFUNCTION("""COMPUTED_VALUE"""),"Pearl White Multi-Coat")</f>
        <v>Pearl White Multi-Coat</v>
      </c>
      <c r="P2882" s="178" t="str">
        <f>IFERROR(__xludf.DUMMYFUNCTION("""COMPUTED_VALUE"""),"19 inch Sport")</f>
        <v>19 inch Sport</v>
      </c>
      <c r="Q2882" s="177" t="str">
        <f>IFERROR(__xludf.DUMMYFUNCTION("""COMPUTED_VALUE"""),"Black seats")</f>
        <v>Black seats</v>
      </c>
      <c r="R2882" s="170" t="str">
        <f>IFERROR(__xludf.DUMMYFUNCTION("""COMPUTED_VALUE"""),"Enhanced Autopilot")</f>
        <v>Enhanced Autopilot</v>
      </c>
      <c r="S2882" s="170"/>
      <c r="T2882" s="179"/>
      <c r="U2882" s="179"/>
      <c r="V2882" s="179"/>
      <c r="W2882" s="180"/>
      <c r="X2882" s="181" t="str">
        <f>IFERROR(__xludf.DUMMYFUNCTION("""COMPUTED_VALUE"""),"Excellent")</f>
        <v>Excellent</v>
      </c>
      <c r="Y2882" s="182" t="str">
        <f>IFERROR(__xludf.DUMMYFUNCTION("""COMPUTED_VALUE"""),"Excellent")</f>
        <v>Excellent</v>
      </c>
      <c r="Z2882" s="182" t="str">
        <f>IFERROR(__xludf.DUMMYFUNCTION("""COMPUTED_VALUE"""),"Excellent")</f>
        <v>Excellent</v>
      </c>
      <c r="AA2882" s="182" t="str">
        <f>IFERROR(__xludf.DUMMYFUNCTION("""COMPUTED_VALUE"""),"Excellent")</f>
        <v>Excellent</v>
      </c>
      <c r="AB2882" s="182" t="str">
        <f>IFERROR(__xludf.DUMMYFUNCTION("""COMPUTED_VALUE"""),"Very Good")</f>
        <v>Very Good</v>
      </c>
      <c r="AC2882" s="183">
        <f>IFERROR(__xludf.DUMMYFUNCTION("""COMPUTED_VALUE"""),0.0)</f>
        <v>0</v>
      </c>
      <c r="AD2882" s="183">
        <f>IFERROR(__xludf.DUMMYFUNCTION("""COMPUTED_VALUE"""),0.0)</f>
        <v>0</v>
      </c>
      <c r="AE2882" s="183">
        <f>IFERROR(__xludf.DUMMYFUNCTION("""COMPUTED_VALUE"""),0.0)</f>
        <v>0</v>
      </c>
      <c r="AF2882" s="184"/>
      <c r="AG2882" s="180"/>
      <c r="AH2882" s="185">
        <f>IFERROR(__xludf.DUMMYFUNCTION("""COMPUTED_VALUE"""),43364.400495625)</f>
        <v>43364.4005</v>
      </c>
      <c r="AI2882" s="182"/>
      <c r="AJ2882" s="182"/>
      <c r="AK2882" s="182"/>
      <c r="AL2882" s="182"/>
    </row>
    <row r="2883" ht="20.25" customHeight="1">
      <c r="A2883" s="169" t="str">
        <f>IFERROR(__xludf.DUMMYFUNCTION("""COMPUTED_VALUE"""),"BobZ")</f>
        <v>BobZ</v>
      </c>
      <c r="B2883" s="170" t="str">
        <f>IFERROR(__xludf.DUMMYFUNCTION("""COMPUTED_VALUE"""),"Portland")</f>
        <v>Portland</v>
      </c>
      <c r="C2883" s="170" t="str">
        <f>IFERROR(__xludf.DUMMYFUNCTION("""COMPUTED_VALUE"""),"OR")</f>
        <v>OR</v>
      </c>
      <c r="D2883" s="170" t="str">
        <f>IFERROR(__xludf.DUMMYFUNCTION("""COMPUTED_VALUE"""),"USA")</f>
        <v>USA</v>
      </c>
      <c r="E2883" s="171">
        <f>IFERROR(__xludf.DUMMYFUNCTION("""COMPUTED_VALUE"""),43279.0)</f>
        <v>43279</v>
      </c>
      <c r="F2883" s="172">
        <f>IFERROR(__xludf.DUMMYFUNCTION("""COMPUTED_VALUE"""),43367.0)</f>
        <v>43367</v>
      </c>
      <c r="G2883" s="173"/>
      <c r="H2883" s="174">
        <f>IFERROR(__xludf.DUMMYFUNCTION("""COMPUTED_VALUE"""),73455.0)</f>
        <v>73455</v>
      </c>
      <c r="I2883" s="175" t="str">
        <f>IFERROR(__xludf.DUMMYFUNCTION("""COMPUTED_VALUE"""),"09/18")</f>
        <v>09/18</v>
      </c>
      <c r="J2883" s="172">
        <f>IFERROR(__xludf.DUMMYFUNCTION("""COMPUTED_VALUE"""),43372.0)</f>
        <v>43372</v>
      </c>
      <c r="K2883" s="176">
        <f>IFERROR(__xludf.DUMMYFUNCTION("""COMPUTED_VALUE"""),88.0)</f>
        <v>88</v>
      </c>
      <c r="L2883" s="176">
        <f>IFERROR(__xludf.DUMMYFUNCTION("""COMPUTED_VALUE"""),5.0)</f>
        <v>5</v>
      </c>
      <c r="M2883" s="176">
        <f>IFERROR(__xludf.DUMMYFUNCTION("""COMPUTED_VALUE"""),93.0)</f>
        <v>93</v>
      </c>
      <c r="N2883" s="177" t="str">
        <f>IFERROR(__xludf.DUMMYFUNCTION("""COMPUTED_VALUE"""),"Model 3 LR AWD")</f>
        <v>Model 3 LR AWD</v>
      </c>
      <c r="O2883" s="177" t="str">
        <f>IFERROR(__xludf.DUMMYFUNCTION("""COMPUTED_VALUE"""),"Deep Blue Metallic")</f>
        <v>Deep Blue Metallic</v>
      </c>
      <c r="P2883" s="178" t="str">
        <f>IFERROR(__xludf.DUMMYFUNCTION("""COMPUTED_VALUE"""),"18 inch Aero")</f>
        <v>18 inch Aero</v>
      </c>
      <c r="Q2883" s="177" t="str">
        <f>IFERROR(__xludf.DUMMYFUNCTION("""COMPUTED_VALUE"""),"Black seats")</f>
        <v>Black seats</v>
      </c>
      <c r="R2883" s="170" t="str">
        <f>IFERROR(__xludf.DUMMYFUNCTION("""COMPUTED_VALUE"""),"None")</f>
        <v>None</v>
      </c>
      <c r="S2883" s="170"/>
      <c r="T2883" s="179"/>
      <c r="U2883" s="179"/>
      <c r="V2883" s="179"/>
      <c r="W2883" s="180"/>
      <c r="X2883" s="181" t="str">
        <f>IFERROR(__xludf.DUMMYFUNCTION("""COMPUTED_VALUE"""),"Fair")</f>
        <v>Fair</v>
      </c>
      <c r="Y2883" s="182" t="str">
        <f>IFERROR(__xludf.DUMMYFUNCTION("""COMPUTED_VALUE"""),"Excellent")</f>
        <v>Excellent</v>
      </c>
      <c r="Z2883" s="182" t="str">
        <f>IFERROR(__xludf.DUMMYFUNCTION("""COMPUTED_VALUE"""),"Excellent")</f>
        <v>Excellent</v>
      </c>
      <c r="AA2883" s="182" t="str">
        <f>IFERROR(__xludf.DUMMYFUNCTION("""COMPUTED_VALUE"""),"Poor")</f>
        <v>Poor</v>
      </c>
      <c r="AB2883" s="182" t="str">
        <f>IFERROR(__xludf.DUMMYFUNCTION("""COMPUTED_VALUE"""),"Fair")</f>
        <v>Fair</v>
      </c>
      <c r="AC2883" s="183">
        <f>IFERROR(__xludf.DUMMYFUNCTION("""COMPUTED_VALUE"""),1.0)</f>
        <v>1</v>
      </c>
      <c r="AD2883" s="183">
        <f>IFERROR(__xludf.DUMMYFUNCTION("""COMPUTED_VALUE"""),1.0)</f>
        <v>1</v>
      </c>
      <c r="AE2883" s="183">
        <f>IFERROR(__xludf.DUMMYFUNCTION("""COMPUTED_VALUE"""),0.0)</f>
        <v>0</v>
      </c>
      <c r="AF2883" s="184"/>
      <c r="AG2883" s="180"/>
      <c r="AH2883" s="185">
        <f>IFERROR(__xludf.DUMMYFUNCTION("""COMPUTED_VALUE"""),43374.63866331019)</f>
        <v>43374.63866</v>
      </c>
      <c r="AI2883" s="182"/>
      <c r="AJ2883" s="182"/>
      <c r="AK2883" s="182"/>
      <c r="AL2883" s="182"/>
    </row>
    <row r="2884" ht="20.25" customHeight="1">
      <c r="A2884" s="169" t="str">
        <f>IFERROR(__xludf.DUMMYFUNCTION("""COMPUTED_VALUE"""),"boiler81")</f>
        <v>boiler81</v>
      </c>
      <c r="B2884" s="170" t="str">
        <f>IFERROR(__xludf.DUMMYFUNCTION("""COMPUTED_VALUE"""),"Manson")</f>
        <v>Manson</v>
      </c>
      <c r="C2884" s="170" t="str">
        <f>IFERROR(__xludf.DUMMYFUNCTION("""COMPUTED_VALUE"""),"WA")</f>
        <v>WA</v>
      </c>
      <c r="D2884" s="170" t="str">
        <f>IFERROR(__xludf.DUMMYFUNCTION("""COMPUTED_VALUE"""),"USA")</f>
        <v>USA</v>
      </c>
      <c r="E2884" s="171">
        <f>IFERROR(__xludf.DUMMYFUNCTION("""COMPUTED_VALUE"""),43279.0)</f>
        <v>43279</v>
      </c>
      <c r="F2884" s="172">
        <f>IFERROR(__xludf.DUMMYFUNCTION("""COMPUTED_VALUE"""),43322.0)</f>
        <v>43322</v>
      </c>
      <c r="G2884" s="173"/>
      <c r="H2884" s="174">
        <f>IFERROR(__xludf.DUMMYFUNCTION("""COMPUTED_VALUE"""),56155.0)</f>
        <v>56155</v>
      </c>
      <c r="I2884" s="175" t="str">
        <f>IFERROR(__xludf.DUMMYFUNCTION("""COMPUTED_VALUE"""),"08/18")</f>
        <v>08/18</v>
      </c>
      <c r="J2884" s="172">
        <f>IFERROR(__xludf.DUMMYFUNCTION("""COMPUTED_VALUE"""),43332.0)</f>
        <v>43332</v>
      </c>
      <c r="K2884" s="176">
        <f>IFERROR(__xludf.DUMMYFUNCTION("""COMPUTED_VALUE"""),43.0)</f>
        <v>43</v>
      </c>
      <c r="L2884" s="176">
        <f>IFERROR(__xludf.DUMMYFUNCTION("""COMPUTED_VALUE"""),10.0)</f>
        <v>10</v>
      </c>
      <c r="M2884" s="176">
        <f>IFERROR(__xludf.DUMMYFUNCTION("""COMPUTED_VALUE"""),53.0)</f>
        <v>53</v>
      </c>
      <c r="N2884" s="177" t="str">
        <f>IFERROR(__xludf.DUMMYFUNCTION("""COMPUTED_VALUE"""),"Model 3 LR AWD")</f>
        <v>Model 3 LR AWD</v>
      </c>
      <c r="O2884" s="177" t="str">
        <f>IFERROR(__xludf.DUMMYFUNCTION("""COMPUTED_VALUE"""),"Red Multi-Coat")</f>
        <v>Red Multi-Coat</v>
      </c>
      <c r="P2884" s="178" t="str">
        <f>IFERROR(__xludf.DUMMYFUNCTION("""COMPUTED_VALUE"""),"18 inch Aero")</f>
        <v>18 inch Aero</v>
      </c>
      <c r="Q2884" s="177" t="str">
        <f>IFERROR(__xludf.DUMMYFUNCTION("""COMPUTED_VALUE"""),"White seats")</f>
        <v>White seats</v>
      </c>
      <c r="R2884" s="170" t="str">
        <f>IFERROR(__xludf.DUMMYFUNCTION("""COMPUTED_VALUE"""),"Enhanced Autopilot")</f>
        <v>Enhanced Autopilot</v>
      </c>
      <c r="S2884" s="170"/>
      <c r="T2884" s="179"/>
      <c r="U2884" s="179"/>
      <c r="V2884" s="179"/>
      <c r="W2884" s="180"/>
      <c r="X2884" s="181" t="str">
        <f>IFERROR(__xludf.DUMMYFUNCTION("""COMPUTED_VALUE"""),"Very Good")</f>
        <v>Very Good</v>
      </c>
      <c r="Y2884" s="182" t="str">
        <f>IFERROR(__xludf.DUMMYFUNCTION("""COMPUTED_VALUE"""),"Excellent")</f>
        <v>Excellent</v>
      </c>
      <c r="Z2884" s="182" t="str">
        <f>IFERROR(__xludf.DUMMYFUNCTION("""COMPUTED_VALUE"""),"Good")</f>
        <v>Good</v>
      </c>
      <c r="AA2884" s="182" t="str">
        <f>IFERROR(__xludf.DUMMYFUNCTION("""COMPUTED_VALUE"""),"Very Good")</f>
        <v>Very Good</v>
      </c>
      <c r="AB2884" s="182" t="str">
        <f>IFERROR(__xludf.DUMMYFUNCTION("""COMPUTED_VALUE"""),"Excellent")</f>
        <v>Excellent</v>
      </c>
      <c r="AC2884" s="183"/>
      <c r="AD2884" s="183"/>
      <c r="AE2884" s="183"/>
      <c r="AF2884" s="184"/>
      <c r="AG2884" s="180"/>
      <c r="AH2884" s="185">
        <f>IFERROR(__xludf.DUMMYFUNCTION("""COMPUTED_VALUE"""),43333.39058525463)</f>
        <v>43333.39059</v>
      </c>
      <c r="AI2884" s="182"/>
      <c r="AJ2884" s="182"/>
      <c r="AK2884" s="182"/>
      <c r="AL2884" s="182"/>
    </row>
    <row r="2885" ht="20.25" customHeight="1">
      <c r="A2885" s="169" t="str">
        <f>IFERROR(__xludf.DUMMYFUNCTION("""COMPUTED_VALUE"""),"Bpiddy")</f>
        <v>Bpiddy</v>
      </c>
      <c r="B2885" s="170" t="str">
        <f>IFERROR(__xludf.DUMMYFUNCTION("""COMPUTED_VALUE"""),"La Crescent")</f>
        <v>La Crescent</v>
      </c>
      <c r="C2885" s="170" t="str">
        <f>IFERROR(__xludf.DUMMYFUNCTION("""COMPUTED_VALUE"""),"MN")</f>
        <v>MN</v>
      </c>
      <c r="D2885" s="170" t="str">
        <f>IFERROR(__xludf.DUMMYFUNCTION("""COMPUTED_VALUE"""),"USA")</f>
        <v>USA</v>
      </c>
      <c r="E2885" s="171">
        <f>IFERROR(__xludf.DUMMYFUNCTION("""COMPUTED_VALUE"""),43279.0)</f>
        <v>43279</v>
      </c>
      <c r="F2885" s="172">
        <f>IFERROR(__xludf.DUMMYFUNCTION("""COMPUTED_VALUE"""),43355.0)</f>
        <v>43355</v>
      </c>
      <c r="G2885" s="173"/>
      <c r="H2885" s="174">
        <f>IFERROR(__xludf.DUMMYFUNCTION("""COMPUTED_VALUE"""),89055.0)</f>
        <v>89055</v>
      </c>
      <c r="I2885" s="175" t="str">
        <f>IFERROR(__xludf.DUMMYFUNCTION("""COMPUTED_VALUE"""),"09/18")</f>
        <v>09/18</v>
      </c>
      <c r="J2885" s="172">
        <f>IFERROR(__xludf.DUMMYFUNCTION("""COMPUTED_VALUE"""),43372.0)</f>
        <v>43372</v>
      </c>
      <c r="K2885" s="176">
        <f>IFERROR(__xludf.DUMMYFUNCTION("""COMPUTED_VALUE"""),76.0)</f>
        <v>76</v>
      </c>
      <c r="L2885" s="176">
        <f>IFERROR(__xludf.DUMMYFUNCTION("""COMPUTED_VALUE"""),17.0)</f>
        <v>17</v>
      </c>
      <c r="M2885" s="176">
        <f>IFERROR(__xludf.DUMMYFUNCTION("""COMPUTED_VALUE"""),93.0)</f>
        <v>93</v>
      </c>
      <c r="N2885" s="177" t="str">
        <f>IFERROR(__xludf.DUMMYFUNCTION("""COMPUTED_VALUE"""),"Model 3 LR AWD")</f>
        <v>Model 3 LR AWD</v>
      </c>
      <c r="O2885" s="177" t="str">
        <f>IFERROR(__xludf.DUMMYFUNCTION("""COMPUTED_VALUE"""),"Pearl White Multi-Coat")</f>
        <v>Pearl White Multi-Coat</v>
      </c>
      <c r="P2885" s="178" t="str">
        <f>IFERROR(__xludf.DUMMYFUNCTION("""COMPUTED_VALUE"""),"18 inch Aero")</f>
        <v>18 inch Aero</v>
      </c>
      <c r="Q2885" s="177" t="str">
        <f>IFERROR(__xludf.DUMMYFUNCTION("""COMPUTED_VALUE"""),"Black seats")</f>
        <v>Black seats</v>
      </c>
      <c r="R2885" s="170" t="str">
        <f>IFERROR(__xludf.DUMMYFUNCTION("""COMPUTED_VALUE"""),"Full Self-Driving")</f>
        <v>Full Self-Driving</v>
      </c>
      <c r="S2885" s="170"/>
      <c r="T2885" s="179"/>
      <c r="U2885" s="179"/>
      <c r="V2885" s="179"/>
      <c r="W2885" s="180"/>
      <c r="X2885" s="181" t="str">
        <f>IFERROR(__xludf.DUMMYFUNCTION("""COMPUTED_VALUE"""),"Excellent")</f>
        <v>Excellent</v>
      </c>
      <c r="Y2885" s="182" t="str">
        <f>IFERROR(__xludf.DUMMYFUNCTION("""COMPUTED_VALUE"""),"Excellent")</f>
        <v>Excellent</v>
      </c>
      <c r="Z2885" s="182" t="str">
        <f>IFERROR(__xludf.DUMMYFUNCTION("""COMPUTED_VALUE"""),"Excellent")</f>
        <v>Excellent</v>
      </c>
      <c r="AA2885" s="182" t="str">
        <f>IFERROR(__xludf.DUMMYFUNCTION("""COMPUTED_VALUE"""),"Fair")</f>
        <v>Fair</v>
      </c>
      <c r="AB2885" s="182" t="str">
        <f>IFERROR(__xludf.DUMMYFUNCTION("""COMPUTED_VALUE"""),"Very Good")</f>
        <v>Very Good</v>
      </c>
      <c r="AC2885" s="183">
        <f>IFERROR(__xludf.DUMMYFUNCTION("""COMPUTED_VALUE"""),0.0)</f>
        <v>0</v>
      </c>
      <c r="AD2885" s="183"/>
      <c r="AE2885" s="183"/>
      <c r="AF2885" s="184"/>
      <c r="AG2885" s="180"/>
      <c r="AH2885" s="185">
        <f>IFERROR(__xludf.DUMMYFUNCTION("""COMPUTED_VALUE"""),43375.74015894676)</f>
        <v>43375.74016</v>
      </c>
      <c r="AI2885" s="182"/>
      <c r="AJ2885" s="182"/>
      <c r="AK2885" s="182"/>
      <c r="AL2885" s="182"/>
    </row>
    <row r="2886" ht="20.25" customHeight="1">
      <c r="A2886" s="169" t="str">
        <f>IFERROR(__xludf.DUMMYFUNCTION("""COMPUTED_VALUE"""),"bwrpeters")</f>
        <v>bwrpeters</v>
      </c>
      <c r="B2886" s="170" t="str">
        <f>IFERROR(__xludf.DUMMYFUNCTION("""COMPUTED_VALUE"""),"Charlottesville")</f>
        <v>Charlottesville</v>
      </c>
      <c r="C2886" s="170" t="str">
        <f>IFERROR(__xludf.DUMMYFUNCTION("""COMPUTED_VALUE"""),"VA")</f>
        <v>VA</v>
      </c>
      <c r="D2886" s="170" t="str">
        <f>IFERROR(__xludf.DUMMYFUNCTION("""COMPUTED_VALUE"""),"USA")</f>
        <v>USA</v>
      </c>
      <c r="E2886" s="171">
        <f>IFERROR(__xludf.DUMMYFUNCTION("""COMPUTED_VALUE"""),43279.0)</f>
        <v>43279</v>
      </c>
      <c r="F2886" s="172">
        <f>IFERROR(__xludf.DUMMYFUNCTION("""COMPUTED_VALUE"""),43333.0)</f>
        <v>43333</v>
      </c>
      <c r="G2886" s="173"/>
      <c r="H2886" s="174">
        <f>IFERROR(__xludf.DUMMYFUNCTION("""COMPUTED_VALUE"""),69155.0)</f>
        <v>69155</v>
      </c>
      <c r="I2886" s="175"/>
      <c r="J2886" s="172">
        <f>IFERROR(__xludf.DUMMYFUNCTION("""COMPUTED_VALUE"""),43360.0)</f>
        <v>43360</v>
      </c>
      <c r="K2886" s="176">
        <f>IFERROR(__xludf.DUMMYFUNCTION("""COMPUTED_VALUE"""),54.0)</f>
        <v>54</v>
      </c>
      <c r="L2886" s="176">
        <f>IFERROR(__xludf.DUMMYFUNCTION("""COMPUTED_VALUE"""),27.0)</f>
        <v>27</v>
      </c>
      <c r="M2886" s="176">
        <f>IFERROR(__xludf.DUMMYFUNCTION("""COMPUTED_VALUE"""),81.0)</f>
        <v>81</v>
      </c>
      <c r="N2886" s="177" t="str">
        <f>IFERROR(__xludf.DUMMYFUNCTION("""COMPUTED_VALUE"""),"Model 3 LR AWD")</f>
        <v>Model 3 LR AWD</v>
      </c>
      <c r="O2886" s="177" t="str">
        <f>IFERROR(__xludf.DUMMYFUNCTION("""COMPUTED_VALUE"""),"Midnight Silver Metallic")</f>
        <v>Midnight Silver Metallic</v>
      </c>
      <c r="P2886" s="178" t="str">
        <f>IFERROR(__xludf.DUMMYFUNCTION("""COMPUTED_VALUE"""),"19 inch Sport")</f>
        <v>19 inch Sport</v>
      </c>
      <c r="Q2886" s="177" t="str">
        <f>IFERROR(__xludf.DUMMYFUNCTION("""COMPUTED_VALUE"""),"Black seats")</f>
        <v>Black seats</v>
      </c>
      <c r="R2886" s="170" t="str">
        <f>IFERROR(__xludf.DUMMYFUNCTION("""COMPUTED_VALUE"""),"Full Self-Driving")</f>
        <v>Full Self-Driving</v>
      </c>
      <c r="S2886" s="170"/>
      <c r="T2886" s="179"/>
      <c r="U2886" s="179"/>
      <c r="V2886" s="179"/>
      <c r="W2886" s="180"/>
      <c r="X2886" s="181"/>
      <c r="Y2886" s="182"/>
      <c r="Z2886" s="182"/>
      <c r="AA2886" s="182" t="str">
        <f>IFERROR(__xludf.DUMMYFUNCTION("""COMPUTED_VALUE"""),"Good")</f>
        <v>Good</v>
      </c>
      <c r="AB2886" s="182"/>
      <c r="AC2886" s="183"/>
      <c r="AD2886" s="183"/>
      <c r="AE2886" s="183"/>
      <c r="AF2886" s="184"/>
      <c r="AG2886" s="180"/>
      <c r="AH2886" s="185">
        <f>IFERROR(__xludf.DUMMYFUNCTION("""COMPUTED_VALUE"""),43333.81409804398)</f>
        <v>43333.8141</v>
      </c>
      <c r="AI2886" s="182"/>
      <c r="AJ2886" s="182"/>
      <c r="AK2886" s="182"/>
      <c r="AL2886" s="182"/>
    </row>
    <row r="2887" ht="20.25" customHeight="1">
      <c r="A2887" s="169" t="str">
        <f>IFERROR(__xludf.DUMMYFUNCTION("""COMPUTED_VALUE"""),"cafutter")</f>
        <v>cafutter</v>
      </c>
      <c r="B2887" s="170" t="str">
        <f>IFERROR(__xludf.DUMMYFUNCTION("""COMPUTED_VALUE"""),"Bethesda")</f>
        <v>Bethesda</v>
      </c>
      <c r="C2887" s="170" t="str">
        <f>IFERROR(__xludf.DUMMYFUNCTION("""COMPUTED_VALUE"""),"MD")</f>
        <v>MD</v>
      </c>
      <c r="D2887" s="170" t="str">
        <f>IFERROR(__xludf.DUMMYFUNCTION("""COMPUTED_VALUE"""),"USA")</f>
        <v>USA</v>
      </c>
      <c r="E2887" s="171">
        <f>IFERROR(__xludf.DUMMYFUNCTION("""COMPUTED_VALUE"""),43279.0)</f>
        <v>43279</v>
      </c>
      <c r="F2887" s="172">
        <f>IFERROR(__xludf.DUMMYFUNCTION("""COMPUTED_VALUE"""),43358.0)</f>
        <v>43358</v>
      </c>
      <c r="G2887" s="173"/>
      <c r="H2887" s="174">
        <f>IFERROR(__xludf.DUMMYFUNCTION("""COMPUTED_VALUE"""),117143.0)</f>
        <v>117143</v>
      </c>
      <c r="I2887" s="175" t="str">
        <f>IFERROR(__xludf.DUMMYFUNCTION("""COMPUTED_VALUE"""),"08/18")</f>
        <v>08/18</v>
      </c>
      <c r="J2887" s="172">
        <f>IFERROR(__xludf.DUMMYFUNCTION("""COMPUTED_VALUE"""),43398.0)</f>
        <v>43398</v>
      </c>
      <c r="K2887" s="176">
        <f>IFERROR(__xludf.DUMMYFUNCTION("""COMPUTED_VALUE"""),79.0)</f>
        <v>79</v>
      </c>
      <c r="L2887" s="176">
        <f>IFERROR(__xludf.DUMMYFUNCTION("""COMPUTED_VALUE"""),40.0)</f>
        <v>40</v>
      </c>
      <c r="M2887" s="176">
        <f>IFERROR(__xludf.DUMMYFUNCTION("""COMPUTED_VALUE"""),119.0)</f>
        <v>119</v>
      </c>
      <c r="N2887" s="177" t="str">
        <f>IFERROR(__xludf.DUMMYFUNCTION("""COMPUTED_VALUE"""),"Model 3 LR AWD")</f>
        <v>Model 3 LR AWD</v>
      </c>
      <c r="O2887" s="177" t="str">
        <f>IFERROR(__xludf.DUMMYFUNCTION("""COMPUTED_VALUE"""),"Red Multi-Coat")</f>
        <v>Red Multi-Coat</v>
      </c>
      <c r="P2887" s="178" t="str">
        <f>IFERROR(__xludf.DUMMYFUNCTION("""COMPUTED_VALUE"""),"19 inch Sport")</f>
        <v>19 inch Sport</v>
      </c>
      <c r="Q2887" s="177" t="str">
        <f>IFERROR(__xludf.DUMMYFUNCTION("""COMPUTED_VALUE"""),"Black seats")</f>
        <v>Black seats</v>
      </c>
      <c r="R2887" s="170" t="str">
        <f>IFERROR(__xludf.DUMMYFUNCTION("""COMPUTED_VALUE"""),"Enhanced Autopilot")</f>
        <v>Enhanced Autopilot</v>
      </c>
      <c r="S2887" s="170"/>
      <c r="T2887" s="179"/>
      <c r="U2887" s="179"/>
      <c r="V2887" s="179"/>
      <c r="W2887" s="180"/>
      <c r="X2887" s="181" t="str">
        <f>IFERROR(__xludf.DUMMYFUNCTION("""COMPUTED_VALUE"""),"Excellent")</f>
        <v>Excellent</v>
      </c>
      <c r="Y2887" s="182" t="str">
        <f>IFERROR(__xludf.DUMMYFUNCTION("""COMPUTED_VALUE"""),"Excellent")</f>
        <v>Excellent</v>
      </c>
      <c r="Z2887" s="182" t="str">
        <f>IFERROR(__xludf.DUMMYFUNCTION("""COMPUTED_VALUE"""),"Excellent")</f>
        <v>Excellent</v>
      </c>
      <c r="AA2887" s="182" t="str">
        <f>IFERROR(__xludf.DUMMYFUNCTION("""COMPUTED_VALUE"""),"Fair")</f>
        <v>Fair</v>
      </c>
      <c r="AB2887" s="182" t="str">
        <f>IFERROR(__xludf.DUMMYFUNCTION("""COMPUTED_VALUE"""),"Good")</f>
        <v>Good</v>
      </c>
      <c r="AC2887" s="183">
        <f>IFERROR(__xludf.DUMMYFUNCTION("""COMPUTED_VALUE"""),1.0)</f>
        <v>1</v>
      </c>
      <c r="AD2887" s="183">
        <f>IFERROR(__xludf.DUMMYFUNCTION("""COMPUTED_VALUE"""),1.0)</f>
        <v>1</v>
      </c>
      <c r="AE2887" s="183">
        <f>IFERROR(__xludf.DUMMYFUNCTION("""COMPUTED_VALUE"""),0.0)</f>
        <v>0</v>
      </c>
      <c r="AF2887" s="184"/>
      <c r="AG2887" s="180" t="str">
        <f>IFERROR(__xludf.DUMMYFUNCTION("""COMPUTED_VALUE"""),"Still not resolved cell phone and transfer of contacts issue.")</f>
        <v>Still not resolved cell phone and transfer of contacts issue.</v>
      </c>
      <c r="AH2887" s="185">
        <f>IFERROR(__xludf.DUMMYFUNCTION("""COMPUTED_VALUE"""),43489.35951071759)</f>
        <v>43489.35951</v>
      </c>
      <c r="AI2887" s="182"/>
      <c r="AJ2887" s="182"/>
      <c r="AK2887" s="182"/>
      <c r="AL2887" s="182"/>
    </row>
    <row r="2888" ht="20.25" customHeight="1">
      <c r="A2888" s="169" t="str">
        <f>IFERROR(__xludf.DUMMYFUNCTION("""COMPUTED_VALUE"""),"captain")</f>
        <v>captain</v>
      </c>
      <c r="B2888" s="170" t="str">
        <f>IFERROR(__xludf.DUMMYFUNCTION("""COMPUTED_VALUE"""),"Pasadena")</f>
        <v>Pasadena</v>
      </c>
      <c r="C2888" s="170" t="str">
        <f>IFERROR(__xludf.DUMMYFUNCTION("""COMPUTED_VALUE"""),"CA")</f>
        <v>CA</v>
      </c>
      <c r="D2888" s="170" t="str">
        <f>IFERROR(__xludf.DUMMYFUNCTION("""COMPUTED_VALUE"""),"USA")</f>
        <v>USA</v>
      </c>
      <c r="E2888" s="171">
        <f>IFERROR(__xludf.DUMMYFUNCTION("""COMPUTED_VALUE"""),43279.0)</f>
        <v>43279</v>
      </c>
      <c r="F2888" s="172">
        <f>IFERROR(__xludf.DUMMYFUNCTION("""COMPUTED_VALUE"""),43294.0)</f>
        <v>43294</v>
      </c>
      <c r="G2888" s="173"/>
      <c r="H2888" s="174">
        <f>IFERROR(__xludf.DUMMYFUNCTION("""COMPUTED_VALUE"""),39655.0)</f>
        <v>39655</v>
      </c>
      <c r="I2888" s="175"/>
      <c r="J2888" s="172">
        <f>IFERROR(__xludf.DUMMYFUNCTION("""COMPUTED_VALUE"""),43308.0)</f>
        <v>43308</v>
      </c>
      <c r="K2888" s="176">
        <f>IFERROR(__xludf.DUMMYFUNCTION("""COMPUTED_VALUE"""),15.0)</f>
        <v>15</v>
      </c>
      <c r="L2888" s="176">
        <f>IFERROR(__xludf.DUMMYFUNCTION("""COMPUTED_VALUE"""),14.0)</f>
        <v>14</v>
      </c>
      <c r="M2888" s="176">
        <f>IFERROR(__xludf.DUMMYFUNCTION("""COMPUTED_VALUE"""),29.0)</f>
        <v>29</v>
      </c>
      <c r="N2888" s="177" t="str">
        <f>IFERROR(__xludf.DUMMYFUNCTION("""COMPUTED_VALUE"""),"Model 3 LR")</f>
        <v>Model 3 LR</v>
      </c>
      <c r="O2888" s="177" t="str">
        <f>IFERROR(__xludf.DUMMYFUNCTION("""COMPUTED_VALUE"""),"Solid Black")</f>
        <v>Solid Black</v>
      </c>
      <c r="P2888" s="178" t="str">
        <f>IFERROR(__xludf.DUMMYFUNCTION("""COMPUTED_VALUE"""),"18 inch Aero")</f>
        <v>18 inch Aero</v>
      </c>
      <c r="Q2888" s="177" t="str">
        <f>IFERROR(__xludf.DUMMYFUNCTION("""COMPUTED_VALUE"""),"Black seats")</f>
        <v>Black seats</v>
      </c>
      <c r="R2888" s="170" t="str">
        <f>IFERROR(__xludf.DUMMYFUNCTION("""COMPUTED_VALUE"""),"None")</f>
        <v>None</v>
      </c>
      <c r="S2888" s="170"/>
      <c r="T2888" s="179"/>
      <c r="U2888" s="179"/>
      <c r="V2888" s="179"/>
      <c r="W2888" s="180"/>
      <c r="X2888" s="181" t="str">
        <f>IFERROR(__xludf.DUMMYFUNCTION("""COMPUTED_VALUE"""),"Good")</f>
        <v>Good</v>
      </c>
      <c r="Y2888" s="182" t="str">
        <f>IFERROR(__xludf.DUMMYFUNCTION("""COMPUTED_VALUE"""),"Excellent")</f>
        <v>Excellent</v>
      </c>
      <c r="Z2888" s="182" t="str">
        <f>IFERROR(__xludf.DUMMYFUNCTION("""COMPUTED_VALUE"""),"Excellent")</f>
        <v>Excellent</v>
      </c>
      <c r="AA2888" s="182" t="str">
        <f>IFERROR(__xludf.DUMMYFUNCTION("""COMPUTED_VALUE"""),"Good")</f>
        <v>Good</v>
      </c>
      <c r="AB2888" s="182" t="str">
        <f>IFERROR(__xludf.DUMMYFUNCTION("""COMPUTED_VALUE"""),"Excellent")</f>
        <v>Excellent</v>
      </c>
      <c r="AC2888" s="183">
        <f>IFERROR(__xludf.DUMMYFUNCTION("""COMPUTED_VALUE"""),0.0)</f>
        <v>0</v>
      </c>
      <c r="AD2888" s="183">
        <f>IFERROR(__xludf.DUMMYFUNCTION("""COMPUTED_VALUE"""),0.0)</f>
        <v>0</v>
      </c>
      <c r="AE2888" s="183">
        <f>IFERROR(__xludf.DUMMYFUNCTION("""COMPUTED_VALUE"""),0.0)</f>
        <v>0</v>
      </c>
      <c r="AF2888" s="184"/>
      <c r="AG2888" s="180"/>
      <c r="AH2888" s="185">
        <f>IFERROR(__xludf.DUMMYFUNCTION("""COMPUTED_VALUE"""),43335.99428341435)</f>
        <v>43335.99428</v>
      </c>
      <c r="AI2888" s="182"/>
      <c r="AJ2888" s="182"/>
      <c r="AK2888" s="182"/>
      <c r="AL2888" s="182"/>
    </row>
    <row r="2889" ht="20.25" customHeight="1">
      <c r="A2889" s="169" t="str">
        <f>IFERROR(__xludf.DUMMYFUNCTION("""COMPUTED_VALUE"""),"CaptainNasty")</f>
        <v>CaptainNasty</v>
      </c>
      <c r="B2889" s="170" t="str">
        <f>IFERROR(__xludf.DUMMYFUNCTION("""COMPUTED_VALUE"""),"Beaverton")</f>
        <v>Beaverton</v>
      </c>
      <c r="C2889" s="170" t="str">
        <f>IFERROR(__xludf.DUMMYFUNCTION("""COMPUTED_VALUE"""),"OR")</f>
        <v>OR</v>
      </c>
      <c r="D2889" s="170" t="str">
        <f>IFERROR(__xludf.DUMMYFUNCTION("""COMPUTED_VALUE"""),"USA")</f>
        <v>USA</v>
      </c>
      <c r="E2889" s="171">
        <f>IFERROR(__xludf.DUMMYFUNCTION("""COMPUTED_VALUE"""),43279.0)</f>
        <v>43279</v>
      </c>
      <c r="F2889" s="172">
        <f>IFERROR(__xludf.DUMMYFUNCTION("""COMPUTED_VALUE"""),43363.0)</f>
        <v>43363</v>
      </c>
      <c r="G2889" s="173"/>
      <c r="H2889" s="174">
        <f>IFERROR(__xludf.DUMMYFUNCTION("""COMPUTED_VALUE"""),91855.0)</f>
        <v>91855</v>
      </c>
      <c r="I2889" s="175" t="str">
        <f>IFERROR(__xludf.DUMMYFUNCTION("""COMPUTED_VALUE"""),"09/18")</f>
        <v>09/18</v>
      </c>
      <c r="J2889" s="172">
        <f>IFERROR(__xludf.DUMMYFUNCTION("""COMPUTED_VALUE"""),43368.0)</f>
        <v>43368</v>
      </c>
      <c r="K2889" s="176">
        <f>IFERROR(__xludf.DUMMYFUNCTION("""COMPUTED_VALUE"""),84.0)</f>
        <v>84</v>
      </c>
      <c r="L2889" s="176">
        <f>IFERROR(__xludf.DUMMYFUNCTION("""COMPUTED_VALUE"""),5.0)</f>
        <v>5</v>
      </c>
      <c r="M2889" s="176">
        <f>IFERROR(__xludf.DUMMYFUNCTION("""COMPUTED_VALUE"""),89.0)</f>
        <v>89</v>
      </c>
      <c r="N2889" s="177" t="str">
        <f>IFERROR(__xludf.DUMMYFUNCTION("""COMPUTED_VALUE"""),"Model 3 LR AWD")</f>
        <v>Model 3 LR AWD</v>
      </c>
      <c r="O2889" s="177" t="str">
        <f>IFERROR(__xludf.DUMMYFUNCTION("""COMPUTED_VALUE"""),"Deep Blue Metallic")</f>
        <v>Deep Blue Metallic</v>
      </c>
      <c r="P2889" s="178" t="str">
        <f>IFERROR(__xludf.DUMMYFUNCTION("""COMPUTED_VALUE"""),"19 inch Sport")</f>
        <v>19 inch Sport</v>
      </c>
      <c r="Q2889" s="177" t="str">
        <f>IFERROR(__xludf.DUMMYFUNCTION("""COMPUTED_VALUE"""),"Black seats")</f>
        <v>Black seats</v>
      </c>
      <c r="R2889" s="170" t="str">
        <f>IFERROR(__xludf.DUMMYFUNCTION("""COMPUTED_VALUE"""),"Full Self-Driving")</f>
        <v>Full Self-Driving</v>
      </c>
      <c r="S2889" s="170"/>
      <c r="T2889" s="179"/>
      <c r="U2889" s="179"/>
      <c r="V2889" s="179"/>
      <c r="W2889" s="180"/>
      <c r="X2889" s="181" t="str">
        <f>IFERROR(__xludf.DUMMYFUNCTION("""COMPUTED_VALUE"""),"Very Good")</f>
        <v>Very Good</v>
      </c>
      <c r="Y2889" s="182" t="str">
        <f>IFERROR(__xludf.DUMMYFUNCTION("""COMPUTED_VALUE"""),"Very Good")</f>
        <v>Very Good</v>
      </c>
      <c r="Z2889" s="182" t="str">
        <f>IFERROR(__xludf.DUMMYFUNCTION("""COMPUTED_VALUE"""),"Very Good")</f>
        <v>Very Good</v>
      </c>
      <c r="AA2889" s="182" t="str">
        <f>IFERROR(__xludf.DUMMYFUNCTION("""COMPUTED_VALUE"""),"Fair")</f>
        <v>Fair</v>
      </c>
      <c r="AB2889" s="182" t="str">
        <f>IFERROR(__xludf.DUMMYFUNCTION("""COMPUTED_VALUE"""),"Fair")</f>
        <v>Fair</v>
      </c>
      <c r="AC2889" s="183"/>
      <c r="AD2889" s="183"/>
      <c r="AE2889" s="183"/>
      <c r="AF2889" s="184"/>
      <c r="AG2889" s="180"/>
      <c r="AH2889" s="185">
        <f>IFERROR(__xludf.DUMMYFUNCTION("""COMPUTED_VALUE"""),43374.63406837963)</f>
        <v>43374.63407</v>
      </c>
      <c r="AI2889" s="182"/>
      <c r="AJ2889" s="182"/>
      <c r="AK2889" s="182"/>
      <c r="AL2889" s="182"/>
    </row>
    <row r="2890" ht="20.25" customHeight="1">
      <c r="A2890" s="169" t="str">
        <f>IFERROR(__xludf.DUMMYFUNCTION("""COMPUTED_VALUE"""),"ceekz")</f>
        <v>ceekz</v>
      </c>
      <c r="B2890" s="170" t="str">
        <f>IFERROR(__xludf.DUMMYFUNCTION("""COMPUTED_VALUE"""),"Sacramento")</f>
        <v>Sacramento</v>
      </c>
      <c r="C2890" s="170" t="str">
        <f>IFERROR(__xludf.DUMMYFUNCTION("""COMPUTED_VALUE"""),"CA")</f>
        <v>CA</v>
      </c>
      <c r="D2890" s="170" t="str">
        <f>IFERROR(__xludf.DUMMYFUNCTION("""COMPUTED_VALUE"""),"USA")</f>
        <v>USA</v>
      </c>
      <c r="E2890" s="171">
        <f>IFERROR(__xludf.DUMMYFUNCTION("""COMPUTED_VALUE"""),43279.0)</f>
        <v>43279</v>
      </c>
      <c r="F2890" s="172">
        <f>IFERROR(__xludf.DUMMYFUNCTION("""COMPUTED_VALUE"""),43373.0)</f>
        <v>43373</v>
      </c>
      <c r="G2890" s="173"/>
      <c r="H2890" s="174">
        <f>IFERROR(__xludf.DUMMYFUNCTION("""COMPUTED_VALUE"""),93455.0)</f>
        <v>93455</v>
      </c>
      <c r="I2890" s="175" t="str">
        <f>IFERROR(__xludf.DUMMYFUNCTION("""COMPUTED_VALUE"""),"09/18")</f>
        <v>09/18</v>
      </c>
      <c r="J2890" s="172">
        <f>IFERROR(__xludf.DUMMYFUNCTION("""COMPUTED_VALUE"""),43373.0)</f>
        <v>43373</v>
      </c>
      <c r="K2890" s="176">
        <f>IFERROR(__xludf.DUMMYFUNCTION("""COMPUTED_VALUE"""),94.0)</f>
        <v>94</v>
      </c>
      <c r="L2890" s="176">
        <f>IFERROR(__xludf.DUMMYFUNCTION("""COMPUTED_VALUE"""),0.0)</f>
        <v>0</v>
      </c>
      <c r="M2890" s="176">
        <f>IFERROR(__xludf.DUMMYFUNCTION("""COMPUTED_VALUE"""),94.0)</f>
        <v>94</v>
      </c>
      <c r="N2890" s="177" t="str">
        <f>IFERROR(__xludf.DUMMYFUNCTION("""COMPUTED_VALUE"""),"Model 3 LR AWD")</f>
        <v>Model 3 LR AWD</v>
      </c>
      <c r="O2890" s="177" t="str">
        <f>IFERROR(__xludf.DUMMYFUNCTION("""COMPUTED_VALUE"""),"Red Multi-Coat")</f>
        <v>Red Multi-Coat</v>
      </c>
      <c r="P2890" s="178" t="str">
        <f>IFERROR(__xludf.DUMMYFUNCTION("""COMPUTED_VALUE"""),"19 inch Sport")</f>
        <v>19 inch Sport</v>
      </c>
      <c r="Q2890" s="177" t="str">
        <f>IFERROR(__xludf.DUMMYFUNCTION("""COMPUTED_VALUE"""),"Black seats")</f>
        <v>Black seats</v>
      </c>
      <c r="R2890" s="170" t="str">
        <f>IFERROR(__xludf.DUMMYFUNCTION("""COMPUTED_VALUE"""),"Full Self-Driving")</f>
        <v>Full Self-Driving</v>
      </c>
      <c r="S2890" s="170"/>
      <c r="T2890" s="179"/>
      <c r="U2890" s="179"/>
      <c r="V2890" s="179"/>
      <c r="W2890" s="180"/>
      <c r="X2890" s="181" t="str">
        <f>IFERROR(__xludf.DUMMYFUNCTION("""COMPUTED_VALUE"""),"Excellent")</f>
        <v>Excellent</v>
      </c>
      <c r="Y2890" s="182" t="str">
        <f>IFERROR(__xludf.DUMMYFUNCTION("""COMPUTED_VALUE"""),"Excellent")</f>
        <v>Excellent</v>
      </c>
      <c r="Z2890" s="182"/>
      <c r="AA2890" s="182" t="str">
        <f>IFERROR(__xludf.DUMMYFUNCTION("""COMPUTED_VALUE"""),"Poor")</f>
        <v>Poor</v>
      </c>
      <c r="AB2890" s="182" t="str">
        <f>IFERROR(__xludf.DUMMYFUNCTION("""COMPUTED_VALUE"""),"Fair")</f>
        <v>Fair</v>
      </c>
      <c r="AC2890" s="183"/>
      <c r="AD2890" s="183"/>
      <c r="AE2890" s="183"/>
      <c r="AF2890" s="184"/>
      <c r="AG2890" s="180"/>
      <c r="AH2890" s="185">
        <f>IFERROR(__xludf.DUMMYFUNCTION("""COMPUTED_VALUE"""),43374.66878219908)</f>
        <v>43374.66878</v>
      </c>
      <c r="AI2890" s="182"/>
      <c r="AJ2890" s="182"/>
      <c r="AK2890" s="182"/>
      <c r="AL2890" s="182"/>
    </row>
    <row r="2891" ht="20.25" customHeight="1">
      <c r="A2891" s="169" t="str">
        <f>IFERROR(__xludf.DUMMYFUNCTION("""COMPUTED_VALUE"""),"CEO420")</f>
        <v>CEO420</v>
      </c>
      <c r="B2891" s="170" t="str">
        <f>IFERROR(__xludf.DUMMYFUNCTION("""COMPUTED_VALUE"""),"Jacksonville")</f>
        <v>Jacksonville</v>
      </c>
      <c r="C2891" s="170" t="str">
        <f>IFERROR(__xludf.DUMMYFUNCTION("""COMPUTED_VALUE"""),"FL")</f>
        <v>FL</v>
      </c>
      <c r="D2891" s="170" t="str">
        <f>IFERROR(__xludf.DUMMYFUNCTION("""COMPUTED_VALUE"""),"USA")</f>
        <v>USA</v>
      </c>
      <c r="E2891" s="171">
        <f>IFERROR(__xludf.DUMMYFUNCTION("""COMPUTED_VALUE"""),43279.0)</f>
        <v>43279</v>
      </c>
      <c r="F2891" s="172"/>
      <c r="G2891" s="173"/>
      <c r="H2891" s="174">
        <f>IFERROR(__xludf.DUMMYFUNCTION("""COMPUTED_VALUE"""),99905.0)</f>
        <v>99905</v>
      </c>
      <c r="I2891" s="175" t="str">
        <f>IFERROR(__xludf.DUMMYFUNCTION("""COMPUTED_VALUE"""),"08/18")</f>
        <v>08/18</v>
      </c>
      <c r="J2891" s="172">
        <f>IFERROR(__xludf.DUMMYFUNCTION("""COMPUTED_VALUE"""),43361.0)</f>
        <v>43361</v>
      </c>
      <c r="K2891" s="176"/>
      <c r="L2891" s="176"/>
      <c r="M2891" s="176">
        <f>IFERROR(__xludf.DUMMYFUNCTION("""COMPUTED_VALUE"""),82.0)</f>
        <v>82</v>
      </c>
      <c r="N2891" s="177" t="str">
        <f>IFERROR(__xludf.DUMMYFUNCTION("""COMPUTED_VALUE"""),"Model 3 Performance")</f>
        <v>Model 3 Performance</v>
      </c>
      <c r="O2891" s="177" t="str">
        <f>IFERROR(__xludf.DUMMYFUNCTION("""COMPUTED_VALUE"""),"Deep Blue Metallic")</f>
        <v>Deep Blue Metallic</v>
      </c>
      <c r="P2891" s="178" t="str">
        <f>IFERROR(__xludf.DUMMYFUNCTION("""COMPUTED_VALUE"""),"18 inch Aero")</f>
        <v>18 inch Aero</v>
      </c>
      <c r="Q2891" s="177" t="str">
        <f>IFERROR(__xludf.DUMMYFUNCTION("""COMPUTED_VALUE"""),"White seats")</f>
        <v>White seats</v>
      </c>
      <c r="R2891" s="170" t="str">
        <f>IFERROR(__xludf.DUMMYFUNCTION("""COMPUTED_VALUE"""),"Full Self-Driving")</f>
        <v>Full Self-Driving</v>
      </c>
      <c r="S2891" s="170"/>
      <c r="T2891" s="179"/>
      <c r="U2891" s="179"/>
      <c r="V2891" s="179"/>
      <c r="W2891" s="180"/>
      <c r="X2891" s="181" t="str">
        <f>IFERROR(__xludf.DUMMYFUNCTION("""COMPUTED_VALUE"""),"Very Good")</f>
        <v>Very Good</v>
      </c>
      <c r="Y2891" s="182" t="str">
        <f>IFERROR(__xludf.DUMMYFUNCTION("""COMPUTED_VALUE"""),"Very Good")</f>
        <v>Very Good</v>
      </c>
      <c r="Z2891" s="182" t="str">
        <f>IFERROR(__xludf.DUMMYFUNCTION("""COMPUTED_VALUE"""),"Good")</f>
        <v>Good</v>
      </c>
      <c r="AA2891" s="182" t="str">
        <f>IFERROR(__xludf.DUMMYFUNCTION("""COMPUTED_VALUE"""),"Excellent")</f>
        <v>Excellent</v>
      </c>
      <c r="AB2891" s="182" t="str">
        <f>IFERROR(__xludf.DUMMYFUNCTION("""COMPUTED_VALUE"""),"Very Good")</f>
        <v>Very Good</v>
      </c>
      <c r="AC2891" s="183"/>
      <c r="AD2891" s="183"/>
      <c r="AE2891" s="183"/>
      <c r="AF2891" s="184"/>
      <c r="AG2891" s="180"/>
      <c r="AH2891" s="185">
        <f>IFERROR(__xludf.DUMMYFUNCTION("""COMPUTED_VALUE"""),43361.62943489583)</f>
        <v>43361.62943</v>
      </c>
      <c r="AI2891" s="182"/>
      <c r="AJ2891" s="182"/>
      <c r="AK2891" s="182"/>
      <c r="AL2891" s="182"/>
    </row>
    <row r="2892" ht="20.25" customHeight="1">
      <c r="A2892" s="169" t="str">
        <f>IFERROR(__xludf.DUMMYFUNCTION("""COMPUTED_VALUE"""),"clundh")</f>
        <v>clundh</v>
      </c>
      <c r="B2892" s="170"/>
      <c r="C2892" s="170" t="str">
        <f>IFERROR(__xludf.DUMMYFUNCTION("""COMPUTED_VALUE"""),"WI")</f>
        <v>WI</v>
      </c>
      <c r="D2892" s="170" t="str">
        <f>IFERROR(__xludf.DUMMYFUNCTION("""COMPUTED_VALUE"""),"USA")</f>
        <v>USA</v>
      </c>
      <c r="E2892" s="171">
        <f>IFERROR(__xludf.DUMMYFUNCTION("""COMPUTED_VALUE"""),43279.0)</f>
        <v>43279</v>
      </c>
      <c r="F2892" s="172">
        <f>IFERROR(__xludf.DUMMYFUNCTION("""COMPUTED_VALUE"""),43346.0)</f>
        <v>43346</v>
      </c>
      <c r="G2892" s="173"/>
      <c r="H2892" s="174">
        <f>IFERROR(__xludf.DUMMYFUNCTION("""COMPUTED_VALUE"""),66355.0)</f>
        <v>66355</v>
      </c>
      <c r="I2892" s="175"/>
      <c r="J2892" s="172">
        <f>IFERROR(__xludf.DUMMYFUNCTION("""COMPUTED_VALUE"""),43354.0)</f>
        <v>43354</v>
      </c>
      <c r="K2892" s="176">
        <f>IFERROR(__xludf.DUMMYFUNCTION("""COMPUTED_VALUE"""),67.0)</f>
        <v>67</v>
      </c>
      <c r="L2892" s="176">
        <f>IFERROR(__xludf.DUMMYFUNCTION("""COMPUTED_VALUE"""),8.0)</f>
        <v>8</v>
      </c>
      <c r="M2892" s="176">
        <f>IFERROR(__xludf.DUMMYFUNCTION("""COMPUTED_VALUE"""),75.0)</f>
        <v>75</v>
      </c>
      <c r="N2892" s="177" t="str">
        <f>IFERROR(__xludf.DUMMYFUNCTION("""COMPUTED_VALUE"""),"Model 3 LR AWD")</f>
        <v>Model 3 LR AWD</v>
      </c>
      <c r="O2892" s="177" t="str">
        <f>IFERROR(__xludf.DUMMYFUNCTION("""COMPUTED_VALUE"""),"Midnight Silver Metallic")</f>
        <v>Midnight Silver Metallic</v>
      </c>
      <c r="P2892" s="178" t="str">
        <f>IFERROR(__xludf.DUMMYFUNCTION("""COMPUTED_VALUE"""),"18 inch Aero")</f>
        <v>18 inch Aero</v>
      </c>
      <c r="Q2892" s="177" t="str">
        <f>IFERROR(__xludf.DUMMYFUNCTION("""COMPUTED_VALUE"""),"Black seats")</f>
        <v>Black seats</v>
      </c>
      <c r="R2892" s="170" t="str">
        <f>IFERROR(__xludf.DUMMYFUNCTION("""COMPUTED_VALUE"""),"Full Self-Driving")</f>
        <v>Full Self-Driving</v>
      </c>
      <c r="S2892" s="170"/>
      <c r="T2892" s="179"/>
      <c r="U2892" s="179"/>
      <c r="V2892" s="179"/>
      <c r="W2892" s="180"/>
      <c r="X2892" s="181" t="str">
        <f>IFERROR(__xludf.DUMMYFUNCTION("""COMPUTED_VALUE"""),"Excellent")</f>
        <v>Excellent</v>
      </c>
      <c r="Y2892" s="182" t="str">
        <f>IFERROR(__xludf.DUMMYFUNCTION("""COMPUTED_VALUE"""),"Excellent")</f>
        <v>Excellent</v>
      </c>
      <c r="Z2892" s="182" t="str">
        <f>IFERROR(__xludf.DUMMYFUNCTION("""COMPUTED_VALUE"""),"Excellent")</f>
        <v>Excellent</v>
      </c>
      <c r="AA2892" s="182" t="str">
        <f>IFERROR(__xludf.DUMMYFUNCTION("""COMPUTED_VALUE"""),"Excellent")</f>
        <v>Excellent</v>
      </c>
      <c r="AB2892" s="182" t="str">
        <f>IFERROR(__xludf.DUMMYFUNCTION("""COMPUTED_VALUE"""),"Excellent")</f>
        <v>Excellent</v>
      </c>
      <c r="AC2892" s="183"/>
      <c r="AD2892" s="183"/>
      <c r="AE2892" s="183"/>
      <c r="AF2892" s="184"/>
      <c r="AG2892" s="180"/>
      <c r="AH2892" s="185">
        <f>IFERROR(__xludf.DUMMYFUNCTION("""COMPUTED_VALUE"""),43357.33684743055)</f>
        <v>43357.33685</v>
      </c>
      <c r="AI2892" s="182"/>
      <c r="AJ2892" s="182"/>
      <c r="AK2892" s="182"/>
      <c r="AL2892" s="182"/>
    </row>
    <row r="2893" ht="20.25" customHeight="1">
      <c r="A2893" s="169" t="str">
        <f>IFERROR(__xludf.DUMMYFUNCTION("""COMPUTED_VALUE"""),"cosmotherobot")</f>
        <v>cosmotherobot</v>
      </c>
      <c r="B2893" s="170" t="str">
        <f>IFERROR(__xludf.DUMMYFUNCTION("""COMPUTED_VALUE"""),"salem")</f>
        <v>salem</v>
      </c>
      <c r="C2893" s="170" t="str">
        <f>IFERROR(__xludf.DUMMYFUNCTION("""COMPUTED_VALUE"""),"OR")</f>
        <v>OR</v>
      </c>
      <c r="D2893" s="170" t="str">
        <f>IFERROR(__xludf.DUMMYFUNCTION("""COMPUTED_VALUE"""),"USA")</f>
        <v>USA</v>
      </c>
      <c r="E2893" s="171">
        <f>IFERROR(__xludf.DUMMYFUNCTION("""COMPUTED_VALUE"""),43279.0)</f>
        <v>43279</v>
      </c>
      <c r="F2893" s="172">
        <f>IFERROR(__xludf.DUMMYFUNCTION("""COMPUTED_VALUE"""),43338.0)</f>
        <v>43338</v>
      </c>
      <c r="G2893" s="173"/>
      <c r="H2893" s="174">
        <f>IFERROR(__xludf.DUMMYFUNCTION("""COMPUTED_VALUE"""),69455.0)</f>
        <v>69455</v>
      </c>
      <c r="I2893" s="175"/>
      <c r="J2893" s="172">
        <f>IFERROR(__xludf.DUMMYFUNCTION("""COMPUTED_VALUE"""),43344.0)</f>
        <v>43344</v>
      </c>
      <c r="K2893" s="176">
        <f>IFERROR(__xludf.DUMMYFUNCTION("""COMPUTED_VALUE"""),59.0)</f>
        <v>59</v>
      </c>
      <c r="L2893" s="176">
        <f>IFERROR(__xludf.DUMMYFUNCTION("""COMPUTED_VALUE"""),6.0)</f>
        <v>6</v>
      </c>
      <c r="M2893" s="176">
        <f>IFERROR(__xludf.DUMMYFUNCTION("""COMPUTED_VALUE"""),65.0)</f>
        <v>65</v>
      </c>
      <c r="N2893" s="177" t="str">
        <f>IFERROR(__xludf.DUMMYFUNCTION("""COMPUTED_VALUE"""),"Model 3 LR AWD")</f>
        <v>Model 3 LR AWD</v>
      </c>
      <c r="O2893" s="177" t="str">
        <f>IFERROR(__xludf.DUMMYFUNCTION("""COMPUTED_VALUE"""),"Red Multi-Coat")</f>
        <v>Red Multi-Coat</v>
      </c>
      <c r="P2893" s="178" t="str">
        <f>IFERROR(__xludf.DUMMYFUNCTION("""COMPUTED_VALUE"""),"18 inch Aero")</f>
        <v>18 inch Aero</v>
      </c>
      <c r="Q2893" s="177" t="str">
        <f>IFERROR(__xludf.DUMMYFUNCTION("""COMPUTED_VALUE"""),"Black seats")</f>
        <v>Black seats</v>
      </c>
      <c r="R2893" s="170" t="str">
        <f>IFERROR(__xludf.DUMMYFUNCTION("""COMPUTED_VALUE"""),"Full Self-Driving")</f>
        <v>Full Self-Driving</v>
      </c>
      <c r="S2893" s="170"/>
      <c r="T2893" s="179"/>
      <c r="U2893" s="179"/>
      <c r="V2893" s="179"/>
      <c r="W2893" s="180"/>
      <c r="X2893" s="181" t="str">
        <f>IFERROR(__xludf.DUMMYFUNCTION("""COMPUTED_VALUE"""),"Very Good")</f>
        <v>Very Good</v>
      </c>
      <c r="Y2893" s="182" t="str">
        <f>IFERROR(__xludf.DUMMYFUNCTION("""COMPUTED_VALUE"""),"Very Good")</f>
        <v>Very Good</v>
      </c>
      <c r="Z2893" s="182" t="str">
        <f>IFERROR(__xludf.DUMMYFUNCTION("""COMPUTED_VALUE"""),"Good")</f>
        <v>Good</v>
      </c>
      <c r="AA2893" s="182" t="str">
        <f>IFERROR(__xludf.DUMMYFUNCTION("""COMPUTED_VALUE"""),"Poor")</f>
        <v>Poor</v>
      </c>
      <c r="AB2893" s="182" t="str">
        <f>IFERROR(__xludf.DUMMYFUNCTION("""COMPUTED_VALUE"""),"Very Good")</f>
        <v>Very Good</v>
      </c>
      <c r="AC2893" s="183"/>
      <c r="AD2893" s="183"/>
      <c r="AE2893" s="183"/>
      <c r="AF2893" s="184"/>
      <c r="AG2893" s="180"/>
      <c r="AH2893" s="185">
        <f>IFERROR(__xludf.DUMMYFUNCTION("""COMPUTED_VALUE"""),43344.97534938657)</f>
        <v>43344.97535</v>
      </c>
      <c r="AI2893" s="182"/>
      <c r="AJ2893" s="182"/>
      <c r="AK2893" s="182"/>
      <c r="AL2893" s="182"/>
    </row>
    <row r="2894" ht="20.25" customHeight="1">
      <c r="A2894" s="169" t="str">
        <f>IFERROR(__xludf.DUMMYFUNCTION("""COMPUTED_VALUE"""),"Ctracy13")</f>
        <v>Ctracy13</v>
      </c>
      <c r="B2894" s="170" t="str">
        <f>IFERROR(__xludf.DUMMYFUNCTION("""COMPUTED_VALUE"""),"Los Angeles")</f>
        <v>Los Angeles</v>
      </c>
      <c r="C2894" s="170" t="str">
        <f>IFERROR(__xludf.DUMMYFUNCTION("""COMPUTED_VALUE"""),"CA")</f>
        <v>CA</v>
      </c>
      <c r="D2894" s="170" t="str">
        <f>IFERROR(__xludf.DUMMYFUNCTION("""COMPUTED_VALUE"""),"USA")</f>
        <v>USA</v>
      </c>
      <c r="E2894" s="171">
        <f>IFERROR(__xludf.DUMMYFUNCTION("""COMPUTED_VALUE"""),43279.0)</f>
        <v>43279</v>
      </c>
      <c r="F2894" s="172">
        <f>IFERROR(__xludf.DUMMYFUNCTION("""COMPUTED_VALUE"""),43307.0)</f>
        <v>43307</v>
      </c>
      <c r="G2894" s="173"/>
      <c r="H2894" s="174">
        <f>IFERROR(__xludf.DUMMYFUNCTION("""COMPUTED_VALUE"""),53455.0)</f>
        <v>53455</v>
      </c>
      <c r="I2894" s="175"/>
      <c r="J2894" s="172">
        <f>IFERROR(__xludf.DUMMYFUNCTION("""COMPUTED_VALUE"""),43312.0)</f>
        <v>43312</v>
      </c>
      <c r="K2894" s="176">
        <f>IFERROR(__xludf.DUMMYFUNCTION("""COMPUTED_VALUE"""),28.0)</f>
        <v>28</v>
      </c>
      <c r="L2894" s="176">
        <f>IFERROR(__xludf.DUMMYFUNCTION("""COMPUTED_VALUE"""),5.0)</f>
        <v>5</v>
      </c>
      <c r="M2894" s="176">
        <f>IFERROR(__xludf.DUMMYFUNCTION("""COMPUTED_VALUE"""),33.0)</f>
        <v>33</v>
      </c>
      <c r="N2894" s="177" t="str">
        <f>IFERROR(__xludf.DUMMYFUNCTION("""COMPUTED_VALUE"""),"Model 3 LR")</f>
        <v>Model 3 LR</v>
      </c>
      <c r="O2894" s="177" t="str">
        <f>IFERROR(__xludf.DUMMYFUNCTION("""COMPUTED_VALUE"""),"Pearl White Multi-Coat")</f>
        <v>Pearl White Multi-Coat</v>
      </c>
      <c r="P2894" s="178" t="str">
        <f>IFERROR(__xludf.DUMMYFUNCTION("""COMPUTED_VALUE"""),"20 inch Sport")</f>
        <v>20 inch Sport</v>
      </c>
      <c r="Q2894" s="177" t="str">
        <f>IFERROR(__xludf.DUMMYFUNCTION("""COMPUTED_VALUE"""),"Black seats")</f>
        <v>Black seats</v>
      </c>
      <c r="R2894" s="170" t="str">
        <f>IFERROR(__xludf.DUMMYFUNCTION("""COMPUTED_VALUE"""),"Full Self-Driving")</f>
        <v>Full Self-Driving</v>
      </c>
      <c r="S2894" s="170"/>
      <c r="T2894" s="179"/>
      <c r="U2894" s="179"/>
      <c r="V2894" s="179"/>
      <c r="W2894" s="180"/>
      <c r="X2894" s="181" t="str">
        <f>IFERROR(__xludf.DUMMYFUNCTION("""COMPUTED_VALUE"""),"Excellent")</f>
        <v>Excellent</v>
      </c>
      <c r="Y2894" s="182" t="str">
        <f>IFERROR(__xludf.DUMMYFUNCTION("""COMPUTED_VALUE"""),"Excellent")</f>
        <v>Excellent</v>
      </c>
      <c r="Z2894" s="182" t="str">
        <f>IFERROR(__xludf.DUMMYFUNCTION("""COMPUTED_VALUE"""),"Excellent")</f>
        <v>Excellent</v>
      </c>
      <c r="AA2894" s="182" t="str">
        <f>IFERROR(__xludf.DUMMYFUNCTION("""COMPUTED_VALUE"""),"Good")</f>
        <v>Good</v>
      </c>
      <c r="AB2894" s="182" t="str">
        <f>IFERROR(__xludf.DUMMYFUNCTION("""COMPUTED_VALUE"""),"Good")</f>
        <v>Good</v>
      </c>
      <c r="AC2894" s="183">
        <f>IFERROR(__xludf.DUMMYFUNCTION("""COMPUTED_VALUE"""),1.0)</f>
        <v>1</v>
      </c>
      <c r="AD2894" s="183">
        <f>IFERROR(__xludf.DUMMYFUNCTION("""COMPUTED_VALUE"""),0.0)</f>
        <v>0</v>
      </c>
      <c r="AE2894" s="183">
        <f>IFERROR(__xludf.DUMMYFUNCTION("""COMPUTED_VALUE"""),0.0)</f>
        <v>0</v>
      </c>
      <c r="AF2894" s="184"/>
      <c r="AG2894" s="180" t="str">
        <f>IFERROR(__xludf.DUMMYFUNCTION("""COMPUTED_VALUE"""),"Took delivery without the activation of Autopilot")</f>
        <v>Took delivery without the activation of Autopilot</v>
      </c>
      <c r="AH2894" s="185">
        <f>IFERROR(__xludf.DUMMYFUNCTION("""COMPUTED_VALUE"""),43318.46607642361)</f>
        <v>43318.46608</v>
      </c>
      <c r="AI2894" s="182"/>
      <c r="AJ2894" s="182"/>
      <c r="AK2894" s="182"/>
      <c r="AL2894" s="182"/>
    </row>
    <row r="2895" ht="20.25" customHeight="1">
      <c r="A2895" s="169" t="str">
        <f>IFERROR(__xludf.DUMMYFUNCTION("""COMPUTED_VALUE"""),"dancortese")</f>
        <v>dancortese</v>
      </c>
      <c r="B2895" s="170" t="str">
        <f>IFERROR(__xludf.DUMMYFUNCTION("""COMPUTED_VALUE"""),"Kernersville")</f>
        <v>Kernersville</v>
      </c>
      <c r="C2895" s="170" t="str">
        <f>IFERROR(__xludf.DUMMYFUNCTION("""COMPUTED_VALUE"""),"NC")</f>
        <v>NC</v>
      </c>
      <c r="D2895" s="170" t="str">
        <f>IFERROR(__xludf.DUMMYFUNCTION("""COMPUTED_VALUE"""),"USA")</f>
        <v>USA</v>
      </c>
      <c r="E2895" s="171">
        <f>IFERROR(__xludf.DUMMYFUNCTION("""COMPUTED_VALUE"""),43279.0)</f>
        <v>43279</v>
      </c>
      <c r="F2895" s="172">
        <f>IFERROR(__xludf.DUMMYFUNCTION("""COMPUTED_VALUE"""),43354.0)</f>
        <v>43354</v>
      </c>
      <c r="G2895" s="173"/>
      <c r="H2895" s="174">
        <f>IFERROR(__xludf.DUMMYFUNCTION("""COMPUTED_VALUE"""),97555.0)</f>
        <v>97555</v>
      </c>
      <c r="I2895" s="175" t="str">
        <f>IFERROR(__xludf.DUMMYFUNCTION("""COMPUTED_VALUE"""),"08/18")</f>
        <v>08/18</v>
      </c>
      <c r="J2895" s="172">
        <f>IFERROR(__xludf.DUMMYFUNCTION("""COMPUTED_VALUE"""),43364.0)</f>
        <v>43364</v>
      </c>
      <c r="K2895" s="176">
        <f>IFERROR(__xludf.DUMMYFUNCTION("""COMPUTED_VALUE"""),75.0)</f>
        <v>75</v>
      </c>
      <c r="L2895" s="176">
        <f>IFERROR(__xludf.DUMMYFUNCTION("""COMPUTED_VALUE"""),10.0)</f>
        <v>10</v>
      </c>
      <c r="M2895" s="176">
        <f>IFERROR(__xludf.DUMMYFUNCTION("""COMPUTED_VALUE"""),85.0)</f>
        <v>85</v>
      </c>
      <c r="N2895" s="177" t="str">
        <f>IFERROR(__xludf.DUMMYFUNCTION("""COMPUTED_VALUE"""),"Model 3 Performance")</f>
        <v>Model 3 Performance</v>
      </c>
      <c r="O2895" s="177" t="str">
        <f>IFERROR(__xludf.DUMMYFUNCTION("""COMPUTED_VALUE"""),"Red Multi-Coat")</f>
        <v>Red Multi-Coat</v>
      </c>
      <c r="P2895" s="178" t="str">
        <f>IFERROR(__xludf.DUMMYFUNCTION("""COMPUTED_VALUE"""),"18 inch Aero")</f>
        <v>18 inch Aero</v>
      </c>
      <c r="Q2895" s="177" t="str">
        <f>IFERROR(__xludf.DUMMYFUNCTION("""COMPUTED_VALUE"""),"White seats")</f>
        <v>White seats</v>
      </c>
      <c r="R2895" s="170" t="str">
        <f>IFERROR(__xludf.DUMMYFUNCTION("""COMPUTED_VALUE"""),"Enhanced Autopilot")</f>
        <v>Enhanced Autopilot</v>
      </c>
      <c r="S2895" s="170"/>
      <c r="T2895" s="179"/>
      <c r="U2895" s="179"/>
      <c r="V2895" s="179"/>
      <c r="W2895" s="180"/>
      <c r="X2895" s="181" t="str">
        <f>IFERROR(__xludf.DUMMYFUNCTION("""COMPUTED_VALUE"""),"Very Good")</f>
        <v>Very Good</v>
      </c>
      <c r="Y2895" s="182" t="str">
        <f>IFERROR(__xludf.DUMMYFUNCTION("""COMPUTED_VALUE"""),"Very Good")</f>
        <v>Very Good</v>
      </c>
      <c r="Z2895" s="182" t="str">
        <f>IFERROR(__xludf.DUMMYFUNCTION("""COMPUTED_VALUE"""),"Very Good")</f>
        <v>Very Good</v>
      </c>
      <c r="AA2895" s="182" t="str">
        <f>IFERROR(__xludf.DUMMYFUNCTION("""COMPUTED_VALUE"""),"Fair")</f>
        <v>Fair</v>
      </c>
      <c r="AB2895" s="182" t="str">
        <f>IFERROR(__xludf.DUMMYFUNCTION("""COMPUTED_VALUE"""),"Very Good")</f>
        <v>Very Good</v>
      </c>
      <c r="AC2895" s="183">
        <f>IFERROR(__xludf.DUMMYFUNCTION("""COMPUTED_VALUE"""),1.0)</f>
        <v>1</v>
      </c>
      <c r="AD2895" s="183"/>
      <c r="AE2895" s="183"/>
      <c r="AF2895" s="184"/>
      <c r="AG2895" s="180" t="str">
        <f>IFERROR(__xludf.DUMMYFUNCTION("""COMPUTED_VALUE"""),"It was missing a door reflector")</f>
        <v>It was missing a door reflector</v>
      </c>
      <c r="AH2895" s="185">
        <f>IFERROR(__xludf.DUMMYFUNCTION("""COMPUTED_VALUE"""),43366.80753302084)</f>
        <v>43366.80753</v>
      </c>
      <c r="AI2895" s="182"/>
      <c r="AJ2895" s="182"/>
      <c r="AK2895" s="182"/>
      <c r="AL2895" s="182"/>
    </row>
    <row r="2896" ht="20.25" customHeight="1">
      <c r="A2896" s="169" t="str">
        <f>IFERROR(__xludf.DUMMYFUNCTION("""COMPUTED_VALUE"""),"Davidyc")</f>
        <v>Davidyc</v>
      </c>
      <c r="B2896" s="170" t="str">
        <f>IFERROR(__xludf.DUMMYFUNCTION("""COMPUTED_VALUE"""),"Newcastle")</f>
        <v>Newcastle</v>
      </c>
      <c r="C2896" s="170" t="str">
        <f>IFERROR(__xludf.DUMMYFUNCTION("""COMPUTED_VALUE"""),"WA")</f>
        <v>WA</v>
      </c>
      <c r="D2896" s="170" t="str">
        <f>IFERROR(__xludf.DUMMYFUNCTION("""COMPUTED_VALUE"""),"USA")</f>
        <v>USA</v>
      </c>
      <c r="E2896" s="171">
        <f>IFERROR(__xludf.DUMMYFUNCTION("""COMPUTED_VALUE"""),43279.0)</f>
        <v>43279</v>
      </c>
      <c r="F2896" s="172">
        <f>IFERROR(__xludf.DUMMYFUNCTION("""COMPUTED_VALUE"""),43370.0)</f>
        <v>43370</v>
      </c>
      <c r="G2896" s="173"/>
      <c r="H2896" s="174">
        <f>IFERROR(__xludf.DUMMYFUNCTION("""COMPUTED_VALUE"""),89855.0)</f>
        <v>89855</v>
      </c>
      <c r="I2896" s="175"/>
      <c r="J2896" s="172">
        <f>IFERROR(__xludf.DUMMYFUNCTION("""COMPUTED_VALUE"""),43373.0)</f>
        <v>43373</v>
      </c>
      <c r="K2896" s="176">
        <f>IFERROR(__xludf.DUMMYFUNCTION("""COMPUTED_VALUE"""),91.0)</f>
        <v>91</v>
      </c>
      <c r="L2896" s="176">
        <f>IFERROR(__xludf.DUMMYFUNCTION("""COMPUTED_VALUE"""),3.0)</f>
        <v>3</v>
      </c>
      <c r="M2896" s="176">
        <f>IFERROR(__xludf.DUMMYFUNCTION("""COMPUTED_VALUE"""),94.0)</f>
        <v>94</v>
      </c>
      <c r="N2896" s="177" t="str">
        <f>IFERROR(__xludf.DUMMYFUNCTION("""COMPUTED_VALUE"""),"Model 3 LR AWD")</f>
        <v>Model 3 LR AWD</v>
      </c>
      <c r="O2896" s="177" t="str">
        <f>IFERROR(__xludf.DUMMYFUNCTION("""COMPUTED_VALUE"""),"Midnight Silver Metallic")</f>
        <v>Midnight Silver Metallic</v>
      </c>
      <c r="P2896" s="178" t="str">
        <f>IFERROR(__xludf.DUMMYFUNCTION("""COMPUTED_VALUE"""),"18 inch Aero")</f>
        <v>18 inch Aero</v>
      </c>
      <c r="Q2896" s="177" t="str">
        <f>IFERROR(__xludf.DUMMYFUNCTION("""COMPUTED_VALUE"""),"Black seats")</f>
        <v>Black seats</v>
      </c>
      <c r="R2896" s="170" t="str">
        <f>IFERROR(__xludf.DUMMYFUNCTION("""COMPUTED_VALUE"""),"Full Self-Driving")</f>
        <v>Full Self-Driving</v>
      </c>
      <c r="S2896" s="170"/>
      <c r="T2896" s="179"/>
      <c r="U2896" s="179"/>
      <c r="V2896" s="179"/>
      <c r="W2896" s="180"/>
      <c r="X2896" s="181" t="str">
        <f>IFERROR(__xludf.DUMMYFUNCTION("""COMPUTED_VALUE"""),"Very Good")</f>
        <v>Very Good</v>
      </c>
      <c r="Y2896" s="182" t="str">
        <f>IFERROR(__xludf.DUMMYFUNCTION("""COMPUTED_VALUE"""),"Excellent")</f>
        <v>Excellent</v>
      </c>
      <c r="Z2896" s="182" t="str">
        <f>IFERROR(__xludf.DUMMYFUNCTION("""COMPUTED_VALUE"""),"Excellent")</f>
        <v>Excellent</v>
      </c>
      <c r="AA2896" s="182" t="str">
        <f>IFERROR(__xludf.DUMMYFUNCTION("""COMPUTED_VALUE"""),"Fair")</f>
        <v>Fair</v>
      </c>
      <c r="AB2896" s="182" t="str">
        <f>IFERROR(__xludf.DUMMYFUNCTION("""COMPUTED_VALUE"""),"Good")</f>
        <v>Good</v>
      </c>
      <c r="AC2896" s="183">
        <f>IFERROR(__xludf.DUMMYFUNCTION("""COMPUTED_VALUE"""),0.0)</f>
        <v>0</v>
      </c>
      <c r="AD2896" s="183">
        <f>IFERROR(__xludf.DUMMYFUNCTION("""COMPUTED_VALUE"""),0.0)</f>
        <v>0</v>
      </c>
      <c r="AE2896" s="183">
        <f>IFERROR(__xludf.DUMMYFUNCTION("""COMPUTED_VALUE"""),0.0)</f>
        <v>0</v>
      </c>
      <c r="AF2896" s="184"/>
      <c r="AG2896" s="180"/>
      <c r="AH2896" s="185">
        <f>IFERROR(__xludf.DUMMYFUNCTION("""COMPUTED_VALUE"""),43374.000715497685)</f>
        <v>43374.00072</v>
      </c>
      <c r="AI2896" s="182"/>
      <c r="AJ2896" s="182"/>
      <c r="AK2896" s="182"/>
      <c r="AL2896" s="182"/>
    </row>
    <row r="2897" ht="20.25" customHeight="1">
      <c r="A2897" s="169" t="str">
        <f>IFERROR(__xludf.DUMMYFUNCTION("""COMPUTED_VALUE"""),"ddgdl")</f>
        <v>ddgdl</v>
      </c>
      <c r="B2897" s="170" t="str">
        <f>IFERROR(__xludf.DUMMYFUNCTION("""COMPUTED_VALUE"""),"Boulder")</f>
        <v>Boulder</v>
      </c>
      <c r="C2897" s="170" t="str">
        <f>IFERROR(__xludf.DUMMYFUNCTION("""COMPUTED_VALUE"""),"CO")</f>
        <v>CO</v>
      </c>
      <c r="D2897" s="170" t="str">
        <f>IFERROR(__xludf.DUMMYFUNCTION("""COMPUTED_VALUE"""),"USA")</f>
        <v>USA</v>
      </c>
      <c r="E2897" s="171">
        <f>IFERROR(__xludf.DUMMYFUNCTION("""COMPUTED_VALUE"""),43279.0)</f>
        <v>43279</v>
      </c>
      <c r="F2897" s="172">
        <f>IFERROR(__xludf.DUMMYFUNCTION("""COMPUTED_VALUE"""),43340.0)</f>
        <v>43340</v>
      </c>
      <c r="G2897" s="173"/>
      <c r="H2897" s="174">
        <f>IFERROR(__xludf.DUMMYFUNCTION("""COMPUTED_VALUE"""),99995.0)</f>
        <v>99995</v>
      </c>
      <c r="I2897" s="175" t="str">
        <f>IFERROR(__xludf.DUMMYFUNCTION("""COMPUTED_VALUE"""),"08/18")</f>
        <v>08/18</v>
      </c>
      <c r="J2897" s="172">
        <f>IFERROR(__xludf.DUMMYFUNCTION("""COMPUTED_VALUE"""),43347.0)</f>
        <v>43347</v>
      </c>
      <c r="K2897" s="176">
        <f>IFERROR(__xludf.DUMMYFUNCTION("""COMPUTED_VALUE"""),61.0)</f>
        <v>61</v>
      </c>
      <c r="L2897" s="176">
        <f>IFERROR(__xludf.DUMMYFUNCTION("""COMPUTED_VALUE"""),7.0)</f>
        <v>7</v>
      </c>
      <c r="M2897" s="176">
        <f>IFERROR(__xludf.DUMMYFUNCTION("""COMPUTED_VALUE"""),68.0)</f>
        <v>68</v>
      </c>
      <c r="N2897" s="177" t="str">
        <f>IFERROR(__xludf.DUMMYFUNCTION("""COMPUTED_VALUE"""),"Model 3 LR AWD")</f>
        <v>Model 3 LR AWD</v>
      </c>
      <c r="O2897" s="177" t="str">
        <f>IFERROR(__xludf.DUMMYFUNCTION("""COMPUTED_VALUE"""),"Pearl White Multi-Coat")</f>
        <v>Pearl White Multi-Coat</v>
      </c>
      <c r="P2897" s="178" t="str">
        <f>IFERROR(__xludf.DUMMYFUNCTION("""COMPUTED_VALUE"""),"18 inch Aero")</f>
        <v>18 inch Aero</v>
      </c>
      <c r="Q2897" s="177" t="str">
        <f>IFERROR(__xludf.DUMMYFUNCTION("""COMPUTED_VALUE"""),"White seats")</f>
        <v>White seats</v>
      </c>
      <c r="R2897" s="170" t="str">
        <f>IFERROR(__xludf.DUMMYFUNCTION("""COMPUTED_VALUE"""),"None")</f>
        <v>None</v>
      </c>
      <c r="S2897" s="170"/>
      <c r="T2897" s="179"/>
      <c r="U2897" s="179"/>
      <c r="V2897" s="179"/>
      <c r="W2897" s="180"/>
      <c r="X2897" s="181" t="str">
        <f>IFERROR(__xludf.DUMMYFUNCTION("""COMPUTED_VALUE"""),"Very Good")</f>
        <v>Very Good</v>
      </c>
      <c r="Y2897" s="182" t="str">
        <f>IFERROR(__xludf.DUMMYFUNCTION("""COMPUTED_VALUE"""),"Excellent")</f>
        <v>Excellent</v>
      </c>
      <c r="Z2897" s="182" t="str">
        <f>IFERROR(__xludf.DUMMYFUNCTION("""COMPUTED_VALUE"""),"Excellent")</f>
        <v>Excellent</v>
      </c>
      <c r="AA2897" s="182" t="str">
        <f>IFERROR(__xludf.DUMMYFUNCTION("""COMPUTED_VALUE"""),"Excellent")</f>
        <v>Excellent</v>
      </c>
      <c r="AB2897" s="182" t="str">
        <f>IFERROR(__xludf.DUMMYFUNCTION("""COMPUTED_VALUE"""),"Excellent")</f>
        <v>Excellent</v>
      </c>
      <c r="AC2897" s="183"/>
      <c r="AD2897" s="183"/>
      <c r="AE2897" s="183"/>
      <c r="AF2897" s="184"/>
      <c r="AG2897" s="180"/>
      <c r="AH2897" s="185">
        <f>IFERROR(__xludf.DUMMYFUNCTION("""COMPUTED_VALUE"""),43347.52889340278)</f>
        <v>43347.52889</v>
      </c>
      <c r="AI2897" s="182"/>
      <c r="AJ2897" s="182"/>
      <c r="AK2897" s="182"/>
      <c r="AL2897" s="182"/>
    </row>
    <row r="2898" ht="20.25" customHeight="1">
      <c r="A2898" s="169" t="str">
        <f>IFERROR(__xludf.DUMMYFUNCTION("""COMPUTED_VALUE"""),"desiGeek")</f>
        <v>desiGeek</v>
      </c>
      <c r="B2898" s="170" t="str">
        <f>IFERROR(__xludf.DUMMYFUNCTION("""COMPUTED_VALUE"""),"Northern VA")</f>
        <v>Northern VA</v>
      </c>
      <c r="C2898" s="170" t="str">
        <f>IFERROR(__xludf.DUMMYFUNCTION("""COMPUTED_VALUE"""),"VA")</f>
        <v>VA</v>
      </c>
      <c r="D2898" s="170" t="str">
        <f>IFERROR(__xludf.DUMMYFUNCTION("""COMPUTED_VALUE"""),"USA")</f>
        <v>USA</v>
      </c>
      <c r="E2898" s="171">
        <f>IFERROR(__xludf.DUMMYFUNCTION("""COMPUTED_VALUE"""),43279.0)</f>
        <v>43279</v>
      </c>
      <c r="F2898" s="172">
        <f>IFERROR(__xludf.DUMMYFUNCTION("""COMPUTED_VALUE"""),43377.0)</f>
        <v>43377</v>
      </c>
      <c r="G2898" s="173"/>
      <c r="H2898" s="174">
        <f>IFERROR(__xludf.DUMMYFUNCTION("""COMPUTED_VALUE"""),117255.0)</f>
        <v>117255</v>
      </c>
      <c r="I2898" s="175" t="str">
        <f>IFERROR(__xludf.DUMMYFUNCTION("""COMPUTED_VALUE"""),"10/18")</f>
        <v>10/18</v>
      </c>
      <c r="J2898" s="172">
        <f>IFERROR(__xludf.DUMMYFUNCTION("""COMPUTED_VALUE"""),43398.0)</f>
        <v>43398</v>
      </c>
      <c r="K2898" s="176">
        <f>IFERROR(__xludf.DUMMYFUNCTION("""COMPUTED_VALUE"""),98.0)</f>
        <v>98</v>
      </c>
      <c r="L2898" s="176">
        <f>IFERROR(__xludf.DUMMYFUNCTION("""COMPUTED_VALUE"""),21.0)</f>
        <v>21</v>
      </c>
      <c r="M2898" s="176">
        <f>IFERROR(__xludf.DUMMYFUNCTION("""COMPUTED_VALUE"""),119.0)</f>
        <v>119</v>
      </c>
      <c r="N2898" s="177" t="str">
        <f>IFERROR(__xludf.DUMMYFUNCTION("""COMPUTED_VALUE"""),"Model 3 LR AWD")</f>
        <v>Model 3 LR AWD</v>
      </c>
      <c r="O2898" s="177" t="str">
        <f>IFERROR(__xludf.DUMMYFUNCTION("""COMPUTED_VALUE"""),"Red Multi-Coat")</f>
        <v>Red Multi-Coat</v>
      </c>
      <c r="P2898" s="178" t="str">
        <f>IFERROR(__xludf.DUMMYFUNCTION("""COMPUTED_VALUE"""),"19 inch Sport")</f>
        <v>19 inch Sport</v>
      </c>
      <c r="Q2898" s="177" t="str">
        <f>IFERROR(__xludf.DUMMYFUNCTION("""COMPUTED_VALUE"""),"Black seats")</f>
        <v>Black seats</v>
      </c>
      <c r="R2898" s="170" t="str">
        <f>IFERROR(__xludf.DUMMYFUNCTION("""COMPUTED_VALUE"""),"Full Self-Driving")</f>
        <v>Full Self-Driving</v>
      </c>
      <c r="S2898" s="170"/>
      <c r="T2898" s="179"/>
      <c r="U2898" s="179"/>
      <c r="V2898" s="179"/>
      <c r="W2898" s="180"/>
      <c r="X2898" s="181" t="str">
        <f>IFERROR(__xludf.DUMMYFUNCTION("""COMPUTED_VALUE"""),"Very Good")</f>
        <v>Very Good</v>
      </c>
      <c r="Y2898" s="182" t="str">
        <f>IFERROR(__xludf.DUMMYFUNCTION("""COMPUTED_VALUE"""),"Excellent")</f>
        <v>Excellent</v>
      </c>
      <c r="Z2898" s="182" t="str">
        <f>IFERROR(__xludf.DUMMYFUNCTION("""COMPUTED_VALUE"""),"Very Good")</f>
        <v>Very Good</v>
      </c>
      <c r="AA2898" s="182" t="str">
        <f>IFERROR(__xludf.DUMMYFUNCTION("""COMPUTED_VALUE"""),"Fair")</f>
        <v>Fair</v>
      </c>
      <c r="AB2898" s="182" t="str">
        <f>IFERROR(__xludf.DUMMYFUNCTION("""COMPUTED_VALUE"""),"Fair")</f>
        <v>Fair</v>
      </c>
      <c r="AC2898" s="183"/>
      <c r="AD2898" s="183"/>
      <c r="AE2898" s="183"/>
      <c r="AF2898" s="184"/>
      <c r="AG2898" s="180"/>
      <c r="AH2898" s="185">
        <f>IFERROR(__xludf.DUMMYFUNCTION("""COMPUTED_VALUE"""),43400.18043792824)</f>
        <v>43400.18044</v>
      </c>
      <c r="AI2898" s="182"/>
      <c r="AJ2898" s="182"/>
      <c r="AK2898" s="182"/>
      <c r="AL2898" s="182"/>
    </row>
    <row r="2899" ht="20.25" customHeight="1">
      <c r="A2899" s="169" t="str">
        <f>IFERROR(__xludf.DUMMYFUNCTION("""COMPUTED_VALUE"""),"Diverl")</f>
        <v>Diverl</v>
      </c>
      <c r="B2899" s="170" t="str">
        <f>IFERROR(__xludf.DUMMYFUNCTION("""COMPUTED_VALUE"""),"Boston")</f>
        <v>Boston</v>
      </c>
      <c r="C2899" s="170"/>
      <c r="D2899" s="170" t="str">
        <f>IFERROR(__xludf.DUMMYFUNCTION("""COMPUTED_VALUE"""),"USA")</f>
        <v>USA</v>
      </c>
      <c r="E2899" s="171">
        <f>IFERROR(__xludf.DUMMYFUNCTION("""COMPUTED_VALUE"""),43279.0)</f>
        <v>43279</v>
      </c>
      <c r="F2899" s="172"/>
      <c r="G2899" s="173"/>
      <c r="H2899" s="174"/>
      <c r="I2899" s="175"/>
      <c r="J2899" s="172">
        <f>IFERROR(__xludf.DUMMYFUNCTION("""COMPUTED_VALUE"""),43399.0)</f>
        <v>43399</v>
      </c>
      <c r="K2899" s="176"/>
      <c r="L2899" s="176"/>
      <c r="M2899" s="176">
        <f>IFERROR(__xludf.DUMMYFUNCTION("""COMPUTED_VALUE"""),120.0)</f>
        <v>120</v>
      </c>
      <c r="N2899" s="177" t="str">
        <f>IFERROR(__xludf.DUMMYFUNCTION("""COMPUTED_VALUE"""),"Model 3 LR AWD")</f>
        <v>Model 3 LR AWD</v>
      </c>
      <c r="O2899" s="177" t="str">
        <f>IFERROR(__xludf.DUMMYFUNCTION("""COMPUTED_VALUE"""),"Midnight Silver Metallic")</f>
        <v>Midnight Silver Metallic</v>
      </c>
      <c r="P2899" s="178"/>
      <c r="Q2899" s="177" t="str">
        <f>IFERROR(__xludf.DUMMYFUNCTION("""COMPUTED_VALUE"""),"Black seats")</f>
        <v>Black seats</v>
      </c>
      <c r="R2899" s="170" t="str">
        <f>IFERROR(__xludf.DUMMYFUNCTION("""COMPUTED_VALUE"""),"Enhanced Autopilot")</f>
        <v>Enhanced Autopilot</v>
      </c>
      <c r="S2899" s="170"/>
      <c r="T2899" s="179"/>
      <c r="U2899" s="179"/>
      <c r="V2899" s="179"/>
      <c r="W2899" s="180"/>
      <c r="X2899" s="181" t="str">
        <f>IFERROR(__xludf.DUMMYFUNCTION("""COMPUTED_VALUE"""),"Excellent")</f>
        <v>Excellent</v>
      </c>
      <c r="Y2899" s="182" t="str">
        <f>IFERROR(__xludf.DUMMYFUNCTION("""COMPUTED_VALUE"""),"Excellent")</f>
        <v>Excellent</v>
      </c>
      <c r="Z2899" s="182" t="str">
        <f>IFERROR(__xludf.DUMMYFUNCTION("""COMPUTED_VALUE"""),"Excellent")</f>
        <v>Excellent</v>
      </c>
      <c r="AA2899" s="182" t="str">
        <f>IFERROR(__xludf.DUMMYFUNCTION("""COMPUTED_VALUE"""),"Excellent")</f>
        <v>Excellent</v>
      </c>
      <c r="AB2899" s="182" t="str">
        <f>IFERROR(__xludf.DUMMYFUNCTION("""COMPUTED_VALUE"""),"Excellent")</f>
        <v>Excellent</v>
      </c>
      <c r="AC2899" s="183">
        <f>IFERROR(__xludf.DUMMYFUNCTION("""COMPUTED_VALUE"""),0.0)</f>
        <v>0</v>
      </c>
      <c r="AD2899" s="183"/>
      <c r="AE2899" s="183">
        <f>IFERROR(__xludf.DUMMYFUNCTION("""COMPUTED_VALUE"""),0.0)</f>
        <v>0</v>
      </c>
      <c r="AF2899" s="184"/>
      <c r="AG2899" s="180"/>
      <c r="AH2899" s="185">
        <f>IFERROR(__xludf.DUMMYFUNCTION("""COMPUTED_VALUE"""),43405.74125254629)</f>
        <v>43405.74125</v>
      </c>
      <c r="AI2899" s="182"/>
      <c r="AJ2899" s="182"/>
      <c r="AK2899" s="182"/>
      <c r="AL2899" s="182"/>
    </row>
    <row r="2900" ht="20.25" customHeight="1">
      <c r="A2900" s="169" t="str">
        <f>IFERROR(__xludf.DUMMYFUNCTION("""COMPUTED_VALUE"""),"Donnenberg")</f>
        <v>Donnenberg</v>
      </c>
      <c r="B2900" s="170" t="str">
        <f>IFERROR(__xludf.DUMMYFUNCTION("""COMPUTED_VALUE"""),"Baltimore")</f>
        <v>Baltimore</v>
      </c>
      <c r="C2900" s="170" t="str">
        <f>IFERROR(__xludf.DUMMYFUNCTION("""COMPUTED_VALUE"""),"MD")</f>
        <v>MD</v>
      </c>
      <c r="D2900" s="170" t="str">
        <f>IFERROR(__xludf.DUMMYFUNCTION("""COMPUTED_VALUE"""),"USA")</f>
        <v>USA</v>
      </c>
      <c r="E2900" s="171">
        <f>IFERROR(__xludf.DUMMYFUNCTION("""COMPUTED_VALUE"""),43279.0)</f>
        <v>43279</v>
      </c>
      <c r="F2900" s="172">
        <f>IFERROR(__xludf.DUMMYFUNCTION("""COMPUTED_VALUE"""),43283.0)</f>
        <v>43283</v>
      </c>
      <c r="G2900" s="173"/>
      <c r="H2900" s="174">
        <f>IFERROR(__xludf.DUMMYFUNCTION("""COMPUTED_VALUE"""),30892.0)</f>
        <v>30892</v>
      </c>
      <c r="I2900" s="175" t="str">
        <f>IFERROR(__xludf.DUMMYFUNCTION("""COMPUTED_VALUE"""),"06/18")</f>
        <v>06/18</v>
      </c>
      <c r="J2900" s="172">
        <f>IFERROR(__xludf.DUMMYFUNCTION("""COMPUTED_VALUE"""),43295.0)</f>
        <v>43295</v>
      </c>
      <c r="K2900" s="176">
        <f>IFERROR(__xludf.DUMMYFUNCTION("""COMPUTED_VALUE"""),4.0)</f>
        <v>4</v>
      </c>
      <c r="L2900" s="176">
        <f>IFERROR(__xludf.DUMMYFUNCTION("""COMPUTED_VALUE"""),12.0)</f>
        <v>12</v>
      </c>
      <c r="M2900" s="176">
        <f>IFERROR(__xludf.DUMMYFUNCTION("""COMPUTED_VALUE"""),16.0)</f>
        <v>16</v>
      </c>
      <c r="N2900" s="177" t="str">
        <f>IFERROR(__xludf.DUMMYFUNCTION("""COMPUTED_VALUE"""),"Model 3 LR")</f>
        <v>Model 3 LR</v>
      </c>
      <c r="O2900" s="177" t="str">
        <f>IFERROR(__xludf.DUMMYFUNCTION("""COMPUTED_VALUE"""),"Deep Blue Metallic")</f>
        <v>Deep Blue Metallic</v>
      </c>
      <c r="P2900" s="178" t="str">
        <f>IFERROR(__xludf.DUMMYFUNCTION("""COMPUTED_VALUE"""),"18 inch Aero")</f>
        <v>18 inch Aero</v>
      </c>
      <c r="Q2900" s="177" t="str">
        <f>IFERROR(__xludf.DUMMYFUNCTION("""COMPUTED_VALUE"""),"Black seats")</f>
        <v>Black seats</v>
      </c>
      <c r="R2900" s="170" t="str">
        <f>IFERROR(__xludf.DUMMYFUNCTION("""COMPUTED_VALUE"""),"Enhanced Autopilot")</f>
        <v>Enhanced Autopilot</v>
      </c>
      <c r="S2900" s="170"/>
      <c r="T2900" s="179"/>
      <c r="U2900" s="179"/>
      <c r="V2900" s="179"/>
      <c r="W2900" s="180"/>
      <c r="X2900" s="181" t="str">
        <f>IFERROR(__xludf.DUMMYFUNCTION("""COMPUTED_VALUE"""),"Excellent")</f>
        <v>Excellent</v>
      </c>
      <c r="Y2900" s="182" t="str">
        <f>IFERROR(__xludf.DUMMYFUNCTION("""COMPUTED_VALUE"""),"Excellent")</f>
        <v>Excellent</v>
      </c>
      <c r="Z2900" s="182" t="str">
        <f>IFERROR(__xludf.DUMMYFUNCTION("""COMPUTED_VALUE"""),"Excellent")</f>
        <v>Excellent</v>
      </c>
      <c r="AA2900" s="182" t="str">
        <f>IFERROR(__xludf.DUMMYFUNCTION("""COMPUTED_VALUE"""),"Poor")</f>
        <v>Poor</v>
      </c>
      <c r="AB2900" s="182" t="str">
        <f>IFERROR(__xludf.DUMMYFUNCTION("""COMPUTED_VALUE"""),"Poor")</f>
        <v>Poor</v>
      </c>
      <c r="AC2900" s="183">
        <f>IFERROR(__xludf.DUMMYFUNCTION("""COMPUTED_VALUE"""),2.0)</f>
        <v>2</v>
      </c>
      <c r="AD2900" s="183">
        <f>IFERROR(__xludf.DUMMYFUNCTION("""COMPUTED_VALUE"""),1.0)</f>
        <v>1</v>
      </c>
      <c r="AE2900" s="183">
        <f>IFERROR(__xludf.DUMMYFUNCTION("""COMPUTED_VALUE"""),28.0)</f>
        <v>28</v>
      </c>
      <c r="AF2900" s="184"/>
      <c r="AG2900" s="180" t="str">
        <f>IFERROR(__xludf.DUMMYFUNCTION("""COMPUTED_VALUE"""),"The car needed body work because of damage during transit. Then, after it was back, they noticed it was missing a VIN sticker. They had it 28 days after I had paid for it before I received it. Communication was terrible, unanswered emails and unreturned p"&amp;"hone calls, misinformation. ")</f>
        <v>The car needed body work because of damage during transit. Then, after it was back, they noticed it was missing a VIN sticker. They had it 28 days after I had paid for it before I received it. Communication was terrible, unanswered emails and unreturned phone calls, misinformation. </v>
      </c>
      <c r="AH2900" s="185">
        <f>IFERROR(__xludf.DUMMYFUNCTION("""COMPUTED_VALUE"""),43325.38711347222)</f>
        <v>43325.38711</v>
      </c>
      <c r="AI2900" s="182"/>
      <c r="AJ2900" s="182"/>
      <c r="AK2900" s="182"/>
      <c r="AL2900" s="182"/>
    </row>
    <row r="2901" ht="20.25" customHeight="1">
      <c r="A2901" s="169" t="str">
        <f>IFERROR(__xludf.DUMMYFUNCTION("""COMPUTED_VALUE"""),"drcoyle")</f>
        <v>drcoyle</v>
      </c>
      <c r="B2901" s="170" t="str">
        <f>IFERROR(__xludf.DUMMYFUNCTION("""COMPUTED_VALUE"""),"Hammond")</f>
        <v>Hammond</v>
      </c>
      <c r="C2901" s="170" t="str">
        <f>IFERROR(__xludf.DUMMYFUNCTION("""COMPUTED_VALUE"""),"IN")</f>
        <v>IN</v>
      </c>
      <c r="D2901" s="170" t="str">
        <f>IFERROR(__xludf.DUMMYFUNCTION("""COMPUTED_VALUE"""),"USA")</f>
        <v>USA</v>
      </c>
      <c r="E2901" s="171">
        <f>IFERROR(__xludf.DUMMYFUNCTION("""COMPUTED_VALUE"""),43279.0)</f>
        <v>43279</v>
      </c>
      <c r="F2901" s="172">
        <f>IFERROR(__xludf.DUMMYFUNCTION("""COMPUTED_VALUE"""),43365.0)</f>
        <v>43365</v>
      </c>
      <c r="G2901" s="173"/>
      <c r="H2901" s="174">
        <f>IFERROR(__xludf.DUMMYFUNCTION("""COMPUTED_VALUE"""),103728.0)</f>
        <v>103728</v>
      </c>
      <c r="I2901" s="175" t="str">
        <f>IFERROR(__xludf.DUMMYFUNCTION("""COMPUTED_VALUE"""),"09/18")</f>
        <v>09/18</v>
      </c>
      <c r="J2901" s="172">
        <f>IFERROR(__xludf.DUMMYFUNCTION("""COMPUTED_VALUE"""),43369.0)</f>
        <v>43369</v>
      </c>
      <c r="K2901" s="176">
        <f>IFERROR(__xludf.DUMMYFUNCTION("""COMPUTED_VALUE"""),86.0)</f>
        <v>86</v>
      </c>
      <c r="L2901" s="176">
        <f>IFERROR(__xludf.DUMMYFUNCTION("""COMPUTED_VALUE"""),4.0)</f>
        <v>4</v>
      </c>
      <c r="M2901" s="176">
        <f>IFERROR(__xludf.DUMMYFUNCTION("""COMPUTED_VALUE"""),90.0)</f>
        <v>90</v>
      </c>
      <c r="N2901" s="177" t="str">
        <f>IFERROR(__xludf.DUMMYFUNCTION("""COMPUTED_VALUE"""),"Model 3 LR AWD")</f>
        <v>Model 3 LR AWD</v>
      </c>
      <c r="O2901" s="177" t="str">
        <f>IFERROR(__xludf.DUMMYFUNCTION("""COMPUTED_VALUE"""),"Midnight Silver Metallic")</f>
        <v>Midnight Silver Metallic</v>
      </c>
      <c r="P2901" s="178" t="str">
        <f>IFERROR(__xludf.DUMMYFUNCTION("""COMPUTED_VALUE"""),"18 inch Aero")</f>
        <v>18 inch Aero</v>
      </c>
      <c r="Q2901" s="177" t="str">
        <f>IFERROR(__xludf.DUMMYFUNCTION("""COMPUTED_VALUE"""),"Black seats")</f>
        <v>Black seats</v>
      </c>
      <c r="R2901" s="170" t="str">
        <f>IFERROR(__xludf.DUMMYFUNCTION("""COMPUTED_VALUE"""),"Enhanced Autopilot")</f>
        <v>Enhanced Autopilot</v>
      </c>
      <c r="S2901" s="170"/>
      <c r="T2901" s="179"/>
      <c r="U2901" s="179"/>
      <c r="V2901" s="179"/>
      <c r="W2901" s="180"/>
      <c r="X2901" s="181" t="str">
        <f>IFERROR(__xludf.DUMMYFUNCTION("""COMPUTED_VALUE"""),"Excellent")</f>
        <v>Excellent</v>
      </c>
      <c r="Y2901" s="182" t="str">
        <f>IFERROR(__xludf.DUMMYFUNCTION("""COMPUTED_VALUE"""),"Excellent")</f>
        <v>Excellent</v>
      </c>
      <c r="Z2901" s="182" t="str">
        <f>IFERROR(__xludf.DUMMYFUNCTION("""COMPUTED_VALUE"""),"Excellent")</f>
        <v>Excellent</v>
      </c>
      <c r="AA2901" s="182" t="str">
        <f>IFERROR(__xludf.DUMMYFUNCTION("""COMPUTED_VALUE"""),"Excellent")</f>
        <v>Excellent</v>
      </c>
      <c r="AB2901" s="182" t="str">
        <f>IFERROR(__xludf.DUMMYFUNCTION("""COMPUTED_VALUE"""),"Excellent")</f>
        <v>Excellent</v>
      </c>
      <c r="AC2901" s="183">
        <f>IFERROR(__xludf.DUMMYFUNCTION("""COMPUTED_VALUE"""),0.0)</f>
        <v>0</v>
      </c>
      <c r="AD2901" s="183">
        <f>IFERROR(__xludf.DUMMYFUNCTION("""COMPUTED_VALUE"""),0.0)</f>
        <v>0</v>
      </c>
      <c r="AE2901" s="183">
        <f>IFERROR(__xludf.DUMMYFUNCTION("""COMPUTED_VALUE"""),0.0)</f>
        <v>0</v>
      </c>
      <c r="AF2901" s="184"/>
      <c r="AG2901" s="180"/>
      <c r="AH2901" s="185">
        <f>IFERROR(__xludf.DUMMYFUNCTION("""COMPUTED_VALUE"""),43375.3503140162)</f>
        <v>43375.35031</v>
      </c>
      <c r="AI2901" s="182"/>
      <c r="AJ2901" s="182"/>
      <c r="AK2901" s="182"/>
      <c r="AL2901" s="182"/>
    </row>
    <row r="2902" ht="20.25" customHeight="1">
      <c r="A2902" s="169" t="str">
        <f>IFERROR(__xludf.DUMMYFUNCTION("""COMPUTED_VALUE"""),"duddinfrog")</f>
        <v>duddinfrog</v>
      </c>
      <c r="B2902" s="170" t="str">
        <f>IFERROR(__xludf.DUMMYFUNCTION("""COMPUTED_VALUE"""),"Northern")</f>
        <v>Northern</v>
      </c>
      <c r="C2902" s="170" t="str">
        <f>IFERROR(__xludf.DUMMYFUNCTION("""COMPUTED_VALUE"""),"NJ")</f>
        <v>NJ</v>
      </c>
      <c r="D2902" s="170" t="str">
        <f>IFERROR(__xludf.DUMMYFUNCTION("""COMPUTED_VALUE"""),"USA")</f>
        <v>USA</v>
      </c>
      <c r="E2902" s="171">
        <f>IFERROR(__xludf.DUMMYFUNCTION("""COMPUTED_VALUE"""),43279.0)</f>
        <v>43279</v>
      </c>
      <c r="F2902" s="172">
        <f>IFERROR(__xludf.DUMMYFUNCTION("""COMPUTED_VALUE"""),43337.0)</f>
        <v>43337</v>
      </c>
      <c r="G2902" s="173"/>
      <c r="H2902" s="174">
        <f>IFERROR(__xludf.DUMMYFUNCTION("""COMPUTED_VALUE"""),96155.0)</f>
        <v>96155</v>
      </c>
      <c r="I2902" s="175"/>
      <c r="J2902" s="172">
        <f>IFERROR(__xludf.DUMMYFUNCTION("""COMPUTED_VALUE"""),43364.0)</f>
        <v>43364</v>
      </c>
      <c r="K2902" s="176">
        <f>IFERROR(__xludf.DUMMYFUNCTION("""COMPUTED_VALUE"""),58.0)</f>
        <v>58</v>
      </c>
      <c r="L2902" s="176">
        <f>IFERROR(__xludf.DUMMYFUNCTION("""COMPUTED_VALUE"""),27.0)</f>
        <v>27</v>
      </c>
      <c r="M2902" s="176">
        <f>IFERROR(__xludf.DUMMYFUNCTION("""COMPUTED_VALUE"""),85.0)</f>
        <v>85</v>
      </c>
      <c r="N2902" s="177" t="str">
        <f>IFERROR(__xludf.DUMMYFUNCTION("""COMPUTED_VALUE"""),"Model 3 LR AWD")</f>
        <v>Model 3 LR AWD</v>
      </c>
      <c r="O2902" s="177" t="str">
        <f>IFERROR(__xludf.DUMMYFUNCTION("""COMPUTED_VALUE"""),"Silver Metallic")</f>
        <v>Silver Metallic</v>
      </c>
      <c r="P2902" s="178" t="str">
        <f>IFERROR(__xludf.DUMMYFUNCTION("""COMPUTED_VALUE"""),"18 inch Aero")</f>
        <v>18 inch Aero</v>
      </c>
      <c r="Q2902" s="177" t="str">
        <f>IFERROR(__xludf.DUMMYFUNCTION("""COMPUTED_VALUE"""),"White seats")</f>
        <v>White seats</v>
      </c>
      <c r="R2902" s="170" t="str">
        <f>IFERROR(__xludf.DUMMYFUNCTION("""COMPUTED_VALUE"""),"None")</f>
        <v>None</v>
      </c>
      <c r="S2902" s="170"/>
      <c r="T2902" s="179"/>
      <c r="U2902" s="179"/>
      <c r="V2902" s="179"/>
      <c r="W2902" s="180"/>
      <c r="X2902" s="181" t="str">
        <f>IFERROR(__xludf.DUMMYFUNCTION("""COMPUTED_VALUE"""),"Excellent")</f>
        <v>Excellent</v>
      </c>
      <c r="Y2902" s="182" t="str">
        <f>IFERROR(__xludf.DUMMYFUNCTION("""COMPUTED_VALUE"""),"Excellent")</f>
        <v>Excellent</v>
      </c>
      <c r="Z2902" s="182" t="str">
        <f>IFERROR(__xludf.DUMMYFUNCTION("""COMPUTED_VALUE"""),"Excellent")</f>
        <v>Excellent</v>
      </c>
      <c r="AA2902" s="182" t="str">
        <f>IFERROR(__xludf.DUMMYFUNCTION("""COMPUTED_VALUE"""),"Good")</f>
        <v>Good</v>
      </c>
      <c r="AB2902" s="182" t="str">
        <f>IFERROR(__xludf.DUMMYFUNCTION("""COMPUTED_VALUE"""),"Good")</f>
        <v>Good</v>
      </c>
      <c r="AC2902" s="183">
        <f>IFERROR(__xludf.DUMMYFUNCTION("""COMPUTED_VALUE"""),0.0)</f>
        <v>0</v>
      </c>
      <c r="AD2902" s="183">
        <f>IFERROR(__xludf.DUMMYFUNCTION("""COMPUTED_VALUE"""),0.0)</f>
        <v>0</v>
      </c>
      <c r="AE2902" s="183">
        <f>IFERROR(__xludf.DUMMYFUNCTION("""COMPUTED_VALUE"""),0.0)</f>
        <v>0</v>
      </c>
      <c r="AF2902" s="184"/>
      <c r="AG2902" s="180" t="str">
        <f>IFERROR(__xludf.DUMMYFUNCTION("""COMPUTED_VALUE"""),"Changed config 08/13/2018 to white interior")</f>
        <v>Changed config 08/13/2018 to white interior</v>
      </c>
      <c r="AH2902" s="185">
        <f>IFERROR(__xludf.DUMMYFUNCTION("""COMPUTED_VALUE"""),43406.57964550926)</f>
        <v>43406.57965</v>
      </c>
      <c r="AI2902" s="182"/>
      <c r="AJ2902" s="182"/>
      <c r="AK2902" s="182"/>
      <c r="AL2902" s="182"/>
    </row>
    <row r="2903" ht="20.25" customHeight="1">
      <c r="A2903" s="169" t="str">
        <f>IFERROR(__xludf.DUMMYFUNCTION("""COMPUTED_VALUE"""),"Dutchie")</f>
        <v>Dutchie</v>
      </c>
      <c r="B2903" s="170" t="str">
        <f>IFERROR(__xludf.DUMMYFUNCTION("""COMPUTED_VALUE"""),"Guelph")</f>
        <v>Guelph</v>
      </c>
      <c r="C2903" s="170" t="str">
        <f>IFERROR(__xludf.DUMMYFUNCTION("""COMPUTED_VALUE"""),"ON")</f>
        <v>ON</v>
      </c>
      <c r="D2903" s="170" t="str">
        <f>IFERROR(__xludf.DUMMYFUNCTION("""COMPUTED_VALUE"""),"Canada")</f>
        <v>Canada</v>
      </c>
      <c r="E2903" s="171">
        <f>IFERROR(__xludf.DUMMYFUNCTION("""COMPUTED_VALUE"""),43279.0)</f>
        <v>43279</v>
      </c>
      <c r="F2903" s="172">
        <f>IFERROR(__xludf.DUMMYFUNCTION("""COMPUTED_VALUE"""),43336.0)</f>
        <v>43336</v>
      </c>
      <c r="G2903" s="173"/>
      <c r="H2903" s="174">
        <f>IFERROR(__xludf.DUMMYFUNCTION("""COMPUTED_VALUE"""),96655.0)</f>
        <v>96655</v>
      </c>
      <c r="I2903" s="175" t="str">
        <f>IFERROR(__xludf.DUMMYFUNCTION("""COMPUTED_VALUE"""),"08/18")</f>
        <v>08/18</v>
      </c>
      <c r="J2903" s="172">
        <f>IFERROR(__xludf.DUMMYFUNCTION("""COMPUTED_VALUE"""),43344.0)</f>
        <v>43344</v>
      </c>
      <c r="K2903" s="176">
        <f>IFERROR(__xludf.DUMMYFUNCTION("""COMPUTED_VALUE"""),57.0)</f>
        <v>57</v>
      </c>
      <c r="L2903" s="176">
        <f>IFERROR(__xludf.DUMMYFUNCTION("""COMPUTED_VALUE"""),8.0)</f>
        <v>8</v>
      </c>
      <c r="M2903" s="176">
        <f>IFERROR(__xludf.DUMMYFUNCTION("""COMPUTED_VALUE"""),65.0)</f>
        <v>65</v>
      </c>
      <c r="N2903" s="177" t="str">
        <f>IFERROR(__xludf.DUMMYFUNCTION("""COMPUTED_VALUE"""),"Model 3 LR")</f>
        <v>Model 3 LR</v>
      </c>
      <c r="O2903" s="177" t="str">
        <f>IFERROR(__xludf.DUMMYFUNCTION("""COMPUTED_VALUE"""),"Solid Black")</f>
        <v>Solid Black</v>
      </c>
      <c r="P2903" s="178" t="str">
        <f>IFERROR(__xludf.DUMMYFUNCTION("""COMPUTED_VALUE"""),"18 inch Aero")</f>
        <v>18 inch Aero</v>
      </c>
      <c r="Q2903" s="177" t="str">
        <f>IFERROR(__xludf.DUMMYFUNCTION("""COMPUTED_VALUE"""),"Black seats")</f>
        <v>Black seats</v>
      </c>
      <c r="R2903" s="170" t="str">
        <f>IFERROR(__xludf.DUMMYFUNCTION("""COMPUTED_VALUE"""),"None")</f>
        <v>None</v>
      </c>
      <c r="S2903" s="170"/>
      <c r="T2903" s="179"/>
      <c r="U2903" s="179"/>
      <c r="V2903" s="179"/>
      <c r="W2903" s="180"/>
      <c r="X2903" s="181" t="str">
        <f>IFERROR(__xludf.DUMMYFUNCTION("""COMPUTED_VALUE"""),"Excellent")</f>
        <v>Excellent</v>
      </c>
      <c r="Y2903" s="182" t="str">
        <f>IFERROR(__xludf.DUMMYFUNCTION("""COMPUTED_VALUE"""),"Excellent")</f>
        <v>Excellent</v>
      </c>
      <c r="Z2903" s="182" t="str">
        <f>IFERROR(__xludf.DUMMYFUNCTION("""COMPUTED_VALUE"""),"Excellent")</f>
        <v>Excellent</v>
      </c>
      <c r="AA2903" s="182" t="str">
        <f>IFERROR(__xludf.DUMMYFUNCTION("""COMPUTED_VALUE"""),"Excellent")</f>
        <v>Excellent</v>
      </c>
      <c r="AB2903" s="182" t="str">
        <f>IFERROR(__xludf.DUMMYFUNCTION("""COMPUTED_VALUE"""),"Excellent")</f>
        <v>Excellent</v>
      </c>
      <c r="AC2903" s="183"/>
      <c r="AD2903" s="183"/>
      <c r="AE2903" s="183"/>
      <c r="AF2903" s="184"/>
      <c r="AG2903" s="180"/>
      <c r="AH2903" s="185">
        <f>IFERROR(__xludf.DUMMYFUNCTION("""COMPUTED_VALUE"""),43345.19500611111)</f>
        <v>43345.19501</v>
      </c>
      <c r="AI2903" s="182"/>
      <c r="AJ2903" s="182"/>
      <c r="AK2903" s="182"/>
      <c r="AL2903" s="182"/>
    </row>
    <row r="2904" ht="20.25" customHeight="1">
      <c r="A2904" s="169" t="str">
        <f>IFERROR(__xludf.DUMMYFUNCTION("""COMPUTED_VALUE"""),"dysst2")</f>
        <v>dysst2</v>
      </c>
      <c r="B2904" s="170" t="str">
        <f>IFERROR(__xludf.DUMMYFUNCTION("""COMPUTED_VALUE"""),"California")</f>
        <v>California</v>
      </c>
      <c r="C2904" s="170" t="str">
        <f>IFERROR(__xludf.DUMMYFUNCTION("""COMPUTED_VALUE"""),"CA")</f>
        <v>CA</v>
      </c>
      <c r="D2904" s="170" t="str">
        <f>IFERROR(__xludf.DUMMYFUNCTION("""COMPUTED_VALUE"""),"USA")</f>
        <v>USA</v>
      </c>
      <c r="E2904" s="171">
        <f>IFERROR(__xludf.DUMMYFUNCTION("""COMPUTED_VALUE"""),43279.0)</f>
        <v>43279</v>
      </c>
      <c r="F2904" s="172"/>
      <c r="G2904" s="173"/>
      <c r="H2904" s="174">
        <f>IFERROR(__xludf.DUMMYFUNCTION("""COMPUTED_VALUE"""),89355.0)</f>
        <v>89355</v>
      </c>
      <c r="I2904" s="175"/>
      <c r="J2904" s="172">
        <f>IFERROR(__xludf.DUMMYFUNCTION("""COMPUTED_VALUE"""),43363.0)</f>
        <v>43363</v>
      </c>
      <c r="K2904" s="176"/>
      <c r="L2904" s="176"/>
      <c r="M2904" s="176">
        <f>IFERROR(__xludf.DUMMYFUNCTION("""COMPUTED_VALUE"""),84.0)</f>
        <v>84</v>
      </c>
      <c r="N2904" s="177" t="str">
        <f>IFERROR(__xludf.DUMMYFUNCTION("""COMPUTED_VALUE"""),"Model 3 LR AWD")</f>
        <v>Model 3 LR AWD</v>
      </c>
      <c r="O2904" s="177" t="str">
        <f>IFERROR(__xludf.DUMMYFUNCTION("""COMPUTED_VALUE"""),"Silver Metallic")</f>
        <v>Silver Metallic</v>
      </c>
      <c r="P2904" s="178" t="str">
        <f>IFERROR(__xludf.DUMMYFUNCTION("""COMPUTED_VALUE"""),"19 inch Sport")</f>
        <v>19 inch Sport</v>
      </c>
      <c r="Q2904" s="177" t="str">
        <f>IFERROR(__xludf.DUMMYFUNCTION("""COMPUTED_VALUE"""),"Black seats")</f>
        <v>Black seats</v>
      </c>
      <c r="R2904" s="170" t="str">
        <f>IFERROR(__xludf.DUMMYFUNCTION("""COMPUTED_VALUE"""),"Enhanced Autopilot")</f>
        <v>Enhanced Autopilot</v>
      </c>
      <c r="S2904" s="170"/>
      <c r="T2904" s="179"/>
      <c r="U2904" s="179"/>
      <c r="V2904" s="179"/>
      <c r="W2904" s="180"/>
      <c r="X2904" s="181" t="str">
        <f>IFERROR(__xludf.DUMMYFUNCTION("""COMPUTED_VALUE"""),"Fair")</f>
        <v>Fair</v>
      </c>
      <c r="Y2904" s="182" t="str">
        <f>IFERROR(__xludf.DUMMYFUNCTION("""COMPUTED_VALUE"""),"Fair")</f>
        <v>Fair</v>
      </c>
      <c r="Z2904" s="182" t="str">
        <f>IFERROR(__xludf.DUMMYFUNCTION("""COMPUTED_VALUE"""),"Fair")</f>
        <v>Fair</v>
      </c>
      <c r="AA2904" s="182" t="str">
        <f>IFERROR(__xludf.DUMMYFUNCTION("""COMPUTED_VALUE"""),"Poor")</f>
        <v>Poor</v>
      </c>
      <c r="AB2904" s="182" t="str">
        <f>IFERROR(__xludf.DUMMYFUNCTION("""COMPUTED_VALUE"""),"Poor")</f>
        <v>Poor</v>
      </c>
      <c r="AC2904" s="183">
        <f>IFERROR(__xludf.DUMMYFUNCTION("""COMPUTED_VALUE"""),5.0)</f>
        <v>5</v>
      </c>
      <c r="AD2904" s="183">
        <f>IFERROR(__xludf.DUMMYFUNCTION("""COMPUTED_VALUE"""),1.0)</f>
        <v>1</v>
      </c>
      <c r="AE2904" s="183">
        <f>IFERROR(__xludf.DUMMYFUNCTION("""COMPUTED_VALUE"""),7.0)</f>
        <v>7</v>
      </c>
      <c r="AF2904" s="184"/>
      <c r="AG2904" s="180"/>
      <c r="AH2904" s="185">
        <f>IFERROR(__xludf.DUMMYFUNCTION("""COMPUTED_VALUE"""),43382.639524791666)</f>
        <v>43382.63952</v>
      </c>
      <c r="AI2904" s="182"/>
      <c r="AJ2904" s="182"/>
      <c r="AK2904" s="182"/>
      <c r="AL2904" s="182"/>
    </row>
    <row r="2905" ht="20.25" customHeight="1">
      <c r="A2905" s="169" t="str">
        <f>IFERROR(__xludf.DUMMYFUNCTION("""COMPUTED_VALUE"""),"eddie.geisler")</f>
        <v>eddie.geisler</v>
      </c>
      <c r="B2905" s="170" t="str">
        <f>IFERROR(__xludf.DUMMYFUNCTION("""COMPUTED_VALUE"""),"washington, dc")</f>
        <v>washington, dc</v>
      </c>
      <c r="C2905" s="170" t="str">
        <f>IFERROR(__xludf.DUMMYFUNCTION("""COMPUTED_VALUE"""),"VA")</f>
        <v>VA</v>
      </c>
      <c r="D2905" s="170" t="str">
        <f>IFERROR(__xludf.DUMMYFUNCTION("""COMPUTED_VALUE"""),"USA")</f>
        <v>USA</v>
      </c>
      <c r="E2905" s="171">
        <f>IFERROR(__xludf.DUMMYFUNCTION("""COMPUTED_VALUE"""),43279.0)</f>
        <v>43279</v>
      </c>
      <c r="F2905" s="172">
        <f>IFERROR(__xludf.DUMMYFUNCTION("""COMPUTED_VALUE"""),43312.0)</f>
        <v>43312</v>
      </c>
      <c r="G2905" s="173"/>
      <c r="H2905" s="174">
        <f>IFERROR(__xludf.DUMMYFUNCTION("""COMPUTED_VALUE"""),57934.0)</f>
        <v>57934</v>
      </c>
      <c r="I2905" s="175"/>
      <c r="J2905" s="172">
        <f>IFERROR(__xludf.DUMMYFUNCTION("""COMPUTED_VALUE"""),43336.0)</f>
        <v>43336</v>
      </c>
      <c r="K2905" s="176">
        <f>IFERROR(__xludf.DUMMYFUNCTION("""COMPUTED_VALUE"""),33.0)</f>
        <v>33</v>
      </c>
      <c r="L2905" s="176">
        <f>IFERROR(__xludf.DUMMYFUNCTION("""COMPUTED_VALUE"""),24.0)</f>
        <v>24</v>
      </c>
      <c r="M2905" s="176">
        <f>IFERROR(__xludf.DUMMYFUNCTION("""COMPUTED_VALUE"""),57.0)</f>
        <v>57</v>
      </c>
      <c r="N2905" s="177" t="str">
        <f>IFERROR(__xludf.DUMMYFUNCTION("""COMPUTED_VALUE"""),"Model 3 LR")</f>
        <v>Model 3 LR</v>
      </c>
      <c r="O2905" s="177" t="str">
        <f>IFERROR(__xludf.DUMMYFUNCTION("""COMPUTED_VALUE"""),"Midnight Silver Metallic")</f>
        <v>Midnight Silver Metallic</v>
      </c>
      <c r="P2905" s="178" t="str">
        <f>IFERROR(__xludf.DUMMYFUNCTION("""COMPUTED_VALUE"""),"18 inch Aero")</f>
        <v>18 inch Aero</v>
      </c>
      <c r="Q2905" s="177" t="str">
        <f>IFERROR(__xludf.DUMMYFUNCTION("""COMPUTED_VALUE"""),"Black seats")</f>
        <v>Black seats</v>
      </c>
      <c r="R2905" s="170" t="str">
        <f>IFERROR(__xludf.DUMMYFUNCTION("""COMPUTED_VALUE"""),"Enhanced Autopilot")</f>
        <v>Enhanced Autopilot</v>
      </c>
      <c r="S2905" s="170"/>
      <c r="T2905" s="179"/>
      <c r="U2905" s="179"/>
      <c r="V2905" s="179"/>
      <c r="W2905" s="180"/>
      <c r="X2905" s="181" t="str">
        <f>IFERROR(__xludf.DUMMYFUNCTION("""COMPUTED_VALUE"""),"Excellent")</f>
        <v>Excellent</v>
      </c>
      <c r="Y2905" s="182" t="str">
        <f>IFERROR(__xludf.DUMMYFUNCTION("""COMPUTED_VALUE"""),"Excellent")</f>
        <v>Excellent</v>
      </c>
      <c r="Z2905" s="182" t="str">
        <f>IFERROR(__xludf.DUMMYFUNCTION("""COMPUTED_VALUE"""),"Excellent")</f>
        <v>Excellent</v>
      </c>
      <c r="AA2905" s="182" t="str">
        <f>IFERROR(__xludf.DUMMYFUNCTION("""COMPUTED_VALUE"""),"Good")</f>
        <v>Good</v>
      </c>
      <c r="AB2905" s="182" t="str">
        <f>IFERROR(__xludf.DUMMYFUNCTION("""COMPUTED_VALUE"""),"Excellent")</f>
        <v>Excellent</v>
      </c>
      <c r="AC2905" s="183">
        <f>IFERROR(__xludf.DUMMYFUNCTION("""COMPUTED_VALUE"""),0.0)</f>
        <v>0</v>
      </c>
      <c r="AD2905" s="183"/>
      <c r="AE2905" s="183"/>
      <c r="AF2905" s="184"/>
      <c r="AG2905" s="180" t="str">
        <f>IFERROR(__xludf.DUMMYFUNCTION("""COMPUTED_VALUE"""),"The car didnt have EAP installed, but they will push through as an update.")</f>
        <v>The car didnt have EAP installed, but they will push through as an update.</v>
      </c>
      <c r="AH2905" s="185">
        <f>IFERROR(__xludf.DUMMYFUNCTION("""COMPUTED_VALUE"""),43337.29794482639)</f>
        <v>43337.29794</v>
      </c>
      <c r="AI2905" s="182"/>
      <c r="AJ2905" s="182"/>
      <c r="AK2905" s="182"/>
      <c r="AL2905" s="182"/>
    </row>
    <row r="2906" ht="20.25" customHeight="1">
      <c r="A2906" s="169" t="str">
        <f>IFERROR(__xludf.DUMMYFUNCTION("""COMPUTED_VALUE"""),"EHarris")</f>
        <v>EHarris</v>
      </c>
      <c r="B2906" s="170" t="str">
        <f>IFERROR(__xludf.DUMMYFUNCTION("""COMPUTED_VALUE"""),"Fairfax County")</f>
        <v>Fairfax County</v>
      </c>
      <c r="C2906" s="170" t="str">
        <f>IFERROR(__xludf.DUMMYFUNCTION("""COMPUTED_VALUE"""),"VA")</f>
        <v>VA</v>
      </c>
      <c r="D2906" s="170" t="str">
        <f>IFERROR(__xludf.DUMMYFUNCTION("""COMPUTED_VALUE"""),"USA")</f>
        <v>USA</v>
      </c>
      <c r="E2906" s="171">
        <f>IFERROR(__xludf.DUMMYFUNCTION("""COMPUTED_VALUE"""),43279.0)</f>
        <v>43279</v>
      </c>
      <c r="F2906" s="172">
        <f>IFERROR(__xludf.DUMMYFUNCTION("""COMPUTED_VALUE"""),43281.0)</f>
        <v>43281</v>
      </c>
      <c r="G2906" s="173"/>
      <c r="H2906" s="174">
        <f>IFERROR(__xludf.DUMMYFUNCTION("""COMPUTED_VALUE"""),26355.0)</f>
        <v>26355</v>
      </c>
      <c r="I2906" s="175"/>
      <c r="J2906" s="172">
        <f>IFERROR(__xludf.DUMMYFUNCTION("""COMPUTED_VALUE"""),43296.0)</f>
        <v>43296</v>
      </c>
      <c r="K2906" s="176">
        <f>IFERROR(__xludf.DUMMYFUNCTION("""COMPUTED_VALUE"""),2.0)</f>
        <v>2</v>
      </c>
      <c r="L2906" s="176">
        <f>IFERROR(__xludf.DUMMYFUNCTION("""COMPUTED_VALUE"""),15.0)</f>
        <v>15</v>
      </c>
      <c r="M2906" s="176">
        <f>IFERROR(__xludf.DUMMYFUNCTION("""COMPUTED_VALUE"""),17.0)</f>
        <v>17</v>
      </c>
      <c r="N2906" s="177" t="str">
        <f>IFERROR(__xludf.DUMMYFUNCTION("""COMPUTED_VALUE"""),"Model 3 LR")</f>
        <v>Model 3 LR</v>
      </c>
      <c r="O2906" s="177" t="str">
        <f>IFERROR(__xludf.DUMMYFUNCTION("""COMPUTED_VALUE"""),"Deep Blue Metallic")</f>
        <v>Deep Blue Metallic</v>
      </c>
      <c r="P2906" s="178" t="str">
        <f>IFERROR(__xludf.DUMMYFUNCTION("""COMPUTED_VALUE"""),"18 inch Aero")</f>
        <v>18 inch Aero</v>
      </c>
      <c r="Q2906" s="177" t="str">
        <f>IFERROR(__xludf.DUMMYFUNCTION("""COMPUTED_VALUE"""),"Black seats")</f>
        <v>Black seats</v>
      </c>
      <c r="R2906" s="170" t="str">
        <f>IFERROR(__xludf.DUMMYFUNCTION("""COMPUTED_VALUE"""),"Full Self-Driving")</f>
        <v>Full Self-Driving</v>
      </c>
      <c r="S2906" s="170"/>
      <c r="T2906" s="179"/>
      <c r="U2906" s="179"/>
      <c r="V2906" s="179"/>
      <c r="W2906" s="180"/>
      <c r="X2906" s="181" t="str">
        <f>IFERROR(__xludf.DUMMYFUNCTION("""COMPUTED_VALUE"""),"Excellent")</f>
        <v>Excellent</v>
      </c>
      <c r="Y2906" s="182" t="str">
        <f>IFERROR(__xludf.DUMMYFUNCTION("""COMPUTED_VALUE"""),"Excellent")</f>
        <v>Excellent</v>
      </c>
      <c r="Z2906" s="182" t="str">
        <f>IFERROR(__xludf.DUMMYFUNCTION("""COMPUTED_VALUE"""),"Fair")</f>
        <v>Fair</v>
      </c>
      <c r="AA2906" s="182" t="str">
        <f>IFERROR(__xludf.DUMMYFUNCTION("""COMPUTED_VALUE"""),"Good")</f>
        <v>Good</v>
      </c>
      <c r="AB2906" s="182" t="str">
        <f>IFERROR(__xludf.DUMMYFUNCTION("""COMPUTED_VALUE"""),"Very Good")</f>
        <v>Very Good</v>
      </c>
      <c r="AC2906" s="183">
        <f>IFERROR(__xludf.DUMMYFUNCTION("""COMPUTED_VALUE"""),1.0)</f>
        <v>1</v>
      </c>
      <c r="AD2906" s="183">
        <f>IFERROR(__xludf.DUMMYFUNCTION("""COMPUTED_VALUE"""),1.0)</f>
        <v>1</v>
      </c>
      <c r="AE2906" s="183">
        <f>IFERROR(__xludf.DUMMYFUNCTION("""COMPUTED_VALUE"""),0.0)</f>
        <v>0</v>
      </c>
      <c r="AF2906" s="184"/>
      <c r="AG2906" s="180" t="str">
        <f>IFERROR(__xludf.DUMMYFUNCTION("""COMPUTED_VALUE"""),"Warped, distorted windshield (3 weeks to order replacement). Various minor paint defects that I didn't bother going back to Tesla for.")</f>
        <v>Warped, distorted windshield (3 weeks to order replacement). Various minor paint defects that I didn't bother going back to Tesla for.</v>
      </c>
      <c r="AH2906" s="185">
        <f>IFERROR(__xludf.DUMMYFUNCTION("""COMPUTED_VALUE"""),43695.79504315972)</f>
        <v>43695.79504</v>
      </c>
      <c r="AI2906" s="182"/>
      <c r="AJ2906" s="182"/>
      <c r="AK2906" s="182"/>
      <c r="AL2906" s="182"/>
    </row>
    <row r="2907" ht="20.25" customHeight="1">
      <c r="A2907" s="169" t="str">
        <f>IFERROR(__xludf.DUMMYFUNCTION("""COMPUTED_VALUE"""),"engineer")</f>
        <v>engineer</v>
      </c>
      <c r="B2907" s="170" t="str">
        <f>IFERROR(__xludf.DUMMYFUNCTION("""COMPUTED_VALUE"""),"Bedford")</f>
        <v>Bedford</v>
      </c>
      <c r="C2907" s="170" t="str">
        <f>IFERROR(__xludf.DUMMYFUNCTION("""COMPUTED_VALUE"""),"MA")</f>
        <v>MA</v>
      </c>
      <c r="D2907" s="170" t="str">
        <f>IFERROR(__xludf.DUMMYFUNCTION("""COMPUTED_VALUE"""),"USA")</f>
        <v>USA</v>
      </c>
      <c r="E2907" s="171">
        <f>IFERROR(__xludf.DUMMYFUNCTION("""COMPUTED_VALUE"""),43279.0)</f>
        <v>43279</v>
      </c>
      <c r="F2907" s="172">
        <f>IFERROR(__xludf.DUMMYFUNCTION("""COMPUTED_VALUE"""),43364.0)</f>
        <v>43364</v>
      </c>
      <c r="G2907" s="173"/>
      <c r="H2907" s="174">
        <f>IFERROR(__xludf.DUMMYFUNCTION("""COMPUTED_VALUE"""),90755.0)</f>
        <v>90755</v>
      </c>
      <c r="I2907" s="175" t="str">
        <f>IFERROR(__xludf.DUMMYFUNCTION("""COMPUTED_VALUE"""),"09/19")</f>
        <v>09/19</v>
      </c>
      <c r="J2907" s="172">
        <f>IFERROR(__xludf.DUMMYFUNCTION("""COMPUTED_VALUE"""),43371.0)</f>
        <v>43371</v>
      </c>
      <c r="K2907" s="176">
        <f>IFERROR(__xludf.DUMMYFUNCTION("""COMPUTED_VALUE"""),85.0)</f>
        <v>85</v>
      </c>
      <c r="L2907" s="176">
        <f>IFERROR(__xludf.DUMMYFUNCTION("""COMPUTED_VALUE"""),7.0)</f>
        <v>7</v>
      </c>
      <c r="M2907" s="176">
        <f>IFERROR(__xludf.DUMMYFUNCTION("""COMPUTED_VALUE"""),92.0)</f>
        <v>92</v>
      </c>
      <c r="N2907" s="177" t="str">
        <f>IFERROR(__xludf.DUMMYFUNCTION("""COMPUTED_VALUE"""),"Model 3 LR AWD")</f>
        <v>Model 3 LR AWD</v>
      </c>
      <c r="O2907" s="177" t="str">
        <f>IFERROR(__xludf.DUMMYFUNCTION("""COMPUTED_VALUE"""),"Midnight Silver Metallic")</f>
        <v>Midnight Silver Metallic</v>
      </c>
      <c r="P2907" s="178" t="str">
        <f>IFERROR(__xludf.DUMMYFUNCTION("""COMPUTED_VALUE"""),"18 inch Aero")</f>
        <v>18 inch Aero</v>
      </c>
      <c r="Q2907" s="177" t="str">
        <f>IFERROR(__xludf.DUMMYFUNCTION("""COMPUTED_VALUE"""),"Black seats")</f>
        <v>Black seats</v>
      </c>
      <c r="R2907" s="170" t="str">
        <f>IFERROR(__xludf.DUMMYFUNCTION("""COMPUTED_VALUE"""),"Autopilot")</f>
        <v>Autopilot</v>
      </c>
      <c r="S2907" s="170"/>
      <c r="T2907" s="179"/>
      <c r="U2907" s="179"/>
      <c r="V2907" s="179"/>
      <c r="W2907" s="180"/>
      <c r="X2907" s="181" t="str">
        <f>IFERROR(__xludf.DUMMYFUNCTION("""COMPUTED_VALUE"""),"Excellent")</f>
        <v>Excellent</v>
      </c>
      <c r="Y2907" s="182" t="str">
        <f>IFERROR(__xludf.DUMMYFUNCTION("""COMPUTED_VALUE"""),"Very Good")</f>
        <v>Very Good</v>
      </c>
      <c r="Z2907" s="182" t="str">
        <f>IFERROR(__xludf.DUMMYFUNCTION("""COMPUTED_VALUE"""),"Excellent")</f>
        <v>Excellent</v>
      </c>
      <c r="AA2907" s="182" t="str">
        <f>IFERROR(__xludf.DUMMYFUNCTION("""COMPUTED_VALUE"""),"Very Good")</f>
        <v>Very Good</v>
      </c>
      <c r="AB2907" s="182" t="str">
        <f>IFERROR(__xludf.DUMMYFUNCTION("""COMPUTED_VALUE"""),"Good")</f>
        <v>Good</v>
      </c>
      <c r="AC2907" s="183">
        <f>IFERROR(__xludf.DUMMYFUNCTION("""COMPUTED_VALUE"""),7.0)</f>
        <v>7</v>
      </c>
      <c r="AD2907" s="183">
        <f>IFERROR(__xludf.DUMMYFUNCTION("""COMPUTED_VALUE"""),1.0)</f>
        <v>1</v>
      </c>
      <c r="AE2907" s="183">
        <f>IFERROR(__xludf.DUMMYFUNCTION("""COMPUTED_VALUE"""),0.0)</f>
        <v>0</v>
      </c>
      <c r="AF2907" s="184"/>
      <c r="AG2907" s="180" t="str">
        <f>IFERROR(__xludf.DUMMYFUNCTION("""COMPUTED_VALUE"""),"Manufacture date of 09/18 not available in drop down list")</f>
        <v>Manufacture date of 09/18 not available in drop down list</v>
      </c>
      <c r="AH2907" s="185">
        <f>IFERROR(__xludf.DUMMYFUNCTION("""COMPUTED_VALUE"""),43728.73621487268)</f>
        <v>43728.73621</v>
      </c>
      <c r="AI2907" s="182"/>
      <c r="AJ2907" s="182"/>
      <c r="AK2907" s="182"/>
      <c r="AL2907" s="182"/>
    </row>
    <row r="2908" ht="20.25" customHeight="1">
      <c r="A2908" s="169" t="str">
        <f>IFERROR(__xludf.DUMMYFUNCTION("""COMPUTED_VALUE"""),"erock")</f>
        <v>erock</v>
      </c>
      <c r="B2908" s="170" t="str">
        <f>IFERROR(__xludf.DUMMYFUNCTION("""COMPUTED_VALUE"""),"Durham")</f>
        <v>Durham</v>
      </c>
      <c r="C2908" s="170" t="str">
        <f>IFERROR(__xludf.DUMMYFUNCTION("""COMPUTED_VALUE"""),"NC")</f>
        <v>NC</v>
      </c>
      <c r="D2908" s="170" t="str">
        <f>IFERROR(__xludf.DUMMYFUNCTION("""COMPUTED_VALUE"""),"USA")</f>
        <v>USA</v>
      </c>
      <c r="E2908" s="171">
        <f>IFERROR(__xludf.DUMMYFUNCTION("""COMPUTED_VALUE"""),43279.0)</f>
        <v>43279</v>
      </c>
      <c r="F2908" s="172">
        <f>IFERROR(__xludf.DUMMYFUNCTION("""COMPUTED_VALUE"""),43288.0)</f>
        <v>43288</v>
      </c>
      <c r="G2908" s="173"/>
      <c r="H2908" s="174">
        <f>IFERROR(__xludf.DUMMYFUNCTION("""COMPUTED_VALUE"""),37141.0)</f>
        <v>37141</v>
      </c>
      <c r="I2908" s="175"/>
      <c r="J2908" s="172">
        <f>IFERROR(__xludf.DUMMYFUNCTION("""COMPUTED_VALUE"""),43292.0)</f>
        <v>43292</v>
      </c>
      <c r="K2908" s="176">
        <f>IFERROR(__xludf.DUMMYFUNCTION("""COMPUTED_VALUE"""),9.0)</f>
        <v>9</v>
      </c>
      <c r="L2908" s="176">
        <f>IFERROR(__xludf.DUMMYFUNCTION("""COMPUTED_VALUE"""),4.0)</f>
        <v>4</v>
      </c>
      <c r="M2908" s="176">
        <f>IFERROR(__xludf.DUMMYFUNCTION("""COMPUTED_VALUE"""),13.0)</f>
        <v>13</v>
      </c>
      <c r="N2908" s="177" t="str">
        <f>IFERROR(__xludf.DUMMYFUNCTION("""COMPUTED_VALUE"""),"Model 3 LR")</f>
        <v>Model 3 LR</v>
      </c>
      <c r="O2908" s="177" t="str">
        <f>IFERROR(__xludf.DUMMYFUNCTION("""COMPUTED_VALUE"""),"Midnight Silver Metallic")</f>
        <v>Midnight Silver Metallic</v>
      </c>
      <c r="P2908" s="178" t="str">
        <f>IFERROR(__xludf.DUMMYFUNCTION("""COMPUTED_VALUE"""),"18 inch Aero")</f>
        <v>18 inch Aero</v>
      </c>
      <c r="Q2908" s="177" t="str">
        <f>IFERROR(__xludf.DUMMYFUNCTION("""COMPUTED_VALUE"""),"Black seats")</f>
        <v>Black seats</v>
      </c>
      <c r="R2908" s="170" t="str">
        <f>IFERROR(__xludf.DUMMYFUNCTION("""COMPUTED_VALUE"""),"Enhanced Autopilot")</f>
        <v>Enhanced Autopilot</v>
      </c>
      <c r="S2908" s="170"/>
      <c r="T2908" s="179"/>
      <c r="U2908" s="179"/>
      <c r="V2908" s="179"/>
      <c r="W2908" s="180"/>
      <c r="X2908" s="181" t="str">
        <f>IFERROR(__xludf.DUMMYFUNCTION("""COMPUTED_VALUE"""),"Very Good")</f>
        <v>Very Good</v>
      </c>
      <c r="Y2908" s="182" t="str">
        <f>IFERROR(__xludf.DUMMYFUNCTION("""COMPUTED_VALUE"""),"Very Good")</f>
        <v>Very Good</v>
      </c>
      <c r="Z2908" s="182" t="str">
        <f>IFERROR(__xludf.DUMMYFUNCTION("""COMPUTED_VALUE"""),"Excellent")</f>
        <v>Excellent</v>
      </c>
      <c r="AA2908" s="182" t="str">
        <f>IFERROR(__xludf.DUMMYFUNCTION("""COMPUTED_VALUE"""),"Excellent")</f>
        <v>Excellent</v>
      </c>
      <c r="AB2908" s="182" t="str">
        <f>IFERROR(__xludf.DUMMYFUNCTION("""COMPUTED_VALUE"""),"Good")</f>
        <v>Good</v>
      </c>
      <c r="AC2908" s="183">
        <f>IFERROR(__xludf.DUMMYFUNCTION("""COMPUTED_VALUE"""),2.0)</f>
        <v>2</v>
      </c>
      <c r="AD2908" s="183">
        <f>IFERROR(__xludf.DUMMYFUNCTION("""COMPUTED_VALUE"""),1.0)</f>
        <v>1</v>
      </c>
      <c r="AE2908" s="183">
        <f>IFERROR(__xludf.DUMMYFUNCTION("""COMPUTED_VALUE"""),5.0)</f>
        <v>5</v>
      </c>
      <c r="AF2908" s="184"/>
      <c r="AG2908" s="180"/>
      <c r="AH2908" s="185">
        <f>IFERROR(__xludf.DUMMYFUNCTION("""COMPUTED_VALUE"""),43335.55098768519)</f>
        <v>43335.55099</v>
      </c>
      <c r="AI2908" s="182"/>
      <c r="AJ2908" s="182"/>
      <c r="AK2908" s="182"/>
      <c r="AL2908" s="182"/>
    </row>
    <row r="2909" ht="20.25" customHeight="1">
      <c r="A2909" s="169" t="str">
        <f>IFERROR(__xludf.DUMMYFUNCTION("""COMPUTED_VALUE"""),"fc007")</f>
        <v>fc007</v>
      </c>
      <c r="B2909" s="170" t="str">
        <f>IFERROR(__xludf.DUMMYFUNCTION("""COMPUTED_VALUE"""),"Bellevue")</f>
        <v>Bellevue</v>
      </c>
      <c r="C2909" s="170" t="str">
        <f>IFERROR(__xludf.DUMMYFUNCTION("""COMPUTED_VALUE"""),"WA")</f>
        <v>WA</v>
      </c>
      <c r="D2909" s="170" t="str">
        <f>IFERROR(__xludf.DUMMYFUNCTION("""COMPUTED_VALUE"""),"USA")</f>
        <v>USA</v>
      </c>
      <c r="E2909" s="171">
        <f>IFERROR(__xludf.DUMMYFUNCTION("""COMPUTED_VALUE"""),43279.0)</f>
        <v>43279</v>
      </c>
      <c r="F2909" s="172">
        <f>IFERROR(__xludf.DUMMYFUNCTION("""COMPUTED_VALUE"""),43367.0)</f>
        <v>43367</v>
      </c>
      <c r="G2909" s="173"/>
      <c r="H2909" s="174">
        <f>IFERROR(__xludf.DUMMYFUNCTION("""COMPUTED_VALUE"""),85255.0)</f>
        <v>85255</v>
      </c>
      <c r="I2909" s="175"/>
      <c r="J2909" s="172">
        <f>IFERROR(__xludf.DUMMYFUNCTION("""COMPUTED_VALUE"""),43372.0)</f>
        <v>43372</v>
      </c>
      <c r="K2909" s="176">
        <f>IFERROR(__xludf.DUMMYFUNCTION("""COMPUTED_VALUE"""),88.0)</f>
        <v>88</v>
      </c>
      <c r="L2909" s="176">
        <f>IFERROR(__xludf.DUMMYFUNCTION("""COMPUTED_VALUE"""),5.0)</f>
        <v>5</v>
      </c>
      <c r="M2909" s="176">
        <f>IFERROR(__xludf.DUMMYFUNCTION("""COMPUTED_VALUE"""),93.0)</f>
        <v>93</v>
      </c>
      <c r="N2909" s="177" t="str">
        <f>IFERROR(__xludf.DUMMYFUNCTION("""COMPUTED_VALUE"""),"Model 3 LR AWD")</f>
        <v>Model 3 LR AWD</v>
      </c>
      <c r="O2909" s="177" t="str">
        <f>IFERROR(__xludf.DUMMYFUNCTION("""COMPUTED_VALUE"""),"Pearl White Multi-Coat")</f>
        <v>Pearl White Multi-Coat</v>
      </c>
      <c r="P2909" s="178" t="str">
        <f>IFERROR(__xludf.DUMMYFUNCTION("""COMPUTED_VALUE"""),"18 inch Aero")</f>
        <v>18 inch Aero</v>
      </c>
      <c r="Q2909" s="177" t="str">
        <f>IFERROR(__xludf.DUMMYFUNCTION("""COMPUTED_VALUE"""),"Black seats")</f>
        <v>Black seats</v>
      </c>
      <c r="R2909" s="170" t="str">
        <f>IFERROR(__xludf.DUMMYFUNCTION("""COMPUTED_VALUE"""),"Enhanced Autopilot")</f>
        <v>Enhanced Autopilot</v>
      </c>
      <c r="S2909" s="170"/>
      <c r="T2909" s="179"/>
      <c r="U2909" s="179"/>
      <c r="V2909" s="179"/>
      <c r="W2909" s="180"/>
      <c r="X2909" s="181" t="str">
        <f>IFERROR(__xludf.DUMMYFUNCTION("""COMPUTED_VALUE"""),"Excellent")</f>
        <v>Excellent</v>
      </c>
      <c r="Y2909" s="182" t="str">
        <f>IFERROR(__xludf.DUMMYFUNCTION("""COMPUTED_VALUE"""),"Excellent")</f>
        <v>Excellent</v>
      </c>
      <c r="Z2909" s="182" t="str">
        <f>IFERROR(__xludf.DUMMYFUNCTION("""COMPUTED_VALUE"""),"Excellent")</f>
        <v>Excellent</v>
      </c>
      <c r="AA2909" s="182" t="str">
        <f>IFERROR(__xludf.DUMMYFUNCTION("""COMPUTED_VALUE"""),"Fair")</f>
        <v>Fair</v>
      </c>
      <c r="AB2909" s="182" t="str">
        <f>IFERROR(__xludf.DUMMYFUNCTION("""COMPUTED_VALUE"""),"Poor")</f>
        <v>Poor</v>
      </c>
      <c r="AC2909" s="183">
        <f>IFERROR(__xludf.DUMMYFUNCTION("""COMPUTED_VALUE"""),1.0)</f>
        <v>1</v>
      </c>
      <c r="AD2909" s="183"/>
      <c r="AE2909" s="183"/>
      <c r="AF2909" s="184"/>
      <c r="AG2909" s="180"/>
      <c r="AH2909" s="185">
        <f>IFERROR(__xludf.DUMMYFUNCTION("""COMPUTED_VALUE"""),43374.54473270833)</f>
        <v>43374.54473</v>
      </c>
      <c r="AI2909" s="182"/>
      <c r="AJ2909" s="182"/>
      <c r="AK2909" s="182"/>
      <c r="AL2909" s="182"/>
    </row>
    <row r="2910" ht="20.25" customHeight="1">
      <c r="A2910" s="169" t="str">
        <f>IFERROR(__xludf.DUMMYFUNCTION("""COMPUTED_VALUE"""),"Garnets88")</f>
        <v>Garnets88</v>
      </c>
      <c r="B2910" s="170"/>
      <c r="C2910" s="170" t="str">
        <f>IFERROR(__xludf.DUMMYFUNCTION("""COMPUTED_VALUE"""),"NJ")</f>
        <v>NJ</v>
      </c>
      <c r="D2910" s="170" t="str">
        <f>IFERROR(__xludf.DUMMYFUNCTION("""COMPUTED_VALUE"""),"USA")</f>
        <v>USA</v>
      </c>
      <c r="E2910" s="171">
        <f>IFERROR(__xludf.DUMMYFUNCTION("""COMPUTED_VALUE"""),43279.0)</f>
        <v>43279</v>
      </c>
      <c r="F2910" s="172">
        <f>IFERROR(__xludf.DUMMYFUNCTION("""COMPUTED_VALUE"""),43353.0)</f>
        <v>43353</v>
      </c>
      <c r="G2910" s="173"/>
      <c r="H2910" s="174">
        <f>IFERROR(__xludf.DUMMYFUNCTION("""COMPUTED_VALUE"""),103355.0)</f>
        <v>103355</v>
      </c>
      <c r="I2910" s="175"/>
      <c r="J2910" s="172">
        <f>IFERROR(__xludf.DUMMYFUNCTION("""COMPUTED_VALUE"""),43386.0)</f>
        <v>43386</v>
      </c>
      <c r="K2910" s="176">
        <f>IFERROR(__xludf.DUMMYFUNCTION("""COMPUTED_VALUE"""),74.0)</f>
        <v>74</v>
      </c>
      <c r="L2910" s="176">
        <f>IFERROR(__xludf.DUMMYFUNCTION("""COMPUTED_VALUE"""),33.0)</f>
        <v>33</v>
      </c>
      <c r="M2910" s="176">
        <f>IFERROR(__xludf.DUMMYFUNCTION("""COMPUTED_VALUE"""),107.0)</f>
        <v>107</v>
      </c>
      <c r="N2910" s="177" t="str">
        <f>IFERROR(__xludf.DUMMYFUNCTION("""COMPUTED_VALUE"""),"Model 3 LR AWD")</f>
        <v>Model 3 LR AWD</v>
      </c>
      <c r="O2910" s="177" t="str">
        <f>IFERROR(__xludf.DUMMYFUNCTION("""COMPUTED_VALUE"""),"Obsidian Black Metallic")</f>
        <v>Obsidian Black Metallic</v>
      </c>
      <c r="P2910" s="178" t="str">
        <f>IFERROR(__xludf.DUMMYFUNCTION("""COMPUTED_VALUE"""),"18 inch Aero")</f>
        <v>18 inch Aero</v>
      </c>
      <c r="Q2910" s="177" t="str">
        <f>IFERROR(__xludf.DUMMYFUNCTION("""COMPUTED_VALUE"""),"Black seats")</f>
        <v>Black seats</v>
      </c>
      <c r="R2910" s="170" t="str">
        <f>IFERROR(__xludf.DUMMYFUNCTION("""COMPUTED_VALUE"""),"Enhanced Autopilot")</f>
        <v>Enhanced Autopilot</v>
      </c>
      <c r="S2910" s="170"/>
      <c r="T2910" s="179"/>
      <c r="U2910" s="179"/>
      <c r="V2910" s="179"/>
      <c r="W2910" s="180"/>
      <c r="X2910" s="181" t="str">
        <f>IFERROR(__xludf.DUMMYFUNCTION("""COMPUTED_VALUE"""),"Excellent")</f>
        <v>Excellent</v>
      </c>
      <c r="Y2910" s="182" t="str">
        <f>IFERROR(__xludf.DUMMYFUNCTION("""COMPUTED_VALUE"""),"Excellent")</f>
        <v>Excellent</v>
      </c>
      <c r="Z2910" s="182" t="str">
        <f>IFERROR(__xludf.DUMMYFUNCTION("""COMPUTED_VALUE"""),"Excellent")</f>
        <v>Excellent</v>
      </c>
      <c r="AA2910" s="182" t="str">
        <f>IFERROR(__xludf.DUMMYFUNCTION("""COMPUTED_VALUE"""),"Good")</f>
        <v>Good</v>
      </c>
      <c r="AB2910" s="182" t="str">
        <f>IFERROR(__xludf.DUMMYFUNCTION("""COMPUTED_VALUE"""),"Good")</f>
        <v>Good</v>
      </c>
      <c r="AC2910" s="183">
        <f>IFERROR(__xludf.DUMMYFUNCTION("""COMPUTED_VALUE"""),0.0)</f>
        <v>0</v>
      </c>
      <c r="AD2910" s="183"/>
      <c r="AE2910" s="183"/>
      <c r="AF2910" s="184"/>
      <c r="AG2910" s="180"/>
      <c r="AH2910" s="185">
        <f>IFERROR(__xludf.DUMMYFUNCTION("""COMPUTED_VALUE"""),43393.31461109954)</f>
        <v>43393.31461</v>
      </c>
      <c r="AI2910" s="182"/>
      <c r="AJ2910" s="182"/>
      <c r="AK2910" s="182"/>
      <c r="AL2910" s="182"/>
    </row>
    <row r="2911" ht="20.25" customHeight="1">
      <c r="A2911" s="169" t="str">
        <f>IFERROR(__xludf.DUMMYFUNCTION("""COMPUTED_VALUE"""),"gingerale4u")</f>
        <v>gingerale4u</v>
      </c>
      <c r="B2911" s="170"/>
      <c r="C2911" s="170" t="str">
        <f>IFERROR(__xludf.DUMMYFUNCTION("""COMPUTED_VALUE"""),"AL")</f>
        <v>AL</v>
      </c>
      <c r="D2911" s="170" t="str">
        <f>IFERROR(__xludf.DUMMYFUNCTION("""COMPUTED_VALUE"""),"USA")</f>
        <v>USA</v>
      </c>
      <c r="E2911" s="171">
        <f>IFERROR(__xludf.DUMMYFUNCTION("""COMPUTED_VALUE"""),43279.0)</f>
        <v>43279</v>
      </c>
      <c r="F2911" s="172"/>
      <c r="G2911" s="173"/>
      <c r="H2911" s="174">
        <f>IFERROR(__xludf.DUMMYFUNCTION("""COMPUTED_VALUE"""),94655.0)</f>
        <v>94655</v>
      </c>
      <c r="I2911" s="175"/>
      <c r="J2911" s="172">
        <f>IFERROR(__xludf.DUMMYFUNCTION("""COMPUTED_VALUE"""),43400.0)</f>
        <v>43400</v>
      </c>
      <c r="K2911" s="176"/>
      <c r="L2911" s="176"/>
      <c r="M2911" s="176">
        <f>IFERROR(__xludf.DUMMYFUNCTION("""COMPUTED_VALUE"""),121.0)</f>
        <v>121</v>
      </c>
      <c r="N2911" s="177" t="str">
        <f>IFERROR(__xludf.DUMMYFUNCTION("""COMPUTED_VALUE"""),"Model 3 LR AWD")</f>
        <v>Model 3 LR AWD</v>
      </c>
      <c r="O2911" s="177" t="str">
        <f>IFERROR(__xludf.DUMMYFUNCTION("""COMPUTED_VALUE"""),"Deep Blue Metallic")</f>
        <v>Deep Blue Metallic</v>
      </c>
      <c r="P2911" s="178" t="str">
        <f>IFERROR(__xludf.DUMMYFUNCTION("""COMPUTED_VALUE"""),"18 inch Aero")</f>
        <v>18 inch Aero</v>
      </c>
      <c r="Q2911" s="177" t="str">
        <f>IFERROR(__xludf.DUMMYFUNCTION("""COMPUTED_VALUE"""),"Black seats")</f>
        <v>Black seats</v>
      </c>
      <c r="R2911" s="170" t="str">
        <f>IFERROR(__xludf.DUMMYFUNCTION("""COMPUTED_VALUE"""),"None")</f>
        <v>None</v>
      </c>
      <c r="S2911" s="170"/>
      <c r="T2911" s="179"/>
      <c r="U2911" s="179"/>
      <c r="V2911" s="179"/>
      <c r="W2911" s="180"/>
      <c r="X2911" s="181" t="str">
        <f>IFERROR(__xludf.DUMMYFUNCTION("""COMPUTED_VALUE"""),"Excellent")</f>
        <v>Excellent</v>
      </c>
      <c r="Y2911" s="182" t="str">
        <f>IFERROR(__xludf.DUMMYFUNCTION("""COMPUTED_VALUE"""),"Excellent")</f>
        <v>Excellent</v>
      </c>
      <c r="Z2911" s="182" t="str">
        <f>IFERROR(__xludf.DUMMYFUNCTION("""COMPUTED_VALUE"""),"Excellent")</f>
        <v>Excellent</v>
      </c>
      <c r="AA2911" s="182" t="str">
        <f>IFERROR(__xludf.DUMMYFUNCTION("""COMPUTED_VALUE"""),"Excellent")</f>
        <v>Excellent</v>
      </c>
      <c r="AB2911" s="182" t="str">
        <f>IFERROR(__xludf.DUMMYFUNCTION("""COMPUTED_VALUE"""),"Excellent")</f>
        <v>Excellent</v>
      </c>
      <c r="AC2911" s="183"/>
      <c r="AD2911" s="183"/>
      <c r="AE2911" s="183"/>
      <c r="AF2911" s="184"/>
      <c r="AG2911" s="180"/>
      <c r="AH2911" s="185">
        <f>IFERROR(__xludf.DUMMYFUNCTION("""COMPUTED_VALUE"""),43401.72260108796)</f>
        <v>43401.7226</v>
      </c>
      <c r="AI2911" s="182"/>
      <c r="AJ2911" s="182"/>
      <c r="AK2911" s="182"/>
      <c r="AL2911" s="182"/>
    </row>
    <row r="2912" ht="20.25" customHeight="1">
      <c r="A2912" s="169" t="str">
        <f>IFERROR(__xludf.DUMMYFUNCTION("""COMPUTED_VALUE"""),"gjas24")</f>
        <v>gjas24</v>
      </c>
      <c r="B2912" s="170" t="str">
        <f>IFERROR(__xludf.DUMMYFUNCTION("""COMPUTED_VALUE"""),"Littleton")</f>
        <v>Littleton</v>
      </c>
      <c r="C2912" s="170" t="str">
        <f>IFERROR(__xludf.DUMMYFUNCTION("""COMPUTED_VALUE"""),"CO")</f>
        <v>CO</v>
      </c>
      <c r="D2912" s="170" t="str">
        <f>IFERROR(__xludf.DUMMYFUNCTION("""COMPUTED_VALUE"""),"USA")</f>
        <v>USA</v>
      </c>
      <c r="E2912" s="171">
        <f>IFERROR(__xludf.DUMMYFUNCTION("""COMPUTED_VALUE"""),43279.0)</f>
        <v>43279</v>
      </c>
      <c r="F2912" s="172">
        <f>IFERROR(__xludf.DUMMYFUNCTION("""COMPUTED_VALUE"""),43365.0)</f>
        <v>43365</v>
      </c>
      <c r="G2912" s="173"/>
      <c r="H2912" s="174">
        <f>IFERROR(__xludf.DUMMYFUNCTION("""COMPUTED_VALUE"""),112355.0)</f>
        <v>112355</v>
      </c>
      <c r="I2912" s="175" t="str">
        <f>IFERROR(__xludf.DUMMYFUNCTION("""COMPUTED_VALUE"""),"09/18")</f>
        <v>09/18</v>
      </c>
      <c r="J2912" s="172">
        <f>IFERROR(__xludf.DUMMYFUNCTION("""COMPUTED_VALUE"""),43372.0)</f>
        <v>43372</v>
      </c>
      <c r="K2912" s="176">
        <f>IFERROR(__xludf.DUMMYFUNCTION("""COMPUTED_VALUE"""),86.0)</f>
        <v>86</v>
      </c>
      <c r="L2912" s="176">
        <f>IFERROR(__xludf.DUMMYFUNCTION("""COMPUTED_VALUE"""),7.0)</f>
        <v>7</v>
      </c>
      <c r="M2912" s="176">
        <f>IFERROR(__xludf.DUMMYFUNCTION("""COMPUTED_VALUE"""),93.0)</f>
        <v>93</v>
      </c>
      <c r="N2912" s="177" t="str">
        <f>IFERROR(__xludf.DUMMYFUNCTION("""COMPUTED_VALUE"""),"Model 3 LR AWD")</f>
        <v>Model 3 LR AWD</v>
      </c>
      <c r="O2912" s="177" t="str">
        <f>IFERROR(__xludf.DUMMYFUNCTION("""COMPUTED_VALUE"""),"Midnight Silver Metallic")</f>
        <v>Midnight Silver Metallic</v>
      </c>
      <c r="P2912" s="178" t="str">
        <f>IFERROR(__xludf.DUMMYFUNCTION("""COMPUTED_VALUE"""),"18 inch Aero")</f>
        <v>18 inch Aero</v>
      </c>
      <c r="Q2912" s="177" t="str">
        <f>IFERROR(__xludf.DUMMYFUNCTION("""COMPUTED_VALUE"""),"Black seats")</f>
        <v>Black seats</v>
      </c>
      <c r="R2912" s="170" t="str">
        <f>IFERROR(__xludf.DUMMYFUNCTION("""COMPUTED_VALUE"""),"Enhanced Autopilot")</f>
        <v>Enhanced Autopilot</v>
      </c>
      <c r="S2912" s="170"/>
      <c r="T2912" s="179"/>
      <c r="U2912" s="179"/>
      <c r="V2912" s="179"/>
      <c r="W2912" s="180"/>
      <c r="X2912" s="181" t="str">
        <f>IFERROR(__xludf.DUMMYFUNCTION("""COMPUTED_VALUE"""),"Very Good")</f>
        <v>Very Good</v>
      </c>
      <c r="Y2912" s="182" t="str">
        <f>IFERROR(__xludf.DUMMYFUNCTION("""COMPUTED_VALUE"""),"Very Good")</f>
        <v>Very Good</v>
      </c>
      <c r="Z2912" s="182" t="str">
        <f>IFERROR(__xludf.DUMMYFUNCTION("""COMPUTED_VALUE"""),"Excellent")</f>
        <v>Excellent</v>
      </c>
      <c r="AA2912" s="182" t="str">
        <f>IFERROR(__xludf.DUMMYFUNCTION("""COMPUTED_VALUE"""),"Poor")</f>
        <v>Poor</v>
      </c>
      <c r="AB2912" s="182" t="str">
        <f>IFERROR(__xludf.DUMMYFUNCTION("""COMPUTED_VALUE"""),"Good")</f>
        <v>Good</v>
      </c>
      <c r="AC2912" s="183">
        <f>IFERROR(__xludf.DUMMYFUNCTION("""COMPUTED_VALUE"""),4.0)</f>
        <v>4</v>
      </c>
      <c r="AD2912" s="183"/>
      <c r="AE2912" s="183"/>
      <c r="AF2912" s="184"/>
      <c r="AG2912" s="180"/>
      <c r="AH2912" s="185">
        <f>IFERROR(__xludf.DUMMYFUNCTION("""COMPUTED_VALUE"""),43374.944188622685)</f>
        <v>43374.94419</v>
      </c>
      <c r="AI2912" s="182"/>
      <c r="AJ2912" s="182"/>
      <c r="AK2912" s="182"/>
      <c r="AL2912" s="182"/>
    </row>
    <row r="2913" ht="20.25" customHeight="1">
      <c r="A2913" s="169" t="str">
        <f>IFERROR(__xludf.DUMMYFUNCTION("""COMPUTED_VALUE"""),"Grandbear")</f>
        <v>Grandbear</v>
      </c>
      <c r="B2913" s="170" t="str">
        <f>IFERROR(__xludf.DUMMYFUNCTION("""COMPUTED_VALUE"""),"Camp Hill")</f>
        <v>Camp Hill</v>
      </c>
      <c r="C2913" s="170" t="str">
        <f>IFERROR(__xludf.DUMMYFUNCTION("""COMPUTED_VALUE"""),"PA")</f>
        <v>PA</v>
      </c>
      <c r="D2913" s="170" t="str">
        <f>IFERROR(__xludf.DUMMYFUNCTION("""COMPUTED_VALUE"""),"USA")</f>
        <v>USA</v>
      </c>
      <c r="E2913" s="171">
        <f>IFERROR(__xludf.DUMMYFUNCTION("""COMPUTED_VALUE"""),43279.0)</f>
        <v>43279</v>
      </c>
      <c r="F2913" s="172">
        <f>IFERROR(__xludf.DUMMYFUNCTION("""COMPUTED_VALUE"""),43284.0)</f>
        <v>43284</v>
      </c>
      <c r="G2913" s="173"/>
      <c r="H2913" s="174">
        <f>IFERROR(__xludf.DUMMYFUNCTION("""COMPUTED_VALUE"""),34755.0)</f>
        <v>34755</v>
      </c>
      <c r="I2913" s="175" t="str">
        <f>IFERROR(__xludf.DUMMYFUNCTION("""COMPUTED_VALUE"""),"06/18")</f>
        <v>06/18</v>
      </c>
      <c r="J2913" s="172">
        <f>IFERROR(__xludf.DUMMYFUNCTION("""COMPUTED_VALUE"""),43300.0)</f>
        <v>43300</v>
      </c>
      <c r="K2913" s="176">
        <f>IFERROR(__xludf.DUMMYFUNCTION("""COMPUTED_VALUE"""),5.0)</f>
        <v>5</v>
      </c>
      <c r="L2913" s="176">
        <f>IFERROR(__xludf.DUMMYFUNCTION("""COMPUTED_VALUE"""),16.0)</f>
        <v>16</v>
      </c>
      <c r="M2913" s="176">
        <f>IFERROR(__xludf.DUMMYFUNCTION("""COMPUTED_VALUE"""),21.0)</f>
        <v>21</v>
      </c>
      <c r="N2913" s="177" t="str">
        <f>IFERROR(__xludf.DUMMYFUNCTION("""COMPUTED_VALUE"""),"Model 3 LR")</f>
        <v>Model 3 LR</v>
      </c>
      <c r="O2913" s="177" t="str">
        <f>IFERROR(__xludf.DUMMYFUNCTION("""COMPUTED_VALUE"""),"Red Multi-Coat")</f>
        <v>Red Multi-Coat</v>
      </c>
      <c r="P2913" s="178" t="str">
        <f>IFERROR(__xludf.DUMMYFUNCTION("""COMPUTED_VALUE"""),"18 inch Aero")</f>
        <v>18 inch Aero</v>
      </c>
      <c r="Q2913" s="177" t="str">
        <f>IFERROR(__xludf.DUMMYFUNCTION("""COMPUTED_VALUE"""),"Black seats")</f>
        <v>Black seats</v>
      </c>
      <c r="R2913" s="170" t="str">
        <f>IFERROR(__xludf.DUMMYFUNCTION("""COMPUTED_VALUE"""),"Enhanced Autopilot")</f>
        <v>Enhanced Autopilot</v>
      </c>
      <c r="S2913" s="170"/>
      <c r="T2913" s="179"/>
      <c r="U2913" s="179"/>
      <c r="V2913" s="179"/>
      <c r="W2913" s="180"/>
      <c r="X2913" s="181" t="str">
        <f>IFERROR(__xludf.DUMMYFUNCTION("""COMPUTED_VALUE"""),"Excellent")</f>
        <v>Excellent</v>
      </c>
      <c r="Y2913" s="182" t="str">
        <f>IFERROR(__xludf.DUMMYFUNCTION("""COMPUTED_VALUE"""),"Excellent")</f>
        <v>Excellent</v>
      </c>
      <c r="Z2913" s="182" t="str">
        <f>IFERROR(__xludf.DUMMYFUNCTION("""COMPUTED_VALUE"""),"Excellent")</f>
        <v>Excellent</v>
      </c>
      <c r="AA2913" s="182" t="str">
        <f>IFERROR(__xludf.DUMMYFUNCTION("""COMPUTED_VALUE"""),"Good")</f>
        <v>Good</v>
      </c>
      <c r="AB2913" s="182" t="str">
        <f>IFERROR(__xludf.DUMMYFUNCTION("""COMPUTED_VALUE"""),"Very Good")</f>
        <v>Very Good</v>
      </c>
      <c r="AC2913" s="183"/>
      <c r="AD2913" s="183"/>
      <c r="AE2913" s="183"/>
      <c r="AF2913" s="184"/>
      <c r="AG2913" s="180"/>
      <c r="AH2913" s="185">
        <f>IFERROR(__xludf.DUMMYFUNCTION("""COMPUTED_VALUE"""),43306.32603415509)</f>
        <v>43306.32603</v>
      </c>
      <c r="AI2913" s="182"/>
      <c r="AJ2913" s="182"/>
      <c r="AK2913" s="182"/>
      <c r="AL2913" s="182"/>
    </row>
    <row r="2914" ht="20.25" customHeight="1">
      <c r="A2914" s="169" t="str">
        <f>IFERROR(__xludf.DUMMYFUNCTION("""COMPUTED_VALUE"""),"hokiefan")</f>
        <v>hokiefan</v>
      </c>
      <c r="B2914" s="170"/>
      <c r="C2914" s="170" t="str">
        <f>IFERROR(__xludf.DUMMYFUNCTION("""COMPUTED_VALUE"""),"MD")</f>
        <v>MD</v>
      </c>
      <c r="D2914" s="170" t="str">
        <f>IFERROR(__xludf.DUMMYFUNCTION("""COMPUTED_VALUE"""),"USA")</f>
        <v>USA</v>
      </c>
      <c r="E2914" s="171">
        <f>IFERROR(__xludf.DUMMYFUNCTION("""COMPUTED_VALUE"""),43279.0)</f>
        <v>43279</v>
      </c>
      <c r="F2914" s="172">
        <f>IFERROR(__xludf.DUMMYFUNCTION("""COMPUTED_VALUE"""),43343.0)</f>
        <v>43343</v>
      </c>
      <c r="G2914" s="173"/>
      <c r="H2914" s="174">
        <f>IFERROR(__xludf.DUMMYFUNCTION("""COMPUTED_VALUE"""),66576.0)</f>
        <v>66576</v>
      </c>
      <c r="I2914" s="175"/>
      <c r="J2914" s="172">
        <f>IFERROR(__xludf.DUMMYFUNCTION("""COMPUTED_VALUE"""),43368.0)</f>
        <v>43368</v>
      </c>
      <c r="K2914" s="176">
        <f>IFERROR(__xludf.DUMMYFUNCTION("""COMPUTED_VALUE"""),64.0)</f>
        <v>64</v>
      </c>
      <c r="L2914" s="176">
        <f>IFERROR(__xludf.DUMMYFUNCTION("""COMPUTED_VALUE"""),25.0)</f>
        <v>25</v>
      </c>
      <c r="M2914" s="176">
        <f>IFERROR(__xludf.DUMMYFUNCTION("""COMPUTED_VALUE"""),89.0)</f>
        <v>89</v>
      </c>
      <c r="N2914" s="177" t="str">
        <f>IFERROR(__xludf.DUMMYFUNCTION("""COMPUTED_VALUE"""),"Model 3 LR AWD")</f>
        <v>Model 3 LR AWD</v>
      </c>
      <c r="O2914" s="177" t="str">
        <f>IFERROR(__xludf.DUMMYFUNCTION("""COMPUTED_VALUE"""),"Midnight Silver Metallic")</f>
        <v>Midnight Silver Metallic</v>
      </c>
      <c r="P2914" s="178" t="str">
        <f>IFERROR(__xludf.DUMMYFUNCTION("""COMPUTED_VALUE"""),"18 inch Aero")</f>
        <v>18 inch Aero</v>
      </c>
      <c r="Q2914" s="177" t="str">
        <f>IFERROR(__xludf.DUMMYFUNCTION("""COMPUTED_VALUE"""),"Black seats")</f>
        <v>Black seats</v>
      </c>
      <c r="R2914" s="170" t="str">
        <f>IFERROR(__xludf.DUMMYFUNCTION("""COMPUTED_VALUE"""),"Enhanced Autopilot")</f>
        <v>Enhanced Autopilot</v>
      </c>
      <c r="S2914" s="170"/>
      <c r="T2914" s="179"/>
      <c r="U2914" s="179"/>
      <c r="V2914" s="179"/>
      <c r="W2914" s="180"/>
      <c r="X2914" s="181" t="str">
        <f>IFERROR(__xludf.DUMMYFUNCTION("""COMPUTED_VALUE"""),"Very Good")</f>
        <v>Very Good</v>
      </c>
      <c r="Y2914" s="182" t="str">
        <f>IFERROR(__xludf.DUMMYFUNCTION("""COMPUTED_VALUE"""),"Excellent")</f>
        <v>Excellent</v>
      </c>
      <c r="Z2914" s="182" t="str">
        <f>IFERROR(__xludf.DUMMYFUNCTION("""COMPUTED_VALUE"""),"Very Good")</f>
        <v>Very Good</v>
      </c>
      <c r="AA2914" s="182" t="str">
        <f>IFERROR(__xludf.DUMMYFUNCTION("""COMPUTED_VALUE"""),"Very Good")</f>
        <v>Very Good</v>
      </c>
      <c r="AB2914" s="182" t="str">
        <f>IFERROR(__xludf.DUMMYFUNCTION("""COMPUTED_VALUE"""),"Very Good")</f>
        <v>Very Good</v>
      </c>
      <c r="AC2914" s="183">
        <f>IFERROR(__xludf.DUMMYFUNCTION("""COMPUTED_VALUE"""),2.0)</f>
        <v>2</v>
      </c>
      <c r="AD2914" s="183"/>
      <c r="AE2914" s="183"/>
      <c r="AF2914" s="184"/>
      <c r="AG2914" s="180"/>
      <c r="AH2914" s="185">
        <f>IFERROR(__xludf.DUMMYFUNCTION("""COMPUTED_VALUE"""),43368.83278733796)</f>
        <v>43368.83279</v>
      </c>
      <c r="AI2914" s="182"/>
      <c r="AJ2914" s="182"/>
      <c r="AK2914" s="182"/>
      <c r="AL2914" s="182"/>
    </row>
    <row r="2915" ht="20.25" customHeight="1">
      <c r="A2915" s="169" t="str">
        <f>IFERROR(__xludf.DUMMYFUNCTION("""COMPUTED_VALUE"""),"hotrodtesla")</f>
        <v>hotrodtesla</v>
      </c>
      <c r="B2915" s="170" t="str">
        <f>IFERROR(__xludf.DUMMYFUNCTION("""COMPUTED_VALUE"""),"San Diego")</f>
        <v>San Diego</v>
      </c>
      <c r="C2915" s="170" t="str">
        <f>IFERROR(__xludf.DUMMYFUNCTION("""COMPUTED_VALUE"""),"CA")</f>
        <v>CA</v>
      </c>
      <c r="D2915" s="170" t="str">
        <f>IFERROR(__xludf.DUMMYFUNCTION("""COMPUTED_VALUE"""),"USA")</f>
        <v>USA</v>
      </c>
      <c r="E2915" s="171">
        <f>IFERROR(__xludf.DUMMYFUNCTION("""COMPUTED_VALUE"""),43279.0)</f>
        <v>43279</v>
      </c>
      <c r="F2915" s="172">
        <f>IFERROR(__xludf.DUMMYFUNCTION("""COMPUTED_VALUE"""),43365.0)</f>
        <v>43365</v>
      </c>
      <c r="G2915" s="173"/>
      <c r="H2915" s="174">
        <f>IFERROR(__xludf.DUMMYFUNCTION("""COMPUTED_VALUE"""),114855.0)</f>
        <v>114855</v>
      </c>
      <c r="I2915" s="175" t="str">
        <f>IFERROR(__xludf.DUMMYFUNCTION("""COMPUTED_VALUE"""),"09/18")</f>
        <v>09/18</v>
      </c>
      <c r="J2915" s="172">
        <f>IFERROR(__xludf.DUMMYFUNCTION("""COMPUTED_VALUE"""),43368.0)</f>
        <v>43368</v>
      </c>
      <c r="K2915" s="176">
        <f>IFERROR(__xludf.DUMMYFUNCTION("""COMPUTED_VALUE"""),86.0)</f>
        <v>86</v>
      </c>
      <c r="L2915" s="176">
        <f>IFERROR(__xludf.DUMMYFUNCTION("""COMPUTED_VALUE"""),3.0)</f>
        <v>3</v>
      </c>
      <c r="M2915" s="176">
        <f>IFERROR(__xludf.DUMMYFUNCTION("""COMPUTED_VALUE"""),89.0)</f>
        <v>89</v>
      </c>
      <c r="N2915" s="177" t="str">
        <f>IFERROR(__xludf.DUMMYFUNCTION("""COMPUTED_VALUE"""),"Model 3 Performance")</f>
        <v>Model 3 Performance</v>
      </c>
      <c r="O2915" s="177" t="str">
        <f>IFERROR(__xludf.DUMMYFUNCTION("""COMPUTED_VALUE"""),"Deep Blue Metallic")</f>
        <v>Deep Blue Metallic</v>
      </c>
      <c r="P2915" s="178" t="str">
        <f>IFERROR(__xludf.DUMMYFUNCTION("""COMPUTED_VALUE"""),"18 inch Aero")</f>
        <v>18 inch Aero</v>
      </c>
      <c r="Q2915" s="177" t="str">
        <f>IFERROR(__xludf.DUMMYFUNCTION("""COMPUTED_VALUE"""),"Black seats")</f>
        <v>Black seats</v>
      </c>
      <c r="R2915" s="170" t="str">
        <f>IFERROR(__xludf.DUMMYFUNCTION("""COMPUTED_VALUE"""),"Full Self-Driving")</f>
        <v>Full Self-Driving</v>
      </c>
      <c r="S2915" s="170"/>
      <c r="T2915" s="179"/>
      <c r="U2915" s="179"/>
      <c r="V2915" s="179"/>
      <c r="W2915" s="180"/>
      <c r="X2915" s="181" t="str">
        <f>IFERROR(__xludf.DUMMYFUNCTION("""COMPUTED_VALUE"""),"Excellent")</f>
        <v>Excellent</v>
      </c>
      <c r="Y2915" s="182" t="str">
        <f>IFERROR(__xludf.DUMMYFUNCTION("""COMPUTED_VALUE"""),"Very Good")</f>
        <v>Very Good</v>
      </c>
      <c r="Z2915" s="182" t="str">
        <f>IFERROR(__xludf.DUMMYFUNCTION("""COMPUTED_VALUE"""),"Excellent")</f>
        <v>Excellent</v>
      </c>
      <c r="AA2915" s="182" t="str">
        <f>IFERROR(__xludf.DUMMYFUNCTION("""COMPUTED_VALUE"""),"Good")</f>
        <v>Good</v>
      </c>
      <c r="AB2915" s="182" t="str">
        <f>IFERROR(__xludf.DUMMYFUNCTION("""COMPUTED_VALUE"""),"Very Good")</f>
        <v>Very Good</v>
      </c>
      <c r="AC2915" s="183"/>
      <c r="AD2915" s="183"/>
      <c r="AE2915" s="183"/>
      <c r="AF2915" s="184"/>
      <c r="AG2915" s="180"/>
      <c r="AH2915" s="185">
        <f>IFERROR(__xludf.DUMMYFUNCTION("""COMPUTED_VALUE"""),43369.47279770833)</f>
        <v>43369.4728</v>
      </c>
      <c r="AI2915" s="182"/>
      <c r="AJ2915" s="182"/>
      <c r="AK2915" s="182"/>
      <c r="AL2915" s="182"/>
    </row>
    <row r="2916" ht="20.25" customHeight="1">
      <c r="A2916" s="169" t="str">
        <f>IFERROR(__xludf.DUMMYFUNCTION("""COMPUTED_VALUE"""),"inglele")</f>
        <v>inglele</v>
      </c>
      <c r="B2916" s="170" t="str">
        <f>IFERROR(__xludf.DUMMYFUNCTION("""COMPUTED_VALUE"""),"Bellevue")</f>
        <v>Bellevue</v>
      </c>
      <c r="C2916" s="170" t="str">
        <f>IFERROR(__xludf.DUMMYFUNCTION("""COMPUTED_VALUE"""),"WA")</f>
        <v>WA</v>
      </c>
      <c r="D2916" s="170" t="str">
        <f>IFERROR(__xludf.DUMMYFUNCTION("""COMPUTED_VALUE"""),"USA")</f>
        <v>USA</v>
      </c>
      <c r="E2916" s="171">
        <f>IFERROR(__xludf.DUMMYFUNCTION("""COMPUTED_VALUE"""),43279.0)</f>
        <v>43279</v>
      </c>
      <c r="F2916" s="172">
        <f>IFERROR(__xludf.DUMMYFUNCTION("""COMPUTED_VALUE"""),43368.0)</f>
        <v>43368</v>
      </c>
      <c r="G2916" s="173"/>
      <c r="H2916" s="174">
        <f>IFERROR(__xludf.DUMMYFUNCTION("""COMPUTED_VALUE"""),105160.0)</f>
        <v>105160</v>
      </c>
      <c r="I2916" s="175" t="str">
        <f>IFERROR(__xludf.DUMMYFUNCTION("""COMPUTED_VALUE"""),"09/18")</f>
        <v>09/18</v>
      </c>
      <c r="J2916" s="172">
        <f>IFERROR(__xludf.DUMMYFUNCTION("""COMPUTED_VALUE"""),43372.0)</f>
        <v>43372</v>
      </c>
      <c r="K2916" s="176">
        <f>IFERROR(__xludf.DUMMYFUNCTION("""COMPUTED_VALUE"""),89.0)</f>
        <v>89</v>
      </c>
      <c r="L2916" s="176">
        <f>IFERROR(__xludf.DUMMYFUNCTION("""COMPUTED_VALUE"""),4.0)</f>
        <v>4</v>
      </c>
      <c r="M2916" s="176">
        <f>IFERROR(__xludf.DUMMYFUNCTION("""COMPUTED_VALUE"""),93.0)</f>
        <v>93</v>
      </c>
      <c r="N2916" s="177" t="str">
        <f>IFERROR(__xludf.DUMMYFUNCTION("""COMPUTED_VALUE"""),"Model 3 LR AWD")</f>
        <v>Model 3 LR AWD</v>
      </c>
      <c r="O2916" s="177" t="str">
        <f>IFERROR(__xludf.DUMMYFUNCTION("""COMPUTED_VALUE"""),"Deep Blue Metallic")</f>
        <v>Deep Blue Metallic</v>
      </c>
      <c r="P2916" s="178" t="str">
        <f>IFERROR(__xludf.DUMMYFUNCTION("""COMPUTED_VALUE"""),"18 inch Aero")</f>
        <v>18 inch Aero</v>
      </c>
      <c r="Q2916" s="177" t="str">
        <f>IFERROR(__xludf.DUMMYFUNCTION("""COMPUTED_VALUE"""),"Black seats")</f>
        <v>Black seats</v>
      </c>
      <c r="R2916" s="170" t="str">
        <f>IFERROR(__xludf.DUMMYFUNCTION("""COMPUTED_VALUE"""),"Full Self-Driving")</f>
        <v>Full Self-Driving</v>
      </c>
      <c r="S2916" s="170"/>
      <c r="T2916" s="179"/>
      <c r="U2916" s="179"/>
      <c r="V2916" s="179"/>
      <c r="W2916" s="180"/>
      <c r="X2916" s="181" t="str">
        <f>IFERROR(__xludf.DUMMYFUNCTION("""COMPUTED_VALUE"""),"Very Good")</f>
        <v>Very Good</v>
      </c>
      <c r="Y2916" s="182" t="str">
        <f>IFERROR(__xludf.DUMMYFUNCTION("""COMPUTED_VALUE"""),"Excellent")</f>
        <v>Excellent</v>
      </c>
      <c r="Z2916" s="182" t="str">
        <f>IFERROR(__xludf.DUMMYFUNCTION("""COMPUTED_VALUE"""),"Excellent")</f>
        <v>Excellent</v>
      </c>
      <c r="AA2916" s="182" t="str">
        <f>IFERROR(__xludf.DUMMYFUNCTION("""COMPUTED_VALUE"""),"Fair")</f>
        <v>Fair</v>
      </c>
      <c r="AB2916" s="182" t="str">
        <f>IFERROR(__xludf.DUMMYFUNCTION("""COMPUTED_VALUE"""),"Very Good")</f>
        <v>Very Good</v>
      </c>
      <c r="AC2916" s="183">
        <f>IFERROR(__xludf.DUMMYFUNCTION("""COMPUTED_VALUE"""),0.0)</f>
        <v>0</v>
      </c>
      <c r="AD2916" s="183">
        <f>IFERROR(__xludf.DUMMYFUNCTION("""COMPUTED_VALUE"""),0.0)</f>
        <v>0</v>
      </c>
      <c r="AE2916" s="183">
        <f>IFERROR(__xludf.DUMMYFUNCTION("""COMPUTED_VALUE"""),0.0)</f>
        <v>0</v>
      </c>
      <c r="AF2916" s="184"/>
      <c r="AG2916" s="180"/>
      <c r="AH2916" s="185">
        <f>IFERROR(__xludf.DUMMYFUNCTION("""COMPUTED_VALUE"""),43372.93740604167)</f>
        <v>43372.93741</v>
      </c>
      <c r="AI2916" s="182"/>
      <c r="AJ2916" s="182"/>
      <c r="AK2916" s="182"/>
      <c r="AL2916" s="182"/>
    </row>
    <row r="2917" ht="20.25" customHeight="1">
      <c r="A2917" s="169" t="str">
        <f>IFERROR(__xludf.DUMMYFUNCTION("""COMPUTED_VALUE"""),"ip33")</f>
        <v>ip33</v>
      </c>
      <c r="B2917" s="170" t="str">
        <f>IFERROR(__xludf.DUMMYFUNCTION("""COMPUTED_VALUE"""),"Rochester")</f>
        <v>Rochester</v>
      </c>
      <c r="C2917" s="170" t="str">
        <f>IFERROR(__xludf.DUMMYFUNCTION("""COMPUTED_VALUE"""),"NY")</f>
        <v>NY</v>
      </c>
      <c r="D2917" s="170" t="str">
        <f>IFERROR(__xludf.DUMMYFUNCTION("""COMPUTED_VALUE"""),"USA")</f>
        <v>USA</v>
      </c>
      <c r="E2917" s="171">
        <f>IFERROR(__xludf.DUMMYFUNCTION("""COMPUTED_VALUE"""),43279.0)</f>
        <v>43279</v>
      </c>
      <c r="F2917" s="172">
        <f>IFERROR(__xludf.DUMMYFUNCTION("""COMPUTED_VALUE"""),43383.0)</f>
        <v>43383</v>
      </c>
      <c r="G2917" s="173"/>
      <c r="H2917" s="174">
        <f>IFERROR(__xludf.DUMMYFUNCTION("""COMPUTED_VALUE"""),109055.0)</f>
        <v>109055</v>
      </c>
      <c r="I2917" s="175" t="str">
        <f>IFERROR(__xludf.DUMMYFUNCTION("""COMPUTED_VALUE"""),"10/18")</f>
        <v>10/18</v>
      </c>
      <c r="J2917" s="172">
        <f>IFERROR(__xludf.DUMMYFUNCTION("""COMPUTED_VALUE"""),43405.0)</f>
        <v>43405</v>
      </c>
      <c r="K2917" s="176">
        <f>IFERROR(__xludf.DUMMYFUNCTION("""COMPUTED_VALUE"""),104.0)</f>
        <v>104</v>
      </c>
      <c r="L2917" s="176">
        <f>IFERROR(__xludf.DUMMYFUNCTION("""COMPUTED_VALUE"""),22.0)</f>
        <v>22</v>
      </c>
      <c r="M2917" s="176">
        <f>IFERROR(__xludf.DUMMYFUNCTION("""COMPUTED_VALUE"""),126.0)</f>
        <v>126</v>
      </c>
      <c r="N2917" s="177" t="str">
        <f>IFERROR(__xludf.DUMMYFUNCTION("""COMPUTED_VALUE"""),"Model 3 LR")</f>
        <v>Model 3 LR</v>
      </c>
      <c r="O2917" s="177" t="str">
        <f>IFERROR(__xludf.DUMMYFUNCTION("""COMPUTED_VALUE"""),"Deep Blue Metallic")</f>
        <v>Deep Blue Metallic</v>
      </c>
      <c r="P2917" s="178" t="str">
        <f>IFERROR(__xludf.DUMMYFUNCTION("""COMPUTED_VALUE"""),"19 inch Sport")</f>
        <v>19 inch Sport</v>
      </c>
      <c r="Q2917" s="177" t="str">
        <f>IFERROR(__xludf.DUMMYFUNCTION("""COMPUTED_VALUE"""),"Black seats")</f>
        <v>Black seats</v>
      </c>
      <c r="R2917" s="170" t="str">
        <f>IFERROR(__xludf.DUMMYFUNCTION("""COMPUTED_VALUE"""),"Enhanced Autopilot")</f>
        <v>Enhanced Autopilot</v>
      </c>
      <c r="S2917" s="170"/>
      <c r="T2917" s="179"/>
      <c r="U2917" s="179"/>
      <c r="V2917" s="179"/>
      <c r="W2917" s="180"/>
      <c r="X2917" s="181" t="str">
        <f>IFERROR(__xludf.DUMMYFUNCTION("""COMPUTED_VALUE"""),"Excellent")</f>
        <v>Excellent</v>
      </c>
      <c r="Y2917" s="182" t="str">
        <f>IFERROR(__xludf.DUMMYFUNCTION("""COMPUTED_VALUE"""),"Excellent")</f>
        <v>Excellent</v>
      </c>
      <c r="Z2917" s="182" t="str">
        <f>IFERROR(__xludf.DUMMYFUNCTION("""COMPUTED_VALUE"""),"Very Good")</f>
        <v>Very Good</v>
      </c>
      <c r="AA2917" s="182" t="str">
        <f>IFERROR(__xludf.DUMMYFUNCTION("""COMPUTED_VALUE"""),"Very Good")</f>
        <v>Very Good</v>
      </c>
      <c r="AB2917" s="182" t="str">
        <f>IFERROR(__xludf.DUMMYFUNCTION("""COMPUTED_VALUE"""),"Excellent")</f>
        <v>Excellent</v>
      </c>
      <c r="AC2917" s="183">
        <f>IFERROR(__xludf.DUMMYFUNCTION("""COMPUTED_VALUE"""),1.0)</f>
        <v>1</v>
      </c>
      <c r="AD2917" s="183">
        <f>IFERROR(__xludf.DUMMYFUNCTION("""COMPUTED_VALUE"""),1.0)</f>
        <v>1</v>
      </c>
      <c r="AE2917" s="183">
        <f>IFERROR(__xludf.DUMMYFUNCTION("""COMPUTED_VALUE"""),0.0)</f>
        <v>0</v>
      </c>
      <c r="AF2917" s="184"/>
      <c r="AG2917" s="180"/>
      <c r="AH2917" s="185">
        <f>IFERROR(__xludf.DUMMYFUNCTION("""COMPUTED_VALUE"""),43410.278023981475)</f>
        <v>43410.27802</v>
      </c>
      <c r="AI2917" s="182"/>
      <c r="AJ2917" s="182"/>
      <c r="AK2917" s="182"/>
      <c r="AL2917" s="182"/>
    </row>
    <row r="2918" ht="20.25" customHeight="1">
      <c r="A2918" s="169" t="str">
        <f>IFERROR(__xludf.DUMMYFUNCTION("""COMPUTED_VALUE"""),"jab1343")</f>
        <v>jab1343</v>
      </c>
      <c r="B2918" s="170" t="str">
        <f>IFERROR(__xludf.DUMMYFUNCTION("""COMPUTED_VALUE"""),"SLC")</f>
        <v>SLC</v>
      </c>
      <c r="C2918" s="170" t="str">
        <f>IFERROR(__xludf.DUMMYFUNCTION("""COMPUTED_VALUE"""),"UT")</f>
        <v>UT</v>
      </c>
      <c r="D2918" s="170" t="str">
        <f>IFERROR(__xludf.DUMMYFUNCTION("""COMPUTED_VALUE"""),"USA")</f>
        <v>USA</v>
      </c>
      <c r="E2918" s="171">
        <f>IFERROR(__xludf.DUMMYFUNCTION("""COMPUTED_VALUE"""),43279.0)</f>
        <v>43279</v>
      </c>
      <c r="F2918" s="172">
        <f>IFERROR(__xludf.DUMMYFUNCTION("""COMPUTED_VALUE"""),43362.0)</f>
        <v>43362</v>
      </c>
      <c r="G2918" s="173"/>
      <c r="H2918" s="174">
        <f>IFERROR(__xludf.DUMMYFUNCTION("""COMPUTED_VALUE"""),86955.0)</f>
        <v>86955</v>
      </c>
      <c r="I2918" s="175" t="str">
        <f>IFERROR(__xludf.DUMMYFUNCTION("""COMPUTED_VALUE"""),"09/18")</f>
        <v>09/18</v>
      </c>
      <c r="J2918" s="172">
        <f>IFERROR(__xludf.DUMMYFUNCTION("""COMPUTED_VALUE"""),43368.0)</f>
        <v>43368</v>
      </c>
      <c r="K2918" s="176">
        <f>IFERROR(__xludf.DUMMYFUNCTION("""COMPUTED_VALUE"""),83.0)</f>
        <v>83</v>
      </c>
      <c r="L2918" s="176">
        <f>IFERROR(__xludf.DUMMYFUNCTION("""COMPUTED_VALUE"""),6.0)</f>
        <v>6</v>
      </c>
      <c r="M2918" s="176">
        <f>IFERROR(__xludf.DUMMYFUNCTION("""COMPUTED_VALUE"""),89.0)</f>
        <v>89</v>
      </c>
      <c r="N2918" s="177" t="str">
        <f>IFERROR(__xludf.DUMMYFUNCTION("""COMPUTED_VALUE"""),"Model 3 LR AWD")</f>
        <v>Model 3 LR AWD</v>
      </c>
      <c r="O2918" s="177" t="str">
        <f>IFERROR(__xludf.DUMMYFUNCTION("""COMPUTED_VALUE"""),"Midnight Silver Metallic")</f>
        <v>Midnight Silver Metallic</v>
      </c>
      <c r="P2918" s="178" t="str">
        <f>IFERROR(__xludf.DUMMYFUNCTION("""COMPUTED_VALUE"""),"19 inch Sport")</f>
        <v>19 inch Sport</v>
      </c>
      <c r="Q2918" s="177" t="str">
        <f>IFERROR(__xludf.DUMMYFUNCTION("""COMPUTED_VALUE"""),"Black seats")</f>
        <v>Black seats</v>
      </c>
      <c r="R2918" s="170" t="str">
        <f>IFERROR(__xludf.DUMMYFUNCTION("""COMPUTED_VALUE"""),"Enhanced Autopilot")</f>
        <v>Enhanced Autopilot</v>
      </c>
      <c r="S2918" s="170"/>
      <c r="T2918" s="179"/>
      <c r="U2918" s="179"/>
      <c r="V2918" s="179"/>
      <c r="W2918" s="180"/>
      <c r="X2918" s="181" t="str">
        <f>IFERROR(__xludf.DUMMYFUNCTION("""COMPUTED_VALUE"""),"Excellent")</f>
        <v>Excellent</v>
      </c>
      <c r="Y2918" s="182" t="str">
        <f>IFERROR(__xludf.DUMMYFUNCTION("""COMPUTED_VALUE"""),"Excellent")</f>
        <v>Excellent</v>
      </c>
      <c r="Z2918" s="182" t="str">
        <f>IFERROR(__xludf.DUMMYFUNCTION("""COMPUTED_VALUE"""),"Excellent")</f>
        <v>Excellent</v>
      </c>
      <c r="AA2918" s="182" t="str">
        <f>IFERROR(__xludf.DUMMYFUNCTION("""COMPUTED_VALUE"""),"Good")</f>
        <v>Good</v>
      </c>
      <c r="AB2918" s="182" t="str">
        <f>IFERROR(__xludf.DUMMYFUNCTION("""COMPUTED_VALUE"""),"Excellent")</f>
        <v>Excellent</v>
      </c>
      <c r="AC2918" s="183">
        <f>IFERROR(__xludf.DUMMYFUNCTION("""COMPUTED_VALUE"""),0.0)</f>
        <v>0</v>
      </c>
      <c r="AD2918" s="183">
        <f>IFERROR(__xludf.DUMMYFUNCTION("""COMPUTED_VALUE"""),0.0)</f>
        <v>0</v>
      </c>
      <c r="AE2918" s="183">
        <f>IFERROR(__xludf.DUMMYFUNCTION("""COMPUTED_VALUE"""),0.0)</f>
        <v>0</v>
      </c>
      <c r="AF2918" s="184"/>
      <c r="AG2918" s="180"/>
      <c r="AH2918" s="185">
        <f>IFERROR(__xludf.DUMMYFUNCTION("""COMPUTED_VALUE"""),43398.740663819444)</f>
        <v>43398.74066</v>
      </c>
      <c r="AI2918" s="182"/>
      <c r="AJ2918" s="182"/>
      <c r="AK2918" s="182"/>
      <c r="AL2918" s="182"/>
    </row>
    <row r="2919" ht="20.25" customHeight="1">
      <c r="A2919" s="169" t="str">
        <f>IFERROR(__xludf.DUMMYFUNCTION("""COMPUTED_VALUE"""),"jay312")</f>
        <v>jay312</v>
      </c>
      <c r="B2919" s="170" t="str">
        <f>IFERROR(__xludf.DUMMYFUNCTION("""COMPUTED_VALUE"""),"mid-michigan")</f>
        <v>mid-michigan</v>
      </c>
      <c r="C2919" s="170" t="str">
        <f>IFERROR(__xludf.DUMMYFUNCTION("""COMPUTED_VALUE"""),"MI")</f>
        <v>MI</v>
      </c>
      <c r="D2919" s="170" t="str">
        <f>IFERROR(__xludf.DUMMYFUNCTION("""COMPUTED_VALUE"""),"USA")</f>
        <v>USA</v>
      </c>
      <c r="E2919" s="171">
        <f>IFERROR(__xludf.DUMMYFUNCTION("""COMPUTED_VALUE"""),43279.0)</f>
        <v>43279</v>
      </c>
      <c r="F2919" s="172">
        <f>IFERROR(__xludf.DUMMYFUNCTION("""COMPUTED_VALUE"""),43391.0)</f>
        <v>43391</v>
      </c>
      <c r="G2919" s="173"/>
      <c r="H2919" s="174">
        <f>IFERROR(__xludf.DUMMYFUNCTION("""COMPUTED_VALUE"""),108455.0)</f>
        <v>108455</v>
      </c>
      <c r="I2919" s="175"/>
      <c r="J2919" s="172">
        <f>IFERROR(__xludf.DUMMYFUNCTION("""COMPUTED_VALUE"""),43414.0)</f>
        <v>43414</v>
      </c>
      <c r="K2919" s="176">
        <f>IFERROR(__xludf.DUMMYFUNCTION("""COMPUTED_VALUE"""),112.0)</f>
        <v>112</v>
      </c>
      <c r="L2919" s="176">
        <f>IFERROR(__xludf.DUMMYFUNCTION("""COMPUTED_VALUE"""),23.0)</f>
        <v>23</v>
      </c>
      <c r="M2919" s="176">
        <f>IFERROR(__xludf.DUMMYFUNCTION("""COMPUTED_VALUE"""),135.0)</f>
        <v>135</v>
      </c>
      <c r="N2919" s="177" t="str">
        <f>IFERROR(__xludf.DUMMYFUNCTION("""COMPUTED_VALUE"""),"Model 3 LR AWD")</f>
        <v>Model 3 LR AWD</v>
      </c>
      <c r="O2919" s="177" t="str">
        <f>IFERROR(__xludf.DUMMYFUNCTION("""COMPUTED_VALUE"""),"Pearl White Multi-Coat")</f>
        <v>Pearl White Multi-Coat</v>
      </c>
      <c r="P2919" s="178" t="str">
        <f>IFERROR(__xludf.DUMMYFUNCTION("""COMPUTED_VALUE"""),"18 inch Aero")</f>
        <v>18 inch Aero</v>
      </c>
      <c r="Q2919" s="177" t="str">
        <f>IFERROR(__xludf.DUMMYFUNCTION("""COMPUTED_VALUE"""),"Black seats")</f>
        <v>Black seats</v>
      </c>
      <c r="R2919" s="170" t="str">
        <f>IFERROR(__xludf.DUMMYFUNCTION("""COMPUTED_VALUE"""),"None")</f>
        <v>None</v>
      </c>
      <c r="S2919" s="170"/>
      <c r="T2919" s="179"/>
      <c r="U2919" s="179"/>
      <c r="V2919" s="179"/>
      <c r="W2919" s="180"/>
      <c r="X2919" s="181" t="str">
        <f>IFERROR(__xludf.DUMMYFUNCTION("""COMPUTED_VALUE"""),"Good")</f>
        <v>Good</v>
      </c>
      <c r="Y2919" s="182" t="str">
        <f>IFERROR(__xludf.DUMMYFUNCTION("""COMPUTED_VALUE"""),"Good")</f>
        <v>Good</v>
      </c>
      <c r="Z2919" s="182" t="str">
        <f>IFERROR(__xludf.DUMMYFUNCTION("""COMPUTED_VALUE"""),"Fair")</f>
        <v>Fair</v>
      </c>
      <c r="AA2919" s="182" t="str">
        <f>IFERROR(__xludf.DUMMYFUNCTION("""COMPUTED_VALUE"""),"Poor")</f>
        <v>Poor</v>
      </c>
      <c r="AB2919" s="182" t="str">
        <f>IFERROR(__xludf.DUMMYFUNCTION("""COMPUTED_VALUE"""),"Poor")</f>
        <v>Poor</v>
      </c>
      <c r="AC2919" s="183">
        <f>IFERROR(__xludf.DUMMYFUNCTION("""COMPUTED_VALUE"""),5.0)</f>
        <v>5</v>
      </c>
      <c r="AD2919" s="183"/>
      <c r="AE2919" s="183"/>
      <c r="AF2919" s="184"/>
      <c r="AG2919" s="180"/>
      <c r="AH2919" s="185">
        <f>IFERROR(__xludf.DUMMYFUNCTION("""COMPUTED_VALUE"""),43433.55103371528)</f>
        <v>43433.55103</v>
      </c>
      <c r="AI2919" s="182"/>
      <c r="AJ2919" s="182"/>
      <c r="AK2919" s="182"/>
      <c r="AL2919" s="182"/>
    </row>
    <row r="2920" ht="20.25" customHeight="1">
      <c r="A2920" s="169" t="str">
        <f>IFERROR(__xludf.DUMMYFUNCTION("""COMPUTED_VALUE"""),"Jesse")</f>
        <v>Jesse</v>
      </c>
      <c r="B2920" s="170" t="str">
        <f>IFERROR(__xludf.DUMMYFUNCTION("""COMPUTED_VALUE"""),"Saratoga Springs")</f>
        <v>Saratoga Springs</v>
      </c>
      <c r="C2920" s="170" t="str">
        <f>IFERROR(__xludf.DUMMYFUNCTION("""COMPUTED_VALUE"""),"UT")</f>
        <v>UT</v>
      </c>
      <c r="D2920" s="170" t="str">
        <f>IFERROR(__xludf.DUMMYFUNCTION("""COMPUTED_VALUE"""),"USA")</f>
        <v>USA</v>
      </c>
      <c r="E2920" s="171">
        <f>IFERROR(__xludf.DUMMYFUNCTION("""COMPUTED_VALUE"""),43279.0)</f>
        <v>43279</v>
      </c>
      <c r="F2920" s="172">
        <f>IFERROR(__xludf.DUMMYFUNCTION("""COMPUTED_VALUE"""),43351.0)</f>
        <v>43351</v>
      </c>
      <c r="G2920" s="173"/>
      <c r="H2920" s="174">
        <f>IFERROR(__xludf.DUMMYFUNCTION("""COMPUTED_VALUE"""),82972.0)</f>
        <v>82972</v>
      </c>
      <c r="I2920" s="175" t="str">
        <f>IFERROR(__xludf.DUMMYFUNCTION("""COMPUTED_VALUE"""),"09/18")</f>
        <v>09/18</v>
      </c>
      <c r="J2920" s="172">
        <f>IFERROR(__xludf.DUMMYFUNCTION("""COMPUTED_VALUE"""),43358.0)</f>
        <v>43358</v>
      </c>
      <c r="K2920" s="176">
        <f>IFERROR(__xludf.DUMMYFUNCTION("""COMPUTED_VALUE"""),72.0)</f>
        <v>72</v>
      </c>
      <c r="L2920" s="176">
        <f>IFERROR(__xludf.DUMMYFUNCTION("""COMPUTED_VALUE"""),7.0)</f>
        <v>7</v>
      </c>
      <c r="M2920" s="176">
        <f>IFERROR(__xludf.DUMMYFUNCTION("""COMPUTED_VALUE"""),79.0)</f>
        <v>79</v>
      </c>
      <c r="N2920" s="177" t="str">
        <f>IFERROR(__xludf.DUMMYFUNCTION("""COMPUTED_VALUE"""),"Model 3 Performance")</f>
        <v>Model 3 Performance</v>
      </c>
      <c r="O2920" s="177" t="str">
        <f>IFERROR(__xludf.DUMMYFUNCTION("""COMPUTED_VALUE"""),"Midnight Silver Metallic")</f>
        <v>Midnight Silver Metallic</v>
      </c>
      <c r="P2920" s="178" t="str">
        <f>IFERROR(__xludf.DUMMYFUNCTION("""COMPUTED_VALUE"""),"20 inch Sport")</f>
        <v>20 inch Sport</v>
      </c>
      <c r="Q2920" s="177" t="str">
        <f>IFERROR(__xludf.DUMMYFUNCTION("""COMPUTED_VALUE"""),"Black seats")</f>
        <v>Black seats</v>
      </c>
      <c r="R2920" s="170" t="str">
        <f>IFERROR(__xludf.DUMMYFUNCTION("""COMPUTED_VALUE"""),"Full Self-Driving")</f>
        <v>Full Self-Driving</v>
      </c>
      <c r="S2920" s="170"/>
      <c r="T2920" s="179"/>
      <c r="U2920" s="179"/>
      <c r="V2920" s="179"/>
      <c r="W2920" s="180"/>
      <c r="X2920" s="181" t="str">
        <f>IFERROR(__xludf.DUMMYFUNCTION("""COMPUTED_VALUE"""),"Excellent")</f>
        <v>Excellent</v>
      </c>
      <c r="Y2920" s="182" t="str">
        <f>IFERROR(__xludf.DUMMYFUNCTION("""COMPUTED_VALUE"""),"Excellent")</f>
        <v>Excellent</v>
      </c>
      <c r="Z2920" s="182" t="str">
        <f>IFERROR(__xludf.DUMMYFUNCTION("""COMPUTED_VALUE"""),"Excellent")</f>
        <v>Excellent</v>
      </c>
      <c r="AA2920" s="182" t="str">
        <f>IFERROR(__xludf.DUMMYFUNCTION("""COMPUTED_VALUE"""),"Excellent")</f>
        <v>Excellent</v>
      </c>
      <c r="AB2920" s="182" t="str">
        <f>IFERROR(__xludf.DUMMYFUNCTION("""COMPUTED_VALUE"""),"Excellent")</f>
        <v>Excellent</v>
      </c>
      <c r="AC2920" s="183"/>
      <c r="AD2920" s="183"/>
      <c r="AE2920" s="183"/>
      <c r="AF2920" s="184"/>
      <c r="AG2920" s="180" t="str">
        <f>IFERROR(__xludf.DUMMYFUNCTION("""COMPUTED_VALUE"""),"Received VIN and delviery date on the same day")</f>
        <v>Received VIN and delviery date on the same day</v>
      </c>
      <c r="AH2920" s="185">
        <f>IFERROR(__xludf.DUMMYFUNCTION("""COMPUTED_VALUE"""),43359.359282233796)</f>
        <v>43359.35928</v>
      </c>
      <c r="AI2920" s="182"/>
      <c r="AJ2920" s="182"/>
      <c r="AK2920" s="182"/>
      <c r="AL2920" s="182"/>
    </row>
    <row r="2921" ht="20.25" customHeight="1">
      <c r="A2921" s="169" t="str">
        <f>IFERROR(__xludf.DUMMYFUNCTION("""COMPUTED_VALUE"""),"jkirkwood001")</f>
        <v>jkirkwood001</v>
      </c>
      <c r="B2921" s="170" t="str">
        <f>IFERROR(__xludf.DUMMYFUNCTION("""COMPUTED_VALUE"""),"Ottawa")</f>
        <v>Ottawa</v>
      </c>
      <c r="C2921" s="170" t="str">
        <f>IFERROR(__xludf.DUMMYFUNCTION("""COMPUTED_VALUE"""),"ON")</f>
        <v>ON</v>
      </c>
      <c r="D2921" s="170" t="str">
        <f>IFERROR(__xludf.DUMMYFUNCTION("""COMPUTED_VALUE"""),"Canada")</f>
        <v>Canada</v>
      </c>
      <c r="E2921" s="171">
        <f>IFERROR(__xludf.DUMMYFUNCTION("""COMPUTED_VALUE"""),43279.0)</f>
        <v>43279</v>
      </c>
      <c r="F2921" s="172">
        <f>IFERROR(__xludf.DUMMYFUNCTION("""COMPUTED_VALUE"""),43347.0)</f>
        <v>43347</v>
      </c>
      <c r="G2921" s="173"/>
      <c r="H2921" s="174">
        <f>IFERROR(__xludf.DUMMYFUNCTION("""COMPUTED_VALUE"""),107055.0)</f>
        <v>107055</v>
      </c>
      <c r="I2921" s="175" t="str">
        <f>IFERROR(__xludf.DUMMYFUNCTION("""COMPUTED_VALUE"""),"09/18")</f>
        <v>09/18</v>
      </c>
      <c r="J2921" s="172">
        <f>IFERROR(__xludf.DUMMYFUNCTION("""COMPUTED_VALUE"""),43365.0)</f>
        <v>43365</v>
      </c>
      <c r="K2921" s="176">
        <f>IFERROR(__xludf.DUMMYFUNCTION("""COMPUTED_VALUE"""),68.0)</f>
        <v>68</v>
      </c>
      <c r="L2921" s="176">
        <f>IFERROR(__xludf.DUMMYFUNCTION("""COMPUTED_VALUE"""),18.0)</f>
        <v>18</v>
      </c>
      <c r="M2921" s="176">
        <f>IFERROR(__xludf.DUMMYFUNCTION("""COMPUTED_VALUE"""),86.0)</f>
        <v>86</v>
      </c>
      <c r="N2921" s="177" t="str">
        <f>IFERROR(__xludf.DUMMYFUNCTION("""COMPUTED_VALUE"""),"Model 3 LR AWD")</f>
        <v>Model 3 LR AWD</v>
      </c>
      <c r="O2921" s="177" t="str">
        <f>IFERROR(__xludf.DUMMYFUNCTION("""COMPUTED_VALUE"""),"Red Multi-Coat")</f>
        <v>Red Multi-Coat</v>
      </c>
      <c r="P2921" s="178" t="str">
        <f>IFERROR(__xludf.DUMMYFUNCTION("""COMPUTED_VALUE"""),"18 inch Aero")</f>
        <v>18 inch Aero</v>
      </c>
      <c r="Q2921" s="177" t="str">
        <f>IFERROR(__xludf.DUMMYFUNCTION("""COMPUTED_VALUE"""),"Black seats")</f>
        <v>Black seats</v>
      </c>
      <c r="R2921" s="170" t="str">
        <f>IFERROR(__xludf.DUMMYFUNCTION("""COMPUTED_VALUE"""),"Enhanced Autopilot")</f>
        <v>Enhanced Autopilot</v>
      </c>
      <c r="S2921" s="170"/>
      <c r="T2921" s="179"/>
      <c r="U2921" s="179"/>
      <c r="V2921" s="179"/>
      <c r="W2921" s="180"/>
      <c r="X2921" s="181" t="str">
        <f>IFERROR(__xludf.DUMMYFUNCTION("""COMPUTED_VALUE"""),"Very Good")</f>
        <v>Very Good</v>
      </c>
      <c r="Y2921" s="182" t="str">
        <f>IFERROR(__xludf.DUMMYFUNCTION("""COMPUTED_VALUE"""),"Good")</f>
        <v>Good</v>
      </c>
      <c r="Z2921" s="182" t="str">
        <f>IFERROR(__xludf.DUMMYFUNCTION("""COMPUTED_VALUE"""),"Very Good")</f>
        <v>Very Good</v>
      </c>
      <c r="AA2921" s="182" t="str">
        <f>IFERROR(__xludf.DUMMYFUNCTION("""COMPUTED_VALUE"""),"Very Good")</f>
        <v>Very Good</v>
      </c>
      <c r="AB2921" s="182" t="str">
        <f>IFERROR(__xludf.DUMMYFUNCTION("""COMPUTED_VALUE"""),"Very Good")</f>
        <v>Very Good</v>
      </c>
      <c r="AC2921" s="183"/>
      <c r="AD2921" s="183"/>
      <c r="AE2921" s="183"/>
      <c r="AF2921" s="184"/>
      <c r="AG2921" s="180"/>
      <c r="AH2921" s="185">
        <f>IFERROR(__xludf.DUMMYFUNCTION("""COMPUTED_VALUE"""),43366.74252506944)</f>
        <v>43366.74253</v>
      </c>
      <c r="AI2921" s="182"/>
      <c r="AJ2921" s="182"/>
      <c r="AK2921" s="182"/>
      <c r="AL2921" s="182"/>
    </row>
    <row r="2922" ht="20.25" customHeight="1">
      <c r="A2922" s="169" t="str">
        <f>IFERROR(__xludf.DUMMYFUNCTION("""COMPUTED_VALUE"""),"JLB39401")</f>
        <v>JLB39401</v>
      </c>
      <c r="B2922" s="170" t="str">
        <f>IFERROR(__xludf.DUMMYFUNCTION("""COMPUTED_VALUE"""),"Hattiesburg")</f>
        <v>Hattiesburg</v>
      </c>
      <c r="C2922" s="170" t="str">
        <f>IFERROR(__xludf.DUMMYFUNCTION("""COMPUTED_VALUE"""),"MS")</f>
        <v>MS</v>
      </c>
      <c r="D2922" s="170" t="str">
        <f>IFERROR(__xludf.DUMMYFUNCTION("""COMPUTED_VALUE"""),"USA")</f>
        <v>USA</v>
      </c>
      <c r="E2922" s="171">
        <f>IFERROR(__xludf.DUMMYFUNCTION("""COMPUTED_VALUE"""),43279.0)</f>
        <v>43279</v>
      </c>
      <c r="F2922" s="172">
        <f>IFERROR(__xludf.DUMMYFUNCTION("""COMPUTED_VALUE"""),43348.0)</f>
        <v>43348</v>
      </c>
      <c r="G2922" s="173"/>
      <c r="H2922" s="174">
        <f>IFERROR(__xludf.DUMMYFUNCTION("""COMPUTED_VALUE"""),96855.0)</f>
        <v>96855</v>
      </c>
      <c r="I2922" s="175"/>
      <c r="J2922" s="172">
        <f>IFERROR(__xludf.DUMMYFUNCTION("""COMPUTED_VALUE"""),43356.0)</f>
        <v>43356</v>
      </c>
      <c r="K2922" s="176">
        <f>IFERROR(__xludf.DUMMYFUNCTION("""COMPUTED_VALUE"""),69.0)</f>
        <v>69</v>
      </c>
      <c r="L2922" s="176">
        <f>IFERROR(__xludf.DUMMYFUNCTION("""COMPUTED_VALUE"""),8.0)</f>
        <v>8</v>
      </c>
      <c r="M2922" s="176">
        <f>IFERROR(__xludf.DUMMYFUNCTION("""COMPUTED_VALUE"""),77.0)</f>
        <v>77</v>
      </c>
      <c r="N2922" s="177" t="str">
        <f>IFERROR(__xludf.DUMMYFUNCTION("""COMPUTED_VALUE"""),"Model 3 LR AWD")</f>
        <v>Model 3 LR AWD</v>
      </c>
      <c r="O2922" s="177" t="str">
        <f>IFERROR(__xludf.DUMMYFUNCTION("""COMPUTED_VALUE"""),"Pearl White Multi-Coat")</f>
        <v>Pearl White Multi-Coat</v>
      </c>
      <c r="P2922" s="178" t="str">
        <f>IFERROR(__xludf.DUMMYFUNCTION("""COMPUTED_VALUE"""),"18 inch Aero")</f>
        <v>18 inch Aero</v>
      </c>
      <c r="Q2922" s="177" t="str">
        <f>IFERROR(__xludf.DUMMYFUNCTION("""COMPUTED_VALUE"""),"White seats")</f>
        <v>White seats</v>
      </c>
      <c r="R2922" s="170" t="str">
        <f>IFERROR(__xludf.DUMMYFUNCTION("""COMPUTED_VALUE"""),"Full Self-Driving")</f>
        <v>Full Self-Driving</v>
      </c>
      <c r="S2922" s="170"/>
      <c r="T2922" s="179"/>
      <c r="U2922" s="179"/>
      <c r="V2922" s="179"/>
      <c r="W2922" s="180"/>
      <c r="X2922" s="181" t="str">
        <f>IFERROR(__xludf.DUMMYFUNCTION("""COMPUTED_VALUE"""),"Very Good")</f>
        <v>Very Good</v>
      </c>
      <c r="Y2922" s="182" t="str">
        <f>IFERROR(__xludf.DUMMYFUNCTION("""COMPUTED_VALUE"""),"Excellent")</f>
        <v>Excellent</v>
      </c>
      <c r="Z2922" s="182" t="str">
        <f>IFERROR(__xludf.DUMMYFUNCTION("""COMPUTED_VALUE"""),"Very Good")</f>
        <v>Very Good</v>
      </c>
      <c r="AA2922" s="182" t="str">
        <f>IFERROR(__xludf.DUMMYFUNCTION("""COMPUTED_VALUE"""),"Poor")</f>
        <v>Poor</v>
      </c>
      <c r="AB2922" s="182" t="str">
        <f>IFERROR(__xludf.DUMMYFUNCTION("""COMPUTED_VALUE"""),"Very Good")</f>
        <v>Very Good</v>
      </c>
      <c r="AC2922" s="183">
        <f>IFERROR(__xludf.DUMMYFUNCTION("""COMPUTED_VALUE"""),1.0)</f>
        <v>1</v>
      </c>
      <c r="AD2922" s="183">
        <f>IFERROR(__xludf.DUMMYFUNCTION("""COMPUTED_VALUE"""),1.0)</f>
        <v>1</v>
      </c>
      <c r="AE2922" s="183">
        <f>IFERROR(__xludf.DUMMYFUNCTION("""COMPUTED_VALUE"""),0.0)</f>
        <v>0</v>
      </c>
      <c r="AF2922" s="184"/>
      <c r="AG2922" s="180" t="str">
        <f>IFERROR(__xludf.DUMMYFUNCTION("""COMPUTED_VALUE"""),"Communication was generally good -- but I was told delivery would be first half of October.  On September 12th, I was told it was at the delivey center, to get it on the 13th; at this point I did not have insurance, tag, or financing arranged, and had alr"&amp;"eady made plans to be away from home &amp; out of state.  This lapse of communication created a time crunch as I tried to get everything sorted out at the last minute.")</f>
        <v>Communication was generally good -- but I was told delivery would be first half of October.  On September 12th, I was told it was at the delivey center, to get it on the 13th; at this point I did not have insurance, tag, or financing arranged, and had already made plans to be away from home &amp; out of state.  This lapse of communication created a time crunch as I tried to get everything sorted out at the last minute.</v>
      </c>
      <c r="AH2922" s="185">
        <f>IFERROR(__xludf.DUMMYFUNCTION("""COMPUTED_VALUE"""),43400.65889636574)</f>
        <v>43400.6589</v>
      </c>
      <c r="AI2922" s="182"/>
      <c r="AJ2922" s="182"/>
      <c r="AK2922" s="182"/>
      <c r="AL2922" s="182"/>
    </row>
    <row r="2923" ht="20.25" customHeight="1">
      <c r="A2923" s="169" t="str">
        <f>IFERROR(__xludf.DUMMYFUNCTION("""COMPUTED_VALUE"""),"jmalojhu")</f>
        <v>jmalojhu</v>
      </c>
      <c r="B2923" s="170" t="str">
        <f>IFERROR(__xludf.DUMMYFUNCTION("""COMPUTED_VALUE"""),"Arizona")</f>
        <v>Arizona</v>
      </c>
      <c r="C2923" s="170" t="str">
        <f>IFERROR(__xludf.DUMMYFUNCTION("""COMPUTED_VALUE"""),"AZ")</f>
        <v>AZ</v>
      </c>
      <c r="D2923" s="170" t="str">
        <f>IFERROR(__xludf.DUMMYFUNCTION("""COMPUTED_VALUE"""),"USA")</f>
        <v>USA</v>
      </c>
      <c r="E2923" s="171">
        <f>IFERROR(__xludf.DUMMYFUNCTION("""COMPUTED_VALUE"""),43279.0)</f>
        <v>43279</v>
      </c>
      <c r="F2923" s="172">
        <f>IFERROR(__xludf.DUMMYFUNCTION("""COMPUTED_VALUE"""),43346.0)</f>
        <v>43346</v>
      </c>
      <c r="G2923" s="173"/>
      <c r="H2923" s="174">
        <f>IFERROR(__xludf.DUMMYFUNCTION("""COMPUTED_VALUE"""),67055.0)</f>
        <v>67055</v>
      </c>
      <c r="I2923" s="175"/>
      <c r="J2923" s="172">
        <f>IFERROR(__xludf.DUMMYFUNCTION("""COMPUTED_VALUE"""),43352.0)</f>
        <v>43352</v>
      </c>
      <c r="K2923" s="176">
        <f>IFERROR(__xludf.DUMMYFUNCTION("""COMPUTED_VALUE"""),67.0)</f>
        <v>67</v>
      </c>
      <c r="L2923" s="176">
        <f>IFERROR(__xludf.DUMMYFUNCTION("""COMPUTED_VALUE"""),6.0)</f>
        <v>6</v>
      </c>
      <c r="M2923" s="176">
        <f>IFERROR(__xludf.DUMMYFUNCTION("""COMPUTED_VALUE"""),73.0)</f>
        <v>73</v>
      </c>
      <c r="N2923" s="177" t="str">
        <f>IFERROR(__xludf.DUMMYFUNCTION("""COMPUTED_VALUE"""),"Model 3 LR AWD")</f>
        <v>Model 3 LR AWD</v>
      </c>
      <c r="O2923" s="177" t="str">
        <f>IFERROR(__xludf.DUMMYFUNCTION("""COMPUTED_VALUE"""),"Pearl White Multi-Coat")</f>
        <v>Pearl White Multi-Coat</v>
      </c>
      <c r="P2923" s="178" t="str">
        <f>IFERROR(__xludf.DUMMYFUNCTION("""COMPUTED_VALUE"""),"18 inch Aero")</f>
        <v>18 inch Aero</v>
      </c>
      <c r="Q2923" s="177" t="str">
        <f>IFERROR(__xludf.DUMMYFUNCTION("""COMPUTED_VALUE"""),"Black seats")</f>
        <v>Black seats</v>
      </c>
      <c r="R2923" s="170" t="str">
        <f>IFERROR(__xludf.DUMMYFUNCTION("""COMPUTED_VALUE"""),"Enhanced Autopilot")</f>
        <v>Enhanced Autopilot</v>
      </c>
      <c r="S2923" s="170"/>
      <c r="T2923" s="179"/>
      <c r="U2923" s="179"/>
      <c r="V2923" s="179"/>
      <c r="W2923" s="180"/>
      <c r="X2923" s="181" t="str">
        <f>IFERROR(__xludf.DUMMYFUNCTION("""COMPUTED_VALUE"""),"Good")</f>
        <v>Good</v>
      </c>
      <c r="Y2923" s="182" t="str">
        <f>IFERROR(__xludf.DUMMYFUNCTION("""COMPUTED_VALUE"""),"Very Good")</f>
        <v>Very Good</v>
      </c>
      <c r="Z2923" s="182" t="str">
        <f>IFERROR(__xludf.DUMMYFUNCTION("""COMPUTED_VALUE"""),"Very Good")</f>
        <v>Very Good</v>
      </c>
      <c r="AA2923" s="182" t="str">
        <f>IFERROR(__xludf.DUMMYFUNCTION("""COMPUTED_VALUE"""),"Fair")</f>
        <v>Fair</v>
      </c>
      <c r="AB2923" s="182" t="str">
        <f>IFERROR(__xludf.DUMMYFUNCTION("""COMPUTED_VALUE"""),"Good")</f>
        <v>Good</v>
      </c>
      <c r="AC2923" s="183"/>
      <c r="AD2923" s="183"/>
      <c r="AE2923" s="183"/>
      <c r="AF2923" s="184"/>
      <c r="AG2923" s="180"/>
      <c r="AH2923" s="185">
        <f>IFERROR(__xludf.DUMMYFUNCTION("""COMPUTED_VALUE"""),43353.59879065972)</f>
        <v>43353.59879</v>
      </c>
      <c r="AI2923" s="182"/>
      <c r="AJ2923" s="182"/>
      <c r="AK2923" s="182"/>
      <c r="AL2923" s="182"/>
    </row>
    <row r="2924" ht="20.25" customHeight="1">
      <c r="A2924" s="169" t="str">
        <f>IFERROR(__xludf.DUMMYFUNCTION("""COMPUTED_VALUE"""),"JML")</f>
        <v>JML</v>
      </c>
      <c r="B2924" s="170" t="str">
        <f>IFERROR(__xludf.DUMMYFUNCTION("""COMPUTED_VALUE"""),"Boulder")</f>
        <v>Boulder</v>
      </c>
      <c r="C2924" s="170" t="str">
        <f>IFERROR(__xludf.DUMMYFUNCTION("""COMPUTED_VALUE"""),"CO")</f>
        <v>CO</v>
      </c>
      <c r="D2924" s="170" t="str">
        <f>IFERROR(__xludf.DUMMYFUNCTION("""COMPUTED_VALUE"""),"USA")</f>
        <v>USA</v>
      </c>
      <c r="E2924" s="171">
        <f>IFERROR(__xludf.DUMMYFUNCTION("""COMPUTED_VALUE"""),43279.0)</f>
        <v>43279</v>
      </c>
      <c r="F2924" s="172">
        <f>IFERROR(__xludf.DUMMYFUNCTION("""COMPUTED_VALUE"""),43333.0)</f>
        <v>43333</v>
      </c>
      <c r="G2924" s="173"/>
      <c r="H2924" s="174">
        <f>IFERROR(__xludf.DUMMYFUNCTION("""COMPUTED_VALUE"""),68455.0)</f>
        <v>68455</v>
      </c>
      <c r="I2924" s="175" t="str">
        <f>IFERROR(__xludf.DUMMYFUNCTION("""COMPUTED_VALUE"""),"08/18")</f>
        <v>08/18</v>
      </c>
      <c r="J2924" s="172">
        <f>IFERROR(__xludf.DUMMYFUNCTION("""COMPUTED_VALUE"""),43346.0)</f>
        <v>43346</v>
      </c>
      <c r="K2924" s="176">
        <f>IFERROR(__xludf.DUMMYFUNCTION("""COMPUTED_VALUE"""),54.0)</f>
        <v>54</v>
      </c>
      <c r="L2924" s="176">
        <f>IFERROR(__xludf.DUMMYFUNCTION("""COMPUTED_VALUE"""),13.0)</f>
        <v>13</v>
      </c>
      <c r="M2924" s="176">
        <f>IFERROR(__xludf.DUMMYFUNCTION("""COMPUTED_VALUE"""),67.0)</f>
        <v>67</v>
      </c>
      <c r="N2924" s="177" t="str">
        <f>IFERROR(__xludf.DUMMYFUNCTION("""COMPUTED_VALUE"""),"Model 3 LR AWD")</f>
        <v>Model 3 LR AWD</v>
      </c>
      <c r="O2924" s="177" t="str">
        <f>IFERROR(__xludf.DUMMYFUNCTION("""COMPUTED_VALUE"""),"Solid Black")</f>
        <v>Solid Black</v>
      </c>
      <c r="P2924" s="178" t="str">
        <f>IFERROR(__xludf.DUMMYFUNCTION("""COMPUTED_VALUE"""),"18 inch Aero")</f>
        <v>18 inch Aero</v>
      </c>
      <c r="Q2924" s="177" t="str">
        <f>IFERROR(__xludf.DUMMYFUNCTION("""COMPUTED_VALUE"""),"Black seats")</f>
        <v>Black seats</v>
      </c>
      <c r="R2924" s="170" t="str">
        <f>IFERROR(__xludf.DUMMYFUNCTION("""COMPUTED_VALUE"""),"Enhanced Autopilot")</f>
        <v>Enhanced Autopilot</v>
      </c>
      <c r="S2924" s="170"/>
      <c r="T2924" s="179"/>
      <c r="U2924" s="179"/>
      <c r="V2924" s="179"/>
      <c r="W2924" s="180"/>
      <c r="X2924" s="181" t="str">
        <f>IFERROR(__xludf.DUMMYFUNCTION("""COMPUTED_VALUE"""),"Very Good")</f>
        <v>Very Good</v>
      </c>
      <c r="Y2924" s="182" t="str">
        <f>IFERROR(__xludf.DUMMYFUNCTION("""COMPUTED_VALUE"""),"Very Good")</f>
        <v>Very Good</v>
      </c>
      <c r="Z2924" s="182" t="str">
        <f>IFERROR(__xludf.DUMMYFUNCTION("""COMPUTED_VALUE"""),"Good")</f>
        <v>Good</v>
      </c>
      <c r="AA2924" s="182" t="str">
        <f>IFERROR(__xludf.DUMMYFUNCTION("""COMPUTED_VALUE"""),"Fair")</f>
        <v>Fair</v>
      </c>
      <c r="AB2924" s="182" t="str">
        <f>IFERROR(__xludf.DUMMYFUNCTION("""COMPUTED_VALUE"""),"Excellent")</f>
        <v>Excellent</v>
      </c>
      <c r="AC2924" s="183"/>
      <c r="AD2924" s="183"/>
      <c r="AE2924" s="183"/>
      <c r="AF2924" s="184"/>
      <c r="AG2924" s="180"/>
      <c r="AH2924" s="185">
        <f>IFERROR(__xludf.DUMMYFUNCTION("""COMPUTED_VALUE"""),43347.91166008102)</f>
        <v>43347.91166</v>
      </c>
      <c r="AI2924" s="182"/>
      <c r="AJ2924" s="182"/>
      <c r="AK2924" s="182"/>
      <c r="AL2924" s="182"/>
    </row>
    <row r="2925" ht="20.25" customHeight="1">
      <c r="A2925" s="169" t="str">
        <f>IFERROR(__xludf.DUMMYFUNCTION("""COMPUTED_VALUE"""),"Jmmdownhil")</f>
        <v>Jmmdownhil</v>
      </c>
      <c r="B2925" s="170" t="str">
        <f>IFERROR(__xludf.DUMMYFUNCTION("""COMPUTED_VALUE"""),"Chapel Hill")</f>
        <v>Chapel Hill</v>
      </c>
      <c r="C2925" s="170" t="str">
        <f>IFERROR(__xludf.DUMMYFUNCTION("""COMPUTED_VALUE"""),"NC")</f>
        <v>NC</v>
      </c>
      <c r="D2925" s="170" t="str">
        <f>IFERROR(__xludf.DUMMYFUNCTION("""COMPUTED_VALUE"""),"USA")</f>
        <v>USA</v>
      </c>
      <c r="E2925" s="171">
        <f>IFERROR(__xludf.DUMMYFUNCTION("""COMPUTED_VALUE"""),43279.0)</f>
        <v>43279</v>
      </c>
      <c r="F2925" s="172">
        <f>IFERROR(__xludf.DUMMYFUNCTION("""COMPUTED_VALUE"""),43283.0)</f>
        <v>43283</v>
      </c>
      <c r="G2925" s="173"/>
      <c r="H2925" s="174">
        <f>IFERROR(__xludf.DUMMYFUNCTION("""COMPUTED_VALUE"""),42787.0)</f>
        <v>42787</v>
      </c>
      <c r="I2925" s="175" t="str">
        <f>IFERROR(__xludf.DUMMYFUNCTION("""COMPUTED_VALUE"""),"06/18")</f>
        <v>06/18</v>
      </c>
      <c r="J2925" s="172">
        <f>IFERROR(__xludf.DUMMYFUNCTION("""COMPUTED_VALUE"""),43337.0)</f>
        <v>43337</v>
      </c>
      <c r="K2925" s="176">
        <f>IFERROR(__xludf.DUMMYFUNCTION("""COMPUTED_VALUE"""),4.0)</f>
        <v>4</v>
      </c>
      <c r="L2925" s="176">
        <f>IFERROR(__xludf.DUMMYFUNCTION("""COMPUTED_VALUE"""),54.0)</f>
        <v>54</v>
      </c>
      <c r="M2925" s="176">
        <f>IFERROR(__xludf.DUMMYFUNCTION("""COMPUTED_VALUE"""),58.0)</f>
        <v>58</v>
      </c>
      <c r="N2925" s="177" t="str">
        <f>IFERROR(__xludf.DUMMYFUNCTION("""COMPUTED_VALUE"""),"Model 3 LR")</f>
        <v>Model 3 LR</v>
      </c>
      <c r="O2925" s="177" t="str">
        <f>IFERROR(__xludf.DUMMYFUNCTION("""COMPUTED_VALUE"""),"Deep Blue Metallic")</f>
        <v>Deep Blue Metallic</v>
      </c>
      <c r="P2925" s="178" t="str">
        <f>IFERROR(__xludf.DUMMYFUNCTION("""COMPUTED_VALUE"""),"19 inch Sport")</f>
        <v>19 inch Sport</v>
      </c>
      <c r="Q2925" s="177" t="str">
        <f>IFERROR(__xludf.DUMMYFUNCTION("""COMPUTED_VALUE"""),"Black seats")</f>
        <v>Black seats</v>
      </c>
      <c r="R2925" s="170" t="str">
        <f>IFERROR(__xludf.DUMMYFUNCTION("""COMPUTED_VALUE"""),"None")</f>
        <v>None</v>
      </c>
      <c r="S2925" s="170"/>
      <c r="T2925" s="179"/>
      <c r="U2925" s="179"/>
      <c r="V2925" s="179"/>
      <c r="W2925" s="180"/>
      <c r="X2925" s="181" t="str">
        <f>IFERROR(__xludf.DUMMYFUNCTION("""COMPUTED_VALUE"""),"Excellent")</f>
        <v>Excellent</v>
      </c>
      <c r="Y2925" s="182" t="str">
        <f>IFERROR(__xludf.DUMMYFUNCTION("""COMPUTED_VALUE"""),"Excellent")</f>
        <v>Excellent</v>
      </c>
      <c r="Z2925" s="182" t="str">
        <f>IFERROR(__xludf.DUMMYFUNCTION("""COMPUTED_VALUE"""),"Excellent")</f>
        <v>Excellent</v>
      </c>
      <c r="AA2925" s="182" t="str">
        <f>IFERROR(__xludf.DUMMYFUNCTION("""COMPUTED_VALUE"""),"Fair")</f>
        <v>Fair</v>
      </c>
      <c r="AB2925" s="182" t="str">
        <f>IFERROR(__xludf.DUMMYFUNCTION("""COMPUTED_VALUE"""),"Excellent")</f>
        <v>Excellent</v>
      </c>
      <c r="AC2925" s="183">
        <f>IFERROR(__xludf.DUMMYFUNCTION("""COMPUTED_VALUE"""),0.0)</f>
        <v>0</v>
      </c>
      <c r="AD2925" s="183">
        <f>IFERROR(__xludf.DUMMYFUNCTION("""COMPUTED_VALUE"""),0.0)</f>
        <v>0</v>
      </c>
      <c r="AE2925" s="183">
        <f>IFERROR(__xludf.DUMMYFUNCTION("""COMPUTED_VALUE"""),0.0)</f>
        <v>0</v>
      </c>
      <c r="AF2925" s="184"/>
      <c r="AG2925" s="180" t="str">
        <f>IFERROR(__xludf.DUMMYFUNCTION("""COMPUTED_VALUE"""),"Raleigh storage issues resulted in 2 cancelled delivery appointments.  Cars were diverted to Charlotte and had to then be transported to Raleigh when space (limited) was available. Many customers were, and still are, affected.")</f>
        <v>Raleigh storage issues resulted in 2 cancelled delivery appointments.  Cars were diverted to Charlotte and had to then be transported to Raleigh when space (limited) was available. Many customers were, and still are, affected.</v>
      </c>
      <c r="AH2925" s="185">
        <f>IFERROR(__xludf.DUMMYFUNCTION("""COMPUTED_VALUE"""),43341.52577620371)</f>
        <v>43341.52578</v>
      </c>
      <c r="AI2925" s="182"/>
      <c r="AJ2925" s="182"/>
      <c r="AK2925" s="182"/>
      <c r="AL2925" s="182"/>
    </row>
    <row r="2926" ht="20.25" customHeight="1">
      <c r="A2926" s="169" t="str">
        <f>IFERROR(__xludf.DUMMYFUNCTION("""COMPUTED_VALUE"""),"joey52685")</f>
        <v>joey52685</v>
      </c>
      <c r="B2926" s="170" t="str">
        <f>IFERROR(__xludf.DUMMYFUNCTION("""COMPUTED_VALUE"""),"Long Island")</f>
        <v>Long Island</v>
      </c>
      <c r="C2926" s="170" t="str">
        <f>IFERROR(__xludf.DUMMYFUNCTION("""COMPUTED_VALUE"""),"NY")</f>
        <v>NY</v>
      </c>
      <c r="D2926" s="170" t="str">
        <f>IFERROR(__xludf.DUMMYFUNCTION("""COMPUTED_VALUE"""),"USA")</f>
        <v>USA</v>
      </c>
      <c r="E2926" s="171">
        <f>IFERROR(__xludf.DUMMYFUNCTION("""COMPUTED_VALUE"""),43279.0)</f>
        <v>43279</v>
      </c>
      <c r="F2926" s="172"/>
      <c r="G2926" s="173"/>
      <c r="H2926" s="174">
        <f>IFERROR(__xludf.DUMMYFUNCTION("""COMPUTED_VALUE"""),54155.0)</f>
        <v>54155</v>
      </c>
      <c r="I2926" s="175"/>
      <c r="J2926" s="172">
        <f>IFERROR(__xludf.DUMMYFUNCTION("""COMPUTED_VALUE"""),43365.0)</f>
        <v>43365</v>
      </c>
      <c r="K2926" s="176"/>
      <c r="L2926" s="176"/>
      <c r="M2926" s="176">
        <f>IFERROR(__xludf.DUMMYFUNCTION("""COMPUTED_VALUE"""),86.0)</f>
        <v>86</v>
      </c>
      <c r="N2926" s="177" t="str">
        <f>IFERROR(__xludf.DUMMYFUNCTION("""COMPUTED_VALUE"""),"Model 3 LR AWD")</f>
        <v>Model 3 LR AWD</v>
      </c>
      <c r="O2926" s="177" t="str">
        <f>IFERROR(__xludf.DUMMYFUNCTION("""COMPUTED_VALUE"""),"Deep Blue Metallic")</f>
        <v>Deep Blue Metallic</v>
      </c>
      <c r="P2926" s="178" t="str">
        <f>IFERROR(__xludf.DUMMYFUNCTION("""COMPUTED_VALUE"""),"18 inch Aero")</f>
        <v>18 inch Aero</v>
      </c>
      <c r="Q2926" s="177" t="str">
        <f>IFERROR(__xludf.DUMMYFUNCTION("""COMPUTED_VALUE"""),"Black seats")</f>
        <v>Black seats</v>
      </c>
      <c r="R2926" s="170" t="str">
        <f>IFERROR(__xludf.DUMMYFUNCTION("""COMPUTED_VALUE"""),"Enhanced Autopilot")</f>
        <v>Enhanced Autopilot</v>
      </c>
      <c r="S2926" s="170"/>
      <c r="T2926" s="179"/>
      <c r="U2926" s="179"/>
      <c r="V2926" s="179"/>
      <c r="W2926" s="180"/>
      <c r="X2926" s="181" t="str">
        <f>IFERROR(__xludf.DUMMYFUNCTION("""COMPUTED_VALUE"""),"Excellent")</f>
        <v>Excellent</v>
      </c>
      <c r="Y2926" s="182" t="str">
        <f>IFERROR(__xludf.DUMMYFUNCTION("""COMPUTED_VALUE"""),"Excellent")</f>
        <v>Excellent</v>
      </c>
      <c r="Z2926" s="182" t="str">
        <f>IFERROR(__xludf.DUMMYFUNCTION("""COMPUTED_VALUE"""),"Very Good")</f>
        <v>Very Good</v>
      </c>
      <c r="AA2926" s="182" t="str">
        <f>IFERROR(__xludf.DUMMYFUNCTION("""COMPUTED_VALUE"""),"Excellent")</f>
        <v>Excellent</v>
      </c>
      <c r="AB2926" s="182" t="str">
        <f>IFERROR(__xludf.DUMMYFUNCTION("""COMPUTED_VALUE"""),"Good")</f>
        <v>Good</v>
      </c>
      <c r="AC2926" s="183">
        <f>IFERROR(__xludf.DUMMYFUNCTION("""COMPUTED_VALUE"""),0.0)</f>
        <v>0</v>
      </c>
      <c r="AD2926" s="183">
        <f>IFERROR(__xludf.DUMMYFUNCTION("""COMPUTED_VALUE"""),0.0)</f>
        <v>0</v>
      </c>
      <c r="AE2926" s="183">
        <f>IFERROR(__xludf.DUMMYFUNCTION("""COMPUTED_VALUE"""),0.0)</f>
        <v>0</v>
      </c>
      <c r="AF2926" s="184"/>
      <c r="AG2926" s="180" t="str">
        <f>IFERROR(__xludf.DUMMYFUNCTION("""COMPUTED_VALUE"""),"Delivery was pushed to 9/22/18 because they found an issue with the car. ")</f>
        <v>Delivery was pushed to 9/22/18 because they found an issue with the car. </v>
      </c>
      <c r="AH2926" s="185">
        <f>IFERROR(__xludf.DUMMYFUNCTION("""COMPUTED_VALUE"""),43368.26795546296)</f>
        <v>43368.26796</v>
      </c>
      <c r="AI2926" s="182"/>
      <c r="AJ2926" s="182"/>
      <c r="AK2926" s="182"/>
      <c r="AL2926" s="182"/>
    </row>
    <row r="2927" ht="20.25" customHeight="1">
      <c r="A2927" s="169" t="str">
        <f>IFERROR(__xludf.DUMMYFUNCTION("""COMPUTED_VALUE"""),"JonJonReidReid")</f>
        <v>JonJonReidReid</v>
      </c>
      <c r="B2927" s="170" t="str">
        <f>IFERROR(__xludf.DUMMYFUNCTION("""COMPUTED_VALUE"""),"Los Angeles")</f>
        <v>Los Angeles</v>
      </c>
      <c r="C2927" s="170" t="str">
        <f>IFERROR(__xludf.DUMMYFUNCTION("""COMPUTED_VALUE"""),"CA")</f>
        <v>CA</v>
      </c>
      <c r="D2927" s="170" t="str">
        <f>IFERROR(__xludf.DUMMYFUNCTION("""COMPUTED_VALUE"""),"USA")</f>
        <v>USA</v>
      </c>
      <c r="E2927" s="171">
        <f>IFERROR(__xludf.DUMMYFUNCTION("""COMPUTED_VALUE"""),43279.0)</f>
        <v>43279</v>
      </c>
      <c r="F2927" s="172">
        <f>IFERROR(__xludf.DUMMYFUNCTION("""COMPUTED_VALUE"""),43367.0)</f>
        <v>43367</v>
      </c>
      <c r="G2927" s="173"/>
      <c r="H2927" s="174">
        <f>IFERROR(__xludf.DUMMYFUNCTION("""COMPUTED_VALUE"""),105165.0)</f>
        <v>105165</v>
      </c>
      <c r="I2927" s="175"/>
      <c r="J2927" s="172">
        <f>IFERROR(__xludf.DUMMYFUNCTION("""COMPUTED_VALUE"""),43370.0)</f>
        <v>43370</v>
      </c>
      <c r="K2927" s="176">
        <f>IFERROR(__xludf.DUMMYFUNCTION("""COMPUTED_VALUE"""),88.0)</f>
        <v>88</v>
      </c>
      <c r="L2927" s="176">
        <f>IFERROR(__xludf.DUMMYFUNCTION("""COMPUTED_VALUE"""),3.0)</f>
        <v>3</v>
      </c>
      <c r="M2927" s="176">
        <f>IFERROR(__xludf.DUMMYFUNCTION("""COMPUTED_VALUE"""),91.0)</f>
        <v>91</v>
      </c>
      <c r="N2927" s="177" t="str">
        <f>IFERROR(__xludf.DUMMYFUNCTION("""COMPUTED_VALUE"""),"Model 3 LR AWD")</f>
        <v>Model 3 LR AWD</v>
      </c>
      <c r="O2927" s="177" t="str">
        <f>IFERROR(__xludf.DUMMYFUNCTION("""COMPUTED_VALUE"""),"Deep Blue Metallic")</f>
        <v>Deep Blue Metallic</v>
      </c>
      <c r="P2927" s="178" t="str">
        <f>IFERROR(__xludf.DUMMYFUNCTION("""COMPUTED_VALUE"""),"18 inch Aero")</f>
        <v>18 inch Aero</v>
      </c>
      <c r="Q2927" s="177" t="str">
        <f>IFERROR(__xludf.DUMMYFUNCTION("""COMPUTED_VALUE"""),"Black seats")</f>
        <v>Black seats</v>
      </c>
      <c r="R2927" s="170" t="str">
        <f>IFERROR(__xludf.DUMMYFUNCTION("""COMPUTED_VALUE"""),"Enhanced Autopilot")</f>
        <v>Enhanced Autopilot</v>
      </c>
      <c r="S2927" s="170"/>
      <c r="T2927" s="179"/>
      <c r="U2927" s="179"/>
      <c r="V2927" s="179"/>
      <c r="W2927" s="180"/>
      <c r="X2927" s="181" t="str">
        <f>IFERROR(__xludf.DUMMYFUNCTION("""COMPUTED_VALUE"""),"Excellent")</f>
        <v>Excellent</v>
      </c>
      <c r="Y2927" s="182" t="str">
        <f>IFERROR(__xludf.DUMMYFUNCTION("""COMPUTED_VALUE"""),"Excellent")</f>
        <v>Excellent</v>
      </c>
      <c r="Z2927" s="182" t="str">
        <f>IFERROR(__xludf.DUMMYFUNCTION("""COMPUTED_VALUE"""),"Excellent")</f>
        <v>Excellent</v>
      </c>
      <c r="AA2927" s="182" t="str">
        <f>IFERROR(__xludf.DUMMYFUNCTION("""COMPUTED_VALUE"""),"Excellent")</f>
        <v>Excellent</v>
      </c>
      <c r="AB2927" s="182" t="str">
        <f>IFERROR(__xludf.DUMMYFUNCTION("""COMPUTED_VALUE"""),"Excellent")</f>
        <v>Excellent</v>
      </c>
      <c r="AC2927" s="183"/>
      <c r="AD2927" s="183"/>
      <c r="AE2927" s="183"/>
      <c r="AF2927" s="184"/>
      <c r="AG2927" s="180"/>
      <c r="AH2927" s="185">
        <f>IFERROR(__xludf.DUMMYFUNCTION("""COMPUTED_VALUE"""),43370.54856181713)</f>
        <v>43370.54856</v>
      </c>
      <c r="AI2927" s="182"/>
      <c r="AJ2927" s="182"/>
      <c r="AK2927" s="182"/>
      <c r="AL2927" s="182"/>
    </row>
    <row r="2928" ht="20.25" customHeight="1">
      <c r="A2928" s="169" t="str">
        <f>IFERROR(__xludf.DUMMYFUNCTION("""COMPUTED_VALUE"""),"JudyofYorktown")</f>
        <v>JudyofYorktown</v>
      </c>
      <c r="B2928" s="170" t="str">
        <f>IFERROR(__xludf.DUMMYFUNCTION("""COMPUTED_VALUE"""),"Yorktown")</f>
        <v>Yorktown</v>
      </c>
      <c r="C2928" s="170" t="str">
        <f>IFERROR(__xludf.DUMMYFUNCTION("""COMPUTED_VALUE"""),"VA")</f>
        <v>VA</v>
      </c>
      <c r="D2928" s="170" t="str">
        <f>IFERROR(__xludf.DUMMYFUNCTION("""COMPUTED_VALUE"""),"USA")</f>
        <v>USA</v>
      </c>
      <c r="E2928" s="171">
        <f>IFERROR(__xludf.DUMMYFUNCTION("""COMPUTED_VALUE"""),43279.0)</f>
        <v>43279</v>
      </c>
      <c r="F2928" s="172">
        <f>IFERROR(__xludf.DUMMYFUNCTION("""COMPUTED_VALUE"""),43312.0)</f>
        <v>43312</v>
      </c>
      <c r="G2928" s="173"/>
      <c r="H2928" s="174">
        <f>IFERROR(__xludf.DUMMYFUNCTION("""COMPUTED_VALUE"""),40755.0)</f>
        <v>40755</v>
      </c>
      <c r="I2928" s="175" t="str">
        <f>IFERROR(__xludf.DUMMYFUNCTION("""COMPUTED_VALUE"""),"07/18")</f>
        <v>07/18</v>
      </c>
      <c r="J2928" s="172">
        <f>IFERROR(__xludf.DUMMYFUNCTION("""COMPUTED_VALUE"""),43321.0)</f>
        <v>43321</v>
      </c>
      <c r="K2928" s="176">
        <f>IFERROR(__xludf.DUMMYFUNCTION("""COMPUTED_VALUE"""),33.0)</f>
        <v>33</v>
      </c>
      <c r="L2928" s="176">
        <f>IFERROR(__xludf.DUMMYFUNCTION("""COMPUTED_VALUE"""),9.0)</f>
        <v>9</v>
      </c>
      <c r="M2928" s="176">
        <f>IFERROR(__xludf.DUMMYFUNCTION("""COMPUTED_VALUE"""),42.0)</f>
        <v>42</v>
      </c>
      <c r="N2928" s="177" t="str">
        <f>IFERROR(__xludf.DUMMYFUNCTION("""COMPUTED_VALUE"""),"Model 3 LR")</f>
        <v>Model 3 LR</v>
      </c>
      <c r="O2928" s="177" t="str">
        <f>IFERROR(__xludf.DUMMYFUNCTION("""COMPUTED_VALUE"""),"Red Multi-Coat")</f>
        <v>Red Multi-Coat</v>
      </c>
      <c r="P2928" s="178" t="str">
        <f>IFERROR(__xludf.DUMMYFUNCTION("""COMPUTED_VALUE"""),"18 inch Aero")</f>
        <v>18 inch Aero</v>
      </c>
      <c r="Q2928" s="177" t="str">
        <f>IFERROR(__xludf.DUMMYFUNCTION("""COMPUTED_VALUE"""),"Black seats")</f>
        <v>Black seats</v>
      </c>
      <c r="R2928" s="170" t="str">
        <f>IFERROR(__xludf.DUMMYFUNCTION("""COMPUTED_VALUE"""),"Enhanced Autopilot")</f>
        <v>Enhanced Autopilot</v>
      </c>
      <c r="S2928" s="170"/>
      <c r="T2928" s="179"/>
      <c r="U2928" s="179"/>
      <c r="V2928" s="179"/>
      <c r="W2928" s="180"/>
      <c r="X2928" s="181" t="str">
        <f>IFERROR(__xludf.DUMMYFUNCTION("""COMPUTED_VALUE"""),"Excellent")</f>
        <v>Excellent</v>
      </c>
      <c r="Y2928" s="182" t="str">
        <f>IFERROR(__xludf.DUMMYFUNCTION("""COMPUTED_VALUE"""),"Excellent")</f>
        <v>Excellent</v>
      </c>
      <c r="Z2928" s="182" t="str">
        <f>IFERROR(__xludf.DUMMYFUNCTION("""COMPUTED_VALUE"""),"Excellent")</f>
        <v>Excellent</v>
      </c>
      <c r="AA2928" s="182" t="str">
        <f>IFERROR(__xludf.DUMMYFUNCTION("""COMPUTED_VALUE"""),"Fair")</f>
        <v>Fair</v>
      </c>
      <c r="AB2928" s="182" t="str">
        <f>IFERROR(__xludf.DUMMYFUNCTION("""COMPUTED_VALUE"""),"Excellent")</f>
        <v>Excellent</v>
      </c>
      <c r="AC2928" s="183">
        <f>IFERROR(__xludf.DUMMYFUNCTION("""COMPUTED_VALUE"""),1.0)</f>
        <v>1</v>
      </c>
      <c r="AD2928" s="183">
        <f>IFERROR(__xludf.DUMMYFUNCTION("""COMPUTED_VALUE"""),1.0)</f>
        <v>1</v>
      </c>
      <c r="AE2928" s="183"/>
      <c r="AF2928" s="184"/>
      <c r="AG2928" s="180" t="str">
        <f>IFERROR(__xludf.DUMMYFUNCTION("""COMPUTED_VALUE"""),"Change from AWD to RWD on July 28 and color from Metalic Blue to Multicoat Red")</f>
        <v>Change from AWD to RWD on July 28 and color from Metalic Blue to Multicoat Red</v>
      </c>
      <c r="AH2928" s="185">
        <f>IFERROR(__xludf.DUMMYFUNCTION("""COMPUTED_VALUE"""),43330.56941443287)</f>
        <v>43330.56941</v>
      </c>
      <c r="AI2928" s="182"/>
      <c r="AJ2928" s="182"/>
      <c r="AK2928" s="182"/>
      <c r="AL2928" s="182"/>
    </row>
    <row r="2929" ht="20.25" customHeight="1">
      <c r="A2929" s="169" t="str">
        <f>IFERROR(__xludf.DUMMYFUNCTION("""COMPUTED_VALUE"""),"JWalton314")</f>
        <v>JWalton314</v>
      </c>
      <c r="B2929" s="170" t="str">
        <f>IFERROR(__xludf.DUMMYFUNCTION("""COMPUTED_VALUE"""),"Los Angeles")</f>
        <v>Los Angeles</v>
      </c>
      <c r="C2929" s="170" t="str">
        <f>IFERROR(__xludf.DUMMYFUNCTION("""COMPUTED_VALUE"""),"CA")</f>
        <v>CA</v>
      </c>
      <c r="D2929" s="170" t="str">
        <f>IFERROR(__xludf.DUMMYFUNCTION("""COMPUTED_VALUE"""),"USA")</f>
        <v>USA</v>
      </c>
      <c r="E2929" s="171">
        <f>IFERROR(__xludf.DUMMYFUNCTION("""COMPUTED_VALUE"""),43279.0)</f>
        <v>43279</v>
      </c>
      <c r="F2929" s="172">
        <f>IFERROR(__xludf.DUMMYFUNCTION("""COMPUTED_VALUE"""),43318.0)</f>
        <v>43318</v>
      </c>
      <c r="G2929" s="173"/>
      <c r="H2929" s="174">
        <f>IFERROR(__xludf.DUMMYFUNCTION("""COMPUTED_VALUE"""),71155.0)</f>
        <v>71155</v>
      </c>
      <c r="I2929" s="175"/>
      <c r="J2929" s="172">
        <f>IFERROR(__xludf.DUMMYFUNCTION("""COMPUTED_VALUE"""),43350.0)</f>
        <v>43350</v>
      </c>
      <c r="K2929" s="176">
        <f>IFERROR(__xludf.DUMMYFUNCTION("""COMPUTED_VALUE"""),39.0)</f>
        <v>39</v>
      </c>
      <c r="L2929" s="176">
        <f>IFERROR(__xludf.DUMMYFUNCTION("""COMPUTED_VALUE"""),32.0)</f>
        <v>32</v>
      </c>
      <c r="M2929" s="176">
        <f>IFERROR(__xludf.DUMMYFUNCTION("""COMPUTED_VALUE"""),71.0)</f>
        <v>71</v>
      </c>
      <c r="N2929" s="177" t="str">
        <f>IFERROR(__xludf.DUMMYFUNCTION("""COMPUTED_VALUE"""),"Model 3 LR")</f>
        <v>Model 3 LR</v>
      </c>
      <c r="O2929" s="177" t="str">
        <f>IFERROR(__xludf.DUMMYFUNCTION("""COMPUTED_VALUE"""),"Obsidian Black Metallic")</f>
        <v>Obsidian Black Metallic</v>
      </c>
      <c r="P2929" s="178" t="str">
        <f>IFERROR(__xludf.DUMMYFUNCTION("""COMPUTED_VALUE"""),"19 inch Sport")</f>
        <v>19 inch Sport</v>
      </c>
      <c r="Q2929" s="177" t="str">
        <f>IFERROR(__xludf.DUMMYFUNCTION("""COMPUTED_VALUE"""),"Black seats")</f>
        <v>Black seats</v>
      </c>
      <c r="R2929" s="170" t="str">
        <f>IFERROR(__xludf.DUMMYFUNCTION("""COMPUTED_VALUE"""),"Enhanced Autopilot")</f>
        <v>Enhanced Autopilot</v>
      </c>
      <c r="S2929" s="170"/>
      <c r="T2929" s="179"/>
      <c r="U2929" s="179"/>
      <c r="V2929" s="179"/>
      <c r="W2929" s="180"/>
      <c r="X2929" s="181" t="str">
        <f>IFERROR(__xludf.DUMMYFUNCTION("""COMPUTED_VALUE"""),"Excellent")</f>
        <v>Excellent</v>
      </c>
      <c r="Y2929" s="182" t="str">
        <f>IFERROR(__xludf.DUMMYFUNCTION("""COMPUTED_VALUE"""),"Very Good")</f>
        <v>Very Good</v>
      </c>
      <c r="Z2929" s="182" t="str">
        <f>IFERROR(__xludf.DUMMYFUNCTION("""COMPUTED_VALUE"""),"Excellent")</f>
        <v>Excellent</v>
      </c>
      <c r="AA2929" s="182" t="str">
        <f>IFERROR(__xludf.DUMMYFUNCTION("""COMPUTED_VALUE"""),"Very Good")</f>
        <v>Very Good</v>
      </c>
      <c r="AB2929" s="182" t="str">
        <f>IFERROR(__xludf.DUMMYFUNCTION("""COMPUTED_VALUE"""),"Very Good")</f>
        <v>Very Good</v>
      </c>
      <c r="AC2929" s="183">
        <f>IFERROR(__xludf.DUMMYFUNCTION("""COMPUTED_VALUE"""),1.0)</f>
        <v>1</v>
      </c>
      <c r="AD2929" s="183">
        <f>IFERROR(__xludf.DUMMYFUNCTION("""COMPUTED_VALUE"""),1.0)</f>
        <v>1</v>
      </c>
      <c r="AE2929" s="183">
        <f>IFERROR(__xludf.DUMMYFUNCTION("""COMPUTED_VALUE"""),0.0)</f>
        <v>0</v>
      </c>
      <c r="AF2929" s="184"/>
      <c r="AG2929" s="180" t="str">
        <f>IFERROR(__xludf.DUMMYFUNCTION("""COMPUTED_VALUE"""),"Original Delivery Date AUG 13.")</f>
        <v>Original Delivery Date AUG 13.</v>
      </c>
      <c r="AH2929" s="185">
        <f>IFERROR(__xludf.DUMMYFUNCTION("""COMPUTED_VALUE"""),43350.581644872684)</f>
        <v>43350.58164</v>
      </c>
      <c r="AI2929" s="182"/>
      <c r="AJ2929" s="182"/>
      <c r="AK2929" s="182"/>
      <c r="AL2929" s="182"/>
    </row>
    <row r="2930" ht="20.25" customHeight="1">
      <c r="A2930" s="169" t="str">
        <f>IFERROR(__xludf.DUMMYFUNCTION("""COMPUTED_VALUE"""),"kallis")</f>
        <v>kallis</v>
      </c>
      <c r="B2930" s="170"/>
      <c r="C2930" s="170" t="str">
        <f>IFERROR(__xludf.DUMMYFUNCTION("""COMPUTED_VALUE"""),"GA")</f>
        <v>GA</v>
      </c>
      <c r="D2930" s="170" t="str">
        <f>IFERROR(__xludf.DUMMYFUNCTION("""COMPUTED_VALUE"""),"USA")</f>
        <v>USA</v>
      </c>
      <c r="E2930" s="171">
        <f>IFERROR(__xludf.DUMMYFUNCTION("""COMPUTED_VALUE"""),43279.0)</f>
        <v>43279</v>
      </c>
      <c r="F2930" s="172">
        <f>IFERROR(__xludf.DUMMYFUNCTION("""COMPUTED_VALUE"""),43304.0)</f>
        <v>43304</v>
      </c>
      <c r="G2930" s="173"/>
      <c r="H2930" s="174">
        <f>IFERROR(__xludf.DUMMYFUNCTION("""COMPUTED_VALUE"""),48655.0)</f>
        <v>48655</v>
      </c>
      <c r="I2930" s="175"/>
      <c r="J2930" s="172">
        <f>IFERROR(__xludf.DUMMYFUNCTION("""COMPUTED_VALUE"""),43309.0)</f>
        <v>43309</v>
      </c>
      <c r="K2930" s="176">
        <f>IFERROR(__xludf.DUMMYFUNCTION("""COMPUTED_VALUE"""),25.0)</f>
        <v>25</v>
      </c>
      <c r="L2930" s="176">
        <f>IFERROR(__xludf.DUMMYFUNCTION("""COMPUTED_VALUE"""),5.0)</f>
        <v>5</v>
      </c>
      <c r="M2930" s="176">
        <f>IFERROR(__xludf.DUMMYFUNCTION("""COMPUTED_VALUE"""),30.0)</f>
        <v>30</v>
      </c>
      <c r="N2930" s="177" t="str">
        <f>IFERROR(__xludf.DUMMYFUNCTION("""COMPUTED_VALUE"""),"Model 3 LR")</f>
        <v>Model 3 LR</v>
      </c>
      <c r="O2930" s="177" t="str">
        <f>IFERROR(__xludf.DUMMYFUNCTION("""COMPUTED_VALUE"""),"Silver Metallic")</f>
        <v>Silver Metallic</v>
      </c>
      <c r="P2930" s="178" t="str">
        <f>IFERROR(__xludf.DUMMYFUNCTION("""COMPUTED_VALUE"""),"19 inch Sport")</f>
        <v>19 inch Sport</v>
      </c>
      <c r="Q2930" s="177" t="str">
        <f>IFERROR(__xludf.DUMMYFUNCTION("""COMPUTED_VALUE"""),"Black seats")</f>
        <v>Black seats</v>
      </c>
      <c r="R2930" s="170" t="str">
        <f>IFERROR(__xludf.DUMMYFUNCTION("""COMPUTED_VALUE"""),"Enhanced Autopilot")</f>
        <v>Enhanced Autopilot</v>
      </c>
      <c r="S2930" s="170"/>
      <c r="T2930" s="179"/>
      <c r="U2930" s="179"/>
      <c r="V2930" s="179"/>
      <c r="W2930" s="180"/>
      <c r="X2930" s="181" t="str">
        <f>IFERROR(__xludf.DUMMYFUNCTION("""COMPUTED_VALUE"""),"Excellent")</f>
        <v>Excellent</v>
      </c>
      <c r="Y2930" s="182" t="str">
        <f>IFERROR(__xludf.DUMMYFUNCTION("""COMPUTED_VALUE"""),"Excellent")</f>
        <v>Excellent</v>
      </c>
      <c r="Z2930" s="182" t="str">
        <f>IFERROR(__xludf.DUMMYFUNCTION("""COMPUTED_VALUE"""),"Excellent")</f>
        <v>Excellent</v>
      </c>
      <c r="AA2930" s="182" t="str">
        <f>IFERROR(__xludf.DUMMYFUNCTION("""COMPUTED_VALUE"""),"Excellent")</f>
        <v>Excellent</v>
      </c>
      <c r="AB2930" s="182" t="str">
        <f>IFERROR(__xludf.DUMMYFUNCTION("""COMPUTED_VALUE"""),"Fair")</f>
        <v>Fair</v>
      </c>
      <c r="AC2930" s="183">
        <f>IFERROR(__xludf.DUMMYFUNCTION("""COMPUTED_VALUE"""),0.0)</f>
        <v>0</v>
      </c>
      <c r="AD2930" s="183"/>
      <c r="AE2930" s="183"/>
      <c r="AF2930" s="184"/>
      <c r="AG2930" s="180"/>
      <c r="AH2930" s="185">
        <f>IFERROR(__xludf.DUMMYFUNCTION("""COMPUTED_VALUE"""),43312.631886550924)</f>
        <v>43312.63189</v>
      </c>
      <c r="AI2930" s="182"/>
      <c r="AJ2930" s="182"/>
      <c r="AK2930" s="182"/>
      <c r="AL2930" s="182"/>
    </row>
    <row r="2931" ht="20.25" customHeight="1">
      <c r="A2931" s="169" t="str">
        <f>IFERROR(__xludf.DUMMYFUNCTION("""COMPUTED_VALUE"""),"keco185")</f>
        <v>keco185</v>
      </c>
      <c r="B2931" s="170"/>
      <c r="C2931" s="170" t="str">
        <f>IFERROR(__xludf.DUMMYFUNCTION("""COMPUTED_VALUE"""),"PA")</f>
        <v>PA</v>
      </c>
      <c r="D2931" s="170" t="str">
        <f>IFERROR(__xludf.DUMMYFUNCTION("""COMPUTED_VALUE"""),"USA")</f>
        <v>USA</v>
      </c>
      <c r="E2931" s="171">
        <f>IFERROR(__xludf.DUMMYFUNCTION("""COMPUTED_VALUE"""),43279.0)</f>
        <v>43279</v>
      </c>
      <c r="F2931" s="172">
        <f>IFERROR(__xludf.DUMMYFUNCTION("""COMPUTED_VALUE"""),43385.0)</f>
        <v>43385</v>
      </c>
      <c r="G2931" s="173"/>
      <c r="H2931" s="174">
        <f>IFERROR(__xludf.DUMMYFUNCTION("""COMPUTED_VALUE"""),117655.0)</f>
        <v>117655</v>
      </c>
      <c r="I2931" s="175" t="str">
        <f>IFERROR(__xludf.DUMMYFUNCTION("""COMPUTED_VALUE"""),"10/18")</f>
        <v>10/18</v>
      </c>
      <c r="J2931" s="172">
        <f>IFERROR(__xludf.DUMMYFUNCTION("""COMPUTED_VALUE"""),43404.0)</f>
        <v>43404</v>
      </c>
      <c r="K2931" s="176">
        <f>IFERROR(__xludf.DUMMYFUNCTION("""COMPUTED_VALUE"""),106.0)</f>
        <v>106</v>
      </c>
      <c r="L2931" s="176">
        <f>IFERROR(__xludf.DUMMYFUNCTION("""COMPUTED_VALUE"""),19.0)</f>
        <v>19</v>
      </c>
      <c r="M2931" s="176">
        <f>IFERROR(__xludf.DUMMYFUNCTION("""COMPUTED_VALUE"""),125.0)</f>
        <v>125</v>
      </c>
      <c r="N2931" s="177" t="str">
        <f>IFERROR(__xludf.DUMMYFUNCTION("""COMPUTED_VALUE"""),"Model 3 LR AWD")</f>
        <v>Model 3 LR AWD</v>
      </c>
      <c r="O2931" s="177" t="str">
        <f>IFERROR(__xludf.DUMMYFUNCTION("""COMPUTED_VALUE"""),"Deep Blue Metallic")</f>
        <v>Deep Blue Metallic</v>
      </c>
      <c r="P2931" s="178" t="str">
        <f>IFERROR(__xludf.DUMMYFUNCTION("""COMPUTED_VALUE"""),"19 inch Sport")</f>
        <v>19 inch Sport</v>
      </c>
      <c r="Q2931" s="177" t="str">
        <f>IFERROR(__xludf.DUMMYFUNCTION("""COMPUTED_VALUE"""),"Black seats")</f>
        <v>Black seats</v>
      </c>
      <c r="R2931" s="170" t="str">
        <f>IFERROR(__xludf.DUMMYFUNCTION("""COMPUTED_VALUE"""),"Enhanced Autopilot")</f>
        <v>Enhanced Autopilot</v>
      </c>
      <c r="S2931" s="170"/>
      <c r="T2931" s="179"/>
      <c r="U2931" s="179"/>
      <c r="V2931" s="179"/>
      <c r="W2931" s="180"/>
      <c r="X2931" s="181" t="str">
        <f>IFERROR(__xludf.DUMMYFUNCTION("""COMPUTED_VALUE"""),"Excellent")</f>
        <v>Excellent</v>
      </c>
      <c r="Y2931" s="182" t="str">
        <f>IFERROR(__xludf.DUMMYFUNCTION("""COMPUTED_VALUE"""),"Excellent")</f>
        <v>Excellent</v>
      </c>
      <c r="Z2931" s="182" t="str">
        <f>IFERROR(__xludf.DUMMYFUNCTION("""COMPUTED_VALUE"""),"Excellent")</f>
        <v>Excellent</v>
      </c>
      <c r="AA2931" s="182" t="str">
        <f>IFERROR(__xludf.DUMMYFUNCTION("""COMPUTED_VALUE"""),"Excellent")</f>
        <v>Excellent</v>
      </c>
      <c r="AB2931" s="182" t="str">
        <f>IFERROR(__xludf.DUMMYFUNCTION("""COMPUTED_VALUE"""),"Excellent")</f>
        <v>Excellent</v>
      </c>
      <c r="AC2931" s="183">
        <f>IFERROR(__xludf.DUMMYFUNCTION("""COMPUTED_VALUE"""),0.0)</f>
        <v>0</v>
      </c>
      <c r="AD2931" s="183">
        <f>IFERROR(__xludf.DUMMYFUNCTION("""COMPUTED_VALUE"""),0.0)</f>
        <v>0</v>
      </c>
      <c r="AE2931" s="183">
        <f>IFERROR(__xludf.DUMMYFUNCTION("""COMPUTED_VALUE"""),0.0)</f>
        <v>0</v>
      </c>
      <c r="AF2931" s="184"/>
      <c r="AG2931" s="180"/>
      <c r="AH2931" s="185">
        <f>IFERROR(__xludf.DUMMYFUNCTION("""COMPUTED_VALUE"""),43450.27607083333)</f>
        <v>43450.27607</v>
      </c>
      <c r="AI2931" s="182"/>
      <c r="AJ2931" s="182"/>
      <c r="AK2931" s="182"/>
      <c r="AL2931" s="182"/>
    </row>
    <row r="2932" ht="20.25" customHeight="1">
      <c r="A2932" s="169" t="str">
        <f>IFERROR(__xludf.DUMMYFUNCTION("""COMPUTED_VALUE"""),"kennyboy")</f>
        <v>kennyboy</v>
      </c>
      <c r="B2932" s="170" t="str">
        <f>IFERROR(__xludf.DUMMYFUNCTION("""COMPUTED_VALUE"""),"Austin")</f>
        <v>Austin</v>
      </c>
      <c r="C2932" s="170" t="str">
        <f>IFERROR(__xludf.DUMMYFUNCTION("""COMPUTED_VALUE"""),"TX")</f>
        <v>TX</v>
      </c>
      <c r="D2932" s="170" t="str">
        <f>IFERROR(__xludf.DUMMYFUNCTION("""COMPUTED_VALUE"""),"USA")</f>
        <v>USA</v>
      </c>
      <c r="E2932" s="171">
        <f>IFERROR(__xludf.DUMMYFUNCTION("""COMPUTED_VALUE"""),43279.0)</f>
        <v>43279</v>
      </c>
      <c r="F2932" s="172">
        <f>IFERROR(__xludf.DUMMYFUNCTION("""COMPUTED_VALUE"""),43350.0)</f>
        <v>43350</v>
      </c>
      <c r="G2932" s="173"/>
      <c r="H2932" s="174">
        <f>IFERROR(__xludf.DUMMYFUNCTION("""COMPUTED_VALUE"""),63255.0)</f>
        <v>63255</v>
      </c>
      <c r="I2932" s="175" t="str">
        <f>IFERROR(__xludf.DUMMYFUNCTION("""COMPUTED_VALUE"""),"09/18")</f>
        <v>09/18</v>
      </c>
      <c r="J2932" s="172">
        <f>IFERROR(__xludf.DUMMYFUNCTION("""COMPUTED_VALUE"""),43363.0)</f>
        <v>43363</v>
      </c>
      <c r="K2932" s="176">
        <f>IFERROR(__xludf.DUMMYFUNCTION("""COMPUTED_VALUE"""),71.0)</f>
        <v>71</v>
      </c>
      <c r="L2932" s="176">
        <f>IFERROR(__xludf.DUMMYFUNCTION("""COMPUTED_VALUE"""),13.0)</f>
        <v>13</v>
      </c>
      <c r="M2932" s="176">
        <f>IFERROR(__xludf.DUMMYFUNCTION("""COMPUTED_VALUE"""),84.0)</f>
        <v>84</v>
      </c>
      <c r="N2932" s="177" t="str">
        <f>IFERROR(__xludf.DUMMYFUNCTION("""COMPUTED_VALUE"""),"Model 3 Performance")</f>
        <v>Model 3 Performance</v>
      </c>
      <c r="O2932" s="177" t="str">
        <f>IFERROR(__xludf.DUMMYFUNCTION("""COMPUTED_VALUE"""),"Red Multi-Coat")</f>
        <v>Red Multi-Coat</v>
      </c>
      <c r="P2932" s="178" t="str">
        <f>IFERROR(__xludf.DUMMYFUNCTION("""COMPUTED_VALUE"""),"20 inch Sport")</f>
        <v>20 inch Sport</v>
      </c>
      <c r="Q2932" s="177" t="str">
        <f>IFERROR(__xludf.DUMMYFUNCTION("""COMPUTED_VALUE"""),"Black seats")</f>
        <v>Black seats</v>
      </c>
      <c r="R2932" s="170" t="str">
        <f>IFERROR(__xludf.DUMMYFUNCTION("""COMPUTED_VALUE"""),"Full Self-Driving")</f>
        <v>Full Self-Driving</v>
      </c>
      <c r="S2932" s="170"/>
      <c r="T2932" s="179"/>
      <c r="U2932" s="179"/>
      <c r="V2932" s="179"/>
      <c r="W2932" s="180"/>
      <c r="X2932" s="181" t="str">
        <f>IFERROR(__xludf.DUMMYFUNCTION("""COMPUTED_VALUE"""),"Good")</f>
        <v>Good</v>
      </c>
      <c r="Y2932" s="182" t="str">
        <f>IFERROR(__xludf.DUMMYFUNCTION("""COMPUTED_VALUE"""),"Very Good")</f>
        <v>Very Good</v>
      </c>
      <c r="Z2932" s="182" t="str">
        <f>IFERROR(__xludf.DUMMYFUNCTION("""COMPUTED_VALUE"""),"Very Good")</f>
        <v>Very Good</v>
      </c>
      <c r="AA2932" s="182" t="str">
        <f>IFERROR(__xludf.DUMMYFUNCTION("""COMPUTED_VALUE"""),"Very Good")</f>
        <v>Very Good</v>
      </c>
      <c r="AB2932" s="182" t="str">
        <f>IFERROR(__xludf.DUMMYFUNCTION("""COMPUTED_VALUE"""),"Good")</f>
        <v>Good</v>
      </c>
      <c r="AC2932" s="183">
        <f>IFERROR(__xludf.DUMMYFUNCTION("""COMPUTED_VALUE"""),2.0)</f>
        <v>2</v>
      </c>
      <c r="AD2932" s="183"/>
      <c r="AE2932" s="183"/>
      <c r="AF2932" s="184"/>
      <c r="AG2932" s="180"/>
      <c r="AH2932" s="185">
        <f>IFERROR(__xludf.DUMMYFUNCTION("""COMPUTED_VALUE"""),43364.203810439816)</f>
        <v>43364.20381</v>
      </c>
      <c r="AI2932" s="182"/>
      <c r="AJ2932" s="182"/>
      <c r="AK2932" s="182"/>
      <c r="AL2932" s="182"/>
    </row>
    <row r="2933" ht="20.25" customHeight="1">
      <c r="A2933" s="169" t="str">
        <f>IFERROR(__xludf.DUMMYFUNCTION("""COMPUTED_VALUE"""),"Kodofodder")</f>
        <v>Kodofodder</v>
      </c>
      <c r="B2933" s="170"/>
      <c r="C2933" s="170" t="str">
        <f>IFERROR(__xludf.DUMMYFUNCTION("""COMPUTED_VALUE"""),"CA")</f>
        <v>CA</v>
      </c>
      <c r="D2933" s="170" t="str">
        <f>IFERROR(__xludf.DUMMYFUNCTION("""COMPUTED_VALUE"""),"USA")</f>
        <v>USA</v>
      </c>
      <c r="E2933" s="171">
        <f>IFERROR(__xludf.DUMMYFUNCTION("""COMPUTED_VALUE"""),43279.0)</f>
        <v>43279</v>
      </c>
      <c r="F2933" s="172">
        <f>IFERROR(__xludf.DUMMYFUNCTION("""COMPUTED_VALUE"""),43368.0)</f>
        <v>43368</v>
      </c>
      <c r="G2933" s="173"/>
      <c r="H2933" s="174">
        <f>IFERROR(__xludf.DUMMYFUNCTION("""COMPUTED_VALUE"""),73255.0)</f>
        <v>73255</v>
      </c>
      <c r="I2933" s="175"/>
      <c r="J2933" s="172">
        <f>IFERROR(__xludf.DUMMYFUNCTION("""COMPUTED_VALUE"""),43372.0)</f>
        <v>43372</v>
      </c>
      <c r="K2933" s="176">
        <f>IFERROR(__xludf.DUMMYFUNCTION("""COMPUTED_VALUE"""),89.0)</f>
        <v>89</v>
      </c>
      <c r="L2933" s="176">
        <f>IFERROR(__xludf.DUMMYFUNCTION("""COMPUTED_VALUE"""),4.0)</f>
        <v>4</v>
      </c>
      <c r="M2933" s="176">
        <f>IFERROR(__xludf.DUMMYFUNCTION("""COMPUTED_VALUE"""),93.0)</f>
        <v>93</v>
      </c>
      <c r="N2933" s="177" t="str">
        <f>IFERROR(__xludf.DUMMYFUNCTION("""COMPUTED_VALUE"""),"Model 3 LR AWD")</f>
        <v>Model 3 LR AWD</v>
      </c>
      <c r="O2933" s="177" t="str">
        <f>IFERROR(__xludf.DUMMYFUNCTION("""COMPUTED_VALUE"""),"Solid Black")</f>
        <v>Solid Black</v>
      </c>
      <c r="P2933" s="178" t="str">
        <f>IFERROR(__xludf.DUMMYFUNCTION("""COMPUTED_VALUE"""),"18 inch Aero")</f>
        <v>18 inch Aero</v>
      </c>
      <c r="Q2933" s="177" t="str">
        <f>IFERROR(__xludf.DUMMYFUNCTION("""COMPUTED_VALUE"""),"Black seats")</f>
        <v>Black seats</v>
      </c>
      <c r="R2933" s="170" t="str">
        <f>IFERROR(__xludf.DUMMYFUNCTION("""COMPUTED_VALUE"""),"Enhanced Autopilot")</f>
        <v>Enhanced Autopilot</v>
      </c>
      <c r="S2933" s="170"/>
      <c r="T2933" s="179"/>
      <c r="U2933" s="179"/>
      <c r="V2933" s="179"/>
      <c r="W2933" s="180"/>
      <c r="X2933" s="181" t="str">
        <f>IFERROR(__xludf.DUMMYFUNCTION("""COMPUTED_VALUE"""),"Good")</f>
        <v>Good</v>
      </c>
      <c r="Y2933" s="182" t="str">
        <f>IFERROR(__xludf.DUMMYFUNCTION("""COMPUTED_VALUE"""),"Good")</f>
        <v>Good</v>
      </c>
      <c r="Z2933" s="182" t="str">
        <f>IFERROR(__xludf.DUMMYFUNCTION("""COMPUTED_VALUE"""),"Fair")</f>
        <v>Fair</v>
      </c>
      <c r="AA2933" s="182" t="str">
        <f>IFERROR(__xludf.DUMMYFUNCTION("""COMPUTED_VALUE"""),"Good")</f>
        <v>Good</v>
      </c>
      <c r="AB2933" s="182" t="str">
        <f>IFERROR(__xludf.DUMMYFUNCTION("""COMPUTED_VALUE"""),"Good")</f>
        <v>Good</v>
      </c>
      <c r="AC2933" s="183"/>
      <c r="AD2933" s="183"/>
      <c r="AE2933" s="183"/>
      <c r="AF2933" s="184"/>
      <c r="AG2933" s="180"/>
      <c r="AH2933" s="185">
        <f>IFERROR(__xludf.DUMMYFUNCTION("""COMPUTED_VALUE"""),43372.89644891204)</f>
        <v>43372.89645</v>
      </c>
      <c r="AI2933" s="182"/>
      <c r="AJ2933" s="182"/>
      <c r="AK2933" s="182"/>
      <c r="AL2933" s="182"/>
    </row>
    <row r="2934" ht="20.25" customHeight="1">
      <c r="A2934" s="169" t="str">
        <f>IFERROR(__xludf.DUMMYFUNCTION("""COMPUTED_VALUE"""),"Koflach")</f>
        <v>Koflach</v>
      </c>
      <c r="B2934" s="170" t="str">
        <f>IFERROR(__xludf.DUMMYFUNCTION("""COMPUTED_VALUE"""),"Langley")</f>
        <v>Langley</v>
      </c>
      <c r="C2934" s="170" t="str">
        <f>IFERROR(__xludf.DUMMYFUNCTION("""COMPUTED_VALUE"""),"BC")</f>
        <v>BC</v>
      </c>
      <c r="D2934" s="170" t="str">
        <f>IFERROR(__xludf.DUMMYFUNCTION("""COMPUTED_VALUE"""),"Canada")</f>
        <v>Canada</v>
      </c>
      <c r="E2934" s="171">
        <f>IFERROR(__xludf.DUMMYFUNCTION("""COMPUTED_VALUE"""),43279.0)</f>
        <v>43279</v>
      </c>
      <c r="F2934" s="172">
        <f>IFERROR(__xludf.DUMMYFUNCTION("""COMPUTED_VALUE"""),43329.0)</f>
        <v>43329</v>
      </c>
      <c r="G2934" s="173"/>
      <c r="H2934" s="174">
        <f>IFERROR(__xludf.DUMMYFUNCTION("""COMPUTED_VALUE"""),75705.0)</f>
        <v>75705</v>
      </c>
      <c r="I2934" s="175"/>
      <c r="J2934" s="172">
        <f>IFERROR(__xludf.DUMMYFUNCTION("""COMPUTED_VALUE"""),43339.0)</f>
        <v>43339</v>
      </c>
      <c r="K2934" s="176">
        <f>IFERROR(__xludf.DUMMYFUNCTION("""COMPUTED_VALUE"""),50.0)</f>
        <v>50</v>
      </c>
      <c r="L2934" s="176">
        <f>IFERROR(__xludf.DUMMYFUNCTION("""COMPUTED_VALUE"""),10.0)</f>
        <v>10</v>
      </c>
      <c r="M2934" s="176">
        <f>IFERROR(__xludf.DUMMYFUNCTION("""COMPUTED_VALUE"""),60.0)</f>
        <v>60</v>
      </c>
      <c r="N2934" s="177" t="str">
        <f>IFERROR(__xludf.DUMMYFUNCTION("""COMPUTED_VALUE"""),"Model 3 LR")</f>
        <v>Model 3 LR</v>
      </c>
      <c r="O2934" s="177" t="str">
        <f>IFERROR(__xludf.DUMMYFUNCTION("""COMPUTED_VALUE"""),"Red Multi-Coat")</f>
        <v>Red Multi-Coat</v>
      </c>
      <c r="P2934" s="178" t="str">
        <f>IFERROR(__xludf.DUMMYFUNCTION("""COMPUTED_VALUE"""),"18 inch Aero")</f>
        <v>18 inch Aero</v>
      </c>
      <c r="Q2934" s="177" t="str">
        <f>IFERROR(__xludf.DUMMYFUNCTION("""COMPUTED_VALUE"""),"Black seats")</f>
        <v>Black seats</v>
      </c>
      <c r="R2934" s="170" t="str">
        <f>IFERROR(__xludf.DUMMYFUNCTION("""COMPUTED_VALUE"""),"None")</f>
        <v>None</v>
      </c>
      <c r="S2934" s="170"/>
      <c r="T2934" s="179"/>
      <c r="U2934" s="179"/>
      <c r="V2934" s="179"/>
      <c r="W2934" s="180"/>
      <c r="X2934" s="181" t="str">
        <f>IFERROR(__xludf.DUMMYFUNCTION("""COMPUTED_VALUE"""),"Very Good")</f>
        <v>Very Good</v>
      </c>
      <c r="Y2934" s="182" t="str">
        <f>IFERROR(__xludf.DUMMYFUNCTION("""COMPUTED_VALUE"""),"Excellent")</f>
        <v>Excellent</v>
      </c>
      <c r="Z2934" s="182" t="str">
        <f>IFERROR(__xludf.DUMMYFUNCTION("""COMPUTED_VALUE"""),"Excellent")</f>
        <v>Excellent</v>
      </c>
      <c r="AA2934" s="182" t="str">
        <f>IFERROR(__xludf.DUMMYFUNCTION("""COMPUTED_VALUE"""),"Very Good")</f>
        <v>Very Good</v>
      </c>
      <c r="AB2934" s="182" t="str">
        <f>IFERROR(__xludf.DUMMYFUNCTION("""COMPUTED_VALUE"""),"Very Good")</f>
        <v>Very Good</v>
      </c>
      <c r="AC2934" s="183">
        <f>IFERROR(__xludf.DUMMYFUNCTION("""COMPUTED_VALUE"""),2.0)</f>
        <v>2</v>
      </c>
      <c r="AD2934" s="183">
        <f>IFERROR(__xludf.DUMMYFUNCTION("""COMPUTED_VALUE"""),1.0)</f>
        <v>1</v>
      </c>
      <c r="AE2934" s="183">
        <f>IFERROR(__xludf.DUMMYFUNCTION("""COMPUTED_VALUE"""),0.0)</f>
        <v>0</v>
      </c>
      <c r="AF2934" s="184"/>
      <c r="AG2934" s="180"/>
      <c r="AH2934" s="185">
        <f>IFERROR(__xludf.DUMMYFUNCTION("""COMPUTED_VALUE"""),43345.37697010417)</f>
        <v>43345.37697</v>
      </c>
      <c r="AI2934" s="182"/>
      <c r="AJ2934" s="182"/>
      <c r="AK2934" s="182"/>
      <c r="AL2934" s="182"/>
    </row>
    <row r="2935" ht="20.25" customHeight="1">
      <c r="A2935" s="169" t="str">
        <f>IFERROR(__xludf.DUMMYFUNCTION("""COMPUTED_VALUE"""),"krazykozak")</f>
        <v>krazykozak</v>
      </c>
      <c r="B2935" s="170"/>
      <c r="C2935" s="170" t="str">
        <f>IFERROR(__xludf.DUMMYFUNCTION("""COMPUTED_VALUE"""),"ON")</f>
        <v>ON</v>
      </c>
      <c r="D2935" s="170" t="str">
        <f>IFERROR(__xludf.DUMMYFUNCTION("""COMPUTED_VALUE"""),"Canada")</f>
        <v>Canada</v>
      </c>
      <c r="E2935" s="171">
        <f>IFERROR(__xludf.DUMMYFUNCTION("""COMPUTED_VALUE"""),43279.0)</f>
        <v>43279</v>
      </c>
      <c r="F2935" s="172">
        <f>IFERROR(__xludf.DUMMYFUNCTION("""COMPUTED_VALUE"""),43375.0)</f>
        <v>43375</v>
      </c>
      <c r="G2935" s="173"/>
      <c r="H2935" s="174">
        <f>IFERROR(__xludf.DUMMYFUNCTION("""COMPUTED_VALUE"""),110755.0)</f>
        <v>110755</v>
      </c>
      <c r="I2935" s="175" t="str">
        <f>IFERROR(__xludf.DUMMYFUNCTION("""COMPUTED_VALUE"""),"09/18")</f>
        <v>09/18</v>
      </c>
      <c r="J2935" s="172">
        <f>IFERROR(__xludf.DUMMYFUNCTION("""COMPUTED_VALUE"""),43386.0)</f>
        <v>43386</v>
      </c>
      <c r="K2935" s="176">
        <f>IFERROR(__xludf.DUMMYFUNCTION("""COMPUTED_VALUE"""),96.0)</f>
        <v>96</v>
      </c>
      <c r="L2935" s="176">
        <f>IFERROR(__xludf.DUMMYFUNCTION("""COMPUTED_VALUE"""),11.0)</f>
        <v>11</v>
      </c>
      <c r="M2935" s="176">
        <f>IFERROR(__xludf.DUMMYFUNCTION("""COMPUTED_VALUE"""),107.0)</f>
        <v>107</v>
      </c>
      <c r="N2935" s="177" t="str">
        <f>IFERROR(__xludf.DUMMYFUNCTION("""COMPUTED_VALUE"""),"Model 3 LR AWD")</f>
        <v>Model 3 LR AWD</v>
      </c>
      <c r="O2935" s="177" t="str">
        <f>IFERROR(__xludf.DUMMYFUNCTION("""COMPUTED_VALUE"""),"Red Multi-Coat")</f>
        <v>Red Multi-Coat</v>
      </c>
      <c r="P2935" s="178" t="str">
        <f>IFERROR(__xludf.DUMMYFUNCTION("""COMPUTED_VALUE"""),"18 inch Aero")</f>
        <v>18 inch Aero</v>
      </c>
      <c r="Q2935" s="177" t="str">
        <f>IFERROR(__xludf.DUMMYFUNCTION("""COMPUTED_VALUE"""),"Black seats")</f>
        <v>Black seats</v>
      </c>
      <c r="R2935" s="170" t="str">
        <f>IFERROR(__xludf.DUMMYFUNCTION("""COMPUTED_VALUE"""),"Enhanced Autopilot")</f>
        <v>Enhanced Autopilot</v>
      </c>
      <c r="S2935" s="170"/>
      <c r="T2935" s="179"/>
      <c r="U2935" s="179"/>
      <c r="V2935" s="179"/>
      <c r="W2935" s="180"/>
      <c r="X2935" s="181" t="str">
        <f>IFERROR(__xludf.DUMMYFUNCTION("""COMPUTED_VALUE"""),"Very Good")</f>
        <v>Very Good</v>
      </c>
      <c r="Y2935" s="182" t="str">
        <f>IFERROR(__xludf.DUMMYFUNCTION("""COMPUTED_VALUE"""),"Excellent")</f>
        <v>Excellent</v>
      </c>
      <c r="Z2935" s="182" t="str">
        <f>IFERROR(__xludf.DUMMYFUNCTION("""COMPUTED_VALUE"""),"Good")</f>
        <v>Good</v>
      </c>
      <c r="AA2935" s="182" t="str">
        <f>IFERROR(__xludf.DUMMYFUNCTION("""COMPUTED_VALUE"""),"Good")</f>
        <v>Good</v>
      </c>
      <c r="AB2935" s="182" t="str">
        <f>IFERROR(__xludf.DUMMYFUNCTION("""COMPUTED_VALUE"""),"Very Good")</f>
        <v>Very Good</v>
      </c>
      <c r="AC2935" s="183">
        <f>IFERROR(__xludf.DUMMYFUNCTION("""COMPUTED_VALUE"""),3.0)</f>
        <v>3</v>
      </c>
      <c r="AD2935" s="183">
        <f>IFERROR(__xludf.DUMMYFUNCTION("""COMPUTED_VALUE"""),0.0)</f>
        <v>0</v>
      </c>
      <c r="AE2935" s="183">
        <f>IFERROR(__xludf.DUMMYFUNCTION("""COMPUTED_VALUE"""),0.0)</f>
        <v>0</v>
      </c>
      <c r="AF2935" s="184"/>
      <c r="AG2935" s="180"/>
      <c r="AH2935" s="185">
        <f>IFERROR(__xludf.DUMMYFUNCTION("""COMPUTED_VALUE"""),43396.85003577546)</f>
        <v>43396.85004</v>
      </c>
      <c r="AI2935" s="182"/>
      <c r="AJ2935" s="182"/>
      <c r="AK2935" s="182"/>
      <c r="AL2935" s="182"/>
    </row>
    <row r="2936" ht="20.25" customHeight="1">
      <c r="A2936" s="169" t="str">
        <f>IFERROR(__xludf.DUMMYFUNCTION("""COMPUTED_VALUE"""),"kristyOK")</f>
        <v>kristyOK</v>
      </c>
      <c r="B2936" s="170" t="str">
        <f>IFERROR(__xludf.DUMMYFUNCTION("""COMPUTED_VALUE"""),"Oklahoma City")</f>
        <v>Oklahoma City</v>
      </c>
      <c r="C2936" s="170" t="str">
        <f>IFERROR(__xludf.DUMMYFUNCTION("""COMPUTED_VALUE"""),"OK")</f>
        <v>OK</v>
      </c>
      <c r="D2936" s="170" t="str">
        <f>IFERROR(__xludf.DUMMYFUNCTION("""COMPUTED_VALUE"""),"USA")</f>
        <v>USA</v>
      </c>
      <c r="E2936" s="171">
        <f>IFERROR(__xludf.DUMMYFUNCTION("""COMPUTED_VALUE"""),43279.0)</f>
        <v>43279</v>
      </c>
      <c r="F2936" s="172">
        <f>IFERROR(__xludf.DUMMYFUNCTION("""COMPUTED_VALUE"""),43333.0)</f>
        <v>43333</v>
      </c>
      <c r="G2936" s="173"/>
      <c r="H2936" s="174">
        <f>IFERROR(__xludf.DUMMYFUNCTION("""COMPUTED_VALUE"""),96055.0)</f>
        <v>96055</v>
      </c>
      <c r="I2936" s="175"/>
      <c r="J2936" s="172">
        <f>IFERROR(__xludf.DUMMYFUNCTION("""COMPUTED_VALUE"""),43354.0)</f>
        <v>43354</v>
      </c>
      <c r="K2936" s="176">
        <f>IFERROR(__xludf.DUMMYFUNCTION("""COMPUTED_VALUE"""),54.0)</f>
        <v>54</v>
      </c>
      <c r="L2936" s="176">
        <f>IFERROR(__xludf.DUMMYFUNCTION("""COMPUTED_VALUE"""),21.0)</f>
        <v>21</v>
      </c>
      <c r="M2936" s="176">
        <f>IFERROR(__xludf.DUMMYFUNCTION("""COMPUTED_VALUE"""),75.0)</f>
        <v>75</v>
      </c>
      <c r="N2936" s="177" t="str">
        <f>IFERROR(__xludf.DUMMYFUNCTION("""COMPUTED_VALUE"""),"Model 3 LR AWD")</f>
        <v>Model 3 LR AWD</v>
      </c>
      <c r="O2936" s="177" t="str">
        <f>IFERROR(__xludf.DUMMYFUNCTION("""COMPUTED_VALUE"""),"Midnight Silver Metallic")</f>
        <v>Midnight Silver Metallic</v>
      </c>
      <c r="P2936" s="178" t="str">
        <f>IFERROR(__xludf.DUMMYFUNCTION("""COMPUTED_VALUE"""),"18 inch Aero")</f>
        <v>18 inch Aero</v>
      </c>
      <c r="Q2936" s="177" t="str">
        <f>IFERROR(__xludf.DUMMYFUNCTION("""COMPUTED_VALUE"""),"White seats")</f>
        <v>White seats</v>
      </c>
      <c r="R2936" s="170" t="str">
        <f>IFERROR(__xludf.DUMMYFUNCTION("""COMPUTED_VALUE"""),"Enhanced Autopilot")</f>
        <v>Enhanced Autopilot</v>
      </c>
      <c r="S2936" s="170"/>
      <c r="T2936" s="179"/>
      <c r="U2936" s="179"/>
      <c r="V2936" s="179"/>
      <c r="W2936" s="180"/>
      <c r="X2936" s="181"/>
      <c r="Y2936" s="182"/>
      <c r="Z2936" s="182"/>
      <c r="AA2936" s="182" t="str">
        <f>IFERROR(__xludf.DUMMYFUNCTION("""COMPUTED_VALUE"""),"Excellent")</f>
        <v>Excellent</v>
      </c>
      <c r="AB2936" s="182"/>
      <c r="AC2936" s="183"/>
      <c r="AD2936" s="183"/>
      <c r="AE2936" s="183"/>
      <c r="AF2936" s="184"/>
      <c r="AG2936" s="180"/>
      <c r="AH2936" s="185">
        <f>IFERROR(__xludf.DUMMYFUNCTION("""COMPUTED_VALUE"""),43341.4639755324)</f>
        <v>43341.46398</v>
      </c>
      <c r="AI2936" s="182"/>
      <c r="AJ2936" s="182"/>
      <c r="AK2936" s="182"/>
      <c r="AL2936" s="182"/>
    </row>
    <row r="2937" ht="20.25" customHeight="1">
      <c r="A2937" s="169" t="str">
        <f>IFERROR(__xludf.DUMMYFUNCTION("""COMPUTED_VALUE"""),"Lantec")</f>
        <v>Lantec</v>
      </c>
      <c r="B2937" s="170" t="str">
        <f>IFERROR(__xludf.DUMMYFUNCTION("""COMPUTED_VALUE"""),"Vancouver")</f>
        <v>Vancouver</v>
      </c>
      <c r="C2937" s="170" t="str">
        <f>IFERROR(__xludf.DUMMYFUNCTION("""COMPUTED_VALUE"""),"BC")</f>
        <v>BC</v>
      </c>
      <c r="D2937" s="170" t="str">
        <f>IFERROR(__xludf.DUMMYFUNCTION("""COMPUTED_VALUE"""),"Canada")</f>
        <v>Canada</v>
      </c>
      <c r="E2937" s="171">
        <f>IFERROR(__xludf.DUMMYFUNCTION("""COMPUTED_VALUE"""),43279.0)</f>
        <v>43279</v>
      </c>
      <c r="F2937" s="172">
        <f>IFERROR(__xludf.DUMMYFUNCTION("""COMPUTED_VALUE"""),43287.0)</f>
        <v>43287</v>
      </c>
      <c r="G2937" s="173"/>
      <c r="H2937" s="174">
        <f>IFERROR(__xludf.DUMMYFUNCTION("""COMPUTED_VALUE"""),27801.0)</f>
        <v>27801</v>
      </c>
      <c r="I2937" s="175" t="str">
        <f>IFERROR(__xludf.DUMMYFUNCTION("""COMPUTED_VALUE"""),"05/18")</f>
        <v>05/18</v>
      </c>
      <c r="J2937" s="172">
        <f>IFERROR(__xludf.DUMMYFUNCTION("""COMPUTED_VALUE"""),43288.0)</f>
        <v>43288</v>
      </c>
      <c r="K2937" s="176">
        <f>IFERROR(__xludf.DUMMYFUNCTION("""COMPUTED_VALUE"""),8.0)</f>
        <v>8</v>
      </c>
      <c r="L2937" s="176">
        <f>IFERROR(__xludf.DUMMYFUNCTION("""COMPUTED_VALUE"""),1.0)</f>
        <v>1</v>
      </c>
      <c r="M2937" s="176">
        <f>IFERROR(__xludf.DUMMYFUNCTION("""COMPUTED_VALUE"""),9.0)</f>
        <v>9</v>
      </c>
      <c r="N2937" s="177" t="str">
        <f>IFERROR(__xludf.DUMMYFUNCTION("""COMPUTED_VALUE"""),"Model 3 LR")</f>
        <v>Model 3 LR</v>
      </c>
      <c r="O2937" s="177" t="str">
        <f>IFERROR(__xludf.DUMMYFUNCTION("""COMPUTED_VALUE"""),"Pearl White Multi-Coat")</f>
        <v>Pearl White Multi-Coat</v>
      </c>
      <c r="P2937" s="178" t="str">
        <f>IFERROR(__xludf.DUMMYFUNCTION("""COMPUTED_VALUE"""),"19 inch Sport")</f>
        <v>19 inch Sport</v>
      </c>
      <c r="Q2937" s="177" t="str">
        <f>IFERROR(__xludf.DUMMYFUNCTION("""COMPUTED_VALUE"""),"Black seats")</f>
        <v>Black seats</v>
      </c>
      <c r="R2937" s="170" t="str">
        <f>IFERROR(__xludf.DUMMYFUNCTION("""COMPUTED_VALUE"""),"Enhanced Autopilot")</f>
        <v>Enhanced Autopilot</v>
      </c>
      <c r="S2937" s="170"/>
      <c r="T2937" s="179"/>
      <c r="U2937" s="179"/>
      <c r="V2937" s="179"/>
      <c r="W2937" s="180"/>
      <c r="X2937" s="181" t="str">
        <f>IFERROR(__xludf.DUMMYFUNCTION("""COMPUTED_VALUE"""),"Very Good")</f>
        <v>Very Good</v>
      </c>
      <c r="Y2937" s="182" t="str">
        <f>IFERROR(__xludf.DUMMYFUNCTION("""COMPUTED_VALUE"""),"Very Good")</f>
        <v>Very Good</v>
      </c>
      <c r="Z2937" s="182" t="str">
        <f>IFERROR(__xludf.DUMMYFUNCTION("""COMPUTED_VALUE"""),"Excellent")</f>
        <v>Excellent</v>
      </c>
      <c r="AA2937" s="182" t="str">
        <f>IFERROR(__xludf.DUMMYFUNCTION("""COMPUTED_VALUE"""),"Excellent")</f>
        <v>Excellent</v>
      </c>
      <c r="AB2937" s="182" t="str">
        <f>IFERROR(__xludf.DUMMYFUNCTION("""COMPUTED_VALUE"""),"Excellent")</f>
        <v>Excellent</v>
      </c>
      <c r="AC2937" s="183">
        <f>IFERROR(__xludf.DUMMYFUNCTION("""COMPUTED_VALUE"""),0.0)</f>
        <v>0</v>
      </c>
      <c r="AD2937" s="183"/>
      <c r="AE2937" s="183"/>
      <c r="AF2937" s="184"/>
      <c r="AG2937" s="180"/>
      <c r="AH2937" s="185">
        <f>IFERROR(__xludf.DUMMYFUNCTION("""COMPUTED_VALUE"""),43288.74068565972)</f>
        <v>43288.74069</v>
      </c>
      <c r="AI2937" s="182"/>
      <c r="AJ2937" s="182"/>
      <c r="AK2937" s="182"/>
      <c r="AL2937" s="182"/>
    </row>
    <row r="2938" ht="20.25" customHeight="1">
      <c r="A2938" s="169" t="str">
        <f>IFERROR(__xludf.DUMMYFUNCTION("""COMPUTED_VALUE"""),"Leeroyjones")</f>
        <v>Leeroyjones</v>
      </c>
      <c r="B2938" s="170" t="str">
        <f>IFERROR(__xludf.DUMMYFUNCTION("""COMPUTED_VALUE"""),"Baton Rouge")</f>
        <v>Baton Rouge</v>
      </c>
      <c r="C2938" s="170" t="str">
        <f>IFERROR(__xludf.DUMMYFUNCTION("""COMPUTED_VALUE"""),"LA")</f>
        <v>LA</v>
      </c>
      <c r="D2938" s="170" t="str">
        <f>IFERROR(__xludf.DUMMYFUNCTION("""COMPUTED_VALUE"""),"USA")</f>
        <v>USA</v>
      </c>
      <c r="E2938" s="171">
        <f>IFERROR(__xludf.DUMMYFUNCTION("""COMPUTED_VALUE"""),43279.0)</f>
        <v>43279</v>
      </c>
      <c r="F2938" s="172">
        <f>IFERROR(__xludf.DUMMYFUNCTION("""COMPUTED_VALUE"""),43392.0)</f>
        <v>43392</v>
      </c>
      <c r="G2938" s="173"/>
      <c r="H2938" s="174">
        <f>IFERROR(__xludf.DUMMYFUNCTION("""COMPUTED_VALUE"""),109382.0)</f>
        <v>109382</v>
      </c>
      <c r="I2938" s="175"/>
      <c r="J2938" s="172">
        <f>IFERROR(__xludf.DUMMYFUNCTION("""COMPUTED_VALUE"""),43413.0)</f>
        <v>43413</v>
      </c>
      <c r="K2938" s="176">
        <f>IFERROR(__xludf.DUMMYFUNCTION("""COMPUTED_VALUE"""),113.0)</f>
        <v>113</v>
      </c>
      <c r="L2938" s="176">
        <f>IFERROR(__xludf.DUMMYFUNCTION("""COMPUTED_VALUE"""),21.0)</f>
        <v>21</v>
      </c>
      <c r="M2938" s="176">
        <f>IFERROR(__xludf.DUMMYFUNCTION("""COMPUTED_VALUE"""),134.0)</f>
        <v>134</v>
      </c>
      <c r="N2938" s="177" t="str">
        <f>IFERROR(__xludf.DUMMYFUNCTION("""COMPUTED_VALUE"""),"Model 3 LR AWD")</f>
        <v>Model 3 LR AWD</v>
      </c>
      <c r="O2938" s="177" t="str">
        <f>IFERROR(__xludf.DUMMYFUNCTION("""COMPUTED_VALUE"""),"Obsidian Black Metallic")</f>
        <v>Obsidian Black Metallic</v>
      </c>
      <c r="P2938" s="178" t="str">
        <f>IFERROR(__xludf.DUMMYFUNCTION("""COMPUTED_VALUE"""),"19 inch Sport")</f>
        <v>19 inch Sport</v>
      </c>
      <c r="Q2938" s="177" t="str">
        <f>IFERROR(__xludf.DUMMYFUNCTION("""COMPUTED_VALUE"""),"Black seats")</f>
        <v>Black seats</v>
      </c>
      <c r="R2938" s="170" t="str">
        <f>IFERROR(__xludf.DUMMYFUNCTION("""COMPUTED_VALUE"""),"Enhanced Autopilot")</f>
        <v>Enhanced Autopilot</v>
      </c>
      <c r="S2938" s="170"/>
      <c r="T2938" s="179"/>
      <c r="U2938" s="179"/>
      <c r="V2938" s="179"/>
      <c r="W2938" s="180"/>
      <c r="X2938" s="181" t="str">
        <f>IFERROR(__xludf.DUMMYFUNCTION("""COMPUTED_VALUE"""),"Very Good")</f>
        <v>Very Good</v>
      </c>
      <c r="Y2938" s="182" t="str">
        <f>IFERROR(__xludf.DUMMYFUNCTION("""COMPUTED_VALUE"""),"Excellent")</f>
        <v>Excellent</v>
      </c>
      <c r="Z2938" s="182" t="str">
        <f>IFERROR(__xludf.DUMMYFUNCTION("""COMPUTED_VALUE"""),"Very Good")</f>
        <v>Very Good</v>
      </c>
      <c r="AA2938" s="182" t="str">
        <f>IFERROR(__xludf.DUMMYFUNCTION("""COMPUTED_VALUE"""),"Excellent")</f>
        <v>Excellent</v>
      </c>
      <c r="AB2938" s="182" t="str">
        <f>IFERROR(__xludf.DUMMYFUNCTION("""COMPUTED_VALUE"""),"Very Good")</f>
        <v>Very Good</v>
      </c>
      <c r="AC2938" s="183"/>
      <c r="AD2938" s="183"/>
      <c r="AE2938" s="183"/>
      <c r="AF2938" s="184"/>
      <c r="AG2938" s="180"/>
      <c r="AH2938" s="185">
        <f>IFERROR(__xludf.DUMMYFUNCTION("""COMPUTED_VALUE"""),43416.88122787037)</f>
        <v>43416.88123</v>
      </c>
      <c r="AI2938" s="182"/>
      <c r="AJ2938" s="182"/>
      <c r="AK2938" s="182"/>
      <c r="AL2938" s="182"/>
    </row>
    <row r="2939" ht="20.25" customHeight="1">
      <c r="A2939" s="169" t="str">
        <f>IFERROR(__xludf.DUMMYFUNCTION("""COMPUTED_VALUE"""),"Len")</f>
        <v>Len</v>
      </c>
      <c r="B2939" s="170" t="str">
        <f>IFERROR(__xludf.DUMMYFUNCTION("""COMPUTED_VALUE"""),"San Francisco Bay Area")</f>
        <v>San Francisco Bay Area</v>
      </c>
      <c r="C2939" s="170" t="str">
        <f>IFERROR(__xludf.DUMMYFUNCTION("""COMPUTED_VALUE"""),"CA")</f>
        <v>CA</v>
      </c>
      <c r="D2939" s="170" t="str">
        <f>IFERROR(__xludf.DUMMYFUNCTION("""COMPUTED_VALUE"""),"USA")</f>
        <v>USA</v>
      </c>
      <c r="E2939" s="171">
        <f>IFERROR(__xludf.DUMMYFUNCTION("""COMPUTED_VALUE"""),43279.0)</f>
        <v>43279</v>
      </c>
      <c r="F2939" s="172">
        <f>IFERROR(__xludf.DUMMYFUNCTION("""COMPUTED_VALUE"""),43332.0)</f>
        <v>43332</v>
      </c>
      <c r="G2939" s="173"/>
      <c r="H2939" s="174">
        <f>IFERROR(__xludf.DUMMYFUNCTION("""COMPUTED_VALUE"""),66077.0)</f>
        <v>66077</v>
      </c>
      <c r="I2939" s="175" t="str">
        <f>IFERROR(__xludf.DUMMYFUNCTION("""COMPUTED_VALUE"""),"08/18")</f>
        <v>08/18</v>
      </c>
      <c r="J2939" s="172">
        <f>IFERROR(__xludf.DUMMYFUNCTION("""COMPUTED_VALUE"""),43335.0)</f>
        <v>43335</v>
      </c>
      <c r="K2939" s="176">
        <f>IFERROR(__xludf.DUMMYFUNCTION("""COMPUTED_VALUE"""),53.0)</f>
        <v>53</v>
      </c>
      <c r="L2939" s="176">
        <f>IFERROR(__xludf.DUMMYFUNCTION("""COMPUTED_VALUE"""),3.0)</f>
        <v>3</v>
      </c>
      <c r="M2939" s="176">
        <f>IFERROR(__xludf.DUMMYFUNCTION("""COMPUTED_VALUE"""),56.0)</f>
        <v>56</v>
      </c>
      <c r="N2939" s="177" t="str">
        <f>IFERROR(__xludf.DUMMYFUNCTION("""COMPUTED_VALUE"""),"Model 3 LR AWD")</f>
        <v>Model 3 LR AWD</v>
      </c>
      <c r="O2939" s="177" t="str">
        <f>IFERROR(__xludf.DUMMYFUNCTION("""COMPUTED_VALUE"""),"Midnight Silver Metallic")</f>
        <v>Midnight Silver Metallic</v>
      </c>
      <c r="P2939" s="178" t="str">
        <f>IFERROR(__xludf.DUMMYFUNCTION("""COMPUTED_VALUE"""),"18 inch Aero")</f>
        <v>18 inch Aero</v>
      </c>
      <c r="Q2939" s="177" t="str">
        <f>IFERROR(__xludf.DUMMYFUNCTION("""COMPUTED_VALUE"""),"Black seats")</f>
        <v>Black seats</v>
      </c>
      <c r="R2939" s="170" t="str">
        <f>IFERROR(__xludf.DUMMYFUNCTION("""COMPUTED_VALUE"""),"Enhanced Autopilot")</f>
        <v>Enhanced Autopilot</v>
      </c>
      <c r="S2939" s="170"/>
      <c r="T2939" s="179"/>
      <c r="U2939" s="179"/>
      <c r="V2939" s="179"/>
      <c r="W2939" s="180"/>
      <c r="X2939" s="181" t="str">
        <f>IFERROR(__xludf.DUMMYFUNCTION("""COMPUTED_VALUE"""),"Good")</f>
        <v>Good</v>
      </c>
      <c r="Y2939" s="182" t="str">
        <f>IFERROR(__xludf.DUMMYFUNCTION("""COMPUTED_VALUE"""),"Very Good")</f>
        <v>Very Good</v>
      </c>
      <c r="Z2939" s="182" t="str">
        <f>IFERROR(__xludf.DUMMYFUNCTION("""COMPUTED_VALUE"""),"Very Good")</f>
        <v>Very Good</v>
      </c>
      <c r="AA2939" s="182" t="str">
        <f>IFERROR(__xludf.DUMMYFUNCTION("""COMPUTED_VALUE"""),"Very Good")</f>
        <v>Very Good</v>
      </c>
      <c r="AB2939" s="182" t="str">
        <f>IFERROR(__xludf.DUMMYFUNCTION("""COMPUTED_VALUE"""),"Good")</f>
        <v>Good</v>
      </c>
      <c r="AC2939" s="183">
        <f>IFERROR(__xludf.DUMMYFUNCTION("""COMPUTED_VALUE"""),3.0)</f>
        <v>3</v>
      </c>
      <c r="AD2939" s="183">
        <f>IFERROR(__xludf.DUMMYFUNCTION("""COMPUTED_VALUE"""),1.0)</f>
        <v>1</v>
      </c>
      <c r="AE2939" s="183">
        <f>IFERROR(__xludf.DUMMYFUNCTION("""COMPUTED_VALUE"""),5.0)</f>
        <v>5</v>
      </c>
      <c r="AF2939" s="184"/>
      <c r="AG2939" s="180"/>
      <c r="AH2939" s="185">
        <f>IFERROR(__xludf.DUMMYFUNCTION("""COMPUTED_VALUE"""),43354.8904514699)</f>
        <v>43354.89045</v>
      </c>
      <c r="AI2939" s="182"/>
      <c r="AJ2939" s="182"/>
      <c r="AK2939" s="182"/>
      <c r="AL2939" s="182"/>
    </row>
    <row r="2940" ht="20.25" customHeight="1">
      <c r="A2940" s="169" t="str">
        <f>IFERROR(__xludf.DUMMYFUNCTION("""COMPUTED_VALUE"""),"libra89")</f>
        <v>libra89</v>
      </c>
      <c r="B2940" s="170" t="str">
        <f>IFERROR(__xludf.DUMMYFUNCTION("""COMPUTED_VALUE"""),"Fort Worth")</f>
        <v>Fort Worth</v>
      </c>
      <c r="C2940" s="170" t="str">
        <f>IFERROR(__xludf.DUMMYFUNCTION("""COMPUTED_VALUE"""),"TX")</f>
        <v>TX</v>
      </c>
      <c r="D2940" s="170" t="str">
        <f>IFERROR(__xludf.DUMMYFUNCTION("""COMPUTED_VALUE"""),"USA")</f>
        <v>USA</v>
      </c>
      <c r="E2940" s="171">
        <f>IFERROR(__xludf.DUMMYFUNCTION("""COMPUTED_VALUE"""),43279.0)</f>
        <v>43279</v>
      </c>
      <c r="F2940" s="172">
        <f>IFERROR(__xludf.DUMMYFUNCTION("""COMPUTED_VALUE"""),43320.0)</f>
        <v>43320</v>
      </c>
      <c r="G2940" s="173"/>
      <c r="H2940" s="174">
        <f>IFERROR(__xludf.DUMMYFUNCTION("""COMPUTED_VALUE"""),70255.0)</f>
        <v>70255</v>
      </c>
      <c r="I2940" s="175" t="str">
        <f>IFERROR(__xludf.DUMMYFUNCTION("""COMPUTED_VALUE"""),"08/18")</f>
        <v>08/18</v>
      </c>
      <c r="J2940" s="172">
        <f>IFERROR(__xludf.DUMMYFUNCTION("""COMPUTED_VALUE"""),43351.0)</f>
        <v>43351</v>
      </c>
      <c r="K2940" s="176">
        <f>IFERROR(__xludf.DUMMYFUNCTION("""COMPUTED_VALUE"""),41.0)</f>
        <v>41</v>
      </c>
      <c r="L2940" s="176">
        <f>IFERROR(__xludf.DUMMYFUNCTION("""COMPUTED_VALUE"""),31.0)</f>
        <v>31</v>
      </c>
      <c r="M2940" s="176">
        <f>IFERROR(__xludf.DUMMYFUNCTION("""COMPUTED_VALUE"""),72.0)</f>
        <v>72</v>
      </c>
      <c r="N2940" s="177" t="str">
        <f>IFERROR(__xludf.DUMMYFUNCTION("""COMPUTED_VALUE"""),"Model 3 LR")</f>
        <v>Model 3 LR</v>
      </c>
      <c r="O2940" s="177" t="str">
        <f>IFERROR(__xludf.DUMMYFUNCTION("""COMPUTED_VALUE"""),"Obsidian Black Metallic")</f>
        <v>Obsidian Black Metallic</v>
      </c>
      <c r="P2940" s="178" t="str">
        <f>IFERROR(__xludf.DUMMYFUNCTION("""COMPUTED_VALUE"""),"18 inch Aero")</f>
        <v>18 inch Aero</v>
      </c>
      <c r="Q2940" s="177" t="str">
        <f>IFERROR(__xludf.DUMMYFUNCTION("""COMPUTED_VALUE"""),"Black seats")</f>
        <v>Black seats</v>
      </c>
      <c r="R2940" s="170" t="str">
        <f>IFERROR(__xludf.DUMMYFUNCTION("""COMPUTED_VALUE"""),"Enhanced Autopilot")</f>
        <v>Enhanced Autopilot</v>
      </c>
      <c r="S2940" s="170"/>
      <c r="T2940" s="179"/>
      <c r="U2940" s="179"/>
      <c r="V2940" s="179"/>
      <c r="W2940" s="180"/>
      <c r="X2940" s="181" t="str">
        <f>IFERROR(__xludf.DUMMYFUNCTION("""COMPUTED_VALUE"""),"Excellent")</f>
        <v>Excellent</v>
      </c>
      <c r="Y2940" s="182" t="str">
        <f>IFERROR(__xludf.DUMMYFUNCTION("""COMPUTED_VALUE"""),"Excellent")</f>
        <v>Excellent</v>
      </c>
      <c r="Z2940" s="182" t="str">
        <f>IFERROR(__xludf.DUMMYFUNCTION("""COMPUTED_VALUE"""),"Excellent")</f>
        <v>Excellent</v>
      </c>
      <c r="AA2940" s="182" t="str">
        <f>IFERROR(__xludf.DUMMYFUNCTION("""COMPUTED_VALUE"""),"Good")</f>
        <v>Good</v>
      </c>
      <c r="AB2940" s="182" t="str">
        <f>IFERROR(__xludf.DUMMYFUNCTION("""COMPUTED_VALUE"""),"Very Good")</f>
        <v>Very Good</v>
      </c>
      <c r="AC2940" s="183"/>
      <c r="AD2940" s="183"/>
      <c r="AE2940" s="183"/>
      <c r="AF2940" s="184"/>
      <c r="AG2940" s="180"/>
      <c r="AH2940" s="185">
        <f>IFERROR(__xludf.DUMMYFUNCTION("""COMPUTED_VALUE"""),43356.86875010417)</f>
        <v>43356.86875</v>
      </c>
      <c r="AI2940" s="182"/>
      <c r="AJ2940" s="182"/>
      <c r="AK2940" s="182"/>
      <c r="AL2940" s="182"/>
    </row>
    <row r="2941" ht="20.25" customHeight="1">
      <c r="A2941" s="169" t="str">
        <f>IFERROR(__xludf.DUMMYFUNCTION("""COMPUTED_VALUE"""),"LonestarV")</f>
        <v>LonestarV</v>
      </c>
      <c r="B2941" s="170" t="str">
        <f>IFERROR(__xludf.DUMMYFUNCTION("""COMPUTED_VALUE"""),"Central")</f>
        <v>Central</v>
      </c>
      <c r="C2941" s="170" t="str">
        <f>IFERROR(__xludf.DUMMYFUNCTION("""COMPUTED_VALUE"""),"TX")</f>
        <v>TX</v>
      </c>
      <c r="D2941" s="170" t="str">
        <f>IFERROR(__xludf.DUMMYFUNCTION("""COMPUTED_VALUE"""),"USA")</f>
        <v>USA</v>
      </c>
      <c r="E2941" s="171">
        <f>IFERROR(__xludf.DUMMYFUNCTION("""COMPUTED_VALUE"""),43279.0)</f>
        <v>43279</v>
      </c>
      <c r="F2941" s="172">
        <f>IFERROR(__xludf.DUMMYFUNCTION("""COMPUTED_VALUE"""),43295.0)</f>
        <v>43295</v>
      </c>
      <c r="G2941" s="173"/>
      <c r="H2941" s="174">
        <f>IFERROR(__xludf.DUMMYFUNCTION("""COMPUTED_VALUE"""),32755.0)</f>
        <v>32755</v>
      </c>
      <c r="I2941" s="175" t="str">
        <f>IFERROR(__xludf.DUMMYFUNCTION("""COMPUTED_VALUE"""),"06/18")</f>
        <v>06/18</v>
      </c>
      <c r="J2941" s="172">
        <f>IFERROR(__xludf.DUMMYFUNCTION("""COMPUTED_VALUE"""),43327.0)</f>
        <v>43327</v>
      </c>
      <c r="K2941" s="176">
        <f>IFERROR(__xludf.DUMMYFUNCTION("""COMPUTED_VALUE"""),16.0)</f>
        <v>16</v>
      </c>
      <c r="L2941" s="176">
        <f>IFERROR(__xludf.DUMMYFUNCTION("""COMPUTED_VALUE"""),32.0)</f>
        <v>32</v>
      </c>
      <c r="M2941" s="176">
        <f>IFERROR(__xludf.DUMMYFUNCTION("""COMPUTED_VALUE"""),48.0)</f>
        <v>48</v>
      </c>
      <c r="N2941" s="177" t="str">
        <f>IFERROR(__xludf.DUMMYFUNCTION("""COMPUTED_VALUE"""),"Model 3 LR")</f>
        <v>Model 3 LR</v>
      </c>
      <c r="O2941" s="177" t="str">
        <f>IFERROR(__xludf.DUMMYFUNCTION("""COMPUTED_VALUE"""),"Pearl White Multi-Coat")</f>
        <v>Pearl White Multi-Coat</v>
      </c>
      <c r="P2941" s="178" t="str">
        <f>IFERROR(__xludf.DUMMYFUNCTION("""COMPUTED_VALUE"""),"19 inch Sport")</f>
        <v>19 inch Sport</v>
      </c>
      <c r="Q2941" s="177" t="str">
        <f>IFERROR(__xludf.DUMMYFUNCTION("""COMPUTED_VALUE"""),"Black seats")</f>
        <v>Black seats</v>
      </c>
      <c r="R2941" s="170" t="str">
        <f>IFERROR(__xludf.DUMMYFUNCTION("""COMPUTED_VALUE"""),"Enhanced Autopilot")</f>
        <v>Enhanced Autopilot</v>
      </c>
      <c r="S2941" s="170"/>
      <c r="T2941" s="179"/>
      <c r="U2941" s="179"/>
      <c r="V2941" s="179"/>
      <c r="W2941" s="180"/>
      <c r="X2941" s="181" t="str">
        <f>IFERROR(__xludf.DUMMYFUNCTION("""COMPUTED_VALUE"""),"Very Good")</f>
        <v>Very Good</v>
      </c>
      <c r="Y2941" s="182" t="str">
        <f>IFERROR(__xludf.DUMMYFUNCTION("""COMPUTED_VALUE"""),"Excellent")</f>
        <v>Excellent</v>
      </c>
      <c r="Z2941" s="182" t="str">
        <f>IFERROR(__xludf.DUMMYFUNCTION("""COMPUTED_VALUE"""),"Excellent")</f>
        <v>Excellent</v>
      </c>
      <c r="AA2941" s="182" t="str">
        <f>IFERROR(__xludf.DUMMYFUNCTION("""COMPUTED_VALUE"""),"Fair")</f>
        <v>Fair</v>
      </c>
      <c r="AB2941" s="182" t="str">
        <f>IFERROR(__xludf.DUMMYFUNCTION("""COMPUTED_VALUE"""),"Excellent")</f>
        <v>Excellent</v>
      </c>
      <c r="AC2941" s="183"/>
      <c r="AD2941" s="183"/>
      <c r="AE2941" s="183"/>
      <c r="AF2941" s="184"/>
      <c r="AG2941" s="180"/>
      <c r="AH2941" s="185">
        <f>IFERROR(__xludf.DUMMYFUNCTION("""COMPUTED_VALUE"""),43328.307236203706)</f>
        <v>43328.30724</v>
      </c>
      <c r="AI2941" s="182"/>
      <c r="AJ2941" s="182"/>
      <c r="AK2941" s="182"/>
      <c r="AL2941" s="182"/>
    </row>
    <row r="2942" ht="20.25" customHeight="1">
      <c r="A2942" s="169" t="str">
        <f>IFERROR(__xludf.DUMMYFUNCTION("""COMPUTED_VALUE"""),"ltphoto")</f>
        <v>ltphoto</v>
      </c>
      <c r="B2942" s="170" t="str">
        <f>IFERROR(__xludf.DUMMYFUNCTION("""COMPUTED_VALUE"""),"Sandy")</f>
        <v>Sandy</v>
      </c>
      <c r="C2942" s="170" t="str">
        <f>IFERROR(__xludf.DUMMYFUNCTION("""COMPUTED_VALUE"""),"UT")</f>
        <v>UT</v>
      </c>
      <c r="D2942" s="170" t="str">
        <f>IFERROR(__xludf.DUMMYFUNCTION("""COMPUTED_VALUE"""),"USA")</f>
        <v>USA</v>
      </c>
      <c r="E2942" s="171">
        <f>IFERROR(__xludf.DUMMYFUNCTION("""COMPUTED_VALUE"""),43279.0)</f>
        <v>43279</v>
      </c>
      <c r="F2942" s="172">
        <f>IFERROR(__xludf.DUMMYFUNCTION("""COMPUTED_VALUE"""),43355.0)</f>
        <v>43355</v>
      </c>
      <c r="G2942" s="173"/>
      <c r="H2942" s="174">
        <f>IFERROR(__xludf.DUMMYFUNCTION("""COMPUTED_VALUE"""),97584.0)</f>
        <v>97584</v>
      </c>
      <c r="I2942" s="175" t="str">
        <f>IFERROR(__xludf.DUMMYFUNCTION("""COMPUTED_VALUE"""),"09/18")</f>
        <v>09/18</v>
      </c>
      <c r="J2942" s="172">
        <f>IFERROR(__xludf.DUMMYFUNCTION("""COMPUTED_VALUE"""),43362.0)</f>
        <v>43362</v>
      </c>
      <c r="K2942" s="176">
        <f>IFERROR(__xludf.DUMMYFUNCTION("""COMPUTED_VALUE"""),76.0)</f>
        <v>76</v>
      </c>
      <c r="L2942" s="176">
        <f>IFERROR(__xludf.DUMMYFUNCTION("""COMPUTED_VALUE"""),7.0)</f>
        <v>7</v>
      </c>
      <c r="M2942" s="176">
        <f>IFERROR(__xludf.DUMMYFUNCTION("""COMPUTED_VALUE"""),83.0)</f>
        <v>83</v>
      </c>
      <c r="N2942" s="177" t="str">
        <f>IFERROR(__xludf.DUMMYFUNCTION("""COMPUTED_VALUE"""),"Model 3 LR AWD")</f>
        <v>Model 3 LR AWD</v>
      </c>
      <c r="O2942" s="177" t="str">
        <f>IFERROR(__xludf.DUMMYFUNCTION("""COMPUTED_VALUE"""),"Red Multi-Coat")</f>
        <v>Red Multi-Coat</v>
      </c>
      <c r="P2942" s="178" t="str">
        <f>IFERROR(__xludf.DUMMYFUNCTION("""COMPUTED_VALUE"""),"19 inch Sport")</f>
        <v>19 inch Sport</v>
      </c>
      <c r="Q2942" s="177" t="str">
        <f>IFERROR(__xludf.DUMMYFUNCTION("""COMPUTED_VALUE"""),"White seats")</f>
        <v>White seats</v>
      </c>
      <c r="R2942" s="170" t="str">
        <f>IFERROR(__xludf.DUMMYFUNCTION("""COMPUTED_VALUE"""),"Enhanced Autopilot")</f>
        <v>Enhanced Autopilot</v>
      </c>
      <c r="S2942" s="170"/>
      <c r="T2942" s="179"/>
      <c r="U2942" s="179"/>
      <c r="V2942" s="179"/>
      <c r="W2942" s="180"/>
      <c r="X2942" s="181" t="str">
        <f>IFERROR(__xludf.DUMMYFUNCTION("""COMPUTED_VALUE"""),"Excellent")</f>
        <v>Excellent</v>
      </c>
      <c r="Y2942" s="182" t="str">
        <f>IFERROR(__xludf.DUMMYFUNCTION("""COMPUTED_VALUE"""),"Excellent")</f>
        <v>Excellent</v>
      </c>
      <c r="Z2942" s="182" t="str">
        <f>IFERROR(__xludf.DUMMYFUNCTION("""COMPUTED_VALUE"""),"Excellent")</f>
        <v>Excellent</v>
      </c>
      <c r="AA2942" s="182" t="str">
        <f>IFERROR(__xludf.DUMMYFUNCTION("""COMPUTED_VALUE"""),"Fair")</f>
        <v>Fair</v>
      </c>
      <c r="AB2942" s="182" t="str">
        <f>IFERROR(__xludf.DUMMYFUNCTION("""COMPUTED_VALUE"""),"Good")</f>
        <v>Good</v>
      </c>
      <c r="AC2942" s="183"/>
      <c r="AD2942" s="183"/>
      <c r="AE2942" s="183"/>
      <c r="AF2942" s="184"/>
      <c r="AG2942" s="180"/>
      <c r="AH2942" s="185">
        <f>IFERROR(__xludf.DUMMYFUNCTION("""COMPUTED_VALUE"""),43367.41320841436)</f>
        <v>43367.41321</v>
      </c>
      <c r="AI2942" s="182"/>
      <c r="AJ2942" s="182"/>
      <c r="AK2942" s="182"/>
      <c r="AL2942" s="182"/>
    </row>
    <row r="2943" ht="20.25" customHeight="1">
      <c r="A2943" s="169" t="str">
        <f>IFERROR(__xludf.DUMMYFUNCTION("""COMPUTED_VALUE"""),"malaea")</f>
        <v>malaea</v>
      </c>
      <c r="B2943" s="170"/>
      <c r="C2943" s="170" t="str">
        <f>IFERROR(__xludf.DUMMYFUNCTION("""COMPUTED_VALUE"""),"CA")</f>
        <v>CA</v>
      </c>
      <c r="D2943" s="170" t="str">
        <f>IFERROR(__xludf.DUMMYFUNCTION("""COMPUTED_VALUE"""),"USA")</f>
        <v>USA</v>
      </c>
      <c r="E2943" s="171">
        <f>IFERROR(__xludf.DUMMYFUNCTION("""COMPUTED_VALUE"""),43279.0)</f>
        <v>43279</v>
      </c>
      <c r="F2943" s="172">
        <f>IFERROR(__xludf.DUMMYFUNCTION("""COMPUTED_VALUE"""),43298.0)</f>
        <v>43298</v>
      </c>
      <c r="G2943" s="173"/>
      <c r="H2943" s="174">
        <f>IFERROR(__xludf.DUMMYFUNCTION("""COMPUTED_VALUE"""),51955.0)</f>
        <v>51955</v>
      </c>
      <c r="I2943" s="175" t="str">
        <f>IFERROR(__xludf.DUMMYFUNCTION("""COMPUTED_VALUE"""),"07/18")</f>
        <v>07/18</v>
      </c>
      <c r="J2943" s="172">
        <f>IFERROR(__xludf.DUMMYFUNCTION("""COMPUTED_VALUE"""),43305.0)</f>
        <v>43305</v>
      </c>
      <c r="K2943" s="176">
        <f>IFERROR(__xludf.DUMMYFUNCTION("""COMPUTED_VALUE"""),19.0)</f>
        <v>19</v>
      </c>
      <c r="L2943" s="176">
        <f>IFERROR(__xludf.DUMMYFUNCTION("""COMPUTED_VALUE"""),7.0)</f>
        <v>7</v>
      </c>
      <c r="M2943" s="176">
        <f>IFERROR(__xludf.DUMMYFUNCTION("""COMPUTED_VALUE"""),26.0)</f>
        <v>26</v>
      </c>
      <c r="N2943" s="177" t="str">
        <f>IFERROR(__xludf.DUMMYFUNCTION("""COMPUTED_VALUE"""),"Model 3 LR")</f>
        <v>Model 3 LR</v>
      </c>
      <c r="O2943" s="177" t="str">
        <f>IFERROR(__xludf.DUMMYFUNCTION("""COMPUTED_VALUE"""),"Midnight Silver Metallic")</f>
        <v>Midnight Silver Metallic</v>
      </c>
      <c r="P2943" s="178" t="str">
        <f>IFERROR(__xludf.DUMMYFUNCTION("""COMPUTED_VALUE"""),"18 inch Aero")</f>
        <v>18 inch Aero</v>
      </c>
      <c r="Q2943" s="177" t="str">
        <f>IFERROR(__xludf.DUMMYFUNCTION("""COMPUTED_VALUE"""),"Black seats")</f>
        <v>Black seats</v>
      </c>
      <c r="R2943" s="170" t="str">
        <f>IFERROR(__xludf.DUMMYFUNCTION("""COMPUTED_VALUE"""),"Enhanced Autopilot")</f>
        <v>Enhanced Autopilot</v>
      </c>
      <c r="S2943" s="170"/>
      <c r="T2943" s="179"/>
      <c r="U2943" s="179"/>
      <c r="V2943" s="179"/>
      <c r="W2943" s="180"/>
      <c r="X2943" s="181" t="str">
        <f>IFERROR(__xludf.DUMMYFUNCTION("""COMPUTED_VALUE"""),"Excellent")</f>
        <v>Excellent</v>
      </c>
      <c r="Y2943" s="182" t="str">
        <f>IFERROR(__xludf.DUMMYFUNCTION("""COMPUTED_VALUE"""),"Excellent")</f>
        <v>Excellent</v>
      </c>
      <c r="Z2943" s="182" t="str">
        <f>IFERROR(__xludf.DUMMYFUNCTION("""COMPUTED_VALUE"""),"Fair")</f>
        <v>Fair</v>
      </c>
      <c r="AA2943" s="182" t="str">
        <f>IFERROR(__xludf.DUMMYFUNCTION("""COMPUTED_VALUE"""),"Excellent")</f>
        <v>Excellent</v>
      </c>
      <c r="AB2943" s="182" t="str">
        <f>IFERROR(__xludf.DUMMYFUNCTION("""COMPUTED_VALUE"""),"Excellent")</f>
        <v>Excellent</v>
      </c>
      <c r="AC2943" s="183">
        <f>IFERROR(__xludf.DUMMYFUNCTION("""COMPUTED_VALUE"""),2.0)</f>
        <v>2</v>
      </c>
      <c r="AD2943" s="183"/>
      <c r="AE2943" s="183"/>
      <c r="AF2943" s="184"/>
      <c r="AG2943" s="180"/>
      <c r="AH2943" s="185">
        <f>IFERROR(__xludf.DUMMYFUNCTION("""COMPUTED_VALUE"""),43306.8153112963)</f>
        <v>43306.81531</v>
      </c>
      <c r="AI2943" s="182"/>
      <c r="AJ2943" s="182"/>
      <c r="AK2943" s="182"/>
      <c r="AL2943" s="182"/>
    </row>
    <row r="2944" ht="20.25" customHeight="1">
      <c r="A2944" s="169" t="str">
        <f>IFERROR(__xludf.DUMMYFUNCTION("""COMPUTED_VALUE"""),"matt873245")</f>
        <v>matt873245</v>
      </c>
      <c r="B2944" s="170" t="str">
        <f>IFERROR(__xludf.DUMMYFUNCTION("""COMPUTED_VALUE"""),"Dallas")</f>
        <v>Dallas</v>
      </c>
      <c r="C2944" s="170" t="str">
        <f>IFERROR(__xludf.DUMMYFUNCTION("""COMPUTED_VALUE"""),"TX")</f>
        <v>TX</v>
      </c>
      <c r="D2944" s="170" t="str">
        <f>IFERROR(__xludf.DUMMYFUNCTION("""COMPUTED_VALUE"""),"USA")</f>
        <v>USA</v>
      </c>
      <c r="E2944" s="171">
        <f>IFERROR(__xludf.DUMMYFUNCTION("""COMPUTED_VALUE"""),43279.0)</f>
        <v>43279</v>
      </c>
      <c r="F2944" s="172">
        <f>IFERROR(__xludf.DUMMYFUNCTION("""COMPUTED_VALUE"""),43375.0)</f>
        <v>43375</v>
      </c>
      <c r="G2944" s="173"/>
      <c r="H2944" s="174">
        <f>IFERROR(__xludf.DUMMYFUNCTION("""COMPUTED_VALUE"""),74855.0)</f>
        <v>74855</v>
      </c>
      <c r="I2944" s="175"/>
      <c r="J2944" s="172">
        <f>IFERROR(__xludf.DUMMYFUNCTION("""COMPUTED_VALUE"""),43392.0)</f>
        <v>43392</v>
      </c>
      <c r="K2944" s="176">
        <f>IFERROR(__xludf.DUMMYFUNCTION("""COMPUTED_VALUE"""),96.0)</f>
        <v>96</v>
      </c>
      <c r="L2944" s="176">
        <f>IFERROR(__xludf.DUMMYFUNCTION("""COMPUTED_VALUE"""),17.0)</f>
        <v>17</v>
      </c>
      <c r="M2944" s="176">
        <f>IFERROR(__xludf.DUMMYFUNCTION("""COMPUTED_VALUE"""),113.0)</f>
        <v>113</v>
      </c>
      <c r="N2944" s="177" t="str">
        <f>IFERROR(__xludf.DUMMYFUNCTION("""COMPUTED_VALUE"""),"Model 3 LR AWD")</f>
        <v>Model 3 LR AWD</v>
      </c>
      <c r="O2944" s="177" t="str">
        <f>IFERROR(__xludf.DUMMYFUNCTION("""COMPUTED_VALUE"""),"Midnight Silver Metallic")</f>
        <v>Midnight Silver Metallic</v>
      </c>
      <c r="P2944" s="178" t="str">
        <f>IFERROR(__xludf.DUMMYFUNCTION("""COMPUTED_VALUE"""),"18 inch Aero")</f>
        <v>18 inch Aero</v>
      </c>
      <c r="Q2944" s="177" t="str">
        <f>IFERROR(__xludf.DUMMYFUNCTION("""COMPUTED_VALUE"""),"White seats")</f>
        <v>White seats</v>
      </c>
      <c r="R2944" s="170" t="str">
        <f>IFERROR(__xludf.DUMMYFUNCTION("""COMPUTED_VALUE"""),"Enhanced Autopilot")</f>
        <v>Enhanced Autopilot</v>
      </c>
      <c r="S2944" s="170"/>
      <c r="T2944" s="179"/>
      <c r="U2944" s="179"/>
      <c r="V2944" s="179"/>
      <c r="W2944" s="180"/>
      <c r="X2944" s="181" t="str">
        <f>IFERROR(__xludf.DUMMYFUNCTION("""COMPUTED_VALUE"""),"Good")</f>
        <v>Good</v>
      </c>
      <c r="Y2944" s="182" t="str">
        <f>IFERROR(__xludf.DUMMYFUNCTION("""COMPUTED_VALUE"""),"Good")</f>
        <v>Good</v>
      </c>
      <c r="Z2944" s="182" t="str">
        <f>IFERROR(__xludf.DUMMYFUNCTION("""COMPUTED_VALUE"""),"Good")</f>
        <v>Good</v>
      </c>
      <c r="AA2944" s="182" t="str">
        <f>IFERROR(__xludf.DUMMYFUNCTION("""COMPUTED_VALUE"""),"Poor")</f>
        <v>Poor</v>
      </c>
      <c r="AB2944" s="182" t="str">
        <f>IFERROR(__xludf.DUMMYFUNCTION("""COMPUTED_VALUE"""),"Fair")</f>
        <v>Fair</v>
      </c>
      <c r="AC2944" s="183">
        <f>IFERROR(__xludf.DUMMYFUNCTION("""COMPUTED_VALUE"""),1.0)</f>
        <v>1</v>
      </c>
      <c r="AD2944" s="183">
        <f>IFERROR(__xludf.DUMMYFUNCTION("""COMPUTED_VALUE"""),0.0)</f>
        <v>0</v>
      </c>
      <c r="AE2944" s="183">
        <f>IFERROR(__xludf.DUMMYFUNCTION("""COMPUTED_VALUE"""),0.0)</f>
        <v>0</v>
      </c>
      <c r="AF2944" s="184"/>
      <c r="AG2944" s="180"/>
      <c r="AH2944" s="185">
        <f>IFERROR(__xludf.DUMMYFUNCTION("""COMPUTED_VALUE"""),43391.939315902775)</f>
        <v>43391.93932</v>
      </c>
      <c r="AI2944" s="182"/>
      <c r="AJ2944" s="182"/>
      <c r="AK2944" s="182"/>
      <c r="AL2944" s="182"/>
    </row>
    <row r="2945" ht="20.25" customHeight="1">
      <c r="A2945" s="169" t="str">
        <f>IFERROR(__xludf.DUMMYFUNCTION("""COMPUTED_VALUE"""),"MikeN1280")</f>
        <v>MikeN1280</v>
      </c>
      <c r="B2945" s="170" t="str">
        <f>IFERROR(__xludf.DUMMYFUNCTION("""COMPUTED_VALUE"""),"Las Vegas")</f>
        <v>Las Vegas</v>
      </c>
      <c r="C2945" s="170" t="str">
        <f>IFERROR(__xludf.DUMMYFUNCTION("""COMPUTED_VALUE"""),"NV")</f>
        <v>NV</v>
      </c>
      <c r="D2945" s="170" t="str">
        <f>IFERROR(__xludf.DUMMYFUNCTION("""COMPUTED_VALUE"""),"USA")</f>
        <v>USA</v>
      </c>
      <c r="E2945" s="171">
        <f>IFERROR(__xludf.DUMMYFUNCTION("""COMPUTED_VALUE"""),43279.0)</f>
        <v>43279</v>
      </c>
      <c r="F2945" s="172">
        <f>IFERROR(__xludf.DUMMYFUNCTION("""COMPUTED_VALUE"""),43355.0)</f>
        <v>43355</v>
      </c>
      <c r="G2945" s="173"/>
      <c r="H2945" s="174">
        <f>IFERROR(__xludf.DUMMYFUNCTION("""COMPUTED_VALUE"""),100334.0)</f>
        <v>100334</v>
      </c>
      <c r="I2945" s="175" t="str">
        <f>IFERROR(__xludf.DUMMYFUNCTION("""COMPUTED_VALUE"""),"09/18")</f>
        <v>09/18</v>
      </c>
      <c r="J2945" s="172">
        <f>IFERROR(__xludf.DUMMYFUNCTION("""COMPUTED_VALUE"""),43360.0)</f>
        <v>43360</v>
      </c>
      <c r="K2945" s="176">
        <f>IFERROR(__xludf.DUMMYFUNCTION("""COMPUTED_VALUE"""),76.0)</f>
        <v>76</v>
      </c>
      <c r="L2945" s="176">
        <f>IFERROR(__xludf.DUMMYFUNCTION("""COMPUTED_VALUE"""),5.0)</f>
        <v>5</v>
      </c>
      <c r="M2945" s="176">
        <f>IFERROR(__xludf.DUMMYFUNCTION("""COMPUTED_VALUE"""),81.0)</f>
        <v>81</v>
      </c>
      <c r="N2945" s="177" t="str">
        <f>IFERROR(__xludf.DUMMYFUNCTION("""COMPUTED_VALUE"""),"Model 3 LR AWD")</f>
        <v>Model 3 LR AWD</v>
      </c>
      <c r="O2945" s="177" t="str">
        <f>IFERROR(__xludf.DUMMYFUNCTION("""COMPUTED_VALUE"""),"Obsidian Black Metallic")</f>
        <v>Obsidian Black Metallic</v>
      </c>
      <c r="P2945" s="178" t="str">
        <f>IFERROR(__xludf.DUMMYFUNCTION("""COMPUTED_VALUE"""),"19 inch Sport")</f>
        <v>19 inch Sport</v>
      </c>
      <c r="Q2945" s="177" t="str">
        <f>IFERROR(__xludf.DUMMYFUNCTION("""COMPUTED_VALUE"""),"White seats")</f>
        <v>White seats</v>
      </c>
      <c r="R2945" s="170" t="str">
        <f>IFERROR(__xludf.DUMMYFUNCTION("""COMPUTED_VALUE"""),"Enhanced Autopilot")</f>
        <v>Enhanced Autopilot</v>
      </c>
      <c r="S2945" s="170"/>
      <c r="T2945" s="179"/>
      <c r="U2945" s="179"/>
      <c r="V2945" s="179"/>
      <c r="W2945" s="180"/>
      <c r="X2945" s="181" t="str">
        <f>IFERROR(__xludf.DUMMYFUNCTION("""COMPUTED_VALUE"""),"Excellent")</f>
        <v>Excellent</v>
      </c>
      <c r="Y2945" s="182" t="str">
        <f>IFERROR(__xludf.DUMMYFUNCTION("""COMPUTED_VALUE"""),"Excellent")</f>
        <v>Excellent</v>
      </c>
      <c r="Z2945" s="182" t="str">
        <f>IFERROR(__xludf.DUMMYFUNCTION("""COMPUTED_VALUE"""),"Excellent")</f>
        <v>Excellent</v>
      </c>
      <c r="AA2945" s="182" t="str">
        <f>IFERROR(__xludf.DUMMYFUNCTION("""COMPUTED_VALUE"""),"Fair")</f>
        <v>Fair</v>
      </c>
      <c r="AB2945" s="182" t="str">
        <f>IFERROR(__xludf.DUMMYFUNCTION("""COMPUTED_VALUE"""),"Good")</f>
        <v>Good</v>
      </c>
      <c r="AC2945" s="183"/>
      <c r="AD2945" s="183"/>
      <c r="AE2945" s="183"/>
      <c r="AF2945" s="184"/>
      <c r="AG2945" s="180"/>
      <c r="AH2945" s="185">
        <f>IFERROR(__xludf.DUMMYFUNCTION("""COMPUTED_VALUE"""),43362.47737234954)</f>
        <v>43362.47737</v>
      </c>
      <c r="AI2945" s="182"/>
      <c r="AJ2945" s="182"/>
      <c r="AK2945" s="182"/>
      <c r="AL2945" s="182"/>
    </row>
    <row r="2946" ht="20.25" customHeight="1">
      <c r="A2946" s="169" t="str">
        <f>IFERROR(__xludf.DUMMYFUNCTION("""COMPUTED_VALUE"""),"model3finalleee")</f>
        <v>model3finalleee</v>
      </c>
      <c r="B2946" s="170" t="str">
        <f>IFERROR(__xludf.DUMMYFUNCTION("""COMPUTED_VALUE"""),"Sparks")</f>
        <v>Sparks</v>
      </c>
      <c r="C2946" s="170" t="str">
        <f>IFERROR(__xludf.DUMMYFUNCTION("""COMPUTED_VALUE"""),"NV")</f>
        <v>NV</v>
      </c>
      <c r="D2946" s="170" t="str">
        <f>IFERROR(__xludf.DUMMYFUNCTION("""COMPUTED_VALUE"""),"USA")</f>
        <v>USA</v>
      </c>
      <c r="E2946" s="171">
        <f>IFERROR(__xludf.DUMMYFUNCTION("""COMPUTED_VALUE"""),43279.0)</f>
        <v>43279</v>
      </c>
      <c r="F2946" s="172">
        <f>IFERROR(__xludf.DUMMYFUNCTION("""COMPUTED_VALUE"""),43337.0)</f>
        <v>43337</v>
      </c>
      <c r="G2946" s="173"/>
      <c r="H2946" s="174">
        <f>IFERROR(__xludf.DUMMYFUNCTION("""COMPUTED_VALUE"""),66685.0)</f>
        <v>66685</v>
      </c>
      <c r="I2946" s="175" t="str">
        <f>IFERROR(__xludf.DUMMYFUNCTION("""COMPUTED_VALUE"""),"08/18")</f>
        <v>08/18</v>
      </c>
      <c r="J2946" s="172">
        <f>IFERROR(__xludf.DUMMYFUNCTION("""COMPUTED_VALUE"""),42614.0)</f>
        <v>42614</v>
      </c>
      <c r="K2946" s="176">
        <f>IFERROR(__xludf.DUMMYFUNCTION("""COMPUTED_VALUE"""),58.0)</f>
        <v>58</v>
      </c>
      <c r="L2946" s="176"/>
      <c r="M2946" s="176"/>
      <c r="N2946" s="177" t="str">
        <f>IFERROR(__xludf.DUMMYFUNCTION("""COMPUTED_VALUE"""),"Model 3 LR AWD")</f>
        <v>Model 3 LR AWD</v>
      </c>
      <c r="O2946" s="177" t="str">
        <f>IFERROR(__xludf.DUMMYFUNCTION("""COMPUTED_VALUE"""),"Midnight Silver Metallic")</f>
        <v>Midnight Silver Metallic</v>
      </c>
      <c r="P2946" s="178" t="str">
        <f>IFERROR(__xludf.DUMMYFUNCTION("""COMPUTED_VALUE"""),"18 inch Aero")</f>
        <v>18 inch Aero</v>
      </c>
      <c r="Q2946" s="177" t="str">
        <f>IFERROR(__xludf.DUMMYFUNCTION("""COMPUTED_VALUE"""),"Black seats")</f>
        <v>Black seats</v>
      </c>
      <c r="R2946" s="170" t="str">
        <f>IFERROR(__xludf.DUMMYFUNCTION("""COMPUTED_VALUE"""),"Enhanced Autopilot")</f>
        <v>Enhanced Autopilot</v>
      </c>
      <c r="S2946" s="170"/>
      <c r="T2946" s="179"/>
      <c r="U2946" s="179"/>
      <c r="V2946" s="179"/>
      <c r="W2946" s="180"/>
      <c r="X2946" s="181" t="str">
        <f>IFERROR(__xludf.DUMMYFUNCTION("""COMPUTED_VALUE"""),"Very Good")</f>
        <v>Very Good</v>
      </c>
      <c r="Y2946" s="182" t="str">
        <f>IFERROR(__xludf.DUMMYFUNCTION("""COMPUTED_VALUE"""),"Excellent")</f>
        <v>Excellent</v>
      </c>
      <c r="Z2946" s="182" t="str">
        <f>IFERROR(__xludf.DUMMYFUNCTION("""COMPUTED_VALUE"""),"Excellent")</f>
        <v>Excellent</v>
      </c>
      <c r="AA2946" s="182" t="str">
        <f>IFERROR(__xludf.DUMMYFUNCTION("""COMPUTED_VALUE"""),"Poor")</f>
        <v>Poor</v>
      </c>
      <c r="AB2946" s="182" t="str">
        <f>IFERROR(__xludf.DUMMYFUNCTION("""COMPUTED_VALUE"""),"Fair")</f>
        <v>Fair</v>
      </c>
      <c r="AC2946" s="183"/>
      <c r="AD2946" s="183"/>
      <c r="AE2946" s="183"/>
      <c r="AF2946" s="184"/>
      <c r="AG2946" s="180"/>
      <c r="AH2946" s="185">
        <f>IFERROR(__xludf.DUMMYFUNCTION("""COMPUTED_VALUE"""),43344.805005462964)</f>
        <v>43344.80501</v>
      </c>
      <c r="AI2946" s="182"/>
      <c r="AJ2946" s="182"/>
      <c r="AK2946" s="182"/>
      <c r="AL2946" s="182"/>
    </row>
    <row r="2947" ht="20.25" customHeight="1">
      <c r="A2947" s="169" t="str">
        <f>IFERROR(__xludf.DUMMYFUNCTION("""COMPUTED_VALUE"""),"MSZ")</f>
        <v>MSZ</v>
      </c>
      <c r="B2947" s="170" t="str">
        <f>IFERROR(__xludf.DUMMYFUNCTION("""COMPUTED_VALUE"""),"NorCal")</f>
        <v>NorCal</v>
      </c>
      <c r="C2947" s="170" t="str">
        <f>IFERROR(__xludf.DUMMYFUNCTION("""COMPUTED_VALUE"""),"CA")</f>
        <v>CA</v>
      </c>
      <c r="D2947" s="170" t="str">
        <f>IFERROR(__xludf.DUMMYFUNCTION("""COMPUTED_VALUE"""),"USA")</f>
        <v>USA</v>
      </c>
      <c r="E2947" s="171">
        <f>IFERROR(__xludf.DUMMYFUNCTION("""COMPUTED_VALUE"""),43279.0)</f>
        <v>43279</v>
      </c>
      <c r="F2947" s="172">
        <f>IFERROR(__xludf.DUMMYFUNCTION("""COMPUTED_VALUE"""),43374.0)</f>
        <v>43374</v>
      </c>
      <c r="G2947" s="173"/>
      <c r="H2947" s="174">
        <f>IFERROR(__xludf.DUMMYFUNCTION("""COMPUTED_VALUE"""),102955.0)</f>
        <v>102955</v>
      </c>
      <c r="I2947" s="175" t="str">
        <f>IFERROR(__xludf.DUMMYFUNCTION("""COMPUTED_VALUE"""),"10/18")</f>
        <v>10/18</v>
      </c>
      <c r="J2947" s="172">
        <f>IFERROR(__xludf.DUMMYFUNCTION("""COMPUTED_VALUE"""),43385.0)</f>
        <v>43385</v>
      </c>
      <c r="K2947" s="176">
        <f>IFERROR(__xludf.DUMMYFUNCTION("""COMPUTED_VALUE"""),95.0)</f>
        <v>95</v>
      </c>
      <c r="L2947" s="176">
        <f>IFERROR(__xludf.DUMMYFUNCTION("""COMPUTED_VALUE"""),11.0)</f>
        <v>11</v>
      </c>
      <c r="M2947" s="176">
        <f>IFERROR(__xludf.DUMMYFUNCTION("""COMPUTED_VALUE"""),106.0)</f>
        <v>106</v>
      </c>
      <c r="N2947" s="177" t="str">
        <f>IFERROR(__xludf.DUMMYFUNCTION("""COMPUTED_VALUE"""),"Model 3 LR")</f>
        <v>Model 3 LR</v>
      </c>
      <c r="O2947" s="177" t="str">
        <f>IFERROR(__xludf.DUMMYFUNCTION("""COMPUTED_VALUE"""),"Red Multi-Coat")</f>
        <v>Red Multi-Coat</v>
      </c>
      <c r="P2947" s="178" t="str">
        <f>IFERROR(__xludf.DUMMYFUNCTION("""COMPUTED_VALUE"""),"18 inch Aero")</f>
        <v>18 inch Aero</v>
      </c>
      <c r="Q2947" s="177" t="str">
        <f>IFERROR(__xludf.DUMMYFUNCTION("""COMPUTED_VALUE"""),"Black seats")</f>
        <v>Black seats</v>
      </c>
      <c r="R2947" s="170" t="str">
        <f>IFERROR(__xludf.DUMMYFUNCTION("""COMPUTED_VALUE"""),"None")</f>
        <v>None</v>
      </c>
      <c r="S2947" s="170"/>
      <c r="T2947" s="179"/>
      <c r="U2947" s="179"/>
      <c r="V2947" s="179"/>
      <c r="W2947" s="180"/>
      <c r="X2947" s="181" t="str">
        <f>IFERROR(__xludf.DUMMYFUNCTION("""COMPUTED_VALUE"""),"Excellent")</f>
        <v>Excellent</v>
      </c>
      <c r="Y2947" s="182" t="str">
        <f>IFERROR(__xludf.DUMMYFUNCTION("""COMPUTED_VALUE"""),"Excellent")</f>
        <v>Excellent</v>
      </c>
      <c r="Z2947" s="182" t="str">
        <f>IFERROR(__xludf.DUMMYFUNCTION("""COMPUTED_VALUE"""),"Excellent")</f>
        <v>Excellent</v>
      </c>
      <c r="AA2947" s="182" t="str">
        <f>IFERROR(__xludf.DUMMYFUNCTION("""COMPUTED_VALUE"""),"Very Good")</f>
        <v>Very Good</v>
      </c>
      <c r="AB2947" s="182" t="str">
        <f>IFERROR(__xludf.DUMMYFUNCTION("""COMPUTED_VALUE"""),"Excellent")</f>
        <v>Excellent</v>
      </c>
      <c r="AC2947" s="183"/>
      <c r="AD2947" s="183"/>
      <c r="AE2947" s="183"/>
      <c r="AF2947" s="184"/>
      <c r="AG2947" s="180"/>
      <c r="AH2947" s="185">
        <f>IFERROR(__xludf.DUMMYFUNCTION("""COMPUTED_VALUE"""),43386.362627337956)</f>
        <v>43386.36263</v>
      </c>
      <c r="AI2947" s="182"/>
      <c r="AJ2947" s="182"/>
      <c r="AK2947" s="182"/>
      <c r="AL2947" s="182"/>
    </row>
    <row r="2948" ht="20.25" customHeight="1">
      <c r="A2948" s="169" t="str">
        <f>IFERROR(__xludf.DUMMYFUNCTION("""COMPUTED_VALUE"""),"mtnmanLG")</f>
        <v>mtnmanLG</v>
      </c>
      <c r="B2948" s="170" t="str">
        <f>IFERROR(__xludf.DUMMYFUNCTION("""COMPUTED_VALUE"""),"Los Gatos, CA")</f>
        <v>Los Gatos, CA</v>
      </c>
      <c r="C2948" s="170" t="str">
        <f>IFERROR(__xludf.DUMMYFUNCTION("""COMPUTED_VALUE"""),"CA")</f>
        <v>CA</v>
      </c>
      <c r="D2948" s="170" t="str">
        <f>IFERROR(__xludf.DUMMYFUNCTION("""COMPUTED_VALUE"""),"USA")</f>
        <v>USA</v>
      </c>
      <c r="E2948" s="171">
        <f>IFERROR(__xludf.DUMMYFUNCTION("""COMPUTED_VALUE"""),43279.0)</f>
        <v>43279</v>
      </c>
      <c r="F2948" s="172">
        <f>IFERROR(__xludf.DUMMYFUNCTION("""COMPUTED_VALUE"""),43357.0)</f>
        <v>43357</v>
      </c>
      <c r="G2948" s="173"/>
      <c r="H2948" s="174">
        <f>IFERROR(__xludf.DUMMYFUNCTION("""COMPUTED_VALUE"""),100455.0)</f>
        <v>100455</v>
      </c>
      <c r="I2948" s="175"/>
      <c r="J2948" s="172">
        <f>IFERROR(__xludf.DUMMYFUNCTION("""COMPUTED_VALUE"""),43364.0)</f>
        <v>43364</v>
      </c>
      <c r="K2948" s="176">
        <f>IFERROR(__xludf.DUMMYFUNCTION("""COMPUTED_VALUE"""),78.0)</f>
        <v>78</v>
      </c>
      <c r="L2948" s="176">
        <f>IFERROR(__xludf.DUMMYFUNCTION("""COMPUTED_VALUE"""),7.0)</f>
        <v>7</v>
      </c>
      <c r="M2948" s="176">
        <f>IFERROR(__xludf.DUMMYFUNCTION("""COMPUTED_VALUE"""),85.0)</f>
        <v>85</v>
      </c>
      <c r="N2948" s="177" t="str">
        <f>IFERROR(__xludf.DUMMYFUNCTION("""COMPUTED_VALUE"""),"Model 3 LR AWD")</f>
        <v>Model 3 LR AWD</v>
      </c>
      <c r="O2948" s="177" t="str">
        <f>IFERROR(__xludf.DUMMYFUNCTION("""COMPUTED_VALUE"""),"Midnight Silver Metallic")</f>
        <v>Midnight Silver Metallic</v>
      </c>
      <c r="P2948" s="178" t="str">
        <f>IFERROR(__xludf.DUMMYFUNCTION("""COMPUTED_VALUE"""),"19 inch Sport")</f>
        <v>19 inch Sport</v>
      </c>
      <c r="Q2948" s="177" t="str">
        <f>IFERROR(__xludf.DUMMYFUNCTION("""COMPUTED_VALUE"""),"White seats")</f>
        <v>White seats</v>
      </c>
      <c r="R2948" s="170" t="str">
        <f>IFERROR(__xludf.DUMMYFUNCTION("""COMPUTED_VALUE"""),"Full Self-Driving")</f>
        <v>Full Self-Driving</v>
      </c>
      <c r="S2948" s="170"/>
      <c r="T2948" s="179"/>
      <c r="U2948" s="179"/>
      <c r="V2948" s="179"/>
      <c r="W2948" s="180"/>
      <c r="X2948" s="181" t="str">
        <f>IFERROR(__xludf.DUMMYFUNCTION("""COMPUTED_VALUE"""),"Very Good")</f>
        <v>Very Good</v>
      </c>
      <c r="Y2948" s="182" t="str">
        <f>IFERROR(__xludf.DUMMYFUNCTION("""COMPUTED_VALUE"""),"Very Good")</f>
        <v>Very Good</v>
      </c>
      <c r="Z2948" s="182" t="str">
        <f>IFERROR(__xludf.DUMMYFUNCTION("""COMPUTED_VALUE"""),"Good")</f>
        <v>Good</v>
      </c>
      <c r="AA2948" s="182" t="str">
        <f>IFERROR(__xludf.DUMMYFUNCTION("""COMPUTED_VALUE"""),"Very Good")</f>
        <v>Very Good</v>
      </c>
      <c r="AB2948" s="182" t="str">
        <f>IFERROR(__xludf.DUMMYFUNCTION("""COMPUTED_VALUE"""),"Good")</f>
        <v>Good</v>
      </c>
      <c r="AC2948" s="183">
        <f>IFERROR(__xludf.DUMMYFUNCTION("""COMPUTED_VALUE"""),4.0)</f>
        <v>4</v>
      </c>
      <c r="AD2948" s="183">
        <f>IFERROR(__xludf.DUMMYFUNCTION("""COMPUTED_VALUE"""),1.0)</f>
        <v>1</v>
      </c>
      <c r="AE2948" s="183">
        <f>IFERROR(__xludf.DUMMYFUNCTION("""COMPUTED_VALUE"""),7.0)</f>
        <v>7</v>
      </c>
      <c r="AF2948" s="184"/>
      <c r="AG2948" s="180"/>
      <c r="AH2948" s="185">
        <f>IFERROR(__xludf.DUMMYFUNCTION("""COMPUTED_VALUE"""),43386.87527107639)</f>
        <v>43386.87527</v>
      </c>
      <c r="AI2948" s="182"/>
      <c r="AJ2948" s="182"/>
      <c r="AK2948" s="182"/>
      <c r="AL2948" s="182"/>
    </row>
    <row r="2949" ht="20.25" customHeight="1">
      <c r="A2949" s="169" t="str">
        <f>IFERROR(__xludf.DUMMYFUNCTION("""COMPUTED_VALUE"""),"museic1")</f>
        <v>museic1</v>
      </c>
      <c r="B2949" s="170" t="str">
        <f>IFERROR(__xludf.DUMMYFUNCTION("""COMPUTED_VALUE"""),"Chicago")</f>
        <v>Chicago</v>
      </c>
      <c r="C2949" s="170" t="str">
        <f>IFERROR(__xludf.DUMMYFUNCTION("""COMPUTED_VALUE"""),"IL")</f>
        <v>IL</v>
      </c>
      <c r="D2949" s="170" t="str">
        <f>IFERROR(__xludf.DUMMYFUNCTION("""COMPUTED_VALUE"""),"USA")</f>
        <v>USA</v>
      </c>
      <c r="E2949" s="171">
        <f>IFERROR(__xludf.DUMMYFUNCTION("""COMPUTED_VALUE"""),43279.0)</f>
        <v>43279</v>
      </c>
      <c r="F2949" s="172">
        <f>IFERROR(__xludf.DUMMYFUNCTION("""COMPUTED_VALUE"""),43332.0)</f>
        <v>43332</v>
      </c>
      <c r="G2949" s="173"/>
      <c r="H2949" s="174">
        <f>IFERROR(__xludf.DUMMYFUNCTION("""COMPUTED_VALUE"""),72455.0)</f>
        <v>72455</v>
      </c>
      <c r="I2949" s="175" t="str">
        <f>IFERROR(__xludf.DUMMYFUNCTION("""COMPUTED_VALUE"""),"08/18")</f>
        <v>08/18</v>
      </c>
      <c r="J2949" s="172">
        <f>IFERROR(__xludf.DUMMYFUNCTION("""COMPUTED_VALUE"""),43348.0)</f>
        <v>43348</v>
      </c>
      <c r="K2949" s="176">
        <f>IFERROR(__xludf.DUMMYFUNCTION("""COMPUTED_VALUE"""),53.0)</f>
        <v>53</v>
      </c>
      <c r="L2949" s="176">
        <f>IFERROR(__xludf.DUMMYFUNCTION("""COMPUTED_VALUE"""),16.0)</f>
        <v>16</v>
      </c>
      <c r="M2949" s="176">
        <f>IFERROR(__xludf.DUMMYFUNCTION("""COMPUTED_VALUE"""),69.0)</f>
        <v>69</v>
      </c>
      <c r="N2949" s="177" t="str">
        <f>IFERROR(__xludf.DUMMYFUNCTION("""COMPUTED_VALUE"""),"Model 3 Performance")</f>
        <v>Model 3 Performance</v>
      </c>
      <c r="O2949" s="177" t="str">
        <f>IFERROR(__xludf.DUMMYFUNCTION("""COMPUTED_VALUE"""),"Solid Black")</f>
        <v>Solid Black</v>
      </c>
      <c r="P2949" s="178" t="str">
        <f>IFERROR(__xludf.DUMMYFUNCTION("""COMPUTED_VALUE"""),"20 inch Sport")</f>
        <v>20 inch Sport</v>
      </c>
      <c r="Q2949" s="177" t="str">
        <f>IFERROR(__xludf.DUMMYFUNCTION("""COMPUTED_VALUE"""),"Black seats")</f>
        <v>Black seats</v>
      </c>
      <c r="R2949" s="170" t="str">
        <f>IFERROR(__xludf.DUMMYFUNCTION("""COMPUTED_VALUE"""),"Full Self-Driving")</f>
        <v>Full Self-Driving</v>
      </c>
      <c r="S2949" s="170"/>
      <c r="T2949" s="179"/>
      <c r="U2949" s="179"/>
      <c r="V2949" s="179"/>
      <c r="W2949" s="180"/>
      <c r="X2949" s="181" t="str">
        <f>IFERROR(__xludf.DUMMYFUNCTION("""COMPUTED_VALUE"""),"Excellent")</f>
        <v>Excellent</v>
      </c>
      <c r="Y2949" s="182" t="str">
        <f>IFERROR(__xludf.DUMMYFUNCTION("""COMPUTED_VALUE"""),"Excellent")</f>
        <v>Excellent</v>
      </c>
      <c r="Z2949" s="182" t="str">
        <f>IFERROR(__xludf.DUMMYFUNCTION("""COMPUTED_VALUE"""),"Excellent")</f>
        <v>Excellent</v>
      </c>
      <c r="AA2949" s="182" t="str">
        <f>IFERROR(__xludf.DUMMYFUNCTION("""COMPUTED_VALUE"""),"Good")</f>
        <v>Good</v>
      </c>
      <c r="AB2949" s="182" t="str">
        <f>IFERROR(__xludf.DUMMYFUNCTION("""COMPUTED_VALUE"""),"Excellent")</f>
        <v>Excellent</v>
      </c>
      <c r="AC2949" s="183"/>
      <c r="AD2949" s="183"/>
      <c r="AE2949" s="183"/>
      <c r="AF2949" s="184"/>
      <c r="AG2949" s="180"/>
      <c r="AH2949" s="185">
        <f>IFERROR(__xludf.DUMMYFUNCTION("""COMPUTED_VALUE"""),43349.43237760417)</f>
        <v>43349.43238</v>
      </c>
      <c r="AI2949" s="182"/>
      <c r="AJ2949" s="182"/>
      <c r="AK2949" s="182"/>
      <c r="AL2949" s="182"/>
    </row>
    <row r="2950" ht="20.25" customHeight="1">
      <c r="A2950" s="169" t="str">
        <f>IFERROR(__xludf.DUMMYFUNCTION("""COMPUTED_VALUE"""),"Nichelle")</f>
        <v>Nichelle</v>
      </c>
      <c r="B2950" s="170" t="str">
        <f>IFERROR(__xludf.DUMMYFUNCTION("""COMPUTED_VALUE"""),"Madison")</f>
        <v>Madison</v>
      </c>
      <c r="C2950" s="170" t="str">
        <f>IFERROR(__xludf.DUMMYFUNCTION("""COMPUTED_VALUE"""),"AL")</f>
        <v>AL</v>
      </c>
      <c r="D2950" s="170" t="str">
        <f>IFERROR(__xludf.DUMMYFUNCTION("""COMPUTED_VALUE"""),"USA")</f>
        <v>USA</v>
      </c>
      <c r="E2950" s="171">
        <f>IFERROR(__xludf.DUMMYFUNCTION("""COMPUTED_VALUE"""),43279.0)</f>
        <v>43279</v>
      </c>
      <c r="F2950" s="172">
        <f>IFERROR(__xludf.DUMMYFUNCTION("""COMPUTED_VALUE"""),43377.0)</f>
        <v>43377</v>
      </c>
      <c r="G2950" s="173"/>
      <c r="H2950" s="174">
        <f>IFERROR(__xludf.DUMMYFUNCTION("""COMPUTED_VALUE"""),117755.0)</f>
        <v>117755</v>
      </c>
      <c r="I2950" s="175" t="str">
        <f>IFERROR(__xludf.DUMMYFUNCTION("""COMPUTED_VALUE"""),"10/18")</f>
        <v>10/18</v>
      </c>
      <c r="J2950" s="172">
        <f>IFERROR(__xludf.DUMMYFUNCTION("""COMPUTED_VALUE"""),43391.0)</f>
        <v>43391</v>
      </c>
      <c r="K2950" s="176">
        <f>IFERROR(__xludf.DUMMYFUNCTION("""COMPUTED_VALUE"""),98.0)</f>
        <v>98</v>
      </c>
      <c r="L2950" s="176">
        <f>IFERROR(__xludf.DUMMYFUNCTION("""COMPUTED_VALUE"""),14.0)</f>
        <v>14</v>
      </c>
      <c r="M2950" s="176">
        <f>IFERROR(__xludf.DUMMYFUNCTION("""COMPUTED_VALUE"""),112.0)</f>
        <v>112</v>
      </c>
      <c r="N2950" s="177" t="str">
        <f>IFERROR(__xludf.DUMMYFUNCTION("""COMPUTED_VALUE"""),"Model 3 LR AWD")</f>
        <v>Model 3 LR AWD</v>
      </c>
      <c r="O2950" s="177" t="str">
        <f>IFERROR(__xludf.DUMMYFUNCTION("""COMPUTED_VALUE"""),"Pearl White Multi-Coat")</f>
        <v>Pearl White Multi-Coat</v>
      </c>
      <c r="P2950" s="178" t="str">
        <f>IFERROR(__xludf.DUMMYFUNCTION("""COMPUTED_VALUE"""),"19 inch Sport")</f>
        <v>19 inch Sport</v>
      </c>
      <c r="Q2950" s="177" t="str">
        <f>IFERROR(__xludf.DUMMYFUNCTION("""COMPUTED_VALUE"""),"Black seats")</f>
        <v>Black seats</v>
      </c>
      <c r="R2950" s="170" t="str">
        <f>IFERROR(__xludf.DUMMYFUNCTION("""COMPUTED_VALUE"""),"None")</f>
        <v>None</v>
      </c>
      <c r="S2950" s="170"/>
      <c r="T2950" s="179"/>
      <c r="U2950" s="179"/>
      <c r="V2950" s="179"/>
      <c r="W2950" s="180"/>
      <c r="X2950" s="181" t="str">
        <f>IFERROR(__xludf.DUMMYFUNCTION("""COMPUTED_VALUE"""),"Very Good")</f>
        <v>Very Good</v>
      </c>
      <c r="Y2950" s="182" t="str">
        <f>IFERROR(__xludf.DUMMYFUNCTION("""COMPUTED_VALUE"""),"Excellent")</f>
        <v>Excellent</v>
      </c>
      <c r="Z2950" s="182" t="str">
        <f>IFERROR(__xludf.DUMMYFUNCTION("""COMPUTED_VALUE"""),"Excellent")</f>
        <v>Excellent</v>
      </c>
      <c r="AA2950" s="182" t="str">
        <f>IFERROR(__xludf.DUMMYFUNCTION("""COMPUTED_VALUE"""),"Very Good")</f>
        <v>Very Good</v>
      </c>
      <c r="AB2950" s="182" t="str">
        <f>IFERROR(__xludf.DUMMYFUNCTION("""COMPUTED_VALUE"""),"Excellent")</f>
        <v>Excellent</v>
      </c>
      <c r="AC2950" s="183"/>
      <c r="AD2950" s="183"/>
      <c r="AE2950" s="183"/>
      <c r="AF2950" s="184"/>
      <c r="AG2950" s="180"/>
      <c r="AH2950" s="185">
        <f>IFERROR(__xludf.DUMMYFUNCTION("""COMPUTED_VALUE"""),43397.62879880787)</f>
        <v>43397.6288</v>
      </c>
      <c r="AI2950" s="182"/>
      <c r="AJ2950" s="182"/>
      <c r="AK2950" s="182"/>
      <c r="AL2950" s="182"/>
    </row>
    <row r="2951" ht="20.25" customHeight="1">
      <c r="A2951" s="169" t="str">
        <f>IFERROR(__xludf.DUMMYFUNCTION("""COMPUTED_VALUE"""),"Nicholb")</f>
        <v>Nicholb</v>
      </c>
      <c r="B2951" s="170"/>
      <c r="C2951" s="170" t="str">
        <f>IFERROR(__xludf.DUMMYFUNCTION("""COMPUTED_VALUE"""),"MN")</f>
        <v>MN</v>
      </c>
      <c r="D2951" s="170" t="str">
        <f>IFERROR(__xludf.DUMMYFUNCTION("""COMPUTED_VALUE"""),"USA")</f>
        <v>USA</v>
      </c>
      <c r="E2951" s="171">
        <f>IFERROR(__xludf.DUMMYFUNCTION("""COMPUTED_VALUE"""),43279.0)</f>
        <v>43279</v>
      </c>
      <c r="F2951" s="172">
        <f>IFERROR(__xludf.DUMMYFUNCTION("""COMPUTED_VALUE"""),43281.0)</f>
        <v>43281</v>
      </c>
      <c r="G2951" s="173"/>
      <c r="H2951" s="174">
        <f>IFERROR(__xludf.DUMMYFUNCTION("""COMPUTED_VALUE"""),34255.0)</f>
        <v>34255</v>
      </c>
      <c r="I2951" s="175"/>
      <c r="J2951" s="172">
        <f>IFERROR(__xludf.DUMMYFUNCTION("""COMPUTED_VALUE"""),43293.0)</f>
        <v>43293</v>
      </c>
      <c r="K2951" s="176">
        <f>IFERROR(__xludf.DUMMYFUNCTION("""COMPUTED_VALUE"""),2.0)</f>
        <v>2</v>
      </c>
      <c r="L2951" s="176">
        <f>IFERROR(__xludf.DUMMYFUNCTION("""COMPUTED_VALUE"""),12.0)</f>
        <v>12</v>
      </c>
      <c r="M2951" s="176">
        <f>IFERROR(__xludf.DUMMYFUNCTION("""COMPUTED_VALUE"""),14.0)</f>
        <v>14</v>
      </c>
      <c r="N2951" s="177" t="str">
        <f>IFERROR(__xludf.DUMMYFUNCTION("""COMPUTED_VALUE"""),"Model 3 LR")</f>
        <v>Model 3 LR</v>
      </c>
      <c r="O2951" s="177" t="str">
        <f>IFERROR(__xludf.DUMMYFUNCTION("""COMPUTED_VALUE"""),"Deep Blue Metallic")</f>
        <v>Deep Blue Metallic</v>
      </c>
      <c r="P2951" s="178" t="str">
        <f>IFERROR(__xludf.DUMMYFUNCTION("""COMPUTED_VALUE"""),"18 inch Aero")</f>
        <v>18 inch Aero</v>
      </c>
      <c r="Q2951" s="177" t="str">
        <f>IFERROR(__xludf.DUMMYFUNCTION("""COMPUTED_VALUE"""),"Black seats")</f>
        <v>Black seats</v>
      </c>
      <c r="R2951" s="170" t="str">
        <f>IFERROR(__xludf.DUMMYFUNCTION("""COMPUTED_VALUE"""),"Full Self-Driving")</f>
        <v>Full Self-Driving</v>
      </c>
      <c r="S2951" s="170"/>
      <c r="T2951" s="179"/>
      <c r="U2951" s="179"/>
      <c r="V2951" s="179"/>
      <c r="W2951" s="180"/>
      <c r="X2951" s="181" t="str">
        <f>IFERROR(__xludf.DUMMYFUNCTION("""COMPUTED_VALUE"""),"Excellent")</f>
        <v>Excellent</v>
      </c>
      <c r="Y2951" s="182" t="str">
        <f>IFERROR(__xludf.DUMMYFUNCTION("""COMPUTED_VALUE"""),"Excellent")</f>
        <v>Excellent</v>
      </c>
      <c r="Z2951" s="182" t="str">
        <f>IFERROR(__xludf.DUMMYFUNCTION("""COMPUTED_VALUE"""),"Excellent")</f>
        <v>Excellent</v>
      </c>
      <c r="AA2951" s="182" t="str">
        <f>IFERROR(__xludf.DUMMYFUNCTION("""COMPUTED_VALUE"""),"Very Good")</f>
        <v>Very Good</v>
      </c>
      <c r="AB2951" s="182" t="str">
        <f>IFERROR(__xludf.DUMMYFUNCTION("""COMPUTED_VALUE"""),"Very Good")</f>
        <v>Very Good</v>
      </c>
      <c r="AC2951" s="183">
        <f>IFERROR(__xludf.DUMMYFUNCTION("""COMPUTED_VALUE"""),1.0)</f>
        <v>1</v>
      </c>
      <c r="AD2951" s="183"/>
      <c r="AE2951" s="183"/>
      <c r="AF2951" s="184"/>
      <c r="AG2951" s="180"/>
      <c r="AH2951" s="185">
        <f>IFERROR(__xludf.DUMMYFUNCTION("""COMPUTED_VALUE"""),43294.90581304398)</f>
        <v>43294.90581</v>
      </c>
      <c r="AI2951" s="182"/>
      <c r="AJ2951" s="182"/>
      <c r="AK2951" s="182"/>
      <c r="AL2951" s="182"/>
    </row>
    <row r="2952" ht="20.25" customHeight="1">
      <c r="A2952" s="169" t="str">
        <f>IFERROR(__xludf.DUMMYFUNCTION("""COMPUTED_VALUE"""),"NotARedditor")</f>
        <v>NotARedditor</v>
      </c>
      <c r="B2952" s="170" t="str">
        <f>IFERROR(__xludf.DUMMYFUNCTION("""COMPUTED_VALUE"""),"Seattle")</f>
        <v>Seattle</v>
      </c>
      <c r="C2952" s="170" t="str">
        <f>IFERROR(__xludf.DUMMYFUNCTION("""COMPUTED_VALUE"""),"WA")</f>
        <v>WA</v>
      </c>
      <c r="D2952" s="170" t="str">
        <f>IFERROR(__xludf.DUMMYFUNCTION("""COMPUTED_VALUE"""),"USA")</f>
        <v>USA</v>
      </c>
      <c r="E2952" s="171">
        <f>IFERROR(__xludf.DUMMYFUNCTION("""COMPUTED_VALUE"""),43279.0)</f>
        <v>43279</v>
      </c>
      <c r="F2952" s="172">
        <f>IFERROR(__xludf.DUMMYFUNCTION("""COMPUTED_VALUE"""),43368.0)</f>
        <v>43368</v>
      </c>
      <c r="G2952" s="173"/>
      <c r="H2952" s="174">
        <f>IFERROR(__xludf.DUMMYFUNCTION("""COMPUTED_VALUE"""),85355.0)</f>
        <v>85355</v>
      </c>
      <c r="I2952" s="175"/>
      <c r="J2952" s="172">
        <f>IFERROR(__xludf.DUMMYFUNCTION("""COMPUTED_VALUE"""),43371.0)</f>
        <v>43371</v>
      </c>
      <c r="K2952" s="176">
        <f>IFERROR(__xludf.DUMMYFUNCTION("""COMPUTED_VALUE"""),89.0)</f>
        <v>89</v>
      </c>
      <c r="L2952" s="176">
        <f>IFERROR(__xludf.DUMMYFUNCTION("""COMPUTED_VALUE"""),3.0)</f>
        <v>3</v>
      </c>
      <c r="M2952" s="176">
        <f>IFERROR(__xludf.DUMMYFUNCTION("""COMPUTED_VALUE"""),92.0)</f>
        <v>92</v>
      </c>
      <c r="N2952" s="177" t="str">
        <f>IFERROR(__xludf.DUMMYFUNCTION("""COMPUTED_VALUE"""),"Model 3 LR AWD")</f>
        <v>Model 3 LR AWD</v>
      </c>
      <c r="O2952" s="177" t="str">
        <f>IFERROR(__xludf.DUMMYFUNCTION("""COMPUTED_VALUE"""),"Pearl White Multi-Coat")</f>
        <v>Pearl White Multi-Coat</v>
      </c>
      <c r="P2952" s="178" t="str">
        <f>IFERROR(__xludf.DUMMYFUNCTION("""COMPUTED_VALUE"""),"18 inch Aero")</f>
        <v>18 inch Aero</v>
      </c>
      <c r="Q2952" s="177" t="str">
        <f>IFERROR(__xludf.DUMMYFUNCTION("""COMPUTED_VALUE"""),"Black seats")</f>
        <v>Black seats</v>
      </c>
      <c r="R2952" s="170" t="str">
        <f>IFERROR(__xludf.DUMMYFUNCTION("""COMPUTED_VALUE"""),"None")</f>
        <v>None</v>
      </c>
      <c r="S2952" s="170"/>
      <c r="T2952" s="179"/>
      <c r="U2952" s="179"/>
      <c r="V2952" s="179"/>
      <c r="W2952" s="180"/>
      <c r="X2952" s="181" t="str">
        <f>IFERROR(__xludf.DUMMYFUNCTION("""COMPUTED_VALUE"""),"Excellent")</f>
        <v>Excellent</v>
      </c>
      <c r="Y2952" s="182" t="str">
        <f>IFERROR(__xludf.DUMMYFUNCTION("""COMPUTED_VALUE"""),"Excellent")</f>
        <v>Excellent</v>
      </c>
      <c r="Z2952" s="182" t="str">
        <f>IFERROR(__xludf.DUMMYFUNCTION("""COMPUTED_VALUE"""),"Excellent")</f>
        <v>Excellent</v>
      </c>
      <c r="AA2952" s="182" t="str">
        <f>IFERROR(__xludf.DUMMYFUNCTION("""COMPUTED_VALUE"""),"Very Good")</f>
        <v>Very Good</v>
      </c>
      <c r="AB2952" s="182" t="str">
        <f>IFERROR(__xludf.DUMMYFUNCTION("""COMPUTED_VALUE"""),"Excellent")</f>
        <v>Excellent</v>
      </c>
      <c r="AC2952" s="183"/>
      <c r="AD2952" s="183"/>
      <c r="AE2952" s="183"/>
      <c r="AF2952" s="184"/>
      <c r="AG2952" s="180"/>
      <c r="AH2952" s="185">
        <f>IFERROR(__xludf.DUMMYFUNCTION("""COMPUTED_VALUE"""),43373.42673928241)</f>
        <v>43373.42674</v>
      </c>
      <c r="AI2952" s="182"/>
      <c r="AJ2952" s="182"/>
      <c r="AK2952" s="182"/>
      <c r="AL2952" s="182"/>
    </row>
    <row r="2953" ht="20.25" customHeight="1">
      <c r="A2953" s="169" t="str">
        <f>IFERROR(__xludf.DUMMYFUNCTION("""COMPUTED_VALUE"""),"Ohm-Ohm")</f>
        <v>Ohm-Ohm</v>
      </c>
      <c r="B2953" s="170" t="str">
        <f>IFERROR(__xludf.DUMMYFUNCTION("""COMPUTED_VALUE"""),"San Diego")</f>
        <v>San Diego</v>
      </c>
      <c r="C2953" s="170" t="str">
        <f>IFERROR(__xludf.DUMMYFUNCTION("""COMPUTED_VALUE"""),"CA")</f>
        <v>CA</v>
      </c>
      <c r="D2953" s="170" t="str">
        <f>IFERROR(__xludf.DUMMYFUNCTION("""COMPUTED_VALUE"""),"USA")</f>
        <v>USA</v>
      </c>
      <c r="E2953" s="171">
        <f>IFERROR(__xludf.DUMMYFUNCTION("""COMPUTED_VALUE"""),43279.0)</f>
        <v>43279</v>
      </c>
      <c r="F2953" s="172"/>
      <c r="G2953" s="173"/>
      <c r="H2953" s="174">
        <f>IFERROR(__xludf.DUMMYFUNCTION("""COMPUTED_VALUE"""),81955.0)</f>
        <v>81955</v>
      </c>
      <c r="I2953" s="175"/>
      <c r="J2953" s="172">
        <f>IFERROR(__xludf.DUMMYFUNCTION("""COMPUTED_VALUE"""),43369.0)</f>
        <v>43369</v>
      </c>
      <c r="K2953" s="176"/>
      <c r="L2953" s="176"/>
      <c r="M2953" s="176">
        <f>IFERROR(__xludf.DUMMYFUNCTION("""COMPUTED_VALUE"""),90.0)</f>
        <v>90</v>
      </c>
      <c r="N2953" s="177" t="str">
        <f>IFERROR(__xludf.DUMMYFUNCTION("""COMPUTED_VALUE"""),"Model 3 LR AWD")</f>
        <v>Model 3 LR AWD</v>
      </c>
      <c r="O2953" s="177" t="str">
        <f>IFERROR(__xludf.DUMMYFUNCTION("""COMPUTED_VALUE"""),"Deep Blue Metallic")</f>
        <v>Deep Blue Metallic</v>
      </c>
      <c r="P2953" s="178" t="str">
        <f>IFERROR(__xludf.DUMMYFUNCTION("""COMPUTED_VALUE"""),"20 inch Sport")</f>
        <v>20 inch Sport</v>
      </c>
      <c r="Q2953" s="177" t="str">
        <f>IFERROR(__xludf.DUMMYFUNCTION("""COMPUTED_VALUE"""),"Black seats")</f>
        <v>Black seats</v>
      </c>
      <c r="R2953" s="170" t="str">
        <f>IFERROR(__xludf.DUMMYFUNCTION("""COMPUTED_VALUE"""),"None")</f>
        <v>None</v>
      </c>
      <c r="S2953" s="170"/>
      <c r="T2953" s="179"/>
      <c r="U2953" s="179"/>
      <c r="V2953" s="179"/>
      <c r="W2953" s="180"/>
      <c r="X2953" s="181" t="str">
        <f>IFERROR(__xludf.DUMMYFUNCTION("""COMPUTED_VALUE"""),"Excellent")</f>
        <v>Excellent</v>
      </c>
      <c r="Y2953" s="182" t="str">
        <f>IFERROR(__xludf.DUMMYFUNCTION("""COMPUTED_VALUE"""),"Excellent")</f>
        <v>Excellent</v>
      </c>
      <c r="Z2953" s="182" t="str">
        <f>IFERROR(__xludf.DUMMYFUNCTION("""COMPUTED_VALUE"""),"Excellent")</f>
        <v>Excellent</v>
      </c>
      <c r="AA2953" s="182" t="str">
        <f>IFERROR(__xludf.DUMMYFUNCTION("""COMPUTED_VALUE"""),"Fair")</f>
        <v>Fair</v>
      </c>
      <c r="AB2953" s="182" t="str">
        <f>IFERROR(__xludf.DUMMYFUNCTION("""COMPUTED_VALUE"""),"Excellent")</f>
        <v>Excellent</v>
      </c>
      <c r="AC2953" s="183"/>
      <c r="AD2953" s="183"/>
      <c r="AE2953" s="183"/>
      <c r="AF2953" s="184"/>
      <c r="AG2953" s="180"/>
      <c r="AH2953" s="185">
        <f>IFERROR(__xludf.DUMMYFUNCTION("""COMPUTED_VALUE"""),43372.25899621528)</f>
        <v>43372.259</v>
      </c>
      <c r="AI2953" s="182"/>
      <c r="AJ2953" s="182"/>
      <c r="AK2953" s="182"/>
      <c r="AL2953" s="182"/>
    </row>
    <row r="2954" ht="20.25" customHeight="1">
      <c r="A2954" s="169" t="str">
        <f>IFERROR(__xludf.DUMMYFUNCTION("""COMPUTED_VALUE"""),"Omniver")</f>
        <v>Omniver</v>
      </c>
      <c r="B2954" s="170" t="str">
        <f>IFERROR(__xludf.DUMMYFUNCTION("""COMPUTED_VALUE"""),"Boston")</f>
        <v>Boston</v>
      </c>
      <c r="C2954" s="170" t="str">
        <f>IFERROR(__xludf.DUMMYFUNCTION("""COMPUTED_VALUE"""),"MA")</f>
        <v>MA</v>
      </c>
      <c r="D2954" s="170" t="str">
        <f>IFERROR(__xludf.DUMMYFUNCTION("""COMPUTED_VALUE"""),"USA")</f>
        <v>USA</v>
      </c>
      <c r="E2954" s="171">
        <f>IFERROR(__xludf.DUMMYFUNCTION("""COMPUTED_VALUE"""),43279.0)</f>
        <v>43279</v>
      </c>
      <c r="F2954" s="172">
        <f>IFERROR(__xludf.DUMMYFUNCTION("""COMPUTED_VALUE"""),43370.0)</f>
        <v>43370</v>
      </c>
      <c r="G2954" s="173"/>
      <c r="H2954" s="174">
        <f>IFERROR(__xludf.DUMMYFUNCTION("""COMPUTED_VALUE"""),86955.0)</f>
        <v>86955</v>
      </c>
      <c r="I2954" s="175"/>
      <c r="J2954" s="172">
        <f>IFERROR(__xludf.DUMMYFUNCTION("""COMPUTED_VALUE"""),43371.0)</f>
        <v>43371</v>
      </c>
      <c r="K2954" s="176">
        <f>IFERROR(__xludf.DUMMYFUNCTION("""COMPUTED_VALUE"""),91.0)</f>
        <v>91</v>
      </c>
      <c r="L2954" s="176">
        <f>IFERROR(__xludf.DUMMYFUNCTION("""COMPUTED_VALUE"""),1.0)</f>
        <v>1</v>
      </c>
      <c r="M2954" s="176">
        <f>IFERROR(__xludf.DUMMYFUNCTION("""COMPUTED_VALUE"""),92.0)</f>
        <v>92</v>
      </c>
      <c r="N2954" s="177" t="str">
        <f>IFERROR(__xludf.DUMMYFUNCTION("""COMPUTED_VALUE"""),"Model 3 LR AWD")</f>
        <v>Model 3 LR AWD</v>
      </c>
      <c r="O2954" s="177" t="str">
        <f>IFERROR(__xludf.DUMMYFUNCTION("""COMPUTED_VALUE"""),"Midnight Silver Metallic")</f>
        <v>Midnight Silver Metallic</v>
      </c>
      <c r="P2954" s="178" t="str">
        <f>IFERROR(__xludf.DUMMYFUNCTION("""COMPUTED_VALUE"""),"19 inch Sport")</f>
        <v>19 inch Sport</v>
      </c>
      <c r="Q2954" s="177" t="str">
        <f>IFERROR(__xludf.DUMMYFUNCTION("""COMPUTED_VALUE"""),"Black seats")</f>
        <v>Black seats</v>
      </c>
      <c r="R2954" s="170" t="str">
        <f>IFERROR(__xludf.DUMMYFUNCTION("""COMPUTED_VALUE"""),"Enhanced Autopilot")</f>
        <v>Enhanced Autopilot</v>
      </c>
      <c r="S2954" s="170"/>
      <c r="T2954" s="179"/>
      <c r="U2954" s="179"/>
      <c r="V2954" s="179"/>
      <c r="W2954" s="180"/>
      <c r="X2954" s="181" t="str">
        <f>IFERROR(__xludf.DUMMYFUNCTION("""COMPUTED_VALUE"""),"Excellent")</f>
        <v>Excellent</v>
      </c>
      <c r="Y2954" s="182" t="str">
        <f>IFERROR(__xludf.DUMMYFUNCTION("""COMPUTED_VALUE"""),"Excellent")</f>
        <v>Excellent</v>
      </c>
      <c r="Z2954" s="182" t="str">
        <f>IFERROR(__xludf.DUMMYFUNCTION("""COMPUTED_VALUE"""),"Good")</f>
        <v>Good</v>
      </c>
      <c r="AA2954" s="182" t="str">
        <f>IFERROR(__xludf.DUMMYFUNCTION("""COMPUTED_VALUE"""),"Poor")</f>
        <v>Poor</v>
      </c>
      <c r="AB2954" s="182" t="str">
        <f>IFERROR(__xludf.DUMMYFUNCTION("""COMPUTED_VALUE"""),"Good")</f>
        <v>Good</v>
      </c>
      <c r="AC2954" s="183">
        <f>IFERROR(__xludf.DUMMYFUNCTION("""COMPUTED_VALUE"""),2.0)</f>
        <v>2</v>
      </c>
      <c r="AD2954" s="183"/>
      <c r="AE2954" s="183"/>
      <c r="AF2954" s="184"/>
      <c r="AG2954" s="180"/>
      <c r="AH2954" s="185">
        <f>IFERROR(__xludf.DUMMYFUNCTION("""COMPUTED_VALUE"""),43373.37332251157)</f>
        <v>43373.37332</v>
      </c>
      <c r="AI2954" s="182"/>
      <c r="AJ2954" s="182"/>
      <c r="AK2954" s="182"/>
      <c r="AL2954" s="182"/>
    </row>
    <row r="2955" ht="20.25" customHeight="1">
      <c r="A2955" s="169" t="str">
        <f>IFERROR(__xludf.DUMMYFUNCTION("""COMPUTED_VALUE"""),"opticalinch")</f>
        <v>opticalinch</v>
      </c>
      <c r="B2955" s="170" t="str">
        <f>IFERROR(__xludf.DUMMYFUNCTION("""COMPUTED_VALUE"""),"Austin")</f>
        <v>Austin</v>
      </c>
      <c r="C2955" s="170" t="str">
        <f>IFERROR(__xludf.DUMMYFUNCTION("""COMPUTED_VALUE"""),"TX")</f>
        <v>TX</v>
      </c>
      <c r="D2955" s="170" t="str">
        <f>IFERROR(__xludf.DUMMYFUNCTION("""COMPUTED_VALUE"""),"USA")</f>
        <v>USA</v>
      </c>
      <c r="E2955" s="171">
        <f>IFERROR(__xludf.DUMMYFUNCTION("""COMPUTED_VALUE"""),43279.0)</f>
        <v>43279</v>
      </c>
      <c r="F2955" s="172">
        <f>IFERROR(__xludf.DUMMYFUNCTION("""COMPUTED_VALUE"""),43341.0)</f>
        <v>43341</v>
      </c>
      <c r="G2955" s="173"/>
      <c r="H2955" s="174">
        <f>IFERROR(__xludf.DUMMYFUNCTION("""COMPUTED_VALUE"""),96555.0)</f>
        <v>96555</v>
      </c>
      <c r="I2955" s="175" t="str">
        <f>IFERROR(__xludf.DUMMYFUNCTION("""COMPUTED_VALUE"""),"08/18")</f>
        <v>08/18</v>
      </c>
      <c r="J2955" s="172">
        <f>IFERROR(__xludf.DUMMYFUNCTION("""COMPUTED_VALUE"""),43358.0)</f>
        <v>43358</v>
      </c>
      <c r="K2955" s="176">
        <f>IFERROR(__xludf.DUMMYFUNCTION("""COMPUTED_VALUE"""),62.0)</f>
        <v>62</v>
      </c>
      <c r="L2955" s="176">
        <f>IFERROR(__xludf.DUMMYFUNCTION("""COMPUTED_VALUE"""),17.0)</f>
        <v>17</v>
      </c>
      <c r="M2955" s="176">
        <f>IFERROR(__xludf.DUMMYFUNCTION("""COMPUTED_VALUE"""),79.0)</f>
        <v>79</v>
      </c>
      <c r="N2955" s="177" t="str">
        <f>IFERROR(__xludf.DUMMYFUNCTION("""COMPUTED_VALUE"""),"Model 3 LR AWD")</f>
        <v>Model 3 LR AWD</v>
      </c>
      <c r="O2955" s="177" t="str">
        <f>IFERROR(__xludf.DUMMYFUNCTION("""COMPUTED_VALUE"""),"Deep Blue Metallic")</f>
        <v>Deep Blue Metallic</v>
      </c>
      <c r="P2955" s="178" t="str">
        <f>IFERROR(__xludf.DUMMYFUNCTION("""COMPUTED_VALUE"""),"18 inch Aero")</f>
        <v>18 inch Aero</v>
      </c>
      <c r="Q2955" s="177" t="str">
        <f>IFERROR(__xludf.DUMMYFUNCTION("""COMPUTED_VALUE"""),"White seats")</f>
        <v>White seats</v>
      </c>
      <c r="R2955" s="170" t="str">
        <f>IFERROR(__xludf.DUMMYFUNCTION("""COMPUTED_VALUE"""),"Enhanced Autopilot")</f>
        <v>Enhanced Autopilot</v>
      </c>
      <c r="S2955" s="170"/>
      <c r="T2955" s="179"/>
      <c r="U2955" s="179"/>
      <c r="V2955" s="179"/>
      <c r="W2955" s="180"/>
      <c r="X2955" s="181" t="str">
        <f>IFERROR(__xludf.DUMMYFUNCTION("""COMPUTED_VALUE"""),"Very Good")</f>
        <v>Very Good</v>
      </c>
      <c r="Y2955" s="182" t="str">
        <f>IFERROR(__xludf.DUMMYFUNCTION("""COMPUTED_VALUE"""),"Good")</f>
        <v>Good</v>
      </c>
      <c r="Z2955" s="182" t="str">
        <f>IFERROR(__xludf.DUMMYFUNCTION("""COMPUTED_VALUE"""),"Very Good")</f>
        <v>Very Good</v>
      </c>
      <c r="AA2955" s="182" t="str">
        <f>IFERROR(__xludf.DUMMYFUNCTION("""COMPUTED_VALUE"""),"Good")</f>
        <v>Good</v>
      </c>
      <c r="AB2955" s="182" t="str">
        <f>IFERROR(__xludf.DUMMYFUNCTION("""COMPUTED_VALUE"""),"Good")</f>
        <v>Good</v>
      </c>
      <c r="AC2955" s="183">
        <f>IFERROR(__xludf.DUMMYFUNCTION("""COMPUTED_VALUE"""),9.0)</f>
        <v>9</v>
      </c>
      <c r="AD2955" s="183"/>
      <c r="AE2955" s="183"/>
      <c r="AF2955" s="184"/>
      <c r="AG2955" s="180"/>
      <c r="AH2955" s="185">
        <f>IFERROR(__xludf.DUMMYFUNCTION("""COMPUTED_VALUE"""),43362.711762789346)</f>
        <v>43362.71176</v>
      </c>
      <c r="AI2955" s="182"/>
      <c r="AJ2955" s="182"/>
      <c r="AK2955" s="182"/>
      <c r="AL2955" s="182"/>
    </row>
    <row r="2956" ht="20.25" customHeight="1">
      <c r="A2956" s="169" t="str">
        <f>IFERROR(__xludf.DUMMYFUNCTION("""COMPUTED_VALUE"""),"Otter7216")</f>
        <v>Otter7216</v>
      </c>
      <c r="B2956" s="170" t="str">
        <f>IFERROR(__xludf.DUMMYFUNCTION("""COMPUTED_VALUE"""),"Phoenix")</f>
        <v>Phoenix</v>
      </c>
      <c r="C2956" s="170" t="str">
        <f>IFERROR(__xludf.DUMMYFUNCTION("""COMPUTED_VALUE"""),"AZ")</f>
        <v>AZ</v>
      </c>
      <c r="D2956" s="170" t="str">
        <f>IFERROR(__xludf.DUMMYFUNCTION("""COMPUTED_VALUE"""),"USA")</f>
        <v>USA</v>
      </c>
      <c r="E2956" s="171">
        <f>IFERROR(__xludf.DUMMYFUNCTION("""COMPUTED_VALUE"""),43279.0)</f>
        <v>43279</v>
      </c>
      <c r="F2956" s="172">
        <f>IFERROR(__xludf.DUMMYFUNCTION("""COMPUTED_VALUE"""),43332.0)</f>
        <v>43332</v>
      </c>
      <c r="G2956" s="173"/>
      <c r="H2956" s="174">
        <f>IFERROR(__xludf.DUMMYFUNCTION("""COMPUTED_VALUE"""),69055.0)</f>
        <v>69055</v>
      </c>
      <c r="I2956" s="175" t="str">
        <f>IFERROR(__xludf.DUMMYFUNCTION("""COMPUTED_VALUE"""),"08/18")</f>
        <v>08/18</v>
      </c>
      <c r="J2956" s="172">
        <f>IFERROR(__xludf.DUMMYFUNCTION("""COMPUTED_VALUE"""),43339.0)</f>
        <v>43339</v>
      </c>
      <c r="K2956" s="176">
        <f>IFERROR(__xludf.DUMMYFUNCTION("""COMPUTED_VALUE"""),53.0)</f>
        <v>53</v>
      </c>
      <c r="L2956" s="176">
        <f>IFERROR(__xludf.DUMMYFUNCTION("""COMPUTED_VALUE"""),7.0)</f>
        <v>7</v>
      </c>
      <c r="M2956" s="176">
        <f>IFERROR(__xludf.DUMMYFUNCTION("""COMPUTED_VALUE"""),60.0)</f>
        <v>60</v>
      </c>
      <c r="N2956" s="177" t="str">
        <f>IFERROR(__xludf.DUMMYFUNCTION("""COMPUTED_VALUE"""),"Model 3 LR AWD")</f>
        <v>Model 3 LR AWD</v>
      </c>
      <c r="O2956" s="177" t="str">
        <f>IFERROR(__xludf.DUMMYFUNCTION("""COMPUTED_VALUE"""),"Midnight Silver Metallic")</f>
        <v>Midnight Silver Metallic</v>
      </c>
      <c r="P2956" s="178" t="str">
        <f>IFERROR(__xludf.DUMMYFUNCTION("""COMPUTED_VALUE"""),"19 inch Sport")</f>
        <v>19 inch Sport</v>
      </c>
      <c r="Q2956" s="177" t="str">
        <f>IFERROR(__xludf.DUMMYFUNCTION("""COMPUTED_VALUE"""),"Black seats")</f>
        <v>Black seats</v>
      </c>
      <c r="R2956" s="170" t="str">
        <f>IFERROR(__xludf.DUMMYFUNCTION("""COMPUTED_VALUE"""),"Enhanced Autopilot")</f>
        <v>Enhanced Autopilot</v>
      </c>
      <c r="S2956" s="170"/>
      <c r="T2956" s="179"/>
      <c r="U2956" s="179"/>
      <c r="V2956" s="179"/>
      <c r="W2956" s="180"/>
      <c r="X2956" s="181" t="str">
        <f>IFERROR(__xludf.DUMMYFUNCTION("""COMPUTED_VALUE"""),"Excellent")</f>
        <v>Excellent</v>
      </c>
      <c r="Y2956" s="182" t="str">
        <f>IFERROR(__xludf.DUMMYFUNCTION("""COMPUTED_VALUE"""),"Excellent")</f>
        <v>Excellent</v>
      </c>
      <c r="Z2956" s="182" t="str">
        <f>IFERROR(__xludf.DUMMYFUNCTION("""COMPUTED_VALUE"""),"Excellent")</f>
        <v>Excellent</v>
      </c>
      <c r="AA2956" s="182" t="str">
        <f>IFERROR(__xludf.DUMMYFUNCTION("""COMPUTED_VALUE"""),"Very Good")</f>
        <v>Very Good</v>
      </c>
      <c r="AB2956" s="182" t="str">
        <f>IFERROR(__xludf.DUMMYFUNCTION("""COMPUTED_VALUE"""),"Excellent")</f>
        <v>Excellent</v>
      </c>
      <c r="AC2956" s="183">
        <f>IFERROR(__xludf.DUMMYFUNCTION("""COMPUTED_VALUE"""),0.0)</f>
        <v>0</v>
      </c>
      <c r="AD2956" s="183">
        <f>IFERROR(__xludf.DUMMYFUNCTION("""COMPUTED_VALUE"""),0.0)</f>
        <v>0</v>
      </c>
      <c r="AE2956" s="183">
        <f>IFERROR(__xludf.DUMMYFUNCTION("""COMPUTED_VALUE"""),0.0)</f>
        <v>0</v>
      </c>
      <c r="AF2956" s="184"/>
      <c r="AG2956" s="180"/>
      <c r="AH2956" s="185">
        <f>IFERROR(__xludf.DUMMYFUNCTION("""COMPUTED_VALUE"""),43526.87835799768)</f>
        <v>43526.87836</v>
      </c>
      <c r="AI2956" s="182"/>
      <c r="AJ2956" s="182"/>
      <c r="AK2956" s="182"/>
      <c r="AL2956" s="182"/>
    </row>
    <row r="2957" ht="20.25" customHeight="1">
      <c r="A2957" s="169" t="str">
        <f>IFERROR(__xludf.DUMMYFUNCTION("""COMPUTED_VALUE"""),"Patrick")</f>
        <v>Patrick</v>
      </c>
      <c r="B2957" s="170" t="str">
        <f>IFERROR(__xludf.DUMMYFUNCTION("""COMPUTED_VALUE"""),"Tampa Bay, FL")</f>
        <v>Tampa Bay, FL</v>
      </c>
      <c r="C2957" s="170" t="str">
        <f>IFERROR(__xludf.DUMMYFUNCTION("""COMPUTED_VALUE"""),"FL")</f>
        <v>FL</v>
      </c>
      <c r="D2957" s="170" t="str">
        <f>IFERROR(__xludf.DUMMYFUNCTION("""COMPUTED_VALUE"""),"USA")</f>
        <v>USA</v>
      </c>
      <c r="E2957" s="171">
        <f>IFERROR(__xludf.DUMMYFUNCTION("""COMPUTED_VALUE"""),43279.0)</f>
        <v>43279</v>
      </c>
      <c r="F2957" s="172">
        <f>IFERROR(__xludf.DUMMYFUNCTION("""COMPUTED_VALUE"""),43374.0)</f>
        <v>43374</v>
      </c>
      <c r="G2957" s="173"/>
      <c r="H2957" s="174">
        <f>IFERROR(__xludf.DUMMYFUNCTION("""COMPUTED_VALUE"""),121543.0)</f>
        <v>121543</v>
      </c>
      <c r="I2957" s="175" t="str">
        <f>IFERROR(__xludf.DUMMYFUNCTION("""COMPUTED_VALUE"""),"10/18")</f>
        <v>10/18</v>
      </c>
      <c r="J2957" s="172">
        <f>IFERROR(__xludf.DUMMYFUNCTION("""COMPUTED_VALUE"""),43405.0)</f>
        <v>43405</v>
      </c>
      <c r="K2957" s="176">
        <f>IFERROR(__xludf.DUMMYFUNCTION("""COMPUTED_VALUE"""),95.0)</f>
        <v>95</v>
      </c>
      <c r="L2957" s="176">
        <f>IFERROR(__xludf.DUMMYFUNCTION("""COMPUTED_VALUE"""),31.0)</f>
        <v>31</v>
      </c>
      <c r="M2957" s="176">
        <f>IFERROR(__xludf.DUMMYFUNCTION("""COMPUTED_VALUE"""),126.0)</f>
        <v>126</v>
      </c>
      <c r="N2957" s="177" t="str">
        <f>IFERROR(__xludf.DUMMYFUNCTION("""COMPUTED_VALUE"""),"Model 3 LR AWD")</f>
        <v>Model 3 LR AWD</v>
      </c>
      <c r="O2957" s="177" t="str">
        <f>IFERROR(__xludf.DUMMYFUNCTION("""COMPUTED_VALUE"""),"Red Multi-Coat")</f>
        <v>Red Multi-Coat</v>
      </c>
      <c r="P2957" s="178" t="str">
        <f>IFERROR(__xludf.DUMMYFUNCTION("""COMPUTED_VALUE"""),"19 inch Sport")</f>
        <v>19 inch Sport</v>
      </c>
      <c r="Q2957" s="177" t="str">
        <f>IFERROR(__xludf.DUMMYFUNCTION("""COMPUTED_VALUE"""),"Black seats")</f>
        <v>Black seats</v>
      </c>
      <c r="R2957" s="170" t="str">
        <f>IFERROR(__xludf.DUMMYFUNCTION("""COMPUTED_VALUE"""),"Full Self-Driving")</f>
        <v>Full Self-Driving</v>
      </c>
      <c r="S2957" s="170"/>
      <c r="T2957" s="179"/>
      <c r="U2957" s="179"/>
      <c r="V2957" s="179"/>
      <c r="W2957" s="180"/>
      <c r="X2957" s="181" t="str">
        <f>IFERROR(__xludf.DUMMYFUNCTION("""COMPUTED_VALUE"""),"Excellent")</f>
        <v>Excellent</v>
      </c>
      <c r="Y2957" s="182" t="str">
        <f>IFERROR(__xludf.DUMMYFUNCTION("""COMPUTED_VALUE"""),"Excellent")</f>
        <v>Excellent</v>
      </c>
      <c r="Z2957" s="182" t="str">
        <f>IFERROR(__xludf.DUMMYFUNCTION("""COMPUTED_VALUE"""),"Excellent")</f>
        <v>Excellent</v>
      </c>
      <c r="AA2957" s="182" t="str">
        <f>IFERROR(__xludf.DUMMYFUNCTION("""COMPUTED_VALUE"""),"Excellent")</f>
        <v>Excellent</v>
      </c>
      <c r="AB2957" s="182" t="str">
        <f>IFERROR(__xludf.DUMMYFUNCTION("""COMPUTED_VALUE"""),"Excellent")</f>
        <v>Excellent</v>
      </c>
      <c r="AC2957" s="183"/>
      <c r="AD2957" s="183"/>
      <c r="AE2957" s="183"/>
      <c r="AF2957" s="184"/>
      <c r="AG2957" s="180"/>
      <c r="AH2957" s="185">
        <f>IFERROR(__xludf.DUMMYFUNCTION("""COMPUTED_VALUE"""),43406.30789351852)</f>
        <v>43406.30789</v>
      </c>
      <c r="AI2957" s="182"/>
      <c r="AJ2957" s="182"/>
      <c r="AK2957" s="182"/>
      <c r="AL2957" s="182"/>
    </row>
    <row r="2958" ht="20.25" customHeight="1">
      <c r="A2958" s="169" t="str">
        <f>IFERROR(__xludf.DUMMYFUNCTION("""COMPUTED_VALUE"""),"pattymac")</f>
        <v>pattymac</v>
      </c>
      <c r="B2958" s="170" t="str">
        <f>IFERROR(__xludf.DUMMYFUNCTION("""COMPUTED_VALUE"""),"Atlanta")</f>
        <v>Atlanta</v>
      </c>
      <c r="C2958" s="170" t="str">
        <f>IFERROR(__xludf.DUMMYFUNCTION("""COMPUTED_VALUE"""),"GA")</f>
        <v>GA</v>
      </c>
      <c r="D2958" s="170" t="str">
        <f>IFERROR(__xludf.DUMMYFUNCTION("""COMPUTED_VALUE"""),"USA")</f>
        <v>USA</v>
      </c>
      <c r="E2958" s="171">
        <f>IFERROR(__xludf.DUMMYFUNCTION("""COMPUTED_VALUE"""),43279.0)</f>
        <v>43279</v>
      </c>
      <c r="F2958" s="172">
        <f>IFERROR(__xludf.DUMMYFUNCTION("""COMPUTED_VALUE"""),43391.0)</f>
        <v>43391</v>
      </c>
      <c r="G2958" s="173"/>
      <c r="H2958" s="174">
        <f>IFERROR(__xludf.DUMMYFUNCTION("""COMPUTED_VALUE"""),117855.0)</f>
        <v>117855</v>
      </c>
      <c r="I2958" s="175"/>
      <c r="J2958" s="172">
        <f>IFERROR(__xludf.DUMMYFUNCTION("""COMPUTED_VALUE"""),43397.0)</f>
        <v>43397</v>
      </c>
      <c r="K2958" s="176">
        <f>IFERROR(__xludf.DUMMYFUNCTION("""COMPUTED_VALUE"""),112.0)</f>
        <v>112</v>
      </c>
      <c r="L2958" s="176">
        <f>IFERROR(__xludf.DUMMYFUNCTION("""COMPUTED_VALUE"""),6.0)</f>
        <v>6</v>
      </c>
      <c r="M2958" s="176">
        <f>IFERROR(__xludf.DUMMYFUNCTION("""COMPUTED_VALUE"""),118.0)</f>
        <v>118</v>
      </c>
      <c r="N2958" s="177" t="str">
        <f>IFERROR(__xludf.DUMMYFUNCTION("""COMPUTED_VALUE"""),"Model 3 LR AWD")</f>
        <v>Model 3 LR AWD</v>
      </c>
      <c r="O2958" s="177" t="str">
        <f>IFERROR(__xludf.DUMMYFUNCTION("""COMPUTED_VALUE"""),"Pearl White Multi-Coat")</f>
        <v>Pearl White Multi-Coat</v>
      </c>
      <c r="P2958" s="178" t="str">
        <f>IFERROR(__xludf.DUMMYFUNCTION("""COMPUTED_VALUE"""),"19 inch Sport")</f>
        <v>19 inch Sport</v>
      </c>
      <c r="Q2958" s="177" t="str">
        <f>IFERROR(__xludf.DUMMYFUNCTION("""COMPUTED_VALUE"""),"Black seats")</f>
        <v>Black seats</v>
      </c>
      <c r="R2958" s="170" t="str">
        <f>IFERROR(__xludf.DUMMYFUNCTION("""COMPUTED_VALUE"""),"Enhanced Autopilot")</f>
        <v>Enhanced Autopilot</v>
      </c>
      <c r="S2958" s="170"/>
      <c r="T2958" s="179"/>
      <c r="U2958" s="179"/>
      <c r="V2958" s="179"/>
      <c r="W2958" s="180"/>
      <c r="X2958" s="181" t="str">
        <f>IFERROR(__xludf.DUMMYFUNCTION("""COMPUTED_VALUE"""),"Very Good")</f>
        <v>Very Good</v>
      </c>
      <c r="Y2958" s="182" t="str">
        <f>IFERROR(__xludf.DUMMYFUNCTION("""COMPUTED_VALUE"""),"Excellent")</f>
        <v>Excellent</v>
      </c>
      <c r="Z2958" s="182" t="str">
        <f>IFERROR(__xludf.DUMMYFUNCTION("""COMPUTED_VALUE"""),"Very Good")</f>
        <v>Very Good</v>
      </c>
      <c r="AA2958" s="182" t="str">
        <f>IFERROR(__xludf.DUMMYFUNCTION("""COMPUTED_VALUE"""),"Good")</f>
        <v>Good</v>
      </c>
      <c r="AB2958" s="182" t="str">
        <f>IFERROR(__xludf.DUMMYFUNCTION("""COMPUTED_VALUE"""),"Good")</f>
        <v>Good</v>
      </c>
      <c r="AC2958" s="183"/>
      <c r="AD2958" s="183"/>
      <c r="AE2958" s="183"/>
      <c r="AF2958" s="184"/>
      <c r="AG2958" s="180" t="str">
        <f>IFERROR(__xludf.DUMMYFUNCTION("""COMPUTED_VALUE"""),"Delivered with v8.1 rather than the latest version. Delivery person tried to convince me it was really v9.")</f>
        <v>Delivered with v8.1 rather than the latest version. Delivery person tried to convince me it was really v9.</v>
      </c>
      <c r="AH2958" s="185">
        <f>IFERROR(__xludf.DUMMYFUNCTION("""COMPUTED_VALUE"""),43397.654010983795)</f>
        <v>43397.65401</v>
      </c>
      <c r="AI2958" s="182"/>
      <c r="AJ2958" s="182"/>
      <c r="AK2958" s="182"/>
      <c r="AL2958" s="182"/>
    </row>
    <row r="2959" ht="20.25" customHeight="1">
      <c r="A2959" s="169" t="str">
        <f>IFERROR(__xludf.DUMMYFUNCTION("""COMPUTED_VALUE"""),"phyzygy")</f>
        <v>phyzygy</v>
      </c>
      <c r="B2959" s="170" t="str">
        <f>IFERROR(__xludf.DUMMYFUNCTION("""COMPUTED_VALUE"""),"Poconos")</f>
        <v>Poconos</v>
      </c>
      <c r="C2959" s="170" t="str">
        <f>IFERROR(__xludf.DUMMYFUNCTION("""COMPUTED_VALUE"""),"PA")</f>
        <v>PA</v>
      </c>
      <c r="D2959" s="170" t="str">
        <f>IFERROR(__xludf.DUMMYFUNCTION("""COMPUTED_VALUE"""),"USA")</f>
        <v>USA</v>
      </c>
      <c r="E2959" s="171">
        <f>IFERROR(__xludf.DUMMYFUNCTION("""COMPUTED_VALUE"""),43279.0)</f>
        <v>43279</v>
      </c>
      <c r="F2959" s="172">
        <f>IFERROR(__xludf.DUMMYFUNCTION("""COMPUTED_VALUE"""),43353.0)</f>
        <v>43353</v>
      </c>
      <c r="G2959" s="173"/>
      <c r="H2959" s="174">
        <f>IFERROR(__xludf.DUMMYFUNCTION("""COMPUTED_VALUE"""),64555.0)</f>
        <v>64555</v>
      </c>
      <c r="I2959" s="175" t="str">
        <f>IFERROR(__xludf.DUMMYFUNCTION("""COMPUTED_VALUE"""),"08/18")</f>
        <v>08/18</v>
      </c>
      <c r="J2959" s="172">
        <f>IFERROR(__xludf.DUMMYFUNCTION("""COMPUTED_VALUE"""),43365.0)</f>
        <v>43365</v>
      </c>
      <c r="K2959" s="176">
        <f>IFERROR(__xludf.DUMMYFUNCTION("""COMPUTED_VALUE"""),74.0)</f>
        <v>74</v>
      </c>
      <c r="L2959" s="176">
        <f>IFERROR(__xludf.DUMMYFUNCTION("""COMPUTED_VALUE"""),12.0)</f>
        <v>12</v>
      </c>
      <c r="M2959" s="176">
        <f>IFERROR(__xludf.DUMMYFUNCTION("""COMPUTED_VALUE"""),86.0)</f>
        <v>86</v>
      </c>
      <c r="N2959" s="177" t="str">
        <f>IFERROR(__xludf.DUMMYFUNCTION("""COMPUTED_VALUE"""),"Model 3 LR AWD")</f>
        <v>Model 3 LR AWD</v>
      </c>
      <c r="O2959" s="177" t="str">
        <f>IFERROR(__xludf.DUMMYFUNCTION("""COMPUTED_VALUE"""),"Silver Metallic")</f>
        <v>Silver Metallic</v>
      </c>
      <c r="P2959" s="178" t="str">
        <f>IFERROR(__xludf.DUMMYFUNCTION("""COMPUTED_VALUE"""),"18 inch Aero")</f>
        <v>18 inch Aero</v>
      </c>
      <c r="Q2959" s="177" t="str">
        <f>IFERROR(__xludf.DUMMYFUNCTION("""COMPUTED_VALUE"""),"Black seats")</f>
        <v>Black seats</v>
      </c>
      <c r="R2959" s="170" t="str">
        <f>IFERROR(__xludf.DUMMYFUNCTION("""COMPUTED_VALUE"""),"Full Self-Driving")</f>
        <v>Full Self-Driving</v>
      </c>
      <c r="S2959" s="170"/>
      <c r="T2959" s="179"/>
      <c r="U2959" s="179"/>
      <c r="V2959" s="179"/>
      <c r="W2959" s="180"/>
      <c r="X2959" s="181" t="str">
        <f>IFERROR(__xludf.DUMMYFUNCTION("""COMPUTED_VALUE"""),"Excellent")</f>
        <v>Excellent</v>
      </c>
      <c r="Y2959" s="182" t="str">
        <f>IFERROR(__xludf.DUMMYFUNCTION("""COMPUTED_VALUE"""),"Excellent")</f>
        <v>Excellent</v>
      </c>
      <c r="Z2959" s="182" t="str">
        <f>IFERROR(__xludf.DUMMYFUNCTION("""COMPUTED_VALUE"""),"Excellent")</f>
        <v>Excellent</v>
      </c>
      <c r="AA2959" s="182" t="str">
        <f>IFERROR(__xludf.DUMMYFUNCTION("""COMPUTED_VALUE"""),"Fair")</f>
        <v>Fair</v>
      </c>
      <c r="AB2959" s="182" t="str">
        <f>IFERROR(__xludf.DUMMYFUNCTION("""COMPUTED_VALUE"""),"Very Good")</f>
        <v>Very Good</v>
      </c>
      <c r="AC2959" s="183"/>
      <c r="AD2959" s="183"/>
      <c r="AE2959" s="183"/>
      <c r="AF2959" s="184"/>
      <c r="AG2959" s="180"/>
      <c r="AH2959" s="185">
        <f>IFERROR(__xludf.DUMMYFUNCTION("""COMPUTED_VALUE"""),43368.426500393514)</f>
        <v>43368.4265</v>
      </c>
      <c r="AI2959" s="182"/>
      <c r="AJ2959" s="182"/>
      <c r="AK2959" s="182"/>
      <c r="AL2959" s="182"/>
    </row>
    <row r="2960" ht="20.25" customHeight="1">
      <c r="A2960" s="169" t="str">
        <f>IFERROR(__xludf.DUMMYFUNCTION("""COMPUTED_VALUE"""),"Polen")</f>
        <v>Polen</v>
      </c>
      <c r="B2960" s="170" t="str">
        <f>IFERROR(__xludf.DUMMYFUNCTION("""COMPUTED_VALUE"""),"Houston")</f>
        <v>Houston</v>
      </c>
      <c r="C2960" s="170" t="str">
        <f>IFERROR(__xludf.DUMMYFUNCTION("""COMPUTED_VALUE"""),"TX")</f>
        <v>TX</v>
      </c>
      <c r="D2960" s="170" t="str">
        <f>IFERROR(__xludf.DUMMYFUNCTION("""COMPUTED_VALUE"""),"USA")</f>
        <v>USA</v>
      </c>
      <c r="E2960" s="171">
        <f>IFERROR(__xludf.DUMMYFUNCTION("""COMPUTED_VALUE"""),43279.0)</f>
        <v>43279</v>
      </c>
      <c r="F2960" s="172">
        <f>IFERROR(__xludf.DUMMYFUNCTION("""COMPUTED_VALUE"""),43376.0)</f>
        <v>43376</v>
      </c>
      <c r="G2960" s="173"/>
      <c r="H2960" s="174">
        <f>IFERROR(__xludf.DUMMYFUNCTION("""COMPUTED_VALUE"""),91755.0)</f>
        <v>91755</v>
      </c>
      <c r="I2960" s="175"/>
      <c r="J2960" s="172">
        <f>IFERROR(__xludf.DUMMYFUNCTION("""COMPUTED_VALUE"""),43390.0)</f>
        <v>43390</v>
      </c>
      <c r="K2960" s="176">
        <f>IFERROR(__xludf.DUMMYFUNCTION("""COMPUTED_VALUE"""),97.0)</f>
        <v>97</v>
      </c>
      <c r="L2960" s="176">
        <f>IFERROR(__xludf.DUMMYFUNCTION("""COMPUTED_VALUE"""),14.0)</f>
        <v>14</v>
      </c>
      <c r="M2960" s="176">
        <f>IFERROR(__xludf.DUMMYFUNCTION("""COMPUTED_VALUE"""),111.0)</f>
        <v>111</v>
      </c>
      <c r="N2960" s="177" t="str">
        <f>IFERROR(__xludf.DUMMYFUNCTION("""COMPUTED_VALUE"""),"Model 3 LR AWD")</f>
        <v>Model 3 LR AWD</v>
      </c>
      <c r="O2960" s="177" t="str">
        <f>IFERROR(__xludf.DUMMYFUNCTION("""COMPUTED_VALUE"""),"Red Multi-Coat")</f>
        <v>Red Multi-Coat</v>
      </c>
      <c r="P2960" s="178" t="str">
        <f>IFERROR(__xludf.DUMMYFUNCTION("""COMPUTED_VALUE"""),"19 inch Sport")</f>
        <v>19 inch Sport</v>
      </c>
      <c r="Q2960" s="177" t="str">
        <f>IFERROR(__xludf.DUMMYFUNCTION("""COMPUTED_VALUE"""),"Black seats")</f>
        <v>Black seats</v>
      </c>
      <c r="R2960" s="170" t="str">
        <f>IFERROR(__xludf.DUMMYFUNCTION("""COMPUTED_VALUE"""),"None")</f>
        <v>None</v>
      </c>
      <c r="S2960" s="170"/>
      <c r="T2960" s="179"/>
      <c r="U2960" s="179"/>
      <c r="V2960" s="179"/>
      <c r="W2960" s="180"/>
      <c r="X2960" s="181" t="str">
        <f>IFERROR(__xludf.DUMMYFUNCTION("""COMPUTED_VALUE"""),"Very Good")</f>
        <v>Very Good</v>
      </c>
      <c r="Y2960" s="182" t="str">
        <f>IFERROR(__xludf.DUMMYFUNCTION("""COMPUTED_VALUE"""),"Very Good")</f>
        <v>Very Good</v>
      </c>
      <c r="Z2960" s="182" t="str">
        <f>IFERROR(__xludf.DUMMYFUNCTION("""COMPUTED_VALUE"""),"Excellent")</f>
        <v>Excellent</v>
      </c>
      <c r="AA2960" s="182" t="str">
        <f>IFERROR(__xludf.DUMMYFUNCTION("""COMPUTED_VALUE"""),"Excellent")</f>
        <v>Excellent</v>
      </c>
      <c r="AB2960" s="182" t="str">
        <f>IFERROR(__xludf.DUMMYFUNCTION("""COMPUTED_VALUE"""),"Excellent")</f>
        <v>Excellent</v>
      </c>
      <c r="AC2960" s="183"/>
      <c r="AD2960" s="183"/>
      <c r="AE2960" s="183"/>
      <c r="AF2960" s="184"/>
      <c r="AG2960" s="180"/>
      <c r="AH2960" s="185">
        <f>IFERROR(__xludf.DUMMYFUNCTION("""COMPUTED_VALUE"""),43391.41952402778)</f>
        <v>43391.41952</v>
      </c>
      <c r="AI2960" s="182"/>
      <c r="AJ2960" s="182"/>
      <c r="AK2960" s="182"/>
      <c r="AL2960" s="182"/>
    </row>
    <row r="2961" ht="20.25" customHeight="1">
      <c r="A2961" s="169" t="str">
        <f>IFERROR(__xludf.DUMMYFUNCTION("""COMPUTED_VALUE"""),"pubcheese")</f>
        <v>pubcheese</v>
      </c>
      <c r="B2961" s="170" t="str">
        <f>IFERROR(__xludf.DUMMYFUNCTION("""COMPUTED_VALUE"""),"Austin")</f>
        <v>Austin</v>
      </c>
      <c r="C2961" s="170" t="str">
        <f>IFERROR(__xludf.DUMMYFUNCTION("""COMPUTED_VALUE"""),"TX")</f>
        <v>TX</v>
      </c>
      <c r="D2961" s="170" t="str">
        <f>IFERROR(__xludf.DUMMYFUNCTION("""COMPUTED_VALUE"""),"USA")</f>
        <v>USA</v>
      </c>
      <c r="E2961" s="171">
        <f>IFERROR(__xludf.DUMMYFUNCTION("""COMPUTED_VALUE"""),43279.0)</f>
        <v>43279</v>
      </c>
      <c r="F2961" s="172">
        <f>IFERROR(__xludf.DUMMYFUNCTION("""COMPUTED_VALUE"""),43252.0)</f>
        <v>43252</v>
      </c>
      <c r="G2961" s="173"/>
      <c r="H2961" s="174">
        <f>IFERROR(__xludf.DUMMYFUNCTION("""COMPUTED_VALUE"""),28255.0)</f>
        <v>28255</v>
      </c>
      <c r="I2961" s="175" t="str">
        <f>IFERROR(__xludf.DUMMYFUNCTION("""COMPUTED_VALUE"""),"06/18")</f>
        <v>06/18</v>
      </c>
      <c r="J2961" s="172">
        <f>IFERROR(__xludf.DUMMYFUNCTION("""COMPUTED_VALUE"""),43348.0)</f>
        <v>43348</v>
      </c>
      <c r="K2961" s="176"/>
      <c r="L2961" s="176">
        <f>IFERROR(__xludf.DUMMYFUNCTION("""COMPUTED_VALUE"""),96.0)</f>
        <v>96</v>
      </c>
      <c r="M2961" s="176">
        <f>IFERROR(__xludf.DUMMYFUNCTION("""COMPUTED_VALUE"""),69.0)</f>
        <v>69</v>
      </c>
      <c r="N2961" s="177" t="str">
        <f>IFERROR(__xludf.DUMMYFUNCTION("""COMPUTED_VALUE"""),"Model 3 LR")</f>
        <v>Model 3 LR</v>
      </c>
      <c r="O2961" s="177" t="str">
        <f>IFERROR(__xludf.DUMMYFUNCTION("""COMPUTED_VALUE"""),"Midnight Silver Metallic")</f>
        <v>Midnight Silver Metallic</v>
      </c>
      <c r="P2961" s="178" t="str">
        <f>IFERROR(__xludf.DUMMYFUNCTION("""COMPUTED_VALUE"""),"18 inch Aero")</f>
        <v>18 inch Aero</v>
      </c>
      <c r="Q2961" s="177" t="str">
        <f>IFERROR(__xludf.DUMMYFUNCTION("""COMPUTED_VALUE"""),"Black seats")</f>
        <v>Black seats</v>
      </c>
      <c r="R2961" s="170" t="str">
        <f>IFERROR(__xludf.DUMMYFUNCTION("""COMPUTED_VALUE"""),"Enhanced Autopilot")</f>
        <v>Enhanced Autopilot</v>
      </c>
      <c r="S2961" s="170"/>
      <c r="T2961" s="179"/>
      <c r="U2961" s="179"/>
      <c r="V2961" s="179"/>
      <c r="W2961" s="180"/>
      <c r="X2961" s="181" t="str">
        <f>IFERROR(__xludf.DUMMYFUNCTION("""COMPUTED_VALUE"""),"Fair")</f>
        <v>Fair</v>
      </c>
      <c r="Y2961" s="182" t="str">
        <f>IFERROR(__xludf.DUMMYFUNCTION("""COMPUTED_VALUE"""),"Excellent")</f>
        <v>Excellent</v>
      </c>
      <c r="Z2961" s="182" t="str">
        <f>IFERROR(__xludf.DUMMYFUNCTION("""COMPUTED_VALUE"""),"Very Good")</f>
        <v>Very Good</v>
      </c>
      <c r="AA2961" s="182" t="str">
        <f>IFERROR(__xludf.DUMMYFUNCTION("""COMPUTED_VALUE"""),"Poor")</f>
        <v>Poor</v>
      </c>
      <c r="AB2961" s="182" t="str">
        <f>IFERROR(__xludf.DUMMYFUNCTION("""COMPUTED_VALUE"""),"Good")</f>
        <v>Good</v>
      </c>
      <c r="AC2961" s="183">
        <f>IFERROR(__xludf.DUMMYFUNCTION("""COMPUTED_VALUE"""),0.0)</f>
        <v>0</v>
      </c>
      <c r="AD2961" s="183">
        <f>IFERROR(__xludf.DUMMYFUNCTION("""COMPUTED_VALUE"""),0.0)</f>
        <v>0</v>
      </c>
      <c r="AE2961" s="183">
        <f>IFERROR(__xludf.DUMMYFUNCTION("""COMPUTED_VALUE"""),0.0)</f>
        <v>0</v>
      </c>
      <c r="AF2961" s="184"/>
      <c r="AG2961" s="180"/>
      <c r="AH2961" s="185">
        <f>IFERROR(__xludf.DUMMYFUNCTION("""COMPUTED_VALUE"""),43350.50136209491)</f>
        <v>43350.50136</v>
      </c>
      <c r="AI2961" s="182"/>
      <c r="AJ2961" s="182"/>
      <c r="AK2961" s="182"/>
      <c r="AL2961" s="182"/>
    </row>
    <row r="2962" ht="20.25" customHeight="1">
      <c r="A2962" s="169" t="str">
        <f>IFERROR(__xludf.DUMMYFUNCTION("""COMPUTED_VALUE"""),"pxxt")</f>
        <v>pxxt</v>
      </c>
      <c r="B2962" s="170" t="str">
        <f>IFERROR(__xludf.DUMMYFUNCTION("""COMPUTED_VALUE"""),"Bay Area")</f>
        <v>Bay Area</v>
      </c>
      <c r="C2962" s="170" t="str">
        <f>IFERROR(__xludf.DUMMYFUNCTION("""COMPUTED_VALUE"""),"CA")</f>
        <v>CA</v>
      </c>
      <c r="D2962" s="170" t="str">
        <f>IFERROR(__xludf.DUMMYFUNCTION("""COMPUTED_VALUE"""),"USA")</f>
        <v>USA</v>
      </c>
      <c r="E2962" s="171">
        <f>IFERROR(__xludf.DUMMYFUNCTION("""COMPUTED_VALUE"""),43279.0)</f>
        <v>43279</v>
      </c>
      <c r="F2962" s="172">
        <f>IFERROR(__xludf.DUMMYFUNCTION("""COMPUTED_VALUE"""),43360.0)</f>
        <v>43360</v>
      </c>
      <c r="G2962" s="173"/>
      <c r="H2962" s="174">
        <f>IFERROR(__xludf.DUMMYFUNCTION("""COMPUTED_VALUE"""),76855.0)</f>
        <v>76855</v>
      </c>
      <c r="I2962" s="175"/>
      <c r="J2962" s="172">
        <f>IFERROR(__xludf.DUMMYFUNCTION("""COMPUTED_VALUE"""),43363.0)</f>
        <v>43363</v>
      </c>
      <c r="K2962" s="176">
        <f>IFERROR(__xludf.DUMMYFUNCTION("""COMPUTED_VALUE"""),81.0)</f>
        <v>81</v>
      </c>
      <c r="L2962" s="176">
        <f>IFERROR(__xludf.DUMMYFUNCTION("""COMPUTED_VALUE"""),3.0)</f>
        <v>3</v>
      </c>
      <c r="M2962" s="176">
        <f>IFERROR(__xludf.DUMMYFUNCTION("""COMPUTED_VALUE"""),84.0)</f>
        <v>84</v>
      </c>
      <c r="N2962" s="177" t="str">
        <f>IFERROR(__xludf.DUMMYFUNCTION("""COMPUTED_VALUE"""),"Model 3 LR AWD")</f>
        <v>Model 3 LR AWD</v>
      </c>
      <c r="O2962" s="177" t="str">
        <f>IFERROR(__xludf.DUMMYFUNCTION("""COMPUTED_VALUE"""),"Midnight Silver Metallic")</f>
        <v>Midnight Silver Metallic</v>
      </c>
      <c r="P2962" s="178" t="str">
        <f>IFERROR(__xludf.DUMMYFUNCTION("""COMPUTED_VALUE"""),"19 inch Sport")</f>
        <v>19 inch Sport</v>
      </c>
      <c r="Q2962" s="177" t="str">
        <f>IFERROR(__xludf.DUMMYFUNCTION("""COMPUTED_VALUE"""),"Black seats")</f>
        <v>Black seats</v>
      </c>
      <c r="R2962" s="170" t="str">
        <f>IFERROR(__xludf.DUMMYFUNCTION("""COMPUTED_VALUE"""),"Full Self-Driving")</f>
        <v>Full Self-Driving</v>
      </c>
      <c r="S2962" s="170"/>
      <c r="T2962" s="179"/>
      <c r="U2962" s="179"/>
      <c r="V2962" s="179"/>
      <c r="W2962" s="180"/>
      <c r="X2962" s="181" t="str">
        <f>IFERROR(__xludf.DUMMYFUNCTION("""COMPUTED_VALUE"""),"Excellent")</f>
        <v>Excellent</v>
      </c>
      <c r="Y2962" s="182" t="str">
        <f>IFERROR(__xludf.DUMMYFUNCTION("""COMPUTED_VALUE"""),"Excellent")</f>
        <v>Excellent</v>
      </c>
      <c r="Z2962" s="182" t="str">
        <f>IFERROR(__xludf.DUMMYFUNCTION("""COMPUTED_VALUE"""),"Excellent")</f>
        <v>Excellent</v>
      </c>
      <c r="AA2962" s="182" t="str">
        <f>IFERROR(__xludf.DUMMYFUNCTION("""COMPUTED_VALUE"""),"Excellent")</f>
        <v>Excellent</v>
      </c>
      <c r="AB2962" s="182" t="str">
        <f>IFERROR(__xludf.DUMMYFUNCTION("""COMPUTED_VALUE"""),"Excellent")</f>
        <v>Excellent</v>
      </c>
      <c r="AC2962" s="183"/>
      <c r="AD2962" s="183"/>
      <c r="AE2962" s="183"/>
      <c r="AF2962" s="184"/>
      <c r="AG2962" s="180"/>
      <c r="AH2962" s="185">
        <f>IFERROR(__xludf.DUMMYFUNCTION("""COMPUTED_VALUE"""),43364.42639153935)</f>
        <v>43364.42639</v>
      </c>
      <c r="AI2962" s="182"/>
      <c r="AJ2962" s="182"/>
      <c r="AK2962" s="182"/>
      <c r="AL2962" s="182"/>
    </row>
    <row r="2963" ht="20.25" customHeight="1">
      <c r="A2963" s="169" t="str">
        <f>IFERROR(__xludf.DUMMYFUNCTION("""COMPUTED_VALUE"""),"r8rjon")</f>
        <v>r8rjon</v>
      </c>
      <c r="B2963" s="170" t="str">
        <f>IFERROR(__xludf.DUMMYFUNCTION("""COMPUTED_VALUE"""),"Mira Loma")</f>
        <v>Mira Loma</v>
      </c>
      <c r="C2963" s="170" t="str">
        <f>IFERROR(__xludf.DUMMYFUNCTION("""COMPUTED_VALUE"""),"CA")</f>
        <v>CA</v>
      </c>
      <c r="D2963" s="170" t="str">
        <f>IFERROR(__xludf.DUMMYFUNCTION("""COMPUTED_VALUE"""),"USA")</f>
        <v>USA</v>
      </c>
      <c r="E2963" s="171">
        <f>IFERROR(__xludf.DUMMYFUNCTION("""COMPUTED_VALUE"""),43279.0)</f>
        <v>43279</v>
      </c>
      <c r="F2963" s="172">
        <f>IFERROR(__xludf.DUMMYFUNCTION("""COMPUTED_VALUE"""),43320.0)</f>
        <v>43320</v>
      </c>
      <c r="G2963" s="173"/>
      <c r="H2963" s="174">
        <f>IFERROR(__xludf.DUMMYFUNCTION("""COMPUTED_VALUE"""),70155.0)</f>
        <v>70155</v>
      </c>
      <c r="I2963" s="175" t="str">
        <f>IFERROR(__xludf.DUMMYFUNCTION("""COMPUTED_VALUE"""),"08/18")</f>
        <v>08/18</v>
      </c>
      <c r="J2963" s="172">
        <f>IFERROR(__xludf.DUMMYFUNCTION("""COMPUTED_VALUE"""),43335.0)</f>
        <v>43335</v>
      </c>
      <c r="K2963" s="176">
        <f>IFERROR(__xludf.DUMMYFUNCTION("""COMPUTED_VALUE"""),41.0)</f>
        <v>41</v>
      </c>
      <c r="L2963" s="176">
        <f>IFERROR(__xludf.DUMMYFUNCTION("""COMPUTED_VALUE"""),15.0)</f>
        <v>15</v>
      </c>
      <c r="M2963" s="176">
        <f>IFERROR(__xludf.DUMMYFUNCTION("""COMPUTED_VALUE"""),56.0)</f>
        <v>56</v>
      </c>
      <c r="N2963" s="177" t="str">
        <f>IFERROR(__xludf.DUMMYFUNCTION("""COMPUTED_VALUE"""),"Model 3 LR")</f>
        <v>Model 3 LR</v>
      </c>
      <c r="O2963" s="177" t="str">
        <f>IFERROR(__xludf.DUMMYFUNCTION("""COMPUTED_VALUE"""),"Obsidian Black Metallic")</f>
        <v>Obsidian Black Metallic</v>
      </c>
      <c r="P2963" s="178" t="str">
        <f>IFERROR(__xludf.DUMMYFUNCTION("""COMPUTED_VALUE"""),"18 inch Aero")</f>
        <v>18 inch Aero</v>
      </c>
      <c r="Q2963" s="177" t="str">
        <f>IFERROR(__xludf.DUMMYFUNCTION("""COMPUTED_VALUE"""),"Black seats")</f>
        <v>Black seats</v>
      </c>
      <c r="R2963" s="170" t="str">
        <f>IFERROR(__xludf.DUMMYFUNCTION("""COMPUTED_VALUE"""),"None")</f>
        <v>None</v>
      </c>
      <c r="S2963" s="170"/>
      <c r="T2963" s="179"/>
      <c r="U2963" s="179"/>
      <c r="V2963" s="179"/>
      <c r="W2963" s="180"/>
      <c r="X2963" s="181" t="str">
        <f>IFERROR(__xludf.DUMMYFUNCTION("""COMPUTED_VALUE"""),"Excellent")</f>
        <v>Excellent</v>
      </c>
      <c r="Y2963" s="182" t="str">
        <f>IFERROR(__xludf.DUMMYFUNCTION("""COMPUTED_VALUE"""),"Excellent")</f>
        <v>Excellent</v>
      </c>
      <c r="Z2963" s="182" t="str">
        <f>IFERROR(__xludf.DUMMYFUNCTION("""COMPUTED_VALUE"""),"Excellent")</f>
        <v>Excellent</v>
      </c>
      <c r="AA2963" s="182" t="str">
        <f>IFERROR(__xludf.DUMMYFUNCTION("""COMPUTED_VALUE"""),"Poor")</f>
        <v>Poor</v>
      </c>
      <c r="AB2963" s="182" t="str">
        <f>IFERROR(__xludf.DUMMYFUNCTION("""COMPUTED_VALUE"""),"Good")</f>
        <v>Good</v>
      </c>
      <c r="AC2963" s="183">
        <f>IFERROR(__xludf.DUMMYFUNCTION("""COMPUTED_VALUE"""),0.0)</f>
        <v>0</v>
      </c>
      <c r="AD2963" s="183">
        <f>IFERROR(__xludf.DUMMYFUNCTION("""COMPUTED_VALUE"""),0.0)</f>
        <v>0</v>
      </c>
      <c r="AE2963" s="183">
        <f>IFERROR(__xludf.DUMMYFUNCTION("""COMPUTED_VALUE"""),0.0)</f>
        <v>0</v>
      </c>
      <c r="AF2963" s="184"/>
      <c r="AG2963" s="180" t="str">
        <f>IFERROR(__xludf.DUMMYFUNCTION("""COMPUTED_VALUE"""),"Delivery was scheduled, then never rescheduled.  I called for 8 days straight until I was given a delivery date/time.")</f>
        <v>Delivery was scheduled, then never rescheduled.  I called for 8 days straight until I was given a delivery date/time.</v>
      </c>
      <c r="AH2963" s="185">
        <f>IFERROR(__xludf.DUMMYFUNCTION("""COMPUTED_VALUE"""),43336.93198142361)</f>
        <v>43336.93198</v>
      </c>
      <c r="AI2963" s="182"/>
      <c r="AJ2963" s="182"/>
      <c r="AK2963" s="182"/>
      <c r="AL2963" s="182"/>
    </row>
    <row r="2964" ht="20.25" customHeight="1">
      <c r="A2964" s="169" t="str">
        <f>IFERROR(__xludf.DUMMYFUNCTION("""COMPUTED_VALUE"""),"Razorback787")</f>
        <v>Razorback787</v>
      </c>
      <c r="B2964" s="170" t="str">
        <f>IFERROR(__xludf.DUMMYFUNCTION("""COMPUTED_VALUE"""),"Hutchinson")</f>
        <v>Hutchinson</v>
      </c>
      <c r="C2964" s="170" t="str">
        <f>IFERROR(__xludf.DUMMYFUNCTION("""COMPUTED_VALUE"""),"MN")</f>
        <v>MN</v>
      </c>
      <c r="D2964" s="170" t="str">
        <f>IFERROR(__xludf.DUMMYFUNCTION("""COMPUTED_VALUE"""),"USA")</f>
        <v>USA</v>
      </c>
      <c r="E2964" s="171">
        <f>IFERROR(__xludf.DUMMYFUNCTION("""COMPUTED_VALUE"""),43279.0)</f>
        <v>43279</v>
      </c>
      <c r="F2964" s="172">
        <f>IFERROR(__xludf.DUMMYFUNCTION("""COMPUTED_VALUE"""),43349.0)</f>
        <v>43349</v>
      </c>
      <c r="G2964" s="173"/>
      <c r="H2964" s="174">
        <f>IFERROR(__xludf.DUMMYFUNCTION("""COMPUTED_VALUE"""),99888.0)</f>
        <v>99888</v>
      </c>
      <c r="I2964" s="175" t="str">
        <f>IFERROR(__xludf.DUMMYFUNCTION("""COMPUTED_VALUE"""),"08/18")</f>
        <v>08/18</v>
      </c>
      <c r="J2964" s="172">
        <f>IFERROR(__xludf.DUMMYFUNCTION("""COMPUTED_VALUE"""),43358.0)</f>
        <v>43358</v>
      </c>
      <c r="K2964" s="176">
        <f>IFERROR(__xludf.DUMMYFUNCTION("""COMPUTED_VALUE"""),70.0)</f>
        <v>70</v>
      </c>
      <c r="L2964" s="176">
        <f>IFERROR(__xludf.DUMMYFUNCTION("""COMPUTED_VALUE"""),9.0)</f>
        <v>9</v>
      </c>
      <c r="M2964" s="176">
        <f>IFERROR(__xludf.DUMMYFUNCTION("""COMPUTED_VALUE"""),79.0)</f>
        <v>79</v>
      </c>
      <c r="N2964" s="177" t="str">
        <f>IFERROR(__xludf.DUMMYFUNCTION("""COMPUTED_VALUE"""),"Model 3 Performance")</f>
        <v>Model 3 Performance</v>
      </c>
      <c r="O2964" s="177" t="str">
        <f>IFERROR(__xludf.DUMMYFUNCTION("""COMPUTED_VALUE"""),"Deep Blue Metallic")</f>
        <v>Deep Blue Metallic</v>
      </c>
      <c r="P2964" s="178" t="str">
        <f>IFERROR(__xludf.DUMMYFUNCTION("""COMPUTED_VALUE"""),"18 inch Aero")</f>
        <v>18 inch Aero</v>
      </c>
      <c r="Q2964" s="177" t="str">
        <f>IFERROR(__xludf.DUMMYFUNCTION("""COMPUTED_VALUE"""),"White seats")</f>
        <v>White seats</v>
      </c>
      <c r="R2964" s="170" t="str">
        <f>IFERROR(__xludf.DUMMYFUNCTION("""COMPUTED_VALUE"""),"Enhanced Autopilot")</f>
        <v>Enhanced Autopilot</v>
      </c>
      <c r="S2964" s="170"/>
      <c r="T2964" s="179"/>
      <c r="U2964" s="179"/>
      <c r="V2964" s="179"/>
      <c r="W2964" s="180"/>
      <c r="X2964" s="181" t="str">
        <f>IFERROR(__xludf.DUMMYFUNCTION("""COMPUTED_VALUE"""),"Very Good")</f>
        <v>Very Good</v>
      </c>
      <c r="Y2964" s="182" t="str">
        <f>IFERROR(__xludf.DUMMYFUNCTION("""COMPUTED_VALUE"""),"Excellent")</f>
        <v>Excellent</v>
      </c>
      <c r="Z2964" s="182" t="str">
        <f>IFERROR(__xludf.DUMMYFUNCTION("""COMPUTED_VALUE"""),"Very Good")</f>
        <v>Very Good</v>
      </c>
      <c r="AA2964" s="182" t="str">
        <f>IFERROR(__xludf.DUMMYFUNCTION("""COMPUTED_VALUE"""),"Very Good")</f>
        <v>Very Good</v>
      </c>
      <c r="AB2964" s="182" t="str">
        <f>IFERROR(__xludf.DUMMYFUNCTION("""COMPUTED_VALUE"""),"Very Good")</f>
        <v>Very Good</v>
      </c>
      <c r="AC2964" s="183">
        <f>IFERROR(__xludf.DUMMYFUNCTION("""COMPUTED_VALUE"""),0.0)</f>
        <v>0</v>
      </c>
      <c r="AD2964" s="183">
        <f>IFERROR(__xludf.DUMMYFUNCTION("""COMPUTED_VALUE"""),1.0)</f>
        <v>1</v>
      </c>
      <c r="AE2964" s="183"/>
      <c r="AF2964" s="184"/>
      <c r="AG2964" s="180"/>
      <c r="AH2964" s="185">
        <f>IFERROR(__xludf.DUMMYFUNCTION("""COMPUTED_VALUE"""),43368.008790162035)</f>
        <v>43368.00879</v>
      </c>
      <c r="AI2964" s="182"/>
      <c r="AJ2964" s="182"/>
      <c r="AK2964" s="182"/>
      <c r="AL2964" s="182"/>
    </row>
    <row r="2965" ht="20.25" customHeight="1">
      <c r="A2965" s="169" t="str">
        <f>IFERROR(__xludf.DUMMYFUNCTION("""COMPUTED_VALUE"""),"rbmdl3")</f>
        <v>rbmdl3</v>
      </c>
      <c r="B2965" s="170" t="str">
        <f>IFERROR(__xludf.DUMMYFUNCTION("""COMPUTED_VALUE"""),"Glastonbury")</f>
        <v>Glastonbury</v>
      </c>
      <c r="C2965" s="170" t="str">
        <f>IFERROR(__xludf.DUMMYFUNCTION("""COMPUTED_VALUE"""),"CT")</f>
        <v>CT</v>
      </c>
      <c r="D2965" s="170" t="str">
        <f>IFERROR(__xludf.DUMMYFUNCTION("""COMPUTED_VALUE"""),"USA")</f>
        <v>USA</v>
      </c>
      <c r="E2965" s="171">
        <f>IFERROR(__xludf.DUMMYFUNCTION("""COMPUTED_VALUE"""),43279.0)</f>
        <v>43279</v>
      </c>
      <c r="F2965" s="172"/>
      <c r="G2965" s="173"/>
      <c r="H2965" s="174">
        <f>IFERROR(__xludf.DUMMYFUNCTION("""COMPUTED_VALUE"""),68555.0)</f>
        <v>68555</v>
      </c>
      <c r="I2965" s="175"/>
      <c r="J2965" s="172">
        <f>IFERROR(__xludf.DUMMYFUNCTION("""COMPUTED_VALUE"""),43365.0)</f>
        <v>43365</v>
      </c>
      <c r="K2965" s="176"/>
      <c r="L2965" s="176"/>
      <c r="M2965" s="176">
        <f>IFERROR(__xludf.DUMMYFUNCTION("""COMPUTED_VALUE"""),86.0)</f>
        <v>86</v>
      </c>
      <c r="N2965" s="177" t="str">
        <f>IFERROR(__xludf.DUMMYFUNCTION("""COMPUTED_VALUE"""),"Model 3 LR AWD")</f>
        <v>Model 3 LR AWD</v>
      </c>
      <c r="O2965" s="177" t="str">
        <f>IFERROR(__xludf.DUMMYFUNCTION("""COMPUTED_VALUE"""),"Solid Black")</f>
        <v>Solid Black</v>
      </c>
      <c r="P2965" s="178" t="str">
        <f>IFERROR(__xludf.DUMMYFUNCTION("""COMPUTED_VALUE"""),"18 inch Aero")</f>
        <v>18 inch Aero</v>
      </c>
      <c r="Q2965" s="177" t="str">
        <f>IFERROR(__xludf.DUMMYFUNCTION("""COMPUTED_VALUE"""),"Black seats")</f>
        <v>Black seats</v>
      </c>
      <c r="R2965" s="170" t="str">
        <f>IFERROR(__xludf.DUMMYFUNCTION("""COMPUTED_VALUE"""),"Enhanced Autopilot")</f>
        <v>Enhanced Autopilot</v>
      </c>
      <c r="S2965" s="170"/>
      <c r="T2965" s="179"/>
      <c r="U2965" s="179"/>
      <c r="V2965" s="179"/>
      <c r="W2965" s="180"/>
      <c r="X2965" s="181" t="str">
        <f>IFERROR(__xludf.DUMMYFUNCTION("""COMPUTED_VALUE"""),"Excellent")</f>
        <v>Excellent</v>
      </c>
      <c r="Y2965" s="182" t="str">
        <f>IFERROR(__xludf.DUMMYFUNCTION("""COMPUTED_VALUE"""),"Excellent")</f>
        <v>Excellent</v>
      </c>
      <c r="Z2965" s="182" t="str">
        <f>IFERROR(__xludf.DUMMYFUNCTION("""COMPUTED_VALUE"""),"Very Good")</f>
        <v>Very Good</v>
      </c>
      <c r="AA2965" s="182" t="str">
        <f>IFERROR(__xludf.DUMMYFUNCTION("""COMPUTED_VALUE"""),"Good")</f>
        <v>Good</v>
      </c>
      <c r="AB2965" s="182" t="str">
        <f>IFERROR(__xludf.DUMMYFUNCTION("""COMPUTED_VALUE"""),"Very Good")</f>
        <v>Very Good</v>
      </c>
      <c r="AC2965" s="183">
        <f>IFERROR(__xludf.DUMMYFUNCTION("""COMPUTED_VALUE"""),0.0)</f>
        <v>0</v>
      </c>
      <c r="AD2965" s="183">
        <f>IFERROR(__xludf.DUMMYFUNCTION("""COMPUTED_VALUE"""),0.0)</f>
        <v>0</v>
      </c>
      <c r="AE2965" s="183">
        <f>IFERROR(__xludf.DUMMYFUNCTION("""COMPUTED_VALUE"""),0.0)</f>
        <v>0</v>
      </c>
      <c r="AF2965" s="184"/>
      <c r="AG2965" s="180"/>
      <c r="AH2965" s="185">
        <f>IFERROR(__xludf.DUMMYFUNCTION("""COMPUTED_VALUE"""),43374.430131493056)</f>
        <v>43374.43013</v>
      </c>
      <c r="AI2965" s="182"/>
      <c r="AJ2965" s="182"/>
      <c r="AK2965" s="182"/>
      <c r="AL2965" s="182"/>
    </row>
    <row r="2966" ht="20.25" customHeight="1">
      <c r="A2966" s="169" t="str">
        <f>IFERROR(__xludf.DUMMYFUNCTION("""COMPUTED_VALUE"""),"rdlink")</f>
        <v>rdlink</v>
      </c>
      <c r="B2966" s="170" t="str">
        <f>IFERROR(__xludf.DUMMYFUNCTION("""COMPUTED_VALUE"""),"Arvada")</f>
        <v>Arvada</v>
      </c>
      <c r="C2966" s="170" t="str">
        <f>IFERROR(__xludf.DUMMYFUNCTION("""COMPUTED_VALUE"""),"CO")</f>
        <v>CO</v>
      </c>
      <c r="D2966" s="170" t="str">
        <f>IFERROR(__xludf.DUMMYFUNCTION("""COMPUTED_VALUE"""),"USA")</f>
        <v>USA</v>
      </c>
      <c r="E2966" s="171">
        <f>IFERROR(__xludf.DUMMYFUNCTION("""COMPUTED_VALUE"""),43279.0)</f>
        <v>43279</v>
      </c>
      <c r="F2966" s="172">
        <f>IFERROR(__xludf.DUMMYFUNCTION("""COMPUTED_VALUE"""),43365.0)</f>
        <v>43365</v>
      </c>
      <c r="G2966" s="173"/>
      <c r="H2966" s="174">
        <f>IFERROR(__xludf.DUMMYFUNCTION("""COMPUTED_VALUE"""),104655.0)</f>
        <v>104655</v>
      </c>
      <c r="I2966" s="175" t="str">
        <f>IFERROR(__xludf.DUMMYFUNCTION("""COMPUTED_VALUE"""),"09/18")</f>
        <v>09/18</v>
      </c>
      <c r="J2966" s="172">
        <f>IFERROR(__xludf.DUMMYFUNCTION("""COMPUTED_VALUE"""),43369.0)</f>
        <v>43369</v>
      </c>
      <c r="K2966" s="176">
        <f>IFERROR(__xludf.DUMMYFUNCTION("""COMPUTED_VALUE"""),86.0)</f>
        <v>86</v>
      </c>
      <c r="L2966" s="176">
        <f>IFERROR(__xludf.DUMMYFUNCTION("""COMPUTED_VALUE"""),4.0)</f>
        <v>4</v>
      </c>
      <c r="M2966" s="176">
        <f>IFERROR(__xludf.DUMMYFUNCTION("""COMPUTED_VALUE"""),90.0)</f>
        <v>90</v>
      </c>
      <c r="N2966" s="177" t="str">
        <f>IFERROR(__xludf.DUMMYFUNCTION("""COMPUTED_VALUE"""),"Model 3 LR AWD")</f>
        <v>Model 3 LR AWD</v>
      </c>
      <c r="O2966" s="177" t="str">
        <f>IFERROR(__xludf.DUMMYFUNCTION("""COMPUTED_VALUE"""),"Red Multi-Coat")</f>
        <v>Red Multi-Coat</v>
      </c>
      <c r="P2966" s="178" t="str">
        <f>IFERROR(__xludf.DUMMYFUNCTION("""COMPUTED_VALUE"""),"18 inch Aero")</f>
        <v>18 inch Aero</v>
      </c>
      <c r="Q2966" s="177" t="str">
        <f>IFERROR(__xludf.DUMMYFUNCTION("""COMPUTED_VALUE"""),"Black seats")</f>
        <v>Black seats</v>
      </c>
      <c r="R2966" s="170" t="str">
        <f>IFERROR(__xludf.DUMMYFUNCTION("""COMPUTED_VALUE"""),"Full Self-Driving")</f>
        <v>Full Self-Driving</v>
      </c>
      <c r="S2966" s="170"/>
      <c r="T2966" s="179"/>
      <c r="U2966" s="179"/>
      <c r="V2966" s="179"/>
      <c r="W2966" s="180"/>
      <c r="X2966" s="181" t="str">
        <f>IFERROR(__xludf.DUMMYFUNCTION("""COMPUTED_VALUE"""),"Very Good")</f>
        <v>Very Good</v>
      </c>
      <c r="Y2966" s="182" t="str">
        <f>IFERROR(__xludf.DUMMYFUNCTION("""COMPUTED_VALUE"""),"Excellent")</f>
        <v>Excellent</v>
      </c>
      <c r="Z2966" s="182" t="str">
        <f>IFERROR(__xludf.DUMMYFUNCTION("""COMPUTED_VALUE"""),"Excellent")</f>
        <v>Excellent</v>
      </c>
      <c r="AA2966" s="182" t="str">
        <f>IFERROR(__xludf.DUMMYFUNCTION("""COMPUTED_VALUE"""),"Poor")</f>
        <v>Poor</v>
      </c>
      <c r="AB2966" s="182" t="str">
        <f>IFERROR(__xludf.DUMMYFUNCTION("""COMPUTED_VALUE"""),"Very Good")</f>
        <v>Very Good</v>
      </c>
      <c r="AC2966" s="183">
        <f>IFERROR(__xludf.DUMMYFUNCTION("""COMPUTED_VALUE"""),3.0)</f>
        <v>3</v>
      </c>
      <c r="AD2966" s="183"/>
      <c r="AE2966" s="183"/>
      <c r="AF2966" s="184"/>
      <c r="AG2966" s="180"/>
      <c r="AH2966" s="185">
        <f>IFERROR(__xludf.DUMMYFUNCTION("""COMPUTED_VALUE"""),43374.26449981481)</f>
        <v>43374.2645</v>
      </c>
      <c r="AI2966" s="182"/>
      <c r="AJ2966" s="182"/>
      <c r="AK2966" s="182"/>
      <c r="AL2966" s="182"/>
    </row>
    <row r="2967" ht="20.25" customHeight="1">
      <c r="A2967" s="169" t="str">
        <f>IFERROR(__xludf.DUMMYFUNCTION("""COMPUTED_VALUE"""),"RFyCt")</f>
        <v>RFyCt</v>
      </c>
      <c r="B2967" s="170" t="str">
        <f>IFERROR(__xludf.DUMMYFUNCTION("""COMPUTED_VALUE"""),"Bay Area")</f>
        <v>Bay Area</v>
      </c>
      <c r="C2967" s="170" t="str">
        <f>IFERROR(__xludf.DUMMYFUNCTION("""COMPUTED_VALUE"""),"CA")</f>
        <v>CA</v>
      </c>
      <c r="D2967" s="170" t="str">
        <f>IFERROR(__xludf.DUMMYFUNCTION("""COMPUTED_VALUE"""),"USA")</f>
        <v>USA</v>
      </c>
      <c r="E2967" s="171">
        <f>IFERROR(__xludf.DUMMYFUNCTION("""COMPUTED_VALUE"""),43279.0)</f>
        <v>43279</v>
      </c>
      <c r="F2967" s="172">
        <f>IFERROR(__xludf.DUMMYFUNCTION("""COMPUTED_VALUE"""),43293.0)</f>
        <v>43293</v>
      </c>
      <c r="G2967" s="173"/>
      <c r="H2967" s="174">
        <f>IFERROR(__xludf.DUMMYFUNCTION("""COMPUTED_VALUE"""),43655.0)</f>
        <v>43655</v>
      </c>
      <c r="I2967" s="175" t="str">
        <f>IFERROR(__xludf.DUMMYFUNCTION("""COMPUTED_VALUE"""),"06/18")</f>
        <v>06/18</v>
      </c>
      <c r="J2967" s="172">
        <f>IFERROR(__xludf.DUMMYFUNCTION("""COMPUTED_VALUE"""),43301.0)</f>
        <v>43301</v>
      </c>
      <c r="K2967" s="176">
        <f>IFERROR(__xludf.DUMMYFUNCTION("""COMPUTED_VALUE"""),14.0)</f>
        <v>14</v>
      </c>
      <c r="L2967" s="176">
        <f>IFERROR(__xludf.DUMMYFUNCTION("""COMPUTED_VALUE"""),8.0)</f>
        <v>8</v>
      </c>
      <c r="M2967" s="176">
        <f>IFERROR(__xludf.DUMMYFUNCTION("""COMPUTED_VALUE"""),22.0)</f>
        <v>22</v>
      </c>
      <c r="N2967" s="177" t="str">
        <f>IFERROR(__xludf.DUMMYFUNCTION("""COMPUTED_VALUE"""),"Model 3 LR")</f>
        <v>Model 3 LR</v>
      </c>
      <c r="O2967" s="177" t="str">
        <f>IFERROR(__xludf.DUMMYFUNCTION("""COMPUTED_VALUE"""),"Pearl White Multi-Coat")</f>
        <v>Pearl White Multi-Coat</v>
      </c>
      <c r="P2967" s="178" t="str">
        <f>IFERROR(__xludf.DUMMYFUNCTION("""COMPUTED_VALUE"""),"18 inch Aero")</f>
        <v>18 inch Aero</v>
      </c>
      <c r="Q2967" s="177" t="str">
        <f>IFERROR(__xludf.DUMMYFUNCTION("""COMPUTED_VALUE"""),"Black seats")</f>
        <v>Black seats</v>
      </c>
      <c r="R2967" s="170" t="str">
        <f>IFERROR(__xludf.DUMMYFUNCTION("""COMPUTED_VALUE"""),"Enhanced Autopilot")</f>
        <v>Enhanced Autopilot</v>
      </c>
      <c r="S2967" s="170"/>
      <c r="T2967" s="179"/>
      <c r="U2967" s="179"/>
      <c r="V2967" s="179"/>
      <c r="W2967" s="180"/>
      <c r="X2967" s="181" t="str">
        <f>IFERROR(__xludf.DUMMYFUNCTION("""COMPUTED_VALUE"""),"Excellent")</f>
        <v>Excellent</v>
      </c>
      <c r="Y2967" s="182" t="str">
        <f>IFERROR(__xludf.DUMMYFUNCTION("""COMPUTED_VALUE"""),"Very Good")</f>
        <v>Very Good</v>
      </c>
      <c r="Z2967" s="182" t="str">
        <f>IFERROR(__xludf.DUMMYFUNCTION("""COMPUTED_VALUE"""),"Very Good")</f>
        <v>Very Good</v>
      </c>
      <c r="AA2967" s="182" t="str">
        <f>IFERROR(__xludf.DUMMYFUNCTION("""COMPUTED_VALUE"""),"Fair")</f>
        <v>Fair</v>
      </c>
      <c r="AB2967" s="182" t="str">
        <f>IFERROR(__xludf.DUMMYFUNCTION("""COMPUTED_VALUE"""),"Very Good")</f>
        <v>Very Good</v>
      </c>
      <c r="AC2967" s="183">
        <f>IFERROR(__xludf.DUMMYFUNCTION("""COMPUTED_VALUE"""),1.0)</f>
        <v>1</v>
      </c>
      <c r="AD2967" s="183">
        <f>IFERROR(__xludf.DUMMYFUNCTION("""COMPUTED_VALUE"""),1.0)</f>
        <v>1</v>
      </c>
      <c r="AE2967" s="183">
        <f>IFERROR(__xludf.DUMMYFUNCTION("""COMPUTED_VALUE"""),0.0)</f>
        <v>0</v>
      </c>
      <c r="AF2967" s="184"/>
      <c r="AG2967" s="180" t="str">
        <f>IFERROR(__xludf.DUMMYFUNCTION("""COMPUTED_VALUE"""),"Delivery delayed from 7/18 to 7/20")</f>
        <v>Delivery delayed from 7/18 to 7/20</v>
      </c>
      <c r="AH2967" s="185">
        <f>IFERROR(__xludf.DUMMYFUNCTION("""COMPUTED_VALUE"""),43323.009915891205)</f>
        <v>43323.00992</v>
      </c>
      <c r="AI2967" s="182"/>
      <c r="AJ2967" s="182"/>
      <c r="AK2967" s="182"/>
      <c r="AL2967" s="182"/>
    </row>
    <row r="2968" ht="20.25" customHeight="1">
      <c r="A2968" s="169" t="str">
        <f>IFERROR(__xludf.DUMMYFUNCTION("""COMPUTED_VALUE"""),"RJKnees")</f>
        <v>RJKnees</v>
      </c>
      <c r="B2968" s="170" t="str">
        <f>IFERROR(__xludf.DUMMYFUNCTION("""COMPUTED_VALUE"""),"Reno")</f>
        <v>Reno</v>
      </c>
      <c r="C2968" s="170" t="str">
        <f>IFERROR(__xludf.DUMMYFUNCTION("""COMPUTED_VALUE"""),"NV")</f>
        <v>NV</v>
      </c>
      <c r="D2968" s="170" t="str">
        <f>IFERROR(__xludf.DUMMYFUNCTION("""COMPUTED_VALUE"""),"USA")</f>
        <v>USA</v>
      </c>
      <c r="E2968" s="171">
        <f>IFERROR(__xludf.DUMMYFUNCTION("""COMPUTED_VALUE"""),43279.0)</f>
        <v>43279</v>
      </c>
      <c r="F2968" s="172">
        <f>IFERROR(__xludf.DUMMYFUNCTION("""COMPUTED_VALUE"""),43334.0)</f>
        <v>43334</v>
      </c>
      <c r="G2968" s="173"/>
      <c r="H2968" s="174">
        <f>IFERROR(__xludf.DUMMYFUNCTION("""COMPUTED_VALUE"""),96506.0)</f>
        <v>96506</v>
      </c>
      <c r="I2968" s="175"/>
      <c r="J2968" s="172">
        <f>IFERROR(__xludf.DUMMYFUNCTION("""COMPUTED_VALUE"""),43340.0)</f>
        <v>43340</v>
      </c>
      <c r="K2968" s="176">
        <f>IFERROR(__xludf.DUMMYFUNCTION("""COMPUTED_VALUE"""),55.0)</f>
        <v>55</v>
      </c>
      <c r="L2968" s="176">
        <f>IFERROR(__xludf.DUMMYFUNCTION("""COMPUTED_VALUE"""),6.0)</f>
        <v>6</v>
      </c>
      <c r="M2968" s="176">
        <f>IFERROR(__xludf.DUMMYFUNCTION("""COMPUTED_VALUE"""),61.0)</f>
        <v>61</v>
      </c>
      <c r="N2968" s="177" t="str">
        <f>IFERROR(__xludf.DUMMYFUNCTION("""COMPUTED_VALUE"""),"Model 3 LR AWD")</f>
        <v>Model 3 LR AWD</v>
      </c>
      <c r="O2968" s="177" t="str">
        <f>IFERROR(__xludf.DUMMYFUNCTION("""COMPUTED_VALUE"""),"Deep Blue Metallic")</f>
        <v>Deep Blue Metallic</v>
      </c>
      <c r="P2968" s="178" t="str">
        <f>IFERROR(__xludf.DUMMYFUNCTION("""COMPUTED_VALUE"""),"18 inch Aero")</f>
        <v>18 inch Aero</v>
      </c>
      <c r="Q2968" s="177" t="str">
        <f>IFERROR(__xludf.DUMMYFUNCTION("""COMPUTED_VALUE"""),"White seats")</f>
        <v>White seats</v>
      </c>
      <c r="R2968" s="170" t="str">
        <f>IFERROR(__xludf.DUMMYFUNCTION("""COMPUTED_VALUE"""),"Enhanced Autopilot")</f>
        <v>Enhanced Autopilot</v>
      </c>
      <c r="S2968" s="170"/>
      <c r="T2968" s="179"/>
      <c r="U2968" s="179"/>
      <c r="V2968" s="179"/>
      <c r="W2968" s="180"/>
      <c r="X2968" s="181" t="str">
        <f>IFERROR(__xludf.DUMMYFUNCTION("""COMPUTED_VALUE"""),"Excellent")</f>
        <v>Excellent</v>
      </c>
      <c r="Y2968" s="182" t="str">
        <f>IFERROR(__xludf.DUMMYFUNCTION("""COMPUTED_VALUE"""),"Excellent")</f>
        <v>Excellent</v>
      </c>
      <c r="Z2968" s="182" t="str">
        <f>IFERROR(__xludf.DUMMYFUNCTION("""COMPUTED_VALUE"""),"Excellent")</f>
        <v>Excellent</v>
      </c>
      <c r="AA2968" s="182" t="str">
        <f>IFERROR(__xludf.DUMMYFUNCTION("""COMPUTED_VALUE"""),"Good")</f>
        <v>Good</v>
      </c>
      <c r="AB2968" s="182" t="str">
        <f>IFERROR(__xludf.DUMMYFUNCTION("""COMPUTED_VALUE"""),"Very Good")</f>
        <v>Very Good</v>
      </c>
      <c r="AC2968" s="183"/>
      <c r="AD2968" s="183"/>
      <c r="AE2968" s="183"/>
      <c r="AF2968" s="184"/>
      <c r="AG2968" s="180"/>
      <c r="AH2968" s="185">
        <f>IFERROR(__xludf.DUMMYFUNCTION("""COMPUTED_VALUE"""),43340.919705659726)</f>
        <v>43340.91971</v>
      </c>
      <c r="AI2968" s="182"/>
      <c r="AJ2968" s="182"/>
      <c r="AK2968" s="182"/>
      <c r="AL2968" s="182"/>
    </row>
    <row r="2969" ht="20.25" customHeight="1">
      <c r="A2969" s="169" t="str">
        <f>IFERROR(__xludf.DUMMYFUNCTION("""COMPUTED_VALUE"""),"RobertInIndy")</f>
        <v>RobertInIndy</v>
      </c>
      <c r="B2969" s="170" t="str">
        <f>IFERROR(__xludf.DUMMYFUNCTION("""COMPUTED_VALUE"""),"Indianapolis")</f>
        <v>Indianapolis</v>
      </c>
      <c r="C2969" s="170" t="str">
        <f>IFERROR(__xludf.DUMMYFUNCTION("""COMPUTED_VALUE"""),"IN")</f>
        <v>IN</v>
      </c>
      <c r="D2969" s="170" t="str">
        <f>IFERROR(__xludf.DUMMYFUNCTION("""COMPUTED_VALUE"""),"USA")</f>
        <v>USA</v>
      </c>
      <c r="E2969" s="171">
        <f>IFERROR(__xludf.DUMMYFUNCTION("""COMPUTED_VALUE"""),43279.0)</f>
        <v>43279</v>
      </c>
      <c r="F2969" s="172"/>
      <c r="G2969" s="173"/>
      <c r="H2969" s="174"/>
      <c r="I2969" s="175"/>
      <c r="J2969" s="172">
        <f>IFERROR(__xludf.DUMMYFUNCTION("""COMPUTED_VALUE"""),43378.0)</f>
        <v>43378</v>
      </c>
      <c r="K2969" s="176"/>
      <c r="L2969" s="176"/>
      <c r="M2969" s="176">
        <f>IFERROR(__xludf.DUMMYFUNCTION("""COMPUTED_VALUE"""),99.0)</f>
        <v>99</v>
      </c>
      <c r="N2969" s="177" t="str">
        <f>IFERROR(__xludf.DUMMYFUNCTION("""COMPUTED_VALUE"""),"Model 3 LR AWD")</f>
        <v>Model 3 LR AWD</v>
      </c>
      <c r="O2969" s="177" t="str">
        <f>IFERROR(__xludf.DUMMYFUNCTION("""COMPUTED_VALUE"""),"Deep Blue Metallic")</f>
        <v>Deep Blue Metallic</v>
      </c>
      <c r="P2969" s="178" t="str">
        <f>IFERROR(__xludf.DUMMYFUNCTION("""COMPUTED_VALUE"""),"19 inch Sport")</f>
        <v>19 inch Sport</v>
      </c>
      <c r="Q2969" s="177" t="str">
        <f>IFERROR(__xludf.DUMMYFUNCTION("""COMPUTED_VALUE"""),"Black seats")</f>
        <v>Black seats</v>
      </c>
      <c r="R2969" s="170" t="str">
        <f>IFERROR(__xludf.DUMMYFUNCTION("""COMPUTED_VALUE"""),"Enhanced Autopilot")</f>
        <v>Enhanced Autopilot</v>
      </c>
      <c r="S2969" s="170"/>
      <c r="T2969" s="179"/>
      <c r="U2969" s="179"/>
      <c r="V2969" s="179"/>
      <c r="W2969" s="180"/>
      <c r="X2969" s="181" t="str">
        <f>IFERROR(__xludf.DUMMYFUNCTION("""COMPUTED_VALUE"""),"Excellent")</f>
        <v>Excellent</v>
      </c>
      <c r="Y2969" s="182" t="str">
        <f>IFERROR(__xludf.DUMMYFUNCTION("""COMPUTED_VALUE"""),"Excellent")</f>
        <v>Excellent</v>
      </c>
      <c r="Z2969" s="182" t="str">
        <f>IFERROR(__xludf.DUMMYFUNCTION("""COMPUTED_VALUE"""),"Excellent")</f>
        <v>Excellent</v>
      </c>
      <c r="AA2969" s="182" t="str">
        <f>IFERROR(__xludf.DUMMYFUNCTION("""COMPUTED_VALUE"""),"Very Good")</f>
        <v>Very Good</v>
      </c>
      <c r="AB2969" s="182" t="str">
        <f>IFERROR(__xludf.DUMMYFUNCTION("""COMPUTED_VALUE"""),"Excellent")</f>
        <v>Excellent</v>
      </c>
      <c r="AC2969" s="183">
        <f>IFERROR(__xludf.DUMMYFUNCTION("""COMPUTED_VALUE"""),1.0)</f>
        <v>1</v>
      </c>
      <c r="AD2969" s="183">
        <f>IFERROR(__xludf.DUMMYFUNCTION("""COMPUTED_VALUE"""),1.0)</f>
        <v>1</v>
      </c>
      <c r="AE2969" s="183">
        <f>IFERROR(__xludf.DUMMYFUNCTION("""COMPUTED_VALUE"""),1.0)</f>
        <v>1</v>
      </c>
      <c r="AF2969" s="184"/>
      <c r="AG2969" s="180"/>
      <c r="AH2969" s="185">
        <f>IFERROR(__xludf.DUMMYFUNCTION("""COMPUTED_VALUE"""),43404.43554233796)</f>
        <v>43404.43554</v>
      </c>
      <c r="AI2969" s="182"/>
      <c r="AJ2969" s="182"/>
      <c r="AK2969" s="182"/>
      <c r="AL2969" s="182"/>
    </row>
    <row r="2970" ht="20.25" customHeight="1">
      <c r="A2970" s="169" t="str">
        <f>IFERROR(__xludf.DUMMYFUNCTION("""COMPUTED_VALUE"""),"RWA")</f>
        <v>RWA</v>
      </c>
      <c r="B2970" s="170" t="str">
        <f>IFERROR(__xludf.DUMMYFUNCTION("""COMPUTED_VALUE"""),"Glastonbury")</f>
        <v>Glastonbury</v>
      </c>
      <c r="C2970" s="170" t="str">
        <f>IFERROR(__xludf.DUMMYFUNCTION("""COMPUTED_VALUE"""),"CT")</f>
        <v>CT</v>
      </c>
      <c r="D2970" s="170" t="str">
        <f>IFERROR(__xludf.DUMMYFUNCTION("""COMPUTED_VALUE"""),"USA")</f>
        <v>USA</v>
      </c>
      <c r="E2970" s="171">
        <f>IFERROR(__xludf.DUMMYFUNCTION("""COMPUTED_VALUE"""),43279.0)</f>
        <v>43279</v>
      </c>
      <c r="F2970" s="172">
        <f>IFERROR(__xludf.DUMMYFUNCTION("""COMPUTED_VALUE"""),43331.0)</f>
        <v>43331</v>
      </c>
      <c r="G2970" s="173"/>
      <c r="H2970" s="174">
        <f>IFERROR(__xludf.DUMMYFUNCTION("""COMPUTED_VALUE"""),96255.0)</f>
        <v>96255</v>
      </c>
      <c r="I2970" s="175" t="str">
        <f>IFERROR(__xludf.DUMMYFUNCTION("""COMPUTED_VALUE"""),"08/18")</f>
        <v>08/18</v>
      </c>
      <c r="J2970" s="172">
        <f>IFERROR(__xludf.DUMMYFUNCTION("""COMPUTED_VALUE"""),43363.0)</f>
        <v>43363</v>
      </c>
      <c r="K2970" s="176">
        <f>IFERROR(__xludf.DUMMYFUNCTION("""COMPUTED_VALUE"""),52.0)</f>
        <v>52</v>
      </c>
      <c r="L2970" s="176">
        <f>IFERROR(__xludf.DUMMYFUNCTION("""COMPUTED_VALUE"""),32.0)</f>
        <v>32</v>
      </c>
      <c r="M2970" s="176">
        <f>IFERROR(__xludf.DUMMYFUNCTION("""COMPUTED_VALUE"""),84.0)</f>
        <v>84</v>
      </c>
      <c r="N2970" s="177" t="str">
        <f>IFERROR(__xludf.DUMMYFUNCTION("""COMPUTED_VALUE"""),"Model 3 LR AWD")</f>
        <v>Model 3 LR AWD</v>
      </c>
      <c r="O2970" s="177" t="str">
        <f>IFERROR(__xludf.DUMMYFUNCTION("""COMPUTED_VALUE"""),"Red Multi-Coat")</f>
        <v>Red Multi-Coat</v>
      </c>
      <c r="P2970" s="178" t="str">
        <f>IFERROR(__xludf.DUMMYFUNCTION("""COMPUTED_VALUE"""),"18 inch Aero")</f>
        <v>18 inch Aero</v>
      </c>
      <c r="Q2970" s="177" t="str">
        <f>IFERROR(__xludf.DUMMYFUNCTION("""COMPUTED_VALUE"""),"White seats")</f>
        <v>White seats</v>
      </c>
      <c r="R2970" s="170" t="str">
        <f>IFERROR(__xludf.DUMMYFUNCTION("""COMPUTED_VALUE"""),"Enhanced Autopilot")</f>
        <v>Enhanced Autopilot</v>
      </c>
      <c r="S2970" s="170"/>
      <c r="T2970" s="179"/>
      <c r="U2970" s="179"/>
      <c r="V2970" s="179"/>
      <c r="W2970" s="180"/>
      <c r="X2970" s="181" t="str">
        <f>IFERROR(__xludf.DUMMYFUNCTION("""COMPUTED_VALUE"""),"Excellent")</f>
        <v>Excellent</v>
      </c>
      <c r="Y2970" s="182" t="str">
        <f>IFERROR(__xludf.DUMMYFUNCTION("""COMPUTED_VALUE"""),"Excellent")</f>
        <v>Excellent</v>
      </c>
      <c r="Z2970" s="182" t="str">
        <f>IFERROR(__xludf.DUMMYFUNCTION("""COMPUTED_VALUE"""),"Excellent")</f>
        <v>Excellent</v>
      </c>
      <c r="AA2970" s="182" t="str">
        <f>IFERROR(__xludf.DUMMYFUNCTION("""COMPUTED_VALUE"""),"Excellent")</f>
        <v>Excellent</v>
      </c>
      <c r="AB2970" s="182" t="str">
        <f>IFERROR(__xludf.DUMMYFUNCTION("""COMPUTED_VALUE"""),"Excellent")</f>
        <v>Excellent</v>
      </c>
      <c r="AC2970" s="183"/>
      <c r="AD2970" s="183"/>
      <c r="AE2970" s="183"/>
      <c r="AF2970" s="184"/>
      <c r="AG2970" s="180"/>
      <c r="AH2970" s="185">
        <f>IFERROR(__xludf.DUMMYFUNCTION("""COMPUTED_VALUE"""),43363.78216811343)</f>
        <v>43363.78217</v>
      </c>
      <c r="AI2970" s="182"/>
      <c r="AJ2970" s="182"/>
      <c r="AK2970" s="182"/>
      <c r="AL2970" s="182"/>
    </row>
    <row r="2971" ht="20.25" customHeight="1">
      <c r="A2971" s="169" t="str">
        <f>IFERROR(__xludf.DUMMYFUNCTION("""COMPUTED_VALUE"""),"Scott46885")</f>
        <v>Scott46885</v>
      </c>
      <c r="B2971" s="170"/>
      <c r="C2971" s="170" t="str">
        <f>IFERROR(__xludf.DUMMYFUNCTION("""COMPUTED_VALUE"""),"IA")</f>
        <v>IA</v>
      </c>
      <c r="D2971" s="170" t="str">
        <f>IFERROR(__xludf.DUMMYFUNCTION("""COMPUTED_VALUE"""),"USA")</f>
        <v>USA</v>
      </c>
      <c r="E2971" s="171">
        <f>IFERROR(__xludf.DUMMYFUNCTION("""COMPUTED_VALUE"""),43279.0)</f>
        <v>43279</v>
      </c>
      <c r="F2971" s="172">
        <f>IFERROR(__xludf.DUMMYFUNCTION("""COMPUTED_VALUE"""),43361.0)</f>
        <v>43361</v>
      </c>
      <c r="G2971" s="173"/>
      <c r="H2971" s="174">
        <f>IFERROR(__xludf.DUMMYFUNCTION("""COMPUTED_VALUE"""),88591.0)</f>
        <v>88591</v>
      </c>
      <c r="I2971" s="175"/>
      <c r="J2971" s="172">
        <f>IFERROR(__xludf.DUMMYFUNCTION("""COMPUTED_VALUE"""),43370.0)</f>
        <v>43370</v>
      </c>
      <c r="K2971" s="176">
        <f>IFERROR(__xludf.DUMMYFUNCTION("""COMPUTED_VALUE"""),82.0)</f>
        <v>82</v>
      </c>
      <c r="L2971" s="176">
        <f>IFERROR(__xludf.DUMMYFUNCTION("""COMPUTED_VALUE"""),9.0)</f>
        <v>9</v>
      </c>
      <c r="M2971" s="176">
        <f>IFERROR(__xludf.DUMMYFUNCTION("""COMPUTED_VALUE"""),91.0)</f>
        <v>91</v>
      </c>
      <c r="N2971" s="177" t="str">
        <f>IFERROR(__xludf.DUMMYFUNCTION("""COMPUTED_VALUE"""),"Model 3 LR AWD")</f>
        <v>Model 3 LR AWD</v>
      </c>
      <c r="O2971" s="177" t="str">
        <f>IFERROR(__xludf.DUMMYFUNCTION("""COMPUTED_VALUE"""),"Deep Blue Metallic")</f>
        <v>Deep Blue Metallic</v>
      </c>
      <c r="P2971" s="178" t="str">
        <f>IFERROR(__xludf.DUMMYFUNCTION("""COMPUTED_VALUE"""),"19 inch Sport")</f>
        <v>19 inch Sport</v>
      </c>
      <c r="Q2971" s="177" t="str">
        <f>IFERROR(__xludf.DUMMYFUNCTION("""COMPUTED_VALUE"""),"Black seats")</f>
        <v>Black seats</v>
      </c>
      <c r="R2971" s="170" t="str">
        <f>IFERROR(__xludf.DUMMYFUNCTION("""COMPUTED_VALUE"""),"Enhanced Autopilot")</f>
        <v>Enhanced Autopilot</v>
      </c>
      <c r="S2971" s="170"/>
      <c r="T2971" s="179"/>
      <c r="U2971" s="179"/>
      <c r="V2971" s="179"/>
      <c r="W2971" s="180"/>
      <c r="X2971" s="181" t="str">
        <f>IFERROR(__xludf.DUMMYFUNCTION("""COMPUTED_VALUE"""),"Excellent")</f>
        <v>Excellent</v>
      </c>
      <c r="Y2971" s="182" t="str">
        <f>IFERROR(__xludf.DUMMYFUNCTION("""COMPUTED_VALUE"""),"Excellent")</f>
        <v>Excellent</v>
      </c>
      <c r="Z2971" s="182" t="str">
        <f>IFERROR(__xludf.DUMMYFUNCTION("""COMPUTED_VALUE"""),"Excellent")</f>
        <v>Excellent</v>
      </c>
      <c r="AA2971" s="182" t="str">
        <f>IFERROR(__xludf.DUMMYFUNCTION("""COMPUTED_VALUE"""),"Good")</f>
        <v>Good</v>
      </c>
      <c r="AB2971" s="182" t="str">
        <f>IFERROR(__xludf.DUMMYFUNCTION("""COMPUTED_VALUE"""),"Good")</f>
        <v>Good</v>
      </c>
      <c r="AC2971" s="183"/>
      <c r="AD2971" s="183"/>
      <c r="AE2971" s="183"/>
      <c r="AF2971" s="184"/>
      <c r="AG2971" s="180"/>
      <c r="AH2971" s="185">
        <f>IFERROR(__xludf.DUMMYFUNCTION("""COMPUTED_VALUE"""),43382.35820981481)</f>
        <v>43382.35821</v>
      </c>
      <c r="AI2971" s="182"/>
      <c r="AJ2971" s="182"/>
      <c r="AK2971" s="182"/>
      <c r="AL2971" s="182"/>
    </row>
    <row r="2972" ht="20.25" customHeight="1">
      <c r="A2972" s="169" t="str">
        <f>IFERROR(__xludf.DUMMYFUNCTION("""COMPUTED_VALUE"""),"Se210")</f>
        <v>Se210</v>
      </c>
      <c r="B2972" s="170" t="str">
        <f>IFERROR(__xludf.DUMMYFUNCTION("""COMPUTED_VALUE"""),"Richmond ")</f>
        <v>Richmond </v>
      </c>
      <c r="C2972" s="170" t="str">
        <f>IFERROR(__xludf.DUMMYFUNCTION("""COMPUTED_VALUE"""),"VA")</f>
        <v>VA</v>
      </c>
      <c r="D2972" s="170" t="str">
        <f>IFERROR(__xludf.DUMMYFUNCTION("""COMPUTED_VALUE"""),"USA")</f>
        <v>USA</v>
      </c>
      <c r="E2972" s="171">
        <f>IFERROR(__xludf.DUMMYFUNCTION("""COMPUTED_VALUE"""),43279.0)</f>
        <v>43279</v>
      </c>
      <c r="F2972" s="172">
        <f>IFERROR(__xludf.DUMMYFUNCTION("""COMPUTED_VALUE"""),43296.0)</f>
        <v>43296</v>
      </c>
      <c r="G2972" s="173"/>
      <c r="H2972" s="174">
        <f>IFERROR(__xludf.DUMMYFUNCTION("""COMPUTED_VALUE"""),54762.0)</f>
        <v>54762</v>
      </c>
      <c r="I2972" s="175"/>
      <c r="J2972" s="172">
        <f>IFERROR(__xludf.DUMMYFUNCTION("""COMPUTED_VALUE"""),43334.0)</f>
        <v>43334</v>
      </c>
      <c r="K2972" s="176">
        <f>IFERROR(__xludf.DUMMYFUNCTION("""COMPUTED_VALUE"""),17.0)</f>
        <v>17</v>
      </c>
      <c r="L2972" s="176">
        <f>IFERROR(__xludf.DUMMYFUNCTION("""COMPUTED_VALUE"""),38.0)</f>
        <v>38</v>
      </c>
      <c r="M2972" s="176">
        <f>IFERROR(__xludf.DUMMYFUNCTION("""COMPUTED_VALUE"""),55.0)</f>
        <v>55</v>
      </c>
      <c r="N2972" s="177" t="str">
        <f>IFERROR(__xludf.DUMMYFUNCTION("""COMPUTED_VALUE"""),"Model 3 LR AWD")</f>
        <v>Model 3 LR AWD</v>
      </c>
      <c r="O2972" s="177" t="str">
        <f>IFERROR(__xludf.DUMMYFUNCTION("""COMPUTED_VALUE"""),"Deep Blue Metallic")</f>
        <v>Deep Blue Metallic</v>
      </c>
      <c r="P2972" s="178" t="str">
        <f>IFERROR(__xludf.DUMMYFUNCTION("""COMPUTED_VALUE"""),"19 inch Sport")</f>
        <v>19 inch Sport</v>
      </c>
      <c r="Q2972" s="177" t="str">
        <f>IFERROR(__xludf.DUMMYFUNCTION("""COMPUTED_VALUE"""),"Black seats")</f>
        <v>Black seats</v>
      </c>
      <c r="R2972" s="170" t="str">
        <f>IFERROR(__xludf.DUMMYFUNCTION("""COMPUTED_VALUE"""),"Enhanced Autopilot")</f>
        <v>Enhanced Autopilot</v>
      </c>
      <c r="S2972" s="170"/>
      <c r="T2972" s="179"/>
      <c r="U2972" s="179"/>
      <c r="V2972" s="179"/>
      <c r="W2972" s="180"/>
      <c r="X2972" s="181" t="str">
        <f>IFERROR(__xludf.DUMMYFUNCTION("""COMPUTED_VALUE"""),"Excellent")</f>
        <v>Excellent</v>
      </c>
      <c r="Y2972" s="182" t="str">
        <f>IFERROR(__xludf.DUMMYFUNCTION("""COMPUTED_VALUE"""),"Excellent")</f>
        <v>Excellent</v>
      </c>
      <c r="Z2972" s="182" t="str">
        <f>IFERROR(__xludf.DUMMYFUNCTION("""COMPUTED_VALUE"""),"Excellent")</f>
        <v>Excellent</v>
      </c>
      <c r="AA2972" s="182" t="str">
        <f>IFERROR(__xludf.DUMMYFUNCTION("""COMPUTED_VALUE"""),"Excellent")</f>
        <v>Excellent</v>
      </c>
      <c r="AB2972" s="182" t="str">
        <f>IFERROR(__xludf.DUMMYFUNCTION("""COMPUTED_VALUE"""),"Excellent")</f>
        <v>Excellent</v>
      </c>
      <c r="AC2972" s="183"/>
      <c r="AD2972" s="183"/>
      <c r="AE2972" s="183"/>
      <c r="AF2972" s="184"/>
      <c r="AG2972" s="180"/>
      <c r="AH2972" s="185">
        <f>IFERROR(__xludf.DUMMYFUNCTION("""COMPUTED_VALUE"""),43334.842044282406)</f>
        <v>43334.84204</v>
      </c>
      <c r="AI2972" s="182"/>
      <c r="AJ2972" s="182"/>
      <c r="AK2972" s="182"/>
      <c r="AL2972" s="182"/>
    </row>
    <row r="2973" ht="20.25" customHeight="1">
      <c r="A2973" s="169" t="str">
        <f>IFERROR(__xludf.DUMMYFUNCTION("""COMPUTED_VALUE"""),"senaloyd")</f>
        <v>senaloyd</v>
      </c>
      <c r="B2973" s="170" t="str">
        <f>IFERROR(__xludf.DUMMYFUNCTION("""COMPUTED_VALUE"""),"Carson City, NV")</f>
        <v>Carson City, NV</v>
      </c>
      <c r="C2973" s="170" t="str">
        <f>IFERROR(__xludf.DUMMYFUNCTION("""COMPUTED_VALUE"""),"NV")</f>
        <v>NV</v>
      </c>
      <c r="D2973" s="170" t="str">
        <f>IFERROR(__xludf.DUMMYFUNCTION("""COMPUTED_VALUE"""),"USA")</f>
        <v>USA</v>
      </c>
      <c r="E2973" s="171">
        <f>IFERROR(__xludf.DUMMYFUNCTION("""COMPUTED_VALUE"""),43279.0)</f>
        <v>43279</v>
      </c>
      <c r="F2973" s="172">
        <f>IFERROR(__xludf.DUMMYFUNCTION("""COMPUTED_VALUE"""),43334.0)</f>
        <v>43334</v>
      </c>
      <c r="G2973" s="173"/>
      <c r="H2973" s="174">
        <f>IFERROR(__xludf.DUMMYFUNCTION("""COMPUTED_VALUE"""),64685.0)</f>
        <v>64685</v>
      </c>
      <c r="I2973" s="175" t="str">
        <f>IFERROR(__xludf.DUMMYFUNCTION("""COMPUTED_VALUE"""),"08/18")</f>
        <v>08/18</v>
      </c>
      <c r="J2973" s="172">
        <f>IFERROR(__xludf.DUMMYFUNCTION("""COMPUTED_VALUE"""),43340.0)</f>
        <v>43340</v>
      </c>
      <c r="K2973" s="176">
        <f>IFERROR(__xludf.DUMMYFUNCTION("""COMPUTED_VALUE"""),55.0)</f>
        <v>55</v>
      </c>
      <c r="L2973" s="176">
        <f>IFERROR(__xludf.DUMMYFUNCTION("""COMPUTED_VALUE"""),6.0)</f>
        <v>6</v>
      </c>
      <c r="M2973" s="176">
        <f>IFERROR(__xludf.DUMMYFUNCTION("""COMPUTED_VALUE"""),61.0)</f>
        <v>61</v>
      </c>
      <c r="N2973" s="177" t="str">
        <f>IFERROR(__xludf.DUMMYFUNCTION("""COMPUTED_VALUE"""),"Model 3 LR AWD")</f>
        <v>Model 3 LR AWD</v>
      </c>
      <c r="O2973" s="177" t="str">
        <f>IFERROR(__xludf.DUMMYFUNCTION("""COMPUTED_VALUE"""),"Deep Blue Metallic")</f>
        <v>Deep Blue Metallic</v>
      </c>
      <c r="P2973" s="178" t="str">
        <f>IFERROR(__xludf.DUMMYFUNCTION("""COMPUTED_VALUE"""),"18 inch Aero")</f>
        <v>18 inch Aero</v>
      </c>
      <c r="Q2973" s="177" t="str">
        <f>IFERROR(__xludf.DUMMYFUNCTION("""COMPUTED_VALUE"""),"Black seats")</f>
        <v>Black seats</v>
      </c>
      <c r="R2973" s="170" t="str">
        <f>IFERROR(__xludf.DUMMYFUNCTION("""COMPUTED_VALUE"""),"Full Self-Driving")</f>
        <v>Full Self-Driving</v>
      </c>
      <c r="S2973" s="170"/>
      <c r="T2973" s="179"/>
      <c r="U2973" s="179"/>
      <c r="V2973" s="179"/>
      <c r="W2973" s="180"/>
      <c r="X2973" s="181" t="str">
        <f>IFERROR(__xludf.DUMMYFUNCTION("""COMPUTED_VALUE"""),"Very Good")</f>
        <v>Very Good</v>
      </c>
      <c r="Y2973" s="182" t="str">
        <f>IFERROR(__xludf.DUMMYFUNCTION("""COMPUTED_VALUE"""),"Excellent")</f>
        <v>Excellent</v>
      </c>
      <c r="Z2973" s="182" t="str">
        <f>IFERROR(__xludf.DUMMYFUNCTION("""COMPUTED_VALUE"""),"Very Good")</f>
        <v>Very Good</v>
      </c>
      <c r="AA2973" s="182" t="str">
        <f>IFERROR(__xludf.DUMMYFUNCTION("""COMPUTED_VALUE"""),"Good")</f>
        <v>Good</v>
      </c>
      <c r="AB2973" s="182" t="str">
        <f>IFERROR(__xludf.DUMMYFUNCTION("""COMPUTED_VALUE"""),"Very Good")</f>
        <v>Very Good</v>
      </c>
      <c r="AC2973" s="183"/>
      <c r="AD2973" s="183"/>
      <c r="AE2973" s="183"/>
      <c r="AF2973" s="184"/>
      <c r="AG2973" s="180"/>
      <c r="AH2973" s="185">
        <f>IFERROR(__xludf.DUMMYFUNCTION("""COMPUTED_VALUE"""),43340.840357465284)</f>
        <v>43340.84036</v>
      </c>
      <c r="AI2973" s="182"/>
      <c r="AJ2973" s="182"/>
      <c r="AK2973" s="182"/>
      <c r="AL2973" s="182"/>
    </row>
    <row r="2974" ht="20.25" customHeight="1">
      <c r="A2974" s="169" t="str">
        <f>IFERROR(__xludf.DUMMYFUNCTION("""COMPUTED_VALUE"""),"SJS")</f>
        <v>SJS</v>
      </c>
      <c r="B2974" s="170" t="str">
        <f>IFERROR(__xludf.DUMMYFUNCTION("""COMPUTED_VALUE"""),"Charlotte")</f>
        <v>Charlotte</v>
      </c>
      <c r="C2974" s="170" t="str">
        <f>IFERROR(__xludf.DUMMYFUNCTION("""COMPUTED_VALUE"""),"NC")</f>
        <v>NC</v>
      </c>
      <c r="D2974" s="170" t="str">
        <f>IFERROR(__xludf.DUMMYFUNCTION("""COMPUTED_VALUE"""),"USA")</f>
        <v>USA</v>
      </c>
      <c r="E2974" s="171">
        <f>IFERROR(__xludf.DUMMYFUNCTION("""COMPUTED_VALUE"""),43279.0)</f>
        <v>43279</v>
      </c>
      <c r="F2974" s="172">
        <f>IFERROR(__xludf.DUMMYFUNCTION("""COMPUTED_VALUE"""),43339.0)</f>
        <v>43339</v>
      </c>
      <c r="G2974" s="173"/>
      <c r="H2974" s="174">
        <f>IFERROR(__xludf.DUMMYFUNCTION("""COMPUTED_VALUE"""),70655.0)</f>
        <v>70655</v>
      </c>
      <c r="I2974" s="175" t="str">
        <f>IFERROR(__xludf.DUMMYFUNCTION("""COMPUTED_VALUE"""),"08/18")</f>
        <v>08/18</v>
      </c>
      <c r="J2974" s="172">
        <f>IFERROR(__xludf.DUMMYFUNCTION("""COMPUTED_VALUE"""),43361.0)</f>
        <v>43361</v>
      </c>
      <c r="K2974" s="176">
        <f>IFERROR(__xludf.DUMMYFUNCTION("""COMPUTED_VALUE"""),60.0)</f>
        <v>60</v>
      </c>
      <c r="L2974" s="176">
        <f>IFERROR(__xludf.DUMMYFUNCTION("""COMPUTED_VALUE"""),22.0)</f>
        <v>22</v>
      </c>
      <c r="M2974" s="176">
        <f>IFERROR(__xludf.DUMMYFUNCTION("""COMPUTED_VALUE"""),82.0)</f>
        <v>82</v>
      </c>
      <c r="N2974" s="177" t="str">
        <f>IFERROR(__xludf.DUMMYFUNCTION("""COMPUTED_VALUE"""),"Model 3 LR AWD")</f>
        <v>Model 3 LR AWD</v>
      </c>
      <c r="O2974" s="177" t="str">
        <f>IFERROR(__xludf.DUMMYFUNCTION("""COMPUTED_VALUE"""),"Obsidian Black Metallic")</f>
        <v>Obsidian Black Metallic</v>
      </c>
      <c r="P2974" s="178" t="str">
        <f>IFERROR(__xludf.DUMMYFUNCTION("""COMPUTED_VALUE"""),"18 inch Aero")</f>
        <v>18 inch Aero</v>
      </c>
      <c r="Q2974" s="177" t="str">
        <f>IFERROR(__xludf.DUMMYFUNCTION("""COMPUTED_VALUE"""),"Black seats")</f>
        <v>Black seats</v>
      </c>
      <c r="R2974" s="170" t="str">
        <f>IFERROR(__xludf.DUMMYFUNCTION("""COMPUTED_VALUE"""),"Enhanced Autopilot")</f>
        <v>Enhanced Autopilot</v>
      </c>
      <c r="S2974" s="170"/>
      <c r="T2974" s="179"/>
      <c r="U2974" s="179"/>
      <c r="V2974" s="179"/>
      <c r="W2974" s="180"/>
      <c r="X2974" s="181" t="str">
        <f>IFERROR(__xludf.DUMMYFUNCTION("""COMPUTED_VALUE"""),"Excellent")</f>
        <v>Excellent</v>
      </c>
      <c r="Y2974" s="182" t="str">
        <f>IFERROR(__xludf.DUMMYFUNCTION("""COMPUTED_VALUE"""),"Excellent")</f>
        <v>Excellent</v>
      </c>
      <c r="Z2974" s="182" t="str">
        <f>IFERROR(__xludf.DUMMYFUNCTION("""COMPUTED_VALUE"""),"Very Good")</f>
        <v>Very Good</v>
      </c>
      <c r="AA2974" s="182" t="str">
        <f>IFERROR(__xludf.DUMMYFUNCTION("""COMPUTED_VALUE"""),"Excellent")</f>
        <v>Excellent</v>
      </c>
      <c r="AB2974" s="182" t="str">
        <f>IFERROR(__xludf.DUMMYFUNCTION("""COMPUTED_VALUE"""),"Excellent")</f>
        <v>Excellent</v>
      </c>
      <c r="AC2974" s="183"/>
      <c r="AD2974" s="183"/>
      <c r="AE2974" s="183"/>
      <c r="AF2974" s="184"/>
      <c r="AG2974" s="180"/>
      <c r="AH2974" s="185">
        <f>IFERROR(__xludf.DUMMYFUNCTION("""COMPUTED_VALUE"""),43361.64912751158)</f>
        <v>43361.64913</v>
      </c>
      <c r="AI2974" s="182"/>
      <c r="AJ2974" s="182"/>
      <c r="AK2974" s="182"/>
      <c r="AL2974" s="182"/>
    </row>
    <row r="2975" ht="20.25" customHeight="1">
      <c r="A2975" s="169" t="str">
        <f>IFERROR(__xludf.DUMMYFUNCTION("""COMPUTED_VALUE"""),"skegar")</f>
        <v>skegar</v>
      </c>
      <c r="B2975" s="170" t="str">
        <f>IFERROR(__xludf.DUMMYFUNCTION("""COMPUTED_VALUE"""),"San Diego")</f>
        <v>San Diego</v>
      </c>
      <c r="C2975" s="170" t="str">
        <f>IFERROR(__xludf.DUMMYFUNCTION("""COMPUTED_VALUE"""),"CA")</f>
        <v>CA</v>
      </c>
      <c r="D2975" s="170" t="str">
        <f>IFERROR(__xludf.DUMMYFUNCTION("""COMPUTED_VALUE"""),"USA")</f>
        <v>USA</v>
      </c>
      <c r="E2975" s="171">
        <f>IFERROR(__xludf.DUMMYFUNCTION("""COMPUTED_VALUE"""),43279.0)</f>
        <v>43279</v>
      </c>
      <c r="F2975" s="172">
        <f>IFERROR(__xludf.DUMMYFUNCTION("""COMPUTED_VALUE"""),43364.0)</f>
        <v>43364</v>
      </c>
      <c r="G2975" s="173"/>
      <c r="H2975" s="174">
        <f>IFERROR(__xludf.DUMMYFUNCTION("""COMPUTED_VALUE"""),75355.0)</f>
        <v>75355</v>
      </c>
      <c r="I2975" s="175"/>
      <c r="J2975" s="172">
        <f>IFERROR(__xludf.DUMMYFUNCTION("""COMPUTED_VALUE"""),43365.0)</f>
        <v>43365</v>
      </c>
      <c r="K2975" s="176">
        <f>IFERROR(__xludf.DUMMYFUNCTION("""COMPUTED_VALUE"""),85.0)</f>
        <v>85</v>
      </c>
      <c r="L2975" s="176">
        <f>IFERROR(__xludf.DUMMYFUNCTION("""COMPUTED_VALUE"""),1.0)</f>
        <v>1</v>
      </c>
      <c r="M2975" s="176">
        <f>IFERROR(__xludf.DUMMYFUNCTION("""COMPUTED_VALUE"""),86.0)</f>
        <v>86</v>
      </c>
      <c r="N2975" s="177" t="str">
        <f>IFERROR(__xludf.DUMMYFUNCTION("""COMPUTED_VALUE"""),"Model 3 Performance")</f>
        <v>Model 3 Performance</v>
      </c>
      <c r="O2975" s="177" t="str">
        <f>IFERROR(__xludf.DUMMYFUNCTION("""COMPUTED_VALUE"""),"Red Multi-Coat")</f>
        <v>Red Multi-Coat</v>
      </c>
      <c r="P2975" s="178" t="str">
        <f>IFERROR(__xludf.DUMMYFUNCTION("""COMPUTED_VALUE"""),"20 inch Sport")</f>
        <v>20 inch Sport</v>
      </c>
      <c r="Q2975" s="177" t="str">
        <f>IFERROR(__xludf.DUMMYFUNCTION("""COMPUTED_VALUE"""),"Black seats")</f>
        <v>Black seats</v>
      </c>
      <c r="R2975" s="170" t="str">
        <f>IFERROR(__xludf.DUMMYFUNCTION("""COMPUTED_VALUE"""),"None")</f>
        <v>None</v>
      </c>
      <c r="S2975" s="170"/>
      <c r="T2975" s="179"/>
      <c r="U2975" s="179"/>
      <c r="V2975" s="179"/>
      <c r="W2975" s="180"/>
      <c r="X2975" s="181" t="str">
        <f>IFERROR(__xludf.DUMMYFUNCTION("""COMPUTED_VALUE"""),"Excellent")</f>
        <v>Excellent</v>
      </c>
      <c r="Y2975" s="182" t="str">
        <f>IFERROR(__xludf.DUMMYFUNCTION("""COMPUTED_VALUE"""),"Excellent")</f>
        <v>Excellent</v>
      </c>
      <c r="Z2975" s="182" t="str">
        <f>IFERROR(__xludf.DUMMYFUNCTION("""COMPUTED_VALUE"""),"Excellent")</f>
        <v>Excellent</v>
      </c>
      <c r="AA2975" s="182" t="str">
        <f>IFERROR(__xludf.DUMMYFUNCTION("""COMPUTED_VALUE"""),"Very Good")</f>
        <v>Very Good</v>
      </c>
      <c r="AB2975" s="182" t="str">
        <f>IFERROR(__xludf.DUMMYFUNCTION("""COMPUTED_VALUE"""),"Very Good")</f>
        <v>Very Good</v>
      </c>
      <c r="AC2975" s="183"/>
      <c r="AD2975" s="183"/>
      <c r="AE2975" s="183"/>
      <c r="AF2975" s="184"/>
      <c r="AG2975" s="180"/>
      <c r="AH2975" s="185">
        <f>IFERROR(__xludf.DUMMYFUNCTION("""COMPUTED_VALUE"""),43368.75276743055)</f>
        <v>43368.75277</v>
      </c>
      <c r="AI2975" s="182"/>
      <c r="AJ2975" s="182"/>
      <c r="AK2975" s="182"/>
      <c r="AL2975" s="182"/>
    </row>
    <row r="2976" ht="20.25" customHeight="1">
      <c r="A2976" s="169" t="str">
        <f>IFERROR(__xludf.DUMMYFUNCTION("""COMPUTED_VALUE"""),"smf")</f>
        <v>smf</v>
      </c>
      <c r="B2976" s="170" t="str">
        <f>IFERROR(__xludf.DUMMYFUNCTION("""COMPUTED_VALUE"""),"Seattle")</f>
        <v>Seattle</v>
      </c>
      <c r="C2976" s="170" t="str">
        <f>IFERROR(__xludf.DUMMYFUNCTION("""COMPUTED_VALUE"""),"WA")</f>
        <v>WA</v>
      </c>
      <c r="D2976" s="170" t="str">
        <f>IFERROR(__xludf.DUMMYFUNCTION("""COMPUTED_VALUE"""),"USA")</f>
        <v>USA</v>
      </c>
      <c r="E2976" s="171">
        <f>IFERROR(__xludf.DUMMYFUNCTION("""COMPUTED_VALUE"""),43279.0)</f>
        <v>43279</v>
      </c>
      <c r="F2976" s="172">
        <f>IFERROR(__xludf.DUMMYFUNCTION("""COMPUTED_VALUE"""),43348.0)</f>
        <v>43348</v>
      </c>
      <c r="G2976" s="173"/>
      <c r="H2976" s="174">
        <f>IFERROR(__xludf.DUMMYFUNCTION("""COMPUTED_VALUE"""),65352.0)</f>
        <v>65352</v>
      </c>
      <c r="I2976" s="175" t="str">
        <f>IFERROR(__xludf.DUMMYFUNCTION("""COMPUTED_VALUE"""),"09/18")</f>
        <v>09/18</v>
      </c>
      <c r="J2976" s="172">
        <f>IFERROR(__xludf.DUMMYFUNCTION("""COMPUTED_VALUE"""),43354.0)</f>
        <v>43354</v>
      </c>
      <c r="K2976" s="176">
        <f>IFERROR(__xludf.DUMMYFUNCTION("""COMPUTED_VALUE"""),69.0)</f>
        <v>69</v>
      </c>
      <c r="L2976" s="176">
        <f>IFERROR(__xludf.DUMMYFUNCTION("""COMPUTED_VALUE"""),6.0)</f>
        <v>6</v>
      </c>
      <c r="M2976" s="176">
        <f>IFERROR(__xludf.DUMMYFUNCTION("""COMPUTED_VALUE"""),75.0)</f>
        <v>75</v>
      </c>
      <c r="N2976" s="177" t="str">
        <f>IFERROR(__xludf.DUMMYFUNCTION("""COMPUTED_VALUE"""),"Model 3 LR AWD")</f>
        <v>Model 3 LR AWD</v>
      </c>
      <c r="O2976" s="177" t="str">
        <f>IFERROR(__xludf.DUMMYFUNCTION("""COMPUTED_VALUE"""),"Silver Metallic")</f>
        <v>Silver Metallic</v>
      </c>
      <c r="P2976" s="178" t="str">
        <f>IFERROR(__xludf.DUMMYFUNCTION("""COMPUTED_VALUE"""),"18 inch Aero")</f>
        <v>18 inch Aero</v>
      </c>
      <c r="Q2976" s="177" t="str">
        <f>IFERROR(__xludf.DUMMYFUNCTION("""COMPUTED_VALUE"""),"Black seats")</f>
        <v>Black seats</v>
      </c>
      <c r="R2976" s="170" t="str">
        <f>IFERROR(__xludf.DUMMYFUNCTION("""COMPUTED_VALUE"""),"Enhanced Autopilot")</f>
        <v>Enhanced Autopilot</v>
      </c>
      <c r="S2976" s="170"/>
      <c r="T2976" s="179"/>
      <c r="U2976" s="179"/>
      <c r="V2976" s="179"/>
      <c r="W2976" s="180"/>
      <c r="X2976" s="181" t="str">
        <f>IFERROR(__xludf.DUMMYFUNCTION("""COMPUTED_VALUE"""),"Excellent")</f>
        <v>Excellent</v>
      </c>
      <c r="Y2976" s="182" t="str">
        <f>IFERROR(__xludf.DUMMYFUNCTION("""COMPUTED_VALUE"""),"Excellent")</f>
        <v>Excellent</v>
      </c>
      <c r="Z2976" s="182" t="str">
        <f>IFERROR(__xludf.DUMMYFUNCTION("""COMPUTED_VALUE"""),"Very Good")</f>
        <v>Very Good</v>
      </c>
      <c r="AA2976" s="182" t="str">
        <f>IFERROR(__xludf.DUMMYFUNCTION("""COMPUTED_VALUE"""),"Fair")</f>
        <v>Fair</v>
      </c>
      <c r="AB2976" s="182" t="str">
        <f>IFERROR(__xludf.DUMMYFUNCTION("""COMPUTED_VALUE"""),"Very Good")</f>
        <v>Very Good</v>
      </c>
      <c r="AC2976" s="183"/>
      <c r="AD2976" s="183"/>
      <c r="AE2976" s="183"/>
      <c r="AF2976" s="184"/>
      <c r="AG2976" s="180"/>
      <c r="AH2976" s="185">
        <f>IFERROR(__xludf.DUMMYFUNCTION("""COMPUTED_VALUE"""),43354.82519298611)</f>
        <v>43354.82519</v>
      </c>
      <c r="AI2976" s="182"/>
      <c r="AJ2976" s="182"/>
      <c r="AK2976" s="182"/>
      <c r="AL2976" s="182"/>
    </row>
    <row r="2977" ht="20.25" customHeight="1">
      <c r="A2977" s="169" t="str">
        <f>IFERROR(__xludf.DUMMYFUNCTION("""COMPUTED_VALUE"""),"snazz")</f>
        <v>snazz</v>
      </c>
      <c r="B2977" s="170" t="str">
        <f>IFERROR(__xludf.DUMMYFUNCTION("""COMPUTED_VALUE"""),"Bothell")</f>
        <v>Bothell</v>
      </c>
      <c r="C2977" s="170" t="str">
        <f>IFERROR(__xludf.DUMMYFUNCTION("""COMPUTED_VALUE"""),"WA")</f>
        <v>WA</v>
      </c>
      <c r="D2977" s="170" t="str">
        <f>IFERROR(__xludf.DUMMYFUNCTION("""COMPUTED_VALUE"""),"USA")</f>
        <v>USA</v>
      </c>
      <c r="E2977" s="171">
        <f>IFERROR(__xludf.DUMMYFUNCTION("""COMPUTED_VALUE"""),43279.0)</f>
        <v>43279</v>
      </c>
      <c r="F2977" s="172">
        <f>IFERROR(__xludf.DUMMYFUNCTION("""COMPUTED_VALUE"""),43363.0)</f>
        <v>43363</v>
      </c>
      <c r="G2977" s="173"/>
      <c r="H2977" s="174">
        <f>IFERROR(__xludf.DUMMYFUNCTION("""COMPUTED_VALUE"""),91455.0)</f>
        <v>91455</v>
      </c>
      <c r="I2977" s="175"/>
      <c r="J2977" s="172">
        <f>IFERROR(__xludf.DUMMYFUNCTION("""COMPUTED_VALUE"""),43373.0)</f>
        <v>43373</v>
      </c>
      <c r="K2977" s="176">
        <f>IFERROR(__xludf.DUMMYFUNCTION("""COMPUTED_VALUE"""),84.0)</f>
        <v>84</v>
      </c>
      <c r="L2977" s="176">
        <f>IFERROR(__xludf.DUMMYFUNCTION("""COMPUTED_VALUE"""),10.0)</f>
        <v>10</v>
      </c>
      <c r="M2977" s="176">
        <f>IFERROR(__xludf.DUMMYFUNCTION("""COMPUTED_VALUE"""),94.0)</f>
        <v>94</v>
      </c>
      <c r="N2977" s="177" t="str">
        <f>IFERROR(__xludf.DUMMYFUNCTION("""COMPUTED_VALUE"""),"Model 3 LR AWD")</f>
        <v>Model 3 LR AWD</v>
      </c>
      <c r="O2977" s="177" t="str">
        <f>IFERROR(__xludf.DUMMYFUNCTION("""COMPUTED_VALUE"""),"Red Multi-Coat")</f>
        <v>Red Multi-Coat</v>
      </c>
      <c r="P2977" s="178" t="str">
        <f>IFERROR(__xludf.DUMMYFUNCTION("""COMPUTED_VALUE"""),"19 inch Sport")</f>
        <v>19 inch Sport</v>
      </c>
      <c r="Q2977" s="177" t="str">
        <f>IFERROR(__xludf.DUMMYFUNCTION("""COMPUTED_VALUE"""),"Black seats")</f>
        <v>Black seats</v>
      </c>
      <c r="R2977" s="170" t="str">
        <f>IFERROR(__xludf.DUMMYFUNCTION("""COMPUTED_VALUE"""),"Enhanced Autopilot")</f>
        <v>Enhanced Autopilot</v>
      </c>
      <c r="S2977" s="170"/>
      <c r="T2977" s="179"/>
      <c r="U2977" s="179"/>
      <c r="V2977" s="179"/>
      <c r="W2977" s="180"/>
      <c r="X2977" s="181" t="str">
        <f>IFERROR(__xludf.DUMMYFUNCTION("""COMPUTED_VALUE"""),"Excellent")</f>
        <v>Excellent</v>
      </c>
      <c r="Y2977" s="182" t="str">
        <f>IFERROR(__xludf.DUMMYFUNCTION("""COMPUTED_VALUE"""),"Excellent")</f>
        <v>Excellent</v>
      </c>
      <c r="Z2977" s="182" t="str">
        <f>IFERROR(__xludf.DUMMYFUNCTION("""COMPUTED_VALUE"""),"Excellent")</f>
        <v>Excellent</v>
      </c>
      <c r="AA2977" s="182" t="str">
        <f>IFERROR(__xludf.DUMMYFUNCTION("""COMPUTED_VALUE"""),"Fair")</f>
        <v>Fair</v>
      </c>
      <c r="AB2977" s="182" t="str">
        <f>IFERROR(__xludf.DUMMYFUNCTION("""COMPUTED_VALUE"""),"Good")</f>
        <v>Good</v>
      </c>
      <c r="AC2977" s="183"/>
      <c r="AD2977" s="183"/>
      <c r="AE2977" s="183"/>
      <c r="AF2977" s="184"/>
      <c r="AG2977" s="180"/>
      <c r="AH2977" s="185">
        <f>IFERROR(__xludf.DUMMYFUNCTION("""COMPUTED_VALUE"""),43377.00903862269)</f>
        <v>43377.00904</v>
      </c>
      <c r="AI2977" s="182"/>
      <c r="AJ2977" s="182"/>
      <c r="AK2977" s="182"/>
      <c r="AL2977" s="182"/>
    </row>
    <row r="2978" ht="20.25" customHeight="1">
      <c r="A2978" s="169" t="str">
        <f>IFERROR(__xludf.DUMMYFUNCTION("""COMPUTED_VALUE"""),"snowflake")</f>
        <v>snowflake</v>
      </c>
      <c r="B2978" s="170"/>
      <c r="C2978" s="170" t="str">
        <f>IFERROR(__xludf.DUMMYFUNCTION("""COMPUTED_VALUE"""),"MD")</f>
        <v>MD</v>
      </c>
      <c r="D2978" s="170" t="str">
        <f>IFERROR(__xludf.DUMMYFUNCTION("""COMPUTED_VALUE"""),"USA")</f>
        <v>USA</v>
      </c>
      <c r="E2978" s="171">
        <f>IFERROR(__xludf.DUMMYFUNCTION("""COMPUTED_VALUE"""),43279.0)</f>
        <v>43279</v>
      </c>
      <c r="F2978" s="172">
        <f>IFERROR(__xludf.DUMMYFUNCTION("""COMPUTED_VALUE"""),43363.0)</f>
        <v>43363</v>
      </c>
      <c r="G2978" s="173"/>
      <c r="H2978" s="174">
        <f>IFERROR(__xludf.DUMMYFUNCTION("""COMPUTED_VALUE"""),63955.0)</f>
        <v>63955</v>
      </c>
      <c r="I2978" s="175"/>
      <c r="J2978" s="172">
        <f>IFERROR(__xludf.DUMMYFUNCTION("""COMPUTED_VALUE"""),43371.0)</f>
        <v>43371</v>
      </c>
      <c r="K2978" s="176">
        <f>IFERROR(__xludf.DUMMYFUNCTION("""COMPUTED_VALUE"""),84.0)</f>
        <v>84</v>
      </c>
      <c r="L2978" s="176">
        <f>IFERROR(__xludf.DUMMYFUNCTION("""COMPUTED_VALUE"""),8.0)</f>
        <v>8</v>
      </c>
      <c r="M2978" s="176">
        <f>IFERROR(__xludf.DUMMYFUNCTION("""COMPUTED_VALUE"""),92.0)</f>
        <v>92</v>
      </c>
      <c r="N2978" s="177" t="str">
        <f>IFERROR(__xludf.DUMMYFUNCTION("""COMPUTED_VALUE"""),"Model 3 LR AWD")</f>
        <v>Model 3 LR AWD</v>
      </c>
      <c r="O2978" s="177" t="str">
        <f>IFERROR(__xludf.DUMMYFUNCTION("""COMPUTED_VALUE"""),"Deep Blue Metallic")</f>
        <v>Deep Blue Metallic</v>
      </c>
      <c r="P2978" s="178" t="str">
        <f>IFERROR(__xludf.DUMMYFUNCTION("""COMPUTED_VALUE"""),"19 inch Sport")</f>
        <v>19 inch Sport</v>
      </c>
      <c r="Q2978" s="177" t="str">
        <f>IFERROR(__xludf.DUMMYFUNCTION("""COMPUTED_VALUE"""),"Black seats")</f>
        <v>Black seats</v>
      </c>
      <c r="R2978" s="170" t="str">
        <f>IFERROR(__xludf.DUMMYFUNCTION("""COMPUTED_VALUE"""),"None")</f>
        <v>None</v>
      </c>
      <c r="S2978" s="170"/>
      <c r="T2978" s="179"/>
      <c r="U2978" s="179"/>
      <c r="V2978" s="179"/>
      <c r="W2978" s="180"/>
      <c r="X2978" s="181" t="str">
        <f>IFERROR(__xludf.DUMMYFUNCTION("""COMPUTED_VALUE"""),"Excellent")</f>
        <v>Excellent</v>
      </c>
      <c r="Y2978" s="182" t="str">
        <f>IFERROR(__xludf.DUMMYFUNCTION("""COMPUTED_VALUE"""),"Excellent")</f>
        <v>Excellent</v>
      </c>
      <c r="Z2978" s="182" t="str">
        <f>IFERROR(__xludf.DUMMYFUNCTION("""COMPUTED_VALUE"""),"Excellent")</f>
        <v>Excellent</v>
      </c>
      <c r="AA2978" s="182" t="str">
        <f>IFERROR(__xludf.DUMMYFUNCTION("""COMPUTED_VALUE"""),"Very Good")</f>
        <v>Very Good</v>
      </c>
      <c r="AB2978" s="182" t="str">
        <f>IFERROR(__xludf.DUMMYFUNCTION("""COMPUTED_VALUE"""),"Excellent")</f>
        <v>Excellent</v>
      </c>
      <c r="AC2978" s="183"/>
      <c r="AD2978" s="183"/>
      <c r="AE2978" s="183"/>
      <c r="AF2978" s="184"/>
      <c r="AG2978" s="180" t="str">
        <f>IFERROR(__xludf.DUMMYFUNCTION("""COMPUTED_VALUE"""),"Delivered 2 days earlier than the initial scheduled delivery date.")</f>
        <v>Delivered 2 days earlier than the initial scheduled delivery date.</v>
      </c>
      <c r="AH2978" s="185">
        <f>IFERROR(__xludf.DUMMYFUNCTION("""COMPUTED_VALUE"""),43369.77397248842)</f>
        <v>43369.77397</v>
      </c>
      <c r="AI2978" s="182"/>
      <c r="AJ2978" s="182"/>
      <c r="AK2978" s="182"/>
      <c r="AL2978" s="182"/>
    </row>
    <row r="2979" ht="20.25" customHeight="1">
      <c r="A2979" s="169" t="str">
        <f>IFERROR(__xludf.DUMMYFUNCTION("""COMPUTED_VALUE"""),"sootless")</f>
        <v>sootless</v>
      </c>
      <c r="B2979" s="170" t="str">
        <f>IFERROR(__xludf.DUMMYFUNCTION("""COMPUTED_VALUE"""),"Toronto")</f>
        <v>Toronto</v>
      </c>
      <c r="C2979" s="170" t="str">
        <f>IFERROR(__xludf.DUMMYFUNCTION("""COMPUTED_VALUE"""),"ON")</f>
        <v>ON</v>
      </c>
      <c r="D2979" s="170" t="str">
        <f>IFERROR(__xludf.DUMMYFUNCTION("""COMPUTED_VALUE"""),"Canada")</f>
        <v>Canada</v>
      </c>
      <c r="E2979" s="171">
        <f>IFERROR(__xludf.DUMMYFUNCTION("""COMPUTED_VALUE"""),43279.0)</f>
        <v>43279</v>
      </c>
      <c r="F2979" s="172">
        <f>IFERROR(__xludf.DUMMYFUNCTION("""COMPUTED_VALUE"""),43342.0)</f>
        <v>43342</v>
      </c>
      <c r="G2979" s="173"/>
      <c r="H2979" s="174">
        <f>IFERROR(__xludf.DUMMYFUNCTION("""COMPUTED_VALUE"""),109855.0)</f>
        <v>109855</v>
      </c>
      <c r="I2979" s="175" t="str">
        <f>IFERROR(__xludf.DUMMYFUNCTION("""COMPUTED_VALUE"""),"08/18")</f>
        <v>08/18</v>
      </c>
      <c r="J2979" s="172">
        <f>IFERROR(__xludf.DUMMYFUNCTION("""COMPUTED_VALUE"""),43376.0)</f>
        <v>43376</v>
      </c>
      <c r="K2979" s="176">
        <f>IFERROR(__xludf.DUMMYFUNCTION("""COMPUTED_VALUE"""),63.0)</f>
        <v>63</v>
      </c>
      <c r="L2979" s="176">
        <f>IFERROR(__xludf.DUMMYFUNCTION("""COMPUTED_VALUE"""),34.0)</f>
        <v>34</v>
      </c>
      <c r="M2979" s="176">
        <f>IFERROR(__xludf.DUMMYFUNCTION("""COMPUTED_VALUE"""),97.0)</f>
        <v>97</v>
      </c>
      <c r="N2979" s="177" t="str">
        <f>IFERROR(__xludf.DUMMYFUNCTION("""COMPUTED_VALUE"""),"Model 3 Performance")</f>
        <v>Model 3 Performance</v>
      </c>
      <c r="O2979" s="177" t="str">
        <f>IFERROR(__xludf.DUMMYFUNCTION("""COMPUTED_VALUE"""),"Red Multi-Coat")</f>
        <v>Red Multi-Coat</v>
      </c>
      <c r="P2979" s="178" t="str">
        <f>IFERROR(__xludf.DUMMYFUNCTION("""COMPUTED_VALUE"""),"20 inch Sport")</f>
        <v>20 inch Sport</v>
      </c>
      <c r="Q2979" s="177" t="str">
        <f>IFERROR(__xludf.DUMMYFUNCTION("""COMPUTED_VALUE"""),"White seats")</f>
        <v>White seats</v>
      </c>
      <c r="R2979" s="170" t="str">
        <f>IFERROR(__xludf.DUMMYFUNCTION("""COMPUTED_VALUE"""),"Full Self-Driving")</f>
        <v>Full Self-Driving</v>
      </c>
      <c r="S2979" s="170"/>
      <c r="T2979" s="179"/>
      <c r="U2979" s="179"/>
      <c r="V2979" s="179"/>
      <c r="W2979" s="180"/>
      <c r="X2979" s="181" t="str">
        <f>IFERROR(__xludf.DUMMYFUNCTION("""COMPUTED_VALUE"""),"Very Good")</f>
        <v>Very Good</v>
      </c>
      <c r="Y2979" s="182" t="str">
        <f>IFERROR(__xludf.DUMMYFUNCTION("""COMPUTED_VALUE"""),"Excellent")</f>
        <v>Excellent</v>
      </c>
      <c r="Z2979" s="182" t="str">
        <f>IFERROR(__xludf.DUMMYFUNCTION("""COMPUTED_VALUE"""),"Good")</f>
        <v>Good</v>
      </c>
      <c r="AA2979" s="182" t="str">
        <f>IFERROR(__xludf.DUMMYFUNCTION("""COMPUTED_VALUE"""),"Very Good")</f>
        <v>Very Good</v>
      </c>
      <c r="AB2979" s="182" t="str">
        <f>IFERROR(__xludf.DUMMYFUNCTION("""COMPUTED_VALUE"""),"Fair")</f>
        <v>Fair</v>
      </c>
      <c r="AC2979" s="183">
        <f>IFERROR(__xludf.DUMMYFUNCTION("""COMPUTED_VALUE"""),2.0)</f>
        <v>2</v>
      </c>
      <c r="AD2979" s="183">
        <f>IFERROR(__xludf.DUMMYFUNCTION("""COMPUTED_VALUE"""),0.0)</f>
        <v>0</v>
      </c>
      <c r="AE2979" s="183">
        <f>IFERROR(__xludf.DUMMYFUNCTION("""COMPUTED_VALUE"""),0.0)</f>
        <v>0</v>
      </c>
      <c r="AF2979" s="184"/>
      <c r="AG2979" s="180"/>
      <c r="AH2979" s="185">
        <f>IFERROR(__xludf.DUMMYFUNCTION("""COMPUTED_VALUE"""),43408.53853174768)</f>
        <v>43408.53853</v>
      </c>
      <c r="AI2979" s="182"/>
      <c r="AJ2979" s="182"/>
      <c r="AK2979" s="182"/>
      <c r="AL2979" s="182"/>
    </row>
    <row r="2980" ht="20.25" customHeight="1">
      <c r="A2980" s="169" t="str">
        <f>IFERROR(__xludf.DUMMYFUNCTION("""COMPUTED_VALUE"""),"SpikeTSSS")</f>
        <v>SpikeTSSS</v>
      </c>
      <c r="B2980" s="170" t="str">
        <f>IFERROR(__xludf.DUMMYFUNCTION("""COMPUTED_VALUE"""),"Central")</f>
        <v>Central</v>
      </c>
      <c r="C2980" s="170" t="str">
        <f>IFERROR(__xludf.DUMMYFUNCTION("""COMPUTED_VALUE"""),"IA")</f>
        <v>IA</v>
      </c>
      <c r="D2980" s="170" t="str">
        <f>IFERROR(__xludf.DUMMYFUNCTION("""COMPUTED_VALUE"""),"USA")</f>
        <v>USA</v>
      </c>
      <c r="E2980" s="171">
        <f>IFERROR(__xludf.DUMMYFUNCTION("""COMPUTED_VALUE"""),43279.0)</f>
        <v>43279</v>
      </c>
      <c r="F2980" s="172">
        <f>IFERROR(__xludf.DUMMYFUNCTION("""COMPUTED_VALUE"""),43381.0)</f>
        <v>43381</v>
      </c>
      <c r="G2980" s="173"/>
      <c r="H2980" s="174">
        <f>IFERROR(__xludf.DUMMYFUNCTION("""COMPUTED_VALUE"""),85055.0)</f>
        <v>85055</v>
      </c>
      <c r="I2980" s="175" t="str">
        <f>IFERROR(__xludf.DUMMYFUNCTION("""COMPUTED_VALUE"""),"09/18")</f>
        <v>09/18</v>
      </c>
      <c r="J2980" s="172">
        <f>IFERROR(__xludf.DUMMYFUNCTION("""COMPUTED_VALUE"""),43391.0)</f>
        <v>43391</v>
      </c>
      <c r="K2980" s="176">
        <f>IFERROR(__xludf.DUMMYFUNCTION("""COMPUTED_VALUE"""),102.0)</f>
        <v>102</v>
      </c>
      <c r="L2980" s="176">
        <f>IFERROR(__xludf.DUMMYFUNCTION("""COMPUTED_VALUE"""),10.0)</f>
        <v>10</v>
      </c>
      <c r="M2980" s="176">
        <f>IFERROR(__xludf.DUMMYFUNCTION("""COMPUTED_VALUE"""),112.0)</f>
        <v>112</v>
      </c>
      <c r="N2980" s="177" t="str">
        <f>IFERROR(__xludf.DUMMYFUNCTION("""COMPUTED_VALUE"""),"Model 3 LR AWD")</f>
        <v>Model 3 LR AWD</v>
      </c>
      <c r="O2980" s="177" t="str">
        <f>IFERROR(__xludf.DUMMYFUNCTION("""COMPUTED_VALUE"""),"Red Multi-Coat")</f>
        <v>Red Multi-Coat</v>
      </c>
      <c r="P2980" s="178" t="str">
        <f>IFERROR(__xludf.DUMMYFUNCTION("""COMPUTED_VALUE"""),"18 inch Aero")</f>
        <v>18 inch Aero</v>
      </c>
      <c r="Q2980" s="177" t="str">
        <f>IFERROR(__xludf.DUMMYFUNCTION("""COMPUTED_VALUE"""),"Black seats")</f>
        <v>Black seats</v>
      </c>
      <c r="R2980" s="170" t="str">
        <f>IFERROR(__xludf.DUMMYFUNCTION("""COMPUTED_VALUE"""),"Enhanced Autopilot")</f>
        <v>Enhanced Autopilot</v>
      </c>
      <c r="S2980" s="170"/>
      <c r="T2980" s="179"/>
      <c r="U2980" s="179"/>
      <c r="V2980" s="179"/>
      <c r="W2980" s="180"/>
      <c r="X2980" s="181" t="str">
        <f>IFERROR(__xludf.DUMMYFUNCTION("""COMPUTED_VALUE"""),"Excellent")</f>
        <v>Excellent</v>
      </c>
      <c r="Y2980" s="182" t="str">
        <f>IFERROR(__xludf.DUMMYFUNCTION("""COMPUTED_VALUE"""),"Excellent")</f>
        <v>Excellent</v>
      </c>
      <c r="Z2980" s="182" t="str">
        <f>IFERROR(__xludf.DUMMYFUNCTION("""COMPUTED_VALUE"""),"Excellent")</f>
        <v>Excellent</v>
      </c>
      <c r="AA2980" s="182" t="str">
        <f>IFERROR(__xludf.DUMMYFUNCTION("""COMPUTED_VALUE"""),"Very Good")</f>
        <v>Very Good</v>
      </c>
      <c r="AB2980" s="182" t="str">
        <f>IFERROR(__xludf.DUMMYFUNCTION("""COMPUTED_VALUE"""),"Excellent")</f>
        <v>Excellent</v>
      </c>
      <c r="AC2980" s="183">
        <f>IFERROR(__xludf.DUMMYFUNCTION("""COMPUTED_VALUE"""),1.0)</f>
        <v>1</v>
      </c>
      <c r="AD2980" s="183">
        <f>IFERROR(__xludf.DUMMYFUNCTION("""COMPUTED_VALUE"""),0.0)</f>
        <v>0</v>
      </c>
      <c r="AE2980" s="183">
        <f>IFERROR(__xludf.DUMMYFUNCTION("""COMPUTED_VALUE"""),0.0)</f>
        <v>0</v>
      </c>
      <c r="AF2980" s="184"/>
      <c r="AG2980" s="180"/>
      <c r="AH2980" s="185">
        <f>IFERROR(__xludf.DUMMYFUNCTION("""COMPUTED_VALUE"""),43412.743104768524)</f>
        <v>43412.7431</v>
      </c>
      <c r="AI2980" s="182"/>
      <c r="AJ2980" s="182"/>
      <c r="AK2980" s="182"/>
      <c r="AL2980" s="182"/>
    </row>
    <row r="2981" ht="20.25" customHeight="1">
      <c r="A2981" s="169" t="str">
        <f>IFERROR(__xludf.DUMMYFUNCTION("""COMPUTED_VALUE"""),"Spudford")</f>
        <v>Spudford</v>
      </c>
      <c r="B2981" s="170" t="str">
        <f>IFERROR(__xludf.DUMMYFUNCTION("""COMPUTED_VALUE"""),"Pensacola")</f>
        <v>Pensacola</v>
      </c>
      <c r="C2981" s="170" t="str">
        <f>IFERROR(__xludf.DUMMYFUNCTION("""COMPUTED_VALUE"""),"FL")</f>
        <v>FL</v>
      </c>
      <c r="D2981" s="170" t="str">
        <f>IFERROR(__xludf.DUMMYFUNCTION("""COMPUTED_VALUE"""),"USA")</f>
        <v>USA</v>
      </c>
      <c r="E2981" s="171">
        <f>IFERROR(__xludf.DUMMYFUNCTION("""COMPUTED_VALUE"""),43279.0)</f>
        <v>43279</v>
      </c>
      <c r="F2981" s="172">
        <f>IFERROR(__xludf.DUMMYFUNCTION("""COMPUTED_VALUE"""),43388.0)</f>
        <v>43388</v>
      </c>
      <c r="G2981" s="173"/>
      <c r="H2981" s="174">
        <f>IFERROR(__xludf.DUMMYFUNCTION("""COMPUTED_VALUE"""),104355.0)</f>
        <v>104355</v>
      </c>
      <c r="I2981" s="175"/>
      <c r="J2981" s="172">
        <f>IFERROR(__xludf.DUMMYFUNCTION("""COMPUTED_VALUE"""),43408.0)</f>
        <v>43408</v>
      </c>
      <c r="K2981" s="176">
        <f>IFERROR(__xludf.DUMMYFUNCTION("""COMPUTED_VALUE"""),109.0)</f>
        <v>109</v>
      </c>
      <c r="L2981" s="176">
        <f>IFERROR(__xludf.DUMMYFUNCTION("""COMPUTED_VALUE"""),20.0)</f>
        <v>20</v>
      </c>
      <c r="M2981" s="176">
        <f>IFERROR(__xludf.DUMMYFUNCTION("""COMPUTED_VALUE"""),129.0)</f>
        <v>129</v>
      </c>
      <c r="N2981" s="177" t="str">
        <f>IFERROR(__xludf.DUMMYFUNCTION("""COMPUTED_VALUE"""),"Model 3 LR AWD")</f>
        <v>Model 3 LR AWD</v>
      </c>
      <c r="O2981" s="177" t="str">
        <f>IFERROR(__xludf.DUMMYFUNCTION("""COMPUTED_VALUE"""),"Silver Metallic")</f>
        <v>Silver Metallic</v>
      </c>
      <c r="P2981" s="178" t="str">
        <f>IFERROR(__xludf.DUMMYFUNCTION("""COMPUTED_VALUE"""),"18 inch Aero")</f>
        <v>18 inch Aero</v>
      </c>
      <c r="Q2981" s="177" t="str">
        <f>IFERROR(__xludf.DUMMYFUNCTION("""COMPUTED_VALUE"""),"Black seats")</f>
        <v>Black seats</v>
      </c>
      <c r="R2981" s="170" t="str">
        <f>IFERROR(__xludf.DUMMYFUNCTION("""COMPUTED_VALUE"""),"Enhanced Autopilot")</f>
        <v>Enhanced Autopilot</v>
      </c>
      <c r="S2981" s="170"/>
      <c r="T2981" s="179"/>
      <c r="U2981" s="179"/>
      <c r="V2981" s="179"/>
      <c r="W2981" s="180"/>
      <c r="X2981" s="181" t="str">
        <f>IFERROR(__xludf.DUMMYFUNCTION("""COMPUTED_VALUE"""),"Excellent")</f>
        <v>Excellent</v>
      </c>
      <c r="Y2981" s="182" t="str">
        <f>IFERROR(__xludf.DUMMYFUNCTION("""COMPUTED_VALUE"""),"Excellent")</f>
        <v>Excellent</v>
      </c>
      <c r="Z2981" s="182" t="str">
        <f>IFERROR(__xludf.DUMMYFUNCTION("""COMPUTED_VALUE"""),"Excellent")</f>
        <v>Excellent</v>
      </c>
      <c r="AA2981" s="182" t="str">
        <f>IFERROR(__xludf.DUMMYFUNCTION("""COMPUTED_VALUE"""),"Poor")</f>
        <v>Poor</v>
      </c>
      <c r="AB2981" s="182" t="str">
        <f>IFERROR(__xludf.DUMMYFUNCTION("""COMPUTED_VALUE"""),"Very Good")</f>
        <v>Very Good</v>
      </c>
      <c r="AC2981" s="183"/>
      <c r="AD2981" s="183"/>
      <c r="AE2981" s="183"/>
      <c r="AF2981" s="184"/>
      <c r="AG2981" s="180"/>
      <c r="AH2981" s="185">
        <f>IFERROR(__xludf.DUMMYFUNCTION("""COMPUTED_VALUE"""),43408.75287454861)</f>
        <v>43408.75287</v>
      </c>
      <c r="AI2981" s="182"/>
      <c r="AJ2981" s="182"/>
      <c r="AK2981" s="182"/>
      <c r="AL2981" s="182"/>
    </row>
    <row r="2982" ht="20.25" customHeight="1">
      <c r="A2982" s="169" t="str">
        <f>IFERROR(__xludf.DUMMYFUNCTION("""COMPUTED_VALUE"""),"Standroid")</f>
        <v>Standroid</v>
      </c>
      <c r="B2982" s="170" t="str">
        <f>IFERROR(__xludf.DUMMYFUNCTION("""COMPUTED_VALUE"""),"Boulder")</f>
        <v>Boulder</v>
      </c>
      <c r="C2982" s="170" t="str">
        <f>IFERROR(__xludf.DUMMYFUNCTION("""COMPUTED_VALUE"""),"CO")</f>
        <v>CO</v>
      </c>
      <c r="D2982" s="170" t="str">
        <f>IFERROR(__xludf.DUMMYFUNCTION("""COMPUTED_VALUE"""),"USA")</f>
        <v>USA</v>
      </c>
      <c r="E2982" s="171">
        <f>IFERROR(__xludf.DUMMYFUNCTION("""COMPUTED_VALUE"""),43279.0)</f>
        <v>43279</v>
      </c>
      <c r="F2982" s="172">
        <f>IFERROR(__xludf.DUMMYFUNCTION("""COMPUTED_VALUE"""),43333.0)</f>
        <v>43333</v>
      </c>
      <c r="G2982" s="173"/>
      <c r="H2982" s="174">
        <f>IFERROR(__xludf.DUMMYFUNCTION("""COMPUTED_VALUE"""),96655.0)</f>
        <v>96655</v>
      </c>
      <c r="I2982" s="175" t="str">
        <f>IFERROR(__xludf.DUMMYFUNCTION("""COMPUTED_VALUE"""),"08/18")</f>
        <v>08/18</v>
      </c>
      <c r="J2982" s="172">
        <f>IFERROR(__xludf.DUMMYFUNCTION("""COMPUTED_VALUE"""),43341.0)</f>
        <v>43341</v>
      </c>
      <c r="K2982" s="176">
        <f>IFERROR(__xludf.DUMMYFUNCTION("""COMPUTED_VALUE"""),54.0)</f>
        <v>54</v>
      </c>
      <c r="L2982" s="176">
        <f>IFERROR(__xludf.DUMMYFUNCTION("""COMPUTED_VALUE"""),8.0)</f>
        <v>8</v>
      </c>
      <c r="M2982" s="176">
        <f>IFERROR(__xludf.DUMMYFUNCTION("""COMPUTED_VALUE"""),62.0)</f>
        <v>62</v>
      </c>
      <c r="N2982" s="177" t="str">
        <f>IFERROR(__xludf.DUMMYFUNCTION("""COMPUTED_VALUE"""),"Model 3 LR AWD")</f>
        <v>Model 3 LR AWD</v>
      </c>
      <c r="O2982" s="177" t="str">
        <f>IFERROR(__xludf.DUMMYFUNCTION("""COMPUTED_VALUE"""),"Pearl White Multi-Coat")</f>
        <v>Pearl White Multi-Coat</v>
      </c>
      <c r="P2982" s="178" t="str">
        <f>IFERROR(__xludf.DUMMYFUNCTION("""COMPUTED_VALUE"""),"18 inch Aero")</f>
        <v>18 inch Aero</v>
      </c>
      <c r="Q2982" s="177" t="str">
        <f>IFERROR(__xludf.DUMMYFUNCTION("""COMPUTED_VALUE"""),"White seats")</f>
        <v>White seats</v>
      </c>
      <c r="R2982" s="170" t="str">
        <f>IFERROR(__xludf.DUMMYFUNCTION("""COMPUTED_VALUE"""),"Full Self-Driving")</f>
        <v>Full Self-Driving</v>
      </c>
      <c r="S2982" s="170"/>
      <c r="T2982" s="179"/>
      <c r="U2982" s="179"/>
      <c r="V2982" s="179"/>
      <c r="W2982" s="180"/>
      <c r="X2982" s="181" t="str">
        <f>IFERROR(__xludf.DUMMYFUNCTION("""COMPUTED_VALUE"""),"Excellent")</f>
        <v>Excellent</v>
      </c>
      <c r="Y2982" s="182" t="str">
        <f>IFERROR(__xludf.DUMMYFUNCTION("""COMPUTED_VALUE"""),"Excellent")</f>
        <v>Excellent</v>
      </c>
      <c r="Z2982" s="182" t="str">
        <f>IFERROR(__xludf.DUMMYFUNCTION("""COMPUTED_VALUE"""),"Excellent")</f>
        <v>Excellent</v>
      </c>
      <c r="AA2982" s="182" t="str">
        <f>IFERROR(__xludf.DUMMYFUNCTION("""COMPUTED_VALUE"""),"Excellent")</f>
        <v>Excellent</v>
      </c>
      <c r="AB2982" s="182" t="str">
        <f>IFERROR(__xludf.DUMMYFUNCTION("""COMPUTED_VALUE"""),"Excellent")</f>
        <v>Excellent</v>
      </c>
      <c r="AC2982" s="183">
        <f>IFERROR(__xludf.DUMMYFUNCTION("""COMPUTED_VALUE"""),3.0)</f>
        <v>3</v>
      </c>
      <c r="AD2982" s="183"/>
      <c r="AE2982" s="183"/>
      <c r="AF2982" s="184"/>
      <c r="AG2982" s="180"/>
      <c r="AH2982" s="185">
        <f>IFERROR(__xludf.DUMMYFUNCTION("""COMPUTED_VALUE"""),43343.67572903935)</f>
        <v>43343.67573</v>
      </c>
      <c r="AI2982" s="182"/>
      <c r="AJ2982" s="182"/>
      <c r="AK2982" s="182"/>
      <c r="AL2982" s="182"/>
    </row>
    <row r="2983" ht="20.25" customHeight="1">
      <c r="A2983" s="169" t="str">
        <f>IFERROR(__xludf.DUMMYFUNCTION("""COMPUTED_VALUE"""),"StarLightBreaker")</f>
        <v>StarLightBreaker</v>
      </c>
      <c r="B2983" s="170" t="str">
        <f>IFERROR(__xludf.DUMMYFUNCTION("""COMPUTED_VALUE"""),"St Paul")</f>
        <v>St Paul</v>
      </c>
      <c r="C2983" s="170" t="str">
        <f>IFERROR(__xludf.DUMMYFUNCTION("""COMPUTED_VALUE"""),"MN")</f>
        <v>MN</v>
      </c>
      <c r="D2983" s="170" t="str">
        <f>IFERROR(__xludf.DUMMYFUNCTION("""COMPUTED_VALUE"""),"USA")</f>
        <v>USA</v>
      </c>
      <c r="E2983" s="171">
        <f>IFERROR(__xludf.DUMMYFUNCTION("""COMPUTED_VALUE"""),43279.0)</f>
        <v>43279</v>
      </c>
      <c r="F2983" s="172">
        <f>IFERROR(__xludf.DUMMYFUNCTION("""COMPUTED_VALUE"""),43286.0)</f>
        <v>43286</v>
      </c>
      <c r="G2983" s="173"/>
      <c r="H2983" s="174">
        <f>IFERROR(__xludf.DUMMYFUNCTION("""COMPUTED_VALUE"""),34815.0)</f>
        <v>34815</v>
      </c>
      <c r="I2983" s="175"/>
      <c r="J2983" s="172">
        <f>IFERROR(__xludf.DUMMYFUNCTION("""COMPUTED_VALUE"""),43308.0)</f>
        <v>43308</v>
      </c>
      <c r="K2983" s="176">
        <f>IFERROR(__xludf.DUMMYFUNCTION("""COMPUTED_VALUE"""),7.0)</f>
        <v>7</v>
      </c>
      <c r="L2983" s="176">
        <f>IFERROR(__xludf.DUMMYFUNCTION("""COMPUTED_VALUE"""),22.0)</f>
        <v>22</v>
      </c>
      <c r="M2983" s="176">
        <f>IFERROR(__xludf.DUMMYFUNCTION("""COMPUTED_VALUE"""),29.0)</f>
        <v>29</v>
      </c>
      <c r="N2983" s="177" t="str">
        <f>IFERROR(__xludf.DUMMYFUNCTION("""COMPUTED_VALUE"""),"Model 3 LR")</f>
        <v>Model 3 LR</v>
      </c>
      <c r="O2983" s="177" t="str">
        <f>IFERROR(__xludf.DUMMYFUNCTION("""COMPUTED_VALUE"""),"Silver Metallic")</f>
        <v>Silver Metallic</v>
      </c>
      <c r="P2983" s="178" t="str">
        <f>IFERROR(__xludf.DUMMYFUNCTION("""COMPUTED_VALUE"""),"18 inch Aero")</f>
        <v>18 inch Aero</v>
      </c>
      <c r="Q2983" s="177" t="str">
        <f>IFERROR(__xludf.DUMMYFUNCTION("""COMPUTED_VALUE"""),"Black seats")</f>
        <v>Black seats</v>
      </c>
      <c r="R2983" s="170" t="str">
        <f>IFERROR(__xludf.DUMMYFUNCTION("""COMPUTED_VALUE"""),"Enhanced Autopilot")</f>
        <v>Enhanced Autopilot</v>
      </c>
      <c r="S2983" s="170"/>
      <c r="T2983" s="179"/>
      <c r="U2983" s="179"/>
      <c r="V2983" s="179"/>
      <c r="W2983" s="180"/>
      <c r="X2983" s="181" t="str">
        <f>IFERROR(__xludf.DUMMYFUNCTION("""COMPUTED_VALUE"""),"Excellent")</f>
        <v>Excellent</v>
      </c>
      <c r="Y2983" s="182" t="str">
        <f>IFERROR(__xludf.DUMMYFUNCTION("""COMPUTED_VALUE"""),"Excellent")</f>
        <v>Excellent</v>
      </c>
      <c r="Z2983" s="182" t="str">
        <f>IFERROR(__xludf.DUMMYFUNCTION("""COMPUTED_VALUE"""),"Very Good")</f>
        <v>Very Good</v>
      </c>
      <c r="AA2983" s="182" t="str">
        <f>IFERROR(__xludf.DUMMYFUNCTION("""COMPUTED_VALUE"""),"Good")</f>
        <v>Good</v>
      </c>
      <c r="AB2983" s="182" t="str">
        <f>IFERROR(__xludf.DUMMYFUNCTION("""COMPUTED_VALUE"""),"Excellent")</f>
        <v>Excellent</v>
      </c>
      <c r="AC2983" s="183">
        <f>IFERROR(__xludf.DUMMYFUNCTION("""COMPUTED_VALUE"""),1.0)</f>
        <v>1</v>
      </c>
      <c r="AD2983" s="183">
        <f>IFERROR(__xludf.DUMMYFUNCTION("""COMPUTED_VALUE"""),0.0)</f>
        <v>0</v>
      </c>
      <c r="AE2983" s="183">
        <f>IFERROR(__xludf.DUMMYFUNCTION("""COMPUTED_VALUE"""),0.0)</f>
        <v>0</v>
      </c>
      <c r="AF2983" s="184"/>
      <c r="AG2983" s="180"/>
      <c r="AH2983" s="185">
        <f>IFERROR(__xludf.DUMMYFUNCTION("""COMPUTED_VALUE"""),43323.876632395826)</f>
        <v>43323.87663</v>
      </c>
      <c r="AI2983" s="182"/>
      <c r="AJ2983" s="182"/>
      <c r="AK2983" s="182"/>
      <c r="AL2983" s="182"/>
    </row>
    <row r="2984" ht="20.25" customHeight="1">
      <c r="A2984" s="169" t="str">
        <f>IFERROR(__xludf.DUMMYFUNCTION("""COMPUTED_VALUE"""),"Stevek79")</f>
        <v>Stevek79</v>
      </c>
      <c r="B2984" s="170" t="str">
        <f>IFERROR(__xludf.DUMMYFUNCTION("""COMPUTED_VALUE"""),"Naperville ")</f>
        <v>Naperville </v>
      </c>
      <c r="C2984" s="170" t="str">
        <f>IFERROR(__xludf.DUMMYFUNCTION("""COMPUTED_VALUE"""),"IL")</f>
        <v>IL</v>
      </c>
      <c r="D2984" s="170" t="str">
        <f>IFERROR(__xludf.DUMMYFUNCTION("""COMPUTED_VALUE"""),"USA")</f>
        <v>USA</v>
      </c>
      <c r="E2984" s="171">
        <f>IFERROR(__xludf.DUMMYFUNCTION("""COMPUTED_VALUE"""),43279.0)</f>
        <v>43279</v>
      </c>
      <c r="F2984" s="172">
        <f>IFERROR(__xludf.DUMMYFUNCTION("""COMPUTED_VALUE"""),43395.0)</f>
        <v>43395</v>
      </c>
      <c r="G2984" s="173"/>
      <c r="H2984" s="174">
        <f>IFERROR(__xludf.DUMMYFUNCTION("""COMPUTED_VALUE"""),114455.0)</f>
        <v>114455</v>
      </c>
      <c r="I2984" s="175" t="str">
        <f>IFERROR(__xludf.DUMMYFUNCTION("""COMPUTED_VALUE"""),"10/18")</f>
        <v>10/18</v>
      </c>
      <c r="J2984" s="172">
        <f>IFERROR(__xludf.DUMMYFUNCTION("""COMPUTED_VALUE"""),43402.0)</f>
        <v>43402</v>
      </c>
      <c r="K2984" s="176">
        <f>IFERROR(__xludf.DUMMYFUNCTION("""COMPUTED_VALUE"""),116.0)</f>
        <v>116</v>
      </c>
      <c r="L2984" s="176">
        <f>IFERROR(__xludf.DUMMYFUNCTION("""COMPUTED_VALUE"""),7.0)</f>
        <v>7</v>
      </c>
      <c r="M2984" s="176">
        <f>IFERROR(__xludf.DUMMYFUNCTION("""COMPUTED_VALUE"""),123.0)</f>
        <v>123</v>
      </c>
      <c r="N2984" s="177" t="str">
        <f>IFERROR(__xludf.DUMMYFUNCTION("""COMPUTED_VALUE"""),"Model 3 LR AWD")</f>
        <v>Model 3 LR AWD</v>
      </c>
      <c r="O2984" s="177" t="str">
        <f>IFERROR(__xludf.DUMMYFUNCTION("""COMPUTED_VALUE"""),"Midnight Silver Metallic")</f>
        <v>Midnight Silver Metallic</v>
      </c>
      <c r="P2984" s="178" t="str">
        <f>IFERROR(__xludf.DUMMYFUNCTION("""COMPUTED_VALUE"""),"18 inch Aero")</f>
        <v>18 inch Aero</v>
      </c>
      <c r="Q2984" s="177" t="str">
        <f>IFERROR(__xludf.DUMMYFUNCTION("""COMPUTED_VALUE"""),"Black seats")</f>
        <v>Black seats</v>
      </c>
      <c r="R2984" s="170" t="str">
        <f>IFERROR(__xludf.DUMMYFUNCTION("""COMPUTED_VALUE"""),"None")</f>
        <v>None</v>
      </c>
      <c r="S2984" s="170"/>
      <c r="T2984" s="179"/>
      <c r="U2984" s="179"/>
      <c r="V2984" s="179"/>
      <c r="W2984" s="180"/>
      <c r="X2984" s="181" t="str">
        <f>IFERROR(__xludf.DUMMYFUNCTION("""COMPUTED_VALUE"""),"Excellent")</f>
        <v>Excellent</v>
      </c>
      <c r="Y2984" s="182" t="str">
        <f>IFERROR(__xludf.DUMMYFUNCTION("""COMPUTED_VALUE"""),"Excellent")</f>
        <v>Excellent</v>
      </c>
      <c r="Z2984" s="182" t="str">
        <f>IFERROR(__xludf.DUMMYFUNCTION("""COMPUTED_VALUE"""),"Excellent")</f>
        <v>Excellent</v>
      </c>
      <c r="AA2984" s="182" t="str">
        <f>IFERROR(__xludf.DUMMYFUNCTION("""COMPUTED_VALUE"""),"Good")</f>
        <v>Good</v>
      </c>
      <c r="AB2984" s="182" t="str">
        <f>IFERROR(__xludf.DUMMYFUNCTION("""COMPUTED_VALUE"""),"Fair")</f>
        <v>Fair</v>
      </c>
      <c r="AC2984" s="183">
        <f>IFERROR(__xludf.DUMMYFUNCTION("""COMPUTED_VALUE"""),0.0)</f>
        <v>0</v>
      </c>
      <c r="AD2984" s="183">
        <f>IFERROR(__xludf.DUMMYFUNCTION("""COMPUTED_VALUE"""),0.0)</f>
        <v>0</v>
      </c>
      <c r="AE2984" s="183">
        <f>IFERROR(__xludf.DUMMYFUNCTION("""COMPUTED_VALUE"""),0.0)</f>
        <v>0</v>
      </c>
      <c r="AF2984" s="184"/>
      <c r="AG2984" s="180"/>
      <c r="AH2984" s="185">
        <f>IFERROR(__xludf.DUMMYFUNCTION("""COMPUTED_VALUE"""),43431.20438420139)</f>
        <v>43431.20438</v>
      </c>
      <c r="AI2984" s="182"/>
      <c r="AJ2984" s="182"/>
      <c r="AK2984" s="182"/>
      <c r="AL2984" s="182"/>
    </row>
    <row r="2985" ht="20.25" customHeight="1">
      <c r="A2985" s="169" t="str">
        <f>IFERROR(__xludf.DUMMYFUNCTION("""COMPUTED_VALUE"""),"steven")</f>
        <v>steven</v>
      </c>
      <c r="B2985" s="170" t="str">
        <f>IFERROR(__xludf.DUMMYFUNCTION("""COMPUTED_VALUE"""),"Portland")</f>
        <v>Portland</v>
      </c>
      <c r="C2985" s="170" t="str">
        <f>IFERROR(__xludf.DUMMYFUNCTION("""COMPUTED_VALUE"""),"OR")</f>
        <v>OR</v>
      </c>
      <c r="D2985" s="170" t="str">
        <f>IFERROR(__xludf.DUMMYFUNCTION("""COMPUTED_VALUE"""),"USA")</f>
        <v>USA</v>
      </c>
      <c r="E2985" s="171">
        <f>IFERROR(__xludf.DUMMYFUNCTION("""COMPUTED_VALUE"""),43279.0)</f>
        <v>43279</v>
      </c>
      <c r="F2985" s="172">
        <f>IFERROR(__xludf.DUMMYFUNCTION("""COMPUTED_VALUE"""),43331.0)</f>
        <v>43331</v>
      </c>
      <c r="G2985" s="173"/>
      <c r="H2985" s="174">
        <f>IFERROR(__xludf.DUMMYFUNCTION("""COMPUTED_VALUE"""),54419.0)</f>
        <v>54419</v>
      </c>
      <c r="I2985" s="175"/>
      <c r="J2985" s="172">
        <f>IFERROR(__xludf.DUMMYFUNCTION("""COMPUTED_VALUE"""),43335.0)</f>
        <v>43335</v>
      </c>
      <c r="K2985" s="176">
        <f>IFERROR(__xludf.DUMMYFUNCTION("""COMPUTED_VALUE"""),52.0)</f>
        <v>52</v>
      </c>
      <c r="L2985" s="176">
        <f>IFERROR(__xludf.DUMMYFUNCTION("""COMPUTED_VALUE"""),4.0)</f>
        <v>4</v>
      </c>
      <c r="M2985" s="176">
        <f>IFERROR(__xludf.DUMMYFUNCTION("""COMPUTED_VALUE"""),56.0)</f>
        <v>56</v>
      </c>
      <c r="N2985" s="177" t="str">
        <f>IFERROR(__xludf.DUMMYFUNCTION("""COMPUTED_VALUE"""),"Model 3 LR AWD")</f>
        <v>Model 3 LR AWD</v>
      </c>
      <c r="O2985" s="177" t="str">
        <f>IFERROR(__xludf.DUMMYFUNCTION("""COMPUTED_VALUE"""),"Midnight Silver Metallic")</f>
        <v>Midnight Silver Metallic</v>
      </c>
      <c r="P2985" s="178" t="str">
        <f>IFERROR(__xludf.DUMMYFUNCTION("""COMPUTED_VALUE"""),"18 inch Aero")</f>
        <v>18 inch Aero</v>
      </c>
      <c r="Q2985" s="177" t="str">
        <f>IFERROR(__xludf.DUMMYFUNCTION("""COMPUTED_VALUE"""),"Black seats")</f>
        <v>Black seats</v>
      </c>
      <c r="R2985" s="170" t="str">
        <f>IFERROR(__xludf.DUMMYFUNCTION("""COMPUTED_VALUE"""),"Enhanced Autopilot")</f>
        <v>Enhanced Autopilot</v>
      </c>
      <c r="S2985" s="170"/>
      <c r="T2985" s="179"/>
      <c r="U2985" s="179"/>
      <c r="V2985" s="179"/>
      <c r="W2985" s="180"/>
      <c r="X2985" s="181" t="str">
        <f>IFERROR(__xludf.DUMMYFUNCTION("""COMPUTED_VALUE"""),"Good")</f>
        <v>Good</v>
      </c>
      <c r="Y2985" s="182"/>
      <c r="Z2985" s="182" t="str">
        <f>IFERROR(__xludf.DUMMYFUNCTION("""COMPUTED_VALUE"""),"Very Good")</f>
        <v>Very Good</v>
      </c>
      <c r="AA2985" s="182" t="str">
        <f>IFERROR(__xludf.DUMMYFUNCTION("""COMPUTED_VALUE"""),"Fair")</f>
        <v>Fair</v>
      </c>
      <c r="AB2985" s="182" t="str">
        <f>IFERROR(__xludf.DUMMYFUNCTION("""COMPUTED_VALUE"""),"Good")</f>
        <v>Good</v>
      </c>
      <c r="AC2985" s="183">
        <f>IFERROR(__xludf.DUMMYFUNCTION("""COMPUTED_VALUE"""),4.0)</f>
        <v>4</v>
      </c>
      <c r="AD2985" s="183">
        <f>IFERROR(__xludf.DUMMYFUNCTION("""COMPUTED_VALUE"""),1.0)</f>
        <v>1</v>
      </c>
      <c r="AE2985" s="183">
        <f>IFERROR(__xludf.DUMMYFUNCTION("""COMPUTED_VALUE"""),4.0)</f>
        <v>4</v>
      </c>
      <c r="AF2985" s="184"/>
      <c r="AG2985" s="180"/>
      <c r="AH2985" s="185">
        <f>IFERROR(__xludf.DUMMYFUNCTION("""COMPUTED_VALUE"""),43412.88151518519)</f>
        <v>43412.88152</v>
      </c>
      <c r="AI2985" s="182"/>
      <c r="AJ2985" s="182"/>
      <c r="AK2985" s="182"/>
      <c r="AL2985" s="182"/>
    </row>
    <row r="2986" ht="20.25" customHeight="1">
      <c r="A2986" s="169" t="str">
        <f>IFERROR(__xludf.DUMMYFUNCTION("""COMPUTED_VALUE"""),"SteveWin1")</f>
        <v>SteveWin1</v>
      </c>
      <c r="B2986" s="170"/>
      <c r="C2986" s="170" t="str">
        <f>IFERROR(__xludf.DUMMYFUNCTION("""COMPUTED_VALUE"""),"FL")</f>
        <v>FL</v>
      </c>
      <c r="D2986" s="170" t="str">
        <f>IFERROR(__xludf.DUMMYFUNCTION("""COMPUTED_VALUE"""),"USA")</f>
        <v>USA</v>
      </c>
      <c r="E2986" s="171">
        <f>IFERROR(__xludf.DUMMYFUNCTION("""COMPUTED_VALUE"""),43279.0)</f>
        <v>43279</v>
      </c>
      <c r="F2986" s="172">
        <f>IFERROR(__xludf.DUMMYFUNCTION("""COMPUTED_VALUE"""),43347.0)</f>
        <v>43347</v>
      </c>
      <c r="G2986" s="173"/>
      <c r="H2986" s="174">
        <f>IFERROR(__xludf.DUMMYFUNCTION("""COMPUTED_VALUE"""),55655.0)</f>
        <v>55655</v>
      </c>
      <c r="I2986" s="175" t="str">
        <f>IFERROR(__xludf.DUMMYFUNCTION("""COMPUTED_VALUE"""),"08/18")</f>
        <v>08/18</v>
      </c>
      <c r="J2986" s="172">
        <f>IFERROR(__xludf.DUMMYFUNCTION("""COMPUTED_VALUE"""),43358.0)</f>
        <v>43358</v>
      </c>
      <c r="K2986" s="176">
        <f>IFERROR(__xludf.DUMMYFUNCTION("""COMPUTED_VALUE"""),68.0)</f>
        <v>68</v>
      </c>
      <c r="L2986" s="176">
        <f>IFERROR(__xludf.DUMMYFUNCTION("""COMPUTED_VALUE"""),11.0)</f>
        <v>11</v>
      </c>
      <c r="M2986" s="176">
        <f>IFERROR(__xludf.DUMMYFUNCTION("""COMPUTED_VALUE"""),79.0)</f>
        <v>79</v>
      </c>
      <c r="N2986" s="177" t="str">
        <f>IFERROR(__xludf.DUMMYFUNCTION("""COMPUTED_VALUE"""),"Model 3 Performance")</f>
        <v>Model 3 Performance</v>
      </c>
      <c r="O2986" s="177" t="str">
        <f>IFERROR(__xludf.DUMMYFUNCTION("""COMPUTED_VALUE"""),"Red Multi-Coat")</f>
        <v>Red Multi-Coat</v>
      </c>
      <c r="P2986" s="178" t="str">
        <f>IFERROR(__xludf.DUMMYFUNCTION("""COMPUTED_VALUE"""),"20 inch Sport")</f>
        <v>20 inch Sport</v>
      </c>
      <c r="Q2986" s="177" t="str">
        <f>IFERROR(__xludf.DUMMYFUNCTION("""COMPUTED_VALUE"""),"White seats")</f>
        <v>White seats</v>
      </c>
      <c r="R2986" s="170" t="str">
        <f>IFERROR(__xludf.DUMMYFUNCTION("""COMPUTED_VALUE"""),"Enhanced Autopilot")</f>
        <v>Enhanced Autopilot</v>
      </c>
      <c r="S2986" s="170"/>
      <c r="T2986" s="179"/>
      <c r="U2986" s="179"/>
      <c r="V2986" s="179"/>
      <c r="W2986" s="180"/>
      <c r="X2986" s="181" t="str">
        <f>IFERROR(__xludf.DUMMYFUNCTION("""COMPUTED_VALUE"""),"Fair")</f>
        <v>Fair</v>
      </c>
      <c r="Y2986" s="182" t="str">
        <f>IFERROR(__xludf.DUMMYFUNCTION("""COMPUTED_VALUE"""),"Excellent")</f>
        <v>Excellent</v>
      </c>
      <c r="Z2986" s="182" t="str">
        <f>IFERROR(__xludf.DUMMYFUNCTION("""COMPUTED_VALUE"""),"Good")</f>
        <v>Good</v>
      </c>
      <c r="AA2986" s="182" t="str">
        <f>IFERROR(__xludf.DUMMYFUNCTION("""COMPUTED_VALUE"""),"Excellent")</f>
        <v>Excellent</v>
      </c>
      <c r="AB2986" s="182" t="str">
        <f>IFERROR(__xludf.DUMMYFUNCTION("""COMPUTED_VALUE"""),"Very Good")</f>
        <v>Very Good</v>
      </c>
      <c r="AC2986" s="183">
        <f>IFERROR(__xludf.DUMMYFUNCTION("""COMPUTED_VALUE"""),3.0)</f>
        <v>3</v>
      </c>
      <c r="AD2986" s="183">
        <f>IFERROR(__xludf.DUMMYFUNCTION("""COMPUTED_VALUE"""),1.0)</f>
        <v>1</v>
      </c>
      <c r="AE2986" s="183">
        <f>IFERROR(__xludf.DUMMYFUNCTION("""COMPUTED_VALUE"""),3.0)</f>
        <v>3</v>
      </c>
      <c r="AF2986" s="184"/>
      <c r="AG2986" s="180"/>
      <c r="AH2986" s="185">
        <f>IFERROR(__xludf.DUMMYFUNCTION("""COMPUTED_VALUE"""),43375.15841195602)</f>
        <v>43375.15841</v>
      </c>
      <c r="AI2986" s="182"/>
      <c r="AJ2986" s="182"/>
      <c r="AK2986" s="182"/>
      <c r="AL2986" s="182"/>
    </row>
    <row r="2987" ht="20.25" customHeight="1">
      <c r="A2987" s="169" t="str">
        <f>IFERROR(__xludf.DUMMYFUNCTION("""COMPUTED_VALUE"""),"sumitrana")</f>
        <v>sumitrana</v>
      </c>
      <c r="B2987" s="170" t="str">
        <f>IFERROR(__xludf.DUMMYFUNCTION("""COMPUTED_VALUE"""),"Madison")</f>
        <v>Madison</v>
      </c>
      <c r="C2987" s="170" t="str">
        <f>IFERROR(__xludf.DUMMYFUNCTION("""COMPUTED_VALUE"""),"WI")</f>
        <v>WI</v>
      </c>
      <c r="D2987" s="170" t="str">
        <f>IFERROR(__xludf.DUMMYFUNCTION("""COMPUTED_VALUE"""),"USA")</f>
        <v>USA</v>
      </c>
      <c r="E2987" s="171">
        <f>IFERROR(__xludf.DUMMYFUNCTION("""COMPUTED_VALUE"""),43279.0)</f>
        <v>43279</v>
      </c>
      <c r="F2987" s="172"/>
      <c r="G2987" s="173"/>
      <c r="H2987" s="174">
        <f>IFERROR(__xludf.DUMMYFUNCTION("""COMPUTED_VALUE"""),87855.0)</f>
        <v>87855</v>
      </c>
      <c r="I2987" s="175"/>
      <c r="J2987" s="172">
        <f>IFERROR(__xludf.DUMMYFUNCTION("""COMPUTED_VALUE"""),43372.0)</f>
        <v>43372</v>
      </c>
      <c r="K2987" s="176"/>
      <c r="L2987" s="176"/>
      <c r="M2987" s="176">
        <f>IFERROR(__xludf.DUMMYFUNCTION("""COMPUTED_VALUE"""),93.0)</f>
        <v>93</v>
      </c>
      <c r="N2987" s="177" t="str">
        <f>IFERROR(__xludf.DUMMYFUNCTION("""COMPUTED_VALUE"""),"Model 3 LR AWD")</f>
        <v>Model 3 LR AWD</v>
      </c>
      <c r="O2987" s="177" t="str">
        <f>IFERROR(__xludf.DUMMYFUNCTION("""COMPUTED_VALUE"""),"Red Multi-Coat")</f>
        <v>Red Multi-Coat</v>
      </c>
      <c r="P2987" s="178" t="str">
        <f>IFERROR(__xludf.DUMMYFUNCTION("""COMPUTED_VALUE"""),"19 inch Sport")</f>
        <v>19 inch Sport</v>
      </c>
      <c r="Q2987" s="177" t="str">
        <f>IFERROR(__xludf.DUMMYFUNCTION("""COMPUTED_VALUE"""),"Black seats")</f>
        <v>Black seats</v>
      </c>
      <c r="R2987" s="170" t="str">
        <f>IFERROR(__xludf.DUMMYFUNCTION("""COMPUTED_VALUE"""),"Enhanced Autopilot")</f>
        <v>Enhanced Autopilot</v>
      </c>
      <c r="S2987" s="170"/>
      <c r="T2987" s="179"/>
      <c r="U2987" s="179"/>
      <c r="V2987" s="179"/>
      <c r="W2987" s="180"/>
      <c r="X2987" s="181" t="str">
        <f>IFERROR(__xludf.DUMMYFUNCTION("""COMPUTED_VALUE"""),"Very Good")</f>
        <v>Very Good</v>
      </c>
      <c r="Y2987" s="182" t="str">
        <f>IFERROR(__xludf.DUMMYFUNCTION("""COMPUTED_VALUE"""),"Excellent")</f>
        <v>Excellent</v>
      </c>
      <c r="Z2987" s="182" t="str">
        <f>IFERROR(__xludf.DUMMYFUNCTION("""COMPUTED_VALUE"""),"Excellent")</f>
        <v>Excellent</v>
      </c>
      <c r="AA2987" s="182" t="str">
        <f>IFERROR(__xludf.DUMMYFUNCTION("""COMPUTED_VALUE"""),"Poor")</f>
        <v>Poor</v>
      </c>
      <c r="AB2987" s="182" t="str">
        <f>IFERROR(__xludf.DUMMYFUNCTION("""COMPUTED_VALUE"""),"Poor")</f>
        <v>Poor</v>
      </c>
      <c r="AC2987" s="183">
        <f>IFERROR(__xludf.DUMMYFUNCTION("""COMPUTED_VALUE"""),0.0)</f>
        <v>0</v>
      </c>
      <c r="AD2987" s="183">
        <f>IFERROR(__xludf.DUMMYFUNCTION("""COMPUTED_VALUE"""),0.0)</f>
        <v>0</v>
      </c>
      <c r="AE2987" s="183">
        <f>IFERROR(__xludf.DUMMYFUNCTION("""COMPUTED_VALUE"""),0.0)</f>
        <v>0</v>
      </c>
      <c r="AF2987" s="184"/>
      <c r="AG2987" s="180"/>
      <c r="AH2987" s="185">
        <f>IFERROR(__xludf.DUMMYFUNCTION("""COMPUTED_VALUE"""),43382.52015189815)</f>
        <v>43382.52015</v>
      </c>
      <c r="AI2987" s="182"/>
      <c r="AJ2987" s="182"/>
      <c r="AK2987" s="182"/>
      <c r="AL2987" s="182"/>
    </row>
    <row r="2988" ht="20.25" customHeight="1">
      <c r="A2988" s="169" t="str">
        <f>IFERROR(__xludf.DUMMYFUNCTION("""COMPUTED_VALUE"""),"sykesm")</f>
        <v>sykesm</v>
      </c>
      <c r="B2988" s="170"/>
      <c r="C2988" s="170" t="str">
        <f>IFERROR(__xludf.DUMMYFUNCTION("""COMPUTED_VALUE"""),"NC")</f>
        <v>NC</v>
      </c>
      <c r="D2988" s="170" t="str">
        <f>IFERROR(__xludf.DUMMYFUNCTION("""COMPUTED_VALUE"""),"USA")</f>
        <v>USA</v>
      </c>
      <c r="E2988" s="171">
        <f>IFERROR(__xludf.DUMMYFUNCTION("""COMPUTED_VALUE"""),43279.0)</f>
        <v>43279</v>
      </c>
      <c r="F2988" s="172">
        <f>IFERROR(__xludf.DUMMYFUNCTION("""COMPUTED_VALUE"""),43367.0)</f>
        <v>43367</v>
      </c>
      <c r="G2988" s="173"/>
      <c r="H2988" s="174">
        <f>IFERROR(__xludf.DUMMYFUNCTION("""COMPUTED_VALUE"""),97655.0)</f>
        <v>97655</v>
      </c>
      <c r="I2988" s="175" t="str">
        <f>IFERROR(__xludf.DUMMYFUNCTION("""COMPUTED_VALUE"""),"08/18")</f>
        <v>08/18</v>
      </c>
      <c r="J2988" s="172">
        <f>IFERROR(__xludf.DUMMYFUNCTION("""COMPUTED_VALUE"""),43373.0)</f>
        <v>43373</v>
      </c>
      <c r="K2988" s="176">
        <f>IFERROR(__xludf.DUMMYFUNCTION("""COMPUTED_VALUE"""),88.0)</f>
        <v>88</v>
      </c>
      <c r="L2988" s="176">
        <f>IFERROR(__xludf.DUMMYFUNCTION("""COMPUTED_VALUE"""),6.0)</f>
        <v>6</v>
      </c>
      <c r="M2988" s="176">
        <f>IFERROR(__xludf.DUMMYFUNCTION("""COMPUTED_VALUE"""),94.0)</f>
        <v>94</v>
      </c>
      <c r="N2988" s="177" t="str">
        <f>IFERROR(__xludf.DUMMYFUNCTION("""COMPUTED_VALUE"""),"Model 3 LR AWD")</f>
        <v>Model 3 LR AWD</v>
      </c>
      <c r="O2988" s="177" t="str">
        <f>IFERROR(__xludf.DUMMYFUNCTION("""COMPUTED_VALUE"""),"Deep Blue Metallic")</f>
        <v>Deep Blue Metallic</v>
      </c>
      <c r="P2988" s="178" t="str">
        <f>IFERROR(__xludf.DUMMYFUNCTION("""COMPUTED_VALUE"""),"19 inch Sport")</f>
        <v>19 inch Sport</v>
      </c>
      <c r="Q2988" s="177" t="str">
        <f>IFERROR(__xludf.DUMMYFUNCTION("""COMPUTED_VALUE"""),"White seats")</f>
        <v>White seats</v>
      </c>
      <c r="R2988" s="170" t="str">
        <f>IFERROR(__xludf.DUMMYFUNCTION("""COMPUTED_VALUE"""),"Enhanced Autopilot")</f>
        <v>Enhanced Autopilot</v>
      </c>
      <c r="S2988" s="170"/>
      <c r="T2988" s="179"/>
      <c r="U2988" s="179"/>
      <c r="V2988" s="179"/>
      <c r="W2988" s="180"/>
      <c r="X2988" s="181" t="str">
        <f>IFERROR(__xludf.DUMMYFUNCTION("""COMPUTED_VALUE"""),"Excellent")</f>
        <v>Excellent</v>
      </c>
      <c r="Y2988" s="182" t="str">
        <f>IFERROR(__xludf.DUMMYFUNCTION("""COMPUTED_VALUE"""),"Very Good")</f>
        <v>Very Good</v>
      </c>
      <c r="Z2988" s="182" t="str">
        <f>IFERROR(__xludf.DUMMYFUNCTION("""COMPUTED_VALUE"""),"Excellent")</f>
        <v>Excellent</v>
      </c>
      <c r="AA2988" s="182" t="str">
        <f>IFERROR(__xludf.DUMMYFUNCTION("""COMPUTED_VALUE"""),"Poor")</f>
        <v>Poor</v>
      </c>
      <c r="AB2988" s="182" t="str">
        <f>IFERROR(__xludf.DUMMYFUNCTION("""COMPUTED_VALUE"""),"Good")</f>
        <v>Good</v>
      </c>
      <c r="AC2988" s="183">
        <f>IFERROR(__xludf.DUMMYFUNCTION("""COMPUTED_VALUE"""),5.0)</f>
        <v>5</v>
      </c>
      <c r="AD2988" s="183"/>
      <c r="AE2988" s="183"/>
      <c r="AF2988" s="184"/>
      <c r="AG2988" s="180"/>
      <c r="AH2988" s="185">
        <f>IFERROR(__xludf.DUMMYFUNCTION("""COMPUTED_VALUE"""),43378.23055940972)</f>
        <v>43378.23056</v>
      </c>
      <c r="AI2988" s="182"/>
      <c r="AJ2988" s="182"/>
      <c r="AK2988" s="182"/>
      <c r="AL2988" s="182"/>
    </row>
    <row r="2989" ht="20.25" customHeight="1">
      <c r="A2989" s="169" t="str">
        <f>IFERROR(__xludf.DUMMYFUNCTION("""COMPUTED_VALUE"""),"T994A")</f>
        <v>T994A</v>
      </c>
      <c r="B2989" s="170"/>
      <c r="C2989" s="170" t="str">
        <f>IFERROR(__xludf.DUMMYFUNCTION("""COMPUTED_VALUE"""),"ID")</f>
        <v>ID</v>
      </c>
      <c r="D2989" s="170" t="str">
        <f>IFERROR(__xludf.DUMMYFUNCTION("""COMPUTED_VALUE"""),"USA")</f>
        <v>USA</v>
      </c>
      <c r="E2989" s="171">
        <f>IFERROR(__xludf.DUMMYFUNCTION("""COMPUTED_VALUE"""),43279.0)</f>
        <v>43279</v>
      </c>
      <c r="F2989" s="172">
        <f>IFERROR(__xludf.DUMMYFUNCTION("""COMPUTED_VALUE"""),43368.0)</f>
        <v>43368</v>
      </c>
      <c r="G2989" s="173"/>
      <c r="H2989" s="174">
        <f>IFERROR(__xludf.DUMMYFUNCTION("""COMPUTED_VALUE"""),91355.0)</f>
        <v>91355</v>
      </c>
      <c r="I2989" s="175" t="str">
        <f>IFERROR(__xludf.DUMMYFUNCTION("""COMPUTED_VALUE"""),"09/18")</f>
        <v>09/18</v>
      </c>
      <c r="J2989" s="172">
        <f>IFERROR(__xludf.DUMMYFUNCTION("""COMPUTED_VALUE"""),43377.0)</f>
        <v>43377</v>
      </c>
      <c r="K2989" s="176">
        <f>IFERROR(__xludf.DUMMYFUNCTION("""COMPUTED_VALUE"""),89.0)</f>
        <v>89</v>
      </c>
      <c r="L2989" s="176">
        <f>IFERROR(__xludf.DUMMYFUNCTION("""COMPUTED_VALUE"""),9.0)</f>
        <v>9</v>
      </c>
      <c r="M2989" s="176">
        <f>IFERROR(__xludf.DUMMYFUNCTION("""COMPUTED_VALUE"""),98.0)</f>
        <v>98</v>
      </c>
      <c r="N2989" s="177" t="str">
        <f>IFERROR(__xludf.DUMMYFUNCTION("""COMPUTED_VALUE"""),"Model 3 LR AWD")</f>
        <v>Model 3 LR AWD</v>
      </c>
      <c r="O2989" s="177" t="str">
        <f>IFERROR(__xludf.DUMMYFUNCTION("""COMPUTED_VALUE"""),"Silver Metallic")</f>
        <v>Silver Metallic</v>
      </c>
      <c r="P2989" s="178" t="str">
        <f>IFERROR(__xludf.DUMMYFUNCTION("""COMPUTED_VALUE"""),"19 inch Sport")</f>
        <v>19 inch Sport</v>
      </c>
      <c r="Q2989" s="177" t="str">
        <f>IFERROR(__xludf.DUMMYFUNCTION("""COMPUTED_VALUE"""),"Black seats")</f>
        <v>Black seats</v>
      </c>
      <c r="R2989" s="170" t="str">
        <f>IFERROR(__xludf.DUMMYFUNCTION("""COMPUTED_VALUE"""),"Enhanced Autopilot")</f>
        <v>Enhanced Autopilot</v>
      </c>
      <c r="S2989" s="170"/>
      <c r="T2989" s="179"/>
      <c r="U2989" s="179"/>
      <c r="V2989" s="179"/>
      <c r="W2989" s="180"/>
      <c r="X2989" s="181" t="str">
        <f>IFERROR(__xludf.DUMMYFUNCTION("""COMPUTED_VALUE"""),"Excellent")</f>
        <v>Excellent</v>
      </c>
      <c r="Y2989" s="182" t="str">
        <f>IFERROR(__xludf.DUMMYFUNCTION("""COMPUTED_VALUE"""),"Excellent")</f>
        <v>Excellent</v>
      </c>
      <c r="Z2989" s="182" t="str">
        <f>IFERROR(__xludf.DUMMYFUNCTION("""COMPUTED_VALUE"""),"Excellent")</f>
        <v>Excellent</v>
      </c>
      <c r="AA2989" s="182" t="str">
        <f>IFERROR(__xludf.DUMMYFUNCTION("""COMPUTED_VALUE"""),"Poor")</f>
        <v>Poor</v>
      </c>
      <c r="AB2989" s="182" t="str">
        <f>IFERROR(__xludf.DUMMYFUNCTION("""COMPUTED_VALUE"""),"Very Good")</f>
        <v>Very Good</v>
      </c>
      <c r="AC2989" s="183">
        <f>IFERROR(__xludf.DUMMYFUNCTION("""COMPUTED_VALUE"""),1.0)</f>
        <v>1</v>
      </c>
      <c r="AD2989" s="183"/>
      <c r="AE2989" s="183"/>
      <c r="AF2989" s="184"/>
      <c r="AG2989" s="180"/>
      <c r="AH2989" s="185">
        <f>IFERROR(__xludf.DUMMYFUNCTION("""COMPUTED_VALUE"""),43380.848866736116)</f>
        <v>43380.84887</v>
      </c>
      <c r="AI2989" s="182"/>
      <c r="AJ2989" s="182"/>
      <c r="AK2989" s="182"/>
      <c r="AL2989" s="182"/>
    </row>
    <row r="2990" ht="20.25" customHeight="1">
      <c r="A2990" s="169" t="str">
        <f>IFERROR(__xludf.DUMMYFUNCTION("""COMPUTED_VALUE"""),"Tesla4me!")</f>
        <v>Tesla4me!</v>
      </c>
      <c r="B2990" s="170" t="str">
        <f>IFERROR(__xludf.DUMMYFUNCTION("""COMPUTED_VALUE"""),"Germantown, MD")</f>
        <v>Germantown, MD</v>
      </c>
      <c r="C2990" s="170" t="str">
        <f>IFERROR(__xludf.DUMMYFUNCTION("""COMPUTED_VALUE"""),"MD")</f>
        <v>MD</v>
      </c>
      <c r="D2990" s="170" t="str">
        <f>IFERROR(__xludf.DUMMYFUNCTION("""COMPUTED_VALUE"""),"USA")</f>
        <v>USA</v>
      </c>
      <c r="E2990" s="171">
        <f>IFERROR(__xludf.DUMMYFUNCTION("""COMPUTED_VALUE"""),43279.0)</f>
        <v>43279</v>
      </c>
      <c r="F2990" s="172">
        <f>IFERROR(__xludf.DUMMYFUNCTION("""COMPUTED_VALUE"""),43365.0)</f>
        <v>43365</v>
      </c>
      <c r="G2990" s="173"/>
      <c r="H2990" s="174">
        <f>IFERROR(__xludf.DUMMYFUNCTION("""COMPUTED_VALUE"""),66455.0)</f>
        <v>66455</v>
      </c>
      <c r="I2990" s="175" t="str">
        <f>IFERROR(__xludf.DUMMYFUNCTION("""COMPUTED_VALUE"""),"08/18")</f>
        <v>08/18</v>
      </c>
      <c r="J2990" s="172">
        <f>IFERROR(__xludf.DUMMYFUNCTION("""COMPUTED_VALUE"""),43367.0)</f>
        <v>43367</v>
      </c>
      <c r="K2990" s="176">
        <f>IFERROR(__xludf.DUMMYFUNCTION("""COMPUTED_VALUE"""),86.0)</f>
        <v>86</v>
      </c>
      <c r="L2990" s="176">
        <f>IFERROR(__xludf.DUMMYFUNCTION("""COMPUTED_VALUE"""),2.0)</f>
        <v>2</v>
      </c>
      <c r="M2990" s="176">
        <f>IFERROR(__xludf.DUMMYFUNCTION("""COMPUTED_VALUE"""),88.0)</f>
        <v>88</v>
      </c>
      <c r="N2990" s="177" t="str">
        <f>IFERROR(__xludf.DUMMYFUNCTION("""COMPUTED_VALUE"""),"Model 3 LR AWD")</f>
        <v>Model 3 LR AWD</v>
      </c>
      <c r="O2990" s="177" t="str">
        <f>IFERROR(__xludf.DUMMYFUNCTION("""COMPUTED_VALUE"""),"Midnight Silver Metallic")</f>
        <v>Midnight Silver Metallic</v>
      </c>
      <c r="P2990" s="178" t="str">
        <f>IFERROR(__xludf.DUMMYFUNCTION("""COMPUTED_VALUE"""),"18 inch Aero")</f>
        <v>18 inch Aero</v>
      </c>
      <c r="Q2990" s="177" t="str">
        <f>IFERROR(__xludf.DUMMYFUNCTION("""COMPUTED_VALUE"""),"Black seats")</f>
        <v>Black seats</v>
      </c>
      <c r="R2990" s="170" t="str">
        <f>IFERROR(__xludf.DUMMYFUNCTION("""COMPUTED_VALUE"""),"Full Self-Driving")</f>
        <v>Full Self-Driving</v>
      </c>
      <c r="S2990" s="170"/>
      <c r="T2990" s="179"/>
      <c r="U2990" s="179"/>
      <c r="V2990" s="179"/>
      <c r="W2990" s="180"/>
      <c r="X2990" s="181" t="str">
        <f>IFERROR(__xludf.DUMMYFUNCTION("""COMPUTED_VALUE"""),"Excellent")</f>
        <v>Excellent</v>
      </c>
      <c r="Y2990" s="182" t="str">
        <f>IFERROR(__xludf.DUMMYFUNCTION("""COMPUTED_VALUE"""),"Excellent")</f>
        <v>Excellent</v>
      </c>
      <c r="Z2990" s="182" t="str">
        <f>IFERROR(__xludf.DUMMYFUNCTION("""COMPUTED_VALUE"""),"Excellent")</f>
        <v>Excellent</v>
      </c>
      <c r="AA2990" s="182" t="str">
        <f>IFERROR(__xludf.DUMMYFUNCTION("""COMPUTED_VALUE"""),"Excellent")</f>
        <v>Excellent</v>
      </c>
      <c r="AB2990" s="182" t="str">
        <f>IFERROR(__xludf.DUMMYFUNCTION("""COMPUTED_VALUE"""),"Excellent")</f>
        <v>Excellent</v>
      </c>
      <c r="AC2990" s="183">
        <f>IFERROR(__xludf.DUMMYFUNCTION("""COMPUTED_VALUE"""),0.0)</f>
        <v>0</v>
      </c>
      <c r="AD2990" s="183"/>
      <c r="AE2990" s="183"/>
      <c r="AF2990" s="184"/>
      <c r="AG2990" s="180"/>
      <c r="AH2990" s="185">
        <f>IFERROR(__xludf.DUMMYFUNCTION("""COMPUTED_VALUE"""),43369.19320451389)</f>
        <v>43369.1932</v>
      </c>
      <c r="AI2990" s="182"/>
      <c r="AJ2990" s="182"/>
      <c r="AK2990" s="182"/>
      <c r="AL2990" s="182"/>
    </row>
    <row r="2991" ht="20.25" customHeight="1">
      <c r="A2991" s="169" t="str">
        <f>IFERROR(__xludf.DUMMYFUNCTION("""COMPUTED_VALUE"""),"theBurtReynold")</f>
        <v>theBurtReynold</v>
      </c>
      <c r="B2991" s="170" t="str">
        <f>IFERROR(__xludf.DUMMYFUNCTION("""COMPUTED_VALUE"""),"Boston")</f>
        <v>Boston</v>
      </c>
      <c r="C2991" s="170" t="str">
        <f>IFERROR(__xludf.DUMMYFUNCTION("""COMPUTED_VALUE"""),"MA")</f>
        <v>MA</v>
      </c>
      <c r="D2991" s="170" t="str">
        <f>IFERROR(__xludf.DUMMYFUNCTION("""COMPUTED_VALUE"""),"USA")</f>
        <v>USA</v>
      </c>
      <c r="E2991" s="171">
        <f>IFERROR(__xludf.DUMMYFUNCTION("""COMPUTED_VALUE"""),43279.0)</f>
        <v>43279</v>
      </c>
      <c r="F2991" s="172">
        <f>IFERROR(__xludf.DUMMYFUNCTION("""COMPUTED_VALUE"""),43354.0)</f>
        <v>43354</v>
      </c>
      <c r="G2991" s="173"/>
      <c r="H2991" s="174">
        <f>IFERROR(__xludf.DUMMYFUNCTION("""COMPUTED_VALUE"""),97815.0)</f>
        <v>97815</v>
      </c>
      <c r="I2991" s="175"/>
      <c r="J2991" s="172">
        <f>IFERROR(__xludf.DUMMYFUNCTION("""COMPUTED_VALUE"""),43371.0)</f>
        <v>43371</v>
      </c>
      <c r="K2991" s="176">
        <f>IFERROR(__xludf.DUMMYFUNCTION("""COMPUTED_VALUE"""),75.0)</f>
        <v>75</v>
      </c>
      <c r="L2991" s="176">
        <f>IFERROR(__xludf.DUMMYFUNCTION("""COMPUTED_VALUE"""),17.0)</f>
        <v>17</v>
      </c>
      <c r="M2991" s="176">
        <f>IFERROR(__xludf.DUMMYFUNCTION("""COMPUTED_VALUE"""),92.0)</f>
        <v>92</v>
      </c>
      <c r="N2991" s="177" t="str">
        <f>IFERROR(__xludf.DUMMYFUNCTION("""COMPUTED_VALUE"""),"Model 3 LR AWD")</f>
        <v>Model 3 LR AWD</v>
      </c>
      <c r="O2991" s="177" t="str">
        <f>IFERROR(__xludf.DUMMYFUNCTION("""COMPUTED_VALUE"""),"Deep Blue Metallic")</f>
        <v>Deep Blue Metallic</v>
      </c>
      <c r="P2991" s="178" t="str">
        <f>IFERROR(__xludf.DUMMYFUNCTION("""COMPUTED_VALUE"""),"19 inch Sport")</f>
        <v>19 inch Sport</v>
      </c>
      <c r="Q2991" s="177" t="str">
        <f>IFERROR(__xludf.DUMMYFUNCTION("""COMPUTED_VALUE"""),"White seats")</f>
        <v>White seats</v>
      </c>
      <c r="R2991" s="170" t="str">
        <f>IFERROR(__xludf.DUMMYFUNCTION("""COMPUTED_VALUE"""),"Full Self-Driving")</f>
        <v>Full Self-Driving</v>
      </c>
      <c r="S2991" s="170"/>
      <c r="T2991" s="179"/>
      <c r="U2991" s="179"/>
      <c r="V2991" s="179"/>
      <c r="W2991" s="180"/>
      <c r="X2991" s="181" t="str">
        <f>IFERROR(__xludf.DUMMYFUNCTION("""COMPUTED_VALUE"""),"Excellent")</f>
        <v>Excellent</v>
      </c>
      <c r="Y2991" s="182" t="str">
        <f>IFERROR(__xludf.DUMMYFUNCTION("""COMPUTED_VALUE"""),"Excellent")</f>
        <v>Excellent</v>
      </c>
      <c r="Z2991" s="182" t="str">
        <f>IFERROR(__xludf.DUMMYFUNCTION("""COMPUTED_VALUE"""),"Excellent")</f>
        <v>Excellent</v>
      </c>
      <c r="AA2991" s="182" t="str">
        <f>IFERROR(__xludf.DUMMYFUNCTION("""COMPUTED_VALUE"""),"Very Good")</f>
        <v>Very Good</v>
      </c>
      <c r="AB2991" s="182" t="str">
        <f>IFERROR(__xludf.DUMMYFUNCTION("""COMPUTED_VALUE"""),"Very Good")</f>
        <v>Very Good</v>
      </c>
      <c r="AC2991" s="183"/>
      <c r="AD2991" s="183"/>
      <c r="AE2991" s="183"/>
      <c r="AF2991" s="184"/>
      <c r="AG2991" s="180"/>
      <c r="AH2991" s="185">
        <f>IFERROR(__xludf.DUMMYFUNCTION("""COMPUTED_VALUE"""),43374.49375045139)</f>
        <v>43374.49375</v>
      </c>
      <c r="AI2991" s="182"/>
      <c r="AJ2991" s="182"/>
      <c r="AK2991" s="182"/>
      <c r="AL2991" s="182"/>
    </row>
    <row r="2992" ht="20.25" customHeight="1">
      <c r="A2992" s="169" t="str">
        <f>IFERROR(__xludf.DUMMYFUNCTION("""COMPUTED_VALUE"""),"thecakeisalie")</f>
        <v>thecakeisalie</v>
      </c>
      <c r="B2992" s="170"/>
      <c r="C2992" s="170" t="str">
        <f>IFERROR(__xludf.DUMMYFUNCTION("""COMPUTED_VALUE"""),"CA")</f>
        <v>CA</v>
      </c>
      <c r="D2992" s="170" t="str">
        <f>IFERROR(__xludf.DUMMYFUNCTION("""COMPUTED_VALUE"""),"USA")</f>
        <v>USA</v>
      </c>
      <c r="E2992" s="171">
        <f>IFERROR(__xludf.DUMMYFUNCTION("""COMPUTED_VALUE"""),43279.0)</f>
        <v>43279</v>
      </c>
      <c r="F2992" s="172"/>
      <c r="G2992" s="173"/>
      <c r="H2992" s="174">
        <f>IFERROR(__xludf.DUMMYFUNCTION("""COMPUTED_VALUE"""),72555.0)</f>
        <v>72555</v>
      </c>
      <c r="I2992" s="175"/>
      <c r="J2992" s="172">
        <f>IFERROR(__xludf.DUMMYFUNCTION("""COMPUTED_VALUE"""),43353.0)</f>
        <v>43353</v>
      </c>
      <c r="K2992" s="176"/>
      <c r="L2992" s="176"/>
      <c r="M2992" s="176">
        <f>IFERROR(__xludf.DUMMYFUNCTION("""COMPUTED_VALUE"""),74.0)</f>
        <v>74</v>
      </c>
      <c r="N2992" s="177" t="str">
        <f>IFERROR(__xludf.DUMMYFUNCTION("""COMPUTED_VALUE"""),"Model 3 Performance")</f>
        <v>Model 3 Performance</v>
      </c>
      <c r="O2992" s="177" t="str">
        <f>IFERROR(__xludf.DUMMYFUNCTION("""COMPUTED_VALUE"""),"Pearl White Multi-Coat")</f>
        <v>Pearl White Multi-Coat</v>
      </c>
      <c r="P2992" s="178" t="str">
        <f>IFERROR(__xludf.DUMMYFUNCTION("""COMPUTED_VALUE"""),"20 inch Sport")</f>
        <v>20 inch Sport</v>
      </c>
      <c r="Q2992" s="177" t="str">
        <f>IFERROR(__xludf.DUMMYFUNCTION("""COMPUTED_VALUE"""),"Black seats")</f>
        <v>Black seats</v>
      </c>
      <c r="R2992" s="170" t="str">
        <f>IFERROR(__xludf.DUMMYFUNCTION("""COMPUTED_VALUE"""),"Full Self-Driving")</f>
        <v>Full Self-Driving</v>
      </c>
      <c r="S2992" s="170"/>
      <c r="T2992" s="179"/>
      <c r="U2992" s="179"/>
      <c r="V2992" s="179"/>
      <c r="W2992" s="180"/>
      <c r="X2992" s="181" t="str">
        <f>IFERROR(__xludf.DUMMYFUNCTION("""COMPUTED_VALUE"""),"Excellent")</f>
        <v>Excellent</v>
      </c>
      <c r="Y2992" s="182" t="str">
        <f>IFERROR(__xludf.DUMMYFUNCTION("""COMPUTED_VALUE"""),"Very Good")</f>
        <v>Very Good</v>
      </c>
      <c r="Z2992" s="182" t="str">
        <f>IFERROR(__xludf.DUMMYFUNCTION("""COMPUTED_VALUE"""),"Excellent")</f>
        <v>Excellent</v>
      </c>
      <c r="AA2992" s="182" t="str">
        <f>IFERROR(__xludf.DUMMYFUNCTION("""COMPUTED_VALUE"""),"Very Good")</f>
        <v>Very Good</v>
      </c>
      <c r="AB2992" s="182" t="str">
        <f>IFERROR(__xludf.DUMMYFUNCTION("""COMPUTED_VALUE"""),"Excellent")</f>
        <v>Excellent</v>
      </c>
      <c r="AC2992" s="183">
        <f>IFERROR(__xludf.DUMMYFUNCTION("""COMPUTED_VALUE"""),2.0)</f>
        <v>2</v>
      </c>
      <c r="AD2992" s="183"/>
      <c r="AE2992" s="183"/>
      <c r="AF2992" s="184"/>
      <c r="AG2992" s="180"/>
      <c r="AH2992" s="185">
        <f>IFERROR(__xludf.DUMMYFUNCTION("""COMPUTED_VALUE"""),43354.84945497685)</f>
        <v>43354.84945</v>
      </c>
      <c r="AI2992" s="182"/>
      <c r="AJ2992" s="182"/>
      <c r="AK2992" s="182"/>
      <c r="AL2992" s="182"/>
    </row>
    <row r="2993" ht="20.25" customHeight="1">
      <c r="A2993" s="169" t="str">
        <f>IFERROR(__xludf.DUMMYFUNCTION("""COMPUTED_VALUE"""),"TheDom")</f>
        <v>TheDom</v>
      </c>
      <c r="B2993" s="170" t="str">
        <f>IFERROR(__xludf.DUMMYFUNCTION("""COMPUTED_VALUE"""),"Fort Myers")</f>
        <v>Fort Myers</v>
      </c>
      <c r="C2993" s="170" t="str">
        <f>IFERROR(__xludf.DUMMYFUNCTION("""COMPUTED_VALUE"""),"FL")</f>
        <v>FL</v>
      </c>
      <c r="D2993" s="170" t="str">
        <f>IFERROR(__xludf.DUMMYFUNCTION("""COMPUTED_VALUE"""),"USA")</f>
        <v>USA</v>
      </c>
      <c r="E2993" s="171">
        <f>IFERROR(__xludf.DUMMYFUNCTION("""COMPUTED_VALUE"""),43279.0)</f>
        <v>43279</v>
      </c>
      <c r="F2993" s="172">
        <f>IFERROR(__xludf.DUMMYFUNCTION("""COMPUTED_VALUE"""),43341.0)</f>
        <v>43341</v>
      </c>
      <c r="G2993" s="173"/>
      <c r="H2993" s="174">
        <f>IFERROR(__xludf.DUMMYFUNCTION("""COMPUTED_VALUE"""),64655.0)</f>
        <v>64655</v>
      </c>
      <c r="I2993" s="175" t="str">
        <f>IFERROR(__xludf.DUMMYFUNCTION("""COMPUTED_VALUE"""),"08/18")</f>
        <v>08/18</v>
      </c>
      <c r="J2993" s="172">
        <f>IFERROR(__xludf.DUMMYFUNCTION("""COMPUTED_VALUE"""),43369.0)</f>
        <v>43369</v>
      </c>
      <c r="K2993" s="176">
        <f>IFERROR(__xludf.DUMMYFUNCTION("""COMPUTED_VALUE"""),62.0)</f>
        <v>62</v>
      </c>
      <c r="L2993" s="176">
        <f>IFERROR(__xludf.DUMMYFUNCTION("""COMPUTED_VALUE"""),28.0)</f>
        <v>28</v>
      </c>
      <c r="M2993" s="176">
        <f>IFERROR(__xludf.DUMMYFUNCTION("""COMPUTED_VALUE"""),90.0)</f>
        <v>90</v>
      </c>
      <c r="N2993" s="177" t="str">
        <f>IFERROR(__xludf.DUMMYFUNCTION("""COMPUTED_VALUE"""),"Model 3 LR AWD")</f>
        <v>Model 3 LR AWD</v>
      </c>
      <c r="O2993" s="177" t="str">
        <f>IFERROR(__xludf.DUMMYFUNCTION("""COMPUTED_VALUE"""),"Deep Blue Metallic")</f>
        <v>Deep Blue Metallic</v>
      </c>
      <c r="P2993" s="178" t="str">
        <f>IFERROR(__xludf.DUMMYFUNCTION("""COMPUTED_VALUE"""),"18 inch Aero")</f>
        <v>18 inch Aero</v>
      </c>
      <c r="Q2993" s="177" t="str">
        <f>IFERROR(__xludf.DUMMYFUNCTION("""COMPUTED_VALUE"""),"Black seats")</f>
        <v>Black seats</v>
      </c>
      <c r="R2993" s="170" t="str">
        <f>IFERROR(__xludf.DUMMYFUNCTION("""COMPUTED_VALUE"""),"Full Self-Driving")</f>
        <v>Full Self-Driving</v>
      </c>
      <c r="S2993" s="170"/>
      <c r="T2993" s="179"/>
      <c r="U2993" s="179"/>
      <c r="V2993" s="179"/>
      <c r="W2993" s="180"/>
      <c r="X2993" s="181" t="str">
        <f>IFERROR(__xludf.DUMMYFUNCTION("""COMPUTED_VALUE"""),"Excellent")</f>
        <v>Excellent</v>
      </c>
      <c r="Y2993" s="182" t="str">
        <f>IFERROR(__xludf.DUMMYFUNCTION("""COMPUTED_VALUE"""),"Excellent")</f>
        <v>Excellent</v>
      </c>
      <c r="Z2993" s="182" t="str">
        <f>IFERROR(__xludf.DUMMYFUNCTION("""COMPUTED_VALUE"""),"Excellent")</f>
        <v>Excellent</v>
      </c>
      <c r="AA2993" s="182" t="str">
        <f>IFERROR(__xludf.DUMMYFUNCTION("""COMPUTED_VALUE"""),"Excellent")</f>
        <v>Excellent</v>
      </c>
      <c r="AB2993" s="182" t="str">
        <f>IFERROR(__xludf.DUMMYFUNCTION("""COMPUTED_VALUE"""),"Excellent")</f>
        <v>Excellent</v>
      </c>
      <c r="AC2993" s="183"/>
      <c r="AD2993" s="183"/>
      <c r="AE2993" s="183"/>
      <c r="AF2993" s="184"/>
      <c r="AG2993" s="180"/>
      <c r="AH2993" s="185">
        <f>IFERROR(__xludf.DUMMYFUNCTION("""COMPUTED_VALUE"""),43371.89160321759)</f>
        <v>43371.8916</v>
      </c>
      <c r="AI2993" s="182"/>
      <c r="AJ2993" s="182"/>
      <c r="AK2993" s="182"/>
      <c r="AL2993" s="182"/>
    </row>
    <row r="2994" ht="20.25" customHeight="1">
      <c r="A2994" s="169" t="str">
        <f>IFERROR(__xludf.DUMMYFUNCTION("""COMPUTED_VALUE"""),"TheDude8890")</f>
        <v>TheDude8890</v>
      </c>
      <c r="B2994" s="170"/>
      <c r="C2994" s="170" t="str">
        <f>IFERROR(__xludf.DUMMYFUNCTION("""COMPUTED_VALUE"""),"SC")</f>
        <v>SC</v>
      </c>
      <c r="D2994" s="170" t="str">
        <f>IFERROR(__xludf.DUMMYFUNCTION("""COMPUTED_VALUE"""),"USA")</f>
        <v>USA</v>
      </c>
      <c r="E2994" s="171">
        <f>IFERROR(__xludf.DUMMYFUNCTION("""COMPUTED_VALUE"""),43279.0)</f>
        <v>43279</v>
      </c>
      <c r="F2994" s="172">
        <f>IFERROR(__xludf.DUMMYFUNCTION("""COMPUTED_VALUE"""),43374.0)</f>
        <v>43374</v>
      </c>
      <c r="G2994" s="173"/>
      <c r="H2994" s="174">
        <f>IFERROR(__xludf.DUMMYFUNCTION("""COMPUTED_VALUE"""),72255.0)</f>
        <v>72255</v>
      </c>
      <c r="I2994" s="175"/>
      <c r="J2994" s="172">
        <f>IFERROR(__xludf.DUMMYFUNCTION("""COMPUTED_VALUE"""),43384.0)</f>
        <v>43384</v>
      </c>
      <c r="K2994" s="176">
        <f>IFERROR(__xludf.DUMMYFUNCTION("""COMPUTED_VALUE"""),95.0)</f>
        <v>95</v>
      </c>
      <c r="L2994" s="176">
        <f>IFERROR(__xludf.DUMMYFUNCTION("""COMPUTED_VALUE"""),10.0)</f>
        <v>10</v>
      </c>
      <c r="M2994" s="176">
        <f>IFERROR(__xludf.DUMMYFUNCTION("""COMPUTED_VALUE"""),105.0)</f>
        <v>105</v>
      </c>
      <c r="N2994" s="177" t="str">
        <f>IFERROR(__xludf.DUMMYFUNCTION("""COMPUTED_VALUE"""),"Model 3 Performance")</f>
        <v>Model 3 Performance</v>
      </c>
      <c r="O2994" s="177" t="str">
        <f>IFERROR(__xludf.DUMMYFUNCTION("""COMPUTED_VALUE"""),"Deep Blue Metallic")</f>
        <v>Deep Blue Metallic</v>
      </c>
      <c r="P2994" s="178" t="str">
        <f>IFERROR(__xludf.DUMMYFUNCTION("""COMPUTED_VALUE"""),"20 inch Sport")</f>
        <v>20 inch Sport</v>
      </c>
      <c r="Q2994" s="177" t="str">
        <f>IFERROR(__xludf.DUMMYFUNCTION("""COMPUTED_VALUE"""),"Black seats")</f>
        <v>Black seats</v>
      </c>
      <c r="R2994" s="170" t="str">
        <f>IFERROR(__xludf.DUMMYFUNCTION("""COMPUTED_VALUE"""),"None")</f>
        <v>None</v>
      </c>
      <c r="S2994" s="170"/>
      <c r="T2994" s="179"/>
      <c r="U2994" s="179"/>
      <c r="V2994" s="179"/>
      <c r="W2994" s="180"/>
      <c r="X2994" s="181" t="str">
        <f>IFERROR(__xludf.DUMMYFUNCTION("""COMPUTED_VALUE"""),"Excellent")</f>
        <v>Excellent</v>
      </c>
      <c r="Y2994" s="182" t="str">
        <f>IFERROR(__xludf.DUMMYFUNCTION("""COMPUTED_VALUE"""),"Very Good")</f>
        <v>Very Good</v>
      </c>
      <c r="Z2994" s="182" t="str">
        <f>IFERROR(__xludf.DUMMYFUNCTION("""COMPUTED_VALUE"""),"Excellent")</f>
        <v>Excellent</v>
      </c>
      <c r="AA2994" s="182" t="str">
        <f>IFERROR(__xludf.DUMMYFUNCTION("""COMPUTED_VALUE"""),"Good")</f>
        <v>Good</v>
      </c>
      <c r="AB2994" s="182" t="str">
        <f>IFERROR(__xludf.DUMMYFUNCTION("""COMPUTED_VALUE"""),"Poor")</f>
        <v>Poor</v>
      </c>
      <c r="AC2994" s="183"/>
      <c r="AD2994" s="183"/>
      <c r="AE2994" s="183"/>
      <c r="AF2994" s="184"/>
      <c r="AG2994" s="180"/>
      <c r="AH2994" s="185">
        <f>IFERROR(__xludf.DUMMYFUNCTION("""COMPUTED_VALUE"""),43402.41309913194)</f>
        <v>43402.4131</v>
      </c>
      <c r="AI2994" s="182"/>
      <c r="AJ2994" s="182"/>
      <c r="AK2994" s="182"/>
      <c r="AL2994" s="182"/>
    </row>
    <row r="2995" ht="20.25" customHeight="1">
      <c r="A2995" s="169" t="str">
        <f>IFERROR(__xludf.DUMMYFUNCTION("""COMPUTED_VALUE"""),"Thorg12")</f>
        <v>Thorg12</v>
      </c>
      <c r="B2995" s="170" t="str">
        <f>IFERROR(__xludf.DUMMYFUNCTION("""COMPUTED_VALUE"""),"Philly")</f>
        <v>Philly</v>
      </c>
      <c r="C2995" s="170" t="str">
        <f>IFERROR(__xludf.DUMMYFUNCTION("""COMPUTED_VALUE"""),"PA")</f>
        <v>PA</v>
      </c>
      <c r="D2995" s="170" t="str">
        <f>IFERROR(__xludf.DUMMYFUNCTION("""COMPUTED_VALUE"""),"USA")</f>
        <v>USA</v>
      </c>
      <c r="E2995" s="171">
        <f>IFERROR(__xludf.DUMMYFUNCTION("""COMPUTED_VALUE"""),43279.0)</f>
        <v>43279</v>
      </c>
      <c r="F2995" s="172">
        <f>IFERROR(__xludf.DUMMYFUNCTION("""COMPUTED_VALUE"""),43378.0)</f>
        <v>43378</v>
      </c>
      <c r="G2995" s="173"/>
      <c r="H2995" s="174">
        <f>IFERROR(__xludf.DUMMYFUNCTION("""COMPUTED_VALUE"""),117455.0)</f>
        <v>117455</v>
      </c>
      <c r="I2995" s="175"/>
      <c r="J2995" s="172">
        <f>IFERROR(__xludf.DUMMYFUNCTION("""COMPUTED_VALUE"""),43404.0)</f>
        <v>43404</v>
      </c>
      <c r="K2995" s="176">
        <f>IFERROR(__xludf.DUMMYFUNCTION("""COMPUTED_VALUE"""),99.0)</f>
        <v>99</v>
      </c>
      <c r="L2995" s="176">
        <f>IFERROR(__xludf.DUMMYFUNCTION("""COMPUTED_VALUE"""),26.0)</f>
        <v>26</v>
      </c>
      <c r="M2995" s="176">
        <f>IFERROR(__xludf.DUMMYFUNCTION("""COMPUTED_VALUE"""),125.0)</f>
        <v>125</v>
      </c>
      <c r="N2995" s="177" t="str">
        <f>IFERROR(__xludf.DUMMYFUNCTION("""COMPUTED_VALUE"""),"Model 3 LR AWD")</f>
        <v>Model 3 LR AWD</v>
      </c>
      <c r="O2995" s="177" t="str">
        <f>IFERROR(__xludf.DUMMYFUNCTION("""COMPUTED_VALUE"""),"Deep Blue Metallic")</f>
        <v>Deep Blue Metallic</v>
      </c>
      <c r="P2995" s="178" t="str">
        <f>IFERROR(__xludf.DUMMYFUNCTION("""COMPUTED_VALUE"""),"19 inch Sport")</f>
        <v>19 inch Sport</v>
      </c>
      <c r="Q2995" s="177" t="str">
        <f>IFERROR(__xludf.DUMMYFUNCTION("""COMPUTED_VALUE"""),"Black seats")</f>
        <v>Black seats</v>
      </c>
      <c r="R2995" s="170" t="str">
        <f>IFERROR(__xludf.DUMMYFUNCTION("""COMPUTED_VALUE"""),"Enhanced Autopilot")</f>
        <v>Enhanced Autopilot</v>
      </c>
      <c r="S2995" s="170"/>
      <c r="T2995" s="179"/>
      <c r="U2995" s="179"/>
      <c r="V2995" s="179"/>
      <c r="W2995" s="180"/>
      <c r="X2995" s="181" t="str">
        <f>IFERROR(__xludf.DUMMYFUNCTION("""COMPUTED_VALUE"""),"Excellent")</f>
        <v>Excellent</v>
      </c>
      <c r="Y2995" s="182" t="str">
        <f>IFERROR(__xludf.DUMMYFUNCTION("""COMPUTED_VALUE"""),"Excellent")</f>
        <v>Excellent</v>
      </c>
      <c r="Z2995" s="182" t="str">
        <f>IFERROR(__xludf.DUMMYFUNCTION("""COMPUTED_VALUE"""),"Excellent")</f>
        <v>Excellent</v>
      </c>
      <c r="AA2995" s="182" t="str">
        <f>IFERROR(__xludf.DUMMYFUNCTION("""COMPUTED_VALUE"""),"Very Good")</f>
        <v>Very Good</v>
      </c>
      <c r="AB2995" s="182" t="str">
        <f>IFERROR(__xludf.DUMMYFUNCTION("""COMPUTED_VALUE"""),"Excellent")</f>
        <v>Excellent</v>
      </c>
      <c r="AC2995" s="183">
        <f>IFERROR(__xludf.DUMMYFUNCTION("""COMPUTED_VALUE"""),0.0)</f>
        <v>0</v>
      </c>
      <c r="AD2995" s="183"/>
      <c r="AE2995" s="183"/>
      <c r="AF2995" s="184"/>
      <c r="AG2995" s="180" t="str">
        <f>IFERROR(__xludf.DUMMYFUNCTION("""COMPUTED_VALUE"""),"car received on 10/31/2018")</f>
        <v>car received on 10/31/2018</v>
      </c>
      <c r="AH2995" s="185">
        <f>IFERROR(__xludf.DUMMYFUNCTION("""COMPUTED_VALUE"""),43406.32001283565)</f>
        <v>43406.32001</v>
      </c>
      <c r="AI2995" s="182"/>
      <c r="AJ2995" s="182"/>
      <c r="AK2995" s="182"/>
      <c r="AL2995" s="182"/>
    </row>
    <row r="2996" ht="20.25" customHeight="1">
      <c r="A2996" s="169" t="str">
        <f>IFERROR(__xludf.DUMMYFUNCTION("""COMPUTED_VALUE"""),"tocunvt")</f>
        <v>tocunvt</v>
      </c>
      <c r="B2996" s="170" t="str">
        <f>IFERROR(__xludf.DUMMYFUNCTION("""COMPUTED_VALUE"""),"Arlington")</f>
        <v>Arlington</v>
      </c>
      <c r="C2996" s="170" t="str">
        <f>IFERROR(__xludf.DUMMYFUNCTION("""COMPUTED_VALUE"""),"VA")</f>
        <v>VA</v>
      </c>
      <c r="D2996" s="170" t="str">
        <f>IFERROR(__xludf.DUMMYFUNCTION("""COMPUTED_VALUE"""),"USA")</f>
        <v>USA</v>
      </c>
      <c r="E2996" s="171">
        <f>IFERROR(__xludf.DUMMYFUNCTION("""COMPUTED_VALUE"""),43279.0)</f>
        <v>43279</v>
      </c>
      <c r="F2996" s="172">
        <f>IFERROR(__xludf.DUMMYFUNCTION("""COMPUTED_VALUE"""),43320.0)</f>
        <v>43320</v>
      </c>
      <c r="G2996" s="173"/>
      <c r="H2996" s="174">
        <f>IFERROR(__xludf.DUMMYFUNCTION("""COMPUTED_VALUE"""),71055.0)</f>
        <v>71055</v>
      </c>
      <c r="I2996" s="175"/>
      <c r="J2996" s="172">
        <f>IFERROR(__xludf.DUMMYFUNCTION("""COMPUTED_VALUE"""),43347.0)</f>
        <v>43347</v>
      </c>
      <c r="K2996" s="176">
        <f>IFERROR(__xludf.DUMMYFUNCTION("""COMPUTED_VALUE"""),41.0)</f>
        <v>41</v>
      </c>
      <c r="L2996" s="176">
        <f>IFERROR(__xludf.DUMMYFUNCTION("""COMPUTED_VALUE"""),27.0)</f>
        <v>27</v>
      </c>
      <c r="M2996" s="176">
        <f>IFERROR(__xludf.DUMMYFUNCTION("""COMPUTED_VALUE"""),68.0)</f>
        <v>68</v>
      </c>
      <c r="N2996" s="177" t="str">
        <f>IFERROR(__xludf.DUMMYFUNCTION("""COMPUTED_VALUE"""),"Model 3 LR")</f>
        <v>Model 3 LR</v>
      </c>
      <c r="O2996" s="177" t="str">
        <f>IFERROR(__xludf.DUMMYFUNCTION("""COMPUTED_VALUE"""),"Obsidian Black Metallic")</f>
        <v>Obsidian Black Metallic</v>
      </c>
      <c r="P2996" s="178" t="str">
        <f>IFERROR(__xludf.DUMMYFUNCTION("""COMPUTED_VALUE"""),"19 inch Sport")</f>
        <v>19 inch Sport</v>
      </c>
      <c r="Q2996" s="177" t="str">
        <f>IFERROR(__xludf.DUMMYFUNCTION("""COMPUTED_VALUE"""),"Black seats")</f>
        <v>Black seats</v>
      </c>
      <c r="R2996" s="170" t="str">
        <f>IFERROR(__xludf.DUMMYFUNCTION("""COMPUTED_VALUE"""),"Enhanced Autopilot")</f>
        <v>Enhanced Autopilot</v>
      </c>
      <c r="S2996" s="170"/>
      <c r="T2996" s="179"/>
      <c r="U2996" s="179"/>
      <c r="V2996" s="179"/>
      <c r="W2996" s="180"/>
      <c r="X2996" s="181" t="str">
        <f>IFERROR(__xludf.DUMMYFUNCTION("""COMPUTED_VALUE"""),"Very Good")</f>
        <v>Very Good</v>
      </c>
      <c r="Y2996" s="182" t="str">
        <f>IFERROR(__xludf.DUMMYFUNCTION("""COMPUTED_VALUE"""),"Excellent")</f>
        <v>Excellent</v>
      </c>
      <c r="Z2996" s="182" t="str">
        <f>IFERROR(__xludf.DUMMYFUNCTION("""COMPUTED_VALUE"""),"Excellent")</f>
        <v>Excellent</v>
      </c>
      <c r="AA2996" s="182" t="str">
        <f>IFERROR(__xludf.DUMMYFUNCTION("""COMPUTED_VALUE"""),"Excellent")</f>
        <v>Excellent</v>
      </c>
      <c r="AB2996" s="182" t="str">
        <f>IFERROR(__xludf.DUMMYFUNCTION("""COMPUTED_VALUE"""),"Excellent")</f>
        <v>Excellent</v>
      </c>
      <c r="AC2996" s="183">
        <f>IFERROR(__xludf.DUMMYFUNCTION("""COMPUTED_VALUE"""),0.0)</f>
        <v>0</v>
      </c>
      <c r="AD2996" s="183">
        <f>IFERROR(__xludf.DUMMYFUNCTION("""COMPUTED_VALUE"""),0.0)</f>
        <v>0</v>
      </c>
      <c r="AE2996" s="183">
        <f>IFERROR(__xludf.DUMMYFUNCTION("""COMPUTED_VALUE"""),0.0)</f>
        <v>0</v>
      </c>
      <c r="AF2996" s="184"/>
      <c r="AG2996" s="180"/>
      <c r="AH2996" s="185">
        <f>IFERROR(__xludf.DUMMYFUNCTION("""COMPUTED_VALUE"""),43350.89709519676)</f>
        <v>43350.8971</v>
      </c>
      <c r="AI2996" s="182"/>
      <c r="AJ2996" s="182"/>
      <c r="AK2996" s="182"/>
      <c r="AL2996" s="182"/>
    </row>
    <row r="2997" ht="20.25" customHeight="1">
      <c r="A2997" s="169" t="str">
        <f>IFERROR(__xludf.DUMMYFUNCTION("""COMPUTED_VALUE"""),"tpatron")</f>
        <v>tpatron</v>
      </c>
      <c r="B2997" s="170" t="str">
        <f>IFERROR(__xludf.DUMMYFUNCTION("""COMPUTED_VALUE"""),"Bay Area")</f>
        <v>Bay Area</v>
      </c>
      <c r="C2997" s="170" t="str">
        <f>IFERROR(__xludf.DUMMYFUNCTION("""COMPUTED_VALUE"""),"CA")</f>
        <v>CA</v>
      </c>
      <c r="D2997" s="170" t="str">
        <f>IFERROR(__xludf.DUMMYFUNCTION("""COMPUTED_VALUE"""),"USA")</f>
        <v>USA</v>
      </c>
      <c r="E2997" s="171">
        <f>IFERROR(__xludf.DUMMYFUNCTION("""COMPUTED_VALUE"""),43279.0)</f>
        <v>43279</v>
      </c>
      <c r="F2997" s="172"/>
      <c r="G2997" s="173"/>
      <c r="H2997" s="174">
        <f>IFERROR(__xludf.DUMMYFUNCTION("""COMPUTED_VALUE"""),89963.0)</f>
        <v>89963</v>
      </c>
      <c r="I2997" s="175" t="str">
        <f>IFERROR(__xludf.DUMMYFUNCTION("""COMPUTED_VALUE"""),"09/18")</f>
        <v>09/18</v>
      </c>
      <c r="J2997" s="172">
        <f>IFERROR(__xludf.DUMMYFUNCTION("""COMPUTED_VALUE"""),43371.0)</f>
        <v>43371</v>
      </c>
      <c r="K2997" s="176"/>
      <c r="L2997" s="176"/>
      <c r="M2997" s="176">
        <f>IFERROR(__xludf.DUMMYFUNCTION("""COMPUTED_VALUE"""),92.0)</f>
        <v>92</v>
      </c>
      <c r="N2997" s="177" t="str">
        <f>IFERROR(__xludf.DUMMYFUNCTION("""COMPUTED_VALUE"""),"Model 3 LR AWD")</f>
        <v>Model 3 LR AWD</v>
      </c>
      <c r="O2997" s="177" t="str">
        <f>IFERROR(__xludf.DUMMYFUNCTION("""COMPUTED_VALUE"""),"Silver Metallic")</f>
        <v>Silver Metallic</v>
      </c>
      <c r="P2997" s="178" t="str">
        <f>IFERROR(__xludf.DUMMYFUNCTION("""COMPUTED_VALUE"""),"18 inch Aero")</f>
        <v>18 inch Aero</v>
      </c>
      <c r="Q2997" s="177" t="str">
        <f>IFERROR(__xludf.DUMMYFUNCTION("""COMPUTED_VALUE"""),"Black seats")</f>
        <v>Black seats</v>
      </c>
      <c r="R2997" s="170" t="str">
        <f>IFERROR(__xludf.DUMMYFUNCTION("""COMPUTED_VALUE"""),"Enhanced Autopilot")</f>
        <v>Enhanced Autopilot</v>
      </c>
      <c r="S2997" s="170"/>
      <c r="T2997" s="179"/>
      <c r="U2997" s="179"/>
      <c r="V2997" s="179"/>
      <c r="W2997" s="180"/>
      <c r="X2997" s="181" t="str">
        <f>IFERROR(__xludf.DUMMYFUNCTION("""COMPUTED_VALUE"""),"Very Good")</f>
        <v>Very Good</v>
      </c>
      <c r="Y2997" s="182" t="str">
        <f>IFERROR(__xludf.DUMMYFUNCTION("""COMPUTED_VALUE"""),"Very Good")</f>
        <v>Very Good</v>
      </c>
      <c r="Z2997" s="182" t="str">
        <f>IFERROR(__xludf.DUMMYFUNCTION("""COMPUTED_VALUE"""),"Fair")</f>
        <v>Fair</v>
      </c>
      <c r="AA2997" s="182" t="str">
        <f>IFERROR(__xludf.DUMMYFUNCTION("""COMPUTED_VALUE"""),"Poor")</f>
        <v>Poor</v>
      </c>
      <c r="AB2997" s="182" t="str">
        <f>IFERROR(__xludf.DUMMYFUNCTION("""COMPUTED_VALUE"""),"Poor")</f>
        <v>Poor</v>
      </c>
      <c r="AC2997" s="183"/>
      <c r="AD2997" s="183"/>
      <c r="AE2997" s="183"/>
      <c r="AF2997" s="184"/>
      <c r="AG2997" s="180"/>
      <c r="AH2997" s="185">
        <f>IFERROR(__xludf.DUMMYFUNCTION("""COMPUTED_VALUE"""),43378.54472346065)</f>
        <v>43378.54472</v>
      </c>
      <c r="AI2997" s="182"/>
      <c r="AJ2997" s="182"/>
      <c r="AK2997" s="182"/>
      <c r="AL2997" s="182"/>
    </row>
    <row r="2998" ht="20.25" customHeight="1">
      <c r="A2998" s="169" t="str">
        <f>IFERROR(__xludf.DUMMYFUNCTION("""COMPUTED_VALUE"""),"UUU")</f>
        <v>UUU</v>
      </c>
      <c r="B2998" s="170" t="str">
        <f>IFERROR(__xludf.DUMMYFUNCTION("""COMPUTED_VALUE"""),"Chanhassen")</f>
        <v>Chanhassen</v>
      </c>
      <c r="C2998" s="170" t="str">
        <f>IFERROR(__xludf.DUMMYFUNCTION("""COMPUTED_VALUE"""),"MN")</f>
        <v>MN</v>
      </c>
      <c r="D2998" s="170" t="str">
        <f>IFERROR(__xludf.DUMMYFUNCTION("""COMPUTED_VALUE"""),"USA")</f>
        <v>USA</v>
      </c>
      <c r="E2998" s="171">
        <f>IFERROR(__xludf.DUMMYFUNCTION("""COMPUTED_VALUE"""),43279.0)</f>
        <v>43279</v>
      </c>
      <c r="F2998" s="172">
        <f>IFERROR(__xludf.DUMMYFUNCTION("""COMPUTED_VALUE"""),43396.0)</f>
        <v>43396</v>
      </c>
      <c r="G2998" s="173"/>
      <c r="H2998" s="174">
        <f>IFERROR(__xludf.DUMMYFUNCTION("""COMPUTED_VALUE"""),114355.0)</f>
        <v>114355</v>
      </c>
      <c r="I2998" s="175" t="str">
        <f>IFERROR(__xludf.DUMMYFUNCTION("""COMPUTED_VALUE"""),"10/18")</f>
        <v>10/18</v>
      </c>
      <c r="J2998" s="172">
        <f>IFERROR(__xludf.DUMMYFUNCTION("""COMPUTED_VALUE"""),43405.0)</f>
        <v>43405</v>
      </c>
      <c r="K2998" s="176">
        <f>IFERROR(__xludf.DUMMYFUNCTION("""COMPUTED_VALUE"""),117.0)</f>
        <v>117</v>
      </c>
      <c r="L2998" s="176">
        <f>IFERROR(__xludf.DUMMYFUNCTION("""COMPUTED_VALUE"""),9.0)</f>
        <v>9</v>
      </c>
      <c r="M2998" s="176">
        <f>IFERROR(__xludf.DUMMYFUNCTION("""COMPUTED_VALUE"""),126.0)</f>
        <v>126</v>
      </c>
      <c r="N2998" s="177" t="str">
        <f>IFERROR(__xludf.DUMMYFUNCTION("""COMPUTED_VALUE"""),"Model 3 LR AWD")</f>
        <v>Model 3 LR AWD</v>
      </c>
      <c r="O2998" s="177" t="str">
        <f>IFERROR(__xludf.DUMMYFUNCTION("""COMPUTED_VALUE"""),"Midnight Silver Metallic")</f>
        <v>Midnight Silver Metallic</v>
      </c>
      <c r="P2998" s="178" t="str">
        <f>IFERROR(__xludf.DUMMYFUNCTION("""COMPUTED_VALUE"""),"18 inch Aero")</f>
        <v>18 inch Aero</v>
      </c>
      <c r="Q2998" s="177" t="str">
        <f>IFERROR(__xludf.DUMMYFUNCTION("""COMPUTED_VALUE"""),"Black seats")</f>
        <v>Black seats</v>
      </c>
      <c r="R2998" s="170" t="str">
        <f>IFERROR(__xludf.DUMMYFUNCTION("""COMPUTED_VALUE"""),"None")</f>
        <v>None</v>
      </c>
      <c r="S2998" s="170"/>
      <c r="T2998" s="179"/>
      <c r="U2998" s="179"/>
      <c r="V2998" s="179"/>
      <c r="W2998" s="180"/>
      <c r="X2998" s="181" t="str">
        <f>IFERROR(__xludf.DUMMYFUNCTION("""COMPUTED_VALUE"""),"Very Good")</f>
        <v>Very Good</v>
      </c>
      <c r="Y2998" s="182" t="str">
        <f>IFERROR(__xludf.DUMMYFUNCTION("""COMPUTED_VALUE"""),"Very Good")</f>
        <v>Very Good</v>
      </c>
      <c r="Z2998" s="182" t="str">
        <f>IFERROR(__xludf.DUMMYFUNCTION("""COMPUTED_VALUE"""),"Very Good")</f>
        <v>Very Good</v>
      </c>
      <c r="AA2998" s="182" t="str">
        <f>IFERROR(__xludf.DUMMYFUNCTION("""COMPUTED_VALUE"""),"Very Good")</f>
        <v>Very Good</v>
      </c>
      <c r="AB2998" s="182" t="str">
        <f>IFERROR(__xludf.DUMMYFUNCTION("""COMPUTED_VALUE"""),"Very Good")</f>
        <v>Very Good</v>
      </c>
      <c r="AC2998" s="183"/>
      <c r="AD2998" s="183"/>
      <c r="AE2998" s="183"/>
      <c r="AF2998" s="184"/>
      <c r="AG2998" s="180"/>
      <c r="AH2998" s="185">
        <f>IFERROR(__xludf.DUMMYFUNCTION("""COMPUTED_VALUE"""),43406.39308873843)</f>
        <v>43406.39309</v>
      </c>
      <c r="AI2998" s="182"/>
      <c r="AJ2998" s="182"/>
      <c r="AK2998" s="182"/>
      <c r="AL2998" s="182"/>
    </row>
    <row r="2999" ht="20.25" customHeight="1">
      <c r="A2999" s="169" t="str">
        <f>IFERROR(__xludf.DUMMYFUNCTION("""COMPUTED_VALUE"""),"VroomVroom")</f>
        <v>VroomVroom</v>
      </c>
      <c r="B2999" s="170" t="str">
        <f>IFERROR(__xludf.DUMMYFUNCTION("""COMPUTED_VALUE"""),"Bloomington")</f>
        <v>Bloomington</v>
      </c>
      <c r="C2999" s="170" t="str">
        <f>IFERROR(__xludf.DUMMYFUNCTION("""COMPUTED_VALUE"""),"IN")</f>
        <v>IN</v>
      </c>
      <c r="D2999" s="170" t="str">
        <f>IFERROR(__xludf.DUMMYFUNCTION("""COMPUTED_VALUE"""),"USA")</f>
        <v>USA</v>
      </c>
      <c r="E2999" s="171">
        <f>IFERROR(__xludf.DUMMYFUNCTION("""COMPUTED_VALUE"""),43279.0)</f>
        <v>43279</v>
      </c>
      <c r="F2999" s="172">
        <f>IFERROR(__xludf.DUMMYFUNCTION("""COMPUTED_VALUE"""),43365.0)</f>
        <v>43365</v>
      </c>
      <c r="G2999" s="173"/>
      <c r="H2999" s="174">
        <f>IFERROR(__xludf.DUMMYFUNCTION("""COMPUTED_VALUE"""),87955.0)</f>
        <v>87955</v>
      </c>
      <c r="I2999" s="175"/>
      <c r="J2999" s="172">
        <f>IFERROR(__xludf.DUMMYFUNCTION("""COMPUTED_VALUE"""),43372.0)</f>
        <v>43372</v>
      </c>
      <c r="K2999" s="176">
        <f>IFERROR(__xludf.DUMMYFUNCTION("""COMPUTED_VALUE"""),86.0)</f>
        <v>86</v>
      </c>
      <c r="L2999" s="176">
        <f>IFERROR(__xludf.DUMMYFUNCTION("""COMPUTED_VALUE"""),7.0)</f>
        <v>7</v>
      </c>
      <c r="M2999" s="176">
        <f>IFERROR(__xludf.DUMMYFUNCTION("""COMPUTED_VALUE"""),93.0)</f>
        <v>93</v>
      </c>
      <c r="N2999" s="177" t="str">
        <f>IFERROR(__xludf.DUMMYFUNCTION("""COMPUTED_VALUE"""),"Model 3 LR AWD")</f>
        <v>Model 3 LR AWD</v>
      </c>
      <c r="O2999" s="177" t="str">
        <f>IFERROR(__xludf.DUMMYFUNCTION("""COMPUTED_VALUE"""),"Red Multi-Coat")</f>
        <v>Red Multi-Coat</v>
      </c>
      <c r="P2999" s="178" t="str">
        <f>IFERROR(__xludf.DUMMYFUNCTION("""COMPUTED_VALUE"""),"19 inch Sport")</f>
        <v>19 inch Sport</v>
      </c>
      <c r="Q2999" s="177" t="str">
        <f>IFERROR(__xludf.DUMMYFUNCTION("""COMPUTED_VALUE"""),"Black seats")</f>
        <v>Black seats</v>
      </c>
      <c r="R2999" s="170" t="str">
        <f>IFERROR(__xludf.DUMMYFUNCTION("""COMPUTED_VALUE"""),"Enhanced Autopilot")</f>
        <v>Enhanced Autopilot</v>
      </c>
      <c r="S2999" s="170"/>
      <c r="T2999" s="179"/>
      <c r="U2999" s="179"/>
      <c r="V2999" s="179"/>
      <c r="W2999" s="180"/>
      <c r="X2999" s="181" t="str">
        <f>IFERROR(__xludf.DUMMYFUNCTION("""COMPUTED_VALUE"""),"Very Good")</f>
        <v>Very Good</v>
      </c>
      <c r="Y2999" s="182" t="str">
        <f>IFERROR(__xludf.DUMMYFUNCTION("""COMPUTED_VALUE"""),"Excellent")</f>
        <v>Excellent</v>
      </c>
      <c r="Z2999" s="182" t="str">
        <f>IFERROR(__xludf.DUMMYFUNCTION("""COMPUTED_VALUE"""),"Very Good")</f>
        <v>Very Good</v>
      </c>
      <c r="AA2999" s="182" t="str">
        <f>IFERROR(__xludf.DUMMYFUNCTION("""COMPUTED_VALUE"""),"Very Good")</f>
        <v>Very Good</v>
      </c>
      <c r="AB2999" s="182" t="str">
        <f>IFERROR(__xludf.DUMMYFUNCTION("""COMPUTED_VALUE"""),"Very Good")</f>
        <v>Very Good</v>
      </c>
      <c r="AC2999" s="183"/>
      <c r="AD2999" s="183"/>
      <c r="AE2999" s="183"/>
      <c r="AF2999" s="184"/>
      <c r="AG2999" s="180"/>
      <c r="AH2999" s="185">
        <f>IFERROR(__xludf.DUMMYFUNCTION("""COMPUTED_VALUE"""),43372.77655587963)</f>
        <v>43372.77656</v>
      </c>
      <c r="AI2999" s="182"/>
      <c r="AJ2999" s="182"/>
      <c r="AK2999" s="182"/>
      <c r="AL2999" s="182"/>
    </row>
    <row r="3000" ht="20.25" customHeight="1">
      <c r="A3000" s="169" t="str">
        <f>IFERROR(__xludf.DUMMYFUNCTION("""COMPUTED_VALUE"""),"WhiterRIce")</f>
        <v>WhiterRIce</v>
      </c>
      <c r="B3000" s="170"/>
      <c r="C3000" s="170" t="str">
        <f>IFERROR(__xludf.DUMMYFUNCTION("""COMPUTED_VALUE"""),"NJ")</f>
        <v>NJ</v>
      </c>
      <c r="D3000" s="170" t="str">
        <f>IFERROR(__xludf.DUMMYFUNCTION("""COMPUTED_VALUE"""),"USA")</f>
        <v>USA</v>
      </c>
      <c r="E3000" s="171">
        <f>IFERROR(__xludf.DUMMYFUNCTION("""COMPUTED_VALUE"""),43279.0)</f>
        <v>43279</v>
      </c>
      <c r="F3000" s="172">
        <f>IFERROR(__xludf.DUMMYFUNCTION("""COMPUTED_VALUE"""),43284.0)</f>
        <v>43284</v>
      </c>
      <c r="G3000" s="173"/>
      <c r="H3000" s="174">
        <f>IFERROR(__xludf.DUMMYFUNCTION("""COMPUTED_VALUE"""),31155.0)</f>
        <v>31155</v>
      </c>
      <c r="I3000" s="175"/>
      <c r="J3000" s="172">
        <f>IFERROR(__xludf.DUMMYFUNCTION("""COMPUTED_VALUE"""),43301.0)</f>
        <v>43301</v>
      </c>
      <c r="K3000" s="176">
        <f>IFERROR(__xludf.DUMMYFUNCTION("""COMPUTED_VALUE"""),5.0)</f>
        <v>5</v>
      </c>
      <c r="L3000" s="176">
        <f>IFERROR(__xludf.DUMMYFUNCTION("""COMPUTED_VALUE"""),17.0)</f>
        <v>17</v>
      </c>
      <c r="M3000" s="176">
        <f>IFERROR(__xludf.DUMMYFUNCTION("""COMPUTED_VALUE"""),22.0)</f>
        <v>22</v>
      </c>
      <c r="N3000" s="177" t="str">
        <f>IFERROR(__xludf.DUMMYFUNCTION("""COMPUTED_VALUE"""),"Model 3 LR")</f>
        <v>Model 3 LR</v>
      </c>
      <c r="O3000" s="177" t="str">
        <f>IFERROR(__xludf.DUMMYFUNCTION("""COMPUTED_VALUE"""),"Red Multi-Coat")</f>
        <v>Red Multi-Coat</v>
      </c>
      <c r="P3000" s="178" t="str">
        <f>IFERROR(__xludf.DUMMYFUNCTION("""COMPUTED_VALUE"""),"19 inch Sport")</f>
        <v>19 inch Sport</v>
      </c>
      <c r="Q3000" s="177" t="str">
        <f>IFERROR(__xludf.DUMMYFUNCTION("""COMPUTED_VALUE"""),"Black seats")</f>
        <v>Black seats</v>
      </c>
      <c r="R3000" s="170" t="str">
        <f>IFERROR(__xludf.DUMMYFUNCTION("""COMPUTED_VALUE"""),"Full Self-Driving")</f>
        <v>Full Self-Driving</v>
      </c>
      <c r="S3000" s="170"/>
      <c r="T3000" s="179"/>
      <c r="U3000" s="179"/>
      <c r="V3000" s="179"/>
      <c r="W3000" s="180"/>
      <c r="X3000" s="181" t="str">
        <f>IFERROR(__xludf.DUMMYFUNCTION("""COMPUTED_VALUE"""),"Excellent")</f>
        <v>Excellent</v>
      </c>
      <c r="Y3000" s="182" t="str">
        <f>IFERROR(__xludf.DUMMYFUNCTION("""COMPUTED_VALUE"""),"Very Good")</f>
        <v>Very Good</v>
      </c>
      <c r="Z3000" s="182" t="str">
        <f>IFERROR(__xludf.DUMMYFUNCTION("""COMPUTED_VALUE"""),"Very Good")</f>
        <v>Very Good</v>
      </c>
      <c r="AA3000" s="182" t="str">
        <f>IFERROR(__xludf.DUMMYFUNCTION("""COMPUTED_VALUE"""),"Fair")</f>
        <v>Fair</v>
      </c>
      <c r="AB3000" s="182" t="str">
        <f>IFERROR(__xludf.DUMMYFUNCTION("""COMPUTED_VALUE"""),"Very Good")</f>
        <v>Very Good</v>
      </c>
      <c r="AC3000" s="183">
        <f>IFERROR(__xludf.DUMMYFUNCTION("""COMPUTED_VALUE"""),3.0)</f>
        <v>3</v>
      </c>
      <c r="AD3000" s="183"/>
      <c r="AE3000" s="183"/>
      <c r="AF3000" s="184"/>
      <c r="AG3000" s="180"/>
      <c r="AH3000" s="185">
        <f>IFERROR(__xludf.DUMMYFUNCTION("""COMPUTED_VALUE"""),43303.63613594907)</f>
        <v>43303.63614</v>
      </c>
      <c r="AI3000" s="182"/>
      <c r="AJ3000" s="182"/>
      <c r="AK3000" s="182"/>
      <c r="AL3000" s="182"/>
    </row>
    <row r="3001" ht="20.25" customHeight="1">
      <c r="A3001" s="169" t="str">
        <f>IFERROR(__xludf.DUMMYFUNCTION("""COMPUTED_VALUE"""),"whitslack")</f>
        <v>whitslack</v>
      </c>
      <c r="B3001" s="170" t="str">
        <f>IFERROR(__xludf.DUMMYFUNCTION("""COMPUTED_VALUE"""),"New Hampshire")</f>
        <v>New Hampshire</v>
      </c>
      <c r="C3001" s="170" t="str">
        <f>IFERROR(__xludf.DUMMYFUNCTION("""COMPUTED_VALUE"""),"NH")</f>
        <v>NH</v>
      </c>
      <c r="D3001" s="170" t="str">
        <f>IFERROR(__xludf.DUMMYFUNCTION("""COMPUTED_VALUE"""),"USA")</f>
        <v>USA</v>
      </c>
      <c r="E3001" s="171">
        <f>IFERROR(__xludf.DUMMYFUNCTION("""COMPUTED_VALUE"""),43279.0)</f>
        <v>43279</v>
      </c>
      <c r="F3001" s="172">
        <f>IFERROR(__xludf.DUMMYFUNCTION("""COMPUTED_VALUE"""),43378.0)</f>
        <v>43378</v>
      </c>
      <c r="G3001" s="173"/>
      <c r="H3001" s="174">
        <f>IFERROR(__xludf.DUMMYFUNCTION("""COMPUTED_VALUE"""),93383.0)</f>
        <v>93383</v>
      </c>
      <c r="I3001" s="175" t="str">
        <f>IFERROR(__xludf.DUMMYFUNCTION("""COMPUTED_VALUE"""),"09/18")</f>
        <v>09/18</v>
      </c>
      <c r="J3001" s="172">
        <f>IFERROR(__xludf.DUMMYFUNCTION("""COMPUTED_VALUE"""),43404.0)</f>
        <v>43404</v>
      </c>
      <c r="K3001" s="176">
        <f>IFERROR(__xludf.DUMMYFUNCTION("""COMPUTED_VALUE"""),99.0)</f>
        <v>99</v>
      </c>
      <c r="L3001" s="176">
        <f>IFERROR(__xludf.DUMMYFUNCTION("""COMPUTED_VALUE"""),26.0)</f>
        <v>26</v>
      </c>
      <c r="M3001" s="176">
        <f>IFERROR(__xludf.DUMMYFUNCTION("""COMPUTED_VALUE"""),125.0)</f>
        <v>125</v>
      </c>
      <c r="N3001" s="177" t="str">
        <f>IFERROR(__xludf.DUMMYFUNCTION("""COMPUTED_VALUE"""),"Model 3 LR AWD")</f>
        <v>Model 3 LR AWD</v>
      </c>
      <c r="O3001" s="177" t="str">
        <f>IFERROR(__xludf.DUMMYFUNCTION("""COMPUTED_VALUE"""),"Silver Metallic")</f>
        <v>Silver Metallic</v>
      </c>
      <c r="P3001" s="178" t="str">
        <f>IFERROR(__xludf.DUMMYFUNCTION("""COMPUTED_VALUE"""),"18 inch Aero")</f>
        <v>18 inch Aero</v>
      </c>
      <c r="Q3001" s="177" t="str">
        <f>IFERROR(__xludf.DUMMYFUNCTION("""COMPUTED_VALUE"""),"Black seats")</f>
        <v>Black seats</v>
      </c>
      <c r="R3001" s="170" t="str">
        <f>IFERROR(__xludf.DUMMYFUNCTION("""COMPUTED_VALUE"""),"Enhanced Autopilot")</f>
        <v>Enhanced Autopilot</v>
      </c>
      <c r="S3001" s="170"/>
      <c r="T3001" s="179"/>
      <c r="U3001" s="179"/>
      <c r="V3001" s="179"/>
      <c r="W3001" s="180"/>
      <c r="X3001" s="181" t="str">
        <f>IFERROR(__xludf.DUMMYFUNCTION("""COMPUTED_VALUE"""),"Excellent")</f>
        <v>Excellent</v>
      </c>
      <c r="Y3001" s="182" t="str">
        <f>IFERROR(__xludf.DUMMYFUNCTION("""COMPUTED_VALUE"""),"Very Good")</f>
        <v>Very Good</v>
      </c>
      <c r="Z3001" s="182" t="str">
        <f>IFERROR(__xludf.DUMMYFUNCTION("""COMPUTED_VALUE"""),"Very Good")</f>
        <v>Very Good</v>
      </c>
      <c r="AA3001" s="182" t="str">
        <f>IFERROR(__xludf.DUMMYFUNCTION("""COMPUTED_VALUE"""),"Poor")</f>
        <v>Poor</v>
      </c>
      <c r="AB3001" s="182" t="str">
        <f>IFERROR(__xludf.DUMMYFUNCTION("""COMPUTED_VALUE"""),"Fair")</f>
        <v>Fair</v>
      </c>
      <c r="AC3001" s="183"/>
      <c r="AD3001" s="183"/>
      <c r="AE3001" s="183"/>
      <c r="AF3001" s="184"/>
      <c r="AG3001" s="180"/>
      <c r="AH3001" s="185">
        <f>IFERROR(__xludf.DUMMYFUNCTION("""COMPUTED_VALUE"""),43404.92263346065)</f>
        <v>43404.92263</v>
      </c>
      <c r="AI3001" s="182"/>
      <c r="AJ3001" s="182"/>
      <c r="AK3001" s="182"/>
      <c r="AL3001" s="182"/>
    </row>
    <row r="3002" ht="20.25" customHeight="1">
      <c r="A3002" s="169" t="str">
        <f>IFERROR(__xludf.DUMMYFUNCTION("""COMPUTED_VALUE"""),"Wolfen")</f>
        <v>Wolfen</v>
      </c>
      <c r="B3002" s="170" t="str">
        <f>IFERROR(__xludf.DUMMYFUNCTION("""COMPUTED_VALUE"""),"St Louis")</f>
        <v>St Louis</v>
      </c>
      <c r="C3002" s="170" t="str">
        <f>IFERROR(__xludf.DUMMYFUNCTION("""COMPUTED_VALUE"""),"MO")</f>
        <v>MO</v>
      </c>
      <c r="D3002" s="170" t="str">
        <f>IFERROR(__xludf.DUMMYFUNCTION("""COMPUTED_VALUE"""),"USA")</f>
        <v>USA</v>
      </c>
      <c r="E3002" s="171">
        <f>IFERROR(__xludf.DUMMYFUNCTION("""COMPUTED_VALUE"""),43279.0)</f>
        <v>43279</v>
      </c>
      <c r="F3002" s="172">
        <f>IFERROR(__xludf.DUMMYFUNCTION("""COMPUTED_VALUE"""),43384.0)</f>
        <v>43384</v>
      </c>
      <c r="G3002" s="173"/>
      <c r="H3002" s="174">
        <f>IFERROR(__xludf.DUMMYFUNCTION("""COMPUTED_VALUE"""),94766.0)</f>
        <v>94766</v>
      </c>
      <c r="I3002" s="175" t="str">
        <f>IFERROR(__xludf.DUMMYFUNCTION("""COMPUTED_VALUE"""),"09/18")</f>
        <v>09/18</v>
      </c>
      <c r="J3002" s="172">
        <f>IFERROR(__xludf.DUMMYFUNCTION("""COMPUTED_VALUE"""),43389.0)</f>
        <v>43389</v>
      </c>
      <c r="K3002" s="176">
        <f>IFERROR(__xludf.DUMMYFUNCTION("""COMPUTED_VALUE"""),105.0)</f>
        <v>105</v>
      </c>
      <c r="L3002" s="176">
        <f>IFERROR(__xludf.DUMMYFUNCTION("""COMPUTED_VALUE"""),5.0)</f>
        <v>5</v>
      </c>
      <c r="M3002" s="176">
        <f>IFERROR(__xludf.DUMMYFUNCTION("""COMPUTED_VALUE"""),110.0)</f>
        <v>110</v>
      </c>
      <c r="N3002" s="177" t="str">
        <f>IFERROR(__xludf.DUMMYFUNCTION("""COMPUTED_VALUE"""),"Model 3 LR AWD")</f>
        <v>Model 3 LR AWD</v>
      </c>
      <c r="O3002" s="177" t="str">
        <f>IFERROR(__xludf.DUMMYFUNCTION("""COMPUTED_VALUE"""),"Pearl White Multi-Coat")</f>
        <v>Pearl White Multi-Coat</v>
      </c>
      <c r="P3002" s="178" t="str">
        <f>IFERROR(__xludf.DUMMYFUNCTION("""COMPUTED_VALUE"""),"18 inch Aero")</f>
        <v>18 inch Aero</v>
      </c>
      <c r="Q3002" s="177" t="str">
        <f>IFERROR(__xludf.DUMMYFUNCTION("""COMPUTED_VALUE"""),"Black seats")</f>
        <v>Black seats</v>
      </c>
      <c r="R3002" s="170" t="str">
        <f>IFERROR(__xludf.DUMMYFUNCTION("""COMPUTED_VALUE"""),"Enhanced Autopilot")</f>
        <v>Enhanced Autopilot</v>
      </c>
      <c r="S3002" s="170"/>
      <c r="T3002" s="179"/>
      <c r="U3002" s="179"/>
      <c r="V3002" s="179"/>
      <c r="W3002" s="180"/>
      <c r="X3002" s="181" t="str">
        <f>IFERROR(__xludf.DUMMYFUNCTION("""COMPUTED_VALUE"""),"Excellent")</f>
        <v>Excellent</v>
      </c>
      <c r="Y3002" s="182" t="str">
        <f>IFERROR(__xludf.DUMMYFUNCTION("""COMPUTED_VALUE"""),"Excellent")</f>
        <v>Excellent</v>
      </c>
      <c r="Z3002" s="182" t="str">
        <f>IFERROR(__xludf.DUMMYFUNCTION("""COMPUTED_VALUE"""),"Excellent")</f>
        <v>Excellent</v>
      </c>
      <c r="AA3002" s="182" t="str">
        <f>IFERROR(__xludf.DUMMYFUNCTION("""COMPUTED_VALUE"""),"Good")</f>
        <v>Good</v>
      </c>
      <c r="AB3002" s="182" t="str">
        <f>IFERROR(__xludf.DUMMYFUNCTION("""COMPUTED_VALUE"""),"Very Good")</f>
        <v>Very Good</v>
      </c>
      <c r="AC3002" s="183">
        <f>IFERROR(__xludf.DUMMYFUNCTION("""COMPUTED_VALUE"""),1.0)</f>
        <v>1</v>
      </c>
      <c r="AD3002" s="183">
        <f>IFERROR(__xludf.DUMMYFUNCTION("""COMPUTED_VALUE"""),1.0)</f>
        <v>1</v>
      </c>
      <c r="AE3002" s="183">
        <f>IFERROR(__xludf.DUMMYFUNCTION("""COMPUTED_VALUE"""),1.0)</f>
        <v>1</v>
      </c>
      <c r="AF3002" s="184"/>
      <c r="AG3002" s="180" t="str">
        <f>IFERROR(__xludf.DUMMYFUNCTION("""COMPUTED_VALUE"""),"The display locks up for about 5 minutes periodically.")</f>
        <v>The display locks up for about 5 minutes periodically.</v>
      </c>
      <c r="AH3002" s="185">
        <f>IFERROR(__xludf.DUMMYFUNCTION("""COMPUTED_VALUE"""),43442.40951445602)</f>
        <v>43442.40951</v>
      </c>
      <c r="AI3002" s="182"/>
      <c r="AJ3002" s="182"/>
      <c r="AK3002" s="182"/>
      <c r="AL3002" s="182"/>
    </row>
    <row r="3003" ht="20.25" customHeight="1">
      <c r="A3003" s="169" t="str">
        <f>IFERROR(__xludf.DUMMYFUNCTION("""COMPUTED_VALUE"""),"WorldSaveur")</f>
        <v>WorldSaveur</v>
      </c>
      <c r="B3003" s="170"/>
      <c r="C3003" s="170" t="str">
        <f>IFERROR(__xludf.DUMMYFUNCTION("""COMPUTED_VALUE"""),"CA")</f>
        <v>CA</v>
      </c>
      <c r="D3003" s="170" t="str">
        <f>IFERROR(__xludf.DUMMYFUNCTION("""COMPUTED_VALUE"""),"USA")</f>
        <v>USA</v>
      </c>
      <c r="E3003" s="171">
        <f>IFERROR(__xludf.DUMMYFUNCTION("""COMPUTED_VALUE"""),43279.0)</f>
        <v>43279</v>
      </c>
      <c r="F3003" s="172">
        <f>IFERROR(__xludf.DUMMYFUNCTION("""COMPUTED_VALUE"""),43366.0)</f>
        <v>43366</v>
      </c>
      <c r="G3003" s="173"/>
      <c r="H3003" s="174"/>
      <c r="I3003" s="175" t="str">
        <f>IFERROR(__xludf.DUMMYFUNCTION("""COMPUTED_VALUE"""),"09/18")</f>
        <v>09/18</v>
      </c>
      <c r="J3003" s="172">
        <f>IFERROR(__xludf.DUMMYFUNCTION("""COMPUTED_VALUE"""),43367.0)</f>
        <v>43367</v>
      </c>
      <c r="K3003" s="176">
        <f>IFERROR(__xludf.DUMMYFUNCTION("""COMPUTED_VALUE"""),87.0)</f>
        <v>87</v>
      </c>
      <c r="L3003" s="176">
        <f>IFERROR(__xludf.DUMMYFUNCTION("""COMPUTED_VALUE"""),1.0)</f>
        <v>1</v>
      </c>
      <c r="M3003" s="176">
        <f>IFERROR(__xludf.DUMMYFUNCTION("""COMPUTED_VALUE"""),88.0)</f>
        <v>88</v>
      </c>
      <c r="N3003" s="177" t="str">
        <f>IFERROR(__xludf.DUMMYFUNCTION("""COMPUTED_VALUE"""),"Model 3 LR AWD")</f>
        <v>Model 3 LR AWD</v>
      </c>
      <c r="O3003" s="177" t="str">
        <f>IFERROR(__xludf.DUMMYFUNCTION("""COMPUTED_VALUE"""),"Red Multi-Coat")</f>
        <v>Red Multi-Coat</v>
      </c>
      <c r="P3003" s="178" t="str">
        <f>IFERROR(__xludf.DUMMYFUNCTION("""COMPUTED_VALUE"""),"18 inch Aero")</f>
        <v>18 inch Aero</v>
      </c>
      <c r="Q3003" s="177" t="str">
        <f>IFERROR(__xludf.DUMMYFUNCTION("""COMPUTED_VALUE"""),"Black seats")</f>
        <v>Black seats</v>
      </c>
      <c r="R3003" s="170" t="str">
        <f>IFERROR(__xludf.DUMMYFUNCTION("""COMPUTED_VALUE"""),"Enhanced Autopilot")</f>
        <v>Enhanced Autopilot</v>
      </c>
      <c r="S3003" s="170"/>
      <c r="T3003" s="179"/>
      <c r="U3003" s="179"/>
      <c r="V3003" s="179"/>
      <c r="W3003" s="180"/>
      <c r="X3003" s="181" t="str">
        <f>IFERROR(__xludf.DUMMYFUNCTION("""COMPUTED_VALUE"""),"Very Good")</f>
        <v>Very Good</v>
      </c>
      <c r="Y3003" s="182" t="str">
        <f>IFERROR(__xludf.DUMMYFUNCTION("""COMPUTED_VALUE"""),"Very Good")</f>
        <v>Very Good</v>
      </c>
      <c r="Z3003" s="182" t="str">
        <f>IFERROR(__xludf.DUMMYFUNCTION("""COMPUTED_VALUE"""),"Very Good")</f>
        <v>Very Good</v>
      </c>
      <c r="AA3003" s="182" t="str">
        <f>IFERROR(__xludf.DUMMYFUNCTION("""COMPUTED_VALUE"""),"Fair")</f>
        <v>Fair</v>
      </c>
      <c r="AB3003" s="182" t="str">
        <f>IFERROR(__xludf.DUMMYFUNCTION("""COMPUTED_VALUE"""),"Very Good")</f>
        <v>Very Good</v>
      </c>
      <c r="AC3003" s="183">
        <f>IFERROR(__xludf.DUMMYFUNCTION("""COMPUTED_VALUE"""),1.0)</f>
        <v>1</v>
      </c>
      <c r="AD3003" s="183"/>
      <c r="AE3003" s="183"/>
      <c r="AF3003" s="184"/>
      <c r="AG3003" s="180"/>
      <c r="AH3003" s="185">
        <f>IFERROR(__xludf.DUMMYFUNCTION("""COMPUTED_VALUE"""),43375.6689899537)</f>
        <v>43375.66899</v>
      </c>
      <c r="AI3003" s="182"/>
      <c r="AJ3003" s="182"/>
      <c r="AK3003" s="182"/>
      <c r="AL3003" s="182"/>
    </row>
    <row r="3004" ht="20.25" customHeight="1">
      <c r="A3004" s="169" t="str">
        <f>IFERROR(__xludf.DUMMYFUNCTION("""COMPUTED_VALUE"""),"WuZiching")</f>
        <v>WuZiching</v>
      </c>
      <c r="B3004" s="170" t="str">
        <f>IFERROR(__xludf.DUMMYFUNCTION("""COMPUTED_VALUE"""),"California")</f>
        <v>California</v>
      </c>
      <c r="C3004" s="170" t="str">
        <f>IFERROR(__xludf.DUMMYFUNCTION("""COMPUTED_VALUE"""),"CA")</f>
        <v>CA</v>
      </c>
      <c r="D3004" s="170" t="str">
        <f>IFERROR(__xludf.DUMMYFUNCTION("""COMPUTED_VALUE"""),"USA")</f>
        <v>USA</v>
      </c>
      <c r="E3004" s="171">
        <f>IFERROR(__xludf.DUMMYFUNCTION("""COMPUTED_VALUE"""),43279.0)</f>
        <v>43279</v>
      </c>
      <c r="F3004" s="172">
        <f>IFERROR(__xludf.DUMMYFUNCTION("""COMPUTED_VALUE"""),43332.0)</f>
        <v>43332</v>
      </c>
      <c r="G3004" s="173"/>
      <c r="H3004" s="174">
        <f>IFERROR(__xludf.DUMMYFUNCTION("""COMPUTED_VALUE"""),96755.0)</f>
        <v>96755</v>
      </c>
      <c r="I3004" s="175"/>
      <c r="J3004" s="172">
        <f>IFERROR(__xludf.DUMMYFUNCTION("""COMPUTED_VALUE"""),43335.0)</f>
        <v>43335</v>
      </c>
      <c r="K3004" s="176">
        <f>IFERROR(__xludf.DUMMYFUNCTION("""COMPUTED_VALUE"""),53.0)</f>
        <v>53</v>
      </c>
      <c r="L3004" s="176">
        <f>IFERROR(__xludf.DUMMYFUNCTION("""COMPUTED_VALUE"""),3.0)</f>
        <v>3</v>
      </c>
      <c r="M3004" s="176">
        <f>IFERROR(__xludf.DUMMYFUNCTION("""COMPUTED_VALUE"""),56.0)</f>
        <v>56</v>
      </c>
      <c r="N3004" s="177" t="str">
        <f>IFERROR(__xludf.DUMMYFUNCTION("""COMPUTED_VALUE"""),"Model 3 LR AWD")</f>
        <v>Model 3 LR AWD</v>
      </c>
      <c r="O3004" s="177" t="str">
        <f>IFERROR(__xludf.DUMMYFUNCTION("""COMPUTED_VALUE"""),"Red Multi-Coat")</f>
        <v>Red Multi-Coat</v>
      </c>
      <c r="P3004" s="178" t="str">
        <f>IFERROR(__xludf.DUMMYFUNCTION("""COMPUTED_VALUE"""),"18 inch Aero")</f>
        <v>18 inch Aero</v>
      </c>
      <c r="Q3004" s="177" t="str">
        <f>IFERROR(__xludf.DUMMYFUNCTION("""COMPUTED_VALUE"""),"White seats")</f>
        <v>White seats</v>
      </c>
      <c r="R3004" s="170" t="str">
        <f>IFERROR(__xludf.DUMMYFUNCTION("""COMPUTED_VALUE"""),"None")</f>
        <v>None</v>
      </c>
      <c r="S3004" s="170"/>
      <c r="T3004" s="179"/>
      <c r="U3004" s="179"/>
      <c r="V3004" s="179"/>
      <c r="W3004" s="180"/>
      <c r="X3004" s="181" t="str">
        <f>IFERROR(__xludf.DUMMYFUNCTION("""COMPUTED_VALUE"""),"Very Good")</f>
        <v>Very Good</v>
      </c>
      <c r="Y3004" s="182" t="str">
        <f>IFERROR(__xludf.DUMMYFUNCTION("""COMPUTED_VALUE"""),"Excellent")</f>
        <v>Excellent</v>
      </c>
      <c r="Z3004" s="182" t="str">
        <f>IFERROR(__xludf.DUMMYFUNCTION("""COMPUTED_VALUE"""),"Very Good")</f>
        <v>Very Good</v>
      </c>
      <c r="AA3004" s="182" t="str">
        <f>IFERROR(__xludf.DUMMYFUNCTION("""COMPUTED_VALUE"""),"Very Good")</f>
        <v>Very Good</v>
      </c>
      <c r="AB3004" s="182" t="str">
        <f>IFERROR(__xludf.DUMMYFUNCTION("""COMPUTED_VALUE"""),"Fair")</f>
        <v>Fair</v>
      </c>
      <c r="AC3004" s="183"/>
      <c r="AD3004" s="183"/>
      <c r="AE3004" s="183"/>
      <c r="AF3004" s="184"/>
      <c r="AG3004" s="180"/>
      <c r="AH3004" s="185">
        <f>IFERROR(__xludf.DUMMYFUNCTION("""COMPUTED_VALUE"""),43337.05711199075)</f>
        <v>43337.05711</v>
      </c>
      <c r="AI3004" s="182"/>
      <c r="AJ3004" s="182"/>
      <c r="AK3004" s="182"/>
      <c r="AL3004" s="182"/>
    </row>
    <row r="3005" ht="20.25" customHeight="1">
      <c r="A3005" s="169" t="str">
        <f>IFERROR(__xludf.DUMMYFUNCTION("""COMPUTED_VALUE"""),"xOrionx")</f>
        <v>xOrionx</v>
      </c>
      <c r="B3005" s="170" t="str">
        <f>IFERROR(__xludf.DUMMYFUNCTION("""COMPUTED_VALUE"""),"Melbourne")</f>
        <v>Melbourne</v>
      </c>
      <c r="C3005" s="170" t="str">
        <f>IFERROR(__xludf.DUMMYFUNCTION("""COMPUTED_VALUE"""),"FL")</f>
        <v>FL</v>
      </c>
      <c r="D3005" s="170" t="str">
        <f>IFERROR(__xludf.DUMMYFUNCTION("""COMPUTED_VALUE"""),"USA")</f>
        <v>USA</v>
      </c>
      <c r="E3005" s="171">
        <f>IFERROR(__xludf.DUMMYFUNCTION("""COMPUTED_VALUE"""),43279.0)</f>
        <v>43279</v>
      </c>
      <c r="F3005" s="172">
        <f>IFERROR(__xludf.DUMMYFUNCTION("""COMPUTED_VALUE"""),43337.0)</f>
        <v>43337</v>
      </c>
      <c r="G3005" s="173"/>
      <c r="H3005" s="174">
        <f>IFERROR(__xludf.DUMMYFUNCTION("""COMPUTED_VALUE"""),67055.0)</f>
        <v>67055</v>
      </c>
      <c r="I3005" s="175" t="str">
        <f>IFERROR(__xludf.DUMMYFUNCTION("""COMPUTED_VALUE"""),"08/18")</f>
        <v>08/18</v>
      </c>
      <c r="J3005" s="172">
        <f>IFERROR(__xludf.DUMMYFUNCTION("""COMPUTED_VALUE"""),43350.0)</f>
        <v>43350</v>
      </c>
      <c r="K3005" s="176">
        <f>IFERROR(__xludf.DUMMYFUNCTION("""COMPUTED_VALUE"""),58.0)</f>
        <v>58</v>
      </c>
      <c r="L3005" s="176">
        <f>IFERROR(__xludf.DUMMYFUNCTION("""COMPUTED_VALUE"""),13.0)</f>
        <v>13</v>
      </c>
      <c r="M3005" s="176">
        <f>IFERROR(__xludf.DUMMYFUNCTION("""COMPUTED_VALUE"""),71.0)</f>
        <v>71</v>
      </c>
      <c r="N3005" s="177" t="str">
        <f>IFERROR(__xludf.DUMMYFUNCTION("""COMPUTED_VALUE"""),"Model 3 LR AWD")</f>
        <v>Model 3 LR AWD</v>
      </c>
      <c r="O3005" s="177" t="str">
        <f>IFERROR(__xludf.DUMMYFUNCTION("""COMPUTED_VALUE"""),"Pearl White Multi-Coat")</f>
        <v>Pearl White Multi-Coat</v>
      </c>
      <c r="P3005" s="178" t="str">
        <f>IFERROR(__xludf.DUMMYFUNCTION("""COMPUTED_VALUE"""),"18 inch Aero")</f>
        <v>18 inch Aero</v>
      </c>
      <c r="Q3005" s="177" t="str">
        <f>IFERROR(__xludf.DUMMYFUNCTION("""COMPUTED_VALUE"""),"Black seats")</f>
        <v>Black seats</v>
      </c>
      <c r="R3005" s="170" t="str">
        <f>IFERROR(__xludf.DUMMYFUNCTION("""COMPUTED_VALUE"""),"Enhanced Autopilot")</f>
        <v>Enhanced Autopilot</v>
      </c>
      <c r="S3005" s="170"/>
      <c r="T3005" s="179"/>
      <c r="U3005" s="179"/>
      <c r="V3005" s="179"/>
      <c r="W3005" s="180"/>
      <c r="X3005" s="181" t="str">
        <f>IFERROR(__xludf.DUMMYFUNCTION("""COMPUTED_VALUE"""),"Excellent")</f>
        <v>Excellent</v>
      </c>
      <c r="Y3005" s="182" t="str">
        <f>IFERROR(__xludf.DUMMYFUNCTION("""COMPUTED_VALUE"""),"Excellent")</f>
        <v>Excellent</v>
      </c>
      <c r="Z3005" s="182" t="str">
        <f>IFERROR(__xludf.DUMMYFUNCTION("""COMPUTED_VALUE"""),"Excellent")</f>
        <v>Excellent</v>
      </c>
      <c r="AA3005" s="182" t="str">
        <f>IFERROR(__xludf.DUMMYFUNCTION("""COMPUTED_VALUE"""),"Excellent")</f>
        <v>Excellent</v>
      </c>
      <c r="AB3005" s="182" t="str">
        <f>IFERROR(__xludf.DUMMYFUNCTION("""COMPUTED_VALUE"""),"Very Good")</f>
        <v>Very Good</v>
      </c>
      <c r="AC3005" s="183">
        <f>IFERROR(__xludf.DUMMYFUNCTION("""COMPUTED_VALUE"""),0.0)</f>
        <v>0</v>
      </c>
      <c r="AD3005" s="183"/>
      <c r="AE3005" s="183"/>
      <c r="AF3005" s="184"/>
      <c r="AG3005" s="180"/>
      <c r="AH3005" s="185">
        <f>IFERROR(__xludf.DUMMYFUNCTION("""COMPUTED_VALUE"""),43352.79818917824)</f>
        <v>43352.79819</v>
      </c>
      <c r="AI3005" s="182"/>
      <c r="AJ3005" s="182"/>
      <c r="AK3005" s="182"/>
      <c r="AL3005" s="182"/>
    </row>
    <row r="3006" ht="20.25" customHeight="1">
      <c r="A3006" s="169" t="str">
        <f>IFERROR(__xludf.DUMMYFUNCTION("""COMPUTED_VALUE"""),"Yoda101")</f>
        <v>Yoda101</v>
      </c>
      <c r="B3006" s="170"/>
      <c r="C3006" s="170" t="str">
        <f>IFERROR(__xludf.DUMMYFUNCTION("""COMPUTED_VALUE"""),"CA")</f>
        <v>CA</v>
      </c>
      <c r="D3006" s="170" t="str">
        <f>IFERROR(__xludf.DUMMYFUNCTION("""COMPUTED_VALUE"""),"USA")</f>
        <v>USA</v>
      </c>
      <c r="E3006" s="171">
        <f>IFERROR(__xludf.DUMMYFUNCTION("""COMPUTED_VALUE"""),43279.0)</f>
        <v>43279</v>
      </c>
      <c r="F3006" s="172">
        <f>IFERROR(__xludf.DUMMYFUNCTION("""COMPUTED_VALUE"""),43101.0)</f>
        <v>43101</v>
      </c>
      <c r="G3006" s="173"/>
      <c r="H3006" s="174"/>
      <c r="I3006" s="175" t="str">
        <f>IFERROR(__xludf.DUMMYFUNCTION("""COMPUTED_VALUE"""),"07/18")</f>
        <v>07/18</v>
      </c>
      <c r="J3006" s="172">
        <f>IFERROR(__xludf.DUMMYFUNCTION("""COMPUTED_VALUE"""),43829.0)</f>
        <v>43829</v>
      </c>
      <c r="K3006" s="176"/>
      <c r="L3006" s="176"/>
      <c r="M3006" s="176">
        <f>IFERROR(__xludf.DUMMYFUNCTION("""COMPUTED_VALUE"""),550.0)</f>
        <v>550</v>
      </c>
      <c r="N3006" s="177" t="str">
        <f>IFERROR(__xludf.DUMMYFUNCTION("""COMPUTED_VALUE"""),"Model 3 SR")</f>
        <v>Model 3 SR</v>
      </c>
      <c r="O3006" s="177" t="str">
        <f>IFERROR(__xludf.DUMMYFUNCTION("""COMPUTED_VALUE"""),"Red Multi-Coat")</f>
        <v>Red Multi-Coat</v>
      </c>
      <c r="P3006" s="178" t="str">
        <f>IFERROR(__xludf.DUMMYFUNCTION("""COMPUTED_VALUE"""),"18 inch Aero")</f>
        <v>18 inch Aero</v>
      </c>
      <c r="Q3006" s="177" t="str">
        <f>IFERROR(__xludf.DUMMYFUNCTION("""COMPUTED_VALUE"""),"White seats")</f>
        <v>White seats</v>
      </c>
      <c r="R3006" s="170" t="str">
        <f>IFERROR(__xludf.DUMMYFUNCTION("""COMPUTED_VALUE"""),"None")</f>
        <v>None</v>
      </c>
      <c r="S3006" s="170"/>
      <c r="T3006" s="179"/>
      <c r="U3006" s="179"/>
      <c r="V3006" s="179"/>
      <c r="W3006" s="180"/>
      <c r="X3006" s="181" t="str">
        <f>IFERROR(__xludf.DUMMYFUNCTION("""COMPUTED_VALUE"""),"Excellent")</f>
        <v>Excellent</v>
      </c>
      <c r="Y3006" s="182" t="str">
        <f>IFERROR(__xludf.DUMMYFUNCTION("""COMPUTED_VALUE"""),"Excellent")</f>
        <v>Excellent</v>
      </c>
      <c r="Z3006" s="182" t="str">
        <f>IFERROR(__xludf.DUMMYFUNCTION("""COMPUTED_VALUE"""),"Excellent")</f>
        <v>Excellent</v>
      </c>
      <c r="AA3006" s="182" t="str">
        <f>IFERROR(__xludf.DUMMYFUNCTION("""COMPUTED_VALUE"""),"Excellent")</f>
        <v>Excellent</v>
      </c>
      <c r="AB3006" s="182" t="str">
        <f>IFERROR(__xludf.DUMMYFUNCTION("""COMPUTED_VALUE"""),"Excellent")</f>
        <v>Excellent</v>
      </c>
      <c r="AC3006" s="183"/>
      <c r="AD3006" s="183"/>
      <c r="AE3006" s="183"/>
      <c r="AF3006" s="184"/>
      <c r="AG3006" s="180"/>
      <c r="AH3006" s="185">
        <f>IFERROR(__xludf.DUMMYFUNCTION("""COMPUTED_VALUE"""),43295.99405178241)</f>
        <v>43295.99405</v>
      </c>
      <c r="AI3006" s="182"/>
      <c r="AJ3006" s="182"/>
      <c r="AK3006" s="182"/>
      <c r="AL3006" s="182"/>
    </row>
    <row r="3007" ht="20.25" customHeight="1">
      <c r="A3007" s="169" t="str">
        <f>IFERROR(__xludf.DUMMYFUNCTION("""COMPUTED_VALUE"""),"Young_Lincoln")</f>
        <v>Young_Lincoln</v>
      </c>
      <c r="B3007" s="170" t="str">
        <f>IFERROR(__xludf.DUMMYFUNCTION("""COMPUTED_VALUE"""),"Central PA")</f>
        <v>Central PA</v>
      </c>
      <c r="C3007" s="170" t="str">
        <f>IFERROR(__xludf.DUMMYFUNCTION("""COMPUTED_VALUE"""),"PA")</f>
        <v>PA</v>
      </c>
      <c r="D3007" s="170" t="str">
        <f>IFERROR(__xludf.DUMMYFUNCTION("""COMPUTED_VALUE"""),"USA")</f>
        <v>USA</v>
      </c>
      <c r="E3007" s="171">
        <f>IFERROR(__xludf.DUMMYFUNCTION("""COMPUTED_VALUE"""),43279.0)</f>
        <v>43279</v>
      </c>
      <c r="F3007" s="172">
        <f>IFERROR(__xludf.DUMMYFUNCTION("""COMPUTED_VALUE"""),43397.0)</f>
        <v>43397</v>
      </c>
      <c r="G3007" s="173"/>
      <c r="H3007" s="174">
        <f>IFERROR(__xludf.DUMMYFUNCTION("""COMPUTED_VALUE"""),115155.0)</f>
        <v>115155</v>
      </c>
      <c r="I3007" s="175"/>
      <c r="J3007" s="172">
        <f>IFERROR(__xludf.DUMMYFUNCTION("""COMPUTED_VALUE"""),43421.0)</f>
        <v>43421</v>
      </c>
      <c r="K3007" s="176">
        <f>IFERROR(__xludf.DUMMYFUNCTION("""COMPUTED_VALUE"""),118.0)</f>
        <v>118</v>
      </c>
      <c r="L3007" s="176">
        <f>IFERROR(__xludf.DUMMYFUNCTION("""COMPUTED_VALUE"""),24.0)</f>
        <v>24</v>
      </c>
      <c r="M3007" s="176">
        <f>IFERROR(__xludf.DUMMYFUNCTION("""COMPUTED_VALUE"""),142.0)</f>
        <v>142</v>
      </c>
      <c r="N3007" s="177" t="str">
        <f>IFERROR(__xludf.DUMMYFUNCTION("""COMPUTED_VALUE"""),"Model 3 LR AWD")</f>
        <v>Model 3 LR AWD</v>
      </c>
      <c r="O3007" s="177" t="str">
        <f>IFERROR(__xludf.DUMMYFUNCTION("""COMPUTED_VALUE"""),"Deep Blue Metallic")</f>
        <v>Deep Blue Metallic</v>
      </c>
      <c r="P3007" s="178" t="str">
        <f>IFERROR(__xludf.DUMMYFUNCTION("""COMPUTED_VALUE"""),"18 inch Aero")</f>
        <v>18 inch Aero</v>
      </c>
      <c r="Q3007" s="177" t="str">
        <f>IFERROR(__xludf.DUMMYFUNCTION("""COMPUTED_VALUE"""),"Black seats")</f>
        <v>Black seats</v>
      </c>
      <c r="R3007" s="170" t="str">
        <f>IFERROR(__xludf.DUMMYFUNCTION("""COMPUTED_VALUE"""),"None")</f>
        <v>None</v>
      </c>
      <c r="S3007" s="170"/>
      <c r="T3007" s="179"/>
      <c r="U3007" s="179"/>
      <c r="V3007" s="179"/>
      <c r="W3007" s="180"/>
      <c r="X3007" s="181" t="str">
        <f>IFERROR(__xludf.DUMMYFUNCTION("""COMPUTED_VALUE"""),"Excellent")</f>
        <v>Excellent</v>
      </c>
      <c r="Y3007" s="182" t="str">
        <f>IFERROR(__xludf.DUMMYFUNCTION("""COMPUTED_VALUE"""),"Excellent")</f>
        <v>Excellent</v>
      </c>
      <c r="Z3007" s="182" t="str">
        <f>IFERROR(__xludf.DUMMYFUNCTION("""COMPUTED_VALUE"""),"Excellent")</f>
        <v>Excellent</v>
      </c>
      <c r="AA3007" s="182" t="str">
        <f>IFERROR(__xludf.DUMMYFUNCTION("""COMPUTED_VALUE"""),"Good")</f>
        <v>Good</v>
      </c>
      <c r="AB3007" s="182" t="str">
        <f>IFERROR(__xludf.DUMMYFUNCTION("""COMPUTED_VALUE"""),"Good")</f>
        <v>Good</v>
      </c>
      <c r="AC3007" s="183"/>
      <c r="AD3007" s="183"/>
      <c r="AE3007" s="183"/>
      <c r="AF3007" s="184"/>
      <c r="AG3007" s="180"/>
      <c r="AH3007" s="185">
        <f>IFERROR(__xludf.DUMMYFUNCTION("""COMPUTED_VALUE"""),43421.930852743055)</f>
        <v>43421.93085</v>
      </c>
      <c r="AI3007" s="182"/>
      <c r="AJ3007" s="182"/>
      <c r="AK3007" s="182"/>
      <c r="AL3007" s="182"/>
    </row>
    <row r="3008" ht="20.25" customHeight="1">
      <c r="A3008" s="169" t="str">
        <f>IFERROR(__xludf.DUMMYFUNCTION("""COMPUTED_VALUE"""),"zavaboy")</f>
        <v>zavaboy</v>
      </c>
      <c r="B3008" s="170" t="str">
        <f>IFERROR(__xludf.DUMMYFUNCTION("""COMPUTED_VALUE"""),"Auburn Hills")</f>
        <v>Auburn Hills</v>
      </c>
      <c r="C3008" s="170" t="str">
        <f>IFERROR(__xludf.DUMMYFUNCTION("""COMPUTED_VALUE"""),"MI")</f>
        <v>MI</v>
      </c>
      <c r="D3008" s="170" t="str">
        <f>IFERROR(__xludf.DUMMYFUNCTION("""COMPUTED_VALUE"""),"USA")</f>
        <v>USA</v>
      </c>
      <c r="E3008" s="171">
        <f>IFERROR(__xludf.DUMMYFUNCTION("""COMPUTED_VALUE"""),43279.0)</f>
        <v>43279</v>
      </c>
      <c r="F3008" s="172">
        <f>IFERROR(__xludf.DUMMYFUNCTION("""COMPUTED_VALUE"""),43378.0)</f>
        <v>43378</v>
      </c>
      <c r="G3008" s="173"/>
      <c r="H3008" s="174">
        <f>IFERROR(__xludf.DUMMYFUNCTION("""COMPUTED_VALUE"""),93555.0)</f>
        <v>93555</v>
      </c>
      <c r="I3008" s="175"/>
      <c r="J3008" s="172">
        <f>IFERROR(__xludf.DUMMYFUNCTION("""COMPUTED_VALUE"""),43396.0)</f>
        <v>43396</v>
      </c>
      <c r="K3008" s="176">
        <f>IFERROR(__xludf.DUMMYFUNCTION("""COMPUTED_VALUE"""),99.0)</f>
        <v>99</v>
      </c>
      <c r="L3008" s="176">
        <f>IFERROR(__xludf.DUMMYFUNCTION("""COMPUTED_VALUE"""),18.0)</f>
        <v>18</v>
      </c>
      <c r="M3008" s="176">
        <f>IFERROR(__xludf.DUMMYFUNCTION("""COMPUTED_VALUE"""),117.0)</f>
        <v>117</v>
      </c>
      <c r="N3008" s="177" t="str">
        <f>IFERROR(__xludf.DUMMYFUNCTION("""COMPUTED_VALUE"""),"Model 3 LR AWD")</f>
        <v>Model 3 LR AWD</v>
      </c>
      <c r="O3008" s="177" t="str">
        <f>IFERROR(__xludf.DUMMYFUNCTION("""COMPUTED_VALUE"""),"Deep Blue Metallic")</f>
        <v>Deep Blue Metallic</v>
      </c>
      <c r="P3008" s="178" t="str">
        <f>IFERROR(__xludf.DUMMYFUNCTION("""COMPUTED_VALUE"""),"18 inch Aero")</f>
        <v>18 inch Aero</v>
      </c>
      <c r="Q3008" s="177" t="str">
        <f>IFERROR(__xludf.DUMMYFUNCTION("""COMPUTED_VALUE"""),"Black seats")</f>
        <v>Black seats</v>
      </c>
      <c r="R3008" s="170" t="str">
        <f>IFERROR(__xludf.DUMMYFUNCTION("""COMPUTED_VALUE"""),"None")</f>
        <v>None</v>
      </c>
      <c r="S3008" s="170"/>
      <c r="T3008" s="179"/>
      <c r="U3008" s="179"/>
      <c r="V3008" s="179"/>
      <c r="W3008" s="180"/>
      <c r="X3008" s="181" t="str">
        <f>IFERROR(__xludf.DUMMYFUNCTION("""COMPUTED_VALUE"""),"Good")</f>
        <v>Good</v>
      </c>
      <c r="Y3008" s="182" t="str">
        <f>IFERROR(__xludf.DUMMYFUNCTION("""COMPUTED_VALUE"""),"Very Good")</f>
        <v>Very Good</v>
      </c>
      <c r="Z3008" s="182" t="str">
        <f>IFERROR(__xludf.DUMMYFUNCTION("""COMPUTED_VALUE"""),"Excellent")</f>
        <v>Excellent</v>
      </c>
      <c r="AA3008" s="182" t="str">
        <f>IFERROR(__xludf.DUMMYFUNCTION("""COMPUTED_VALUE"""),"Good")</f>
        <v>Good</v>
      </c>
      <c r="AB3008" s="182" t="str">
        <f>IFERROR(__xludf.DUMMYFUNCTION("""COMPUTED_VALUE"""),"Good")</f>
        <v>Good</v>
      </c>
      <c r="AC3008" s="183"/>
      <c r="AD3008" s="183"/>
      <c r="AE3008" s="183"/>
      <c r="AF3008" s="184"/>
      <c r="AG3008" s="180"/>
      <c r="AH3008" s="185">
        <f>IFERROR(__xludf.DUMMYFUNCTION("""COMPUTED_VALUE"""),43397.27310005787)</f>
        <v>43397.2731</v>
      </c>
      <c r="AI3008" s="182"/>
      <c r="AJ3008" s="182"/>
      <c r="AK3008" s="182"/>
      <c r="AL3008" s="182"/>
    </row>
    <row r="3009" ht="20.25" customHeight="1">
      <c r="A3009" s="169" t="str">
        <f>IFERROR(__xludf.DUMMYFUNCTION("""COMPUTED_VALUE"""),"Zeke")</f>
        <v>Zeke</v>
      </c>
      <c r="B3009" s="170" t="str">
        <f>IFERROR(__xludf.DUMMYFUNCTION("""COMPUTED_VALUE"""),"Seattle")</f>
        <v>Seattle</v>
      </c>
      <c r="C3009" s="170" t="str">
        <f>IFERROR(__xludf.DUMMYFUNCTION("""COMPUTED_VALUE"""),"WA")</f>
        <v>WA</v>
      </c>
      <c r="D3009" s="170" t="str">
        <f>IFERROR(__xludf.DUMMYFUNCTION("""COMPUTED_VALUE"""),"USA")</f>
        <v>USA</v>
      </c>
      <c r="E3009" s="171">
        <f>IFERROR(__xludf.DUMMYFUNCTION("""COMPUTED_VALUE"""),43279.0)</f>
        <v>43279</v>
      </c>
      <c r="F3009" s="172">
        <f>IFERROR(__xludf.DUMMYFUNCTION("""COMPUTED_VALUE"""),43363.0)</f>
        <v>43363</v>
      </c>
      <c r="G3009" s="173"/>
      <c r="H3009" s="174">
        <f>IFERROR(__xludf.DUMMYFUNCTION("""COMPUTED_VALUE"""),65755.0)</f>
        <v>65755</v>
      </c>
      <c r="I3009" s="175"/>
      <c r="J3009" s="172">
        <f>IFERROR(__xludf.DUMMYFUNCTION("""COMPUTED_VALUE"""),43369.0)</f>
        <v>43369</v>
      </c>
      <c r="K3009" s="176">
        <f>IFERROR(__xludf.DUMMYFUNCTION("""COMPUTED_VALUE"""),84.0)</f>
        <v>84</v>
      </c>
      <c r="L3009" s="176">
        <f>IFERROR(__xludf.DUMMYFUNCTION("""COMPUTED_VALUE"""),6.0)</f>
        <v>6</v>
      </c>
      <c r="M3009" s="176">
        <f>IFERROR(__xludf.DUMMYFUNCTION("""COMPUTED_VALUE"""),90.0)</f>
        <v>90</v>
      </c>
      <c r="N3009" s="177" t="str">
        <f>IFERROR(__xludf.DUMMYFUNCTION("""COMPUTED_VALUE"""),"Model 3 LR AWD")</f>
        <v>Model 3 LR AWD</v>
      </c>
      <c r="O3009" s="177" t="str">
        <f>IFERROR(__xludf.DUMMYFUNCTION("""COMPUTED_VALUE"""),"Red Multi-Coat")</f>
        <v>Red Multi-Coat</v>
      </c>
      <c r="P3009" s="178" t="str">
        <f>IFERROR(__xludf.DUMMYFUNCTION("""COMPUTED_VALUE"""),"19 inch Sport")</f>
        <v>19 inch Sport</v>
      </c>
      <c r="Q3009" s="177" t="str">
        <f>IFERROR(__xludf.DUMMYFUNCTION("""COMPUTED_VALUE"""),"Black seats")</f>
        <v>Black seats</v>
      </c>
      <c r="R3009" s="170" t="str">
        <f>IFERROR(__xludf.DUMMYFUNCTION("""COMPUTED_VALUE"""),"Enhanced Autopilot")</f>
        <v>Enhanced Autopilot</v>
      </c>
      <c r="S3009" s="170"/>
      <c r="T3009" s="179"/>
      <c r="U3009" s="179"/>
      <c r="V3009" s="179"/>
      <c r="W3009" s="180"/>
      <c r="X3009" s="181" t="str">
        <f>IFERROR(__xludf.DUMMYFUNCTION("""COMPUTED_VALUE"""),"Excellent")</f>
        <v>Excellent</v>
      </c>
      <c r="Y3009" s="182" t="str">
        <f>IFERROR(__xludf.DUMMYFUNCTION("""COMPUTED_VALUE"""),"Excellent")</f>
        <v>Excellent</v>
      </c>
      <c r="Z3009" s="182" t="str">
        <f>IFERROR(__xludf.DUMMYFUNCTION("""COMPUTED_VALUE"""),"Excellent")</f>
        <v>Excellent</v>
      </c>
      <c r="AA3009" s="182" t="str">
        <f>IFERROR(__xludf.DUMMYFUNCTION("""COMPUTED_VALUE"""),"Fair")</f>
        <v>Fair</v>
      </c>
      <c r="AB3009" s="182" t="str">
        <f>IFERROR(__xludf.DUMMYFUNCTION("""COMPUTED_VALUE"""),"Very Good")</f>
        <v>Very Good</v>
      </c>
      <c r="AC3009" s="183"/>
      <c r="AD3009" s="183"/>
      <c r="AE3009" s="183"/>
      <c r="AF3009" s="184"/>
      <c r="AG3009" s="180"/>
      <c r="AH3009" s="185">
        <f>IFERROR(__xludf.DUMMYFUNCTION("""COMPUTED_VALUE"""),43369.91884884259)</f>
        <v>43369.91885</v>
      </c>
      <c r="AI3009" s="182"/>
      <c r="AJ3009" s="182"/>
      <c r="AK3009" s="182"/>
      <c r="AL3009" s="182"/>
    </row>
    <row r="3010" ht="20.25" customHeight="1">
      <c r="A3010" s="169" t="str">
        <f>IFERROR(__xludf.DUMMYFUNCTION("""COMPUTED_VALUE"""),"69mustang")</f>
        <v>69mustang</v>
      </c>
      <c r="B3010" s="170" t="str">
        <f>IFERROR(__xludf.DUMMYFUNCTION("""COMPUTED_VALUE"""),"Santa Barbara")</f>
        <v>Santa Barbara</v>
      </c>
      <c r="C3010" s="170" t="str">
        <f>IFERROR(__xludf.DUMMYFUNCTION("""COMPUTED_VALUE"""),"CA")</f>
        <v>CA</v>
      </c>
      <c r="D3010" s="170" t="str">
        <f>IFERROR(__xludf.DUMMYFUNCTION("""COMPUTED_VALUE"""),"USA")</f>
        <v>USA</v>
      </c>
      <c r="E3010" s="171">
        <f>IFERROR(__xludf.DUMMYFUNCTION("""COMPUTED_VALUE"""),43278.0)</f>
        <v>43278</v>
      </c>
      <c r="F3010" s="172">
        <f>IFERROR(__xludf.DUMMYFUNCTION("""COMPUTED_VALUE"""),43367.0)</f>
        <v>43367</v>
      </c>
      <c r="G3010" s="173"/>
      <c r="H3010" s="174">
        <f>IFERROR(__xludf.DUMMYFUNCTION("""COMPUTED_VALUE"""),105155.0)</f>
        <v>105155</v>
      </c>
      <c r="I3010" s="175" t="str">
        <f>IFERROR(__xludf.DUMMYFUNCTION("""COMPUTED_VALUE"""),"09/18")</f>
        <v>09/18</v>
      </c>
      <c r="J3010" s="172">
        <f>IFERROR(__xludf.DUMMYFUNCTION("""COMPUTED_VALUE"""),43372.0)</f>
        <v>43372</v>
      </c>
      <c r="K3010" s="176">
        <f>IFERROR(__xludf.DUMMYFUNCTION("""COMPUTED_VALUE"""),89.0)</f>
        <v>89</v>
      </c>
      <c r="L3010" s="176">
        <f>IFERROR(__xludf.DUMMYFUNCTION("""COMPUTED_VALUE"""),5.0)</f>
        <v>5</v>
      </c>
      <c r="M3010" s="176">
        <f>IFERROR(__xludf.DUMMYFUNCTION("""COMPUTED_VALUE"""),94.0)</f>
        <v>94</v>
      </c>
      <c r="N3010" s="177" t="str">
        <f>IFERROR(__xludf.DUMMYFUNCTION("""COMPUTED_VALUE"""),"Model 3 LR AWD")</f>
        <v>Model 3 LR AWD</v>
      </c>
      <c r="O3010" s="177" t="str">
        <f>IFERROR(__xludf.DUMMYFUNCTION("""COMPUTED_VALUE"""),"Deep Blue Metallic")</f>
        <v>Deep Blue Metallic</v>
      </c>
      <c r="P3010" s="178" t="str">
        <f>IFERROR(__xludf.DUMMYFUNCTION("""COMPUTED_VALUE"""),"18 inch Aero")</f>
        <v>18 inch Aero</v>
      </c>
      <c r="Q3010" s="177" t="str">
        <f>IFERROR(__xludf.DUMMYFUNCTION("""COMPUTED_VALUE"""),"Black seats")</f>
        <v>Black seats</v>
      </c>
      <c r="R3010" s="170" t="str">
        <f>IFERROR(__xludf.DUMMYFUNCTION("""COMPUTED_VALUE"""),"Enhanced Autopilot")</f>
        <v>Enhanced Autopilot</v>
      </c>
      <c r="S3010" s="170"/>
      <c r="T3010" s="179"/>
      <c r="U3010" s="179"/>
      <c r="V3010" s="179"/>
      <c r="W3010" s="180"/>
      <c r="X3010" s="181" t="str">
        <f>IFERROR(__xludf.DUMMYFUNCTION("""COMPUTED_VALUE"""),"Excellent")</f>
        <v>Excellent</v>
      </c>
      <c r="Y3010" s="182" t="str">
        <f>IFERROR(__xludf.DUMMYFUNCTION("""COMPUTED_VALUE"""),"Excellent")</f>
        <v>Excellent</v>
      </c>
      <c r="Z3010" s="182" t="str">
        <f>IFERROR(__xludf.DUMMYFUNCTION("""COMPUTED_VALUE"""),"Excellent")</f>
        <v>Excellent</v>
      </c>
      <c r="AA3010" s="182" t="str">
        <f>IFERROR(__xludf.DUMMYFUNCTION("""COMPUTED_VALUE"""),"Good")</f>
        <v>Good</v>
      </c>
      <c r="AB3010" s="182" t="str">
        <f>IFERROR(__xludf.DUMMYFUNCTION("""COMPUTED_VALUE"""),"Excellent")</f>
        <v>Excellent</v>
      </c>
      <c r="AC3010" s="183"/>
      <c r="AD3010" s="183"/>
      <c r="AE3010" s="183"/>
      <c r="AF3010" s="184"/>
      <c r="AG3010" s="180"/>
      <c r="AH3010" s="185">
        <f>IFERROR(__xludf.DUMMYFUNCTION("""COMPUTED_VALUE"""),43373.72472315972)</f>
        <v>43373.72472</v>
      </c>
      <c r="AI3010" s="182"/>
      <c r="AJ3010" s="182"/>
      <c r="AK3010" s="182"/>
      <c r="AL3010" s="182"/>
    </row>
    <row r="3011" ht="20.25" customHeight="1">
      <c r="A3011" s="169" t="str">
        <f>IFERROR(__xludf.DUMMYFUNCTION("""COMPUTED_VALUE"""),"__telsa_model_3_awd__")</f>
        <v>__telsa_model_3_awd__</v>
      </c>
      <c r="B3011" s="170" t="str">
        <f>IFERROR(__xludf.DUMMYFUNCTION("""COMPUTED_VALUE"""),"90094")</f>
        <v>90094</v>
      </c>
      <c r="C3011" s="170" t="str">
        <f>IFERROR(__xludf.DUMMYFUNCTION("""COMPUTED_VALUE"""),"CA")</f>
        <v>CA</v>
      </c>
      <c r="D3011" s="170" t="str">
        <f>IFERROR(__xludf.DUMMYFUNCTION("""COMPUTED_VALUE"""),"USA")</f>
        <v>USA</v>
      </c>
      <c r="E3011" s="171">
        <f>IFERROR(__xludf.DUMMYFUNCTION("""COMPUTED_VALUE"""),43278.0)</f>
        <v>43278</v>
      </c>
      <c r="F3011" s="172">
        <f>IFERROR(__xludf.DUMMYFUNCTION("""COMPUTED_VALUE"""),43336.0)</f>
        <v>43336</v>
      </c>
      <c r="G3011" s="173"/>
      <c r="H3011" s="174">
        <f>IFERROR(__xludf.DUMMYFUNCTION("""COMPUTED_VALUE"""),96198.0)</f>
        <v>96198</v>
      </c>
      <c r="I3011" s="175" t="str">
        <f>IFERROR(__xludf.DUMMYFUNCTION("""COMPUTED_VALUE"""),"08/18")</f>
        <v>08/18</v>
      </c>
      <c r="J3011" s="172">
        <f>IFERROR(__xludf.DUMMYFUNCTION("""COMPUTED_VALUE"""),43344.0)</f>
        <v>43344</v>
      </c>
      <c r="K3011" s="176">
        <f>IFERROR(__xludf.DUMMYFUNCTION("""COMPUTED_VALUE"""),58.0)</f>
        <v>58</v>
      </c>
      <c r="L3011" s="176">
        <f>IFERROR(__xludf.DUMMYFUNCTION("""COMPUTED_VALUE"""),8.0)</f>
        <v>8</v>
      </c>
      <c r="M3011" s="176">
        <f>IFERROR(__xludf.DUMMYFUNCTION("""COMPUTED_VALUE"""),66.0)</f>
        <v>66</v>
      </c>
      <c r="N3011" s="177" t="str">
        <f>IFERROR(__xludf.DUMMYFUNCTION("""COMPUTED_VALUE"""),"Model 3 LR AWD")</f>
        <v>Model 3 LR AWD</v>
      </c>
      <c r="O3011" s="177" t="str">
        <f>IFERROR(__xludf.DUMMYFUNCTION("""COMPUTED_VALUE"""),"Silver Metallic")</f>
        <v>Silver Metallic</v>
      </c>
      <c r="P3011" s="178" t="str">
        <f>IFERROR(__xludf.DUMMYFUNCTION("""COMPUTED_VALUE"""),"18 inch Aero")</f>
        <v>18 inch Aero</v>
      </c>
      <c r="Q3011" s="177" t="str">
        <f>IFERROR(__xludf.DUMMYFUNCTION("""COMPUTED_VALUE"""),"White seats")</f>
        <v>White seats</v>
      </c>
      <c r="R3011" s="170" t="str">
        <f>IFERROR(__xludf.DUMMYFUNCTION("""COMPUTED_VALUE"""),"Full Self-Driving")</f>
        <v>Full Self-Driving</v>
      </c>
      <c r="S3011" s="170"/>
      <c r="T3011" s="179"/>
      <c r="U3011" s="179"/>
      <c r="V3011" s="179"/>
      <c r="W3011" s="180"/>
      <c r="X3011" s="181" t="str">
        <f>IFERROR(__xludf.DUMMYFUNCTION("""COMPUTED_VALUE"""),"Excellent")</f>
        <v>Excellent</v>
      </c>
      <c r="Y3011" s="182" t="str">
        <f>IFERROR(__xludf.DUMMYFUNCTION("""COMPUTED_VALUE"""),"Excellent")</f>
        <v>Excellent</v>
      </c>
      <c r="Z3011" s="182" t="str">
        <f>IFERROR(__xludf.DUMMYFUNCTION("""COMPUTED_VALUE"""),"Very Good")</f>
        <v>Very Good</v>
      </c>
      <c r="AA3011" s="182" t="str">
        <f>IFERROR(__xludf.DUMMYFUNCTION("""COMPUTED_VALUE"""),"Fair")</f>
        <v>Fair</v>
      </c>
      <c r="AB3011" s="182" t="str">
        <f>IFERROR(__xludf.DUMMYFUNCTION("""COMPUTED_VALUE"""),"Excellent")</f>
        <v>Excellent</v>
      </c>
      <c r="AC3011" s="183">
        <f>IFERROR(__xludf.DUMMYFUNCTION("""COMPUTED_VALUE"""),0.0)</f>
        <v>0</v>
      </c>
      <c r="AD3011" s="183">
        <f>IFERROR(__xludf.DUMMYFUNCTION("""COMPUTED_VALUE"""),0.0)</f>
        <v>0</v>
      </c>
      <c r="AE3011" s="183">
        <f>IFERROR(__xludf.DUMMYFUNCTION("""COMPUTED_VALUE"""),0.0)</f>
        <v>0</v>
      </c>
      <c r="AF3011" s="184"/>
      <c r="AG3011" s="180"/>
      <c r="AH3011" s="185">
        <f>IFERROR(__xludf.DUMMYFUNCTION("""COMPUTED_VALUE"""),43344.66028788194)</f>
        <v>43344.66029</v>
      </c>
      <c r="AI3011" s="182"/>
      <c r="AJ3011" s="182"/>
      <c r="AK3011" s="182"/>
      <c r="AL3011" s="182"/>
    </row>
    <row r="3012" ht="20.25" customHeight="1">
      <c r="A3012" s="169" t="str">
        <f>IFERROR(__xludf.DUMMYFUNCTION("""COMPUTED_VALUE"""),"a.void68")</f>
        <v>a.void68</v>
      </c>
      <c r="B3012" s="170" t="str">
        <f>IFERROR(__xludf.DUMMYFUNCTION("""COMPUTED_VALUE"""),"Columbus")</f>
        <v>Columbus</v>
      </c>
      <c r="C3012" s="170" t="str">
        <f>IFERROR(__xludf.DUMMYFUNCTION("""COMPUTED_VALUE"""),"OH")</f>
        <v>OH</v>
      </c>
      <c r="D3012" s="170" t="str">
        <f>IFERROR(__xludf.DUMMYFUNCTION("""COMPUTED_VALUE"""),"USA")</f>
        <v>USA</v>
      </c>
      <c r="E3012" s="171">
        <f>IFERROR(__xludf.DUMMYFUNCTION("""COMPUTED_VALUE"""),43278.0)</f>
        <v>43278</v>
      </c>
      <c r="F3012" s="172"/>
      <c r="G3012" s="173"/>
      <c r="H3012" s="174">
        <f>IFERROR(__xludf.DUMMYFUNCTION("""COMPUTED_VALUE"""),117220.0)</f>
        <v>117220</v>
      </c>
      <c r="I3012" s="175" t="str">
        <f>IFERROR(__xludf.DUMMYFUNCTION("""COMPUTED_VALUE"""),"10/18")</f>
        <v>10/18</v>
      </c>
      <c r="J3012" s="172">
        <f>IFERROR(__xludf.DUMMYFUNCTION("""COMPUTED_VALUE"""),43391.0)</f>
        <v>43391</v>
      </c>
      <c r="K3012" s="176"/>
      <c r="L3012" s="176"/>
      <c r="M3012" s="176">
        <f>IFERROR(__xludf.DUMMYFUNCTION("""COMPUTED_VALUE"""),113.0)</f>
        <v>113</v>
      </c>
      <c r="N3012" s="177" t="str">
        <f>IFERROR(__xludf.DUMMYFUNCTION("""COMPUTED_VALUE"""),"Model 3 LR AWD")</f>
        <v>Model 3 LR AWD</v>
      </c>
      <c r="O3012" s="177" t="str">
        <f>IFERROR(__xludf.DUMMYFUNCTION("""COMPUTED_VALUE"""),"Red Multi-Coat")</f>
        <v>Red Multi-Coat</v>
      </c>
      <c r="P3012" s="178" t="str">
        <f>IFERROR(__xludf.DUMMYFUNCTION("""COMPUTED_VALUE"""),"19 inch Sport")</f>
        <v>19 inch Sport</v>
      </c>
      <c r="Q3012" s="177" t="str">
        <f>IFERROR(__xludf.DUMMYFUNCTION("""COMPUTED_VALUE"""),"Black seats")</f>
        <v>Black seats</v>
      </c>
      <c r="R3012" s="170" t="str">
        <f>IFERROR(__xludf.DUMMYFUNCTION("""COMPUTED_VALUE"""),"None")</f>
        <v>None</v>
      </c>
      <c r="S3012" s="170"/>
      <c r="T3012" s="179"/>
      <c r="U3012" s="179"/>
      <c r="V3012" s="179"/>
      <c r="W3012" s="180"/>
      <c r="X3012" s="181" t="str">
        <f>IFERROR(__xludf.DUMMYFUNCTION("""COMPUTED_VALUE"""),"Excellent")</f>
        <v>Excellent</v>
      </c>
      <c r="Y3012" s="182" t="str">
        <f>IFERROR(__xludf.DUMMYFUNCTION("""COMPUTED_VALUE"""),"Excellent")</f>
        <v>Excellent</v>
      </c>
      <c r="Z3012" s="182" t="str">
        <f>IFERROR(__xludf.DUMMYFUNCTION("""COMPUTED_VALUE"""),"Excellent")</f>
        <v>Excellent</v>
      </c>
      <c r="AA3012" s="182" t="str">
        <f>IFERROR(__xludf.DUMMYFUNCTION("""COMPUTED_VALUE"""),"Very Good")</f>
        <v>Very Good</v>
      </c>
      <c r="AB3012" s="182" t="str">
        <f>IFERROR(__xludf.DUMMYFUNCTION("""COMPUTED_VALUE"""),"Excellent")</f>
        <v>Excellent</v>
      </c>
      <c r="AC3012" s="183"/>
      <c r="AD3012" s="183"/>
      <c r="AE3012" s="183"/>
      <c r="AF3012" s="184"/>
      <c r="AG3012" s="180" t="str">
        <f>IFERROR(__xludf.DUMMYFUNCTION("""COMPUTED_VALUE"""),"original delivery was scheduled for 9/29/2018 with an 88xxx VIN.  Canceled night before with no real solid communication")</f>
        <v>original delivery was scheduled for 9/29/2018 with an 88xxx VIN.  Canceled night before with no real solid communication</v>
      </c>
      <c r="AH3012" s="185">
        <f>IFERROR(__xludf.DUMMYFUNCTION("""COMPUTED_VALUE"""),43393.2542584375)</f>
        <v>43393.25426</v>
      </c>
      <c r="AI3012" s="182"/>
      <c r="AJ3012" s="182"/>
      <c r="AK3012" s="182"/>
      <c r="AL3012" s="182"/>
    </row>
    <row r="3013" ht="20.25" customHeight="1">
      <c r="A3013" s="169" t="str">
        <f>IFERROR(__xludf.DUMMYFUNCTION("""COMPUTED_VALUE"""),"aaronl")</f>
        <v>aaronl</v>
      </c>
      <c r="B3013" s="170" t="str">
        <f>IFERROR(__xludf.DUMMYFUNCTION("""COMPUTED_VALUE"""),"Westport")</f>
        <v>Westport</v>
      </c>
      <c r="C3013" s="170" t="str">
        <f>IFERROR(__xludf.DUMMYFUNCTION("""COMPUTED_VALUE"""),"CT")</f>
        <v>CT</v>
      </c>
      <c r="D3013" s="170" t="str">
        <f>IFERROR(__xludf.DUMMYFUNCTION("""COMPUTED_VALUE"""),"USA")</f>
        <v>USA</v>
      </c>
      <c r="E3013" s="171">
        <f>IFERROR(__xludf.DUMMYFUNCTION("""COMPUTED_VALUE"""),43278.0)</f>
        <v>43278</v>
      </c>
      <c r="F3013" s="172">
        <f>IFERROR(__xludf.DUMMYFUNCTION("""COMPUTED_VALUE"""),43384.0)</f>
        <v>43384</v>
      </c>
      <c r="G3013" s="173"/>
      <c r="H3013" s="174">
        <f>IFERROR(__xludf.DUMMYFUNCTION("""COMPUTED_VALUE"""),103855.0)</f>
        <v>103855</v>
      </c>
      <c r="I3013" s="175" t="str">
        <f>IFERROR(__xludf.DUMMYFUNCTION("""COMPUTED_VALUE"""),"09/18")</f>
        <v>09/18</v>
      </c>
      <c r="J3013" s="172">
        <f>IFERROR(__xludf.DUMMYFUNCTION("""COMPUTED_VALUE"""),43386.0)</f>
        <v>43386</v>
      </c>
      <c r="K3013" s="176">
        <f>IFERROR(__xludf.DUMMYFUNCTION("""COMPUTED_VALUE"""),106.0)</f>
        <v>106</v>
      </c>
      <c r="L3013" s="176">
        <f>IFERROR(__xludf.DUMMYFUNCTION("""COMPUTED_VALUE"""),2.0)</f>
        <v>2</v>
      </c>
      <c r="M3013" s="176">
        <f>IFERROR(__xludf.DUMMYFUNCTION("""COMPUTED_VALUE"""),108.0)</f>
        <v>108</v>
      </c>
      <c r="N3013" s="177" t="str">
        <f>IFERROR(__xludf.DUMMYFUNCTION("""COMPUTED_VALUE"""),"Model 3 LR AWD")</f>
        <v>Model 3 LR AWD</v>
      </c>
      <c r="O3013" s="177" t="str">
        <f>IFERROR(__xludf.DUMMYFUNCTION("""COMPUTED_VALUE"""),"Midnight Silver Metallic")</f>
        <v>Midnight Silver Metallic</v>
      </c>
      <c r="P3013" s="178" t="str">
        <f>IFERROR(__xludf.DUMMYFUNCTION("""COMPUTED_VALUE"""),"18 inch Aero")</f>
        <v>18 inch Aero</v>
      </c>
      <c r="Q3013" s="177" t="str">
        <f>IFERROR(__xludf.DUMMYFUNCTION("""COMPUTED_VALUE"""),"Black seats")</f>
        <v>Black seats</v>
      </c>
      <c r="R3013" s="170" t="str">
        <f>IFERROR(__xludf.DUMMYFUNCTION("""COMPUTED_VALUE"""),"Enhanced Autopilot")</f>
        <v>Enhanced Autopilot</v>
      </c>
      <c r="S3013" s="170"/>
      <c r="T3013" s="179"/>
      <c r="U3013" s="179"/>
      <c r="V3013" s="179"/>
      <c r="W3013" s="180"/>
      <c r="X3013" s="181" t="str">
        <f>IFERROR(__xludf.DUMMYFUNCTION("""COMPUTED_VALUE"""),"Excellent")</f>
        <v>Excellent</v>
      </c>
      <c r="Y3013" s="182" t="str">
        <f>IFERROR(__xludf.DUMMYFUNCTION("""COMPUTED_VALUE"""),"Excellent")</f>
        <v>Excellent</v>
      </c>
      <c r="Z3013" s="182" t="str">
        <f>IFERROR(__xludf.DUMMYFUNCTION("""COMPUTED_VALUE"""),"Excellent")</f>
        <v>Excellent</v>
      </c>
      <c r="AA3013" s="182" t="str">
        <f>IFERROR(__xludf.DUMMYFUNCTION("""COMPUTED_VALUE"""),"Excellent")</f>
        <v>Excellent</v>
      </c>
      <c r="AB3013" s="182" t="str">
        <f>IFERROR(__xludf.DUMMYFUNCTION("""COMPUTED_VALUE"""),"Excellent")</f>
        <v>Excellent</v>
      </c>
      <c r="AC3013" s="183"/>
      <c r="AD3013" s="183"/>
      <c r="AE3013" s="183"/>
      <c r="AF3013" s="184"/>
      <c r="AG3013" s="180"/>
      <c r="AH3013" s="185">
        <f>IFERROR(__xludf.DUMMYFUNCTION("""COMPUTED_VALUE"""),43388.79466486111)</f>
        <v>43388.79466</v>
      </c>
      <c r="AI3013" s="182"/>
      <c r="AJ3013" s="182"/>
      <c r="AK3013" s="182"/>
      <c r="AL3013" s="182"/>
    </row>
    <row r="3014" ht="20.25" customHeight="1">
      <c r="A3014" s="169" t="str">
        <f>IFERROR(__xludf.DUMMYFUNCTION("""COMPUTED_VALUE"""),"ac737")</f>
        <v>ac737</v>
      </c>
      <c r="B3014" s="170"/>
      <c r="C3014" s="170" t="str">
        <f>IFERROR(__xludf.DUMMYFUNCTION("""COMPUTED_VALUE"""),"CA")</f>
        <v>CA</v>
      </c>
      <c r="D3014" s="170" t="str">
        <f>IFERROR(__xludf.DUMMYFUNCTION("""COMPUTED_VALUE"""),"USA")</f>
        <v>USA</v>
      </c>
      <c r="E3014" s="171">
        <f>IFERROR(__xludf.DUMMYFUNCTION("""COMPUTED_VALUE"""),43278.0)</f>
        <v>43278</v>
      </c>
      <c r="F3014" s="172"/>
      <c r="G3014" s="173"/>
      <c r="H3014" s="174">
        <f>IFERROR(__xludf.DUMMYFUNCTION("""COMPUTED_VALUE"""),22760.0)</f>
        <v>22760</v>
      </c>
      <c r="I3014" s="175"/>
      <c r="J3014" s="172">
        <f>IFERROR(__xludf.DUMMYFUNCTION("""COMPUTED_VALUE"""),43292.0)</f>
        <v>43292</v>
      </c>
      <c r="K3014" s="176"/>
      <c r="L3014" s="176"/>
      <c r="M3014" s="176">
        <f>IFERROR(__xludf.DUMMYFUNCTION("""COMPUTED_VALUE"""),14.0)</f>
        <v>14</v>
      </c>
      <c r="N3014" s="177" t="str">
        <f>IFERROR(__xludf.DUMMYFUNCTION("""COMPUTED_VALUE"""),"Model 3 LR")</f>
        <v>Model 3 LR</v>
      </c>
      <c r="O3014" s="177" t="str">
        <f>IFERROR(__xludf.DUMMYFUNCTION("""COMPUTED_VALUE"""),"Deep Blue Metallic")</f>
        <v>Deep Blue Metallic</v>
      </c>
      <c r="P3014" s="178" t="str">
        <f>IFERROR(__xludf.DUMMYFUNCTION("""COMPUTED_VALUE"""),"18 inch Aero")</f>
        <v>18 inch Aero</v>
      </c>
      <c r="Q3014" s="177" t="str">
        <f>IFERROR(__xludf.DUMMYFUNCTION("""COMPUTED_VALUE"""),"Black seats")</f>
        <v>Black seats</v>
      </c>
      <c r="R3014" s="170" t="str">
        <f>IFERROR(__xludf.DUMMYFUNCTION("""COMPUTED_VALUE"""),"Enhanced Autopilot")</f>
        <v>Enhanced Autopilot</v>
      </c>
      <c r="S3014" s="170"/>
      <c r="T3014" s="179"/>
      <c r="U3014" s="179"/>
      <c r="V3014" s="179"/>
      <c r="W3014" s="180"/>
      <c r="X3014" s="181" t="str">
        <f>IFERROR(__xludf.DUMMYFUNCTION("""COMPUTED_VALUE"""),"Excellent")</f>
        <v>Excellent</v>
      </c>
      <c r="Y3014" s="182" t="str">
        <f>IFERROR(__xludf.DUMMYFUNCTION("""COMPUTED_VALUE"""),"Very Good")</f>
        <v>Very Good</v>
      </c>
      <c r="Z3014" s="182" t="str">
        <f>IFERROR(__xludf.DUMMYFUNCTION("""COMPUTED_VALUE"""),"Very Good")</f>
        <v>Very Good</v>
      </c>
      <c r="AA3014" s="182" t="str">
        <f>IFERROR(__xludf.DUMMYFUNCTION("""COMPUTED_VALUE"""),"Very Good")</f>
        <v>Very Good</v>
      </c>
      <c r="AB3014" s="182" t="str">
        <f>IFERROR(__xludf.DUMMYFUNCTION("""COMPUTED_VALUE"""),"Very Good")</f>
        <v>Very Good</v>
      </c>
      <c r="AC3014" s="183">
        <f>IFERROR(__xludf.DUMMYFUNCTION("""COMPUTED_VALUE"""),6.0)</f>
        <v>6</v>
      </c>
      <c r="AD3014" s="183"/>
      <c r="AE3014" s="183"/>
      <c r="AF3014" s="184"/>
      <c r="AG3014" s="180"/>
      <c r="AH3014" s="185">
        <f>IFERROR(__xludf.DUMMYFUNCTION("""COMPUTED_VALUE"""),43294.76542513888)</f>
        <v>43294.76543</v>
      </c>
      <c r="AI3014" s="182"/>
      <c r="AJ3014" s="182"/>
      <c r="AK3014" s="182"/>
      <c r="AL3014" s="182"/>
    </row>
    <row r="3015" ht="20.25" customHeight="1">
      <c r="A3015" s="169" t="str">
        <f>IFERROR(__xludf.DUMMYFUNCTION("""COMPUTED_VALUE"""),"Adias.angel")</f>
        <v>Adias.angel</v>
      </c>
      <c r="B3015" s="170"/>
      <c r="C3015" s="170" t="str">
        <f>IFERROR(__xludf.DUMMYFUNCTION("""COMPUTED_VALUE"""),"IL")</f>
        <v>IL</v>
      </c>
      <c r="D3015" s="170" t="str">
        <f>IFERROR(__xludf.DUMMYFUNCTION("""COMPUTED_VALUE"""),"USA")</f>
        <v>USA</v>
      </c>
      <c r="E3015" s="171">
        <f>IFERROR(__xludf.DUMMYFUNCTION("""COMPUTED_VALUE"""),43278.0)</f>
        <v>43278</v>
      </c>
      <c r="F3015" s="172">
        <f>IFERROR(__xludf.DUMMYFUNCTION("""COMPUTED_VALUE"""),43360.0)</f>
        <v>43360</v>
      </c>
      <c r="G3015" s="173"/>
      <c r="H3015" s="174">
        <f>IFERROR(__xludf.DUMMYFUNCTION("""COMPUTED_VALUE"""),103855.0)</f>
        <v>103855</v>
      </c>
      <c r="I3015" s="175" t="str">
        <f>IFERROR(__xludf.DUMMYFUNCTION("""COMPUTED_VALUE"""),"09/18")</f>
        <v>09/18</v>
      </c>
      <c r="J3015" s="172">
        <f>IFERROR(__xludf.DUMMYFUNCTION("""COMPUTED_VALUE"""),43376.0)</f>
        <v>43376</v>
      </c>
      <c r="K3015" s="176">
        <f>IFERROR(__xludf.DUMMYFUNCTION("""COMPUTED_VALUE"""),82.0)</f>
        <v>82</v>
      </c>
      <c r="L3015" s="176">
        <f>IFERROR(__xludf.DUMMYFUNCTION("""COMPUTED_VALUE"""),16.0)</f>
        <v>16</v>
      </c>
      <c r="M3015" s="176">
        <f>IFERROR(__xludf.DUMMYFUNCTION("""COMPUTED_VALUE"""),98.0)</f>
        <v>98</v>
      </c>
      <c r="N3015" s="177" t="str">
        <f>IFERROR(__xludf.DUMMYFUNCTION("""COMPUTED_VALUE"""),"Model 3 LR AWD")</f>
        <v>Model 3 LR AWD</v>
      </c>
      <c r="O3015" s="177" t="str">
        <f>IFERROR(__xludf.DUMMYFUNCTION("""COMPUTED_VALUE"""),"Midnight Silver Metallic")</f>
        <v>Midnight Silver Metallic</v>
      </c>
      <c r="P3015" s="178" t="str">
        <f>IFERROR(__xludf.DUMMYFUNCTION("""COMPUTED_VALUE"""),"18 inch Aero")</f>
        <v>18 inch Aero</v>
      </c>
      <c r="Q3015" s="177" t="str">
        <f>IFERROR(__xludf.DUMMYFUNCTION("""COMPUTED_VALUE"""),"Black seats")</f>
        <v>Black seats</v>
      </c>
      <c r="R3015" s="170" t="str">
        <f>IFERROR(__xludf.DUMMYFUNCTION("""COMPUTED_VALUE"""),"None")</f>
        <v>None</v>
      </c>
      <c r="S3015" s="170"/>
      <c r="T3015" s="179"/>
      <c r="U3015" s="179"/>
      <c r="V3015" s="179"/>
      <c r="W3015" s="180"/>
      <c r="X3015" s="181" t="str">
        <f>IFERROR(__xludf.DUMMYFUNCTION("""COMPUTED_VALUE"""),"Excellent")</f>
        <v>Excellent</v>
      </c>
      <c r="Y3015" s="182" t="str">
        <f>IFERROR(__xludf.DUMMYFUNCTION("""COMPUTED_VALUE"""),"Very Good")</f>
        <v>Very Good</v>
      </c>
      <c r="Z3015" s="182" t="str">
        <f>IFERROR(__xludf.DUMMYFUNCTION("""COMPUTED_VALUE"""),"Excellent")</f>
        <v>Excellent</v>
      </c>
      <c r="AA3015" s="182" t="str">
        <f>IFERROR(__xludf.DUMMYFUNCTION("""COMPUTED_VALUE"""),"Good")</f>
        <v>Good</v>
      </c>
      <c r="AB3015" s="182" t="str">
        <f>IFERROR(__xludf.DUMMYFUNCTION("""COMPUTED_VALUE"""),"Excellent")</f>
        <v>Excellent</v>
      </c>
      <c r="AC3015" s="183">
        <f>IFERROR(__xludf.DUMMYFUNCTION("""COMPUTED_VALUE"""),1.0)</f>
        <v>1</v>
      </c>
      <c r="AD3015" s="183">
        <f>IFERROR(__xludf.DUMMYFUNCTION("""COMPUTED_VALUE"""),1.0)</f>
        <v>1</v>
      </c>
      <c r="AE3015" s="183"/>
      <c r="AF3015" s="184"/>
      <c r="AG3015" s="180"/>
      <c r="AH3015" s="185">
        <f>IFERROR(__xludf.DUMMYFUNCTION("""COMPUTED_VALUE"""),43381.73102857639)</f>
        <v>43381.73103</v>
      </c>
      <c r="AI3015" s="182"/>
      <c r="AJ3015" s="182"/>
      <c r="AK3015" s="182"/>
      <c r="AL3015" s="182"/>
    </row>
    <row r="3016" ht="20.25" customHeight="1">
      <c r="A3016" s="169" t="str">
        <f>IFERROR(__xludf.DUMMYFUNCTION("""COMPUTED_VALUE"""),"ajaydons")</f>
        <v>ajaydons</v>
      </c>
      <c r="B3016" s="170" t="str">
        <f>IFERROR(__xludf.DUMMYFUNCTION("""COMPUTED_VALUE"""),"Dallas")</f>
        <v>Dallas</v>
      </c>
      <c r="C3016" s="170" t="str">
        <f>IFERROR(__xludf.DUMMYFUNCTION("""COMPUTED_VALUE"""),"TX")</f>
        <v>TX</v>
      </c>
      <c r="D3016" s="170" t="str">
        <f>IFERROR(__xludf.DUMMYFUNCTION("""COMPUTED_VALUE"""),"USA")</f>
        <v>USA</v>
      </c>
      <c r="E3016" s="171">
        <f>IFERROR(__xludf.DUMMYFUNCTION("""COMPUTED_VALUE"""),43278.0)</f>
        <v>43278</v>
      </c>
      <c r="F3016" s="172">
        <f>IFERROR(__xludf.DUMMYFUNCTION("""COMPUTED_VALUE"""),43314.0)</f>
        <v>43314</v>
      </c>
      <c r="G3016" s="173"/>
      <c r="H3016" s="174">
        <f>IFERROR(__xludf.DUMMYFUNCTION("""COMPUTED_VALUE"""),40655.0)</f>
        <v>40655</v>
      </c>
      <c r="I3016" s="175"/>
      <c r="J3016" s="172">
        <f>IFERROR(__xludf.DUMMYFUNCTION("""COMPUTED_VALUE"""),43329.0)</f>
        <v>43329</v>
      </c>
      <c r="K3016" s="176">
        <f>IFERROR(__xludf.DUMMYFUNCTION("""COMPUTED_VALUE"""),36.0)</f>
        <v>36</v>
      </c>
      <c r="L3016" s="176">
        <f>IFERROR(__xludf.DUMMYFUNCTION("""COMPUTED_VALUE"""),15.0)</f>
        <v>15</v>
      </c>
      <c r="M3016" s="176">
        <f>IFERROR(__xludf.DUMMYFUNCTION("""COMPUTED_VALUE"""),51.0)</f>
        <v>51</v>
      </c>
      <c r="N3016" s="177" t="str">
        <f>IFERROR(__xludf.DUMMYFUNCTION("""COMPUTED_VALUE"""),"Model 3 LR")</f>
        <v>Model 3 LR</v>
      </c>
      <c r="O3016" s="177" t="str">
        <f>IFERROR(__xludf.DUMMYFUNCTION("""COMPUTED_VALUE"""),"Silver Metallic")</f>
        <v>Silver Metallic</v>
      </c>
      <c r="P3016" s="178" t="str">
        <f>IFERROR(__xludf.DUMMYFUNCTION("""COMPUTED_VALUE"""),"18 inch Aero")</f>
        <v>18 inch Aero</v>
      </c>
      <c r="Q3016" s="177" t="str">
        <f>IFERROR(__xludf.DUMMYFUNCTION("""COMPUTED_VALUE"""),"Black seats")</f>
        <v>Black seats</v>
      </c>
      <c r="R3016" s="170" t="str">
        <f>IFERROR(__xludf.DUMMYFUNCTION("""COMPUTED_VALUE"""),"Enhanced Autopilot")</f>
        <v>Enhanced Autopilot</v>
      </c>
      <c r="S3016" s="170"/>
      <c r="T3016" s="179"/>
      <c r="U3016" s="179"/>
      <c r="V3016" s="179"/>
      <c r="W3016" s="180"/>
      <c r="X3016" s="181" t="str">
        <f>IFERROR(__xludf.DUMMYFUNCTION("""COMPUTED_VALUE"""),"Very Good")</f>
        <v>Very Good</v>
      </c>
      <c r="Y3016" s="182" t="str">
        <f>IFERROR(__xludf.DUMMYFUNCTION("""COMPUTED_VALUE"""),"Very Good")</f>
        <v>Very Good</v>
      </c>
      <c r="Z3016" s="182" t="str">
        <f>IFERROR(__xludf.DUMMYFUNCTION("""COMPUTED_VALUE"""),"Very Good")</f>
        <v>Very Good</v>
      </c>
      <c r="AA3016" s="182" t="str">
        <f>IFERROR(__xludf.DUMMYFUNCTION("""COMPUTED_VALUE"""),"Very Good")</f>
        <v>Very Good</v>
      </c>
      <c r="AB3016" s="182" t="str">
        <f>IFERROR(__xludf.DUMMYFUNCTION("""COMPUTED_VALUE"""),"Good")</f>
        <v>Good</v>
      </c>
      <c r="AC3016" s="183">
        <f>IFERROR(__xludf.DUMMYFUNCTION("""COMPUTED_VALUE"""),2.0)</f>
        <v>2</v>
      </c>
      <c r="AD3016" s="183">
        <f>IFERROR(__xludf.DUMMYFUNCTION("""COMPUTED_VALUE"""),1.0)</f>
        <v>1</v>
      </c>
      <c r="AE3016" s="183"/>
      <c r="AF3016" s="184"/>
      <c r="AG3016" s="180"/>
      <c r="AH3016" s="185">
        <f>IFERROR(__xludf.DUMMYFUNCTION("""COMPUTED_VALUE"""),43335.28345871528)</f>
        <v>43335.28346</v>
      </c>
      <c r="AI3016" s="182"/>
      <c r="AJ3016" s="182"/>
      <c r="AK3016" s="182"/>
      <c r="AL3016" s="182"/>
    </row>
    <row r="3017" ht="20.25" customHeight="1">
      <c r="A3017" s="169" t="str">
        <f>IFERROR(__xludf.DUMMYFUNCTION("""COMPUTED_VALUE"""),"alpap")</f>
        <v>alpap</v>
      </c>
      <c r="B3017" s="170" t="str">
        <f>IFERROR(__xludf.DUMMYFUNCTION("""COMPUTED_VALUE"""),"Dallas")</f>
        <v>Dallas</v>
      </c>
      <c r="C3017" s="170" t="str">
        <f>IFERROR(__xludf.DUMMYFUNCTION("""COMPUTED_VALUE"""),"TX")</f>
        <v>TX</v>
      </c>
      <c r="D3017" s="170" t="str">
        <f>IFERROR(__xludf.DUMMYFUNCTION("""COMPUTED_VALUE"""),"USA")</f>
        <v>USA</v>
      </c>
      <c r="E3017" s="171">
        <f>IFERROR(__xludf.DUMMYFUNCTION("""COMPUTED_VALUE"""),43278.0)</f>
        <v>43278</v>
      </c>
      <c r="F3017" s="172"/>
      <c r="G3017" s="173"/>
      <c r="H3017" s="174">
        <f>IFERROR(__xludf.DUMMYFUNCTION("""COMPUTED_VALUE"""),42221.0)</f>
        <v>42221</v>
      </c>
      <c r="I3017" s="175" t="str">
        <f>IFERROR(__xludf.DUMMYFUNCTION("""COMPUTED_VALUE"""),"06/18")</f>
        <v>06/18</v>
      </c>
      <c r="J3017" s="172">
        <f>IFERROR(__xludf.DUMMYFUNCTION("""COMPUTED_VALUE"""),43354.0)</f>
        <v>43354</v>
      </c>
      <c r="K3017" s="176"/>
      <c r="L3017" s="176"/>
      <c r="M3017" s="176">
        <f>IFERROR(__xludf.DUMMYFUNCTION("""COMPUTED_VALUE"""),76.0)</f>
        <v>76</v>
      </c>
      <c r="N3017" s="177" t="str">
        <f>IFERROR(__xludf.DUMMYFUNCTION("""COMPUTED_VALUE"""),"Model 3 LR")</f>
        <v>Model 3 LR</v>
      </c>
      <c r="O3017" s="177" t="str">
        <f>IFERROR(__xludf.DUMMYFUNCTION("""COMPUTED_VALUE"""),"Pearl White Multi-Coat")</f>
        <v>Pearl White Multi-Coat</v>
      </c>
      <c r="P3017" s="178" t="str">
        <f>IFERROR(__xludf.DUMMYFUNCTION("""COMPUTED_VALUE"""),"18 inch Aero")</f>
        <v>18 inch Aero</v>
      </c>
      <c r="Q3017" s="177" t="str">
        <f>IFERROR(__xludf.DUMMYFUNCTION("""COMPUTED_VALUE"""),"Black seats")</f>
        <v>Black seats</v>
      </c>
      <c r="R3017" s="170" t="str">
        <f>IFERROR(__xludf.DUMMYFUNCTION("""COMPUTED_VALUE"""),"None")</f>
        <v>None</v>
      </c>
      <c r="S3017" s="170"/>
      <c r="T3017" s="179"/>
      <c r="U3017" s="179"/>
      <c r="V3017" s="179"/>
      <c r="W3017" s="180"/>
      <c r="X3017" s="181" t="str">
        <f>IFERROR(__xludf.DUMMYFUNCTION("""COMPUTED_VALUE"""),"Excellent")</f>
        <v>Excellent</v>
      </c>
      <c r="Y3017" s="182" t="str">
        <f>IFERROR(__xludf.DUMMYFUNCTION("""COMPUTED_VALUE"""),"Excellent")</f>
        <v>Excellent</v>
      </c>
      <c r="Z3017" s="182" t="str">
        <f>IFERROR(__xludf.DUMMYFUNCTION("""COMPUTED_VALUE"""),"Excellent")</f>
        <v>Excellent</v>
      </c>
      <c r="AA3017" s="182" t="str">
        <f>IFERROR(__xludf.DUMMYFUNCTION("""COMPUTED_VALUE"""),"Very Good")</f>
        <v>Very Good</v>
      </c>
      <c r="AB3017" s="182" t="str">
        <f>IFERROR(__xludf.DUMMYFUNCTION("""COMPUTED_VALUE"""),"Very Good")</f>
        <v>Very Good</v>
      </c>
      <c r="AC3017" s="183"/>
      <c r="AD3017" s="183"/>
      <c r="AE3017" s="183"/>
      <c r="AF3017" s="184"/>
      <c r="AG3017" s="180"/>
      <c r="AH3017" s="185">
        <f>IFERROR(__xludf.DUMMYFUNCTION("""COMPUTED_VALUE"""),43363.35527346065)</f>
        <v>43363.35527</v>
      </c>
      <c r="AI3017" s="182"/>
      <c r="AJ3017" s="182"/>
      <c r="AK3017" s="182"/>
      <c r="AL3017" s="182"/>
    </row>
    <row r="3018" ht="20.25" customHeight="1">
      <c r="A3018" s="169" t="str">
        <f>IFERROR(__xludf.DUMMYFUNCTION("""COMPUTED_VALUE"""),"amanwithplan")</f>
        <v>amanwithplan</v>
      </c>
      <c r="B3018" s="170"/>
      <c r="C3018" s="170" t="str">
        <f>IFERROR(__xludf.DUMMYFUNCTION("""COMPUTED_VALUE"""),"NJ")</f>
        <v>NJ</v>
      </c>
      <c r="D3018" s="170" t="str">
        <f>IFERROR(__xludf.DUMMYFUNCTION("""COMPUTED_VALUE"""),"USA")</f>
        <v>USA</v>
      </c>
      <c r="E3018" s="171">
        <f>IFERROR(__xludf.DUMMYFUNCTION("""COMPUTED_VALUE"""),43278.0)</f>
        <v>43278</v>
      </c>
      <c r="F3018" s="172">
        <f>IFERROR(__xludf.DUMMYFUNCTION("""COMPUTED_VALUE"""),43321.0)</f>
        <v>43321</v>
      </c>
      <c r="G3018" s="173"/>
      <c r="H3018" s="174">
        <f>IFERROR(__xludf.DUMMYFUNCTION("""COMPUTED_VALUE"""),56055.0)</f>
        <v>56055</v>
      </c>
      <c r="I3018" s="175" t="str">
        <f>IFERROR(__xludf.DUMMYFUNCTION("""COMPUTED_VALUE"""),"08/18")</f>
        <v>08/18</v>
      </c>
      <c r="J3018" s="172">
        <f>IFERROR(__xludf.DUMMYFUNCTION("""COMPUTED_VALUE"""),43337.0)</f>
        <v>43337</v>
      </c>
      <c r="K3018" s="176">
        <f>IFERROR(__xludf.DUMMYFUNCTION("""COMPUTED_VALUE"""),43.0)</f>
        <v>43</v>
      </c>
      <c r="L3018" s="176">
        <f>IFERROR(__xludf.DUMMYFUNCTION("""COMPUTED_VALUE"""),16.0)</f>
        <v>16</v>
      </c>
      <c r="M3018" s="176">
        <f>IFERROR(__xludf.DUMMYFUNCTION("""COMPUTED_VALUE"""),59.0)</f>
        <v>59</v>
      </c>
      <c r="N3018" s="177" t="str">
        <f>IFERROR(__xludf.DUMMYFUNCTION("""COMPUTED_VALUE"""),"Model 3 Performance")</f>
        <v>Model 3 Performance</v>
      </c>
      <c r="O3018" s="177" t="str">
        <f>IFERROR(__xludf.DUMMYFUNCTION("""COMPUTED_VALUE"""),"Red Multi-Coat")</f>
        <v>Red Multi-Coat</v>
      </c>
      <c r="P3018" s="178" t="str">
        <f>IFERROR(__xludf.DUMMYFUNCTION("""COMPUTED_VALUE"""),"18 inch Aero")</f>
        <v>18 inch Aero</v>
      </c>
      <c r="Q3018" s="177" t="str">
        <f>IFERROR(__xludf.DUMMYFUNCTION("""COMPUTED_VALUE"""),"White seats")</f>
        <v>White seats</v>
      </c>
      <c r="R3018" s="170" t="str">
        <f>IFERROR(__xludf.DUMMYFUNCTION("""COMPUTED_VALUE"""),"None")</f>
        <v>None</v>
      </c>
      <c r="S3018" s="170"/>
      <c r="T3018" s="179"/>
      <c r="U3018" s="179"/>
      <c r="V3018" s="179"/>
      <c r="W3018" s="180"/>
      <c r="X3018" s="181" t="str">
        <f>IFERROR(__xludf.DUMMYFUNCTION("""COMPUTED_VALUE"""),"Very Good")</f>
        <v>Very Good</v>
      </c>
      <c r="Y3018" s="182" t="str">
        <f>IFERROR(__xludf.DUMMYFUNCTION("""COMPUTED_VALUE"""),"Excellent")</f>
        <v>Excellent</v>
      </c>
      <c r="Z3018" s="182" t="str">
        <f>IFERROR(__xludf.DUMMYFUNCTION("""COMPUTED_VALUE"""),"Poor")</f>
        <v>Poor</v>
      </c>
      <c r="AA3018" s="182" t="str">
        <f>IFERROR(__xludf.DUMMYFUNCTION("""COMPUTED_VALUE"""),"Very Good")</f>
        <v>Very Good</v>
      </c>
      <c r="AB3018" s="182" t="str">
        <f>IFERROR(__xludf.DUMMYFUNCTION("""COMPUTED_VALUE"""),"Good")</f>
        <v>Good</v>
      </c>
      <c r="AC3018" s="183">
        <f>IFERROR(__xludf.DUMMYFUNCTION("""COMPUTED_VALUE"""),12.0)</f>
        <v>12</v>
      </c>
      <c r="AD3018" s="183">
        <f>IFERROR(__xludf.DUMMYFUNCTION("""COMPUTED_VALUE"""),2.0)</f>
        <v>2</v>
      </c>
      <c r="AE3018" s="183">
        <f>IFERROR(__xludf.DUMMYFUNCTION("""COMPUTED_VALUE"""),30.0)</f>
        <v>30</v>
      </c>
      <c r="AF3018" s="184"/>
      <c r="AG3018" s="180" t="str">
        <f>IFERROR(__xludf.DUMMYFUNCTION("""COMPUTED_VALUE"""),"Car needed to be detailed, buffed, and Opti-Coated by private detailer at owner cost")</f>
        <v>Car needed to be detailed, buffed, and Opti-Coated by private detailer at owner cost</v>
      </c>
      <c r="AH3018" s="185">
        <f>IFERROR(__xludf.DUMMYFUNCTION("""COMPUTED_VALUE"""),43396.56949896991)</f>
        <v>43396.5695</v>
      </c>
      <c r="AI3018" s="182"/>
      <c r="AJ3018" s="182"/>
      <c r="AK3018" s="182"/>
      <c r="AL3018" s="182"/>
    </row>
    <row r="3019" ht="20.25" customHeight="1">
      <c r="A3019" s="169" t="str">
        <f>IFERROR(__xludf.DUMMYFUNCTION("""COMPUTED_VALUE"""),"amdizack")</f>
        <v>amdizack</v>
      </c>
      <c r="B3019" s="170" t="str">
        <f>IFERROR(__xludf.DUMMYFUNCTION("""COMPUTED_VALUE"""),"Milwaukee")</f>
        <v>Milwaukee</v>
      </c>
      <c r="C3019" s="170" t="str">
        <f>IFERROR(__xludf.DUMMYFUNCTION("""COMPUTED_VALUE"""),"WI")</f>
        <v>WI</v>
      </c>
      <c r="D3019" s="170" t="str">
        <f>IFERROR(__xludf.DUMMYFUNCTION("""COMPUTED_VALUE"""),"USA")</f>
        <v>USA</v>
      </c>
      <c r="E3019" s="171">
        <f>IFERROR(__xludf.DUMMYFUNCTION("""COMPUTED_VALUE"""),43278.0)</f>
        <v>43278</v>
      </c>
      <c r="F3019" s="172">
        <f>IFERROR(__xludf.DUMMYFUNCTION("""COMPUTED_VALUE"""),43367.0)</f>
        <v>43367</v>
      </c>
      <c r="G3019" s="173"/>
      <c r="H3019" s="174">
        <f>IFERROR(__xludf.DUMMYFUNCTION("""COMPUTED_VALUE"""),87555.0)</f>
        <v>87555</v>
      </c>
      <c r="I3019" s="175" t="str">
        <f>IFERROR(__xludf.DUMMYFUNCTION("""COMPUTED_VALUE"""),"09/18")</f>
        <v>09/18</v>
      </c>
      <c r="J3019" s="172">
        <f>IFERROR(__xludf.DUMMYFUNCTION("""COMPUTED_VALUE"""),43370.0)</f>
        <v>43370</v>
      </c>
      <c r="K3019" s="176">
        <f>IFERROR(__xludf.DUMMYFUNCTION("""COMPUTED_VALUE"""),89.0)</f>
        <v>89</v>
      </c>
      <c r="L3019" s="176">
        <f>IFERROR(__xludf.DUMMYFUNCTION("""COMPUTED_VALUE"""),3.0)</f>
        <v>3</v>
      </c>
      <c r="M3019" s="176">
        <f>IFERROR(__xludf.DUMMYFUNCTION("""COMPUTED_VALUE"""),92.0)</f>
        <v>92</v>
      </c>
      <c r="N3019" s="177" t="str">
        <f>IFERROR(__xludf.DUMMYFUNCTION("""COMPUTED_VALUE"""),"Model 3 LR AWD")</f>
        <v>Model 3 LR AWD</v>
      </c>
      <c r="O3019" s="177" t="str">
        <f>IFERROR(__xludf.DUMMYFUNCTION("""COMPUTED_VALUE"""),"Silver Metallic")</f>
        <v>Silver Metallic</v>
      </c>
      <c r="P3019" s="178" t="str">
        <f>IFERROR(__xludf.DUMMYFUNCTION("""COMPUTED_VALUE"""),"19 inch Sport")</f>
        <v>19 inch Sport</v>
      </c>
      <c r="Q3019" s="177" t="str">
        <f>IFERROR(__xludf.DUMMYFUNCTION("""COMPUTED_VALUE"""),"Black seats")</f>
        <v>Black seats</v>
      </c>
      <c r="R3019" s="170" t="str">
        <f>IFERROR(__xludf.DUMMYFUNCTION("""COMPUTED_VALUE"""),"Enhanced Autopilot")</f>
        <v>Enhanced Autopilot</v>
      </c>
      <c r="S3019" s="170"/>
      <c r="T3019" s="179"/>
      <c r="U3019" s="179"/>
      <c r="V3019" s="179"/>
      <c r="W3019" s="180"/>
      <c r="X3019" s="181" t="str">
        <f>IFERROR(__xludf.DUMMYFUNCTION("""COMPUTED_VALUE"""),"Excellent")</f>
        <v>Excellent</v>
      </c>
      <c r="Y3019" s="182" t="str">
        <f>IFERROR(__xludf.DUMMYFUNCTION("""COMPUTED_VALUE"""),"Excellent")</f>
        <v>Excellent</v>
      </c>
      <c r="Z3019" s="182" t="str">
        <f>IFERROR(__xludf.DUMMYFUNCTION("""COMPUTED_VALUE"""),"Excellent")</f>
        <v>Excellent</v>
      </c>
      <c r="AA3019" s="182" t="str">
        <f>IFERROR(__xludf.DUMMYFUNCTION("""COMPUTED_VALUE"""),"Good")</f>
        <v>Good</v>
      </c>
      <c r="AB3019" s="182" t="str">
        <f>IFERROR(__xludf.DUMMYFUNCTION("""COMPUTED_VALUE"""),"Very Good")</f>
        <v>Very Good</v>
      </c>
      <c r="AC3019" s="183">
        <f>IFERROR(__xludf.DUMMYFUNCTION("""COMPUTED_VALUE"""),0.0)</f>
        <v>0</v>
      </c>
      <c r="AD3019" s="183">
        <f>IFERROR(__xludf.DUMMYFUNCTION("""COMPUTED_VALUE"""),0.0)</f>
        <v>0</v>
      </c>
      <c r="AE3019" s="183">
        <f>IFERROR(__xludf.DUMMYFUNCTION("""COMPUTED_VALUE"""),0.0)</f>
        <v>0</v>
      </c>
      <c r="AF3019" s="184"/>
      <c r="AG3019" s="180"/>
      <c r="AH3019" s="185">
        <f>IFERROR(__xludf.DUMMYFUNCTION("""COMPUTED_VALUE"""),43372.29433523148)</f>
        <v>43372.29434</v>
      </c>
      <c r="AI3019" s="182"/>
      <c r="AJ3019" s="182"/>
      <c r="AK3019" s="182"/>
      <c r="AL3019" s="182"/>
    </row>
    <row r="3020" ht="20.25" customHeight="1">
      <c r="A3020" s="169" t="str">
        <f>IFERROR(__xludf.DUMMYFUNCTION("""COMPUTED_VALUE"""),"AMDPower")</f>
        <v>AMDPower</v>
      </c>
      <c r="B3020" s="170" t="str">
        <f>IFERROR(__xludf.DUMMYFUNCTION("""COMPUTED_VALUE"""),"Columbus")</f>
        <v>Columbus</v>
      </c>
      <c r="C3020" s="170" t="str">
        <f>IFERROR(__xludf.DUMMYFUNCTION("""COMPUTED_VALUE"""),"OH")</f>
        <v>OH</v>
      </c>
      <c r="D3020" s="170" t="str">
        <f>IFERROR(__xludf.DUMMYFUNCTION("""COMPUTED_VALUE"""),"USA")</f>
        <v>USA</v>
      </c>
      <c r="E3020" s="171">
        <f>IFERROR(__xludf.DUMMYFUNCTION("""COMPUTED_VALUE"""),43278.0)</f>
        <v>43278</v>
      </c>
      <c r="F3020" s="172">
        <f>IFERROR(__xludf.DUMMYFUNCTION("""COMPUTED_VALUE"""),43333.0)</f>
        <v>43333</v>
      </c>
      <c r="G3020" s="173"/>
      <c r="H3020" s="174">
        <f>IFERROR(__xludf.DUMMYFUNCTION("""COMPUTED_VALUE"""),99155.0)</f>
        <v>99155</v>
      </c>
      <c r="I3020" s="175"/>
      <c r="J3020" s="172">
        <f>IFERROR(__xludf.DUMMYFUNCTION("""COMPUTED_VALUE"""),43343.0)</f>
        <v>43343</v>
      </c>
      <c r="K3020" s="176">
        <f>IFERROR(__xludf.DUMMYFUNCTION("""COMPUTED_VALUE"""),55.0)</f>
        <v>55</v>
      </c>
      <c r="L3020" s="176">
        <f>IFERROR(__xludf.DUMMYFUNCTION("""COMPUTED_VALUE"""),10.0)</f>
        <v>10</v>
      </c>
      <c r="M3020" s="176">
        <f>IFERROR(__xludf.DUMMYFUNCTION("""COMPUTED_VALUE"""),65.0)</f>
        <v>65</v>
      </c>
      <c r="N3020" s="177" t="str">
        <f>IFERROR(__xludf.DUMMYFUNCTION("""COMPUTED_VALUE"""),"Model 3 LR AWD")</f>
        <v>Model 3 LR AWD</v>
      </c>
      <c r="O3020" s="177" t="str">
        <f>IFERROR(__xludf.DUMMYFUNCTION("""COMPUTED_VALUE"""),"Solid Black")</f>
        <v>Solid Black</v>
      </c>
      <c r="P3020" s="178" t="str">
        <f>IFERROR(__xludf.DUMMYFUNCTION("""COMPUTED_VALUE"""),"18 inch Aero")</f>
        <v>18 inch Aero</v>
      </c>
      <c r="Q3020" s="177" t="str">
        <f>IFERROR(__xludf.DUMMYFUNCTION("""COMPUTED_VALUE"""),"White seats")</f>
        <v>White seats</v>
      </c>
      <c r="R3020" s="170" t="str">
        <f>IFERROR(__xludf.DUMMYFUNCTION("""COMPUTED_VALUE"""),"None")</f>
        <v>None</v>
      </c>
      <c r="S3020" s="170"/>
      <c r="T3020" s="179"/>
      <c r="U3020" s="179"/>
      <c r="V3020" s="179"/>
      <c r="W3020" s="180"/>
      <c r="X3020" s="181" t="str">
        <f>IFERROR(__xludf.DUMMYFUNCTION("""COMPUTED_VALUE"""),"Excellent")</f>
        <v>Excellent</v>
      </c>
      <c r="Y3020" s="182" t="str">
        <f>IFERROR(__xludf.DUMMYFUNCTION("""COMPUTED_VALUE"""),"Excellent")</f>
        <v>Excellent</v>
      </c>
      <c r="Z3020" s="182" t="str">
        <f>IFERROR(__xludf.DUMMYFUNCTION("""COMPUTED_VALUE"""),"Good")</f>
        <v>Good</v>
      </c>
      <c r="AA3020" s="182" t="str">
        <f>IFERROR(__xludf.DUMMYFUNCTION("""COMPUTED_VALUE"""),"Excellent")</f>
        <v>Excellent</v>
      </c>
      <c r="AB3020" s="182" t="str">
        <f>IFERROR(__xludf.DUMMYFUNCTION("""COMPUTED_VALUE"""),"Excellent")</f>
        <v>Excellent</v>
      </c>
      <c r="AC3020" s="183">
        <f>IFERROR(__xludf.DUMMYFUNCTION("""COMPUTED_VALUE"""),2.0)</f>
        <v>2</v>
      </c>
      <c r="AD3020" s="183">
        <f>IFERROR(__xludf.DUMMYFUNCTION("""COMPUTED_VALUE"""),1.0)</f>
        <v>1</v>
      </c>
      <c r="AE3020" s="183">
        <f>IFERROR(__xludf.DUMMYFUNCTION("""COMPUTED_VALUE"""),10.0)</f>
        <v>10</v>
      </c>
      <c r="AF3020" s="184"/>
      <c r="AG3020" s="180"/>
      <c r="AH3020" s="185">
        <f>IFERROR(__xludf.DUMMYFUNCTION("""COMPUTED_VALUE"""),43368.28531516204)</f>
        <v>43368.28532</v>
      </c>
      <c r="AI3020" s="182"/>
      <c r="AJ3020" s="182"/>
      <c r="AK3020" s="182"/>
      <c r="AL3020" s="182"/>
    </row>
    <row r="3021" ht="20.25" customHeight="1">
      <c r="A3021" s="169" t="str">
        <f>IFERROR(__xludf.DUMMYFUNCTION("""COMPUTED_VALUE"""),"an.kof")</f>
        <v>an.kof</v>
      </c>
      <c r="B3021" s="170" t="str">
        <f>IFERROR(__xludf.DUMMYFUNCTION("""COMPUTED_VALUE"""),"Seattle")</f>
        <v>Seattle</v>
      </c>
      <c r="C3021" s="170" t="str">
        <f>IFERROR(__xludf.DUMMYFUNCTION("""COMPUTED_VALUE"""),"WA")</f>
        <v>WA</v>
      </c>
      <c r="D3021" s="170" t="str">
        <f>IFERROR(__xludf.DUMMYFUNCTION("""COMPUTED_VALUE"""),"USA")</f>
        <v>USA</v>
      </c>
      <c r="E3021" s="171">
        <f>IFERROR(__xludf.DUMMYFUNCTION("""COMPUTED_VALUE"""),43278.0)</f>
        <v>43278</v>
      </c>
      <c r="F3021" s="172">
        <f>IFERROR(__xludf.DUMMYFUNCTION("""COMPUTED_VALUE"""),43369.0)</f>
        <v>43369</v>
      </c>
      <c r="G3021" s="173"/>
      <c r="H3021" s="174">
        <f>IFERROR(__xludf.DUMMYFUNCTION("""COMPUTED_VALUE"""),93655.0)</f>
        <v>93655</v>
      </c>
      <c r="I3021" s="175"/>
      <c r="J3021" s="172">
        <f>IFERROR(__xludf.DUMMYFUNCTION("""COMPUTED_VALUE"""),43376.0)</f>
        <v>43376</v>
      </c>
      <c r="K3021" s="176">
        <f>IFERROR(__xludf.DUMMYFUNCTION("""COMPUTED_VALUE"""),91.0)</f>
        <v>91</v>
      </c>
      <c r="L3021" s="176">
        <f>IFERROR(__xludf.DUMMYFUNCTION("""COMPUTED_VALUE"""),7.0)</f>
        <v>7</v>
      </c>
      <c r="M3021" s="176">
        <f>IFERROR(__xludf.DUMMYFUNCTION("""COMPUTED_VALUE"""),98.0)</f>
        <v>98</v>
      </c>
      <c r="N3021" s="177" t="str">
        <f>IFERROR(__xludf.DUMMYFUNCTION("""COMPUTED_VALUE"""),"Model 3 LR AWD")</f>
        <v>Model 3 LR AWD</v>
      </c>
      <c r="O3021" s="177" t="str">
        <f>IFERROR(__xludf.DUMMYFUNCTION("""COMPUTED_VALUE"""),"Deep Blue Metallic")</f>
        <v>Deep Blue Metallic</v>
      </c>
      <c r="P3021" s="178" t="str">
        <f>IFERROR(__xludf.DUMMYFUNCTION("""COMPUTED_VALUE"""),"18 inch Aero")</f>
        <v>18 inch Aero</v>
      </c>
      <c r="Q3021" s="177" t="str">
        <f>IFERROR(__xludf.DUMMYFUNCTION("""COMPUTED_VALUE"""),"Black seats")</f>
        <v>Black seats</v>
      </c>
      <c r="R3021" s="170" t="str">
        <f>IFERROR(__xludf.DUMMYFUNCTION("""COMPUTED_VALUE"""),"Enhanced Autopilot")</f>
        <v>Enhanced Autopilot</v>
      </c>
      <c r="S3021" s="170"/>
      <c r="T3021" s="179"/>
      <c r="U3021" s="179"/>
      <c r="V3021" s="179"/>
      <c r="W3021" s="180"/>
      <c r="X3021" s="181" t="str">
        <f>IFERROR(__xludf.DUMMYFUNCTION("""COMPUTED_VALUE"""),"Excellent")</f>
        <v>Excellent</v>
      </c>
      <c r="Y3021" s="182" t="str">
        <f>IFERROR(__xludf.DUMMYFUNCTION("""COMPUTED_VALUE"""),"Very Good")</f>
        <v>Very Good</v>
      </c>
      <c r="Z3021" s="182" t="str">
        <f>IFERROR(__xludf.DUMMYFUNCTION("""COMPUTED_VALUE"""),"Excellent")</f>
        <v>Excellent</v>
      </c>
      <c r="AA3021" s="182" t="str">
        <f>IFERROR(__xludf.DUMMYFUNCTION("""COMPUTED_VALUE"""),"Very Good")</f>
        <v>Very Good</v>
      </c>
      <c r="AB3021" s="182" t="str">
        <f>IFERROR(__xludf.DUMMYFUNCTION("""COMPUTED_VALUE"""),"Excellent")</f>
        <v>Excellent</v>
      </c>
      <c r="AC3021" s="183">
        <f>IFERROR(__xludf.DUMMYFUNCTION("""COMPUTED_VALUE"""),0.0)</f>
        <v>0</v>
      </c>
      <c r="AD3021" s="183">
        <f>IFERROR(__xludf.DUMMYFUNCTION("""COMPUTED_VALUE"""),0.0)</f>
        <v>0</v>
      </c>
      <c r="AE3021" s="183">
        <f>IFERROR(__xludf.DUMMYFUNCTION("""COMPUTED_VALUE"""),0.0)</f>
        <v>0</v>
      </c>
      <c r="AF3021" s="184"/>
      <c r="AG3021" s="180"/>
      <c r="AH3021" s="185">
        <f>IFERROR(__xludf.DUMMYFUNCTION("""COMPUTED_VALUE"""),43384.53897207176)</f>
        <v>43384.53897</v>
      </c>
      <c r="AI3021" s="182"/>
      <c r="AJ3021" s="182"/>
      <c r="AK3021" s="182"/>
      <c r="AL3021" s="182"/>
    </row>
    <row r="3022" ht="20.25" customHeight="1">
      <c r="A3022" s="169" t="str">
        <f>IFERROR(__xludf.DUMMYFUNCTION("""COMPUTED_VALUE"""),"Andrew Sinclair")</f>
        <v>Andrew Sinclair</v>
      </c>
      <c r="B3022" s="170" t="str">
        <f>IFERROR(__xludf.DUMMYFUNCTION("""COMPUTED_VALUE"""),"Cambridge")</f>
        <v>Cambridge</v>
      </c>
      <c r="C3022" s="170" t="str">
        <f>IFERROR(__xludf.DUMMYFUNCTION("""COMPUTED_VALUE"""),"MA")</f>
        <v>MA</v>
      </c>
      <c r="D3022" s="170" t="str">
        <f>IFERROR(__xludf.DUMMYFUNCTION("""COMPUTED_VALUE"""),"USA")</f>
        <v>USA</v>
      </c>
      <c r="E3022" s="171">
        <f>IFERROR(__xludf.DUMMYFUNCTION("""COMPUTED_VALUE"""),43278.0)</f>
        <v>43278</v>
      </c>
      <c r="F3022" s="172">
        <f>IFERROR(__xludf.DUMMYFUNCTION("""COMPUTED_VALUE"""),43326.0)</f>
        <v>43326</v>
      </c>
      <c r="G3022" s="173"/>
      <c r="H3022" s="174">
        <f>IFERROR(__xludf.DUMMYFUNCTION("""COMPUTED_VALUE"""),68155.0)</f>
        <v>68155</v>
      </c>
      <c r="I3022" s="175" t="str">
        <f>IFERROR(__xludf.DUMMYFUNCTION("""COMPUTED_VALUE"""),"08/18")</f>
        <v>08/18</v>
      </c>
      <c r="J3022" s="172">
        <f>IFERROR(__xludf.DUMMYFUNCTION("""COMPUTED_VALUE"""),43343.0)</f>
        <v>43343</v>
      </c>
      <c r="K3022" s="176">
        <f>IFERROR(__xludf.DUMMYFUNCTION("""COMPUTED_VALUE"""),48.0)</f>
        <v>48</v>
      </c>
      <c r="L3022" s="176">
        <f>IFERROR(__xludf.DUMMYFUNCTION("""COMPUTED_VALUE"""),17.0)</f>
        <v>17</v>
      </c>
      <c r="M3022" s="176">
        <f>IFERROR(__xludf.DUMMYFUNCTION("""COMPUTED_VALUE"""),65.0)</f>
        <v>65</v>
      </c>
      <c r="N3022" s="177" t="str">
        <f>IFERROR(__xludf.DUMMYFUNCTION("""COMPUTED_VALUE"""),"Model 3 LR AWD")</f>
        <v>Model 3 LR AWD</v>
      </c>
      <c r="O3022" s="177" t="str">
        <f>IFERROR(__xludf.DUMMYFUNCTION("""COMPUTED_VALUE"""),"Solid Black")</f>
        <v>Solid Black</v>
      </c>
      <c r="P3022" s="178" t="str">
        <f>IFERROR(__xludf.DUMMYFUNCTION("""COMPUTED_VALUE"""),"18 inch Aero")</f>
        <v>18 inch Aero</v>
      </c>
      <c r="Q3022" s="177" t="str">
        <f>IFERROR(__xludf.DUMMYFUNCTION("""COMPUTED_VALUE"""),"Black seats")</f>
        <v>Black seats</v>
      </c>
      <c r="R3022" s="170" t="str">
        <f>IFERROR(__xludf.DUMMYFUNCTION("""COMPUTED_VALUE"""),"Enhanced Autopilot")</f>
        <v>Enhanced Autopilot</v>
      </c>
      <c r="S3022" s="170"/>
      <c r="T3022" s="179"/>
      <c r="U3022" s="179"/>
      <c r="V3022" s="179"/>
      <c r="W3022" s="180"/>
      <c r="X3022" s="181" t="str">
        <f>IFERROR(__xludf.DUMMYFUNCTION("""COMPUTED_VALUE"""),"Very Good")</f>
        <v>Very Good</v>
      </c>
      <c r="Y3022" s="182" t="str">
        <f>IFERROR(__xludf.DUMMYFUNCTION("""COMPUTED_VALUE"""),"Good")</f>
        <v>Good</v>
      </c>
      <c r="Z3022" s="182" t="str">
        <f>IFERROR(__xludf.DUMMYFUNCTION("""COMPUTED_VALUE"""),"Good")</f>
        <v>Good</v>
      </c>
      <c r="AA3022" s="182" t="str">
        <f>IFERROR(__xludf.DUMMYFUNCTION("""COMPUTED_VALUE"""),"Good")</f>
        <v>Good</v>
      </c>
      <c r="AB3022" s="182" t="str">
        <f>IFERROR(__xludf.DUMMYFUNCTION("""COMPUTED_VALUE"""),"Excellent")</f>
        <v>Excellent</v>
      </c>
      <c r="AC3022" s="183"/>
      <c r="AD3022" s="183"/>
      <c r="AE3022" s="183"/>
      <c r="AF3022" s="184"/>
      <c r="AG3022" s="180"/>
      <c r="AH3022" s="185">
        <f>IFERROR(__xludf.DUMMYFUNCTION("""COMPUTED_VALUE"""),43353.44558303241)</f>
        <v>43353.44558</v>
      </c>
      <c r="AI3022" s="182"/>
      <c r="AJ3022" s="182"/>
      <c r="AK3022" s="182"/>
      <c r="AL3022" s="182"/>
    </row>
    <row r="3023" ht="20.25" customHeight="1">
      <c r="A3023" s="169" t="str">
        <f>IFERROR(__xludf.DUMMYFUNCTION("""COMPUTED_VALUE"""),"Aquatilis")</f>
        <v>Aquatilis</v>
      </c>
      <c r="B3023" s="170"/>
      <c r="C3023" s="170" t="str">
        <f>IFERROR(__xludf.DUMMYFUNCTION("""COMPUTED_VALUE"""),"MT")</f>
        <v>MT</v>
      </c>
      <c r="D3023" s="170" t="str">
        <f>IFERROR(__xludf.DUMMYFUNCTION("""COMPUTED_VALUE"""),"USA")</f>
        <v>USA</v>
      </c>
      <c r="E3023" s="171">
        <f>IFERROR(__xludf.DUMMYFUNCTION("""COMPUTED_VALUE"""),43278.0)</f>
        <v>43278</v>
      </c>
      <c r="F3023" s="172">
        <f>IFERROR(__xludf.DUMMYFUNCTION("""COMPUTED_VALUE"""),43357.0)</f>
        <v>43357</v>
      </c>
      <c r="G3023" s="173"/>
      <c r="H3023" s="174">
        <f>IFERROR(__xludf.DUMMYFUNCTION("""COMPUTED_VALUE"""),84055.0)</f>
        <v>84055</v>
      </c>
      <c r="I3023" s="175"/>
      <c r="J3023" s="172">
        <f>IFERROR(__xludf.DUMMYFUNCTION("""COMPUTED_VALUE"""),43369.0)</f>
        <v>43369</v>
      </c>
      <c r="K3023" s="176">
        <f>IFERROR(__xludf.DUMMYFUNCTION("""COMPUTED_VALUE"""),79.0)</f>
        <v>79</v>
      </c>
      <c r="L3023" s="176">
        <f>IFERROR(__xludf.DUMMYFUNCTION("""COMPUTED_VALUE"""),12.0)</f>
        <v>12</v>
      </c>
      <c r="M3023" s="176">
        <f>IFERROR(__xludf.DUMMYFUNCTION("""COMPUTED_VALUE"""),91.0)</f>
        <v>91</v>
      </c>
      <c r="N3023" s="177" t="str">
        <f>IFERROR(__xludf.DUMMYFUNCTION("""COMPUTED_VALUE"""),"Model 3 Performance")</f>
        <v>Model 3 Performance</v>
      </c>
      <c r="O3023" s="177" t="str">
        <f>IFERROR(__xludf.DUMMYFUNCTION("""COMPUTED_VALUE"""),"Deep Blue Metallic")</f>
        <v>Deep Blue Metallic</v>
      </c>
      <c r="P3023" s="178" t="str">
        <f>IFERROR(__xludf.DUMMYFUNCTION("""COMPUTED_VALUE"""),"20 inch Sport")</f>
        <v>20 inch Sport</v>
      </c>
      <c r="Q3023" s="177" t="str">
        <f>IFERROR(__xludf.DUMMYFUNCTION("""COMPUTED_VALUE"""),"Black seats")</f>
        <v>Black seats</v>
      </c>
      <c r="R3023" s="170" t="str">
        <f>IFERROR(__xludf.DUMMYFUNCTION("""COMPUTED_VALUE"""),"None")</f>
        <v>None</v>
      </c>
      <c r="S3023" s="170"/>
      <c r="T3023" s="179"/>
      <c r="U3023" s="179"/>
      <c r="V3023" s="179"/>
      <c r="W3023" s="180"/>
      <c r="X3023" s="181" t="str">
        <f>IFERROR(__xludf.DUMMYFUNCTION("""COMPUTED_VALUE"""),"Very Good")</f>
        <v>Very Good</v>
      </c>
      <c r="Y3023" s="182" t="str">
        <f>IFERROR(__xludf.DUMMYFUNCTION("""COMPUTED_VALUE"""),"Very Good")</f>
        <v>Very Good</v>
      </c>
      <c r="Z3023" s="182" t="str">
        <f>IFERROR(__xludf.DUMMYFUNCTION("""COMPUTED_VALUE"""),"Very Good")</f>
        <v>Very Good</v>
      </c>
      <c r="AA3023" s="182" t="str">
        <f>IFERROR(__xludf.DUMMYFUNCTION("""COMPUTED_VALUE"""),"Good")</f>
        <v>Good</v>
      </c>
      <c r="AB3023" s="182" t="str">
        <f>IFERROR(__xludf.DUMMYFUNCTION("""COMPUTED_VALUE"""),"Good")</f>
        <v>Good</v>
      </c>
      <c r="AC3023" s="183"/>
      <c r="AD3023" s="183"/>
      <c r="AE3023" s="183"/>
      <c r="AF3023" s="184"/>
      <c r="AG3023" s="180"/>
      <c r="AH3023" s="185">
        <f>IFERROR(__xludf.DUMMYFUNCTION("""COMPUTED_VALUE"""),43369.638173356485)</f>
        <v>43369.63817</v>
      </c>
      <c r="AI3023" s="182"/>
      <c r="AJ3023" s="182"/>
      <c r="AK3023" s="182"/>
      <c r="AL3023" s="182"/>
    </row>
    <row r="3024" ht="20.25" customHeight="1">
      <c r="A3024" s="169" t="str">
        <f>IFERROR(__xludf.DUMMYFUNCTION("""COMPUTED_VALUE"""),"Araex")</f>
        <v>Araex</v>
      </c>
      <c r="B3024" s="170" t="str">
        <f>IFERROR(__xludf.DUMMYFUNCTION("""COMPUTED_VALUE"""),"Irvine")</f>
        <v>Irvine</v>
      </c>
      <c r="C3024" s="170" t="str">
        <f>IFERROR(__xludf.DUMMYFUNCTION("""COMPUTED_VALUE"""),"CA")</f>
        <v>CA</v>
      </c>
      <c r="D3024" s="170" t="str">
        <f>IFERROR(__xludf.DUMMYFUNCTION("""COMPUTED_VALUE"""),"USA")</f>
        <v>USA</v>
      </c>
      <c r="E3024" s="171">
        <f>IFERROR(__xludf.DUMMYFUNCTION("""COMPUTED_VALUE"""),43278.0)</f>
        <v>43278</v>
      </c>
      <c r="F3024" s="172">
        <f>IFERROR(__xludf.DUMMYFUNCTION("""COMPUTED_VALUE"""),43297.0)</f>
        <v>43297</v>
      </c>
      <c r="G3024" s="173"/>
      <c r="H3024" s="174">
        <f>IFERROR(__xludf.DUMMYFUNCTION("""COMPUTED_VALUE"""),58655.0)</f>
        <v>58655</v>
      </c>
      <c r="I3024" s="175" t="str">
        <f>IFERROR(__xludf.DUMMYFUNCTION("""COMPUTED_VALUE"""),"07/18")</f>
        <v>07/18</v>
      </c>
      <c r="J3024" s="172">
        <f>IFERROR(__xludf.DUMMYFUNCTION("""COMPUTED_VALUE"""),43305.0)</f>
        <v>43305</v>
      </c>
      <c r="K3024" s="176">
        <f>IFERROR(__xludf.DUMMYFUNCTION("""COMPUTED_VALUE"""),19.0)</f>
        <v>19</v>
      </c>
      <c r="L3024" s="176">
        <f>IFERROR(__xludf.DUMMYFUNCTION("""COMPUTED_VALUE"""),8.0)</f>
        <v>8</v>
      </c>
      <c r="M3024" s="176">
        <f>IFERROR(__xludf.DUMMYFUNCTION("""COMPUTED_VALUE"""),27.0)</f>
        <v>27</v>
      </c>
      <c r="N3024" s="177" t="str">
        <f>IFERROR(__xludf.DUMMYFUNCTION("""COMPUTED_VALUE"""),"Model 3 LR")</f>
        <v>Model 3 LR</v>
      </c>
      <c r="O3024" s="177" t="str">
        <f>IFERROR(__xludf.DUMMYFUNCTION("""COMPUTED_VALUE"""),"Pearl White Multi-Coat")</f>
        <v>Pearl White Multi-Coat</v>
      </c>
      <c r="P3024" s="178" t="str">
        <f>IFERROR(__xludf.DUMMYFUNCTION("""COMPUTED_VALUE"""),"18 inch Aero")</f>
        <v>18 inch Aero</v>
      </c>
      <c r="Q3024" s="177" t="str">
        <f>IFERROR(__xludf.DUMMYFUNCTION("""COMPUTED_VALUE"""),"Black seats")</f>
        <v>Black seats</v>
      </c>
      <c r="R3024" s="170" t="str">
        <f>IFERROR(__xludf.DUMMYFUNCTION("""COMPUTED_VALUE"""),"None")</f>
        <v>None</v>
      </c>
      <c r="S3024" s="170"/>
      <c r="T3024" s="179"/>
      <c r="U3024" s="179"/>
      <c r="V3024" s="179"/>
      <c r="W3024" s="180"/>
      <c r="X3024" s="181" t="str">
        <f>IFERROR(__xludf.DUMMYFUNCTION("""COMPUTED_VALUE"""),"Poor")</f>
        <v>Poor</v>
      </c>
      <c r="Y3024" s="182" t="str">
        <f>IFERROR(__xludf.DUMMYFUNCTION("""COMPUTED_VALUE"""),"Fair")</f>
        <v>Fair</v>
      </c>
      <c r="Z3024" s="182" t="str">
        <f>IFERROR(__xludf.DUMMYFUNCTION("""COMPUTED_VALUE"""),"Fair")</f>
        <v>Fair</v>
      </c>
      <c r="AA3024" s="182" t="str">
        <f>IFERROR(__xludf.DUMMYFUNCTION("""COMPUTED_VALUE"""),"Poor")</f>
        <v>Poor</v>
      </c>
      <c r="AB3024" s="182" t="str">
        <f>IFERROR(__xludf.DUMMYFUNCTION("""COMPUTED_VALUE"""),"Fair")</f>
        <v>Fair</v>
      </c>
      <c r="AC3024" s="183">
        <f>IFERROR(__xludf.DUMMYFUNCTION("""COMPUTED_VALUE"""),5.0)</f>
        <v>5</v>
      </c>
      <c r="AD3024" s="183">
        <f>IFERROR(__xludf.DUMMYFUNCTION("""COMPUTED_VALUE"""),1.0)</f>
        <v>1</v>
      </c>
      <c r="AE3024" s="183"/>
      <c r="AF3024" s="184"/>
      <c r="AG3024" s="180"/>
      <c r="AH3024" s="185">
        <f>IFERROR(__xludf.DUMMYFUNCTION("""COMPUTED_VALUE"""),43313.54882872685)</f>
        <v>43313.54883</v>
      </c>
      <c r="AI3024" s="182"/>
      <c r="AJ3024" s="182"/>
      <c r="AK3024" s="182"/>
      <c r="AL3024" s="182"/>
    </row>
    <row r="3025" ht="20.25" customHeight="1">
      <c r="A3025" s="169" t="str">
        <f>IFERROR(__xludf.DUMMYFUNCTION("""COMPUTED_VALUE"""),"back51")</f>
        <v>back51</v>
      </c>
      <c r="B3025" s="170" t="str">
        <f>IFERROR(__xludf.DUMMYFUNCTION("""COMPUTED_VALUE"""),"Columbus")</f>
        <v>Columbus</v>
      </c>
      <c r="C3025" s="170" t="str">
        <f>IFERROR(__xludf.DUMMYFUNCTION("""COMPUTED_VALUE"""),"OH")</f>
        <v>OH</v>
      </c>
      <c r="D3025" s="170" t="str">
        <f>IFERROR(__xludf.DUMMYFUNCTION("""COMPUTED_VALUE"""),"USA")</f>
        <v>USA</v>
      </c>
      <c r="E3025" s="171">
        <f>IFERROR(__xludf.DUMMYFUNCTION("""COMPUTED_VALUE"""),43278.0)</f>
        <v>43278</v>
      </c>
      <c r="F3025" s="172">
        <f>IFERROR(__xludf.DUMMYFUNCTION("""COMPUTED_VALUE"""),43328.0)</f>
        <v>43328</v>
      </c>
      <c r="G3025" s="173"/>
      <c r="H3025" s="174">
        <f>IFERROR(__xludf.DUMMYFUNCTION("""COMPUTED_VALUE"""),54555.0)</f>
        <v>54555</v>
      </c>
      <c r="I3025" s="175" t="str">
        <f>IFERROR(__xludf.DUMMYFUNCTION("""COMPUTED_VALUE"""),"07/18")</f>
        <v>07/18</v>
      </c>
      <c r="J3025" s="172">
        <f>IFERROR(__xludf.DUMMYFUNCTION("""COMPUTED_VALUE"""),43339.0)</f>
        <v>43339</v>
      </c>
      <c r="K3025" s="176">
        <f>IFERROR(__xludf.DUMMYFUNCTION("""COMPUTED_VALUE"""),50.0)</f>
        <v>50</v>
      </c>
      <c r="L3025" s="176">
        <f>IFERROR(__xludf.DUMMYFUNCTION("""COMPUTED_VALUE"""),11.0)</f>
        <v>11</v>
      </c>
      <c r="M3025" s="176">
        <f>IFERROR(__xludf.DUMMYFUNCTION("""COMPUTED_VALUE"""),61.0)</f>
        <v>61</v>
      </c>
      <c r="N3025" s="177" t="str">
        <f>IFERROR(__xludf.DUMMYFUNCTION("""COMPUTED_VALUE"""),"Model 3 LR AWD")</f>
        <v>Model 3 LR AWD</v>
      </c>
      <c r="O3025" s="177" t="str">
        <f>IFERROR(__xludf.DUMMYFUNCTION("""COMPUTED_VALUE"""),"Pearl White Multi-Coat")</f>
        <v>Pearl White Multi-Coat</v>
      </c>
      <c r="P3025" s="178" t="str">
        <f>IFERROR(__xludf.DUMMYFUNCTION("""COMPUTED_VALUE"""),"18 inch Aero")</f>
        <v>18 inch Aero</v>
      </c>
      <c r="Q3025" s="177" t="str">
        <f>IFERROR(__xludf.DUMMYFUNCTION("""COMPUTED_VALUE"""),"Black seats")</f>
        <v>Black seats</v>
      </c>
      <c r="R3025" s="170" t="str">
        <f>IFERROR(__xludf.DUMMYFUNCTION("""COMPUTED_VALUE"""),"Enhanced Autopilot")</f>
        <v>Enhanced Autopilot</v>
      </c>
      <c r="S3025" s="170"/>
      <c r="T3025" s="179"/>
      <c r="U3025" s="179"/>
      <c r="V3025" s="179"/>
      <c r="W3025" s="180"/>
      <c r="X3025" s="181" t="str">
        <f>IFERROR(__xludf.DUMMYFUNCTION("""COMPUTED_VALUE"""),"Excellent")</f>
        <v>Excellent</v>
      </c>
      <c r="Y3025" s="182" t="str">
        <f>IFERROR(__xludf.DUMMYFUNCTION("""COMPUTED_VALUE"""),"Excellent")</f>
        <v>Excellent</v>
      </c>
      <c r="Z3025" s="182" t="str">
        <f>IFERROR(__xludf.DUMMYFUNCTION("""COMPUTED_VALUE"""),"Very Good")</f>
        <v>Very Good</v>
      </c>
      <c r="AA3025" s="182" t="str">
        <f>IFERROR(__xludf.DUMMYFUNCTION("""COMPUTED_VALUE"""),"Excellent")</f>
        <v>Excellent</v>
      </c>
      <c r="AB3025" s="182" t="str">
        <f>IFERROR(__xludf.DUMMYFUNCTION("""COMPUTED_VALUE"""),"Very Good")</f>
        <v>Very Good</v>
      </c>
      <c r="AC3025" s="183">
        <f>IFERROR(__xludf.DUMMYFUNCTION("""COMPUTED_VALUE"""),3.0)</f>
        <v>3</v>
      </c>
      <c r="AD3025" s="183">
        <f>IFERROR(__xludf.DUMMYFUNCTION("""COMPUTED_VALUE"""),0.0)</f>
        <v>0</v>
      </c>
      <c r="AE3025" s="183">
        <f>IFERROR(__xludf.DUMMYFUNCTION("""COMPUTED_VALUE"""),0.0)</f>
        <v>0</v>
      </c>
      <c r="AF3025" s="184"/>
      <c r="AG3025" s="180" t="str">
        <f>IFERROR(__xludf.DUMMYFUNCTION("""COMPUTED_VALUE"""),"Service Center visit was because they forgot to provide phone cords.  Other than that, no problems to bring car back to service center")</f>
        <v>Service Center visit was because they forgot to provide phone cords.  Other than that, no problems to bring car back to service center</v>
      </c>
      <c r="AH3025" s="185">
        <f>IFERROR(__xludf.DUMMYFUNCTION("""COMPUTED_VALUE"""),43349.773133229166)</f>
        <v>43349.77313</v>
      </c>
      <c r="AI3025" s="182"/>
      <c r="AJ3025" s="182"/>
      <c r="AK3025" s="182"/>
      <c r="AL3025" s="182"/>
    </row>
    <row r="3026" ht="20.25" customHeight="1">
      <c r="A3026" s="169" t="str">
        <f>IFERROR(__xludf.DUMMYFUNCTION("""COMPUTED_VALUE"""),"Ballantyne")</f>
        <v>Ballantyne</v>
      </c>
      <c r="B3026" s="170" t="str">
        <f>IFERROR(__xludf.DUMMYFUNCTION("""COMPUTED_VALUE"""),"Littleton")</f>
        <v>Littleton</v>
      </c>
      <c r="C3026" s="170" t="str">
        <f>IFERROR(__xludf.DUMMYFUNCTION("""COMPUTED_VALUE"""),"CO")</f>
        <v>CO</v>
      </c>
      <c r="D3026" s="170" t="str">
        <f>IFERROR(__xludf.DUMMYFUNCTION("""COMPUTED_VALUE"""),"USA")</f>
        <v>USA</v>
      </c>
      <c r="E3026" s="171">
        <f>IFERROR(__xludf.DUMMYFUNCTION("""COMPUTED_VALUE"""),43278.0)</f>
        <v>43278</v>
      </c>
      <c r="F3026" s="172">
        <f>IFERROR(__xludf.DUMMYFUNCTION("""COMPUTED_VALUE"""),43283.0)</f>
        <v>43283</v>
      </c>
      <c r="G3026" s="173"/>
      <c r="H3026" s="174">
        <f>IFERROR(__xludf.DUMMYFUNCTION("""COMPUTED_VALUE"""),41955.0)</f>
        <v>41955</v>
      </c>
      <c r="I3026" s="175" t="str">
        <f>IFERROR(__xludf.DUMMYFUNCTION("""COMPUTED_VALUE"""),"06/18")</f>
        <v>06/18</v>
      </c>
      <c r="J3026" s="172">
        <f>IFERROR(__xludf.DUMMYFUNCTION("""COMPUTED_VALUE"""),43291.0)</f>
        <v>43291</v>
      </c>
      <c r="K3026" s="176">
        <f>IFERROR(__xludf.DUMMYFUNCTION("""COMPUTED_VALUE"""),5.0)</f>
        <v>5</v>
      </c>
      <c r="L3026" s="176">
        <f>IFERROR(__xludf.DUMMYFUNCTION("""COMPUTED_VALUE"""),8.0)</f>
        <v>8</v>
      </c>
      <c r="M3026" s="176">
        <f>IFERROR(__xludf.DUMMYFUNCTION("""COMPUTED_VALUE"""),13.0)</f>
        <v>13</v>
      </c>
      <c r="N3026" s="177" t="str">
        <f>IFERROR(__xludf.DUMMYFUNCTION("""COMPUTED_VALUE"""),"Model 3 LR")</f>
        <v>Model 3 LR</v>
      </c>
      <c r="O3026" s="177" t="str">
        <f>IFERROR(__xludf.DUMMYFUNCTION("""COMPUTED_VALUE"""),"Deep Blue Metallic")</f>
        <v>Deep Blue Metallic</v>
      </c>
      <c r="P3026" s="178" t="str">
        <f>IFERROR(__xludf.DUMMYFUNCTION("""COMPUTED_VALUE"""),"18 inch Aero")</f>
        <v>18 inch Aero</v>
      </c>
      <c r="Q3026" s="177" t="str">
        <f>IFERROR(__xludf.DUMMYFUNCTION("""COMPUTED_VALUE"""),"Black seats")</f>
        <v>Black seats</v>
      </c>
      <c r="R3026" s="170" t="str">
        <f>IFERROR(__xludf.DUMMYFUNCTION("""COMPUTED_VALUE"""),"Enhanced Autopilot")</f>
        <v>Enhanced Autopilot</v>
      </c>
      <c r="S3026" s="170"/>
      <c r="T3026" s="179"/>
      <c r="U3026" s="179"/>
      <c r="V3026" s="179"/>
      <c r="W3026" s="180"/>
      <c r="X3026" s="181" t="str">
        <f>IFERROR(__xludf.DUMMYFUNCTION("""COMPUTED_VALUE"""),"Excellent")</f>
        <v>Excellent</v>
      </c>
      <c r="Y3026" s="182" t="str">
        <f>IFERROR(__xludf.DUMMYFUNCTION("""COMPUTED_VALUE"""),"Excellent")</f>
        <v>Excellent</v>
      </c>
      <c r="Z3026" s="182" t="str">
        <f>IFERROR(__xludf.DUMMYFUNCTION("""COMPUTED_VALUE"""),"Good")</f>
        <v>Good</v>
      </c>
      <c r="AA3026" s="182" t="str">
        <f>IFERROR(__xludf.DUMMYFUNCTION("""COMPUTED_VALUE"""),"Good")</f>
        <v>Good</v>
      </c>
      <c r="AB3026" s="182" t="str">
        <f>IFERROR(__xludf.DUMMYFUNCTION("""COMPUTED_VALUE"""),"Very Good")</f>
        <v>Very Good</v>
      </c>
      <c r="AC3026" s="183">
        <f>IFERROR(__xludf.DUMMYFUNCTION("""COMPUTED_VALUE"""),3.0)</f>
        <v>3</v>
      </c>
      <c r="AD3026" s="183">
        <f>IFERROR(__xludf.DUMMYFUNCTION("""COMPUTED_VALUE"""),1.0)</f>
        <v>1</v>
      </c>
      <c r="AE3026" s="183">
        <f>IFERROR(__xludf.DUMMYFUNCTION("""COMPUTED_VALUE"""),0.0)</f>
        <v>0</v>
      </c>
      <c r="AF3026" s="184"/>
      <c r="AG3026" s="180"/>
      <c r="AH3026" s="185">
        <f>IFERROR(__xludf.DUMMYFUNCTION("""COMPUTED_VALUE"""),43293.27122841435)</f>
        <v>43293.27123</v>
      </c>
      <c r="AI3026" s="182"/>
      <c r="AJ3026" s="182"/>
      <c r="AK3026" s="182"/>
      <c r="AL3026" s="182"/>
    </row>
    <row r="3027" ht="20.25" customHeight="1">
      <c r="A3027" s="169" t="str">
        <f>IFERROR(__xludf.DUMMYFUNCTION("""COMPUTED_VALUE"""),"Beaker")</f>
        <v>Beaker</v>
      </c>
      <c r="B3027" s="170" t="str">
        <f>IFERROR(__xludf.DUMMYFUNCTION("""COMPUTED_VALUE"""),"Seattle")</f>
        <v>Seattle</v>
      </c>
      <c r="C3027" s="170" t="str">
        <f>IFERROR(__xludf.DUMMYFUNCTION("""COMPUTED_VALUE"""),"WA")</f>
        <v>WA</v>
      </c>
      <c r="D3027" s="170" t="str">
        <f>IFERROR(__xludf.DUMMYFUNCTION("""COMPUTED_VALUE"""),"USA")</f>
        <v>USA</v>
      </c>
      <c r="E3027" s="171">
        <f>IFERROR(__xludf.DUMMYFUNCTION("""COMPUTED_VALUE"""),43278.0)</f>
        <v>43278</v>
      </c>
      <c r="F3027" s="172">
        <f>IFERROR(__xludf.DUMMYFUNCTION("""COMPUTED_VALUE"""),43383.0)</f>
        <v>43383</v>
      </c>
      <c r="G3027" s="173"/>
      <c r="H3027" s="174">
        <f>IFERROR(__xludf.DUMMYFUNCTION("""COMPUTED_VALUE"""),87255.0)</f>
        <v>87255</v>
      </c>
      <c r="I3027" s="175"/>
      <c r="J3027" s="172">
        <f>IFERROR(__xludf.DUMMYFUNCTION("""COMPUTED_VALUE"""),43385.0)</f>
        <v>43385</v>
      </c>
      <c r="K3027" s="176">
        <f>IFERROR(__xludf.DUMMYFUNCTION("""COMPUTED_VALUE"""),105.0)</f>
        <v>105</v>
      </c>
      <c r="L3027" s="176">
        <f>IFERROR(__xludf.DUMMYFUNCTION("""COMPUTED_VALUE"""),2.0)</f>
        <v>2</v>
      </c>
      <c r="M3027" s="176">
        <f>IFERROR(__xludf.DUMMYFUNCTION("""COMPUTED_VALUE"""),107.0)</f>
        <v>107</v>
      </c>
      <c r="N3027" s="177" t="str">
        <f>IFERROR(__xludf.DUMMYFUNCTION("""COMPUTED_VALUE"""),"Model 3 LR AWD")</f>
        <v>Model 3 LR AWD</v>
      </c>
      <c r="O3027" s="177" t="str">
        <f>IFERROR(__xludf.DUMMYFUNCTION("""COMPUTED_VALUE"""),"Midnight Silver Metallic")</f>
        <v>Midnight Silver Metallic</v>
      </c>
      <c r="P3027" s="178" t="str">
        <f>IFERROR(__xludf.DUMMYFUNCTION("""COMPUTED_VALUE"""),"19 inch Sport")</f>
        <v>19 inch Sport</v>
      </c>
      <c r="Q3027" s="177" t="str">
        <f>IFERROR(__xludf.DUMMYFUNCTION("""COMPUTED_VALUE"""),"Black seats")</f>
        <v>Black seats</v>
      </c>
      <c r="R3027" s="170" t="str">
        <f>IFERROR(__xludf.DUMMYFUNCTION("""COMPUTED_VALUE"""),"None")</f>
        <v>None</v>
      </c>
      <c r="S3027" s="170"/>
      <c r="T3027" s="179"/>
      <c r="U3027" s="179"/>
      <c r="V3027" s="179"/>
      <c r="W3027" s="180"/>
      <c r="X3027" s="181" t="str">
        <f>IFERROR(__xludf.DUMMYFUNCTION("""COMPUTED_VALUE"""),"Very Good")</f>
        <v>Very Good</v>
      </c>
      <c r="Y3027" s="182" t="str">
        <f>IFERROR(__xludf.DUMMYFUNCTION("""COMPUTED_VALUE"""),"Excellent")</f>
        <v>Excellent</v>
      </c>
      <c r="Z3027" s="182" t="str">
        <f>IFERROR(__xludf.DUMMYFUNCTION("""COMPUTED_VALUE"""),"Excellent")</f>
        <v>Excellent</v>
      </c>
      <c r="AA3027" s="182" t="str">
        <f>IFERROR(__xludf.DUMMYFUNCTION("""COMPUTED_VALUE"""),"Poor")</f>
        <v>Poor</v>
      </c>
      <c r="AB3027" s="182" t="str">
        <f>IFERROR(__xludf.DUMMYFUNCTION("""COMPUTED_VALUE"""),"Very Good")</f>
        <v>Very Good</v>
      </c>
      <c r="AC3027" s="183"/>
      <c r="AD3027" s="183"/>
      <c r="AE3027" s="183"/>
      <c r="AF3027" s="184"/>
      <c r="AG3027" s="180"/>
      <c r="AH3027" s="185">
        <f>IFERROR(__xludf.DUMMYFUNCTION("""COMPUTED_VALUE"""),43388.49279903935)</f>
        <v>43388.4928</v>
      </c>
      <c r="AI3027" s="182"/>
      <c r="AJ3027" s="182"/>
      <c r="AK3027" s="182"/>
      <c r="AL3027" s="182"/>
    </row>
    <row r="3028" ht="20.25" customHeight="1">
      <c r="A3028" s="169" t="str">
        <f>IFERROR(__xludf.DUMMYFUNCTION("""COMPUTED_VALUE"""),"BenR")</f>
        <v>BenR</v>
      </c>
      <c r="B3028" s="170" t="str">
        <f>IFERROR(__xludf.DUMMYFUNCTION("""COMPUTED_VALUE"""),"Murfreesboro")</f>
        <v>Murfreesboro</v>
      </c>
      <c r="C3028" s="170" t="str">
        <f>IFERROR(__xludf.DUMMYFUNCTION("""COMPUTED_VALUE"""),"TN")</f>
        <v>TN</v>
      </c>
      <c r="D3028" s="170" t="str">
        <f>IFERROR(__xludf.DUMMYFUNCTION("""COMPUTED_VALUE"""),"USA")</f>
        <v>USA</v>
      </c>
      <c r="E3028" s="171">
        <f>IFERROR(__xludf.DUMMYFUNCTION("""COMPUTED_VALUE"""),43278.0)</f>
        <v>43278</v>
      </c>
      <c r="F3028" s="172">
        <f>IFERROR(__xludf.DUMMYFUNCTION("""COMPUTED_VALUE"""),43283.0)</f>
        <v>43283</v>
      </c>
      <c r="G3028" s="173"/>
      <c r="H3028" s="174">
        <f>IFERROR(__xludf.DUMMYFUNCTION("""COMPUTED_VALUE"""),22955.0)</f>
        <v>22955</v>
      </c>
      <c r="I3028" s="175" t="str">
        <f>IFERROR(__xludf.DUMMYFUNCTION("""COMPUTED_VALUE"""),"06/18")</f>
        <v>06/18</v>
      </c>
      <c r="J3028" s="172">
        <f>IFERROR(__xludf.DUMMYFUNCTION("""COMPUTED_VALUE"""),43291.0)</f>
        <v>43291</v>
      </c>
      <c r="K3028" s="176">
        <f>IFERROR(__xludf.DUMMYFUNCTION("""COMPUTED_VALUE"""),5.0)</f>
        <v>5</v>
      </c>
      <c r="L3028" s="176">
        <f>IFERROR(__xludf.DUMMYFUNCTION("""COMPUTED_VALUE"""),8.0)</f>
        <v>8</v>
      </c>
      <c r="M3028" s="176">
        <f>IFERROR(__xludf.DUMMYFUNCTION("""COMPUTED_VALUE"""),13.0)</f>
        <v>13</v>
      </c>
      <c r="N3028" s="177" t="str">
        <f>IFERROR(__xludf.DUMMYFUNCTION("""COMPUTED_VALUE"""),"Model 3 LR")</f>
        <v>Model 3 LR</v>
      </c>
      <c r="O3028" s="177" t="str">
        <f>IFERROR(__xludf.DUMMYFUNCTION("""COMPUTED_VALUE"""),"Deep Blue Metallic")</f>
        <v>Deep Blue Metallic</v>
      </c>
      <c r="P3028" s="178" t="str">
        <f>IFERROR(__xludf.DUMMYFUNCTION("""COMPUTED_VALUE"""),"18 inch Aero")</f>
        <v>18 inch Aero</v>
      </c>
      <c r="Q3028" s="177" t="str">
        <f>IFERROR(__xludf.DUMMYFUNCTION("""COMPUTED_VALUE"""),"Black seats")</f>
        <v>Black seats</v>
      </c>
      <c r="R3028" s="170" t="str">
        <f>IFERROR(__xludf.DUMMYFUNCTION("""COMPUTED_VALUE"""),"None")</f>
        <v>None</v>
      </c>
      <c r="S3028" s="170"/>
      <c r="T3028" s="179"/>
      <c r="U3028" s="179"/>
      <c r="V3028" s="179"/>
      <c r="W3028" s="180"/>
      <c r="X3028" s="181" t="str">
        <f>IFERROR(__xludf.DUMMYFUNCTION("""COMPUTED_VALUE"""),"Excellent")</f>
        <v>Excellent</v>
      </c>
      <c r="Y3028" s="182" t="str">
        <f>IFERROR(__xludf.DUMMYFUNCTION("""COMPUTED_VALUE"""),"Excellent")</f>
        <v>Excellent</v>
      </c>
      <c r="Z3028" s="182" t="str">
        <f>IFERROR(__xludf.DUMMYFUNCTION("""COMPUTED_VALUE"""),"Excellent")</f>
        <v>Excellent</v>
      </c>
      <c r="AA3028" s="182" t="str">
        <f>IFERROR(__xludf.DUMMYFUNCTION("""COMPUTED_VALUE"""),"Good")</f>
        <v>Good</v>
      </c>
      <c r="AB3028" s="182" t="str">
        <f>IFERROR(__xludf.DUMMYFUNCTION("""COMPUTED_VALUE"""),"Very Good")</f>
        <v>Very Good</v>
      </c>
      <c r="AC3028" s="183">
        <f>IFERROR(__xludf.DUMMYFUNCTION("""COMPUTED_VALUE"""),1.0)</f>
        <v>1</v>
      </c>
      <c r="AD3028" s="183">
        <f>IFERROR(__xludf.DUMMYFUNCTION("""COMPUTED_VALUE"""),1.0)</f>
        <v>1</v>
      </c>
      <c r="AE3028" s="183">
        <f>IFERROR(__xludf.DUMMYFUNCTION("""COMPUTED_VALUE"""),0.0)</f>
        <v>0</v>
      </c>
      <c r="AF3028" s="184"/>
      <c r="AG3028" s="180" t="str">
        <f>IFERROR(__xludf.DUMMYFUNCTION("""COMPUTED_VALUE"""),"Delivery delayed 4 days for trunk seals replacement")</f>
        <v>Delivery delayed 4 days for trunk seals replacement</v>
      </c>
      <c r="AH3028" s="185">
        <f>IFERROR(__xludf.DUMMYFUNCTION("""COMPUTED_VALUE"""),43312.92504299769)</f>
        <v>43312.92504</v>
      </c>
      <c r="AI3028" s="182"/>
      <c r="AJ3028" s="182"/>
      <c r="AK3028" s="182"/>
      <c r="AL3028" s="182"/>
    </row>
    <row r="3029" ht="20.25" customHeight="1">
      <c r="A3029" s="169" t="str">
        <f>IFERROR(__xludf.DUMMYFUNCTION("""COMPUTED_VALUE"""),"bevjen")</f>
        <v>bevjen</v>
      </c>
      <c r="B3029" s="170" t="str">
        <f>IFERROR(__xludf.DUMMYFUNCTION("""COMPUTED_VALUE"""),"Independence")</f>
        <v>Independence</v>
      </c>
      <c r="C3029" s="170" t="str">
        <f>IFERROR(__xludf.DUMMYFUNCTION("""COMPUTED_VALUE"""),"MN")</f>
        <v>MN</v>
      </c>
      <c r="D3029" s="170" t="str">
        <f>IFERROR(__xludf.DUMMYFUNCTION("""COMPUTED_VALUE"""),"USA")</f>
        <v>USA</v>
      </c>
      <c r="E3029" s="171">
        <f>IFERROR(__xludf.DUMMYFUNCTION("""COMPUTED_VALUE"""),43278.0)</f>
        <v>43278</v>
      </c>
      <c r="F3029" s="172">
        <f>IFERROR(__xludf.DUMMYFUNCTION("""COMPUTED_VALUE"""),43360.0)</f>
        <v>43360</v>
      </c>
      <c r="G3029" s="173"/>
      <c r="H3029" s="174">
        <f>IFERROR(__xludf.DUMMYFUNCTION("""COMPUTED_VALUE"""),90983.0)</f>
        <v>90983</v>
      </c>
      <c r="I3029" s="175" t="str">
        <f>IFERROR(__xludf.DUMMYFUNCTION("""COMPUTED_VALUE"""),"09/18")</f>
        <v>09/18</v>
      </c>
      <c r="J3029" s="172">
        <f>IFERROR(__xludf.DUMMYFUNCTION("""COMPUTED_VALUE"""),43377.0)</f>
        <v>43377</v>
      </c>
      <c r="K3029" s="176">
        <f>IFERROR(__xludf.DUMMYFUNCTION("""COMPUTED_VALUE"""),82.0)</f>
        <v>82</v>
      </c>
      <c r="L3029" s="176">
        <f>IFERROR(__xludf.DUMMYFUNCTION("""COMPUTED_VALUE"""),17.0)</f>
        <v>17</v>
      </c>
      <c r="M3029" s="176">
        <f>IFERROR(__xludf.DUMMYFUNCTION("""COMPUTED_VALUE"""),99.0)</f>
        <v>99</v>
      </c>
      <c r="N3029" s="177" t="str">
        <f>IFERROR(__xludf.DUMMYFUNCTION("""COMPUTED_VALUE"""),"Model 3 LR AWD")</f>
        <v>Model 3 LR AWD</v>
      </c>
      <c r="O3029" s="177" t="str">
        <f>IFERROR(__xludf.DUMMYFUNCTION("""COMPUTED_VALUE"""),"Midnight Silver Metallic")</f>
        <v>Midnight Silver Metallic</v>
      </c>
      <c r="P3029" s="178" t="str">
        <f>IFERROR(__xludf.DUMMYFUNCTION("""COMPUTED_VALUE"""),"18 inch Aero")</f>
        <v>18 inch Aero</v>
      </c>
      <c r="Q3029" s="177" t="str">
        <f>IFERROR(__xludf.DUMMYFUNCTION("""COMPUTED_VALUE"""),"Black seats")</f>
        <v>Black seats</v>
      </c>
      <c r="R3029" s="170" t="str">
        <f>IFERROR(__xludf.DUMMYFUNCTION("""COMPUTED_VALUE"""),"Enhanced Autopilot")</f>
        <v>Enhanced Autopilot</v>
      </c>
      <c r="S3029" s="170"/>
      <c r="T3029" s="179"/>
      <c r="U3029" s="179"/>
      <c r="V3029" s="179"/>
      <c r="W3029" s="180"/>
      <c r="X3029" s="181" t="str">
        <f>IFERROR(__xludf.DUMMYFUNCTION("""COMPUTED_VALUE"""),"Excellent")</f>
        <v>Excellent</v>
      </c>
      <c r="Y3029" s="182" t="str">
        <f>IFERROR(__xludf.DUMMYFUNCTION("""COMPUTED_VALUE"""),"Excellent")</f>
        <v>Excellent</v>
      </c>
      <c r="Z3029" s="182" t="str">
        <f>IFERROR(__xludf.DUMMYFUNCTION("""COMPUTED_VALUE"""),"Excellent")</f>
        <v>Excellent</v>
      </c>
      <c r="AA3029" s="182" t="str">
        <f>IFERROR(__xludf.DUMMYFUNCTION("""COMPUTED_VALUE"""),"Good")</f>
        <v>Good</v>
      </c>
      <c r="AB3029" s="182" t="str">
        <f>IFERROR(__xludf.DUMMYFUNCTION("""COMPUTED_VALUE"""),"Very Good")</f>
        <v>Very Good</v>
      </c>
      <c r="AC3029" s="183"/>
      <c r="AD3029" s="183"/>
      <c r="AE3029" s="183"/>
      <c r="AF3029" s="184"/>
      <c r="AG3029" s="180" t="str">
        <f>IFERROR(__xludf.DUMMYFUNCTION("""COMPUTED_VALUE"""),"Original delivery was 9/24. Delayed on 9/19.")</f>
        <v>Original delivery was 9/24. Delayed on 9/19.</v>
      </c>
      <c r="AH3029" s="185">
        <f>IFERROR(__xludf.DUMMYFUNCTION("""COMPUTED_VALUE"""),43389.517033923614)</f>
        <v>43389.51703</v>
      </c>
      <c r="AI3029" s="182"/>
      <c r="AJ3029" s="182"/>
      <c r="AK3029" s="182"/>
      <c r="AL3029" s="182"/>
    </row>
    <row r="3030" ht="20.25" customHeight="1">
      <c r="A3030" s="169" t="str">
        <f>IFERROR(__xludf.DUMMYFUNCTION("""COMPUTED_VALUE"""),"Big Earl")</f>
        <v>Big Earl</v>
      </c>
      <c r="B3030" s="170" t="str">
        <f>IFERROR(__xludf.DUMMYFUNCTION("""COMPUTED_VALUE"""),"Springfield")</f>
        <v>Springfield</v>
      </c>
      <c r="C3030" s="170" t="str">
        <f>IFERROR(__xludf.DUMMYFUNCTION("""COMPUTED_VALUE"""),"VA")</f>
        <v>VA</v>
      </c>
      <c r="D3030" s="170" t="str">
        <f>IFERROR(__xludf.DUMMYFUNCTION("""COMPUTED_VALUE"""),"USA")</f>
        <v>USA</v>
      </c>
      <c r="E3030" s="171">
        <f>IFERROR(__xludf.DUMMYFUNCTION("""COMPUTED_VALUE"""),43278.0)</f>
        <v>43278</v>
      </c>
      <c r="F3030" s="172">
        <f>IFERROR(__xludf.DUMMYFUNCTION("""COMPUTED_VALUE"""),43326.0)</f>
        <v>43326</v>
      </c>
      <c r="G3030" s="173"/>
      <c r="H3030" s="174">
        <f>IFERROR(__xludf.DUMMYFUNCTION("""COMPUTED_VALUE"""),64155.0)</f>
        <v>64155</v>
      </c>
      <c r="I3030" s="175" t="str">
        <f>IFERROR(__xludf.DUMMYFUNCTION("""COMPUTED_VALUE"""),"08/18")</f>
        <v>08/18</v>
      </c>
      <c r="J3030" s="172">
        <f>IFERROR(__xludf.DUMMYFUNCTION("""COMPUTED_VALUE"""),43340.0)</f>
        <v>43340</v>
      </c>
      <c r="K3030" s="176">
        <f>IFERROR(__xludf.DUMMYFUNCTION("""COMPUTED_VALUE"""),48.0)</f>
        <v>48</v>
      </c>
      <c r="L3030" s="176">
        <f>IFERROR(__xludf.DUMMYFUNCTION("""COMPUTED_VALUE"""),14.0)</f>
        <v>14</v>
      </c>
      <c r="M3030" s="176">
        <f>IFERROR(__xludf.DUMMYFUNCTION("""COMPUTED_VALUE"""),62.0)</f>
        <v>62</v>
      </c>
      <c r="N3030" s="177" t="str">
        <f>IFERROR(__xludf.DUMMYFUNCTION("""COMPUTED_VALUE"""),"Model 3 LR AWD")</f>
        <v>Model 3 LR AWD</v>
      </c>
      <c r="O3030" s="177" t="str">
        <f>IFERROR(__xludf.DUMMYFUNCTION("""COMPUTED_VALUE"""),"Red Multi-Coat")</f>
        <v>Red Multi-Coat</v>
      </c>
      <c r="P3030" s="178" t="str">
        <f>IFERROR(__xludf.DUMMYFUNCTION("""COMPUTED_VALUE"""),"18 inch Aero")</f>
        <v>18 inch Aero</v>
      </c>
      <c r="Q3030" s="177" t="str">
        <f>IFERROR(__xludf.DUMMYFUNCTION("""COMPUTED_VALUE"""),"Black seats")</f>
        <v>Black seats</v>
      </c>
      <c r="R3030" s="170" t="str">
        <f>IFERROR(__xludf.DUMMYFUNCTION("""COMPUTED_VALUE"""),"Enhanced Autopilot")</f>
        <v>Enhanced Autopilot</v>
      </c>
      <c r="S3030" s="170"/>
      <c r="T3030" s="179"/>
      <c r="U3030" s="179"/>
      <c r="V3030" s="179"/>
      <c r="W3030" s="180"/>
      <c r="X3030" s="181" t="str">
        <f>IFERROR(__xludf.DUMMYFUNCTION("""COMPUTED_VALUE"""),"Excellent")</f>
        <v>Excellent</v>
      </c>
      <c r="Y3030" s="182" t="str">
        <f>IFERROR(__xludf.DUMMYFUNCTION("""COMPUTED_VALUE"""),"Excellent")</f>
        <v>Excellent</v>
      </c>
      <c r="Z3030" s="182" t="str">
        <f>IFERROR(__xludf.DUMMYFUNCTION("""COMPUTED_VALUE"""),"Very Good")</f>
        <v>Very Good</v>
      </c>
      <c r="AA3030" s="182" t="str">
        <f>IFERROR(__xludf.DUMMYFUNCTION("""COMPUTED_VALUE"""),"Excellent")</f>
        <v>Excellent</v>
      </c>
      <c r="AB3030" s="182" t="str">
        <f>IFERROR(__xludf.DUMMYFUNCTION("""COMPUTED_VALUE"""),"Excellent")</f>
        <v>Excellent</v>
      </c>
      <c r="AC3030" s="183">
        <f>IFERROR(__xludf.DUMMYFUNCTION("""COMPUTED_VALUE"""),1.0)</f>
        <v>1</v>
      </c>
      <c r="AD3030" s="183">
        <f>IFERROR(__xludf.DUMMYFUNCTION("""COMPUTED_VALUE"""),0.0)</f>
        <v>0</v>
      </c>
      <c r="AE3030" s="183">
        <f>IFERROR(__xludf.DUMMYFUNCTION("""COMPUTED_VALUE"""),0.0)</f>
        <v>0</v>
      </c>
      <c r="AF3030" s="184"/>
      <c r="AG3030" s="180" t="str">
        <f>IFERROR(__xludf.DUMMYFUNCTION("""COMPUTED_VALUE"""),"Best car we've ever owned.")</f>
        <v>Best car we've ever owned.</v>
      </c>
      <c r="AH3030" s="185">
        <f>IFERROR(__xludf.DUMMYFUNCTION("""COMPUTED_VALUE"""),43408.55540377315)</f>
        <v>43408.5554</v>
      </c>
      <c r="AI3030" s="182"/>
      <c r="AJ3030" s="182"/>
      <c r="AK3030" s="182"/>
      <c r="AL3030" s="182"/>
    </row>
    <row r="3031" ht="20.25" customHeight="1">
      <c r="A3031" s="169" t="str">
        <f>IFERROR(__xludf.DUMMYFUNCTION("""COMPUTED_VALUE"""),"BillH")</f>
        <v>BillH</v>
      </c>
      <c r="B3031" s="170" t="str">
        <f>IFERROR(__xludf.DUMMYFUNCTION("""COMPUTED_VALUE"""),"Denville")</f>
        <v>Denville</v>
      </c>
      <c r="C3031" s="170" t="str">
        <f>IFERROR(__xludf.DUMMYFUNCTION("""COMPUTED_VALUE"""),"NJ")</f>
        <v>NJ</v>
      </c>
      <c r="D3031" s="170" t="str">
        <f>IFERROR(__xludf.DUMMYFUNCTION("""COMPUTED_VALUE"""),"USA")</f>
        <v>USA</v>
      </c>
      <c r="E3031" s="171">
        <f>IFERROR(__xludf.DUMMYFUNCTION("""COMPUTED_VALUE"""),43278.0)</f>
        <v>43278</v>
      </c>
      <c r="F3031" s="172">
        <f>IFERROR(__xludf.DUMMYFUNCTION("""COMPUTED_VALUE"""),43338.0)</f>
        <v>43338</v>
      </c>
      <c r="G3031" s="173"/>
      <c r="H3031" s="174">
        <f>IFERROR(__xludf.DUMMYFUNCTION("""COMPUTED_VALUE"""),72975.0)</f>
        <v>72975</v>
      </c>
      <c r="I3031" s="175" t="str">
        <f>IFERROR(__xludf.DUMMYFUNCTION("""COMPUTED_VALUE"""),"08/18")</f>
        <v>08/18</v>
      </c>
      <c r="J3031" s="172">
        <f>IFERROR(__xludf.DUMMYFUNCTION("""COMPUTED_VALUE"""),43356.0)</f>
        <v>43356</v>
      </c>
      <c r="K3031" s="176">
        <f>IFERROR(__xludf.DUMMYFUNCTION("""COMPUTED_VALUE"""),60.0)</f>
        <v>60</v>
      </c>
      <c r="L3031" s="176">
        <f>IFERROR(__xludf.DUMMYFUNCTION("""COMPUTED_VALUE"""),18.0)</f>
        <v>18</v>
      </c>
      <c r="M3031" s="176">
        <f>IFERROR(__xludf.DUMMYFUNCTION("""COMPUTED_VALUE"""),78.0)</f>
        <v>78</v>
      </c>
      <c r="N3031" s="177" t="str">
        <f>IFERROR(__xludf.DUMMYFUNCTION("""COMPUTED_VALUE"""),"Model 3 Performance")</f>
        <v>Model 3 Performance</v>
      </c>
      <c r="O3031" s="177" t="str">
        <f>IFERROR(__xludf.DUMMYFUNCTION("""COMPUTED_VALUE"""),"Midnight Silver Metallic")</f>
        <v>Midnight Silver Metallic</v>
      </c>
      <c r="P3031" s="178" t="str">
        <f>IFERROR(__xludf.DUMMYFUNCTION("""COMPUTED_VALUE"""),"20 inch Sport")</f>
        <v>20 inch Sport</v>
      </c>
      <c r="Q3031" s="177" t="str">
        <f>IFERROR(__xludf.DUMMYFUNCTION("""COMPUTED_VALUE"""),"Black seats")</f>
        <v>Black seats</v>
      </c>
      <c r="R3031" s="170" t="str">
        <f>IFERROR(__xludf.DUMMYFUNCTION("""COMPUTED_VALUE"""),"Full Self-Driving")</f>
        <v>Full Self-Driving</v>
      </c>
      <c r="S3031" s="170"/>
      <c r="T3031" s="179"/>
      <c r="U3031" s="179"/>
      <c r="V3031" s="179"/>
      <c r="W3031" s="180"/>
      <c r="X3031" s="181" t="str">
        <f>IFERROR(__xludf.DUMMYFUNCTION("""COMPUTED_VALUE"""),"Excellent")</f>
        <v>Excellent</v>
      </c>
      <c r="Y3031" s="182" t="str">
        <f>IFERROR(__xludf.DUMMYFUNCTION("""COMPUTED_VALUE"""),"Excellent")</f>
        <v>Excellent</v>
      </c>
      <c r="Z3031" s="182" t="str">
        <f>IFERROR(__xludf.DUMMYFUNCTION("""COMPUTED_VALUE"""),"Excellent")</f>
        <v>Excellent</v>
      </c>
      <c r="AA3031" s="182" t="str">
        <f>IFERROR(__xludf.DUMMYFUNCTION("""COMPUTED_VALUE"""),"Excellent")</f>
        <v>Excellent</v>
      </c>
      <c r="AB3031" s="182" t="str">
        <f>IFERROR(__xludf.DUMMYFUNCTION("""COMPUTED_VALUE"""),"Excellent")</f>
        <v>Excellent</v>
      </c>
      <c r="AC3031" s="183"/>
      <c r="AD3031" s="183"/>
      <c r="AE3031" s="183"/>
      <c r="AF3031" s="184"/>
      <c r="AG3031" s="180"/>
      <c r="AH3031" s="185">
        <f>IFERROR(__xludf.DUMMYFUNCTION("""COMPUTED_VALUE"""),43358.43239447916)</f>
        <v>43358.43239</v>
      </c>
      <c r="AI3031" s="182"/>
      <c r="AJ3031" s="182"/>
      <c r="AK3031" s="182"/>
      <c r="AL3031" s="182"/>
    </row>
    <row r="3032" ht="20.25" customHeight="1">
      <c r="A3032" s="169" t="str">
        <f>IFERROR(__xludf.DUMMYFUNCTION("""COMPUTED_VALUE"""),"biosehnsucht")</f>
        <v>biosehnsucht</v>
      </c>
      <c r="B3032" s="170" t="str">
        <f>IFERROR(__xludf.DUMMYFUNCTION("""COMPUTED_VALUE"""),"DFW")</f>
        <v>DFW</v>
      </c>
      <c r="C3032" s="170" t="str">
        <f>IFERROR(__xludf.DUMMYFUNCTION("""COMPUTED_VALUE"""),"TX")</f>
        <v>TX</v>
      </c>
      <c r="D3032" s="170" t="str">
        <f>IFERROR(__xludf.DUMMYFUNCTION("""COMPUTED_VALUE"""),"USA")</f>
        <v>USA</v>
      </c>
      <c r="E3032" s="171">
        <f>IFERROR(__xludf.DUMMYFUNCTION("""COMPUTED_VALUE"""),43278.0)</f>
        <v>43278</v>
      </c>
      <c r="F3032" s="172">
        <f>IFERROR(__xludf.DUMMYFUNCTION("""COMPUTED_VALUE"""),43279.0)</f>
        <v>43279</v>
      </c>
      <c r="G3032" s="173"/>
      <c r="H3032" s="174">
        <f>IFERROR(__xludf.DUMMYFUNCTION("""COMPUTED_VALUE"""),40255.0)</f>
        <v>40255</v>
      </c>
      <c r="I3032" s="175"/>
      <c r="J3032" s="172">
        <f>IFERROR(__xludf.DUMMYFUNCTION("""COMPUTED_VALUE"""),43305.0)</f>
        <v>43305</v>
      </c>
      <c r="K3032" s="176">
        <f>IFERROR(__xludf.DUMMYFUNCTION("""COMPUTED_VALUE"""),1.0)</f>
        <v>1</v>
      </c>
      <c r="L3032" s="176">
        <f>IFERROR(__xludf.DUMMYFUNCTION("""COMPUTED_VALUE"""),26.0)</f>
        <v>26</v>
      </c>
      <c r="M3032" s="176">
        <f>IFERROR(__xludf.DUMMYFUNCTION("""COMPUTED_VALUE"""),27.0)</f>
        <v>27</v>
      </c>
      <c r="N3032" s="177" t="str">
        <f>IFERROR(__xludf.DUMMYFUNCTION("""COMPUTED_VALUE"""),"Model 3 LR")</f>
        <v>Model 3 LR</v>
      </c>
      <c r="O3032" s="177" t="str">
        <f>IFERROR(__xludf.DUMMYFUNCTION("""COMPUTED_VALUE"""),"Midnight Silver Metallic")</f>
        <v>Midnight Silver Metallic</v>
      </c>
      <c r="P3032" s="178" t="str">
        <f>IFERROR(__xludf.DUMMYFUNCTION("""COMPUTED_VALUE"""),"18 inch Aero")</f>
        <v>18 inch Aero</v>
      </c>
      <c r="Q3032" s="177" t="str">
        <f>IFERROR(__xludf.DUMMYFUNCTION("""COMPUTED_VALUE"""),"Black seats")</f>
        <v>Black seats</v>
      </c>
      <c r="R3032" s="170" t="str">
        <f>IFERROR(__xludf.DUMMYFUNCTION("""COMPUTED_VALUE"""),"Enhanced Autopilot")</f>
        <v>Enhanced Autopilot</v>
      </c>
      <c r="S3032" s="170"/>
      <c r="T3032" s="179"/>
      <c r="U3032" s="179"/>
      <c r="V3032" s="179"/>
      <c r="W3032" s="180"/>
      <c r="X3032" s="181" t="str">
        <f>IFERROR(__xludf.DUMMYFUNCTION("""COMPUTED_VALUE"""),"Good")</f>
        <v>Good</v>
      </c>
      <c r="Y3032" s="182" t="str">
        <f>IFERROR(__xludf.DUMMYFUNCTION("""COMPUTED_VALUE"""),"Very Good")</f>
        <v>Very Good</v>
      </c>
      <c r="Z3032" s="182" t="str">
        <f>IFERROR(__xludf.DUMMYFUNCTION("""COMPUTED_VALUE"""),"Excellent")</f>
        <v>Excellent</v>
      </c>
      <c r="AA3032" s="182" t="str">
        <f>IFERROR(__xludf.DUMMYFUNCTION("""COMPUTED_VALUE"""),"Good")</f>
        <v>Good</v>
      </c>
      <c r="AB3032" s="182" t="str">
        <f>IFERROR(__xludf.DUMMYFUNCTION("""COMPUTED_VALUE"""),"Very Good")</f>
        <v>Very Good</v>
      </c>
      <c r="AC3032" s="183"/>
      <c r="AD3032" s="183"/>
      <c r="AE3032" s="183"/>
      <c r="AF3032" s="184"/>
      <c r="AG3032" s="180" t="str">
        <f>IFERROR(__xludf.DUMMYFUNCTION("""COMPUTED_VALUE"""),"Was undecided AWD vs RWD, SR vs LR")</f>
        <v>Was undecided AWD vs RWD, SR vs LR</v>
      </c>
      <c r="AH3032" s="185">
        <f>IFERROR(__xludf.DUMMYFUNCTION("""COMPUTED_VALUE"""),43306.03627900463)</f>
        <v>43306.03628</v>
      </c>
      <c r="AI3032" s="182"/>
      <c r="AJ3032" s="182"/>
      <c r="AK3032" s="182"/>
      <c r="AL3032" s="182"/>
    </row>
    <row r="3033" ht="20.25" customHeight="1">
      <c r="A3033" s="169" t="str">
        <f>IFERROR(__xludf.DUMMYFUNCTION("""COMPUTED_VALUE"""),"bkgbrett")</f>
        <v>bkgbrett</v>
      </c>
      <c r="B3033" s="170" t="str">
        <f>IFERROR(__xludf.DUMMYFUNCTION("""COMPUTED_VALUE"""),"Salt Lake City")</f>
        <v>Salt Lake City</v>
      </c>
      <c r="C3033" s="170" t="str">
        <f>IFERROR(__xludf.DUMMYFUNCTION("""COMPUTED_VALUE"""),"UT")</f>
        <v>UT</v>
      </c>
      <c r="D3033" s="170" t="str">
        <f>IFERROR(__xludf.DUMMYFUNCTION("""COMPUTED_VALUE"""),"USA")</f>
        <v>USA</v>
      </c>
      <c r="E3033" s="171">
        <f>IFERROR(__xludf.DUMMYFUNCTION("""COMPUTED_VALUE"""),43278.0)</f>
        <v>43278</v>
      </c>
      <c r="F3033" s="172">
        <f>IFERROR(__xludf.DUMMYFUNCTION("""COMPUTED_VALUE"""),43280.0)</f>
        <v>43280</v>
      </c>
      <c r="G3033" s="173"/>
      <c r="H3033" s="174">
        <f>IFERROR(__xludf.DUMMYFUNCTION("""COMPUTED_VALUE"""),30545.0)</f>
        <v>30545</v>
      </c>
      <c r="I3033" s="175"/>
      <c r="J3033" s="172">
        <f>IFERROR(__xludf.DUMMYFUNCTION("""COMPUTED_VALUE"""),43291.0)</f>
        <v>43291</v>
      </c>
      <c r="K3033" s="176">
        <f>IFERROR(__xludf.DUMMYFUNCTION("""COMPUTED_VALUE"""),2.0)</f>
        <v>2</v>
      </c>
      <c r="L3033" s="176">
        <f>IFERROR(__xludf.DUMMYFUNCTION("""COMPUTED_VALUE"""),11.0)</f>
        <v>11</v>
      </c>
      <c r="M3033" s="176">
        <f>IFERROR(__xludf.DUMMYFUNCTION("""COMPUTED_VALUE"""),13.0)</f>
        <v>13</v>
      </c>
      <c r="N3033" s="177" t="str">
        <f>IFERROR(__xludf.DUMMYFUNCTION("""COMPUTED_VALUE"""),"Model 3 LR")</f>
        <v>Model 3 LR</v>
      </c>
      <c r="O3033" s="177" t="str">
        <f>IFERROR(__xludf.DUMMYFUNCTION("""COMPUTED_VALUE"""),"Midnight Silver Metallic")</f>
        <v>Midnight Silver Metallic</v>
      </c>
      <c r="P3033" s="178" t="str">
        <f>IFERROR(__xludf.DUMMYFUNCTION("""COMPUTED_VALUE"""),"18 inch Aero")</f>
        <v>18 inch Aero</v>
      </c>
      <c r="Q3033" s="177" t="str">
        <f>IFERROR(__xludf.DUMMYFUNCTION("""COMPUTED_VALUE"""),"Black seats")</f>
        <v>Black seats</v>
      </c>
      <c r="R3033" s="170" t="str">
        <f>IFERROR(__xludf.DUMMYFUNCTION("""COMPUTED_VALUE"""),"Enhanced Autopilot")</f>
        <v>Enhanced Autopilot</v>
      </c>
      <c r="S3033" s="170"/>
      <c r="T3033" s="179"/>
      <c r="U3033" s="179"/>
      <c r="V3033" s="179"/>
      <c r="W3033" s="180"/>
      <c r="X3033" s="181" t="str">
        <f>IFERROR(__xludf.DUMMYFUNCTION("""COMPUTED_VALUE"""),"Excellent")</f>
        <v>Excellent</v>
      </c>
      <c r="Y3033" s="182" t="str">
        <f>IFERROR(__xludf.DUMMYFUNCTION("""COMPUTED_VALUE"""),"Excellent")</f>
        <v>Excellent</v>
      </c>
      <c r="Z3033" s="182" t="str">
        <f>IFERROR(__xludf.DUMMYFUNCTION("""COMPUTED_VALUE"""),"Excellent")</f>
        <v>Excellent</v>
      </c>
      <c r="AA3033" s="182" t="str">
        <f>IFERROR(__xludf.DUMMYFUNCTION("""COMPUTED_VALUE"""),"Fair")</f>
        <v>Fair</v>
      </c>
      <c r="AB3033" s="182" t="str">
        <f>IFERROR(__xludf.DUMMYFUNCTION("""COMPUTED_VALUE"""),"Very Good")</f>
        <v>Very Good</v>
      </c>
      <c r="AC3033" s="183"/>
      <c r="AD3033" s="183"/>
      <c r="AE3033" s="183"/>
      <c r="AF3033" s="184"/>
      <c r="AG3033" s="180"/>
      <c r="AH3033" s="185">
        <f>IFERROR(__xludf.DUMMYFUNCTION("""COMPUTED_VALUE"""),43291.75326978009)</f>
        <v>43291.75327</v>
      </c>
      <c r="AI3033" s="182"/>
      <c r="AJ3033" s="182"/>
      <c r="AK3033" s="182"/>
      <c r="AL3033" s="182"/>
    </row>
    <row r="3034" ht="20.25" customHeight="1">
      <c r="A3034" s="169" t="str">
        <f>IFERROR(__xludf.DUMMYFUNCTION("""COMPUTED_VALUE"""),"BLAU")</f>
        <v>BLAU</v>
      </c>
      <c r="B3034" s="170" t="str">
        <f>IFERROR(__xludf.DUMMYFUNCTION("""COMPUTED_VALUE"""),"Alameda")</f>
        <v>Alameda</v>
      </c>
      <c r="C3034" s="170" t="str">
        <f>IFERROR(__xludf.DUMMYFUNCTION("""COMPUTED_VALUE"""),"CA")</f>
        <v>CA</v>
      </c>
      <c r="D3034" s="170" t="str">
        <f>IFERROR(__xludf.DUMMYFUNCTION("""COMPUTED_VALUE"""),"USA")</f>
        <v>USA</v>
      </c>
      <c r="E3034" s="171">
        <f>IFERROR(__xludf.DUMMYFUNCTION("""COMPUTED_VALUE"""),43278.0)</f>
        <v>43278</v>
      </c>
      <c r="F3034" s="172"/>
      <c r="G3034" s="173"/>
      <c r="H3034" s="174">
        <f>IFERROR(__xludf.DUMMYFUNCTION("""COMPUTED_VALUE"""),42155.0)</f>
        <v>42155</v>
      </c>
      <c r="I3034" s="175"/>
      <c r="J3034" s="172">
        <f>IFERROR(__xludf.DUMMYFUNCTION("""COMPUTED_VALUE"""),43315.0)</f>
        <v>43315</v>
      </c>
      <c r="K3034" s="176"/>
      <c r="L3034" s="176"/>
      <c r="M3034" s="176">
        <f>IFERROR(__xludf.DUMMYFUNCTION("""COMPUTED_VALUE"""),37.0)</f>
        <v>37</v>
      </c>
      <c r="N3034" s="177" t="str">
        <f>IFERROR(__xludf.DUMMYFUNCTION("""COMPUTED_VALUE"""),"Model 3 LR")</f>
        <v>Model 3 LR</v>
      </c>
      <c r="O3034" s="177" t="str">
        <f>IFERROR(__xludf.DUMMYFUNCTION("""COMPUTED_VALUE"""),"Red Multi-Coat")</f>
        <v>Red Multi-Coat</v>
      </c>
      <c r="P3034" s="178" t="str">
        <f>IFERROR(__xludf.DUMMYFUNCTION("""COMPUTED_VALUE"""),"18 inch Aero")</f>
        <v>18 inch Aero</v>
      </c>
      <c r="Q3034" s="177" t="str">
        <f>IFERROR(__xludf.DUMMYFUNCTION("""COMPUTED_VALUE"""),"Black seats")</f>
        <v>Black seats</v>
      </c>
      <c r="R3034" s="170" t="str">
        <f>IFERROR(__xludf.DUMMYFUNCTION("""COMPUTED_VALUE"""),"Enhanced Autopilot")</f>
        <v>Enhanced Autopilot</v>
      </c>
      <c r="S3034" s="170"/>
      <c r="T3034" s="179"/>
      <c r="U3034" s="179"/>
      <c r="V3034" s="179"/>
      <c r="W3034" s="180"/>
      <c r="X3034" s="181" t="str">
        <f>IFERROR(__xludf.DUMMYFUNCTION("""COMPUTED_VALUE"""),"Very Good")</f>
        <v>Very Good</v>
      </c>
      <c r="Y3034" s="182" t="str">
        <f>IFERROR(__xludf.DUMMYFUNCTION("""COMPUTED_VALUE"""),"Very Good")</f>
        <v>Very Good</v>
      </c>
      <c r="Z3034" s="182" t="str">
        <f>IFERROR(__xludf.DUMMYFUNCTION("""COMPUTED_VALUE"""),"Poor")</f>
        <v>Poor</v>
      </c>
      <c r="AA3034" s="182" t="str">
        <f>IFERROR(__xludf.DUMMYFUNCTION("""COMPUTED_VALUE"""),"Very Good")</f>
        <v>Very Good</v>
      </c>
      <c r="AB3034" s="182" t="str">
        <f>IFERROR(__xludf.DUMMYFUNCTION("""COMPUTED_VALUE"""),"Good")</f>
        <v>Good</v>
      </c>
      <c r="AC3034" s="183">
        <f>IFERROR(__xludf.DUMMYFUNCTION("""COMPUTED_VALUE"""),5.0)</f>
        <v>5</v>
      </c>
      <c r="AD3034" s="183">
        <f>IFERROR(__xludf.DUMMYFUNCTION("""COMPUTED_VALUE"""),2.0)</f>
        <v>2</v>
      </c>
      <c r="AE3034" s="183">
        <f>IFERROR(__xludf.DUMMYFUNCTION("""COMPUTED_VALUE"""),0.0)</f>
        <v>0</v>
      </c>
      <c r="AF3034" s="184"/>
      <c r="AG3034" s="180"/>
      <c r="AH3034" s="185">
        <f>IFERROR(__xludf.DUMMYFUNCTION("""COMPUTED_VALUE"""),43334.45744648148)</f>
        <v>43334.45745</v>
      </c>
      <c r="AI3034" s="182"/>
      <c r="AJ3034" s="182"/>
      <c r="AK3034" s="182"/>
      <c r="AL3034" s="182"/>
    </row>
    <row r="3035" ht="20.25" customHeight="1">
      <c r="A3035" s="169" t="str">
        <f>IFERROR(__xludf.DUMMYFUNCTION("""COMPUTED_VALUE"""),"bluesteel10")</f>
        <v>bluesteel10</v>
      </c>
      <c r="B3035" s="170" t="str">
        <f>IFERROR(__xludf.DUMMYFUNCTION("""COMPUTED_VALUE"""),"Mountain View")</f>
        <v>Mountain View</v>
      </c>
      <c r="C3035" s="170" t="str">
        <f>IFERROR(__xludf.DUMMYFUNCTION("""COMPUTED_VALUE"""),"CA")</f>
        <v>CA</v>
      </c>
      <c r="D3035" s="170" t="str">
        <f>IFERROR(__xludf.DUMMYFUNCTION("""COMPUTED_VALUE"""),"USA")</f>
        <v>USA</v>
      </c>
      <c r="E3035" s="171">
        <f>IFERROR(__xludf.DUMMYFUNCTION("""COMPUTED_VALUE"""),43278.0)</f>
        <v>43278</v>
      </c>
      <c r="F3035" s="172">
        <f>IFERROR(__xludf.DUMMYFUNCTION("""COMPUTED_VALUE"""),43280.0)</f>
        <v>43280</v>
      </c>
      <c r="G3035" s="173"/>
      <c r="H3035" s="174">
        <f>IFERROR(__xludf.DUMMYFUNCTION("""COMPUTED_VALUE"""),38355.0)</f>
        <v>38355</v>
      </c>
      <c r="I3035" s="175"/>
      <c r="J3035" s="172">
        <f>IFERROR(__xludf.DUMMYFUNCTION("""COMPUTED_VALUE"""),43283.0)</f>
        <v>43283</v>
      </c>
      <c r="K3035" s="176">
        <f>IFERROR(__xludf.DUMMYFUNCTION("""COMPUTED_VALUE"""),2.0)</f>
        <v>2</v>
      </c>
      <c r="L3035" s="176">
        <f>IFERROR(__xludf.DUMMYFUNCTION("""COMPUTED_VALUE"""),3.0)</f>
        <v>3</v>
      </c>
      <c r="M3035" s="176">
        <f>IFERROR(__xludf.DUMMYFUNCTION("""COMPUTED_VALUE"""),5.0)</f>
        <v>5</v>
      </c>
      <c r="N3035" s="177" t="str">
        <f>IFERROR(__xludf.DUMMYFUNCTION("""COMPUTED_VALUE"""),"Model 3 LR")</f>
        <v>Model 3 LR</v>
      </c>
      <c r="O3035" s="177" t="str">
        <f>IFERROR(__xludf.DUMMYFUNCTION("""COMPUTED_VALUE"""),"Deep Blue Metallic")</f>
        <v>Deep Blue Metallic</v>
      </c>
      <c r="P3035" s="178" t="str">
        <f>IFERROR(__xludf.DUMMYFUNCTION("""COMPUTED_VALUE"""),"18 inch Aero")</f>
        <v>18 inch Aero</v>
      </c>
      <c r="Q3035" s="177" t="str">
        <f>IFERROR(__xludf.DUMMYFUNCTION("""COMPUTED_VALUE"""),"Black seats")</f>
        <v>Black seats</v>
      </c>
      <c r="R3035" s="170" t="str">
        <f>IFERROR(__xludf.DUMMYFUNCTION("""COMPUTED_VALUE"""),"Enhanced Autopilot")</f>
        <v>Enhanced Autopilot</v>
      </c>
      <c r="S3035" s="170"/>
      <c r="T3035" s="179"/>
      <c r="U3035" s="179"/>
      <c r="V3035" s="179"/>
      <c r="W3035" s="180"/>
      <c r="X3035" s="181" t="str">
        <f>IFERROR(__xludf.DUMMYFUNCTION("""COMPUTED_VALUE"""),"Excellent")</f>
        <v>Excellent</v>
      </c>
      <c r="Y3035" s="182" t="str">
        <f>IFERROR(__xludf.DUMMYFUNCTION("""COMPUTED_VALUE"""),"Excellent")</f>
        <v>Excellent</v>
      </c>
      <c r="Z3035" s="182" t="str">
        <f>IFERROR(__xludf.DUMMYFUNCTION("""COMPUTED_VALUE"""),"Good")</f>
        <v>Good</v>
      </c>
      <c r="AA3035" s="182" t="str">
        <f>IFERROR(__xludf.DUMMYFUNCTION("""COMPUTED_VALUE"""),"Very Good")</f>
        <v>Very Good</v>
      </c>
      <c r="AB3035" s="182" t="str">
        <f>IFERROR(__xludf.DUMMYFUNCTION("""COMPUTED_VALUE"""),"Poor")</f>
        <v>Poor</v>
      </c>
      <c r="AC3035" s="183"/>
      <c r="AD3035" s="183"/>
      <c r="AE3035" s="183"/>
      <c r="AF3035" s="184"/>
      <c r="AG3035" s="180" t="str">
        <f>IFERROR(__xludf.DUMMYFUNCTION("""COMPUTED_VALUE"""),"Was May - July '18 before configuring. Now Sept - Nov 18.  Home delivery was very rushed.  Her Uber arrived 5 minutes after she got there.")</f>
        <v>Was May - July '18 before configuring. Now Sept - Nov 18.  Home delivery was very rushed.  Her Uber arrived 5 minutes after she got there.</v>
      </c>
      <c r="AH3035" s="185">
        <f>IFERROR(__xludf.DUMMYFUNCTION("""COMPUTED_VALUE"""),43284.84356253473)</f>
        <v>43284.84356</v>
      </c>
      <c r="AI3035" s="182"/>
      <c r="AJ3035" s="182"/>
      <c r="AK3035" s="182"/>
      <c r="AL3035" s="182"/>
    </row>
    <row r="3036" ht="20.25" customHeight="1">
      <c r="A3036" s="169" t="str">
        <f>IFERROR(__xludf.DUMMYFUNCTION("""COMPUTED_VALUE"""),"bobbybeats")</f>
        <v>bobbybeats</v>
      </c>
      <c r="B3036" s="170" t="str">
        <f>IFERROR(__xludf.DUMMYFUNCTION("""COMPUTED_VALUE"""),"Houston")</f>
        <v>Houston</v>
      </c>
      <c r="C3036" s="170" t="str">
        <f>IFERROR(__xludf.DUMMYFUNCTION("""COMPUTED_VALUE"""),"TX")</f>
        <v>TX</v>
      </c>
      <c r="D3036" s="170" t="str">
        <f>IFERROR(__xludf.DUMMYFUNCTION("""COMPUTED_VALUE"""),"USA")</f>
        <v>USA</v>
      </c>
      <c r="E3036" s="171">
        <f>IFERROR(__xludf.DUMMYFUNCTION("""COMPUTED_VALUE"""),43278.0)</f>
        <v>43278</v>
      </c>
      <c r="F3036" s="172">
        <f>IFERROR(__xludf.DUMMYFUNCTION("""COMPUTED_VALUE"""),43292.0)</f>
        <v>43292</v>
      </c>
      <c r="G3036" s="173"/>
      <c r="H3036" s="174">
        <f>IFERROR(__xludf.DUMMYFUNCTION("""COMPUTED_VALUE"""),47190.0)</f>
        <v>47190</v>
      </c>
      <c r="I3036" s="175" t="str">
        <f>IFERROR(__xludf.DUMMYFUNCTION("""COMPUTED_VALUE"""),"07/18")</f>
        <v>07/18</v>
      </c>
      <c r="J3036" s="172">
        <f>IFERROR(__xludf.DUMMYFUNCTION("""COMPUTED_VALUE"""),43309.0)</f>
        <v>43309</v>
      </c>
      <c r="K3036" s="176">
        <f>IFERROR(__xludf.DUMMYFUNCTION("""COMPUTED_VALUE"""),14.0)</f>
        <v>14</v>
      </c>
      <c r="L3036" s="176">
        <f>IFERROR(__xludf.DUMMYFUNCTION("""COMPUTED_VALUE"""),17.0)</f>
        <v>17</v>
      </c>
      <c r="M3036" s="176">
        <f>IFERROR(__xludf.DUMMYFUNCTION("""COMPUTED_VALUE"""),31.0)</f>
        <v>31</v>
      </c>
      <c r="N3036" s="177" t="str">
        <f>IFERROR(__xludf.DUMMYFUNCTION("""COMPUTED_VALUE"""),"Model 3 LR")</f>
        <v>Model 3 LR</v>
      </c>
      <c r="O3036" s="177" t="str">
        <f>IFERROR(__xludf.DUMMYFUNCTION("""COMPUTED_VALUE"""),"Midnight Silver Metallic")</f>
        <v>Midnight Silver Metallic</v>
      </c>
      <c r="P3036" s="178" t="str">
        <f>IFERROR(__xludf.DUMMYFUNCTION("""COMPUTED_VALUE"""),"19 inch Sport")</f>
        <v>19 inch Sport</v>
      </c>
      <c r="Q3036" s="177" t="str">
        <f>IFERROR(__xludf.DUMMYFUNCTION("""COMPUTED_VALUE"""),"Black seats")</f>
        <v>Black seats</v>
      </c>
      <c r="R3036" s="170" t="str">
        <f>IFERROR(__xludf.DUMMYFUNCTION("""COMPUTED_VALUE"""),"Enhanced Autopilot")</f>
        <v>Enhanced Autopilot</v>
      </c>
      <c r="S3036" s="170"/>
      <c r="T3036" s="179"/>
      <c r="U3036" s="179"/>
      <c r="V3036" s="179"/>
      <c r="W3036" s="180"/>
      <c r="X3036" s="181" t="str">
        <f>IFERROR(__xludf.DUMMYFUNCTION("""COMPUTED_VALUE"""),"Excellent")</f>
        <v>Excellent</v>
      </c>
      <c r="Y3036" s="182" t="str">
        <f>IFERROR(__xludf.DUMMYFUNCTION("""COMPUTED_VALUE"""),"Excellent")</f>
        <v>Excellent</v>
      </c>
      <c r="Z3036" s="182" t="str">
        <f>IFERROR(__xludf.DUMMYFUNCTION("""COMPUTED_VALUE"""),"Very Good")</f>
        <v>Very Good</v>
      </c>
      <c r="AA3036" s="182" t="str">
        <f>IFERROR(__xludf.DUMMYFUNCTION("""COMPUTED_VALUE"""),"Very Good")</f>
        <v>Very Good</v>
      </c>
      <c r="AB3036" s="182" t="str">
        <f>IFERROR(__xludf.DUMMYFUNCTION("""COMPUTED_VALUE"""),"Very Good")</f>
        <v>Very Good</v>
      </c>
      <c r="AC3036" s="183">
        <f>IFERROR(__xludf.DUMMYFUNCTION("""COMPUTED_VALUE"""),1.0)</f>
        <v>1</v>
      </c>
      <c r="AD3036" s="183">
        <f>IFERROR(__xludf.DUMMYFUNCTION("""COMPUTED_VALUE"""),0.0)</f>
        <v>0</v>
      </c>
      <c r="AE3036" s="183">
        <f>IFERROR(__xludf.DUMMYFUNCTION("""COMPUTED_VALUE"""),0.0)</f>
        <v>0</v>
      </c>
      <c r="AF3036" s="184"/>
      <c r="AG3036" s="180" t="str">
        <f>IFERROR(__xludf.DUMMYFUNCTION("""COMPUTED_VALUE"""),"Cosmetic issue with camera housing replaced on delivery day")</f>
        <v>Cosmetic issue with camera housing replaced on delivery day</v>
      </c>
      <c r="AH3036" s="185">
        <f>IFERROR(__xludf.DUMMYFUNCTION("""COMPUTED_VALUE"""),43318.65448428241)</f>
        <v>43318.65448</v>
      </c>
      <c r="AI3036" s="182"/>
      <c r="AJ3036" s="182"/>
      <c r="AK3036" s="182"/>
      <c r="AL3036" s="182"/>
    </row>
    <row r="3037" ht="20.25" customHeight="1">
      <c r="A3037" s="169" t="str">
        <f>IFERROR(__xludf.DUMMYFUNCTION("""COMPUTED_VALUE"""),"boomboom")</f>
        <v>boomboom</v>
      </c>
      <c r="B3037" s="170"/>
      <c r="C3037" s="170" t="str">
        <f>IFERROR(__xludf.DUMMYFUNCTION("""COMPUTED_VALUE"""),"IA")</f>
        <v>IA</v>
      </c>
      <c r="D3037" s="170" t="str">
        <f>IFERROR(__xludf.DUMMYFUNCTION("""COMPUTED_VALUE"""),"USA")</f>
        <v>USA</v>
      </c>
      <c r="E3037" s="171">
        <f>IFERROR(__xludf.DUMMYFUNCTION("""COMPUTED_VALUE"""),43278.0)</f>
        <v>43278</v>
      </c>
      <c r="F3037" s="172">
        <f>IFERROR(__xludf.DUMMYFUNCTION("""COMPUTED_VALUE"""),43337.0)</f>
        <v>43337</v>
      </c>
      <c r="G3037" s="173"/>
      <c r="H3037" s="174">
        <f>IFERROR(__xludf.DUMMYFUNCTION("""COMPUTED_VALUE"""),90955.0)</f>
        <v>90955</v>
      </c>
      <c r="I3037" s="175" t="str">
        <f>IFERROR(__xludf.DUMMYFUNCTION("""COMPUTED_VALUE"""),"09/18")</f>
        <v>09/18</v>
      </c>
      <c r="J3037" s="172">
        <f>IFERROR(__xludf.DUMMYFUNCTION("""COMPUTED_VALUE"""),43363.0)</f>
        <v>43363</v>
      </c>
      <c r="K3037" s="176">
        <f>IFERROR(__xludf.DUMMYFUNCTION("""COMPUTED_VALUE"""),59.0)</f>
        <v>59</v>
      </c>
      <c r="L3037" s="176">
        <f>IFERROR(__xludf.DUMMYFUNCTION("""COMPUTED_VALUE"""),26.0)</f>
        <v>26</v>
      </c>
      <c r="M3037" s="176">
        <f>IFERROR(__xludf.DUMMYFUNCTION("""COMPUTED_VALUE"""),85.0)</f>
        <v>85</v>
      </c>
      <c r="N3037" s="177" t="str">
        <f>IFERROR(__xludf.DUMMYFUNCTION("""COMPUTED_VALUE"""),"Model 3 LR AWD")</f>
        <v>Model 3 LR AWD</v>
      </c>
      <c r="O3037" s="177" t="str">
        <f>IFERROR(__xludf.DUMMYFUNCTION("""COMPUTED_VALUE"""),"Obsidian Black Metallic")</f>
        <v>Obsidian Black Metallic</v>
      </c>
      <c r="P3037" s="178" t="str">
        <f>IFERROR(__xludf.DUMMYFUNCTION("""COMPUTED_VALUE"""),"18 inch Aero")</f>
        <v>18 inch Aero</v>
      </c>
      <c r="Q3037" s="177" t="str">
        <f>IFERROR(__xludf.DUMMYFUNCTION("""COMPUTED_VALUE"""),"Black seats")</f>
        <v>Black seats</v>
      </c>
      <c r="R3037" s="170" t="str">
        <f>IFERROR(__xludf.DUMMYFUNCTION("""COMPUTED_VALUE"""),"Full Self-Driving")</f>
        <v>Full Self-Driving</v>
      </c>
      <c r="S3037" s="170"/>
      <c r="T3037" s="179"/>
      <c r="U3037" s="179"/>
      <c r="V3037" s="179"/>
      <c r="W3037" s="180"/>
      <c r="X3037" s="181" t="str">
        <f>IFERROR(__xludf.DUMMYFUNCTION("""COMPUTED_VALUE"""),"Excellent")</f>
        <v>Excellent</v>
      </c>
      <c r="Y3037" s="182" t="str">
        <f>IFERROR(__xludf.DUMMYFUNCTION("""COMPUTED_VALUE"""),"Excellent")</f>
        <v>Excellent</v>
      </c>
      <c r="Z3037" s="182" t="str">
        <f>IFERROR(__xludf.DUMMYFUNCTION("""COMPUTED_VALUE"""),"Excellent")</f>
        <v>Excellent</v>
      </c>
      <c r="AA3037" s="182" t="str">
        <f>IFERROR(__xludf.DUMMYFUNCTION("""COMPUTED_VALUE"""),"Poor")</f>
        <v>Poor</v>
      </c>
      <c r="AB3037" s="182" t="str">
        <f>IFERROR(__xludf.DUMMYFUNCTION("""COMPUTED_VALUE"""),"Excellent")</f>
        <v>Excellent</v>
      </c>
      <c r="AC3037" s="183"/>
      <c r="AD3037" s="183"/>
      <c r="AE3037" s="183"/>
      <c r="AF3037" s="184"/>
      <c r="AG3037" s="180"/>
      <c r="AH3037" s="185">
        <f>IFERROR(__xludf.DUMMYFUNCTION("""COMPUTED_VALUE"""),43372.41519010417)</f>
        <v>43372.41519</v>
      </c>
      <c r="AI3037" s="182"/>
      <c r="AJ3037" s="182"/>
      <c r="AK3037" s="182"/>
      <c r="AL3037" s="182"/>
    </row>
    <row r="3038" ht="20.25" customHeight="1">
      <c r="A3038" s="169" t="str">
        <f>IFERROR(__xludf.DUMMYFUNCTION("""COMPUTED_VALUE"""),"Brunurb")</f>
        <v>Brunurb</v>
      </c>
      <c r="B3038" s="170" t="str">
        <f>IFERROR(__xludf.DUMMYFUNCTION("""COMPUTED_VALUE"""),"Stoughton")</f>
        <v>Stoughton</v>
      </c>
      <c r="C3038" s="170" t="str">
        <f>IFERROR(__xludf.DUMMYFUNCTION("""COMPUTED_VALUE"""),"MA")</f>
        <v>MA</v>
      </c>
      <c r="D3038" s="170" t="str">
        <f>IFERROR(__xludf.DUMMYFUNCTION("""COMPUTED_VALUE"""),"USA")</f>
        <v>USA</v>
      </c>
      <c r="E3038" s="171">
        <f>IFERROR(__xludf.DUMMYFUNCTION("""COMPUTED_VALUE"""),43278.0)</f>
        <v>43278</v>
      </c>
      <c r="F3038" s="172">
        <f>IFERROR(__xludf.DUMMYFUNCTION("""COMPUTED_VALUE"""),43327.0)</f>
        <v>43327</v>
      </c>
      <c r="G3038" s="173"/>
      <c r="H3038" s="174">
        <f>IFERROR(__xludf.DUMMYFUNCTION("""COMPUTED_VALUE"""),54255.0)</f>
        <v>54255</v>
      </c>
      <c r="I3038" s="175" t="str">
        <f>IFERROR(__xludf.DUMMYFUNCTION("""COMPUTED_VALUE"""),"08/18")</f>
        <v>08/18</v>
      </c>
      <c r="J3038" s="172">
        <f>IFERROR(__xludf.DUMMYFUNCTION("""COMPUTED_VALUE"""),43349.0)</f>
        <v>43349</v>
      </c>
      <c r="K3038" s="176">
        <f>IFERROR(__xludf.DUMMYFUNCTION("""COMPUTED_VALUE"""),49.0)</f>
        <v>49</v>
      </c>
      <c r="L3038" s="176">
        <f>IFERROR(__xludf.DUMMYFUNCTION("""COMPUTED_VALUE"""),22.0)</f>
        <v>22</v>
      </c>
      <c r="M3038" s="176">
        <f>IFERROR(__xludf.DUMMYFUNCTION("""COMPUTED_VALUE"""),71.0)</f>
        <v>71</v>
      </c>
      <c r="N3038" s="177" t="str">
        <f>IFERROR(__xludf.DUMMYFUNCTION("""COMPUTED_VALUE"""),"Model 3 LR AWD")</f>
        <v>Model 3 LR AWD</v>
      </c>
      <c r="O3038" s="177" t="str">
        <f>IFERROR(__xludf.DUMMYFUNCTION("""COMPUTED_VALUE"""),"Deep Blue Metallic")</f>
        <v>Deep Blue Metallic</v>
      </c>
      <c r="P3038" s="178" t="str">
        <f>IFERROR(__xludf.DUMMYFUNCTION("""COMPUTED_VALUE"""),"18 inch Aero")</f>
        <v>18 inch Aero</v>
      </c>
      <c r="Q3038" s="177" t="str">
        <f>IFERROR(__xludf.DUMMYFUNCTION("""COMPUTED_VALUE"""),"Black seats")</f>
        <v>Black seats</v>
      </c>
      <c r="R3038" s="170" t="str">
        <f>IFERROR(__xludf.DUMMYFUNCTION("""COMPUTED_VALUE"""),"None")</f>
        <v>None</v>
      </c>
      <c r="S3038" s="170"/>
      <c r="T3038" s="179"/>
      <c r="U3038" s="179"/>
      <c r="V3038" s="179"/>
      <c r="W3038" s="180"/>
      <c r="X3038" s="181" t="str">
        <f>IFERROR(__xludf.DUMMYFUNCTION("""COMPUTED_VALUE"""),"Very Good")</f>
        <v>Very Good</v>
      </c>
      <c r="Y3038" s="182" t="str">
        <f>IFERROR(__xludf.DUMMYFUNCTION("""COMPUTED_VALUE"""),"Excellent")</f>
        <v>Excellent</v>
      </c>
      <c r="Z3038" s="182" t="str">
        <f>IFERROR(__xludf.DUMMYFUNCTION("""COMPUTED_VALUE"""),"Excellent")</f>
        <v>Excellent</v>
      </c>
      <c r="AA3038" s="182" t="str">
        <f>IFERROR(__xludf.DUMMYFUNCTION("""COMPUTED_VALUE"""),"Excellent")</f>
        <v>Excellent</v>
      </c>
      <c r="AB3038" s="182" t="str">
        <f>IFERROR(__xludf.DUMMYFUNCTION("""COMPUTED_VALUE"""),"Excellent")</f>
        <v>Excellent</v>
      </c>
      <c r="AC3038" s="183">
        <f>IFERROR(__xludf.DUMMYFUNCTION("""COMPUTED_VALUE"""),0.0)</f>
        <v>0</v>
      </c>
      <c r="AD3038" s="183">
        <f>IFERROR(__xludf.DUMMYFUNCTION("""COMPUTED_VALUE"""),0.0)</f>
        <v>0</v>
      </c>
      <c r="AE3038" s="183">
        <f>IFERROR(__xludf.DUMMYFUNCTION("""COMPUTED_VALUE"""),0.0)</f>
        <v>0</v>
      </c>
      <c r="AF3038" s="184"/>
      <c r="AG3038" s="180"/>
      <c r="AH3038" s="185">
        <f>IFERROR(__xludf.DUMMYFUNCTION("""COMPUTED_VALUE"""),43355.55844327547)</f>
        <v>43355.55844</v>
      </c>
      <c r="AI3038" s="182"/>
      <c r="AJ3038" s="182"/>
      <c r="AK3038" s="182"/>
      <c r="AL3038" s="182"/>
    </row>
    <row r="3039" ht="20.25" customHeight="1">
      <c r="A3039" s="169" t="str">
        <f>IFERROR(__xludf.DUMMYFUNCTION("""COMPUTED_VALUE"""),"bubblysheep")</f>
        <v>bubblysheep</v>
      </c>
      <c r="B3039" s="170" t="str">
        <f>IFERROR(__xludf.DUMMYFUNCTION("""COMPUTED_VALUE"""),"Los Angeles")</f>
        <v>Los Angeles</v>
      </c>
      <c r="C3039" s="170" t="str">
        <f>IFERROR(__xludf.DUMMYFUNCTION("""COMPUTED_VALUE"""),"CA")</f>
        <v>CA</v>
      </c>
      <c r="D3039" s="170" t="str">
        <f>IFERROR(__xludf.DUMMYFUNCTION("""COMPUTED_VALUE"""),"USA")</f>
        <v>USA</v>
      </c>
      <c r="E3039" s="171">
        <f>IFERROR(__xludf.DUMMYFUNCTION("""COMPUTED_VALUE"""),43278.0)</f>
        <v>43278</v>
      </c>
      <c r="F3039" s="172">
        <f>IFERROR(__xludf.DUMMYFUNCTION("""COMPUTED_VALUE"""),43283.0)</f>
        <v>43283</v>
      </c>
      <c r="G3039" s="173"/>
      <c r="H3039" s="174">
        <f>IFERROR(__xludf.DUMMYFUNCTION("""COMPUTED_VALUE"""),41947.0)</f>
        <v>41947</v>
      </c>
      <c r="I3039" s="175" t="str">
        <f>IFERROR(__xludf.DUMMYFUNCTION("""COMPUTED_VALUE"""),"06/18")</f>
        <v>06/18</v>
      </c>
      <c r="J3039" s="172">
        <f>IFERROR(__xludf.DUMMYFUNCTION("""COMPUTED_VALUE"""),43297.0)</f>
        <v>43297</v>
      </c>
      <c r="K3039" s="176">
        <f>IFERROR(__xludf.DUMMYFUNCTION("""COMPUTED_VALUE"""),5.0)</f>
        <v>5</v>
      </c>
      <c r="L3039" s="176">
        <f>IFERROR(__xludf.DUMMYFUNCTION("""COMPUTED_VALUE"""),14.0)</f>
        <v>14</v>
      </c>
      <c r="M3039" s="176">
        <f>IFERROR(__xludf.DUMMYFUNCTION("""COMPUTED_VALUE"""),19.0)</f>
        <v>19</v>
      </c>
      <c r="N3039" s="177" t="str">
        <f>IFERROR(__xludf.DUMMYFUNCTION("""COMPUTED_VALUE"""),"Model 3 LR")</f>
        <v>Model 3 LR</v>
      </c>
      <c r="O3039" s="177" t="str">
        <f>IFERROR(__xludf.DUMMYFUNCTION("""COMPUTED_VALUE"""),"Deep Blue Metallic")</f>
        <v>Deep Blue Metallic</v>
      </c>
      <c r="P3039" s="178" t="str">
        <f>IFERROR(__xludf.DUMMYFUNCTION("""COMPUTED_VALUE"""),"18 inch Aero")</f>
        <v>18 inch Aero</v>
      </c>
      <c r="Q3039" s="177" t="str">
        <f>IFERROR(__xludf.DUMMYFUNCTION("""COMPUTED_VALUE"""),"Black seats")</f>
        <v>Black seats</v>
      </c>
      <c r="R3039" s="170" t="str">
        <f>IFERROR(__xludf.DUMMYFUNCTION("""COMPUTED_VALUE"""),"Enhanced Autopilot")</f>
        <v>Enhanced Autopilot</v>
      </c>
      <c r="S3039" s="170"/>
      <c r="T3039" s="179"/>
      <c r="U3039" s="179"/>
      <c r="V3039" s="179"/>
      <c r="W3039" s="180"/>
      <c r="X3039" s="181" t="str">
        <f>IFERROR(__xludf.DUMMYFUNCTION("""COMPUTED_VALUE"""),"Excellent")</f>
        <v>Excellent</v>
      </c>
      <c r="Y3039" s="182" t="str">
        <f>IFERROR(__xludf.DUMMYFUNCTION("""COMPUTED_VALUE"""),"Excellent")</f>
        <v>Excellent</v>
      </c>
      <c r="Z3039" s="182" t="str">
        <f>IFERROR(__xludf.DUMMYFUNCTION("""COMPUTED_VALUE"""),"Excellent")</f>
        <v>Excellent</v>
      </c>
      <c r="AA3039" s="182" t="str">
        <f>IFERROR(__xludf.DUMMYFUNCTION("""COMPUTED_VALUE"""),"Excellent")</f>
        <v>Excellent</v>
      </c>
      <c r="AB3039" s="182" t="str">
        <f>IFERROR(__xludf.DUMMYFUNCTION("""COMPUTED_VALUE"""),"Very Good")</f>
        <v>Very Good</v>
      </c>
      <c r="AC3039" s="183"/>
      <c r="AD3039" s="183"/>
      <c r="AE3039" s="183"/>
      <c r="AF3039" s="184"/>
      <c r="AG3039" s="180"/>
      <c r="AH3039" s="185">
        <f>IFERROR(__xludf.DUMMYFUNCTION("""COMPUTED_VALUE"""),43297.990043935184)</f>
        <v>43297.99004</v>
      </c>
      <c r="AI3039" s="182"/>
      <c r="AJ3039" s="182"/>
      <c r="AK3039" s="182"/>
      <c r="AL3039" s="182"/>
    </row>
    <row r="3040" ht="20.25" customHeight="1">
      <c r="A3040" s="169" t="str">
        <f>IFERROR(__xludf.DUMMYFUNCTION("""COMPUTED_VALUE"""),"Bullet")</f>
        <v>Bullet</v>
      </c>
      <c r="B3040" s="170" t="str">
        <f>IFERROR(__xludf.DUMMYFUNCTION("""COMPUTED_VALUE"""),"San Diego")</f>
        <v>San Diego</v>
      </c>
      <c r="C3040" s="170" t="str">
        <f>IFERROR(__xludf.DUMMYFUNCTION("""COMPUTED_VALUE"""),"CA")</f>
        <v>CA</v>
      </c>
      <c r="D3040" s="170" t="str">
        <f>IFERROR(__xludf.DUMMYFUNCTION("""COMPUTED_VALUE"""),"USA")</f>
        <v>USA</v>
      </c>
      <c r="E3040" s="171">
        <f>IFERROR(__xludf.DUMMYFUNCTION("""COMPUTED_VALUE"""),43278.0)</f>
        <v>43278</v>
      </c>
      <c r="F3040" s="172">
        <f>IFERROR(__xludf.DUMMYFUNCTION("""COMPUTED_VALUE"""),43298.0)</f>
        <v>43298</v>
      </c>
      <c r="G3040" s="173"/>
      <c r="H3040" s="174">
        <f>IFERROR(__xludf.DUMMYFUNCTION("""COMPUTED_VALUE"""),50255.0)</f>
        <v>50255</v>
      </c>
      <c r="I3040" s="175" t="str">
        <f>IFERROR(__xludf.DUMMYFUNCTION("""COMPUTED_VALUE"""),"07/18")</f>
        <v>07/18</v>
      </c>
      <c r="J3040" s="172">
        <f>IFERROR(__xludf.DUMMYFUNCTION("""COMPUTED_VALUE"""),43308.0)</f>
        <v>43308</v>
      </c>
      <c r="K3040" s="176">
        <f>IFERROR(__xludf.DUMMYFUNCTION("""COMPUTED_VALUE"""),20.0)</f>
        <v>20</v>
      </c>
      <c r="L3040" s="176">
        <f>IFERROR(__xludf.DUMMYFUNCTION("""COMPUTED_VALUE"""),10.0)</f>
        <v>10</v>
      </c>
      <c r="M3040" s="176">
        <f>IFERROR(__xludf.DUMMYFUNCTION("""COMPUTED_VALUE"""),30.0)</f>
        <v>30</v>
      </c>
      <c r="N3040" s="177" t="str">
        <f>IFERROR(__xludf.DUMMYFUNCTION("""COMPUTED_VALUE"""),"Model 3 LR")</f>
        <v>Model 3 LR</v>
      </c>
      <c r="O3040" s="177" t="str">
        <f>IFERROR(__xludf.DUMMYFUNCTION("""COMPUTED_VALUE"""),"Red Multi-Coat")</f>
        <v>Red Multi-Coat</v>
      </c>
      <c r="P3040" s="178" t="str">
        <f>IFERROR(__xludf.DUMMYFUNCTION("""COMPUTED_VALUE"""),"19 inch Sport")</f>
        <v>19 inch Sport</v>
      </c>
      <c r="Q3040" s="177" t="str">
        <f>IFERROR(__xludf.DUMMYFUNCTION("""COMPUTED_VALUE"""),"Black seats")</f>
        <v>Black seats</v>
      </c>
      <c r="R3040" s="170" t="str">
        <f>IFERROR(__xludf.DUMMYFUNCTION("""COMPUTED_VALUE"""),"Full Self-Driving")</f>
        <v>Full Self-Driving</v>
      </c>
      <c r="S3040" s="170"/>
      <c r="T3040" s="179"/>
      <c r="U3040" s="179"/>
      <c r="V3040" s="179"/>
      <c r="W3040" s="180"/>
      <c r="X3040" s="181" t="str">
        <f>IFERROR(__xludf.DUMMYFUNCTION("""COMPUTED_VALUE"""),"Very Good")</f>
        <v>Very Good</v>
      </c>
      <c r="Y3040" s="182" t="str">
        <f>IFERROR(__xludf.DUMMYFUNCTION("""COMPUTED_VALUE"""),"Excellent")</f>
        <v>Excellent</v>
      </c>
      <c r="Z3040" s="182" t="str">
        <f>IFERROR(__xludf.DUMMYFUNCTION("""COMPUTED_VALUE"""),"Very Good")</f>
        <v>Very Good</v>
      </c>
      <c r="AA3040" s="182" t="str">
        <f>IFERROR(__xludf.DUMMYFUNCTION("""COMPUTED_VALUE"""),"Good")</f>
        <v>Good</v>
      </c>
      <c r="AB3040" s="182" t="str">
        <f>IFERROR(__xludf.DUMMYFUNCTION("""COMPUTED_VALUE"""),"Very Good")</f>
        <v>Very Good</v>
      </c>
      <c r="AC3040" s="183">
        <f>IFERROR(__xludf.DUMMYFUNCTION("""COMPUTED_VALUE"""),2.0)</f>
        <v>2</v>
      </c>
      <c r="AD3040" s="183">
        <f>IFERROR(__xludf.DUMMYFUNCTION("""COMPUTED_VALUE"""),0.0)</f>
        <v>0</v>
      </c>
      <c r="AE3040" s="183">
        <f>IFERROR(__xludf.DUMMYFUNCTION("""COMPUTED_VALUE"""),0.0)</f>
        <v>0</v>
      </c>
      <c r="AF3040" s="184"/>
      <c r="AG3040" s="180"/>
      <c r="AH3040" s="185">
        <f>IFERROR(__xludf.DUMMYFUNCTION("""COMPUTED_VALUE"""),43320.28164300926)</f>
        <v>43320.28164</v>
      </c>
      <c r="AI3040" s="182"/>
      <c r="AJ3040" s="182"/>
      <c r="AK3040" s="182"/>
      <c r="AL3040" s="182"/>
    </row>
    <row r="3041" ht="20.25" customHeight="1">
      <c r="A3041" s="169" t="str">
        <f>IFERROR(__xludf.DUMMYFUNCTION("""COMPUTED_VALUE"""),"Car-la")</f>
        <v>Car-la</v>
      </c>
      <c r="B3041" s="170" t="str">
        <f>IFERROR(__xludf.DUMMYFUNCTION("""COMPUTED_VALUE"""),"Roseville")</f>
        <v>Roseville</v>
      </c>
      <c r="C3041" s="170" t="str">
        <f>IFERROR(__xludf.DUMMYFUNCTION("""COMPUTED_VALUE"""),"CA")</f>
        <v>CA</v>
      </c>
      <c r="D3041" s="170" t="str">
        <f>IFERROR(__xludf.DUMMYFUNCTION("""COMPUTED_VALUE"""),"USA")</f>
        <v>USA</v>
      </c>
      <c r="E3041" s="171">
        <f>IFERROR(__xludf.DUMMYFUNCTION("""COMPUTED_VALUE"""),43278.0)</f>
        <v>43278</v>
      </c>
      <c r="F3041" s="172">
        <f>IFERROR(__xludf.DUMMYFUNCTION("""COMPUTED_VALUE"""),43290.0)</f>
        <v>43290</v>
      </c>
      <c r="G3041" s="173"/>
      <c r="H3041" s="174">
        <f>IFERROR(__xludf.DUMMYFUNCTION("""COMPUTED_VALUE"""),46855.0)</f>
        <v>46855</v>
      </c>
      <c r="I3041" s="175"/>
      <c r="J3041" s="172">
        <f>IFERROR(__xludf.DUMMYFUNCTION("""COMPUTED_VALUE"""),43294.0)</f>
        <v>43294</v>
      </c>
      <c r="K3041" s="176">
        <f>IFERROR(__xludf.DUMMYFUNCTION("""COMPUTED_VALUE"""),12.0)</f>
        <v>12</v>
      </c>
      <c r="L3041" s="176">
        <f>IFERROR(__xludf.DUMMYFUNCTION("""COMPUTED_VALUE"""),4.0)</f>
        <v>4</v>
      </c>
      <c r="M3041" s="176">
        <f>IFERROR(__xludf.DUMMYFUNCTION("""COMPUTED_VALUE"""),16.0)</f>
        <v>16</v>
      </c>
      <c r="N3041" s="177" t="str">
        <f>IFERROR(__xludf.DUMMYFUNCTION("""COMPUTED_VALUE"""),"Model 3 LR")</f>
        <v>Model 3 LR</v>
      </c>
      <c r="O3041" s="177" t="str">
        <f>IFERROR(__xludf.DUMMYFUNCTION("""COMPUTED_VALUE"""),"Pearl White Multi-Coat")</f>
        <v>Pearl White Multi-Coat</v>
      </c>
      <c r="P3041" s="178" t="str">
        <f>IFERROR(__xludf.DUMMYFUNCTION("""COMPUTED_VALUE"""),"19 inch Sport")</f>
        <v>19 inch Sport</v>
      </c>
      <c r="Q3041" s="177" t="str">
        <f>IFERROR(__xludf.DUMMYFUNCTION("""COMPUTED_VALUE"""),"Black seats")</f>
        <v>Black seats</v>
      </c>
      <c r="R3041" s="170" t="str">
        <f>IFERROR(__xludf.DUMMYFUNCTION("""COMPUTED_VALUE"""),"None")</f>
        <v>None</v>
      </c>
      <c r="S3041" s="170"/>
      <c r="T3041" s="179"/>
      <c r="U3041" s="179"/>
      <c r="V3041" s="179"/>
      <c r="W3041" s="180"/>
      <c r="X3041" s="181" t="str">
        <f>IFERROR(__xludf.DUMMYFUNCTION("""COMPUTED_VALUE"""),"Excellent")</f>
        <v>Excellent</v>
      </c>
      <c r="Y3041" s="182" t="str">
        <f>IFERROR(__xludf.DUMMYFUNCTION("""COMPUTED_VALUE"""),"Excellent")</f>
        <v>Excellent</v>
      </c>
      <c r="Z3041" s="182" t="str">
        <f>IFERROR(__xludf.DUMMYFUNCTION("""COMPUTED_VALUE"""),"Excellent")</f>
        <v>Excellent</v>
      </c>
      <c r="AA3041" s="182" t="str">
        <f>IFERROR(__xludf.DUMMYFUNCTION("""COMPUTED_VALUE"""),"Very Good")</f>
        <v>Very Good</v>
      </c>
      <c r="AB3041" s="182" t="str">
        <f>IFERROR(__xludf.DUMMYFUNCTION("""COMPUTED_VALUE"""),"Excellent")</f>
        <v>Excellent</v>
      </c>
      <c r="AC3041" s="183">
        <f>IFERROR(__xludf.DUMMYFUNCTION("""COMPUTED_VALUE"""),1.0)</f>
        <v>1</v>
      </c>
      <c r="AD3041" s="183">
        <f>IFERROR(__xludf.DUMMYFUNCTION("""COMPUTED_VALUE"""),1.0)</f>
        <v>1</v>
      </c>
      <c r="AE3041" s="183">
        <f>IFERROR(__xludf.DUMMYFUNCTION("""COMPUTED_VALUE"""),0.0)</f>
        <v>0</v>
      </c>
      <c r="AF3041" s="184"/>
      <c r="AG3041" s="180"/>
      <c r="AH3041" s="185">
        <f>IFERROR(__xludf.DUMMYFUNCTION("""COMPUTED_VALUE"""),43301.662035057874)</f>
        <v>43301.66204</v>
      </c>
      <c r="AI3041" s="182"/>
      <c r="AJ3041" s="182"/>
      <c r="AK3041" s="182"/>
      <c r="AL3041" s="182"/>
    </row>
    <row r="3042" ht="20.25" customHeight="1">
      <c r="A3042" s="169" t="str">
        <f>IFERROR(__xludf.DUMMYFUNCTION("""COMPUTED_VALUE"""),"CarmenV")</f>
        <v>CarmenV</v>
      </c>
      <c r="B3042" s="170" t="str">
        <f>IFERROR(__xludf.DUMMYFUNCTION("""COMPUTED_VALUE"""),"Boston")</f>
        <v>Boston</v>
      </c>
      <c r="C3042" s="170" t="str">
        <f>IFERROR(__xludf.DUMMYFUNCTION("""COMPUTED_VALUE"""),"MA")</f>
        <v>MA</v>
      </c>
      <c r="D3042" s="170" t="str">
        <f>IFERROR(__xludf.DUMMYFUNCTION("""COMPUTED_VALUE"""),"USA")</f>
        <v>USA</v>
      </c>
      <c r="E3042" s="171">
        <f>IFERROR(__xludf.DUMMYFUNCTION("""COMPUTED_VALUE"""),43278.0)</f>
        <v>43278</v>
      </c>
      <c r="F3042" s="172">
        <f>IFERROR(__xludf.DUMMYFUNCTION("""COMPUTED_VALUE"""),43284.0)</f>
        <v>43284</v>
      </c>
      <c r="G3042" s="173"/>
      <c r="H3042" s="174">
        <f>IFERROR(__xludf.DUMMYFUNCTION("""COMPUTED_VALUE"""),35955.0)</f>
        <v>35955</v>
      </c>
      <c r="I3042" s="175" t="str">
        <f>IFERROR(__xludf.DUMMYFUNCTION("""COMPUTED_VALUE"""),"06/18")</f>
        <v>06/18</v>
      </c>
      <c r="J3042" s="172">
        <f>IFERROR(__xludf.DUMMYFUNCTION("""COMPUTED_VALUE"""),43291.0)</f>
        <v>43291</v>
      </c>
      <c r="K3042" s="176">
        <f>IFERROR(__xludf.DUMMYFUNCTION("""COMPUTED_VALUE"""),6.0)</f>
        <v>6</v>
      </c>
      <c r="L3042" s="176">
        <f>IFERROR(__xludf.DUMMYFUNCTION("""COMPUTED_VALUE"""),7.0)</f>
        <v>7</v>
      </c>
      <c r="M3042" s="176">
        <f>IFERROR(__xludf.DUMMYFUNCTION("""COMPUTED_VALUE"""),13.0)</f>
        <v>13</v>
      </c>
      <c r="N3042" s="177" t="str">
        <f>IFERROR(__xludf.DUMMYFUNCTION("""COMPUTED_VALUE"""),"Model 3 LR")</f>
        <v>Model 3 LR</v>
      </c>
      <c r="O3042" s="177" t="str">
        <f>IFERROR(__xludf.DUMMYFUNCTION("""COMPUTED_VALUE"""),"Pearl White Multi-Coat")</f>
        <v>Pearl White Multi-Coat</v>
      </c>
      <c r="P3042" s="178" t="str">
        <f>IFERROR(__xludf.DUMMYFUNCTION("""COMPUTED_VALUE"""),"19 inch Sport")</f>
        <v>19 inch Sport</v>
      </c>
      <c r="Q3042" s="177" t="str">
        <f>IFERROR(__xludf.DUMMYFUNCTION("""COMPUTED_VALUE"""),"Black seats")</f>
        <v>Black seats</v>
      </c>
      <c r="R3042" s="170" t="str">
        <f>IFERROR(__xludf.DUMMYFUNCTION("""COMPUTED_VALUE"""),"Enhanced Autopilot")</f>
        <v>Enhanced Autopilot</v>
      </c>
      <c r="S3042" s="170"/>
      <c r="T3042" s="179"/>
      <c r="U3042" s="179"/>
      <c r="V3042" s="179"/>
      <c r="W3042" s="180"/>
      <c r="X3042" s="181" t="str">
        <f>IFERROR(__xludf.DUMMYFUNCTION("""COMPUTED_VALUE"""),"Excellent")</f>
        <v>Excellent</v>
      </c>
      <c r="Y3042" s="182" t="str">
        <f>IFERROR(__xludf.DUMMYFUNCTION("""COMPUTED_VALUE"""),"Very Good")</f>
        <v>Very Good</v>
      </c>
      <c r="Z3042" s="182" t="str">
        <f>IFERROR(__xludf.DUMMYFUNCTION("""COMPUTED_VALUE"""),"Very Good")</f>
        <v>Very Good</v>
      </c>
      <c r="AA3042" s="182" t="str">
        <f>IFERROR(__xludf.DUMMYFUNCTION("""COMPUTED_VALUE"""),"Good")</f>
        <v>Good</v>
      </c>
      <c r="AB3042" s="182" t="str">
        <f>IFERROR(__xludf.DUMMYFUNCTION("""COMPUTED_VALUE"""),"Very Good")</f>
        <v>Very Good</v>
      </c>
      <c r="AC3042" s="183">
        <f>IFERROR(__xludf.DUMMYFUNCTION("""COMPUTED_VALUE"""),2.0)</f>
        <v>2</v>
      </c>
      <c r="AD3042" s="183"/>
      <c r="AE3042" s="183"/>
      <c r="AF3042" s="184"/>
      <c r="AG3042" s="180"/>
      <c r="AH3042" s="185">
        <f>IFERROR(__xludf.DUMMYFUNCTION("""COMPUTED_VALUE"""),43299.54025659722)</f>
        <v>43299.54026</v>
      </c>
      <c r="AI3042" s="182"/>
      <c r="AJ3042" s="182"/>
      <c r="AK3042" s="182"/>
      <c r="AL3042" s="182"/>
    </row>
    <row r="3043" ht="20.25" customHeight="1">
      <c r="A3043" s="169" t="str">
        <f>IFERROR(__xludf.DUMMYFUNCTION("""COMPUTED_VALUE"""),"CavsIndiansBrowns")</f>
        <v>CavsIndiansBrowns</v>
      </c>
      <c r="B3043" s="170"/>
      <c r="C3043" s="170" t="str">
        <f>IFERROR(__xludf.DUMMYFUNCTION("""COMPUTED_VALUE"""),"MD")</f>
        <v>MD</v>
      </c>
      <c r="D3043" s="170" t="str">
        <f>IFERROR(__xludf.DUMMYFUNCTION("""COMPUTED_VALUE"""),"USA")</f>
        <v>USA</v>
      </c>
      <c r="E3043" s="171">
        <f>IFERROR(__xludf.DUMMYFUNCTION("""COMPUTED_VALUE"""),43278.0)</f>
        <v>43278</v>
      </c>
      <c r="F3043" s="172">
        <f>IFERROR(__xludf.DUMMYFUNCTION("""COMPUTED_VALUE"""),43312.0)</f>
        <v>43312</v>
      </c>
      <c r="G3043" s="173"/>
      <c r="H3043" s="174">
        <f>IFERROR(__xludf.DUMMYFUNCTION("""COMPUTED_VALUE"""),64455.0)</f>
        <v>64455</v>
      </c>
      <c r="I3043" s="175"/>
      <c r="J3043" s="172">
        <f>IFERROR(__xludf.DUMMYFUNCTION("""COMPUTED_VALUE"""),43337.0)</f>
        <v>43337</v>
      </c>
      <c r="K3043" s="176">
        <f>IFERROR(__xludf.DUMMYFUNCTION("""COMPUTED_VALUE"""),34.0)</f>
        <v>34</v>
      </c>
      <c r="L3043" s="176">
        <f>IFERROR(__xludf.DUMMYFUNCTION("""COMPUTED_VALUE"""),25.0)</f>
        <v>25</v>
      </c>
      <c r="M3043" s="176">
        <f>IFERROR(__xludf.DUMMYFUNCTION("""COMPUTED_VALUE"""),59.0)</f>
        <v>59</v>
      </c>
      <c r="N3043" s="177" t="str">
        <f>IFERROR(__xludf.DUMMYFUNCTION("""COMPUTED_VALUE"""),"Model 3 LR AWD")</f>
        <v>Model 3 LR AWD</v>
      </c>
      <c r="O3043" s="177" t="str">
        <f>IFERROR(__xludf.DUMMYFUNCTION("""COMPUTED_VALUE"""),"Deep Blue Metallic")</f>
        <v>Deep Blue Metallic</v>
      </c>
      <c r="P3043" s="178" t="str">
        <f>IFERROR(__xludf.DUMMYFUNCTION("""COMPUTED_VALUE"""),"18 inch Aero")</f>
        <v>18 inch Aero</v>
      </c>
      <c r="Q3043" s="177" t="str">
        <f>IFERROR(__xludf.DUMMYFUNCTION("""COMPUTED_VALUE"""),"Black seats")</f>
        <v>Black seats</v>
      </c>
      <c r="R3043" s="170" t="str">
        <f>IFERROR(__xludf.DUMMYFUNCTION("""COMPUTED_VALUE"""),"Enhanced Autopilot")</f>
        <v>Enhanced Autopilot</v>
      </c>
      <c r="S3043" s="170"/>
      <c r="T3043" s="179"/>
      <c r="U3043" s="179"/>
      <c r="V3043" s="179"/>
      <c r="W3043" s="180"/>
      <c r="X3043" s="181" t="str">
        <f>IFERROR(__xludf.DUMMYFUNCTION("""COMPUTED_VALUE"""),"Very Good")</f>
        <v>Very Good</v>
      </c>
      <c r="Y3043" s="182" t="str">
        <f>IFERROR(__xludf.DUMMYFUNCTION("""COMPUTED_VALUE"""),"Excellent")</f>
        <v>Excellent</v>
      </c>
      <c r="Z3043" s="182" t="str">
        <f>IFERROR(__xludf.DUMMYFUNCTION("""COMPUTED_VALUE"""),"Good")</f>
        <v>Good</v>
      </c>
      <c r="AA3043" s="182" t="str">
        <f>IFERROR(__xludf.DUMMYFUNCTION("""COMPUTED_VALUE"""),"Fair")</f>
        <v>Fair</v>
      </c>
      <c r="AB3043" s="182" t="str">
        <f>IFERROR(__xludf.DUMMYFUNCTION("""COMPUTED_VALUE"""),"Fair")</f>
        <v>Fair</v>
      </c>
      <c r="AC3043" s="183">
        <f>IFERROR(__xludf.DUMMYFUNCTION("""COMPUTED_VALUE"""),4.0)</f>
        <v>4</v>
      </c>
      <c r="AD3043" s="183"/>
      <c r="AE3043" s="183"/>
      <c r="AF3043" s="184"/>
      <c r="AG3043" s="180" t="str">
        <f>IFERROR(__xludf.DUMMYFUNCTION("""COMPUTED_VALUE"""),"Some paint swirls and door frame imperfections, but perfect otherwise!")</f>
        <v>Some paint swirls and door frame imperfections, but perfect otherwise!</v>
      </c>
      <c r="AH3043" s="185">
        <f>IFERROR(__xludf.DUMMYFUNCTION("""COMPUTED_VALUE"""),43337.67434506945)</f>
        <v>43337.67435</v>
      </c>
      <c r="AI3043" s="182"/>
      <c r="AJ3043" s="182"/>
      <c r="AK3043" s="182"/>
      <c r="AL3043" s="182"/>
    </row>
    <row r="3044" ht="20.25" customHeight="1">
      <c r="A3044" s="169" t="str">
        <f>IFERROR(__xludf.DUMMYFUNCTION("""COMPUTED_VALUE"""),"cdugger350")</f>
        <v>cdugger350</v>
      </c>
      <c r="B3044" s="170" t="str">
        <f>IFERROR(__xludf.DUMMYFUNCTION("""COMPUTED_VALUE"""),"West Palm Beach")</f>
        <v>West Palm Beach</v>
      </c>
      <c r="C3044" s="170" t="str">
        <f>IFERROR(__xludf.DUMMYFUNCTION("""COMPUTED_VALUE"""),"FL")</f>
        <v>FL</v>
      </c>
      <c r="D3044" s="170" t="str">
        <f>IFERROR(__xludf.DUMMYFUNCTION("""COMPUTED_VALUE"""),"USA")</f>
        <v>USA</v>
      </c>
      <c r="E3044" s="171">
        <f>IFERROR(__xludf.DUMMYFUNCTION("""COMPUTED_VALUE"""),43278.0)</f>
        <v>43278</v>
      </c>
      <c r="F3044" s="172">
        <f>IFERROR(__xludf.DUMMYFUNCTION("""COMPUTED_VALUE"""),43280.0)</f>
        <v>43280</v>
      </c>
      <c r="G3044" s="173"/>
      <c r="H3044" s="174">
        <f>IFERROR(__xludf.DUMMYFUNCTION("""COMPUTED_VALUE"""),25855.0)</f>
        <v>25855</v>
      </c>
      <c r="I3044" s="175" t="str">
        <f>IFERROR(__xludf.DUMMYFUNCTION("""COMPUTED_VALUE"""),"06/18")</f>
        <v>06/18</v>
      </c>
      <c r="J3044" s="172">
        <f>IFERROR(__xludf.DUMMYFUNCTION("""COMPUTED_VALUE"""),43293.0)</f>
        <v>43293</v>
      </c>
      <c r="K3044" s="176">
        <f>IFERROR(__xludf.DUMMYFUNCTION("""COMPUTED_VALUE"""),2.0)</f>
        <v>2</v>
      </c>
      <c r="L3044" s="176">
        <f>IFERROR(__xludf.DUMMYFUNCTION("""COMPUTED_VALUE"""),13.0)</f>
        <v>13</v>
      </c>
      <c r="M3044" s="176">
        <f>IFERROR(__xludf.DUMMYFUNCTION("""COMPUTED_VALUE"""),15.0)</f>
        <v>15</v>
      </c>
      <c r="N3044" s="177" t="str">
        <f>IFERROR(__xludf.DUMMYFUNCTION("""COMPUTED_VALUE"""),"Model 3 LR")</f>
        <v>Model 3 LR</v>
      </c>
      <c r="O3044" s="177" t="str">
        <f>IFERROR(__xludf.DUMMYFUNCTION("""COMPUTED_VALUE"""),"Midnight Silver Metallic")</f>
        <v>Midnight Silver Metallic</v>
      </c>
      <c r="P3044" s="178" t="str">
        <f>IFERROR(__xludf.DUMMYFUNCTION("""COMPUTED_VALUE"""),"18 inch Aero")</f>
        <v>18 inch Aero</v>
      </c>
      <c r="Q3044" s="177" t="str">
        <f>IFERROR(__xludf.DUMMYFUNCTION("""COMPUTED_VALUE"""),"Black seats")</f>
        <v>Black seats</v>
      </c>
      <c r="R3044" s="170" t="str">
        <f>IFERROR(__xludf.DUMMYFUNCTION("""COMPUTED_VALUE"""),"Full Self-Driving")</f>
        <v>Full Self-Driving</v>
      </c>
      <c r="S3044" s="170"/>
      <c r="T3044" s="179"/>
      <c r="U3044" s="179"/>
      <c r="V3044" s="179"/>
      <c r="W3044" s="180"/>
      <c r="X3044" s="181" t="str">
        <f>IFERROR(__xludf.DUMMYFUNCTION("""COMPUTED_VALUE"""),"Excellent")</f>
        <v>Excellent</v>
      </c>
      <c r="Y3044" s="182" t="str">
        <f>IFERROR(__xludf.DUMMYFUNCTION("""COMPUTED_VALUE"""),"Very Good")</f>
        <v>Very Good</v>
      </c>
      <c r="Z3044" s="182" t="str">
        <f>IFERROR(__xludf.DUMMYFUNCTION("""COMPUTED_VALUE"""),"Very Good")</f>
        <v>Very Good</v>
      </c>
      <c r="AA3044" s="182" t="str">
        <f>IFERROR(__xludf.DUMMYFUNCTION("""COMPUTED_VALUE"""),"Excellent")</f>
        <v>Excellent</v>
      </c>
      <c r="AB3044" s="182" t="str">
        <f>IFERROR(__xludf.DUMMYFUNCTION("""COMPUTED_VALUE"""),"Good")</f>
        <v>Good</v>
      </c>
      <c r="AC3044" s="183">
        <f>IFERROR(__xludf.DUMMYFUNCTION("""COMPUTED_VALUE"""),4.0)</f>
        <v>4</v>
      </c>
      <c r="AD3044" s="183"/>
      <c r="AE3044" s="183"/>
      <c r="AF3044" s="184"/>
      <c r="AG3044" s="180"/>
      <c r="AH3044" s="185">
        <f>IFERROR(__xludf.DUMMYFUNCTION("""COMPUTED_VALUE"""),43293.52198597222)</f>
        <v>43293.52199</v>
      </c>
      <c r="AI3044" s="182"/>
      <c r="AJ3044" s="182"/>
      <c r="AK3044" s="182"/>
      <c r="AL3044" s="182"/>
    </row>
    <row r="3045" ht="20.25" customHeight="1">
      <c r="A3045" s="169" t="str">
        <f>IFERROR(__xludf.DUMMYFUNCTION("""COMPUTED_VALUE"""),"cfscott78")</f>
        <v>cfscott78</v>
      </c>
      <c r="B3045" s="170" t="str">
        <f>IFERROR(__xludf.DUMMYFUNCTION("""COMPUTED_VALUE"""),"Houston")</f>
        <v>Houston</v>
      </c>
      <c r="C3045" s="170" t="str">
        <f>IFERROR(__xludf.DUMMYFUNCTION("""COMPUTED_VALUE"""),"TX")</f>
        <v>TX</v>
      </c>
      <c r="D3045" s="170" t="str">
        <f>IFERROR(__xludf.DUMMYFUNCTION("""COMPUTED_VALUE"""),"USA")</f>
        <v>USA</v>
      </c>
      <c r="E3045" s="171">
        <f>IFERROR(__xludf.DUMMYFUNCTION("""COMPUTED_VALUE"""),43278.0)</f>
        <v>43278</v>
      </c>
      <c r="F3045" s="172">
        <f>IFERROR(__xludf.DUMMYFUNCTION("""COMPUTED_VALUE"""),43290.0)</f>
        <v>43290</v>
      </c>
      <c r="G3045" s="173"/>
      <c r="H3045" s="174">
        <f>IFERROR(__xludf.DUMMYFUNCTION("""COMPUTED_VALUE"""),31890.0)</f>
        <v>31890</v>
      </c>
      <c r="I3045" s="175" t="str">
        <f>IFERROR(__xludf.DUMMYFUNCTION("""COMPUTED_VALUE"""),"06/18")</f>
        <v>06/18</v>
      </c>
      <c r="J3045" s="172">
        <f>IFERROR(__xludf.DUMMYFUNCTION("""COMPUTED_VALUE"""),43334.0)</f>
        <v>43334</v>
      </c>
      <c r="K3045" s="176">
        <f>IFERROR(__xludf.DUMMYFUNCTION("""COMPUTED_VALUE"""),12.0)</f>
        <v>12</v>
      </c>
      <c r="L3045" s="176">
        <f>IFERROR(__xludf.DUMMYFUNCTION("""COMPUTED_VALUE"""),44.0)</f>
        <v>44</v>
      </c>
      <c r="M3045" s="176">
        <f>IFERROR(__xludf.DUMMYFUNCTION("""COMPUTED_VALUE"""),56.0)</f>
        <v>56</v>
      </c>
      <c r="N3045" s="177" t="str">
        <f>IFERROR(__xludf.DUMMYFUNCTION("""COMPUTED_VALUE"""),"Model 3 LR")</f>
        <v>Model 3 LR</v>
      </c>
      <c r="O3045" s="177" t="str">
        <f>IFERROR(__xludf.DUMMYFUNCTION("""COMPUTED_VALUE"""),"Deep Blue Metallic")</f>
        <v>Deep Blue Metallic</v>
      </c>
      <c r="P3045" s="178" t="str">
        <f>IFERROR(__xludf.DUMMYFUNCTION("""COMPUTED_VALUE"""),"18 inch Aero")</f>
        <v>18 inch Aero</v>
      </c>
      <c r="Q3045" s="177" t="str">
        <f>IFERROR(__xludf.DUMMYFUNCTION("""COMPUTED_VALUE"""),"Black seats")</f>
        <v>Black seats</v>
      </c>
      <c r="R3045" s="170" t="str">
        <f>IFERROR(__xludf.DUMMYFUNCTION("""COMPUTED_VALUE"""),"Full Self-Driving")</f>
        <v>Full Self-Driving</v>
      </c>
      <c r="S3045" s="170"/>
      <c r="T3045" s="179"/>
      <c r="U3045" s="179"/>
      <c r="V3045" s="179"/>
      <c r="W3045" s="180"/>
      <c r="X3045" s="181" t="str">
        <f>IFERROR(__xludf.DUMMYFUNCTION("""COMPUTED_VALUE"""),"Excellent")</f>
        <v>Excellent</v>
      </c>
      <c r="Y3045" s="182" t="str">
        <f>IFERROR(__xludf.DUMMYFUNCTION("""COMPUTED_VALUE"""),"Excellent")</f>
        <v>Excellent</v>
      </c>
      <c r="Z3045" s="182" t="str">
        <f>IFERROR(__xludf.DUMMYFUNCTION("""COMPUTED_VALUE"""),"Excellent")</f>
        <v>Excellent</v>
      </c>
      <c r="AA3045" s="182" t="str">
        <f>IFERROR(__xludf.DUMMYFUNCTION("""COMPUTED_VALUE"""),"Very Good")</f>
        <v>Very Good</v>
      </c>
      <c r="AB3045" s="182" t="str">
        <f>IFERROR(__xludf.DUMMYFUNCTION("""COMPUTED_VALUE"""),"Excellent")</f>
        <v>Excellent</v>
      </c>
      <c r="AC3045" s="183">
        <f>IFERROR(__xludf.DUMMYFUNCTION("""COMPUTED_VALUE"""),0.0)</f>
        <v>0</v>
      </c>
      <c r="AD3045" s="183">
        <f>IFERROR(__xludf.DUMMYFUNCTION("""COMPUTED_VALUE"""),0.0)</f>
        <v>0</v>
      </c>
      <c r="AE3045" s="183">
        <f>IFERROR(__xludf.DUMMYFUNCTION("""COMPUTED_VALUE"""),0.0)</f>
        <v>0</v>
      </c>
      <c r="AF3045" s="184"/>
      <c r="AG3045" s="180" t="str">
        <f>IFERROR(__xludf.DUMMYFUNCTION("""COMPUTED_VALUE"""),"Late to the party - but car is just compelling")</f>
        <v>Late to the party - but car is just compelling</v>
      </c>
      <c r="AH3045" s="185">
        <f>IFERROR(__xludf.DUMMYFUNCTION("""COMPUTED_VALUE"""),43354.823249803245)</f>
        <v>43354.82325</v>
      </c>
      <c r="AI3045" s="182"/>
      <c r="AJ3045" s="182"/>
      <c r="AK3045" s="182"/>
      <c r="AL3045" s="182"/>
    </row>
    <row r="3046" ht="20.25" customHeight="1">
      <c r="A3046" s="169" t="str">
        <f>IFERROR(__xludf.DUMMYFUNCTION("""COMPUTED_VALUE"""),"Chan B")</f>
        <v>Chan B</v>
      </c>
      <c r="B3046" s="170" t="str">
        <f>IFERROR(__xludf.DUMMYFUNCTION("""COMPUTED_VALUE"""),"Winter Garden")</f>
        <v>Winter Garden</v>
      </c>
      <c r="C3046" s="170" t="str">
        <f>IFERROR(__xludf.DUMMYFUNCTION("""COMPUTED_VALUE"""),"FL")</f>
        <v>FL</v>
      </c>
      <c r="D3046" s="170" t="str">
        <f>IFERROR(__xludf.DUMMYFUNCTION("""COMPUTED_VALUE"""),"USA")</f>
        <v>USA</v>
      </c>
      <c r="E3046" s="171">
        <f>IFERROR(__xludf.DUMMYFUNCTION("""COMPUTED_VALUE"""),43278.0)</f>
        <v>43278</v>
      </c>
      <c r="F3046" s="172">
        <f>IFERROR(__xludf.DUMMYFUNCTION("""COMPUTED_VALUE"""),43284.0)</f>
        <v>43284</v>
      </c>
      <c r="G3046" s="173"/>
      <c r="H3046" s="174">
        <f>IFERROR(__xludf.DUMMYFUNCTION("""COMPUTED_VALUE"""),34060.0)</f>
        <v>34060</v>
      </c>
      <c r="I3046" s="175" t="str">
        <f>IFERROR(__xludf.DUMMYFUNCTION("""COMPUTED_VALUE"""),"06/18")</f>
        <v>06/18</v>
      </c>
      <c r="J3046" s="172">
        <f>IFERROR(__xludf.DUMMYFUNCTION("""COMPUTED_VALUE"""),43292.0)</f>
        <v>43292</v>
      </c>
      <c r="K3046" s="176">
        <f>IFERROR(__xludf.DUMMYFUNCTION("""COMPUTED_VALUE"""),6.0)</f>
        <v>6</v>
      </c>
      <c r="L3046" s="176">
        <f>IFERROR(__xludf.DUMMYFUNCTION("""COMPUTED_VALUE"""),8.0)</f>
        <v>8</v>
      </c>
      <c r="M3046" s="176">
        <f>IFERROR(__xludf.DUMMYFUNCTION("""COMPUTED_VALUE"""),14.0)</f>
        <v>14</v>
      </c>
      <c r="N3046" s="177" t="str">
        <f>IFERROR(__xludf.DUMMYFUNCTION("""COMPUTED_VALUE"""),"Model 3 LR")</f>
        <v>Model 3 LR</v>
      </c>
      <c r="O3046" s="177" t="str">
        <f>IFERROR(__xludf.DUMMYFUNCTION("""COMPUTED_VALUE"""),"Red Multi-Coat")</f>
        <v>Red Multi-Coat</v>
      </c>
      <c r="P3046" s="178" t="str">
        <f>IFERROR(__xludf.DUMMYFUNCTION("""COMPUTED_VALUE"""),"18 inch Aero")</f>
        <v>18 inch Aero</v>
      </c>
      <c r="Q3046" s="177" t="str">
        <f>IFERROR(__xludf.DUMMYFUNCTION("""COMPUTED_VALUE"""),"Black seats")</f>
        <v>Black seats</v>
      </c>
      <c r="R3046" s="170" t="str">
        <f>IFERROR(__xludf.DUMMYFUNCTION("""COMPUTED_VALUE"""),"Full Self-Driving")</f>
        <v>Full Self-Driving</v>
      </c>
      <c r="S3046" s="170"/>
      <c r="T3046" s="179"/>
      <c r="U3046" s="179"/>
      <c r="V3046" s="179"/>
      <c r="W3046" s="180"/>
      <c r="X3046" s="181" t="str">
        <f>IFERROR(__xludf.DUMMYFUNCTION("""COMPUTED_VALUE"""),"Excellent")</f>
        <v>Excellent</v>
      </c>
      <c r="Y3046" s="182" t="str">
        <f>IFERROR(__xludf.DUMMYFUNCTION("""COMPUTED_VALUE"""),"Excellent")</f>
        <v>Excellent</v>
      </c>
      <c r="Z3046" s="182" t="str">
        <f>IFERROR(__xludf.DUMMYFUNCTION("""COMPUTED_VALUE"""),"Excellent")</f>
        <v>Excellent</v>
      </c>
      <c r="AA3046" s="182" t="str">
        <f>IFERROR(__xludf.DUMMYFUNCTION("""COMPUTED_VALUE"""),"Good")</f>
        <v>Good</v>
      </c>
      <c r="AB3046" s="182" t="str">
        <f>IFERROR(__xludf.DUMMYFUNCTION("""COMPUTED_VALUE"""),"Good")</f>
        <v>Good</v>
      </c>
      <c r="AC3046" s="183">
        <f>IFERROR(__xludf.DUMMYFUNCTION("""COMPUTED_VALUE"""),2.0)</f>
        <v>2</v>
      </c>
      <c r="AD3046" s="183"/>
      <c r="AE3046" s="183"/>
      <c r="AF3046" s="184"/>
      <c r="AG3046" s="180"/>
      <c r="AH3046" s="185">
        <f>IFERROR(__xludf.DUMMYFUNCTION("""COMPUTED_VALUE"""),43336.619706956015)</f>
        <v>43336.61971</v>
      </c>
      <c r="AI3046" s="182"/>
      <c r="AJ3046" s="182"/>
      <c r="AK3046" s="182"/>
      <c r="AL3046" s="182"/>
    </row>
    <row r="3047" ht="20.25" customHeight="1">
      <c r="A3047" s="169" t="str">
        <f>IFERROR(__xludf.DUMMYFUNCTION("""COMPUTED_VALUE"""),"chihuahua")</f>
        <v>chihuahua</v>
      </c>
      <c r="B3047" s="170" t="str">
        <f>IFERROR(__xludf.DUMMYFUNCTION("""COMPUTED_VALUE"""),"Annapolis")</f>
        <v>Annapolis</v>
      </c>
      <c r="C3047" s="170" t="str">
        <f>IFERROR(__xludf.DUMMYFUNCTION("""COMPUTED_VALUE"""),"MD")</f>
        <v>MD</v>
      </c>
      <c r="D3047" s="170" t="str">
        <f>IFERROR(__xludf.DUMMYFUNCTION("""COMPUTED_VALUE"""),"USA")</f>
        <v>USA</v>
      </c>
      <c r="E3047" s="171">
        <f>IFERROR(__xludf.DUMMYFUNCTION("""COMPUTED_VALUE"""),43278.0)</f>
        <v>43278</v>
      </c>
      <c r="F3047" s="172">
        <f>IFERROR(__xludf.DUMMYFUNCTION("""COMPUTED_VALUE"""),43280.0)</f>
        <v>43280</v>
      </c>
      <c r="G3047" s="173"/>
      <c r="H3047" s="174">
        <f>IFERROR(__xludf.DUMMYFUNCTION("""COMPUTED_VALUE"""),27755.0)</f>
        <v>27755</v>
      </c>
      <c r="I3047" s="175"/>
      <c r="J3047" s="172">
        <f>IFERROR(__xludf.DUMMYFUNCTION("""COMPUTED_VALUE"""),43320.0)</f>
        <v>43320</v>
      </c>
      <c r="K3047" s="176">
        <f>IFERROR(__xludf.DUMMYFUNCTION("""COMPUTED_VALUE"""),2.0)</f>
        <v>2</v>
      </c>
      <c r="L3047" s="176">
        <f>IFERROR(__xludf.DUMMYFUNCTION("""COMPUTED_VALUE"""),40.0)</f>
        <v>40</v>
      </c>
      <c r="M3047" s="176">
        <f>IFERROR(__xludf.DUMMYFUNCTION("""COMPUTED_VALUE"""),42.0)</f>
        <v>42</v>
      </c>
      <c r="N3047" s="177" t="str">
        <f>IFERROR(__xludf.DUMMYFUNCTION("""COMPUTED_VALUE"""),"Model 3 LR")</f>
        <v>Model 3 LR</v>
      </c>
      <c r="O3047" s="177" t="str">
        <f>IFERROR(__xludf.DUMMYFUNCTION("""COMPUTED_VALUE"""),"Deep Blue Metallic")</f>
        <v>Deep Blue Metallic</v>
      </c>
      <c r="P3047" s="178" t="str">
        <f>IFERROR(__xludf.DUMMYFUNCTION("""COMPUTED_VALUE"""),"18 inch Aero")</f>
        <v>18 inch Aero</v>
      </c>
      <c r="Q3047" s="177" t="str">
        <f>IFERROR(__xludf.DUMMYFUNCTION("""COMPUTED_VALUE"""),"Black seats")</f>
        <v>Black seats</v>
      </c>
      <c r="R3047" s="170" t="str">
        <f>IFERROR(__xludf.DUMMYFUNCTION("""COMPUTED_VALUE"""),"Enhanced Autopilot")</f>
        <v>Enhanced Autopilot</v>
      </c>
      <c r="S3047" s="170"/>
      <c r="T3047" s="179"/>
      <c r="U3047" s="179"/>
      <c r="V3047" s="179"/>
      <c r="W3047" s="180"/>
      <c r="X3047" s="181" t="str">
        <f>IFERROR(__xludf.DUMMYFUNCTION("""COMPUTED_VALUE"""),"Good")</f>
        <v>Good</v>
      </c>
      <c r="Y3047" s="182" t="str">
        <f>IFERROR(__xludf.DUMMYFUNCTION("""COMPUTED_VALUE"""),"Excellent")</f>
        <v>Excellent</v>
      </c>
      <c r="Z3047" s="182" t="str">
        <f>IFERROR(__xludf.DUMMYFUNCTION("""COMPUTED_VALUE"""),"Fair")</f>
        <v>Fair</v>
      </c>
      <c r="AA3047" s="182" t="str">
        <f>IFERROR(__xludf.DUMMYFUNCTION("""COMPUTED_VALUE"""),"Poor")</f>
        <v>Poor</v>
      </c>
      <c r="AB3047" s="182" t="str">
        <f>IFERROR(__xludf.DUMMYFUNCTION("""COMPUTED_VALUE"""),"Good")</f>
        <v>Good</v>
      </c>
      <c r="AC3047" s="183">
        <f>IFERROR(__xludf.DUMMYFUNCTION("""COMPUTED_VALUE"""),5.0)</f>
        <v>5</v>
      </c>
      <c r="AD3047" s="183"/>
      <c r="AE3047" s="183"/>
      <c r="AF3047" s="184"/>
      <c r="AG3047" s="180"/>
      <c r="AH3047" s="185">
        <f>IFERROR(__xludf.DUMMYFUNCTION("""COMPUTED_VALUE"""),43321.46422966435)</f>
        <v>43321.46423</v>
      </c>
      <c r="AI3047" s="182"/>
      <c r="AJ3047" s="182"/>
      <c r="AK3047" s="182"/>
      <c r="AL3047" s="182"/>
    </row>
    <row r="3048" ht="20.25" customHeight="1">
      <c r="A3048" s="169" t="str">
        <f>IFERROR(__xludf.DUMMYFUNCTION("""COMPUTED_VALUE"""),"circleo12")</f>
        <v>circleo12</v>
      </c>
      <c r="B3048" s="170" t="str">
        <f>IFERROR(__xludf.DUMMYFUNCTION("""COMPUTED_VALUE"""),"Anderson")</f>
        <v>Anderson</v>
      </c>
      <c r="C3048" s="170" t="str">
        <f>IFERROR(__xludf.DUMMYFUNCTION("""COMPUTED_VALUE"""),"SC")</f>
        <v>SC</v>
      </c>
      <c r="D3048" s="170" t="str">
        <f>IFERROR(__xludf.DUMMYFUNCTION("""COMPUTED_VALUE"""),"USA")</f>
        <v>USA</v>
      </c>
      <c r="E3048" s="171">
        <f>IFERROR(__xludf.DUMMYFUNCTION("""COMPUTED_VALUE"""),43278.0)</f>
        <v>43278</v>
      </c>
      <c r="F3048" s="172">
        <f>IFERROR(__xludf.DUMMYFUNCTION("""COMPUTED_VALUE"""),43348.0)</f>
        <v>43348</v>
      </c>
      <c r="G3048" s="173"/>
      <c r="H3048" s="174">
        <f>IFERROR(__xludf.DUMMYFUNCTION("""COMPUTED_VALUE"""),89155.0)</f>
        <v>89155</v>
      </c>
      <c r="I3048" s="175"/>
      <c r="J3048" s="172">
        <f>IFERROR(__xludf.DUMMYFUNCTION("""COMPUTED_VALUE"""),43360.0)</f>
        <v>43360</v>
      </c>
      <c r="K3048" s="176">
        <f>IFERROR(__xludf.DUMMYFUNCTION("""COMPUTED_VALUE"""),70.0)</f>
        <v>70</v>
      </c>
      <c r="L3048" s="176">
        <f>IFERROR(__xludf.DUMMYFUNCTION("""COMPUTED_VALUE"""),12.0)</f>
        <v>12</v>
      </c>
      <c r="M3048" s="176">
        <f>IFERROR(__xludf.DUMMYFUNCTION("""COMPUTED_VALUE"""),82.0)</f>
        <v>82</v>
      </c>
      <c r="N3048" s="177" t="str">
        <f>IFERROR(__xludf.DUMMYFUNCTION("""COMPUTED_VALUE"""),"Model 3 LR")</f>
        <v>Model 3 LR</v>
      </c>
      <c r="O3048" s="177" t="str">
        <f>IFERROR(__xludf.DUMMYFUNCTION("""COMPUTED_VALUE"""),"Obsidian Black Metallic")</f>
        <v>Obsidian Black Metallic</v>
      </c>
      <c r="P3048" s="178" t="str">
        <f>IFERROR(__xludf.DUMMYFUNCTION("""COMPUTED_VALUE"""),"18 inch Aero")</f>
        <v>18 inch Aero</v>
      </c>
      <c r="Q3048" s="177" t="str">
        <f>IFERROR(__xludf.DUMMYFUNCTION("""COMPUTED_VALUE"""),"Black seats")</f>
        <v>Black seats</v>
      </c>
      <c r="R3048" s="170" t="str">
        <f>IFERROR(__xludf.DUMMYFUNCTION("""COMPUTED_VALUE"""),"Enhanced Autopilot")</f>
        <v>Enhanced Autopilot</v>
      </c>
      <c r="S3048" s="170"/>
      <c r="T3048" s="179"/>
      <c r="U3048" s="179"/>
      <c r="V3048" s="179"/>
      <c r="W3048" s="180"/>
      <c r="X3048" s="181" t="str">
        <f>IFERROR(__xludf.DUMMYFUNCTION("""COMPUTED_VALUE"""),"Excellent")</f>
        <v>Excellent</v>
      </c>
      <c r="Y3048" s="182" t="str">
        <f>IFERROR(__xludf.DUMMYFUNCTION("""COMPUTED_VALUE"""),"Excellent")</f>
        <v>Excellent</v>
      </c>
      <c r="Z3048" s="182" t="str">
        <f>IFERROR(__xludf.DUMMYFUNCTION("""COMPUTED_VALUE"""),"Excellent")</f>
        <v>Excellent</v>
      </c>
      <c r="AA3048" s="182" t="str">
        <f>IFERROR(__xludf.DUMMYFUNCTION("""COMPUTED_VALUE"""),"Good")</f>
        <v>Good</v>
      </c>
      <c r="AB3048" s="182" t="str">
        <f>IFERROR(__xludf.DUMMYFUNCTION("""COMPUTED_VALUE"""),"Excellent")</f>
        <v>Excellent</v>
      </c>
      <c r="AC3048" s="183"/>
      <c r="AD3048" s="183"/>
      <c r="AE3048" s="183"/>
      <c r="AF3048" s="184"/>
      <c r="AG3048" s="180"/>
      <c r="AH3048" s="185">
        <f>IFERROR(__xludf.DUMMYFUNCTION("""COMPUTED_VALUE"""),43360.77546607639)</f>
        <v>43360.77547</v>
      </c>
      <c r="AI3048" s="182"/>
      <c r="AJ3048" s="182"/>
      <c r="AK3048" s="182"/>
      <c r="AL3048" s="182"/>
    </row>
    <row r="3049" ht="20.25" customHeight="1">
      <c r="A3049" s="169" t="str">
        <f>IFERROR(__xludf.DUMMYFUNCTION("""COMPUTED_VALUE"""),"Clubmaker")</f>
        <v>Clubmaker</v>
      </c>
      <c r="B3049" s="170" t="str">
        <f>IFERROR(__xludf.DUMMYFUNCTION("""COMPUTED_VALUE"""),"Chicago")</f>
        <v>Chicago</v>
      </c>
      <c r="C3049" s="170" t="str">
        <f>IFERROR(__xludf.DUMMYFUNCTION("""COMPUTED_VALUE"""),"IL")</f>
        <v>IL</v>
      </c>
      <c r="D3049" s="170" t="str">
        <f>IFERROR(__xludf.DUMMYFUNCTION("""COMPUTED_VALUE"""),"USA")</f>
        <v>USA</v>
      </c>
      <c r="E3049" s="171">
        <f>IFERROR(__xludf.DUMMYFUNCTION("""COMPUTED_VALUE"""),43278.0)</f>
        <v>43278</v>
      </c>
      <c r="F3049" s="172">
        <f>IFERROR(__xludf.DUMMYFUNCTION("""COMPUTED_VALUE"""),43363.0)</f>
        <v>43363</v>
      </c>
      <c r="G3049" s="173"/>
      <c r="H3049" s="174">
        <f>IFERROR(__xludf.DUMMYFUNCTION("""COMPUTED_VALUE"""),71555.0)</f>
        <v>71555</v>
      </c>
      <c r="I3049" s="175" t="str">
        <f>IFERROR(__xludf.DUMMYFUNCTION("""COMPUTED_VALUE"""),"09/18")</f>
        <v>09/18</v>
      </c>
      <c r="J3049" s="172">
        <f>IFERROR(__xludf.DUMMYFUNCTION("""COMPUTED_VALUE"""),43372.0)</f>
        <v>43372</v>
      </c>
      <c r="K3049" s="176">
        <f>IFERROR(__xludf.DUMMYFUNCTION("""COMPUTED_VALUE"""),85.0)</f>
        <v>85</v>
      </c>
      <c r="L3049" s="176">
        <f>IFERROR(__xludf.DUMMYFUNCTION("""COMPUTED_VALUE"""),9.0)</f>
        <v>9</v>
      </c>
      <c r="M3049" s="176">
        <f>IFERROR(__xludf.DUMMYFUNCTION("""COMPUTED_VALUE"""),94.0)</f>
        <v>94</v>
      </c>
      <c r="N3049" s="177" t="str">
        <f>IFERROR(__xludf.DUMMYFUNCTION("""COMPUTED_VALUE"""),"Model 3 LR AWD")</f>
        <v>Model 3 LR AWD</v>
      </c>
      <c r="O3049" s="177" t="str">
        <f>IFERROR(__xludf.DUMMYFUNCTION("""COMPUTED_VALUE"""),"Obsidian Black Metallic")</f>
        <v>Obsidian Black Metallic</v>
      </c>
      <c r="P3049" s="178" t="str">
        <f>IFERROR(__xludf.DUMMYFUNCTION("""COMPUTED_VALUE"""),"19 inch Sport")</f>
        <v>19 inch Sport</v>
      </c>
      <c r="Q3049" s="177" t="str">
        <f>IFERROR(__xludf.DUMMYFUNCTION("""COMPUTED_VALUE"""),"Black seats")</f>
        <v>Black seats</v>
      </c>
      <c r="R3049" s="170" t="str">
        <f>IFERROR(__xludf.DUMMYFUNCTION("""COMPUTED_VALUE"""),"Full Self-Driving")</f>
        <v>Full Self-Driving</v>
      </c>
      <c r="S3049" s="170"/>
      <c r="T3049" s="179"/>
      <c r="U3049" s="179"/>
      <c r="V3049" s="179"/>
      <c r="W3049" s="180"/>
      <c r="X3049" s="181" t="str">
        <f>IFERROR(__xludf.DUMMYFUNCTION("""COMPUTED_VALUE"""),"Excellent")</f>
        <v>Excellent</v>
      </c>
      <c r="Y3049" s="182" t="str">
        <f>IFERROR(__xludf.DUMMYFUNCTION("""COMPUTED_VALUE"""),"Excellent")</f>
        <v>Excellent</v>
      </c>
      <c r="Z3049" s="182" t="str">
        <f>IFERROR(__xludf.DUMMYFUNCTION("""COMPUTED_VALUE"""),"Excellent")</f>
        <v>Excellent</v>
      </c>
      <c r="AA3049" s="182" t="str">
        <f>IFERROR(__xludf.DUMMYFUNCTION("""COMPUTED_VALUE"""),"Very Good")</f>
        <v>Very Good</v>
      </c>
      <c r="AB3049" s="182" t="str">
        <f>IFERROR(__xludf.DUMMYFUNCTION("""COMPUTED_VALUE"""),"Very Good")</f>
        <v>Very Good</v>
      </c>
      <c r="AC3049" s="183"/>
      <c r="AD3049" s="183"/>
      <c r="AE3049" s="183"/>
      <c r="AF3049" s="184"/>
      <c r="AG3049" s="180"/>
      <c r="AH3049" s="185">
        <f>IFERROR(__xludf.DUMMYFUNCTION("""COMPUTED_VALUE"""),43376.41420237269)</f>
        <v>43376.4142</v>
      </c>
      <c r="AI3049" s="182"/>
      <c r="AJ3049" s="182"/>
      <c r="AK3049" s="182"/>
      <c r="AL3049" s="182"/>
    </row>
    <row r="3050" ht="20.25" customHeight="1">
      <c r="A3050" s="169" t="str">
        <f>IFERROR(__xludf.DUMMYFUNCTION("""COMPUTED_VALUE"""),"Concordesst")</f>
        <v>Concordesst</v>
      </c>
      <c r="B3050" s="170" t="str">
        <f>IFERROR(__xludf.DUMMYFUNCTION("""COMPUTED_VALUE"""),"Minneapolis")</f>
        <v>Minneapolis</v>
      </c>
      <c r="C3050" s="170" t="str">
        <f>IFERROR(__xludf.DUMMYFUNCTION("""COMPUTED_VALUE"""),"MN")</f>
        <v>MN</v>
      </c>
      <c r="D3050" s="170" t="str">
        <f>IFERROR(__xludf.DUMMYFUNCTION("""COMPUTED_VALUE"""),"USA")</f>
        <v>USA</v>
      </c>
      <c r="E3050" s="171">
        <f>IFERROR(__xludf.DUMMYFUNCTION("""COMPUTED_VALUE"""),43278.0)</f>
        <v>43278</v>
      </c>
      <c r="F3050" s="172">
        <f>IFERROR(__xludf.DUMMYFUNCTION("""COMPUTED_VALUE"""),43358.0)</f>
        <v>43358</v>
      </c>
      <c r="G3050" s="173"/>
      <c r="H3050" s="174">
        <f>IFERROR(__xludf.DUMMYFUNCTION("""COMPUTED_VALUE"""),103755.0)</f>
        <v>103755</v>
      </c>
      <c r="I3050" s="175" t="str">
        <f>IFERROR(__xludf.DUMMYFUNCTION("""COMPUTED_VALUE"""),"09/18")</f>
        <v>09/18</v>
      </c>
      <c r="J3050" s="172">
        <f>IFERROR(__xludf.DUMMYFUNCTION("""COMPUTED_VALUE"""),43370.0)</f>
        <v>43370</v>
      </c>
      <c r="K3050" s="176">
        <f>IFERROR(__xludf.DUMMYFUNCTION("""COMPUTED_VALUE"""),80.0)</f>
        <v>80</v>
      </c>
      <c r="L3050" s="176">
        <f>IFERROR(__xludf.DUMMYFUNCTION("""COMPUTED_VALUE"""),12.0)</f>
        <v>12</v>
      </c>
      <c r="M3050" s="176">
        <f>IFERROR(__xludf.DUMMYFUNCTION("""COMPUTED_VALUE"""),92.0)</f>
        <v>92</v>
      </c>
      <c r="N3050" s="177" t="str">
        <f>IFERROR(__xludf.DUMMYFUNCTION("""COMPUTED_VALUE"""),"Model 3 LR AWD")</f>
        <v>Model 3 LR AWD</v>
      </c>
      <c r="O3050" s="177" t="str">
        <f>IFERROR(__xludf.DUMMYFUNCTION("""COMPUTED_VALUE"""),"Midnight Silver Metallic")</f>
        <v>Midnight Silver Metallic</v>
      </c>
      <c r="P3050" s="178" t="str">
        <f>IFERROR(__xludf.DUMMYFUNCTION("""COMPUTED_VALUE"""),"18 inch Aero")</f>
        <v>18 inch Aero</v>
      </c>
      <c r="Q3050" s="177" t="str">
        <f>IFERROR(__xludf.DUMMYFUNCTION("""COMPUTED_VALUE"""),"Black seats")</f>
        <v>Black seats</v>
      </c>
      <c r="R3050" s="170" t="str">
        <f>IFERROR(__xludf.DUMMYFUNCTION("""COMPUTED_VALUE"""),"Full Self-Driving")</f>
        <v>Full Self-Driving</v>
      </c>
      <c r="S3050" s="170"/>
      <c r="T3050" s="179"/>
      <c r="U3050" s="179"/>
      <c r="V3050" s="179"/>
      <c r="W3050" s="180"/>
      <c r="X3050" s="181" t="str">
        <f>IFERROR(__xludf.DUMMYFUNCTION("""COMPUTED_VALUE"""),"Excellent")</f>
        <v>Excellent</v>
      </c>
      <c r="Y3050" s="182" t="str">
        <f>IFERROR(__xludf.DUMMYFUNCTION("""COMPUTED_VALUE"""),"Excellent")</f>
        <v>Excellent</v>
      </c>
      <c r="Z3050" s="182" t="str">
        <f>IFERROR(__xludf.DUMMYFUNCTION("""COMPUTED_VALUE"""),"Excellent")</f>
        <v>Excellent</v>
      </c>
      <c r="AA3050" s="182" t="str">
        <f>IFERROR(__xludf.DUMMYFUNCTION("""COMPUTED_VALUE"""),"Excellent")</f>
        <v>Excellent</v>
      </c>
      <c r="AB3050" s="182" t="str">
        <f>IFERROR(__xludf.DUMMYFUNCTION("""COMPUTED_VALUE"""),"Excellent")</f>
        <v>Excellent</v>
      </c>
      <c r="AC3050" s="183">
        <f>IFERROR(__xludf.DUMMYFUNCTION("""COMPUTED_VALUE"""),1.0)</f>
        <v>1</v>
      </c>
      <c r="AD3050" s="183"/>
      <c r="AE3050" s="183"/>
      <c r="AF3050" s="184"/>
      <c r="AG3050" s="180"/>
      <c r="AH3050" s="185">
        <f>IFERROR(__xludf.DUMMYFUNCTION("""COMPUTED_VALUE"""),43379.33928112269)</f>
        <v>43379.33928</v>
      </c>
      <c r="AI3050" s="182"/>
      <c r="AJ3050" s="182"/>
      <c r="AK3050" s="182"/>
      <c r="AL3050" s="182"/>
    </row>
    <row r="3051" ht="20.25" customHeight="1">
      <c r="A3051" s="169" t="str">
        <f>IFERROR(__xludf.DUMMYFUNCTION("""COMPUTED_VALUE"""),"ConMan")</f>
        <v>ConMan</v>
      </c>
      <c r="B3051" s="170" t="str">
        <f>IFERROR(__xludf.DUMMYFUNCTION("""COMPUTED_VALUE"""),"Denver")</f>
        <v>Denver</v>
      </c>
      <c r="C3051" s="170" t="str">
        <f>IFERROR(__xludf.DUMMYFUNCTION("""COMPUTED_VALUE"""),"CO")</f>
        <v>CO</v>
      </c>
      <c r="D3051" s="170" t="str">
        <f>IFERROR(__xludf.DUMMYFUNCTION("""COMPUTED_VALUE"""),"USA")</f>
        <v>USA</v>
      </c>
      <c r="E3051" s="171">
        <f>IFERROR(__xludf.DUMMYFUNCTION("""COMPUTED_VALUE"""),43278.0)</f>
        <v>43278</v>
      </c>
      <c r="F3051" s="172">
        <f>IFERROR(__xludf.DUMMYFUNCTION("""COMPUTED_VALUE"""),43325.0)</f>
        <v>43325</v>
      </c>
      <c r="G3051" s="173"/>
      <c r="H3051" s="174">
        <f>IFERROR(__xludf.DUMMYFUNCTION("""COMPUTED_VALUE"""),70055.0)</f>
        <v>70055</v>
      </c>
      <c r="I3051" s="175"/>
      <c r="J3051" s="172">
        <f>IFERROR(__xludf.DUMMYFUNCTION("""COMPUTED_VALUE"""),43333.0)</f>
        <v>43333</v>
      </c>
      <c r="K3051" s="176">
        <f>IFERROR(__xludf.DUMMYFUNCTION("""COMPUTED_VALUE"""),47.0)</f>
        <v>47</v>
      </c>
      <c r="L3051" s="176">
        <f>IFERROR(__xludf.DUMMYFUNCTION("""COMPUTED_VALUE"""),8.0)</f>
        <v>8</v>
      </c>
      <c r="M3051" s="176">
        <f>IFERROR(__xludf.DUMMYFUNCTION("""COMPUTED_VALUE"""),55.0)</f>
        <v>55</v>
      </c>
      <c r="N3051" s="177" t="str">
        <f>IFERROR(__xludf.DUMMYFUNCTION("""COMPUTED_VALUE"""),"Model 3 Performance")</f>
        <v>Model 3 Performance</v>
      </c>
      <c r="O3051" s="177" t="str">
        <f>IFERROR(__xludf.DUMMYFUNCTION("""COMPUTED_VALUE"""),"Obsidian Black Metallic")</f>
        <v>Obsidian Black Metallic</v>
      </c>
      <c r="P3051" s="178" t="str">
        <f>IFERROR(__xludf.DUMMYFUNCTION("""COMPUTED_VALUE"""),"20 inch Sport")</f>
        <v>20 inch Sport</v>
      </c>
      <c r="Q3051" s="177" t="str">
        <f>IFERROR(__xludf.DUMMYFUNCTION("""COMPUTED_VALUE"""),"White seats")</f>
        <v>White seats</v>
      </c>
      <c r="R3051" s="170" t="str">
        <f>IFERROR(__xludf.DUMMYFUNCTION("""COMPUTED_VALUE"""),"Enhanced Autopilot")</f>
        <v>Enhanced Autopilot</v>
      </c>
      <c r="S3051" s="170"/>
      <c r="T3051" s="179"/>
      <c r="U3051" s="179"/>
      <c r="V3051" s="179"/>
      <c r="W3051" s="180"/>
      <c r="X3051" s="181" t="str">
        <f>IFERROR(__xludf.DUMMYFUNCTION("""COMPUTED_VALUE"""),"Excellent")</f>
        <v>Excellent</v>
      </c>
      <c r="Y3051" s="182" t="str">
        <f>IFERROR(__xludf.DUMMYFUNCTION("""COMPUTED_VALUE"""),"Excellent")</f>
        <v>Excellent</v>
      </c>
      <c r="Z3051" s="182" t="str">
        <f>IFERROR(__xludf.DUMMYFUNCTION("""COMPUTED_VALUE"""),"Excellent")</f>
        <v>Excellent</v>
      </c>
      <c r="AA3051" s="182" t="str">
        <f>IFERROR(__xludf.DUMMYFUNCTION("""COMPUTED_VALUE"""),"Excellent")</f>
        <v>Excellent</v>
      </c>
      <c r="AB3051" s="182" t="str">
        <f>IFERROR(__xludf.DUMMYFUNCTION("""COMPUTED_VALUE"""),"Very Good")</f>
        <v>Very Good</v>
      </c>
      <c r="AC3051" s="183">
        <f>IFERROR(__xludf.DUMMYFUNCTION("""COMPUTED_VALUE"""),0.0)</f>
        <v>0</v>
      </c>
      <c r="AD3051" s="183">
        <f>IFERROR(__xludf.DUMMYFUNCTION("""COMPUTED_VALUE"""),0.0)</f>
        <v>0</v>
      </c>
      <c r="AE3051" s="183">
        <f>IFERROR(__xludf.DUMMYFUNCTION("""COMPUTED_VALUE"""),0.0)</f>
        <v>0</v>
      </c>
      <c r="AF3051" s="184"/>
      <c r="AG3051" s="180"/>
      <c r="AH3051" s="185">
        <f>IFERROR(__xludf.DUMMYFUNCTION("""COMPUTED_VALUE"""),43333.54197572917)</f>
        <v>43333.54198</v>
      </c>
      <c r="AI3051" s="182"/>
      <c r="AJ3051" s="182"/>
      <c r="AK3051" s="182"/>
      <c r="AL3051" s="182"/>
    </row>
    <row r="3052" ht="20.25" customHeight="1">
      <c r="A3052" s="169" t="str">
        <f>IFERROR(__xludf.DUMMYFUNCTION("""COMPUTED_VALUE"""),"cpaulsell")</f>
        <v>cpaulsell</v>
      </c>
      <c r="B3052" s="170" t="str">
        <f>IFERROR(__xludf.DUMMYFUNCTION("""COMPUTED_VALUE"""),"Michigan")</f>
        <v>Michigan</v>
      </c>
      <c r="C3052" s="170" t="str">
        <f>IFERROR(__xludf.DUMMYFUNCTION("""COMPUTED_VALUE"""),"MI")</f>
        <v>MI</v>
      </c>
      <c r="D3052" s="170" t="str">
        <f>IFERROR(__xludf.DUMMYFUNCTION("""COMPUTED_VALUE"""),"USA")</f>
        <v>USA</v>
      </c>
      <c r="E3052" s="171">
        <f>IFERROR(__xludf.DUMMYFUNCTION("""COMPUTED_VALUE"""),43278.0)</f>
        <v>43278</v>
      </c>
      <c r="F3052" s="172">
        <f>IFERROR(__xludf.DUMMYFUNCTION("""COMPUTED_VALUE"""),43360.0)</f>
        <v>43360</v>
      </c>
      <c r="G3052" s="173"/>
      <c r="H3052" s="174">
        <f>IFERROR(__xludf.DUMMYFUNCTION("""COMPUTED_VALUE"""),87355.0)</f>
        <v>87355</v>
      </c>
      <c r="I3052" s="175" t="str">
        <f>IFERROR(__xludf.DUMMYFUNCTION("""COMPUTED_VALUE"""),"09/18")</f>
        <v>09/18</v>
      </c>
      <c r="J3052" s="172">
        <f>IFERROR(__xludf.DUMMYFUNCTION("""COMPUTED_VALUE"""),43373.0)</f>
        <v>43373</v>
      </c>
      <c r="K3052" s="176">
        <f>IFERROR(__xludf.DUMMYFUNCTION("""COMPUTED_VALUE"""),82.0)</f>
        <v>82</v>
      </c>
      <c r="L3052" s="176">
        <f>IFERROR(__xludf.DUMMYFUNCTION("""COMPUTED_VALUE"""),13.0)</f>
        <v>13</v>
      </c>
      <c r="M3052" s="176">
        <f>IFERROR(__xludf.DUMMYFUNCTION("""COMPUTED_VALUE"""),95.0)</f>
        <v>95</v>
      </c>
      <c r="N3052" s="177" t="str">
        <f>IFERROR(__xludf.DUMMYFUNCTION("""COMPUTED_VALUE"""),"Model 3 LR AWD")</f>
        <v>Model 3 LR AWD</v>
      </c>
      <c r="O3052" s="177" t="str">
        <f>IFERROR(__xludf.DUMMYFUNCTION("""COMPUTED_VALUE"""),"Midnight Silver Metallic")</f>
        <v>Midnight Silver Metallic</v>
      </c>
      <c r="P3052" s="178" t="str">
        <f>IFERROR(__xludf.DUMMYFUNCTION("""COMPUTED_VALUE"""),"19 inch Sport")</f>
        <v>19 inch Sport</v>
      </c>
      <c r="Q3052" s="177" t="str">
        <f>IFERROR(__xludf.DUMMYFUNCTION("""COMPUTED_VALUE"""),"White seats")</f>
        <v>White seats</v>
      </c>
      <c r="R3052" s="170" t="str">
        <f>IFERROR(__xludf.DUMMYFUNCTION("""COMPUTED_VALUE"""),"Enhanced Autopilot")</f>
        <v>Enhanced Autopilot</v>
      </c>
      <c r="S3052" s="170"/>
      <c r="T3052" s="179"/>
      <c r="U3052" s="179"/>
      <c r="V3052" s="179"/>
      <c r="W3052" s="180"/>
      <c r="X3052" s="181" t="str">
        <f>IFERROR(__xludf.DUMMYFUNCTION("""COMPUTED_VALUE"""),"Good")</f>
        <v>Good</v>
      </c>
      <c r="Y3052" s="182" t="str">
        <f>IFERROR(__xludf.DUMMYFUNCTION("""COMPUTED_VALUE"""),"Excellent")</f>
        <v>Excellent</v>
      </c>
      <c r="Z3052" s="182" t="str">
        <f>IFERROR(__xludf.DUMMYFUNCTION("""COMPUTED_VALUE"""),"Very Good")</f>
        <v>Very Good</v>
      </c>
      <c r="AA3052" s="182" t="str">
        <f>IFERROR(__xludf.DUMMYFUNCTION("""COMPUTED_VALUE"""),"Poor")</f>
        <v>Poor</v>
      </c>
      <c r="AB3052" s="182" t="str">
        <f>IFERROR(__xludf.DUMMYFUNCTION("""COMPUTED_VALUE"""),"Poor")</f>
        <v>Poor</v>
      </c>
      <c r="AC3052" s="183">
        <f>IFERROR(__xludf.DUMMYFUNCTION("""COMPUTED_VALUE"""),0.0)</f>
        <v>0</v>
      </c>
      <c r="AD3052" s="183">
        <f>IFERROR(__xludf.DUMMYFUNCTION("""COMPUTED_VALUE"""),0.0)</f>
        <v>0</v>
      </c>
      <c r="AE3052" s="183">
        <f>IFERROR(__xludf.DUMMYFUNCTION("""COMPUTED_VALUE"""),0.0)</f>
        <v>0</v>
      </c>
      <c r="AF3052" s="184"/>
      <c r="AG3052" s="180"/>
      <c r="AH3052" s="185">
        <f>IFERROR(__xludf.DUMMYFUNCTION("""COMPUTED_VALUE"""),43374.35266631945)</f>
        <v>43374.35267</v>
      </c>
      <c r="AI3052" s="182"/>
      <c r="AJ3052" s="182"/>
      <c r="AK3052" s="182"/>
      <c r="AL3052" s="182"/>
    </row>
    <row r="3053" ht="20.25" customHeight="1">
      <c r="A3053" s="169" t="str">
        <f>IFERROR(__xludf.DUMMYFUNCTION("""COMPUTED_VALUE"""),"CyberTruckTexan")</f>
        <v>CyberTruckTexan</v>
      </c>
      <c r="B3053" s="170" t="str">
        <f>IFERROR(__xludf.DUMMYFUNCTION("""COMPUTED_VALUE"""),"Dallas")</f>
        <v>Dallas</v>
      </c>
      <c r="C3053" s="170" t="str">
        <f>IFERROR(__xludf.DUMMYFUNCTION("""COMPUTED_VALUE"""),"TX")</f>
        <v>TX</v>
      </c>
      <c r="D3053" s="170" t="str">
        <f>IFERROR(__xludf.DUMMYFUNCTION("""COMPUTED_VALUE"""),"USA")</f>
        <v>USA</v>
      </c>
      <c r="E3053" s="171">
        <f>IFERROR(__xludf.DUMMYFUNCTION("""COMPUTED_VALUE"""),43278.0)</f>
        <v>43278</v>
      </c>
      <c r="F3053" s="172">
        <f>IFERROR(__xludf.DUMMYFUNCTION("""COMPUTED_VALUE"""),43342.0)</f>
        <v>43342</v>
      </c>
      <c r="G3053" s="173" t="str">
        <f>IFERROR(__xludf.DUMMYFUNCTION("""COMPUTED_VALUE"""),"Email")</f>
        <v>Email</v>
      </c>
      <c r="H3053" s="174"/>
      <c r="I3053" s="175"/>
      <c r="J3053" s="172">
        <f>IFERROR(__xludf.DUMMYFUNCTION("""COMPUTED_VALUE"""),43371.0)</f>
        <v>43371</v>
      </c>
      <c r="K3053" s="176">
        <f>IFERROR(__xludf.DUMMYFUNCTION("""COMPUTED_VALUE"""),64.0)</f>
        <v>64</v>
      </c>
      <c r="L3053" s="176">
        <f>IFERROR(__xludf.DUMMYFUNCTION("""COMPUTED_VALUE"""),29.0)</f>
        <v>29</v>
      </c>
      <c r="M3053" s="176">
        <f>IFERROR(__xludf.DUMMYFUNCTION("""COMPUTED_VALUE"""),93.0)</f>
        <v>93</v>
      </c>
      <c r="N3053" s="177" t="str">
        <f>IFERROR(__xludf.DUMMYFUNCTION("""COMPUTED_VALUE"""),"Model 3 LR AWD")</f>
        <v>Model 3 LR AWD</v>
      </c>
      <c r="O3053" s="177" t="str">
        <f>IFERROR(__xludf.DUMMYFUNCTION("""COMPUTED_VALUE"""),"Pearl White Multi-Coat")</f>
        <v>Pearl White Multi-Coat</v>
      </c>
      <c r="P3053" s="178" t="str">
        <f>IFERROR(__xludf.DUMMYFUNCTION("""COMPUTED_VALUE"""),"18 inch")</f>
        <v>18 inch</v>
      </c>
      <c r="Q3053" s="177" t="str">
        <f>IFERROR(__xludf.DUMMYFUNCTION("""COMPUTED_VALUE"""),"Black and White")</f>
        <v>Black and White</v>
      </c>
      <c r="R3053" s="170" t="str">
        <f>IFERROR(__xludf.DUMMYFUNCTION("""COMPUTED_VALUE"""),"Full Self-Driving")</f>
        <v>Full Self-Driving</v>
      </c>
      <c r="S3053" s="170" t="str">
        <f>IFERROR(__xludf.DUMMYFUNCTION("""COMPUTED_VALUE"""),"Loan")</f>
        <v>Loan</v>
      </c>
      <c r="T3053" s="179" t="str">
        <f>IFERROR(__xludf.DUMMYFUNCTION("""COMPUTED_VALUE"""),"Tesla Model 3")</f>
        <v>Tesla Model 3</v>
      </c>
      <c r="U3053" s="179" t="str">
        <f>IFERROR(__xludf.DUMMYFUNCTION("""COMPUTED_VALUE"""),"Electric!")</f>
        <v>Electric!</v>
      </c>
      <c r="V3053" s="179" t="str">
        <f>IFERROR(__xludf.DUMMYFUNCTION("""COMPUTED_VALUE"""),"Automatic door handle present")</f>
        <v>Automatic door handle present</v>
      </c>
      <c r="W3053" s="180" t="str">
        <f>IFERROR(__xludf.DUMMYFUNCTION("""COMPUTED_VALUE"""),"Inspect the vehicle with critical eyes and don't be afraid to point out defects and schedule an appointment to have the issues addressed.")</f>
        <v>Inspect the vehicle with critical eyes and don't be afraid to point out defects and schedule an appointment to have the issues addressed.</v>
      </c>
      <c r="X3053" s="181" t="str">
        <f>IFERROR(__xludf.DUMMYFUNCTION("""COMPUTED_VALUE"""),"Poor")</f>
        <v>Poor</v>
      </c>
      <c r="Y3053" s="182" t="str">
        <f>IFERROR(__xludf.DUMMYFUNCTION("""COMPUTED_VALUE"""),"Fair")</f>
        <v>Fair</v>
      </c>
      <c r="Z3053" s="182" t="str">
        <f>IFERROR(__xludf.DUMMYFUNCTION("""COMPUTED_VALUE"""),"Fair")</f>
        <v>Fair</v>
      </c>
      <c r="AA3053" s="182" t="str">
        <f>IFERROR(__xludf.DUMMYFUNCTION("""COMPUTED_VALUE"""),"Very Good")</f>
        <v>Very Good</v>
      </c>
      <c r="AB3053" s="182" t="str">
        <f>IFERROR(__xludf.DUMMYFUNCTION("""COMPUTED_VALUE"""),"Very Good")</f>
        <v>Very Good</v>
      </c>
      <c r="AC3053" s="183">
        <f>IFERROR(__xludf.DUMMYFUNCTION("""COMPUTED_VALUE"""),9.0)</f>
        <v>9</v>
      </c>
      <c r="AD3053" s="183">
        <f>IFERROR(__xludf.DUMMYFUNCTION("""COMPUTED_VALUE"""),1.0)</f>
        <v>1</v>
      </c>
      <c r="AE3053" s="183">
        <f>IFERROR(__xludf.DUMMYFUNCTION("""COMPUTED_VALUE"""),7.0)</f>
        <v>7</v>
      </c>
      <c r="AF3053" s="184" t="str">
        <f>IFERROR(__xludf.DUMMYFUNCTION("""COMPUTED_VALUE"""),"No. I took delivery of the first car Tesla was able to deliver.")</f>
        <v>No. I took delivery of the first car Tesla was able to deliver.</v>
      </c>
      <c r="AG3053" s="180"/>
      <c r="AH3053" s="185">
        <f>IFERROR(__xludf.DUMMYFUNCTION("""COMPUTED_VALUE"""),44439.812125497694)</f>
        <v>44439.81213</v>
      </c>
      <c r="AI3053" s="182"/>
      <c r="AJ3053" s="182"/>
      <c r="AK3053" s="182"/>
      <c r="AL3053" s="182"/>
    </row>
    <row r="3054" ht="20.25" customHeight="1">
      <c r="A3054" s="169" t="str">
        <f>IFERROR(__xludf.DUMMYFUNCTION("""COMPUTED_VALUE"""),"cylarian")</f>
        <v>cylarian</v>
      </c>
      <c r="B3054" s="170" t="str">
        <f>IFERROR(__xludf.DUMMYFUNCTION("""COMPUTED_VALUE"""),"San Diego")</f>
        <v>San Diego</v>
      </c>
      <c r="C3054" s="170" t="str">
        <f>IFERROR(__xludf.DUMMYFUNCTION("""COMPUTED_VALUE"""),"CA")</f>
        <v>CA</v>
      </c>
      <c r="D3054" s="170" t="str">
        <f>IFERROR(__xludf.DUMMYFUNCTION("""COMPUTED_VALUE"""),"USA")</f>
        <v>USA</v>
      </c>
      <c r="E3054" s="171">
        <f>IFERROR(__xludf.DUMMYFUNCTION("""COMPUTED_VALUE"""),43278.0)</f>
        <v>43278</v>
      </c>
      <c r="F3054" s="172">
        <f>IFERROR(__xludf.DUMMYFUNCTION("""COMPUTED_VALUE"""),43370.0)</f>
        <v>43370</v>
      </c>
      <c r="G3054" s="173"/>
      <c r="H3054" s="174">
        <f>IFERROR(__xludf.DUMMYFUNCTION("""COMPUTED_VALUE"""),93955.0)</f>
        <v>93955</v>
      </c>
      <c r="I3054" s="175" t="str">
        <f>IFERROR(__xludf.DUMMYFUNCTION("""COMPUTED_VALUE"""),"09/18")</f>
        <v>09/18</v>
      </c>
      <c r="J3054" s="172">
        <f>IFERROR(__xludf.DUMMYFUNCTION("""COMPUTED_VALUE"""),43372.0)</f>
        <v>43372</v>
      </c>
      <c r="K3054" s="176">
        <f>IFERROR(__xludf.DUMMYFUNCTION("""COMPUTED_VALUE"""),92.0)</f>
        <v>92</v>
      </c>
      <c r="L3054" s="176">
        <f>IFERROR(__xludf.DUMMYFUNCTION("""COMPUTED_VALUE"""),2.0)</f>
        <v>2</v>
      </c>
      <c r="M3054" s="176">
        <f>IFERROR(__xludf.DUMMYFUNCTION("""COMPUTED_VALUE"""),94.0)</f>
        <v>94</v>
      </c>
      <c r="N3054" s="177" t="str">
        <f>IFERROR(__xludf.DUMMYFUNCTION("""COMPUTED_VALUE"""),"Model 3 LR AWD")</f>
        <v>Model 3 LR AWD</v>
      </c>
      <c r="O3054" s="177" t="str">
        <f>IFERROR(__xludf.DUMMYFUNCTION("""COMPUTED_VALUE"""),"Deep Blue Metallic")</f>
        <v>Deep Blue Metallic</v>
      </c>
      <c r="P3054" s="178" t="str">
        <f>IFERROR(__xludf.DUMMYFUNCTION("""COMPUTED_VALUE"""),"18 inch Aero")</f>
        <v>18 inch Aero</v>
      </c>
      <c r="Q3054" s="177" t="str">
        <f>IFERROR(__xludf.DUMMYFUNCTION("""COMPUTED_VALUE"""),"Black seats")</f>
        <v>Black seats</v>
      </c>
      <c r="R3054" s="170" t="str">
        <f>IFERROR(__xludf.DUMMYFUNCTION("""COMPUTED_VALUE"""),"Full Self-Driving")</f>
        <v>Full Self-Driving</v>
      </c>
      <c r="S3054" s="170"/>
      <c r="T3054" s="179"/>
      <c r="U3054" s="179"/>
      <c r="V3054" s="179"/>
      <c r="W3054" s="180"/>
      <c r="X3054" s="181" t="str">
        <f>IFERROR(__xludf.DUMMYFUNCTION("""COMPUTED_VALUE"""),"Fair")</f>
        <v>Fair</v>
      </c>
      <c r="Y3054" s="182" t="str">
        <f>IFERROR(__xludf.DUMMYFUNCTION("""COMPUTED_VALUE"""),"Fair")</f>
        <v>Fair</v>
      </c>
      <c r="Z3054" s="182" t="str">
        <f>IFERROR(__xludf.DUMMYFUNCTION("""COMPUTED_VALUE"""),"Fair")</f>
        <v>Fair</v>
      </c>
      <c r="AA3054" s="182" t="str">
        <f>IFERROR(__xludf.DUMMYFUNCTION("""COMPUTED_VALUE"""),"Poor")</f>
        <v>Poor</v>
      </c>
      <c r="AB3054" s="182" t="str">
        <f>IFERROR(__xludf.DUMMYFUNCTION("""COMPUTED_VALUE"""),"Fair")</f>
        <v>Fair</v>
      </c>
      <c r="AC3054" s="183">
        <f>IFERROR(__xludf.DUMMYFUNCTION("""COMPUTED_VALUE"""),8.0)</f>
        <v>8</v>
      </c>
      <c r="AD3054" s="183"/>
      <c r="AE3054" s="183"/>
      <c r="AF3054" s="184"/>
      <c r="AG3054" s="180"/>
      <c r="AH3054" s="185">
        <f>IFERROR(__xludf.DUMMYFUNCTION("""COMPUTED_VALUE"""),43373.630613078705)</f>
        <v>43373.63061</v>
      </c>
      <c r="AI3054" s="182"/>
      <c r="AJ3054" s="182"/>
      <c r="AK3054" s="182"/>
      <c r="AL3054" s="182"/>
    </row>
    <row r="3055" ht="20.25" customHeight="1">
      <c r="A3055" s="169" t="str">
        <f>IFERROR(__xludf.DUMMYFUNCTION("""COMPUTED_VALUE"""),"D-Chord")</f>
        <v>D-Chord</v>
      </c>
      <c r="B3055" s="170" t="str">
        <f>IFERROR(__xludf.DUMMYFUNCTION("""COMPUTED_VALUE"""),"Valmeyer")</f>
        <v>Valmeyer</v>
      </c>
      <c r="C3055" s="170" t="str">
        <f>IFERROR(__xludf.DUMMYFUNCTION("""COMPUTED_VALUE"""),"IL")</f>
        <v>IL</v>
      </c>
      <c r="D3055" s="170" t="str">
        <f>IFERROR(__xludf.DUMMYFUNCTION("""COMPUTED_VALUE"""),"USA")</f>
        <v>USA</v>
      </c>
      <c r="E3055" s="171">
        <f>IFERROR(__xludf.DUMMYFUNCTION("""COMPUTED_VALUE"""),43278.0)</f>
        <v>43278</v>
      </c>
      <c r="F3055" s="172">
        <f>IFERROR(__xludf.DUMMYFUNCTION("""COMPUTED_VALUE"""),43327.0)</f>
        <v>43327</v>
      </c>
      <c r="G3055" s="173"/>
      <c r="H3055" s="174">
        <f>IFERROR(__xludf.DUMMYFUNCTION("""COMPUTED_VALUE"""),64613.0)</f>
        <v>64613</v>
      </c>
      <c r="I3055" s="175"/>
      <c r="J3055" s="172">
        <f>IFERROR(__xludf.DUMMYFUNCTION("""COMPUTED_VALUE"""),43348.0)</f>
        <v>43348</v>
      </c>
      <c r="K3055" s="176">
        <f>IFERROR(__xludf.DUMMYFUNCTION("""COMPUTED_VALUE"""),49.0)</f>
        <v>49</v>
      </c>
      <c r="L3055" s="176">
        <f>IFERROR(__xludf.DUMMYFUNCTION("""COMPUTED_VALUE"""),21.0)</f>
        <v>21</v>
      </c>
      <c r="M3055" s="176">
        <f>IFERROR(__xludf.DUMMYFUNCTION("""COMPUTED_VALUE"""),70.0)</f>
        <v>70</v>
      </c>
      <c r="N3055" s="177" t="str">
        <f>IFERROR(__xludf.DUMMYFUNCTION("""COMPUTED_VALUE"""),"Model 3 LR AWD")</f>
        <v>Model 3 LR AWD</v>
      </c>
      <c r="O3055" s="177" t="str">
        <f>IFERROR(__xludf.DUMMYFUNCTION("""COMPUTED_VALUE"""),"Deep Blue Metallic")</f>
        <v>Deep Blue Metallic</v>
      </c>
      <c r="P3055" s="178" t="str">
        <f>IFERROR(__xludf.DUMMYFUNCTION("""COMPUTED_VALUE"""),"18 inch Aero")</f>
        <v>18 inch Aero</v>
      </c>
      <c r="Q3055" s="177" t="str">
        <f>IFERROR(__xludf.DUMMYFUNCTION("""COMPUTED_VALUE"""),"Black seats")</f>
        <v>Black seats</v>
      </c>
      <c r="R3055" s="170" t="str">
        <f>IFERROR(__xludf.DUMMYFUNCTION("""COMPUTED_VALUE"""),"Enhanced Autopilot")</f>
        <v>Enhanced Autopilot</v>
      </c>
      <c r="S3055" s="170"/>
      <c r="T3055" s="179"/>
      <c r="U3055" s="179"/>
      <c r="V3055" s="179"/>
      <c r="W3055" s="180"/>
      <c r="X3055" s="181" t="str">
        <f>IFERROR(__xludf.DUMMYFUNCTION("""COMPUTED_VALUE"""),"Very Good")</f>
        <v>Very Good</v>
      </c>
      <c r="Y3055" s="182" t="str">
        <f>IFERROR(__xludf.DUMMYFUNCTION("""COMPUTED_VALUE"""),"Excellent")</f>
        <v>Excellent</v>
      </c>
      <c r="Z3055" s="182" t="str">
        <f>IFERROR(__xludf.DUMMYFUNCTION("""COMPUTED_VALUE"""),"Excellent")</f>
        <v>Excellent</v>
      </c>
      <c r="AA3055" s="182" t="str">
        <f>IFERROR(__xludf.DUMMYFUNCTION("""COMPUTED_VALUE"""),"Excellent")</f>
        <v>Excellent</v>
      </c>
      <c r="AB3055" s="182" t="str">
        <f>IFERROR(__xludf.DUMMYFUNCTION("""COMPUTED_VALUE"""),"Excellent")</f>
        <v>Excellent</v>
      </c>
      <c r="AC3055" s="183"/>
      <c r="AD3055" s="183"/>
      <c r="AE3055" s="183"/>
      <c r="AF3055" s="184"/>
      <c r="AG3055" s="180"/>
      <c r="AH3055" s="185">
        <f>IFERROR(__xludf.DUMMYFUNCTION("""COMPUTED_VALUE"""),43350.62033835648)</f>
        <v>43350.62034</v>
      </c>
      <c r="AI3055" s="182"/>
      <c r="AJ3055" s="182"/>
      <c r="AK3055" s="182"/>
      <c r="AL3055" s="182"/>
    </row>
    <row r="3056" ht="20.25" customHeight="1">
      <c r="A3056" s="169" t="str">
        <f>IFERROR(__xludf.DUMMYFUNCTION("""COMPUTED_VALUE"""),"D7G8D")</f>
        <v>D7G8D</v>
      </c>
      <c r="B3056" s="170" t="str">
        <f>IFERROR(__xludf.DUMMYFUNCTION("""COMPUTED_VALUE"""),"Laval")</f>
        <v>Laval</v>
      </c>
      <c r="C3056" s="170" t="str">
        <f>IFERROR(__xludf.DUMMYFUNCTION("""COMPUTED_VALUE"""),"QC")</f>
        <v>QC</v>
      </c>
      <c r="D3056" s="170" t="str">
        <f>IFERROR(__xludf.DUMMYFUNCTION("""COMPUTED_VALUE"""),"Canada")</f>
        <v>Canada</v>
      </c>
      <c r="E3056" s="171">
        <f>IFERROR(__xludf.DUMMYFUNCTION("""COMPUTED_VALUE"""),43278.0)</f>
        <v>43278</v>
      </c>
      <c r="F3056" s="172"/>
      <c r="G3056" s="173"/>
      <c r="H3056" s="174">
        <f>IFERROR(__xludf.DUMMYFUNCTION("""COMPUTED_VALUE"""),107703.0)</f>
        <v>107703</v>
      </c>
      <c r="I3056" s="175" t="str">
        <f>IFERROR(__xludf.DUMMYFUNCTION("""COMPUTED_VALUE"""),"10/18")</f>
        <v>10/18</v>
      </c>
      <c r="J3056" s="172">
        <f>IFERROR(__xludf.DUMMYFUNCTION("""COMPUTED_VALUE"""),43407.0)</f>
        <v>43407</v>
      </c>
      <c r="K3056" s="176"/>
      <c r="L3056" s="176"/>
      <c r="M3056" s="176">
        <f>IFERROR(__xludf.DUMMYFUNCTION("""COMPUTED_VALUE"""),129.0)</f>
        <v>129</v>
      </c>
      <c r="N3056" s="177" t="str">
        <f>IFERROR(__xludf.DUMMYFUNCTION("""COMPUTED_VALUE"""),"Model 3 LR AWD")</f>
        <v>Model 3 LR AWD</v>
      </c>
      <c r="O3056" s="177" t="str">
        <f>IFERROR(__xludf.DUMMYFUNCTION("""COMPUTED_VALUE"""),"Deep Blue Metallic")</f>
        <v>Deep Blue Metallic</v>
      </c>
      <c r="P3056" s="178" t="str">
        <f>IFERROR(__xludf.DUMMYFUNCTION("""COMPUTED_VALUE"""),"18 inch Aero")</f>
        <v>18 inch Aero</v>
      </c>
      <c r="Q3056" s="177" t="str">
        <f>IFERROR(__xludf.DUMMYFUNCTION("""COMPUTED_VALUE"""),"Black seats")</f>
        <v>Black seats</v>
      </c>
      <c r="R3056" s="170" t="str">
        <f>IFERROR(__xludf.DUMMYFUNCTION("""COMPUTED_VALUE"""),"None")</f>
        <v>None</v>
      </c>
      <c r="S3056" s="170"/>
      <c r="T3056" s="179"/>
      <c r="U3056" s="179"/>
      <c r="V3056" s="179"/>
      <c r="W3056" s="180"/>
      <c r="X3056" s="181" t="str">
        <f>IFERROR(__xludf.DUMMYFUNCTION("""COMPUTED_VALUE"""),"Excellent")</f>
        <v>Excellent</v>
      </c>
      <c r="Y3056" s="182" t="str">
        <f>IFERROR(__xludf.DUMMYFUNCTION("""COMPUTED_VALUE"""),"Excellent")</f>
        <v>Excellent</v>
      </c>
      <c r="Z3056" s="182" t="str">
        <f>IFERROR(__xludf.DUMMYFUNCTION("""COMPUTED_VALUE"""),"Good")</f>
        <v>Good</v>
      </c>
      <c r="AA3056" s="182" t="str">
        <f>IFERROR(__xludf.DUMMYFUNCTION("""COMPUTED_VALUE"""),"Poor")</f>
        <v>Poor</v>
      </c>
      <c r="AB3056" s="182" t="str">
        <f>IFERROR(__xludf.DUMMYFUNCTION("""COMPUTED_VALUE"""),"Good")</f>
        <v>Good</v>
      </c>
      <c r="AC3056" s="183"/>
      <c r="AD3056" s="183"/>
      <c r="AE3056" s="183"/>
      <c r="AF3056" s="184"/>
      <c r="AG3056" s="180" t="str">
        <f>IFERROR(__xludf.DUMMYFUNCTION("""COMPUTED_VALUE"""),"Arrived 12 days ahead of schedule")</f>
        <v>Arrived 12 days ahead of schedule</v>
      </c>
      <c r="AH3056" s="185">
        <f>IFERROR(__xludf.DUMMYFUNCTION("""COMPUTED_VALUE"""),43409.155634166666)</f>
        <v>43409.15563</v>
      </c>
      <c r="AI3056" s="182"/>
      <c r="AJ3056" s="182"/>
      <c r="AK3056" s="182"/>
      <c r="AL3056" s="182"/>
    </row>
    <row r="3057" ht="20.25" customHeight="1">
      <c r="A3057" s="169" t="str">
        <f>IFERROR(__xludf.DUMMYFUNCTION("""COMPUTED_VALUE"""),"Dani")</f>
        <v>Dani</v>
      </c>
      <c r="B3057" s="170" t="str">
        <f>IFERROR(__xludf.DUMMYFUNCTION("""COMPUTED_VALUE"""),"Toronto")</f>
        <v>Toronto</v>
      </c>
      <c r="C3057" s="170" t="str">
        <f>IFERROR(__xludf.DUMMYFUNCTION("""COMPUTED_VALUE"""),"ON")</f>
        <v>ON</v>
      </c>
      <c r="D3057" s="170" t="str">
        <f>IFERROR(__xludf.DUMMYFUNCTION("""COMPUTED_VALUE"""),"Canada")</f>
        <v>Canada</v>
      </c>
      <c r="E3057" s="171">
        <f>IFERROR(__xludf.DUMMYFUNCTION("""COMPUTED_VALUE"""),43278.0)</f>
        <v>43278</v>
      </c>
      <c r="F3057" s="172">
        <f>IFERROR(__xludf.DUMMYFUNCTION("""COMPUTED_VALUE"""),43278.0)</f>
        <v>43278</v>
      </c>
      <c r="G3057" s="173"/>
      <c r="H3057" s="174">
        <f>IFERROR(__xludf.DUMMYFUNCTION("""COMPUTED_VALUE"""),35555.0)</f>
        <v>35555</v>
      </c>
      <c r="I3057" s="175" t="str">
        <f>IFERROR(__xludf.DUMMYFUNCTION("""COMPUTED_VALUE"""),"05/18")</f>
        <v>05/18</v>
      </c>
      <c r="J3057" s="172">
        <f>IFERROR(__xludf.DUMMYFUNCTION("""COMPUTED_VALUE"""),43302.0)</f>
        <v>43302</v>
      </c>
      <c r="K3057" s="176">
        <f>IFERROR(__xludf.DUMMYFUNCTION("""COMPUTED_VALUE"""),0.0)</f>
        <v>0</v>
      </c>
      <c r="L3057" s="176">
        <f>IFERROR(__xludf.DUMMYFUNCTION("""COMPUTED_VALUE"""),24.0)</f>
        <v>24</v>
      </c>
      <c r="M3057" s="176">
        <f>IFERROR(__xludf.DUMMYFUNCTION("""COMPUTED_VALUE"""),24.0)</f>
        <v>24</v>
      </c>
      <c r="N3057" s="177" t="str">
        <f>IFERROR(__xludf.DUMMYFUNCTION("""COMPUTED_VALUE"""),"Model 3 LR")</f>
        <v>Model 3 LR</v>
      </c>
      <c r="O3057" s="177" t="str">
        <f>IFERROR(__xludf.DUMMYFUNCTION("""COMPUTED_VALUE"""),"Solid Black")</f>
        <v>Solid Black</v>
      </c>
      <c r="P3057" s="178" t="str">
        <f>IFERROR(__xludf.DUMMYFUNCTION("""COMPUTED_VALUE"""),"19 inch Sport")</f>
        <v>19 inch Sport</v>
      </c>
      <c r="Q3057" s="177" t="str">
        <f>IFERROR(__xludf.DUMMYFUNCTION("""COMPUTED_VALUE"""),"Black seats")</f>
        <v>Black seats</v>
      </c>
      <c r="R3057" s="170" t="str">
        <f>IFERROR(__xludf.DUMMYFUNCTION("""COMPUTED_VALUE"""),"None")</f>
        <v>None</v>
      </c>
      <c r="S3057" s="170"/>
      <c r="T3057" s="179"/>
      <c r="U3057" s="179"/>
      <c r="V3057" s="179"/>
      <c r="W3057" s="180"/>
      <c r="X3057" s="181" t="str">
        <f>IFERROR(__xludf.DUMMYFUNCTION("""COMPUTED_VALUE"""),"Excellent")</f>
        <v>Excellent</v>
      </c>
      <c r="Y3057" s="182" t="str">
        <f>IFERROR(__xludf.DUMMYFUNCTION("""COMPUTED_VALUE"""),"Excellent")</f>
        <v>Excellent</v>
      </c>
      <c r="Z3057" s="182" t="str">
        <f>IFERROR(__xludf.DUMMYFUNCTION("""COMPUTED_VALUE"""),"Excellent")</f>
        <v>Excellent</v>
      </c>
      <c r="AA3057" s="182" t="str">
        <f>IFERROR(__xludf.DUMMYFUNCTION("""COMPUTED_VALUE"""),"Excellent")</f>
        <v>Excellent</v>
      </c>
      <c r="AB3057" s="182" t="str">
        <f>IFERROR(__xludf.DUMMYFUNCTION("""COMPUTED_VALUE"""),"Excellent")</f>
        <v>Excellent</v>
      </c>
      <c r="AC3057" s="183">
        <f>IFERROR(__xludf.DUMMYFUNCTION("""COMPUTED_VALUE"""),2.0)</f>
        <v>2</v>
      </c>
      <c r="AD3057" s="183">
        <f>IFERROR(__xludf.DUMMYFUNCTION("""COMPUTED_VALUE"""),1.0)</f>
        <v>1</v>
      </c>
      <c r="AE3057" s="183">
        <f>IFERROR(__xludf.DUMMYFUNCTION("""COMPUTED_VALUE"""),0.0)</f>
        <v>0</v>
      </c>
      <c r="AF3057" s="184"/>
      <c r="AG3057" s="180"/>
      <c r="AH3057" s="185">
        <f>IFERROR(__xludf.DUMMYFUNCTION("""COMPUTED_VALUE"""),43307.84491731482)</f>
        <v>43307.84492</v>
      </c>
      <c r="AI3057" s="182"/>
      <c r="AJ3057" s="182"/>
      <c r="AK3057" s="182"/>
      <c r="AL3057" s="182"/>
    </row>
    <row r="3058" ht="20.25" customHeight="1">
      <c r="A3058" s="169" t="str">
        <f>IFERROR(__xludf.DUMMYFUNCTION("""COMPUTED_VALUE"""),"Darkrevo")</f>
        <v>Darkrevo</v>
      </c>
      <c r="B3058" s="170" t="str">
        <f>IFERROR(__xludf.DUMMYFUNCTION("""COMPUTED_VALUE"""),"Orange County")</f>
        <v>Orange County</v>
      </c>
      <c r="C3058" s="170" t="str">
        <f>IFERROR(__xludf.DUMMYFUNCTION("""COMPUTED_VALUE"""),"CA")</f>
        <v>CA</v>
      </c>
      <c r="D3058" s="170" t="str">
        <f>IFERROR(__xludf.DUMMYFUNCTION("""COMPUTED_VALUE"""),"USA")</f>
        <v>USA</v>
      </c>
      <c r="E3058" s="171">
        <f>IFERROR(__xludf.DUMMYFUNCTION("""COMPUTED_VALUE"""),43278.0)</f>
        <v>43278</v>
      </c>
      <c r="F3058" s="172">
        <f>IFERROR(__xludf.DUMMYFUNCTION("""COMPUTED_VALUE"""),43283.0)</f>
        <v>43283</v>
      </c>
      <c r="G3058" s="173"/>
      <c r="H3058" s="174">
        <f>IFERROR(__xludf.DUMMYFUNCTION("""COMPUTED_VALUE"""),36955.0)</f>
        <v>36955</v>
      </c>
      <c r="I3058" s="175" t="str">
        <f>IFERROR(__xludf.DUMMYFUNCTION("""COMPUTED_VALUE"""),"06/18")</f>
        <v>06/18</v>
      </c>
      <c r="J3058" s="172">
        <f>IFERROR(__xludf.DUMMYFUNCTION("""COMPUTED_VALUE"""),43295.0)</f>
        <v>43295</v>
      </c>
      <c r="K3058" s="176">
        <f>IFERROR(__xludf.DUMMYFUNCTION("""COMPUTED_VALUE"""),5.0)</f>
        <v>5</v>
      </c>
      <c r="L3058" s="176">
        <f>IFERROR(__xludf.DUMMYFUNCTION("""COMPUTED_VALUE"""),12.0)</f>
        <v>12</v>
      </c>
      <c r="M3058" s="176">
        <f>IFERROR(__xludf.DUMMYFUNCTION("""COMPUTED_VALUE"""),17.0)</f>
        <v>17</v>
      </c>
      <c r="N3058" s="177" t="str">
        <f>IFERROR(__xludf.DUMMYFUNCTION("""COMPUTED_VALUE"""),"Model 3 LR")</f>
        <v>Model 3 LR</v>
      </c>
      <c r="O3058" s="177" t="str">
        <f>IFERROR(__xludf.DUMMYFUNCTION("""COMPUTED_VALUE"""),"Deep Blue Metallic")</f>
        <v>Deep Blue Metallic</v>
      </c>
      <c r="P3058" s="178" t="str">
        <f>IFERROR(__xludf.DUMMYFUNCTION("""COMPUTED_VALUE"""),"18 inch Aero")</f>
        <v>18 inch Aero</v>
      </c>
      <c r="Q3058" s="177" t="str">
        <f>IFERROR(__xludf.DUMMYFUNCTION("""COMPUTED_VALUE"""),"Black seats")</f>
        <v>Black seats</v>
      </c>
      <c r="R3058" s="170" t="str">
        <f>IFERROR(__xludf.DUMMYFUNCTION("""COMPUTED_VALUE"""),"Enhanced Autopilot")</f>
        <v>Enhanced Autopilot</v>
      </c>
      <c r="S3058" s="170"/>
      <c r="T3058" s="179"/>
      <c r="U3058" s="179"/>
      <c r="V3058" s="179"/>
      <c r="W3058" s="180"/>
      <c r="X3058" s="181" t="str">
        <f>IFERROR(__xludf.DUMMYFUNCTION("""COMPUTED_VALUE"""),"Excellent")</f>
        <v>Excellent</v>
      </c>
      <c r="Y3058" s="182" t="str">
        <f>IFERROR(__xludf.DUMMYFUNCTION("""COMPUTED_VALUE"""),"Excellent")</f>
        <v>Excellent</v>
      </c>
      <c r="Z3058" s="182" t="str">
        <f>IFERROR(__xludf.DUMMYFUNCTION("""COMPUTED_VALUE"""),"Excellent")</f>
        <v>Excellent</v>
      </c>
      <c r="AA3058" s="182" t="str">
        <f>IFERROR(__xludf.DUMMYFUNCTION("""COMPUTED_VALUE"""),"Good")</f>
        <v>Good</v>
      </c>
      <c r="AB3058" s="182" t="str">
        <f>IFERROR(__xludf.DUMMYFUNCTION("""COMPUTED_VALUE"""),"Very Good")</f>
        <v>Very Good</v>
      </c>
      <c r="AC3058" s="183">
        <f>IFERROR(__xludf.DUMMYFUNCTION("""COMPUTED_VALUE"""),0.0)</f>
        <v>0</v>
      </c>
      <c r="AD3058" s="183">
        <f>IFERROR(__xludf.DUMMYFUNCTION("""COMPUTED_VALUE"""),0.0)</f>
        <v>0</v>
      </c>
      <c r="AE3058" s="183">
        <f>IFERROR(__xludf.DUMMYFUNCTION("""COMPUTED_VALUE"""),0.0)</f>
        <v>0</v>
      </c>
      <c r="AF3058" s="184"/>
      <c r="AG3058" s="180"/>
      <c r="AH3058" s="185">
        <f>IFERROR(__xludf.DUMMYFUNCTION("""COMPUTED_VALUE"""),43307.68822333333)</f>
        <v>43307.68822</v>
      </c>
      <c r="AI3058" s="182"/>
      <c r="AJ3058" s="182"/>
      <c r="AK3058" s="182"/>
      <c r="AL3058" s="182"/>
    </row>
    <row r="3059" ht="20.25" customHeight="1">
      <c r="A3059" s="169" t="str">
        <f>IFERROR(__xludf.DUMMYFUNCTION("""COMPUTED_VALUE"""),"DavidClark")</f>
        <v>DavidClark</v>
      </c>
      <c r="B3059" s="170" t="str">
        <f>IFERROR(__xludf.DUMMYFUNCTION("""COMPUTED_VALUE"""),"Madison, AL")</f>
        <v>Madison, AL</v>
      </c>
      <c r="C3059" s="170" t="str">
        <f>IFERROR(__xludf.DUMMYFUNCTION("""COMPUTED_VALUE"""),"AL")</f>
        <v>AL</v>
      </c>
      <c r="D3059" s="170" t="str">
        <f>IFERROR(__xludf.DUMMYFUNCTION("""COMPUTED_VALUE"""),"USA")</f>
        <v>USA</v>
      </c>
      <c r="E3059" s="171">
        <f>IFERROR(__xludf.DUMMYFUNCTION("""COMPUTED_VALUE"""),43278.0)</f>
        <v>43278</v>
      </c>
      <c r="F3059" s="172">
        <f>IFERROR(__xludf.DUMMYFUNCTION("""COMPUTED_VALUE"""),43279.0)</f>
        <v>43279</v>
      </c>
      <c r="G3059" s="173"/>
      <c r="H3059" s="174">
        <f>IFERROR(__xludf.DUMMYFUNCTION("""COMPUTED_VALUE"""),26655.0)</f>
        <v>26655</v>
      </c>
      <c r="I3059" s="175" t="str">
        <f>IFERROR(__xludf.DUMMYFUNCTION("""COMPUTED_VALUE"""),"06/18")</f>
        <v>06/18</v>
      </c>
      <c r="J3059" s="172">
        <f>IFERROR(__xludf.DUMMYFUNCTION("""COMPUTED_VALUE"""),43292.0)</f>
        <v>43292</v>
      </c>
      <c r="K3059" s="176">
        <f>IFERROR(__xludf.DUMMYFUNCTION("""COMPUTED_VALUE"""),1.0)</f>
        <v>1</v>
      </c>
      <c r="L3059" s="176">
        <f>IFERROR(__xludf.DUMMYFUNCTION("""COMPUTED_VALUE"""),13.0)</f>
        <v>13</v>
      </c>
      <c r="M3059" s="176">
        <f>IFERROR(__xludf.DUMMYFUNCTION("""COMPUTED_VALUE"""),14.0)</f>
        <v>14</v>
      </c>
      <c r="N3059" s="177" t="str">
        <f>IFERROR(__xludf.DUMMYFUNCTION("""COMPUTED_VALUE"""),"Model 3 LR")</f>
        <v>Model 3 LR</v>
      </c>
      <c r="O3059" s="177" t="str">
        <f>IFERROR(__xludf.DUMMYFUNCTION("""COMPUTED_VALUE"""),"Midnight Silver Metallic")</f>
        <v>Midnight Silver Metallic</v>
      </c>
      <c r="P3059" s="178" t="str">
        <f>IFERROR(__xludf.DUMMYFUNCTION("""COMPUTED_VALUE"""),"18 inch Aero")</f>
        <v>18 inch Aero</v>
      </c>
      <c r="Q3059" s="177" t="str">
        <f>IFERROR(__xludf.DUMMYFUNCTION("""COMPUTED_VALUE"""),"Black seats")</f>
        <v>Black seats</v>
      </c>
      <c r="R3059" s="170" t="str">
        <f>IFERROR(__xludf.DUMMYFUNCTION("""COMPUTED_VALUE"""),"Enhanced Autopilot")</f>
        <v>Enhanced Autopilot</v>
      </c>
      <c r="S3059" s="170"/>
      <c r="T3059" s="179"/>
      <c r="U3059" s="179"/>
      <c r="V3059" s="179"/>
      <c r="W3059" s="180"/>
      <c r="X3059" s="181" t="str">
        <f>IFERROR(__xludf.DUMMYFUNCTION("""COMPUTED_VALUE"""),"Excellent")</f>
        <v>Excellent</v>
      </c>
      <c r="Y3059" s="182" t="str">
        <f>IFERROR(__xludf.DUMMYFUNCTION("""COMPUTED_VALUE"""),"Very Good")</f>
        <v>Very Good</v>
      </c>
      <c r="Z3059" s="182" t="str">
        <f>IFERROR(__xludf.DUMMYFUNCTION("""COMPUTED_VALUE"""),"Excellent")</f>
        <v>Excellent</v>
      </c>
      <c r="AA3059" s="182" t="str">
        <f>IFERROR(__xludf.DUMMYFUNCTION("""COMPUTED_VALUE"""),"Good")</f>
        <v>Good</v>
      </c>
      <c r="AB3059" s="182" t="str">
        <f>IFERROR(__xludf.DUMMYFUNCTION("""COMPUTED_VALUE"""),"Fair")</f>
        <v>Fair</v>
      </c>
      <c r="AC3059" s="183">
        <f>IFERROR(__xludf.DUMMYFUNCTION("""COMPUTED_VALUE"""),0.0)</f>
        <v>0</v>
      </c>
      <c r="AD3059" s="183">
        <f>IFERROR(__xludf.DUMMYFUNCTION("""COMPUTED_VALUE"""),0.0)</f>
        <v>0</v>
      </c>
      <c r="AE3059" s="183">
        <f>IFERROR(__xludf.DUMMYFUNCTION("""COMPUTED_VALUE"""),0.0)</f>
        <v>0</v>
      </c>
      <c r="AF3059" s="184"/>
      <c r="AG3059" s="180" t="str">
        <f>IFERROR(__xludf.DUMMYFUNCTION("""COMPUTED_VALUE"""),"Home delivery")</f>
        <v>Home delivery</v>
      </c>
      <c r="AH3059" s="185">
        <f>IFERROR(__xludf.DUMMYFUNCTION("""COMPUTED_VALUE"""),43296.274298067125)</f>
        <v>43296.2743</v>
      </c>
      <c r="AI3059" s="182"/>
      <c r="AJ3059" s="182"/>
      <c r="AK3059" s="182"/>
      <c r="AL3059" s="182"/>
    </row>
    <row r="3060" ht="20.25" customHeight="1">
      <c r="A3060" s="169" t="str">
        <f>IFERROR(__xludf.DUMMYFUNCTION("""COMPUTED_VALUE"""),"DennisT")</f>
        <v>DennisT</v>
      </c>
      <c r="B3060" s="170" t="str">
        <f>IFERROR(__xludf.DUMMYFUNCTION("""COMPUTED_VALUE"""),"Bay Area")</f>
        <v>Bay Area</v>
      </c>
      <c r="C3060" s="170" t="str">
        <f>IFERROR(__xludf.DUMMYFUNCTION("""COMPUTED_VALUE"""),"CA")</f>
        <v>CA</v>
      </c>
      <c r="D3060" s="170" t="str">
        <f>IFERROR(__xludf.DUMMYFUNCTION("""COMPUTED_VALUE"""),"USA")</f>
        <v>USA</v>
      </c>
      <c r="E3060" s="171">
        <f>IFERROR(__xludf.DUMMYFUNCTION("""COMPUTED_VALUE"""),43278.0)</f>
        <v>43278</v>
      </c>
      <c r="F3060" s="172">
        <f>IFERROR(__xludf.DUMMYFUNCTION("""COMPUTED_VALUE"""),43289.0)</f>
        <v>43289</v>
      </c>
      <c r="G3060" s="173"/>
      <c r="H3060" s="174">
        <f>IFERROR(__xludf.DUMMYFUNCTION("""COMPUTED_VALUE"""),33955.0)</f>
        <v>33955</v>
      </c>
      <c r="I3060" s="175"/>
      <c r="J3060" s="172">
        <f>IFERROR(__xludf.DUMMYFUNCTION("""COMPUTED_VALUE"""),43296.0)</f>
        <v>43296</v>
      </c>
      <c r="K3060" s="176">
        <f>IFERROR(__xludf.DUMMYFUNCTION("""COMPUTED_VALUE"""),11.0)</f>
        <v>11</v>
      </c>
      <c r="L3060" s="176">
        <f>IFERROR(__xludf.DUMMYFUNCTION("""COMPUTED_VALUE"""),7.0)</f>
        <v>7</v>
      </c>
      <c r="M3060" s="176">
        <f>IFERROR(__xludf.DUMMYFUNCTION("""COMPUTED_VALUE"""),18.0)</f>
        <v>18</v>
      </c>
      <c r="N3060" s="177" t="str">
        <f>IFERROR(__xludf.DUMMYFUNCTION("""COMPUTED_VALUE"""),"Model 3 LR")</f>
        <v>Model 3 LR</v>
      </c>
      <c r="O3060" s="177" t="str">
        <f>IFERROR(__xludf.DUMMYFUNCTION("""COMPUTED_VALUE"""),"Midnight Silver Metallic")</f>
        <v>Midnight Silver Metallic</v>
      </c>
      <c r="P3060" s="178" t="str">
        <f>IFERROR(__xludf.DUMMYFUNCTION("""COMPUTED_VALUE"""),"18 inch Aero")</f>
        <v>18 inch Aero</v>
      </c>
      <c r="Q3060" s="177" t="str">
        <f>IFERROR(__xludf.DUMMYFUNCTION("""COMPUTED_VALUE"""),"Black seats")</f>
        <v>Black seats</v>
      </c>
      <c r="R3060" s="170" t="str">
        <f>IFERROR(__xludf.DUMMYFUNCTION("""COMPUTED_VALUE"""),"Enhanced Autopilot")</f>
        <v>Enhanced Autopilot</v>
      </c>
      <c r="S3060" s="170"/>
      <c r="T3060" s="179"/>
      <c r="U3060" s="179"/>
      <c r="V3060" s="179"/>
      <c r="W3060" s="180"/>
      <c r="X3060" s="181" t="str">
        <f>IFERROR(__xludf.DUMMYFUNCTION("""COMPUTED_VALUE"""),"Very Good")</f>
        <v>Very Good</v>
      </c>
      <c r="Y3060" s="182" t="str">
        <f>IFERROR(__xludf.DUMMYFUNCTION("""COMPUTED_VALUE"""),"Very Good")</f>
        <v>Very Good</v>
      </c>
      <c r="Z3060" s="182" t="str">
        <f>IFERROR(__xludf.DUMMYFUNCTION("""COMPUTED_VALUE"""),"Very Good")</f>
        <v>Very Good</v>
      </c>
      <c r="AA3060" s="182" t="str">
        <f>IFERROR(__xludf.DUMMYFUNCTION("""COMPUTED_VALUE"""),"Fair")</f>
        <v>Fair</v>
      </c>
      <c r="AB3060" s="182" t="str">
        <f>IFERROR(__xludf.DUMMYFUNCTION("""COMPUTED_VALUE"""),"Fair")</f>
        <v>Fair</v>
      </c>
      <c r="AC3060" s="183"/>
      <c r="AD3060" s="183"/>
      <c r="AE3060" s="183"/>
      <c r="AF3060" s="184"/>
      <c r="AG3060" s="180"/>
      <c r="AH3060" s="185">
        <f>IFERROR(__xludf.DUMMYFUNCTION("""COMPUTED_VALUE"""),43296.90960665509)</f>
        <v>43296.90961</v>
      </c>
      <c r="AI3060" s="182"/>
      <c r="AJ3060" s="182"/>
      <c r="AK3060" s="182"/>
      <c r="AL3060" s="182"/>
    </row>
    <row r="3061" ht="20.25" customHeight="1">
      <c r="A3061" s="169" t="str">
        <f>IFERROR(__xludf.DUMMYFUNCTION("""COMPUTED_VALUE"""),"dgstan")</f>
        <v>dgstan</v>
      </c>
      <c r="B3061" s="170" t="str">
        <f>IFERROR(__xludf.DUMMYFUNCTION("""COMPUTED_VALUE"""),"Campbell, CA")</f>
        <v>Campbell, CA</v>
      </c>
      <c r="C3061" s="170" t="str">
        <f>IFERROR(__xludf.DUMMYFUNCTION("""COMPUTED_VALUE"""),"CA")</f>
        <v>CA</v>
      </c>
      <c r="D3061" s="170" t="str">
        <f>IFERROR(__xludf.DUMMYFUNCTION("""COMPUTED_VALUE"""),"USA")</f>
        <v>USA</v>
      </c>
      <c r="E3061" s="171">
        <f>IFERROR(__xludf.DUMMYFUNCTION("""COMPUTED_VALUE"""),43278.0)</f>
        <v>43278</v>
      </c>
      <c r="F3061" s="172">
        <f>IFERROR(__xludf.DUMMYFUNCTION("""COMPUTED_VALUE"""),43302.0)</f>
        <v>43302</v>
      </c>
      <c r="G3061" s="173"/>
      <c r="H3061" s="174">
        <f>IFERROR(__xludf.DUMMYFUNCTION("""COMPUTED_VALUE"""),50655.0)</f>
        <v>50655</v>
      </c>
      <c r="I3061" s="175" t="str">
        <f>IFERROR(__xludf.DUMMYFUNCTION("""COMPUTED_VALUE"""),"07/18")</f>
        <v>07/18</v>
      </c>
      <c r="J3061" s="172">
        <f>IFERROR(__xludf.DUMMYFUNCTION("""COMPUTED_VALUE"""),43312.0)</f>
        <v>43312</v>
      </c>
      <c r="K3061" s="176">
        <f>IFERROR(__xludf.DUMMYFUNCTION("""COMPUTED_VALUE"""),24.0)</f>
        <v>24</v>
      </c>
      <c r="L3061" s="176">
        <f>IFERROR(__xludf.DUMMYFUNCTION("""COMPUTED_VALUE"""),10.0)</f>
        <v>10</v>
      </c>
      <c r="M3061" s="176">
        <f>IFERROR(__xludf.DUMMYFUNCTION("""COMPUTED_VALUE"""),34.0)</f>
        <v>34</v>
      </c>
      <c r="N3061" s="177" t="str">
        <f>IFERROR(__xludf.DUMMYFUNCTION("""COMPUTED_VALUE"""),"Model 3 LR")</f>
        <v>Model 3 LR</v>
      </c>
      <c r="O3061" s="177" t="str">
        <f>IFERROR(__xludf.DUMMYFUNCTION("""COMPUTED_VALUE"""),"Pearl White Multi-Coat")</f>
        <v>Pearl White Multi-Coat</v>
      </c>
      <c r="P3061" s="178" t="str">
        <f>IFERROR(__xludf.DUMMYFUNCTION("""COMPUTED_VALUE"""),"19 inch Sport")</f>
        <v>19 inch Sport</v>
      </c>
      <c r="Q3061" s="177" t="str">
        <f>IFERROR(__xludf.DUMMYFUNCTION("""COMPUTED_VALUE"""),"Black seats")</f>
        <v>Black seats</v>
      </c>
      <c r="R3061" s="170" t="str">
        <f>IFERROR(__xludf.DUMMYFUNCTION("""COMPUTED_VALUE"""),"None")</f>
        <v>None</v>
      </c>
      <c r="S3061" s="170"/>
      <c r="T3061" s="179"/>
      <c r="U3061" s="179"/>
      <c r="V3061" s="179"/>
      <c r="W3061" s="180"/>
      <c r="X3061" s="181" t="str">
        <f>IFERROR(__xludf.DUMMYFUNCTION("""COMPUTED_VALUE"""),"Fair")</f>
        <v>Fair</v>
      </c>
      <c r="Y3061" s="182" t="str">
        <f>IFERROR(__xludf.DUMMYFUNCTION("""COMPUTED_VALUE"""),"Very Good")</f>
        <v>Very Good</v>
      </c>
      <c r="Z3061" s="182" t="str">
        <f>IFERROR(__xludf.DUMMYFUNCTION("""COMPUTED_VALUE"""),"Good")</f>
        <v>Good</v>
      </c>
      <c r="AA3061" s="182" t="str">
        <f>IFERROR(__xludf.DUMMYFUNCTION("""COMPUTED_VALUE"""),"Fair")</f>
        <v>Fair</v>
      </c>
      <c r="AB3061" s="182" t="str">
        <f>IFERROR(__xludf.DUMMYFUNCTION("""COMPUTED_VALUE"""),"Good")</f>
        <v>Good</v>
      </c>
      <c r="AC3061" s="183">
        <f>IFERROR(__xludf.DUMMYFUNCTION("""COMPUTED_VALUE"""),2.0)</f>
        <v>2</v>
      </c>
      <c r="AD3061" s="183"/>
      <c r="AE3061" s="183"/>
      <c r="AF3061" s="184"/>
      <c r="AG3061" s="180" t="str">
        <f>IFERROR(__xludf.DUMMYFUNCTION("""COMPUTED_VALUE"""),"Delivery delayed one time - 4 days")</f>
        <v>Delivery delayed one time - 4 days</v>
      </c>
      <c r="AH3061" s="185">
        <f>IFERROR(__xludf.DUMMYFUNCTION("""COMPUTED_VALUE"""),43317.55918109954)</f>
        <v>43317.55918</v>
      </c>
      <c r="AI3061" s="182"/>
      <c r="AJ3061" s="182"/>
      <c r="AK3061" s="182"/>
      <c r="AL3061" s="182"/>
    </row>
    <row r="3062" ht="20.25" customHeight="1">
      <c r="A3062" s="169" t="str">
        <f>IFERROR(__xludf.DUMMYFUNCTION("""COMPUTED_VALUE"""),"disapr")</f>
        <v>disapr</v>
      </c>
      <c r="B3062" s="170" t="str">
        <f>IFERROR(__xludf.DUMMYFUNCTION("""COMPUTED_VALUE"""),"Houston")</f>
        <v>Houston</v>
      </c>
      <c r="C3062" s="170" t="str">
        <f>IFERROR(__xludf.DUMMYFUNCTION("""COMPUTED_VALUE"""),"TX")</f>
        <v>TX</v>
      </c>
      <c r="D3062" s="170" t="str">
        <f>IFERROR(__xludf.DUMMYFUNCTION("""COMPUTED_VALUE"""),"USA")</f>
        <v>USA</v>
      </c>
      <c r="E3062" s="171">
        <f>IFERROR(__xludf.DUMMYFUNCTION("""COMPUTED_VALUE"""),43278.0)</f>
        <v>43278</v>
      </c>
      <c r="F3062" s="172">
        <f>IFERROR(__xludf.DUMMYFUNCTION("""COMPUTED_VALUE"""),43333.0)</f>
        <v>43333</v>
      </c>
      <c r="G3062" s="173"/>
      <c r="H3062" s="174">
        <f>IFERROR(__xludf.DUMMYFUNCTION("""COMPUTED_VALUE"""),63355.0)</f>
        <v>63355</v>
      </c>
      <c r="I3062" s="175" t="str">
        <f>IFERROR(__xludf.DUMMYFUNCTION("""COMPUTED_VALUE"""),"08/18")</f>
        <v>08/18</v>
      </c>
      <c r="J3062" s="172">
        <f>IFERROR(__xludf.DUMMYFUNCTION("""COMPUTED_VALUE"""),43358.0)</f>
        <v>43358</v>
      </c>
      <c r="K3062" s="176">
        <f>IFERROR(__xludf.DUMMYFUNCTION("""COMPUTED_VALUE"""),55.0)</f>
        <v>55</v>
      </c>
      <c r="L3062" s="176">
        <f>IFERROR(__xludf.DUMMYFUNCTION("""COMPUTED_VALUE"""),25.0)</f>
        <v>25</v>
      </c>
      <c r="M3062" s="176">
        <f>IFERROR(__xludf.DUMMYFUNCTION("""COMPUTED_VALUE"""),80.0)</f>
        <v>80</v>
      </c>
      <c r="N3062" s="177" t="str">
        <f>IFERROR(__xludf.DUMMYFUNCTION("""COMPUTED_VALUE"""),"Model 3 Performance")</f>
        <v>Model 3 Performance</v>
      </c>
      <c r="O3062" s="177" t="str">
        <f>IFERROR(__xludf.DUMMYFUNCTION("""COMPUTED_VALUE"""),"Pearl White Multi-Coat")</f>
        <v>Pearl White Multi-Coat</v>
      </c>
      <c r="P3062" s="178" t="str">
        <f>IFERROR(__xludf.DUMMYFUNCTION("""COMPUTED_VALUE"""),"20 inch Sport")</f>
        <v>20 inch Sport</v>
      </c>
      <c r="Q3062" s="177" t="str">
        <f>IFERROR(__xludf.DUMMYFUNCTION("""COMPUTED_VALUE"""),"Black seats")</f>
        <v>Black seats</v>
      </c>
      <c r="R3062" s="170" t="str">
        <f>IFERROR(__xludf.DUMMYFUNCTION("""COMPUTED_VALUE"""),"Full Self-Driving")</f>
        <v>Full Self-Driving</v>
      </c>
      <c r="S3062" s="170"/>
      <c r="T3062" s="179"/>
      <c r="U3062" s="179"/>
      <c r="V3062" s="179"/>
      <c r="W3062" s="180"/>
      <c r="X3062" s="181" t="str">
        <f>IFERROR(__xludf.DUMMYFUNCTION("""COMPUTED_VALUE"""),"Very Good")</f>
        <v>Very Good</v>
      </c>
      <c r="Y3062" s="182" t="str">
        <f>IFERROR(__xludf.DUMMYFUNCTION("""COMPUTED_VALUE"""),"Excellent")</f>
        <v>Excellent</v>
      </c>
      <c r="Z3062" s="182" t="str">
        <f>IFERROR(__xludf.DUMMYFUNCTION("""COMPUTED_VALUE"""),"Very Good")</f>
        <v>Very Good</v>
      </c>
      <c r="AA3062" s="182" t="str">
        <f>IFERROR(__xludf.DUMMYFUNCTION("""COMPUTED_VALUE"""),"Poor")</f>
        <v>Poor</v>
      </c>
      <c r="AB3062" s="182" t="str">
        <f>IFERROR(__xludf.DUMMYFUNCTION("""COMPUTED_VALUE"""),"Very Good")</f>
        <v>Very Good</v>
      </c>
      <c r="AC3062" s="183"/>
      <c r="AD3062" s="183"/>
      <c r="AE3062" s="183"/>
      <c r="AF3062" s="184"/>
      <c r="AG3062" s="180"/>
      <c r="AH3062" s="185">
        <f>IFERROR(__xludf.DUMMYFUNCTION("""COMPUTED_VALUE"""),43360.28261902778)</f>
        <v>43360.28262</v>
      </c>
      <c r="AI3062" s="182"/>
      <c r="AJ3062" s="182"/>
      <c r="AK3062" s="182"/>
      <c r="AL3062" s="182"/>
    </row>
    <row r="3063" ht="20.25" customHeight="1">
      <c r="A3063" s="169" t="str">
        <f>IFERROR(__xludf.DUMMYFUNCTION("""COMPUTED_VALUE"""),"DLM270")</f>
        <v>DLM270</v>
      </c>
      <c r="B3063" s="170" t="str">
        <f>IFERROR(__xludf.DUMMYFUNCTION("""COMPUTED_VALUE"""),"Fremont")</f>
        <v>Fremont</v>
      </c>
      <c r="C3063" s="170" t="str">
        <f>IFERROR(__xludf.DUMMYFUNCTION("""COMPUTED_VALUE"""),"CA")</f>
        <v>CA</v>
      </c>
      <c r="D3063" s="170" t="str">
        <f>IFERROR(__xludf.DUMMYFUNCTION("""COMPUTED_VALUE"""),"USA")</f>
        <v>USA</v>
      </c>
      <c r="E3063" s="171">
        <f>IFERROR(__xludf.DUMMYFUNCTION("""COMPUTED_VALUE"""),43278.0)</f>
        <v>43278</v>
      </c>
      <c r="F3063" s="172">
        <f>IFERROR(__xludf.DUMMYFUNCTION("""COMPUTED_VALUE"""),43325.0)</f>
        <v>43325</v>
      </c>
      <c r="G3063" s="173"/>
      <c r="H3063" s="174">
        <f>IFERROR(__xludf.DUMMYFUNCTION("""COMPUTED_VALUE"""),63855.0)</f>
        <v>63855</v>
      </c>
      <c r="I3063" s="175" t="str">
        <f>IFERROR(__xludf.DUMMYFUNCTION("""COMPUTED_VALUE"""),"08/18")</f>
        <v>08/18</v>
      </c>
      <c r="J3063" s="172">
        <f>IFERROR(__xludf.DUMMYFUNCTION("""COMPUTED_VALUE"""),43332.0)</f>
        <v>43332</v>
      </c>
      <c r="K3063" s="176">
        <f>IFERROR(__xludf.DUMMYFUNCTION("""COMPUTED_VALUE"""),47.0)</f>
        <v>47</v>
      </c>
      <c r="L3063" s="176">
        <f>IFERROR(__xludf.DUMMYFUNCTION("""COMPUTED_VALUE"""),7.0)</f>
        <v>7</v>
      </c>
      <c r="M3063" s="176">
        <f>IFERROR(__xludf.DUMMYFUNCTION("""COMPUTED_VALUE"""),54.0)</f>
        <v>54</v>
      </c>
      <c r="N3063" s="177" t="str">
        <f>IFERROR(__xludf.DUMMYFUNCTION("""COMPUTED_VALUE"""),"Model 3 LR AWD")</f>
        <v>Model 3 LR AWD</v>
      </c>
      <c r="O3063" s="177" t="str">
        <f>IFERROR(__xludf.DUMMYFUNCTION("""COMPUTED_VALUE"""),"Deep Blue Metallic")</f>
        <v>Deep Blue Metallic</v>
      </c>
      <c r="P3063" s="178" t="str">
        <f>IFERROR(__xludf.DUMMYFUNCTION("""COMPUTED_VALUE"""),"19 inch Sport")</f>
        <v>19 inch Sport</v>
      </c>
      <c r="Q3063" s="177" t="str">
        <f>IFERROR(__xludf.DUMMYFUNCTION("""COMPUTED_VALUE"""),"Black seats")</f>
        <v>Black seats</v>
      </c>
      <c r="R3063" s="170" t="str">
        <f>IFERROR(__xludf.DUMMYFUNCTION("""COMPUTED_VALUE"""),"Enhanced Autopilot")</f>
        <v>Enhanced Autopilot</v>
      </c>
      <c r="S3063" s="170"/>
      <c r="T3063" s="179"/>
      <c r="U3063" s="179"/>
      <c r="V3063" s="179"/>
      <c r="W3063" s="180"/>
      <c r="X3063" s="181" t="str">
        <f>IFERROR(__xludf.DUMMYFUNCTION("""COMPUTED_VALUE"""),"Very Good")</f>
        <v>Very Good</v>
      </c>
      <c r="Y3063" s="182" t="str">
        <f>IFERROR(__xludf.DUMMYFUNCTION("""COMPUTED_VALUE"""),"Very Good")</f>
        <v>Very Good</v>
      </c>
      <c r="Z3063" s="182" t="str">
        <f>IFERROR(__xludf.DUMMYFUNCTION("""COMPUTED_VALUE"""),"Excellent")</f>
        <v>Excellent</v>
      </c>
      <c r="AA3063" s="182" t="str">
        <f>IFERROR(__xludf.DUMMYFUNCTION("""COMPUTED_VALUE"""),"Excellent")</f>
        <v>Excellent</v>
      </c>
      <c r="AB3063" s="182" t="str">
        <f>IFERROR(__xludf.DUMMYFUNCTION("""COMPUTED_VALUE"""),"Excellent")</f>
        <v>Excellent</v>
      </c>
      <c r="AC3063" s="183">
        <f>IFERROR(__xludf.DUMMYFUNCTION("""COMPUTED_VALUE"""),0.0)</f>
        <v>0</v>
      </c>
      <c r="AD3063" s="183"/>
      <c r="AE3063" s="183"/>
      <c r="AF3063" s="184"/>
      <c r="AG3063" s="180"/>
      <c r="AH3063" s="185">
        <f>IFERROR(__xludf.DUMMYFUNCTION("""COMPUTED_VALUE"""),43332.65062616898)</f>
        <v>43332.65063</v>
      </c>
      <c r="AI3063" s="182"/>
      <c r="AJ3063" s="182"/>
      <c r="AK3063" s="182"/>
      <c r="AL3063" s="182"/>
    </row>
    <row r="3064" ht="20.25" customHeight="1">
      <c r="A3064" s="169" t="str">
        <f>IFERROR(__xludf.DUMMYFUNCTION("""COMPUTED_VALUE"""),"dman2009")</f>
        <v>dman2009</v>
      </c>
      <c r="B3064" s="170" t="str">
        <f>IFERROR(__xludf.DUMMYFUNCTION("""COMPUTED_VALUE"""),"Philadelphia")</f>
        <v>Philadelphia</v>
      </c>
      <c r="C3064" s="170" t="str">
        <f>IFERROR(__xludf.DUMMYFUNCTION("""COMPUTED_VALUE"""),"PA")</f>
        <v>PA</v>
      </c>
      <c r="D3064" s="170" t="str">
        <f>IFERROR(__xludf.DUMMYFUNCTION("""COMPUTED_VALUE"""),"USA")</f>
        <v>USA</v>
      </c>
      <c r="E3064" s="171">
        <f>IFERROR(__xludf.DUMMYFUNCTION("""COMPUTED_VALUE"""),43278.0)</f>
        <v>43278</v>
      </c>
      <c r="F3064" s="172">
        <f>IFERROR(__xludf.DUMMYFUNCTION("""COMPUTED_VALUE"""),43345.0)</f>
        <v>43345</v>
      </c>
      <c r="G3064" s="173"/>
      <c r="H3064" s="174">
        <f>IFERROR(__xludf.DUMMYFUNCTION("""COMPUTED_VALUE"""),87855.0)</f>
        <v>87855</v>
      </c>
      <c r="I3064" s="175" t="str">
        <f>IFERROR(__xludf.DUMMYFUNCTION("""COMPUTED_VALUE"""),"09/18")</f>
        <v>09/18</v>
      </c>
      <c r="J3064" s="172">
        <f>IFERROR(__xludf.DUMMYFUNCTION("""COMPUTED_VALUE"""),43368.0)</f>
        <v>43368</v>
      </c>
      <c r="K3064" s="176">
        <f>IFERROR(__xludf.DUMMYFUNCTION("""COMPUTED_VALUE"""),67.0)</f>
        <v>67</v>
      </c>
      <c r="L3064" s="176">
        <f>IFERROR(__xludf.DUMMYFUNCTION("""COMPUTED_VALUE"""),23.0)</f>
        <v>23</v>
      </c>
      <c r="M3064" s="176">
        <f>IFERROR(__xludf.DUMMYFUNCTION("""COMPUTED_VALUE"""),90.0)</f>
        <v>90</v>
      </c>
      <c r="N3064" s="177" t="str">
        <f>IFERROR(__xludf.DUMMYFUNCTION("""COMPUTED_VALUE"""),"Model 3 LR AWD")</f>
        <v>Model 3 LR AWD</v>
      </c>
      <c r="O3064" s="177" t="str">
        <f>IFERROR(__xludf.DUMMYFUNCTION("""COMPUTED_VALUE"""),"Red Multi-Coat")</f>
        <v>Red Multi-Coat</v>
      </c>
      <c r="P3064" s="178" t="str">
        <f>IFERROR(__xludf.DUMMYFUNCTION("""COMPUTED_VALUE"""),"18 inch Aero")</f>
        <v>18 inch Aero</v>
      </c>
      <c r="Q3064" s="177" t="str">
        <f>IFERROR(__xludf.DUMMYFUNCTION("""COMPUTED_VALUE"""),"Black seats")</f>
        <v>Black seats</v>
      </c>
      <c r="R3064" s="170" t="str">
        <f>IFERROR(__xludf.DUMMYFUNCTION("""COMPUTED_VALUE"""),"Enhanced Autopilot")</f>
        <v>Enhanced Autopilot</v>
      </c>
      <c r="S3064" s="170"/>
      <c r="T3064" s="179"/>
      <c r="U3064" s="179"/>
      <c r="V3064" s="179"/>
      <c r="W3064" s="180"/>
      <c r="X3064" s="181" t="str">
        <f>IFERROR(__xludf.DUMMYFUNCTION("""COMPUTED_VALUE"""),"Very Good")</f>
        <v>Very Good</v>
      </c>
      <c r="Y3064" s="182" t="str">
        <f>IFERROR(__xludf.DUMMYFUNCTION("""COMPUTED_VALUE"""),"Excellent")</f>
        <v>Excellent</v>
      </c>
      <c r="Z3064" s="182" t="str">
        <f>IFERROR(__xludf.DUMMYFUNCTION("""COMPUTED_VALUE"""),"Very Good")</f>
        <v>Very Good</v>
      </c>
      <c r="AA3064" s="182" t="str">
        <f>IFERROR(__xludf.DUMMYFUNCTION("""COMPUTED_VALUE"""),"Excellent")</f>
        <v>Excellent</v>
      </c>
      <c r="AB3064" s="182" t="str">
        <f>IFERROR(__xludf.DUMMYFUNCTION("""COMPUTED_VALUE"""),"Excellent")</f>
        <v>Excellent</v>
      </c>
      <c r="AC3064" s="183"/>
      <c r="AD3064" s="183"/>
      <c r="AE3064" s="183"/>
      <c r="AF3064" s="184"/>
      <c r="AG3064" s="180"/>
      <c r="AH3064" s="185">
        <f>IFERROR(__xludf.DUMMYFUNCTION("""COMPUTED_VALUE"""),43368.94528861111)</f>
        <v>43368.94529</v>
      </c>
      <c r="AI3064" s="182"/>
      <c r="AJ3064" s="182"/>
      <c r="AK3064" s="182"/>
      <c r="AL3064" s="182"/>
    </row>
    <row r="3065" ht="20.25" customHeight="1">
      <c r="A3065" s="169" t="str">
        <f>IFERROR(__xludf.DUMMYFUNCTION("""COMPUTED_VALUE"""),"dusdev")</f>
        <v>dusdev</v>
      </c>
      <c r="B3065" s="170" t="str">
        <f>IFERROR(__xludf.DUMMYFUNCTION("""COMPUTED_VALUE"""),"Kitchener")</f>
        <v>Kitchener</v>
      </c>
      <c r="C3065" s="170" t="str">
        <f>IFERROR(__xludf.DUMMYFUNCTION("""COMPUTED_VALUE"""),"ON")</f>
        <v>ON</v>
      </c>
      <c r="D3065" s="170" t="str">
        <f>IFERROR(__xludf.DUMMYFUNCTION("""COMPUTED_VALUE"""),"Canada")</f>
        <v>Canada</v>
      </c>
      <c r="E3065" s="171">
        <f>IFERROR(__xludf.DUMMYFUNCTION("""COMPUTED_VALUE"""),43278.0)</f>
        <v>43278</v>
      </c>
      <c r="F3065" s="172">
        <f>IFERROR(__xludf.DUMMYFUNCTION("""COMPUTED_VALUE"""),43357.0)</f>
        <v>43357</v>
      </c>
      <c r="G3065" s="173"/>
      <c r="H3065" s="174">
        <f>IFERROR(__xludf.DUMMYFUNCTION("""COMPUTED_VALUE"""),10955.0)</f>
        <v>10955</v>
      </c>
      <c r="I3065" s="175" t="str">
        <f>IFERROR(__xludf.DUMMYFUNCTION("""COMPUTED_VALUE"""),"09/18")</f>
        <v>09/18</v>
      </c>
      <c r="J3065" s="172">
        <f>IFERROR(__xludf.DUMMYFUNCTION("""COMPUTED_VALUE"""),43371.0)</f>
        <v>43371</v>
      </c>
      <c r="K3065" s="176">
        <f>IFERROR(__xludf.DUMMYFUNCTION("""COMPUTED_VALUE"""),79.0)</f>
        <v>79</v>
      </c>
      <c r="L3065" s="176">
        <f>IFERROR(__xludf.DUMMYFUNCTION("""COMPUTED_VALUE"""),14.0)</f>
        <v>14</v>
      </c>
      <c r="M3065" s="176">
        <f>IFERROR(__xludf.DUMMYFUNCTION("""COMPUTED_VALUE"""),93.0)</f>
        <v>93</v>
      </c>
      <c r="N3065" s="177" t="str">
        <f>IFERROR(__xludf.DUMMYFUNCTION("""COMPUTED_VALUE"""),"Model 3 LR AWD")</f>
        <v>Model 3 LR AWD</v>
      </c>
      <c r="O3065" s="177" t="str">
        <f>IFERROR(__xludf.DUMMYFUNCTION("""COMPUTED_VALUE"""),"Deep Blue Metallic")</f>
        <v>Deep Blue Metallic</v>
      </c>
      <c r="P3065" s="178" t="str">
        <f>IFERROR(__xludf.DUMMYFUNCTION("""COMPUTED_VALUE"""),"18 inch Aero")</f>
        <v>18 inch Aero</v>
      </c>
      <c r="Q3065" s="177" t="str">
        <f>IFERROR(__xludf.DUMMYFUNCTION("""COMPUTED_VALUE"""),"Black seats")</f>
        <v>Black seats</v>
      </c>
      <c r="R3065" s="170" t="str">
        <f>IFERROR(__xludf.DUMMYFUNCTION("""COMPUTED_VALUE"""),"Enhanced Autopilot")</f>
        <v>Enhanced Autopilot</v>
      </c>
      <c r="S3065" s="170"/>
      <c r="T3065" s="179"/>
      <c r="U3065" s="179"/>
      <c r="V3065" s="179"/>
      <c r="W3065" s="180"/>
      <c r="X3065" s="181" t="str">
        <f>IFERROR(__xludf.DUMMYFUNCTION("""COMPUTED_VALUE"""),"Excellent")</f>
        <v>Excellent</v>
      </c>
      <c r="Y3065" s="182" t="str">
        <f>IFERROR(__xludf.DUMMYFUNCTION("""COMPUTED_VALUE"""),"Excellent")</f>
        <v>Excellent</v>
      </c>
      <c r="Z3065" s="182" t="str">
        <f>IFERROR(__xludf.DUMMYFUNCTION("""COMPUTED_VALUE"""),"Excellent")</f>
        <v>Excellent</v>
      </c>
      <c r="AA3065" s="182" t="str">
        <f>IFERROR(__xludf.DUMMYFUNCTION("""COMPUTED_VALUE"""),"Fair")</f>
        <v>Fair</v>
      </c>
      <c r="AB3065" s="182" t="str">
        <f>IFERROR(__xludf.DUMMYFUNCTION("""COMPUTED_VALUE"""),"Excellent")</f>
        <v>Excellent</v>
      </c>
      <c r="AC3065" s="183"/>
      <c r="AD3065" s="183"/>
      <c r="AE3065" s="183"/>
      <c r="AF3065" s="184"/>
      <c r="AG3065" s="180"/>
      <c r="AH3065" s="185">
        <f>IFERROR(__xludf.DUMMYFUNCTION("""COMPUTED_VALUE"""),43372.29347449075)</f>
        <v>43372.29347</v>
      </c>
      <c r="AI3065" s="182"/>
      <c r="AJ3065" s="182"/>
      <c r="AK3065" s="182"/>
      <c r="AL3065" s="182"/>
    </row>
    <row r="3066" ht="20.25" customHeight="1">
      <c r="A3066" s="169" t="str">
        <f>IFERROR(__xludf.DUMMYFUNCTION("""COMPUTED_VALUE"""),"Dwa")</f>
        <v>Dwa</v>
      </c>
      <c r="B3066" s="170" t="str">
        <f>IFERROR(__xludf.DUMMYFUNCTION("""COMPUTED_VALUE"""),"Stowe")</f>
        <v>Stowe</v>
      </c>
      <c r="C3066" s="170" t="str">
        <f>IFERROR(__xludf.DUMMYFUNCTION("""COMPUTED_VALUE"""),"VT")</f>
        <v>VT</v>
      </c>
      <c r="D3066" s="170" t="str">
        <f>IFERROR(__xludf.DUMMYFUNCTION("""COMPUTED_VALUE"""),"USA")</f>
        <v>USA</v>
      </c>
      <c r="E3066" s="171">
        <f>IFERROR(__xludf.DUMMYFUNCTION("""COMPUTED_VALUE"""),43278.0)</f>
        <v>43278</v>
      </c>
      <c r="F3066" s="172">
        <f>IFERROR(__xludf.DUMMYFUNCTION("""COMPUTED_VALUE"""),43375.0)</f>
        <v>43375</v>
      </c>
      <c r="G3066" s="173"/>
      <c r="H3066" s="174">
        <f>IFERROR(__xludf.DUMMYFUNCTION("""COMPUTED_VALUE"""),73129.0)</f>
        <v>73129</v>
      </c>
      <c r="I3066" s="175" t="str">
        <f>IFERROR(__xludf.DUMMYFUNCTION("""COMPUTED_VALUE"""),"09/18")</f>
        <v>09/18</v>
      </c>
      <c r="J3066" s="172">
        <f>IFERROR(__xludf.DUMMYFUNCTION("""COMPUTED_VALUE"""),43389.0)</f>
        <v>43389</v>
      </c>
      <c r="K3066" s="176">
        <f>IFERROR(__xludf.DUMMYFUNCTION("""COMPUTED_VALUE"""),97.0)</f>
        <v>97</v>
      </c>
      <c r="L3066" s="176">
        <f>IFERROR(__xludf.DUMMYFUNCTION("""COMPUTED_VALUE"""),14.0)</f>
        <v>14</v>
      </c>
      <c r="M3066" s="176">
        <f>IFERROR(__xludf.DUMMYFUNCTION("""COMPUTED_VALUE"""),111.0)</f>
        <v>111</v>
      </c>
      <c r="N3066" s="177" t="str">
        <f>IFERROR(__xludf.DUMMYFUNCTION("""COMPUTED_VALUE"""),"Model 3 Performance")</f>
        <v>Model 3 Performance</v>
      </c>
      <c r="O3066" s="177" t="str">
        <f>IFERROR(__xludf.DUMMYFUNCTION("""COMPUTED_VALUE"""),"Midnight Silver Metallic")</f>
        <v>Midnight Silver Metallic</v>
      </c>
      <c r="P3066" s="178" t="str">
        <f>IFERROR(__xludf.DUMMYFUNCTION("""COMPUTED_VALUE"""),"20 inch Sport")</f>
        <v>20 inch Sport</v>
      </c>
      <c r="Q3066" s="177" t="str">
        <f>IFERROR(__xludf.DUMMYFUNCTION("""COMPUTED_VALUE"""),"Black seats")</f>
        <v>Black seats</v>
      </c>
      <c r="R3066" s="170" t="str">
        <f>IFERROR(__xludf.DUMMYFUNCTION("""COMPUTED_VALUE"""),"Enhanced Autopilot")</f>
        <v>Enhanced Autopilot</v>
      </c>
      <c r="S3066" s="170"/>
      <c r="T3066" s="179"/>
      <c r="U3066" s="179"/>
      <c r="V3066" s="179"/>
      <c r="W3066" s="180"/>
      <c r="X3066" s="181" t="str">
        <f>IFERROR(__xludf.DUMMYFUNCTION("""COMPUTED_VALUE"""),"Very Good")</f>
        <v>Very Good</v>
      </c>
      <c r="Y3066" s="182" t="str">
        <f>IFERROR(__xludf.DUMMYFUNCTION("""COMPUTED_VALUE"""),"Excellent")</f>
        <v>Excellent</v>
      </c>
      <c r="Z3066" s="182" t="str">
        <f>IFERROR(__xludf.DUMMYFUNCTION("""COMPUTED_VALUE"""),"Excellent")</f>
        <v>Excellent</v>
      </c>
      <c r="AA3066" s="182" t="str">
        <f>IFERROR(__xludf.DUMMYFUNCTION("""COMPUTED_VALUE"""),"Fair")</f>
        <v>Fair</v>
      </c>
      <c r="AB3066" s="182" t="str">
        <f>IFERROR(__xludf.DUMMYFUNCTION("""COMPUTED_VALUE"""),"Fair")</f>
        <v>Fair</v>
      </c>
      <c r="AC3066" s="183">
        <f>IFERROR(__xludf.DUMMYFUNCTION("""COMPUTED_VALUE"""),0.0)</f>
        <v>0</v>
      </c>
      <c r="AD3066" s="183">
        <f>IFERROR(__xludf.DUMMYFUNCTION("""COMPUTED_VALUE"""),0.0)</f>
        <v>0</v>
      </c>
      <c r="AE3066" s="183">
        <f>IFERROR(__xludf.DUMMYFUNCTION("""COMPUTED_VALUE"""),0.0)</f>
        <v>0</v>
      </c>
      <c r="AF3066" s="184"/>
      <c r="AG3066" s="180" t="str">
        <f>IFERROR(__xludf.DUMMYFUNCTION("""COMPUTED_VALUE"""),"Home delivery Date 10/16/18, one day notice.")</f>
        <v>Home delivery Date 10/16/18, one day notice.</v>
      </c>
      <c r="AH3066" s="185">
        <f>IFERROR(__xludf.DUMMYFUNCTION("""COMPUTED_VALUE"""),43396.48999137731)</f>
        <v>43396.48999</v>
      </c>
      <c r="AI3066" s="182"/>
      <c r="AJ3066" s="182"/>
      <c r="AK3066" s="182"/>
      <c r="AL3066" s="182"/>
    </row>
    <row r="3067" ht="20.25" customHeight="1">
      <c r="A3067" s="169" t="str">
        <f>IFERROR(__xludf.DUMMYFUNCTION("""COMPUTED_VALUE"""),"e-money")</f>
        <v>e-money</v>
      </c>
      <c r="B3067" s="170" t="str">
        <f>IFERROR(__xludf.DUMMYFUNCTION("""COMPUTED_VALUE"""),"Denver")</f>
        <v>Denver</v>
      </c>
      <c r="C3067" s="170" t="str">
        <f>IFERROR(__xludf.DUMMYFUNCTION("""COMPUTED_VALUE"""),"CO")</f>
        <v>CO</v>
      </c>
      <c r="D3067" s="170" t="str">
        <f>IFERROR(__xludf.DUMMYFUNCTION("""COMPUTED_VALUE"""),"USA")</f>
        <v>USA</v>
      </c>
      <c r="E3067" s="171">
        <f>IFERROR(__xludf.DUMMYFUNCTION("""COMPUTED_VALUE"""),43278.0)</f>
        <v>43278</v>
      </c>
      <c r="F3067" s="172">
        <f>IFERROR(__xludf.DUMMYFUNCTION("""COMPUTED_VALUE"""),43284.0)</f>
        <v>43284</v>
      </c>
      <c r="G3067" s="173"/>
      <c r="H3067" s="174">
        <f>IFERROR(__xludf.DUMMYFUNCTION("""COMPUTED_VALUE"""),36655.0)</f>
        <v>36655</v>
      </c>
      <c r="I3067" s="175" t="str">
        <f>IFERROR(__xludf.DUMMYFUNCTION("""COMPUTED_VALUE"""),"06/18")</f>
        <v>06/18</v>
      </c>
      <c r="J3067" s="172">
        <f>IFERROR(__xludf.DUMMYFUNCTION("""COMPUTED_VALUE"""),43292.0)</f>
        <v>43292</v>
      </c>
      <c r="K3067" s="176">
        <f>IFERROR(__xludf.DUMMYFUNCTION("""COMPUTED_VALUE"""),6.0)</f>
        <v>6</v>
      </c>
      <c r="L3067" s="176">
        <f>IFERROR(__xludf.DUMMYFUNCTION("""COMPUTED_VALUE"""),8.0)</f>
        <v>8</v>
      </c>
      <c r="M3067" s="176">
        <f>IFERROR(__xludf.DUMMYFUNCTION("""COMPUTED_VALUE"""),14.0)</f>
        <v>14</v>
      </c>
      <c r="N3067" s="177" t="str">
        <f>IFERROR(__xludf.DUMMYFUNCTION("""COMPUTED_VALUE"""),"Model 3 LR")</f>
        <v>Model 3 LR</v>
      </c>
      <c r="O3067" s="177" t="str">
        <f>IFERROR(__xludf.DUMMYFUNCTION("""COMPUTED_VALUE"""),"Deep Blue Metallic")</f>
        <v>Deep Blue Metallic</v>
      </c>
      <c r="P3067" s="178" t="str">
        <f>IFERROR(__xludf.DUMMYFUNCTION("""COMPUTED_VALUE"""),"18 inch Aero")</f>
        <v>18 inch Aero</v>
      </c>
      <c r="Q3067" s="177" t="str">
        <f>IFERROR(__xludf.DUMMYFUNCTION("""COMPUTED_VALUE"""),"Black seats")</f>
        <v>Black seats</v>
      </c>
      <c r="R3067" s="170" t="str">
        <f>IFERROR(__xludf.DUMMYFUNCTION("""COMPUTED_VALUE"""),"None")</f>
        <v>None</v>
      </c>
      <c r="S3067" s="170"/>
      <c r="T3067" s="179"/>
      <c r="U3067" s="179"/>
      <c r="V3067" s="179"/>
      <c r="W3067" s="180"/>
      <c r="X3067" s="181" t="str">
        <f>IFERROR(__xludf.DUMMYFUNCTION("""COMPUTED_VALUE"""),"Excellent")</f>
        <v>Excellent</v>
      </c>
      <c r="Y3067" s="182" t="str">
        <f>IFERROR(__xludf.DUMMYFUNCTION("""COMPUTED_VALUE"""),"Excellent")</f>
        <v>Excellent</v>
      </c>
      <c r="Z3067" s="182" t="str">
        <f>IFERROR(__xludf.DUMMYFUNCTION("""COMPUTED_VALUE"""),"Excellent")</f>
        <v>Excellent</v>
      </c>
      <c r="AA3067" s="182" t="str">
        <f>IFERROR(__xludf.DUMMYFUNCTION("""COMPUTED_VALUE"""),"Excellent")</f>
        <v>Excellent</v>
      </c>
      <c r="AB3067" s="182" t="str">
        <f>IFERROR(__xludf.DUMMYFUNCTION("""COMPUTED_VALUE"""),"Excellent")</f>
        <v>Excellent</v>
      </c>
      <c r="AC3067" s="183"/>
      <c r="AD3067" s="183"/>
      <c r="AE3067" s="183"/>
      <c r="AF3067" s="184"/>
      <c r="AG3067" s="180"/>
      <c r="AH3067" s="185">
        <f>IFERROR(__xludf.DUMMYFUNCTION("""COMPUTED_VALUE"""),43292.70757358796)</f>
        <v>43292.70757</v>
      </c>
      <c r="AI3067" s="182"/>
      <c r="AJ3067" s="182"/>
      <c r="AK3067" s="182"/>
      <c r="AL3067" s="182"/>
    </row>
    <row r="3068" ht="20.25" customHeight="1">
      <c r="A3068" s="169" t="str">
        <f>IFERROR(__xludf.DUMMYFUNCTION("""COMPUTED_VALUE"""),"ehuso")</f>
        <v>ehuso</v>
      </c>
      <c r="B3068" s="170" t="str">
        <f>IFERROR(__xludf.DUMMYFUNCTION("""COMPUTED_VALUE"""),"Phoenix")</f>
        <v>Phoenix</v>
      </c>
      <c r="C3068" s="170" t="str">
        <f>IFERROR(__xludf.DUMMYFUNCTION("""COMPUTED_VALUE"""),"AZ")</f>
        <v>AZ</v>
      </c>
      <c r="D3068" s="170" t="str">
        <f>IFERROR(__xludf.DUMMYFUNCTION("""COMPUTED_VALUE"""),"USA")</f>
        <v>USA</v>
      </c>
      <c r="E3068" s="171">
        <f>IFERROR(__xludf.DUMMYFUNCTION("""COMPUTED_VALUE"""),43278.0)</f>
        <v>43278</v>
      </c>
      <c r="F3068" s="172">
        <f>IFERROR(__xludf.DUMMYFUNCTION("""COMPUTED_VALUE"""),43362.0)</f>
        <v>43362</v>
      </c>
      <c r="G3068" s="173"/>
      <c r="H3068" s="174">
        <f>IFERROR(__xludf.DUMMYFUNCTION("""COMPUTED_VALUE"""),98985.0)</f>
        <v>98985</v>
      </c>
      <c r="I3068" s="175"/>
      <c r="J3068" s="172">
        <f>IFERROR(__xludf.DUMMYFUNCTION("""COMPUTED_VALUE"""),43369.0)</f>
        <v>43369</v>
      </c>
      <c r="K3068" s="176">
        <f>IFERROR(__xludf.DUMMYFUNCTION("""COMPUTED_VALUE"""),84.0)</f>
        <v>84</v>
      </c>
      <c r="L3068" s="176">
        <f>IFERROR(__xludf.DUMMYFUNCTION("""COMPUTED_VALUE"""),7.0)</f>
        <v>7</v>
      </c>
      <c r="M3068" s="176">
        <f>IFERROR(__xludf.DUMMYFUNCTION("""COMPUTED_VALUE"""),91.0)</f>
        <v>91</v>
      </c>
      <c r="N3068" s="177" t="str">
        <f>IFERROR(__xludf.DUMMYFUNCTION("""COMPUTED_VALUE"""),"Model 3 LR AWD")</f>
        <v>Model 3 LR AWD</v>
      </c>
      <c r="O3068" s="177" t="str">
        <f>IFERROR(__xludf.DUMMYFUNCTION("""COMPUTED_VALUE"""),"Pearl White Multi-Coat")</f>
        <v>Pearl White Multi-Coat</v>
      </c>
      <c r="P3068" s="178" t="str">
        <f>IFERROR(__xludf.DUMMYFUNCTION("""COMPUTED_VALUE"""),"19 inch Sport")</f>
        <v>19 inch Sport</v>
      </c>
      <c r="Q3068" s="177" t="str">
        <f>IFERROR(__xludf.DUMMYFUNCTION("""COMPUTED_VALUE"""),"White seats")</f>
        <v>White seats</v>
      </c>
      <c r="R3068" s="170" t="str">
        <f>IFERROR(__xludf.DUMMYFUNCTION("""COMPUTED_VALUE"""),"None")</f>
        <v>None</v>
      </c>
      <c r="S3068" s="170"/>
      <c r="T3068" s="179"/>
      <c r="U3068" s="179"/>
      <c r="V3068" s="179"/>
      <c r="W3068" s="180"/>
      <c r="X3068" s="181" t="str">
        <f>IFERROR(__xludf.DUMMYFUNCTION("""COMPUTED_VALUE"""),"Excellent")</f>
        <v>Excellent</v>
      </c>
      <c r="Y3068" s="182" t="str">
        <f>IFERROR(__xludf.DUMMYFUNCTION("""COMPUTED_VALUE"""),"Very Good")</f>
        <v>Very Good</v>
      </c>
      <c r="Z3068" s="182" t="str">
        <f>IFERROR(__xludf.DUMMYFUNCTION("""COMPUTED_VALUE"""),"Excellent")</f>
        <v>Excellent</v>
      </c>
      <c r="AA3068" s="182" t="str">
        <f>IFERROR(__xludf.DUMMYFUNCTION("""COMPUTED_VALUE"""),"Very Good")</f>
        <v>Very Good</v>
      </c>
      <c r="AB3068" s="182" t="str">
        <f>IFERROR(__xludf.DUMMYFUNCTION("""COMPUTED_VALUE"""),"Excellent")</f>
        <v>Excellent</v>
      </c>
      <c r="AC3068" s="183">
        <f>IFERROR(__xludf.DUMMYFUNCTION("""COMPUTED_VALUE"""),1.0)</f>
        <v>1</v>
      </c>
      <c r="AD3068" s="183"/>
      <c r="AE3068" s="183"/>
      <c r="AF3068" s="184"/>
      <c r="AG3068" s="180"/>
      <c r="AH3068" s="185">
        <f>IFERROR(__xludf.DUMMYFUNCTION("""COMPUTED_VALUE"""),43371.32261574074)</f>
        <v>43371.32262</v>
      </c>
      <c r="AI3068" s="182"/>
      <c r="AJ3068" s="182"/>
      <c r="AK3068" s="182"/>
      <c r="AL3068" s="182"/>
    </row>
    <row r="3069" ht="20.25" customHeight="1">
      <c r="A3069" s="169" t="str">
        <f>IFERROR(__xludf.DUMMYFUNCTION("""COMPUTED_VALUE"""),"ejl80")</f>
        <v>ejl80</v>
      </c>
      <c r="B3069" s="170" t="str">
        <f>IFERROR(__xludf.DUMMYFUNCTION("""COMPUTED_VALUE"""),"NJ")</f>
        <v>NJ</v>
      </c>
      <c r="C3069" s="170" t="str">
        <f>IFERROR(__xludf.DUMMYFUNCTION("""COMPUTED_VALUE"""),"NJ")</f>
        <v>NJ</v>
      </c>
      <c r="D3069" s="170" t="str">
        <f>IFERROR(__xludf.DUMMYFUNCTION("""COMPUTED_VALUE"""),"USA")</f>
        <v>USA</v>
      </c>
      <c r="E3069" s="171">
        <f>IFERROR(__xludf.DUMMYFUNCTION("""COMPUTED_VALUE"""),43278.0)</f>
        <v>43278</v>
      </c>
      <c r="F3069" s="172">
        <f>IFERROR(__xludf.DUMMYFUNCTION("""COMPUTED_VALUE"""),43327.0)</f>
        <v>43327</v>
      </c>
      <c r="G3069" s="173"/>
      <c r="H3069" s="174">
        <f>IFERROR(__xludf.DUMMYFUNCTION("""COMPUTED_VALUE"""),54255.0)</f>
        <v>54255</v>
      </c>
      <c r="I3069" s="175" t="str">
        <f>IFERROR(__xludf.DUMMYFUNCTION("""COMPUTED_VALUE"""),"08/18")</f>
        <v>08/18</v>
      </c>
      <c r="J3069" s="172">
        <f>IFERROR(__xludf.DUMMYFUNCTION("""COMPUTED_VALUE"""),43348.0)</f>
        <v>43348</v>
      </c>
      <c r="K3069" s="176">
        <f>IFERROR(__xludf.DUMMYFUNCTION("""COMPUTED_VALUE"""),49.0)</f>
        <v>49</v>
      </c>
      <c r="L3069" s="176">
        <f>IFERROR(__xludf.DUMMYFUNCTION("""COMPUTED_VALUE"""),21.0)</f>
        <v>21</v>
      </c>
      <c r="M3069" s="176">
        <f>IFERROR(__xludf.DUMMYFUNCTION("""COMPUTED_VALUE"""),70.0)</f>
        <v>70</v>
      </c>
      <c r="N3069" s="177" t="str">
        <f>IFERROR(__xludf.DUMMYFUNCTION("""COMPUTED_VALUE"""),"Model 3 LR AWD")</f>
        <v>Model 3 LR AWD</v>
      </c>
      <c r="O3069" s="177" t="str">
        <f>IFERROR(__xludf.DUMMYFUNCTION("""COMPUTED_VALUE"""),"Deep Blue Metallic")</f>
        <v>Deep Blue Metallic</v>
      </c>
      <c r="P3069" s="178" t="str">
        <f>IFERROR(__xludf.DUMMYFUNCTION("""COMPUTED_VALUE"""),"18 inch Aero")</f>
        <v>18 inch Aero</v>
      </c>
      <c r="Q3069" s="177" t="str">
        <f>IFERROR(__xludf.DUMMYFUNCTION("""COMPUTED_VALUE"""),"Black seats")</f>
        <v>Black seats</v>
      </c>
      <c r="R3069" s="170" t="str">
        <f>IFERROR(__xludf.DUMMYFUNCTION("""COMPUTED_VALUE"""),"Enhanced Autopilot")</f>
        <v>Enhanced Autopilot</v>
      </c>
      <c r="S3069" s="170"/>
      <c r="T3069" s="179"/>
      <c r="U3069" s="179"/>
      <c r="V3069" s="179"/>
      <c r="W3069" s="180"/>
      <c r="X3069" s="181" t="str">
        <f>IFERROR(__xludf.DUMMYFUNCTION("""COMPUTED_VALUE"""),"Excellent")</f>
        <v>Excellent</v>
      </c>
      <c r="Y3069" s="182" t="str">
        <f>IFERROR(__xludf.DUMMYFUNCTION("""COMPUTED_VALUE"""),"Excellent")</f>
        <v>Excellent</v>
      </c>
      <c r="Z3069" s="182" t="str">
        <f>IFERROR(__xludf.DUMMYFUNCTION("""COMPUTED_VALUE"""),"Good")</f>
        <v>Good</v>
      </c>
      <c r="AA3069" s="182" t="str">
        <f>IFERROR(__xludf.DUMMYFUNCTION("""COMPUTED_VALUE"""),"Good")</f>
        <v>Good</v>
      </c>
      <c r="AB3069" s="182" t="str">
        <f>IFERROR(__xludf.DUMMYFUNCTION("""COMPUTED_VALUE"""),"Excellent")</f>
        <v>Excellent</v>
      </c>
      <c r="AC3069" s="183">
        <f>IFERROR(__xludf.DUMMYFUNCTION("""COMPUTED_VALUE"""),2.0)</f>
        <v>2</v>
      </c>
      <c r="AD3069" s="183"/>
      <c r="AE3069" s="183"/>
      <c r="AF3069" s="184"/>
      <c r="AG3069" s="180"/>
      <c r="AH3069" s="185">
        <f>IFERROR(__xludf.DUMMYFUNCTION("""COMPUTED_VALUE"""),43351.663263055554)</f>
        <v>43351.66326</v>
      </c>
      <c r="AI3069" s="182"/>
      <c r="AJ3069" s="182"/>
      <c r="AK3069" s="182"/>
      <c r="AL3069" s="182"/>
    </row>
    <row r="3070" ht="20.25" customHeight="1">
      <c r="A3070" s="169" t="str">
        <f>IFERROR(__xludf.DUMMYFUNCTION("""COMPUTED_VALUE"""),"EPCOTcenter")</f>
        <v>EPCOTcenter</v>
      </c>
      <c r="B3070" s="170" t="str">
        <f>IFERROR(__xludf.DUMMYFUNCTION("""COMPUTED_VALUE"""),"Atlanta")</f>
        <v>Atlanta</v>
      </c>
      <c r="C3070" s="170" t="str">
        <f>IFERROR(__xludf.DUMMYFUNCTION("""COMPUTED_VALUE"""),"GA")</f>
        <v>GA</v>
      </c>
      <c r="D3070" s="170" t="str">
        <f>IFERROR(__xludf.DUMMYFUNCTION("""COMPUTED_VALUE"""),"USA")</f>
        <v>USA</v>
      </c>
      <c r="E3070" s="171">
        <f>IFERROR(__xludf.DUMMYFUNCTION("""COMPUTED_VALUE"""),43278.0)</f>
        <v>43278</v>
      </c>
      <c r="F3070" s="172">
        <f>IFERROR(__xludf.DUMMYFUNCTION("""COMPUTED_VALUE"""),43380.0)</f>
        <v>43380</v>
      </c>
      <c r="G3070" s="173"/>
      <c r="H3070" s="174">
        <f>IFERROR(__xludf.DUMMYFUNCTION("""COMPUTED_VALUE"""),93525.0)</f>
        <v>93525</v>
      </c>
      <c r="I3070" s="175" t="str">
        <f>IFERROR(__xludf.DUMMYFUNCTION("""COMPUTED_VALUE"""),"09/18")</f>
        <v>09/18</v>
      </c>
      <c r="J3070" s="172">
        <f>IFERROR(__xludf.DUMMYFUNCTION("""COMPUTED_VALUE"""),43390.0)</f>
        <v>43390</v>
      </c>
      <c r="K3070" s="176">
        <f>IFERROR(__xludf.DUMMYFUNCTION("""COMPUTED_VALUE"""),102.0)</f>
        <v>102</v>
      </c>
      <c r="L3070" s="176">
        <f>IFERROR(__xludf.DUMMYFUNCTION("""COMPUTED_VALUE"""),10.0)</f>
        <v>10</v>
      </c>
      <c r="M3070" s="176">
        <f>IFERROR(__xludf.DUMMYFUNCTION("""COMPUTED_VALUE"""),112.0)</f>
        <v>112</v>
      </c>
      <c r="N3070" s="177" t="str">
        <f>IFERROR(__xludf.DUMMYFUNCTION("""COMPUTED_VALUE"""),"Model 3 LR AWD")</f>
        <v>Model 3 LR AWD</v>
      </c>
      <c r="O3070" s="177" t="str">
        <f>IFERROR(__xludf.DUMMYFUNCTION("""COMPUTED_VALUE"""),"Red Multi-Coat")</f>
        <v>Red Multi-Coat</v>
      </c>
      <c r="P3070" s="178" t="str">
        <f>IFERROR(__xludf.DUMMYFUNCTION("""COMPUTED_VALUE"""),"18 inch Aero")</f>
        <v>18 inch Aero</v>
      </c>
      <c r="Q3070" s="177" t="str">
        <f>IFERROR(__xludf.DUMMYFUNCTION("""COMPUTED_VALUE"""),"Black seats")</f>
        <v>Black seats</v>
      </c>
      <c r="R3070" s="170" t="str">
        <f>IFERROR(__xludf.DUMMYFUNCTION("""COMPUTED_VALUE"""),"None")</f>
        <v>None</v>
      </c>
      <c r="S3070" s="170"/>
      <c r="T3070" s="179"/>
      <c r="U3070" s="179"/>
      <c r="V3070" s="179"/>
      <c r="W3070" s="180"/>
      <c r="X3070" s="181" t="str">
        <f>IFERROR(__xludf.DUMMYFUNCTION("""COMPUTED_VALUE"""),"Very Good")</f>
        <v>Very Good</v>
      </c>
      <c r="Y3070" s="182" t="str">
        <f>IFERROR(__xludf.DUMMYFUNCTION("""COMPUTED_VALUE"""),"Excellent")</f>
        <v>Excellent</v>
      </c>
      <c r="Z3070" s="182" t="str">
        <f>IFERROR(__xludf.DUMMYFUNCTION("""COMPUTED_VALUE"""),"Excellent")</f>
        <v>Excellent</v>
      </c>
      <c r="AA3070" s="182" t="str">
        <f>IFERROR(__xludf.DUMMYFUNCTION("""COMPUTED_VALUE"""),"Very Good")</f>
        <v>Very Good</v>
      </c>
      <c r="AB3070" s="182" t="str">
        <f>IFERROR(__xludf.DUMMYFUNCTION("""COMPUTED_VALUE"""),"Very Good")</f>
        <v>Very Good</v>
      </c>
      <c r="AC3070" s="183">
        <f>IFERROR(__xludf.DUMMYFUNCTION("""COMPUTED_VALUE"""),2.0)</f>
        <v>2</v>
      </c>
      <c r="AD3070" s="183"/>
      <c r="AE3070" s="183"/>
      <c r="AF3070" s="184"/>
      <c r="AG3070" s="180" t="str">
        <f>IFERROR(__xludf.DUMMYFUNCTION("""COMPUTED_VALUE"""),"Received the mass text for the 3Q18 EOQ push, set delivery appt, but Tesla cancelled the night before.")</f>
        <v>Received the mass text for the 3Q18 EOQ push, set delivery appt, but Tesla cancelled the night before.</v>
      </c>
      <c r="AH3070" s="185">
        <f>IFERROR(__xludf.DUMMYFUNCTION("""COMPUTED_VALUE"""),43395.3090525463)</f>
        <v>43395.30905</v>
      </c>
      <c r="AI3070" s="182"/>
      <c r="AJ3070" s="182"/>
      <c r="AK3070" s="182"/>
      <c r="AL3070" s="182"/>
    </row>
    <row r="3071" ht="20.25" customHeight="1">
      <c r="A3071" s="169" t="str">
        <f>IFERROR(__xludf.DUMMYFUNCTION("""COMPUTED_VALUE"""),"epheterson")</f>
        <v>epheterson</v>
      </c>
      <c r="B3071" s="170" t="str">
        <f>IFERROR(__xludf.DUMMYFUNCTION("""COMPUTED_VALUE"""),"San Francisco")</f>
        <v>San Francisco</v>
      </c>
      <c r="C3071" s="170" t="str">
        <f>IFERROR(__xludf.DUMMYFUNCTION("""COMPUTED_VALUE"""),"CA")</f>
        <v>CA</v>
      </c>
      <c r="D3071" s="170" t="str">
        <f>IFERROR(__xludf.DUMMYFUNCTION("""COMPUTED_VALUE"""),"USA")</f>
        <v>USA</v>
      </c>
      <c r="E3071" s="171">
        <f>IFERROR(__xludf.DUMMYFUNCTION("""COMPUTED_VALUE"""),43278.0)</f>
        <v>43278</v>
      </c>
      <c r="F3071" s="172">
        <f>IFERROR(__xludf.DUMMYFUNCTION("""COMPUTED_VALUE"""),43332.0)</f>
        <v>43332</v>
      </c>
      <c r="G3071" s="173"/>
      <c r="H3071" s="174">
        <f>IFERROR(__xludf.DUMMYFUNCTION("""COMPUTED_VALUE"""),64605.0)</f>
        <v>64605</v>
      </c>
      <c r="I3071" s="175" t="str">
        <f>IFERROR(__xludf.DUMMYFUNCTION("""COMPUTED_VALUE"""),"08/18")</f>
        <v>08/18</v>
      </c>
      <c r="J3071" s="172">
        <f>IFERROR(__xludf.DUMMYFUNCTION("""COMPUTED_VALUE"""),43337.0)</f>
        <v>43337</v>
      </c>
      <c r="K3071" s="176">
        <f>IFERROR(__xludf.DUMMYFUNCTION("""COMPUTED_VALUE"""),54.0)</f>
        <v>54</v>
      </c>
      <c r="L3071" s="176">
        <f>IFERROR(__xludf.DUMMYFUNCTION("""COMPUTED_VALUE"""),5.0)</f>
        <v>5</v>
      </c>
      <c r="M3071" s="176">
        <f>IFERROR(__xludf.DUMMYFUNCTION("""COMPUTED_VALUE"""),59.0)</f>
        <v>59</v>
      </c>
      <c r="N3071" s="177" t="str">
        <f>IFERROR(__xludf.DUMMYFUNCTION("""COMPUTED_VALUE"""),"Model 3 LR AWD")</f>
        <v>Model 3 LR AWD</v>
      </c>
      <c r="O3071" s="177" t="str">
        <f>IFERROR(__xludf.DUMMYFUNCTION("""COMPUTED_VALUE"""),"Deep Blue Metallic")</f>
        <v>Deep Blue Metallic</v>
      </c>
      <c r="P3071" s="178" t="str">
        <f>IFERROR(__xludf.DUMMYFUNCTION("""COMPUTED_VALUE"""),"18 inch Aero")</f>
        <v>18 inch Aero</v>
      </c>
      <c r="Q3071" s="177" t="str">
        <f>IFERROR(__xludf.DUMMYFUNCTION("""COMPUTED_VALUE"""),"Black seats")</f>
        <v>Black seats</v>
      </c>
      <c r="R3071" s="170" t="str">
        <f>IFERROR(__xludf.DUMMYFUNCTION("""COMPUTED_VALUE"""),"Full Self-Driving")</f>
        <v>Full Self-Driving</v>
      </c>
      <c r="S3071" s="170"/>
      <c r="T3071" s="179"/>
      <c r="U3071" s="179"/>
      <c r="V3071" s="179"/>
      <c r="W3071" s="180"/>
      <c r="X3071" s="181" t="str">
        <f>IFERROR(__xludf.DUMMYFUNCTION("""COMPUTED_VALUE"""),"Very Good")</f>
        <v>Very Good</v>
      </c>
      <c r="Y3071" s="182" t="str">
        <f>IFERROR(__xludf.DUMMYFUNCTION("""COMPUTED_VALUE"""),"Very Good")</f>
        <v>Very Good</v>
      </c>
      <c r="Z3071" s="182" t="str">
        <f>IFERROR(__xludf.DUMMYFUNCTION("""COMPUTED_VALUE"""),"Very Good")</f>
        <v>Very Good</v>
      </c>
      <c r="AA3071" s="182" t="str">
        <f>IFERROR(__xludf.DUMMYFUNCTION("""COMPUTED_VALUE"""),"Very Good")</f>
        <v>Very Good</v>
      </c>
      <c r="AB3071" s="182" t="str">
        <f>IFERROR(__xludf.DUMMYFUNCTION("""COMPUTED_VALUE"""),"Very Good")</f>
        <v>Very Good</v>
      </c>
      <c r="AC3071" s="183">
        <f>IFERROR(__xludf.DUMMYFUNCTION("""COMPUTED_VALUE"""),0.0)</f>
        <v>0</v>
      </c>
      <c r="AD3071" s="183">
        <f>IFERROR(__xludf.DUMMYFUNCTION("""COMPUTED_VALUE"""),0.0)</f>
        <v>0</v>
      </c>
      <c r="AE3071" s="183">
        <f>IFERROR(__xludf.DUMMYFUNCTION("""COMPUTED_VALUE"""),0.0)</f>
        <v>0</v>
      </c>
      <c r="AF3071" s="184"/>
      <c r="AG3071" s="180"/>
      <c r="AH3071" s="185">
        <f>IFERROR(__xludf.DUMMYFUNCTION("""COMPUTED_VALUE"""),43337.841392476854)</f>
        <v>43337.84139</v>
      </c>
      <c r="AI3071" s="182"/>
      <c r="AJ3071" s="182"/>
      <c r="AK3071" s="182"/>
      <c r="AL3071" s="182"/>
    </row>
    <row r="3072" ht="20.25" customHeight="1">
      <c r="A3072" s="169" t="str">
        <f>IFERROR(__xludf.DUMMYFUNCTION("""COMPUTED_VALUE"""),"Eventhurizon")</f>
        <v>Eventhurizon</v>
      </c>
      <c r="B3072" s="170"/>
      <c r="C3072" s="170" t="str">
        <f>IFERROR(__xludf.DUMMYFUNCTION("""COMPUTED_VALUE"""),"CA")</f>
        <v>CA</v>
      </c>
      <c r="D3072" s="170" t="str">
        <f>IFERROR(__xludf.DUMMYFUNCTION("""COMPUTED_VALUE"""),"USA")</f>
        <v>USA</v>
      </c>
      <c r="E3072" s="171">
        <f>IFERROR(__xludf.DUMMYFUNCTION("""COMPUTED_VALUE"""),43278.0)</f>
        <v>43278</v>
      </c>
      <c r="F3072" s="172">
        <f>IFERROR(__xludf.DUMMYFUNCTION("""COMPUTED_VALUE"""),43350.0)</f>
        <v>43350</v>
      </c>
      <c r="G3072" s="173"/>
      <c r="H3072" s="174">
        <f>IFERROR(__xludf.DUMMYFUNCTION("""COMPUTED_VALUE"""),84555.0)</f>
        <v>84555</v>
      </c>
      <c r="I3072" s="175"/>
      <c r="J3072" s="172">
        <f>IFERROR(__xludf.DUMMYFUNCTION("""COMPUTED_VALUE"""),43354.0)</f>
        <v>43354</v>
      </c>
      <c r="K3072" s="176">
        <f>IFERROR(__xludf.DUMMYFUNCTION("""COMPUTED_VALUE"""),72.0)</f>
        <v>72</v>
      </c>
      <c r="L3072" s="176">
        <f>IFERROR(__xludf.DUMMYFUNCTION("""COMPUTED_VALUE"""),4.0)</f>
        <v>4</v>
      </c>
      <c r="M3072" s="176">
        <f>IFERROR(__xludf.DUMMYFUNCTION("""COMPUTED_VALUE"""),76.0)</f>
        <v>76</v>
      </c>
      <c r="N3072" s="177" t="str">
        <f>IFERROR(__xludf.DUMMYFUNCTION("""COMPUTED_VALUE"""),"Model 3 Performance")</f>
        <v>Model 3 Performance</v>
      </c>
      <c r="O3072" s="177" t="str">
        <f>IFERROR(__xludf.DUMMYFUNCTION("""COMPUTED_VALUE"""),"Deep Blue Metallic")</f>
        <v>Deep Blue Metallic</v>
      </c>
      <c r="P3072" s="178" t="str">
        <f>IFERROR(__xludf.DUMMYFUNCTION("""COMPUTED_VALUE"""),"20 inch Sport")</f>
        <v>20 inch Sport</v>
      </c>
      <c r="Q3072" s="177" t="str">
        <f>IFERROR(__xludf.DUMMYFUNCTION("""COMPUTED_VALUE"""),"Black seats")</f>
        <v>Black seats</v>
      </c>
      <c r="R3072" s="170" t="str">
        <f>IFERROR(__xludf.DUMMYFUNCTION("""COMPUTED_VALUE"""),"Full Self-Driving")</f>
        <v>Full Self-Driving</v>
      </c>
      <c r="S3072" s="170"/>
      <c r="T3072" s="179"/>
      <c r="U3072" s="179"/>
      <c r="V3072" s="179"/>
      <c r="W3072" s="180"/>
      <c r="X3072" s="181" t="str">
        <f>IFERROR(__xludf.DUMMYFUNCTION("""COMPUTED_VALUE"""),"Very Good")</f>
        <v>Very Good</v>
      </c>
      <c r="Y3072" s="182" t="str">
        <f>IFERROR(__xludf.DUMMYFUNCTION("""COMPUTED_VALUE"""),"Excellent")</f>
        <v>Excellent</v>
      </c>
      <c r="Z3072" s="182" t="str">
        <f>IFERROR(__xludf.DUMMYFUNCTION("""COMPUTED_VALUE"""),"Excellent")</f>
        <v>Excellent</v>
      </c>
      <c r="AA3072" s="182" t="str">
        <f>IFERROR(__xludf.DUMMYFUNCTION("""COMPUTED_VALUE"""),"Very Good")</f>
        <v>Very Good</v>
      </c>
      <c r="AB3072" s="182" t="str">
        <f>IFERROR(__xludf.DUMMYFUNCTION("""COMPUTED_VALUE"""),"Excellent")</f>
        <v>Excellent</v>
      </c>
      <c r="AC3072" s="183"/>
      <c r="AD3072" s="183"/>
      <c r="AE3072" s="183"/>
      <c r="AF3072" s="184"/>
      <c r="AG3072" s="180"/>
      <c r="AH3072" s="185">
        <f>IFERROR(__xludf.DUMMYFUNCTION("""COMPUTED_VALUE"""),43357.71807159722)</f>
        <v>43357.71807</v>
      </c>
      <c r="AI3072" s="182"/>
      <c r="AJ3072" s="182"/>
      <c r="AK3072" s="182"/>
      <c r="AL3072" s="182"/>
    </row>
    <row r="3073" ht="20.25" customHeight="1">
      <c r="A3073" s="169" t="str">
        <f>IFERROR(__xludf.DUMMYFUNCTION("""COMPUTED_VALUE"""),"eye oh bee")</f>
        <v>eye oh bee</v>
      </c>
      <c r="B3073" s="170" t="str">
        <f>IFERROR(__xludf.DUMMYFUNCTION("""COMPUTED_VALUE"""),"NorCal")</f>
        <v>NorCal</v>
      </c>
      <c r="C3073" s="170" t="str">
        <f>IFERROR(__xludf.DUMMYFUNCTION("""COMPUTED_VALUE"""),"CA")</f>
        <v>CA</v>
      </c>
      <c r="D3073" s="170" t="str">
        <f>IFERROR(__xludf.DUMMYFUNCTION("""COMPUTED_VALUE"""),"USA")</f>
        <v>USA</v>
      </c>
      <c r="E3073" s="171">
        <f>IFERROR(__xludf.DUMMYFUNCTION("""COMPUTED_VALUE"""),43278.0)</f>
        <v>43278</v>
      </c>
      <c r="F3073" s="172"/>
      <c r="G3073" s="173"/>
      <c r="H3073" s="174">
        <f>IFERROR(__xludf.DUMMYFUNCTION("""COMPUTED_VALUE"""),99291.0)</f>
        <v>99291</v>
      </c>
      <c r="I3073" s="175" t="str">
        <f>IFERROR(__xludf.DUMMYFUNCTION("""COMPUTED_VALUE"""),"08/18")</f>
        <v>08/18</v>
      </c>
      <c r="J3073" s="172">
        <f>IFERROR(__xludf.DUMMYFUNCTION("""COMPUTED_VALUE"""),43373.0)</f>
        <v>43373</v>
      </c>
      <c r="K3073" s="176"/>
      <c r="L3073" s="176"/>
      <c r="M3073" s="176">
        <f>IFERROR(__xludf.DUMMYFUNCTION("""COMPUTED_VALUE"""),95.0)</f>
        <v>95</v>
      </c>
      <c r="N3073" s="177" t="str">
        <f>IFERROR(__xludf.DUMMYFUNCTION("""COMPUTED_VALUE"""),"Model 3 LR AWD")</f>
        <v>Model 3 LR AWD</v>
      </c>
      <c r="O3073" s="177" t="str">
        <f>IFERROR(__xludf.DUMMYFUNCTION("""COMPUTED_VALUE"""),"Obsidian Black Metallic")</f>
        <v>Obsidian Black Metallic</v>
      </c>
      <c r="P3073" s="178" t="str">
        <f>IFERROR(__xludf.DUMMYFUNCTION("""COMPUTED_VALUE"""),"18 inch Aero")</f>
        <v>18 inch Aero</v>
      </c>
      <c r="Q3073" s="177" t="str">
        <f>IFERROR(__xludf.DUMMYFUNCTION("""COMPUTED_VALUE"""),"White seats")</f>
        <v>White seats</v>
      </c>
      <c r="R3073" s="170" t="str">
        <f>IFERROR(__xludf.DUMMYFUNCTION("""COMPUTED_VALUE"""),"None")</f>
        <v>None</v>
      </c>
      <c r="S3073" s="170"/>
      <c r="T3073" s="179"/>
      <c r="U3073" s="179"/>
      <c r="V3073" s="179"/>
      <c r="W3073" s="180"/>
      <c r="X3073" s="181" t="str">
        <f>IFERROR(__xludf.DUMMYFUNCTION("""COMPUTED_VALUE"""),"Excellent")</f>
        <v>Excellent</v>
      </c>
      <c r="Y3073" s="182" t="str">
        <f>IFERROR(__xludf.DUMMYFUNCTION("""COMPUTED_VALUE"""),"Excellent")</f>
        <v>Excellent</v>
      </c>
      <c r="Z3073" s="182" t="str">
        <f>IFERROR(__xludf.DUMMYFUNCTION("""COMPUTED_VALUE"""),"Excellent")</f>
        <v>Excellent</v>
      </c>
      <c r="AA3073" s="182" t="str">
        <f>IFERROR(__xludf.DUMMYFUNCTION("""COMPUTED_VALUE"""),"Fair")</f>
        <v>Fair</v>
      </c>
      <c r="AB3073" s="182" t="str">
        <f>IFERROR(__xludf.DUMMYFUNCTION("""COMPUTED_VALUE"""),"Fair")</f>
        <v>Fair</v>
      </c>
      <c r="AC3073" s="183">
        <f>IFERROR(__xludf.DUMMYFUNCTION("""COMPUTED_VALUE"""),0.0)</f>
        <v>0</v>
      </c>
      <c r="AD3073" s="183">
        <f>IFERROR(__xludf.DUMMYFUNCTION("""COMPUTED_VALUE"""),0.0)</f>
        <v>0</v>
      </c>
      <c r="AE3073" s="183">
        <f>IFERROR(__xludf.DUMMYFUNCTION("""COMPUTED_VALUE"""),0.0)</f>
        <v>0</v>
      </c>
      <c r="AF3073" s="184"/>
      <c r="AG3073" s="180" t="str">
        <f>IFERROR(__xludf.DUMMYFUNCTION("""COMPUTED_VALUE"""),"Fremont Delivery Event - picked up on September 8")</f>
        <v>Fremont Delivery Event - picked up on September 8</v>
      </c>
      <c r="AH3073" s="185">
        <f>IFERROR(__xludf.DUMMYFUNCTION("""COMPUTED_VALUE"""),43406.956386377315)</f>
        <v>43406.95639</v>
      </c>
      <c r="AI3073" s="182"/>
      <c r="AJ3073" s="182"/>
      <c r="AK3073" s="182"/>
      <c r="AL3073" s="182"/>
    </row>
    <row r="3074" ht="20.25" customHeight="1">
      <c r="A3074" s="169" t="str">
        <f>IFERROR(__xludf.DUMMYFUNCTION("""COMPUTED_VALUE"""),"fan3")</f>
        <v>fan3</v>
      </c>
      <c r="B3074" s="170" t="str">
        <f>IFERROR(__xludf.DUMMYFUNCTION("""COMPUTED_VALUE"""),"Herndon")</f>
        <v>Herndon</v>
      </c>
      <c r="C3074" s="170" t="str">
        <f>IFERROR(__xludf.DUMMYFUNCTION("""COMPUTED_VALUE"""),"VA")</f>
        <v>VA</v>
      </c>
      <c r="D3074" s="170" t="str">
        <f>IFERROR(__xludf.DUMMYFUNCTION("""COMPUTED_VALUE"""),"USA")</f>
        <v>USA</v>
      </c>
      <c r="E3074" s="171">
        <f>IFERROR(__xludf.DUMMYFUNCTION("""COMPUTED_VALUE"""),43278.0)</f>
        <v>43278</v>
      </c>
      <c r="F3074" s="172">
        <f>IFERROR(__xludf.DUMMYFUNCTION("""COMPUTED_VALUE"""),43376.0)</f>
        <v>43376</v>
      </c>
      <c r="G3074" s="173"/>
      <c r="H3074" s="174">
        <f>IFERROR(__xludf.DUMMYFUNCTION("""COMPUTED_VALUE"""),117755.0)</f>
        <v>117755</v>
      </c>
      <c r="I3074" s="175" t="str">
        <f>IFERROR(__xludf.DUMMYFUNCTION("""COMPUTED_VALUE"""),"10/18")</f>
        <v>10/18</v>
      </c>
      <c r="J3074" s="172">
        <f>IFERROR(__xludf.DUMMYFUNCTION("""COMPUTED_VALUE"""),43402.0)</f>
        <v>43402</v>
      </c>
      <c r="K3074" s="176">
        <f>IFERROR(__xludf.DUMMYFUNCTION("""COMPUTED_VALUE"""),98.0)</f>
        <v>98</v>
      </c>
      <c r="L3074" s="176">
        <f>IFERROR(__xludf.DUMMYFUNCTION("""COMPUTED_VALUE"""),26.0)</f>
        <v>26</v>
      </c>
      <c r="M3074" s="176">
        <f>IFERROR(__xludf.DUMMYFUNCTION("""COMPUTED_VALUE"""),124.0)</f>
        <v>124</v>
      </c>
      <c r="N3074" s="177" t="str">
        <f>IFERROR(__xludf.DUMMYFUNCTION("""COMPUTED_VALUE"""),"Model 3 LR AWD")</f>
        <v>Model 3 LR AWD</v>
      </c>
      <c r="O3074" s="177" t="str">
        <f>IFERROR(__xludf.DUMMYFUNCTION("""COMPUTED_VALUE"""),"Pearl White Multi-Coat")</f>
        <v>Pearl White Multi-Coat</v>
      </c>
      <c r="P3074" s="178" t="str">
        <f>IFERROR(__xludf.DUMMYFUNCTION("""COMPUTED_VALUE"""),"19 inch Sport")</f>
        <v>19 inch Sport</v>
      </c>
      <c r="Q3074" s="177" t="str">
        <f>IFERROR(__xludf.DUMMYFUNCTION("""COMPUTED_VALUE"""),"Black seats")</f>
        <v>Black seats</v>
      </c>
      <c r="R3074" s="170" t="str">
        <f>IFERROR(__xludf.DUMMYFUNCTION("""COMPUTED_VALUE"""),"None")</f>
        <v>None</v>
      </c>
      <c r="S3074" s="170"/>
      <c r="T3074" s="179"/>
      <c r="U3074" s="179"/>
      <c r="V3074" s="179"/>
      <c r="W3074" s="180"/>
      <c r="X3074" s="181" t="str">
        <f>IFERROR(__xludf.DUMMYFUNCTION("""COMPUTED_VALUE"""),"Excellent")</f>
        <v>Excellent</v>
      </c>
      <c r="Y3074" s="182" t="str">
        <f>IFERROR(__xludf.DUMMYFUNCTION("""COMPUTED_VALUE"""),"Excellent")</f>
        <v>Excellent</v>
      </c>
      <c r="Z3074" s="182" t="str">
        <f>IFERROR(__xludf.DUMMYFUNCTION("""COMPUTED_VALUE"""),"Excellent")</f>
        <v>Excellent</v>
      </c>
      <c r="AA3074" s="182" t="str">
        <f>IFERROR(__xludf.DUMMYFUNCTION("""COMPUTED_VALUE"""),"Poor")</f>
        <v>Poor</v>
      </c>
      <c r="AB3074" s="182" t="str">
        <f>IFERROR(__xludf.DUMMYFUNCTION("""COMPUTED_VALUE"""),"Excellent")</f>
        <v>Excellent</v>
      </c>
      <c r="AC3074" s="183">
        <f>IFERROR(__xludf.DUMMYFUNCTION("""COMPUTED_VALUE"""),0.0)</f>
        <v>0</v>
      </c>
      <c r="AD3074" s="183"/>
      <c r="AE3074" s="183"/>
      <c r="AF3074" s="184"/>
      <c r="AG3074" s="180"/>
      <c r="AH3074" s="185">
        <f>IFERROR(__xludf.DUMMYFUNCTION("""COMPUTED_VALUE"""),43402.824183530094)</f>
        <v>43402.82418</v>
      </c>
      <c r="AI3074" s="182"/>
      <c r="AJ3074" s="182"/>
      <c r="AK3074" s="182"/>
      <c r="AL3074" s="182"/>
    </row>
    <row r="3075" ht="20.25" customHeight="1">
      <c r="A3075" s="169" t="str">
        <f>IFERROR(__xludf.DUMMYFUNCTION("""COMPUTED_VALUE"""),"FloridaJohn")</f>
        <v>FloridaJohn</v>
      </c>
      <c r="B3075" s="170" t="str">
        <f>IFERROR(__xludf.DUMMYFUNCTION("""COMPUTED_VALUE"""),"Palm Beach Gardens, FL")</f>
        <v>Palm Beach Gardens, FL</v>
      </c>
      <c r="C3075" s="170" t="str">
        <f>IFERROR(__xludf.DUMMYFUNCTION("""COMPUTED_VALUE"""),"FL")</f>
        <v>FL</v>
      </c>
      <c r="D3075" s="170" t="str">
        <f>IFERROR(__xludf.DUMMYFUNCTION("""COMPUTED_VALUE"""),"USA")</f>
        <v>USA</v>
      </c>
      <c r="E3075" s="171">
        <f>IFERROR(__xludf.DUMMYFUNCTION("""COMPUTED_VALUE"""),43278.0)</f>
        <v>43278</v>
      </c>
      <c r="F3075" s="172">
        <f>IFERROR(__xludf.DUMMYFUNCTION("""COMPUTED_VALUE"""),43283.0)</f>
        <v>43283</v>
      </c>
      <c r="G3075" s="173"/>
      <c r="H3075" s="174">
        <f>IFERROR(__xludf.DUMMYFUNCTION("""COMPUTED_VALUE"""),30555.0)</f>
        <v>30555</v>
      </c>
      <c r="I3075" s="175" t="str">
        <f>IFERROR(__xludf.DUMMYFUNCTION("""COMPUTED_VALUE"""),"06/18")</f>
        <v>06/18</v>
      </c>
      <c r="J3075" s="172">
        <f>IFERROR(__xludf.DUMMYFUNCTION("""COMPUTED_VALUE"""),43295.0)</f>
        <v>43295</v>
      </c>
      <c r="K3075" s="176">
        <f>IFERROR(__xludf.DUMMYFUNCTION("""COMPUTED_VALUE"""),5.0)</f>
        <v>5</v>
      </c>
      <c r="L3075" s="176">
        <f>IFERROR(__xludf.DUMMYFUNCTION("""COMPUTED_VALUE"""),12.0)</f>
        <v>12</v>
      </c>
      <c r="M3075" s="176">
        <f>IFERROR(__xludf.DUMMYFUNCTION("""COMPUTED_VALUE"""),17.0)</f>
        <v>17</v>
      </c>
      <c r="N3075" s="177" t="str">
        <f>IFERROR(__xludf.DUMMYFUNCTION("""COMPUTED_VALUE"""),"Model 3 LR")</f>
        <v>Model 3 LR</v>
      </c>
      <c r="O3075" s="177" t="str">
        <f>IFERROR(__xludf.DUMMYFUNCTION("""COMPUTED_VALUE"""),"Midnight Silver Metallic")</f>
        <v>Midnight Silver Metallic</v>
      </c>
      <c r="P3075" s="178" t="str">
        <f>IFERROR(__xludf.DUMMYFUNCTION("""COMPUTED_VALUE"""),"18 inch Aero")</f>
        <v>18 inch Aero</v>
      </c>
      <c r="Q3075" s="177" t="str">
        <f>IFERROR(__xludf.DUMMYFUNCTION("""COMPUTED_VALUE"""),"Black seats")</f>
        <v>Black seats</v>
      </c>
      <c r="R3075" s="170" t="str">
        <f>IFERROR(__xludf.DUMMYFUNCTION("""COMPUTED_VALUE"""),"Full Self-Driving")</f>
        <v>Full Self-Driving</v>
      </c>
      <c r="S3075" s="170"/>
      <c r="T3075" s="179"/>
      <c r="U3075" s="179"/>
      <c r="V3075" s="179"/>
      <c r="W3075" s="180"/>
      <c r="X3075" s="181" t="str">
        <f>IFERROR(__xludf.DUMMYFUNCTION("""COMPUTED_VALUE"""),"Excellent")</f>
        <v>Excellent</v>
      </c>
      <c r="Y3075" s="182" t="str">
        <f>IFERROR(__xludf.DUMMYFUNCTION("""COMPUTED_VALUE"""),"Excellent")</f>
        <v>Excellent</v>
      </c>
      <c r="Z3075" s="182" t="str">
        <f>IFERROR(__xludf.DUMMYFUNCTION("""COMPUTED_VALUE"""),"Excellent")</f>
        <v>Excellent</v>
      </c>
      <c r="AA3075" s="182" t="str">
        <f>IFERROR(__xludf.DUMMYFUNCTION("""COMPUTED_VALUE"""),"Good")</f>
        <v>Good</v>
      </c>
      <c r="AB3075" s="182" t="str">
        <f>IFERROR(__xludf.DUMMYFUNCTION("""COMPUTED_VALUE"""),"Very Good")</f>
        <v>Very Good</v>
      </c>
      <c r="AC3075" s="183"/>
      <c r="AD3075" s="183"/>
      <c r="AE3075" s="183"/>
      <c r="AF3075" s="184"/>
      <c r="AG3075" s="180"/>
      <c r="AH3075" s="185">
        <f>IFERROR(__xludf.DUMMYFUNCTION("""COMPUTED_VALUE"""),43297.287235625)</f>
        <v>43297.28724</v>
      </c>
      <c r="AI3075" s="182"/>
      <c r="AJ3075" s="182"/>
      <c r="AK3075" s="182"/>
      <c r="AL3075" s="182"/>
    </row>
    <row r="3076" ht="20.25" customHeight="1">
      <c r="A3076" s="169" t="str">
        <f>IFERROR(__xludf.DUMMYFUNCTION("""COMPUTED_VALUE"""),"frodrick")</f>
        <v>frodrick</v>
      </c>
      <c r="B3076" s="170" t="str">
        <f>IFERROR(__xludf.DUMMYFUNCTION("""COMPUTED_VALUE"""),"Chattanooga")</f>
        <v>Chattanooga</v>
      </c>
      <c r="C3076" s="170" t="str">
        <f>IFERROR(__xludf.DUMMYFUNCTION("""COMPUTED_VALUE"""),"TN")</f>
        <v>TN</v>
      </c>
      <c r="D3076" s="170" t="str">
        <f>IFERROR(__xludf.DUMMYFUNCTION("""COMPUTED_VALUE"""),"USA")</f>
        <v>USA</v>
      </c>
      <c r="E3076" s="171">
        <f>IFERROR(__xludf.DUMMYFUNCTION("""COMPUTED_VALUE"""),43278.0)</f>
        <v>43278</v>
      </c>
      <c r="F3076" s="172">
        <f>IFERROR(__xludf.DUMMYFUNCTION("""COMPUTED_VALUE"""),43283.0)</f>
        <v>43283</v>
      </c>
      <c r="G3076" s="173"/>
      <c r="H3076" s="174">
        <f>IFERROR(__xludf.DUMMYFUNCTION("""COMPUTED_VALUE"""),25855.0)</f>
        <v>25855</v>
      </c>
      <c r="I3076" s="175" t="str">
        <f>IFERROR(__xludf.DUMMYFUNCTION("""COMPUTED_VALUE"""),"06/18")</f>
        <v>06/18</v>
      </c>
      <c r="J3076" s="172">
        <f>IFERROR(__xludf.DUMMYFUNCTION("""COMPUTED_VALUE"""),43288.0)</f>
        <v>43288</v>
      </c>
      <c r="K3076" s="176">
        <f>IFERROR(__xludf.DUMMYFUNCTION("""COMPUTED_VALUE"""),5.0)</f>
        <v>5</v>
      </c>
      <c r="L3076" s="176">
        <f>IFERROR(__xludf.DUMMYFUNCTION("""COMPUTED_VALUE"""),5.0)</f>
        <v>5</v>
      </c>
      <c r="M3076" s="176">
        <f>IFERROR(__xludf.DUMMYFUNCTION("""COMPUTED_VALUE"""),10.0)</f>
        <v>10</v>
      </c>
      <c r="N3076" s="177" t="str">
        <f>IFERROR(__xludf.DUMMYFUNCTION("""COMPUTED_VALUE"""),"Model 3 LR")</f>
        <v>Model 3 LR</v>
      </c>
      <c r="O3076" s="177" t="str">
        <f>IFERROR(__xludf.DUMMYFUNCTION("""COMPUTED_VALUE"""),"Midnight Silver Metallic")</f>
        <v>Midnight Silver Metallic</v>
      </c>
      <c r="P3076" s="178" t="str">
        <f>IFERROR(__xludf.DUMMYFUNCTION("""COMPUTED_VALUE"""),"18 inch Aero")</f>
        <v>18 inch Aero</v>
      </c>
      <c r="Q3076" s="177" t="str">
        <f>IFERROR(__xludf.DUMMYFUNCTION("""COMPUTED_VALUE"""),"Black seats")</f>
        <v>Black seats</v>
      </c>
      <c r="R3076" s="170" t="str">
        <f>IFERROR(__xludf.DUMMYFUNCTION("""COMPUTED_VALUE"""),"Enhanced Autopilot")</f>
        <v>Enhanced Autopilot</v>
      </c>
      <c r="S3076" s="170"/>
      <c r="T3076" s="179"/>
      <c r="U3076" s="179"/>
      <c r="V3076" s="179"/>
      <c r="W3076" s="180"/>
      <c r="X3076" s="181" t="str">
        <f>IFERROR(__xludf.DUMMYFUNCTION("""COMPUTED_VALUE"""),"Excellent")</f>
        <v>Excellent</v>
      </c>
      <c r="Y3076" s="182" t="str">
        <f>IFERROR(__xludf.DUMMYFUNCTION("""COMPUTED_VALUE"""),"Excellent")</f>
        <v>Excellent</v>
      </c>
      <c r="Z3076" s="182" t="str">
        <f>IFERROR(__xludf.DUMMYFUNCTION("""COMPUTED_VALUE"""),"Very Good")</f>
        <v>Very Good</v>
      </c>
      <c r="AA3076" s="182" t="str">
        <f>IFERROR(__xludf.DUMMYFUNCTION("""COMPUTED_VALUE"""),"Good")</f>
        <v>Good</v>
      </c>
      <c r="AB3076" s="182" t="str">
        <f>IFERROR(__xludf.DUMMYFUNCTION("""COMPUTED_VALUE"""),"Good")</f>
        <v>Good</v>
      </c>
      <c r="AC3076" s="183">
        <f>IFERROR(__xludf.DUMMYFUNCTION("""COMPUTED_VALUE"""),0.0)</f>
        <v>0</v>
      </c>
      <c r="AD3076" s="183">
        <f>IFERROR(__xludf.DUMMYFUNCTION("""COMPUTED_VALUE"""),0.0)</f>
        <v>0</v>
      </c>
      <c r="AE3076" s="183">
        <f>IFERROR(__xludf.DUMMYFUNCTION("""COMPUTED_VALUE"""),0.0)</f>
        <v>0</v>
      </c>
      <c r="AF3076" s="184"/>
      <c r="AG3076" s="180"/>
      <c r="AH3076" s="185">
        <f>IFERROR(__xludf.DUMMYFUNCTION("""COMPUTED_VALUE"""),43348.46981625)</f>
        <v>43348.46982</v>
      </c>
      <c r="AI3076" s="182"/>
      <c r="AJ3076" s="182"/>
      <c r="AK3076" s="182"/>
      <c r="AL3076" s="182"/>
    </row>
    <row r="3077" ht="20.25" customHeight="1">
      <c r="A3077" s="169" t="str">
        <f>IFERROR(__xludf.DUMMYFUNCTION("""COMPUTED_VALUE"""),"geiland")</f>
        <v>geiland</v>
      </c>
      <c r="B3077" s="170" t="str">
        <f>IFERROR(__xludf.DUMMYFUNCTION("""COMPUTED_VALUE"""),"San Luis Obispo")</f>
        <v>San Luis Obispo</v>
      </c>
      <c r="C3077" s="170" t="str">
        <f>IFERROR(__xludf.DUMMYFUNCTION("""COMPUTED_VALUE"""),"CA")</f>
        <v>CA</v>
      </c>
      <c r="D3077" s="170" t="str">
        <f>IFERROR(__xludf.DUMMYFUNCTION("""COMPUTED_VALUE"""),"USA")</f>
        <v>USA</v>
      </c>
      <c r="E3077" s="171">
        <f>IFERROR(__xludf.DUMMYFUNCTION("""COMPUTED_VALUE"""),43278.0)</f>
        <v>43278</v>
      </c>
      <c r="F3077" s="172">
        <f>IFERROR(__xludf.DUMMYFUNCTION("""COMPUTED_VALUE"""),43373.0)</f>
        <v>43373</v>
      </c>
      <c r="G3077" s="173"/>
      <c r="H3077" s="174">
        <f>IFERROR(__xludf.DUMMYFUNCTION("""COMPUTED_VALUE"""),56055.0)</f>
        <v>56055</v>
      </c>
      <c r="I3077" s="175"/>
      <c r="J3077" s="172">
        <f>IFERROR(__xludf.DUMMYFUNCTION("""COMPUTED_VALUE"""),43375.0)</f>
        <v>43375</v>
      </c>
      <c r="K3077" s="176">
        <f>IFERROR(__xludf.DUMMYFUNCTION("""COMPUTED_VALUE"""),95.0)</f>
        <v>95</v>
      </c>
      <c r="L3077" s="176">
        <f>IFERROR(__xludf.DUMMYFUNCTION("""COMPUTED_VALUE"""),2.0)</f>
        <v>2</v>
      </c>
      <c r="M3077" s="176">
        <f>IFERROR(__xludf.DUMMYFUNCTION("""COMPUTED_VALUE"""),97.0)</f>
        <v>97</v>
      </c>
      <c r="N3077" s="177" t="str">
        <f>IFERROR(__xludf.DUMMYFUNCTION("""COMPUTED_VALUE"""),"Model 3 Performance")</f>
        <v>Model 3 Performance</v>
      </c>
      <c r="O3077" s="177" t="str">
        <f>IFERROR(__xludf.DUMMYFUNCTION("""COMPUTED_VALUE"""),"Red Multi-Coat")</f>
        <v>Red Multi-Coat</v>
      </c>
      <c r="P3077" s="178" t="str">
        <f>IFERROR(__xludf.DUMMYFUNCTION("""COMPUTED_VALUE"""),"18 inch Aero")</f>
        <v>18 inch Aero</v>
      </c>
      <c r="Q3077" s="177" t="str">
        <f>IFERROR(__xludf.DUMMYFUNCTION("""COMPUTED_VALUE"""),"White seats")</f>
        <v>White seats</v>
      </c>
      <c r="R3077" s="170" t="str">
        <f>IFERROR(__xludf.DUMMYFUNCTION("""COMPUTED_VALUE"""),"Full Self-Driving")</f>
        <v>Full Self-Driving</v>
      </c>
      <c r="S3077" s="170"/>
      <c r="T3077" s="179"/>
      <c r="U3077" s="179"/>
      <c r="V3077" s="179"/>
      <c r="W3077" s="180"/>
      <c r="X3077" s="181" t="str">
        <f>IFERROR(__xludf.DUMMYFUNCTION("""COMPUTED_VALUE"""),"Very Good")</f>
        <v>Very Good</v>
      </c>
      <c r="Y3077" s="182" t="str">
        <f>IFERROR(__xludf.DUMMYFUNCTION("""COMPUTED_VALUE"""),"Excellent")</f>
        <v>Excellent</v>
      </c>
      <c r="Z3077" s="182" t="str">
        <f>IFERROR(__xludf.DUMMYFUNCTION("""COMPUTED_VALUE"""),"Excellent")</f>
        <v>Excellent</v>
      </c>
      <c r="AA3077" s="182" t="str">
        <f>IFERROR(__xludf.DUMMYFUNCTION("""COMPUTED_VALUE"""),"Good")</f>
        <v>Good</v>
      </c>
      <c r="AB3077" s="182" t="str">
        <f>IFERROR(__xludf.DUMMYFUNCTION("""COMPUTED_VALUE"""),"Good")</f>
        <v>Good</v>
      </c>
      <c r="AC3077" s="183"/>
      <c r="AD3077" s="183"/>
      <c r="AE3077" s="183"/>
      <c r="AF3077" s="184"/>
      <c r="AG3077" s="180" t="str">
        <f>IFERROR(__xludf.DUMMYFUNCTION("""COMPUTED_VALUE"""),"Car blows my mind! Better than expectations.")</f>
        <v>Car blows my mind! Better than expectations.</v>
      </c>
      <c r="AH3077" s="185">
        <f>IFERROR(__xludf.DUMMYFUNCTION("""COMPUTED_VALUE"""),43376.369832881945)</f>
        <v>43376.36983</v>
      </c>
      <c r="AI3077" s="182"/>
      <c r="AJ3077" s="182"/>
      <c r="AK3077" s="182"/>
      <c r="AL3077" s="182"/>
    </row>
    <row r="3078" ht="20.25" customHeight="1">
      <c r="A3078" s="169" t="str">
        <f>IFERROR(__xludf.DUMMYFUNCTION("""COMPUTED_VALUE"""),"generalization_guy")</f>
        <v>generalization_guy</v>
      </c>
      <c r="B3078" s="170" t="str">
        <f>IFERROR(__xludf.DUMMYFUNCTION("""COMPUTED_VALUE"""),"South Jersey")</f>
        <v>South Jersey</v>
      </c>
      <c r="C3078" s="170" t="str">
        <f>IFERROR(__xludf.DUMMYFUNCTION("""COMPUTED_VALUE"""),"NJ")</f>
        <v>NJ</v>
      </c>
      <c r="D3078" s="170" t="str">
        <f>IFERROR(__xludf.DUMMYFUNCTION("""COMPUTED_VALUE"""),"USA")</f>
        <v>USA</v>
      </c>
      <c r="E3078" s="171">
        <f>IFERROR(__xludf.DUMMYFUNCTION("""COMPUTED_VALUE"""),43278.0)</f>
        <v>43278</v>
      </c>
      <c r="F3078" s="172">
        <f>IFERROR(__xludf.DUMMYFUNCTION("""COMPUTED_VALUE"""),43280.0)</f>
        <v>43280</v>
      </c>
      <c r="G3078" s="173"/>
      <c r="H3078" s="174">
        <f>IFERROR(__xludf.DUMMYFUNCTION("""COMPUTED_VALUE"""),25755.0)</f>
        <v>25755</v>
      </c>
      <c r="I3078" s="175"/>
      <c r="J3078" s="172">
        <f>IFERROR(__xludf.DUMMYFUNCTION("""COMPUTED_VALUE"""),43287.0)</f>
        <v>43287</v>
      </c>
      <c r="K3078" s="176">
        <f>IFERROR(__xludf.DUMMYFUNCTION("""COMPUTED_VALUE"""),2.0)</f>
        <v>2</v>
      </c>
      <c r="L3078" s="176">
        <f>IFERROR(__xludf.DUMMYFUNCTION("""COMPUTED_VALUE"""),7.0)</f>
        <v>7</v>
      </c>
      <c r="M3078" s="176">
        <f>IFERROR(__xludf.DUMMYFUNCTION("""COMPUTED_VALUE"""),9.0)</f>
        <v>9</v>
      </c>
      <c r="N3078" s="177" t="str">
        <f>IFERROR(__xludf.DUMMYFUNCTION("""COMPUTED_VALUE"""),"Model 3 LR")</f>
        <v>Model 3 LR</v>
      </c>
      <c r="O3078" s="177" t="str">
        <f>IFERROR(__xludf.DUMMYFUNCTION("""COMPUTED_VALUE"""),"Midnight Silver Metallic")</f>
        <v>Midnight Silver Metallic</v>
      </c>
      <c r="P3078" s="178" t="str">
        <f>IFERROR(__xludf.DUMMYFUNCTION("""COMPUTED_VALUE"""),"18 inch Aero")</f>
        <v>18 inch Aero</v>
      </c>
      <c r="Q3078" s="177" t="str">
        <f>IFERROR(__xludf.DUMMYFUNCTION("""COMPUTED_VALUE"""),"Black seats")</f>
        <v>Black seats</v>
      </c>
      <c r="R3078" s="170" t="str">
        <f>IFERROR(__xludf.DUMMYFUNCTION("""COMPUTED_VALUE"""),"Full Self-Driving")</f>
        <v>Full Self-Driving</v>
      </c>
      <c r="S3078" s="170"/>
      <c r="T3078" s="179"/>
      <c r="U3078" s="179"/>
      <c r="V3078" s="179"/>
      <c r="W3078" s="180"/>
      <c r="X3078" s="181" t="str">
        <f>IFERROR(__xludf.DUMMYFUNCTION("""COMPUTED_VALUE"""),"Excellent")</f>
        <v>Excellent</v>
      </c>
      <c r="Y3078" s="182" t="str">
        <f>IFERROR(__xludf.DUMMYFUNCTION("""COMPUTED_VALUE"""),"Excellent")</f>
        <v>Excellent</v>
      </c>
      <c r="Z3078" s="182" t="str">
        <f>IFERROR(__xludf.DUMMYFUNCTION("""COMPUTED_VALUE"""),"Excellent")</f>
        <v>Excellent</v>
      </c>
      <c r="AA3078" s="182" t="str">
        <f>IFERROR(__xludf.DUMMYFUNCTION("""COMPUTED_VALUE"""),"Excellent")</f>
        <v>Excellent</v>
      </c>
      <c r="AB3078" s="182" t="str">
        <f>IFERROR(__xludf.DUMMYFUNCTION("""COMPUTED_VALUE"""),"Excellent")</f>
        <v>Excellent</v>
      </c>
      <c r="AC3078" s="183"/>
      <c r="AD3078" s="183"/>
      <c r="AE3078" s="183"/>
      <c r="AF3078" s="184"/>
      <c r="AG3078" s="180"/>
      <c r="AH3078" s="185">
        <f>IFERROR(__xludf.DUMMYFUNCTION("""COMPUTED_VALUE"""),43293.307157256946)</f>
        <v>43293.30716</v>
      </c>
      <c r="AI3078" s="182"/>
      <c r="AJ3078" s="182"/>
      <c r="AK3078" s="182"/>
      <c r="AL3078" s="182"/>
    </row>
    <row r="3079" ht="20.25" customHeight="1">
      <c r="A3079" s="169" t="str">
        <f>IFERROR(__xludf.DUMMYFUNCTION("""COMPUTED_VALUE"""),"GenSao")</f>
        <v>GenSao</v>
      </c>
      <c r="B3079" s="170" t="str">
        <f>IFERROR(__xludf.DUMMYFUNCTION("""COMPUTED_VALUE"""),"Pleasant Hill, CA")</f>
        <v>Pleasant Hill, CA</v>
      </c>
      <c r="C3079" s="170" t="str">
        <f>IFERROR(__xludf.DUMMYFUNCTION("""COMPUTED_VALUE"""),"CA")</f>
        <v>CA</v>
      </c>
      <c r="D3079" s="170" t="str">
        <f>IFERROR(__xludf.DUMMYFUNCTION("""COMPUTED_VALUE"""),"USA")</f>
        <v>USA</v>
      </c>
      <c r="E3079" s="171">
        <f>IFERROR(__xludf.DUMMYFUNCTION("""COMPUTED_VALUE"""),43278.0)</f>
        <v>43278</v>
      </c>
      <c r="F3079" s="172">
        <f>IFERROR(__xludf.DUMMYFUNCTION("""COMPUTED_VALUE"""),43281.0)</f>
        <v>43281</v>
      </c>
      <c r="G3079" s="173"/>
      <c r="H3079" s="174">
        <f>IFERROR(__xludf.DUMMYFUNCTION("""COMPUTED_VALUE"""),36555.0)</f>
        <v>36555</v>
      </c>
      <c r="I3079" s="175"/>
      <c r="J3079" s="172">
        <f>IFERROR(__xludf.DUMMYFUNCTION("""COMPUTED_VALUE"""),43298.0)</f>
        <v>43298</v>
      </c>
      <c r="K3079" s="176">
        <f>IFERROR(__xludf.DUMMYFUNCTION("""COMPUTED_VALUE"""),3.0)</f>
        <v>3</v>
      </c>
      <c r="L3079" s="176">
        <f>IFERROR(__xludf.DUMMYFUNCTION("""COMPUTED_VALUE"""),17.0)</f>
        <v>17</v>
      </c>
      <c r="M3079" s="176">
        <f>IFERROR(__xludf.DUMMYFUNCTION("""COMPUTED_VALUE"""),20.0)</f>
        <v>20</v>
      </c>
      <c r="N3079" s="177" t="str">
        <f>IFERROR(__xludf.DUMMYFUNCTION("""COMPUTED_VALUE"""),"Model 3 LR")</f>
        <v>Model 3 LR</v>
      </c>
      <c r="O3079" s="177" t="str">
        <f>IFERROR(__xludf.DUMMYFUNCTION("""COMPUTED_VALUE"""),"Midnight Silver Metallic")</f>
        <v>Midnight Silver Metallic</v>
      </c>
      <c r="P3079" s="178" t="str">
        <f>IFERROR(__xludf.DUMMYFUNCTION("""COMPUTED_VALUE"""),"18 inch Aero")</f>
        <v>18 inch Aero</v>
      </c>
      <c r="Q3079" s="177" t="str">
        <f>IFERROR(__xludf.DUMMYFUNCTION("""COMPUTED_VALUE"""),"Black seats")</f>
        <v>Black seats</v>
      </c>
      <c r="R3079" s="170" t="str">
        <f>IFERROR(__xludf.DUMMYFUNCTION("""COMPUTED_VALUE"""),"Autopilot")</f>
        <v>Autopilot</v>
      </c>
      <c r="S3079" s="170"/>
      <c r="T3079" s="179"/>
      <c r="U3079" s="179"/>
      <c r="V3079" s="179"/>
      <c r="W3079" s="180"/>
      <c r="X3079" s="181" t="str">
        <f>IFERROR(__xludf.DUMMYFUNCTION("""COMPUTED_VALUE"""),"Good")</f>
        <v>Good</v>
      </c>
      <c r="Y3079" s="182" t="str">
        <f>IFERROR(__xludf.DUMMYFUNCTION("""COMPUTED_VALUE"""),"Very Good")</f>
        <v>Very Good</v>
      </c>
      <c r="Z3079" s="182" t="str">
        <f>IFERROR(__xludf.DUMMYFUNCTION("""COMPUTED_VALUE"""),"Very Good")</f>
        <v>Very Good</v>
      </c>
      <c r="AA3079" s="182" t="str">
        <f>IFERROR(__xludf.DUMMYFUNCTION("""COMPUTED_VALUE"""),"Fair")</f>
        <v>Fair</v>
      </c>
      <c r="AB3079" s="182" t="str">
        <f>IFERROR(__xludf.DUMMYFUNCTION("""COMPUTED_VALUE"""),"Poor")</f>
        <v>Poor</v>
      </c>
      <c r="AC3079" s="183">
        <f>IFERROR(__xludf.DUMMYFUNCTION("""COMPUTED_VALUE"""),2.0)</f>
        <v>2</v>
      </c>
      <c r="AD3079" s="183">
        <f>IFERROR(__xludf.DUMMYFUNCTION("""COMPUTED_VALUE"""),1.0)</f>
        <v>1</v>
      </c>
      <c r="AE3079" s="183">
        <f>IFERROR(__xludf.DUMMYFUNCTION("""COMPUTED_VALUE"""),0.0)</f>
        <v>0</v>
      </c>
      <c r="AF3079" s="184"/>
      <c r="AG3079" s="180" t="str">
        <f>IFERROR(__xludf.DUMMYFUNCTION("""COMPUTED_VALUE"""),"Disappointed delivery experience to date.  Delivery was postponed multiple times from 7/3 until final delivery on 7/17.")</f>
        <v>Disappointed delivery experience to date.  Delivery was postponed multiple times from 7/3 until final delivery on 7/17.</v>
      </c>
      <c r="AH3079" s="185">
        <f>IFERROR(__xludf.DUMMYFUNCTION("""COMPUTED_VALUE"""),43623.62192640046)</f>
        <v>43623.62193</v>
      </c>
      <c r="AI3079" s="182"/>
      <c r="AJ3079" s="182"/>
      <c r="AK3079" s="182"/>
      <c r="AL3079" s="182"/>
    </row>
    <row r="3080" ht="20.25" customHeight="1">
      <c r="A3080" s="169" t="str">
        <f>IFERROR(__xludf.DUMMYFUNCTION("""COMPUTED_VALUE"""),"ghamer")</f>
        <v>ghamer</v>
      </c>
      <c r="B3080" s="170" t="str">
        <f>IFERROR(__xludf.DUMMYFUNCTION("""COMPUTED_VALUE"""),"Thousand Oaks")</f>
        <v>Thousand Oaks</v>
      </c>
      <c r="C3080" s="170" t="str">
        <f>IFERROR(__xludf.DUMMYFUNCTION("""COMPUTED_VALUE"""),"CA")</f>
        <v>CA</v>
      </c>
      <c r="D3080" s="170" t="str">
        <f>IFERROR(__xludf.DUMMYFUNCTION("""COMPUTED_VALUE"""),"USA")</f>
        <v>USA</v>
      </c>
      <c r="E3080" s="171">
        <f>IFERROR(__xludf.DUMMYFUNCTION("""COMPUTED_VALUE"""),43278.0)</f>
        <v>43278</v>
      </c>
      <c r="F3080" s="172">
        <f>IFERROR(__xludf.DUMMYFUNCTION("""COMPUTED_VALUE"""),43367.0)</f>
        <v>43367</v>
      </c>
      <c r="G3080" s="173"/>
      <c r="H3080" s="174">
        <f>IFERROR(__xludf.DUMMYFUNCTION("""COMPUTED_VALUE"""),115455.0)</f>
        <v>115455</v>
      </c>
      <c r="I3080" s="175" t="str">
        <f>IFERROR(__xludf.DUMMYFUNCTION("""COMPUTED_VALUE"""),"09/18")</f>
        <v>09/18</v>
      </c>
      <c r="J3080" s="172">
        <f>IFERROR(__xludf.DUMMYFUNCTION("""COMPUTED_VALUE"""),43369.0)</f>
        <v>43369</v>
      </c>
      <c r="K3080" s="176">
        <f>IFERROR(__xludf.DUMMYFUNCTION("""COMPUTED_VALUE"""),89.0)</f>
        <v>89</v>
      </c>
      <c r="L3080" s="176">
        <f>IFERROR(__xludf.DUMMYFUNCTION("""COMPUTED_VALUE"""),2.0)</f>
        <v>2</v>
      </c>
      <c r="M3080" s="176">
        <f>IFERROR(__xludf.DUMMYFUNCTION("""COMPUTED_VALUE"""),91.0)</f>
        <v>91</v>
      </c>
      <c r="N3080" s="177" t="str">
        <f>IFERROR(__xludf.DUMMYFUNCTION("""COMPUTED_VALUE"""),"Model 3 LR AWD")</f>
        <v>Model 3 LR AWD</v>
      </c>
      <c r="O3080" s="177" t="str">
        <f>IFERROR(__xludf.DUMMYFUNCTION("""COMPUTED_VALUE"""),"Pearl White Multi-Coat")</f>
        <v>Pearl White Multi-Coat</v>
      </c>
      <c r="P3080" s="178" t="str">
        <f>IFERROR(__xludf.DUMMYFUNCTION("""COMPUTED_VALUE"""),"18 inch Aero")</f>
        <v>18 inch Aero</v>
      </c>
      <c r="Q3080" s="177" t="str">
        <f>IFERROR(__xludf.DUMMYFUNCTION("""COMPUTED_VALUE"""),"Black seats")</f>
        <v>Black seats</v>
      </c>
      <c r="R3080" s="170" t="str">
        <f>IFERROR(__xludf.DUMMYFUNCTION("""COMPUTED_VALUE"""),"Full Self-Driving")</f>
        <v>Full Self-Driving</v>
      </c>
      <c r="S3080" s="170"/>
      <c r="T3080" s="179"/>
      <c r="U3080" s="179"/>
      <c r="V3080" s="179"/>
      <c r="W3080" s="180"/>
      <c r="X3080" s="181" t="str">
        <f>IFERROR(__xludf.DUMMYFUNCTION("""COMPUTED_VALUE"""),"Excellent")</f>
        <v>Excellent</v>
      </c>
      <c r="Y3080" s="182" t="str">
        <f>IFERROR(__xludf.DUMMYFUNCTION("""COMPUTED_VALUE"""),"Excellent")</f>
        <v>Excellent</v>
      </c>
      <c r="Z3080" s="182" t="str">
        <f>IFERROR(__xludf.DUMMYFUNCTION("""COMPUTED_VALUE"""),"Excellent")</f>
        <v>Excellent</v>
      </c>
      <c r="AA3080" s="182" t="str">
        <f>IFERROR(__xludf.DUMMYFUNCTION("""COMPUTED_VALUE"""),"Excellent")</f>
        <v>Excellent</v>
      </c>
      <c r="AB3080" s="182" t="str">
        <f>IFERROR(__xludf.DUMMYFUNCTION("""COMPUTED_VALUE"""),"Excellent")</f>
        <v>Excellent</v>
      </c>
      <c r="AC3080" s="183">
        <f>IFERROR(__xludf.DUMMYFUNCTION("""COMPUTED_VALUE"""),0.0)</f>
        <v>0</v>
      </c>
      <c r="AD3080" s="183">
        <f>IFERROR(__xludf.DUMMYFUNCTION("""COMPUTED_VALUE"""),0.0)</f>
        <v>0</v>
      </c>
      <c r="AE3080" s="183">
        <f>IFERROR(__xludf.DUMMYFUNCTION("""COMPUTED_VALUE"""),0.0)</f>
        <v>0</v>
      </c>
      <c r="AF3080" s="184"/>
      <c r="AG3080" s="180"/>
      <c r="AH3080" s="185">
        <f>IFERROR(__xludf.DUMMYFUNCTION("""COMPUTED_VALUE"""),43401.415015254635)</f>
        <v>43401.41502</v>
      </c>
      <c r="AI3080" s="182"/>
      <c r="AJ3080" s="182"/>
      <c r="AK3080" s="182"/>
      <c r="AL3080" s="182"/>
    </row>
    <row r="3081" ht="20.25" customHeight="1">
      <c r="A3081" s="169" t="str">
        <f>IFERROR(__xludf.DUMMYFUNCTION("""COMPUTED_VALUE"""),"gmkellogg12")</f>
        <v>gmkellogg12</v>
      </c>
      <c r="B3081" s="170" t="str">
        <f>IFERROR(__xludf.DUMMYFUNCTION("""COMPUTED_VALUE"""),"Chicago")</f>
        <v>Chicago</v>
      </c>
      <c r="C3081" s="170" t="str">
        <f>IFERROR(__xludf.DUMMYFUNCTION("""COMPUTED_VALUE"""),"IL")</f>
        <v>IL</v>
      </c>
      <c r="D3081" s="170" t="str">
        <f>IFERROR(__xludf.DUMMYFUNCTION("""COMPUTED_VALUE"""),"USA")</f>
        <v>USA</v>
      </c>
      <c r="E3081" s="171">
        <f>IFERROR(__xludf.DUMMYFUNCTION("""COMPUTED_VALUE"""),43278.0)</f>
        <v>43278</v>
      </c>
      <c r="F3081" s="172">
        <f>IFERROR(__xludf.DUMMYFUNCTION("""COMPUTED_VALUE"""),43366.0)</f>
        <v>43366</v>
      </c>
      <c r="G3081" s="173"/>
      <c r="H3081" s="174">
        <f>IFERROR(__xludf.DUMMYFUNCTION("""COMPUTED_VALUE"""),64935.0)</f>
        <v>64935</v>
      </c>
      <c r="I3081" s="175"/>
      <c r="J3081" s="172">
        <f>IFERROR(__xludf.DUMMYFUNCTION("""COMPUTED_VALUE"""),43368.0)</f>
        <v>43368</v>
      </c>
      <c r="K3081" s="176">
        <f>IFERROR(__xludf.DUMMYFUNCTION("""COMPUTED_VALUE"""),88.0)</f>
        <v>88</v>
      </c>
      <c r="L3081" s="176">
        <f>IFERROR(__xludf.DUMMYFUNCTION("""COMPUTED_VALUE"""),2.0)</f>
        <v>2</v>
      </c>
      <c r="M3081" s="176">
        <f>IFERROR(__xludf.DUMMYFUNCTION("""COMPUTED_VALUE"""),90.0)</f>
        <v>90</v>
      </c>
      <c r="N3081" s="177" t="str">
        <f>IFERROR(__xludf.DUMMYFUNCTION("""COMPUTED_VALUE"""),"Model 3 LR AWD")</f>
        <v>Model 3 LR AWD</v>
      </c>
      <c r="O3081" s="177" t="str">
        <f>IFERROR(__xludf.DUMMYFUNCTION("""COMPUTED_VALUE"""),"Deep Blue Metallic")</f>
        <v>Deep Blue Metallic</v>
      </c>
      <c r="P3081" s="178" t="str">
        <f>IFERROR(__xludf.DUMMYFUNCTION("""COMPUTED_VALUE"""),"18 inch Aero")</f>
        <v>18 inch Aero</v>
      </c>
      <c r="Q3081" s="177" t="str">
        <f>IFERROR(__xludf.DUMMYFUNCTION("""COMPUTED_VALUE"""),"Black seats")</f>
        <v>Black seats</v>
      </c>
      <c r="R3081" s="170" t="str">
        <f>IFERROR(__xludf.DUMMYFUNCTION("""COMPUTED_VALUE"""),"Enhanced Autopilot")</f>
        <v>Enhanced Autopilot</v>
      </c>
      <c r="S3081" s="170"/>
      <c r="T3081" s="179"/>
      <c r="U3081" s="179"/>
      <c r="V3081" s="179"/>
      <c r="W3081" s="180"/>
      <c r="X3081" s="181" t="str">
        <f>IFERROR(__xludf.DUMMYFUNCTION("""COMPUTED_VALUE"""),"Very Good")</f>
        <v>Very Good</v>
      </c>
      <c r="Y3081" s="182" t="str">
        <f>IFERROR(__xludf.DUMMYFUNCTION("""COMPUTED_VALUE"""),"Good")</f>
        <v>Good</v>
      </c>
      <c r="Z3081" s="182" t="str">
        <f>IFERROR(__xludf.DUMMYFUNCTION("""COMPUTED_VALUE"""),"Very Good")</f>
        <v>Very Good</v>
      </c>
      <c r="AA3081" s="182" t="str">
        <f>IFERROR(__xludf.DUMMYFUNCTION("""COMPUTED_VALUE"""),"Poor")</f>
        <v>Poor</v>
      </c>
      <c r="AB3081" s="182" t="str">
        <f>IFERROR(__xludf.DUMMYFUNCTION("""COMPUTED_VALUE"""),"Good")</f>
        <v>Good</v>
      </c>
      <c r="AC3081" s="183">
        <f>IFERROR(__xludf.DUMMYFUNCTION("""COMPUTED_VALUE"""),1.0)</f>
        <v>1</v>
      </c>
      <c r="AD3081" s="183">
        <f>IFERROR(__xludf.DUMMYFUNCTION("""COMPUTED_VALUE"""),1.0)</f>
        <v>1</v>
      </c>
      <c r="AE3081" s="183"/>
      <c r="AF3081" s="184"/>
      <c r="AG3081" s="180"/>
      <c r="AH3081" s="185">
        <f>IFERROR(__xludf.DUMMYFUNCTION("""COMPUTED_VALUE"""),43376.33957768518)</f>
        <v>43376.33958</v>
      </c>
      <c r="AI3081" s="182"/>
      <c r="AJ3081" s="182"/>
      <c r="AK3081" s="182"/>
      <c r="AL3081" s="182"/>
    </row>
    <row r="3082" ht="20.25" customHeight="1">
      <c r="A3082" s="169" t="str">
        <f>IFERROR(__xludf.DUMMYFUNCTION("""COMPUTED_VALUE"""),"GreenFreaK")</f>
        <v>GreenFreaK</v>
      </c>
      <c r="B3082" s="170" t="str">
        <f>IFERROR(__xludf.DUMMYFUNCTION("""COMPUTED_VALUE"""),"Pittsburgh")</f>
        <v>Pittsburgh</v>
      </c>
      <c r="C3082" s="170" t="str">
        <f>IFERROR(__xludf.DUMMYFUNCTION("""COMPUTED_VALUE"""),"PA")</f>
        <v>PA</v>
      </c>
      <c r="D3082" s="170" t="str">
        <f>IFERROR(__xludf.DUMMYFUNCTION("""COMPUTED_VALUE"""),"USA")</f>
        <v>USA</v>
      </c>
      <c r="E3082" s="171">
        <f>IFERROR(__xludf.DUMMYFUNCTION("""COMPUTED_VALUE"""),43278.0)</f>
        <v>43278</v>
      </c>
      <c r="F3082" s="172">
        <f>IFERROR(__xludf.DUMMYFUNCTION("""COMPUTED_VALUE"""),43327.0)</f>
        <v>43327</v>
      </c>
      <c r="G3082" s="173"/>
      <c r="H3082" s="174">
        <f>IFERROR(__xludf.DUMMYFUNCTION("""COMPUTED_VALUE"""),68108.0)</f>
        <v>68108</v>
      </c>
      <c r="I3082" s="175"/>
      <c r="J3082" s="172">
        <f>IFERROR(__xludf.DUMMYFUNCTION("""COMPUTED_VALUE"""),43343.0)</f>
        <v>43343</v>
      </c>
      <c r="K3082" s="176">
        <f>IFERROR(__xludf.DUMMYFUNCTION("""COMPUTED_VALUE"""),49.0)</f>
        <v>49</v>
      </c>
      <c r="L3082" s="176">
        <f>IFERROR(__xludf.DUMMYFUNCTION("""COMPUTED_VALUE"""),16.0)</f>
        <v>16</v>
      </c>
      <c r="M3082" s="176">
        <f>IFERROR(__xludf.DUMMYFUNCTION("""COMPUTED_VALUE"""),65.0)</f>
        <v>65</v>
      </c>
      <c r="N3082" s="177" t="str">
        <f>IFERROR(__xludf.DUMMYFUNCTION("""COMPUTED_VALUE"""),"Model 3 LR AWD")</f>
        <v>Model 3 LR AWD</v>
      </c>
      <c r="O3082" s="177" t="str">
        <f>IFERROR(__xludf.DUMMYFUNCTION("""COMPUTED_VALUE"""),"Solid Black")</f>
        <v>Solid Black</v>
      </c>
      <c r="P3082" s="178" t="str">
        <f>IFERROR(__xludf.DUMMYFUNCTION("""COMPUTED_VALUE"""),"18 inch Aero")</f>
        <v>18 inch Aero</v>
      </c>
      <c r="Q3082" s="177" t="str">
        <f>IFERROR(__xludf.DUMMYFUNCTION("""COMPUTED_VALUE"""),"Black seats")</f>
        <v>Black seats</v>
      </c>
      <c r="R3082" s="170" t="str">
        <f>IFERROR(__xludf.DUMMYFUNCTION("""COMPUTED_VALUE"""),"None")</f>
        <v>None</v>
      </c>
      <c r="S3082" s="170"/>
      <c r="T3082" s="179"/>
      <c r="U3082" s="179"/>
      <c r="V3082" s="179"/>
      <c r="W3082" s="180"/>
      <c r="X3082" s="181" t="str">
        <f>IFERROR(__xludf.DUMMYFUNCTION("""COMPUTED_VALUE"""),"Excellent")</f>
        <v>Excellent</v>
      </c>
      <c r="Y3082" s="182" t="str">
        <f>IFERROR(__xludf.DUMMYFUNCTION("""COMPUTED_VALUE"""),"Excellent")</f>
        <v>Excellent</v>
      </c>
      <c r="Z3082" s="182" t="str">
        <f>IFERROR(__xludf.DUMMYFUNCTION("""COMPUTED_VALUE"""),"Very Good")</f>
        <v>Very Good</v>
      </c>
      <c r="AA3082" s="182" t="str">
        <f>IFERROR(__xludf.DUMMYFUNCTION("""COMPUTED_VALUE"""),"Good")</f>
        <v>Good</v>
      </c>
      <c r="AB3082" s="182" t="str">
        <f>IFERROR(__xludf.DUMMYFUNCTION("""COMPUTED_VALUE"""),"Excellent")</f>
        <v>Excellent</v>
      </c>
      <c r="AC3082" s="183">
        <f>IFERROR(__xludf.DUMMYFUNCTION("""COMPUTED_VALUE"""),1.0)</f>
        <v>1</v>
      </c>
      <c r="AD3082" s="183">
        <f>IFERROR(__xludf.DUMMYFUNCTION("""COMPUTED_VALUE"""),0.0)</f>
        <v>0</v>
      </c>
      <c r="AE3082" s="183">
        <f>IFERROR(__xludf.DUMMYFUNCTION("""COMPUTED_VALUE"""),0.0)</f>
        <v>0</v>
      </c>
      <c r="AF3082" s="184"/>
      <c r="AG3082" s="180"/>
      <c r="AH3082" s="185">
        <f>IFERROR(__xludf.DUMMYFUNCTION("""COMPUTED_VALUE"""),43350.35890603009)</f>
        <v>43350.35891</v>
      </c>
      <c r="AI3082" s="182"/>
      <c r="AJ3082" s="182"/>
      <c r="AK3082" s="182"/>
      <c r="AL3082" s="182"/>
    </row>
    <row r="3083" ht="20.25" customHeight="1">
      <c r="A3083" s="169" t="str">
        <f>IFERROR(__xludf.DUMMYFUNCTION("""COMPUTED_VALUE"""),"Grrrreg_")</f>
        <v>Grrrreg_</v>
      </c>
      <c r="B3083" s="170" t="str">
        <f>IFERROR(__xludf.DUMMYFUNCTION("""COMPUTED_VALUE"""),"Calgary_")</f>
        <v>Calgary_</v>
      </c>
      <c r="C3083" s="170" t="str">
        <f>IFERROR(__xludf.DUMMYFUNCTION("""COMPUTED_VALUE"""),"AB")</f>
        <v>AB</v>
      </c>
      <c r="D3083" s="170" t="str">
        <f>IFERROR(__xludf.DUMMYFUNCTION("""COMPUTED_VALUE"""),"Canada")</f>
        <v>Canada</v>
      </c>
      <c r="E3083" s="171">
        <f>IFERROR(__xludf.DUMMYFUNCTION("""COMPUTED_VALUE"""),43278.0)</f>
        <v>43278</v>
      </c>
      <c r="F3083" s="172">
        <f>IFERROR(__xludf.DUMMYFUNCTION("""COMPUTED_VALUE"""),43353.0)</f>
        <v>43353</v>
      </c>
      <c r="G3083" s="173"/>
      <c r="H3083" s="174">
        <f>IFERROR(__xludf.DUMMYFUNCTION("""COMPUTED_VALUE"""),109752.0)</f>
        <v>109752</v>
      </c>
      <c r="I3083" s="175"/>
      <c r="J3083" s="172">
        <f>IFERROR(__xludf.DUMMYFUNCTION("""COMPUTED_VALUE"""),43364.0)</f>
        <v>43364</v>
      </c>
      <c r="K3083" s="176">
        <f>IFERROR(__xludf.DUMMYFUNCTION("""COMPUTED_VALUE"""),75.0)</f>
        <v>75</v>
      </c>
      <c r="L3083" s="176">
        <f>IFERROR(__xludf.DUMMYFUNCTION("""COMPUTED_VALUE"""),11.0)</f>
        <v>11</v>
      </c>
      <c r="M3083" s="176">
        <f>IFERROR(__xludf.DUMMYFUNCTION("""COMPUTED_VALUE"""),86.0)</f>
        <v>86</v>
      </c>
      <c r="N3083" s="177" t="str">
        <f>IFERROR(__xludf.DUMMYFUNCTION("""COMPUTED_VALUE"""),"Model 3 LR AWD")</f>
        <v>Model 3 LR AWD</v>
      </c>
      <c r="O3083" s="177" t="str">
        <f>IFERROR(__xludf.DUMMYFUNCTION("""COMPUTED_VALUE"""),"Midnight Silver Metallic")</f>
        <v>Midnight Silver Metallic</v>
      </c>
      <c r="P3083" s="178" t="str">
        <f>IFERROR(__xludf.DUMMYFUNCTION("""COMPUTED_VALUE"""),"18 inch Aero")</f>
        <v>18 inch Aero</v>
      </c>
      <c r="Q3083" s="177" t="str">
        <f>IFERROR(__xludf.DUMMYFUNCTION("""COMPUTED_VALUE"""),"Black seats")</f>
        <v>Black seats</v>
      </c>
      <c r="R3083" s="170" t="str">
        <f>IFERROR(__xludf.DUMMYFUNCTION("""COMPUTED_VALUE"""),"Full Self-Driving")</f>
        <v>Full Self-Driving</v>
      </c>
      <c r="S3083" s="170"/>
      <c r="T3083" s="179"/>
      <c r="U3083" s="179"/>
      <c r="V3083" s="179"/>
      <c r="W3083" s="180"/>
      <c r="X3083" s="181" t="str">
        <f>IFERROR(__xludf.DUMMYFUNCTION("""COMPUTED_VALUE"""),"Excellent")</f>
        <v>Excellent</v>
      </c>
      <c r="Y3083" s="182" t="str">
        <f>IFERROR(__xludf.DUMMYFUNCTION("""COMPUTED_VALUE"""),"Excellent")</f>
        <v>Excellent</v>
      </c>
      <c r="Z3083" s="182" t="str">
        <f>IFERROR(__xludf.DUMMYFUNCTION("""COMPUTED_VALUE"""),"Excellent")</f>
        <v>Excellent</v>
      </c>
      <c r="AA3083" s="182" t="str">
        <f>IFERROR(__xludf.DUMMYFUNCTION("""COMPUTED_VALUE"""),"Poor")</f>
        <v>Poor</v>
      </c>
      <c r="AB3083" s="182" t="str">
        <f>IFERROR(__xludf.DUMMYFUNCTION("""COMPUTED_VALUE"""),"Good")</f>
        <v>Good</v>
      </c>
      <c r="AC3083" s="183"/>
      <c r="AD3083" s="183"/>
      <c r="AE3083" s="183"/>
      <c r="AF3083" s="184"/>
      <c r="AG3083" s="180" t="str">
        <f>IFERROR(__xludf.DUMMYFUNCTION("""COMPUTED_VALUE"""),"waiting for AWD_")</f>
        <v>waiting for AWD_</v>
      </c>
      <c r="AH3083" s="185">
        <f>IFERROR(__xludf.DUMMYFUNCTION("""COMPUTED_VALUE"""),43366.57700875)</f>
        <v>43366.57701</v>
      </c>
      <c r="AI3083" s="182"/>
      <c r="AJ3083" s="182"/>
      <c r="AK3083" s="182"/>
      <c r="AL3083" s="182"/>
    </row>
    <row r="3084" ht="20.25" customHeight="1">
      <c r="A3084" s="169" t="str">
        <f>IFERROR(__xludf.DUMMYFUNCTION("""COMPUTED_VALUE"""),"hd-2")</f>
        <v>hd-2</v>
      </c>
      <c r="B3084" s="170" t="str">
        <f>IFERROR(__xludf.DUMMYFUNCTION("""COMPUTED_VALUE"""),"Chicago")</f>
        <v>Chicago</v>
      </c>
      <c r="C3084" s="170" t="str">
        <f>IFERROR(__xludf.DUMMYFUNCTION("""COMPUTED_VALUE"""),"IL")</f>
        <v>IL</v>
      </c>
      <c r="D3084" s="170" t="str">
        <f>IFERROR(__xludf.DUMMYFUNCTION("""COMPUTED_VALUE"""),"USA")</f>
        <v>USA</v>
      </c>
      <c r="E3084" s="171">
        <f>IFERROR(__xludf.DUMMYFUNCTION("""COMPUTED_VALUE"""),43278.0)</f>
        <v>43278</v>
      </c>
      <c r="F3084" s="172">
        <f>IFERROR(__xludf.DUMMYFUNCTION("""COMPUTED_VALUE"""),43349.0)</f>
        <v>43349</v>
      </c>
      <c r="G3084" s="173"/>
      <c r="H3084" s="174">
        <f>IFERROR(__xludf.DUMMYFUNCTION("""COMPUTED_VALUE"""),106255.0)</f>
        <v>106255</v>
      </c>
      <c r="I3084" s="175"/>
      <c r="J3084" s="172">
        <f>IFERROR(__xludf.DUMMYFUNCTION("""COMPUTED_VALUE"""),43368.0)</f>
        <v>43368</v>
      </c>
      <c r="K3084" s="176">
        <f>IFERROR(__xludf.DUMMYFUNCTION("""COMPUTED_VALUE"""),71.0)</f>
        <v>71</v>
      </c>
      <c r="L3084" s="176">
        <f>IFERROR(__xludf.DUMMYFUNCTION("""COMPUTED_VALUE"""),19.0)</f>
        <v>19</v>
      </c>
      <c r="M3084" s="176">
        <f>IFERROR(__xludf.DUMMYFUNCTION("""COMPUTED_VALUE"""),90.0)</f>
        <v>90</v>
      </c>
      <c r="N3084" s="177" t="str">
        <f>IFERROR(__xludf.DUMMYFUNCTION("""COMPUTED_VALUE"""),"Model 3 Performance")</f>
        <v>Model 3 Performance</v>
      </c>
      <c r="O3084" s="177" t="str">
        <f>IFERROR(__xludf.DUMMYFUNCTION("""COMPUTED_VALUE"""),"Red Multi-Coat")</f>
        <v>Red Multi-Coat</v>
      </c>
      <c r="P3084" s="178" t="str">
        <f>IFERROR(__xludf.DUMMYFUNCTION("""COMPUTED_VALUE"""),"20 inch Sport")</f>
        <v>20 inch Sport</v>
      </c>
      <c r="Q3084" s="177" t="str">
        <f>IFERROR(__xludf.DUMMYFUNCTION("""COMPUTED_VALUE"""),"Black seats")</f>
        <v>Black seats</v>
      </c>
      <c r="R3084" s="170" t="str">
        <f>IFERROR(__xludf.DUMMYFUNCTION("""COMPUTED_VALUE"""),"Full Self-Driving")</f>
        <v>Full Self-Driving</v>
      </c>
      <c r="S3084" s="170"/>
      <c r="T3084" s="179"/>
      <c r="U3084" s="179"/>
      <c r="V3084" s="179"/>
      <c r="W3084" s="180"/>
      <c r="X3084" s="181" t="str">
        <f>IFERROR(__xludf.DUMMYFUNCTION("""COMPUTED_VALUE"""),"Excellent")</f>
        <v>Excellent</v>
      </c>
      <c r="Y3084" s="182" t="str">
        <f>IFERROR(__xludf.DUMMYFUNCTION("""COMPUTED_VALUE"""),"Very Good")</f>
        <v>Very Good</v>
      </c>
      <c r="Z3084" s="182" t="str">
        <f>IFERROR(__xludf.DUMMYFUNCTION("""COMPUTED_VALUE"""),"Excellent")</f>
        <v>Excellent</v>
      </c>
      <c r="AA3084" s="182" t="str">
        <f>IFERROR(__xludf.DUMMYFUNCTION("""COMPUTED_VALUE"""),"Good")</f>
        <v>Good</v>
      </c>
      <c r="AB3084" s="182" t="str">
        <f>IFERROR(__xludf.DUMMYFUNCTION("""COMPUTED_VALUE"""),"Excellent")</f>
        <v>Excellent</v>
      </c>
      <c r="AC3084" s="183"/>
      <c r="AD3084" s="183"/>
      <c r="AE3084" s="183"/>
      <c r="AF3084" s="184"/>
      <c r="AG3084" s="180" t="str">
        <f>IFERROR(__xludf.DUMMYFUNCTION("""COMPUTED_VALUE"""),"Delivery rescheduled from 9/13 to 9/25 by Telsa")</f>
        <v>Delivery rescheduled from 9/13 to 9/25 by Telsa</v>
      </c>
      <c r="AH3084" s="185">
        <f>IFERROR(__xludf.DUMMYFUNCTION("""COMPUTED_VALUE"""),43368.9005353588)</f>
        <v>43368.90054</v>
      </c>
      <c r="AI3084" s="182"/>
      <c r="AJ3084" s="182"/>
      <c r="AK3084" s="182"/>
      <c r="AL3084" s="182"/>
    </row>
    <row r="3085" ht="20.25" customHeight="1">
      <c r="A3085" s="169" t="str">
        <f>IFERROR(__xludf.DUMMYFUNCTION("""COMPUTED_VALUE"""),"hlf0319")</f>
        <v>hlf0319</v>
      </c>
      <c r="B3085" s="170"/>
      <c r="C3085" s="170" t="str">
        <f>IFERROR(__xludf.DUMMYFUNCTION("""COMPUTED_VALUE"""),"CA")</f>
        <v>CA</v>
      </c>
      <c r="D3085" s="170" t="str">
        <f>IFERROR(__xludf.DUMMYFUNCTION("""COMPUTED_VALUE"""),"USA")</f>
        <v>USA</v>
      </c>
      <c r="E3085" s="171">
        <f>IFERROR(__xludf.DUMMYFUNCTION("""COMPUTED_VALUE"""),43278.0)</f>
        <v>43278</v>
      </c>
      <c r="F3085" s="172">
        <f>IFERROR(__xludf.DUMMYFUNCTION("""COMPUTED_VALUE"""),43413.0)</f>
        <v>43413</v>
      </c>
      <c r="G3085" s="173"/>
      <c r="H3085" s="174">
        <f>IFERROR(__xludf.DUMMYFUNCTION("""COMPUTED_VALUE"""),62969.0)</f>
        <v>62969</v>
      </c>
      <c r="I3085" s="175" t="str">
        <f>IFERROR(__xludf.DUMMYFUNCTION("""COMPUTED_VALUE"""),"10/18")</f>
        <v>10/18</v>
      </c>
      <c r="J3085" s="172">
        <f>IFERROR(__xludf.DUMMYFUNCTION("""COMPUTED_VALUE"""),43420.0)</f>
        <v>43420</v>
      </c>
      <c r="K3085" s="176">
        <f>IFERROR(__xludf.DUMMYFUNCTION("""COMPUTED_VALUE"""),135.0)</f>
        <v>135</v>
      </c>
      <c r="L3085" s="176">
        <f>IFERROR(__xludf.DUMMYFUNCTION("""COMPUTED_VALUE"""),7.0)</f>
        <v>7</v>
      </c>
      <c r="M3085" s="176">
        <f>IFERROR(__xludf.DUMMYFUNCTION("""COMPUTED_VALUE"""),142.0)</f>
        <v>142</v>
      </c>
      <c r="N3085" s="177" t="str">
        <f>IFERROR(__xludf.DUMMYFUNCTION("""COMPUTED_VALUE"""),"Model 3 LR AWD")</f>
        <v>Model 3 LR AWD</v>
      </c>
      <c r="O3085" s="177" t="str">
        <f>IFERROR(__xludf.DUMMYFUNCTION("""COMPUTED_VALUE"""),"Deep Blue Metallic")</f>
        <v>Deep Blue Metallic</v>
      </c>
      <c r="P3085" s="178" t="str">
        <f>IFERROR(__xludf.DUMMYFUNCTION("""COMPUTED_VALUE"""),"18 inch Aero")</f>
        <v>18 inch Aero</v>
      </c>
      <c r="Q3085" s="177" t="str">
        <f>IFERROR(__xludf.DUMMYFUNCTION("""COMPUTED_VALUE"""),"Black seats")</f>
        <v>Black seats</v>
      </c>
      <c r="R3085" s="170" t="str">
        <f>IFERROR(__xludf.DUMMYFUNCTION("""COMPUTED_VALUE"""),"Enhanced Autopilot")</f>
        <v>Enhanced Autopilot</v>
      </c>
      <c r="S3085" s="170"/>
      <c r="T3085" s="179"/>
      <c r="U3085" s="179"/>
      <c r="V3085" s="179"/>
      <c r="W3085" s="180"/>
      <c r="X3085" s="181" t="str">
        <f>IFERROR(__xludf.DUMMYFUNCTION("""COMPUTED_VALUE"""),"Excellent")</f>
        <v>Excellent</v>
      </c>
      <c r="Y3085" s="182" t="str">
        <f>IFERROR(__xludf.DUMMYFUNCTION("""COMPUTED_VALUE"""),"Excellent")</f>
        <v>Excellent</v>
      </c>
      <c r="Z3085" s="182" t="str">
        <f>IFERROR(__xludf.DUMMYFUNCTION("""COMPUTED_VALUE"""),"Excellent")</f>
        <v>Excellent</v>
      </c>
      <c r="AA3085" s="182" t="str">
        <f>IFERROR(__xludf.DUMMYFUNCTION("""COMPUTED_VALUE"""),"Fair")</f>
        <v>Fair</v>
      </c>
      <c r="AB3085" s="182" t="str">
        <f>IFERROR(__xludf.DUMMYFUNCTION("""COMPUTED_VALUE"""),"Excellent")</f>
        <v>Excellent</v>
      </c>
      <c r="AC3085" s="183">
        <f>IFERROR(__xludf.DUMMYFUNCTION("""COMPUTED_VALUE"""),1.0)</f>
        <v>1</v>
      </c>
      <c r="AD3085" s="183">
        <f>IFERROR(__xludf.DUMMYFUNCTION("""COMPUTED_VALUE"""),1.0)</f>
        <v>1</v>
      </c>
      <c r="AE3085" s="183">
        <f>IFERROR(__xludf.DUMMYFUNCTION("""COMPUTED_VALUE"""),0.0)</f>
        <v>0</v>
      </c>
      <c r="AF3085" s="184"/>
      <c r="AG3085" s="180"/>
      <c r="AH3085" s="185">
        <f>IFERROR(__xludf.DUMMYFUNCTION("""COMPUTED_VALUE"""),43465.38047048611)</f>
        <v>43465.38047</v>
      </c>
      <c r="AI3085" s="182"/>
      <c r="AJ3085" s="182"/>
      <c r="AK3085" s="182"/>
      <c r="AL3085" s="182"/>
    </row>
    <row r="3086" ht="20.25" customHeight="1">
      <c r="A3086" s="169" t="str">
        <f>IFERROR(__xludf.DUMMYFUNCTION("""COMPUTED_VALUE"""),"hmerrill3")</f>
        <v>hmerrill3</v>
      </c>
      <c r="B3086" s="170" t="str">
        <f>IFERROR(__xludf.DUMMYFUNCTION("""COMPUTED_VALUE"""),"Houston")</f>
        <v>Houston</v>
      </c>
      <c r="C3086" s="170" t="str">
        <f>IFERROR(__xludf.DUMMYFUNCTION("""COMPUTED_VALUE"""),"TX")</f>
        <v>TX</v>
      </c>
      <c r="D3086" s="170" t="str">
        <f>IFERROR(__xludf.DUMMYFUNCTION("""COMPUTED_VALUE"""),"USA")</f>
        <v>USA</v>
      </c>
      <c r="E3086" s="171">
        <f>IFERROR(__xludf.DUMMYFUNCTION("""COMPUTED_VALUE"""),43278.0)</f>
        <v>43278</v>
      </c>
      <c r="F3086" s="172">
        <f>IFERROR(__xludf.DUMMYFUNCTION("""COMPUTED_VALUE"""),43299.0)</f>
        <v>43299</v>
      </c>
      <c r="G3086" s="173"/>
      <c r="H3086" s="174">
        <f>IFERROR(__xludf.DUMMYFUNCTION("""COMPUTED_VALUE"""),51944.0)</f>
        <v>51944</v>
      </c>
      <c r="I3086" s="175" t="str">
        <f>IFERROR(__xludf.DUMMYFUNCTION("""COMPUTED_VALUE"""),"07/18")</f>
        <v>07/18</v>
      </c>
      <c r="J3086" s="172">
        <f>IFERROR(__xludf.DUMMYFUNCTION("""COMPUTED_VALUE"""),43344.0)</f>
        <v>43344</v>
      </c>
      <c r="K3086" s="176">
        <f>IFERROR(__xludf.DUMMYFUNCTION("""COMPUTED_VALUE"""),21.0)</f>
        <v>21</v>
      </c>
      <c r="L3086" s="176">
        <f>IFERROR(__xludf.DUMMYFUNCTION("""COMPUTED_VALUE"""),45.0)</f>
        <v>45</v>
      </c>
      <c r="M3086" s="176">
        <f>IFERROR(__xludf.DUMMYFUNCTION("""COMPUTED_VALUE"""),66.0)</f>
        <v>66</v>
      </c>
      <c r="N3086" s="177" t="str">
        <f>IFERROR(__xludf.DUMMYFUNCTION("""COMPUTED_VALUE"""),"Model 3 LR")</f>
        <v>Model 3 LR</v>
      </c>
      <c r="O3086" s="177" t="str">
        <f>IFERROR(__xludf.DUMMYFUNCTION("""COMPUTED_VALUE"""),"Pearl White Multi-Coat")</f>
        <v>Pearl White Multi-Coat</v>
      </c>
      <c r="P3086" s="178" t="str">
        <f>IFERROR(__xludf.DUMMYFUNCTION("""COMPUTED_VALUE"""),"18 inch Aero")</f>
        <v>18 inch Aero</v>
      </c>
      <c r="Q3086" s="177" t="str">
        <f>IFERROR(__xludf.DUMMYFUNCTION("""COMPUTED_VALUE"""),"Black seats")</f>
        <v>Black seats</v>
      </c>
      <c r="R3086" s="170" t="str">
        <f>IFERROR(__xludf.DUMMYFUNCTION("""COMPUTED_VALUE"""),"Enhanced Autopilot")</f>
        <v>Enhanced Autopilot</v>
      </c>
      <c r="S3086" s="170"/>
      <c r="T3086" s="179"/>
      <c r="U3086" s="179"/>
      <c r="V3086" s="179"/>
      <c r="W3086" s="180"/>
      <c r="X3086" s="181" t="str">
        <f>IFERROR(__xludf.DUMMYFUNCTION("""COMPUTED_VALUE"""),"Very Good")</f>
        <v>Very Good</v>
      </c>
      <c r="Y3086" s="182" t="str">
        <f>IFERROR(__xludf.DUMMYFUNCTION("""COMPUTED_VALUE"""),"Very Good")</f>
        <v>Very Good</v>
      </c>
      <c r="Z3086" s="182" t="str">
        <f>IFERROR(__xludf.DUMMYFUNCTION("""COMPUTED_VALUE"""),"Excellent")</f>
        <v>Excellent</v>
      </c>
      <c r="AA3086" s="182" t="str">
        <f>IFERROR(__xludf.DUMMYFUNCTION("""COMPUTED_VALUE"""),"Poor")</f>
        <v>Poor</v>
      </c>
      <c r="AB3086" s="182" t="str">
        <f>IFERROR(__xludf.DUMMYFUNCTION("""COMPUTED_VALUE"""),"Good")</f>
        <v>Good</v>
      </c>
      <c r="AC3086" s="183">
        <f>IFERROR(__xludf.DUMMYFUNCTION("""COMPUTED_VALUE"""),1.0)</f>
        <v>1</v>
      </c>
      <c r="AD3086" s="183">
        <f>IFERROR(__xludf.DUMMYFUNCTION("""COMPUTED_VALUE"""),1.0)</f>
        <v>1</v>
      </c>
      <c r="AE3086" s="183">
        <f>IFERROR(__xludf.DUMMYFUNCTION("""COMPUTED_VALUE"""),0.0)</f>
        <v>0</v>
      </c>
      <c r="AF3086" s="184"/>
      <c r="AG3086" s="180" t="str">
        <f>IFERROR(__xludf.DUMMYFUNCTION("""COMPUTED_VALUE"""),"VIN replaced 8/7/18")</f>
        <v>VIN replaced 8/7/18</v>
      </c>
      <c r="AH3086" s="185">
        <f>IFERROR(__xludf.DUMMYFUNCTION("""COMPUTED_VALUE"""),43356.4423528125)</f>
        <v>43356.44235</v>
      </c>
      <c r="AI3086" s="182"/>
      <c r="AJ3086" s="182"/>
      <c r="AK3086" s="182"/>
      <c r="AL3086" s="182"/>
    </row>
    <row r="3087" ht="20.25" customHeight="1">
      <c r="A3087" s="169" t="str">
        <f>IFERROR(__xludf.DUMMYFUNCTION("""COMPUTED_VALUE"""),"hughbie")</f>
        <v>hughbie</v>
      </c>
      <c r="B3087" s="170" t="str">
        <f>IFERROR(__xludf.DUMMYFUNCTION("""COMPUTED_VALUE"""),"Arcata")</f>
        <v>Arcata</v>
      </c>
      <c r="C3087" s="170" t="str">
        <f>IFERROR(__xludf.DUMMYFUNCTION("""COMPUTED_VALUE"""),"CA")</f>
        <v>CA</v>
      </c>
      <c r="D3087" s="170" t="str">
        <f>IFERROR(__xludf.DUMMYFUNCTION("""COMPUTED_VALUE"""),"USA")</f>
        <v>USA</v>
      </c>
      <c r="E3087" s="171">
        <f>IFERROR(__xludf.DUMMYFUNCTION("""COMPUTED_VALUE"""),43278.0)</f>
        <v>43278</v>
      </c>
      <c r="F3087" s="172">
        <f>IFERROR(__xludf.DUMMYFUNCTION("""COMPUTED_VALUE"""),43295.0)</f>
        <v>43295</v>
      </c>
      <c r="G3087" s="173"/>
      <c r="H3087" s="174">
        <f>IFERROR(__xludf.DUMMYFUNCTION("""COMPUTED_VALUE"""),39865.0)</f>
        <v>39865</v>
      </c>
      <c r="I3087" s="175" t="str">
        <f>IFERROR(__xludf.DUMMYFUNCTION("""COMPUTED_VALUE"""),"07/18")</f>
        <v>07/18</v>
      </c>
      <c r="J3087" s="172">
        <f>IFERROR(__xludf.DUMMYFUNCTION("""COMPUTED_VALUE"""),43308.0)</f>
        <v>43308</v>
      </c>
      <c r="K3087" s="176">
        <f>IFERROR(__xludf.DUMMYFUNCTION("""COMPUTED_VALUE"""),17.0)</f>
        <v>17</v>
      </c>
      <c r="L3087" s="176">
        <f>IFERROR(__xludf.DUMMYFUNCTION("""COMPUTED_VALUE"""),13.0)</f>
        <v>13</v>
      </c>
      <c r="M3087" s="176">
        <f>IFERROR(__xludf.DUMMYFUNCTION("""COMPUTED_VALUE"""),30.0)</f>
        <v>30</v>
      </c>
      <c r="N3087" s="177" t="str">
        <f>IFERROR(__xludf.DUMMYFUNCTION("""COMPUTED_VALUE"""),"Model 3 LR")</f>
        <v>Model 3 LR</v>
      </c>
      <c r="O3087" s="177" t="str">
        <f>IFERROR(__xludf.DUMMYFUNCTION("""COMPUTED_VALUE"""),"Pearl White Multi-Coat")</f>
        <v>Pearl White Multi-Coat</v>
      </c>
      <c r="P3087" s="178" t="str">
        <f>IFERROR(__xludf.DUMMYFUNCTION("""COMPUTED_VALUE"""),"18 inch Aero")</f>
        <v>18 inch Aero</v>
      </c>
      <c r="Q3087" s="177" t="str">
        <f>IFERROR(__xludf.DUMMYFUNCTION("""COMPUTED_VALUE"""),"Black seats")</f>
        <v>Black seats</v>
      </c>
      <c r="R3087" s="170" t="str">
        <f>IFERROR(__xludf.DUMMYFUNCTION("""COMPUTED_VALUE"""),"Enhanced Autopilot")</f>
        <v>Enhanced Autopilot</v>
      </c>
      <c r="S3087" s="170"/>
      <c r="T3087" s="179"/>
      <c r="U3087" s="179"/>
      <c r="V3087" s="179"/>
      <c r="W3087" s="180"/>
      <c r="X3087" s="181" t="str">
        <f>IFERROR(__xludf.DUMMYFUNCTION("""COMPUTED_VALUE"""),"Excellent")</f>
        <v>Excellent</v>
      </c>
      <c r="Y3087" s="182" t="str">
        <f>IFERROR(__xludf.DUMMYFUNCTION("""COMPUTED_VALUE"""),"Excellent")</f>
        <v>Excellent</v>
      </c>
      <c r="Z3087" s="182" t="str">
        <f>IFERROR(__xludf.DUMMYFUNCTION("""COMPUTED_VALUE"""),"Very Good")</f>
        <v>Very Good</v>
      </c>
      <c r="AA3087" s="182" t="str">
        <f>IFERROR(__xludf.DUMMYFUNCTION("""COMPUTED_VALUE"""),"Fair")</f>
        <v>Fair</v>
      </c>
      <c r="AB3087" s="182" t="str">
        <f>IFERROR(__xludf.DUMMYFUNCTION("""COMPUTED_VALUE"""),"Fair")</f>
        <v>Fair</v>
      </c>
      <c r="AC3087" s="183"/>
      <c r="AD3087" s="183"/>
      <c r="AE3087" s="183"/>
      <c r="AF3087" s="184"/>
      <c r="AG3087" s="180"/>
      <c r="AH3087" s="185">
        <f>IFERROR(__xludf.DUMMYFUNCTION("""COMPUTED_VALUE"""),43309.67517652778)</f>
        <v>43309.67518</v>
      </c>
      <c r="AI3087" s="182"/>
      <c r="AJ3087" s="182"/>
      <c r="AK3087" s="182"/>
      <c r="AL3087" s="182"/>
    </row>
    <row r="3088" ht="20.25" customHeight="1">
      <c r="A3088" s="169" t="str">
        <f>IFERROR(__xludf.DUMMYFUNCTION("""COMPUTED_VALUE"""),"iChris93")</f>
        <v>iChris93</v>
      </c>
      <c r="B3088" s="170" t="str">
        <f>IFERROR(__xludf.DUMMYFUNCTION("""COMPUTED_VALUE"""),"Ann Arbor")</f>
        <v>Ann Arbor</v>
      </c>
      <c r="C3088" s="170" t="str">
        <f>IFERROR(__xludf.DUMMYFUNCTION("""COMPUTED_VALUE"""),"MI")</f>
        <v>MI</v>
      </c>
      <c r="D3088" s="170" t="str">
        <f>IFERROR(__xludf.DUMMYFUNCTION("""COMPUTED_VALUE"""),"USA")</f>
        <v>USA</v>
      </c>
      <c r="E3088" s="171">
        <f>IFERROR(__xludf.DUMMYFUNCTION("""COMPUTED_VALUE"""),43278.0)</f>
        <v>43278</v>
      </c>
      <c r="F3088" s="172">
        <f>IFERROR(__xludf.DUMMYFUNCTION("""COMPUTED_VALUE"""),43284.0)</f>
        <v>43284</v>
      </c>
      <c r="G3088" s="173"/>
      <c r="H3088" s="174">
        <f>IFERROR(__xludf.DUMMYFUNCTION("""COMPUTED_VALUE"""),37455.0)</f>
        <v>37455</v>
      </c>
      <c r="I3088" s="175" t="str">
        <f>IFERROR(__xludf.DUMMYFUNCTION("""COMPUTED_VALUE"""),"06/18")</f>
        <v>06/18</v>
      </c>
      <c r="J3088" s="172">
        <f>IFERROR(__xludf.DUMMYFUNCTION("""COMPUTED_VALUE"""),43306.0)</f>
        <v>43306</v>
      </c>
      <c r="K3088" s="176">
        <f>IFERROR(__xludf.DUMMYFUNCTION("""COMPUTED_VALUE"""),6.0)</f>
        <v>6</v>
      </c>
      <c r="L3088" s="176">
        <f>IFERROR(__xludf.DUMMYFUNCTION("""COMPUTED_VALUE"""),22.0)</f>
        <v>22</v>
      </c>
      <c r="M3088" s="176">
        <f>IFERROR(__xludf.DUMMYFUNCTION("""COMPUTED_VALUE"""),28.0)</f>
        <v>28</v>
      </c>
      <c r="N3088" s="177" t="str">
        <f>IFERROR(__xludf.DUMMYFUNCTION("""COMPUTED_VALUE"""),"Model 3 LR")</f>
        <v>Model 3 LR</v>
      </c>
      <c r="O3088" s="177" t="str">
        <f>IFERROR(__xludf.DUMMYFUNCTION("""COMPUTED_VALUE"""),"Midnight Silver Metallic")</f>
        <v>Midnight Silver Metallic</v>
      </c>
      <c r="P3088" s="178" t="str">
        <f>IFERROR(__xludf.DUMMYFUNCTION("""COMPUTED_VALUE"""),"18 inch Aero")</f>
        <v>18 inch Aero</v>
      </c>
      <c r="Q3088" s="177" t="str">
        <f>IFERROR(__xludf.DUMMYFUNCTION("""COMPUTED_VALUE"""),"Black seats")</f>
        <v>Black seats</v>
      </c>
      <c r="R3088" s="170" t="str">
        <f>IFERROR(__xludf.DUMMYFUNCTION("""COMPUTED_VALUE"""),"Full Self-Driving")</f>
        <v>Full Self-Driving</v>
      </c>
      <c r="S3088" s="170"/>
      <c r="T3088" s="179"/>
      <c r="U3088" s="179"/>
      <c r="V3088" s="179"/>
      <c r="W3088" s="180"/>
      <c r="X3088" s="181" t="str">
        <f>IFERROR(__xludf.DUMMYFUNCTION("""COMPUTED_VALUE"""),"Very Good")</f>
        <v>Very Good</v>
      </c>
      <c r="Y3088" s="182" t="str">
        <f>IFERROR(__xludf.DUMMYFUNCTION("""COMPUTED_VALUE"""),"Very Good")</f>
        <v>Very Good</v>
      </c>
      <c r="Z3088" s="182" t="str">
        <f>IFERROR(__xludf.DUMMYFUNCTION("""COMPUTED_VALUE"""),"Excellent")</f>
        <v>Excellent</v>
      </c>
      <c r="AA3088" s="182" t="str">
        <f>IFERROR(__xludf.DUMMYFUNCTION("""COMPUTED_VALUE"""),"Good")</f>
        <v>Good</v>
      </c>
      <c r="AB3088" s="182" t="str">
        <f>IFERROR(__xludf.DUMMYFUNCTION("""COMPUTED_VALUE"""),"Good")</f>
        <v>Good</v>
      </c>
      <c r="AC3088" s="183">
        <f>IFERROR(__xludf.DUMMYFUNCTION("""COMPUTED_VALUE"""),2.0)</f>
        <v>2</v>
      </c>
      <c r="AD3088" s="183">
        <f>IFERROR(__xludf.DUMMYFUNCTION("""COMPUTED_VALUE"""),1.0)</f>
        <v>1</v>
      </c>
      <c r="AE3088" s="183">
        <f>IFERROR(__xludf.DUMMYFUNCTION("""COMPUTED_VALUE"""),0.0)</f>
        <v>0</v>
      </c>
      <c r="AF3088" s="184"/>
      <c r="AG3088" s="180" t="str">
        <f>IFERROR(__xludf.DUMMYFUNCTION("""COMPUTED_VALUE"""),"Originally scheduled for delivery on 7/16 but pushed back due to transit issues.  ")</f>
        <v>Originally scheduled for delivery on 7/16 but pushed back due to transit issues.  </v>
      </c>
      <c r="AH3088" s="185">
        <f>IFERROR(__xludf.DUMMYFUNCTION("""COMPUTED_VALUE"""),43326.489750590285)</f>
        <v>43326.48975</v>
      </c>
      <c r="AI3088" s="182"/>
      <c r="AJ3088" s="182"/>
      <c r="AK3088" s="182"/>
      <c r="AL3088" s="182"/>
    </row>
    <row r="3089" ht="20.25" customHeight="1">
      <c r="A3089" s="169" t="str">
        <f>IFERROR(__xludf.DUMMYFUNCTION("""COMPUTED_VALUE"""),"IndyLambo")</f>
        <v>IndyLambo</v>
      </c>
      <c r="B3089" s="170" t="str">
        <f>IFERROR(__xludf.DUMMYFUNCTION("""COMPUTED_VALUE"""),"Indianapolis")</f>
        <v>Indianapolis</v>
      </c>
      <c r="C3089" s="170" t="str">
        <f>IFERROR(__xludf.DUMMYFUNCTION("""COMPUTED_VALUE"""),"IN")</f>
        <v>IN</v>
      </c>
      <c r="D3089" s="170" t="str">
        <f>IFERROR(__xludf.DUMMYFUNCTION("""COMPUTED_VALUE"""),"USA")</f>
        <v>USA</v>
      </c>
      <c r="E3089" s="171">
        <f>IFERROR(__xludf.DUMMYFUNCTION("""COMPUTED_VALUE"""),43278.0)</f>
        <v>43278</v>
      </c>
      <c r="F3089" s="172">
        <f>IFERROR(__xludf.DUMMYFUNCTION("""COMPUTED_VALUE"""),43369.0)</f>
        <v>43369</v>
      </c>
      <c r="G3089" s="173"/>
      <c r="H3089" s="174">
        <f>IFERROR(__xludf.DUMMYFUNCTION("""COMPUTED_VALUE"""),87166.0)</f>
        <v>87166</v>
      </c>
      <c r="I3089" s="175" t="str">
        <f>IFERROR(__xludf.DUMMYFUNCTION("""COMPUTED_VALUE"""),"09/18")</f>
        <v>09/18</v>
      </c>
      <c r="J3089" s="172">
        <f>IFERROR(__xludf.DUMMYFUNCTION("""COMPUTED_VALUE"""),43382.0)</f>
        <v>43382</v>
      </c>
      <c r="K3089" s="176">
        <f>IFERROR(__xludf.DUMMYFUNCTION("""COMPUTED_VALUE"""),91.0)</f>
        <v>91</v>
      </c>
      <c r="L3089" s="176">
        <f>IFERROR(__xludf.DUMMYFUNCTION("""COMPUTED_VALUE"""),13.0)</f>
        <v>13</v>
      </c>
      <c r="M3089" s="176">
        <f>IFERROR(__xludf.DUMMYFUNCTION("""COMPUTED_VALUE"""),104.0)</f>
        <v>104</v>
      </c>
      <c r="N3089" s="177" t="str">
        <f>IFERROR(__xludf.DUMMYFUNCTION("""COMPUTED_VALUE"""),"Model 3 LR AWD")</f>
        <v>Model 3 LR AWD</v>
      </c>
      <c r="O3089" s="177" t="str">
        <f>IFERROR(__xludf.DUMMYFUNCTION("""COMPUTED_VALUE"""),"Midnight Silver Metallic")</f>
        <v>Midnight Silver Metallic</v>
      </c>
      <c r="P3089" s="178" t="str">
        <f>IFERROR(__xludf.DUMMYFUNCTION("""COMPUTED_VALUE"""),"19 inch Sport")</f>
        <v>19 inch Sport</v>
      </c>
      <c r="Q3089" s="177" t="str">
        <f>IFERROR(__xludf.DUMMYFUNCTION("""COMPUTED_VALUE"""),"Black seats")</f>
        <v>Black seats</v>
      </c>
      <c r="R3089" s="170" t="str">
        <f>IFERROR(__xludf.DUMMYFUNCTION("""COMPUTED_VALUE"""),"Full Self-Driving")</f>
        <v>Full Self-Driving</v>
      </c>
      <c r="S3089" s="170"/>
      <c r="T3089" s="179"/>
      <c r="U3089" s="179"/>
      <c r="V3089" s="179"/>
      <c r="W3089" s="180"/>
      <c r="X3089" s="181" t="str">
        <f>IFERROR(__xludf.DUMMYFUNCTION("""COMPUTED_VALUE"""),"Excellent")</f>
        <v>Excellent</v>
      </c>
      <c r="Y3089" s="182" t="str">
        <f>IFERROR(__xludf.DUMMYFUNCTION("""COMPUTED_VALUE"""),"Excellent")</f>
        <v>Excellent</v>
      </c>
      <c r="Z3089" s="182" t="str">
        <f>IFERROR(__xludf.DUMMYFUNCTION("""COMPUTED_VALUE"""),"Excellent")</f>
        <v>Excellent</v>
      </c>
      <c r="AA3089" s="182" t="str">
        <f>IFERROR(__xludf.DUMMYFUNCTION("""COMPUTED_VALUE"""),"Very Good")</f>
        <v>Very Good</v>
      </c>
      <c r="AB3089" s="182" t="str">
        <f>IFERROR(__xludf.DUMMYFUNCTION("""COMPUTED_VALUE"""),"Excellent")</f>
        <v>Excellent</v>
      </c>
      <c r="AC3089" s="183">
        <f>IFERROR(__xludf.DUMMYFUNCTION("""COMPUTED_VALUE"""),0.0)</f>
        <v>0</v>
      </c>
      <c r="AD3089" s="183">
        <f>IFERROR(__xludf.DUMMYFUNCTION("""COMPUTED_VALUE"""),0.0)</f>
        <v>0</v>
      </c>
      <c r="AE3089" s="183">
        <f>IFERROR(__xludf.DUMMYFUNCTION("""COMPUTED_VALUE"""),0.0)</f>
        <v>0</v>
      </c>
      <c r="AF3089" s="184"/>
      <c r="AG3089" s="180"/>
      <c r="AH3089" s="185">
        <f>IFERROR(__xludf.DUMMYFUNCTION("""COMPUTED_VALUE"""),43552.59988318287)</f>
        <v>43552.59988</v>
      </c>
      <c r="AI3089" s="182"/>
      <c r="AJ3089" s="182"/>
      <c r="AK3089" s="182"/>
      <c r="AL3089" s="182"/>
    </row>
    <row r="3090" ht="20.25" customHeight="1">
      <c r="A3090" s="169" t="str">
        <f>IFERROR(__xludf.DUMMYFUNCTION("""COMPUTED_VALUE"""),"inktomi")</f>
        <v>inktomi</v>
      </c>
      <c r="B3090" s="170" t="str">
        <f>IFERROR(__xludf.DUMMYFUNCTION("""COMPUTED_VALUE"""),"Los Angeles")</f>
        <v>Los Angeles</v>
      </c>
      <c r="C3090" s="170" t="str">
        <f>IFERROR(__xludf.DUMMYFUNCTION("""COMPUTED_VALUE"""),"CA")</f>
        <v>CA</v>
      </c>
      <c r="D3090" s="170" t="str">
        <f>IFERROR(__xludf.DUMMYFUNCTION("""COMPUTED_VALUE"""),"USA")</f>
        <v>USA</v>
      </c>
      <c r="E3090" s="171">
        <f>IFERROR(__xludf.DUMMYFUNCTION("""COMPUTED_VALUE"""),43278.0)</f>
        <v>43278</v>
      </c>
      <c r="F3090" s="172">
        <f>IFERROR(__xludf.DUMMYFUNCTION("""COMPUTED_VALUE"""),43279.0)</f>
        <v>43279</v>
      </c>
      <c r="G3090" s="173"/>
      <c r="H3090" s="174">
        <f>IFERROR(__xludf.DUMMYFUNCTION("""COMPUTED_VALUE"""),34643.0)</f>
        <v>34643</v>
      </c>
      <c r="I3090" s="175" t="str">
        <f>IFERROR(__xludf.DUMMYFUNCTION("""COMPUTED_VALUE"""),"06/18")</f>
        <v>06/18</v>
      </c>
      <c r="J3090" s="172">
        <f>IFERROR(__xludf.DUMMYFUNCTION("""COMPUTED_VALUE"""),43288.0)</f>
        <v>43288</v>
      </c>
      <c r="K3090" s="176">
        <f>IFERROR(__xludf.DUMMYFUNCTION("""COMPUTED_VALUE"""),1.0)</f>
        <v>1</v>
      </c>
      <c r="L3090" s="176">
        <f>IFERROR(__xludf.DUMMYFUNCTION("""COMPUTED_VALUE"""),9.0)</f>
        <v>9</v>
      </c>
      <c r="M3090" s="176">
        <f>IFERROR(__xludf.DUMMYFUNCTION("""COMPUTED_VALUE"""),10.0)</f>
        <v>10</v>
      </c>
      <c r="N3090" s="177" t="str">
        <f>IFERROR(__xludf.DUMMYFUNCTION("""COMPUTED_VALUE"""),"Model 3 LR")</f>
        <v>Model 3 LR</v>
      </c>
      <c r="O3090" s="177" t="str">
        <f>IFERROR(__xludf.DUMMYFUNCTION("""COMPUTED_VALUE"""),"Midnight Silver Metallic")</f>
        <v>Midnight Silver Metallic</v>
      </c>
      <c r="P3090" s="178" t="str">
        <f>IFERROR(__xludf.DUMMYFUNCTION("""COMPUTED_VALUE"""),"19 inch Sport")</f>
        <v>19 inch Sport</v>
      </c>
      <c r="Q3090" s="177" t="str">
        <f>IFERROR(__xludf.DUMMYFUNCTION("""COMPUTED_VALUE"""),"Black seats")</f>
        <v>Black seats</v>
      </c>
      <c r="R3090" s="170" t="str">
        <f>IFERROR(__xludf.DUMMYFUNCTION("""COMPUTED_VALUE"""),"Enhanced Autopilot")</f>
        <v>Enhanced Autopilot</v>
      </c>
      <c r="S3090" s="170"/>
      <c r="T3090" s="179"/>
      <c r="U3090" s="179"/>
      <c r="V3090" s="179"/>
      <c r="W3090" s="180"/>
      <c r="X3090" s="181" t="str">
        <f>IFERROR(__xludf.DUMMYFUNCTION("""COMPUTED_VALUE"""),"Very Good")</f>
        <v>Very Good</v>
      </c>
      <c r="Y3090" s="182" t="str">
        <f>IFERROR(__xludf.DUMMYFUNCTION("""COMPUTED_VALUE"""),"Good")</f>
        <v>Good</v>
      </c>
      <c r="Z3090" s="182" t="str">
        <f>IFERROR(__xludf.DUMMYFUNCTION("""COMPUTED_VALUE"""),"Good")</f>
        <v>Good</v>
      </c>
      <c r="AA3090" s="182" t="str">
        <f>IFERROR(__xludf.DUMMYFUNCTION("""COMPUTED_VALUE"""),"Excellent")</f>
        <v>Excellent</v>
      </c>
      <c r="AB3090" s="182" t="str">
        <f>IFERROR(__xludf.DUMMYFUNCTION("""COMPUTED_VALUE"""),"Fair")</f>
        <v>Fair</v>
      </c>
      <c r="AC3090" s="183"/>
      <c r="AD3090" s="183"/>
      <c r="AE3090" s="183"/>
      <c r="AF3090" s="184"/>
      <c r="AG3090" s="180"/>
      <c r="AH3090" s="185">
        <f>IFERROR(__xludf.DUMMYFUNCTION("""COMPUTED_VALUE"""),43289.48608697917)</f>
        <v>43289.48609</v>
      </c>
      <c r="AI3090" s="182"/>
      <c r="AJ3090" s="182"/>
      <c r="AK3090" s="182"/>
      <c r="AL3090" s="182"/>
    </row>
    <row r="3091" ht="20.25" customHeight="1">
      <c r="A3091" s="169" t="str">
        <f>IFERROR(__xludf.DUMMYFUNCTION("""COMPUTED_VALUE"""),"InvalidFileInput")</f>
        <v>InvalidFileInput</v>
      </c>
      <c r="B3091" s="170" t="str">
        <f>IFERROR(__xludf.DUMMYFUNCTION("""COMPUTED_VALUE"""),"Washington")</f>
        <v>Washington</v>
      </c>
      <c r="C3091" s="170" t="str">
        <f>IFERROR(__xludf.DUMMYFUNCTION("""COMPUTED_VALUE"""),"DC")</f>
        <v>DC</v>
      </c>
      <c r="D3091" s="170" t="str">
        <f>IFERROR(__xludf.DUMMYFUNCTION("""COMPUTED_VALUE"""),"USA")</f>
        <v>USA</v>
      </c>
      <c r="E3091" s="171">
        <f>IFERROR(__xludf.DUMMYFUNCTION("""COMPUTED_VALUE"""),43278.0)</f>
        <v>43278</v>
      </c>
      <c r="F3091" s="172">
        <f>IFERROR(__xludf.DUMMYFUNCTION("""COMPUTED_VALUE"""),43332.0)</f>
        <v>43332</v>
      </c>
      <c r="G3091" s="173"/>
      <c r="H3091" s="174">
        <f>IFERROR(__xludf.DUMMYFUNCTION("""COMPUTED_VALUE"""),96334.0)</f>
        <v>96334</v>
      </c>
      <c r="I3091" s="175" t="str">
        <f>IFERROR(__xludf.DUMMYFUNCTION("""COMPUTED_VALUE"""),"08/18")</f>
        <v>08/18</v>
      </c>
      <c r="J3091" s="172">
        <f>IFERROR(__xludf.DUMMYFUNCTION("""COMPUTED_VALUE"""),43365.0)</f>
        <v>43365</v>
      </c>
      <c r="K3091" s="176">
        <f>IFERROR(__xludf.DUMMYFUNCTION("""COMPUTED_VALUE"""),54.0)</f>
        <v>54</v>
      </c>
      <c r="L3091" s="176">
        <f>IFERROR(__xludf.DUMMYFUNCTION("""COMPUTED_VALUE"""),33.0)</f>
        <v>33</v>
      </c>
      <c r="M3091" s="176">
        <f>IFERROR(__xludf.DUMMYFUNCTION("""COMPUTED_VALUE"""),87.0)</f>
        <v>87</v>
      </c>
      <c r="N3091" s="177" t="str">
        <f>IFERROR(__xludf.DUMMYFUNCTION("""COMPUTED_VALUE"""),"Model 3 LR AWD")</f>
        <v>Model 3 LR AWD</v>
      </c>
      <c r="O3091" s="177" t="str">
        <f>IFERROR(__xludf.DUMMYFUNCTION("""COMPUTED_VALUE"""),"Red Multi-Coat")</f>
        <v>Red Multi-Coat</v>
      </c>
      <c r="P3091" s="178" t="str">
        <f>IFERROR(__xludf.DUMMYFUNCTION("""COMPUTED_VALUE"""),"18 inch Aero")</f>
        <v>18 inch Aero</v>
      </c>
      <c r="Q3091" s="177" t="str">
        <f>IFERROR(__xludf.DUMMYFUNCTION("""COMPUTED_VALUE"""),"White seats")</f>
        <v>White seats</v>
      </c>
      <c r="R3091" s="170" t="str">
        <f>IFERROR(__xludf.DUMMYFUNCTION("""COMPUTED_VALUE"""),"Full Self-Driving")</f>
        <v>Full Self-Driving</v>
      </c>
      <c r="S3091" s="170"/>
      <c r="T3091" s="179"/>
      <c r="U3091" s="179"/>
      <c r="V3091" s="179"/>
      <c r="W3091" s="180"/>
      <c r="X3091" s="181" t="str">
        <f>IFERROR(__xludf.DUMMYFUNCTION("""COMPUTED_VALUE"""),"Excellent")</f>
        <v>Excellent</v>
      </c>
      <c r="Y3091" s="182" t="str">
        <f>IFERROR(__xludf.DUMMYFUNCTION("""COMPUTED_VALUE"""),"Excellent")</f>
        <v>Excellent</v>
      </c>
      <c r="Z3091" s="182" t="str">
        <f>IFERROR(__xludf.DUMMYFUNCTION("""COMPUTED_VALUE"""),"Very Good")</f>
        <v>Very Good</v>
      </c>
      <c r="AA3091" s="182" t="str">
        <f>IFERROR(__xludf.DUMMYFUNCTION("""COMPUTED_VALUE"""),"Excellent")</f>
        <v>Excellent</v>
      </c>
      <c r="AB3091" s="182" t="str">
        <f>IFERROR(__xludf.DUMMYFUNCTION("""COMPUTED_VALUE"""),"Very Good")</f>
        <v>Very Good</v>
      </c>
      <c r="AC3091" s="183">
        <f>IFERROR(__xludf.DUMMYFUNCTION("""COMPUTED_VALUE"""),0.0)</f>
        <v>0</v>
      </c>
      <c r="AD3091" s="183">
        <f>IFERROR(__xludf.DUMMYFUNCTION("""COMPUTED_VALUE"""),0.0)</f>
        <v>0</v>
      </c>
      <c r="AE3091" s="183">
        <f>IFERROR(__xludf.DUMMYFUNCTION("""COMPUTED_VALUE"""),0.0)</f>
        <v>0</v>
      </c>
      <c r="AF3091" s="184"/>
      <c r="AG3091" s="180"/>
      <c r="AH3091" s="185">
        <f>IFERROR(__xludf.DUMMYFUNCTION("""COMPUTED_VALUE"""),43380.31757428241)</f>
        <v>43380.31757</v>
      </c>
      <c r="AI3091" s="182"/>
      <c r="AJ3091" s="182"/>
      <c r="AK3091" s="182"/>
      <c r="AL3091" s="182"/>
    </row>
    <row r="3092" ht="20.25" customHeight="1">
      <c r="A3092" s="169" t="str">
        <f>IFERROR(__xludf.DUMMYFUNCTION("""COMPUTED_VALUE"""),"IvecalledmysonTesla")</f>
        <v>IvecalledmysonTesla</v>
      </c>
      <c r="B3092" s="170"/>
      <c r="C3092" s="170" t="str">
        <f>IFERROR(__xludf.DUMMYFUNCTION("""COMPUTED_VALUE"""),"NY")</f>
        <v>NY</v>
      </c>
      <c r="D3092" s="170" t="str">
        <f>IFERROR(__xludf.DUMMYFUNCTION("""COMPUTED_VALUE"""),"USA")</f>
        <v>USA</v>
      </c>
      <c r="E3092" s="171">
        <f>IFERROR(__xludf.DUMMYFUNCTION("""COMPUTED_VALUE"""),43278.0)</f>
        <v>43278</v>
      </c>
      <c r="F3092" s="172">
        <f>IFERROR(__xludf.DUMMYFUNCTION("""COMPUTED_VALUE"""),43395.0)</f>
        <v>43395</v>
      </c>
      <c r="G3092" s="173"/>
      <c r="H3092" s="174">
        <f>IFERROR(__xludf.DUMMYFUNCTION("""COMPUTED_VALUE"""),112363.0)</f>
        <v>112363</v>
      </c>
      <c r="I3092" s="175"/>
      <c r="J3092" s="172">
        <f>IFERROR(__xludf.DUMMYFUNCTION("""COMPUTED_VALUE"""),43415.0)</f>
        <v>43415</v>
      </c>
      <c r="K3092" s="176">
        <f>IFERROR(__xludf.DUMMYFUNCTION("""COMPUTED_VALUE"""),117.0)</f>
        <v>117</v>
      </c>
      <c r="L3092" s="176">
        <f>IFERROR(__xludf.DUMMYFUNCTION("""COMPUTED_VALUE"""),20.0)</f>
        <v>20</v>
      </c>
      <c r="M3092" s="176">
        <f>IFERROR(__xludf.DUMMYFUNCTION("""COMPUTED_VALUE"""),137.0)</f>
        <v>137</v>
      </c>
      <c r="N3092" s="177" t="str">
        <f>IFERROR(__xludf.DUMMYFUNCTION("""COMPUTED_VALUE"""),"Model 3 LR AWD")</f>
        <v>Model 3 LR AWD</v>
      </c>
      <c r="O3092" s="177" t="str">
        <f>IFERROR(__xludf.DUMMYFUNCTION("""COMPUTED_VALUE"""),"Midnight Silver Metallic")</f>
        <v>Midnight Silver Metallic</v>
      </c>
      <c r="P3092" s="178" t="str">
        <f>IFERROR(__xludf.DUMMYFUNCTION("""COMPUTED_VALUE"""),"18 inch Aero")</f>
        <v>18 inch Aero</v>
      </c>
      <c r="Q3092" s="177" t="str">
        <f>IFERROR(__xludf.DUMMYFUNCTION("""COMPUTED_VALUE"""),"Black seats")</f>
        <v>Black seats</v>
      </c>
      <c r="R3092" s="170" t="str">
        <f>IFERROR(__xludf.DUMMYFUNCTION("""COMPUTED_VALUE"""),"Enhanced Autopilot")</f>
        <v>Enhanced Autopilot</v>
      </c>
      <c r="S3092" s="170"/>
      <c r="T3092" s="179"/>
      <c r="U3092" s="179"/>
      <c r="V3092" s="179"/>
      <c r="W3092" s="180"/>
      <c r="X3092" s="181" t="str">
        <f>IFERROR(__xludf.DUMMYFUNCTION("""COMPUTED_VALUE"""),"Excellent")</f>
        <v>Excellent</v>
      </c>
      <c r="Y3092" s="182" t="str">
        <f>IFERROR(__xludf.DUMMYFUNCTION("""COMPUTED_VALUE"""),"Excellent")</f>
        <v>Excellent</v>
      </c>
      <c r="Z3092" s="182" t="str">
        <f>IFERROR(__xludf.DUMMYFUNCTION("""COMPUTED_VALUE"""),"Excellent")</f>
        <v>Excellent</v>
      </c>
      <c r="AA3092" s="182" t="str">
        <f>IFERROR(__xludf.DUMMYFUNCTION("""COMPUTED_VALUE"""),"Fair")</f>
        <v>Fair</v>
      </c>
      <c r="AB3092" s="182" t="str">
        <f>IFERROR(__xludf.DUMMYFUNCTION("""COMPUTED_VALUE"""),"Very Good")</f>
        <v>Very Good</v>
      </c>
      <c r="AC3092" s="183"/>
      <c r="AD3092" s="183"/>
      <c r="AE3092" s="183"/>
      <c r="AF3092" s="184"/>
      <c r="AG3092" s="180"/>
      <c r="AH3092" s="185">
        <f>IFERROR(__xludf.DUMMYFUNCTION("""COMPUTED_VALUE"""),43418.74601166667)</f>
        <v>43418.74601</v>
      </c>
      <c r="AI3092" s="182"/>
      <c r="AJ3092" s="182"/>
      <c r="AK3092" s="182"/>
      <c r="AL3092" s="182"/>
    </row>
    <row r="3093" ht="20.25" customHeight="1">
      <c r="A3093" s="169" t="str">
        <f>IFERROR(__xludf.DUMMYFUNCTION("""COMPUTED_VALUE"""),"J.a.c.k")</f>
        <v>J.a.c.k</v>
      </c>
      <c r="B3093" s="170" t="str">
        <f>IFERROR(__xludf.DUMMYFUNCTION("""COMPUTED_VALUE"""),"Cary NC")</f>
        <v>Cary NC</v>
      </c>
      <c r="C3093" s="170" t="str">
        <f>IFERROR(__xludf.DUMMYFUNCTION("""COMPUTED_VALUE"""),"NC")</f>
        <v>NC</v>
      </c>
      <c r="D3093" s="170" t="str">
        <f>IFERROR(__xludf.DUMMYFUNCTION("""COMPUTED_VALUE"""),"USA")</f>
        <v>USA</v>
      </c>
      <c r="E3093" s="171">
        <f>IFERROR(__xludf.DUMMYFUNCTION("""COMPUTED_VALUE"""),43278.0)</f>
        <v>43278</v>
      </c>
      <c r="F3093" s="172">
        <f>IFERROR(__xludf.DUMMYFUNCTION("""COMPUTED_VALUE"""),43356.0)</f>
        <v>43356</v>
      </c>
      <c r="G3093" s="173"/>
      <c r="H3093" s="174">
        <f>IFERROR(__xludf.DUMMYFUNCTION("""COMPUTED_VALUE"""),72255.0)</f>
        <v>72255</v>
      </c>
      <c r="I3093" s="175"/>
      <c r="J3093" s="172">
        <f>IFERROR(__xludf.DUMMYFUNCTION("""COMPUTED_VALUE"""),43363.0)</f>
        <v>43363</v>
      </c>
      <c r="K3093" s="176">
        <f>IFERROR(__xludf.DUMMYFUNCTION("""COMPUTED_VALUE"""),78.0)</f>
        <v>78</v>
      </c>
      <c r="L3093" s="176">
        <f>IFERROR(__xludf.DUMMYFUNCTION("""COMPUTED_VALUE"""),7.0)</f>
        <v>7</v>
      </c>
      <c r="M3093" s="176">
        <f>IFERROR(__xludf.DUMMYFUNCTION("""COMPUTED_VALUE"""),85.0)</f>
        <v>85</v>
      </c>
      <c r="N3093" s="177" t="str">
        <f>IFERROR(__xludf.DUMMYFUNCTION("""COMPUTED_VALUE"""),"Model 3 Performance")</f>
        <v>Model 3 Performance</v>
      </c>
      <c r="O3093" s="177" t="str">
        <f>IFERROR(__xludf.DUMMYFUNCTION("""COMPUTED_VALUE"""),"Deep Blue Metallic")</f>
        <v>Deep Blue Metallic</v>
      </c>
      <c r="P3093" s="178" t="str">
        <f>IFERROR(__xludf.DUMMYFUNCTION("""COMPUTED_VALUE"""),"20 inch Sport")</f>
        <v>20 inch Sport</v>
      </c>
      <c r="Q3093" s="177" t="str">
        <f>IFERROR(__xludf.DUMMYFUNCTION("""COMPUTED_VALUE"""),"Black seats")</f>
        <v>Black seats</v>
      </c>
      <c r="R3093" s="170" t="str">
        <f>IFERROR(__xludf.DUMMYFUNCTION("""COMPUTED_VALUE"""),"Enhanced Autopilot")</f>
        <v>Enhanced Autopilot</v>
      </c>
      <c r="S3093" s="170"/>
      <c r="T3093" s="179"/>
      <c r="U3093" s="179"/>
      <c r="V3093" s="179"/>
      <c r="W3093" s="180"/>
      <c r="X3093" s="181" t="str">
        <f>IFERROR(__xludf.DUMMYFUNCTION("""COMPUTED_VALUE"""),"Excellent")</f>
        <v>Excellent</v>
      </c>
      <c r="Y3093" s="182" t="str">
        <f>IFERROR(__xludf.DUMMYFUNCTION("""COMPUTED_VALUE"""),"Excellent")</f>
        <v>Excellent</v>
      </c>
      <c r="Z3093" s="182" t="str">
        <f>IFERROR(__xludf.DUMMYFUNCTION("""COMPUTED_VALUE"""),"Very Good")</f>
        <v>Very Good</v>
      </c>
      <c r="AA3093" s="182" t="str">
        <f>IFERROR(__xludf.DUMMYFUNCTION("""COMPUTED_VALUE"""),"Fair")</f>
        <v>Fair</v>
      </c>
      <c r="AB3093" s="182" t="str">
        <f>IFERROR(__xludf.DUMMYFUNCTION("""COMPUTED_VALUE"""),"Good")</f>
        <v>Good</v>
      </c>
      <c r="AC3093" s="183">
        <f>IFERROR(__xludf.DUMMYFUNCTION("""COMPUTED_VALUE"""),1.0)</f>
        <v>1</v>
      </c>
      <c r="AD3093" s="183">
        <f>IFERROR(__xludf.DUMMYFUNCTION("""COMPUTED_VALUE"""),0.0)</f>
        <v>0</v>
      </c>
      <c r="AE3093" s="183">
        <f>IFERROR(__xludf.DUMMYFUNCTION("""COMPUTED_VALUE"""),0.0)</f>
        <v>0</v>
      </c>
      <c r="AF3093" s="184"/>
      <c r="AG3093" s="180" t="str">
        <f>IFERROR(__xludf.DUMMYFUNCTION("""COMPUTED_VALUE"""),"Original Deposit 4/27/2018")</f>
        <v>Original Deposit 4/27/2018</v>
      </c>
      <c r="AH3093" s="185">
        <f>IFERROR(__xludf.DUMMYFUNCTION("""COMPUTED_VALUE"""),43391.78429780092)</f>
        <v>43391.7843</v>
      </c>
      <c r="AI3093" s="182"/>
      <c r="AJ3093" s="182"/>
      <c r="AK3093" s="182"/>
      <c r="AL3093" s="182"/>
    </row>
    <row r="3094" ht="20.25" customHeight="1">
      <c r="A3094" s="169" t="str">
        <f>IFERROR(__xludf.DUMMYFUNCTION("""COMPUTED_VALUE"""),"JamesG")</f>
        <v>JamesG</v>
      </c>
      <c r="B3094" s="170" t="str">
        <f>IFERROR(__xludf.DUMMYFUNCTION("""COMPUTED_VALUE"""),"Draper")</f>
        <v>Draper</v>
      </c>
      <c r="C3094" s="170" t="str">
        <f>IFERROR(__xludf.DUMMYFUNCTION("""COMPUTED_VALUE"""),"UT")</f>
        <v>UT</v>
      </c>
      <c r="D3094" s="170" t="str">
        <f>IFERROR(__xludf.DUMMYFUNCTION("""COMPUTED_VALUE"""),"USA")</f>
        <v>USA</v>
      </c>
      <c r="E3094" s="171">
        <f>IFERROR(__xludf.DUMMYFUNCTION("""COMPUTED_VALUE"""),43278.0)</f>
        <v>43278</v>
      </c>
      <c r="F3094" s="172">
        <f>IFERROR(__xludf.DUMMYFUNCTION("""COMPUTED_VALUE"""),43369.0)</f>
        <v>43369</v>
      </c>
      <c r="G3094" s="173"/>
      <c r="H3094" s="174">
        <f>IFERROR(__xludf.DUMMYFUNCTION("""COMPUTED_VALUE"""),90255.0)</f>
        <v>90255</v>
      </c>
      <c r="I3094" s="175"/>
      <c r="J3094" s="172">
        <f>IFERROR(__xludf.DUMMYFUNCTION("""COMPUTED_VALUE"""),43372.0)</f>
        <v>43372</v>
      </c>
      <c r="K3094" s="176">
        <f>IFERROR(__xludf.DUMMYFUNCTION("""COMPUTED_VALUE"""),91.0)</f>
        <v>91</v>
      </c>
      <c r="L3094" s="176">
        <f>IFERROR(__xludf.DUMMYFUNCTION("""COMPUTED_VALUE"""),3.0)</f>
        <v>3</v>
      </c>
      <c r="M3094" s="176">
        <f>IFERROR(__xludf.DUMMYFUNCTION("""COMPUTED_VALUE"""),94.0)</f>
        <v>94</v>
      </c>
      <c r="N3094" s="177" t="str">
        <f>IFERROR(__xludf.DUMMYFUNCTION("""COMPUTED_VALUE"""),"Model 3 LR AWD")</f>
        <v>Model 3 LR AWD</v>
      </c>
      <c r="O3094" s="177" t="str">
        <f>IFERROR(__xludf.DUMMYFUNCTION("""COMPUTED_VALUE"""),"Pearl White Multi-Coat")</f>
        <v>Pearl White Multi-Coat</v>
      </c>
      <c r="P3094" s="178" t="str">
        <f>IFERROR(__xludf.DUMMYFUNCTION("""COMPUTED_VALUE"""),"18 inch Aero")</f>
        <v>18 inch Aero</v>
      </c>
      <c r="Q3094" s="177" t="str">
        <f>IFERROR(__xludf.DUMMYFUNCTION("""COMPUTED_VALUE"""),"Black seats")</f>
        <v>Black seats</v>
      </c>
      <c r="R3094" s="170" t="str">
        <f>IFERROR(__xludf.DUMMYFUNCTION("""COMPUTED_VALUE"""),"None")</f>
        <v>None</v>
      </c>
      <c r="S3094" s="170"/>
      <c r="T3094" s="179"/>
      <c r="U3094" s="179"/>
      <c r="V3094" s="179"/>
      <c r="W3094" s="180"/>
      <c r="X3094" s="181" t="str">
        <f>IFERROR(__xludf.DUMMYFUNCTION("""COMPUTED_VALUE"""),"Excellent")</f>
        <v>Excellent</v>
      </c>
      <c r="Y3094" s="182" t="str">
        <f>IFERROR(__xludf.DUMMYFUNCTION("""COMPUTED_VALUE"""),"Excellent")</f>
        <v>Excellent</v>
      </c>
      <c r="Z3094" s="182" t="str">
        <f>IFERROR(__xludf.DUMMYFUNCTION("""COMPUTED_VALUE"""),"Excellent")</f>
        <v>Excellent</v>
      </c>
      <c r="AA3094" s="182" t="str">
        <f>IFERROR(__xludf.DUMMYFUNCTION("""COMPUTED_VALUE"""),"Very Good")</f>
        <v>Very Good</v>
      </c>
      <c r="AB3094" s="182" t="str">
        <f>IFERROR(__xludf.DUMMYFUNCTION("""COMPUTED_VALUE"""),"Very Good")</f>
        <v>Very Good</v>
      </c>
      <c r="AC3094" s="183"/>
      <c r="AD3094" s="183"/>
      <c r="AE3094" s="183"/>
      <c r="AF3094" s="184"/>
      <c r="AG3094" s="180"/>
      <c r="AH3094" s="185">
        <f>IFERROR(__xludf.DUMMYFUNCTION("""COMPUTED_VALUE"""),43373.49292690973)</f>
        <v>43373.49293</v>
      </c>
      <c r="AI3094" s="182"/>
      <c r="AJ3094" s="182"/>
      <c r="AK3094" s="182"/>
      <c r="AL3094" s="182"/>
    </row>
    <row r="3095" ht="20.25" customHeight="1">
      <c r="A3095" s="169" t="str">
        <f>IFERROR(__xludf.DUMMYFUNCTION("""COMPUTED_VALUE"""),"jarmenia")</f>
        <v>jarmenia</v>
      </c>
      <c r="B3095" s="170" t="str">
        <f>IFERROR(__xludf.DUMMYFUNCTION("""COMPUTED_VALUE"""),"Tampa")</f>
        <v>Tampa</v>
      </c>
      <c r="C3095" s="170" t="str">
        <f>IFERROR(__xludf.DUMMYFUNCTION("""COMPUTED_VALUE"""),"FL")</f>
        <v>FL</v>
      </c>
      <c r="D3095" s="170" t="str">
        <f>IFERROR(__xludf.DUMMYFUNCTION("""COMPUTED_VALUE"""),"USA")</f>
        <v>USA</v>
      </c>
      <c r="E3095" s="171">
        <f>IFERROR(__xludf.DUMMYFUNCTION("""COMPUTED_VALUE"""),43278.0)</f>
        <v>43278</v>
      </c>
      <c r="F3095" s="172">
        <f>IFERROR(__xludf.DUMMYFUNCTION("""COMPUTED_VALUE"""),43283.0)</f>
        <v>43283</v>
      </c>
      <c r="G3095" s="173"/>
      <c r="H3095" s="174">
        <f>IFERROR(__xludf.DUMMYFUNCTION("""COMPUTED_VALUE"""),28155.0)</f>
        <v>28155</v>
      </c>
      <c r="I3095" s="175"/>
      <c r="J3095" s="172">
        <f>IFERROR(__xludf.DUMMYFUNCTION("""COMPUTED_VALUE"""),43293.0)</f>
        <v>43293</v>
      </c>
      <c r="K3095" s="176">
        <f>IFERROR(__xludf.DUMMYFUNCTION("""COMPUTED_VALUE"""),5.0)</f>
        <v>5</v>
      </c>
      <c r="L3095" s="176">
        <f>IFERROR(__xludf.DUMMYFUNCTION("""COMPUTED_VALUE"""),10.0)</f>
        <v>10</v>
      </c>
      <c r="M3095" s="176">
        <f>IFERROR(__xludf.DUMMYFUNCTION("""COMPUTED_VALUE"""),15.0)</f>
        <v>15</v>
      </c>
      <c r="N3095" s="177" t="str">
        <f>IFERROR(__xludf.DUMMYFUNCTION("""COMPUTED_VALUE"""),"Model 3 LR")</f>
        <v>Model 3 LR</v>
      </c>
      <c r="O3095" s="177" t="str">
        <f>IFERROR(__xludf.DUMMYFUNCTION("""COMPUTED_VALUE"""),"Midnight Silver Metallic")</f>
        <v>Midnight Silver Metallic</v>
      </c>
      <c r="P3095" s="178" t="str">
        <f>IFERROR(__xludf.DUMMYFUNCTION("""COMPUTED_VALUE"""),"18 inch Aero")</f>
        <v>18 inch Aero</v>
      </c>
      <c r="Q3095" s="177" t="str">
        <f>IFERROR(__xludf.DUMMYFUNCTION("""COMPUTED_VALUE"""),"Black seats")</f>
        <v>Black seats</v>
      </c>
      <c r="R3095" s="170" t="str">
        <f>IFERROR(__xludf.DUMMYFUNCTION("""COMPUTED_VALUE"""),"Full Self-Driving")</f>
        <v>Full Self-Driving</v>
      </c>
      <c r="S3095" s="170"/>
      <c r="T3095" s="179"/>
      <c r="U3095" s="179"/>
      <c r="V3095" s="179"/>
      <c r="W3095" s="180"/>
      <c r="X3095" s="181" t="str">
        <f>IFERROR(__xludf.DUMMYFUNCTION("""COMPUTED_VALUE"""),"Excellent")</f>
        <v>Excellent</v>
      </c>
      <c r="Y3095" s="182" t="str">
        <f>IFERROR(__xludf.DUMMYFUNCTION("""COMPUTED_VALUE"""),"Excellent")</f>
        <v>Excellent</v>
      </c>
      <c r="Z3095" s="182" t="str">
        <f>IFERROR(__xludf.DUMMYFUNCTION("""COMPUTED_VALUE"""),"Excellent")</f>
        <v>Excellent</v>
      </c>
      <c r="AA3095" s="182" t="str">
        <f>IFERROR(__xludf.DUMMYFUNCTION("""COMPUTED_VALUE"""),"Excellent")</f>
        <v>Excellent</v>
      </c>
      <c r="AB3095" s="182" t="str">
        <f>IFERROR(__xludf.DUMMYFUNCTION("""COMPUTED_VALUE"""),"Very Good")</f>
        <v>Very Good</v>
      </c>
      <c r="AC3095" s="183"/>
      <c r="AD3095" s="183"/>
      <c r="AE3095" s="183"/>
      <c r="AF3095" s="184"/>
      <c r="AG3095" s="180"/>
      <c r="AH3095" s="185">
        <f>IFERROR(__xludf.DUMMYFUNCTION("""COMPUTED_VALUE"""),43294.29932634259)</f>
        <v>43294.29933</v>
      </c>
      <c r="AI3095" s="182"/>
      <c r="AJ3095" s="182"/>
      <c r="AK3095" s="182"/>
      <c r="AL3095" s="182"/>
    </row>
    <row r="3096" ht="20.25" customHeight="1">
      <c r="A3096" s="169" t="str">
        <f>IFERROR(__xludf.DUMMYFUNCTION("""COMPUTED_VALUE"""),"jbwags")</f>
        <v>jbwags</v>
      </c>
      <c r="B3096" s="170" t="str">
        <f>IFERROR(__xludf.DUMMYFUNCTION("""COMPUTED_VALUE"""),"Alexandria")</f>
        <v>Alexandria</v>
      </c>
      <c r="C3096" s="170" t="str">
        <f>IFERROR(__xludf.DUMMYFUNCTION("""COMPUTED_VALUE"""),"VA")</f>
        <v>VA</v>
      </c>
      <c r="D3096" s="170" t="str">
        <f>IFERROR(__xludf.DUMMYFUNCTION("""COMPUTED_VALUE"""),"USA")</f>
        <v>USA</v>
      </c>
      <c r="E3096" s="171">
        <f>IFERROR(__xludf.DUMMYFUNCTION("""COMPUTED_VALUE"""),43278.0)</f>
        <v>43278</v>
      </c>
      <c r="F3096" s="172">
        <f>IFERROR(__xludf.DUMMYFUNCTION("""COMPUTED_VALUE"""),43358.0)</f>
        <v>43358</v>
      </c>
      <c r="G3096" s="173"/>
      <c r="H3096" s="174">
        <f>IFERROR(__xludf.DUMMYFUNCTION("""COMPUTED_VALUE"""),97355.0)</f>
        <v>97355</v>
      </c>
      <c r="I3096" s="175"/>
      <c r="J3096" s="172">
        <f>IFERROR(__xludf.DUMMYFUNCTION("""COMPUTED_VALUE"""),43365.0)</f>
        <v>43365</v>
      </c>
      <c r="K3096" s="176">
        <f>IFERROR(__xludf.DUMMYFUNCTION("""COMPUTED_VALUE"""),80.0)</f>
        <v>80</v>
      </c>
      <c r="L3096" s="176">
        <f>IFERROR(__xludf.DUMMYFUNCTION("""COMPUTED_VALUE"""),7.0)</f>
        <v>7</v>
      </c>
      <c r="M3096" s="176">
        <f>IFERROR(__xludf.DUMMYFUNCTION("""COMPUTED_VALUE"""),87.0)</f>
        <v>87</v>
      </c>
      <c r="N3096" s="177" t="str">
        <f>IFERROR(__xludf.DUMMYFUNCTION("""COMPUTED_VALUE"""),"Model 3 LR AWD")</f>
        <v>Model 3 LR AWD</v>
      </c>
      <c r="O3096" s="177" t="str">
        <f>IFERROR(__xludf.DUMMYFUNCTION("""COMPUTED_VALUE"""),"Red Multi-Coat")</f>
        <v>Red Multi-Coat</v>
      </c>
      <c r="P3096" s="178" t="str">
        <f>IFERROR(__xludf.DUMMYFUNCTION("""COMPUTED_VALUE"""),"19 inch Sport")</f>
        <v>19 inch Sport</v>
      </c>
      <c r="Q3096" s="177" t="str">
        <f>IFERROR(__xludf.DUMMYFUNCTION("""COMPUTED_VALUE"""),"White seats")</f>
        <v>White seats</v>
      </c>
      <c r="R3096" s="170" t="str">
        <f>IFERROR(__xludf.DUMMYFUNCTION("""COMPUTED_VALUE"""),"Full Self-Driving")</f>
        <v>Full Self-Driving</v>
      </c>
      <c r="S3096" s="170"/>
      <c r="T3096" s="179"/>
      <c r="U3096" s="179"/>
      <c r="V3096" s="179"/>
      <c r="W3096" s="180"/>
      <c r="X3096" s="181" t="str">
        <f>IFERROR(__xludf.DUMMYFUNCTION("""COMPUTED_VALUE"""),"Excellent")</f>
        <v>Excellent</v>
      </c>
      <c r="Y3096" s="182" t="str">
        <f>IFERROR(__xludf.DUMMYFUNCTION("""COMPUTED_VALUE"""),"Excellent")</f>
        <v>Excellent</v>
      </c>
      <c r="Z3096" s="182" t="str">
        <f>IFERROR(__xludf.DUMMYFUNCTION("""COMPUTED_VALUE"""),"Very Good")</f>
        <v>Very Good</v>
      </c>
      <c r="AA3096" s="182" t="str">
        <f>IFERROR(__xludf.DUMMYFUNCTION("""COMPUTED_VALUE"""),"Good")</f>
        <v>Good</v>
      </c>
      <c r="AB3096" s="182" t="str">
        <f>IFERROR(__xludf.DUMMYFUNCTION("""COMPUTED_VALUE"""),"Very Good")</f>
        <v>Very Good</v>
      </c>
      <c r="AC3096" s="183">
        <f>IFERROR(__xludf.DUMMYFUNCTION("""COMPUTED_VALUE"""),2.0)</f>
        <v>2</v>
      </c>
      <c r="AD3096" s="183"/>
      <c r="AE3096" s="183"/>
      <c r="AF3096" s="184"/>
      <c r="AG3096" s="180"/>
      <c r="AH3096" s="185">
        <f>IFERROR(__xludf.DUMMYFUNCTION("""COMPUTED_VALUE"""),43369.29545591435)</f>
        <v>43369.29546</v>
      </c>
      <c r="AI3096" s="182"/>
      <c r="AJ3096" s="182"/>
      <c r="AK3096" s="182"/>
      <c r="AL3096" s="182"/>
    </row>
    <row r="3097" ht="20.25" customHeight="1">
      <c r="A3097" s="169" t="str">
        <f>IFERROR(__xludf.DUMMYFUNCTION("""COMPUTED_VALUE"""),"Jclark")</f>
        <v>Jclark</v>
      </c>
      <c r="B3097" s="170" t="str">
        <f>IFERROR(__xludf.DUMMYFUNCTION("""COMPUTED_VALUE"""),"Austin")</f>
        <v>Austin</v>
      </c>
      <c r="C3097" s="170" t="str">
        <f>IFERROR(__xludf.DUMMYFUNCTION("""COMPUTED_VALUE"""),"TX")</f>
        <v>TX</v>
      </c>
      <c r="D3097" s="170" t="str">
        <f>IFERROR(__xludf.DUMMYFUNCTION("""COMPUTED_VALUE"""),"USA")</f>
        <v>USA</v>
      </c>
      <c r="E3097" s="171">
        <f>IFERROR(__xludf.DUMMYFUNCTION("""COMPUTED_VALUE"""),43278.0)</f>
        <v>43278</v>
      </c>
      <c r="F3097" s="172">
        <f>IFERROR(__xludf.DUMMYFUNCTION("""COMPUTED_VALUE"""),43286.0)</f>
        <v>43286</v>
      </c>
      <c r="G3097" s="173"/>
      <c r="H3097" s="174">
        <f>IFERROR(__xludf.DUMMYFUNCTION("""COMPUTED_VALUE"""),48355.0)</f>
        <v>48355</v>
      </c>
      <c r="I3097" s="175"/>
      <c r="J3097" s="172">
        <f>IFERROR(__xludf.DUMMYFUNCTION("""COMPUTED_VALUE"""),43307.0)</f>
        <v>43307</v>
      </c>
      <c r="K3097" s="176">
        <f>IFERROR(__xludf.DUMMYFUNCTION("""COMPUTED_VALUE"""),8.0)</f>
        <v>8</v>
      </c>
      <c r="L3097" s="176">
        <f>IFERROR(__xludf.DUMMYFUNCTION("""COMPUTED_VALUE"""),21.0)</f>
        <v>21</v>
      </c>
      <c r="M3097" s="176">
        <f>IFERROR(__xludf.DUMMYFUNCTION("""COMPUTED_VALUE"""),29.0)</f>
        <v>29</v>
      </c>
      <c r="N3097" s="177" t="str">
        <f>IFERROR(__xludf.DUMMYFUNCTION("""COMPUTED_VALUE"""),"Model 3 LR")</f>
        <v>Model 3 LR</v>
      </c>
      <c r="O3097" s="177" t="str">
        <f>IFERROR(__xludf.DUMMYFUNCTION("""COMPUTED_VALUE"""),"Silver Metallic")</f>
        <v>Silver Metallic</v>
      </c>
      <c r="P3097" s="178" t="str">
        <f>IFERROR(__xludf.DUMMYFUNCTION("""COMPUTED_VALUE"""),"19 inch Sport")</f>
        <v>19 inch Sport</v>
      </c>
      <c r="Q3097" s="177" t="str">
        <f>IFERROR(__xludf.DUMMYFUNCTION("""COMPUTED_VALUE"""),"Black seats")</f>
        <v>Black seats</v>
      </c>
      <c r="R3097" s="170" t="str">
        <f>IFERROR(__xludf.DUMMYFUNCTION("""COMPUTED_VALUE"""),"Full Self-Driving")</f>
        <v>Full Self-Driving</v>
      </c>
      <c r="S3097" s="170"/>
      <c r="T3097" s="179"/>
      <c r="U3097" s="179"/>
      <c r="V3097" s="179"/>
      <c r="W3097" s="180"/>
      <c r="X3097" s="181" t="str">
        <f>IFERROR(__xludf.DUMMYFUNCTION("""COMPUTED_VALUE"""),"Excellent")</f>
        <v>Excellent</v>
      </c>
      <c r="Y3097" s="182" t="str">
        <f>IFERROR(__xludf.DUMMYFUNCTION("""COMPUTED_VALUE"""),"Very Good")</f>
        <v>Very Good</v>
      </c>
      <c r="Z3097" s="182" t="str">
        <f>IFERROR(__xludf.DUMMYFUNCTION("""COMPUTED_VALUE"""),"Good")</f>
        <v>Good</v>
      </c>
      <c r="AA3097" s="182" t="str">
        <f>IFERROR(__xludf.DUMMYFUNCTION("""COMPUTED_VALUE"""),"Very Good")</f>
        <v>Very Good</v>
      </c>
      <c r="AB3097" s="182" t="str">
        <f>IFERROR(__xludf.DUMMYFUNCTION("""COMPUTED_VALUE"""),"Very Good")</f>
        <v>Very Good</v>
      </c>
      <c r="AC3097" s="183"/>
      <c r="AD3097" s="183"/>
      <c r="AE3097" s="183"/>
      <c r="AF3097" s="184"/>
      <c r="AG3097" s="180"/>
      <c r="AH3097" s="185">
        <f>IFERROR(__xludf.DUMMYFUNCTION("""COMPUTED_VALUE"""),43309.18242634259)</f>
        <v>43309.18243</v>
      </c>
      <c r="AI3097" s="182"/>
      <c r="AJ3097" s="182"/>
      <c r="AK3097" s="182"/>
      <c r="AL3097" s="182"/>
    </row>
    <row r="3098" ht="20.25" customHeight="1">
      <c r="A3098" s="169" t="str">
        <f>IFERROR(__xludf.DUMMYFUNCTION("""COMPUTED_VALUE"""),"jdaigle")</f>
        <v>jdaigle</v>
      </c>
      <c r="B3098" s="170" t="str">
        <f>IFERROR(__xludf.DUMMYFUNCTION("""COMPUTED_VALUE"""),"Boston")</f>
        <v>Boston</v>
      </c>
      <c r="C3098" s="170" t="str">
        <f>IFERROR(__xludf.DUMMYFUNCTION("""COMPUTED_VALUE"""),"MA")</f>
        <v>MA</v>
      </c>
      <c r="D3098" s="170" t="str">
        <f>IFERROR(__xludf.DUMMYFUNCTION("""COMPUTED_VALUE"""),"USA")</f>
        <v>USA</v>
      </c>
      <c r="E3098" s="171">
        <f>IFERROR(__xludf.DUMMYFUNCTION("""COMPUTED_VALUE"""),43278.0)</f>
        <v>43278</v>
      </c>
      <c r="F3098" s="172">
        <f>IFERROR(__xludf.DUMMYFUNCTION("""COMPUTED_VALUE"""),43283.0)</f>
        <v>43283</v>
      </c>
      <c r="G3098" s="173"/>
      <c r="H3098" s="174">
        <f>IFERROR(__xludf.DUMMYFUNCTION("""COMPUTED_VALUE"""),26150.0)</f>
        <v>26150</v>
      </c>
      <c r="I3098" s="175"/>
      <c r="J3098" s="172">
        <f>IFERROR(__xludf.DUMMYFUNCTION("""COMPUTED_VALUE"""),43293.0)</f>
        <v>43293</v>
      </c>
      <c r="K3098" s="176">
        <f>IFERROR(__xludf.DUMMYFUNCTION("""COMPUTED_VALUE"""),5.0)</f>
        <v>5</v>
      </c>
      <c r="L3098" s="176">
        <f>IFERROR(__xludf.DUMMYFUNCTION("""COMPUTED_VALUE"""),10.0)</f>
        <v>10</v>
      </c>
      <c r="M3098" s="176">
        <f>IFERROR(__xludf.DUMMYFUNCTION("""COMPUTED_VALUE"""),15.0)</f>
        <v>15</v>
      </c>
      <c r="N3098" s="177" t="str">
        <f>IFERROR(__xludf.DUMMYFUNCTION("""COMPUTED_VALUE"""),"Model 3 LR")</f>
        <v>Model 3 LR</v>
      </c>
      <c r="O3098" s="177" t="str">
        <f>IFERROR(__xludf.DUMMYFUNCTION("""COMPUTED_VALUE"""),"Deep Blue Metallic")</f>
        <v>Deep Blue Metallic</v>
      </c>
      <c r="P3098" s="178" t="str">
        <f>IFERROR(__xludf.DUMMYFUNCTION("""COMPUTED_VALUE"""),"18 inch Aero")</f>
        <v>18 inch Aero</v>
      </c>
      <c r="Q3098" s="177" t="str">
        <f>IFERROR(__xludf.DUMMYFUNCTION("""COMPUTED_VALUE"""),"Black seats")</f>
        <v>Black seats</v>
      </c>
      <c r="R3098" s="170" t="str">
        <f>IFERROR(__xludf.DUMMYFUNCTION("""COMPUTED_VALUE"""),"Enhanced Autopilot")</f>
        <v>Enhanced Autopilot</v>
      </c>
      <c r="S3098" s="170"/>
      <c r="T3098" s="179"/>
      <c r="U3098" s="179"/>
      <c r="V3098" s="179"/>
      <c r="W3098" s="180"/>
      <c r="X3098" s="181" t="str">
        <f>IFERROR(__xludf.DUMMYFUNCTION("""COMPUTED_VALUE"""),"Excellent")</f>
        <v>Excellent</v>
      </c>
      <c r="Y3098" s="182" t="str">
        <f>IFERROR(__xludf.DUMMYFUNCTION("""COMPUTED_VALUE"""),"Excellent")</f>
        <v>Excellent</v>
      </c>
      <c r="Z3098" s="182" t="str">
        <f>IFERROR(__xludf.DUMMYFUNCTION("""COMPUTED_VALUE"""),"Very Good")</f>
        <v>Very Good</v>
      </c>
      <c r="AA3098" s="182" t="str">
        <f>IFERROR(__xludf.DUMMYFUNCTION("""COMPUTED_VALUE"""),"Good")</f>
        <v>Good</v>
      </c>
      <c r="AB3098" s="182" t="str">
        <f>IFERROR(__xludf.DUMMYFUNCTION("""COMPUTED_VALUE"""),"Excellent")</f>
        <v>Excellent</v>
      </c>
      <c r="AC3098" s="183"/>
      <c r="AD3098" s="183"/>
      <c r="AE3098" s="183"/>
      <c r="AF3098" s="184"/>
      <c r="AG3098" s="180"/>
      <c r="AH3098" s="185">
        <f>IFERROR(__xludf.DUMMYFUNCTION("""COMPUTED_VALUE"""),43294.22818233797)</f>
        <v>43294.22818</v>
      </c>
      <c r="AI3098" s="182"/>
      <c r="AJ3098" s="182"/>
      <c r="AK3098" s="182"/>
      <c r="AL3098" s="182"/>
    </row>
    <row r="3099" ht="20.25" customHeight="1">
      <c r="A3099" s="169" t="str">
        <f>IFERROR(__xludf.DUMMYFUNCTION("""COMPUTED_VALUE"""),"jeffer")</f>
        <v>jeffer</v>
      </c>
      <c r="B3099" s="170" t="str">
        <f>IFERROR(__xludf.DUMMYFUNCTION("""COMPUTED_VALUE"""),"SoCal")</f>
        <v>SoCal</v>
      </c>
      <c r="C3099" s="170" t="str">
        <f>IFERROR(__xludf.DUMMYFUNCTION("""COMPUTED_VALUE"""),"CA")</f>
        <v>CA</v>
      </c>
      <c r="D3099" s="170" t="str">
        <f>IFERROR(__xludf.DUMMYFUNCTION("""COMPUTED_VALUE"""),"USA")</f>
        <v>USA</v>
      </c>
      <c r="E3099" s="171">
        <f>IFERROR(__xludf.DUMMYFUNCTION("""COMPUTED_VALUE"""),43278.0)</f>
        <v>43278</v>
      </c>
      <c r="F3099" s="172">
        <f>IFERROR(__xludf.DUMMYFUNCTION("""COMPUTED_VALUE"""),43341.0)</f>
        <v>43341</v>
      </c>
      <c r="G3099" s="173"/>
      <c r="H3099" s="174">
        <f>IFERROR(__xludf.DUMMYFUNCTION("""COMPUTED_VALUE"""),72255.0)</f>
        <v>72255</v>
      </c>
      <c r="I3099" s="175"/>
      <c r="J3099" s="172">
        <f>IFERROR(__xludf.DUMMYFUNCTION("""COMPUTED_VALUE"""),43345.0)</f>
        <v>43345</v>
      </c>
      <c r="K3099" s="176">
        <f>IFERROR(__xludf.DUMMYFUNCTION("""COMPUTED_VALUE"""),63.0)</f>
        <v>63</v>
      </c>
      <c r="L3099" s="176">
        <f>IFERROR(__xludf.DUMMYFUNCTION("""COMPUTED_VALUE"""),4.0)</f>
        <v>4</v>
      </c>
      <c r="M3099" s="176">
        <f>IFERROR(__xludf.DUMMYFUNCTION("""COMPUTED_VALUE"""),67.0)</f>
        <v>67</v>
      </c>
      <c r="N3099" s="177" t="str">
        <f>IFERROR(__xludf.DUMMYFUNCTION("""COMPUTED_VALUE"""),"Model 3 Performance")</f>
        <v>Model 3 Performance</v>
      </c>
      <c r="O3099" s="177" t="str">
        <f>IFERROR(__xludf.DUMMYFUNCTION("""COMPUTED_VALUE"""),"Deep Blue Metallic")</f>
        <v>Deep Blue Metallic</v>
      </c>
      <c r="P3099" s="178" t="str">
        <f>IFERROR(__xludf.DUMMYFUNCTION("""COMPUTED_VALUE"""),"20 inch Sport")</f>
        <v>20 inch Sport</v>
      </c>
      <c r="Q3099" s="177" t="str">
        <f>IFERROR(__xludf.DUMMYFUNCTION("""COMPUTED_VALUE"""),"Black seats")</f>
        <v>Black seats</v>
      </c>
      <c r="R3099" s="170" t="str">
        <f>IFERROR(__xludf.DUMMYFUNCTION("""COMPUTED_VALUE"""),"Full Self-Driving")</f>
        <v>Full Self-Driving</v>
      </c>
      <c r="S3099" s="170"/>
      <c r="T3099" s="179"/>
      <c r="U3099" s="179"/>
      <c r="V3099" s="179"/>
      <c r="W3099" s="180"/>
      <c r="X3099" s="181" t="str">
        <f>IFERROR(__xludf.DUMMYFUNCTION("""COMPUTED_VALUE"""),"Excellent")</f>
        <v>Excellent</v>
      </c>
      <c r="Y3099" s="182" t="str">
        <f>IFERROR(__xludf.DUMMYFUNCTION("""COMPUTED_VALUE"""),"Excellent")</f>
        <v>Excellent</v>
      </c>
      <c r="Z3099" s="182" t="str">
        <f>IFERROR(__xludf.DUMMYFUNCTION("""COMPUTED_VALUE"""),"Very Good")</f>
        <v>Very Good</v>
      </c>
      <c r="AA3099" s="182" t="str">
        <f>IFERROR(__xludf.DUMMYFUNCTION("""COMPUTED_VALUE"""),"Excellent")</f>
        <v>Excellent</v>
      </c>
      <c r="AB3099" s="182" t="str">
        <f>IFERROR(__xludf.DUMMYFUNCTION("""COMPUTED_VALUE"""),"Excellent")</f>
        <v>Excellent</v>
      </c>
      <c r="AC3099" s="183">
        <f>IFERROR(__xludf.DUMMYFUNCTION("""COMPUTED_VALUE"""),1.0)</f>
        <v>1</v>
      </c>
      <c r="AD3099" s="183">
        <f>IFERROR(__xludf.DUMMYFUNCTION("""COMPUTED_VALUE"""),1.0)</f>
        <v>1</v>
      </c>
      <c r="AE3099" s="183"/>
      <c r="AF3099" s="184"/>
      <c r="AG3099" s="180"/>
      <c r="AH3099" s="185">
        <f>IFERROR(__xludf.DUMMYFUNCTION("""COMPUTED_VALUE"""),43349.666086875004)</f>
        <v>43349.66609</v>
      </c>
      <c r="AI3099" s="182"/>
      <c r="AJ3099" s="182"/>
      <c r="AK3099" s="182"/>
      <c r="AL3099" s="182"/>
    </row>
    <row r="3100" ht="20.25" customHeight="1">
      <c r="A3100" s="169" t="str">
        <f>IFERROR(__xludf.DUMMYFUNCTION("""COMPUTED_VALUE"""),"Jjarmoc")</f>
        <v>Jjarmoc</v>
      </c>
      <c r="B3100" s="170" t="str">
        <f>IFERROR(__xludf.DUMMYFUNCTION("""COMPUTED_VALUE"""),"chicago")</f>
        <v>chicago</v>
      </c>
      <c r="C3100" s="170" t="str">
        <f>IFERROR(__xludf.DUMMYFUNCTION("""COMPUTED_VALUE"""),"IL")</f>
        <v>IL</v>
      </c>
      <c r="D3100" s="170" t="str">
        <f>IFERROR(__xludf.DUMMYFUNCTION("""COMPUTED_VALUE"""),"USA")</f>
        <v>USA</v>
      </c>
      <c r="E3100" s="171">
        <f>IFERROR(__xludf.DUMMYFUNCTION("""COMPUTED_VALUE"""),43278.0)</f>
        <v>43278</v>
      </c>
      <c r="F3100" s="172">
        <f>IFERROR(__xludf.DUMMYFUNCTION("""COMPUTED_VALUE"""),43286.0)</f>
        <v>43286</v>
      </c>
      <c r="G3100" s="173"/>
      <c r="H3100" s="174">
        <f>IFERROR(__xludf.DUMMYFUNCTION("""COMPUTED_VALUE"""),27855.0)</f>
        <v>27855</v>
      </c>
      <c r="I3100" s="175" t="str">
        <f>IFERROR(__xludf.DUMMYFUNCTION("""COMPUTED_VALUE"""),"06/18")</f>
        <v>06/18</v>
      </c>
      <c r="J3100" s="172">
        <f>IFERROR(__xludf.DUMMYFUNCTION("""COMPUTED_VALUE"""),43292.0)</f>
        <v>43292</v>
      </c>
      <c r="K3100" s="176">
        <f>IFERROR(__xludf.DUMMYFUNCTION("""COMPUTED_VALUE"""),8.0)</f>
        <v>8</v>
      </c>
      <c r="L3100" s="176">
        <f>IFERROR(__xludf.DUMMYFUNCTION("""COMPUTED_VALUE"""),6.0)</f>
        <v>6</v>
      </c>
      <c r="M3100" s="176">
        <f>IFERROR(__xludf.DUMMYFUNCTION("""COMPUTED_VALUE"""),14.0)</f>
        <v>14</v>
      </c>
      <c r="N3100" s="177" t="str">
        <f>IFERROR(__xludf.DUMMYFUNCTION("""COMPUTED_VALUE"""),"Model 3 LR")</f>
        <v>Model 3 LR</v>
      </c>
      <c r="O3100" s="177" t="str">
        <f>IFERROR(__xludf.DUMMYFUNCTION("""COMPUTED_VALUE"""),"Midnight Silver Metallic")</f>
        <v>Midnight Silver Metallic</v>
      </c>
      <c r="P3100" s="178" t="str">
        <f>IFERROR(__xludf.DUMMYFUNCTION("""COMPUTED_VALUE"""),"19 inch Sport")</f>
        <v>19 inch Sport</v>
      </c>
      <c r="Q3100" s="177" t="str">
        <f>IFERROR(__xludf.DUMMYFUNCTION("""COMPUTED_VALUE"""),"Black seats")</f>
        <v>Black seats</v>
      </c>
      <c r="R3100" s="170" t="str">
        <f>IFERROR(__xludf.DUMMYFUNCTION("""COMPUTED_VALUE"""),"Enhanced Autopilot")</f>
        <v>Enhanced Autopilot</v>
      </c>
      <c r="S3100" s="170"/>
      <c r="T3100" s="179"/>
      <c r="U3100" s="179"/>
      <c r="V3100" s="179"/>
      <c r="W3100" s="180"/>
      <c r="X3100" s="181" t="str">
        <f>IFERROR(__xludf.DUMMYFUNCTION("""COMPUTED_VALUE"""),"Excellent")</f>
        <v>Excellent</v>
      </c>
      <c r="Y3100" s="182" t="str">
        <f>IFERROR(__xludf.DUMMYFUNCTION("""COMPUTED_VALUE"""),"Excellent")</f>
        <v>Excellent</v>
      </c>
      <c r="Z3100" s="182" t="str">
        <f>IFERROR(__xludf.DUMMYFUNCTION("""COMPUTED_VALUE"""),"Excellent")</f>
        <v>Excellent</v>
      </c>
      <c r="AA3100" s="182" t="str">
        <f>IFERROR(__xludf.DUMMYFUNCTION("""COMPUTED_VALUE"""),"Very Good")</f>
        <v>Very Good</v>
      </c>
      <c r="AB3100" s="182" t="str">
        <f>IFERROR(__xludf.DUMMYFUNCTION("""COMPUTED_VALUE"""),"Very Good")</f>
        <v>Very Good</v>
      </c>
      <c r="AC3100" s="183"/>
      <c r="AD3100" s="183"/>
      <c r="AE3100" s="183"/>
      <c r="AF3100" s="184"/>
      <c r="AG3100" s="180"/>
      <c r="AH3100" s="185">
        <f>IFERROR(__xludf.DUMMYFUNCTION("""COMPUTED_VALUE"""),43297.60599087963)</f>
        <v>43297.60599</v>
      </c>
      <c r="AI3100" s="182"/>
      <c r="AJ3100" s="182"/>
      <c r="AK3100" s="182"/>
      <c r="AL3100" s="182"/>
    </row>
    <row r="3101" ht="20.25" customHeight="1">
      <c r="A3101" s="169" t="str">
        <f>IFERROR(__xludf.DUMMYFUNCTION("""COMPUTED_VALUE"""),"jnelson")</f>
        <v>jnelson</v>
      </c>
      <c r="B3101" s="170"/>
      <c r="C3101" s="170" t="str">
        <f>IFERROR(__xludf.DUMMYFUNCTION("""COMPUTED_VALUE"""),"MA")</f>
        <v>MA</v>
      </c>
      <c r="D3101" s="170" t="str">
        <f>IFERROR(__xludf.DUMMYFUNCTION("""COMPUTED_VALUE"""),"USA")</f>
        <v>USA</v>
      </c>
      <c r="E3101" s="171">
        <f>IFERROR(__xludf.DUMMYFUNCTION("""COMPUTED_VALUE"""),43278.0)</f>
        <v>43278</v>
      </c>
      <c r="F3101" s="172">
        <f>IFERROR(__xludf.DUMMYFUNCTION("""COMPUTED_VALUE"""),43327.0)</f>
        <v>43327</v>
      </c>
      <c r="G3101" s="173"/>
      <c r="H3101" s="174">
        <f>IFERROR(__xludf.DUMMYFUNCTION("""COMPUTED_VALUE"""),66155.0)</f>
        <v>66155</v>
      </c>
      <c r="I3101" s="175" t="str">
        <f>IFERROR(__xludf.DUMMYFUNCTION("""COMPUTED_VALUE"""),"08/18")</f>
        <v>08/18</v>
      </c>
      <c r="J3101" s="172">
        <f>IFERROR(__xludf.DUMMYFUNCTION("""COMPUTED_VALUE"""),43357.0)</f>
        <v>43357</v>
      </c>
      <c r="K3101" s="176">
        <f>IFERROR(__xludf.DUMMYFUNCTION("""COMPUTED_VALUE"""),49.0)</f>
        <v>49</v>
      </c>
      <c r="L3101" s="176">
        <f>IFERROR(__xludf.DUMMYFUNCTION("""COMPUTED_VALUE"""),30.0)</f>
        <v>30</v>
      </c>
      <c r="M3101" s="176">
        <f>IFERROR(__xludf.DUMMYFUNCTION("""COMPUTED_VALUE"""),79.0)</f>
        <v>79</v>
      </c>
      <c r="N3101" s="177" t="str">
        <f>IFERROR(__xludf.DUMMYFUNCTION("""COMPUTED_VALUE"""),"Model 3 LR AWD")</f>
        <v>Model 3 LR AWD</v>
      </c>
      <c r="O3101" s="177" t="str">
        <f>IFERROR(__xludf.DUMMYFUNCTION("""COMPUTED_VALUE"""),"Midnight Silver Metallic")</f>
        <v>Midnight Silver Metallic</v>
      </c>
      <c r="P3101" s="178" t="str">
        <f>IFERROR(__xludf.DUMMYFUNCTION("""COMPUTED_VALUE"""),"18 inch Aero")</f>
        <v>18 inch Aero</v>
      </c>
      <c r="Q3101" s="177" t="str">
        <f>IFERROR(__xludf.DUMMYFUNCTION("""COMPUTED_VALUE"""),"Black seats")</f>
        <v>Black seats</v>
      </c>
      <c r="R3101" s="170" t="str">
        <f>IFERROR(__xludf.DUMMYFUNCTION("""COMPUTED_VALUE"""),"None")</f>
        <v>None</v>
      </c>
      <c r="S3101" s="170"/>
      <c r="T3101" s="179"/>
      <c r="U3101" s="179"/>
      <c r="V3101" s="179"/>
      <c r="W3101" s="180"/>
      <c r="X3101" s="181" t="str">
        <f>IFERROR(__xludf.DUMMYFUNCTION("""COMPUTED_VALUE"""),"Excellent")</f>
        <v>Excellent</v>
      </c>
      <c r="Y3101" s="182" t="str">
        <f>IFERROR(__xludf.DUMMYFUNCTION("""COMPUTED_VALUE"""),"Very Good")</f>
        <v>Very Good</v>
      </c>
      <c r="Z3101" s="182" t="str">
        <f>IFERROR(__xludf.DUMMYFUNCTION("""COMPUTED_VALUE"""),"Excellent")</f>
        <v>Excellent</v>
      </c>
      <c r="AA3101" s="182" t="str">
        <f>IFERROR(__xludf.DUMMYFUNCTION("""COMPUTED_VALUE"""),"Fair")</f>
        <v>Fair</v>
      </c>
      <c r="AB3101" s="182" t="str">
        <f>IFERROR(__xludf.DUMMYFUNCTION("""COMPUTED_VALUE"""),"Poor")</f>
        <v>Poor</v>
      </c>
      <c r="AC3101" s="183">
        <f>IFERROR(__xludf.DUMMYFUNCTION("""COMPUTED_VALUE"""),1.0)</f>
        <v>1</v>
      </c>
      <c r="AD3101" s="183">
        <f>IFERROR(__xludf.DUMMYFUNCTION("""COMPUTED_VALUE"""),2.0)</f>
        <v>2</v>
      </c>
      <c r="AE3101" s="183">
        <f>IFERROR(__xludf.DUMMYFUNCTION("""COMPUTED_VALUE"""),7.0)</f>
        <v>7</v>
      </c>
      <c r="AF3101" s="184"/>
      <c r="AG3101" s="180" t="str">
        <f>IFERROR(__xludf.DUMMYFUNCTION("""COMPUTED_VALUE"""),"Tesla canceled first delivery appointment scheduled for 9/8 saying the car's ECU needed to be replaced, they called again and scheduled a pickup 9/12, but when got their car was still not ready, I called each day until 9/14 when they said it was finally r"&amp;"eady and I picked it up")</f>
        <v>Tesla canceled first delivery appointment scheduled for 9/8 saying the car's ECU needed to be replaced, they called again and scheduled a pickup 9/12, but when got their car was still not ready, I called each day until 9/14 when they said it was finally ready and I picked it up</v>
      </c>
      <c r="AH3101" s="185">
        <f>IFERROR(__xludf.DUMMYFUNCTION("""COMPUTED_VALUE"""),43357.737871944446)</f>
        <v>43357.73787</v>
      </c>
      <c r="AI3101" s="182"/>
      <c r="AJ3101" s="182"/>
      <c r="AK3101" s="182"/>
      <c r="AL3101" s="182"/>
    </row>
    <row r="3102" ht="20.25" customHeight="1">
      <c r="A3102" s="169" t="str">
        <f>IFERROR(__xludf.DUMMYFUNCTION("""COMPUTED_VALUE"""),"Joe.lynn.atp")</f>
        <v>Joe.lynn.atp</v>
      </c>
      <c r="B3102" s="170" t="str">
        <f>IFERROR(__xludf.DUMMYFUNCTION("""COMPUTED_VALUE"""),"Devon")</f>
        <v>Devon</v>
      </c>
      <c r="C3102" s="170" t="str">
        <f>IFERROR(__xludf.DUMMYFUNCTION("""COMPUTED_VALUE"""),"PA")</f>
        <v>PA</v>
      </c>
      <c r="D3102" s="170" t="str">
        <f>IFERROR(__xludf.DUMMYFUNCTION("""COMPUTED_VALUE"""),"USA")</f>
        <v>USA</v>
      </c>
      <c r="E3102" s="171">
        <f>IFERROR(__xludf.DUMMYFUNCTION("""COMPUTED_VALUE"""),43278.0)</f>
        <v>43278</v>
      </c>
      <c r="F3102" s="172">
        <f>IFERROR(__xludf.DUMMYFUNCTION("""COMPUTED_VALUE"""),43343.0)</f>
        <v>43343</v>
      </c>
      <c r="G3102" s="173"/>
      <c r="H3102" s="174">
        <f>IFERROR(__xludf.DUMMYFUNCTION("""COMPUTED_VALUE"""),65095.0)</f>
        <v>65095</v>
      </c>
      <c r="I3102" s="175" t="str">
        <f>IFERROR(__xludf.DUMMYFUNCTION("""COMPUTED_VALUE"""),"08/18")</f>
        <v>08/18</v>
      </c>
      <c r="J3102" s="172">
        <f>IFERROR(__xludf.DUMMYFUNCTION("""COMPUTED_VALUE"""),43349.0)</f>
        <v>43349</v>
      </c>
      <c r="K3102" s="176">
        <f>IFERROR(__xludf.DUMMYFUNCTION("""COMPUTED_VALUE"""),65.0)</f>
        <v>65</v>
      </c>
      <c r="L3102" s="176">
        <f>IFERROR(__xludf.DUMMYFUNCTION("""COMPUTED_VALUE"""),6.0)</f>
        <v>6</v>
      </c>
      <c r="M3102" s="176">
        <f>IFERROR(__xludf.DUMMYFUNCTION("""COMPUTED_VALUE"""),71.0)</f>
        <v>71</v>
      </c>
      <c r="N3102" s="177" t="str">
        <f>IFERROR(__xludf.DUMMYFUNCTION("""COMPUTED_VALUE"""),"Model 3 LR AWD")</f>
        <v>Model 3 LR AWD</v>
      </c>
      <c r="O3102" s="177" t="str">
        <f>IFERROR(__xludf.DUMMYFUNCTION("""COMPUTED_VALUE"""),"Silver Metallic")</f>
        <v>Silver Metallic</v>
      </c>
      <c r="P3102" s="178" t="str">
        <f>IFERROR(__xludf.DUMMYFUNCTION("""COMPUTED_VALUE"""),"18 inch Aero")</f>
        <v>18 inch Aero</v>
      </c>
      <c r="Q3102" s="177" t="str">
        <f>IFERROR(__xludf.DUMMYFUNCTION("""COMPUTED_VALUE"""),"Black seats")</f>
        <v>Black seats</v>
      </c>
      <c r="R3102" s="170" t="str">
        <f>IFERROR(__xludf.DUMMYFUNCTION("""COMPUTED_VALUE"""),"Full Self-Driving")</f>
        <v>Full Self-Driving</v>
      </c>
      <c r="S3102" s="170"/>
      <c r="T3102" s="179"/>
      <c r="U3102" s="179"/>
      <c r="V3102" s="179"/>
      <c r="W3102" s="180"/>
      <c r="X3102" s="181" t="str">
        <f>IFERROR(__xludf.DUMMYFUNCTION("""COMPUTED_VALUE"""),"Excellent")</f>
        <v>Excellent</v>
      </c>
      <c r="Y3102" s="182" t="str">
        <f>IFERROR(__xludf.DUMMYFUNCTION("""COMPUTED_VALUE"""),"Excellent")</f>
        <v>Excellent</v>
      </c>
      <c r="Z3102" s="182" t="str">
        <f>IFERROR(__xludf.DUMMYFUNCTION("""COMPUTED_VALUE"""),"Very Good")</f>
        <v>Very Good</v>
      </c>
      <c r="AA3102" s="182" t="str">
        <f>IFERROR(__xludf.DUMMYFUNCTION("""COMPUTED_VALUE"""),"Excellent")</f>
        <v>Excellent</v>
      </c>
      <c r="AB3102" s="182" t="str">
        <f>IFERROR(__xludf.DUMMYFUNCTION("""COMPUTED_VALUE"""),"Excellent")</f>
        <v>Excellent</v>
      </c>
      <c r="AC3102" s="183"/>
      <c r="AD3102" s="183"/>
      <c r="AE3102" s="183"/>
      <c r="AF3102" s="184"/>
      <c r="AG3102" s="180"/>
      <c r="AH3102" s="185">
        <f>IFERROR(__xludf.DUMMYFUNCTION("""COMPUTED_VALUE"""),43351.701041608794)</f>
        <v>43351.70104</v>
      </c>
      <c r="AI3102" s="182"/>
      <c r="AJ3102" s="182"/>
      <c r="AK3102" s="182"/>
      <c r="AL3102" s="182"/>
    </row>
    <row r="3103" ht="20.25" customHeight="1">
      <c r="A3103" s="169" t="str">
        <f>IFERROR(__xludf.DUMMYFUNCTION("""COMPUTED_VALUE"""),"JohnM")</f>
        <v>JohnM</v>
      </c>
      <c r="B3103" s="170" t="str">
        <f>IFERROR(__xludf.DUMMYFUNCTION("""COMPUTED_VALUE"""),"Auburn")</f>
        <v>Auburn</v>
      </c>
      <c r="C3103" s="170" t="str">
        <f>IFERROR(__xludf.DUMMYFUNCTION("""COMPUTED_VALUE"""),"CA")</f>
        <v>CA</v>
      </c>
      <c r="D3103" s="170" t="str">
        <f>IFERROR(__xludf.DUMMYFUNCTION("""COMPUTED_VALUE"""),"USA")</f>
        <v>USA</v>
      </c>
      <c r="E3103" s="171">
        <f>IFERROR(__xludf.DUMMYFUNCTION("""COMPUTED_VALUE"""),43278.0)</f>
        <v>43278</v>
      </c>
      <c r="F3103" s="172">
        <f>IFERROR(__xludf.DUMMYFUNCTION("""COMPUTED_VALUE"""),43322.0)</f>
        <v>43322</v>
      </c>
      <c r="G3103" s="173"/>
      <c r="H3103" s="174">
        <f>IFERROR(__xludf.DUMMYFUNCTION("""COMPUTED_VALUE"""),53655.0)</f>
        <v>53655</v>
      </c>
      <c r="I3103" s="175"/>
      <c r="J3103" s="172">
        <f>IFERROR(__xludf.DUMMYFUNCTION("""COMPUTED_VALUE"""),43327.0)</f>
        <v>43327</v>
      </c>
      <c r="K3103" s="176">
        <f>IFERROR(__xludf.DUMMYFUNCTION("""COMPUTED_VALUE"""),44.0)</f>
        <v>44</v>
      </c>
      <c r="L3103" s="176">
        <f>IFERROR(__xludf.DUMMYFUNCTION("""COMPUTED_VALUE"""),5.0)</f>
        <v>5</v>
      </c>
      <c r="M3103" s="176">
        <f>IFERROR(__xludf.DUMMYFUNCTION("""COMPUTED_VALUE"""),49.0)</f>
        <v>49</v>
      </c>
      <c r="N3103" s="177" t="str">
        <f>IFERROR(__xludf.DUMMYFUNCTION("""COMPUTED_VALUE"""),"Model 3 LR")</f>
        <v>Model 3 LR</v>
      </c>
      <c r="O3103" s="177" t="str">
        <f>IFERROR(__xludf.DUMMYFUNCTION("""COMPUTED_VALUE"""),"Obsidian Black Metallic")</f>
        <v>Obsidian Black Metallic</v>
      </c>
      <c r="P3103" s="178" t="str">
        <f>IFERROR(__xludf.DUMMYFUNCTION("""COMPUTED_VALUE"""),"19 inch Sport")</f>
        <v>19 inch Sport</v>
      </c>
      <c r="Q3103" s="177" t="str">
        <f>IFERROR(__xludf.DUMMYFUNCTION("""COMPUTED_VALUE"""),"Black seats")</f>
        <v>Black seats</v>
      </c>
      <c r="R3103" s="170" t="str">
        <f>IFERROR(__xludf.DUMMYFUNCTION("""COMPUTED_VALUE"""),"Enhanced Autopilot")</f>
        <v>Enhanced Autopilot</v>
      </c>
      <c r="S3103" s="170"/>
      <c r="T3103" s="179"/>
      <c r="U3103" s="179"/>
      <c r="V3103" s="179"/>
      <c r="W3103" s="180"/>
      <c r="X3103" s="181" t="str">
        <f>IFERROR(__xludf.DUMMYFUNCTION("""COMPUTED_VALUE"""),"Excellent")</f>
        <v>Excellent</v>
      </c>
      <c r="Y3103" s="182" t="str">
        <f>IFERROR(__xludf.DUMMYFUNCTION("""COMPUTED_VALUE"""),"Excellent")</f>
        <v>Excellent</v>
      </c>
      <c r="Z3103" s="182" t="str">
        <f>IFERROR(__xludf.DUMMYFUNCTION("""COMPUTED_VALUE"""),"Excellent")</f>
        <v>Excellent</v>
      </c>
      <c r="AA3103" s="182" t="str">
        <f>IFERROR(__xludf.DUMMYFUNCTION("""COMPUTED_VALUE"""),"Excellent")</f>
        <v>Excellent</v>
      </c>
      <c r="AB3103" s="182" t="str">
        <f>IFERROR(__xludf.DUMMYFUNCTION("""COMPUTED_VALUE"""),"Excellent")</f>
        <v>Excellent</v>
      </c>
      <c r="AC3103" s="183">
        <f>IFERROR(__xludf.DUMMYFUNCTION("""COMPUTED_VALUE"""),0.0)</f>
        <v>0</v>
      </c>
      <c r="AD3103" s="183">
        <f>IFERROR(__xludf.DUMMYFUNCTION("""COMPUTED_VALUE"""),0.0)</f>
        <v>0</v>
      </c>
      <c r="AE3103" s="183">
        <f>IFERROR(__xludf.DUMMYFUNCTION("""COMPUTED_VALUE"""),0.0)</f>
        <v>0</v>
      </c>
      <c r="AF3103" s="184"/>
      <c r="AG3103" s="180"/>
      <c r="AH3103" s="185">
        <f>IFERROR(__xludf.DUMMYFUNCTION("""COMPUTED_VALUE"""),43327.879723645834)</f>
        <v>43327.87972</v>
      </c>
      <c r="AI3103" s="182"/>
      <c r="AJ3103" s="182"/>
      <c r="AK3103" s="182"/>
      <c r="AL3103" s="182"/>
    </row>
    <row r="3104" ht="20.25" customHeight="1">
      <c r="A3104" s="169" t="str">
        <f>IFERROR(__xludf.DUMMYFUNCTION("""COMPUTED_VALUE"""),"jon330cic")</f>
        <v>jon330cic</v>
      </c>
      <c r="B3104" s="170"/>
      <c r="C3104" s="170" t="str">
        <f>IFERROR(__xludf.DUMMYFUNCTION("""COMPUTED_VALUE"""),"FL")</f>
        <v>FL</v>
      </c>
      <c r="D3104" s="170" t="str">
        <f>IFERROR(__xludf.DUMMYFUNCTION("""COMPUTED_VALUE"""),"USA")</f>
        <v>USA</v>
      </c>
      <c r="E3104" s="171">
        <f>IFERROR(__xludf.DUMMYFUNCTION("""COMPUTED_VALUE"""),43278.0)</f>
        <v>43278</v>
      </c>
      <c r="F3104" s="172">
        <f>IFERROR(__xludf.DUMMYFUNCTION("""COMPUTED_VALUE"""),43280.0)</f>
        <v>43280</v>
      </c>
      <c r="G3104" s="173"/>
      <c r="H3104" s="174">
        <f>IFERROR(__xludf.DUMMYFUNCTION("""COMPUTED_VALUE"""),32855.0)</f>
        <v>32855</v>
      </c>
      <c r="I3104" s="175" t="str">
        <f>IFERROR(__xludf.DUMMYFUNCTION("""COMPUTED_VALUE"""),"06/18")</f>
        <v>06/18</v>
      </c>
      <c r="J3104" s="172">
        <f>IFERROR(__xludf.DUMMYFUNCTION("""COMPUTED_VALUE"""),43292.0)</f>
        <v>43292</v>
      </c>
      <c r="K3104" s="176">
        <f>IFERROR(__xludf.DUMMYFUNCTION("""COMPUTED_VALUE"""),2.0)</f>
        <v>2</v>
      </c>
      <c r="L3104" s="176">
        <f>IFERROR(__xludf.DUMMYFUNCTION("""COMPUTED_VALUE"""),12.0)</f>
        <v>12</v>
      </c>
      <c r="M3104" s="176">
        <f>IFERROR(__xludf.DUMMYFUNCTION("""COMPUTED_VALUE"""),14.0)</f>
        <v>14</v>
      </c>
      <c r="N3104" s="177" t="str">
        <f>IFERROR(__xludf.DUMMYFUNCTION("""COMPUTED_VALUE"""),"Model 3 LR")</f>
        <v>Model 3 LR</v>
      </c>
      <c r="O3104" s="177" t="str">
        <f>IFERROR(__xludf.DUMMYFUNCTION("""COMPUTED_VALUE"""),"Midnight Silver Metallic")</f>
        <v>Midnight Silver Metallic</v>
      </c>
      <c r="P3104" s="178" t="str">
        <f>IFERROR(__xludf.DUMMYFUNCTION("""COMPUTED_VALUE"""),"19 inch Sport")</f>
        <v>19 inch Sport</v>
      </c>
      <c r="Q3104" s="177" t="str">
        <f>IFERROR(__xludf.DUMMYFUNCTION("""COMPUTED_VALUE"""),"Black seats")</f>
        <v>Black seats</v>
      </c>
      <c r="R3104" s="170" t="str">
        <f>IFERROR(__xludf.DUMMYFUNCTION("""COMPUTED_VALUE"""),"Enhanced Autopilot")</f>
        <v>Enhanced Autopilot</v>
      </c>
      <c r="S3104" s="170"/>
      <c r="T3104" s="179"/>
      <c r="U3104" s="179"/>
      <c r="V3104" s="179"/>
      <c r="W3104" s="180"/>
      <c r="X3104" s="181" t="str">
        <f>IFERROR(__xludf.DUMMYFUNCTION("""COMPUTED_VALUE"""),"Excellent")</f>
        <v>Excellent</v>
      </c>
      <c r="Y3104" s="182" t="str">
        <f>IFERROR(__xludf.DUMMYFUNCTION("""COMPUTED_VALUE"""),"Excellent")</f>
        <v>Excellent</v>
      </c>
      <c r="Z3104" s="182" t="str">
        <f>IFERROR(__xludf.DUMMYFUNCTION("""COMPUTED_VALUE"""),"Excellent")</f>
        <v>Excellent</v>
      </c>
      <c r="AA3104" s="182" t="str">
        <f>IFERROR(__xludf.DUMMYFUNCTION("""COMPUTED_VALUE"""),"Very Good")</f>
        <v>Very Good</v>
      </c>
      <c r="AB3104" s="182" t="str">
        <f>IFERROR(__xludf.DUMMYFUNCTION("""COMPUTED_VALUE"""),"Excellent")</f>
        <v>Excellent</v>
      </c>
      <c r="AC3104" s="183">
        <f>IFERROR(__xludf.DUMMYFUNCTION("""COMPUTED_VALUE"""),0.0)</f>
        <v>0</v>
      </c>
      <c r="AD3104" s="183">
        <f>IFERROR(__xludf.DUMMYFUNCTION("""COMPUTED_VALUE"""),0.0)</f>
        <v>0</v>
      </c>
      <c r="AE3104" s="183">
        <f>IFERROR(__xludf.DUMMYFUNCTION("""COMPUTED_VALUE"""),0.0)</f>
        <v>0</v>
      </c>
      <c r="AF3104" s="184"/>
      <c r="AG3104" s="180"/>
      <c r="AH3104" s="185">
        <f>IFERROR(__xludf.DUMMYFUNCTION("""COMPUTED_VALUE"""),43310.446071631945)</f>
        <v>43310.44607</v>
      </c>
      <c r="AI3104" s="182"/>
      <c r="AJ3104" s="182"/>
      <c r="AK3104" s="182"/>
      <c r="AL3104" s="182"/>
    </row>
    <row r="3105" ht="20.25" customHeight="1">
      <c r="A3105" s="169" t="str">
        <f>IFERROR(__xludf.DUMMYFUNCTION("""COMPUTED_VALUE"""),"Joules")</f>
        <v>Joules</v>
      </c>
      <c r="B3105" s="170" t="str">
        <f>IFERROR(__xludf.DUMMYFUNCTION("""COMPUTED_VALUE"""),"Omaha")</f>
        <v>Omaha</v>
      </c>
      <c r="C3105" s="170" t="str">
        <f>IFERROR(__xludf.DUMMYFUNCTION("""COMPUTED_VALUE"""),"NE")</f>
        <v>NE</v>
      </c>
      <c r="D3105" s="170" t="str">
        <f>IFERROR(__xludf.DUMMYFUNCTION("""COMPUTED_VALUE"""),"USA")</f>
        <v>USA</v>
      </c>
      <c r="E3105" s="171">
        <f>IFERROR(__xludf.DUMMYFUNCTION("""COMPUTED_VALUE"""),43278.0)</f>
        <v>43278</v>
      </c>
      <c r="F3105" s="172">
        <f>IFERROR(__xludf.DUMMYFUNCTION("""COMPUTED_VALUE"""),43355.0)</f>
        <v>43355</v>
      </c>
      <c r="G3105" s="173"/>
      <c r="H3105" s="174">
        <f>IFERROR(__xludf.DUMMYFUNCTION("""COMPUTED_VALUE"""),100638.0)</f>
        <v>100638</v>
      </c>
      <c r="I3105" s="175" t="str">
        <f>IFERROR(__xludf.DUMMYFUNCTION("""COMPUTED_VALUE"""),"09/18")</f>
        <v>09/18</v>
      </c>
      <c r="J3105" s="172">
        <f>IFERROR(__xludf.DUMMYFUNCTION("""COMPUTED_VALUE"""),43372.0)</f>
        <v>43372</v>
      </c>
      <c r="K3105" s="176">
        <f>IFERROR(__xludf.DUMMYFUNCTION("""COMPUTED_VALUE"""),77.0)</f>
        <v>77</v>
      </c>
      <c r="L3105" s="176">
        <f>IFERROR(__xludf.DUMMYFUNCTION("""COMPUTED_VALUE"""),17.0)</f>
        <v>17</v>
      </c>
      <c r="M3105" s="176">
        <f>IFERROR(__xludf.DUMMYFUNCTION("""COMPUTED_VALUE"""),94.0)</f>
        <v>94</v>
      </c>
      <c r="N3105" s="177" t="str">
        <f>IFERROR(__xludf.DUMMYFUNCTION("""COMPUTED_VALUE"""),"Model 3 LR AWD")</f>
        <v>Model 3 LR AWD</v>
      </c>
      <c r="O3105" s="177" t="str">
        <f>IFERROR(__xludf.DUMMYFUNCTION("""COMPUTED_VALUE"""),"Red Multi-Coat")</f>
        <v>Red Multi-Coat</v>
      </c>
      <c r="P3105" s="178" t="str">
        <f>IFERROR(__xludf.DUMMYFUNCTION("""COMPUTED_VALUE"""),"19 inch Sport")</f>
        <v>19 inch Sport</v>
      </c>
      <c r="Q3105" s="177" t="str">
        <f>IFERROR(__xludf.DUMMYFUNCTION("""COMPUTED_VALUE"""),"White seats")</f>
        <v>White seats</v>
      </c>
      <c r="R3105" s="170" t="str">
        <f>IFERROR(__xludf.DUMMYFUNCTION("""COMPUTED_VALUE"""),"Enhanced Autopilot")</f>
        <v>Enhanced Autopilot</v>
      </c>
      <c r="S3105" s="170"/>
      <c r="T3105" s="179"/>
      <c r="U3105" s="179"/>
      <c r="V3105" s="179"/>
      <c r="W3105" s="180"/>
      <c r="X3105" s="181" t="str">
        <f>IFERROR(__xludf.DUMMYFUNCTION("""COMPUTED_VALUE"""),"Excellent")</f>
        <v>Excellent</v>
      </c>
      <c r="Y3105" s="182" t="str">
        <f>IFERROR(__xludf.DUMMYFUNCTION("""COMPUTED_VALUE"""),"Excellent")</f>
        <v>Excellent</v>
      </c>
      <c r="Z3105" s="182" t="str">
        <f>IFERROR(__xludf.DUMMYFUNCTION("""COMPUTED_VALUE"""),"Excellent")</f>
        <v>Excellent</v>
      </c>
      <c r="AA3105" s="182" t="str">
        <f>IFERROR(__xludf.DUMMYFUNCTION("""COMPUTED_VALUE"""),"Very Good")</f>
        <v>Very Good</v>
      </c>
      <c r="AB3105" s="182" t="str">
        <f>IFERROR(__xludf.DUMMYFUNCTION("""COMPUTED_VALUE"""),"Good")</f>
        <v>Good</v>
      </c>
      <c r="AC3105" s="183"/>
      <c r="AD3105" s="183"/>
      <c r="AE3105" s="183"/>
      <c r="AF3105" s="184"/>
      <c r="AG3105" s="180"/>
      <c r="AH3105" s="185">
        <f>IFERROR(__xludf.DUMMYFUNCTION("""COMPUTED_VALUE"""),43382.44806792824)</f>
        <v>43382.44807</v>
      </c>
      <c r="AI3105" s="182"/>
      <c r="AJ3105" s="182"/>
      <c r="AK3105" s="182"/>
      <c r="AL3105" s="182"/>
    </row>
    <row r="3106" ht="20.25" customHeight="1">
      <c r="A3106" s="169" t="str">
        <f>IFERROR(__xludf.DUMMYFUNCTION("""COMPUTED_VALUE"""),"jralyn34")</f>
        <v>jralyn34</v>
      </c>
      <c r="B3106" s="170" t="str">
        <f>IFERROR(__xludf.DUMMYFUNCTION("""COMPUTED_VALUE"""),"Madison")</f>
        <v>Madison</v>
      </c>
      <c r="C3106" s="170" t="str">
        <f>IFERROR(__xludf.DUMMYFUNCTION("""COMPUTED_VALUE"""),"WI")</f>
        <v>WI</v>
      </c>
      <c r="D3106" s="170" t="str">
        <f>IFERROR(__xludf.DUMMYFUNCTION("""COMPUTED_VALUE"""),"USA")</f>
        <v>USA</v>
      </c>
      <c r="E3106" s="171">
        <f>IFERROR(__xludf.DUMMYFUNCTION("""COMPUTED_VALUE"""),43278.0)</f>
        <v>43278</v>
      </c>
      <c r="F3106" s="172">
        <f>IFERROR(__xludf.DUMMYFUNCTION("""COMPUTED_VALUE"""),43350.0)</f>
        <v>43350</v>
      </c>
      <c r="G3106" s="173"/>
      <c r="H3106" s="174">
        <f>IFERROR(__xludf.DUMMYFUNCTION("""COMPUTED_VALUE"""),99990.0)</f>
        <v>99990</v>
      </c>
      <c r="I3106" s="175" t="str">
        <f>IFERROR(__xludf.DUMMYFUNCTION("""COMPUTED_VALUE"""),"07/18")</f>
        <v>07/18</v>
      </c>
      <c r="J3106" s="172">
        <f>IFERROR(__xludf.DUMMYFUNCTION("""COMPUTED_VALUE"""),43358.0)</f>
        <v>43358</v>
      </c>
      <c r="K3106" s="176">
        <f>IFERROR(__xludf.DUMMYFUNCTION("""COMPUTED_VALUE"""),72.0)</f>
        <v>72</v>
      </c>
      <c r="L3106" s="176">
        <f>IFERROR(__xludf.DUMMYFUNCTION("""COMPUTED_VALUE"""),8.0)</f>
        <v>8</v>
      </c>
      <c r="M3106" s="176">
        <f>IFERROR(__xludf.DUMMYFUNCTION("""COMPUTED_VALUE"""),80.0)</f>
        <v>80</v>
      </c>
      <c r="N3106" s="177" t="str">
        <f>IFERROR(__xludf.DUMMYFUNCTION("""COMPUTED_VALUE"""),"Model 3 LR AWD")</f>
        <v>Model 3 LR AWD</v>
      </c>
      <c r="O3106" s="177" t="str">
        <f>IFERROR(__xludf.DUMMYFUNCTION("""COMPUTED_VALUE"""),"Pearl White Multi-Coat")</f>
        <v>Pearl White Multi-Coat</v>
      </c>
      <c r="P3106" s="178" t="str">
        <f>IFERROR(__xludf.DUMMYFUNCTION("""COMPUTED_VALUE"""),"18 inch Aero")</f>
        <v>18 inch Aero</v>
      </c>
      <c r="Q3106" s="177" t="str">
        <f>IFERROR(__xludf.DUMMYFUNCTION("""COMPUTED_VALUE"""),"White seats")</f>
        <v>White seats</v>
      </c>
      <c r="R3106" s="170" t="str">
        <f>IFERROR(__xludf.DUMMYFUNCTION("""COMPUTED_VALUE"""),"None")</f>
        <v>None</v>
      </c>
      <c r="S3106" s="170"/>
      <c r="T3106" s="179"/>
      <c r="U3106" s="179"/>
      <c r="V3106" s="179"/>
      <c r="W3106" s="180"/>
      <c r="X3106" s="181" t="str">
        <f>IFERROR(__xludf.DUMMYFUNCTION("""COMPUTED_VALUE"""),"Very Good")</f>
        <v>Very Good</v>
      </c>
      <c r="Y3106" s="182" t="str">
        <f>IFERROR(__xludf.DUMMYFUNCTION("""COMPUTED_VALUE"""),"Very Good")</f>
        <v>Very Good</v>
      </c>
      <c r="Z3106" s="182" t="str">
        <f>IFERROR(__xludf.DUMMYFUNCTION("""COMPUTED_VALUE"""),"Very Good")</f>
        <v>Very Good</v>
      </c>
      <c r="AA3106" s="182" t="str">
        <f>IFERROR(__xludf.DUMMYFUNCTION("""COMPUTED_VALUE"""),"Good")</f>
        <v>Good</v>
      </c>
      <c r="AB3106" s="182" t="str">
        <f>IFERROR(__xludf.DUMMYFUNCTION("""COMPUTED_VALUE"""),"Fair")</f>
        <v>Fair</v>
      </c>
      <c r="AC3106" s="183">
        <f>IFERROR(__xludf.DUMMYFUNCTION("""COMPUTED_VALUE"""),2.0)</f>
        <v>2</v>
      </c>
      <c r="AD3106" s="183">
        <f>IFERROR(__xludf.DUMMYFUNCTION("""COMPUTED_VALUE"""),2.0)</f>
        <v>2</v>
      </c>
      <c r="AE3106" s="183">
        <f>IFERROR(__xludf.DUMMYFUNCTION("""COMPUTED_VALUE"""),2.0)</f>
        <v>2</v>
      </c>
      <c r="AF3106" s="184"/>
      <c r="AG3106" s="180" t="str">
        <f>IFERROR(__xludf.DUMMYFUNCTION("""COMPUTED_VALUE"""),"They replaced a tail light that had condensation build up. They also replaced the back seat due to some extensive wrinkles at a seam. ")</f>
        <v>They replaced a tail light that had condensation build up. They also replaced the back seat due to some extensive wrinkles at a seam. </v>
      </c>
      <c r="AH3106" s="185">
        <f>IFERROR(__xludf.DUMMYFUNCTION("""COMPUTED_VALUE"""),43483.43774173611)</f>
        <v>43483.43774</v>
      </c>
      <c r="AI3106" s="182"/>
      <c r="AJ3106" s="182"/>
      <c r="AK3106" s="182"/>
      <c r="AL3106" s="182"/>
    </row>
    <row r="3107" ht="20.25" customHeight="1">
      <c r="A3107" s="169" t="str">
        <f>IFERROR(__xludf.DUMMYFUNCTION("""COMPUTED_VALUE"""),"jstackman")</f>
        <v>jstackman</v>
      </c>
      <c r="B3107" s="170" t="str">
        <f>IFERROR(__xludf.DUMMYFUNCTION("""COMPUTED_VALUE"""),"Burien")</f>
        <v>Burien</v>
      </c>
      <c r="C3107" s="170" t="str">
        <f>IFERROR(__xludf.DUMMYFUNCTION("""COMPUTED_VALUE"""),"WA")</f>
        <v>WA</v>
      </c>
      <c r="D3107" s="170" t="str">
        <f>IFERROR(__xludf.DUMMYFUNCTION("""COMPUTED_VALUE"""),"USA")</f>
        <v>USA</v>
      </c>
      <c r="E3107" s="171">
        <f>IFERROR(__xludf.DUMMYFUNCTION("""COMPUTED_VALUE"""),43278.0)</f>
        <v>43278</v>
      </c>
      <c r="F3107" s="172">
        <f>IFERROR(__xludf.DUMMYFUNCTION("""COMPUTED_VALUE"""),43363.0)</f>
        <v>43363</v>
      </c>
      <c r="G3107" s="173"/>
      <c r="H3107" s="174">
        <f>IFERROR(__xludf.DUMMYFUNCTION("""COMPUTED_VALUE"""),87925.0)</f>
        <v>87925</v>
      </c>
      <c r="I3107" s="175" t="str">
        <f>IFERROR(__xludf.DUMMYFUNCTION("""COMPUTED_VALUE"""),"09/18")</f>
        <v>09/18</v>
      </c>
      <c r="J3107" s="172">
        <f>IFERROR(__xludf.DUMMYFUNCTION("""COMPUTED_VALUE"""),43385.0)</f>
        <v>43385</v>
      </c>
      <c r="K3107" s="176">
        <f>IFERROR(__xludf.DUMMYFUNCTION("""COMPUTED_VALUE"""),85.0)</f>
        <v>85</v>
      </c>
      <c r="L3107" s="176">
        <f>IFERROR(__xludf.DUMMYFUNCTION("""COMPUTED_VALUE"""),22.0)</f>
        <v>22</v>
      </c>
      <c r="M3107" s="176">
        <f>IFERROR(__xludf.DUMMYFUNCTION("""COMPUTED_VALUE"""),107.0)</f>
        <v>107</v>
      </c>
      <c r="N3107" s="177" t="str">
        <f>IFERROR(__xludf.DUMMYFUNCTION("""COMPUTED_VALUE"""),"Model 3 Performance")</f>
        <v>Model 3 Performance</v>
      </c>
      <c r="O3107" s="177" t="str">
        <f>IFERROR(__xludf.DUMMYFUNCTION("""COMPUTED_VALUE"""),"Red Multi-Coat")</f>
        <v>Red Multi-Coat</v>
      </c>
      <c r="P3107" s="178" t="str">
        <f>IFERROR(__xludf.DUMMYFUNCTION("""COMPUTED_VALUE"""),"18 inch Aero")</f>
        <v>18 inch Aero</v>
      </c>
      <c r="Q3107" s="177" t="str">
        <f>IFERROR(__xludf.DUMMYFUNCTION("""COMPUTED_VALUE"""),"Black seats")</f>
        <v>Black seats</v>
      </c>
      <c r="R3107" s="170" t="str">
        <f>IFERROR(__xludf.DUMMYFUNCTION("""COMPUTED_VALUE"""),"None")</f>
        <v>None</v>
      </c>
      <c r="S3107" s="170"/>
      <c r="T3107" s="179"/>
      <c r="U3107" s="179"/>
      <c r="V3107" s="179"/>
      <c r="W3107" s="180"/>
      <c r="X3107" s="181" t="str">
        <f>IFERROR(__xludf.DUMMYFUNCTION("""COMPUTED_VALUE"""),"Excellent")</f>
        <v>Excellent</v>
      </c>
      <c r="Y3107" s="182" t="str">
        <f>IFERROR(__xludf.DUMMYFUNCTION("""COMPUTED_VALUE"""),"Excellent")</f>
        <v>Excellent</v>
      </c>
      <c r="Z3107" s="182" t="str">
        <f>IFERROR(__xludf.DUMMYFUNCTION("""COMPUTED_VALUE"""),"Excellent")</f>
        <v>Excellent</v>
      </c>
      <c r="AA3107" s="182" t="str">
        <f>IFERROR(__xludf.DUMMYFUNCTION("""COMPUTED_VALUE"""),"Fair")</f>
        <v>Fair</v>
      </c>
      <c r="AB3107" s="182" t="str">
        <f>IFERROR(__xludf.DUMMYFUNCTION("""COMPUTED_VALUE"""),"Fair")</f>
        <v>Fair</v>
      </c>
      <c r="AC3107" s="183">
        <f>IFERROR(__xludf.DUMMYFUNCTION("""COMPUTED_VALUE"""),2.0)</f>
        <v>2</v>
      </c>
      <c r="AD3107" s="183">
        <f>IFERROR(__xludf.DUMMYFUNCTION("""COMPUTED_VALUE"""),1.0)</f>
        <v>1</v>
      </c>
      <c r="AE3107" s="183">
        <f>IFERROR(__xludf.DUMMYFUNCTION("""COMPUTED_VALUE"""),0.0)</f>
        <v>0</v>
      </c>
      <c r="AF3107" s="184"/>
      <c r="AG3107" s="180"/>
      <c r="AH3107" s="185">
        <f>IFERROR(__xludf.DUMMYFUNCTION("""COMPUTED_VALUE"""),43390.49735868056)</f>
        <v>43390.49736</v>
      </c>
      <c r="AI3107" s="182"/>
      <c r="AJ3107" s="182"/>
      <c r="AK3107" s="182"/>
      <c r="AL3107" s="182"/>
    </row>
    <row r="3108" ht="20.25" customHeight="1">
      <c r="A3108" s="169" t="str">
        <f>IFERROR(__xludf.DUMMYFUNCTION("""COMPUTED_VALUE"""),"Jussta")</f>
        <v>Jussta</v>
      </c>
      <c r="B3108" s="170" t="str">
        <f>IFERROR(__xludf.DUMMYFUNCTION("""COMPUTED_VALUE"""),"St. Louis")</f>
        <v>St. Louis</v>
      </c>
      <c r="C3108" s="170" t="str">
        <f>IFERROR(__xludf.DUMMYFUNCTION("""COMPUTED_VALUE"""),"MO")</f>
        <v>MO</v>
      </c>
      <c r="D3108" s="170" t="str">
        <f>IFERROR(__xludf.DUMMYFUNCTION("""COMPUTED_VALUE"""),"USA")</f>
        <v>USA</v>
      </c>
      <c r="E3108" s="171">
        <f>IFERROR(__xludf.DUMMYFUNCTION("""COMPUTED_VALUE"""),43278.0)</f>
        <v>43278</v>
      </c>
      <c r="F3108" s="172">
        <f>IFERROR(__xludf.DUMMYFUNCTION("""COMPUTED_VALUE"""),43298.0)</f>
        <v>43298</v>
      </c>
      <c r="G3108" s="173"/>
      <c r="H3108" s="174">
        <f>IFERROR(__xludf.DUMMYFUNCTION("""COMPUTED_VALUE"""),39755.0)</f>
        <v>39755</v>
      </c>
      <c r="I3108" s="175" t="str">
        <f>IFERROR(__xludf.DUMMYFUNCTION("""COMPUTED_VALUE"""),"07/18")</f>
        <v>07/18</v>
      </c>
      <c r="J3108" s="172">
        <f>IFERROR(__xludf.DUMMYFUNCTION("""COMPUTED_VALUE"""),43314.0)</f>
        <v>43314</v>
      </c>
      <c r="K3108" s="176">
        <f>IFERROR(__xludf.DUMMYFUNCTION("""COMPUTED_VALUE"""),20.0)</f>
        <v>20</v>
      </c>
      <c r="L3108" s="176">
        <f>IFERROR(__xludf.DUMMYFUNCTION("""COMPUTED_VALUE"""),16.0)</f>
        <v>16</v>
      </c>
      <c r="M3108" s="176">
        <f>IFERROR(__xludf.DUMMYFUNCTION("""COMPUTED_VALUE"""),36.0)</f>
        <v>36</v>
      </c>
      <c r="N3108" s="177" t="str">
        <f>IFERROR(__xludf.DUMMYFUNCTION("""COMPUTED_VALUE"""),"Model 3 LR")</f>
        <v>Model 3 LR</v>
      </c>
      <c r="O3108" s="177" t="str">
        <f>IFERROR(__xludf.DUMMYFUNCTION("""COMPUTED_VALUE"""),"Silver Metallic")</f>
        <v>Silver Metallic</v>
      </c>
      <c r="P3108" s="178" t="str">
        <f>IFERROR(__xludf.DUMMYFUNCTION("""COMPUTED_VALUE"""),"18 inch Aero")</f>
        <v>18 inch Aero</v>
      </c>
      <c r="Q3108" s="177" t="str">
        <f>IFERROR(__xludf.DUMMYFUNCTION("""COMPUTED_VALUE"""),"Black seats")</f>
        <v>Black seats</v>
      </c>
      <c r="R3108" s="170" t="str">
        <f>IFERROR(__xludf.DUMMYFUNCTION("""COMPUTED_VALUE"""),"Enhanced Autopilot")</f>
        <v>Enhanced Autopilot</v>
      </c>
      <c r="S3108" s="170"/>
      <c r="T3108" s="179"/>
      <c r="U3108" s="179"/>
      <c r="V3108" s="179"/>
      <c r="W3108" s="180"/>
      <c r="X3108" s="181" t="str">
        <f>IFERROR(__xludf.DUMMYFUNCTION("""COMPUTED_VALUE"""),"Very Good")</f>
        <v>Very Good</v>
      </c>
      <c r="Y3108" s="182" t="str">
        <f>IFERROR(__xludf.DUMMYFUNCTION("""COMPUTED_VALUE"""),"Excellent")</f>
        <v>Excellent</v>
      </c>
      <c r="Z3108" s="182" t="str">
        <f>IFERROR(__xludf.DUMMYFUNCTION("""COMPUTED_VALUE"""),"Good")</f>
        <v>Good</v>
      </c>
      <c r="AA3108" s="182" t="str">
        <f>IFERROR(__xludf.DUMMYFUNCTION("""COMPUTED_VALUE"""),"Good")</f>
        <v>Good</v>
      </c>
      <c r="AB3108" s="182" t="str">
        <f>IFERROR(__xludf.DUMMYFUNCTION("""COMPUTED_VALUE"""),"Poor")</f>
        <v>Poor</v>
      </c>
      <c r="AC3108" s="183">
        <f>IFERROR(__xludf.DUMMYFUNCTION("""COMPUTED_VALUE"""),4.0)</f>
        <v>4</v>
      </c>
      <c r="AD3108" s="183"/>
      <c r="AE3108" s="183"/>
      <c r="AF3108" s="184"/>
      <c r="AG3108" s="180"/>
      <c r="AH3108" s="185">
        <f>IFERROR(__xludf.DUMMYFUNCTION("""COMPUTED_VALUE"""),43318.44276398148)</f>
        <v>43318.44276</v>
      </c>
      <c r="AI3108" s="182"/>
      <c r="AJ3108" s="182"/>
      <c r="AK3108" s="182"/>
      <c r="AL3108" s="182"/>
    </row>
    <row r="3109" ht="20.25" customHeight="1">
      <c r="A3109" s="169" t="str">
        <f>IFERROR(__xludf.DUMMYFUNCTION("""COMPUTED_VALUE"""),"jwardell")</f>
        <v>jwardell</v>
      </c>
      <c r="B3109" s="170" t="str">
        <f>IFERROR(__xludf.DUMMYFUNCTION("""COMPUTED_VALUE"""),"Boston")</f>
        <v>Boston</v>
      </c>
      <c r="C3109" s="170" t="str">
        <f>IFERROR(__xludf.DUMMYFUNCTION("""COMPUTED_VALUE"""),"MA")</f>
        <v>MA</v>
      </c>
      <c r="D3109" s="170" t="str">
        <f>IFERROR(__xludf.DUMMYFUNCTION("""COMPUTED_VALUE"""),"USA")</f>
        <v>USA</v>
      </c>
      <c r="E3109" s="171">
        <f>IFERROR(__xludf.DUMMYFUNCTION("""COMPUTED_VALUE"""),43278.0)</f>
        <v>43278</v>
      </c>
      <c r="F3109" s="172">
        <f>IFERROR(__xludf.DUMMYFUNCTION("""COMPUTED_VALUE"""),43283.0)</f>
        <v>43283</v>
      </c>
      <c r="G3109" s="173"/>
      <c r="H3109" s="174">
        <f>IFERROR(__xludf.DUMMYFUNCTION("""COMPUTED_VALUE"""),22910.0)</f>
        <v>22910</v>
      </c>
      <c r="I3109" s="175" t="str">
        <f>IFERROR(__xludf.DUMMYFUNCTION("""COMPUTED_VALUE"""),"06/18")</f>
        <v>06/18</v>
      </c>
      <c r="J3109" s="172">
        <f>IFERROR(__xludf.DUMMYFUNCTION("""COMPUTED_VALUE"""),43298.0)</f>
        <v>43298</v>
      </c>
      <c r="K3109" s="176">
        <f>IFERROR(__xludf.DUMMYFUNCTION("""COMPUTED_VALUE"""),5.0)</f>
        <v>5</v>
      </c>
      <c r="L3109" s="176">
        <f>IFERROR(__xludf.DUMMYFUNCTION("""COMPUTED_VALUE"""),15.0)</f>
        <v>15</v>
      </c>
      <c r="M3109" s="176">
        <f>IFERROR(__xludf.DUMMYFUNCTION("""COMPUTED_VALUE"""),20.0)</f>
        <v>20</v>
      </c>
      <c r="N3109" s="177" t="str">
        <f>IFERROR(__xludf.DUMMYFUNCTION("""COMPUTED_VALUE"""),"Model 3 LR")</f>
        <v>Model 3 LR</v>
      </c>
      <c r="O3109" s="177" t="str">
        <f>IFERROR(__xludf.DUMMYFUNCTION("""COMPUTED_VALUE"""),"Deep Blue Metallic")</f>
        <v>Deep Blue Metallic</v>
      </c>
      <c r="P3109" s="178" t="str">
        <f>IFERROR(__xludf.DUMMYFUNCTION("""COMPUTED_VALUE"""),"18 inch Aero")</f>
        <v>18 inch Aero</v>
      </c>
      <c r="Q3109" s="177" t="str">
        <f>IFERROR(__xludf.DUMMYFUNCTION("""COMPUTED_VALUE"""),"Black seats")</f>
        <v>Black seats</v>
      </c>
      <c r="R3109" s="170" t="str">
        <f>IFERROR(__xludf.DUMMYFUNCTION("""COMPUTED_VALUE"""),"Enhanced Autopilot")</f>
        <v>Enhanced Autopilot</v>
      </c>
      <c r="S3109" s="170"/>
      <c r="T3109" s="179"/>
      <c r="U3109" s="179"/>
      <c r="V3109" s="179"/>
      <c r="W3109" s="180"/>
      <c r="X3109" s="181" t="str">
        <f>IFERROR(__xludf.DUMMYFUNCTION("""COMPUTED_VALUE"""),"Excellent")</f>
        <v>Excellent</v>
      </c>
      <c r="Y3109" s="182" t="str">
        <f>IFERROR(__xludf.DUMMYFUNCTION("""COMPUTED_VALUE"""),"Excellent")</f>
        <v>Excellent</v>
      </c>
      <c r="Z3109" s="182" t="str">
        <f>IFERROR(__xludf.DUMMYFUNCTION("""COMPUTED_VALUE"""),"Excellent")</f>
        <v>Excellent</v>
      </c>
      <c r="AA3109" s="182" t="str">
        <f>IFERROR(__xludf.DUMMYFUNCTION("""COMPUTED_VALUE"""),"Good")</f>
        <v>Good</v>
      </c>
      <c r="AB3109" s="182" t="str">
        <f>IFERROR(__xludf.DUMMYFUNCTION("""COMPUTED_VALUE"""),"Excellent")</f>
        <v>Excellent</v>
      </c>
      <c r="AC3109" s="183">
        <f>IFERROR(__xludf.DUMMYFUNCTION("""COMPUTED_VALUE"""),0.0)</f>
        <v>0</v>
      </c>
      <c r="AD3109" s="183">
        <f>IFERROR(__xludf.DUMMYFUNCTION("""COMPUTED_VALUE"""),0.0)</f>
        <v>0</v>
      </c>
      <c r="AE3109" s="183">
        <f>IFERROR(__xludf.DUMMYFUNCTION("""COMPUTED_VALUE"""),3.0)</f>
        <v>3</v>
      </c>
      <c r="AF3109" s="184"/>
      <c r="AG3109" s="180"/>
      <c r="AH3109" s="185">
        <f>IFERROR(__xludf.DUMMYFUNCTION("""COMPUTED_VALUE"""),43298.84062318287)</f>
        <v>43298.84062</v>
      </c>
      <c r="AI3109" s="182"/>
      <c r="AJ3109" s="182"/>
      <c r="AK3109" s="182"/>
      <c r="AL3109" s="182"/>
    </row>
    <row r="3110" ht="20.25" customHeight="1">
      <c r="A3110" s="169" t="str">
        <f>IFERROR(__xludf.DUMMYFUNCTION("""COMPUTED_VALUE"""),"katio")</f>
        <v>katio</v>
      </c>
      <c r="B3110" s="170" t="str">
        <f>IFERROR(__xludf.DUMMYFUNCTION("""COMPUTED_VALUE"""),"Los Angeles")</f>
        <v>Los Angeles</v>
      </c>
      <c r="C3110" s="170" t="str">
        <f>IFERROR(__xludf.DUMMYFUNCTION("""COMPUTED_VALUE"""),"CA")</f>
        <v>CA</v>
      </c>
      <c r="D3110" s="170" t="str">
        <f>IFERROR(__xludf.DUMMYFUNCTION("""COMPUTED_VALUE"""),"USA")</f>
        <v>USA</v>
      </c>
      <c r="E3110" s="171">
        <f>IFERROR(__xludf.DUMMYFUNCTION("""COMPUTED_VALUE"""),43278.0)</f>
        <v>43278</v>
      </c>
      <c r="F3110" s="172">
        <f>IFERROR(__xludf.DUMMYFUNCTION("""COMPUTED_VALUE"""),43280.0)</f>
        <v>43280</v>
      </c>
      <c r="G3110" s="173"/>
      <c r="H3110" s="174">
        <f>IFERROR(__xludf.DUMMYFUNCTION("""COMPUTED_VALUE"""),35055.0)</f>
        <v>35055</v>
      </c>
      <c r="I3110" s="175" t="str">
        <f>IFERROR(__xludf.DUMMYFUNCTION("""COMPUTED_VALUE"""),"06/18")</f>
        <v>06/18</v>
      </c>
      <c r="J3110" s="172">
        <f>IFERROR(__xludf.DUMMYFUNCTION("""COMPUTED_VALUE"""),43290.0)</f>
        <v>43290</v>
      </c>
      <c r="K3110" s="176">
        <f>IFERROR(__xludf.DUMMYFUNCTION("""COMPUTED_VALUE"""),2.0)</f>
        <v>2</v>
      </c>
      <c r="L3110" s="176">
        <f>IFERROR(__xludf.DUMMYFUNCTION("""COMPUTED_VALUE"""),10.0)</f>
        <v>10</v>
      </c>
      <c r="M3110" s="176">
        <f>IFERROR(__xludf.DUMMYFUNCTION("""COMPUTED_VALUE"""),12.0)</f>
        <v>12</v>
      </c>
      <c r="N3110" s="177" t="str">
        <f>IFERROR(__xludf.DUMMYFUNCTION("""COMPUTED_VALUE"""),"Model 3 LR")</f>
        <v>Model 3 LR</v>
      </c>
      <c r="O3110" s="177" t="str">
        <f>IFERROR(__xludf.DUMMYFUNCTION("""COMPUTED_VALUE"""),"Deep Blue Metallic")</f>
        <v>Deep Blue Metallic</v>
      </c>
      <c r="P3110" s="178" t="str">
        <f>IFERROR(__xludf.DUMMYFUNCTION("""COMPUTED_VALUE"""),"19 inch Sport")</f>
        <v>19 inch Sport</v>
      </c>
      <c r="Q3110" s="177" t="str">
        <f>IFERROR(__xludf.DUMMYFUNCTION("""COMPUTED_VALUE"""),"Black seats")</f>
        <v>Black seats</v>
      </c>
      <c r="R3110" s="170" t="str">
        <f>IFERROR(__xludf.DUMMYFUNCTION("""COMPUTED_VALUE"""),"Enhanced Autopilot")</f>
        <v>Enhanced Autopilot</v>
      </c>
      <c r="S3110" s="170"/>
      <c r="T3110" s="179"/>
      <c r="U3110" s="179"/>
      <c r="V3110" s="179"/>
      <c r="W3110" s="180"/>
      <c r="X3110" s="181" t="str">
        <f>IFERROR(__xludf.DUMMYFUNCTION("""COMPUTED_VALUE"""),"Very Good")</f>
        <v>Very Good</v>
      </c>
      <c r="Y3110" s="182" t="str">
        <f>IFERROR(__xludf.DUMMYFUNCTION("""COMPUTED_VALUE"""),"Very Good")</f>
        <v>Very Good</v>
      </c>
      <c r="Z3110" s="182" t="str">
        <f>IFERROR(__xludf.DUMMYFUNCTION("""COMPUTED_VALUE"""),"Good")</f>
        <v>Good</v>
      </c>
      <c r="AA3110" s="182" t="str">
        <f>IFERROR(__xludf.DUMMYFUNCTION("""COMPUTED_VALUE"""),"Fair")</f>
        <v>Fair</v>
      </c>
      <c r="AB3110" s="182" t="str">
        <f>IFERROR(__xludf.DUMMYFUNCTION("""COMPUTED_VALUE"""),"Good")</f>
        <v>Good</v>
      </c>
      <c r="AC3110" s="183">
        <f>IFERROR(__xludf.DUMMYFUNCTION("""COMPUTED_VALUE"""),3.0)</f>
        <v>3</v>
      </c>
      <c r="AD3110" s="183"/>
      <c r="AE3110" s="183"/>
      <c r="AF3110" s="184"/>
      <c r="AG3110" s="180"/>
      <c r="AH3110" s="185">
        <f>IFERROR(__xludf.DUMMYFUNCTION("""COMPUTED_VALUE"""),43294.64520226852)</f>
        <v>43294.6452</v>
      </c>
      <c r="AI3110" s="182"/>
      <c r="AJ3110" s="182"/>
      <c r="AK3110" s="182"/>
      <c r="AL3110" s="182"/>
    </row>
    <row r="3111" ht="20.25" customHeight="1">
      <c r="A3111" s="169" t="str">
        <f>IFERROR(__xludf.DUMMYFUNCTION("""COMPUTED_VALUE"""),"keatontristan")</f>
        <v>keatontristan</v>
      </c>
      <c r="B3111" s="170" t="str">
        <f>IFERROR(__xludf.DUMMYFUNCTION("""COMPUTED_VALUE"""),"Bay Area")</f>
        <v>Bay Area</v>
      </c>
      <c r="C3111" s="170" t="str">
        <f>IFERROR(__xludf.DUMMYFUNCTION("""COMPUTED_VALUE"""),"CA")</f>
        <v>CA</v>
      </c>
      <c r="D3111" s="170" t="str">
        <f>IFERROR(__xludf.DUMMYFUNCTION("""COMPUTED_VALUE"""),"USA")</f>
        <v>USA</v>
      </c>
      <c r="E3111" s="171">
        <f>IFERROR(__xludf.DUMMYFUNCTION("""COMPUTED_VALUE"""),43278.0)</f>
        <v>43278</v>
      </c>
      <c r="F3111" s="172">
        <f>IFERROR(__xludf.DUMMYFUNCTION("""COMPUTED_VALUE"""),43366.0)</f>
        <v>43366</v>
      </c>
      <c r="G3111" s="173"/>
      <c r="H3111" s="174">
        <f>IFERROR(__xludf.DUMMYFUNCTION("""COMPUTED_VALUE"""),87755.0)</f>
        <v>87755</v>
      </c>
      <c r="I3111" s="175" t="str">
        <f>IFERROR(__xludf.DUMMYFUNCTION("""COMPUTED_VALUE"""),"09/18")</f>
        <v>09/18</v>
      </c>
      <c r="J3111" s="172">
        <f>IFERROR(__xludf.DUMMYFUNCTION("""COMPUTED_VALUE"""),43373.0)</f>
        <v>43373</v>
      </c>
      <c r="K3111" s="176">
        <f>IFERROR(__xludf.DUMMYFUNCTION("""COMPUTED_VALUE"""),88.0)</f>
        <v>88</v>
      </c>
      <c r="L3111" s="176">
        <f>IFERROR(__xludf.DUMMYFUNCTION("""COMPUTED_VALUE"""),7.0)</f>
        <v>7</v>
      </c>
      <c r="M3111" s="176">
        <f>IFERROR(__xludf.DUMMYFUNCTION("""COMPUTED_VALUE"""),95.0)</f>
        <v>95</v>
      </c>
      <c r="N3111" s="177" t="str">
        <f>IFERROR(__xludf.DUMMYFUNCTION("""COMPUTED_VALUE"""),"Model 3 LR AWD")</f>
        <v>Model 3 LR AWD</v>
      </c>
      <c r="O3111" s="177" t="str">
        <f>IFERROR(__xludf.DUMMYFUNCTION("""COMPUTED_VALUE"""),"Red Multi-Coat")</f>
        <v>Red Multi-Coat</v>
      </c>
      <c r="P3111" s="178" t="str">
        <f>IFERROR(__xludf.DUMMYFUNCTION("""COMPUTED_VALUE"""),"19 inch Sport")</f>
        <v>19 inch Sport</v>
      </c>
      <c r="Q3111" s="177" t="str">
        <f>IFERROR(__xludf.DUMMYFUNCTION("""COMPUTED_VALUE"""),"Black seats")</f>
        <v>Black seats</v>
      </c>
      <c r="R3111" s="170" t="str">
        <f>IFERROR(__xludf.DUMMYFUNCTION("""COMPUTED_VALUE"""),"None")</f>
        <v>None</v>
      </c>
      <c r="S3111" s="170"/>
      <c r="T3111" s="179"/>
      <c r="U3111" s="179"/>
      <c r="V3111" s="179"/>
      <c r="W3111" s="180"/>
      <c r="X3111" s="181" t="str">
        <f>IFERROR(__xludf.DUMMYFUNCTION("""COMPUTED_VALUE"""),"Excellent")</f>
        <v>Excellent</v>
      </c>
      <c r="Y3111" s="182" t="str">
        <f>IFERROR(__xludf.DUMMYFUNCTION("""COMPUTED_VALUE"""),"Very Good")</f>
        <v>Very Good</v>
      </c>
      <c r="Z3111" s="182" t="str">
        <f>IFERROR(__xludf.DUMMYFUNCTION("""COMPUTED_VALUE"""),"Very Good")</f>
        <v>Very Good</v>
      </c>
      <c r="AA3111" s="182" t="str">
        <f>IFERROR(__xludf.DUMMYFUNCTION("""COMPUTED_VALUE"""),"Excellent")</f>
        <v>Excellent</v>
      </c>
      <c r="AB3111" s="182" t="str">
        <f>IFERROR(__xludf.DUMMYFUNCTION("""COMPUTED_VALUE"""),"Very Good")</f>
        <v>Very Good</v>
      </c>
      <c r="AC3111" s="183">
        <f>IFERROR(__xludf.DUMMYFUNCTION("""COMPUTED_VALUE"""),10.0)</f>
        <v>10</v>
      </c>
      <c r="AD3111" s="183">
        <f>IFERROR(__xludf.DUMMYFUNCTION("""COMPUTED_VALUE"""),2.0)</f>
        <v>2</v>
      </c>
      <c r="AE3111" s="183"/>
      <c r="AF3111" s="184"/>
      <c r="AG3111" s="180"/>
      <c r="AH3111" s="185">
        <f>IFERROR(__xludf.DUMMYFUNCTION("""COMPUTED_VALUE"""),43395.12984921296)</f>
        <v>43395.12985</v>
      </c>
      <c r="AI3111" s="182"/>
      <c r="AJ3111" s="182"/>
      <c r="AK3111" s="182"/>
      <c r="AL3111" s="182"/>
    </row>
    <row r="3112" ht="20.25" customHeight="1">
      <c r="A3112" s="169" t="str">
        <f>IFERROR(__xludf.DUMMYFUNCTION("""COMPUTED_VALUE"""),"kelleyclark")</f>
        <v>kelleyclark</v>
      </c>
      <c r="B3112" s="170" t="str">
        <f>IFERROR(__xludf.DUMMYFUNCTION("""COMPUTED_VALUE"""),"Winter Haven")</f>
        <v>Winter Haven</v>
      </c>
      <c r="C3112" s="170" t="str">
        <f>IFERROR(__xludf.DUMMYFUNCTION("""COMPUTED_VALUE"""),"FL")</f>
        <v>FL</v>
      </c>
      <c r="D3112" s="170" t="str">
        <f>IFERROR(__xludf.DUMMYFUNCTION("""COMPUTED_VALUE"""),"USA")</f>
        <v>USA</v>
      </c>
      <c r="E3112" s="171">
        <f>IFERROR(__xludf.DUMMYFUNCTION("""COMPUTED_VALUE"""),43278.0)</f>
        <v>43278</v>
      </c>
      <c r="F3112" s="172">
        <f>IFERROR(__xludf.DUMMYFUNCTION("""COMPUTED_VALUE"""),43347.0)</f>
        <v>43347</v>
      </c>
      <c r="G3112" s="173"/>
      <c r="H3112" s="174">
        <f>IFERROR(__xludf.DUMMYFUNCTION("""COMPUTED_VALUE"""),67135.0)</f>
        <v>67135</v>
      </c>
      <c r="I3112" s="175" t="str">
        <f>IFERROR(__xludf.DUMMYFUNCTION("""COMPUTED_VALUE"""),"08/18")</f>
        <v>08/18</v>
      </c>
      <c r="J3112" s="172">
        <f>IFERROR(__xludf.DUMMYFUNCTION("""COMPUTED_VALUE"""),43362.0)</f>
        <v>43362</v>
      </c>
      <c r="K3112" s="176">
        <f>IFERROR(__xludf.DUMMYFUNCTION("""COMPUTED_VALUE"""),69.0)</f>
        <v>69</v>
      </c>
      <c r="L3112" s="176">
        <f>IFERROR(__xludf.DUMMYFUNCTION("""COMPUTED_VALUE"""),15.0)</f>
        <v>15</v>
      </c>
      <c r="M3112" s="176">
        <f>IFERROR(__xludf.DUMMYFUNCTION("""COMPUTED_VALUE"""),84.0)</f>
        <v>84</v>
      </c>
      <c r="N3112" s="177" t="str">
        <f>IFERROR(__xludf.DUMMYFUNCTION("""COMPUTED_VALUE"""),"Model 3 LR AWD")</f>
        <v>Model 3 LR AWD</v>
      </c>
      <c r="O3112" s="177" t="str">
        <f>IFERROR(__xludf.DUMMYFUNCTION("""COMPUTED_VALUE"""),"Pearl White Multi-Coat")</f>
        <v>Pearl White Multi-Coat</v>
      </c>
      <c r="P3112" s="178" t="str">
        <f>IFERROR(__xludf.DUMMYFUNCTION("""COMPUTED_VALUE"""),"18 inch Aero")</f>
        <v>18 inch Aero</v>
      </c>
      <c r="Q3112" s="177" t="str">
        <f>IFERROR(__xludf.DUMMYFUNCTION("""COMPUTED_VALUE"""),"Black seats")</f>
        <v>Black seats</v>
      </c>
      <c r="R3112" s="170" t="str">
        <f>IFERROR(__xludf.DUMMYFUNCTION("""COMPUTED_VALUE"""),"Full Self-Driving")</f>
        <v>Full Self-Driving</v>
      </c>
      <c r="S3112" s="170"/>
      <c r="T3112" s="179"/>
      <c r="U3112" s="179"/>
      <c r="V3112" s="179"/>
      <c r="W3112" s="180"/>
      <c r="X3112" s="181" t="str">
        <f>IFERROR(__xludf.DUMMYFUNCTION("""COMPUTED_VALUE"""),"Poor")</f>
        <v>Poor</v>
      </c>
      <c r="Y3112" s="182" t="str">
        <f>IFERROR(__xludf.DUMMYFUNCTION("""COMPUTED_VALUE"""),"Very Good")</f>
        <v>Very Good</v>
      </c>
      <c r="Z3112" s="182" t="str">
        <f>IFERROR(__xludf.DUMMYFUNCTION("""COMPUTED_VALUE"""),"Poor")</f>
        <v>Poor</v>
      </c>
      <c r="AA3112" s="182" t="str">
        <f>IFERROR(__xludf.DUMMYFUNCTION("""COMPUTED_VALUE"""),"Very Good")</f>
        <v>Very Good</v>
      </c>
      <c r="AB3112" s="182" t="str">
        <f>IFERROR(__xludf.DUMMYFUNCTION("""COMPUTED_VALUE"""),"Fair")</f>
        <v>Fair</v>
      </c>
      <c r="AC3112" s="183">
        <f>IFERROR(__xludf.DUMMYFUNCTION("""COMPUTED_VALUE"""),10.0)</f>
        <v>10</v>
      </c>
      <c r="AD3112" s="183">
        <f>IFERROR(__xludf.DUMMYFUNCTION("""COMPUTED_VALUE"""),2.0)</f>
        <v>2</v>
      </c>
      <c r="AE3112" s="183">
        <f>IFERROR(__xludf.DUMMYFUNCTION("""COMPUTED_VALUE"""),2.0)</f>
        <v>2</v>
      </c>
      <c r="AF3112" s="184"/>
      <c r="AG3112" s="180" t="str">
        <f>IFERROR(__xludf.DUMMYFUNCTION("""COMPUTED_VALUE"""),"Still having items resolved. Car has had a few areas repainted, the repainted items are darker than factory paint.")</f>
        <v>Still having items resolved. Car has had a few areas repainted, the repainted items are darker than factory paint.</v>
      </c>
      <c r="AH3112" s="185">
        <f>IFERROR(__xludf.DUMMYFUNCTION("""COMPUTED_VALUE"""),43381.180406203704)</f>
        <v>43381.18041</v>
      </c>
      <c r="AI3112" s="182"/>
      <c r="AJ3112" s="182"/>
      <c r="AK3112" s="182"/>
      <c r="AL3112" s="182"/>
    </row>
    <row r="3113" ht="20.25" customHeight="1">
      <c r="A3113" s="169" t="str">
        <f>IFERROR(__xludf.DUMMYFUNCTION("""COMPUTED_VALUE"""),"KenDThomp")</f>
        <v>KenDThomp</v>
      </c>
      <c r="B3113" s="170" t="str">
        <f>IFERROR(__xludf.DUMMYFUNCTION("""COMPUTED_VALUE"""),"Aurora")</f>
        <v>Aurora</v>
      </c>
      <c r="C3113" s="170" t="str">
        <f>IFERROR(__xludf.DUMMYFUNCTION("""COMPUTED_VALUE"""),"CO")</f>
        <v>CO</v>
      </c>
      <c r="D3113" s="170" t="str">
        <f>IFERROR(__xludf.DUMMYFUNCTION("""COMPUTED_VALUE"""),"USA")</f>
        <v>USA</v>
      </c>
      <c r="E3113" s="171">
        <f>IFERROR(__xludf.DUMMYFUNCTION("""COMPUTED_VALUE"""),43278.0)</f>
        <v>43278</v>
      </c>
      <c r="F3113" s="172">
        <f>IFERROR(__xludf.DUMMYFUNCTION("""COMPUTED_VALUE"""),43354.0)</f>
        <v>43354</v>
      </c>
      <c r="G3113" s="173"/>
      <c r="H3113" s="174">
        <f>IFERROR(__xludf.DUMMYFUNCTION("""COMPUTED_VALUE"""),100625.0)</f>
        <v>100625</v>
      </c>
      <c r="I3113" s="175"/>
      <c r="J3113" s="172">
        <f>IFERROR(__xludf.DUMMYFUNCTION("""COMPUTED_VALUE"""),43361.0)</f>
        <v>43361</v>
      </c>
      <c r="K3113" s="176">
        <f>IFERROR(__xludf.DUMMYFUNCTION("""COMPUTED_VALUE"""),76.0)</f>
        <v>76</v>
      </c>
      <c r="L3113" s="176">
        <f>IFERROR(__xludf.DUMMYFUNCTION("""COMPUTED_VALUE"""),7.0)</f>
        <v>7</v>
      </c>
      <c r="M3113" s="176">
        <f>IFERROR(__xludf.DUMMYFUNCTION("""COMPUTED_VALUE"""),83.0)</f>
        <v>83</v>
      </c>
      <c r="N3113" s="177" t="str">
        <f>IFERROR(__xludf.DUMMYFUNCTION("""COMPUTED_VALUE"""),"Model 3 LR AWD")</f>
        <v>Model 3 LR AWD</v>
      </c>
      <c r="O3113" s="177" t="str">
        <f>IFERROR(__xludf.DUMMYFUNCTION("""COMPUTED_VALUE"""),"Red Multi-Coat")</f>
        <v>Red Multi-Coat</v>
      </c>
      <c r="P3113" s="178" t="str">
        <f>IFERROR(__xludf.DUMMYFUNCTION("""COMPUTED_VALUE"""),"19 inch Sport")</f>
        <v>19 inch Sport</v>
      </c>
      <c r="Q3113" s="177" t="str">
        <f>IFERROR(__xludf.DUMMYFUNCTION("""COMPUTED_VALUE"""),"White seats")</f>
        <v>White seats</v>
      </c>
      <c r="R3113" s="170" t="str">
        <f>IFERROR(__xludf.DUMMYFUNCTION("""COMPUTED_VALUE"""),"Enhanced Autopilot")</f>
        <v>Enhanced Autopilot</v>
      </c>
      <c r="S3113" s="170"/>
      <c r="T3113" s="179"/>
      <c r="U3113" s="179"/>
      <c r="V3113" s="179"/>
      <c r="W3113" s="180"/>
      <c r="X3113" s="181" t="str">
        <f>IFERROR(__xludf.DUMMYFUNCTION("""COMPUTED_VALUE"""),"Very Good")</f>
        <v>Very Good</v>
      </c>
      <c r="Y3113" s="182" t="str">
        <f>IFERROR(__xludf.DUMMYFUNCTION("""COMPUTED_VALUE"""),"Very Good")</f>
        <v>Very Good</v>
      </c>
      <c r="Z3113" s="182" t="str">
        <f>IFERROR(__xludf.DUMMYFUNCTION("""COMPUTED_VALUE"""),"Very Good")</f>
        <v>Very Good</v>
      </c>
      <c r="AA3113" s="182" t="str">
        <f>IFERROR(__xludf.DUMMYFUNCTION("""COMPUTED_VALUE"""),"Fair")</f>
        <v>Fair</v>
      </c>
      <c r="AB3113" s="182" t="str">
        <f>IFERROR(__xludf.DUMMYFUNCTION("""COMPUTED_VALUE"""),"Good")</f>
        <v>Good</v>
      </c>
      <c r="AC3113" s="183"/>
      <c r="AD3113" s="183"/>
      <c r="AE3113" s="183"/>
      <c r="AF3113" s="184"/>
      <c r="AG3113" s="180"/>
      <c r="AH3113" s="185">
        <f>IFERROR(__xludf.DUMMYFUNCTION("""COMPUTED_VALUE"""),43368.7612221412)</f>
        <v>43368.76122</v>
      </c>
      <c r="AI3113" s="182"/>
      <c r="AJ3113" s="182"/>
      <c r="AK3113" s="182"/>
      <c r="AL3113" s="182"/>
    </row>
    <row r="3114" ht="20.25" customHeight="1">
      <c r="A3114" s="169" t="str">
        <f>IFERROR(__xludf.DUMMYFUNCTION("""COMPUTED_VALUE"""),"kevincupp")</f>
        <v>kevincupp</v>
      </c>
      <c r="B3114" s="170" t="str">
        <f>IFERROR(__xludf.DUMMYFUNCTION("""COMPUTED_VALUE"""),"Blacksburg")</f>
        <v>Blacksburg</v>
      </c>
      <c r="C3114" s="170" t="str">
        <f>IFERROR(__xludf.DUMMYFUNCTION("""COMPUTED_VALUE"""),"VA")</f>
        <v>VA</v>
      </c>
      <c r="D3114" s="170" t="str">
        <f>IFERROR(__xludf.DUMMYFUNCTION("""COMPUTED_VALUE"""),"USA")</f>
        <v>USA</v>
      </c>
      <c r="E3114" s="171">
        <f>IFERROR(__xludf.DUMMYFUNCTION("""COMPUTED_VALUE"""),43278.0)</f>
        <v>43278</v>
      </c>
      <c r="F3114" s="172">
        <f>IFERROR(__xludf.DUMMYFUNCTION("""COMPUTED_VALUE"""),43306.0)</f>
        <v>43306</v>
      </c>
      <c r="G3114" s="173"/>
      <c r="H3114" s="174">
        <f>IFERROR(__xludf.DUMMYFUNCTION("""COMPUTED_VALUE"""),54355.0)</f>
        <v>54355</v>
      </c>
      <c r="I3114" s="175" t="str">
        <f>IFERROR(__xludf.DUMMYFUNCTION("""COMPUTED_VALUE"""),"07/18")</f>
        <v>07/18</v>
      </c>
      <c r="J3114" s="172">
        <f>IFERROR(__xludf.DUMMYFUNCTION("""COMPUTED_VALUE"""),43328.0)</f>
        <v>43328</v>
      </c>
      <c r="K3114" s="176">
        <f>IFERROR(__xludf.DUMMYFUNCTION("""COMPUTED_VALUE"""),28.0)</f>
        <v>28</v>
      </c>
      <c r="L3114" s="176">
        <f>IFERROR(__xludf.DUMMYFUNCTION("""COMPUTED_VALUE"""),22.0)</f>
        <v>22</v>
      </c>
      <c r="M3114" s="176">
        <f>IFERROR(__xludf.DUMMYFUNCTION("""COMPUTED_VALUE"""),50.0)</f>
        <v>50</v>
      </c>
      <c r="N3114" s="177" t="str">
        <f>IFERROR(__xludf.DUMMYFUNCTION("""COMPUTED_VALUE"""),"Model 3 LR AWD")</f>
        <v>Model 3 LR AWD</v>
      </c>
      <c r="O3114" s="177" t="str">
        <f>IFERROR(__xludf.DUMMYFUNCTION("""COMPUTED_VALUE"""),"Midnight Silver Metallic")</f>
        <v>Midnight Silver Metallic</v>
      </c>
      <c r="P3114" s="178" t="str">
        <f>IFERROR(__xludf.DUMMYFUNCTION("""COMPUTED_VALUE"""),"18 inch Aero")</f>
        <v>18 inch Aero</v>
      </c>
      <c r="Q3114" s="177" t="str">
        <f>IFERROR(__xludf.DUMMYFUNCTION("""COMPUTED_VALUE"""),"Black seats")</f>
        <v>Black seats</v>
      </c>
      <c r="R3114" s="170" t="str">
        <f>IFERROR(__xludf.DUMMYFUNCTION("""COMPUTED_VALUE"""),"Enhanced Autopilot")</f>
        <v>Enhanced Autopilot</v>
      </c>
      <c r="S3114" s="170"/>
      <c r="T3114" s="179"/>
      <c r="U3114" s="179"/>
      <c r="V3114" s="179"/>
      <c r="W3114" s="180"/>
      <c r="X3114" s="181" t="str">
        <f>IFERROR(__xludf.DUMMYFUNCTION("""COMPUTED_VALUE"""),"Excellent")</f>
        <v>Excellent</v>
      </c>
      <c r="Y3114" s="182" t="str">
        <f>IFERROR(__xludf.DUMMYFUNCTION("""COMPUTED_VALUE"""),"Excellent")</f>
        <v>Excellent</v>
      </c>
      <c r="Z3114" s="182" t="str">
        <f>IFERROR(__xludf.DUMMYFUNCTION("""COMPUTED_VALUE"""),"Excellent")</f>
        <v>Excellent</v>
      </c>
      <c r="AA3114" s="182" t="str">
        <f>IFERROR(__xludf.DUMMYFUNCTION("""COMPUTED_VALUE"""),"Fair")</f>
        <v>Fair</v>
      </c>
      <c r="AB3114" s="182" t="str">
        <f>IFERROR(__xludf.DUMMYFUNCTION("""COMPUTED_VALUE"""),"Good")</f>
        <v>Good</v>
      </c>
      <c r="AC3114" s="183">
        <f>IFERROR(__xludf.DUMMYFUNCTION("""COMPUTED_VALUE"""),0.0)</f>
        <v>0</v>
      </c>
      <c r="AD3114" s="183">
        <f>IFERROR(__xludf.DUMMYFUNCTION("""COMPUTED_VALUE"""),0.0)</f>
        <v>0</v>
      </c>
      <c r="AE3114" s="183">
        <f>IFERROR(__xludf.DUMMYFUNCTION("""COMPUTED_VALUE"""),0.0)</f>
        <v>0</v>
      </c>
      <c r="AF3114" s="184"/>
      <c r="AG3114" s="180"/>
      <c r="AH3114" s="185">
        <f>IFERROR(__xludf.DUMMYFUNCTION("""COMPUTED_VALUE"""),43333.386239907406)</f>
        <v>43333.38624</v>
      </c>
      <c r="AI3114" s="182"/>
      <c r="AJ3114" s="182"/>
      <c r="AK3114" s="182"/>
      <c r="AL3114" s="182"/>
    </row>
    <row r="3115" ht="20.25" customHeight="1">
      <c r="A3115" s="169" t="str">
        <f>IFERROR(__xludf.DUMMYFUNCTION("""COMPUTED_VALUE"""),"kevini")</f>
        <v>kevini</v>
      </c>
      <c r="B3115" s="170" t="str">
        <f>IFERROR(__xludf.DUMMYFUNCTION("""COMPUTED_VALUE"""),"San Francisco")</f>
        <v>San Francisco</v>
      </c>
      <c r="C3115" s="170" t="str">
        <f>IFERROR(__xludf.DUMMYFUNCTION("""COMPUTED_VALUE"""),"CA")</f>
        <v>CA</v>
      </c>
      <c r="D3115" s="170" t="str">
        <f>IFERROR(__xludf.DUMMYFUNCTION("""COMPUTED_VALUE"""),"USA")</f>
        <v>USA</v>
      </c>
      <c r="E3115" s="171">
        <f>IFERROR(__xludf.DUMMYFUNCTION("""COMPUTED_VALUE"""),43278.0)</f>
        <v>43278</v>
      </c>
      <c r="F3115" s="172">
        <f>IFERROR(__xludf.DUMMYFUNCTION("""COMPUTED_VALUE"""),43344.0)</f>
        <v>43344</v>
      </c>
      <c r="G3115" s="173"/>
      <c r="H3115" s="174">
        <f>IFERROR(__xludf.DUMMYFUNCTION("""COMPUTED_VALUE"""),83334.0)</f>
        <v>83334</v>
      </c>
      <c r="I3115" s="175" t="str">
        <f>IFERROR(__xludf.DUMMYFUNCTION("""COMPUTED_VALUE"""),"09/18")</f>
        <v>09/18</v>
      </c>
      <c r="J3115" s="172">
        <f>IFERROR(__xludf.DUMMYFUNCTION("""COMPUTED_VALUE"""),43351.0)</f>
        <v>43351</v>
      </c>
      <c r="K3115" s="176">
        <f>IFERROR(__xludf.DUMMYFUNCTION("""COMPUTED_VALUE"""),66.0)</f>
        <v>66</v>
      </c>
      <c r="L3115" s="176">
        <f>IFERROR(__xludf.DUMMYFUNCTION("""COMPUTED_VALUE"""),7.0)</f>
        <v>7</v>
      </c>
      <c r="M3115" s="176">
        <f>IFERROR(__xludf.DUMMYFUNCTION("""COMPUTED_VALUE"""),73.0)</f>
        <v>73</v>
      </c>
      <c r="N3115" s="177" t="str">
        <f>IFERROR(__xludf.DUMMYFUNCTION("""COMPUTED_VALUE"""),"Model 3 Performance")</f>
        <v>Model 3 Performance</v>
      </c>
      <c r="O3115" s="177" t="str">
        <f>IFERROR(__xludf.DUMMYFUNCTION("""COMPUTED_VALUE"""),"Silver Metallic")</f>
        <v>Silver Metallic</v>
      </c>
      <c r="P3115" s="178" t="str">
        <f>IFERROR(__xludf.DUMMYFUNCTION("""COMPUTED_VALUE"""),"20 inch Sport")</f>
        <v>20 inch Sport</v>
      </c>
      <c r="Q3115" s="177" t="str">
        <f>IFERROR(__xludf.DUMMYFUNCTION("""COMPUTED_VALUE"""),"Black seats")</f>
        <v>Black seats</v>
      </c>
      <c r="R3115" s="170" t="str">
        <f>IFERROR(__xludf.DUMMYFUNCTION("""COMPUTED_VALUE"""),"Enhanced Autopilot")</f>
        <v>Enhanced Autopilot</v>
      </c>
      <c r="S3115" s="170"/>
      <c r="T3115" s="179"/>
      <c r="U3115" s="179"/>
      <c r="V3115" s="179"/>
      <c r="W3115" s="180"/>
      <c r="X3115" s="181" t="str">
        <f>IFERROR(__xludf.DUMMYFUNCTION("""COMPUTED_VALUE"""),"Very Good")</f>
        <v>Very Good</v>
      </c>
      <c r="Y3115" s="182" t="str">
        <f>IFERROR(__xludf.DUMMYFUNCTION("""COMPUTED_VALUE"""),"Very Good")</f>
        <v>Very Good</v>
      </c>
      <c r="Z3115" s="182" t="str">
        <f>IFERROR(__xludf.DUMMYFUNCTION("""COMPUTED_VALUE"""),"Very Good")</f>
        <v>Very Good</v>
      </c>
      <c r="AA3115" s="182" t="str">
        <f>IFERROR(__xludf.DUMMYFUNCTION("""COMPUTED_VALUE"""),"Very Good")</f>
        <v>Very Good</v>
      </c>
      <c r="AB3115" s="182" t="str">
        <f>IFERROR(__xludf.DUMMYFUNCTION("""COMPUTED_VALUE"""),"Very Good")</f>
        <v>Very Good</v>
      </c>
      <c r="AC3115" s="183">
        <f>IFERROR(__xludf.DUMMYFUNCTION("""COMPUTED_VALUE"""),5.0)</f>
        <v>5</v>
      </c>
      <c r="AD3115" s="183">
        <f>IFERROR(__xludf.DUMMYFUNCTION("""COMPUTED_VALUE"""),1.0)</f>
        <v>1</v>
      </c>
      <c r="AE3115" s="183"/>
      <c r="AF3115" s="184"/>
      <c r="AG3115" s="180"/>
      <c r="AH3115" s="185">
        <f>IFERROR(__xludf.DUMMYFUNCTION("""COMPUTED_VALUE"""),43361.16740721065)</f>
        <v>43361.16741</v>
      </c>
      <c r="AI3115" s="182"/>
      <c r="AJ3115" s="182"/>
      <c r="AK3115" s="182"/>
      <c r="AL3115" s="182"/>
    </row>
    <row r="3116" ht="20.25" customHeight="1">
      <c r="A3116" s="169" t="str">
        <f>IFERROR(__xludf.DUMMYFUNCTION("""COMPUTED_VALUE"""),"KG M3")</f>
        <v>KG M3</v>
      </c>
      <c r="B3116" s="170" t="str">
        <f>IFERROR(__xludf.DUMMYFUNCTION("""COMPUTED_VALUE"""),"Pasadena ")</f>
        <v>Pasadena </v>
      </c>
      <c r="C3116" s="170" t="str">
        <f>IFERROR(__xludf.DUMMYFUNCTION("""COMPUTED_VALUE"""),"CA")</f>
        <v>CA</v>
      </c>
      <c r="D3116" s="170" t="str">
        <f>IFERROR(__xludf.DUMMYFUNCTION("""COMPUTED_VALUE"""),"USA")</f>
        <v>USA</v>
      </c>
      <c r="E3116" s="171">
        <f>IFERROR(__xludf.DUMMYFUNCTION("""COMPUTED_VALUE"""),43278.0)</f>
        <v>43278</v>
      </c>
      <c r="F3116" s="172">
        <f>IFERROR(__xludf.DUMMYFUNCTION("""COMPUTED_VALUE"""),43283.0)</f>
        <v>43283</v>
      </c>
      <c r="G3116" s="173"/>
      <c r="H3116" s="174">
        <f>IFERROR(__xludf.DUMMYFUNCTION("""COMPUTED_VALUE"""),37070.0)</f>
        <v>37070</v>
      </c>
      <c r="I3116" s="175" t="str">
        <f>IFERROR(__xludf.DUMMYFUNCTION("""COMPUTED_VALUE"""),"07/18")</f>
        <v>07/18</v>
      </c>
      <c r="J3116" s="172">
        <f>IFERROR(__xludf.DUMMYFUNCTION("""COMPUTED_VALUE"""),43289.0)</f>
        <v>43289</v>
      </c>
      <c r="K3116" s="176">
        <f>IFERROR(__xludf.DUMMYFUNCTION("""COMPUTED_VALUE"""),5.0)</f>
        <v>5</v>
      </c>
      <c r="L3116" s="176">
        <f>IFERROR(__xludf.DUMMYFUNCTION("""COMPUTED_VALUE"""),6.0)</f>
        <v>6</v>
      </c>
      <c r="M3116" s="176">
        <f>IFERROR(__xludf.DUMMYFUNCTION("""COMPUTED_VALUE"""),11.0)</f>
        <v>11</v>
      </c>
      <c r="N3116" s="177" t="str">
        <f>IFERROR(__xludf.DUMMYFUNCTION("""COMPUTED_VALUE"""),"Model 3 LR")</f>
        <v>Model 3 LR</v>
      </c>
      <c r="O3116" s="177" t="str">
        <f>IFERROR(__xludf.DUMMYFUNCTION("""COMPUTED_VALUE"""),"Midnight Silver Metallic")</f>
        <v>Midnight Silver Metallic</v>
      </c>
      <c r="P3116" s="178" t="str">
        <f>IFERROR(__xludf.DUMMYFUNCTION("""COMPUTED_VALUE"""),"18 inch Aero")</f>
        <v>18 inch Aero</v>
      </c>
      <c r="Q3116" s="177" t="str">
        <f>IFERROR(__xludf.DUMMYFUNCTION("""COMPUTED_VALUE"""),"Black seats")</f>
        <v>Black seats</v>
      </c>
      <c r="R3116" s="170" t="str">
        <f>IFERROR(__xludf.DUMMYFUNCTION("""COMPUTED_VALUE"""),"Full Self-Driving")</f>
        <v>Full Self-Driving</v>
      </c>
      <c r="S3116" s="170"/>
      <c r="T3116" s="179"/>
      <c r="U3116" s="179"/>
      <c r="V3116" s="179"/>
      <c r="W3116" s="180"/>
      <c r="X3116" s="181" t="str">
        <f>IFERROR(__xludf.DUMMYFUNCTION("""COMPUTED_VALUE"""),"Excellent")</f>
        <v>Excellent</v>
      </c>
      <c r="Y3116" s="182" t="str">
        <f>IFERROR(__xludf.DUMMYFUNCTION("""COMPUTED_VALUE"""),"Excellent")</f>
        <v>Excellent</v>
      </c>
      <c r="Z3116" s="182" t="str">
        <f>IFERROR(__xludf.DUMMYFUNCTION("""COMPUTED_VALUE"""),"Excellent")</f>
        <v>Excellent</v>
      </c>
      <c r="AA3116" s="182" t="str">
        <f>IFERROR(__xludf.DUMMYFUNCTION("""COMPUTED_VALUE"""),"Very Good")</f>
        <v>Very Good</v>
      </c>
      <c r="AB3116" s="182" t="str">
        <f>IFERROR(__xludf.DUMMYFUNCTION("""COMPUTED_VALUE"""),"Poor")</f>
        <v>Poor</v>
      </c>
      <c r="AC3116" s="183">
        <f>IFERROR(__xludf.DUMMYFUNCTION("""COMPUTED_VALUE"""),2.0)</f>
        <v>2</v>
      </c>
      <c r="AD3116" s="183"/>
      <c r="AE3116" s="183"/>
      <c r="AF3116" s="184"/>
      <c r="AG3116" s="180" t="str">
        <f>IFERROR(__xludf.DUMMYFUNCTION("""COMPUTED_VALUE"""),"5 minute delivery is terrible.  ")</f>
        <v>5 minute delivery is terrible.  </v>
      </c>
      <c r="AH3116" s="185">
        <f>IFERROR(__xludf.DUMMYFUNCTION("""COMPUTED_VALUE"""),43305.247547175924)</f>
        <v>43305.24755</v>
      </c>
      <c r="AI3116" s="182"/>
      <c r="AJ3116" s="182"/>
      <c r="AK3116" s="182"/>
      <c r="AL3116" s="182"/>
    </row>
    <row r="3117" ht="20.25" customHeight="1">
      <c r="A3117" s="169" t="str">
        <f>IFERROR(__xludf.DUMMYFUNCTION("""COMPUTED_VALUE"""),"Kimberly B")</f>
        <v>Kimberly B</v>
      </c>
      <c r="B3117" s="170" t="str">
        <f>IFERROR(__xludf.DUMMYFUNCTION("""COMPUTED_VALUE"""),"Edwardsburg")</f>
        <v>Edwardsburg</v>
      </c>
      <c r="C3117" s="170" t="str">
        <f>IFERROR(__xludf.DUMMYFUNCTION("""COMPUTED_VALUE"""),"MI")</f>
        <v>MI</v>
      </c>
      <c r="D3117" s="170" t="str">
        <f>IFERROR(__xludf.DUMMYFUNCTION("""COMPUTED_VALUE"""),"USA")</f>
        <v>USA</v>
      </c>
      <c r="E3117" s="171">
        <f>IFERROR(__xludf.DUMMYFUNCTION("""COMPUTED_VALUE"""),43278.0)</f>
        <v>43278</v>
      </c>
      <c r="F3117" s="172">
        <f>IFERROR(__xludf.DUMMYFUNCTION("""COMPUTED_VALUE"""),43374.0)</f>
        <v>43374</v>
      </c>
      <c r="G3117" s="173"/>
      <c r="H3117" s="174">
        <f>IFERROR(__xludf.DUMMYFUNCTION("""COMPUTED_VALUE"""),69529.0)</f>
        <v>69529</v>
      </c>
      <c r="I3117" s="175" t="str">
        <f>IFERROR(__xludf.DUMMYFUNCTION("""COMPUTED_VALUE"""),"09/18")</f>
        <v>09/18</v>
      </c>
      <c r="J3117" s="172">
        <f>IFERROR(__xludf.DUMMYFUNCTION("""COMPUTED_VALUE"""),43379.0)</f>
        <v>43379</v>
      </c>
      <c r="K3117" s="176">
        <f>IFERROR(__xludf.DUMMYFUNCTION("""COMPUTED_VALUE"""),96.0)</f>
        <v>96</v>
      </c>
      <c r="L3117" s="176">
        <f>IFERROR(__xludf.DUMMYFUNCTION("""COMPUTED_VALUE"""),5.0)</f>
        <v>5</v>
      </c>
      <c r="M3117" s="176">
        <f>IFERROR(__xludf.DUMMYFUNCTION("""COMPUTED_VALUE"""),101.0)</f>
        <v>101</v>
      </c>
      <c r="N3117" s="177" t="str">
        <f>IFERROR(__xludf.DUMMYFUNCTION("""COMPUTED_VALUE"""),"Model 3 LR AWD")</f>
        <v>Model 3 LR AWD</v>
      </c>
      <c r="O3117" s="177" t="str">
        <f>IFERROR(__xludf.DUMMYFUNCTION("""COMPUTED_VALUE"""),"Red Multi-Coat")</f>
        <v>Red Multi-Coat</v>
      </c>
      <c r="P3117" s="178" t="str">
        <f>IFERROR(__xludf.DUMMYFUNCTION("""COMPUTED_VALUE"""),"18 inch Aero")</f>
        <v>18 inch Aero</v>
      </c>
      <c r="Q3117" s="177" t="str">
        <f>IFERROR(__xludf.DUMMYFUNCTION("""COMPUTED_VALUE"""),"Black seats")</f>
        <v>Black seats</v>
      </c>
      <c r="R3117" s="170" t="str">
        <f>IFERROR(__xludf.DUMMYFUNCTION("""COMPUTED_VALUE"""),"None")</f>
        <v>None</v>
      </c>
      <c r="S3117" s="170"/>
      <c r="T3117" s="179"/>
      <c r="U3117" s="179"/>
      <c r="V3117" s="179"/>
      <c r="W3117" s="180"/>
      <c r="X3117" s="181" t="str">
        <f>IFERROR(__xludf.DUMMYFUNCTION("""COMPUTED_VALUE"""),"Very Good")</f>
        <v>Very Good</v>
      </c>
      <c r="Y3117" s="182" t="str">
        <f>IFERROR(__xludf.DUMMYFUNCTION("""COMPUTED_VALUE"""),"Very Good")</f>
        <v>Very Good</v>
      </c>
      <c r="Z3117" s="182" t="str">
        <f>IFERROR(__xludf.DUMMYFUNCTION("""COMPUTED_VALUE"""),"Very Good")</f>
        <v>Very Good</v>
      </c>
      <c r="AA3117" s="182" t="str">
        <f>IFERROR(__xludf.DUMMYFUNCTION("""COMPUTED_VALUE"""),"Very Good")</f>
        <v>Very Good</v>
      </c>
      <c r="AB3117" s="182" t="str">
        <f>IFERROR(__xludf.DUMMYFUNCTION("""COMPUTED_VALUE"""),"Very Good")</f>
        <v>Very Good</v>
      </c>
      <c r="AC3117" s="183">
        <f>IFERROR(__xludf.DUMMYFUNCTION("""COMPUTED_VALUE"""),0.0)</f>
        <v>0</v>
      </c>
      <c r="AD3117" s="183"/>
      <c r="AE3117" s="183"/>
      <c r="AF3117" s="184"/>
      <c r="AG3117" s="180"/>
      <c r="AH3117" s="185">
        <f>IFERROR(__xludf.DUMMYFUNCTION("""COMPUTED_VALUE"""),43381.726959074076)</f>
        <v>43381.72696</v>
      </c>
      <c r="AI3117" s="182"/>
      <c r="AJ3117" s="182"/>
      <c r="AK3117" s="182"/>
      <c r="AL3117" s="182"/>
    </row>
    <row r="3118" ht="20.25" customHeight="1">
      <c r="A3118" s="169" t="str">
        <f>IFERROR(__xludf.DUMMYFUNCTION("""COMPUTED_VALUE"""),"Kizzy")</f>
        <v>Kizzy</v>
      </c>
      <c r="B3118" s="170" t="str">
        <f>IFERROR(__xludf.DUMMYFUNCTION("""COMPUTED_VALUE"""),"North Bay")</f>
        <v>North Bay</v>
      </c>
      <c r="C3118" s="170" t="str">
        <f>IFERROR(__xludf.DUMMYFUNCTION("""COMPUTED_VALUE"""),"CA")</f>
        <v>CA</v>
      </c>
      <c r="D3118" s="170" t="str">
        <f>IFERROR(__xludf.DUMMYFUNCTION("""COMPUTED_VALUE"""),"USA")</f>
        <v>USA</v>
      </c>
      <c r="E3118" s="171">
        <f>IFERROR(__xludf.DUMMYFUNCTION("""COMPUTED_VALUE"""),43278.0)</f>
        <v>43278</v>
      </c>
      <c r="F3118" s="172">
        <f>IFERROR(__xludf.DUMMYFUNCTION("""COMPUTED_VALUE"""),43364.0)</f>
        <v>43364</v>
      </c>
      <c r="G3118" s="173"/>
      <c r="H3118" s="174">
        <f>IFERROR(__xludf.DUMMYFUNCTION("""COMPUTED_VALUE"""),64955.0)</f>
        <v>64955</v>
      </c>
      <c r="I3118" s="175" t="str">
        <f>IFERROR(__xludf.DUMMYFUNCTION("""COMPUTED_VALUE"""),"09/18")</f>
        <v>09/18</v>
      </c>
      <c r="J3118" s="172">
        <f>IFERROR(__xludf.DUMMYFUNCTION("""COMPUTED_VALUE"""),43366.0)</f>
        <v>43366</v>
      </c>
      <c r="K3118" s="176">
        <f>IFERROR(__xludf.DUMMYFUNCTION("""COMPUTED_VALUE"""),86.0)</f>
        <v>86</v>
      </c>
      <c r="L3118" s="176">
        <f>IFERROR(__xludf.DUMMYFUNCTION("""COMPUTED_VALUE"""),2.0)</f>
        <v>2</v>
      </c>
      <c r="M3118" s="176">
        <f>IFERROR(__xludf.DUMMYFUNCTION("""COMPUTED_VALUE"""),88.0)</f>
        <v>88</v>
      </c>
      <c r="N3118" s="177" t="str">
        <f>IFERROR(__xludf.DUMMYFUNCTION("""COMPUTED_VALUE"""),"Model 3 LR AWD")</f>
        <v>Model 3 LR AWD</v>
      </c>
      <c r="O3118" s="177" t="str">
        <f>IFERROR(__xludf.DUMMYFUNCTION("""COMPUTED_VALUE"""),"Deep Blue Metallic")</f>
        <v>Deep Blue Metallic</v>
      </c>
      <c r="P3118" s="178" t="str">
        <f>IFERROR(__xludf.DUMMYFUNCTION("""COMPUTED_VALUE"""),"18 inch Aero")</f>
        <v>18 inch Aero</v>
      </c>
      <c r="Q3118" s="177" t="str">
        <f>IFERROR(__xludf.DUMMYFUNCTION("""COMPUTED_VALUE"""),"Black seats")</f>
        <v>Black seats</v>
      </c>
      <c r="R3118" s="170" t="str">
        <f>IFERROR(__xludf.DUMMYFUNCTION("""COMPUTED_VALUE"""),"Enhanced Autopilot")</f>
        <v>Enhanced Autopilot</v>
      </c>
      <c r="S3118" s="170"/>
      <c r="T3118" s="179"/>
      <c r="U3118" s="179"/>
      <c r="V3118" s="179"/>
      <c r="W3118" s="180"/>
      <c r="X3118" s="181" t="str">
        <f>IFERROR(__xludf.DUMMYFUNCTION("""COMPUTED_VALUE"""),"Good")</f>
        <v>Good</v>
      </c>
      <c r="Y3118" s="182" t="str">
        <f>IFERROR(__xludf.DUMMYFUNCTION("""COMPUTED_VALUE"""),"Good")</f>
        <v>Good</v>
      </c>
      <c r="Z3118" s="182" t="str">
        <f>IFERROR(__xludf.DUMMYFUNCTION("""COMPUTED_VALUE"""),"Good")</f>
        <v>Good</v>
      </c>
      <c r="AA3118" s="182" t="str">
        <f>IFERROR(__xludf.DUMMYFUNCTION("""COMPUTED_VALUE"""),"Fair")</f>
        <v>Fair</v>
      </c>
      <c r="AB3118" s="182" t="str">
        <f>IFERROR(__xludf.DUMMYFUNCTION("""COMPUTED_VALUE"""),"Good")</f>
        <v>Good</v>
      </c>
      <c r="AC3118" s="183">
        <f>IFERROR(__xludf.DUMMYFUNCTION("""COMPUTED_VALUE"""),0.0)</f>
        <v>0</v>
      </c>
      <c r="AD3118" s="183">
        <f>IFERROR(__xludf.DUMMYFUNCTION("""COMPUTED_VALUE"""),0.0)</f>
        <v>0</v>
      </c>
      <c r="AE3118" s="183"/>
      <c r="AF3118" s="184"/>
      <c r="AG3118" s="180"/>
      <c r="AH3118" s="185">
        <f>IFERROR(__xludf.DUMMYFUNCTION("""COMPUTED_VALUE"""),43467.37571627315)</f>
        <v>43467.37572</v>
      </c>
      <c r="AI3118" s="182"/>
      <c r="AJ3118" s="182"/>
      <c r="AK3118" s="182"/>
      <c r="AL3118" s="182"/>
    </row>
    <row r="3119" ht="20.25" customHeight="1">
      <c r="A3119" s="169" t="str">
        <f>IFERROR(__xludf.DUMMYFUNCTION("""COMPUTED_VALUE"""),"kole")</f>
        <v>kole</v>
      </c>
      <c r="B3119" s="170" t="str">
        <f>IFERROR(__xludf.DUMMYFUNCTION("""COMPUTED_VALUE"""),"Ottawa")</f>
        <v>Ottawa</v>
      </c>
      <c r="C3119" s="170" t="str">
        <f>IFERROR(__xludf.DUMMYFUNCTION("""COMPUTED_VALUE"""),"ON")</f>
        <v>ON</v>
      </c>
      <c r="D3119" s="170" t="str">
        <f>IFERROR(__xludf.DUMMYFUNCTION("""COMPUTED_VALUE"""),"Canada")</f>
        <v>Canada</v>
      </c>
      <c r="E3119" s="171">
        <f>IFERROR(__xludf.DUMMYFUNCTION("""COMPUTED_VALUE"""),43278.0)</f>
        <v>43278</v>
      </c>
      <c r="F3119" s="172">
        <f>IFERROR(__xludf.DUMMYFUNCTION("""COMPUTED_VALUE"""),43411.0)</f>
        <v>43411</v>
      </c>
      <c r="G3119" s="173"/>
      <c r="H3119" s="174">
        <f>IFERROR(__xludf.DUMMYFUNCTION("""COMPUTED_VALUE"""),126855.0)</f>
        <v>126855</v>
      </c>
      <c r="I3119" s="175" t="str">
        <f>IFERROR(__xludf.DUMMYFUNCTION("""COMPUTED_VALUE"""),"10/18")</f>
        <v>10/18</v>
      </c>
      <c r="J3119" s="172">
        <f>IFERROR(__xludf.DUMMYFUNCTION("""COMPUTED_VALUE"""),43424.0)</f>
        <v>43424</v>
      </c>
      <c r="K3119" s="176">
        <f>IFERROR(__xludf.DUMMYFUNCTION("""COMPUTED_VALUE"""),133.0)</f>
        <v>133</v>
      </c>
      <c r="L3119" s="176">
        <f>IFERROR(__xludf.DUMMYFUNCTION("""COMPUTED_VALUE"""),13.0)</f>
        <v>13</v>
      </c>
      <c r="M3119" s="176">
        <f>IFERROR(__xludf.DUMMYFUNCTION("""COMPUTED_VALUE"""),146.0)</f>
        <v>146</v>
      </c>
      <c r="N3119" s="177" t="str">
        <f>IFERROR(__xludf.DUMMYFUNCTION("""COMPUTED_VALUE"""),"Model 3 LR AWD")</f>
        <v>Model 3 LR AWD</v>
      </c>
      <c r="O3119" s="177" t="str">
        <f>IFERROR(__xludf.DUMMYFUNCTION("""COMPUTED_VALUE"""),"Midnight Silver Metallic")</f>
        <v>Midnight Silver Metallic</v>
      </c>
      <c r="P3119" s="178" t="str">
        <f>IFERROR(__xludf.DUMMYFUNCTION("""COMPUTED_VALUE"""),"18 inch Aero")</f>
        <v>18 inch Aero</v>
      </c>
      <c r="Q3119" s="177" t="str">
        <f>IFERROR(__xludf.DUMMYFUNCTION("""COMPUTED_VALUE"""),"Black seats")</f>
        <v>Black seats</v>
      </c>
      <c r="R3119" s="170" t="str">
        <f>IFERROR(__xludf.DUMMYFUNCTION("""COMPUTED_VALUE"""),"None")</f>
        <v>None</v>
      </c>
      <c r="S3119" s="170"/>
      <c r="T3119" s="179"/>
      <c r="U3119" s="179"/>
      <c r="V3119" s="179"/>
      <c r="W3119" s="180"/>
      <c r="X3119" s="181" t="str">
        <f>IFERROR(__xludf.DUMMYFUNCTION("""COMPUTED_VALUE"""),"Very Good")</f>
        <v>Very Good</v>
      </c>
      <c r="Y3119" s="182" t="str">
        <f>IFERROR(__xludf.DUMMYFUNCTION("""COMPUTED_VALUE"""),"Excellent")</f>
        <v>Excellent</v>
      </c>
      <c r="Z3119" s="182" t="str">
        <f>IFERROR(__xludf.DUMMYFUNCTION("""COMPUTED_VALUE"""),"Very Good")</f>
        <v>Very Good</v>
      </c>
      <c r="AA3119" s="182" t="str">
        <f>IFERROR(__xludf.DUMMYFUNCTION("""COMPUTED_VALUE"""),"Poor")</f>
        <v>Poor</v>
      </c>
      <c r="AB3119" s="182" t="str">
        <f>IFERROR(__xludf.DUMMYFUNCTION("""COMPUTED_VALUE"""),"Poor")</f>
        <v>Poor</v>
      </c>
      <c r="AC3119" s="183"/>
      <c r="AD3119" s="183"/>
      <c r="AE3119" s="183"/>
      <c r="AF3119" s="184"/>
      <c r="AG3119" s="180"/>
      <c r="AH3119" s="185">
        <f>IFERROR(__xludf.DUMMYFUNCTION("""COMPUTED_VALUE"""),43427.31364850694)</f>
        <v>43427.31365</v>
      </c>
      <c r="AI3119" s="182"/>
      <c r="AJ3119" s="182"/>
      <c r="AK3119" s="182"/>
      <c r="AL3119" s="182"/>
    </row>
    <row r="3120" ht="20.25" customHeight="1">
      <c r="A3120" s="169" t="str">
        <f>IFERROR(__xludf.DUMMYFUNCTION("""COMPUTED_VALUE"""),"krodri")</f>
        <v>krodri</v>
      </c>
      <c r="B3120" s="170" t="str">
        <f>IFERROR(__xludf.DUMMYFUNCTION("""COMPUTED_VALUE"""),"Los Angeles")</f>
        <v>Los Angeles</v>
      </c>
      <c r="C3120" s="170" t="str">
        <f>IFERROR(__xludf.DUMMYFUNCTION("""COMPUTED_VALUE"""),"CA")</f>
        <v>CA</v>
      </c>
      <c r="D3120" s="170" t="str">
        <f>IFERROR(__xludf.DUMMYFUNCTION("""COMPUTED_VALUE"""),"USA")</f>
        <v>USA</v>
      </c>
      <c r="E3120" s="171">
        <f>IFERROR(__xludf.DUMMYFUNCTION("""COMPUTED_VALUE"""),43278.0)</f>
        <v>43278</v>
      </c>
      <c r="F3120" s="172">
        <f>IFERROR(__xludf.DUMMYFUNCTION("""COMPUTED_VALUE"""),43299.0)</f>
        <v>43299</v>
      </c>
      <c r="G3120" s="173"/>
      <c r="H3120" s="174">
        <f>IFERROR(__xludf.DUMMYFUNCTION("""COMPUTED_VALUE"""),50655.0)</f>
        <v>50655</v>
      </c>
      <c r="I3120" s="175"/>
      <c r="J3120" s="172">
        <f>IFERROR(__xludf.DUMMYFUNCTION("""COMPUTED_VALUE"""),43305.0)</f>
        <v>43305</v>
      </c>
      <c r="K3120" s="176">
        <f>IFERROR(__xludf.DUMMYFUNCTION("""COMPUTED_VALUE"""),21.0)</f>
        <v>21</v>
      </c>
      <c r="L3120" s="176">
        <f>IFERROR(__xludf.DUMMYFUNCTION("""COMPUTED_VALUE"""),6.0)</f>
        <v>6</v>
      </c>
      <c r="M3120" s="176">
        <f>IFERROR(__xludf.DUMMYFUNCTION("""COMPUTED_VALUE"""),27.0)</f>
        <v>27</v>
      </c>
      <c r="N3120" s="177" t="str">
        <f>IFERROR(__xludf.DUMMYFUNCTION("""COMPUTED_VALUE"""),"Model 3 LR")</f>
        <v>Model 3 LR</v>
      </c>
      <c r="O3120" s="177" t="str">
        <f>IFERROR(__xludf.DUMMYFUNCTION("""COMPUTED_VALUE"""),"Red Multi-Coat")</f>
        <v>Red Multi-Coat</v>
      </c>
      <c r="P3120" s="178" t="str">
        <f>IFERROR(__xludf.DUMMYFUNCTION("""COMPUTED_VALUE"""),"19 inch Sport")</f>
        <v>19 inch Sport</v>
      </c>
      <c r="Q3120" s="177" t="str">
        <f>IFERROR(__xludf.DUMMYFUNCTION("""COMPUTED_VALUE"""),"Black seats")</f>
        <v>Black seats</v>
      </c>
      <c r="R3120" s="170" t="str">
        <f>IFERROR(__xludf.DUMMYFUNCTION("""COMPUTED_VALUE"""),"Enhanced Autopilot")</f>
        <v>Enhanced Autopilot</v>
      </c>
      <c r="S3120" s="170"/>
      <c r="T3120" s="179"/>
      <c r="U3120" s="179"/>
      <c r="V3120" s="179"/>
      <c r="W3120" s="180"/>
      <c r="X3120" s="181" t="str">
        <f>IFERROR(__xludf.DUMMYFUNCTION("""COMPUTED_VALUE"""),"Very Good")</f>
        <v>Very Good</v>
      </c>
      <c r="Y3120" s="182" t="str">
        <f>IFERROR(__xludf.DUMMYFUNCTION("""COMPUTED_VALUE"""),"Very Good")</f>
        <v>Very Good</v>
      </c>
      <c r="Z3120" s="182" t="str">
        <f>IFERROR(__xludf.DUMMYFUNCTION("""COMPUTED_VALUE"""),"Very Good")</f>
        <v>Very Good</v>
      </c>
      <c r="AA3120" s="182" t="str">
        <f>IFERROR(__xludf.DUMMYFUNCTION("""COMPUTED_VALUE"""),"Very Good")</f>
        <v>Very Good</v>
      </c>
      <c r="AB3120" s="182" t="str">
        <f>IFERROR(__xludf.DUMMYFUNCTION("""COMPUTED_VALUE"""),"Very Good")</f>
        <v>Very Good</v>
      </c>
      <c r="AC3120" s="183"/>
      <c r="AD3120" s="183"/>
      <c r="AE3120" s="183"/>
      <c r="AF3120" s="184"/>
      <c r="AG3120" s="180"/>
      <c r="AH3120" s="185">
        <f>IFERROR(__xludf.DUMMYFUNCTION("""COMPUTED_VALUE"""),43305.97912539352)</f>
        <v>43305.97913</v>
      </c>
      <c r="AI3120" s="182"/>
      <c r="AJ3120" s="182"/>
      <c r="AK3120" s="182"/>
      <c r="AL3120" s="182"/>
    </row>
    <row r="3121" ht="20.25" customHeight="1">
      <c r="A3121" s="169" t="str">
        <f>IFERROR(__xludf.DUMMYFUNCTION("""COMPUTED_VALUE"""),"LentilMcBean")</f>
        <v>LentilMcBean</v>
      </c>
      <c r="B3121" s="170" t="str">
        <f>IFERROR(__xludf.DUMMYFUNCTION("""COMPUTED_VALUE"""),"Cazenovia")</f>
        <v>Cazenovia</v>
      </c>
      <c r="C3121" s="170" t="str">
        <f>IFERROR(__xludf.DUMMYFUNCTION("""COMPUTED_VALUE"""),"NY")</f>
        <v>NY</v>
      </c>
      <c r="D3121" s="170" t="str">
        <f>IFERROR(__xludf.DUMMYFUNCTION("""COMPUTED_VALUE"""),"USA")</f>
        <v>USA</v>
      </c>
      <c r="E3121" s="171">
        <f>IFERROR(__xludf.DUMMYFUNCTION("""COMPUTED_VALUE"""),43278.0)</f>
        <v>43278</v>
      </c>
      <c r="F3121" s="172">
        <f>IFERROR(__xludf.DUMMYFUNCTION("""COMPUTED_VALUE"""),43328.0)</f>
        <v>43328</v>
      </c>
      <c r="G3121" s="173"/>
      <c r="H3121" s="174">
        <f>IFERROR(__xludf.DUMMYFUNCTION("""COMPUTED_VALUE"""),64455.0)</f>
        <v>64455</v>
      </c>
      <c r="I3121" s="175" t="str">
        <f>IFERROR(__xludf.DUMMYFUNCTION("""COMPUTED_VALUE"""),"07/18")</f>
        <v>07/18</v>
      </c>
      <c r="J3121" s="172">
        <f>IFERROR(__xludf.DUMMYFUNCTION("""COMPUTED_VALUE"""),43344.0)</f>
        <v>43344</v>
      </c>
      <c r="K3121" s="176">
        <f>IFERROR(__xludf.DUMMYFUNCTION("""COMPUTED_VALUE"""),50.0)</f>
        <v>50</v>
      </c>
      <c r="L3121" s="176">
        <f>IFERROR(__xludf.DUMMYFUNCTION("""COMPUTED_VALUE"""),16.0)</f>
        <v>16</v>
      </c>
      <c r="M3121" s="176">
        <f>IFERROR(__xludf.DUMMYFUNCTION("""COMPUTED_VALUE"""),66.0)</f>
        <v>66</v>
      </c>
      <c r="N3121" s="177" t="str">
        <f>IFERROR(__xludf.DUMMYFUNCTION("""COMPUTED_VALUE"""),"Model 3 LR AWD")</f>
        <v>Model 3 LR AWD</v>
      </c>
      <c r="O3121" s="177" t="str">
        <f>IFERROR(__xludf.DUMMYFUNCTION("""COMPUTED_VALUE"""),"Deep Blue Metallic")</f>
        <v>Deep Blue Metallic</v>
      </c>
      <c r="P3121" s="178" t="str">
        <f>IFERROR(__xludf.DUMMYFUNCTION("""COMPUTED_VALUE"""),"18 inch Aero")</f>
        <v>18 inch Aero</v>
      </c>
      <c r="Q3121" s="177" t="str">
        <f>IFERROR(__xludf.DUMMYFUNCTION("""COMPUTED_VALUE"""),"Black seats")</f>
        <v>Black seats</v>
      </c>
      <c r="R3121" s="170" t="str">
        <f>IFERROR(__xludf.DUMMYFUNCTION("""COMPUTED_VALUE"""),"Full Self-Driving")</f>
        <v>Full Self-Driving</v>
      </c>
      <c r="S3121" s="170"/>
      <c r="T3121" s="179"/>
      <c r="U3121" s="179"/>
      <c r="V3121" s="179"/>
      <c r="W3121" s="180"/>
      <c r="X3121" s="181" t="str">
        <f>IFERROR(__xludf.DUMMYFUNCTION("""COMPUTED_VALUE"""),"Very Good")</f>
        <v>Very Good</v>
      </c>
      <c r="Y3121" s="182" t="str">
        <f>IFERROR(__xludf.DUMMYFUNCTION("""COMPUTED_VALUE"""),"Excellent")</f>
        <v>Excellent</v>
      </c>
      <c r="Z3121" s="182" t="str">
        <f>IFERROR(__xludf.DUMMYFUNCTION("""COMPUTED_VALUE"""),"Good")</f>
        <v>Good</v>
      </c>
      <c r="AA3121" s="182" t="str">
        <f>IFERROR(__xludf.DUMMYFUNCTION("""COMPUTED_VALUE"""),"Good")</f>
        <v>Good</v>
      </c>
      <c r="AB3121" s="182" t="str">
        <f>IFERROR(__xludf.DUMMYFUNCTION("""COMPUTED_VALUE"""),"Fair")</f>
        <v>Fair</v>
      </c>
      <c r="AC3121" s="183">
        <f>IFERROR(__xludf.DUMMYFUNCTION("""COMPUTED_VALUE"""),2.0)</f>
        <v>2</v>
      </c>
      <c r="AD3121" s="183">
        <f>IFERROR(__xludf.DUMMYFUNCTION("""COMPUTED_VALUE"""),0.0)</f>
        <v>0</v>
      </c>
      <c r="AE3121" s="183">
        <f>IFERROR(__xludf.DUMMYFUNCTION("""COMPUTED_VALUE"""),0.0)</f>
        <v>0</v>
      </c>
      <c r="AF3121" s="184"/>
      <c r="AG3121" s="180"/>
      <c r="AH3121" s="185">
        <f>IFERROR(__xludf.DUMMYFUNCTION("""COMPUTED_VALUE"""),43345.668857083336)</f>
        <v>43345.66886</v>
      </c>
      <c r="AI3121" s="182"/>
      <c r="AJ3121" s="182"/>
      <c r="AK3121" s="182"/>
      <c r="AL3121" s="182"/>
    </row>
    <row r="3122" ht="20.25" customHeight="1">
      <c r="A3122" s="169" t="str">
        <f>IFERROR(__xludf.DUMMYFUNCTION("""COMPUTED_VALUE"""),"Leodoc")</f>
        <v>Leodoc</v>
      </c>
      <c r="B3122" s="170" t="str">
        <f>IFERROR(__xludf.DUMMYFUNCTION("""COMPUTED_VALUE"""),"s florida")</f>
        <v>s florida</v>
      </c>
      <c r="C3122" s="170" t="str">
        <f>IFERROR(__xludf.DUMMYFUNCTION("""COMPUTED_VALUE"""),"FL")</f>
        <v>FL</v>
      </c>
      <c r="D3122" s="170" t="str">
        <f>IFERROR(__xludf.DUMMYFUNCTION("""COMPUTED_VALUE"""),"USA")</f>
        <v>USA</v>
      </c>
      <c r="E3122" s="171">
        <f>IFERROR(__xludf.DUMMYFUNCTION("""COMPUTED_VALUE"""),43278.0)</f>
        <v>43278</v>
      </c>
      <c r="F3122" s="172">
        <f>IFERROR(__xludf.DUMMYFUNCTION("""COMPUTED_VALUE"""),43339.0)</f>
        <v>43339</v>
      </c>
      <c r="G3122" s="173"/>
      <c r="H3122" s="174">
        <f>IFERROR(__xludf.DUMMYFUNCTION("""COMPUTED_VALUE"""),73047.0)</f>
        <v>73047</v>
      </c>
      <c r="I3122" s="175"/>
      <c r="J3122" s="172">
        <f>IFERROR(__xludf.DUMMYFUNCTION("""COMPUTED_VALUE"""),43357.0)</f>
        <v>43357</v>
      </c>
      <c r="K3122" s="176">
        <f>IFERROR(__xludf.DUMMYFUNCTION("""COMPUTED_VALUE"""),61.0)</f>
        <v>61</v>
      </c>
      <c r="L3122" s="176">
        <f>IFERROR(__xludf.DUMMYFUNCTION("""COMPUTED_VALUE"""),18.0)</f>
        <v>18</v>
      </c>
      <c r="M3122" s="176">
        <f>IFERROR(__xludf.DUMMYFUNCTION("""COMPUTED_VALUE"""),79.0)</f>
        <v>79</v>
      </c>
      <c r="N3122" s="177" t="str">
        <f>IFERROR(__xludf.DUMMYFUNCTION("""COMPUTED_VALUE"""),"Model 3 Performance")</f>
        <v>Model 3 Performance</v>
      </c>
      <c r="O3122" s="177" t="str">
        <f>IFERROR(__xludf.DUMMYFUNCTION("""COMPUTED_VALUE"""),"Midnight Silver Metallic")</f>
        <v>Midnight Silver Metallic</v>
      </c>
      <c r="P3122" s="178" t="str">
        <f>IFERROR(__xludf.DUMMYFUNCTION("""COMPUTED_VALUE"""),"20 inch Sport")</f>
        <v>20 inch Sport</v>
      </c>
      <c r="Q3122" s="177" t="str">
        <f>IFERROR(__xludf.DUMMYFUNCTION("""COMPUTED_VALUE"""),"Black seats")</f>
        <v>Black seats</v>
      </c>
      <c r="R3122" s="170" t="str">
        <f>IFERROR(__xludf.DUMMYFUNCTION("""COMPUTED_VALUE"""),"Enhanced Autopilot")</f>
        <v>Enhanced Autopilot</v>
      </c>
      <c r="S3122" s="170"/>
      <c r="T3122" s="179"/>
      <c r="U3122" s="179"/>
      <c r="V3122" s="179"/>
      <c r="W3122" s="180"/>
      <c r="X3122" s="181" t="str">
        <f>IFERROR(__xludf.DUMMYFUNCTION("""COMPUTED_VALUE"""),"Very Good")</f>
        <v>Very Good</v>
      </c>
      <c r="Y3122" s="182" t="str">
        <f>IFERROR(__xludf.DUMMYFUNCTION("""COMPUTED_VALUE"""),"Excellent")</f>
        <v>Excellent</v>
      </c>
      <c r="Z3122" s="182" t="str">
        <f>IFERROR(__xludf.DUMMYFUNCTION("""COMPUTED_VALUE"""),"Excellent")</f>
        <v>Excellent</v>
      </c>
      <c r="AA3122" s="182" t="str">
        <f>IFERROR(__xludf.DUMMYFUNCTION("""COMPUTED_VALUE"""),"Excellent")</f>
        <v>Excellent</v>
      </c>
      <c r="AB3122" s="182" t="str">
        <f>IFERROR(__xludf.DUMMYFUNCTION("""COMPUTED_VALUE"""),"Excellent")</f>
        <v>Excellent</v>
      </c>
      <c r="AC3122" s="183"/>
      <c r="AD3122" s="183"/>
      <c r="AE3122" s="183"/>
      <c r="AF3122" s="184"/>
      <c r="AG3122" s="180"/>
      <c r="AH3122" s="185">
        <f>IFERROR(__xludf.DUMMYFUNCTION("""COMPUTED_VALUE"""),43361.00743663195)</f>
        <v>43361.00744</v>
      </c>
      <c r="AI3122" s="182"/>
      <c r="AJ3122" s="182"/>
      <c r="AK3122" s="182"/>
      <c r="AL3122" s="182"/>
    </row>
    <row r="3123" ht="20.25" customHeight="1">
      <c r="A3123" s="169" t="str">
        <f>IFERROR(__xludf.DUMMYFUNCTION("""COMPUTED_VALUE"""),"Lithras")</f>
        <v>Lithras</v>
      </c>
      <c r="B3123" s="170" t="str">
        <f>IFERROR(__xludf.DUMMYFUNCTION("""COMPUTED_VALUE"""),"Lansing")</f>
        <v>Lansing</v>
      </c>
      <c r="C3123" s="170" t="str">
        <f>IFERROR(__xludf.DUMMYFUNCTION("""COMPUTED_VALUE"""),"MI")</f>
        <v>MI</v>
      </c>
      <c r="D3123" s="170" t="str">
        <f>IFERROR(__xludf.DUMMYFUNCTION("""COMPUTED_VALUE"""),"USA")</f>
        <v>USA</v>
      </c>
      <c r="E3123" s="171">
        <f>IFERROR(__xludf.DUMMYFUNCTION("""COMPUTED_VALUE"""),43278.0)</f>
        <v>43278</v>
      </c>
      <c r="F3123" s="172">
        <f>IFERROR(__xludf.DUMMYFUNCTION("""COMPUTED_VALUE"""),43396.0)</f>
        <v>43396</v>
      </c>
      <c r="G3123" s="173"/>
      <c r="H3123" s="174">
        <f>IFERROR(__xludf.DUMMYFUNCTION("""COMPUTED_VALUE"""),104155.0)</f>
        <v>104155</v>
      </c>
      <c r="I3123" s="175"/>
      <c r="J3123" s="172">
        <f>IFERROR(__xludf.DUMMYFUNCTION("""COMPUTED_VALUE"""),43407.0)</f>
        <v>43407</v>
      </c>
      <c r="K3123" s="176">
        <f>IFERROR(__xludf.DUMMYFUNCTION("""COMPUTED_VALUE"""),118.0)</f>
        <v>118</v>
      </c>
      <c r="L3123" s="176">
        <f>IFERROR(__xludf.DUMMYFUNCTION("""COMPUTED_VALUE"""),11.0)</f>
        <v>11</v>
      </c>
      <c r="M3123" s="176">
        <f>IFERROR(__xludf.DUMMYFUNCTION("""COMPUTED_VALUE"""),129.0)</f>
        <v>129</v>
      </c>
      <c r="N3123" s="177" t="str">
        <f>IFERROR(__xludf.DUMMYFUNCTION("""COMPUTED_VALUE"""),"Model 3 LR AWD")</f>
        <v>Model 3 LR AWD</v>
      </c>
      <c r="O3123" s="177" t="str">
        <f>IFERROR(__xludf.DUMMYFUNCTION("""COMPUTED_VALUE"""),"Midnight Silver Metallic")</f>
        <v>Midnight Silver Metallic</v>
      </c>
      <c r="P3123" s="178" t="str">
        <f>IFERROR(__xludf.DUMMYFUNCTION("""COMPUTED_VALUE"""),"18 inch Aero")</f>
        <v>18 inch Aero</v>
      </c>
      <c r="Q3123" s="177" t="str">
        <f>IFERROR(__xludf.DUMMYFUNCTION("""COMPUTED_VALUE"""),"Black seats")</f>
        <v>Black seats</v>
      </c>
      <c r="R3123" s="170" t="str">
        <f>IFERROR(__xludf.DUMMYFUNCTION("""COMPUTED_VALUE"""),"Enhanced Autopilot")</f>
        <v>Enhanced Autopilot</v>
      </c>
      <c r="S3123" s="170"/>
      <c r="T3123" s="179"/>
      <c r="U3123" s="179"/>
      <c r="V3123" s="179"/>
      <c r="W3123" s="180"/>
      <c r="X3123" s="181" t="str">
        <f>IFERROR(__xludf.DUMMYFUNCTION("""COMPUTED_VALUE"""),"Excellent")</f>
        <v>Excellent</v>
      </c>
      <c r="Y3123" s="182" t="str">
        <f>IFERROR(__xludf.DUMMYFUNCTION("""COMPUTED_VALUE"""),"Excellent")</f>
        <v>Excellent</v>
      </c>
      <c r="Z3123" s="182" t="str">
        <f>IFERROR(__xludf.DUMMYFUNCTION("""COMPUTED_VALUE"""),"Good")</f>
        <v>Good</v>
      </c>
      <c r="AA3123" s="182" t="str">
        <f>IFERROR(__xludf.DUMMYFUNCTION("""COMPUTED_VALUE"""),"Good")</f>
        <v>Good</v>
      </c>
      <c r="AB3123" s="182" t="str">
        <f>IFERROR(__xludf.DUMMYFUNCTION("""COMPUTED_VALUE"""),"Very Good")</f>
        <v>Very Good</v>
      </c>
      <c r="AC3123" s="183"/>
      <c r="AD3123" s="183"/>
      <c r="AE3123" s="183"/>
      <c r="AF3123" s="184"/>
      <c r="AG3123" s="180"/>
      <c r="AH3123" s="185">
        <f>IFERROR(__xludf.DUMMYFUNCTION("""COMPUTED_VALUE"""),43408.377521979164)</f>
        <v>43408.37752</v>
      </c>
      <c r="AI3123" s="182"/>
      <c r="AJ3123" s="182"/>
      <c r="AK3123" s="182"/>
      <c r="AL3123" s="182"/>
    </row>
    <row r="3124" ht="20.25" customHeight="1">
      <c r="A3124" s="169" t="str">
        <f>IFERROR(__xludf.DUMMYFUNCTION("""COMPUTED_VALUE"""),"LM-5")</f>
        <v>LM-5</v>
      </c>
      <c r="B3124" s="170" t="str">
        <f>IFERROR(__xludf.DUMMYFUNCTION("""COMPUTED_VALUE"""),"Orange County")</f>
        <v>Orange County</v>
      </c>
      <c r="C3124" s="170" t="str">
        <f>IFERROR(__xludf.DUMMYFUNCTION("""COMPUTED_VALUE"""),"CA")</f>
        <v>CA</v>
      </c>
      <c r="D3124" s="170" t="str">
        <f>IFERROR(__xludf.DUMMYFUNCTION("""COMPUTED_VALUE"""),"USA")</f>
        <v>USA</v>
      </c>
      <c r="E3124" s="171">
        <f>IFERROR(__xludf.DUMMYFUNCTION("""COMPUTED_VALUE"""),43278.0)</f>
        <v>43278</v>
      </c>
      <c r="F3124" s="172">
        <f>IFERROR(__xludf.DUMMYFUNCTION("""COMPUTED_VALUE"""),43375.0)</f>
        <v>43375</v>
      </c>
      <c r="G3124" s="173"/>
      <c r="H3124" s="174">
        <f>IFERROR(__xludf.DUMMYFUNCTION("""COMPUTED_VALUE"""),88955.0)</f>
        <v>88955</v>
      </c>
      <c r="I3124" s="175" t="str">
        <f>IFERROR(__xludf.DUMMYFUNCTION("""COMPUTED_VALUE"""),"09/18")</f>
        <v>09/18</v>
      </c>
      <c r="J3124" s="172">
        <f>IFERROR(__xludf.DUMMYFUNCTION("""COMPUTED_VALUE"""),43385.0)</f>
        <v>43385</v>
      </c>
      <c r="K3124" s="176">
        <f>IFERROR(__xludf.DUMMYFUNCTION("""COMPUTED_VALUE"""),97.0)</f>
        <v>97</v>
      </c>
      <c r="L3124" s="176">
        <f>IFERROR(__xludf.DUMMYFUNCTION("""COMPUTED_VALUE"""),10.0)</f>
        <v>10</v>
      </c>
      <c r="M3124" s="176">
        <f>IFERROR(__xludf.DUMMYFUNCTION("""COMPUTED_VALUE"""),107.0)</f>
        <v>107</v>
      </c>
      <c r="N3124" s="177" t="str">
        <f>IFERROR(__xludf.DUMMYFUNCTION("""COMPUTED_VALUE"""),"Model 3 LR AWD")</f>
        <v>Model 3 LR AWD</v>
      </c>
      <c r="O3124" s="177" t="str">
        <f>IFERROR(__xludf.DUMMYFUNCTION("""COMPUTED_VALUE"""),"Pearl White Multi-Coat")</f>
        <v>Pearl White Multi-Coat</v>
      </c>
      <c r="P3124" s="178" t="str">
        <f>IFERROR(__xludf.DUMMYFUNCTION("""COMPUTED_VALUE"""),"19 inch Sport")</f>
        <v>19 inch Sport</v>
      </c>
      <c r="Q3124" s="177" t="str">
        <f>IFERROR(__xludf.DUMMYFUNCTION("""COMPUTED_VALUE"""),"Black seats")</f>
        <v>Black seats</v>
      </c>
      <c r="R3124" s="170" t="str">
        <f>IFERROR(__xludf.DUMMYFUNCTION("""COMPUTED_VALUE"""),"Full Self-Driving")</f>
        <v>Full Self-Driving</v>
      </c>
      <c r="S3124" s="170"/>
      <c r="T3124" s="179"/>
      <c r="U3124" s="179"/>
      <c r="V3124" s="179"/>
      <c r="W3124" s="180"/>
      <c r="X3124" s="181" t="str">
        <f>IFERROR(__xludf.DUMMYFUNCTION("""COMPUTED_VALUE"""),"Very Good")</f>
        <v>Very Good</v>
      </c>
      <c r="Y3124" s="182" t="str">
        <f>IFERROR(__xludf.DUMMYFUNCTION("""COMPUTED_VALUE"""),"Excellent")</f>
        <v>Excellent</v>
      </c>
      <c r="Z3124" s="182" t="str">
        <f>IFERROR(__xludf.DUMMYFUNCTION("""COMPUTED_VALUE"""),"Very Good")</f>
        <v>Very Good</v>
      </c>
      <c r="AA3124" s="182" t="str">
        <f>IFERROR(__xludf.DUMMYFUNCTION("""COMPUTED_VALUE"""),"Good")</f>
        <v>Good</v>
      </c>
      <c r="AB3124" s="182" t="str">
        <f>IFERROR(__xludf.DUMMYFUNCTION("""COMPUTED_VALUE"""),"Very Good")</f>
        <v>Very Good</v>
      </c>
      <c r="AC3124" s="183"/>
      <c r="AD3124" s="183"/>
      <c r="AE3124" s="183"/>
      <c r="AF3124" s="184"/>
      <c r="AG3124" s="180"/>
      <c r="AH3124" s="185">
        <f>IFERROR(__xludf.DUMMYFUNCTION("""COMPUTED_VALUE"""),43386.38757678241)</f>
        <v>43386.38758</v>
      </c>
      <c r="AI3124" s="182"/>
      <c r="AJ3124" s="182"/>
      <c r="AK3124" s="182"/>
      <c r="AL3124" s="182"/>
    </row>
    <row r="3125" ht="20.25" customHeight="1">
      <c r="A3125" s="169" t="str">
        <f>IFERROR(__xludf.DUMMYFUNCTION("""COMPUTED_VALUE"""),"loki")</f>
        <v>loki</v>
      </c>
      <c r="B3125" s="170"/>
      <c r="C3125" s="170" t="str">
        <f>IFERROR(__xludf.DUMMYFUNCTION("""COMPUTED_VALUE"""),"CA")</f>
        <v>CA</v>
      </c>
      <c r="D3125" s="170" t="str">
        <f>IFERROR(__xludf.DUMMYFUNCTION("""COMPUTED_VALUE"""),"USA")</f>
        <v>USA</v>
      </c>
      <c r="E3125" s="171">
        <f>IFERROR(__xludf.DUMMYFUNCTION("""COMPUTED_VALUE"""),43278.0)</f>
        <v>43278</v>
      </c>
      <c r="F3125" s="172">
        <f>IFERROR(__xludf.DUMMYFUNCTION("""COMPUTED_VALUE"""),43351.0)</f>
        <v>43351</v>
      </c>
      <c r="G3125" s="173"/>
      <c r="H3125" s="174"/>
      <c r="I3125" s="175"/>
      <c r="J3125" s="172">
        <f>IFERROR(__xludf.DUMMYFUNCTION("""COMPUTED_VALUE"""),43351.0)</f>
        <v>43351</v>
      </c>
      <c r="K3125" s="176">
        <f>IFERROR(__xludf.DUMMYFUNCTION("""COMPUTED_VALUE"""),73.0)</f>
        <v>73</v>
      </c>
      <c r="L3125" s="176">
        <f>IFERROR(__xludf.DUMMYFUNCTION("""COMPUTED_VALUE"""),0.0)</f>
        <v>0</v>
      </c>
      <c r="M3125" s="176">
        <f>IFERROR(__xludf.DUMMYFUNCTION("""COMPUTED_VALUE"""),73.0)</f>
        <v>73</v>
      </c>
      <c r="N3125" s="177" t="str">
        <f>IFERROR(__xludf.DUMMYFUNCTION("""COMPUTED_VALUE"""),"Model 3 LR AWD")</f>
        <v>Model 3 LR AWD</v>
      </c>
      <c r="O3125" s="177" t="str">
        <f>IFERROR(__xludf.DUMMYFUNCTION("""COMPUTED_VALUE"""),"Midnight Silver Metallic")</f>
        <v>Midnight Silver Metallic</v>
      </c>
      <c r="P3125" s="178" t="str">
        <f>IFERROR(__xludf.DUMMYFUNCTION("""COMPUTED_VALUE"""),"19 inch Sport")</f>
        <v>19 inch Sport</v>
      </c>
      <c r="Q3125" s="177" t="str">
        <f>IFERROR(__xludf.DUMMYFUNCTION("""COMPUTED_VALUE"""),"White seats")</f>
        <v>White seats</v>
      </c>
      <c r="R3125" s="170" t="str">
        <f>IFERROR(__xludf.DUMMYFUNCTION("""COMPUTED_VALUE"""),"Enhanced Autopilot")</f>
        <v>Enhanced Autopilot</v>
      </c>
      <c r="S3125" s="170"/>
      <c r="T3125" s="179"/>
      <c r="U3125" s="179"/>
      <c r="V3125" s="179"/>
      <c r="W3125" s="180"/>
      <c r="X3125" s="181" t="str">
        <f>IFERROR(__xludf.DUMMYFUNCTION("""COMPUTED_VALUE"""),"Excellent")</f>
        <v>Excellent</v>
      </c>
      <c r="Y3125" s="182" t="str">
        <f>IFERROR(__xludf.DUMMYFUNCTION("""COMPUTED_VALUE"""),"Excellent")</f>
        <v>Excellent</v>
      </c>
      <c r="Z3125" s="182" t="str">
        <f>IFERROR(__xludf.DUMMYFUNCTION("""COMPUTED_VALUE"""),"Excellent")</f>
        <v>Excellent</v>
      </c>
      <c r="AA3125" s="182" t="str">
        <f>IFERROR(__xludf.DUMMYFUNCTION("""COMPUTED_VALUE"""),"Fair")</f>
        <v>Fair</v>
      </c>
      <c r="AB3125" s="182" t="str">
        <f>IFERROR(__xludf.DUMMYFUNCTION("""COMPUTED_VALUE"""),"Very Good")</f>
        <v>Very Good</v>
      </c>
      <c r="AC3125" s="183"/>
      <c r="AD3125" s="183"/>
      <c r="AE3125" s="183"/>
      <c r="AF3125" s="184"/>
      <c r="AG3125" s="180"/>
      <c r="AH3125" s="185">
        <f>IFERROR(__xludf.DUMMYFUNCTION("""COMPUTED_VALUE"""),43353.290549930556)</f>
        <v>43353.29055</v>
      </c>
      <c r="AI3125" s="182"/>
      <c r="AJ3125" s="182"/>
      <c r="AK3125" s="182"/>
      <c r="AL3125" s="182"/>
    </row>
    <row r="3126" ht="20.25" customHeight="1">
      <c r="A3126" s="169" t="str">
        <f>IFERROR(__xludf.DUMMYFUNCTION("""COMPUTED_VALUE"""),"madreag")</f>
        <v>madreag</v>
      </c>
      <c r="B3126" s="170" t="str">
        <f>IFERROR(__xludf.DUMMYFUNCTION("""COMPUTED_VALUE"""),"Scottsdale")</f>
        <v>Scottsdale</v>
      </c>
      <c r="C3126" s="170" t="str">
        <f>IFERROR(__xludf.DUMMYFUNCTION("""COMPUTED_VALUE"""),"AZ")</f>
        <v>AZ</v>
      </c>
      <c r="D3126" s="170" t="str">
        <f>IFERROR(__xludf.DUMMYFUNCTION("""COMPUTED_VALUE"""),"USA")</f>
        <v>USA</v>
      </c>
      <c r="E3126" s="171">
        <f>IFERROR(__xludf.DUMMYFUNCTION("""COMPUTED_VALUE"""),43278.0)</f>
        <v>43278</v>
      </c>
      <c r="F3126" s="172">
        <f>IFERROR(__xludf.DUMMYFUNCTION("""COMPUTED_VALUE"""),43342.0)</f>
        <v>43342</v>
      </c>
      <c r="G3126" s="173"/>
      <c r="H3126" s="174">
        <f>IFERROR(__xludf.DUMMYFUNCTION("""COMPUTED_VALUE"""),66555.0)</f>
        <v>66555</v>
      </c>
      <c r="I3126" s="175" t="str">
        <f>IFERROR(__xludf.DUMMYFUNCTION("""COMPUTED_VALUE"""),"08/18")</f>
        <v>08/18</v>
      </c>
      <c r="J3126" s="172">
        <f>IFERROR(__xludf.DUMMYFUNCTION("""COMPUTED_VALUE"""),43351.0)</f>
        <v>43351</v>
      </c>
      <c r="K3126" s="176">
        <f>IFERROR(__xludf.DUMMYFUNCTION("""COMPUTED_VALUE"""),64.0)</f>
        <v>64</v>
      </c>
      <c r="L3126" s="176">
        <f>IFERROR(__xludf.DUMMYFUNCTION("""COMPUTED_VALUE"""),9.0)</f>
        <v>9</v>
      </c>
      <c r="M3126" s="176">
        <f>IFERROR(__xludf.DUMMYFUNCTION("""COMPUTED_VALUE"""),73.0)</f>
        <v>73</v>
      </c>
      <c r="N3126" s="177" t="str">
        <f>IFERROR(__xludf.DUMMYFUNCTION("""COMPUTED_VALUE"""),"Model 3 LR AWD")</f>
        <v>Model 3 LR AWD</v>
      </c>
      <c r="O3126" s="177" t="str">
        <f>IFERROR(__xludf.DUMMYFUNCTION("""COMPUTED_VALUE"""),"Midnight Silver Metallic")</f>
        <v>Midnight Silver Metallic</v>
      </c>
      <c r="P3126" s="178" t="str">
        <f>IFERROR(__xludf.DUMMYFUNCTION("""COMPUTED_VALUE"""),"18 inch Aero")</f>
        <v>18 inch Aero</v>
      </c>
      <c r="Q3126" s="177" t="str">
        <f>IFERROR(__xludf.DUMMYFUNCTION("""COMPUTED_VALUE"""),"Black seats")</f>
        <v>Black seats</v>
      </c>
      <c r="R3126" s="170" t="str">
        <f>IFERROR(__xludf.DUMMYFUNCTION("""COMPUTED_VALUE"""),"Full Self-Driving")</f>
        <v>Full Self-Driving</v>
      </c>
      <c r="S3126" s="170"/>
      <c r="T3126" s="179"/>
      <c r="U3126" s="179"/>
      <c r="V3126" s="179"/>
      <c r="W3126" s="180"/>
      <c r="X3126" s="181" t="str">
        <f>IFERROR(__xludf.DUMMYFUNCTION("""COMPUTED_VALUE"""),"Poor")</f>
        <v>Poor</v>
      </c>
      <c r="Y3126" s="182" t="str">
        <f>IFERROR(__xludf.DUMMYFUNCTION("""COMPUTED_VALUE"""),"Fair")</f>
        <v>Fair</v>
      </c>
      <c r="Z3126" s="182" t="str">
        <f>IFERROR(__xludf.DUMMYFUNCTION("""COMPUTED_VALUE"""),"Fair")</f>
        <v>Fair</v>
      </c>
      <c r="AA3126" s="182" t="str">
        <f>IFERROR(__xludf.DUMMYFUNCTION("""COMPUTED_VALUE"""),"Good")</f>
        <v>Good</v>
      </c>
      <c r="AB3126" s="182" t="str">
        <f>IFERROR(__xludf.DUMMYFUNCTION("""COMPUTED_VALUE"""),"Good")</f>
        <v>Good</v>
      </c>
      <c r="AC3126" s="183">
        <f>IFERROR(__xludf.DUMMYFUNCTION("""COMPUTED_VALUE"""),8.0)</f>
        <v>8</v>
      </c>
      <c r="AD3126" s="183"/>
      <c r="AE3126" s="183"/>
      <c r="AF3126" s="184"/>
      <c r="AG3126" s="180"/>
      <c r="AH3126" s="185">
        <f>IFERROR(__xludf.DUMMYFUNCTION("""COMPUTED_VALUE"""),43356.78431733796)</f>
        <v>43356.78432</v>
      </c>
      <c r="AI3126" s="182"/>
      <c r="AJ3126" s="182"/>
      <c r="AK3126" s="182"/>
      <c r="AL3126" s="182"/>
    </row>
    <row r="3127" ht="20.25" customHeight="1">
      <c r="A3127" s="169" t="str">
        <f>IFERROR(__xludf.DUMMYFUNCTION("""COMPUTED_VALUE"""),"MadTerriers")</f>
        <v>MadTerriers</v>
      </c>
      <c r="B3127" s="170" t="str">
        <f>IFERROR(__xludf.DUMMYFUNCTION("""COMPUTED_VALUE"""),"Dallas")</f>
        <v>Dallas</v>
      </c>
      <c r="C3127" s="170" t="str">
        <f>IFERROR(__xludf.DUMMYFUNCTION("""COMPUTED_VALUE"""),"TX")</f>
        <v>TX</v>
      </c>
      <c r="D3127" s="170" t="str">
        <f>IFERROR(__xludf.DUMMYFUNCTION("""COMPUTED_VALUE"""),"USA")</f>
        <v>USA</v>
      </c>
      <c r="E3127" s="171">
        <f>IFERROR(__xludf.DUMMYFUNCTION("""COMPUTED_VALUE"""),43278.0)</f>
        <v>43278</v>
      </c>
      <c r="F3127" s="172">
        <f>IFERROR(__xludf.DUMMYFUNCTION("""COMPUTED_VALUE"""),43379.0)</f>
        <v>43379</v>
      </c>
      <c r="G3127" s="173"/>
      <c r="H3127" s="174">
        <f>IFERROR(__xludf.DUMMYFUNCTION("""COMPUTED_VALUE"""),89955.0)</f>
        <v>89955</v>
      </c>
      <c r="I3127" s="175" t="str">
        <f>IFERROR(__xludf.DUMMYFUNCTION("""COMPUTED_VALUE"""),"10/18")</f>
        <v>10/18</v>
      </c>
      <c r="J3127" s="172">
        <f>IFERROR(__xludf.DUMMYFUNCTION("""COMPUTED_VALUE"""),43391.0)</f>
        <v>43391</v>
      </c>
      <c r="K3127" s="176">
        <f>IFERROR(__xludf.DUMMYFUNCTION("""COMPUTED_VALUE"""),101.0)</f>
        <v>101</v>
      </c>
      <c r="L3127" s="176">
        <f>IFERROR(__xludf.DUMMYFUNCTION("""COMPUTED_VALUE"""),12.0)</f>
        <v>12</v>
      </c>
      <c r="M3127" s="176">
        <f>IFERROR(__xludf.DUMMYFUNCTION("""COMPUTED_VALUE"""),113.0)</f>
        <v>113</v>
      </c>
      <c r="N3127" s="177" t="str">
        <f>IFERROR(__xludf.DUMMYFUNCTION("""COMPUTED_VALUE"""),"Model 3 LR AWD")</f>
        <v>Model 3 LR AWD</v>
      </c>
      <c r="O3127" s="177" t="str">
        <f>IFERROR(__xludf.DUMMYFUNCTION("""COMPUTED_VALUE"""),"Silver Metallic")</f>
        <v>Silver Metallic</v>
      </c>
      <c r="P3127" s="178" t="str">
        <f>IFERROR(__xludf.DUMMYFUNCTION("""COMPUTED_VALUE"""),"18 inch Aero")</f>
        <v>18 inch Aero</v>
      </c>
      <c r="Q3127" s="177" t="str">
        <f>IFERROR(__xludf.DUMMYFUNCTION("""COMPUTED_VALUE"""),"Black seats")</f>
        <v>Black seats</v>
      </c>
      <c r="R3127" s="170" t="str">
        <f>IFERROR(__xludf.DUMMYFUNCTION("""COMPUTED_VALUE"""),"Enhanced Autopilot")</f>
        <v>Enhanced Autopilot</v>
      </c>
      <c r="S3127" s="170"/>
      <c r="T3127" s="179"/>
      <c r="U3127" s="179"/>
      <c r="V3127" s="179"/>
      <c r="W3127" s="180"/>
      <c r="X3127" s="181" t="str">
        <f>IFERROR(__xludf.DUMMYFUNCTION("""COMPUTED_VALUE"""),"Excellent")</f>
        <v>Excellent</v>
      </c>
      <c r="Y3127" s="182" t="str">
        <f>IFERROR(__xludf.DUMMYFUNCTION("""COMPUTED_VALUE"""),"Excellent")</f>
        <v>Excellent</v>
      </c>
      <c r="Z3127" s="182" t="str">
        <f>IFERROR(__xludf.DUMMYFUNCTION("""COMPUTED_VALUE"""),"Excellent")</f>
        <v>Excellent</v>
      </c>
      <c r="AA3127" s="182" t="str">
        <f>IFERROR(__xludf.DUMMYFUNCTION("""COMPUTED_VALUE"""),"Excellent")</f>
        <v>Excellent</v>
      </c>
      <c r="AB3127" s="182" t="str">
        <f>IFERROR(__xludf.DUMMYFUNCTION("""COMPUTED_VALUE"""),"Excellent")</f>
        <v>Excellent</v>
      </c>
      <c r="AC3127" s="183"/>
      <c r="AD3127" s="183"/>
      <c r="AE3127" s="183"/>
      <c r="AF3127" s="184"/>
      <c r="AG3127" s="180"/>
      <c r="AH3127" s="185">
        <f>IFERROR(__xludf.DUMMYFUNCTION("""COMPUTED_VALUE"""),43391.47455032407)</f>
        <v>43391.47455</v>
      </c>
      <c r="AI3127" s="182"/>
      <c r="AJ3127" s="182"/>
      <c r="AK3127" s="182"/>
      <c r="AL3127" s="182"/>
    </row>
    <row r="3128" ht="20.25" customHeight="1">
      <c r="A3128" s="169" t="str">
        <f>IFERROR(__xludf.DUMMYFUNCTION("""COMPUTED_VALUE"""),"Marc's tsla")</f>
        <v>Marc's tsla</v>
      </c>
      <c r="B3128" s="170" t="str">
        <f>IFERROR(__xludf.DUMMYFUNCTION("""COMPUTED_VALUE"""),"Montreal")</f>
        <v>Montreal</v>
      </c>
      <c r="C3128" s="170" t="str">
        <f>IFERROR(__xludf.DUMMYFUNCTION("""COMPUTED_VALUE"""),"QC")</f>
        <v>QC</v>
      </c>
      <c r="D3128" s="170" t="str">
        <f>IFERROR(__xludf.DUMMYFUNCTION("""COMPUTED_VALUE"""),"Canada")</f>
        <v>Canada</v>
      </c>
      <c r="E3128" s="171">
        <f>IFERROR(__xludf.DUMMYFUNCTION("""COMPUTED_VALUE"""),43278.0)</f>
        <v>43278</v>
      </c>
      <c r="F3128" s="172"/>
      <c r="G3128" s="173"/>
      <c r="H3128" s="174">
        <f>IFERROR(__xludf.DUMMYFUNCTION("""COMPUTED_VALUE"""),107055.0)</f>
        <v>107055</v>
      </c>
      <c r="I3128" s="175"/>
      <c r="J3128" s="172">
        <f>IFERROR(__xludf.DUMMYFUNCTION("""COMPUTED_VALUE"""),43404.0)</f>
        <v>43404</v>
      </c>
      <c r="K3128" s="176"/>
      <c r="L3128" s="176"/>
      <c r="M3128" s="176">
        <f>IFERROR(__xludf.DUMMYFUNCTION("""COMPUTED_VALUE"""),126.0)</f>
        <v>126</v>
      </c>
      <c r="N3128" s="177" t="str">
        <f>IFERROR(__xludf.DUMMYFUNCTION("""COMPUTED_VALUE"""),"Model 3 LR AWD")</f>
        <v>Model 3 LR AWD</v>
      </c>
      <c r="O3128" s="177" t="str">
        <f>IFERROR(__xludf.DUMMYFUNCTION("""COMPUTED_VALUE"""),"Red Multi-Coat")</f>
        <v>Red Multi-Coat</v>
      </c>
      <c r="P3128" s="178" t="str">
        <f>IFERROR(__xludf.DUMMYFUNCTION("""COMPUTED_VALUE"""),"18 inch Aero")</f>
        <v>18 inch Aero</v>
      </c>
      <c r="Q3128" s="177" t="str">
        <f>IFERROR(__xludf.DUMMYFUNCTION("""COMPUTED_VALUE"""),"Black seats")</f>
        <v>Black seats</v>
      </c>
      <c r="R3128" s="170" t="str">
        <f>IFERROR(__xludf.DUMMYFUNCTION("""COMPUTED_VALUE"""),"None")</f>
        <v>None</v>
      </c>
      <c r="S3128" s="170"/>
      <c r="T3128" s="179"/>
      <c r="U3128" s="179"/>
      <c r="V3128" s="179"/>
      <c r="W3128" s="180"/>
      <c r="X3128" s="181"/>
      <c r="Y3128" s="182"/>
      <c r="Z3128" s="182"/>
      <c r="AA3128" s="182" t="str">
        <f>IFERROR(__xludf.DUMMYFUNCTION("""COMPUTED_VALUE"""),"Poor")</f>
        <v>Poor</v>
      </c>
      <c r="AB3128" s="182"/>
      <c r="AC3128" s="183"/>
      <c r="AD3128" s="183"/>
      <c r="AE3128" s="183"/>
      <c r="AF3128" s="184"/>
      <c r="AG3128" s="180"/>
      <c r="AH3128" s="185">
        <f>IFERROR(__xludf.DUMMYFUNCTION("""COMPUTED_VALUE"""),43404.0928629051)</f>
        <v>43404.09286</v>
      </c>
      <c r="AI3128" s="182"/>
      <c r="AJ3128" s="182"/>
      <c r="AK3128" s="182"/>
      <c r="AL3128" s="182"/>
    </row>
    <row r="3129" ht="20.25" customHeight="1">
      <c r="A3129" s="169" t="str">
        <f>IFERROR(__xludf.DUMMYFUNCTION("""COMPUTED_VALUE"""),"markdavisford")</f>
        <v>markdavisford</v>
      </c>
      <c r="B3129" s="170" t="str">
        <f>IFERROR(__xludf.DUMMYFUNCTION("""COMPUTED_VALUE"""),"Denver")</f>
        <v>Denver</v>
      </c>
      <c r="C3129" s="170" t="str">
        <f>IFERROR(__xludf.DUMMYFUNCTION("""COMPUTED_VALUE"""),"CO")</f>
        <v>CO</v>
      </c>
      <c r="D3129" s="170" t="str">
        <f>IFERROR(__xludf.DUMMYFUNCTION("""COMPUTED_VALUE"""),"USA")</f>
        <v>USA</v>
      </c>
      <c r="E3129" s="171">
        <f>IFERROR(__xludf.DUMMYFUNCTION("""COMPUTED_VALUE"""),43278.0)</f>
        <v>43278</v>
      </c>
      <c r="F3129" s="172">
        <f>IFERROR(__xludf.DUMMYFUNCTION("""COMPUTED_VALUE"""),43332.0)</f>
        <v>43332</v>
      </c>
      <c r="G3129" s="173"/>
      <c r="H3129" s="174">
        <f>IFERROR(__xludf.DUMMYFUNCTION("""COMPUTED_VALUE"""),64602.0)</f>
        <v>64602</v>
      </c>
      <c r="I3129" s="175" t="str">
        <f>IFERROR(__xludf.DUMMYFUNCTION("""COMPUTED_VALUE"""),"08/18")</f>
        <v>08/18</v>
      </c>
      <c r="J3129" s="172">
        <f>IFERROR(__xludf.DUMMYFUNCTION("""COMPUTED_VALUE"""),43339.0)</f>
        <v>43339</v>
      </c>
      <c r="K3129" s="176">
        <f>IFERROR(__xludf.DUMMYFUNCTION("""COMPUTED_VALUE"""),54.0)</f>
        <v>54</v>
      </c>
      <c r="L3129" s="176">
        <f>IFERROR(__xludf.DUMMYFUNCTION("""COMPUTED_VALUE"""),7.0)</f>
        <v>7</v>
      </c>
      <c r="M3129" s="176">
        <f>IFERROR(__xludf.DUMMYFUNCTION("""COMPUTED_VALUE"""),61.0)</f>
        <v>61</v>
      </c>
      <c r="N3129" s="177" t="str">
        <f>IFERROR(__xludf.DUMMYFUNCTION("""COMPUTED_VALUE"""),"Model 3 LR AWD")</f>
        <v>Model 3 LR AWD</v>
      </c>
      <c r="O3129" s="177" t="str">
        <f>IFERROR(__xludf.DUMMYFUNCTION("""COMPUTED_VALUE"""),"Deep Blue Metallic")</f>
        <v>Deep Blue Metallic</v>
      </c>
      <c r="P3129" s="178" t="str">
        <f>IFERROR(__xludf.DUMMYFUNCTION("""COMPUTED_VALUE"""),"18 inch Aero")</f>
        <v>18 inch Aero</v>
      </c>
      <c r="Q3129" s="177" t="str">
        <f>IFERROR(__xludf.DUMMYFUNCTION("""COMPUTED_VALUE"""),"Black seats")</f>
        <v>Black seats</v>
      </c>
      <c r="R3129" s="170" t="str">
        <f>IFERROR(__xludf.DUMMYFUNCTION("""COMPUTED_VALUE"""),"None")</f>
        <v>None</v>
      </c>
      <c r="S3129" s="170"/>
      <c r="T3129" s="179"/>
      <c r="U3129" s="179"/>
      <c r="V3129" s="179"/>
      <c r="W3129" s="180"/>
      <c r="X3129" s="181" t="str">
        <f>IFERROR(__xludf.DUMMYFUNCTION("""COMPUTED_VALUE"""),"Very Good")</f>
        <v>Very Good</v>
      </c>
      <c r="Y3129" s="182" t="str">
        <f>IFERROR(__xludf.DUMMYFUNCTION("""COMPUTED_VALUE"""),"Very Good")</f>
        <v>Very Good</v>
      </c>
      <c r="Z3129" s="182" t="str">
        <f>IFERROR(__xludf.DUMMYFUNCTION("""COMPUTED_VALUE"""),"Excellent")</f>
        <v>Excellent</v>
      </c>
      <c r="AA3129" s="182" t="str">
        <f>IFERROR(__xludf.DUMMYFUNCTION("""COMPUTED_VALUE"""),"Very Good")</f>
        <v>Very Good</v>
      </c>
      <c r="AB3129" s="182" t="str">
        <f>IFERROR(__xludf.DUMMYFUNCTION("""COMPUTED_VALUE"""),"Very Good")</f>
        <v>Very Good</v>
      </c>
      <c r="AC3129" s="183"/>
      <c r="AD3129" s="183"/>
      <c r="AE3129" s="183"/>
      <c r="AF3129" s="184"/>
      <c r="AG3129" s="180" t="str">
        <f>IFERROR(__xludf.DUMMYFUNCTION("""COMPUTED_VALUE"""),"AWD")</f>
        <v>AWD</v>
      </c>
      <c r="AH3129" s="185">
        <f>IFERROR(__xludf.DUMMYFUNCTION("""COMPUTED_VALUE"""),43340.560082673604)</f>
        <v>43340.56008</v>
      </c>
      <c r="AI3129" s="182"/>
      <c r="AJ3129" s="182"/>
      <c r="AK3129" s="182"/>
      <c r="AL3129" s="182"/>
    </row>
    <row r="3130" ht="20.25" customHeight="1">
      <c r="A3130" s="169" t="str">
        <f>IFERROR(__xludf.DUMMYFUNCTION("""COMPUTED_VALUE"""),"MarkO")</f>
        <v>MarkO</v>
      </c>
      <c r="B3130" s="170" t="str">
        <f>IFERROR(__xludf.DUMMYFUNCTION("""COMPUTED_VALUE"""),"Dubuque")</f>
        <v>Dubuque</v>
      </c>
      <c r="C3130" s="170" t="str">
        <f>IFERROR(__xludf.DUMMYFUNCTION("""COMPUTED_VALUE"""),"IA")</f>
        <v>IA</v>
      </c>
      <c r="D3130" s="170" t="str">
        <f>IFERROR(__xludf.DUMMYFUNCTION("""COMPUTED_VALUE"""),"USA")</f>
        <v>USA</v>
      </c>
      <c r="E3130" s="171">
        <f>IFERROR(__xludf.DUMMYFUNCTION("""COMPUTED_VALUE"""),43278.0)</f>
        <v>43278</v>
      </c>
      <c r="F3130" s="172">
        <f>IFERROR(__xludf.DUMMYFUNCTION("""COMPUTED_VALUE"""),43333.0)</f>
        <v>43333</v>
      </c>
      <c r="G3130" s="173"/>
      <c r="H3130" s="174">
        <f>IFERROR(__xludf.DUMMYFUNCTION("""COMPUTED_VALUE"""),64055.0)</f>
        <v>64055</v>
      </c>
      <c r="I3130" s="175" t="str">
        <f>IFERROR(__xludf.DUMMYFUNCTION("""COMPUTED_VALUE"""),"08/18")</f>
        <v>08/18</v>
      </c>
      <c r="J3130" s="172">
        <f>IFERROR(__xludf.DUMMYFUNCTION("""COMPUTED_VALUE"""),43340.0)</f>
        <v>43340</v>
      </c>
      <c r="K3130" s="176">
        <f>IFERROR(__xludf.DUMMYFUNCTION("""COMPUTED_VALUE"""),55.0)</f>
        <v>55</v>
      </c>
      <c r="L3130" s="176">
        <f>IFERROR(__xludf.DUMMYFUNCTION("""COMPUTED_VALUE"""),7.0)</f>
        <v>7</v>
      </c>
      <c r="M3130" s="176">
        <f>IFERROR(__xludf.DUMMYFUNCTION("""COMPUTED_VALUE"""),62.0)</f>
        <v>62</v>
      </c>
      <c r="N3130" s="177" t="str">
        <f>IFERROR(__xludf.DUMMYFUNCTION("""COMPUTED_VALUE"""),"Model 3 LR AWD")</f>
        <v>Model 3 LR AWD</v>
      </c>
      <c r="O3130" s="177" t="str">
        <f>IFERROR(__xludf.DUMMYFUNCTION("""COMPUTED_VALUE"""),"Deep Blue Metallic")</f>
        <v>Deep Blue Metallic</v>
      </c>
      <c r="P3130" s="178" t="str">
        <f>IFERROR(__xludf.DUMMYFUNCTION("""COMPUTED_VALUE"""),"19 inch Sport")</f>
        <v>19 inch Sport</v>
      </c>
      <c r="Q3130" s="177" t="str">
        <f>IFERROR(__xludf.DUMMYFUNCTION("""COMPUTED_VALUE"""),"Black seats")</f>
        <v>Black seats</v>
      </c>
      <c r="R3130" s="170" t="str">
        <f>IFERROR(__xludf.DUMMYFUNCTION("""COMPUTED_VALUE"""),"Enhanced Autopilot")</f>
        <v>Enhanced Autopilot</v>
      </c>
      <c r="S3130" s="170"/>
      <c r="T3130" s="179"/>
      <c r="U3130" s="179"/>
      <c r="V3130" s="179"/>
      <c r="W3130" s="180"/>
      <c r="X3130" s="181" t="str">
        <f>IFERROR(__xludf.DUMMYFUNCTION("""COMPUTED_VALUE"""),"Excellent")</f>
        <v>Excellent</v>
      </c>
      <c r="Y3130" s="182" t="str">
        <f>IFERROR(__xludf.DUMMYFUNCTION("""COMPUTED_VALUE"""),"Excellent")</f>
        <v>Excellent</v>
      </c>
      <c r="Z3130" s="182" t="str">
        <f>IFERROR(__xludf.DUMMYFUNCTION("""COMPUTED_VALUE"""),"Excellent")</f>
        <v>Excellent</v>
      </c>
      <c r="AA3130" s="182" t="str">
        <f>IFERROR(__xludf.DUMMYFUNCTION("""COMPUTED_VALUE"""),"Good")</f>
        <v>Good</v>
      </c>
      <c r="AB3130" s="182" t="str">
        <f>IFERROR(__xludf.DUMMYFUNCTION("""COMPUTED_VALUE"""),"Very Good")</f>
        <v>Very Good</v>
      </c>
      <c r="AC3130" s="183">
        <f>IFERROR(__xludf.DUMMYFUNCTION("""COMPUTED_VALUE"""),0.0)</f>
        <v>0</v>
      </c>
      <c r="AD3130" s="183">
        <f>IFERROR(__xludf.DUMMYFUNCTION("""COMPUTED_VALUE"""),0.0)</f>
        <v>0</v>
      </c>
      <c r="AE3130" s="183">
        <f>IFERROR(__xludf.DUMMYFUNCTION("""COMPUTED_VALUE"""),0.0)</f>
        <v>0</v>
      </c>
      <c r="AF3130" s="184"/>
      <c r="AG3130" s="180"/>
      <c r="AH3130" s="185">
        <f>IFERROR(__xludf.DUMMYFUNCTION("""COMPUTED_VALUE"""),43366.53085967592)</f>
        <v>43366.53086</v>
      </c>
      <c r="AI3130" s="182"/>
      <c r="AJ3130" s="182"/>
      <c r="AK3130" s="182"/>
      <c r="AL3130" s="182"/>
    </row>
    <row r="3131" ht="20.25" customHeight="1">
      <c r="A3131" s="169" t="str">
        <f>IFERROR(__xludf.DUMMYFUNCTION("""COMPUTED_VALUE"""),"Mars Mission")</f>
        <v>Mars Mission</v>
      </c>
      <c r="B3131" s="170" t="str">
        <f>IFERROR(__xludf.DUMMYFUNCTION("""COMPUTED_VALUE"""),"Brooklyn")</f>
        <v>Brooklyn</v>
      </c>
      <c r="C3131" s="170" t="str">
        <f>IFERROR(__xludf.DUMMYFUNCTION("""COMPUTED_VALUE"""),"NY")</f>
        <v>NY</v>
      </c>
      <c r="D3131" s="170" t="str">
        <f>IFERROR(__xludf.DUMMYFUNCTION("""COMPUTED_VALUE"""),"USA")</f>
        <v>USA</v>
      </c>
      <c r="E3131" s="171">
        <f>IFERROR(__xludf.DUMMYFUNCTION("""COMPUTED_VALUE"""),43278.0)</f>
        <v>43278</v>
      </c>
      <c r="F3131" s="172">
        <f>IFERROR(__xludf.DUMMYFUNCTION("""COMPUTED_VALUE"""),43336.0)</f>
        <v>43336</v>
      </c>
      <c r="G3131" s="173"/>
      <c r="H3131" s="174">
        <f>IFERROR(__xludf.DUMMYFUNCTION("""COMPUTED_VALUE"""),54573.0)</f>
        <v>54573</v>
      </c>
      <c r="I3131" s="175"/>
      <c r="J3131" s="172">
        <f>IFERROR(__xludf.DUMMYFUNCTION("""COMPUTED_VALUE"""),43343.0)</f>
        <v>43343</v>
      </c>
      <c r="K3131" s="176">
        <f>IFERROR(__xludf.DUMMYFUNCTION("""COMPUTED_VALUE"""),58.0)</f>
        <v>58</v>
      </c>
      <c r="L3131" s="176">
        <f>IFERROR(__xludf.DUMMYFUNCTION("""COMPUTED_VALUE"""),7.0)</f>
        <v>7</v>
      </c>
      <c r="M3131" s="176">
        <f>IFERROR(__xludf.DUMMYFUNCTION("""COMPUTED_VALUE"""),65.0)</f>
        <v>65</v>
      </c>
      <c r="N3131" s="177" t="str">
        <f>IFERROR(__xludf.DUMMYFUNCTION("""COMPUTED_VALUE"""),"Model 3 LR AWD")</f>
        <v>Model 3 LR AWD</v>
      </c>
      <c r="O3131" s="177" t="str">
        <f>IFERROR(__xludf.DUMMYFUNCTION("""COMPUTED_VALUE"""),"Red Multi-Coat")</f>
        <v>Red Multi-Coat</v>
      </c>
      <c r="P3131" s="178" t="str">
        <f>IFERROR(__xludf.DUMMYFUNCTION("""COMPUTED_VALUE"""),"18 inch Aero")</f>
        <v>18 inch Aero</v>
      </c>
      <c r="Q3131" s="177" t="str">
        <f>IFERROR(__xludf.DUMMYFUNCTION("""COMPUTED_VALUE"""),"Black seats")</f>
        <v>Black seats</v>
      </c>
      <c r="R3131" s="170" t="str">
        <f>IFERROR(__xludf.DUMMYFUNCTION("""COMPUTED_VALUE"""),"Enhanced Autopilot")</f>
        <v>Enhanced Autopilot</v>
      </c>
      <c r="S3131" s="170"/>
      <c r="T3131" s="179"/>
      <c r="U3131" s="179"/>
      <c r="V3131" s="179"/>
      <c r="W3131" s="180"/>
      <c r="X3131" s="181" t="str">
        <f>IFERROR(__xludf.DUMMYFUNCTION("""COMPUTED_VALUE"""),"Very Good")</f>
        <v>Very Good</v>
      </c>
      <c r="Y3131" s="182" t="str">
        <f>IFERROR(__xludf.DUMMYFUNCTION("""COMPUTED_VALUE"""),"Very Good")</f>
        <v>Very Good</v>
      </c>
      <c r="Z3131" s="182" t="str">
        <f>IFERROR(__xludf.DUMMYFUNCTION("""COMPUTED_VALUE"""),"Good")</f>
        <v>Good</v>
      </c>
      <c r="AA3131" s="182" t="str">
        <f>IFERROR(__xludf.DUMMYFUNCTION("""COMPUTED_VALUE"""),"Very Good")</f>
        <v>Very Good</v>
      </c>
      <c r="AB3131" s="182" t="str">
        <f>IFERROR(__xludf.DUMMYFUNCTION("""COMPUTED_VALUE"""),"Excellent")</f>
        <v>Excellent</v>
      </c>
      <c r="AC3131" s="183"/>
      <c r="AD3131" s="183"/>
      <c r="AE3131" s="183"/>
      <c r="AF3131" s="184"/>
      <c r="AG3131" s="180"/>
      <c r="AH3131" s="185">
        <f>IFERROR(__xludf.DUMMYFUNCTION("""COMPUTED_VALUE"""),43343.8577346875)</f>
        <v>43343.85773</v>
      </c>
      <c r="AI3131" s="182"/>
      <c r="AJ3131" s="182"/>
      <c r="AK3131" s="182"/>
      <c r="AL3131" s="182"/>
    </row>
    <row r="3132" ht="20.25" customHeight="1">
      <c r="A3132" s="169" t="str">
        <f>IFERROR(__xludf.DUMMYFUNCTION("""COMPUTED_VALUE"""),"mattk926")</f>
        <v>mattk926</v>
      </c>
      <c r="B3132" s="170"/>
      <c r="C3132" s="170" t="str">
        <f>IFERROR(__xludf.DUMMYFUNCTION("""COMPUTED_VALUE"""),"WI")</f>
        <v>WI</v>
      </c>
      <c r="D3132" s="170" t="str">
        <f>IFERROR(__xludf.DUMMYFUNCTION("""COMPUTED_VALUE"""),"USA")</f>
        <v>USA</v>
      </c>
      <c r="E3132" s="171">
        <f>IFERROR(__xludf.DUMMYFUNCTION("""COMPUTED_VALUE"""),43278.0)</f>
        <v>43278</v>
      </c>
      <c r="F3132" s="172">
        <f>IFERROR(__xludf.DUMMYFUNCTION("""COMPUTED_VALUE"""),43339.0)</f>
        <v>43339</v>
      </c>
      <c r="G3132" s="173"/>
      <c r="H3132" s="174">
        <f>IFERROR(__xludf.DUMMYFUNCTION("""COMPUTED_VALUE"""),64894.0)</f>
        <v>64894</v>
      </c>
      <c r="I3132" s="175" t="str">
        <f>IFERROR(__xludf.DUMMYFUNCTION("""COMPUTED_VALUE"""),"08/18")</f>
        <v>08/18</v>
      </c>
      <c r="J3132" s="172">
        <f>IFERROR(__xludf.DUMMYFUNCTION("""COMPUTED_VALUE"""),43357.0)</f>
        <v>43357</v>
      </c>
      <c r="K3132" s="176">
        <f>IFERROR(__xludf.DUMMYFUNCTION("""COMPUTED_VALUE"""),61.0)</f>
        <v>61</v>
      </c>
      <c r="L3132" s="176">
        <f>IFERROR(__xludf.DUMMYFUNCTION("""COMPUTED_VALUE"""),18.0)</f>
        <v>18</v>
      </c>
      <c r="M3132" s="176">
        <f>IFERROR(__xludf.DUMMYFUNCTION("""COMPUTED_VALUE"""),79.0)</f>
        <v>79</v>
      </c>
      <c r="N3132" s="177" t="str">
        <f>IFERROR(__xludf.DUMMYFUNCTION("""COMPUTED_VALUE"""),"Model 3 LR AWD")</f>
        <v>Model 3 LR AWD</v>
      </c>
      <c r="O3132" s="177" t="str">
        <f>IFERROR(__xludf.DUMMYFUNCTION("""COMPUTED_VALUE"""),"Deep Blue Metallic")</f>
        <v>Deep Blue Metallic</v>
      </c>
      <c r="P3132" s="178" t="str">
        <f>IFERROR(__xludf.DUMMYFUNCTION("""COMPUTED_VALUE"""),"18 inch Aero")</f>
        <v>18 inch Aero</v>
      </c>
      <c r="Q3132" s="177" t="str">
        <f>IFERROR(__xludf.DUMMYFUNCTION("""COMPUTED_VALUE"""),"Black seats")</f>
        <v>Black seats</v>
      </c>
      <c r="R3132" s="170" t="str">
        <f>IFERROR(__xludf.DUMMYFUNCTION("""COMPUTED_VALUE"""),"Full Self-Driving")</f>
        <v>Full Self-Driving</v>
      </c>
      <c r="S3132" s="170"/>
      <c r="T3132" s="179"/>
      <c r="U3132" s="179"/>
      <c r="V3132" s="179"/>
      <c r="W3132" s="180"/>
      <c r="X3132" s="181" t="str">
        <f>IFERROR(__xludf.DUMMYFUNCTION("""COMPUTED_VALUE"""),"Fair")</f>
        <v>Fair</v>
      </c>
      <c r="Y3132" s="182" t="str">
        <f>IFERROR(__xludf.DUMMYFUNCTION("""COMPUTED_VALUE"""),"Very Good")</f>
        <v>Very Good</v>
      </c>
      <c r="Z3132" s="182" t="str">
        <f>IFERROR(__xludf.DUMMYFUNCTION("""COMPUTED_VALUE"""),"Fair")</f>
        <v>Fair</v>
      </c>
      <c r="AA3132" s="182" t="str">
        <f>IFERROR(__xludf.DUMMYFUNCTION("""COMPUTED_VALUE"""),"Excellent")</f>
        <v>Excellent</v>
      </c>
      <c r="AB3132" s="182" t="str">
        <f>IFERROR(__xludf.DUMMYFUNCTION("""COMPUTED_VALUE"""),"Fair")</f>
        <v>Fair</v>
      </c>
      <c r="AC3132" s="183">
        <f>IFERROR(__xludf.DUMMYFUNCTION("""COMPUTED_VALUE"""),4.0)</f>
        <v>4</v>
      </c>
      <c r="AD3132" s="183">
        <f>IFERROR(__xludf.DUMMYFUNCTION("""COMPUTED_VALUE"""),0.0)</f>
        <v>0</v>
      </c>
      <c r="AE3132" s="183">
        <f>IFERROR(__xludf.DUMMYFUNCTION("""COMPUTED_VALUE"""),0.0)</f>
        <v>0</v>
      </c>
      <c r="AF3132" s="184"/>
      <c r="AG3132" s="180" t="str">
        <f>IFERROR(__xludf.DUMMYFUNCTION("""COMPUTED_VALUE"""),"Damaged door card on delivery, poor frunk to fender/bumper gaps inconsistent. tiny ding on driver a pillar. light scratches in drivers side doors. adhesive on wood grain dash. Driver seat side-bolster foam missing/crumpled. Microphone doesnt work well at "&amp;"speed. Delivery was 45 minutes behind schedule and took much longer than expected due to scratches that needed to be detailed and the door card replacement.")</f>
        <v>Damaged door card on delivery, poor frunk to fender/bumper gaps inconsistent. tiny ding on driver a pillar. light scratches in drivers side doors. adhesive on wood grain dash. Driver seat side-bolster foam missing/crumpled. Microphone doesnt work well at speed. Delivery was 45 minutes behind schedule and took much longer than expected due to scratches that needed to be detailed and the door card replacement.</v>
      </c>
      <c r="AH3132" s="185">
        <f>IFERROR(__xludf.DUMMYFUNCTION("""COMPUTED_VALUE"""),43368.540293611106)</f>
        <v>43368.54029</v>
      </c>
      <c r="AI3132" s="182"/>
      <c r="AJ3132" s="182"/>
      <c r="AK3132" s="182"/>
      <c r="AL3132" s="182"/>
    </row>
    <row r="3133" ht="20.25" customHeight="1">
      <c r="A3133" s="169" t="str">
        <f>IFERROR(__xludf.DUMMYFUNCTION("""COMPUTED_VALUE"""),"MauiMack")</f>
        <v>MauiMack</v>
      </c>
      <c r="B3133" s="170" t="str">
        <f>IFERROR(__xludf.DUMMYFUNCTION("""COMPUTED_VALUE"""),"Bay Area")</f>
        <v>Bay Area</v>
      </c>
      <c r="C3133" s="170" t="str">
        <f>IFERROR(__xludf.DUMMYFUNCTION("""COMPUTED_VALUE"""),"CA")</f>
        <v>CA</v>
      </c>
      <c r="D3133" s="170" t="str">
        <f>IFERROR(__xludf.DUMMYFUNCTION("""COMPUTED_VALUE"""),"USA")</f>
        <v>USA</v>
      </c>
      <c r="E3133" s="171">
        <f>IFERROR(__xludf.DUMMYFUNCTION("""COMPUTED_VALUE"""),43278.0)</f>
        <v>43278</v>
      </c>
      <c r="F3133" s="172">
        <f>IFERROR(__xludf.DUMMYFUNCTION("""COMPUTED_VALUE"""),43346.0)</f>
        <v>43346</v>
      </c>
      <c r="G3133" s="173"/>
      <c r="H3133" s="174">
        <f>IFERROR(__xludf.DUMMYFUNCTION("""COMPUTED_VALUE"""),71555.0)</f>
        <v>71555</v>
      </c>
      <c r="I3133" s="175" t="str">
        <f>IFERROR(__xludf.DUMMYFUNCTION("""COMPUTED_VALUE"""),"09/18")</f>
        <v>09/18</v>
      </c>
      <c r="J3133" s="172">
        <f>IFERROR(__xludf.DUMMYFUNCTION("""COMPUTED_VALUE"""),43372.0)</f>
        <v>43372</v>
      </c>
      <c r="K3133" s="176">
        <f>IFERROR(__xludf.DUMMYFUNCTION("""COMPUTED_VALUE"""),68.0)</f>
        <v>68</v>
      </c>
      <c r="L3133" s="176">
        <f>IFERROR(__xludf.DUMMYFUNCTION("""COMPUTED_VALUE"""),26.0)</f>
        <v>26</v>
      </c>
      <c r="M3133" s="176">
        <f>IFERROR(__xludf.DUMMYFUNCTION("""COMPUTED_VALUE"""),94.0)</f>
        <v>94</v>
      </c>
      <c r="N3133" s="177" t="str">
        <f>IFERROR(__xludf.DUMMYFUNCTION("""COMPUTED_VALUE"""),"Model 3 LR AWD")</f>
        <v>Model 3 LR AWD</v>
      </c>
      <c r="O3133" s="177" t="str">
        <f>IFERROR(__xludf.DUMMYFUNCTION("""COMPUTED_VALUE"""),"Obsidian Black Metallic")</f>
        <v>Obsidian Black Metallic</v>
      </c>
      <c r="P3133" s="178" t="str">
        <f>IFERROR(__xludf.DUMMYFUNCTION("""COMPUTED_VALUE"""),"18 inch Aero")</f>
        <v>18 inch Aero</v>
      </c>
      <c r="Q3133" s="177" t="str">
        <f>IFERROR(__xludf.DUMMYFUNCTION("""COMPUTED_VALUE"""),"Black seats")</f>
        <v>Black seats</v>
      </c>
      <c r="R3133" s="170" t="str">
        <f>IFERROR(__xludf.DUMMYFUNCTION("""COMPUTED_VALUE"""),"Enhanced Autopilot")</f>
        <v>Enhanced Autopilot</v>
      </c>
      <c r="S3133" s="170"/>
      <c r="T3133" s="179"/>
      <c r="U3133" s="179"/>
      <c r="V3133" s="179"/>
      <c r="W3133" s="180"/>
      <c r="X3133" s="181" t="str">
        <f>IFERROR(__xludf.DUMMYFUNCTION("""COMPUTED_VALUE"""),"Excellent")</f>
        <v>Excellent</v>
      </c>
      <c r="Y3133" s="182" t="str">
        <f>IFERROR(__xludf.DUMMYFUNCTION("""COMPUTED_VALUE"""),"Excellent")</f>
        <v>Excellent</v>
      </c>
      <c r="Z3133" s="182" t="str">
        <f>IFERROR(__xludf.DUMMYFUNCTION("""COMPUTED_VALUE"""),"Excellent")</f>
        <v>Excellent</v>
      </c>
      <c r="AA3133" s="182" t="str">
        <f>IFERROR(__xludf.DUMMYFUNCTION("""COMPUTED_VALUE"""),"Very Good")</f>
        <v>Very Good</v>
      </c>
      <c r="AB3133" s="182" t="str">
        <f>IFERROR(__xludf.DUMMYFUNCTION("""COMPUTED_VALUE"""),"Excellent")</f>
        <v>Excellent</v>
      </c>
      <c r="AC3133" s="183">
        <f>IFERROR(__xludf.DUMMYFUNCTION("""COMPUTED_VALUE"""),0.0)</f>
        <v>0</v>
      </c>
      <c r="AD3133" s="183">
        <f>IFERROR(__xludf.DUMMYFUNCTION("""COMPUTED_VALUE"""),0.0)</f>
        <v>0</v>
      </c>
      <c r="AE3133" s="183">
        <f>IFERROR(__xludf.DUMMYFUNCTION("""COMPUTED_VALUE"""),0.0)</f>
        <v>0</v>
      </c>
      <c r="AF3133" s="184"/>
      <c r="AG3133" s="180" t="str">
        <f>IFERROR(__xludf.DUMMYFUNCTION("""COMPUTED_VALUE"""),"Home delivery was flawless")</f>
        <v>Home delivery was flawless</v>
      </c>
      <c r="AH3133" s="185">
        <f>IFERROR(__xludf.DUMMYFUNCTION("""COMPUTED_VALUE"""),43399.431713275466)</f>
        <v>43399.43171</v>
      </c>
      <c r="AI3133" s="182"/>
      <c r="AJ3133" s="182"/>
      <c r="AK3133" s="182"/>
      <c r="AL3133" s="182"/>
    </row>
    <row r="3134" ht="20.25" customHeight="1">
      <c r="A3134" s="169" t="str">
        <f>IFERROR(__xludf.DUMMYFUNCTION("""COMPUTED_VALUE"""),"mayhem")</f>
        <v>mayhem</v>
      </c>
      <c r="B3134" s="170" t="str">
        <f>IFERROR(__xludf.DUMMYFUNCTION("""COMPUTED_VALUE"""),"United states")</f>
        <v>United states</v>
      </c>
      <c r="C3134" s="170" t="str">
        <f>IFERROR(__xludf.DUMMYFUNCTION("""COMPUTED_VALUE"""),"TN")</f>
        <v>TN</v>
      </c>
      <c r="D3134" s="170" t="str">
        <f>IFERROR(__xludf.DUMMYFUNCTION("""COMPUTED_VALUE"""),"USA")</f>
        <v>USA</v>
      </c>
      <c r="E3134" s="171">
        <f>IFERROR(__xludf.DUMMYFUNCTION("""COMPUTED_VALUE"""),43278.0)</f>
        <v>43278</v>
      </c>
      <c r="F3134" s="172">
        <f>IFERROR(__xludf.DUMMYFUNCTION("""COMPUTED_VALUE"""),43347.0)</f>
        <v>43347</v>
      </c>
      <c r="G3134" s="173"/>
      <c r="H3134" s="174">
        <f>IFERROR(__xludf.DUMMYFUNCTION("""COMPUTED_VALUE"""),63255.0)</f>
        <v>63255</v>
      </c>
      <c r="I3134" s="175" t="str">
        <f>IFERROR(__xludf.DUMMYFUNCTION("""COMPUTED_VALUE"""),"08/18")</f>
        <v>08/18</v>
      </c>
      <c r="J3134" s="172">
        <f>IFERROR(__xludf.DUMMYFUNCTION("""COMPUTED_VALUE"""),43359.0)</f>
        <v>43359</v>
      </c>
      <c r="K3134" s="176">
        <f>IFERROR(__xludf.DUMMYFUNCTION("""COMPUTED_VALUE"""),69.0)</f>
        <v>69</v>
      </c>
      <c r="L3134" s="176">
        <f>IFERROR(__xludf.DUMMYFUNCTION("""COMPUTED_VALUE"""),12.0)</f>
        <v>12</v>
      </c>
      <c r="M3134" s="176">
        <f>IFERROR(__xludf.DUMMYFUNCTION("""COMPUTED_VALUE"""),81.0)</f>
        <v>81</v>
      </c>
      <c r="N3134" s="177" t="str">
        <f>IFERROR(__xludf.DUMMYFUNCTION("""COMPUTED_VALUE"""),"Model 3 Performance")</f>
        <v>Model 3 Performance</v>
      </c>
      <c r="O3134" s="177" t="str">
        <f>IFERROR(__xludf.DUMMYFUNCTION("""COMPUTED_VALUE"""),"Red Multi-Coat")</f>
        <v>Red Multi-Coat</v>
      </c>
      <c r="P3134" s="178" t="str">
        <f>IFERROR(__xludf.DUMMYFUNCTION("""COMPUTED_VALUE"""),"20 inch Sport")</f>
        <v>20 inch Sport</v>
      </c>
      <c r="Q3134" s="177" t="str">
        <f>IFERROR(__xludf.DUMMYFUNCTION("""COMPUTED_VALUE"""),"Black seats")</f>
        <v>Black seats</v>
      </c>
      <c r="R3134" s="170" t="str">
        <f>IFERROR(__xludf.DUMMYFUNCTION("""COMPUTED_VALUE"""),"Full Self-Driving")</f>
        <v>Full Self-Driving</v>
      </c>
      <c r="S3134" s="170"/>
      <c r="T3134" s="179"/>
      <c r="U3134" s="179"/>
      <c r="V3134" s="179"/>
      <c r="W3134" s="180"/>
      <c r="X3134" s="181" t="str">
        <f>IFERROR(__xludf.DUMMYFUNCTION("""COMPUTED_VALUE"""),"Excellent")</f>
        <v>Excellent</v>
      </c>
      <c r="Y3134" s="182" t="str">
        <f>IFERROR(__xludf.DUMMYFUNCTION("""COMPUTED_VALUE"""),"Excellent")</f>
        <v>Excellent</v>
      </c>
      <c r="Z3134" s="182" t="str">
        <f>IFERROR(__xludf.DUMMYFUNCTION("""COMPUTED_VALUE"""),"Fair")</f>
        <v>Fair</v>
      </c>
      <c r="AA3134" s="182" t="str">
        <f>IFERROR(__xludf.DUMMYFUNCTION("""COMPUTED_VALUE"""),"Good")</f>
        <v>Good</v>
      </c>
      <c r="AB3134" s="182" t="str">
        <f>IFERROR(__xludf.DUMMYFUNCTION("""COMPUTED_VALUE"""),"Good")</f>
        <v>Good</v>
      </c>
      <c r="AC3134" s="183">
        <f>IFERROR(__xludf.DUMMYFUNCTION("""COMPUTED_VALUE"""),3.0)</f>
        <v>3</v>
      </c>
      <c r="AD3134" s="183"/>
      <c r="AE3134" s="183"/>
      <c r="AF3134" s="184"/>
      <c r="AG3134" s="180"/>
      <c r="AH3134" s="185">
        <f>IFERROR(__xludf.DUMMYFUNCTION("""COMPUTED_VALUE"""),43359.8023155787)</f>
        <v>43359.80232</v>
      </c>
      <c r="AI3134" s="182"/>
      <c r="AJ3134" s="182"/>
      <c r="AK3134" s="182"/>
      <c r="AL3134" s="182"/>
    </row>
    <row r="3135" ht="20.25" customHeight="1">
      <c r="A3135" s="169" t="str">
        <f>IFERROR(__xludf.DUMMYFUNCTION("""COMPUTED_VALUE"""),"mbrum")</f>
        <v>mbrum</v>
      </c>
      <c r="B3135" s="170" t="str">
        <f>IFERROR(__xludf.DUMMYFUNCTION("""COMPUTED_VALUE"""),"San Diego")</f>
        <v>San Diego</v>
      </c>
      <c r="C3135" s="170" t="str">
        <f>IFERROR(__xludf.DUMMYFUNCTION("""COMPUTED_VALUE"""),"CA")</f>
        <v>CA</v>
      </c>
      <c r="D3135" s="170" t="str">
        <f>IFERROR(__xludf.DUMMYFUNCTION("""COMPUTED_VALUE"""),"USA")</f>
        <v>USA</v>
      </c>
      <c r="E3135" s="171">
        <f>IFERROR(__xludf.DUMMYFUNCTION("""COMPUTED_VALUE"""),43278.0)</f>
        <v>43278</v>
      </c>
      <c r="F3135" s="172">
        <f>IFERROR(__xludf.DUMMYFUNCTION("""COMPUTED_VALUE"""),43361.0)</f>
        <v>43361</v>
      </c>
      <c r="G3135" s="173"/>
      <c r="H3135" s="174">
        <f>IFERROR(__xludf.DUMMYFUNCTION("""COMPUTED_VALUE"""),90555.0)</f>
        <v>90555</v>
      </c>
      <c r="I3135" s="175" t="str">
        <f>IFERROR(__xludf.DUMMYFUNCTION("""COMPUTED_VALUE"""),"09/18")</f>
        <v>09/18</v>
      </c>
      <c r="J3135" s="172">
        <f>IFERROR(__xludf.DUMMYFUNCTION("""COMPUTED_VALUE"""),43365.0)</f>
        <v>43365</v>
      </c>
      <c r="K3135" s="176">
        <f>IFERROR(__xludf.DUMMYFUNCTION("""COMPUTED_VALUE"""),83.0)</f>
        <v>83</v>
      </c>
      <c r="L3135" s="176">
        <f>IFERROR(__xludf.DUMMYFUNCTION("""COMPUTED_VALUE"""),4.0)</f>
        <v>4</v>
      </c>
      <c r="M3135" s="176">
        <f>IFERROR(__xludf.DUMMYFUNCTION("""COMPUTED_VALUE"""),87.0)</f>
        <v>87</v>
      </c>
      <c r="N3135" s="177" t="str">
        <f>IFERROR(__xludf.DUMMYFUNCTION("""COMPUTED_VALUE"""),"Model 3 LR AWD")</f>
        <v>Model 3 LR AWD</v>
      </c>
      <c r="O3135" s="177" t="str">
        <f>IFERROR(__xludf.DUMMYFUNCTION("""COMPUTED_VALUE"""),"Midnight Silver Metallic")</f>
        <v>Midnight Silver Metallic</v>
      </c>
      <c r="P3135" s="178" t="str">
        <f>IFERROR(__xludf.DUMMYFUNCTION("""COMPUTED_VALUE"""),"19 inch Sport")</f>
        <v>19 inch Sport</v>
      </c>
      <c r="Q3135" s="177" t="str">
        <f>IFERROR(__xludf.DUMMYFUNCTION("""COMPUTED_VALUE"""),"Black seats")</f>
        <v>Black seats</v>
      </c>
      <c r="R3135" s="170" t="str">
        <f>IFERROR(__xludf.DUMMYFUNCTION("""COMPUTED_VALUE"""),"Enhanced Autopilot")</f>
        <v>Enhanced Autopilot</v>
      </c>
      <c r="S3135" s="170"/>
      <c r="T3135" s="179"/>
      <c r="U3135" s="179"/>
      <c r="V3135" s="179"/>
      <c r="W3135" s="180"/>
      <c r="X3135" s="181" t="str">
        <f>IFERROR(__xludf.DUMMYFUNCTION("""COMPUTED_VALUE"""),"Excellent")</f>
        <v>Excellent</v>
      </c>
      <c r="Y3135" s="182" t="str">
        <f>IFERROR(__xludf.DUMMYFUNCTION("""COMPUTED_VALUE"""),"Excellent")</f>
        <v>Excellent</v>
      </c>
      <c r="Z3135" s="182" t="str">
        <f>IFERROR(__xludf.DUMMYFUNCTION("""COMPUTED_VALUE"""),"Excellent")</f>
        <v>Excellent</v>
      </c>
      <c r="AA3135" s="182" t="str">
        <f>IFERROR(__xludf.DUMMYFUNCTION("""COMPUTED_VALUE"""),"Excellent")</f>
        <v>Excellent</v>
      </c>
      <c r="AB3135" s="182" t="str">
        <f>IFERROR(__xludf.DUMMYFUNCTION("""COMPUTED_VALUE"""),"Excellent")</f>
        <v>Excellent</v>
      </c>
      <c r="AC3135" s="183"/>
      <c r="AD3135" s="183"/>
      <c r="AE3135" s="183"/>
      <c r="AF3135" s="184"/>
      <c r="AG3135" s="180"/>
      <c r="AH3135" s="185">
        <f>IFERROR(__xludf.DUMMYFUNCTION("""COMPUTED_VALUE"""),43365.93050155092)</f>
        <v>43365.9305</v>
      </c>
      <c r="AI3135" s="182"/>
      <c r="AJ3135" s="182"/>
      <c r="AK3135" s="182"/>
      <c r="AL3135" s="182"/>
    </row>
    <row r="3136" ht="20.25" customHeight="1">
      <c r="A3136" s="169" t="str">
        <f>IFERROR(__xludf.DUMMYFUNCTION("""COMPUTED_VALUE"""),"mdc")</f>
        <v>mdc</v>
      </c>
      <c r="B3136" s="170" t="str">
        <f>IFERROR(__xludf.DUMMYFUNCTION("""COMPUTED_VALUE"""),"Sacramento")</f>
        <v>Sacramento</v>
      </c>
      <c r="C3136" s="170" t="str">
        <f>IFERROR(__xludf.DUMMYFUNCTION("""COMPUTED_VALUE"""),"CA")</f>
        <v>CA</v>
      </c>
      <c r="D3136" s="170" t="str">
        <f>IFERROR(__xludf.DUMMYFUNCTION("""COMPUTED_VALUE"""),"USA")</f>
        <v>USA</v>
      </c>
      <c r="E3136" s="171">
        <f>IFERROR(__xludf.DUMMYFUNCTION("""COMPUTED_VALUE"""),43278.0)</f>
        <v>43278</v>
      </c>
      <c r="F3136" s="172">
        <f>IFERROR(__xludf.DUMMYFUNCTION("""COMPUTED_VALUE"""),43287.0)</f>
        <v>43287</v>
      </c>
      <c r="G3136" s="173"/>
      <c r="H3136" s="174">
        <f>IFERROR(__xludf.DUMMYFUNCTION("""COMPUTED_VALUE"""),38285.0)</f>
        <v>38285</v>
      </c>
      <c r="I3136" s="175" t="str">
        <f>IFERROR(__xludf.DUMMYFUNCTION("""COMPUTED_VALUE"""),"06/18")</f>
        <v>06/18</v>
      </c>
      <c r="J3136" s="172">
        <f>IFERROR(__xludf.DUMMYFUNCTION("""COMPUTED_VALUE"""),43302.0)</f>
        <v>43302</v>
      </c>
      <c r="K3136" s="176">
        <f>IFERROR(__xludf.DUMMYFUNCTION("""COMPUTED_VALUE"""),9.0)</f>
        <v>9</v>
      </c>
      <c r="L3136" s="176">
        <f>IFERROR(__xludf.DUMMYFUNCTION("""COMPUTED_VALUE"""),15.0)</f>
        <v>15</v>
      </c>
      <c r="M3136" s="176">
        <f>IFERROR(__xludf.DUMMYFUNCTION("""COMPUTED_VALUE"""),24.0)</f>
        <v>24</v>
      </c>
      <c r="N3136" s="177" t="str">
        <f>IFERROR(__xludf.DUMMYFUNCTION("""COMPUTED_VALUE"""),"Model 3 LR")</f>
        <v>Model 3 LR</v>
      </c>
      <c r="O3136" s="177" t="str">
        <f>IFERROR(__xludf.DUMMYFUNCTION("""COMPUTED_VALUE"""),"Midnight Silver Metallic")</f>
        <v>Midnight Silver Metallic</v>
      </c>
      <c r="P3136" s="178" t="str">
        <f>IFERROR(__xludf.DUMMYFUNCTION("""COMPUTED_VALUE"""),"18 inch Aero")</f>
        <v>18 inch Aero</v>
      </c>
      <c r="Q3136" s="177" t="str">
        <f>IFERROR(__xludf.DUMMYFUNCTION("""COMPUTED_VALUE"""),"Black seats")</f>
        <v>Black seats</v>
      </c>
      <c r="R3136" s="170" t="str">
        <f>IFERROR(__xludf.DUMMYFUNCTION("""COMPUTED_VALUE"""),"None")</f>
        <v>None</v>
      </c>
      <c r="S3136" s="170"/>
      <c r="T3136" s="179"/>
      <c r="U3136" s="179"/>
      <c r="V3136" s="179"/>
      <c r="W3136" s="180"/>
      <c r="X3136" s="181" t="str">
        <f>IFERROR(__xludf.DUMMYFUNCTION("""COMPUTED_VALUE"""),"Excellent")</f>
        <v>Excellent</v>
      </c>
      <c r="Y3136" s="182" t="str">
        <f>IFERROR(__xludf.DUMMYFUNCTION("""COMPUTED_VALUE"""),"Excellent")</f>
        <v>Excellent</v>
      </c>
      <c r="Z3136" s="182" t="str">
        <f>IFERROR(__xludf.DUMMYFUNCTION("""COMPUTED_VALUE"""),"Very Good")</f>
        <v>Very Good</v>
      </c>
      <c r="AA3136" s="182" t="str">
        <f>IFERROR(__xludf.DUMMYFUNCTION("""COMPUTED_VALUE"""),"Good")</f>
        <v>Good</v>
      </c>
      <c r="AB3136" s="182" t="str">
        <f>IFERROR(__xludf.DUMMYFUNCTION("""COMPUTED_VALUE"""),"Very Good")</f>
        <v>Very Good</v>
      </c>
      <c r="AC3136" s="183"/>
      <c r="AD3136" s="183"/>
      <c r="AE3136" s="183"/>
      <c r="AF3136" s="184"/>
      <c r="AG3136" s="180"/>
      <c r="AH3136" s="185">
        <f>IFERROR(__xludf.DUMMYFUNCTION("""COMPUTED_VALUE"""),43306.64586427083)</f>
        <v>43306.64586</v>
      </c>
      <c r="AI3136" s="182"/>
      <c r="AJ3136" s="182"/>
      <c r="AK3136" s="182"/>
      <c r="AL3136" s="182"/>
    </row>
    <row r="3137" ht="20.25" customHeight="1">
      <c r="A3137" s="169" t="str">
        <f>IFERROR(__xludf.DUMMYFUNCTION("""COMPUTED_VALUE"""),"melindav")</f>
        <v>melindav</v>
      </c>
      <c r="B3137" s="170" t="str">
        <f>IFERROR(__xludf.DUMMYFUNCTION("""COMPUTED_VALUE"""),"Vancouver")</f>
        <v>Vancouver</v>
      </c>
      <c r="C3137" s="170" t="str">
        <f>IFERROR(__xludf.DUMMYFUNCTION("""COMPUTED_VALUE"""),"WA")</f>
        <v>WA</v>
      </c>
      <c r="D3137" s="170" t="str">
        <f>IFERROR(__xludf.DUMMYFUNCTION("""COMPUTED_VALUE"""),"USA")</f>
        <v>USA</v>
      </c>
      <c r="E3137" s="171">
        <f>IFERROR(__xludf.DUMMYFUNCTION("""COMPUTED_VALUE"""),43278.0)</f>
        <v>43278</v>
      </c>
      <c r="F3137" s="172">
        <f>IFERROR(__xludf.DUMMYFUNCTION("""COMPUTED_VALUE"""),43367.0)</f>
        <v>43367</v>
      </c>
      <c r="G3137" s="173"/>
      <c r="H3137" s="174">
        <f>IFERROR(__xludf.DUMMYFUNCTION("""COMPUTED_VALUE"""),91655.0)</f>
        <v>91655</v>
      </c>
      <c r="I3137" s="175" t="str">
        <f>IFERROR(__xludf.DUMMYFUNCTION("""COMPUTED_VALUE"""),"09/18")</f>
        <v>09/18</v>
      </c>
      <c r="J3137" s="172">
        <f>IFERROR(__xludf.DUMMYFUNCTION("""COMPUTED_VALUE"""),43369.0)</f>
        <v>43369</v>
      </c>
      <c r="K3137" s="176">
        <f>IFERROR(__xludf.DUMMYFUNCTION("""COMPUTED_VALUE"""),89.0)</f>
        <v>89</v>
      </c>
      <c r="L3137" s="176">
        <f>IFERROR(__xludf.DUMMYFUNCTION("""COMPUTED_VALUE"""),2.0)</f>
        <v>2</v>
      </c>
      <c r="M3137" s="176">
        <f>IFERROR(__xludf.DUMMYFUNCTION("""COMPUTED_VALUE"""),91.0)</f>
        <v>91</v>
      </c>
      <c r="N3137" s="177" t="str">
        <f>IFERROR(__xludf.DUMMYFUNCTION("""COMPUTED_VALUE"""),"Model 3 LR AWD")</f>
        <v>Model 3 LR AWD</v>
      </c>
      <c r="O3137" s="177" t="str">
        <f>IFERROR(__xludf.DUMMYFUNCTION("""COMPUTED_VALUE"""),"Red Multi-Coat")</f>
        <v>Red Multi-Coat</v>
      </c>
      <c r="P3137" s="178" t="str">
        <f>IFERROR(__xludf.DUMMYFUNCTION("""COMPUTED_VALUE"""),"19 inch Sport")</f>
        <v>19 inch Sport</v>
      </c>
      <c r="Q3137" s="177" t="str">
        <f>IFERROR(__xludf.DUMMYFUNCTION("""COMPUTED_VALUE"""),"Black seats")</f>
        <v>Black seats</v>
      </c>
      <c r="R3137" s="170" t="str">
        <f>IFERROR(__xludf.DUMMYFUNCTION("""COMPUTED_VALUE"""),"Enhanced Autopilot")</f>
        <v>Enhanced Autopilot</v>
      </c>
      <c r="S3137" s="170"/>
      <c r="T3137" s="179"/>
      <c r="U3137" s="179"/>
      <c r="V3137" s="179"/>
      <c r="W3137" s="180"/>
      <c r="X3137" s="181" t="str">
        <f>IFERROR(__xludf.DUMMYFUNCTION("""COMPUTED_VALUE"""),"Excellent")</f>
        <v>Excellent</v>
      </c>
      <c r="Y3137" s="182" t="str">
        <f>IFERROR(__xludf.DUMMYFUNCTION("""COMPUTED_VALUE"""),"Excellent")</f>
        <v>Excellent</v>
      </c>
      <c r="Z3137" s="182" t="str">
        <f>IFERROR(__xludf.DUMMYFUNCTION("""COMPUTED_VALUE"""),"Very Good")</f>
        <v>Very Good</v>
      </c>
      <c r="AA3137" s="182" t="str">
        <f>IFERROR(__xludf.DUMMYFUNCTION("""COMPUTED_VALUE"""),"Fair")</f>
        <v>Fair</v>
      </c>
      <c r="AB3137" s="182" t="str">
        <f>IFERROR(__xludf.DUMMYFUNCTION("""COMPUTED_VALUE"""),"Excellent")</f>
        <v>Excellent</v>
      </c>
      <c r="AC3137" s="183"/>
      <c r="AD3137" s="183"/>
      <c r="AE3137" s="183"/>
      <c r="AF3137" s="184"/>
      <c r="AG3137" s="180"/>
      <c r="AH3137" s="185">
        <f>IFERROR(__xludf.DUMMYFUNCTION("""COMPUTED_VALUE"""),43372.943271006945)</f>
        <v>43372.94327</v>
      </c>
      <c r="AI3137" s="182"/>
      <c r="AJ3137" s="182"/>
      <c r="AK3137" s="182"/>
      <c r="AL3137" s="182"/>
    </row>
    <row r="3138" ht="20.25" customHeight="1">
      <c r="A3138" s="169" t="str">
        <f>IFERROR(__xludf.DUMMYFUNCTION("""COMPUTED_VALUE"""),"Milkkng")</f>
        <v>Milkkng</v>
      </c>
      <c r="B3138" s="170" t="str">
        <f>IFERROR(__xludf.DUMMYFUNCTION("""COMPUTED_VALUE"""),"Bay area")</f>
        <v>Bay area</v>
      </c>
      <c r="C3138" s="170" t="str">
        <f>IFERROR(__xludf.DUMMYFUNCTION("""COMPUTED_VALUE"""),"CA")</f>
        <v>CA</v>
      </c>
      <c r="D3138" s="170" t="str">
        <f>IFERROR(__xludf.DUMMYFUNCTION("""COMPUTED_VALUE"""),"USA")</f>
        <v>USA</v>
      </c>
      <c r="E3138" s="171">
        <f>IFERROR(__xludf.DUMMYFUNCTION("""COMPUTED_VALUE"""),43278.0)</f>
        <v>43278</v>
      </c>
      <c r="F3138" s="172">
        <f>IFERROR(__xludf.DUMMYFUNCTION("""COMPUTED_VALUE"""),43315.0)</f>
        <v>43315</v>
      </c>
      <c r="G3138" s="173"/>
      <c r="H3138" s="174">
        <f>IFERROR(__xludf.DUMMYFUNCTION("""COMPUTED_VALUE"""),60655.0)</f>
        <v>60655</v>
      </c>
      <c r="I3138" s="175" t="str">
        <f>IFERROR(__xludf.DUMMYFUNCTION("""COMPUTED_VALUE"""),"07/18")</f>
        <v>07/18</v>
      </c>
      <c r="J3138" s="172">
        <f>IFERROR(__xludf.DUMMYFUNCTION("""COMPUTED_VALUE"""),43322.0)</f>
        <v>43322</v>
      </c>
      <c r="K3138" s="176">
        <f>IFERROR(__xludf.DUMMYFUNCTION("""COMPUTED_VALUE"""),37.0)</f>
        <v>37</v>
      </c>
      <c r="L3138" s="176">
        <f>IFERROR(__xludf.DUMMYFUNCTION("""COMPUTED_VALUE"""),7.0)</f>
        <v>7</v>
      </c>
      <c r="M3138" s="176">
        <f>IFERROR(__xludf.DUMMYFUNCTION("""COMPUTED_VALUE"""),44.0)</f>
        <v>44</v>
      </c>
      <c r="N3138" s="177" t="str">
        <f>IFERROR(__xludf.DUMMYFUNCTION("""COMPUTED_VALUE"""),"Model 3 LR")</f>
        <v>Model 3 LR</v>
      </c>
      <c r="O3138" s="177" t="str">
        <f>IFERROR(__xludf.DUMMYFUNCTION("""COMPUTED_VALUE"""),"Pearl White Multi-Coat")</f>
        <v>Pearl White Multi-Coat</v>
      </c>
      <c r="P3138" s="178" t="str">
        <f>IFERROR(__xludf.DUMMYFUNCTION("""COMPUTED_VALUE"""),"18 inch Aero")</f>
        <v>18 inch Aero</v>
      </c>
      <c r="Q3138" s="177" t="str">
        <f>IFERROR(__xludf.DUMMYFUNCTION("""COMPUTED_VALUE"""),"Black seats")</f>
        <v>Black seats</v>
      </c>
      <c r="R3138" s="170" t="str">
        <f>IFERROR(__xludf.DUMMYFUNCTION("""COMPUTED_VALUE"""),"None")</f>
        <v>None</v>
      </c>
      <c r="S3138" s="170"/>
      <c r="T3138" s="179"/>
      <c r="U3138" s="179"/>
      <c r="V3138" s="179"/>
      <c r="W3138" s="180"/>
      <c r="X3138" s="181" t="str">
        <f>IFERROR(__xludf.DUMMYFUNCTION("""COMPUTED_VALUE"""),"Good")</f>
        <v>Good</v>
      </c>
      <c r="Y3138" s="182" t="str">
        <f>IFERROR(__xludf.DUMMYFUNCTION("""COMPUTED_VALUE"""),"Very Good")</f>
        <v>Very Good</v>
      </c>
      <c r="Z3138" s="182" t="str">
        <f>IFERROR(__xludf.DUMMYFUNCTION("""COMPUTED_VALUE"""),"Excellent")</f>
        <v>Excellent</v>
      </c>
      <c r="AA3138" s="182" t="str">
        <f>IFERROR(__xludf.DUMMYFUNCTION("""COMPUTED_VALUE"""),"Fair")</f>
        <v>Fair</v>
      </c>
      <c r="AB3138" s="182" t="str">
        <f>IFERROR(__xludf.DUMMYFUNCTION("""COMPUTED_VALUE"""),"Very Good")</f>
        <v>Very Good</v>
      </c>
      <c r="AC3138" s="183"/>
      <c r="AD3138" s="183"/>
      <c r="AE3138" s="183"/>
      <c r="AF3138" s="184"/>
      <c r="AG3138" s="180"/>
      <c r="AH3138" s="185">
        <f>IFERROR(__xludf.DUMMYFUNCTION("""COMPUTED_VALUE"""),43322.980459004626)</f>
        <v>43322.98046</v>
      </c>
      <c r="AI3138" s="182"/>
      <c r="AJ3138" s="182"/>
      <c r="AK3138" s="182"/>
      <c r="AL3138" s="182"/>
    </row>
    <row r="3139" ht="20.25" customHeight="1">
      <c r="A3139" s="169" t="str">
        <f>IFERROR(__xludf.DUMMYFUNCTION("""COMPUTED_VALUE"""),"Model3ForMe")</f>
        <v>Model3ForMe</v>
      </c>
      <c r="B3139" s="170" t="str">
        <f>IFERROR(__xludf.DUMMYFUNCTION("""COMPUTED_VALUE"""),"San Mateo")</f>
        <v>San Mateo</v>
      </c>
      <c r="C3139" s="170" t="str">
        <f>IFERROR(__xludf.DUMMYFUNCTION("""COMPUTED_VALUE"""),"CA")</f>
        <v>CA</v>
      </c>
      <c r="D3139" s="170" t="str">
        <f>IFERROR(__xludf.DUMMYFUNCTION("""COMPUTED_VALUE"""),"USA")</f>
        <v>USA</v>
      </c>
      <c r="E3139" s="171">
        <f>IFERROR(__xludf.DUMMYFUNCTION("""COMPUTED_VALUE"""),43278.0)</f>
        <v>43278</v>
      </c>
      <c r="F3139" s="172">
        <f>IFERROR(__xludf.DUMMYFUNCTION("""COMPUTED_VALUE"""),43325.0)</f>
        <v>43325</v>
      </c>
      <c r="G3139" s="173"/>
      <c r="H3139" s="174">
        <f>IFERROR(__xludf.DUMMYFUNCTION("""COMPUTED_VALUE"""),55555.0)</f>
        <v>55555</v>
      </c>
      <c r="I3139" s="175" t="str">
        <f>IFERROR(__xludf.DUMMYFUNCTION("""COMPUTED_VALUE"""),"08/18")</f>
        <v>08/18</v>
      </c>
      <c r="J3139" s="172">
        <f>IFERROR(__xludf.DUMMYFUNCTION("""COMPUTED_VALUE"""),43329.0)</f>
        <v>43329</v>
      </c>
      <c r="K3139" s="176">
        <f>IFERROR(__xludf.DUMMYFUNCTION("""COMPUTED_VALUE"""),47.0)</f>
        <v>47</v>
      </c>
      <c r="L3139" s="176">
        <f>IFERROR(__xludf.DUMMYFUNCTION("""COMPUTED_VALUE"""),4.0)</f>
        <v>4</v>
      </c>
      <c r="M3139" s="176">
        <f>IFERROR(__xludf.DUMMYFUNCTION("""COMPUTED_VALUE"""),51.0)</f>
        <v>51</v>
      </c>
      <c r="N3139" s="177" t="str">
        <f>IFERROR(__xludf.DUMMYFUNCTION("""COMPUTED_VALUE"""),"Model 3 Performance")</f>
        <v>Model 3 Performance</v>
      </c>
      <c r="O3139" s="177" t="str">
        <f>IFERROR(__xludf.DUMMYFUNCTION("""COMPUTED_VALUE"""),"Red Multi-Coat")</f>
        <v>Red Multi-Coat</v>
      </c>
      <c r="P3139" s="178" t="str">
        <f>IFERROR(__xludf.DUMMYFUNCTION("""COMPUTED_VALUE"""),"20 inch Sport")</f>
        <v>20 inch Sport</v>
      </c>
      <c r="Q3139" s="177" t="str">
        <f>IFERROR(__xludf.DUMMYFUNCTION("""COMPUTED_VALUE"""),"White seats")</f>
        <v>White seats</v>
      </c>
      <c r="R3139" s="170" t="str">
        <f>IFERROR(__xludf.DUMMYFUNCTION("""COMPUTED_VALUE"""),"Full Self-Driving")</f>
        <v>Full Self-Driving</v>
      </c>
      <c r="S3139" s="170"/>
      <c r="T3139" s="179"/>
      <c r="U3139" s="179"/>
      <c r="V3139" s="179"/>
      <c r="W3139" s="180"/>
      <c r="X3139" s="181" t="str">
        <f>IFERROR(__xludf.DUMMYFUNCTION("""COMPUTED_VALUE"""),"Excellent")</f>
        <v>Excellent</v>
      </c>
      <c r="Y3139" s="182" t="str">
        <f>IFERROR(__xludf.DUMMYFUNCTION("""COMPUTED_VALUE"""),"Very Good")</f>
        <v>Very Good</v>
      </c>
      <c r="Z3139" s="182" t="str">
        <f>IFERROR(__xludf.DUMMYFUNCTION("""COMPUTED_VALUE"""),"Good")</f>
        <v>Good</v>
      </c>
      <c r="AA3139" s="182" t="str">
        <f>IFERROR(__xludf.DUMMYFUNCTION("""COMPUTED_VALUE"""),"Very Good")</f>
        <v>Very Good</v>
      </c>
      <c r="AB3139" s="182" t="str">
        <f>IFERROR(__xludf.DUMMYFUNCTION("""COMPUTED_VALUE"""),"Good")</f>
        <v>Good</v>
      </c>
      <c r="AC3139" s="183"/>
      <c r="AD3139" s="183"/>
      <c r="AE3139" s="183"/>
      <c r="AF3139" s="184"/>
      <c r="AG3139" s="180"/>
      <c r="AH3139" s="185">
        <f>IFERROR(__xludf.DUMMYFUNCTION("""COMPUTED_VALUE"""),43330.13334569445)</f>
        <v>43330.13335</v>
      </c>
      <c r="AI3139" s="182"/>
      <c r="AJ3139" s="182"/>
      <c r="AK3139" s="182"/>
      <c r="AL3139" s="182"/>
    </row>
    <row r="3140" ht="20.25" customHeight="1">
      <c r="A3140" s="169" t="str">
        <f>IFERROR(__xludf.DUMMYFUNCTION("""COMPUTED_VALUE"""),"ModTrois")</f>
        <v>ModTrois</v>
      </c>
      <c r="B3140" s="170" t="str">
        <f>IFERROR(__xludf.DUMMYFUNCTION("""COMPUTED_VALUE"""),"Fairfield County")</f>
        <v>Fairfield County</v>
      </c>
      <c r="C3140" s="170" t="str">
        <f>IFERROR(__xludf.DUMMYFUNCTION("""COMPUTED_VALUE"""),"CT")</f>
        <v>CT</v>
      </c>
      <c r="D3140" s="170" t="str">
        <f>IFERROR(__xludf.DUMMYFUNCTION("""COMPUTED_VALUE"""),"USA")</f>
        <v>USA</v>
      </c>
      <c r="E3140" s="171">
        <f>IFERROR(__xludf.DUMMYFUNCTION("""COMPUTED_VALUE"""),43278.0)</f>
        <v>43278</v>
      </c>
      <c r="F3140" s="172">
        <f>IFERROR(__xludf.DUMMYFUNCTION("""COMPUTED_VALUE"""),43391.0)</f>
        <v>43391</v>
      </c>
      <c r="G3140" s="173"/>
      <c r="H3140" s="174">
        <f>IFERROR(__xludf.DUMMYFUNCTION("""COMPUTED_VALUE"""),117355.0)</f>
        <v>117355</v>
      </c>
      <c r="I3140" s="175" t="str">
        <f>IFERROR(__xludf.DUMMYFUNCTION("""COMPUTED_VALUE"""),"10/18")</f>
        <v>10/18</v>
      </c>
      <c r="J3140" s="172">
        <f>IFERROR(__xludf.DUMMYFUNCTION("""COMPUTED_VALUE"""),43418.0)</f>
        <v>43418</v>
      </c>
      <c r="K3140" s="176">
        <f>IFERROR(__xludf.DUMMYFUNCTION("""COMPUTED_VALUE"""),113.0)</f>
        <v>113</v>
      </c>
      <c r="L3140" s="176">
        <f>IFERROR(__xludf.DUMMYFUNCTION("""COMPUTED_VALUE"""),27.0)</f>
        <v>27</v>
      </c>
      <c r="M3140" s="176">
        <f>IFERROR(__xludf.DUMMYFUNCTION("""COMPUTED_VALUE"""),140.0)</f>
        <v>140</v>
      </c>
      <c r="N3140" s="177" t="str">
        <f>IFERROR(__xludf.DUMMYFUNCTION("""COMPUTED_VALUE"""),"Model 3 LR AWD")</f>
        <v>Model 3 LR AWD</v>
      </c>
      <c r="O3140" s="177" t="str">
        <f>IFERROR(__xludf.DUMMYFUNCTION("""COMPUTED_VALUE"""),"Red Multi-Coat")</f>
        <v>Red Multi-Coat</v>
      </c>
      <c r="P3140" s="178" t="str">
        <f>IFERROR(__xludf.DUMMYFUNCTION("""COMPUTED_VALUE"""),"19 inch Sport")</f>
        <v>19 inch Sport</v>
      </c>
      <c r="Q3140" s="177" t="str">
        <f>IFERROR(__xludf.DUMMYFUNCTION("""COMPUTED_VALUE"""),"Black seats")</f>
        <v>Black seats</v>
      </c>
      <c r="R3140" s="170" t="str">
        <f>IFERROR(__xludf.DUMMYFUNCTION("""COMPUTED_VALUE"""),"Full Self-Driving")</f>
        <v>Full Self-Driving</v>
      </c>
      <c r="S3140" s="170"/>
      <c r="T3140" s="179"/>
      <c r="U3140" s="179"/>
      <c r="V3140" s="179"/>
      <c r="W3140" s="180"/>
      <c r="X3140" s="181" t="str">
        <f>IFERROR(__xludf.DUMMYFUNCTION("""COMPUTED_VALUE"""),"Very Good")</f>
        <v>Very Good</v>
      </c>
      <c r="Y3140" s="182" t="str">
        <f>IFERROR(__xludf.DUMMYFUNCTION("""COMPUTED_VALUE"""),"Excellent")</f>
        <v>Excellent</v>
      </c>
      <c r="Z3140" s="182" t="str">
        <f>IFERROR(__xludf.DUMMYFUNCTION("""COMPUTED_VALUE"""),"Excellent")</f>
        <v>Excellent</v>
      </c>
      <c r="AA3140" s="182" t="str">
        <f>IFERROR(__xludf.DUMMYFUNCTION("""COMPUTED_VALUE"""),"Poor")</f>
        <v>Poor</v>
      </c>
      <c r="AB3140" s="182" t="str">
        <f>IFERROR(__xludf.DUMMYFUNCTION("""COMPUTED_VALUE"""),"Fair")</f>
        <v>Fair</v>
      </c>
      <c r="AC3140" s="183">
        <f>IFERROR(__xludf.DUMMYFUNCTION("""COMPUTED_VALUE"""),0.0)</f>
        <v>0</v>
      </c>
      <c r="AD3140" s="183">
        <f>IFERROR(__xludf.DUMMYFUNCTION("""COMPUTED_VALUE"""),0.0)</f>
        <v>0</v>
      </c>
      <c r="AE3140" s="183">
        <f>IFERROR(__xludf.DUMMYFUNCTION("""COMPUTED_VALUE"""),0.0)</f>
        <v>0</v>
      </c>
      <c r="AF3140" s="184"/>
      <c r="AG3140" s="180"/>
      <c r="AH3140" s="185">
        <f>IFERROR(__xludf.DUMMYFUNCTION("""COMPUTED_VALUE"""),43465.380580254634)</f>
        <v>43465.38058</v>
      </c>
      <c r="AI3140" s="182"/>
      <c r="AJ3140" s="182"/>
      <c r="AK3140" s="182"/>
      <c r="AL3140" s="182"/>
    </row>
    <row r="3141" ht="20.25" customHeight="1">
      <c r="A3141" s="169" t="str">
        <f>IFERROR(__xludf.DUMMYFUNCTION("""COMPUTED_VALUE"""),"montypython")</f>
        <v>montypython</v>
      </c>
      <c r="B3141" s="170" t="str">
        <f>IFERROR(__xludf.DUMMYFUNCTION("""COMPUTED_VALUE"""),"Enfield")</f>
        <v>Enfield</v>
      </c>
      <c r="C3141" s="170" t="str">
        <f>IFERROR(__xludf.DUMMYFUNCTION("""COMPUTED_VALUE"""),"CT")</f>
        <v>CT</v>
      </c>
      <c r="D3141" s="170" t="str">
        <f>IFERROR(__xludf.DUMMYFUNCTION("""COMPUTED_VALUE"""),"USA")</f>
        <v>USA</v>
      </c>
      <c r="E3141" s="171">
        <f>IFERROR(__xludf.DUMMYFUNCTION("""COMPUTED_VALUE"""),43278.0)</f>
        <v>43278</v>
      </c>
      <c r="F3141" s="172">
        <f>IFERROR(__xludf.DUMMYFUNCTION("""COMPUTED_VALUE"""),43280.0)</f>
        <v>43280</v>
      </c>
      <c r="G3141" s="173"/>
      <c r="H3141" s="174">
        <f>IFERROR(__xludf.DUMMYFUNCTION("""COMPUTED_VALUE"""),26955.0)</f>
        <v>26955</v>
      </c>
      <c r="I3141" s="175" t="str">
        <f>IFERROR(__xludf.DUMMYFUNCTION("""COMPUTED_VALUE"""),"06/18")</f>
        <v>06/18</v>
      </c>
      <c r="J3141" s="172">
        <f>IFERROR(__xludf.DUMMYFUNCTION("""COMPUTED_VALUE"""),43292.0)</f>
        <v>43292</v>
      </c>
      <c r="K3141" s="176">
        <f>IFERROR(__xludf.DUMMYFUNCTION("""COMPUTED_VALUE"""),2.0)</f>
        <v>2</v>
      </c>
      <c r="L3141" s="176">
        <f>IFERROR(__xludf.DUMMYFUNCTION("""COMPUTED_VALUE"""),12.0)</f>
        <v>12</v>
      </c>
      <c r="M3141" s="176">
        <f>IFERROR(__xludf.DUMMYFUNCTION("""COMPUTED_VALUE"""),14.0)</f>
        <v>14</v>
      </c>
      <c r="N3141" s="177" t="str">
        <f>IFERROR(__xludf.DUMMYFUNCTION("""COMPUTED_VALUE"""),"Model 3 LR")</f>
        <v>Model 3 LR</v>
      </c>
      <c r="O3141" s="177" t="str">
        <f>IFERROR(__xludf.DUMMYFUNCTION("""COMPUTED_VALUE"""),"Red Multi-Coat")</f>
        <v>Red Multi-Coat</v>
      </c>
      <c r="P3141" s="178" t="str">
        <f>IFERROR(__xludf.DUMMYFUNCTION("""COMPUTED_VALUE"""),"18 inch Aero")</f>
        <v>18 inch Aero</v>
      </c>
      <c r="Q3141" s="177" t="str">
        <f>IFERROR(__xludf.DUMMYFUNCTION("""COMPUTED_VALUE"""),"Black seats")</f>
        <v>Black seats</v>
      </c>
      <c r="R3141" s="170" t="str">
        <f>IFERROR(__xludf.DUMMYFUNCTION("""COMPUTED_VALUE"""),"Enhanced Autopilot")</f>
        <v>Enhanced Autopilot</v>
      </c>
      <c r="S3141" s="170"/>
      <c r="T3141" s="179"/>
      <c r="U3141" s="179"/>
      <c r="V3141" s="179"/>
      <c r="W3141" s="180"/>
      <c r="X3141" s="181" t="str">
        <f>IFERROR(__xludf.DUMMYFUNCTION("""COMPUTED_VALUE"""),"Excellent")</f>
        <v>Excellent</v>
      </c>
      <c r="Y3141" s="182" t="str">
        <f>IFERROR(__xludf.DUMMYFUNCTION("""COMPUTED_VALUE"""),"Excellent")</f>
        <v>Excellent</v>
      </c>
      <c r="Z3141" s="182" t="str">
        <f>IFERROR(__xludf.DUMMYFUNCTION("""COMPUTED_VALUE"""),"Excellent")</f>
        <v>Excellent</v>
      </c>
      <c r="AA3141" s="182" t="str">
        <f>IFERROR(__xludf.DUMMYFUNCTION("""COMPUTED_VALUE"""),"Excellent")</f>
        <v>Excellent</v>
      </c>
      <c r="AB3141" s="182" t="str">
        <f>IFERROR(__xludf.DUMMYFUNCTION("""COMPUTED_VALUE"""),"Excellent")</f>
        <v>Excellent</v>
      </c>
      <c r="AC3141" s="183"/>
      <c r="AD3141" s="183"/>
      <c r="AE3141" s="183"/>
      <c r="AF3141" s="184"/>
      <c r="AG3141" s="180"/>
      <c r="AH3141" s="185">
        <f>IFERROR(__xludf.DUMMYFUNCTION("""COMPUTED_VALUE"""),43293.67844708333)</f>
        <v>43293.67845</v>
      </c>
      <c r="AI3141" s="182"/>
      <c r="AJ3141" s="182"/>
      <c r="AK3141" s="182"/>
      <c r="AL3141" s="182"/>
    </row>
    <row r="3142" ht="20.25" customHeight="1">
      <c r="A3142" s="169" t="str">
        <f>IFERROR(__xludf.DUMMYFUNCTION("""COMPUTED_VALUE"""),"mookie33")</f>
        <v>mookie33</v>
      </c>
      <c r="B3142" s="170" t="str">
        <f>IFERROR(__xludf.DUMMYFUNCTION("""COMPUTED_VALUE"""),"Niskayuna")</f>
        <v>Niskayuna</v>
      </c>
      <c r="C3142" s="170" t="str">
        <f>IFERROR(__xludf.DUMMYFUNCTION("""COMPUTED_VALUE"""),"NY")</f>
        <v>NY</v>
      </c>
      <c r="D3142" s="170" t="str">
        <f>IFERROR(__xludf.DUMMYFUNCTION("""COMPUTED_VALUE"""),"USA")</f>
        <v>USA</v>
      </c>
      <c r="E3142" s="171">
        <f>IFERROR(__xludf.DUMMYFUNCTION("""COMPUTED_VALUE"""),43278.0)</f>
        <v>43278</v>
      </c>
      <c r="F3142" s="172">
        <f>IFERROR(__xludf.DUMMYFUNCTION("""COMPUTED_VALUE"""),43357.0)</f>
        <v>43357</v>
      </c>
      <c r="G3142" s="173"/>
      <c r="H3142" s="174">
        <f>IFERROR(__xludf.DUMMYFUNCTION("""COMPUTED_VALUE"""),103655.0)</f>
        <v>103655</v>
      </c>
      <c r="I3142" s="175" t="str">
        <f>IFERROR(__xludf.DUMMYFUNCTION("""COMPUTED_VALUE"""),"09/18")</f>
        <v>09/18</v>
      </c>
      <c r="J3142" s="172">
        <f>IFERROR(__xludf.DUMMYFUNCTION("""COMPUTED_VALUE"""),43368.0)</f>
        <v>43368</v>
      </c>
      <c r="K3142" s="176">
        <f>IFERROR(__xludf.DUMMYFUNCTION("""COMPUTED_VALUE"""),79.0)</f>
        <v>79</v>
      </c>
      <c r="L3142" s="176">
        <f>IFERROR(__xludf.DUMMYFUNCTION("""COMPUTED_VALUE"""),11.0)</f>
        <v>11</v>
      </c>
      <c r="M3142" s="176">
        <f>IFERROR(__xludf.DUMMYFUNCTION("""COMPUTED_VALUE"""),90.0)</f>
        <v>90</v>
      </c>
      <c r="N3142" s="177" t="str">
        <f>IFERROR(__xludf.DUMMYFUNCTION("""COMPUTED_VALUE"""),"Model 3 LR AWD")</f>
        <v>Model 3 LR AWD</v>
      </c>
      <c r="O3142" s="177" t="str">
        <f>IFERROR(__xludf.DUMMYFUNCTION("""COMPUTED_VALUE"""),"Midnight Silver Metallic")</f>
        <v>Midnight Silver Metallic</v>
      </c>
      <c r="P3142" s="178" t="str">
        <f>IFERROR(__xludf.DUMMYFUNCTION("""COMPUTED_VALUE"""),"18 inch Aero")</f>
        <v>18 inch Aero</v>
      </c>
      <c r="Q3142" s="177" t="str">
        <f>IFERROR(__xludf.DUMMYFUNCTION("""COMPUTED_VALUE"""),"Black seats")</f>
        <v>Black seats</v>
      </c>
      <c r="R3142" s="170" t="str">
        <f>IFERROR(__xludf.DUMMYFUNCTION("""COMPUTED_VALUE"""),"Enhanced Autopilot")</f>
        <v>Enhanced Autopilot</v>
      </c>
      <c r="S3142" s="170"/>
      <c r="T3142" s="179"/>
      <c r="U3142" s="179"/>
      <c r="V3142" s="179"/>
      <c r="W3142" s="180"/>
      <c r="X3142" s="181" t="str">
        <f>IFERROR(__xludf.DUMMYFUNCTION("""COMPUTED_VALUE"""),"Very Good")</f>
        <v>Very Good</v>
      </c>
      <c r="Y3142" s="182" t="str">
        <f>IFERROR(__xludf.DUMMYFUNCTION("""COMPUTED_VALUE"""),"Excellent")</f>
        <v>Excellent</v>
      </c>
      <c r="Z3142" s="182" t="str">
        <f>IFERROR(__xludf.DUMMYFUNCTION("""COMPUTED_VALUE"""),"Excellent")</f>
        <v>Excellent</v>
      </c>
      <c r="AA3142" s="182" t="str">
        <f>IFERROR(__xludf.DUMMYFUNCTION("""COMPUTED_VALUE"""),"Excellent")</f>
        <v>Excellent</v>
      </c>
      <c r="AB3142" s="182" t="str">
        <f>IFERROR(__xludf.DUMMYFUNCTION("""COMPUTED_VALUE"""),"Good")</f>
        <v>Good</v>
      </c>
      <c r="AC3142" s="183"/>
      <c r="AD3142" s="183"/>
      <c r="AE3142" s="183"/>
      <c r="AF3142" s="184"/>
      <c r="AG3142" s="180"/>
      <c r="AH3142" s="185">
        <f>IFERROR(__xludf.DUMMYFUNCTION("""COMPUTED_VALUE"""),43368.57004135417)</f>
        <v>43368.57004</v>
      </c>
      <c r="AI3142" s="182"/>
      <c r="AJ3142" s="182"/>
      <c r="AK3142" s="182"/>
      <c r="AL3142" s="182"/>
    </row>
    <row r="3143" ht="20.25" customHeight="1">
      <c r="A3143" s="169" t="str">
        <f>IFERROR(__xludf.DUMMYFUNCTION("""COMPUTED_VALUE"""),"Morgank6")</f>
        <v>Morgank6</v>
      </c>
      <c r="B3143" s="170" t="str">
        <f>IFERROR(__xludf.DUMMYFUNCTION("""COMPUTED_VALUE"""),"Southern California")</f>
        <v>Southern California</v>
      </c>
      <c r="C3143" s="170" t="str">
        <f>IFERROR(__xludf.DUMMYFUNCTION("""COMPUTED_VALUE"""),"CA")</f>
        <v>CA</v>
      </c>
      <c r="D3143" s="170" t="str">
        <f>IFERROR(__xludf.DUMMYFUNCTION("""COMPUTED_VALUE"""),"USA")</f>
        <v>USA</v>
      </c>
      <c r="E3143" s="171">
        <f>IFERROR(__xludf.DUMMYFUNCTION("""COMPUTED_VALUE"""),43278.0)</f>
        <v>43278</v>
      </c>
      <c r="F3143" s="172">
        <f>IFERROR(__xludf.DUMMYFUNCTION("""COMPUTED_VALUE"""),43332.0)</f>
        <v>43332</v>
      </c>
      <c r="G3143" s="173"/>
      <c r="H3143" s="174">
        <f>IFERROR(__xludf.DUMMYFUNCTION("""COMPUTED_VALUE"""),95955.0)</f>
        <v>95955</v>
      </c>
      <c r="I3143" s="175"/>
      <c r="J3143" s="172">
        <f>IFERROR(__xludf.DUMMYFUNCTION("""COMPUTED_VALUE"""),43337.0)</f>
        <v>43337</v>
      </c>
      <c r="K3143" s="176">
        <f>IFERROR(__xludf.DUMMYFUNCTION("""COMPUTED_VALUE"""),54.0)</f>
        <v>54</v>
      </c>
      <c r="L3143" s="176">
        <f>IFERROR(__xludf.DUMMYFUNCTION("""COMPUTED_VALUE"""),5.0)</f>
        <v>5</v>
      </c>
      <c r="M3143" s="176">
        <f>IFERROR(__xludf.DUMMYFUNCTION("""COMPUTED_VALUE"""),59.0)</f>
        <v>59</v>
      </c>
      <c r="N3143" s="177" t="str">
        <f>IFERROR(__xludf.DUMMYFUNCTION("""COMPUTED_VALUE"""),"Model 3 LR AWD")</f>
        <v>Model 3 LR AWD</v>
      </c>
      <c r="O3143" s="177" t="str">
        <f>IFERROR(__xludf.DUMMYFUNCTION("""COMPUTED_VALUE"""),"Solid Black")</f>
        <v>Solid Black</v>
      </c>
      <c r="P3143" s="178" t="str">
        <f>IFERROR(__xludf.DUMMYFUNCTION("""COMPUTED_VALUE"""),"18 inch Aero")</f>
        <v>18 inch Aero</v>
      </c>
      <c r="Q3143" s="177" t="str">
        <f>IFERROR(__xludf.DUMMYFUNCTION("""COMPUTED_VALUE"""),"White seats")</f>
        <v>White seats</v>
      </c>
      <c r="R3143" s="170" t="str">
        <f>IFERROR(__xludf.DUMMYFUNCTION("""COMPUTED_VALUE"""),"None")</f>
        <v>None</v>
      </c>
      <c r="S3143" s="170"/>
      <c r="T3143" s="179"/>
      <c r="U3143" s="179"/>
      <c r="V3143" s="179"/>
      <c r="W3143" s="180"/>
      <c r="X3143" s="181" t="str">
        <f>IFERROR(__xludf.DUMMYFUNCTION("""COMPUTED_VALUE"""),"Good")</f>
        <v>Good</v>
      </c>
      <c r="Y3143" s="182" t="str">
        <f>IFERROR(__xludf.DUMMYFUNCTION("""COMPUTED_VALUE"""),"Very Good")</f>
        <v>Very Good</v>
      </c>
      <c r="Z3143" s="182" t="str">
        <f>IFERROR(__xludf.DUMMYFUNCTION("""COMPUTED_VALUE"""),"Poor")</f>
        <v>Poor</v>
      </c>
      <c r="AA3143" s="182" t="str">
        <f>IFERROR(__xludf.DUMMYFUNCTION("""COMPUTED_VALUE"""),"Good")</f>
        <v>Good</v>
      </c>
      <c r="AB3143" s="182" t="str">
        <f>IFERROR(__xludf.DUMMYFUNCTION("""COMPUTED_VALUE"""),"Fair")</f>
        <v>Fair</v>
      </c>
      <c r="AC3143" s="183">
        <f>IFERROR(__xludf.DUMMYFUNCTION("""COMPUTED_VALUE"""),6.0)</f>
        <v>6</v>
      </c>
      <c r="AD3143" s="183">
        <f>IFERROR(__xludf.DUMMYFUNCTION("""COMPUTED_VALUE"""),3.0)</f>
        <v>3</v>
      </c>
      <c r="AE3143" s="183">
        <f>IFERROR(__xludf.DUMMYFUNCTION("""COMPUTED_VALUE"""),22.0)</f>
        <v>22</v>
      </c>
      <c r="AF3143" s="184"/>
      <c r="AG3143" s="180" t="str">
        <f>IFERROR(__xludf.DUMMYFUNCTION("""COMPUTED_VALUE"""),"Lots of paint issues, Tesla approved body shop repainted 4 panels, polished out other defects. Turn signal stalk was also replaced. I got my car back with no hood badge, had to order a new one.")</f>
        <v>Lots of paint issues, Tesla approved body shop repainted 4 panels, polished out other defects. Turn signal stalk was also replaced. I got my car back with no hood badge, had to order a new one.</v>
      </c>
      <c r="AH3143" s="185">
        <f>IFERROR(__xludf.DUMMYFUNCTION("""COMPUTED_VALUE"""),43372.38906696759)</f>
        <v>43372.38907</v>
      </c>
      <c r="AI3143" s="182"/>
      <c r="AJ3143" s="182"/>
      <c r="AK3143" s="182"/>
      <c r="AL3143" s="182"/>
    </row>
    <row r="3144" ht="20.25" customHeight="1">
      <c r="A3144" s="169" t="str">
        <f>IFERROR(__xludf.DUMMYFUNCTION("""COMPUTED_VALUE"""),"mpilot")</f>
        <v>mpilot</v>
      </c>
      <c r="B3144" s="170"/>
      <c r="C3144" s="170" t="str">
        <f>IFERROR(__xludf.DUMMYFUNCTION("""COMPUTED_VALUE"""),"QC")</f>
        <v>QC</v>
      </c>
      <c r="D3144" s="170" t="str">
        <f>IFERROR(__xludf.DUMMYFUNCTION("""COMPUTED_VALUE"""),"Canada")</f>
        <v>Canada</v>
      </c>
      <c r="E3144" s="171">
        <f>IFERROR(__xludf.DUMMYFUNCTION("""COMPUTED_VALUE"""),43278.0)</f>
        <v>43278</v>
      </c>
      <c r="F3144" s="172">
        <f>IFERROR(__xludf.DUMMYFUNCTION("""COMPUTED_VALUE"""),43417.0)</f>
        <v>43417</v>
      </c>
      <c r="G3144" s="173"/>
      <c r="H3144" s="174">
        <f>IFERROR(__xludf.DUMMYFUNCTION("""COMPUTED_VALUE"""),107755.0)</f>
        <v>107755</v>
      </c>
      <c r="I3144" s="175"/>
      <c r="J3144" s="172">
        <f>IFERROR(__xludf.DUMMYFUNCTION("""COMPUTED_VALUE"""),43426.0)</f>
        <v>43426</v>
      </c>
      <c r="K3144" s="176">
        <f>IFERROR(__xludf.DUMMYFUNCTION("""COMPUTED_VALUE"""),139.0)</f>
        <v>139</v>
      </c>
      <c r="L3144" s="176">
        <f>IFERROR(__xludf.DUMMYFUNCTION("""COMPUTED_VALUE"""),9.0)</f>
        <v>9</v>
      </c>
      <c r="M3144" s="176">
        <f>IFERROR(__xludf.DUMMYFUNCTION("""COMPUTED_VALUE"""),148.0)</f>
        <v>148</v>
      </c>
      <c r="N3144" s="177" t="str">
        <f>IFERROR(__xludf.DUMMYFUNCTION("""COMPUTED_VALUE"""),"Model 3 LR AWD")</f>
        <v>Model 3 LR AWD</v>
      </c>
      <c r="O3144" s="177" t="str">
        <f>IFERROR(__xludf.DUMMYFUNCTION("""COMPUTED_VALUE"""),"Deep Blue Metallic")</f>
        <v>Deep Blue Metallic</v>
      </c>
      <c r="P3144" s="178" t="str">
        <f>IFERROR(__xludf.DUMMYFUNCTION("""COMPUTED_VALUE"""),"18 inch Aero")</f>
        <v>18 inch Aero</v>
      </c>
      <c r="Q3144" s="177" t="str">
        <f>IFERROR(__xludf.DUMMYFUNCTION("""COMPUTED_VALUE"""),"Black seats")</f>
        <v>Black seats</v>
      </c>
      <c r="R3144" s="170" t="str">
        <f>IFERROR(__xludf.DUMMYFUNCTION("""COMPUTED_VALUE"""),"None")</f>
        <v>None</v>
      </c>
      <c r="S3144" s="170"/>
      <c r="T3144" s="179"/>
      <c r="U3144" s="179"/>
      <c r="V3144" s="179"/>
      <c r="W3144" s="180"/>
      <c r="X3144" s="181" t="str">
        <f>IFERROR(__xludf.DUMMYFUNCTION("""COMPUTED_VALUE"""),"Excellent")</f>
        <v>Excellent</v>
      </c>
      <c r="Y3144" s="182" t="str">
        <f>IFERROR(__xludf.DUMMYFUNCTION("""COMPUTED_VALUE"""),"Excellent")</f>
        <v>Excellent</v>
      </c>
      <c r="Z3144" s="182" t="str">
        <f>IFERROR(__xludf.DUMMYFUNCTION("""COMPUTED_VALUE"""),"Excellent")</f>
        <v>Excellent</v>
      </c>
      <c r="AA3144" s="182" t="str">
        <f>IFERROR(__xludf.DUMMYFUNCTION("""COMPUTED_VALUE"""),"Very Good")</f>
        <v>Very Good</v>
      </c>
      <c r="AB3144" s="182" t="str">
        <f>IFERROR(__xludf.DUMMYFUNCTION("""COMPUTED_VALUE"""),"Excellent")</f>
        <v>Excellent</v>
      </c>
      <c r="AC3144" s="183">
        <f>IFERROR(__xludf.DUMMYFUNCTION("""COMPUTED_VALUE"""),0.0)</f>
        <v>0</v>
      </c>
      <c r="AD3144" s="183">
        <f>IFERROR(__xludf.DUMMYFUNCTION("""COMPUTED_VALUE"""),0.0)</f>
        <v>0</v>
      </c>
      <c r="AE3144" s="183">
        <f>IFERROR(__xludf.DUMMYFUNCTION("""COMPUTED_VALUE"""),0.0)</f>
        <v>0</v>
      </c>
      <c r="AF3144" s="184"/>
      <c r="AG3144" s="180"/>
      <c r="AH3144" s="185">
        <f>IFERROR(__xludf.DUMMYFUNCTION("""COMPUTED_VALUE"""),43464.51994630787)</f>
        <v>43464.51995</v>
      </c>
      <c r="AI3144" s="182"/>
      <c r="AJ3144" s="182"/>
      <c r="AK3144" s="182"/>
      <c r="AL3144" s="182"/>
    </row>
    <row r="3145" ht="20.25" customHeight="1">
      <c r="A3145" s="169" t="str">
        <f>IFERROR(__xludf.DUMMYFUNCTION("""COMPUTED_VALUE"""),"MrStabby")</f>
        <v>MrStabby</v>
      </c>
      <c r="B3145" s="170" t="str">
        <f>IFERROR(__xludf.DUMMYFUNCTION("""COMPUTED_VALUE"""),"Pittsburgh")</f>
        <v>Pittsburgh</v>
      </c>
      <c r="C3145" s="170" t="str">
        <f>IFERROR(__xludf.DUMMYFUNCTION("""COMPUTED_VALUE"""),"PA")</f>
        <v>PA</v>
      </c>
      <c r="D3145" s="170" t="str">
        <f>IFERROR(__xludf.DUMMYFUNCTION("""COMPUTED_VALUE"""),"USA")</f>
        <v>USA</v>
      </c>
      <c r="E3145" s="171">
        <f>IFERROR(__xludf.DUMMYFUNCTION("""COMPUTED_VALUE"""),43278.0)</f>
        <v>43278</v>
      </c>
      <c r="F3145" s="172">
        <f>IFERROR(__xludf.DUMMYFUNCTION("""COMPUTED_VALUE"""),43355.0)</f>
        <v>43355</v>
      </c>
      <c r="G3145" s="173"/>
      <c r="H3145" s="174">
        <f>IFERROR(__xludf.DUMMYFUNCTION("""COMPUTED_VALUE"""),74255.0)</f>
        <v>74255</v>
      </c>
      <c r="I3145" s="175"/>
      <c r="J3145" s="172">
        <f>IFERROR(__xludf.DUMMYFUNCTION("""COMPUTED_VALUE"""),43376.0)</f>
        <v>43376</v>
      </c>
      <c r="K3145" s="176">
        <f>IFERROR(__xludf.DUMMYFUNCTION("""COMPUTED_VALUE"""),77.0)</f>
        <v>77</v>
      </c>
      <c r="L3145" s="176">
        <f>IFERROR(__xludf.DUMMYFUNCTION("""COMPUTED_VALUE"""),21.0)</f>
        <v>21</v>
      </c>
      <c r="M3145" s="176">
        <f>IFERROR(__xludf.DUMMYFUNCTION("""COMPUTED_VALUE"""),98.0)</f>
        <v>98</v>
      </c>
      <c r="N3145" s="177" t="str">
        <f>IFERROR(__xludf.DUMMYFUNCTION("""COMPUTED_VALUE"""),"Model 3 Performance")</f>
        <v>Model 3 Performance</v>
      </c>
      <c r="O3145" s="177" t="str">
        <f>IFERROR(__xludf.DUMMYFUNCTION("""COMPUTED_VALUE"""),"Deep Blue Metallic")</f>
        <v>Deep Blue Metallic</v>
      </c>
      <c r="P3145" s="178" t="str">
        <f>IFERROR(__xludf.DUMMYFUNCTION("""COMPUTED_VALUE"""),"20 inch Sport")</f>
        <v>20 inch Sport</v>
      </c>
      <c r="Q3145" s="177" t="str">
        <f>IFERROR(__xludf.DUMMYFUNCTION("""COMPUTED_VALUE"""),"White seats")</f>
        <v>White seats</v>
      </c>
      <c r="R3145" s="170" t="str">
        <f>IFERROR(__xludf.DUMMYFUNCTION("""COMPUTED_VALUE"""),"Enhanced Autopilot")</f>
        <v>Enhanced Autopilot</v>
      </c>
      <c r="S3145" s="170"/>
      <c r="T3145" s="179"/>
      <c r="U3145" s="179"/>
      <c r="V3145" s="179"/>
      <c r="W3145" s="180"/>
      <c r="X3145" s="181" t="str">
        <f>IFERROR(__xludf.DUMMYFUNCTION("""COMPUTED_VALUE"""),"Very Good")</f>
        <v>Very Good</v>
      </c>
      <c r="Y3145" s="182" t="str">
        <f>IFERROR(__xludf.DUMMYFUNCTION("""COMPUTED_VALUE"""),"Excellent")</f>
        <v>Excellent</v>
      </c>
      <c r="Z3145" s="182" t="str">
        <f>IFERROR(__xludf.DUMMYFUNCTION("""COMPUTED_VALUE"""),"Very Good")</f>
        <v>Very Good</v>
      </c>
      <c r="AA3145" s="182" t="str">
        <f>IFERROR(__xludf.DUMMYFUNCTION("""COMPUTED_VALUE"""),"Fair")</f>
        <v>Fair</v>
      </c>
      <c r="AB3145" s="182" t="str">
        <f>IFERROR(__xludf.DUMMYFUNCTION("""COMPUTED_VALUE"""),"Good")</f>
        <v>Good</v>
      </c>
      <c r="AC3145" s="183">
        <f>IFERROR(__xludf.DUMMYFUNCTION("""COMPUTED_VALUE"""),1.0)</f>
        <v>1</v>
      </c>
      <c r="AD3145" s="183">
        <f>IFERROR(__xludf.DUMMYFUNCTION("""COMPUTED_VALUE"""),0.0)</f>
        <v>0</v>
      </c>
      <c r="AE3145" s="183">
        <f>IFERROR(__xludf.DUMMYFUNCTION("""COMPUTED_VALUE"""),0.0)</f>
        <v>0</v>
      </c>
      <c r="AF3145" s="184"/>
      <c r="AG3145" s="180" t="str">
        <f>IFERROR(__xludf.DUMMYFUNCTION("""COMPUTED_VALUE"""),"Delivery delayed 3 times. 16 days past initial date.")</f>
        <v>Delivery delayed 3 times. 16 days past initial date.</v>
      </c>
      <c r="AH3145" s="185">
        <f>IFERROR(__xludf.DUMMYFUNCTION("""COMPUTED_VALUE"""),43377.42592657408)</f>
        <v>43377.42593</v>
      </c>
      <c r="AI3145" s="182"/>
      <c r="AJ3145" s="182"/>
      <c r="AK3145" s="182"/>
      <c r="AL3145" s="182"/>
    </row>
    <row r="3146" ht="20.25" customHeight="1">
      <c r="A3146" s="169" t="str">
        <f>IFERROR(__xludf.DUMMYFUNCTION("""COMPUTED_VALUE"""),"mrtcentus")</f>
        <v>mrtcentus</v>
      </c>
      <c r="B3146" s="170"/>
      <c r="C3146" s="170" t="str">
        <f>IFERROR(__xludf.DUMMYFUNCTION("""COMPUTED_VALUE"""),"ON")</f>
        <v>ON</v>
      </c>
      <c r="D3146" s="170" t="str">
        <f>IFERROR(__xludf.DUMMYFUNCTION("""COMPUTED_VALUE"""),"Canada")</f>
        <v>Canada</v>
      </c>
      <c r="E3146" s="171">
        <f>IFERROR(__xludf.DUMMYFUNCTION("""COMPUTED_VALUE"""),43278.0)</f>
        <v>43278</v>
      </c>
      <c r="F3146" s="172"/>
      <c r="G3146" s="173"/>
      <c r="H3146" s="174">
        <f>IFERROR(__xludf.DUMMYFUNCTION("""COMPUTED_VALUE"""),107155.0)</f>
        <v>107155</v>
      </c>
      <c r="I3146" s="175"/>
      <c r="J3146" s="172">
        <f>IFERROR(__xludf.DUMMYFUNCTION("""COMPUTED_VALUE"""),43371.0)</f>
        <v>43371</v>
      </c>
      <c r="K3146" s="176"/>
      <c r="L3146" s="176"/>
      <c r="M3146" s="176">
        <f>IFERROR(__xludf.DUMMYFUNCTION("""COMPUTED_VALUE"""),93.0)</f>
        <v>93</v>
      </c>
      <c r="N3146" s="177" t="str">
        <f>IFERROR(__xludf.DUMMYFUNCTION("""COMPUTED_VALUE"""),"Model 3 LR AWD")</f>
        <v>Model 3 LR AWD</v>
      </c>
      <c r="O3146" s="177" t="str">
        <f>IFERROR(__xludf.DUMMYFUNCTION("""COMPUTED_VALUE"""),"Deep Blue Metallic")</f>
        <v>Deep Blue Metallic</v>
      </c>
      <c r="P3146" s="178" t="str">
        <f>IFERROR(__xludf.DUMMYFUNCTION("""COMPUTED_VALUE"""),"18 inch Aero")</f>
        <v>18 inch Aero</v>
      </c>
      <c r="Q3146" s="177" t="str">
        <f>IFERROR(__xludf.DUMMYFUNCTION("""COMPUTED_VALUE"""),"Black seats")</f>
        <v>Black seats</v>
      </c>
      <c r="R3146" s="170" t="str">
        <f>IFERROR(__xludf.DUMMYFUNCTION("""COMPUTED_VALUE"""),"Full Self-Driving")</f>
        <v>Full Self-Driving</v>
      </c>
      <c r="S3146" s="170"/>
      <c r="T3146" s="179"/>
      <c r="U3146" s="179"/>
      <c r="V3146" s="179"/>
      <c r="W3146" s="180"/>
      <c r="X3146" s="181" t="str">
        <f>IFERROR(__xludf.DUMMYFUNCTION("""COMPUTED_VALUE"""),"Excellent")</f>
        <v>Excellent</v>
      </c>
      <c r="Y3146" s="182" t="str">
        <f>IFERROR(__xludf.DUMMYFUNCTION("""COMPUTED_VALUE"""),"Excellent")</f>
        <v>Excellent</v>
      </c>
      <c r="Z3146" s="182" t="str">
        <f>IFERROR(__xludf.DUMMYFUNCTION("""COMPUTED_VALUE"""),"Very Good")</f>
        <v>Very Good</v>
      </c>
      <c r="AA3146" s="182" t="str">
        <f>IFERROR(__xludf.DUMMYFUNCTION("""COMPUTED_VALUE"""),"Fair")</f>
        <v>Fair</v>
      </c>
      <c r="AB3146" s="182" t="str">
        <f>IFERROR(__xludf.DUMMYFUNCTION("""COMPUTED_VALUE"""),"Very Good")</f>
        <v>Very Good</v>
      </c>
      <c r="AC3146" s="183"/>
      <c r="AD3146" s="183"/>
      <c r="AE3146" s="183"/>
      <c r="AF3146" s="184"/>
      <c r="AG3146" s="180"/>
      <c r="AH3146" s="185">
        <f>IFERROR(__xludf.DUMMYFUNCTION("""COMPUTED_VALUE"""),43373.295838564816)</f>
        <v>43373.29584</v>
      </c>
      <c r="AI3146" s="182"/>
      <c r="AJ3146" s="182"/>
      <c r="AK3146" s="182"/>
      <c r="AL3146" s="182"/>
    </row>
    <row r="3147" ht="20.25" customHeight="1">
      <c r="A3147" s="169" t="str">
        <f>IFERROR(__xludf.DUMMYFUNCTION("""COMPUTED_VALUE"""),"MSR")</f>
        <v>MSR</v>
      </c>
      <c r="B3147" s="170" t="str">
        <f>IFERROR(__xludf.DUMMYFUNCTION("""COMPUTED_VALUE"""),"Orlando")</f>
        <v>Orlando</v>
      </c>
      <c r="C3147" s="170" t="str">
        <f>IFERROR(__xludf.DUMMYFUNCTION("""COMPUTED_VALUE"""),"FL")</f>
        <v>FL</v>
      </c>
      <c r="D3147" s="170" t="str">
        <f>IFERROR(__xludf.DUMMYFUNCTION("""COMPUTED_VALUE"""),"USA")</f>
        <v>USA</v>
      </c>
      <c r="E3147" s="171">
        <f>IFERROR(__xludf.DUMMYFUNCTION("""COMPUTED_VALUE"""),43278.0)</f>
        <v>43278</v>
      </c>
      <c r="F3147" s="172">
        <f>IFERROR(__xludf.DUMMYFUNCTION("""COMPUTED_VALUE"""),43377.0)</f>
        <v>43377</v>
      </c>
      <c r="G3147" s="173"/>
      <c r="H3147" s="174">
        <f>IFERROR(__xludf.DUMMYFUNCTION("""COMPUTED_VALUE"""),93555.0)</f>
        <v>93555</v>
      </c>
      <c r="I3147" s="175"/>
      <c r="J3147" s="172">
        <f>IFERROR(__xludf.DUMMYFUNCTION("""COMPUTED_VALUE"""),43396.0)</f>
        <v>43396</v>
      </c>
      <c r="K3147" s="176">
        <f>IFERROR(__xludf.DUMMYFUNCTION("""COMPUTED_VALUE"""),99.0)</f>
        <v>99</v>
      </c>
      <c r="L3147" s="176">
        <f>IFERROR(__xludf.DUMMYFUNCTION("""COMPUTED_VALUE"""),19.0)</f>
        <v>19</v>
      </c>
      <c r="M3147" s="176">
        <f>IFERROR(__xludf.DUMMYFUNCTION("""COMPUTED_VALUE"""),118.0)</f>
        <v>118</v>
      </c>
      <c r="N3147" s="177" t="str">
        <f>IFERROR(__xludf.DUMMYFUNCTION("""COMPUTED_VALUE"""),"Model 3 LR AWD")</f>
        <v>Model 3 LR AWD</v>
      </c>
      <c r="O3147" s="177" t="str">
        <f>IFERROR(__xludf.DUMMYFUNCTION("""COMPUTED_VALUE"""),"Red Multi-Coat")</f>
        <v>Red Multi-Coat</v>
      </c>
      <c r="P3147" s="178" t="str">
        <f>IFERROR(__xludf.DUMMYFUNCTION("""COMPUTED_VALUE"""),"18 inch Aero")</f>
        <v>18 inch Aero</v>
      </c>
      <c r="Q3147" s="177" t="str">
        <f>IFERROR(__xludf.DUMMYFUNCTION("""COMPUTED_VALUE"""),"Black seats")</f>
        <v>Black seats</v>
      </c>
      <c r="R3147" s="170" t="str">
        <f>IFERROR(__xludf.DUMMYFUNCTION("""COMPUTED_VALUE"""),"Enhanced Autopilot")</f>
        <v>Enhanced Autopilot</v>
      </c>
      <c r="S3147" s="170"/>
      <c r="T3147" s="179"/>
      <c r="U3147" s="179"/>
      <c r="V3147" s="179"/>
      <c r="W3147" s="180"/>
      <c r="X3147" s="181" t="str">
        <f>IFERROR(__xludf.DUMMYFUNCTION("""COMPUTED_VALUE"""),"Very Good")</f>
        <v>Very Good</v>
      </c>
      <c r="Y3147" s="182" t="str">
        <f>IFERROR(__xludf.DUMMYFUNCTION("""COMPUTED_VALUE"""),"Very Good")</f>
        <v>Very Good</v>
      </c>
      <c r="Z3147" s="182" t="str">
        <f>IFERROR(__xludf.DUMMYFUNCTION("""COMPUTED_VALUE"""),"Fair")</f>
        <v>Fair</v>
      </c>
      <c r="AA3147" s="182" t="str">
        <f>IFERROR(__xludf.DUMMYFUNCTION("""COMPUTED_VALUE"""),"Poor")</f>
        <v>Poor</v>
      </c>
      <c r="AB3147" s="182" t="str">
        <f>IFERROR(__xludf.DUMMYFUNCTION("""COMPUTED_VALUE"""),"Fair")</f>
        <v>Fair</v>
      </c>
      <c r="AC3147" s="183">
        <f>IFERROR(__xludf.DUMMYFUNCTION("""COMPUTED_VALUE"""),3.0)</f>
        <v>3</v>
      </c>
      <c r="AD3147" s="183"/>
      <c r="AE3147" s="183"/>
      <c r="AF3147" s="184"/>
      <c r="AG3147" s="180"/>
      <c r="AH3147" s="185">
        <f>IFERROR(__xludf.DUMMYFUNCTION("""COMPUTED_VALUE"""),43396.84724206018)</f>
        <v>43396.84724</v>
      </c>
      <c r="AI3147" s="182"/>
      <c r="AJ3147" s="182"/>
      <c r="AK3147" s="182"/>
      <c r="AL3147" s="182"/>
    </row>
    <row r="3148" ht="20.25" customHeight="1">
      <c r="A3148" s="169" t="str">
        <f>IFERROR(__xludf.DUMMYFUNCTION("""COMPUTED_VALUE"""),"mt-wizard")</f>
        <v>mt-wizard</v>
      </c>
      <c r="B3148" s="170" t="str">
        <f>IFERROR(__xludf.DUMMYFUNCTION("""COMPUTED_VALUE"""),"Redmond")</f>
        <v>Redmond</v>
      </c>
      <c r="C3148" s="170" t="str">
        <f>IFERROR(__xludf.DUMMYFUNCTION("""COMPUTED_VALUE"""),"WA")</f>
        <v>WA</v>
      </c>
      <c r="D3148" s="170" t="str">
        <f>IFERROR(__xludf.DUMMYFUNCTION("""COMPUTED_VALUE"""),"USA")</f>
        <v>USA</v>
      </c>
      <c r="E3148" s="171">
        <f>IFERROR(__xludf.DUMMYFUNCTION("""COMPUTED_VALUE"""),43278.0)</f>
        <v>43278</v>
      </c>
      <c r="F3148" s="172">
        <f>IFERROR(__xludf.DUMMYFUNCTION("""COMPUTED_VALUE"""),43315.0)</f>
        <v>43315</v>
      </c>
      <c r="G3148" s="173"/>
      <c r="H3148" s="174"/>
      <c r="I3148" s="175" t="str">
        <f>IFERROR(__xludf.DUMMYFUNCTION("""COMPUTED_VALUE"""),"08/18")</f>
        <v>08/18</v>
      </c>
      <c r="J3148" s="172">
        <f>IFERROR(__xludf.DUMMYFUNCTION("""COMPUTED_VALUE"""),43333.0)</f>
        <v>43333</v>
      </c>
      <c r="K3148" s="176">
        <f>IFERROR(__xludf.DUMMYFUNCTION("""COMPUTED_VALUE"""),37.0)</f>
        <v>37</v>
      </c>
      <c r="L3148" s="176">
        <f>IFERROR(__xludf.DUMMYFUNCTION("""COMPUTED_VALUE"""),18.0)</f>
        <v>18</v>
      </c>
      <c r="M3148" s="176">
        <f>IFERROR(__xludf.DUMMYFUNCTION("""COMPUTED_VALUE"""),55.0)</f>
        <v>55</v>
      </c>
      <c r="N3148" s="177" t="str">
        <f>IFERROR(__xludf.DUMMYFUNCTION("""COMPUTED_VALUE"""),"Model 3 LR AWD")</f>
        <v>Model 3 LR AWD</v>
      </c>
      <c r="O3148" s="177" t="str">
        <f>IFERROR(__xludf.DUMMYFUNCTION("""COMPUTED_VALUE"""),"Pearl White Multi-Coat")</f>
        <v>Pearl White Multi-Coat</v>
      </c>
      <c r="P3148" s="178" t="str">
        <f>IFERROR(__xludf.DUMMYFUNCTION("""COMPUTED_VALUE"""),"18 inch Aero")</f>
        <v>18 inch Aero</v>
      </c>
      <c r="Q3148" s="177" t="str">
        <f>IFERROR(__xludf.DUMMYFUNCTION("""COMPUTED_VALUE"""),"White seats")</f>
        <v>White seats</v>
      </c>
      <c r="R3148" s="170" t="str">
        <f>IFERROR(__xludf.DUMMYFUNCTION("""COMPUTED_VALUE"""),"Enhanced Autopilot")</f>
        <v>Enhanced Autopilot</v>
      </c>
      <c r="S3148" s="170"/>
      <c r="T3148" s="179"/>
      <c r="U3148" s="179"/>
      <c r="V3148" s="179"/>
      <c r="W3148" s="180"/>
      <c r="X3148" s="181" t="str">
        <f>IFERROR(__xludf.DUMMYFUNCTION("""COMPUTED_VALUE"""),"Very Good")</f>
        <v>Very Good</v>
      </c>
      <c r="Y3148" s="182" t="str">
        <f>IFERROR(__xludf.DUMMYFUNCTION("""COMPUTED_VALUE"""),"Excellent")</f>
        <v>Excellent</v>
      </c>
      <c r="Z3148" s="182" t="str">
        <f>IFERROR(__xludf.DUMMYFUNCTION("""COMPUTED_VALUE"""),"Excellent")</f>
        <v>Excellent</v>
      </c>
      <c r="AA3148" s="182" t="str">
        <f>IFERROR(__xludf.DUMMYFUNCTION("""COMPUTED_VALUE"""),"Good")</f>
        <v>Good</v>
      </c>
      <c r="AB3148" s="182" t="str">
        <f>IFERROR(__xludf.DUMMYFUNCTION("""COMPUTED_VALUE"""),"Excellent")</f>
        <v>Excellent</v>
      </c>
      <c r="AC3148" s="183"/>
      <c r="AD3148" s="183"/>
      <c r="AE3148" s="183"/>
      <c r="AF3148" s="184"/>
      <c r="AG3148" s="180"/>
      <c r="AH3148" s="185">
        <f>IFERROR(__xludf.DUMMYFUNCTION("""COMPUTED_VALUE"""),43335.874655381944)</f>
        <v>43335.87466</v>
      </c>
      <c r="AI3148" s="182"/>
      <c r="AJ3148" s="182"/>
      <c r="AK3148" s="182"/>
      <c r="AL3148" s="182"/>
    </row>
    <row r="3149" ht="20.25" customHeight="1">
      <c r="A3149" s="169" t="str">
        <f>IFERROR(__xludf.DUMMYFUNCTION("""COMPUTED_VALUE"""),"mtdewvirus")</f>
        <v>mtdewvirus</v>
      </c>
      <c r="B3149" s="170" t="str">
        <f>IFERROR(__xludf.DUMMYFUNCTION("""COMPUTED_VALUE"""),"Saginaw")</f>
        <v>Saginaw</v>
      </c>
      <c r="C3149" s="170" t="str">
        <f>IFERROR(__xludf.DUMMYFUNCTION("""COMPUTED_VALUE"""),"MI")</f>
        <v>MI</v>
      </c>
      <c r="D3149" s="170" t="str">
        <f>IFERROR(__xludf.DUMMYFUNCTION("""COMPUTED_VALUE"""),"USA")</f>
        <v>USA</v>
      </c>
      <c r="E3149" s="171">
        <f>IFERROR(__xludf.DUMMYFUNCTION("""COMPUTED_VALUE"""),43278.0)</f>
        <v>43278</v>
      </c>
      <c r="F3149" s="172">
        <f>IFERROR(__xludf.DUMMYFUNCTION("""COMPUTED_VALUE"""),43356.0)</f>
        <v>43356</v>
      </c>
      <c r="G3149" s="173"/>
      <c r="H3149" s="174">
        <f>IFERROR(__xludf.DUMMYFUNCTION("""COMPUTED_VALUE"""),97855.0)</f>
        <v>97855</v>
      </c>
      <c r="I3149" s="175" t="str">
        <f>IFERROR(__xludf.DUMMYFUNCTION("""COMPUTED_VALUE"""),"09/18")</f>
        <v>09/18</v>
      </c>
      <c r="J3149" s="172">
        <f>IFERROR(__xludf.DUMMYFUNCTION("""COMPUTED_VALUE"""),43396.0)</f>
        <v>43396</v>
      </c>
      <c r="K3149" s="176">
        <f>IFERROR(__xludf.DUMMYFUNCTION("""COMPUTED_VALUE"""),78.0)</f>
        <v>78</v>
      </c>
      <c r="L3149" s="176">
        <f>IFERROR(__xludf.DUMMYFUNCTION("""COMPUTED_VALUE"""),40.0)</f>
        <v>40</v>
      </c>
      <c r="M3149" s="176">
        <f>IFERROR(__xludf.DUMMYFUNCTION("""COMPUTED_VALUE"""),118.0)</f>
        <v>118</v>
      </c>
      <c r="N3149" s="177" t="str">
        <f>IFERROR(__xludf.DUMMYFUNCTION("""COMPUTED_VALUE"""),"Model 3 LR AWD")</f>
        <v>Model 3 LR AWD</v>
      </c>
      <c r="O3149" s="177" t="str">
        <f>IFERROR(__xludf.DUMMYFUNCTION("""COMPUTED_VALUE"""),"Deep Blue Metallic")</f>
        <v>Deep Blue Metallic</v>
      </c>
      <c r="P3149" s="178" t="str">
        <f>IFERROR(__xludf.DUMMYFUNCTION("""COMPUTED_VALUE"""),"19 inch Sport")</f>
        <v>19 inch Sport</v>
      </c>
      <c r="Q3149" s="177" t="str">
        <f>IFERROR(__xludf.DUMMYFUNCTION("""COMPUTED_VALUE"""),"White seats")</f>
        <v>White seats</v>
      </c>
      <c r="R3149" s="170" t="str">
        <f>IFERROR(__xludf.DUMMYFUNCTION("""COMPUTED_VALUE"""),"Enhanced Autopilot")</f>
        <v>Enhanced Autopilot</v>
      </c>
      <c r="S3149" s="170"/>
      <c r="T3149" s="179"/>
      <c r="U3149" s="179"/>
      <c r="V3149" s="179"/>
      <c r="W3149" s="180"/>
      <c r="X3149" s="181" t="str">
        <f>IFERROR(__xludf.DUMMYFUNCTION("""COMPUTED_VALUE"""),"Excellent")</f>
        <v>Excellent</v>
      </c>
      <c r="Y3149" s="182" t="str">
        <f>IFERROR(__xludf.DUMMYFUNCTION("""COMPUTED_VALUE"""),"Excellent")</f>
        <v>Excellent</v>
      </c>
      <c r="Z3149" s="182" t="str">
        <f>IFERROR(__xludf.DUMMYFUNCTION("""COMPUTED_VALUE"""),"Very Good")</f>
        <v>Very Good</v>
      </c>
      <c r="AA3149" s="182" t="str">
        <f>IFERROR(__xludf.DUMMYFUNCTION("""COMPUTED_VALUE"""),"Poor")</f>
        <v>Poor</v>
      </c>
      <c r="AB3149" s="182" t="str">
        <f>IFERROR(__xludf.DUMMYFUNCTION("""COMPUTED_VALUE"""),"Good")</f>
        <v>Good</v>
      </c>
      <c r="AC3149" s="183"/>
      <c r="AD3149" s="183"/>
      <c r="AE3149" s="183"/>
      <c r="AF3149" s="184"/>
      <c r="AG3149" s="180"/>
      <c r="AH3149" s="185">
        <f>IFERROR(__xludf.DUMMYFUNCTION("""COMPUTED_VALUE"""),43397.33757917824)</f>
        <v>43397.33758</v>
      </c>
      <c r="AI3149" s="182"/>
      <c r="AJ3149" s="182"/>
      <c r="AK3149" s="182"/>
      <c r="AL3149" s="182"/>
    </row>
    <row r="3150" ht="20.25" customHeight="1">
      <c r="A3150" s="169" t="str">
        <f>IFERROR(__xludf.DUMMYFUNCTION("""COMPUTED_VALUE"""),"nam3")</f>
        <v>nam3</v>
      </c>
      <c r="B3150" s="170" t="str">
        <f>IFERROR(__xludf.DUMMYFUNCTION("""COMPUTED_VALUE"""),"Pleasanton")</f>
        <v>Pleasanton</v>
      </c>
      <c r="C3150" s="170" t="str">
        <f>IFERROR(__xludf.DUMMYFUNCTION("""COMPUTED_VALUE"""),"CA")</f>
        <v>CA</v>
      </c>
      <c r="D3150" s="170" t="str">
        <f>IFERROR(__xludf.DUMMYFUNCTION("""COMPUTED_VALUE"""),"USA")</f>
        <v>USA</v>
      </c>
      <c r="E3150" s="171">
        <f>IFERROR(__xludf.DUMMYFUNCTION("""COMPUTED_VALUE"""),43278.0)</f>
        <v>43278</v>
      </c>
      <c r="F3150" s="172">
        <f>IFERROR(__xludf.DUMMYFUNCTION("""COMPUTED_VALUE"""),43350.0)</f>
        <v>43350</v>
      </c>
      <c r="G3150" s="173"/>
      <c r="H3150" s="174">
        <f>IFERROR(__xludf.DUMMYFUNCTION("""COMPUTED_VALUE"""),89855.0)</f>
        <v>89855</v>
      </c>
      <c r="I3150" s="175"/>
      <c r="J3150" s="172">
        <f>IFERROR(__xludf.DUMMYFUNCTION("""COMPUTED_VALUE"""),43373.0)</f>
        <v>43373</v>
      </c>
      <c r="K3150" s="176">
        <f>IFERROR(__xludf.DUMMYFUNCTION("""COMPUTED_VALUE"""),72.0)</f>
        <v>72</v>
      </c>
      <c r="L3150" s="176">
        <f>IFERROR(__xludf.DUMMYFUNCTION("""COMPUTED_VALUE"""),23.0)</f>
        <v>23</v>
      </c>
      <c r="M3150" s="176">
        <f>IFERROR(__xludf.DUMMYFUNCTION("""COMPUTED_VALUE"""),95.0)</f>
        <v>95</v>
      </c>
      <c r="N3150" s="177" t="str">
        <f>IFERROR(__xludf.DUMMYFUNCTION("""COMPUTED_VALUE"""),"Model 3 LR AWD")</f>
        <v>Model 3 LR AWD</v>
      </c>
      <c r="O3150" s="177" t="str">
        <f>IFERROR(__xludf.DUMMYFUNCTION("""COMPUTED_VALUE"""),"Midnight Silver Metallic")</f>
        <v>Midnight Silver Metallic</v>
      </c>
      <c r="P3150" s="178" t="str">
        <f>IFERROR(__xludf.DUMMYFUNCTION("""COMPUTED_VALUE"""),"18 inch Aero")</f>
        <v>18 inch Aero</v>
      </c>
      <c r="Q3150" s="177" t="str">
        <f>IFERROR(__xludf.DUMMYFUNCTION("""COMPUTED_VALUE"""),"Black seats")</f>
        <v>Black seats</v>
      </c>
      <c r="R3150" s="170" t="str">
        <f>IFERROR(__xludf.DUMMYFUNCTION("""COMPUTED_VALUE"""),"Full Self-Driving")</f>
        <v>Full Self-Driving</v>
      </c>
      <c r="S3150" s="170"/>
      <c r="T3150" s="179"/>
      <c r="U3150" s="179"/>
      <c r="V3150" s="179"/>
      <c r="W3150" s="180"/>
      <c r="X3150" s="181" t="str">
        <f>IFERROR(__xludf.DUMMYFUNCTION("""COMPUTED_VALUE"""),"Very Good")</f>
        <v>Very Good</v>
      </c>
      <c r="Y3150" s="182" t="str">
        <f>IFERROR(__xludf.DUMMYFUNCTION("""COMPUTED_VALUE"""),"Excellent")</f>
        <v>Excellent</v>
      </c>
      <c r="Z3150" s="182" t="str">
        <f>IFERROR(__xludf.DUMMYFUNCTION("""COMPUTED_VALUE"""),"Excellent")</f>
        <v>Excellent</v>
      </c>
      <c r="AA3150" s="182" t="str">
        <f>IFERROR(__xludf.DUMMYFUNCTION("""COMPUTED_VALUE"""),"Fair")</f>
        <v>Fair</v>
      </c>
      <c r="AB3150" s="182" t="str">
        <f>IFERROR(__xludf.DUMMYFUNCTION("""COMPUTED_VALUE"""),"Good")</f>
        <v>Good</v>
      </c>
      <c r="AC3150" s="183">
        <f>IFERROR(__xludf.DUMMYFUNCTION("""COMPUTED_VALUE"""),1.0)</f>
        <v>1</v>
      </c>
      <c r="AD3150" s="183">
        <f>IFERROR(__xludf.DUMMYFUNCTION("""COMPUTED_VALUE"""),1.0)</f>
        <v>1</v>
      </c>
      <c r="AE3150" s="183">
        <f>IFERROR(__xludf.DUMMYFUNCTION("""COMPUTED_VALUE"""),1.0)</f>
        <v>1</v>
      </c>
      <c r="AF3150" s="184"/>
      <c r="AG3150" s="180"/>
      <c r="AH3150" s="185">
        <f>IFERROR(__xludf.DUMMYFUNCTION("""COMPUTED_VALUE"""),43390.50893210648)</f>
        <v>43390.50893</v>
      </c>
      <c r="AI3150" s="182"/>
      <c r="AJ3150" s="182"/>
      <c r="AK3150" s="182"/>
      <c r="AL3150" s="182"/>
    </row>
    <row r="3151" ht="20.25" customHeight="1">
      <c r="A3151" s="169" t="str">
        <f>IFERROR(__xludf.DUMMYFUNCTION("""COMPUTED_VALUE"""),"nar5")</f>
        <v>nar5</v>
      </c>
      <c r="B3151" s="170" t="str">
        <f>IFERROR(__xludf.DUMMYFUNCTION("""COMPUTED_VALUE"""),"Vancouver")</f>
        <v>Vancouver</v>
      </c>
      <c r="C3151" s="170" t="str">
        <f>IFERROR(__xludf.DUMMYFUNCTION("""COMPUTED_VALUE"""),"BC")</f>
        <v>BC</v>
      </c>
      <c r="D3151" s="170" t="str">
        <f>IFERROR(__xludf.DUMMYFUNCTION("""COMPUTED_VALUE"""),"Canada")</f>
        <v>Canada</v>
      </c>
      <c r="E3151" s="171">
        <f>IFERROR(__xludf.DUMMYFUNCTION("""COMPUTED_VALUE"""),43278.0)</f>
        <v>43278</v>
      </c>
      <c r="F3151" s="172">
        <f>IFERROR(__xludf.DUMMYFUNCTION("""COMPUTED_VALUE"""),43353.0)</f>
        <v>43353</v>
      </c>
      <c r="G3151" s="173"/>
      <c r="H3151" s="174">
        <f>IFERROR(__xludf.DUMMYFUNCTION("""COMPUTED_VALUE"""),106901.0)</f>
        <v>106901</v>
      </c>
      <c r="I3151" s="175" t="str">
        <f>IFERROR(__xludf.DUMMYFUNCTION("""COMPUTED_VALUE"""),"09/18")</f>
        <v>09/18</v>
      </c>
      <c r="J3151" s="172">
        <f>IFERROR(__xludf.DUMMYFUNCTION("""COMPUTED_VALUE"""),43358.0)</f>
        <v>43358</v>
      </c>
      <c r="K3151" s="176">
        <f>IFERROR(__xludf.DUMMYFUNCTION("""COMPUTED_VALUE"""),75.0)</f>
        <v>75</v>
      </c>
      <c r="L3151" s="176">
        <f>IFERROR(__xludf.DUMMYFUNCTION("""COMPUTED_VALUE"""),5.0)</f>
        <v>5</v>
      </c>
      <c r="M3151" s="176">
        <f>IFERROR(__xludf.DUMMYFUNCTION("""COMPUTED_VALUE"""),80.0)</f>
        <v>80</v>
      </c>
      <c r="N3151" s="177" t="str">
        <f>IFERROR(__xludf.DUMMYFUNCTION("""COMPUTED_VALUE"""),"Model 3 LR AWD")</f>
        <v>Model 3 LR AWD</v>
      </c>
      <c r="O3151" s="177" t="str">
        <f>IFERROR(__xludf.DUMMYFUNCTION("""COMPUTED_VALUE"""),"Midnight Silver Metallic")</f>
        <v>Midnight Silver Metallic</v>
      </c>
      <c r="P3151" s="178" t="str">
        <f>IFERROR(__xludf.DUMMYFUNCTION("""COMPUTED_VALUE"""),"18 inch Aero")</f>
        <v>18 inch Aero</v>
      </c>
      <c r="Q3151" s="177" t="str">
        <f>IFERROR(__xludf.DUMMYFUNCTION("""COMPUTED_VALUE"""),"Black seats")</f>
        <v>Black seats</v>
      </c>
      <c r="R3151" s="170" t="str">
        <f>IFERROR(__xludf.DUMMYFUNCTION("""COMPUTED_VALUE"""),"Enhanced Autopilot")</f>
        <v>Enhanced Autopilot</v>
      </c>
      <c r="S3151" s="170"/>
      <c r="T3151" s="179"/>
      <c r="U3151" s="179"/>
      <c r="V3151" s="179"/>
      <c r="W3151" s="180"/>
      <c r="X3151" s="181" t="str">
        <f>IFERROR(__xludf.DUMMYFUNCTION("""COMPUTED_VALUE"""),"Excellent")</f>
        <v>Excellent</v>
      </c>
      <c r="Y3151" s="182" t="str">
        <f>IFERROR(__xludf.DUMMYFUNCTION("""COMPUTED_VALUE"""),"Excellent")</f>
        <v>Excellent</v>
      </c>
      <c r="Z3151" s="182" t="str">
        <f>IFERROR(__xludf.DUMMYFUNCTION("""COMPUTED_VALUE"""),"Excellent")</f>
        <v>Excellent</v>
      </c>
      <c r="AA3151" s="182" t="str">
        <f>IFERROR(__xludf.DUMMYFUNCTION("""COMPUTED_VALUE"""),"Poor")</f>
        <v>Poor</v>
      </c>
      <c r="AB3151" s="182" t="str">
        <f>IFERROR(__xludf.DUMMYFUNCTION("""COMPUTED_VALUE"""),"Poor")</f>
        <v>Poor</v>
      </c>
      <c r="AC3151" s="183">
        <f>IFERROR(__xludf.DUMMYFUNCTION("""COMPUTED_VALUE"""),0.0)</f>
        <v>0</v>
      </c>
      <c r="AD3151" s="183">
        <f>IFERROR(__xludf.DUMMYFUNCTION("""COMPUTED_VALUE"""),1.0)</f>
        <v>1</v>
      </c>
      <c r="AE3151" s="183">
        <f>IFERROR(__xludf.DUMMYFUNCTION("""COMPUTED_VALUE"""),0.0)</f>
        <v>0</v>
      </c>
      <c r="AF3151" s="184"/>
      <c r="AG3151" s="180"/>
      <c r="AH3151" s="185">
        <f>IFERROR(__xludf.DUMMYFUNCTION("""COMPUTED_VALUE"""),43424.814430451384)</f>
        <v>43424.81443</v>
      </c>
      <c r="AI3151" s="182"/>
      <c r="AJ3151" s="182"/>
      <c r="AK3151" s="182"/>
      <c r="AL3151" s="182"/>
    </row>
    <row r="3152" ht="20.25" customHeight="1">
      <c r="A3152" s="169" t="str">
        <f>IFERROR(__xludf.DUMMYFUNCTION("""COMPUTED_VALUE"""),"NEOTesla")</f>
        <v>NEOTesla</v>
      </c>
      <c r="B3152" s="170" t="str">
        <f>IFERROR(__xludf.DUMMYFUNCTION("""COMPUTED_VALUE"""),"Cleveland")</f>
        <v>Cleveland</v>
      </c>
      <c r="C3152" s="170" t="str">
        <f>IFERROR(__xludf.DUMMYFUNCTION("""COMPUTED_VALUE"""),"OH")</f>
        <v>OH</v>
      </c>
      <c r="D3152" s="170" t="str">
        <f>IFERROR(__xludf.DUMMYFUNCTION("""COMPUTED_VALUE"""),"USA")</f>
        <v>USA</v>
      </c>
      <c r="E3152" s="171">
        <f>IFERROR(__xludf.DUMMYFUNCTION("""COMPUTED_VALUE"""),43278.0)</f>
        <v>43278</v>
      </c>
      <c r="F3152" s="172">
        <f>IFERROR(__xludf.DUMMYFUNCTION("""COMPUTED_VALUE"""),43325.0)</f>
        <v>43325</v>
      </c>
      <c r="G3152" s="173"/>
      <c r="H3152" s="174">
        <f>IFERROR(__xludf.DUMMYFUNCTION("""COMPUTED_VALUE"""),78255.0)</f>
        <v>78255</v>
      </c>
      <c r="I3152" s="175" t="str">
        <f>IFERROR(__xludf.DUMMYFUNCTION("""COMPUTED_VALUE"""),"08/18")</f>
        <v>08/18</v>
      </c>
      <c r="J3152" s="172">
        <f>IFERROR(__xludf.DUMMYFUNCTION("""COMPUTED_VALUE"""),43343.0)</f>
        <v>43343</v>
      </c>
      <c r="K3152" s="176">
        <f>IFERROR(__xludf.DUMMYFUNCTION("""COMPUTED_VALUE"""),47.0)</f>
        <v>47</v>
      </c>
      <c r="L3152" s="176">
        <f>IFERROR(__xludf.DUMMYFUNCTION("""COMPUTED_VALUE"""),18.0)</f>
        <v>18</v>
      </c>
      <c r="M3152" s="176">
        <f>IFERROR(__xludf.DUMMYFUNCTION("""COMPUTED_VALUE"""),65.0)</f>
        <v>65</v>
      </c>
      <c r="N3152" s="177" t="str">
        <f>IFERROR(__xludf.DUMMYFUNCTION("""COMPUTED_VALUE"""),"Model 3 LR")</f>
        <v>Model 3 LR</v>
      </c>
      <c r="O3152" s="177" t="str">
        <f>IFERROR(__xludf.DUMMYFUNCTION("""COMPUTED_VALUE"""),"Obsidian Black Metallic")</f>
        <v>Obsidian Black Metallic</v>
      </c>
      <c r="P3152" s="178" t="str">
        <f>IFERROR(__xludf.DUMMYFUNCTION("""COMPUTED_VALUE"""),"18 inch Aero")</f>
        <v>18 inch Aero</v>
      </c>
      <c r="Q3152" s="177" t="str">
        <f>IFERROR(__xludf.DUMMYFUNCTION("""COMPUTED_VALUE"""),"Black seats")</f>
        <v>Black seats</v>
      </c>
      <c r="R3152" s="170" t="str">
        <f>IFERROR(__xludf.DUMMYFUNCTION("""COMPUTED_VALUE"""),"Enhanced Autopilot")</f>
        <v>Enhanced Autopilot</v>
      </c>
      <c r="S3152" s="170"/>
      <c r="T3152" s="179"/>
      <c r="U3152" s="179"/>
      <c r="V3152" s="179"/>
      <c r="W3152" s="180"/>
      <c r="X3152" s="181" t="str">
        <f>IFERROR(__xludf.DUMMYFUNCTION("""COMPUTED_VALUE"""),"Very Good")</f>
        <v>Very Good</v>
      </c>
      <c r="Y3152" s="182" t="str">
        <f>IFERROR(__xludf.DUMMYFUNCTION("""COMPUTED_VALUE"""),"Excellent")</f>
        <v>Excellent</v>
      </c>
      <c r="Z3152" s="182" t="str">
        <f>IFERROR(__xludf.DUMMYFUNCTION("""COMPUTED_VALUE"""),"Very Good")</f>
        <v>Very Good</v>
      </c>
      <c r="AA3152" s="182" t="str">
        <f>IFERROR(__xludf.DUMMYFUNCTION("""COMPUTED_VALUE"""),"Excellent")</f>
        <v>Excellent</v>
      </c>
      <c r="AB3152" s="182" t="str">
        <f>IFERROR(__xludf.DUMMYFUNCTION("""COMPUTED_VALUE"""),"Excellent")</f>
        <v>Excellent</v>
      </c>
      <c r="AC3152" s="183">
        <f>IFERROR(__xludf.DUMMYFUNCTION("""COMPUTED_VALUE"""),0.0)</f>
        <v>0</v>
      </c>
      <c r="AD3152" s="183">
        <f>IFERROR(__xludf.DUMMYFUNCTION("""COMPUTED_VALUE"""),0.0)</f>
        <v>0</v>
      </c>
      <c r="AE3152" s="183">
        <f>IFERROR(__xludf.DUMMYFUNCTION("""COMPUTED_VALUE"""),0.0)</f>
        <v>0</v>
      </c>
      <c r="AF3152" s="184"/>
      <c r="AG3152" s="180"/>
      <c r="AH3152" s="185">
        <f>IFERROR(__xludf.DUMMYFUNCTION("""COMPUTED_VALUE"""),43348.23353449074)</f>
        <v>43348.23353</v>
      </c>
      <c r="AI3152" s="182"/>
      <c r="AJ3152" s="182"/>
      <c r="AK3152" s="182"/>
      <c r="AL3152" s="182"/>
    </row>
    <row r="3153" ht="20.25" customHeight="1">
      <c r="A3153" s="169" t="str">
        <f>IFERROR(__xludf.DUMMYFUNCTION("""COMPUTED_VALUE"""),"NetBrown")</f>
        <v>NetBrown</v>
      </c>
      <c r="B3153" s="170" t="str">
        <f>IFERROR(__xludf.DUMMYFUNCTION("""COMPUTED_VALUE"""),"Bothell")</f>
        <v>Bothell</v>
      </c>
      <c r="C3153" s="170" t="str">
        <f>IFERROR(__xludf.DUMMYFUNCTION("""COMPUTED_VALUE"""),"WA")</f>
        <v>WA</v>
      </c>
      <c r="D3153" s="170" t="str">
        <f>IFERROR(__xludf.DUMMYFUNCTION("""COMPUTED_VALUE"""),"USA")</f>
        <v>USA</v>
      </c>
      <c r="E3153" s="171">
        <f>IFERROR(__xludf.DUMMYFUNCTION("""COMPUTED_VALUE"""),43278.0)</f>
        <v>43278</v>
      </c>
      <c r="F3153" s="172">
        <f>IFERROR(__xludf.DUMMYFUNCTION("""COMPUTED_VALUE"""),43331.0)</f>
        <v>43331</v>
      </c>
      <c r="G3153" s="173"/>
      <c r="H3153" s="174">
        <f>IFERROR(__xludf.DUMMYFUNCTION("""COMPUTED_VALUE"""),65615.0)</f>
        <v>65615</v>
      </c>
      <c r="I3153" s="175" t="str">
        <f>IFERROR(__xludf.DUMMYFUNCTION("""COMPUTED_VALUE"""),"08/18")</f>
        <v>08/18</v>
      </c>
      <c r="J3153" s="172">
        <f>IFERROR(__xludf.DUMMYFUNCTION("""COMPUTED_VALUE"""),43335.0)</f>
        <v>43335</v>
      </c>
      <c r="K3153" s="176">
        <f>IFERROR(__xludf.DUMMYFUNCTION("""COMPUTED_VALUE"""),53.0)</f>
        <v>53</v>
      </c>
      <c r="L3153" s="176">
        <f>IFERROR(__xludf.DUMMYFUNCTION("""COMPUTED_VALUE"""),4.0)</f>
        <v>4</v>
      </c>
      <c r="M3153" s="176">
        <f>IFERROR(__xludf.DUMMYFUNCTION("""COMPUTED_VALUE"""),57.0)</f>
        <v>57</v>
      </c>
      <c r="N3153" s="177" t="str">
        <f>IFERROR(__xludf.DUMMYFUNCTION("""COMPUTED_VALUE"""),"Model 3 LR AWD")</f>
        <v>Model 3 LR AWD</v>
      </c>
      <c r="O3153" s="177" t="str">
        <f>IFERROR(__xludf.DUMMYFUNCTION("""COMPUTED_VALUE"""),"Red Multi-Coat")</f>
        <v>Red Multi-Coat</v>
      </c>
      <c r="P3153" s="178" t="str">
        <f>IFERROR(__xludf.DUMMYFUNCTION("""COMPUTED_VALUE"""),"19 inch Sport")</f>
        <v>19 inch Sport</v>
      </c>
      <c r="Q3153" s="177" t="str">
        <f>IFERROR(__xludf.DUMMYFUNCTION("""COMPUTED_VALUE"""),"Black seats")</f>
        <v>Black seats</v>
      </c>
      <c r="R3153" s="170" t="str">
        <f>IFERROR(__xludf.DUMMYFUNCTION("""COMPUTED_VALUE"""),"Enhanced Autopilot")</f>
        <v>Enhanced Autopilot</v>
      </c>
      <c r="S3153" s="170"/>
      <c r="T3153" s="179"/>
      <c r="U3153" s="179"/>
      <c r="V3153" s="179"/>
      <c r="W3153" s="180"/>
      <c r="X3153" s="181" t="str">
        <f>IFERROR(__xludf.DUMMYFUNCTION("""COMPUTED_VALUE"""),"Excellent")</f>
        <v>Excellent</v>
      </c>
      <c r="Y3153" s="182" t="str">
        <f>IFERROR(__xludf.DUMMYFUNCTION("""COMPUTED_VALUE"""),"Excellent")</f>
        <v>Excellent</v>
      </c>
      <c r="Z3153" s="182" t="str">
        <f>IFERROR(__xludf.DUMMYFUNCTION("""COMPUTED_VALUE"""),"Excellent")</f>
        <v>Excellent</v>
      </c>
      <c r="AA3153" s="182" t="str">
        <f>IFERROR(__xludf.DUMMYFUNCTION("""COMPUTED_VALUE"""),"Excellent")</f>
        <v>Excellent</v>
      </c>
      <c r="AB3153" s="182" t="str">
        <f>IFERROR(__xludf.DUMMYFUNCTION("""COMPUTED_VALUE"""),"Excellent")</f>
        <v>Excellent</v>
      </c>
      <c r="AC3153" s="183">
        <f>IFERROR(__xludf.DUMMYFUNCTION("""COMPUTED_VALUE"""),0.0)</f>
        <v>0</v>
      </c>
      <c r="AD3153" s="183">
        <f>IFERROR(__xludf.DUMMYFUNCTION("""COMPUTED_VALUE"""),0.0)</f>
        <v>0</v>
      </c>
      <c r="AE3153" s="183">
        <f>IFERROR(__xludf.DUMMYFUNCTION("""COMPUTED_VALUE"""),0.0)</f>
        <v>0</v>
      </c>
      <c r="AF3153" s="184"/>
      <c r="AG3153" s="180" t="str">
        <f>IFERROR(__xludf.DUMMYFUNCTION("""COMPUTED_VALUE"""),"Panel Gaps and other issues many have complained about were not present, the car was utterly without flaw.")</f>
        <v>Panel Gaps and other issues many have complained about were not present, the car was utterly without flaw.</v>
      </c>
      <c r="AH3153" s="185">
        <f>IFERROR(__xludf.DUMMYFUNCTION("""COMPUTED_VALUE"""),43377.44261637732)</f>
        <v>43377.44262</v>
      </c>
      <c r="AI3153" s="182"/>
      <c r="AJ3153" s="182"/>
      <c r="AK3153" s="182"/>
      <c r="AL3153" s="182"/>
    </row>
    <row r="3154" ht="20.25" customHeight="1">
      <c r="A3154" s="169" t="str">
        <f>IFERROR(__xludf.DUMMYFUNCTION("""COMPUTED_VALUE"""),"neutrino82")</f>
        <v>neutrino82</v>
      </c>
      <c r="B3154" s="170" t="str">
        <f>IFERROR(__xludf.DUMMYFUNCTION("""COMPUTED_VALUE"""),"San Diego")</f>
        <v>San Diego</v>
      </c>
      <c r="C3154" s="170" t="str">
        <f>IFERROR(__xludf.DUMMYFUNCTION("""COMPUTED_VALUE"""),"CA")</f>
        <v>CA</v>
      </c>
      <c r="D3154" s="170" t="str">
        <f>IFERROR(__xludf.DUMMYFUNCTION("""COMPUTED_VALUE"""),"USA")</f>
        <v>USA</v>
      </c>
      <c r="E3154" s="171">
        <f>IFERROR(__xludf.DUMMYFUNCTION("""COMPUTED_VALUE"""),43278.0)</f>
        <v>43278</v>
      </c>
      <c r="F3154" s="172">
        <f>IFERROR(__xludf.DUMMYFUNCTION("""COMPUTED_VALUE"""),43291.0)</f>
        <v>43291</v>
      </c>
      <c r="G3154" s="173"/>
      <c r="H3154" s="174">
        <f>IFERROR(__xludf.DUMMYFUNCTION("""COMPUTED_VALUE"""),36961.0)</f>
        <v>36961</v>
      </c>
      <c r="I3154" s="175" t="str">
        <f>IFERROR(__xludf.DUMMYFUNCTION("""COMPUTED_VALUE"""),"06/18")</f>
        <v>06/18</v>
      </c>
      <c r="J3154" s="172">
        <f>IFERROR(__xludf.DUMMYFUNCTION("""COMPUTED_VALUE"""),43294.0)</f>
        <v>43294</v>
      </c>
      <c r="K3154" s="176">
        <f>IFERROR(__xludf.DUMMYFUNCTION("""COMPUTED_VALUE"""),13.0)</f>
        <v>13</v>
      </c>
      <c r="L3154" s="176">
        <f>IFERROR(__xludf.DUMMYFUNCTION("""COMPUTED_VALUE"""),3.0)</f>
        <v>3</v>
      </c>
      <c r="M3154" s="176">
        <f>IFERROR(__xludf.DUMMYFUNCTION("""COMPUTED_VALUE"""),16.0)</f>
        <v>16</v>
      </c>
      <c r="N3154" s="177" t="str">
        <f>IFERROR(__xludf.DUMMYFUNCTION("""COMPUTED_VALUE"""),"Model 3 LR")</f>
        <v>Model 3 LR</v>
      </c>
      <c r="O3154" s="177" t="str">
        <f>IFERROR(__xludf.DUMMYFUNCTION("""COMPUTED_VALUE"""),"Midnight Silver Metallic")</f>
        <v>Midnight Silver Metallic</v>
      </c>
      <c r="P3154" s="178" t="str">
        <f>IFERROR(__xludf.DUMMYFUNCTION("""COMPUTED_VALUE"""),"18 inch Aero")</f>
        <v>18 inch Aero</v>
      </c>
      <c r="Q3154" s="177" t="str">
        <f>IFERROR(__xludf.DUMMYFUNCTION("""COMPUTED_VALUE"""),"Black seats")</f>
        <v>Black seats</v>
      </c>
      <c r="R3154" s="170" t="str">
        <f>IFERROR(__xludf.DUMMYFUNCTION("""COMPUTED_VALUE"""),"Enhanced Autopilot")</f>
        <v>Enhanced Autopilot</v>
      </c>
      <c r="S3154" s="170"/>
      <c r="T3154" s="179"/>
      <c r="U3154" s="179"/>
      <c r="V3154" s="179"/>
      <c r="W3154" s="180"/>
      <c r="X3154" s="181" t="str">
        <f>IFERROR(__xludf.DUMMYFUNCTION("""COMPUTED_VALUE"""),"Excellent")</f>
        <v>Excellent</v>
      </c>
      <c r="Y3154" s="182" t="str">
        <f>IFERROR(__xludf.DUMMYFUNCTION("""COMPUTED_VALUE"""),"Very Good")</f>
        <v>Very Good</v>
      </c>
      <c r="Z3154" s="182" t="str">
        <f>IFERROR(__xludf.DUMMYFUNCTION("""COMPUTED_VALUE"""),"Excellent")</f>
        <v>Excellent</v>
      </c>
      <c r="AA3154" s="182" t="str">
        <f>IFERROR(__xludf.DUMMYFUNCTION("""COMPUTED_VALUE"""),"Excellent")</f>
        <v>Excellent</v>
      </c>
      <c r="AB3154" s="182" t="str">
        <f>IFERROR(__xludf.DUMMYFUNCTION("""COMPUTED_VALUE"""),"Excellent")</f>
        <v>Excellent</v>
      </c>
      <c r="AC3154" s="183"/>
      <c r="AD3154" s="183"/>
      <c r="AE3154" s="183"/>
      <c r="AF3154" s="184"/>
      <c r="AG3154" s="180"/>
      <c r="AH3154" s="185">
        <f>IFERROR(__xludf.DUMMYFUNCTION("""COMPUTED_VALUE"""),43294.54361613426)</f>
        <v>43294.54362</v>
      </c>
      <c r="AI3154" s="182"/>
      <c r="AJ3154" s="182"/>
      <c r="AK3154" s="182"/>
      <c r="AL3154" s="182"/>
    </row>
    <row r="3155" ht="20.25" customHeight="1">
      <c r="A3155" s="169" t="str">
        <f>IFERROR(__xludf.DUMMYFUNCTION("""COMPUTED_VALUE"""),"nhawk")</f>
        <v>nhawk</v>
      </c>
      <c r="B3155" s="170" t="str">
        <f>IFERROR(__xludf.DUMMYFUNCTION("""COMPUTED_VALUE"""),"Springfield")</f>
        <v>Springfield</v>
      </c>
      <c r="C3155" s="170" t="str">
        <f>IFERROR(__xludf.DUMMYFUNCTION("""COMPUTED_VALUE"""),"NJ")</f>
        <v>NJ</v>
      </c>
      <c r="D3155" s="170" t="str">
        <f>IFERROR(__xludf.DUMMYFUNCTION("""COMPUTED_VALUE"""),"USA")</f>
        <v>USA</v>
      </c>
      <c r="E3155" s="171">
        <f>IFERROR(__xludf.DUMMYFUNCTION("""COMPUTED_VALUE"""),43278.0)</f>
        <v>43278</v>
      </c>
      <c r="F3155" s="172">
        <f>IFERROR(__xludf.DUMMYFUNCTION("""COMPUTED_VALUE"""),43349.0)</f>
        <v>43349</v>
      </c>
      <c r="G3155" s="173"/>
      <c r="H3155" s="174">
        <f>IFERROR(__xludf.DUMMYFUNCTION("""COMPUTED_VALUE"""),72955.0)</f>
        <v>72955</v>
      </c>
      <c r="I3155" s="175"/>
      <c r="J3155" s="172">
        <f>IFERROR(__xludf.DUMMYFUNCTION("""COMPUTED_VALUE"""),43370.0)</f>
        <v>43370</v>
      </c>
      <c r="K3155" s="176">
        <f>IFERROR(__xludf.DUMMYFUNCTION("""COMPUTED_VALUE"""),71.0)</f>
        <v>71</v>
      </c>
      <c r="L3155" s="176">
        <f>IFERROR(__xludf.DUMMYFUNCTION("""COMPUTED_VALUE"""),21.0)</f>
        <v>21</v>
      </c>
      <c r="M3155" s="176">
        <f>IFERROR(__xludf.DUMMYFUNCTION("""COMPUTED_VALUE"""),92.0)</f>
        <v>92</v>
      </c>
      <c r="N3155" s="177" t="str">
        <f>IFERROR(__xludf.DUMMYFUNCTION("""COMPUTED_VALUE"""),"Model 3 Performance")</f>
        <v>Model 3 Performance</v>
      </c>
      <c r="O3155" s="177" t="str">
        <f>IFERROR(__xludf.DUMMYFUNCTION("""COMPUTED_VALUE"""),"Midnight Silver Metallic")</f>
        <v>Midnight Silver Metallic</v>
      </c>
      <c r="P3155" s="178" t="str">
        <f>IFERROR(__xludf.DUMMYFUNCTION("""COMPUTED_VALUE"""),"20 inch Sport")</f>
        <v>20 inch Sport</v>
      </c>
      <c r="Q3155" s="177" t="str">
        <f>IFERROR(__xludf.DUMMYFUNCTION("""COMPUTED_VALUE"""),"Black seats")</f>
        <v>Black seats</v>
      </c>
      <c r="R3155" s="170" t="str">
        <f>IFERROR(__xludf.DUMMYFUNCTION("""COMPUTED_VALUE"""),"None")</f>
        <v>None</v>
      </c>
      <c r="S3155" s="170"/>
      <c r="T3155" s="179"/>
      <c r="U3155" s="179"/>
      <c r="V3155" s="179"/>
      <c r="W3155" s="180"/>
      <c r="X3155" s="181" t="str">
        <f>IFERROR(__xludf.DUMMYFUNCTION("""COMPUTED_VALUE"""),"Excellent")</f>
        <v>Excellent</v>
      </c>
      <c r="Y3155" s="182" t="str">
        <f>IFERROR(__xludf.DUMMYFUNCTION("""COMPUTED_VALUE"""),"Good")</f>
        <v>Good</v>
      </c>
      <c r="Z3155" s="182" t="str">
        <f>IFERROR(__xludf.DUMMYFUNCTION("""COMPUTED_VALUE"""),"Excellent")</f>
        <v>Excellent</v>
      </c>
      <c r="AA3155" s="182" t="str">
        <f>IFERROR(__xludf.DUMMYFUNCTION("""COMPUTED_VALUE"""),"Good")</f>
        <v>Good</v>
      </c>
      <c r="AB3155" s="182" t="str">
        <f>IFERROR(__xludf.DUMMYFUNCTION("""COMPUTED_VALUE"""),"Very Good")</f>
        <v>Very Good</v>
      </c>
      <c r="AC3155" s="183">
        <f>IFERROR(__xludf.DUMMYFUNCTION("""COMPUTED_VALUE"""),3.0)</f>
        <v>3</v>
      </c>
      <c r="AD3155" s="183">
        <f>IFERROR(__xludf.DUMMYFUNCTION("""COMPUTED_VALUE"""),1.0)</f>
        <v>1</v>
      </c>
      <c r="AE3155" s="183">
        <f>IFERROR(__xludf.DUMMYFUNCTION("""COMPUTED_VALUE"""),0.0)</f>
        <v>0</v>
      </c>
      <c r="AF3155" s="184"/>
      <c r="AG3155" s="180" t="str">
        <f>IFERROR(__xludf.DUMMYFUNCTION("""COMPUTED_VALUE"""),"Replaced the strut making noise over bumps")</f>
        <v>Replaced the strut making noise over bumps</v>
      </c>
      <c r="AH3155" s="185">
        <f>IFERROR(__xludf.DUMMYFUNCTION("""COMPUTED_VALUE"""),43374.89216859954)</f>
        <v>43374.89217</v>
      </c>
      <c r="AI3155" s="182"/>
      <c r="AJ3155" s="182"/>
      <c r="AK3155" s="182"/>
      <c r="AL3155" s="182"/>
    </row>
    <row r="3156" ht="20.25" customHeight="1">
      <c r="A3156" s="169" t="str">
        <f>IFERROR(__xludf.DUMMYFUNCTION("""COMPUTED_VALUE"""),"NOLA_Mike")</f>
        <v>NOLA_Mike</v>
      </c>
      <c r="B3156" s="170" t="str">
        <f>IFERROR(__xludf.DUMMYFUNCTION("""COMPUTED_VALUE"""),"Hammond")</f>
        <v>Hammond</v>
      </c>
      <c r="C3156" s="170" t="str">
        <f>IFERROR(__xludf.DUMMYFUNCTION("""COMPUTED_VALUE"""),"LA")</f>
        <v>LA</v>
      </c>
      <c r="D3156" s="170" t="str">
        <f>IFERROR(__xludf.DUMMYFUNCTION("""COMPUTED_VALUE"""),"USA")</f>
        <v>USA</v>
      </c>
      <c r="E3156" s="171">
        <f>IFERROR(__xludf.DUMMYFUNCTION("""COMPUTED_VALUE"""),43278.0)</f>
        <v>43278</v>
      </c>
      <c r="F3156" s="172">
        <f>IFERROR(__xludf.DUMMYFUNCTION("""COMPUTED_VALUE"""),43332.0)</f>
        <v>43332</v>
      </c>
      <c r="G3156" s="173"/>
      <c r="H3156" s="174">
        <f>IFERROR(__xludf.DUMMYFUNCTION("""COMPUTED_VALUE"""),56263.0)</f>
        <v>56263</v>
      </c>
      <c r="I3156" s="175" t="str">
        <f>IFERROR(__xludf.DUMMYFUNCTION("""COMPUTED_VALUE"""),"08/18")</f>
        <v>08/18</v>
      </c>
      <c r="J3156" s="172">
        <f>IFERROR(__xludf.DUMMYFUNCTION("""COMPUTED_VALUE"""),43356.0)</f>
        <v>43356</v>
      </c>
      <c r="K3156" s="176">
        <f>IFERROR(__xludf.DUMMYFUNCTION("""COMPUTED_VALUE"""),54.0)</f>
        <v>54</v>
      </c>
      <c r="L3156" s="176">
        <f>IFERROR(__xludf.DUMMYFUNCTION("""COMPUTED_VALUE"""),24.0)</f>
        <v>24</v>
      </c>
      <c r="M3156" s="176">
        <f>IFERROR(__xludf.DUMMYFUNCTION("""COMPUTED_VALUE"""),78.0)</f>
        <v>78</v>
      </c>
      <c r="N3156" s="177" t="str">
        <f>IFERROR(__xludf.DUMMYFUNCTION("""COMPUTED_VALUE"""),"Model 3 Performance")</f>
        <v>Model 3 Performance</v>
      </c>
      <c r="O3156" s="177" t="str">
        <f>IFERROR(__xludf.DUMMYFUNCTION("""COMPUTED_VALUE"""),"Midnight Silver Metallic")</f>
        <v>Midnight Silver Metallic</v>
      </c>
      <c r="P3156" s="178" t="str">
        <f>IFERROR(__xludf.DUMMYFUNCTION("""COMPUTED_VALUE"""),"20 inch Sport")</f>
        <v>20 inch Sport</v>
      </c>
      <c r="Q3156" s="177" t="str">
        <f>IFERROR(__xludf.DUMMYFUNCTION("""COMPUTED_VALUE"""),"White seats")</f>
        <v>White seats</v>
      </c>
      <c r="R3156" s="170" t="str">
        <f>IFERROR(__xludf.DUMMYFUNCTION("""COMPUTED_VALUE"""),"Full Self-Driving")</f>
        <v>Full Self-Driving</v>
      </c>
      <c r="S3156" s="170"/>
      <c r="T3156" s="179"/>
      <c r="U3156" s="179"/>
      <c r="V3156" s="179"/>
      <c r="W3156" s="180"/>
      <c r="X3156" s="181" t="str">
        <f>IFERROR(__xludf.DUMMYFUNCTION("""COMPUTED_VALUE"""),"Very Good")</f>
        <v>Very Good</v>
      </c>
      <c r="Y3156" s="182" t="str">
        <f>IFERROR(__xludf.DUMMYFUNCTION("""COMPUTED_VALUE"""),"Very Good")</f>
        <v>Very Good</v>
      </c>
      <c r="Z3156" s="182" t="str">
        <f>IFERROR(__xludf.DUMMYFUNCTION("""COMPUTED_VALUE"""),"Very Good")</f>
        <v>Very Good</v>
      </c>
      <c r="AA3156" s="182" t="str">
        <f>IFERROR(__xludf.DUMMYFUNCTION("""COMPUTED_VALUE"""),"Fair")</f>
        <v>Fair</v>
      </c>
      <c r="AB3156" s="182" t="str">
        <f>IFERROR(__xludf.DUMMYFUNCTION("""COMPUTED_VALUE"""),"Good")</f>
        <v>Good</v>
      </c>
      <c r="AC3156" s="183"/>
      <c r="AD3156" s="183"/>
      <c r="AE3156" s="183"/>
      <c r="AF3156" s="184"/>
      <c r="AG3156" s="180"/>
      <c r="AH3156" s="185">
        <f>IFERROR(__xludf.DUMMYFUNCTION("""COMPUTED_VALUE"""),43357.378396134256)</f>
        <v>43357.3784</v>
      </c>
      <c r="AI3156" s="182"/>
      <c r="AJ3156" s="182"/>
      <c r="AK3156" s="182"/>
      <c r="AL3156" s="182"/>
    </row>
    <row r="3157" ht="20.25" customHeight="1">
      <c r="A3157" s="169" t="str">
        <f>IFERROR(__xludf.DUMMYFUNCTION("""COMPUTED_VALUE"""),"nreker")</f>
        <v>nreker</v>
      </c>
      <c r="B3157" s="170" t="str">
        <f>IFERROR(__xludf.DUMMYFUNCTION("""COMPUTED_VALUE"""),"93401")</f>
        <v>93401</v>
      </c>
      <c r="C3157" s="170" t="str">
        <f>IFERROR(__xludf.DUMMYFUNCTION("""COMPUTED_VALUE"""),"CA")</f>
        <v>CA</v>
      </c>
      <c r="D3157" s="170" t="str">
        <f>IFERROR(__xludf.DUMMYFUNCTION("""COMPUTED_VALUE"""),"USA")</f>
        <v>USA</v>
      </c>
      <c r="E3157" s="171">
        <f>IFERROR(__xludf.DUMMYFUNCTION("""COMPUTED_VALUE"""),43278.0)</f>
        <v>43278</v>
      </c>
      <c r="F3157" s="172">
        <f>IFERROR(__xludf.DUMMYFUNCTION("""COMPUTED_VALUE"""),43291.0)</f>
        <v>43291</v>
      </c>
      <c r="G3157" s="173"/>
      <c r="H3157" s="174">
        <f>IFERROR(__xludf.DUMMYFUNCTION("""COMPUTED_VALUE"""),38661.0)</f>
        <v>38661</v>
      </c>
      <c r="I3157" s="175" t="str">
        <f>IFERROR(__xludf.DUMMYFUNCTION("""COMPUTED_VALUE"""),"06/18")</f>
        <v>06/18</v>
      </c>
      <c r="J3157" s="172">
        <f>IFERROR(__xludf.DUMMYFUNCTION("""COMPUTED_VALUE"""),43309.0)</f>
        <v>43309</v>
      </c>
      <c r="K3157" s="176">
        <f>IFERROR(__xludf.DUMMYFUNCTION("""COMPUTED_VALUE"""),13.0)</f>
        <v>13</v>
      </c>
      <c r="L3157" s="176">
        <f>IFERROR(__xludf.DUMMYFUNCTION("""COMPUTED_VALUE"""),18.0)</f>
        <v>18</v>
      </c>
      <c r="M3157" s="176">
        <f>IFERROR(__xludf.DUMMYFUNCTION("""COMPUTED_VALUE"""),31.0)</f>
        <v>31</v>
      </c>
      <c r="N3157" s="177" t="str">
        <f>IFERROR(__xludf.DUMMYFUNCTION("""COMPUTED_VALUE"""),"Model 3 LR")</f>
        <v>Model 3 LR</v>
      </c>
      <c r="O3157" s="177" t="str">
        <f>IFERROR(__xludf.DUMMYFUNCTION("""COMPUTED_VALUE"""),"Deep Blue Metallic")</f>
        <v>Deep Blue Metallic</v>
      </c>
      <c r="P3157" s="178" t="str">
        <f>IFERROR(__xludf.DUMMYFUNCTION("""COMPUTED_VALUE"""),"18 inch Aero")</f>
        <v>18 inch Aero</v>
      </c>
      <c r="Q3157" s="177" t="str">
        <f>IFERROR(__xludf.DUMMYFUNCTION("""COMPUTED_VALUE"""),"Black seats")</f>
        <v>Black seats</v>
      </c>
      <c r="R3157" s="170" t="str">
        <f>IFERROR(__xludf.DUMMYFUNCTION("""COMPUTED_VALUE"""),"Full Self-Driving")</f>
        <v>Full Self-Driving</v>
      </c>
      <c r="S3157" s="170"/>
      <c r="T3157" s="179"/>
      <c r="U3157" s="179"/>
      <c r="V3157" s="179"/>
      <c r="W3157" s="180"/>
      <c r="X3157" s="181" t="str">
        <f>IFERROR(__xludf.DUMMYFUNCTION("""COMPUTED_VALUE"""),"Excellent")</f>
        <v>Excellent</v>
      </c>
      <c r="Y3157" s="182" t="str">
        <f>IFERROR(__xludf.DUMMYFUNCTION("""COMPUTED_VALUE"""),"Excellent")</f>
        <v>Excellent</v>
      </c>
      <c r="Z3157" s="182" t="str">
        <f>IFERROR(__xludf.DUMMYFUNCTION("""COMPUTED_VALUE"""),"Very Good")</f>
        <v>Very Good</v>
      </c>
      <c r="AA3157" s="182" t="str">
        <f>IFERROR(__xludf.DUMMYFUNCTION("""COMPUTED_VALUE"""),"Excellent")</f>
        <v>Excellent</v>
      </c>
      <c r="AB3157" s="182" t="str">
        <f>IFERROR(__xludf.DUMMYFUNCTION("""COMPUTED_VALUE"""),"Excellent")</f>
        <v>Excellent</v>
      </c>
      <c r="AC3157" s="183">
        <f>IFERROR(__xludf.DUMMYFUNCTION("""COMPUTED_VALUE"""),0.0)</f>
        <v>0</v>
      </c>
      <c r="AD3157" s="183"/>
      <c r="AE3157" s="183"/>
      <c r="AF3157" s="184"/>
      <c r="AG3157" s="180"/>
      <c r="AH3157" s="185">
        <f>IFERROR(__xludf.DUMMYFUNCTION("""COMPUTED_VALUE"""),43309.930499664355)</f>
        <v>43309.9305</v>
      </c>
      <c r="AI3157" s="182"/>
      <c r="AJ3157" s="182"/>
      <c r="AK3157" s="182"/>
      <c r="AL3157" s="182"/>
    </row>
    <row r="3158" ht="20.25" customHeight="1">
      <c r="A3158" s="169" t="str">
        <f>IFERROR(__xludf.DUMMYFUNCTION("""COMPUTED_VALUE"""),"obryan")</f>
        <v>obryan</v>
      </c>
      <c r="B3158" s="170" t="str">
        <f>IFERROR(__xludf.DUMMYFUNCTION("""COMPUTED_VALUE"""),"Toronto")</f>
        <v>Toronto</v>
      </c>
      <c r="C3158" s="170" t="str">
        <f>IFERROR(__xludf.DUMMYFUNCTION("""COMPUTED_VALUE"""),"ON")</f>
        <v>ON</v>
      </c>
      <c r="D3158" s="170" t="str">
        <f>IFERROR(__xludf.DUMMYFUNCTION("""COMPUTED_VALUE"""),"Canada")</f>
        <v>Canada</v>
      </c>
      <c r="E3158" s="171">
        <f>IFERROR(__xludf.DUMMYFUNCTION("""COMPUTED_VALUE"""),43278.0)</f>
        <v>43278</v>
      </c>
      <c r="F3158" s="172">
        <f>IFERROR(__xludf.DUMMYFUNCTION("""COMPUTED_VALUE"""),43330.0)</f>
        <v>43330</v>
      </c>
      <c r="G3158" s="173"/>
      <c r="H3158" s="174">
        <f>IFERROR(__xludf.DUMMYFUNCTION("""COMPUTED_VALUE"""),95765.0)</f>
        <v>95765</v>
      </c>
      <c r="I3158" s="175" t="str">
        <f>IFERROR(__xludf.DUMMYFUNCTION("""COMPUTED_VALUE"""),"08/18")</f>
        <v>08/18</v>
      </c>
      <c r="J3158" s="172">
        <f>IFERROR(__xludf.DUMMYFUNCTION("""COMPUTED_VALUE"""),43353.0)</f>
        <v>43353</v>
      </c>
      <c r="K3158" s="176">
        <f>IFERROR(__xludf.DUMMYFUNCTION("""COMPUTED_VALUE"""),52.0)</f>
        <v>52</v>
      </c>
      <c r="L3158" s="176">
        <f>IFERROR(__xludf.DUMMYFUNCTION("""COMPUTED_VALUE"""),23.0)</f>
        <v>23</v>
      </c>
      <c r="M3158" s="176">
        <f>IFERROR(__xludf.DUMMYFUNCTION("""COMPUTED_VALUE"""),75.0)</f>
        <v>75</v>
      </c>
      <c r="N3158" s="177" t="str">
        <f>IFERROR(__xludf.DUMMYFUNCTION("""COMPUTED_VALUE"""),"Model 3 LR")</f>
        <v>Model 3 LR</v>
      </c>
      <c r="O3158" s="177" t="str">
        <f>IFERROR(__xludf.DUMMYFUNCTION("""COMPUTED_VALUE"""),"Deep Blue Metallic")</f>
        <v>Deep Blue Metallic</v>
      </c>
      <c r="P3158" s="178" t="str">
        <f>IFERROR(__xludf.DUMMYFUNCTION("""COMPUTED_VALUE"""),"18 inch Aero")</f>
        <v>18 inch Aero</v>
      </c>
      <c r="Q3158" s="177" t="str">
        <f>IFERROR(__xludf.DUMMYFUNCTION("""COMPUTED_VALUE"""),"Black seats")</f>
        <v>Black seats</v>
      </c>
      <c r="R3158" s="170" t="str">
        <f>IFERROR(__xludf.DUMMYFUNCTION("""COMPUTED_VALUE"""),"Enhanced Autopilot")</f>
        <v>Enhanced Autopilot</v>
      </c>
      <c r="S3158" s="170"/>
      <c r="T3158" s="179"/>
      <c r="U3158" s="179"/>
      <c r="V3158" s="179"/>
      <c r="W3158" s="180"/>
      <c r="X3158" s="181" t="str">
        <f>IFERROR(__xludf.DUMMYFUNCTION("""COMPUTED_VALUE"""),"Excellent")</f>
        <v>Excellent</v>
      </c>
      <c r="Y3158" s="182" t="str">
        <f>IFERROR(__xludf.DUMMYFUNCTION("""COMPUTED_VALUE"""),"Excellent")</f>
        <v>Excellent</v>
      </c>
      <c r="Z3158" s="182" t="str">
        <f>IFERROR(__xludf.DUMMYFUNCTION("""COMPUTED_VALUE"""),"Excellent")</f>
        <v>Excellent</v>
      </c>
      <c r="AA3158" s="182" t="str">
        <f>IFERROR(__xludf.DUMMYFUNCTION("""COMPUTED_VALUE"""),"Good")</f>
        <v>Good</v>
      </c>
      <c r="AB3158" s="182" t="str">
        <f>IFERROR(__xludf.DUMMYFUNCTION("""COMPUTED_VALUE"""),"Good")</f>
        <v>Good</v>
      </c>
      <c r="AC3158" s="183">
        <f>IFERROR(__xludf.DUMMYFUNCTION("""COMPUTED_VALUE"""),1.0)</f>
        <v>1</v>
      </c>
      <c r="AD3158" s="183"/>
      <c r="AE3158" s="183"/>
      <c r="AF3158" s="184"/>
      <c r="AG3158" s="180"/>
      <c r="AH3158" s="185">
        <f>IFERROR(__xludf.DUMMYFUNCTION("""COMPUTED_VALUE"""),43361.90293214121)</f>
        <v>43361.90293</v>
      </c>
      <c r="AI3158" s="182"/>
      <c r="AJ3158" s="182"/>
      <c r="AK3158" s="182"/>
      <c r="AL3158" s="182"/>
    </row>
    <row r="3159" ht="20.25" customHeight="1">
      <c r="A3159" s="169" t="str">
        <f>IFERROR(__xludf.DUMMYFUNCTION("""COMPUTED_VALUE"""),"ocmetz")</f>
        <v>ocmetz</v>
      </c>
      <c r="B3159" s="170" t="str">
        <f>IFERROR(__xludf.DUMMYFUNCTION("""COMPUTED_VALUE"""),"Oregon City")</f>
        <v>Oregon City</v>
      </c>
      <c r="C3159" s="170" t="str">
        <f>IFERROR(__xludf.DUMMYFUNCTION("""COMPUTED_VALUE"""),"OR")</f>
        <v>OR</v>
      </c>
      <c r="D3159" s="170" t="str">
        <f>IFERROR(__xludf.DUMMYFUNCTION("""COMPUTED_VALUE"""),"USA")</f>
        <v>USA</v>
      </c>
      <c r="E3159" s="171">
        <f>IFERROR(__xludf.DUMMYFUNCTION("""COMPUTED_VALUE"""),43278.0)</f>
        <v>43278</v>
      </c>
      <c r="F3159" s="172">
        <f>IFERROR(__xludf.DUMMYFUNCTION("""COMPUTED_VALUE"""),43297.0)</f>
        <v>43297</v>
      </c>
      <c r="G3159" s="173"/>
      <c r="H3159" s="174">
        <f>IFERROR(__xludf.DUMMYFUNCTION("""COMPUTED_VALUE"""),46960.0)</f>
        <v>46960</v>
      </c>
      <c r="I3159" s="175" t="str">
        <f>IFERROR(__xludf.DUMMYFUNCTION("""COMPUTED_VALUE"""),"07/18")</f>
        <v>07/18</v>
      </c>
      <c r="J3159" s="172">
        <f>IFERROR(__xludf.DUMMYFUNCTION("""COMPUTED_VALUE"""),43299.0)</f>
        <v>43299</v>
      </c>
      <c r="K3159" s="176">
        <f>IFERROR(__xludf.DUMMYFUNCTION("""COMPUTED_VALUE"""),19.0)</f>
        <v>19</v>
      </c>
      <c r="L3159" s="176">
        <f>IFERROR(__xludf.DUMMYFUNCTION("""COMPUTED_VALUE"""),2.0)</f>
        <v>2</v>
      </c>
      <c r="M3159" s="176">
        <f>IFERROR(__xludf.DUMMYFUNCTION("""COMPUTED_VALUE"""),21.0)</f>
        <v>21</v>
      </c>
      <c r="N3159" s="177" t="str">
        <f>IFERROR(__xludf.DUMMYFUNCTION("""COMPUTED_VALUE"""),"Model 3 LR")</f>
        <v>Model 3 LR</v>
      </c>
      <c r="O3159" s="177" t="str">
        <f>IFERROR(__xludf.DUMMYFUNCTION("""COMPUTED_VALUE"""),"Red Multi-Coat")</f>
        <v>Red Multi-Coat</v>
      </c>
      <c r="P3159" s="178" t="str">
        <f>IFERROR(__xludf.DUMMYFUNCTION("""COMPUTED_VALUE"""),"19 inch Sport")</f>
        <v>19 inch Sport</v>
      </c>
      <c r="Q3159" s="177" t="str">
        <f>IFERROR(__xludf.DUMMYFUNCTION("""COMPUTED_VALUE"""),"Black seats")</f>
        <v>Black seats</v>
      </c>
      <c r="R3159" s="170" t="str">
        <f>IFERROR(__xludf.DUMMYFUNCTION("""COMPUTED_VALUE"""),"Enhanced Autopilot")</f>
        <v>Enhanced Autopilot</v>
      </c>
      <c r="S3159" s="170"/>
      <c r="T3159" s="179"/>
      <c r="U3159" s="179"/>
      <c r="V3159" s="179"/>
      <c r="W3159" s="180"/>
      <c r="X3159" s="181" t="str">
        <f>IFERROR(__xludf.DUMMYFUNCTION("""COMPUTED_VALUE"""),"Very Good")</f>
        <v>Very Good</v>
      </c>
      <c r="Y3159" s="182" t="str">
        <f>IFERROR(__xludf.DUMMYFUNCTION("""COMPUTED_VALUE"""),"Excellent")</f>
        <v>Excellent</v>
      </c>
      <c r="Z3159" s="182" t="str">
        <f>IFERROR(__xludf.DUMMYFUNCTION("""COMPUTED_VALUE"""),"Excellent")</f>
        <v>Excellent</v>
      </c>
      <c r="AA3159" s="182" t="str">
        <f>IFERROR(__xludf.DUMMYFUNCTION("""COMPUTED_VALUE"""),"Very Good")</f>
        <v>Very Good</v>
      </c>
      <c r="AB3159" s="182" t="str">
        <f>IFERROR(__xludf.DUMMYFUNCTION("""COMPUTED_VALUE"""),"Excellent")</f>
        <v>Excellent</v>
      </c>
      <c r="AC3159" s="183">
        <f>IFERROR(__xludf.DUMMYFUNCTION("""COMPUTED_VALUE"""),0.0)</f>
        <v>0</v>
      </c>
      <c r="AD3159" s="183"/>
      <c r="AE3159" s="183"/>
      <c r="AF3159" s="184"/>
      <c r="AG3159" s="180"/>
      <c r="AH3159" s="185">
        <f>IFERROR(__xludf.DUMMYFUNCTION("""COMPUTED_VALUE"""),43300.349431250004)</f>
        <v>43300.34943</v>
      </c>
      <c r="AI3159" s="182"/>
      <c r="AJ3159" s="182"/>
      <c r="AK3159" s="182"/>
      <c r="AL3159" s="182"/>
    </row>
    <row r="3160" ht="20.25" customHeight="1">
      <c r="A3160" s="169" t="str">
        <f>IFERROR(__xludf.DUMMYFUNCTION("""COMPUTED_VALUE"""),"Off Shore")</f>
        <v>Off Shore</v>
      </c>
      <c r="B3160" s="170" t="str">
        <f>IFERROR(__xludf.DUMMYFUNCTION("""COMPUTED_VALUE"""),"US/Nicaragua")</f>
        <v>US/Nicaragua</v>
      </c>
      <c r="C3160" s="170" t="str">
        <f>IFERROR(__xludf.DUMMYFUNCTION("""COMPUTED_VALUE"""),"WA")</f>
        <v>WA</v>
      </c>
      <c r="D3160" s="170" t="str">
        <f>IFERROR(__xludf.DUMMYFUNCTION("""COMPUTED_VALUE"""),"USA")</f>
        <v>USA</v>
      </c>
      <c r="E3160" s="171">
        <f>IFERROR(__xludf.DUMMYFUNCTION("""COMPUTED_VALUE"""),43278.0)</f>
        <v>43278</v>
      </c>
      <c r="F3160" s="172">
        <f>IFERROR(__xludf.DUMMYFUNCTION("""COMPUTED_VALUE"""),43348.0)</f>
        <v>43348</v>
      </c>
      <c r="G3160" s="173"/>
      <c r="H3160" s="174">
        <f>IFERROR(__xludf.DUMMYFUNCTION("""COMPUTED_VALUE"""),99655.0)</f>
        <v>99655</v>
      </c>
      <c r="I3160" s="175" t="str">
        <f>IFERROR(__xludf.DUMMYFUNCTION("""COMPUTED_VALUE"""),"08/18")</f>
        <v>08/18</v>
      </c>
      <c r="J3160" s="172">
        <f>IFERROR(__xludf.DUMMYFUNCTION("""COMPUTED_VALUE"""),43360.0)</f>
        <v>43360</v>
      </c>
      <c r="K3160" s="176">
        <f>IFERROR(__xludf.DUMMYFUNCTION("""COMPUTED_VALUE"""),70.0)</f>
        <v>70</v>
      </c>
      <c r="L3160" s="176">
        <f>IFERROR(__xludf.DUMMYFUNCTION("""COMPUTED_VALUE"""),12.0)</f>
        <v>12</v>
      </c>
      <c r="M3160" s="176">
        <f>IFERROR(__xludf.DUMMYFUNCTION("""COMPUTED_VALUE"""),82.0)</f>
        <v>82</v>
      </c>
      <c r="N3160" s="177" t="str">
        <f>IFERROR(__xludf.DUMMYFUNCTION("""COMPUTED_VALUE"""),"Model 3 Performance")</f>
        <v>Model 3 Performance</v>
      </c>
      <c r="O3160" s="177" t="str">
        <f>IFERROR(__xludf.DUMMYFUNCTION("""COMPUTED_VALUE"""),"Silver Metallic")</f>
        <v>Silver Metallic</v>
      </c>
      <c r="P3160" s="178" t="str">
        <f>IFERROR(__xludf.DUMMYFUNCTION("""COMPUTED_VALUE"""),"18 inch Aero")</f>
        <v>18 inch Aero</v>
      </c>
      <c r="Q3160" s="177" t="str">
        <f>IFERROR(__xludf.DUMMYFUNCTION("""COMPUTED_VALUE"""),"White seats")</f>
        <v>White seats</v>
      </c>
      <c r="R3160" s="170" t="str">
        <f>IFERROR(__xludf.DUMMYFUNCTION("""COMPUTED_VALUE"""),"Full Self-Driving")</f>
        <v>Full Self-Driving</v>
      </c>
      <c r="S3160" s="170"/>
      <c r="T3160" s="179"/>
      <c r="U3160" s="179"/>
      <c r="V3160" s="179"/>
      <c r="W3160" s="180"/>
      <c r="X3160" s="181" t="str">
        <f>IFERROR(__xludf.DUMMYFUNCTION("""COMPUTED_VALUE"""),"Very Good")</f>
        <v>Very Good</v>
      </c>
      <c r="Y3160" s="182" t="str">
        <f>IFERROR(__xludf.DUMMYFUNCTION("""COMPUTED_VALUE"""),"Excellent")</f>
        <v>Excellent</v>
      </c>
      <c r="Z3160" s="182" t="str">
        <f>IFERROR(__xludf.DUMMYFUNCTION("""COMPUTED_VALUE"""),"Very Good")</f>
        <v>Very Good</v>
      </c>
      <c r="AA3160" s="182" t="str">
        <f>IFERROR(__xludf.DUMMYFUNCTION("""COMPUTED_VALUE"""),"Poor")</f>
        <v>Poor</v>
      </c>
      <c r="AB3160" s="182" t="str">
        <f>IFERROR(__xludf.DUMMYFUNCTION("""COMPUTED_VALUE"""),"Excellent")</f>
        <v>Excellent</v>
      </c>
      <c r="AC3160" s="183">
        <f>IFERROR(__xludf.DUMMYFUNCTION("""COMPUTED_VALUE"""),1.0)</f>
        <v>1</v>
      </c>
      <c r="AD3160" s="183"/>
      <c r="AE3160" s="183"/>
      <c r="AF3160" s="184"/>
      <c r="AG3160" s="180"/>
      <c r="AH3160" s="185">
        <f>IFERROR(__xludf.DUMMYFUNCTION("""COMPUTED_VALUE"""),43360.93893872685)</f>
        <v>43360.93894</v>
      </c>
      <c r="AI3160" s="182"/>
      <c r="AJ3160" s="182"/>
      <c r="AK3160" s="182"/>
      <c r="AL3160" s="182"/>
    </row>
    <row r="3161" ht="20.25" customHeight="1">
      <c r="A3161" s="169" t="str">
        <f>IFERROR(__xludf.DUMMYFUNCTION("""COMPUTED_VALUE"""),"okitsugu")</f>
        <v>okitsugu</v>
      </c>
      <c r="B3161" s="170" t="str">
        <f>IFERROR(__xludf.DUMMYFUNCTION("""COMPUTED_VALUE"""),"Provo")</f>
        <v>Provo</v>
      </c>
      <c r="C3161" s="170" t="str">
        <f>IFERROR(__xludf.DUMMYFUNCTION("""COMPUTED_VALUE"""),"UT")</f>
        <v>UT</v>
      </c>
      <c r="D3161" s="170" t="str">
        <f>IFERROR(__xludf.DUMMYFUNCTION("""COMPUTED_VALUE"""),"USA")</f>
        <v>USA</v>
      </c>
      <c r="E3161" s="171">
        <f>IFERROR(__xludf.DUMMYFUNCTION("""COMPUTED_VALUE"""),43278.0)</f>
        <v>43278</v>
      </c>
      <c r="F3161" s="172">
        <f>IFERROR(__xludf.DUMMYFUNCTION("""COMPUTED_VALUE"""),43340.0)</f>
        <v>43340</v>
      </c>
      <c r="G3161" s="173"/>
      <c r="H3161" s="174">
        <f>IFERROR(__xludf.DUMMYFUNCTION("""COMPUTED_VALUE"""),100135.0)</f>
        <v>100135</v>
      </c>
      <c r="I3161" s="175"/>
      <c r="J3161" s="172">
        <f>IFERROR(__xludf.DUMMYFUNCTION("""COMPUTED_VALUE"""),43354.0)</f>
        <v>43354</v>
      </c>
      <c r="K3161" s="176">
        <f>IFERROR(__xludf.DUMMYFUNCTION("""COMPUTED_VALUE"""),62.0)</f>
        <v>62</v>
      </c>
      <c r="L3161" s="176">
        <f>IFERROR(__xludf.DUMMYFUNCTION("""COMPUTED_VALUE"""),14.0)</f>
        <v>14</v>
      </c>
      <c r="M3161" s="176">
        <f>IFERROR(__xludf.DUMMYFUNCTION("""COMPUTED_VALUE"""),76.0)</f>
        <v>76</v>
      </c>
      <c r="N3161" s="177" t="str">
        <f>IFERROR(__xludf.DUMMYFUNCTION("""COMPUTED_VALUE"""),"Model 3 Performance")</f>
        <v>Model 3 Performance</v>
      </c>
      <c r="O3161" s="177" t="str">
        <f>IFERROR(__xludf.DUMMYFUNCTION("""COMPUTED_VALUE"""),"Pearl White Multi-Coat")</f>
        <v>Pearl White Multi-Coat</v>
      </c>
      <c r="P3161" s="178" t="str">
        <f>IFERROR(__xludf.DUMMYFUNCTION("""COMPUTED_VALUE"""),"18 inch Aero")</f>
        <v>18 inch Aero</v>
      </c>
      <c r="Q3161" s="177" t="str">
        <f>IFERROR(__xludf.DUMMYFUNCTION("""COMPUTED_VALUE"""),"White seats")</f>
        <v>White seats</v>
      </c>
      <c r="R3161" s="170" t="str">
        <f>IFERROR(__xludf.DUMMYFUNCTION("""COMPUTED_VALUE"""),"None")</f>
        <v>None</v>
      </c>
      <c r="S3161" s="170"/>
      <c r="T3161" s="179"/>
      <c r="U3161" s="179"/>
      <c r="V3161" s="179"/>
      <c r="W3161" s="180"/>
      <c r="X3161" s="181" t="str">
        <f>IFERROR(__xludf.DUMMYFUNCTION("""COMPUTED_VALUE"""),"Good")</f>
        <v>Good</v>
      </c>
      <c r="Y3161" s="182" t="str">
        <f>IFERROR(__xludf.DUMMYFUNCTION("""COMPUTED_VALUE"""),"Good")</f>
        <v>Good</v>
      </c>
      <c r="Z3161" s="182" t="str">
        <f>IFERROR(__xludf.DUMMYFUNCTION("""COMPUTED_VALUE"""),"Good")</f>
        <v>Good</v>
      </c>
      <c r="AA3161" s="182" t="str">
        <f>IFERROR(__xludf.DUMMYFUNCTION("""COMPUTED_VALUE"""),"Excellent")</f>
        <v>Excellent</v>
      </c>
      <c r="AB3161" s="182" t="str">
        <f>IFERROR(__xludf.DUMMYFUNCTION("""COMPUTED_VALUE"""),"Poor")</f>
        <v>Poor</v>
      </c>
      <c r="AC3161" s="183">
        <f>IFERROR(__xludf.DUMMYFUNCTION("""COMPUTED_VALUE"""),1.0)</f>
        <v>1</v>
      </c>
      <c r="AD3161" s="183"/>
      <c r="AE3161" s="183"/>
      <c r="AF3161" s="184"/>
      <c r="AG3161" s="180"/>
      <c r="AH3161" s="185">
        <f>IFERROR(__xludf.DUMMYFUNCTION("""COMPUTED_VALUE"""),43354.60230525463)</f>
        <v>43354.60231</v>
      </c>
      <c r="AI3161" s="182"/>
      <c r="AJ3161" s="182"/>
      <c r="AK3161" s="182"/>
      <c r="AL3161" s="182"/>
    </row>
    <row r="3162" ht="20.25" customHeight="1">
      <c r="A3162" s="169" t="str">
        <f>IFERROR(__xludf.DUMMYFUNCTION("""COMPUTED_VALUE"""),"OldNSlo92083")</f>
        <v>OldNSlo92083</v>
      </c>
      <c r="B3162" s="170" t="str">
        <f>IFERROR(__xludf.DUMMYFUNCTION("""COMPUTED_VALUE"""),"San Diego")</f>
        <v>San Diego</v>
      </c>
      <c r="C3162" s="170" t="str">
        <f>IFERROR(__xludf.DUMMYFUNCTION("""COMPUTED_VALUE"""),"CA")</f>
        <v>CA</v>
      </c>
      <c r="D3162" s="170" t="str">
        <f>IFERROR(__xludf.DUMMYFUNCTION("""COMPUTED_VALUE"""),"USA")</f>
        <v>USA</v>
      </c>
      <c r="E3162" s="171">
        <f>IFERROR(__xludf.DUMMYFUNCTION("""COMPUTED_VALUE"""),43278.0)</f>
        <v>43278</v>
      </c>
      <c r="F3162" s="172">
        <f>IFERROR(__xludf.DUMMYFUNCTION("""COMPUTED_VALUE"""),43321.0)</f>
        <v>43321</v>
      </c>
      <c r="G3162" s="173"/>
      <c r="H3162" s="174">
        <f>IFERROR(__xludf.DUMMYFUNCTION("""COMPUTED_VALUE"""),74855.0)</f>
        <v>74855</v>
      </c>
      <c r="I3162" s="175"/>
      <c r="J3162" s="172">
        <f>IFERROR(__xludf.DUMMYFUNCTION("""COMPUTED_VALUE"""),43331.0)</f>
        <v>43331</v>
      </c>
      <c r="K3162" s="176">
        <f>IFERROR(__xludf.DUMMYFUNCTION("""COMPUTED_VALUE"""),43.0)</f>
        <v>43</v>
      </c>
      <c r="L3162" s="176">
        <f>IFERROR(__xludf.DUMMYFUNCTION("""COMPUTED_VALUE"""),10.0)</f>
        <v>10</v>
      </c>
      <c r="M3162" s="176">
        <f>IFERROR(__xludf.DUMMYFUNCTION("""COMPUTED_VALUE"""),53.0)</f>
        <v>53</v>
      </c>
      <c r="N3162" s="177" t="str">
        <f>IFERROR(__xludf.DUMMYFUNCTION("""COMPUTED_VALUE"""),"Model 3 Performance")</f>
        <v>Model 3 Performance</v>
      </c>
      <c r="O3162" s="177" t="str">
        <f>IFERROR(__xludf.DUMMYFUNCTION("""COMPUTED_VALUE"""),"Silver Metallic")</f>
        <v>Silver Metallic</v>
      </c>
      <c r="P3162" s="178" t="str">
        <f>IFERROR(__xludf.DUMMYFUNCTION("""COMPUTED_VALUE"""),"18 inch Aero")</f>
        <v>18 inch Aero</v>
      </c>
      <c r="Q3162" s="177" t="str">
        <f>IFERROR(__xludf.DUMMYFUNCTION("""COMPUTED_VALUE"""),"White seats")</f>
        <v>White seats</v>
      </c>
      <c r="R3162" s="170" t="str">
        <f>IFERROR(__xludf.DUMMYFUNCTION("""COMPUTED_VALUE"""),"Enhanced Autopilot")</f>
        <v>Enhanced Autopilot</v>
      </c>
      <c r="S3162" s="170"/>
      <c r="T3162" s="179"/>
      <c r="U3162" s="179"/>
      <c r="V3162" s="179"/>
      <c r="W3162" s="180"/>
      <c r="X3162" s="181" t="str">
        <f>IFERROR(__xludf.DUMMYFUNCTION("""COMPUTED_VALUE"""),"Excellent")</f>
        <v>Excellent</v>
      </c>
      <c r="Y3162" s="182" t="str">
        <f>IFERROR(__xludf.DUMMYFUNCTION("""COMPUTED_VALUE"""),"Excellent")</f>
        <v>Excellent</v>
      </c>
      <c r="Z3162" s="182" t="str">
        <f>IFERROR(__xludf.DUMMYFUNCTION("""COMPUTED_VALUE"""),"Excellent")</f>
        <v>Excellent</v>
      </c>
      <c r="AA3162" s="182" t="str">
        <f>IFERROR(__xludf.DUMMYFUNCTION("""COMPUTED_VALUE"""),"Very Good")</f>
        <v>Very Good</v>
      </c>
      <c r="AB3162" s="182" t="str">
        <f>IFERROR(__xludf.DUMMYFUNCTION("""COMPUTED_VALUE"""),"Excellent")</f>
        <v>Excellent</v>
      </c>
      <c r="AC3162" s="183"/>
      <c r="AD3162" s="183"/>
      <c r="AE3162" s="183"/>
      <c r="AF3162" s="184"/>
      <c r="AG3162" s="180"/>
      <c r="AH3162" s="185">
        <f>IFERROR(__xludf.DUMMYFUNCTION("""COMPUTED_VALUE"""),43335.41189846065)</f>
        <v>43335.4119</v>
      </c>
      <c r="AI3162" s="182"/>
      <c r="AJ3162" s="182"/>
      <c r="AK3162" s="182"/>
      <c r="AL3162" s="182"/>
    </row>
    <row r="3163" ht="20.25" customHeight="1">
      <c r="A3163" s="169" t="str">
        <f>IFERROR(__xludf.DUMMYFUNCTION("""COMPUTED_VALUE"""),"Oldogishere _")</f>
        <v>Oldogishere _</v>
      </c>
      <c r="B3163" s="170" t="str">
        <f>IFERROR(__xludf.DUMMYFUNCTION("""COMPUTED_VALUE"""),"Akron_")</f>
        <v>Akron_</v>
      </c>
      <c r="C3163" s="170" t="str">
        <f>IFERROR(__xludf.DUMMYFUNCTION("""COMPUTED_VALUE"""),"OH")</f>
        <v>OH</v>
      </c>
      <c r="D3163" s="170" t="str">
        <f>IFERROR(__xludf.DUMMYFUNCTION("""COMPUTED_VALUE"""),"USA")</f>
        <v>USA</v>
      </c>
      <c r="E3163" s="171">
        <f>IFERROR(__xludf.DUMMYFUNCTION("""COMPUTED_VALUE"""),43278.0)</f>
        <v>43278</v>
      </c>
      <c r="F3163" s="172">
        <f>IFERROR(__xludf.DUMMYFUNCTION("""COMPUTED_VALUE"""),43368.0)</f>
        <v>43368</v>
      </c>
      <c r="G3163" s="173"/>
      <c r="H3163" s="174">
        <f>IFERROR(__xludf.DUMMYFUNCTION("""COMPUTED_VALUE"""),100355.0)</f>
        <v>100355</v>
      </c>
      <c r="I3163" s="175" t="str">
        <f>IFERROR(__xludf.DUMMYFUNCTION("""COMPUTED_VALUE"""),"09/18")</f>
        <v>09/18</v>
      </c>
      <c r="J3163" s="172">
        <f>IFERROR(__xludf.DUMMYFUNCTION("""COMPUTED_VALUE"""),43372.0)</f>
        <v>43372</v>
      </c>
      <c r="K3163" s="176">
        <f>IFERROR(__xludf.DUMMYFUNCTION("""COMPUTED_VALUE"""),90.0)</f>
        <v>90</v>
      </c>
      <c r="L3163" s="176">
        <f>IFERROR(__xludf.DUMMYFUNCTION("""COMPUTED_VALUE"""),4.0)</f>
        <v>4</v>
      </c>
      <c r="M3163" s="176">
        <f>IFERROR(__xludf.DUMMYFUNCTION("""COMPUTED_VALUE"""),94.0)</f>
        <v>94</v>
      </c>
      <c r="N3163" s="177" t="str">
        <f>IFERROR(__xludf.DUMMYFUNCTION("""COMPUTED_VALUE"""),"Model 3 LR AWD")</f>
        <v>Model 3 LR AWD</v>
      </c>
      <c r="O3163" s="177" t="str">
        <f>IFERROR(__xludf.DUMMYFUNCTION("""COMPUTED_VALUE"""),"Midnight Silver Metallic")</f>
        <v>Midnight Silver Metallic</v>
      </c>
      <c r="P3163" s="178" t="str">
        <f>IFERROR(__xludf.DUMMYFUNCTION("""COMPUTED_VALUE"""),"19 inch Sport")</f>
        <v>19 inch Sport</v>
      </c>
      <c r="Q3163" s="177" t="str">
        <f>IFERROR(__xludf.DUMMYFUNCTION("""COMPUTED_VALUE"""),"White seats")</f>
        <v>White seats</v>
      </c>
      <c r="R3163" s="170" t="str">
        <f>IFERROR(__xludf.DUMMYFUNCTION("""COMPUTED_VALUE"""),"Full Self-Driving")</f>
        <v>Full Self-Driving</v>
      </c>
      <c r="S3163" s="170"/>
      <c r="T3163" s="179"/>
      <c r="U3163" s="179"/>
      <c r="V3163" s="179"/>
      <c r="W3163" s="180"/>
      <c r="X3163" s="181" t="str">
        <f>IFERROR(__xludf.DUMMYFUNCTION("""COMPUTED_VALUE"""),"Excellent")</f>
        <v>Excellent</v>
      </c>
      <c r="Y3163" s="182" t="str">
        <f>IFERROR(__xludf.DUMMYFUNCTION("""COMPUTED_VALUE"""),"Excellent")</f>
        <v>Excellent</v>
      </c>
      <c r="Z3163" s="182" t="str">
        <f>IFERROR(__xludf.DUMMYFUNCTION("""COMPUTED_VALUE"""),"Excellent")</f>
        <v>Excellent</v>
      </c>
      <c r="AA3163" s="182" t="str">
        <f>IFERROR(__xludf.DUMMYFUNCTION("""COMPUTED_VALUE"""),"Excellent")</f>
        <v>Excellent</v>
      </c>
      <c r="AB3163" s="182" t="str">
        <f>IFERROR(__xludf.DUMMYFUNCTION("""COMPUTED_VALUE"""),"Excellent")</f>
        <v>Excellent</v>
      </c>
      <c r="AC3163" s="183"/>
      <c r="AD3163" s="183"/>
      <c r="AE3163" s="183"/>
      <c r="AF3163" s="184"/>
      <c r="AG3163" s="180" t="str">
        <f>IFERROR(__xludf.DUMMYFUNCTION("""COMPUTED_VALUE"""),"_")</f>
        <v>_</v>
      </c>
      <c r="AH3163" s="185">
        <f>IFERROR(__xludf.DUMMYFUNCTION("""COMPUTED_VALUE"""),43374.21406229167)</f>
        <v>43374.21406</v>
      </c>
      <c r="AI3163" s="182"/>
      <c r="AJ3163" s="182"/>
      <c r="AK3163" s="182"/>
      <c r="AL3163" s="182"/>
    </row>
    <row r="3164" ht="20.25" customHeight="1">
      <c r="A3164" s="169" t="str">
        <f>IFERROR(__xludf.DUMMYFUNCTION("""COMPUTED_VALUE"""),"Oogiechaka")</f>
        <v>Oogiechaka</v>
      </c>
      <c r="B3164" s="170" t="str">
        <f>IFERROR(__xludf.DUMMYFUNCTION("""COMPUTED_VALUE"""),"Bay Area")</f>
        <v>Bay Area</v>
      </c>
      <c r="C3164" s="170" t="str">
        <f>IFERROR(__xludf.DUMMYFUNCTION("""COMPUTED_VALUE"""),"CA")</f>
        <v>CA</v>
      </c>
      <c r="D3164" s="170" t="str">
        <f>IFERROR(__xludf.DUMMYFUNCTION("""COMPUTED_VALUE"""),"USA")</f>
        <v>USA</v>
      </c>
      <c r="E3164" s="171">
        <f>IFERROR(__xludf.DUMMYFUNCTION("""COMPUTED_VALUE"""),43278.0)</f>
        <v>43278</v>
      </c>
      <c r="F3164" s="172">
        <f>IFERROR(__xludf.DUMMYFUNCTION("""COMPUTED_VALUE"""),43284.0)</f>
        <v>43284</v>
      </c>
      <c r="G3164" s="173"/>
      <c r="H3164" s="174">
        <f>IFERROR(__xludf.DUMMYFUNCTION("""COMPUTED_VALUE"""),44185.0)</f>
        <v>44185</v>
      </c>
      <c r="I3164" s="175" t="str">
        <f>IFERROR(__xludf.DUMMYFUNCTION("""COMPUTED_VALUE"""),"06/18")</f>
        <v>06/18</v>
      </c>
      <c r="J3164" s="172">
        <f>IFERROR(__xludf.DUMMYFUNCTION("""COMPUTED_VALUE"""),43289.0)</f>
        <v>43289</v>
      </c>
      <c r="K3164" s="176">
        <f>IFERROR(__xludf.DUMMYFUNCTION("""COMPUTED_VALUE"""),6.0)</f>
        <v>6</v>
      </c>
      <c r="L3164" s="176">
        <f>IFERROR(__xludf.DUMMYFUNCTION("""COMPUTED_VALUE"""),5.0)</f>
        <v>5</v>
      </c>
      <c r="M3164" s="176">
        <f>IFERROR(__xludf.DUMMYFUNCTION("""COMPUTED_VALUE"""),11.0)</f>
        <v>11</v>
      </c>
      <c r="N3164" s="177" t="str">
        <f>IFERROR(__xludf.DUMMYFUNCTION("""COMPUTED_VALUE"""),"Model 3 LR")</f>
        <v>Model 3 LR</v>
      </c>
      <c r="O3164" s="177" t="str">
        <f>IFERROR(__xludf.DUMMYFUNCTION("""COMPUTED_VALUE"""),"Silver Metallic")</f>
        <v>Silver Metallic</v>
      </c>
      <c r="P3164" s="178" t="str">
        <f>IFERROR(__xludf.DUMMYFUNCTION("""COMPUTED_VALUE"""),"18 inch Aero")</f>
        <v>18 inch Aero</v>
      </c>
      <c r="Q3164" s="177" t="str">
        <f>IFERROR(__xludf.DUMMYFUNCTION("""COMPUTED_VALUE"""),"Black seats")</f>
        <v>Black seats</v>
      </c>
      <c r="R3164" s="170" t="str">
        <f>IFERROR(__xludf.DUMMYFUNCTION("""COMPUTED_VALUE"""),"Full Self-Driving")</f>
        <v>Full Self-Driving</v>
      </c>
      <c r="S3164" s="170"/>
      <c r="T3164" s="179"/>
      <c r="U3164" s="179"/>
      <c r="V3164" s="179"/>
      <c r="W3164" s="180"/>
      <c r="X3164" s="181" t="str">
        <f>IFERROR(__xludf.DUMMYFUNCTION("""COMPUTED_VALUE"""),"Excellent")</f>
        <v>Excellent</v>
      </c>
      <c r="Y3164" s="182" t="str">
        <f>IFERROR(__xludf.DUMMYFUNCTION("""COMPUTED_VALUE"""),"Excellent")</f>
        <v>Excellent</v>
      </c>
      <c r="Z3164" s="182" t="str">
        <f>IFERROR(__xludf.DUMMYFUNCTION("""COMPUTED_VALUE"""),"Excellent")</f>
        <v>Excellent</v>
      </c>
      <c r="AA3164" s="182" t="str">
        <f>IFERROR(__xludf.DUMMYFUNCTION("""COMPUTED_VALUE"""),"Excellent")</f>
        <v>Excellent</v>
      </c>
      <c r="AB3164" s="182" t="str">
        <f>IFERROR(__xludf.DUMMYFUNCTION("""COMPUTED_VALUE"""),"Excellent")</f>
        <v>Excellent</v>
      </c>
      <c r="AC3164" s="183"/>
      <c r="AD3164" s="183"/>
      <c r="AE3164" s="183"/>
      <c r="AF3164" s="184"/>
      <c r="AG3164" s="180"/>
      <c r="AH3164" s="185">
        <f>IFERROR(__xludf.DUMMYFUNCTION("""COMPUTED_VALUE"""),43291.556728240736)</f>
        <v>43291.55673</v>
      </c>
      <c r="AI3164" s="182"/>
      <c r="AJ3164" s="182"/>
      <c r="AK3164" s="182"/>
      <c r="AL3164" s="182"/>
    </row>
    <row r="3165" ht="20.25" customHeight="1">
      <c r="A3165" s="169" t="str">
        <f>IFERROR(__xludf.DUMMYFUNCTION("""COMPUTED_VALUE"""),"owlc")</f>
        <v>owlc</v>
      </c>
      <c r="B3165" s="170"/>
      <c r="C3165" s="170" t="str">
        <f>IFERROR(__xludf.DUMMYFUNCTION("""COMPUTED_VALUE"""),"CT")</f>
        <v>CT</v>
      </c>
      <c r="D3165" s="170" t="str">
        <f>IFERROR(__xludf.DUMMYFUNCTION("""COMPUTED_VALUE"""),"USA")</f>
        <v>USA</v>
      </c>
      <c r="E3165" s="171">
        <f>IFERROR(__xludf.DUMMYFUNCTION("""COMPUTED_VALUE"""),43278.0)</f>
        <v>43278</v>
      </c>
      <c r="F3165" s="172">
        <f>IFERROR(__xludf.DUMMYFUNCTION("""COMPUTED_VALUE"""),43378.0)</f>
        <v>43378</v>
      </c>
      <c r="G3165" s="173"/>
      <c r="H3165" s="174">
        <f>IFERROR(__xludf.DUMMYFUNCTION("""COMPUTED_VALUE"""),117455.0)</f>
        <v>117455</v>
      </c>
      <c r="I3165" s="175" t="str">
        <f>IFERROR(__xludf.DUMMYFUNCTION("""COMPUTED_VALUE"""),"10/18")</f>
        <v>10/18</v>
      </c>
      <c r="J3165" s="172">
        <f>IFERROR(__xludf.DUMMYFUNCTION("""COMPUTED_VALUE"""),43395.0)</f>
        <v>43395</v>
      </c>
      <c r="K3165" s="176">
        <f>IFERROR(__xludf.DUMMYFUNCTION("""COMPUTED_VALUE"""),100.0)</f>
        <v>100</v>
      </c>
      <c r="L3165" s="176">
        <f>IFERROR(__xludf.DUMMYFUNCTION("""COMPUTED_VALUE"""),17.0)</f>
        <v>17</v>
      </c>
      <c r="M3165" s="176">
        <f>IFERROR(__xludf.DUMMYFUNCTION("""COMPUTED_VALUE"""),117.0)</f>
        <v>117</v>
      </c>
      <c r="N3165" s="177" t="str">
        <f>IFERROR(__xludf.DUMMYFUNCTION("""COMPUTED_VALUE"""),"Model 3 LR AWD")</f>
        <v>Model 3 LR AWD</v>
      </c>
      <c r="O3165" s="177" t="str">
        <f>IFERROR(__xludf.DUMMYFUNCTION("""COMPUTED_VALUE"""),"Deep Blue Metallic")</f>
        <v>Deep Blue Metallic</v>
      </c>
      <c r="P3165" s="178" t="str">
        <f>IFERROR(__xludf.DUMMYFUNCTION("""COMPUTED_VALUE"""),"19 inch Sport")</f>
        <v>19 inch Sport</v>
      </c>
      <c r="Q3165" s="177" t="str">
        <f>IFERROR(__xludf.DUMMYFUNCTION("""COMPUTED_VALUE"""),"Black seats")</f>
        <v>Black seats</v>
      </c>
      <c r="R3165" s="170" t="str">
        <f>IFERROR(__xludf.DUMMYFUNCTION("""COMPUTED_VALUE"""),"Full Self-Driving")</f>
        <v>Full Self-Driving</v>
      </c>
      <c r="S3165" s="170"/>
      <c r="T3165" s="179"/>
      <c r="U3165" s="179"/>
      <c r="V3165" s="179"/>
      <c r="W3165" s="180"/>
      <c r="X3165" s="181" t="str">
        <f>IFERROR(__xludf.DUMMYFUNCTION("""COMPUTED_VALUE"""),"Very Good")</f>
        <v>Very Good</v>
      </c>
      <c r="Y3165" s="182" t="str">
        <f>IFERROR(__xludf.DUMMYFUNCTION("""COMPUTED_VALUE"""),"Good")</f>
        <v>Good</v>
      </c>
      <c r="Z3165" s="182" t="str">
        <f>IFERROR(__xludf.DUMMYFUNCTION("""COMPUTED_VALUE"""),"Good")</f>
        <v>Good</v>
      </c>
      <c r="AA3165" s="182" t="str">
        <f>IFERROR(__xludf.DUMMYFUNCTION("""COMPUTED_VALUE"""),"Poor")</f>
        <v>Poor</v>
      </c>
      <c r="AB3165" s="182" t="str">
        <f>IFERROR(__xludf.DUMMYFUNCTION("""COMPUTED_VALUE"""),"Poor")</f>
        <v>Poor</v>
      </c>
      <c r="AC3165" s="183">
        <f>IFERROR(__xludf.DUMMYFUNCTION("""COMPUTED_VALUE"""),3.0)</f>
        <v>3</v>
      </c>
      <c r="AD3165" s="183"/>
      <c r="AE3165" s="183"/>
      <c r="AF3165" s="184"/>
      <c r="AG3165" s="180"/>
      <c r="AH3165" s="185">
        <f>IFERROR(__xludf.DUMMYFUNCTION("""COMPUTED_VALUE"""),43396.512993055556)</f>
        <v>43396.51299</v>
      </c>
      <c r="AI3165" s="182"/>
      <c r="AJ3165" s="182"/>
      <c r="AK3165" s="182"/>
      <c r="AL3165" s="182"/>
    </row>
    <row r="3166" ht="20.25" customHeight="1">
      <c r="A3166" s="169" t="str">
        <f>IFERROR(__xludf.DUMMYFUNCTION("""COMPUTED_VALUE"""),"Ozone")</f>
        <v>Ozone</v>
      </c>
      <c r="B3166" s="170" t="str">
        <f>IFERROR(__xludf.DUMMYFUNCTION("""COMPUTED_VALUE"""),"Louisville")</f>
        <v>Louisville</v>
      </c>
      <c r="C3166" s="170" t="str">
        <f>IFERROR(__xludf.DUMMYFUNCTION("""COMPUTED_VALUE"""),"CO")</f>
        <v>CO</v>
      </c>
      <c r="D3166" s="170" t="str">
        <f>IFERROR(__xludf.DUMMYFUNCTION("""COMPUTED_VALUE"""),"USA")</f>
        <v>USA</v>
      </c>
      <c r="E3166" s="171">
        <f>IFERROR(__xludf.DUMMYFUNCTION("""COMPUTED_VALUE"""),43278.0)</f>
        <v>43278</v>
      </c>
      <c r="F3166" s="172">
        <f>IFERROR(__xludf.DUMMYFUNCTION("""COMPUTED_VALUE"""),43321.0)</f>
        <v>43321</v>
      </c>
      <c r="G3166" s="173"/>
      <c r="H3166" s="174">
        <f>IFERROR(__xludf.DUMMYFUNCTION("""COMPUTED_VALUE"""),67355.0)</f>
        <v>67355</v>
      </c>
      <c r="I3166" s="175" t="str">
        <f>IFERROR(__xludf.DUMMYFUNCTION("""COMPUTED_VALUE"""),"08/18")</f>
        <v>08/18</v>
      </c>
      <c r="J3166" s="172">
        <f>IFERROR(__xludf.DUMMYFUNCTION("""COMPUTED_VALUE"""),43329.0)</f>
        <v>43329</v>
      </c>
      <c r="K3166" s="176">
        <f>IFERROR(__xludf.DUMMYFUNCTION("""COMPUTED_VALUE"""),43.0)</f>
        <v>43</v>
      </c>
      <c r="L3166" s="176">
        <f>IFERROR(__xludf.DUMMYFUNCTION("""COMPUTED_VALUE"""),8.0)</f>
        <v>8</v>
      </c>
      <c r="M3166" s="176">
        <f>IFERROR(__xludf.DUMMYFUNCTION("""COMPUTED_VALUE"""),51.0)</f>
        <v>51</v>
      </c>
      <c r="N3166" s="177" t="str">
        <f>IFERROR(__xludf.DUMMYFUNCTION("""COMPUTED_VALUE"""),"Model 3 LR AWD")</f>
        <v>Model 3 LR AWD</v>
      </c>
      <c r="O3166" s="177" t="str">
        <f>IFERROR(__xludf.DUMMYFUNCTION("""COMPUTED_VALUE"""),"Solid Black")</f>
        <v>Solid Black</v>
      </c>
      <c r="P3166" s="178" t="str">
        <f>IFERROR(__xludf.DUMMYFUNCTION("""COMPUTED_VALUE"""),"19 inch Sport")</f>
        <v>19 inch Sport</v>
      </c>
      <c r="Q3166" s="177" t="str">
        <f>IFERROR(__xludf.DUMMYFUNCTION("""COMPUTED_VALUE"""),"Black seats")</f>
        <v>Black seats</v>
      </c>
      <c r="R3166" s="170" t="str">
        <f>IFERROR(__xludf.DUMMYFUNCTION("""COMPUTED_VALUE"""),"Full Self-Driving")</f>
        <v>Full Self-Driving</v>
      </c>
      <c r="S3166" s="170"/>
      <c r="T3166" s="179"/>
      <c r="U3166" s="179"/>
      <c r="V3166" s="179"/>
      <c r="W3166" s="180"/>
      <c r="X3166" s="181" t="str">
        <f>IFERROR(__xludf.DUMMYFUNCTION("""COMPUTED_VALUE"""),"Very Good")</f>
        <v>Very Good</v>
      </c>
      <c r="Y3166" s="182" t="str">
        <f>IFERROR(__xludf.DUMMYFUNCTION("""COMPUTED_VALUE"""),"Excellent")</f>
        <v>Excellent</v>
      </c>
      <c r="Z3166" s="182" t="str">
        <f>IFERROR(__xludf.DUMMYFUNCTION("""COMPUTED_VALUE"""),"Excellent")</f>
        <v>Excellent</v>
      </c>
      <c r="AA3166" s="182" t="str">
        <f>IFERROR(__xludf.DUMMYFUNCTION("""COMPUTED_VALUE"""),"Very Good")</f>
        <v>Very Good</v>
      </c>
      <c r="AB3166" s="182" t="str">
        <f>IFERROR(__xludf.DUMMYFUNCTION("""COMPUTED_VALUE"""),"Very Good")</f>
        <v>Very Good</v>
      </c>
      <c r="AC3166" s="183">
        <f>IFERROR(__xludf.DUMMYFUNCTION("""COMPUTED_VALUE"""),0.0)</f>
        <v>0</v>
      </c>
      <c r="AD3166" s="183">
        <f>IFERROR(__xludf.DUMMYFUNCTION("""COMPUTED_VALUE"""),0.0)</f>
        <v>0</v>
      </c>
      <c r="AE3166" s="183">
        <f>IFERROR(__xludf.DUMMYFUNCTION("""COMPUTED_VALUE"""),0.0)</f>
        <v>0</v>
      </c>
      <c r="AF3166" s="184"/>
      <c r="AG3166" s="180"/>
      <c r="AH3166" s="185">
        <f>IFERROR(__xludf.DUMMYFUNCTION("""COMPUTED_VALUE"""),43333.71454359954)</f>
        <v>43333.71454</v>
      </c>
      <c r="AI3166" s="182"/>
      <c r="AJ3166" s="182"/>
      <c r="AK3166" s="182"/>
      <c r="AL3166" s="182"/>
    </row>
    <row r="3167" ht="20.25" customHeight="1">
      <c r="A3167" s="169" t="str">
        <f>IFERROR(__xludf.DUMMYFUNCTION("""COMPUTED_VALUE"""),"pbtesla")</f>
        <v>pbtesla</v>
      </c>
      <c r="B3167" s="170" t="str">
        <f>IFERROR(__xludf.DUMMYFUNCTION("""COMPUTED_VALUE"""),"Portland")</f>
        <v>Portland</v>
      </c>
      <c r="C3167" s="170" t="str">
        <f>IFERROR(__xludf.DUMMYFUNCTION("""COMPUTED_VALUE"""),"OR")</f>
        <v>OR</v>
      </c>
      <c r="D3167" s="170" t="str">
        <f>IFERROR(__xludf.DUMMYFUNCTION("""COMPUTED_VALUE"""),"USA")</f>
        <v>USA</v>
      </c>
      <c r="E3167" s="171">
        <f>IFERROR(__xludf.DUMMYFUNCTION("""COMPUTED_VALUE"""),43278.0)</f>
        <v>43278</v>
      </c>
      <c r="F3167" s="172">
        <f>IFERROR(__xludf.DUMMYFUNCTION("""COMPUTED_VALUE"""),43329.0)</f>
        <v>43329</v>
      </c>
      <c r="G3167" s="173"/>
      <c r="H3167" s="174">
        <f>IFERROR(__xludf.DUMMYFUNCTION("""COMPUTED_VALUE"""),64355.0)</f>
        <v>64355</v>
      </c>
      <c r="I3167" s="175" t="str">
        <f>IFERROR(__xludf.DUMMYFUNCTION("""COMPUTED_VALUE"""),"08/18")</f>
        <v>08/18</v>
      </c>
      <c r="J3167" s="172">
        <f>IFERROR(__xludf.DUMMYFUNCTION("""COMPUTED_VALUE"""),43334.0)</f>
        <v>43334</v>
      </c>
      <c r="K3167" s="176">
        <f>IFERROR(__xludf.DUMMYFUNCTION("""COMPUTED_VALUE"""),51.0)</f>
        <v>51</v>
      </c>
      <c r="L3167" s="176">
        <f>IFERROR(__xludf.DUMMYFUNCTION("""COMPUTED_VALUE"""),5.0)</f>
        <v>5</v>
      </c>
      <c r="M3167" s="176">
        <f>IFERROR(__xludf.DUMMYFUNCTION("""COMPUTED_VALUE"""),56.0)</f>
        <v>56</v>
      </c>
      <c r="N3167" s="177" t="str">
        <f>IFERROR(__xludf.DUMMYFUNCTION("""COMPUTED_VALUE"""),"Model 3 LR AWD")</f>
        <v>Model 3 LR AWD</v>
      </c>
      <c r="O3167" s="177" t="str">
        <f>IFERROR(__xludf.DUMMYFUNCTION("""COMPUTED_VALUE"""),"Deep Blue Metallic")</f>
        <v>Deep Blue Metallic</v>
      </c>
      <c r="P3167" s="178" t="str">
        <f>IFERROR(__xludf.DUMMYFUNCTION("""COMPUTED_VALUE"""),"18 inch Aero")</f>
        <v>18 inch Aero</v>
      </c>
      <c r="Q3167" s="177" t="str">
        <f>IFERROR(__xludf.DUMMYFUNCTION("""COMPUTED_VALUE"""),"Black seats")</f>
        <v>Black seats</v>
      </c>
      <c r="R3167" s="170" t="str">
        <f>IFERROR(__xludf.DUMMYFUNCTION("""COMPUTED_VALUE"""),"Enhanced Autopilot")</f>
        <v>Enhanced Autopilot</v>
      </c>
      <c r="S3167" s="170"/>
      <c r="T3167" s="179"/>
      <c r="U3167" s="179"/>
      <c r="V3167" s="179"/>
      <c r="W3167" s="180"/>
      <c r="X3167" s="181"/>
      <c r="Y3167" s="182"/>
      <c r="Z3167" s="182"/>
      <c r="AA3167" s="182" t="str">
        <f>IFERROR(__xludf.DUMMYFUNCTION("""COMPUTED_VALUE"""),"Good")</f>
        <v>Good</v>
      </c>
      <c r="AB3167" s="182" t="str">
        <f>IFERROR(__xludf.DUMMYFUNCTION("""COMPUTED_VALUE"""),"Very Good")</f>
        <v>Very Good</v>
      </c>
      <c r="AC3167" s="183"/>
      <c r="AD3167" s="183"/>
      <c r="AE3167" s="183"/>
      <c r="AF3167" s="184"/>
      <c r="AG3167" s="180"/>
      <c r="AH3167" s="185">
        <f>IFERROR(__xludf.DUMMYFUNCTION("""COMPUTED_VALUE"""),43334.72868494213)</f>
        <v>43334.72868</v>
      </c>
      <c r="AI3167" s="182"/>
      <c r="AJ3167" s="182"/>
      <c r="AK3167" s="182"/>
      <c r="AL3167" s="182"/>
    </row>
    <row r="3168" ht="20.25" customHeight="1">
      <c r="A3168" s="169" t="str">
        <f>IFERROR(__xludf.DUMMYFUNCTION("""COMPUTED_VALUE"""),"pi314")</f>
        <v>pi314</v>
      </c>
      <c r="B3168" s="170" t="str">
        <f>IFERROR(__xludf.DUMMYFUNCTION("""COMPUTED_VALUE"""),"Burlington")</f>
        <v>Burlington</v>
      </c>
      <c r="C3168" s="170" t="str">
        <f>IFERROR(__xludf.DUMMYFUNCTION("""COMPUTED_VALUE"""),"MA")</f>
        <v>MA</v>
      </c>
      <c r="D3168" s="170" t="str">
        <f>IFERROR(__xludf.DUMMYFUNCTION("""COMPUTED_VALUE"""),"USA")</f>
        <v>USA</v>
      </c>
      <c r="E3168" s="171">
        <f>IFERROR(__xludf.DUMMYFUNCTION("""COMPUTED_VALUE"""),43278.0)</f>
        <v>43278</v>
      </c>
      <c r="F3168" s="172"/>
      <c r="G3168" s="173"/>
      <c r="H3168" s="174">
        <f>IFERROR(__xludf.DUMMYFUNCTION("""COMPUTED_VALUE"""),63555.0)</f>
        <v>63555</v>
      </c>
      <c r="I3168" s="175"/>
      <c r="J3168" s="172">
        <f>IFERROR(__xludf.DUMMYFUNCTION("""COMPUTED_VALUE"""),43353.0)</f>
        <v>43353</v>
      </c>
      <c r="K3168" s="176"/>
      <c r="L3168" s="176"/>
      <c r="M3168" s="176">
        <f>IFERROR(__xludf.DUMMYFUNCTION("""COMPUTED_VALUE"""),75.0)</f>
        <v>75</v>
      </c>
      <c r="N3168" s="177" t="str">
        <f>IFERROR(__xludf.DUMMYFUNCTION("""COMPUTED_VALUE"""),"Model 3 LR AWD")</f>
        <v>Model 3 LR AWD</v>
      </c>
      <c r="O3168" s="177" t="str">
        <f>IFERROR(__xludf.DUMMYFUNCTION("""COMPUTED_VALUE"""),"Deep Blue Metallic")</f>
        <v>Deep Blue Metallic</v>
      </c>
      <c r="P3168" s="178" t="str">
        <f>IFERROR(__xludf.DUMMYFUNCTION("""COMPUTED_VALUE"""),"18 inch Aero")</f>
        <v>18 inch Aero</v>
      </c>
      <c r="Q3168" s="177" t="str">
        <f>IFERROR(__xludf.DUMMYFUNCTION("""COMPUTED_VALUE"""),"Black seats")</f>
        <v>Black seats</v>
      </c>
      <c r="R3168" s="170" t="str">
        <f>IFERROR(__xludf.DUMMYFUNCTION("""COMPUTED_VALUE"""),"Enhanced Autopilot")</f>
        <v>Enhanced Autopilot</v>
      </c>
      <c r="S3168" s="170"/>
      <c r="T3168" s="179"/>
      <c r="U3168" s="179"/>
      <c r="V3168" s="179"/>
      <c r="W3168" s="180"/>
      <c r="X3168" s="181" t="str">
        <f>IFERROR(__xludf.DUMMYFUNCTION("""COMPUTED_VALUE"""),"Very Good")</f>
        <v>Very Good</v>
      </c>
      <c r="Y3168" s="182" t="str">
        <f>IFERROR(__xludf.DUMMYFUNCTION("""COMPUTED_VALUE"""),"Very Good")</f>
        <v>Very Good</v>
      </c>
      <c r="Z3168" s="182" t="str">
        <f>IFERROR(__xludf.DUMMYFUNCTION("""COMPUTED_VALUE"""),"Excellent")</f>
        <v>Excellent</v>
      </c>
      <c r="AA3168" s="182" t="str">
        <f>IFERROR(__xludf.DUMMYFUNCTION("""COMPUTED_VALUE"""),"Good")</f>
        <v>Good</v>
      </c>
      <c r="AB3168" s="182" t="str">
        <f>IFERROR(__xludf.DUMMYFUNCTION("""COMPUTED_VALUE"""),"Very Good")</f>
        <v>Very Good</v>
      </c>
      <c r="AC3168" s="183"/>
      <c r="AD3168" s="183"/>
      <c r="AE3168" s="183"/>
      <c r="AF3168" s="184"/>
      <c r="AG3168" s="180"/>
      <c r="AH3168" s="185">
        <f>IFERROR(__xludf.DUMMYFUNCTION("""COMPUTED_VALUE"""),43353.462439537034)</f>
        <v>43353.46244</v>
      </c>
      <c r="AI3168" s="182"/>
      <c r="AJ3168" s="182"/>
      <c r="AK3168" s="182"/>
      <c r="AL3168" s="182"/>
    </row>
    <row r="3169" ht="20.25" customHeight="1">
      <c r="A3169" s="169" t="str">
        <f>IFERROR(__xludf.DUMMYFUNCTION("""COMPUTED_VALUE"""),"pjkad")</f>
        <v>pjkad</v>
      </c>
      <c r="B3169" s="170" t="str">
        <f>IFERROR(__xludf.DUMMYFUNCTION("""COMPUTED_VALUE"""),"Piermont")</f>
        <v>Piermont</v>
      </c>
      <c r="C3169" s="170" t="str">
        <f>IFERROR(__xludf.DUMMYFUNCTION("""COMPUTED_VALUE"""),"NY")</f>
        <v>NY</v>
      </c>
      <c r="D3169" s="170" t="str">
        <f>IFERROR(__xludf.DUMMYFUNCTION("""COMPUTED_VALUE"""),"USA")</f>
        <v>USA</v>
      </c>
      <c r="E3169" s="171">
        <f>IFERROR(__xludf.DUMMYFUNCTION("""COMPUTED_VALUE"""),43278.0)</f>
        <v>43278</v>
      </c>
      <c r="F3169" s="172">
        <f>IFERROR(__xludf.DUMMYFUNCTION("""COMPUTED_VALUE"""),43361.0)</f>
        <v>43361</v>
      </c>
      <c r="G3169" s="173"/>
      <c r="H3169" s="174">
        <f>IFERROR(__xludf.DUMMYFUNCTION("""COMPUTED_VALUE"""),70685.0)</f>
        <v>70685</v>
      </c>
      <c r="I3169" s="175"/>
      <c r="J3169" s="172">
        <f>IFERROR(__xludf.DUMMYFUNCTION("""COMPUTED_VALUE"""),43363.0)</f>
        <v>43363</v>
      </c>
      <c r="K3169" s="176">
        <f>IFERROR(__xludf.DUMMYFUNCTION("""COMPUTED_VALUE"""),83.0)</f>
        <v>83</v>
      </c>
      <c r="L3169" s="176">
        <f>IFERROR(__xludf.DUMMYFUNCTION("""COMPUTED_VALUE"""),2.0)</f>
        <v>2</v>
      </c>
      <c r="M3169" s="176">
        <f>IFERROR(__xludf.DUMMYFUNCTION("""COMPUTED_VALUE"""),85.0)</f>
        <v>85</v>
      </c>
      <c r="N3169" s="177" t="str">
        <f>IFERROR(__xludf.DUMMYFUNCTION("""COMPUTED_VALUE"""),"Model 3 LR AWD")</f>
        <v>Model 3 LR AWD</v>
      </c>
      <c r="O3169" s="177" t="str">
        <f>IFERROR(__xludf.DUMMYFUNCTION("""COMPUTED_VALUE"""),"Obsidian Black Metallic")</f>
        <v>Obsidian Black Metallic</v>
      </c>
      <c r="P3169" s="178" t="str">
        <f>IFERROR(__xludf.DUMMYFUNCTION("""COMPUTED_VALUE"""),"18 inch Aero")</f>
        <v>18 inch Aero</v>
      </c>
      <c r="Q3169" s="177" t="str">
        <f>IFERROR(__xludf.DUMMYFUNCTION("""COMPUTED_VALUE"""),"Black seats")</f>
        <v>Black seats</v>
      </c>
      <c r="R3169" s="170" t="str">
        <f>IFERROR(__xludf.DUMMYFUNCTION("""COMPUTED_VALUE"""),"Enhanced Autopilot")</f>
        <v>Enhanced Autopilot</v>
      </c>
      <c r="S3169" s="170"/>
      <c r="T3169" s="179"/>
      <c r="U3169" s="179"/>
      <c r="V3169" s="179"/>
      <c r="W3169" s="180"/>
      <c r="X3169" s="181" t="str">
        <f>IFERROR(__xludf.DUMMYFUNCTION("""COMPUTED_VALUE"""),"Good")</f>
        <v>Good</v>
      </c>
      <c r="Y3169" s="182" t="str">
        <f>IFERROR(__xludf.DUMMYFUNCTION("""COMPUTED_VALUE"""),"Very Good")</f>
        <v>Very Good</v>
      </c>
      <c r="Z3169" s="182" t="str">
        <f>IFERROR(__xludf.DUMMYFUNCTION("""COMPUTED_VALUE"""),"Very Good")</f>
        <v>Very Good</v>
      </c>
      <c r="AA3169" s="182" t="str">
        <f>IFERROR(__xludf.DUMMYFUNCTION("""COMPUTED_VALUE"""),"Excellent")</f>
        <v>Excellent</v>
      </c>
      <c r="AB3169" s="182" t="str">
        <f>IFERROR(__xludf.DUMMYFUNCTION("""COMPUTED_VALUE"""),"Excellent")</f>
        <v>Excellent</v>
      </c>
      <c r="AC3169" s="183">
        <f>IFERROR(__xludf.DUMMYFUNCTION("""COMPUTED_VALUE"""),1.0)</f>
        <v>1</v>
      </c>
      <c r="AD3169" s="183"/>
      <c r="AE3169" s="183"/>
      <c r="AF3169" s="184"/>
      <c r="AG3169" s="180"/>
      <c r="AH3169" s="185">
        <f>IFERROR(__xludf.DUMMYFUNCTION("""COMPUTED_VALUE"""),43369.34254879629)</f>
        <v>43369.34255</v>
      </c>
      <c r="AI3169" s="182"/>
      <c r="AJ3169" s="182"/>
      <c r="AK3169" s="182"/>
      <c r="AL3169" s="182"/>
    </row>
    <row r="3170" ht="20.25" customHeight="1">
      <c r="A3170" s="169" t="str">
        <f>IFERROR(__xludf.DUMMYFUNCTION("""COMPUTED_VALUE"""),"Pneumos")</f>
        <v>Pneumos</v>
      </c>
      <c r="B3170" s="170"/>
      <c r="C3170" s="170" t="str">
        <f>IFERROR(__xludf.DUMMYFUNCTION("""COMPUTED_VALUE"""),"TX")</f>
        <v>TX</v>
      </c>
      <c r="D3170" s="170" t="str">
        <f>IFERROR(__xludf.DUMMYFUNCTION("""COMPUTED_VALUE"""),"USA")</f>
        <v>USA</v>
      </c>
      <c r="E3170" s="171">
        <f>IFERROR(__xludf.DUMMYFUNCTION("""COMPUTED_VALUE"""),43278.0)</f>
        <v>43278</v>
      </c>
      <c r="F3170" s="172">
        <f>IFERROR(__xludf.DUMMYFUNCTION("""COMPUTED_VALUE"""),43324.0)</f>
        <v>43324</v>
      </c>
      <c r="G3170" s="173"/>
      <c r="H3170" s="174">
        <f>IFERROR(__xludf.DUMMYFUNCTION("""COMPUTED_VALUE"""),59239.0)</f>
        <v>59239</v>
      </c>
      <c r="I3170" s="175"/>
      <c r="J3170" s="172">
        <f>IFERROR(__xludf.DUMMYFUNCTION("""COMPUTED_VALUE"""),43348.0)</f>
        <v>43348</v>
      </c>
      <c r="K3170" s="176">
        <f>IFERROR(__xludf.DUMMYFUNCTION("""COMPUTED_VALUE"""),46.0)</f>
        <v>46</v>
      </c>
      <c r="L3170" s="176">
        <f>IFERROR(__xludf.DUMMYFUNCTION("""COMPUTED_VALUE"""),24.0)</f>
        <v>24</v>
      </c>
      <c r="M3170" s="176">
        <f>IFERROR(__xludf.DUMMYFUNCTION("""COMPUTED_VALUE"""),70.0)</f>
        <v>70</v>
      </c>
      <c r="N3170" s="177" t="str">
        <f>IFERROR(__xludf.DUMMYFUNCTION("""COMPUTED_VALUE"""),"Model 3 LR")</f>
        <v>Model 3 LR</v>
      </c>
      <c r="O3170" s="177" t="str">
        <f>IFERROR(__xludf.DUMMYFUNCTION("""COMPUTED_VALUE"""),"Deep Blue Metallic")</f>
        <v>Deep Blue Metallic</v>
      </c>
      <c r="P3170" s="178" t="str">
        <f>IFERROR(__xludf.DUMMYFUNCTION("""COMPUTED_VALUE"""),"18 inch Aero")</f>
        <v>18 inch Aero</v>
      </c>
      <c r="Q3170" s="177" t="str">
        <f>IFERROR(__xludf.DUMMYFUNCTION("""COMPUTED_VALUE"""),"Black seats")</f>
        <v>Black seats</v>
      </c>
      <c r="R3170" s="170" t="str">
        <f>IFERROR(__xludf.DUMMYFUNCTION("""COMPUTED_VALUE"""),"Full Self-Driving")</f>
        <v>Full Self-Driving</v>
      </c>
      <c r="S3170" s="170"/>
      <c r="T3170" s="179"/>
      <c r="U3170" s="179"/>
      <c r="V3170" s="179"/>
      <c r="W3170" s="180"/>
      <c r="X3170" s="181" t="str">
        <f>IFERROR(__xludf.DUMMYFUNCTION("""COMPUTED_VALUE"""),"Very Good")</f>
        <v>Very Good</v>
      </c>
      <c r="Y3170" s="182" t="str">
        <f>IFERROR(__xludf.DUMMYFUNCTION("""COMPUTED_VALUE"""),"Very Good")</f>
        <v>Very Good</v>
      </c>
      <c r="Z3170" s="182" t="str">
        <f>IFERROR(__xludf.DUMMYFUNCTION("""COMPUTED_VALUE"""),"Fair")</f>
        <v>Fair</v>
      </c>
      <c r="AA3170" s="182" t="str">
        <f>IFERROR(__xludf.DUMMYFUNCTION("""COMPUTED_VALUE"""),"Poor")</f>
        <v>Poor</v>
      </c>
      <c r="AB3170" s="182" t="str">
        <f>IFERROR(__xludf.DUMMYFUNCTION("""COMPUTED_VALUE"""),"Good")</f>
        <v>Good</v>
      </c>
      <c r="AC3170" s="183">
        <f>IFERROR(__xludf.DUMMYFUNCTION("""COMPUTED_VALUE"""),0.0)</f>
        <v>0</v>
      </c>
      <c r="AD3170" s="183">
        <f>IFERROR(__xludf.DUMMYFUNCTION("""COMPUTED_VALUE"""),0.0)</f>
        <v>0</v>
      </c>
      <c r="AE3170" s="183">
        <f>IFERROR(__xludf.DUMMYFUNCTION("""COMPUTED_VALUE"""),0.0)</f>
        <v>0</v>
      </c>
      <c r="AF3170" s="184"/>
      <c r="AG3170" s="180"/>
      <c r="AH3170" s="185">
        <f>IFERROR(__xludf.DUMMYFUNCTION("""COMPUTED_VALUE"""),43352.21785770833)</f>
        <v>43352.21786</v>
      </c>
      <c r="AI3170" s="182"/>
      <c r="AJ3170" s="182"/>
      <c r="AK3170" s="182"/>
      <c r="AL3170" s="182"/>
    </row>
    <row r="3171" ht="20.25" customHeight="1">
      <c r="A3171" s="169" t="str">
        <f>IFERROR(__xludf.DUMMYFUNCTION("""COMPUTED_VALUE"""),"pr0927")</f>
        <v>pr0927</v>
      </c>
      <c r="B3171" s="170" t="str">
        <f>IFERROR(__xludf.DUMMYFUNCTION("""COMPUTED_VALUE"""),"Santa Ana")</f>
        <v>Santa Ana</v>
      </c>
      <c r="C3171" s="170" t="str">
        <f>IFERROR(__xludf.DUMMYFUNCTION("""COMPUTED_VALUE"""),"CA")</f>
        <v>CA</v>
      </c>
      <c r="D3171" s="170" t="str">
        <f>IFERROR(__xludf.DUMMYFUNCTION("""COMPUTED_VALUE"""),"USA")</f>
        <v>USA</v>
      </c>
      <c r="E3171" s="171">
        <f>IFERROR(__xludf.DUMMYFUNCTION("""COMPUTED_VALUE"""),43278.0)</f>
        <v>43278</v>
      </c>
      <c r="F3171" s="172">
        <f>IFERROR(__xludf.DUMMYFUNCTION("""COMPUTED_VALUE"""),43284.0)</f>
        <v>43284</v>
      </c>
      <c r="G3171" s="173"/>
      <c r="H3171" s="174">
        <f>IFERROR(__xludf.DUMMYFUNCTION("""COMPUTED_VALUE"""),34645.0)</f>
        <v>34645</v>
      </c>
      <c r="I3171" s="175" t="str">
        <f>IFERROR(__xludf.DUMMYFUNCTION("""COMPUTED_VALUE"""),"06/18")</f>
        <v>06/18</v>
      </c>
      <c r="J3171" s="172">
        <f>IFERROR(__xludf.DUMMYFUNCTION("""COMPUTED_VALUE"""),43290.0)</f>
        <v>43290</v>
      </c>
      <c r="K3171" s="176">
        <f>IFERROR(__xludf.DUMMYFUNCTION("""COMPUTED_VALUE"""),6.0)</f>
        <v>6</v>
      </c>
      <c r="L3171" s="176">
        <f>IFERROR(__xludf.DUMMYFUNCTION("""COMPUTED_VALUE"""),6.0)</f>
        <v>6</v>
      </c>
      <c r="M3171" s="176">
        <f>IFERROR(__xludf.DUMMYFUNCTION("""COMPUTED_VALUE"""),12.0)</f>
        <v>12</v>
      </c>
      <c r="N3171" s="177" t="str">
        <f>IFERROR(__xludf.DUMMYFUNCTION("""COMPUTED_VALUE"""),"Model 3 LR")</f>
        <v>Model 3 LR</v>
      </c>
      <c r="O3171" s="177" t="str">
        <f>IFERROR(__xludf.DUMMYFUNCTION("""COMPUTED_VALUE"""),"Midnight Silver Metallic")</f>
        <v>Midnight Silver Metallic</v>
      </c>
      <c r="P3171" s="178" t="str">
        <f>IFERROR(__xludf.DUMMYFUNCTION("""COMPUTED_VALUE"""),"18 inch Aero")</f>
        <v>18 inch Aero</v>
      </c>
      <c r="Q3171" s="177" t="str">
        <f>IFERROR(__xludf.DUMMYFUNCTION("""COMPUTED_VALUE"""),"Black seats")</f>
        <v>Black seats</v>
      </c>
      <c r="R3171" s="170" t="str">
        <f>IFERROR(__xludf.DUMMYFUNCTION("""COMPUTED_VALUE"""),"Enhanced Autopilot")</f>
        <v>Enhanced Autopilot</v>
      </c>
      <c r="S3171" s="170"/>
      <c r="T3171" s="179"/>
      <c r="U3171" s="179"/>
      <c r="V3171" s="179"/>
      <c r="W3171" s="180"/>
      <c r="X3171" s="181" t="str">
        <f>IFERROR(__xludf.DUMMYFUNCTION("""COMPUTED_VALUE"""),"Excellent")</f>
        <v>Excellent</v>
      </c>
      <c r="Y3171" s="182" t="str">
        <f>IFERROR(__xludf.DUMMYFUNCTION("""COMPUTED_VALUE"""),"Excellent")</f>
        <v>Excellent</v>
      </c>
      <c r="Z3171" s="182" t="str">
        <f>IFERROR(__xludf.DUMMYFUNCTION("""COMPUTED_VALUE"""),"Excellent")</f>
        <v>Excellent</v>
      </c>
      <c r="AA3171" s="182" t="str">
        <f>IFERROR(__xludf.DUMMYFUNCTION("""COMPUTED_VALUE"""),"Excellent")</f>
        <v>Excellent</v>
      </c>
      <c r="AB3171" s="182" t="str">
        <f>IFERROR(__xludf.DUMMYFUNCTION("""COMPUTED_VALUE"""),"Excellent")</f>
        <v>Excellent</v>
      </c>
      <c r="AC3171" s="183"/>
      <c r="AD3171" s="183"/>
      <c r="AE3171" s="183"/>
      <c r="AF3171" s="184"/>
      <c r="AG3171" s="180"/>
      <c r="AH3171" s="185">
        <f>IFERROR(__xludf.DUMMYFUNCTION("""COMPUTED_VALUE"""),43290.64258063658)</f>
        <v>43290.64258</v>
      </c>
      <c r="AI3171" s="182"/>
      <c r="AJ3171" s="182"/>
      <c r="AK3171" s="182"/>
      <c r="AL3171" s="182"/>
    </row>
    <row r="3172" ht="20.25" customHeight="1">
      <c r="A3172" s="169" t="str">
        <f>IFERROR(__xludf.DUMMYFUNCTION("""COMPUTED_VALUE"""),"price813")</f>
        <v>price813</v>
      </c>
      <c r="B3172" s="170" t="str">
        <f>IFERROR(__xludf.DUMMYFUNCTION("""COMPUTED_VALUE"""),"Martinsburg")</f>
        <v>Martinsburg</v>
      </c>
      <c r="C3172" s="170" t="str">
        <f>IFERROR(__xludf.DUMMYFUNCTION("""COMPUTED_VALUE"""),"WV")</f>
        <v>WV</v>
      </c>
      <c r="D3172" s="170" t="str">
        <f>IFERROR(__xludf.DUMMYFUNCTION("""COMPUTED_VALUE"""),"USA")</f>
        <v>USA</v>
      </c>
      <c r="E3172" s="171">
        <f>IFERROR(__xludf.DUMMYFUNCTION("""COMPUTED_VALUE"""),43278.0)</f>
        <v>43278</v>
      </c>
      <c r="F3172" s="172">
        <f>IFERROR(__xludf.DUMMYFUNCTION("""COMPUTED_VALUE"""),43373.0)</f>
        <v>43373</v>
      </c>
      <c r="G3172" s="173"/>
      <c r="H3172" s="174">
        <f>IFERROR(__xludf.DUMMYFUNCTION("""COMPUTED_VALUE"""),101355.0)</f>
        <v>101355</v>
      </c>
      <c r="I3172" s="175" t="str">
        <f>IFERROR(__xludf.DUMMYFUNCTION("""COMPUTED_VALUE"""),"09/18")</f>
        <v>09/18</v>
      </c>
      <c r="J3172" s="172">
        <f>IFERROR(__xludf.DUMMYFUNCTION("""COMPUTED_VALUE"""),43373.0)</f>
        <v>43373</v>
      </c>
      <c r="K3172" s="176">
        <f>IFERROR(__xludf.DUMMYFUNCTION("""COMPUTED_VALUE"""),95.0)</f>
        <v>95</v>
      </c>
      <c r="L3172" s="176">
        <f>IFERROR(__xludf.DUMMYFUNCTION("""COMPUTED_VALUE"""),0.0)</f>
        <v>0</v>
      </c>
      <c r="M3172" s="176">
        <f>IFERROR(__xludf.DUMMYFUNCTION("""COMPUTED_VALUE"""),95.0)</f>
        <v>95</v>
      </c>
      <c r="N3172" s="177" t="str">
        <f>IFERROR(__xludf.DUMMYFUNCTION("""COMPUTED_VALUE"""),"Model 3 LR AWD")</f>
        <v>Model 3 LR AWD</v>
      </c>
      <c r="O3172" s="177" t="str">
        <f>IFERROR(__xludf.DUMMYFUNCTION("""COMPUTED_VALUE"""),"Solid Black")</f>
        <v>Solid Black</v>
      </c>
      <c r="P3172" s="178" t="str">
        <f>IFERROR(__xludf.DUMMYFUNCTION("""COMPUTED_VALUE"""),"18 inch Aero")</f>
        <v>18 inch Aero</v>
      </c>
      <c r="Q3172" s="177" t="str">
        <f>IFERROR(__xludf.DUMMYFUNCTION("""COMPUTED_VALUE"""),"Black seats")</f>
        <v>Black seats</v>
      </c>
      <c r="R3172" s="170" t="str">
        <f>IFERROR(__xludf.DUMMYFUNCTION("""COMPUTED_VALUE"""),"Enhanced Autopilot")</f>
        <v>Enhanced Autopilot</v>
      </c>
      <c r="S3172" s="170"/>
      <c r="T3172" s="179"/>
      <c r="U3172" s="179"/>
      <c r="V3172" s="179"/>
      <c r="W3172" s="180"/>
      <c r="X3172" s="181" t="str">
        <f>IFERROR(__xludf.DUMMYFUNCTION("""COMPUTED_VALUE"""),"Good")</f>
        <v>Good</v>
      </c>
      <c r="Y3172" s="182" t="str">
        <f>IFERROR(__xludf.DUMMYFUNCTION("""COMPUTED_VALUE"""),"Excellent")</f>
        <v>Excellent</v>
      </c>
      <c r="Z3172" s="182" t="str">
        <f>IFERROR(__xludf.DUMMYFUNCTION("""COMPUTED_VALUE"""),"Very Good")</f>
        <v>Very Good</v>
      </c>
      <c r="AA3172" s="182" t="str">
        <f>IFERROR(__xludf.DUMMYFUNCTION("""COMPUTED_VALUE"""),"Poor")</f>
        <v>Poor</v>
      </c>
      <c r="AB3172" s="182" t="str">
        <f>IFERROR(__xludf.DUMMYFUNCTION("""COMPUTED_VALUE"""),"Fair")</f>
        <v>Fair</v>
      </c>
      <c r="AC3172" s="183">
        <f>IFERROR(__xludf.DUMMYFUNCTION("""COMPUTED_VALUE"""),2.0)</f>
        <v>2</v>
      </c>
      <c r="AD3172" s="183">
        <f>IFERROR(__xludf.DUMMYFUNCTION("""COMPUTED_VALUE"""),1.0)</f>
        <v>1</v>
      </c>
      <c r="AE3172" s="183">
        <f>IFERROR(__xludf.DUMMYFUNCTION("""COMPUTED_VALUE"""),0.0)</f>
        <v>0</v>
      </c>
      <c r="AF3172" s="184"/>
      <c r="AG3172" s="180"/>
      <c r="AH3172" s="185">
        <f>IFERROR(__xludf.DUMMYFUNCTION("""COMPUTED_VALUE"""),43380.51899950232)</f>
        <v>43380.519</v>
      </c>
      <c r="AI3172" s="182"/>
      <c r="AJ3172" s="182"/>
      <c r="AK3172" s="182"/>
      <c r="AL3172" s="182"/>
    </row>
    <row r="3173" ht="20.25" customHeight="1">
      <c r="A3173" s="169" t="str">
        <f>IFERROR(__xludf.DUMMYFUNCTION("""COMPUTED_VALUE"""),"psohl14")</f>
        <v>psohl14</v>
      </c>
      <c r="B3173" s="170" t="str">
        <f>IFERROR(__xludf.DUMMYFUNCTION("""COMPUTED_VALUE"""),"Atlanta")</f>
        <v>Atlanta</v>
      </c>
      <c r="C3173" s="170" t="str">
        <f>IFERROR(__xludf.DUMMYFUNCTION("""COMPUTED_VALUE"""),"GA")</f>
        <v>GA</v>
      </c>
      <c r="D3173" s="170" t="str">
        <f>IFERROR(__xludf.DUMMYFUNCTION("""COMPUTED_VALUE"""),"USA")</f>
        <v>USA</v>
      </c>
      <c r="E3173" s="171">
        <f>IFERROR(__xludf.DUMMYFUNCTION("""COMPUTED_VALUE"""),43278.0)</f>
        <v>43278</v>
      </c>
      <c r="F3173" s="172">
        <f>IFERROR(__xludf.DUMMYFUNCTION("""COMPUTED_VALUE"""),43347.0)</f>
        <v>43347</v>
      </c>
      <c r="G3173" s="173"/>
      <c r="H3173" s="174">
        <f>IFERROR(__xludf.DUMMYFUNCTION("""COMPUTED_VALUE"""),63355.0)</f>
        <v>63355</v>
      </c>
      <c r="I3173" s="175"/>
      <c r="J3173" s="172">
        <f>IFERROR(__xludf.DUMMYFUNCTION("""COMPUTED_VALUE"""),43356.0)</f>
        <v>43356</v>
      </c>
      <c r="K3173" s="176">
        <f>IFERROR(__xludf.DUMMYFUNCTION("""COMPUTED_VALUE"""),69.0)</f>
        <v>69</v>
      </c>
      <c r="L3173" s="176">
        <f>IFERROR(__xludf.DUMMYFUNCTION("""COMPUTED_VALUE"""),9.0)</f>
        <v>9</v>
      </c>
      <c r="M3173" s="176">
        <f>IFERROR(__xludf.DUMMYFUNCTION("""COMPUTED_VALUE"""),78.0)</f>
        <v>78</v>
      </c>
      <c r="N3173" s="177" t="str">
        <f>IFERROR(__xludf.DUMMYFUNCTION("""COMPUTED_VALUE"""),"Model 3 Performance")</f>
        <v>Model 3 Performance</v>
      </c>
      <c r="O3173" s="177" t="str">
        <f>IFERROR(__xludf.DUMMYFUNCTION("""COMPUTED_VALUE"""),"Red Multi-Coat")</f>
        <v>Red Multi-Coat</v>
      </c>
      <c r="P3173" s="178" t="str">
        <f>IFERROR(__xludf.DUMMYFUNCTION("""COMPUTED_VALUE"""),"20 inch Sport")</f>
        <v>20 inch Sport</v>
      </c>
      <c r="Q3173" s="177" t="str">
        <f>IFERROR(__xludf.DUMMYFUNCTION("""COMPUTED_VALUE"""),"White seats")</f>
        <v>White seats</v>
      </c>
      <c r="R3173" s="170" t="str">
        <f>IFERROR(__xludf.DUMMYFUNCTION("""COMPUTED_VALUE"""),"Full Self-Driving")</f>
        <v>Full Self-Driving</v>
      </c>
      <c r="S3173" s="170"/>
      <c r="T3173" s="179"/>
      <c r="U3173" s="179"/>
      <c r="V3173" s="179"/>
      <c r="W3173" s="180"/>
      <c r="X3173" s="181" t="str">
        <f>IFERROR(__xludf.DUMMYFUNCTION("""COMPUTED_VALUE"""),"Very Good")</f>
        <v>Very Good</v>
      </c>
      <c r="Y3173" s="182" t="str">
        <f>IFERROR(__xludf.DUMMYFUNCTION("""COMPUTED_VALUE"""),"Very Good")</f>
        <v>Very Good</v>
      </c>
      <c r="Z3173" s="182" t="str">
        <f>IFERROR(__xludf.DUMMYFUNCTION("""COMPUTED_VALUE"""),"Very Good")</f>
        <v>Very Good</v>
      </c>
      <c r="AA3173" s="182" t="str">
        <f>IFERROR(__xludf.DUMMYFUNCTION("""COMPUTED_VALUE"""),"Excellent")</f>
        <v>Excellent</v>
      </c>
      <c r="AB3173" s="182" t="str">
        <f>IFERROR(__xludf.DUMMYFUNCTION("""COMPUTED_VALUE"""),"Excellent")</f>
        <v>Excellent</v>
      </c>
      <c r="AC3173" s="183">
        <f>IFERROR(__xludf.DUMMYFUNCTION("""COMPUTED_VALUE"""),2.0)</f>
        <v>2</v>
      </c>
      <c r="AD3173" s="183">
        <f>IFERROR(__xludf.DUMMYFUNCTION("""COMPUTED_VALUE"""),1.0)</f>
        <v>1</v>
      </c>
      <c r="AE3173" s="183"/>
      <c r="AF3173" s="184"/>
      <c r="AG3173" s="180"/>
      <c r="AH3173" s="185">
        <f>IFERROR(__xludf.DUMMYFUNCTION("""COMPUTED_VALUE"""),43357.21380311342)</f>
        <v>43357.2138</v>
      </c>
      <c r="AI3173" s="182"/>
      <c r="AJ3173" s="182"/>
      <c r="AK3173" s="182"/>
      <c r="AL3173" s="182"/>
    </row>
    <row r="3174" ht="20.25" customHeight="1">
      <c r="A3174" s="169" t="str">
        <f>IFERROR(__xludf.DUMMYFUNCTION("""COMPUTED_VALUE"""),"puppy7505")</f>
        <v>puppy7505</v>
      </c>
      <c r="B3174" s="170" t="str">
        <f>IFERROR(__xludf.DUMMYFUNCTION("""COMPUTED_VALUE"""),"Monterey Park")</f>
        <v>Monterey Park</v>
      </c>
      <c r="C3174" s="170" t="str">
        <f>IFERROR(__xludf.DUMMYFUNCTION("""COMPUTED_VALUE"""),"CA")</f>
        <v>CA</v>
      </c>
      <c r="D3174" s="170" t="str">
        <f>IFERROR(__xludf.DUMMYFUNCTION("""COMPUTED_VALUE"""),"USA")</f>
        <v>USA</v>
      </c>
      <c r="E3174" s="171">
        <f>IFERROR(__xludf.DUMMYFUNCTION("""COMPUTED_VALUE"""),43278.0)</f>
        <v>43278</v>
      </c>
      <c r="F3174" s="172">
        <f>IFERROR(__xludf.DUMMYFUNCTION("""COMPUTED_VALUE"""),43307.0)</f>
        <v>43307</v>
      </c>
      <c r="G3174" s="173"/>
      <c r="H3174" s="174">
        <f>IFERROR(__xludf.DUMMYFUNCTION("""COMPUTED_VALUE"""),47682.0)</f>
        <v>47682</v>
      </c>
      <c r="I3174" s="175" t="str">
        <f>IFERROR(__xludf.DUMMYFUNCTION("""COMPUTED_VALUE"""),"07/18")</f>
        <v>07/18</v>
      </c>
      <c r="J3174" s="172">
        <f>IFERROR(__xludf.DUMMYFUNCTION("""COMPUTED_VALUE"""),43313.0)</f>
        <v>43313</v>
      </c>
      <c r="K3174" s="176">
        <f>IFERROR(__xludf.DUMMYFUNCTION("""COMPUTED_VALUE"""),29.0)</f>
        <v>29</v>
      </c>
      <c r="L3174" s="176">
        <f>IFERROR(__xludf.DUMMYFUNCTION("""COMPUTED_VALUE"""),6.0)</f>
        <v>6</v>
      </c>
      <c r="M3174" s="176">
        <f>IFERROR(__xludf.DUMMYFUNCTION("""COMPUTED_VALUE"""),35.0)</f>
        <v>35</v>
      </c>
      <c r="N3174" s="177" t="str">
        <f>IFERROR(__xludf.DUMMYFUNCTION("""COMPUTED_VALUE"""),"Model 3 LR")</f>
        <v>Model 3 LR</v>
      </c>
      <c r="O3174" s="177" t="str">
        <f>IFERROR(__xludf.DUMMYFUNCTION("""COMPUTED_VALUE"""),"Red Multi-Coat")</f>
        <v>Red Multi-Coat</v>
      </c>
      <c r="P3174" s="178" t="str">
        <f>IFERROR(__xludf.DUMMYFUNCTION("""COMPUTED_VALUE"""),"19 inch Sport")</f>
        <v>19 inch Sport</v>
      </c>
      <c r="Q3174" s="177" t="str">
        <f>IFERROR(__xludf.DUMMYFUNCTION("""COMPUTED_VALUE"""),"Black seats")</f>
        <v>Black seats</v>
      </c>
      <c r="R3174" s="170" t="str">
        <f>IFERROR(__xludf.DUMMYFUNCTION("""COMPUTED_VALUE"""),"Enhanced Autopilot")</f>
        <v>Enhanced Autopilot</v>
      </c>
      <c r="S3174" s="170"/>
      <c r="T3174" s="179"/>
      <c r="U3174" s="179"/>
      <c r="V3174" s="179"/>
      <c r="W3174" s="180"/>
      <c r="X3174" s="181" t="str">
        <f>IFERROR(__xludf.DUMMYFUNCTION("""COMPUTED_VALUE"""),"Very Good")</f>
        <v>Very Good</v>
      </c>
      <c r="Y3174" s="182" t="str">
        <f>IFERROR(__xludf.DUMMYFUNCTION("""COMPUTED_VALUE"""),"Excellent")</f>
        <v>Excellent</v>
      </c>
      <c r="Z3174" s="182" t="str">
        <f>IFERROR(__xludf.DUMMYFUNCTION("""COMPUTED_VALUE"""),"Excellent")</f>
        <v>Excellent</v>
      </c>
      <c r="AA3174" s="182" t="str">
        <f>IFERROR(__xludf.DUMMYFUNCTION("""COMPUTED_VALUE"""),"Very Good")</f>
        <v>Very Good</v>
      </c>
      <c r="AB3174" s="182" t="str">
        <f>IFERROR(__xludf.DUMMYFUNCTION("""COMPUTED_VALUE"""),"Excellent")</f>
        <v>Excellent</v>
      </c>
      <c r="AC3174" s="183">
        <f>IFERROR(__xludf.DUMMYFUNCTION("""COMPUTED_VALUE"""),1.0)</f>
        <v>1</v>
      </c>
      <c r="AD3174" s="183">
        <f>IFERROR(__xludf.DUMMYFUNCTION("""COMPUTED_VALUE"""),1.0)</f>
        <v>1</v>
      </c>
      <c r="AE3174" s="183"/>
      <c r="AF3174" s="184"/>
      <c r="AG3174" s="180"/>
      <c r="AH3174" s="185">
        <f>IFERROR(__xludf.DUMMYFUNCTION("""COMPUTED_VALUE"""),43319.305297222214)</f>
        <v>43319.3053</v>
      </c>
      <c r="AI3174" s="182"/>
      <c r="AJ3174" s="182"/>
      <c r="AK3174" s="182"/>
      <c r="AL3174" s="182"/>
    </row>
    <row r="3175" ht="20.25" customHeight="1">
      <c r="A3175" s="169" t="str">
        <f>IFERROR(__xludf.DUMMYFUNCTION("""COMPUTED_VALUE"""),"quaa")</f>
        <v>quaa</v>
      </c>
      <c r="B3175" s="170" t="str">
        <f>IFERROR(__xludf.DUMMYFUNCTION("""COMPUTED_VALUE"""),"Dallas")</f>
        <v>Dallas</v>
      </c>
      <c r="C3175" s="170" t="str">
        <f>IFERROR(__xludf.DUMMYFUNCTION("""COMPUTED_VALUE"""),"TX")</f>
        <v>TX</v>
      </c>
      <c r="D3175" s="170" t="str">
        <f>IFERROR(__xludf.DUMMYFUNCTION("""COMPUTED_VALUE"""),"USA")</f>
        <v>USA</v>
      </c>
      <c r="E3175" s="171">
        <f>IFERROR(__xludf.DUMMYFUNCTION("""COMPUTED_VALUE"""),43278.0)</f>
        <v>43278</v>
      </c>
      <c r="F3175" s="172">
        <f>IFERROR(__xludf.DUMMYFUNCTION("""COMPUTED_VALUE"""),43320.0)</f>
        <v>43320</v>
      </c>
      <c r="G3175" s="173"/>
      <c r="H3175" s="174">
        <f>IFERROR(__xludf.DUMMYFUNCTION("""COMPUTED_VALUE"""),70855.0)</f>
        <v>70855</v>
      </c>
      <c r="I3175" s="175" t="str">
        <f>IFERROR(__xludf.DUMMYFUNCTION("""COMPUTED_VALUE"""),"08/18")</f>
        <v>08/18</v>
      </c>
      <c r="J3175" s="172">
        <f>IFERROR(__xludf.DUMMYFUNCTION("""COMPUTED_VALUE"""),43363.0)</f>
        <v>43363</v>
      </c>
      <c r="K3175" s="176">
        <f>IFERROR(__xludf.DUMMYFUNCTION("""COMPUTED_VALUE"""),42.0)</f>
        <v>42</v>
      </c>
      <c r="L3175" s="176">
        <f>IFERROR(__xludf.DUMMYFUNCTION("""COMPUTED_VALUE"""),43.0)</f>
        <v>43</v>
      </c>
      <c r="M3175" s="176">
        <f>IFERROR(__xludf.DUMMYFUNCTION("""COMPUTED_VALUE"""),85.0)</f>
        <v>85</v>
      </c>
      <c r="N3175" s="177" t="str">
        <f>IFERROR(__xludf.DUMMYFUNCTION("""COMPUTED_VALUE"""),"Model 3 LR AWD")</f>
        <v>Model 3 LR AWD</v>
      </c>
      <c r="O3175" s="177" t="str">
        <f>IFERROR(__xludf.DUMMYFUNCTION("""COMPUTED_VALUE"""),"Obsidian Black Metallic")</f>
        <v>Obsidian Black Metallic</v>
      </c>
      <c r="P3175" s="178" t="str">
        <f>IFERROR(__xludf.DUMMYFUNCTION("""COMPUTED_VALUE"""),"18 inch Aero")</f>
        <v>18 inch Aero</v>
      </c>
      <c r="Q3175" s="177" t="str">
        <f>IFERROR(__xludf.DUMMYFUNCTION("""COMPUTED_VALUE"""),"White seats")</f>
        <v>White seats</v>
      </c>
      <c r="R3175" s="170" t="str">
        <f>IFERROR(__xludf.DUMMYFUNCTION("""COMPUTED_VALUE"""),"Enhanced Autopilot")</f>
        <v>Enhanced Autopilot</v>
      </c>
      <c r="S3175" s="170"/>
      <c r="T3175" s="179"/>
      <c r="U3175" s="179"/>
      <c r="V3175" s="179"/>
      <c r="W3175" s="180"/>
      <c r="X3175" s="181" t="str">
        <f>IFERROR(__xludf.DUMMYFUNCTION("""COMPUTED_VALUE"""),"Excellent")</f>
        <v>Excellent</v>
      </c>
      <c r="Y3175" s="182" t="str">
        <f>IFERROR(__xludf.DUMMYFUNCTION("""COMPUTED_VALUE"""),"Excellent")</f>
        <v>Excellent</v>
      </c>
      <c r="Z3175" s="182" t="str">
        <f>IFERROR(__xludf.DUMMYFUNCTION("""COMPUTED_VALUE"""),"Fair")</f>
        <v>Fair</v>
      </c>
      <c r="AA3175" s="182" t="str">
        <f>IFERROR(__xludf.DUMMYFUNCTION("""COMPUTED_VALUE"""),"Poor")</f>
        <v>Poor</v>
      </c>
      <c r="AB3175" s="182" t="str">
        <f>IFERROR(__xludf.DUMMYFUNCTION("""COMPUTED_VALUE"""),"Good")</f>
        <v>Good</v>
      </c>
      <c r="AC3175" s="183">
        <f>IFERROR(__xludf.DUMMYFUNCTION("""COMPUTED_VALUE"""),3.0)</f>
        <v>3</v>
      </c>
      <c r="AD3175" s="183">
        <f>IFERROR(__xludf.DUMMYFUNCTION("""COMPUTED_VALUE"""),2.0)</f>
        <v>2</v>
      </c>
      <c r="AE3175" s="183">
        <f>IFERROR(__xludf.DUMMYFUNCTION("""COMPUTED_VALUE"""),2.0)</f>
        <v>2</v>
      </c>
      <c r="AF3175" s="184"/>
      <c r="AG3175" s="180"/>
      <c r="AH3175" s="185">
        <f>IFERROR(__xludf.DUMMYFUNCTION("""COMPUTED_VALUE"""),43380.73124149306)</f>
        <v>43380.73124</v>
      </c>
      <c r="AI3175" s="182"/>
      <c r="AJ3175" s="182"/>
      <c r="AK3175" s="182"/>
      <c r="AL3175" s="182"/>
    </row>
    <row r="3176" ht="20.25" customHeight="1">
      <c r="A3176" s="169" t="str">
        <f>IFERROR(__xludf.DUMMYFUNCTION("""COMPUTED_VALUE"""),"quark")</f>
        <v>quark</v>
      </c>
      <c r="B3176" s="170"/>
      <c r="C3176" s="170" t="str">
        <f>IFERROR(__xludf.DUMMYFUNCTION("""COMPUTED_VALUE"""),"UT")</f>
        <v>UT</v>
      </c>
      <c r="D3176" s="170" t="str">
        <f>IFERROR(__xludf.DUMMYFUNCTION("""COMPUTED_VALUE"""),"USA")</f>
        <v>USA</v>
      </c>
      <c r="E3176" s="171">
        <f>IFERROR(__xludf.DUMMYFUNCTION("""COMPUTED_VALUE"""),43278.0)</f>
        <v>43278</v>
      </c>
      <c r="F3176" s="172">
        <f>IFERROR(__xludf.DUMMYFUNCTION("""COMPUTED_VALUE"""),43348.0)</f>
        <v>43348</v>
      </c>
      <c r="G3176" s="173"/>
      <c r="H3176" s="174">
        <f>IFERROR(__xludf.DUMMYFUNCTION("""COMPUTED_VALUE"""),100155.0)</f>
        <v>100155</v>
      </c>
      <c r="I3176" s="175"/>
      <c r="J3176" s="172">
        <f>IFERROR(__xludf.DUMMYFUNCTION("""COMPUTED_VALUE"""),43354.0)</f>
        <v>43354</v>
      </c>
      <c r="K3176" s="176">
        <f>IFERROR(__xludf.DUMMYFUNCTION("""COMPUTED_VALUE"""),70.0)</f>
        <v>70</v>
      </c>
      <c r="L3176" s="176">
        <f>IFERROR(__xludf.DUMMYFUNCTION("""COMPUTED_VALUE"""),6.0)</f>
        <v>6</v>
      </c>
      <c r="M3176" s="176">
        <f>IFERROR(__xludf.DUMMYFUNCTION("""COMPUTED_VALUE"""),76.0)</f>
        <v>76</v>
      </c>
      <c r="N3176" s="177" t="str">
        <f>IFERROR(__xludf.DUMMYFUNCTION("""COMPUTED_VALUE"""),"Model 3 Performance")</f>
        <v>Model 3 Performance</v>
      </c>
      <c r="O3176" s="177" t="str">
        <f>IFERROR(__xludf.DUMMYFUNCTION("""COMPUTED_VALUE"""),"Pearl White Multi-Coat")</f>
        <v>Pearl White Multi-Coat</v>
      </c>
      <c r="P3176" s="178" t="str">
        <f>IFERROR(__xludf.DUMMYFUNCTION("""COMPUTED_VALUE"""),"18 inch Aero")</f>
        <v>18 inch Aero</v>
      </c>
      <c r="Q3176" s="177" t="str">
        <f>IFERROR(__xludf.DUMMYFUNCTION("""COMPUTED_VALUE"""),"White seats")</f>
        <v>White seats</v>
      </c>
      <c r="R3176" s="170" t="str">
        <f>IFERROR(__xludf.DUMMYFUNCTION("""COMPUTED_VALUE"""),"Enhanced Autopilot")</f>
        <v>Enhanced Autopilot</v>
      </c>
      <c r="S3176" s="170"/>
      <c r="T3176" s="179"/>
      <c r="U3176" s="179"/>
      <c r="V3176" s="179"/>
      <c r="W3176" s="180"/>
      <c r="X3176" s="181" t="str">
        <f>IFERROR(__xludf.DUMMYFUNCTION("""COMPUTED_VALUE"""),"Very Good")</f>
        <v>Very Good</v>
      </c>
      <c r="Y3176" s="182" t="str">
        <f>IFERROR(__xludf.DUMMYFUNCTION("""COMPUTED_VALUE"""),"Excellent")</f>
        <v>Excellent</v>
      </c>
      <c r="Z3176" s="182" t="str">
        <f>IFERROR(__xludf.DUMMYFUNCTION("""COMPUTED_VALUE"""),"Excellent")</f>
        <v>Excellent</v>
      </c>
      <c r="AA3176" s="182" t="str">
        <f>IFERROR(__xludf.DUMMYFUNCTION("""COMPUTED_VALUE"""),"Good")</f>
        <v>Good</v>
      </c>
      <c r="AB3176" s="182" t="str">
        <f>IFERROR(__xludf.DUMMYFUNCTION("""COMPUTED_VALUE"""),"Fair")</f>
        <v>Fair</v>
      </c>
      <c r="AC3176" s="183"/>
      <c r="AD3176" s="183"/>
      <c r="AE3176" s="183"/>
      <c r="AF3176" s="184"/>
      <c r="AG3176" s="180"/>
      <c r="AH3176" s="185">
        <f>IFERROR(__xludf.DUMMYFUNCTION("""COMPUTED_VALUE"""),43355.56628495371)</f>
        <v>43355.56628</v>
      </c>
      <c r="AI3176" s="182"/>
      <c r="AJ3176" s="182"/>
      <c r="AK3176" s="182"/>
      <c r="AL3176" s="182"/>
    </row>
    <row r="3177" ht="20.25" customHeight="1">
      <c r="A3177" s="169" t="str">
        <f>IFERROR(__xludf.DUMMYFUNCTION("""COMPUTED_VALUE"""),"quirkylikthat")</f>
        <v>quirkylikthat</v>
      </c>
      <c r="B3177" s="170" t="str">
        <f>IFERROR(__xludf.DUMMYFUNCTION("""COMPUTED_VALUE"""),"Chicago")</f>
        <v>Chicago</v>
      </c>
      <c r="C3177" s="170" t="str">
        <f>IFERROR(__xludf.DUMMYFUNCTION("""COMPUTED_VALUE"""),"IL")</f>
        <v>IL</v>
      </c>
      <c r="D3177" s="170" t="str">
        <f>IFERROR(__xludf.DUMMYFUNCTION("""COMPUTED_VALUE"""),"USA")</f>
        <v>USA</v>
      </c>
      <c r="E3177" s="171">
        <f>IFERROR(__xludf.DUMMYFUNCTION("""COMPUTED_VALUE"""),43278.0)</f>
        <v>43278</v>
      </c>
      <c r="F3177" s="172">
        <f>IFERROR(__xludf.DUMMYFUNCTION("""COMPUTED_VALUE"""),43286.0)</f>
        <v>43286</v>
      </c>
      <c r="G3177" s="173"/>
      <c r="H3177" s="174">
        <f>IFERROR(__xludf.DUMMYFUNCTION("""COMPUTED_VALUE"""),31415.0)</f>
        <v>31415</v>
      </c>
      <c r="I3177" s="175"/>
      <c r="J3177" s="172">
        <f>IFERROR(__xludf.DUMMYFUNCTION("""COMPUTED_VALUE"""),43291.0)</f>
        <v>43291</v>
      </c>
      <c r="K3177" s="176">
        <f>IFERROR(__xludf.DUMMYFUNCTION("""COMPUTED_VALUE"""),8.0)</f>
        <v>8</v>
      </c>
      <c r="L3177" s="176">
        <f>IFERROR(__xludf.DUMMYFUNCTION("""COMPUTED_VALUE"""),5.0)</f>
        <v>5</v>
      </c>
      <c r="M3177" s="176">
        <f>IFERROR(__xludf.DUMMYFUNCTION("""COMPUTED_VALUE"""),13.0)</f>
        <v>13</v>
      </c>
      <c r="N3177" s="177" t="str">
        <f>IFERROR(__xludf.DUMMYFUNCTION("""COMPUTED_VALUE"""),"Model 3 LR")</f>
        <v>Model 3 LR</v>
      </c>
      <c r="O3177" s="177" t="str">
        <f>IFERROR(__xludf.DUMMYFUNCTION("""COMPUTED_VALUE"""),"Pearl White Multi-Coat")</f>
        <v>Pearl White Multi-Coat</v>
      </c>
      <c r="P3177" s="178" t="str">
        <f>IFERROR(__xludf.DUMMYFUNCTION("""COMPUTED_VALUE"""),"18 inch Aero")</f>
        <v>18 inch Aero</v>
      </c>
      <c r="Q3177" s="177" t="str">
        <f>IFERROR(__xludf.DUMMYFUNCTION("""COMPUTED_VALUE"""),"Black seats")</f>
        <v>Black seats</v>
      </c>
      <c r="R3177" s="170" t="str">
        <f>IFERROR(__xludf.DUMMYFUNCTION("""COMPUTED_VALUE"""),"Enhanced Autopilot")</f>
        <v>Enhanced Autopilot</v>
      </c>
      <c r="S3177" s="170"/>
      <c r="T3177" s="179"/>
      <c r="U3177" s="179"/>
      <c r="V3177" s="179"/>
      <c r="W3177" s="180"/>
      <c r="X3177" s="181" t="str">
        <f>IFERROR(__xludf.DUMMYFUNCTION("""COMPUTED_VALUE"""),"Excellent")</f>
        <v>Excellent</v>
      </c>
      <c r="Y3177" s="182" t="str">
        <f>IFERROR(__xludf.DUMMYFUNCTION("""COMPUTED_VALUE"""),"Excellent")</f>
        <v>Excellent</v>
      </c>
      <c r="Z3177" s="182" t="str">
        <f>IFERROR(__xludf.DUMMYFUNCTION("""COMPUTED_VALUE"""),"Excellent")</f>
        <v>Excellent</v>
      </c>
      <c r="AA3177" s="182" t="str">
        <f>IFERROR(__xludf.DUMMYFUNCTION("""COMPUTED_VALUE"""),"Excellent")</f>
        <v>Excellent</v>
      </c>
      <c r="AB3177" s="182" t="str">
        <f>IFERROR(__xludf.DUMMYFUNCTION("""COMPUTED_VALUE"""),"Poor")</f>
        <v>Poor</v>
      </c>
      <c r="AC3177" s="183">
        <f>IFERROR(__xludf.DUMMYFUNCTION("""COMPUTED_VALUE"""),1.0)</f>
        <v>1</v>
      </c>
      <c r="AD3177" s="183">
        <f>IFERROR(__xludf.DUMMYFUNCTION("""COMPUTED_VALUE"""),1.0)</f>
        <v>1</v>
      </c>
      <c r="AE3177" s="183">
        <f>IFERROR(__xludf.DUMMYFUNCTION("""COMPUTED_VALUE"""),0.0)</f>
        <v>0</v>
      </c>
      <c r="AF3177" s="184"/>
      <c r="AG3177" s="180"/>
      <c r="AH3177" s="185">
        <f>IFERROR(__xludf.DUMMYFUNCTION("""COMPUTED_VALUE"""),43294.265161192125)</f>
        <v>43294.26516</v>
      </c>
      <c r="AI3177" s="182"/>
      <c r="AJ3177" s="182"/>
      <c r="AK3177" s="182"/>
      <c r="AL3177" s="182"/>
    </row>
    <row r="3178" ht="20.25" customHeight="1">
      <c r="A3178" s="169" t="str">
        <f>IFERROR(__xludf.DUMMYFUNCTION("""COMPUTED_VALUE"""),"Qzic")</f>
        <v>Qzic</v>
      </c>
      <c r="B3178" s="170" t="str">
        <f>IFERROR(__xludf.DUMMYFUNCTION("""COMPUTED_VALUE"""),"Seattle")</f>
        <v>Seattle</v>
      </c>
      <c r="C3178" s="170" t="str">
        <f>IFERROR(__xludf.DUMMYFUNCTION("""COMPUTED_VALUE"""),"WA")</f>
        <v>WA</v>
      </c>
      <c r="D3178" s="170" t="str">
        <f>IFERROR(__xludf.DUMMYFUNCTION("""COMPUTED_VALUE"""),"USA")</f>
        <v>USA</v>
      </c>
      <c r="E3178" s="171">
        <f>IFERROR(__xludf.DUMMYFUNCTION("""COMPUTED_VALUE"""),43278.0)</f>
        <v>43278</v>
      </c>
      <c r="F3178" s="172">
        <f>IFERROR(__xludf.DUMMYFUNCTION("""COMPUTED_VALUE"""),43349.0)</f>
        <v>43349</v>
      </c>
      <c r="G3178" s="173"/>
      <c r="H3178" s="174">
        <f>IFERROR(__xludf.DUMMYFUNCTION("""COMPUTED_VALUE"""),70655.0)</f>
        <v>70655</v>
      </c>
      <c r="I3178" s="175" t="str">
        <f>IFERROR(__xludf.DUMMYFUNCTION("""COMPUTED_VALUE"""),"08/18")</f>
        <v>08/18</v>
      </c>
      <c r="J3178" s="172">
        <f>IFERROR(__xludf.DUMMYFUNCTION("""COMPUTED_VALUE"""),43353.0)</f>
        <v>43353</v>
      </c>
      <c r="K3178" s="176">
        <f>IFERROR(__xludf.DUMMYFUNCTION("""COMPUTED_VALUE"""),71.0)</f>
        <v>71</v>
      </c>
      <c r="L3178" s="176">
        <f>IFERROR(__xludf.DUMMYFUNCTION("""COMPUTED_VALUE"""),4.0)</f>
        <v>4</v>
      </c>
      <c r="M3178" s="176">
        <f>IFERROR(__xludf.DUMMYFUNCTION("""COMPUTED_VALUE"""),75.0)</f>
        <v>75</v>
      </c>
      <c r="N3178" s="177" t="str">
        <f>IFERROR(__xludf.DUMMYFUNCTION("""COMPUTED_VALUE"""),"Model 3 LR AWD")</f>
        <v>Model 3 LR AWD</v>
      </c>
      <c r="O3178" s="177" t="str">
        <f>IFERROR(__xludf.DUMMYFUNCTION("""COMPUTED_VALUE"""),"Obsidian Black Metallic")</f>
        <v>Obsidian Black Metallic</v>
      </c>
      <c r="P3178" s="178" t="str">
        <f>IFERROR(__xludf.DUMMYFUNCTION("""COMPUTED_VALUE"""),"18 inch Aero")</f>
        <v>18 inch Aero</v>
      </c>
      <c r="Q3178" s="177" t="str">
        <f>IFERROR(__xludf.DUMMYFUNCTION("""COMPUTED_VALUE"""),"Black seats")</f>
        <v>Black seats</v>
      </c>
      <c r="R3178" s="170" t="str">
        <f>IFERROR(__xludf.DUMMYFUNCTION("""COMPUTED_VALUE"""),"Full Self-Driving")</f>
        <v>Full Self-Driving</v>
      </c>
      <c r="S3178" s="170"/>
      <c r="T3178" s="179"/>
      <c r="U3178" s="179"/>
      <c r="V3178" s="179"/>
      <c r="W3178" s="180"/>
      <c r="X3178" s="181" t="str">
        <f>IFERROR(__xludf.DUMMYFUNCTION("""COMPUTED_VALUE"""),"Very Good")</f>
        <v>Very Good</v>
      </c>
      <c r="Y3178" s="182" t="str">
        <f>IFERROR(__xludf.DUMMYFUNCTION("""COMPUTED_VALUE"""),"Excellent")</f>
        <v>Excellent</v>
      </c>
      <c r="Z3178" s="182" t="str">
        <f>IFERROR(__xludf.DUMMYFUNCTION("""COMPUTED_VALUE"""),"Good")</f>
        <v>Good</v>
      </c>
      <c r="AA3178" s="182" t="str">
        <f>IFERROR(__xludf.DUMMYFUNCTION("""COMPUTED_VALUE"""),"Very Good")</f>
        <v>Very Good</v>
      </c>
      <c r="AB3178" s="182" t="str">
        <f>IFERROR(__xludf.DUMMYFUNCTION("""COMPUTED_VALUE"""),"Excellent")</f>
        <v>Excellent</v>
      </c>
      <c r="AC3178" s="183">
        <f>IFERROR(__xludf.DUMMYFUNCTION("""COMPUTED_VALUE"""),6.0)</f>
        <v>6</v>
      </c>
      <c r="AD3178" s="183"/>
      <c r="AE3178" s="183"/>
      <c r="AF3178" s="184"/>
      <c r="AG3178" s="180" t="str">
        <f>IFERROR(__xludf.DUMMYFUNCTION("""COMPUTED_VALUE"""),"Reserved 4/2/2016")</f>
        <v>Reserved 4/2/2016</v>
      </c>
      <c r="AH3178" s="185">
        <f>IFERROR(__xludf.DUMMYFUNCTION("""COMPUTED_VALUE"""),43355.55780005787)</f>
        <v>43355.5578</v>
      </c>
      <c r="AI3178" s="182"/>
      <c r="AJ3178" s="182"/>
      <c r="AK3178" s="182"/>
      <c r="AL3178" s="182"/>
    </row>
    <row r="3179" ht="20.25" customHeight="1">
      <c r="A3179" s="169" t="str">
        <f>IFERROR(__xludf.DUMMYFUNCTION("""COMPUTED_VALUE"""),"r__01")</f>
        <v>r__01</v>
      </c>
      <c r="B3179" s="170" t="str">
        <f>IFERROR(__xludf.DUMMYFUNCTION("""COMPUTED_VALUE"""),"Brooklyn")</f>
        <v>Brooklyn</v>
      </c>
      <c r="C3179" s="170" t="str">
        <f>IFERROR(__xludf.DUMMYFUNCTION("""COMPUTED_VALUE"""),"NY")</f>
        <v>NY</v>
      </c>
      <c r="D3179" s="170" t="str">
        <f>IFERROR(__xludf.DUMMYFUNCTION("""COMPUTED_VALUE"""),"USA")</f>
        <v>USA</v>
      </c>
      <c r="E3179" s="171">
        <f>IFERROR(__xludf.DUMMYFUNCTION("""COMPUTED_VALUE"""),43278.0)</f>
        <v>43278</v>
      </c>
      <c r="F3179" s="172">
        <f>IFERROR(__xludf.DUMMYFUNCTION("""COMPUTED_VALUE"""),43280.0)</f>
        <v>43280</v>
      </c>
      <c r="G3179" s="173"/>
      <c r="H3179" s="174">
        <f>IFERROR(__xludf.DUMMYFUNCTION("""COMPUTED_VALUE"""),19755.0)</f>
        <v>19755</v>
      </c>
      <c r="I3179" s="175"/>
      <c r="J3179" s="172">
        <f>IFERROR(__xludf.DUMMYFUNCTION("""COMPUTED_VALUE"""),43288.0)</f>
        <v>43288</v>
      </c>
      <c r="K3179" s="176">
        <f>IFERROR(__xludf.DUMMYFUNCTION("""COMPUTED_VALUE"""),2.0)</f>
        <v>2</v>
      </c>
      <c r="L3179" s="176">
        <f>IFERROR(__xludf.DUMMYFUNCTION("""COMPUTED_VALUE"""),8.0)</f>
        <v>8</v>
      </c>
      <c r="M3179" s="176">
        <f>IFERROR(__xludf.DUMMYFUNCTION("""COMPUTED_VALUE"""),10.0)</f>
        <v>10</v>
      </c>
      <c r="N3179" s="177" t="str">
        <f>IFERROR(__xludf.DUMMYFUNCTION("""COMPUTED_VALUE"""),"Model 3 LR")</f>
        <v>Model 3 LR</v>
      </c>
      <c r="O3179" s="177" t="str">
        <f>IFERROR(__xludf.DUMMYFUNCTION("""COMPUTED_VALUE"""),"Pearl White Multi-Coat")</f>
        <v>Pearl White Multi-Coat</v>
      </c>
      <c r="P3179" s="178" t="str">
        <f>IFERROR(__xludf.DUMMYFUNCTION("""COMPUTED_VALUE"""),"18 inch Aero")</f>
        <v>18 inch Aero</v>
      </c>
      <c r="Q3179" s="177" t="str">
        <f>IFERROR(__xludf.DUMMYFUNCTION("""COMPUTED_VALUE"""),"Black seats")</f>
        <v>Black seats</v>
      </c>
      <c r="R3179" s="170" t="str">
        <f>IFERROR(__xludf.DUMMYFUNCTION("""COMPUTED_VALUE"""),"Enhanced Autopilot")</f>
        <v>Enhanced Autopilot</v>
      </c>
      <c r="S3179" s="170"/>
      <c r="T3179" s="179"/>
      <c r="U3179" s="179"/>
      <c r="V3179" s="179"/>
      <c r="W3179" s="180"/>
      <c r="X3179" s="181" t="str">
        <f>IFERROR(__xludf.DUMMYFUNCTION("""COMPUTED_VALUE"""),"Very Good")</f>
        <v>Very Good</v>
      </c>
      <c r="Y3179" s="182" t="str">
        <f>IFERROR(__xludf.DUMMYFUNCTION("""COMPUTED_VALUE"""),"Excellent")</f>
        <v>Excellent</v>
      </c>
      <c r="Z3179" s="182" t="str">
        <f>IFERROR(__xludf.DUMMYFUNCTION("""COMPUTED_VALUE"""),"Very Good")</f>
        <v>Very Good</v>
      </c>
      <c r="AA3179" s="182" t="str">
        <f>IFERROR(__xludf.DUMMYFUNCTION("""COMPUTED_VALUE"""),"Excellent")</f>
        <v>Excellent</v>
      </c>
      <c r="AB3179" s="182" t="str">
        <f>IFERROR(__xludf.DUMMYFUNCTION("""COMPUTED_VALUE"""),"Excellent")</f>
        <v>Excellent</v>
      </c>
      <c r="AC3179" s="183">
        <f>IFERROR(__xludf.DUMMYFUNCTION("""COMPUTED_VALUE"""),3.0)</f>
        <v>3</v>
      </c>
      <c r="AD3179" s="183"/>
      <c r="AE3179" s="183"/>
      <c r="AF3179" s="184"/>
      <c r="AG3179" s="180"/>
      <c r="AH3179" s="185">
        <f>IFERROR(__xludf.DUMMYFUNCTION("""COMPUTED_VALUE"""),43288.13764626157)</f>
        <v>43288.13765</v>
      </c>
      <c r="AI3179" s="182"/>
      <c r="AJ3179" s="182"/>
      <c r="AK3179" s="182"/>
      <c r="AL3179" s="182"/>
    </row>
    <row r="3180" ht="20.25" customHeight="1">
      <c r="A3180" s="169" t="str">
        <f>IFERROR(__xludf.DUMMYFUNCTION("""COMPUTED_VALUE"""),"radillac")</f>
        <v>radillac</v>
      </c>
      <c r="B3180" s="170" t="str">
        <f>IFERROR(__xludf.DUMMYFUNCTION("""COMPUTED_VALUE"""),"East Bay Area")</f>
        <v>East Bay Area</v>
      </c>
      <c r="C3180" s="170" t="str">
        <f>IFERROR(__xludf.DUMMYFUNCTION("""COMPUTED_VALUE"""),"CA")</f>
        <v>CA</v>
      </c>
      <c r="D3180" s="170" t="str">
        <f>IFERROR(__xludf.DUMMYFUNCTION("""COMPUTED_VALUE"""),"USA")</f>
        <v>USA</v>
      </c>
      <c r="E3180" s="171">
        <f>IFERROR(__xludf.DUMMYFUNCTION("""COMPUTED_VALUE"""),43278.0)</f>
        <v>43278</v>
      </c>
      <c r="F3180" s="172">
        <f>IFERROR(__xludf.DUMMYFUNCTION("""COMPUTED_VALUE"""),43359.0)</f>
        <v>43359</v>
      </c>
      <c r="G3180" s="173"/>
      <c r="H3180" s="174">
        <f>IFERROR(__xludf.DUMMYFUNCTION("""COMPUTED_VALUE"""),75355.0)</f>
        <v>75355</v>
      </c>
      <c r="I3180" s="175"/>
      <c r="J3180" s="172">
        <f>IFERROR(__xludf.DUMMYFUNCTION("""COMPUTED_VALUE"""),43374.0)</f>
        <v>43374</v>
      </c>
      <c r="K3180" s="176">
        <f>IFERROR(__xludf.DUMMYFUNCTION("""COMPUTED_VALUE"""),81.0)</f>
        <v>81</v>
      </c>
      <c r="L3180" s="176">
        <f>IFERROR(__xludf.DUMMYFUNCTION("""COMPUTED_VALUE"""),15.0)</f>
        <v>15</v>
      </c>
      <c r="M3180" s="176">
        <f>IFERROR(__xludf.DUMMYFUNCTION("""COMPUTED_VALUE"""),96.0)</f>
        <v>96</v>
      </c>
      <c r="N3180" s="177" t="str">
        <f>IFERROR(__xludf.DUMMYFUNCTION("""COMPUTED_VALUE"""),"Model 3 LR AWD")</f>
        <v>Model 3 LR AWD</v>
      </c>
      <c r="O3180" s="177" t="str">
        <f>IFERROR(__xludf.DUMMYFUNCTION("""COMPUTED_VALUE"""),"Deep Blue Metallic")</f>
        <v>Deep Blue Metallic</v>
      </c>
      <c r="P3180" s="178" t="str">
        <f>IFERROR(__xludf.DUMMYFUNCTION("""COMPUTED_VALUE"""),"18 inch Aero")</f>
        <v>18 inch Aero</v>
      </c>
      <c r="Q3180" s="177" t="str">
        <f>IFERROR(__xludf.DUMMYFUNCTION("""COMPUTED_VALUE"""),"Black seats")</f>
        <v>Black seats</v>
      </c>
      <c r="R3180" s="170" t="str">
        <f>IFERROR(__xludf.DUMMYFUNCTION("""COMPUTED_VALUE"""),"Full Self-Driving")</f>
        <v>Full Self-Driving</v>
      </c>
      <c r="S3180" s="170"/>
      <c r="T3180" s="179"/>
      <c r="U3180" s="179"/>
      <c r="V3180" s="179"/>
      <c r="W3180" s="180"/>
      <c r="X3180" s="181" t="str">
        <f>IFERROR(__xludf.DUMMYFUNCTION("""COMPUTED_VALUE"""),"Excellent")</f>
        <v>Excellent</v>
      </c>
      <c r="Y3180" s="182" t="str">
        <f>IFERROR(__xludf.DUMMYFUNCTION("""COMPUTED_VALUE"""),"Excellent")</f>
        <v>Excellent</v>
      </c>
      <c r="Z3180" s="182" t="str">
        <f>IFERROR(__xludf.DUMMYFUNCTION("""COMPUTED_VALUE"""),"Poor")</f>
        <v>Poor</v>
      </c>
      <c r="AA3180" s="182" t="str">
        <f>IFERROR(__xludf.DUMMYFUNCTION("""COMPUTED_VALUE"""),"Poor")</f>
        <v>Poor</v>
      </c>
      <c r="AB3180" s="182" t="str">
        <f>IFERROR(__xludf.DUMMYFUNCTION("""COMPUTED_VALUE"""),"Poor")</f>
        <v>Poor</v>
      </c>
      <c r="AC3180" s="183">
        <f>IFERROR(__xludf.DUMMYFUNCTION("""COMPUTED_VALUE"""),5.0)</f>
        <v>5</v>
      </c>
      <c r="AD3180" s="183">
        <f>IFERROR(__xludf.DUMMYFUNCTION("""COMPUTED_VALUE"""),2.0)</f>
        <v>2</v>
      </c>
      <c r="AE3180" s="183"/>
      <c r="AF3180" s="184"/>
      <c r="AG3180" s="180" t="str">
        <f>IFERROR(__xludf.DUMMYFUNCTION("""COMPUTED_VALUE"""),"Awd")</f>
        <v>Awd</v>
      </c>
      <c r="AH3180" s="185">
        <f>IFERROR(__xludf.DUMMYFUNCTION("""COMPUTED_VALUE"""),43382.45170513888)</f>
        <v>43382.45171</v>
      </c>
      <c r="AI3180" s="182"/>
      <c r="AJ3180" s="182"/>
      <c r="AK3180" s="182"/>
      <c r="AL3180" s="182"/>
    </row>
    <row r="3181" ht="20.25" customHeight="1">
      <c r="A3181" s="169" t="str">
        <f>IFERROR(__xludf.DUMMYFUNCTION("""COMPUTED_VALUE"""),"Redboot")</f>
        <v>Redboot</v>
      </c>
      <c r="B3181" s="170" t="str">
        <f>IFERROR(__xludf.DUMMYFUNCTION("""COMPUTED_VALUE"""),"Newport, KY")</f>
        <v>Newport, KY</v>
      </c>
      <c r="C3181" s="170" t="str">
        <f>IFERROR(__xludf.DUMMYFUNCTION("""COMPUTED_VALUE"""),"KY")</f>
        <v>KY</v>
      </c>
      <c r="D3181" s="170" t="str">
        <f>IFERROR(__xludf.DUMMYFUNCTION("""COMPUTED_VALUE"""),"USA")</f>
        <v>USA</v>
      </c>
      <c r="E3181" s="171">
        <f>IFERROR(__xludf.DUMMYFUNCTION("""COMPUTED_VALUE"""),43278.0)</f>
        <v>43278</v>
      </c>
      <c r="F3181" s="172">
        <f>IFERROR(__xludf.DUMMYFUNCTION("""COMPUTED_VALUE"""),43280.0)</f>
        <v>43280</v>
      </c>
      <c r="G3181" s="173"/>
      <c r="H3181" s="174">
        <f>IFERROR(__xludf.DUMMYFUNCTION("""COMPUTED_VALUE"""),30745.0)</f>
        <v>30745</v>
      </c>
      <c r="I3181" s="175" t="str">
        <f>IFERROR(__xludf.DUMMYFUNCTION("""COMPUTED_VALUE"""),"06/18")</f>
        <v>06/18</v>
      </c>
      <c r="J3181" s="172">
        <f>IFERROR(__xludf.DUMMYFUNCTION("""COMPUTED_VALUE"""),43293.0)</f>
        <v>43293</v>
      </c>
      <c r="K3181" s="176">
        <f>IFERROR(__xludf.DUMMYFUNCTION("""COMPUTED_VALUE"""),2.0)</f>
        <v>2</v>
      </c>
      <c r="L3181" s="176">
        <f>IFERROR(__xludf.DUMMYFUNCTION("""COMPUTED_VALUE"""),13.0)</f>
        <v>13</v>
      </c>
      <c r="M3181" s="176">
        <f>IFERROR(__xludf.DUMMYFUNCTION("""COMPUTED_VALUE"""),15.0)</f>
        <v>15</v>
      </c>
      <c r="N3181" s="177" t="str">
        <f>IFERROR(__xludf.DUMMYFUNCTION("""COMPUTED_VALUE"""),"Model 3 LR")</f>
        <v>Model 3 LR</v>
      </c>
      <c r="O3181" s="177" t="str">
        <f>IFERROR(__xludf.DUMMYFUNCTION("""COMPUTED_VALUE"""),"Red Multi-Coat")</f>
        <v>Red Multi-Coat</v>
      </c>
      <c r="P3181" s="178" t="str">
        <f>IFERROR(__xludf.DUMMYFUNCTION("""COMPUTED_VALUE"""),"18 inch Aero")</f>
        <v>18 inch Aero</v>
      </c>
      <c r="Q3181" s="177" t="str">
        <f>IFERROR(__xludf.DUMMYFUNCTION("""COMPUTED_VALUE"""),"Black seats")</f>
        <v>Black seats</v>
      </c>
      <c r="R3181" s="170" t="str">
        <f>IFERROR(__xludf.DUMMYFUNCTION("""COMPUTED_VALUE"""),"Full Self-Driving")</f>
        <v>Full Self-Driving</v>
      </c>
      <c r="S3181" s="170"/>
      <c r="T3181" s="179"/>
      <c r="U3181" s="179"/>
      <c r="V3181" s="179"/>
      <c r="W3181" s="180"/>
      <c r="X3181" s="181" t="str">
        <f>IFERROR(__xludf.DUMMYFUNCTION("""COMPUTED_VALUE"""),"Excellent")</f>
        <v>Excellent</v>
      </c>
      <c r="Y3181" s="182" t="str">
        <f>IFERROR(__xludf.DUMMYFUNCTION("""COMPUTED_VALUE"""),"Excellent")</f>
        <v>Excellent</v>
      </c>
      <c r="Z3181" s="182" t="str">
        <f>IFERROR(__xludf.DUMMYFUNCTION("""COMPUTED_VALUE"""),"Excellent")</f>
        <v>Excellent</v>
      </c>
      <c r="AA3181" s="182" t="str">
        <f>IFERROR(__xludf.DUMMYFUNCTION("""COMPUTED_VALUE"""),"Poor")</f>
        <v>Poor</v>
      </c>
      <c r="AB3181" s="182" t="str">
        <f>IFERROR(__xludf.DUMMYFUNCTION("""COMPUTED_VALUE"""),"Good")</f>
        <v>Good</v>
      </c>
      <c r="AC3181" s="183"/>
      <c r="AD3181" s="183"/>
      <c r="AE3181" s="183"/>
      <c r="AF3181" s="184"/>
      <c r="AG3181" s="180"/>
      <c r="AH3181" s="185">
        <f>IFERROR(__xludf.DUMMYFUNCTION("""COMPUTED_VALUE"""),43300.5300728125)</f>
        <v>43300.53007</v>
      </c>
      <c r="AI3181" s="182"/>
      <c r="AJ3181" s="182"/>
      <c r="AK3181" s="182"/>
      <c r="AL3181" s="182"/>
    </row>
    <row r="3182" ht="20.25" customHeight="1">
      <c r="A3182" s="169" t="str">
        <f>IFERROR(__xludf.DUMMYFUNCTION("""COMPUTED_VALUE"""),"Regenshire")</f>
        <v>Regenshire</v>
      </c>
      <c r="B3182" s="170" t="str">
        <f>IFERROR(__xludf.DUMMYFUNCTION("""COMPUTED_VALUE"""),"Spokane")</f>
        <v>Spokane</v>
      </c>
      <c r="C3182" s="170" t="str">
        <f>IFERROR(__xludf.DUMMYFUNCTION("""COMPUTED_VALUE"""),"WA")</f>
        <v>WA</v>
      </c>
      <c r="D3182" s="170" t="str">
        <f>IFERROR(__xludf.DUMMYFUNCTION("""COMPUTED_VALUE"""),"USA")</f>
        <v>USA</v>
      </c>
      <c r="E3182" s="171">
        <f>IFERROR(__xludf.DUMMYFUNCTION("""COMPUTED_VALUE"""),43278.0)</f>
        <v>43278</v>
      </c>
      <c r="F3182" s="172">
        <f>IFERROR(__xludf.DUMMYFUNCTION("""COMPUTED_VALUE"""),43292.0)</f>
        <v>43292</v>
      </c>
      <c r="G3182" s="173"/>
      <c r="H3182" s="174">
        <f>IFERROR(__xludf.DUMMYFUNCTION("""COMPUTED_VALUE"""),39555.0)</f>
        <v>39555</v>
      </c>
      <c r="I3182" s="175" t="str">
        <f>IFERROR(__xludf.DUMMYFUNCTION("""COMPUTED_VALUE"""),"07/18")</f>
        <v>07/18</v>
      </c>
      <c r="J3182" s="172">
        <f>IFERROR(__xludf.DUMMYFUNCTION("""COMPUTED_VALUE"""),43302.0)</f>
        <v>43302</v>
      </c>
      <c r="K3182" s="176">
        <f>IFERROR(__xludf.DUMMYFUNCTION("""COMPUTED_VALUE"""),14.0)</f>
        <v>14</v>
      </c>
      <c r="L3182" s="176">
        <f>IFERROR(__xludf.DUMMYFUNCTION("""COMPUTED_VALUE"""),10.0)</f>
        <v>10</v>
      </c>
      <c r="M3182" s="176">
        <f>IFERROR(__xludf.DUMMYFUNCTION("""COMPUTED_VALUE"""),24.0)</f>
        <v>24</v>
      </c>
      <c r="N3182" s="177" t="str">
        <f>IFERROR(__xludf.DUMMYFUNCTION("""COMPUTED_VALUE"""),"Model 3 LR")</f>
        <v>Model 3 LR</v>
      </c>
      <c r="O3182" s="177" t="str">
        <f>IFERROR(__xludf.DUMMYFUNCTION("""COMPUTED_VALUE"""),"Pearl White Multi-Coat")</f>
        <v>Pearl White Multi-Coat</v>
      </c>
      <c r="P3182" s="178" t="str">
        <f>IFERROR(__xludf.DUMMYFUNCTION("""COMPUTED_VALUE"""),"18 inch Aero")</f>
        <v>18 inch Aero</v>
      </c>
      <c r="Q3182" s="177" t="str">
        <f>IFERROR(__xludf.DUMMYFUNCTION("""COMPUTED_VALUE"""),"Black seats")</f>
        <v>Black seats</v>
      </c>
      <c r="R3182" s="170" t="str">
        <f>IFERROR(__xludf.DUMMYFUNCTION("""COMPUTED_VALUE"""),"None")</f>
        <v>None</v>
      </c>
      <c r="S3182" s="170"/>
      <c r="T3182" s="179"/>
      <c r="U3182" s="179"/>
      <c r="V3182" s="179"/>
      <c r="W3182" s="180"/>
      <c r="X3182" s="181" t="str">
        <f>IFERROR(__xludf.DUMMYFUNCTION("""COMPUTED_VALUE"""),"Excellent")</f>
        <v>Excellent</v>
      </c>
      <c r="Y3182" s="182" t="str">
        <f>IFERROR(__xludf.DUMMYFUNCTION("""COMPUTED_VALUE"""),"Excellent")</f>
        <v>Excellent</v>
      </c>
      <c r="Z3182" s="182" t="str">
        <f>IFERROR(__xludf.DUMMYFUNCTION("""COMPUTED_VALUE"""),"Excellent")</f>
        <v>Excellent</v>
      </c>
      <c r="AA3182" s="182" t="str">
        <f>IFERROR(__xludf.DUMMYFUNCTION("""COMPUTED_VALUE"""),"Good")</f>
        <v>Good</v>
      </c>
      <c r="AB3182" s="182" t="str">
        <f>IFERROR(__xludf.DUMMYFUNCTION("""COMPUTED_VALUE"""),"Good")</f>
        <v>Good</v>
      </c>
      <c r="AC3182" s="183">
        <f>IFERROR(__xludf.DUMMYFUNCTION("""COMPUTED_VALUE"""),0.0)</f>
        <v>0</v>
      </c>
      <c r="AD3182" s="183">
        <f>IFERROR(__xludf.DUMMYFUNCTION("""COMPUTED_VALUE"""),0.0)</f>
        <v>0</v>
      </c>
      <c r="AE3182" s="183">
        <f>IFERROR(__xludf.DUMMYFUNCTION("""COMPUTED_VALUE"""),0.0)</f>
        <v>0</v>
      </c>
      <c r="AF3182" s="184"/>
      <c r="AG3182" s="180"/>
      <c r="AH3182" s="185">
        <f>IFERROR(__xludf.DUMMYFUNCTION("""COMPUTED_VALUE"""),43337.868807673614)</f>
        <v>43337.86881</v>
      </c>
      <c r="AI3182" s="182"/>
      <c r="AJ3182" s="182"/>
      <c r="AK3182" s="182"/>
      <c r="AL3182" s="182"/>
    </row>
    <row r="3183" ht="20.25" customHeight="1">
      <c r="A3183" s="169" t="str">
        <f>IFERROR(__xludf.DUMMYFUNCTION("""COMPUTED_VALUE"""),"RFernatt")</f>
        <v>RFernatt</v>
      </c>
      <c r="B3183" s="170" t="str">
        <f>IFERROR(__xludf.DUMMYFUNCTION("""COMPUTED_VALUE"""),"Martinsburg")</f>
        <v>Martinsburg</v>
      </c>
      <c r="C3183" s="170" t="str">
        <f>IFERROR(__xludf.DUMMYFUNCTION("""COMPUTED_VALUE"""),"WV")</f>
        <v>WV</v>
      </c>
      <c r="D3183" s="170" t="str">
        <f>IFERROR(__xludf.DUMMYFUNCTION("""COMPUTED_VALUE"""),"USA")</f>
        <v>USA</v>
      </c>
      <c r="E3183" s="171">
        <f>IFERROR(__xludf.DUMMYFUNCTION("""COMPUTED_VALUE"""),43278.0)</f>
        <v>43278</v>
      </c>
      <c r="F3183" s="172">
        <f>IFERROR(__xludf.DUMMYFUNCTION("""COMPUTED_VALUE"""),43378.0)</f>
        <v>43378</v>
      </c>
      <c r="G3183" s="173"/>
      <c r="H3183" s="174">
        <f>IFERROR(__xludf.DUMMYFUNCTION("""COMPUTED_VALUE"""),100855.0)</f>
        <v>100855</v>
      </c>
      <c r="I3183" s="175" t="str">
        <f>IFERROR(__xludf.DUMMYFUNCTION("""COMPUTED_VALUE"""),"09/18")</f>
        <v>09/18</v>
      </c>
      <c r="J3183" s="172">
        <f>IFERROR(__xludf.DUMMYFUNCTION("""COMPUTED_VALUE"""),43393.0)</f>
        <v>43393</v>
      </c>
      <c r="K3183" s="176">
        <f>IFERROR(__xludf.DUMMYFUNCTION("""COMPUTED_VALUE"""),100.0)</f>
        <v>100</v>
      </c>
      <c r="L3183" s="176">
        <f>IFERROR(__xludf.DUMMYFUNCTION("""COMPUTED_VALUE"""),15.0)</f>
        <v>15</v>
      </c>
      <c r="M3183" s="176">
        <f>IFERROR(__xludf.DUMMYFUNCTION("""COMPUTED_VALUE"""),115.0)</f>
        <v>115</v>
      </c>
      <c r="N3183" s="177" t="str">
        <f>IFERROR(__xludf.DUMMYFUNCTION("""COMPUTED_VALUE"""),"Model 3 LR AWD")</f>
        <v>Model 3 LR AWD</v>
      </c>
      <c r="O3183" s="177" t="str">
        <f>IFERROR(__xludf.DUMMYFUNCTION("""COMPUTED_VALUE"""),"Deep Blue Metallic")</f>
        <v>Deep Blue Metallic</v>
      </c>
      <c r="P3183" s="178" t="str">
        <f>IFERROR(__xludf.DUMMYFUNCTION("""COMPUTED_VALUE"""),"19 inch Sport")</f>
        <v>19 inch Sport</v>
      </c>
      <c r="Q3183" s="177" t="str">
        <f>IFERROR(__xludf.DUMMYFUNCTION("""COMPUTED_VALUE"""),"White seats")</f>
        <v>White seats</v>
      </c>
      <c r="R3183" s="170" t="str">
        <f>IFERROR(__xludf.DUMMYFUNCTION("""COMPUTED_VALUE"""),"Enhanced Autopilot")</f>
        <v>Enhanced Autopilot</v>
      </c>
      <c r="S3183" s="170"/>
      <c r="T3183" s="179"/>
      <c r="U3183" s="179"/>
      <c r="V3183" s="179"/>
      <c r="W3183" s="180"/>
      <c r="X3183" s="181" t="str">
        <f>IFERROR(__xludf.DUMMYFUNCTION("""COMPUTED_VALUE"""),"Excellent")</f>
        <v>Excellent</v>
      </c>
      <c r="Y3183" s="182" t="str">
        <f>IFERROR(__xludf.DUMMYFUNCTION("""COMPUTED_VALUE"""),"Excellent")</f>
        <v>Excellent</v>
      </c>
      <c r="Z3183" s="182" t="str">
        <f>IFERROR(__xludf.DUMMYFUNCTION("""COMPUTED_VALUE"""),"Very Good")</f>
        <v>Very Good</v>
      </c>
      <c r="AA3183" s="182" t="str">
        <f>IFERROR(__xludf.DUMMYFUNCTION("""COMPUTED_VALUE"""),"Poor")</f>
        <v>Poor</v>
      </c>
      <c r="AB3183" s="182" t="str">
        <f>IFERROR(__xludf.DUMMYFUNCTION("""COMPUTED_VALUE"""),"Very Good")</f>
        <v>Very Good</v>
      </c>
      <c r="AC3183" s="183">
        <f>IFERROR(__xludf.DUMMYFUNCTION("""COMPUTED_VALUE"""),1.0)</f>
        <v>1</v>
      </c>
      <c r="AD3183" s="183">
        <f>IFERROR(__xludf.DUMMYFUNCTION("""COMPUTED_VALUE"""),0.0)</f>
        <v>0</v>
      </c>
      <c r="AE3183" s="183">
        <f>IFERROR(__xludf.DUMMYFUNCTION("""COMPUTED_VALUE"""),0.0)</f>
        <v>0</v>
      </c>
      <c r="AF3183" s="184"/>
      <c r="AG3183" s="180"/>
      <c r="AH3183" s="185">
        <f>IFERROR(__xludf.DUMMYFUNCTION("""COMPUTED_VALUE"""),43413.43005512732)</f>
        <v>43413.43006</v>
      </c>
      <c r="AI3183" s="182"/>
      <c r="AJ3183" s="182"/>
      <c r="AK3183" s="182"/>
      <c r="AL3183" s="182"/>
    </row>
    <row r="3184" ht="20.25" customHeight="1">
      <c r="A3184" s="169" t="str">
        <f>IFERROR(__xludf.DUMMYFUNCTION("""COMPUTED_VALUE"""),"RIjad17")</f>
        <v>RIjad17</v>
      </c>
      <c r="B3184" s="170" t="str">
        <f>IFERROR(__xludf.DUMMYFUNCTION("""COMPUTED_VALUE"""),"Kansas City")</f>
        <v>Kansas City</v>
      </c>
      <c r="C3184" s="170" t="str">
        <f>IFERROR(__xludf.DUMMYFUNCTION("""COMPUTED_VALUE"""),"MO")</f>
        <v>MO</v>
      </c>
      <c r="D3184" s="170" t="str">
        <f>IFERROR(__xludf.DUMMYFUNCTION("""COMPUTED_VALUE"""),"USA")</f>
        <v>USA</v>
      </c>
      <c r="E3184" s="171">
        <f>IFERROR(__xludf.DUMMYFUNCTION("""COMPUTED_VALUE"""),43278.0)</f>
        <v>43278</v>
      </c>
      <c r="F3184" s="172">
        <f>IFERROR(__xludf.DUMMYFUNCTION("""COMPUTED_VALUE"""),43367.0)</f>
        <v>43367</v>
      </c>
      <c r="G3184" s="173"/>
      <c r="H3184" s="174">
        <f>IFERROR(__xludf.DUMMYFUNCTION("""COMPUTED_VALUE"""),101255.0)</f>
        <v>101255</v>
      </c>
      <c r="I3184" s="175" t="str">
        <f>IFERROR(__xludf.DUMMYFUNCTION("""COMPUTED_VALUE"""),"09/18")</f>
        <v>09/18</v>
      </c>
      <c r="J3184" s="172">
        <f>IFERROR(__xludf.DUMMYFUNCTION("""COMPUTED_VALUE"""),43368.0)</f>
        <v>43368</v>
      </c>
      <c r="K3184" s="176">
        <f>IFERROR(__xludf.DUMMYFUNCTION("""COMPUTED_VALUE"""),89.0)</f>
        <v>89</v>
      </c>
      <c r="L3184" s="176">
        <f>IFERROR(__xludf.DUMMYFUNCTION("""COMPUTED_VALUE"""),1.0)</f>
        <v>1</v>
      </c>
      <c r="M3184" s="176">
        <f>IFERROR(__xludf.DUMMYFUNCTION("""COMPUTED_VALUE"""),90.0)</f>
        <v>90</v>
      </c>
      <c r="N3184" s="177" t="str">
        <f>IFERROR(__xludf.DUMMYFUNCTION("""COMPUTED_VALUE"""),"Model 3 LR AWD")</f>
        <v>Model 3 LR AWD</v>
      </c>
      <c r="O3184" s="177" t="str">
        <f>IFERROR(__xludf.DUMMYFUNCTION("""COMPUTED_VALUE"""),"Pearl White Multi-Coat")</f>
        <v>Pearl White Multi-Coat</v>
      </c>
      <c r="P3184" s="178" t="str">
        <f>IFERROR(__xludf.DUMMYFUNCTION("""COMPUTED_VALUE"""),"19 inch Sport")</f>
        <v>19 inch Sport</v>
      </c>
      <c r="Q3184" s="177" t="str">
        <f>IFERROR(__xludf.DUMMYFUNCTION("""COMPUTED_VALUE"""),"White seats")</f>
        <v>White seats</v>
      </c>
      <c r="R3184" s="170" t="str">
        <f>IFERROR(__xludf.DUMMYFUNCTION("""COMPUTED_VALUE"""),"None")</f>
        <v>None</v>
      </c>
      <c r="S3184" s="170"/>
      <c r="T3184" s="179"/>
      <c r="U3184" s="179"/>
      <c r="V3184" s="179"/>
      <c r="W3184" s="180"/>
      <c r="X3184" s="181" t="str">
        <f>IFERROR(__xludf.DUMMYFUNCTION("""COMPUTED_VALUE"""),"Very Good")</f>
        <v>Very Good</v>
      </c>
      <c r="Y3184" s="182" t="str">
        <f>IFERROR(__xludf.DUMMYFUNCTION("""COMPUTED_VALUE"""),"Very Good")</f>
        <v>Very Good</v>
      </c>
      <c r="Z3184" s="182" t="str">
        <f>IFERROR(__xludf.DUMMYFUNCTION("""COMPUTED_VALUE"""),"Very Good")</f>
        <v>Very Good</v>
      </c>
      <c r="AA3184" s="182" t="str">
        <f>IFERROR(__xludf.DUMMYFUNCTION("""COMPUTED_VALUE"""),"Good")</f>
        <v>Good</v>
      </c>
      <c r="AB3184" s="182" t="str">
        <f>IFERROR(__xludf.DUMMYFUNCTION("""COMPUTED_VALUE"""),"Good")</f>
        <v>Good</v>
      </c>
      <c r="AC3184" s="183">
        <f>IFERROR(__xludf.DUMMYFUNCTION("""COMPUTED_VALUE"""),1.0)</f>
        <v>1</v>
      </c>
      <c r="AD3184" s="183">
        <f>IFERROR(__xludf.DUMMYFUNCTION("""COMPUTED_VALUE"""),0.0)</f>
        <v>0</v>
      </c>
      <c r="AE3184" s="183">
        <f>IFERROR(__xludf.DUMMYFUNCTION("""COMPUTED_VALUE"""),0.0)</f>
        <v>0</v>
      </c>
      <c r="AF3184" s="184"/>
      <c r="AG3184" s="180"/>
      <c r="AH3184" s="185">
        <f>IFERROR(__xludf.DUMMYFUNCTION("""COMPUTED_VALUE"""),43399.220431539354)</f>
        <v>43399.22043</v>
      </c>
      <c r="AI3184" s="182"/>
      <c r="AJ3184" s="182"/>
      <c r="AK3184" s="182"/>
      <c r="AL3184" s="182"/>
    </row>
    <row r="3185" ht="20.25" customHeight="1">
      <c r="A3185" s="169" t="str">
        <f>IFERROR(__xludf.DUMMYFUNCTION("""COMPUTED_VALUE"""),"riyadc")</f>
        <v>riyadc</v>
      </c>
      <c r="B3185" s="170" t="str">
        <f>IFERROR(__xludf.DUMMYFUNCTION("""COMPUTED_VALUE"""),"Atlanta")</f>
        <v>Atlanta</v>
      </c>
      <c r="C3185" s="170" t="str">
        <f>IFERROR(__xludf.DUMMYFUNCTION("""COMPUTED_VALUE"""),"GA")</f>
        <v>GA</v>
      </c>
      <c r="D3185" s="170" t="str">
        <f>IFERROR(__xludf.DUMMYFUNCTION("""COMPUTED_VALUE"""),"USA")</f>
        <v>USA</v>
      </c>
      <c r="E3185" s="171">
        <f>IFERROR(__xludf.DUMMYFUNCTION("""COMPUTED_VALUE"""),43278.0)</f>
        <v>43278</v>
      </c>
      <c r="F3185" s="172">
        <f>IFERROR(__xludf.DUMMYFUNCTION("""COMPUTED_VALUE"""),43280.0)</f>
        <v>43280</v>
      </c>
      <c r="G3185" s="173"/>
      <c r="H3185" s="174">
        <f>IFERROR(__xludf.DUMMYFUNCTION("""COMPUTED_VALUE"""),37775.0)</f>
        <v>37775</v>
      </c>
      <c r="I3185" s="175" t="str">
        <f>IFERROR(__xludf.DUMMYFUNCTION("""COMPUTED_VALUE"""),"06/18")</f>
        <v>06/18</v>
      </c>
      <c r="J3185" s="172">
        <f>IFERROR(__xludf.DUMMYFUNCTION("""COMPUTED_VALUE"""),43292.0)</f>
        <v>43292</v>
      </c>
      <c r="K3185" s="176">
        <f>IFERROR(__xludf.DUMMYFUNCTION("""COMPUTED_VALUE"""),2.0)</f>
        <v>2</v>
      </c>
      <c r="L3185" s="176">
        <f>IFERROR(__xludf.DUMMYFUNCTION("""COMPUTED_VALUE"""),12.0)</f>
        <v>12</v>
      </c>
      <c r="M3185" s="176">
        <f>IFERROR(__xludf.DUMMYFUNCTION("""COMPUTED_VALUE"""),14.0)</f>
        <v>14</v>
      </c>
      <c r="N3185" s="177" t="str">
        <f>IFERROR(__xludf.DUMMYFUNCTION("""COMPUTED_VALUE"""),"Model 3 LR")</f>
        <v>Model 3 LR</v>
      </c>
      <c r="O3185" s="177" t="str">
        <f>IFERROR(__xludf.DUMMYFUNCTION("""COMPUTED_VALUE"""),"Red Multi-Coat")</f>
        <v>Red Multi-Coat</v>
      </c>
      <c r="P3185" s="178" t="str">
        <f>IFERROR(__xludf.DUMMYFUNCTION("""COMPUTED_VALUE"""),"18 inch Aero")</f>
        <v>18 inch Aero</v>
      </c>
      <c r="Q3185" s="177" t="str">
        <f>IFERROR(__xludf.DUMMYFUNCTION("""COMPUTED_VALUE"""),"Black seats")</f>
        <v>Black seats</v>
      </c>
      <c r="R3185" s="170" t="str">
        <f>IFERROR(__xludf.DUMMYFUNCTION("""COMPUTED_VALUE"""),"Enhanced Autopilot")</f>
        <v>Enhanced Autopilot</v>
      </c>
      <c r="S3185" s="170"/>
      <c r="T3185" s="179"/>
      <c r="U3185" s="179"/>
      <c r="V3185" s="179"/>
      <c r="W3185" s="180"/>
      <c r="X3185" s="181" t="str">
        <f>IFERROR(__xludf.DUMMYFUNCTION("""COMPUTED_VALUE"""),"Excellent")</f>
        <v>Excellent</v>
      </c>
      <c r="Y3185" s="182" t="str">
        <f>IFERROR(__xludf.DUMMYFUNCTION("""COMPUTED_VALUE"""),"Very Good")</f>
        <v>Very Good</v>
      </c>
      <c r="Z3185" s="182" t="str">
        <f>IFERROR(__xludf.DUMMYFUNCTION("""COMPUTED_VALUE"""),"Excellent")</f>
        <v>Excellent</v>
      </c>
      <c r="AA3185" s="182" t="str">
        <f>IFERROR(__xludf.DUMMYFUNCTION("""COMPUTED_VALUE"""),"Good")</f>
        <v>Good</v>
      </c>
      <c r="AB3185" s="182" t="str">
        <f>IFERROR(__xludf.DUMMYFUNCTION("""COMPUTED_VALUE"""),"Very Good")</f>
        <v>Very Good</v>
      </c>
      <c r="AC3185" s="183">
        <f>IFERROR(__xludf.DUMMYFUNCTION("""COMPUTED_VALUE"""),0.0)</f>
        <v>0</v>
      </c>
      <c r="AD3185" s="183">
        <f>IFERROR(__xludf.DUMMYFUNCTION("""COMPUTED_VALUE"""),0.0)</f>
        <v>0</v>
      </c>
      <c r="AE3185" s="183">
        <f>IFERROR(__xludf.DUMMYFUNCTION("""COMPUTED_VALUE"""),0.0)</f>
        <v>0</v>
      </c>
      <c r="AF3185" s="184"/>
      <c r="AG3185" s="180"/>
      <c r="AH3185" s="185">
        <f>IFERROR(__xludf.DUMMYFUNCTION("""COMPUTED_VALUE"""),43298.72809152778)</f>
        <v>43298.72809</v>
      </c>
      <c r="AI3185" s="182"/>
      <c r="AJ3185" s="182"/>
      <c r="AK3185" s="182"/>
      <c r="AL3185" s="182"/>
    </row>
    <row r="3186" ht="20.25" customHeight="1">
      <c r="A3186" s="169" t="str">
        <f>IFERROR(__xludf.DUMMYFUNCTION("""COMPUTED_VALUE"""),"rk242")</f>
        <v>rk242</v>
      </c>
      <c r="B3186" s="170" t="str">
        <f>IFERROR(__xludf.DUMMYFUNCTION("""COMPUTED_VALUE"""),"SF Bay Area")</f>
        <v>SF Bay Area</v>
      </c>
      <c r="C3186" s="170" t="str">
        <f>IFERROR(__xludf.DUMMYFUNCTION("""COMPUTED_VALUE"""),"CA")</f>
        <v>CA</v>
      </c>
      <c r="D3186" s="170" t="str">
        <f>IFERROR(__xludf.DUMMYFUNCTION("""COMPUTED_VALUE"""),"USA")</f>
        <v>USA</v>
      </c>
      <c r="E3186" s="171">
        <f>IFERROR(__xludf.DUMMYFUNCTION("""COMPUTED_VALUE"""),43278.0)</f>
        <v>43278</v>
      </c>
      <c r="F3186" s="172">
        <f>IFERROR(__xludf.DUMMYFUNCTION("""COMPUTED_VALUE"""),43363.0)</f>
        <v>43363</v>
      </c>
      <c r="G3186" s="173"/>
      <c r="H3186" s="174">
        <f>IFERROR(__xludf.DUMMYFUNCTION("""COMPUTED_VALUE"""),114855.0)</f>
        <v>114855</v>
      </c>
      <c r="I3186" s="175"/>
      <c r="J3186" s="172">
        <f>IFERROR(__xludf.DUMMYFUNCTION("""COMPUTED_VALUE"""),43367.0)</f>
        <v>43367</v>
      </c>
      <c r="K3186" s="176">
        <f>IFERROR(__xludf.DUMMYFUNCTION("""COMPUTED_VALUE"""),85.0)</f>
        <v>85</v>
      </c>
      <c r="L3186" s="176">
        <f>IFERROR(__xludf.DUMMYFUNCTION("""COMPUTED_VALUE"""),4.0)</f>
        <v>4</v>
      </c>
      <c r="M3186" s="176">
        <f>IFERROR(__xludf.DUMMYFUNCTION("""COMPUTED_VALUE"""),89.0)</f>
        <v>89</v>
      </c>
      <c r="N3186" s="177" t="str">
        <f>IFERROR(__xludf.DUMMYFUNCTION("""COMPUTED_VALUE"""),"Model 3 Performance")</f>
        <v>Model 3 Performance</v>
      </c>
      <c r="O3186" s="177" t="str">
        <f>IFERROR(__xludf.DUMMYFUNCTION("""COMPUTED_VALUE"""),"Deep Blue Metallic")</f>
        <v>Deep Blue Metallic</v>
      </c>
      <c r="P3186" s="178" t="str">
        <f>IFERROR(__xludf.DUMMYFUNCTION("""COMPUTED_VALUE"""),"18 inch Aero")</f>
        <v>18 inch Aero</v>
      </c>
      <c r="Q3186" s="177" t="str">
        <f>IFERROR(__xludf.DUMMYFUNCTION("""COMPUTED_VALUE"""),"Black seats")</f>
        <v>Black seats</v>
      </c>
      <c r="R3186" s="170" t="str">
        <f>IFERROR(__xludf.DUMMYFUNCTION("""COMPUTED_VALUE"""),"Full Self-Driving")</f>
        <v>Full Self-Driving</v>
      </c>
      <c r="S3186" s="170"/>
      <c r="T3186" s="179"/>
      <c r="U3186" s="179"/>
      <c r="V3186" s="179"/>
      <c r="W3186" s="180"/>
      <c r="X3186" s="181" t="str">
        <f>IFERROR(__xludf.DUMMYFUNCTION("""COMPUTED_VALUE"""),"Excellent")</f>
        <v>Excellent</v>
      </c>
      <c r="Y3186" s="182" t="str">
        <f>IFERROR(__xludf.DUMMYFUNCTION("""COMPUTED_VALUE"""),"Excellent")</f>
        <v>Excellent</v>
      </c>
      <c r="Z3186" s="182" t="str">
        <f>IFERROR(__xludf.DUMMYFUNCTION("""COMPUTED_VALUE"""),"Excellent")</f>
        <v>Excellent</v>
      </c>
      <c r="AA3186" s="182" t="str">
        <f>IFERROR(__xludf.DUMMYFUNCTION("""COMPUTED_VALUE"""),"Excellent")</f>
        <v>Excellent</v>
      </c>
      <c r="AB3186" s="182" t="str">
        <f>IFERROR(__xludf.DUMMYFUNCTION("""COMPUTED_VALUE"""),"Excellent")</f>
        <v>Excellent</v>
      </c>
      <c r="AC3186" s="183">
        <f>IFERROR(__xludf.DUMMYFUNCTION("""COMPUTED_VALUE"""),1.0)</f>
        <v>1</v>
      </c>
      <c r="AD3186" s="183">
        <f>IFERROR(__xludf.DUMMYFUNCTION("""COMPUTED_VALUE"""),1.0)</f>
        <v>1</v>
      </c>
      <c r="AE3186" s="183">
        <f>IFERROR(__xludf.DUMMYFUNCTION("""COMPUTED_VALUE"""),0.0)</f>
        <v>0</v>
      </c>
      <c r="AF3186" s="184"/>
      <c r="AG3186" s="180"/>
      <c r="AH3186" s="185">
        <f>IFERROR(__xludf.DUMMYFUNCTION("""COMPUTED_VALUE"""),43369.97875674768)</f>
        <v>43369.97876</v>
      </c>
      <c r="AI3186" s="182"/>
      <c r="AJ3186" s="182"/>
      <c r="AK3186" s="182"/>
      <c r="AL3186" s="182"/>
    </row>
    <row r="3187" ht="20.25" customHeight="1">
      <c r="A3187" s="169" t="str">
        <f>IFERROR(__xludf.DUMMYFUNCTION("""COMPUTED_VALUE"""),"RKBA")</f>
        <v>RKBA</v>
      </c>
      <c r="B3187" s="170" t="str">
        <f>IFERROR(__xludf.DUMMYFUNCTION("""COMPUTED_VALUE"""),"Rockwall")</f>
        <v>Rockwall</v>
      </c>
      <c r="C3187" s="170" t="str">
        <f>IFERROR(__xludf.DUMMYFUNCTION("""COMPUTED_VALUE"""),"TX")</f>
        <v>TX</v>
      </c>
      <c r="D3187" s="170" t="str">
        <f>IFERROR(__xludf.DUMMYFUNCTION("""COMPUTED_VALUE"""),"USA")</f>
        <v>USA</v>
      </c>
      <c r="E3187" s="171">
        <f>IFERROR(__xludf.DUMMYFUNCTION("""COMPUTED_VALUE"""),43278.0)</f>
        <v>43278</v>
      </c>
      <c r="F3187" s="172">
        <f>IFERROR(__xludf.DUMMYFUNCTION("""COMPUTED_VALUE"""),43340.0)</f>
        <v>43340</v>
      </c>
      <c r="G3187" s="173"/>
      <c r="H3187" s="174">
        <f>IFERROR(__xludf.DUMMYFUNCTION("""COMPUTED_VALUE"""),100155.0)</f>
        <v>100155</v>
      </c>
      <c r="I3187" s="175" t="str">
        <f>IFERROR(__xludf.DUMMYFUNCTION("""COMPUTED_VALUE"""),"08/18")</f>
        <v>08/18</v>
      </c>
      <c r="J3187" s="172">
        <f>IFERROR(__xludf.DUMMYFUNCTION("""COMPUTED_VALUE"""),43364.0)</f>
        <v>43364</v>
      </c>
      <c r="K3187" s="176">
        <f>IFERROR(__xludf.DUMMYFUNCTION("""COMPUTED_VALUE"""),62.0)</f>
        <v>62</v>
      </c>
      <c r="L3187" s="176">
        <f>IFERROR(__xludf.DUMMYFUNCTION("""COMPUTED_VALUE"""),24.0)</f>
        <v>24</v>
      </c>
      <c r="M3187" s="176">
        <f>IFERROR(__xludf.DUMMYFUNCTION("""COMPUTED_VALUE"""),86.0)</f>
        <v>86</v>
      </c>
      <c r="N3187" s="177" t="str">
        <f>IFERROR(__xludf.DUMMYFUNCTION("""COMPUTED_VALUE"""),"Model 3 Performance")</f>
        <v>Model 3 Performance</v>
      </c>
      <c r="O3187" s="177" t="str">
        <f>IFERROR(__xludf.DUMMYFUNCTION("""COMPUTED_VALUE"""),"Deep Blue Metallic")</f>
        <v>Deep Blue Metallic</v>
      </c>
      <c r="P3187" s="178" t="str">
        <f>IFERROR(__xludf.DUMMYFUNCTION("""COMPUTED_VALUE"""),"18 inch Aero")</f>
        <v>18 inch Aero</v>
      </c>
      <c r="Q3187" s="177" t="str">
        <f>IFERROR(__xludf.DUMMYFUNCTION("""COMPUTED_VALUE"""),"White seats")</f>
        <v>White seats</v>
      </c>
      <c r="R3187" s="170" t="str">
        <f>IFERROR(__xludf.DUMMYFUNCTION("""COMPUTED_VALUE"""),"Full Self-Driving")</f>
        <v>Full Self-Driving</v>
      </c>
      <c r="S3187" s="170"/>
      <c r="T3187" s="179"/>
      <c r="U3187" s="179"/>
      <c r="V3187" s="179"/>
      <c r="W3187" s="180"/>
      <c r="X3187" s="181" t="str">
        <f>IFERROR(__xludf.DUMMYFUNCTION("""COMPUTED_VALUE"""),"Excellent")</f>
        <v>Excellent</v>
      </c>
      <c r="Y3187" s="182" t="str">
        <f>IFERROR(__xludf.DUMMYFUNCTION("""COMPUTED_VALUE"""),"Excellent")</f>
        <v>Excellent</v>
      </c>
      <c r="Z3187" s="182" t="str">
        <f>IFERROR(__xludf.DUMMYFUNCTION("""COMPUTED_VALUE"""),"Excellent")</f>
        <v>Excellent</v>
      </c>
      <c r="AA3187" s="182" t="str">
        <f>IFERROR(__xludf.DUMMYFUNCTION("""COMPUTED_VALUE"""),"Very Good")</f>
        <v>Very Good</v>
      </c>
      <c r="AB3187" s="182" t="str">
        <f>IFERROR(__xludf.DUMMYFUNCTION("""COMPUTED_VALUE"""),"Very Good")</f>
        <v>Very Good</v>
      </c>
      <c r="AC3187" s="183">
        <f>IFERROR(__xludf.DUMMYFUNCTION("""COMPUTED_VALUE"""),1.0)</f>
        <v>1</v>
      </c>
      <c r="AD3187" s="183">
        <f>IFERROR(__xludf.DUMMYFUNCTION("""COMPUTED_VALUE"""),1.0)</f>
        <v>1</v>
      </c>
      <c r="AE3187" s="183">
        <f>IFERROR(__xludf.DUMMYFUNCTION("""COMPUTED_VALUE"""),10.0)</f>
        <v>10</v>
      </c>
      <c r="AF3187" s="184"/>
      <c r="AG3187" s="180" t="str">
        <f>IFERROR(__xludf.DUMMYFUNCTION("""COMPUTED_VALUE"""),"Rear motor died at 177 miles.")</f>
        <v>Rear motor died at 177 miles.</v>
      </c>
      <c r="AH3187" s="185">
        <f>IFERROR(__xludf.DUMMYFUNCTION("""COMPUTED_VALUE"""),43381.80709311343)</f>
        <v>43381.80709</v>
      </c>
      <c r="AI3187" s="182"/>
      <c r="AJ3187" s="182"/>
      <c r="AK3187" s="182"/>
      <c r="AL3187" s="182"/>
    </row>
    <row r="3188" ht="20.25" customHeight="1">
      <c r="A3188" s="169" t="str">
        <f>IFERROR(__xludf.DUMMYFUNCTION("""COMPUTED_VALUE"""),"rluciano")</f>
        <v>rluciano</v>
      </c>
      <c r="B3188" s="170" t="str">
        <f>IFERROR(__xludf.DUMMYFUNCTION("""COMPUTED_VALUE"""),"Austin")</f>
        <v>Austin</v>
      </c>
      <c r="C3188" s="170" t="str">
        <f>IFERROR(__xludf.DUMMYFUNCTION("""COMPUTED_VALUE"""),"TX")</f>
        <v>TX</v>
      </c>
      <c r="D3188" s="170" t="str">
        <f>IFERROR(__xludf.DUMMYFUNCTION("""COMPUTED_VALUE"""),"USA")</f>
        <v>USA</v>
      </c>
      <c r="E3188" s="171">
        <f>IFERROR(__xludf.DUMMYFUNCTION("""COMPUTED_VALUE"""),43278.0)</f>
        <v>43278</v>
      </c>
      <c r="F3188" s="172">
        <f>IFERROR(__xludf.DUMMYFUNCTION("""COMPUTED_VALUE"""),43354.0)</f>
        <v>43354</v>
      </c>
      <c r="G3188" s="173"/>
      <c r="H3188" s="174">
        <f>IFERROR(__xludf.DUMMYFUNCTION("""COMPUTED_VALUE"""),63325.0)</f>
        <v>63325</v>
      </c>
      <c r="I3188" s="175"/>
      <c r="J3188" s="172">
        <f>IFERROR(__xludf.DUMMYFUNCTION("""COMPUTED_VALUE"""),43367.0)</f>
        <v>43367</v>
      </c>
      <c r="K3188" s="176">
        <f>IFERROR(__xludf.DUMMYFUNCTION("""COMPUTED_VALUE"""),76.0)</f>
        <v>76</v>
      </c>
      <c r="L3188" s="176">
        <f>IFERROR(__xludf.DUMMYFUNCTION("""COMPUTED_VALUE"""),13.0)</f>
        <v>13</v>
      </c>
      <c r="M3188" s="176">
        <f>IFERROR(__xludf.DUMMYFUNCTION("""COMPUTED_VALUE"""),89.0)</f>
        <v>89</v>
      </c>
      <c r="N3188" s="177" t="str">
        <f>IFERROR(__xludf.DUMMYFUNCTION("""COMPUTED_VALUE"""),"Model 3 Performance")</f>
        <v>Model 3 Performance</v>
      </c>
      <c r="O3188" s="177" t="str">
        <f>IFERROR(__xludf.DUMMYFUNCTION("""COMPUTED_VALUE"""),"Red Multi-Coat")</f>
        <v>Red Multi-Coat</v>
      </c>
      <c r="P3188" s="178" t="str">
        <f>IFERROR(__xludf.DUMMYFUNCTION("""COMPUTED_VALUE"""),"20 inch Sport")</f>
        <v>20 inch Sport</v>
      </c>
      <c r="Q3188" s="177" t="str">
        <f>IFERROR(__xludf.DUMMYFUNCTION("""COMPUTED_VALUE"""),"White seats")</f>
        <v>White seats</v>
      </c>
      <c r="R3188" s="170" t="str">
        <f>IFERROR(__xludf.DUMMYFUNCTION("""COMPUTED_VALUE"""),"Full Self-Driving")</f>
        <v>Full Self-Driving</v>
      </c>
      <c r="S3188" s="170"/>
      <c r="T3188" s="179"/>
      <c r="U3188" s="179"/>
      <c r="V3188" s="179"/>
      <c r="W3188" s="180"/>
      <c r="X3188" s="181" t="str">
        <f>IFERROR(__xludf.DUMMYFUNCTION("""COMPUTED_VALUE"""),"Very Good")</f>
        <v>Very Good</v>
      </c>
      <c r="Y3188" s="182" t="str">
        <f>IFERROR(__xludf.DUMMYFUNCTION("""COMPUTED_VALUE"""),"Fair")</f>
        <v>Fair</v>
      </c>
      <c r="Z3188" s="182" t="str">
        <f>IFERROR(__xludf.DUMMYFUNCTION("""COMPUTED_VALUE"""),"Fair")</f>
        <v>Fair</v>
      </c>
      <c r="AA3188" s="182" t="str">
        <f>IFERROR(__xludf.DUMMYFUNCTION("""COMPUTED_VALUE"""),"Poor")</f>
        <v>Poor</v>
      </c>
      <c r="AB3188" s="182" t="str">
        <f>IFERROR(__xludf.DUMMYFUNCTION("""COMPUTED_VALUE"""),"Poor")</f>
        <v>Poor</v>
      </c>
      <c r="AC3188" s="183">
        <f>IFERROR(__xludf.DUMMYFUNCTION("""COMPUTED_VALUE"""),5.0)</f>
        <v>5</v>
      </c>
      <c r="AD3188" s="183"/>
      <c r="AE3188" s="183"/>
      <c r="AF3188" s="184"/>
      <c r="AG3188" s="180"/>
      <c r="AH3188" s="185">
        <f>IFERROR(__xludf.DUMMYFUNCTION("""COMPUTED_VALUE"""),43369.470740567136)</f>
        <v>43369.47074</v>
      </c>
      <c r="AI3188" s="182"/>
      <c r="AJ3188" s="182"/>
      <c r="AK3188" s="182"/>
      <c r="AL3188" s="182"/>
    </row>
    <row r="3189" ht="20.25" customHeight="1">
      <c r="A3189" s="169" t="str">
        <f>IFERROR(__xludf.DUMMYFUNCTION("""COMPUTED_VALUE"""),"robarino")</f>
        <v>robarino</v>
      </c>
      <c r="B3189" s="170" t="str">
        <f>IFERROR(__xludf.DUMMYFUNCTION("""COMPUTED_VALUE"""),"Needham, MA")</f>
        <v>Needham, MA</v>
      </c>
      <c r="C3189" s="170" t="str">
        <f>IFERROR(__xludf.DUMMYFUNCTION("""COMPUTED_VALUE"""),"MA")</f>
        <v>MA</v>
      </c>
      <c r="D3189" s="170" t="str">
        <f>IFERROR(__xludf.DUMMYFUNCTION("""COMPUTED_VALUE"""),"USA")</f>
        <v>USA</v>
      </c>
      <c r="E3189" s="171">
        <f>IFERROR(__xludf.DUMMYFUNCTION("""COMPUTED_VALUE"""),43278.0)</f>
        <v>43278</v>
      </c>
      <c r="F3189" s="172">
        <f>IFERROR(__xludf.DUMMYFUNCTION("""COMPUTED_VALUE"""),43339.0)</f>
        <v>43339</v>
      </c>
      <c r="G3189" s="173"/>
      <c r="H3189" s="174">
        <f>IFERROR(__xludf.DUMMYFUNCTION("""COMPUTED_VALUE"""),77219.0)</f>
        <v>77219</v>
      </c>
      <c r="I3189" s="175"/>
      <c r="J3189" s="172">
        <f>IFERROR(__xludf.DUMMYFUNCTION("""COMPUTED_VALUE"""),43365.0)</f>
        <v>43365</v>
      </c>
      <c r="K3189" s="176">
        <f>IFERROR(__xludf.DUMMYFUNCTION("""COMPUTED_VALUE"""),61.0)</f>
        <v>61</v>
      </c>
      <c r="L3189" s="176">
        <f>IFERROR(__xludf.DUMMYFUNCTION("""COMPUTED_VALUE"""),26.0)</f>
        <v>26</v>
      </c>
      <c r="M3189" s="176">
        <f>IFERROR(__xludf.DUMMYFUNCTION("""COMPUTED_VALUE"""),87.0)</f>
        <v>87</v>
      </c>
      <c r="N3189" s="177" t="str">
        <f>IFERROR(__xludf.DUMMYFUNCTION("""COMPUTED_VALUE"""),"Model 3 LR AWD")</f>
        <v>Model 3 LR AWD</v>
      </c>
      <c r="O3189" s="177" t="str">
        <f>IFERROR(__xludf.DUMMYFUNCTION("""COMPUTED_VALUE"""),"Midnight Silver Metallic")</f>
        <v>Midnight Silver Metallic</v>
      </c>
      <c r="P3189" s="178" t="str">
        <f>IFERROR(__xludf.DUMMYFUNCTION("""COMPUTED_VALUE"""),"18 inch Aero")</f>
        <v>18 inch Aero</v>
      </c>
      <c r="Q3189" s="177" t="str">
        <f>IFERROR(__xludf.DUMMYFUNCTION("""COMPUTED_VALUE"""),"Black seats")</f>
        <v>Black seats</v>
      </c>
      <c r="R3189" s="170" t="str">
        <f>IFERROR(__xludf.DUMMYFUNCTION("""COMPUTED_VALUE"""),"Full Self-Driving")</f>
        <v>Full Self-Driving</v>
      </c>
      <c r="S3189" s="170"/>
      <c r="T3189" s="179"/>
      <c r="U3189" s="179"/>
      <c r="V3189" s="179"/>
      <c r="W3189" s="180"/>
      <c r="X3189" s="181" t="str">
        <f>IFERROR(__xludf.DUMMYFUNCTION("""COMPUTED_VALUE"""),"Very Good")</f>
        <v>Very Good</v>
      </c>
      <c r="Y3189" s="182" t="str">
        <f>IFERROR(__xludf.DUMMYFUNCTION("""COMPUTED_VALUE"""),"Very Good")</f>
        <v>Very Good</v>
      </c>
      <c r="Z3189" s="182" t="str">
        <f>IFERROR(__xludf.DUMMYFUNCTION("""COMPUTED_VALUE"""),"Very Good")</f>
        <v>Very Good</v>
      </c>
      <c r="AA3189" s="182" t="str">
        <f>IFERROR(__xludf.DUMMYFUNCTION("""COMPUTED_VALUE"""),"Fair")</f>
        <v>Fair</v>
      </c>
      <c r="AB3189" s="182"/>
      <c r="AC3189" s="183">
        <f>IFERROR(__xludf.DUMMYFUNCTION("""COMPUTED_VALUE"""),2.0)</f>
        <v>2</v>
      </c>
      <c r="AD3189" s="183"/>
      <c r="AE3189" s="183"/>
      <c r="AF3189" s="184"/>
      <c r="AG3189" s="180"/>
      <c r="AH3189" s="185">
        <f>IFERROR(__xludf.DUMMYFUNCTION("""COMPUTED_VALUE"""),43364.56242865741)</f>
        <v>43364.56243</v>
      </c>
      <c r="AI3189" s="182"/>
      <c r="AJ3189" s="182"/>
      <c r="AK3189" s="182"/>
      <c r="AL3189" s="182"/>
    </row>
    <row r="3190" ht="20.25" customHeight="1">
      <c r="A3190" s="169" t="str">
        <f>IFERROR(__xludf.DUMMYFUNCTION("""COMPUTED_VALUE"""),"roguenode")</f>
        <v>roguenode</v>
      </c>
      <c r="B3190" s="170" t="str">
        <f>IFERROR(__xludf.DUMMYFUNCTION("""COMPUTED_VALUE"""),"Boulder")</f>
        <v>Boulder</v>
      </c>
      <c r="C3190" s="170" t="str">
        <f>IFERROR(__xludf.DUMMYFUNCTION("""COMPUTED_VALUE"""),"CO")</f>
        <v>CO</v>
      </c>
      <c r="D3190" s="170" t="str">
        <f>IFERROR(__xludf.DUMMYFUNCTION("""COMPUTED_VALUE"""),"USA")</f>
        <v>USA</v>
      </c>
      <c r="E3190" s="171">
        <f>IFERROR(__xludf.DUMMYFUNCTION("""COMPUTED_VALUE"""),43278.0)</f>
        <v>43278</v>
      </c>
      <c r="F3190" s="172">
        <f>IFERROR(__xludf.DUMMYFUNCTION("""COMPUTED_VALUE"""),43383.0)</f>
        <v>43383</v>
      </c>
      <c r="G3190" s="173"/>
      <c r="H3190" s="174">
        <f>IFERROR(__xludf.DUMMYFUNCTION("""COMPUTED_VALUE"""),109855.0)</f>
        <v>109855</v>
      </c>
      <c r="I3190" s="175"/>
      <c r="J3190" s="172">
        <f>IFERROR(__xludf.DUMMYFUNCTION("""COMPUTED_VALUE"""),43391.0)</f>
        <v>43391</v>
      </c>
      <c r="K3190" s="176">
        <f>IFERROR(__xludf.DUMMYFUNCTION("""COMPUTED_VALUE"""),105.0)</f>
        <v>105</v>
      </c>
      <c r="L3190" s="176">
        <f>IFERROR(__xludf.DUMMYFUNCTION("""COMPUTED_VALUE"""),8.0)</f>
        <v>8</v>
      </c>
      <c r="M3190" s="176">
        <f>IFERROR(__xludf.DUMMYFUNCTION("""COMPUTED_VALUE"""),113.0)</f>
        <v>113</v>
      </c>
      <c r="N3190" s="177" t="str">
        <f>IFERROR(__xludf.DUMMYFUNCTION("""COMPUTED_VALUE"""),"Model 3 Performance")</f>
        <v>Model 3 Performance</v>
      </c>
      <c r="O3190" s="177" t="str">
        <f>IFERROR(__xludf.DUMMYFUNCTION("""COMPUTED_VALUE"""),"Red Multi-Coat")</f>
        <v>Red Multi-Coat</v>
      </c>
      <c r="P3190" s="178" t="str">
        <f>IFERROR(__xludf.DUMMYFUNCTION("""COMPUTED_VALUE"""),"20 inch Sport")</f>
        <v>20 inch Sport</v>
      </c>
      <c r="Q3190" s="177" t="str">
        <f>IFERROR(__xludf.DUMMYFUNCTION("""COMPUTED_VALUE"""),"White seats")</f>
        <v>White seats</v>
      </c>
      <c r="R3190" s="170" t="str">
        <f>IFERROR(__xludf.DUMMYFUNCTION("""COMPUTED_VALUE"""),"None")</f>
        <v>None</v>
      </c>
      <c r="S3190" s="170"/>
      <c r="T3190" s="179"/>
      <c r="U3190" s="179"/>
      <c r="V3190" s="179"/>
      <c r="W3190" s="180"/>
      <c r="X3190" s="181" t="str">
        <f>IFERROR(__xludf.DUMMYFUNCTION("""COMPUTED_VALUE"""),"Very Good")</f>
        <v>Very Good</v>
      </c>
      <c r="Y3190" s="182" t="str">
        <f>IFERROR(__xludf.DUMMYFUNCTION("""COMPUTED_VALUE"""),"Very Good")</f>
        <v>Very Good</v>
      </c>
      <c r="Z3190" s="182" t="str">
        <f>IFERROR(__xludf.DUMMYFUNCTION("""COMPUTED_VALUE"""),"Good")</f>
        <v>Good</v>
      </c>
      <c r="AA3190" s="182" t="str">
        <f>IFERROR(__xludf.DUMMYFUNCTION("""COMPUTED_VALUE"""),"Fair")</f>
        <v>Fair</v>
      </c>
      <c r="AB3190" s="182" t="str">
        <f>IFERROR(__xludf.DUMMYFUNCTION("""COMPUTED_VALUE"""),"Good")</f>
        <v>Good</v>
      </c>
      <c r="AC3190" s="183"/>
      <c r="AD3190" s="183"/>
      <c r="AE3190" s="183"/>
      <c r="AF3190" s="184"/>
      <c r="AG3190" s="180"/>
      <c r="AH3190" s="185">
        <f>IFERROR(__xludf.DUMMYFUNCTION("""COMPUTED_VALUE"""),43393.30015181713)</f>
        <v>43393.30015</v>
      </c>
      <c r="AI3190" s="182"/>
      <c r="AJ3190" s="182"/>
      <c r="AK3190" s="182"/>
      <c r="AL3190" s="182"/>
    </row>
    <row r="3191" ht="20.25" customHeight="1">
      <c r="A3191" s="169" t="str">
        <f>IFERROR(__xludf.DUMMYFUNCTION("""COMPUTED_VALUE"""),"row5")</f>
        <v>row5</v>
      </c>
      <c r="B3191" s="170"/>
      <c r="C3191" s="170" t="str">
        <f>IFERROR(__xludf.DUMMYFUNCTION("""COMPUTED_VALUE"""),"PA")</f>
        <v>PA</v>
      </c>
      <c r="D3191" s="170" t="str">
        <f>IFERROR(__xludf.DUMMYFUNCTION("""COMPUTED_VALUE"""),"USA")</f>
        <v>USA</v>
      </c>
      <c r="E3191" s="171">
        <f>IFERROR(__xludf.DUMMYFUNCTION("""COMPUTED_VALUE"""),43278.0)</f>
        <v>43278</v>
      </c>
      <c r="F3191" s="172">
        <f>IFERROR(__xludf.DUMMYFUNCTION("""COMPUTED_VALUE"""),43329.0)</f>
        <v>43329</v>
      </c>
      <c r="G3191" s="173"/>
      <c r="H3191" s="174">
        <f>IFERROR(__xludf.DUMMYFUNCTION("""COMPUTED_VALUE"""),67955.0)</f>
        <v>67955</v>
      </c>
      <c r="I3191" s="175" t="str">
        <f>IFERROR(__xludf.DUMMYFUNCTION("""COMPUTED_VALUE"""),"07/18")</f>
        <v>07/18</v>
      </c>
      <c r="J3191" s="172">
        <f>IFERROR(__xludf.DUMMYFUNCTION("""COMPUTED_VALUE"""),43343.0)</f>
        <v>43343</v>
      </c>
      <c r="K3191" s="176">
        <f>IFERROR(__xludf.DUMMYFUNCTION("""COMPUTED_VALUE"""),51.0)</f>
        <v>51</v>
      </c>
      <c r="L3191" s="176">
        <f>IFERROR(__xludf.DUMMYFUNCTION("""COMPUTED_VALUE"""),14.0)</f>
        <v>14</v>
      </c>
      <c r="M3191" s="176">
        <f>IFERROR(__xludf.DUMMYFUNCTION("""COMPUTED_VALUE"""),65.0)</f>
        <v>65</v>
      </c>
      <c r="N3191" s="177" t="str">
        <f>IFERROR(__xludf.DUMMYFUNCTION("""COMPUTED_VALUE"""),"Model 3 LR AWD")</f>
        <v>Model 3 LR AWD</v>
      </c>
      <c r="O3191" s="177" t="str">
        <f>IFERROR(__xludf.DUMMYFUNCTION("""COMPUTED_VALUE"""),"Solid Black")</f>
        <v>Solid Black</v>
      </c>
      <c r="P3191" s="178" t="str">
        <f>IFERROR(__xludf.DUMMYFUNCTION("""COMPUTED_VALUE"""),"18 inch Aero")</f>
        <v>18 inch Aero</v>
      </c>
      <c r="Q3191" s="177" t="str">
        <f>IFERROR(__xludf.DUMMYFUNCTION("""COMPUTED_VALUE"""),"Black seats")</f>
        <v>Black seats</v>
      </c>
      <c r="R3191" s="170" t="str">
        <f>IFERROR(__xludf.DUMMYFUNCTION("""COMPUTED_VALUE"""),"None")</f>
        <v>None</v>
      </c>
      <c r="S3191" s="170"/>
      <c r="T3191" s="179"/>
      <c r="U3191" s="179"/>
      <c r="V3191" s="179"/>
      <c r="W3191" s="180"/>
      <c r="X3191" s="181" t="str">
        <f>IFERROR(__xludf.DUMMYFUNCTION("""COMPUTED_VALUE"""),"Very Good")</f>
        <v>Very Good</v>
      </c>
      <c r="Y3191" s="182" t="str">
        <f>IFERROR(__xludf.DUMMYFUNCTION("""COMPUTED_VALUE"""),"Excellent")</f>
        <v>Excellent</v>
      </c>
      <c r="Z3191" s="182" t="str">
        <f>IFERROR(__xludf.DUMMYFUNCTION("""COMPUTED_VALUE"""),"Very Good")</f>
        <v>Very Good</v>
      </c>
      <c r="AA3191" s="182" t="str">
        <f>IFERROR(__xludf.DUMMYFUNCTION("""COMPUTED_VALUE"""),"Very Good")</f>
        <v>Very Good</v>
      </c>
      <c r="AB3191" s="182" t="str">
        <f>IFERROR(__xludf.DUMMYFUNCTION("""COMPUTED_VALUE"""),"Excellent")</f>
        <v>Excellent</v>
      </c>
      <c r="AC3191" s="183"/>
      <c r="AD3191" s="183"/>
      <c r="AE3191" s="183"/>
      <c r="AF3191" s="184"/>
      <c r="AG3191" s="180"/>
      <c r="AH3191" s="185">
        <f>IFERROR(__xludf.DUMMYFUNCTION("""COMPUTED_VALUE"""),43367.63823188657)</f>
        <v>43367.63823</v>
      </c>
      <c r="AI3191" s="182"/>
      <c r="AJ3191" s="182"/>
      <c r="AK3191" s="182"/>
      <c r="AL3191" s="182"/>
    </row>
    <row r="3192" ht="20.25" customHeight="1">
      <c r="A3192" s="169" t="str">
        <f>IFERROR(__xludf.DUMMYFUNCTION("""COMPUTED_VALUE"""),"run4life")</f>
        <v>run4life</v>
      </c>
      <c r="B3192" s="170" t="str">
        <f>IFERROR(__xludf.DUMMYFUNCTION("""COMPUTED_VALUE"""),"Arcadia")</f>
        <v>Arcadia</v>
      </c>
      <c r="C3192" s="170" t="str">
        <f>IFERROR(__xludf.DUMMYFUNCTION("""COMPUTED_VALUE"""),"CA")</f>
        <v>CA</v>
      </c>
      <c r="D3192" s="170" t="str">
        <f>IFERROR(__xludf.DUMMYFUNCTION("""COMPUTED_VALUE"""),"USA")</f>
        <v>USA</v>
      </c>
      <c r="E3192" s="171">
        <f>IFERROR(__xludf.DUMMYFUNCTION("""COMPUTED_VALUE"""),43278.0)</f>
        <v>43278</v>
      </c>
      <c r="F3192" s="172"/>
      <c r="G3192" s="173"/>
      <c r="H3192" s="174">
        <f>IFERROR(__xludf.DUMMYFUNCTION("""COMPUTED_VALUE"""),63655.0)</f>
        <v>63655</v>
      </c>
      <c r="I3192" s="175"/>
      <c r="J3192" s="172">
        <f>IFERROR(__xludf.DUMMYFUNCTION("""COMPUTED_VALUE"""),43323.0)</f>
        <v>43323</v>
      </c>
      <c r="K3192" s="176"/>
      <c r="L3192" s="176"/>
      <c r="M3192" s="176">
        <f>IFERROR(__xludf.DUMMYFUNCTION("""COMPUTED_VALUE"""),45.0)</f>
        <v>45</v>
      </c>
      <c r="N3192" s="177" t="str">
        <f>IFERROR(__xludf.DUMMYFUNCTION("""COMPUTED_VALUE"""),"Model 3 LR AWD")</f>
        <v>Model 3 LR AWD</v>
      </c>
      <c r="O3192" s="177" t="str">
        <f>IFERROR(__xludf.DUMMYFUNCTION("""COMPUTED_VALUE"""),"Deep Blue Metallic")</f>
        <v>Deep Blue Metallic</v>
      </c>
      <c r="P3192" s="178" t="str">
        <f>IFERROR(__xludf.DUMMYFUNCTION("""COMPUTED_VALUE"""),"19 inch Sport")</f>
        <v>19 inch Sport</v>
      </c>
      <c r="Q3192" s="177" t="str">
        <f>IFERROR(__xludf.DUMMYFUNCTION("""COMPUTED_VALUE"""),"Black seats")</f>
        <v>Black seats</v>
      </c>
      <c r="R3192" s="170" t="str">
        <f>IFERROR(__xludf.DUMMYFUNCTION("""COMPUTED_VALUE"""),"Enhanced Autopilot")</f>
        <v>Enhanced Autopilot</v>
      </c>
      <c r="S3192" s="170"/>
      <c r="T3192" s="179"/>
      <c r="U3192" s="179"/>
      <c r="V3192" s="179"/>
      <c r="W3192" s="180"/>
      <c r="X3192" s="181" t="str">
        <f>IFERROR(__xludf.DUMMYFUNCTION("""COMPUTED_VALUE"""),"Very Good")</f>
        <v>Very Good</v>
      </c>
      <c r="Y3192" s="182" t="str">
        <f>IFERROR(__xludf.DUMMYFUNCTION("""COMPUTED_VALUE"""),"Very Good")</f>
        <v>Very Good</v>
      </c>
      <c r="Z3192" s="182" t="str">
        <f>IFERROR(__xludf.DUMMYFUNCTION("""COMPUTED_VALUE"""),"Good")</f>
        <v>Good</v>
      </c>
      <c r="AA3192" s="182" t="str">
        <f>IFERROR(__xludf.DUMMYFUNCTION("""COMPUTED_VALUE"""),"Good")</f>
        <v>Good</v>
      </c>
      <c r="AB3192" s="182" t="str">
        <f>IFERROR(__xludf.DUMMYFUNCTION("""COMPUTED_VALUE"""),"Very Good")</f>
        <v>Very Good</v>
      </c>
      <c r="AC3192" s="183">
        <f>IFERROR(__xludf.DUMMYFUNCTION("""COMPUTED_VALUE"""),0.0)</f>
        <v>0</v>
      </c>
      <c r="AD3192" s="183">
        <f>IFERROR(__xludf.DUMMYFUNCTION("""COMPUTED_VALUE"""),0.0)</f>
        <v>0</v>
      </c>
      <c r="AE3192" s="183"/>
      <c r="AF3192" s="184"/>
      <c r="AG3192" s="180" t="str">
        <f>IFERROR(__xludf.DUMMYFUNCTION("""COMPUTED_VALUE"""),"I found some paint issues after the 30 days period.   There was a slight dent and it looked like they touched it up.")</f>
        <v>I found some paint issues after the 30 days period.   There was a slight dent and it looked like they touched it up.</v>
      </c>
      <c r="AH3192" s="185">
        <f>IFERROR(__xludf.DUMMYFUNCTION("""COMPUTED_VALUE"""),43370.37510539352)</f>
        <v>43370.37511</v>
      </c>
      <c r="AI3192" s="182"/>
      <c r="AJ3192" s="182"/>
      <c r="AK3192" s="182"/>
      <c r="AL3192" s="182"/>
    </row>
    <row r="3193" ht="20.25" customHeight="1">
      <c r="A3193" s="169" t="str">
        <f>IFERROR(__xludf.DUMMYFUNCTION("""COMPUTED_VALUE"""),"rusane")</f>
        <v>rusane</v>
      </c>
      <c r="B3193" s="170"/>
      <c r="C3193" s="170" t="str">
        <f>IFERROR(__xludf.DUMMYFUNCTION("""COMPUTED_VALUE"""),"CT")</f>
        <v>CT</v>
      </c>
      <c r="D3193" s="170" t="str">
        <f>IFERROR(__xludf.DUMMYFUNCTION("""COMPUTED_VALUE"""),"USA")</f>
        <v>USA</v>
      </c>
      <c r="E3193" s="171">
        <f>IFERROR(__xludf.DUMMYFUNCTION("""COMPUTED_VALUE"""),43278.0)</f>
        <v>43278</v>
      </c>
      <c r="F3193" s="172">
        <f>IFERROR(__xludf.DUMMYFUNCTION("""COMPUTED_VALUE"""),43382.0)</f>
        <v>43382</v>
      </c>
      <c r="G3193" s="173"/>
      <c r="H3193" s="174">
        <f>IFERROR(__xludf.DUMMYFUNCTION("""COMPUTED_VALUE"""),93155.0)</f>
        <v>93155</v>
      </c>
      <c r="I3193" s="175" t="str">
        <f>IFERROR(__xludf.DUMMYFUNCTION("""COMPUTED_VALUE"""),"09/18")</f>
        <v>09/18</v>
      </c>
      <c r="J3193" s="172">
        <f>IFERROR(__xludf.DUMMYFUNCTION("""COMPUTED_VALUE"""),43399.0)</f>
        <v>43399</v>
      </c>
      <c r="K3193" s="176">
        <f>IFERROR(__xludf.DUMMYFUNCTION("""COMPUTED_VALUE"""),104.0)</f>
        <v>104</v>
      </c>
      <c r="L3193" s="176">
        <f>IFERROR(__xludf.DUMMYFUNCTION("""COMPUTED_VALUE"""),17.0)</f>
        <v>17</v>
      </c>
      <c r="M3193" s="176">
        <f>IFERROR(__xludf.DUMMYFUNCTION("""COMPUTED_VALUE"""),121.0)</f>
        <v>121</v>
      </c>
      <c r="N3193" s="177" t="str">
        <f>IFERROR(__xludf.DUMMYFUNCTION("""COMPUTED_VALUE"""),"Model 3 LR AWD")</f>
        <v>Model 3 LR AWD</v>
      </c>
      <c r="O3193" s="177" t="str">
        <f>IFERROR(__xludf.DUMMYFUNCTION("""COMPUTED_VALUE"""),"Midnight Silver Metallic")</f>
        <v>Midnight Silver Metallic</v>
      </c>
      <c r="P3193" s="178" t="str">
        <f>IFERROR(__xludf.DUMMYFUNCTION("""COMPUTED_VALUE"""),"18 inch Aero")</f>
        <v>18 inch Aero</v>
      </c>
      <c r="Q3193" s="177" t="str">
        <f>IFERROR(__xludf.DUMMYFUNCTION("""COMPUTED_VALUE"""),"Black seats")</f>
        <v>Black seats</v>
      </c>
      <c r="R3193" s="170" t="str">
        <f>IFERROR(__xludf.DUMMYFUNCTION("""COMPUTED_VALUE"""),"None")</f>
        <v>None</v>
      </c>
      <c r="S3193" s="170"/>
      <c r="T3193" s="179"/>
      <c r="U3193" s="179"/>
      <c r="V3193" s="179"/>
      <c r="W3193" s="180"/>
      <c r="X3193" s="181" t="str">
        <f>IFERROR(__xludf.DUMMYFUNCTION("""COMPUTED_VALUE"""),"Very Good")</f>
        <v>Very Good</v>
      </c>
      <c r="Y3193" s="182" t="str">
        <f>IFERROR(__xludf.DUMMYFUNCTION("""COMPUTED_VALUE"""),"Excellent")</f>
        <v>Excellent</v>
      </c>
      <c r="Z3193" s="182" t="str">
        <f>IFERROR(__xludf.DUMMYFUNCTION("""COMPUTED_VALUE"""),"Excellent")</f>
        <v>Excellent</v>
      </c>
      <c r="AA3193" s="182" t="str">
        <f>IFERROR(__xludf.DUMMYFUNCTION("""COMPUTED_VALUE"""),"Good")</f>
        <v>Good</v>
      </c>
      <c r="AB3193" s="182" t="str">
        <f>IFERROR(__xludf.DUMMYFUNCTION("""COMPUTED_VALUE"""),"Very Good")</f>
        <v>Very Good</v>
      </c>
      <c r="AC3193" s="183">
        <f>IFERROR(__xludf.DUMMYFUNCTION("""COMPUTED_VALUE"""),2.0)</f>
        <v>2</v>
      </c>
      <c r="AD3193" s="183">
        <f>IFERROR(__xludf.DUMMYFUNCTION("""COMPUTED_VALUE"""),1.0)</f>
        <v>1</v>
      </c>
      <c r="AE3193" s="183">
        <f>IFERROR(__xludf.DUMMYFUNCTION("""COMPUTED_VALUE"""),0.0)</f>
        <v>0</v>
      </c>
      <c r="AF3193" s="184"/>
      <c r="AG3193" s="180" t="str">
        <f>IFERROR(__xludf.DUMMYFUNCTION("""COMPUTED_VALUE"""),"Only found out about VIN by calling. Needed service for turnsignal stalk that wouldn’t distinguish between full signal and lame change, and squeaking phone tray. Mobile service corrected both inside of an hour.")</f>
        <v>Only found out about VIN by calling. Needed service for turnsignal stalk that wouldn’t distinguish between full signal and lame change, and squeaking phone tray. Mobile service corrected both inside of an hour.</v>
      </c>
      <c r="AH3193" s="185">
        <f>IFERROR(__xludf.DUMMYFUNCTION("""COMPUTED_VALUE"""),43433.811987905094)</f>
        <v>43433.81199</v>
      </c>
      <c r="AI3193" s="182"/>
      <c r="AJ3193" s="182"/>
      <c r="AK3193" s="182"/>
      <c r="AL3193" s="182"/>
    </row>
    <row r="3194" ht="20.25" customHeight="1">
      <c r="A3194" s="169" t="str">
        <f>IFERROR(__xludf.DUMMYFUNCTION("""COMPUTED_VALUE"""),"rwzehner")</f>
        <v>rwzehner</v>
      </c>
      <c r="B3194" s="170" t="str">
        <f>IFERROR(__xludf.DUMMYFUNCTION("""COMPUTED_VALUE"""),"Bay Area")</f>
        <v>Bay Area</v>
      </c>
      <c r="C3194" s="170" t="str">
        <f>IFERROR(__xludf.DUMMYFUNCTION("""COMPUTED_VALUE"""),"CA")</f>
        <v>CA</v>
      </c>
      <c r="D3194" s="170" t="str">
        <f>IFERROR(__xludf.DUMMYFUNCTION("""COMPUTED_VALUE"""),"USA")</f>
        <v>USA</v>
      </c>
      <c r="E3194" s="171">
        <f>IFERROR(__xludf.DUMMYFUNCTION("""COMPUTED_VALUE"""),43278.0)</f>
        <v>43278</v>
      </c>
      <c r="F3194" s="172">
        <f>IFERROR(__xludf.DUMMYFUNCTION("""COMPUTED_VALUE"""),43366.0)</f>
        <v>43366</v>
      </c>
      <c r="G3194" s="173"/>
      <c r="H3194" s="174">
        <f>IFERROR(__xludf.DUMMYFUNCTION("""COMPUTED_VALUE"""),112655.0)</f>
        <v>112655</v>
      </c>
      <c r="I3194" s="175" t="str">
        <f>IFERROR(__xludf.DUMMYFUNCTION("""COMPUTED_VALUE"""),"09/18")</f>
        <v>09/18</v>
      </c>
      <c r="J3194" s="172">
        <f>IFERROR(__xludf.DUMMYFUNCTION("""COMPUTED_VALUE"""),43368.0)</f>
        <v>43368</v>
      </c>
      <c r="K3194" s="176">
        <f>IFERROR(__xludf.DUMMYFUNCTION("""COMPUTED_VALUE"""),88.0)</f>
        <v>88</v>
      </c>
      <c r="L3194" s="176">
        <f>IFERROR(__xludf.DUMMYFUNCTION("""COMPUTED_VALUE"""),2.0)</f>
        <v>2</v>
      </c>
      <c r="M3194" s="176">
        <f>IFERROR(__xludf.DUMMYFUNCTION("""COMPUTED_VALUE"""),90.0)</f>
        <v>90</v>
      </c>
      <c r="N3194" s="177" t="str">
        <f>IFERROR(__xludf.DUMMYFUNCTION("""COMPUTED_VALUE"""),"Model 3 Performance")</f>
        <v>Model 3 Performance</v>
      </c>
      <c r="O3194" s="177" t="str">
        <f>IFERROR(__xludf.DUMMYFUNCTION("""COMPUTED_VALUE"""),"Deep Blue Metallic")</f>
        <v>Deep Blue Metallic</v>
      </c>
      <c r="P3194" s="178" t="str">
        <f>IFERROR(__xludf.DUMMYFUNCTION("""COMPUTED_VALUE"""),"18 inch Aero")</f>
        <v>18 inch Aero</v>
      </c>
      <c r="Q3194" s="177" t="str">
        <f>IFERROR(__xludf.DUMMYFUNCTION("""COMPUTED_VALUE"""),"Black seats")</f>
        <v>Black seats</v>
      </c>
      <c r="R3194" s="170" t="str">
        <f>IFERROR(__xludf.DUMMYFUNCTION("""COMPUTED_VALUE"""),"Enhanced Autopilot")</f>
        <v>Enhanced Autopilot</v>
      </c>
      <c r="S3194" s="170"/>
      <c r="T3194" s="179"/>
      <c r="U3194" s="179"/>
      <c r="V3194" s="179"/>
      <c r="W3194" s="180"/>
      <c r="X3194" s="181" t="str">
        <f>IFERROR(__xludf.DUMMYFUNCTION("""COMPUTED_VALUE"""),"Very Good")</f>
        <v>Very Good</v>
      </c>
      <c r="Y3194" s="182" t="str">
        <f>IFERROR(__xludf.DUMMYFUNCTION("""COMPUTED_VALUE"""),"Very Good")</f>
        <v>Very Good</v>
      </c>
      <c r="Z3194" s="182" t="str">
        <f>IFERROR(__xludf.DUMMYFUNCTION("""COMPUTED_VALUE"""),"Fair")</f>
        <v>Fair</v>
      </c>
      <c r="AA3194" s="182" t="str">
        <f>IFERROR(__xludf.DUMMYFUNCTION("""COMPUTED_VALUE"""),"Fair")</f>
        <v>Fair</v>
      </c>
      <c r="AB3194" s="182" t="str">
        <f>IFERROR(__xludf.DUMMYFUNCTION("""COMPUTED_VALUE"""),"Fair")</f>
        <v>Fair</v>
      </c>
      <c r="AC3194" s="183">
        <f>IFERROR(__xludf.DUMMYFUNCTION("""COMPUTED_VALUE"""),4.0)</f>
        <v>4</v>
      </c>
      <c r="AD3194" s="183"/>
      <c r="AE3194" s="183"/>
      <c r="AF3194" s="184"/>
      <c r="AG3194" s="180"/>
      <c r="AH3194" s="185">
        <f>IFERROR(__xludf.DUMMYFUNCTION("""COMPUTED_VALUE"""),43370.621262152774)</f>
        <v>43370.62126</v>
      </c>
      <c r="AI3194" s="182"/>
      <c r="AJ3194" s="182"/>
      <c r="AK3194" s="182"/>
      <c r="AL3194" s="182"/>
    </row>
    <row r="3195" ht="20.25" customHeight="1">
      <c r="A3195" s="169" t="str">
        <f>IFERROR(__xludf.DUMMYFUNCTION("""COMPUTED_VALUE"""),"Rzrsharp")</f>
        <v>Rzrsharp</v>
      </c>
      <c r="B3195" s="170" t="str">
        <f>IFERROR(__xludf.DUMMYFUNCTION("""COMPUTED_VALUE"""),"Raleigh")</f>
        <v>Raleigh</v>
      </c>
      <c r="C3195" s="170" t="str">
        <f>IFERROR(__xludf.DUMMYFUNCTION("""COMPUTED_VALUE"""),"NC")</f>
        <v>NC</v>
      </c>
      <c r="D3195" s="170" t="str">
        <f>IFERROR(__xludf.DUMMYFUNCTION("""COMPUTED_VALUE"""),"USA")</f>
        <v>USA</v>
      </c>
      <c r="E3195" s="171">
        <f>IFERROR(__xludf.DUMMYFUNCTION("""COMPUTED_VALUE"""),43278.0)</f>
        <v>43278</v>
      </c>
      <c r="F3195" s="172">
        <f>IFERROR(__xludf.DUMMYFUNCTION("""COMPUTED_VALUE"""),43390.0)</f>
        <v>43390</v>
      </c>
      <c r="G3195" s="173"/>
      <c r="H3195" s="174">
        <f>IFERROR(__xludf.DUMMYFUNCTION("""COMPUTED_VALUE"""),114355.0)</f>
        <v>114355</v>
      </c>
      <c r="I3195" s="175" t="str">
        <f>IFERROR(__xludf.DUMMYFUNCTION("""COMPUTED_VALUE"""),"10/18")</f>
        <v>10/18</v>
      </c>
      <c r="J3195" s="172">
        <f>IFERROR(__xludf.DUMMYFUNCTION("""COMPUTED_VALUE"""),43404.0)</f>
        <v>43404</v>
      </c>
      <c r="K3195" s="176">
        <f>IFERROR(__xludf.DUMMYFUNCTION("""COMPUTED_VALUE"""),112.0)</f>
        <v>112</v>
      </c>
      <c r="L3195" s="176">
        <f>IFERROR(__xludf.DUMMYFUNCTION("""COMPUTED_VALUE"""),14.0)</f>
        <v>14</v>
      </c>
      <c r="M3195" s="176">
        <f>IFERROR(__xludf.DUMMYFUNCTION("""COMPUTED_VALUE"""),126.0)</f>
        <v>126</v>
      </c>
      <c r="N3195" s="177" t="str">
        <f>IFERROR(__xludf.DUMMYFUNCTION("""COMPUTED_VALUE"""),"Model 3 LR AWD")</f>
        <v>Model 3 LR AWD</v>
      </c>
      <c r="O3195" s="177" t="str">
        <f>IFERROR(__xludf.DUMMYFUNCTION("""COMPUTED_VALUE"""),"Midnight Silver Metallic")</f>
        <v>Midnight Silver Metallic</v>
      </c>
      <c r="P3195" s="178" t="str">
        <f>IFERROR(__xludf.DUMMYFUNCTION("""COMPUTED_VALUE"""),"18 inch Aero")</f>
        <v>18 inch Aero</v>
      </c>
      <c r="Q3195" s="177" t="str">
        <f>IFERROR(__xludf.DUMMYFUNCTION("""COMPUTED_VALUE"""),"Black seats")</f>
        <v>Black seats</v>
      </c>
      <c r="R3195" s="170" t="str">
        <f>IFERROR(__xludf.DUMMYFUNCTION("""COMPUTED_VALUE"""),"None")</f>
        <v>None</v>
      </c>
      <c r="S3195" s="170"/>
      <c r="T3195" s="179"/>
      <c r="U3195" s="179"/>
      <c r="V3195" s="179"/>
      <c r="W3195" s="180"/>
      <c r="X3195" s="181" t="str">
        <f>IFERROR(__xludf.DUMMYFUNCTION("""COMPUTED_VALUE"""),"Excellent")</f>
        <v>Excellent</v>
      </c>
      <c r="Y3195" s="182" t="str">
        <f>IFERROR(__xludf.DUMMYFUNCTION("""COMPUTED_VALUE"""),"Excellent")</f>
        <v>Excellent</v>
      </c>
      <c r="Z3195" s="182" t="str">
        <f>IFERROR(__xludf.DUMMYFUNCTION("""COMPUTED_VALUE"""),"Excellent")</f>
        <v>Excellent</v>
      </c>
      <c r="AA3195" s="182" t="str">
        <f>IFERROR(__xludf.DUMMYFUNCTION("""COMPUTED_VALUE"""),"Good")</f>
        <v>Good</v>
      </c>
      <c r="AB3195" s="182" t="str">
        <f>IFERROR(__xludf.DUMMYFUNCTION("""COMPUTED_VALUE"""),"Very Good")</f>
        <v>Very Good</v>
      </c>
      <c r="AC3195" s="183">
        <f>IFERROR(__xludf.DUMMYFUNCTION("""COMPUTED_VALUE"""),1.0)</f>
        <v>1</v>
      </c>
      <c r="AD3195" s="183"/>
      <c r="AE3195" s="183"/>
      <c r="AF3195" s="184"/>
      <c r="AG3195" s="180"/>
      <c r="AH3195" s="185">
        <f>IFERROR(__xludf.DUMMYFUNCTION("""COMPUTED_VALUE"""),43405.49336966435)</f>
        <v>43405.49337</v>
      </c>
      <c r="AI3195" s="182"/>
      <c r="AJ3195" s="182"/>
      <c r="AK3195" s="182"/>
      <c r="AL3195" s="182"/>
    </row>
    <row r="3196" ht="20.25" customHeight="1">
      <c r="A3196" s="169" t="str">
        <f>IFERROR(__xludf.DUMMYFUNCTION("""COMPUTED_VALUE"""),"sberna2")</f>
        <v>sberna2</v>
      </c>
      <c r="B3196" s="170" t="str">
        <f>IFERROR(__xludf.DUMMYFUNCTION("""COMPUTED_VALUE"""),"Alexandria")</f>
        <v>Alexandria</v>
      </c>
      <c r="C3196" s="170" t="str">
        <f>IFERROR(__xludf.DUMMYFUNCTION("""COMPUTED_VALUE"""),"VA")</f>
        <v>VA</v>
      </c>
      <c r="D3196" s="170" t="str">
        <f>IFERROR(__xludf.DUMMYFUNCTION("""COMPUTED_VALUE"""),"USA")</f>
        <v>USA</v>
      </c>
      <c r="E3196" s="171">
        <f>IFERROR(__xludf.DUMMYFUNCTION("""COMPUTED_VALUE"""),43278.0)</f>
        <v>43278</v>
      </c>
      <c r="F3196" s="172">
        <f>IFERROR(__xludf.DUMMYFUNCTION("""COMPUTED_VALUE"""),43341.0)</f>
        <v>43341</v>
      </c>
      <c r="G3196" s="173"/>
      <c r="H3196" s="174">
        <f>IFERROR(__xludf.DUMMYFUNCTION("""COMPUTED_VALUE"""),72060.0)</f>
        <v>72060</v>
      </c>
      <c r="I3196" s="175" t="str">
        <f>IFERROR(__xludf.DUMMYFUNCTION("""COMPUTED_VALUE"""),"08/18")</f>
        <v>08/18</v>
      </c>
      <c r="J3196" s="172">
        <f>IFERROR(__xludf.DUMMYFUNCTION("""COMPUTED_VALUE"""),43349.0)</f>
        <v>43349</v>
      </c>
      <c r="K3196" s="176">
        <f>IFERROR(__xludf.DUMMYFUNCTION("""COMPUTED_VALUE"""),63.0)</f>
        <v>63</v>
      </c>
      <c r="L3196" s="176">
        <f>IFERROR(__xludf.DUMMYFUNCTION("""COMPUTED_VALUE"""),8.0)</f>
        <v>8</v>
      </c>
      <c r="M3196" s="176">
        <f>IFERROR(__xludf.DUMMYFUNCTION("""COMPUTED_VALUE"""),71.0)</f>
        <v>71</v>
      </c>
      <c r="N3196" s="177" t="str">
        <f>IFERROR(__xludf.DUMMYFUNCTION("""COMPUTED_VALUE"""),"Model 3 Performance")</f>
        <v>Model 3 Performance</v>
      </c>
      <c r="O3196" s="177" t="str">
        <f>IFERROR(__xludf.DUMMYFUNCTION("""COMPUTED_VALUE"""),"Silver Metallic")</f>
        <v>Silver Metallic</v>
      </c>
      <c r="P3196" s="178" t="str">
        <f>IFERROR(__xludf.DUMMYFUNCTION("""COMPUTED_VALUE"""),"20 inch Sport")</f>
        <v>20 inch Sport</v>
      </c>
      <c r="Q3196" s="177" t="str">
        <f>IFERROR(__xludf.DUMMYFUNCTION("""COMPUTED_VALUE"""),"Black seats")</f>
        <v>Black seats</v>
      </c>
      <c r="R3196" s="170" t="str">
        <f>IFERROR(__xludf.DUMMYFUNCTION("""COMPUTED_VALUE"""),"Enhanced Autopilot")</f>
        <v>Enhanced Autopilot</v>
      </c>
      <c r="S3196" s="170"/>
      <c r="T3196" s="179"/>
      <c r="U3196" s="179"/>
      <c r="V3196" s="179"/>
      <c r="W3196" s="180"/>
      <c r="X3196" s="181" t="str">
        <f>IFERROR(__xludf.DUMMYFUNCTION("""COMPUTED_VALUE"""),"Excellent")</f>
        <v>Excellent</v>
      </c>
      <c r="Y3196" s="182" t="str">
        <f>IFERROR(__xludf.DUMMYFUNCTION("""COMPUTED_VALUE"""),"Excellent")</f>
        <v>Excellent</v>
      </c>
      <c r="Z3196" s="182" t="str">
        <f>IFERROR(__xludf.DUMMYFUNCTION("""COMPUTED_VALUE"""),"Excellent")</f>
        <v>Excellent</v>
      </c>
      <c r="AA3196" s="182" t="str">
        <f>IFERROR(__xludf.DUMMYFUNCTION("""COMPUTED_VALUE"""),"Fair")</f>
        <v>Fair</v>
      </c>
      <c r="AB3196" s="182" t="str">
        <f>IFERROR(__xludf.DUMMYFUNCTION("""COMPUTED_VALUE"""),"Good")</f>
        <v>Good</v>
      </c>
      <c r="AC3196" s="183"/>
      <c r="AD3196" s="183"/>
      <c r="AE3196" s="183"/>
      <c r="AF3196" s="184"/>
      <c r="AG3196" s="180"/>
      <c r="AH3196" s="185">
        <f>IFERROR(__xludf.DUMMYFUNCTION("""COMPUTED_VALUE"""),43353.25272689815)</f>
        <v>43353.25273</v>
      </c>
      <c r="AI3196" s="182"/>
      <c r="AJ3196" s="182"/>
      <c r="AK3196" s="182"/>
      <c r="AL3196" s="182"/>
    </row>
    <row r="3197" ht="20.25" customHeight="1">
      <c r="A3197" s="169" t="str">
        <f>IFERROR(__xludf.DUMMYFUNCTION("""COMPUTED_VALUE"""),"scfleener")</f>
        <v>scfleener</v>
      </c>
      <c r="B3197" s="170" t="str">
        <f>IFERROR(__xludf.DUMMYFUNCTION("""COMPUTED_VALUE"""),"Bellevue")</f>
        <v>Bellevue</v>
      </c>
      <c r="C3197" s="170" t="str">
        <f>IFERROR(__xludf.DUMMYFUNCTION("""COMPUTED_VALUE"""),"WA")</f>
        <v>WA</v>
      </c>
      <c r="D3197" s="170" t="str">
        <f>IFERROR(__xludf.DUMMYFUNCTION("""COMPUTED_VALUE"""),"USA")</f>
        <v>USA</v>
      </c>
      <c r="E3197" s="171">
        <f>IFERROR(__xludf.DUMMYFUNCTION("""COMPUTED_VALUE"""),43278.0)</f>
        <v>43278</v>
      </c>
      <c r="F3197" s="172">
        <f>IFERROR(__xludf.DUMMYFUNCTION("""COMPUTED_VALUE"""),43367.0)</f>
        <v>43367</v>
      </c>
      <c r="G3197" s="173"/>
      <c r="H3197" s="174">
        <f>IFERROR(__xludf.DUMMYFUNCTION("""COMPUTED_VALUE"""),104055.0)</f>
        <v>104055</v>
      </c>
      <c r="I3197" s="175" t="str">
        <f>IFERROR(__xludf.DUMMYFUNCTION("""COMPUTED_VALUE"""),"09/18")</f>
        <v>09/18</v>
      </c>
      <c r="J3197" s="172">
        <f>IFERROR(__xludf.DUMMYFUNCTION("""COMPUTED_VALUE"""),43371.0)</f>
        <v>43371</v>
      </c>
      <c r="K3197" s="176">
        <f>IFERROR(__xludf.DUMMYFUNCTION("""COMPUTED_VALUE"""),89.0)</f>
        <v>89</v>
      </c>
      <c r="L3197" s="176">
        <f>IFERROR(__xludf.DUMMYFUNCTION("""COMPUTED_VALUE"""),4.0)</f>
        <v>4</v>
      </c>
      <c r="M3197" s="176">
        <f>IFERROR(__xludf.DUMMYFUNCTION("""COMPUTED_VALUE"""),93.0)</f>
        <v>93</v>
      </c>
      <c r="N3197" s="177" t="str">
        <f>IFERROR(__xludf.DUMMYFUNCTION("""COMPUTED_VALUE"""),"Model 3 Performance")</f>
        <v>Model 3 Performance</v>
      </c>
      <c r="O3197" s="177" t="str">
        <f>IFERROR(__xludf.DUMMYFUNCTION("""COMPUTED_VALUE"""),"Midnight Silver Metallic")</f>
        <v>Midnight Silver Metallic</v>
      </c>
      <c r="P3197" s="178" t="str">
        <f>IFERROR(__xludf.DUMMYFUNCTION("""COMPUTED_VALUE"""),"18 inch Aero")</f>
        <v>18 inch Aero</v>
      </c>
      <c r="Q3197" s="177" t="str">
        <f>IFERROR(__xludf.DUMMYFUNCTION("""COMPUTED_VALUE"""),"Black seats")</f>
        <v>Black seats</v>
      </c>
      <c r="R3197" s="170" t="str">
        <f>IFERROR(__xludf.DUMMYFUNCTION("""COMPUTED_VALUE"""),"Enhanced Autopilot")</f>
        <v>Enhanced Autopilot</v>
      </c>
      <c r="S3197" s="170"/>
      <c r="T3197" s="179"/>
      <c r="U3197" s="179"/>
      <c r="V3197" s="179"/>
      <c r="W3197" s="180"/>
      <c r="X3197" s="181" t="str">
        <f>IFERROR(__xludf.DUMMYFUNCTION("""COMPUTED_VALUE"""),"Excellent")</f>
        <v>Excellent</v>
      </c>
      <c r="Y3197" s="182" t="str">
        <f>IFERROR(__xludf.DUMMYFUNCTION("""COMPUTED_VALUE"""),"Excellent")</f>
        <v>Excellent</v>
      </c>
      <c r="Z3197" s="182" t="str">
        <f>IFERROR(__xludf.DUMMYFUNCTION("""COMPUTED_VALUE"""),"Excellent")</f>
        <v>Excellent</v>
      </c>
      <c r="AA3197" s="182" t="str">
        <f>IFERROR(__xludf.DUMMYFUNCTION("""COMPUTED_VALUE"""),"Good")</f>
        <v>Good</v>
      </c>
      <c r="AB3197" s="182" t="str">
        <f>IFERROR(__xludf.DUMMYFUNCTION("""COMPUTED_VALUE"""),"Very Good")</f>
        <v>Very Good</v>
      </c>
      <c r="AC3197" s="183">
        <f>IFERROR(__xludf.DUMMYFUNCTION("""COMPUTED_VALUE"""),0.0)</f>
        <v>0</v>
      </c>
      <c r="AD3197" s="183">
        <f>IFERROR(__xludf.DUMMYFUNCTION("""COMPUTED_VALUE"""),0.0)</f>
        <v>0</v>
      </c>
      <c r="AE3197" s="183">
        <f>IFERROR(__xludf.DUMMYFUNCTION("""COMPUTED_VALUE"""),0.0)</f>
        <v>0</v>
      </c>
      <c r="AF3197" s="184"/>
      <c r="AG3197" s="180"/>
      <c r="AH3197" s="185">
        <f>IFERROR(__xludf.DUMMYFUNCTION("""COMPUTED_VALUE"""),43395.632153969906)</f>
        <v>43395.63215</v>
      </c>
      <c r="AI3197" s="182"/>
      <c r="AJ3197" s="182"/>
      <c r="AK3197" s="182"/>
      <c r="AL3197" s="182"/>
    </row>
    <row r="3198" ht="20.25" customHeight="1">
      <c r="A3198" s="169" t="str">
        <f>IFERROR(__xludf.DUMMYFUNCTION("""COMPUTED_VALUE"""),"schlammbad")</f>
        <v>schlammbad</v>
      </c>
      <c r="B3198" s="170" t="str">
        <f>IFERROR(__xludf.DUMMYFUNCTION("""COMPUTED_VALUE"""),"Bellevue")</f>
        <v>Bellevue</v>
      </c>
      <c r="C3198" s="170" t="str">
        <f>IFERROR(__xludf.DUMMYFUNCTION("""COMPUTED_VALUE"""),"WA")</f>
        <v>WA</v>
      </c>
      <c r="D3198" s="170" t="str">
        <f>IFERROR(__xludf.DUMMYFUNCTION("""COMPUTED_VALUE"""),"USA")</f>
        <v>USA</v>
      </c>
      <c r="E3198" s="171">
        <f>IFERROR(__xludf.DUMMYFUNCTION("""COMPUTED_VALUE"""),43278.0)</f>
        <v>43278</v>
      </c>
      <c r="F3198" s="172">
        <f>IFERROR(__xludf.DUMMYFUNCTION("""COMPUTED_VALUE"""),43347.0)</f>
        <v>43347</v>
      </c>
      <c r="G3198" s="173"/>
      <c r="H3198" s="174">
        <f>IFERROR(__xludf.DUMMYFUNCTION("""COMPUTED_VALUE"""),72455.0)</f>
        <v>72455</v>
      </c>
      <c r="I3198" s="175"/>
      <c r="J3198" s="172">
        <f>IFERROR(__xludf.DUMMYFUNCTION("""COMPUTED_VALUE"""),43352.0)</f>
        <v>43352</v>
      </c>
      <c r="K3198" s="176">
        <f>IFERROR(__xludf.DUMMYFUNCTION("""COMPUTED_VALUE"""),69.0)</f>
        <v>69</v>
      </c>
      <c r="L3198" s="176">
        <f>IFERROR(__xludf.DUMMYFUNCTION("""COMPUTED_VALUE"""),5.0)</f>
        <v>5</v>
      </c>
      <c r="M3198" s="176">
        <f>IFERROR(__xludf.DUMMYFUNCTION("""COMPUTED_VALUE"""),74.0)</f>
        <v>74</v>
      </c>
      <c r="N3198" s="177" t="str">
        <f>IFERROR(__xludf.DUMMYFUNCTION("""COMPUTED_VALUE"""),"Model 3 Performance")</f>
        <v>Model 3 Performance</v>
      </c>
      <c r="O3198" s="177" t="str">
        <f>IFERROR(__xludf.DUMMYFUNCTION("""COMPUTED_VALUE"""),"Solid Black")</f>
        <v>Solid Black</v>
      </c>
      <c r="P3198" s="178" t="str">
        <f>IFERROR(__xludf.DUMMYFUNCTION("""COMPUTED_VALUE"""),"20 inch Sport")</f>
        <v>20 inch Sport</v>
      </c>
      <c r="Q3198" s="177" t="str">
        <f>IFERROR(__xludf.DUMMYFUNCTION("""COMPUTED_VALUE"""),"Black seats")</f>
        <v>Black seats</v>
      </c>
      <c r="R3198" s="170" t="str">
        <f>IFERROR(__xludf.DUMMYFUNCTION("""COMPUTED_VALUE"""),"Full Self-Driving")</f>
        <v>Full Self-Driving</v>
      </c>
      <c r="S3198" s="170"/>
      <c r="T3198" s="179"/>
      <c r="U3198" s="179"/>
      <c r="V3198" s="179"/>
      <c r="W3198" s="180"/>
      <c r="X3198" s="181" t="str">
        <f>IFERROR(__xludf.DUMMYFUNCTION("""COMPUTED_VALUE"""),"Excellent")</f>
        <v>Excellent</v>
      </c>
      <c r="Y3198" s="182" t="str">
        <f>IFERROR(__xludf.DUMMYFUNCTION("""COMPUTED_VALUE"""),"Excellent")</f>
        <v>Excellent</v>
      </c>
      <c r="Z3198" s="182" t="str">
        <f>IFERROR(__xludf.DUMMYFUNCTION("""COMPUTED_VALUE"""),"Very Good")</f>
        <v>Very Good</v>
      </c>
      <c r="AA3198" s="182"/>
      <c r="AB3198" s="182" t="str">
        <f>IFERROR(__xludf.DUMMYFUNCTION("""COMPUTED_VALUE"""),"Very Good")</f>
        <v>Very Good</v>
      </c>
      <c r="AC3198" s="183">
        <f>IFERROR(__xludf.DUMMYFUNCTION("""COMPUTED_VALUE"""),2.0)</f>
        <v>2</v>
      </c>
      <c r="AD3198" s="183">
        <f>IFERROR(__xludf.DUMMYFUNCTION("""COMPUTED_VALUE"""),2.0)</f>
        <v>2</v>
      </c>
      <c r="AE3198" s="183">
        <f>IFERROR(__xludf.DUMMYFUNCTION("""COMPUTED_VALUE"""),0.0)</f>
        <v>0</v>
      </c>
      <c r="AF3198" s="184"/>
      <c r="AG3198" s="180"/>
      <c r="AH3198" s="185">
        <f>IFERROR(__xludf.DUMMYFUNCTION("""COMPUTED_VALUE"""),43424.551821967594)</f>
        <v>43424.55182</v>
      </c>
      <c r="AI3198" s="182"/>
      <c r="AJ3198" s="182"/>
      <c r="AK3198" s="182"/>
      <c r="AL3198" s="182"/>
    </row>
    <row r="3199" ht="20.25" customHeight="1">
      <c r="A3199" s="169" t="str">
        <f>IFERROR(__xludf.DUMMYFUNCTION("""COMPUTED_VALUE"""),"Schmeltz.318")</f>
        <v>Schmeltz.318</v>
      </c>
      <c r="B3199" s="170" t="str">
        <f>IFERROR(__xludf.DUMMYFUNCTION("""COMPUTED_VALUE"""),"Colorado Springs")</f>
        <v>Colorado Springs</v>
      </c>
      <c r="C3199" s="170" t="str">
        <f>IFERROR(__xludf.DUMMYFUNCTION("""COMPUTED_VALUE"""),"CO")</f>
        <v>CO</v>
      </c>
      <c r="D3199" s="170" t="str">
        <f>IFERROR(__xludf.DUMMYFUNCTION("""COMPUTED_VALUE"""),"USA")</f>
        <v>USA</v>
      </c>
      <c r="E3199" s="171">
        <f>IFERROR(__xludf.DUMMYFUNCTION("""COMPUTED_VALUE"""),43278.0)</f>
        <v>43278</v>
      </c>
      <c r="F3199" s="172">
        <f>IFERROR(__xludf.DUMMYFUNCTION("""COMPUTED_VALUE"""),43365.0)</f>
        <v>43365</v>
      </c>
      <c r="G3199" s="173"/>
      <c r="H3199" s="174">
        <f>IFERROR(__xludf.DUMMYFUNCTION("""COMPUTED_VALUE"""),114855.0)</f>
        <v>114855</v>
      </c>
      <c r="I3199" s="175" t="str">
        <f>IFERROR(__xludf.DUMMYFUNCTION("""COMPUTED_VALUE"""),"09/18")</f>
        <v>09/18</v>
      </c>
      <c r="J3199" s="172">
        <f>IFERROR(__xludf.DUMMYFUNCTION("""COMPUTED_VALUE"""),43371.0)</f>
        <v>43371</v>
      </c>
      <c r="K3199" s="176">
        <f>IFERROR(__xludf.DUMMYFUNCTION("""COMPUTED_VALUE"""),87.0)</f>
        <v>87</v>
      </c>
      <c r="L3199" s="176">
        <f>IFERROR(__xludf.DUMMYFUNCTION("""COMPUTED_VALUE"""),6.0)</f>
        <v>6</v>
      </c>
      <c r="M3199" s="176">
        <f>IFERROR(__xludf.DUMMYFUNCTION("""COMPUTED_VALUE"""),93.0)</f>
        <v>93</v>
      </c>
      <c r="N3199" s="177" t="str">
        <f>IFERROR(__xludf.DUMMYFUNCTION("""COMPUTED_VALUE"""),"Model 3 LR AWD")</f>
        <v>Model 3 LR AWD</v>
      </c>
      <c r="O3199" s="177" t="str">
        <f>IFERROR(__xludf.DUMMYFUNCTION("""COMPUTED_VALUE"""),"Deep Blue Metallic")</f>
        <v>Deep Blue Metallic</v>
      </c>
      <c r="P3199" s="178" t="str">
        <f>IFERROR(__xludf.DUMMYFUNCTION("""COMPUTED_VALUE"""),"18 inch Aero")</f>
        <v>18 inch Aero</v>
      </c>
      <c r="Q3199" s="177" t="str">
        <f>IFERROR(__xludf.DUMMYFUNCTION("""COMPUTED_VALUE"""),"Black seats")</f>
        <v>Black seats</v>
      </c>
      <c r="R3199" s="170" t="str">
        <f>IFERROR(__xludf.DUMMYFUNCTION("""COMPUTED_VALUE"""),"None")</f>
        <v>None</v>
      </c>
      <c r="S3199" s="170"/>
      <c r="T3199" s="179"/>
      <c r="U3199" s="179"/>
      <c r="V3199" s="179"/>
      <c r="W3199" s="180"/>
      <c r="X3199" s="181" t="str">
        <f>IFERROR(__xludf.DUMMYFUNCTION("""COMPUTED_VALUE"""),"Very Good")</f>
        <v>Very Good</v>
      </c>
      <c r="Y3199" s="182" t="str">
        <f>IFERROR(__xludf.DUMMYFUNCTION("""COMPUTED_VALUE"""),"Excellent")</f>
        <v>Excellent</v>
      </c>
      <c r="Z3199" s="182" t="str">
        <f>IFERROR(__xludf.DUMMYFUNCTION("""COMPUTED_VALUE"""),"Very Good")</f>
        <v>Very Good</v>
      </c>
      <c r="AA3199" s="182" t="str">
        <f>IFERROR(__xludf.DUMMYFUNCTION("""COMPUTED_VALUE"""),"Fair")</f>
        <v>Fair</v>
      </c>
      <c r="AB3199" s="182" t="str">
        <f>IFERROR(__xludf.DUMMYFUNCTION("""COMPUTED_VALUE"""),"Very Good")</f>
        <v>Very Good</v>
      </c>
      <c r="AC3199" s="183">
        <f>IFERROR(__xludf.DUMMYFUNCTION("""COMPUTED_VALUE"""),0.0)</f>
        <v>0</v>
      </c>
      <c r="AD3199" s="183">
        <f>IFERROR(__xludf.DUMMYFUNCTION("""COMPUTED_VALUE"""),0.0)</f>
        <v>0</v>
      </c>
      <c r="AE3199" s="183">
        <f>IFERROR(__xludf.DUMMYFUNCTION("""COMPUTED_VALUE"""),0.0)</f>
        <v>0</v>
      </c>
      <c r="AF3199" s="184"/>
      <c r="AG3199" s="180"/>
      <c r="AH3199" s="185">
        <f>IFERROR(__xludf.DUMMYFUNCTION("""COMPUTED_VALUE"""),43406.90758466435)</f>
        <v>43406.90758</v>
      </c>
      <c r="AI3199" s="182"/>
      <c r="AJ3199" s="182"/>
      <c r="AK3199" s="182"/>
      <c r="AL3199" s="182"/>
    </row>
    <row r="3200" ht="20.25" customHeight="1">
      <c r="A3200" s="169" t="str">
        <f>IFERROR(__xludf.DUMMYFUNCTION("""COMPUTED_VALUE"""),"Schwaldy")</f>
        <v>Schwaldy</v>
      </c>
      <c r="B3200" s="170" t="str">
        <f>IFERROR(__xludf.DUMMYFUNCTION("""COMPUTED_VALUE"""),"Portland")</f>
        <v>Portland</v>
      </c>
      <c r="C3200" s="170" t="str">
        <f>IFERROR(__xludf.DUMMYFUNCTION("""COMPUTED_VALUE"""),"OR")</f>
        <v>OR</v>
      </c>
      <c r="D3200" s="170" t="str">
        <f>IFERROR(__xludf.DUMMYFUNCTION("""COMPUTED_VALUE"""),"USA")</f>
        <v>USA</v>
      </c>
      <c r="E3200" s="171">
        <f>IFERROR(__xludf.DUMMYFUNCTION("""COMPUTED_VALUE"""),43278.0)</f>
        <v>43278</v>
      </c>
      <c r="F3200" s="172">
        <f>IFERROR(__xludf.DUMMYFUNCTION("""COMPUTED_VALUE"""),43358.0)</f>
        <v>43358</v>
      </c>
      <c r="G3200" s="173"/>
      <c r="H3200" s="174">
        <f>IFERROR(__xludf.DUMMYFUNCTION("""COMPUTED_VALUE"""),98055.0)</f>
        <v>98055</v>
      </c>
      <c r="I3200" s="175" t="str">
        <f>IFERROR(__xludf.DUMMYFUNCTION("""COMPUTED_VALUE"""),"09/18")</f>
        <v>09/18</v>
      </c>
      <c r="J3200" s="172">
        <f>IFERROR(__xludf.DUMMYFUNCTION("""COMPUTED_VALUE"""),43365.0)</f>
        <v>43365</v>
      </c>
      <c r="K3200" s="176">
        <f>IFERROR(__xludf.DUMMYFUNCTION("""COMPUTED_VALUE"""),80.0)</f>
        <v>80</v>
      </c>
      <c r="L3200" s="176">
        <f>IFERROR(__xludf.DUMMYFUNCTION("""COMPUTED_VALUE"""),7.0)</f>
        <v>7</v>
      </c>
      <c r="M3200" s="176">
        <f>IFERROR(__xludf.DUMMYFUNCTION("""COMPUTED_VALUE"""),87.0)</f>
        <v>87</v>
      </c>
      <c r="N3200" s="177" t="str">
        <f>IFERROR(__xludf.DUMMYFUNCTION("""COMPUTED_VALUE"""),"Model 3 LR AWD")</f>
        <v>Model 3 LR AWD</v>
      </c>
      <c r="O3200" s="177" t="str">
        <f>IFERROR(__xludf.DUMMYFUNCTION("""COMPUTED_VALUE"""),"Pearl White Multi-Coat")</f>
        <v>Pearl White Multi-Coat</v>
      </c>
      <c r="P3200" s="178" t="str">
        <f>IFERROR(__xludf.DUMMYFUNCTION("""COMPUTED_VALUE"""),"19 inch Sport")</f>
        <v>19 inch Sport</v>
      </c>
      <c r="Q3200" s="177" t="str">
        <f>IFERROR(__xludf.DUMMYFUNCTION("""COMPUTED_VALUE"""),"White seats")</f>
        <v>White seats</v>
      </c>
      <c r="R3200" s="170" t="str">
        <f>IFERROR(__xludf.DUMMYFUNCTION("""COMPUTED_VALUE"""),"None")</f>
        <v>None</v>
      </c>
      <c r="S3200" s="170"/>
      <c r="T3200" s="179"/>
      <c r="U3200" s="179"/>
      <c r="V3200" s="179"/>
      <c r="W3200" s="180"/>
      <c r="X3200" s="181" t="str">
        <f>IFERROR(__xludf.DUMMYFUNCTION("""COMPUTED_VALUE"""),"Good")</f>
        <v>Good</v>
      </c>
      <c r="Y3200" s="182" t="str">
        <f>IFERROR(__xludf.DUMMYFUNCTION("""COMPUTED_VALUE"""),"Very Good")</f>
        <v>Very Good</v>
      </c>
      <c r="Z3200" s="182" t="str">
        <f>IFERROR(__xludf.DUMMYFUNCTION("""COMPUTED_VALUE"""),"Very Good")</f>
        <v>Very Good</v>
      </c>
      <c r="AA3200" s="182" t="str">
        <f>IFERROR(__xludf.DUMMYFUNCTION("""COMPUTED_VALUE"""),"Very Good")</f>
        <v>Very Good</v>
      </c>
      <c r="AB3200" s="182" t="str">
        <f>IFERROR(__xludf.DUMMYFUNCTION("""COMPUTED_VALUE"""),"Very Good")</f>
        <v>Very Good</v>
      </c>
      <c r="AC3200" s="183"/>
      <c r="AD3200" s="183"/>
      <c r="AE3200" s="183"/>
      <c r="AF3200" s="184"/>
      <c r="AG3200" s="180" t="str">
        <f>IFERROR(__xludf.DUMMYFUNCTION("""COMPUTED_VALUE"""),"LR AWD")</f>
        <v>LR AWD</v>
      </c>
      <c r="AH3200" s="185">
        <f>IFERROR(__xludf.DUMMYFUNCTION("""COMPUTED_VALUE"""),43365.759022812505)</f>
        <v>43365.75902</v>
      </c>
      <c r="AI3200" s="182"/>
      <c r="AJ3200" s="182"/>
      <c r="AK3200" s="182"/>
      <c r="AL3200" s="182"/>
    </row>
    <row r="3201" ht="20.25" customHeight="1">
      <c r="A3201" s="169" t="str">
        <f>IFERROR(__xludf.DUMMYFUNCTION("""COMPUTED_VALUE"""),"Scottingitup")</f>
        <v>Scottingitup</v>
      </c>
      <c r="B3201" s="170"/>
      <c r="C3201" s="170" t="str">
        <f>IFERROR(__xludf.DUMMYFUNCTION("""COMPUTED_VALUE"""),"FL")</f>
        <v>FL</v>
      </c>
      <c r="D3201" s="170" t="str">
        <f>IFERROR(__xludf.DUMMYFUNCTION("""COMPUTED_VALUE"""),"USA")</f>
        <v>USA</v>
      </c>
      <c r="E3201" s="171">
        <f>IFERROR(__xludf.DUMMYFUNCTION("""COMPUTED_VALUE"""),43278.0)</f>
        <v>43278</v>
      </c>
      <c r="F3201" s="172">
        <f>IFERROR(__xludf.DUMMYFUNCTION("""COMPUTED_VALUE"""),43357.0)</f>
        <v>43357</v>
      </c>
      <c r="G3201" s="173"/>
      <c r="H3201" s="174">
        <f>IFERROR(__xludf.DUMMYFUNCTION("""COMPUTED_VALUE"""),93455.0)</f>
        <v>93455</v>
      </c>
      <c r="I3201" s="175"/>
      <c r="J3201" s="172">
        <f>IFERROR(__xludf.DUMMYFUNCTION("""COMPUTED_VALUE"""),43386.0)</f>
        <v>43386</v>
      </c>
      <c r="K3201" s="176">
        <f>IFERROR(__xludf.DUMMYFUNCTION("""COMPUTED_VALUE"""),79.0)</f>
        <v>79</v>
      </c>
      <c r="L3201" s="176">
        <f>IFERROR(__xludf.DUMMYFUNCTION("""COMPUTED_VALUE"""),29.0)</f>
        <v>29</v>
      </c>
      <c r="M3201" s="176">
        <f>IFERROR(__xludf.DUMMYFUNCTION("""COMPUTED_VALUE"""),108.0)</f>
        <v>108</v>
      </c>
      <c r="N3201" s="177" t="str">
        <f>IFERROR(__xludf.DUMMYFUNCTION("""COMPUTED_VALUE"""),"Model 3 LR AWD")</f>
        <v>Model 3 LR AWD</v>
      </c>
      <c r="O3201" s="177" t="str">
        <f>IFERROR(__xludf.DUMMYFUNCTION("""COMPUTED_VALUE"""),"Red Multi-Coat")</f>
        <v>Red Multi-Coat</v>
      </c>
      <c r="P3201" s="178" t="str">
        <f>IFERROR(__xludf.DUMMYFUNCTION("""COMPUTED_VALUE"""),"18 inch Aero")</f>
        <v>18 inch Aero</v>
      </c>
      <c r="Q3201" s="177" t="str">
        <f>IFERROR(__xludf.DUMMYFUNCTION("""COMPUTED_VALUE"""),"Black seats")</f>
        <v>Black seats</v>
      </c>
      <c r="R3201" s="170" t="str">
        <f>IFERROR(__xludf.DUMMYFUNCTION("""COMPUTED_VALUE"""),"Enhanced Autopilot")</f>
        <v>Enhanced Autopilot</v>
      </c>
      <c r="S3201" s="170"/>
      <c r="T3201" s="179"/>
      <c r="U3201" s="179"/>
      <c r="V3201" s="179"/>
      <c r="W3201" s="180"/>
      <c r="X3201" s="181" t="str">
        <f>IFERROR(__xludf.DUMMYFUNCTION("""COMPUTED_VALUE"""),"Excellent")</f>
        <v>Excellent</v>
      </c>
      <c r="Y3201" s="182" t="str">
        <f>IFERROR(__xludf.DUMMYFUNCTION("""COMPUTED_VALUE"""),"Excellent")</f>
        <v>Excellent</v>
      </c>
      <c r="Z3201" s="182" t="str">
        <f>IFERROR(__xludf.DUMMYFUNCTION("""COMPUTED_VALUE"""),"Excellent")</f>
        <v>Excellent</v>
      </c>
      <c r="AA3201" s="182" t="str">
        <f>IFERROR(__xludf.DUMMYFUNCTION("""COMPUTED_VALUE"""),"Good")</f>
        <v>Good</v>
      </c>
      <c r="AB3201" s="182" t="str">
        <f>IFERROR(__xludf.DUMMYFUNCTION("""COMPUTED_VALUE"""),"Excellent")</f>
        <v>Excellent</v>
      </c>
      <c r="AC3201" s="183"/>
      <c r="AD3201" s="183"/>
      <c r="AE3201" s="183"/>
      <c r="AF3201" s="184"/>
      <c r="AG3201" s="180"/>
      <c r="AH3201" s="185">
        <f>IFERROR(__xludf.DUMMYFUNCTION("""COMPUTED_VALUE"""),43388.600000162034)</f>
        <v>43388.6</v>
      </c>
      <c r="AI3201" s="182"/>
      <c r="AJ3201" s="182"/>
      <c r="AK3201" s="182"/>
      <c r="AL3201" s="182"/>
    </row>
    <row r="3202" ht="20.25" customHeight="1">
      <c r="A3202" s="169" t="str">
        <f>IFERROR(__xludf.DUMMYFUNCTION("""COMPUTED_VALUE"""),"Scubastevo80")</f>
        <v>Scubastevo80</v>
      </c>
      <c r="B3202" s="170"/>
      <c r="C3202" s="170" t="str">
        <f>IFERROR(__xludf.DUMMYFUNCTION("""COMPUTED_VALUE"""),"NJ")</f>
        <v>NJ</v>
      </c>
      <c r="D3202" s="170" t="str">
        <f>IFERROR(__xludf.DUMMYFUNCTION("""COMPUTED_VALUE"""),"USA")</f>
        <v>USA</v>
      </c>
      <c r="E3202" s="171">
        <f>IFERROR(__xludf.DUMMYFUNCTION("""COMPUTED_VALUE"""),43278.0)</f>
        <v>43278</v>
      </c>
      <c r="F3202" s="172"/>
      <c r="G3202" s="173"/>
      <c r="H3202" s="174">
        <f>IFERROR(__xludf.DUMMYFUNCTION("""COMPUTED_VALUE"""),103655.0)</f>
        <v>103655</v>
      </c>
      <c r="I3202" s="175" t="str">
        <f>IFERROR(__xludf.DUMMYFUNCTION("""COMPUTED_VALUE"""),"09/18")</f>
        <v>09/18</v>
      </c>
      <c r="J3202" s="172">
        <f>IFERROR(__xludf.DUMMYFUNCTION("""COMPUTED_VALUE"""),43382.0)</f>
        <v>43382</v>
      </c>
      <c r="K3202" s="176"/>
      <c r="L3202" s="176"/>
      <c r="M3202" s="176">
        <f>IFERROR(__xludf.DUMMYFUNCTION("""COMPUTED_VALUE"""),104.0)</f>
        <v>104</v>
      </c>
      <c r="N3202" s="177" t="str">
        <f>IFERROR(__xludf.DUMMYFUNCTION("""COMPUTED_VALUE"""),"Model 3 LR AWD")</f>
        <v>Model 3 LR AWD</v>
      </c>
      <c r="O3202" s="177" t="str">
        <f>IFERROR(__xludf.DUMMYFUNCTION("""COMPUTED_VALUE"""),"Midnight Silver Metallic")</f>
        <v>Midnight Silver Metallic</v>
      </c>
      <c r="P3202" s="178" t="str">
        <f>IFERROR(__xludf.DUMMYFUNCTION("""COMPUTED_VALUE"""),"18 inch Aero")</f>
        <v>18 inch Aero</v>
      </c>
      <c r="Q3202" s="177" t="str">
        <f>IFERROR(__xludf.DUMMYFUNCTION("""COMPUTED_VALUE"""),"Black seats")</f>
        <v>Black seats</v>
      </c>
      <c r="R3202" s="170" t="str">
        <f>IFERROR(__xludf.DUMMYFUNCTION("""COMPUTED_VALUE"""),"Enhanced Autopilot")</f>
        <v>Enhanced Autopilot</v>
      </c>
      <c r="S3202" s="170"/>
      <c r="T3202" s="179"/>
      <c r="U3202" s="179"/>
      <c r="V3202" s="179"/>
      <c r="W3202" s="180"/>
      <c r="X3202" s="181" t="str">
        <f>IFERROR(__xludf.DUMMYFUNCTION("""COMPUTED_VALUE"""),"Very Good")</f>
        <v>Very Good</v>
      </c>
      <c r="Y3202" s="182" t="str">
        <f>IFERROR(__xludf.DUMMYFUNCTION("""COMPUTED_VALUE"""),"Good")</f>
        <v>Good</v>
      </c>
      <c r="Z3202" s="182" t="str">
        <f>IFERROR(__xludf.DUMMYFUNCTION("""COMPUTED_VALUE"""),"Excellent")</f>
        <v>Excellent</v>
      </c>
      <c r="AA3202" s="182" t="str">
        <f>IFERROR(__xludf.DUMMYFUNCTION("""COMPUTED_VALUE"""),"Good")</f>
        <v>Good</v>
      </c>
      <c r="AB3202" s="182" t="str">
        <f>IFERROR(__xludf.DUMMYFUNCTION("""COMPUTED_VALUE"""),"Fair")</f>
        <v>Fair</v>
      </c>
      <c r="AC3202" s="183">
        <f>IFERROR(__xludf.DUMMYFUNCTION("""COMPUTED_VALUE"""),1.0)</f>
        <v>1</v>
      </c>
      <c r="AD3202" s="183"/>
      <c r="AE3202" s="183"/>
      <c r="AF3202" s="184"/>
      <c r="AG3202" s="180"/>
      <c r="AH3202" s="185">
        <f>IFERROR(__xludf.DUMMYFUNCTION("""COMPUTED_VALUE"""),43382.46474452546)</f>
        <v>43382.46474</v>
      </c>
      <c r="AI3202" s="182"/>
      <c r="AJ3202" s="182"/>
      <c r="AK3202" s="182"/>
      <c r="AL3202" s="182"/>
    </row>
    <row r="3203" ht="20.25" customHeight="1">
      <c r="A3203" s="169" t="str">
        <f>IFERROR(__xludf.DUMMYFUNCTION("""COMPUTED_VALUE"""),"Sealander")</f>
        <v>Sealander</v>
      </c>
      <c r="B3203" s="170" t="str">
        <f>IFERROR(__xludf.DUMMYFUNCTION("""COMPUTED_VALUE"""),"Houston")</f>
        <v>Houston</v>
      </c>
      <c r="C3203" s="170" t="str">
        <f>IFERROR(__xludf.DUMMYFUNCTION("""COMPUTED_VALUE"""),"TX")</f>
        <v>TX</v>
      </c>
      <c r="D3203" s="170" t="str">
        <f>IFERROR(__xludf.DUMMYFUNCTION("""COMPUTED_VALUE"""),"USA")</f>
        <v>USA</v>
      </c>
      <c r="E3203" s="171">
        <f>IFERROR(__xludf.DUMMYFUNCTION("""COMPUTED_VALUE"""),43278.0)</f>
        <v>43278</v>
      </c>
      <c r="F3203" s="172">
        <f>IFERROR(__xludf.DUMMYFUNCTION("""COMPUTED_VALUE"""),43284.0)</f>
        <v>43284</v>
      </c>
      <c r="G3203" s="173"/>
      <c r="H3203" s="174">
        <f>IFERROR(__xludf.DUMMYFUNCTION("""COMPUTED_VALUE"""),30723.0)</f>
        <v>30723</v>
      </c>
      <c r="I3203" s="175" t="str">
        <f>IFERROR(__xludf.DUMMYFUNCTION("""COMPUTED_VALUE"""),"06/18")</f>
        <v>06/18</v>
      </c>
      <c r="J3203" s="172">
        <f>IFERROR(__xludf.DUMMYFUNCTION("""COMPUTED_VALUE"""),43305.0)</f>
        <v>43305</v>
      </c>
      <c r="K3203" s="176">
        <f>IFERROR(__xludf.DUMMYFUNCTION("""COMPUTED_VALUE"""),6.0)</f>
        <v>6</v>
      </c>
      <c r="L3203" s="176">
        <f>IFERROR(__xludf.DUMMYFUNCTION("""COMPUTED_VALUE"""),21.0)</f>
        <v>21</v>
      </c>
      <c r="M3203" s="176">
        <f>IFERROR(__xludf.DUMMYFUNCTION("""COMPUTED_VALUE"""),27.0)</f>
        <v>27</v>
      </c>
      <c r="N3203" s="177" t="str">
        <f>IFERROR(__xludf.DUMMYFUNCTION("""COMPUTED_VALUE"""),"Model 3 LR")</f>
        <v>Model 3 LR</v>
      </c>
      <c r="O3203" s="177" t="str">
        <f>IFERROR(__xludf.DUMMYFUNCTION("""COMPUTED_VALUE"""),"Red Multi-Coat")</f>
        <v>Red Multi-Coat</v>
      </c>
      <c r="P3203" s="178" t="str">
        <f>IFERROR(__xludf.DUMMYFUNCTION("""COMPUTED_VALUE"""),"18 inch Aero")</f>
        <v>18 inch Aero</v>
      </c>
      <c r="Q3203" s="177" t="str">
        <f>IFERROR(__xludf.DUMMYFUNCTION("""COMPUTED_VALUE"""),"Black seats")</f>
        <v>Black seats</v>
      </c>
      <c r="R3203" s="170" t="str">
        <f>IFERROR(__xludf.DUMMYFUNCTION("""COMPUTED_VALUE"""),"Enhanced Autopilot")</f>
        <v>Enhanced Autopilot</v>
      </c>
      <c r="S3203" s="170"/>
      <c r="T3203" s="179"/>
      <c r="U3203" s="179"/>
      <c r="V3203" s="179"/>
      <c r="W3203" s="180"/>
      <c r="X3203" s="181" t="str">
        <f>IFERROR(__xludf.DUMMYFUNCTION("""COMPUTED_VALUE"""),"Very Good")</f>
        <v>Very Good</v>
      </c>
      <c r="Y3203" s="182" t="str">
        <f>IFERROR(__xludf.DUMMYFUNCTION("""COMPUTED_VALUE"""),"Very Good")</f>
        <v>Very Good</v>
      </c>
      <c r="Z3203" s="182" t="str">
        <f>IFERROR(__xludf.DUMMYFUNCTION("""COMPUTED_VALUE"""),"Very Good")</f>
        <v>Very Good</v>
      </c>
      <c r="AA3203" s="182" t="str">
        <f>IFERROR(__xludf.DUMMYFUNCTION("""COMPUTED_VALUE"""),"Fair")</f>
        <v>Fair</v>
      </c>
      <c r="AB3203" s="182" t="str">
        <f>IFERROR(__xludf.DUMMYFUNCTION("""COMPUTED_VALUE"""),"Fair")</f>
        <v>Fair</v>
      </c>
      <c r="AC3203" s="183"/>
      <c r="AD3203" s="183"/>
      <c r="AE3203" s="183"/>
      <c r="AF3203" s="184"/>
      <c r="AG3203" s="180"/>
      <c r="AH3203" s="185">
        <f>IFERROR(__xludf.DUMMYFUNCTION("""COMPUTED_VALUE"""),43308.36844582176)</f>
        <v>43308.36845</v>
      </c>
      <c r="AI3203" s="182"/>
      <c r="AJ3203" s="182"/>
      <c r="AK3203" s="182"/>
      <c r="AL3203" s="182"/>
    </row>
    <row r="3204" ht="20.25" customHeight="1">
      <c r="A3204" s="169" t="str">
        <f>IFERROR(__xludf.DUMMYFUNCTION("""COMPUTED_VALUE"""),"sees-sharps")</f>
        <v>sees-sharps</v>
      </c>
      <c r="B3204" s="170" t="str">
        <f>IFERROR(__xludf.DUMMYFUNCTION("""COMPUTED_VALUE"""),"Columbus")</f>
        <v>Columbus</v>
      </c>
      <c r="C3204" s="170" t="str">
        <f>IFERROR(__xludf.DUMMYFUNCTION("""COMPUTED_VALUE"""),"OH")</f>
        <v>OH</v>
      </c>
      <c r="D3204" s="170" t="str">
        <f>IFERROR(__xludf.DUMMYFUNCTION("""COMPUTED_VALUE"""),"USA")</f>
        <v>USA</v>
      </c>
      <c r="E3204" s="171">
        <f>IFERROR(__xludf.DUMMYFUNCTION("""COMPUTED_VALUE"""),43278.0)</f>
        <v>43278</v>
      </c>
      <c r="F3204" s="172">
        <f>IFERROR(__xludf.DUMMYFUNCTION("""COMPUTED_VALUE"""),43360.0)</f>
        <v>43360</v>
      </c>
      <c r="G3204" s="173"/>
      <c r="H3204" s="174">
        <f>IFERROR(__xludf.DUMMYFUNCTION("""COMPUTED_VALUE"""),77055.0)</f>
        <v>77055</v>
      </c>
      <c r="I3204" s="175" t="str">
        <f>IFERROR(__xludf.DUMMYFUNCTION("""COMPUTED_VALUE"""),"09/18")</f>
        <v>09/18</v>
      </c>
      <c r="J3204" s="172">
        <f>IFERROR(__xludf.DUMMYFUNCTION("""COMPUTED_VALUE"""),43371.0)</f>
        <v>43371</v>
      </c>
      <c r="K3204" s="176">
        <f>IFERROR(__xludf.DUMMYFUNCTION("""COMPUTED_VALUE"""),82.0)</f>
        <v>82</v>
      </c>
      <c r="L3204" s="176">
        <f>IFERROR(__xludf.DUMMYFUNCTION("""COMPUTED_VALUE"""),11.0)</f>
        <v>11</v>
      </c>
      <c r="M3204" s="176">
        <f>IFERROR(__xludf.DUMMYFUNCTION("""COMPUTED_VALUE"""),93.0)</f>
        <v>93</v>
      </c>
      <c r="N3204" s="177" t="str">
        <f>IFERROR(__xludf.DUMMYFUNCTION("""COMPUTED_VALUE"""),"Model 3 LR AWD")</f>
        <v>Model 3 LR AWD</v>
      </c>
      <c r="O3204" s="177" t="str">
        <f>IFERROR(__xludf.DUMMYFUNCTION("""COMPUTED_VALUE"""),"Obsidian Black Metallic")</f>
        <v>Obsidian Black Metallic</v>
      </c>
      <c r="P3204" s="178" t="str">
        <f>IFERROR(__xludf.DUMMYFUNCTION("""COMPUTED_VALUE"""),"18 inch Aero")</f>
        <v>18 inch Aero</v>
      </c>
      <c r="Q3204" s="177" t="str">
        <f>IFERROR(__xludf.DUMMYFUNCTION("""COMPUTED_VALUE"""),"Black seats")</f>
        <v>Black seats</v>
      </c>
      <c r="R3204" s="170" t="str">
        <f>IFERROR(__xludf.DUMMYFUNCTION("""COMPUTED_VALUE"""),"Full Self-Driving")</f>
        <v>Full Self-Driving</v>
      </c>
      <c r="S3204" s="170"/>
      <c r="T3204" s="179"/>
      <c r="U3204" s="179"/>
      <c r="V3204" s="179"/>
      <c r="W3204" s="180"/>
      <c r="X3204" s="181" t="str">
        <f>IFERROR(__xludf.DUMMYFUNCTION("""COMPUTED_VALUE"""),"Very Good")</f>
        <v>Very Good</v>
      </c>
      <c r="Y3204" s="182" t="str">
        <f>IFERROR(__xludf.DUMMYFUNCTION("""COMPUTED_VALUE"""),"Excellent")</f>
        <v>Excellent</v>
      </c>
      <c r="Z3204" s="182" t="str">
        <f>IFERROR(__xludf.DUMMYFUNCTION("""COMPUTED_VALUE"""),"Excellent")</f>
        <v>Excellent</v>
      </c>
      <c r="AA3204" s="182" t="str">
        <f>IFERROR(__xludf.DUMMYFUNCTION("""COMPUTED_VALUE"""),"Very Good")</f>
        <v>Very Good</v>
      </c>
      <c r="AB3204" s="182" t="str">
        <f>IFERROR(__xludf.DUMMYFUNCTION("""COMPUTED_VALUE"""),"Very Good")</f>
        <v>Very Good</v>
      </c>
      <c r="AC3204" s="183"/>
      <c r="AD3204" s="183"/>
      <c r="AE3204" s="183"/>
      <c r="AF3204" s="184"/>
      <c r="AG3204" s="180"/>
      <c r="AH3204" s="185">
        <f>IFERROR(__xludf.DUMMYFUNCTION("""COMPUTED_VALUE"""),43374.532909629634)</f>
        <v>43374.53291</v>
      </c>
      <c r="AI3204" s="182"/>
      <c r="AJ3204" s="182"/>
      <c r="AK3204" s="182"/>
      <c r="AL3204" s="182"/>
    </row>
    <row r="3205" ht="20.25" customHeight="1">
      <c r="A3205" s="169" t="str">
        <f>IFERROR(__xludf.DUMMYFUNCTION("""COMPUTED_VALUE"""),"setheryb")</f>
        <v>setheryb</v>
      </c>
      <c r="B3205" s="170" t="str">
        <f>IFERROR(__xludf.DUMMYFUNCTION("""COMPUTED_VALUE"""),"Pasco")</f>
        <v>Pasco</v>
      </c>
      <c r="C3205" s="170" t="str">
        <f>IFERROR(__xludf.DUMMYFUNCTION("""COMPUTED_VALUE"""),"WA")</f>
        <v>WA</v>
      </c>
      <c r="D3205" s="170" t="str">
        <f>IFERROR(__xludf.DUMMYFUNCTION("""COMPUTED_VALUE"""),"USA")</f>
        <v>USA</v>
      </c>
      <c r="E3205" s="171">
        <f>IFERROR(__xludf.DUMMYFUNCTION("""COMPUTED_VALUE"""),43278.0)</f>
        <v>43278</v>
      </c>
      <c r="F3205" s="172">
        <f>IFERROR(__xludf.DUMMYFUNCTION("""COMPUTED_VALUE"""),43370.0)</f>
        <v>43370</v>
      </c>
      <c r="G3205" s="173"/>
      <c r="H3205" s="174">
        <f>IFERROR(__xludf.DUMMYFUNCTION("""COMPUTED_VALUE"""),84955.0)</f>
        <v>84955</v>
      </c>
      <c r="I3205" s="175" t="str">
        <f>IFERROR(__xludf.DUMMYFUNCTION("""COMPUTED_VALUE"""),"09/18")</f>
        <v>09/18</v>
      </c>
      <c r="J3205" s="172">
        <f>IFERROR(__xludf.DUMMYFUNCTION("""COMPUTED_VALUE"""),43373.0)</f>
        <v>43373</v>
      </c>
      <c r="K3205" s="176">
        <f>IFERROR(__xludf.DUMMYFUNCTION("""COMPUTED_VALUE"""),92.0)</f>
        <v>92</v>
      </c>
      <c r="L3205" s="176">
        <f>IFERROR(__xludf.DUMMYFUNCTION("""COMPUTED_VALUE"""),3.0)</f>
        <v>3</v>
      </c>
      <c r="M3205" s="176">
        <f>IFERROR(__xludf.DUMMYFUNCTION("""COMPUTED_VALUE"""),95.0)</f>
        <v>95</v>
      </c>
      <c r="N3205" s="177" t="str">
        <f>IFERROR(__xludf.DUMMYFUNCTION("""COMPUTED_VALUE"""),"Model 3 LR AWD")</f>
        <v>Model 3 LR AWD</v>
      </c>
      <c r="O3205" s="177" t="str">
        <f>IFERROR(__xludf.DUMMYFUNCTION("""COMPUTED_VALUE"""),"Red Multi-Coat")</f>
        <v>Red Multi-Coat</v>
      </c>
      <c r="P3205" s="178" t="str">
        <f>IFERROR(__xludf.DUMMYFUNCTION("""COMPUTED_VALUE"""),"18 inch Aero")</f>
        <v>18 inch Aero</v>
      </c>
      <c r="Q3205" s="177" t="str">
        <f>IFERROR(__xludf.DUMMYFUNCTION("""COMPUTED_VALUE"""),"Black seats")</f>
        <v>Black seats</v>
      </c>
      <c r="R3205" s="170" t="str">
        <f>IFERROR(__xludf.DUMMYFUNCTION("""COMPUTED_VALUE"""),"None")</f>
        <v>None</v>
      </c>
      <c r="S3205" s="170"/>
      <c r="T3205" s="179"/>
      <c r="U3205" s="179"/>
      <c r="V3205" s="179"/>
      <c r="W3205" s="180"/>
      <c r="X3205" s="181" t="str">
        <f>IFERROR(__xludf.DUMMYFUNCTION("""COMPUTED_VALUE"""),"Very Good")</f>
        <v>Very Good</v>
      </c>
      <c r="Y3205" s="182" t="str">
        <f>IFERROR(__xludf.DUMMYFUNCTION("""COMPUTED_VALUE"""),"Excellent")</f>
        <v>Excellent</v>
      </c>
      <c r="Z3205" s="182" t="str">
        <f>IFERROR(__xludf.DUMMYFUNCTION("""COMPUTED_VALUE"""),"Very Good")</f>
        <v>Very Good</v>
      </c>
      <c r="AA3205" s="182" t="str">
        <f>IFERROR(__xludf.DUMMYFUNCTION("""COMPUTED_VALUE"""),"Fair")</f>
        <v>Fair</v>
      </c>
      <c r="AB3205" s="182" t="str">
        <f>IFERROR(__xludf.DUMMYFUNCTION("""COMPUTED_VALUE"""),"Very Good")</f>
        <v>Very Good</v>
      </c>
      <c r="AC3205" s="183"/>
      <c r="AD3205" s="183"/>
      <c r="AE3205" s="183"/>
      <c r="AF3205" s="184"/>
      <c r="AG3205" s="180"/>
      <c r="AH3205" s="185">
        <f>IFERROR(__xludf.DUMMYFUNCTION("""COMPUTED_VALUE"""),43377.377733912035)</f>
        <v>43377.37773</v>
      </c>
      <c r="AI3205" s="182"/>
      <c r="AJ3205" s="182"/>
      <c r="AK3205" s="182"/>
      <c r="AL3205" s="182"/>
    </row>
    <row r="3206" ht="20.25" customHeight="1">
      <c r="A3206" s="169" t="str">
        <f>IFERROR(__xludf.DUMMYFUNCTION("""COMPUTED_VALUE"""),"shamansanchez")</f>
        <v>shamansanchez</v>
      </c>
      <c r="B3206" s="170" t="str">
        <f>IFERROR(__xludf.DUMMYFUNCTION("""COMPUTED_VALUE"""),"Raleigh")</f>
        <v>Raleigh</v>
      </c>
      <c r="C3206" s="170" t="str">
        <f>IFERROR(__xludf.DUMMYFUNCTION("""COMPUTED_VALUE"""),"NC")</f>
        <v>NC</v>
      </c>
      <c r="D3206" s="170" t="str">
        <f>IFERROR(__xludf.DUMMYFUNCTION("""COMPUTED_VALUE"""),"USA")</f>
        <v>USA</v>
      </c>
      <c r="E3206" s="171">
        <f>IFERROR(__xludf.DUMMYFUNCTION("""COMPUTED_VALUE"""),43278.0)</f>
        <v>43278</v>
      </c>
      <c r="F3206" s="172">
        <f>IFERROR(__xludf.DUMMYFUNCTION("""COMPUTED_VALUE"""),43279.0)</f>
        <v>43279</v>
      </c>
      <c r="G3206" s="173"/>
      <c r="H3206" s="174">
        <f>IFERROR(__xludf.DUMMYFUNCTION("""COMPUTED_VALUE"""),34055.0)</f>
        <v>34055</v>
      </c>
      <c r="I3206" s="175" t="str">
        <f>IFERROR(__xludf.DUMMYFUNCTION("""COMPUTED_VALUE"""),"06/18")</f>
        <v>06/18</v>
      </c>
      <c r="J3206" s="172">
        <f>IFERROR(__xludf.DUMMYFUNCTION("""COMPUTED_VALUE"""),43287.0)</f>
        <v>43287</v>
      </c>
      <c r="K3206" s="176">
        <f>IFERROR(__xludf.DUMMYFUNCTION("""COMPUTED_VALUE"""),1.0)</f>
        <v>1</v>
      </c>
      <c r="L3206" s="176">
        <f>IFERROR(__xludf.DUMMYFUNCTION("""COMPUTED_VALUE"""),8.0)</f>
        <v>8</v>
      </c>
      <c r="M3206" s="176">
        <f>IFERROR(__xludf.DUMMYFUNCTION("""COMPUTED_VALUE"""),9.0)</f>
        <v>9</v>
      </c>
      <c r="N3206" s="177" t="str">
        <f>IFERROR(__xludf.DUMMYFUNCTION("""COMPUTED_VALUE"""),"Model 3 LR")</f>
        <v>Model 3 LR</v>
      </c>
      <c r="O3206" s="177" t="str">
        <f>IFERROR(__xludf.DUMMYFUNCTION("""COMPUTED_VALUE"""),"Red Multi-Coat")</f>
        <v>Red Multi-Coat</v>
      </c>
      <c r="P3206" s="178" t="str">
        <f>IFERROR(__xludf.DUMMYFUNCTION("""COMPUTED_VALUE"""),"18 inch Aero")</f>
        <v>18 inch Aero</v>
      </c>
      <c r="Q3206" s="177" t="str">
        <f>IFERROR(__xludf.DUMMYFUNCTION("""COMPUTED_VALUE"""),"Black seats")</f>
        <v>Black seats</v>
      </c>
      <c r="R3206" s="170" t="str">
        <f>IFERROR(__xludf.DUMMYFUNCTION("""COMPUTED_VALUE"""),"Enhanced Autopilot")</f>
        <v>Enhanced Autopilot</v>
      </c>
      <c r="S3206" s="170"/>
      <c r="T3206" s="179"/>
      <c r="U3206" s="179"/>
      <c r="V3206" s="179"/>
      <c r="W3206" s="180"/>
      <c r="X3206" s="181" t="str">
        <f>IFERROR(__xludf.DUMMYFUNCTION("""COMPUTED_VALUE"""),"Very Good")</f>
        <v>Very Good</v>
      </c>
      <c r="Y3206" s="182" t="str">
        <f>IFERROR(__xludf.DUMMYFUNCTION("""COMPUTED_VALUE"""),"Excellent")</f>
        <v>Excellent</v>
      </c>
      <c r="Z3206" s="182" t="str">
        <f>IFERROR(__xludf.DUMMYFUNCTION("""COMPUTED_VALUE"""),"Excellent")</f>
        <v>Excellent</v>
      </c>
      <c r="AA3206" s="182" t="str">
        <f>IFERROR(__xludf.DUMMYFUNCTION("""COMPUTED_VALUE"""),"Excellent")</f>
        <v>Excellent</v>
      </c>
      <c r="AB3206" s="182" t="str">
        <f>IFERROR(__xludf.DUMMYFUNCTION("""COMPUTED_VALUE"""),"Excellent")</f>
        <v>Excellent</v>
      </c>
      <c r="AC3206" s="183"/>
      <c r="AD3206" s="183"/>
      <c r="AE3206" s="183"/>
      <c r="AF3206" s="184"/>
      <c r="AG3206" s="180"/>
      <c r="AH3206" s="185">
        <f>IFERROR(__xludf.DUMMYFUNCTION("""COMPUTED_VALUE"""),43287.90233619213)</f>
        <v>43287.90234</v>
      </c>
      <c r="AI3206" s="182"/>
      <c r="AJ3206" s="182"/>
      <c r="AK3206" s="182"/>
      <c r="AL3206" s="182"/>
    </row>
    <row r="3207" ht="20.25" customHeight="1">
      <c r="A3207" s="169" t="str">
        <f>IFERROR(__xludf.DUMMYFUNCTION("""COMPUTED_VALUE"""),"Shmackers")</f>
        <v>Shmackers</v>
      </c>
      <c r="B3207" s="170" t="str">
        <f>IFERROR(__xludf.DUMMYFUNCTION("""COMPUTED_VALUE"""),"Carmel")</f>
        <v>Carmel</v>
      </c>
      <c r="C3207" s="170" t="str">
        <f>IFERROR(__xludf.DUMMYFUNCTION("""COMPUTED_VALUE"""),"IN")</f>
        <v>IN</v>
      </c>
      <c r="D3207" s="170" t="str">
        <f>IFERROR(__xludf.DUMMYFUNCTION("""COMPUTED_VALUE"""),"USA")</f>
        <v>USA</v>
      </c>
      <c r="E3207" s="171">
        <f>IFERROR(__xludf.DUMMYFUNCTION("""COMPUTED_VALUE"""),43278.0)</f>
        <v>43278</v>
      </c>
      <c r="F3207" s="172">
        <f>IFERROR(__xludf.DUMMYFUNCTION("""COMPUTED_VALUE"""),43371.0)</f>
        <v>43371</v>
      </c>
      <c r="G3207" s="173"/>
      <c r="H3207" s="174">
        <f>IFERROR(__xludf.DUMMYFUNCTION("""COMPUTED_VALUE"""),66655.0)</f>
        <v>66655</v>
      </c>
      <c r="I3207" s="175"/>
      <c r="J3207" s="172">
        <f>IFERROR(__xludf.DUMMYFUNCTION("""COMPUTED_VALUE"""),43372.0)</f>
        <v>43372</v>
      </c>
      <c r="K3207" s="176">
        <f>IFERROR(__xludf.DUMMYFUNCTION("""COMPUTED_VALUE"""),93.0)</f>
        <v>93</v>
      </c>
      <c r="L3207" s="176">
        <f>IFERROR(__xludf.DUMMYFUNCTION("""COMPUTED_VALUE"""),1.0)</f>
        <v>1</v>
      </c>
      <c r="M3207" s="176">
        <f>IFERROR(__xludf.DUMMYFUNCTION("""COMPUTED_VALUE"""),94.0)</f>
        <v>94</v>
      </c>
      <c r="N3207" s="177" t="str">
        <f>IFERROR(__xludf.DUMMYFUNCTION("""COMPUTED_VALUE"""),"Model 3 LR AWD")</f>
        <v>Model 3 LR AWD</v>
      </c>
      <c r="O3207" s="177" t="str">
        <f>IFERROR(__xludf.DUMMYFUNCTION("""COMPUTED_VALUE"""),"Midnight Silver Metallic")</f>
        <v>Midnight Silver Metallic</v>
      </c>
      <c r="P3207" s="178" t="str">
        <f>IFERROR(__xludf.DUMMYFUNCTION("""COMPUTED_VALUE"""),"18 inch Aero")</f>
        <v>18 inch Aero</v>
      </c>
      <c r="Q3207" s="177" t="str">
        <f>IFERROR(__xludf.DUMMYFUNCTION("""COMPUTED_VALUE"""),"Black seats")</f>
        <v>Black seats</v>
      </c>
      <c r="R3207" s="170" t="str">
        <f>IFERROR(__xludf.DUMMYFUNCTION("""COMPUTED_VALUE"""),"Full Self-Driving")</f>
        <v>Full Self-Driving</v>
      </c>
      <c r="S3207" s="170"/>
      <c r="T3207" s="179"/>
      <c r="U3207" s="179"/>
      <c r="V3207" s="179"/>
      <c r="W3207" s="180"/>
      <c r="X3207" s="181" t="str">
        <f>IFERROR(__xludf.DUMMYFUNCTION("""COMPUTED_VALUE"""),"Excellent")</f>
        <v>Excellent</v>
      </c>
      <c r="Y3207" s="182" t="str">
        <f>IFERROR(__xludf.DUMMYFUNCTION("""COMPUTED_VALUE"""),"Excellent")</f>
        <v>Excellent</v>
      </c>
      <c r="Z3207" s="182" t="str">
        <f>IFERROR(__xludf.DUMMYFUNCTION("""COMPUTED_VALUE"""),"Excellent")</f>
        <v>Excellent</v>
      </c>
      <c r="AA3207" s="182" t="str">
        <f>IFERROR(__xludf.DUMMYFUNCTION("""COMPUTED_VALUE"""),"Fair")</f>
        <v>Fair</v>
      </c>
      <c r="AB3207" s="182" t="str">
        <f>IFERROR(__xludf.DUMMYFUNCTION("""COMPUTED_VALUE"""),"Excellent")</f>
        <v>Excellent</v>
      </c>
      <c r="AC3207" s="183">
        <f>IFERROR(__xludf.DUMMYFUNCTION("""COMPUTED_VALUE"""),0.0)</f>
        <v>0</v>
      </c>
      <c r="AD3207" s="183">
        <f>IFERROR(__xludf.DUMMYFUNCTION("""COMPUTED_VALUE"""),0.0)</f>
        <v>0</v>
      </c>
      <c r="AE3207" s="183">
        <f>IFERROR(__xludf.DUMMYFUNCTION("""COMPUTED_VALUE"""),0.0)</f>
        <v>0</v>
      </c>
      <c r="AF3207" s="184"/>
      <c r="AG3207" s="180"/>
      <c r="AH3207" s="185">
        <f>IFERROR(__xludf.DUMMYFUNCTION("""COMPUTED_VALUE"""),43376.74772796296)</f>
        <v>43376.74773</v>
      </c>
      <c r="AI3207" s="182"/>
      <c r="AJ3207" s="182"/>
      <c r="AK3207" s="182"/>
      <c r="AL3207" s="182"/>
    </row>
    <row r="3208" ht="20.25" customHeight="1">
      <c r="A3208" s="169" t="str">
        <f>IFERROR(__xludf.DUMMYFUNCTION("""COMPUTED_VALUE"""),"slacker775")</f>
        <v>slacker775</v>
      </c>
      <c r="B3208" s="170" t="str">
        <f>IFERROR(__xludf.DUMMYFUNCTION("""COMPUTED_VALUE"""),"Tampa")</f>
        <v>Tampa</v>
      </c>
      <c r="C3208" s="170" t="str">
        <f>IFERROR(__xludf.DUMMYFUNCTION("""COMPUTED_VALUE"""),"FL")</f>
        <v>FL</v>
      </c>
      <c r="D3208" s="170" t="str">
        <f>IFERROR(__xludf.DUMMYFUNCTION("""COMPUTED_VALUE"""),"USA")</f>
        <v>USA</v>
      </c>
      <c r="E3208" s="171">
        <f>IFERROR(__xludf.DUMMYFUNCTION("""COMPUTED_VALUE"""),43278.0)</f>
        <v>43278</v>
      </c>
      <c r="F3208" s="172">
        <f>IFERROR(__xludf.DUMMYFUNCTION("""COMPUTED_VALUE"""),43283.0)</f>
        <v>43283</v>
      </c>
      <c r="G3208" s="173"/>
      <c r="H3208" s="174">
        <f>IFERROR(__xludf.DUMMYFUNCTION("""COMPUTED_VALUE"""),36617.0)</f>
        <v>36617</v>
      </c>
      <c r="I3208" s="175" t="str">
        <f>IFERROR(__xludf.DUMMYFUNCTION("""COMPUTED_VALUE"""),"06/18")</f>
        <v>06/18</v>
      </c>
      <c r="J3208" s="172">
        <f>IFERROR(__xludf.DUMMYFUNCTION("""COMPUTED_VALUE"""),43302.0)</f>
        <v>43302</v>
      </c>
      <c r="K3208" s="176">
        <f>IFERROR(__xludf.DUMMYFUNCTION("""COMPUTED_VALUE"""),5.0)</f>
        <v>5</v>
      </c>
      <c r="L3208" s="176">
        <f>IFERROR(__xludf.DUMMYFUNCTION("""COMPUTED_VALUE"""),19.0)</f>
        <v>19</v>
      </c>
      <c r="M3208" s="176">
        <f>IFERROR(__xludf.DUMMYFUNCTION("""COMPUTED_VALUE"""),24.0)</f>
        <v>24</v>
      </c>
      <c r="N3208" s="177" t="str">
        <f>IFERROR(__xludf.DUMMYFUNCTION("""COMPUTED_VALUE"""),"Model 3 LR")</f>
        <v>Model 3 LR</v>
      </c>
      <c r="O3208" s="177" t="str">
        <f>IFERROR(__xludf.DUMMYFUNCTION("""COMPUTED_VALUE"""),"Midnight Silver Metallic")</f>
        <v>Midnight Silver Metallic</v>
      </c>
      <c r="P3208" s="178" t="str">
        <f>IFERROR(__xludf.DUMMYFUNCTION("""COMPUTED_VALUE"""),"18 inch Aero")</f>
        <v>18 inch Aero</v>
      </c>
      <c r="Q3208" s="177" t="str">
        <f>IFERROR(__xludf.DUMMYFUNCTION("""COMPUTED_VALUE"""),"Black seats")</f>
        <v>Black seats</v>
      </c>
      <c r="R3208" s="170" t="str">
        <f>IFERROR(__xludf.DUMMYFUNCTION("""COMPUTED_VALUE"""),"Full Self-Driving")</f>
        <v>Full Self-Driving</v>
      </c>
      <c r="S3208" s="170"/>
      <c r="T3208" s="179"/>
      <c r="U3208" s="179"/>
      <c r="V3208" s="179"/>
      <c r="W3208" s="180"/>
      <c r="X3208" s="181" t="str">
        <f>IFERROR(__xludf.DUMMYFUNCTION("""COMPUTED_VALUE"""),"Excellent")</f>
        <v>Excellent</v>
      </c>
      <c r="Y3208" s="182" t="str">
        <f>IFERROR(__xludf.DUMMYFUNCTION("""COMPUTED_VALUE"""),"Excellent")</f>
        <v>Excellent</v>
      </c>
      <c r="Z3208" s="182" t="str">
        <f>IFERROR(__xludf.DUMMYFUNCTION("""COMPUTED_VALUE"""),"Excellent")</f>
        <v>Excellent</v>
      </c>
      <c r="AA3208" s="182" t="str">
        <f>IFERROR(__xludf.DUMMYFUNCTION("""COMPUTED_VALUE"""),"Excellent")</f>
        <v>Excellent</v>
      </c>
      <c r="AB3208" s="182" t="str">
        <f>IFERROR(__xludf.DUMMYFUNCTION("""COMPUTED_VALUE"""),"Excellent")</f>
        <v>Excellent</v>
      </c>
      <c r="AC3208" s="183"/>
      <c r="AD3208" s="183"/>
      <c r="AE3208" s="183"/>
      <c r="AF3208" s="184"/>
      <c r="AG3208" s="180"/>
      <c r="AH3208" s="185">
        <f>IFERROR(__xludf.DUMMYFUNCTION("""COMPUTED_VALUE"""),43303.69721949074)</f>
        <v>43303.69722</v>
      </c>
      <c r="AI3208" s="182"/>
      <c r="AJ3208" s="182"/>
      <c r="AK3208" s="182"/>
      <c r="AL3208" s="182"/>
    </row>
    <row r="3209" ht="20.25" customHeight="1">
      <c r="A3209" s="169" t="str">
        <f>IFERROR(__xludf.DUMMYFUNCTION("""COMPUTED_VALUE"""),"Slartiblartfast")</f>
        <v>Slartiblartfast</v>
      </c>
      <c r="B3209" s="170" t="str">
        <f>IFERROR(__xludf.DUMMYFUNCTION("""COMPUTED_VALUE"""),"Chantilly")</f>
        <v>Chantilly</v>
      </c>
      <c r="C3209" s="170" t="str">
        <f>IFERROR(__xludf.DUMMYFUNCTION("""COMPUTED_VALUE"""),"VA")</f>
        <v>VA</v>
      </c>
      <c r="D3209" s="170" t="str">
        <f>IFERROR(__xludf.DUMMYFUNCTION("""COMPUTED_VALUE"""),"USA")</f>
        <v>USA</v>
      </c>
      <c r="E3209" s="171">
        <f>IFERROR(__xludf.DUMMYFUNCTION("""COMPUTED_VALUE"""),43278.0)</f>
        <v>43278</v>
      </c>
      <c r="F3209" s="172">
        <f>IFERROR(__xludf.DUMMYFUNCTION("""COMPUTED_VALUE"""),43353.0)</f>
        <v>43353</v>
      </c>
      <c r="G3209" s="173"/>
      <c r="H3209" s="174">
        <f>IFERROR(__xludf.DUMMYFUNCTION("""COMPUTED_VALUE"""),68555.0)</f>
        <v>68555</v>
      </c>
      <c r="I3209" s="175" t="str">
        <f>IFERROR(__xludf.DUMMYFUNCTION("""COMPUTED_VALUE"""),"08/18")</f>
        <v>08/18</v>
      </c>
      <c r="J3209" s="172">
        <f>IFERROR(__xludf.DUMMYFUNCTION("""COMPUTED_VALUE"""),43356.0)</f>
        <v>43356</v>
      </c>
      <c r="K3209" s="176">
        <f>IFERROR(__xludf.DUMMYFUNCTION("""COMPUTED_VALUE"""),75.0)</f>
        <v>75</v>
      </c>
      <c r="L3209" s="176">
        <f>IFERROR(__xludf.DUMMYFUNCTION("""COMPUTED_VALUE"""),3.0)</f>
        <v>3</v>
      </c>
      <c r="M3209" s="176">
        <f>IFERROR(__xludf.DUMMYFUNCTION("""COMPUTED_VALUE"""),78.0)</f>
        <v>78</v>
      </c>
      <c r="N3209" s="177" t="str">
        <f>IFERROR(__xludf.DUMMYFUNCTION("""COMPUTED_VALUE"""),"Model 3 LR AWD")</f>
        <v>Model 3 LR AWD</v>
      </c>
      <c r="O3209" s="177" t="str">
        <f>IFERROR(__xludf.DUMMYFUNCTION("""COMPUTED_VALUE"""),"Solid Black")</f>
        <v>Solid Black</v>
      </c>
      <c r="P3209" s="178" t="str">
        <f>IFERROR(__xludf.DUMMYFUNCTION("""COMPUTED_VALUE"""),"18 inch Aero")</f>
        <v>18 inch Aero</v>
      </c>
      <c r="Q3209" s="177" t="str">
        <f>IFERROR(__xludf.DUMMYFUNCTION("""COMPUTED_VALUE"""),"Black seats")</f>
        <v>Black seats</v>
      </c>
      <c r="R3209" s="170" t="str">
        <f>IFERROR(__xludf.DUMMYFUNCTION("""COMPUTED_VALUE"""),"Enhanced Autopilot")</f>
        <v>Enhanced Autopilot</v>
      </c>
      <c r="S3209" s="170"/>
      <c r="T3209" s="179"/>
      <c r="U3209" s="179"/>
      <c r="V3209" s="179"/>
      <c r="W3209" s="180"/>
      <c r="X3209" s="181" t="str">
        <f>IFERROR(__xludf.DUMMYFUNCTION("""COMPUTED_VALUE"""),"Excellent")</f>
        <v>Excellent</v>
      </c>
      <c r="Y3209" s="182" t="str">
        <f>IFERROR(__xludf.DUMMYFUNCTION("""COMPUTED_VALUE"""),"Excellent")</f>
        <v>Excellent</v>
      </c>
      <c r="Z3209" s="182" t="str">
        <f>IFERROR(__xludf.DUMMYFUNCTION("""COMPUTED_VALUE"""),"Excellent")</f>
        <v>Excellent</v>
      </c>
      <c r="AA3209" s="182" t="str">
        <f>IFERROR(__xludf.DUMMYFUNCTION("""COMPUTED_VALUE"""),"Very Good")</f>
        <v>Very Good</v>
      </c>
      <c r="AB3209" s="182" t="str">
        <f>IFERROR(__xludf.DUMMYFUNCTION("""COMPUTED_VALUE"""),"Very Good")</f>
        <v>Very Good</v>
      </c>
      <c r="AC3209" s="183"/>
      <c r="AD3209" s="183"/>
      <c r="AE3209" s="183"/>
      <c r="AF3209" s="184"/>
      <c r="AG3209" s="180"/>
      <c r="AH3209" s="185">
        <f>IFERROR(__xludf.DUMMYFUNCTION("""COMPUTED_VALUE"""),43357.225253055556)</f>
        <v>43357.22525</v>
      </c>
      <c r="AI3209" s="182"/>
      <c r="AJ3209" s="182"/>
      <c r="AK3209" s="182"/>
      <c r="AL3209" s="182"/>
    </row>
    <row r="3210" ht="20.25" customHeight="1">
      <c r="A3210" s="169" t="str">
        <f>IFERROR(__xludf.DUMMYFUNCTION("""COMPUTED_VALUE"""),"snowy")</f>
        <v>snowy</v>
      </c>
      <c r="B3210" s="170" t="str">
        <f>IFERROR(__xludf.DUMMYFUNCTION("""COMPUTED_VALUE"""),"Vancouver")</f>
        <v>Vancouver</v>
      </c>
      <c r="C3210" s="170" t="str">
        <f>IFERROR(__xludf.DUMMYFUNCTION("""COMPUTED_VALUE"""),"BC")</f>
        <v>BC</v>
      </c>
      <c r="D3210" s="170" t="str">
        <f>IFERROR(__xludf.DUMMYFUNCTION("""COMPUTED_VALUE"""),"Canada")</f>
        <v>Canada</v>
      </c>
      <c r="E3210" s="171">
        <f>IFERROR(__xludf.DUMMYFUNCTION("""COMPUTED_VALUE"""),43278.0)</f>
        <v>43278</v>
      </c>
      <c r="F3210" s="172">
        <f>IFERROR(__xludf.DUMMYFUNCTION("""COMPUTED_VALUE"""),43343.0)</f>
        <v>43343</v>
      </c>
      <c r="G3210" s="173"/>
      <c r="H3210" s="174">
        <f>IFERROR(__xludf.DUMMYFUNCTION("""COMPUTED_VALUE"""),107155.0)</f>
        <v>107155</v>
      </c>
      <c r="I3210" s="175" t="str">
        <f>IFERROR(__xludf.DUMMYFUNCTION("""COMPUTED_VALUE"""),"08/18")</f>
        <v>08/18</v>
      </c>
      <c r="J3210" s="172">
        <f>IFERROR(__xludf.DUMMYFUNCTION("""COMPUTED_VALUE"""),43350.0)</f>
        <v>43350</v>
      </c>
      <c r="K3210" s="176">
        <f>IFERROR(__xludf.DUMMYFUNCTION("""COMPUTED_VALUE"""),65.0)</f>
        <v>65</v>
      </c>
      <c r="L3210" s="176">
        <f>IFERROR(__xludf.DUMMYFUNCTION("""COMPUTED_VALUE"""),7.0)</f>
        <v>7</v>
      </c>
      <c r="M3210" s="176">
        <f>IFERROR(__xludf.DUMMYFUNCTION("""COMPUTED_VALUE"""),72.0)</f>
        <v>72</v>
      </c>
      <c r="N3210" s="177" t="str">
        <f>IFERROR(__xludf.DUMMYFUNCTION("""COMPUTED_VALUE"""),"Model 3 LR AWD")</f>
        <v>Model 3 LR AWD</v>
      </c>
      <c r="O3210" s="177" t="str">
        <f>IFERROR(__xludf.DUMMYFUNCTION("""COMPUTED_VALUE"""),"Pearl White Multi-Coat")</f>
        <v>Pearl White Multi-Coat</v>
      </c>
      <c r="P3210" s="178" t="str">
        <f>IFERROR(__xludf.DUMMYFUNCTION("""COMPUTED_VALUE"""),"18 inch Aero")</f>
        <v>18 inch Aero</v>
      </c>
      <c r="Q3210" s="177" t="str">
        <f>IFERROR(__xludf.DUMMYFUNCTION("""COMPUTED_VALUE"""),"Black seats")</f>
        <v>Black seats</v>
      </c>
      <c r="R3210" s="170" t="str">
        <f>IFERROR(__xludf.DUMMYFUNCTION("""COMPUTED_VALUE"""),"Enhanced Autopilot")</f>
        <v>Enhanced Autopilot</v>
      </c>
      <c r="S3210" s="170"/>
      <c r="T3210" s="179"/>
      <c r="U3210" s="179"/>
      <c r="V3210" s="179"/>
      <c r="W3210" s="180"/>
      <c r="X3210" s="181" t="str">
        <f>IFERROR(__xludf.DUMMYFUNCTION("""COMPUTED_VALUE"""),"Excellent")</f>
        <v>Excellent</v>
      </c>
      <c r="Y3210" s="182" t="str">
        <f>IFERROR(__xludf.DUMMYFUNCTION("""COMPUTED_VALUE"""),"Excellent")</f>
        <v>Excellent</v>
      </c>
      <c r="Z3210" s="182" t="str">
        <f>IFERROR(__xludf.DUMMYFUNCTION("""COMPUTED_VALUE"""),"Good")</f>
        <v>Good</v>
      </c>
      <c r="AA3210" s="182" t="str">
        <f>IFERROR(__xludf.DUMMYFUNCTION("""COMPUTED_VALUE"""),"Fair")</f>
        <v>Fair</v>
      </c>
      <c r="AB3210" s="182" t="str">
        <f>IFERROR(__xludf.DUMMYFUNCTION("""COMPUTED_VALUE"""),"Fair")</f>
        <v>Fair</v>
      </c>
      <c r="AC3210" s="183">
        <f>IFERROR(__xludf.DUMMYFUNCTION("""COMPUTED_VALUE"""),12.0)</f>
        <v>12</v>
      </c>
      <c r="AD3210" s="183">
        <f>IFERROR(__xludf.DUMMYFUNCTION("""COMPUTED_VALUE"""),1.0)</f>
        <v>1</v>
      </c>
      <c r="AE3210" s="183"/>
      <c r="AF3210" s="184"/>
      <c r="AG3210" s="180"/>
      <c r="AH3210" s="185">
        <f>IFERROR(__xludf.DUMMYFUNCTION("""COMPUTED_VALUE"""),43371.92875167824)</f>
        <v>43371.92875</v>
      </c>
      <c r="AI3210" s="182"/>
      <c r="AJ3210" s="182"/>
      <c r="AK3210" s="182"/>
      <c r="AL3210" s="182"/>
    </row>
    <row r="3211" ht="20.25" customHeight="1">
      <c r="A3211" s="169" t="str">
        <f>IFERROR(__xludf.DUMMYFUNCTION("""COMPUTED_VALUE"""),"someone")</f>
        <v>someone</v>
      </c>
      <c r="B3211" s="170"/>
      <c r="C3211" s="170" t="str">
        <f>IFERROR(__xludf.DUMMYFUNCTION("""COMPUTED_VALUE"""),"MN")</f>
        <v>MN</v>
      </c>
      <c r="D3211" s="170" t="str">
        <f>IFERROR(__xludf.DUMMYFUNCTION("""COMPUTED_VALUE"""),"USA")</f>
        <v>USA</v>
      </c>
      <c r="E3211" s="171">
        <f>IFERROR(__xludf.DUMMYFUNCTION("""COMPUTED_VALUE"""),43278.0)</f>
        <v>43278</v>
      </c>
      <c r="F3211" s="172">
        <f>IFERROR(__xludf.DUMMYFUNCTION("""COMPUTED_VALUE"""),43356.0)</f>
        <v>43356</v>
      </c>
      <c r="G3211" s="173"/>
      <c r="H3211" s="174"/>
      <c r="I3211" s="175" t="str">
        <f>IFERROR(__xludf.DUMMYFUNCTION("""COMPUTED_VALUE"""),"09/18")</f>
        <v>09/18</v>
      </c>
      <c r="J3211" s="172">
        <f>IFERROR(__xludf.DUMMYFUNCTION("""COMPUTED_VALUE"""),43372.0)</f>
        <v>43372</v>
      </c>
      <c r="K3211" s="176">
        <f>IFERROR(__xludf.DUMMYFUNCTION("""COMPUTED_VALUE"""),78.0)</f>
        <v>78</v>
      </c>
      <c r="L3211" s="176">
        <f>IFERROR(__xludf.DUMMYFUNCTION("""COMPUTED_VALUE"""),16.0)</f>
        <v>16</v>
      </c>
      <c r="M3211" s="176">
        <f>IFERROR(__xludf.DUMMYFUNCTION("""COMPUTED_VALUE"""),94.0)</f>
        <v>94</v>
      </c>
      <c r="N3211" s="177" t="str">
        <f>IFERROR(__xludf.DUMMYFUNCTION("""COMPUTED_VALUE"""),"Model 3 Performance")</f>
        <v>Model 3 Performance</v>
      </c>
      <c r="O3211" s="177" t="str">
        <f>IFERROR(__xludf.DUMMYFUNCTION("""COMPUTED_VALUE"""),"Deep Blue Metallic")</f>
        <v>Deep Blue Metallic</v>
      </c>
      <c r="P3211" s="178" t="str">
        <f>IFERROR(__xludf.DUMMYFUNCTION("""COMPUTED_VALUE"""),"18 inch Aero")</f>
        <v>18 inch Aero</v>
      </c>
      <c r="Q3211" s="177" t="str">
        <f>IFERROR(__xludf.DUMMYFUNCTION("""COMPUTED_VALUE"""),"Black seats")</f>
        <v>Black seats</v>
      </c>
      <c r="R3211" s="170" t="str">
        <f>IFERROR(__xludf.DUMMYFUNCTION("""COMPUTED_VALUE"""),"Full Self-Driving")</f>
        <v>Full Self-Driving</v>
      </c>
      <c r="S3211" s="170"/>
      <c r="T3211" s="179"/>
      <c r="U3211" s="179"/>
      <c r="V3211" s="179"/>
      <c r="W3211" s="180"/>
      <c r="X3211" s="181" t="str">
        <f>IFERROR(__xludf.DUMMYFUNCTION("""COMPUTED_VALUE"""),"Excellent")</f>
        <v>Excellent</v>
      </c>
      <c r="Y3211" s="182" t="str">
        <f>IFERROR(__xludf.DUMMYFUNCTION("""COMPUTED_VALUE"""),"Excellent")</f>
        <v>Excellent</v>
      </c>
      <c r="Z3211" s="182" t="str">
        <f>IFERROR(__xludf.DUMMYFUNCTION("""COMPUTED_VALUE"""),"Excellent")</f>
        <v>Excellent</v>
      </c>
      <c r="AA3211" s="182" t="str">
        <f>IFERROR(__xludf.DUMMYFUNCTION("""COMPUTED_VALUE"""),"Poor")</f>
        <v>Poor</v>
      </c>
      <c r="AB3211" s="182" t="str">
        <f>IFERROR(__xludf.DUMMYFUNCTION("""COMPUTED_VALUE"""),"Fair")</f>
        <v>Fair</v>
      </c>
      <c r="AC3211" s="183"/>
      <c r="AD3211" s="183"/>
      <c r="AE3211" s="183"/>
      <c r="AF3211" s="184"/>
      <c r="AG3211" s="180"/>
      <c r="AH3211" s="185">
        <f>IFERROR(__xludf.DUMMYFUNCTION("""COMPUTED_VALUE"""),43376.35371310185)</f>
        <v>43376.35371</v>
      </c>
      <c r="AI3211" s="182"/>
      <c r="AJ3211" s="182"/>
      <c r="AK3211" s="182"/>
      <c r="AL3211" s="182"/>
    </row>
    <row r="3212" ht="20.25" customHeight="1">
      <c r="A3212" s="169" t="str">
        <f>IFERROR(__xludf.DUMMYFUNCTION("""COMPUTED_VALUE"""),"SonicGT")</f>
        <v>SonicGT</v>
      </c>
      <c r="B3212" s="170" t="str">
        <f>IFERROR(__xludf.DUMMYFUNCTION("""COMPUTED_VALUE"""),"Chicago")</f>
        <v>Chicago</v>
      </c>
      <c r="C3212" s="170" t="str">
        <f>IFERROR(__xludf.DUMMYFUNCTION("""COMPUTED_VALUE"""),"IL")</f>
        <v>IL</v>
      </c>
      <c r="D3212" s="170" t="str">
        <f>IFERROR(__xludf.DUMMYFUNCTION("""COMPUTED_VALUE"""),"USA")</f>
        <v>USA</v>
      </c>
      <c r="E3212" s="171">
        <f>IFERROR(__xludf.DUMMYFUNCTION("""COMPUTED_VALUE"""),43278.0)</f>
        <v>43278</v>
      </c>
      <c r="F3212" s="172">
        <f>IFERROR(__xludf.DUMMYFUNCTION("""COMPUTED_VALUE"""),43325.0)</f>
        <v>43325</v>
      </c>
      <c r="G3212" s="173"/>
      <c r="H3212" s="174">
        <f>IFERROR(__xludf.DUMMYFUNCTION("""COMPUTED_VALUE"""),63885.0)</f>
        <v>63885</v>
      </c>
      <c r="I3212" s="175"/>
      <c r="J3212" s="172">
        <f>IFERROR(__xludf.DUMMYFUNCTION("""COMPUTED_VALUE"""),43350.0)</f>
        <v>43350</v>
      </c>
      <c r="K3212" s="176">
        <f>IFERROR(__xludf.DUMMYFUNCTION("""COMPUTED_VALUE"""),47.0)</f>
        <v>47</v>
      </c>
      <c r="L3212" s="176">
        <f>IFERROR(__xludf.DUMMYFUNCTION("""COMPUTED_VALUE"""),25.0)</f>
        <v>25</v>
      </c>
      <c r="M3212" s="176">
        <f>IFERROR(__xludf.DUMMYFUNCTION("""COMPUTED_VALUE"""),72.0)</f>
        <v>72</v>
      </c>
      <c r="N3212" s="177" t="str">
        <f>IFERROR(__xludf.DUMMYFUNCTION("""COMPUTED_VALUE"""),"Model 3 LR AWD")</f>
        <v>Model 3 LR AWD</v>
      </c>
      <c r="O3212" s="177" t="str">
        <f>IFERROR(__xludf.DUMMYFUNCTION("""COMPUTED_VALUE"""),"Deep Blue Metallic")</f>
        <v>Deep Blue Metallic</v>
      </c>
      <c r="P3212" s="178" t="str">
        <f>IFERROR(__xludf.DUMMYFUNCTION("""COMPUTED_VALUE"""),"19 inch Sport")</f>
        <v>19 inch Sport</v>
      </c>
      <c r="Q3212" s="177" t="str">
        <f>IFERROR(__xludf.DUMMYFUNCTION("""COMPUTED_VALUE"""),"Black seats")</f>
        <v>Black seats</v>
      </c>
      <c r="R3212" s="170" t="str">
        <f>IFERROR(__xludf.DUMMYFUNCTION("""COMPUTED_VALUE"""),"Enhanced Autopilot")</f>
        <v>Enhanced Autopilot</v>
      </c>
      <c r="S3212" s="170"/>
      <c r="T3212" s="179"/>
      <c r="U3212" s="179"/>
      <c r="V3212" s="179"/>
      <c r="W3212" s="180"/>
      <c r="X3212" s="181" t="str">
        <f>IFERROR(__xludf.DUMMYFUNCTION("""COMPUTED_VALUE"""),"Good")</f>
        <v>Good</v>
      </c>
      <c r="Y3212" s="182" t="str">
        <f>IFERROR(__xludf.DUMMYFUNCTION("""COMPUTED_VALUE"""),"Very Good")</f>
        <v>Very Good</v>
      </c>
      <c r="Z3212" s="182" t="str">
        <f>IFERROR(__xludf.DUMMYFUNCTION("""COMPUTED_VALUE"""),"Good")</f>
        <v>Good</v>
      </c>
      <c r="AA3212" s="182" t="str">
        <f>IFERROR(__xludf.DUMMYFUNCTION("""COMPUTED_VALUE"""),"Fair")</f>
        <v>Fair</v>
      </c>
      <c r="AB3212" s="182" t="str">
        <f>IFERROR(__xludf.DUMMYFUNCTION("""COMPUTED_VALUE"""),"Very Good")</f>
        <v>Very Good</v>
      </c>
      <c r="AC3212" s="183">
        <f>IFERROR(__xludf.DUMMYFUNCTION("""COMPUTED_VALUE"""),3.0)</f>
        <v>3</v>
      </c>
      <c r="AD3212" s="183">
        <f>IFERROR(__xludf.DUMMYFUNCTION("""COMPUTED_VALUE"""),1.0)</f>
        <v>1</v>
      </c>
      <c r="AE3212" s="183">
        <f>IFERROR(__xludf.DUMMYFUNCTION("""COMPUTED_VALUE"""),4.0)</f>
        <v>4</v>
      </c>
      <c r="AF3212" s="184"/>
      <c r="AG3212" s="180" t="str">
        <f>IFERROR(__xludf.DUMMYFUNCTION("""COMPUTED_VALUE"""),"No Heat on delivery was fixed at service")</f>
        <v>No Heat on delivery was fixed at service</v>
      </c>
      <c r="AH3212" s="185">
        <f>IFERROR(__xludf.DUMMYFUNCTION("""COMPUTED_VALUE"""),43373.831644224534)</f>
        <v>43373.83164</v>
      </c>
      <c r="AI3212" s="182"/>
      <c r="AJ3212" s="182"/>
      <c r="AK3212" s="182"/>
      <c r="AL3212" s="182"/>
    </row>
    <row r="3213" ht="20.25" customHeight="1">
      <c r="A3213" s="169" t="str">
        <f>IFERROR(__xludf.DUMMYFUNCTION("""COMPUTED_VALUE"""),"Spitfire")</f>
        <v>Spitfire</v>
      </c>
      <c r="B3213" s="170" t="str">
        <f>IFERROR(__xludf.DUMMYFUNCTION("""COMPUTED_VALUE"""),"Ontario")</f>
        <v>Ontario</v>
      </c>
      <c r="C3213" s="170" t="str">
        <f>IFERROR(__xludf.DUMMYFUNCTION("""COMPUTED_VALUE"""),"ON")</f>
        <v>ON</v>
      </c>
      <c r="D3213" s="170" t="str">
        <f>IFERROR(__xludf.DUMMYFUNCTION("""COMPUTED_VALUE"""),"Canada")</f>
        <v>Canada</v>
      </c>
      <c r="E3213" s="171">
        <f>IFERROR(__xludf.DUMMYFUNCTION("""COMPUTED_VALUE"""),43278.0)</f>
        <v>43278</v>
      </c>
      <c r="F3213" s="172">
        <f>IFERROR(__xludf.DUMMYFUNCTION("""COMPUTED_VALUE"""),43350.0)</f>
        <v>43350</v>
      </c>
      <c r="G3213" s="173"/>
      <c r="H3213" s="174">
        <f>IFERROR(__xludf.DUMMYFUNCTION("""COMPUTED_VALUE"""),109840.0)</f>
        <v>109840</v>
      </c>
      <c r="I3213" s="175"/>
      <c r="J3213" s="172">
        <f>IFERROR(__xludf.DUMMYFUNCTION("""COMPUTED_VALUE"""),43371.0)</f>
        <v>43371</v>
      </c>
      <c r="K3213" s="176">
        <f>IFERROR(__xludf.DUMMYFUNCTION("""COMPUTED_VALUE"""),72.0)</f>
        <v>72</v>
      </c>
      <c r="L3213" s="176">
        <f>IFERROR(__xludf.DUMMYFUNCTION("""COMPUTED_VALUE"""),21.0)</f>
        <v>21</v>
      </c>
      <c r="M3213" s="176">
        <f>IFERROR(__xludf.DUMMYFUNCTION("""COMPUTED_VALUE"""),93.0)</f>
        <v>93</v>
      </c>
      <c r="N3213" s="177" t="str">
        <f>IFERROR(__xludf.DUMMYFUNCTION("""COMPUTED_VALUE"""),"Model 3 LR AWD")</f>
        <v>Model 3 LR AWD</v>
      </c>
      <c r="O3213" s="177" t="str">
        <f>IFERROR(__xludf.DUMMYFUNCTION("""COMPUTED_VALUE"""),"Red Multi-Coat")</f>
        <v>Red Multi-Coat</v>
      </c>
      <c r="P3213" s="178" t="str">
        <f>IFERROR(__xludf.DUMMYFUNCTION("""COMPUTED_VALUE"""),"19 inch Sport")</f>
        <v>19 inch Sport</v>
      </c>
      <c r="Q3213" s="177" t="str">
        <f>IFERROR(__xludf.DUMMYFUNCTION("""COMPUTED_VALUE"""),"Black seats")</f>
        <v>Black seats</v>
      </c>
      <c r="R3213" s="170" t="str">
        <f>IFERROR(__xludf.DUMMYFUNCTION("""COMPUTED_VALUE"""),"Enhanced Autopilot")</f>
        <v>Enhanced Autopilot</v>
      </c>
      <c r="S3213" s="170"/>
      <c r="T3213" s="179"/>
      <c r="U3213" s="179"/>
      <c r="V3213" s="179"/>
      <c r="W3213" s="180"/>
      <c r="X3213" s="181" t="str">
        <f>IFERROR(__xludf.DUMMYFUNCTION("""COMPUTED_VALUE"""),"Excellent")</f>
        <v>Excellent</v>
      </c>
      <c r="Y3213" s="182" t="str">
        <f>IFERROR(__xludf.DUMMYFUNCTION("""COMPUTED_VALUE"""),"Excellent")</f>
        <v>Excellent</v>
      </c>
      <c r="Z3213" s="182" t="str">
        <f>IFERROR(__xludf.DUMMYFUNCTION("""COMPUTED_VALUE"""),"Excellent")</f>
        <v>Excellent</v>
      </c>
      <c r="AA3213" s="182" t="str">
        <f>IFERROR(__xludf.DUMMYFUNCTION("""COMPUTED_VALUE"""),"Good")</f>
        <v>Good</v>
      </c>
      <c r="AB3213" s="182" t="str">
        <f>IFERROR(__xludf.DUMMYFUNCTION("""COMPUTED_VALUE"""),"Excellent")</f>
        <v>Excellent</v>
      </c>
      <c r="AC3213" s="183">
        <f>IFERROR(__xludf.DUMMYFUNCTION("""COMPUTED_VALUE"""),0.0)</f>
        <v>0</v>
      </c>
      <c r="AD3213" s="183">
        <f>IFERROR(__xludf.DUMMYFUNCTION("""COMPUTED_VALUE"""),0.0)</f>
        <v>0</v>
      </c>
      <c r="AE3213" s="183">
        <f>IFERROR(__xludf.DUMMYFUNCTION("""COMPUTED_VALUE"""),0.0)</f>
        <v>0</v>
      </c>
      <c r="AF3213" s="184"/>
      <c r="AG3213" s="180" t="str">
        <f>IFERROR(__xludf.DUMMYFUNCTION("""COMPUTED_VALUE"""),"My model 3 was perfect")</f>
        <v>My model 3 was perfect</v>
      </c>
      <c r="AH3213" s="185">
        <f>IFERROR(__xludf.DUMMYFUNCTION("""COMPUTED_VALUE"""),43398.803136967595)</f>
        <v>43398.80314</v>
      </c>
      <c r="AI3213" s="182"/>
      <c r="AJ3213" s="182"/>
      <c r="AK3213" s="182"/>
      <c r="AL3213" s="182"/>
    </row>
    <row r="3214" ht="20.25" customHeight="1">
      <c r="A3214" s="169" t="str">
        <f>IFERROR(__xludf.DUMMYFUNCTION("""COMPUTED_VALUE"""),"splob")</f>
        <v>splob</v>
      </c>
      <c r="B3214" s="170" t="str">
        <f>IFERROR(__xludf.DUMMYFUNCTION("""COMPUTED_VALUE"""),"Chicago")</f>
        <v>Chicago</v>
      </c>
      <c r="C3214" s="170" t="str">
        <f>IFERROR(__xludf.DUMMYFUNCTION("""COMPUTED_VALUE"""),"IL")</f>
        <v>IL</v>
      </c>
      <c r="D3214" s="170" t="str">
        <f>IFERROR(__xludf.DUMMYFUNCTION("""COMPUTED_VALUE"""),"USA")</f>
        <v>USA</v>
      </c>
      <c r="E3214" s="171">
        <f>IFERROR(__xludf.DUMMYFUNCTION("""COMPUTED_VALUE"""),43278.0)</f>
        <v>43278</v>
      </c>
      <c r="F3214" s="172">
        <f>IFERROR(__xludf.DUMMYFUNCTION("""COMPUTED_VALUE"""),43318.0)</f>
        <v>43318</v>
      </c>
      <c r="G3214" s="173"/>
      <c r="H3214" s="174">
        <f>IFERROR(__xludf.DUMMYFUNCTION("""COMPUTED_VALUE"""),74149.0)</f>
        <v>74149</v>
      </c>
      <c r="I3214" s="175" t="str">
        <f>IFERROR(__xludf.DUMMYFUNCTION("""COMPUTED_VALUE"""),"08/18")</f>
        <v>08/18</v>
      </c>
      <c r="J3214" s="172">
        <f>IFERROR(__xludf.DUMMYFUNCTION("""COMPUTED_VALUE"""),43342.0)</f>
        <v>43342</v>
      </c>
      <c r="K3214" s="176">
        <f>IFERROR(__xludf.DUMMYFUNCTION("""COMPUTED_VALUE"""),40.0)</f>
        <v>40</v>
      </c>
      <c r="L3214" s="176">
        <f>IFERROR(__xludf.DUMMYFUNCTION("""COMPUTED_VALUE"""),24.0)</f>
        <v>24</v>
      </c>
      <c r="M3214" s="176">
        <f>IFERROR(__xludf.DUMMYFUNCTION("""COMPUTED_VALUE"""),64.0)</f>
        <v>64</v>
      </c>
      <c r="N3214" s="177" t="str">
        <f>IFERROR(__xludf.DUMMYFUNCTION("""COMPUTED_VALUE"""),"Model 3 Performance")</f>
        <v>Model 3 Performance</v>
      </c>
      <c r="O3214" s="177" t="str">
        <f>IFERROR(__xludf.DUMMYFUNCTION("""COMPUTED_VALUE"""),"Deep Blue Metallic")</f>
        <v>Deep Blue Metallic</v>
      </c>
      <c r="P3214" s="178" t="str">
        <f>IFERROR(__xludf.DUMMYFUNCTION("""COMPUTED_VALUE"""),"20 inch Sport")</f>
        <v>20 inch Sport</v>
      </c>
      <c r="Q3214" s="177" t="str">
        <f>IFERROR(__xludf.DUMMYFUNCTION("""COMPUTED_VALUE"""),"White seats")</f>
        <v>White seats</v>
      </c>
      <c r="R3214" s="170" t="str">
        <f>IFERROR(__xludf.DUMMYFUNCTION("""COMPUTED_VALUE"""),"Full Self-Driving")</f>
        <v>Full Self-Driving</v>
      </c>
      <c r="S3214" s="170"/>
      <c r="T3214" s="179"/>
      <c r="U3214" s="179"/>
      <c r="V3214" s="179"/>
      <c r="W3214" s="180"/>
      <c r="X3214" s="181" t="str">
        <f>IFERROR(__xludf.DUMMYFUNCTION("""COMPUTED_VALUE"""),"Excellent")</f>
        <v>Excellent</v>
      </c>
      <c r="Y3214" s="182" t="str">
        <f>IFERROR(__xludf.DUMMYFUNCTION("""COMPUTED_VALUE"""),"Excellent")</f>
        <v>Excellent</v>
      </c>
      <c r="Z3214" s="182" t="str">
        <f>IFERROR(__xludf.DUMMYFUNCTION("""COMPUTED_VALUE"""),"Excellent")</f>
        <v>Excellent</v>
      </c>
      <c r="AA3214" s="182" t="str">
        <f>IFERROR(__xludf.DUMMYFUNCTION("""COMPUTED_VALUE"""),"Poor")</f>
        <v>Poor</v>
      </c>
      <c r="AB3214" s="182" t="str">
        <f>IFERROR(__xludf.DUMMYFUNCTION("""COMPUTED_VALUE"""),"Fair")</f>
        <v>Fair</v>
      </c>
      <c r="AC3214" s="183">
        <f>IFERROR(__xludf.DUMMYFUNCTION("""COMPUTED_VALUE"""),0.0)</f>
        <v>0</v>
      </c>
      <c r="AD3214" s="183">
        <f>IFERROR(__xludf.DUMMYFUNCTION("""COMPUTED_VALUE"""),0.0)</f>
        <v>0</v>
      </c>
      <c r="AE3214" s="183">
        <f>IFERROR(__xludf.DUMMYFUNCTION("""COMPUTED_VALUE"""),0.0)</f>
        <v>0</v>
      </c>
      <c r="AF3214" s="184"/>
      <c r="AG3214" s="180" t="str">
        <f>IFERROR(__xludf.DUMMYFUNCTION("""COMPUTED_VALUE"""),"Reserved 3/31/2016. Ordered Performance 6/27/2018. Edited order from Performance to LR AWD on 7/24/2018. Reverted to Performance on 8/1/2018. Upgraded to Performance Upgrade Package on 8/2/2018. Asked to confirm trade-in and payment details on 8/4/2018. C"&amp;"alled support and received VIN on 8/6/2018. Delivery Advisor called on 8/11/2018 to schedule delivery for 8/20/2018. Delivery postponed on 8/20/2018 due to late arrival of delivery truck. Delivery Specialist called on 8/22/2018 to reschedule delivery for "&amp;"8/24/2018 due to paint issues. Delivery Specialist called again on 8/23/2018 to postpone delivery due to paint issues not being fixable on site. Delivery Specialist texted on 8/29/2018 that vehicle was ready for pickup. Scheduled delivery on 8/30/2018 for"&amp;" that day at 5pm.")</f>
        <v>Reserved 3/31/2016. Ordered Performance 6/27/2018. Edited order from Performance to LR AWD on 7/24/2018. Reverted to Performance on 8/1/2018. Upgraded to Performance Upgrade Package on 8/2/2018. Asked to confirm trade-in and payment details on 8/4/2018. Called support and received VIN on 8/6/2018. Delivery Advisor called on 8/11/2018 to schedule delivery for 8/20/2018. Delivery postponed on 8/20/2018 due to late arrival of delivery truck. Delivery Specialist called on 8/22/2018 to reschedule delivery for 8/24/2018 due to paint issues. Delivery Specialist called again on 8/23/2018 to postpone delivery due to paint issues not being fixable on site. Delivery Specialist texted on 8/29/2018 that vehicle was ready for pickup. Scheduled delivery on 8/30/2018 for that day at 5pm.</v>
      </c>
      <c r="AH3214" s="185">
        <f>IFERROR(__xludf.DUMMYFUNCTION("""COMPUTED_VALUE"""),43344.666042476856)</f>
        <v>43344.66604</v>
      </c>
      <c r="AI3214" s="182"/>
      <c r="AJ3214" s="182"/>
      <c r="AK3214" s="182"/>
      <c r="AL3214" s="182"/>
    </row>
    <row r="3215" ht="20.25" customHeight="1">
      <c r="A3215" s="169" t="str">
        <f>IFERROR(__xludf.DUMMYFUNCTION("""COMPUTED_VALUE"""),"steve100")</f>
        <v>steve100</v>
      </c>
      <c r="B3215" s="170" t="str">
        <f>IFERROR(__xludf.DUMMYFUNCTION("""COMPUTED_VALUE"""),"Massachusetts")</f>
        <v>Massachusetts</v>
      </c>
      <c r="C3215" s="170" t="str">
        <f>IFERROR(__xludf.DUMMYFUNCTION("""COMPUTED_VALUE"""),"MA")</f>
        <v>MA</v>
      </c>
      <c r="D3215" s="170" t="str">
        <f>IFERROR(__xludf.DUMMYFUNCTION("""COMPUTED_VALUE"""),"USA")</f>
        <v>USA</v>
      </c>
      <c r="E3215" s="171">
        <f>IFERROR(__xludf.DUMMYFUNCTION("""COMPUTED_VALUE"""),43278.0)</f>
        <v>43278</v>
      </c>
      <c r="F3215" s="172">
        <f>IFERROR(__xludf.DUMMYFUNCTION("""COMPUTED_VALUE"""),43344.0)</f>
        <v>43344</v>
      </c>
      <c r="G3215" s="173"/>
      <c r="H3215" s="174">
        <f>IFERROR(__xludf.DUMMYFUNCTION("""COMPUTED_VALUE"""),64241.0)</f>
        <v>64241</v>
      </c>
      <c r="I3215" s="175" t="str">
        <f>IFERROR(__xludf.DUMMYFUNCTION("""COMPUTED_VALUE"""),"08/18")</f>
        <v>08/18</v>
      </c>
      <c r="J3215" s="172">
        <f>IFERROR(__xludf.DUMMYFUNCTION("""COMPUTED_VALUE"""),43355.0)</f>
        <v>43355</v>
      </c>
      <c r="K3215" s="176">
        <f>IFERROR(__xludf.DUMMYFUNCTION("""COMPUTED_VALUE"""),66.0)</f>
        <v>66</v>
      </c>
      <c r="L3215" s="176">
        <f>IFERROR(__xludf.DUMMYFUNCTION("""COMPUTED_VALUE"""),11.0)</f>
        <v>11</v>
      </c>
      <c r="M3215" s="176">
        <f>IFERROR(__xludf.DUMMYFUNCTION("""COMPUTED_VALUE"""),77.0)</f>
        <v>77</v>
      </c>
      <c r="N3215" s="177" t="str">
        <f>IFERROR(__xludf.DUMMYFUNCTION("""COMPUTED_VALUE"""),"Model 3 LR AWD")</f>
        <v>Model 3 LR AWD</v>
      </c>
      <c r="O3215" s="177" t="str">
        <f>IFERROR(__xludf.DUMMYFUNCTION("""COMPUTED_VALUE"""),"Red Multi-Coat")</f>
        <v>Red Multi-Coat</v>
      </c>
      <c r="P3215" s="178" t="str">
        <f>IFERROR(__xludf.DUMMYFUNCTION("""COMPUTED_VALUE"""),"18 inch Aero")</f>
        <v>18 inch Aero</v>
      </c>
      <c r="Q3215" s="177" t="str">
        <f>IFERROR(__xludf.DUMMYFUNCTION("""COMPUTED_VALUE"""),"Black seats")</f>
        <v>Black seats</v>
      </c>
      <c r="R3215" s="170" t="str">
        <f>IFERROR(__xludf.DUMMYFUNCTION("""COMPUTED_VALUE"""),"Enhanced Autopilot")</f>
        <v>Enhanced Autopilot</v>
      </c>
      <c r="S3215" s="170"/>
      <c r="T3215" s="179"/>
      <c r="U3215" s="179"/>
      <c r="V3215" s="179"/>
      <c r="W3215" s="180"/>
      <c r="X3215" s="181" t="str">
        <f>IFERROR(__xludf.DUMMYFUNCTION("""COMPUTED_VALUE"""),"Excellent")</f>
        <v>Excellent</v>
      </c>
      <c r="Y3215" s="182" t="str">
        <f>IFERROR(__xludf.DUMMYFUNCTION("""COMPUTED_VALUE"""),"Excellent")</f>
        <v>Excellent</v>
      </c>
      <c r="Z3215" s="182" t="str">
        <f>IFERROR(__xludf.DUMMYFUNCTION("""COMPUTED_VALUE"""),"Excellent")</f>
        <v>Excellent</v>
      </c>
      <c r="AA3215" s="182" t="str">
        <f>IFERROR(__xludf.DUMMYFUNCTION("""COMPUTED_VALUE"""),"Fair")</f>
        <v>Fair</v>
      </c>
      <c r="AB3215" s="182" t="str">
        <f>IFERROR(__xludf.DUMMYFUNCTION("""COMPUTED_VALUE"""),"Good")</f>
        <v>Good</v>
      </c>
      <c r="AC3215" s="183">
        <f>IFERROR(__xludf.DUMMYFUNCTION("""COMPUTED_VALUE"""),0.0)</f>
        <v>0</v>
      </c>
      <c r="AD3215" s="183">
        <f>IFERROR(__xludf.DUMMYFUNCTION("""COMPUTED_VALUE"""),0.0)</f>
        <v>0</v>
      </c>
      <c r="AE3215" s="183">
        <f>IFERROR(__xludf.DUMMYFUNCTION("""COMPUTED_VALUE"""),0.0)</f>
        <v>0</v>
      </c>
      <c r="AF3215" s="184"/>
      <c r="AG3215" s="180"/>
      <c r="AH3215" s="185">
        <f>IFERROR(__xludf.DUMMYFUNCTION("""COMPUTED_VALUE"""),43382.450478645835)</f>
        <v>43382.45048</v>
      </c>
      <c r="AI3215" s="182"/>
      <c r="AJ3215" s="182"/>
      <c r="AK3215" s="182"/>
      <c r="AL3215" s="182"/>
    </row>
    <row r="3216" ht="20.25" customHeight="1">
      <c r="A3216" s="169" t="str">
        <f>IFERROR(__xludf.DUMMYFUNCTION("""COMPUTED_VALUE"""),"stonelance")</f>
        <v>stonelance</v>
      </c>
      <c r="B3216" s="170" t="str">
        <f>IFERROR(__xludf.DUMMYFUNCTION("""COMPUTED_VALUE"""),"Seattle")</f>
        <v>Seattle</v>
      </c>
      <c r="C3216" s="170" t="str">
        <f>IFERROR(__xludf.DUMMYFUNCTION("""COMPUTED_VALUE"""),"WA")</f>
        <v>WA</v>
      </c>
      <c r="D3216" s="170" t="str">
        <f>IFERROR(__xludf.DUMMYFUNCTION("""COMPUTED_VALUE"""),"USA")</f>
        <v>USA</v>
      </c>
      <c r="E3216" s="171">
        <f>IFERROR(__xludf.DUMMYFUNCTION("""COMPUTED_VALUE"""),43278.0)</f>
        <v>43278</v>
      </c>
      <c r="F3216" s="172">
        <f>IFERROR(__xludf.DUMMYFUNCTION("""COMPUTED_VALUE"""),43307.0)</f>
        <v>43307</v>
      </c>
      <c r="G3216" s="173"/>
      <c r="H3216" s="174">
        <f>IFERROR(__xludf.DUMMYFUNCTION("""COMPUTED_VALUE"""),73355.0)</f>
        <v>73355</v>
      </c>
      <c r="I3216" s="175" t="str">
        <f>IFERROR(__xludf.DUMMYFUNCTION("""COMPUTED_VALUE"""),"07/18")</f>
        <v>07/18</v>
      </c>
      <c r="J3216" s="172">
        <f>IFERROR(__xludf.DUMMYFUNCTION("""COMPUTED_VALUE"""),43321.0)</f>
        <v>43321</v>
      </c>
      <c r="K3216" s="176">
        <f>IFERROR(__xludf.DUMMYFUNCTION("""COMPUTED_VALUE"""),29.0)</f>
        <v>29</v>
      </c>
      <c r="L3216" s="176">
        <f>IFERROR(__xludf.DUMMYFUNCTION("""COMPUTED_VALUE"""),14.0)</f>
        <v>14</v>
      </c>
      <c r="M3216" s="176">
        <f>IFERROR(__xludf.DUMMYFUNCTION("""COMPUTED_VALUE"""),43.0)</f>
        <v>43</v>
      </c>
      <c r="N3216" s="177" t="str">
        <f>IFERROR(__xludf.DUMMYFUNCTION("""COMPUTED_VALUE"""),"Model 3 Performance")</f>
        <v>Model 3 Performance</v>
      </c>
      <c r="O3216" s="177" t="str">
        <f>IFERROR(__xludf.DUMMYFUNCTION("""COMPUTED_VALUE"""),"Red Multi-Coat")</f>
        <v>Red Multi-Coat</v>
      </c>
      <c r="P3216" s="178" t="str">
        <f>IFERROR(__xludf.DUMMYFUNCTION("""COMPUTED_VALUE"""),"18 inch Aero")</f>
        <v>18 inch Aero</v>
      </c>
      <c r="Q3216" s="177" t="str">
        <f>IFERROR(__xludf.DUMMYFUNCTION("""COMPUTED_VALUE"""),"Black seats")</f>
        <v>Black seats</v>
      </c>
      <c r="R3216" s="170" t="str">
        <f>IFERROR(__xludf.DUMMYFUNCTION("""COMPUTED_VALUE"""),"Full Self-Driving")</f>
        <v>Full Self-Driving</v>
      </c>
      <c r="S3216" s="170"/>
      <c r="T3216" s="179"/>
      <c r="U3216" s="179"/>
      <c r="V3216" s="179"/>
      <c r="W3216" s="180"/>
      <c r="X3216" s="181" t="str">
        <f>IFERROR(__xludf.DUMMYFUNCTION("""COMPUTED_VALUE"""),"Very Good")</f>
        <v>Very Good</v>
      </c>
      <c r="Y3216" s="182" t="str">
        <f>IFERROR(__xludf.DUMMYFUNCTION("""COMPUTED_VALUE"""),"Excellent")</f>
        <v>Excellent</v>
      </c>
      <c r="Z3216" s="182" t="str">
        <f>IFERROR(__xludf.DUMMYFUNCTION("""COMPUTED_VALUE"""),"Very Good")</f>
        <v>Very Good</v>
      </c>
      <c r="AA3216" s="182" t="str">
        <f>IFERROR(__xludf.DUMMYFUNCTION("""COMPUTED_VALUE"""),"Fair")</f>
        <v>Fair</v>
      </c>
      <c r="AB3216" s="182" t="str">
        <f>IFERROR(__xludf.DUMMYFUNCTION("""COMPUTED_VALUE"""),"Very Good")</f>
        <v>Very Good</v>
      </c>
      <c r="AC3216" s="183"/>
      <c r="AD3216" s="183"/>
      <c r="AE3216" s="183"/>
      <c r="AF3216" s="184"/>
      <c r="AG3216" s="180"/>
      <c r="AH3216" s="185">
        <f>IFERROR(__xludf.DUMMYFUNCTION("""COMPUTED_VALUE"""),43322.31047574074)</f>
        <v>43322.31048</v>
      </c>
      <c r="AI3216" s="182"/>
      <c r="AJ3216" s="182"/>
      <c r="AK3216" s="182"/>
      <c r="AL3216" s="182"/>
    </row>
    <row r="3217" ht="20.25" customHeight="1">
      <c r="A3217" s="169" t="str">
        <f>IFERROR(__xludf.DUMMYFUNCTION("""COMPUTED_VALUE"""),"T3slaModelE")</f>
        <v>T3slaModelE</v>
      </c>
      <c r="B3217" s="170" t="str">
        <f>IFERROR(__xludf.DUMMYFUNCTION("""COMPUTED_VALUE"""),"SF Bay Area")</f>
        <v>SF Bay Area</v>
      </c>
      <c r="C3217" s="170" t="str">
        <f>IFERROR(__xludf.DUMMYFUNCTION("""COMPUTED_VALUE"""),"CA")</f>
        <v>CA</v>
      </c>
      <c r="D3217" s="170" t="str">
        <f>IFERROR(__xludf.DUMMYFUNCTION("""COMPUTED_VALUE"""),"USA")</f>
        <v>USA</v>
      </c>
      <c r="E3217" s="171">
        <f>IFERROR(__xludf.DUMMYFUNCTION("""COMPUTED_VALUE"""),43278.0)</f>
        <v>43278</v>
      </c>
      <c r="F3217" s="172">
        <f>IFERROR(__xludf.DUMMYFUNCTION("""COMPUTED_VALUE"""),43349.0)</f>
        <v>43349</v>
      </c>
      <c r="G3217" s="173"/>
      <c r="H3217" s="174">
        <f>IFERROR(__xludf.DUMMYFUNCTION("""COMPUTED_VALUE"""),69655.0)</f>
        <v>69655</v>
      </c>
      <c r="I3217" s="175" t="str">
        <f>IFERROR(__xludf.DUMMYFUNCTION("""COMPUTED_VALUE"""),"09/18")</f>
        <v>09/18</v>
      </c>
      <c r="J3217" s="172">
        <f>IFERROR(__xludf.DUMMYFUNCTION("""COMPUTED_VALUE"""),43356.0)</f>
        <v>43356</v>
      </c>
      <c r="K3217" s="176">
        <f>IFERROR(__xludf.DUMMYFUNCTION("""COMPUTED_VALUE"""),71.0)</f>
        <v>71</v>
      </c>
      <c r="L3217" s="176">
        <f>IFERROR(__xludf.DUMMYFUNCTION("""COMPUTED_VALUE"""),7.0)</f>
        <v>7</v>
      </c>
      <c r="M3217" s="176">
        <f>IFERROR(__xludf.DUMMYFUNCTION("""COMPUTED_VALUE"""),78.0)</f>
        <v>78</v>
      </c>
      <c r="N3217" s="177" t="str">
        <f>IFERROR(__xludf.DUMMYFUNCTION("""COMPUTED_VALUE"""),"Model 3 LR AWD")</f>
        <v>Model 3 LR AWD</v>
      </c>
      <c r="O3217" s="177" t="str">
        <f>IFERROR(__xludf.DUMMYFUNCTION("""COMPUTED_VALUE"""),"Red Multi-Coat")</f>
        <v>Red Multi-Coat</v>
      </c>
      <c r="P3217" s="178" t="str">
        <f>IFERROR(__xludf.DUMMYFUNCTION("""COMPUTED_VALUE"""),"18 inch Aero")</f>
        <v>18 inch Aero</v>
      </c>
      <c r="Q3217" s="177" t="str">
        <f>IFERROR(__xludf.DUMMYFUNCTION("""COMPUTED_VALUE"""),"Black seats")</f>
        <v>Black seats</v>
      </c>
      <c r="R3217" s="170" t="str">
        <f>IFERROR(__xludf.DUMMYFUNCTION("""COMPUTED_VALUE"""),"Enhanced Autopilot")</f>
        <v>Enhanced Autopilot</v>
      </c>
      <c r="S3217" s="170"/>
      <c r="T3217" s="179"/>
      <c r="U3217" s="179"/>
      <c r="V3217" s="179"/>
      <c r="W3217" s="180"/>
      <c r="X3217" s="181" t="str">
        <f>IFERROR(__xludf.DUMMYFUNCTION("""COMPUTED_VALUE"""),"Very Good")</f>
        <v>Very Good</v>
      </c>
      <c r="Y3217" s="182"/>
      <c r="Z3217" s="182"/>
      <c r="AA3217" s="182" t="str">
        <f>IFERROR(__xludf.DUMMYFUNCTION("""COMPUTED_VALUE"""),"Very Good")</f>
        <v>Very Good</v>
      </c>
      <c r="AB3217" s="182" t="str">
        <f>IFERROR(__xludf.DUMMYFUNCTION("""COMPUTED_VALUE"""),"Excellent")</f>
        <v>Excellent</v>
      </c>
      <c r="AC3217" s="183"/>
      <c r="AD3217" s="183"/>
      <c r="AE3217" s="183"/>
      <c r="AF3217" s="184"/>
      <c r="AG3217" s="180" t="str">
        <f>IFERROR(__xludf.DUMMYFUNCTION("""COMPUTED_VALUE"""),"Day 1 reservation. Waited for ModelS lease to end.")</f>
        <v>Day 1 reservation. Waited for ModelS lease to end.</v>
      </c>
      <c r="AH3217" s="185">
        <f>IFERROR(__xludf.DUMMYFUNCTION("""COMPUTED_VALUE"""),43356.470404155094)</f>
        <v>43356.4704</v>
      </c>
      <c r="AI3217" s="182"/>
      <c r="AJ3217" s="182"/>
      <c r="AK3217" s="182"/>
      <c r="AL3217" s="182"/>
    </row>
    <row r="3218" ht="20.25" customHeight="1">
      <c r="A3218" s="169" t="str">
        <f>IFERROR(__xludf.DUMMYFUNCTION("""COMPUTED_VALUE"""),"TahitiChris")</f>
        <v>TahitiChris</v>
      </c>
      <c r="B3218" s="170" t="str">
        <f>IFERROR(__xludf.DUMMYFUNCTION("""COMPUTED_VALUE"""),"San Luis Obispo")</f>
        <v>San Luis Obispo</v>
      </c>
      <c r="C3218" s="170" t="str">
        <f>IFERROR(__xludf.DUMMYFUNCTION("""COMPUTED_VALUE"""),"CA")</f>
        <v>CA</v>
      </c>
      <c r="D3218" s="170" t="str">
        <f>IFERROR(__xludf.DUMMYFUNCTION("""COMPUTED_VALUE"""),"USA")</f>
        <v>USA</v>
      </c>
      <c r="E3218" s="171">
        <f>IFERROR(__xludf.DUMMYFUNCTION("""COMPUTED_VALUE"""),43278.0)</f>
        <v>43278</v>
      </c>
      <c r="F3218" s="172">
        <f>IFERROR(__xludf.DUMMYFUNCTION("""COMPUTED_VALUE"""),43280.0)</f>
        <v>43280</v>
      </c>
      <c r="G3218" s="173"/>
      <c r="H3218" s="174">
        <f>IFERROR(__xludf.DUMMYFUNCTION("""COMPUTED_VALUE"""),36555.0)</f>
        <v>36555</v>
      </c>
      <c r="I3218" s="175"/>
      <c r="J3218" s="172">
        <f>IFERROR(__xludf.DUMMYFUNCTION("""COMPUTED_VALUE"""),43288.0)</f>
        <v>43288</v>
      </c>
      <c r="K3218" s="176">
        <f>IFERROR(__xludf.DUMMYFUNCTION("""COMPUTED_VALUE"""),2.0)</f>
        <v>2</v>
      </c>
      <c r="L3218" s="176">
        <f>IFERROR(__xludf.DUMMYFUNCTION("""COMPUTED_VALUE"""),8.0)</f>
        <v>8</v>
      </c>
      <c r="M3218" s="176">
        <f>IFERROR(__xludf.DUMMYFUNCTION("""COMPUTED_VALUE"""),10.0)</f>
        <v>10</v>
      </c>
      <c r="N3218" s="177" t="str">
        <f>IFERROR(__xludf.DUMMYFUNCTION("""COMPUTED_VALUE"""),"Model 3 LR")</f>
        <v>Model 3 LR</v>
      </c>
      <c r="O3218" s="177" t="str">
        <f>IFERROR(__xludf.DUMMYFUNCTION("""COMPUTED_VALUE"""),"Midnight Silver Metallic")</f>
        <v>Midnight Silver Metallic</v>
      </c>
      <c r="P3218" s="178" t="str">
        <f>IFERROR(__xludf.DUMMYFUNCTION("""COMPUTED_VALUE"""),"18 inch Aero")</f>
        <v>18 inch Aero</v>
      </c>
      <c r="Q3218" s="177" t="str">
        <f>IFERROR(__xludf.DUMMYFUNCTION("""COMPUTED_VALUE"""),"Black seats")</f>
        <v>Black seats</v>
      </c>
      <c r="R3218" s="170" t="str">
        <f>IFERROR(__xludf.DUMMYFUNCTION("""COMPUTED_VALUE"""),"None")</f>
        <v>None</v>
      </c>
      <c r="S3218" s="170"/>
      <c r="T3218" s="179"/>
      <c r="U3218" s="179"/>
      <c r="V3218" s="179"/>
      <c r="W3218" s="180"/>
      <c r="X3218" s="181" t="str">
        <f>IFERROR(__xludf.DUMMYFUNCTION("""COMPUTED_VALUE"""),"Excellent")</f>
        <v>Excellent</v>
      </c>
      <c r="Y3218" s="182" t="str">
        <f>IFERROR(__xludf.DUMMYFUNCTION("""COMPUTED_VALUE"""),"Excellent")</f>
        <v>Excellent</v>
      </c>
      <c r="Z3218" s="182" t="str">
        <f>IFERROR(__xludf.DUMMYFUNCTION("""COMPUTED_VALUE"""),"Very Good")</f>
        <v>Very Good</v>
      </c>
      <c r="AA3218" s="182" t="str">
        <f>IFERROR(__xludf.DUMMYFUNCTION("""COMPUTED_VALUE"""),"Excellent")</f>
        <v>Excellent</v>
      </c>
      <c r="AB3218" s="182" t="str">
        <f>IFERROR(__xludf.DUMMYFUNCTION("""COMPUTED_VALUE"""),"Excellent")</f>
        <v>Excellent</v>
      </c>
      <c r="AC3218" s="183">
        <f>IFERROR(__xludf.DUMMYFUNCTION("""COMPUTED_VALUE"""),0.0)</f>
        <v>0</v>
      </c>
      <c r="AD3218" s="183">
        <f>IFERROR(__xludf.DUMMYFUNCTION("""COMPUTED_VALUE"""),0.0)</f>
        <v>0</v>
      </c>
      <c r="AE3218" s="183">
        <f>IFERROR(__xludf.DUMMYFUNCTION("""COMPUTED_VALUE"""),0.0)</f>
        <v>0</v>
      </c>
      <c r="AF3218" s="184"/>
      <c r="AG3218" s="180"/>
      <c r="AH3218" s="185">
        <f>IFERROR(__xludf.DUMMYFUNCTION("""COMPUTED_VALUE"""),43289.582975474535)</f>
        <v>43289.58298</v>
      </c>
      <c r="AI3218" s="182"/>
      <c r="AJ3218" s="182"/>
      <c r="AK3218" s="182"/>
      <c r="AL3218" s="182"/>
    </row>
    <row r="3219" ht="20.25" customHeight="1">
      <c r="A3219" s="169" t="str">
        <f>IFERROR(__xludf.DUMMYFUNCTION("""COMPUTED_VALUE"""),"TaiwanNo1")</f>
        <v>TaiwanNo1</v>
      </c>
      <c r="B3219" s="170" t="str">
        <f>IFERROR(__xludf.DUMMYFUNCTION("""COMPUTED_VALUE"""),"San Francisco")</f>
        <v>San Francisco</v>
      </c>
      <c r="C3219" s="170" t="str">
        <f>IFERROR(__xludf.DUMMYFUNCTION("""COMPUTED_VALUE"""),"CA")</f>
        <v>CA</v>
      </c>
      <c r="D3219" s="170" t="str">
        <f>IFERROR(__xludf.DUMMYFUNCTION("""COMPUTED_VALUE"""),"USA")</f>
        <v>USA</v>
      </c>
      <c r="E3219" s="171">
        <f>IFERROR(__xludf.DUMMYFUNCTION("""COMPUTED_VALUE"""),43278.0)</f>
        <v>43278</v>
      </c>
      <c r="F3219" s="172">
        <f>IFERROR(__xludf.DUMMYFUNCTION("""COMPUTED_VALUE"""),43346.0)</f>
        <v>43346</v>
      </c>
      <c r="G3219" s="173"/>
      <c r="H3219" s="174">
        <f>IFERROR(__xludf.DUMMYFUNCTION("""COMPUTED_VALUE"""),56255.0)</f>
        <v>56255</v>
      </c>
      <c r="I3219" s="175" t="str">
        <f>IFERROR(__xludf.DUMMYFUNCTION("""COMPUTED_VALUE"""),"08/18")</f>
        <v>08/18</v>
      </c>
      <c r="J3219" s="172">
        <f>IFERROR(__xludf.DUMMYFUNCTION("""COMPUTED_VALUE"""),43348.0)</f>
        <v>43348</v>
      </c>
      <c r="K3219" s="176">
        <f>IFERROR(__xludf.DUMMYFUNCTION("""COMPUTED_VALUE"""),68.0)</f>
        <v>68</v>
      </c>
      <c r="L3219" s="176">
        <f>IFERROR(__xludf.DUMMYFUNCTION("""COMPUTED_VALUE"""),2.0)</f>
        <v>2</v>
      </c>
      <c r="M3219" s="176">
        <f>IFERROR(__xludf.DUMMYFUNCTION("""COMPUTED_VALUE"""),70.0)</f>
        <v>70</v>
      </c>
      <c r="N3219" s="177" t="str">
        <f>IFERROR(__xludf.DUMMYFUNCTION("""COMPUTED_VALUE"""),"Model 3 Performance")</f>
        <v>Model 3 Performance</v>
      </c>
      <c r="O3219" s="177" t="str">
        <f>IFERROR(__xludf.DUMMYFUNCTION("""COMPUTED_VALUE"""),"Red Multi-Coat")</f>
        <v>Red Multi-Coat</v>
      </c>
      <c r="P3219" s="178" t="str">
        <f>IFERROR(__xludf.DUMMYFUNCTION("""COMPUTED_VALUE"""),"20 inch Sport")</f>
        <v>20 inch Sport</v>
      </c>
      <c r="Q3219" s="177" t="str">
        <f>IFERROR(__xludf.DUMMYFUNCTION("""COMPUTED_VALUE"""),"White seats")</f>
        <v>White seats</v>
      </c>
      <c r="R3219" s="170" t="str">
        <f>IFERROR(__xludf.DUMMYFUNCTION("""COMPUTED_VALUE"""),"Full Self-Driving")</f>
        <v>Full Self-Driving</v>
      </c>
      <c r="S3219" s="170"/>
      <c r="T3219" s="179"/>
      <c r="U3219" s="179"/>
      <c r="V3219" s="179"/>
      <c r="W3219" s="180"/>
      <c r="X3219" s="181" t="str">
        <f>IFERROR(__xludf.DUMMYFUNCTION("""COMPUTED_VALUE"""),"Excellent")</f>
        <v>Excellent</v>
      </c>
      <c r="Y3219" s="182" t="str">
        <f>IFERROR(__xludf.DUMMYFUNCTION("""COMPUTED_VALUE"""),"Excellent")</f>
        <v>Excellent</v>
      </c>
      <c r="Z3219" s="182" t="str">
        <f>IFERROR(__xludf.DUMMYFUNCTION("""COMPUTED_VALUE"""),"Excellent")</f>
        <v>Excellent</v>
      </c>
      <c r="AA3219" s="182" t="str">
        <f>IFERROR(__xludf.DUMMYFUNCTION("""COMPUTED_VALUE"""),"Excellent")</f>
        <v>Excellent</v>
      </c>
      <c r="AB3219" s="182" t="str">
        <f>IFERROR(__xludf.DUMMYFUNCTION("""COMPUTED_VALUE"""),"Excellent")</f>
        <v>Excellent</v>
      </c>
      <c r="AC3219" s="183"/>
      <c r="AD3219" s="183"/>
      <c r="AE3219" s="183"/>
      <c r="AF3219" s="184"/>
      <c r="AG3219" s="180"/>
      <c r="AH3219" s="185">
        <f>IFERROR(__xludf.DUMMYFUNCTION("""COMPUTED_VALUE"""),43349.49946571759)</f>
        <v>43349.49947</v>
      </c>
      <c r="AI3219" s="182"/>
      <c r="AJ3219" s="182"/>
      <c r="AK3219" s="182"/>
      <c r="AL3219" s="182"/>
    </row>
    <row r="3220" ht="20.25" customHeight="1">
      <c r="A3220" s="169" t="str">
        <f>IFERROR(__xludf.DUMMYFUNCTION("""COMPUTED_VALUE"""),"Tcarlmn")</f>
        <v>Tcarlmn</v>
      </c>
      <c r="B3220" s="170" t="str">
        <f>IFERROR(__xludf.DUMMYFUNCTION("""COMPUTED_VALUE"""),"Golden Valley")</f>
        <v>Golden Valley</v>
      </c>
      <c r="C3220" s="170" t="str">
        <f>IFERROR(__xludf.DUMMYFUNCTION("""COMPUTED_VALUE"""),"MN")</f>
        <v>MN</v>
      </c>
      <c r="D3220" s="170" t="str">
        <f>IFERROR(__xludf.DUMMYFUNCTION("""COMPUTED_VALUE"""),"USA")</f>
        <v>USA</v>
      </c>
      <c r="E3220" s="171">
        <f>IFERROR(__xludf.DUMMYFUNCTION("""COMPUTED_VALUE"""),43278.0)</f>
        <v>43278</v>
      </c>
      <c r="F3220" s="172">
        <f>IFERROR(__xludf.DUMMYFUNCTION("""COMPUTED_VALUE"""),43400.0)</f>
        <v>43400</v>
      </c>
      <c r="G3220" s="173"/>
      <c r="H3220" s="174">
        <f>IFERROR(__xludf.DUMMYFUNCTION("""COMPUTED_VALUE"""),112755.0)</f>
        <v>112755</v>
      </c>
      <c r="I3220" s="175" t="str">
        <f>IFERROR(__xludf.DUMMYFUNCTION("""COMPUTED_VALUE"""),"10/18")</f>
        <v>10/18</v>
      </c>
      <c r="J3220" s="172">
        <f>IFERROR(__xludf.DUMMYFUNCTION("""COMPUTED_VALUE"""),43407.0)</f>
        <v>43407</v>
      </c>
      <c r="K3220" s="176">
        <f>IFERROR(__xludf.DUMMYFUNCTION("""COMPUTED_VALUE"""),122.0)</f>
        <v>122</v>
      </c>
      <c r="L3220" s="176">
        <f>IFERROR(__xludf.DUMMYFUNCTION("""COMPUTED_VALUE"""),7.0)</f>
        <v>7</v>
      </c>
      <c r="M3220" s="176">
        <f>IFERROR(__xludf.DUMMYFUNCTION("""COMPUTED_VALUE"""),129.0)</f>
        <v>129</v>
      </c>
      <c r="N3220" s="177" t="str">
        <f>IFERROR(__xludf.DUMMYFUNCTION("""COMPUTED_VALUE"""),"Model 3 LR AWD")</f>
        <v>Model 3 LR AWD</v>
      </c>
      <c r="O3220" s="177" t="str">
        <f>IFERROR(__xludf.DUMMYFUNCTION("""COMPUTED_VALUE"""),"Red Multi-Coat")</f>
        <v>Red Multi-Coat</v>
      </c>
      <c r="P3220" s="178" t="str">
        <f>IFERROR(__xludf.DUMMYFUNCTION("""COMPUTED_VALUE"""),"18 inch Aero")</f>
        <v>18 inch Aero</v>
      </c>
      <c r="Q3220" s="177" t="str">
        <f>IFERROR(__xludf.DUMMYFUNCTION("""COMPUTED_VALUE"""),"Black seats")</f>
        <v>Black seats</v>
      </c>
      <c r="R3220" s="170" t="str">
        <f>IFERROR(__xludf.DUMMYFUNCTION("""COMPUTED_VALUE"""),"None")</f>
        <v>None</v>
      </c>
      <c r="S3220" s="170"/>
      <c r="T3220" s="179"/>
      <c r="U3220" s="179"/>
      <c r="V3220" s="179"/>
      <c r="W3220" s="180"/>
      <c r="X3220" s="181" t="str">
        <f>IFERROR(__xludf.DUMMYFUNCTION("""COMPUTED_VALUE"""),"Excellent")</f>
        <v>Excellent</v>
      </c>
      <c r="Y3220" s="182" t="str">
        <f>IFERROR(__xludf.DUMMYFUNCTION("""COMPUTED_VALUE"""),"Excellent")</f>
        <v>Excellent</v>
      </c>
      <c r="Z3220" s="182" t="str">
        <f>IFERROR(__xludf.DUMMYFUNCTION("""COMPUTED_VALUE"""),"Excellent")</f>
        <v>Excellent</v>
      </c>
      <c r="AA3220" s="182" t="str">
        <f>IFERROR(__xludf.DUMMYFUNCTION("""COMPUTED_VALUE"""),"Good")</f>
        <v>Good</v>
      </c>
      <c r="AB3220" s="182" t="str">
        <f>IFERROR(__xludf.DUMMYFUNCTION("""COMPUTED_VALUE"""),"Good")</f>
        <v>Good</v>
      </c>
      <c r="AC3220" s="183"/>
      <c r="AD3220" s="183"/>
      <c r="AE3220" s="183"/>
      <c r="AF3220" s="184"/>
      <c r="AG3220" s="180"/>
      <c r="AH3220" s="185">
        <f>IFERROR(__xludf.DUMMYFUNCTION("""COMPUTED_VALUE"""),43412.929181388885)</f>
        <v>43412.92918</v>
      </c>
      <c r="AI3220" s="182"/>
      <c r="AJ3220" s="182"/>
      <c r="AK3220" s="182"/>
      <c r="AL3220" s="182"/>
    </row>
    <row r="3221" ht="20.25" customHeight="1">
      <c r="A3221" s="169" t="str">
        <f>IFERROR(__xludf.DUMMYFUNCTION("""COMPUTED_VALUE"""),"tedtvo")</f>
        <v>tedtvo</v>
      </c>
      <c r="B3221" s="170" t="str">
        <f>IFERROR(__xludf.DUMMYFUNCTION("""COMPUTED_VALUE"""),"Sacramento")</f>
        <v>Sacramento</v>
      </c>
      <c r="C3221" s="170" t="str">
        <f>IFERROR(__xludf.DUMMYFUNCTION("""COMPUTED_VALUE"""),"CA")</f>
        <v>CA</v>
      </c>
      <c r="D3221" s="170" t="str">
        <f>IFERROR(__xludf.DUMMYFUNCTION("""COMPUTED_VALUE"""),"USA")</f>
        <v>USA</v>
      </c>
      <c r="E3221" s="171">
        <f>IFERROR(__xludf.DUMMYFUNCTION("""COMPUTED_VALUE"""),43278.0)</f>
        <v>43278</v>
      </c>
      <c r="F3221" s="172">
        <f>IFERROR(__xludf.DUMMYFUNCTION("""COMPUTED_VALUE"""),43300.0)</f>
        <v>43300</v>
      </c>
      <c r="G3221" s="173"/>
      <c r="H3221" s="174">
        <f>IFERROR(__xludf.DUMMYFUNCTION("""COMPUTED_VALUE"""),46155.0)</f>
        <v>46155</v>
      </c>
      <c r="I3221" s="175"/>
      <c r="J3221" s="172">
        <f>IFERROR(__xludf.DUMMYFUNCTION("""COMPUTED_VALUE"""),43315.0)</f>
        <v>43315</v>
      </c>
      <c r="K3221" s="176">
        <f>IFERROR(__xludf.DUMMYFUNCTION("""COMPUTED_VALUE"""),22.0)</f>
        <v>22</v>
      </c>
      <c r="L3221" s="176">
        <f>IFERROR(__xludf.DUMMYFUNCTION("""COMPUTED_VALUE"""),15.0)</f>
        <v>15</v>
      </c>
      <c r="M3221" s="176">
        <f>IFERROR(__xludf.DUMMYFUNCTION("""COMPUTED_VALUE"""),37.0)</f>
        <v>37</v>
      </c>
      <c r="N3221" s="177" t="str">
        <f>IFERROR(__xludf.DUMMYFUNCTION("""COMPUTED_VALUE"""),"Model 3 LR AWD")</f>
        <v>Model 3 LR AWD</v>
      </c>
      <c r="O3221" s="177" t="str">
        <f>IFERROR(__xludf.DUMMYFUNCTION("""COMPUTED_VALUE"""),"Midnight Silver Metallic")</f>
        <v>Midnight Silver Metallic</v>
      </c>
      <c r="P3221" s="178" t="str">
        <f>IFERROR(__xludf.DUMMYFUNCTION("""COMPUTED_VALUE"""),"18 inch Aero")</f>
        <v>18 inch Aero</v>
      </c>
      <c r="Q3221" s="177" t="str">
        <f>IFERROR(__xludf.DUMMYFUNCTION("""COMPUTED_VALUE"""),"Black seats")</f>
        <v>Black seats</v>
      </c>
      <c r="R3221" s="170" t="str">
        <f>IFERROR(__xludf.DUMMYFUNCTION("""COMPUTED_VALUE"""),"Enhanced Autopilot")</f>
        <v>Enhanced Autopilot</v>
      </c>
      <c r="S3221" s="170"/>
      <c r="T3221" s="179"/>
      <c r="U3221" s="179"/>
      <c r="V3221" s="179"/>
      <c r="W3221" s="180"/>
      <c r="X3221" s="181" t="str">
        <f>IFERROR(__xludf.DUMMYFUNCTION("""COMPUTED_VALUE"""),"Excellent")</f>
        <v>Excellent</v>
      </c>
      <c r="Y3221" s="182" t="str">
        <f>IFERROR(__xludf.DUMMYFUNCTION("""COMPUTED_VALUE"""),"Excellent")</f>
        <v>Excellent</v>
      </c>
      <c r="Z3221" s="182" t="str">
        <f>IFERROR(__xludf.DUMMYFUNCTION("""COMPUTED_VALUE"""),"Excellent")</f>
        <v>Excellent</v>
      </c>
      <c r="AA3221" s="182" t="str">
        <f>IFERROR(__xludf.DUMMYFUNCTION("""COMPUTED_VALUE"""),"Excellent")</f>
        <v>Excellent</v>
      </c>
      <c r="AB3221" s="182" t="str">
        <f>IFERROR(__xludf.DUMMYFUNCTION("""COMPUTED_VALUE"""),"Excellent")</f>
        <v>Excellent</v>
      </c>
      <c r="AC3221" s="183"/>
      <c r="AD3221" s="183"/>
      <c r="AE3221" s="183"/>
      <c r="AF3221" s="184"/>
      <c r="AG3221" s="180"/>
      <c r="AH3221" s="185">
        <f>IFERROR(__xludf.DUMMYFUNCTION("""COMPUTED_VALUE"""),43319.705921527784)</f>
        <v>43319.70592</v>
      </c>
      <c r="AI3221" s="182"/>
      <c r="AJ3221" s="182"/>
      <c r="AK3221" s="182"/>
      <c r="AL3221" s="182"/>
    </row>
    <row r="3222" ht="20.25" customHeight="1">
      <c r="A3222" s="169" t="str">
        <f>IFERROR(__xludf.DUMMYFUNCTION("""COMPUTED_VALUE"""),"TerranOwens")</f>
        <v>TerranOwens</v>
      </c>
      <c r="B3222" s="170" t="str">
        <f>IFERROR(__xludf.DUMMYFUNCTION("""COMPUTED_VALUE"""),"Bellevue")</f>
        <v>Bellevue</v>
      </c>
      <c r="C3222" s="170" t="str">
        <f>IFERROR(__xludf.DUMMYFUNCTION("""COMPUTED_VALUE"""),"WA")</f>
        <v>WA</v>
      </c>
      <c r="D3222" s="170" t="str">
        <f>IFERROR(__xludf.DUMMYFUNCTION("""COMPUTED_VALUE"""),"USA")</f>
        <v>USA</v>
      </c>
      <c r="E3222" s="171">
        <f>IFERROR(__xludf.DUMMYFUNCTION("""COMPUTED_VALUE"""),43278.0)</f>
        <v>43278</v>
      </c>
      <c r="F3222" s="172"/>
      <c r="G3222" s="173"/>
      <c r="H3222" s="174">
        <f>IFERROR(__xludf.DUMMYFUNCTION("""COMPUTED_VALUE"""),104455.0)</f>
        <v>104455</v>
      </c>
      <c r="I3222" s="175"/>
      <c r="J3222" s="172">
        <f>IFERROR(__xludf.DUMMYFUNCTION("""COMPUTED_VALUE"""),43383.0)</f>
        <v>43383</v>
      </c>
      <c r="K3222" s="176"/>
      <c r="L3222" s="176"/>
      <c r="M3222" s="176">
        <f>IFERROR(__xludf.DUMMYFUNCTION("""COMPUTED_VALUE"""),105.0)</f>
        <v>105</v>
      </c>
      <c r="N3222" s="177" t="str">
        <f>IFERROR(__xludf.DUMMYFUNCTION("""COMPUTED_VALUE"""),"Model 3 LR AWD")</f>
        <v>Model 3 LR AWD</v>
      </c>
      <c r="O3222" s="177" t="str">
        <f>IFERROR(__xludf.DUMMYFUNCTION("""COMPUTED_VALUE"""),"Silver Metallic")</f>
        <v>Silver Metallic</v>
      </c>
      <c r="P3222" s="178" t="str">
        <f>IFERROR(__xludf.DUMMYFUNCTION("""COMPUTED_VALUE"""),"18 inch Aero")</f>
        <v>18 inch Aero</v>
      </c>
      <c r="Q3222" s="177" t="str">
        <f>IFERROR(__xludf.DUMMYFUNCTION("""COMPUTED_VALUE"""),"Black seats")</f>
        <v>Black seats</v>
      </c>
      <c r="R3222" s="170" t="str">
        <f>IFERROR(__xludf.DUMMYFUNCTION("""COMPUTED_VALUE"""),"None")</f>
        <v>None</v>
      </c>
      <c r="S3222" s="170"/>
      <c r="T3222" s="179"/>
      <c r="U3222" s="179"/>
      <c r="V3222" s="179"/>
      <c r="W3222" s="180"/>
      <c r="X3222" s="181" t="str">
        <f>IFERROR(__xludf.DUMMYFUNCTION("""COMPUTED_VALUE"""),"Excellent")</f>
        <v>Excellent</v>
      </c>
      <c r="Y3222" s="182" t="str">
        <f>IFERROR(__xludf.DUMMYFUNCTION("""COMPUTED_VALUE"""),"Excellent")</f>
        <v>Excellent</v>
      </c>
      <c r="Z3222" s="182" t="str">
        <f>IFERROR(__xludf.DUMMYFUNCTION("""COMPUTED_VALUE"""),"Excellent")</f>
        <v>Excellent</v>
      </c>
      <c r="AA3222" s="182" t="str">
        <f>IFERROR(__xludf.DUMMYFUNCTION("""COMPUTED_VALUE"""),"Poor")</f>
        <v>Poor</v>
      </c>
      <c r="AB3222" s="182" t="str">
        <f>IFERROR(__xludf.DUMMYFUNCTION("""COMPUTED_VALUE"""),"Very Good")</f>
        <v>Very Good</v>
      </c>
      <c r="AC3222" s="183">
        <f>IFERROR(__xludf.DUMMYFUNCTION("""COMPUTED_VALUE"""),0.0)</f>
        <v>0</v>
      </c>
      <c r="AD3222" s="183"/>
      <c r="AE3222" s="183"/>
      <c r="AF3222" s="184"/>
      <c r="AG3222" s="180"/>
      <c r="AH3222" s="185">
        <f>IFERROR(__xludf.DUMMYFUNCTION("""COMPUTED_VALUE"""),43383.98498663194)</f>
        <v>43383.98499</v>
      </c>
      <c r="AI3222" s="182"/>
      <c r="AJ3222" s="182"/>
      <c r="AK3222" s="182"/>
      <c r="AL3222" s="182"/>
    </row>
    <row r="3223" ht="20.25" customHeight="1">
      <c r="A3223" s="169" t="str">
        <f>IFERROR(__xludf.DUMMYFUNCTION("""COMPUTED_VALUE"""),"TeslaFlyer")</f>
        <v>TeslaFlyer</v>
      </c>
      <c r="B3223" s="170" t="str">
        <f>IFERROR(__xludf.DUMMYFUNCTION("""COMPUTED_VALUE"""),"Chicago")</f>
        <v>Chicago</v>
      </c>
      <c r="C3223" s="170" t="str">
        <f>IFERROR(__xludf.DUMMYFUNCTION("""COMPUTED_VALUE"""),"IL")</f>
        <v>IL</v>
      </c>
      <c r="D3223" s="170" t="str">
        <f>IFERROR(__xludf.DUMMYFUNCTION("""COMPUTED_VALUE"""),"USA")</f>
        <v>USA</v>
      </c>
      <c r="E3223" s="171">
        <f>IFERROR(__xludf.DUMMYFUNCTION("""COMPUTED_VALUE"""),43278.0)</f>
        <v>43278</v>
      </c>
      <c r="F3223" s="172">
        <f>IFERROR(__xludf.DUMMYFUNCTION("""COMPUTED_VALUE"""),43355.0)</f>
        <v>43355</v>
      </c>
      <c r="G3223" s="173"/>
      <c r="H3223" s="174">
        <f>IFERROR(__xludf.DUMMYFUNCTION("""COMPUTED_VALUE"""),97695.0)</f>
        <v>97695</v>
      </c>
      <c r="I3223" s="175" t="str">
        <f>IFERROR(__xludf.DUMMYFUNCTION("""COMPUTED_VALUE"""),"08/18")</f>
        <v>08/18</v>
      </c>
      <c r="J3223" s="172">
        <f>IFERROR(__xludf.DUMMYFUNCTION("""COMPUTED_VALUE"""),43363.0)</f>
        <v>43363</v>
      </c>
      <c r="K3223" s="176">
        <f>IFERROR(__xludf.DUMMYFUNCTION("""COMPUTED_VALUE"""),77.0)</f>
        <v>77</v>
      </c>
      <c r="L3223" s="176">
        <f>IFERROR(__xludf.DUMMYFUNCTION("""COMPUTED_VALUE"""),8.0)</f>
        <v>8</v>
      </c>
      <c r="M3223" s="176">
        <f>IFERROR(__xludf.DUMMYFUNCTION("""COMPUTED_VALUE"""),85.0)</f>
        <v>85</v>
      </c>
      <c r="N3223" s="177" t="str">
        <f>IFERROR(__xludf.DUMMYFUNCTION("""COMPUTED_VALUE"""),"Model 3 Performance")</f>
        <v>Model 3 Performance</v>
      </c>
      <c r="O3223" s="177" t="str">
        <f>IFERROR(__xludf.DUMMYFUNCTION("""COMPUTED_VALUE"""),"Deep Blue Metallic")</f>
        <v>Deep Blue Metallic</v>
      </c>
      <c r="P3223" s="178" t="str">
        <f>IFERROR(__xludf.DUMMYFUNCTION("""COMPUTED_VALUE"""),"18 inch Aero")</f>
        <v>18 inch Aero</v>
      </c>
      <c r="Q3223" s="177" t="str">
        <f>IFERROR(__xludf.DUMMYFUNCTION("""COMPUTED_VALUE"""),"White seats")</f>
        <v>White seats</v>
      </c>
      <c r="R3223" s="170" t="str">
        <f>IFERROR(__xludf.DUMMYFUNCTION("""COMPUTED_VALUE"""),"Full Self-Driving")</f>
        <v>Full Self-Driving</v>
      </c>
      <c r="S3223" s="170"/>
      <c r="T3223" s="179"/>
      <c r="U3223" s="179"/>
      <c r="V3223" s="179"/>
      <c r="W3223" s="180"/>
      <c r="X3223" s="181" t="str">
        <f>IFERROR(__xludf.DUMMYFUNCTION("""COMPUTED_VALUE"""),"Excellent")</f>
        <v>Excellent</v>
      </c>
      <c r="Y3223" s="182" t="str">
        <f>IFERROR(__xludf.DUMMYFUNCTION("""COMPUTED_VALUE"""),"Excellent")</f>
        <v>Excellent</v>
      </c>
      <c r="Z3223" s="182" t="str">
        <f>IFERROR(__xludf.DUMMYFUNCTION("""COMPUTED_VALUE"""),"Excellent")</f>
        <v>Excellent</v>
      </c>
      <c r="AA3223" s="182" t="str">
        <f>IFERROR(__xludf.DUMMYFUNCTION("""COMPUTED_VALUE"""),"Very Good")</f>
        <v>Very Good</v>
      </c>
      <c r="AB3223" s="182" t="str">
        <f>IFERROR(__xludf.DUMMYFUNCTION("""COMPUTED_VALUE"""),"Excellent")</f>
        <v>Excellent</v>
      </c>
      <c r="AC3223" s="183">
        <f>IFERROR(__xludf.DUMMYFUNCTION("""COMPUTED_VALUE"""),0.0)</f>
        <v>0</v>
      </c>
      <c r="AD3223" s="183">
        <f>IFERROR(__xludf.DUMMYFUNCTION("""COMPUTED_VALUE"""),0.0)</f>
        <v>0</v>
      </c>
      <c r="AE3223" s="183"/>
      <c r="AF3223" s="184"/>
      <c r="AG3223" s="180" t="str">
        <f>IFERROR(__xludf.DUMMYFUNCTION("""COMPUTED_VALUE"""),"Delivery delayed 1 day")</f>
        <v>Delivery delayed 1 day</v>
      </c>
      <c r="AH3223" s="185">
        <f>IFERROR(__xludf.DUMMYFUNCTION("""COMPUTED_VALUE"""),43395.21595424769)</f>
        <v>43395.21595</v>
      </c>
      <c r="AI3223" s="182"/>
      <c r="AJ3223" s="182"/>
      <c r="AK3223" s="182"/>
      <c r="AL3223" s="182"/>
    </row>
    <row r="3224" ht="20.25" customHeight="1">
      <c r="A3224" s="169" t="str">
        <f>IFERROR(__xludf.DUMMYFUNCTION("""COMPUTED_VALUE"""),"TeslaX2")</f>
        <v>TeslaX2</v>
      </c>
      <c r="B3224" s="170" t="str">
        <f>IFERROR(__xludf.DUMMYFUNCTION("""COMPUTED_VALUE"""),"Bellevue")</f>
        <v>Bellevue</v>
      </c>
      <c r="C3224" s="170" t="str">
        <f>IFERROR(__xludf.DUMMYFUNCTION("""COMPUTED_VALUE"""),"WA")</f>
        <v>WA</v>
      </c>
      <c r="D3224" s="170" t="str">
        <f>IFERROR(__xludf.DUMMYFUNCTION("""COMPUTED_VALUE"""),"USA")</f>
        <v>USA</v>
      </c>
      <c r="E3224" s="171">
        <f>IFERROR(__xludf.DUMMYFUNCTION("""COMPUTED_VALUE"""),43278.0)</f>
        <v>43278</v>
      </c>
      <c r="F3224" s="172">
        <f>IFERROR(__xludf.DUMMYFUNCTION("""COMPUTED_VALUE"""),43337.0)</f>
        <v>43337</v>
      </c>
      <c r="G3224" s="173"/>
      <c r="H3224" s="174">
        <f>IFERROR(__xludf.DUMMYFUNCTION("""COMPUTED_VALUE"""),72255.0)</f>
        <v>72255</v>
      </c>
      <c r="I3224" s="175" t="str">
        <f>IFERROR(__xludf.DUMMYFUNCTION("""COMPUTED_VALUE"""),"08/18")</f>
        <v>08/18</v>
      </c>
      <c r="J3224" s="172">
        <f>IFERROR(__xludf.DUMMYFUNCTION("""COMPUTED_VALUE"""),43347.0)</f>
        <v>43347</v>
      </c>
      <c r="K3224" s="176">
        <f>IFERROR(__xludf.DUMMYFUNCTION("""COMPUTED_VALUE"""),59.0)</f>
        <v>59</v>
      </c>
      <c r="L3224" s="176">
        <f>IFERROR(__xludf.DUMMYFUNCTION("""COMPUTED_VALUE"""),10.0)</f>
        <v>10</v>
      </c>
      <c r="M3224" s="176">
        <f>IFERROR(__xludf.DUMMYFUNCTION("""COMPUTED_VALUE"""),69.0)</f>
        <v>69</v>
      </c>
      <c r="N3224" s="177" t="str">
        <f>IFERROR(__xludf.DUMMYFUNCTION("""COMPUTED_VALUE"""),"Model 3 Performance")</f>
        <v>Model 3 Performance</v>
      </c>
      <c r="O3224" s="177" t="str">
        <f>IFERROR(__xludf.DUMMYFUNCTION("""COMPUTED_VALUE"""),"Deep Blue Metallic")</f>
        <v>Deep Blue Metallic</v>
      </c>
      <c r="P3224" s="178" t="str">
        <f>IFERROR(__xludf.DUMMYFUNCTION("""COMPUTED_VALUE"""),"20 inch Sport")</f>
        <v>20 inch Sport</v>
      </c>
      <c r="Q3224" s="177" t="str">
        <f>IFERROR(__xludf.DUMMYFUNCTION("""COMPUTED_VALUE"""),"Black seats")</f>
        <v>Black seats</v>
      </c>
      <c r="R3224" s="170" t="str">
        <f>IFERROR(__xludf.DUMMYFUNCTION("""COMPUTED_VALUE"""),"Enhanced Autopilot")</f>
        <v>Enhanced Autopilot</v>
      </c>
      <c r="S3224" s="170"/>
      <c r="T3224" s="179"/>
      <c r="U3224" s="179"/>
      <c r="V3224" s="179"/>
      <c r="W3224" s="180"/>
      <c r="X3224" s="181" t="str">
        <f>IFERROR(__xludf.DUMMYFUNCTION("""COMPUTED_VALUE"""),"Excellent")</f>
        <v>Excellent</v>
      </c>
      <c r="Y3224" s="182" t="str">
        <f>IFERROR(__xludf.DUMMYFUNCTION("""COMPUTED_VALUE"""),"Excellent")</f>
        <v>Excellent</v>
      </c>
      <c r="Z3224" s="182" t="str">
        <f>IFERROR(__xludf.DUMMYFUNCTION("""COMPUTED_VALUE"""),"Excellent")</f>
        <v>Excellent</v>
      </c>
      <c r="AA3224" s="182" t="str">
        <f>IFERROR(__xludf.DUMMYFUNCTION("""COMPUTED_VALUE"""),"Excellent")</f>
        <v>Excellent</v>
      </c>
      <c r="AB3224" s="182" t="str">
        <f>IFERROR(__xludf.DUMMYFUNCTION("""COMPUTED_VALUE"""),"Excellent")</f>
        <v>Excellent</v>
      </c>
      <c r="AC3224" s="183">
        <f>IFERROR(__xludf.DUMMYFUNCTION("""COMPUTED_VALUE"""),0.0)</f>
        <v>0</v>
      </c>
      <c r="AD3224" s="183">
        <f>IFERROR(__xludf.DUMMYFUNCTION("""COMPUTED_VALUE"""),0.0)</f>
        <v>0</v>
      </c>
      <c r="AE3224" s="183">
        <f>IFERROR(__xludf.DUMMYFUNCTION("""COMPUTED_VALUE"""),0.0)</f>
        <v>0</v>
      </c>
      <c r="AF3224" s="184"/>
      <c r="AG3224" s="180" t="str">
        <f>IFERROR(__xludf.DUMMYFUNCTION("""COMPUTED_VALUE"""),"Day 1 reservation, waited for AWD invite to open up for me.")</f>
        <v>Day 1 reservation, waited for AWD invite to open up for me.</v>
      </c>
      <c r="AH3224" s="185">
        <f>IFERROR(__xludf.DUMMYFUNCTION("""COMPUTED_VALUE"""),43365.756971076386)</f>
        <v>43365.75697</v>
      </c>
      <c r="AI3224" s="182"/>
      <c r="AJ3224" s="182"/>
      <c r="AK3224" s="182"/>
      <c r="AL3224" s="182"/>
    </row>
    <row r="3225" ht="20.25" customHeight="1">
      <c r="A3225" s="169" t="str">
        <f>IFERROR(__xludf.DUMMYFUNCTION("""COMPUTED_VALUE"""),"thebrux")</f>
        <v>thebrux</v>
      </c>
      <c r="B3225" s="170" t="str">
        <f>IFERROR(__xludf.DUMMYFUNCTION("""COMPUTED_VALUE"""),"Austin")</f>
        <v>Austin</v>
      </c>
      <c r="C3225" s="170" t="str">
        <f>IFERROR(__xludf.DUMMYFUNCTION("""COMPUTED_VALUE"""),"TX")</f>
        <v>TX</v>
      </c>
      <c r="D3225" s="170" t="str">
        <f>IFERROR(__xludf.DUMMYFUNCTION("""COMPUTED_VALUE"""),"USA")</f>
        <v>USA</v>
      </c>
      <c r="E3225" s="171">
        <f>IFERROR(__xludf.DUMMYFUNCTION("""COMPUTED_VALUE"""),43278.0)</f>
        <v>43278</v>
      </c>
      <c r="F3225" s="172">
        <f>IFERROR(__xludf.DUMMYFUNCTION("""COMPUTED_VALUE"""),43280.0)</f>
        <v>43280</v>
      </c>
      <c r="G3225" s="173"/>
      <c r="H3225" s="174">
        <f>IFERROR(__xludf.DUMMYFUNCTION("""COMPUTED_VALUE"""),39098.0)</f>
        <v>39098</v>
      </c>
      <c r="I3225" s="175" t="str">
        <f>IFERROR(__xludf.DUMMYFUNCTION("""COMPUTED_VALUE"""),"06/18")</f>
        <v>06/18</v>
      </c>
      <c r="J3225" s="172">
        <f>IFERROR(__xludf.DUMMYFUNCTION("""COMPUTED_VALUE"""),43294.0)</f>
        <v>43294</v>
      </c>
      <c r="K3225" s="176">
        <f>IFERROR(__xludf.DUMMYFUNCTION("""COMPUTED_VALUE"""),2.0)</f>
        <v>2</v>
      </c>
      <c r="L3225" s="176">
        <f>IFERROR(__xludf.DUMMYFUNCTION("""COMPUTED_VALUE"""),14.0)</f>
        <v>14</v>
      </c>
      <c r="M3225" s="176">
        <f>IFERROR(__xludf.DUMMYFUNCTION("""COMPUTED_VALUE"""),16.0)</f>
        <v>16</v>
      </c>
      <c r="N3225" s="177" t="str">
        <f>IFERROR(__xludf.DUMMYFUNCTION("""COMPUTED_VALUE"""),"Model 3 LR")</f>
        <v>Model 3 LR</v>
      </c>
      <c r="O3225" s="177" t="str">
        <f>IFERROR(__xludf.DUMMYFUNCTION("""COMPUTED_VALUE"""),"Pearl White Multi-Coat")</f>
        <v>Pearl White Multi-Coat</v>
      </c>
      <c r="P3225" s="178" t="str">
        <f>IFERROR(__xludf.DUMMYFUNCTION("""COMPUTED_VALUE"""),"19 inch Sport")</f>
        <v>19 inch Sport</v>
      </c>
      <c r="Q3225" s="177" t="str">
        <f>IFERROR(__xludf.DUMMYFUNCTION("""COMPUTED_VALUE"""),"Black seats")</f>
        <v>Black seats</v>
      </c>
      <c r="R3225" s="170" t="str">
        <f>IFERROR(__xludf.DUMMYFUNCTION("""COMPUTED_VALUE"""),"Enhanced Autopilot")</f>
        <v>Enhanced Autopilot</v>
      </c>
      <c r="S3225" s="170"/>
      <c r="T3225" s="179"/>
      <c r="U3225" s="179"/>
      <c r="V3225" s="179"/>
      <c r="W3225" s="180"/>
      <c r="X3225" s="181" t="str">
        <f>IFERROR(__xludf.DUMMYFUNCTION("""COMPUTED_VALUE"""),"Good")</f>
        <v>Good</v>
      </c>
      <c r="Y3225" s="182" t="str">
        <f>IFERROR(__xludf.DUMMYFUNCTION("""COMPUTED_VALUE"""),"Very Good")</f>
        <v>Very Good</v>
      </c>
      <c r="Z3225" s="182" t="str">
        <f>IFERROR(__xludf.DUMMYFUNCTION("""COMPUTED_VALUE"""),"Very Good")</f>
        <v>Very Good</v>
      </c>
      <c r="AA3225" s="182" t="str">
        <f>IFERROR(__xludf.DUMMYFUNCTION("""COMPUTED_VALUE"""),"Very Good")</f>
        <v>Very Good</v>
      </c>
      <c r="AB3225" s="182" t="str">
        <f>IFERROR(__xludf.DUMMYFUNCTION("""COMPUTED_VALUE"""),"Good")</f>
        <v>Good</v>
      </c>
      <c r="AC3225" s="183"/>
      <c r="AD3225" s="183"/>
      <c r="AE3225" s="183"/>
      <c r="AF3225" s="184"/>
      <c r="AG3225" s="180"/>
      <c r="AH3225" s="185">
        <f>IFERROR(__xludf.DUMMYFUNCTION("""COMPUTED_VALUE"""),43306.38800136575)</f>
        <v>43306.388</v>
      </c>
      <c r="AI3225" s="182"/>
      <c r="AJ3225" s="182"/>
      <c r="AK3225" s="182"/>
      <c r="AL3225" s="182"/>
    </row>
    <row r="3226" ht="20.25" customHeight="1">
      <c r="A3226" s="169" t="str">
        <f>IFERROR(__xludf.DUMMYFUNCTION("""COMPUTED_VALUE"""),"thgood")</f>
        <v>thgood</v>
      </c>
      <c r="B3226" s="170" t="str">
        <f>IFERROR(__xludf.DUMMYFUNCTION("""COMPUTED_VALUE"""),"Minneapolis")</f>
        <v>Minneapolis</v>
      </c>
      <c r="C3226" s="170" t="str">
        <f>IFERROR(__xludf.DUMMYFUNCTION("""COMPUTED_VALUE"""),"MN")</f>
        <v>MN</v>
      </c>
      <c r="D3226" s="170" t="str">
        <f>IFERROR(__xludf.DUMMYFUNCTION("""COMPUTED_VALUE"""),"USA")</f>
        <v>USA</v>
      </c>
      <c r="E3226" s="171">
        <f>IFERROR(__xludf.DUMMYFUNCTION("""COMPUTED_VALUE"""),43278.0)</f>
        <v>43278</v>
      </c>
      <c r="F3226" s="172">
        <f>IFERROR(__xludf.DUMMYFUNCTION("""COMPUTED_VALUE"""),43349.0)</f>
        <v>43349</v>
      </c>
      <c r="G3226" s="173"/>
      <c r="H3226" s="174">
        <f>IFERROR(__xludf.DUMMYFUNCTION("""COMPUTED_VALUE"""),67155.0)</f>
        <v>67155</v>
      </c>
      <c r="I3226" s="175" t="str">
        <f>IFERROR(__xludf.DUMMYFUNCTION("""COMPUTED_VALUE"""),"08/18")</f>
        <v>08/18</v>
      </c>
      <c r="J3226" s="172">
        <f>IFERROR(__xludf.DUMMYFUNCTION("""COMPUTED_VALUE"""),43357.0)</f>
        <v>43357</v>
      </c>
      <c r="K3226" s="176">
        <f>IFERROR(__xludf.DUMMYFUNCTION("""COMPUTED_VALUE"""),71.0)</f>
        <v>71</v>
      </c>
      <c r="L3226" s="176">
        <f>IFERROR(__xludf.DUMMYFUNCTION("""COMPUTED_VALUE"""),8.0)</f>
        <v>8</v>
      </c>
      <c r="M3226" s="176">
        <f>IFERROR(__xludf.DUMMYFUNCTION("""COMPUTED_VALUE"""),79.0)</f>
        <v>79</v>
      </c>
      <c r="N3226" s="177" t="str">
        <f>IFERROR(__xludf.DUMMYFUNCTION("""COMPUTED_VALUE"""),"Model 3 LR AWD")</f>
        <v>Model 3 LR AWD</v>
      </c>
      <c r="O3226" s="177" t="str">
        <f>IFERROR(__xludf.DUMMYFUNCTION("""COMPUTED_VALUE"""),"Pearl White Multi-Coat")</f>
        <v>Pearl White Multi-Coat</v>
      </c>
      <c r="P3226" s="178" t="str">
        <f>IFERROR(__xludf.DUMMYFUNCTION("""COMPUTED_VALUE"""),"18 inch Aero")</f>
        <v>18 inch Aero</v>
      </c>
      <c r="Q3226" s="177" t="str">
        <f>IFERROR(__xludf.DUMMYFUNCTION("""COMPUTED_VALUE"""),"Black seats")</f>
        <v>Black seats</v>
      </c>
      <c r="R3226" s="170" t="str">
        <f>IFERROR(__xludf.DUMMYFUNCTION("""COMPUTED_VALUE"""),"Full Self-Driving")</f>
        <v>Full Self-Driving</v>
      </c>
      <c r="S3226" s="170"/>
      <c r="T3226" s="179"/>
      <c r="U3226" s="179"/>
      <c r="V3226" s="179"/>
      <c r="W3226" s="180"/>
      <c r="X3226" s="181" t="str">
        <f>IFERROR(__xludf.DUMMYFUNCTION("""COMPUTED_VALUE"""),"Very Good")</f>
        <v>Very Good</v>
      </c>
      <c r="Y3226" s="182" t="str">
        <f>IFERROR(__xludf.DUMMYFUNCTION("""COMPUTED_VALUE"""),"Very Good")</f>
        <v>Very Good</v>
      </c>
      <c r="Z3226" s="182" t="str">
        <f>IFERROR(__xludf.DUMMYFUNCTION("""COMPUTED_VALUE"""),"Excellent")</f>
        <v>Excellent</v>
      </c>
      <c r="AA3226" s="182" t="str">
        <f>IFERROR(__xludf.DUMMYFUNCTION("""COMPUTED_VALUE"""),"Very Good")</f>
        <v>Very Good</v>
      </c>
      <c r="AB3226" s="182" t="str">
        <f>IFERROR(__xludf.DUMMYFUNCTION("""COMPUTED_VALUE"""),"Excellent")</f>
        <v>Excellent</v>
      </c>
      <c r="AC3226" s="183"/>
      <c r="AD3226" s="183"/>
      <c r="AE3226" s="183"/>
      <c r="AF3226" s="184"/>
      <c r="AG3226" s="180"/>
      <c r="AH3226" s="185">
        <f>IFERROR(__xludf.DUMMYFUNCTION("""COMPUTED_VALUE"""),43360.33259439815)</f>
        <v>43360.33259</v>
      </c>
      <c r="AI3226" s="182"/>
      <c r="AJ3226" s="182"/>
      <c r="AK3226" s="182"/>
      <c r="AL3226" s="182"/>
    </row>
    <row r="3227" ht="20.25" customHeight="1">
      <c r="A3227" s="169" t="str">
        <f>IFERROR(__xludf.DUMMYFUNCTION("""COMPUTED_VALUE"""),"Thunder7ga")</f>
        <v>Thunder7ga</v>
      </c>
      <c r="B3227" s="170" t="str">
        <f>IFERROR(__xludf.DUMMYFUNCTION("""COMPUTED_VALUE"""),"Johns Creek")</f>
        <v>Johns Creek</v>
      </c>
      <c r="C3227" s="170" t="str">
        <f>IFERROR(__xludf.DUMMYFUNCTION("""COMPUTED_VALUE"""),"GA")</f>
        <v>GA</v>
      </c>
      <c r="D3227" s="170" t="str">
        <f>IFERROR(__xludf.DUMMYFUNCTION("""COMPUTED_VALUE"""),"USA")</f>
        <v>USA</v>
      </c>
      <c r="E3227" s="171">
        <f>IFERROR(__xludf.DUMMYFUNCTION("""COMPUTED_VALUE"""),43278.0)</f>
        <v>43278</v>
      </c>
      <c r="F3227" s="172">
        <f>IFERROR(__xludf.DUMMYFUNCTION("""COMPUTED_VALUE"""),43280.0)</f>
        <v>43280</v>
      </c>
      <c r="G3227" s="173"/>
      <c r="H3227" s="174">
        <f>IFERROR(__xludf.DUMMYFUNCTION("""COMPUTED_VALUE"""),43955.0)</f>
        <v>43955</v>
      </c>
      <c r="I3227" s="175" t="str">
        <f>IFERROR(__xludf.DUMMYFUNCTION("""COMPUTED_VALUE"""),"06/18")</f>
        <v>06/18</v>
      </c>
      <c r="J3227" s="172">
        <f>IFERROR(__xludf.DUMMYFUNCTION("""COMPUTED_VALUE"""),43300.0)</f>
        <v>43300</v>
      </c>
      <c r="K3227" s="176">
        <f>IFERROR(__xludf.DUMMYFUNCTION("""COMPUTED_VALUE"""),2.0)</f>
        <v>2</v>
      </c>
      <c r="L3227" s="176">
        <f>IFERROR(__xludf.DUMMYFUNCTION("""COMPUTED_VALUE"""),20.0)</f>
        <v>20</v>
      </c>
      <c r="M3227" s="176">
        <f>IFERROR(__xludf.DUMMYFUNCTION("""COMPUTED_VALUE"""),22.0)</f>
        <v>22</v>
      </c>
      <c r="N3227" s="177" t="str">
        <f>IFERROR(__xludf.DUMMYFUNCTION("""COMPUTED_VALUE"""),"Model 3 LR")</f>
        <v>Model 3 LR</v>
      </c>
      <c r="O3227" s="177" t="str">
        <f>IFERROR(__xludf.DUMMYFUNCTION("""COMPUTED_VALUE"""),"Silver Metallic")</f>
        <v>Silver Metallic</v>
      </c>
      <c r="P3227" s="178" t="str">
        <f>IFERROR(__xludf.DUMMYFUNCTION("""COMPUTED_VALUE"""),"18 inch Aero")</f>
        <v>18 inch Aero</v>
      </c>
      <c r="Q3227" s="177" t="str">
        <f>IFERROR(__xludf.DUMMYFUNCTION("""COMPUTED_VALUE"""),"Black seats")</f>
        <v>Black seats</v>
      </c>
      <c r="R3227" s="170" t="str">
        <f>IFERROR(__xludf.DUMMYFUNCTION("""COMPUTED_VALUE"""),"Enhanced Autopilot")</f>
        <v>Enhanced Autopilot</v>
      </c>
      <c r="S3227" s="170"/>
      <c r="T3227" s="179"/>
      <c r="U3227" s="179"/>
      <c r="V3227" s="179"/>
      <c r="W3227" s="180"/>
      <c r="X3227" s="181" t="str">
        <f>IFERROR(__xludf.DUMMYFUNCTION("""COMPUTED_VALUE"""),"Excellent")</f>
        <v>Excellent</v>
      </c>
      <c r="Y3227" s="182" t="str">
        <f>IFERROR(__xludf.DUMMYFUNCTION("""COMPUTED_VALUE"""),"Excellent")</f>
        <v>Excellent</v>
      </c>
      <c r="Z3227" s="182" t="str">
        <f>IFERROR(__xludf.DUMMYFUNCTION("""COMPUTED_VALUE"""),"Excellent")</f>
        <v>Excellent</v>
      </c>
      <c r="AA3227" s="182" t="str">
        <f>IFERROR(__xludf.DUMMYFUNCTION("""COMPUTED_VALUE"""),"Good")</f>
        <v>Good</v>
      </c>
      <c r="AB3227" s="182" t="str">
        <f>IFERROR(__xludf.DUMMYFUNCTION("""COMPUTED_VALUE"""),"Excellent")</f>
        <v>Excellent</v>
      </c>
      <c r="AC3227" s="183">
        <f>IFERROR(__xludf.DUMMYFUNCTION("""COMPUTED_VALUE"""),2.0)</f>
        <v>2</v>
      </c>
      <c r="AD3227" s="183"/>
      <c r="AE3227" s="183"/>
      <c r="AF3227" s="184"/>
      <c r="AG3227" s="180"/>
      <c r="AH3227" s="185">
        <f>IFERROR(__xludf.DUMMYFUNCTION("""COMPUTED_VALUE"""),43301.233715636576)</f>
        <v>43301.23372</v>
      </c>
      <c r="AI3227" s="182"/>
      <c r="AJ3227" s="182"/>
      <c r="AK3227" s="182"/>
      <c r="AL3227" s="182"/>
    </row>
    <row r="3228" ht="20.25" customHeight="1">
      <c r="A3228" s="169" t="str">
        <f>IFERROR(__xludf.DUMMYFUNCTION("""COMPUTED_VALUE"""),"TKearns119")</f>
        <v>TKearns119</v>
      </c>
      <c r="B3228" s="170" t="str">
        <f>IFERROR(__xludf.DUMMYFUNCTION("""COMPUTED_VALUE"""),"Cincinnati")</f>
        <v>Cincinnati</v>
      </c>
      <c r="C3228" s="170" t="str">
        <f>IFERROR(__xludf.DUMMYFUNCTION("""COMPUTED_VALUE"""),"OH")</f>
        <v>OH</v>
      </c>
      <c r="D3228" s="170" t="str">
        <f>IFERROR(__xludf.DUMMYFUNCTION("""COMPUTED_VALUE"""),"USA")</f>
        <v>USA</v>
      </c>
      <c r="E3228" s="171">
        <f>IFERROR(__xludf.DUMMYFUNCTION("""COMPUTED_VALUE"""),43278.0)</f>
        <v>43278</v>
      </c>
      <c r="F3228" s="172">
        <f>IFERROR(__xludf.DUMMYFUNCTION("""COMPUTED_VALUE"""),43297.0)</f>
        <v>43297</v>
      </c>
      <c r="G3228" s="173"/>
      <c r="H3228" s="174">
        <f>IFERROR(__xludf.DUMMYFUNCTION("""COMPUTED_VALUE"""),33955.0)</f>
        <v>33955</v>
      </c>
      <c r="I3228" s="175"/>
      <c r="J3228" s="172">
        <f>IFERROR(__xludf.DUMMYFUNCTION("""COMPUTED_VALUE"""),43307.0)</f>
        <v>43307</v>
      </c>
      <c r="K3228" s="176">
        <f>IFERROR(__xludf.DUMMYFUNCTION("""COMPUTED_VALUE"""),19.0)</f>
        <v>19</v>
      </c>
      <c r="L3228" s="176">
        <f>IFERROR(__xludf.DUMMYFUNCTION("""COMPUTED_VALUE"""),10.0)</f>
        <v>10</v>
      </c>
      <c r="M3228" s="176">
        <f>IFERROR(__xludf.DUMMYFUNCTION("""COMPUTED_VALUE"""),29.0)</f>
        <v>29</v>
      </c>
      <c r="N3228" s="177" t="str">
        <f>IFERROR(__xludf.DUMMYFUNCTION("""COMPUTED_VALUE"""),"Model 3 LR")</f>
        <v>Model 3 LR</v>
      </c>
      <c r="O3228" s="177" t="str">
        <f>IFERROR(__xludf.DUMMYFUNCTION("""COMPUTED_VALUE"""),"Midnight Silver Metallic")</f>
        <v>Midnight Silver Metallic</v>
      </c>
      <c r="P3228" s="178" t="str">
        <f>IFERROR(__xludf.DUMMYFUNCTION("""COMPUTED_VALUE"""),"18 inch Aero")</f>
        <v>18 inch Aero</v>
      </c>
      <c r="Q3228" s="177" t="str">
        <f>IFERROR(__xludf.DUMMYFUNCTION("""COMPUTED_VALUE"""),"Black seats")</f>
        <v>Black seats</v>
      </c>
      <c r="R3228" s="170" t="str">
        <f>IFERROR(__xludf.DUMMYFUNCTION("""COMPUTED_VALUE"""),"None")</f>
        <v>None</v>
      </c>
      <c r="S3228" s="170"/>
      <c r="T3228" s="179"/>
      <c r="U3228" s="179"/>
      <c r="V3228" s="179"/>
      <c r="W3228" s="180"/>
      <c r="X3228" s="181" t="str">
        <f>IFERROR(__xludf.DUMMYFUNCTION("""COMPUTED_VALUE"""),"Excellent")</f>
        <v>Excellent</v>
      </c>
      <c r="Y3228" s="182" t="str">
        <f>IFERROR(__xludf.DUMMYFUNCTION("""COMPUTED_VALUE"""),"Excellent")</f>
        <v>Excellent</v>
      </c>
      <c r="Z3228" s="182" t="str">
        <f>IFERROR(__xludf.DUMMYFUNCTION("""COMPUTED_VALUE"""),"Very Good")</f>
        <v>Very Good</v>
      </c>
      <c r="AA3228" s="182" t="str">
        <f>IFERROR(__xludf.DUMMYFUNCTION("""COMPUTED_VALUE"""),"Very Good")</f>
        <v>Very Good</v>
      </c>
      <c r="AB3228" s="182" t="str">
        <f>IFERROR(__xludf.DUMMYFUNCTION("""COMPUTED_VALUE"""),"Excellent")</f>
        <v>Excellent</v>
      </c>
      <c r="AC3228" s="183">
        <f>IFERROR(__xludf.DUMMYFUNCTION("""COMPUTED_VALUE"""),1.0)</f>
        <v>1</v>
      </c>
      <c r="AD3228" s="183">
        <f>IFERROR(__xludf.DUMMYFUNCTION("""COMPUTED_VALUE"""),1.0)</f>
        <v>1</v>
      </c>
      <c r="AE3228" s="183"/>
      <c r="AF3228" s="184"/>
      <c r="AG3228" s="180"/>
      <c r="AH3228" s="185">
        <f>IFERROR(__xludf.DUMMYFUNCTION("""COMPUTED_VALUE"""),43308.51771662037)</f>
        <v>43308.51772</v>
      </c>
      <c r="AI3228" s="182"/>
      <c r="AJ3228" s="182"/>
      <c r="AK3228" s="182"/>
      <c r="AL3228" s="182"/>
    </row>
    <row r="3229" ht="20.25" customHeight="1">
      <c r="A3229" s="169" t="str">
        <f>IFERROR(__xludf.DUMMYFUNCTION("""COMPUTED_VALUE"""),"TM3Scott")</f>
        <v>TM3Scott</v>
      </c>
      <c r="B3229" s="170" t="str">
        <f>IFERROR(__xludf.DUMMYFUNCTION("""COMPUTED_VALUE"""),"Chicagoland")</f>
        <v>Chicagoland</v>
      </c>
      <c r="C3229" s="170" t="str">
        <f>IFERROR(__xludf.DUMMYFUNCTION("""COMPUTED_VALUE"""),"IL")</f>
        <v>IL</v>
      </c>
      <c r="D3229" s="170" t="str">
        <f>IFERROR(__xludf.DUMMYFUNCTION("""COMPUTED_VALUE"""),"USA")</f>
        <v>USA</v>
      </c>
      <c r="E3229" s="171">
        <f>IFERROR(__xludf.DUMMYFUNCTION("""COMPUTED_VALUE"""),43278.0)</f>
        <v>43278</v>
      </c>
      <c r="F3229" s="172">
        <f>IFERROR(__xludf.DUMMYFUNCTION("""COMPUTED_VALUE"""),43368.0)</f>
        <v>43368</v>
      </c>
      <c r="G3229" s="173"/>
      <c r="H3229" s="174">
        <f>IFERROR(__xludf.DUMMYFUNCTION("""COMPUTED_VALUE"""),105055.0)</f>
        <v>105055</v>
      </c>
      <c r="I3229" s="175" t="str">
        <f>IFERROR(__xludf.DUMMYFUNCTION("""COMPUTED_VALUE"""),"09/18")</f>
        <v>09/18</v>
      </c>
      <c r="J3229" s="172">
        <f>IFERROR(__xludf.DUMMYFUNCTION("""COMPUTED_VALUE"""),43371.0)</f>
        <v>43371</v>
      </c>
      <c r="K3229" s="176">
        <f>IFERROR(__xludf.DUMMYFUNCTION("""COMPUTED_VALUE"""),90.0)</f>
        <v>90</v>
      </c>
      <c r="L3229" s="176">
        <f>IFERROR(__xludf.DUMMYFUNCTION("""COMPUTED_VALUE"""),3.0)</f>
        <v>3</v>
      </c>
      <c r="M3229" s="176">
        <f>IFERROR(__xludf.DUMMYFUNCTION("""COMPUTED_VALUE"""),93.0)</f>
        <v>93</v>
      </c>
      <c r="N3229" s="177" t="str">
        <f>IFERROR(__xludf.DUMMYFUNCTION("""COMPUTED_VALUE"""),"Model 3 LR AWD")</f>
        <v>Model 3 LR AWD</v>
      </c>
      <c r="O3229" s="177" t="str">
        <f>IFERROR(__xludf.DUMMYFUNCTION("""COMPUTED_VALUE"""),"Deep Blue Metallic")</f>
        <v>Deep Blue Metallic</v>
      </c>
      <c r="P3229" s="178" t="str">
        <f>IFERROR(__xludf.DUMMYFUNCTION("""COMPUTED_VALUE"""),"18 inch Aero")</f>
        <v>18 inch Aero</v>
      </c>
      <c r="Q3229" s="177" t="str">
        <f>IFERROR(__xludf.DUMMYFUNCTION("""COMPUTED_VALUE"""),"Black seats")</f>
        <v>Black seats</v>
      </c>
      <c r="R3229" s="170" t="str">
        <f>IFERROR(__xludf.DUMMYFUNCTION("""COMPUTED_VALUE"""),"Enhanced Autopilot")</f>
        <v>Enhanced Autopilot</v>
      </c>
      <c r="S3229" s="170"/>
      <c r="T3229" s="179"/>
      <c r="U3229" s="179"/>
      <c r="V3229" s="179"/>
      <c r="W3229" s="180"/>
      <c r="X3229" s="181" t="str">
        <f>IFERROR(__xludf.DUMMYFUNCTION("""COMPUTED_VALUE"""),"Excellent")</f>
        <v>Excellent</v>
      </c>
      <c r="Y3229" s="182" t="str">
        <f>IFERROR(__xludf.DUMMYFUNCTION("""COMPUTED_VALUE"""),"Excellent")</f>
        <v>Excellent</v>
      </c>
      <c r="Z3229" s="182" t="str">
        <f>IFERROR(__xludf.DUMMYFUNCTION("""COMPUTED_VALUE"""),"Very Good")</f>
        <v>Very Good</v>
      </c>
      <c r="AA3229" s="182" t="str">
        <f>IFERROR(__xludf.DUMMYFUNCTION("""COMPUTED_VALUE"""),"Fair")</f>
        <v>Fair</v>
      </c>
      <c r="AB3229" s="182" t="str">
        <f>IFERROR(__xludf.DUMMYFUNCTION("""COMPUTED_VALUE"""),"Excellent")</f>
        <v>Excellent</v>
      </c>
      <c r="AC3229" s="183"/>
      <c r="AD3229" s="183"/>
      <c r="AE3229" s="183"/>
      <c r="AF3229" s="184"/>
      <c r="AG3229" s="180"/>
      <c r="AH3229" s="185">
        <f>IFERROR(__xludf.DUMMYFUNCTION("""COMPUTED_VALUE"""),43373.72338023149)</f>
        <v>43373.72338</v>
      </c>
      <c r="AI3229" s="182"/>
      <c r="AJ3229" s="182"/>
      <c r="AK3229" s="182"/>
      <c r="AL3229" s="182"/>
    </row>
    <row r="3230" ht="20.25" customHeight="1">
      <c r="A3230" s="169" t="str">
        <f>IFERROR(__xludf.DUMMYFUNCTION("""COMPUTED_VALUE"""),"tom8959")</f>
        <v>tom8959</v>
      </c>
      <c r="B3230" s="170" t="str">
        <f>IFERROR(__xludf.DUMMYFUNCTION("""COMPUTED_VALUE"""),"Los Angeles")</f>
        <v>Los Angeles</v>
      </c>
      <c r="C3230" s="170" t="str">
        <f>IFERROR(__xludf.DUMMYFUNCTION("""COMPUTED_VALUE"""),"CA")</f>
        <v>CA</v>
      </c>
      <c r="D3230" s="170" t="str">
        <f>IFERROR(__xludf.DUMMYFUNCTION("""COMPUTED_VALUE"""),"USA")</f>
        <v>USA</v>
      </c>
      <c r="E3230" s="171">
        <f>IFERROR(__xludf.DUMMYFUNCTION("""COMPUTED_VALUE"""),43278.0)</f>
        <v>43278</v>
      </c>
      <c r="F3230" s="172">
        <f>IFERROR(__xludf.DUMMYFUNCTION("""COMPUTED_VALUE"""),43362.0)</f>
        <v>43362</v>
      </c>
      <c r="G3230" s="173"/>
      <c r="H3230" s="174">
        <f>IFERROR(__xludf.DUMMYFUNCTION("""COMPUTED_VALUE"""),89455.0)</f>
        <v>89455</v>
      </c>
      <c r="I3230" s="175" t="str">
        <f>IFERROR(__xludf.DUMMYFUNCTION("""COMPUTED_VALUE"""),"09/18")</f>
        <v>09/18</v>
      </c>
      <c r="J3230" s="172">
        <f>IFERROR(__xludf.DUMMYFUNCTION("""COMPUTED_VALUE"""),43367.0)</f>
        <v>43367</v>
      </c>
      <c r="K3230" s="176">
        <f>IFERROR(__xludf.DUMMYFUNCTION("""COMPUTED_VALUE"""),84.0)</f>
        <v>84</v>
      </c>
      <c r="L3230" s="176">
        <f>IFERROR(__xludf.DUMMYFUNCTION("""COMPUTED_VALUE"""),5.0)</f>
        <v>5</v>
      </c>
      <c r="M3230" s="176">
        <f>IFERROR(__xludf.DUMMYFUNCTION("""COMPUTED_VALUE"""),89.0)</f>
        <v>89</v>
      </c>
      <c r="N3230" s="177" t="str">
        <f>IFERROR(__xludf.DUMMYFUNCTION("""COMPUTED_VALUE"""),"Model 3 LR AWD")</f>
        <v>Model 3 LR AWD</v>
      </c>
      <c r="O3230" s="177" t="str">
        <f>IFERROR(__xludf.DUMMYFUNCTION("""COMPUTED_VALUE"""),"Silver Metallic")</f>
        <v>Silver Metallic</v>
      </c>
      <c r="P3230" s="178" t="str">
        <f>IFERROR(__xludf.DUMMYFUNCTION("""COMPUTED_VALUE"""),"19 inch Sport")</f>
        <v>19 inch Sport</v>
      </c>
      <c r="Q3230" s="177" t="str">
        <f>IFERROR(__xludf.DUMMYFUNCTION("""COMPUTED_VALUE"""),"Black seats")</f>
        <v>Black seats</v>
      </c>
      <c r="R3230" s="170" t="str">
        <f>IFERROR(__xludf.DUMMYFUNCTION("""COMPUTED_VALUE"""),"Full Self-Driving")</f>
        <v>Full Self-Driving</v>
      </c>
      <c r="S3230" s="170"/>
      <c r="T3230" s="179"/>
      <c r="U3230" s="179"/>
      <c r="V3230" s="179"/>
      <c r="W3230" s="180"/>
      <c r="X3230" s="181" t="str">
        <f>IFERROR(__xludf.DUMMYFUNCTION("""COMPUTED_VALUE"""),"Excellent")</f>
        <v>Excellent</v>
      </c>
      <c r="Y3230" s="182" t="str">
        <f>IFERROR(__xludf.DUMMYFUNCTION("""COMPUTED_VALUE"""),"Very Good")</f>
        <v>Very Good</v>
      </c>
      <c r="Z3230" s="182" t="str">
        <f>IFERROR(__xludf.DUMMYFUNCTION("""COMPUTED_VALUE"""),"Very Good")</f>
        <v>Very Good</v>
      </c>
      <c r="AA3230" s="182" t="str">
        <f>IFERROR(__xludf.DUMMYFUNCTION("""COMPUTED_VALUE"""),"Excellent")</f>
        <v>Excellent</v>
      </c>
      <c r="AB3230" s="182" t="str">
        <f>IFERROR(__xludf.DUMMYFUNCTION("""COMPUTED_VALUE"""),"Very Good")</f>
        <v>Very Good</v>
      </c>
      <c r="AC3230" s="183"/>
      <c r="AD3230" s="183"/>
      <c r="AE3230" s="183"/>
      <c r="AF3230" s="184"/>
      <c r="AG3230" s="180"/>
      <c r="AH3230" s="185">
        <f>IFERROR(__xludf.DUMMYFUNCTION("""COMPUTED_VALUE"""),43369.3316991551)</f>
        <v>43369.3317</v>
      </c>
      <c r="AI3230" s="182"/>
      <c r="AJ3230" s="182"/>
      <c r="AK3230" s="182"/>
      <c r="AL3230" s="182"/>
    </row>
    <row r="3231" ht="20.25" customHeight="1">
      <c r="A3231" s="169" t="str">
        <f>IFERROR(__xludf.DUMMYFUNCTION("""COMPUTED_VALUE"""),"TomHudson")</f>
        <v>TomHudson</v>
      </c>
      <c r="B3231" s="170" t="str">
        <f>IFERROR(__xludf.DUMMYFUNCTION("""COMPUTED_VALUE"""),"Port Washington")</f>
        <v>Port Washington</v>
      </c>
      <c r="C3231" s="170" t="str">
        <f>IFERROR(__xludf.DUMMYFUNCTION("""COMPUTED_VALUE"""),"WI")</f>
        <v>WI</v>
      </c>
      <c r="D3231" s="170" t="str">
        <f>IFERROR(__xludf.DUMMYFUNCTION("""COMPUTED_VALUE"""),"USA")</f>
        <v>USA</v>
      </c>
      <c r="E3231" s="171">
        <f>IFERROR(__xludf.DUMMYFUNCTION("""COMPUTED_VALUE"""),43278.0)</f>
        <v>43278</v>
      </c>
      <c r="F3231" s="172">
        <f>IFERROR(__xludf.DUMMYFUNCTION("""COMPUTED_VALUE"""),43280.0)</f>
        <v>43280</v>
      </c>
      <c r="G3231" s="173"/>
      <c r="H3231" s="174">
        <f>IFERROR(__xludf.DUMMYFUNCTION("""COMPUTED_VALUE"""),37355.0)</f>
        <v>37355</v>
      </c>
      <c r="I3231" s="175" t="str">
        <f>IFERROR(__xludf.DUMMYFUNCTION("""COMPUTED_VALUE"""),"06/18")</f>
        <v>06/18</v>
      </c>
      <c r="J3231" s="172">
        <f>IFERROR(__xludf.DUMMYFUNCTION("""COMPUTED_VALUE"""),43292.0)</f>
        <v>43292</v>
      </c>
      <c r="K3231" s="176">
        <f>IFERROR(__xludf.DUMMYFUNCTION("""COMPUTED_VALUE"""),2.0)</f>
        <v>2</v>
      </c>
      <c r="L3231" s="176">
        <f>IFERROR(__xludf.DUMMYFUNCTION("""COMPUTED_VALUE"""),12.0)</f>
        <v>12</v>
      </c>
      <c r="M3231" s="176">
        <f>IFERROR(__xludf.DUMMYFUNCTION("""COMPUTED_VALUE"""),14.0)</f>
        <v>14</v>
      </c>
      <c r="N3231" s="177" t="str">
        <f>IFERROR(__xludf.DUMMYFUNCTION("""COMPUTED_VALUE"""),"Model 3 LR")</f>
        <v>Model 3 LR</v>
      </c>
      <c r="O3231" s="177" t="str">
        <f>IFERROR(__xludf.DUMMYFUNCTION("""COMPUTED_VALUE"""),"Silver Metallic")</f>
        <v>Silver Metallic</v>
      </c>
      <c r="P3231" s="178" t="str">
        <f>IFERROR(__xludf.DUMMYFUNCTION("""COMPUTED_VALUE"""),"18 inch Aero")</f>
        <v>18 inch Aero</v>
      </c>
      <c r="Q3231" s="177" t="str">
        <f>IFERROR(__xludf.DUMMYFUNCTION("""COMPUTED_VALUE"""),"Black seats")</f>
        <v>Black seats</v>
      </c>
      <c r="R3231" s="170" t="str">
        <f>IFERROR(__xludf.DUMMYFUNCTION("""COMPUTED_VALUE"""),"None")</f>
        <v>None</v>
      </c>
      <c r="S3231" s="170"/>
      <c r="T3231" s="179"/>
      <c r="U3231" s="179"/>
      <c r="V3231" s="179"/>
      <c r="W3231" s="180"/>
      <c r="X3231" s="181" t="str">
        <f>IFERROR(__xludf.DUMMYFUNCTION("""COMPUTED_VALUE"""),"Excellent")</f>
        <v>Excellent</v>
      </c>
      <c r="Y3231" s="182" t="str">
        <f>IFERROR(__xludf.DUMMYFUNCTION("""COMPUTED_VALUE"""),"Excellent")</f>
        <v>Excellent</v>
      </c>
      <c r="Z3231" s="182" t="str">
        <f>IFERROR(__xludf.DUMMYFUNCTION("""COMPUTED_VALUE"""),"Excellent")</f>
        <v>Excellent</v>
      </c>
      <c r="AA3231" s="182" t="str">
        <f>IFERROR(__xludf.DUMMYFUNCTION("""COMPUTED_VALUE"""),"Very Good")</f>
        <v>Very Good</v>
      </c>
      <c r="AB3231" s="182" t="str">
        <f>IFERROR(__xludf.DUMMYFUNCTION("""COMPUTED_VALUE"""),"Excellent")</f>
        <v>Excellent</v>
      </c>
      <c r="AC3231" s="183"/>
      <c r="AD3231" s="183"/>
      <c r="AE3231" s="183"/>
      <c r="AF3231" s="184"/>
      <c r="AG3231" s="180"/>
      <c r="AH3231" s="185">
        <f>IFERROR(__xludf.DUMMYFUNCTION("""COMPUTED_VALUE"""),43298.430729907406)</f>
        <v>43298.43073</v>
      </c>
      <c r="AI3231" s="182"/>
      <c r="AJ3231" s="182"/>
      <c r="AK3231" s="182"/>
      <c r="AL3231" s="182"/>
    </row>
    <row r="3232" ht="20.25" customHeight="1">
      <c r="A3232" s="169" t="str">
        <f>IFERROR(__xludf.DUMMYFUNCTION("""COMPUTED_VALUE"""),"tonyk23")</f>
        <v>tonyk23</v>
      </c>
      <c r="B3232" s="170" t="str">
        <f>IFERROR(__xludf.DUMMYFUNCTION("""COMPUTED_VALUE"""),"Alpharetta")</f>
        <v>Alpharetta</v>
      </c>
      <c r="C3232" s="170" t="str">
        <f>IFERROR(__xludf.DUMMYFUNCTION("""COMPUTED_VALUE"""),"GA")</f>
        <v>GA</v>
      </c>
      <c r="D3232" s="170" t="str">
        <f>IFERROR(__xludf.DUMMYFUNCTION("""COMPUTED_VALUE"""),"USA")</f>
        <v>USA</v>
      </c>
      <c r="E3232" s="171">
        <f>IFERROR(__xludf.DUMMYFUNCTION("""COMPUTED_VALUE"""),43278.0)</f>
        <v>43278</v>
      </c>
      <c r="F3232" s="172">
        <f>IFERROR(__xludf.DUMMYFUNCTION("""COMPUTED_VALUE"""),43287.0)</f>
        <v>43287</v>
      </c>
      <c r="G3232" s="173"/>
      <c r="H3232" s="174">
        <f>IFERROR(__xludf.DUMMYFUNCTION("""COMPUTED_VALUE"""),28240.0)</f>
        <v>28240</v>
      </c>
      <c r="I3232" s="175" t="str">
        <f>IFERROR(__xludf.DUMMYFUNCTION("""COMPUTED_VALUE"""),"06/18")</f>
        <v>06/18</v>
      </c>
      <c r="J3232" s="172">
        <f>IFERROR(__xludf.DUMMYFUNCTION("""COMPUTED_VALUE"""),43301.0)</f>
        <v>43301</v>
      </c>
      <c r="K3232" s="176">
        <f>IFERROR(__xludf.DUMMYFUNCTION("""COMPUTED_VALUE"""),9.0)</f>
        <v>9</v>
      </c>
      <c r="L3232" s="176">
        <f>IFERROR(__xludf.DUMMYFUNCTION("""COMPUTED_VALUE"""),14.0)</f>
        <v>14</v>
      </c>
      <c r="M3232" s="176">
        <f>IFERROR(__xludf.DUMMYFUNCTION("""COMPUTED_VALUE"""),23.0)</f>
        <v>23</v>
      </c>
      <c r="N3232" s="177" t="str">
        <f>IFERROR(__xludf.DUMMYFUNCTION("""COMPUTED_VALUE"""),"Model 3 LR")</f>
        <v>Model 3 LR</v>
      </c>
      <c r="O3232" s="177" t="str">
        <f>IFERROR(__xludf.DUMMYFUNCTION("""COMPUTED_VALUE"""),"Midnight Silver Metallic")</f>
        <v>Midnight Silver Metallic</v>
      </c>
      <c r="P3232" s="178" t="str">
        <f>IFERROR(__xludf.DUMMYFUNCTION("""COMPUTED_VALUE"""),"19 inch Sport")</f>
        <v>19 inch Sport</v>
      </c>
      <c r="Q3232" s="177" t="str">
        <f>IFERROR(__xludf.DUMMYFUNCTION("""COMPUTED_VALUE"""),"Black seats")</f>
        <v>Black seats</v>
      </c>
      <c r="R3232" s="170" t="str">
        <f>IFERROR(__xludf.DUMMYFUNCTION("""COMPUTED_VALUE"""),"Enhanced Autopilot")</f>
        <v>Enhanced Autopilot</v>
      </c>
      <c r="S3232" s="170"/>
      <c r="T3232" s="179"/>
      <c r="U3232" s="179"/>
      <c r="V3232" s="179"/>
      <c r="W3232" s="180"/>
      <c r="X3232" s="181" t="str">
        <f>IFERROR(__xludf.DUMMYFUNCTION("""COMPUTED_VALUE"""),"Very Good")</f>
        <v>Very Good</v>
      </c>
      <c r="Y3232" s="182" t="str">
        <f>IFERROR(__xludf.DUMMYFUNCTION("""COMPUTED_VALUE"""),"Excellent")</f>
        <v>Excellent</v>
      </c>
      <c r="Z3232" s="182" t="str">
        <f>IFERROR(__xludf.DUMMYFUNCTION("""COMPUTED_VALUE"""),"Excellent")</f>
        <v>Excellent</v>
      </c>
      <c r="AA3232" s="182" t="str">
        <f>IFERROR(__xludf.DUMMYFUNCTION("""COMPUTED_VALUE"""),"Fair")</f>
        <v>Fair</v>
      </c>
      <c r="AB3232" s="182" t="str">
        <f>IFERROR(__xludf.DUMMYFUNCTION("""COMPUTED_VALUE"""),"Excellent")</f>
        <v>Excellent</v>
      </c>
      <c r="AC3232" s="183">
        <f>IFERROR(__xludf.DUMMYFUNCTION("""COMPUTED_VALUE"""),0.0)</f>
        <v>0</v>
      </c>
      <c r="AD3232" s="183"/>
      <c r="AE3232" s="183"/>
      <c r="AF3232" s="184"/>
      <c r="AG3232" s="180"/>
      <c r="AH3232" s="185">
        <f>IFERROR(__xludf.DUMMYFUNCTION("""COMPUTED_VALUE"""),43302.23424767361)</f>
        <v>43302.23425</v>
      </c>
      <c r="AI3232" s="182"/>
      <c r="AJ3232" s="182"/>
      <c r="AK3232" s="182"/>
      <c r="AL3232" s="182"/>
    </row>
    <row r="3233" ht="20.25" customHeight="1">
      <c r="A3233" s="169" t="str">
        <f>IFERROR(__xludf.DUMMYFUNCTION("""COMPUTED_VALUE"""),"tslafuture2020")</f>
        <v>tslafuture2020</v>
      </c>
      <c r="B3233" s="170" t="str">
        <f>IFERROR(__xludf.DUMMYFUNCTION("""COMPUTED_VALUE"""),"Austin")</f>
        <v>Austin</v>
      </c>
      <c r="C3233" s="170" t="str">
        <f>IFERROR(__xludf.DUMMYFUNCTION("""COMPUTED_VALUE"""),"TX")</f>
        <v>TX</v>
      </c>
      <c r="D3233" s="170" t="str">
        <f>IFERROR(__xludf.DUMMYFUNCTION("""COMPUTED_VALUE"""),"USA")</f>
        <v>USA</v>
      </c>
      <c r="E3233" s="171">
        <f>IFERROR(__xludf.DUMMYFUNCTION("""COMPUTED_VALUE"""),43278.0)</f>
        <v>43278</v>
      </c>
      <c r="F3233" s="172">
        <f>IFERROR(__xludf.DUMMYFUNCTION("""COMPUTED_VALUE"""),43299.0)</f>
        <v>43299</v>
      </c>
      <c r="G3233" s="173"/>
      <c r="H3233" s="174">
        <f>IFERROR(__xludf.DUMMYFUNCTION("""COMPUTED_VALUE"""),38055.0)</f>
        <v>38055</v>
      </c>
      <c r="I3233" s="175" t="str">
        <f>IFERROR(__xludf.DUMMYFUNCTION("""COMPUTED_VALUE"""),"06/18")</f>
        <v>06/18</v>
      </c>
      <c r="J3233" s="172">
        <f>IFERROR(__xludf.DUMMYFUNCTION("""COMPUTED_VALUE"""),43329.0)</f>
        <v>43329</v>
      </c>
      <c r="K3233" s="176">
        <f>IFERROR(__xludf.DUMMYFUNCTION("""COMPUTED_VALUE"""),21.0)</f>
        <v>21</v>
      </c>
      <c r="L3233" s="176">
        <f>IFERROR(__xludf.DUMMYFUNCTION("""COMPUTED_VALUE"""),30.0)</f>
        <v>30</v>
      </c>
      <c r="M3233" s="176">
        <f>IFERROR(__xludf.DUMMYFUNCTION("""COMPUTED_VALUE"""),51.0)</f>
        <v>51</v>
      </c>
      <c r="N3233" s="177" t="str">
        <f>IFERROR(__xludf.DUMMYFUNCTION("""COMPUTED_VALUE"""),"Model 3 LR")</f>
        <v>Model 3 LR</v>
      </c>
      <c r="O3233" s="177" t="str">
        <f>IFERROR(__xludf.DUMMYFUNCTION("""COMPUTED_VALUE"""),"Red Multi-Coat")</f>
        <v>Red Multi-Coat</v>
      </c>
      <c r="P3233" s="178" t="str">
        <f>IFERROR(__xludf.DUMMYFUNCTION("""COMPUTED_VALUE"""),"18 inch Aero")</f>
        <v>18 inch Aero</v>
      </c>
      <c r="Q3233" s="177" t="str">
        <f>IFERROR(__xludf.DUMMYFUNCTION("""COMPUTED_VALUE"""),"Black seats")</f>
        <v>Black seats</v>
      </c>
      <c r="R3233" s="170" t="str">
        <f>IFERROR(__xludf.DUMMYFUNCTION("""COMPUTED_VALUE"""),"Enhanced Autopilot")</f>
        <v>Enhanced Autopilot</v>
      </c>
      <c r="S3233" s="170"/>
      <c r="T3233" s="179"/>
      <c r="U3233" s="179"/>
      <c r="V3233" s="179"/>
      <c r="W3233" s="180"/>
      <c r="X3233" s="181" t="str">
        <f>IFERROR(__xludf.DUMMYFUNCTION("""COMPUTED_VALUE"""),"Excellent")</f>
        <v>Excellent</v>
      </c>
      <c r="Y3233" s="182" t="str">
        <f>IFERROR(__xludf.DUMMYFUNCTION("""COMPUTED_VALUE"""),"Excellent")</f>
        <v>Excellent</v>
      </c>
      <c r="Z3233" s="182" t="str">
        <f>IFERROR(__xludf.DUMMYFUNCTION("""COMPUTED_VALUE"""),"Excellent")</f>
        <v>Excellent</v>
      </c>
      <c r="AA3233" s="182" t="str">
        <f>IFERROR(__xludf.DUMMYFUNCTION("""COMPUTED_VALUE"""),"Good")</f>
        <v>Good</v>
      </c>
      <c r="AB3233" s="182" t="str">
        <f>IFERROR(__xludf.DUMMYFUNCTION("""COMPUTED_VALUE"""),"Excellent")</f>
        <v>Excellent</v>
      </c>
      <c r="AC3233" s="183"/>
      <c r="AD3233" s="183"/>
      <c r="AE3233" s="183"/>
      <c r="AF3233" s="184"/>
      <c r="AG3233" s="180"/>
      <c r="AH3233" s="185">
        <f>IFERROR(__xludf.DUMMYFUNCTION("""COMPUTED_VALUE"""),43335.57698517361)</f>
        <v>43335.57699</v>
      </c>
      <c r="AI3233" s="182"/>
      <c r="AJ3233" s="182"/>
      <c r="AK3233" s="182"/>
      <c r="AL3233" s="182"/>
    </row>
    <row r="3234" ht="20.25" customHeight="1">
      <c r="A3234" s="169" t="str">
        <f>IFERROR(__xludf.DUMMYFUNCTION("""COMPUTED_VALUE"""),"tvisdog")</f>
        <v>tvisdog</v>
      </c>
      <c r="B3234" s="170"/>
      <c r="C3234" s="170" t="str">
        <f>IFERROR(__xludf.DUMMYFUNCTION("""COMPUTED_VALUE"""),"CO")</f>
        <v>CO</v>
      </c>
      <c r="D3234" s="170" t="str">
        <f>IFERROR(__xludf.DUMMYFUNCTION("""COMPUTED_VALUE"""),"USA")</f>
        <v>USA</v>
      </c>
      <c r="E3234" s="171">
        <f>IFERROR(__xludf.DUMMYFUNCTION("""COMPUTED_VALUE"""),43278.0)</f>
        <v>43278</v>
      </c>
      <c r="F3234" s="172">
        <f>IFERROR(__xludf.DUMMYFUNCTION("""COMPUTED_VALUE"""),43368.0)</f>
        <v>43368</v>
      </c>
      <c r="G3234" s="173"/>
      <c r="H3234" s="174">
        <f>IFERROR(__xludf.DUMMYFUNCTION("""COMPUTED_VALUE"""),113955.0)</f>
        <v>113955</v>
      </c>
      <c r="I3234" s="175" t="str">
        <f>IFERROR(__xludf.DUMMYFUNCTION("""COMPUTED_VALUE"""),"09/18")</f>
        <v>09/18</v>
      </c>
      <c r="J3234" s="172">
        <f>IFERROR(__xludf.DUMMYFUNCTION("""COMPUTED_VALUE"""),43372.0)</f>
        <v>43372</v>
      </c>
      <c r="K3234" s="176">
        <f>IFERROR(__xludf.DUMMYFUNCTION("""COMPUTED_VALUE"""),90.0)</f>
        <v>90</v>
      </c>
      <c r="L3234" s="176">
        <f>IFERROR(__xludf.DUMMYFUNCTION("""COMPUTED_VALUE"""),4.0)</f>
        <v>4</v>
      </c>
      <c r="M3234" s="176">
        <f>IFERROR(__xludf.DUMMYFUNCTION("""COMPUTED_VALUE"""),94.0)</f>
        <v>94</v>
      </c>
      <c r="N3234" s="177" t="str">
        <f>IFERROR(__xludf.DUMMYFUNCTION("""COMPUTED_VALUE"""),"Model 3 LR AWD")</f>
        <v>Model 3 LR AWD</v>
      </c>
      <c r="O3234" s="177" t="str">
        <f>IFERROR(__xludf.DUMMYFUNCTION("""COMPUTED_VALUE"""),"Midnight Silver Metallic")</f>
        <v>Midnight Silver Metallic</v>
      </c>
      <c r="P3234" s="178" t="str">
        <f>IFERROR(__xludf.DUMMYFUNCTION("""COMPUTED_VALUE"""),"18 inch Aero")</f>
        <v>18 inch Aero</v>
      </c>
      <c r="Q3234" s="177" t="str">
        <f>IFERROR(__xludf.DUMMYFUNCTION("""COMPUTED_VALUE"""),"Black seats")</f>
        <v>Black seats</v>
      </c>
      <c r="R3234" s="170" t="str">
        <f>IFERROR(__xludf.DUMMYFUNCTION("""COMPUTED_VALUE"""),"Full Self-Driving")</f>
        <v>Full Self-Driving</v>
      </c>
      <c r="S3234" s="170"/>
      <c r="T3234" s="179"/>
      <c r="U3234" s="179"/>
      <c r="V3234" s="179"/>
      <c r="W3234" s="180"/>
      <c r="X3234" s="181" t="str">
        <f>IFERROR(__xludf.DUMMYFUNCTION("""COMPUTED_VALUE"""),"Excellent")</f>
        <v>Excellent</v>
      </c>
      <c r="Y3234" s="182" t="str">
        <f>IFERROR(__xludf.DUMMYFUNCTION("""COMPUTED_VALUE"""),"Excellent")</f>
        <v>Excellent</v>
      </c>
      <c r="Z3234" s="182" t="str">
        <f>IFERROR(__xludf.DUMMYFUNCTION("""COMPUTED_VALUE"""),"Very Good")</f>
        <v>Very Good</v>
      </c>
      <c r="AA3234" s="182" t="str">
        <f>IFERROR(__xludf.DUMMYFUNCTION("""COMPUTED_VALUE"""),"Poor")</f>
        <v>Poor</v>
      </c>
      <c r="AB3234" s="182" t="str">
        <f>IFERROR(__xludf.DUMMYFUNCTION("""COMPUTED_VALUE"""),"Very Good")</f>
        <v>Very Good</v>
      </c>
      <c r="AC3234" s="183">
        <f>IFERROR(__xludf.DUMMYFUNCTION("""COMPUTED_VALUE"""),3.0)</f>
        <v>3</v>
      </c>
      <c r="AD3234" s="183"/>
      <c r="AE3234" s="183"/>
      <c r="AF3234" s="184"/>
      <c r="AG3234" s="180"/>
      <c r="AH3234" s="185">
        <f>IFERROR(__xludf.DUMMYFUNCTION("""COMPUTED_VALUE"""),43373.25557127315)</f>
        <v>43373.25557</v>
      </c>
      <c r="AI3234" s="182"/>
      <c r="AJ3234" s="182"/>
      <c r="AK3234" s="182"/>
      <c r="AL3234" s="182"/>
    </row>
    <row r="3235" ht="20.25" customHeight="1">
      <c r="A3235" s="169" t="str">
        <f>IFERROR(__xludf.DUMMYFUNCTION("""COMPUTED_VALUE"""),"twfarley")</f>
        <v>twfarley</v>
      </c>
      <c r="B3235" s="170" t="str">
        <f>IFERROR(__xludf.DUMMYFUNCTION("""COMPUTED_VALUE"""),"San Jose")</f>
        <v>San Jose</v>
      </c>
      <c r="C3235" s="170" t="str">
        <f>IFERROR(__xludf.DUMMYFUNCTION("""COMPUTED_VALUE"""),"CA")</f>
        <v>CA</v>
      </c>
      <c r="D3235" s="170" t="str">
        <f>IFERROR(__xludf.DUMMYFUNCTION("""COMPUTED_VALUE"""),"USA")</f>
        <v>USA</v>
      </c>
      <c r="E3235" s="171">
        <f>IFERROR(__xludf.DUMMYFUNCTION("""COMPUTED_VALUE"""),43278.0)</f>
        <v>43278</v>
      </c>
      <c r="F3235" s="172">
        <f>IFERROR(__xludf.DUMMYFUNCTION("""COMPUTED_VALUE"""),43293.0)</f>
        <v>43293</v>
      </c>
      <c r="G3235" s="173"/>
      <c r="H3235" s="174">
        <f>IFERROR(__xludf.DUMMYFUNCTION("""COMPUTED_VALUE"""),41529.0)</f>
        <v>41529</v>
      </c>
      <c r="I3235" s="175"/>
      <c r="J3235" s="172">
        <f>IFERROR(__xludf.DUMMYFUNCTION("""COMPUTED_VALUE"""),43294.0)</f>
        <v>43294</v>
      </c>
      <c r="K3235" s="176">
        <f>IFERROR(__xludf.DUMMYFUNCTION("""COMPUTED_VALUE"""),15.0)</f>
        <v>15</v>
      </c>
      <c r="L3235" s="176">
        <f>IFERROR(__xludf.DUMMYFUNCTION("""COMPUTED_VALUE"""),1.0)</f>
        <v>1</v>
      </c>
      <c r="M3235" s="176">
        <f>IFERROR(__xludf.DUMMYFUNCTION("""COMPUTED_VALUE"""),16.0)</f>
        <v>16</v>
      </c>
      <c r="N3235" s="177" t="str">
        <f>IFERROR(__xludf.DUMMYFUNCTION("""COMPUTED_VALUE"""),"Model 3 LR")</f>
        <v>Model 3 LR</v>
      </c>
      <c r="O3235" s="177" t="str">
        <f>IFERROR(__xludf.DUMMYFUNCTION("""COMPUTED_VALUE"""),"Deep Blue Metallic")</f>
        <v>Deep Blue Metallic</v>
      </c>
      <c r="P3235" s="178" t="str">
        <f>IFERROR(__xludf.DUMMYFUNCTION("""COMPUTED_VALUE"""),"18 inch Aero")</f>
        <v>18 inch Aero</v>
      </c>
      <c r="Q3235" s="177" t="str">
        <f>IFERROR(__xludf.DUMMYFUNCTION("""COMPUTED_VALUE"""),"Black seats")</f>
        <v>Black seats</v>
      </c>
      <c r="R3235" s="170" t="str">
        <f>IFERROR(__xludf.DUMMYFUNCTION("""COMPUTED_VALUE"""),"None")</f>
        <v>None</v>
      </c>
      <c r="S3235" s="170"/>
      <c r="T3235" s="179"/>
      <c r="U3235" s="179"/>
      <c r="V3235" s="179"/>
      <c r="W3235" s="180"/>
      <c r="X3235" s="181" t="str">
        <f>IFERROR(__xludf.DUMMYFUNCTION("""COMPUTED_VALUE"""),"Excellent")</f>
        <v>Excellent</v>
      </c>
      <c r="Y3235" s="182" t="str">
        <f>IFERROR(__xludf.DUMMYFUNCTION("""COMPUTED_VALUE"""),"Very Good")</f>
        <v>Very Good</v>
      </c>
      <c r="Z3235" s="182" t="str">
        <f>IFERROR(__xludf.DUMMYFUNCTION("""COMPUTED_VALUE"""),"Excellent")</f>
        <v>Excellent</v>
      </c>
      <c r="AA3235" s="182" t="str">
        <f>IFERROR(__xludf.DUMMYFUNCTION("""COMPUTED_VALUE"""),"Excellent")</f>
        <v>Excellent</v>
      </c>
      <c r="AB3235" s="182" t="str">
        <f>IFERROR(__xludf.DUMMYFUNCTION("""COMPUTED_VALUE"""),"Excellent")</f>
        <v>Excellent</v>
      </c>
      <c r="AC3235" s="183">
        <f>IFERROR(__xludf.DUMMYFUNCTION("""COMPUTED_VALUE"""),0.0)</f>
        <v>0</v>
      </c>
      <c r="AD3235" s="183">
        <f>IFERROR(__xludf.DUMMYFUNCTION("""COMPUTED_VALUE"""),0.0)</f>
        <v>0</v>
      </c>
      <c r="AE3235" s="183"/>
      <c r="AF3235" s="184"/>
      <c r="AG3235" s="180"/>
      <c r="AH3235" s="185">
        <f>IFERROR(__xludf.DUMMYFUNCTION("""COMPUTED_VALUE"""),43295.95928696759)</f>
        <v>43295.95929</v>
      </c>
      <c r="AI3235" s="182"/>
      <c r="AJ3235" s="182"/>
      <c r="AK3235" s="182"/>
      <c r="AL3235" s="182"/>
    </row>
    <row r="3236" ht="20.25" customHeight="1">
      <c r="A3236" s="169" t="str">
        <f>IFERROR(__xludf.DUMMYFUNCTION("""COMPUTED_VALUE"""),"Umbral")</f>
        <v>Umbral</v>
      </c>
      <c r="B3236" s="170" t="str">
        <f>IFERROR(__xludf.DUMMYFUNCTION("""COMPUTED_VALUE"""),"Phoenix")</f>
        <v>Phoenix</v>
      </c>
      <c r="C3236" s="170" t="str">
        <f>IFERROR(__xludf.DUMMYFUNCTION("""COMPUTED_VALUE"""),"AZ")</f>
        <v>AZ</v>
      </c>
      <c r="D3236" s="170" t="str">
        <f>IFERROR(__xludf.DUMMYFUNCTION("""COMPUTED_VALUE"""),"USA")</f>
        <v>USA</v>
      </c>
      <c r="E3236" s="171">
        <f>IFERROR(__xludf.DUMMYFUNCTION("""COMPUTED_VALUE"""),43278.0)</f>
        <v>43278</v>
      </c>
      <c r="F3236" s="172">
        <f>IFERROR(__xludf.DUMMYFUNCTION("""COMPUTED_VALUE"""),43293.0)</f>
        <v>43293</v>
      </c>
      <c r="G3236" s="173"/>
      <c r="H3236" s="174">
        <f>IFERROR(__xludf.DUMMYFUNCTION("""COMPUTED_VALUE"""),31555.0)</f>
        <v>31555</v>
      </c>
      <c r="I3236" s="175" t="str">
        <f>IFERROR(__xludf.DUMMYFUNCTION("""COMPUTED_VALUE"""),"06/18")</f>
        <v>06/18</v>
      </c>
      <c r="J3236" s="172">
        <f>IFERROR(__xludf.DUMMYFUNCTION("""COMPUTED_VALUE"""),43308.0)</f>
        <v>43308</v>
      </c>
      <c r="K3236" s="176">
        <f>IFERROR(__xludf.DUMMYFUNCTION("""COMPUTED_VALUE"""),15.0)</f>
        <v>15</v>
      </c>
      <c r="L3236" s="176">
        <f>IFERROR(__xludf.DUMMYFUNCTION("""COMPUTED_VALUE"""),15.0)</f>
        <v>15</v>
      </c>
      <c r="M3236" s="176">
        <f>IFERROR(__xludf.DUMMYFUNCTION("""COMPUTED_VALUE"""),30.0)</f>
        <v>30</v>
      </c>
      <c r="N3236" s="177" t="str">
        <f>IFERROR(__xludf.DUMMYFUNCTION("""COMPUTED_VALUE"""),"Model 3 LR")</f>
        <v>Model 3 LR</v>
      </c>
      <c r="O3236" s="177" t="str">
        <f>IFERROR(__xludf.DUMMYFUNCTION("""COMPUTED_VALUE"""),"Midnight Silver Metallic")</f>
        <v>Midnight Silver Metallic</v>
      </c>
      <c r="P3236" s="178" t="str">
        <f>IFERROR(__xludf.DUMMYFUNCTION("""COMPUTED_VALUE"""),"18 inch Aero")</f>
        <v>18 inch Aero</v>
      </c>
      <c r="Q3236" s="177" t="str">
        <f>IFERROR(__xludf.DUMMYFUNCTION("""COMPUTED_VALUE"""),"Black seats")</f>
        <v>Black seats</v>
      </c>
      <c r="R3236" s="170" t="str">
        <f>IFERROR(__xludf.DUMMYFUNCTION("""COMPUTED_VALUE"""),"Enhanced Autopilot")</f>
        <v>Enhanced Autopilot</v>
      </c>
      <c r="S3236" s="170"/>
      <c r="T3236" s="179"/>
      <c r="U3236" s="179"/>
      <c r="V3236" s="179"/>
      <c r="W3236" s="180"/>
      <c r="X3236" s="181" t="str">
        <f>IFERROR(__xludf.DUMMYFUNCTION("""COMPUTED_VALUE"""),"Excellent")</f>
        <v>Excellent</v>
      </c>
      <c r="Y3236" s="182" t="str">
        <f>IFERROR(__xludf.DUMMYFUNCTION("""COMPUTED_VALUE"""),"Excellent")</f>
        <v>Excellent</v>
      </c>
      <c r="Z3236" s="182" t="str">
        <f>IFERROR(__xludf.DUMMYFUNCTION("""COMPUTED_VALUE"""),"Excellent")</f>
        <v>Excellent</v>
      </c>
      <c r="AA3236" s="182" t="str">
        <f>IFERROR(__xludf.DUMMYFUNCTION("""COMPUTED_VALUE"""),"Good")</f>
        <v>Good</v>
      </c>
      <c r="AB3236" s="182" t="str">
        <f>IFERROR(__xludf.DUMMYFUNCTION("""COMPUTED_VALUE"""),"Very Good")</f>
        <v>Very Good</v>
      </c>
      <c r="AC3236" s="183"/>
      <c r="AD3236" s="183"/>
      <c r="AE3236" s="183"/>
      <c r="AF3236" s="184"/>
      <c r="AG3236" s="180"/>
      <c r="AH3236" s="185">
        <f>IFERROR(__xludf.DUMMYFUNCTION("""COMPUTED_VALUE"""),43308.66967247685)</f>
        <v>43308.66967</v>
      </c>
      <c r="AI3236" s="182"/>
      <c r="AJ3236" s="182"/>
      <c r="AK3236" s="182"/>
      <c r="AL3236" s="182"/>
    </row>
    <row r="3237" ht="20.25" customHeight="1">
      <c r="A3237" s="169" t="str">
        <f>IFERROR(__xludf.DUMMYFUNCTION("""COMPUTED_VALUE"""),"Underdog")</f>
        <v>Underdog</v>
      </c>
      <c r="B3237" s="170"/>
      <c r="C3237" s="170" t="str">
        <f>IFERROR(__xludf.DUMMYFUNCTION("""COMPUTED_VALUE"""),"CT")</f>
        <v>CT</v>
      </c>
      <c r="D3237" s="170" t="str">
        <f>IFERROR(__xludf.DUMMYFUNCTION("""COMPUTED_VALUE"""),"USA")</f>
        <v>USA</v>
      </c>
      <c r="E3237" s="171">
        <f>IFERROR(__xludf.DUMMYFUNCTION("""COMPUTED_VALUE"""),43278.0)</f>
        <v>43278</v>
      </c>
      <c r="F3237" s="172">
        <f>IFERROR(__xludf.DUMMYFUNCTION("""COMPUTED_VALUE"""),43391.0)</f>
        <v>43391</v>
      </c>
      <c r="G3237" s="173"/>
      <c r="H3237" s="174">
        <f>IFERROR(__xludf.DUMMYFUNCTION("""COMPUTED_VALUE"""),105355.0)</f>
        <v>105355</v>
      </c>
      <c r="I3237" s="175" t="str">
        <f>IFERROR(__xludf.DUMMYFUNCTION("""COMPUTED_VALUE"""),"10/18")</f>
        <v>10/18</v>
      </c>
      <c r="J3237" s="172">
        <f>IFERROR(__xludf.DUMMYFUNCTION("""COMPUTED_VALUE"""),43416.0)</f>
        <v>43416</v>
      </c>
      <c r="K3237" s="176">
        <f>IFERROR(__xludf.DUMMYFUNCTION("""COMPUTED_VALUE"""),113.0)</f>
        <v>113</v>
      </c>
      <c r="L3237" s="176">
        <f>IFERROR(__xludf.DUMMYFUNCTION("""COMPUTED_VALUE"""),25.0)</f>
        <v>25</v>
      </c>
      <c r="M3237" s="176">
        <f>IFERROR(__xludf.DUMMYFUNCTION("""COMPUTED_VALUE"""),138.0)</f>
        <v>138</v>
      </c>
      <c r="N3237" s="177" t="str">
        <f>IFERROR(__xludf.DUMMYFUNCTION("""COMPUTED_VALUE"""),"Model 3 LR AWD")</f>
        <v>Model 3 LR AWD</v>
      </c>
      <c r="O3237" s="177" t="str">
        <f>IFERROR(__xludf.DUMMYFUNCTION("""COMPUTED_VALUE"""),"Deep Blue Metallic")</f>
        <v>Deep Blue Metallic</v>
      </c>
      <c r="P3237" s="178" t="str">
        <f>IFERROR(__xludf.DUMMYFUNCTION("""COMPUTED_VALUE"""),"18 inch Aero")</f>
        <v>18 inch Aero</v>
      </c>
      <c r="Q3237" s="177" t="str">
        <f>IFERROR(__xludf.DUMMYFUNCTION("""COMPUTED_VALUE"""),"Black seats")</f>
        <v>Black seats</v>
      </c>
      <c r="R3237" s="170" t="str">
        <f>IFERROR(__xludf.DUMMYFUNCTION("""COMPUTED_VALUE"""),"None")</f>
        <v>None</v>
      </c>
      <c r="S3237" s="170"/>
      <c r="T3237" s="179"/>
      <c r="U3237" s="179"/>
      <c r="V3237" s="179"/>
      <c r="W3237" s="180"/>
      <c r="X3237" s="181" t="str">
        <f>IFERROR(__xludf.DUMMYFUNCTION("""COMPUTED_VALUE"""),"Excellent")</f>
        <v>Excellent</v>
      </c>
      <c r="Y3237" s="182" t="str">
        <f>IFERROR(__xludf.DUMMYFUNCTION("""COMPUTED_VALUE"""),"Excellent")</f>
        <v>Excellent</v>
      </c>
      <c r="Z3237" s="182" t="str">
        <f>IFERROR(__xludf.DUMMYFUNCTION("""COMPUTED_VALUE"""),"Excellent")</f>
        <v>Excellent</v>
      </c>
      <c r="AA3237" s="182" t="str">
        <f>IFERROR(__xludf.DUMMYFUNCTION("""COMPUTED_VALUE"""),"Poor")</f>
        <v>Poor</v>
      </c>
      <c r="AB3237" s="182" t="str">
        <f>IFERROR(__xludf.DUMMYFUNCTION("""COMPUTED_VALUE"""),"Good")</f>
        <v>Good</v>
      </c>
      <c r="AC3237" s="183">
        <f>IFERROR(__xludf.DUMMYFUNCTION("""COMPUTED_VALUE"""),0.0)</f>
        <v>0</v>
      </c>
      <c r="AD3237" s="183">
        <f>IFERROR(__xludf.DUMMYFUNCTION("""COMPUTED_VALUE"""),0.0)</f>
        <v>0</v>
      </c>
      <c r="AE3237" s="183">
        <f>IFERROR(__xludf.DUMMYFUNCTION("""COMPUTED_VALUE"""),0.0)</f>
        <v>0</v>
      </c>
      <c r="AF3237" s="184"/>
      <c r="AG3237" s="180"/>
      <c r="AH3237" s="185">
        <f>IFERROR(__xludf.DUMMYFUNCTION("""COMPUTED_VALUE"""),43453.18613327547)</f>
        <v>43453.18613</v>
      </c>
      <c r="AI3237" s="182"/>
      <c r="AJ3237" s="182"/>
      <c r="AK3237" s="182"/>
      <c r="AL3237" s="182"/>
    </row>
    <row r="3238" ht="20.25" customHeight="1">
      <c r="A3238" s="169" t="str">
        <f>IFERROR(__xludf.DUMMYFUNCTION("""COMPUTED_VALUE"""),"undergrove")</f>
        <v>undergrove</v>
      </c>
      <c r="B3238" s="170" t="str">
        <f>IFERROR(__xludf.DUMMYFUNCTION("""COMPUTED_VALUE"""),"Fillmore")</f>
        <v>Fillmore</v>
      </c>
      <c r="C3238" s="170" t="str">
        <f>IFERROR(__xludf.DUMMYFUNCTION("""COMPUTED_VALUE"""),"CA")</f>
        <v>CA</v>
      </c>
      <c r="D3238" s="170" t="str">
        <f>IFERROR(__xludf.DUMMYFUNCTION("""COMPUTED_VALUE"""),"USA")</f>
        <v>USA</v>
      </c>
      <c r="E3238" s="171">
        <f>IFERROR(__xludf.DUMMYFUNCTION("""COMPUTED_VALUE"""),43278.0)</f>
        <v>43278</v>
      </c>
      <c r="F3238" s="172">
        <f>IFERROR(__xludf.DUMMYFUNCTION("""COMPUTED_VALUE"""),43343.0)</f>
        <v>43343</v>
      </c>
      <c r="G3238" s="173"/>
      <c r="H3238" s="174">
        <f>IFERROR(__xludf.DUMMYFUNCTION("""COMPUTED_VALUE"""),69655.0)</f>
        <v>69655</v>
      </c>
      <c r="I3238" s="175" t="str">
        <f>IFERROR(__xludf.DUMMYFUNCTION("""COMPUTED_VALUE"""),"08/18")</f>
        <v>08/18</v>
      </c>
      <c r="J3238" s="172">
        <f>IFERROR(__xludf.DUMMYFUNCTION("""COMPUTED_VALUE"""),43350.0)</f>
        <v>43350</v>
      </c>
      <c r="K3238" s="176">
        <f>IFERROR(__xludf.DUMMYFUNCTION("""COMPUTED_VALUE"""),65.0)</f>
        <v>65</v>
      </c>
      <c r="L3238" s="176">
        <f>IFERROR(__xludf.DUMMYFUNCTION("""COMPUTED_VALUE"""),7.0)</f>
        <v>7</v>
      </c>
      <c r="M3238" s="176">
        <f>IFERROR(__xludf.DUMMYFUNCTION("""COMPUTED_VALUE"""),72.0)</f>
        <v>72</v>
      </c>
      <c r="N3238" s="177" t="str">
        <f>IFERROR(__xludf.DUMMYFUNCTION("""COMPUTED_VALUE"""),"Model 3 LR AWD")</f>
        <v>Model 3 LR AWD</v>
      </c>
      <c r="O3238" s="177" t="str">
        <f>IFERROR(__xludf.DUMMYFUNCTION("""COMPUTED_VALUE"""),"Red Multi-Coat")</f>
        <v>Red Multi-Coat</v>
      </c>
      <c r="P3238" s="178" t="str">
        <f>IFERROR(__xludf.DUMMYFUNCTION("""COMPUTED_VALUE"""),"18 inch Aero")</f>
        <v>18 inch Aero</v>
      </c>
      <c r="Q3238" s="177" t="str">
        <f>IFERROR(__xludf.DUMMYFUNCTION("""COMPUTED_VALUE"""),"Black seats")</f>
        <v>Black seats</v>
      </c>
      <c r="R3238" s="170" t="str">
        <f>IFERROR(__xludf.DUMMYFUNCTION("""COMPUTED_VALUE"""),"Full Self-Driving")</f>
        <v>Full Self-Driving</v>
      </c>
      <c r="S3238" s="170"/>
      <c r="T3238" s="179"/>
      <c r="U3238" s="179"/>
      <c r="V3238" s="179"/>
      <c r="W3238" s="180"/>
      <c r="X3238" s="181" t="str">
        <f>IFERROR(__xludf.DUMMYFUNCTION("""COMPUTED_VALUE"""),"Excellent")</f>
        <v>Excellent</v>
      </c>
      <c r="Y3238" s="182" t="str">
        <f>IFERROR(__xludf.DUMMYFUNCTION("""COMPUTED_VALUE"""),"Excellent")</f>
        <v>Excellent</v>
      </c>
      <c r="Z3238" s="182" t="str">
        <f>IFERROR(__xludf.DUMMYFUNCTION("""COMPUTED_VALUE"""),"Excellent")</f>
        <v>Excellent</v>
      </c>
      <c r="AA3238" s="182" t="str">
        <f>IFERROR(__xludf.DUMMYFUNCTION("""COMPUTED_VALUE"""),"Excellent")</f>
        <v>Excellent</v>
      </c>
      <c r="AB3238" s="182" t="str">
        <f>IFERROR(__xludf.DUMMYFUNCTION("""COMPUTED_VALUE"""),"Excellent")</f>
        <v>Excellent</v>
      </c>
      <c r="AC3238" s="183">
        <f>IFERROR(__xludf.DUMMYFUNCTION("""COMPUTED_VALUE"""),0.0)</f>
        <v>0</v>
      </c>
      <c r="AD3238" s="183">
        <f>IFERROR(__xludf.DUMMYFUNCTION("""COMPUTED_VALUE"""),0.0)</f>
        <v>0</v>
      </c>
      <c r="AE3238" s="183"/>
      <c r="AF3238" s="184"/>
      <c r="AG3238" s="180"/>
      <c r="AH3238" s="185">
        <f>IFERROR(__xludf.DUMMYFUNCTION("""COMPUTED_VALUE"""),43406.601694247685)</f>
        <v>43406.60169</v>
      </c>
      <c r="AI3238" s="182"/>
      <c r="AJ3238" s="182"/>
      <c r="AK3238" s="182"/>
      <c r="AL3238" s="182"/>
    </row>
    <row r="3239" ht="20.25" customHeight="1">
      <c r="A3239" s="169" t="str">
        <f>IFERROR(__xludf.DUMMYFUNCTION("""COMPUTED_VALUE"""),"Valiryon")</f>
        <v>Valiryon</v>
      </c>
      <c r="B3239" s="170" t="str">
        <f>IFERROR(__xludf.DUMMYFUNCTION("""COMPUTED_VALUE"""),"Costa Mesa")</f>
        <v>Costa Mesa</v>
      </c>
      <c r="C3239" s="170" t="str">
        <f>IFERROR(__xludf.DUMMYFUNCTION("""COMPUTED_VALUE"""),"CA")</f>
        <v>CA</v>
      </c>
      <c r="D3239" s="170" t="str">
        <f>IFERROR(__xludf.DUMMYFUNCTION("""COMPUTED_VALUE"""),"USA")</f>
        <v>USA</v>
      </c>
      <c r="E3239" s="171">
        <f>IFERROR(__xludf.DUMMYFUNCTION("""COMPUTED_VALUE"""),43278.0)</f>
        <v>43278</v>
      </c>
      <c r="F3239" s="172">
        <f>IFERROR(__xludf.DUMMYFUNCTION("""COMPUTED_VALUE"""),43356.0)</f>
        <v>43356</v>
      </c>
      <c r="G3239" s="173"/>
      <c r="H3239" s="174">
        <f>IFERROR(__xludf.DUMMYFUNCTION("""COMPUTED_VALUE"""),83455.0)</f>
        <v>83455</v>
      </c>
      <c r="I3239" s="175" t="str">
        <f>IFERROR(__xludf.DUMMYFUNCTION("""COMPUTED_VALUE"""),"09/18")</f>
        <v>09/18</v>
      </c>
      <c r="J3239" s="172">
        <f>IFERROR(__xludf.DUMMYFUNCTION("""COMPUTED_VALUE"""),43358.0)</f>
        <v>43358</v>
      </c>
      <c r="K3239" s="176">
        <f>IFERROR(__xludf.DUMMYFUNCTION("""COMPUTED_VALUE"""),78.0)</f>
        <v>78</v>
      </c>
      <c r="L3239" s="176">
        <f>IFERROR(__xludf.DUMMYFUNCTION("""COMPUTED_VALUE"""),2.0)</f>
        <v>2</v>
      </c>
      <c r="M3239" s="176">
        <f>IFERROR(__xludf.DUMMYFUNCTION("""COMPUTED_VALUE"""),80.0)</f>
        <v>80</v>
      </c>
      <c r="N3239" s="177" t="str">
        <f>IFERROR(__xludf.DUMMYFUNCTION("""COMPUTED_VALUE"""),"Model 3 Performance")</f>
        <v>Model 3 Performance</v>
      </c>
      <c r="O3239" s="177" t="str">
        <f>IFERROR(__xludf.DUMMYFUNCTION("""COMPUTED_VALUE"""),"Silver Metallic")</f>
        <v>Silver Metallic</v>
      </c>
      <c r="P3239" s="178" t="str">
        <f>IFERROR(__xludf.DUMMYFUNCTION("""COMPUTED_VALUE"""),"20 inch Sport")</f>
        <v>20 inch Sport</v>
      </c>
      <c r="Q3239" s="177" t="str">
        <f>IFERROR(__xludf.DUMMYFUNCTION("""COMPUTED_VALUE"""),"Black seats")</f>
        <v>Black seats</v>
      </c>
      <c r="R3239" s="170" t="str">
        <f>IFERROR(__xludf.DUMMYFUNCTION("""COMPUTED_VALUE"""),"Full Self-Driving")</f>
        <v>Full Self-Driving</v>
      </c>
      <c r="S3239" s="170"/>
      <c r="T3239" s="179"/>
      <c r="U3239" s="179"/>
      <c r="V3239" s="179"/>
      <c r="W3239" s="180"/>
      <c r="X3239" s="181" t="str">
        <f>IFERROR(__xludf.DUMMYFUNCTION("""COMPUTED_VALUE"""),"Very Good")</f>
        <v>Very Good</v>
      </c>
      <c r="Y3239" s="182" t="str">
        <f>IFERROR(__xludf.DUMMYFUNCTION("""COMPUTED_VALUE"""),"Very Good")</f>
        <v>Very Good</v>
      </c>
      <c r="Z3239" s="182" t="str">
        <f>IFERROR(__xludf.DUMMYFUNCTION("""COMPUTED_VALUE"""),"Excellent")</f>
        <v>Excellent</v>
      </c>
      <c r="AA3239" s="182" t="str">
        <f>IFERROR(__xludf.DUMMYFUNCTION("""COMPUTED_VALUE"""),"Excellent")</f>
        <v>Excellent</v>
      </c>
      <c r="AB3239" s="182" t="str">
        <f>IFERROR(__xludf.DUMMYFUNCTION("""COMPUTED_VALUE"""),"Excellent")</f>
        <v>Excellent</v>
      </c>
      <c r="AC3239" s="183"/>
      <c r="AD3239" s="183"/>
      <c r="AE3239" s="183"/>
      <c r="AF3239" s="184"/>
      <c r="AG3239" s="180"/>
      <c r="AH3239" s="185">
        <f>IFERROR(__xludf.DUMMYFUNCTION("""COMPUTED_VALUE"""),43362.90885501158)</f>
        <v>43362.90886</v>
      </c>
      <c r="AI3239" s="182"/>
      <c r="AJ3239" s="182"/>
      <c r="AK3239" s="182"/>
      <c r="AL3239" s="182"/>
    </row>
    <row r="3240" ht="20.25" customHeight="1">
      <c r="A3240" s="169" t="str">
        <f>IFERROR(__xludf.DUMMYFUNCTION("""COMPUTED_VALUE"""),"Voripteth")</f>
        <v>Voripteth</v>
      </c>
      <c r="B3240" s="170" t="str">
        <f>IFERROR(__xludf.DUMMYFUNCTION("""COMPUTED_VALUE"""),"Chicago ")</f>
        <v>Chicago </v>
      </c>
      <c r="C3240" s="170" t="str">
        <f>IFERROR(__xludf.DUMMYFUNCTION("""COMPUTED_VALUE"""),"IL")</f>
        <v>IL</v>
      </c>
      <c r="D3240" s="170" t="str">
        <f>IFERROR(__xludf.DUMMYFUNCTION("""COMPUTED_VALUE"""),"USA")</f>
        <v>USA</v>
      </c>
      <c r="E3240" s="171">
        <f>IFERROR(__xludf.DUMMYFUNCTION("""COMPUTED_VALUE"""),43278.0)</f>
        <v>43278</v>
      </c>
      <c r="F3240" s="172">
        <f>IFERROR(__xludf.DUMMYFUNCTION("""COMPUTED_VALUE"""),43327.0)</f>
        <v>43327</v>
      </c>
      <c r="G3240" s="173"/>
      <c r="H3240" s="174">
        <f>IFERROR(__xludf.DUMMYFUNCTION("""COMPUTED_VALUE"""),54555.0)</f>
        <v>54555</v>
      </c>
      <c r="I3240" s="175"/>
      <c r="J3240" s="172">
        <f>IFERROR(__xludf.DUMMYFUNCTION("""COMPUTED_VALUE"""),43370.0)</f>
        <v>43370</v>
      </c>
      <c r="K3240" s="176">
        <f>IFERROR(__xludf.DUMMYFUNCTION("""COMPUTED_VALUE"""),49.0)</f>
        <v>49</v>
      </c>
      <c r="L3240" s="176">
        <f>IFERROR(__xludf.DUMMYFUNCTION("""COMPUTED_VALUE"""),43.0)</f>
        <v>43</v>
      </c>
      <c r="M3240" s="176">
        <f>IFERROR(__xludf.DUMMYFUNCTION("""COMPUTED_VALUE"""),92.0)</f>
        <v>92</v>
      </c>
      <c r="N3240" s="177" t="str">
        <f>IFERROR(__xludf.DUMMYFUNCTION("""COMPUTED_VALUE"""),"Model 3 LR AWD")</f>
        <v>Model 3 LR AWD</v>
      </c>
      <c r="O3240" s="177" t="str">
        <f>IFERROR(__xludf.DUMMYFUNCTION("""COMPUTED_VALUE"""),"Red Multi-Coat")</f>
        <v>Red Multi-Coat</v>
      </c>
      <c r="P3240" s="178" t="str">
        <f>IFERROR(__xludf.DUMMYFUNCTION("""COMPUTED_VALUE"""),"18 inch Aero")</f>
        <v>18 inch Aero</v>
      </c>
      <c r="Q3240" s="177" t="str">
        <f>IFERROR(__xludf.DUMMYFUNCTION("""COMPUTED_VALUE"""),"Black seats")</f>
        <v>Black seats</v>
      </c>
      <c r="R3240" s="170" t="str">
        <f>IFERROR(__xludf.DUMMYFUNCTION("""COMPUTED_VALUE"""),"Full Self-Driving")</f>
        <v>Full Self-Driving</v>
      </c>
      <c r="S3240" s="170"/>
      <c r="T3240" s="179"/>
      <c r="U3240" s="179"/>
      <c r="V3240" s="179"/>
      <c r="W3240" s="180"/>
      <c r="X3240" s="181" t="str">
        <f>IFERROR(__xludf.DUMMYFUNCTION("""COMPUTED_VALUE"""),"Very Good")</f>
        <v>Very Good</v>
      </c>
      <c r="Y3240" s="182" t="str">
        <f>IFERROR(__xludf.DUMMYFUNCTION("""COMPUTED_VALUE"""),"Excellent")</f>
        <v>Excellent</v>
      </c>
      <c r="Z3240" s="182" t="str">
        <f>IFERROR(__xludf.DUMMYFUNCTION("""COMPUTED_VALUE"""),"Fair")</f>
        <v>Fair</v>
      </c>
      <c r="AA3240" s="182" t="str">
        <f>IFERROR(__xludf.DUMMYFUNCTION("""COMPUTED_VALUE"""),"Fair")</f>
        <v>Fair</v>
      </c>
      <c r="AB3240" s="182" t="str">
        <f>IFERROR(__xludf.DUMMYFUNCTION("""COMPUTED_VALUE"""),"Good")</f>
        <v>Good</v>
      </c>
      <c r="AC3240" s="183">
        <f>IFERROR(__xludf.DUMMYFUNCTION("""COMPUTED_VALUE"""),2.0)</f>
        <v>2</v>
      </c>
      <c r="AD3240" s="183">
        <f>IFERROR(__xludf.DUMMYFUNCTION("""COMPUTED_VALUE"""),1.0)</f>
        <v>1</v>
      </c>
      <c r="AE3240" s="183">
        <f>IFERROR(__xludf.DUMMYFUNCTION("""COMPUTED_VALUE"""),1.0)</f>
        <v>1</v>
      </c>
      <c r="AF3240" s="184"/>
      <c r="AG3240" s="180" t="str">
        <f>IFERROR(__xludf.DUMMYFUNCTION("""COMPUTED_VALUE"""),"Tesla rescheduled first delivery due to paint chip defect.  At the time I also requested door latch adjustment which was not done.  Tesla lost both the bank and DMW paperwork which I had to later re-sign.")</f>
        <v>Tesla rescheduled first delivery due to paint chip defect.  At the time I also requested door latch adjustment which was not done.  Tesla lost both the bank and DMW paperwork which I had to later re-sign.</v>
      </c>
      <c r="AH3240" s="185">
        <f>IFERROR(__xludf.DUMMYFUNCTION("""COMPUTED_VALUE"""),43412.524259409714)</f>
        <v>43412.52426</v>
      </c>
      <c r="AI3240" s="182"/>
      <c r="AJ3240" s="182"/>
      <c r="AK3240" s="182"/>
      <c r="AL3240" s="182"/>
    </row>
    <row r="3241" ht="20.25" customHeight="1">
      <c r="A3241" s="169" t="str">
        <f>IFERROR(__xludf.DUMMYFUNCTION("""COMPUTED_VALUE"""),"wanche")</f>
        <v>wanche</v>
      </c>
      <c r="B3241" s="170"/>
      <c r="C3241" s="170" t="str">
        <f>IFERROR(__xludf.DUMMYFUNCTION("""COMPUTED_VALUE"""),"ON")</f>
        <v>ON</v>
      </c>
      <c r="D3241" s="170" t="str">
        <f>IFERROR(__xludf.DUMMYFUNCTION("""COMPUTED_VALUE"""),"Canada")</f>
        <v>Canada</v>
      </c>
      <c r="E3241" s="171">
        <f>IFERROR(__xludf.DUMMYFUNCTION("""COMPUTED_VALUE"""),43278.0)</f>
        <v>43278</v>
      </c>
      <c r="F3241" s="172">
        <f>IFERROR(__xludf.DUMMYFUNCTION("""COMPUTED_VALUE"""),43332.0)</f>
        <v>43332</v>
      </c>
      <c r="G3241" s="173"/>
      <c r="H3241" s="174">
        <f>IFERROR(__xludf.DUMMYFUNCTION("""COMPUTED_VALUE"""),107955.0)</f>
        <v>107955</v>
      </c>
      <c r="I3241" s="175" t="str">
        <f>IFERROR(__xludf.DUMMYFUNCTION("""COMPUTED_VALUE"""),"08/18")</f>
        <v>08/18</v>
      </c>
      <c r="J3241" s="172">
        <f>IFERROR(__xludf.DUMMYFUNCTION("""COMPUTED_VALUE"""),43400.0)</f>
        <v>43400</v>
      </c>
      <c r="K3241" s="176">
        <f>IFERROR(__xludf.DUMMYFUNCTION("""COMPUTED_VALUE"""),54.0)</f>
        <v>54</v>
      </c>
      <c r="L3241" s="176">
        <f>IFERROR(__xludf.DUMMYFUNCTION("""COMPUTED_VALUE"""),68.0)</f>
        <v>68</v>
      </c>
      <c r="M3241" s="176">
        <f>IFERROR(__xludf.DUMMYFUNCTION("""COMPUTED_VALUE"""),122.0)</f>
        <v>122</v>
      </c>
      <c r="N3241" s="177" t="str">
        <f>IFERROR(__xludf.DUMMYFUNCTION("""COMPUTED_VALUE"""),"Model 3 LR AWD")</f>
        <v>Model 3 LR AWD</v>
      </c>
      <c r="O3241" s="177" t="str">
        <f>IFERROR(__xludf.DUMMYFUNCTION("""COMPUTED_VALUE"""),"Pearl White Multi-Coat")</f>
        <v>Pearl White Multi-Coat</v>
      </c>
      <c r="P3241" s="178" t="str">
        <f>IFERROR(__xludf.DUMMYFUNCTION("""COMPUTED_VALUE"""),"18 inch Aero")</f>
        <v>18 inch Aero</v>
      </c>
      <c r="Q3241" s="177" t="str">
        <f>IFERROR(__xludf.DUMMYFUNCTION("""COMPUTED_VALUE"""),"White seats")</f>
        <v>White seats</v>
      </c>
      <c r="R3241" s="170" t="str">
        <f>IFERROR(__xludf.DUMMYFUNCTION("""COMPUTED_VALUE"""),"Enhanced Autopilot")</f>
        <v>Enhanced Autopilot</v>
      </c>
      <c r="S3241" s="170"/>
      <c r="T3241" s="179"/>
      <c r="U3241" s="179"/>
      <c r="V3241" s="179"/>
      <c r="W3241" s="180"/>
      <c r="X3241" s="181" t="str">
        <f>IFERROR(__xludf.DUMMYFUNCTION("""COMPUTED_VALUE"""),"Good")</f>
        <v>Good</v>
      </c>
      <c r="Y3241" s="182" t="str">
        <f>IFERROR(__xludf.DUMMYFUNCTION("""COMPUTED_VALUE"""),"Good")</f>
        <v>Good</v>
      </c>
      <c r="Z3241" s="182" t="str">
        <f>IFERROR(__xludf.DUMMYFUNCTION("""COMPUTED_VALUE"""),"Very Good")</f>
        <v>Very Good</v>
      </c>
      <c r="AA3241" s="182" t="str">
        <f>IFERROR(__xludf.DUMMYFUNCTION("""COMPUTED_VALUE"""),"Good")</f>
        <v>Good</v>
      </c>
      <c r="AB3241" s="182" t="str">
        <f>IFERROR(__xludf.DUMMYFUNCTION("""COMPUTED_VALUE"""),"Excellent")</f>
        <v>Excellent</v>
      </c>
      <c r="AC3241" s="183"/>
      <c r="AD3241" s="183"/>
      <c r="AE3241" s="183"/>
      <c r="AF3241" s="184"/>
      <c r="AG3241" s="180"/>
      <c r="AH3241" s="185">
        <f>IFERROR(__xludf.DUMMYFUNCTION("""COMPUTED_VALUE"""),43400.75348303241)</f>
        <v>43400.75348</v>
      </c>
      <c r="AI3241" s="182"/>
      <c r="AJ3241" s="182"/>
      <c r="AK3241" s="182"/>
      <c r="AL3241" s="182"/>
    </row>
    <row r="3242" ht="20.25" customHeight="1">
      <c r="A3242" s="169" t="str">
        <f>IFERROR(__xludf.DUMMYFUNCTION("""COMPUTED_VALUE"""),"WhyBuyGas")</f>
        <v>WhyBuyGas</v>
      </c>
      <c r="B3242" s="170"/>
      <c r="C3242" s="170" t="str">
        <f>IFERROR(__xludf.DUMMYFUNCTION("""COMPUTED_VALUE"""),"FL")</f>
        <v>FL</v>
      </c>
      <c r="D3242" s="170" t="str">
        <f>IFERROR(__xludf.DUMMYFUNCTION("""COMPUTED_VALUE"""),"USA")</f>
        <v>USA</v>
      </c>
      <c r="E3242" s="171">
        <f>IFERROR(__xludf.DUMMYFUNCTION("""COMPUTED_VALUE"""),43278.0)</f>
        <v>43278</v>
      </c>
      <c r="F3242" s="172">
        <f>IFERROR(__xludf.DUMMYFUNCTION("""COMPUTED_VALUE"""),43281.0)</f>
        <v>43281</v>
      </c>
      <c r="G3242" s="173"/>
      <c r="H3242" s="174">
        <f>IFERROR(__xludf.DUMMYFUNCTION("""COMPUTED_VALUE"""),30855.0)</f>
        <v>30855</v>
      </c>
      <c r="I3242" s="175" t="str">
        <f>IFERROR(__xludf.DUMMYFUNCTION("""COMPUTED_VALUE"""),"06/18")</f>
        <v>06/18</v>
      </c>
      <c r="J3242" s="172">
        <f>IFERROR(__xludf.DUMMYFUNCTION("""COMPUTED_VALUE"""),43293.0)</f>
        <v>43293</v>
      </c>
      <c r="K3242" s="176">
        <f>IFERROR(__xludf.DUMMYFUNCTION("""COMPUTED_VALUE"""),3.0)</f>
        <v>3</v>
      </c>
      <c r="L3242" s="176">
        <f>IFERROR(__xludf.DUMMYFUNCTION("""COMPUTED_VALUE"""),12.0)</f>
        <v>12</v>
      </c>
      <c r="M3242" s="176">
        <f>IFERROR(__xludf.DUMMYFUNCTION("""COMPUTED_VALUE"""),15.0)</f>
        <v>15</v>
      </c>
      <c r="N3242" s="177" t="str">
        <f>IFERROR(__xludf.DUMMYFUNCTION("""COMPUTED_VALUE"""),"Model 3 LR")</f>
        <v>Model 3 LR</v>
      </c>
      <c r="O3242" s="177" t="str">
        <f>IFERROR(__xludf.DUMMYFUNCTION("""COMPUTED_VALUE"""),"Deep Blue Metallic")</f>
        <v>Deep Blue Metallic</v>
      </c>
      <c r="P3242" s="178" t="str">
        <f>IFERROR(__xludf.DUMMYFUNCTION("""COMPUTED_VALUE"""),"18 inch Aero")</f>
        <v>18 inch Aero</v>
      </c>
      <c r="Q3242" s="177" t="str">
        <f>IFERROR(__xludf.DUMMYFUNCTION("""COMPUTED_VALUE"""),"Black seats")</f>
        <v>Black seats</v>
      </c>
      <c r="R3242" s="170" t="str">
        <f>IFERROR(__xludf.DUMMYFUNCTION("""COMPUTED_VALUE"""),"Enhanced Autopilot")</f>
        <v>Enhanced Autopilot</v>
      </c>
      <c r="S3242" s="170"/>
      <c r="T3242" s="179"/>
      <c r="U3242" s="179"/>
      <c r="V3242" s="179"/>
      <c r="W3242" s="180"/>
      <c r="X3242" s="181" t="str">
        <f>IFERROR(__xludf.DUMMYFUNCTION("""COMPUTED_VALUE"""),"Excellent")</f>
        <v>Excellent</v>
      </c>
      <c r="Y3242" s="182" t="str">
        <f>IFERROR(__xludf.DUMMYFUNCTION("""COMPUTED_VALUE"""),"Excellent")</f>
        <v>Excellent</v>
      </c>
      <c r="Z3242" s="182" t="str">
        <f>IFERROR(__xludf.DUMMYFUNCTION("""COMPUTED_VALUE"""),"Excellent")</f>
        <v>Excellent</v>
      </c>
      <c r="AA3242" s="182" t="str">
        <f>IFERROR(__xludf.DUMMYFUNCTION("""COMPUTED_VALUE"""),"Very Good")</f>
        <v>Very Good</v>
      </c>
      <c r="AB3242" s="182" t="str">
        <f>IFERROR(__xludf.DUMMYFUNCTION("""COMPUTED_VALUE"""),"Very Good")</f>
        <v>Very Good</v>
      </c>
      <c r="AC3242" s="183">
        <f>IFERROR(__xludf.DUMMYFUNCTION("""COMPUTED_VALUE"""),3.0)</f>
        <v>3</v>
      </c>
      <c r="AD3242" s="183">
        <f>IFERROR(__xludf.DUMMYFUNCTION("""COMPUTED_VALUE"""),2.0)</f>
        <v>2</v>
      </c>
      <c r="AE3242" s="183">
        <f>IFERROR(__xludf.DUMMYFUNCTION("""COMPUTED_VALUE"""),4.0)</f>
        <v>4</v>
      </c>
      <c r="AF3242" s="184"/>
      <c r="AG3242" s="180"/>
      <c r="AH3242" s="185">
        <f>IFERROR(__xludf.DUMMYFUNCTION("""COMPUTED_VALUE"""),43330.34554980324)</f>
        <v>43330.34555</v>
      </c>
      <c r="AI3242" s="182"/>
      <c r="AJ3242" s="182"/>
      <c r="AK3242" s="182"/>
      <c r="AL3242" s="182"/>
    </row>
    <row r="3243" ht="20.25" customHeight="1">
      <c r="A3243" s="169" t="str">
        <f>IFERROR(__xludf.DUMMYFUNCTION("""COMPUTED_VALUE"""),"wjming")</f>
        <v>wjming</v>
      </c>
      <c r="B3243" s="170"/>
      <c r="C3243" s="170" t="str">
        <f>IFERROR(__xludf.DUMMYFUNCTION("""COMPUTED_VALUE"""),"CA")</f>
        <v>CA</v>
      </c>
      <c r="D3243" s="170" t="str">
        <f>IFERROR(__xludf.DUMMYFUNCTION("""COMPUTED_VALUE"""),"USA")</f>
        <v>USA</v>
      </c>
      <c r="E3243" s="171">
        <f>IFERROR(__xludf.DUMMYFUNCTION("""COMPUTED_VALUE"""),43278.0)</f>
        <v>43278</v>
      </c>
      <c r="F3243" s="172">
        <f>IFERROR(__xludf.DUMMYFUNCTION("""COMPUTED_VALUE"""),43294.0)</f>
        <v>43294</v>
      </c>
      <c r="G3243" s="173"/>
      <c r="H3243" s="174">
        <f>IFERROR(__xludf.DUMMYFUNCTION("""COMPUTED_VALUE"""),41455.0)</f>
        <v>41455</v>
      </c>
      <c r="I3243" s="175"/>
      <c r="J3243" s="172">
        <f>IFERROR(__xludf.DUMMYFUNCTION("""COMPUTED_VALUE"""),43301.0)</f>
        <v>43301</v>
      </c>
      <c r="K3243" s="176">
        <f>IFERROR(__xludf.DUMMYFUNCTION("""COMPUTED_VALUE"""),16.0)</f>
        <v>16</v>
      </c>
      <c r="L3243" s="176">
        <f>IFERROR(__xludf.DUMMYFUNCTION("""COMPUTED_VALUE"""),7.0)</f>
        <v>7</v>
      </c>
      <c r="M3243" s="176">
        <f>IFERROR(__xludf.DUMMYFUNCTION("""COMPUTED_VALUE"""),23.0)</f>
        <v>23</v>
      </c>
      <c r="N3243" s="177" t="str">
        <f>IFERROR(__xludf.DUMMYFUNCTION("""COMPUTED_VALUE"""),"Model 3 LR")</f>
        <v>Model 3 LR</v>
      </c>
      <c r="O3243" s="177" t="str">
        <f>IFERROR(__xludf.DUMMYFUNCTION("""COMPUTED_VALUE"""),"Solid Black")</f>
        <v>Solid Black</v>
      </c>
      <c r="P3243" s="178" t="str">
        <f>IFERROR(__xludf.DUMMYFUNCTION("""COMPUTED_VALUE"""),"18 inch Aero")</f>
        <v>18 inch Aero</v>
      </c>
      <c r="Q3243" s="177" t="str">
        <f>IFERROR(__xludf.DUMMYFUNCTION("""COMPUTED_VALUE"""),"Black seats")</f>
        <v>Black seats</v>
      </c>
      <c r="R3243" s="170" t="str">
        <f>IFERROR(__xludf.DUMMYFUNCTION("""COMPUTED_VALUE"""),"None")</f>
        <v>None</v>
      </c>
      <c r="S3243" s="170"/>
      <c r="T3243" s="179"/>
      <c r="U3243" s="179"/>
      <c r="V3243" s="179"/>
      <c r="W3243" s="180"/>
      <c r="X3243" s="181" t="str">
        <f>IFERROR(__xludf.DUMMYFUNCTION("""COMPUTED_VALUE"""),"Very Good")</f>
        <v>Very Good</v>
      </c>
      <c r="Y3243" s="182" t="str">
        <f>IFERROR(__xludf.DUMMYFUNCTION("""COMPUTED_VALUE"""),"Very Good")</f>
        <v>Very Good</v>
      </c>
      <c r="Z3243" s="182" t="str">
        <f>IFERROR(__xludf.DUMMYFUNCTION("""COMPUTED_VALUE"""),"Good")</f>
        <v>Good</v>
      </c>
      <c r="AA3243" s="182" t="str">
        <f>IFERROR(__xludf.DUMMYFUNCTION("""COMPUTED_VALUE"""),"Very Good")</f>
        <v>Very Good</v>
      </c>
      <c r="AB3243" s="182" t="str">
        <f>IFERROR(__xludf.DUMMYFUNCTION("""COMPUTED_VALUE"""),"Very Good")</f>
        <v>Very Good</v>
      </c>
      <c r="AC3243" s="183"/>
      <c r="AD3243" s="183"/>
      <c r="AE3243" s="183"/>
      <c r="AF3243" s="184"/>
      <c r="AG3243" s="180"/>
      <c r="AH3243" s="185">
        <f>IFERROR(__xludf.DUMMYFUNCTION("""COMPUTED_VALUE"""),43307.48944537037)</f>
        <v>43307.48945</v>
      </c>
      <c r="AI3243" s="182"/>
      <c r="AJ3243" s="182"/>
      <c r="AK3243" s="182"/>
      <c r="AL3243" s="182"/>
    </row>
    <row r="3244" ht="20.25" customHeight="1">
      <c r="A3244" s="169" t="str">
        <f>IFERROR(__xludf.DUMMYFUNCTION("""COMPUTED_VALUE"""),"WormtownKris")</f>
        <v>WormtownKris</v>
      </c>
      <c r="B3244" s="170" t="str">
        <f>IFERROR(__xludf.DUMMYFUNCTION("""COMPUTED_VALUE"""),"Metro Worcester")</f>
        <v>Metro Worcester</v>
      </c>
      <c r="C3244" s="170" t="str">
        <f>IFERROR(__xludf.DUMMYFUNCTION("""COMPUTED_VALUE"""),"MA")</f>
        <v>MA</v>
      </c>
      <c r="D3244" s="170" t="str">
        <f>IFERROR(__xludf.DUMMYFUNCTION("""COMPUTED_VALUE"""),"USA")</f>
        <v>USA</v>
      </c>
      <c r="E3244" s="171">
        <f>IFERROR(__xludf.DUMMYFUNCTION("""COMPUTED_VALUE"""),43278.0)</f>
        <v>43278</v>
      </c>
      <c r="F3244" s="172">
        <f>IFERROR(__xludf.DUMMYFUNCTION("""COMPUTED_VALUE"""),43319.0)</f>
        <v>43319</v>
      </c>
      <c r="G3244" s="173"/>
      <c r="H3244" s="174">
        <f>IFERROR(__xludf.DUMMYFUNCTION("""COMPUTED_VALUE"""),70155.0)</f>
        <v>70155</v>
      </c>
      <c r="I3244" s="175" t="str">
        <f>IFERROR(__xludf.DUMMYFUNCTION("""COMPUTED_VALUE"""),"08/18")</f>
        <v>08/18</v>
      </c>
      <c r="J3244" s="172">
        <f>IFERROR(__xludf.DUMMYFUNCTION("""COMPUTED_VALUE"""),43343.0)</f>
        <v>43343</v>
      </c>
      <c r="K3244" s="176">
        <f>IFERROR(__xludf.DUMMYFUNCTION("""COMPUTED_VALUE"""),41.0)</f>
        <v>41</v>
      </c>
      <c r="L3244" s="176">
        <f>IFERROR(__xludf.DUMMYFUNCTION("""COMPUTED_VALUE"""),24.0)</f>
        <v>24</v>
      </c>
      <c r="M3244" s="176">
        <f>IFERROR(__xludf.DUMMYFUNCTION("""COMPUTED_VALUE"""),65.0)</f>
        <v>65</v>
      </c>
      <c r="N3244" s="177" t="str">
        <f>IFERROR(__xludf.DUMMYFUNCTION("""COMPUTED_VALUE"""),"Model 3 LR")</f>
        <v>Model 3 LR</v>
      </c>
      <c r="O3244" s="177" t="str">
        <f>IFERROR(__xludf.DUMMYFUNCTION("""COMPUTED_VALUE"""),"Obsidian Black Metallic")</f>
        <v>Obsidian Black Metallic</v>
      </c>
      <c r="P3244" s="178" t="str">
        <f>IFERROR(__xludf.DUMMYFUNCTION("""COMPUTED_VALUE"""),"18 inch Aero")</f>
        <v>18 inch Aero</v>
      </c>
      <c r="Q3244" s="177" t="str">
        <f>IFERROR(__xludf.DUMMYFUNCTION("""COMPUTED_VALUE"""),"Black seats")</f>
        <v>Black seats</v>
      </c>
      <c r="R3244" s="170" t="str">
        <f>IFERROR(__xludf.DUMMYFUNCTION("""COMPUTED_VALUE"""),"Enhanced Autopilot")</f>
        <v>Enhanced Autopilot</v>
      </c>
      <c r="S3244" s="170"/>
      <c r="T3244" s="179"/>
      <c r="U3244" s="179"/>
      <c r="V3244" s="179"/>
      <c r="W3244" s="180"/>
      <c r="X3244" s="181" t="str">
        <f>IFERROR(__xludf.DUMMYFUNCTION("""COMPUTED_VALUE"""),"Excellent")</f>
        <v>Excellent</v>
      </c>
      <c r="Y3244" s="182" t="str">
        <f>IFERROR(__xludf.DUMMYFUNCTION("""COMPUTED_VALUE"""),"Excellent")</f>
        <v>Excellent</v>
      </c>
      <c r="Z3244" s="182" t="str">
        <f>IFERROR(__xludf.DUMMYFUNCTION("""COMPUTED_VALUE"""),"Excellent")</f>
        <v>Excellent</v>
      </c>
      <c r="AA3244" s="182" t="str">
        <f>IFERROR(__xludf.DUMMYFUNCTION("""COMPUTED_VALUE"""),"Very Good")</f>
        <v>Very Good</v>
      </c>
      <c r="AB3244" s="182" t="str">
        <f>IFERROR(__xludf.DUMMYFUNCTION("""COMPUTED_VALUE"""),"Excellent")</f>
        <v>Excellent</v>
      </c>
      <c r="AC3244" s="183">
        <f>IFERROR(__xludf.DUMMYFUNCTION("""COMPUTED_VALUE"""),0.0)</f>
        <v>0</v>
      </c>
      <c r="AD3244" s="183">
        <f>IFERROR(__xludf.DUMMYFUNCTION("""COMPUTED_VALUE"""),0.0)</f>
        <v>0</v>
      </c>
      <c r="AE3244" s="183">
        <f>IFERROR(__xludf.DUMMYFUNCTION("""COMPUTED_VALUE"""),0.0)</f>
        <v>0</v>
      </c>
      <c r="AF3244" s="184"/>
      <c r="AG3244" s="180" t="str">
        <f>IFERROR(__xludf.DUMMYFUNCTION("""COMPUTED_VALUE"""),"Delivery in Dedham, MA was phenominal!")</f>
        <v>Delivery in Dedham, MA was phenominal!</v>
      </c>
      <c r="AH3244" s="185">
        <f>IFERROR(__xludf.DUMMYFUNCTION("""COMPUTED_VALUE"""),43348.78053506945)</f>
        <v>43348.78054</v>
      </c>
      <c r="AI3244" s="182"/>
      <c r="AJ3244" s="182"/>
      <c r="AK3244" s="182"/>
      <c r="AL3244" s="182"/>
    </row>
    <row r="3245" ht="20.25" customHeight="1">
      <c r="A3245" s="169" t="str">
        <f>IFERROR(__xludf.DUMMYFUNCTION("""COMPUTED_VALUE"""),"xadn")</f>
        <v>xadn</v>
      </c>
      <c r="B3245" s="170" t="str">
        <f>IFERROR(__xludf.DUMMYFUNCTION("""COMPUTED_VALUE"""),"San Mateo")</f>
        <v>San Mateo</v>
      </c>
      <c r="C3245" s="170" t="str">
        <f>IFERROR(__xludf.DUMMYFUNCTION("""COMPUTED_VALUE"""),"CA")</f>
        <v>CA</v>
      </c>
      <c r="D3245" s="170" t="str">
        <f>IFERROR(__xludf.DUMMYFUNCTION("""COMPUTED_VALUE"""),"USA")</f>
        <v>USA</v>
      </c>
      <c r="E3245" s="171">
        <f>IFERROR(__xludf.DUMMYFUNCTION("""COMPUTED_VALUE"""),43278.0)</f>
        <v>43278</v>
      </c>
      <c r="F3245" s="172">
        <f>IFERROR(__xludf.DUMMYFUNCTION("""COMPUTED_VALUE"""),43362.0)</f>
        <v>43362</v>
      </c>
      <c r="G3245" s="173"/>
      <c r="H3245" s="174">
        <f>IFERROR(__xludf.DUMMYFUNCTION("""COMPUTED_VALUE"""),91355.0)</f>
        <v>91355</v>
      </c>
      <c r="I3245" s="175" t="str">
        <f>IFERROR(__xludf.DUMMYFUNCTION("""COMPUTED_VALUE"""),"09/18")</f>
        <v>09/18</v>
      </c>
      <c r="J3245" s="172">
        <f>IFERROR(__xludf.DUMMYFUNCTION("""COMPUTED_VALUE"""),43367.0)</f>
        <v>43367</v>
      </c>
      <c r="K3245" s="176">
        <f>IFERROR(__xludf.DUMMYFUNCTION("""COMPUTED_VALUE"""),84.0)</f>
        <v>84</v>
      </c>
      <c r="L3245" s="176">
        <f>IFERROR(__xludf.DUMMYFUNCTION("""COMPUTED_VALUE"""),5.0)</f>
        <v>5</v>
      </c>
      <c r="M3245" s="176">
        <f>IFERROR(__xludf.DUMMYFUNCTION("""COMPUTED_VALUE"""),89.0)</f>
        <v>89</v>
      </c>
      <c r="N3245" s="177" t="str">
        <f>IFERROR(__xludf.DUMMYFUNCTION("""COMPUTED_VALUE"""),"Model 3 LR AWD")</f>
        <v>Model 3 LR AWD</v>
      </c>
      <c r="O3245" s="177" t="str">
        <f>IFERROR(__xludf.DUMMYFUNCTION("""COMPUTED_VALUE"""),"Red Multi-Coat")</f>
        <v>Red Multi-Coat</v>
      </c>
      <c r="P3245" s="178" t="str">
        <f>IFERROR(__xludf.DUMMYFUNCTION("""COMPUTED_VALUE"""),"19 inch Sport")</f>
        <v>19 inch Sport</v>
      </c>
      <c r="Q3245" s="177" t="str">
        <f>IFERROR(__xludf.DUMMYFUNCTION("""COMPUTED_VALUE"""),"Black seats")</f>
        <v>Black seats</v>
      </c>
      <c r="R3245" s="170" t="str">
        <f>IFERROR(__xludf.DUMMYFUNCTION("""COMPUTED_VALUE"""),"Enhanced Autopilot")</f>
        <v>Enhanced Autopilot</v>
      </c>
      <c r="S3245" s="170"/>
      <c r="T3245" s="179"/>
      <c r="U3245" s="179"/>
      <c r="V3245" s="179"/>
      <c r="W3245" s="180"/>
      <c r="X3245" s="181" t="str">
        <f>IFERROR(__xludf.DUMMYFUNCTION("""COMPUTED_VALUE"""),"Excellent")</f>
        <v>Excellent</v>
      </c>
      <c r="Y3245" s="182" t="str">
        <f>IFERROR(__xludf.DUMMYFUNCTION("""COMPUTED_VALUE"""),"Excellent")</f>
        <v>Excellent</v>
      </c>
      <c r="Z3245" s="182" t="str">
        <f>IFERROR(__xludf.DUMMYFUNCTION("""COMPUTED_VALUE"""),"Excellent")</f>
        <v>Excellent</v>
      </c>
      <c r="AA3245" s="182" t="str">
        <f>IFERROR(__xludf.DUMMYFUNCTION("""COMPUTED_VALUE"""),"Fair")</f>
        <v>Fair</v>
      </c>
      <c r="AB3245" s="182" t="str">
        <f>IFERROR(__xludf.DUMMYFUNCTION("""COMPUTED_VALUE"""),"Good")</f>
        <v>Good</v>
      </c>
      <c r="AC3245" s="183">
        <f>IFERROR(__xludf.DUMMYFUNCTION("""COMPUTED_VALUE"""),2.0)</f>
        <v>2</v>
      </c>
      <c r="AD3245" s="183">
        <f>IFERROR(__xludf.DUMMYFUNCTION("""COMPUTED_VALUE"""),1.0)</f>
        <v>1</v>
      </c>
      <c r="AE3245" s="183"/>
      <c r="AF3245" s="184"/>
      <c r="AG3245" s="180" t="str">
        <f>IFERROR(__xludf.DUMMYFUNCTION("""COMPUTED_VALUE"""),"Came in 1 day earlier than expected. Has small issue with turn signal stalk.")</f>
        <v>Came in 1 day earlier than expected. Has small issue with turn signal stalk.</v>
      </c>
      <c r="AH3245" s="185">
        <f>IFERROR(__xludf.DUMMYFUNCTION("""COMPUTED_VALUE"""),43370.27367966435)</f>
        <v>43370.27368</v>
      </c>
      <c r="AI3245" s="182"/>
      <c r="AJ3245" s="182"/>
      <c r="AK3245" s="182"/>
      <c r="AL3245" s="182"/>
    </row>
    <row r="3246" ht="20.25" customHeight="1">
      <c r="A3246" s="169" t="str">
        <f>IFERROR(__xludf.DUMMYFUNCTION("""COMPUTED_VALUE"""),"yakshaving")</f>
        <v>yakshaving</v>
      </c>
      <c r="B3246" s="170" t="str">
        <f>IFERROR(__xludf.DUMMYFUNCTION("""COMPUTED_VALUE"""),"seattle, wa")</f>
        <v>seattle, wa</v>
      </c>
      <c r="C3246" s="170" t="str">
        <f>IFERROR(__xludf.DUMMYFUNCTION("""COMPUTED_VALUE"""),"WA")</f>
        <v>WA</v>
      </c>
      <c r="D3246" s="170" t="str">
        <f>IFERROR(__xludf.DUMMYFUNCTION("""COMPUTED_VALUE"""),"USA")</f>
        <v>USA</v>
      </c>
      <c r="E3246" s="171">
        <f>IFERROR(__xludf.DUMMYFUNCTION("""COMPUTED_VALUE"""),43278.0)</f>
        <v>43278</v>
      </c>
      <c r="F3246" s="172">
        <f>IFERROR(__xludf.DUMMYFUNCTION("""COMPUTED_VALUE"""),43347.0)</f>
        <v>43347</v>
      </c>
      <c r="G3246" s="173"/>
      <c r="H3246" s="174">
        <f>IFERROR(__xludf.DUMMYFUNCTION("""COMPUTED_VALUE"""),88855.0)</f>
        <v>88855</v>
      </c>
      <c r="I3246" s="175"/>
      <c r="J3246" s="172">
        <f>IFERROR(__xludf.DUMMYFUNCTION("""COMPUTED_VALUE"""),43357.0)</f>
        <v>43357</v>
      </c>
      <c r="K3246" s="176">
        <f>IFERROR(__xludf.DUMMYFUNCTION("""COMPUTED_VALUE"""),69.0)</f>
        <v>69</v>
      </c>
      <c r="L3246" s="176">
        <f>IFERROR(__xludf.DUMMYFUNCTION("""COMPUTED_VALUE"""),10.0)</f>
        <v>10</v>
      </c>
      <c r="M3246" s="176">
        <f>IFERROR(__xludf.DUMMYFUNCTION("""COMPUTED_VALUE"""),79.0)</f>
        <v>79</v>
      </c>
      <c r="N3246" s="177" t="str">
        <f>IFERROR(__xludf.DUMMYFUNCTION("""COMPUTED_VALUE"""),"Model 3 LR AWD")</f>
        <v>Model 3 LR AWD</v>
      </c>
      <c r="O3246" s="177" t="str">
        <f>IFERROR(__xludf.DUMMYFUNCTION("""COMPUTED_VALUE"""),"Pearl White Multi-Coat")</f>
        <v>Pearl White Multi-Coat</v>
      </c>
      <c r="P3246" s="178" t="str">
        <f>IFERROR(__xludf.DUMMYFUNCTION("""COMPUTED_VALUE"""),"18 inch Aero")</f>
        <v>18 inch Aero</v>
      </c>
      <c r="Q3246" s="177" t="str">
        <f>IFERROR(__xludf.DUMMYFUNCTION("""COMPUTED_VALUE"""),"Black seats")</f>
        <v>Black seats</v>
      </c>
      <c r="R3246" s="170" t="str">
        <f>IFERROR(__xludf.DUMMYFUNCTION("""COMPUTED_VALUE"""),"Enhanced Autopilot")</f>
        <v>Enhanced Autopilot</v>
      </c>
      <c r="S3246" s="170"/>
      <c r="T3246" s="179"/>
      <c r="U3246" s="179"/>
      <c r="V3246" s="179"/>
      <c r="W3246" s="180"/>
      <c r="X3246" s="181" t="str">
        <f>IFERROR(__xludf.DUMMYFUNCTION("""COMPUTED_VALUE"""),"Good")</f>
        <v>Good</v>
      </c>
      <c r="Y3246" s="182" t="str">
        <f>IFERROR(__xludf.DUMMYFUNCTION("""COMPUTED_VALUE"""),"Excellent")</f>
        <v>Excellent</v>
      </c>
      <c r="Z3246" s="182" t="str">
        <f>IFERROR(__xludf.DUMMYFUNCTION("""COMPUTED_VALUE"""),"Very Good")</f>
        <v>Very Good</v>
      </c>
      <c r="AA3246" s="182" t="str">
        <f>IFERROR(__xludf.DUMMYFUNCTION("""COMPUTED_VALUE"""),"Good")</f>
        <v>Good</v>
      </c>
      <c r="AB3246" s="182" t="str">
        <f>IFERROR(__xludf.DUMMYFUNCTION("""COMPUTED_VALUE"""),"Excellent")</f>
        <v>Excellent</v>
      </c>
      <c r="AC3246" s="183">
        <f>IFERROR(__xludf.DUMMYFUNCTION("""COMPUTED_VALUE"""),3.0)</f>
        <v>3</v>
      </c>
      <c r="AD3246" s="183"/>
      <c r="AE3246" s="183"/>
      <c r="AF3246" s="184"/>
      <c r="AG3246" s="180" t="str">
        <f>IFERROR(__xludf.DUMMYFUNCTION("""COMPUTED_VALUE"""),"Love the car!  Only one rock chip, a few fixable panel gap issues, and some paint stuff with the white bumper but otherwise amazing in every way.")</f>
        <v>Love the car!  Only one rock chip, a few fixable panel gap issues, and some paint stuff with the white bumper but otherwise amazing in every way.</v>
      </c>
      <c r="AH3246" s="185">
        <f>IFERROR(__xludf.DUMMYFUNCTION("""COMPUTED_VALUE"""),43361.59053170138)</f>
        <v>43361.59053</v>
      </c>
      <c r="AI3246" s="182"/>
      <c r="AJ3246" s="182"/>
      <c r="AK3246" s="182"/>
      <c r="AL3246" s="182"/>
    </row>
    <row r="3247" ht="20.25" customHeight="1">
      <c r="A3247" s="169" t="str">
        <f>IFERROR(__xludf.DUMMYFUNCTION("""COMPUTED_VALUE"""),"ynguldyn")</f>
        <v>ynguldyn</v>
      </c>
      <c r="B3247" s="170"/>
      <c r="C3247" s="170" t="str">
        <f>IFERROR(__xludf.DUMMYFUNCTION("""COMPUTED_VALUE"""),"MA")</f>
        <v>MA</v>
      </c>
      <c r="D3247" s="170" t="str">
        <f>IFERROR(__xludf.DUMMYFUNCTION("""COMPUTED_VALUE"""),"USA")</f>
        <v>USA</v>
      </c>
      <c r="E3247" s="171">
        <f>IFERROR(__xludf.DUMMYFUNCTION("""COMPUTED_VALUE"""),43278.0)</f>
        <v>43278</v>
      </c>
      <c r="F3247" s="172">
        <f>IFERROR(__xludf.DUMMYFUNCTION("""COMPUTED_VALUE"""),43314.0)</f>
        <v>43314</v>
      </c>
      <c r="G3247" s="173"/>
      <c r="H3247" s="174">
        <f>IFERROR(__xludf.DUMMYFUNCTION("""COMPUTED_VALUE"""),64385.0)</f>
        <v>64385</v>
      </c>
      <c r="I3247" s="175"/>
      <c r="J3247" s="172">
        <f>IFERROR(__xludf.DUMMYFUNCTION("""COMPUTED_VALUE"""),43330.0)</f>
        <v>43330</v>
      </c>
      <c r="K3247" s="176">
        <f>IFERROR(__xludf.DUMMYFUNCTION("""COMPUTED_VALUE"""),36.0)</f>
        <v>36</v>
      </c>
      <c r="L3247" s="176">
        <f>IFERROR(__xludf.DUMMYFUNCTION("""COMPUTED_VALUE"""),16.0)</f>
        <v>16</v>
      </c>
      <c r="M3247" s="176">
        <f>IFERROR(__xludf.DUMMYFUNCTION("""COMPUTED_VALUE"""),52.0)</f>
        <v>52</v>
      </c>
      <c r="N3247" s="177" t="str">
        <f>IFERROR(__xludf.DUMMYFUNCTION("""COMPUTED_VALUE"""),"Model 3 LR AWD")</f>
        <v>Model 3 LR AWD</v>
      </c>
      <c r="O3247" s="177" t="str">
        <f>IFERROR(__xludf.DUMMYFUNCTION("""COMPUTED_VALUE"""),"Deep Blue Metallic")</f>
        <v>Deep Blue Metallic</v>
      </c>
      <c r="P3247" s="178" t="str">
        <f>IFERROR(__xludf.DUMMYFUNCTION("""COMPUTED_VALUE"""),"18 inch Aero")</f>
        <v>18 inch Aero</v>
      </c>
      <c r="Q3247" s="177" t="str">
        <f>IFERROR(__xludf.DUMMYFUNCTION("""COMPUTED_VALUE"""),"Black seats")</f>
        <v>Black seats</v>
      </c>
      <c r="R3247" s="170" t="str">
        <f>IFERROR(__xludf.DUMMYFUNCTION("""COMPUTED_VALUE"""),"None")</f>
        <v>None</v>
      </c>
      <c r="S3247" s="170"/>
      <c r="T3247" s="179"/>
      <c r="U3247" s="179"/>
      <c r="V3247" s="179"/>
      <c r="W3247" s="180"/>
      <c r="X3247" s="181" t="str">
        <f>IFERROR(__xludf.DUMMYFUNCTION("""COMPUTED_VALUE"""),"Very Good")</f>
        <v>Very Good</v>
      </c>
      <c r="Y3247" s="182" t="str">
        <f>IFERROR(__xludf.DUMMYFUNCTION("""COMPUTED_VALUE"""),"Excellent")</f>
        <v>Excellent</v>
      </c>
      <c r="Z3247" s="182" t="str">
        <f>IFERROR(__xludf.DUMMYFUNCTION("""COMPUTED_VALUE"""),"Very Good")</f>
        <v>Very Good</v>
      </c>
      <c r="AA3247" s="182" t="str">
        <f>IFERROR(__xludf.DUMMYFUNCTION("""COMPUTED_VALUE"""),"Fair")</f>
        <v>Fair</v>
      </c>
      <c r="AB3247" s="182" t="str">
        <f>IFERROR(__xludf.DUMMYFUNCTION("""COMPUTED_VALUE"""),"Excellent")</f>
        <v>Excellent</v>
      </c>
      <c r="AC3247" s="183">
        <f>IFERROR(__xludf.DUMMYFUNCTION("""COMPUTED_VALUE"""),2.0)</f>
        <v>2</v>
      </c>
      <c r="AD3247" s="183"/>
      <c r="AE3247" s="183"/>
      <c r="AF3247" s="184"/>
      <c r="AG3247" s="180"/>
      <c r="AH3247" s="185">
        <f>IFERROR(__xludf.DUMMYFUNCTION("""COMPUTED_VALUE"""),43330.54420800926)</f>
        <v>43330.54421</v>
      </c>
      <c r="AI3247" s="182"/>
      <c r="AJ3247" s="182"/>
      <c r="AK3247" s="182"/>
      <c r="AL3247" s="182"/>
    </row>
    <row r="3248" ht="20.25" customHeight="1">
      <c r="A3248" s="169" t="str">
        <f>IFERROR(__xludf.DUMMYFUNCTION("""COMPUTED_VALUE"""),"Young")</f>
        <v>Young</v>
      </c>
      <c r="B3248" s="170" t="str">
        <f>IFERROR(__xludf.DUMMYFUNCTION("""COMPUTED_VALUE"""),"Palo Alto")</f>
        <v>Palo Alto</v>
      </c>
      <c r="C3248" s="170" t="str">
        <f>IFERROR(__xludf.DUMMYFUNCTION("""COMPUTED_VALUE"""),"CA")</f>
        <v>CA</v>
      </c>
      <c r="D3248" s="170" t="str">
        <f>IFERROR(__xludf.DUMMYFUNCTION("""COMPUTED_VALUE"""),"USA")</f>
        <v>USA</v>
      </c>
      <c r="E3248" s="171">
        <f>IFERROR(__xludf.DUMMYFUNCTION("""COMPUTED_VALUE"""),43278.0)</f>
        <v>43278</v>
      </c>
      <c r="F3248" s="172">
        <f>IFERROR(__xludf.DUMMYFUNCTION("""COMPUTED_VALUE"""),43304.0)</f>
        <v>43304</v>
      </c>
      <c r="G3248" s="173"/>
      <c r="H3248" s="174">
        <f>IFERROR(__xludf.DUMMYFUNCTION("""COMPUTED_VALUE"""),50445.0)</f>
        <v>50445</v>
      </c>
      <c r="I3248" s="175"/>
      <c r="J3248" s="172">
        <f>IFERROR(__xludf.DUMMYFUNCTION("""COMPUTED_VALUE"""),43305.0)</f>
        <v>43305</v>
      </c>
      <c r="K3248" s="176">
        <f>IFERROR(__xludf.DUMMYFUNCTION("""COMPUTED_VALUE"""),26.0)</f>
        <v>26</v>
      </c>
      <c r="L3248" s="176">
        <f>IFERROR(__xludf.DUMMYFUNCTION("""COMPUTED_VALUE"""),1.0)</f>
        <v>1</v>
      </c>
      <c r="M3248" s="176">
        <f>IFERROR(__xludf.DUMMYFUNCTION("""COMPUTED_VALUE"""),27.0)</f>
        <v>27</v>
      </c>
      <c r="N3248" s="177" t="str">
        <f>IFERROR(__xludf.DUMMYFUNCTION("""COMPUTED_VALUE"""),"Model 3 LR")</f>
        <v>Model 3 LR</v>
      </c>
      <c r="O3248" s="177" t="str">
        <f>IFERROR(__xludf.DUMMYFUNCTION("""COMPUTED_VALUE"""),"Red Multi-Coat")</f>
        <v>Red Multi-Coat</v>
      </c>
      <c r="P3248" s="178" t="str">
        <f>IFERROR(__xludf.DUMMYFUNCTION("""COMPUTED_VALUE"""),"19 inch Sport")</f>
        <v>19 inch Sport</v>
      </c>
      <c r="Q3248" s="177" t="str">
        <f>IFERROR(__xludf.DUMMYFUNCTION("""COMPUTED_VALUE"""),"Black seats")</f>
        <v>Black seats</v>
      </c>
      <c r="R3248" s="170" t="str">
        <f>IFERROR(__xludf.DUMMYFUNCTION("""COMPUTED_VALUE"""),"Enhanced Autopilot")</f>
        <v>Enhanced Autopilot</v>
      </c>
      <c r="S3248" s="170"/>
      <c r="T3248" s="179"/>
      <c r="U3248" s="179"/>
      <c r="V3248" s="179"/>
      <c r="W3248" s="180"/>
      <c r="X3248" s="181" t="str">
        <f>IFERROR(__xludf.DUMMYFUNCTION("""COMPUTED_VALUE"""),"Excellent")</f>
        <v>Excellent</v>
      </c>
      <c r="Y3248" s="182" t="str">
        <f>IFERROR(__xludf.DUMMYFUNCTION("""COMPUTED_VALUE"""),"Excellent")</f>
        <v>Excellent</v>
      </c>
      <c r="Z3248" s="182" t="str">
        <f>IFERROR(__xludf.DUMMYFUNCTION("""COMPUTED_VALUE"""),"Excellent")</f>
        <v>Excellent</v>
      </c>
      <c r="AA3248" s="182" t="str">
        <f>IFERROR(__xludf.DUMMYFUNCTION("""COMPUTED_VALUE"""),"Excellent")</f>
        <v>Excellent</v>
      </c>
      <c r="AB3248" s="182" t="str">
        <f>IFERROR(__xludf.DUMMYFUNCTION("""COMPUTED_VALUE"""),"Excellent")</f>
        <v>Excellent</v>
      </c>
      <c r="AC3248" s="183">
        <f>IFERROR(__xludf.DUMMYFUNCTION("""COMPUTED_VALUE"""),0.0)</f>
        <v>0</v>
      </c>
      <c r="AD3248" s="183">
        <f>IFERROR(__xludf.DUMMYFUNCTION("""COMPUTED_VALUE"""),0.0)</f>
        <v>0</v>
      </c>
      <c r="AE3248" s="183">
        <f>IFERROR(__xludf.DUMMYFUNCTION("""COMPUTED_VALUE"""),0.0)</f>
        <v>0</v>
      </c>
      <c r="AF3248" s="184"/>
      <c r="AG3248" s="180"/>
      <c r="AH3248" s="185">
        <f>IFERROR(__xludf.DUMMYFUNCTION("""COMPUTED_VALUE"""),43328.82421824074)</f>
        <v>43328.82422</v>
      </c>
      <c r="AI3248" s="182"/>
      <c r="AJ3248" s="182"/>
      <c r="AK3248" s="182"/>
      <c r="AL3248" s="182"/>
    </row>
    <row r="3249" ht="20.25" customHeight="1">
      <c r="A3249" s="169" t="str">
        <f>IFERROR(__xludf.DUMMYFUNCTION("""COMPUTED_VALUE"""),"zhaddenham")</f>
        <v>zhaddenham</v>
      </c>
      <c r="B3249" s="170" t="str">
        <f>IFERROR(__xludf.DUMMYFUNCTION("""COMPUTED_VALUE"""),"Salt Lake City")</f>
        <v>Salt Lake City</v>
      </c>
      <c r="C3249" s="170" t="str">
        <f>IFERROR(__xludf.DUMMYFUNCTION("""COMPUTED_VALUE"""),"UT")</f>
        <v>UT</v>
      </c>
      <c r="D3249" s="170" t="str">
        <f>IFERROR(__xludf.DUMMYFUNCTION("""COMPUTED_VALUE"""),"USA")</f>
        <v>USA</v>
      </c>
      <c r="E3249" s="171">
        <f>IFERROR(__xludf.DUMMYFUNCTION("""COMPUTED_VALUE"""),43278.0)</f>
        <v>43278</v>
      </c>
      <c r="F3249" s="172">
        <f>IFERROR(__xludf.DUMMYFUNCTION("""COMPUTED_VALUE"""),43341.0)</f>
        <v>43341</v>
      </c>
      <c r="G3249" s="173"/>
      <c r="H3249" s="174">
        <f>IFERROR(__xludf.DUMMYFUNCTION("""COMPUTED_VALUE"""),68355.0)</f>
        <v>68355</v>
      </c>
      <c r="I3249" s="175" t="str">
        <f>IFERROR(__xludf.DUMMYFUNCTION("""COMPUTED_VALUE"""),"08/18")</f>
        <v>08/18</v>
      </c>
      <c r="J3249" s="172">
        <f>IFERROR(__xludf.DUMMYFUNCTION("""COMPUTED_VALUE"""),43349.0)</f>
        <v>43349</v>
      </c>
      <c r="K3249" s="176">
        <f>IFERROR(__xludf.DUMMYFUNCTION("""COMPUTED_VALUE"""),63.0)</f>
        <v>63</v>
      </c>
      <c r="L3249" s="176">
        <f>IFERROR(__xludf.DUMMYFUNCTION("""COMPUTED_VALUE"""),8.0)</f>
        <v>8</v>
      </c>
      <c r="M3249" s="176">
        <f>IFERROR(__xludf.DUMMYFUNCTION("""COMPUTED_VALUE"""),71.0)</f>
        <v>71</v>
      </c>
      <c r="N3249" s="177" t="str">
        <f>IFERROR(__xludf.DUMMYFUNCTION("""COMPUTED_VALUE"""),"Model 3 LR AWD")</f>
        <v>Model 3 LR AWD</v>
      </c>
      <c r="O3249" s="177" t="str">
        <f>IFERROR(__xludf.DUMMYFUNCTION("""COMPUTED_VALUE"""),"Solid Black")</f>
        <v>Solid Black</v>
      </c>
      <c r="P3249" s="178" t="str">
        <f>IFERROR(__xludf.DUMMYFUNCTION("""COMPUTED_VALUE"""),"18 inch Aero")</f>
        <v>18 inch Aero</v>
      </c>
      <c r="Q3249" s="177" t="str">
        <f>IFERROR(__xludf.DUMMYFUNCTION("""COMPUTED_VALUE"""),"Black seats")</f>
        <v>Black seats</v>
      </c>
      <c r="R3249" s="170" t="str">
        <f>IFERROR(__xludf.DUMMYFUNCTION("""COMPUTED_VALUE"""),"Enhanced Autopilot")</f>
        <v>Enhanced Autopilot</v>
      </c>
      <c r="S3249" s="170"/>
      <c r="T3249" s="179"/>
      <c r="U3249" s="179"/>
      <c r="V3249" s="179"/>
      <c r="W3249" s="180"/>
      <c r="X3249" s="181" t="str">
        <f>IFERROR(__xludf.DUMMYFUNCTION("""COMPUTED_VALUE"""),"Very Good")</f>
        <v>Very Good</v>
      </c>
      <c r="Y3249" s="182" t="str">
        <f>IFERROR(__xludf.DUMMYFUNCTION("""COMPUTED_VALUE"""),"Good")</f>
        <v>Good</v>
      </c>
      <c r="Z3249" s="182" t="str">
        <f>IFERROR(__xludf.DUMMYFUNCTION("""COMPUTED_VALUE"""),"Good")</f>
        <v>Good</v>
      </c>
      <c r="AA3249" s="182" t="str">
        <f>IFERROR(__xludf.DUMMYFUNCTION("""COMPUTED_VALUE"""),"Excellent")</f>
        <v>Excellent</v>
      </c>
      <c r="AB3249" s="182" t="str">
        <f>IFERROR(__xludf.DUMMYFUNCTION("""COMPUTED_VALUE"""),"Excellent")</f>
        <v>Excellent</v>
      </c>
      <c r="AC3249" s="183">
        <f>IFERROR(__xludf.DUMMYFUNCTION("""COMPUTED_VALUE"""),4.0)</f>
        <v>4</v>
      </c>
      <c r="AD3249" s="183">
        <f>IFERROR(__xludf.DUMMYFUNCTION("""COMPUTED_VALUE"""),1.0)</f>
        <v>1</v>
      </c>
      <c r="AE3249" s="183">
        <f>IFERROR(__xludf.DUMMYFUNCTION("""COMPUTED_VALUE"""),7.0)</f>
        <v>7</v>
      </c>
      <c r="AF3249" s="184"/>
      <c r="AG3249" s="180" t="str">
        <f>IFERROR(__xludf.DUMMYFUNCTION("""COMPUTED_VALUE"""),"The number of days on repairs was waiting for parts to ship. I got a loaner during the time they had it, I love Tesla, everything is fantastic. ")</f>
        <v>The number of days on repairs was waiting for parts to ship. I got a loaner during the time they had it, I love Tesla, everything is fantastic. </v>
      </c>
      <c r="AH3249" s="185">
        <f>IFERROR(__xludf.DUMMYFUNCTION("""COMPUTED_VALUE"""),43369.73653751158)</f>
        <v>43369.73654</v>
      </c>
      <c r="AI3249" s="182"/>
      <c r="AJ3249" s="182"/>
      <c r="AK3249" s="182"/>
      <c r="AL3249" s="182"/>
    </row>
    <row r="3250" ht="20.25" customHeight="1">
      <c r="A3250" s="169" t="str">
        <f>IFERROR(__xludf.DUMMYFUNCTION("""COMPUTED_VALUE"""),"zonela")</f>
        <v>zonela</v>
      </c>
      <c r="B3250" s="170" t="str">
        <f>IFERROR(__xludf.DUMMYFUNCTION("""COMPUTED_VALUE"""),"Bay Area")</f>
        <v>Bay Area</v>
      </c>
      <c r="C3250" s="170" t="str">
        <f>IFERROR(__xludf.DUMMYFUNCTION("""COMPUTED_VALUE"""),"CA")</f>
        <v>CA</v>
      </c>
      <c r="D3250" s="170" t="str">
        <f>IFERROR(__xludf.DUMMYFUNCTION("""COMPUTED_VALUE"""),"USA")</f>
        <v>USA</v>
      </c>
      <c r="E3250" s="171">
        <f>IFERROR(__xludf.DUMMYFUNCTION("""COMPUTED_VALUE"""),43278.0)</f>
        <v>43278</v>
      </c>
      <c r="F3250" s="172">
        <f>IFERROR(__xludf.DUMMYFUNCTION("""COMPUTED_VALUE"""),43338.0)</f>
        <v>43338</v>
      </c>
      <c r="G3250" s="173"/>
      <c r="H3250" s="174">
        <f>IFERROR(__xludf.DUMMYFUNCTION("""COMPUTED_VALUE"""),134255.0)</f>
        <v>134255</v>
      </c>
      <c r="I3250" s="175" t="str">
        <f>IFERROR(__xludf.DUMMYFUNCTION("""COMPUTED_VALUE"""),"11/18")</f>
        <v>11/18</v>
      </c>
      <c r="J3250" s="172">
        <f>IFERROR(__xludf.DUMMYFUNCTION("""COMPUTED_VALUE"""),43412.0)</f>
        <v>43412</v>
      </c>
      <c r="K3250" s="176">
        <f>IFERROR(__xludf.DUMMYFUNCTION("""COMPUTED_VALUE"""),60.0)</f>
        <v>60</v>
      </c>
      <c r="L3250" s="176">
        <f>IFERROR(__xludf.DUMMYFUNCTION("""COMPUTED_VALUE"""),74.0)</f>
        <v>74</v>
      </c>
      <c r="M3250" s="176">
        <f>IFERROR(__xludf.DUMMYFUNCTION("""COMPUTED_VALUE"""),134.0)</f>
        <v>134</v>
      </c>
      <c r="N3250" s="177" t="str">
        <f>IFERROR(__xludf.DUMMYFUNCTION("""COMPUTED_VALUE"""),"Model 3 LR AWD")</f>
        <v>Model 3 LR AWD</v>
      </c>
      <c r="O3250" s="177" t="str">
        <f>IFERROR(__xludf.DUMMYFUNCTION("""COMPUTED_VALUE"""),"Pearl White Multi-Coat")</f>
        <v>Pearl White Multi-Coat</v>
      </c>
      <c r="P3250" s="178" t="str">
        <f>IFERROR(__xludf.DUMMYFUNCTION("""COMPUTED_VALUE"""),"19 inch Sport")</f>
        <v>19 inch Sport</v>
      </c>
      <c r="Q3250" s="177" t="str">
        <f>IFERROR(__xludf.DUMMYFUNCTION("""COMPUTED_VALUE"""),"Black seats")</f>
        <v>Black seats</v>
      </c>
      <c r="R3250" s="170" t="str">
        <f>IFERROR(__xludf.DUMMYFUNCTION("""COMPUTED_VALUE"""),"Full Self-Driving")</f>
        <v>Full Self-Driving</v>
      </c>
      <c r="S3250" s="170"/>
      <c r="T3250" s="179"/>
      <c r="U3250" s="179"/>
      <c r="V3250" s="179"/>
      <c r="W3250" s="180"/>
      <c r="X3250" s="181" t="str">
        <f>IFERROR(__xludf.DUMMYFUNCTION("""COMPUTED_VALUE"""),"Excellent")</f>
        <v>Excellent</v>
      </c>
      <c r="Y3250" s="182" t="str">
        <f>IFERROR(__xludf.DUMMYFUNCTION("""COMPUTED_VALUE"""),"Good")</f>
        <v>Good</v>
      </c>
      <c r="Z3250" s="182" t="str">
        <f>IFERROR(__xludf.DUMMYFUNCTION("""COMPUTED_VALUE"""),"Very Good")</f>
        <v>Very Good</v>
      </c>
      <c r="AA3250" s="182" t="str">
        <f>IFERROR(__xludf.DUMMYFUNCTION("""COMPUTED_VALUE"""),"Poor")</f>
        <v>Poor</v>
      </c>
      <c r="AB3250" s="182" t="str">
        <f>IFERROR(__xludf.DUMMYFUNCTION("""COMPUTED_VALUE"""),"Fair")</f>
        <v>Fair</v>
      </c>
      <c r="AC3250" s="183">
        <f>IFERROR(__xludf.DUMMYFUNCTION("""COMPUTED_VALUE"""),5.0)</f>
        <v>5</v>
      </c>
      <c r="AD3250" s="183"/>
      <c r="AE3250" s="183"/>
      <c r="AF3250" s="184"/>
      <c r="AG3250" s="180" t="str">
        <f>IFERROR(__xludf.DUMMYFUNCTION("""COMPUTED_VALUE"""),"Accepted delivery on 5th attempt. Rejected 5 cars due to bad paint quality.")</f>
        <v>Accepted delivery on 5th attempt. Rejected 5 cars due to bad paint quality.</v>
      </c>
      <c r="AH3250" s="185">
        <f>IFERROR(__xludf.DUMMYFUNCTION("""COMPUTED_VALUE"""),43414.90678715278)</f>
        <v>43414.90679</v>
      </c>
      <c r="AI3250" s="182"/>
      <c r="AJ3250" s="182"/>
      <c r="AK3250" s="182"/>
      <c r="AL3250" s="182"/>
    </row>
    <row r="3251" ht="20.25" customHeight="1">
      <c r="A3251" s="169" t="str">
        <f>IFERROR(__xludf.DUMMYFUNCTION("""COMPUTED_VALUE"""),"ajla")</f>
        <v>ajla</v>
      </c>
      <c r="B3251" s="170" t="str">
        <f>IFERROR(__xludf.DUMMYFUNCTION("""COMPUTED_VALUE"""),"Denver")</f>
        <v>Denver</v>
      </c>
      <c r="C3251" s="170" t="str">
        <f>IFERROR(__xludf.DUMMYFUNCTION("""COMPUTED_VALUE"""),"CO")</f>
        <v>CO</v>
      </c>
      <c r="D3251" s="170" t="str">
        <f>IFERROR(__xludf.DUMMYFUNCTION("""COMPUTED_VALUE"""),"USA")</f>
        <v>USA</v>
      </c>
      <c r="E3251" s="171">
        <f>IFERROR(__xludf.DUMMYFUNCTION("""COMPUTED_VALUE"""),43277.0)</f>
        <v>43277</v>
      </c>
      <c r="F3251" s="172">
        <f>IFERROR(__xludf.DUMMYFUNCTION("""COMPUTED_VALUE"""),43342.0)</f>
        <v>43342</v>
      </c>
      <c r="G3251" s="173"/>
      <c r="H3251" s="174">
        <f>IFERROR(__xludf.DUMMYFUNCTION("""COMPUTED_VALUE"""),70555.0)</f>
        <v>70555</v>
      </c>
      <c r="I3251" s="175"/>
      <c r="J3251" s="172">
        <f>IFERROR(__xludf.DUMMYFUNCTION("""COMPUTED_VALUE"""),43367.0)</f>
        <v>43367</v>
      </c>
      <c r="K3251" s="176">
        <f>IFERROR(__xludf.DUMMYFUNCTION("""COMPUTED_VALUE"""),65.0)</f>
        <v>65</v>
      </c>
      <c r="L3251" s="176">
        <f>IFERROR(__xludf.DUMMYFUNCTION("""COMPUTED_VALUE"""),25.0)</f>
        <v>25</v>
      </c>
      <c r="M3251" s="176">
        <f>IFERROR(__xludf.DUMMYFUNCTION("""COMPUTED_VALUE"""),90.0)</f>
        <v>90</v>
      </c>
      <c r="N3251" s="177" t="str">
        <f>IFERROR(__xludf.DUMMYFUNCTION("""COMPUTED_VALUE"""),"Model 3 LR AWD")</f>
        <v>Model 3 LR AWD</v>
      </c>
      <c r="O3251" s="177" t="str">
        <f>IFERROR(__xludf.DUMMYFUNCTION("""COMPUTED_VALUE"""),"Obsidian Black Metallic")</f>
        <v>Obsidian Black Metallic</v>
      </c>
      <c r="P3251" s="178" t="str">
        <f>IFERROR(__xludf.DUMMYFUNCTION("""COMPUTED_VALUE"""),"18 inch Aero")</f>
        <v>18 inch Aero</v>
      </c>
      <c r="Q3251" s="177" t="str">
        <f>IFERROR(__xludf.DUMMYFUNCTION("""COMPUTED_VALUE"""),"Black seats")</f>
        <v>Black seats</v>
      </c>
      <c r="R3251" s="170" t="str">
        <f>IFERROR(__xludf.DUMMYFUNCTION("""COMPUTED_VALUE"""),"Enhanced Autopilot")</f>
        <v>Enhanced Autopilot</v>
      </c>
      <c r="S3251" s="170"/>
      <c r="T3251" s="179"/>
      <c r="U3251" s="179"/>
      <c r="V3251" s="179"/>
      <c r="W3251" s="180"/>
      <c r="X3251" s="181"/>
      <c r="Y3251" s="182"/>
      <c r="Z3251" s="182"/>
      <c r="AA3251" s="182" t="str">
        <f>IFERROR(__xludf.DUMMYFUNCTION("""COMPUTED_VALUE"""),"Very Good")</f>
        <v>Very Good</v>
      </c>
      <c r="AB3251" s="182"/>
      <c r="AC3251" s="183"/>
      <c r="AD3251" s="183"/>
      <c r="AE3251" s="183"/>
      <c r="AF3251" s="184"/>
      <c r="AG3251" s="180" t="str">
        <f>IFERROR(__xludf.DUMMYFUNCTION("""COMPUTED_VALUE"""),"Want AWD for CO driving conditions")</f>
        <v>Want AWD for CO driving conditions</v>
      </c>
      <c r="AH3251" s="185">
        <f>IFERROR(__xludf.DUMMYFUNCTION("""COMPUTED_VALUE"""),43353.7611105787)</f>
        <v>43353.76111</v>
      </c>
      <c r="AI3251" s="182"/>
      <c r="AJ3251" s="182"/>
      <c r="AK3251" s="182"/>
      <c r="AL3251" s="182"/>
    </row>
    <row r="3252" ht="20.25" customHeight="1">
      <c r="A3252" s="169" t="str">
        <f>IFERROR(__xludf.DUMMYFUNCTION("""COMPUTED_VALUE"""),"altimas")</f>
        <v>altimas</v>
      </c>
      <c r="B3252" s="170" t="str">
        <f>IFERROR(__xludf.DUMMYFUNCTION("""COMPUTED_VALUE"""),"Calgary")</f>
        <v>Calgary</v>
      </c>
      <c r="C3252" s="170" t="str">
        <f>IFERROR(__xludf.DUMMYFUNCTION("""COMPUTED_VALUE"""),"AB")</f>
        <v>AB</v>
      </c>
      <c r="D3252" s="170" t="str">
        <f>IFERROR(__xludf.DUMMYFUNCTION("""COMPUTED_VALUE"""),"Canada")</f>
        <v>Canada</v>
      </c>
      <c r="E3252" s="171">
        <f>IFERROR(__xludf.DUMMYFUNCTION("""COMPUTED_VALUE"""),43277.0)</f>
        <v>43277</v>
      </c>
      <c r="F3252" s="172">
        <f>IFERROR(__xludf.DUMMYFUNCTION("""COMPUTED_VALUE"""),43353.0)</f>
        <v>43353</v>
      </c>
      <c r="G3252" s="173"/>
      <c r="H3252" s="174">
        <f>IFERROR(__xludf.DUMMYFUNCTION("""COMPUTED_VALUE"""),106955.0)</f>
        <v>106955</v>
      </c>
      <c r="I3252" s="175"/>
      <c r="J3252" s="172">
        <f>IFERROR(__xludf.DUMMYFUNCTION("""COMPUTED_VALUE"""),43355.0)</f>
        <v>43355</v>
      </c>
      <c r="K3252" s="176">
        <f>IFERROR(__xludf.DUMMYFUNCTION("""COMPUTED_VALUE"""),76.0)</f>
        <v>76</v>
      </c>
      <c r="L3252" s="176">
        <f>IFERROR(__xludf.DUMMYFUNCTION("""COMPUTED_VALUE"""),2.0)</f>
        <v>2</v>
      </c>
      <c r="M3252" s="176">
        <f>IFERROR(__xludf.DUMMYFUNCTION("""COMPUTED_VALUE"""),78.0)</f>
        <v>78</v>
      </c>
      <c r="N3252" s="177" t="str">
        <f>IFERROR(__xludf.DUMMYFUNCTION("""COMPUTED_VALUE"""),"Model 3 LR AWD")</f>
        <v>Model 3 LR AWD</v>
      </c>
      <c r="O3252" s="177" t="str">
        <f>IFERROR(__xludf.DUMMYFUNCTION("""COMPUTED_VALUE"""),"Silver Metallic")</f>
        <v>Silver Metallic</v>
      </c>
      <c r="P3252" s="178" t="str">
        <f>IFERROR(__xludf.DUMMYFUNCTION("""COMPUTED_VALUE"""),"18 inch Aero")</f>
        <v>18 inch Aero</v>
      </c>
      <c r="Q3252" s="177" t="str">
        <f>IFERROR(__xludf.DUMMYFUNCTION("""COMPUTED_VALUE"""),"Black seats")</f>
        <v>Black seats</v>
      </c>
      <c r="R3252" s="170" t="str">
        <f>IFERROR(__xludf.DUMMYFUNCTION("""COMPUTED_VALUE"""),"Full Self-Driving")</f>
        <v>Full Self-Driving</v>
      </c>
      <c r="S3252" s="170"/>
      <c r="T3252" s="179"/>
      <c r="U3252" s="179"/>
      <c r="V3252" s="179"/>
      <c r="W3252" s="180"/>
      <c r="X3252" s="181" t="str">
        <f>IFERROR(__xludf.DUMMYFUNCTION("""COMPUTED_VALUE"""),"Excellent")</f>
        <v>Excellent</v>
      </c>
      <c r="Y3252" s="182" t="str">
        <f>IFERROR(__xludf.DUMMYFUNCTION("""COMPUTED_VALUE"""),"Excellent")</f>
        <v>Excellent</v>
      </c>
      <c r="Z3252" s="182" t="str">
        <f>IFERROR(__xludf.DUMMYFUNCTION("""COMPUTED_VALUE"""),"Excellent")</f>
        <v>Excellent</v>
      </c>
      <c r="AA3252" s="182" t="str">
        <f>IFERROR(__xludf.DUMMYFUNCTION("""COMPUTED_VALUE"""),"Excellent")</f>
        <v>Excellent</v>
      </c>
      <c r="AB3252" s="182" t="str">
        <f>IFERROR(__xludf.DUMMYFUNCTION("""COMPUTED_VALUE"""),"Excellent")</f>
        <v>Excellent</v>
      </c>
      <c r="AC3252" s="183"/>
      <c r="AD3252" s="183"/>
      <c r="AE3252" s="183"/>
      <c r="AF3252" s="184"/>
      <c r="AG3252" s="180"/>
      <c r="AH3252" s="185">
        <f>IFERROR(__xludf.DUMMYFUNCTION("""COMPUTED_VALUE"""),43355.60326702546)</f>
        <v>43355.60327</v>
      </c>
      <c r="AI3252" s="182"/>
      <c r="AJ3252" s="182"/>
      <c r="AK3252" s="182"/>
      <c r="AL3252" s="182"/>
    </row>
    <row r="3253" ht="20.25" customHeight="1">
      <c r="A3253" s="169" t="str">
        <f>IFERROR(__xludf.DUMMYFUNCTION("""COMPUTED_VALUE"""),"annerajb")</f>
        <v>annerajb</v>
      </c>
      <c r="B3253" s="170" t="str">
        <f>IFERROR(__xludf.DUMMYFUNCTION("""COMPUTED_VALUE"""),"Fort Lauderdale")</f>
        <v>Fort Lauderdale</v>
      </c>
      <c r="C3253" s="170" t="str">
        <f>IFERROR(__xludf.DUMMYFUNCTION("""COMPUTED_VALUE"""),"FL")</f>
        <v>FL</v>
      </c>
      <c r="D3253" s="170" t="str">
        <f>IFERROR(__xludf.DUMMYFUNCTION("""COMPUTED_VALUE"""),"USA")</f>
        <v>USA</v>
      </c>
      <c r="E3253" s="171">
        <f>IFERROR(__xludf.DUMMYFUNCTION("""COMPUTED_VALUE"""),43277.0)</f>
        <v>43277</v>
      </c>
      <c r="F3253" s="172">
        <f>IFERROR(__xludf.DUMMYFUNCTION("""COMPUTED_VALUE"""),43337.0)</f>
        <v>43337</v>
      </c>
      <c r="G3253" s="173"/>
      <c r="H3253" s="174">
        <f>IFERROR(__xludf.DUMMYFUNCTION("""COMPUTED_VALUE"""),70664.0)</f>
        <v>70664</v>
      </c>
      <c r="I3253" s="175" t="str">
        <f>IFERROR(__xludf.DUMMYFUNCTION("""COMPUTED_VALUE"""),"08/18")</f>
        <v>08/18</v>
      </c>
      <c r="J3253" s="172">
        <f>IFERROR(__xludf.DUMMYFUNCTION("""COMPUTED_VALUE"""),43364.0)</f>
        <v>43364</v>
      </c>
      <c r="K3253" s="176">
        <f>IFERROR(__xludf.DUMMYFUNCTION("""COMPUTED_VALUE"""),60.0)</f>
        <v>60</v>
      </c>
      <c r="L3253" s="176">
        <f>IFERROR(__xludf.DUMMYFUNCTION("""COMPUTED_VALUE"""),27.0)</f>
        <v>27</v>
      </c>
      <c r="M3253" s="176">
        <f>IFERROR(__xludf.DUMMYFUNCTION("""COMPUTED_VALUE"""),87.0)</f>
        <v>87</v>
      </c>
      <c r="N3253" s="177" t="str">
        <f>IFERROR(__xludf.DUMMYFUNCTION("""COMPUTED_VALUE"""),"Model 3 LR AWD")</f>
        <v>Model 3 LR AWD</v>
      </c>
      <c r="O3253" s="177" t="str">
        <f>IFERROR(__xludf.DUMMYFUNCTION("""COMPUTED_VALUE"""),"Obsidian Black Metallic")</f>
        <v>Obsidian Black Metallic</v>
      </c>
      <c r="P3253" s="178" t="str">
        <f>IFERROR(__xludf.DUMMYFUNCTION("""COMPUTED_VALUE"""),"18 inch Aero")</f>
        <v>18 inch Aero</v>
      </c>
      <c r="Q3253" s="177" t="str">
        <f>IFERROR(__xludf.DUMMYFUNCTION("""COMPUTED_VALUE"""),"Black seats")</f>
        <v>Black seats</v>
      </c>
      <c r="R3253" s="170" t="str">
        <f>IFERROR(__xludf.DUMMYFUNCTION("""COMPUTED_VALUE"""),"Full Self-Driving")</f>
        <v>Full Self-Driving</v>
      </c>
      <c r="S3253" s="170"/>
      <c r="T3253" s="179"/>
      <c r="U3253" s="179"/>
      <c r="V3253" s="179"/>
      <c r="W3253" s="180"/>
      <c r="X3253" s="181" t="str">
        <f>IFERROR(__xludf.DUMMYFUNCTION("""COMPUTED_VALUE"""),"Very Good")</f>
        <v>Very Good</v>
      </c>
      <c r="Y3253" s="182" t="str">
        <f>IFERROR(__xludf.DUMMYFUNCTION("""COMPUTED_VALUE"""),"Excellent")</f>
        <v>Excellent</v>
      </c>
      <c r="Z3253" s="182" t="str">
        <f>IFERROR(__xludf.DUMMYFUNCTION("""COMPUTED_VALUE"""),"Good")</f>
        <v>Good</v>
      </c>
      <c r="AA3253" s="182" t="str">
        <f>IFERROR(__xludf.DUMMYFUNCTION("""COMPUTED_VALUE"""),"Good")</f>
        <v>Good</v>
      </c>
      <c r="AB3253" s="182" t="str">
        <f>IFERROR(__xludf.DUMMYFUNCTION("""COMPUTED_VALUE"""),"Excellent")</f>
        <v>Excellent</v>
      </c>
      <c r="AC3253" s="183">
        <f>IFERROR(__xludf.DUMMYFUNCTION("""COMPUTED_VALUE"""),4.0)</f>
        <v>4</v>
      </c>
      <c r="AD3253" s="183"/>
      <c r="AE3253" s="183"/>
      <c r="AF3253" s="184"/>
      <c r="AG3253" s="180" t="str">
        <f>IFERROR(__xludf.DUMMYFUNCTION("""COMPUTED_VALUE"""),"one scuff on front lower bumper, 3 panels with super tiny scratches/scratch, not sure if gap on tailight prob within spec, piece of insulation tape under the cars body coming out of the battery fender. amazing car thou!")</f>
        <v>one scuff on front lower bumper, 3 panels with super tiny scratches/scratch, not sure if gap on tailight prob within spec, piece of insulation tape under the cars body coming out of the battery fender. amazing car thou!</v>
      </c>
      <c r="AH3253" s="185">
        <f>IFERROR(__xludf.DUMMYFUNCTION("""COMPUTED_VALUE"""),43367.38027540509)</f>
        <v>43367.38028</v>
      </c>
      <c r="AI3253" s="182"/>
      <c r="AJ3253" s="182"/>
      <c r="AK3253" s="182"/>
      <c r="AL3253" s="182"/>
    </row>
    <row r="3254" ht="20.25" customHeight="1">
      <c r="A3254" s="169" t="str">
        <f>IFERROR(__xludf.DUMMYFUNCTION("""COMPUTED_VALUE"""),"ASnowLion")</f>
        <v>ASnowLion</v>
      </c>
      <c r="B3254" s="170"/>
      <c r="C3254" s="170" t="str">
        <f>IFERROR(__xludf.DUMMYFUNCTION("""COMPUTED_VALUE"""),"TN")</f>
        <v>TN</v>
      </c>
      <c r="D3254" s="170" t="str">
        <f>IFERROR(__xludf.DUMMYFUNCTION("""COMPUTED_VALUE"""),"USA")</f>
        <v>USA</v>
      </c>
      <c r="E3254" s="171">
        <f>IFERROR(__xludf.DUMMYFUNCTION("""COMPUTED_VALUE"""),43277.0)</f>
        <v>43277</v>
      </c>
      <c r="F3254" s="172">
        <f>IFERROR(__xludf.DUMMYFUNCTION("""COMPUTED_VALUE"""),43317.0)</f>
        <v>43317</v>
      </c>
      <c r="G3254" s="173"/>
      <c r="H3254" s="174">
        <f>IFERROR(__xludf.DUMMYFUNCTION("""COMPUTED_VALUE"""),67455.0)</f>
        <v>67455</v>
      </c>
      <c r="I3254" s="175" t="str">
        <f>IFERROR(__xludf.DUMMYFUNCTION("""COMPUTED_VALUE"""),"08/18")</f>
        <v>08/18</v>
      </c>
      <c r="J3254" s="172">
        <f>IFERROR(__xludf.DUMMYFUNCTION("""COMPUTED_VALUE"""),43337.0)</f>
        <v>43337</v>
      </c>
      <c r="K3254" s="176">
        <f>IFERROR(__xludf.DUMMYFUNCTION("""COMPUTED_VALUE"""),40.0)</f>
        <v>40</v>
      </c>
      <c r="L3254" s="176">
        <f>IFERROR(__xludf.DUMMYFUNCTION("""COMPUTED_VALUE"""),20.0)</f>
        <v>20</v>
      </c>
      <c r="M3254" s="176">
        <f>IFERROR(__xludf.DUMMYFUNCTION("""COMPUTED_VALUE"""),60.0)</f>
        <v>60</v>
      </c>
      <c r="N3254" s="177" t="str">
        <f>IFERROR(__xludf.DUMMYFUNCTION("""COMPUTED_VALUE"""),"Model 3 LR AWD")</f>
        <v>Model 3 LR AWD</v>
      </c>
      <c r="O3254" s="177" t="str">
        <f>IFERROR(__xludf.DUMMYFUNCTION("""COMPUTED_VALUE"""),"Solid Black")</f>
        <v>Solid Black</v>
      </c>
      <c r="P3254" s="178" t="str">
        <f>IFERROR(__xludf.DUMMYFUNCTION("""COMPUTED_VALUE"""),"19 inch Sport")</f>
        <v>19 inch Sport</v>
      </c>
      <c r="Q3254" s="177" t="str">
        <f>IFERROR(__xludf.DUMMYFUNCTION("""COMPUTED_VALUE"""),"Black seats")</f>
        <v>Black seats</v>
      </c>
      <c r="R3254" s="170" t="str">
        <f>IFERROR(__xludf.DUMMYFUNCTION("""COMPUTED_VALUE"""),"Enhanced Autopilot")</f>
        <v>Enhanced Autopilot</v>
      </c>
      <c r="S3254" s="170"/>
      <c r="T3254" s="179"/>
      <c r="U3254" s="179"/>
      <c r="V3254" s="179"/>
      <c r="W3254" s="180"/>
      <c r="X3254" s="181" t="str">
        <f>IFERROR(__xludf.DUMMYFUNCTION("""COMPUTED_VALUE"""),"Excellent")</f>
        <v>Excellent</v>
      </c>
      <c r="Y3254" s="182" t="str">
        <f>IFERROR(__xludf.DUMMYFUNCTION("""COMPUTED_VALUE"""),"Excellent")</f>
        <v>Excellent</v>
      </c>
      <c r="Z3254" s="182" t="str">
        <f>IFERROR(__xludf.DUMMYFUNCTION("""COMPUTED_VALUE"""),"Excellent")</f>
        <v>Excellent</v>
      </c>
      <c r="AA3254" s="182" t="str">
        <f>IFERROR(__xludf.DUMMYFUNCTION("""COMPUTED_VALUE"""),"Excellent")</f>
        <v>Excellent</v>
      </c>
      <c r="AB3254" s="182" t="str">
        <f>IFERROR(__xludf.DUMMYFUNCTION("""COMPUTED_VALUE"""),"Excellent")</f>
        <v>Excellent</v>
      </c>
      <c r="AC3254" s="183"/>
      <c r="AD3254" s="183"/>
      <c r="AE3254" s="183"/>
      <c r="AF3254" s="184"/>
      <c r="AG3254" s="180"/>
      <c r="AH3254" s="185">
        <f>IFERROR(__xludf.DUMMYFUNCTION("""COMPUTED_VALUE"""),43337.68331091435)</f>
        <v>43337.68331</v>
      </c>
      <c r="AI3254" s="182"/>
      <c r="AJ3254" s="182"/>
      <c r="AK3254" s="182"/>
      <c r="AL3254" s="182"/>
    </row>
    <row r="3255" ht="20.25" customHeight="1">
      <c r="A3255" s="169" t="str">
        <f>IFERROR(__xludf.DUMMYFUNCTION("""COMPUTED_VALUE"""),"Batman99")</f>
        <v>Batman99</v>
      </c>
      <c r="B3255" s="170" t="str">
        <f>IFERROR(__xludf.DUMMYFUNCTION("""COMPUTED_VALUE"""),"Loma Linda")</f>
        <v>Loma Linda</v>
      </c>
      <c r="C3255" s="170" t="str">
        <f>IFERROR(__xludf.DUMMYFUNCTION("""COMPUTED_VALUE"""),"CA")</f>
        <v>CA</v>
      </c>
      <c r="D3255" s="170" t="str">
        <f>IFERROR(__xludf.DUMMYFUNCTION("""COMPUTED_VALUE"""),"USA")</f>
        <v>USA</v>
      </c>
      <c r="E3255" s="171">
        <f>IFERROR(__xludf.DUMMYFUNCTION("""COMPUTED_VALUE"""),43277.0)</f>
        <v>43277</v>
      </c>
      <c r="F3255" s="172">
        <f>IFERROR(__xludf.DUMMYFUNCTION("""COMPUTED_VALUE"""),43339.0)</f>
        <v>43339</v>
      </c>
      <c r="G3255" s="173"/>
      <c r="H3255" s="174">
        <f>IFERROR(__xludf.DUMMYFUNCTION("""COMPUTED_VALUE"""),69255.0)</f>
        <v>69255</v>
      </c>
      <c r="I3255" s="175" t="str">
        <f>IFERROR(__xludf.DUMMYFUNCTION("""COMPUTED_VALUE"""),"08/18")</f>
        <v>08/18</v>
      </c>
      <c r="J3255" s="172">
        <f>IFERROR(__xludf.DUMMYFUNCTION("""COMPUTED_VALUE"""),43344.0)</f>
        <v>43344</v>
      </c>
      <c r="K3255" s="176">
        <f>IFERROR(__xludf.DUMMYFUNCTION("""COMPUTED_VALUE"""),62.0)</f>
        <v>62</v>
      </c>
      <c r="L3255" s="176">
        <f>IFERROR(__xludf.DUMMYFUNCTION("""COMPUTED_VALUE"""),5.0)</f>
        <v>5</v>
      </c>
      <c r="M3255" s="176">
        <f>IFERROR(__xludf.DUMMYFUNCTION("""COMPUTED_VALUE"""),67.0)</f>
        <v>67</v>
      </c>
      <c r="N3255" s="177" t="str">
        <f>IFERROR(__xludf.DUMMYFUNCTION("""COMPUTED_VALUE"""),"Model 3 LR AWD")</f>
        <v>Model 3 LR AWD</v>
      </c>
      <c r="O3255" s="177" t="str">
        <f>IFERROR(__xludf.DUMMYFUNCTION("""COMPUTED_VALUE"""),"Silver Metallic")</f>
        <v>Silver Metallic</v>
      </c>
      <c r="P3255" s="178" t="str">
        <f>IFERROR(__xludf.DUMMYFUNCTION("""COMPUTED_VALUE"""),"19 inch Sport")</f>
        <v>19 inch Sport</v>
      </c>
      <c r="Q3255" s="177" t="str">
        <f>IFERROR(__xludf.DUMMYFUNCTION("""COMPUTED_VALUE"""),"Black seats")</f>
        <v>Black seats</v>
      </c>
      <c r="R3255" s="170" t="str">
        <f>IFERROR(__xludf.DUMMYFUNCTION("""COMPUTED_VALUE"""),"Full Self-Driving")</f>
        <v>Full Self-Driving</v>
      </c>
      <c r="S3255" s="170"/>
      <c r="T3255" s="179"/>
      <c r="U3255" s="179"/>
      <c r="V3255" s="179"/>
      <c r="W3255" s="180"/>
      <c r="X3255" s="181" t="str">
        <f>IFERROR(__xludf.DUMMYFUNCTION("""COMPUTED_VALUE"""),"Good")</f>
        <v>Good</v>
      </c>
      <c r="Y3255" s="182" t="str">
        <f>IFERROR(__xludf.DUMMYFUNCTION("""COMPUTED_VALUE"""),"Excellent")</f>
        <v>Excellent</v>
      </c>
      <c r="Z3255" s="182" t="str">
        <f>IFERROR(__xludf.DUMMYFUNCTION("""COMPUTED_VALUE"""),"Fair")</f>
        <v>Fair</v>
      </c>
      <c r="AA3255" s="182" t="str">
        <f>IFERROR(__xludf.DUMMYFUNCTION("""COMPUTED_VALUE"""),"Fair")</f>
        <v>Fair</v>
      </c>
      <c r="AB3255" s="182" t="str">
        <f>IFERROR(__xludf.DUMMYFUNCTION("""COMPUTED_VALUE"""),"Poor")</f>
        <v>Poor</v>
      </c>
      <c r="AC3255" s="183">
        <f>IFERROR(__xludf.DUMMYFUNCTION("""COMPUTED_VALUE"""),2.0)</f>
        <v>2</v>
      </c>
      <c r="AD3255" s="183"/>
      <c r="AE3255" s="183"/>
      <c r="AF3255" s="184"/>
      <c r="AG3255" s="180"/>
      <c r="AH3255" s="185">
        <f>IFERROR(__xludf.DUMMYFUNCTION("""COMPUTED_VALUE"""),43346.35899166666)</f>
        <v>43346.35899</v>
      </c>
      <c r="AI3255" s="182"/>
      <c r="AJ3255" s="182"/>
      <c r="AK3255" s="182"/>
      <c r="AL3255" s="182"/>
    </row>
    <row r="3256" ht="20.25" customHeight="1">
      <c r="A3256" s="169" t="str">
        <f>IFERROR(__xludf.DUMMYFUNCTION("""COMPUTED_VALUE"""),"bradhs")</f>
        <v>bradhs</v>
      </c>
      <c r="B3256" s="170" t="str">
        <f>IFERROR(__xludf.DUMMYFUNCTION("""COMPUTED_VALUE"""),"San Diego, CA")</f>
        <v>San Diego, CA</v>
      </c>
      <c r="C3256" s="170" t="str">
        <f>IFERROR(__xludf.DUMMYFUNCTION("""COMPUTED_VALUE"""),"CA")</f>
        <v>CA</v>
      </c>
      <c r="D3256" s="170" t="str">
        <f>IFERROR(__xludf.DUMMYFUNCTION("""COMPUTED_VALUE"""),"USA")</f>
        <v>USA</v>
      </c>
      <c r="E3256" s="171">
        <f>IFERROR(__xludf.DUMMYFUNCTION("""COMPUTED_VALUE"""),43277.0)</f>
        <v>43277</v>
      </c>
      <c r="F3256" s="172">
        <f>IFERROR(__xludf.DUMMYFUNCTION("""COMPUTED_VALUE"""),43340.0)</f>
        <v>43340</v>
      </c>
      <c r="G3256" s="173"/>
      <c r="H3256" s="174">
        <f>IFERROR(__xludf.DUMMYFUNCTION("""COMPUTED_VALUE"""),73055.0)</f>
        <v>73055</v>
      </c>
      <c r="I3256" s="175" t="str">
        <f>IFERROR(__xludf.DUMMYFUNCTION("""COMPUTED_VALUE"""),"08/18")</f>
        <v>08/18</v>
      </c>
      <c r="J3256" s="172">
        <f>IFERROR(__xludf.DUMMYFUNCTION("""COMPUTED_VALUE"""),43343.0)</f>
        <v>43343</v>
      </c>
      <c r="K3256" s="176">
        <f>IFERROR(__xludf.DUMMYFUNCTION("""COMPUTED_VALUE"""),63.0)</f>
        <v>63</v>
      </c>
      <c r="L3256" s="176">
        <f>IFERROR(__xludf.DUMMYFUNCTION("""COMPUTED_VALUE"""),3.0)</f>
        <v>3</v>
      </c>
      <c r="M3256" s="176">
        <f>IFERROR(__xludf.DUMMYFUNCTION("""COMPUTED_VALUE"""),66.0)</f>
        <v>66</v>
      </c>
      <c r="N3256" s="177" t="str">
        <f>IFERROR(__xludf.DUMMYFUNCTION("""COMPUTED_VALUE"""),"Model 3 Performance")</f>
        <v>Model 3 Performance</v>
      </c>
      <c r="O3256" s="177" t="str">
        <f>IFERROR(__xludf.DUMMYFUNCTION("""COMPUTED_VALUE"""),"Midnight Silver Metallic")</f>
        <v>Midnight Silver Metallic</v>
      </c>
      <c r="P3256" s="178" t="str">
        <f>IFERROR(__xludf.DUMMYFUNCTION("""COMPUTED_VALUE"""),"20 inch Sport")</f>
        <v>20 inch Sport</v>
      </c>
      <c r="Q3256" s="177" t="str">
        <f>IFERROR(__xludf.DUMMYFUNCTION("""COMPUTED_VALUE"""),"Black seats")</f>
        <v>Black seats</v>
      </c>
      <c r="R3256" s="170" t="str">
        <f>IFERROR(__xludf.DUMMYFUNCTION("""COMPUTED_VALUE"""),"Full Self-Driving")</f>
        <v>Full Self-Driving</v>
      </c>
      <c r="S3256" s="170"/>
      <c r="T3256" s="179"/>
      <c r="U3256" s="179"/>
      <c r="V3256" s="179"/>
      <c r="W3256" s="180"/>
      <c r="X3256" s="181" t="str">
        <f>IFERROR(__xludf.DUMMYFUNCTION("""COMPUTED_VALUE"""),"Excellent")</f>
        <v>Excellent</v>
      </c>
      <c r="Y3256" s="182" t="str">
        <f>IFERROR(__xludf.DUMMYFUNCTION("""COMPUTED_VALUE"""),"Excellent")</f>
        <v>Excellent</v>
      </c>
      <c r="Z3256" s="182" t="str">
        <f>IFERROR(__xludf.DUMMYFUNCTION("""COMPUTED_VALUE"""),"Excellent")</f>
        <v>Excellent</v>
      </c>
      <c r="AA3256" s="182" t="str">
        <f>IFERROR(__xludf.DUMMYFUNCTION("""COMPUTED_VALUE"""),"Excellent")</f>
        <v>Excellent</v>
      </c>
      <c r="AB3256" s="182" t="str">
        <f>IFERROR(__xludf.DUMMYFUNCTION("""COMPUTED_VALUE"""),"Excellent")</f>
        <v>Excellent</v>
      </c>
      <c r="AC3256" s="183"/>
      <c r="AD3256" s="183"/>
      <c r="AE3256" s="183"/>
      <c r="AF3256" s="184"/>
      <c r="AG3256" s="180"/>
      <c r="AH3256" s="185">
        <f>IFERROR(__xludf.DUMMYFUNCTION("""COMPUTED_VALUE"""),43344.417738310185)</f>
        <v>43344.41774</v>
      </c>
      <c r="AI3256" s="182"/>
      <c r="AJ3256" s="182"/>
      <c r="AK3256" s="182"/>
      <c r="AL3256" s="182"/>
    </row>
    <row r="3257" ht="20.25" customHeight="1">
      <c r="A3257" s="169" t="str">
        <f>IFERROR(__xludf.DUMMYFUNCTION("""COMPUTED_VALUE"""),"cush")</f>
        <v>cush</v>
      </c>
      <c r="B3257" s="170"/>
      <c r="C3257" s="170" t="str">
        <f>IFERROR(__xludf.DUMMYFUNCTION("""COMPUTED_VALUE"""),"MA")</f>
        <v>MA</v>
      </c>
      <c r="D3257" s="170" t="str">
        <f>IFERROR(__xludf.DUMMYFUNCTION("""COMPUTED_VALUE"""),"USA")</f>
        <v>USA</v>
      </c>
      <c r="E3257" s="171">
        <f>IFERROR(__xludf.DUMMYFUNCTION("""COMPUTED_VALUE"""),43277.0)</f>
        <v>43277</v>
      </c>
      <c r="F3257" s="172">
        <f>IFERROR(__xludf.DUMMYFUNCTION("""COMPUTED_VALUE"""),43347.0)</f>
        <v>43347</v>
      </c>
      <c r="G3257" s="173"/>
      <c r="H3257" s="174">
        <f>IFERROR(__xludf.DUMMYFUNCTION("""COMPUTED_VALUE"""),99855.0)</f>
        <v>99855</v>
      </c>
      <c r="I3257" s="175" t="str">
        <f>IFERROR(__xludf.DUMMYFUNCTION("""COMPUTED_VALUE"""),"08/18")</f>
        <v>08/18</v>
      </c>
      <c r="J3257" s="172">
        <f>IFERROR(__xludf.DUMMYFUNCTION("""COMPUTED_VALUE"""),43370.0)</f>
        <v>43370</v>
      </c>
      <c r="K3257" s="176">
        <f>IFERROR(__xludf.DUMMYFUNCTION("""COMPUTED_VALUE"""),70.0)</f>
        <v>70</v>
      </c>
      <c r="L3257" s="176">
        <f>IFERROR(__xludf.DUMMYFUNCTION("""COMPUTED_VALUE"""),23.0)</f>
        <v>23</v>
      </c>
      <c r="M3257" s="176">
        <f>IFERROR(__xludf.DUMMYFUNCTION("""COMPUTED_VALUE"""),93.0)</f>
        <v>93</v>
      </c>
      <c r="N3257" s="177" t="str">
        <f>IFERROR(__xludf.DUMMYFUNCTION("""COMPUTED_VALUE"""),"Model 3 Performance")</f>
        <v>Model 3 Performance</v>
      </c>
      <c r="O3257" s="177" t="str">
        <f>IFERROR(__xludf.DUMMYFUNCTION("""COMPUTED_VALUE"""),"Deep Blue Metallic")</f>
        <v>Deep Blue Metallic</v>
      </c>
      <c r="P3257" s="178" t="str">
        <f>IFERROR(__xludf.DUMMYFUNCTION("""COMPUTED_VALUE"""),"18 inch Aero")</f>
        <v>18 inch Aero</v>
      </c>
      <c r="Q3257" s="177" t="str">
        <f>IFERROR(__xludf.DUMMYFUNCTION("""COMPUTED_VALUE"""),"White seats")</f>
        <v>White seats</v>
      </c>
      <c r="R3257" s="170" t="str">
        <f>IFERROR(__xludf.DUMMYFUNCTION("""COMPUTED_VALUE"""),"Enhanced Autopilot")</f>
        <v>Enhanced Autopilot</v>
      </c>
      <c r="S3257" s="170"/>
      <c r="T3257" s="179"/>
      <c r="U3257" s="179"/>
      <c r="V3257" s="179"/>
      <c r="W3257" s="180"/>
      <c r="X3257" s="181" t="str">
        <f>IFERROR(__xludf.DUMMYFUNCTION("""COMPUTED_VALUE"""),"Very Good")</f>
        <v>Very Good</v>
      </c>
      <c r="Y3257" s="182" t="str">
        <f>IFERROR(__xludf.DUMMYFUNCTION("""COMPUTED_VALUE"""),"Excellent")</f>
        <v>Excellent</v>
      </c>
      <c r="Z3257" s="182" t="str">
        <f>IFERROR(__xludf.DUMMYFUNCTION("""COMPUTED_VALUE"""),"Excellent")</f>
        <v>Excellent</v>
      </c>
      <c r="AA3257" s="182" t="str">
        <f>IFERROR(__xludf.DUMMYFUNCTION("""COMPUTED_VALUE"""),"Excellent")</f>
        <v>Excellent</v>
      </c>
      <c r="AB3257" s="182" t="str">
        <f>IFERROR(__xludf.DUMMYFUNCTION("""COMPUTED_VALUE"""),"Excellent")</f>
        <v>Excellent</v>
      </c>
      <c r="AC3257" s="183"/>
      <c r="AD3257" s="183"/>
      <c r="AE3257" s="183"/>
      <c r="AF3257" s="184"/>
      <c r="AG3257" s="180"/>
      <c r="AH3257" s="185">
        <f>IFERROR(__xludf.DUMMYFUNCTION("""COMPUTED_VALUE"""),43371.36670880787)</f>
        <v>43371.36671</v>
      </c>
      <c r="AI3257" s="182"/>
      <c r="AJ3257" s="182"/>
      <c r="AK3257" s="182"/>
      <c r="AL3257" s="182"/>
    </row>
    <row r="3258" ht="20.25" customHeight="1">
      <c r="A3258" s="169" t="str">
        <f>IFERROR(__xludf.DUMMYFUNCTION("""COMPUTED_VALUE"""),"dfang")</f>
        <v>dfang</v>
      </c>
      <c r="B3258" s="170" t="str">
        <f>IFERROR(__xludf.DUMMYFUNCTION("""COMPUTED_VALUE"""),"SF Bay Area")</f>
        <v>SF Bay Area</v>
      </c>
      <c r="C3258" s="170" t="str">
        <f>IFERROR(__xludf.DUMMYFUNCTION("""COMPUTED_VALUE"""),"CA")</f>
        <v>CA</v>
      </c>
      <c r="D3258" s="170" t="str">
        <f>IFERROR(__xludf.DUMMYFUNCTION("""COMPUTED_VALUE"""),"USA")</f>
        <v>USA</v>
      </c>
      <c r="E3258" s="171">
        <f>IFERROR(__xludf.DUMMYFUNCTION("""COMPUTED_VALUE"""),43277.0)</f>
        <v>43277</v>
      </c>
      <c r="F3258" s="172">
        <f>IFERROR(__xludf.DUMMYFUNCTION("""COMPUTED_VALUE"""),43279.0)</f>
        <v>43279</v>
      </c>
      <c r="G3258" s="173"/>
      <c r="H3258" s="174">
        <f>IFERROR(__xludf.DUMMYFUNCTION("""COMPUTED_VALUE"""),33655.0)</f>
        <v>33655</v>
      </c>
      <c r="I3258" s="175"/>
      <c r="J3258" s="172">
        <f>IFERROR(__xludf.DUMMYFUNCTION("""COMPUTED_VALUE"""),43288.0)</f>
        <v>43288</v>
      </c>
      <c r="K3258" s="176">
        <f>IFERROR(__xludf.DUMMYFUNCTION("""COMPUTED_VALUE"""),2.0)</f>
        <v>2</v>
      </c>
      <c r="L3258" s="176">
        <f>IFERROR(__xludf.DUMMYFUNCTION("""COMPUTED_VALUE"""),9.0)</f>
        <v>9</v>
      </c>
      <c r="M3258" s="176">
        <f>IFERROR(__xludf.DUMMYFUNCTION("""COMPUTED_VALUE"""),11.0)</f>
        <v>11</v>
      </c>
      <c r="N3258" s="177" t="str">
        <f>IFERROR(__xludf.DUMMYFUNCTION("""COMPUTED_VALUE"""),"Model 3 LR")</f>
        <v>Model 3 LR</v>
      </c>
      <c r="O3258" s="177" t="str">
        <f>IFERROR(__xludf.DUMMYFUNCTION("""COMPUTED_VALUE"""),"Silver Metallic")</f>
        <v>Silver Metallic</v>
      </c>
      <c r="P3258" s="178" t="str">
        <f>IFERROR(__xludf.DUMMYFUNCTION("""COMPUTED_VALUE"""),"18 inch Aero")</f>
        <v>18 inch Aero</v>
      </c>
      <c r="Q3258" s="177" t="str">
        <f>IFERROR(__xludf.DUMMYFUNCTION("""COMPUTED_VALUE"""),"Black seats")</f>
        <v>Black seats</v>
      </c>
      <c r="R3258" s="170" t="str">
        <f>IFERROR(__xludf.DUMMYFUNCTION("""COMPUTED_VALUE"""),"Enhanced Autopilot")</f>
        <v>Enhanced Autopilot</v>
      </c>
      <c r="S3258" s="170"/>
      <c r="T3258" s="179"/>
      <c r="U3258" s="179"/>
      <c r="V3258" s="179"/>
      <c r="W3258" s="180"/>
      <c r="X3258" s="181" t="str">
        <f>IFERROR(__xludf.DUMMYFUNCTION("""COMPUTED_VALUE"""),"Fair")</f>
        <v>Fair</v>
      </c>
      <c r="Y3258" s="182" t="str">
        <f>IFERROR(__xludf.DUMMYFUNCTION("""COMPUTED_VALUE"""),"Very Good")</f>
        <v>Very Good</v>
      </c>
      <c r="Z3258" s="182" t="str">
        <f>IFERROR(__xludf.DUMMYFUNCTION("""COMPUTED_VALUE"""),"Fair")</f>
        <v>Fair</v>
      </c>
      <c r="AA3258" s="182" t="str">
        <f>IFERROR(__xludf.DUMMYFUNCTION("""COMPUTED_VALUE"""),"Excellent")</f>
        <v>Excellent</v>
      </c>
      <c r="AB3258" s="182" t="str">
        <f>IFERROR(__xludf.DUMMYFUNCTION("""COMPUTED_VALUE"""),"Poor")</f>
        <v>Poor</v>
      </c>
      <c r="AC3258" s="183">
        <f>IFERROR(__xludf.DUMMYFUNCTION("""COMPUTED_VALUE"""),3.0)</f>
        <v>3</v>
      </c>
      <c r="AD3258" s="183"/>
      <c r="AE3258" s="183"/>
      <c r="AF3258" s="184"/>
      <c r="AG3258" s="180"/>
      <c r="AH3258" s="185">
        <f>IFERROR(__xludf.DUMMYFUNCTION("""COMPUTED_VALUE"""),43290.70865784722)</f>
        <v>43290.70866</v>
      </c>
      <c r="AI3258" s="182"/>
      <c r="AJ3258" s="182"/>
      <c r="AK3258" s="182"/>
      <c r="AL3258" s="182"/>
    </row>
    <row r="3259" ht="20.25" customHeight="1">
      <c r="A3259" s="169" t="str">
        <f>IFERROR(__xludf.DUMMYFUNCTION("""COMPUTED_VALUE"""),"Doley")</f>
        <v>Doley</v>
      </c>
      <c r="B3259" s="170"/>
      <c r="C3259" s="170" t="str">
        <f>IFERROR(__xludf.DUMMYFUNCTION("""COMPUTED_VALUE"""),"MA")</f>
        <v>MA</v>
      </c>
      <c r="D3259" s="170" t="str">
        <f>IFERROR(__xludf.DUMMYFUNCTION("""COMPUTED_VALUE"""),"USA")</f>
        <v>USA</v>
      </c>
      <c r="E3259" s="171">
        <f>IFERROR(__xludf.DUMMYFUNCTION("""COMPUTED_VALUE"""),43277.0)</f>
        <v>43277</v>
      </c>
      <c r="F3259" s="172">
        <f>IFERROR(__xludf.DUMMYFUNCTION("""COMPUTED_VALUE"""),43318.0)</f>
        <v>43318</v>
      </c>
      <c r="G3259" s="173"/>
      <c r="H3259" s="174">
        <f>IFERROR(__xludf.DUMMYFUNCTION("""COMPUTED_VALUE"""),65455.0)</f>
        <v>65455</v>
      </c>
      <c r="I3259" s="175"/>
      <c r="J3259" s="172">
        <f>IFERROR(__xludf.DUMMYFUNCTION("""COMPUTED_VALUE"""),43342.0)</f>
        <v>43342</v>
      </c>
      <c r="K3259" s="176">
        <f>IFERROR(__xludf.DUMMYFUNCTION("""COMPUTED_VALUE"""),41.0)</f>
        <v>41</v>
      </c>
      <c r="L3259" s="176">
        <f>IFERROR(__xludf.DUMMYFUNCTION("""COMPUTED_VALUE"""),24.0)</f>
        <v>24</v>
      </c>
      <c r="M3259" s="176">
        <f>IFERROR(__xludf.DUMMYFUNCTION("""COMPUTED_VALUE"""),65.0)</f>
        <v>65</v>
      </c>
      <c r="N3259" s="177" t="str">
        <f>IFERROR(__xludf.DUMMYFUNCTION("""COMPUTED_VALUE"""),"Model 3 LR AWD")</f>
        <v>Model 3 LR AWD</v>
      </c>
      <c r="O3259" s="177" t="str">
        <f>IFERROR(__xludf.DUMMYFUNCTION("""COMPUTED_VALUE"""),"Red Multi-Coat")</f>
        <v>Red Multi-Coat</v>
      </c>
      <c r="P3259" s="178" t="str">
        <f>IFERROR(__xludf.DUMMYFUNCTION("""COMPUTED_VALUE"""),"19 inch Sport")</f>
        <v>19 inch Sport</v>
      </c>
      <c r="Q3259" s="177" t="str">
        <f>IFERROR(__xludf.DUMMYFUNCTION("""COMPUTED_VALUE"""),"Black seats")</f>
        <v>Black seats</v>
      </c>
      <c r="R3259" s="170" t="str">
        <f>IFERROR(__xludf.DUMMYFUNCTION("""COMPUTED_VALUE"""),"Enhanced Autopilot")</f>
        <v>Enhanced Autopilot</v>
      </c>
      <c r="S3259" s="170"/>
      <c r="T3259" s="179"/>
      <c r="U3259" s="179"/>
      <c r="V3259" s="179"/>
      <c r="W3259" s="180"/>
      <c r="X3259" s="181" t="str">
        <f>IFERROR(__xludf.DUMMYFUNCTION("""COMPUTED_VALUE"""),"Excellent")</f>
        <v>Excellent</v>
      </c>
      <c r="Y3259" s="182" t="str">
        <f>IFERROR(__xludf.DUMMYFUNCTION("""COMPUTED_VALUE"""),"Excellent")</f>
        <v>Excellent</v>
      </c>
      <c r="Z3259" s="182" t="str">
        <f>IFERROR(__xludf.DUMMYFUNCTION("""COMPUTED_VALUE"""),"Excellent")</f>
        <v>Excellent</v>
      </c>
      <c r="AA3259" s="182" t="str">
        <f>IFERROR(__xludf.DUMMYFUNCTION("""COMPUTED_VALUE"""),"Fair")</f>
        <v>Fair</v>
      </c>
      <c r="AB3259" s="182" t="str">
        <f>IFERROR(__xludf.DUMMYFUNCTION("""COMPUTED_VALUE"""),"Very Good")</f>
        <v>Very Good</v>
      </c>
      <c r="AC3259" s="183"/>
      <c r="AD3259" s="183"/>
      <c r="AE3259" s="183"/>
      <c r="AF3259" s="184"/>
      <c r="AG3259" s="180"/>
      <c r="AH3259" s="185">
        <f>IFERROR(__xludf.DUMMYFUNCTION("""COMPUTED_VALUE"""),43343.153201249996)</f>
        <v>43343.1532</v>
      </c>
      <c r="AI3259" s="182"/>
      <c r="AJ3259" s="182"/>
      <c r="AK3259" s="182"/>
      <c r="AL3259" s="182"/>
    </row>
    <row r="3260" ht="20.25" customHeight="1">
      <c r="A3260" s="169" t="str">
        <f>IFERROR(__xludf.DUMMYFUNCTION("""COMPUTED_VALUE"""),"DrZoidberg")</f>
        <v>DrZoidberg</v>
      </c>
      <c r="B3260" s="170"/>
      <c r="C3260" s="170" t="str">
        <f>IFERROR(__xludf.DUMMYFUNCTION("""COMPUTED_VALUE"""),"WY")</f>
        <v>WY</v>
      </c>
      <c r="D3260" s="170" t="str">
        <f>IFERROR(__xludf.DUMMYFUNCTION("""COMPUTED_VALUE"""),"USA")</f>
        <v>USA</v>
      </c>
      <c r="E3260" s="171">
        <f>IFERROR(__xludf.DUMMYFUNCTION("""COMPUTED_VALUE"""),43277.0)</f>
        <v>43277</v>
      </c>
      <c r="F3260" s="172">
        <f>IFERROR(__xludf.DUMMYFUNCTION("""COMPUTED_VALUE"""),43355.0)</f>
        <v>43355</v>
      </c>
      <c r="G3260" s="173"/>
      <c r="H3260" s="174">
        <f>IFERROR(__xludf.DUMMYFUNCTION("""COMPUTED_VALUE"""),80655.0)</f>
        <v>80655</v>
      </c>
      <c r="I3260" s="175" t="str">
        <f>IFERROR(__xludf.DUMMYFUNCTION("""COMPUTED_VALUE"""),"09/18")</f>
        <v>09/18</v>
      </c>
      <c r="J3260" s="172">
        <f>IFERROR(__xludf.DUMMYFUNCTION("""COMPUTED_VALUE"""),43371.0)</f>
        <v>43371</v>
      </c>
      <c r="K3260" s="176">
        <f>IFERROR(__xludf.DUMMYFUNCTION("""COMPUTED_VALUE"""),78.0)</f>
        <v>78</v>
      </c>
      <c r="L3260" s="176">
        <f>IFERROR(__xludf.DUMMYFUNCTION("""COMPUTED_VALUE"""),16.0)</f>
        <v>16</v>
      </c>
      <c r="M3260" s="176">
        <f>IFERROR(__xludf.DUMMYFUNCTION("""COMPUTED_VALUE"""),94.0)</f>
        <v>94</v>
      </c>
      <c r="N3260" s="177" t="str">
        <f>IFERROR(__xludf.DUMMYFUNCTION("""COMPUTED_VALUE"""),"Model 3 Performance")</f>
        <v>Model 3 Performance</v>
      </c>
      <c r="O3260" s="177" t="str">
        <f>IFERROR(__xludf.DUMMYFUNCTION("""COMPUTED_VALUE"""),"Deep Blue Metallic")</f>
        <v>Deep Blue Metallic</v>
      </c>
      <c r="P3260" s="178" t="str">
        <f>IFERROR(__xludf.DUMMYFUNCTION("""COMPUTED_VALUE"""),"20 inch Sport")</f>
        <v>20 inch Sport</v>
      </c>
      <c r="Q3260" s="177" t="str">
        <f>IFERROR(__xludf.DUMMYFUNCTION("""COMPUTED_VALUE"""),"White seats")</f>
        <v>White seats</v>
      </c>
      <c r="R3260" s="170" t="str">
        <f>IFERROR(__xludf.DUMMYFUNCTION("""COMPUTED_VALUE"""),"None")</f>
        <v>None</v>
      </c>
      <c r="S3260" s="170"/>
      <c r="T3260" s="179"/>
      <c r="U3260" s="179"/>
      <c r="V3260" s="179"/>
      <c r="W3260" s="180"/>
      <c r="X3260" s="181" t="str">
        <f>IFERROR(__xludf.DUMMYFUNCTION("""COMPUTED_VALUE"""),"Very Good")</f>
        <v>Very Good</v>
      </c>
      <c r="Y3260" s="182" t="str">
        <f>IFERROR(__xludf.DUMMYFUNCTION("""COMPUTED_VALUE"""),"Very Good")</f>
        <v>Very Good</v>
      </c>
      <c r="Z3260" s="182" t="str">
        <f>IFERROR(__xludf.DUMMYFUNCTION("""COMPUTED_VALUE"""),"Good")</f>
        <v>Good</v>
      </c>
      <c r="AA3260" s="182" t="str">
        <f>IFERROR(__xludf.DUMMYFUNCTION("""COMPUTED_VALUE"""),"Good")</f>
        <v>Good</v>
      </c>
      <c r="AB3260" s="182" t="str">
        <f>IFERROR(__xludf.DUMMYFUNCTION("""COMPUTED_VALUE"""),"Good")</f>
        <v>Good</v>
      </c>
      <c r="AC3260" s="183">
        <f>IFERROR(__xludf.DUMMYFUNCTION("""COMPUTED_VALUE"""),3.0)</f>
        <v>3</v>
      </c>
      <c r="AD3260" s="183">
        <f>IFERROR(__xludf.DUMMYFUNCTION("""COMPUTED_VALUE"""),1.0)</f>
        <v>1</v>
      </c>
      <c r="AE3260" s="183">
        <f>IFERROR(__xludf.DUMMYFUNCTION("""COMPUTED_VALUE"""),16.0)</f>
        <v>16</v>
      </c>
      <c r="AF3260" s="184"/>
      <c r="AG3260" s="180"/>
      <c r="AH3260" s="185">
        <f>IFERROR(__xludf.DUMMYFUNCTION("""COMPUTED_VALUE"""),43392.828955486104)</f>
        <v>43392.82896</v>
      </c>
      <c r="AI3260" s="182"/>
      <c r="AJ3260" s="182"/>
      <c r="AK3260" s="182"/>
      <c r="AL3260" s="182"/>
    </row>
    <row r="3261" ht="20.25" customHeight="1">
      <c r="A3261" s="169" t="str">
        <f>IFERROR(__xludf.DUMMYFUNCTION("""COMPUTED_VALUE"""),"gmtom1")</f>
        <v>gmtom1</v>
      </c>
      <c r="B3261" s="170" t="str">
        <f>IFERROR(__xludf.DUMMYFUNCTION("""COMPUTED_VALUE"""),"Honolulu")</f>
        <v>Honolulu</v>
      </c>
      <c r="C3261" s="170" t="str">
        <f>IFERROR(__xludf.DUMMYFUNCTION("""COMPUTED_VALUE"""),"HI")</f>
        <v>HI</v>
      </c>
      <c r="D3261" s="170" t="str">
        <f>IFERROR(__xludf.DUMMYFUNCTION("""COMPUTED_VALUE"""),"USA")</f>
        <v>USA</v>
      </c>
      <c r="E3261" s="171">
        <f>IFERROR(__xludf.DUMMYFUNCTION("""COMPUTED_VALUE"""),43277.0)</f>
        <v>43277</v>
      </c>
      <c r="F3261" s="172">
        <f>IFERROR(__xludf.DUMMYFUNCTION("""COMPUTED_VALUE"""),43318.0)</f>
        <v>43318</v>
      </c>
      <c r="G3261" s="173"/>
      <c r="H3261" s="174">
        <f>IFERROR(__xludf.DUMMYFUNCTION("""COMPUTED_VALUE"""),69255.0)</f>
        <v>69255</v>
      </c>
      <c r="I3261" s="175" t="str">
        <f>IFERROR(__xludf.DUMMYFUNCTION("""COMPUTED_VALUE"""),"08/18")</f>
        <v>08/18</v>
      </c>
      <c r="J3261" s="172">
        <f>IFERROR(__xludf.DUMMYFUNCTION("""COMPUTED_VALUE"""),43342.0)</f>
        <v>43342</v>
      </c>
      <c r="K3261" s="176">
        <f>IFERROR(__xludf.DUMMYFUNCTION("""COMPUTED_VALUE"""),41.0)</f>
        <v>41</v>
      </c>
      <c r="L3261" s="176">
        <f>IFERROR(__xludf.DUMMYFUNCTION("""COMPUTED_VALUE"""),24.0)</f>
        <v>24</v>
      </c>
      <c r="M3261" s="176">
        <f>IFERROR(__xludf.DUMMYFUNCTION("""COMPUTED_VALUE"""),65.0)</f>
        <v>65</v>
      </c>
      <c r="N3261" s="177" t="str">
        <f>IFERROR(__xludf.DUMMYFUNCTION("""COMPUTED_VALUE"""),"Model 3 LR AWD")</f>
        <v>Model 3 LR AWD</v>
      </c>
      <c r="O3261" s="177" t="str">
        <f>IFERROR(__xludf.DUMMYFUNCTION("""COMPUTED_VALUE"""),"Silver Metallic")</f>
        <v>Silver Metallic</v>
      </c>
      <c r="P3261" s="178" t="str">
        <f>IFERROR(__xludf.DUMMYFUNCTION("""COMPUTED_VALUE"""),"19 inch Sport")</f>
        <v>19 inch Sport</v>
      </c>
      <c r="Q3261" s="177" t="str">
        <f>IFERROR(__xludf.DUMMYFUNCTION("""COMPUTED_VALUE"""),"Black seats")</f>
        <v>Black seats</v>
      </c>
      <c r="R3261" s="170" t="str">
        <f>IFERROR(__xludf.DUMMYFUNCTION("""COMPUTED_VALUE"""),"Enhanced Autopilot")</f>
        <v>Enhanced Autopilot</v>
      </c>
      <c r="S3261" s="170"/>
      <c r="T3261" s="179"/>
      <c r="U3261" s="179"/>
      <c r="V3261" s="179"/>
      <c r="W3261" s="180"/>
      <c r="X3261" s="181" t="str">
        <f>IFERROR(__xludf.DUMMYFUNCTION("""COMPUTED_VALUE"""),"Excellent")</f>
        <v>Excellent</v>
      </c>
      <c r="Y3261" s="182" t="str">
        <f>IFERROR(__xludf.DUMMYFUNCTION("""COMPUTED_VALUE"""),"Excellent")</f>
        <v>Excellent</v>
      </c>
      <c r="Z3261" s="182" t="str">
        <f>IFERROR(__xludf.DUMMYFUNCTION("""COMPUTED_VALUE"""),"Excellent")</f>
        <v>Excellent</v>
      </c>
      <c r="AA3261" s="182" t="str">
        <f>IFERROR(__xludf.DUMMYFUNCTION("""COMPUTED_VALUE"""),"Good")</f>
        <v>Good</v>
      </c>
      <c r="AB3261" s="182" t="str">
        <f>IFERROR(__xludf.DUMMYFUNCTION("""COMPUTED_VALUE"""),"Fair")</f>
        <v>Fair</v>
      </c>
      <c r="AC3261" s="183">
        <f>IFERROR(__xludf.DUMMYFUNCTION("""COMPUTED_VALUE"""),2.0)</f>
        <v>2</v>
      </c>
      <c r="AD3261" s="183"/>
      <c r="AE3261" s="183"/>
      <c r="AF3261" s="184"/>
      <c r="AG3261" s="180"/>
      <c r="AH3261" s="185">
        <f>IFERROR(__xludf.DUMMYFUNCTION("""COMPUTED_VALUE"""),43343.32307354167)</f>
        <v>43343.32307</v>
      </c>
      <c r="AI3261" s="182"/>
      <c r="AJ3261" s="182"/>
      <c r="AK3261" s="182"/>
      <c r="AL3261" s="182"/>
    </row>
    <row r="3262" ht="20.25" customHeight="1">
      <c r="A3262" s="169" t="str">
        <f>IFERROR(__xludf.DUMMYFUNCTION("""COMPUTED_VALUE"""),"GRNNRG")</f>
        <v>GRNNRG</v>
      </c>
      <c r="B3262" s="170" t="str">
        <f>IFERROR(__xludf.DUMMYFUNCTION("""COMPUTED_VALUE"""),"Calgary")</f>
        <v>Calgary</v>
      </c>
      <c r="C3262" s="170" t="str">
        <f>IFERROR(__xludf.DUMMYFUNCTION("""COMPUTED_VALUE"""),"AB")</f>
        <v>AB</v>
      </c>
      <c r="D3262" s="170" t="str">
        <f>IFERROR(__xludf.DUMMYFUNCTION("""COMPUTED_VALUE"""),"Canada")</f>
        <v>Canada</v>
      </c>
      <c r="E3262" s="171">
        <f>IFERROR(__xludf.DUMMYFUNCTION("""COMPUTED_VALUE"""),43277.0)</f>
        <v>43277</v>
      </c>
      <c r="F3262" s="172">
        <f>IFERROR(__xludf.DUMMYFUNCTION("""COMPUTED_VALUE"""),43355.0)</f>
        <v>43355</v>
      </c>
      <c r="G3262" s="173"/>
      <c r="H3262" s="174">
        <f>IFERROR(__xludf.DUMMYFUNCTION("""COMPUTED_VALUE"""),107246.0)</f>
        <v>107246</v>
      </c>
      <c r="I3262" s="175" t="str">
        <f>IFERROR(__xludf.DUMMYFUNCTION("""COMPUTED_VALUE"""),"09/18")</f>
        <v>09/18</v>
      </c>
      <c r="J3262" s="172">
        <f>IFERROR(__xludf.DUMMYFUNCTION("""COMPUTED_VALUE"""),43361.0)</f>
        <v>43361</v>
      </c>
      <c r="K3262" s="176">
        <f>IFERROR(__xludf.DUMMYFUNCTION("""COMPUTED_VALUE"""),78.0)</f>
        <v>78</v>
      </c>
      <c r="L3262" s="176">
        <f>IFERROR(__xludf.DUMMYFUNCTION("""COMPUTED_VALUE"""),6.0)</f>
        <v>6</v>
      </c>
      <c r="M3262" s="176">
        <f>IFERROR(__xludf.DUMMYFUNCTION("""COMPUTED_VALUE"""),84.0)</f>
        <v>84</v>
      </c>
      <c r="N3262" s="177" t="str">
        <f>IFERROR(__xludf.DUMMYFUNCTION("""COMPUTED_VALUE"""),"Model 3 LR AWD")</f>
        <v>Model 3 LR AWD</v>
      </c>
      <c r="O3262" s="177" t="str">
        <f>IFERROR(__xludf.DUMMYFUNCTION("""COMPUTED_VALUE"""),"Pearl White Multi-Coat")</f>
        <v>Pearl White Multi-Coat</v>
      </c>
      <c r="P3262" s="178" t="str">
        <f>IFERROR(__xludf.DUMMYFUNCTION("""COMPUTED_VALUE"""),"18 inch Aero")</f>
        <v>18 inch Aero</v>
      </c>
      <c r="Q3262" s="177" t="str">
        <f>IFERROR(__xludf.DUMMYFUNCTION("""COMPUTED_VALUE"""),"Black seats")</f>
        <v>Black seats</v>
      </c>
      <c r="R3262" s="170" t="str">
        <f>IFERROR(__xludf.DUMMYFUNCTION("""COMPUTED_VALUE"""),"Enhanced Autopilot")</f>
        <v>Enhanced Autopilot</v>
      </c>
      <c r="S3262" s="170"/>
      <c r="T3262" s="179"/>
      <c r="U3262" s="179"/>
      <c r="V3262" s="179"/>
      <c r="W3262" s="180"/>
      <c r="X3262" s="181" t="str">
        <f>IFERROR(__xludf.DUMMYFUNCTION("""COMPUTED_VALUE"""),"Very Good")</f>
        <v>Very Good</v>
      </c>
      <c r="Y3262" s="182" t="str">
        <f>IFERROR(__xludf.DUMMYFUNCTION("""COMPUTED_VALUE"""),"Excellent")</f>
        <v>Excellent</v>
      </c>
      <c r="Z3262" s="182" t="str">
        <f>IFERROR(__xludf.DUMMYFUNCTION("""COMPUTED_VALUE"""),"Excellent")</f>
        <v>Excellent</v>
      </c>
      <c r="AA3262" s="182" t="str">
        <f>IFERROR(__xludf.DUMMYFUNCTION("""COMPUTED_VALUE"""),"Poor")</f>
        <v>Poor</v>
      </c>
      <c r="AB3262" s="182" t="str">
        <f>IFERROR(__xludf.DUMMYFUNCTION("""COMPUTED_VALUE"""),"Good")</f>
        <v>Good</v>
      </c>
      <c r="AC3262" s="183">
        <f>IFERROR(__xludf.DUMMYFUNCTION("""COMPUTED_VALUE"""),0.0)</f>
        <v>0</v>
      </c>
      <c r="AD3262" s="183">
        <f>IFERROR(__xludf.DUMMYFUNCTION("""COMPUTED_VALUE"""),0.0)</f>
        <v>0</v>
      </c>
      <c r="AE3262" s="183">
        <f>IFERROR(__xludf.DUMMYFUNCTION("""COMPUTED_VALUE"""),0.0)</f>
        <v>0</v>
      </c>
      <c r="AF3262" s="184"/>
      <c r="AG3262" s="180"/>
      <c r="AH3262" s="185">
        <f>IFERROR(__xludf.DUMMYFUNCTION("""COMPUTED_VALUE"""),43368.41411049768)</f>
        <v>43368.41411</v>
      </c>
      <c r="AI3262" s="182"/>
      <c r="AJ3262" s="182"/>
      <c r="AK3262" s="182"/>
      <c r="AL3262" s="182"/>
    </row>
    <row r="3263" ht="20.25" customHeight="1">
      <c r="A3263" s="169" t="str">
        <f>IFERROR(__xludf.DUMMYFUNCTION("""COMPUTED_VALUE"""),"HughManatee")</f>
        <v>HughManatee</v>
      </c>
      <c r="B3263" s="170" t="str">
        <f>IFERROR(__xludf.DUMMYFUNCTION("""COMPUTED_VALUE"""),"Saint Paul")</f>
        <v>Saint Paul</v>
      </c>
      <c r="C3263" s="170" t="str">
        <f>IFERROR(__xludf.DUMMYFUNCTION("""COMPUTED_VALUE"""),"MN")</f>
        <v>MN</v>
      </c>
      <c r="D3263" s="170" t="str">
        <f>IFERROR(__xludf.DUMMYFUNCTION("""COMPUTED_VALUE"""),"USA")</f>
        <v>USA</v>
      </c>
      <c r="E3263" s="171">
        <f>IFERROR(__xludf.DUMMYFUNCTION("""COMPUTED_VALUE"""),43277.0)</f>
        <v>43277</v>
      </c>
      <c r="F3263" s="172">
        <f>IFERROR(__xludf.DUMMYFUNCTION("""COMPUTED_VALUE"""),43320.0)</f>
        <v>43320</v>
      </c>
      <c r="G3263" s="173"/>
      <c r="H3263" s="174">
        <f>IFERROR(__xludf.DUMMYFUNCTION("""COMPUTED_VALUE"""),70855.0)</f>
        <v>70855</v>
      </c>
      <c r="I3263" s="175"/>
      <c r="J3263" s="172">
        <f>IFERROR(__xludf.DUMMYFUNCTION("""COMPUTED_VALUE"""),43340.0)</f>
        <v>43340</v>
      </c>
      <c r="K3263" s="176">
        <f>IFERROR(__xludf.DUMMYFUNCTION("""COMPUTED_VALUE"""),43.0)</f>
        <v>43</v>
      </c>
      <c r="L3263" s="176">
        <f>IFERROR(__xludf.DUMMYFUNCTION("""COMPUTED_VALUE"""),20.0)</f>
        <v>20</v>
      </c>
      <c r="M3263" s="176">
        <f>IFERROR(__xludf.DUMMYFUNCTION("""COMPUTED_VALUE"""),63.0)</f>
        <v>63</v>
      </c>
      <c r="N3263" s="177" t="str">
        <f>IFERROR(__xludf.DUMMYFUNCTION("""COMPUTED_VALUE"""),"Model 3 LR AWD")</f>
        <v>Model 3 LR AWD</v>
      </c>
      <c r="O3263" s="177" t="str">
        <f>IFERROR(__xludf.DUMMYFUNCTION("""COMPUTED_VALUE"""),"Obsidian Black Metallic")</f>
        <v>Obsidian Black Metallic</v>
      </c>
      <c r="P3263" s="178" t="str">
        <f>IFERROR(__xludf.DUMMYFUNCTION("""COMPUTED_VALUE"""),"18 inch Aero")</f>
        <v>18 inch Aero</v>
      </c>
      <c r="Q3263" s="177" t="str">
        <f>IFERROR(__xludf.DUMMYFUNCTION("""COMPUTED_VALUE"""),"White seats")</f>
        <v>White seats</v>
      </c>
      <c r="R3263" s="170" t="str">
        <f>IFERROR(__xludf.DUMMYFUNCTION("""COMPUTED_VALUE"""),"None")</f>
        <v>None</v>
      </c>
      <c r="S3263" s="170"/>
      <c r="T3263" s="179"/>
      <c r="U3263" s="179"/>
      <c r="V3263" s="179"/>
      <c r="W3263" s="180"/>
      <c r="X3263" s="181" t="str">
        <f>IFERROR(__xludf.DUMMYFUNCTION("""COMPUTED_VALUE"""),"Excellent")</f>
        <v>Excellent</v>
      </c>
      <c r="Y3263" s="182" t="str">
        <f>IFERROR(__xludf.DUMMYFUNCTION("""COMPUTED_VALUE"""),"Excellent")</f>
        <v>Excellent</v>
      </c>
      <c r="Z3263" s="182" t="str">
        <f>IFERROR(__xludf.DUMMYFUNCTION("""COMPUTED_VALUE"""),"Excellent")</f>
        <v>Excellent</v>
      </c>
      <c r="AA3263" s="182" t="str">
        <f>IFERROR(__xludf.DUMMYFUNCTION("""COMPUTED_VALUE"""),"Very Good")</f>
        <v>Very Good</v>
      </c>
      <c r="AB3263" s="182" t="str">
        <f>IFERROR(__xludf.DUMMYFUNCTION("""COMPUTED_VALUE"""),"Excellent")</f>
        <v>Excellent</v>
      </c>
      <c r="AC3263" s="183">
        <f>IFERROR(__xludf.DUMMYFUNCTION("""COMPUTED_VALUE"""),0.0)</f>
        <v>0</v>
      </c>
      <c r="AD3263" s="183"/>
      <c r="AE3263" s="183"/>
      <c r="AF3263" s="184"/>
      <c r="AG3263" s="180"/>
      <c r="AH3263" s="185">
        <f>IFERROR(__xludf.DUMMYFUNCTION("""COMPUTED_VALUE"""),43341.351933969905)</f>
        <v>43341.35193</v>
      </c>
      <c r="AI3263" s="182"/>
      <c r="AJ3263" s="182"/>
      <c r="AK3263" s="182"/>
      <c r="AL3263" s="182"/>
    </row>
    <row r="3264" ht="20.25" customHeight="1">
      <c r="A3264" s="169" t="str">
        <f>IFERROR(__xludf.DUMMYFUNCTION("""COMPUTED_VALUE"""),"ibdb")</f>
        <v>ibdb</v>
      </c>
      <c r="B3264" s="170"/>
      <c r="C3264" s="170" t="str">
        <f>IFERROR(__xludf.DUMMYFUNCTION("""COMPUTED_VALUE"""),"WA")</f>
        <v>WA</v>
      </c>
      <c r="D3264" s="170" t="str">
        <f>IFERROR(__xludf.DUMMYFUNCTION("""COMPUTED_VALUE"""),"USA")</f>
        <v>USA</v>
      </c>
      <c r="E3264" s="171">
        <f>IFERROR(__xludf.DUMMYFUNCTION("""COMPUTED_VALUE"""),43277.0)</f>
        <v>43277</v>
      </c>
      <c r="F3264" s="172">
        <f>IFERROR(__xludf.DUMMYFUNCTION("""COMPUTED_VALUE"""),43334.0)</f>
        <v>43334</v>
      </c>
      <c r="G3264" s="173"/>
      <c r="H3264" s="174">
        <f>IFERROR(__xludf.DUMMYFUNCTION("""COMPUTED_VALUE"""),63255.0)</f>
        <v>63255</v>
      </c>
      <c r="I3264" s="175" t="str">
        <f>IFERROR(__xludf.DUMMYFUNCTION("""COMPUTED_VALUE"""),"09/18")</f>
        <v>09/18</v>
      </c>
      <c r="J3264" s="172">
        <f>IFERROR(__xludf.DUMMYFUNCTION("""COMPUTED_VALUE"""),43355.0)</f>
        <v>43355</v>
      </c>
      <c r="K3264" s="176">
        <f>IFERROR(__xludf.DUMMYFUNCTION("""COMPUTED_VALUE"""),57.0)</f>
        <v>57</v>
      </c>
      <c r="L3264" s="176">
        <f>IFERROR(__xludf.DUMMYFUNCTION("""COMPUTED_VALUE"""),21.0)</f>
        <v>21</v>
      </c>
      <c r="M3264" s="176">
        <f>IFERROR(__xludf.DUMMYFUNCTION("""COMPUTED_VALUE"""),78.0)</f>
        <v>78</v>
      </c>
      <c r="N3264" s="177" t="str">
        <f>IFERROR(__xludf.DUMMYFUNCTION("""COMPUTED_VALUE"""),"Model 3 Performance")</f>
        <v>Model 3 Performance</v>
      </c>
      <c r="O3264" s="177" t="str">
        <f>IFERROR(__xludf.DUMMYFUNCTION("""COMPUTED_VALUE"""),"Red Multi-Coat")</f>
        <v>Red Multi-Coat</v>
      </c>
      <c r="P3264" s="178" t="str">
        <f>IFERROR(__xludf.DUMMYFUNCTION("""COMPUTED_VALUE"""),"20 inch Sport")</f>
        <v>20 inch Sport</v>
      </c>
      <c r="Q3264" s="177" t="str">
        <f>IFERROR(__xludf.DUMMYFUNCTION("""COMPUTED_VALUE"""),"Black seats")</f>
        <v>Black seats</v>
      </c>
      <c r="R3264" s="170" t="str">
        <f>IFERROR(__xludf.DUMMYFUNCTION("""COMPUTED_VALUE"""),"Enhanced Autopilot")</f>
        <v>Enhanced Autopilot</v>
      </c>
      <c r="S3264" s="170"/>
      <c r="T3264" s="179"/>
      <c r="U3264" s="179"/>
      <c r="V3264" s="179"/>
      <c r="W3264" s="180"/>
      <c r="X3264" s="181" t="str">
        <f>IFERROR(__xludf.DUMMYFUNCTION("""COMPUTED_VALUE"""),"Excellent")</f>
        <v>Excellent</v>
      </c>
      <c r="Y3264" s="182" t="str">
        <f>IFERROR(__xludf.DUMMYFUNCTION("""COMPUTED_VALUE"""),"Excellent")</f>
        <v>Excellent</v>
      </c>
      <c r="Z3264" s="182" t="str">
        <f>IFERROR(__xludf.DUMMYFUNCTION("""COMPUTED_VALUE"""),"Excellent")</f>
        <v>Excellent</v>
      </c>
      <c r="AA3264" s="182" t="str">
        <f>IFERROR(__xludf.DUMMYFUNCTION("""COMPUTED_VALUE"""),"Excellent")</f>
        <v>Excellent</v>
      </c>
      <c r="AB3264" s="182" t="str">
        <f>IFERROR(__xludf.DUMMYFUNCTION("""COMPUTED_VALUE"""),"Good")</f>
        <v>Good</v>
      </c>
      <c r="AC3264" s="183">
        <f>IFERROR(__xludf.DUMMYFUNCTION("""COMPUTED_VALUE"""),1.0)</f>
        <v>1</v>
      </c>
      <c r="AD3264" s="183"/>
      <c r="AE3264" s="183"/>
      <c r="AF3264" s="184"/>
      <c r="AG3264" s="180" t="str">
        <f>IFERROR(__xludf.DUMMYFUNCTION("""COMPUTED_VALUE"""),"Waited for AWD and P to configure. Initial delivery canceled after car was damaged at delivery center 15 minutes before delivery.")</f>
        <v>Waited for AWD and P to configure. Initial delivery canceled after car was damaged at delivery center 15 minutes before delivery.</v>
      </c>
      <c r="AH3264" s="185">
        <f>IFERROR(__xludf.DUMMYFUNCTION("""COMPUTED_VALUE"""),43358.568153692126)</f>
        <v>43358.56815</v>
      </c>
      <c r="AI3264" s="182"/>
      <c r="AJ3264" s="182"/>
      <c r="AK3264" s="182"/>
      <c r="AL3264" s="182"/>
    </row>
    <row r="3265" ht="20.25" customHeight="1">
      <c r="A3265" s="169" t="str">
        <f>IFERROR(__xludf.DUMMYFUNCTION("""COMPUTED_VALUE"""),"JamO")</f>
        <v>JamO</v>
      </c>
      <c r="B3265" s="170" t="str">
        <f>IFERROR(__xludf.DUMMYFUNCTION("""COMPUTED_VALUE"""),"Chicago")</f>
        <v>Chicago</v>
      </c>
      <c r="C3265" s="170" t="str">
        <f>IFERROR(__xludf.DUMMYFUNCTION("""COMPUTED_VALUE"""),"IL")</f>
        <v>IL</v>
      </c>
      <c r="D3265" s="170" t="str">
        <f>IFERROR(__xludf.DUMMYFUNCTION("""COMPUTED_VALUE"""),"USA")</f>
        <v>USA</v>
      </c>
      <c r="E3265" s="171">
        <f>IFERROR(__xludf.DUMMYFUNCTION("""COMPUTED_VALUE"""),43277.0)</f>
        <v>43277</v>
      </c>
      <c r="F3265" s="172">
        <f>IFERROR(__xludf.DUMMYFUNCTION("""COMPUTED_VALUE"""),43281.0)</f>
        <v>43281</v>
      </c>
      <c r="G3265" s="173"/>
      <c r="H3265" s="174">
        <f>IFERROR(__xludf.DUMMYFUNCTION("""COMPUTED_VALUE"""),38245.0)</f>
        <v>38245</v>
      </c>
      <c r="I3265" s="175"/>
      <c r="J3265" s="172">
        <f>IFERROR(__xludf.DUMMYFUNCTION("""COMPUTED_VALUE"""),43293.0)</f>
        <v>43293</v>
      </c>
      <c r="K3265" s="176">
        <f>IFERROR(__xludf.DUMMYFUNCTION("""COMPUTED_VALUE"""),4.0)</f>
        <v>4</v>
      </c>
      <c r="L3265" s="176">
        <f>IFERROR(__xludf.DUMMYFUNCTION("""COMPUTED_VALUE"""),12.0)</f>
        <v>12</v>
      </c>
      <c r="M3265" s="176">
        <f>IFERROR(__xludf.DUMMYFUNCTION("""COMPUTED_VALUE"""),16.0)</f>
        <v>16</v>
      </c>
      <c r="N3265" s="177" t="str">
        <f>IFERROR(__xludf.DUMMYFUNCTION("""COMPUTED_VALUE"""),"Model 3 LR")</f>
        <v>Model 3 LR</v>
      </c>
      <c r="O3265" s="177" t="str">
        <f>IFERROR(__xludf.DUMMYFUNCTION("""COMPUTED_VALUE"""),"Deep Blue Metallic")</f>
        <v>Deep Blue Metallic</v>
      </c>
      <c r="P3265" s="178" t="str">
        <f>IFERROR(__xludf.DUMMYFUNCTION("""COMPUTED_VALUE"""),"18 inch Aero")</f>
        <v>18 inch Aero</v>
      </c>
      <c r="Q3265" s="177" t="str">
        <f>IFERROR(__xludf.DUMMYFUNCTION("""COMPUTED_VALUE"""),"Black seats")</f>
        <v>Black seats</v>
      </c>
      <c r="R3265" s="170" t="str">
        <f>IFERROR(__xludf.DUMMYFUNCTION("""COMPUTED_VALUE"""),"Full Self-Driving")</f>
        <v>Full Self-Driving</v>
      </c>
      <c r="S3265" s="170"/>
      <c r="T3265" s="179"/>
      <c r="U3265" s="179"/>
      <c r="V3265" s="179"/>
      <c r="W3265" s="180"/>
      <c r="X3265" s="181" t="str">
        <f>IFERROR(__xludf.DUMMYFUNCTION("""COMPUTED_VALUE"""),"Excellent")</f>
        <v>Excellent</v>
      </c>
      <c r="Y3265" s="182" t="str">
        <f>IFERROR(__xludf.DUMMYFUNCTION("""COMPUTED_VALUE"""),"Excellent")</f>
        <v>Excellent</v>
      </c>
      <c r="Z3265" s="182" t="str">
        <f>IFERROR(__xludf.DUMMYFUNCTION("""COMPUTED_VALUE"""),"Excellent")</f>
        <v>Excellent</v>
      </c>
      <c r="AA3265" s="182" t="str">
        <f>IFERROR(__xludf.DUMMYFUNCTION("""COMPUTED_VALUE"""),"Excellent")</f>
        <v>Excellent</v>
      </c>
      <c r="AB3265" s="182" t="str">
        <f>IFERROR(__xludf.DUMMYFUNCTION("""COMPUTED_VALUE"""),"Excellent")</f>
        <v>Excellent</v>
      </c>
      <c r="AC3265" s="183">
        <f>IFERROR(__xludf.DUMMYFUNCTION("""COMPUTED_VALUE"""),0.0)</f>
        <v>0</v>
      </c>
      <c r="AD3265" s="183">
        <f>IFERROR(__xludf.DUMMYFUNCTION("""COMPUTED_VALUE"""),0.0)</f>
        <v>0</v>
      </c>
      <c r="AE3265" s="183">
        <f>IFERROR(__xludf.DUMMYFUNCTION("""COMPUTED_VALUE"""),0.0)</f>
        <v>0</v>
      </c>
      <c r="AF3265" s="184"/>
      <c r="AG3265" s="180" t="str">
        <f>IFERROR(__xludf.DUMMYFUNCTION("""COMPUTED_VALUE"""),"Non LR - gave in and ordered he LR - was invited on 4/18/18")</f>
        <v>Non LR - gave in and ordered he LR - was invited on 4/18/18</v>
      </c>
      <c r="AH3265" s="185">
        <f>IFERROR(__xludf.DUMMYFUNCTION("""COMPUTED_VALUE"""),43310.84199020833)</f>
        <v>43310.84199</v>
      </c>
      <c r="AI3265" s="182"/>
      <c r="AJ3265" s="182"/>
      <c r="AK3265" s="182"/>
      <c r="AL3265" s="182"/>
    </row>
    <row r="3266" ht="20.25" customHeight="1">
      <c r="A3266" s="169" t="str">
        <f>IFERROR(__xludf.DUMMYFUNCTION("""COMPUTED_VALUE"""),"JasonG")</f>
        <v>JasonG</v>
      </c>
      <c r="B3266" s="170" t="str">
        <f>IFERROR(__xludf.DUMMYFUNCTION("""COMPUTED_VALUE"""),"SLC")</f>
        <v>SLC</v>
      </c>
      <c r="C3266" s="170" t="str">
        <f>IFERROR(__xludf.DUMMYFUNCTION("""COMPUTED_VALUE"""),"UT")</f>
        <v>UT</v>
      </c>
      <c r="D3266" s="170" t="str">
        <f>IFERROR(__xludf.DUMMYFUNCTION("""COMPUTED_VALUE"""),"USA")</f>
        <v>USA</v>
      </c>
      <c r="E3266" s="171">
        <f>IFERROR(__xludf.DUMMYFUNCTION("""COMPUTED_VALUE"""),43277.0)</f>
        <v>43277</v>
      </c>
      <c r="F3266" s="172">
        <f>IFERROR(__xludf.DUMMYFUNCTION("""COMPUTED_VALUE"""),43319.0)</f>
        <v>43319</v>
      </c>
      <c r="G3266" s="173"/>
      <c r="H3266" s="174">
        <f>IFERROR(__xludf.DUMMYFUNCTION("""COMPUTED_VALUE"""),69155.0)</f>
        <v>69155</v>
      </c>
      <c r="I3266" s="175"/>
      <c r="J3266" s="172">
        <f>IFERROR(__xludf.DUMMYFUNCTION("""COMPUTED_VALUE"""),43329.0)</f>
        <v>43329</v>
      </c>
      <c r="K3266" s="176">
        <f>IFERROR(__xludf.DUMMYFUNCTION("""COMPUTED_VALUE"""),42.0)</f>
        <v>42</v>
      </c>
      <c r="L3266" s="176">
        <f>IFERROR(__xludf.DUMMYFUNCTION("""COMPUTED_VALUE"""),10.0)</f>
        <v>10</v>
      </c>
      <c r="M3266" s="176">
        <f>IFERROR(__xludf.DUMMYFUNCTION("""COMPUTED_VALUE"""),52.0)</f>
        <v>52</v>
      </c>
      <c r="N3266" s="177" t="str">
        <f>IFERROR(__xludf.DUMMYFUNCTION("""COMPUTED_VALUE"""),"Model 3 LR AWD")</f>
        <v>Model 3 LR AWD</v>
      </c>
      <c r="O3266" s="177" t="str">
        <f>IFERROR(__xludf.DUMMYFUNCTION("""COMPUTED_VALUE"""),"Silver Metallic")</f>
        <v>Silver Metallic</v>
      </c>
      <c r="P3266" s="178" t="str">
        <f>IFERROR(__xludf.DUMMYFUNCTION("""COMPUTED_VALUE"""),"19 inch Sport")</f>
        <v>19 inch Sport</v>
      </c>
      <c r="Q3266" s="177" t="str">
        <f>IFERROR(__xludf.DUMMYFUNCTION("""COMPUTED_VALUE"""),"Black seats")</f>
        <v>Black seats</v>
      </c>
      <c r="R3266" s="170" t="str">
        <f>IFERROR(__xludf.DUMMYFUNCTION("""COMPUTED_VALUE"""),"None")</f>
        <v>None</v>
      </c>
      <c r="S3266" s="170"/>
      <c r="T3266" s="179"/>
      <c r="U3266" s="179"/>
      <c r="V3266" s="179"/>
      <c r="W3266" s="180"/>
      <c r="X3266" s="181" t="str">
        <f>IFERROR(__xludf.DUMMYFUNCTION("""COMPUTED_VALUE"""),"Excellent")</f>
        <v>Excellent</v>
      </c>
      <c r="Y3266" s="182" t="str">
        <f>IFERROR(__xludf.DUMMYFUNCTION("""COMPUTED_VALUE"""),"Excellent")</f>
        <v>Excellent</v>
      </c>
      <c r="Z3266" s="182" t="str">
        <f>IFERROR(__xludf.DUMMYFUNCTION("""COMPUTED_VALUE"""),"Excellent")</f>
        <v>Excellent</v>
      </c>
      <c r="AA3266" s="182" t="str">
        <f>IFERROR(__xludf.DUMMYFUNCTION("""COMPUTED_VALUE"""),"Very Good")</f>
        <v>Very Good</v>
      </c>
      <c r="AB3266" s="182" t="str">
        <f>IFERROR(__xludf.DUMMYFUNCTION("""COMPUTED_VALUE"""),"Excellent")</f>
        <v>Excellent</v>
      </c>
      <c r="AC3266" s="183">
        <f>IFERROR(__xludf.DUMMYFUNCTION("""COMPUTED_VALUE"""),0.0)</f>
        <v>0</v>
      </c>
      <c r="AD3266" s="183">
        <f>IFERROR(__xludf.DUMMYFUNCTION("""COMPUTED_VALUE"""),0.0)</f>
        <v>0</v>
      </c>
      <c r="AE3266" s="183">
        <f>IFERROR(__xludf.DUMMYFUNCTION("""COMPUTED_VALUE"""),0.0)</f>
        <v>0</v>
      </c>
      <c r="AF3266" s="184"/>
      <c r="AG3266" s="180"/>
      <c r="AH3266" s="185">
        <f>IFERROR(__xludf.DUMMYFUNCTION("""COMPUTED_VALUE"""),43395.34995738426)</f>
        <v>43395.34996</v>
      </c>
      <c r="AI3266" s="182"/>
      <c r="AJ3266" s="182"/>
      <c r="AK3266" s="182"/>
      <c r="AL3266" s="182"/>
    </row>
    <row r="3267" ht="20.25" customHeight="1">
      <c r="A3267" s="169" t="str">
        <f>IFERROR(__xludf.DUMMYFUNCTION("""COMPUTED_VALUE"""),"jasonhi")</f>
        <v>jasonhi</v>
      </c>
      <c r="B3267" s="170" t="str">
        <f>IFERROR(__xludf.DUMMYFUNCTION("""COMPUTED_VALUE"""),"Seattle")</f>
        <v>Seattle</v>
      </c>
      <c r="C3267" s="170" t="str">
        <f>IFERROR(__xludf.DUMMYFUNCTION("""COMPUTED_VALUE"""),"WA")</f>
        <v>WA</v>
      </c>
      <c r="D3267" s="170" t="str">
        <f>IFERROR(__xludf.DUMMYFUNCTION("""COMPUTED_VALUE"""),"USA")</f>
        <v>USA</v>
      </c>
      <c r="E3267" s="171">
        <f>IFERROR(__xludf.DUMMYFUNCTION("""COMPUTED_VALUE"""),43277.0)</f>
        <v>43277</v>
      </c>
      <c r="F3267" s="172"/>
      <c r="G3267" s="173"/>
      <c r="H3267" s="174">
        <f>IFERROR(__xludf.DUMMYFUNCTION("""COMPUTED_VALUE"""),72155.0)</f>
        <v>72155</v>
      </c>
      <c r="I3267" s="175"/>
      <c r="J3267" s="172">
        <f>IFERROR(__xludf.DUMMYFUNCTION("""COMPUTED_VALUE"""),43351.0)</f>
        <v>43351</v>
      </c>
      <c r="K3267" s="176"/>
      <c r="L3267" s="176"/>
      <c r="M3267" s="176">
        <f>IFERROR(__xludf.DUMMYFUNCTION("""COMPUTED_VALUE"""),74.0)</f>
        <v>74</v>
      </c>
      <c r="N3267" s="177" t="str">
        <f>IFERROR(__xludf.DUMMYFUNCTION("""COMPUTED_VALUE"""),"Model 3 Performance")</f>
        <v>Model 3 Performance</v>
      </c>
      <c r="O3267" s="177" t="str">
        <f>IFERROR(__xludf.DUMMYFUNCTION("""COMPUTED_VALUE"""),"Silver Metallic")</f>
        <v>Silver Metallic</v>
      </c>
      <c r="P3267" s="178" t="str">
        <f>IFERROR(__xludf.DUMMYFUNCTION("""COMPUTED_VALUE"""),"20 inch Sport")</f>
        <v>20 inch Sport</v>
      </c>
      <c r="Q3267" s="177" t="str">
        <f>IFERROR(__xludf.DUMMYFUNCTION("""COMPUTED_VALUE"""),"Black seats")</f>
        <v>Black seats</v>
      </c>
      <c r="R3267" s="170" t="str">
        <f>IFERROR(__xludf.DUMMYFUNCTION("""COMPUTED_VALUE"""),"Enhanced Autopilot")</f>
        <v>Enhanced Autopilot</v>
      </c>
      <c r="S3267" s="170"/>
      <c r="T3267" s="179"/>
      <c r="U3267" s="179"/>
      <c r="V3267" s="179"/>
      <c r="W3267" s="180"/>
      <c r="X3267" s="181" t="str">
        <f>IFERROR(__xludf.DUMMYFUNCTION("""COMPUTED_VALUE"""),"Excellent")</f>
        <v>Excellent</v>
      </c>
      <c r="Y3267" s="182" t="str">
        <f>IFERROR(__xludf.DUMMYFUNCTION("""COMPUTED_VALUE"""),"Excellent")</f>
        <v>Excellent</v>
      </c>
      <c r="Z3267" s="182" t="str">
        <f>IFERROR(__xludf.DUMMYFUNCTION("""COMPUTED_VALUE"""),"Excellent")</f>
        <v>Excellent</v>
      </c>
      <c r="AA3267" s="182" t="str">
        <f>IFERROR(__xludf.DUMMYFUNCTION("""COMPUTED_VALUE"""),"Good")</f>
        <v>Good</v>
      </c>
      <c r="AB3267" s="182" t="str">
        <f>IFERROR(__xludf.DUMMYFUNCTION("""COMPUTED_VALUE"""),"Excellent")</f>
        <v>Excellent</v>
      </c>
      <c r="AC3267" s="183"/>
      <c r="AD3267" s="183"/>
      <c r="AE3267" s="183"/>
      <c r="AF3267" s="184"/>
      <c r="AG3267" s="180"/>
      <c r="AH3267" s="185">
        <f>IFERROR(__xludf.DUMMYFUNCTION("""COMPUTED_VALUE"""),43357.39631341435)</f>
        <v>43357.39631</v>
      </c>
      <c r="AI3267" s="182"/>
      <c r="AJ3267" s="182"/>
      <c r="AK3267" s="182"/>
      <c r="AL3267" s="182"/>
    </row>
    <row r="3268" ht="20.25" customHeight="1">
      <c r="A3268" s="169" t="str">
        <f>IFERROR(__xludf.DUMMYFUNCTION("""COMPUTED_VALUE"""),"jayped")</f>
        <v>jayped</v>
      </c>
      <c r="B3268" s="170" t="str">
        <f>IFERROR(__xludf.DUMMYFUNCTION("""COMPUTED_VALUE"""),"Philadelphia")</f>
        <v>Philadelphia</v>
      </c>
      <c r="C3268" s="170" t="str">
        <f>IFERROR(__xludf.DUMMYFUNCTION("""COMPUTED_VALUE"""),"PA")</f>
        <v>PA</v>
      </c>
      <c r="D3268" s="170" t="str">
        <f>IFERROR(__xludf.DUMMYFUNCTION("""COMPUTED_VALUE"""),"USA")</f>
        <v>USA</v>
      </c>
      <c r="E3268" s="171">
        <f>IFERROR(__xludf.DUMMYFUNCTION("""COMPUTED_VALUE"""),43277.0)</f>
        <v>43277</v>
      </c>
      <c r="F3268" s="172">
        <f>IFERROR(__xludf.DUMMYFUNCTION("""COMPUTED_VALUE"""),43354.0)</f>
        <v>43354</v>
      </c>
      <c r="G3268" s="173"/>
      <c r="H3268" s="174">
        <f>IFERROR(__xludf.DUMMYFUNCTION("""COMPUTED_VALUE"""),97365.0)</f>
        <v>97365</v>
      </c>
      <c r="I3268" s="175" t="str">
        <f>IFERROR(__xludf.DUMMYFUNCTION("""COMPUTED_VALUE"""),"08/18")</f>
        <v>08/18</v>
      </c>
      <c r="J3268" s="172">
        <f>IFERROR(__xludf.DUMMYFUNCTION("""COMPUTED_VALUE"""),43364.0)</f>
        <v>43364</v>
      </c>
      <c r="K3268" s="176">
        <f>IFERROR(__xludf.DUMMYFUNCTION("""COMPUTED_VALUE"""),77.0)</f>
        <v>77</v>
      </c>
      <c r="L3268" s="176">
        <f>IFERROR(__xludf.DUMMYFUNCTION("""COMPUTED_VALUE"""),10.0)</f>
        <v>10</v>
      </c>
      <c r="M3268" s="176">
        <f>IFERROR(__xludf.DUMMYFUNCTION("""COMPUTED_VALUE"""),87.0)</f>
        <v>87</v>
      </c>
      <c r="N3268" s="177" t="str">
        <f>IFERROR(__xludf.DUMMYFUNCTION("""COMPUTED_VALUE"""),"Model 3 LR AWD")</f>
        <v>Model 3 LR AWD</v>
      </c>
      <c r="O3268" s="177" t="str">
        <f>IFERROR(__xludf.DUMMYFUNCTION("""COMPUTED_VALUE"""),"Red Multi-Coat")</f>
        <v>Red Multi-Coat</v>
      </c>
      <c r="P3268" s="178" t="str">
        <f>IFERROR(__xludf.DUMMYFUNCTION("""COMPUTED_VALUE"""),"19 inch Sport")</f>
        <v>19 inch Sport</v>
      </c>
      <c r="Q3268" s="177" t="str">
        <f>IFERROR(__xludf.DUMMYFUNCTION("""COMPUTED_VALUE"""),"White seats")</f>
        <v>White seats</v>
      </c>
      <c r="R3268" s="170" t="str">
        <f>IFERROR(__xludf.DUMMYFUNCTION("""COMPUTED_VALUE"""),"Enhanced Autopilot")</f>
        <v>Enhanced Autopilot</v>
      </c>
      <c r="S3268" s="170"/>
      <c r="T3268" s="179"/>
      <c r="U3268" s="179"/>
      <c r="V3268" s="179"/>
      <c r="W3268" s="180"/>
      <c r="X3268" s="181" t="str">
        <f>IFERROR(__xludf.DUMMYFUNCTION("""COMPUTED_VALUE"""),"Excellent")</f>
        <v>Excellent</v>
      </c>
      <c r="Y3268" s="182" t="str">
        <f>IFERROR(__xludf.DUMMYFUNCTION("""COMPUTED_VALUE"""),"Excellent")</f>
        <v>Excellent</v>
      </c>
      <c r="Z3268" s="182" t="str">
        <f>IFERROR(__xludf.DUMMYFUNCTION("""COMPUTED_VALUE"""),"Very Good")</f>
        <v>Very Good</v>
      </c>
      <c r="AA3268" s="182" t="str">
        <f>IFERROR(__xludf.DUMMYFUNCTION("""COMPUTED_VALUE"""),"Excellent")</f>
        <v>Excellent</v>
      </c>
      <c r="AB3268" s="182" t="str">
        <f>IFERROR(__xludf.DUMMYFUNCTION("""COMPUTED_VALUE"""),"Excellent")</f>
        <v>Excellent</v>
      </c>
      <c r="AC3268" s="183">
        <f>IFERROR(__xludf.DUMMYFUNCTION("""COMPUTED_VALUE"""),2.0)</f>
        <v>2</v>
      </c>
      <c r="AD3268" s="183">
        <f>IFERROR(__xludf.DUMMYFUNCTION("""COMPUTED_VALUE"""),2.0)</f>
        <v>2</v>
      </c>
      <c r="AE3268" s="183">
        <f>IFERROR(__xludf.DUMMYFUNCTION("""COMPUTED_VALUE"""),0.0)</f>
        <v>0</v>
      </c>
      <c r="AF3268" s="184"/>
      <c r="AG3268" s="180"/>
      <c r="AH3268" s="185">
        <f>IFERROR(__xludf.DUMMYFUNCTION("""COMPUTED_VALUE"""),43374.4963859838)</f>
        <v>43374.49639</v>
      </c>
      <c r="AI3268" s="182"/>
      <c r="AJ3268" s="182"/>
      <c r="AK3268" s="182"/>
      <c r="AL3268" s="182"/>
    </row>
    <row r="3269" ht="20.25" customHeight="1">
      <c r="A3269" s="169" t="str">
        <f>IFERROR(__xludf.DUMMYFUNCTION("""COMPUTED_VALUE"""),"jbhill")</f>
        <v>jbhill</v>
      </c>
      <c r="B3269" s="170" t="str">
        <f>IFERROR(__xludf.DUMMYFUNCTION("""COMPUTED_VALUE"""),"Idaho Falls")</f>
        <v>Idaho Falls</v>
      </c>
      <c r="C3269" s="170" t="str">
        <f>IFERROR(__xludf.DUMMYFUNCTION("""COMPUTED_VALUE"""),"ID")</f>
        <v>ID</v>
      </c>
      <c r="D3269" s="170" t="str">
        <f>IFERROR(__xludf.DUMMYFUNCTION("""COMPUTED_VALUE"""),"USA")</f>
        <v>USA</v>
      </c>
      <c r="E3269" s="171">
        <f>IFERROR(__xludf.DUMMYFUNCTION("""COMPUTED_VALUE"""),43277.0)</f>
        <v>43277</v>
      </c>
      <c r="F3269" s="172">
        <f>IFERROR(__xludf.DUMMYFUNCTION("""COMPUTED_VALUE"""),43338.0)</f>
        <v>43338</v>
      </c>
      <c r="G3269" s="173"/>
      <c r="H3269" s="174">
        <f>IFERROR(__xludf.DUMMYFUNCTION("""COMPUTED_VALUE"""),69655.0)</f>
        <v>69655</v>
      </c>
      <c r="I3269" s="175" t="str">
        <f>IFERROR(__xludf.DUMMYFUNCTION("""COMPUTED_VALUE"""),"08/18")</f>
        <v>08/18</v>
      </c>
      <c r="J3269" s="172">
        <f>IFERROR(__xludf.DUMMYFUNCTION("""COMPUTED_VALUE"""),43350.0)</f>
        <v>43350</v>
      </c>
      <c r="K3269" s="176">
        <f>IFERROR(__xludf.DUMMYFUNCTION("""COMPUTED_VALUE"""),61.0)</f>
        <v>61</v>
      </c>
      <c r="L3269" s="176">
        <f>IFERROR(__xludf.DUMMYFUNCTION("""COMPUTED_VALUE"""),12.0)</f>
        <v>12</v>
      </c>
      <c r="M3269" s="176">
        <f>IFERROR(__xludf.DUMMYFUNCTION("""COMPUTED_VALUE"""),73.0)</f>
        <v>73</v>
      </c>
      <c r="N3269" s="177" t="str">
        <f>IFERROR(__xludf.DUMMYFUNCTION("""COMPUTED_VALUE"""),"Model 3 LR AWD")</f>
        <v>Model 3 LR AWD</v>
      </c>
      <c r="O3269" s="177" t="str">
        <f>IFERROR(__xludf.DUMMYFUNCTION("""COMPUTED_VALUE"""),"Red Multi-Coat")</f>
        <v>Red Multi-Coat</v>
      </c>
      <c r="P3269" s="178" t="str">
        <f>IFERROR(__xludf.DUMMYFUNCTION("""COMPUTED_VALUE"""),"18 inch Aero")</f>
        <v>18 inch Aero</v>
      </c>
      <c r="Q3269" s="177" t="str">
        <f>IFERROR(__xludf.DUMMYFUNCTION("""COMPUTED_VALUE"""),"Black seats")</f>
        <v>Black seats</v>
      </c>
      <c r="R3269" s="170" t="str">
        <f>IFERROR(__xludf.DUMMYFUNCTION("""COMPUTED_VALUE"""),"Full Self-Driving")</f>
        <v>Full Self-Driving</v>
      </c>
      <c r="S3269" s="170"/>
      <c r="T3269" s="179"/>
      <c r="U3269" s="179"/>
      <c r="V3269" s="179"/>
      <c r="W3269" s="180"/>
      <c r="X3269" s="181" t="str">
        <f>IFERROR(__xludf.DUMMYFUNCTION("""COMPUTED_VALUE"""),"Excellent")</f>
        <v>Excellent</v>
      </c>
      <c r="Y3269" s="182" t="str">
        <f>IFERROR(__xludf.DUMMYFUNCTION("""COMPUTED_VALUE"""),"Excellent")</f>
        <v>Excellent</v>
      </c>
      <c r="Z3269" s="182" t="str">
        <f>IFERROR(__xludf.DUMMYFUNCTION("""COMPUTED_VALUE"""),"Excellent")</f>
        <v>Excellent</v>
      </c>
      <c r="AA3269" s="182" t="str">
        <f>IFERROR(__xludf.DUMMYFUNCTION("""COMPUTED_VALUE"""),"Very Good")</f>
        <v>Very Good</v>
      </c>
      <c r="AB3269" s="182" t="str">
        <f>IFERROR(__xludf.DUMMYFUNCTION("""COMPUTED_VALUE"""),"Excellent")</f>
        <v>Excellent</v>
      </c>
      <c r="AC3269" s="183">
        <f>IFERROR(__xludf.DUMMYFUNCTION("""COMPUTED_VALUE"""),1.0)</f>
        <v>1</v>
      </c>
      <c r="AD3269" s="183">
        <f>IFERROR(__xludf.DUMMYFUNCTION("""COMPUTED_VALUE"""),1.0)</f>
        <v>1</v>
      </c>
      <c r="AE3269" s="183">
        <f>IFERROR(__xludf.DUMMYFUNCTION("""COMPUTED_VALUE"""),0.0)</f>
        <v>0</v>
      </c>
      <c r="AF3269" s="184"/>
      <c r="AG3269" s="180"/>
      <c r="AH3269" s="185">
        <f>IFERROR(__xludf.DUMMYFUNCTION("""COMPUTED_VALUE"""),43351.772291030094)</f>
        <v>43351.77229</v>
      </c>
      <c r="AI3269" s="182"/>
      <c r="AJ3269" s="182"/>
      <c r="AK3269" s="182"/>
      <c r="AL3269" s="182"/>
    </row>
    <row r="3270" ht="20.25" customHeight="1">
      <c r="A3270" s="169" t="str">
        <f>IFERROR(__xludf.DUMMYFUNCTION("""COMPUTED_VALUE"""),"jdanielsonstl")</f>
        <v>jdanielsonstl</v>
      </c>
      <c r="B3270" s="170" t="str">
        <f>IFERROR(__xludf.DUMMYFUNCTION("""COMPUTED_VALUE"""),"Orlando")</f>
        <v>Orlando</v>
      </c>
      <c r="C3270" s="170" t="str">
        <f>IFERROR(__xludf.DUMMYFUNCTION("""COMPUTED_VALUE"""),"FL")</f>
        <v>FL</v>
      </c>
      <c r="D3270" s="170" t="str">
        <f>IFERROR(__xludf.DUMMYFUNCTION("""COMPUTED_VALUE"""),"USA")</f>
        <v>USA</v>
      </c>
      <c r="E3270" s="171">
        <f>IFERROR(__xludf.DUMMYFUNCTION("""COMPUTED_VALUE"""),43277.0)</f>
        <v>43277</v>
      </c>
      <c r="F3270" s="172">
        <f>IFERROR(__xludf.DUMMYFUNCTION("""COMPUTED_VALUE"""),43313.0)</f>
        <v>43313</v>
      </c>
      <c r="G3270" s="173"/>
      <c r="H3270" s="174">
        <f>IFERROR(__xludf.DUMMYFUNCTION("""COMPUTED_VALUE"""),55055.0)</f>
        <v>55055</v>
      </c>
      <c r="I3270" s="175" t="str">
        <f>IFERROR(__xludf.DUMMYFUNCTION("""COMPUTED_VALUE"""),"07/18")</f>
        <v>07/18</v>
      </c>
      <c r="J3270" s="172">
        <f>IFERROR(__xludf.DUMMYFUNCTION("""COMPUTED_VALUE"""),43329.0)</f>
        <v>43329</v>
      </c>
      <c r="K3270" s="176">
        <f>IFERROR(__xludf.DUMMYFUNCTION("""COMPUTED_VALUE"""),36.0)</f>
        <v>36</v>
      </c>
      <c r="L3270" s="176">
        <f>IFERROR(__xludf.DUMMYFUNCTION("""COMPUTED_VALUE"""),16.0)</f>
        <v>16</v>
      </c>
      <c r="M3270" s="176">
        <f>IFERROR(__xludf.DUMMYFUNCTION("""COMPUTED_VALUE"""),52.0)</f>
        <v>52</v>
      </c>
      <c r="N3270" s="177" t="str">
        <f>IFERROR(__xludf.DUMMYFUNCTION("""COMPUTED_VALUE"""),"Model 3 LR AWD")</f>
        <v>Model 3 LR AWD</v>
      </c>
      <c r="O3270" s="177" t="str">
        <f>IFERROR(__xludf.DUMMYFUNCTION("""COMPUTED_VALUE"""),"Pearl White Multi-Coat")</f>
        <v>Pearl White Multi-Coat</v>
      </c>
      <c r="P3270" s="178" t="str">
        <f>IFERROR(__xludf.DUMMYFUNCTION("""COMPUTED_VALUE"""),"19 inch Sport")</f>
        <v>19 inch Sport</v>
      </c>
      <c r="Q3270" s="177" t="str">
        <f>IFERROR(__xludf.DUMMYFUNCTION("""COMPUTED_VALUE"""),"Black seats")</f>
        <v>Black seats</v>
      </c>
      <c r="R3270" s="170" t="str">
        <f>IFERROR(__xludf.DUMMYFUNCTION("""COMPUTED_VALUE"""),"Enhanced Autopilot")</f>
        <v>Enhanced Autopilot</v>
      </c>
      <c r="S3270" s="170"/>
      <c r="T3270" s="179"/>
      <c r="U3270" s="179"/>
      <c r="V3270" s="179"/>
      <c r="W3270" s="180"/>
      <c r="X3270" s="181" t="str">
        <f>IFERROR(__xludf.DUMMYFUNCTION("""COMPUTED_VALUE"""),"Excellent")</f>
        <v>Excellent</v>
      </c>
      <c r="Y3270" s="182" t="str">
        <f>IFERROR(__xludf.DUMMYFUNCTION("""COMPUTED_VALUE"""),"Very Good")</f>
        <v>Very Good</v>
      </c>
      <c r="Z3270" s="182" t="str">
        <f>IFERROR(__xludf.DUMMYFUNCTION("""COMPUTED_VALUE"""),"Excellent")</f>
        <v>Excellent</v>
      </c>
      <c r="AA3270" s="182" t="str">
        <f>IFERROR(__xludf.DUMMYFUNCTION("""COMPUTED_VALUE"""),"Fair")</f>
        <v>Fair</v>
      </c>
      <c r="AB3270" s="182" t="str">
        <f>IFERROR(__xludf.DUMMYFUNCTION("""COMPUTED_VALUE"""),"Excellent")</f>
        <v>Excellent</v>
      </c>
      <c r="AC3270" s="183">
        <f>IFERROR(__xludf.DUMMYFUNCTION("""COMPUTED_VALUE"""),0.0)</f>
        <v>0</v>
      </c>
      <c r="AD3270" s="183">
        <f>IFERROR(__xludf.DUMMYFUNCTION("""COMPUTED_VALUE"""),0.0)</f>
        <v>0</v>
      </c>
      <c r="AE3270" s="183">
        <f>IFERROR(__xludf.DUMMYFUNCTION("""COMPUTED_VALUE"""),0.0)</f>
        <v>0</v>
      </c>
      <c r="AF3270" s="184"/>
      <c r="AG3270" s="180"/>
      <c r="AH3270" s="185">
        <f>IFERROR(__xludf.DUMMYFUNCTION("""COMPUTED_VALUE"""),43332.32849555556)</f>
        <v>43332.3285</v>
      </c>
      <c r="AI3270" s="182"/>
      <c r="AJ3270" s="182"/>
      <c r="AK3270" s="182"/>
      <c r="AL3270" s="182"/>
    </row>
    <row r="3271" ht="20.25" customHeight="1">
      <c r="A3271" s="169" t="str">
        <f>IFERROR(__xludf.DUMMYFUNCTION("""COMPUTED_VALUE"""),"JMeezee")</f>
        <v>JMeezee</v>
      </c>
      <c r="B3271" s="170" t="str">
        <f>IFERROR(__xludf.DUMMYFUNCTION("""COMPUTED_VALUE"""),"Escondido")</f>
        <v>Escondido</v>
      </c>
      <c r="C3271" s="170" t="str">
        <f>IFERROR(__xludf.DUMMYFUNCTION("""COMPUTED_VALUE"""),"CA")</f>
        <v>CA</v>
      </c>
      <c r="D3271" s="170" t="str">
        <f>IFERROR(__xludf.DUMMYFUNCTION("""COMPUTED_VALUE"""),"USA")</f>
        <v>USA</v>
      </c>
      <c r="E3271" s="171">
        <f>IFERROR(__xludf.DUMMYFUNCTION("""COMPUTED_VALUE"""),43277.0)</f>
        <v>43277</v>
      </c>
      <c r="F3271" s="172">
        <f>IFERROR(__xludf.DUMMYFUNCTION("""COMPUTED_VALUE"""),43318.0)</f>
        <v>43318</v>
      </c>
      <c r="G3271" s="173"/>
      <c r="H3271" s="174">
        <f>IFERROR(__xludf.DUMMYFUNCTION("""COMPUTED_VALUE"""),68762.0)</f>
        <v>68762</v>
      </c>
      <c r="I3271" s="175"/>
      <c r="J3271" s="172">
        <f>IFERROR(__xludf.DUMMYFUNCTION("""COMPUTED_VALUE"""),43333.0)</f>
        <v>43333</v>
      </c>
      <c r="K3271" s="176">
        <f>IFERROR(__xludf.DUMMYFUNCTION("""COMPUTED_VALUE"""),41.0)</f>
        <v>41</v>
      </c>
      <c r="L3271" s="176">
        <f>IFERROR(__xludf.DUMMYFUNCTION("""COMPUTED_VALUE"""),15.0)</f>
        <v>15</v>
      </c>
      <c r="M3271" s="176">
        <f>IFERROR(__xludf.DUMMYFUNCTION("""COMPUTED_VALUE"""),56.0)</f>
        <v>56</v>
      </c>
      <c r="N3271" s="177" t="str">
        <f>IFERROR(__xludf.DUMMYFUNCTION("""COMPUTED_VALUE"""),"Model 3 LR AWD")</f>
        <v>Model 3 LR AWD</v>
      </c>
      <c r="O3271" s="177" t="str">
        <f>IFERROR(__xludf.DUMMYFUNCTION("""COMPUTED_VALUE"""),"Midnight Silver Metallic")</f>
        <v>Midnight Silver Metallic</v>
      </c>
      <c r="P3271" s="178" t="str">
        <f>IFERROR(__xludf.DUMMYFUNCTION("""COMPUTED_VALUE"""),"19 inch Sport")</f>
        <v>19 inch Sport</v>
      </c>
      <c r="Q3271" s="177" t="str">
        <f>IFERROR(__xludf.DUMMYFUNCTION("""COMPUTED_VALUE"""),"Black seats")</f>
        <v>Black seats</v>
      </c>
      <c r="R3271" s="170" t="str">
        <f>IFERROR(__xludf.DUMMYFUNCTION("""COMPUTED_VALUE"""),"Full Self-Driving")</f>
        <v>Full Self-Driving</v>
      </c>
      <c r="S3271" s="170"/>
      <c r="T3271" s="179"/>
      <c r="U3271" s="179"/>
      <c r="V3271" s="179"/>
      <c r="W3271" s="180"/>
      <c r="X3271" s="181" t="str">
        <f>IFERROR(__xludf.DUMMYFUNCTION("""COMPUTED_VALUE"""),"Good")</f>
        <v>Good</v>
      </c>
      <c r="Y3271" s="182" t="str">
        <f>IFERROR(__xludf.DUMMYFUNCTION("""COMPUTED_VALUE"""),"Good")</f>
        <v>Good</v>
      </c>
      <c r="Z3271" s="182" t="str">
        <f>IFERROR(__xludf.DUMMYFUNCTION("""COMPUTED_VALUE"""),"Very Good")</f>
        <v>Very Good</v>
      </c>
      <c r="AA3271" s="182" t="str">
        <f>IFERROR(__xludf.DUMMYFUNCTION("""COMPUTED_VALUE"""),"Good")</f>
        <v>Good</v>
      </c>
      <c r="AB3271" s="182" t="str">
        <f>IFERROR(__xludf.DUMMYFUNCTION("""COMPUTED_VALUE"""),"Very Good")</f>
        <v>Very Good</v>
      </c>
      <c r="AC3271" s="183"/>
      <c r="AD3271" s="183"/>
      <c r="AE3271" s="183"/>
      <c r="AF3271" s="184"/>
      <c r="AG3271" s="180"/>
      <c r="AH3271" s="185">
        <f>IFERROR(__xludf.DUMMYFUNCTION("""COMPUTED_VALUE"""),43334.655873229174)</f>
        <v>43334.65587</v>
      </c>
      <c r="AI3271" s="182"/>
      <c r="AJ3271" s="182"/>
      <c r="AK3271" s="182"/>
      <c r="AL3271" s="182"/>
    </row>
    <row r="3272" ht="20.25" customHeight="1">
      <c r="A3272" s="169" t="str">
        <f>IFERROR(__xludf.DUMMYFUNCTION("""COMPUTED_VALUE"""),"KevinK")</f>
        <v>KevinK</v>
      </c>
      <c r="B3272" s="170" t="str">
        <f>IFERROR(__xludf.DUMMYFUNCTION("""COMPUTED_VALUE"""),"San Diego")</f>
        <v>San Diego</v>
      </c>
      <c r="C3272" s="170" t="str">
        <f>IFERROR(__xludf.DUMMYFUNCTION("""COMPUTED_VALUE"""),"CA")</f>
        <v>CA</v>
      </c>
      <c r="D3272" s="170" t="str">
        <f>IFERROR(__xludf.DUMMYFUNCTION("""COMPUTED_VALUE"""),"USA")</f>
        <v>USA</v>
      </c>
      <c r="E3272" s="171">
        <f>IFERROR(__xludf.DUMMYFUNCTION("""COMPUTED_VALUE"""),43277.0)</f>
        <v>43277</v>
      </c>
      <c r="F3272" s="172">
        <f>IFERROR(__xludf.DUMMYFUNCTION("""COMPUTED_VALUE"""),43350.0)</f>
        <v>43350</v>
      </c>
      <c r="G3272" s="173"/>
      <c r="H3272" s="174">
        <f>IFERROR(__xludf.DUMMYFUNCTION("""COMPUTED_VALUE"""),87684.0)</f>
        <v>87684</v>
      </c>
      <c r="I3272" s="175" t="str">
        <f>IFERROR(__xludf.DUMMYFUNCTION("""COMPUTED_VALUE"""),"09/18")</f>
        <v>09/18</v>
      </c>
      <c r="J3272" s="172">
        <f>IFERROR(__xludf.DUMMYFUNCTION("""COMPUTED_VALUE"""),43354.0)</f>
        <v>43354</v>
      </c>
      <c r="K3272" s="176">
        <f>IFERROR(__xludf.DUMMYFUNCTION("""COMPUTED_VALUE"""),73.0)</f>
        <v>73</v>
      </c>
      <c r="L3272" s="176">
        <f>IFERROR(__xludf.DUMMYFUNCTION("""COMPUTED_VALUE"""),4.0)</f>
        <v>4</v>
      </c>
      <c r="M3272" s="176">
        <f>IFERROR(__xludf.DUMMYFUNCTION("""COMPUTED_VALUE"""),77.0)</f>
        <v>77</v>
      </c>
      <c r="N3272" s="177" t="str">
        <f>IFERROR(__xludf.DUMMYFUNCTION("""COMPUTED_VALUE"""),"Model 3 LR AWD")</f>
        <v>Model 3 LR AWD</v>
      </c>
      <c r="O3272" s="177" t="str">
        <f>IFERROR(__xludf.DUMMYFUNCTION("""COMPUTED_VALUE"""),"Red Multi-Coat")</f>
        <v>Red Multi-Coat</v>
      </c>
      <c r="P3272" s="178" t="str">
        <f>IFERROR(__xludf.DUMMYFUNCTION("""COMPUTED_VALUE"""),"18 inch Aero")</f>
        <v>18 inch Aero</v>
      </c>
      <c r="Q3272" s="177" t="str">
        <f>IFERROR(__xludf.DUMMYFUNCTION("""COMPUTED_VALUE"""),"Black seats")</f>
        <v>Black seats</v>
      </c>
      <c r="R3272" s="170" t="str">
        <f>IFERROR(__xludf.DUMMYFUNCTION("""COMPUTED_VALUE"""),"Enhanced Autopilot")</f>
        <v>Enhanced Autopilot</v>
      </c>
      <c r="S3272" s="170"/>
      <c r="T3272" s="179"/>
      <c r="U3272" s="179"/>
      <c r="V3272" s="179"/>
      <c r="W3272" s="180"/>
      <c r="X3272" s="181" t="str">
        <f>IFERROR(__xludf.DUMMYFUNCTION("""COMPUTED_VALUE"""),"Excellent")</f>
        <v>Excellent</v>
      </c>
      <c r="Y3272" s="182" t="str">
        <f>IFERROR(__xludf.DUMMYFUNCTION("""COMPUTED_VALUE"""),"Excellent")</f>
        <v>Excellent</v>
      </c>
      <c r="Z3272" s="182" t="str">
        <f>IFERROR(__xludf.DUMMYFUNCTION("""COMPUTED_VALUE"""),"Excellent")</f>
        <v>Excellent</v>
      </c>
      <c r="AA3272" s="182" t="str">
        <f>IFERROR(__xludf.DUMMYFUNCTION("""COMPUTED_VALUE"""),"Very Good")</f>
        <v>Very Good</v>
      </c>
      <c r="AB3272" s="182" t="str">
        <f>IFERROR(__xludf.DUMMYFUNCTION("""COMPUTED_VALUE"""),"Excellent")</f>
        <v>Excellent</v>
      </c>
      <c r="AC3272" s="183"/>
      <c r="AD3272" s="183"/>
      <c r="AE3272" s="183"/>
      <c r="AF3272" s="184"/>
      <c r="AG3272" s="180"/>
      <c r="AH3272" s="185">
        <f>IFERROR(__xludf.DUMMYFUNCTION("""COMPUTED_VALUE"""),43354.933302453705)</f>
        <v>43354.9333</v>
      </c>
      <c r="AI3272" s="182"/>
      <c r="AJ3272" s="182"/>
      <c r="AK3272" s="182"/>
      <c r="AL3272" s="182"/>
    </row>
    <row r="3273" ht="20.25" customHeight="1">
      <c r="A3273" s="169" t="str">
        <f>IFERROR(__xludf.DUMMYFUNCTION("""COMPUTED_VALUE"""),"kgclark")</f>
        <v>kgclark</v>
      </c>
      <c r="B3273" s="170" t="str">
        <f>IFERROR(__xludf.DUMMYFUNCTION("""COMPUTED_VALUE"""),"Cazenovia")</f>
        <v>Cazenovia</v>
      </c>
      <c r="C3273" s="170" t="str">
        <f>IFERROR(__xludf.DUMMYFUNCTION("""COMPUTED_VALUE"""),"NY")</f>
        <v>NY</v>
      </c>
      <c r="D3273" s="170" t="str">
        <f>IFERROR(__xludf.DUMMYFUNCTION("""COMPUTED_VALUE"""),"USA")</f>
        <v>USA</v>
      </c>
      <c r="E3273" s="171">
        <f>IFERROR(__xludf.DUMMYFUNCTION("""COMPUTED_VALUE"""),43277.0)</f>
        <v>43277</v>
      </c>
      <c r="F3273" s="172">
        <f>IFERROR(__xludf.DUMMYFUNCTION("""COMPUTED_VALUE"""),43373.0)</f>
        <v>43373</v>
      </c>
      <c r="G3273" s="173"/>
      <c r="H3273" s="174">
        <f>IFERROR(__xludf.DUMMYFUNCTION("""COMPUTED_VALUE"""),100755.0)</f>
        <v>100755</v>
      </c>
      <c r="I3273" s="175" t="str">
        <f>IFERROR(__xludf.DUMMYFUNCTION("""COMPUTED_VALUE"""),"09/18")</f>
        <v>09/18</v>
      </c>
      <c r="J3273" s="172">
        <f>IFERROR(__xludf.DUMMYFUNCTION("""COMPUTED_VALUE"""),43373.0)</f>
        <v>43373</v>
      </c>
      <c r="K3273" s="176">
        <f>IFERROR(__xludf.DUMMYFUNCTION("""COMPUTED_VALUE"""),96.0)</f>
        <v>96</v>
      </c>
      <c r="L3273" s="176">
        <f>IFERROR(__xludf.DUMMYFUNCTION("""COMPUTED_VALUE"""),0.0)</f>
        <v>0</v>
      </c>
      <c r="M3273" s="176">
        <f>IFERROR(__xludf.DUMMYFUNCTION("""COMPUTED_VALUE"""),96.0)</f>
        <v>96</v>
      </c>
      <c r="N3273" s="177" t="str">
        <f>IFERROR(__xludf.DUMMYFUNCTION("""COMPUTED_VALUE"""),"Model 3 LR AWD")</f>
        <v>Model 3 LR AWD</v>
      </c>
      <c r="O3273" s="177" t="str">
        <f>IFERROR(__xludf.DUMMYFUNCTION("""COMPUTED_VALUE"""),"Red Multi-Coat")</f>
        <v>Red Multi-Coat</v>
      </c>
      <c r="P3273" s="178" t="str">
        <f>IFERROR(__xludf.DUMMYFUNCTION("""COMPUTED_VALUE"""),"19 inch Sport")</f>
        <v>19 inch Sport</v>
      </c>
      <c r="Q3273" s="177" t="str">
        <f>IFERROR(__xludf.DUMMYFUNCTION("""COMPUTED_VALUE"""),"White seats")</f>
        <v>White seats</v>
      </c>
      <c r="R3273" s="170" t="str">
        <f>IFERROR(__xludf.DUMMYFUNCTION("""COMPUTED_VALUE"""),"Full Self-Driving")</f>
        <v>Full Self-Driving</v>
      </c>
      <c r="S3273" s="170"/>
      <c r="T3273" s="179"/>
      <c r="U3273" s="179"/>
      <c r="V3273" s="179"/>
      <c r="W3273" s="180"/>
      <c r="X3273" s="181" t="str">
        <f>IFERROR(__xludf.DUMMYFUNCTION("""COMPUTED_VALUE"""),"Excellent")</f>
        <v>Excellent</v>
      </c>
      <c r="Y3273" s="182" t="str">
        <f>IFERROR(__xludf.DUMMYFUNCTION("""COMPUTED_VALUE"""),"Excellent")</f>
        <v>Excellent</v>
      </c>
      <c r="Z3273" s="182" t="str">
        <f>IFERROR(__xludf.DUMMYFUNCTION("""COMPUTED_VALUE"""),"Excellent")</f>
        <v>Excellent</v>
      </c>
      <c r="AA3273" s="182" t="str">
        <f>IFERROR(__xludf.DUMMYFUNCTION("""COMPUTED_VALUE"""),"Poor")</f>
        <v>Poor</v>
      </c>
      <c r="AB3273" s="182" t="str">
        <f>IFERROR(__xludf.DUMMYFUNCTION("""COMPUTED_VALUE"""),"Poor")</f>
        <v>Poor</v>
      </c>
      <c r="AC3273" s="183"/>
      <c r="AD3273" s="183"/>
      <c r="AE3273" s="183"/>
      <c r="AF3273" s="184"/>
      <c r="AG3273" s="180"/>
      <c r="AH3273" s="185">
        <f>IFERROR(__xludf.DUMMYFUNCTION("""COMPUTED_VALUE"""),43373.8321212037)</f>
        <v>43373.83212</v>
      </c>
      <c r="AI3273" s="182"/>
      <c r="AJ3273" s="182"/>
      <c r="AK3273" s="182"/>
      <c r="AL3273" s="182"/>
    </row>
    <row r="3274" ht="20.25" customHeight="1">
      <c r="A3274" s="169" t="str">
        <f>IFERROR(__xludf.DUMMYFUNCTION("""COMPUTED_VALUE"""),"KIKNGAS")</f>
        <v>KIKNGAS</v>
      </c>
      <c r="B3274" s="170" t="str">
        <f>IFERROR(__xludf.DUMMYFUNCTION("""COMPUTED_VALUE"""),"Parker")</f>
        <v>Parker</v>
      </c>
      <c r="C3274" s="170" t="str">
        <f>IFERROR(__xludf.DUMMYFUNCTION("""COMPUTED_VALUE"""),"CO")</f>
        <v>CO</v>
      </c>
      <c r="D3274" s="170" t="str">
        <f>IFERROR(__xludf.DUMMYFUNCTION("""COMPUTED_VALUE"""),"USA")</f>
        <v>USA</v>
      </c>
      <c r="E3274" s="171">
        <f>IFERROR(__xludf.DUMMYFUNCTION("""COMPUTED_VALUE"""),43277.0)</f>
        <v>43277</v>
      </c>
      <c r="F3274" s="172">
        <f>IFERROR(__xludf.DUMMYFUNCTION("""COMPUTED_VALUE"""),43320.0)</f>
        <v>43320</v>
      </c>
      <c r="G3274" s="173"/>
      <c r="H3274" s="174">
        <f>IFERROR(__xludf.DUMMYFUNCTION("""COMPUTED_VALUE"""),75055.0)</f>
        <v>75055</v>
      </c>
      <c r="I3274" s="175" t="str">
        <f>IFERROR(__xludf.DUMMYFUNCTION("""COMPUTED_VALUE"""),"08/18")</f>
        <v>08/18</v>
      </c>
      <c r="J3274" s="172">
        <f>IFERROR(__xludf.DUMMYFUNCTION("""COMPUTED_VALUE"""),43327.0)</f>
        <v>43327</v>
      </c>
      <c r="K3274" s="176">
        <f>IFERROR(__xludf.DUMMYFUNCTION("""COMPUTED_VALUE"""),43.0)</f>
        <v>43</v>
      </c>
      <c r="L3274" s="176">
        <f>IFERROR(__xludf.DUMMYFUNCTION("""COMPUTED_VALUE"""),7.0)</f>
        <v>7</v>
      </c>
      <c r="M3274" s="176">
        <f>IFERROR(__xludf.DUMMYFUNCTION("""COMPUTED_VALUE"""),50.0)</f>
        <v>50</v>
      </c>
      <c r="N3274" s="177" t="str">
        <f>IFERROR(__xludf.DUMMYFUNCTION("""COMPUTED_VALUE"""),"Model 3 LR AWD")</f>
        <v>Model 3 LR AWD</v>
      </c>
      <c r="O3274" s="177" t="str">
        <f>IFERROR(__xludf.DUMMYFUNCTION("""COMPUTED_VALUE"""),"Red Multi-Coat")</f>
        <v>Red Multi-Coat</v>
      </c>
      <c r="P3274" s="178" t="str">
        <f>IFERROR(__xludf.DUMMYFUNCTION("""COMPUTED_VALUE"""),"18 inch Aero")</f>
        <v>18 inch Aero</v>
      </c>
      <c r="Q3274" s="177" t="str">
        <f>IFERROR(__xludf.DUMMYFUNCTION("""COMPUTED_VALUE"""),"White seats")</f>
        <v>White seats</v>
      </c>
      <c r="R3274" s="170" t="str">
        <f>IFERROR(__xludf.DUMMYFUNCTION("""COMPUTED_VALUE"""),"None")</f>
        <v>None</v>
      </c>
      <c r="S3274" s="170"/>
      <c r="T3274" s="179"/>
      <c r="U3274" s="179"/>
      <c r="V3274" s="179"/>
      <c r="W3274" s="180"/>
      <c r="X3274" s="181" t="str">
        <f>IFERROR(__xludf.DUMMYFUNCTION("""COMPUTED_VALUE"""),"Excellent")</f>
        <v>Excellent</v>
      </c>
      <c r="Y3274" s="182" t="str">
        <f>IFERROR(__xludf.DUMMYFUNCTION("""COMPUTED_VALUE"""),"Excellent")</f>
        <v>Excellent</v>
      </c>
      <c r="Z3274" s="182" t="str">
        <f>IFERROR(__xludf.DUMMYFUNCTION("""COMPUTED_VALUE"""),"Very Good")</f>
        <v>Very Good</v>
      </c>
      <c r="AA3274" s="182" t="str">
        <f>IFERROR(__xludf.DUMMYFUNCTION("""COMPUTED_VALUE"""),"Good")</f>
        <v>Good</v>
      </c>
      <c r="AB3274" s="182" t="str">
        <f>IFERROR(__xludf.DUMMYFUNCTION("""COMPUTED_VALUE"""),"Very Good")</f>
        <v>Very Good</v>
      </c>
      <c r="AC3274" s="183"/>
      <c r="AD3274" s="183"/>
      <c r="AE3274" s="183"/>
      <c r="AF3274" s="184"/>
      <c r="AG3274" s="180"/>
      <c r="AH3274" s="185">
        <f>IFERROR(__xludf.DUMMYFUNCTION("""COMPUTED_VALUE"""),43327.81244155092)</f>
        <v>43327.81244</v>
      </c>
      <c r="AI3274" s="182"/>
      <c r="AJ3274" s="182"/>
      <c r="AK3274" s="182"/>
      <c r="AL3274" s="182"/>
    </row>
    <row r="3275" ht="20.25" customHeight="1">
      <c r="A3275" s="169" t="str">
        <f>IFERROR(__xludf.DUMMYFUNCTION("""COMPUTED_VALUE"""),"kjoyce77")</f>
        <v>kjoyce77</v>
      </c>
      <c r="B3275" s="170" t="str">
        <f>IFERROR(__xludf.DUMMYFUNCTION("""COMPUTED_VALUE"""),"Omaha")</f>
        <v>Omaha</v>
      </c>
      <c r="C3275" s="170" t="str">
        <f>IFERROR(__xludf.DUMMYFUNCTION("""COMPUTED_VALUE"""),"NE")</f>
        <v>NE</v>
      </c>
      <c r="D3275" s="170" t="str">
        <f>IFERROR(__xludf.DUMMYFUNCTION("""COMPUTED_VALUE"""),"USA")</f>
        <v>USA</v>
      </c>
      <c r="E3275" s="171">
        <f>IFERROR(__xludf.DUMMYFUNCTION("""COMPUTED_VALUE"""),43277.0)</f>
        <v>43277</v>
      </c>
      <c r="F3275" s="172">
        <f>IFERROR(__xludf.DUMMYFUNCTION("""COMPUTED_VALUE"""),43349.0)</f>
        <v>43349</v>
      </c>
      <c r="G3275" s="173"/>
      <c r="H3275" s="174">
        <f>IFERROR(__xludf.DUMMYFUNCTION("""COMPUTED_VALUE"""),64866.0)</f>
        <v>64866</v>
      </c>
      <c r="I3275" s="175" t="str">
        <f>IFERROR(__xludf.DUMMYFUNCTION("""COMPUTED_VALUE"""),"08/18")</f>
        <v>08/18</v>
      </c>
      <c r="J3275" s="172">
        <f>IFERROR(__xludf.DUMMYFUNCTION("""COMPUTED_VALUE"""),43366.0)</f>
        <v>43366</v>
      </c>
      <c r="K3275" s="176">
        <f>IFERROR(__xludf.DUMMYFUNCTION("""COMPUTED_VALUE"""),72.0)</f>
        <v>72</v>
      </c>
      <c r="L3275" s="176">
        <f>IFERROR(__xludf.DUMMYFUNCTION("""COMPUTED_VALUE"""),17.0)</f>
        <v>17</v>
      </c>
      <c r="M3275" s="176">
        <f>IFERROR(__xludf.DUMMYFUNCTION("""COMPUTED_VALUE"""),89.0)</f>
        <v>89</v>
      </c>
      <c r="N3275" s="177" t="str">
        <f>IFERROR(__xludf.DUMMYFUNCTION("""COMPUTED_VALUE"""),"Model 3 LR AWD")</f>
        <v>Model 3 LR AWD</v>
      </c>
      <c r="O3275" s="177" t="str">
        <f>IFERROR(__xludf.DUMMYFUNCTION("""COMPUTED_VALUE"""),"Deep Blue Metallic")</f>
        <v>Deep Blue Metallic</v>
      </c>
      <c r="P3275" s="178" t="str">
        <f>IFERROR(__xludf.DUMMYFUNCTION("""COMPUTED_VALUE"""),"18 inch Aero")</f>
        <v>18 inch Aero</v>
      </c>
      <c r="Q3275" s="177" t="str">
        <f>IFERROR(__xludf.DUMMYFUNCTION("""COMPUTED_VALUE"""),"Black seats")</f>
        <v>Black seats</v>
      </c>
      <c r="R3275" s="170" t="str">
        <f>IFERROR(__xludf.DUMMYFUNCTION("""COMPUTED_VALUE"""),"Enhanced Autopilot")</f>
        <v>Enhanced Autopilot</v>
      </c>
      <c r="S3275" s="170"/>
      <c r="T3275" s="179"/>
      <c r="U3275" s="179"/>
      <c r="V3275" s="179"/>
      <c r="W3275" s="180"/>
      <c r="X3275" s="181" t="str">
        <f>IFERROR(__xludf.DUMMYFUNCTION("""COMPUTED_VALUE"""),"Very Good")</f>
        <v>Very Good</v>
      </c>
      <c r="Y3275" s="182" t="str">
        <f>IFERROR(__xludf.DUMMYFUNCTION("""COMPUTED_VALUE"""),"Very Good")</f>
        <v>Very Good</v>
      </c>
      <c r="Z3275" s="182" t="str">
        <f>IFERROR(__xludf.DUMMYFUNCTION("""COMPUTED_VALUE"""),"Fair")</f>
        <v>Fair</v>
      </c>
      <c r="AA3275" s="182" t="str">
        <f>IFERROR(__xludf.DUMMYFUNCTION("""COMPUTED_VALUE"""),"Fair")</f>
        <v>Fair</v>
      </c>
      <c r="AB3275" s="182" t="str">
        <f>IFERROR(__xludf.DUMMYFUNCTION("""COMPUTED_VALUE"""),"Fair")</f>
        <v>Fair</v>
      </c>
      <c r="AC3275" s="183">
        <f>IFERROR(__xludf.DUMMYFUNCTION("""COMPUTED_VALUE"""),2.0)</f>
        <v>2</v>
      </c>
      <c r="AD3275" s="183"/>
      <c r="AE3275" s="183"/>
      <c r="AF3275" s="184"/>
      <c r="AG3275" s="180"/>
      <c r="AH3275" s="185">
        <f>IFERROR(__xludf.DUMMYFUNCTION("""COMPUTED_VALUE"""),43370.30233980324)</f>
        <v>43370.30234</v>
      </c>
      <c r="AI3275" s="182"/>
      <c r="AJ3275" s="182"/>
      <c r="AK3275" s="182"/>
      <c r="AL3275" s="182"/>
    </row>
    <row r="3276" ht="20.25" customHeight="1">
      <c r="A3276" s="169" t="str">
        <f>IFERROR(__xludf.DUMMYFUNCTION("""COMPUTED_VALUE"""),"KodyB")</f>
        <v>KodyB</v>
      </c>
      <c r="B3276" s="170" t="str">
        <f>IFERROR(__xludf.DUMMYFUNCTION("""COMPUTED_VALUE"""),"Sioux Falls")</f>
        <v>Sioux Falls</v>
      </c>
      <c r="C3276" s="170" t="str">
        <f>IFERROR(__xludf.DUMMYFUNCTION("""COMPUTED_VALUE"""),"SD")</f>
        <v>SD</v>
      </c>
      <c r="D3276" s="170" t="str">
        <f>IFERROR(__xludf.DUMMYFUNCTION("""COMPUTED_VALUE"""),"USA")</f>
        <v>USA</v>
      </c>
      <c r="E3276" s="171">
        <f>IFERROR(__xludf.DUMMYFUNCTION("""COMPUTED_VALUE"""),43277.0)</f>
        <v>43277</v>
      </c>
      <c r="F3276" s="172">
        <f>IFERROR(__xludf.DUMMYFUNCTION("""COMPUTED_VALUE"""),43378.0)</f>
        <v>43378</v>
      </c>
      <c r="G3276" s="173"/>
      <c r="H3276" s="174">
        <f>IFERROR(__xludf.DUMMYFUNCTION("""COMPUTED_VALUE"""),94755.0)</f>
        <v>94755</v>
      </c>
      <c r="I3276" s="175"/>
      <c r="J3276" s="172">
        <f>IFERROR(__xludf.DUMMYFUNCTION("""COMPUTED_VALUE"""),43410.0)</f>
        <v>43410</v>
      </c>
      <c r="K3276" s="176">
        <f>IFERROR(__xludf.DUMMYFUNCTION("""COMPUTED_VALUE"""),101.0)</f>
        <v>101</v>
      </c>
      <c r="L3276" s="176">
        <f>IFERROR(__xludf.DUMMYFUNCTION("""COMPUTED_VALUE"""),32.0)</f>
        <v>32</v>
      </c>
      <c r="M3276" s="176">
        <f>IFERROR(__xludf.DUMMYFUNCTION("""COMPUTED_VALUE"""),133.0)</f>
        <v>133</v>
      </c>
      <c r="N3276" s="177" t="str">
        <f>IFERROR(__xludf.DUMMYFUNCTION("""COMPUTED_VALUE"""),"Model 3 LR AWD")</f>
        <v>Model 3 LR AWD</v>
      </c>
      <c r="O3276" s="177" t="str">
        <f>IFERROR(__xludf.DUMMYFUNCTION("""COMPUTED_VALUE"""),"Pearl White Multi-Coat")</f>
        <v>Pearl White Multi-Coat</v>
      </c>
      <c r="P3276" s="178" t="str">
        <f>IFERROR(__xludf.DUMMYFUNCTION("""COMPUTED_VALUE"""),"18 inch Aero")</f>
        <v>18 inch Aero</v>
      </c>
      <c r="Q3276" s="177" t="str">
        <f>IFERROR(__xludf.DUMMYFUNCTION("""COMPUTED_VALUE"""),"Black seats")</f>
        <v>Black seats</v>
      </c>
      <c r="R3276" s="170" t="str">
        <f>IFERROR(__xludf.DUMMYFUNCTION("""COMPUTED_VALUE"""),"Enhanced Autopilot")</f>
        <v>Enhanced Autopilot</v>
      </c>
      <c r="S3276" s="170"/>
      <c r="T3276" s="179"/>
      <c r="U3276" s="179"/>
      <c r="V3276" s="179"/>
      <c r="W3276" s="180"/>
      <c r="X3276" s="181" t="str">
        <f>IFERROR(__xludf.DUMMYFUNCTION("""COMPUTED_VALUE"""),"Very Good")</f>
        <v>Very Good</v>
      </c>
      <c r="Y3276" s="182" t="str">
        <f>IFERROR(__xludf.DUMMYFUNCTION("""COMPUTED_VALUE"""),"Very Good")</f>
        <v>Very Good</v>
      </c>
      <c r="Z3276" s="182" t="str">
        <f>IFERROR(__xludf.DUMMYFUNCTION("""COMPUTED_VALUE"""),"Very Good")</f>
        <v>Very Good</v>
      </c>
      <c r="AA3276" s="182" t="str">
        <f>IFERROR(__xludf.DUMMYFUNCTION("""COMPUTED_VALUE"""),"Fair")</f>
        <v>Fair</v>
      </c>
      <c r="AB3276" s="182" t="str">
        <f>IFERROR(__xludf.DUMMYFUNCTION("""COMPUTED_VALUE"""),"Fair")</f>
        <v>Fair</v>
      </c>
      <c r="AC3276" s="183">
        <f>IFERROR(__xludf.DUMMYFUNCTION("""COMPUTED_VALUE"""),0.0)</f>
        <v>0</v>
      </c>
      <c r="AD3276" s="183"/>
      <c r="AE3276" s="183"/>
      <c r="AF3276" s="184"/>
      <c r="AG3276" s="180"/>
      <c r="AH3276" s="185">
        <f>IFERROR(__xludf.DUMMYFUNCTION("""COMPUTED_VALUE"""),43415.8001390162)</f>
        <v>43415.80014</v>
      </c>
      <c r="AI3276" s="182"/>
      <c r="AJ3276" s="182"/>
      <c r="AK3276" s="182"/>
      <c r="AL3276" s="182"/>
    </row>
    <row r="3277" ht="20.25" customHeight="1">
      <c r="A3277" s="169" t="str">
        <f>IFERROR(__xludf.DUMMYFUNCTION("""COMPUTED_VALUE"""),"lairdb")</f>
        <v>lairdb</v>
      </c>
      <c r="B3277" s="170"/>
      <c r="C3277" s="170" t="str">
        <f>IFERROR(__xludf.DUMMYFUNCTION("""COMPUTED_VALUE"""),"CA")</f>
        <v>CA</v>
      </c>
      <c r="D3277" s="170" t="str">
        <f>IFERROR(__xludf.DUMMYFUNCTION("""COMPUTED_VALUE"""),"USA")</f>
        <v>USA</v>
      </c>
      <c r="E3277" s="171">
        <f>IFERROR(__xludf.DUMMYFUNCTION("""COMPUTED_VALUE"""),43277.0)</f>
        <v>43277</v>
      </c>
      <c r="F3277" s="172">
        <f>IFERROR(__xludf.DUMMYFUNCTION("""COMPUTED_VALUE"""),43361.0)</f>
        <v>43361</v>
      </c>
      <c r="G3277" s="173"/>
      <c r="H3277" s="174">
        <f>IFERROR(__xludf.DUMMYFUNCTION("""COMPUTED_VALUE"""),63155.0)</f>
        <v>63155</v>
      </c>
      <c r="I3277" s="175"/>
      <c r="J3277" s="172">
        <f>IFERROR(__xludf.DUMMYFUNCTION("""COMPUTED_VALUE"""),43370.0)</f>
        <v>43370</v>
      </c>
      <c r="K3277" s="176">
        <f>IFERROR(__xludf.DUMMYFUNCTION("""COMPUTED_VALUE"""),84.0)</f>
        <v>84</v>
      </c>
      <c r="L3277" s="176">
        <f>IFERROR(__xludf.DUMMYFUNCTION("""COMPUTED_VALUE"""),9.0)</f>
        <v>9</v>
      </c>
      <c r="M3277" s="176">
        <f>IFERROR(__xludf.DUMMYFUNCTION("""COMPUTED_VALUE"""),93.0)</f>
        <v>93</v>
      </c>
      <c r="N3277" s="177" t="str">
        <f>IFERROR(__xludf.DUMMYFUNCTION("""COMPUTED_VALUE"""),"Model 3 Performance")</f>
        <v>Model 3 Performance</v>
      </c>
      <c r="O3277" s="177" t="str">
        <f>IFERROR(__xludf.DUMMYFUNCTION("""COMPUTED_VALUE"""),"Red Multi-Coat")</f>
        <v>Red Multi-Coat</v>
      </c>
      <c r="P3277" s="178" t="str">
        <f>IFERROR(__xludf.DUMMYFUNCTION("""COMPUTED_VALUE"""),"20 inch Sport")</f>
        <v>20 inch Sport</v>
      </c>
      <c r="Q3277" s="177" t="str">
        <f>IFERROR(__xludf.DUMMYFUNCTION("""COMPUTED_VALUE"""),"Black seats")</f>
        <v>Black seats</v>
      </c>
      <c r="R3277" s="170" t="str">
        <f>IFERROR(__xludf.DUMMYFUNCTION("""COMPUTED_VALUE"""),"Enhanced Autopilot")</f>
        <v>Enhanced Autopilot</v>
      </c>
      <c r="S3277" s="170"/>
      <c r="T3277" s="179"/>
      <c r="U3277" s="179"/>
      <c r="V3277" s="179"/>
      <c r="W3277" s="180"/>
      <c r="X3277" s="181" t="str">
        <f>IFERROR(__xludf.DUMMYFUNCTION("""COMPUTED_VALUE"""),"Good")</f>
        <v>Good</v>
      </c>
      <c r="Y3277" s="182" t="str">
        <f>IFERROR(__xludf.DUMMYFUNCTION("""COMPUTED_VALUE"""),"Excellent")</f>
        <v>Excellent</v>
      </c>
      <c r="Z3277" s="182" t="str">
        <f>IFERROR(__xludf.DUMMYFUNCTION("""COMPUTED_VALUE"""),"Excellent")</f>
        <v>Excellent</v>
      </c>
      <c r="AA3277" s="182"/>
      <c r="AB3277" s="182" t="str">
        <f>IFERROR(__xludf.DUMMYFUNCTION("""COMPUTED_VALUE"""),"Fair")</f>
        <v>Fair</v>
      </c>
      <c r="AC3277" s="183"/>
      <c r="AD3277" s="183"/>
      <c r="AE3277" s="183"/>
      <c r="AF3277" s="184"/>
      <c r="AG3277" s="180"/>
      <c r="AH3277" s="185">
        <f>IFERROR(__xludf.DUMMYFUNCTION("""COMPUTED_VALUE"""),43368.53761334491)</f>
        <v>43368.53761</v>
      </c>
      <c r="AI3277" s="182"/>
      <c r="AJ3277" s="182"/>
      <c r="AK3277" s="182"/>
      <c r="AL3277" s="182"/>
    </row>
    <row r="3278" ht="20.25" customHeight="1">
      <c r="A3278" s="169" t="str">
        <f>IFERROR(__xludf.DUMMYFUNCTION("""COMPUTED_VALUE"""),"larsocam")</f>
        <v>larsocam</v>
      </c>
      <c r="B3278" s="170" t="str">
        <f>IFERROR(__xludf.DUMMYFUNCTION("""COMPUTED_VALUE"""),"Portland")</f>
        <v>Portland</v>
      </c>
      <c r="C3278" s="170" t="str">
        <f>IFERROR(__xludf.DUMMYFUNCTION("""COMPUTED_VALUE"""),"OR")</f>
        <v>OR</v>
      </c>
      <c r="D3278" s="170" t="str">
        <f>IFERROR(__xludf.DUMMYFUNCTION("""COMPUTED_VALUE"""),"USA")</f>
        <v>USA</v>
      </c>
      <c r="E3278" s="171">
        <f>IFERROR(__xludf.DUMMYFUNCTION("""COMPUTED_VALUE"""),43277.0)</f>
        <v>43277</v>
      </c>
      <c r="F3278" s="172">
        <f>IFERROR(__xludf.DUMMYFUNCTION("""COMPUTED_VALUE"""),43330.0)</f>
        <v>43330</v>
      </c>
      <c r="G3278" s="173"/>
      <c r="H3278" s="174">
        <f>IFERROR(__xludf.DUMMYFUNCTION("""COMPUTED_VALUE"""),64455.0)</f>
        <v>64455</v>
      </c>
      <c r="I3278" s="175"/>
      <c r="J3278" s="172">
        <f>IFERROR(__xludf.DUMMYFUNCTION("""COMPUTED_VALUE"""),43338.0)</f>
        <v>43338</v>
      </c>
      <c r="K3278" s="176">
        <f>IFERROR(__xludf.DUMMYFUNCTION("""COMPUTED_VALUE"""),53.0)</f>
        <v>53</v>
      </c>
      <c r="L3278" s="176">
        <f>IFERROR(__xludf.DUMMYFUNCTION("""COMPUTED_VALUE"""),8.0)</f>
        <v>8</v>
      </c>
      <c r="M3278" s="176">
        <f>IFERROR(__xludf.DUMMYFUNCTION("""COMPUTED_VALUE"""),61.0)</f>
        <v>61</v>
      </c>
      <c r="N3278" s="177" t="str">
        <f>IFERROR(__xludf.DUMMYFUNCTION("""COMPUTED_VALUE"""),"Model 3 LR AWD")</f>
        <v>Model 3 LR AWD</v>
      </c>
      <c r="O3278" s="177" t="str">
        <f>IFERROR(__xludf.DUMMYFUNCTION("""COMPUTED_VALUE"""),"Deep Blue Metallic")</f>
        <v>Deep Blue Metallic</v>
      </c>
      <c r="P3278" s="178" t="str">
        <f>IFERROR(__xludf.DUMMYFUNCTION("""COMPUTED_VALUE"""),"18 inch Aero")</f>
        <v>18 inch Aero</v>
      </c>
      <c r="Q3278" s="177" t="str">
        <f>IFERROR(__xludf.DUMMYFUNCTION("""COMPUTED_VALUE"""),"Black seats")</f>
        <v>Black seats</v>
      </c>
      <c r="R3278" s="170" t="str">
        <f>IFERROR(__xludf.DUMMYFUNCTION("""COMPUTED_VALUE"""),"None")</f>
        <v>None</v>
      </c>
      <c r="S3278" s="170"/>
      <c r="T3278" s="179"/>
      <c r="U3278" s="179"/>
      <c r="V3278" s="179"/>
      <c r="W3278" s="180"/>
      <c r="X3278" s="181" t="str">
        <f>IFERROR(__xludf.DUMMYFUNCTION("""COMPUTED_VALUE"""),"Excellent")</f>
        <v>Excellent</v>
      </c>
      <c r="Y3278" s="182" t="str">
        <f>IFERROR(__xludf.DUMMYFUNCTION("""COMPUTED_VALUE"""),"Excellent")</f>
        <v>Excellent</v>
      </c>
      <c r="Z3278" s="182" t="str">
        <f>IFERROR(__xludf.DUMMYFUNCTION("""COMPUTED_VALUE"""),"Excellent")</f>
        <v>Excellent</v>
      </c>
      <c r="AA3278" s="182" t="str">
        <f>IFERROR(__xludf.DUMMYFUNCTION("""COMPUTED_VALUE"""),"Very Good")</f>
        <v>Very Good</v>
      </c>
      <c r="AB3278" s="182" t="str">
        <f>IFERROR(__xludf.DUMMYFUNCTION("""COMPUTED_VALUE"""),"Good")</f>
        <v>Good</v>
      </c>
      <c r="AC3278" s="183">
        <f>IFERROR(__xludf.DUMMYFUNCTION("""COMPUTED_VALUE"""),0.0)</f>
        <v>0</v>
      </c>
      <c r="AD3278" s="183">
        <f>IFERROR(__xludf.DUMMYFUNCTION("""COMPUTED_VALUE"""),0.0)</f>
        <v>0</v>
      </c>
      <c r="AE3278" s="183">
        <f>IFERROR(__xludf.DUMMYFUNCTION("""COMPUTED_VALUE"""),0.0)</f>
        <v>0</v>
      </c>
      <c r="AF3278" s="184"/>
      <c r="AG3278" s="180"/>
      <c r="AH3278" s="185">
        <f>IFERROR(__xludf.DUMMYFUNCTION("""COMPUTED_VALUE"""),43338.81042591435)</f>
        <v>43338.81043</v>
      </c>
      <c r="AI3278" s="182"/>
      <c r="AJ3278" s="182"/>
      <c r="AK3278" s="182"/>
      <c r="AL3278" s="182"/>
    </row>
    <row r="3279" ht="20.25" customHeight="1">
      <c r="A3279" s="169" t="str">
        <f>IFERROR(__xludf.DUMMYFUNCTION("""COMPUTED_VALUE"""),"LoL Rick")</f>
        <v>LoL Rick</v>
      </c>
      <c r="B3279" s="170" t="str">
        <f>IFERROR(__xludf.DUMMYFUNCTION("""COMPUTED_VALUE"""),"Land O Lakes")</f>
        <v>Land O Lakes</v>
      </c>
      <c r="C3279" s="170" t="str">
        <f>IFERROR(__xludf.DUMMYFUNCTION("""COMPUTED_VALUE"""),"FL")</f>
        <v>FL</v>
      </c>
      <c r="D3279" s="170" t="str">
        <f>IFERROR(__xludf.DUMMYFUNCTION("""COMPUTED_VALUE"""),"USA")</f>
        <v>USA</v>
      </c>
      <c r="E3279" s="171">
        <f>IFERROR(__xludf.DUMMYFUNCTION("""COMPUTED_VALUE"""),43277.0)</f>
        <v>43277</v>
      </c>
      <c r="F3279" s="172">
        <f>IFERROR(__xludf.DUMMYFUNCTION("""COMPUTED_VALUE"""),43340.0)</f>
        <v>43340</v>
      </c>
      <c r="G3279" s="173"/>
      <c r="H3279" s="174">
        <f>IFERROR(__xludf.DUMMYFUNCTION("""COMPUTED_VALUE"""),74255.0)</f>
        <v>74255</v>
      </c>
      <c r="I3279" s="175" t="str">
        <f>IFERROR(__xludf.DUMMYFUNCTION("""COMPUTED_VALUE"""),"08/18")</f>
        <v>08/18</v>
      </c>
      <c r="J3279" s="172">
        <f>IFERROR(__xludf.DUMMYFUNCTION("""COMPUTED_VALUE"""),43367.0)</f>
        <v>43367</v>
      </c>
      <c r="K3279" s="176">
        <f>IFERROR(__xludf.DUMMYFUNCTION("""COMPUTED_VALUE"""),63.0)</f>
        <v>63</v>
      </c>
      <c r="L3279" s="176">
        <f>IFERROR(__xludf.DUMMYFUNCTION("""COMPUTED_VALUE"""),27.0)</f>
        <v>27</v>
      </c>
      <c r="M3279" s="176">
        <f>IFERROR(__xludf.DUMMYFUNCTION("""COMPUTED_VALUE"""),90.0)</f>
        <v>90</v>
      </c>
      <c r="N3279" s="177" t="str">
        <f>IFERROR(__xludf.DUMMYFUNCTION("""COMPUTED_VALUE"""),"Model 3 Performance")</f>
        <v>Model 3 Performance</v>
      </c>
      <c r="O3279" s="177" t="str">
        <f>IFERROR(__xludf.DUMMYFUNCTION("""COMPUTED_VALUE"""),"Deep Blue Metallic")</f>
        <v>Deep Blue Metallic</v>
      </c>
      <c r="P3279" s="178" t="str">
        <f>IFERROR(__xludf.DUMMYFUNCTION("""COMPUTED_VALUE"""),"20 inch Sport")</f>
        <v>20 inch Sport</v>
      </c>
      <c r="Q3279" s="177" t="str">
        <f>IFERROR(__xludf.DUMMYFUNCTION("""COMPUTED_VALUE"""),"White seats")</f>
        <v>White seats</v>
      </c>
      <c r="R3279" s="170" t="str">
        <f>IFERROR(__xludf.DUMMYFUNCTION("""COMPUTED_VALUE"""),"Enhanced Autopilot")</f>
        <v>Enhanced Autopilot</v>
      </c>
      <c r="S3279" s="170"/>
      <c r="T3279" s="179"/>
      <c r="U3279" s="179"/>
      <c r="V3279" s="179"/>
      <c r="W3279" s="180"/>
      <c r="X3279" s="181" t="str">
        <f>IFERROR(__xludf.DUMMYFUNCTION("""COMPUTED_VALUE"""),"Excellent")</f>
        <v>Excellent</v>
      </c>
      <c r="Y3279" s="182" t="str">
        <f>IFERROR(__xludf.DUMMYFUNCTION("""COMPUTED_VALUE"""),"Excellent")</f>
        <v>Excellent</v>
      </c>
      <c r="Z3279" s="182" t="str">
        <f>IFERROR(__xludf.DUMMYFUNCTION("""COMPUTED_VALUE"""),"Very Good")</f>
        <v>Very Good</v>
      </c>
      <c r="AA3279" s="182" t="str">
        <f>IFERROR(__xludf.DUMMYFUNCTION("""COMPUTED_VALUE"""),"Poor")</f>
        <v>Poor</v>
      </c>
      <c r="AB3279" s="182" t="str">
        <f>IFERROR(__xludf.DUMMYFUNCTION("""COMPUTED_VALUE"""),"Fair")</f>
        <v>Fair</v>
      </c>
      <c r="AC3279" s="183">
        <f>IFERROR(__xludf.DUMMYFUNCTION("""COMPUTED_VALUE"""),2.0)</f>
        <v>2</v>
      </c>
      <c r="AD3279" s="183"/>
      <c r="AE3279" s="183"/>
      <c r="AF3279" s="184"/>
      <c r="AG3279" s="180"/>
      <c r="AH3279" s="185">
        <f>IFERROR(__xludf.DUMMYFUNCTION("""COMPUTED_VALUE"""),43371.34476237268)</f>
        <v>43371.34476</v>
      </c>
      <c r="AI3279" s="182"/>
      <c r="AJ3279" s="182"/>
      <c r="AK3279" s="182"/>
      <c r="AL3279" s="182"/>
    </row>
    <row r="3280" ht="20.25" customHeight="1">
      <c r="A3280" s="169" t="str">
        <f>IFERROR(__xludf.DUMMYFUNCTION("""COMPUTED_VALUE"""),"Long Ranger")</f>
        <v>Long Ranger</v>
      </c>
      <c r="B3280" s="170" t="str">
        <f>IFERROR(__xludf.DUMMYFUNCTION("""COMPUTED_VALUE"""),"Seattle")</f>
        <v>Seattle</v>
      </c>
      <c r="C3280" s="170" t="str">
        <f>IFERROR(__xludf.DUMMYFUNCTION("""COMPUTED_VALUE"""),"WA")</f>
        <v>WA</v>
      </c>
      <c r="D3280" s="170" t="str">
        <f>IFERROR(__xludf.DUMMYFUNCTION("""COMPUTED_VALUE"""),"USA")</f>
        <v>USA</v>
      </c>
      <c r="E3280" s="171">
        <f>IFERROR(__xludf.DUMMYFUNCTION("""COMPUTED_VALUE"""),43277.0)</f>
        <v>43277</v>
      </c>
      <c r="F3280" s="172"/>
      <c r="G3280" s="173"/>
      <c r="H3280" s="174">
        <f>IFERROR(__xludf.DUMMYFUNCTION("""COMPUTED_VALUE"""),73555.0)</f>
        <v>73555</v>
      </c>
      <c r="I3280" s="175" t="str">
        <f>IFERROR(__xludf.DUMMYFUNCTION("""COMPUTED_VALUE"""),"09/18")</f>
        <v>09/18</v>
      </c>
      <c r="J3280" s="172">
        <f>IFERROR(__xludf.DUMMYFUNCTION("""COMPUTED_VALUE"""),43385.0)</f>
        <v>43385</v>
      </c>
      <c r="K3280" s="176"/>
      <c r="L3280" s="176"/>
      <c r="M3280" s="176">
        <f>IFERROR(__xludf.DUMMYFUNCTION("""COMPUTED_VALUE"""),108.0)</f>
        <v>108</v>
      </c>
      <c r="N3280" s="177" t="str">
        <f>IFERROR(__xludf.DUMMYFUNCTION("""COMPUTED_VALUE"""),"Model 3 LR AWD")</f>
        <v>Model 3 LR AWD</v>
      </c>
      <c r="O3280" s="177" t="str">
        <f>IFERROR(__xludf.DUMMYFUNCTION("""COMPUTED_VALUE"""),"Deep Blue Metallic")</f>
        <v>Deep Blue Metallic</v>
      </c>
      <c r="P3280" s="178" t="str">
        <f>IFERROR(__xludf.DUMMYFUNCTION("""COMPUTED_VALUE"""),"18 inch Aero")</f>
        <v>18 inch Aero</v>
      </c>
      <c r="Q3280" s="177" t="str">
        <f>IFERROR(__xludf.DUMMYFUNCTION("""COMPUTED_VALUE"""),"Black seats")</f>
        <v>Black seats</v>
      </c>
      <c r="R3280" s="170" t="str">
        <f>IFERROR(__xludf.DUMMYFUNCTION("""COMPUTED_VALUE"""),"Full Self-Driving")</f>
        <v>Full Self-Driving</v>
      </c>
      <c r="S3280" s="170"/>
      <c r="T3280" s="179"/>
      <c r="U3280" s="179"/>
      <c r="V3280" s="179"/>
      <c r="W3280" s="180"/>
      <c r="X3280" s="181" t="str">
        <f>IFERROR(__xludf.DUMMYFUNCTION("""COMPUTED_VALUE"""),"Very Good")</f>
        <v>Very Good</v>
      </c>
      <c r="Y3280" s="182" t="str">
        <f>IFERROR(__xludf.DUMMYFUNCTION("""COMPUTED_VALUE"""),"Excellent")</f>
        <v>Excellent</v>
      </c>
      <c r="Z3280" s="182" t="str">
        <f>IFERROR(__xludf.DUMMYFUNCTION("""COMPUTED_VALUE"""),"Good")</f>
        <v>Good</v>
      </c>
      <c r="AA3280" s="182" t="str">
        <f>IFERROR(__xludf.DUMMYFUNCTION("""COMPUTED_VALUE"""),"Poor")</f>
        <v>Poor</v>
      </c>
      <c r="AB3280" s="182" t="str">
        <f>IFERROR(__xludf.DUMMYFUNCTION("""COMPUTED_VALUE"""),"Poor")</f>
        <v>Poor</v>
      </c>
      <c r="AC3280" s="183">
        <f>IFERROR(__xludf.DUMMYFUNCTION("""COMPUTED_VALUE"""),4.0)</f>
        <v>4</v>
      </c>
      <c r="AD3280" s="183">
        <f>IFERROR(__xludf.DUMMYFUNCTION("""COMPUTED_VALUE"""),1.0)</f>
        <v>1</v>
      </c>
      <c r="AE3280" s="183"/>
      <c r="AF3280" s="184"/>
      <c r="AG3280" s="180" t="str">
        <f>IFERROR(__xludf.DUMMYFUNCTION("""COMPUTED_VALUE"""),"Intentionally delayed delivery from Aug to Oct")</f>
        <v>Intentionally delayed delivery from Aug to Oct</v>
      </c>
      <c r="AH3280" s="185">
        <f>IFERROR(__xludf.DUMMYFUNCTION("""COMPUTED_VALUE"""),43397.88671341435)</f>
        <v>43397.88671</v>
      </c>
      <c r="AI3280" s="182"/>
      <c r="AJ3280" s="182"/>
      <c r="AK3280" s="182"/>
      <c r="AL3280" s="182"/>
    </row>
    <row r="3281" ht="20.25" customHeight="1">
      <c r="A3281" s="169" t="str">
        <f>IFERROR(__xludf.DUMMYFUNCTION("""COMPUTED_VALUE"""),"madeaccountforthee")</f>
        <v>madeaccountforthee</v>
      </c>
      <c r="B3281" s="170" t="str">
        <f>IFERROR(__xludf.DUMMYFUNCTION("""COMPUTED_VALUE"""),"palo alto")</f>
        <v>palo alto</v>
      </c>
      <c r="C3281" s="170" t="str">
        <f>IFERROR(__xludf.DUMMYFUNCTION("""COMPUTED_VALUE"""),"CA")</f>
        <v>CA</v>
      </c>
      <c r="D3281" s="170" t="str">
        <f>IFERROR(__xludf.DUMMYFUNCTION("""COMPUTED_VALUE"""),"USA")</f>
        <v>USA</v>
      </c>
      <c r="E3281" s="171">
        <f>IFERROR(__xludf.DUMMYFUNCTION("""COMPUTED_VALUE"""),43277.0)</f>
        <v>43277</v>
      </c>
      <c r="F3281" s="172">
        <f>IFERROR(__xludf.DUMMYFUNCTION("""COMPUTED_VALUE"""),43316.0)</f>
        <v>43316</v>
      </c>
      <c r="G3281" s="173"/>
      <c r="H3281" s="174">
        <f>IFERROR(__xludf.DUMMYFUNCTION("""COMPUTED_VALUE"""),74155.0)</f>
        <v>74155</v>
      </c>
      <c r="I3281" s="175" t="str">
        <f>IFERROR(__xludf.DUMMYFUNCTION("""COMPUTED_VALUE"""),"08/18")</f>
        <v>08/18</v>
      </c>
      <c r="J3281" s="172">
        <f>IFERROR(__xludf.DUMMYFUNCTION("""COMPUTED_VALUE"""),43323.0)</f>
        <v>43323</v>
      </c>
      <c r="K3281" s="176">
        <f>IFERROR(__xludf.DUMMYFUNCTION("""COMPUTED_VALUE"""),39.0)</f>
        <v>39</v>
      </c>
      <c r="L3281" s="176">
        <f>IFERROR(__xludf.DUMMYFUNCTION("""COMPUTED_VALUE"""),7.0)</f>
        <v>7</v>
      </c>
      <c r="M3281" s="176">
        <f>IFERROR(__xludf.DUMMYFUNCTION("""COMPUTED_VALUE"""),46.0)</f>
        <v>46</v>
      </c>
      <c r="N3281" s="177" t="str">
        <f>IFERROR(__xludf.DUMMYFUNCTION("""COMPUTED_VALUE"""),"Model 3 Performance")</f>
        <v>Model 3 Performance</v>
      </c>
      <c r="O3281" s="177" t="str">
        <f>IFERROR(__xludf.DUMMYFUNCTION("""COMPUTED_VALUE"""),"Deep Blue Metallic")</f>
        <v>Deep Blue Metallic</v>
      </c>
      <c r="P3281" s="178" t="str">
        <f>IFERROR(__xludf.DUMMYFUNCTION("""COMPUTED_VALUE"""),"20 inch Sport")</f>
        <v>20 inch Sport</v>
      </c>
      <c r="Q3281" s="177" t="str">
        <f>IFERROR(__xludf.DUMMYFUNCTION("""COMPUTED_VALUE"""),"White seats")</f>
        <v>White seats</v>
      </c>
      <c r="R3281" s="170" t="str">
        <f>IFERROR(__xludf.DUMMYFUNCTION("""COMPUTED_VALUE"""),"Enhanced Autopilot")</f>
        <v>Enhanced Autopilot</v>
      </c>
      <c r="S3281" s="170"/>
      <c r="T3281" s="179"/>
      <c r="U3281" s="179"/>
      <c r="V3281" s="179"/>
      <c r="W3281" s="180"/>
      <c r="X3281" s="181" t="str">
        <f>IFERROR(__xludf.DUMMYFUNCTION("""COMPUTED_VALUE"""),"Excellent")</f>
        <v>Excellent</v>
      </c>
      <c r="Y3281" s="182" t="str">
        <f>IFERROR(__xludf.DUMMYFUNCTION("""COMPUTED_VALUE"""),"Excellent")</f>
        <v>Excellent</v>
      </c>
      <c r="Z3281" s="182" t="str">
        <f>IFERROR(__xludf.DUMMYFUNCTION("""COMPUTED_VALUE"""),"Very Good")</f>
        <v>Very Good</v>
      </c>
      <c r="AA3281" s="182" t="str">
        <f>IFERROR(__xludf.DUMMYFUNCTION("""COMPUTED_VALUE"""),"Excellent")</f>
        <v>Excellent</v>
      </c>
      <c r="AB3281" s="182" t="str">
        <f>IFERROR(__xludf.DUMMYFUNCTION("""COMPUTED_VALUE"""),"Very Good")</f>
        <v>Very Good</v>
      </c>
      <c r="AC3281" s="183">
        <f>IFERROR(__xludf.DUMMYFUNCTION("""COMPUTED_VALUE"""),0.0)</f>
        <v>0</v>
      </c>
      <c r="AD3281" s="183">
        <f>IFERROR(__xludf.DUMMYFUNCTION("""COMPUTED_VALUE"""),1.0)</f>
        <v>1</v>
      </c>
      <c r="AE3281" s="183"/>
      <c r="AF3281" s="184"/>
      <c r="AG3281" s="180"/>
      <c r="AH3281" s="185">
        <f>IFERROR(__xludf.DUMMYFUNCTION("""COMPUTED_VALUE"""),43339.487143356484)</f>
        <v>43339.48714</v>
      </c>
      <c r="AI3281" s="182"/>
      <c r="AJ3281" s="182"/>
      <c r="AK3281" s="182"/>
      <c r="AL3281" s="182"/>
    </row>
    <row r="3282" ht="20.25" customHeight="1">
      <c r="A3282" s="169" t="str">
        <f>IFERROR(__xludf.DUMMYFUNCTION("""COMPUTED_VALUE"""),"marusan")</f>
        <v>marusan</v>
      </c>
      <c r="B3282" s="170" t="str">
        <f>IFERROR(__xludf.DUMMYFUNCTION("""COMPUTED_VALUE"""),"Silicon Valley, CA")</f>
        <v>Silicon Valley, CA</v>
      </c>
      <c r="C3282" s="170" t="str">
        <f>IFERROR(__xludf.DUMMYFUNCTION("""COMPUTED_VALUE"""),"CA")</f>
        <v>CA</v>
      </c>
      <c r="D3282" s="170" t="str">
        <f>IFERROR(__xludf.DUMMYFUNCTION("""COMPUTED_VALUE"""),"USA")</f>
        <v>USA</v>
      </c>
      <c r="E3282" s="171">
        <f>IFERROR(__xludf.DUMMYFUNCTION("""COMPUTED_VALUE"""),43277.0)</f>
        <v>43277</v>
      </c>
      <c r="F3282" s="172">
        <f>IFERROR(__xludf.DUMMYFUNCTION("""COMPUTED_VALUE"""),43337.0)</f>
        <v>43337</v>
      </c>
      <c r="G3282" s="173"/>
      <c r="H3282" s="174">
        <f>IFERROR(__xludf.DUMMYFUNCTION("""COMPUTED_VALUE"""),63155.0)</f>
        <v>63155</v>
      </c>
      <c r="I3282" s="175"/>
      <c r="J3282" s="172">
        <f>IFERROR(__xludf.DUMMYFUNCTION("""COMPUTED_VALUE"""),43339.0)</f>
        <v>43339</v>
      </c>
      <c r="K3282" s="176">
        <f>IFERROR(__xludf.DUMMYFUNCTION("""COMPUTED_VALUE"""),60.0)</f>
        <v>60</v>
      </c>
      <c r="L3282" s="176">
        <f>IFERROR(__xludf.DUMMYFUNCTION("""COMPUTED_VALUE"""),2.0)</f>
        <v>2</v>
      </c>
      <c r="M3282" s="176">
        <f>IFERROR(__xludf.DUMMYFUNCTION("""COMPUTED_VALUE"""),62.0)</f>
        <v>62</v>
      </c>
      <c r="N3282" s="177" t="str">
        <f>IFERROR(__xludf.DUMMYFUNCTION("""COMPUTED_VALUE"""),"Model 3 Performance")</f>
        <v>Model 3 Performance</v>
      </c>
      <c r="O3282" s="177" t="str">
        <f>IFERROR(__xludf.DUMMYFUNCTION("""COMPUTED_VALUE"""),"Red Multi-Coat")</f>
        <v>Red Multi-Coat</v>
      </c>
      <c r="P3282" s="178" t="str">
        <f>IFERROR(__xludf.DUMMYFUNCTION("""COMPUTED_VALUE"""),"20 inch Sport")</f>
        <v>20 inch Sport</v>
      </c>
      <c r="Q3282" s="177" t="str">
        <f>IFERROR(__xludf.DUMMYFUNCTION("""COMPUTED_VALUE"""),"Black seats")</f>
        <v>Black seats</v>
      </c>
      <c r="R3282" s="170" t="str">
        <f>IFERROR(__xludf.DUMMYFUNCTION("""COMPUTED_VALUE"""),"Full Self-Driving")</f>
        <v>Full Self-Driving</v>
      </c>
      <c r="S3282" s="170"/>
      <c r="T3282" s="179"/>
      <c r="U3282" s="179"/>
      <c r="V3282" s="179"/>
      <c r="W3282" s="180"/>
      <c r="X3282" s="181" t="str">
        <f>IFERROR(__xludf.DUMMYFUNCTION("""COMPUTED_VALUE"""),"Very Good")</f>
        <v>Very Good</v>
      </c>
      <c r="Y3282" s="182" t="str">
        <f>IFERROR(__xludf.DUMMYFUNCTION("""COMPUTED_VALUE"""),"Very Good")</f>
        <v>Very Good</v>
      </c>
      <c r="Z3282" s="182" t="str">
        <f>IFERROR(__xludf.DUMMYFUNCTION("""COMPUTED_VALUE"""),"Excellent")</f>
        <v>Excellent</v>
      </c>
      <c r="AA3282" s="182" t="str">
        <f>IFERROR(__xludf.DUMMYFUNCTION("""COMPUTED_VALUE"""),"Good")</f>
        <v>Good</v>
      </c>
      <c r="AB3282" s="182" t="str">
        <f>IFERROR(__xludf.DUMMYFUNCTION("""COMPUTED_VALUE"""),"Excellent")</f>
        <v>Excellent</v>
      </c>
      <c r="AC3282" s="183">
        <f>IFERROR(__xludf.DUMMYFUNCTION("""COMPUTED_VALUE"""),2.0)</f>
        <v>2</v>
      </c>
      <c r="AD3282" s="183"/>
      <c r="AE3282" s="183"/>
      <c r="AF3282" s="184"/>
      <c r="AG3282" s="180"/>
      <c r="AH3282" s="185">
        <f>IFERROR(__xludf.DUMMYFUNCTION("""COMPUTED_VALUE"""),43339.55850190972)</f>
        <v>43339.5585</v>
      </c>
      <c r="AI3282" s="182"/>
      <c r="AJ3282" s="182"/>
      <c r="AK3282" s="182"/>
      <c r="AL3282" s="182"/>
    </row>
    <row r="3283" ht="20.25" customHeight="1">
      <c r="A3283" s="169" t="str">
        <f>IFERROR(__xludf.DUMMYFUNCTION("""COMPUTED_VALUE"""),"mdrummer88")</f>
        <v>mdrummer88</v>
      </c>
      <c r="B3283" s="170" t="str">
        <f>IFERROR(__xludf.DUMMYFUNCTION("""COMPUTED_VALUE"""),"Los Angeles")</f>
        <v>Los Angeles</v>
      </c>
      <c r="C3283" s="170" t="str">
        <f>IFERROR(__xludf.DUMMYFUNCTION("""COMPUTED_VALUE"""),"CA")</f>
        <v>CA</v>
      </c>
      <c r="D3283" s="170" t="str">
        <f>IFERROR(__xludf.DUMMYFUNCTION("""COMPUTED_VALUE"""),"USA")</f>
        <v>USA</v>
      </c>
      <c r="E3283" s="171">
        <f>IFERROR(__xludf.DUMMYFUNCTION("""COMPUTED_VALUE"""),43277.0)</f>
        <v>43277</v>
      </c>
      <c r="F3283" s="172">
        <f>IFERROR(__xludf.DUMMYFUNCTION("""COMPUTED_VALUE"""),43279.0)</f>
        <v>43279</v>
      </c>
      <c r="G3283" s="173"/>
      <c r="H3283" s="174">
        <f>IFERROR(__xludf.DUMMYFUNCTION("""COMPUTED_VALUE"""),43955.0)</f>
        <v>43955</v>
      </c>
      <c r="I3283" s="175"/>
      <c r="J3283" s="172">
        <f>IFERROR(__xludf.DUMMYFUNCTION("""COMPUTED_VALUE"""),43295.0)</f>
        <v>43295</v>
      </c>
      <c r="K3283" s="176">
        <f>IFERROR(__xludf.DUMMYFUNCTION("""COMPUTED_VALUE"""),2.0)</f>
        <v>2</v>
      </c>
      <c r="L3283" s="176">
        <f>IFERROR(__xludf.DUMMYFUNCTION("""COMPUTED_VALUE"""),16.0)</f>
        <v>16</v>
      </c>
      <c r="M3283" s="176">
        <f>IFERROR(__xludf.DUMMYFUNCTION("""COMPUTED_VALUE"""),18.0)</f>
        <v>18</v>
      </c>
      <c r="N3283" s="177" t="str">
        <f>IFERROR(__xludf.DUMMYFUNCTION("""COMPUTED_VALUE"""),"Model 3 LR")</f>
        <v>Model 3 LR</v>
      </c>
      <c r="O3283" s="177" t="str">
        <f>IFERROR(__xludf.DUMMYFUNCTION("""COMPUTED_VALUE"""),"Silver Metallic")</f>
        <v>Silver Metallic</v>
      </c>
      <c r="P3283" s="178" t="str">
        <f>IFERROR(__xludf.DUMMYFUNCTION("""COMPUTED_VALUE"""),"18 inch Aero")</f>
        <v>18 inch Aero</v>
      </c>
      <c r="Q3283" s="177" t="str">
        <f>IFERROR(__xludf.DUMMYFUNCTION("""COMPUTED_VALUE"""),"Black seats")</f>
        <v>Black seats</v>
      </c>
      <c r="R3283" s="170" t="str">
        <f>IFERROR(__xludf.DUMMYFUNCTION("""COMPUTED_VALUE"""),"Full Self-Driving")</f>
        <v>Full Self-Driving</v>
      </c>
      <c r="S3283" s="170"/>
      <c r="T3283" s="179"/>
      <c r="U3283" s="179"/>
      <c r="V3283" s="179"/>
      <c r="W3283" s="180"/>
      <c r="X3283" s="181" t="str">
        <f>IFERROR(__xludf.DUMMYFUNCTION("""COMPUTED_VALUE"""),"Excellent")</f>
        <v>Excellent</v>
      </c>
      <c r="Y3283" s="182" t="str">
        <f>IFERROR(__xludf.DUMMYFUNCTION("""COMPUTED_VALUE"""),"Excellent")</f>
        <v>Excellent</v>
      </c>
      <c r="Z3283" s="182" t="str">
        <f>IFERROR(__xludf.DUMMYFUNCTION("""COMPUTED_VALUE"""),"Excellent")</f>
        <v>Excellent</v>
      </c>
      <c r="AA3283" s="182" t="str">
        <f>IFERROR(__xludf.DUMMYFUNCTION("""COMPUTED_VALUE"""),"Very Good")</f>
        <v>Very Good</v>
      </c>
      <c r="AB3283" s="182" t="str">
        <f>IFERROR(__xludf.DUMMYFUNCTION("""COMPUTED_VALUE"""),"Excellent")</f>
        <v>Excellent</v>
      </c>
      <c r="AC3283" s="183">
        <f>IFERROR(__xludf.DUMMYFUNCTION("""COMPUTED_VALUE"""),0.0)</f>
        <v>0</v>
      </c>
      <c r="AD3283" s="183"/>
      <c r="AE3283" s="183"/>
      <c r="AF3283" s="184"/>
      <c r="AG3283" s="180"/>
      <c r="AH3283" s="185">
        <f>IFERROR(__xludf.DUMMYFUNCTION("""COMPUTED_VALUE"""),43298.83724202546)</f>
        <v>43298.83724</v>
      </c>
      <c r="AI3283" s="182"/>
      <c r="AJ3283" s="182"/>
      <c r="AK3283" s="182"/>
      <c r="AL3283" s="182"/>
    </row>
    <row r="3284" ht="20.25" customHeight="1">
      <c r="A3284" s="169" t="str">
        <f>IFERROR(__xludf.DUMMYFUNCTION("""COMPUTED_VALUE"""),"mrkymarc")</f>
        <v>mrkymarc</v>
      </c>
      <c r="B3284" s="170" t="str">
        <f>IFERROR(__xludf.DUMMYFUNCTION("""COMPUTED_VALUE"""),"Milwaukee")</f>
        <v>Milwaukee</v>
      </c>
      <c r="C3284" s="170" t="str">
        <f>IFERROR(__xludf.DUMMYFUNCTION("""COMPUTED_VALUE"""),"WI")</f>
        <v>WI</v>
      </c>
      <c r="D3284" s="170" t="str">
        <f>IFERROR(__xludf.DUMMYFUNCTION("""COMPUTED_VALUE"""),"USA")</f>
        <v>USA</v>
      </c>
      <c r="E3284" s="171">
        <f>IFERROR(__xludf.DUMMYFUNCTION("""COMPUTED_VALUE"""),43277.0)</f>
        <v>43277</v>
      </c>
      <c r="F3284" s="172">
        <f>IFERROR(__xludf.DUMMYFUNCTION("""COMPUTED_VALUE"""),43283.0)</f>
        <v>43283</v>
      </c>
      <c r="G3284" s="173"/>
      <c r="H3284" s="174">
        <f>IFERROR(__xludf.DUMMYFUNCTION("""COMPUTED_VALUE"""),37655.0)</f>
        <v>37655</v>
      </c>
      <c r="I3284" s="175"/>
      <c r="J3284" s="172">
        <f>IFERROR(__xludf.DUMMYFUNCTION("""COMPUTED_VALUE"""),43298.0)</f>
        <v>43298</v>
      </c>
      <c r="K3284" s="176">
        <f>IFERROR(__xludf.DUMMYFUNCTION("""COMPUTED_VALUE"""),6.0)</f>
        <v>6</v>
      </c>
      <c r="L3284" s="176">
        <f>IFERROR(__xludf.DUMMYFUNCTION("""COMPUTED_VALUE"""),15.0)</f>
        <v>15</v>
      </c>
      <c r="M3284" s="176">
        <f>IFERROR(__xludf.DUMMYFUNCTION("""COMPUTED_VALUE"""),21.0)</f>
        <v>21</v>
      </c>
      <c r="N3284" s="177" t="str">
        <f>IFERROR(__xludf.DUMMYFUNCTION("""COMPUTED_VALUE"""),"Model 3 LR")</f>
        <v>Model 3 LR</v>
      </c>
      <c r="O3284" s="177" t="str">
        <f>IFERROR(__xludf.DUMMYFUNCTION("""COMPUTED_VALUE"""),"Red Multi-Coat")</f>
        <v>Red Multi-Coat</v>
      </c>
      <c r="P3284" s="178" t="str">
        <f>IFERROR(__xludf.DUMMYFUNCTION("""COMPUTED_VALUE"""),"18 inch Aero")</f>
        <v>18 inch Aero</v>
      </c>
      <c r="Q3284" s="177" t="str">
        <f>IFERROR(__xludf.DUMMYFUNCTION("""COMPUTED_VALUE"""),"Black seats")</f>
        <v>Black seats</v>
      </c>
      <c r="R3284" s="170" t="str">
        <f>IFERROR(__xludf.DUMMYFUNCTION("""COMPUTED_VALUE"""),"Enhanced Autopilot")</f>
        <v>Enhanced Autopilot</v>
      </c>
      <c r="S3284" s="170"/>
      <c r="T3284" s="179"/>
      <c r="U3284" s="179"/>
      <c r="V3284" s="179"/>
      <c r="W3284" s="180"/>
      <c r="X3284" s="181" t="str">
        <f>IFERROR(__xludf.DUMMYFUNCTION("""COMPUTED_VALUE"""),"Very Good")</f>
        <v>Very Good</v>
      </c>
      <c r="Y3284" s="182" t="str">
        <f>IFERROR(__xludf.DUMMYFUNCTION("""COMPUTED_VALUE"""),"Very Good")</f>
        <v>Very Good</v>
      </c>
      <c r="Z3284" s="182" t="str">
        <f>IFERROR(__xludf.DUMMYFUNCTION("""COMPUTED_VALUE"""),"Excellent")</f>
        <v>Excellent</v>
      </c>
      <c r="AA3284" s="182" t="str">
        <f>IFERROR(__xludf.DUMMYFUNCTION("""COMPUTED_VALUE"""),"Very Good")</f>
        <v>Very Good</v>
      </c>
      <c r="AB3284" s="182" t="str">
        <f>IFERROR(__xludf.DUMMYFUNCTION("""COMPUTED_VALUE"""),"Excellent")</f>
        <v>Excellent</v>
      </c>
      <c r="AC3284" s="183"/>
      <c r="AD3284" s="183"/>
      <c r="AE3284" s="183"/>
      <c r="AF3284" s="184"/>
      <c r="AG3284" s="180"/>
      <c r="AH3284" s="185">
        <f>IFERROR(__xludf.DUMMYFUNCTION("""COMPUTED_VALUE"""),43299.338984884256)</f>
        <v>43299.33898</v>
      </c>
      <c r="AI3284" s="182"/>
      <c r="AJ3284" s="182"/>
      <c r="AK3284" s="182"/>
      <c r="AL3284" s="182"/>
    </row>
    <row r="3285" ht="20.25" customHeight="1">
      <c r="A3285" s="169" t="str">
        <f>IFERROR(__xludf.DUMMYFUNCTION("""COMPUTED_VALUE"""),"myev")</f>
        <v>myev</v>
      </c>
      <c r="B3285" s="170" t="str">
        <f>IFERROR(__xludf.DUMMYFUNCTION("""COMPUTED_VALUE"""),"Guelph")</f>
        <v>Guelph</v>
      </c>
      <c r="C3285" s="170" t="str">
        <f>IFERROR(__xludf.DUMMYFUNCTION("""COMPUTED_VALUE"""),"ON")</f>
        <v>ON</v>
      </c>
      <c r="D3285" s="170" t="str">
        <f>IFERROR(__xludf.DUMMYFUNCTION("""COMPUTED_VALUE"""),"Canada")</f>
        <v>Canada</v>
      </c>
      <c r="E3285" s="171">
        <f>IFERROR(__xludf.DUMMYFUNCTION("""COMPUTED_VALUE"""),43277.0)</f>
        <v>43277</v>
      </c>
      <c r="F3285" s="172">
        <f>IFERROR(__xludf.DUMMYFUNCTION("""COMPUTED_VALUE"""),43348.0)</f>
        <v>43348</v>
      </c>
      <c r="G3285" s="173"/>
      <c r="H3285" s="174">
        <f>IFERROR(__xludf.DUMMYFUNCTION("""COMPUTED_VALUE"""),107055.0)</f>
        <v>107055</v>
      </c>
      <c r="I3285" s="175" t="str">
        <f>IFERROR(__xludf.DUMMYFUNCTION("""COMPUTED_VALUE"""),"09/18")</f>
        <v>09/18</v>
      </c>
      <c r="J3285" s="172">
        <f>IFERROR(__xludf.DUMMYFUNCTION("""COMPUTED_VALUE"""),43365.0)</f>
        <v>43365</v>
      </c>
      <c r="K3285" s="176">
        <f>IFERROR(__xludf.DUMMYFUNCTION("""COMPUTED_VALUE"""),71.0)</f>
        <v>71</v>
      </c>
      <c r="L3285" s="176">
        <f>IFERROR(__xludf.DUMMYFUNCTION("""COMPUTED_VALUE"""),17.0)</f>
        <v>17</v>
      </c>
      <c r="M3285" s="176">
        <f>IFERROR(__xludf.DUMMYFUNCTION("""COMPUTED_VALUE"""),88.0)</f>
        <v>88</v>
      </c>
      <c r="N3285" s="177" t="str">
        <f>IFERROR(__xludf.DUMMYFUNCTION("""COMPUTED_VALUE"""),"Model 3 LR AWD")</f>
        <v>Model 3 LR AWD</v>
      </c>
      <c r="O3285" s="177" t="str">
        <f>IFERROR(__xludf.DUMMYFUNCTION("""COMPUTED_VALUE"""),"Red Multi-Coat")</f>
        <v>Red Multi-Coat</v>
      </c>
      <c r="P3285" s="178" t="str">
        <f>IFERROR(__xludf.DUMMYFUNCTION("""COMPUTED_VALUE"""),"18 inch Aero")</f>
        <v>18 inch Aero</v>
      </c>
      <c r="Q3285" s="177" t="str">
        <f>IFERROR(__xludf.DUMMYFUNCTION("""COMPUTED_VALUE"""),"Black seats")</f>
        <v>Black seats</v>
      </c>
      <c r="R3285" s="170" t="str">
        <f>IFERROR(__xludf.DUMMYFUNCTION("""COMPUTED_VALUE"""),"Enhanced Autopilot")</f>
        <v>Enhanced Autopilot</v>
      </c>
      <c r="S3285" s="170"/>
      <c r="T3285" s="179"/>
      <c r="U3285" s="179"/>
      <c r="V3285" s="179"/>
      <c r="W3285" s="180"/>
      <c r="X3285" s="181" t="str">
        <f>IFERROR(__xludf.DUMMYFUNCTION("""COMPUTED_VALUE"""),"Excellent")</f>
        <v>Excellent</v>
      </c>
      <c r="Y3285" s="182" t="str">
        <f>IFERROR(__xludf.DUMMYFUNCTION("""COMPUTED_VALUE"""),"Very Good")</f>
        <v>Very Good</v>
      </c>
      <c r="Z3285" s="182" t="str">
        <f>IFERROR(__xludf.DUMMYFUNCTION("""COMPUTED_VALUE"""),"Very Good")</f>
        <v>Very Good</v>
      </c>
      <c r="AA3285" s="182" t="str">
        <f>IFERROR(__xludf.DUMMYFUNCTION("""COMPUTED_VALUE"""),"Good")</f>
        <v>Good</v>
      </c>
      <c r="AB3285" s="182" t="str">
        <f>IFERROR(__xludf.DUMMYFUNCTION("""COMPUTED_VALUE"""),"Fair")</f>
        <v>Fair</v>
      </c>
      <c r="AC3285" s="183">
        <f>IFERROR(__xludf.DUMMYFUNCTION("""COMPUTED_VALUE"""),3.0)</f>
        <v>3</v>
      </c>
      <c r="AD3285" s="183">
        <f>IFERROR(__xludf.DUMMYFUNCTION("""COMPUTED_VALUE"""),1.0)</f>
        <v>1</v>
      </c>
      <c r="AE3285" s="183">
        <f>IFERROR(__xludf.DUMMYFUNCTION("""COMPUTED_VALUE"""),7.0)</f>
        <v>7</v>
      </c>
      <c r="AF3285" s="184"/>
      <c r="AG3285" s="180"/>
      <c r="AH3285" s="185">
        <f>IFERROR(__xludf.DUMMYFUNCTION("""COMPUTED_VALUE"""),43392.52267155093)</f>
        <v>43392.52267</v>
      </c>
      <c r="AI3285" s="182"/>
      <c r="AJ3285" s="182"/>
      <c r="AK3285" s="182"/>
      <c r="AL3285" s="182"/>
    </row>
    <row r="3286" ht="20.25" customHeight="1">
      <c r="A3286" s="169" t="str">
        <f>IFERROR(__xludf.DUMMYFUNCTION("""COMPUTED_VALUE"""),"Nain")</f>
        <v>Nain</v>
      </c>
      <c r="B3286" s="170" t="str">
        <f>IFERROR(__xludf.DUMMYFUNCTION("""COMPUTED_VALUE"""),"Flint")</f>
        <v>Flint</v>
      </c>
      <c r="C3286" s="170" t="str">
        <f>IFERROR(__xludf.DUMMYFUNCTION("""COMPUTED_VALUE"""),"MI")</f>
        <v>MI</v>
      </c>
      <c r="D3286" s="170" t="str">
        <f>IFERROR(__xludf.DUMMYFUNCTION("""COMPUTED_VALUE"""),"USA")</f>
        <v>USA</v>
      </c>
      <c r="E3286" s="171">
        <f>IFERROR(__xludf.DUMMYFUNCTION("""COMPUTED_VALUE"""),43277.0)</f>
        <v>43277</v>
      </c>
      <c r="F3286" s="172">
        <f>IFERROR(__xludf.DUMMYFUNCTION("""COMPUTED_VALUE"""),43347.0)</f>
        <v>43347</v>
      </c>
      <c r="G3286" s="173"/>
      <c r="H3286" s="174">
        <f>IFERROR(__xludf.DUMMYFUNCTION("""COMPUTED_VALUE"""),97665.0)</f>
        <v>97665</v>
      </c>
      <c r="I3286" s="175"/>
      <c r="J3286" s="172">
        <f>IFERROR(__xludf.DUMMYFUNCTION("""COMPUTED_VALUE"""),43386.0)</f>
        <v>43386</v>
      </c>
      <c r="K3286" s="176">
        <f>IFERROR(__xludf.DUMMYFUNCTION("""COMPUTED_VALUE"""),70.0)</f>
        <v>70</v>
      </c>
      <c r="L3286" s="176">
        <f>IFERROR(__xludf.DUMMYFUNCTION("""COMPUTED_VALUE"""),39.0)</f>
        <v>39</v>
      </c>
      <c r="M3286" s="176">
        <f>IFERROR(__xludf.DUMMYFUNCTION("""COMPUTED_VALUE"""),109.0)</f>
        <v>109</v>
      </c>
      <c r="N3286" s="177" t="str">
        <f>IFERROR(__xludf.DUMMYFUNCTION("""COMPUTED_VALUE"""),"Model 3 LR AWD")</f>
        <v>Model 3 LR AWD</v>
      </c>
      <c r="O3286" s="177" t="str">
        <f>IFERROR(__xludf.DUMMYFUNCTION("""COMPUTED_VALUE"""),"Deep Blue Metallic")</f>
        <v>Deep Blue Metallic</v>
      </c>
      <c r="P3286" s="178" t="str">
        <f>IFERROR(__xludf.DUMMYFUNCTION("""COMPUTED_VALUE"""),"19 inch Sport")</f>
        <v>19 inch Sport</v>
      </c>
      <c r="Q3286" s="177" t="str">
        <f>IFERROR(__xludf.DUMMYFUNCTION("""COMPUTED_VALUE"""),"White seats")</f>
        <v>White seats</v>
      </c>
      <c r="R3286" s="170" t="str">
        <f>IFERROR(__xludf.DUMMYFUNCTION("""COMPUTED_VALUE"""),"Enhanced Autopilot")</f>
        <v>Enhanced Autopilot</v>
      </c>
      <c r="S3286" s="170"/>
      <c r="T3286" s="179"/>
      <c r="U3286" s="179"/>
      <c r="V3286" s="179"/>
      <c r="W3286" s="180"/>
      <c r="X3286" s="181"/>
      <c r="Y3286" s="182"/>
      <c r="Z3286" s="182"/>
      <c r="AA3286" s="182" t="str">
        <f>IFERROR(__xludf.DUMMYFUNCTION("""COMPUTED_VALUE"""),"Poor")</f>
        <v>Poor</v>
      </c>
      <c r="AB3286" s="182"/>
      <c r="AC3286" s="183"/>
      <c r="AD3286" s="183"/>
      <c r="AE3286" s="183"/>
      <c r="AF3286" s="184"/>
      <c r="AG3286" s="180" t="str">
        <f>IFERROR(__xludf.DUMMYFUNCTION("""COMPUTED_VALUE"""),"Paid in full.  Had a VIN for 3 weeks.  3 delivery delays.  Now no VIN, no delivery date.")</f>
        <v>Paid in full.  Had a VIN for 3 weeks.  3 delivery delays.  Now no VIN, no delivery date.</v>
      </c>
      <c r="AH3286" s="185">
        <f>IFERROR(__xludf.DUMMYFUNCTION("""COMPUTED_VALUE"""),43374.6031584838)</f>
        <v>43374.60316</v>
      </c>
      <c r="AI3286" s="182"/>
      <c r="AJ3286" s="182"/>
      <c r="AK3286" s="182"/>
      <c r="AL3286" s="182"/>
    </row>
    <row r="3287" ht="20.25" customHeight="1">
      <c r="A3287" s="169" t="str">
        <f>IFERROR(__xludf.DUMMYFUNCTION("""COMPUTED_VALUE"""),"nberardi")</f>
        <v>nberardi</v>
      </c>
      <c r="B3287" s="170" t="str">
        <f>IFERROR(__xludf.DUMMYFUNCTION("""COMPUTED_VALUE"""),"Seattle")</f>
        <v>Seattle</v>
      </c>
      <c r="C3287" s="170" t="str">
        <f>IFERROR(__xludf.DUMMYFUNCTION("""COMPUTED_VALUE"""),"WA")</f>
        <v>WA</v>
      </c>
      <c r="D3287" s="170" t="str">
        <f>IFERROR(__xludf.DUMMYFUNCTION("""COMPUTED_VALUE"""),"USA")</f>
        <v>USA</v>
      </c>
      <c r="E3287" s="171">
        <f>IFERROR(__xludf.DUMMYFUNCTION("""COMPUTED_VALUE"""),43277.0)</f>
        <v>43277</v>
      </c>
      <c r="F3287" s="172">
        <f>IFERROR(__xludf.DUMMYFUNCTION("""COMPUTED_VALUE"""),43313.0)</f>
        <v>43313</v>
      </c>
      <c r="G3287" s="173"/>
      <c r="H3287" s="174">
        <f>IFERROR(__xludf.DUMMYFUNCTION("""COMPUTED_VALUE"""),65555.0)</f>
        <v>65555</v>
      </c>
      <c r="I3287" s="175" t="str">
        <f>IFERROR(__xludf.DUMMYFUNCTION("""COMPUTED_VALUE"""),"08/18")</f>
        <v>08/18</v>
      </c>
      <c r="J3287" s="172">
        <f>IFERROR(__xludf.DUMMYFUNCTION("""COMPUTED_VALUE"""),43332.0)</f>
        <v>43332</v>
      </c>
      <c r="K3287" s="176">
        <f>IFERROR(__xludf.DUMMYFUNCTION("""COMPUTED_VALUE"""),36.0)</f>
        <v>36</v>
      </c>
      <c r="L3287" s="176">
        <f>IFERROR(__xludf.DUMMYFUNCTION("""COMPUTED_VALUE"""),19.0)</f>
        <v>19</v>
      </c>
      <c r="M3287" s="176">
        <f>IFERROR(__xludf.DUMMYFUNCTION("""COMPUTED_VALUE"""),55.0)</f>
        <v>55</v>
      </c>
      <c r="N3287" s="177" t="str">
        <f>IFERROR(__xludf.DUMMYFUNCTION("""COMPUTED_VALUE"""),"Model 3 LR AWD")</f>
        <v>Model 3 LR AWD</v>
      </c>
      <c r="O3287" s="177" t="str">
        <f>IFERROR(__xludf.DUMMYFUNCTION("""COMPUTED_VALUE"""),"Red Multi-Coat")</f>
        <v>Red Multi-Coat</v>
      </c>
      <c r="P3287" s="178" t="str">
        <f>IFERROR(__xludf.DUMMYFUNCTION("""COMPUTED_VALUE"""),"19 inch Sport")</f>
        <v>19 inch Sport</v>
      </c>
      <c r="Q3287" s="177" t="str">
        <f>IFERROR(__xludf.DUMMYFUNCTION("""COMPUTED_VALUE"""),"Black seats")</f>
        <v>Black seats</v>
      </c>
      <c r="R3287" s="170" t="str">
        <f>IFERROR(__xludf.DUMMYFUNCTION("""COMPUTED_VALUE"""),"Full Self-Driving")</f>
        <v>Full Self-Driving</v>
      </c>
      <c r="S3287" s="170"/>
      <c r="T3287" s="179"/>
      <c r="U3287" s="179"/>
      <c r="V3287" s="179"/>
      <c r="W3287" s="180"/>
      <c r="X3287" s="181" t="str">
        <f>IFERROR(__xludf.DUMMYFUNCTION("""COMPUTED_VALUE"""),"Very Good")</f>
        <v>Very Good</v>
      </c>
      <c r="Y3287" s="182" t="str">
        <f>IFERROR(__xludf.DUMMYFUNCTION("""COMPUTED_VALUE"""),"Very Good")</f>
        <v>Very Good</v>
      </c>
      <c r="Z3287" s="182" t="str">
        <f>IFERROR(__xludf.DUMMYFUNCTION("""COMPUTED_VALUE"""),"Very Good")</f>
        <v>Very Good</v>
      </c>
      <c r="AA3287" s="182" t="str">
        <f>IFERROR(__xludf.DUMMYFUNCTION("""COMPUTED_VALUE"""),"Fair")</f>
        <v>Fair</v>
      </c>
      <c r="AB3287" s="182" t="str">
        <f>IFERROR(__xludf.DUMMYFUNCTION("""COMPUTED_VALUE"""),"Good")</f>
        <v>Good</v>
      </c>
      <c r="AC3287" s="183">
        <f>IFERROR(__xludf.DUMMYFUNCTION("""COMPUTED_VALUE"""),1.0)</f>
        <v>1</v>
      </c>
      <c r="AD3287" s="183">
        <f>IFERROR(__xludf.DUMMYFUNCTION("""COMPUTED_VALUE"""),1.0)</f>
        <v>1</v>
      </c>
      <c r="AE3287" s="183">
        <f>IFERROR(__xludf.DUMMYFUNCTION("""COMPUTED_VALUE"""),0.0)</f>
        <v>0</v>
      </c>
      <c r="AF3287" s="184"/>
      <c r="AG3287" s="180"/>
      <c r="AH3287" s="185">
        <f>IFERROR(__xludf.DUMMYFUNCTION("""COMPUTED_VALUE"""),43346.95450125)</f>
        <v>43346.9545</v>
      </c>
      <c r="AI3287" s="182"/>
      <c r="AJ3287" s="182"/>
      <c r="AK3287" s="182"/>
      <c r="AL3287" s="182"/>
    </row>
    <row r="3288" ht="20.25" customHeight="1">
      <c r="A3288" s="169" t="str">
        <f>IFERROR(__xludf.DUMMYFUNCTION("""COMPUTED_VALUE"""),"nospam4chris")</f>
        <v>nospam4chris</v>
      </c>
      <c r="B3288" s="170" t="str">
        <f>IFERROR(__xludf.DUMMYFUNCTION("""COMPUTED_VALUE"""),"Tampa")</f>
        <v>Tampa</v>
      </c>
      <c r="C3288" s="170" t="str">
        <f>IFERROR(__xludf.DUMMYFUNCTION("""COMPUTED_VALUE"""),"FL")</f>
        <v>FL</v>
      </c>
      <c r="D3288" s="170" t="str">
        <f>IFERROR(__xludf.DUMMYFUNCTION("""COMPUTED_VALUE"""),"USA")</f>
        <v>USA</v>
      </c>
      <c r="E3288" s="171">
        <f>IFERROR(__xludf.DUMMYFUNCTION("""COMPUTED_VALUE"""),43277.0)</f>
        <v>43277</v>
      </c>
      <c r="F3288" s="172">
        <f>IFERROR(__xludf.DUMMYFUNCTION("""COMPUTED_VALUE"""),43376.0)</f>
        <v>43376</v>
      </c>
      <c r="G3288" s="173"/>
      <c r="H3288" s="174">
        <f>IFERROR(__xludf.DUMMYFUNCTION("""COMPUTED_VALUE"""),66655.0)</f>
        <v>66655</v>
      </c>
      <c r="I3288" s="175" t="str">
        <f>IFERROR(__xludf.DUMMYFUNCTION("""COMPUTED_VALUE"""),"08/18")</f>
        <v>08/18</v>
      </c>
      <c r="J3288" s="172">
        <f>IFERROR(__xludf.DUMMYFUNCTION("""COMPUTED_VALUE"""),43379.0)</f>
        <v>43379</v>
      </c>
      <c r="K3288" s="176">
        <f>IFERROR(__xludf.DUMMYFUNCTION("""COMPUTED_VALUE"""),99.0)</f>
        <v>99</v>
      </c>
      <c r="L3288" s="176">
        <f>IFERROR(__xludf.DUMMYFUNCTION("""COMPUTED_VALUE"""),3.0)</f>
        <v>3</v>
      </c>
      <c r="M3288" s="176">
        <f>IFERROR(__xludf.DUMMYFUNCTION("""COMPUTED_VALUE"""),102.0)</f>
        <v>102</v>
      </c>
      <c r="N3288" s="177" t="str">
        <f>IFERROR(__xludf.DUMMYFUNCTION("""COMPUTED_VALUE"""),"Model 3 LR AWD")</f>
        <v>Model 3 LR AWD</v>
      </c>
      <c r="O3288" s="177" t="str">
        <f>IFERROR(__xludf.DUMMYFUNCTION("""COMPUTED_VALUE"""),"Midnight Silver Metallic")</f>
        <v>Midnight Silver Metallic</v>
      </c>
      <c r="P3288" s="178" t="str">
        <f>IFERROR(__xludf.DUMMYFUNCTION("""COMPUTED_VALUE"""),"18 inch Aero")</f>
        <v>18 inch Aero</v>
      </c>
      <c r="Q3288" s="177" t="str">
        <f>IFERROR(__xludf.DUMMYFUNCTION("""COMPUTED_VALUE"""),"Black seats")</f>
        <v>Black seats</v>
      </c>
      <c r="R3288" s="170" t="str">
        <f>IFERROR(__xludf.DUMMYFUNCTION("""COMPUTED_VALUE"""),"Full Self-Driving")</f>
        <v>Full Self-Driving</v>
      </c>
      <c r="S3288" s="170"/>
      <c r="T3288" s="179"/>
      <c r="U3288" s="179"/>
      <c r="V3288" s="179"/>
      <c r="W3288" s="180"/>
      <c r="X3288" s="181" t="str">
        <f>IFERROR(__xludf.DUMMYFUNCTION("""COMPUTED_VALUE"""),"Very Good")</f>
        <v>Very Good</v>
      </c>
      <c r="Y3288" s="182" t="str">
        <f>IFERROR(__xludf.DUMMYFUNCTION("""COMPUTED_VALUE"""),"Good")</f>
        <v>Good</v>
      </c>
      <c r="Z3288" s="182" t="str">
        <f>IFERROR(__xludf.DUMMYFUNCTION("""COMPUTED_VALUE"""),"Very Good")</f>
        <v>Very Good</v>
      </c>
      <c r="AA3288" s="182" t="str">
        <f>IFERROR(__xludf.DUMMYFUNCTION("""COMPUTED_VALUE"""),"Very Good")</f>
        <v>Very Good</v>
      </c>
      <c r="AB3288" s="182" t="str">
        <f>IFERROR(__xludf.DUMMYFUNCTION("""COMPUTED_VALUE"""),"Very Good")</f>
        <v>Very Good</v>
      </c>
      <c r="AC3288" s="183">
        <f>IFERROR(__xludf.DUMMYFUNCTION("""COMPUTED_VALUE"""),6.0)</f>
        <v>6</v>
      </c>
      <c r="AD3288" s="183">
        <f>IFERROR(__xludf.DUMMYFUNCTION("""COMPUTED_VALUE"""),3.0)</f>
        <v>3</v>
      </c>
      <c r="AE3288" s="183">
        <f>IFERROR(__xludf.DUMMYFUNCTION("""COMPUTED_VALUE"""),3.0)</f>
        <v>3</v>
      </c>
      <c r="AF3288" s="184"/>
      <c r="AG3288" s="180" t="str">
        <f>IFERROR(__xludf.DUMMYFUNCTION("""COMPUTED_VALUE"""),"Waited for earnings call")</f>
        <v>Waited for earnings call</v>
      </c>
      <c r="AH3288" s="185">
        <f>IFERROR(__xludf.DUMMYFUNCTION("""COMPUTED_VALUE"""),43409.828485763894)</f>
        <v>43409.82849</v>
      </c>
      <c r="AI3288" s="182"/>
      <c r="AJ3288" s="182"/>
      <c r="AK3288" s="182"/>
      <c r="AL3288" s="182"/>
    </row>
    <row r="3289" ht="20.25" customHeight="1">
      <c r="A3289" s="169" t="str">
        <f>IFERROR(__xludf.DUMMYFUNCTION("""COMPUTED_VALUE"""),"notatypicalengineer")</f>
        <v>notatypicalengineer</v>
      </c>
      <c r="B3289" s="170"/>
      <c r="C3289" s="170" t="str">
        <f>IFERROR(__xludf.DUMMYFUNCTION("""COMPUTED_VALUE"""),"IN")</f>
        <v>IN</v>
      </c>
      <c r="D3289" s="170" t="str">
        <f>IFERROR(__xludf.DUMMYFUNCTION("""COMPUTED_VALUE"""),"USA")</f>
        <v>USA</v>
      </c>
      <c r="E3289" s="171">
        <f>IFERROR(__xludf.DUMMYFUNCTION("""COMPUTED_VALUE"""),43277.0)</f>
        <v>43277</v>
      </c>
      <c r="F3289" s="172">
        <f>IFERROR(__xludf.DUMMYFUNCTION("""COMPUTED_VALUE"""),43291.0)</f>
        <v>43291</v>
      </c>
      <c r="G3289" s="173"/>
      <c r="H3289" s="174">
        <f>IFERROR(__xludf.DUMMYFUNCTION("""COMPUTED_VALUE"""),32455.0)</f>
        <v>32455</v>
      </c>
      <c r="I3289" s="175" t="str">
        <f>IFERROR(__xludf.DUMMYFUNCTION("""COMPUTED_VALUE"""),"06/18")</f>
        <v>06/18</v>
      </c>
      <c r="J3289" s="172">
        <f>IFERROR(__xludf.DUMMYFUNCTION("""COMPUTED_VALUE"""),43329.0)</f>
        <v>43329</v>
      </c>
      <c r="K3289" s="176">
        <f>IFERROR(__xludf.DUMMYFUNCTION("""COMPUTED_VALUE"""),14.0)</f>
        <v>14</v>
      </c>
      <c r="L3289" s="176">
        <f>IFERROR(__xludf.DUMMYFUNCTION("""COMPUTED_VALUE"""),38.0)</f>
        <v>38</v>
      </c>
      <c r="M3289" s="176">
        <f>IFERROR(__xludf.DUMMYFUNCTION("""COMPUTED_VALUE"""),52.0)</f>
        <v>52</v>
      </c>
      <c r="N3289" s="177" t="str">
        <f>IFERROR(__xludf.DUMMYFUNCTION("""COMPUTED_VALUE"""),"Model 3 LR")</f>
        <v>Model 3 LR</v>
      </c>
      <c r="O3289" s="177" t="str">
        <f>IFERROR(__xludf.DUMMYFUNCTION("""COMPUTED_VALUE"""),"Red Multi-Coat")</f>
        <v>Red Multi-Coat</v>
      </c>
      <c r="P3289" s="178" t="str">
        <f>IFERROR(__xludf.DUMMYFUNCTION("""COMPUTED_VALUE"""),"18 inch Aero")</f>
        <v>18 inch Aero</v>
      </c>
      <c r="Q3289" s="177" t="str">
        <f>IFERROR(__xludf.DUMMYFUNCTION("""COMPUTED_VALUE"""),"Black seats")</f>
        <v>Black seats</v>
      </c>
      <c r="R3289" s="170" t="str">
        <f>IFERROR(__xludf.DUMMYFUNCTION("""COMPUTED_VALUE"""),"Enhanced Autopilot")</f>
        <v>Enhanced Autopilot</v>
      </c>
      <c r="S3289" s="170"/>
      <c r="T3289" s="179"/>
      <c r="U3289" s="179"/>
      <c r="V3289" s="179"/>
      <c r="W3289" s="180"/>
      <c r="X3289" s="181" t="str">
        <f>IFERROR(__xludf.DUMMYFUNCTION("""COMPUTED_VALUE"""),"Excellent")</f>
        <v>Excellent</v>
      </c>
      <c r="Y3289" s="182" t="str">
        <f>IFERROR(__xludf.DUMMYFUNCTION("""COMPUTED_VALUE"""),"Excellent")</f>
        <v>Excellent</v>
      </c>
      <c r="Z3289" s="182" t="str">
        <f>IFERROR(__xludf.DUMMYFUNCTION("""COMPUTED_VALUE"""),"Excellent")</f>
        <v>Excellent</v>
      </c>
      <c r="AA3289" s="182" t="str">
        <f>IFERROR(__xludf.DUMMYFUNCTION("""COMPUTED_VALUE"""),"Good")</f>
        <v>Good</v>
      </c>
      <c r="AB3289" s="182" t="str">
        <f>IFERROR(__xludf.DUMMYFUNCTION("""COMPUTED_VALUE"""),"Fair")</f>
        <v>Fair</v>
      </c>
      <c r="AC3289" s="183"/>
      <c r="AD3289" s="183"/>
      <c r="AE3289" s="183"/>
      <c r="AF3289" s="184"/>
      <c r="AG3289" s="180"/>
      <c r="AH3289" s="185">
        <f>IFERROR(__xludf.DUMMYFUNCTION("""COMPUTED_VALUE"""),43340.658560034724)</f>
        <v>43340.65856</v>
      </c>
      <c r="AI3289" s="182"/>
      <c r="AJ3289" s="182"/>
      <c r="AK3289" s="182"/>
      <c r="AL3289" s="182"/>
    </row>
    <row r="3290" ht="20.25" customHeight="1">
      <c r="A3290" s="169" t="str">
        <f>IFERROR(__xludf.DUMMYFUNCTION("""COMPUTED_VALUE"""),"Nvbob")</f>
        <v>Nvbob</v>
      </c>
      <c r="B3290" s="170"/>
      <c r="C3290" s="170" t="str">
        <f>IFERROR(__xludf.DUMMYFUNCTION("""COMPUTED_VALUE"""),"NV")</f>
        <v>NV</v>
      </c>
      <c r="D3290" s="170" t="str">
        <f>IFERROR(__xludf.DUMMYFUNCTION("""COMPUTED_VALUE"""),"USA")</f>
        <v>USA</v>
      </c>
      <c r="E3290" s="171">
        <f>IFERROR(__xludf.DUMMYFUNCTION("""COMPUTED_VALUE"""),43277.0)</f>
        <v>43277</v>
      </c>
      <c r="F3290" s="172">
        <f>IFERROR(__xludf.DUMMYFUNCTION("""COMPUTED_VALUE"""),43339.0)</f>
        <v>43339</v>
      </c>
      <c r="G3290" s="173"/>
      <c r="H3290" s="174">
        <f>IFERROR(__xludf.DUMMYFUNCTION("""COMPUTED_VALUE"""),65202.0)</f>
        <v>65202</v>
      </c>
      <c r="I3290" s="175"/>
      <c r="J3290" s="172">
        <f>IFERROR(__xludf.DUMMYFUNCTION("""COMPUTED_VALUE"""),43355.0)</f>
        <v>43355</v>
      </c>
      <c r="K3290" s="176">
        <f>IFERROR(__xludf.DUMMYFUNCTION("""COMPUTED_VALUE"""),62.0)</f>
        <v>62</v>
      </c>
      <c r="L3290" s="176">
        <f>IFERROR(__xludf.DUMMYFUNCTION("""COMPUTED_VALUE"""),16.0)</f>
        <v>16</v>
      </c>
      <c r="M3290" s="176">
        <f>IFERROR(__xludf.DUMMYFUNCTION("""COMPUTED_VALUE"""),78.0)</f>
        <v>78</v>
      </c>
      <c r="N3290" s="177" t="str">
        <f>IFERROR(__xludf.DUMMYFUNCTION("""COMPUTED_VALUE"""),"Model 3 LR AWD")</f>
        <v>Model 3 LR AWD</v>
      </c>
      <c r="O3290" s="177" t="str">
        <f>IFERROR(__xludf.DUMMYFUNCTION("""COMPUTED_VALUE"""),"Silver Metallic")</f>
        <v>Silver Metallic</v>
      </c>
      <c r="P3290" s="178" t="str">
        <f>IFERROR(__xludf.DUMMYFUNCTION("""COMPUTED_VALUE"""),"18 inch Aero")</f>
        <v>18 inch Aero</v>
      </c>
      <c r="Q3290" s="177" t="str">
        <f>IFERROR(__xludf.DUMMYFUNCTION("""COMPUTED_VALUE"""),"Black seats")</f>
        <v>Black seats</v>
      </c>
      <c r="R3290" s="170" t="str">
        <f>IFERROR(__xludf.DUMMYFUNCTION("""COMPUTED_VALUE"""),"Full Self-Driving")</f>
        <v>Full Self-Driving</v>
      </c>
      <c r="S3290" s="170"/>
      <c r="T3290" s="179"/>
      <c r="U3290" s="179"/>
      <c r="V3290" s="179"/>
      <c r="W3290" s="180"/>
      <c r="X3290" s="181" t="str">
        <f>IFERROR(__xludf.DUMMYFUNCTION("""COMPUTED_VALUE"""),"Excellent")</f>
        <v>Excellent</v>
      </c>
      <c r="Y3290" s="182" t="str">
        <f>IFERROR(__xludf.DUMMYFUNCTION("""COMPUTED_VALUE"""),"Very Good")</f>
        <v>Very Good</v>
      </c>
      <c r="Z3290" s="182" t="str">
        <f>IFERROR(__xludf.DUMMYFUNCTION("""COMPUTED_VALUE"""),"Excellent")</f>
        <v>Excellent</v>
      </c>
      <c r="AA3290" s="182" t="str">
        <f>IFERROR(__xludf.DUMMYFUNCTION("""COMPUTED_VALUE"""),"Good")</f>
        <v>Good</v>
      </c>
      <c r="AB3290" s="182" t="str">
        <f>IFERROR(__xludf.DUMMYFUNCTION("""COMPUTED_VALUE"""),"Excellent")</f>
        <v>Excellent</v>
      </c>
      <c r="AC3290" s="183">
        <f>IFERROR(__xludf.DUMMYFUNCTION("""COMPUTED_VALUE"""),8.0)</f>
        <v>8</v>
      </c>
      <c r="AD3290" s="183"/>
      <c r="AE3290" s="183">
        <f>IFERROR(__xludf.DUMMYFUNCTION("""COMPUTED_VALUE"""),7.0)</f>
        <v>7</v>
      </c>
      <c r="AF3290" s="184"/>
      <c r="AG3290" s="180" t="str">
        <f>IFERROR(__xludf.DUMMYFUNCTION("""COMPUTED_VALUE"""),"Wait for LR &amp; AWD Delivered 9/12/18")</f>
        <v>Wait for LR &amp; AWD Delivered 9/12/18</v>
      </c>
      <c r="AH3290" s="185">
        <f>IFERROR(__xludf.DUMMYFUNCTION("""COMPUTED_VALUE"""),43355.770248124994)</f>
        <v>43355.77025</v>
      </c>
      <c r="AI3290" s="182"/>
      <c r="AJ3290" s="182"/>
      <c r="AK3290" s="182"/>
      <c r="AL3290" s="182"/>
    </row>
    <row r="3291" ht="20.25" customHeight="1">
      <c r="A3291" s="169" t="str">
        <f>IFERROR(__xludf.DUMMYFUNCTION("""COMPUTED_VALUE"""),"palon")</f>
        <v>palon</v>
      </c>
      <c r="B3291" s="170" t="str">
        <f>IFERROR(__xludf.DUMMYFUNCTION("""COMPUTED_VALUE"""),"Vancouver, BC")</f>
        <v>Vancouver, BC</v>
      </c>
      <c r="C3291" s="170" t="str">
        <f>IFERROR(__xludf.DUMMYFUNCTION("""COMPUTED_VALUE"""),"BC")</f>
        <v>BC</v>
      </c>
      <c r="D3291" s="170" t="str">
        <f>IFERROR(__xludf.DUMMYFUNCTION("""COMPUTED_VALUE"""),"Canada")</f>
        <v>Canada</v>
      </c>
      <c r="E3291" s="171">
        <f>IFERROR(__xludf.DUMMYFUNCTION("""COMPUTED_VALUE"""),43277.0)</f>
        <v>43277</v>
      </c>
      <c r="F3291" s="172">
        <f>IFERROR(__xludf.DUMMYFUNCTION("""COMPUTED_VALUE"""),43347.0)</f>
        <v>43347</v>
      </c>
      <c r="G3291" s="173"/>
      <c r="H3291" s="174">
        <f>IFERROR(__xludf.DUMMYFUNCTION("""COMPUTED_VALUE"""),107055.0)</f>
        <v>107055</v>
      </c>
      <c r="I3291" s="175"/>
      <c r="J3291" s="172">
        <f>IFERROR(__xludf.DUMMYFUNCTION("""COMPUTED_VALUE"""),43352.0)</f>
        <v>43352</v>
      </c>
      <c r="K3291" s="176">
        <f>IFERROR(__xludf.DUMMYFUNCTION("""COMPUTED_VALUE"""),70.0)</f>
        <v>70</v>
      </c>
      <c r="L3291" s="176">
        <f>IFERROR(__xludf.DUMMYFUNCTION("""COMPUTED_VALUE"""),5.0)</f>
        <v>5</v>
      </c>
      <c r="M3291" s="176">
        <f>IFERROR(__xludf.DUMMYFUNCTION("""COMPUTED_VALUE"""),75.0)</f>
        <v>75</v>
      </c>
      <c r="N3291" s="177" t="str">
        <f>IFERROR(__xludf.DUMMYFUNCTION("""COMPUTED_VALUE"""),"Model 3 LR AWD")</f>
        <v>Model 3 LR AWD</v>
      </c>
      <c r="O3291" s="177" t="str">
        <f>IFERROR(__xludf.DUMMYFUNCTION("""COMPUTED_VALUE"""),"Red Multi-Coat")</f>
        <v>Red Multi-Coat</v>
      </c>
      <c r="P3291" s="178" t="str">
        <f>IFERROR(__xludf.DUMMYFUNCTION("""COMPUTED_VALUE"""),"18 inch Aero")</f>
        <v>18 inch Aero</v>
      </c>
      <c r="Q3291" s="177" t="str">
        <f>IFERROR(__xludf.DUMMYFUNCTION("""COMPUTED_VALUE"""),"Black seats")</f>
        <v>Black seats</v>
      </c>
      <c r="R3291" s="170" t="str">
        <f>IFERROR(__xludf.DUMMYFUNCTION("""COMPUTED_VALUE"""),"Enhanced Autopilot")</f>
        <v>Enhanced Autopilot</v>
      </c>
      <c r="S3291" s="170"/>
      <c r="T3291" s="179"/>
      <c r="U3291" s="179"/>
      <c r="V3291" s="179"/>
      <c r="W3291" s="180"/>
      <c r="X3291" s="181" t="str">
        <f>IFERROR(__xludf.DUMMYFUNCTION("""COMPUTED_VALUE"""),"Excellent")</f>
        <v>Excellent</v>
      </c>
      <c r="Y3291" s="182" t="str">
        <f>IFERROR(__xludf.DUMMYFUNCTION("""COMPUTED_VALUE"""),"Very Good")</f>
        <v>Very Good</v>
      </c>
      <c r="Z3291" s="182" t="str">
        <f>IFERROR(__xludf.DUMMYFUNCTION("""COMPUTED_VALUE"""),"Fair")</f>
        <v>Fair</v>
      </c>
      <c r="AA3291" s="182" t="str">
        <f>IFERROR(__xludf.DUMMYFUNCTION("""COMPUTED_VALUE"""),"Good")</f>
        <v>Good</v>
      </c>
      <c r="AB3291" s="182" t="str">
        <f>IFERROR(__xludf.DUMMYFUNCTION("""COMPUTED_VALUE"""),"Very Good")</f>
        <v>Very Good</v>
      </c>
      <c r="AC3291" s="183">
        <f>IFERROR(__xludf.DUMMYFUNCTION("""COMPUTED_VALUE"""),3.0)</f>
        <v>3</v>
      </c>
      <c r="AD3291" s="183"/>
      <c r="AE3291" s="183"/>
      <c r="AF3291" s="184"/>
      <c r="AG3291" s="180"/>
      <c r="AH3291" s="185">
        <f>IFERROR(__xludf.DUMMYFUNCTION("""COMPUTED_VALUE"""),43353.517294791665)</f>
        <v>43353.51729</v>
      </c>
      <c r="AI3291" s="182"/>
      <c r="AJ3291" s="182"/>
      <c r="AK3291" s="182"/>
      <c r="AL3291" s="182"/>
    </row>
    <row r="3292" ht="20.25" customHeight="1">
      <c r="A3292" s="169" t="str">
        <f>IFERROR(__xludf.DUMMYFUNCTION("""COMPUTED_VALUE"""),"pdxt3")</f>
        <v>pdxt3</v>
      </c>
      <c r="B3292" s="170" t="str">
        <f>IFERROR(__xludf.DUMMYFUNCTION("""COMPUTED_VALUE"""),"Portland")</f>
        <v>Portland</v>
      </c>
      <c r="C3292" s="170" t="str">
        <f>IFERROR(__xludf.DUMMYFUNCTION("""COMPUTED_VALUE"""),"OR")</f>
        <v>OR</v>
      </c>
      <c r="D3292" s="170" t="str">
        <f>IFERROR(__xludf.DUMMYFUNCTION("""COMPUTED_VALUE"""),"USA")</f>
        <v>USA</v>
      </c>
      <c r="E3292" s="171">
        <f>IFERROR(__xludf.DUMMYFUNCTION("""COMPUTED_VALUE"""),43277.0)</f>
        <v>43277</v>
      </c>
      <c r="F3292" s="172"/>
      <c r="G3292" s="173"/>
      <c r="H3292" s="174"/>
      <c r="I3292" s="175"/>
      <c r="J3292" s="172">
        <f>IFERROR(__xludf.DUMMYFUNCTION("""COMPUTED_VALUE"""),43316.0)</f>
        <v>43316</v>
      </c>
      <c r="K3292" s="176"/>
      <c r="L3292" s="176"/>
      <c r="M3292" s="176">
        <f>IFERROR(__xludf.DUMMYFUNCTION("""COMPUTED_VALUE"""),39.0)</f>
        <v>39</v>
      </c>
      <c r="N3292" s="177" t="str">
        <f>IFERROR(__xludf.DUMMYFUNCTION("""COMPUTED_VALUE"""),"Model 3 LR AWD")</f>
        <v>Model 3 LR AWD</v>
      </c>
      <c r="O3292" s="177" t="str">
        <f>IFERROR(__xludf.DUMMYFUNCTION("""COMPUTED_VALUE"""),"Midnight Silver Metallic")</f>
        <v>Midnight Silver Metallic</v>
      </c>
      <c r="P3292" s="178" t="str">
        <f>IFERROR(__xludf.DUMMYFUNCTION("""COMPUTED_VALUE"""),"18 inch Aero")</f>
        <v>18 inch Aero</v>
      </c>
      <c r="Q3292" s="177" t="str">
        <f>IFERROR(__xludf.DUMMYFUNCTION("""COMPUTED_VALUE"""),"Black seats")</f>
        <v>Black seats</v>
      </c>
      <c r="R3292" s="170" t="str">
        <f>IFERROR(__xludf.DUMMYFUNCTION("""COMPUTED_VALUE"""),"None")</f>
        <v>None</v>
      </c>
      <c r="S3292" s="170"/>
      <c r="T3292" s="179"/>
      <c r="U3292" s="179"/>
      <c r="V3292" s="179"/>
      <c r="W3292" s="180"/>
      <c r="X3292" s="181" t="str">
        <f>IFERROR(__xludf.DUMMYFUNCTION("""COMPUTED_VALUE"""),"Very Good")</f>
        <v>Very Good</v>
      </c>
      <c r="Y3292" s="182" t="str">
        <f>IFERROR(__xludf.DUMMYFUNCTION("""COMPUTED_VALUE"""),"Excellent")</f>
        <v>Excellent</v>
      </c>
      <c r="Z3292" s="182" t="str">
        <f>IFERROR(__xludf.DUMMYFUNCTION("""COMPUTED_VALUE"""),"Excellent")</f>
        <v>Excellent</v>
      </c>
      <c r="AA3292" s="182" t="str">
        <f>IFERROR(__xludf.DUMMYFUNCTION("""COMPUTED_VALUE"""),"Excellent")</f>
        <v>Excellent</v>
      </c>
      <c r="AB3292" s="182" t="str">
        <f>IFERROR(__xludf.DUMMYFUNCTION("""COMPUTED_VALUE"""),"Excellent")</f>
        <v>Excellent</v>
      </c>
      <c r="AC3292" s="183">
        <f>IFERROR(__xludf.DUMMYFUNCTION("""COMPUTED_VALUE"""),1.0)</f>
        <v>1</v>
      </c>
      <c r="AD3292" s="183">
        <f>IFERROR(__xludf.DUMMYFUNCTION("""COMPUTED_VALUE"""),1.0)</f>
        <v>1</v>
      </c>
      <c r="AE3292" s="183">
        <f>IFERROR(__xludf.DUMMYFUNCTION("""COMPUTED_VALUE"""),0.0)</f>
        <v>0</v>
      </c>
      <c r="AF3292" s="184"/>
      <c r="AG3292" s="180"/>
      <c r="AH3292" s="185">
        <f>IFERROR(__xludf.DUMMYFUNCTION("""COMPUTED_VALUE"""),43362.67075020833)</f>
        <v>43362.67075</v>
      </c>
      <c r="AI3292" s="182"/>
      <c r="AJ3292" s="182"/>
      <c r="AK3292" s="182"/>
      <c r="AL3292" s="182"/>
    </row>
    <row r="3293" ht="20.25" customHeight="1">
      <c r="A3293" s="169" t="str">
        <f>IFERROR(__xludf.DUMMYFUNCTION("""COMPUTED_VALUE"""),"Petra")</f>
        <v>Petra</v>
      </c>
      <c r="B3293" s="170" t="str">
        <f>IFERROR(__xludf.DUMMYFUNCTION("""COMPUTED_VALUE"""),"Palmdale")</f>
        <v>Palmdale</v>
      </c>
      <c r="C3293" s="170" t="str">
        <f>IFERROR(__xludf.DUMMYFUNCTION("""COMPUTED_VALUE"""),"CA")</f>
        <v>CA</v>
      </c>
      <c r="D3293" s="170" t="str">
        <f>IFERROR(__xludf.DUMMYFUNCTION("""COMPUTED_VALUE"""),"USA")</f>
        <v>USA</v>
      </c>
      <c r="E3293" s="171">
        <f>IFERROR(__xludf.DUMMYFUNCTION("""COMPUTED_VALUE"""),43277.0)</f>
        <v>43277</v>
      </c>
      <c r="F3293" s="172">
        <f>IFERROR(__xludf.DUMMYFUNCTION("""COMPUTED_VALUE"""),43346.0)</f>
        <v>43346</v>
      </c>
      <c r="G3293" s="173"/>
      <c r="H3293" s="174">
        <f>IFERROR(__xludf.DUMMYFUNCTION("""COMPUTED_VALUE"""),100155.0)</f>
        <v>100155</v>
      </c>
      <c r="I3293" s="175" t="str">
        <f>IFERROR(__xludf.DUMMYFUNCTION("""COMPUTED_VALUE"""),"08/18")</f>
        <v>08/18</v>
      </c>
      <c r="J3293" s="172">
        <f>IFERROR(__xludf.DUMMYFUNCTION("""COMPUTED_VALUE"""),43349.0)</f>
        <v>43349</v>
      </c>
      <c r="K3293" s="176">
        <f>IFERROR(__xludf.DUMMYFUNCTION("""COMPUTED_VALUE"""),69.0)</f>
        <v>69</v>
      </c>
      <c r="L3293" s="176">
        <f>IFERROR(__xludf.DUMMYFUNCTION("""COMPUTED_VALUE"""),3.0)</f>
        <v>3</v>
      </c>
      <c r="M3293" s="176">
        <f>IFERROR(__xludf.DUMMYFUNCTION("""COMPUTED_VALUE"""),72.0)</f>
        <v>72</v>
      </c>
      <c r="N3293" s="177" t="str">
        <f>IFERROR(__xludf.DUMMYFUNCTION("""COMPUTED_VALUE"""),"Model 3 Performance")</f>
        <v>Model 3 Performance</v>
      </c>
      <c r="O3293" s="177" t="str">
        <f>IFERROR(__xludf.DUMMYFUNCTION("""COMPUTED_VALUE"""),"Pearl White Multi-Coat")</f>
        <v>Pearl White Multi-Coat</v>
      </c>
      <c r="P3293" s="178" t="str">
        <f>IFERROR(__xludf.DUMMYFUNCTION("""COMPUTED_VALUE"""),"18 inch Aero")</f>
        <v>18 inch Aero</v>
      </c>
      <c r="Q3293" s="177" t="str">
        <f>IFERROR(__xludf.DUMMYFUNCTION("""COMPUTED_VALUE"""),"White seats")</f>
        <v>White seats</v>
      </c>
      <c r="R3293" s="170" t="str">
        <f>IFERROR(__xludf.DUMMYFUNCTION("""COMPUTED_VALUE"""),"Full Self-Driving")</f>
        <v>Full Self-Driving</v>
      </c>
      <c r="S3293" s="170"/>
      <c r="T3293" s="179"/>
      <c r="U3293" s="179"/>
      <c r="V3293" s="179"/>
      <c r="W3293" s="180"/>
      <c r="X3293" s="181" t="str">
        <f>IFERROR(__xludf.DUMMYFUNCTION("""COMPUTED_VALUE"""),"Fair")</f>
        <v>Fair</v>
      </c>
      <c r="Y3293" s="182" t="str">
        <f>IFERROR(__xludf.DUMMYFUNCTION("""COMPUTED_VALUE"""),"Good")</f>
        <v>Good</v>
      </c>
      <c r="Z3293" s="182" t="str">
        <f>IFERROR(__xludf.DUMMYFUNCTION("""COMPUTED_VALUE"""),"Poor")</f>
        <v>Poor</v>
      </c>
      <c r="AA3293" s="182" t="str">
        <f>IFERROR(__xludf.DUMMYFUNCTION("""COMPUTED_VALUE"""),"Poor")</f>
        <v>Poor</v>
      </c>
      <c r="AB3293" s="182" t="str">
        <f>IFERROR(__xludf.DUMMYFUNCTION("""COMPUTED_VALUE"""),"Good")</f>
        <v>Good</v>
      </c>
      <c r="AC3293" s="183">
        <f>IFERROR(__xludf.DUMMYFUNCTION("""COMPUTED_VALUE"""),4.0)</f>
        <v>4</v>
      </c>
      <c r="AD3293" s="183">
        <f>IFERROR(__xludf.DUMMYFUNCTION("""COMPUTED_VALUE"""),4.0)</f>
        <v>4</v>
      </c>
      <c r="AE3293" s="183">
        <f>IFERROR(__xludf.DUMMYFUNCTION("""COMPUTED_VALUE"""),0.0)</f>
        <v>0</v>
      </c>
      <c r="AF3293" s="184"/>
      <c r="AG3293" s="180"/>
      <c r="AH3293" s="185">
        <f>IFERROR(__xludf.DUMMYFUNCTION("""COMPUTED_VALUE"""),43356.54403503473)</f>
        <v>43356.54404</v>
      </c>
      <c r="AI3293" s="182"/>
      <c r="AJ3293" s="182"/>
      <c r="AK3293" s="182"/>
      <c r="AL3293" s="182"/>
    </row>
    <row r="3294" ht="20.25" customHeight="1">
      <c r="A3294" s="169" t="str">
        <f>IFERROR(__xludf.DUMMYFUNCTION("""COMPUTED_VALUE"""),"rainbowsparklespeed")</f>
        <v>rainbowsparklespeed</v>
      </c>
      <c r="B3294" s="170" t="str">
        <f>IFERROR(__xludf.DUMMYFUNCTION("""COMPUTED_VALUE"""),"denver")</f>
        <v>denver</v>
      </c>
      <c r="C3294" s="170" t="str">
        <f>IFERROR(__xludf.DUMMYFUNCTION("""COMPUTED_VALUE"""),"CO")</f>
        <v>CO</v>
      </c>
      <c r="D3294" s="170" t="str">
        <f>IFERROR(__xludf.DUMMYFUNCTION("""COMPUTED_VALUE"""),"USA")</f>
        <v>USA</v>
      </c>
      <c r="E3294" s="171">
        <f>IFERROR(__xludf.DUMMYFUNCTION("""COMPUTED_VALUE"""),43277.0)</f>
        <v>43277</v>
      </c>
      <c r="F3294" s="172">
        <f>IFERROR(__xludf.DUMMYFUNCTION("""COMPUTED_VALUE"""),43334.0)</f>
        <v>43334</v>
      </c>
      <c r="G3294" s="173"/>
      <c r="H3294" s="174">
        <f>IFERROR(__xludf.DUMMYFUNCTION("""COMPUTED_VALUE"""),73455.0)</f>
        <v>73455</v>
      </c>
      <c r="I3294" s="175"/>
      <c r="J3294" s="172">
        <f>IFERROR(__xludf.DUMMYFUNCTION("""COMPUTED_VALUE"""),43339.0)</f>
        <v>43339</v>
      </c>
      <c r="K3294" s="176">
        <f>IFERROR(__xludf.DUMMYFUNCTION("""COMPUTED_VALUE"""),57.0)</f>
        <v>57</v>
      </c>
      <c r="L3294" s="176">
        <f>IFERROR(__xludf.DUMMYFUNCTION("""COMPUTED_VALUE"""),5.0)</f>
        <v>5</v>
      </c>
      <c r="M3294" s="176">
        <f>IFERROR(__xludf.DUMMYFUNCTION("""COMPUTED_VALUE"""),62.0)</f>
        <v>62</v>
      </c>
      <c r="N3294" s="177" t="str">
        <f>IFERROR(__xludf.DUMMYFUNCTION("""COMPUTED_VALUE"""),"Model 3 Performance")</f>
        <v>Model 3 Performance</v>
      </c>
      <c r="O3294" s="177" t="str">
        <f>IFERROR(__xludf.DUMMYFUNCTION("""COMPUTED_VALUE"""),"Deep Blue Metallic")</f>
        <v>Deep Blue Metallic</v>
      </c>
      <c r="P3294" s="178" t="str">
        <f>IFERROR(__xludf.DUMMYFUNCTION("""COMPUTED_VALUE"""),"18 inch Aero")</f>
        <v>18 inch Aero</v>
      </c>
      <c r="Q3294" s="177" t="str">
        <f>IFERROR(__xludf.DUMMYFUNCTION("""COMPUTED_VALUE"""),"Black seats")</f>
        <v>Black seats</v>
      </c>
      <c r="R3294" s="170" t="str">
        <f>IFERROR(__xludf.DUMMYFUNCTION("""COMPUTED_VALUE"""),"Enhanced Autopilot")</f>
        <v>Enhanced Autopilot</v>
      </c>
      <c r="S3294" s="170"/>
      <c r="T3294" s="179"/>
      <c r="U3294" s="179"/>
      <c r="V3294" s="179"/>
      <c r="W3294" s="180"/>
      <c r="X3294" s="181" t="str">
        <f>IFERROR(__xludf.DUMMYFUNCTION("""COMPUTED_VALUE"""),"Excellent")</f>
        <v>Excellent</v>
      </c>
      <c r="Y3294" s="182" t="str">
        <f>IFERROR(__xludf.DUMMYFUNCTION("""COMPUTED_VALUE"""),"Excellent")</f>
        <v>Excellent</v>
      </c>
      <c r="Z3294" s="182" t="str">
        <f>IFERROR(__xludf.DUMMYFUNCTION("""COMPUTED_VALUE"""),"Excellent")</f>
        <v>Excellent</v>
      </c>
      <c r="AA3294" s="182" t="str">
        <f>IFERROR(__xludf.DUMMYFUNCTION("""COMPUTED_VALUE"""),"Very Good")</f>
        <v>Very Good</v>
      </c>
      <c r="AB3294" s="182" t="str">
        <f>IFERROR(__xludf.DUMMYFUNCTION("""COMPUTED_VALUE"""),"Excellent")</f>
        <v>Excellent</v>
      </c>
      <c r="AC3294" s="183">
        <f>IFERROR(__xludf.DUMMYFUNCTION("""COMPUTED_VALUE"""),0.0)</f>
        <v>0</v>
      </c>
      <c r="AD3294" s="183">
        <f>IFERROR(__xludf.DUMMYFUNCTION("""COMPUTED_VALUE"""),0.0)</f>
        <v>0</v>
      </c>
      <c r="AE3294" s="183">
        <f>IFERROR(__xludf.DUMMYFUNCTION("""COMPUTED_VALUE"""),0.0)</f>
        <v>0</v>
      </c>
      <c r="AF3294" s="184"/>
      <c r="AG3294" s="180"/>
      <c r="AH3294" s="185">
        <f>IFERROR(__xludf.DUMMYFUNCTION("""COMPUTED_VALUE"""),43341.82356383102)</f>
        <v>43341.82356</v>
      </c>
      <c r="AI3294" s="182"/>
      <c r="AJ3294" s="182"/>
      <c r="AK3294" s="182"/>
      <c r="AL3294" s="182"/>
    </row>
    <row r="3295" ht="20.25" customHeight="1">
      <c r="A3295" s="169" t="str">
        <f>IFERROR(__xludf.DUMMYFUNCTION("""COMPUTED_VALUE"""),"randominseattle")</f>
        <v>randominseattle</v>
      </c>
      <c r="B3295" s="170" t="str">
        <f>IFERROR(__xludf.DUMMYFUNCTION("""COMPUTED_VALUE"""),"Seattle")</f>
        <v>Seattle</v>
      </c>
      <c r="C3295" s="170" t="str">
        <f>IFERROR(__xludf.DUMMYFUNCTION("""COMPUTED_VALUE"""),"WA")</f>
        <v>WA</v>
      </c>
      <c r="D3295" s="170" t="str">
        <f>IFERROR(__xludf.DUMMYFUNCTION("""COMPUTED_VALUE"""),"USA")</f>
        <v>USA</v>
      </c>
      <c r="E3295" s="171">
        <f>IFERROR(__xludf.DUMMYFUNCTION("""COMPUTED_VALUE"""),43277.0)</f>
        <v>43277</v>
      </c>
      <c r="F3295" s="172">
        <f>IFERROR(__xludf.DUMMYFUNCTION("""COMPUTED_VALUE"""),43320.0)</f>
        <v>43320</v>
      </c>
      <c r="G3295" s="173"/>
      <c r="H3295" s="174">
        <f>IFERROR(__xludf.DUMMYFUNCTION("""COMPUTED_VALUE"""),65355.0)</f>
        <v>65355</v>
      </c>
      <c r="I3295" s="175" t="str">
        <f>IFERROR(__xludf.DUMMYFUNCTION("""COMPUTED_VALUE"""),"08/18")</f>
        <v>08/18</v>
      </c>
      <c r="J3295" s="172">
        <f>IFERROR(__xludf.DUMMYFUNCTION("""COMPUTED_VALUE"""),43326.0)</f>
        <v>43326</v>
      </c>
      <c r="K3295" s="176">
        <f>IFERROR(__xludf.DUMMYFUNCTION("""COMPUTED_VALUE"""),43.0)</f>
        <v>43</v>
      </c>
      <c r="L3295" s="176">
        <f>IFERROR(__xludf.DUMMYFUNCTION("""COMPUTED_VALUE"""),6.0)</f>
        <v>6</v>
      </c>
      <c r="M3295" s="176">
        <f>IFERROR(__xludf.DUMMYFUNCTION("""COMPUTED_VALUE"""),49.0)</f>
        <v>49</v>
      </c>
      <c r="N3295" s="177" t="str">
        <f>IFERROR(__xludf.DUMMYFUNCTION("""COMPUTED_VALUE"""),"Model 3 LR AWD")</f>
        <v>Model 3 LR AWD</v>
      </c>
      <c r="O3295" s="177" t="str">
        <f>IFERROR(__xludf.DUMMYFUNCTION("""COMPUTED_VALUE"""),"Red Multi-Coat")</f>
        <v>Red Multi-Coat</v>
      </c>
      <c r="P3295" s="178" t="str">
        <f>IFERROR(__xludf.DUMMYFUNCTION("""COMPUTED_VALUE"""),"19 inch Sport")</f>
        <v>19 inch Sport</v>
      </c>
      <c r="Q3295" s="177" t="str">
        <f>IFERROR(__xludf.DUMMYFUNCTION("""COMPUTED_VALUE"""),"Black seats")</f>
        <v>Black seats</v>
      </c>
      <c r="R3295" s="170" t="str">
        <f>IFERROR(__xludf.DUMMYFUNCTION("""COMPUTED_VALUE"""),"Full Self-Driving")</f>
        <v>Full Self-Driving</v>
      </c>
      <c r="S3295" s="170"/>
      <c r="T3295" s="179"/>
      <c r="U3295" s="179"/>
      <c r="V3295" s="179"/>
      <c r="W3295" s="180"/>
      <c r="X3295" s="181" t="str">
        <f>IFERROR(__xludf.DUMMYFUNCTION("""COMPUTED_VALUE"""),"Excellent")</f>
        <v>Excellent</v>
      </c>
      <c r="Y3295" s="182" t="str">
        <f>IFERROR(__xludf.DUMMYFUNCTION("""COMPUTED_VALUE"""),"Excellent")</f>
        <v>Excellent</v>
      </c>
      <c r="Z3295" s="182" t="str">
        <f>IFERROR(__xludf.DUMMYFUNCTION("""COMPUTED_VALUE"""),"Very Good")</f>
        <v>Very Good</v>
      </c>
      <c r="AA3295" s="182" t="str">
        <f>IFERROR(__xludf.DUMMYFUNCTION("""COMPUTED_VALUE"""),"Very Good")</f>
        <v>Very Good</v>
      </c>
      <c r="AB3295" s="182" t="str">
        <f>IFERROR(__xludf.DUMMYFUNCTION("""COMPUTED_VALUE"""),"Very Good")</f>
        <v>Very Good</v>
      </c>
      <c r="AC3295" s="183"/>
      <c r="AD3295" s="183"/>
      <c r="AE3295" s="183"/>
      <c r="AF3295" s="184"/>
      <c r="AG3295" s="180"/>
      <c r="AH3295" s="185">
        <f>IFERROR(__xludf.DUMMYFUNCTION("""COMPUTED_VALUE"""),43333.90521182871)</f>
        <v>43333.90521</v>
      </c>
      <c r="AI3295" s="182"/>
      <c r="AJ3295" s="182"/>
      <c r="AK3295" s="182"/>
      <c r="AL3295" s="182"/>
    </row>
    <row r="3296" ht="20.25" customHeight="1">
      <c r="A3296" s="169" t="str">
        <f>IFERROR(__xludf.DUMMYFUNCTION("""COMPUTED_VALUE"""),"Raptor")</f>
        <v>Raptor</v>
      </c>
      <c r="B3296" s="170" t="str">
        <f>IFERROR(__xludf.DUMMYFUNCTION("""COMPUTED_VALUE"""),"Irvine")</f>
        <v>Irvine</v>
      </c>
      <c r="C3296" s="170" t="str">
        <f>IFERROR(__xludf.DUMMYFUNCTION("""COMPUTED_VALUE"""),"CA")</f>
        <v>CA</v>
      </c>
      <c r="D3296" s="170" t="str">
        <f>IFERROR(__xludf.DUMMYFUNCTION("""COMPUTED_VALUE"""),"USA")</f>
        <v>USA</v>
      </c>
      <c r="E3296" s="171">
        <f>IFERROR(__xludf.DUMMYFUNCTION("""COMPUTED_VALUE"""),43277.0)</f>
        <v>43277</v>
      </c>
      <c r="F3296" s="172">
        <f>IFERROR(__xludf.DUMMYFUNCTION("""COMPUTED_VALUE"""),43363.0)</f>
        <v>43363</v>
      </c>
      <c r="G3296" s="173"/>
      <c r="H3296" s="174">
        <f>IFERROR(__xludf.DUMMYFUNCTION("""COMPUTED_VALUE"""),70026.0)</f>
        <v>70026</v>
      </c>
      <c r="I3296" s="175" t="str">
        <f>IFERROR(__xludf.DUMMYFUNCTION("""COMPUTED_VALUE"""),"09/18")</f>
        <v>09/18</v>
      </c>
      <c r="J3296" s="172">
        <f>IFERROR(__xludf.DUMMYFUNCTION("""COMPUTED_VALUE"""),43367.0)</f>
        <v>43367</v>
      </c>
      <c r="K3296" s="176">
        <f>IFERROR(__xludf.DUMMYFUNCTION("""COMPUTED_VALUE"""),86.0)</f>
        <v>86</v>
      </c>
      <c r="L3296" s="176">
        <f>IFERROR(__xludf.DUMMYFUNCTION("""COMPUTED_VALUE"""),4.0)</f>
        <v>4</v>
      </c>
      <c r="M3296" s="176">
        <f>IFERROR(__xludf.DUMMYFUNCTION("""COMPUTED_VALUE"""),90.0)</f>
        <v>90</v>
      </c>
      <c r="N3296" s="177" t="str">
        <f>IFERROR(__xludf.DUMMYFUNCTION("""COMPUTED_VALUE"""),"Model 3 LR AWD")</f>
        <v>Model 3 LR AWD</v>
      </c>
      <c r="O3296" s="177" t="str">
        <f>IFERROR(__xludf.DUMMYFUNCTION("""COMPUTED_VALUE"""),"Red Multi-Coat")</f>
        <v>Red Multi-Coat</v>
      </c>
      <c r="P3296" s="178" t="str">
        <f>IFERROR(__xludf.DUMMYFUNCTION("""COMPUTED_VALUE"""),"18 inch Aero")</f>
        <v>18 inch Aero</v>
      </c>
      <c r="Q3296" s="177" t="str">
        <f>IFERROR(__xludf.DUMMYFUNCTION("""COMPUTED_VALUE"""),"Black seats")</f>
        <v>Black seats</v>
      </c>
      <c r="R3296" s="170" t="str">
        <f>IFERROR(__xludf.DUMMYFUNCTION("""COMPUTED_VALUE"""),"Enhanced Autopilot")</f>
        <v>Enhanced Autopilot</v>
      </c>
      <c r="S3296" s="170"/>
      <c r="T3296" s="179"/>
      <c r="U3296" s="179"/>
      <c r="V3296" s="179"/>
      <c r="W3296" s="180"/>
      <c r="X3296" s="181" t="str">
        <f>IFERROR(__xludf.DUMMYFUNCTION("""COMPUTED_VALUE"""),"Excellent")</f>
        <v>Excellent</v>
      </c>
      <c r="Y3296" s="182" t="str">
        <f>IFERROR(__xludf.DUMMYFUNCTION("""COMPUTED_VALUE"""),"Excellent")</f>
        <v>Excellent</v>
      </c>
      <c r="Z3296" s="182" t="str">
        <f>IFERROR(__xludf.DUMMYFUNCTION("""COMPUTED_VALUE"""),"Excellent")</f>
        <v>Excellent</v>
      </c>
      <c r="AA3296" s="182" t="str">
        <f>IFERROR(__xludf.DUMMYFUNCTION("""COMPUTED_VALUE"""),"Excellent")</f>
        <v>Excellent</v>
      </c>
      <c r="AB3296" s="182" t="str">
        <f>IFERROR(__xludf.DUMMYFUNCTION("""COMPUTED_VALUE"""),"Excellent")</f>
        <v>Excellent</v>
      </c>
      <c r="AC3296" s="183"/>
      <c r="AD3296" s="183"/>
      <c r="AE3296" s="183"/>
      <c r="AF3296" s="184"/>
      <c r="AG3296" s="180"/>
      <c r="AH3296" s="185">
        <f>IFERROR(__xludf.DUMMYFUNCTION("""COMPUTED_VALUE"""),43367.984897800925)</f>
        <v>43367.9849</v>
      </c>
      <c r="AI3296" s="182"/>
      <c r="AJ3296" s="182"/>
      <c r="AK3296" s="182"/>
      <c r="AL3296" s="182"/>
    </row>
    <row r="3297" ht="20.25" customHeight="1">
      <c r="A3297" s="169" t="str">
        <f>IFERROR(__xludf.DUMMYFUNCTION("""COMPUTED_VALUE"""),"renomd")</f>
        <v>renomd</v>
      </c>
      <c r="B3297" s="170" t="str">
        <f>IFERROR(__xludf.DUMMYFUNCTION("""COMPUTED_VALUE"""),"Reno")</f>
        <v>Reno</v>
      </c>
      <c r="C3297" s="170" t="str">
        <f>IFERROR(__xludf.DUMMYFUNCTION("""COMPUTED_VALUE"""),"NV")</f>
        <v>NV</v>
      </c>
      <c r="D3297" s="170" t="str">
        <f>IFERROR(__xludf.DUMMYFUNCTION("""COMPUTED_VALUE"""),"USA")</f>
        <v>USA</v>
      </c>
      <c r="E3297" s="171">
        <f>IFERROR(__xludf.DUMMYFUNCTION("""COMPUTED_VALUE"""),43277.0)</f>
        <v>43277</v>
      </c>
      <c r="F3297" s="172">
        <f>IFERROR(__xludf.DUMMYFUNCTION("""COMPUTED_VALUE"""),43336.0)</f>
        <v>43336</v>
      </c>
      <c r="G3297" s="173"/>
      <c r="H3297" s="174">
        <f>IFERROR(__xludf.DUMMYFUNCTION("""COMPUTED_VALUE"""),66355.0)</f>
        <v>66355</v>
      </c>
      <c r="I3297" s="175" t="str">
        <f>IFERROR(__xludf.DUMMYFUNCTION("""COMPUTED_VALUE"""),"08/18")</f>
        <v>08/18</v>
      </c>
      <c r="J3297" s="172">
        <f>IFERROR(__xludf.DUMMYFUNCTION("""COMPUTED_VALUE"""),43344.0)</f>
        <v>43344</v>
      </c>
      <c r="K3297" s="176">
        <f>IFERROR(__xludf.DUMMYFUNCTION("""COMPUTED_VALUE"""),59.0)</f>
        <v>59</v>
      </c>
      <c r="L3297" s="176">
        <f>IFERROR(__xludf.DUMMYFUNCTION("""COMPUTED_VALUE"""),8.0)</f>
        <v>8</v>
      </c>
      <c r="M3297" s="176">
        <f>IFERROR(__xludf.DUMMYFUNCTION("""COMPUTED_VALUE"""),67.0)</f>
        <v>67</v>
      </c>
      <c r="N3297" s="177" t="str">
        <f>IFERROR(__xludf.DUMMYFUNCTION("""COMPUTED_VALUE"""),"Model 3 LR AWD")</f>
        <v>Model 3 LR AWD</v>
      </c>
      <c r="O3297" s="177" t="str">
        <f>IFERROR(__xludf.DUMMYFUNCTION("""COMPUTED_VALUE"""),"Midnight Silver Metallic")</f>
        <v>Midnight Silver Metallic</v>
      </c>
      <c r="P3297" s="178" t="str">
        <f>IFERROR(__xludf.DUMMYFUNCTION("""COMPUTED_VALUE"""),"18 inch Aero")</f>
        <v>18 inch Aero</v>
      </c>
      <c r="Q3297" s="177" t="str">
        <f>IFERROR(__xludf.DUMMYFUNCTION("""COMPUTED_VALUE"""),"Black seats")</f>
        <v>Black seats</v>
      </c>
      <c r="R3297" s="170" t="str">
        <f>IFERROR(__xludf.DUMMYFUNCTION("""COMPUTED_VALUE"""),"Full Self-Driving")</f>
        <v>Full Self-Driving</v>
      </c>
      <c r="S3297" s="170"/>
      <c r="T3297" s="179"/>
      <c r="U3297" s="179"/>
      <c r="V3297" s="179"/>
      <c r="W3297" s="180"/>
      <c r="X3297" s="181" t="str">
        <f>IFERROR(__xludf.DUMMYFUNCTION("""COMPUTED_VALUE"""),"Excellent")</f>
        <v>Excellent</v>
      </c>
      <c r="Y3297" s="182" t="str">
        <f>IFERROR(__xludf.DUMMYFUNCTION("""COMPUTED_VALUE"""),"Very Good")</f>
        <v>Very Good</v>
      </c>
      <c r="Z3297" s="182" t="str">
        <f>IFERROR(__xludf.DUMMYFUNCTION("""COMPUTED_VALUE"""),"Excellent")</f>
        <v>Excellent</v>
      </c>
      <c r="AA3297" s="182" t="str">
        <f>IFERROR(__xludf.DUMMYFUNCTION("""COMPUTED_VALUE"""),"Poor")</f>
        <v>Poor</v>
      </c>
      <c r="AB3297" s="182" t="str">
        <f>IFERROR(__xludf.DUMMYFUNCTION("""COMPUTED_VALUE"""),"Good")</f>
        <v>Good</v>
      </c>
      <c r="AC3297" s="183">
        <f>IFERROR(__xludf.DUMMYFUNCTION("""COMPUTED_VALUE"""),0.0)</f>
        <v>0</v>
      </c>
      <c r="AD3297" s="183">
        <f>IFERROR(__xludf.DUMMYFUNCTION("""COMPUTED_VALUE"""),0.0)</f>
        <v>0</v>
      </c>
      <c r="AE3297" s="183">
        <f>IFERROR(__xludf.DUMMYFUNCTION("""COMPUTED_VALUE"""),0.0)</f>
        <v>0</v>
      </c>
      <c r="AF3297" s="184"/>
      <c r="AG3297" s="180"/>
      <c r="AH3297" s="185">
        <f>IFERROR(__xludf.DUMMYFUNCTION("""COMPUTED_VALUE"""),43346.72247184028)</f>
        <v>43346.72247</v>
      </c>
      <c r="AI3297" s="182"/>
      <c r="AJ3297" s="182"/>
      <c r="AK3297" s="182"/>
      <c r="AL3297" s="182"/>
    </row>
    <row r="3298" ht="20.25" customHeight="1">
      <c r="A3298" s="169" t="str">
        <f>IFERROR(__xludf.DUMMYFUNCTION("""COMPUTED_VALUE"""),"Rev-777")</f>
        <v>Rev-777</v>
      </c>
      <c r="B3298" s="170" t="str">
        <f>IFERROR(__xludf.DUMMYFUNCTION("""COMPUTED_VALUE"""),"Victoria")</f>
        <v>Victoria</v>
      </c>
      <c r="C3298" s="170" t="str">
        <f>IFERROR(__xludf.DUMMYFUNCTION("""COMPUTED_VALUE"""),"BC")</f>
        <v>BC</v>
      </c>
      <c r="D3298" s="170" t="str">
        <f>IFERROR(__xludf.DUMMYFUNCTION("""COMPUTED_VALUE"""),"Canada")</f>
        <v>Canada</v>
      </c>
      <c r="E3298" s="171">
        <f>IFERROR(__xludf.DUMMYFUNCTION("""COMPUTED_VALUE"""),43277.0)</f>
        <v>43277</v>
      </c>
      <c r="F3298" s="172">
        <f>IFERROR(__xludf.DUMMYFUNCTION("""COMPUTED_VALUE"""),43360.0)</f>
        <v>43360</v>
      </c>
      <c r="G3298" s="173"/>
      <c r="H3298" s="174">
        <f>IFERROR(__xludf.DUMMYFUNCTION("""COMPUTED_VALUE"""),107385.0)</f>
        <v>107385</v>
      </c>
      <c r="I3298" s="175"/>
      <c r="J3298" s="172">
        <f>IFERROR(__xludf.DUMMYFUNCTION("""COMPUTED_VALUE"""),43363.0)</f>
        <v>43363</v>
      </c>
      <c r="K3298" s="176">
        <f>IFERROR(__xludf.DUMMYFUNCTION("""COMPUTED_VALUE"""),83.0)</f>
        <v>83</v>
      </c>
      <c r="L3298" s="176">
        <f>IFERROR(__xludf.DUMMYFUNCTION("""COMPUTED_VALUE"""),3.0)</f>
        <v>3</v>
      </c>
      <c r="M3298" s="176">
        <f>IFERROR(__xludf.DUMMYFUNCTION("""COMPUTED_VALUE"""),86.0)</f>
        <v>86</v>
      </c>
      <c r="N3298" s="177" t="str">
        <f>IFERROR(__xludf.DUMMYFUNCTION("""COMPUTED_VALUE"""),"Model 3 LR AWD")</f>
        <v>Model 3 LR AWD</v>
      </c>
      <c r="O3298" s="177" t="str">
        <f>IFERROR(__xludf.DUMMYFUNCTION("""COMPUTED_VALUE"""),"Midnight Silver Metallic")</f>
        <v>Midnight Silver Metallic</v>
      </c>
      <c r="P3298" s="178" t="str">
        <f>IFERROR(__xludf.DUMMYFUNCTION("""COMPUTED_VALUE"""),"19 inch Sport")</f>
        <v>19 inch Sport</v>
      </c>
      <c r="Q3298" s="177" t="str">
        <f>IFERROR(__xludf.DUMMYFUNCTION("""COMPUTED_VALUE"""),"Black seats")</f>
        <v>Black seats</v>
      </c>
      <c r="R3298" s="170" t="str">
        <f>IFERROR(__xludf.DUMMYFUNCTION("""COMPUTED_VALUE"""),"Enhanced Autopilot")</f>
        <v>Enhanced Autopilot</v>
      </c>
      <c r="S3298" s="170"/>
      <c r="T3298" s="179"/>
      <c r="U3298" s="179"/>
      <c r="V3298" s="179"/>
      <c r="W3298" s="180"/>
      <c r="X3298" s="181" t="str">
        <f>IFERROR(__xludf.DUMMYFUNCTION("""COMPUTED_VALUE"""),"Excellent")</f>
        <v>Excellent</v>
      </c>
      <c r="Y3298" s="182" t="str">
        <f>IFERROR(__xludf.DUMMYFUNCTION("""COMPUTED_VALUE"""),"Excellent")</f>
        <v>Excellent</v>
      </c>
      <c r="Z3298" s="182" t="str">
        <f>IFERROR(__xludf.DUMMYFUNCTION("""COMPUTED_VALUE"""),"Very Good")</f>
        <v>Very Good</v>
      </c>
      <c r="AA3298" s="182" t="str">
        <f>IFERROR(__xludf.DUMMYFUNCTION("""COMPUTED_VALUE"""),"Poor")</f>
        <v>Poor</v>
      </c>
      <c r="AB3298" s="182" t="str">
        <f>IFERROR(__xludf.DUMMYFUNCTION("""COMPUTED_VALUE"""),"Poor")</f>
        <v>Poor</v>
      </c>
      <c r="AC3298" s="183">
        <f>IFERROR(__xludf.DUMMYFUNCTION("""COMPUTED_VALUE"""),7.0)</f>
        <v>7</v>
      </c>
      <c r="AD3298" s="183">
        <f>IFERROR(__xludf.DUMMYFUNCTION("""COMPUTED_VALUE"""),1.0)</f>
        <v>1</v>
      </c>
      <c r="AE3298" s="183"/>
      <c r="AF3298" s="184"/>
      <c r="AG3298" s="180" t="str">
        <f>IFERROR(__xludf.DUMMYFUNCTION("""COMPUTED_VALUE"""),"LR AWD")</f>
        <v>LR AWD</v>
      </c>
      <c r="AH3298" s="185">
        <f>IFERROR(__xludf.DUMMYFUNCTION("""COMPUTED_VALUE"""),43366.897539467594)</f>
        <v>43366.89754</v>
      </c>
      <c r="AI3298" s="182"/>
      <c r="AJ3298" s="182"/>
      <c r="AK3298" s="182"/>
      <c r="AL3298" s="182"/>
    </row>
    <row r="3299" ht="20.25" customHeight="1">
      <c r="A3299" s="169" t="str">
        <f>IFERROR(__xludf.DUMMYFUNCTION("""COMPUTED_VALUE"""),"RichardC")</f>
        <v>RichardC</v>
      </c>
      <c r="B3299" s="170" t="str">
        <f>IFERROR(__xludf.DUMMYFUNCTION("""COMPUTED_VALUE"""),"Elk Grove")</f>
        <v>Elk Grove</v>
      </c>
      <c r="C3299" s="170" t="str">
        <f>IFERROR(__xludf.DUMMYFUNCTION("""COMPUTED_VALUE"""),"CA")</f>
        <v>CA</v>
      </c>
      <c r="D3299" s="170" t="str">
        <f>IFERROR(__xludf.DUMMYFUNCTION("""COMPUTED_VALUE"""),"USA")</f>
        <v>USA</v>
      </c>
      <c r="E3299" s="171">
        <f>IFERROR(__xludf.DUMMYFUNCTION("""COMPUTED_VALUE"""),43277.0)</f>
        <v>43277</v>
      </c>
      <c r="F3299" s="172">
        <f>IFERROR(__xludf.DUMMYFUNCTION("""COMPUTED_VALUE"""),43294.0)</f>
        <v>43294</v>
      </c>
      <c r="G3299" s="173"/>
      <c r="H3299" s="174">
        <f>IFERROR(__xludf.DUMMYFUNCTION("""COMPUTED_VALUE"""),48955.0)</f>
        <v>48955</v>
      </c>
      <c r="I3299" s="175" t="str">
        <f>IFERROR(__xludf.DUMMYFUNCTION("""COMPUTED_VALUE"""),"07/18")</f>
        <v>07/18</v>
      </c>
      <c r="J3299" s="172">
        <f>IFERROR(__xludf.DUMMYFUNCTION("""COMPUTED_VALUE"""),43302.0)</f>
        <v>43302</v>
      </c>
      <c r="K3299" s="176">
        <f>IFERROR(__xludf.DUMMYFUNCTION("""COMPUTED_VALUE"""),17.0)</f>
        <v>17</v>
      </c>
      <c r="L3299" s="176">
        <f>IFERROR(__xludf.DUMMYFUNCTION("""COMPUTED_VALUE"""),8.0)</f>
        <v>8</v>
      </c>
      <c r="M3299" s="176">
        <f>IFERROR(__xludf.DUMMYFUNCTION("""COMPUTED_VALUE"""),25.0)</f>
        <v>25</v>
      </c>
      <c r="N3299" s="177" t="str">
        <f>IFERROR(__xludf.DUMMYFUNCTION("""COMPUTED_VALUE"""),"Model 3 LR")</f>
        <v>Model 3 LR</v>
      </c>
      <c r="O3299" s="177" t="str">
        <f>IFERROR(__xludf.DUMMYFUNCTION("""COMPUTED_VALUE"""),"Red Multi-Coat")</f>
        <v>Red Multi-Coat</v>
      </c>
      <c r="P3299" s="178" t="str">
        <f>IFERROR(__xludf.DUMMYFUNCTION("""COMPUTED_VALUE"""),"19 inch Sport")</f>
        <v>19 inch Sport</v>
      </c>
      <c r="Q3299" s="177" t="str">
        <f>IFERROR(__xludf.DUMMYFUNCTION("""COMPUTED_VALUE"""),"Black seats")</f>
        <v>Black seats</v>
      </c>
      <c r="R3299" s="170" t="str">
        <f>IFERROR(__xludf.DUMMYFUNCTION("""COMPUTED_VALUE"""),"None")</f>
        <v>None</v>
      </c>
      <c r="S3299" s="170"/>
      <c r="T3299" s="179"/>
      <c r="U3299" s="179"/>
      <c r="V3299" s="179"/>
      <c r="W3299" s="180"/>
      <c r="X3299" s="181" t="str">
        <f>IFERROR(__xludf.DUMMYFUNCTION("""COMPUTED_VALUE"""),"Excellent")</f>
        <v>Excellent</v>
      </c>
      <c r="Y3299" s="182" t="str">
        <f>IFERROR(__xludf.DUMMYFUNCTION("""COMPUTED_VALUE"""),"Very Good")</f>
        <v>Very Good</v>
      </c>
      <c r="Z3299" s="182" t="str">
        <f>IFERROR(__xludf.DUMMYFUNCTION("""COMPUTED_VALUE"""),"Excellent")</f>
        <v>Excellent</v>
      </c>
      <c r="AA3299" s="182" t="str">
        <f>IFERROR(__xludf.DUMMYFUNCTION("""COMPUTED_VALUE"""),"Poor")</f>
        <v>Poor</v>
      </c>
      <c r="AB3299" s="182" t="str">
        <f>IFERROR(__xludf.DUMMYFUNCTION("""COMPUTED_VALUE"""),"Fair")</f>
        <v>Fair</v>
      </c>
      <c r="AC3299" s="183"/>
      <c r="AD3299" s="183"/>
      <c r="AE3299" s="183"/>
      <c r="AF3299" s="184"/>
      <c r="AG3299" s="180"/>
      <c r="AH3299" s="185">
        <f>IFERROR(__xludf.DUMMYFUNCTION("""COMPUTED_VALUE"""),43302.87580443287)</f>
        <v>43302.8758</v>
      </c>
      <c r="AI3299" s="182"/>
      <c r="AJ3299" s="182"/>
      <c r="AK3299" s="182"/>
      <c r="AL3299" s="182"/>
    </row>
    <row r="3300" ht="20.25" customHeight="1">
      <c r="A3300" s="169" t="str">
        <f>IFERROR(__xludf.DUMMYFUNCTION("""COMPUTED_VALUE"""),"savvypatches")</f>
        <v>savvypatches</v>
      </c>
      <c r="B3300" s="170"/>
      <c r="C3300" s="170" t="str">
        <f>IFERROR(__xludf.DUMMYFUNCTION("""COMPUTED_VALUE"""),"MA")</f>
        <v>MA</v>
      </c>
      <c r="D3300" s="170" t="str">
        <f>IFERROR(__xludf.DUMMYFUNCTION("""COMPUTED_VALUE"""),"USA")</f>
        <v>USA</v>
      </c>
      <c r="E3300" s="171">
        <f>IFERROR(__xludf.DUMMYFUNCTION("""COMPUTED_VALUE"""),43277.0)</f>
        <v>43277</v>
      </c>
      <c r="F3300" s="172">
        <f>IFERROR(__xludf.DUMMYFUNCTION("""COMPUTED_VALUE"""),43318.0)</f>
        <v>43318</v>
      </c>
      <c r="G3300" s="173"/>
      <c r="H3300" s="174">
        <f>IFERROR(__xludf.DUMMYFUNCTION("""COMPUTED_VALUE"""),68755.0)</f>
        <v>68755</v>
      </c>
      <c r="I3300" s="175" t="str">
        <f>IFERROR(__xludf.DUMMYFUNCTION("""COMPUTED_VALUE"""),"08/18")</f>
        <v>08/18</v>
      </c>
      <c r="J3300" s="172">
        <f>IFERROR(__xludf.DUMMYFUNCTION("""COMPUTED_VALUE"""),43347.0)</f>
        <v>43347</v>
      </c>
      <c r="K3300" s="176">
        <f>IFERROR(__xludf.DUMMYFUNCTION("""COMPUTED_VALUE"""),41.0)</f>
        <v>41</v>
      </c>
      <c r="L3300" s="176">
        <f>IFERROR(__xludf.DUMMYFUNCTION("""COMPUTED_VALUE"""),29.0)</f>
        <v>29</v>
      </c>
      <c r="M3300" s="176">
        <f>IFERROR(__xludf.DUMMYFUNCTION("""COMPUTED_VALUE"""),70.0)</f>
        <v>70</v>
      </c>
      <c r="N3300" s="177" t="str">
        <f>IFERROR(__xludf.DUMMYFUNCTION("""COMPUTED_VALUE"""),"Model 3 LR AWD")</f>
        <v>Model 3 LR AWD</v>
      </c>
      <c r="O3300" s="177" t="str">
        <f>IFERROR(__xludf.DUMMYFUNCTION("""COMPUTED_VALUE"""),"Midnight Silver Metallic")</f>
        <v>Midnight Silver Metallic</v>
      </c>
      <c r="P3300" s="178" t="str">
        <f>IFERROR(__xludf.DUMMYFUNCTION("""COMPUTED_VALUE"""),"19 inch Sport")</f>
        <v>19 inch Sport</v>
      </c>
      <c r="Q3300" s="177" t="str">
        <f>IFERROR(__xludf.DUMMYFUNCTION("""COMPUTED_VALUE"""),"Black seats")</f>
        <v>Black seats</v>
      </c>
      <c r="R3300" s="170" t="str">
        <f>IFERROR(__xludf.DUMMYFUNCTION("""COMPUTED_VALUE"""),"None")</f>
        <v>None</v>
      </c>
      <c r="S3300" s="170"/>
      <c r="T3300" s="179"/>
      <c r="U3300" s="179"/>
      <c r="V3300" s="179"/>
      <c r="W3300" s="180"/>
      <c r="X3300" s="181" t="str">
        <f>IFERROR(__xludf.DUMMYFUNCTION("""COMPUTED_VALUE"""),"Excellent")</f>
        <v>Excellent</v>
      </c>
      <c r="Y3300" s="182" t="str">
        <f>IFERROR(__xludf.DUMMYFUNCTION("""COMPUTED_VALUE"""),"Excellent")</f>
        <v>Excellent</v>
      </c>
      <c r="Z3300" s="182" t="str">
        <f>IFERROR(__xludf.DUMMYFUNCTION("""COMPUTED_VALUE"""),"Excellent")</f>
        <v>Excellent</v>
      </c>
      <c r="AA3300" s="182" t="str">
        <f>IFERROR(__xludf.DUMMYFUNCTION("""COMPUTED_VALUE"""),"Fair")</f>
        <v>Fair</v>
      </c>
      <c r="AB3300" s="182" t="str">
        <f>IFERROR(__xludf.DUMMYFUNCTION("""COMPUTED_VALUE"""),"Excellent")</f>
        <v>Excellent</v>
      </c>
      <c r="AC3300" s="183"/>
      <c r="AD3300" s="183"/>
      <c r="AE3300" s="183"/>
      <c r="AF3300" s="184"/>
      <c r="AG3300" s="180"/>
      <c r="AH3300" s="185">
        <f>IFERROR(__xludf.DUMMYFUNCTION("""COMPUTED_VALUE"""),43347.864195451395)</f>
        <v>43347.8642</v>
      </c>
      <c r="AI3300" s="182"/>
      <c r="AJ3300" s="182"/>
      <c r="AK3300" s="182"/>
      <c r="AL3300" s="182"/>
    </row>
    <row r="3301" ht="20.25" customHeight="1">
      <c r="A3301" s="169" t="str">
        <f>IFERROR(__xludf.DUMMYFUNCTION("""COMPUTED_VALUE"""),"sfca")</f>
        <v>sfca</v>
      </c>
      <c r="B3301" s="170" t="str">
        <f>IFERROR(__xludf.DUMMYFUNCTION("""COMPUTED_VALUE"""),"Los Angeles")</f>
        <v>Los Angeles</v>
      </c>
      <c r="C3301" s="170" t="str">
        <f>IFERROR(__xludf.DUMMYFUNCTION("""COMPUTED_VALUE"""),"CA")</f>
        <v>CA</v>
      </c>
      <c r="D3301" s="170" t="str">
        <f>IFERROR(__xludf.DUMMYFUNCTION("""COMPUTED_VALUE"""),"USA")</f>
        <v>USA</v>
      </c>
      <c r="E3301" s="171">
        <f>IFERROR(__xludf.DUMMYFUNCTION("""COMPUTED_VALUE"""),43277.0)</f>
        <v>43277</v>
      </c>
      <c r="F3301" s="172">
        <f>IFERROR(__xludf.DUMMYFUNCTION("""COMPUTED_VALUE"""),43411.0)</f>
        <v>43411</v>
      </c>
      <c r="G3301" s="173"/>
      <c r="H3301" s="174">
        <f>IFERROR(__xludf.DUMMYFUNCTION("""COMPUTED_VALUE"""),93355.0)</f>
        <v>93355</v>
      </c>
      <c r="I3301" s="175" t="str">
        <f>IFERROR(__xludf.DUMMYFUNCTION("""COMPUTED_VALUE"""),"09/18")</f>
        <v>09/18</v>
      </c>
      <c r="J3301" s="172">
        <f>IFERROR(__xludf.DUMMYFUNCTION("""COMPUTED_VALUE"""),43415.0)</f>
        <v>43415</v>
      </c>
      <c r="K3301" s="176">
        <f>IFERROR(__xludf.DUMMYFUNCTION("""COMPUTED_VALUE"""),134.0)</f>
        <v>134</v>
      </c>
      <c r="L3301" s="176">
        <f>IFERROR(__xludf.DUMMYFUNCTION("""COMPUTED_VALUE"""),4.0)</f>
        <v>4</v>
      </c>
      <c r="M3301" s="176">
        <f>IFERROR(__xludf.DUMMYFUNCTION("""COMPUTED_VALUE"""),138.0)</f>
        <v>138</v>
      </c>
      <c r="N3301" s="177" t="str">
        <f>IFERROR(__xludf.DUMMYFUNCTION("""COMPUTED_VALUE"""),"Model 3 LR AWD")</f>
        <v>Model 3 LR AWD</v>
      </c>
      <c r="O3301" s="177" t="str">
        <f>IFERROR(__xludf.DUMMYFUNCTION("""COMPUTED_VALUE"""),"Silver Metallic")</f>
        <v>Silver Metallic</v>
      </c>
      <c r="P3301" s="178" t="str">
        <f>IFERROR(__xludf.DUMMYFUNCTION("""COMPUTED_VALUE"""),"18 inch Aero")</f>
        <v>18 inch Aero</v>
      </c>
      <c r="Q3301" s="177" t="str">
        <f>IFERROR(__xludf.DUMMYFUNCTION("""COMPUTED_VALUE"""),"Black seats")</f>
        <v>Black seats</v>
      </c>
      <c r="R3301" s="170" t="str">
        <f>IFERROR(__xludf.DUMMYFUNCTION("""COMPUTED_VALUE"""),"None")</f>
        <v>None</v>
      </c>
      <c r="S3301" s="170"/>
      <c r="T3301" s="179"/>
      <c r="U3301" s="179"/>
      <c r="V3301" s="179"/>
      <c r="W3301" s="180"/>
      <c r="X3301" s="181" t="str">
        <f>IFERROR(__xludf.DUMMYFUNCTION("""COMPUTED_VALUE"""),"Very Good")</f>
        <v>Very Good</v>
      </c>
      <c r="Y3301" s="182" t="str">
        <f>IFERROR(__xludf.DUMMYFUNCTION("""COMPUTED_VALUE"""),"Fair")</f>
        <v>Fair</v>
      </c>
      <c r="Z3301" s="182" t="str">
        <f>IFERROR(__xludf.DUMMYFUNCTION("""COMPUTED_VALUE"""),"Fair")</f>
        <v>Fair</v>
      </c>
      <c r="AA3301" s="182" t="str">
        <f>IFERROR(__xludf.DUMMYFUNCTION("""COMPUTED_VALUE"""),"Good")</f>
        <v>Good</v>
      </c>
      <c r="AB3301" s="182" t="str">
        <f>IFERROR(__xludf.DUMMYFUNCTION("""COMPUTED_VALUE"""),"Good")</f>
        <v>Good</v>
      </c>
      <c r="AC3301" s="183"/>
      <c r="AD3301" s="183"/>
      <c r="AE3301" s="183"/>
      <c r="AF3301" s="184"/>
      <c r="AG3301" s="180"/>
      <c r="AH3301" s="185">
        <f>IFERROR(__xludf.DUMMYFUNCTION("""COMPUTED_VALUE"""),43416.3179489699)</f>
        <v>43416.31795</v>
      </c>
      <c r="AI3301" s="182"/>
      <c r="AJ3301" s="182"/>
      <c r="AK3301" s="182"/>
      <c r="AL3301" s="182"/>
    </row>
    <row r="3302" ht="20.25" customHeight="1">
      <c r="A3302" s="169" t="str">
        <f>IFERROR(__xludf.DUMMYFUNCTION("""COMPUTED_VALUE"""),"ShutUpandBeHappy")</f>
        <v>ShutUpandBeHappy</v>
      </c>
      <c r="B3302" s="170" t="str">
        <f>IFERROR(__xludf.DUMMYFUNCTION("""COMPUTED_VALUE"""),"Portland")</f>
        <v>Portland</v>
      </c>
      <c r="C3302" s="170" t="str">
        <f>IFERROR(__xludf.DUMMYFUNCTION("""COMPUTED_VALUE"""),"OR")</f>
        <v>OR</v>
      </c>
      <c r="D3302" s="170" t="str">
        <f>IFERROR(__xludf.DUMMYFUNCTION("""COMPUTED_VALUE"""),"USA")</f>
        <v>USA</v>
      </c>
      <c r="E3302" s="171">
        <f>IFERROR(__xludf.DUMMYFUNCTION("""COMPUTED_VALUE"""),43277.0)</f>
        <v>43277</v>
      </c>
      <c r="F3302" s="172">
        <f>IFERROR(__xludf.DUMMYFUNCTION("""COMPUTED_VALUE"""),43313.0)</f>
        <v>43313</v>
      </c>
      <c r="G3302" s="173"/>
      <c r="H3302" s="174">
        <f>IFERROR(__xludf.DUMMYFUNCTION("""COMPUTED_VALUE"""),73354.0)</f>
        <v>73354</v>
      </c>
      <c r="I3302" s="175" t="str">
        <f>IFERROR(__xludf.DUMMYFUNCTION("""COMPUTED_VALUE"""),"07/18")</f>
        <v>07/18</v>
      </c>
      <c r="J3302" s="172">
        <f>IFERROR(__xludf.DUMMYFUNCTION("""COMPUTED_VALUE"""),43315.0)</f>
        <v>43315</v>
      </c>
      <c r="K3302" s="176">
        <f>IFERROR(__xludf.DUMMYFUNCTION("""COMPUTED_VALUE"""),36.0)</f>
        <v>36</v>
      </c>
      <c r="L3302" s="176">
        <f>IFERROR(__xludf.DUMMYFUNCTION("""COMPUTED_VALUE"""),2.0)</f>
        <v>2</v>
      </c>
      <c r="M3302" s="176">
        <f>IFERROR(__xludf.DUMMYFUNCTION("""COMPUTED_VALUE"""),38.0)</f>
        <v>38</v>
      </c>
      <c r="N3302" s="177" t="str">
        <f>IFERROR(__xludf.DUMMYFUNCTION("""COMPUTED_VALUE"""),"Model 3 Performance")</f>
        <v>Model 3 Performance</v>
      </c>
      <c r="O3302" s="177" t="str">
        <f>IFERROR(__xludf.DUMMYFUNCTION("""COMPUTED_VALUE"""),"Red Multi-Coat")</f>
        <v>Red Multi-Coat</v>
      </c>
      <c r="P3302" s="178" t="str">
        <f>IFERROR(__xludf.DUMMYFUNCTION("""COMPUTED_VALUE"""),"18 inch Aero")</f>
        <v>18 inch Aero</v>
      </c>
      <c r="Q3302" s="177" t="str">
        <f>IFERROR(__xludf.DUMMYFUNCTION("""COMPUTED_VALUE"""),"Black seats")</f>
        <v>Black seats</v>
      </c>
      <c r="R3302" s="170" t="str">
        <f>IFERROR(__xludf.DUMMYFUNCTION("""COMPUTED_VALUE"""),"None")</f>
        <v>None</v>
      </c>
      <c r="S3302" s="170"/>
      <c r="T3302" s="179"/>
      <c r="U3302" s="179"/>
      <c r="V3302" s="179"/>
      <c r="W3302" s="180"/>
      <c r="X3302" s="181" t="str">
        <f>IFERROR(__xludf.DUMMYFUNCTION("""COMPUTED_VALUE"""),"Very Good")</f>
        <v>Very Good</v>
      </c>
      <c r="Y3302" s="182" t="str">
        <f>IFERROR(__xludf.DUMMYFUNCTION("""COMPUTED_VALUE"""),"Excellent")</f>
        <v>Excellent</v>
      </c>
      <c r="Z3302" s="182" t="str">
        <f>IFERROR(__xludf.DUMMYFUNCTION("""COMPUTED_VALUE"""),"Excellent")</f>
        <v>Excellent</v>
      </c>
      <c r="AA3302" s="182" t="str">
        <f>IFERROR(__xludf.DUMMYFUNCTION("""COMPUTED_VALUE"""),"Very Good")</f>
        <v>Very Good</v>
      </c>
      <c r="AB3302" s="182" t="str">
        <f>IFERROR(__xludf.DUMMYFUNCTION("""COMPUTED_VALUE"""),"Excellent")</f>
        <v>Excellent</v>
      </c>
      <c r="AC3302" s="183"/>
      <c r="AD3302" s="183"/>
      <c r="AE3302" s="183"/>
      <c r="AF3302" s="184"/>
      <c r="AG3302" s="180"/>
      <c r="AH3302" s="185">
        <f>IFERROR(__xludf.DUMMYFUNCTION("""COMPUTED_VALUE"""),43318.87354954861)</f>
        <v>43318.87355</v>
      </c>
      <c r="AI3302" s="182"/>
      <c r="AJ3302" s="182"/>
      <c r="AK3302" s="182"/>
      <c r="AL3302" s="182"/>
    </row>
    <row r="3303" ht="20.25" customHeight="1">
      <c r="A3303" s="169" t="str">
        <f>IFERROR(__xludf.DUMMYFUNCTION("""COMPUTED_VALUE"""),"silvermagic")</f>
        <v>silvermagic</v>
      </c>
      <c r="B3303" s="170" t="str">
        <f>IFERROR(__xludf.DUMMYFUNCTION("""COMPUTED_VALUE"""),"San Jose")</f>
        <v>San Jose</v>
      </c>
      <c r="C3303" s="170" t="str">
        <f>IFERROR(__xludf.DUMMYFUNCTION("""COMPUTED_VALUE"""),"CA")</f>
        <v>CA</v>
      </c>
      <c r="D3303" s="170" t="str">
        <f>IFERROR(__xludf.DUMMYFUNCTION("""COMPUTED_VALUE"""),"USA")</f>
        <v>USA</v>
      </c>
      <c r="E3303" s="171">
        <f>IFERROR(__xludf.DUMMYFUNCTION("""COMPUTED_VALUE"""),43277.0)</f>
        <v>43277</v>
      </c>
      <c r="F3303" s="172">
        <f>IFERROR(__xludf.DUMMYFUNCTION("""COMPUTED_VALUE"""),43369.0)</f>
        <v>43369</v>
      </c>
      <c r="G3303" s="173"/>
      <c r="H3303" s="174">
        <f>IFERROR(__xludf.DUMMYFUNCTION("""COMPUTED_VALUE"""),93455.0)</f>
        <v>93455</v>
      </c>
      <c r="I3303" s="175" t="str">
        <f>IFERROR(__xludf.DUMMYFUNCTION("""COMPUTED_VALUE"""),"09/18")</f>
        <v>09/18</v>
      </c>
      <c r="J3303" s="172">
        <f>IFERROR(__xludf.DUMMYFUNCTION("""COMPUTED_VALUE"""),43369.0)</f>
        <v>43369</v>
      </c>
      <c r="K3303" s="176">
        <f>IFERROR(__xludf.DUMMYFUNCTION("""COMPUTED_VALUE"""),92.0)</f>
        <v>92</v>
      </c>
      <c r="L3303" s="176">
        <f>IFERROR(__xludf.DUMMYFUNCTION("""COMPUTED_VALUE"""),0.0)</f>
        <v>0</v>
      </c>
      <c r="M3303" s="176">
        <f>IFERROR(__xludf.DUMMYFUNCTION("""COMPUTED_VALUE"""),92.0)</f>
        <v>92</v>
      </c>
      <c r="N3303" s="177" t="str">
        <f>IFERROR(__xludf.DUMMYFUNCTION("""COMPUTED_VALUE"""),"Model 3 LR AWD")</f>
        <v>Model 3 LR AWD</v>
      </c>
      <c r="O3303" s="177" t="str">
        <f>IFERROR(__xludf.DUMMYFUNCTION("""COMPUTED_VALUE"""),"Red Multi-Coat")</f>
        <v>Red Multi-Coat</v>
      </c>
      <c r="P3303" s="178" t="str">
        <f>IFERROR(__xludf.DUMMYFUNCTION("""COMPUTED_VALUE"""),"18 inch Aero")</f>
        <v>18 inch Aero</v>
      </c>
      <c r="Q3303" s="177" t="str">
        <f>IFERROR(__xludf.DUMMYFUNCTION("""COMPUTED_VALUE"""),"Black seats")</f>
        <v>Black seats</v>
      </c>
      <c r="R3303" s="170" t="str">
        <f>IFERROR(__xludf.DUMMYFUNCTION("""COMPUTED_VALUE"""),"Enhanced Autopilot")</f>
        <v>Enhanced Autopilot</v>
      </c>
      <c r="S3303" s="170"/>
      <c r="T3303" s="179"/>
      <c r="U3303" s="179"/>
      <c r="V3303" s="179"/>
      <c r="W3303" s="180"/>
      <c r="X3303" s="181" t="str">
        <f>IFERROR(__xludf.DUMMYFUNCTION("""COMPUTED_VALUE"""),"Very Good")</f>
        <v>Very Good</v>
      </c>
      <c r="Y3303" s="182" t="str">
        <f>IFERROR(__xludf.DUMMYFUNCTION("""COMPUTED_VALUE"""),"Very Good")</f>
        <v>Very Good</v>
      </c>
      <c r="Z3303" s="182" t="str">
        <f>IFERROR(__xludf.DUMMYFUNCTION("""COMPUTED_VALUE"""),"Very Good")</f>
        <v>Very Good</v>
      </c>
      <c r="AA3303" s="182" t="str">
        <f>IFERROR(__xludf.DUMMYFUNCTION("""COMPUTED_VALUE"""),"Poor")</f>
        <v>Poor</v>
      </c>
      <c r="AB3303" s="182" t="str">
        <f>IFERROR(__xludf.DUMMYFUNCTION("""COMPUTED_VALUE"""),"Excellent")</f>
        <v>Excellent</v>
      </c>
      <c r="AC3303" s="183">
        <f>IFERROR(__xludf.DUMMYFUNCTION("""COMPUTED_VALUE"""),4.0)</f>
        <v>4</v>
      </c>
      <c r="AD3303" s="183">
        <f>IFERROR(__xludf.DUMMYFUNCTION("""COMPUTED_VALUE"""),1.0)</f>
        <v>1</v>
      </c>
      <c r="AE3303" s="183">
        <f>IFERROR(__xludf.DUMMYFUNCTION("""COMPUTED_VALUE"""),1.0)</f>
        <v>1</v>
      </c>
      <c r="AF3303" s="184"/>
      <c r="AG3303" s="180" t="str">
        <f>IFERROR(__xludf.DUMMYFUNCTION("""COMPUTED_VALUE"""),"My Service Center experience was very good")</f>
        <v>My Service Center experience was very good</v>
      </c>
      <c r="AH3303" s="185">
        <f>IFERROR(__xludf.DUMMYFUNCTION("""COMPUTED_VALUE"""),43392.43034746528)</f>
        <v>43392.43035</v>
      </c>
      <c r="AI3303" s="182"/>
      <c r="AJ3303" s="182"/>
      <c r="AK3303" s="182"/>
      <c r="AL3303" s="182"/>
    </row>
    <row r="3304" ht="20.25" customHeight="1">
      <c r="A3304" s="169" t="str">
        <f>IFERROR(__xludf.DUMMYFUNCTION("""COMPUTED_VALUE"""),"SSChicken")</f>
        <v>SSChicken</v>
      </c>
      <c r="B3304" s="170" t="str">
        <f>IFERROR(__xludf.DUMMYFUNCTION("""COMPUTED_VALUE"""),"Phoenix")</f>
        <v>Phoenix</v>
      </c>
      <c r="C3304" s="170" t="str">
        <f>IFERROR(__xludf.DUMMYFUNCTION("""COMPUTED_VALUE"""),"AZ")</f>
        <v>AZ</v>
      </c>
      <c r="D3304" s="170" t="str">
        <f>IFERROR(__xludf.DUMMYFUNCTION("""COMPUTED_VALUE"""),"USA")</f>
        <v>USA</v>
      </c>
      <c r="E3304" s="171">
        <f>IFERROR(__xludf.DUMMYFUNCTION("""COMPUTED_VALUE"""),43277.0)</f>
        <v>43277</v>
      </c>
      <c r="F3304" s="172">
        <f>IFERROR(__xludf.DUMMYFUNCTION("""COMPUTED_VALUE"""),43372.0)</f>
        <v>43372</v>
      </c>
      <c r="G3304" s="173"/>
      <c r="H3304" s="174">
        <f>IFERROR(__xludf.DUMMYFUNCTION("""COMPUTED_VALUE"""),74855.0)</f>
        <v>74855</v>
      </c>
      <c r="I3304" s="175" t="str">
        <f>IFERROR(__xludf.DUMMYFUNCTION("""COMPUTED_VALUE"""),"09/18")</f>
        <v>09/18</v>
      </c>
      <c r="J3304" s="172">
        <f>IFERROR(__xludf.DUMMYFUNCTION("""COMPUTED_VALUE"""),43375.0)</f>
        <v>43375</v>
      </c>
      <c r="K3304" s="176">
        <f>IFERROR(__xludf.DUMMYFUNCTION("""COMPUTED_VALUE"""),95.0)</f>
        <v>95</v>
      </c>
      <c r="L3304" s="176">
        <f>IFERROR(__xludf.DUMMYFUNCTION("""COMPUTED_VALUE"""),3.0)</f>
        <v>3</v>
      </c>
      <c r="M3304" s="176">
        <f>IFERROR(__xludf.DUMMYFUNCTION("""COMPUTED_VALUE"""),98.0)</f>
        <v>98</v>
      </c>
      <c r="N3304" s="177" t="str">
        <f>IFERROR(__xludf.DUMMYFUNCTION("""COMPUTED_VALUE"""),"Model 3 Performance")</f>
        <v>Model 3 Performance</v>
      </c>
      <c r="O3304" s="177" t="str">
        <f>IFERROR(__xludf.DUMMYFUNCTION("""COMPUTED_VALUE"""),"Pearl White Multi-Coat")</f>
        <v>Pearl White Multi-Coat</v>
      </c>
      <c r="P3304" s="178" t="str">
        <f>IFERROR(__xludf.DUMMYFUNCTION("""COMPUTED_VALUE"""),"18 inch Aero")</f>
        <v>18 inch Aero</v>
      </c>
      <c r="Q3304" s="177" t="str">
        <f>IFERROR(__xludf.DUMMYFUNCTION("""COMPUTED_VALUE"""),"White seats")</f>
        <v>White seats</v>
      </c>
      <c r="R3304" s="170" t="str">
        <f>IFERROR(__xludf.DUMMYFUNCTION("""COMPUTED_VALUE"""),"Enhanced Autopilot")</f>
        <v>Enhanced Autopilot</v>
      </c>
      <c r="S3304" s="170"/>
      <c r="T3304" s="179"/>
      <c r="U3304" s="179"/>
      <c r="V3304" s="179"/>
      <c r="W3304" s="180"/>
      <c r="X3304" s="181" t="str">
        <f>IFERROR(__xludf.DUMMYFUNCTION("""COMPUTED_VALUE"""),"Excellent")</f>
        <v>Excellent</v>
      </c>
      <c r="Y3304" s="182" t="str">
        <f>IFERROR(__xludf.DUMMYFUNCTION("""COMPUTED_VALUE"""),"Excellent")</f>
        <v>Excellent</v>
      </c>
      <c r="Z3304" s="182" t="str">
        <f>IFERROR(__xludf.DUMMYFUNCTION("""COMPUTED_VALUE"""),"Excellent")</f>
        <v>Excellent</v>
      </c>
      <c r="AA3304" s="182" t="str">
        <f>IFERROR(__xludf.DUMMYFUNCTION("""COMPUTED_VALUE"""),"Poor")</f>
        <v>Poor</v>
      </c>
      <c r="AB3304" s="182" t="str">
        <f>IFERROR(__xludf.DUMMYFUNCTION("""COMPUTED_VALUE"""),"Fair")</f>
        <v>Fair</v>
      </c>
      <c r="AC3304" s="183"/>
      <c r="AD3304" s="183"/>
      <c r="AE3304" s="183"/>
      <c r="AF3304" s="184"/>
      <c r="AG3304" s="180"/>
      <c r="AH3304" s="185">
        <f>IFERROR(__xludf.DUMMYFUNCTION("""COMPUTED_VALUE"""),43379.94989005787)</f>
        <v>43379.94989</v>
      </c>
      <c r="AI3304" s="182"/>
      <c r="AJ3304" s="182"/>
      <c r="AK3304" s="182"/>
      <c r="AL3304" s="182"/>
    </row>
    <row r="3305" ht="20.25" customHeight="1">
      <c r="A3305" s="169" t="str">
        <f>IFERROR(__xludf.DUMMYFUNCTION("""COMPUTED_VALUE"""),"tarrant222")</f>
        <v>tarrant222</v>
      </c>
      <c r="B3305" s="170"/>
      <c r="C3305" s="170" t="str">
        <f>IFERROR(__xludf.DUMMYFUNCTION("""COMPUTED_VALUE"""),"NJ")</f>
        <v>NJ</v>
      </c>
      <c r="D3305" s="170" t="str">
        <f>IFERROR(__xludf.DUMMYFUNCTION("""COMPUTED_VALUE"""),"USA")</f>
        <v>USA</v>
      </c>
      <c r="E3305" s="171">
        <f>IFERROR(__xludf.DUMMYFUNCTION("""COMPUTED_VALUE"""),43277.0)</f>
        <v>43277</v>
      </c>
      <c r="F3305" s="172">
        <f>IFERROR(__xludf.DUMMYFUNCTION("""COMPUTED_VALUE"""),43308.0)</f>
        <v>43308</v>
      </c>
      <c r="G3305" s="173"/>
      <c r="H3305" s="174">
        <f>IFERROR(__xludf.DUMMYFUNCTION("""COMPUTED_VALUE"""),54755.0)</f>
        <v>54755</v>
      </c>
      <c r="I3305" s="175" t="str">
        <f>IFERROR(__xludf.DUMMYFUNCTION("""COMPUTED_VALUE"""),"07/18")</f>
        <v>07/18</v>
      </c>
      <c r="J3305" s="172">
        <f>IFERROR(__xludf.DUMMYFUNCTION("""COMPUTED_VALUE"""),43327.0)</f>
        <v>43327</v>
      </c>
      <c r="K3305" s="176">
        <f>IFERROR(__xludf.DUMMYFUNCTION("""COMPUTED_VALUE"""),31.0)</f>
        <v>31</v>
      </c>
      <c r="L3305" s="176">
        <f>IFERROR(__xludf.DUMMYFUNCTION("""COMPUTED_VALUE"""),19.0)</f>
        <v>19</v>
      </c>
      <c r="M3305" s="176">
        <f>IFERROR(__xludf.DUMMYFUNCTION("""COMPUTED_VALUE"""),50.0)</f>
        <v>50</v>
      </c>
      <c r="N3305" s="177" t="str">
        <f>IFERROR(__xludf.DUMMYFUNCTION("""COMPUTED_VALUE"""),"Model 3 LR AWD")</f>
        <v>Model 3 LR AWD</v>
      </c>
      <c r="O3305" s="177" t="str">
        <f>IFERROR(__xludf.DUMMYFUNCTION("""COMPUTED_VALUE"""),"Deep Blue Metallic")</f>
        <v>Deep Blue Metallic</v>
      </c>
      <c r="P3305" s="178" t="str">
        <f>IFERROR(__xludf.DUMMYFUNCTION("""COMPUTED_VALUE"""),"19 inch Sport")</f>
        <v>19 inch Sport</v>
      </c>
      <c r="Q3305" s="177" t="str">
        <f>IFERROR(__xludf.DUMMYFUNCTION("""COMPUTED_VALUE"""),"Black seats")</f>
        <v>Black seats</v>
      </c>
      <c r="R3305" s="170" t="str">
        <f>IFERROR(__xludf.DUMMYFUNCTION("""COMPUTED_VALUE"""),"Enhanced Autopilot")</f>
        <v>Enhanced Autopilot</v>
      </c>
      <c r="S3305" s="170"/>
      <c r="T3305" s="179"/>
      <c r="U3305" s="179"/>
      <c r="V3305" s="179"/>
      <c r="W3305" s="180"/>
      <c r="X3305" s="181" t="str">
        <f>IFERROR(__xludf.DUMMYFUNCTION("""COMPUTED_VALUE"""),"Excellent")</f>
        <v>Excellent</v>
      </c>
      <c r="Y3305" s="182" t="str">
        <f>IFERROR(__xludf.DUMMYFUNCTION("""COMPUTED_VALUE"""),"Very Good")</f>
        <v>Very Good</v>
      </c>
      <c r="Z3305" s="182" t="str">
        <f>IFERROR(__xludf.DUMMYFUNCTION("""COMPUTED_VALUE"""),"Good")</f>
        <v>Good</v>
      </c>
      <c r="AA3305" s="182" t="str">
        <f>IFERROR(__xludf.DUMMYFUNCTION("""COMPUTED_VALUE"""),"Excellent")</f>
        <v>Excellent</v>
      </c>
      <c r="AB3305" s="182" t="str">
        <f>IFERROR(__xludf.DUMMYFUNCTION("""COMPUTED_VALUE"""),"Good")</f>
        <v>Good</v>
      </c>
      <c r="AC3305" s="183">
        <f>IFERROR(__xludf.DUMMYFUNCTION("""COMPUTED_VALUE"""),7.0)</f>
        <v>7</v>
      </c>
      <c r="AD3305" s="183">
        <f>IFERROR(__xludf.DUMMYFUNCTION("""COMPUTED_VALUE"""),2.0)</f>
        <v>2</v>
      </c>
      <c r="AE3305" s="183">
        <f>IFERROR(__xludf.DUMMYFUNCTION("""COMPUTED_VALUE"""),14.0)</f>
        <v>14</v>
      </c>
      <c r="AF3305" s="184"/>
      <c r="AG3305" s="180"/>
      <c r="AH3305" s="185">
        <f>IFERROR(__xludf.DUMMYFUNCTION("""COMPUTED_VALUE"""),43357.54045174769)</f>
        <v>43357.54045</v>
      </c>
      <c r="AI3305" s="182"/>
      <c r="AJ3305" s="182"/>
      <c r="AK3305" s="182"/>
      <c r="AL3305" s="182"/>
    </row>
    <row r="3306" ht="20.25" customHeight="1">
      <c r="A3306" s="169" t="str">
        <f>IFERROR(__xludf.DUMMYFUNCTION("""COMPUTED_VALUE"""),"thescud")</f>
        <v>thescud</v>
      </c>
      <c r="B3306" s="170" t="str">
        <f>IFERROR(__xludf.DUMMYFUNCTION("""COMPUTED_VALUE"""),"Edmonton")</f>
        <v>Edmonton</v>
      </c>
      <c r="C3306" s="170" t="str">
        <f>IFERROR(__xludf.DUMMYFUNCTION("""COMPUTED_VALUE"""),"AB")</f>
        <v>AB</v>
      </c>
      <c r="D3306" s="170" t="str">
        <f>IFERROR(__xludf.DUMMYFUNCTION("""COMPUTED_VALUE"""),"Canada")</f>
        <v>Canada</v>
      </c>
      <c r="E3306" s="171">
        <f>IFERROR(__xludf.DUMMYFUNCTION("""COMPUTED_VALUE"""),43277.0)</f>
        <v>43277</v>
      </c>
      <c r="F3306" s="172">
        <f>IFERROR(__xludf.DUMMYFUNCTION("""COMPUTED_VALUE"""),43355.0)</f>
        <v>43355</v>
      </c>
      <c r="G3306" s="173"/>
      <c r="H3306" s="174">
        <f>IFERROR(__xludf.DUMMYFUNCTION("""COMPUTED_VALUE"""),108055.0)</f>
        <v>108055</v>
      </c>
      <c r="I3306" s="175" t="str">
        <f>IFERROR(__xludf.DUMMYFUNCTION("""COMPUTED_VALUE"""),"08/18")</f>
        <v>08/18</v>
      </c>
      <c r="J3306" s="172">
        <f>IFERROR(__xludf.DUMMYFUNCTION("""COMPUTED_VALUE"""),43371.0)</f>
        <v>43371</v>
      </c>
      <c r="K3306" s="176">
        <f>IFERROR(__xludf.DUMMYFUNCTION("""COMPUTED_VALUE"""),78.0)</f>
        <v>78</v>
      </c>
      <c r="L3306" s="176">
        <f>IFERROR(__xludf.DUMMYFUNCTION("""COMPUTED_VALUE"""),16.0)</f>
        <v>16</v>
      </c>
      <c r="M3306" s="176">
        <f>IFERROR(__xludf.DUMMYFUNCTION("""COMPUTED_VALUE"""),94.0)</f>
        <v>94</v>
      </c>
      <c r="N3306" s="177" t="str">
        <f>IFERROR(__xludf.DUMMYFUNCTION("""COMPUTED_VALUE"""),"Model 3 Performance")</f>
        <v>Model 3 Performance</v>
      </c>
      <c r="O3306" s="177" t="str">
        <f>IFERROR(__xludf.DUMMYFUNCTION("""COMPUTED_VALUE"""),"Solid Black")</f>
        <v>Solid Black</v>
      </c>
      <c r="P3306" s="178" t="str">
        <f>IFERROR(__xludf.DUMMYFUNCTION("""COMPUTED_VALUE"""),"20 inch Sport")</f>
        <v>20 inch Sport</v>
      </c>
      <c r="Q3306" s="177" t="str">
        <f>IFERROR(__xludf.DUMMYFUNCTION("""COMPUTED_VALUE"""),"White seats")</f>
        <v>White seats</v>
      </c>
      <c r="R3306" s="170" t="str">
        <f>IFERROR(__xludf.DUMMYFUNCTION("""COMPUTED_VALUE"""),"Enhanced Autopilot")</f>
        <v>Enhanced Autopilot</v>
      </c>
      <c r="S3306" s="170"/>
      <c r="T3306" s="179"/>
      <c r="U3306" s="179"/>
      <c r="V3306" s="179"/>
      <c r="W3306" s="180"/>
      <c r="X3306" s="181" t="str">
        <f>IFERROR(__xludf.DUMMYFUNCTION("""COMPUTED_VALUE"""),"Excellent")</f>
        <v>Excellent</v>
      </c>
      <c r="Y3306" s="182" t="str">
        <f>IFERROR(__xludf.DUMMYFUNCTION("""COMPUTED_VALUE"""),"Excellent")</f>
        <v>Excellent</v>
      </c>
      <c r="Z3306" s="182" t="str">
        <f>IFERROR(__xludf.DUMMYFUNCTION("""COMPUTED_VALUE"""),"Excellent")</f>
        <v>Excellent</v>
      </c>
      <c r="AA3306" s="182" t="str">
        <f>IFERROR(__xludf.DUMMYFUNCTION("""COMPUTED_VALUE"""),"Fair")</f>
        <v>Fair</v>
      </c>
      <c r="AB3306" s="182"/>
      <c r="AC3306" s="183"/>
      <c r="AD3306" s="183"/>
      <c r="AE3306" s="183"/>
      <c r="AF3306" s="184"/>
      <c r="AG3306" s="180"/>
      <c r="AH3306" s="185">
        <f>IFERROR(__xludf.DUMMYFUNCTION("""COMPUTED_VALUE"""),43371.8178425463)</f>
        <v>43371.81784</v>
      </c>
      <c r="AI3306" s="182"/>
      <c r="AJ3306" s="182"/>
      <c r="AK3306" s="182"/>
      <c r="AL3306" s="182"/>
    </row>
    <row r="3307" ht="20.25" customHeight="1">
      <c r="A3307" s="169" t="str">
        <f>IFERROR(__xludf.DUMMYFUNCTION("""COMPUTED_VALUE"""),"thimblepk")</f>
        <v>thimblepk</v>
      </c>
      <c r="B3307" s="170" t="str">
        <f>IFERROR(__xludf.DUMMYFUNCTION("""COMPUTED_VALUE"""),"Sunnyvale")</f>
        <v>Sunnyvale</v>
      </c>
      <c r="C3307" s="170" t="str">
        <f>IFERROR(__xludf.DUMMYFUNCTION("""COMPUTED_VALUE"""),"CA")</f>
        <v>CA</v>
      </c>
      <c r="D3307" s="170" t="str">
        <f>IFERROR(__xludf.DUMMYFUNCTION("""COMPUTED_VALUE"""),"USA")</f>
        <v>USA</v>
      </c>
      <c r="E3307" s="171">
        <f>IFERROR(__xludf.DUMMYFUNCTION("""COMPUTED_VALUE"""),43277.0)</f>
        <v>43277</v>
      </c>
      <c r="F3307" s="172">
        <f>IFERROR(__xludf.DUMMYFUNCTION("""COMPUTED_VALUE"""),43397.0)</f>
        <v>43397</v>
      </c>
      <c r="G3307" s="173"/>
      <c r="H3307" s="174">
        <f>IFERROR(__xludf.DUMMYFUNCTION("""COMPUTED_VALUE"""),117055.0)</f>
        <v>117055</v>
      </c>
      <c r="I3307" s="175" t="str">
        <f>IFERROR(__xludf.DUMMYFUNCTION("""COMPUTED_VALUE"""),"10/18")</f>
        <v>10/18</v>
      </c>
      <c r="J3307" s="172">
        <f>IFERROR(__xludf.DUMMYFUNCTION("""COMPUTED_VALUE"""),43398.0)</f>
        <v>43398</v>
      </c>
      <c r="K3307" s="176">
        <f>IFERROR(__xludf.DUMMYFUNCTION("""COMPUTED_VALUE"""),120.0)</f>
        <v>120</v>
      </c>
      <c r="L3307" s="176">
        <f>IFERROR(__xludf.DUMMYFUNCTION("""COMPUTED_VALUE"""),1.0)</f>
        <v>1</v>
      </c>
      <c r="M3307" s="176">
        <f>IFERROR(__xludf.DUMMYFUNCTION("""COMPUTED_VALUE"""),121.0)</f>
        <v>121</v>
      </c>
      <c r="N3307" s="177" t="str">
        <f>IFERROR(__xludf.DUMMYFUNCTION("""COMPUTED_VALUE"""),"Model 3 LR AWD")</f>
        <v>Model 3 LR AWD</v>
      </c>
      <c r="O3307" s="177" t="str">
        <f>IFERROR(__xludf.DUMMYFUNCTION("""COMPUTED_VALUE"""),"Silver Metallic")</f>
        <v>Silver Metallic</v>
      </c>
      <c r="P3307" s="178" t="str">
        <f>IFERROR(__xludf.DUMMYFUNCTION("""COMPUTED_VALUE"""),"19 inch Sport")</f>
        <v>19 inch Sport</v>
      </c>
      <c r="Q3307" s="177" t="str">
        <f>IFERROR(__xludf.DUMMYFUNCTION("""COMPUTED_VALUE"""),"Black seats")</f>
        <v>Black seats</v>
      </c>
      <c r="R3307" s="170" t="str">
        <f>IFERROR(__xludf.DUMMYFUNCTION("""COMPUTED_VALUE"""),"Enhanced Autopilot")</f>
        <v>Enhanced Autopilot</v>
      </c>
      <c r="S3307" s="170"/>
      <c r="T3307" s="179"/>
      <c r="U3307" s="179"/>
      <c r="V3307" s="179"/>
      <c r="W3307" s="180"/>
      <c r="X3307" s="181" t="str">
        <f>IFERROR(__xludf.DUMMYFUNCTION("""COMPUTED_VALUE"""),"Fair")</f>
        <v>Fair</v>
      </c>
      <c r="Y3307" s="182" t="str">
        <f>IFERROR(__xludf.DUMMYFUNCTION("""COMPUTED_VALUE"""),"Excellent")</f>
        <v>Excellent</v>
      </c>
      <c r="Z3307" s="182" t="str">
        <f>IFERROR(__xludf.DUMMYFUNCTION("""COMPUTED_VALUE"""),"Excellent")</f>
        <v>Excellent</v>
      </c>
      <c r="AA3307" s="182" t="str">
        <f>IFERROR(__xludf.DUMMYFUNCTION("""COMPUTED_VALUE"""),"Poor")</f>
        <v>Poor</v>
      </c>
      <c r="AB3307" s="182" t="str">
        <f>IFERROR(__xludf.DUMMYFUNCTION("""COMPUTED_VALUE"""),"Fair")</f>
        <v>Fair</v>
      </c>
      <c r="AC3307" s="183"/>
      <c r="AD3307" s="183"/>
      <c r="AE3307" s="183"/>
      <c r="AF3307" s="184"/>
      <c r="AG3307" s="180"/>
      <c r="AH3307" s="185">
        <f>IFERROR(__xludf.DUMMYFUNCTION("""COMPUTED_VALUE"""),43400.93576730324)</f>
        <v>43400.93577</v>
      </c>
      <c r="AI3307" s="182"/>
      <c r="AJ3307" s="182"/>
      <c r="AK3307" s="182"/>
      <c r="AL3307" s="182"/>
    </row>
    <row r="3308" ht="20.25" customHeight="1">
      <c r="A3308" s="169" t="str">
        <f>IFERROR(__xludf.DUMMYFUNCTION("""COMPUTED_VALUE"""),"Thumper")</f>
        <v>Thumper</v>
      </c>
      <c r="B3308" s="170" t="str">
        <f>IFERROR(__xludf.DUMMYFUNCTION("""COMPUTED_VALUE"""),"Oregon")</f>
        <v>Oregon</v>
      </c>
      <c r="C3308" s="170" t="str">
        <f>IFERROR(__xludf.DUMMYFUNCTION("""COMPUTED_VALUE"""),"OR")</f>
        <v>OR</v>
      </c>
      <c r="D3308" s="170" t="str">
        <f>IFERROR(__xludf.DUMMYFUNCTION("""COMPUTED_VALUE"""),"USA")</f>
        <v>USA</v>
      </c>
      <c r="E3308" s="171">
        <f>IFERROR(__xludf.DUMMYFUNCTION("""COMPUTED_VALUE"""),43277.0)</f>
        <v>43277</v>
      </c>
      <c r="F3308" s="172">
        <f>IFERROR(__xludf.DUMMYFUNCTION("""COMPUTED_VALUE"""),43339.0)</f>
        <v>43339</v>
      </c>
      <c r="G3308" s="173"/>
      <c r="H3308" s="174">
        <f>IFERROR(__xludf.DUMMYFUNCTION("""COMPUTED_VALUE"""),96355.0)</f>
        <v>96355</v>
      </c>
      <c r="I3308" s="175" t="str">
        <f>IFERROR(__xludf.DUMMYFUNCTION("""COMPUTED_VALUE"""),"08/18")</f>
        <v>08/18</v>
      </c>
      <c r="J3308" s="172">
        <f>IFERROR(__xludf.DUMMYFUNCTION("""COMPUTED_VALUE"""),43348.0)</f>
        <v>43348</v>
      </c>
      <c r="K3308" s="176">
        <f>IFERROR(__xludf.DUMMYFUNCTION("""COMPUTED_VALUE"""),62.0)</f>
        <v>62</v>
      </c>
      <c r="L3308" s="176">
        <f>IFERROR(__xludf.DUMMYFUNCTION("""COMPUTED_VALUE"""),9.0)</f>
        <v>9</v>
      </c>
      <c r="M3308" s="176">
        <f>IFERROR(__xludf.DUMMYFUNCTION("""COMPUTED_VALUE"""),71.0)</f>
        <v>71</v>
      </c>
      <c r="N3308" s="177" t="str">
        <f>IFERROR(__xludf.DUMMYFUNCTION("""COMPUTED_VALUE"""),"Model 3 LR AWD")</f>
        <v>Model 3 LR AWD</v>
      </c>
      <c r="O3308" s="177" t="str">
        <f>IFERROR(__xludf.DUMMYFUNCTION("""COMPUTED_VALUE"""),"Red Multi-Coat")</f>
        <v>Red Multi-Coat</v>
      </c>
      <c r="P3308" s="178" t="str">
        <f>IFERROR(__xludf.DUMMYFUNCTION("""COMPUTED_VALUE"""),"18 inch Aero")</f>
        <v>18 inch Aero</v>
      </c>
      <c r="Q3308" s="177" t="str">
        <f>IFERROR(__xludf.DUMMYFUNCTION("""COMPUTED_VALUE"""),"White seats")</f>
        <v>White seats</v>
      </c>
      <c r="R3308" s="170" t="str">
        <f>IFERROR(__xludf.DUMMYFUNCTION("""COMPUTED_VALUE"""),"Enhanced Autopilot")</f>
        <v>Enhanced Autopilot</v>
      </c>
      <c r="S3308" s="170"/>
      <c r="T3308" s="179"/>
      <c r="U3308" s="179"/>
      <c r="V3308" s="179"/>
      <c r="W3308" s="180"/>
      <c r="X3308" s="181" t="str">
        <f>IFERROR(__xludf.DUMMYFUNCTION("""COMPUTED_VALUE"""),"Excellent")</f>
        <v>Excellent</v>
      </c>
      <c r="Y3308" s="182" t="str">
        <f>IFERROR(__xludf.DUMMYFUNCTION("""COMPUTED_VALUE"""),"Excellent")</f>
        <v>Excellent</v>
      </c>
      <c r="Z3308" s="182" t="str">
        <f>IFERROR(__xludf.DUMMYFUNCTION("""COMPUTED_VALUE"""),"Excellent")</f>
        <v>Excellent</v>
      </c>
      <c r="AA3308" s="182" t="str">
        <f>IFERROR(__xludf.DUMMYFUNCTION("""COMPUTED_VALUE"""),"Good")</f>
        <v>Good</v>
      </c>
      <c r="AB3308" s="182" t="str">
        <f>IFERROR(__xludf.DUMMYFUNCTION("""COMPUTED_VALUE"""),"Fair")</f>
        <v>Fair</v>
      </c>
      <c r="AC3308" s="183">
        <f>IFERROR(__xludf.DUMMYFUNCTION("""COMPUTED_VALUE"""),0.0)</f>
        <v>0</v>
      </c>
      <c r="AD3308" s="183"/>
      <c r="AE3308" s="183"/>
      <c r="AF3308" s="184"/>
      <c r="AG3308" s="180"/>
      <c r="AH3308" s="185">
        <f>IFERROR(__xludf.DUMMYFUNCTION("""COMPUTED_VALUE"""),43351.850813321755)</f>
        <v>43351.85081</v>
      </c>
      <c r="AI3308" s="182"/>
      <c r="AJ3308" s="182"/>
      <c r="AK3308" s="182"/>
      <c r="AL3308" s="182"/>
    </row>
    <row r="3309" ht="20.25" customHeight="1">
      <c r="A3309" s="169" t="str">
        <f>IFERROR(__xludf.DUMMYFUNCTION("""COMPUTED_VALUE"""),"TJCOS")</f>
        <v>TJCOS</v>
      </c>
      <c r="B3309" s="170" t="str">
        <f>IFERROR(__xludf.DUMMYFUNCTION("""COMPUTED_VALUE"""),"Colorado Springs")</f>
        <v>Colorado Springs</v>
      </c>
      <c r="C3309" s="170" t="str">
        <f>IFERROR(__xludf.DUMMYFUNCTION("""COMPUTED_VALUE"""),"CO")</f>
        <v>CO</v>
      </c>
      <c r="D3309" s="170" t="str">
        <f>IFERROR(__xludf.DUMMYFUNCTION("""COMPUTED_VALUE"""),"USA")</f>
        <v>USA</v>
      </c>
      <c r="E3309" s="171">
        <f>IFERROR(__xludf.DUMMYFUNCTION("""COMPUTED_VALUE"""),43277.0)</f>
        <v>43277</v>
      </c>
      <c r="F3309" s="172">
        <f>IFERROR(__xludf.DUMMYFUNCTION("""COMPUTED_VALUE"""),43341.0)</f>
        <v>43341</v>
      </c>
      <c r="G3309" s="173"/>
      <c r="H3309" s="174">
        <f>IFERROR(__xludf.DUMMYFUNCTION("""COMPUTED_VALUE"""),70655.0)</f>
        <v>70655</v>
      </c>
      <c r="I3309" s="175" t="str">
        <f>IFERROR(__xludf.DUMMYFUNCTION("""COMPUTED_VALUE"""),"08/18")</f>
        <v>08/18</v>
      </c>
      <c r="J3309" s="172">
        <f>IFERROR(__xludf.DUMMYFUNCTION("""COMPUTED_VALUE"""),43350.0)</f>
        <v>43350</v>
      </c>
      <c r="K3309" s="176">
        <f>IFERROR(__xludf.DUMMYFUNCTION("""COMPUTED_VALUE"""),64.0)</f>
        <v>64</v>
      </c>
      <c r="L3309" s="176">
        <f>IFERROR(__xludf.DUMMYFUNCTION("""COMPUTED_VALUE"""),9.0)</f>
        <v>9</v>
      </c>
      <c r="M3309" s="176">
        <f>IFERROR(__xludf.DUMMYFUNCTION("""COMPUTED_VALUE"""),73.0)</f>
        <v>73</v>
      </c>
      <c r="N3309" s="177" t="str">
        <f>IFERROR(__xludf.DUMMYFUNCTION("""COMPUTED_VALUE"""),"Model 3 LR AWD")</f>
        <v>Model 3 LR AWD</v>
      </c>
      <c r="O3309" s="177" t="str">
        <f>IFERROR(__xludf.DUMMYFUNCTION("""COMPUTED_VALUE"""),"Obsidian Black Metallic")</f>
        <v>Obsidian Black Metallic</v>
      </c>
      <c r="P3309" s="178" t="str">
        <f>IFERROR(__xludf.DUMMYFUNCTION("""COMPUTED_VALUE"""),"18 inch Aero")</f>
        <v>18 inch Aero</v>
      </c>
      <c r="Q3309" s="177" t="str">
        <f>IFERROR(__xludf.DUMMYFUNCTION("""COMPUTED_VALUE"""),"Black seats")</f>
        <v>Black seats</v>
      </c>
      <c r="R3309" s="170" t="str">
        <f>IFERROR(__xludf.DUMMYFUNCTION("""COMPUTED_VALUE"""),"Full Self-Driving")</f>
        <v>Full Self-Driving</v>
      </c>
      <c r="S3309" s="170"/>
      <c r="T3309" s="179"/>
      <c r="U3309" s="179"/>
      <c r="V3309" s="179"/>
      <c r="W3309" s="180"/>
      <c r="X3309" s="181" t="str">
        <f>IFERROR(__xludf.DUMMYFUNCTION("""COMPUTED_VALUE"""),"Excellent")</f>
        <v>Excellent</v>
      </c>
      <c r="Y3309" s="182" t="str">
        <f>IFERROR(__xludf.DUMMYFUNCTION("""COMPUTED_VALUE"""),"Fair")</f>
        <v>Fair</v>
      </c>
      <c r="Z3309" s="182" t="str">
        <f>IFERROR(__xludf.DUMMYFUNCTION("""COMPUTED_VALUE"""),"Poor")</f>
        <v>Poor</v>
      </c>
      <c r="AA3309" s="182" t="str">
        <f>IFERROR(__xludf.DUMMYFUNCTION("""COMPUTED_VALUE"""),"Poor")</f>
        <v>Poor</v>
      </c>
      <c r="AB3309" s="182" t="str">
        <f>IFERROR(__xludf.DUMMYFUNCTION("""COMPUTED_VALUE"""),"Fair")</f>
        <v>Fair</v>
      </c>
      <c r="AC3309" s="183">
        <f>IFERROR(__xludf.DUMMYFUNCTION("""COMPUTED_VALUE"""),4.0)</f>
        <v>4</v>
      </c>
      <c r="AD3309" s="183"/>
      <c r="AE3309" s="183"/>
      <c r="AF3309" s="184"/>
      <c r="AG3309" s="180"/>
      <c r="AH3309" s="185">
        <f>IFERROR(__xludf.DUMMYFUNCTION("""COMPUTED_VALUE"""),43373.41142399306)</f>
        <v>43373.41142</v>
      </c>
      <c r="AI3309" s="182"/>
      <c r="AJ3309" s="182"/>
      <c r="AK3309" s="182"/>
      <c r="AL3309" s="182"/>
    </row>
    <row r="3310" ht="20.25" customHeight="1">
      <c r="A3310" s="169" t="str">
        <f>IFERROR(__xludf.DUMMYFUNCTION("""COMPUTED_VALUE"""),"Wise1919")</f>
        <v>Wise1919</v>
      </c>
      <c r="B3310" s="170"/>
      <c r="C3310" s="170" t="str">
        <f>IFERROR(__xludf.DUMMYFUNCTION("""COMPUTED_VALUE"""),"PA")</f>
        <v>PA</v>
      </c>
      <c r="D3310" s="170" t="str">
        <f>IFERROR(__xludf.DUMMYFUNCTION("""COMPUTED_VALUE"""),"USA")</f>
        <v>USA</v>
      </c>
      <c r="E3310" s="171">
        <f>IFERROR(__xludf.DUMMYFUNCTION("""COMPUTED_VALUE"""),43277.0)</f>
        <v>43277</v>
      </c>
      <c r="F3310" s="172">
        <f>IFERROR(__xludf.DUMMYFUNCTION("""COMPUTED_VALUE"""),43320.0)</f>
        <v>43320</v>
      </c>
      <c r="G3310" s="173"/>
      <c r="H3310" s="174">
        <f>IFERROR(__xludf.DUMMYFUNCTION("""COMPUTED_VALUE"""),63355.0)</f>
        <v>63355</v>
      </c>
      <c r="I3310" s="175" t="str">
        <f>IFERROR(__xludf.DUMMYFUNCTION("""COMPUTED_VALUE"""),"08/18")</f>
        <v>08/18</v>
      </c>
      <c r="J3310" s="172">
        <f>IFERROR(__xludf.DUMMYFUNCTION("""COMPUTED_VALUE"""),43340.0)</f>
        <v>43340</v>
      </c>
      <c r="K3310" s="176">
        <f>IFERROR(__xludf.DUMMYFUNCTION("""COMPUTED_VALUE"""),43.0)</f>
        <v>43</v>
      </c>
      <c r="L3310" s="176">
        <f>IFERROR(__xludf.DUMMYFUNCTION("""COMPUTED_VALUE"""),20.0)</f>
        <v>20</v>
      </c>
      <c r="M3310" s="176">
        <f>IFERROR(__xludf.DUMMYFUNCTION("""COMPUTED_VALUE"""),63.0)</f>
        <v>63</v>
      </c>
      <c r="N3310" s="177" t="str">
        <f>IFERROR(__xludf.DUMMYFUNCTION("""COMPUTED_VALUE"""),"Model 3 Performance")</f>
        <v>Model 3 Performance</v>
      </c>
      <c r="O3310" s="177" t="str">
        <f>IFERROR(__xludf.DUMMYFUNCTION("""COMPUTED_VALUE"""),"Red Multi-Coat")</f>
        <v>Red Multi-Coat</v>
      </c>
      <c r="P3310" s="178" t="str">
        <f>IFERROR(__xludf.DUMMYFUNCTION("""COMPUTED_VALUE"""),"20 inch Sport")</f>
        <v>20 inch Sport</v>
      </c>
      <c r="Q3310" s="177" t="str">
        <f>IFERROR(__xludf.DUMMYFUNCTION("""COMPUTED_VALUE"""),"White seats")</f>
        <v>White seats</v>
      </c>
      <c r="R3310" s="170" t="str">
        <f>IFERROR(__xludf.DUMMYFUNCTION("""COMPUTED_VALUE"""),"Full Self-Driving")</f>
        <v>Full Self-Driving</v>
      </c>
      <c r="S3310" s="170"/>
      <c r="T3310" s="179"/>
      <c r="U3310" s="179"/>
      <c r="V3310" s="179"/>
      <c r="W3310" s="180"/>
      <c r="X3310" s="181" t="str">
        <f>IFERROR(__xludf.DUMMYFUNCTION("""COMPUTED_VALUE"""),"Good")</f>
        <v>Good</v>
      </c>
      <c r="Y3310" s="182" t="str">
        <f>IFERROR(__xludf.DUMMYFUNCTION("""COMPUTED_VALUE"""),"Excellent")</f>
        <v>Excellent</v>
      </c>
      <c r="Z3310" s="182" t="str">
        <f>IFERROR(__xludf.DUMMYFUNCTION("""COMPUTED_VALUE"""),"Poor")</f>
        <v>Poor</v>
      </c>
      <c r="AA3310" s="182" t="str">
        <f>IFERROR(__xludf.DUMMYFUNCTION("""COMPUTED_VALUE"""),"Fair")</f>
        <v>Fair</v>
      </c>
      <c r="AB3310" s="182" t="str">
        <f>IFERROR(__xludf.DUMMYFUNCTION("""COMPUTED_VALUE"""),"Poor")</f>
        <v>Poor</v>
      </c>
      <c r="AC3310" s="183">
        <f>IFERROR(__xludf.DUMMYFUNCTION("""COMPUTED_VALUE"""),9.0)</f>
        <v>9</v>
      </c>
      <c r="AD3310" s="183"/>
      <c r="AE3310" s="183"/>
      <c r="AF3310" s="184"/>
      <c r="AG3310" s="180"/>
      <c r="AH3310" s="185">
        <f>IFERROR(__xludf.DUMMYFUNCTION("""COMPUTED_VALUE"""),43354.76136548611)</f>
        <v>43354.76137</v>
      </c>
      <c r="AI3310" s="182"/>
      <c r="AJ3310" s="182"/>
      <c r="AK3310" s="182"/>
      <c r="AL3310" s="182"/>
    </row>
    <row r="3311" ht="20.25" customHeight="1">
      <c r="A3311" s="169" t="str">
        <f>IFERROR(__xludf.DUMMYFUNCTION("""COMPUTED_VALUE"""),"Wugz")</f>
        <v>Wugz</v>
      </c>
      <c r="B3311" s="170" t="str">
        <f>IFERROR(__xludf.DUMMYFUNCTION("""COMPUTED_VALUE"""),"Edmonton")</f>
        <v>Edmonton</v>
      </c>
      <c r="C3311" s="170" t="str">
        <f>IFERROR(__xludf.DUMMYFUNCTION("""COMPUTED_VALUE"""),"AB")</f>
        <v>AB</v>
      </c>
      <c r="D3311" s="170" t="str">
        <f>IFERROR(__xludf.DUMMYFUNCTION("""COMPUTED_VALUE"""),"Canada")</f>
        <v>Canada</v>
      </c>
      <c r="E3311" s="171">
        <f>IFERROR(__xludf.DUMMYFUNCTION("""COMPUTED_VALUE"""),43277.0)</f>
        <v>43277</v>
      </c>
      <c r="F3311" s="172">
        <f>IFERROR(__xludf.DUMMYFUNCTION("""COMPUTED_VALUE"""),43348.0)</f>
        <v>43348</v>
      </c>
      <c r="G3311" s="173"/>
      <c r="H3311" s="174">
        <f>IFERROR(__xludf.DUMMYFUNCTION("""COMPUTED_VALUE"""),109455.0)</f>
        <v>109455</v>
      </c>
      <c r="I3311" s="175" t="str">
        <f>IFERROR(__xludf.DUMMYFUNCTION("""COMPUTED_VALUE"""),"09/18")</f>
        <v>09/18</v>
      </c>
      <c r="J3311" s="172">
        <f>IFERROR(__xludf.DUMMYFUNCTION("""COMPUTED_VALUE"""),43357.0)</f>
        <v>43357</v>
      </c>
      <c r="K3311" s="176">
        <f>IFERROR(__xludf.DUMMYFUNCTION("""COMPUTED_VALUE"""),71.0)</f>
        <v>71</v>
      </c>
      <c r="L3311" s="176">
        <f>IFERROR(__xludf.DUMMYFUNCTION("""COMPUTED_VALUE"""),9.0)</f>
        <v>9</v>
      </c>
      <c r="M3311" s="176">
        <f>IFERROR(__xludf.DUMMYFUNCTION("""COMPUTED_VALUE"""),80.0)</f>
        <v>80</v>
      </c>
      <c r="N3311" s="177" t="str">
        <f>IFERROR(__xludf.DUMMYFUNCTION("""COMPUTED_VALUE"""),"Model 3 LR AWD")</f>
        <v>Model 3 LR AWD</v>
      </c>
      <c r="O3311" s="177" t="str">
        <f>IFERROR(__xludf.DUMMYFUNCTION("""COMPUTED_VALUE"""),"Pearl White Multi-Coat")</f>
        <v>Pearl White Multi-Coat</v>
      </c>
      <c r="P3311" s="178" t="str">
        <f>IFERROR(__xludf.DUMMYFUNCTION("""COMPUTED_VALUE"""),"18 inch Aero")</f>
        <v>18 inch Aero</v>
      </c>
      <c r="Q3311" s="177" t="str">
        <f>IFERROR(__xludf.DUMMYFUNCTION("""COMPUTED_VALUE"""),"Black seats")</f>
        <v>Black seats</v>
      </c>
      <c r="R3311" s="170" t="str">
        <f>IFERROR(__xludf.DUMMYFUNCTION("""COMPUTED_VALUE"""),"Enhanced Autopilot")</f>
        <v>Enhanced Autopilot</v>
      </c>
      <c r="S3311" s="170"/>
      <c r="T3311" s="179"/>
      <c r="U3311" s="179"/>
      <c r="V3311" s="179"/>
      <c r="W3311" s="180"/>
      <c r="X3311" s="181" t="str">
        <f>IFERROR(__xludf.DUMMYFUNCTION("""COMPUTED_VALUE"""),"Very Good")</f>
        <v>Very Good</v>
      </c>
      <c r="Y3311" s="182" t="str">
        <f>IFERROR(__xludf.DUMMYFUNCTION("""COMPUTED_VALUE"""),"Very Good")</f>
        <v>Very Good</v>
      </c>
      <c r="Z3311" s="182" t="str">
        <f>IFERROR(__xludf.DUMMYFUNCTION("""COMPUTED_VALUE"""),"Excellent")</f>
        <v>Excellent</v>
      </c>
      <c r="AA3311" s="182" t="str">
        <f>IFERROR(__xludf.DUMMYFUNCTION("""COMPUTED_VALUE"""),"Fair")</f>
        <v>Fair</v>
      </c>
      <c r="AB3311" s="182" t="str">
        <f>IFERROR(__xludf.DUMMYFUNCTION("""COMPUTED_VALUE"""),"Excellent")</f>
        <v>Excellent</v>
      </c>
      <c r="AC3311" s="183">
        <f>IFERROR(__xludf.DUMMYFUNCTION("""COMPUTED_VALUE"""),0.0)</f>
        <v>0</v>
      </c>
      <c r="AD3311" s="183">
        <f>IFERROR(__xludf.DUMMYFUNCTION("""COMPUTED_VALUE"""),0.0)</f>
        <v>0</v>
      </c>
      <c r="AE3311" s="183">
        <f>IFERROR(__xludf.DUMMYFUNCTION("""COMPUTED_VALUE"""),0.0)</f>
        <v>0</v>
      </c>
      <c r="AF3311" s="184"/>
      <c r="AG3311" s="180"/>
      <c r="AH3311" s="185">
        <f>IFERROR(__xludf.DUMMYFUNCTION("""COMPUTED_VALUE"""),43377.43435905092)</f>
        <v>43377.43436</v>
      </c>
      <c r="AI3311" s="182"/>
      <c r="AJ3311" s="182"/>
      <c r="AK3311" s="182"/>
      <c r="AL3311" s="182"/>
    </row>
    <row r="3312" ht="20.25" customHeight="1">
      <c r="A3312" s="169" t="str">
        <f>IFERROR(__xludf.DUMMYFUNCTION("""COMPUTED_VALUE"""),"X509v3")</f>
        <v>X509v3</v>
      </c>
      <c r="B3312" s="170" t="str">
        <f>IFERROR(__xludf.DUMMYFUNCTION("""COMPUTED_VALUE"""),"Silicon valley")</f>
        <v>Silicon valley</v>
      </c>
      <c r="C3312" s="170" t="str">
        <f>IFERROR(__xludf.DUMMYFUNCTION("""COMPUTED_VALUE"""),"CA")</f>
        <v>CA</v>
      </c>
      <c r="D3312" s="170" t="str">
        <f>IFERROR(__xludf.DUMMYFUNCTION("""COMPUTED_VALUE"""),"USA")</f>
        <v>USA</v>
      </c>
      <c r="E3312" s="171">
        <f>IFERROR(__xludf.DUMMYFUNCTION("""COMPUTED_VALUE"""),43277.0)</f>
        <v>43277</v>
      </c>
      <c r="F3312" s="172">
        <f>IFERROR(__xludf.DUMMYFUNCTION("""COMPUTED_VALUE"""),43325.0)</f>
        <v>43325</v>
      </c>
      <c r="G3312" s="173"/>
      <c r="H3312" s="174">
        <f>IFERROR(__xludf.DUMMYFUNCTION("""COMPUTED_VALUE"""),64050.0)</f>
        <v>64050</v>
      </c>
      <c r="I3312" s="175"/>
      <c r="J3312" s="172">
        <f>IFERROR(__xludf.DUMMYFUNCTION("""COMPUTED_VALUE"""),43328.0)</f>
        <v>43328</v>
      </c>
      <c r="K3312" s="176">
        <f>IFERROR(__xludf.DUMMYFUNCTION("""COMPUTED_VALUE"""),48.0)</f>
        <v>48</v>
      </c>
      <c r="L3312" s="176">
        <f>IFERROR(__xludf.DUMMYFUNCTION("""COMPUTED_VALUE"""),3.0)</f>
        <v>3</v>
      </c>
      <c r="M3312" s="176">
        <f>IFERROR(__xludf.DUMMYFUNCTION("""COMPUTED_VALUE"""),51.0)</f>
        <v>51</v>
      </c>
      <c r="N3312" s="177" t="str">
        <f>IFERROR(__xludf.DUMMYFUNCTION("""COMPUTED_VALUE"""),"Model 3 LR AWD")</f>
        <v>Model 3 LR AWD</v>
      </c>
      <c r="O3312" s="177" t="str">
        <f>IFERROR(__xludf.DUMMYFUNCTION("""COMPUTED_VALUE"""),"Red Multi-Coat")</f>
        <v>Red Multi-Coat</v>
      </c>
      <c r="P3312" s="178" t="str">
        <f>IFERROR(__xludf.DUMMYFUNCTION("""COMPUTED_VALUE"""),"18 inch Aero")</f>
        <v>18 inch Aero</v>
      </c>
      <c r="Q3312" s="177" t="str">
        <f>IFERROR(__xludf.DUMMYFUNCTION("""COMPUTED_VALUE"""),"Black seats")</f>
        <v>Black seats</v>
      </c>
      <c r="R3312" s="170" t="str">
        <f>IFERROR(__xludf.DUMMYFUNCTION("""COMPUTED_VALUE"""),"Full Self-Driving")</f>
        <v>Full Self-Driving</v>
      </c>
      <c r="S3312" s="170"/>
      <c r="T3312" s="179"/>
      <c r="U3312" s="179"/>
      <c r="V3312" s="179"/>
      <c r="W3312" s="180"/>
      <c r="X3312" s="181" t="str">
        <f>IFERROR(__xludf.DUMMYFUNCTION("""COMPUTED_VALUE"""),"Excellent")</f>
        <v>Excellent</v>
      </c>
      <c r="Y3312" s="182" t="str">
        <f>IFERROR(__xludf.DUMMYFUNCTION("""COMPUTED_VALUE"""),"Excellent")</f>
        <v>Excellent</v>
      </c>
      <c r="Z3312" s="182" t="str">
        <f>IFERROR(__xludf.DUMMYFUNCTION("""COMPUTED_VALUE"""),"Excellent")</f>
        <v>Excellent</v>
      </c>
      <c r="AA3312" s="182" t="str">
        <f>IFERROR(__xludf.DUMMYFUNCTION("""COMPUTED_VALUE"""),"Excellent")</f>
        <v>Excellent</v>
      </c>
      <c r="AB3312" s="182" t="str">
        <f>IFERROR(__xludf.DUMMYFUNCTION("""COMPUTED_VALUE"""),"Very Good")</f>
        <v>Very Good</v>
      </c>
      <c r="AC3312" s="183"/>
      <c r="AD3312" s="183"/>
      <c r="AE3312" s="183"/>
      <c r="AF3312" s="184"/>
      <c r="AG3312" s="180"/>
      <c r="AH3312" s="185">
        <f>IFERROR(__xludf.DUMMYFUNCTION("""COMPUTED_VALUE"""),43328.93623439815)</f>
        <v>43328.93623</v>
      </c>
      <c r="AI3312" s="182"/>
      <c r="AJ3312" s="182"/>
      <c r="AK3312" s="182"/>
      <c r="AL3312" s="182"/>
    </row>
    <row r="3313" ht="20.25" customHeight="1">
      <c r="A3313" s="169" t="str">
        <f>IFERROR(__xludf.DUMMYFUNCTION("""COMPUTED_VALUE"""),"xboxslacker")</f>
        <v>xboxslacker</v>
      </c>
      <c r="B3313" s="170" t="str">
        <f>IFERROR(__xludf.DUMMYFUNCTION("""COMPUTED_VALUE"""),"Seattle")</f>
        <v>Seattle</v>
      </c>
      <c r="C3313" s="170" t="str">
        <f>IFERROR(__xludf.DUMMYFUNCTION("""COMPUTED_VALUE"""),"WA")</f>
        <v>WA</v>
      </c>
      <c r="D3313" s="170" t="str">
        <f>IFERROR(__xludf.DUMMYFUNCTION("""COMPUTED_VALUE"""),"USA")</f>
        <v>USA</v>
      </c>
      <c r="E3313" s="171">
        <f>IFERROR(__xludf.DUMMYFUNCTION("""COMPUTED_VALUE"""),43277.0)</f>
        <v>43277</v>
      </c>
      <c r="F3313" s="172">
        <f>IFERROR(__xludf.DUMMYFUNCTION("""COMPUTED_VALUE"""),43332.0)</f>
        <v>43332</v>
      </c>
      <c r="G3313" s="173"/>
      <c r="H3313" s="174">
        <f>IFERROR(__xludf.DUMMYFUNCTION("""COMPUTED_VALUE"""),72255.0)</f>
        <v>72255</v>
      </c>
      <c r="I3313" s="175" t="str">
        <f>IFERROR(__xludf.DUMMYFUNCTION("""COMPUTED_VALUE"""),"08/18")</f>
        <v>08/18</v>
      </c>
      <c r="J3313" s="172">
        <f>IFERROR(__xludf.DUMMYFUNCTION("""COMPUTED_VALUE"""),43342.0)</f>
        <v>43342</v>
      </c>
      <c r="K3313" s="176">
        <f>IFERROR(__xludf.DUMMYFUNCTION("""COMPUTED_VALUE"""),55.0)</f>
        <v>55</v>
      </c>
      <c r="L3313" s="176">
        <f>IFERROR(__xludf.DUMMYFUNCTION("""COMPUTED_VALUE"""),10.0)</f>
        <v>10</v>
      </c>
      <c r="M3313" s="176">
        <f>IFERROR(__xludf.DUMMYFUNCTION("""COMPUTED_VALUE"""),65.0)</f>
        <v>65</v>
      </c>
      <c r="N3313" s="177" t="str">
        <f>IFERROR(__xludf.DUMMYFUNCTION("""COMPUTED_VALUE"""),"Model 3 Performance")</f>
        <v>Model 3 Performance</v>
      </c>
      <c r="O3313" s="177" t="str">
        <f>IFERROR(__xludf.DUMMYFUNCTION("""COMPUTED_VALUE"""),"Deep Blue Metallic")</f>
        <v>Deep Blue Metallic</v>
      </c>
      <c r="P3313" s="178" t="str">
        <f>IFERROR(__xludf.DUMMYFUNCTION("""COMPUTED_VALUE"""),"20 inch Sport")</f>
        <v>20 inch Sport</v>
      </c>
      <c r="Q3313" s="177" t="str">
        <f>IFERROR(__xludf.DUMMYFUNCTION("""COMPUTED_VALUE"""),"Black seats")</f>
        <v>Black seats</v>
      </c>
      <c r="R3313" s="170" t="str">
        <f>IFERROR(__xludf.DUMMYFUNCTION("""COMPUTED_VALUE"""),"Enhanced Autopilot")</f>
        <v>Enhanced Autopilot</v>
      </c>
      <c r="S3313" s="170"/>
      <c r="T3313" s="179"/>
      <c r="U3313" s="179"/>
      <c r="V3313" s="179"/>
      <c r="W3313" s="180"/>
      <c r="X3313" s="181" t="str">
        <f>IFERROR(__xludf.DUMMYFUNCTION("""COMPUTED_VALUE"""),"Excellent")</f>
        <v>Excellent</v>
      </c>
      <c r="Y3313" s="182" t="str">
        <f>IFERROR(__xludf.DUMMYFUNCTION("""COMPUTED_VALUE"""),"Excellent")</f>
        <v>Excellent</v>
      </c>
      <c r="Z3313" s="182" t="str">
        <f>IFERROR(__xludf.DUMMYFUNCTION("""COMPUTED_VALUE"""),"Excellent")</f>
        <v>Excellent</v>
      </c>
      <c r="AA3313" s="182" t="str">
        <f>IFERROR(__xludf.DUMMYFUNCTION("""COMPUTED_VALUE"""),"Very Good")</f>
        <v>Very Good</v>
      </c>
      <c r="AB3313" s="182" t="str">
        <f>IFERROR(__xludf.DUMMYFUNCTION("""COMPUTED_VALUE"""),"Very Good")</f>
        <v>Very Good</v>
      </c>
      <c r="AC3313" s="183"/>
      <c r="AD3313" s="183"/>
      <c r="AE3313" s="183"/>
      <c r="AF3313" s="184"/>
      <c r="AG3313" s="180"/>
      <c r="AH3313" s="185">
        <f>IFERROR(__xludf.DUMMYFUNCTION("""COMPUTED_VALUE"""),43344.91305768519)</f>
        <v>43344.91306</v>
      </c>
      <c r="AI3313" s="182"/>
      <c r="AJ3313" s="182"/>
      <c r="AK3313" s="182"/>
      <c r="AL3313" s="182"/>
    </row>
    <row r="3314" ht="20.25" customHeight="1">
      <c r="A3314" s="169" t="str">
        <f>IFERROR(__xludf.DUMMYFUNCTION("""COMPUTED_VALUE"""),"Xelloss99")</f>
        <v>Xelloss99</v>
      </c>
      <c r="B3314" s="170" t="str">
        <f>IFERROR(__xludf.DUMMYFUNCTION("""COMPUTED_VALUE"""),"Edmonton")</f>
        <v>Edmonton</v>
      </c>
      <c r="C3314" s="170" t="str">
        <f>IFERROR(__xludf.DUMMYFUNCTION("""COMPUTED_VALUE"""),"AB")</f>
        <v>AB</v>
      </c>
      <c r="D3314" s="170" t="str">
        <f>IFERROR(__xludf.DUMMYFUNCTION("""COMPUTED_VALUE"""),"Canada")</f>
        <v>Canada</v>
      </c>
      <c r="E3314" s="171">
        <f>IFERROR(__xludf.DUMMYFUNCTION("""COMPUTED_VALUE"""),43277.0)</f>
        <v>43277</v>
      </c>
      <c r="F3314" s="172">
        <f>IFERROR(__xludf.DUMMYFUNCTION("""COMPUTED_VALUE"""),43349.0)</f>
        <v>43349</v>
      </c>
      <c r="G3314" s="173"/>
      <c r="H3314" s="174">
        <f>IFERROR(__xludf.DUMMYFUNCTION("""COMPUTED_VALUE"""),107155.0)</f>
        <v>107155</v>
      </c>
      <c r="I3314" s="175" t="str">
        <f>IFERROR(__xludf.DUMMYFUNCTION("""COMPUTED_VALUE"""),"09/18")</f>
        <v>09/18</v>
      </c>
      <c r="J3314" s="172">
        <f>IFERROR(__xludf.DUMMYFUNCTION("""COMPUTED_VALUE"""),43358.0)</f>
        <v>43358</v>
      </c>
      <c r="K3314" s="176">
        <f>IFERROR(__xludf.DUMMYFUNCTION("""COMPUTED_VALUE"""),72.0)</f>
        <v>72</v>
      </c>
      <c r="L3314" s="176">
        <f>IFERROR(__xludf.DUMMYFUNCTION("""COMPUTED_VALUE"""),9.0)</f>
        <v>9</v>
      </c>
      <c r="M3314" s="176">
        <f>IFERROR(__xludf.DUMMYFUNCTION("""COMPUTED_VALUE"""),81.0)</f>
        <v>81</v>
      </c>
      <c r="N3314" s="177" t="str">
        <f>IFERROR(__xludf.DUMMYFUNCTION("""COMPUTED_VALUE"""),"Model 3 LR AWD")</f>
        <v>Model 3 LR AWD</v>
      </c>
      <c r="O3314" s="177" t="str">
        <f>IFERROR(__xludf.DUMMYFUNCTION("""COMPUTED_VALUE"""),"Deep Blue Metallic")</f>
        <v>Deep Blue Metallic</v>
      </c>
      <c r="P3314" s="178" t="str">
        <f>IFERROR(__xludf.DUMMYFUNCTION("""COMPUTED_VALUE"""),"18 inch Aero")</f>
        <v>18 inch Aero</v>
      </c>
      <c r="Q3314" s="177" t="str">
        <f>IFERROR(__xludf.DUMMYFUNCTION("""COMPUTED_VALUE"""),"Black seats")</f>
        <v>Black seats</v>
      </c>
      <c r="R3314" s="170" t="str">
        <f>IFERROR(__xludf.DUMMYFUNCTION("""COMPUTED_VALUE"""),"Full Self-Driving")</f>
        <v>Full Self-Driving</v>
      </c>
      <c r="S3314" s="170"/>
      <c r="T3314" s="179"/>
      <c r="U3314" s="179"/>
      <c r="V3314" s="179"/>
      <c r="W3314" s="180"/>
      <c r="X3314" s="181" t="str">
        <f>IFERROR(__xludf.DUMMYFUNCTION("""COMPUTED_VALUE"""),"Excellent")</f>
        <v>Excellent</v>
      </c>
      <c r="Y3314" s="182" t="str">
        <f>IFERROR(__xludf.DUMMYFUNCTION("""COMPUTED_VALUE"""),"Excellent")</f>
        <v>Excellent</v>
      </c>
      <c r="Z3314" s="182" t="str">
        <f>IFERROR(__xludf.DUMMYFUNCTION("""COMPUTED_VALUE"""),"Very Good")</f>
        <v>Very Good</v>
      </c>
      <c r="AA3314" s="182" t="str">
        <f>IFERROR(__xludf.DUMMYFUNCTION("""COMPUTED_VALUE"""),"Fair")</f>
        <v>Fair</v>
      </c>
      <c r="AB3314" s="182" t="str">
        <f>IFERROR(__xludf.DUMMYFUNCTION("""COMPUTED_VALUE"""),"Good")</f>
        <v>Good</v>
      </c>
      <c r="AC3314" s="183">
        <f>IFERROR(__xludf.DUMMYFUNCTION("""COMPUTED_VALUE"""),1.0)</f>
        <v>1</v>
      </c>
      <c r="AD3314" s="183">
        <f>IFERROR(__xludf.DUMMYFUNCTION("""COMPUTED_VALUE"""),0.0)</f>
        <v>0</v>
      </c>
      <c r="AE3314" s="183">
        <f>IFERROR(__xludf.DUMMYFUNCTION("""COMPUTED_VALUE"""),0.0)</f>
        <v>0</v>
      </c>
      <c r="AF3314" s="184"/>
      <c r="AG3314" s="180"/>
      <c r="AH3314" s="185">
        <f>IFERROR(__xludf.DUMMYFUNCTION("""COMPUTED_VALUE"""),43366.299245277776)</f>
        <v>43366.29925</v>
      </c>
      <c r="AI3314" s="182"/>
      <c r="AJ3314" s="182"/>
      <c r="AK3314" s="182"/>
      <c r="AL3314" s="182"/>
    </row>
    <row r="3315" ht="20.25" customHeight="1">
      <c r="A3315" s="169" t="str">
        <f>IFERROR(__xludf.DUMMYFUNCTION("""COMPUTED_VALUE"""),"JGriffith")</f>
        <v>JGriffith</v>
      </c>
      <c r="B3315" s="170" t="str">
        <f>IFERROR(__xludf.DUMMYFUNCTION("""COMPUTED_VALUE"""),"Tampa")</f>
        <v>Tampa</v>
      </c>
      <c r="C3315" s="170" t="str">
        <f>IFERROR(__xludf.DUMMYFUNCTION("""COMPUTED_VALUE"""),"FL")</f>
        <v>FL</v>
      </c>
      <c r="D3315" s="170" t="str">
        <f>IFERROR(__xludf.DUMMYFUNCTION("""COMPUTED_VALUE"""),"USA")</f>
        <v>USA</v>
      </c>
      <c r="E3315" s="171">
        <f>IFERROR(__xludf.DUMMYFUNCTION("""COMPUTED_VALUE"""),43276.0)</f>
        <v>43276</v>
      </c>
      <c r="F3315" s="172">
        <f>IFERROR(__xludf.DUMMYFUNCTION("""COMPUTED_VALUE"""),43283.0)</f>
        <v>43283</v>
      </c>
      <c r="G3315" s="173"/>
      <c r="H3315" s="174">
        <f>IFERROR(__xludf.DUMMYFUNCTION("""COMPUTED_VALUE"""),32455.0)</f>
        <v>32455</v>
      </c>
      <c r="I3315" s="175" t="str">
        <f>IFERROR(__xludf.DUMMYFUNCTION("""COMPUTED_VALUE"""),"06/18")</f>
        <v>06/18</v>
      </c>
      <c r="J3315" s="172">
        <f>IFERROR(__xludf.DUMMYFUNCTION("""COMPUTED_VALUE"""),43288.0)</f>
        <v>43288</v>
      </c>
      <c r="K3315" s="176">
        <f>IFERROR(__xludf.DUMMYFUNCTION("""COMPUTED_VALUE"""),7.0)</f>
        <v>7</v>
      </c>
      <c r="L3315" s="176">
        <f>IFERROR(__xludf.DUMMYFUNCTION("""COMPUTED_VALUE"""),5.0)</f>
        <v>5</v>
      </c>
      <c r="M3315" s="176">
        <f>IFERROR(__xludf.DUMMYFUNCTION("""COMPUTED_VALUE"""),12.0)</f>
        <v>12</v>
      </c>
      <c r="N3315" s="177" t="str">
        <f>IFERROR(__xludf.DUMMYFUNCTION("""COMPUTED_VALUE"""),"Model 3 LR")</f>
        <v>Model 3 LR</v>
      </c>
      <c r="O3315" s="177" t="str">
        <f>IFERROR(__xludf.DUMMYFUNCTION("""COMPUTED_VALUE"""),"Red Multi-Coat")</f>
        <v>Red Multi-Coat</v>
      </c>
      <c r="P3315" s="178" t="str">
        <f>IFERROR(__xludf.DUMMYFUNCTION("""COMPUTED_VALUE"""),"18 inch Aero")</f>
        <v>18 inch Aero</v>
      </c>
      <c r="Q3315" s="177" t="str">
        <f>IFERROR(__xludf.DUMMYFUNCTION("""COMPUTED_VALUE"""),"Black seats")</f>
        <v>Black seats</v>
      </c>
      <c r="R3315" s="170" t="str">
        <f>IFERROR(__xludf.DUMMYFUNCTION("""COMPUTED_VALUE"""),"None")</f>
        <v>None</v>
      </c>
      <c r="S3315" s="170"/>
      <c r="T3315" s="179"/>
      <c r="U3315" s="179"/>
      <c r="V3315" s="179"/>
      <c r="W3315" s="180"/>
      <c r="X3315" s="181" t="str">
        <f>IFERROR(__xludf.DUMMYFUNCTION("""COMPUTED_VALUE"""),"Very Good")</f>
        <v>Very Good</v>
      </c>
      <c r="Y3315" s="182" t="str">
        <f>IFERROR(__xludf.DUMMYFUNCTION("""COMPUTED_VALUE"""),"Very Good")</f>
        <v>Very Good</v>
      </c>
      <c r="Z3315" s="182" t="str">
        <f>IFERROR(__xludf.DUMMYFUNCTION("""COMPUTED_VALUE"""),"Very Good")</f>
        <v>Very Good</v>
      </c>
      <c r="AA3315" s="182" t="str">
        <f>IFERROR(__xludf.DUMMYFUNCTION("""COMPUTED_VALUE"""),"Fair")</f>
        <v>Fair</v>
      </c>
      <c r="AB3315" s="182" t="str">
        <f>IFERROR(__xludf.DUMMYFUNCTION("""COMPUTED_VALUE"""),"Fair")</f>
        <v>Fair</v>
      </c>
      <c r="AC3315" s="183"/>
      <c r="AD3315" s="183"/>
      <c r="AE3315" s="183"/>
      <c r="AF3315" s="184"/>
      <c r="AG3315" s="180"/>
      <c r="AH3315" s="185">
        <f>IFERROR(__xludf.DUMMYFUNCTION("""COMPUTED_VALUE"""),43290.40679331018)</f>
        <v>43290.40679</v>
      </c>
      <c r="AI3315" s="182"/>
      <c r="AJ3315" s="182"/>
      <c r="AK3315" s="182"/>
      <c r="AL3315" s="182"/>
    </row>
    <row r="3316" ht="20.25" customHeight="1">
      <c r="A3316" s="169" t="str">
        <f>IFERROR(__xludf.DUMMYFUNCTION("""COMPUTED_VALUE"""),"matthewbhertz")</f>
        <v>matthewbhertz</v>
      </c>
      <c r="B3316" s="170" t="str">
        <f>IFERROR(__xludf.DUMMYFUNCTION("""COMPUTED_VALUE"""),"Saint Paul")</f>
        <v>Saint Paul</v>
      </c>
      <c r="C3316" s="170" t="str">
        <f>IFERROR(__xludf.DUMMYFUNCTION("""COMPUTED_VALUE"""),"MN")</f>
        <v>MN</v>
      </c>
      <c r="D3316" s="170" t="str">
        <f>IFERROR(__xludf.DUMMYFUNCTION("""COMPUTED_VALUE"""),"USA")</f>
        <v>USA</v>
      </c>
      <c r="E3316" s="171">
        <f>IFERROR(__xludf.DUMMYFUNCTION("""COMPUTED_VALUE"""),43276.0)</f>
        <v>43276</v>
      </c>
      <c r="F3316" s="172">
        <f>IFERROR(__xludf.DUMMYFUNCTION("""COMPUTED_VALUE"""),43292.0)</f>
        <v>43292</v>
      </c>
      <c r="G3316" s="173"/>
      <c r="H3316" s="174">
        <f>IFERROR(__xludf.DUMMYFUNCTION("""COMPUTED_VALUE"""),32499.0)</f>
        <v>32499</v>
      </c>
      <c r="I3316" s="175" t="str">
        <f>IFERROR(__xludf.DUMMYFUNCTION("""COMPUTED_VALUE"""),"07/18")</f>
        <v>07/18</v>
      </c>
      <c r="J3316" s="172">
        <f>IFERROR(__xludf.DUMMYFUNCTION("""COMPUTED_VALUE"""),43142.0)</f>
        <v>43142</v>
      </c>
      <c r="K3316" s="176">
        <f>IFERROR(__xludf.DUMMYFUNCTION("""COMPUTED_VALUE"""),16.0)</f>
        <v>16</v>
      </c>
      <c r="L3316" s="176"/>
      <c r="M3316" s="176"/>
      <c r="N3316" s="177" t="str">
        <f>IFERROR(__xludf.DUMMYFUNCTION("""COMPUTED_VALUE"""),"Model 3 LR")</f>
        <v>Model 3 LR</v>
      </c>
      <c r="O3316" s="177" t="str">
        <f>IFERROR(__xludf.DUMMYFUNCTION("""COMPUTED_VALUE"""),"Deep Blue Metallic")</f>
        <v>Deep Blue Metallic</v>
      </c>
      <c r="P3316" s="178" t="str">
        <f>IFERROR(__xludf.DUMMYFUNCTION("""COMPUTED_VALUE"""),"18 inch Aero")</f>
        <v>18 inch Aero</v>
      </c>
      <c r="Q3316" s="177" t="str">
        <f>IFERROR(__xludf.DUMMYFUNCTION("""COMPUTED_VALUE"""),"Black seats")</f>
        <v>Black seats</v>
      </c>
      <c r="R3316" s="170" t="str">
        <f>IFERROR(__xludf.DUMMYFUNCTION("""COMPUTED_VALUE"""),"None")</f>
        <v>None</v>
      </c>
      <c r="S3316" s="170"/>
      <c r="T3316" s="179"/>
      <c r="U3316" s="179"/>
      <c r="V3316" s="179"/>
      <c r="W3316" s="180"/>
      <c r="X3316" s="181" t="str">
        <f>IFERROR(__xludf.DUMMYFUNCTION("""COMPUTED_VALUE"""),"Excellent")</f>
        <v>Excellent</v>
      </c>
      <c r="Y3316" s="182" t="str">
        <f>IFERROR(__xludf.DUMMYFUNCTION("""COMPUTED_VALUE"""),"Very Good")</f>
        <v>Very Good</v>
      </c>
      <c r="Z3316" s="182" t="str">
        <f>IFERROR(__xludf.DUMMYFUNCTION("""COMPUTED_VALUE"""),"Excellent")</f>
        <v>Excellent</v>
      </c>
      <c r="AA3316" s="182" t="str">
        <f>IFERROR(__xludf.DUMMYFUNCTION("""COMPUTED_VALUE"""),"Very Good")</f>
        <v>Very Good</v>
      </c>
      <c r="AB3316" s="182" t="str">
        <f>IFERROR(__xludf.DUMMYFUNCTION("""COMPUTED_VALUE"""),"Excellent")</f>
        <v>Excellent</v>
      </c>
      <c r="AC3316" s="183">
        <f>IFERROR(__xludf.DUMMYFUNCTION("""COMPUTED_VALUE"""),0.0)</f>
        <v>0</v>
      </c>
      <c r="AD3316" s="183">
        <f>IFERROR(__xludf.DUMMYFUNCTION("""COMPUTED_VALUE"""),0.0)</f>
        <v>0</v>
      </c>
      <c r="AE3316" s="183"/>
      <c r="AF3316" s="184"/>
      <c r="AG3316" s="180"/>
      <c r="AH3316" s="185">
        <f>IFERROR(__xludf.DUMMYFUNCTION("""COMPUTED_VALUE"""),43499.385059548615)</f>
        <v>43499.38506</v>
      </c>
      <c r="AI3316" s="182"/>
      <c r="AJ3316" s="182"/>
      <c r="AK3316" s="182"/>
      <c r="AL3316" s="182"/>
    </row>
    <row r="3317" ht="20.25" customHeight="1">
      <c r="A3317" s="169" t="str">
        <f>IFERROR(__xludf.DUMMYFUNCTION("""COMPUTED_VALUE"""),"tslablublz")</f>
        <v>tslablublz</v>
      </c>
      <c r="B3317" s="170" t="str">
        <f>IFERROR(__xludf.DUMMYFUNCTION("""COMPUTED_VALUE"""),"Sacramento")</f>
        <v>Sacramento</v>
      </c>
      <c r="C3317" s="170" t="str">
        <f>IFERROR(__xludf.DUMMYFUNCTION("""COMPUTED_VALUE"""),"CA")</f>
        <v>CA</v>
      </c>
      <c r="D3317" s="170" t="str">
        <f>IFERROR(__xludf.DUMMYFUNCTION("""COMPUTED_VALUE"""),"USA")</f>
        <v>USA</v>
      </c>
      <c r="E3317" s="171">
        <f>IFERROR(__xludf.DUMMYFUNCTION("""COMPUTED_VALUE"""),43276.0)</f>
        <v>43276</v>
      </c>
      <c r="F3317" s="172">
        <f>IFERROR(__xludf.DUMMYFUNCTION("""COMPUTED_VALUE"""),43293.0)</f>
        <v>43293</v>
      </c>
      <c r="G3317" s="173"/>
      <c r="H3317" s="174">
        <f>IFERROR(__xludf.DUMMYFUNCTION("""COMPUTED_VALUE"""),37852.0)</f>
        <v>37852</v>
      </c>
      <c r="I3317" s="175"/>
      <c r="J3317" s="172">
        <f>IFERROR(__xludf.DUMMYFUNCTION("""COMPUTED_VALUE"""),43316.0)</f>
        <v>43316</v>
      </c>
      <c r="K3317" s="176">
        <f>IFERROR(__xludf.DUMMYFUNCTION("""COMPUTED_VALUE"""),17.0)</f>
        <v>17</v>
      </c>
      <c r="L3317" s="176">
        <f>IFERROR(__xludf.DUMMYFUNCTION("""COMPUTED_VALUE"""),23.0)</f>
        <v>23</v>
      </c>
      <c r="M3317" s="176">
        <f>IFERROR(__xludf.DUMMYFUNCTION("""COMPUTED_VALUE"""),40.0)</f>
        <v>40</v>
      </c>
      <c r="N3317" s="177" t="str">
        <f>IFERROR(__xludf.DUMMYFUNCTION("""COMPUTED_VALUE"""),"Model 3 LR")</f>
        <v>Model 3 LR</v>
      </c>
      <c r="O3317" s="177" t="str">
        <f>IFERROR(__xludf.DUMMYFUNCTION("""COMPUTED_VALUE"""),"Midnight Silver Metallic")</f>
        <v>Midnight Silver Metallic</v>
      </c>
      <c r="P3317" s="178" t="str">
        <f>IFERROR(__xludf.DUMMYFUNCTION("""COMPUTED_VALUE"""),"19 inch Sport")</f>
        <v>19 inch Sport</v>
      </c>
      <c r="Q3317" s="177" t="str">
        <f>IFERROR(__xludf.DUMMYFUNCTION("""COMPUTED_VALUE"""),"Black seats")</f>
        <v>Black seats</v>
      </c>
      <c r="R3317" s="170" t="str">
        <f>IFERROR(__xludf.DUMMYFUNCTION("""COMPUTED_VALUE"""),"None")</f>
        <v>None</v>
      </c>
      <c r="S3317" s="170"/>
      <c r="T3317" s="179"/>
      <c r="U3317" s="179"/>
      <c r="V3317" s="179"/>
      <c r="W3317" s="180"/>
      <c r="X3317" s="181" t="str">
        <f>IFERROR(__xludf.DUMMYFUNCTION("""COMPUTED_VALUE"""),"Very Good")</f>
        <v>Very Good</v>
      </c>
      <c r="Y3317" s="182" t="str">
        <f>IFERROR(__xludf.DUMMYFUNCTION("""COMPUTED_VALUE"""),"Very Good")</f>
        <v>Very Good</v>
      </c>
      <c r="Z3317" s="182" t="str">
        <f>IFERROR(__xludf.DUMMYFUNCTION("""COMPUTED_VALUE"""),"Good")</f>
        <v>Good</v>
      </c>
      <c r="AA3317" s="182" t="str">
        <f>IFERROR(__xludf.DUMMYFUNCTION("""COMPUTED_VALUE"""),"Very Good")</f>
        <v>Very Good</v>
      </c>
      <c r="AB3317" s="182" t="str">
        <f>IFERROR(__xludf.DUMMYFUNCTION("""COMPUTED_VALUE"""),"Good")</f>
        <v>Good</v>
      </c>
      <c r="AC3317" s="183"/>
      <c r="AD3317" s="183"/>
      <c r="AE3317" s="183"/>
      <c r="AF3317" s="184"/>
      <c r="AG3317" s="180"/>
      <c r="AH3317" s="185">
        <f>IFERROR(__xludf.DUMMYFUNCTION("""COMPUTED_VALUE"""),43324.400007337965)</f>
        <v>43324.40001</v>
      </c>
      <c r="AI3317" s="182"/>
      <c r="AJ3317" s="182"/>
      <c r="AK3317" s="182"/>
      <c r="AL3317" s="182"/>
    </row>
    <row r="3318" ht="20.25" customHeight="1">
      <c r="A3318" s="169" t="str">
        <f>IFERROR(__xludf.DUMMYFUNCTION("""COMPUTED_VALUE"""),"Beavis")</f>
        <v>Beavis</v>
      </c>
      <c r="B3318" s="170" t="str">
        <f>IFERROR(__xludf.DUMMYFUNCTION("""COMPUTED_VALUE"""),"Parker")</f>
        <v>Parker</v>
      </c>
      <c r="C3318" s="170" t="str">
        <f>IFERROR(__xludf.DUMMYFUNCTION("""COMPUTED_VALUE"""),"CO")</f>
        <v>CO</v>
      </c>
      <c r="D3318" s="170" t="str">
        <f>IFERROR(__xludf.DUMMYFUNCTION("""COMPUTED_VALUE"""),"USA")</f>
        <v>USA</v>
      </c>
      <c r="E3318" s="171">
        <f>IFERROR(__xludf.DUMMYFUNCTION("""COMPUTED_VALUE"""),43275.0)</f>
        <v>43275</v>
      </c>
      <c r="F3318" s="172">
        <f>IFERROR(__xludf.DUMMYFUNCTION("""COMPUTED_VALUE"""),43343.0)</f>
        <v>43343</v>
      </c>
      <c r="G3318" s="173"/>
      <c r="H3318" s="174">
        <f>IFERROR(__xludf.DUMMYFUNCTION("""COMPUTED_VALUE"""),69590.0)</f>
        <v>69590</v>
      </c>
      <c r="I3318" s="175"/>
      <c r="J3318" s="172">
        <f>IFERROR(__xludf.DUMMYFUNCTION("""COMPUTED_VALUE"""),43351.0)</f>
        <v>43351</v>
      </c>
      <c r="K3318" s="176">
        <f>IFERROR(__xludf.DUMMYFUNCTION("""COMPUTED_VALUE"""),68.0)</f>
        <v>68</v>
      </c>
      <c r="L3318" s="176">
        <f>IFERROR(__xludf.DUMMYFUNCTION("""COMPUTED_VALUE"""),8.0)</f>
        <v>8</v>
      </c>
      <c r="M3318" s="176">
        <f>IFERROR(__xludf.DUMMYFUNCTION("""COMPUTED_VALUE"""),76.0)</f>
        <v>76</v>
      </c>
      <c r="N3318" s="177" t="str">
        <f>IFERROR(__xludf.DUMMYFUNCTION("""COMPUTED_VALUE"""),"Model 3 LR AWD")</f>
        <v>Model 3 LR AWD</v>
      </c>
      <c r="O3318" s="177" t="str">
        <f>IFERROR(__xludf.DUMMYFUNCTION("""COMPUTED_VALUE"""),"Red Multi-Coat")</f>
        <v>Red Multi-Coat</v>
      </c>
      <c r="P3318" s="178" t="str">
        <f>IFERROR(__xludf.DUMMYFUNCTION("""COMPUTED_VALUE"""),"18 inch Aero")</f>
        <v>18 inch Aero</v>
      </c>
      <c r="Q3318" s="177" t="str">
        <f>IFERROR(__xludf.DUMMYFUNCTION("""COMPUTED_VALUE"""),"Black seats")</f>
        <v>Black seats</v>
      </c>
      <c r="R3318" s="170" t="str">
        <f>IFERROR(__xludf.DUMMYFUNCTION("""COMPUTED_VALUE"""),"Enhanced Autopilot")</f>
        <v>Enhanced Autopilot</v>
      </c>
      <c r="S3318" s="170"/>
      <c r="T3318" s="179"/>
      <c r="U3318" s="179"/>
      <c r="V3318" s="179"/>
      <c r="W3318" s="180"/>
      <c r="X3318" s="181" t="str">
        <f>IFERROR(__xludf.DUMMYFUNCTION("""COMPUTED_VALUE"""),"Very Good")</f>
        <v>Very Good</v>
      </c>
      <c r="Y3318" s="182" t="str">
        <f>IFERROR(__xludf.DUMMYFUNCTION("""COMPUTED_VALUE"""),"Excellent")</f>
        <v>Excellent</v>
      </c>
      <c r="Z3318" s="182" t="str">
        <f>IFERROR(__xludf.DUMMYFUNCTION("""COMPUTED_VALUE"""),"Excellent")</f>
        <v>Excellent</v>
      </c>
      <c r="AA3318" s="182" t="str">
        <f>IFERROR(__xludf.DUMMYFUNCTION("""COMPUTED_VALUE"""),"Very Good")</f>
        <v>Very Good</v>
      </c>
      <c r="AB3318" s="182" t="str">
        <f>IFERROR(__xludf.DUMMYFUNCTION("""COMPUTED_VALUE"""),"Very Good")</f>
        <v>Very Good</v>
      </c>
      <c r="AC3318" s="183">
        <f>IFERROR(__xludf.DUMMYFUNCTION("""COMPUTED_VALUE"""),1.0)</f>
        <v>1</v>
      </c>
      <c r="AD3318" s="183">
        <f>IFERROR(__xludf.DUMMYFUNCTION("""COMPUTED_VALUE"""),0.0)</f>
        <v>0</v>
      </c>
      <c r="AE3318" s="183">
        <f>IFERROR(__xludf.DUMMYFUNCTION("""COMPUTED_VALUE"""),0.0)</f>
        <v>0</v>
      </c>
      <c r="AF3318" s="184"/>
      <c r="AG3318" s="180" t="str">
        <f>IFERROR(__xludf.DUMMYFUNCTION("""COMPUTED_VALUE"""),"A little bit of paint transfer on the rear bumper. Will rub off.")</f>
        <v>A little bit of paint transfer on the rear bumper. Will rub off.</v>
      </c>
      <c r="AH3318" s="185">
        <f>IFERROR(__xludf.DUMMYFUNCTION("""COMPUTED_VALUE"""),43351.51083650463)</f>
        <v>43351.51084</v>
      </c>
      <c r="AI3318" s="182"/>
      <c r="AJ3318" s="182"/>
      <c r="AK3318" s="182"/>
      <c r="AL3318" s="182"/>
    </row>
    <row r="3319" ht="20.25" customHeight="1">
      <c r="A3319" s="169" t="str">
        <f>IFERROR(__xludf.DUMMYFUNCTION("""COMPUTED_VALUE"""),"mysteriousfist")</f>
        <v>mysteriousfist</v>
      </c>
      <c r="B3319" s="170" t="str">
        <f>IFERROR(__xludf.DUMMYFUNCTION("""COMPUTED_VALUE"""),"San Jose")</f>
        <v>San Jose</v>
      </c>
      <c r="C3319" s="170" t="str">
        <f>IFERROR(__xludf.DUMMYFUNCTION("""COMPUTED_VALUE"""),"CA")</f>
        <v>CA</v>
      </c>
      <c r="D3319" s="170" t="str">
        <f>IFERROR(__xludf.DUMMYFUNCTION("""COMPUTED_VALUE"""),"USA")</f>
        <v>USA</v>
      </c>
      <c r="E3319" s="171">
        <f>IFERROR(__xludf.DUMMYFUNCTION("""COMPUTED_VALUE"""),43275.0)</f>
        <v>43275</v>
      </c>
      <c r="F3319" s="172">
        <f>IFERROR(__xludf.DUMMYFUNCTION("""COMPUTED_VALUE"""),43298.0)</f>
        <v>43298</v>
      </c>
      <c r="G3319" s="173"/>
      <c r="H3319" s="174">
        <f>IFERROR(__xludf.DUMMYFUNCTION("""COMPUTED_VALUE"""),49055.0)</f>
        <v>49055</v>
      </c>
      <c r="I3319" s="175"/>
      <c r="J3319" s="172">
        <f>IFERROR(__xludf.DUMMYFUNCTION("""COMPUTED_VALUE"""),43303.0)</f>
        <v>43303</v>
      </c>
      <c r="K3319" s="176">
        <f>IFERROR(__xludf.DUMMYFUNCTION("""COMPUTED_VALUE"""),23.0)</f>
        <v>23</v>
      </c>
      <c r="L3319" s="176">
        <f>IFERROR(__xludf.DUMMYFUNCTION("""COMPUTED_VALUE"""),5.0)</f>
        <v>5</v>
      </c>
      <c r="M3319" s="176">
        <f>IFERROR(__xludf.DUMMYFUNCTION("""COMPUTED_VALUE"""),28.0)</f>
        <v>28</v>
      </c>
      <c r="N3319" s="177" t="str">
        <f>IFERROR(__xludf.DUMMYFUNCTION("""COMPUTED_VALUE"""),"Model 3 LR")</f>
        <v>Model 3 LR</v>
      </c>
      <c r="O3319" s="177" t="str">
        <f>IFERROR(__xludf.DUMMYFUNCTION("""COMPUTED_VALUE"""),"Pearl White Multi-Coat")</f>
        <v>Pearl White Multi-Coat</v>
      </c>
      <c r="P3319" s="178" t="str">
        <f>IFERROR(__xludf.DUMMYFUNCTION("""COMPUTED_VALUE"""),"19 inch Sport")</f>
        <v>19 inch Sport</v>
      </c>
      <c r="Q3319" s="177" t="str">
        <f>IFERROR(__xludf.DUMMYFUNCTION("""COMPUTED_VALUE"""),"Black seats")</f>
        <v>Black seats</v>
      </c>
      <c r="R3319" s="170" t="str">
        <f>IFERROR(__xludf.DUMMYFUNCTION("""COMPUTED_VALUE"""),"Enhanced Autopilot")</f>
        <v>Enhanced Autopilot</v>
      </c>
      <c r="S3319" s="170"/>
      <c r="T3319" s="179"/>
      <c r="U3319" s="179"/>
      <c r="V3319" s="179"/>
      <c r="W3319" s="180"/>
      <c r="X3319" s="181" t="str">
        <f>IFERROR(__xludf.DUMMYFUNCTION("""COMPUTED_VALUE"""),"Very Good")</f>
        <v>Very Good</v>
      </c>
      <c r="Y3319" s="182" t="str">
        <f>IFERROR(__xludf.DUMMYFUNCTION("""COMPUTED_VALUE"""),"Very Good")</f>
        <v>Very Good</v>
      </c>
      <c r="Z3319" s="182" t="str">
        <f>IFERROR(__xludf.DUMMYFUNCTION("""COMPUTED_VALUE"""),"Very Good")</f>
        <v>Very Good</v>
      </c>
      <c r="AA3319" s="182" t="str">
        <f>IFERROR(__xludf.DUMMYFUNCTION("""COMPUTED_VALUE"""),"Good")</f>
        <v>Good</v>
      </c>
      <c r="AB3319" s="182" t="str">
        <f>IFERROR(__xludf.DUMMYFUNCTION("""COMPUTED_VALUE"""),"Very Good")</f>
        <v>Very Good</v>
      </c>
      <c r="AC3319" s="183"/>
      <c r="AD3319" s="183"/>
      <c r="AE3319" s="183"/>
      <c r="AF3319" s="184"/>
      <c r="AG3319" s="180"/>
      <c r="AH3319" s="185">
        <f>IFERROR(__xludf.DUMMYFUNCTION("""COMPUTED_VALUE"""),43303.74939035879)</f>
        <v>43303.74939</v>
      </c>
      <c r="AI3319" s="182"/>
      <c r="AJ3319" s="182"/>
      <c r="AK3319" s="182"/>
      <c r="AL3319" s="182"/>
    </row>
    <row r="3320" ht="20.25" customHeight="1">
      <c r="A3320" s="169" t="str">
        <f>IFERROR(__xludf.DUMMYFUNCTION("""COMPUTED_VALUE"""),"Kvel")</f>
        <v>Kvel</v>
      </c>
      <c r="B3320" s="170" t="str">
        <f>IFERROR(__xludf.DUMMYFUNCTION("""COMPUTED_VALUE"""),"Hamilton")</f>
        <v>Hamilton</v>
      </c>
      <c r="C3320" s="170" t="str">
        <f>IFERROR(__xludf.DUMMYFUNCTION("""COMPUTED_VALUE"""),"ON")</f>
        <v>ON</v>
      </c>
      <c r="D3320" s="170" t="str">
        <f>IFERROR(__xludf.DUMMYFUNCTION("""COMPUTED_VALUE"""),"Canada")</f>
        <v>Canada</v>
      </c>
      <c r="E3320" s="171">
        <f>IFERROR(__xludf.DUMMYFUNCTION("""COMPUTED_VALUE"""),43271.0)</f>
        <v>43271</v>
      </c>
      <c r="F3320" s="172">
        <f>IFERROR(__xludf.DUMMYFUNCTION("""COMPUTED_VALUE"""),43336.0)</f>
        <v>43336</v>
      </c>
      <c r="G3320" s="173"/>
      <c r="H3320" s="174">
        <f>IFERROR(__xludf.DUMMYFUNCTION("""COMPUTED_VALUE"""),95755.0)</f>
        <v>95755</v>
      </c>
      <c r="I3320" s="175" t="str">
        <f>IFERROR(__xludf.DUMMYFUNCTION("""COMPUTED_VALUE"""),"08/18")</f>
        <v>08/18</v>
      </c>
      <c r="J3320" s="172">
        <f>IFERROR(__xludf.DUMMYFUNCTION("""COMPUTED_VALUE"""),43353.0)</f>
        <v>43353</v>
      </c>
      <c r="K3320" s="176">
        <f>IFERROR(__xludf.DUMMYFUNCTION("""COMPUTED_VALUE"""),65.0)</f>
        <v>65</v>
      </c>
      <c r="L3320" s="176">
        <f>IFERROR(__xludf.DUMMYFUNCTION("""COMPUTED_VALUE"""),17.0)</f>
        <v>17</v>
      </c>
      <c r="M3320" s="176">
        <f>IFERROR(__xludf.DUMMYFUNCTION("""COMPUTED_VALUE"""),82.0)</f>
        <v>82</v>
      </c>
      <c r="N3320" s="177" t="str">
        <f>IFERROR(__xludf.DUMMYFUNCTION("""COMPUTED_VALUE"""),"Model 3 LR")</f>
        <v>Model 3 LR</v>
      </c>
      <c r="O3320" s="177" t="str">
        <f>IFERROR(__xludf.DUMMYFUNCTION("""COMPUTED_VALUE"""),"Red Multi-Coat")</f>
        <v>Red Multi-Coat</v>
      </c>
      <c r="P3320" s="178" t="str">
        <f>IFERROR(__xludf.DUMMYFUNCTION("""COMPUTED_VALUE"""),"18 inch Aero")</f>
        <v>18 inch Aero</v>
      </c>
      <c r="Q3320" s="177" t="str">
        <f>IFERROR(__xludf.DUMMYFUNCTION("""COMPUTED_VALUE"""),"Black seats")</f>
        <v>Black seats</v>
      </c>
      <c r="R3320" s="170" t="str">
        <f>IFERROR(__xludf.DUMMYFUNCTION("""COMPUTED_VALUE"""),"None")</f>
        <v>None</v>
      </c>
      <c r="S3320" s="170"/>
      <c r="T3320" s="179"/>
      <c r="U3320" s="179"/>
      <c r="V3320" s="179"/>
      <c r="W3320" s="180"/>
      <c r="X3320" s="181" t="str">
        <f>IFERROR(__xludf.DUMMYFUNCTION("""COMPUTED_VALUE"""),"Good")</f>
        <v>Good</v>
      </c>
      <c r="Y3320" s="182" t="str">
        <f>IFERROR(__xludf.DUMMYFUNCTION("""COMPUTED_VALUE"""),"Very Good")</f>
        <v>Very Good</v>
      </c>
      <c r="Z3320" s="182" t="str">
        <f>IFERROR(__xludf.DUMMYFUNCTION("""COMPUTED_VALUE"""),"Good")</f>
        <v>Good</v>
      </c>
      <c r="AA3320" s="182" t="str">
        <f>IFERROR(__xludf.DUMMYFUNCTION("""COMPUTED_VALUE"""),"Good")</f>
        <v>Good</v>
      </c>
      <c r="AB3320" s="182" t="str">
        <f>IFERROR(__xludf.DUMMYFUNCTION("""COMPUTED_VALUE"""),"Very Good")</f>
        <v>Very Good</v>
      </c>
      <c r="AC3320" s="183">
        <f>IFERROR(__xludf.DUMMYFUNCTION("""COMPUTED_VALUE"""),3.0)</f>
        <v>3</v>
      </c>
      <c r="AD3320" s="183">
        <f>IFERROR(__xludf.DUMMYFUNCTION("""COMPUTED_VALUE"""),0.0)</f>
        <v>0</v>
      </c>
      <c r="AE3320" s="183">
        <f>IFERROR(__xludf.DUMMYFUNCTION("""COMPUTED_VALUE"""),0.0)</f>
        <v>0</v>
      </c>
      <c r="AF3320" s="184"/>
      <c r="AG3320" s="180"/>
      <c r="AH3320" s="185">
        <f>IFERROR(__xludf.DUMMYFUNCTION("""COMPUTED_VALUE"""),43476.43057246528)</f>
        <v>43476.43057</v>
      </c>
      <c r="AI3320" s="182"/>
      <c r="AJ3320" s="182"/>
      <c r="AK3320" s="182"/>
      <c r="AL3320" s="182"/>
    </row>
    <row r="3321" ht="20.25" customHeight="1">
      <c r="A3321" s="169" t="str">
        <f>IFERROR(__xludf.DUMMYFUNCTION("""COMPUTED_VALUE"""),"tkamb60")</f>
        <v>tkamb60</v>
      </c>
      <c r="B3321" s="170" t="str">
        <f>IFERROR(__xludf.DUMMYFUNCTION("""COMPUTED_VALUE"""),"Toronto")</f>
        <v>Toronto</v>
      </c>
      <c r="C3321" s="170" t="str">
        <f>IFERROR(__xludf.DUMMYFUNCTION("""COMPUTED_VALUE"""),"ON")</f>
        <v>ON</v>
      </c>
      <c r="D3321" s="170" t="str">
        <f>IFERROR(__xludf.DUMMYFUNCTION("""COMPUTED_VALUE"""),"Canada")</f>
        <v>Canada</v>
      </c>
      <c r="E3321" s="171">
        <f>IFERROR(__xludf.DUMMYFUNCTION("""COMPUTED_VALUE"""),43271.0)</f>
        <v>43271</v>
      </c>
      <c r="F3321" s="172">
        <f>IFERROR(__xludf.DUMMYFUNCTION("""COMPUTED_VALUE"""),43272.0)</f>
        <v>43272</v>
      </c>
      <c r="G3321" s="173"/>
      <c r="H3321" s="174">
        <f>IFERROR(__xludf.DUMMYFUNCTION("""COMPUTED_VALUE"""),28755.0)</f>
        <v>28755</v>
      </c>
      <c r="I3321" s="175"/>
      <c r="J3321" s="172">
        <f>IFERROR(__xludf.DUMMYFUNCTION("""COMPUTED_VALUE"""),43301.0)</f>
        <v>43301</v>
      </c>
      <c r="K3321" s="176">
        <f>IFERROR(__xludf.DUMMYFUNCTION("""COMPUTED_VALUE"""),1.0)</f>
        <v>1</v>
      </c>
      <c r="L3321" s="176">
        <f>IFERROR(__xludf.DUMMYFUNCTION("""COMPUTED_VALUE"""),29.0)</f>
        <v>29</v>
      </c>
      <c r="M3321" s="176">
        <f>IFERROR(__xludf.DUMMYFUNCTION("""COMPUTED_VALUE"""),30.0)</f>
        <v>30</v>
      </c>
      <c r="N3321" s="177" t="str">
        <f>IFERROR(__xludf.DUMMYFUNCTION("""COMPUTED_VALUE"""),"Model 3 LR")</f>
        <v>Model 3 LR</v>
      </c>
      <c r="O3321" s="177" t="str">
        <f>IFERROR(__xludf.DUMMYFUNCTION("""COMPUTED_VALUE"""),"Midnight Silver Metallic")</f>
        <v>Midnight Silver Metallic</v>
      </c>
      <c r="P3321" s="178" t="str">
        <f>IFERROR(__xludf.DUMMYFUNCTION("""COMPUTED_VALUE"""),"18 inch Aero")</f>
        <v>18 inch Aero</v>
      </c>
      <c r="Q3321" s="177" t="str">
        <f>IFERROR(__xludf.DUMMYFUNCTION("""COMPUTED_VALUE"""),"Black seats")</f>
        <v>Black seats</v>
      </c>
      <c r="R3321" s="170" t="str">
        <f>IFERROR(__xludf.DUMMYFUNCTION("""COMPUTED_VALUE"""),"Enhanced Autopilot")</f>
        <v>Enhanced Autopilot</v>
      </c>
      <c r="S3321" s="170"/>
      <c r="T3321" s="179"/>
      <c r="U3321" s="179"/>
      <c r="V3321" s="179"/>
      <c r="W3321" s="180"/>
      <c r="X3321" s="181" t="str">
        <f>IFERROR(__xludf.DUMMYFUNCTION("""COMPUTED_VALUE"""),"Excellent")</f>
        <v>Excellent</v>
      </c>
      <c r="Y3321" s="182" t="str">
        <f>IFERROR(__xludf.DUMMYFUNCTION("""COMPUTED_VALUE"""),"Very Good")</f>
        <v>Very Good</v>
      </c>
      <c r="Z3321" s="182" t="str">
        <f>IFERROR(__xludf.DUMMYFUNCTION("""COMPUTED_VALUE"""),"Excellent")</f>
        <v>Excellent</v>
      </c>
      <c r="AA3321" s="182" t="str">
        <f>IFERROR(__xludf.DUMMYFUNCTION("""COMPUTED_VALUE"""),"Very Good")</f>
        <v>Very Good</v>
      </c>
      <c r="AB3321" s="182" t="str">
        <f>IFERROR(__xludf.DUMMYFUNCTION("""COMPUTED_VALUE"""),"Excellent")</f>
        <v>Excellent</v>
      </c>
      <c r="AC3321" s="183"/>
      <c r="AD3321" s="183"/>
      <c r="AE3321" s="183"/>
      <c r="AF3321" s="184"/>
      <c r="AG3321" s="180"/>
      <c r="AH3321" s="185">
        <f>IFERROR(__xludf.DUMMYFUNCTION("""COMPUTED_VALUE"""),43303.65968715278)</f>
        <v>43303.65969</v>
      </c>
      <c r="AI3321" s="182"/>
      <c r="AJ3321" s="182"/>
      <c r="AK3321" s="182"/>
      <c r="AL3321" s="182"/>
    </row>
    <row r="3322" ht="20.25" customHeight="1">
      <c r="A3322" s="169" t="str">
        <f>IFERROR(__xludf.DUMMYFUNCTION("""COMPUTED_VALUE"""),"Ludatik")</f>
        <v>Ludatik</v>
      </c>
      <c r="B3322" s="170" t="str">
        <f>IFERROR(__xludf.DUMMYFUNCTION("""COMPUTED_VALUE"""),"Toronto")</f>
        <v>Toronto</v>
      </c>
      <c r="C3322" s="170" t="str">
        <f>IFERROR(__xludf.DUMMYFUNCTION("""COMPUTED_VALUE"""),"ON")</f>
        <v>ON</v>
      </c>
      <c r="D3322" s="170" t="str">
        <f>IFERROR(__xludf.DUMMYFUNCTION("""COMPUTED_VALUE"""),"Canada")</f>
        <v>Canada</v>
      </c>
      <c r="E3322" s="171">
        <f>IFERROR(__xludf.DUMMYFUNCTION("""COMPUTED_VALUE"""),43270.0)</f>
        <v>43270</v>
      </c>
      <c r="F3322" s="172">
        <f>IFERROR(__xludf.DUMMYFUNCTION("""COMPUTED_VALUE"""),43329.0)</f>
        <v>43329</v>
      </c>
      <c r="G3322" s="173"/>
      <c r="H3322" s="174">
        <f>IFERROR(__xludf.DUMMYFUNCTION("""COMPUTED_VALUE"""),75755.0)</f>
        <v>75755</v>
      </c>
      <c r="I3322" s="175" t="str">
        <f>IFERROR(__xludf.DUMMYFUNCTION("""COMPUTED_VALUE"""),"08/18")</f>
        <v>08/18</v>
      </c>
      <c r="J3322" s="172">
        <f>IFERROR(__xludf.DUMMYFUNCTION("""COMPUTED_VALUE"""),43350.0)</f>
        <v>43350</v>
      </c>
      <c r="K3322" s="176">
        <f>IFERROR(__xludf.DUMMYFUNCTION("""COMPUTED_VALUE"""),59.0)</f>
        <v>59</v>
      </c>
      <c r="L3322" s="176">
        <f>IFERROR(__xludf.DUMMYFUNCTION("""COMPUTED_VALUE"""),21.0)</f>
        <v>21</v>
      </c>
      <c r="M3322" s="176">
        <f>IFERROR(__xludf.DUMMYFUNCTION("""COMPUTED_VALUE"""),80.0)</f>
        <v>80</v>
      </c>
      <c r="N3322" s="177" t="str">
        <f>IFERROR(__xludf.DUMMYFUNCTION("""COMPUTED_VALUE"""),"Model 3 LR")</f>
        <v>Model 3 LR</v>
      </c>
      <c r="O3322" s="177" t="str">
        <f>IFERROR(__xludf.DUMMYFUNCTION("""COMPUTED_VALUE"""),"Pearl White Multi-Coat")</f>
        <v>Pearl White Multi-Coat</v>
      </c>
      <c r="P3322" s="178" t="str">
        <f>IFERROR(__xludf.DUMMYFUNCTION("""COMPUTED_VALUE"""),"18 inch Aero")</f>
        <v>18 inch Aero</v>
      </c>
      <c r="Q3322" s="177" t="str">
        <f>IFERROR(__xludf.DUMMYFUNCTION("""COMPUTED_VALUE"""),"Black seats")</f>
        <v>Black seats</v>
      </c>
      <c r="R3322" s="170" t="str">
        <f>IFERROR(__xludf.DUMMYFUNCTION("""COMPUTED_VALUE"""),"Enhanced Autopilot")</f>
        <v>Enhanced Autopilot</v>
      </c>
      <c r="S3322" s="170"/>
      <c r="T3322" s="179"/>
      <c r="U3322" s="179"/>
      <c r="V3322" s="179"/>
      <c r="W3322" s="180"/>
      <c r="X3322" s="181" t="str">
        <f>IFERROR(__xludf.DUMMYFUNCTION("""COMPUTED_VALUE"""),"Good")</f>
        <v>Good</v>
      </c>
      <c r="Y3322" s="182" t="str">
        <f>IFERROR(__xludf.DUMMYFUNCTION("""COMPUTED_VALUE"""),"Excellent")</f>
        <v>Excellent</v>
      </c>
      <c r="Z3322" s="182" t="str">
        <f>IFERROR(__xludf.DUMMYFUNCTION("""COMPUTED_VALUE"""),"Fair")</f>
        <v>Fair</v>
      </c>
      <c r="AA3322" s="182" t="str">
        <f>IFERROR(__xludf.DUMMYFUNCTION("""COMPUTED_VALUE"""),"Poor")</f>
        <v>Poor</v>
      </c>
      <c r="AB3322" s="182" t="str">
        <f>IFERROR(__xludf.DUMMYFUNCTION("""COMPUTED_VALUE"""),"Good")</f>
        <v>Good</v>
      </c>
      <c r="AC3322" s="183">
        <f>IFERROR(__xludf.DUMMYFUNCTION("""COMPUTED_VALUE"""),3.0)</f>
        <v>3</v>
      </c>
      <c r="AD3322" s="183"/>
      <c r="AE3322" s="183"/>
      <c r="AF3322" s="184"/>
      <c r="AG3322" s="180"/>
      <c r="AH3322" s="185">
        <f>IFERROR(__xludf.DUMMYFUNCTION("""COMPUTED_VALUE"""),43353.44890729166)</f>
        <v>43353.44891</v>
      </c>
      <c r="AI3322" s="182"/>
      <c r="AJ3322" s="182"/>
      <c r="AK3322" s="182"/>
      <c r="AL3322" s="182"/>
    </row>
    <row r="3323" ht="20.25" customHeight="1">
      <c r="A3323" s="169" t="str">
        <f>IFERROR(__xludf.DUMMYFUNCTION("""COMPUTED_VALUE"""),"drapocalypse")</f>
        <v>drapocalypse</v>
      </c>
      <c r="B3323" s="170" t="str">
        <f>IFERROR(__xludf.DUMMYFUNCTION("""COMPUTED_VALUE"""),"Markham")</f>
        <v>Markham</v>
      </c>
      <c r="C3323" s="170" t="str">
        <f>IFERROR(__xludf.DUMMYFUNCTION("""COMPUTED_VALUE"""),"ON")</f>
        <v>ON</v>
      </c>
      <c r="D3323" s="170" t="str">
        <f>IFERROR(__xludf.DUMMYFUNCTION("""COMPUTED_VALUE"""),"Canada")</f>
        <v>Canada</v>
      </c>
      <c r="E3323" s="171">
        <f>IFERROR(__xludf.DUMMYFUNCTION("""COMPUTED_VALUE"""),43269.0)</f>
        <v>43269</v>
      </c>
      <c r="F3323" s="172">
        <f>IFERROR(__xludf.DUMMYFUNCTION("""COMPUTED_VALUE"""),43342.0)</f>
        <v>43342</v>
      </c>
      <c r="G3323" s="173"/>
      <c r="H3323" s="174">
        <f>IFERROR(__xludf.DUMMYFUNCTION("""COMPUTED_VALUE"""),75789.0)</f>
        <v>75789</v>
      </c>
      <c r="I3323" s="175" t="str">
        <f>IFERROR(__xludf.DUMMYFUNCTION("""COMPUTED_VALUE"""),"08/18")</f>
        <v>08/18</v>
      </c>
      <c r="J3323" s="172">
        <f>IFERROR(__xludf.DUMMYFUNCTION("""COMPUTED_VALUE"""),43349.0)</f>
        <v>43349</v>
      </c>
      <c r="K3323" s="176">
        <f>IFERROR(__xludf.DUMMYFUNCTION("""COMPUTED_VALUE"""),73.0)</f>
        <v>73</v>
      </c>
      <c r="L3323" s="176">
        <f>IFERROR(__xludf.DUMMYFUNCTION("""COMPUTED_VALUE"""),7.0)</f>
        <v>7</v>
      </c>
      <c r="M3323" s="176">
        <f>IFERROR(__xludf.DUMMYFUNCTION("""COMPUTED_VALUE"""),80.0)</f>
        <v>80</v>
      </c>
      <c r="N3323" s="177" t="str">
        <f>IFERROR(__xludf.DUMMYFUNCTION("""COMPUTED_VALUE"""),"Model 3 LR")</f>
        <v>Model 3 LR</v>
      </c>
      <c r="O3323" s="177" t="str">
        <f>IFERROR(__xludf.DUMMYFUNCTION("""COMPUTED_VALUE"""),"Pearl White Multi-Coat")</f>
        <v>Pearl White Multi-Coat</v>
      </c>
      <c r="P3323" s="178" t="str">
        <f>IFERROR(__xludf.DUMMYFUNCTION("""COMPUTED_VALUE"""),"18 inch Aero")</f>
        <v>18 inch Aero</v>
      </c>
      <c r="Q3323" s="177" t="str">
        <f>IFERROR(__xludf.DUMMYFUNCTION("""COMPUTED_VALUE"""),"Black seats")</f>
        <v>Black seats</v>
      </c>
      <c r="R3323" s="170" t="str">
        <f>IFERROR(__xludf.DUMMYFUNCTION("""COMPUTED_VALUE"""),"None")</f>
        <v>None</v>
      </c>
      <c r="S3323" s="170"/>
      <c r="T3323" s="179"/>
      <c r="U3323" s="179"/>
      <c r="V3323" s="179"/>
      <c r="W3323" s="180"/>
      <c r="X3323" s="181" t="str">
        <f>IFERROR(__xludf.DUMMYFUNCTION("""COMPUTED_VALUE"""),"Poor")</f>
        <v>Poor</v>
      </c>
      <c r="Y3323" s="182" t="str">
        <f>IFERROR(__xludf.DUMMYFUNCTION("""COMPUTED_VALUE"""),"Good")</f>
        <v>Good</v>
      </c>
      <c r="Z3323" s="182" t="str">
        <f>IFERROR(__xludf.DUMMYFUNCTION("""COMPUTED_VALUE"""),"Poor")</f>
        <v>Poor</v>
      </c>
      <c r="AA3323" s="182" t="str">
        <f>IFERROR(__xludf.DUMMYFUNCTION("""COMPUTED_VALUE"""),"Fair")</f>
        <v>Fair</v>
      </c>
      <c r="AB3323" s="182" t="str">
        <f>IFERROR(__xludf.DUMMYFUNCTION("""COMPUTED_VALUE"""),"Very Good")</f>
        <v>Very Good</v>
      </c>
      <c r="AC3323" s="183">
        <f>IFERROR(__xludf.DUMMYFUNCTION("""COMPUTED_VALUE"""),30.0)</f>
        <v>30</v>
      </c>
      <c r="AD3323" s="183">
        <f>IFERROR(__xludf.DUMMYFUNCTION("""COMPUTED_VALUE"""),2.0)</f>
        <v>2</v>
      </c>
      <c r="AE3323" s="183">
        <f>IFERROR(__xludf.DUMMYFUNCTION("""COMPUTED_VALUE"""),0.0)</f>
        <v>0</v>
      </c>
      <c r="AF3323" s="184"/>
      <c r="AG3323" s="180" t="str">
        <f>IFERROR(__xludf.DUMMYFUNCTION("""COMPUTED_VALUE"""),"The car will be in the shop for more than 3 weeks, but it isn't within the first 30 days because we had to wait for parts. There are many manufacturing defects, but at least we got it before the ontario incentive deadline.")</f>
        <v>The car will be in the shop for more than 3 weeks, but it isn't within the first 30 days because we had to wait for parts. There are many manufacturing defects, but at least we got it before the ontario incentive deadline.</v>
      </c>
      <c r="AH3323" s="185">
        <f>IFERROR(__xludf.DUMMYFUNCTION("""COMPUTED_VALUE"""),43410.79930200232)</f>
        <v>43410.7993</v>
      </c>
      <c r="AI3323" s="182"/>
      <c r="AJ3323" s="182"/>
      <c r="AK3323" s="182"/>
      <c r="AL3323" s="182"/>
    </row>
    <row r="3324" ht="20.25" customHeight="1">
      <c r="A3324" s="169" t="str">
        <f>IFERROR(__xludf.DUMMYFUNCTION("""COMPUTED_VALUE"""),"alephone")</f>
        <v>alephone</v>
      </c>
      <c r="B3324" s="170"/>
      <c r="C3324" s="170" t="str">
        <f>IFERROR(__xludf.DUMMYFUNCTION("""COMPUTED_VALUE"""),"MA")</f>
        <v>MA</v>
      </c>
      <c r="D3324" s="170" t="str">
        <f>IFERROR(__xludf.DUMMYFUNCTION("""COMPUTED_VALUE"""),"USA")</f>
        <v>USA</v>
      </c>
      <c r="E3324" s="171">
        <f>IFERROR(__xludf.DUMMYFUNCTION("""COMPUTED_VALUE"""),43266.0)</f>
        <v>43266</v>
      </c>
      <c r="F3324" s="172">
        <f>IFERROR(__xludf.DUMMYFUNCTION("""COMPUTED_VALUE"""),43283.0)</f>
        <v>43283</v>
      </c>
      <c r="G3324" s="173"/>
      <c r="H3324" s="174">
        <f>IFERROR(__xludf.DUMMYFUNCTION("""COMPUTED_VALUE"""),27055.0)</f>
        <v>27055</v>
      </c>
      <c r="I3324" s="175" t="str">
        <f>IFERROR(__xludf.DUMMYFUNCTION("""COMPUTED_VALUE"""),"06/18")</f>
        <v>06/18</v>
      </c>
      <c r="J3324" s="172">
        <f>IFERROR(__xludf.DUMMYFUNCTION("""COMPUTED_VALUE"""),43298.0)</f>
        <v>43298</v>
      </c>
      <c r="K3324" s="176">
        <f>IFERROR(__xludf.DUMMYFUNCTION("""COMPUTED_VALUE"""),17.0)</f>
        <v>17</v>
      </c>
      <c r="L3324" s="176">
        <f>IFERROR(__xludf.DUMMYFUNCTION("""COMPUTED_VALUE"""),15.0)</f>
        <v>15</v>
      </c>
      <c r="M3324" s="176">
        <f>IFERROR(__xludf.DUMMYFUNCTION("""COMPUTED_VALUE"""),32.0)</f>
        <v>32</v>
      </c>
      <c r="N3324" s="177" t="str">
        <f>IFERROR(__xludf.DUMMYFUNCTION("""COMPUTED_VALUE"""),"Model 3 LR")</f>
        <v>Model 3 LR</v>
      </c>
      <c r="O3324" s="177" t="str">
        <f>IFERROR(__xludf.DUMMYFUNCTION("""COMPUTED_VALUE"""),"Deep Blue Metallic")</f>
        <v>Deep Blue Metallic</v>
      </c>
      <c r="P3324" s="178" t="str">
        <f>IFERROR(__xludf.DUMMYFUNCTION("""COMPUTED_VALUE"""),"18 inch Aero")</f>
        <v>18 inch Aero</v>
      </c>
      <c r="Q3324" s="177" t="str">
        <f>IFERROR(__xludf.DUMMYFUNCTION("""COMPUTED_VALUE"""),"Black seats")</f>
        <v>Black seats</v>
      </c>
      <c r="R3324" s="170" t="str">
        <f>IFERROR(__xludf.DUMMYFUNCTION("""COMPUTED_VALUE"""),"Enhanced Autopilot")</f>
        <v>Enhanced Autopilot</v>
      </c>
      <c r="S3324" s="170"/>
      <c r="T3324" s="179"/>
      <c r="U3324" s="179"/>
      <c r="V3324" s="179"/>
      <c r="W3324" s="180"/>
      <c r="X3324" s="181" t="str">
        <f>IFERROR(__xludf.DUMMYFUNCTION("""COMPUTED_VALUE"""),"Very Good")</f>
        <v>Very Good</v>
      </c>
      <c r="Y3324" s="182" t="str">
        <f>IFERROR(__xludf.DUMMYFUNCTION("""COMPUTED_VALUE"""),"Very Good")</f>
        <v>Very Good</v>
      </c>
      <c r="Z3324" s="182" t="str">
        <f>IFERROR(__xludf.DUMMYFUNCTION("""COMPUTED_VALUE"""),"Very Good")</f>
        <v>Very Good</v>
      </c>
      <c r="AA3324" s="182" t="str">
        <f>IFERROR(__xludf.DUMMYFUNCTION("""COMPUTED_VALUE"""),"Very Good")</f>
        <v>Very Good</v>
      </c>
      <c r="AB3324" s="182" t="str">
        <f>IFERROR(__xludf.DUMMYFUNCTION("""COMPUTED_VALUE"""),"Very Good")</f>
        <v>Very Good</v>
      </c>
      <c r="AC3324" s="183"/>
      <c r="AD3324" s="183"/>
      <c r="AE3324" s="183"/>
      <c r="AF3324" s="184"/>
      <c r="AG3324" s="180"/>
      <c r="AH3324" s="185">
        <f>IFERROR(__xludf.DUMMYFUNCTION("""COMPUTED_VALUE"""),43298.49017355324)</f>
        <v>43298.49017</v>
      </c>
      <c r="AI3324" s="182"/>
      <c r="AJ3324" s="182"/>
      <c r="AK3324" s="182"/>
      <c r="AL3324" s="182"/>
    </row>
    <row r="3325" ht="20.25" customHeight="1">
      <c r="A3325" s="169" t="str">
        <f>IFERROR(__xludf.DUMMYFUNCTION("""COMPUTED_VALUE"""),"lmirandapr@gmail.com")</f>
        <v>lmirandapr@gmail.com</v>
      </c>
      <c r="B3325" s="170" t="str">
        <f>IFERROR(__xludf.DUMMYFUNCTION("""COMPUTED_VALUE"""),"Orlando")</f>
        <v>Orlando</v>
      </c>
      <c r="C3325" s="170" t="str">
        <f>IFERROR(__xludf.DUMMYFUNCTION("""COMPUTED_VALUE"""),"FL")</f>
        <v>FL</v>
      </c>
      <c r="D3325" s="170" t="str">
        <f>IFERROR(__xludf.DUMMYFUNCTION("""COMPUTED_VALUE"""),"USA")</f>
        <v>USA</v>
      </c>
      <c r="E3325" s="171">
        <f>IFERROR(__xludf.DUMMYFUNCTION("""COMPUTED_VALUE"""),43266.0)</f>
        <v>43266</v>
      </c>
      <c r="F3325" s="172">
        <f>IFERROR(__xludf.DUMMYFUNCTION("""COMPUTED_VALUE"""),43325.0)</f>
        <v>43325</v>
      </c>
      <c r="G3325" s="173"/>
      <c r="H3325" s="174"/>
      <c r="I3325" s="175"/>
      <c r="J3325" s="172">
        <f>IFERROR(__xludf.DUMMYFUNCTION("""COMPUTED_VALUE"""),43361.0)</f>
        <v>43361</v>
      </c>
      <c r="K3325" s="176">
        <f>IFERROR(__xludf.DUMMYFUNCTION("""COMPUTED_VALUE"""),59.0)</f>
        <v>59</v>
      </c>
      <c r="L3325" s="176">
        <f>IFERROR(__xludf.DUMMYFUNCTION("""COMPUTED_VALUE"""),36.0)</f>
        <v>36</v>
      </c>
      <c r="M3325" s="176">
        <f>IFERROR(__xludf.DUMMYFUNCTION("""COMPUTED_VALUE"""),95.0)</f>
        <v>95</v>
      </c>
      <c r="N3325" s="177" t="str">
        <f>IFERROR(__xludf.DUMMYFUNCTION("""COMPUTED_VALUE"""),"Model 3 LR")</f>
        <v>Model 3 LR</v>
      </c>
      <c r="O3325" s="177" t="str">
        <f>IFERROR(__xludf.DUMMYFUNCTION("""COMPUTED_VALUE"""),"Pearl White Multi-Coat")</f>
        <v>Pearl White Multi-Coat</v>
      </c>
      <c r="P3325" s="178" t="str">
        <f>IFERROR(__xludf.DUMMYFUNCTION("""COMPUTED_VALUE"""),"18 inch Aero")</f>
        <v>18 inch Aero</v>
      </c>
      <c r="Q3325" s="177" t="str">
        <f>IFERROR(__xludf.DUMMYFUNCTION("""COMPUTED_VALUE"""),"Black seats")</f>
        <v>Black seats</v>
      </c>
      <c r="R3325" s="170" t="str">
        <f>IFERROR(__xludf.DUMMYFUNCTION("""COMPUTED_VALUE"""),"Enhanced Autopilot")</f>
        <v>Enhanced Autopilot</v>
      </c>
      <c r="S3325" s="170"/>
      <c r="T3325" s="179"/>
      <c r="U3325" s="179"/>
      <c r="V3325" s="179"/>
      <c r="W3325" s="180"/>
      <c r="X3325" s="181" t="str">
        <f>IFERROR(__xludf.DUMMYFUNCTION("""COMPUTED_VALUE"""),"Excellent")</f>
        <v>Excellent</v>
      </c>
      <c r="Y3325" s="182" t="str">
        <f>IFERROR(__xludf.DUMMYFUNCTION("""COMPUTED_VALUE"""),"Excellent")</f>
        <v>Excellent</v>
      </c>
      <c r="Z3325" s="182" t="str">
        <f>IFERROR(__xludf.DUMMYFUNCTION("""COMPUTED_VALUE"""),"Very Good")</f>
        <v>Very Good</v>
      </c>
      <c r="AA3325" s="182" t="str">
        <f>IFERROR(__xludf.DUMMYFUNCTION("""COMPUTED_VALUE"""),"Excellent")</f>
        <v>Excellent</v>
      </c>
      <c r="AB3325" s="182" t="str">
        <f>IFERROR(__xludf.DUMMYFUNCTION("""COMPUTED_VALUE"""),"Excellent")</f>
        <v>Excellent</v>
      </c>
      <c r="AC3325" s="183">
        <f>IFERROR(__xludf.DUMMYFUNCTION("""COMPUTED_VALUE"""),3.0)</f>
        <v>3</v>
      </c>
      <c r="AD3325" s="183">
        <f>IFERROR(__xludf.DUMMYFUNCTION("""COMPUTED_VALUE"""),0.0)</f>
        <v>0</v>
      </c>
      <c r="AE3325" s="183">
        <f>IFERROR(__xludf.DUMMYFUNCTION("""COMPUTED_VALUE"""),0.0)</f>
        <v>0</v>
      </c>
      <c r="AF3325" s="184"/>
      <c r="AG3325" s="180"/>
      <c r="AH3325" s="185">
        <f>IFERROR(__xludf.DUMMYFUNCTION("""COMPUTED_VALUE"""),43497.97387973379)</f>
        <v>43497.97388</v>
      </c>
      <c r="AI3325" s="182"/>
      <c r="AJ3325" s="182"/>
      <c r="AK3325" s="182"/>
      <c r="AL3325" s="182"/>
    </row>
    <row r="3326" ht="20.25" customHeight="1">
      <c r="A3326" s="169" t="str">
        <f>IFERROR(__xludf.DUMMYFUNCTION("""COMPUTED_VALUE"""),"Mulmur")</f>
        <v>Mulmur</v>
      </c>
      <c r="B3326" s="170" t="str">
        <f>IFERROR(__xludf.DUMMYFUNCTION("""COMPUTED_VALUE"""),"Toronto")</f>
        <v>Toronto</v>
      </c>
      <c r="C3326" s="170" t="str">
        <f>IFERROR(__xludf.DUMMYFUNCTION("""COMPUTED_VALUE"""),"ON")</f>
        <v>ON</v>
      </c>
      <c r="D3326" s="170" t="str">
        <f>IFERROR(__xludf.DUMMYFUNCTION("""COMPUTED_VALUE"""),"Canada")</f>
        <v>Canada</v>
      </c>
      <c r="E3326" s="171">
        <f>IFERROR(__xludf.DUMMYFUNCTION("""COMPUTED_VALUE"""),43266.0)</f>
        <v>43266</v>
      </c>
      <c r="F3326" s="172">
        <f>IFERROR(__xludf.DUMMYFUNCTION("""COMPUTED_VALUE"""),43343.0)</f>
        <v>43343</v>
      </c>
      <c r="G3326" s="173"/>
      <c r="H3326" s="174">
        <f>IFERROR(__xludf.DUMMYFUNCTION("""COMPUTED_VALUE"""),95655.0)</f>
        <v>95655</v>
      </c>
      <c r="I3326" s="175" t="str">
        <f>IFERROR(__xludf.DUMMYFUNCTION("""COMPUTED_VALUE"""),"08/18")</f>
        <v>08/18</v>
      </c>
      <c r="J3326" s="172">
        <f>IFERROR(__xludf.DUMMYFUNCTION("""COMPUTED_VALUE"""),43348.0)</f>
        <v>43348</v>
      </c>
      <c r="K3326" s="176">
        <f>IFERROR(__xludf.DUMMYFUNCTION("""COMPUTED_VALUE"""),77.0)</f>
        <v>77</v>
      </c>
      <c r="L3326" s="176">
        <f>IFERROR(__xludf.DUMMYFUNCTION("""COMPUTED_VALUE"""),5.0)</f>
        <v>5</v>
      </c>
      <c r="M3326" s="176">
        <f>IFERROR(__xludf.DUMMYFUNCTION("""COMPUTED_VALUE"""),82.0)</f>
        <v>82</v>
      </c>
      <c r="N3326" s="177" t="str">
        <f>IFERROR(__xludf.DUMMYFUNCTION("""COMPUTED_VALUE"""),"Model 3 LR")</f>
        <v>Model 3 LR</v>
      </c>
      <c r="O3326" s="177" t="str">
        <f>IFERROR(__xludf.DUMMYFUNCTION("""COMPUTED_VALUE"""),"Solid Black")</f>
        <v>Solid Black</v>
      </c>
      <c r="P3326" s="178" t="str">
        <f>IFERROR(__xludf.DUMMYFUNCTION("""COMPUTED_VALUE"""),"18 inch Aero")</f>
        <v>18 inch Aero</v>
      </c>
      <c r="Q3326" s="177" t="str">
        <f>IFERROR(__xludf.DUMMYFUNCTION("""COMPUTED_VALUE"""),"Black seats")</f>
        <v>Black seats</v>
      </c>
      <c r="R3326" s="170" t="str">
        <f>IFERROR(__xludf.DUMMYFUNCTION("""COMPUTED_VALUE"""),"None")</f>
        <v>None</v>
      </c>
      <c r="S3326" s="170"/>
      <c r="T3326" s="179"/>
      <c r="U3326" s="179"/>
      <c r="V3326" s="179"/>
      <c r="W3326" s="180"/>
      <c r="X3326" s="181" t="str">
        <f>IFERROR(__xludf.DUMMYFUNCTION("""COMPUTED_VALUE"""),"Very Good")</f>
        <v>Very Good</v>
      </c>
      <c r="Y3326" s="182" t="str">
        <f>IFERROR(__xludf.DUMMYFUNCTION("""COMPUTED_VALUE"""),"Very Good")</f>
        <v>Very Good</v>
      </c>
      <c r="Z3326" s="182" t="str">
        <f>IFERROR(__xludf.DUMMYFUNCTION("""COMPUTED_VALUE"""),"Very Good")</f>
        <v>Very Good</v>
      </c>
      <c r="AA3326" s="182" t="str">
        <f>IFERROR(__xludf.DUMMYFUNCTION("""COMPUTED_VALUE"""),"Very Good")</f>
        <v>Very Good</v>
      </c>
      <c r="AB3326" s="182" t="str">
        <f>IFERROR(__xludf.DUMMYFUNCTION("""COMPUTED_VALUE"""),"Fair")</f>
        <v>Fair</v>
      </c>
      <c r="AC3326" s="183"/>
      <c r="AD3326" s="183"/>
      <c r="AE3326" s="183"/>
      <c r="AF3326" s="184"/>
      <c r="AG3326" s="180"/>
      <c r="AH3326" s="185">
        <f>IFERROR(__xludf.DUMMYFUNCTION("""COMPUTED_VALUE"""),43350.68131152778)</f>
        <v>43350.68131</v>
      </c>
      <c r="AI3326" s="182"/>
      <c r="AJ3326" s="182"/>
      <c r="AK3326" s="182"/>
      <c r="AL3326" s="182"/>
    </row>
    <row r="3327" ht="20.25" customHeight="1">
      <c r="A3327" s="169" t="str">
        <f>IFERROR(__xludf.DUMMYFUNCTION("""COMPUTED_VALUE"""),"Waitin4M3")</f>
        <v>Waitin4M3</v>
      </c>
      <c r="B3327" s="170" t="str">
        <f>IFERROR(__xludf.DUMMYFUNCTION("""COMPUTED_VALUE"""),"San Jose")</f>
        <v>San Jose</v>
      </c>
      <c r="C3327" s="170" t="str">
        <f>IFERROR(__xludf.DUMMYFUNCTION("""COMPUTED_VALUE"""),"CA")</f>
        <v>CA</v>
      </c>
      <c r="D3327" s="170" t="str">
        <f>IFERROR(__xludf.DUMMYFUNCTION("""COMPUTED_VALUE"""),"USA")</f>
        <v>USA</v>
      </c>
      <c r="E3327" s="171">
        <f>IFERROR(__xludf.DUMMYFUNCTION("""COMPUTED_VALUE"""),43266.0)</f>
        <v>43266</v>
      </c>
      <c r="F3327" s="172">
        <f>IFERROR(__xludf.DUMMYFUNCTION("""COMPUTED_VALUE"""),43283.0)</f>
        <v>43283</v>
      </c>
      <c r="G3327" s="173"/>
      <c r="H3327" s="174">
        <f>IFERROR(__xludf.DUMMYFUNCTION("""COMPUTED_VALUE"""),37755.0)</f>
        <v>37755</v>
      </c>
      <c r="I3327" s="175" t="str">
        <f>IFERROR(__xludf.DUMMYFUNCTION("""COMPUTED_VALUE"""),"06/18")</f>
        <v>06/18</v>
      </c>
      <c r="J3327" s="172">
        <f>IFERROR(__xludf.DUMMYFUNCTION("""COMPUTED_VALUE"""),43286.0)</f>
        <v>43286</v>
      </c>
      <c r="K3327" s="176">
        <f>IFERROR(__xludf.DUMMYFUNCTION("""COMPUTED_VALUE"""),17.0)</f>
        <v>17</v>
      </c>
      <c r="L3327" s="176">
        <f>IFERROR(__xludf.DUMMYFUNCTION("""COMPUTED_VALUE"""),3.0)</f>
        <v>3</v>
      </c>
      <c r="M3327" s="176">
        <f>IFERROR(__xludf.DUMMYFUNCTION("""COMPUTED_VALUE"""),20.0)</f>
        <v>20</v>
      </c>
      <c r="N3327" s="177" t="str">
        <f>IFERROR(__xludf.DUMMYFUNCTION("""COMPUTED_VALUE"""),"Model 3 LR")</f>
        <v>Model 3 LR</v>
      </c>
      <c r="O3327" s="177" t="str">
        <f>IFERROR(__xludf.DUMMYFUNCTION("""COMPUTED_VALUE"""),"Deep Blue Metallic")</f>
        <v>Deep Blue Metallic</v>
      </c>
      <c r="P3327" s="178" t="str">
        <f>IFERROR(__xludf.DUMMYFUNCTION("""COMPUTED_VALUE"""),"18 inch Aero")</f>
        <v>18 inch Aero</v>
      </c>
      <c r="Q3327" s="177" t="str">
        <f>IFERROR(__xludf.DUMMYFUNCTION("""COMPUTED_VALUE"""),"Black seats")</f>
        <v>Black seats</v>
      </c>
      <c r="R3327" s="170" t="str">
        <f>IFERROR(__xludf.DUMMYFUNCTION("""COMPUTED_VALUE"""),"Enhanced Autopilot")</f>
        <v>Enhanced Autopilot</v>
      </c>
      <c r="S3327" s="170"/>
      <c r="T3327" s="179"/>
      <c r="U3327" s="179"/>
      <c r="V3327" s="179"/>
      <c r="W3327" s="180"/>
      <c r="X3327" s="181" t="str">
        <f>IFERROR(__xludf.DUMMYFUNCTION("""COMPUTED_VALUE"""),"Very Good")</f>
        <v>Very Good</v>
      </c>
      <c r="Y3327" s="182" t="str">
        <f>IFERROR(__xludf.DUMMYFUNCTION("""COMPUTED_VALUE"""),"Very Good")</f>
        <v>Very Good</v>
      </c>
      <c r="Z3327" s="182" t="str">
        <f>IFERROR(__xludf.DUMMYFUNCTION("""COMPUTED_VALUE"""),"Excellent")</f>
        <v>Excellent</v>
      </c>
      <c r="AA3327" s="182" t="str">
        <f>IFERROR(__xludf.DUMMYFUNCTION("""COMPUTED_VALUE"""),"Very Good")</f>
        <v>Very Good</v>
      </c>
      <c r="AB3327" s="182" t="str">
        <f>IFERROR(__xludf.DUMMYFUNCTION("""COMPUTED_VALUE"""),"Excellent")</f>
        <v>Excellent</v>
      </c>
      <c r="AC3327" s="183">
        <f>IFERROR(__xludf.DUMMYFUNCTION("""COMPUTED_VALUE"""),0.0)</f>
        <v>0</v>
      </c>
      <c r="AD3327" s="183"/>
      <c r="AE3327" s="183"/>
      <c r="AF3327" s="184"/>
      <c r="AG3327" s="180"/>
      <c r="AH3327" s="185">
        <f>IFERROR(__xludf.DUMMYFUNCTION("""COMPUTED_VALUE"""),43289.5151253125)</f>
        <v>43289.51513</v>
      </c>
      <c r="AI3327" s="182"/>
      <c r="AJ3327" s="182"/>
      <c r="AK3327" s="182"/>
      <c r="AL3327" s="182"/>
    </row>
    <row r="3328" ht="20.25" customHeight="1">
      <c r="A3328" s="169" t="str">
        <f>IFERROR(__xludf.DUMMYFUNCTION("""COMPUTED_VALUE"""),"blecchus_rex")</f>
        <v>blecchus_rex</v>
      </c>
      <c r="B3328" s="170" t="str">
        <f>IFERROR(__xludf.DUMMYFUNCTION("""COMPUTED_VALUE"""),"Austin")</f>
        <v>Austin</v>
      </c>
      <c r="C3328" s="170" t="str">
        <f>IFERROR(__xludf.DUMMYFUNCTION("""COMPUTED_VALUE"""),"TX")</f>
        <v>TX</v>
      </c>
      <c r="D3328" s="170" t="str">
        <f>IFERROR(__xludf.DUMMYFUNCTION("""COMPUTED_VALUE"""),"USA")</f>
        <v>USA</v>
      </c>
      <c r="E3328" s="171">
        <f>IFERROR(__xludf.DUMMYFUNCTION("""COMPUTED_VALUE"""),43265.0)</f>
        <v>43265</v>
      </c>
      <c r="F3328" s="172">
        <f>IFERROR(__xludf.DUMMYFUNCTION("""COMPUTED_VALUE"""),43353.0)</f>
        <v>43353</v>
      </c>
      <c r="G3328" s="173"/>
      <c r="H3328" s="174">
        <f>IFERROR(__xludf.DUMMYFUNCTION("""COMPUTED_VALUE"""),65675.0)</f>
        <v>65675</v>
      </c>
      <c r="I3328" s="175"/>
      <c r="J3328" s="172">
        <f>IFERROR(__xludf.DUMMYFUNCTION("""COMPUTED_VALUE"""),43372.0)</f>
        <v>43372</v>
      </c>
      <c r="K3328" s="176">
        <f>IFERROR(__xludf.DUMMYFUNCTION("""COMPUTED_VALUE"""),88.0)</f>
        <v>88</v>
      </c>
      <c r="L3328" s="176">
        <f>IFERROR(__xludf.DUMMYFUNCTION("""COMPUTED_VALUE"""),19.0)</f>
        <v>19</v>
      </c>
      <c r="M3328" s="176">
        <f>IFERROR(__xludf.DUMMYFUNCTION("""COMPUTED_VALUE"""),107.0)</f>
        <v>107</v>
      </c>
      <c r="N3328" s="177" t="str">
        <f>IFERROR(__xludf.DUMMYFUNCTION("""COMPUTED_VALUE"""),"Model 3 LR AWD")</f>
        <v>Model 3 LR AWD</v>
      </c>
      <c r="O3328" s="177" t="str">
        <f>IFERROR(__xludf.DUMMYFUNCTION("""COMPUTED_VALUE"""),"Red Multi-Coat")</f>
        <v>Red Multi-Coat</v>
      </c>
      <c r="P3328" s="178" t="str">
        <f>IFERROR(__xludf.DUMMYFUNCTION("""COMPUTED_VALUE"""),"19 inch Sport")</f>
        <v>19 inch Sport</v>
      </c>
      <c r="Q3328" s="177" t="str">
        <f>IFERROR(__xludf.DUMMYFUNCTION("""COMPUTED_VALUE"""),"Black seats")</f>
        <v>Black seats</v>
      </c>
      <c r="R3328" s="170" t="str">
        <f>IFERROR(__xludf.DUMMYFUNCTION("""COMPUTED_VALUE"""),"Enhanced Autopilot")</f>
        <v>Enhanced Autopilot</v>
      </c>
      <c r="S3328" s="170"/>
      <c r="T3328" s="179"/>
      <c r="U3328" s="179"/>
      <c r="V3328" s="179"/>
      <c r="W3328" s="180"/>
      <c r="X3328" s="181" t="str">
        <f>IFERROR(__xludf.DUMMYFUNCTION("""COMPUTED_VALUE"""),"Excellent")</f>
        <v>Excellent</v>
      </c>
      <c r="Y3328" s="182" t="str">
        <f>IFERROR(__xludf.DUMMYFUNCTION("""COMPUTED_VALUE"""),"Excellent")</f>
        <v>Excellent</v>
      </c>
      <c r="Z3328" s="182" t="str">
        <f>IFERROR(__xludf.DUMMYFUNCTION("""COMPUTED_VALUE"""),"Good")</f>
        <v>Good</v>
      </c>
      <c r="AA3328" s="182" t="str">
        <f>IFERROR(__xludf.DUMMYFUNCTION("""COMPUTED_VALUE"""),"Good")</f>
        <v>Good</v>
      </c>
      <c r="AB3328" s="182" t="str">
        <f>IFERROR(__xludf.DUMMYFUNCTION("""COMPUTED_VALUE"""),"Very Good")</f>
        <v>Very Good</v>
      </c>
      <c r="AC3328" s="183"/>
      <c r="AD3328" s="183"/>
      <c r="AE3328" s="183"/>
      <c r="AF3328" s="184"/>
      <c r="AG3328" s="180"/>
      <c r="AH3328" s="185">
        <f>IFERROR(__xludf.DUMMYFUNCTION("""COMPUTED_VALUE"""),43371.60614546296)</f>
        <v>43371.60615</v>
      </c>
      <c r="AI3328" s="182"/>
      <c r="AJ3328" s="182"/>
      <c r="AK3328" s="182"/>
      <c r="AL3328" s="182"/>
    </row>
    <row r="3329" ht="20.25" customHeight="1">
      <c r="A3329" s="169" t="str">
        <f>IFERROR(__xludf.DUMMYFUNCTION("""COMPUTED_VALUE"""),"Hawk13")</f>
        <v>Hawk13</v>
      </c>
      <c r="B3329" s="170"/>
      <c r="C3329" s="170" t="str">
        <f>IFERROR(__xludf.DUMMYFUNCTION("""COMPUTED_VALUE"""),"IL")</f>
        <v>IL</v>
      </c>
      <c r="D3329" s="170" t="str">
        <f>IFERROR(__xludf.DUMMYFUNCTION("""COMPUTED_VALUE"""),"USA")</f>
        <v>USA</v>
      </c>
      <c r="E3329" s="171">
        <f>IFERROR(__xludf.DUMMYFUNCTION("""COMPUTED_VALUE"""),43263.0)</f>
        <v>43263</v>
      </c>
      <c r="F3329" s="172">
        <f>IFERROR(__xludf.DUMMYFUNCTION("""COMPUTED_VALUE"""),43312.0)</f>
        <v>43312</v>
      </c>
      <c r="G3329" s="173"/>
      <c r="H3329" s="174">
        <f>IFERROR(__xludf.DUMMYFUNCTION("""COMPUTED_VALUE"""),54855.0)</f>
        <v>54855</v>
      </c>
      <c r="I3329" s="175" t="str">
        <f>IFERROR(__xludf.DUMMYFUNCTION("""COMPUTED_VALUE"""),"07/18")</f>
        <v>07/18</v>
      </c>
      <c r="J3329" s="172">
        <f>IFERROR(__xludf.DUMMYFUNCTION("""COMPUTED_VALUE"""),43342.0)</f>
        <v>43342</v>
      </c>
      <c r="K3329" s="176">
        <f>IFERROR(__xludf.DUMMYFUNCTION("""COMPUTED_VALUE"""),49.0)</f>
        <v>49</v>
      </c>
      <c r="L3329" s="176">
        <f>IFERROR(__xludf.DUMMYFUNCTION("""COMPUTED_VALUE"""),30.0)</f>
        <v>30</v>
      </c>
      <c r="M3329" s="176">
        <f>IFERROR(__xludf.DUMMYFUNCTION("""COMPUTED_VALUE"""),79.0)</f>
        <v>79</v>
      </c>
      <c r="N3329" s="177" t="str">
        <f>IFERROR(__xludf.DUMMYFUNCTION("""COMPUTED_VALUE"""),"Model 3 LR AWD")</f>
        <v>Model 3 LR AWD</v>
      </c>
      <c r="O3329" s="177" t="str">
        <f>IFERROR(__xludf.DUMMYFUNCTION("""COMPUTED_VALUE"""),"Midnight Silver Metallic")</f>
        <v>Midnight Silver Metallic</v>
      </c>
      <c r="P3329" s="178" t="str">
        <f>IFERROR(__xludf.DUMMYFUNCTION("""COMPUTED_VALUE"""),"18 inch Aero")</f>
        <v>18 inch Aero</v>
      </c>
      <c r="Q3329" s="177" t="str">
        <f>IFERROR(__xludf.DUMMYFUNCTION("""COMPUTED_VALUE"""),"Black seats")</f>
        <v>Black seats</v>
      </c>
      <c r="R3329" s="170" t="str">
        <f>IFERROR(__xludf.DUMMYFUNCTION("""COMPUTED_VALUE"""),"Enhanced Autopilot")</f>
        <v>Enhanced Autopilot</v>
      </c>
      <c r="S3329" s="170"/>
      <c r="T3329" s="179"/>
      <c r="U3329" s="179"/>
      <c r="V3329" s="179"/>
      <c r="W3329" s="180"/>
      <c r="X3329" s="181" t="str">
        <f>IFERROR(__xludf.DUMMYFUNCTION("""COMPUTED_VALUE"""),"Very Good")</f>
        <v>Very Good</v>
      </c>
      <c r="Y3329" s="182" t="str">
        <f>IFERROR(__xludf.DUMMYFUNCTION("""COMPUTED_VALUE"""),"Good")</f>
        <v>Good</v>
      </c>
      <c r="Z3329" s="182" t="str">
        <f>IFERROR(__xludf.DUMMYFUNCTION("""COMPUTED_VALUE"""),"Fair")</f>
        <v>Fair</v>
      </c>
      <c r="AA3329" s="182" t="str">
        <f>IFERROR(__xludf.DUMMYFUNCTION("""COMPUTED_VALUE"""),"Poor")</f>
        <v>Poor</v>
      </c>
      <c r="AB3329" s="182" t="str">
        <f>IFERROR(__xludf.DUMMYFUNCTION("""COMPUTED_VALUE"""),"Good")</f>
        <v>Good</v>
      </c>
      <c r="AC3329" s="183">
        <f>IFERROR(__xludf.DUMMYFUNCTION("""COMPUTED_VALUE"""),7.0)</f>
        <v>7</v>
      </c>
      <c r="AD3329" s="183">
        <f>IFERROR(__xludf.DUMMYFUNCTION("""COMPUTED_VALUE"""),2.0)</f>
        <v>2</v>
      </c>
      <c r="AE3329" s="183">
        <f>IFERROR(__xludf.DUMMYFUNCTION("""COMPUTED_VALUE"""),3.0)</f>
        <v>3</v>
      </c>
      <c r="AF3329" s="184"/>
      <c r="AG3329" s="180"/>
      <c r="AH3329" s="185">
        <f>IFERROR(__xludf.DUMMYFUNCTION("""COMPUTED_VALUE"""),43369.34088804398)</f>
        <v>43369.34089</v>
      </c>
      <c r="AI3329" s="182"/>
      <c r="AJ3329" s="182"/>
      <c r="AK3329" s="182"/>
      <c r="AL3329" s="182"/>
    </row>
    <row r="3330" ht="20.25" customHeight="1">
      <c r="A3330" s="169" t="str">
        <f>IFERROR(__xludf.DUMMYFUNCTION("""COMPUTED_VALUE"""),"Scott")</f>
        <v>Scott</v>
      </c>
      <c r="B3330" s="170"/>
      <c r="C3330" s="170" t="str">
        <f>IFERROR(__xludf.DUMMYFUNCTION("""COMPUTED_VALUE"""),"OK")</f>
        <v>OK</v>
      </c>
      <c r="D3330" s="170" t="str">
        <f>IFERROR(__xludf.DUMMYFUNCTION("""COMPUTED_VALUE"""),"USA")</f>
        <v>USA</v>
      </c>
      <c r="E3330" s="171">
        <f>IFERROR(__xludf.DUMMYFUNCTION("""COMPUTED_VALUE"""),43263.0)</f>
        <v>43263</v>
      </c>
      <c r="F3330" s="172">
        <f>IFERROR(__xludf.DUMMYFUNCTION("""COMPUTED_VALUE"""),43382.0)</f>
        <v>43382</v>
      </c>
      <c r="G3330" s="173"/>
      <c r="H3330" s="174">
        <f>IFERROR(__xludf.DUMMYFUNCTION("""COMPUTED_VALUE"""),87255.0)</f>
        <v>87255</v>
      </c>
      <c r="I3330" s="175" t="str">
        <f>IFERROR(__xludf.DUMMYFUNCTION("""COMPUTED_VALUE"""),"09/18")</f>
        <v>09/18</v>
      </c>
      <c r="J3330" s="172">
        <f>IFERROR(__xludf.DUMMYFUNCTION("""COMPUTED_VALUE"""),43386.0)</f>
        <v>43386</v>
      </c>
      <c r="K3330" s="176">
        <f>IFERROR(__xludf.DUMMYFUNCTION("""COMPUTED_VALUE"""),119.0)</f>
        <v>119</v>
      </c>
      <c r="L3330" s="176">
        <f>IFERROR(__xludf.DUMMYFUNCTION("""COMPUTED_VALUE"""),4.0)</f>
        <v>4</v>
      </c>
      <c r="M3330" s="176">
        <f>IFERROR(__xludf.DUMMYFUNCTION("""COMPUTED_VALUE"""),123.0)</f>
        <v>123</v>
      </c>
      <c r="N3330" s="177" t="str">
        <f>IFERROR(__xludf.DUMMYFUNCTION("""COMPUTED_VALUE"""),"Model 3 LR AWD")</f>
        <v>Model 3 LR AWD</v>
      </c>
      <c r="O3330" s="177" t="str">
        <f>IFERROR(__xludf.DUMMYFUNCTION("""COMPUTED_VALUE"""),"Midnight Silver Metallic")</f>
        <v>Midnight Silver Metallic</v>
      </c>
      <c r="P3330" s="178" t="str">
        <f>IFERROR(__xludf.DUMMYFUNCTION("""COMPUTED_VALUE"""),"19 inch Sport")</f>
        <v>19 inch Sport</v>
      </c>
      <c r="Q3330" s="177" t="str">
        <f>IFERROR(__xludf.DUMMYFUNCTION("""COMPUTED_VALUE"""),"Black seats")</f>
        <v>Black seats</v>
      </c>
      <c r="R3330" s="170" t="str">
        <f>IFERROR(__xludf.DUMMYFUNCTION("""COMPUTED_VALUE"""),"None")</f>
        <v>None</v>
      </c>
      <c r="S3330" s="170"/>
      <c r="T3330" s="179"/>
      <c r="U3330" s="179"/>
      <c r="V3330" s="179"/>
      <c r="W3330" s="180"/>
      <c r="X3330" s="181" t="str">
        <f>IFERROR(__xludf.DUMMYFUNCTION("""COMPUTED_VALUE"""),"Excellent")</f>
        <v>Excellent</v>
      </c>
      <c r="Y3330" s="182" t="str">
        <f>IFERROR(__xludf.DUMMYFUNCTION("""COMPUTED_VALUE"""),"Excellent")</f>
        <v>Excellent</v>
      </c>
      <c r="Z3330" s="182" t="str">
        <f>IFERROR(__xludf.DUMMYFUNCTION("""COMPUTED_VALUE"""),"Excellent")</f>
        <v>Excellent</v>
      </c>
      <c r="AA3330" s="182" t="str">
        <f>IFERROR(__xludf.DUMMYFUNCTION("""COMPUTED_VALUE"""),"Very Good")</f>
        <v>Very Good</v>
      </c>
      <c r="AB3330" s="182" t="str">
        <f>IFERROR(__xludf.DUMMYFUNCTION("""COMPUTED_VALUE"""),"Excellent")</f>
        <v>Excellent</v>
      </c>
      <c r="AC3330" s="183">
        <f>IFERROR(__xludf.DUMMYFUNCTION("""COMPUTED_VALUE"""),0.0)</f>
        <v>0</v>
      </c>
      <c r="AD3330" s="183">
        <f>IFERROR(__xludf.DUMMYFUNCTION("""COMPUTED_VALUE"""),0.0)</f>
        <v>0</v>
      </c>
      <c r="AE3330" s="183">
        <f>IFERROR(__xludf.DUMMYFUNCTION("""COMPUTED_VALUE"""),0.0)</f>
        <v>0</v>
      </c>
      <c r="AF3330" s="184"/>
      <c r="AG3330" s="180"/>
      <c r="AH3330" s="185">
        <f>IFERROR(__xludf.DUMMYFUNCTION("""COMPUTED_VALUE"""),43387.40144420139)</f>
        <v>43387.40144</v>
      </c>
      <c r="AI3330" s="182"/>
      <c r="AJ3330" s="182"/>
      <c r="AK3330" s="182"/>
      <c r="AL3330" s="182"/>
    </row>
    <row r="3331" ht="20.25" customHeight="1">
      <c r="A3331" s="169" t="str">
        <f>IFERROR(__xludf.DUMMYFUNCTION("""COMPUTED_VALUE"""),"SteveD")</f>
        <v>SteveD</v>
      </c>
      <c r="B3331" s="170" t="str">
        <f>IFERROR(__xludf.DUMMYFUNCTION("""COMPUTED_VALUE"""),"Tacoma ")</f>
        <v>Tacoma </v>
      </c>
      <c r="C3331" s="170" t="str">
        <f>IFERROR(__xludf.DUMMYFUNCTION("""COMPUTED_VALUE"""),"WA")</f>
        <v>WA</v>
      </c>
      <c r="D3331" s="170" t="str">
        <f>IFERROR(__xludf.DUMMYFUNCTION("""COMPUTED_VALUE"""),"USA")</f>
        <v>USA</v>
      </c>
      <c r="E3331" s="171">
        <f>IFERROR(__xludf.DUMMYFUNCTION("""COMPUTED_VALUE"""),43261.0)</f>
        <v>43261</v>
      </c>
      <c r="F3331" s="172"/>
      <c r="G3331" s="173"/>
      <c r="H3331" s="174">
        <f>IFERROR(__xludf.DUMMYFUNCTION("""COMPUTED_VALUE"""),35045.0)</f>
        <v>35045</v>
      </c>
      <c r="I3331" s="175"/>
      <c r="J3331" s="172">
        <f>IFERROR(__xludf.DUMMYFUNCTION("""COMPUTED_VALUE"""),44783.0)</f>
        <v>44783</v>
      </c>
      <c r="K3331" s="176"/>
      <c r="L3331" s="176"/>
      <c r="M3331" s="176"/>
      <c r="N3331" s="177" t="str">
        <f>IFERROR(__xludf.DUMMYFUNCTION("""COMPUTED_VALUE"""),"Model 3 LR")</f>
        <v>Model 3 LR</v>
      </c>
      <c r="O3331" s="177" t="str">
        <f>IFERROR(__xludf.DUMMYFUNCTION("""COMPUTED_VALUE"""),"Red Multi-Coat")</f>
        <v>Red Multi-Coat</v>
      </c>
      <c r="P3331" s="178" t="str">
        <f>IFERROR(__xludf.DUMMYFUNCTION("""COMPUTED_VALUE"""),"19 inch Sport")</f>
        <v>19 inch Sport</v>
      </c>
      <c r="Q3331" s="177" t="str">
        <f>IFERROR(__xludf.DUMMYFUNCTION("""COMPUTED_VALUE"""),"Black seats")</f>
        <v>Black seats</v>
      </c>
      <c r="R3331" s="170" t="str">
        <f>IFERROR(__xludf.DUMMYFUNCTION("""COMPUTED_VALUE"""),"Enhanced Autopilot")</f>
        <v>Enhanced Autopilot</v>
      </c>
      <c r="S3331" s="170"/>
      <c r="T3331" s="179"/>
      <c r="U3331" s="179"/>
      <c r="V3331" s="179"/>
      <c r="W3331" s="180"/>
      <c r="X3331" s="181"/>
      <c r="Y3331" s="182"/>
      <c r="Z3331" s="182"/>
      <c r="AA3331" s="182"/>
      <c r="AB3331" s="182"/>
      <c r="AC3331" s="183"/>
      <c r="AD3331" s="183"/>
      <c r="AE3331" s="183"/>
      <c r="AF3331" s="184"/>
      <c r="AG3331" s="180"/>
      <c r="AH3331" s="185">
        <f>IFERROR(__xludf.DUMMYFUNCTION("""COMPUTED_VALUE"""),43318.73121210648)</f>
        <v>43318.73121</v>
      </c>
      <c r="AI3331" s="182"/>
      <c r="AJ3331" s="182"/>
      <c r="AK3331" s="182"/>
      <c r="AL3331" s="182"/>
    </row>
    <row r="3332" ht="20.25" customHeight="1">
      <c r="A3332" s="169" t="str">
        <f>IFERROR(__xludf.DUMMYFUNCTION("""COMPUTED_VALUE"""),"bcyyztcu")</f>
        <v>bcyyztcu</v>
      </c>
      <c r="B3332" s="170" t="str">
        <f>IFERROR(__xludf.DUMMYFUNCTION("""COMPUTED_VALUE"""),"guelph")</f>
        <v>guelph</v>
      </c>
      <c r="C3332" s="170" t="str">
        <f>IFERROR(__xludf.DUMMYFUNCTION("""COMPUTED_VALUE"""),"ON")</f>
        <v>ON</v>
      </c>
      <c r="D3332" s="170" t="str">
        <f>IFERROR(__xludf.DUMMYFUNCTION("""COMPUTED_VALUE"""),"Canada")</f>
        <v>Canada</v>
      </c>
      <c r="E3332" s="171">
        <f>IFERROR(__xludf.DUMMYFUNCTION("""COMPUTED_VALUE"""),43260.0)</f>
        <v>43260</v>
      </c>
      <c r="F3332" s="172">
        <f>IFERROR(__xludf.DUMMYFUNCTION("""COMPUTED_VALUE"""),43343.0)</f>
        <v>43343</v>
      </c>
      <c r="G3332" s="173"/>
      <c r="H3332" s="174">
        <f>IFERROR(__xludf.DUMMYFUNCTION("""COMPUTED_VALUE"""),95772.0)</f>
        <v>95772</v>
      </c>
      <c r="I3332" s="175" t="str">
        <f>IFERROR(__xludf.DUMMYFUNCTION("""COMPUTED_VALUE"""),"08/18")</f>
        <v>08/18</v>
      </c>
      <c r="J3332" s="172">
        <f>IFERROR(__xludf.DUMMYFUNCTION("""COMPUTED_VALUE"""),43350.0)</f>
        <v>43350</v>
      </c>
      <c r="K3332" s="176">
        <f>IFERROR(__xludf.DUMMYFUNCTION("""COMPUTED_VALUE"""),83.0)</f>
        <v>83</v>
      </c>
      <c r="L3332" s="176">
        <f>IFERROR(__xludf.DUMMYFUNCTION("""COMPUTED_VALUE"""),7.0)</f>
        <v>7</v>
      </c>
      <c r="M3332" s="176">
        <f>IFERROR(__xludf.DUMMYFUNCTION("""COMPUTED_VALUE"""),90.0)</f>
        <v>90</v>
      </c>
      <c r="N3332" s="177" t="str">
        <f>IFERROR(__xludf.DUMMYFUNCTION("""COMPUTED_VALUE"""),"Model 3 LR")</f>
        <v>Model 3 LR</v>
      </c>
      <c r="O3332" s="177" t="str">
        <f>IFERROR(__xludf.DUMMYFUNCTION("""COMPUTED_VALUE"""),"Solid Black")</f>
        <v>Solid Black</v>
      </c>
      <c r="P3332" s="178" t="str">
        <f>IFERROR(__xludf.DUMMYFUNCTION("""COMPUTED_VALUE"""),"18 inch Aero")</f>
        <v>18 inch Aero</v>
      </c>
      <c r="Q3332" s="177" t="str">
        <f>IFERROR(__xludf.DUMMYFUNCTION("""COMPUTED_VALUE"""),"Black seats")</f>
        <v>Black seats</v>
      </c>
      <c r="R3332" s="170" t="str">
        <f>IFERROR(__xludf.DUMMYFUNCTION("""COMPUTED_VALUE"""),"Enhanced Autopilot")</f>
        <v>Enhanced Autopilot</v>
      </c>
      <c r="S3332" s="170"/>
      <c r="T3332" s="179"/>
      <c r="U3332" s="179"/>
      <c r="V3332" s="179"/>
      <c r="W3332" s="180"/>
      <c r="X3332" s="181" t="str">
        <f>IFERROR(__xludf.DUMMYFUNCTION("""COMPUTED_VALUE"""),"Excellent")</f>
        <v>Excellent</v>
      </c>
      <c r="Y3332" s="182" t="str">
        <f>IFERROR(__xludf.DUMMYFUNCTION("""COMPUTED_VALUE"""),"Excellent")</f>
        <v>Excellent</v>
      </c>
      <c r="Z3332" s="182" t="str">
        <f>IFERROR(__xludf.DUMMYFUNCTION("""COMPUTED_VALUE"""),"Excellent")</f>
        <v>Excellent</v>
      </c>
      <c r="AA3332" s="182" t="str">
        <f>IFERROR(__xludf.DUMMYFUNCTION("""COMPUTED_VALUE"""),"Excellent")</f>
        <v>Excellent</v>
      </c>
      <c r="AB3332" s="182" t="str">
        <f>IFERROR(__xludf.DUMMYFUNCTION("""COMPUTED_VALUE"""),"Excellent")</f>
        <v>Excellent</v>
      </c>
      <c r="AC3332" s="183">
        <f>IFERROR(__xludf.DUMMYFUNCTION("""COMPUTED_VALUE"""),1.0)</f>
        <v>1</v>
      </c>
      <c r="AD3332" s="183">
        <f>IFERROR(__xludf.DUMMYFUNCTION("""COMPUTED_VALUE"""),1.0)</f>
        <v>1</v>
      </c>
      <c r="AE3332" s="183">
        <f>IFERROR(__xludf.DUMMYFUNCTION("""COMPUTED_VALUE"""),0.0)</f>
        <v>0</v>
      </c>
      <c r="AF3332" s="184"/>
      <c r="AG3332" s="180"/>
      <c r="AH3332" s="185">
        <f>IFERROR(__xludf.DUMMYFUNCTION("""COMPUTED_VALUE"""),43355.53987318287)</f>
        <v>43355.53987</v>
      </c>
      <c r="AI3332" s="182"/>
      <c r="AJ3332" s="182"/>
      <c r="AK3332" s="182"/>
      <c r="AL3332" s="182"/>
    </row>
    <row r="3333" ht="20.25" customHeight="1">
      <c r="A3333" s="169" t="str">
        <f>IFERROR(__xludf.DUMMYFUNCTION("""COMPUTED_VALUE"""),"theonphan")</f>
        <v>theonphan</v>
      </c>
      <c r="B3333" s="170" t="str">
        <f>IFERROR(__xludf.DUMMYFUNCTION("""COMPUTED_VALUE"""),"Atlanta")</f>
        <v>Atlanta</v>
      </c>
      <c r="C3333" s="170" t="str">
        <f>IFERROR(__xludf.DUMMYFUNCTION("""COMPUTED_VALUE"""),"GA")</f>
        <v>GA</v>
      </c>
      <c r="D3333" s="170" t="str">
        <f>IFERROR(__xludf.DUMMYFUNCTION("""COMPUTED_VALUE"""),"USA")</f>
        <v>USA</v>
      </c>
      <c r="E3333" s="171">
        <f>IFERROR(__xludf.DUMMYFUNCTION("""COMPUTED_VALUE"""),43260.0)</f>
        <v>43260</v>
      </c>
      <c r="F3333" s="172">
        <f>IFERROR(__xludf.DUMMYFUNCTION("""COMPUTED_VALUE"""),43278.0)</f>
        <v>43278</v>
      </c>
      <c r="G3333" s="173"/>
      <c r="H3333" s="174">
        <f>IFERROR(__xludf.DUMMYFUNCTION("""COMPUTED_VALUE"""),39655.0)</f>
        <v>39655</v>
      </c>
      <c r="I3333" s="175" t="str">
        <f>IFERROR(__xludf.DUMMYFUNCTION("""COMPUTED_VALUE"""),"06/18")</f>
        <v>06/18</v>
      </c>
      <c r="J3333" s="172">
        <f>IFERROR(__xludf.DUMMYFUNCTION("""COMPUTED_VALUE"""),43292.0)</f>
        <v>43292</v>
      </c>
      <c r="K3333" s="176">
        <f>IFERROR(__xludf.DUMMYFUNCTION("""COMPUTED_VALUE"""),18.0)</f>
        <v>18</v>
      </c>
      <c r="L3333" s="176">
        <f>IFERROR(__xludf.DUMMYFUNCTION("""COMPUTED_VALUE"""),14.0)</f>
        <v>14</v>
      </c>
      <c r="M3333" s="176">
        <f>IFERROR(__xludf.DUMMYFUNCTION("""COMPUTED_VALUE"""),32.0)</f>
        <v>32</v>
      </c>
      <c r="N3333" s="177" t="str">
        <f>IFERROR(__xludf.DUMMYFUNCTION("""COMPUTED_VALUE"""),"Model 3 LR")</f>
        <v>Model 3 LR</v>
      </c>
      <c r="O3333" s="177" t="str">
        <f>IFERROR(__xludf.DUMMYFUNCTION("""COMPUTED_VALUE"""),"Midnight Silver Metallic")</f>
        <v>Midnight Silver Metallic</v>
      </c>
      <c r="P3333" s="178" t="str">
        <f>IFERROR(__xludf.DUMMYFUNCTION("""COMPUTED_VALUE"""),"18 inch Aero")</f>
        <v>18 inch Aero</v>
      </c>
      <c r="Q3333" s="177" t="str">
        <f>IFERROR(__xludf.DUMMYFUNCTION("""COMPUTED_VALUE"""),"Black seats")</f>
        <v>Black seats</v>
      </c>
      <c r="R3333" s="170" t="str">
        <f>IFERROR(__xludf.DUMMYFUNCTION("""COMPUTED_VALUE"""),"Enhanced Autopilot")</f>
        <v>Enhanced Autopilot</v>
      </c>
      <c r="S3333" s="170"/>
      <c r="T3333" s="179"/>
      <c r="U3333" s="179"/>
      <c r="V3333" s="179"/>
      <c r="W3333" s="180"/>
      <c r="X3333" s="181" t="str">
        <f>IFERROR(__xludf.DUMMYFUNCTION("""COMPUTED_VALUE"""),"Good")</f>
        <v>Good</v>
      </c>
      <c r="Y3333" s="182" t="str">
        <f>IFERROR(__xludf.DUMMYFUNCTION("""COMPUTED_VALUE"""),"Fair")</f>
        <v>Fair</v>
      </c>
      <c r="Z3333" s="182" t="str">
        <f>IFERROR(__xludf.DUMMYFUNCTION("""COMPUTED_VALUE"""),"Fair")</f>
        <v>Fair</v>
      </c>
      <c r="AA3333" s="182" t="str">
        <f>IFERROR(__xludf.DUMMYFUNCTION("""COMPUTED_VALUE"""),"Poor")</f>
        <v>Poor</v>
      </c>
      <c r="AB3333" s="182" t="str">
        <f>IFERROR(__xludf.DUMMYFUNCTION("""COMPUTED_VALUE"""),"Good")</f>
        <v>Good</v>
      </c>
      <c r="AC3333" s="183"/>
      <c r="AD3333" s="183"/>
      <c r="AE3333" s="183"/>
      <c r="AF3333" s="184"/>
      <c r="AG3333" s="180"/>
      <c r="AH3333" s="185">
        <f>IFERROR(__xludf.DUMMYFUNCTION("""COMPUTED_VALUE"""),43292.6568646875)</f>
        <v>43292.65686</v>
      </c>
      <c r="AI3333" s="182"/>
      <c r="AJ3333" s="182"/>
      <c r="AK3333" s="182"/>
      <c r="AL3333" s="182"/>
    </row>
    <row r="3334" ht="20.25" customHeight="1">
      <c r="A3334" s="169" t="str">
        <f>IFERROR(__xludf.DUMMYFUNCTION("""COMPUTED_VALUE"""),"windwater")</f>
        <v>windwater</v>
      </c>
      <c r="B3334" s="170" t="str">
        <f>IFERROR(__xludf.DUMMYFUNCTION("""COMPUTED_VALUE"""),"SF Bay Area")</f>
        <v>SF Bay Area</v>
      </c>
      <c r="C3334" s="170" t="str">
        <f>IFERROR(__xludf.DUMMYFUNCTION("""COMPUTED_VALUE"""),"CA")</f>
        <v>CA</v>
      </c>
      <c r="D3334" s="170" t="str">
        <f>IFERROR(__xludf.DUMMYFUNCTION("""COMPUTED_VALUE"""),"USA")</f>
        <v>USA</v>
      </c>
      <c r="E3334" s="171">
        <f>IFERROR(__xludf.DUMMYFUNCTION("""COMPUTED_VALUE"""),43259.0)</f>
        <v>43259</v>
      </c>
      <c r="F3334" s="172">
        <f>IFERROR(__xludf.DUMMYFUNCTION("""COMPUTED_VALUE"""),43293.0)</f>
        <v>43293</v>
      </c>
      <c r="G3334" s="173"/>
      <c r="H3334" s="174">
        <f>IFERROR(__xludf.DUMMYFUNCTION("""COMPUTED_VALUE"""),41455.0)</f>
        <v>41455</v>
      </c>
      <c r="I3334" s="175"/>
      <c r="J3334" s="172">
        <f>IFERROR(__xludf.DUMMYFUNCTION("""COMPUTED_VALUE"""),43302.0)</f>
        <v>43302</v>
      </c>
      <c r="K3334" s="176">
        <f>IFERROR(__xludf.DUMMYFUNCTION("""COMPUTED_VALUE"""),34.0)</f>
        <v>34</v>
      </c>
      <c r="L3334" s="176">
        <f>IFERROR(__xludf.DUMMYFUNCTION("""COMPUTED_VALUE"""),9.0)</f>
        <v>9</v>
      </c>
      <c r="M3334" s="176">
        <f>IFERROR(__xludf.DUMMYFUNCTION("""COMPUTED_VALUE"""),43.0)</f>
        <v>43</v>
      </c>
      <c r="N3334" s="177" t="str">
        <f>IFERROR(__xludf.DUMMYFUNCTION("""COMPUTED_VALUE"""),"Model 3 LR")</f>
        <v>Model 3 LR</v>
      </c>
      <c r="O3334" s="177" t="str">
        <f>IFERROR(__xludf.DUMMYFUNCTION("""COMPUTED_VALUE"""),"Pearl White Multi-Coat")</f>
        <v>Pearl White Multi-Coat</v>
      </c>
      <c r="P3334" s="178" t="str">
        <f>IFERROR(__xludf.DUMMYFUNCTION("""COMPUTED_VALUE"""),"18 inch Aero")</f>
        <v>18 inch Aero</v>
      </c>
      <c r="Q3334" s="177" t="str">
        <f>IFERROR(__xludf.DUMMYFUNCTION("""COMPUTED_VALUE"""),"Black seats")</f>
        <v>Black seats</v>
      </c>
      <c r="R3334" s="170" t="str">
        <f>IFERROR(__xludf.DUMMYFUNCTION("""COMPUTED_VALUE"""),"Enhanced Autopilot")</f>
        <v>Enhanced Autopilot</v>
      </c>
      <c r="S3334" s="170"/>
      <c r="T3334" s="179"/>
      <c r="U3334" s="179"/>
      <c r="V3334" s="179"/>
      <c r="W3334" s="180"/>
      <c r="X3334" s="181" t="str">
        <f>IFERROR(__xludf.DUMMYFUNCTION("""COMPUTED_VALUE"""),"Excellent")</f>
        <v>Excellent</v>
      </c>
      <c r="Y3334" s="182" t="str">
        <f>IFERROR(__xludf.DUMMYFUNCTION("""COMPUTED_VALUE"""),"Excellent")</f>
        <v>Excellent</v>
      </c>
      <c r="Z3334" s="182" t="str">
        <f>IFERROR(__xludf.DUMMYFUNCTION("""COMPUTED_VALUE"""),"Good")</f>
        <v>Good</v>
      </c>
      <c r="AA3334" s="182" t="str">
        <f>IFERROR(__xludf.DUMMYFUNCTION("""COMPUTED_VALUE"""),"Poor")</f>
        <v>Poor</v>
      </c>
      <c r="AB3334" s="182" t="str">
        <f>IFERROR(__xludf.DUMMYFUNCTION("""COMPUTED_VALUE"""),"Fair")</f>
        <v>Fair</v>
      </c>
      <c r="AC3334" s="183">
        <f>IFERROR(__xludf.DUMMYFUNCTION("""COMPUTED_VALUE"""),3.0)</f>
        <v>3</v>
      </c>
      <c r="AD3334" s="183"/>
      <c r="AE3334" s="183"/>
      <c r="AF3334" s="184"/>
      <c r="AG3334" s="180"/>
      <c r="AH3334" s="185">
        <f>IFERROR(__xludf.DUMMYFUNCTION("""COMPUTED_VALUE"""),43305.010870555554)</f>
        <v>43305.01087</v>
      </c>
      <c r="AI3334" s="182"/>
      <c r="AJ3334" s="182"/>
      <c r="AK3334" s="182"/>
      <c r="AL3334" s="182"/>
    </row>
    <row r="3335" ht="20.25" customHeight="1">
      <c r="A3335" s="169" t="str">
        <f>IFERROR(__xludf.DUMMYFUNCTION("""COMPUTED_VALUE"""),"Cmonyouknowme")</f>
        <v>Cmonyouknowme</v>
      </c>
      <c r="B3335" s="170" t="str">
        <f>IFERROR(__xludf.DUMMYFUNCTION("""COMPUTED_VALUE"""),"Carrollton")</f>
        <v>Carrollton</v>
      </c>
      <c r="C3335" s="170" t="str">
        <f>IFERROR(__xludf.DUMMYFUNCTION("""COMPUTED_VALUE"""),"TX")</f>
        <v>TX</v>
      </c>
      <c r="D3335" s="170" t="str">
        <f>IFERROR(__xludf.DUMMYFUNCTION("""COMPUTED_VALUE"""),"USA")</f>
        <v>USA</v>
      </c>
      <c r="E3335" s="171">
        <f>IFERROR(__xludf.DUMMYFUNCTION("""COMPUTED_VALUE"""),43258.0)</f>
        <v>43258</v>
      </c>
      <c r="F3335" s="172">
        <f>IFERROR(__xludf.DUMMYFUNCTION("""COMPUTED_VALUE"""),43277.0)</f>
        <v>43277</v>
      </c>
      <c r="G3335" s="173"/>
      <c r="H3335" s="174">
        <f>IFERROR(__xludf.DUMMYFUNCTION("""COMPUTED_VALUE"""),31455.0)</f>
        <v>31455</v>
      </c>
      <c r="I3335" s="175" t="str">
        <f>IFERROR(__xludf.DUMMYFUNCTION("""COMPUTED_VALUE"""),"06/18")</f>
        <v>06/18</v>
      </c>
      <c r="J3335" s="172">
        <f>IFERROR(__xludf.DUMMYFUNCTION("""COMPUTED_VALUE"""),43301.0)</f>
        <v>43301</v>
      </c>
      <c r="K3335" s="176">
        <f>IFERROR(__xludf.DUMMYFUNCTION("""COMPUTED_VALUE"""),19.0)</f>
        <v>19</v>
      </c>
      <c r="L3335" s="176">
        <f>IFERROR(__xludf.DUMMYFUNCTION("""COMPUTED_VALUE"""),24.0)</f>
        <v>24</v>
      </c>
      <c r="M3335" s="176">
        <f>IFERROR(__xludf.DUMMYFUNCTION("""COMPUTED_VALUE"""),43.0)</f>
        <v>43</v>
      </c>
      <c r="N3335" s="177" t="str">
        <f>IFERROR(__xludf.DUMMYFUNCTION("""COMPUTED_VALUE"""),"Model 3 LR")</f>
        <v>Model 3 LR</v>
      </c>
      <c r="O3335" s="177" t="str">
        <f>IFERROR(__xludf.DUMMYFUNCTION("""COMPUTED_VALUE"""),"Midnight Silver Metallic")</f>
        <v>Midnight Silver Metallic</v>
      </c>
      <c r="P3335" s="178" t="str">
        <f>IFERROR(__xludf.DUMMYFUNCTION("""COMPUTED_VALUE"""),"18 inch Aero")</f>
        <v>18 inch Aero</v>
      </c>
      <c r="Q3335" s="177" t="str">
        <f>IFERROR(__xludf.DUMMYFUNCTION("""COMPUTED_VALUE"""),"Black seats")</f>
        <v>Black seats</v>
      </c>
      <c r="R3335" s="170" t="str">
        <f>IFERROR(__xludf.DUMMYFUNCTION("""COMPUTED_VALUE"""),"None")</f>
        <v>None</v>
      </c>
      <c r="S3335" s="170"/>
      <c r="T3335" s="179"/>
      <c r="U3335" s="179"/>
      <c r="V3335" s="179"/>
      <c r="W3335" s="180"/>
      <c r="X3335" s="181" t="str">
        <f>IFERROR(__xludf.DUMMYFUNCTION("""COMPUTED_VALUE"""),"Excellent")</f>
        <v>Excellent</v>
      </c>
      <c r="Y3335" s="182" t="str">
        <f>IFERROR(__xludf.DUMMYFUNCTION("""COMPUTED_VALUE"""),"Excellent")</f>
        <v>Excellent</v>
      </c>
      <c r="Z3335" s="182" t="str">
        <f>IFERROR(__xludf.DUMMYFUNCTION("""COMPUTED_VALUE"""),"Excellent")</f>
        <v>Excellent</v>
      </c>
      <c r="AA3335" s="182" t="str">
        <f>IFERROR(__xludf.DUMMYFUNCTION("""COMPUTED_VALUE"""),"Excellent")</f>
        <v>Excellent</v>
      </c>
      <c r="AB3335" s="182" t="str">
        <f>IFERROR(__xludf.DUMMYFUNCTION("""COMPUTED_VALUE"""),"Excellent")</f>
        <v>Excellent</v>
      </c>
      <c r="AC3335" s="183"/>
      <c r="AD3335" s="183"/>
      <c r="AE3335" s="183"/>
      <c r="AF3335" s="184"/>
      <c r="AG3335" s="180"/>
      <c r="AH3335" s="185">
        <f>IFERROR(__xludf.DUMMYFUNCTION("""COMPUTED_VALUE"""),43307.49488189815)</f>
        <v>43307.49488</v>
      </c>
      <c r="AI3335" s="182"/>
      <c r="AJ3335" s="182"/>
      <c r="AK3335" s="182"/>
      <c r="AL3335" s="182"/>
    </row>
    <row r="3336" ht="20.25" customHeight="1">
      <c r="A3336" s="169" t="str">
        <f>IFERROR(__xludf.DUMMYFUNCTION("""COMPUTED_VALUE"""),"Golfpilot")</f>
        <v>Golfpilot</v>
      </c>
      <c r="B3336" s="170" t="str">
        <f>IFERROR(__xludf.DUMMYFUNCTION("""COMPUTED_VALUE"""),"Bay Area ")</f>
        <v>Bay Area </v>
      </c>
      <c r="C3336" s="170" t="str">
        <f>IFERROR(__xludf.DUMMYFUNCTION("""COMPUTED_VALUE"""),"CA")</f>
        <v>CA</v>
      </c>
      <c r="D3336" s="170" t="str">
        <f>IFERROR(__xludf.DUMMYFUNCTION("""COMPUTED_VALUE"""),"USA")</f>
        <v>USA</v>
      </c>
      <c r="E3336" s="171">
        <f>IFERROR(__xludf.DUMMYFUNCTION("""COMPUTED_VALUE"""),43258.0)</f>
        <v>43258</v>
      </c>
      <c r="F3336" s="172">
        <f>IFERROR(__xludf.DUMMYFUNCTION("""COMPUTED_VALUE"""),43338.0)</f>
        <v>43338</v>
      </c>
      <c r="G3336" s="173"/>
      <c r="H3336" s="174">
        <f>IFERROR(__xludf.DUMMYFUNCTION("""COMPUTED_VALUE"""),67117.0)</f>
        <v>67117</v>
      </c>
      <c r="I3336" s="175"/>
      <c r="J3336" s="172">
        <f>IFERROR(__xludf.DUMMYFUNCTION("""COMPUTED_VALUE"""),43340.0)</f>
        <v>43340</v>
      </c>
      <c r="K3336" s="176">
        <f>IFERROR(__xludf.DUMMYFUNCTION("""COMPUTED_VALUE"""),80.0)</f>
        <v>80</v>
      </c>
      <c r="L3336" s="176">
        <f>IFERROR(__xludf.DUMMYFUNCTION("""COMPUTED_VALUE"""),2.0)</f>
        <v>2</v>
      </c>
      <c r="M3336" s="176">
        <f>IFERROR(__xludf.DUMMYFUNCTION("""COMPUTED_VALUE"""),82.0)</f>
        <v>82</v>
      </c>
      <c r="N3336" s="177" t="str">
        <f>IFERROR(__xludf.DUMMYFUNCTION("""COMPUTED_VALUE"""),"Model 3 LR AWD")</f>
        <v>Model 3 LR AWD</v>
      </c>
      <c r="O3336" s="177" t="str">
        <f>IFERROR(__xludf.DUMMYFUNCTION("""COMPUTED_VALUE"""),"Pearl White Multi-Coat")</f>
        <v>Pearl White Multi-Coat</v>
      </c>
      <c r="P3336" s="178" t="str">
        <f>IFERROR(__xludf.DUMMYFUNCTION("""COMPUTED_VALUE"""),"18 inch Aero")</f>
        <v>18 inch Aero</v>
      </c>
      <c r="Q3336" s="177" t="str">
        <f>IFERROR(__xludf.DUMMYFUNCTION("""COMPUTED_VALUE"""),"Black seats")</f>
        <v>Black seats</v>
      </c>
      <c r="R3336" s="170" t="str">
        <f>IFERROR(__xludf.DUMMYFUNCTION("""COMPUTED_VALUE"""),"Enhanced Autopilot")</f>
        <v>Enhanced Autopilot</v>
      </c>
      <c r="S3336" s="170"/>
      <c r="T3336" s="179"/>
      <c r="U3336" s="179"/>
      <c r="V3336" s="179"/>
      <c r="W3336" s="180"/>
      <c r="X3336" s="181" t="str">
        <f>IFERROR(__xludf.DUMMYFUNCTION("""COMPUTED_VALUE"""),"Very Good")</f>
        <v>Very Good</v>
      </c>
      <c r="Y3336" s="182" t="str">
        <f>IFERROR(__xludf.DUMMYFUNCTION("""COMPUTED_VALUE"""),"Excellent")</f>
        <v>Excellent</v>
      </c>
      <c r="Z3336" s="182" t="str">
        <f>IFERROR(__xludf.DUMMYFUNCTION("""COMPUTED_VALUE"""),"Very Good")</f>
        <v>Very Good</v>
      </c>
      <c r="AA3336" s="182" t="str">
        <f>IFERROR(__xludf.DUMMYFUNCTION("""COMPUTED_VALUE"""),"Excellent")</f>
        <v>Excellent</v>
      </c>
      <c r="AB3336" s="182" t="str">
        <f>IFERROR(__xludf.DUMMYFUNCTION("""COMPUTED_VALUE"""),"Good")</f>
        <v>Good</v>
      </c>
      <c r="AC3336" s="183">
        <f>IFERROR(__xludf.DUMMYFUNCTION("""COMPUTED_VALUE"""),2.0)</f>
        <v>2</v>
      </c>
      <c r="AD3336" s="183">
        <f>IFERROR(__xludf.DUMMYFUNCTION("""COMPUTED_VALUE"""),0.0)</f>
        <v>0</v>
      </c>
      <c r="AE3336" s="183">
        <f>IFERROR(__xludf.DUMMYFUNCTION("""COMPUTED_VALUE"""),0.0)</f>
        <v>0</v>
      </c>
      <c r="AF3336" s="184"/>
      <c r="AG3336" s="180" t="str">
        <f>IFERROR(__xludf.DUMMYFUNCTION("""COMPUTED_VALUE"""),"Drove off lot with wrong car... lmao")</f>
        <v>Drove off lot with wrong car... lmao</v>
      </c>
      <c r="AH3336" s="185">
        <f>IFERROR(__xludf.DUMMYFUNCTION("""COMPUTED_VALUE"""),43341.33905195602)</f>
        <v>43341.33905</v>
      </c>
      <c r="AI3336" s="182"/>
      <c r="AJ3336" s="182"/>
      <c r="AK3336" s="182"/>
      <c r="AL3336" s="182"/>
    </row>
    <row r="3337" ht="20.25" customHeight="1">
      <c r="A3337" s="169" t="str">
        <f>IFERROR(__xludf.DUMMYFUNCTION("""COMPUTED_VALUE"""),"NJturtlePower")</f>
        <v>NJturtlePower</v>
      </c>
      <c r="B3337" s="170" t="str">
        <f>IFERROR(__xludf.DUMMYFUNCTION("""COMPUTED_VALUE"""),"Flemington")</f>
        <v>Flemington</v>
      </c>
      <c r="C3337" s="170" t="str">
        <f>IFERROR(__xludf.DUMMYFUNCTION("""COMPUTED_VALUE"""),"NJ")</f>
        <v>NJ</v>
      </c>
      <c r="D3337" s="170" t="str">
        <f>IFERROR(__xludf.DUMMYFUNCTION("""COMPUTED_VALUE"""),"USA")</f>
        <v>USA</v>
      </c>
      <c r="E3337" s="171">
        <f>IFERROR(__xludf.DUMMYFUNCTION("""COMPUTED_VALUE"""),43257.0)</f>
        <v>43257</v>
      </c>
      <c r="F3337" s="172">
        <f>IFERROR(__xludf.DUMMYFUNCTION("""COMPUTED_VALUE"""),43278.0)</f>
        <v>43278</v>
      </c>
      <c r="G3337" s="173"/>
      <c r="H3337" s="174">
        <f>IFERROR(__xludf.DUMMYFUNCTION("""COMPUTED_VALUE"""),37310.0)</f>
        <v>37310</v>
      </c>
      <c r="I3337" s="175" t="str">
        <f>IFERROR(__xludf.DUMMYFUNCTION("""COMPUTED_VALUE"""),"06/18")</f>
        <v>06/18</v>
      </c>
      <c r="J3337" s="172">
        <f>IFERROR(__xludf.DUMMYFUNCTION("""COMPUTED_VALUE"""),43294.0)</f>
        <v>43294</v>
      </c>
      <c r="K3337" s="176">
        <f>IFERROR(__xludf.DUMMYFUNCTION("""COMPUTED_VALUE"""),21.0)</f>
        <v>21</v>
      </c>
      <c r="L3337" s="176">
        <f>IFERROR(__xludf.DUMMYFUNCTION("""COMPUTED_VALUE"""),16.0)</f>
        <v>16</v>
      </c>
      <c r="M3337" s="176">
        <f>IFERROR(__xludf.DUMMYFUNCTION("""COMPUTED_VALUE"""),37.0)</f>
        <v>37</v>
      </c>
      <c r="N3337" s="177" t="str">
        <f>IFERROR(__xludf.DUMMYFUNCTION("""COMPUTED_VALUE"""),"Model 3 LR")</f>
        <v>Model 3 LR</v>
      </c>
      <c r="O3337" s="177" t="str">
        <f>IFERROR(__xludf.DUMMYFUNCTION("""COMPUTED_VALUE"""),"Silver Metallic")</f>
        <v>Silver Metallic</v>
      </c>
      <c r="P3337" s="178" t="str">
        <f>IFERROR(__xludf.DUMMYFUNCTION("""COMPUTED_VALUE"""),"18 inch Aero")</f>
        <v>18 inch Aero</v>
      </c>
      <c r="Q3337" s="177" t="str">
        <f>IFERROR(__xludf.DUMMYFUNCTION("""COMPUTED_VALUE"""),"Black seats")</f>
        <v>Black seats</v>
      </c>
      <c r="R3337" s="170" t="str">
        <f>IFERROR(__xludf.DUMMYFUNCTION("""COMPUTED_VALUE"""),"None")</f>
        <v>None</v>
      </c>
      <c r="S3337" s="170"/>
      <c r="T3337" s="179"/>
      <c r="U3337" s="179"/>
      <c r="V3337" s="179"/>
      <c r="W3337" s="180"/>
      <c r="X3337" s="181" t="str">
        <f>IFERROR(__xludf.DUMMYFUNCTION("""COMPUTED_VALUE"""),"Excellent")</f>
        <v>Excellent</v>
      </c>
      <c r="Y3337" s="182" t="str">
        <f>IFERROR(__xludf.DUMMYFUNCTION("""COMPUTED_VALUE"""),"Very Good")</f>
        <v>Very Good</v>
      </c>
      <c r="Z3337" s="182" t="str">
        <f>IFERROR(__xludf.DUMMYFUNCTION("""COMPUTED_VALUE"""),"Very Good")</f>
        <v>Very Good</v>
      </c>
      <c r="AA3337" s="182" t="str">
        <f>IFERROR(__xludf.DUMMYFUNCTION("""COMPUTED_VALUE"""),"Excellent")</f>
        <v>Excellent</v>
      </c>
      <c r="AB3337" s="182" t="str">
        <f>IFERROR(__xludf.DUMMYFUNCTION("""COMPUTED_VALUE"""),"Excellent")</f>
        <v>Excellent</v>
      </c>
      <c r="AC3337" s="183">
        <f>IFERROR(__xludf.DUMMYFUNCTION("""COMPUTED_VALUE"""),2.0)</f>
        <v>2</v>
      </c>
      <c r="AD3337" s="183"/>
      <c r="AE3337" s="183"/>
      <c r="AF3337" s="184"/>
      <c r="AG3337" s="180"/>
      <c r="AH3337" s="185">
        <f>IFERROR(__xludf.DUMMYFUNCTION("""COMPUTED_VALUE"""),43297.48429305555)</f>
        <v>43297.48429</v>
      </c>
      <c r="AI3337" s="182"/>
      <c r="AJ3337" s="182"/>
      <c r="AK3337" s="182"/>
      <c r="AL3337" s="182"/>
    </row>
    <row r="3338" ht="20.25" customHeight="1">
      <c r="A3338" s="169" t="str">
        <f>IFERROR(__xludf.DUMMYFUNCTION("""COMPUTED_VALUE"""),"cchowe")</f>
        <v>cchowe</v>
      </c>
      <c r="B3338" s="170" t="str">
        <f>IFERROR(__xludf.DUMMYFUNCTION("""COMPUTED_VALUE"""),"Stow")</f>
        <v>Stow</v>
      </c>
      <c r="C3338" s="170" t="str">
        <f>IFERROR(__xludf.DUMMYFUNCTION("""COMPUTED_VALUE"""),"MA")</f>
        <v>MA</v>
      </c>
      <c r="D3338" s="170" t="str">
        <f>IFERROR(__xludf.DUMMYFUNCTION("""COMPUTED_VALUE"""),"USA")</f>
        <v>USA</v>
      </c>
      <c r="E3338" s="171">
        <f>IFERROR(__xludf.DUMMYFUNCTION("""COMPUTED_VALUE"""),43256.0)</f>
        <v>43256</v>
      </c>
      <c r="F3338" s="172">
        <f>IFERROR(__xludf.DUMMYFUNCTION("""COMPUTED_VALUE"""),43322.0)</f>
        <v>43322</v>
      </c>
      <c r="G3338" s="173"/>
      <c r="H3338" s="174">
        <f>IFERROR(__xludf.DUMMYFUNCTION("""COMPUTED_VALUE"""),64055.0)</f>
        <v>64055</v>
      </c>
      <c r="I3338" s="175" t="str">
        <f>IFERROR(__xludf.DUMMYFUNCTION("""COMPUTED_VALUE"""),"08/18")</f>
        <v>08/18</v>
      </c>
      <c r="J3338" s="172">
        <f>IFERROR(__xludf.DUMMYFUNCTION("""COMPUTED_VALUE"""),43350.0)</f>
        <v>43350</v>
      </c>
      <c r="K3338" s="176">
        <f>IFERROR(__xludf.DUMMYFUNCTION("""COMPUTED_VALUE"""),66.0)</f>
        <v>66</v>
      </c>
      <c r="L3338" s="176">
        <f>IFERROR(__xludf.DUMMYFUNCTION("""COMPUTED_VALUE"""),28.0)</f>
        <v>28</v>
      </c>
      <c r="M3338" s="176">
        <f>IFERROR(__xludf.DUMMYFUNCTION("""COMPUTED_VALUE"""),94.0)</f>
        <v>94</v>
      </c>
      <c r="N3338" s="177" t="str">
        <f>IFERROR(__xludf.DUMMYFUNCTION("""COMPUTED_VALUE"""),"Model 3 LR AWD")</f>
        <v>Model 3 LR AWD</v>
      </c>
      <c r="O3338" s="177" t="str">
        <f>IFERROR(__xludf.DUMMYFUNCTION("""COMPUTED_VALUE"""),"Red Multi-Coat")</f>
        <v>Red Multi-Coat</v>
      </c>
      <c r="P3338" s="178" t="str">
        <f>IFERROR(__xludf.DUMMYFUNCTION("""COMPUTED_VALUE"""),"18 inch Aero")</f>
        <v>18 inch Aero</v>
      </c>
      <c r="Q3338" s="177" t="str">
        <f>IFERROR(__xludf.DUMMYFUNCTION("""COMPUTED_VALUE"""),"Black seats")</f>
        <v>Black seats</v>
      </c>
      <c r="R3338" s="170" t="str">
        <f>IFERROR(__xludf.DUMMYFUNCTION("""COMPUTED_VALUE"""),"Enhanced Autopilot")</f>
        <v>Enhanced Autopilot</v>
      </c>
      <c r="S3338" s="170"/>
      <c r="T3338" s="179"/>
      <c r="U3338" s="179"/>
      <c r="V3338" s="179"/>
      <c r="W3338" s="180"/>
      <c r="X3338" s="181" t="str">
        <f>IFERROR(__xludf.DUMMYFUNCTION("""COMPUTED_VALUE"""),"Excellent")</f>
        <v>Excellent</v>
      </c>
      <c r="Y3338" s="182" t="str">
        <f>IFERROR(__xludf.DUMMYFUNCTION("""COMPUTED_VALUE"""),"Excellent")</f>
        <v>Excellent</v>
      </c>
      <c r="Z3338" s="182" t="str">
        <f>IFERROR(__xludf.DUMMYFUNCTION("""COMPUTED_VALUE"""),"Excellent")</f>
        <v>Excellent</v>
      </c>
      <c r="AA3338" s="182" t="str">
        <f>IFERROR(__xludf.DUMMYFUNCTION("""COMPUTED_VALUE"""),"Very Good")</f>
        <v>Very Good</v>
      </c>
      <c r="AB3338" s="182" t="str">
        <f>IFERROR(__xludf.DUMMYFUNCTION("""COMPUTED_VALUE"""),"Excellent")</f>
        <v>Excellent</v>
      </c>
      <c r="AC3338" s="183">
        <f>IFERROR(__xludf.DUMMYFUNCTION("""COMPUTED_VALUE"""),0.0)</f>
        <v>0</v>
      </c>
      <c r="AD3338" s="183"/>
      <c r="AE3338" s="183"/>
      <c r="AF3338" s="184"/>
      <c r="AG3338" s="180" t="str">
        <f>IFERROR(__xludf.DUMMYFUNCTION("""COMPUTED_VALUE"""),"We do hear quiet beeping/whining from front motor. Unsure as of yet if we'll have service look at it; it's not terribly loud, but it is noticeable because the rest of the car is so quiet.")</f>
        <v>We do hear quiet beeping/whining from front motor. Unsure as of yet if we'll have service look at it; it's not terribly loud, but it is noticeable because the rest of the car is so quiet.</v>
      </c>
      <c r="AH3338" s="185">
        <f>IFERROR(__xludf.DUMMYFUNCTION("""COMPUTED_VALUE"""),43350.42502200231)</f>
        <v>43350.42502</v>
      </c>
      <c r="AI3338" s="182"/>
      <c r="AJ3338" s="182"/>
      <c r="AK3338" s="182"/>
      <c r="AL3338" s="182"/>
    </row>
    <row r="3339" ht="20.25" customHeight="1">
      <c r="A3339" s="169" t="str">
        <f>IFERROR(__xludf.DUMMYFUNCTION("""COMPUTED_VALUE"""),"favo")</f>
        <v>favo</v>
      </c>
      <c r="B3339" s="170" t="str">
        <f>IFERROR(__xludf.DUMMYFUNCTION("""COMPUTED_VALUE"""),"Durham")</f>
        <v>Durham</v>
      </c>
      <c r="C3339" s="170" t="str">
        <f>IFERROR(__xludf.DUMMYFUNCTION("""COMPUTED_VALUE"""),"NC")</f>
        <v>NC</v>
      </c>
      <c r="D3339" s="170" t="str">
        <f>IFERROR(__xludf.DUMMYFUNCTION("""COMPUTED_VALUE"""),"USA")</f>
        <v>USA</v>
      </c>
      <c r="E3339" s="171">
        <f>IFERROR(__xludf.DUMMYFUNCTION("""COMPUTED_VALUE"""),43256.0)</f>
        <v>43256</v>
      </c>
      <c r="F3339" s="172">
        <f>IFERROR(__xludf.DUMMYFUNCTION("""COMPUTED_VALUE"""),43302.0)</f>
        <v>43302</v>
      </c>
      <c r="G3339" s="173"/>
      <c r="H3339" s="174">
        <f>IFERROR(__xludf.DUMMYFUNCTION("""COMPUTED_VALUE"""),55455.0)</f>
        <v>55455</v>
      </c>
      <c r="I3339" s="175" t="str">
        <f>IFERROR(__xludf.DUMMYFUNCTION("""COMPUTED_VALUE"""),"07/18")</f>
        <v>07/18</v>
      </c>
      <c r="J3339" s="172">
        <f>IFERROR(__xludf.DUMMYFUNCTION("""COMPUTED_VALUE"""),43340.0)</f>
        <v>43340</v>
      </c>
      <c r="K3339" s="176">
        <f>IFERROR(__xludf.DUMMYFUNCTION("""COMPUTED_VALUE"""),46.0)</f>
        <v>46</v>
      </c>
      <c r="L3339" s="176">
        <f>IFERROR(__xludf.DUMMYFUNCTION("""COMPUTED_VALUE"""),38.0)</f>
        <v>38</v>
      </c>
      <c r="M3339" s="176">
        <f>IFERROR(__xludf.DUMMYFUNCTION("""COMPUTED_VALUE"""),84.0)</f>
        <v>84</v>
      </c>
      <c r="N3339" s="177" t="str">
        <f>IFERROR(__xludf.DUMMYFUNCTION("""COMPUTED_VALUE"""),"Model 3 Performance")</f>
        <v>Model 3 Performance</v>
      </c>
      <c r="O3339" s="177" t="str">
        <f>IFERROR(__xludf.DUMMYFUNCTION("""COMPUTED_VALUE"""),"Red Multi-Coat")</f>
        <v>Red Multi-Coat</v>
      </c>
      <c r="P3339" s="178" t="str">
        <f>IFERROR(__xludf.DUMMYFUNCTION("""COMPUTED_VALUE"""),"20 inch Sport")</f>
        <v>20 inch Sport</v>
      </c>
      <c r="Q3339" s="177" t="str">
        <f>IFERROR(__xludf.DUMMYFUNCTION("""COMPUTED_VALUE"""),"White seats")</f>
        <v>White seats</v>
      </c>
      <c r="R3339" s="170" t="str">
        <f>IFERROR(__xludf.DUMMYFUNCTION("""COMPUTED_VALUE"""),"Enhanced Autopilot")</f>
        <v>Enhanced Autopilot</v>
      </c>
      <c r="S3339" s="170"/>
      <c r="T3339" s="179"/>
      <c r="U3339" s="179"/>
      <c r="V3339" s="179"/>
      <c r="W3339" s="180"/>
      <c r="X3339" s="181" t="str">
        <f>IFERROR(__xludf.DUMMYFUNCTION("""COMPUTED_VALUE"""),"Excellent")</f>
        <v>Excellent</v>
      </c>
      <c r="Y3339" s="182" t="str">
        <f>IFERROR(__xludf.DUMMYFUNCTION("""COMPUTED_VALUE"""),"Excellent")</f>
        <v>Excellent</v>
      </c>
      <c r="Z3339" s="182" t="str">
        <f>IFERROR(__xludf.DUMMYFUNCTION("""COMPUTED_VALUE"""),"Very Good")</f>
        <v>Very Good</v>
      </c>
      <c r="AA3339" s="182" t="str">
        <f>IFERROR(__xludf.DUMMYFUNCTION("""COMPUTED_VALUE"""),"Excellent")</f>
        <v>Excellent</v>
      </c>
      <c r="AB3339" s="182" t="str">
        <f>IFERROR(__xludf.DUMMYFUNCTION("""COMPUTED_VALUE"""),"Excellent")</f>
        <v>Excellent</v>
      </c>
      <c r="AC3339" s="183">
        <f>IFERROR(__xludf.DUMMYFUNCTION("""COMPUTED_VALUE"""),3.0)</f>
        <v>3</v>
      </c>
      <c r="AD3339" s="183">
        <f>IFERROR(__xludf.DUMMYFUNCTION("""COMPUTED_VALUE"""),1.0)</f>
        <v>1</v>
      </c>
      <c r="AE3339" s="183">
        <f>IFERROR(__xludf.DUMMYFUNCTION("""COMPUTED_VALUE"""),0.0)</f>
        <v>0</v>
      </c>
      <c r="AF3339" s="184"/>
      <c r="AG3339" s="180" t="str">
        <f>IFERROR(__xludf.DUMMYFUNCTION("""COMPUTED_VALUE"""),"5/31 P/D invite")</f>
        <v>5/31 P/D invite</v>
      </c>
      <c r="AH3339" s="185">
        <f>IFERROR(__xludf.DUMMYFUNCTION("""COMPUTED_VALUE"""),43357.55289537037)</f>
        <v>43357.5529</v>
      </c>
      <c r="AI3339" s="182"/>
      <c r="AJ3339" s="182"/>
      <c r="AK3339" s="182"/>
      <c r="AL3339" s="182"/>
    </row>
    <row r="3340" ht="20.25" customHeight="1">
      <c r="A3340" s="169" t="str">
        <f>IFERROR(__xludf.DUMMYFUNCTION("""COMPUTED_VALUE"""),"hjelmn")</f>
        <v>hjelmn</v>
      </c>
      <c r="B3340" s="170" t="str">
        <f>IFERROR(__xludf.DUMMYFUNCTION("""COMPUTED_VALUE"""),"Los Alamos")</f>
        <v>Los Alamos</v>
      </c>
      <c r="C3340" s="170" t="str">
        <f>IFERROR(__xludf.DUMMYFUNCTION("""COMPUTED_VALUE"""),"NM")</f>
        <v>NM</v>
      </c>
      <c r="D3340" s="170" t="str">
        <f>IFERROR(__xludf.DUMMYFUNCTION("""COMPUTED_VALUE"""),"USA")</f>
        <v>USA</v>
      </c>
      <c r="E3340" s="171">
        <f>IFERROR(__xludf.DUMMYFUNCTION("""COMPUTED_VALUE"""),43255.0)</f>
        <v>43255</v>
      </c>
      <c r="F3340" s="172">
        <f>IFERROR(__xludf.DUMMYFUNCTION("""COMPUTED_VALUE"""),43275.0)</f>
        <v>43275</v>
      </c>
      <c r="G3340" s="173"/>
      <c r="H3340" s="174">
        <f>IFERROR(__xludf.DUMMYFUNCTION("""COMPUTED_VALUE"""),40555.0)</f>
        <v>40555</v>
      </c>
      <c r="I3340" s="175" t="str">
        <f>IFERROR(__xludf.DUMMYFUNCTION("""COMPUTED_VALUE"""),"06/18")</f>
        <v>06/18</v>
      </c>
      <c r="J3340" s="172">
        <f>IFERROR(__xludf.DUMMYFUNCTION("""COMPUTED_VALUE"""),43288.0)</f>
        <v>43288</v>
      </c>
      <c r="K3340" s="176">
        <f>IFERROR(__xludf.DUMMYFUNCTION("""COMPUTED_VALUE"""),20.0)</f>
        <v>20</v>
      </c>
      <c r="L3340" s="176">
        <f>IFERROR(__xludf.DUMMYFUNCTION("""COMPUTED_VALUE"""),13.0)</f>
        <v>13</v>
      </c>
      <c r="M3340" s="176">
        <f>IFERROR(__xludf.DUMMYFUNCTION("""COMPUTED_VALUE"""),33.0)</f>
        <v>33</v>
      </c>
      <c r="N3340" s="177" t="str">
        <f>IFERROR(__xludf.DUMMYFUNCTION("""COMPUTED_VALUE"""),"Model 3 LR")</f>
        <v>Model 3 LR</v>
      </c>
      <c r="O3340" s="177" t="str">
        <f>IFERROR(__xludf.DUMMYFUNCTION("""COMPUTED_VALUE"""),"Red Multi-Coat")</f>
        <v>Red Multi-Coat</v>
      </c>
      <c r="P3340" s="178" t="str">
        <f>IFERROR(__xludf.DUMMYFUNCTION("""COMPUTED_VALUE"""),"18 inch Aero")</f>
        <v>18 inch Aero</v>
      </c>
      <c r="Q3340" s="177" t="str">
        <f>IFERROR(__xludf.DUMMYFUNCTION("""COMPUTED_VALUE"""),"Black seats")</f>
        <v>Black seats</v>
      </c>
      <c r="R3340" s="170" t="str">
        <f>IFERROR(__xludf.DUMMYFUNCTION("""COMPUTED_VALUE"""),"Enhanced Autopilot")</f>
        <v>Enhanced Autopilot</v>
      </c>
      <c r="S3340" s="170"/>
      <c r="T3340" s="179"/>
      <c r="U3340" s="179"/>
      <c r="V3340" s="179"/>
      <c r="W3340" s="180"/>
      <c r="X3340" s="181" t="str">
        <f>IFERROR(__xludf.DUMMYFUNCTION("""COMPUTED_VALUE"""),"Very Good")</f>
        <v>Very Good</v>
      </c>
      <c r="Y3340" s="182" t="str">
        <f>IFERROR(__xludf.DUMMYFUNCTION("""COMPUTED_VALUE"""),"Excellent")</f>
        <v>Excellent</v>
      </c>
      <c r="Z3340" s="182" t="str">
        <f>IFERROR(__xludf.DUMMYFUNCTION("""COMPUTED_VALUE"""),"Good")</f>
        <v>Good</v>
      </c>
      <c r="AA3340" s="182" t="str">
        <f>IFERROR(__xludf.DUMMYFUNCTION("""COMPUTED_VALUE"""),"Very Good")</f>
        <v>Very Good</v>
      </c>
      <c r="AB3340" s="182" t="str">
        <f>IFERROR(__xludf.DUMMYFUNCTION("""COMPUTED_VALUE"""),"Excellent")</f>
        <v>Excellent</v>
      </c>
      <c r="AC3340" s="183">
        <f>IFERROR(__xludf.DUMMYFUNCTION("""COMPUTED_VALUE"""),1.0)</f>
        <v>1</v>
      </c>
      <c r="AD3340" s="183"/>
      <c r="AE3340" s="183"/>
      <c r="AF3340" s="184"/>
      <c r="AG3340" s="180"/>
      <c r="AH3340" s="185">
        <f>IFERROR(__xludf.DUMMYFUNCTION("""COMPUTED_VALUE"""),43291.40458628473)</f>
        <v>43291.40459</v>
      </c>
      <c r="AI3340" s="182"/>
      <c r="AJ3340" s="182"/>
      <c r="AK3340" s="182"/>
      <c r="AL3340" s="182"/>
    </row>
    <row r="3341" ht="20.25" customHeight="1">
      <c r="A3341" s="169" t="str">
        <f>IFERROR(__xludf.DUMMYFUNCTION("""COMPUTED_VALUE"""),"mike8472")</f>
        <v>mike8472</v>
      </c>
      <c r="B3341" s="170" t="str">
        <f>IFERROR(__xludf.DUMMYFUNCTION("""COMPUTED_VALUE"""),"Chicago")</f>
        <v>Chicago</v>
      </c>
      <c r="C3341" s="170" t="str">
        <f>IFERROR(__xludf.DUMMYFUNCTION("""COMPUTED_VALUE"""),"IL")</f>
        <v>IL</v>
      </c>
      <c r="D3341" s="170" t="str">
        <f>IFERROR(__xludf.DUMMYFUNCTION("""COMPUTED_VALUE"""),"USA")</f>
        <v>USA</v>
      </c>
      <c r="E3341" s="171">
        <f>IFERROR(__xludf.DUMMYFUNCTION("""COMPUTED_VALUE"""),43253.0)</f>
        <v>43253</v>
      </c>
      <c r="F3341" s="172">
        <f>IFERROR(__xludf.DUMMYFUNCTION("""COMPUTED_VALUE"""),43328.0)</f>
        <v>43328</v>
      </c>
      <c r="G3341" s="173"/>
      <c r="H3341" s="174"/>
      <c r="I3341" s="175"/>
      <c r="J3341" s="172">
        <f>IFERROR(__xludf.DUMMYFUNCTION("""COMPUTED_VALUE"""),43341.0)</f>
        <v>43341</v>
      </c>
      <c r="K3341" s="176">
        <f>IFERROR(__xludf.DUMMYFUNCTION("""COMPUTED_VALUE"""),75.0)</f>
        <v>75</v>
      </c>
      <c r="L3341" s="176">
        <f>IFERROR(__xludf.DUMMYFUNCTION("""COMPUTED_VALUE"""),13.0)</f>
        <v>13</v>
      </c>
      <c r="M3341" s="176">
        <f>IFERROR(__xludf.DUMMYFUNCTION("""COMPUTED_VALUE"""),88.0)</f>
        <v>88</v>
      </c>
      <c r="N3341" s="177" t="str">
        <f>IFERROR(__xludf.DUMMYFUNCTION("""COMPUTED_VALUE"""),"Model 3 LR AWD")</f>
        <v>Model 3 LR AWD</v>
      </c>
      <c r="O3341" s="177" t="str">
        <f>IFERROR(__xludf.DUMMYFUNCTION("""COMPUTED_VALUE"""),"Solid Black")</f>
        <v>Solid Black</v>
      </c>
      <c r="P3341" s="178" t="str">
        <f>IFERROR(__xludf.DUMMYFUNCTION("""COMPUTED_VALUE"""),"19 inch Sport")</f>
        <v>19 inch Sport</v>
      </c>
      <c r="Q3341" s="177" t="str">
        <f>IFERROR(__xludf.DUMMYFUNCTION("""COMPUTED_VALUE"""),"Black seats")</f>
        <v>Black seats</v>
      </c>
      <c r="R3341" s="170" t="str">
        <f>IFERROR(__xludf.DUMMYFUNCTION("""COMPUTED_VALUE"""),"Enhanced Autopilot")</f>
        <v>Enhanced Autopilot</v>
      </c>
      <c r="S3341" s="170"/>
      <c r="T3341" s="179"/>
      <c r="U3341" s="179"/>
      <c r="V3341" s="179"/>
      <c r="W3341" s="180"/>
      <c r="X3341" s="181" t="str">
        <f>IFERROR(__xludf.DUMMYFUNCTION("""COMPUTED_VALUE"""),"Very Good")</f>
        <v>Very Good</v>
      </c>
      <c r="Y3341" s="182" t="str">
        <f>IFERROR(__xludf.DUMMYFUNCTION("""COMPUTED_VALUE"""),"Very Good")</f>
        <v>Very Good</v>
      </c>
      <c r="Z3341" s="182" t="str">
        <f>IFERROR(__xludf.DUMMYFUNCTION("""COMPUTED_VALUE"""),"Poor")</f>
        <v>Poor</v>
      </c>
      <c r="AA3341" s="182" t="str">
        <f>IFERROR(__xludf.DUMMYFUNCTION("""COMPUTED_VALUE"""),"Good")</f>
        <v>Good</v>
      </c>
      <c r="AB3341" s="182" t="str">
        <f>IFERROR(__xludf.DUMMYFUNCTION("""COMPUTED_VALUE"""),"Poor")</f>
        <v>Poor</v>
      </c>
      <c r="AC3341" s="183"/>
      <c r="AD3341" s="183"/>
      <c r="AE3341" s="183"/>
      <c r="AF3341" s="184"/>
      <c r="AG3341" s="180" t="str">
        <f>IFERROR(__xludf.DUMMYFUNCTION("""COMPUTED_VALUE"""),"Rejected car on delivery...too many issues.   Awaiting new VIN #")</f>
        <v>Rejected car on delivery...too many issues.   Awaiting new VIN #</v>
      </c>
      <c r="AH3341" s="185">
        <f>IFERROR(__xludf.DUMMYFUNCTION("""COMPUTED_VALUE"""),43347.23995540509)</f>
        <v>43347.23996</v>
      </c>
      <c r="AI3341" s="182"/>
      <c r="AJ3341" s="182"/>
      <c r="AK3341" s="182"/>
      <c r="AL3341" s="182"/>
    </row>
    <row r="3342" ht="20.25" customHeight="1">
      <c r="A3342" s="169" t="str">
        <f>IFERROR(__xludf.DUMMYFUNCTION("""COMPUTED_VALUE"""),"oh_noes")</f>
        <v>oh_noes</v>
      </c>
      <c r="B3342" s="170" t="str">
        <f>IFERROR(__xludf.DUMMYFUNCTION("""COMPUTED_VALUE"""),"Ft. Lauderdale")</f>
        <v>Ft. Lauderdale</v>
      </c>
      <c r="C3342" s="170" t="str">
        <f>IFERROR(__xludf.DUMMYFUNCTION("""COMPUTED_VALUE"""),"FL")</f>
        <v>FL</v>
      </c>
      <c r="D3342" s="170" t="str">
        <f>IFERROR(__xludf.DUMMYFUNCTION("""COMPUTED_VALUE"""),"USA")</f>
        <v>USA</v>
      </c>
      <c r="E3342" s="171">
        <f>IFERROR(__xludf.DUMMYFUNCTION("""COMPUTED_VALUE"""),43253.0)</f>
        <v>43253</v>
      </c>
      <c r="F3342" s="172">
        <f>IFERROR(__xludf.DUMMYFUNCTION("""COMPUTED_VALUE"""),43307.0)</f>
        <v>43307</v>
      </c>
      <c r="G3342" s="173"/>
      <c r="H3342" s="174">
        <f>IFERROR(__xludf.DUMMYFUNCTION("""COMPUTED_VALUE"""),54668.0)</f>
        <v>54668</v>
      </c>
      <c r="I3342" s="175"/>
      <c r="J3342" s="172">
        <f>IFERROR(__xludf.DUMMYFUNCTION("""COMPUTED_VALUE"""),43323.0)</f>
        <v>43323</v>
      </c>
      <c r="K3342" s="176">
        <f>IFERROR(__xludf.DUMMYFUNCTION("""COMPUTED_VALUE"""),54.0)</f>
        <v>54</v>
      </c>
      <c r="L3342" s="176">
        <f>IFERROR(__xludf.DUMMYFUNCTION("""COMPUTED_VALUE"""),16.0)</f>
        <v>16</v>
      </c>
      <c r="M3342" s="176">
        <f>IFERROR(__xludf.DUMMYFUNCTION("""COMPUTED_VALUE"""),70.0)</f>
        <v>70</v>
      </c>
      <c r="N3342" s="177" t="str">
        <f>IFERROR(__xludf.DUMMYFUNCTION("""COMPUTED_VALUE"""),"Model 3 LR AWD")</f>
        <v>Model 3 LR AWD</v>
      </c>
      <c r="O3342" s="177" t="str">
        <f>IFERROR(__xludf.DUMMYFUNCTION("""COMPUTED_VALUE"""),"Pearl White Multi-Coat")</f>
        <v>Pearl White Multi-Coat</v>
      </c>
      <c r="P3342" s="178" t="str">
        <f>IFERROR(__xludf.DUMMYFUNCTION("""COMPUTED_VALUE"""),"18 inch Aero")</f>
        <v>18 inch Aero</v>
      </c>
      <c r="Q3342" s="177" t="str">
        <f>IFERROR(__xludf.DUMMYFUNCTION("""COMPUTED_VALUE"""),"Black seats")</f>
        <v>Black seats</v>
      </c>
      <c r="R3342" s="170" t="str">
        <f>IFERROR(__xludf.DUMMYFUNCTION("""COMPUTED_VALUE"""),"Enhanced Autopilot")</f>
        <v>Enhanced Autopilot</v>
      </c>
      <c r="S3342" s="170"/>
      <c r="T3342" s="179"/>
      <c r="U3342" s="179"/>
      <c r="V3342" s="179"/>
      <c r="W3342" s="180"/>
      <c r="X3342" s="181" t="str">
        <f>IFERROR(__xludf.DUMMYFUNCTION("""COMPUTED_VALUE"""),"Excellent")</f>
        <v>Excellent</v>
      </c>
      <c r="Y3342" s="182" t="str">
        <f>IFERROR(__xludf.DUMMYFUNCTION("""COMPUTED_VALUE"""),"Excellent")</f>
        <v>Excellent</v>
      </c>
      <c r="Z3342" s="182" t="str">
        <f>IFERROR(__xludf.DUMMYFUNCTION("""COMPUTED_VALUE"""),"Excellent")</f>
        <v>Excellent</v>
      </c>
      <c r="AA3342" s="182" t="str">
        <f>IFERROR(__xludf.DUMMYFUNCTION("""COMPUTED_VALUE"""),"Good")</f>
        <v>Good</v>
      </c>
      <c r="AB3342" s="182" t="str">
        <f>IFERROR(__xludf.DUMMYFUNCTION("""COMPUTED_VALUE"""),"Excellent")</f>
        <v>Excellent</v>
      </c>
      <c r="AC3342" s="183"/>
      <c r="AD3342" s="183"/>
      <c r="AE3342" s="183"/>
      <c r="AF3342" s="184"/>
      <c r="AG3342" s="180"/>
      <c r="AH3342" s="185">
        <f>IFERROR(__xludf.DUMMYFUNCTION("""COMPUTED_VALUE"""),43324.59933597223)</f>
        <v>43324.59934</v>
      </c>
      <c r="AI3342" s="182"/>
      <c r="AJ3342" s="182"/>
      <c r="AK3342" s="182"/>
      <c r="AL3342" s="182"/>
    </row>
    <row r="3343" ht="20.25" customHeight="1">
      <c r="A3343" s="169" t="str">
        <f>IFERROR(__xludf.DUMMYFUNCTION("""COMPUTED_VALUE"""),"exbmw")</f>
        <v>exbmw</v>
      </c>
      <c r="B3343" s="170" t="str">
        <f>IFERROR(__xludf.DUMMYFUNCTION("""COMPUTED_VALUE"""),"Toronto")</f>
        <v>Toronto</v>
      </c>
      <c r="C3343" s="170" t="str">
        <f>IFERROR(__xludf.DUMMYFUNCTION("""COMPUTED_VALUE"""),"ON")</f>
        <v>ON</v>
      </c>
      <c r="D3343" s="170" t="str">
        <f>IFERROR(__xludf.DUMMYFUNCTION("""COMPUTED_VALUE"""),"Canada")</f>
        <v>Canada</v>
      </c>
      <c r="E3343" s="171">
        <f>IFERROR(__xludf.DUMMYFUNCTION("""COMPUTED_VALUE"""),43252.0)</f>
        <v>43252</v>
      </c>
      <c r="F3343" s="172">
        <f>IFERROR(__xludf.DUMMYFUNCTION("""COMPUTED_VALUE"""),43255.0)</f>
        <v>43255</v>
      </c>
      <c r="G3343" s="173"/>
      <c r="H3343" s="174">
        <f>IFERROR(__xludf.DUMMYFUNCTION("""COMPUTED_VALUE"""),32055.0)</f>
        <v>32055</v>
      </c>
      <c r="I3343" s="175"/>
      <c r="J3343" s="172">
        <f>IFERROR(__xludf.DUMMYFUNCTION("""COMPUTED_VALUE"""),43267.0)</f>
        <v>43267</v>
      </c>
      <c r="K3343" s="176">
        <f>IFERROR(__xludf.DUMMYFUNCTION("""COMPUTED_VALUE"""),3.0)</f>
        <v>3</v>
      </c>
      <c r="L3343" s="176">
        <f>IFERROR(__xludf.DUMMYFUNCTION("""COMPUTED_VALUE"""),12.0)</f>
        <v>12</v>
      </c>
      <c r="M3343" s="176">
        <f>IFERROR(__xludf.DUMMYFUNCTION("""COMPUTED_VALUE"""),15.0)</f>
        <v>15</v>
      </c>
      <c r="N3343" s="177" t="str">
        <f>IFERROR(__xludf.DUMMYFUNCTION("""COMPUTED_VALUE"""),"Model 3 LR")</f>
        <v>Model 3 LR</v>
      </c>
      <c r="O3343" s="177" t="str">
        <f>IFERROR(__xludf.DUMMYFUNCTION("""COMPUTED_VALUE"""),"Midnight Silver Metallic")</f>
        <v>Midnight Silver Metallic</v>
      </c>
      <c r="P3343" s="178" t="str">
        <f>IFERROR(__xludf.DUMMYFUNCTION("""COMPUTED_VALUE"""),"19 inch Sport")</f>
        <v>19 inch Sport</v>
      </c>
      <c r="Q3343" s="177" t="str">
        <f>IFERROR(__xludf.DUMMYFUNCTION("""COMPUTED_VALUE"""),"Black seats")</f>
        <v>Black seats</v>
      </c>
      <c r="R3343" s="170" t="str">
        <f>IFERROR(__xludf.DUMMYFUNCTION("""COMPUTED_VALUE"""),"Enhanced Autopilot")</f>
        <v>Enhanced Autopilot</v>
      </c>
      <c r="S3343" s="170"/>
      <c r="T3343" s="179"/>
      <c r="U3343" s="179"/>
      <c r="V3343" s="179"/>
      <c r="W3343" s="180"/>
      <c r="X3343" s="181" t="str">
        <f>IFERROR(__xludf.DUMMYFUNCTION("""COMPUTED_VALUE"""),"Excellent")</f>
        <v>Excellent</v>
      </c>
      <c r="Y3343" s="182" t="str">
        <f>IFERROR(__xludf.DUMMYFUNCTION("""COMPUTED_VALUE"""),"Excellent")</f>
        <v>Excellent</v>
      </c>
      <c r="Z3343" s="182" t="str">
        <f>IFERROR(__xludf.DUMMYFUNCTION("""COMPUTED_VALUE"""),"Poor")</f>
        <v>Poor</v>
      </c>
      <c r="AA3343" s="182" t="str">
        <f>IFERROR(__xludf.DUMMYFUNCTION("""COMPUTED_VALUE"""),"Very Good")</f>
        <v>Very Good</v>
      </c>
      <c r="AB3343" s="182" t="str">
        <f>IFERROR(__xludf.DUMMYFUNCTION("""COMPUTED_VALUE"""),"Very Good")</f>
        <v>Very Good</v>
      </c>
      <c r="AC3343" s="183"/>
      <c r="AD3343" s="183"/>
      <c r="AE3343" s="183"/>
      <c r="AF3343" s="184"/>
      <c r="AG3343" s="180"/>
      <c r="AH3343" s="185">
        <f>IFERROR(__xludf.DUMMYFUNCTION("""COMPUTED_VALUE"""),43269.77805150463)</f>
        <v>43269.77805</v>
      </c>
      <c r="AI3343" s="182"/>
      <c r="AJ3343" s="182"/>
      <c r="AK3343" s="182"/>
      <c r="AL3343" s="182"/>
    </row>
    <row r="3344" ht="20.25" customHeight="1">
      <c r="A3344" s="169" t="str">
        <f>IFERROR(__xludf.DUMMYFUNCTION("""COMPUTED_VALUE"""),"Fredbob711")</f>
        <v>Fredbob711</v>
      </c>
      <c r="B3344" s="170" t="str">
        <f>IFERROR(__xludf.DUMMYFUNCTION("""COMPUTED_VALUE"""),"St. Louis")</f>
        <v>St. Louis</v>
      </c>
      <c r="C3344" s="170" t="str">
        <f>IFERROR(__xludf.DUMMYFUNCTION("""COMPUTED_VALUE"""),"MO")</f>
        <v>MO</v>
      </c>
      <c r="D3344" s="170" t="str">
        <f>IFERROR(__xludf.DUMMYFUNCTION("""COMPUTED_VALUE"""),"USA")</f>
        <v>USA</v>
      </c>
      <c r="E3344" s="171">
        <f>IFERROR(__xludf.DUMMYFUNCTION("""COMPUTED_VALUE"""),43252.0)</f>
        <v>43252</v>
      </c>
      <c r="F3344" s="172">
        <f>IFERROR(__xludf.DUMMYFUNCTION("""COMPUTED_VALUE"""),43307.0)</f>
        <v>43307</v>
      </c>
      <c r="G3344" s="173"/>
      <c r="H3344" s="174">
        <f>IFERROR(__xludf.DUMMYFUNCTION("""COMPUTED_VALUE"""),65955.0)</f>
        <v>65955</v>
      </c>
      <c r="I3344" s="175"/>
      <c r="J3344" s="172">
        <f>IFERROR(__xludf.DUMMYFUNCTION("""COMPUTED_VALUE"""),43333.0)</f>
        <v>43333</v>
      </c>
      <c r="K3344" s="176">
        <f>IFERROR(__xludf.DUMMYFUNCTION("""COMPUTED_VALUE"""),55.0)</f>
        <v>55</v>
      </c>
      <c r="L3344" s="176">
        <f>IFERROR(__xludf.DUMMYFUNCTION("""COMPUTED_VALUE"""),26.0)</f>
        <v>26</v>
      </c>
      <c r="M3344" s="176">
        <f>IFERROR(__xludf.DUMMYFUNCTION("""COMPUTED_VALUE"""),81.0)</f>
        <v>81</v>
      </c>
      <c r="N3344" s="177" t="str">
        <f>IFERROR(__xludf.DUMMYFUNCTION("""COMPUTED_VALUE"""),"Model 3 LR AWD")</f>
        <v>Model 3 LR AWD</v>
      </c>
      <c r="O3344" s="177" t="str">
        <f>IFERROR(__xludf.DUMMYFUNCTION("""COMPUTED_VALUE"""),"Midnight Silver Metallic")</f>
        <v>Midnight Silver Metallic</v>
      </c>
      <c r="P3344" s="178" t="str">
        <f>IFERROR(__xludf.DUMMYFUNCTION("""COMPUTED_VALUE"""),"18 inch Aero")</f>
        <v>18 inch Aero</v>
      </c>
      <c r="Q3344" s="177" t="str">
        <f>IFERROR(__xludf.DUMMYFUNCTION("""COMPUTED_VALUE"""),"Black seats")</f>
        <v>Black seats</v>
      </c>
      <c r="R3344" s="170" t="str">
        <f>IFERROR(__xludf.DUMMYFUNCTION("""COMPUTED_VALUE"""),"None")</f>
        <v>None</v>
      </c>
      <c r="S3344" s="170"/>
      <c r="T3344" s="179"/>
      <c r="U3344" s="179"/>
      <c r="V3344" s="179"/>
      <c r="W3344" s="180"/>
      <c r="X3344" s="181" t="str">
        <f>IFERROR(__xludf.DUMMYFUNCTION("""COMPUTED_VALUE"""),"Excellent")</f>
        <v>Excellent</v>
      </c>
      <c r="Y3344" s="182" t="str">
        <f>IFERROR(__xludf.DUMMYFUNCTION("""COMPUTED_VALUE"""),"Excellent")</f>
        <v>Excellent</v>
      </c>
      <c r="Z3344" s="182" t="str">
        <f>IFERROR(__xludf.DUMMYFUNCTION("""COMPUTED_VALUE"""),"Excellent")</f>
        <v>Excellent</v>
      </c>
      <c r="AA3344" s="182" t="str">
        <f>IFERROR(__xludf.DUMMYFUNCTION("""COMPUTED_VALUE"""),"Very Good")</f>
        <v>Very Good</v>
      </c>
      <c r="AB3344" s="182" t="str">
        <f>IFERROR(__xludf.DUMMYFUNCTION("""COMPUTED_VALUE"""),"Very Good")</f>
        <v>Very Good</v>
      </c>
      <c r="AC3344" s="183"/>
      <c r="AD3344" s="183"/>
      <c r="AE3344" s="183"/>
      <c r="AF3344" s="184"/>
      <c r="AG3344" s="180"/>
      <c r="AH3344" s="185">
        <f>IFERROR(__xludf.DUMMYFUNCTION("""COMPUTED_VALUE"""),43341.51813752315)</f>
        <v>43341.51814</v>
      </c>
      <c r="AI3344" s="182"/>
      <c r="AJ3344" s="182"/>
      <c r="AK3344" s="182"/>
      <c r="AL3344" s="182"/>
    </row>
    <row r="3345" ht="20.25" customHeight="1">
      <c r="A3345" s="169" t="str">
        <f>IFERROR(__xludf.DUMMYFUNCTION("""COMPUTED_VALUE"""),"sfdhb")</f>
        <v>sfdhb</v>
      </c>
      <c r="B3345" s="170"/>
      <c r="C3345" s="170" t="str">
        <f>IFERROR(__xludf.DUMMYFUNCTION("""COMPUTED_VALUE"""),"MN")</f>
        <v>MN</v>
      </c>
      <c r="D3345" s="170" t="str">
        <f>IFERROR(__xludf.DUMMYFUNCTION("""COMPUTED_VALUE"""),"USA")</f>
        <v>USA</v>
      </c>
      <c r="E3345" s="171">
        <f>IFERROR(__xludf.DUMMYFUNCTION("""COMPUTED_VALUE"""),43252.0)</f>
        <v>43252</v>
      </c>
      <c r="F3345" s="172"/>
      <c r="G3345" s="173"/>
      <c r="H3345" s="174">
        <f>IFERROR(__xludf.DUMMYFUNCTION("""COMPUTED_VALUE"""),41517.0)</f>
        <v>41517</v>
      </c>
      <c r="I3345" s="175"/>
      <c r="J3345" s="172">
        <f>IFERROR(__xludf.DUMMYFUNCTION("""COMPUTED_VALUE"""),43330.0)</f>
        <v>43330</v>
      </c>
      <c r="K3345" s="176"/>
      <c r="L3345" s="176"/>
      <c r="M3345" s="176">
        <f>IFERROR(__xludf.DUMMYFUNCTION("""COMPUTED_VALUE"""),78.0)</f>
        <v>78</v>
      </c>
      <c r="N3345" s="177" t="str">
        <f>IFERROR(__xludf.DUMMYFUNCTION("""COMPUTED_VALUE"""),"Model 3 Performance")</f>
        <v>Model 3 Performance</v>
      </c>
      <c r="O3345" s="177" t="str">
        <f>IFERROR(__xludf.DUMMYFUNCTION("""COMPUTED_VALUE"""),"Red Multi-Coat")</f>
        <v>Red Multi-Coat</v>
      </c>
      <c r="P3345" s="178" t="str">
        <f>IFERROR(__xludf.DUMMYFUNCTION("""COMPUTED_VALUE"""),"20 inch Sport")</f>
        <v>20 inch Sport</v>
      </c>
      <c r="Q3345" s="177" t="str">
        <f>IFERROR(__xludf.DUMMYFUNCTION("""COMPUTED_VALUE"""),"White seats")</f>
        <v>White seats</v>
      </c>
      <c r="R3345" s="170" t="str">
        <f>IFERROR(__xludf.DUMMYFUNCTION("""COMPUTED_VALUE"""),"Full Self-Driving")</f>
        <v>Full Self-Driving</v>
      </c>
      <c r="S3345" s="170"/>
      <c r="T3345" s="179"/>
      <c r="U3345" s="179"/>
      <c r="V3345" s="179"/>
      <c r="W3345" s="180"/>
      <c r="X3345" s="181" t="str">
        <f>IFERROR(__xludf.DUMMYFUNCTION("""COMPUTED_VALUE"""),"Excellent")</f>
        <v>Excellent</v>
      </c>
      <c r="Y3345" s="182" t="str">
        <f>IFERROR(__xludf.DUMMYFUNCTION("""COMPUTED_VALUE"""),"Excellent")</f>
        <v>Excellent</v>
      </c>
      <c r="Z3345" s="182" t="str">
        <f>IFERROR(__xludf.DUMMYFUNCTION("""COMPUTED_VALUE"""),"Excellent")</f>
        <v>Excellent</v>
      </c>
      <c r="AA3345" s="182" t="str">
        <f>IFERROR(__xludf.DUMMYFUNCTION("""COMPUTED_VALUE"""),"Excellent")</f>
        <v>Excellent</v>
      </c>
      <c r="AB3345" s="182" t="str">
        <f>IFERROR(__xludf.DUMMYFUNCTION("""COMPUTED_VALUE"""),"Excellent")</f>
        <v>Excellent</v>
      </c>
      <c r="AC3345" s="183">
        <f>IFERROR(__xludf.DUMMYFUNCTION("""COMPUTED_VALUE"""),0.0)</f>
        <v>0</v>
      </c>
      <c r="AD3345" s="183">
        <f>IFERROR(__xludf.DUMMYFUNCTION("""COMPUTED_VALUE"""),0.0)</f>
        <v>0</v>
      </c>
      <c r="AE3345" s="183">
        <f>IFERROR(__xludf.DUMMYFUNCTION("""COMPUTED_VALUE"""),0.0)</f>
        <v>0</v>
      </c>
      <c r="AF3345" s="184"/>
      <c r="AG3345" s="180"/>
      <c r="AH3345" s="185">
        <f>IFERROR(__xludf.DUMMYFUNCTION("""COMPUTED_VALUE"""),43313.93921520833)</f>
        <v>43313.93922</v>
      </c>
      <c r="AI3345" s="182"/>
      <c r="AJ3345" s="182"/>
      <c r="AK3345" s="182"/>
      <c r="AL3345" s="182"/>
    </row>
    <row r="3346" ht="20.25" customHeight="1">
      <c r="A3346" s="169" t="str">
        <f>IFERROR(__xludf.DUMMYFUNCTION("""COMPUTED_VALUE"""),"flykansas")</f>
        <v>flykansas</v>
      </c>
      <c r="B3346" s="170" t="str">
        <f>IFERROR(__xludf.DUMMYFUNCTION("""COMPUTED_VALUE"""),"Lawrence")</f>
        <v>Lawrence</v>
      </c>
      <c r="C3346" s="170" t="str">
        <f>IFERROR(__xludf.DUMMYFUNCTION("""COMPUTED_VALUE"""),"KS")</f>
        <v>KS</v>
      </c>
      <c r="D3346" s="170" t="str">
        <f>IFERROR(__xludf.DUMMYFUNCTION("""COMPUTED_VALUE"""),"USA")</f>
        <v>USA</v>
      </c>
      <c r="E3346" s="171">
        <f>IFERROR(__xludf.DUMMYFUNCTION("""COMPUTED_VALUE"""),43251.0)</f>
        <v>43251</v>
      </c>
      <c r="F3346" s="172">
        <f>IFERROR(__xludf.DUMMYFUNCTION("""COMPUTED_VALUE"""),43352.0)</f>
        <v>43352</v>
      </c>
      <c r="G3346" s="173"/>
      <c r="H3346" s="174">
        <f>IFERROR(__xludf.DUMMYFUNCTION("""COMPUTED_VALUE"""),64855.0)</f>
        <v>64855</v>
      </c>
      <c r="I3346" s="175"/>
      <c r="J3346" s="172">
        <f>IFERROR(__xludf.DUMMYFUNCTION("""COMPUTED_VALUE"""),43358.0)</f>
        <v>43358</v>
      </c>
      <c r="K3346" s="176">
        <f>IFERROR(__xludf.DUMMYFUNCTION("""COMPUTED_VALUE"""),101.0)</f>
        <v>101</v>
      </c>
      <c r="L3346" s="176">
        <f>IFERROR(__xludf.DUMMYFUNCTION("""COMPUTED_VALUE"""),6.0)</f>
        <v>6</v>
      </c>
      <c r="M3346" s="176">
        <f>IFERROR(__xludf.DUMMYFUNCTION("""COMPUTED_VALUE"""),107.0)</f>
        <v>107</v>
      </c>
      <c r="N3346" s="177" t="str">
        <f>IFERROR(__xludf.DUMMYFUNCTION("""COMPUTED_VALUE"""),"Model 3 LR AWD")</f>
        <v>Model 3 LR AWD</v>
      </c>
      <c r="O3346" s="177" t="str">
        <f>IFERROR(__xludf.DUMMYFUNCTION("""COMPUTED_VALUE"""),"Deep Blue Metallic")</f>
        <v>Deep Blue Metallic</v>
      </c>
      <c r="P3346" s="178" t="str">
        <f>IFERROR(__xludf.DUMMYFUNCTION("""COMPUTED_VALUE"""),"18 inch Aero")</f>
        <v>18 inch Aero</v>
      </c>
      <c r="Q3346" s="177" t="str">
        <f>IFERROR(__xludf.DUMMYFUNCTION("""COMPUTED_VALUE"""),"Black seats")</f>
        <v>Black seats</v>
      </c>
      <c r="R3346" s="170" t="str">
        <f>IFERROR(__xludf.DUMMYFUNCTION("""COMPUTED_VALUE"""),"Enhanced Autopilot")</f>
        <v>Enhanced Autopilot</v>
      </c>
      <c r="S3346" s="170"/>
      <c r="T3346" s="179"/>
      <c r="U3346" s="179"/>
      <c r="V3346" s="179"/>
      <c r="W3346" s="180"/>
      <c r="X3346" s="181" t="str">
        <f>IFERROR(__xludf.DUMMYFUNCTION("""COMPUTED_VALUE"""),"Very Good")</f>
        <v>Very Good</v>
      </c>
      <c r="Y3346" s="182" t="str">
        <f>IFERROR(__xludf.DUMMYFUNCTION("""COMPUTED_VALUE"""),"Very Good")</f>
        <v>Very Good</v>
      </c>
      <c r="Z3346" s="182" t="str">
        <f>IFERROR(__xludf.DUMMYFUNCTION("""COMPUTED_VALUE"""),"Good")</f>
        <v>Good</v>
      </c>
      <c r="AA3346" s="182" t="str">
        <f>IFERROR(__xludf.DUMMYFUNCTION("""COMPUTED_VALUE"""),"Fair")</f>
        <v>Fair</v>
      </c>
      <c r="AB3346" s="182" t="str">
        <f>IFERROR(__xludf.DUMMYFUNCTION("""COMPUTED_VALUE"""),"Very Good")</f>
        <v>Very Good</v>
      </c>
      <c r="AC3346" s="183"/>
      <c r="AD3346" s="183"/>
      <c r="AE3346" s="183"/>
      <c r="AF3346" s="184"/>
      <c r="AG3346" s="180"/>
      <c r="AH3346" s="185">
        <f>IFERROR(__xludf.DUMMYFUNCTION("""COMPUTED_VALUE"""),43360.5759234838)</f>
        <v>43360.57592</v>
      </c>
      <c r="AI3346" s="182"/>
      <c r="AJ3346" s="182"/>
      <c r="AK3346" s="182"/>
      <c r="AL3346" s="182"/>
    </row>
    <row r="3347" ht="20.25" customHeight="1">
      <c r="A3347" s="169" t="str">
        <f>IFERROR(__xludf.DUMMYFUNCTION("""COMPUTED_VALUE"""),"meelokun")</f>
        <v>meelokun</v>
      </c>
      <c r="B3347" s="170" t="str">
        <f>IFERROR(__xludf.DUMMYFUNCTION("""COMPUTED_VALUE"""),"Fairfax")</f>
        <v>Fairfax</v>
      </c>
      <c r="C3347" s="170" t="str">
        <f>IFERROR(__xludf.DUMMYFUNCTION("""COMPUTED_VALUE"""),"VA")</f>
        <v>VA</v>
      </c>
      <c r="D3347" s="170" t="str">
        <f>IFERROR(__xludf.DUMMYFUNCTION("""COMPUTED_VALUE"""),"USA")</f>
        <v>USA</v>
      </c>
      <c r="E3347" s="171">
        <f>IFERROR(__xludf.DUMMYFUNCTION("""COMPUTED_VALUE"""),43251.0)</f>
        <v>43251</v>
      </c>
      <c r="F3347" s="172">
        <f>IFERROR(__xludf.DUMMYFUNCTION("""COMPUTED_VALUE"""),43334.0)</f>
        <v>43334</v>
      </c>
      <c r="G3347" s="173"/>
      <c r="H3347" s="174">
        <f>IFERROR(__xludf.DUMMYFUNCTION("""COMPUTED_VALUE"""),96675.0)</f>
        <v>96675</v>
      </c>
      <c r="I3347" s="175" t="str">
        <f>IFERROR(__xludf.DUMMYFUNCTION("""COMPUTED_VALUE"""),"08/18")</f>
        <v>08/18</v>
      </c>
      <c r="J3347" s="172">
        <f>IFERROR(__xludf.DUMMYFUNCTION("""COMPUTED_VALUE"""),43358.0)</f>
        <v>43358</v>
      </c>
      <c r="K3347" s="176">
        <f>IFERROR(__xludf.DUMMYFUNCTION("""COMPUTED_VALUE"""),83.0)</f>
        <v>83</v>
      </c>
      <c r="L3347" s="176">
        <f>IFERROR(__xludf.DUMMYFUNCTION("""COMPUTED_VALUE"""),24.0)</f>
        <v>24</v>
      </c>
      <c r="M3347" s="176">
        <f>IFERROR(__xludf.DUMMYFUNCTION("""COMPUTED_VALUE"""),107.0)</f>
        <v>107</v>
      </c>
      <c r="N3347" s="177" t="str">
        <f>IFERROR(__xludf.DUMMYFUNCTION("""COMPUTED_VALUE"""),"Model 3 LR AWD")</f>
        <v>Model 3 LR AWD</v>
      </c>
      <c r="O3347" s="177" t="str">
        <f>IFERROR(__xludf.DUMMYFUNCTION("""COMPUTED_VALUE"""),"Pearl White Multi-Coat")</f>
        <v>Pearl White Multi-Coat</v>
      </c>
      <c r="P3347" s="178" t="str">
        <f>IFERROR(__xludf.DUMMYFUNCTION("""COMPUTED_VALUE"""),"18 inch Aero")</f>
        <v>18 inch Aero</v>
      </c>
      <c r="Q3347" s="177" t="str">
        <f>IFERROR(__xludf.DUMMYFUNCTION("""COMPUTED_VALUE"""),"White seats")</f>
        <v>White seats</v>
      </c>
      <c r="R3347" s="170" t="str">
        <f>IFERROR(__xludf.DUMMYFUNCTION("""COMPUTED_VALUE"""),"Full Self-Driving")</f>
        <v>Full Self-Driving</v>
      </c>
      <c r="S3347" s="170"/>
      <c r="T3347" s="179"/>
      <c r="U3347" s="179"/>
      <c r="V3347" s="179"/>
      <c r="W3347" s="180"/>
      <c r="X3347" s="181" t="str">
        <f>IFERROR(__xludf.DUMMYFUNCTION("""COMPUTED_VALUE"""),"Very Good")</f>
        <v>Very Good</v>
      </c>
      <c r="Y3347" s="182" t="str">
        <f>IFERROR(__xludf.DUMMYFUNCTION("""COMPUTED_VALUE"""),"Excellent")</f>
        <v>Excellent</v>
      </c>
      <c r="Z3347" s="182" t="str">
        <f>IFERROR(__xludf.DUMMYFUNCTION("""COMPUTED_VALUE"""),"Excellent")</f>
        <v>Excellent</v>
      </c>
      <c r="AA3347" s="182" t="str">
        <f>IFERROR(__xludf.DUMMYFUNCTION("""COMPUTED_VALUE"""),"Excellent")</f>
        <v>Excellent</v>
      </c>
      <c r="AB3347" s="182" t="str">
        <f>IFERROR(__xludf.DUMMYFUNCTION("""COMPUTED_VALUE"""),"Fair")</f>
        <v>Fair</v>
      </c>
      <c r="AC3347" s="183">
        <f>IFERROR(__xludf.DUMMYFUNCTION("""COMPUTED_VALUE"""),2.0)</f>
        <v>2</v>
      </c>
      <c r="AD3347" s="183">
        <f>IFERROR(__xludf.DUMMYFUNCTION("""COMPUTED_VALUE"""),1.0)</f>
        <v>1</v>
      </c>
      <c r="AE3347" s="183"/>
      <c r="AF3347" s="184"/>
      <c r="AG3347" s="180" t="str">
        <f>IFERROR(__xludf.DUMMYFUNCTION("""COMPUTED_VALUE"""),"Edit to White Seats on 07/24 (54 days after config)")</f>
        <v>Edit to White Seats on 07/24 (54 days after config)</v>
      </c>
      <c r="AH3347" s="185">
        <f>IFERROR(__xludf.DUMMYFUNCTION("""COMPUTED_VALUE"""),43374.725675879636)</f>
        <v>43374.72568</v>
      </c>
      <c r="AI3347" s="182"/>
      <c r="AJ3347" s="182"/>
      <c r="AK3347" s="182"/>
      <c r="AL3347" s="182"/>
    </row>
    <row r="3348" ht="20.25" customHeight="1">
      <c r="A3348" s="169" t="str">
        <f>IFERROR(__xludf.DUMMYFUNCTION("""COMPUTED_VALUE"""),"Moridin")</f>
        <v>Moridin</v>
      </c>
      <c r="B3348" s="170" t="str">
        <f>IFERROR(__xludf.DUMMYFUNCTION("""COMPUTED_VALUE"""),"Rocklin")</f>
        <v>Rocklin</v>
      </c>
      <c r="C3348" s="170" t="str">
        <f>IFERROR(__xludf.DUMMYFUNCTION("""COMPUTED_VALUE"""),"CA")</f>
        <v>CA</v>
      </c>
      <c r="D3348" s="170" t="str">
        <f>IFERROR(__xludf.DUMMYFUNCTION("""COMPUTED_VALUE"""),"USA")</f>
        <v>USA</v>
      </c>
      <c r="E3348" s="171">
        <f>IFERROR(__xludf.DUMMYFUNCTION("""COMPUTED_VALUE"""),43251.0)</f>
        <v>43251</v>
      </c>
      <c r="F3348" s="172">
        <f>IFERROR(__xludf.DUMMYFUNCTION("""COMPUTED_VALUE"""),43360.0)</f>
        <v>43360</v>
      </c>
      <c r="G3348" s="173"/>
      <c r="H3348" s="174">
        <f>IFERROR(__xludf.DUMMYFUNCTION("""COMPUTED_VALUE"""),88355.0)</f>
        <v>88355</v>
      </c>
      <c r="I3348" s="175" t="str">
        <f>IFERROR(__xludf.DUMMYFUNCTION("""COMPUTED_VALUE"""),"09/18")</f>
        <v>09/18</v>
      </c>
      <c r="J3348" s="172">
        <f>IFERROR(__xludf.DUMMYFUNCTION("""COMPUTED_VALUE"""),43364.0)</f>
        <v>43364</v>
      </c>
      <c r="K3348" s="176">
        <f>IFERROR(__xludf.DUMMYFUNCTION("""COMPUTED_VALUE"""),109.0)</f>
        <v>109</v>
      </c>
      <c r="L3348" s="176">
        <f>IFERROR(__xludf.DUMMYFUNCTION("""COMPUTED_VALUE"""),4.0)</f>
        <v>4</v>
      </c>
      <c r="M3348" s="176">
        <f>IFERROR(__xludf.DUMMYFUNCTION("""COMPUTED_VALUE"""),113.0)</f>
        <v>113</v>
      </c>
      <c r="N3348" s="177" t="str">
        <f>IFERROR(__xludf.DUMMYFUNCTION("""COMPUTED_VALUE"""),"Model 3 LR AWD")</f>
        <v>Model 3 LR AWD</v>
      </c>
      <c r="O3348" s="177" t="str">
        <f>IFERROR(__xludf.DUMMYFUNCTION("""COMPUTED_VALUE"""),"Red Multi-Coat")</f>
        <v>Red Multi-Coat</v>
      </c>
      <c r="P3348" s="178" t="str">
        <f>IFERROR(__xludf.DUMMYFUNCTION("""COMPUTED_VALUE"""),"19 inch Sport")</f>
        <v>19 inch Sport</v>
      </c>
      <c r="Q3348" s="177" t="str">
        <f>IFERROR(__xludf.DUMMYFUNCTION("""COMPUTED_VALUE"""),"Black seats")</f>
        <v>Black seats</v>
      </c>
      <c r="R3348" s="170" t="str">
        <f>IFERROR(__xludf.DUMMYFUNCTION("""COMPUTED_VALUE"""),"Enhanced Autopilot")</f>
        <v>Enhanced Autopilot</v>
      </c>
      <c r="S3348" s="170"/>
      <c r="T3348" s="179"/>
      <c r="U3348" s="179"/>
      <c r="V3348" s="179"/>
      <c r="W3348" s="180"/>
      <c r="X3348" s="181" t="str">
        <f>IFERROR(__xludf.DUMMYFUNCTION("""COMPUTED_VALUE"""),"Fair")</f>
        <v>Fair</v>
      </c>
      <c r="Y3348" s="182" t="str">
        <f>IFERROR(__xludf.DUMMYFUNCTION("""COMPUTED_VALUE"""),"Excellent")</f>
        <v>Excellent</v>
      </c>
      <c r="Z3348" s="182" t="str">
        <f>IFERROR(__xludf.DUMMYFUNCTION("""COMPUTED_VALUE"""),"Fair")</f>
        <v>Fair</v>
      </c>
      <c r="AA3348" s="182" t="str">
        <f>IFERROR(__xludf.DUMMYFUNCTION("""COMPUTED_VALUE"""),"Poor")</f>
        <v>Poor</v>
      </c>
      <c r="AB3348" s="182" t="str">
        <f>IFERROR(__xludf.DUMMYFUNCTION("""COMPUTED_VALUE"""),"Poor")</f>
        <v>Poor</v>
      </c>
      <c r="AC3348" s="183">
        <f>IFERROR(__xludf.DUMMYFUNCTION("""COMPUTED_VALUE"""),10.0)</f>
        <v>10</v>
      </c>
      <c r="AD3348" s="183">
        <f>IFERROR(__xludf.DUMMYFUNCTION("""COMPUTED_VALUE"""),2.0)</f>
        <v>2</v>
      </c>
      <c r="AE3348" s="183">
        <f>IFERROR(__xludf.DUMMYFUNCTION("""COMPUTED_VALUE"""),4.0)</f>
        <v>4</v>
      </c>
      <c r="AF3348" s="184"/>
      <c r="AG3348" s="180" t="str">
        <f>IFERROR(__xludf.DUMMYFUNCTION("""COMPUTED_VALUE"""),"Air Conditioning did not work upon delivery. They moved our delivery off site. Had to drive vehicle straight to service. Additional paint defects found after several months. ")</f>
        <v>Air Conditioning did not work upon delivery. They moved our delivery off site. Had to drive vehicle straight to service. Additional paint defects found after several months. </v>
      </c>
      <c r="AH3348" s="185">
        <f>IFERROR(__xludf.DUMMYFUNCTION("""COMPUTED_VALUE"""),43451.39642240741)</f>
        <v>43451.39642</v>
      </c>
      <c r="AI3348" s="182"/>
      <c r="AJ3348" s="182"/>
      <c r="AK3348" s="182"/>
      <c r="AL3348" s="182"/>
    </row>
    <row r="3349" ht="20.25" customHeight="1">
      <c r="A3349" s="169" t="str">
        <f>IFERROR(__xludf.DUMMYFUNCTION("""COMPUTED_VALUE"""),"remlemasi")</f>
        <v>remlemasi</v>
      </c>
      <c r="B3349" s="170" t="str">
        <f>IFERROR(__xludf.DUMMYFUNCTION("""COMPUTED_VALUE"""),"Chino Hills")</f>
        <v>Chino Hills</v>
      </c>
      <c r="C3349" s="170" t="str">
        <f>IFERROR(__xludf.DUMMYFUNCTION("""COMPUTED_VALUE"""),"CA")</f>
        <v>CA</v>
      </c>
      <c r="D3349" s="170" t="str">
        <f>IFERROR(__xludf.DUMMYFUNCTION("""COMPUTED_VALUE"""),"USA")</f>
        <v>USA</v>
      </c>
      <c r="E3349" s="171">
        <f>IFERROR(__xludf.DUMMYFUNCTION("""COMPUTED_VALUE"""),43251.0)</f>
        <v>43251</v>
      </c>
      <c r="F3349" s="172">
        <f>IFERROR(__xludf.DUMMYFUNCTION("""COMPUTED_VALUE"""),43278.0)</f>
        <v>43278</v>
      </c>
      <c r="G3349" s="173"/>
      <c r="H3349" s="174">
        <f>IFERROR(__xludf.DUMMYFUNCTION("""COMPUTED_VALUE"""),31955.0)</f>
        <v>31955</v>
      </c>
      <c r="I3349" s="175"/>
      <c r="J3349" s="172">
        <f>IFERROR(__xludf.DUMMYFUNCTION("""COMPUTED_VALUE"""),43290.0)</f>
        <v>43290</v>
      </c>
      <c r="K3349" s="176">
        <f>IFERROR(__xludf.DUMMYFUNCTION("""COMPUTED_VALUE"""),27.0)</f>
        <v>27</v>
      </c>
      <c r="L3349" s="176">
        <f>IFERROR(__xludf.DUMMYFUNCTION("""COMPUTED_VALUE"""),12.0)</f>
        <v>12</v>
      </c>
      <c r="M3349" s="176">
        <f>IFERROR(__xludf.DUMMYFUNCTION("""COMPUTED_VALUE"""),39.0)</f>
        <v>39</v>
      </c>
      <c r="N3349" s="177" t="str">
        <f>IFERROR(__xludf.DUMMYFUNCTION("""COMPUTED_VALUE"""),"Model 3 LR")</f>
        <v>Model 3 LR</v>
      </c>
      <c r="O3349" s="177" t="str">
        <f>IFERROR(__xludf.DUMMYFUNCTION("""COMPUTED_VALUE"""),"Pearl White Multi-Coat")</f>
        <v>Pearl White Multi-Coat</v>
      </c>
      <c r="P3349" s="178" t="str">
        <f>IFERROR(__xludf.DUMMYFUNCTION("""COMPUTED_VALUE"""),"18 inch Aero")</f>
        <v>18 inch Aero</v>
      </c>
      <c r="Q3349" s="177" t="str">
        <f>IFERROR(__xludf.DUMMYFUNCTION("""COMPUTED_VALUE"""),"Black seats")</f>
        <v>Black seats</v>
      </c>
      <c r="R3349" s="170" t="str">
        <f>IFERROR(__xludf.DUMMYFUNCTION("""COMPUTED_VALUE"""),"Full Self-Driving")</f>
        <v>Full Self-Driving</v>
      </c>
      <c r="S3349" s="170"/>
      <c r="T3349" s="179"/>
      <c r="U3349" s="179"/>
      <c r="V3349" s="179"/>
      <c r="W3349" s="180"/>
      <c r="X3349" s="181" t="str">
        <f>IFERROR(__xludf.DUMMYFUNCTION("""COMPUTED_VALUE"""),"Fair")</f>
        <v>Fair</v>
      </c>
      <c r="Y3349" s="182" t="str">
        <f>IFERROR(__xludf.DUMMYFUNCTION("""COMPUTED_VALUE"""),"Very Good")</f>
        <v>Very Good</v>
      </c>
      <c r="Z3349" s="182" t="str">
        <f>IFERROR(__xludf.DUMMYFUNCTION("""COMPUTED_VALUE"""),"Good")</f>
        <v>Good</v>
      </c>
      <c r="AA3349" s="182" t="str">
        <f>IFERROR(__xludf.DUMMYFUNCTION("""COMPUTED_VALUE"""),"Good")</f>
        <v>Good</v>
      </c>
      <c r="AB3349" s="182" t="str">
        <f>IFERROR(__xludf.DUMMYFUNCTION("""COMPUTED_VALUE"""),"Very Good")</f>
        <v>Very Good</v>
      </c>
      <c r="AC3349" s="183">
        <f>IFERROR(__xludf.DUMMYFUNCTION("""COMPUTED_VALUE"""),1.0)</f>
        <v>1</v>
      </c>
      <c r="AD3349" s="183">
        <f>IFERROR(__xludf.DUMMYFUNCTION("""COMPUTED_VALUE"""),1.0)</f>
        <v>1</v>
      </c>
      <c r="AE3349" s="183">
        <f>IFERROR(__xludf.DUMMYFUNCTION("""COMPUTED_VALUE"""),12.0)</f>
        <v>12</v>
      </c>
      <c r="AF3349" s="184"/>
      <c r="AG3349" s="180"/>
      <c r="AH3349" s="185">
        <f>IFERROR(__xludf.DUMMYFUNCTION("""COMPUTED_VALUE"""),43395.93391276621)</f>
        <v>43395.93391</v>
      </c>
      <c r="AI3349" s="182"/>
      <c r="AJ3349" s="182"/>
      <c r="AK3349" s="182"/>
      <c r="AL3349" s="182"/>
    </row>
    <row r="3350" ht="20.25" customHeight="1">
      <c r="A3350" s="169" t="str">
        <f>IFERROR(__xludf.DUMMYFUNCTION("""COMPUTED_VALUE"""),"shotgun_jake")</f>
        <v>shotgun_jake</v>
      </c>
      <c r="B3350" s="170"/>
      <c r="C3350" s="170" t="str">
        <f>IFERROR(__xludf.DUMMYFUNCTION("""COMPUTED_VALUE"""),"IN")</f>
        <v>IN</v>
      </c>
      <c r="D3350" s="170" t="str">
        <f>IFERROR(__xludf.DUMMYFUNCTION("""COMPUTED_VALUE"""),"USA")</f>
        <v>USA</v>
      </c>
      <c r="E3350" s="171">
        <f>IFERROR(__xludf.DUMMYFUNCTION("""COMPUTED_VALUE"""),43251.0)</f>
        <v>43251</v>
      </c>
      <c r="F3350" s="172">
        <f>IFERROR(__xludf.DUMMYFUNCTION("""COMPUTED_VALUE"""),43327.0)</f>
        <v>43327</v>
      </c>
      <c r="G3350" s="173"/>
      <c r="H3350" s="174">
        <f>IFERROR(__xludf.DUMMYFUNCTION("""COMPUTED_VALUE"""),63755.0)</f>
        <v>63755</v>
      </c>
      <c r="I3350" s="175"/>
      <c r="J3350" s="172">
        <f>IFERROR(__xludf.DUMMYFUNCTION("""COMPUTED_VALUE"""),43334.0)</f>
        <v>43334</v>
      </c>
      <c r="K3350" s="176">
        <f>IFERROR(__xludf.DUMMYFUNCTION("""COMPUTED_VALUE"""),76.0)</f>
        <v>76</v>
      </c>
      <c r="L3350" s="176">
        <f>IFERROR(__xludf.DUMMYFUNCTION("""COMPUTED_VALUE"""),7.0)</f>
        <v>7</v>
      </c>
      <c r="M3350" s="176">
        <f>IFERROR(__xludf.DUMMYFUNCTION("""COMPUTED_VALUE"""),83.0)</f>
        <v>83</v>
      </c>
      <c r="N3350" s="177" t="str">
        <f>IFERROR(__xludf.DUMMYFUNCTION("""COMPUTED_VALUE"""),"Model 3 LR AWD")</f>
        <v>Model 3 LR AWD</v>
      </c>
      <c r="O3350" s="177" t="str">
        <f>IFERROR(__xludf.DUMMYFUNCTION("""COMPUTED_VALUE"""),"Deep Blue Metallic")</f>
        <v>Deep Blue Metallic</v>
      </c>
      <c r="P3350" s="178" t="str">
        <f>IFERROR(__xludf.DUMMYFUNCTION("""COMPUTED_VALUE"""),"19 inch Sport")</f>
        <v>19 inch Sport</v>
      </c>
      <c r="Q3350" s="177" t="str">
        <f>IFERROR(__xludf.DUMMYFUNCTION("""COMPUTED_VALUE"""),"Black seats")</f>
        <v>Black seats</v>
      </c>
      <c r="R3350" s="170" t="str">
        <f>IFERROR(__xludf.DUMMYFUNCTION("""COMPUTED_VALUE"""),"Enhanced Autopilot")</f>
        <v>Enhanced Autopilot</v>
      </c>
      <c r="S3350" s="170"/>
      <c r="T3350" s="179"/>
      <c r="U3350" s="179"/>
      <c r="V3350" s="179"/>
      <c r="W3350" s="180"/>
      <c r="X3350" s="181" t="str">
        <f>IFERROR(__xludf.DUMMYFUNCTION("""COMPUTED_VALUE"""),"Excellent")</f>
        <v>Excellent</v>
      </c>
      <c r="Y3350" s="182" t="str">
        <f>IFERROR(__xludf.DUMMYFUNCTION("""COMPUTED_VALUE"""),"Excellent")</f>
        <v>Excellent</v>
      </c>
      <c r="Z3350" s="182" t="str">
        <f>IFERROR(__xludf.DUMMYFUNCTION("""COMPUTED_VALUE"""),"Excellent")</f>
        <v>Excellent</v>
      </c>
      <c r="AA3350" s="182" t="str">
        <f>IFERROR(__xludf.DUMMYFUNCTION("""COMPUTED_VALUE"""),"Good")</f>
        <v>Good</v>
      </c>
      <c r="AB3350" s="182" t="str">
        <f>IFERROR(__xludf.DUMMYFUNCTION("""COMPUTED_VALUE"""),"Excellent")</f>
        <v>Excellent</v>
      </c>
      <c r="AC3350" s="183">
        <f>IFERROR(__xludf.DUMMYFUNCTION("""COMPUTED_VALUE"""),0.0)</f>
        <v>0</v>
      </c>
      <c r="AD3350" s="183">
        <f>IFERROR(__xludf.DUMMYFUNCTION("""COMPUTED_VALUE"""),1.0)</f>
        <v>1</v>
      </c>
      <c r="AE3350" s="183">
        <f>IFERROR(__xludf.DUMMYFUNCTION("""COMPUTED_VALUE"""),0.0)</f>
        <v>0</v>
      </c>
      <c r="AF3350" s="184"/>
      <c r="AG3350" s="180"/>
      <c r="AH3350" s="185">
        <f>IFERROR(__xludf.DUMMYFUNCTION("""COMPUTED_VALUE"""),43337.32275079861)</f>
        <v>43337.32275</v>
      </c>
      <c r="AI3350" s="182"/>
      <c r="AJ3350" s="182"/>
      <c r="AK3350" s="182"/>
      <c r="AL3350" s="182"/>
    </row>
    <row r="3351" ht="20.25" customHeight="1">
      <c r="A3351" s="169" t="str">
        <f>IFERROR(__xludf.DUMMYFUNCTION("""COMPUTED_VALUE"""),"madhaus")</f>
        <v>madhaus</v>
      </c>
      <c r="B3351" s="170" t="str">
        <f>IFERROR(__xludf.DUMMYFUNCTION("""COMPUTED_VALUE"""),"Sunnyvale")</f>
        <v>Sunnyvale</v>
      </c>
      <c r="C3351" s="170" t="str">
        <f>IFERROR(__xludf.DUMMYFUNCTION("""COMPUTED_VALUE"""),"CA")</f>
        <v>CA</v>
      </c>
      <c r="D3351" s="170" t="str">
        <f>IFERROR(__xludf.DUMMYFUNCTION("""COMPUTED_VALUE"""),"USA")</f>
        <v>USA</v>
      </c>
      <c r="E3351" s="171">
        <f>IFERROR(__xludf.DUMMYFUNCTION("""COMPUTED_VALUE"""),43249.0)</f>
        <v>43249</v>
      </c>
      <c r="F3351" s="172">
        <f>IFERROR(__xludf.DUMMYFUNCTION("""COMPUTED_VALUE"""),43377.0)</f>
        <v>43377</v>
      </c>
      <c r="G3351" s="173"/>
      <c r="H3351" s="174">
        <f>IFERROR(__xludf.DUMMYFUNCTION("""COMPUTED_VALUE"""),99855.0)</f>
        <v>99855</v>
      </c>
      <c r="I3351" s="175" t="str">
        <f>IFERROR(__xludf.DUMMYFUNCTION("""COMPUTED_VALUE"""),"08/18")</f>
        <v>08/18</v>
      </c>
      <c r="J3351" s="172">
        <f>IFERROR(__xludf.DUMMYFUNCTION("""COMPUTED_VALUE"""),43377.0)</f>
        <v>43377</v>
      </c>
      <c r="K3351" s="176">
        <f>IFERROR(__xludf.DUMMYFUNCTION("""COMPUTED_VALUE"""),128.0)</f>
        <v>128</v>
      </c>
      <c r="L3351" s="176">
        <f>IFERROR(__xludf.DUMMYFUNCTION("""COMPUTED_VALUE"""),0.0)</f>
        <v>0</v>
      </c>
      <c r="M3351" s="176">
        <f>IFERROR(__xludf.DUMMYFUNCTION("""COMPUTED_VALUE"""),128.0)</f>
        <v>128</v>
      </c>
      <c r="N3351" s="177" t="str">
        <f>IFERROR(__xludf.DUMMYFUNCTION("""COMPUTED_VALUE"""),"Model 3 LR AWD")</f>
        <v>Model 3 LR AWD</v>
      </c>
      <c r="O3351" s="177" t="str">
        <f>IFERROR(__xludf.DUMMYFUNCTION("""COMPUTED_VALUE"""),"Deep Blue Metallic")</f>
        <v>Deep Blue Metallic</v>
      </c>
      <c r="P3351" s="178" t="str">
        <f>IFERROR(__xludf.DUMMYFUNCTION("""COMPUTED_VALUE"""),"18 inch Aero")</f>
        <v>18 inch Aero</v>
      </c>
      <c r="Q3351" s="177" t="str">
        <f>IFERROR(__xludf.DUMMYFUNCTION("""COMPUTED_VALUE"""),"White seats")</f>
        <v>White seats</v>
      </c>
      <c r="R3351" s="170" t="str">
        <f>IFERROR(__xludf.DUMMYFUNCTION("""COMPUTED_VALUE"""),"Full Self-Driving")</f>
        <v>Full Self-Driving</v>
      </c>
      <c r="S3351" s="170"/>
      <c r="T3351" s="179"/>
      <c r="U3351" s="179"/>
      <c r="V3351" s="179"/>
      <c r="W3351" s="180"/>
      <c r="X3351" s="181" t="str">
        <f>IFERROR(__xludf.DUMMYFUNCTION("""COMPUTED_VALUE"""),"Excellent")</f>
        <v>Excellent</v>
      </c>
      <c r="Y3351" s="182" t="str">
        <f>IFERROR(__xludf.DUMMYFUNCTION("""COMPUTED_VALUE"""),"Excellent")</f>
        <v>Excellent</v>
      </c>
      <c r="Z3351" s="182" t="str">
        <f>IFERROR(__xludf.DUMMYFUNCTION("""COMPUTED_VALUE"""),"Very Good")</f>
        <v>Very Good</v>
      </c>
      <c r="AA3351" s="182" t="str">
        <f>IFERROR(__xludf.DUMMYFUNCTION("""COMPUTED_VALUE"""),"Poor")</f>
        <v>Poor</v>
      </c>
      <c r="AB3351" s="182" t="str">
        <f>IFERROR(__xludf.DUMMYFUNCTION("""COMPUTED_VALUE"""),"Fair")</f>
        <v>Fair</v>
      </c>
      <c r="AC3351" s="183">
        <f>IFERROR(__xludf.DUMMYFUNCTION("""COMPUTED_VALUE"""),0.0)</f>
        <v>0</v>
      </c>
      <c r="AD3351" s="183">
        <f>IFERROR(__xludf.DUMMYFUNCTION("""COMPUTED_VALUE"""),0.0)</f>
        <v>0</v>
      </c>
      <c r="AE3351" s="183">
        <f>IFERROR(__xludf.DUMMYFUNCTION("""COMPUTED_VALUE"""),0.0)</f>
        <v>0</v>
      </c>
      <c r="AF3351" s="184"/>
      <c r="AG3351" s="180" t="str">
        <f>IFERROR(__xludf.DUMMYFUNCTION("""COMPUTED_VALUE"""),"Occasional problems getting the door to open because it doesn't recognize my phone. Rear window spontaneously lowers 3"" when parked.")</f>
        <v>Occasional problems getting the door to open because it doesn't recognize my phone. Rear window spontaneously lowers 3" when parked.</v>
      </c>
      <c r="AH3351" s="185">
        <f>IFERROR(__xludf.DUMMYFUNCTION("""COMPUTED_VALUE"""),43448.63587924769)</f>
        <v>43448.63588</v>
      </c>
      <c r="AI3351" s="182"/>
      <c r="AJ3351" s="182"/>
      <c r="AK3351" s="182"/>
      <c r="AL3351" s="182"/>
    </row>
    <row r="3352" ht="20.25" customHeight="1">
      <c r="A3352" s="169" t="str">
        <f>IFERROR(__xludf.DUMMYFUNCTION("""COMPUTED_VALUE"""),"snheckel")</f>
        <v>snheckel</v>
      </c>
      <c r="B3352" s="170"/>
      <c r="C3352" s="170" t="str">
        <f>IFERROR(__xludf.DUMMYFUNCTION("""COMPUTED_VALUE"""),"MD")</f>
        <v>MD</v>
      </c>
      <c r="D3352" s="170" t="str">
        <f>IFERROR(__xludf.DUMMYFUNCTION("""COMPUTED_VALUE"""),"USA")</f>
        <v>USA</v>
      </c>
      <c r="E3352" s="171">
        <f>IFERROR(__xludf.DUMMYFUNCTION("""COMPUTED_VALUE"""),43246.0)</f>
        <v>43246</v>
      </c>
      <c r="F3352" s="172">
        <f>IFERROR(__xludf.DUMMYFUNCTION("""COMPUTED_VALUE"""),43298.0)</f>
        <v>43298</v>
      </c>
      <c r="G3352" s="173"/>
      <c r="H3352" s="174">
        <f>IFERROR(__xludf.DUMMYFUNCTION("""COMPUTED_VALUE"""),54655.0)</f>
        <v>54655</v>
      </c>
      <c r="I3352" s="175"/>
      <c r="J3352" s="172">
        <f>IFERROR(__xludf.DUMMYFUNCTION("""COMPUTED_VALUE"""),43320.0)</f>
        <v>43320</v>
      </c>
      <c r="K3352" s="176">
        <f>IFERROR(__xludf.DUMMYFUNCTION("""COMPUTED_VALUE"""),52.0)</f>
        <v>52</v>
      </c>
      <c r="L3352" s="176">
        <f>IFERROR(__xludf.DUMMYFUNCTION("""COMPUTED_VALUE"""),22.0)</f>
        <v>22</v>
      </c>
      <c r="M3352" s="176">
        <f>IFERROR(__xludf.DUMMYFUNCTION("""COMPUTED_VALUE"""),74.0)</f>
        <v>74</v>
      </c>
      <c r="N3352" s="177" t="str">
        <f>IFERROR(__xludf.DUMMYFUNCTION("""COMPUTED_VALUE"""),"Model 3 LR AWD")</f>
        <v>Model 3 LR AWD</v>
      </c>
      <c r="O3352" s="177" t="str">
        <f>IFERROR(__xludf.DUMMYFUNCTION("""COMPUTED_VALUE"""),"Pearl White Multi-Coat")</f>
        <v>Pearl White Multi-Coat</v>
      </c>
      <c r="P3352" s="178" t="str">
        <f>IFERROR(__xludf.DUMMYFUNCTION("""COMPUTED_VALUE"""),"18 inch Aero")</f>
        <v>18 inch Aero</v>
      </c>
      <c r="Q3352" s="177" t="str">
        <f>IFERROR(__xludf.DUMMYFUNCTION("""COMPUTED_VALUE"""),"Black seats")</f>
        <v>Black seats</v>
      </c>
      <c r="R3352" s="170" t="str">
        <f>IFERROR(__xludf.DUMMYFUNCTION("""COMPUTED_VALUE"""),"Enhanced Autopilot")</f>
        <v>Enhanced Autopilot</v>
      </c>
      <c r="S3352" s="170"/>
      <c r="T3352" s="179"/>
      <c r="U3352" s="179"/>
      <c r="V3352" s="179"/>
      <c r="W3352" s="180"/>
      <c r="X3352" s="181" t="str">
        <f>IFERROR(__xludf.DUMMYFUNCTION("""COMPUTED_VALUE"""),"Excellent")</f>
        <v>Excellent</v>
      </c>
      <c r="Y3352" s="182" t="str">
        <f>IFERROR(__xludf.DUMMYFUNCTION("""COMPUTED_VALUE"""),"Excellent")</f>
        <v>Excellent</v>
      </c>
      <c r="Z3352" s="182" t="str">
        <f>IFERROR(__xludf.DUMMYFUNCTION("""COMPUTED_VALUE"""),"Good")</f>
        <v>Good</v>
      </c>
      <c r="AA3352" s="182" t="str">
        <f>IFERROR(__xludf.DUMMYFUNCTION("""COMPUTED_VALUE"""),"Excellent")</f>
        <v>Excellent</v>
      </c>
      <c r="AB3352" s="182" t="str">
        <f>IFERROR(__xludf.DUMMYFUNCTION("""COMPUTED_VALUE"""),"Poor")</f>
        <v>Poor</v>
      </c>
      <c r="AC3352" s="183">
        <f>IFERROR(__xludf.DUMMYFUNCTION("""COMPUTED_VALUE"""),2.0)</f>
        <v>2</v>
      </c>
      <c r="AD3352" s="183"/>
      <c r="AE3352" s="183"/>
      <c r="AF3352" s="184"/>
      <c r="AG3352" s="180"/>
      <c r="AH3352" s="185">
        <f>IFERROR(__xludf.DUMMYFUNCTION("""COMPUTED_VALUE"""),43326.44175479166)</f>
        <v>43326.44175</v>
      </c>
      <c r="AI3352" s="182"/>
      <c r="AJ3352" s="182"/>
      <c r="AK3352" s="182"/>
      <c r="AL3352" s="182"/>
    </row>
    <row r="3353" ht="20.25" customHeight="1">
      <c r="A3353" s="169" t="str">
        <f>IFERROR(__xludf.DUMMYFUNCTION("""COMPUTED_VALUE"""),"oc3068")</f>
        <v>oc3068</v>
      </c>
      <c r="B3353" s="170" t="str">
        <f>IFERROR(__xludf.DUMMYFUNCTION("""COMPUTED_VALUE"""),"Los Angeles")</f>
        <v>Los Angeles</v>
      </c>
      <c r="C3353" s="170" t="str">
        <f>IFERROR(__xludf.DUMMYFUNCTION("""COMPUTED_VALUE"""),"CA")</f>
        <v>CA</v>
      </c>
      <c r="D3353" s="170" t="str">
        <f>IFERROR(__xludf.DUMMYFUNCTION("""COMPUTED_VALUE"""),"USA")</f>
        <v>USA</v>
      </c>
      <c r="E3353" s="171">
        <f>IFERROR(__xludf.DUMMYFUNCTION("""COMPUTED_VALUE"""),43245.0)</f>
        <v>43245</v>
      </c>
      <c r="F3353" s="172">
        <f>IFERROR(__xludf.DUMMYFUNCTION("""COMPUTED_VALUE"""),43278.0)</f>
        <v>43278</v>
      </c>
      <c r="G3353" s="173"/>
      <c r="H3353" s="174">
        <f>IFERROR(__xludf.DUMMYFUNCTION("""COMPUTED_VALUE"""),31830.0)</f>
        <v>31830</v>
      </c>
      <c r="I3353" s="175" t="str">
        <f>IFERROR(__xludf.DUMMYFUNCTION("""COMPUTED_VALUE"""),"06/18")</f>
        <v>06/18</v>
      </c>
      <c r="J3353" s="172">
        <f>IFERROR(__xludf.DUMMYFUNCTION("""COMPUTED_VALUE"""),43287.0)</f>
        <v>43287</v>
      </c>
      <c r="K3353" s="176">
        <f>IFERROR(__xludf.DUMMYFUNCTION("""COMPUTED_VALUE"""),33.0)</f>
        <v>33</v>
      </c>
      <c r="L3353" s="176">
        <f>IFERROR(__xludf.DUMMYFUNCTION("""COMPUTED_VALUE"""),9.0)</f>
        <v>9</v>
      </c>
      <c r="M3353" s="176">
        <f>IFERROR(__xludf.DUMMYFUNCTION("""COMPUTED_VALUE"""),42.0)</f>
        <v>42</v>
      </c>
      <c r="N3353" s="177" t="str">
        <f>IFERROR(__xludf.DUMMYFUNCTION("""COMPUTED_VALUE"""),"Model 3 LR")</f>
        <v>Model 3 LR</v>
      </c>
      <c r="O3353" s="177" t="str">
        <f>IFERROR(__xludf.DUMMYFUNCTION("""COMPUTED_VALUE"""),"Deep Blue Metallic")</f>
        <v>Deep Blue Metallic</v>
      </c>
      <c r="P3353" s="178" t="str">
        <f>IFERROR(__xludf.DUMMYFUNCTION("""COMPUTED_VALUE"""),"18 inch Aero")</f>
        <v>18 inch Aero</v>
      </c>
      <c r="Q3353" s="177" t="str">
        <f>IFERROR(__xludf.DUMMYFUNCTION("""COMPUTED_VALUE"""),"Black seats")</f>
        <v>Black seats</v>
      </c>
      <c r="R3353" s="170" t="str">
        <f>IFERROR(__xludf.DUMMYFUNCTION("""COMPUTED_VALUE"""),"Enhanced Autopilot")</f>
        <v>Enhanced Autopilot</v>
      </c>
      <c r="S3353" s="170"/>
      <c r="T3353" s="179"/>
      <c r="U3353" s="179"/>
      <c r="V3353" s="179"/>
      <c r="W3353" s="180"/>
      <c r="X3353" s="181" t="str">
        <f>IFERROR(__xludf.DUMMYFUNCTION("""COMPUTED_VALUE"""),"Excellent")</f>
        <v>Excellent</v>
      </c>
      <c r="Y3353" s="182" t="str">
        <f>IFERROR(__xludf.DUMMYFUNCTION("""COMPUTED_VALUE"""),"Excellent")</f>
        <v>Excellent</v>
      </c>
      <c r="Z3353" s="182" t="str">
        <f>IFERROR(__xludf.DUMMYFUNCTION("""COMPUTED_VALUE"""),"Very Good")</f>
        <v>Very Good</v>
      </c>
      <c r="AA3353" s="182" t="str">
        <f>IFERROR(__xludf.DUMMYFUNCTION("""COMPUTED_VALUE"""),"Poor")</f>
        <v>Poor</v>
      </c>
      <c r="AB3353" s="182" t="str">
        <f>IFERROR(__xludf.DUMMYFUNCTION("""COMPUTED_VALUE"""),"Poor")</f>
        <v>Poor</v>
      </c>
      <c r="AC3353" s="183">
        <f>IFERROR(__xludf.DUMMYFUNCTION("""COMPUTED_VALUE"""),2.0)</f>
        <v>2</v>
      </c>
      <c r="AD3353" s="183"/>
      <c r="AE3353" s="183"/>
      <c r="AF3353" s="184"/>
      <c r="AG3353" s="180"/>
      <c r="AH3353" s="185">
        <f>IFERROR(__xludf.DUMMYFUNCTION("""COMPUTED_VALUE"""),43290.49953086805)</f>
        <v>43290.49953</v>
      </c>
      <c r="AI3353" s="182"/>
      <c r="AJ3353" s="182"/>
      <c r="AK3353" s="182"/>
      <c r="AL3353" s="182"/>
    </row>
    <row r="3354" ht="20.25" customHeight="1">
      <c r="A3354" s="169" t="str">
        <f>IFERROR(__xludf.DUMMYFUNCTION("""COMPUTED_VALUE"""),"Shogun")</f>
        <v>Shogun</v>
      </c>
      <c r="B3354" s="170" t="str">
        <f>IFERROR(__xludf.DUMMYFUNCTION("""COMPUTED_VALUE"""),"Hartford")</f>
        <v>Hartford</v>
      </c>
      <c r="C3354" s="170" t="str">
        <f>IFERROR(__xludf.DUMMYFUNCTION("""COMPUTED_VALUE"""),"WI")</f>
        <v>WI</v>
      </c>
      <c r="D3354" s="170" t="str">
        <f>IFERROR(__xludf.DUMMYFUNCTION("""COMPUTED_VALUE"""),"USA")</f>
        <v>USA</v>
      </c>
      <c r="E3354" s="171">
        <f>IFERROR(__xludf.DUMMYFUNCTION("""COMPUTED_VALUE"""),43245.0)</f>
        <v>43245</v>
      </c>
      <c r="F3354" s="172">
        <f>IFERROR(__xludf.DUMMYFUNCTION("""COMPUTED_VALUE"""),43363.0)</f>
        <v>43363</v>
      </c>
      <c r="G3354" s="173"/>
      <c r="H3354" s="174">
        <f>IFERROR(__xludf.DUMMYFUNCTION("""COMPUTED_VALUE"""),87555.0)</f>
        <v>87555</v>
      </c>
      <c r="I3354" s="175" t="str">
        <f>IFERROR(__xludf.DUMMYFUNCTION("""COMPUTED_VALUE"""),"09/18")</f>
        <v>09/18</v>
      </c>
      <c r="J3354" s="172">
        <f>IFERROR(__xludf.DUMMYFUNCTION("""COMPUTED_VALUE"""),43371.0)</f>
        <v>43371</v>
      </c>
      <c r="K3354" s="176">
        <f>IFERROR(__xludf.DUMMYFUNCTION("""COMPUTED_VALUE"""),118.0)</f>
        <v>118</v>
      </c>
      <c r="L3354" s="176">
        <f>IFERROR(__xludf.DUMMYFUNCTION("""COMPUTED_VALUE"""),8.0)</f>
        <v>8</v>
      </c>
      <c r="M3354" s="176">
        <f>IFERROR(__xludf.DUMMYFUNCTION("""COMPUTED_VALUE"""),126.0)</f>
        <v>126</v>
      </c>
      <c r="N3354" s="177" t="str">
        <f>IFERROR(__xludf.DUMMYFUNCTION("""COMPUTED_VALUE"""),"Model 3 LR AWD")</f>
        <v>Model 3 LR AWD</v>
      </c>
      <c r="O3354" s="177" t="str">
        <f>IFERROR(__xludf.DUMMYFUNCTION("""COMPUTED_VALUE"""),"Silver Metallic")</f>
        <v>Silver Metallic</v>
      </c>
      <c r="P3354" s="178" t="str">
        <f>IFERROR(__xludf.DUMMYFUNCTION("""COMPUTED_VALUE"""),"19 inch Sport")</f>
        <v>19 inch Sport</v>
      </c>
      <c r="Q3354" s="177" t="str">
        <f>IFERROR(__xludf.DUMMYFUNCTION("""COMPUTED_VALUE"""),"Black seats")</f>
        <v>Black seats</v>
      </c>
      <c r="R3354" s="170" t="str">
        <f>IFERROR(__xludf.DUMMYFUNCTION("""COMPUTED_VALUE"""),"Full Self-Driving")</f>
        <v>Full Self-Driving</v>
      </c>
      <c r="S3354" s="170"/>
      <c r="T3354" s="179"/>
      <c r="U3354" s="179"/>
      <c r="V3354" s="179"/>
      <c r="W3354" s="180"/>
      <c r="X3354" s="181" t="str">
        <f>IFERROR(__xludf.DUMMYFUNCTION("""COMPUTED_VALUE"""),"Excellent")</f>
        <v>Excellent</v>
      </c>
      <c r="Y3354" s="182" t="str">
        <f>IFERROR(__xludf.DUMMYFUNCTION("""COMPUTED_VALUE"""),"Excellent")</f>
        <v>Excellent</v>
      </c>
      <c r="Z3354" s="182" t="str">
        <f>IFERROR(__xludf.DUMMYFUNCTION("""COMPUTED_VALUE"""),"Excellent")</f>
        <v>Excellent</v>
      </c>
      <c r="AA3354" s="182" t="str">
        <f>IFERROR(__xludf.DUMMYFUNCTION("""COMPUTED_VALUE"""),"Poor")</f>
        <v>Poor</v>
      </c>
      <c r="AB3354" s="182" t="str">
        <f>IFERROR(__xludf.DUMMYFUNCTION("""COMPUTED_VALUE"""),"Poor")</f>
        <v>Poor</v>
      </c>
      <c r="AC3354" s="183"/>
      <c r="AD3354" s="183"/>
      <c r="AE3354" s="183"/>
      <c r="AF3354" s="184"/>
      <c r="AG3354" s="180"/>
      <c r="AH3354" s="185">
        <f>IFERROR(__xludf.DUMMYFUNCTION("""COMPUTED_VALUE"""),43372.89717487268)</f>
        <v>43372.89717</v>
      </c>
      <c r="AI3354" s="182"/>
      <c r="AJ3354" s="182"/>
      <c r="AK3354" s="182"/>
      <c r="AL3354" s="182"/>
    </row>
    <row r="3355" ht="20.25" customHeight="1">
      <c r="A3355" s="169" t="str">
        <f>IFERROR(__xludf.DUMMYFUNCTION("""COMPUTED_VALUE"""),"Dana1")</f>
        <v>Dana1</v>
      </c>
      <c r="B3355" s="170" t="str">
        <f>IFERROR(__xludf.DUMMYFUNCTION("""COMPUTED_VALUE"""),"Houston, Tx")</f>
        <v>Houston, Tx</v>
      </c>
      <c r="C3355" s="170" t="str">
        <f>IFERROR(__xludf.DUMMYFUNCTION("""COMPUTED_VALUE"""),"TX")</f>
        <v>TX</v>
      </c>
      <c r="D3355" s="170" t="str">
        <f>IFERROR(__xludf.DUMMYFUNCTION("""COMPUTED_VALUE"""),"USA")</f>
        <v>USA</v>
      </c>
      <c r="E3355" s="171">
        <f>IFERROR(__xludf.DUMMYFUNCTION("""COMPUTED_VALUE"""),43244.0)</f>
        <v>43244</v>
      </c>
      <c r="F3355" s="172">
        <f>IFERROR(__xludf.DUMMYFUNCTION("""COMPUTED_VALUE"""),43272.0)</f>
        <v>43272</v>
      </c>
      <c r="G3355" s="173"/>
      <c r="H3355" s="174">
        <f>IFERROR(__xludf.DUMMYFUNCTION("""COMPUTED_VALUE"""),33355.0)</f>
        <v>33355</v>
      </c>
      <c r="I3355" s="175" t="str">
        <f>IFERROR(__xludf.DUMMYFUNCTION("""COMPUTED_VALUE"""),"06/18")</f>
        <v>06/18</v>
      </c>
      <c r="J3355" s="172">
        <f>IFERROR(__xludf.DUMMYFUNCTION("""COMPUTED_VALUE"""),43284.0)</f>
        <v>43284</v>
      </c>
      <c r="K3355" s="176">
        <f>IFERROR(__xludf.DUMMYFUNCTION("""COMPUTED_VALUE"""),28.0)</f>
        <v>28</v>
      </c>
      <c r="L3355" s="176">
        <f>IFERROR(__xludf.DUMMYFUNCTION("""COMPUTED_VALUE"""),12.0)</f>
        <v>12</v>
      </c>
      <c r="M3355" s="176">
        <f>IFERROR(__xludf.DUMMYFUNCTION("""COMPUTED_VALUE"""),40.0)</f>
        <v>40</v>
      </c>
      <c r="N3355" s="177" t="str">
        <f>IFERROR(__xludf.DUMMYFUNCTION("""COMPUTED_VALUE"""),"Model 3 LR")</f>
        <v>Model 3 LR</v>
      </c>
      <c r="O3355" s="177" t="str">
        <f>IFERROR(__xludf.DUMMYFUNCTION("""COMPUTED_VALUE"""),"Red Multi-Coat")</f>
        <v>Red Multi-Coat</v>
      </c>
      <c r="P3355" s="178" t="str">
        <f>IFERROR(__xludf.DUMMYFUNCTION("""COMPUTED_VALUE"""),"19 inch Sport")</f>
        <v>19 inch Sport</v>
      </c>
      <c r="Q3355" s="177" t="str">
        <f>IFERROR(__xludf.DUMMYFUNCTION("""COMPUTED_VALUE"""),"Black seats")</f>
        <v>Black seats</v>
      </c>
      <c r="R3355" s="170" t="str">
        <f>IFERROR(__xludf.DUMMYFUNCTION("""COMPUTED_VALUE"""),"Full Self-Driving")</f>
        <v>Full Self-Driving</v>
      </c>
      <c r="S3355" s="170"/>
      <c r="T3355" s="179"/>
      <c r="U3355" s="179"/>
      <c r="V3355" s="179"/>
      <c r="W3355" s="180"/>
      <c r="X3355" s="181" t="str">
        <f>IFERROR(__xludf.DUMMYFUNCTION("""COMPUTED_VALUE"""),"Excellent")</f>
        <v>Excellent</v>
      </c>
      <c r="Y3355" s="182" t="str">
        <f>IFERROR(__xludf.DUMMYFUNCTION("""COMPUTED_VALUE"""),"Excellent")</f>
        <v>Excellent</v>
      </c>
      <c r="Z3355" s="182" t="str">
        <f>IFERROR(__xludf.DUMMYFUNCTION("""COMPUTED_VALUE"""),"Excellent")</f>
        <v>Excellent</v>
      </c>
      <c r="AA3355" s="182" t="str">
        <f>IFERROR(__xludf.DUMMYFUNCTION("""COMPUTED_VALUE"""),"Excellent")</f>
        <v>Excellent</v>
      </c>
      <c r="AB3355" s="182" t="str">
        <f>IFERROR(__xludf.DUMMYFUNCTION("""COMPUTED_VALUE"""),"Excellent")</f>
        <v>Excellent</v>
      </c>
      <c r="AC3355" s="183"/>
      <c r="AD3355" s="183"/>
      <c r="AE3355" s="183"/>
      <c r="AF3355" s="184"/>
      <c r="AG3355" s="180" t="str">
        <f>IFERROR(__xludf.DUMMYFUNCTION("""COMPUTED_VALUE"""),"Don’t know reservation date. Original delivery date 7/10/18 but delivered early. Edit button disappeared 6/20/2018")</f>
        <v>Don’t know reservation date. Original delivery date 7/10/18 but delivered early. Edit button disappeared 6/20/2018</v>
      </c>
      <c r="AH3355" s="185">
        <f>IFERROR(__xludf.DUMMYFUNCTION("""COMPUTED_VALUE"""),43285.72974826388)</f>
        <v>43285.72975</v>
      </c>
      <c r="AI3355" s="182"/>
      <c r="AJ3355" s="182"/>
      <c r="AK3355" s="182"/>
      <c r="AL3355" s="182"/>
    </row>
    <row r="3356" ht="20.25" customHeight="1">
      <c r="A3356" s="169" t="str">
        <f>IFERROR(__xludf.DUMMYFUNCTION("""COMPUTED_VALUE"""),"Everman (2)")</f>
        <v>Everman (2)</v>
      </c>
      <c r="B3356" s="170" t="str">
        <f>IFERROR(__xludf.DUMMYFUNCTION("""COMPUTED_VALUE"""),"Colorado")</f>
        <v>Colorado</v>
      </c>
      <c r="C3356" s="170" t="str">
        <f>IFERROR(__xludf.DUMMYFUNCTION("""COMPUTED_VALUE"""),"CO")</f>
        <v>CO</v>
      </c>
      <c r="D3356" s="170" t="str">
        <f>IFERROR(__xludf.DUMMYFUNCTION("""COMPUTED_VALUE"""),"USA")</f>
        <v>USA</v>
      </c>
      <c r="E3356" s="171">
        <f>IFERROR(__xludf.DUMMYFUNCTION("""COMPUTED_VALUE"""),43244.0)</f>
        <v>43244</v>
      </c>
      <c r="F3356" s="172">
        <f>IFERROR(__xludf.DUMMYFUNCTION("""COMPUTED_VALUE"""),43306.0)</f>
        <v>43306</v>
      </c>
      <c r="G3356" s="173"/>
      <c r="H3356" s="174">
        <f>IFERROR(__xludf.DUMMYFUNCTION("""COMPUTED_VALUE"""),55355.0)</f>
        <v>55355</v>
      </c>
      <c r="I3356" s="175" t="str">
        <f>IFERROR(__xludf.DUMMYFUNCTION("""COMPUTED_VALUE"""),"07/18")</f>
        <v>07/18</v>
      </c>
      <c r="J3356" s="172">
        <f>IFERROR(__xludf.DUMMYFUNCTION("""COMPUTED_VALUE"""),43312.0)</f>
        <v>43312</v>
      </c>
      <c r="K3356" s="176">
        <f>IFERROR(__xludf.DUMMYFUNCTION("""COMPUTED_VALUE"""),62.0)</f>
        <v>62</v>
      </c>
      <c r="L3356" s="176">
        <f>IFERROR(__xludf.DUMMYFUNCTION("""COMPUTED_VALUE"""),6.0)</f>
        <v>6</v>
      </c>
      <c r="M3356" s="176">
        <f>IFERROR(__xludf.DUMMYFUNCTION("""COMPUTED_VALUE"""),68.0)</f>
        <v>68</v>
      </c>
      <c r="N3356" s="177" t="str">
        <f>IFERROR(__xludf.DUMMYFUNCTION("""COMPUTED_VALUE"""),"Model 3 Performance")</f>
        <v>Model 3 Performance</v>
      </c>
      <c r="O3356" s="177" t="str">
        <f>IFERROR(__xludf.DUMMYFUNCTION("""COMPUTED_VALUE"""),"Red Multi-Coat")</f>
        <v>Red Multi-Coat</v>
      </c>
      <c r="P3356" s="178" t="str">
        <f>IFERROR(__xludf.DUMMYFUNCTION("""COMPUTED_VALUE"""),"20 inch Sport")</f>
        <v>20 inch Sport</v>
      </c>
      <c r="Q3356" s="177" t="str">
        <f>IFERROR(__xludf.DUMMYFUNCTION("""COMPUTED_VALUE"""),"White seats")</f>
        <v>White seats</v>
      </c>
      <c r="R3356" s="170" t="str">
        <f>IFERROR(__xludf.DUMMYFUNCTION("""COMPUTED_VALUE"""),"Full Self-Driving")</f>
        <v>Full Self-Driving</v>
      </c>
      <c r="S3356" s="170"/>
      <c r="T3356" s="179"/>
      <c r="U3356" s="179"/>
      <c r="V3356" s="179"/>
      <c r="W3356" s="180"/>
      <c r="X3356" s="181" t="str">
        <f>IFERROR(__xludf.DUMMYFUNCTION("""COMPUTED_VALUE"""),"Very Good")</f>
        <v>Very Good</v>
      </c>
      <c r="Y3356" s="182" t="str">
        <f>IFERROR(__xludf.DUMMYFUNCTION("""COMPUTED_VALUE"""),"Excellent")</f>
        <v>Excellent</v>
      </c>
      <c r="Z3356" s="182" t="str">
        <f>IFERROR(__xludf.DUMMYFUNCTION("""COMPUTED_VALUE"""),"Fair")</f>
        <v>Fair</v>
      </c>
      <c r="AA3356" s="182" t="str">
        <f>IFERROR(__xludf.DUMMYFUNCTION("""COMPUTED_VALUE"""),"Very Good")</f>
        <v>Very Good</v>
      </c>
      <c r="AB3356" s="182" t="str">
        <f>IFERROR(__xludf.DUMMYFUNCTION("""COMPUTED_VALUE"""),"Very Good")</f>
        <v>Very Good</v>
      </c>
      <c r="AC3356" s="183">
        <f>IFERROR(__xludf.DUMMYFUNCTION("""COMPUTED_VALUE"""),3.0)</f>
        <v>3</v>
      </c>
      <c r="AD3356" s="183">
        <f>IFERROR(__xludf.DUMMYFUNCTION("""COMPUTED_VALUE"""),0.0)</f>
        <v>0</v>
      </c>
      <c r="AE3356" s="183">
        <f>IFERROR(__xludf.DUMMYFUNCTION("""COMPUTED_VALUE"""),0.0)</f>
        <v>0</v>
      </c>
      <c r="AF3356" s="184"/>
      <c r="AG3356" s="180"/>
      <c r="AH3356" s="185">
        <f>IFERROR(__xludf.DUMMYFUNCTION("""COMPUTED_VALUE"""),43336.59014453704)</f>
        <v>43336.59014</v>
      </c>
      <c r="AI3356" s="182"/>
      <c r="AJ3356" s="182"/>
      <c r="AK3356" s="182"/>
      <c r="AL3356" s="182"/>
    </row>
    <row r="3357" ht="20.25" customHeight="1">
      <c r="A3357" s="169" t="str">
        <f>IFERROR(__xludf.DUMMYFUNCTION("""COMPUTED_VALUE"""),"kenypowa")</f>
        <v>kenypowa</v>
      </c>
      <c r="B3357" s="170" t="str">
        <f>IFERROR(__xludf.DUMMYFUNCTION("""COMPUTED_VALUE"""),"Calgary")</f>
        <v>Calgary</v>
      </c>
      <c r="C3357" s="170" t="str">
        <f>IFERROR(__xludf.DUMMYFUNCTION("""COMPUTED_VALUE"""),"AB")</f>
        <v>AB</v>
      </c>
      <c r="D3357" s="170" t="str">
        <f>IFERROR(__xludf.DUMMYFUNCTION("""COMPUTED_VALUE"""),"Canada")</f>
        <v>Canada</v>
      </c>
      <c r="E3357" s="171">
        <f>IFERROR(__xludf.DUMMYFUNCTION("""COMPUTED_VALUE"""),43244.0)</f>
        <v>43244</v>
      </c>
      <c r="F3357" s="172">
        <f>IFERROR(__xludf.DUMMYFUNCTION("""COMPUTED_VALUE"""),43249.0)</f>
        <v>43249</v>
      </c>
      <c r="G3357" s="173"/>
      <c r="H3357" s="174">
        <f>IFERROR(__xludf.DUMMYFUNCTION("""COMPUTED_VALUE"""),18755.0)</f>
        <v>18755</v>
      </c>
      <c r="I3357" s="175" t="str">
        <f>IFERROR(__xludf.DUMMYFUNCTION("""COMPUTED_VALUE"""),"05/18")</f>
        <v>05/18</v>
      </c>
      <c r="J3357" s="172">
        <f>IFERROR(__xludf.DUMMYFUNCTION("""COMPUTED_VALUE"""),43272.0)</f>
        <v>43272</v>
      </c>
      <c r="K3357" s="176">
        <f>IFERROR(__xludf.DUMMYFUNCTION("""COMPUTED_VALUE"""),5.0)</f>
        <v>5</v>
      </c>
      <c r="L3357" s="176">
        <f>IFERROR(__xludf.DUMMYFUNCTION("""COMPUTED_VALUE"""),23.0)</f>
        <v>23</v>
      </c>
      <c r="M3357" s="176">
        <f>IFERROR(__xludf.DUMMYFUNCTION("""COMPUTED_VALUE"""),28.0)</f>
        <v>28</v>
      </c>
      <c r="N3357" s="177" t="str">
        <f>IFERROR(__xludf.DUMMYFUNCTION("""COMPUTED_VALUE"""),"Model 3 LR")</f>
        <v>Model 3 LR</v>
      </c>
      <c r="O3357" s="177" t="str">
        <f>IFERROR(__xludf.DUMMYFUNCTION("""COMPUTED_VALUE"""),"Silver Metallic")</f>
        <v>Silver Metallic</v>
      </c>
      <c r="P3357" s="178" t="str">
        <f>IFERROR(__xludf.DUMMYFUNCTION("""COMPUTED_VALUE"""),"18 inch Aero")</f>
        <v>18 inch Aero</v>
      </c>
      <c r="Q3357" s="177" t="str">
        <f>IFERROR(__xludf.DUMMYFUNCTION("""COMPUTED_VALUE"""),"Black seats")</f>
        <v>Black seats</v>
      </c>
      <c r="R3357" s="170" t="str">
        <f>IFERROR(__xludf.DUMMYFUNCTION("""COMPUTED_VALUE"""),"Enhanced Autopilot")</f>
        <v>Enhanced Autopilot</v>
      </c>
      <c r="S3357" s="170"/>
      <c r="T3357" s="179"/>
      <c r="U3357" s="179"/>
      <c r="V3357" s="179"/>
      <c r="W3357" s="180"/>
      <c r="X3357" s="181" t="str">
        <f>IFERROR(__xludf.DUMMYFUNCTION("""COMPUTED_VALUE"""),"Excellent")</f>
        <v>Excellent</v>
      </c>
      <c r="Y3357" s="182" t="str">
        <f>IFERROR(__xludf.DUMMYFUNCTION("""COMPUTED_VALUE"""),"Excellent")</f>
        <v>Excellent</v>
      </c>
      <c r="Z3357" s="182" t="str">
        <f>IFERROR(__xludf.DUMMYFUNCTION("""COMPUTED_VALUE"""),"Excellent")</f>
        <v>Excellent</v>
      </c>
      <c r="AA3357" s="182" t="str">
        <f>IFERROR(__xludf.DUMMYFUNCTION("""COMPUTED_VALUE"""),"Excellent")</f>
        <v>Excellent</v>
      </c>
      <c r="AB3357" s="182" t="str">
        <f>IFERROR(__xludf.DUMMYFUNCTION("""COMPUTED_VALUE"""),"Excellent")</f>
        <v>Excellent</v>
      </c>
      <c r="AC3357" s="183">
        <f>IFERROR(__xludf.DUMMYFUNCTION("""COMPUTED_VALUE"""),0.0)</f>
        <v>0</v>
      </c>
      <c r="AD3357" s="183">
        <f>IFERROR(__xludf.DUMMYFUNCTION("""COMPUTED_VALUE"""),1.0)</f>
        <v>1</v>
      </c>
      <c r="AE3357" s="183">
        <f>IFERROR(__xludf.DUMMYFUNCTION("""COMPUTED_VALUE"""),0.0)</f>
        <v>0</v>
      </c>
      <c r="AF3357" s="184"/>
      <c r="AG3357" s="180"/>
      <c r="AH3357" s="185">
        <f>IFERROR(__xludf.DUMMYFUNCTION("""COMPUTED_VALUE"""),43312.33526478009)</f>
        <v>43312.33526</v>
      </c>
      <c r="AI3357" s="182"/>
      <c r="AJ3357" s="182"/>
      <c r="AK3357" s="182"/>
      <c r="AL3357" s="182"/>
    </row>
    <row r="3358" ht="20.25" customHeight="1">
      <c r="A3358" s="169" t="str">
        <f>IFERROR(__xludf.DUMMYFUNCTION("""COMPUTED_VALUE"""),"TCinCT")</f>
        <v>TCinCT</v>
      </c>
      <c r="B3358" s="170" t="str">
        <f>IFERROR(__xludf.DUMMYFUNCTION("""COMPUTED_VALUE"""),"Central CT")</f>
        <v>Central CT</v>
      </c>
      <c r="C3358" s="170" t="str">
        <f>IFERROR(__xludf.DUMMYFUNCTION("""COMPUTED_VALUE"""),"CT")</f>
        <v>CT</v>
      </c>
      <c r="D3358" s="170" t="str">
        <f>IFERROR(__xludf.DUMMYFUNCTION("""COMPUTED_VALUE"""),"USA")</f>
        <v>USA</v>
      </c>
      <c r="E3358" s="171">
        <f>IFERROR(__xludf.DUMMYFUNCTION("""COMPUTED_VALUE"""),43244.0)</f>
        <v>43244</v>
      </c>
      <c r="F3358" s="172">
        <f>IFERROR(__xludf.DUMMYFUNCTION("""COMPUTED_VALUE"""),43381.0)</f>
        <v>43381</v>
      </c>
      <c r="G3358" s="173"/>
      <c r="H3358" s="174">
        <f>IFERROR(__xludf.DUMMYFUNCTION("""COMPUTED_VALUE"""),117455.0)</f>
        <v>117455</v>
      </c>
      <c r="I3358" s="175" t="str">
        <f>IFERROR(__xludf.DUMMYFUNCTION("""COMPUTED_VALUE"""),"10/18")</f>
        <v>10/18</v>
      </c>
      <c r="J3358" s="172">
        <f>IFERROR(__xludf.DUMMYFUNCTION("""COMPUTED_VALUE"""),43399.0)</f>
        <v>43399</v>
      </c>
      <c r="K3358" s="176">
        <f>IFERROR(__xludf.DUMMYFUNCTION("""COMPUTED_VALUE"""),137.0)</f>
        <v>137</v>
      </c>
      <c r="L3358" s="176">
        <f>IFERROR(__xludf.DUMMYFUNCTION("""COMPUTED_VALUE"""),18.0)</f>
        <v>18</v>
      </c>
      <c r="M3358" s="176">
        <f>IFERROR(__xludf.DUMMYFUNCTION("""COMPUTED_VALUE"""),155.0)</f>
        <v>155</v>
      </c>
      <c r="N3358" s="177" t="str">
        <f>IFERROR(__xludf.DUMMYFUNCTION("""COMPUTED_VALUE"""),"Model 3 LR AWD")</f>
        <v>Model 3 LR AWD</v>
      </c>
      <c r="O3358" s="177" t="str">
        <f>IFERROR(__xludf.DUMMYFUNCTION("""COMPUTED_VALUE"""),"Deep Blue Metallic")</f>
        <v>Deep Blue Metallic</v>
      </c>
      <c r="P3358" s="178" t="str">
        <f>IFERROR(__xludf.DUMMYFUNCTION("""COMPUTED_VALUE"""),"19 inch Sport")</f>
        <v>19 inch Sport</v>
      </c>
      <c r="Q3358" s="177" t="str">
        <f>IFERROR(__xludf.DUMMYFUNCTION("""COMPUTED_VALUE"""),"Black seats")</f>
        <v>Black seats</v>
      </c>
      <c r="R3358" s="170" t="str">
        <f>IFERROR(__xludf.DUMMYFUNCTION("""COMPUTED_VALUE"""),"None")</f>
        <v>None</v>
      </c>
      <c r="S3358" s="170"/>
      <c r="T3358" s="179"/>
      <c r="U3358" s="179"/>
      <c r="V3358" s="179"/>
      <c r="W3358" s="180"/>
      <c r="X3358" s="181" t="str">
        <f>IFERROR(__xludf.DUMMYFUNCTION("""COMPUTED_VALUE"""),"Excellent")</f>
        <v>Excellent</v>
      </c>
      <c r="Y3358" s="182" t="str">
        <f>IFERROR(__xludf.DUMMYFUNCTION("""COMPUTED_VALUE"""),"Excellent")</f>
        <v>Excellent</v>
      </c>
      <c r="Z3358" s="182" t="str">
        <f>IFERROR(__xludf.DUMMYFUNCTION("""COMPUTED_VALUE"""),"Very Good")</f>
        <v>Very Good</v>
      </c>
      <c r="AA3358" s="182" t="str">
        <f>IFERROR(__xludf.DUMMYFUNCTION("""COMPUTED_VALUE"""),"Poor")</f>
        <v>Poor</v>
      </c>
      <c r="AB3358" s="182" t="str">
        <f>IFERROR(__xludf.DUMMYFUNCTION("""COMPUTED_VALUE"""),"Good")</f>
        <v>Good</v>
      </c>
      <c r="AC3358" s="183">
        <f>IFERROR(__xludf.DUMMYFUNCTION("""COMPUTED_VALUE"""),3.0)</f>
        <v>3</v>
      </c>
      <c r="AD3358" s="183"/>
      <c r="AE3358" s="183"/>
      <c r="AF3358" s="184"/>
      <c r="AG3358" s="180"/>
      <c r="AH3358" s="185">
        <f>IFERROR(__xludf.DUMMYFUNCTION("""COMPUTED_VALUE"""),43400.752403541665)</f>
        <v>43400.7524</v>
      </c>
      <c r="AI3358" s="182"/>
      <c r="AJ3358" s="182"/>
      <c r="AK3358" s="182"/>
      <c r="AL3358" s="182"/>
    </row>
    <row r="3359" ht="20.25" customHeight="1">
      <c r="A3359" s="169" t="str">
        <f>IFERROR(__xludf.DUMMYFUNCTION("""COMPUTED_VALUE"""),"Annual")</f>
        <v>Annual</v>
      </c>
      <c r="B3359" s="170"/>
      <c r="C3359" s="170" t="str">
        <f>IFERROR(__xludf.DUMMYFUNCTION("""COMPUTED_VALUE"""),"MA")</f>
        <v>MA</v>
      </c>
      <c r="D3359" s="170" t="str">
        <f>IFERROR(__xludf.DUMMYFUNCTION("""COMPUTED_VALUE"""),"USA")</f>
        <v>USA</v>
      </c>
      <c r="E3359" s="171">
        <f>IFERROR(__xludf.DUMMYFUNCTION("""COMPUTED_VALUE"""),43243.0)</f>
        <v>43243</v>
      </c>
      <c r="F3359" s="172">
        <f>IFERROR(__xludf.DUMMYFUNCTION("""COMPUTED_VALUE"""),43322.0)</f>
        <v>43322</v>
      </c>
      <c r="G3359" s="173"/>
      <c r="H3359" s="174">
        <f>IFERROR(__xludf.DUMMYFUNCTION("""COMPUTED_VALUE"""),54555.0)</f>
        <v>54555</v>
      </c>
      <c r="I3359" s="175" t="str">
        <f>IFERROR(__xludf.DUMMYFUNCTION("""COMPUTED_VALUE"""),"08/18")</f>
        <v>08/18</v>
      </c>
      <c r="J3359" s="172">
        <f>IFERROR(__xludf.DUMMYFUNCTION("""COMPUTED_VALUE"""),43350.0)</f>
        <v>43350</v>
      </c>
      <c r="K3359" s="176">
        <f>IFERROR(__xludf.DUMMYFUNCTION("""COMPUTED_VALUE"""),79.0)</f>
        <v>79</v>
      </c>
      <c r="L3359" s="176">
        <f>IFERROR(__xludf.DUMMYFUNCTION("""COMPUTED_VALUE"""),28.0)</f>
        <v>28</v>
      </c>
      <c r="M3359" s="176">
        <f>IFERROR(__xludf.DUMMYFUNCTION("""COMPUTED_VALUE"""),107.0)</f>
        <v>107</v>
      </c>
      <c r="N3359" s="177" t="str">
        <f>IFERROR(__xludf.DUMMYFUNCTION("""COMPUTED_VALUE"""),"Model 3 LR AWD")</f>
        <v>Model 3 LR AWD</v>
      </c>
      <c r="O3359" s="177" t="str">
        <f>IFERROR(__xludf.DUMMYFUNCTION("""COMPUTED_VALUE"""),"Red Multi-Coat")</f>
        <v>Red Multi-Coat</v>
      </c>
      <c r="P3359" s="178" t="str">
        <f>IFERROR(__xludf.DUMMYFUNCTION("""COMPUTED_VALUE"""),"18 inch Aero")</f>
        <v>18 inch Aero</v>
      </c>
      <c r="Q3359" s="177" t="str">
        <f>IFERROR(__xludf.DUMMYFUNCTION("""COMPUTED_VALUE"""),"Black seats")</f>
        <v>Black seats</v>
      </c>
      <c r="R3359" s="170" t="str">
        <f>IFERROR(__xludf.DUMMYFUNCTION("""COMPUTED_VALUE"""),"Full Self-Driving")</f>
        <v>Full Self-Driving</v>
      </c>
      <c r="S3359" s="170"/>
      <c r="T3359" s="179"/>
      <c r="U3359" s="179"/>
      <c r="V3359" s="179"/>
      <c r="W3359" s="180"/>
      <c r="X3359" s="181" t="str">
        <f>IFERROR(__xludf.DUMMYFUNCTION("""COMPUTED_VALUE"""),"Excellent")</f>
        <v>Excellent</v>
      </c>
      <c r="Y3359" s="182" t="str">
        <f>IFERROR(__xludf.DUMMYFUNCTION("""COMPUTED_VALUE"""),"Excellent")</f>
        <v>Excellent</v>
      </c>
      <c r="Z3359" s="182" t="str">
        <f>IFERROR(__xludf.DUMMYFUNCTION("""COMPUTED_VALUE"""),"Excellent")</f>
        <v>Excellent</v>
      </c>
      <c r="AA3359" s="182" t="str">
        <f>IFERROR(__xludf.DUMMYFUNCTION("""COMPUTED_VALUE"""),"Very Good")</f>
        <v>Very Good</v>
      </c>
      <c r="AB3359" s="182" t="str">
        <f>IFERROR(__xludf.DUMMYFUNCTION("""COMPUTED_VALUE"""),"Excellent")</f>
        <v>Excellent</v>
      </c>
      <c r="AC3359" s="183">
        <f>IFERROR(__xludf.DUMMYFUNCTION("""COMPUTED_VALUE"""),1.0)</f>
        <v>1</v>
      </c>
      <c r="AD3359" s="183"/>
      <c r="AE3359" s="183"/>
      <c r="AF3359" s="184"/>
      <c r="AG3359" s="180" t="str">
        <f>IFERROR(__xludf.DUMMYFUNCTION("""COMPUTED_VALUE"""),"Mold in trunk")</f>
        <v>Mold in trunk</v>
      </c>
      <c r="AH3359" s="185">
        <f>IFERROR(__xludf.DUMMYFUNCTION("""COMPUTED_VALUE"""),43351.543810462965)</f>
        <v>43351.54381</v>
      </c>
      <c r="AI3359" s="182"/>
      <c r="AJ3359" s="182"/>
      <c r="AK3359" s="182"/>
      <c r="AL3359" s="182"/>
    </row>
    <row r="3360" ht="20.25" customHeight="1">
      <c r="A3360" s="169" t="str">
        <f>IFERROR(__xludf.DUMMYFUNCTION("""COMPUTED_VALUE"""),"Big Ern")</f>
        <v>Big Ern</v>
      </c>
      <c r="B3360" s="170" t="str">
        <f>IFERROR(__xludf.DUMMYFUNCTION("""COMPUTED_VALUE"""),"Pittsburgh")</f>
        <v>Pittsburgh</v>
      </c>
      <c r="C3360" s="170" t="str">
        <f>IFERROR(__xludf.DUMMYFUNCTION("""COMPUTED_VALUE"""),"PA")</f>
        <v>PA</v>
      </c>
      <c r="D3360" s="170" t="str">
        <f>IFERROR(__xludf.DUMMYFUNCTION("""COMPUTED_VALUE"""),"USA")</f>
        <v>USA</v>
      </c>
      <c r="E3360" s="171">
        <f>IFERROR(__xludf.DUMMYFUNCTION("""COMPUTED_VALUE"""),43243.0)</f>
        <v>43243</v>
      </c>
      <c r="F3360" s="172">
        <f>IFERROR(__xludf.DUMMYFUNCTION("""COMPUTED_VALUE"""),43329.0)</f>
        <v>43329</v>
      </c>
      <c r="G3360" s="173"/>
      <c r="H3360" s="174">
        <f>IFERROR(__xludf.DUMMYFUNCTION("""COMPUTED_VALUE"""),72455.0)</f>
        <v>72455</v>
      </c>
      <c r="I3360" s="175" t="str">
        <f>IFERROR(__xludf.DUMMYFUNCTION("""COMPUTED_VALUE"""),"08/18")</f>
        <v>08/18</v>
      </c>
      <c r="J3360" s="172">
        <f>IFERROR(__xludf.DUMMYFUNCTION("""COMPUTED_VALUE"""),43347.0)</f>
        <v>43347</v>
      </c>
      <c r="K3360" s="176">
        <f>IFERROR(__xludf.DUMMYFUNCTION("""COMPUTED_VALUE"""),86.0)</f>
        <v>86</v>
      </c>
      <c r="L3360" s="176">
        <f>IFERROR(__xludf.DUMMYFUNCTION("""COMPUTED_VALUE"""),18.0)</f>
        <v>18</v>
      </c>
      <c r="M3360" s="176">
        <f>IFERROR(__xludf.DUMMYFUNCTION("""COMPUTED_VALUE"""),104.0)</f>
        <v>104</v>
      </c>
      <c r="N3360" s="177" t="str">
        <f>IFERROR(__xludf.DUMMYFUNCTION("""COMPUTED_VALUE"""),"Model 3 Performance")</f>
        <v>Model 3 Performance</v>
      </c>
      <c r="O3360" s="177" t="str">
        <f>IFERROR(__xludf.DUMMYFUNCTION("""COMPUTED_VALUE"""),"Solid Black")</f>
        <v>Solid Black</v>
      </c>
      <c r="P3360" s="178" t="str">
        <f>IFERROR(__xludf.DUMMYFUNCTION("""COMPUTED_VALUE"""),"20 inch Sport")</f>
        <v>20 inch Sport</v>
      </c>
      <c r="Q3360" s="177" t="str">
        <f>IFERROR(__xludf.DUMMYFUNCTION("""COMPUTED_VALUE"""),"Black seats")</f>
        <v>Black seats</v>
      </c>
      <c r="R3360" s="170" t="str">
        <f>IFERROR(__xludf.DUMMYFUNCTION("""COMPUTED_VALUE"""),"Full Self-Driving")</f>
        <v>Full Self-Driving</v>
      </c>
      <c r="S3360" s="170"/>
      <c r="T3360" s="179"/>
      <c r="U3360" s="179"/>
      <c r="V3360" s="179"/>
      <c r="W3360" s="180"/>
      <c r="X3360" s="181" t="str">
        <f>IFERROR(__xludf.DUMMYFUNCTION("""COMPUTED_VALUE"""),"Excellent")</f>
        <v>Excellent</v>
      </c>
      <c r="Y3360" s="182" t="str">
        <f>IFERROR(__xludf.DUMMYFUNCTION("""COMPUTED_VALUE"""),"Excellent")</f>
        <v>Excellent</v>
      </c>
      <c r="Z3360" s="182" t="str">
        <f>IFERROR(__xludf.DUMMYFUNCTION("""COMPUTED_VALUE"""),"Very Good")</f>
        <v>Very Good</v>
      </c>
      <c r="AA3360" s="182" t="str">
        <f>IFERROR(__xludf.DUMMYFUNCTION("""COMPUTED_VALUE"""),"Fair")</f>
        <v>Fair</v>
      </c>
      <c r="AB3360" s="182" t="str">
        <f>IFERROR(__xludf.DUMMYFUNCTION("""COMPUTED_VALUE"""),"Very Good")</f>
        <v>Very Good</v>
      </c>
      <c r="AC3360" s="183"/>
      <c r="AD3360" s="183"/>
      <c r="AE3360" s="183"/>
      <c r="AF3360" s="184"/>
      <c r="AG3360" s="180"/>
      <c r="AH3360" s="185">
        <f>IFERROR(__xludf.DUMMYFUNCTION("""COMPUTED_VALUE"""),43347.78655585648)</f>
        <v>43347.78656</v>
      </c>
      <c r="AI3360" s="182"/>
      <c r="AJ3360" s="182"/>
      <c r="AK3360" s="182"/>
      <c r="AL3360" s="182"/>
    </row>
    <row r="3361" ht="20.25" customHeight="1">
      <c r="A3361" s="169" t="str">
        <f>IFERROR(__xludf.DUMMYFUNCTION("""COMPUTED_VALUE"""),"Bokonon")</f>
        <v>Bokonon</v>
      </c>
      <c r="B3361" s="170" t="str">
        <f>IFERROR(__xludf.DUMMYFUNCTION("""COMPUTED_VALUE"""),"Newton")</f>
        <v>Newton</v>
      </c>
      <c r="C3361" s="170" t="str">
        <f>IFERROR(__xludf.DUMMYFUNCTION("""COMPUTED_VALUE"""),"MA")</f>
        <v>MA</v>
      </c>
      <c r="D3361" s="170" t="str">
        <f>IFERROR(__xludf.DUMMYFUNCTION("""COMPUTED_VALUE"""),"USA")</f>
        <v>USA</v>
      </c>
      <c r="E3361" s="171">
        <f>IFERROR(__xludf.DUMMYFUNCTION("""COMPUTED_VALUE"""),43243.0)</f>
        <v>43243</v>
      </c>
      <c r="F3361" s="172">
        <f>IFERROR(__xludf.DUMMYFUNCTION("""COMPUTED_VALUE"""),43317.0)</f>
        <v>43317</v>
      </c>
      <c r="G3361" s="173"/>
      <c r="H3361" s="174">
        <f>IFERROR(__xludf.DUMMYFUNCTION("""COMPUTED_VALUE"""),63755.0)</f>
        <v>63755</v>
      </c>
      <c r="I3361" s="175" t="str">
        <f>IFERROR(__xludf.DUMMYFUNCTION("""COMPUTED_VALUE"""),"08/18")</f>
        <v>08/18</v>
      </c>
      <c r="J3361" s="172">
        <f>IFERROR(__xludf.DUMMYFUNCTION("""COMPUTED_VALUE"""),43343.0)</f>
        <v>43343</v>
      </c>
      <c r="K3361" s="176">
        <f>IFERROR(__xludf.DUMMYFUNCTION("""COMPUTED_VALUE"""),74.0)</f>
        <v>74</v>
      </c>
      <c r="L3361" s="176">
        <f>IFERROR(__xludf.DUMMYFUNCTION("""COMPUTED_VALUE"""),26.0)</f>
        <v>26</v>
      </c>
      <c r="M3361" s="176">
        <f>IFERROR(__xludf.DUMMYFUNCTION("""COMPUTED_VALUE"""),100.0)</f>
        <v>100</v>
      </c>
      <c r="N3361" s="177" t="str">
        <f>IFERROR(__xludf.DUMMYFUNCTION("""COMPUTED_VALUE"""),"Model 3 LR AWD")</f>
        <v>Model 3 LR AWD</v>
      </c>
      <c r="O3361" s="177" t="str">
        <f>IFERROR(__xludf.DUMMYFUNCTION("""COMPUTED_VALUE"""),"Deep Blue Metallic")</f>
        <v>Deep Blue Metallic</v>
      </c>
      <c r="P3361" s="178" t="str">
        <f>IFERROR(__xludf.DUMMYFUNCTION("""COMPUTED_VALUE"""),"19 inch Sport")</f>
        <v>19 inch Sport</v>
      </c>
      <c r="Q3361" s="177" t="str">
        <f>IFERROR(__xludf.DUMMYFUNCTION("""COMPUTED_VALUE"""),"Black seats")</f>
        <v>Black seats</v>
      </c>
      <c r="R3361" s="170" t="str">
        <f>IFERROR(__xludf.DUMMYFUNCTION("""COMPUTED_VALUE"""),"Enhanced Autopilot")</f>
        <v>Enhanced Autopilot</v>
      </c>
      <c r="S3361" s="170"/>
      <c r="T3361" s="179"/>
      <c r="U3361" s="179"/>
      <c r="V3361" s="179"/>
      <c r="W3361" s="180"/>
      <c r="X3361" s="181" t="str">
        <f>IFERROR(__xludf.DUMMYFUNCTION("""COMPUTED_VALUE"""),"Excellent")</f>
        <v>Excellent</v>
      </c>
      <c r="Y3361" s="182" t="str">
        <f>IFERROR(__xludf.DUMMYFUNCTION("""COMPUTED_VALUE"""),"Excellent")</f>
        <v>Excellent</v>
      </c>
      <c r="Z3361" s="182" t="str">
        <f>IFERROR(__xludf.DUMMYFUNCTION("""COMPUTED_VALUE"""),"Good")</f>
        <v>Good</v>
      </c>
      <c r="AA3361" s="182" t="str">
        <f>IFERROR(__xludf.DUMMYFUNCTION("""COMPUTED_VALUE"""),"Good")</f>
        <v>Good</v>
      </c>
      <c r="AB3361" s="182" t="str">
        <f>IFERROR(__xludf.DUMMYFUNCTION("""COMPUTED_VALUE"""),"Very Good")</f>
        <v>Very Good</v>
      </c>
      <c r="AC3361" s="183"/>
      <c r="AD3361" s="183"/>
      <c r="AE3361" s="183"/>
      <c r="AF3361" s="184"/>
      <c r="AG3361" s="180"/>
      <c r="AH3361" s="185">
        <f>IFERROR(__xludf.DUMMYFUNCTION("""COMPUTED_VALUE"""),43344.935612719906)</f>
        <v>43344.93561</v>
      </c>
      <c r="AI3361" s="182"/>
      <c r="AJ3361" s="182"/>
      <c r="AK3361" s="182"/>
      <c r="AL3361" s="182"/>
    </row>
    <row r="3362" ht="20.25" customHeight="1">
      <c r="A3362" s="169" t="str">
        <f>IFERROR(__xludf.DUMMYFUNCTION("""COMPUTED_VALUE"""),"BruceLawton")</f>
        <v>BruceLawton</v>
      </c>
      <c r="B3362" s="170" t="str">
        <f>IFERROR(__xludf.DUMMYFUNCTION("""COMPUTED_VALUE"""),"Hillsboro")</f>
        <v>Hillsboro</v>
      </c>
      <c r="C3362" s="170" t="str">
        <f>IFERROR(__xludf.DUMMYFUNCTION("""COMPUTED_VALUE"""),"VA")</f>
        <v>VA</v>
      </c>
      <c r="D3362" s="170" t="str">
        <f>IFERROR(__xludf.DUMMYFUNCTION("""COMPUTED_VALUE"""),"USA")</f>
        <v>USA</v>
      </c>
      <c r="E3362" s="171">
        <f>IFERROR(__xludf.DUMMYFUNCTION("""COMPUTED_VALUE"""),43243.0)</f>
        <v>43243</v>
      </c>
      <c r="F3362" s="172"/>
      <c r="G3362" s="173"/>
      <c r="H3362" s="174">
        <f>IFERROR(__xludf.DUMMYFUNCTION("""COMPUTED_VALUE"""),54587.0)</f>
        <v>54587</v>
      </c>
      <c r="I3362" s="175"/>
      <c r="J3362" s="172">
        <f>IFERROR(__xludf.DUMMYFUNCTION("""COMPUTED_VALUE"""),43339.0)</f>
        <v>43339</v>
      </c>
      <c r="K3362" s="176"/>
      <c r="L3362" s="176"/>
      <c r="M3362" s="176">
        <f>IFERROR(__xludf.DUMMYFUNCTION("""COMPUTED_VALUE"""),96.0)</f>
        <v>96</v>
      </c>
      <c r="N3362" s="177" t="str">
        <f>IFERROR(__xludf.DUMMYFUNCTION("""COMPUTED_VALUE"""),"Model 3 LR AWD")</f>
        <v>Model 3 LR AWD</v>
      </c>
      <c r="O3362" s="177" t="str">
        <f>IFERROR(__xludf.DUMMYFUNCTION("""COMPUTED_VALUE"""),"Red Multi-Coat")</f>
        <v>Red Multi-Coat</v>
      </c>
      <c r="P3362" s="178" t="str">
        <f>IFERROR(__xludf.DUMMYFUNCTION("""COMPUTED_VALUE"""),"18 inch Aero")</f>
        <v>18 inch Aero</v>
      </c>
      <c r="Q3362" s="177" t="str">
        <f>IFERROR(__xludf.DUMMYFUNCTION("""COMPUTED_VALUE"""),"Black seats")</f>
        <v>Black seats</v>
      </c>
      <c r="R3362" s="170" t="str">
        <f>IFERROR(__xludf.DUMMYFUNCTION("""COMPUTED_VALUE"""),"None")</f>
        <v>None</v>
      </c>
      <c r="S3362" s="170"/>
      <c r="T3362" s="179"/>
      <c r="U3362" s="179"/>
      <c r="V3362" s="179"/>
      <c r="W3362" s="180"/>
      <c r="X3362" s="181" t="str">
        <f>IFERROR(__xludf.DUMMYFUNCTION("""COMPUTED_VALUE"""),"Excellent")</f>
        <v>Excellent</v>
      </c>
      <c r="Y3362" s="182" t="str">
        <f>IFERROR(__xludf.DUMMYFUNCTION("""COMPUTED_VALUE"""),"Excellent")</f>
        <v>Excellent</v>
      </c>
      <c r="Z3362" s="182" t="str">
        <f>IFERROR(__xludf.DUMMYFUNCTION("""COMPUTED_VALUE"""),"Excellent")</f>
        <v>Excellent</v>
      </c>
      <c r="AA3362" s="182" t="str">
        <f>IFERROR(__xludf.DUMMYFUNCTION("""COMPUTED_VALUE"""),"Very Good")</f>
        <v>Very Good</v>
      </c>
      <c r="AB3362" s="182" t="str">
        <f>IFERROR(__xludf.DUMMYFUNCTION("""COMPUTED_VALUE"""),"Very Good")</f>
        <v>Very Good</v>
      </c>
      <c r="AC3362" s="183">
        <f>IFERROR(__xludf.DUMMYFUNCTION("""COMPUTED_VALUE"""),0.0)</f>
        <v>0</v>
      </c>
      <c r="AD3362" s="183"/>
      <c r="AE3362" s="183">
        <f>IFERROR(__xludf.DUMMYFUNCTION("""COMPUTED_VALUE"""),0.0)</f>
        <v>0</v>
      </c>
      <c r="AF3362" s="184"/>
      <c r="AG3362" s="180"/>
      <c r="AH3362" s="185">
        <f>IFERROR(__xludf.DUMMYFUNCTION("""COMPUTED_VALUE"""),43347.21472990741)</f>
        <v>43347.21473</v>
      </c>
      <c r="AI3362" s="182"/>
      <c r="AJ3362" s="182"/>
      <c r="AK3362" s="182"/>
      <c r="AL3362" s="182"/>
    </row>
    <row r="3363" ht="20.25" customHeight="1">
      <c r="A3363" s="169" t="str">
        <f>IFERROR(__xludf.DUMMYFUNCTION("""COMPUTED_VALUE"""),"diamond.g")</f>
        <v>diamond.g</v>
      </c>
      <c r="B3363" s="170" t="str">
        <f>IFERROR(__xludf.DUMMYFUNCTION("""COMPUTED_VALUE"""),"Moyock")</f>
        <v>Moyock</v>
      </c>
      <c r="C3363" s="170" t="str">
        <f>IFERROR(__xludf.DUMMYFUNCTION("""COMPUTED_VALUE"""),"NC")</f>
        <v>NC</v>
      </c>
      <c r="D3363" s="170" t="str">
        <f>IFERROR(__xludf.DUMMYFUNCTION("""COMPUTED_VALUE"""),"USA")</f>
        <v>USA</v>
      </c>
      <c r="E3363" s="171">
        <f>IFERROR(__xludf.DUMMYFUNCTION("""COMPUTED_VALUE"""),43243.0)</f>
        <v>43243</v>
      </c>
      <c r="F3363" s="172">
        <f>IFERROR(__xludf.DUMMYFUNCTION("""COMPUTED_VALUE"""),43306.0)</f>
        <v>43306</v>
      </c>
      <c r="G3363" s="173"/>
      <c r="H3363" s="174">
        <f>IFERROR(__xludf.DUMMYFUNCTION("""COMPUTED_VALUE"""),54255.0)</f>
        <v>54255</v>
      </c>
      <c r="I3363" s="175" t="str">
        <f>IFERROR(__xludf.DUMMYFUNCTION("""COMPUTED_VALUE"""),"07/18")</f>
        <v>07/18</v>
      </c>
      <c r="J3363" s="172">
        <f>IFERROR(__xludf.DUMMYFUNCTION("""COMPUTED_VALUE"""),43327.0)</f>
        <v>43327</v>
      </c>
      <c r="K3363" s="176">
        <f>IFERROR(__xludf.DUMMYFUNCTION("""COMPUTED_VALUE"""),63.0)</f>
        <v>63</v>
      </c>
      <c r="L3363" s="176">
        <f>IFERROR(__xludf.DUMMYFUNCTION("""COMPUTED_VALUE"""),21.0)</f>
        <v>21</v>
      </c>
      <c r="M3363" s="176">
        <f>IFERROR(__xludf.DUMMYFUNCTION("""COMPUTED_VALUE"""),84.0)</f>
        <v>84</v>
      </c>
      <c r="N3363" s="177" t="str">
        <f>IFERROR(__xludf.DUMMYFUNCTION("""COMPUTED_VALUE"""),"Model 3 LR AWD")</f>
        <v>Model 3 LR AWD</v>
      </c>
      <c r="O3363" s="177" t="str">
        <f>IFERROR(__xludf.DUMMYFUNCTION("""COMPUTED_VALUE"""),"Midnight Silver Metallic")</f>
        <v>Midnight Silver Metallic</v>
      </c>
      <c r="P3363" s="178" t="str">
        <f>IFERROR(__xludf.DUMMYFUNCTION("""COMPUTED_VALUE"""),"18 inch Aero")</f>
        <v>18 inch Aero</v>
      </c>
      <c r="Q3363" s="177" t="str">
        <f>IFERROR(__xludf.DUMMYFUNCTION("""COMPUTED_VALUE"""),"Black seats")</f>
        <v>Black seats</v>
      </c>
      <c r="R3363" s="170" t="str">
        <f>IFERROR(__xludf.DUMMYFUNCTION("""COMPUTED_VALUE"""),"Enhanced Autopilot")</f>
        <v>Enhanced Autopilot</v>
      </c>
      <c r="S3363" s="170"/>
      <c r="T3363" s="179"/>
      <c r="U3363" s="179"/>
      <c r="V3363" s="179"/>
      <c r="W3363" s="180"/>
      <c r="X3363" s="181" t="str">
        <f>IFERROR(__xludf.DUMMYFUNCTION("""COMPUTED_VALUE"""),"Good")</f>
        <v>Good</v>
      </c>
      <c r="Y3363" s="182" t="str">
        <f>IFERROR(__xludf.DUMMYFUNCTION("""COMPUTED_VALUE"""),"Very Good")</f>
        <v>Very Good</v>
      </c>
      <c r="Z3363" s="182" t="str">
        <f>IFERROR(__xludf.DUMMYFUNCTION("""COMPUTED_VALUE"""),"Very Good")</f>
        <v>Very Good</v>
      </c>
      <c r="AA3363" s="182" t="str">
        <f>IFERROR(__xludf.DUMMYFUNCTION("""COMPUTED_VALUE"""),"Fair")</f>
        <v>Fair</v>
      </c>
      <c r="AB3363" s="182" t="str">
        <f>IFERROR(__xludf.DUMMYFUNCTION("""COMPUTED_VALUE"""),"Very Good")</f>
        <v>Very Good</v>
      </c>
      <c r="AC3363" s="183"/>
      <c r="AD3363" s="183"/>
      <c r="AE3363" s="183"/>
      <c r="AF3363" s="184"/>
      <c r="AG3363" s="180"/>
      <c r="AH3363" s="185">
        <f>IFERROR(__xludf.DUMMYFUNCTION("""COMPUTED_VALUE"""),43332.64374342593)</f>
        <v>43332.64374</v>
      </c>
      <c r="AI3363" s="182"/>
      <c r="AJ3363" s="182"/>
      <c r="AK3363" s="182"/>
      <c r="AL3363" s="182"/>
    </row>
    <row r="3364" ht="20.25" customHeight="1">
      <c r="A3364" s="169" t="str">
        <f>IFERROR(__xludf.DUMMYFUNCTION("""COMPUTED_VALUE"""),"human608")</f>
        <v>human608</v>
      </c>
      <c r="B3364" s="170" t="str">
        <f>IFERROR(__xludf.DUMMYFUNCTION("""COMPUTED_VALUE"""),"Madison")</f>
        <v>Madison</v>
      </c>
      <c r="C3364" s="170" t="str">
        <f>IFERROR(__xludf.DUMMYFUNCTION("""COMPUTED_VALUE"""),"WI")</f>
        <v>WI</v>
      </c>
      <c r="D3364" s="170" t="str">
        <f>IFERROR(__xludf.DUMMYFUNCTION("""COMPUTED_VALUE"""),"USA")</f>
        <v>USA</v>
      </c>
      <c r="E3364" s="171">
        <f>IFERROR(__xludf.DUMMYFUNCTION("""COMPUTED_VALUE"""),43243.0)</f>
        <v>43243</v>
      </c>
      <c r="F3364" s="172">
        <f>IFERROR(__xludf.DUMMYFUNCTION("""COMPUTED_VALUE"""),43313.0)</f>
        <v>43313</v>
      </c>
      <c r="G3364" s="173"/>
      <c r="H3364" s="174">
        <f>IFERROR(__xludf.DUMMYFUNCTION("""COMPUTED_VALUE"""),65955.0)</f>
        <v>65955</v>
      </c>
      <c r="I3364" s="175" t="str">
        <f>IFERROR(__xludf.DUMMYFUNCTION("""COMPUTED_VALUE"""),"07/18")</f>
        <v>07/18</v>
      </c>
      <c r="J3364" s="172">
        <f>IFERROR(__xludf.DUMMYFUNCTION("""COMPUTED_VALUE"""),43343.0)</f>
        <v>43343</v>
      </c>
      <c r="K3364" s="176">
        <f>IFERROR(__xludf.DUMMYFUNCTION("""COMPUTED_VALUE"""),70.0)</f>
        <v>70</v>
      </c>
      <c r="L3364" s="176">
        <f>IFERROR(__xludf.DUMMYFUNCTION("""COMPUTED_VALUE"""),30.0)</f>
        <v>30</v>
      </c>
      <c r="M3364" s="176">
        <f>IFERROR(__xludf.DUMMYFUNCTION("""COMPUTED_VALUE"""),100.0)</f>
        <v>100</v>
      </c>
      <c r="N3364" s="177" t="str">
        <f>IFERROR(__xludf.DUMMYFUNCTION("""COMPUTED_VALUE"""),"Model 3 LR AWD")</f>
        <v>Model 3 LR AWD</v>
      </c>
      <c r="O3364" s="177" t="str">
        <f>IFERROR(__xludf.DUMMYFUNCTION("""COMPUTED_VALUE"""),"Midnight Silver Metallic")</f>
        <v>Midnight Silver Metallic</v>
      </c>
      <c r="P3364" s="178" t="str">
        <f>IFERROR(__xludf.DUMMYFUNCTION("""COMPUTED_VALUE"""),"18 inch Aero")</f>
        <v>18 inch Aero</v>
      </c>
      <c r="Q3364" s="177" t="str">
        <f>IFERROR(__xludf.DUMMYFUNCTION("""COMPUTED_VALUE"""),"Black seats")</f>
        <v>Black seats</v>
      </c>
      <c r="R3364" s="170" t="str">
        <f>IFERROR(__xludf.DUMMYFUNCTION("""COMPUTED_VALUE"""),"None")</f>
        <v>None</v>
      </c>
      <c r="S3364" s="170"/>
      <c r="T3364" s="179"/>
      <c r="U3364" s="179"/>
      <c r="V3364" s="179"/>
      <c r="W3364" s="180"/>
      <c r="X3364" s="181" t="str">
        <f>IFERROR(__xludf.DUMMYFUNCTION("""COMPUTED_VALUE"""),"Very Good")</f>
        <v>Very Good</v>
      </c>
      <c r="Y3364" s="182" t="str">
        <f>IFERROR(__xludf.DUMMYFUNCTION("""COMPUTED_VALUE"""),"Very Good")</f>
        <v>Very Good</v>
      </c>
      <c r="Z3364" s="182" t="str">
        <f>IFERROR(__xludf.DUMMYFUNCTION("""COMPUTED_VALUE"""),"Good")</f>
        <v>Good</v>
      </c>
      <c r="AA3364" s="182" t="str">
        <f>IFERROR(__xludf.DUMMYFUNCTION("""COMPUTED_VALUE"""),"Very Good")</f>
        <v>Very Good</v>
      </c>
      <c r="AB3364" s="182" t="str">
        <f>IFERROR(__xludf.DUMMYFUNCTION("""COMPUTED_VALUE"""),"Excellent")</f>
        <v>Excellent</v>
      </c>
      <c r="AC3364" s="183">
        <f>IFERROR(__xludf.DUMMYFUNCTION("""COMPUTED_VALUE"""),0.0)</f>
        <v>0</v>
      </c>
      <c r="AD3364" s="183">
        <f>IFERROR(__xludf.DUMMYFUNCTION("""COMPUTED_VALUE"""),0.0)</f>
        <v>0</v>
      </c>
      <c r="AE3364" s="183">
        <f>IFERROR(__xludf.DUMMYFUNCTION("""COMPUTED_VALUE"""),0.0)</f>
        <v>0</v>
      </c>
      <c r="AF3364" s="184"/>
      <c r="AG3364" s="180" t="str">
        <f>IFERROR(__xludf.DUMMYFUNCTION("""COMPUTED_VALUE"""),"Original delivery date delayed by 6 days")</f>
        <v>Original delivery date delayed by 6 days</v>
      </c>
      <c r="AH3364" s="185">
        <f>IFERROR(__xludf.DUMMYFUNCTION("""COMPUTED_VALUE"""),43344.483125949075)</f>
        <v>43344.48313</v>
      </c>
      <c r="AI3364" s="182"/>
      <c r="AJ3364" s="182"/>
      <c r="AK3364" s="182"/>
      <c r="AL3364" s="182"/>
    </row>
    <row r="3365" ht="20.25" customHeight="1">
      <c r="A3365" s="169" t="str">
        <f>IFERROR(__xludf.DUMMYFUNCTION("""COMPUTED_VALUE"""),"jaredm")</f>
        <v>jaredm</v>
      </c>
      <c r="B3365" s="170" t="str">
        <f>IFERROR(__xludf.DUMMYFUNCTION("""COMPUTED_VALUE"""),"Pittsburgh")</f>
        <v>Pittsburgh</v>
      </c>
      <c r="C3365" s="170" t="str">
        <f>IFERROR(__xludf.DUMMYFUNCTION("""COMPUTED_VALUE"""),"PA")</f>
        <v>PA</v>
      </c>
      <c r="D3365" s="170" t="str">
        <f>IFERROR(__xludf.DUMMYFUNCTION("""COMPUTED_VALUE"""),"USA")</f>
        <v>USA</v>
      </c>
      <c r="E3365" s="171">
        <f>IFERROR(__xludf.DUMMYFUNCTION("""COMPUTED_VALUE"""),43243.0)</f>
        <v>43243</v>
      </c>
      <c r="F3365" s="172">
        <f>IFERROR(__xludf.DUMMYFUNCTION("""COMPUTED_VALUE"""),43347.0)</f>
        <v>43347</v>
      </c>
      <c r="G3365" s="173"/>
      <c r="H3365" s="174">
        <f>IFERROR(__xludf.DUMMYFUNCTION("""COMPUTED_VALUE"""),97055.0)</f>
        <v>97055</v>
      </c>
      <c r="I3365" s="175"/>
      <c r="J3365" s="172">
        <f>IFERROR(__xludf.DUMMYFUNCTION("""COMPUTED_VALUE"""),43361.0)</f>
        <v>43361</v>
      </c>
      <c r="K3365" s="176">
        <f>IFERROR(__xludf.DUMMYFUNCTION("""COMPUTED_VALUE"""),104.0)</f>
        <v>104</v>
      </c>
      <c r="L3365" s="176">
        <f>IFERROR(__xludf.DUMMYFUNCTION("""COMPUTED_VALUE"""),14.0)</f>
        <v>14</v>
      </c>
      <c r="M3365" s="176">
        <f>IFERROR(__xludf.DUMMYFUNCTION("""COMPUTED_VALUE"""),118.0)</f>
        <v>118</v>
      </c>
      <c r="N3365" s="177" t="str">
        <f>IFERROR(__xludf.DUMMYFUNCTION("""COMPUTED_VALUE"""),"Model 3 LR AWD")</f>
        <v>Model 3 LR AWD</v>
      </c>
      <c r="O3365" s="177" t="str">
        <f>IFERROR(__xludf.DUMMYFUNCTION("""COMPUTED_VALUE"""),"Solid Black")</f>
        <v>Solid Black</v>
      </c>
      <c r="P3365" s="178" t="str">
        <f>IFERROR(__xludf.DUMMYFUNCTION("""COMPUTED_VALUE"""),"19 inch Sport")</f>
        <v>19 inch Sport</v>
      </c>
      <c r="Q3365" s="177" t="str">
        <f>IFERROR(__xludf.DUMMYFUNCTION("""COMPUTED_VALUE"""),"White seats")</f>
        <v>White seats</v>
      </c>
      <c r="R3365" s="170" t="str">
        <f>IFERROR(__xludf.DUMMYFUNCTION("""COMPUTED_VALUE"""),"Enhanced Autopilot")</f>
        <v>Enhanced Autopilot</v>
      </c>
      <c r="S3365" s="170"/>
      <c r="T3365" s="179"/>
      <c r="U3365" s="179"/>
      <c r="V3365" s="179"/>
      <c r="W3365" s="180"/>
      <c r="X3365" s="181" t="str">
        <f>IFERROR(__xludf.DUMMYFUNCTION("""COMPUTED_VALUE"""),"Excellent")</f>
        <v>Excellent</v>
      </c>
      <c r="Y3365" s="182" t="str">
        <f>IFERROR(__xludf.DUMMYFUNCTION("""COMPUTED_VALUE"""),"Excellent")</f>
        <v>Excellent</v>
      </c>
      <c r="Z3365" s="182" t="str">
        <f>IFERROR(__xludf.DUMMYFUNCTION("""COMPUTED_VALUE"""),"Good")</f>
        <v>Good</v>
      </c>
      <c r="AA3365" s="182" t="str">
        <f>IFERROR(__xludf.DUMMYFUNCTION("""COMPUTED_VALUE"""),"Fair")</f>
        <v>Fair</v>
      </c>
      <c r="AB3365" s="182" t="str">
        <f>IFERROR(__xludf.DUMMYFUNCTION("""COMPUTED_VALUE"""),"Good")</f>
        <v>Good</v>
      </c>
      <c r="AC3365" s="183">
        <f>IFERROR(__xludf.DUMMYFUNCTION("""COMPUTED_VALUE"""),0.0)</f>
        <v>0</v>
      </c>
      <c r="AD3365" s="183">
        <f>IFERROR(__xludf.DUMMYFUNCTION("""COMPUTED_VALUE"""),0.0)</f>
        <v>0</v>
      </c>
      <c r="AE3365" s="183">
        <f>IFERROR(__xludf.DUMMYFUNCTION("""COMPUTED_VALUE"""),0.0)</f>
        <v>0</v>
      </c>
      <c r="AF3365" s="184"/>
      <c r="AG3365" s="180"/>
      <c r="AH3365" s="185">
        <f>IFERROR(__xludf.DUMMYFUNCTION("""COMPUTED_VALUE"""),43368.409728715276)</f>
        <v>43368.40973</v>
      </c>
      <c r="AI3365" s="182"/>
      <c r="AJ3365" s="182"/>
      <c r="AK3365" s="182"/>
      <c r="AL3365" s="182"/>
    </row>
    <row r="3366" ht="20.25" customHeight="1">
      <c r="A3366" s="169" t="str">
        <f>IFERROR(__xludf.DUMMYFUNCTION("""COMPUTED_VALUE"""),"LoboMesa")</f>
        <v>LoboMesa</v>
      </c>
      <c r="B3366" s="170" t="str">
        <f>IFERROR(__xludf.DUMMYFUNCTION("""COMPUTED_VALUE"""),"Jacksonville ")</f>
        <v>Jacksonville </v>
      </c>
      <c r="C3366" s="170" t="str">
        <f>IFERROR(__xludf.DUMMYFUNCTION("""COMPUTED_VALUE"""),"FL")</f>
        <v>FL</v>
      </c>
      <c r="D3366" s="170" t="str">
        <f>IFERROR(__xludf.DUMMYFUNCTION("""COMPUTED_VALUE"""),"USA")</f>
        <v>USA</v>
      </c>
      <c r="E3366" s="171">
        <f>IFERROR(__xludf.DUMMYFUNCTION("""COMPUTED_VALUE"""),43243.0)</f>
        <v>43243</v>
      </c>
      <c r="F3366" s="172">
        <f>IFERROR(__xludf.DUMMYFUNCTION("""COMPUTED_VALUE"""),43303.0)</f>
        <v>43303</v>
      </c>
      <c r="G3366" s="173"/>
      <c r="H3366" s="174">
        <f>IFERROR(__xludf.DUMMYFUNCTION("""COMPUTED_VALUE"""),55834.0)</f>
        <v>55834</v>
      </c>
      <c r="I3366" s="175" t="str">
        <f>IFERROR(__xludf.DUMMYFUNCTION("""COMPUTED_VALUE"""),"07/18")</f>
        <v>07/18</v>
      </c>
      <c r="J3366" s="172">
        <f>IFERROR(__xludf.DUMMYFUNCTION("""COMPUTED_VALUE"""),43318.0)</f>
        <v>43318</v>
      </c>
      <c r="K3366" s="176">
        <f>IFERROR(__xludf.DUMMYFUNCTION("""COMPUTED_VALUE"""),60.0)</f>
        <v>60</v>
      </c>
      <c r="L3366" s="176">
        <f>IFERROR(__xludf.DUMMYFUNCTION("""COMPUTED_VALUE"""),15.0)</f>
        <v>15</v>
      </c>
      <c r="M3366" s="176">
        <f>IFERROR(__xludf.DUMMYFUNCTION("""COMPUTED_VALUE"""),75.0)</f>
        <v>75</v>
      </c>
      <c r="N3366" s="177" t="str">
        <f>IFERROR(__xludf.DUMMYFUNCTION("""COMPUTED_VALUE"""),"Model 3 Performance")</f>
        <v>Model 3 Performance</v>
      </c>
      <c r="O3366" s="177" t="str">
        <f>IFERROR(__xludf.DUMMYFUNCTION("""COMPUTED_VALUE"""),"Pearl White Multi-Coat")</f>
        <v>Pearl White Multi-Coat</v>
      </c>
      <c r="P3366" s="178" t="str">
        <f>IFERROR(__xludf.DUMMYFUNCTION("""COMPUTED_VALUE"""),"20 inch Sport")</f>
        <v>20 inch Sport</v>
      </c>
      <c r="Q3366" s="177" t="str">
        <f>IFERROR(__xludf.DUMMYFUNCTION("""COMPUTED_VALUE"""),"White seats")</f>
        <v>White seats</v>
      </c>
      <c r="R3366" s="170" t="str">
        <f>IFERROR(__xludf.DUMMYFUNCTION("""COMPUTED_VALUE"""),"Enhanced Autopilot")</f>
        <v>Enhanced Autopilot</v>
      </c>
      <c r="S3366" s="170"/>
      <c r="T3366" s="179"/>
      <c r="U3366" s="179"/>
      <c r="V3366" s="179"/>
      <c r="W3366" s="180"/>
      <c r="X3366" s="181" t="str">
        <f>IFERROR(__xludf.DUMMYFUNCTION("""COMPUTED_VALUE"""),"Excellent")</f>
        <v>Excellent</v>
      </c>
      <c r="Y3366" s="182" t="str">
        <f>IFERROR(__xludf.DUMMYFUNCTION("""COMPUTED_VALUE"""),"Excellent")</f>
        <v>Excellent</v>
      </c>
      <c r="Z3366" s="182" t="str">
        <f>IFERROR(__xludf.DUMMYFUNCTION("""COMPUTED_VALUE"""),"Excellent")</f>
        <v>Excellent</v>
      </c>
      <c r="AA3366" s="182" t="str">
        <f>IFERROR(__xludf.DUMMYFUNCTION("""COMPUTED_VALUE"""),"Good")</f>
        <v>Good</v>
      </c>
      <c r="AB3366" s="182" t="str">
        <f>IFERROR(__xludf.DUMMYFUNCTION("""COMPUTED_VALUE"""),"Very Good")</f>
        <v>Very Good</v>
      </c>
      <c r="AC3366" s="183"/>
      <c r="AD3366" s="183"/>
      <c r="AE3366" s="183"/>
      <c r="AF3366" s="184"/>
      <c r="AG3366" s="180"/>
      <c r="AH3366" s="185">
        <f>IFERROR(__xludf.DUMMYFUNCTION("""COMPUTED_VALUE"""),43318.74619070601)</f>
        <v>43318.74619</v>
      </c>
      <c r="AI3366" s="182"/>
      <c r="AJ3366" s="182"/>
      <c r="AK3366" s="182"/>
      <c r="AL3366" s="182"/>
    </row>
    <row r="3367" ht="20.25" customHeight="1">
      <c r="A3367" s="169" t="str">
        <f>IFERROR(__xludf.DUMMYFUNCTION("""COMPUTED_VALUE"""),"marker2002")</f>
        <v>marker2002</v>
      </c>
      <c r="B3367" s="170" t="str">
        <f>IFERROR(__xludf.DUMMYFUNCTION("""COMPUTED_VALUE"""),"Overland Park")</f>
        <v>Overland Park</v>
      </c>
      <c r="C3367" s="170" t="str">
        <f>IFERROR(__xludf.DUMMYFUNCTION("""COMPUTED_VALUE"""),"KS")</f>
        <v>KS</v>
      </c>
      <c r="D3367" s="170" t="str">
        <f>IFERROR(__xludf.DUMMYFUNCTION("""COMPUTED_VALUE"""),"USA")</f>
        <v>USA</v>
      </c>
      <c r="E3367" s="171">
        <f>IFERROR(__xludf.DUMMYFUNCTION("""COMPUTED_VALUE"""),43243.0)</f>
        <v>43243</v>
      </c>
      <c r="F3367" s="172">
        <f>IFERROR(__xludf.DUMMYFUNCTION("""COMPUTED_VALUE"""),43322.0)</f>
        <v>43322</v>
      </c>
      <c r="G3367" s="173"/>
      <c r="H3367" s="174">
        <f>IFERROR(__xludf.DUMMYFUNCTION("""COMPUTED_VALUE"""),65055.0)</f>
        <v>65055</v>
      </c>
      <c r="I3367" s="175" t="str">
        <f>IFERROR(__xludf.DUMMYFUNCTION("""COMPUTED_VALUE"""),"08/18")</f>
        <v>08/18</v>
      </c>
      <c r="J3367" s="172">
        <f>IFERROR(__xludf.DUMMYFUNCTION("""COMPUTED_VALUE"""),43350.0)</f>
        <v>43350</v>
      </c>
      <c r="K3367" s="176">
        <f>IFERROR(__xludf.DUMMYFUNCTION("""COMPUTED_VALUE"""),79.0)</f>
        <v>79</v>
      </c>
      <c r="L3367" s="176">
        <f>IFERROR(__xludf.DUMMYFUNCTION("""COMPUTED_VALUE"""),28.0)</f>
        <v>28</v>
      </c>
      <c r="M3367" s="176">
        <f>IFERROR(__xludf.DUMMYFUNCTION("""COMPUTED_VALUE"""),107.0)</f>
        <v>107</v>
      </c>
      <c r="N3367" s="177" t="str">
        <f>IFERROR(__xludf.DUMMYFUNCTION("""COMPUTED_VALUE"""),"Model 3 LR AWD")</f>
        <v>Model 3 LR AWD</v>
      </c>
      <c r="O3367" s="177" t="str">
        <f>IFERROR(__xludf.DUMMYFUNCTION("""COMPUTED_VALUE"""),"Silver Metallic")</f>
        <v>Silver Metallic</v>
      </c>
      <c r="P3367" s="178" t="str">
        <f>IFERROR(__xludf.DUMMYFUNCTION("""COMPUTED_VALUE"""),"18 inch Aero")</f>
        <v>18 inch Aero</v>
      </c>
      <c r="Q3367" s="177" t="str">
        <f>IFERROR(__xludf.DUMMYFUNCTION("""COMPUTED_VALUE"""),"Black seats")</f>
        <v>Black seats</v>
      </c>
      <c r="R3367" s="170" t="str">
        <f>IFERROR(__xludf.DUMMYFUNCTION("""COMPUTED_VALUE"""),"Enhanced Autopilot")</f>
        <v>Enhanced Autopilot</v>
      </c>
      <c r="S3367" s="170"/>
      <c r="T3367" s="179"/>
      <c r="U3367" s="179"/>
      <c r="V3367" s="179"/>
      <c r="W3367" s="180"/>
      <c r="X3367" s="181" t="str">
        <f>IFERROR(__xludf.DUMMYFUNCTION("""COMPUTED_VALUE"""),"Very Good")</f>
        <v>Very Good</v>
      </c>
      <c r="Y3367" s="182" t="str">
        <f>IFERROR(__xludf.DUMMYFUNCTION("""COMPUTED_VALUE"""),"Very Good")</f>
        <v>Very Good</v>
      </c>
      <c r="Z3367" s="182" t="str">
        <f>IFERROR(__xludf.DUMMYFUNCTION("""COMPUTED_VALUE"""),"Good")</f>
        <v>Good</v>
      </c>
      <c r="AA3367" s="182" t="str">
        <f>IFERROR(__xludf.DUMMYFUNCTION("""COMPUTED_VALUE"""),"Poor")</f>
        <v>Poor</v>
      </c>
      <c r="AB3367" s="182" t="str">
        <f>IFERROR(__xludf.DUMMYFUNCTION("""COMPUTED_VALUE"""),"Excellent")</f>
        <v>Excellent</v>
      </c>
      <c r="AC3367" s="183">
        <f>IFERROR(__xludf.DUMMYFUNCTION("""COMPUTED_VALUE"""),3.0)</f>
        <v>3</v>
      </c>
      <c r="AD3367" s="183">
        <f>IFERROR(__xludf.DUMMYFUNCTION("""COMPUTED_VALUE"""),1.0)</f>
        <v>1</v>
      </c>
      <c r="AE3367" s="183">
        <f>IFERROR(__xludf.DUMMYFUNCTION("""COMPUTED_VALUE"""),0.0)</f>
        <v>0</v>
      </c>
      <c r="AF3367" s="184"/>
      <c r="AG3367" s="180"/>
      <c r="AH3367" s="185">
        <f>IFERROR(__xludf.DUMMYFUNCTION("""COMPUTED_VALUE"""),43418.84569945602)</f>
        <v>43418.8457</v>
      </c>
      <c r="AI3367" s="182"/>
      <c r="AJ3367" s="182"/>
      <c r="AK3367" s="182"/>
      <c r="AL3367" s="182"/>
    </row>
    <row r="3368" ht="20.25" customHeight="1">
      <c r="A3368" s="169" t="str">
        <f>IFERROR(__xludf.DUMMYFUNCTION("""COMPUTED_VALUE"""),"PessimiStick")</f>
        <v>PessimiStick</v>
      </c>
      <c r="B3368" s="170"/>
      <c r="C3368" s="170" t="str">
        <f>IFERROR(__xludf.DUMMYFUNCTION("""COMPUTED_VALUE"""),"OH")</f>
        <v>OH</v>
      </c>
      <c r="D3368" s="170" t="str">
        <f>IFERROR(__xludf.DUMMYFUNCTION("""COMPUTED_VALUE"""),"USA")</f>
        <v>USA</v>
      </c>
      <c r="E3368" s="171">
        <f>IFERROR(__xludf.DUMMYFUNCTION("""COMPUTED_VALUE"""),43243.0)</f>
        <v>43243</v>
      </c>
      <c r="F3368" s="172">
        <f>IFERROR(__xludf.DUMMYFUNCTION("""COMPUTED_VALUE"""),43348.0)</f>
        <v>43348</v>
      </c>
      <c r="G3368" s="173"/>
      <c r="H3368" s="174">
        <f>IFERROR(__xludf.DUMMYFUNCTION("""COMPUTED_VALUE"""),72955.0)</f>
        <v>72955</v>
      </c>
      <c r="I3368" s="175" t="str">
        <f>IFERROR(__xludf.DUMMYFUNCTION("""COMPUTED_VALUE"""),"08/18")</f>
        <v>08/18</v>
      </c>
      <c r="J3368" s="172">
        <f>IFERROR(__xludf.DUMMYFUNCTION("""COMPUTED_VALUE"""),43354.0)</f>
        <v>43354</v>
      </c>
      <c r="K3368" s="176">
        <f>IFERROR(__xludf.DUMMYFUNCTION("""COMPUTED_VALUE"""),105.0)</f>
        <v>105</v>
      </c>
      <c r="L3368" s="176">
        <f>IFERROR(__xludf.DUMMYFUNCTION("""COMPUTED_VALUE"""),6.0)</f>
        <v>6</v>
      </c>
      <c r="M3368" s="176">
        <f>IFERROR(__xludf.DUMMYFUNCTION("""COMPUTED_VALUE"""),111.0)</f>
        <v>111</v>
      </c>
      <c r="N3368" s="177" t="str">
        <f>IFERROR(__xludf.DUMMYFUNCTION("""COMPUTED_VALUE"""),"Model 3 Performance")</f>
        <v>Model 3 Performance</v>
      </c>
      <c r="O3368" s="177" t="str">
        <f>IFERROR(__xludf.DUMMYFUNCTION("""COMPUTED_VALUE"""),"Midnight Silver Metallic")</f>
        <v>Midnight Silver Metallic</v>
      </c>
      <c r="P3368" s="178" t="str">
        <f>IFERROR(__xludf.DUMMYFUNCTION("""COMPUTED_VALUE"""),"20 inch Sport")</f>
        <v>20 inch Sport</v>
      </c>
      <c r="Q3368" s="177" t="str">
        <f>IFERROR(__xludf.DUMMYFUNCTION("""COMPUTED_VALUE"""),"Black seats")</f>
        <v>Black seats</v>
      </c>
      <c r="R3368" s="170" t="str">
        <f>IFERROR(__xludf.DUMMYFUNCTION("""COMPUTED_VALUE"""),"Enhanced Autopilot")</f>
        <v>Enhanced Autopilot</v>
      </c>
      <c r="S3368" s="170"/>
      <c r="T3368" s="179"/>
      <c r="U3368" s="179"/>
      <c r="V3368" s="179"/>
      <c r="W3368" s="180"/>
      <c r="X3368" s="181" t="str">
        <f>IFERROR(__xludf.DUMMYFUNCTION("""COMPUTED_VALUE"""),"Excellent")</f>
        <v>Excellent</v>
      </c>
      <c r="Y3368" s="182" t="str">
        <f>IFERROR(__xludf.DUMMYFUNCTION("""COMPUTED_VALUE"""),"Excellent")</f>
        <v>Excellent</v>
      </c>
      <c r="Z3368" s="182" t="str">
        <f>IFERROR(__xludf.DUMMYFUNCTION("""COMPUTED_VALUE"""),"Very Good")</f>
        <v>Very Good</v>
      </c>
      <c r="AA3368" s="182" t="str">
        <f>IFERROR(__xludf.DUMMYFUNCTION("""COMPUTED_VALUE"""),"Fair")</f>
        <v>Fair</v>
      </c>
      <c r="AB3368" s="182" t="str">
        <f>IFERROR(__xludf.DUMMYFUNCTION("""COMPUTED_VALUE"""),"Good")</f>
        <v>Good</v>
      </c>
      <c r="AC3368" s="183"/>
      <c r="AD3368" s="183"/>
      <c r="AE3368" s="183"/>
      <c r="AF3368" s="184"/>
      <c r="AG3368" s="180"/>
      <c r="AH3368" s="185">
        <f>IFERROR(__xludf.DUMMYFUNCTION("""COMPUTED_VALUE"""),43354.80559452546)</f>
        <v>43354.80559</v>
      </c>
      <c r="AI3368" s="182"/>
      <c r="AJ3368" s="182"/>
      <c r="AK3368" s="182"/>
      <c r="AL3368" s="182"/>
    </row>
    <row r="3369" ht="20.25" customHeight="1">
      <c r="A3369" s="169" t="str">
        <f>IFERROR(__xludf.DUMMYFUNCTION("""COMPUTED_VALUE"""),"PeterK")</f>
        <v>PeterK</v>
      </c>
      <c r="B3369" s="170"/>
      <c r="C3369" s="170" t="str">
        <f>IFERROR(__xludf.DUMMYFUNCTION("""COMPUTED_VALUE"""),"MA")</f>
        <v>MA</v>
      </c>
      <c r="D3369" s="170" t="str">
        <f>IFERROR(__xludf.DUMMYFUNCTION("""COMPUTED_VALUE"""),"USA")</f>
        <v>USA</v>
      </c>
      <c r="E3369" s="171">
        <f>IFERROR(__xludf.DUMMYFUNCTION("""COMPUTED_VALUE"""),43243.0)</f>
        <v>43243</v>
      </c>
      <c r="F3369" s="172">
        <f>IFERROR(__xludf.DUMMYFUNCTION("""COMPUTED_VALUE"""),43307.0)</f>
        <v>43307</v>
      </c>
      <c r="G3369" s="173"/>
      <c r="H3369" s="174">
        <f>IFERROR(__xludf.DUMMYFUNCTION("""COMPUTED_VALUE"""),64055.0)</f>
        <v>64055</v>
      </c>
      <c r="I3369" s="175" t="str">
        <f>IFERROR(__xludf.DUMMYFUNCTION("""COMPUTED_VALUE"""),"07/18")</f>
        <v>07/18</v>
      </c>
      <c r="J3369" s="172">
        <f>IFERROR(__xludf.DUMMYFUNCTION("""COMPUTED_VALUE"""),43333.0)</f>
        <v>43333</v>
      </c>
      <c r="K3369" s="176">
        <f>IFERROR(__xludf.DUMMYFUNCTION("""COMPUTED_VALUE"""),64.0)</f>
        <v>64</v>
      </c>
      <c r="L3369" s="176">
        <f>IFERROR(__xludf.DUMMYFUNCTION("""COMPUTED_VALUE"""),26.0)</f>
        <v>26</v>
      </c>
      <c r="M3369" s="176">
        <f>IFERROR(__xludf.DUMMYFUNCTION("""COMPUTED_VALUE"""),90.0)</f>
        <v>90</v>
      </c>
      <c r="N3369" s="177" t="str">
        <f>IFERROR(__xludf.DUMMYFUNCTION("""COMPUTED_VALUE"""),"Model 3 LR AWD")</f>
        <v>Model 3 LR AWD</v>
      </c>
      <c r="O3369" s="177" t="str">
        <f>IFERROR(__xludf.DUMMYFUNCTION("""COMPUTED_VALUE"""),"Deep Blue Metallic")</f>
        <v>Deep Blue Metallic</v>
      </c>
      <c r="P3369" s="178" t="str">
        <f>IFERROR(__xludf.DUMMYFUNCTION("""COMPUTED_VALUE"""),"18 inch Aero")</f>
        <v>18 inch Aero</v>
      </c>
      <c r="Q3369" s="177" t="str">
        <f>IFERROR(__xludf.DUMMYFUNCTION("""COMPUTED_VALUE"""),"Black seats")</f>
        <v>Black seats</v>
      </c>
      <c r="R3369" s="170" t="str">
        <f>IFERROR(__xludf.DUMMYFUNCTION("""COMPUTED_VALUE"""),"Enhanced Autopilot")</f>
        <v>Enhanced Autopilot</v>
      </c>
      <c r="S3369" s="170"/>
      <c r="T3369" s="179"/>
      <c r="U3369" s="179"/>
      <c r="V3369" s="179"/>
      <c r="W3369" s="180"/>
      <c r="X3369" s="181" t="str">
        <f>IFERROR(__xludf.DUMMYFUNCTION("""COMPUTED_VALUE"""),"Very Good")</f>
        <v>Very Good</v>
      </c>
      <c r="Y3369" s="182" t="str">
        <f>IFERROR(__xludf.DUMMYFUNCTION("""COMPUTED_VALUE"""),"Excellent")</f>
        <v>Excellent</v>
      </c>
      <c r="Z3369" s="182" t="str">
        <f>IFERROR(__xludf.DUMMYFUNCTION("""COMPUTED_VALUE"""),"Excellent")</f>
        <v>Excellent</v>
      </c>
      <c r="AA3369" s="182" t="str">
        <f>IFERROR(__xludf.DUMMYFUNCTION("""COMPUTED_VALUE"""),"Excellent")</f>
        <v>Excellent</v>
      </c>
      <c r="AB3369" s="182" t="str">
        <f>IFERROR(__xludf.DUMMYFUNCTION("""COMPUTED_VALUE"""),"Very Good")</f>
        <v>Very Good</v>
      </c>
      <c r="AC3369" s="183">
        <f>IFERROR(__xludf.DUMMYFUNCTION("""COMPUTED_VALUE"""),4.0)</f>
        <v>4</v>
      </c>
      <c r="AD3369" s="183">
        <f>IFERROR(__xludf.DUMMYFUNCTION("""COMPUTED_VALUE"""),1.0)</f>
        <v>1</v>
      </c>
      <c r="AE3369" s="183">
        <f>IFERROR(__xludf.DUMMYFUNCTION("""COMPUTED_VALUE"""),2.0)</f>
        <v>2</v>
      </c>
      <c r="AF3369" s="184"/>
      <c r="AG3369" s="180"/>
      <c r="AH3369" s="185">
        <f>IFERROR(__xludf.DUMMYFUNCTION("""COMPUTED_VALUE"""),43378.29140682871)</f>
        <v>43378.29141</v>
      </c>
      <c r="AI3369" s="182"/>
      <c r="AJ3369" s="182"/>
      <c r="AK3369" s="182"/>
      <c r="AL3369" s="182"/>
    </row>
    <row r="3370" ht="20.25" customHeight="1">
      <c r="A3370" s="169" t="str">
        <f>IFERROR(__xludf.DUMMYFUNCTION("""COMPUTED_VALUE"""),"quantumslip")</f>
        <v>quantumslip</v>
      </c>
      <c r="B3370" s="170" t="str">
        <f>IFERROR(__xludf.DUMMYFUNCTION("""COMPUTED_VALUE"""),"Houston")</f>
        <v>Houston</v>
      </c>
      <c r="C3370" s="170" t="str">
        <f>IFERROR(__xludf.DUMMYFUNCTION("""COMPUTED_VALUE"""),"TX")</f>
        <v>TX</v>
      </c>
      <c r="D3370" s="170" t="str">
        <f>IFERROR(__xludf.DUMMYFUNCTION("""COMPUTED_VALUE"""),"USA")</f>
        <v>USA</v>
      </c>
      <c r="E3370" s="171">
        <f>IFERROR(__xludf.DUMMYFUNCTION("""COMPUTED_VALUE"""),43243.0)</f>
        <v>43243</v>
      </c>
      <c r="F3370" s="172">
        <f>IFERROR(__xludf.DUMMYFUNCTION("""COMPUTED_VALUE"""),43328.0)</f>
        <v>43328</v>
      </c>
      <c r="G3370" s="173"/>
      <c r="H3370" s="174">
        <f>IFERROR(__xludf.DUMMYFUNCTION("""COMPUTED_VALUE"""),64555.0)</f>
        <v>64555</v>
      </c>
      <c r="I3370" s="175" t="str">
        <f>IFERROR(__xludf.DUMMYFUNCTION("""COMPUTED_VALUE"""),"08/18")</f>
        <v>08/18</v>
      </c>
      <c r="J3370" s="172">
        <f>IFERROR(__xludf.DUMMYFUNCTION("""COMPUTED_VALUE"""),43340.0)</f>
        <v>43340</v>
      </c>
      <c r="K3370" s="176">
        <f>IFERROR(__xludf.DUMMYFUNCTION("""COMPUTED_VALUE"""),85.0)</f>
        <v>85</v>
      </c>
      <c r="L3370" s="176">
        <f>IFERROR(__xludf.DUMMYFUNCTION("""COMPUTED_VALUE"""),12.0)</f>
        <v>12</v>
      </c>
      <c r="M3370" s="176">
        <f>IFERROR(__xludf.DUMMYFUNCTION("""COMPUTED_VALUE"""),97.0)</f>
        <v>97</v>
      </c>
      <c r="N3370" s="177" t="str">
        <f>IFERROR(__xludf.DUMMYFUNCTION("""COMPUTED_VALUE"""),"Model 3 LR AWD")</f>
        <v>Model 3 LR AWD</v>
      </c>
      <c r="O3370" s="177" t="str">
        <f>IFERROR(__xludf.DUMMYFUNCTION("""COMPUTED_VALUE"""),"Deep Blue Metallic")</f>
        <v>Deep Blue Metallic</v>
      </c>
      <c r="P3370" s="178" t="str">
        <f>IFERROR(__xludf.DUMMYFUNCTION("""COMPUTED_VALUE"""),"18 inch Aero")</f>
        <v>18 inch Aero</v>
      </c>
      <c r="Q3370" s="177" t="str">
        <f>IFERROR(__xludf.DUMMYFUNCTION("""COMPUTED_VALUE"""),"Black seats")</f>
        <v>Black seats</v>
      </c>
      <c r="R3370" s="170" t="str">
        <f>IFERROR(__xludf.DUMMYFUNCTION("""COMPUTED_VALUE"""),"Full Self-Driving")</f>
        <v>Full Self-Driving</v>
      </c>
      <c r="S3370" s="170"/>
      <c r="T3370" s="179"/>
      <c r="U3370" s="179"/>
      <c r="V3370" s="179"/>
      <c r="W3370" s="180"/>
      <c r="X3370" s="181" t="str">
        <f>IFERROR(__xludf.DUMMYFUNCTION("""COMPUTED_VALUE"""),"Excellent")</f>
        <v>Excellent</v>
      </c>
      <c r="Y3370" s="182" t="str">
        <f>IFERROR(__xludf.DUMMYFUNCTION("""COMPUTED_VALUE"""),"Excellent")</f>
        <v>Excellent</v>
      </c>
      <c r="Z3370" s="182" t="str">
        <f>IFERROR(__xludf.DUMMYFUNCTION("""COMPUTED_VALUE"""),"Excellent")</f>
        <v>Excellent</v>
      </c>
      <c r="AA3370" s="182" t="str">
        <f>IFERROR(__xludf.DUMMYFUNCTION("""COMPUTED_VALUE"""),"Excellent")</f>
        <v>Excellent</v>
      </c>
      <c r="AB3370" s="182" t="str">
        <f>IFERROR(__xludf.DUMMYFUNCTION("""COMPUTED_VALUE"""),"Good")</f>
        <v>Good</v>
      </c>
      <c r="AC3370" s="183"/>
      <c r="AD3370" s="183"/>
      <c r="AE3370" s="183"/>
      <c r="AF3370" s="184"/>
      <c r="AG3370" s="180"/>
      <c r="AH3370" s="185">
        <f>IFERROR(__xludf.DUMMYFUNCTION("""COMPUTED_VALUE"""),43352.638421875)</f>
        <v>43352.63842</v>
      </c>
      <c r="AI3370" s="182"/>
      <c r="AJ3370" s="182"/>
      <c r="AK3370" s="182"/>
      <c r="AL3370" s="182"/>
    </row>
    <row r="3371" ht="20.25" customHeight="1">
      <c r="A3371" s="169" t="str">
        <f>IFERROR(__xludf.DUMMYFUNCTION("""COMPUTED_VALUE"""),"SPIKE09")</f>
        <v>SPIKE09</v>
      </c>
      <c r="B3371" s="170" t="str">
        <f>IFERROR(__xludf.DUMMYFUNCTION("""COMPUTED_VALUE"""),"Miami")</f>
        <v>Miami</v>
      </c>
      <c r="C3371" s="170" t="str">
        <f>IFERROR(__xludf.DUMMYFUNCTION("""COMPUTED_VALUE"""),"FL")</f>
        <v>FL</v>
      </c>
      <c r="D3371" s="170" t="str">
        <f>IFERROR(__xludf.DUMMYFUNCTION("""COMPUTED_VALUE"""),"USA")</f>
        <v>USA</v>
      </c>
      <c r="E3371" s="171">
        <f>IFERROR(__xludf.DUMMYFUNCTION("""COMPUTED_VALUE"""),43243.0)</f>
        <v>43243</v>
      </c>
      <c r="F3371" s="172">
        <f>IFERROR(__xludf.DUMMYFUNCTION("""COMPUTED_VALUE"""),43314.0)</f>
        <v>43314</v>
      </c>
      <c r="G3371" s="173"/>
      <c r="H3371" s="174">
        <f>IFERROR(__xludf.DUMMYFUNCTION("""COMPUTED_VALUE"""),54655.0)</f>
        <v>54655</v>
      </c>
      <c r="I3371" s="175" t="str">
        <f>IFERROR(__xludf.DUMMYFUNCTION("""COMPUTED_VALUE"""),"07/18")</f>
        <v>07/18</v>
      </c>
      <c r="J3371" s="172">
        <f>IFERROR(__xludf.DUMMYFUNCTION("""COMPUTED_VALUE"""),43316.0)</f>
        <v>43316</v>
      </c>
      <c r="K3371" s="176">
        <f>IFERROR(__xludf.DUMMYFUNCTION("""COMPUTED_VALUE"""),71.0)</f>
        <v>71</v>
      </c>
      <c r="L3371" s="176">
        <f>IFERROR(__xludf.DUMMYFUNCTION("""COMPUTED_VALUE"""),2.0)</f>
        <v>2</v>
      </c>
      <c r="M3371" s="176">
        <f>IFERROR(__xludf.DUMMYFUNCTION("""COMPUTED_VALUE"""),73.0)</f>
        <v>73</v>
      </c>
      <c r="N3371" s="177" t="str">
        <f>IFERROR(__xludf.DUMMYFUNCTION("""COMPUTED_VALUE"""),"Model 3 LR AWD")</f>
        <v>Model 3 LR AWD</v>
      </c>
      <c r="O3371" s="177" t="str">
        <f>IFERROR(__xludf.DUMMYFUNCTION("""COMPUTED_VALUE"""),"Pearl White Multi-Coat")</f>
        <v>Pearl White Multi-Coat</v>
      </c>
      <c r="P3371" s="178" t="str">
        <f>IFERROR(__xludf.DUMMYFUNCTION("""COMPUTED_VALUE"""),"18 inch Aero")</f>
        <v>18 inch Aero</v>
      </c>
      <c r="Q3371" s="177" t="str">
        <f>IFERROR(__xludf.DUMMYFUNCTION("""COMPUTED_VALUE"""),"Black seats")</f>
        <v>Black seats</v>
      </c>
      <c r="R3371" s="170" t="str">
        <f>IFERROR(__xludf.DUMMYFUNCTION("""COMPUTED_VALUE"""),"Enhanced Autopilot")</f>
        <v>Enhanced Autopilot</v>
      </c>
      <c r="S3371" s="170"/>
      <c r="T3371" s="179"/>
      <c r="U3371" s="179"/>
      <c r="V3371" s="179"/>
      <c r="W3371" s="180"/>
      <c r="X3371" s="181" t="str">
        <f>IFERROR(__xludf.DUMMYFUNCTION("""COMPUTED_VALUE"""),"Excellent")</f>
        <v>Excellent</v>
      </c>
      <c r="Y3371" s="182" t="str">
        <f>IFERROR(__xludf.DUMMYFUNCTION("""COMPUTED_VALUE"""),"Excellent")</f>
        <v>Excellent</v>
      </c>
      <c r="Z3371" s="182" t="str">
        <f>IFERROR(__xludf.DUMMYFUNCTION("""COMPUTED_VALUE"""),"Excellent")</f>
        <v>Excellent</v>
      </c>
      <c r="AA3371" s="182" t="str">
        <f>IFERROR(__xludf.DUMMYFUNCTION("""COMPUTED_VALUE"""),"Excellent")</f>
        <v>Excellent</v>
      </c>
      <c r="AB3371" s="182" t="str">
        <f>IFERROR(__xludf.DUMMYFUNCTION("""COMPUTED_VALUE"""),"Excellent")</f>
        <v>Excellent</v>
      </c>
      <c r="AC3371" s="183"/>
      <c r="AD3371" s="183"/>
      <c r="AE3371" s="183"/>
      <c r="AF3371" s="184"/>
      <c r="AG3371" s="180"/>
      <c r="AH3371" s="185">
        <f>IFERROR(__xludf.DUMMYFUNCTION("""COMPUTED_VALUE"""),43317.99457981482)</f>
        <v>43317.99458</v>
      </c>
      <c r="AI3371" s="182"/>
      <c r="AJ3371" s="182"/>
      <c r="AK3371" s="182"/>
      <c r="AL3371" s="182"/>
    </row>
    <row r="3372" ht="20.25" customHeight="1">
      <c r="A3372" s="169" t="str">
        <f>IFERROR(__xludf.DUMMYFUNCTION("""COMPUTED_VALUE"""),"thatguy142")</f>
        <v>thatguy142</v>
      </c>
      <c r="B3372" s="170"/>
      <c r="C3372" s="170" t="str">
        <f>IFERROR(__xludf.DUMMYFUNCTION("""COMPUTED_VALUE"""),"CT")</f>
        <v>CT</v>
      </c>
      <c r="D3372" s="170" t="str">
        <f>IFERROR(__xludf.DUMMYFUNCTION("""COMPUTED_VALUE"""),"USA")</f>
        <v>USA</v>
      </c>
      <c r="E3372" s="171">
        <f>IFERROR(__xludf.DUMMYFUNCTION("""COMPUTED_VALUE"""),43243.0)</f>
        <v>43243</v>
      </c>
      <c r="F3372" s="172">
        <f>IFERROR(__xludf.DUMMYFUNCTION("""COMPUTED_VALUE"""),43311.0)</f>
        <v>43311</v>
      </c>
      <c r="G3372" s="173"/>
      <c r="H3372" s="174">
        <f>IFERROR(__xludf.DUMMYFUNCTION("""COMPUTED_VALUE"""),64155.0)</f>
        <v>64155</v>
      </c>
      <c r="I3372" s="175"/>
      <c r="J3372" s="172">
        <f>IFERROR(__xludf.DUMMYFUNCTION("""COMPUTED_VALUE"""),43337.0)</f>
        <v>43337</v>
      </c>
      <c r="K3372" s="176">
        <f>IFERROR(__xludf.DUMMYFUNCTION("""COMPUTED_VALUE"""),68.0)</f>
        <v>68</v>
      </c>
      <c r="L3372" s="176">
        <f>IFERROR(__xludf.DUMMYFUNCTION("""COMPUTED_VALUE"""),26.0)</f>
        <v>26</v>
      </c>
      <c r="M3372" s="176">
        <f>IFERROR(__xludf.DUMMYFUNCTION("""COMPUTED_VALUE"""),94.0)</f>
        <v>94</v>
      </c>
      <c r="N3372" s="177" t="str">
        <f>IFERROR(__xludf.DUMMYFUNCTION("""COMPUTED_VALUE"""),"Model 3 LR AWD")</f>
        <v>Model 3 LR AWD</v>
      </c>
      <c r="O3372" s="177" t="str">
        <f>IFERROR(__xludf.DUMMYFUNCTION("""COMPUTED_VALUE"""),"Midnight Silver Metallic")</f>
        <v>Midnight Silver Metallic</v>
      </c>
      <c r="P3372" s="178" t="str">
        <f>IFERROR(__xludf.DUMMYFUNCTION("""COMPUTED_VALUE"""),"18 inch Aero")</f>
        <v>18 inch Aero</v>
      </c>
      <c r="Q3372" s="177" t="str">
        <f>IFERROR(__xludf.DUMMYFUNCTION("""COMPUTED_VALUE"""),"Black seats")</f>
        <v>Black seats</v>
      </c>
      <c r="R3372" s="170" t="str">
        <f>IFERROR(__xludf.DUMMYFUNCTION("""COMPUTED_VALUE"""),"Enhanced Autopilot")</f>
        <v>Enhanced Autopilot</v>
      </c>
      <c r="S3372" s="170"/>
      <c r="T3372" s="179"/>
      <c r="U3372" s="179"/>
      <c r="V3372" s="179"/>
      <c r="W3372" s="180"/>
      <c r="X3372" s="181" t="str">
        <f>IFERROR(__xludf.DUMMYFUNCTION("""COMPUTED_VALUE"""),"Excellent")</f>
        <v>Excellent</v>
      </c>
      <c r="Y3372" s="182" t="str">
        <f>IFERROR(__xludf.DUMMYFUNCTION("""COMPUTED_VALUE"""),"Excellent")</f>
        <v>Excellent</v>
      </c>
      <c r="Z3372" s="182" t="str">
        <f>IFERROR(__xludf.DUMMYFUNCTION("""COMPUTED_VALUE"""),"Very Good")</f>
        <v>Very Good</v>
      </c>
      <c r="AA3372" s="182" t="str">
        <f>IFERROR(__xludf.DUMMYFUNCTION("""COMPUTED_VALUE"""),"Excellent")</f>
        <v>Excellent</v>
      </c>
      <c r="AB3372" s="182" t="str">
        <f>IFERROR(__xludf.DUMMYFUNCTION("""COMPUTED_VALUE"""),"Excellent")</f>
        <v>Excellent</v>
      </c>
      <c r="AC3372" s="183">
        <f>IFERROR(__xludf.DUMMYFUNCTION("""COMPUTED_VALUE"""),2.0)</f>
        <v>2</v>
      </c>
      <c r="AD3372" s="183">
        <f>IFERROR(__xludf.DUMMYFUNCTION("""COMPUTED_VALUE"""),1.0)</f>
        <v>1</v>
      </c>
      <c r="AE3372" s="183"/>
      <c r="AF3372" s="184"/>
      <c r="AG3372" s="180"/>
      <c r="AH3372" s="185">
        <f>IFERROR(__xludf.DUMMYFUNCTION("""COMPUTED_VALUE"""),43334.246010023155)</f>
        <v>43334.24601</v>
      </c>
      <c r="AI3372" s="182"/>
      <c r="AJ3372" s="182"/>
      <c r="AK3372" s="182"/>
      <c r="AL3372" s="182"/>
    </row>
    <row r="3373" ht="20.25" customHeight="1">
      <c r="A3373" s="169" t="str">
        <f>IFERROR(__xludf.DUMMYFUNCTION("""COMPUTED_VALUE"""),"tommyboy")</f>
        <v>tommyboy</v>
      </c>
      <c r="B3373" s="170" t="str">
        <f>IFERROR(__xludf.DUMMYFUNCTION("""COMPUTED_VALUE"""),"Omaha")</f>
        <v>Omaha</v>
      </c>
      <c r="C3373" s="170" t="str">
        <f>IFERROR(__xludf.DUMMYFUNCTION("""COMPUTED_VALUE"""),"NE")</f>
        <v>NE</v>
      </c>
      <c r="D3373" s="170" t="str">
        <f>IFERROR(__xludf.DUMMYFUNCTION("""COMPUTED_VALUE"""),"USA")</f>
        <v>USA</v>
      </c>
      <c r="E3373" s="171">
        <f>IFERROR(__xludf.DUMMYFUNCTION("""COMPUTED_VALUE"""),43243.0)</f>
        <v>43243</v>
      </c>
      <c r="F3373" s="172">
        <f>IFERROR(__xludf.DUMMYFUNCTION("""COMPUTED_VALUE"""),43319.0)</f>
        <v>43319</v>
      </c>
      <c r="G3373" s="173"/>
      <c r="H3373" s="174"/>
      <c r="I3373" s="175"/>
      <c r="J3373" s="172">
        <f>IFERROR(__xludf.DUMMYFUNCTION("""COMPUTED_VALUE"""),43323.0)</f>
        <v>43323</v>
      </c>
      <c r="K3373" s="176">
        <f>IFERROR(__xludf.DUMMYFUNCTION("""COMPUTED_VALUE"""),76.0)</f>
        <v>76</v>
      </c>
      <c r="L3373" s="176">
        <f>IFERROR(__xludf.DUMMYFUNCTION("""COMPUTED_VALUE"""),4.0)</f>
        <v>4</v>
      </c>
      <c r="M3373" s="176">
        <f>IFERROR(__xludf.DUMMYFUNCTION("""COMPUTED_VALUE"""),80.0)</f>
        <v>80</v>
      </c>
      <c r="N3373" s="177" t="str">
        <f>IFERROR(__xludf.DUMMYFUNCTION("""COMPUTED_VALUE"""),"Model 3 LR AWD")</f>
        <v>Model 3 LR AWD</v>
      </c>
      <c r="O3373" s="177" t="str">
        <f>IFERROR(__xludf.DUMMYFUNCTION("""COMPUTED_VALUE"""),"Midnight Silver Metallic")</f>
        <v>Midnight Silver Metallic</v>
      </c>
      <c r="P3373" s="178" t="str">
        <f>IFERROR(__xludf.DUMMYFUNCTION("""COMPUTED_VALUE"""),"18 inch Aero")</f>
        <v>18 inch Aero</v>
      </c>
      <c r="Q3373" s="177" t="str">
        <f>IFERROR(__xludf.DUMMYFUNCTION("""COMPUTED_VALUE"""),"Black seats")</f>
        <v>Black seats</v>
      </c>
      <c r="R3373" s="170" t="str">
        <f>IFERROR(__xludf.DUMMYFUNCTION("""COMPUTED_VALUE"""),"Enhanced Autopilot")</f>
        <v>Enhanced Autopilot</v>
      </c>
      <c r="S3373" s="170"/>
      <c r="T3373" s="179"/>
      <c r="U3373" s="179"/>
      <c r="V3373" s="179"/>
      <c r="W3373" s="180"/>
      <c r="X3373" s="181" t="str">
        <f>IFERROR(__xludf.DUMMYFUNCTION("""COMPUTED_VALUE"""),"Very Good")</f>
        <v>Very Good</v>
      </c>
      <c r="Y3373" s="182" t="str">
        <f>IFERROR(__xludf.DUMMYFUNCTION("""COMPUTED_VALUE"""),"Very Good")</f>
        <v>Very Good</v>
      </c>
      <c r="Z3373" s="182" t="str">
        <f>IFERROR(__xludf.DUMMYFUNCTION("""COMPUTED_VALUE"""),"Very Good")</f>
        <v>Very Good</v>
      </c>
      <c r="AA3373" s="182" t="str">
        <f>IFERROR(__xludf.DUMMYFUNCTION("""COMPUTED_VALUE"""),"Poor")</f>
        <v>Poor</v>
      </c>
      <c r="AB3373" s="182" t="str">
        <f>IFERROR(__xludf.DUMMYFUNCTION("""COMPUTED_VALUE"""),"Very Good")</f>
        <v>Very Good</v>
      </c>
      <c r="AC3373" s="183">
        <f>IFERROR(__xludf.DUMMYFUNCTION("""COMPUTED_VALUE"""),4.0)</f>
        <v>4</v>
      </c>
      <c r="AD3373" s="183"/>
      <c r="AE3373" s="183"/>
      <c r="AF3373" s="184"/>
      <c r="AG3373" s="180" t="str">
        <f>IFERROR(__xludf.DUMMYFUNCTION("""COMPUTED_VALUE"""),"AWD")</f>
        <v>AWD</v>
      </c>
      <c r="AH3373" s="185">
        <f>IFERROR(__xludf.DUMMYFUNCTION("""COMPUTED_VALUE"""),43325.36218748843)</f>
        <v>43325.36219</v>
      </c>
      <c r="AI3373" s="182"/>
      <c r="AJ3373" s="182"/>
      <c r="AK3373" s="182"/>
      <c r="AL3373" s="182"/>
    </row>
    <row r="3374" ht="20.25" customHeight="1">
      <c r="A3374" s="169" t="str">
        <f>IFERROR(__xludf.DUMMYFUNCTION("""COMPUTED_VALUE"""),"Trips")</f>
        <v>Trips</v>
      </c>
      <c r="B3374" s="170" t="str">
        <f>IFERROR(__xludf.DUMMYFUNCTION("""COMPUTED_VALUE"""),"Omaha")</f>
        <v>Omaha</v>
      </c>
      <c r="C3374" s="170" t="str">
        <f>IFERROR(__xludf.DUMMYFUNCTION("""COMPUTED_VALUE"""),"NE")</f>
        <v>NE</v>
      </c>
      <c r="D3374" s="170" t="str">
        <f>IFERROR(__xludf.DUMMYFUNCTION("""COMPUTED_VALUE"""),"USA")</f>
        <v>USA</v>
      </c>
      <c r="E3374" s="171">
        <f>IFERROR(__xludf.DUMMYFUNCTION("""COMPUTED_VALUE"""),43243.0)</f>
        <v>43243</v>
      </c>
      <c r="F3374" s="172">
        <f>IFERROR(__xludf.DUMMYFUNCTION("""COMPUTED_VALUE"""),43334.0)</f>
        <v>43334</v>
      </c>
      <c r="G3374" s="173"/>
      <c r="H3374" s="174">
        <f>IFERROR(__xludf.DUMMYFUNCTION("""COMPUTED_VALUE"""),75155.0)</f>
        <v>75155</v>
      </c>
      <c r="I3374" s="175" t="str">
        <f>IFERROR(__xludf.DUMMYFUNCTION("""COMPUTED_VALUE"""),"08/18")</f>
        <v>08/18</v>
      </c>
      <c r="J3374" s="172">
        <f>IFERROR(__xludf.DUMMYFUNCTION("""COMPUTED_VALUE"""),43362.0)</f>
        <v>43362</v>
      </c>
      <c r="K3374" s="176">
        <f>IFERROR(__xludf.DUMMYFUNCTION("""COMPUTED_VALUE"""),91.0)</f>
        <v>91</v>
      </c>
      <c r="L3374" s="176">
        <f>IFERROR(__xludf.DUMMYFUNCTION("""COMPUTED_VALUE"""),28.0)</f>
        <v>28</v>
      </c>
      <c r="M3374" s="176">
        <f>IFERROR(__xludf.DUMMYFUNCTION("""COMPUTED_VALUE"""),119.0)</f>
        <v>119</v>
      </c>
      <c r="N3374" s="177" t="str">
        <f>IFERROR(__xludf.DUMMYFUNCTION("""COMPUTED_VALUE"""),"Model 3 LR AWD")</f>
        <v>Model 3 LR AWD</v>
      </c>
      <c r="O3374" s="177" t="str">
        <f>IFERROR(__xludf.DUMMYFUNCTION("""COMPUTED_VALUE"""),"Deep Blue Metallic")</f>
        <v>Deep Blue Metallic</v>
      </c>
      <c r="P3374" s="178" t="str">
        <f>IFERROR(__xludf.DUMMYFUNCTION("""COMPUTED_VALUE"""),"18 inch Aero")</f>
        <v>18 inch Aero</v>
      </c>
      <c r="Q3374" s="177" t="str">
        <f>IFERROR(__xludf.DUMMYFUNCTION("""COMPUTED_VALUE"""),"White seats")</f>
        <v>White seats</v>
      </c>
      <c r="R3374" s="170" t="str">
        <f>IFERROR(__xludf.DUMMYFUNCTION("""COMPUTED_VALUE"""),"Enhanced Autopilot")</f>
        <v>Enhanced Autopilot</v>
      </c>
      <c r="S3374" s="170"/>
      <c r="T3374" s="179"/>
      <c r="U3374" s="179"/>
      <c r="V3374" s="179"/>
      <c r="W3374" s="180"/>
      <c r="X3374" s="181" t="str">
        <f>IFERROR(__xludf.DUMMYFUNCTION("""COMPUTED_VALUE"""),"Very Good")</f>
        <v>Very Good</v>
      </c>
      <c r="Y3374" s="182" t="str">
        <f>IFERROR(__xludf.DUMMYFUNCTION("""COMPUTED_VALUE"""),"Very Good")</f>
        <v>Very Good</v>
      </c>
      <c r="Z3374" s="182" t="str">
        <f>IFERROR(__xludf.DUMMYFUNCTION("""COMPUTED_VALUE"""),"Poor")</f>
        <v>Poor</v>
      </c>
      <c r="AA3374" s="182" t="str">
        <f>IFERROR(__xludf.DUMMYFUNCTION("""COMPUTED_VALUE"""),"Fair")</f>
        <v>Fair</v>
      </c>
      <c r="AB3374" s="182" t="str">
        <f>IFERROR(__xludf.DUMMYFUNCTION("""COMPUTED_VALUE"""),"Fair")</f>
        <v>Fair</v>
      </c>
      <c r="AC3374" s="183"/>
      <c r="AD3374" s="183"/>
      <c r="AE3374" s="183"/>
      <c r="AF3374" s="184"/>
      <c r="AG3374" s="180"/>
      <c r="AH3374" s="185">
        <f>IFERROR(__xludf.DUMMYFUNCTION("""COMPUTED_VALUE"""),43363.29529819445)</f>
        <v>43363.2953</v>
      </c>
      <c r="AI3374" s="182"/>
      <c r="AJ3374" s="182"/>
      <c r="AK3374" s="182"/>
      <c r="AL3374" s="182"/>
    </row>
    <row r="3375" ht="20.25" customHeight="1">
      <c r="A3375" s="169" t="str">
        <f>IFERROR(__xludf.DUMMYFUNCTION("""COMPUTED_VALUE"""),"ATL_Gator")</f>
        <v>ATL_Gator</v>
      </c>
      <c r="B3375" s="170" t="str">
        <f>IFERROR(__xludf.DUMMYFUNCTION("""COMPUTED_VALUE"""),"Atlanta")</f>
        <v>Atlanta</v>
      </c>
      <c r="C3375" s="170" t="str">
        <f>IFERROR(__xludf.DUMMYFUNCTION("""COMPUTED_VALUE"""),"GA")</f>
        <v>GA</v>
      </c>
      <c r="D3375" s="170" t="str">
        <f>IFERROR(__xludf.DUMMYFUNCTION("""COMPUTED_VALUE"""),"USA")</f>
        <v>USA</v>
      </c>
      <c r="E3375" s="171">
        <f>IFERROR(__xludf.DUMMYFUNCTION("""COMPUTED_VALUE"""),43242.0)</f>
        <v>43242</v>
      </c>
      <c r="F3375" s="172"/>
      <c r="G3375" s="173"/>
      <c r="H3375" s="174">
        <f>IFERROR(__xludf.DUMMYFUNCTION("""COMPUTED_VALUE"""),30478.0)</f>
        <v>30478</v>
      </c>
      <c r="I3375" s="175"/>
      <c r="J3375" s="172">
        <f>IFERROR(__xludf.DUMMYFUNCTION("""COMPUTED_VALUE"""),43292.0)</f>
        <v>43292</v>
      </c>
      <c r="K3375" s="176"/>
      <c r="L3375" s="176"/>
      <c r="M3375" s="176">
        <f>IFERROR(__xludf.DUMMYFUNCTION("""COMPUTED_VALUE"""),50.0)</f>
        <v>50</v>
      </c>
      <c r="N3375" s="177" t="str">
        <f>IFERROR(__xludf.DUMMYFUNCTION("""COMPUTED_VALUE"""),"Model 3 LR")</f>
        <v>Model 3 LR</v>
      </c>
      <c r="O3375" s="177" t="str">
        <f>IFERROR(__xludf.DUMMYFUNCTION("""COMPUTED_VALUE"""),"Midnight Silver Metallic")</f>
        <v>Midnight Silver Metallic</v>
      </c>
      <c r="P3375" s="178" t="str">
        <f>IFERROR(__xludf.DUMMYFUNCTION("""COMPUTED_VALUE"""),"18 inch Aero")</f>
        <v>18 inch Aero</v>
      </c>
      <c r="Q3375" s="177" t="str">
        <f>IFERROR(__xludf.DUMMYFUNCTION("""COMPUTED_VALUE"""),"Black seats")</f>
        <v>Black seats</v>
      </c>
      <c r="R3375" s="170" t="str">
        <f>IFERROR(__xludf.DUMMYFUNCTION("""COMPUTED_VALUE"""),"Enhanced Autopilot")</f>
        <v>Enhanced Autopilot</v>
      </c>
      <c r="S3375" s="170"/>
      <c r="T3375" s="179"/>
      <c r="U3375" s="179"/>
      <c r="V3375" s="179"/>
      <c r="W3375" s="180"/>
      <c r="X3375" s="181" t="str">
        <f>IFERROR(__xludf.DUMMYFUNCTION("""COMPUTED_VALUE"""),"Very Good")</f>
        <v>Very Good</v>
      </c>
      <c r="Y3375" s="182" t="str">
        <f>IFERROR(__xludf.DUMMYFUNCTION("""COMPUTED_VALUE"""),"Excellent")</f>
        <v>Excellent</v>
      </c>
      <c r="Z3375" s="182" t="str">
        <f>IFERROR(__xludf.DUMMYFUNCTION("""COMPUTED_VALUE"""),"Excellent")</f>
        <v>Excellent</v>
      </c>
      <c r="AA3375" s="182" t="str">
        <f>IFERROR(__xludf.DUMMYFUNCTION("""COMPUTED_VALUE"""),"Very Good")</f>
        <v>Very Good</v>
      </c>
      <c r="AB3375" s="182" t="str">
        <f>IFERROR(__xludf.DUMMYFUNCTION("""COMPUTED_VALUE"""),"Excellent")</f>
        <v>Excellent</v>
      </c>
      <c r="AC3375" s="183">
        <f>IFERROR(__xludf.DUMMYFUNCTION("""COMPUTED_VALUE"""),1.0)</f>
        <v>1</v>
      </c>
      <c r="AD3375" s="183">
        <f>IFERROR(__xludf.DUMMYFUNCTION("""COMPUTED_VALUE"""),1.0)</f>
        <v>1</v>
      </c>
      <c r="AE3375" s="183">
        <f>IFERROR(__xludf.DUMMYFUNCTION("""COMPUTED_VALUE"""),0.0)</f>
        <v>0</v>
      </c>
      <c r="AF3375" s="184"/>
      <c r="AG3375" s="180"/>
      <c r="AH3375" s="185">
        <f>IFERROR(__xludf.DUMMYFUNCTION("""COMPUTED_VALUE"""),43294.33265768519)</f>
        <v>43294.33266</v>
      </c>
      <c r="AI3375" s="182"/>
      <c r="AJ3375" s="182"/>
      <c r="AK3375" s="182"/>
      <c r="AL3375" s="182"/>
    </row>
    <row r="3376" ht="20.25" customHeight="1">
      <c r="A3376" s="169" t="str">
        <f>IFERROR(__xludf.DUMMYFUNCTION("""COMPUTED_VALUE"""),"jpao")</f>
        <v>jpao</v>
      </c>
      <c r="B3376" s="170" t="str">
        <f>IFERROR(__xludf.DUMMYFUNCTION("""COMPUTED_VALUE"""),"Santa Barbara")</f>
        <v>Santa Barbara</v>
      </c>
      <c r="C3376" s="170" t="str">
        <f>IFERROR(__xludf.DUMMYFUNCTION("""COMPUTED_VALUE"""),"CA")</f>
        <v>CA</v>
      </c>
      <c r="D3376" s="170" t="str">
        <f>IFERROR(__xludf.DUMMYFUNCTION("""COMPUTED_VALUE"""),"USA")</f>
        <v>USA</v>
      </c>
      <c r="E3376" s="171">
        <f>IFERROR(__xludf.DUMMYFUNCTION("""COMPUTED_VALUE"""),43242.0)</f>
        <v>43242</v>
      </c>
      <c r="F3376" s="172">
        <f>IFERROR(__xludf.DUMMYFUNCTION("""COMPUTED_VALUE"""),43277.0)</f>
        <v>43277</v>
      </c>
      <c r="G3376" s="173"/>
      <c r="H3376" s="174">
        <f>IFERROR(__xludf.DUMMYFUNCTION("""COMPUTED_VALUE"""),43055.0)</f>
        <v>43055</v>
      </c>
      <c r="I3376" s="175"/>
      <c r="J3376" s="172">
        <f>IFERROR(__xludf.DUMMYFUNCTION("""COMPUTED_VALUE"""),43280.0)</f>
        <v>43280</v>
      </c>
      <c r="K3376" s="176">
        <f>IFERROR(__xludf.DUMMYFUNCTION("""COMPUTED_VALUE"""),35.0)</f>
        <v>35</v>
      </c>
      <c r="L3376" s="176">
        <f>IFERROR(__xludf.DUMMYFUNCTION("""COMPUTED_VALUE"""),3.0)</f>
        <v>3</v>
      </c>
      <c r="M3376" s="176">
        <f>IFERROR(__xludf.DUMMYFUNCTION("""COMPUTED_VALUE"""),38.0)</f>
        <v>38</v>
      </c>
      <c r="N3376" s="177" t="str">
        <f>IFERROR(__xludf.DUMMYFUNCTION("""COMPUTED_VALUE"""),"Model 3 LR")</f>
        <v>Model 3 LR</v>
      </c>
      <c r="O3376" s="177" t="str">
        <f>IFERROR(__xludf.DUMMYFUNCTION("""COMPUTED_VALUE"""),"Silver Metallic")</f>
        <v>Silver Metallic</v>
      </c>
      <c r="P3376" s="178" t="str">
        <f>IFERROR(__xludf.DUMMYFUNCTION("""COMPUTED_VALUE"""),"18 inch Aero")</f>
        <v>18 inch Aero</v>
      </c>
      <c r="Q3376" s="177" t="str">
        <f>IFERROR(__xludf.DUMMYFUNCTION("""COMPUTED_VALUE"""),"Black seats")</f>
        <v>Black seats</v>
      </c>
      <c r="R3376" s="170" t="str">
        <f>IFERROR(__xludf.DUMMYFUNCTION("""COMPUTED_VALUE"""),"Enhanced Autopilot")</f>
        <v>Enhanced Autopilot</v>
      </c>
      <c r="S3376" s="170"/>
      <c r="T3376" s="179"/>
      <c r="U3376" s="179"/>
      <c r="V3376" s="179"/>
      <c r="W3376" s="180"/>
      <c r="X3376" s="181"/>
      <c r="Y3376" s="182"/>
      <c r="Z3376" s="182"/>
      <c r="AA3376" s="182" t="str">
        <f>IFERROR(__xludf.DUMMYFUNCTION("""COMPUTED_VALUE"""),"Very Good")</f>
        <v>Very Good</v>
      </c>
      <c r="AB3376" s="182"/>
      <c r="AC3376" s="183"/>
      <c r="AD3376" s="183"/>
      <c r="AE3376" s="183"/>
      <c r="AF3376" s="184"/>
      <c r="AG3376" s="180"/>
      <c r="AH3376" s="185">
        <f>IFERROR(__xludf.DUMMYFUNCTION("""COMPUTED_VALUE"""),43278.500811342594)</f>
        <v>43278.50081</v>
      </c>
      <c r="AI3376" s="182"/>
      <c r="AJ3376" s="182"/>
      <c r="AK3376" s="182"/>
      <c r="AL3376" s="182"/>
    </row>
    <row r="3377" ht="20.25" customHeight="1">
      <c r="A3377" s="169" t="str">
        <f>IFERROR(__xludf.DUMMYFUNCTION("""COMPUTED_VALUE"""),"jbcarioca")</f>
        <v>jbcarioca</v>
      </c>
      <c r="B3377" s="170"/>
      <c r="C3377" s="170" t="str">
        <f>IFERROR(__xludf.DUMMYFUNCTION("""COMPUTED_VALUE"""),"FL")</f>
        <v>FL</v>
      </c>
      <c r="D3377" s="170" t="str">
        <f>IFERROR(__xludf.DUMMYFUNCTION("""COMPUTED_VALUE"""),"USA")</f>
        <v>USA</v>
      </c>
      <c r="E3377" s="171">
        <f>IFERROR(__xludf.DUMMYFUNCTION("""COMPUTED_VALUE"""),43241.0)</f>
        <v>43241</v>
      </c>
      <c r="F3377" s="172">
        <f>IFERROR(__xludf.DUMMYFUNCTION("""COMPUTED_VALUE"""),43332.0)</f>
        <v>43332</v>
      </c>
      <c r="G3377" s="173"/>
      <c r="H3377" s="174">
        <f>IFERROR(__xludf.DUMMYFUNCTION("""COMPUTED_VALUE"""),63255.0)</f>
        <v>63255</v>
      </c>
      <c r="I3377" s="175" t="str">
        <f>IFERROR(__xludf.DUMMYFUNCTION("""COMPUTED_VALUE"""),"08/18")</f>
        <v>08/18</v>
      </c>
      <c r="J3377" s="172">
        <f>IFERROR(__xludf.DUMMYFUNCTION("""COMPUTED_VALUE"""),43348.0)</f>
        <v>43348</v>
      </c>
      <c r="K3377" s="176">
        <f>IFERROR(__xludf.DUMMYFUNCTION("""COMPUTED_VALUE"""),91.0)</f>
        <v>91</v>
      </c>
      <c r="L3377" s="176">
        <f>IFERROR(__xludf.DUMMYFUNCTION("""COMPUTED_VALUE"""),16.0)</f>
        <v>16</v>
      </c>
      <c r="M3377" s="176">
        <f>IFERROR(__xludf.DUMMYFUNCTION("""COMPUTED_VALUE"""),107.0)</f>
        <v>107</v>
      </c>
      <c r="N3377" s="177" t="str">
        <f>IFERROR(__xludf.DUMMYFUNCTION("""COMPUTED_VALUE"""),"Model 3 Performance")</f>
        <v>Model 3 Performance</v>
      </c>
      <c r="O3377" s="177" t="str">
        <f>IFERROR(__xludf.DUMMYFUNCTION("""COMPUTED_VALUE"""),"Red Multi-Coat")</f>
        <v>Red Multi-Coat</v>
      </c>
      <c r="P3377" s="178" t="str">
        <f>IFERROR(__xludf.DUMMYFUNCTION("""COMPUTED_VALUE"""),"20 inch Sport")</f>
        <v>20 inch Sport</v>
      </c>
      <c r="Q3377" s="177" t="str">
        <f>IFERROR(__xludf.DUMMYFUNCTION("""COMPUTED_VALUE"""),"Black seats")</f>
        <v>Black seats</v>
      </c>
      <c r="R3377" s="170" t="str">
        <f>IFERROR(__xludf.DUMMYFUNCTION("""COMPUTED_VALUE"""),"Full Self-Driving")</f>
        <v>Full Self-Driving</v>
      </c>
      <c r="S3377" s="170"/>
      <c r="T3377" s="179"/>
      <c r="U3377" s="179"/>
      <c r="V3377" s="179"/>
      <c r="W3377" s="180"/>
      <c r="X3377" s="181" t="str">
        <f>IFERROR(__xludf.DUMMYFUNCTION("""COMPUTED_VALUE"""),"Excellent")</f>
        <v>Excellent</v>
      </c>
      <c r="Y3377" s="182" t="str">
        <f>IFERROR(__xludf.DUMMYFUNCTION("""COMPUTED_VALUE"""),"Excellent")</f>
        <v>Excellent</v>
      </c>
      <c r="Z3377" s="182" t="str">
        <f>IFERROR(__xludf.DUMMYFUNCTION("""COMPUTED_VALUE"""),"Excellent")</f>
        <v>Excellent</v>
      </c>
      <c r="AA3377" s="182" t="str">
        <f>IFERROR(__xludf.DUMMYFUNCTION("""COMPUTED_VALUE"""),"Poor")</f>
        <v>Poor</v>
      </c>
      <c r="AB3377" s="182" t="str">
        <f>IFERROR(__xludf.DUMMYFUNCTION("""COMPUTED_VALUE"""),"Poor")</f>
        <v>Poor</v>
      </c>
      <c r="AC3377" s="183"/>
      <c r="AD3377" s="183"/>
      <c r="AE3377" s="183"/>
      <c r="AF3377" s="184"/>
      <c r="AG3377" s="180"/>
      <c r="AH3377" s="185">
        <f>IFERROR(__xludf.DUMMYFUNCTION("""COMPUTED_VALUE"""),43350.52570753472)</f>
        <v>43350.52571</v>
      </c>
      <c r="AI3377" s="182"/>
      <c r="AJ3377" s="182"/>
      <c r="AK3377" s="182"/>
      <c r="AL3377" s="182"/>
    </row>
    <row r="3378" ht="20.25" customHeight="1">
      <c r="A3378" s="169" t="str">
        <f>IFERROR(__xludf.DUMMYFUNCTION("""COMPUTED_VALUE"""),"Nick")</f>
        <v>Nick</v>
      </c>
      <c r="B3378" s="170" t="str">
        <f>IFERROR(__xludf.DUMMYFUNCTION("""COMPUTED_VALUE"""),"Columbus")</f>
        <v>Columbus</v>
      </c>
      <c r="C3378" s="170" t="str">
        <f>IFERROR(__xludf.DUMMYFUNCTION("""COMPUTED_VALUE"""),"OH")</f>
        <v>OH</v>
      </c>
      <c r="D3378" s="170" t="str">
        <f>IFERROR(__xludf.DUMMYFUNCTION("""COMPUTED_VALUE"""),"USA")</f>
        <v>USA</v>
      </c>
      <c r="E3378" s="171">
        <f>IFERROR(__xludf.DUMMYFUNCTION("""COMPUTED_VALUE"""),43240.0)</f>
        <v>43240</v>
      </c>
      <c r="F3378" s="172">
        <f>IFERROR(__xludf.DUMMYFUNCTION("""COMPUTED_VALUE"""),43330.0)</f>
        <v>43330</v>
      </c>
      <c r="G3378" s="173"/>
      <c r="H3378" s="174">
        <f>IFERROR(__xludf.DUMMYFUNCTION("""COMPUTED_VALUE"""),63255.0)</f>
        <v>63255</v>
      </c>
      <c r="I3378" s="175" t="str">
        <f>IFERROR(__xludf.DUMMYFUNCTION("""COMPUTED_VALUE"""),"08/18")</f>
        <v>08/18</v>
      </c>
      <c r="J3378" s="172">
        <f>IFERROR(__xludf.DUMMYFUNCTION("""COMPUTED_VALUE"""),43351.0)</f>
        <v>43351</v>
      </c>
      <c r="K3378" s="176">
        <f>IFERROR(__xludf.DUMMYFUNCTION("""COMPUTED_VALUE"""),90.0)</f>
        <v>90</v>
      </c>
      <c r="L3378" s="176">
        <f>IFERROR(__xludf.DUMMYFUNCTION("""COMPUTED_VALUE"""),21.0)</f>
        <v>21</v>
      </c>
      <c r="M3378" s="176">
        <f>IFERROR(__xludf.DUMMYFUNCTION("""COMPUTED_VALUE"""),111.0)</f>
        <v>111</v>
      </c>
      <c r="N3378" s="177" t="str">
        <f>IFERROR(__xludf.DUMMYFUNCTION("""COMPUTED_VALUE"""),"Model 3 Performance")</f>
        <v>Model 3 Performance</v>
      </c>
      <c r="O3378" s="177" t="str">
        <f>IFERROR(__xludf.DUMMYFUNCTION("""COMPUTED_VALUE"""),"Red Multi-Coat")</f>
        <v>Red Multi-Coat</v>
      </c>
      <c r="P3378" s="178" t="str">
        <f>IFERROR(__xludf.DUMMYFUNCTION("""COMPUTED_VALUE"""),"20 inch Sport")</f>
        <v>20 inch Sport</v>
      </c>
      <c r="Q3378" s="177" t="str">
        <f>IFERROR(__xludf.DUMMYFUNCTION("""COMPUTED_VALUE"""),"Black seats")</f>
        <v>Black seats</v>
      </c>
      <c r="R3378" s="170" t="str">
        <f>IFERROR(__xludf.DUMMYFUNCTION("""COMPUTED_VALUE"""),"Full Self-Driving")</f>
        <v>Full Self-Driving</v>
      </c>
      <c r="S3378" s="170"/>
      <c r="T3378" s="179"/>
      <c r="U3378" s="179"/>
      <c r="V3378" s="179"/>
      <c r="W3378" s="180"/>
      <c r="X3378" s="181" t="str">
        <f>IFERROR(__xludf.DUMMYFUNCTION("""COMPUTED_VALUE"""),"Excellent")</f>
        <v>Excellent</v>
      </c>
      <c r="Y3378" s="182" t="str">
        <f>IFERROR(__xludf.DUMMYFUNCTION("""COMPUTED_VALUE"""),"Excellent")</f>
        <v>Excellent</v>
      </c>
      <c r="Z3378" s="182" t="str">
        <f>IFERROR(__xludf.DUMMYFUNCTION("""COMPUTED_VALUE"""),"Poor")</f>
        <v>Poor</v>
      </c>
      <c r="AA3378" s="182" t="str">
        <f>IFERROR(__xludf.DUMMYFUNCTION("""COMPUTED_VALUE"""),"Fair")</f>
        <v>Fair</v>
      </c>
      <c r="AB3378" s="182" t="str">
        <f>IFERROR(__xludf.DUMMYFUNCTION("""COMPUTED_VALUE"""),"Excellent")</f>
        <v>Excellent</v>
      </c>
      <c r="AC3378" s="183">
        <f>IFERROR(__xludf.DUMMYFUNCTION("""COMPUTED_VALUE"""),1.0)</f>
        <v>1</v>
      </c>
      <c r="AD3378" s="183">
        <f>IFERROR(__xludf.DUMMYFUNCTION("""COMPUTED_VALUE"""),0.0)</f>
        <v>0</v>
      </c>
      <c r="AE3378" s="183">
        <f>IFERROR(__xludf.DUMMYFUNCTION("""COMPUTED_VALUE"""),1.0)</f>
        <v>1</v>
      </c>
      <c r="AF3378" s="184"/>
      <c r="AG3378" s="180"/>
      <c r="AH3378" s="185">
        <f>IFERROR(__xludf.DUMMYFUNCTION("""COMPUTED_VALUE"""),43355.76809637732)</f>
        <v>43355.7681</v>
      </c>
      <c r="AI3378" s="182"/>
      <c r="AJ3378" s="182"/>
      <c r="AK3378" s="182"/>
      <c r="AL3378" s="182"/>
    </row>
    <row r="3379" ht="20.25" customHeight="1">
      <c r="A3379" s="169" t="str">
        <f>IFERROR(__xludf.DUMMYFUNCTION("""COMPUTED_VALUE"""),"njchillie")</f>
        <v>njchillie</v>
      </c>
      <c r="B3379" s="170" t="str">
        <f>IFERROR(__xludf.DUMMYFUNCTION("""COMPUTED_VALUE"""),"Devon")</f>
        <v>Devon</v>
      </c>
      <c r="C3379" s="170" t="str">
        <f>IFERROR(__xludf.DUMMYFUNCTION("""COMPUTED_VALUE"""),"PA")</f>
        <v>PA</v>
      </c>
      <c r="D3379" s="170" t="str">
        <f>IFERROR(__xludf.DUMMYFUNCTION("""COMPUTED_VALUE"""),"USA")</f>
        <v>USA</v>
      </c>
      <c r="E3379" s="171">
        <f>IFERROR(__xludf.DUMMYFUNCTION("""COMPUTED_VALUE"""),43240.0)</f>
        <v>43240</v>
      </c>
      <c r="F3379" s="172">
        <f>IFERROR(__xludf.DUMMYFUNCTION("""COMPUTED_VALUE"""),43300.0)</f>
        <v>43300</v>
      </c>
      <c r="G3379" s="173"/>
      <c r="H3379" s="174">
        <f>IFERROR(__xludf.DUMMYFUNCTION("""COMPUTED_VALUE"""),54555.0)</f>
        <v>54555</v>
      </c>
      <c r="I3379" s="175" t="str">
        <f>IFERROR(__xludf.DUMMYFUNCTION("""COMPUTED_VALUE"""),"07/18")</f>
        <v>07/18</v>
      </c>
      <c r="J3379" s="172">
        <f>IFERROR(__xludf.DUMMYFUNCTION("""COMPUTED_VALUE"""),43322.0)</f>
        <v>43322</v>
      </c>
      <c r="K3379" s="176">
        <f>IFERROR(__xludf.DUMMYFUNCTION("""COMPUTED_VALUE"""),60.0)</f>
        <v>60</v>
      </c>
      <c r="L3379" s="176">
        <f>IFERROR(__xludf.DUMMYFUNCTION("""COMPUTED_VALUE"""),22.0)</f>
        <v>22</v>
      </c>
      <c r="M3379" s="176">
        <f>IFERROR(__xludf.DUMMYFUNCTION("""COMPUTED_VALUE"""),82.0)</f>
        <v>82</v>
      </c>
      <c r="N3379" s="177" t="str">
        <f>IFERROR(__xludf.DUMMYFUNCTION("""COMPUTED_VALUE"""),"Model 3 LR AWD")</f>
        <v>Model 3 LR AWD</v>
      </c>
      <c r="O3379" s="177" t="str">
        <f>IFERROR(__xludf.DUMMYFUNCTION("""COMPUTED_VALUE"""),"Red Multi-Coat")</f>
        <v>Red Multi-Coat</v>
      </c>
      <c r="P3379" s="178" t="str">
        <f>IFERROR(__xludf.DUMMYFUNCTION("""COMPUTED_VALUE"""),"18 inch Aero")</f>
        <v>18 inch Aero</v>
      </c>
      <c r="Q3379" s="177" t="str">
        <f>IFERROR(__xludf.DUMMYFUNCTION("""COMPUTED_VALUE"""),"Black seats")</f>
        <v>Black seats</v>
      </c>
      <c r="R3379" s="170" t="str">
        <f>IFERROR(__xludf.DUMMYFUNCTION("""COMPUTED_VALUE"""),"None")</f>
        <v>None</v>
      </c>
      <c r="S3379" s="170"/>
      <c r="T3379" s="179"/>
      <c r="U3379" s="179"/>
      <c r="V3379" s="179"/>
      <c r="W3379" s="180"/>
      <c r="X3379" s="181" t="str">
        <f>IFERROR(__xludf.DUMMYFUNCTION("""COMPUTED_VALUE"""),"Fair")</f>
        <v>Fair</v>
      </c>
      <c r="Y3379" s="182" t="str">
        <f>IFERROR(__xludf.DUMMYFUNCTION("""COMPUTED_VALUE"""),"Very Good")</f>
        <v>Very Good</v>
      </c>
      <c r="Z3379" s="182" t="str">
        <f>IFERROR(__xludf.DUMMYFUNCTION("""COMPUTED_VALUE"""),"Fair")</f>
        <v>Fair</v>
      </c>
      <c r="AA3379" s="182" t="str">
        <f>IFERROR(__xludf.DUMMYFUNCTION("""COMPUTED_VALUE"""),"Excellent")</f>
        <v>Excellent</v>
      </c>
      <c r="AB3379" s="182" t="str">
        <f>IFERROR(__xludf.DUMMYFUNCTION("""COMPUTED_VALUE"""),"Fair")</f>
        <v>Fair</v>
      </c>
      <c r="AC3379" s="183"/>
      <c r="AD3379" s="183"/>
      <c r="AE3379" s="183"/>
      <c r="AF3379" s="184"/>
      <c r="AG3379" s="180" t="str">
        <f>IFERROR(__xludf.DUMMYFUNCTION("""COMPUTED_VALUE"""),"Gave up on white interior option when AWD became orderable")</f>
        <v>Gave up on white interior option when AWD became orderable</v>
      </c>
      <c r="AH3379" s="185">
        <f>IFERROR(__xludf.DUMMYFUNCTION("""COMPUTED_VALUE"""),43325.489639907406)</f>
        <v>43325.48964</v>
      </c>
      <c r="AI3379" s="182"/>
      <c r="AJ3379" s="182"/>
      <c r="AK3379" s="182"/>
      <c r="AL3379" s="182"/>
    </row>
    <row r="3380" ht="20.25" customHeight="1">
      <c r="A3380" s="169" t="str">
        <f>IFERROR(__xludf.DUMMYFUNCTION("""COMPUTED_VALUE"""),"WhiteFang")</f>
        <v>WhiteFang</v>
      </c>
      <c r="B3380" s="170" t="str">
        <f>IFERROR(__xludf.DUMMYFUNCTION("""COMPUTED_VALUE"""),"CT")</f>
        <v>CT</v>
      </c>
      <c r="C3380" s="170" t="str">
        <f>IFERROR(__xludf.DUMMYFUNCTION("""COMPUTED_VALUE"""),"CT")</f>
        <v>CT</v>
      </c>
      <c r="D3380" s="170" t="str">
        <f>IFERROR(__xludf.DUMMYFUNCTION("""COMPUTED_VALUE"""),"USA")</f>
        <v>USA</v>
      </c>
      <c r="E3380" s="171">
        <f>IFERROR(__xludf.DUMMYFUNCTION("""COMPUTED_VALUE"""),43240.0)</f>
        <v>43240</v>
      </c>
      <c r="F3380" s="172">
        <f>IFERROR(__xludf.DUMMYFUNCTION("""COMPUTED_VALUE"""),43300.0)</f>
        <v>43300</v>
      </c>
      <c r="G3380" s="173"/>
      <c r="H3380" s="174">
        <f>IFERROR(__xludf.DUMMYFUNCTION("""COMPUTED_VALUE"""),62966.0)</f>
        <v>62966</v>
      </c>
      <c r="I3380" s="175" t="str">
        <f>IFERROR(__xludf.DUMMYFUNCTION("""COMPUTED_VALUE"""),"07/18")</f>
        <v>07/18</v>
      </c>
      <c r="J3380" s="172">
        <f>IFERROR(__xludf.DUMMYFUNCTION("""COMPUTED_VALUE"""),43316.0)</f>
        <v>43316</v>
      </c>
      <c r="K3380" s="176">
        <f>IFERROR(__xludf.DUMMYFUNCTION("""COMPUTED_VALUE"""),60.0)</f>
        <v>60</v>
      </c>
      <c r="L3380" s="176">
        <f>IFERROR(__xludf.DUMMYFUNCTION("""COMPUTED_VALUE"""),16.0)</f>
        <v>16</v>
      </c>
      <c r="M3380" s="176">
        <f>IFERROR(__xludf.DUMMYFUNCTION("""COMPUTED_VALUE"""),76.0)</f>
        <v>76</v>
      </c>
      <c r="N3380" s="177" t="str">
        <f>IFERROR(__xludf.DUMMYFUNCTION("""COMPUTED_VALUE"""),"Model 3 Performance")</f>
        <v>Model 3 Performance</v>
      </c>
      <c r="O3380" s="177" t="str">
        <f>IFERROR(__xludf.DUMMYFUNCTION("""COMPUTED_VALUE"""),"Deep Blue Metallic")</f>
        <v>Deep Blue Metallic</v>
      </c>
      <c r="P3380" s="178" t="str">
        <f>IFERROR(__xludf.DUMMYFUNCTION("""COMPUTED_VALUE"""),"18 inch Aero")</f>
        <v>18 inch Aero</v>
      </c>
      <c r="Q3380" s="177" t="str">
        <f>IFERROR(__xludf.DUMMYFUNCTION("""COMPUTED_VALUE"""),"Black seats")</f>
        <v>Black seats</v>
      </c>
      <c r="R3380" s="170" t="str">
        <f>IFERROR(__xludf.DUMMYFUNCTION("""COMPUTED_VALUE"""),"None")</f>
        <v>None</v>
      </c>
      <c r="S3380" s="170"/>
      <c r="T3380" s="179"/>
      <c r="U3380" s="179"/>
      <c r="V3380" s="179"/>
      <c r="W3380" s="180"/>
      <c r="X3380" s="181" t="str">
        <f>IFERROR(__xludf.DUMMYFUNCTION("""COMPUTED_VALUE"""),"Very Good")</f>
        <v>Very Good</v>
      </c>
      <c r="Y3380" s="182" t="str">
        <f>IFERROR(__xludf.DUMMYFUNCTION("""COMPUTED_VALUE"""),"Very Good")</f>
        <v>Very Good</v>
      </c>
      <c r="Z3380" s="182" t="str">
        <f>IFERROR(__xludf.DUMMYFUNCTION("""COMPUTED_VALUE"""),"Good")</f>
        <v>Good</v>
      </c>
      <c r="AA3380" s="182" t="str">
        <f>IFERROR(__xludf.DUMMYFUNCTION("""COMPUTED_VALUE"""),"Very Good")</f>
        <v>Very Good</v>
      </c>
      <c r="AB3380" s="182" t="str">
        <f>IFERROR(__xludf.DUMMYFUNCTION("""COMPUTED_VALUE"""),"Very Good")</f>
        <v>Very Good</v>
      </c>
      <c r="AC3380" s="183">
        <f>IFERROR(__xludf.DUMMYFUNCTION("""COMPUTED_VALUE"""),0.0)</f>
        <v>0</v>
      </c>
      <c r="AD3380" s="183">
        <f>IFERROR(__xludf.DUMMYFUNCTION("""COMPUTED_VALUE"""),0.0)</f>
        <v>0</v>
      </c>
      <c r="AE3380" s="183"/>
      <c r="AF3380" s="184"/>
      <c r="AG3380" s="180" t="str">
        <f>IFERROR(__xludf.DUMMYFUNCTION("""COMPUTED_VALUE"""),"A couple of dirt nibs trapped in the paint, finish damage during “dealer detailing”: circular polishing damage, pigtail twirls etc. ")</f>
        <v>A couple of dirt nibs trapped in the paint, finish damage during “dealer detailing”: circular polishing damage, pigtail twirls etc. </v>
      </c>
      <c r="AH3380" s="185">
        <f>IFERROR(__xludf.DUMMYFUNCTION("""COMPUTED_VALUE"""),43334.60438947917)</f>
        <v>43334.60439</v>
      </c>
      <c r="AI3380" s="182"/>
      <c r="AJ3380" s="182"/>
      <c r="AK3380" s="182"/>
      <c r="AL3380" s="182"/>
    </row>
    <row r="3381" ht="20.25" customHeight="1">
      <c r="A3381" s="169" t="str">
        <f>IFERROR(__xludf.DUMMYFUNCTION("""COMPUTED_VALUE"""),"djolesd ")</f>
        <v>djolesd </v>
      </c>
      <c r="B3381" s="170" t="str">
        <f>IFERROR(__xludf.DUMMYFUNCTION("""COMPUTED_VALUE"""),"San Diego")</f>
        <v>San Diego</v>
      </c>
      <c r="C3381" s="170" t="str">
        <f>IFERROR(__xludf.DUMMYFUNCTION("""COMPUTED_VALUE"""),"CA")</f>
        <v>CA</v>
      </c>
      <c r="D3381" s="170" t="str">
        <f>IFERROR(__xludf.DUMMYFUNCTION("""COMPUTED_VALUE"""),"USA")</f>
        <v>USA</v>
      </c>
      <c r="E3381" s="171">
        <f>IFERROR(__xludf.DUMMYFUNCTION("""COMPUTED_VALUE"""),43238.0)</f>
        <v>43238</v>
      </c>
      <c r="F3381" s="172">
        <f>IFERROR(__xludf.DUMMYFUNCTION("""COMPUTED_VALUE"""),43240.0)</f>
        <v>43240</v>
      </c>
      <c r="G3381" s="173"/>
      <c r="H3381" s="174">
        <f>IFERROR(__xludf.DUMMYFUNCTION("""COMPUTED_VALUE"""),19255.0)</f>
        <v>19255</v>
      </c>
      <c r="I3381" s="175" t="str">
        <f>IFERROR(__xludf.DUMMYFUNCTION("""COMPUTED_VALUE"""),"05/18")</f>
        <v>05/18</v>
      </c>
      <c r="J3381" s="172">
        <f>IFERROR(__xludf.DUMMYFUNCTION("""COMPUTED_VALUE"""),43246.0)</f>
        <v>43246</v>
      </c>
      <c r="K3381" s="176">
        <f>IFERROR(__xludf.DUMMYFUNCTION("""COMPUTED_VALUE"""),2.0)</f>
        <v>2</v>
      </c>
      <c r="L3381" s="176">
        <f>IFERROR(__xludf.DUMMYFUNCTION("""COMPUTED_VALUE"""),6.0)</f>
        <v>6</v>
      </c>
      <c r="M3381" s="176">
        <f>IFERROR(__xludf.DUMMYFUNCTION("""COMPUTED_VALUE"""),8.0)</f>
        <v>8</v>
      </c>
      <c r="N3381" s="177" t="str">
        <f>IFERROR(__xludf.DUMMYFUNCTION("""COMPUTED_VALUE"""),"Model 3 LR")</f>
        <v>Model 3 LR</v>
      </c>
      <c r="O3381" s="177" t="str">
        <f>IFERROR(__xludf.DUMMYFUNCTION("""COMPUTED_VALUE"""),"Red Multi-Coat")</f>
        <v>Red Multi-Coat</v>
      </c>
      <c r="P3381" s="178" t="str">
        <f>IFERROR(__xludf.DUMMYFUNCTION("""COMPUTED_VALUE"""),"18 inch Aero")</f>
        <v>18 inch Aero</v>
      </c>
      <c r="Q3381" s="177" t="str">
        <f>IFERROR(__xludf.DUMMYFUNCTION("""COMPUTED_VALUE"""),"Black seats")</f>
        <v>Black seats</v>
      </c>
      <c r="R3381" s="170" t="str">
        <f>IFERROR(__xludf.DUMMYFUNCTION("""COMPUTED_VALUE"""),"Enhanced Autopilot")</f>
        <v>Enhanced Autopilot</v>
      </c>
      <c r="S3381" s="170"/>
      <c r="T3381" s="179"/>
      <c r="U3381" s="179"/>
      <c r="V3381" s="179"/>
      <c r="W3381" s="180"/>
      <c r="X3381" s="181" t="str">
        <f>IFERROR(__xludf.DUMMYFUNCTION("""COMPUTED_VALUE"""),"Good")</f>
        <v>Good</v>
      </c>
      <c r="Y3381" s="182" t="str">
        <f>IFERROR(__xludf.DUMMYFUNCTION("""COMPUTED_VALUE"""),"Very Good")</f>
        <v>Very Good</v>
      </c>
      <c r="Z3381" s="182" t="str">
        <f>IFERROR(__xludf.DUMMYFUNCTION("""COMPUTED_VALUE"""),"Very Good")</f>
        <v>Very Good</v>
      </c>
      <c r="AA3381" s="182" t="str">
        <f>IFERROR(__xludf.DUMMYFUNCTION("""COMPUTED_VALUE"""),"Very Good")</f>
        <v>Very Good</v>
      </c>
      <c r="AB3381" s="182" t="str">
        <f>IFERROR(__xludf.DUMMYFUNCTION("""COMPUTED_VALUE"""),"Excellent")</f>
        <v>Excellent</v>
      </c>
      <c r="AC3381" s="183">
        <f>IFERROR(__xludf.DUMMYFUNCTION("""COMPUTED_VALUE"""),1.0)</f>
        <v>1</v>
      </c>
      <c r="AD3381" s="183">
        <f>IFERROR(__xludf.DUMMYFUNCTION("""COMPUTED_VALUE"""),1.0)</f>
        <v>1</v>
      </c>
      <c r="AE3381" s="183">
        <f>IFERROR(__xludf.DUMMYFUNCTION("""COMPUTED_VALUE"""),0.0)</f>
        <v>0</v>
      </c>
      <c r="AF3381" s="184"/>
      <c r="AG3381" s="180"/>
      <c r="AH3381" s="185">
        <f>IFERROR(__xludf.DUMMYFUNCTION("""COMPUTED_VALUE"""),43338.38472303241)</f>
        <v>43338.38472</v>
      </c>
      <c r="AI3381" s="182"/>
      <c r="AJ3381" s="182"/>
      <c r="AK3381" s="182"/>
      <c r="AL3381" s="182"/>
    </row>
    <row r="3382" ht="20.25" customHeight="1">
      <c r="A3382" s="169" t="str">
        <f>IFERROR(__xludf.DUMMYFUNCTION("""COMPUTED_VALUE"""),"whitedecoy")</f>
        <v>whitedecoy</v>
      </c>
      <c r="B3382" s="170" t="str">
        <f>IFERROR(__xludf.DUMMYFUNCTION("""COMPUTED_VALUE"""),"Orange County, CA")</f>
        <v>Orange County, CA</v>
      </c>
      <c r="C3382" s="170" t="str">
        <f>IFERROR(__xludf.DUMMYFUNCTION("""COMPUTED_VALUE"""),"CA")</f>
        <v>CA</v>
      </c>
      <c r="D3382" s="170" t="str">
        <f>IFERROR(__xludf.DUMMYFUNCTION("""COMPUTED_VALUE"""),"USA")</f>
        <v>USA</v>
      </c>
      <c r="E3382" s="171">
        <f>IFERROR(__xludf.DUMMYFUNCTION("""COMPUTED_VALUE"""),43238.0)</f>
        <v>43238</v>
      </c>
      <c r="F3382" s="172">
        <f>IFERROR(__xludf.DUMMYFUNCTION("""COMPUTED_VALUE"""),43276.0)</f>
        <v>43276</v>
      </c>
      <c r="G3382" s="173"/>
      <c r="H3382" s="174">
        <f>IFERROR(__xludf.DUMMYFUNCTION("""COMPUTED_VALUE"""),38755.0)</f>
        <v>38755</v>
      </c>
      <c r="I3382" s="175" t="str">
        <f>IFERROR(__xludf.DUMMYFUNCTION("""COMPUTED_VALUE"""),"06/18")</f>
        <v>06/18</v>
      </c>
      <c r="J3382" s="172">
        <f>IFERROR(__xludf.DUMMYFUNCTION("""COMPUTED_VALUE"""),43283.0)</f>
        <v>43283</v>
      </c>
      <c r="K3382" s="176">
        <f>IFERROR(__xludf.DUMMYFUNCTION("""COMPUTED_VALUE"""),38.0)</f>
        <v>38</v>
      </c>
      <c r="L3382" s="176">
        <f>IFERROR(__xludf.DUMMYFUNCTION("""COMPUTED_VALUE"""),7.0)</f>
        <v>7</v>
      </c>
      <c r="M3382" s="176">
        <f>IFERROR(__xludf.DUMMYFUNCTION("""COMPUTED_VALUE"""),45.0)</f>
        <v>45</v>
      </c>
      <c r="N3382" s="177" t="str">
        <f>IFERROR(__xludf.DUMMYFUNCTION("""COMPUTED_VALUE"""),"Model 3 LR")</f>
        <v>Model 3 LR</v>
      </c>
      <c r="O3382" s="177" t="str">
        <f>IFERROR(__xludf.DUMMYFUNCTION("""COMPUTED_VALUE"""),"Pearl White Multi-Coat")</f>
        <v>Pearl White Multi-Coat</v>
      </c>
      <c r="P3382" s="178" t="str">
        <f>IFERROR(__xludf.DUMMYFUNCTION("""COMPUTED_VALUE"""),"19 inch Sport")</f>
        <v>19 inch Sport</v>
      </c>
      <c r="Q3382" s="177" t="str">
        <f>IFERROR(__xludf.DUMMYFUNCTION("""COMPUTED_VALUE"""),"Black seats")</f>
        <v>Black seats</v>
      </c>
      <c r="R3382" s="170" t="str">
        <f>IFERROR(__xludf.DUMMYFUNCTION("""COMPUTED_VALUE"""),"Enhanced Autopilot")</f>
        <v>Enhanced Autopilot</v>
      </c>
      <c r="S3382" s="170"/>
      <c r="T3382" s="179"/>
      <c r="U3382" s="179"/>
      <c r="V3382" s="179"/>
      <c r="W3382" s="180"/>
      <c r="X3382" s="181" t="str">
        <f>IFERROR(__xludf.DUMMYFUNCTION("""COMPUTED_VALUE"""),"Excellent")</f>
        <v>Excellent</v>
      </c>
      <c r="Y3382" s="182" t="str">
        <f>IFERROR(__xludf.DUMMYFUNCTION("""COMPUTED_VALUE"""),"Excellent")</f>
        <v>Excellent</v>
      </c>
      <c r="Z3382" s="182" t="str">
        <f>IFERROR(__xludf.DUMMYFUNCTION("""COMPUTED_VALUE"""),"Excellent")</f>
        <v>Excellent</v>
      </c>
      <c r="AA3382" s="182" t="str">
        <f>IFERROR(__xludf.DUMMYFUNCTION("""COMPUTED_VALUE"""),"Very Good")</f>
        <v>Very Good</v>
      </c>
      <c r="AB3382" s="182" t="str">
        <f>IFERROR(__xludf.DUMMYFUNCTION("""COMPUTED_VALUE"""),"Excellent")</f>
        <v>Excellent</v>
      </c>
      <c r="AC3382" s="183"/>
      <c r="AD3382" s="183"/>
      <c r="AE3382" s="183"/>
      <c r="AF3382" s="184"/>
      <c r="AG3382" s="180"/>
      <c r="AH3382" s="185">
        <f>IFERROR(__xludf.DUMMYFUNCTION("""COMPUTED_VALUE"""),43287.700730902776)</f>
        <v>43287.70073</v>
      </c>
      <c r="AI3382" s="182"/>
      <c r="AJ3382" s="182"/>
      <c r="AK3382" s="182"/>
      <c r="AL3382" s="182"/>
    </row>
    <row r="3383" ht="20.25" customHeight="1">
      <c r="A3383" s="169" t="str">
        <f>IFERROR(__xludf.DUMMYFUNCTION("""COMPUTED_VALUE"""),"dizzy-d")</f>
        <v>dizzy-d</v>
      </c>
      <c r="B3383" s="170" t="str">
        <f>IFERROR(__xludf.DUMMYFUNCTION("""COMPUTED_VALUE"""),"Chicago")</f>
        <v>Chicago</v>
      </c>
      <c r="C3383" s="170" t="str">
        <f>IFERROR(__xludf.DUMMYFUNCTION("""COMPUTED_VALUE"""),"IL")</f>
        <v>IL</v>
      </c>
      <c r="D3383" s="170" t="str">
        <f>IFERROR(__xludf.DUMMYFUNCTION("""COMPUTED_VALUE"""),"USA")</f>
        <v>USA</v>
      </c>
      <c r="E3383" s="171">
        <f>IFERROR(__xludf.DUMMYFUNCTION("""COMPUTED_VALUE"""),43231.0)</f>
        <v>43231</v>
      </c>
      <c r="F3383" s="172">
        <f>IFERROR(__xludf.DUMMYFUNCTION("""COMPUTED_VALUE"""),43257.0)</f>
        <v>43257</v>
      </c>
      <c r="G3383" s="173"/>
      <c r="H3383" s="174">
        <f>IFERROR(__xludf.DUMMYFUNCTION("""COMPUTED_VALUE"""),25655.0)</f>
        <v>25655</v>
      </c>
      <c r="I3383" s="175" t="str">
        <f>IFERROR(__xludf.DUMMYFUNCTION("""COMPUTED_VALUE"""),"05/18")</f>
        <v>05/18</v>
      </c>
      <c r="J3383" s="172">
        <f>IFERROR(__xludf.DUMMYFUNCTION("""COMPUTED_VALUE"""),43267.0)</f>
        <v>43267</v>
      </c>
      <c r="K3383" s="176">
        <f>IFERROR(__xludf.DUMMYFUNCTION("""COMPUTED_VALUE"""),26.0)</f>
        <v>26</v>
      </c>
      <c r="L3383" s="176">
        <f>IFERROR(__xludf.DUMMYFUNCTION("""COMPUTED_VALUE"""),10.0)</f>
        <v>10</v>
      </c>
      <c r="M3383" s="176">
        <f>IFERROR(__xludf.DUMMYFUNCTION("""COMPUTED_VALUE"""),36.0)</f>
        <v>36</v>
      </c>
      <c r="N3383" s="177" t="str">
        <f>IFERROR(__xludf.DUMMYFUNCTION("""COMPUTED_VALUE"""),"Model 3 LR")</f>
        <v>Model 3 LR</v>
      </c>
      <c r="O3383" s="177" t="str">
        <f>IFERROR(__xludf.DUMMYFUNCTION("""COMPUTED_VALUE"""),"Midnight Silver Metallic")</f>
        <v>Midnight Silver Metallic</v>
      </c>
      <c r="P3383" s="178" t="str">
        <f>IFERROR(__xludf.DUMMYFUNCTION("""COMPUTED_VALUE"""),"18 inch Aero")</f>
        <v>18 inch Aero</v>
      </c>
      <c r="Q3383" s="177" t="str">
        <f>IFERROR(__xludf.DUMMYFUNCTION("""COMPUTED_VALUE"""),"Black seats")</f>
        <v>Black seats</v>
      </c>
      <c r="R3383" s="170" t="str">
        <f>IFERROR(__xludf.DUMMYFUNCTION("""COMPUTED_VALUE"""),"Enhanced Autopilot")</f>
        <v>Enhanced Autopilot</v>
      </c>
      <c r="S3383" s="170"/>
      <c r="T3383" s="179"/>
      <c r="U3383" s="179"/>
      <c r="V3383" s="179"/>
      <c r="W3383" s="180"/>
      <c r="X3383" s="181" t="str">
        <f>IFERROR(__xludf.DUMMYFUNCTION("""COMPUTED_VALUE"""),"Excellent")</f>
        <v>Excellent</v>
      </c>
      <c r="Y3383" s="182" t="str">
        <f>IFERROR(__xludf.DUMMYFUNCTION("""COMPUTED_VALUE"""),"Excellent")</f>
        <v>Excellent</v>
      </c>
      <c r="Z3383" s="182" t="str">
        <f>IFERROR(__xludf.DUMMYFUNCTION("""COMPUTED_VALUE"""),"Excellent")</f>
        <v>Excellent</v>
      </c>
      <c r="AA3383" s="182" t="str">
        <f>IFERROR(__xludf.DUMMYFUNCTION("""COMPUTED_VALUE"""),"Excellent")</f>
        <v>Excellent</v>
      </c>
      <c r="AB3383" s="182" t="str">
        <f>IFERROR(__xludf.DUMMYFUNCTION("""COMPUTED_VALUE"""),"Excellent")</f>
        <v>Excellent</v>
      </c>
      <c r="AC3383" s="183"/>
      <c r="AD3383" s="183"/>
      <c r="AE3383" s="183"/>
      <c r="AF3383" s="184"/>
      <c r="AG3383" s="180"/>
      <c r="AH3383" s="185">
        <f>IFERROR(__xludf.DUMMYFUNCTION("""COMPUTED_VALUE"""),43270.37156706019)</f>
        <v>43270.37157</v>
      </c>
      <c r="AI3383" s="182"/>
      <c r="AJ3383" s="182"/>
      <c r="AK3383" s="182"/>
      <c r="AL3383" s="182"/>
    </row>
    <row r="3384" ht="20.25" customHeight="1">
      <c r="A3384" s="169" t="str">
        <f>IFERROR(__xludf.DUMMYFUNCTION("""COMPUTED_VALUE"""),"iamanunaki")</f>
        <v>iamanunaki</v>
      </c>
      <c r="B3384" s="170" t="str">
        <f>IFERROR(__xludf.DUMMYFUNCTION("""COMPUTED_VALUE"""),"Toronto")</f>
        <v>Toronto</v>
      </c>
      <c r="C3384" s="170" t="str">
        <f>IFERROR(__xludf.DUMMYFUNCTION("""COMPUTED_VALUE"""),"ON")</f>
        <v>ON</v>
      </c>
      <c r="D3384" s="170" t="str">
        <f>IFERROR(__xludf.DUMMYFUNCTION("""COMPUTED_VALUE"""),"Canada")</f>
        <v>Canada</v>
      </c>
      <c r="E3384" s="171">
        <f>IFERROR(__xludf.DUMMYFUNCTION("""COMPUTED_VALUE"""),43230.0)</f>
        <v>43230</v>
      </c>
      <c r="F3384" s="172">
        <f>IFERROR(__xludf.DUMMYFUNCTION("""COMPUTED_VALUE"""),43235.0)</f>
        <v>43235</v>
      </c>
      <c r="G3384" s="173"/>
      <c r="H3384" s="174">
        <f>IFERROR(__xludf.DUMMYFUNCTION("""COMPUTED_VALUE"""),28355.0)</f>
        <v>28355</v>
      </c>
      <c r="I3384" s="175"/>
      <c r="J3384" s="172">
        <f>IFERROR(__xludf.DUMMYFUNCTION("""COMPUTED_VALUE"""),43260.0)</f>
        <v>43260</v>
      </c>
      <c r="K3384" s="176">
        <f>IFERROR(__xludf.DUMMYFUNCTION("""COMPUTED_VALUE"""),5.0)</f>
        <v>5</v>
      </c>
      <c r="L3384" s="176">
        <f>IFERROR(__xludf.DUMMYFUNCTION("""COMPUTED_VALUE"""),25.0)</f>
        <v>25</v>
      </c>
      <c r="M3384" s="176">
        <f>IFERROR(__xludf.DUMMYFUNCTION("""COMPUTED_VALUE"""),30.0)</f>
        <v>30</v>
      </c>
      <c r="N3384" s="177" t="str">
        <f>IFERROR(__xludf.DUMMYFUNCTION("""COMPUTED_VALUE"""),"Model 3 LR")</f>
        <v>Model 3 LR</v>
      </c>
      <c r="O3384" s="177" t="str">
        <f>IFERROR(__xludf.DUMMYFUNCTION("""COMPUTED_VALUE"""),"Solid Black")</f>
        <v>Solid Black</v>
      </c>
      <c r="P3384" s="178" t="str">
        <f>IFERROR(__xludf.DUMMYFUNCTION("""COMPUTED_VALUE"""),"18 inch Aero")</f>
        <v>18 inch Aero</v>
      </c>
      <c r="Q3384" s="177" t="str">
        <f>IFERROR(__xludf.DUMMYFUNCTION("""COMPUTED_VALUE"""),"Black seats")</f>
        <v>Black seats</v>
      </c>
      <c r="R3384" s="170" t="str">
        <f>IFERROR(__xludf.DUMMYFUNCTION("""COMPUTED_VALUE"""),"None")</f>
        <v>None</v>
      </c>
      <c r="S3384" s="170"/>
      <c r="T3384" s="179"/>
      <c r="U3384" s="179"/>
      <c r="V3384" s="179"/>
      <c r="W3384" s="180"/>
      <c r="X3384" s="181" t="str">
        <f>IFERROR(__xludf.DUMMYFUNCTION("""COMPUTED_VALUE"""),"Very Good")</f>
        <v>Very Good</v>
      </c>
      <c r="Y3384" s="182" t="str">
        <f>IFERROR(__xludf.DUMMYFUNCTION("""COMPUTED_VALUE"""),"Excellent")</f>
        <v>Excellent</v>
      </c>
      <c r="Z3384" s="182" t="str">
        <f>IFERROR(__xludf.DUMMYFUNCTION("""COMPUTED_VALUE"""),"Very Good")</f>
        <v>Very Good</v>
      </c>
      <c r="AA3384" s="182" t="str">
        <f>IFERROR(__xludf.DUMMYFUNCTION("""COMPUTED_VALUE"""),"Fair")</f>
        <v>Fair</v>
      </c>
      <c r="AB3384" s="182" t="str">
        <f>IFERROR(__xludf.DUMMYFUNCTION("""COMPUTED_VALUE"""),"Very Good")</f>
        <v>Very Good</v>
      </c>
      <c r="AC3384" s="183"/>
      <c r="AD3384" s="183"/>
      <c r="AE3384" s="183"/>
      <c r="AF3384" s="184"/>
      <c r="AG3384" s="180"/>
      <c r="AH3384" s="185">
        <f>IFERROR(__xludf.DUMMYFUNCTION("""COMPUTED_VALUE"""),43262.61689030093)</f>
        <v>43262.61689</v>
      </c>
      <c r="AI3384" s="182"/>
      <c r="AJ3384" s="182"/>
      <c r="AK3384" s="182"/>
      <c r="AL3384" s="182"/>
    </row>
    <row r="3385" ht="20.25" customHeight="1">
      <c r="A3385" s="169" t="str">
        <f>IFERROR(__xludf.DUMMYFUNCTION("""COMPUTED_VALUE"""),"titanmiller")</f>
        <v>titanmiller</v>
      </c>
      <c r="B3385" s="170" t="str">
        <f>IFERROR(__xludf.DUMMYFUNCTION("""COMPUTED_VALUE"""),"O'Fallon")</f>
        <v>O'Fallon</v>
      </c>
      <c r="C3385" s="170" t="str">
        <f>IFERROR(__xludf.DUMMYFUNCTION("""COMPUTED_VALUE"""),"IL")</f>
        <v>IL</v>
      </c>
      <c r="D3385" s="170" t="str">
        <f>IFERROR(__xludf.DUMMYFUNCTION("""COMPUTED_VALUE"""),"USA")</f>
        <v>USA</v>
      </c>
      <c r="E3385" s="171">
        <f>IFERROR(__xludf.DUMMYFUNCTION("""COMPUTED_VALUE"""),43230.0)</f>
        <v>43230</v>
      </c>
      <c r="F3385" s="172">
        <f>IFERROR(__xludf.DUMMYFUNCTION("""COMPUTED_VALUE"""),43266.0)</f>
        <v>43266</v>
      </c>
      <c r="G3385" s="173"/>
      <c r="H3385" s="174">
        <f>IFERROR(__xludf.DUMMYFUNCTION("""COMPUTED_VALUE"""),34855.0)</f>
        <v>34855</v>
      </c>
      <c r="I3385" s="175" t="str">
        <f>IFERROR(__xludf.DUMMYFUNCTION("""COMPUTED_VALUE"""),"06/18")</f>
        <v>06/18</v>
      </c>
      <c r="J3385" s="172">
        <f>IFERROR(__xludf.DUMMYFUNCTION("""COMPUTED_VALUE"""),43297.0)</f>
        <v>43297</v>
      </c>
      <c r="K3385" s="176">
        <f>IFERROR(__xludf.DUMMYFUNCTION("""COMPUTED_VALUE"""),36.0)</f>
        <v>36</v>
      </c>
      <c r="L3385" s="176">
        <f>IFERROR(__xludf.DUMMYFUNCTION("""COMPUTED_VALUE"""),31.0)</f>
        <v>31</v>
      </c>
      <c r="M3385" s="176">
        <f>IFERROR(__xludf.DUMMYFUNCTION("""COMPUTED_VALUE"""),67.0)</f>
        <v>67</v>
      </c>
      <c r="N3385" s="177" t="str">
        <f>IFERROR(__xludf.DUMMYFUNCTION("""COMPUTED_VALUE"""),"Model 3 LR")</f>
        <v>Model 3 LR</v>
      </c>
      <c r="O3385" s="177" t="str">
        <f>IFERROR(__xludf.DUMMYFUNCTION("""COMPUTED_VALUE"""),"Silver Metallic")</f>
        <v>Silver Metallic</v>
      </c>
      <c r="P3385" s="178" t="str">
        <f>IFERROR(__xludf.DUMMYFUNCTION("""COMPUTED_VALUE"""),"18 inch Aero")</f>
        <v>18 inch Aero</v>
      </c>
      <c r="Q3385" s="177" t="str">
        <f>IFERROR(__xludf.DUMMYFUNCTION("""COMPUTED_VALUE"""),"Black seats")</f>
        <v>Black seats</v>
      </c>
      <c r="R3385" s="170" t="str">
        <f>IFERROR(__xludf.DUMMYFUNCTION("""COMPUTED_VALUE"""),"Enhanced Autopilot")</f>
        <v>Enhanced Autopilot</v>
      </c>
      <c r="S3385" s="170"/>
      <c r="T3385" s="179"/>
      <c r="U3385" s="179"/>
      <c r="V3385" s="179"/>
      <c r="W3385" s="180"/>
      <c r="X3385" s="181" t="str">
        <f>IFERROR(__xludf.DUMMYFUNCTION("""COMPUTED_VALUE"""),"Excellent")</f>
        <v>Excellent</v>
      </c>
      <c r="Y3385" s="182" t="str">
        <f>IFERROR(__xludf.DUMMYFUNCTION("""COMPUTED_VALUE"""),"Excellent")</f>
        <v>Excellent</v>
      </c>
      <c r="Z3385" s="182" t="str">
        <f>IFERROR(__xludf.DUMMYFUNCTION("""COMPUTED_VALUE"""),"Excellent")</f>
        <v>Excellent</v>
      </c>
      <c r="AA3385" s="182" t="str">
        <f>IFERROR(__xludf.DUMMYFUNCTION("""COMPUTED_VALUE"""),"Very Good")</f>
        <v>Very Good</v>
      </c>
      <c r="AB3385" s="182" t="str">
        <f>IFERROR(__xludf.DUMMYFUNCTION("""COMPUTED_VALUE"""),"Very Good")</f>
        <v>Very Good</v>
      </c>
      <c r="AC3385" s="183">
        <f>IFERROR(__xludf.DUMMYFUNCTION("""COMPUTED_VALUE"""),2.0)</f>
        <v>2</v>
      </c>
      <c r="AD3385" s="183">
        <f>IFERROR(__xludf.DUMMYFUNCTION("""COMPUTED_VALUE"""),1.0)</f>
        <v>1</v>
      </c>
      <c r="AE3385" s="183"/>
      <c r="AF3385" s="184"/>
      <c r="AG3385" s="180"/>
      <c r="AH3385" s="185">
        <f>IFERROR(__xludf.DUMMYFUNCTION("""COMPUTED_VALUE"""),43313.45525704861)</f>
        <v>43313.45526</v>
      </c>
      <c r="AI3385" s="182"/>
      <c r="AJ3385" s="182"/>
      <c r="AK3385" s="182"/>
      <c r="AL3385" s="182"/>
    </row>
    <row r="3386" ht="20.25" customHeight="1">
      <c r="A3386" s="169" t="str">
        <f>IFERROR(__xludf.DUMMYFUNCTION("""COMPUTED_VALUE"""),"TomBot9000")</f>
        <v>TomBot9000</v>
      </c>
      <c r="B3386" s="170" t="str">
        <f>IFERROR(__xludf.DUMMYFUNCTION("""COMPUTED_VALUE"""),"Foster City")</f>
        <v>Foster City</v>
      </c>
      <c r="C3386" s="170" t="str">
        <f>IFERROR(__xludf.DUMMYFUNCTION("""COMPUTED_VALUE"""),"CA")</f>
        <v>CA</v>
      </c>
      <c r="D3386" s="170" t="str">
        <f>IFERROR(__xludf.DUMMYFUNCTION("""COMPUTED_VALUE"""),"USA")</f>
        <v>USA</v>
      </c>
      <c r="E3386" s="171">
        <f>IFERROR(__xludf.DUMMYFUNCTION("""COMPUTED_VALUE"""),43229.0)</f>
        <v>43229</v>
      </c>
      <c r="F3386" s="172">
        <f>IFERROR(__xludf.DUMMYFUNCTION("""COMPUTED_VALUE"""),43292.0)</f>
        <v>43292</v>
      </c>
      <c r="G3386" s="173"/>
      <c r="H3386" s="174">
        <f>IFERROR(__xludf.DUMMYFUNCTION("""COMPUTED_VALUE"""),22390.0)</f>
        <v>22390</v>
      </c>
      <c r="I3386" s="175" t="str">
        <f>IFERROR(__xludf.DUMMYFUNCTION("""COMPUTED_VALUE"""),"06/18")</f>
        <v>06/18</v>
      </c>
      <c r="J3386" s="172">
        <f>IFERROR(__xludf.DUMMYFUNCTION("""COMPUTED_VALUE"""),43299.0)</f>
        <v>43299</v>
      </c>
      <c r="K3386" s="176">
        <f>IFERROR(__xludf.DUMMYFUNCTION("""COMPUTED_VALUE"""),63.0)</f>
        <v>63</v>
      </c>
      <c r="L3386" s="176">
        <f>IFERROR(__xludf.DUMMYFUNCTION("""COMPUTED_VALUE"""),7.0)</f>
        <v>7</v>
      </c>
      <c r="M3386" s="176">
        <f>IFERROR(__xludf.DUMMYFUNCTION("""COMPUTED_VALUE"""),70.0)</f>
        <v>70</v>
      </c>
      <c r="N3386" s="177" t="str">
        <f>IFERROR(__xludf.DUMMYFUNCTION("""COMPUTED_VALUE"""),"Model 3 LR")</f>
        <v>Model 3 LR</v>
      </c>
      <c r="O3386" s="177" t="str">
        <f>IFERROR(__xludf.DUMMYFUNCTION("""COMPUTED_VALUE"""),"Red Multi-Coat")</f>
        <v>Red Multi-Coat</v>
      </c>
      <c r="P3386" s="178" t="str">
        <f>IFERROR(__xludf.DUMMYFUNCTION("""COMPUTED_VALUE"""),"18 inch Aero")</f>
        <v>18 inch Aero</v>
      </c>
      <c r="Q3386" s="177" t="str">
        <f>IFERROR(__xludf.DUMMYFUNCTION("""COMPUTED_VALUE"""),"Black seats")</f>
        <v>Black seats</v>
      </c>
      <c r="R3386" s="170" t="str">
        <f>IFERROR(__xludf.DUMMYFUNCTION("""COMPUTED_VALUE"""),"Enhanced Autopilot")</f>
        <v>Enhanced Autopilot</v>
      </c>
      <c r="S3386" s="170"/>
      <c r="T3386" s="179"/>
      <c r="U3386" s="179"/>
      <c r="V3386" s="179"/>
      <c r="W3386" s="180"/>
      <c r="X3386" s="181" t="str">
        <f>IFERROR(__xludf.DUMMYFUNCTION("""COMPUTED_VALUE"""),"Excellent")</f>
        <v>Excellent</v>
      </c>
      <c r="Y3386" s="182" t="str">
        <f>IFERROR(__xludf.DUMMYFUNCTION("""COMPUTED_VALUE"""),"Very Good")</f>
        <v>Very Good</v>
      </c>
      <c r="Z3386" s="182" t="str">
        <f>IFERROR(__xludf.DUMMYFUNCTION("""COMPUTED_VALUE"""),"Very Good")</f>
        <v>Very Good</v>
      </c>
      <c r="AA3386" s="182" t="str">
        <f>IFERROR(__xludf.DUMMYFUNCTION("""COMPUTED_VALUE"""),"Excellent")</f>
        <v>Excellent</v>
      </c>
      <c r="AB3386" s="182" t="str">
        <f>IFERROR(__xludf.DUMMYFUNCTION("""COMPUTED_VALUE"""),"Very Good")</f>
        <v>Very Good</v>
      </c>
      <c r="AC3386" s="183">
        <f>IFERROR(__xludf.DUMMYFUNCTION("""COMPUTED_VALUE"""),0.0)</f>
        <v>0</v>
      </c>
      <c r="AD3386" s="183">
        <f>IFERROR(__xludf.DUMMYFUNCTION("""COMPUTED_VALUE"""),0.0)</f>
        <v>0</v>
      </c>
      <c r="AE3386" s="183">
        <f>IFERROR(__xludf.DUMMYFUNCTION("""COMPUTED_VALUE"""),0.0)</f>
        <v>0</v>
      </c>
      <c r="AF3386" s="184"/>
      <c r="AG3386" s="180"/>
      <c r="AH3386" s="185">
        <f>IFERROR(__xludf.DUMMYFUNCTION("""COMPUTED_VALUE"""),43304.98146120371)</f>
        <v>43304.98146</v>
      </c>
      <c r="AI3386" s="182"/>
      <c r="AJ3386" s="182"/>
      <c r="AK3386" s="182"/>
      <c r="AL3386" s="182"/>
    </row>
    <row r="3387" ht="20.25" customHeight="1">
      <c r="A3387" s="169" t="str">
        <f>IFERROR(__xludf.DUMMYFUNCTION("""COMPUTED_VALUE"""),"abbeymonkey")</f>
        <v>abbeymonkey</v>
      </c>
      <c r="B3387" s="170"/>
      <c r="C3387" s="170" t="str">
        <f>IFERROR(__xludf.DUMMYFUNCTION("""COMPUTED_VALUE"""),"NC")</f>
        <v>NC</v>
      </c>
      <c r="D3387" s="170" t="str">
        <f>IFERROR(__xludf.DUMMYFUNCTION("""COMPUTED_VALUE"""),"USA")</f>
        <v>USA</v>
      </c>
      <c r="E3387" s="171">
        <f>IFERROR(__xludf.DUMMYFUNCTION("""COMPUTED_VALUE"""),43228.0)</f>
        <v>43228</v>
      </c>
      <c r="F3387" s="172">
        <f>IFERROR(__xludf.DUMMYFUNCTION("""COMPUTED_VALUE"""),43262.0)</f>
        <v>43262</v>
      </c>
      <c r="G3387" s="173"/>
      <c r="H3387" s="174">
        <f>IFERROR(__xludf.DUMMYFUNCTION("""COMPUTED_VALUE"""),26755.0)</f>
        <v>26755</v>
      </c>
      <c r="I3387" s="175"/>
      <c r="J3387" s="172">
        <f>IFERROR(__xludf.DUMMYFUNCTION("""COMPUTED_VALUE"""),43297.0)</f>
        <v>43297</v>
      </c>
      <c r="K3387" s="176">
        <f>IFERROR(__xludf.DUMMYFUNCTION("""COMPUTED_VALUE"""),34.0)</f>
        <v>34</v>
      </c>
      <c r="L3387" s="176">
        <f>IFERROR(__xludf.DUMMYFUNCTION("""COMPUTED_VALUE"""),35.0)</f>
        <v>35</v>
      </c>
      <c r="M3387" s="176">
        <f>IFERROR(__xludf.DUMMYFUNCTION("""COMPUTED_VALUE"""),69.0)</f>
        <v>69</v>
      </c>
      <c r="N3387" s="177" t="str">
        <f>IFERROR(__xludf.DUMMYFUNCTION("""COMPUTED_VALUE"""),"Model 3 LR")</f>
        <v>Model 3 LR</v>
      </c>
      <c r="O3387" s="177" t="str">
        <f>IFERROR(__xludf.DUMMYFUNCTION("""COMPUTED_VALUE"""),"Midnight Silver Metallic")</f>
        <v>Midnight Silver Metallic</v>
      </c>
      <c r="P3387" s="178" t="str">
        <f>IFERROR(__xludf.DUMMYFUNCTION("""COMPUTED_VALUE"""),"18 inch Aero")</f>
        <v>18 inch Aero</v>
      </c>
      <c r="Q3387" s="177" t="str">
        <f>IFERROR(__xludf.DUMMYFUNCTION("""COMPUTED_VALUE"""),"Black seats")</f>
        <v>Black seats</v>
      </c>
      <c r="R3387" s="170" t="str">
        <f>IFERROR(__xludf.DUMMYFUNCTION("""COMPUTED_VALUE"""),"Enhanced Autopilot")</f>
        <v>Enhanced Autopilot</v>
      </c>
      <c r="S3387" s="170"/>
      <c r="T3387" s="179"/>
      <c r="U3387" s="179"/>
      <c r="V3387" s="179"/>
      <c r="W3387" s="180"/>
      <c r="X3387" s="181" t="str">
        <f>IFERROR(__xludf.DUMMYFUNCTION("""COMPUTED_VALUE"""),"Good")</f>
        <v>Good</v>
      </c>
      <c r="Y3387" s="182" t="str">
        <f>IFERROR(__xludf.DUMMYFUNCTION("""COMPUTED_VALUE"""),"Very Good")</f>
        <v>Very Good</v>
      </c>
      <c r="Z3387" s="182" t="str">
        <f>IFERROR(__xludf.DUMMYFUNCTION("""COMPUTED_VALUE"""),"Very Good")</f>
        <v>Very Good</v>
      </c>
      <c r="AA3387" s="182" t="str">
        <f>IFERROR(__xludf.DUMMYFUNCTION("""COMPUTED_VALUE"""),"Good")</f>
        <v>Good</v>
      </c>
      <c r="AB3387" s="182" t="str">
        <f>IFERROR(__xludf.DUMMYFUNCTION("""COMPUTED_VALUE"""),"Good")</f>
        <v>Good</v>
      </c>
      <c r="AC3387" s="183"/>
      <c r="AD3387" s="183"/>
      <c r="AE3387" s="183"/>
      <c r="AF3387" s="184"/>
      <c r="AG3387" s="180"/>
      <c r="AH3387" s="185">
        <f>IFERROR(__xludf.DUMMYFUNCTION("""COMPUTED_VALUE"""),43297.897715312494)</f>
        <v>43297.89772</v>
      </c>
      <c r="AI3387" s="182"/>
      <c r="AJ3387" s="182"/>
      <c r="AK3387" s="182"/>
      <c r="AL3387" s="182"/>
    </row>
    <row r="3388" ht="20.25" customHeight="1">
      <c r="A3388" s="169" t="str">
        <f>IFERROR(__xludf.DUMMYFUNCTION("""COMPUTED_VALUE"""),"ElliotJupiter")</f>
        <v>ElliotJupiter</v>
      </c>
      <c r="B3388" s="170" t="str">
        <f>IFERROR(__xludf.DUMMYFUNCTION("""COMPUTED_VALUE"""),"Covington")</f>
        <v>Covington</v>
      </c>
      <c r="C3388" s="170" t="str">
        <f>IFERROR(__xludf.DUMMYFUNCTION("""COMPUTED_VALUE"""),"KY")</f>
        <v>KY</v>
      </c>
      <c r="D3388" s="170" t="str">
        <f>IFERROR(__xludf.DUMMYFUNCTION("""COMPUTED_VALUE"""),"USA")</f>
        <v>USA</v>
      </c>
      <c r="E3388" s="171">
        <f>IFERROR(__xludf.DUMMYFUNCTION("""COMPUTED_VALUE"""),43228.0)</f>
        <v>43228</v>
      </c>
      <c r="F3388" s="172">
        <f>IFERROR(__xludf.DUMMYFUNCTION("""COMPUTED_VALUE"""),43232.0)</f>
        <v>43232</v>
      </c>
      <c r="G3388" s="173"/>
      <c r="H3388" s="174">
        <f>IFERROR(__xludf.DUMMYFUNCTION("""COMPUTED_VALUE"""),18996.0)</f>
        <v>18996</v>
      </c>
      <c r="I3388" s="175"/>
      <c r="J3388" s="172">
        <f>IFERROR(__xludf.DUMMYFUNCTION("""COMPUTED_VALUE"""),43252.0)</f>
        <v>43252</v>
      </c>
      <c r="K3388" s="176">
        <f>IFERROR(__xludf.DUMMYFUNCTION("""COMPUTED_VALUE"""),4.0)</f>
        <v>4</v>
      </c>
      <c r="L3388" s="176">
        <f>IFERROR(__xludf.DUMMYFUNCTION("""COMPUTED_VALUE"""),20.0)</f>
        <v>20</v>
      </c>
      <c r="M3388" s="176">
        <f>IFERROR(__xludf.DUMMYFUNCTION("""COMPUTED_VALUE"""),24.0)</f>
        <v>24</v>
      </c>
      <c r="N3388" s="177" t="str">
        <f>IFERROR(__xludf.DUMMYFUNCTION("""COMPUTED_VALUE"""),"Model 3 LR")</f>
        <v>Model 3 LR</v>
      </c>
      <c r="O3388" s="177" t="str">
        <f>IFERROR(__xludf.DUMMYFUNCTION("""COMPUTED_VALUE"""),"Midnight Silver Metallic")</f>
        <v>Midnight Silver Metallic</v>
      </c>
      <c r="P3388" s="178" t="str">
        <f>IFERROR(__xludf.DUMMYFUNCTION("""COMPUTED_VALUE"""),"18 inch Aero")</f>
        <v>18 inch Aero</v>
      </c>
      <c r="Q3388" s="177" t="str">
        <f>IFERROR(__xludf.DUMMYFUNCTION("""COMPUTED_VALUE"""),"Black seats")</f>
        <v>Black seats</v>
      </c>
      <c r="R3388" s="170" t="str">
        <f>IFERROR(__xludf.DUMMYFUNCTION("""COMPUTED_VALUE"""),"Enhanced Autopilot")</f>
        <v>Enhanced Autopilot</v>
      </c>
      <c r="S3388" s="170"/>
      <c r="T3388" s="179"/>
      <c r="U3388" s="179"/>
      <c r="V3388" s="179"/>
      <c r="W3388" s="180"/>
      <c r="X3388" s="181" t="str">
        <f>IFERROR(__xludf.DUMMYFUNCTION("""COMPUTED_VALUE"""),"Excellent")</f>
        <v>Excellent</v>
      </c>
      <c r="Y3388" s="182" t="str">
        <f>IFERROR(__xludf.DUMMYFUNCTION("""COMPUTED_VALUE"""),"Excellent")</f>
        <v>Excellent</v>
      </c>
      <c r="Z3388" s="182" t="str">
        <f>IFERROR(__xludf.DUMMYFUNCTION("""COMPUTED_VALUE"""),"Excellent")</f>
        <v>Excellent</v>
      </c>
      <c r="AA3388" s="182" t="str">
        <f>IFERROR(__xludf.DUMMYFUNCTION("""COMPUTED_VALUE"""),"Excellent")</f>
        <v>Excellent</v>
      </c>
      <c r="AB3388" s="182" t="str">
        <f>IFERROR(__xludf.DUMMYFUNCTION("""COMPUTED_VALUE"""),"Excellent")</f>
        <v>Excellent</v>
      </c>
      <c r="AC3388" s="183"/>
      <c r="AD3388" s="183"/>
      <c r="AE3388" s="183"/>
      <c r="AF3388" s="184"/>
      <c r="AG3388" s="180"/>
      <c r="AH3388" s="185">
        <f>IFERROR(__xludf.DUMMYFUNCTION("""COMPUTED_VALUE"""),43252.42571106482)</f>
        <v>43252.42571</v>
      </c>
      <c r="AI3388" s="182"/>
      <c r="AJ3388" s="182"/>
      <c r="AK3388" s="182"/>
      <c r="AL3388" s="182"/>
    </row>
    <row r="3389" ht="20.25" customHeight="1">
      <c r="A3389" s="169" t="str">
        <f>IFERROR(__xludf.DUMMYFUNCTION("""COMPUTED_VALUE"""),"yul sam1")</f>
        <v>yul sam1</v>
      </c>
      <c r="B3389" s="170" t="str">
        <f>IFERROR(__xludf.DUMMYFUNCTION("""COMPUTED_VALUE"""),"montreal")</f>
        <v>montreal</v>
      </c>
      <c r="C3389" s="170" t="str">
        <f>IFERROR(__xludf.DUMMYFUNCTION("""COMPUTED_VALUE"""),"QC")</f>
        <v>QC</v>
      </c>
      <c r="D3389" s="170" t="str">
        <f>IFERROR(__xludf.DUMMYFUNCTION("""COMPUTED_VALUE"""),"Canada")</f>
        <v>Canada</v>
      </c>
      <c r="E3389" s="171">
        <f>IFERROR(__xludf.DUMMYFUNCTION("""COMPUTED_VALUE"""),43227.0)</f>
        <v>43227</v>
      </c>
      <c r="F3389" s="172">
        <f>IFERROR(__xludf.DUMMYFUNCTION("""COMPUTED_VALUE"""),43258.0)</f>
        <v>43258</v>
      </c>
      <c r="G3389" s="173"/>
      <c r="H3389" s="174">
        <f>IFERROR(__xludf.DUMMYFUNCTION("""COMPUTED_VALUE"""),28718.0)</f>
        <v>28718</v>
      </c>
      <c r="I3389" s="175" t="str">
        <f>IFERROR(__xludf.DUMMYFUNCTION("""COMPUTED_VALUE"""),"05/18")</f>
        <v>05/18</v>
      </c>
      <c r="J3389" s="172">
        <f>IFERROR(__xludf.DUMMYFUNCTION("""COMPUTED_VALUE"""),43259.0)</f>
        <v>43259</v>
      </c>
      <c r="K3389" s="176">
        <f>IFERROR(__xludf.DUMMYFUNCTION("""COMPUTED_VALUE"""),31.0)</f>
        <v>31</v>
      </c>
      <c r="L3389" s="176">
        <f>IFERROR(__xludf.DUMMYFUNCTION("""COMPUTED_VALUE"""),1.0)</f>
        <v>1</v>
      </c>
      <c r="M3389" s="176">
        <f>IFERROR(__xludf.DUMMYFUNCTION("""COMPUTED_VALUE"""),32.0)</f>
        <v>32</v>
      </c>
      <c r="N3389" s="177" t="str">
        <f>IFERROR(__xludf.DUMMYFUNCTION("""COMPUTED_VALUE"""),"Model 3 LR")</f>
        <v>Model 3 LR</v>
      </c>
      <c r="O3389" s="177" t="str">
        <f>IFERROR(__xludf.DUMMYFUNCTION("""COMPUTED_VALUE"""),"Midnight Silver Metallic")</f>
        <v>Midnight Silver Metallic</v>
      </c>
      <c r="P3389" s="178" t="str">
        <f>IFERROR(__xludf.DUMMYFUNCTION("""COMPUTED_VALUE"""),"18 inch Aero")</f>
        <v>18 inch Aero</v>
      </c>
      <c r="Q3389" s="177" t="str">
        <f>IFERROR(__xludf.DUMMYFUNCTION("""COMPUTED_VALUE"""),"Black seats")</f>
        <v>Black seats</v>
      </c>
      <c r="R3389" s="170" t="str">
        <f>IFERROR(__xludf.DUMMYFUNCTION("""COMPUTED_VALUE"""),"Enhanced Autopilot")</f>
        <v>Enhanced Autopilot</v>
      </c>
      <c r="S3389" s="170"/>
      <c r="T3389" s="179"/>
      <c r="U3389" s="179"/>
      <c r="V3389" s="179"/>
      <c r="W3389" s="180"/>
      <c r="X3389" s="181" t="str">
        <f>IFERROR(__xludf.DUMMYFUNCTION("""COMPUTED_VALUE"""),"Excellent")</f>
        <v>Excellent</v>
      </c>
      <c r="Y3389" s="182" t="str">
        <f>IFERROR(__xludf.DUMMYFUNCTION("""COMPUTED_VALUE"""),"Excellent")</f>
        <v>Excellent</v>
      </c>
      <c r="Z3389" s="182" t="str">
        <f>IFERROR(__xludf.DUMMYFUNCTION("""COMPUTED_VALUE"""),"Excellent")</f>
        <v>Excellent</v>
      </c>
      <c r="AA3389" s="182" t="str">
        <f>IFERROR(__xludf.DUMMYFUNCTION("""COMPUTED_VALUE"""),"Excellent")</f>
        <v>Excellent</v>
      </c>
      <c r="AB3389" s="182" t="str">
        <f>IFERROR(__xludf.DUMMYFUNCTION("""COMPUTED_VALUE"""),"Very Good")</f>
        <v>Very Good</v>
      </c>
      <c r="AC3389" s="183">
        <f>IFERROR(__xludf.DUMMYFUNCTION("""COMPUTED_VALUE"""),0.0)</f>
        <v>0</v>
      </c>
      <c r="AD3389" s="183">
        <f>IFERROR(__xludf.DUMMYFUNCTION("""COMPUTED_VALUE"""),1.0)</f>
        <v>1</v>
      </c>
      <c r="AE3389" s="183">
        <f>IFERROR(__xludf.DUMMYFUNCTION("""COMPUTED_VALUE"""),0.0)</f>
        <v>0</v>
      </c>
      <c r="AF3389" s="184"/>
      <c r="AG3389" s="180"/>
      <c r="AH3389" s="185">
        <f>IFERROR(__xludf.DUMMYFUNCTION("""COMPUTED_VALUE"""),43319.734344675926)</f>
        <v>43319.73434</v>
      </c>
      <c r="AI3389" s="182"/>
      <c r="AJ3389" s="182"/>
      <c r="AK3389" s="182"/>
      <c r="AL3389" s="182"/>
    </row>
    <row r="3390" ht="20.25" customHeight="1">
      <c r="A3390" s="169" t="str">
        <f>IFERROR(__xludf.DUMMYFUNCTION("""COMPUTED_VALUE"""),"imagine")</f>
        <v>imagine</v>
      </c>
      <c r="B3390" s="170" t="str">
        <f>IFERROR(__xludf.DUMMYFUNCTION("""COMPUTED_VALUE"""),"Titus")</f>
        <v>Titus</v>
      </c>
      <c r="C3390" s="170" t="str">
        <f>IFERROR(__xludf.DUMMYFUNCTION("""COMPUTED_VALUE"""),"AL")</f>
        <v>AL</v>
      </c>
      <c r="D3390" s="170" t="str">
        <f>IFERROR(__xludf.DUMMYFUNCTION("""COMPUTED_VALUE"""),"USA")</f>
        <v>USA</v>
      </c>
      <c r="E3390" s="171">
        <f>IFERROR(__xludf.DUMMYFUNCTION("""COMPUTED_VALUE"""),43226.0)</f>
        <v>43226</v>
      </c>
      <c r="F3390" s="172"/>
      <c r="G3390" s="173"/>
      <c r="H3390" s="174">
        <f>IFERROR(__xludf.DUMMYFUNCTION("""COMPUTED_VALUE"""),33009.0)</f>
        <v>33009</v>
      </c>
      <c r="I3390" s="175" t="str">
        <f>IFERROR(__xludf.DUMMYFUNCTION("""COMPUTED_VALUE"""),"06/18")</f>
        <v>06/18</v>
      </c>
      <c r="J3390" s="172">
        <f>IFERROR(__xludf.DUMMYFUNCTION("""COMPUTED_VALUE"""),43319.0)</f>
        <v>43319</v>
      </c>
      <c r="K3390" s="176"/>
      <c r="L3390" s="176"/>
      <c r="M3390" s="176">
        <f>IFERROR(__xludf.DUMMYFUNCTION("""COMPUTED_VALUE"""),93.0)</f>
        <v>93</v>
      </c>
      <c r="N3390" s="177" t="str">
        <f>IFERROR(__xludf.DUMMYFUNCTION("""COMPUTED_VALUE"""),"Model 3 LR")</f>
        <v>Model 3 LR</v>
      </c>
      <c r="O3390" s="177" t="str">
        <f>IFERROR(__xludf.DUMMYFUNCTION("""COMPUTED_VALUE"""),"Pearl White Multi-Coat")</f>
        <v>Pearl White Multi-Coat</v>
      </c>
      <c r="P3390" s="178" t="str">
        <f>IFERROR(__xludf.DUMMYFUNCTION("""COMPUTED_VALUE"""),"19 inch Sport")</f>
        <v>19 inch Sport</v>
      </c>
      <c r="Q3390" s="177" t="str">
        <f>IFERROR(__xludf.DUMMYFUNCTION("""COMPUTED_VALUE"""),"Black seats")</f>
        <v>Black seats</v>
      </c>
      <c r="R3390" s="170" t="str">
        <f>IFERROR(__xludf.DUMMYFUNCTION("""COMPUTED_VALUE"""),"Enhanced Autopilot")</f>
        <v>Enhanced Autopilot</v>
      </c>
      <c r="S3390" s="170"/>
      <c r="T3390" s="179"/>
      <c r="U3390" s="179"/>
      <c r="V3390" s="179"/>
      <c r="W3390" s="180"/>
      <c r="X3390" s="181" t="str">
        <f>IFERROR(__xludf.DUMMYFUNCTION("""COMPUTED_VALUE"""),"Very Good")</f>
        <v>Very Good</v>
      </c>
      <c r="Y3390" s="182" t="str">
        <f>IFERROR(__xludf.DUMMYFUNCTION("""COMPUTED_VALUE"""),"Very Good")</f>
        <v>Very Good</v>
      </c>
      <c r="Z3390" s="182" t="str">
        <f>IFERROR(__xludf.DUMMYFUNCTION("""COMPUTED_VALUE"""),"Very Good")</f>
        <v>Very Good</v>
      </c>
      <c r="AA3390" s="182" t="str">
        <f>IFERROR(__xludf.DUMMYFUNCTION("""COMPUTED_VALUE"""),"Good")</f>
        <v>Good</v>
      </c>
      <c r="AB3390" s="182" t="str">
        <f>IFERROR(__xludf.DUMMYFUNCTION("""COMPUTED_VALUE"""),"Very Good")</f>
        <v>Very Good</v>
      </c>
      <c r="AC3390" s="183"/>
      <c r="AD3390" s="183"/>
      <c r="AE3390" s="183"/>
      <c r="AF3390" s="184"/>
      <c r="AG3390" s="180"/>
      <c r="AH3390" s="185">
        <f>IFERROR(__xludf.DUMMYFUNCTION("""COMPUTED_VALUE"""),43324.435521249994)</f>
        <v>43324.43552</v>
      </c>
      <c r="AI3390" s="182"/>
      <c r="AJ3390" s="182"/>
      <c r="AK3390" s="182"/>
      <c r="AL3390" s="182"/>
    </row>
    <row r="3391" ht="20.25" customHeight="1">
      <c r="A3391" s="169" t="str">
        <f>IFERROR(__xludf.DUMMYFUNCTION("""COMPUTED_VALUE"""),"dsundaram")</f>
        <v>dsundaram</v>
      </c>
      <c r="B3391" s="170" t="str">
        <f>IFERROR(__xludf.DUMMYFUNCTION("""COMPUTED_VALUE"""),"San Ramon")</f>
        <v>San Ramon</v>
      </c>
      <c r="C3391" s="170" t="str">
        <f>IFERROR(__xludf.DUMMYFUNCTION("""COMPUTED_VALUE"""),"CA")</f>
        <v>CA</v>
      </c>
      <c r="D3391" s="170" t="str">
        <f>IFERROR(__xludf.DUMMYFUNCTION("""COMPUTED_VALUE"""),"USA")</f>
        <v>USA</v>
      </c>
      <c r="E3391" s="171">
        <f>IFERROR(__xludf.DUMMYFUNCTION("""COMPUTED_VALUE"""),43225.0)</f>
        <v>43225</v>
      </c>
      <c r="F3391" s="172">
        <f>IFERROR(__xludf.DUMMYFUNCTION("""COMPUTED_VALUE"""),43280.0)</f>
        <v>43280</v>
      </c>
      <c r="G3391" s="173"/>
      <c r="H3391" s="174">
        <f>IFERROR(__xludf.DUMMYFUNCTION("""COMPUTED_VALUE"""),38212.0)</f>
        <v>38212</v>
      </c>
      <c r="I3391" s="175"/>
      <c r="J3391" s="172">
        <f>IFERROR(__xludf.DUMMYFUNCTION("""COMPUTED_VALUE"""),43284.0)</f>
        <v>43284</v>
      </c>
      <c r="K3391" s="176">
        <f>IFERROR(__xludf.DUMMYFUNCTION("""COMPUTED_VALUE"""),55.0)</f>
        <v>55</v>
      </c>
      <c r="L3391" s="176">
        <f>IFERROR(__xludf.DUMMYFUNCTION("""COMPUTED_VALUE"""),4.0)</f>
        <v>4</v>
      </c>
      <c r="M3391" s="176">
        <f>IFERROR(__xludf.DUMMYFUNCTION("""COMPUTED_VALUE"""),59.0)</f>
        <v>59</v>
      </c>
      <c r="N3391" s="177" t="str">
        <f>IFERROR(__xludf.DUMMYFUNCTION("""COMPUTED_VALUE"""),"Model 3 LR")</f>
        <v>Model 3 LR</v>
      </c>
      <c r="O3391" s="177" t="str">
        <f>IFERROR(__xludf.DUMMYFUNCTION("""COMPUTED_VALUE"""),"Deep Blue Metallic")</f>
        <v>Deep Blue Metallic</v>
      </c>
      <c r="P3391" s="178" t="str">
        <f>IFERROR(__xludf.DUMMYFUNCTION("""COMPUTED_VALUE"""),"19 inch Sport")</f>
        <v>19 inch Sport</v>
      </c>
      <c r="Q3391" s="177" t="str">
        <f>IFERROR(__xludf.DUMMYFUNCTION("""COMPUTED_VALUE"""),"Black seats")</f>
        <v>Black seats</v>
      </c>
      <c r="R3391" s="170" t="str">
        <f>IFERROR(__xludf.DUMMYFUNCTION("""COMPUTED_VALUE"""),"Full Self-Driving")</f>
        <v>Full Self-Driving</v>
      </c>
      <c r="S3391" s="170"/>
      <c r="T3391" s="179"/>
      <c r="U3391" s="179"/>
      <c r="V3391" s="179"/>
      <c r="W3391" s="180"/>
      <c r="X3391" s="181" t="str">
        <f>IFERROR(__xludf.DUMMYFUNCTION("""COMPUTED_VALUE"""),"Excellent")</f>
        <v>Excellent</v>
      </c>
      <c r="Y3391" s="182" t="str">
        <f>IFERROR(__xludf.DUMMYFUNCTION("""COMPUTED_VALUE"""),"Excellent")</f>
        <v>Excellent</v>
      </c>
      <c r="Z3391" s="182" t="str">
        <f>IFERROR(__xludf.DUMMYFUNCTION("""COMPUTED_VALUE"""),"Excellent")</f>
        <v>Excellent</v>
      </c>
      <c r="AA3391" s="182" t="str">
        <f>IFERROR(__xludf.DUMMYFUNCTION("""COMPUTED_VALUE"""),"Fair")</f>
        <v>Fair</v>
      </c>
      <c r="AB3391" s="182" t="str">
        <f>IFERROR(__xludf.DUMMYFUNCTION("""COMPUTED_VALUE"""),"Excellent")</f>
        <v>Excellent</v>
      </c>
      <c r="AC3391" s="183">
        <f>IFERROR(__xludf.DUMMYFUNCTION("""COMPUTED_VALUE"""),0.0)</f>
        <v>0</v>
      </c>
      <c r="AD3391" s="183">
        <f>IFERROR(__xludf.DUMMYFUNCTION("""COMPUTED_VALUE"""),0.0)</f>
        <v>0</v>
      </c>
      <c r="AE3391" s="183">
        <f>IFERROR(__xludf.DUMMYFUNCTION("""COMPUTED_VALUE"""),0.0)</f>
        <v>0</v>
      </c>
      <c r="AF3391" s="184"/>
      <c r="AG3391" s="180"/>
      <c r="AH3391" s="185">
        <f>IFERROR(__xludf.DUMMYFUNCTION("""COMPUTED_VALUE"""),43558.57497341435)</f>
        <v>43558.57497</v>
      </c>
      <c r="AI3391" s="182"/>
      <c r="AJ3391" s="182"/>
      <c r="AK3391" s="182"/>
      <c r="AL3391" s="182"/>
    </row>
    <row r="3392" ht="20.25" customHeight="1">
      <c r="A3392" s="169" t="str">
        <f>IFERROR(__xludf.DUMMYFUNCTION("""COMPUTED_VALUE"""),"RichardKJ")</f>
        <v>RichardKJ</v>
      </c>
      <c r="B3392" s="170" t="str">
        <f>IFERROR(__xludf.DUMMYFUNCTION("""COMPUTED_VALUE"""),"Palo Alto")</f>
        <v>Palo Alto</v>
      </c>
      <c r="C3392" s="170" t="str">
        <f>IFERROR(__xludf.DUMMYFUNCTION("""COMPUTED_VALUE"""),"CA")</f>
        <v>CA</v>
      </c>
      <c r="D3392" s="170" t="str">
        <f>IFERROR(__xludf.DUMMYFUNCTION("""COMPUTED_VALUE"""),"USA")</f>
        <v>USA</v>
      </c>
      <c r="E3392" s="171">
        <f>IFERROR(__xludf.DUMMYFUNCTION("""COMPUTED_VALUE"""),43225.0)</f>
        <v>43225</v>
      </c>
      <c r="F3392" s="172">
        <f>IFERROR(__xludf.DUMMYFUNCTION("""COMPUTED_VALUE"""),43278.0)</f>
        <v>43278</v>
      </c>
      <c r="G3392" s="173"/>
      <c r="H3392" s="174">
        <f>IFERROR(__xludf.DUMMYFUNCTION("""COMPUTED_VALUE"""),40305.0)</f>
        <v>40305</v>
      </c>
      <c r="I3392" s="175" t="str">
        <f>IFERROR(__xludf.DUMMYFUNCTION("""COMPUTED_VALUE"""),"06/18")</f>
        <v>06/18</v>
      </c>
      <c r="J3392" s="172">
        <f>IFERROR(__xludf.DUMMYFUNCTION("""COMPUTED_VALUE"""),43282.0)</f>
        <v>43282</v>
      </c>
      <c r="K3392" s="176">
        <f>IFERROR(__xludf.DUMMYFUNCTION("""COMPUTED_VALUE"""),53.0)</f>
        <v>53</v>
      </c>
      <c r="L3392" s="176">
        <f>IFERROR(__xludf.DUMMYFUNCTION("""COMPUTED_VALUE"""),4.0)</f>
        <v>4</v>
      </c>
      <c r="M3392" s="176">
        <f>IFERROR(__xludf.DUMMYFUNCTION("""COMPUTED_VALUE"""),57.0)</f>
        <v>57</v>
      </c>
      <c r="N3392" s="177" t="str">
        <f>IFERROR(__xludf.DUMMYFUNCTION("""COMPUTED_VALUE"""),"Model 3 LR")</f>
        <v>Model 3 LR</v>
      </c>
      <c r="O3392" s="177" t="str">
        <f>IFERROR(__xludf.DUMMYFUNCTION("""COMPUTED_VALUE"""),"Deep Blue Metallic")</f>
        <v>Deep Blue Metallic</v>
      </c>
      <c r="P3392" s="178" t="str">
        <f>IFERROR(__xludf.DUMMYFUNCTION("""COMPUTED_VALUE"""),"18 inch Aero")</f>
        <v>18 inch Aero</v>
      </c>
      <c r="Q3392" s="177" t="str">
        <f>IFERROR(__xludf.DUMMYFUNCTION("""COMPUTED_VALUE"""),"Black seats")</f>
        <v>Black seats</v>
      </c>
      <c r="R3392" s="170" t="str">
        <f>IFERROR(__xludf.DUMMYFUNCTION("""COMPUTED_VALUE"""),"Enhanced Autopilot")</f>
        <v>Enhanced Autopilot</v>
      </c>
      <c r="S3392" s="170"/>
      <c r="T3392" s="179"/>
      <c r="U3392" s="179"/>
      <c r="V3392" s="179"/>
      <c r="W3392" s="180"/>
      <c r="X3392" s="181" t="str">
        <f>IFERROR(__xludf.DUMMYFUNCTION("""COMPUTED_VALUE"""),"Very Good")</f>
        <v>Very Good</v>
      </c>
      <c r="Y3392" s="182" t="str">
        <f>IFERROR(__xludf.DUMMYFUNCTION("""COMPUTED_VALUE"""),"Very Good")</f>
        <v>Very Good</v>
      </c>
      <c r="Z3392" s="182" t="str">
        <f>IFERROR(__xludf.DUMMYFUNCTION("""COMPUTED_VALUE"""),"Very Good")</f>
        <v>Very Good</v>
      </c>
      <c r="AA3392" s="182"/>
      <c r="AB3392" s="182" t="str">
        <f>IFERROR(__xludf.DUMMYFUNCTION("""COMPUTED_VALUE"""),"Good")</f>
        <v>Good</v>
      </c>
      <c r="AC3392" s="183"/>
      <c r="AD3392" s="183"/>
      <c r="AE3392" s="183"/>
      <c r="AF3392" s="184"/>
      <c r="AG3392" s="180"/>
      <c r="AH3392" s="185">
        <f>IFERROR(__xludf.DUMMYFUNCTION("""COMPUTED_VALUE"""),43282.57958561343)</f>
        <v>43282.57959</v>
      </c>
      <c r="AI3392" s="182"/>
      <c r="AJ3392" s="182"/>
      <c r="AK3392" s="182"/>
      <c r="AL3392" s="182"/>
    </row>
    <row r="3393" ht="20.25" customHeight="1">
      <c r="A3393" s="169" t="str">
        <f>IFERROR(__xludf.DUMMYFUNCTION("""COMPUTED_VALUE"""),"bsf29")</f>
        <v>bsf29</v>
      </c>
      <c r="B3393" s="170" t="str">
        <f>IFERROR(__xludf.DUMMYFUNCTION("""COMPUTED_VALUE"""),"Durham")</f>
        <v>Durham</v>
      </c>
      <c r="C3393" s="170" t="str">
        <f>IFERROR(__xludf.DUMMYFUNCTION("""COMPUTED_VALUE"""),"NC")</f>
        <v>NC</v>
      </c>
      <c r="D3393" s="170" t="str">
        <f>IFERROR(__xludf.DUMMYFUNCTION("""COMPUTED_VALUE"""),"USA")</f>
        <v>USA</v>
      </c>
      <c r="E3393" s="171">
        <f>IFERROR(__xludf.DUMMYFUNCTION("""COMPUTED_VALUE"""),43223.0)</f>
        <v>43223</v>
      </c>
      <c r="F3393" s="172">
        <f>IFERROR(__xludf.DUMMYFUNCTION("""COMPUTED_VALUE"""),43271.0)</f>
        <v>43271</v>
      </c>
      <c r="G3393" s="173"/>
      <c r="H3393" s="174">
        <f>IFERROR(__xludf.DUMMYFUNCTION("""COMPUTED_VALUE"""),27755.0)</f>
        <v>27755</v>
      </c>
      <c r="I3393" s="175" t="str">
        <f>IFERROR(__xludf.DUMMYFUNCTION("""COMPUTED_VALUE"""),"06/18")</f>
        <v>06/18</v>
      </c>
      <c r="J3393" s="172">
        <f>IFERROR(__xludf.DUMMYFUNCTION("""COMPUTED_VALUE"""),43295.0)</f>
        <v>43295</v>
      </c>
      <c r="K3393" s="176">
        <f>IFERROR(__xludf.DUMMYFUNCTION("""COMPUTED_VALUE"""),48.0)</f>
        <v>48</v>
      </c>
      <c r="L3393" s="176">
        <f>IFERROR(__xludf.DUMMYFUNCTION("""COMPUTED_VALUE"""),24.0)</f>
        <v>24</v>
      </c>
      <c r="M3393" s="176">
        <f>IFERROR(__xludf.DUMMYFUNCTION("""COMPUTED_VALUE"""),72.0)</f>
        <v>72</v>
      </c>
      <c r="N3393" s="177" t="str">
        <f>IFERROR(__xludf.DUMMYFUNCTION("""COMPUTED_VALUE"""),"Model 3 LR")</f>
        <v>Model 3 LR</v>
      </c>
      <c r="O3393" s="177" t="str">
        <f>IFERROR(__xludf.DUMMYFUNCTION("""COMPUTED_VALUE"""),"Deep Blue Metallic")</f>
        <v>Deep Blue Metallic</v>
      </c>
      <c r="P3393" s="178" t="str">
        <f>IFERROR(__xludf.DUMMYFUNCTION("""COMPUTED_VALUE"""),"18 inch Aero")</f>
        <v>18 inch Aero</v>
      </c>
      <c r="Q3393" s="177" t="str">
        <f>IFERROR(__xludf.DUMMYFUNCTION("""COMPUTED_VALUE"""),"Black seats")</f>
        <v>Black seats</v>
      </c>
      <c r="R3393" s="170" t="str">
        <f>IFERROR(__xludf.DUMMYFUNCTION("""COMPUTED_VALUE"""),"Enhanced Autopilot")</f>
        <v>Enhanced Autopilot</v>
      </c>
      <c r="S3393" s="170"/>
      <c r="T3393" s="179"/>
      <c r="U3393" s="179"/>
      <c r="V3393" s="179"/>
      <c r="W3393" s="180"/>
      <c r="X3393" s="181" t="str">
        <f>IFERROR(__xludf.DUMMYFUNCTION("""COMPUTED_VALUE"""),"Excellent")</f>
        <v>Excellent</v>
      </c>
      <c r="Y3393" s="182" t="str">
        <f>IFERROR(__xludf.DUMMYFUNCTION("""COMPUTED_VALUE"""),"Excellent")</f>
        <v>Excellent</v>
      </c>
      <c r="Z3393" s="182" t="str">
        <f>IFERROR(__xludf.DUMMYFUNCTION("""COMPUTED_VALUE"""),"Very Good")</f>
        <v>Very Good</v>
      </c>
      <c r="AA3393" s="182" t="str">
        <f>IFERROR(__xludf.DUMMYFUNCTION("""COMPUTED_VALUE"""),"Good")</f>
        <v>Good</v>
      </c>
      <c r="AB3393" s="182" t="str">
        <f>IFERROR(__xludf.DUMMYFUNCTION("""COMPUTED_VALUE"""),"Very Good")</f>
        <v>Very Good</v>
      </c>
      <c r="AC3393" s="183"/>
      <c r="AD3393" s="183"/>
      <c r="AE3393" s="183"/>
      <c r="AF3393" s="184"/>
      <c r="AG3393" s="180"/>
      <c r="AH3393" s="185">
        <f>IFERROR(__xludf.DUMMYFUNCTION("""COMPUTED_VALUE"""),43300.624221331025)</f>
        <v>43300.62422</v>
      </c>
      <c r="AI3393" s="182"/>
      <c r="AJ3393" s="182"/>
      <c r="AK3393" s="182"/>
      <c r="AL3393" s="182"/>
    </row>
    <row r="3394" ht="20.25" customHeight="1">
      <c r="A3394" s="169" t="str">
        <f>IFERROR(__xludf.DUMMYFUNCTION("""COMPUTED_VALUE"""),"greenwood")</f>
        <v>greenwood</v>
      </c>
      <c r="B3394" s="170" t="str">
        <f>IFERROR(__xludf.DUMMYFUNCTION("""COMPUTED_VALUE"""),"Seattle")</f>
        <v>Seattle</v>
      </c>
      <c r="C3394" s="170" t="str">
        <f>IFERROR(__xludf.DUMMYFUNCTION("""COMPUTED_VALUE"""),"WA")</f>
        <v>WA</v>
      </c>
      <c r="D3394" s="170" t="str">
        <f>IFERROR(__xludf.DUMMYFUNCTION("""COMPUTED_VALUE"""),"USA")</f>
        <v>USA</v>
      </c>
      <c r="E3394" s="171">
        <f>IFERROR(__xludf.DUMMYFUNCTION("""COMPUTED_VALUE"""),43222.0)</f>
        <v>43222</v>
      </c>
      <c r="F3394" s="172">
        <f>IFERROR(__xludf.DUMMYFUNCTION("""COMPUTED_VALUE"""),43227.0)</f>
        <v>43227</v>
      </c>
      <c r="G3394" s="173"/>
      <c r="H3394" s="174">
        <f>IFERROR(__xludf.DUMMYFUNCTION("""COMPUTED_VALUE"""),16455.0)</f>
        <v>16455</v>
      </c>
      <c r="I3394" s="175" t="str">
        <f>IFERROR(__xludf.DUMMYFUNCTION("""COMPUTED_VALUE"""),"05/18")</f>
        <v>05/18</v>
      </c>
      <c r="J3394" s="172">
        <f>IFERROR(__xludf.DUMMYFUNCTION("""COMPUTED_VALUE"""),43247.0)</f>
        <v>43247</v>
      </c>
      <c r="K3394" s="176">
        <f>IFERROR(__xludf.DUMMYFUNCTION("""COMPUTED_VALUE"""),5.0)</f>
        <v>5</v>
      </c>
      <c r="L3394" s="176">
        <f>IFERROR(__xludf.DUMMYFUNCTION("""COMPUTED_VALUE"""),20.0)</f>
        <v>20</v>
      </c>
      <c r="M3394" s="176">
        <f>IFERROR(__xludf.DUMMYFUNCTION("""COMPUTED_VALUE"""),25.0)</f>
        <v>25</v>
      </c>
      <c r="N3394" s="177" t="str">
        <f>IFERROR(__xludf.DUMMYFUNCTION("""COMPUTED_VALUE"""),"Model 3 LR")</f>
        <v>Model 3 LR</v>
      </c>
      <c r="O3394" s="177" t="str">
        <f>IFERROR(__xludf.DUMMYFUNCTION("""COMPUTED_VALUE"""),"Midnight Silver Metallic")</f>
        <v>Midnight Silver Metallic</v>
      </c>
      <c r="P3394" s="178" t="str">
        <f>IFERROR(__xludf.DUMMYFUNCTION("""COMPUTED_VALUE"""),"18 inch Aero")</f>
        <v>18 inch Aero</v>
      </c>
      <c r="Q3394" s="177" t="str">
        <f>IFERROR(__xludf.DUMMYFUNCTION("""COMPUTED_VALUE"""),"Black seats")</f>
        <v>Black seats</v>
      </c>
      <c r="R3394" s="170" t="str">
        <f>IFERROR(__xludf.DUMMYFUNCTION("""COMPUTED_VALUE"""),"Enhanced Autopilot")</f>
        <v>Enhanced Autopilot</v>
      </c>
      <c r="S3394" s="170"/>
      <c r="T3394" s="179"/>
      <c r="U3394" s="179"/>
      <c r="V3394" s="179"/>
      <c r="W3394" s="180"/>
      <c r="X3394" s="181" t="str">
        <f>IFERROR(__xludf.DUMMYFUNCTION("""COMPUTED_VALUE"""),"Excellent")</f>
        <v>Excellent</v>
      </c>
      <c r="Y3394" s="182" t="str">
        <f>IFERROR(__xludf.DUMMYFUNCTION("""COMPUTED_VALUE"""),"Excellent")</f>
        <v>Excellent</v>
      </c>
      <c r="Z3394" s="182" t="str">
        <f>IFERROR(__xludf.DUMMYFUNCTION("""COMPUTED_VALUE"""),"Excellent")</f>
        <v>Excellent</v>
      </c>
      <c r="AA3394" s="182" t="str">
        <f>IFERROR(__xludf.DUMMYFUNCTION("""COMPUTED_VALUE"""),"Very Good")</f>
        <v>Very Good</v>
      </c>
      <c r="AB3394" s="182" t="str">
        <f>IFERROR(__xludf.DUMMYFUNCTION("""COMPUTED_VALUE"""),"Very Good")</f>
        <v>Very Good</v>
      </c>
      <c r="AC3394" s="183"/>
      <c r="AD3394" s="183"/>
      <c r="AE3394" s="183"/>
      <c r="AF3394" s="184"/>
      <c r="AG3394" s="180"/>
      <c r="AH3394" s="185">
        <f>IFERROR(__xludf.DUMMYFUNCTION("""COMPUTED_VALUE"""),43272.61712335648)</f>
        <v>43272.61712</v>
      </c>
      <c r="AI3394" s="182"/>
      <c r="AJ3394" s="182"/>
      <c r="AK3394" s="182"/>
      <c r="AL3394" s="182"/>
    </row>
    <row r="3395" ht="20.25" customHeight="1">
      <c r="A3395" s="169" t="str">
        <f>IFERROR(__xludf.DUMMYFUNCTION("""COMPUTED_VALUE"""),"HuiFam")</f>
        <v>HuiFam</v>
      </c>
      <c r="B3395" s="170" t="str">
        <f>IFERROR(__xludf.DUMMYFUNCTION("""COMPUTED_VALUE"""),"Los Angeles")</f>
        <v>Los Angeles</v>
      </c>
      <c r="C3395" s="170" t="str">
        <f>IFERROR(__xludf.DUMMYFUNCTION("""COMPUTED_VALUE"""),"CA")</f>
        <v>CA</v>
      </c>
      <c r="D3395" s="170" t="str">
        <f>IFERROR(__xludf.DUMMYFUNCTION("""COMPUTED_VALUE"""),"USA")</f>
        <v>USA</v>
      </c>
      <c r="E3395" s="171">
        <f>IFERROR(__xludf.DUMMYFUNCTION("""COMPUTED_VALUE"""),43222.0)</f>
        <v>43222</v>
      </c>
      <c r="F3395" s="172">
        <f>IFERROR(__xludf.DUMMYFUNCTION("""COMPUTED_VALUE"""),43273.0)</f>
        <v>43273</v>
      </c>
      <c r="G3395" s="173"/>
      <c r="H3395" s="174">
        <f>IFERROR(__xludf.DUMMYFUNCTION("""COMPUTED_VALUE"""),36145.0)</f>
        <v>36145</v>
      </c>
      <c r="I3395" s="175"/>
      <c r="J3395" s="172">
        <f>IFERROR(__xludf.DUMMYFUNCTION("""COMPUTED_VALUE"""),43288.0)</f>
        <v>43288</v>
      </c>
      <c r="K3395" s="176">
        <f>IFERROR(__xludf.DUMMYFUNCTION("""COMPUTED_VALUE"""),51.0)</f>
        <v>51</v>
      </c>
      <c r="L3395" s="176">
        <f>IFERROR(__xludf.DUMMYFUNCTION("""COMPUTED_VALUE"""),15.0)</f>
        <v>15</v>
      </c>
      <c r="M3395" s="176">
        <f>IFERROR(__xludf.DUMMYFUNCTION("""COMPUTED_VALUE"""),66.0)</f>
        <v>66</v>
      </c>
      <c r="N3395" s="177" t="str">
        <f>IFERROR(__xludf.DUMMYFUNCTION("""COMPUTED_VALUE"""),"Model 3 LR")</f>
        <v>Model 3 LR</v>
      </c>
      <c r="O3395" s="177" t="str">
        <f>IFERROR(__xludf.DUMMYFUNCTION("""COMPUTED_VALUE"""),"Solid Black")</f>
        <v>Solid Black</v>
      </c>
      <c r="P3395" s="178" t="str">
        <f>IFERROR(__xludf.DUMMYFUNCTION("""COMPUTED_VALUE"""),"18 inch Aero")</f>
        <v>18 inch Aero</v>
      </c>
      <c r="Q3395" s="177" t="str">
        <f>IFERROR(__xludf.DUMMYFUNCTION("""COMPUTED_VALUE"""),"Black seats")</f>
        <v>Black seats</v>
      </c>
      <c r="R3395" s="170" t="str">
        <f>IFERROR(__xludf.DUMMYFUNCTION("""COMPUTED_VALUE"""),"Enhanced Autopilot")</f>
        <v>Enhanced Autopilot</v>
      </c>
      <c r="S3395" s="170"/>
      <c r="T3395" s="179"/>
      <c r="U3395" s="179"/>
      <c r="V3395" s="179"/>
      <c r="W3395" s="180"/>
      <c r="X3395" s="181" t="str">
        <f>IFERROR(__xludf.DUMMYFUNCTION("""COMPUTED_VALUE"""),"Very Good")</f>
        <v>Very Good</v>
      </c>
      <c r="Y3395" s="182" t="str">
        <f>IFERROR(__xludf.DUMMYFUNCTION("""COMPUTED_VALUE"""),"Excellent")</f>
        <v>Excellent</v>
      </c>
      <c r="Z3395" s="182" t="str">
        <f>IFERROR(__xludf.DUMMYFUNCTION("""COMPUTED_VALUE"""),"Very Good")</f>
        <v>Very Good</v>
      </c>
      <c r="AA3395" s="182" t="str">
        <f>IFERROR(__xludf.DUMMYFUNCTION("""COMPUTED_VALUE"""),"Excellent")</f>
        <v>Excellent</v>
      </c>
      <c r="AB3395" s="182" t="str">
        <f>IFERROR(__xludf.DUMMYFUNCTION("""COMPUTED_VALUE"""),"Fair")</f>
        <v>Fair</v>
      </c>
      <c r="AC3395" s="183">
        <f>IFERROR(__xludf.DUMMYFUNCTION("""COMPUTED_VALUE"""),0.0)</f>
        <v>0</v>
      </c>
      <c r="AD3395" s="183">
        <f>IFERROR(__xludf.DUMMYFUNCTION("""COMPUTED_VALUE"""),0.0)</f>
        <v>0</v>
      </c>
      <c r="AE3395" s="183">
        <f>IFERROR(__xludf.DUMMYFUNCTION("""COMPUTED_VALUE"""),0.0)</f>
        <v>0</v>
      </c>
      <c r="AF3395" s="184"/>
      <c r="AG3395" s="180" t="str">
        <f>IFERROR(__xludf.DUMMYFUNCTION("""COMPUTED_VALUE"""),"delivery associate didnt know details of car. urged to learn yourself. LAME! didnt know what emergency latch was on doors. idiot. did not confirm payment check from credit union even though i called days earlier to confirm payment method. notes in system "&amp;"are meaningless. ")</f>
        <v>delivery associate didnt know details of car. urged to learn yourself. LAME! didnt know what emergency latch was on doors. idiot. did not confirm payment check from credit union even though i called days earlier to confirm payment method. notes in system are meaningless. </v>
      </c>
      <c r="AH3395" s="185">
        <f>IFERROR(__xludf.DUMMYFUNCTION("""COMPUTED_VALUE"""),43293.43476506944)</f>
        <v>43293.43477</v>
      </c>
      <c r="AI3395" s="182"/>
      <c r="AJ3395" s="182"/>
      <c r="AK3395" s="182"/>
      <c r="AL3395" s="182"/>
    </row>
    <row r="3396" ht="20.25" customHeight="1">
      <c r="A3396" s="169" t="str">
        <f>IFERROR(__xludf.DUMMYFUNCTION("""COMPUTED_VALUE"""),"JohnMon")</f>
        <v>JohnMon</v>
      </c>
      <c r="B3396" s="170" t="str">
        <f>IFERROR(__xludf.DUMMYFUNCTION("""COMPUTED_VALUE"""),"Aurora")</f>
        <v>Aurora</v>
      </c>
      <c r="C3396" s="170" t="str">
        <f>IFERROR(__xludf.DUMMYFUNCTION("""COMPUTED_VALUE"""),"ON")</f>
        <v>ON</v>
      </c>
      <c r="D3396" s="170" t="str">
        <f>IFERROR(__xludf.DUMMYFUNCTION("""COMPUTED_VALUE"""),"Canada")</f>
        <v>Canada</v>
      </c>
      <c r="E3396" s="171">
        <f>IFERROR(__xludf.DUMMYFUNCTION("""COMPUTED_VALUE"""),43222.0)</f>
        <v>43222</v>
      </c>
      <c r="F3396" s="172">
        <f>IFERROR(__xludf.DUMMYFUNCTION("""COMPUTED_VALUE"""),43226.0)</f>
        <v>43226</v>
      </c>
      <c r="G3396" s="173"/>
      <c r="H3396" s="174">
        <f>IFERROR(__xludf.DUMMYFUNCTION("""COMPUTED_VALUE"""),26855.0)</f>
        <v>26855</v>
      </c>
      <c r="I3396" s="175"/>
      <c r="J3396" s="172">
        <f>IFERROR(__xludf.DUMMYFUNCTION("""COMPUTED_VALUE"""),43260.0)</f>
        <v>43260</v>
      </c>
      <c r="K3396" s="176">
        <f>IFERROR(__xludf.DUMMYFUNCTION("""COMPUTED_VALUE"""),4.0)</f>
        <v>4</v>
      </c>
      <c r="L3396" s="176">
        <f>IFERROR(__xludf.DUMMYFUNCTION("""COMPUTED_VALUE"""),34.0)</f>
        <v>34</v>
      </c>
      <c r="M3396" s="176">
        <f>IFERROR(__xludf.DUMMYFUNCTION("""COMPUTED_VALUE"""),38.0)</f>
        <v>38</v>
      </c>
      <c r="N3396" s="177" t="str">
        <f>IFERROR(__xludf.DUMMYFUNCTION("""COMPUTED_VALUE"""),"Model 3 LR")</f>
        <v>Model 3 LR</v>
      </c>
      <c r="O3396" s="177" t="str">
        <f>IFERROR(__xludf.DUMMYFUNCTION("""COMPUTED_VALUE"""),"Silver Metallic")</f>
        <v>Silver Metallic</v>
      </c>
      <c r="P3396" s="178" t="str">
        <f>IFERROR(__xludf.DUMMYFUNCTION("""COMPUTED_VALUE"""),"18 inch Aero")</f>
        <v>18 inch Aero</v>
      </c>
      <c r="Q3396" s="177" t="str">
        <f>IFERROR(__xludf.DUMMYFUNCTION("""COMPUTED_VALUE"""),"Black seats")</f>
        <v>Black seats</v>
      </c>
      <c r="R3396" s="170" t="str">
        <f>IFERROR(__xludf.DUMMYFUNCTION("""COMPUTED_VALUE"""),"None")</f>
        <v>None</v>
      </c>
      <c r="S3396" s="170"/>
      <c r="T3396" s="179"/>
      <c r="U3396" s="179"/>
      <c r="V3396" s="179"/>
      <c r="W3396" s="180"/>
      <c r="X3396" s="181" t="str">
        <f>IFERROR(__xludf.DUMMYFUNCTION("""COMPUTED_VALUE"""),"Excellent")</f>
        <v>Excellent</v>
      </c>
      <c r="Y3396" s="182" t="str">
        <f>IFERROR(__xludf.DUMMYFUNCTION("""COMPUTED_VALUE"""),"Poor")</f>
        <v>Poor</v>
      </c>
      <c r="Z3396" s="182" t="str">
        <f>IFERROR(__xludf.DUMMYFUNCTION("""COMPUTED_VALUE"""),"Excellent")</f>
        <v>Excellent</v>
      </c>
      <c r="AA3396" s="182" t="str">
        <f>IFERROR(__xludf.DUMMYFUNCTION("""COMPUTED_VALUE"""),"Fair")</f>
        <v>Fair</v>
      </c>
      <c r="AB3396" s="182" t="str">
        <f>IFERROR(__xludf.DUMMYFUNCTION("""COMPUTED_VALUE"""),"Good")</f>
        <v>Good</v>
      </c>
      <c r="AC3396" s="183"/>
      <c r="AD3396" s="183"/>
      <c r="AE3396" s="183"/>
      <c r="AF3396" s="184"/>
      <c r="AG3396" s="180" t="str">
        <f>IFERROR(__xludf.DUMMYFUNCTION("""COMPUTED_VALUE"""),"Damage to seat; mud on seat; dirt in trunk")</f>
        <v>Damage to seat; mud on seat; dirt in trunk</v>
      </c>
      <c r="AH3396" s="185">
        <f>IFERROR(__xludf.DUMMYFUNCTION("""COMPUTED_VALUE"""),43266.29648780092)</f>
        <v>43266.29649</v>
      </c>
      <c r="AI3396" s="182"/>
      <c r="AJ3396" s="182"/>
      <c r="AK3396" s="182"/>
      <c r="AL3396" s="182"/>
    </row>
    <row r="3397" ht="20.25" customHeight="1">
      <c r="A3397" s="169" t="str">
        <f>IFERROR(__xludf.DUMMYFUNCTION("""COMPUTED_VALUE"""),"mickeymouse123")</f>
        <v>mickeymouse123</v>
      </c>
      <c r="B3397" s="170" t="str">
        <f>IFERROR(__xludf.DUMMYFUNCTION("""COMPUTED_VALUE"""),"Mt Laurel")</f>
        <v>Mt Laurel</v>
      </c>
      <c r="C3397" s="170" t="str">
        <f>IFERROR(__xludf.DUMMYFUNCTION("""COMPUTED_VALUE"""),"NJ")</f>
        <v>NJ</v>
      </c>
      <c r="D3397" s="170" t="str">
        <f>IFERROR(__xludf.DUMMYFUNCTION("""COMPUTED_VALUE"""),"USA")</f>
        <v>USA</v>
      </c>
      <c r="E3397" s="171">
        <f>IFERROR(__xludf.DUMMYFUNCTION("""COMPUTED_VALUE"""),43222.0)</f>
        <v>43222</v>
      </c>
      <c r="F3397" s="172">
        <f>IFERROR(__xludf.DUMMYFUNCTION("""COMPUTED_VALUE"""),43262.0)</f>
        <v>43262</v>
      </c>
      <c r="G3397" s="173"/>
      <c r="H3397" s="174">
        <f>IFERROR(__xludf.DUMMYFUNCTION("""COMPUTED_VALUE"""),32855.0)</f>
        <v>32855</v>
      </c>
      <c r="I3397" s="175" t="str">
        <f>IFERROR(__xludf.DUMMYFUNCTION("""COMPUTED_VALUE"""),"06/18")</f>
        <v>06/18</v>
      </c>
      <c r="J3397" s="172">
        <f>IFERROR(__xludf.DUMMYFUNCTION("""COMPUTED_VALUE"""),43299.0)</f>
        <v>43299</v>
      </c>
      <c r="K3397" s="176">
        <f>IFERROR(__xludf.DUMMYFUNCTION("""COMPUTED_VALUE"""),40.0)</f>
        <v>40</v>
      </c>
      <c r="L3397" s="176">
        <f>IFERROR(__xludf.DUMMYFUNCTION("""COMPUTED_VALUE"""),37.0)</f>
        <v>37</v>
      </c>
      <c r="M3397" s="176">
        <f>IFERROR(__xludf.DUMMYFUNCTION("""COMPUTED_VALUE"""),77.0)</f>
        <v>77</v>
      </c>
      <c r="N3397" s="177" t="str">
        <f>IFERROR(__xludf.DUMMYFUNCTION("""COMPUTED_VALUE"""),"Model 3 LR")</f>
        <v>Model 3 LR</v>
      </c>
      <c r="O3397" s="177" t="str">
        <f>IFERROR(__xludf.DUMMYFUNCTION("""COMPUTED_VALUE"""),"Red Multi-Coat")</f>
        <v>Red Multi-Coat</v>
      </c>
      <c r="P3397" s="178" t="str">
        <f>IFERROR(__xludf.DUMMYFUNCTION("""COMPUTED_VALUE"""),"19 inch Sport")</f>
        <v>19 inch Sport</v>
      </c>
      <c r="Q3397" s="177" t="str">
        <f>IFERROR(__xludf.DUMMYFUNCTION("""COMPUTED_VALUE"""),"Black seats")</f>
        <v>Black seats</v>
      </c>
      <c r="R3397" s="170" t="str">
        <f>IFERROR(__xludf.DUMMYFUNCTION("""COMPUTED_VALUE"""),"Full Self-Driving")</f>
        <v>Full Self-Driving</v>
      </c>
      <c r="S3397" s="170"/>
      <c r="T3397" s="179"/>
      <c r="U3397" s="179"/>
      <c r="V3397" s="179"/>
      <c r="W3397" s="180"/>
      <c r="X3397" s="181" t="str">
        <f>IFERROR(__xludf.DUMMYFUNCTION("""COMPUTED_VALUE"""),"Excellent")</f>
        <v>Excellent</v>
      </c>
      <c r="Y3397" s="182" t="str">
        <f>IFERROR(__xludf.DUMMYFUNCTION("""COMPUTED_VALUE"""),"Excellent")</f>
        <v>Excellent</v>
      </c>
      <c r="Z3397" s="182" t="str">
        <f>IFERROR(__xludf.DUMMYFUNCTION("""COMPUTED_VALUE"""),"Excellent")</f>
        <v>Excellent</v>
      </c>
      <c r="AA3397" s="182" t="str">
        <f>IFERROR(__xludf.DUMMYFUNCTION("""COMPUTED_VALUE"""),"Excellent")</f>
        <v>Excellent</v>
      </c>
      <c r="AB3397" s="182" t="str">
        <f>IFERROR(__xludf.DUMMYFUNCTION("""COMPUTED_VALUE"""),"Excellent")</f>
        <v>Excellent</v>
      </c>
      <c r="AC3397" s="183">
        <f>IFERROR(__xludf.DUMMYFUNCTION("""COMPUTED_VALUE"""),0.0)</f>
        <v>0</v>
      </c>
      <c r="AD3397" s="183">
        <f>IFERROR(__xludf.DUMMYFUNCTION("""COMPUTED_VALUE"""),0.0)</f>
        <v>0</v>
      </c>
      <c r="AE3397" s="183">
        <f>IFERROR(__xludf.DUMMYFUNCTION("""COMPUTED_VALUE"""),0.0)</f>
        <v>0</v>
      </c>
      <c r="AF3397" s="184"/>
      <c r="AG3397" s="180"/>
      <c r="AH3397" s="185">
        <f>IFERROR(__xludf.DUMMYFUNCTION("""COMPUTED_VALUE"""),43323.51436953704)</f>
        <v>43323.51437</v>
      </c>
      <c r="AI3397" s="182"/>
      <c r="AJ3397" s="182"/>
      <c r="AK3397" s="182"/>
      <c r="AL3397" s="182"/>
    </row>
    <row r="3398" ht="20.25" customHeight="1">
      <c r="A3398" s="169" t="str">
        <f>IFERROR(__xludf.DUMMYFUNCTION("""COMPUTED_VALUE"""),"HulkThinks")</f>
        <v>HulkThinks</v>
      </c>
      <c r="B3398" s="170" t="str">
        <f>IFERROR(__xludf.DUMMYFUNCTION("""COMPUTED_VALUE"""),"Phoenix")</f>
        <v>Phoenix</v>
      </c>
      <c r="C3398" s="170" t="str">
        <f>IFERROR(__xludf.DUMMYFUNCTION("""COMPUTED_VALUE"""),"AZ")</f>
        <v>AZ</v>
      </c>
      <c r="D3398" s="170" t="str">
        <f>IFERROR(__xludf.DUMMYFUNCTION("""COMPUTED_VALUE"""),"USA")</f>
        <v>USA</v>
      </c>
      <c r="E3398" s="171">
        <f>IFERROR(__xludf.DUMMYFUNCTION("""COMPUTED_VALUE"""),43221.0)</f>
        <v>43221</v>
      </c>
      <c r="F3398" s="172">
        <f>IFERROR(__xludf.DUMMYFUNCTION("""COMPUTED_VALUE"""),43301.0)</f>
        <v>43301</v>
      </c>
      <c r="G3398" s="173"/>
      <c r="H3398" s="174">
        <f>IFERROR(__xludf.DUMMYFUNCTION("""COMPUTED_VALUE"""),45455.0)</f>
        <v>45455</v>
      </c>
      <c r="I3398" s="175" t="str">
        <f>IFERROR(__xludf.DUMMYFUNCTION("""COMPUTED_VALUE"""),"07/18")</f>
        <v>07/18</v>
      </c>
      <c r="J3398" s="172">
        <f>IFERROR(__xludf.DUMMYFUNCTION("""COMPUTED_VALUE"""),43313.0)</f>
        <v>43313</v>
      </c>
      <c r="K3398" s="176">
        <f>IFERROR(__xludf.DUMMYFUNCTION("""COMPUTED_VALUE"""),80.0)</f>
        <v>80</v>
      </c>
      <c r="L3398" s="176">
        <f>IFERROR(__xludf.DUMMYFUNCTION("""COMPUTED_VALUE"""),12.0)</f>
        <v>12</v>
      </c>
      <c r="M3398" s="176">
        <f>IFERROR(__xludf.DUMMYFUNCTION("""COMPUTED_VALUE"""),92.0)</f>
        <v>92</v>
      </c>
      <c r="N3398" s="177" t="str">
        <f>IFERROR(__xludf.DUMMYFUNCTION("""COMPUTED_VALUE"""),"Model 3 LR")</f>
        <v>Model 3 LR</v>
      </c>
      <c r="O3398" s="177" t="str">
        <f>IFERROR(__xludf.DUMMYFUNCTION("""COMPUTED_VALUE"""),"Solid Black")</f>
        <v>Solid Black</v>
      </c>
      <c r="P3398" s="178" t="str">
        <f>IFERROR(__xludf.DUMMYFUNCTION("""COMPUTED_VALUE"""),"18 inch Aero")</f>
        <v>18 inch Aero</v>
      </c>
      <c r="Q3398" s="177" t="str">
        <f>IFERROR(__xludf.DUMMYFUNCTION("""COMPUTED_VALUE"""),"Black seats")</f>
        <v>Black seats</v>
      </c>
      <c r="R3398" s="170" t="str">
        <f>IFERROR(__xludf.DUMMYFUNCTION("""COMPUTED_VALUE"""),"Enhanced Autopilot")</f>
        <v>Enhanced Autopilot</v>
      </c>
      <c r="S3398" s="170"/>
      <c r="T3398" s="179"/>
      <c r="U3398" s="179"/>
      <c r="V3398" s="179"/>
      <c r="W3398" s="180"/>
      <c r="X3398" s="181" t="str">
        <f>IFERROR(__xludf.DUMMYFUNCTION("""COMPUTED_VALUE"""),"Excellent")</f>
        <v>Excellent</v>
      </c>
      <c r="Y3398" s="182" t="str">
        <f>IFERROR(__xludf.DUMMYFUNCTION("""COMPUTED_VALUE"""),"Excellent")</f>
        <v>Excellent</v>
      </c>
      <c r="Z3398" s="182" t="str">
        <f>IFERROR(__xludf.DUMMYFUNCTION("""COMPUTED_VALUE"""),"Excellent")</f>
        <v>Excellent</v>
      </c>
      <c r="AA3398" s="182" t="str">
        <f>IFERROR(__xludf.DUMMYFUNCTION("""COMPUTED_VALUE"""),"Excellent")</f>
        <v>Excellent</v>
      </c>
      <c r="AB3398" s="182" t="str">
        <f>IFERROR(__xludf.DUMMYFUNCTION("""COMPUTED_VALUE"""),"Excellent")</f>
        <v>Excellent</v>
      </c>
      <c r="AC3398" s="183">
        <f>IFERROR(__xludf.DUMMYFUNCTION("""COMPUTED_VALUE"""),0.0)</f>
        <v>0</v>
      </c>
      <c r="AD3398" s="183">
        <f>IFERROR(__xludf.DUMMYFUNCTION("""COMPUTED_VALUE"""),0.0)</f>
        <v>0</v>
      </c>
      <c r="AE3398" s="183"/>
      <c r="AF3398" s="184"/>
      <c r="AG3398" s="180"/>
      <c r="AH3398" s="185">
        <f>IFERROR(__xludf.DUMMYFUNCTION("""COMPUTED_VALUE"""),43337.94545541667)</f>
        <v>43337.94546</v>
      </c>
      <c r="AI3398" s="182"/>
      <c r="AJ3398" s="182"/>
      <c r="AK3398" s="182"/>
      <c r="AL3398" s="182"/>
    </row>
    <row r="3399" ht="20.25" customHeight="1">
      <c r="A3399" s="169" t="str">
        <f>IFERROR(__xludf.DUMMYFUNCTION("""COMPUTED_VALUE"""),"PeterM")</f>
        <v>PeterM</v>
      </c>
      <c r="B3399" s="170" t="str">
        <f>IFERROR(__xludf.DUMMYFUNCTION("""COMPUTED_VALUE"""),"Chilliwack")</f>
        <v>Chilliwack</v>
      </c>
      <c r="C3399" s="170" t="str">
        <f>IFERROR(__xludf.DUMMYFUNCTION("""COMPUTED_VALUE"""),"BC")</f>
        <v>BC</v>
      </c>
      <c r="D3399" s="170" t="str">
        <f>IFERROR(__xludf.DUMMYFUNCTION("""COMPUTED_VALUE"""),"Canada")</f>
        <v>Canada</v>
      </c>
      <c r="E3399" s="171">
        <f>IFERROR(__xludf.DUMMYFUNCTION("""COMPUTED_VALUE"""),43220.0)</f>
        <v>43220</v>
      </c>
      <c r="F3399" s="172">
        <f>IFERROR(__xludf.DUMMYFUNCTION("""COMPUTED_VALUE"""),43257.0)</f>
        <v>43257</v>
      </c>
      <c r="G3399" s="173"/>
      <c r="H3399" s="174">
        <f>IFERROR(__xludf.DUMMYFUNCTION("""COMPUTED_VALUE"""),29485.0)</f>
        <v>29485</v>
      </c>
      <c r="I3399" s="175"/>
      <c r="J3399" s="172">
        <f>IFERROR(__xludf.DUMMYFUNCTION("""COMPUTED_VALUE"""),43259.0)</f>
        <v>43259</v>
      </c>
      <c r="K3399" s="176">
        <f>IFERROR(__xludf.DUMMYFUNCTION("""COMPUTED_VALUE"""),37.0)</f>
        <v>37</v>
      </c>
      <c r="L3399" s="176">
        <f>IFERROR(__xludf.DUMMYFUNCTION("""COMPUTED_VALUE"""),2.0)</f>
        <v>2</v>
      </c>
      <c r="M3399" s="176">
        <f>IFERROR(__xludf.DUMMYFUNCTION("""COMPUTED_VALUE"""),39.0)</f>
        <v>39</v>
      </c>
      <c r="N3399" s="177" t="str">
        <f>IFERROR(__xludf.DUMMYFUNCTION("""COMPUTED_VALUE"""),"Model 3 LR")</f>
        <v>Model 3 LR</v>
      </c>
      <c r="O3399" s="177" t="str">
        <f>IFERROR(__xludf.DUMMYFUNCTION("""COMPUTED_VALUE"""),"Red Multi-Coat")</f>
        <v>Red Multi-Coat</v>
      </c>
      <c r="P3399" s="178" t="str">
        <f>IFERROR(__xludf.DUMMYFUNCTION("""COMPUTED_VALUE"""),"18 inch Aero")</f>
        <v>18 inch Aero</v>
      </c>
      <c r="Q3399" s="177" t="str">
        <f>IFERROR(__xludf.DUMMYFUNCTION("""COMPUTED_VALUE"""),"Black seats")</f>
        <v>Black seats</v>
      </c>
      <c r="R3399" s="170" t="str">
        <f>IFERROR(__xludf.DUMMYFUNCTION("""COMPUTED_VALUE"""),"None")</f>
        <v>None</v>
      </c>
      <c r="S3399" s="170"/>
      <c r="T3399" s="179"/>
      <c r="U3399" s="179"/>
      <c r="V3399" s="179"/>
      <c r="W3399" s="180"/>
      <c r="X3399" s="181" t="str">
        <f>IFERROR(__xludf.DUMMYFUNCTION("""COMPUTED_VALUE"""),"Excellent")</f>
        <v>Excellent</v>
      </c>
      <c r="Y3399" s="182" t="str">
        <f>IFERROR(__xludf.DUMMYFUNCTION("""COMPUTED_VALUE"""),"Excellent")</f>
        <v>Excellent</v>
      </c>
      <c r="Z3399" s="182" t="str">
        <f>IFERROR(__xludf.DUMMYFUNCTION("""COMPUTED_VALUE"""),"Excellent")</f>
        <v>Excellent</v>
      </c>
      <c r="AA3399" s="182" t="str">
        <f>IFERROR(__xludf.DUMMYFUNCTION("""COMPUTED_VALUE"""),"Fair")</f>
        <v>Fair</v>
      </c>
      <c r="AB3399" s="182" t="str">
        <f>IFERROR(__xludf.DUMMYFUNCTION("""COMPUTED_VALUE"""),"Good")</f>
        <v>Good</v>
      </c>
      <c r="AC3399" s="183"/>
      <c r="AD3399" s="183"/>
      <c r="AE3399" s="183"/>
      <c r="AF3399" s="184"/>
      <c r="AG3399" s="180"/>
      <c r="AH3399" s="185">
        <f>IFERROR(__xludf.DUMMYFUNCTION("""COMPUTED_VALUE"""),43261.786304305555)</f>
        <v>43261.7863</v>
      </c>
      <c r="AI3399" s="182"/>
      <c r="AJ3399" s="182"/>
      <c r="AK3399" s="182"/>
      <c r="AL3399" s="182"/>
    </row>
    <row r="3400" ht="20.25" customHeight="1">
      <c r="A3400" s="169" t="str">
        <f>IFERROR(__xludf.DUMMYFUNCTION("""COMPUTED_VALUE"""),"garrettdigital")</f>
        <v>garrettdigital</v>
      </c>
      <c r="B3400" s="170" t="str">
        <f>IFERROR(__xludf.DUMMYFUNCTION("""COMPUTED_VALUE"""),"Victoria")</f>
        <v>Victoria</v>
      </c>
      <c r="C3400" s="170" t="str">
        <f>IFERROR(__xludf.DUMMYFUNCTION("""COMPUTED_VALUE"""),"BC")</f>
        <v>BC</v>
      </c>
      <c r="D3400" s="170" t="str">
        <f>IFERROR(__xludf.DUMMYFUNCTION("""COMPUTED_VALUE"""),"Canada")</f>
        <v>Canada</v>
      </c>
      <c r="E3400" s="171">
        <f>IFERROR(__xludf.DUMMYFUNCTION("""COMPUTED_VALUE"""),43219.0)</f>
        <v>43219</v>
      </c>
      <c r="F3400" s="172">
        <f>IFERROR(__xludf.DUMMYFUNCTION("""COMPUTED_VALUE"""),43241.0)</f>
        <v>43241</v>
      </c>
      <c r="G3400" s="173"/>
      <c r="H3400" s="174">
        <f>IFERROR(__xludf.DUMMYFUNCTION("""COMPUTED_VALUE"""),28355.0)</f>
        <v>28355</v>
      </c>
      <c r="I3400" s="175" t="str">
        <f>IFERROR(__xludf.DUMMYFUNCTION("""COMPUTED_VALUE"""),"05/18")</f>
        <v>05/18</v>
      </c>
      <c r="J3400" s="172">
        <f>IFERROR(__xludf.DUMMYFUNCTION("""COMPUTED_VALUE"""),43258.0)</f>
        <v>43258</v>
      </c>
      <c r="K3400" s="176">
        <f>IFERROR(__xludf.DUMMYFUNCTION("""COMPUTED_VALUE"""),22.0)</f>
        <v>22</v>
      </c>
      <c r="L3400" s="176">
        <f>IFERROR(__xludf.DUMMYFUNCTION("""COMPUTED_VALUE"""),17.0)</f>
        <v>17</v>
      </c>
      <c r="M3400" s="176">
        <f>IFERROR(__xludf.DUMMYFUNCTION("""COMPUTED_VALUE"""),39.0)</f>
        <v>39</v>
      </c>
      <c r="N3400" s="177" t="str">
        <f>IFERROR(__xludf.DUMMYFUNCTION("""COMPUTED_VALUE"""),"Model 3 LR")</f>
        <v>Model 3 LR</v>
      </c>
      <c r="O3400" s="177" t="str">
        <f>IFERROR(__xludf.DUMMYFUNCTION("""COMPUTED_VALUE"""),"Solid Black")</f>
        <v>Solid Black</v>
      </c>
      <c r="P3400" s="178" t="str">
        <f>IFERROR(__xludf.DUMMYFUNCTION("""COMPUTED_VALUE"""),"18 inch Aero")</f>
        <v>18 inch Aero</v>
      </c>
      <c r="Q3400" s="177" t="str">
        <f>IFERROR(__xludf.DUMMYFUNCTION("""COMPUTED_VALUE"""),"Black seats")</f>
        <v>Black seats</v>
      </c>
      <c r="R3400" s="170" t="str">
        <f>IFERROR(__xludf.DUMMYFUNCTION("""COMPUTED_VALUE"""),"None")</f>
        <v>None</v>
      </c>
      <c r="S3400" s="170"/>
      <c r="T3400" s="179"/>
      <c r="U3400" s="179"/>
      <c r="V3400" s="179"/>
      <c r="W3400" s="180"/>
      <c r="X3400" s="181" t="str">
        <f>IFERROR(__xludf.DUMMYFUNCTION("""COMPUTED_VALUE"""),"Good")</f>
        <v>Good</v>
      </c>
      <c r="Y3400" s="182" t="str">
        <f>IFERROR(__xludf.DUMMYFUNCTION("""COMPUTED_VALUE"""),"Excellent")</f>
        <v>Excellent</v>
      </c>
      <c r="Z3400" s="182" t="str">
        <f>IFERROR(__xludf.DUMMYFUNCTION("""COMPUTED_VALUE"""),"Very Good")</f>
        <v>Very Good</v>
      </c>
      <c r="AA3400" s="182" t="str">
        <f>IFERROR(__xludf.DUMMYFUNCTION("""COMPUTED_VALUE"""),"Good")</f>
        <v>Good</v>
      </c>
      <c r="AB3400" s="182" t="str">
        <f>IFERROR(__xludf.DUMMYFUNCTION("""COMPUTED_VALUE"""),"Good")</f>
        <v>Good</v>
      </c>
      <c r="AC3400" s="183"/>
      <c r="AD3400" s="183"/>
      <c r="AE3400" s="183"/>
      <c r="AF3400" s="184"/>
      <c r="AG3400" s="180"/>
      <c r="AH3400" s="185">
        <f>IFERROR(__xludf.DUMMYFUNCTION("""COMPUTED_VALUE"""),43263.47794780092)</f>
        <v>43263.47795</v>
      </c>
      <c r="AI3400" s="182"/>
      <c r="AJ3400" s="182"/>
      <c r="AK3400" s="182"/>
      <c r="AL3400" s="182"/>
    </row>
    <row r="3401" ht="20.25" customHeight="1">
      <c r="A3401" s="169" t="str">
        <f>IFERROR(__xludf.DUMMYFUNCTION("""COMPUTED_VALUE"""),"takashi3")</f>
        <v>takashi3</v>
      </c>
      <c r="B3401" s="170" t="str">
        <f>IFERROR(__xludf.DUMMYFUNCTION("""COMPUTED_VALUE"""),"Los Angeles")</f>
        <v>Los Angeles</v>
      </c>
      <c r="C3401" s="170" t="str">
        <f>IFERROR(__xludf.DUMMYFUNCTION("""COMPUTED_VALUE"""),"CA")</f>
        <v>CA</v>
      </c>
      <c r="D3401" s="170" t="str">
        <f>IFERROR(__xludf.DUMMYFUNCTION("""COMPUTED_VALUE"""),"USA")</f>
        <v>USA</v>
      </c>
      <c r="E3401" s="171">
        <f>IFERROR(__xludf.DUMMYFUNCTION("""COMPUTED_VALUE"""),43219.0)</f>
        <v>43219</v>
      </c>
      <c r="F3401" s="172">
        <f>IFERROR(__xludf.DUMMYFUNCTION("""COMPUTED_VALUE"""),43273.0)</f>
        <v>43273</v>
      </c>
      <c r="G3401" s="173"/>
      <c r="H3401" s="174">
        <f>IFERROR(__xludf.DUMMYFUNCTION("""COMPUTED_VALUE"""),34355.0)</f>
        <v>34355</v>
      </c>
      <c r="I3401" s="175"/>
      <c r="J3401" s="172">
        <f>IFERROR(__xludf.DUMMYFUNCTION("""COMPUTED_VALUE"""),43288.0)</f>
        <v>43288</v>
      </c>
      <c r="K3401" s="176">
        <f>IFERROR(__xludf.DUMMYFUNCTION("""COMPUTED_VALUE"""),54.0)</f>
        <v>54</v>
      </c>
      <c r="L3401" s="176">
        <f>IFERROR(__xludf.DUMMYFUNCTION("""COMPUTED_VALUE"""),15.0)</f>
        <v>15</v>
      </c>
      <c r="M3401" s="176">
        <f>IFERROR(__xludf.DUMMYFUNCTION("""COMPUTED_VALUE"""),69.0)</f>
        <v>69</v>
      </c>
      <c r="N3401" s="177" t="str">
        <f>IFERROR(__xludf.DUMMYFUNCTION("""COMPUTED_VALUE"""),"Model 3 LR")</f>
        <v>Model 3 LR</v>
      </c>
      <c r="O3401" s="177" t="str">
        <f>IFERROR(__xludf.DUMMYFUNCTION("""COMPUTED_VALUE"""),"Solid Black")</f>
        <v>Solid Black</v>
      </c>
      <c r="P3401" s="178" t="str">
        <f>IFERROR(__xludf.DUMMYFUNCTION("""COMPUTED_VALUE"""),"18 inch Aero")</f>
        <v>18 inch Aero</v>
      </c>
      <c r="Q3401" s="177" t="str">
        <f>IFERROR(__xludf.DUMMYFUNCTION("""COMPUTED_VALUE"""),"Black seats")</f>
        <v>Black seats</v>
      </c>
      <c r="R3401" s="170" t="str">
        <f>IFERROR(__xludf.DUMMYFUNCTION("""COMPUTED_VALUE"""),"Enhanced Autopilot")</f>
        <v>Enhanced Autopilot</v>
      </c>
      <c r="S3401" s="170"/>
      <c r="T3401" s="179"/>
      <c r="U3401" s="179"/>
      <c r="V3401" s="179"/>
      <c r="W3401" s="180"/>
      <c r="X3401" s="181" t="str">
        <f>IFERROR(__xludf.DUMMYFUNCTION("""COMPUTED_VALUE"""),"Excellent")</f>
        <v>Excellent</v>
      </c>
      <c r="Y3401" s="182" t="str">
        <f>IFERROR(__xludf.DUMMYFUNCTION("""COMPUTED_VALUE"""),"Excellent")</f>
        <v>Excellent</v>
      </c>
      <c r="Z3401" s="182" t="str">
        <f>IFERROR(__xludf.DUMMYFUNCTION("""COMPUTED_VALUE"""),"Excellent")</f>
        <v>Excellent</v>
      </c>
      <c r="AA3401" s="182" t="str">
        <f>IFERROR(__xludf.DUMMYFUNCTION("""COMPUTED_VALUE"""),"Fair")</f>
        <v>Fair</v>
      </c>
      <c r="AB3401" s="182" t="str">
        <f>IFERROR(__xludf.DUMMYFUNCTION("""COMPUTED_VALUE"""),"Fair")</f>
        <v>Fair</v>
      </c>
      <c r="AC3401" s="183">
        <f>IFERROR(__xludf.DUMMYFUNCTION("""COMPUTED_VALUE"""),0.0)</f>
        <v>0</v>
      </c>
      <c r="AD3401" s="183">
        <f>IFERROR(__xludf.DUMMYFUNCTION("""COMPUTED_VALUE"""),0.0)</f>
        <v>0</v>
      </c>
      <c r="AE3401" s="183">
        <f>IFERROR(__xludf.DUMMYFUNCTION("""COMPUTED_VALUE"""),0.0)</f>
        <v>0</v>
      </c>
      <c r="AF3401" s="184"/>
      <c r="AG3401" s="180" t="str">
        <f>IFERROR(__xludf.DUMMYFUNCTION("""COMPUTED_VALUE"""),"Used my friend's reservation so getting the purchase order the day before delivery was nerve wrecking since I needed to sign the loan contract")</f>
        <v>Used my friend's reservation so getting the purchase order the day before delivery was nerve wrecking since I needed to sign the loan contract</v>
      </c>
      <c r="AH3401" s="185">
        <f>IFERROR(__xludf.DUMMYFUNCTION("""COMPUTED_VALUE"""),43293.660278090276)</f>
        <v>43293.66028</v>
      </c>
      <c r="AI3401" s="182"/>
      <c r="AJ3401" s="182"/>
      <c r="AK3401" s="182"/>
      <c r="AL3401" s="182"/>
    </row>
    <row r="3402" ht="20.25" customHeight="1">
      <c r="A3402" s="169" t="str">
        <f>IFERROR(__xludf.DUMMYFUNCTION("""COMPUTED_VALUE"""),"blue42")</f>
        <v>blue42</v>
      </c>
      <c r="B3402" s="170"/>
      <c r="C3402" s="170" t="str">
        <f>IFERROR(__xludf.DUMMYFUNCTION("""COMPUTED_VALUE"""),"MA")</f>
        <v>MA</v>
      </c>
      <c r="D3402" s="170" t="str">
        <f>IFERROR(__xludf.DUMMYFUNCTION("""COMPUTED_VALUE"""),"USA")</f>
        <v>USA</v>
      </c>
      <c r="E3402" s="171">
        <f>IFERROR(__xludf.DUMMYFUNCTION("""COMPUTED_VALUE"""),43218.0)</f>
        <v>43218</v>
      </c>
      <c r="F3402" s="172">
        <f>IFERROR(__xludf.DUMMYFUNCTION("""COMPUTED_VALUE"""),43271.0)</f>
        <v>43271</v>
      </c>
      <c r="G3402" s="173"/>
      <c r="H3402" s="174">
        <f>IFERROR(__xludf.DUMMYFUNCTION("""COMPUTED_VALUE"""),27055.0)</f>
        <v>27055</v>
      </c>
      <c r="I3402" s="175" t="str">
        <f>IFERROR(__xludf.DUMMYFUNCTION("""COMPUTED_VALUE"""),"06/18")</f>
        <v>06/18</v>
      </c>
      <c r="J3402" s="172">
        <f>IFERROR(__xludf.DUMMYFUNCTION("""COMPUTED_VALUE"""),43290.0)</f>
        <v>43290</v>
      </c>
      <c r="K3402" s="176">
        <f>IFERROR(__xludf.DUMMYFUNCTION("""COMPUTED_VALUE"""),53.0)</f>
        <v>53</v>
      </c>
      <c r="L3402" s="176">
        <f>IFERROR(__xludf.DUMMYFUNCTION("""COMPUTED_VALUE"""),19.0)</f>
        <v>19</v>
      </c>
      <c r="M3402" s="176">
        <f>IFERROR(__xludf.DUMMYFUNCTION("""COMPUTED_VALUE"""),72.0)</f>
        <v>72</v>
      </c>
      <c r="N3402" s="177" t="str">
        <f>IFERROR(__xludf.DUMMYFUNCTION("""COMPUTED_VALUE"""),"Model 3 LR")</f>
        <v>Model 3 LR</v>
      </c>
      <c r="O3402" s="177" t="str">
        <f>IFERROR(__xludf.DUMMYFUNCTION("""COMPUTED_VALUE"""),"Deep Blue Metallic")</f>
        <v>Deep Blue Metallic</v>
      </c>
      <c r="P3402" s="178" t="str">
        <f>IFERROR(__xludf.DUMMYFUNCTION("""COMPUTED_VALUE"""),"18 inch Aero")</f>
        <v>18 inch Aero</v>
      </c>
      <c r="Q3402" s="177" t="str">
        <f>IFERROR(__xludf.DUMMYFUNCTION("""COMPUTED_VALUE"""),"Black seats")</f>
        <v>Black seats</v>
      </c>
      <c r="R3402" s="170" t="str">
        <f>IFERROR(__xludf.DUMMYFUNCTION("""COMPUTED_VALUE"""),"Enhanced Autopilot")</f>
        <v>Enhanced Autopilot</v>
      </c>
      <c r="S3402" s="170"/>
      <c r="T3402" s="179"/>
      <c r="U3402" s="179"/>
      <c r="V3402" s="179"/>
      <c r="W3402" s="180"/>
      <c r="X3402" s="181" t="str">
        <f>IFERROR(__xludf.DUMMYFUNCTION("""COMPUTED_VALUE"""),"Excellent")</f>
        <v>Excellent</v>
      </c>
      <c r="Y3402" s="182" t="str">
        <f>IFERROR(__xludf.DUMMYFUNCTION("""COMPUTED_VALUE"""),"Excellent")</f>
        <v>Excellent</v>
      </c>
      <c r="Z3402" s="182" t="str">
        <f>IFERROR(__xludf.DUMMYFUNCTION("""COMPUTED_VALUE"""),"Excellent")</f>
        <v>Excellent</v>
      </c>
      <c r="AA3402" s="182" t="str">
        <f>IFERROR(__xludf.DUMMYFUNCTION("""COMPUTED_VALUE"""),"Fair")</f>
        <v>Fair</v>
      </c>
      <c r="AB3402" s="182" t="str">
        <f>IFERROR(__xludf.DUMMYFUNCTION("""COMPUTED_VALUE"""),"Good")</f>
        <v>Good</v>
      </c>
      <c r="AC3402" s="183"/>
      <c r="AD3402" s="183"/>
      <c r="AE3402" s="183"/>
      <c r="AF3402" s="184"/>
      <c r="AG3402" s="180"/>
      <c r="AH3402" s="185">
        <f>IFERROR(__xludf.DUMMYFUNCTION("""COMPUTED_VALUE"""),43293.78100928241)</f>
        <v>43293.78101</v>
      </c>
      <c r="AI3402" s="182"/>
      <c r="AJ3402" s="182"/>
      <c r="AK3402" s="182"/>
      <c r="AL3402" s="182"/>
    </row>
    <row r="3403" ht="20.25" customHeight="1">
      <c r="A3403" s="169" t="str">
        <f>IFERROR(__xludf.DUMMYFUNCTION("""COMPUTED_VALUE"""),"chazel")</f>
        <v>chazel</v>
      </c>
      <c r="B3403" s="170" t="str">
        <f>IFERROR(__xludf.DUMMYFUNCTION("""COMPUTED_VALUE"""),"Petaluma")</f>
        <v>Petaluma</v>
      </c>
      <c r="C3403" s="170" t="str">
        <f>IFERROR(__xludf.DUMMYFUNCTION("""COMPUTED_VALUE"""),"CA")</f>
        <v>CA</v>
      </c>
      <c r="D3403" s="170" t="str">
        <f>IFERROR(__xludf.DUMMYFUNCTION("""COMPUTED_VALUE"""),"USA")</f>
        <v>USA</v>
      </c>
      <c r="E3403" s="171">
        <f>IFERROR(__xludf.DUMMYFUNCTION("""COMPUTED_VALUE"""),43218.0)</f>
        <v>43218</v>
      </c>
      <c r="F3403" s="172">
        <f>IFERROR(__xludf.DUMMYFUNCTION("""COMPUTED_VALUE"""),43293.0)</f>
        <v>43293</v>
      </c>
      <c r="G3403" s="173"/>
      <c r="H3403" s="174">
        <f>IFERROR(__xludf.DUMMYFUNCTION("""COMPUTED_VALUE"""),48828.0)</f>
        <v>48828</v>
      </c>
      <c r="I3403" s="175" t="str">
        <f>IFERROR(__xludf.DUMMYFUNCTION("""COMPUTED_VALUE"""),"07/18")</f>
        <v>07/18</v>
      </c>
      <c r="J3403" s="172">
        <f>IFERROR(__xludf.DUMMYFUNCTION("""COMPUTED_VALUE"""),43305.0)</f>
        <v>43305</v>
      </c>
      <c r="K3403" s="176">
        <f>IFERROR(__xludf.DUMMYFUNCTION("""COMPUTED_VALUE"""),75.0)</f>
        <v>75</v>
      </c>
      <c r="L3403" s="176">
        <f>IFERROR(__xludf.DUMMYFUNCTION("""COMPUTED_VALUE"""),12.0)</f>
        <v>12</v>
      </c>
      <c r="M3403" s="176">
        <f>IFERROR(__xludf.DUMMYFUNCTION("""COMPUTED_VALUE"""),87.0)</f>
        <v>87</v>
      </c>
      <c r="N3403" s="177" t="str">
        <f>IFERROR(__xludf.DUMMYFUNCTION("""COMPUTED_VALUE"""),"Model 3 LR")</f>
        <v>Model 3 LR</v>
      </c>
      <c r="O3403" s="177" t="str">
        <f>IFERROR(__xludf.DUMMYFUNCTION("""COMPUTED_VALUE"""),"Red Multi-Coat")</f>
        <v>Red Multi-Coat</v>
      </c>
      <c r="P3403" s="178" t="str">
        <f>IFERROR(__xludf.DUMMYFUNCTION("""COMPUTED_VALUE"""),"19 inch Sport")</f>
        <v>19 inch Sport</v>
      </c>
      <c r="Q3403" s="177" t="str">
        <f>IFERROR(__xludf.DUMMYFUNCTION("""COMPUTED_VALUE"""),"Black seats")</f>
        <v>Black seats</v>
      </c>
      <c r="R3403" s="170" t="str">
        <f>IFERROR(__xludf.DUMMYFUNCTION("""COMPUTED_VALUE"""),"Enhanced Autopilot")</f>
        <v>Enhanced Autopilot</v>
      </c>
      <c r="S3403" s="170"/>
      <c r="T3403" s="179"/>
      <c r="U3403" s="179"/>
      <c r="V3403" s="179"/>
      <c r="W3403" s="180"/>
      <c r="X3403" s="181" t="str">
        <f>IFERROR(__xludf.DUMMYFUNCTION("""COMPUTED_VALUE"""),"Very Good")</f>
        <v>Very Good</v>
      </c>
      <c r="Y3403" s="182" t="str">
        <f>IFERROR(__xludf.DUMMYFUNCTION("""COMPUTED_VALUE"""),"Excellent")</f>
        <v>Excellent</v>
      </c>
      <c r="Z3403" s="182" t="str">
        <f>IFERROR(__xludf.DUMMYFUNCTION("""COMPUTED_VALUE"""),"Very Good")</f>
        <v>Very Good</v>
      </c>
      <c r="AA3403" s="182" t="str">
        <f>IFERROR(__xludf.DUMMYFUNCTION("""COMPUTED_VALUE"""),"Fair")</f>
        <v>Fair</v>
      </c>
      <c r="AB3403" s="182" t="str">
        <f>IFERROR(__xludf.DUMMYFUNCTION("""COMPUTED_VALUE"""),"Good")</f>
        <v>Good</v>
      </c>
      <c r="AC3403" s="183"/>
      <c r="AD3403" s="183"/>
      <c r="AE3403" s="183"/>
      <c r="AF3403" s="184"/>
      <c r="AG3403" s="180" t="str">
        <f>IFERROR(__xludf.DUMMYFUNCTION("""COMPUTED_VALUE"""),"Tesla tried to potpone my delivery date less than 48 hours prior to delivery due to a ""paperwork delay"" but I pushed back and still got car on promised delivery date.")</f>
        <v>Tesla tried to potpone my delivery date less than 48 hours prior to delivery due to a "paperwork delay" but I pushed back and still got car on promised delivery date.</v>
      </c>
      <c r="AH3403" s="185">
        <f>IFERROR(__xludf.DUMMYFUNCTION("""COMPUTED_VALUE"""),43306.46525978009)</f>
        <v>43306.46526</v>
      </c>
      <c r="AI3403" s="182"/>
      <c r="AJ3403" s="182"/>
      <c r="AK3403" s="182"/>
      <c r="AL3403" s="182"/>
    </row>
    <row r="3404" ht="20.25" customHeight="1">
      <c r="A3404" s="169" t="str">
        <f>IFERROR(__xludf.DUMMYFUNCTION("""COMPUTED_VALUE"""),"jvc26")</f>
        <v>jvc26</v>
      </c>
      <c r="B3404" s="170" t="str">
        <f>IFERROR(__xludf.DUMMYFUNCTION("""COMPUTED_VALUE"""),"Newark")</f>
        <v>Newark</v>
      </c>
      <c r="C3404" s="170" t="str">
        <f>IFERROR(__xludf.DUMMYFUNCTION("""COMPUTED_VALUE"""),"DE")</f>
        <v>DE</v>
      </c>
      <c r="D3404" s="170" t="str">
        <f>IFERROR(__xludf.DUMMYFUNCTION("""COMPUTED_VALUE"""),"USA")</f>
        <v>USA</v>
      </c>
      <c r="E3404" s="171">
        <f>IFERROR(__xludf.DUMMYFUNCTION("""COMPUTED_VALUE"""),43218.0)</f>
        <v>43218</v>
      </c>
      <c r="F3404" s="172">
        <f>IFERROR(__xludf.DUMMYFUNCTION("""COMPUTED_VALUE"""),43263.0)</f>
        <v>43263</v>
      </c>
      <c r="G3404" s="173"/>
      <c r="H3404" s="174">
        <f>IFERROR(__xludf.DUMMYFUNCTION("""COMPUTED_VALUE"""),25823.0)</f>
        <v>25823</v>
      </c>
      <c r="I3404" s="175" t="str">
        <f>IFERROR(__xludf.DUMMYFUNCTION("""COMPUTED_VALUE"""),"06/18")</f>
        <v>06/18</v>
      </c>
      <c r="J3404" s="172">
        <f>IFERROR(__xludf.DUMMYFUNCTION("""COMPUTED_VALUE"""),43295.0)</f>
        <v>43295</v>
      </c>
      <c r="K3404" s="176">
        <f>IFERROR(__xludf.DUMMYFUNCTION("""COMPUTED_VALUE"""),45.0)</f>
        <v>45</v>
      </c>
      <c r="L3404" s="176">
        <f>IFERROR(__xludf.DUMMYFUNCTION("""COMPUTED_VALUE"""),32.0)</f>
        <v>32</v>
      </c>
      <c r="M3404" s="176">
        <f>IFERROR(__xludf.DUMMYFUNCTION("""COMPUTED_VALUE"""),77.0)</f>
        <v>77</v>
      </c>
      <c r="N3404" s="177" t="str">
        <f>IFERROR(__xludf.DUMMYFUNCTION("""COMPUTED_VALUE"""),"Model 3 LR")</f>
        <v>Model 3 LR</v>
      </c>
      <c r="O3404" s="177" t="str">
        <f>IFERROR(__xludf.DUMMYFUNCTION("""COMPUTED_VALUE"""),"Midnight Silver Metallic")</f>
        <v>Midnight Silver Metallic</v>
      </c>
      <c r="P3404" s="178" t="str">
        <f>IFERROR(__xludf.DUMMYFUNCTION("""COMPUTED_VALUE"""),"18 inch Aero")</f>
        <v>18 inch Aero</v>
      </c>
      <c r="Q3404" s="177" t="str">
        <f>IFERROR(__xludf.DUMMYFUNCTION("""COMPUTED_VALUE"""),"Black seats")</f>
        <v>Black seats</v>
      </c>
      <c r="R3404" s="170" t="str">
        <f>IFERROR(__xludf.DUMMYFUNCTION("""COMPUTED_VALUE"""),"Enhanced Autopilot")</f>
        <v>Enhanced Autopilot</v>
      </c>
      <c r="S3404" s="170"/>
      <c r="T3404" s="179"/>
      <c r="U3404" s="179"/>
      <c r="V3404" s="179"/>
      <c r="W3404" s="180"/>
      <c r="X3404" s="181" t="str">
        <f>IFERROR(__xludf.DUMMYFUNCTION("""COMPUTED_VALUE"""),"Excellent")</f>
        <v>Excellent</v>
      </c>
      <c r="Y3404" s="182" t="str">
        <f>IFERROR(__xludf.DUMMYFUNCTION("""COMPUTED_VALUE"""),"Excellent")</f>
        <v>Excellent</v>
      </c>
      <c r="Z3404" s="182" t="str">
        <f>IFERROR(__xludf.DUMMYFUNCTION("""COMPUTED_VALUE"""),"Excellent")</f>
        <v>Excellent</v>
      </c>
      <c r="AA3404" s="182" t="str">
        <f>IFERROR(__xludf.DUMMYFUNCTION("""COMPUTED_VALUE"""),"Excellent")</f>
        <v>Excellent</v>
      </c>
      <c r="AB3404" s="182" t="str">
        <f>IFERROR(__xludf.DUMMYFUNCTION("""COMPUTED_VALUE"""),"Excellent")</f>
        <v>Excellent</v>
      </c>
      <c r="AC3404" s="183"/>
      <c r="AD3404" s="183"/>
      <c r="AE3404" s="183"/>
      <c r="AF3404" s="184"/>
      <c r="AG3404" s="180"/>
      <c r="AH3404" s="185">
        <f>IFERROR(__xludf.DUMMYFUNCTION("""COMPUTED_VALUE"""),43296.4722281713)</f>
        <v>43296.47223</v>
      </c>
      <c r="AI3404" s="182"/>
      <c r="AJ3404" s="182"/>
      <c r="AK3404" s="182"/>
      <c r="AL3404" s="182"/>
    </row>
    <row r="3405" ht="20.25" customHeight="1">
      <c r="A3405" s="169" t="str">
        <f>IFERROR(__xludf.DUMMYFUNCTION("""COMPUTED_VALUE"""),"azul1234")</f>
        <v>azul1234</v>
      </c>
      <c r="B3405" s="170" t="str">
        <f>IFERROR(__xludf.DUMMYFUNCTION("""COMPUTED_VALUE"""),"Sacramento")</f>
        <v>Sacramento</v>
      </c>
      <c r="C3405" s="170" t="str">
        <f>IFERROR(__xludf.DUMMYFUNCTION("""COMPUTED_VALUE"""),"CA")</f>
        <v>CA</v>
      </c>
      <c r="D3405" s="170" t="str">
        <f>IFERROR(__xludf.DUMMYFUNCTION("""COMPUTED_VALUE"""),"USA")</f>
        <v>USA</v>
      </c>
      <c r="E3405" s="171">
        <f>IFERROR(__xludf.DUMMYFUNCTION("""COMPUTED_VALUE"""),43217.0)</f>
        <v>43217</v>
      </c>
      <c r="F3405" s="172">
        <f>IFERROR(__xludf.DUMMYFUNCTION("""COMPUTED_VALUE"""),43276.0)</f>
        <v>43276</v>
      </c>
      <c r="G3405" s="173"/>
      <c r="H3405" s="174">
        <f>IFERROR(__xludf.DUMMYFUNCTION("""COMPUTED_VALUE"""),38555.0)</f>
        <v>38555</v>
      </c>
      <c r="I3405" s="175" t="str">
        <f>IFERROR(__xludf.DUMMYFUNCTION("""COMPUTED_VALUE"""),"06/18")</f>
        <v>06/18</v>
      </c>
      <c r="J3405" s="172">
        <f>IFERROR(__xludf.DUMMYFUNCTION("""COMPUTED_VALUE"""),43280.0)</f>
        <v>43280</v>
      </c>
      <c r="K3405" s="176">
        <f>IFERROR(__xludf.DUMMYFUNCTION("""COMPUTED_VALUE"""),59.0)</f>
        <v>59</v>
      </c>
      <c r="L3405" s="176">
        <f>IFERROR(__xludf.DUMMYFUNCTION("""COMPUTED_VALUE"""),4.0)</f>
        <v>4</v>
      </c>
      <c r="M3405" s="176">
        <f>IFERROR(__xludf.DUMMYFUNCTION("""COMPUTED_VALUE"""),63.0)</f>
        <v>63</v>
      </c>
      <c r="N3405" s="177" t="str">
        <f>IFERROR(__xludf.DUMMYFUNCTION("""COMPUTED_VALUE"""),"Model 3 LR")</f>
        <v>Model 3 LR</v>
      </c>
      <c r="O3405" s="177" t="str">
        <f>IFERROR(__xludf.DUMMYFUNCTION("""COMPUTED_VALUE"""),"Deep Blue Metallic")</f>
        <v>Deep Blue Metallic</v>
      </c>
      <c r="P3405" s="178" t="str">
        <f>IFERROR(__xludf.DUMMYFUNCTION("""COMPUTED_VALUE"""),"19 inch Sport")</f>
        <v>19 inch Sport</v>
      </c>
      <c r="Q3405" s="177" t="str">
        <f>IFERROR(__xludf.DUMMYFUNCTION("""COMPUTED_VALUE"""),"Black seats")</f>
        <v>Black seats</v>
      </c>
      <c r="R3405" s="170" t="str">
        <f>IFERROR(__xludf.DUMMYFUNCTION("""COMPUTED_VALUE"""),"Enhanced Autopilot")</f>
        <v>Enhanced Autopilot</v>
      </c>
      <c r="S3405" s="170"/>
      <c r="T3405" s="179"/>
      <c r="U3405" s="179"/>
      <c r="V3405" s="179"/>
      <c r="W3405" s="180"/>
      <c r="X3405" s="181" t="str">
        <f>IFERROR(__xludf.DUMMYFUNCTION("""COMPUTED_VALUE"""),"Excellent")</f>
        <v>Excellent</v>
      </c>
      <c r="Y3405" s="182" t="str">
        <f>IFERROR(__xludf.DUMMYFUNCTION("""COMPUTED_VALUE"""),"Excellent")</f>
        <v>Excellent</v>
      </c>
      <c r="Z3405" s="182" t="str">
        <f>IFERROR(__xludf.DUMMYFUNCTION("""COMPUTED_VALUE"""),"Very Good")</f>
        <v>Very Good</v>
      </c>
      <c r="AA3405" s="182" t="str">
        <f>IFERROR(__xludf.DUMMYFUNCTION("""COMPUTED_VALUE"""),"Very Good")</f>
        <v>Very Good</v>
      </c>
      <c r="AB3405" s="182" t="str">
        <f>IFERROR(__xludf.DUMMYFUNCTION("""COMPUTED_VALUE"""),"Very Good")</f>
        <v>Very Good</v>
      </c>
      <c r="AC3405" s="183"/>
      <c r="AD3405" s="183"/>
      <c r="AE3405" s="183"/>
      <c r="AF3405" s="184"/>
      <c r="AG3405" s="180"/>
      <c r="AH3405" s="185">
        <f>IFERROR(__xludf.DUMMYFUNCTION("""COMPUTED_VALUE"""),43282.907766481476)</f>
        <v>43282.90777</v>
      </c>
      <c r="AI3405" s="182"/>
      <c r="AJ3405" s="182"/>
      <c r="AK3405" s="182"/>
      <c r="AL3405" s="182"/>
    </row>
    <row r="3406" ht="20.25" customHeight="1">
      <c r="A3406" s="169" t="str">
        <f>IFERROR(__xludf.DUMMYFUNCTION("""COMPUTED_VALUE"""),"incogzeto")</f>
        <v>incogzeto</v>
      </c>
      <c r="B3406" s="170" t="str">
        <f>IFERROR(__xludf.DUMMYFUNCTION("""COMPUTED_VALUE"""),"Toronto")</f>
        <v>Toronto</v>
      </c>
      <c r="C3406" s="170" t="str">
        <f>IFERROR(__xludf.DUMMYFUNCTION("""COMPUTED_VALUE"""),"ON")</f>
        <v>ON</v>
      </c>
      <c r="D3406" s="170" t="str">
        <f>IFERROR(__xludf.DUMMYFUNCTION("""COMPUTED_VALUE"""),"Canada")</f>
        <v>Canada</v>
      </c>
      <c r="E3406" s="171">
        <f>IFERROR(__xludf.DUMMYFUNCTION("""COMPUTED_VALUE"""),43217.0)</f>
        <v>43217</v>
      </c>
      <c r="F3406" s="172">
        <f>IFERROR(__xludf.DUMMYFUNCTION("""COMPUTED_VALUE"""),43225.0)</f>
        <v>43225</v>
      </c>
      <c r="G3406" s="173"/>
      <c r="H3406" s="174">
        <f>IFERROR(__xludf.DUMMYFUNCTION("""COMPUTED_VALUE"""),27455.0)</f>
        <v>27455</v>
      </c>
      <c r="I3406" s="175"/>
      <c r="J3406" s="172">
        <f>IFERROR(__xludf.DUMMYFUNCTION("""COMPUTED_VALUE"""),43251.0)</f>
        <v>43251</v>
      </c>
      <c r="K3406" s="176">
        <f>IFERROR(__xludf.DUMMYFUNCTION("""COMPUTED_VALUE"""),8.0)</f>
        <v>8</v>
      </c>
      <c r="L3406" s="176">
        <f>IFERROR(__xludf.DUMMYFUNCTION("""COMPUTED_VALUE"""),26.0)</f>
        <v>26</v>
      </c>
      <c r="M3406" s="176">
        <f>IFERROR(__xludf.DUMMYFUNCTION("""COMPUTED_VALUE"""),34.0)</f>
        <v>34</v>
      </c>
      <c r="N3406" s="177" t="str">
        <f>IFERROR(__xludf.DUMMYFUNCTION("""COMPUTED_VALUE"""),"Model 3 LR")</f>
        <v>Model 3 LR</v>
      </c>
      <c r="O3406" s="177" t="str">
        <f>IFERROR(__xludf.DUMMYFUNCTION("""COMPUTED_VALUE"""),"Solid Black")</f>
        <v>Solid Black</v>
      </c>
      <c r="P3406" s="178" t="str">
        <f>IFERROR(__xludf.DUMMYFUNCTION("""COMPUTED_VALUE"""),"18 inch Aero")</f>
        <v>18 inch Aero</v>
      </c>
      <c r="Q3406" s="177" t="str">
        <f>IFERROR(__xludf.DUMMYFUNCTION("""COMPUTED_VALUE"""),"Black seats")</f>
        <v>Black seats</v>
      </c>
      <c r="R3406" s="170" t="str">
        <f>IFERROR(__xludf.DUMMYFUNCTION("""COMPUTED_VALUE"""),"Enhanced Autopilot")</f>
        <v>Enhanced Autopilot</v>
      </c>
      <c r="S3406" s="170"/>
      <c r="T3406" s="179"/>
      <c r="U3406" s="179"/>
      <c r="V3406" s="179"/>
      <c r="W3406" s="180"/>
      <c r="X3406" s="181" t="str">
        <f>IFERROR(__xludf.DUMMYFUNCTION("""COMPUTED_VALUE"""),"Very Good")</f>
        <v>Very Good</v>
      </c>
      <c r="Y3406" s="182" t="str">
        <f>IFERROR(__xludf.DUMMYFUNCTION("""COMPUTED_VALUE"""),"Very Good")</f>
        <v>Very Good</v>
      </c>
      <c r="Z3406" s="182" t="str">
        <f>IFERROR(__xludf.DUMMYFUNCTION("""COMPUTED_VALUE"""),"Very Good")</f>
        <v>Very Good</v>
      </c>
      <c r="AA3406" s="182" t="str">
        <f>IFERROR(__xludf.DUMMYFUNCTION("""COMPUTED_VALUE"""),"Fair")</f>
        <v>Fair</v>
      </c>
      <c r="AB3406" s="182" t="str">
        <f>IFERROR(__xludf.DUMMYFUNCTION("""COMPUTED_VALUE"""),"Fair")</f>
        <v>Fair</v>
      </c>
      <c r="AC3406" s="183"/>
      <c r="AD3406" s="183"/>
      <c r="AE3406" s="183"/>
      <c r="AF3406" s="184"/>
      <c r="AG3406" s="180"/>
      <c r="AH3406" s="185">
        <f>IFERROR(__xludf.DUMMYFUNCTION("""COMPUTED_VALUE"""),43258.304171759264)</f>
        <v>43258.30417</v>
      </c>
      <c r="AI3406" s="182"/>
      <c r="AJ3406" s="182"/>
      <c r="AK3406" s="182"/>
      <c r="AL3406" s="182"/>
    </row>
    <row r="3407" ht="20.25" customHeight="1">
      <c r="A3407" s="169" t="str">
        <f>IFERROR(__xludf.DUMMYFUNCTION("""COMPUTED_VALUE"""),"simonm")</f>
        <v>simonm</v>
      </c>
      <c r="B3407" s="170" t="str">
        <f>IFERROR(__xludf.DUMMYFUNCTION("""COMPUTED_VALUE"""),"Toronto")</f>
        <v>Toronto</v>
      </c>
      <c r="C3407" s="170" t="str">
        <f>IFERROR(__xludf.DUMMYFUNCTION("""COMPUTED_VALUE"""),"ON")</f>
        <v>ON</v>
      </c>
      <c r="D3407" s="170" t="str">
        <f>IFERROR(__xludf.DUMMYFUNCTION("""COMPUTED_VALUE"""),"Canada")</f>
        <v>Canada</v>
      </c>
      <c r="E3407" s="171">
        <f>IFERROR(__xludf.DUMMYFUNCTION("""COMPUTED_VALUE"""),43217.0)</f>
        <v>43217</v>
      </c>
      <c r="F3407" s="172">
        <f>IFERROR(__xludf.DUMMYFUNCTION("""COMPUTED_VALUE"""),43235.0)</f>
        <v>43235</v>
      </c>
      <c r="G3407" s="173"/>
      <c r="H3407" s="174">
        <f>IFERROR(__xludf.DUMMYFUNCTION("""COMPUTED_VALUE"""),30115.0)</f>
        <v>30115</v>
      </c>
      <c r="I3407" s="175"/>
      <c r="J3407" s="172">
        <f>IFERROR(__xludf.DUMMYFUNCTION("""COMPUTED_VALUE"""),43260.0)</f>
        <v>43260</v>
      </c>
      <c r="K3407" s="176">
        <f>IFERROR(__xludf.DUMMYFUNCTION("""COMPUTED_VALUE"""),18.0)</f>
        <v>18</v>
      </c>
      <c r="L3407" s="176">
        <f>IFERROR(__xludf.DUMMYFUNCTION("""COMPUTED_VALUE"""),25.0)</f>
        <v>25</v>
      </c>
      <c r="M3407" s="176">
        <f>IFERROR(__xludf.DUMMYFUNCTION("""COMPUTED_VALUE"""),43.0)</f>
        <v>43</v>
      </c>
      <c r="N3407" s="177" t="str">
        <f>IFERROR(__xludf.DUMMYFUNCTION("""COMPUTED_VALUE"""),"Model 3 LR")</f>
        <v>Model 3 LR</v>
      </c>
      <c r="O3407" s="177" t="str">
        <f>IFERROR(__xludf.DUMMYFUNCTION("""COMPUTED_VALUE"""),"Deep Blue Metallic")</f>
        <v>Deep Blue Metallic</v>
      </c>
      <c r="P3407" s="178" t="str">
        <f>IFERROR(__xludf.DUMMYFUNCTION("""COMPUTED_VALUE"""),"19 inch Sport")</f>
        <v>19 inch Sport</v>
      </c>
      <c r="Q3407" s="177" t="str">
        <f>IFERROR(__xludf.DUMMYFUNCTION("""COMPUTED_VALUE"""),"Black seats")</f>
        <v>Black seats</v>
      </c>
      <c r="R3407" s="170" t="str">
        <f>IFERROR(__xludf.DUMMYFUNCTION("""COMPUTED_VALUE"""),"Enhanced Autopilot")</f>
        <v>Enhanced Autopilot</v>
      </c>
      <c r="S3407" s="170"/>
      <c r="T3407" s="179"/>
      <c r="U3407" s="179"/>
      <c r="V3407" s="179"/>
      <c r="W3407" s="180"/>
      <c r="X3407" s="181" t="str">
        <f>IFERROR(__xludf.DUMMYFUNCTION("""COMPUTED_VALUE"""),"Excellent")</f>
        <v>Excellent</v>
      </c>
      <c r="Y3407" s="182" t="str">
        <f>IFERROR(__xludf.DUMMYFUNCTION("""COMPUTED_VALUE"""),"Excellent")</f>
        <v>Excellent</v>
      </c>
      <c r="Z3407" s="182" t="str">
        <f>IFERROR(__xludf.DUMMYFUNCTION("""COMPUTED_VALUE"""),"Very Good")</f>
        <v>Very Good</v>
      </c>
      <c r="AA3407" s="182" t="str">
        <f>IFERROR(__xludf.DUMMYFUNCTION("""COMPUTED_VALUE"""),"Fair")</f>
        <v>Fair</v>
      </c>
      <c r="AB3407" s="182" t="str">
        <f>IFERROR(__xludf.DUMMYFUNCTION("""COMPUTED_VALUE"""),"Very Good")</f>
        <v>Very Good</v>
      </c>
      <c r="AC3407" s="183"/>
      <c r="AD3407" s="183"/>
      <c r="AE3407" s="183"/>
      <c r="AF3407" s="184"/>
      <c r="AG3407" s="180"/>
      <c r="AH3407" s="185">
        <f>IFERROR(__xludf.DUMMYFUNCTION("""COMPUTED_VALUE"""),43262.33861085648)</f>
        <v>43262.33861</v>
      </c>
      <c r="AI3407" s="182"/>
      <c r="AJ3407" s="182"/>
      <c r="AK3407" s="182"/>
      <c r="AL3407" s="182"/>
    </row>
    <row r="3408" ht="20.25" customHeight="1">
      <c r="A3408" s="169" t="str">
        <f>IFERROR(__xludf.DUMMYFUNCTION("""COMPUTED_VALUE"""),"wapinupu")</f>
        <v>wapinupu</v>
      </c>
      <c r="B3408" s="170" t="str">
        <f>IFERROR(__xludf.DUMMYFUNCTION("""COMPUTED_VALUE"""),"Windsor")</f>
        <v>Windsor</v>
      </c>
      <c r="C3408" s="170" t="str">
        <f>IFERROR(__xludf.DUMMYFUNCTION("""COMPUTED_VALUE"""),"ON")</f>
        <v>ON</v>
      </c>
      <c r="D3408" s="170" t="str">
        <f>IFERROR(__xludf.DUMMYFUNCTION("""COMPUTED_VALUE"""),"Canada")</f>
        <v>Canada</v>
      </c>
      <c r="E3408" s="171">
        <f>IFERROR(__xludf.DUMMYFUNCTION("""COMPUTED_VALUE"""),43217.0)</f>
        <v>43217</v>
      </c>
      <c r="F3408" s="172">
        <f>IFERROR(__xludf.DUMMYFUNCTION("""COMPUTED_VALUE"""),43231.0)</f>
        <v>43231</v>
      </c>
      <c r="G3408" s="173"/>
      <c r="H3408" s="174">
        <f>IFERROR(__xludf.DUMMYFUNCTION("""COMPUTED_VALUE"""),26875.0)</f>
        <v>26875</v>
      </c>
      <c r="I3408" s="175"/>
      <c r="J3408" s="172">
        <f>IFERROR(__xludf.DUMMYFUNCTION("""COMPUTED_VALUE"""),43250.0)</f>
        <v>43250</v>
      </c>
      <c r="K3408" s="176">
        <f>IFERROR(__xludf.DUMMYFUNCTION("""COMPUTED_VALUE"""),14.0)</f>
        <v>14</v>
      </c>
      <c r="L3408" s="176">
        <f>IFERROR(__xludf.DUMMYFUNCTION("""COMPUTED_VALUE"""),19.0)</f>
        <v>19</v>
      </c>
      <c r="M3408" s="176">
        <f>IFERROR(__xludf.DUMMYFUNCTION("""COMPUTED_VALUE"""),33.0)</f>
        <v>33</v>
      </c>
      <c r="N3408" s="177" t="str">
        <f>IFERROR(__xludf.DUMMYFUNCTION("""COMPUTED_VALUE"""),"Model 3 LR")</f>
        <v>Model 3 LR</v>
      </c>
      <c r="O3408" s="177" t="str">
        <f>IFERROR(__xludf.DUMMYFUNCTION("""COMPUTED_VALUE"""),"Silver Metallic")</f>
        <v>Silver Metallic</v>
      </c>
      <c r="P3408" s="178" t="str">
        <f>IFERROR(__xludf.DUMMYFUNCTION("""COMPUTED_VALUE"""),"18 inch Aero")</f>
        <v>18 inch Aero</v>
      </c>
      <c r="Q3408" s="177" t="str">
        <f>IFERROR(__xludf.DUMMYFUNCTION("""COMPUTED_VALUE"""),"Black seats")</f>
        <v>Black seats</v>
      </c>
      <c r="R3408" s="170" t="str">
        <f>IFERROR(__xludf.DUMMYFUNCTION("""COMPUTED_VALUE"""),"Enhanced Autopilot")</f>
        <v>Enhanced Autopilot</v>
      </c>
      <c r="S3408" s="170"/>
      <c r="T3408" s="179"/>
      <c r="U3408" s="179"/>
      <c r="V3408" s="179"/>
      <c r="W3408" s="180"/>
      <c r="X3408" s="181" t="str">
        <f>IFERROR(__xludf.DUMMYFUNCTION("""COMPUTED_VALUE"""),"Excellent")</f>
        <v>Excellent</v>
      </c>
      <c r="Y3408" s="182" t="str">
        <f>IFERROR(__xludf.DUMMYFUNCTION("""COMPUTED_VALUE"""),"Excellent")</f>
        <v>Excellent</v>
      </c>
      <c r="Z3408" s="182" t="str">
        <f>IFERROR(__xludf.DUMMYFUNCTION("""COMPUTED_VALUE"""),"Excellent")</f>
        <v>Excellent</v>
      </c>
      <c r="AA3408" s="182" t="str">
        <f>IFERROR(__xludf.DUMMYFUNCTION("""COMPUTED_VALUE"""),"Excellent")</f>
        <v>Excellent</v>
      </c>
      <c r="AB3408" s="182" t="str">
        <f>IFERROR(__xludf.DUMMYFUNCTION("""COMPUTED_VALUE"""),"Good")</f>
        <v>Good</v>
      </c>
      <c r="AC3408" s="183"/>
      <c r="AD3408" s="183"/>
      <c r="AE3408" s="183"/>
      <c r="AF3408" s="184"/>
      <c r="AG3408" s="180"/>
      <c r="AH3408" s="185">
        <f>IFERROR(__xludf.DUMMYFUNCTION("""COMPUTED_VALUE"""),43252.52284650463)</f>
        <v>43252.52285</v>
      </c>
      <c r="AI3408" s="182"/>
      <c r="AJ3408" s="182"/>
      <c r="AK3408" s="182"/>
      <c r="AL3408" s="182"/>
    </row>
    <row r="3409" ht="20.25" customHeight="1">
      <c r="A3409" s="169" t="str">
        <f>IFERROR(__xludf.DUMMYFUNCTION("""COMPUTED_VALUE"""),"Yy")</f>
        <v>Yy</v>
      </c>
      <c r="B3409" s="170" t="str">
        <f>IFERROR(__xludf.DUMMYFUNCTION("""COMPUTED_VALUE"""),"North Vancouver")</f>
        <v>North Vancouver</v>
      </c>
      <c r="C3409" s="170" t="str">
        <f>IFERROR(__xludf.DUMMYFUNCTION("""COMPUTED_VALUE"""),"BC")</f>
        <v>BC</v>
      </c>
      <c r="D3409" s="170" t="str">
        <f>IFERROR(__xludf.DUMMYFUNCTION("""COMPUTED_VALUE"""),"Canada")</f>
        <v>Canada</v>
      </c>
      <c r="E3409" s="171">
        <f>IFERROR(__xludf.DUMMYFUNCTION("""COMPUTED_VALUE"""),43217.0)</f>
        <v>43217</v>
      </c>
      <c r="F3409" s="172">
        <f>IFERROR(__xludf.DUMMYFUNCTION("""COMPUTED_VALUE"""),43252.0)</f>
        <v>43252</v>
      </c>
      <c r="G3409" s="173"/>
      <c r="H3409" s="174">
        <f>IFERROR(__xludf.DUMMYFUNCTION("""COMPUTED_VALUE"""),30055.0)</f>
        <v>30055</v>
      </c>
      <c r="I3409" s="175"/>
      <c r="J3409" s="172">
        <f>IFERROR(__xludf.DUMMYFUNCTION("""COMPUTED_VALUE"""),43257.0)</f>
        <v>43257</v>
      </c>
      <c r="K3409" s="176">
        <f>IFERROR(__xludf.DUMMYFUNCTION("""COMPUTED_VALUE"""),35.0)</f>
        <v>35</v>
      </c>
      <c r="L3409" s="176">
        <f>IFERROR(__xludf.DUMMYFUNCTION("""COMPUTED_VALUE"""),5.0)</f>
        <v>5</v>
      </c>
      <c r="M3409" s="176">
        <f>IFERROR(__xludf.DUMMYFUNCTION("""COMPUTED_VALUE"""),40.0)</f>
        <v>40</v>
      </c>
      <c r="N3409" s="177" t="str">
        <f>IFERROR(__xludf.DUMMYFUNCTION("""COMPUTED_VALUE"""),"Model 3 LR")</f>
        <v>Model 3 LR</v>
      </c>
      <c r="O3409" s="177" t="str">
        <f>IFERROR(__xludf.DUMMYFUNCTION("""COMPUTED_VALUE"""),"Red Multi-Coat")</f>
        <v>Red Multi-Coat</v>
      </c>
      <c r="P3409" s="178" t="str">
        <f>IFERROR(__xludf.DUMMYFUNCTION("""COMPUTED_VALUE"""),"19 inch Sport")</f>
        <v>19 inch Sport</v>
      </c>
      <c r="Q3409" s="177" t="str">
        <f>IFERROR(__xludf.DUMMYFUNCTION("""COMPUTED_VALUE"""),"Black seats")</f>
        <v>Black seats</v>
      </c>
      <c r="R3409" s="170" t="str">
        <f>IFERROR(__xludf.DUMMYFUNCTION("""COMPUTED_VALUE"""),"Enhanced Autopilot")</f>
        <v>Enhanced Autopilot</v>
      </c>
      <c r="S3409" s="170"/>
      <c r="T3409" s="179"/>
      <c r="U3409" s="179"/>
      <c r="V3409" s="179"/>
      <c r="W3409" s="180"/>
      <c r="X3409" s="181" t="str">
        <f>IFERROR(__xludf.DUMMYFUNCTION("""COMPUTED_VALUE"""),"Good")</f>
        <v>Good</v>
      </c>
      <c r="Y3409" s="182" t="str">
        <f>IFERROR(__xludf.DUMMYFUNCTION("""COMPUTED_VALUE"""),"Good")</f>
        <v>Good</v>
      </c>
      <c r="Z3409" s="182" t="str">
        <f>IFERROR(__xludf.DUMMYFUNCTION("""COMPUTED_VALUE"""),"Good")</f>
        <v>Good</v>
      </c>
      <c r="AA3409" s="182" t="str">
        <f>IFERROR(__xludf.DUMMYFUNCTION("""COMPUTED_VALUE"""),"Good")</f>
        <v>Good</v>
      </c>
      <c r="AB3409" s="182" t="str">
        <f>IFERROR(__xludf.DUMMYFUNCTION("""COMPUTED_VALUE"""),"Very Good")</f>
        <v>Very Good</v>
      </c>
      <c r="AC3409" s="183"/>
      <c r="AD3409" s="183"/>
      <c r="AE3409" s="183"/>
      <c r="AF3409" s="184"/>
      <c r="AG3409" s="180"/>
      <c r="AH3409" s="185">
        <f>IFERROR(__xludf.DUMMYFUNCTION("""COMPUTED_VALUE"""),43258.04225594907)</f>
        <v>43258.04226</v>
      </c>
      <c r="AI3409" s="182"/>
      <c r="AJ3409" s="182"/>
      <c r="AK3409" s="182"/>
      <c r="AL3409" s="182"/>
    </row>
    <row r="3410" ht="20.25" customHeight="1">
      <c r="A3410" s="169" t="str">
        <f>IFERROR(__xludf.DUMMYFUNCTION("""COMPUTED_VALUE"""),"a_mcg")</f>
        <v>a_mcg</v>
      </c>
      <c r="B3410" s="170" t="str">
        <f>IFERROR(__xludf.DUMMYFUNCTION("""COMPUTED_VALUE"""),"San Carlos")</f>
        <v>San Carlos</v>
      </c>
      <c r="C3410" s="170" t="str">
        <f>IFERROR(__xludf.DUMMYFUNCTION("""COMPUTED_VALUE"""),"CA")</f>
        <v>CA</v>
      </c>
      <c r="D3410" s="170" t="str">
        <f>IFERROR(__xludf.DUMMYFUNCTION("""COMPUTED_VALUE"""),"USA")</f>
        <v>USA</v>
      </c>
      <c r="E3410" s="171">
        <f>IFERROR(__xludf.DUMMYFUNCTION("""COMPUTED_VALUE"""),43216.0)</f>
        <v>43216</v>
      </c>
      <c r="F3410" s="172">
        <f>IFERROR(__xludf.DUMMYFUNCTION("""COMPUTED_VALUE"""),43279.0)</f>
        <v>43279</v>
      </c>
      <c r="G3410" s="173"/>
      <c r="H3410" s="174">
        <f>IFERROR(__xludf.DUMMYFUNCTION("""COMPUTED_VALUE"""),40255.0)</f>
        <v>40255</v>
      </c>
      <c r="I3410" s="175" t="str">
        <f>IFERROR(__xludf.DUMMYFUNCTION("""COMPUTED_VALUE"""),"06/18")</f>
        <v>06/18</v>
      </c>
      <c r="J3410" s="172">
        <f>IFERROR(__xludf.DUMMYFUNCTION("""COMPUTED_VALUE"""),43287.0)</f>
        <v>43287</v>
      </c>
      <c r="K3410" s="176">
        <f>IFERROR(__xludf.DUMMYFUNCTION("""COMPUTED_VALUE"""),63.0)</f>
        <v>63</v>
      </c>
      <c r="L3410" s="176">
        <f>IFERROR(__xludf.DUMMYFUNCTION("""COMPUTED_VALUE"""),8.0)</f>
        <v>8</v>
      </c>
      <c r="M3410" s="176">
        <f>IFERROR(__xludf.DUMMYFUNCTION("""COMPUTED_VALUE"""),71.0)</f>
        <v>71</v>
      </c>
      <c r="N3410" s="177" t="str">
        <f>IFERROR(__xludf.DUMMYFUNCTION("""COMPUTED_VALUE"""),"Model 3 LR")</f>
        <v>Model 3 LR</v>
      </c>
      <c r="O3410" s="177" t="str">
        <f>IFERROR(__xludf.DUMMYFUNCTION("""COMPUTED_VALUE"""),"Deep Blue Metallic")</f>
        <v>Deep Blue Metallic</v>
      </c>
      <c r="P3410" s="178" t="str">
        <f>IFERROR(__xludf.DUMMYFUNCTION("""COMPUTED_VALUE"""),"18 inch Aero")</f>
        <v>18 inch Aero</v>
      </c>
      <c r="Q3410" s="177" t="str">
        <f>IFERROR(__xludf.DUMMYFUNCTION("""COMPUTED_VALUE"""),"Black seats")</f>
        <v>Black seats</v>
      </c>
      <c r="R3410" s="170" t="str">
        <f>IFERROR(__xludf.DUMMYFUNCTION("""COMPUTED_VALUE"""),"Enhanced Autopilot")</f>
        <v>Enhanced Autopilot</v>
      </c>
      <c r="S3410" s="170"/>
      <c r="T3410" s="179"/>
      <c r="U3410" s="179"/>
      <c r="V3410" s="179"/>
      <c r="W3410" s="180"/>
      <c r="X3410" s="181" t="str">
        <f>IFERROR(__xludf.DUMMYFUNCTION("""COMPUTED_VALUE"""),"Excellent")</f>
        <v>Excellent</v>
      </c>
      <c r="Y3410" s="182" t="str">
        <f>IFERROR(__xludf.DUMMYFUNCTION("""COMPUTED_VALUE"""),"Excellent")</f>
        <v>Excellent</v>
      </c>
      <c r="Z3410" s="182" t="str">
        <f>IFERROR(__xludf.DUMMYFUNCTION("""COMPUTED_VALUE"""),"Very Good")</f>
        <v>Very Good</v>
      </c>
      <c r="AA3410" s="182" t="str">
        <f>IFERROR(__xludf.DUMMYFUNCTION("""COMPUTED_VALUE"""),"Very Good")</f>
        <v>Very Good</v>
      </c>
      <c r="AB3410" s="182" t="str">
        <f>IFERROR(__xludf.DUMMYFUNCTION("""COMPUTED_VALUE"""),"Good")</f>
        <v>Good</v>
      </c>
      <c r="AC3410" s="183"/>
      <c r="AD3410" s="183"/>
      <c r="AE3410" s="183"/>
      <c r="AF3410" s="184"/>
      <c r="AG3410" s="180" t="str">
        <f>IFERROR(__xludf.DUMMYFUNCTION("""COMPUTED_VALUE"""),"Delivery experience was rushed, no tutorial, and the car could have been washed/detailed a bit better.")</f>
        <v>Delivery experience was rushed, no tutorial, and the car could have been washed/detailed a bit better.</v>
      </c>
      <c r="AH3410" s="185">
        <f>IFERROR(__xludf.DUMMYFUNCTION("""COMPUTED_VALUE"""),43293.43315736111)</f>
        <v>43293.43316</v>
      </c>
      <c r="AI3410" s="182"/>
      <c r="AJ3410" s="182"/>
      <c r="AK3410" s="182"/>
      <c r="AL3410" s="182"/>
    </row>
    <row r="3411" ht="20.25" customHeight="1">
      <c r="A3411" s="169" t="str">
        <f>IFERROR(__xludf.DUMMYFUNCTION("""COMPUTED_VALUE"""),"Bear")</f>
        <v>Bear</v>
      </c>
      <c r="B3411" s="170" t="str">
        <f>IFERROR(__xludf.DUMMYFUNCTION("""COMPUTED_VALUE"""),"Annapolis")</f>
        <v>Annapolis</v>
      </c>
      <c r="C3411" s="170" t="str">
        <f>IFERROR(__xludf.DUMMYFUNCTION("""COMPUTED_VALUE"""),"MD")</f>
        <v>MD</v>
      </c>
      <c r="D3411" s="170" t="str">
        <f>IFERROR(__xludf.DUMMYFUNCTION("""COMPUTED_VALUE"""),"USA")</f>
        <v>USA</v>
      </c>
      <c r="E3411" s="171">
        <f>IFERROR(__xludf.DUMMYFUNCTION("""COMPUTED_VALUE"""),43216.0)</f>
        <v>43216</v>
      </c>
      <c r="F3411" s="172">
        <f>IFERROR(__xludf.DUMMYFUNCTION("""COMPUTED_VALUE"""),43254.0)</f>
        <v>43254</v>
      </c>
      <c r="G3411" s="173"/>
      <c r="H3411" s="174">
        <f>IFERROR(__xludf.DUMMYFUNCTION("""COMPUTED_VALUE"""),33155.0)</f>
        <v>33155</v>
      </c>
      <c r="I3411" s="175"/>
      <c r="J3411" s="172">
        <f>IFERROR(__xludf.DUMMYFUNCTION("""COMPUTED_VALUE"""),43273.0)</f>
        <v>43273</v>
      </c>
      <c r="K3411" s="176">
        <f>IFERROR(__xludf.DUMMYFUNCTION("""COMPUTED_VALUE"""),38.0)</f>
        <v>38</v>
      </c>
      <c r="L3411" s="176">
        <f>IFERROR(__xludf.DUMMYFUNCTION("""COMPUTED_VALUE"""),19.0)</f>
        <v>19</v>
      </c>
      <c r="M3411" s="176">
        <f>IFERROR(__xludf.DUMMYFUNCTION("""COMPUTED_VALUE"""),57.0)</f>
        <v>57</v>
      </c>
      <c r="N3411" s="177" t="str">
        <f>IFERROR(__xludf.DUMMYFUNCTION("""COMPUTED_VALUE"""),"Model 3 LR")</f>
        <v>Model 3 LR</v>
      </c>
      <c r="O3411" s="177" t="str">
        <f>IFERROR(__xludf.DUMMYFUNCTION("""COMPUTED_VALUE"""),"Solid Black")</f>
        <v>Solid Black</v>
      </c>
      <c r="P3411" s="178" t="str">
        <f>IFERROR(__xludf.DUMMYFUNCTION("""COMPUTED_VALUE"""),"19 inch Sport")</f>
        <v>19 inch Sport</v>
      </c>
      <c r="Q3411" s="177" t="str">
        <f>IFERROR(__xludf.DUMMYFUNCTION("""COMPUTED_VALUE"""),"Black seats")</f>
        <v>Black seats</v>
      </c>
      <c r="R3411" s="170" t="str">
        <f>IFERROR(__xludf.DUMMYFUNCTION("""COMPUTED_VALUE"""),"Enhanced Autopilot")</f>
        <v>Enhanced Autopilot</v>
      </c>
      <c r="S3411" s="170"/>
      <c r="T3411" s="179"/>
      <c r="U3411" s="179"/>
      <c r="V3411" s="179"/>
      <c r="W3411" s="180"/>
      <c r="X3411" s="181" t="str">
        <f>IFERROR(__xludf.DUMMYFUNCTION("""COMPUTED_VALUE"""),"Very Good")</f>
        <v>Very Good</v>
      </c>
      <c r="Y3411" s="182" t="str">
        <f>IFERROR(__xludf.DUMMYFUNCTION("""COMPUTED_VALUE"""),"Very Good")</f>
        <v>Very Good</v>
      </c>
      <c r="Z3411" s="182" t="str">
        <f>IFERROR(__xludf.DUMMYFUNCTION("""COMPUTED_VALUE"""),"Very Good")</f>
        <v>Very Good</v>
      </c>
      <c r="AA3411" s="182" t="str">
        <f>IFERROR(__xludf.DUMMYFUNCTION("""COMPUTED_VALUE"""),"Good")</f>
        <v>Good</v>
      </c>
      <c r="AB3411" s="182" t="str">
        <f>IFERROR(__xludf.DUMMYFUNCTION("""COMPUTED_VALUE"""),"Very Good")</f>
        <v>Very Good</v>
      </c>
      <c r="AC3411" s="183">
        <f>IFERROR(__xludf.DUMMYFUNCTION("""COMPUTED_VALUE"""),3.0)</f>
        <v>3</v>
      </c>
      <c r="AD3411" s="183">
        <f>IFERROR(__xludf.DUMMYFUNCTION("""COMPUTED_VALUE"""),0.0)</f>
        <v>0</v>
      </c>
      <c r="AE3411" s="183">
        <f>IFERROR(__xludf.DUMMYFUNCTION("""COMPUTED_VALUE"""),0.0)</f>
        <v>0</v>
      </c>
      <c r="AF3411" s="184"/>
      <c r="AG3411" s="180"/>
      <c r="AH3411" s="185">
        <f>IFERROR(__xludf.DUMMYFUNCTION("""COMPUTED_VALUE"""),43334.7564875463)</f>
        <v>43334.75649</v>
      </c>
      <c r="AI3411" s="182"/>
      <c r="AJ3411" s="182"/>
      <c r="AK3411" s="182"/>
      <c r="AL3411" s="182"/>
    </row>
    <row r="3412" ht="20.25" customHeight="1">
      <c r="A3412" s="169" t="str">
        <f>IFERROR(__xludf.DUMMYFUNCTION("""COMPUTED_VALUE"""),"gmoses")</f>
        <v>gmoses</v>
      </c>
      <c r="B3412" s="170" t="str">
        <f>IFERROR(__xludf.DUMMYFUNCTION("""COMPUTED_VALUE"""),"Ft. Worth")</f>
        <v>Ft. Worth</v>
      </c>
      <c r="C3412" s="170" t="str">
        <f>IFERROR(__xludf.DUMMYFUNCTION("""COMPUTED_VALUE"""),"TX")</f>
        <v>TX</v>
      </c>
      <c r="D3412" s="170" t="str">
        <f>IFERROR(__xludf.DUMMYFUNCTION("""COMPUTED_VALUE"""),"USA")</f>
        <v>USA</v>
      </c>
      <c r="E3412" s="171">
        <f>IFERROR(__xludf.DUMMYFUNCTION("""COMPUTED_VALUE"""),43216.0)</f>
        <v>43216</v>
      </c>
      <c r="F3412" s="172">
        <f>IFERROR(__xludf.DUMMYFUNCTION("""COMPUTED_VALUE"""),43266.0)</f>
        <v>43266</v>
      </c>
      <c r="G3412" s="173"/>
      <c r="H3412" s="174">
        <f>IFERROR(__xludf.DUMMYFUNCTION("""COMPUTED_VALUE"""),37255.0)</f>
        <v>37255</v>
      </c>
      <c r="I3412" s="175"/>
      <c r="J3412" s="172">
        <f>IFERROR(__xludf.DUMMYFUNCTION("""COMPUTED_VALUE"""),43287.0)</f>
        <v>43287</v>
      </c>
      <c r="K3412" s="176">
        <f>IFERROR(__xludf.DUMMYFUNCTION("""COMPUTED_VALUE"""),50.0)</f>
        <v>50</v>
      </c>
      <c r="L3412" s="176">
        <f>IFERROR(__xludf.DUMMYFUNCTION("""COMPUTED_VALUE"""),21.0)</f>
        <v>21</v>
      </c>
      <c r="M3412" s="176">
        <f>IFERROR(__xludf.DUMMYFUNCTION("""COMPUTED_VALUE"""),71.0)</f>
        <v>71</v>
      </c>
      <c r="N3412" s="177" t="str">
        <f>IFERROR(__xludf.DUMMYFUNCTION("""COMPUTED_VALUE"""),"Model 3 LR")</f>
        <v>Model 3 LR</v>
      </c>
      <c r="O3412" s="177" t="str">
        <f>IFERROR(__xludf.DUMMYFUNCTION("""COMPUTED_VALUE"""),"Silver Metallic")</f>
        <v>Silver Metallic</v>
      </c>
      <c r="P3412" s="178" t="str">
        <f>IFERROR(__xludf.DUMMYFUNCTION("""COMPUTED_VALUE"""),"18 inch Aero")</f>
        <v>18 inch Aero</v>
      </c>
      <c r="Q3412" s="177" t="str">
        <f>IFERROR(__xludf.DUMMYFUNCTION("""COMPUTED_VALUE"""),"Black seats")</f>
        <v>Black seats</v>
      </c>
      <c r="R3412" s="170" t="str">
        <f>IFERROR(__xludf.DUMMYFUNCTION("""COMPUTED_VALUE"""),"Enhanced Autopilot")</f>
        <v>Enhanced Autopilot</v>
      </c>
      <c r="S3412" s="170"/>
      <c r="T3412" s="179"/>
      <c r="U3412" s="179"/>
      <c r="V3412" s="179"/>
      <c r="W3412" s="180"/>
      <c r="X3412" s="181" t="str">
        <f>IFERROR(__xludf.DUMMYFUNCTION("""COMPUTED_VALUE"""),"Excellent")</f>
        <v>Excellent</v>
      </c>
      <c r="Y3412" s="182" t="str">
        <f>IFERROR(__xludf.DUMMYFUNCTION("""COMPUTED_VALUE"""),"Very Good")</f>
        <v>Very Good</v>
      </c>
      <c r="Z3412" s="182" t="str">
        <f>IFERROR(__xludf.DUMMYFUNCTION("""COMPUTED_VALUE"""),"Good")</f>
        <v>Good</v>
      </c>
      <c r="AA3412" s="182" t="str">
        <f>IFERROR(__xludf.DUMMYFUNCTION("""COMPUTED_VALUE"""),"Poor")</f>
        <v>Poor</v>
      </c>
      <c r="AB3412" s="182" t="str">
        <f>IFERROR(__xludf.DUMMYFUNCTION("""COMPUTED_VALUE"""),"Good")</f>
        <v>Good</v>
      </c>
      <c r="AC3412" s="183">
        <f>IFERROR(__xludf.DUMMYFUNCTION("""COMPUTED_VALUE"""),2.0)</f>
        <v>2</v>
      </c>
      <c r="AD3412" s="183"/>
      <c r="AE3412" s="183"/>
      <c r="AF3412" s="184"/>
      <c r="AG3412" s="180" t="str">
        <f>IFERROR(__xludf.DUMMYFUNCTION("""COMPUTED_VALUE"""),"Configured 3/23, then changed color on 4/26")</f>
        <v>Configured 3/23, then changed color on 4/26</v>
      </c>
      <c r="AH3412" s="185">
        <f>IFERROR(__xludf.DUMMYFUNCTION("""COMPUTED_VALUE"""),43296.61376829861)</f>
        <v>43296.61377</v>
      </c>
      <c r="AI3412" s="182"/>
      <c r="AJ3412" s="182"/>
      <c r="AK3412" s="182"/>
      <c r="AL3412" s="182"/>
    </row>
    <row r="3413" ht="20.25" customHeight="1">
      <c r="A3413" s="169" t="str">
        <f>IFERROR(__xludf.DUMMYFUNCTION("""COMPUTED_VALUE"""),"JWR")</f>
        <v>JWR</v>
      </c>
      <c r="B3413" s="170" t="str">
        <f>IFERROR(__xludf.DUMMYFUNCTION("""COMPUTED_VALUE"""),"Toronto")</f>
        <v>Toronto</v>
      </c>
      <c r="C3413" s="170" t="str">
        <f>IFERROR(__xludf.DUMMYFUNCTION("""COMPUTED_VALUE"""),"ON")</f>
        <v>ON</v>
      </c>
      <c r="D3413" s="170" t="str">
        <f>IFERROR(__xludf.DUMMYFUNCTION("""COMPUTED_VALUE"""),"Canada")</f>
        <v>Canada</v>
      </c>
      <c r="E3413" s="171">
        <f>IFERROR(__xludf.DUMMYFUNCTION("""COMPUTED_VALUE"""),43216.0)</f>
        <v>43216</v>
      </c>
      <c r="F3413" s="172">
        <f>IFERROR(__xludf.DUMMYFUNCTION("""COMPUTED_VALUE"""),43224.0)</f>
        <v>43224</v>
      </c>
      <c r="G3413" s="173"/>
      <c r="H3413" s="174">
        <f>IFERROR(__xludf.DUMMYFUNCTION("""COMPUTED_VALUE"""),20855.0)</f>
        <v>20855</v>
      </c>
      <c r="I3413" s="175"/>
      <c r="J3413" s="172">
        <f>IFERROR(__xludf.DUMMYFUNCTION("""COMPUTED_VALUE"""),43250.0)</f>
        <v>43250</v>
      </c>
      <c r="K3413" s="176">
        <f>IFERROR(__xludf.DUMMYFUNCTION("""COMPUTED_VALUE"""),8.0)</f>
        <v>8</v>
      </c>
      <c r="L3413" s="176">
        <f>IFERROR(__xludf.DUMMYFUNCTION("""COMPUTED_VALUE"""),26.0)</f>
        <v>26</v>
      </c>
      <c r="M3413" s="176">
        <f>IFERROR(__xludf.DUMMYFUNCTION("""COMPUTED_VALUE"""),34.0)</f>
        <v>34</v>
      </c>
      <c r="N3413" s="177" t="str">
        <f>IFERROR(__xludf.DUMMYFUNCTION("""COMPUTED_VALUE"""),"Model 3 LR")</f>
        <v>Model 3 LR</v>
      </c>
      <c r="O3413" s="177" t="str">
        <f>IFERROR(__xludf.DUMMYFUNCTION("""COMPUTED_VALUE"""),"Solid Black")</f>
        <v>Solid Black</v>
      </c>
      <c r="P3413" s="178" t="str">
        <f>IFERROR(__xludf.DUMMYFUNCTION("""COMPUTED_VALUE"""),"18 inch Aero")</f>
        <v>18 inch Aero</v>
      </c>
      <c r="Q3413" s="177" t="str">
        <f>IFERROR(__xludf.DUMMYFUNCTION("""COMPUTED_VALUE"""),"Black seats")</f>
        <v>Black seats</v>
      </c>
      <c r="R3413" s="170" t="str">
        <f>IFERROR(__xludf.DUMMYFUNCTION("""COMPUTED_VALUE"""),"None")</f>
        <v>None</v>
      </c>
      <c r="S3413" s="170"/>
      <c r="T3413" s="179"/>
      <c r="U3413" s="179"/>
      <c r="V3413" s="179"/>
      <c r="W3413" s="180"/>
      <c r="X3413" s="181" t="str">
        <f>IFERROR(__xludf.DUMMYFUNCTION("""COMPUTED_VALUE"""),"Excellent")</f>
        <v>Excellent</v>
      </c>
      <c r="Y3413" s="182" t="str">
        <f>IFERROR(__xludf.DUMMYFUNCTION("""COMPUTED_VALUE"""),"Excellent")</f>
        <v>Excellent</v>
      </c>
      <c r="Z3413" s="182" t="str">
        <f>IFERROR(__xludf.DUMMYFUNCTION("""COMPUTED_VALUE"""),"Very Good")</f>
        <v>Very Good</v>
      </c>
      <c r="AA3413" s="182" t="str">
        <f>IFERROR(__xludf.DUMMYFUNCTION("""COMPUTED_VALUE"""),"Very Good")</f>
        <v>Very Good</v>
      </c>
      <c r="AB3413" s="182" t="str">
        <f>IFERROR(__xludf.DUMMYFUNCTION("""COMPUTED_VALUE"""),"Very Good")</f>
        <v>Very Good</v>
      </c>
      <c r="AC3413" s="183"/>
      <c r="AD3413" s="183"/>
      <c r="AE3413" s="183"/>
      <c r="AF3413" s="184"/>
      <c r="AG3413" s="180"/>
      <c r="AH3413" s="185">
        <f>IFERROR(__xludf.DUMMYFUNCTION("""COMPUTED_VALUE"""),43250.879323113426)</f>
        <v>43250.87932</v>
      </c>
      <c r="AI3413" s="182"/>
      <c r="AJ3413" s="182"/>
      <c r="AK3413" s="182"/>
      <c r="AL3413" s="182"/>
    </row>
    <row r="3414" ht="20.25" customHeight="1">
      <c r="A3414" s="169" t="str">
        <f>IFERROR(__xludf.DUMMYFUNCTION("""COMPUTED_VALUE"""),"kxnhra")</f>
        <v>kxnhra</v>
      </c>
      <c r="B3414" s="170" t="str">
        <f>IFERROR(__xludf.DUMMYFUNCTION("""COMPUTED_VALUE"""),"Houston")</f>
        <v>Houston</v>
      </c>
      <c r="C3414" s="170" t="str">
        <f>IFERROR(__xludf.DUMMYFUNCTION("""COMPUTED_VALUE"""),"TX")</f>
        <v>TX</v>
      </c>
      <c r="D3414" s="170" t="str">
        <f>IFERROR(__xludf.DUMMYFUNCTION("""COMPUTED_VALUE"""),"USA")</f>
        <v>USA</v>
      </c>
      <c r="E3414" s="171">
        <f>IFERROR(__xludf.DUMMYFUNCTION("""COMPUTED_VALUE"""),43216.0)</f>
        <v>43216</v>
      </c>
      <c r="F3414" s="172">
        <f>IFERROR(__xludf.DUMMYFUNCTION("""COMPUTED_VALUE"""),43272.0)</f>
        <v>43272</v>
      </c>
      <c r="G3414" s="173"/>
      <c r="H3414" s="174">
        <f>IFERROR(__xludf.DUMMYFUNCTION("""COMPUTED_VALUE"""),36855.0)</f>
        <v>36855</v>
      </c>
      <c r="I3414" s="175" t="str">
        <f>IFERROR(__xludf.DUMMYFUNCTION("""COMPUTED_VALUE"""),"06/18")</f>
        <v>06/18</v>
      </c>
      <c r="J3414" s="172">
        <f>IFERROR(__xludf.DUMMYFUNCTION("""COMPUTED_VALUE"""),43299.0)</f>
        <v>43299</v>
      </c>
      <c r="K3414" s="176">
        <f>IFERROR(__xludf.DUMMYFUNCTION("""COMPUTED_VALUE"""),56.0)</f>
        <v>56</v>
      </c>
      <c r="L3414" s="176">
        <f>IFERROR(__xludf.DUMMYFUNCTION("""COMPUTED_VALUE"""),27.0)</f>
        <v>27</v>
      </c>
      <c r="M3414" s="176">
        <f>IFERROR(__xludf.DUMMYFUNCTION("""COMPUTED_VALUE"""),83.0)</f>
        <v>83</v>
      </c>
      <c r="N3414" s="177" t="str">
        <f>IFERROR(__xludf.DUMMYFUNCTION("""COMPUTED_VALUE"""),"Model 3 LR")</f>
        <v>Model 3 LR</v>
      </c>
      <c r="O3414" s="177" t="str">
        <f>IFERROR(__xludf.DUMMYFUNCTION("""COMPUTED_VALUE"""),"Midnight Silver Metallic")</f>
        <v>Midnight Silver Metallic</v>
      </c>
      <c r="P3414" s="178" t="str">
        <f>IFERROR(__xludf.DUMMYFUNCTION("""COMPUTED_VALUE"""),"19 inch Sport")</f>
        <v>19 inch Sport</v>
      </c>
      <c r="Q3414" s="177" t="str">
        <f>IFERROR(__xludf.DUMMYFUNCTION("""COMPUTED_VALUE"""),"Black seats")</f>
        <v>Black seats</v>
      </c>
      <c r="R3414" s="170" t="str">
        <f>IFERROR(__xludf.DUMMYFUNCTION("""COMPUTED_VALUE"""),"Enhanced Autopilot")</f>
        <v>Enhanced Autopilot</v>
      </c>
      <c r="S3414" s="170"/>
      <c r="T3414" s="179"/>
      <c r="U3414" s="179"/>
      <c r="V3414" s="179"/>
      <c r="W3414" s="180"/>
      <c r="X3414" s="181" t="str">
        <f>IFERROR(__xludf.DUMMYFUNCTION("""COMPUTED_VALUE"""),"Excellent")</f>
        <v>Excellent</v>
      </c>
      <c r="Y3414" s="182" t="str">
        <f>IFERROR(__xludf.DUMMYFUNCTION("""COMPUTED_VALUE"""),"Excellent")</f>
        <v>Excellent</v>
      </c>
      <c r="Z3414" s="182" t="str">
        <f>IFERROR(__xludf.DUMMYFUNCTION("""COMPUTED_VALUE"""),"Very Good")</f>
        <v>Very Good</v>
      </c>
      <c r="AA3414" s="182" t="str">
        <f>IFERROR(__xludf.DUMMYFUNCTION("""COMPUTED_VALUE"""),"Excellent")</f>
        <v>Excellent</v>
      </c>
      <c r="AB3414" s="182" t="str">
        <f>IFERROR(__xludf.DUMMYFUNCTION("""COMPUTED_VALUE"""),"Excellent")</f>
        <v>Excellent</v>
      </c>
      <c r="AC3414" s="183"/>
      <c r="AD3414" s="183"/>
      <c r="AE3414" s="183"/>
      <c r="AF3414" s="184"/>
      <c r="AG3414" s="180"/>
      <c r="AH3414" s="185">
        <f>IFERROR(__xludf.DUMMYFUNCTION("""COMPUTED_VALUE"""),43299.48432232639)</f>
        <v>43299.48432</v>
      </c>
      <c r="AI3414" s="182"/>
      <c r="AJ3414" s="182"/>
      <c r="AK3414" s="182"/>
      <c r="AL3414" s="182"/>
    </row>
    <row r="3415" ht="20.25" customHeight="1">
      <c r="A3415" s="169" t="str">
        <f>IFERROR(__xludf.DUMMYFUNCTION("""COMPUTED_VALUE"""),"mbelanger")</f>
        <v>mbelanger</v>
      </c>
      <c r="B3415" s="170" t="str">
        <f>IFERROR(__xludf.DUMMYFUNCTION("""COMPUTED_VALUE"""),"Quebec")</f>
        <v>Quebec</v>
      </c>
      <c r="C3415" s="170" t="str">
        <f>IFERROR(__xludf.DUMMYFUNCTION("""COMPUTED_VALUE"""),"QC")</f>
        <v>QC</v>
      </c>
      <c r="D3415" s="170" t="str">
        <f>IFERROR(__xludf.DUMMYFUNCTION("""COMPUTED_VALUE"""),"Canada")</f>
        <v>Canada</v>
      </c>
      <c r="E3415" s="171">
        <f>IFERROR(__xludf.DUMMYFUNCTION("""COMPUTED_VALUE"""),43216.0)</f>
        <v>43216</v>
      </c>
      <c r="F3415" s="172">
        <f>IFERROR(__xludf.DUMMYFUNCTION("""COMPUTED_VALUE"""),43237.0)</f>
        <v>43237</v>
      </c>
      <c r="G3415" s="173"/>
      <c r="H3415" s="174">
        <f>IFERROR(__xludf.DUMMYFUNCTION("""COMPUTED_VALUE"""),29450.0)</f>
        <v>29450</v>
      </c>
      <c r="I3415" s="175"/>
      <c r="J3415" s="172">
        <f>IFERROR(__xludf.DUMMYFUNCTION("""COMPUTED_VALUE"""),43273.0)</f>
        <v>43273</v>
      </c>
      <c r="K3415" s="176">
        <f>IFERROR(__xludf.DUMMYFUNCTION("""COMPUTED_VALUE"""),21.0)</f>
        <v>21</v>
      </c>
      <c r="L3415" s="176">
        <f>IFERROR(__xludf.DUMMYFUNCTION("""COMPUTED_VALUE"""),36.0)</f>
        <v>36</v>
      </c>
      <c r="M3415" s="176">
        <f>IFERROR(__xludf.DUMMYFUNCTION("""COMPUTED_VALUE"""),57.0)</f>
        <v>57</v>
      </c>
      <c r="N3415" s="177" t="str">
        <f>IFERROR(__xludf.DUMMYFUNCTION("""COMPUTED_VALUE"""),"Model 3 LR")</f>
        <v>Model 3 LR</v>
      </c>
      <c r="O3415" s="177" t="str">
        <f>IFERROR(__xludf.DUMMYFUNCTION("""COMPUTED_VALUE"""),"Deep Blue Metallic")</f>
        <v>Deep Blue Metallic</v>
      </c>
      <c r="P3415" s="178" t="str">
        <f>IFERROR(__xludf.DUMMYFUNCTION("""COMPUTED_VALUE"""),"18 inch Aero")</f>
        <v>18 inch Aero</v>
      </c>
      <c r="Q3415" s="177" t="str">
        <f>IFERROR(__xludf.DUMMYFUNCTION("""COMPUTED_VALUE"""),"Black seats")</f>
        <v>Black seats</v>
      </c>
      <c r="R3415" s="170" t="str">
        <f>IFERROR(__xludf.DUMMYFUNCTION("""COMPUTED_VALUE"""),"None")</f>
        <v>None</v>
      </c>
      <c r="S3415" s="170"/>
      <c r="T3415" s="179"/>
      <c r="U3415" s="179"/>
      <c r="V3415" s="179"/>
      <c r="W3415" s="180"/>
      <c r="X3415" s="181" t="str">
        <f>IFERROR(__xludf.DUMMYFUNCTION("""COMPUTED_VALUE"""),"Excellent")</f>
        <v>Excellent</v>
      </c>
      <c r="Y3415" s="182" t="str">
        <f>IFERROR(__xludf.DUMMYFUNCTION("""COMPUTED_VALUE"""),"Excellent")</f>
        <v>Excellent</v>
      </c>
      <c r="Z3415" s="182" t="str">
        <f>IFERROR(__xludf.DUMMYFUNCTION("""COMPUTED_VALUE"""),"Excellent")</f>
        <v>Excellent</v>
      </c>
      <c r="AA3415" s="182" t="str">
        <f>IFERROR(__xludf.DUMMYFUNCTION("""COMPUTED_VALUE"""),"Good")</f>
        <v>Good</v>
      </c>
      <c r="AB3415" s="182" t="str">
        <f>IFERROR(__xludf.DUMMYFUNCTION("""COMPUTED_VALUE"""),"Good")</f>
        <v>Good</v>
      </c>
      <c r="AC3415" s="183"/>
      <c r="AD3415" s="183"/>
      <c r="AE3415" s="183"/>
      <c r="AF3415" s="184"/>
      <c r="AG3415" s="180"/>
      <c r="AH3415" s="185">
        <f>IFERROR(__xludf.DUMMYFUNCTION("""COMPUTED_VALUE"""),43277.56903460648)</f>
        <v>43277.56903</v>
      </c>
      <c r="AI3415" s="182"/>
      <c r="AJ3415" s="182"/>
      <c r="AK3415" s="182"/>
      <c r="AL3415" s="182"/>
    </row>
    <row r="3416" ht="20.25" customHeight="1">
      <c r="A3416" s="169" t="str">
        <f>IFERROR(__xludf.DUMMYFUNCTION("""COMPUTED_VALUE"""),"NormC")</f>
        <v>NormC</v>
      </c>
      <c r="B3416" s="170" t="str">
        <f>IFERROR(__xludf.DUMMYFUNCTION("""COMPUTED_VALUE"""),"Ottawa")</f>
        <v>Ottawa</v>
      </c>
      <c r="C3416" s="170" t="str">
        <f>IFERROR(__xludf.DUMMYFUNCTION("""COMPUTED_VALUE"""),"ON")</f>
        <v>ON</v>
      </c>
      <c r="D3416" s="170" t="str">
        <f>IFERROR(__xludf.DUMMYFUNCTION("""COMPUTED_VALUE"""),"Canada")</f>
        <v>Canada</v>
      </c>
      <c r="E3416" s="171">
        <f>IFERROR(__xludf.DUMMYFUNCTION("""COMPUTED_VALUE"""),43216.0)</f>
        <v>43216</v>
      </c>
      <c r="F3416" s="172">
        <f>IFERROR(__xludf.DUMMYFUNCTION("""COMPUTED_VALUE"""),43235.0)</f>
        <v>43235</v>
      </c>
      <c r="G3416" s="173"/>
      <c r="H3416" s="174">
        <f>IFERROR(__xludf.DUMMYFUNCTION("""COMPUTED_VALUE"""),29355.0)</f>
        <v>29355</v>
      </c>
      <c r="I3416" s="175"/>
      <c r="J3416" s="172">
        <f>IFERROR(__xludf.DUMMYFUNCTION("""COMPUTED_VALUE"""),43256.0)</f>
        <v>43256</v>
      </c>
      <c r="K3416" s="176">
        <f>IFERROR(__xludf.DUMMYFUNCTION("""COMPUTED_VALUE"""),19.0)</f>
        <v>19</v>
      </c>
      <c r="L3416" s="176">
        <f>IFERROR(__xludf.DUMMYFUNCTION("""COMPUTED_VALUE"""),21.0)</f>
        <v>21</v>
      </c>
      <c r="M3416" s="176">
        <f>IFERROR(__xludf.DUMMYFUNCTION("""COMPUTED_VALUE"""),40.0)</f>
        <v>40</v>
      </c>
      <c r="N3416" s="177" t="str">
        <f>IFERROR(__xludf.DUMMYFUNCTION("""COMPUTED_VALUE"""),"Model 3 LR")</f>
        <v>Model 3 LR</v>
      </c>
      <c r="O3416" s="177" t="str">
        <f>IFERROR(__xludf.DUMMYFUNCTION("""COMPUTED_VALUE"""),"Deep Blue Metallic")</f>
        <v>Deep Blue Metallic</v>
      </c>
      <c r="P3416" s="178" t="str">
        <f>IFERROR(__xludf.DUMMYFUNCTION("""COMPUTED_VALUE"""),"18 inch Aero")</f>
        <v>18 inch Aero</v>
      </c>
      <c r="Q3416" s="177" t="str">
        <f>IFERROR(__xludf.DUMMYFUNCTION("""COMPUTED_VALUE"""),"Black seats")</f>
        <v>Black seats</v>
      </c>
      <c r="R3416" s="170" t="str">
        <f>IFERROR(__xludf.DUMMYFUNCTION("""COMPUTED_VALUE"""),"None")</f>
        <v>None</v>
      </c>
      <c r="S3416" s="170"/>
      <c r="T3416" s="179"/>
      <c r="U3416" s="179"/>
      <c r="V3416" s="179"/>
      <c r="W3416" s="180"/>
      <c r="X3416" s="181" t="str">
        <f>IFERROR(__xludf.DUMMYFUNCTION("""COMPUTED_VALUE"""),"Excellent")</f>
        <v>Excellent</v>
      </c>
      <c r="Y3416" s="182" t="str">
        <f>IFERROR(__xludf.DUMMYFUNCTION("""COMPUTED_VALUE"""),"Excellent")</f>
        <v>Excellent</v>
      </c>
      <c r="Z3416" s="182" t="str">
        <f>IFERROR(__xludf.DUMMYFUNCTION("""COMPUTED_VALUE"""),"Excellent")</f>
        <v>Excellent</v>
      </c>
      <c r="AA3416" s="182" t="str">
        <f>IFERROR(__xludf.DUMMYFUNCTION("""COMPUTED_VALUE"""),"Very Good")</f>
        <v>Very Good</v>
      </c>
      <c r="AB3416" s="182" t="str">
        <f>IFERROR(__xludf.DUMMYFUNCTION("""COMPUTED_VALUE"""),"Very Good")</f>
        <v>Very Good</v>
      </c>
      <c r="AC3416" s="183"/>
      <c r="AD3416" s="183"/>
      <c r="AE3416" s="183"/>
      <c r="AF3416" s="184"/>
      <c r="AG3416" s="180"/>
      <c r="AH3416" s="185">
        <f>IFERROR(__xludf.DUMMYFUNCTION("""COMPUTED_VALUE"""),43264.374903599535)</f>
        <v>43264.3749</v>
      </c>
      <c r="AI3416" s="182"/>
      <c r="AJ3416" s="182"/>
      <c r="AK3416" s="182"/>
      <c r="AL3416" s="182"/>
    </row>
    <row r="3417" ht="20.25" customHeight="1">
      <c r="A3417" s="169" t="str">
        <f>IFERROR(__xludf.DUMMYFUNCTION("""COMPUTED_VALUE"""),"RyRy")</f>
        <v>RyRy</v>
      </c>
      <c r="B3417" s="170" t="str">
        <f>IFERROR(__xludf.DUMMYFUNCTION("""COMPUTED_VALUE"""),"GTA")</f>
        <v>GTA</v>
      </c>
      <c r="C3417" s="170" t="str">
        <f>IFERROR(__xludf.DUMMYFUNCTION("""COMPUTED_VALUE"""),"ON")</f>
        <v>ON</v>
      </c>
      <c r="D3417" s="170" t="str">
        <f>IFERROR(__xludf.DUMMYFUNCTION("""COMPUTED_VALUE"""),"Canada")</f>
        <v>Canada</v>
      </c>
      <c r="E3417" s="171">
        <f>IFERROR(__xludf.DUMMYFUNCTION("""COMPUTED_VALUE"""),43216.0)</f>
        <v>43216</v>
      </c>
      <c r="F3417" s="172">
        <f>IFERROR(__xludf.DUMMYFUNCTION("""COMPUTED_VALUE"""),43225.0)</f>
        <v>43225</v>
      </c>
      <c r="G3417" s="173"/>
      <c r="H3417" s="174">
        <f>IFERROR(__xludf.DUMMYFUNCTION("""COMPUTED_VALUE"""),28655.0)</f>
        <v>28655</v>
      </c>
      <c r="I3417" s="175"/>
      <c r="J3417" s="172">
        <f>IFERROR(__xludf.DUMMYFUNCTION("""COMPUTED_VALUE"""),43259.0)</f>
        <v>43259</v>
      </c>
      <c r="K3417" s="176">
        <f>IFERROR(__xludf.DUMMYFUNCTION("""COMPUTED_VALUE"""),9.0)</f>
        <v>9</v>
      </c>
      <c r="L3417" s="176">
        <f>IFERROR(__xludf.DUMMYFUNCTION("""COMPUTED_VALUE"""),34.0)</f>
        <v>34</v>
      </c>
      <c r="M3417" s="176">
        <f>IFERROR(__xludf.DUMMYFUNCTION("""COMPUTED_VALUE"""),43.0)</f>
        <v>43</v>
      </c>
      <c r="N3417" s="177" t="str">
        <f>IFERROR(__xludf.DUMMYFUNCTION("""COMPUTED_VALUE"""),"Model 3 LR")</f>
        <v>Model 3 LR</v>
      </c>
      <c r="O3417" s="177" t="str">
        <f>IFERROR(__xludf.DUMMYFUNCTION("""COMPUTED_VALUE"""),"Midnight Silver Metallic")</f>
        <v>Midnight Silver Metallic</v>
      </c>
      <c r="P3417" s="178" t="str">
        <f>IFERROR(__xludf.DUMMYFUNCTION("""COMPUTED_VALUE"""),"18 inch Aero")</f>
        <v>18 inch Aero</v>
      </c>
      <c r="Q3417" s="177" t="str">
        <f>IFERROR(__xludf.DUMMYFUNCTION("""COMPUTED_VALUE"""),"Black seats")</f>
        <v>Black seats</v>
      </c>
      <c r="R3417" s="170" t="str">
        <f>IFERROR(__xludf.DUMMYFUNCTION("""COMPUTED_VALUE"""),"Enhanced Autopilot")</f>
        <v>Enhanced Autopilot</v>
      </c>
      <c r="S3417" s="170"/>
      <c r="T3417" s="179"/>
      <c r="U3417" s="179"/>
      <c r="V3417" s="179"/>
      <c r="W3417" s="180"/>
      <c r="X3417" s="181" t="str">
        <f>IFERROR(__xludf.DUMMYFUNCTION("""COMPUTED_VALUE"""),"Excellent")</f>
        <v>Excellent</v>
      </c>
      <c r="Y3417" s="182" t="str">
        <f>IFERROR(__xludf.DUMMYFUNCTION("""COMPUTED_VALUE"""),"Excellent")</f>
        <v>Excellent</v>
      </c>
      <c r="Z3417" s="182" t="str">
        <f>IFERROR(__xludf.DUMMYFUNCTION("""COMPUTED_VALUE"""),"Good")</f>
        <v>Good</v>
      </c>
      <c r="AA3417" s="182" t="str">
        <f>IFERROR(__xludf.DUMMYFUNCTION("""COMPUTED_VALUE"""),"Fair")</f>
        <v>Fair</v>
      </c>
      <c r="AB3417" s="182" t="str">
        <f>IFERROR(__xludf.DUMMYFUNCTION("""COMPUTED_VALUE"""),"Very Good")</f>
        <v>Very Good</v>
      </c>
      <c r="AC3417" s="183">
        <f>IFERROR(__xludf.DUMMYFUNCTION("""COMPUTED_VALUE"""),1.0)</f>
        <v>1</v>
      </c>
      <c r="AD3417" s="183">
        <f>IFERROR(__xludf.DUMMYFUNCTION("""COMPUTED_VALUE"""),1.0)</f>
        <v>1</v>
      </c>
      <c r="AE3417" s="183">
        <f>IFERROR(__xludf.DUMMYFUNCTION("""COMPUTED_VALUE"""),5.0)</f>
        <v>5</v>
      </c>
      <c r="AF3417" s="184"/>
      <c r="AG3417" s="180"/>
      <c r="AH3417" s="185">
        <f>IFERROR(__xludf.DUMMYFUNCTION("""COMPUTED_VALUE"""),43298.439464386574)</f>
        <v>43298.43946</v>
      </c>
      <c r="AI3417" s="182"/>
      <c r="AJ3417" s="182"/>
      <c r="AK3417" s="182"/>
      <c r="AL3417" s="182"/>
    </row>
    <row r="3418" ht="20.25" customHeight="1">
      <c r="A3418" s="169" t="str">
        <f>IFERROR(__xludf.DUMMYFUNCTION("""COMPUTED_VALUE"""),"baselsalam")</f>
        <v>baselsalam</v>
      </c>
      <c r="B3418" s="170" t="str">
        <f>IFERROR(__xludf.DUMMYFUNCTION("""COMPUTED_VALUE"""),"Bellevue")</f>
        <v>Bellevue</v>
      </c>
      <c r="C3418" s="170" t="str">
        <f>IFERROR(__xludf.DUMMYFUNCTION("""COMPUTED_VALUE"""),"WA")</f>
        <v>WA</v>
      </c>
      <c r="D3418" s="170" t="str">
        <f>IFERROR(__xludf.DUMMYFUNCTION("""COMPUTED_VALUE"""),"USA")</f>
        <v>USA</v>
      </c>
      <c r="E3418" s="171">
        <f>IFERROR(__xludf.DUMMYFUNCTION("""COMPUTED_VALUE"""),43215.0)</f>
        <v>43215</v>
      </c>
      <c r="F3418" s="172">
        <f>IFERROR(__xludf.DUMMYFUNCTION("""COMPUTED_VALUE"""),43276.0)</f>
        <v>43276</v>
      </c>
      <c r="G3418" s="173"/>
      <c r="H3418" s="174">
        <f>IFERROR(__xludf.DUMMYFUNCTION("""COMPUTED_VALUE"""),43055.0)</f>
        <v>43055</v>
      </c>
      <c r="I3418" s="175" t="str">
        <f>IFERROR(__xludf.DUMMYFUNCTION("""COMPUTED_VALUE"""),"06/18")</f>
        <v>06/18</v>
      </c>
      <c r="J3418" s="172">
        <f>IFERROR(__xludf.DUMMYFUNCTION("""COMPUTED_VALUE"""),43300.0)</f>
        <v>43300</v>
      </c>
      <c r="K3418" s="176">
        <f>IFERROR(__xludf.DUMMYFUNCTION("""COMPUTED_VALUE"""),61.0)</f>
        <v>61</v>
      </c>
      <c r="L3418" s="176">
        <f>IFERROR(__xludf.DUMMYFUNCTION("""COMPUTED_VALUE"""),24.0)</f>
        <v>24</v>
      </c>
      <c r="M3418" s="176">
        <f>IFERROR(__xludf.DUMMYFUNCTION("""COMPUTED_VALUE"""),85.0)</f>
        <v>85</v>
      </c>
      <c r="N3418" s="177" t="str">
        <f>IFERROR(__xludf.DUMMYFUNCTION("""COMPUTED_VALUE"""),"Model 3 LR")</f>
        <v>Model 3 LR</v>
      </c>
      <c r="O3418" s="177" t="str">
        <f>IFERROR(__xludf.DUMMYFUNCTION("""COMPUTED_VALUE"""),"Silver Metallic")</f>
        <v>Silver Metallic</v>
      </c>
      <c r="P3418" s="178" t="str">
        <f>IFERROR(__xludf.DUMMYFUNCTION("""COMPUTED_VALUE"""),"18 inch Aero")</f>
        <v>18 inch Aero</v>
      </c>
      <c r="Q3418" s="177" t="str">
        <f>IFERROR(__xludf.DUMMYFUNCTION("""COMPUTED_VALUE"""),"Black seats")</f>
        <v>Black seats</v>
      </c>
      <c r="R3418" s="170" t="str">
        <f>IFERROR(__xludf.DUMMYFUNCTION("""COMPUTED_VALUE"""),"Full Self-Driving")</f>
        <v>Full Self-Driving</v>
      </c>
      <c r="S3418" s="170"/>
      <c r="T3418" s="179"/>
      <c r="U3418" s="179"/>
      <c r="V3418" s="179"/>
      <c r="W3418" s="180"/>
      <c r="X3418" s="181" t="str">
        <f>IFERROR(__xludf.DUMMYFUNCTION("""COMPUTED_VALUE"""),"Excellent")</f>
        <v>Excellent</v>
      </c>
      <c r="Y3418" s="182" t="str">
        <f>IFERROR(__xludf.DUMMYFUNCTION("""COMPUTED_VALUE"""),"Very Good")</f>
        <v>Very Good</v>
      </c>
      <c r="Z3418" s="182" t="str">
        <f>IFERROR(__xludf.DUMMYFUNCTION("""COMPUTED_VALUE"""),"Fair")</f>
        <v>Fair</v>
      </c>
      <c r="AA3418" s="182" t="str">
        <f>IFERROR(__xludf.DUMMYFUNCTION("""COMPUTED_VALUE"""),"Good")</f>
        <v>Good</v>
      </c>
      <c r="AB3418" s="182" t="str">
        <f>IFERROR(__xludf.DUMMYFUNCTION("""COMPUTED_VALUE"""),"Very Good")</f>
        <v>Very Good</v>
      </c>
      <c r="AC3418" s="183">
        <f>IFERROR(__xludf.DUMMYFUNCTION("""COMPUTED_VALUE"""),13.0)</f>
        <v>13</v>
      </c>
      <c r="AD3418" s="183"/>
      <c r="AE3418" s="183"/>
      <c r="AF3418" s="184"/>
      <c r="AG3418" s="180" t="str">
        <f>IFERROR(__xludf.DUMMYFUNCTION("""COMPUTED_VALUE"""),"Needed to change color, hence the delay between VIN assigned and delivery.")</f>
        <v>Needed to change color, hence the delay between VIN assigned and delivery.</v>
      </c>
      <c r="AH3418" s="185">
        <f>IFERROR(__xludf.DUMMYFUNCTION("""COMPUTED_VALUE"""),43300.005266203705)</f>
        <v>43300.00527</v>
      </c>
      <c r="AI3418" s="182"/>
      <c r="AJ3418" s="182"/>
      <c r="AK3418" s="182"/>
      <c r="AL3418" s="182"/>
    </row>
    <row r="3419" ht="20.25" customHeight="1">
      <c r="A3419" s="169" t="str">
        <f>IFERROR(__xludf.DUMMYFUNCTION("""COMPUTED_VALUE"""),"JimPart")</f>
        <v>JimPart</v>
      </c>
      <c r="B3419" s="170" t="str">
        <f>IFERROR(__xludf.DUMMYFUNCTION("""COMPUTED_VALUE"""),"Orlando ")</f>
        <v>Orlando </v>
      </c>
      <c r="C3419" s="170" t="str">
        <f>IFERROR(__xludf.DUMMYFUNCTION("""COMPUTED_VALUE"""),"FL")</f>
        <v>FL</v>
      </c>
      <c r="D3419" s="170" t="str">
        <f>IFERROR(__xludf.DUMMYFUNCTION("""COMPUTED_VALUE"""),"USA")</f>
        <v>USA</v>
      </c>
      <c r="E3419" s="171">
        <f>IFERROR(__xludf.DUMMYFUNCTION("""COMPUTED_VALUE"""),43215.0)</f>
        <v>43215</v>
      </c>
      <c r="F3419" s="172">
        <f>IFERROR(__xludf.DUMMYFUNCTION("""COMPUTED_VALUE"""),43231.0)</f>
        <v>43231</v>
      </c>
      <c r="G3419" s="173"/>
      <c r="H3419" s="174">
        <f>IFERROR(__xludf.DUMMYFUNCTION("""COMPUTED_VALUE"""),22055.0)</f>
        <v>22055</v>
      </c>
      <c r="I3419" s="175" t="str">
        <f>IFERROR(__xludf.DUMMYFUNCTION("""COMPUTED_VALUE"""),"05/18")</f>
        <v>05/18</v>
      </c>
      <c r="J3419" s="172">
        <f>IFERROR(__xludf.DUMMYFUNCTION("""COMPUTED_VALUE"""),43254.0)</f>
        <v>43254</v>
      </c>
      <c r="K3419" s="176">
        <f>IFERROR(__xludf.DUMMYFUNCTION("""COMPUTED_VALUE"""),16.0)</f>
        <v>16</v>
      </c>
      <c r="L3419" s="176">
        <f>IFERROR(__xludf.DUMMYFUNCTION("""COMPUTED_VALUE"""),23.0)</f>
        <v>23</v>
      </c>
      <c r="M3419" s="176">
        <f>IFERROR(__xludf.DUMMYFUNCTION("""COMPUTED_VALUE"""),39.0)</f>
        <v>39</v>
      </c>
      <c r="N3419" s="177" t="str">
        <f>IFERROR(__xludf.DUMMYFUNCTION("""COMPUTED_VALUE"""),"Model 3 LR")</f>
        <v>Model 3 LR</v>
      </c>
      <c r="O3419" s="177" t="str">
        <f>IFERROR(__xludf.DUMMYFUNCTION("""COMPUTED_VALUE"""),"Red Multi-Coat")</f>
        <v>Red Multi-Coat</v>
      </c>
      <c r="P3419" s="178" t="str">
        <f>IFERROR(__xludf.DUMMYFUNCTION("""COMPUTED_VALUE"""),"18 inch Aero")</f>
        <v>18 inch Aero</v>
      </c>
      <c r="Q3419" s="177" t="str">
        <f>IFERROR(__xludf.DUMMYFUNCTION("""COMPUTED_VALUE"""),"Black seats")</f>
        <v>Black seats</v>
      </c>
      <c r="R3419" s="170" t="str">
        <f>IFERROR(__xludf.DUMMYFUNCTION("""COMPUTED_VALUE"""),"Enhanced Autopilot")</f>
        <v>Enhanced Autopilot</v>
      </c>
      <c r="S3419" s="170"/>
      <c r="T3419" s="179"/>
      <c r="U3419" s="179"/>
      <c r="V3419" s="179"/>
      <c r="W3419" s="180"/>
      <c r="X3419" s="181" t="str">
        <f>IFERROR(__xludf.DUMMYFUNCTION("""COMPUTED_VALUE"""),"Good")</f>
        <v>Good</v>
      </c>
      <c r="Y3419" s="182" t="str">
        <f>IFERROR(__xludf.DUMMYFUNCTION("""COMPUTED_VALUE"""),"Very Good")</f>
        <v>Very Good</v>
      </c>
      <c r="Z3419" s="182" t="str">
        <f>IFERROR(__xludf.DUMMYFUNCTION("""COMPUTED_VALUE"""),"Very Good")</f>
        <v>Very Good</v>
      </c>
      <c r="AA3419" s="182" t="str">
        <f>IFERROR(__xludf.DUMMYFUNCTION("""COMPUTED_VALUE"""),"Excellent")</f>
        <v>Excellent</v>
      </c>
      <c r="AB3419" s="182" t="str">
        <f>IFERROR(__xludf.DUMMYFUNCTION("""COMPUTED_VALUE"""),"Excellent")</f>
        <v>Excellent</v>
      </c>
      <c r="AC3419" s="183"/>
      <c r="AD3419" s="183"/>
      <c r="AE3419" s="183"/>
      <c r="AF3419" s="184"/>
      <c r="AG3419" s="180"/>
      <c r="AH3419" s="185">
        <f>IFERROR(__xludf.DUMMYFUNCTION("""COMPUTED_VALUE"""),43257.775211168984)</f>
        <v>43257.77521</v>
      </c>
      <c r="AI3419" s="182"/>
      <c r="AJ3419" s="182"/>
      <c r="AK3419" s="182"/>
      <c r="AL3419" s="182"/>
    </row>
    <row r="3420" ht="20.25" customHeight="1">
      <c r="A3420" s="169" t="str">
        <f>IFERROR(__xludf.DUMMYFUNCTION("""COMPUTED_VALUE"""),"KuroAlphaM3")</f>
        <v>KuroAlphaM3</v>
      </c>
      <c r="B3420" s="170" t="str">
        <f>IFERROR(__xludf.DUMMYFUNCTION("""COMPUTED_VALUE"""),"Alpharetta ")</f>
        <v>Alpharetta </v>
      </c>
      <c r="C3420" s="170" t="str">
        <f>IFERROR(__xludf.DUMMYFUNCTION("""COMPUTED_VALUE"""),"GA")</f>
        <v>GA</v>
      </c>
      <c r="D3420" s="170" t="str">
        <f>IFERROR(__xludf.DUMMYFUNCTION("""COMPUTED_VALUE"""),"USA")</f>
        <v>USA</v>
      </c>
      <c r="E3420" s="171">
        <f>IFERROR(__xludf.DUMMYFUNCTION("""COMPUTED_VALUE"""),43215.0)</f>
        <v>43215</v>
      </c>
      <c r="F3420" s="172">
        <f>IFERROR(__xludf.DUMMYFUNCTION("""COMPUTED_VALUE"""),43254.0)</f>
        <v>43254</v>
      </c>
      <c r="G3420" s="173"/>
      <c r="H3420" s="174">
        <f>IFERROR(__xludf.DUMMYFUNCTION("""COMPUTED_VALUE"""),31955.0)</f>
        <v>31955</v>
      </c>
      <c r="I3420" s="175"/>
      <c r="J3420" s="172">
        <f>IFERROR(__xludf.DUMMYFUNCTION("""COMPUTED_VALUE"""),43273.0)</f>
        <v>43273</v>
      </c>
      <c r="K3420" s="176">
        <f>IFERROR(__xludf.DUMMYFUNCTION("""COMPUTED_VALUE"""),39.0)</f>
        <v>39</v>
      </c>
      <c r="L3420" s="176">
        <f>IFERROR(__xludf.DUMMYFUNCTION("""COMPUTED_VALUE"""),19.0)</f>
        <v>19</v>
      </c>
      <c r="M3420" s="176">
        <f>IFERROR(__xludf.DUMMYFUNCTION("""COMPUTED_VALUE"""),58.0)</f>
        <v>58</v>
      </c>
      <c r="N3420" s="177" t="str">
        <f>IFERROR(__xludf.DUMMYFUNCTION("""COMPUTED_VALUE"""),"Model 3 LR")</f>
        <v>Model 3 LR</v>
      </c>
      <c r="O3420" s="177" t="str">
        <f>IFERROR(__xludf.DUMMYFUNCTION("""COMPUTED_VALUE"""),"Solid Black")</f>
        <v>Solid Black</v>
      </c>
      <c r="P3420" s="178" t="str">
        <f>IFERROR(__xludf.DUMMYFUNCTION("""COMPUTED_VALUE"""),"19 inch Sport")</f>
        <v>19 inch Sport</v>
      </c>
      <c r="Q3420" s="177" t="str">
        <f>IFERROR(__xludf.DUMMYFUNCTION("""COMPUTED_VALUE"""),"Black seats")</f>
        <v>Black seats</v>
      </c>
      <c r="R3420" s="170" t="str">
        <f>IFERROR(__xludf.DUMMYFUNCTION("""COMPUTED_VALUE"""),"None")</f>
        <v>None</v>
      </c>
      <c r="S3420" s="170"/>
      <c r="T3420" s="179"/>
      <c r="U3420" s="179"/>
      <c r="V3420" s="179"/>
      <c r="W3420" s="180"/>
      <c r="X3420" s="181" t="str">
        <f>IFERROR(__xludf.DUMMYFUNCTION("""COMPUTED_VALUE"""),"Excellent")</f>
        <v>Excellent</v>
      </c>
      <c r="Y3420" s="182" t="str">
        <f>IFERROR(__xludf.DUMMYFUNCTION("""COMPUTED_VALUE"""),"Excellent")</f>
        <v>Excellent</v>
      </c>
      <c r="Z3420" s="182" t="str">
        <f>IFERROR(__xludf.DUMMYFUNCTION("""COMPUTED_VALUE"""),"Very Good")</f>
        <v>Very Good</v>
      </c>
      <c r="AA3420" s="182" t="str">
        <f>IFERROR(__xludf.DUMMYFUNCTION("""COMPUTED_VALUE"""),"Good")</f>
        <v>Good</v>
      </c>
      <c r="AB3420" s="182" t="str">
        <f>IFERROR(__xludf.DUMMYFUNCTION("""COMPUTED_VALUE"""),"Very Good")</f>
        <v>Very Good</v>
      </c>
      <c r="AC3420" s="183"/>
      <c r="AD3420" s="183"/>
      <c r="AE3420" s="183"/>
      <c r="AF3420" s="184"/>
      <c r="AG3420" s="180"/>
      <c r="AH3420" s="185">
        <f>IFERROR(__xludf.DUMMYFUNCTION("""COMPUTED_VALUE"""),43273.91374795139)</f>
        <v>43273.91375</v>
      </c>
      <c r="AI3420" s="182"/>
      <c r="AJ3420" s="182"/>
      <c r="AK3420" s="182"/>
      <c r="AL3420" s="182"/>
    </row>
    <row r="3421" ht="20.25" customHeight="1">
      <c r="A3421" s="169" t="str">
        <f>IFERROR(__xludf.DUMMYFUNCTION("""COMPUTED_VALUE"""),"navguy12")</f>
        <v>navguy12</v>
      </c>
      <c r="B3421" s="170" t="str">
        <f>IFERROR(__xludf.DUMMYFUNCTION("""COMPUTED_VALUE"""),"Batawa")</f>
        <v>Batawa</v>
      </c>
      <c r="C3421" s="170" t="str">
        <f>IFERROR(__xludf.DUMMYFUNCTION("""COMPUTED_VALUE"""),"ON")</f>
        <v>ON</v>
      </c>
      <c r="D3421" s="170" t="str">
        <f>IFERROR(__xludf.DUMMYFUNCTION("""COMPUTED_VALUE"""),"Canada")</f>
        <v>Canada</v>
      </c>
      <c r="E3421" s="171">
        <f>IFERROR(__xludf.DUMMYFUNCTION("""COMPUTED_VALUE"""),43215.0)</f>
        <v>43215</v>
      </c>
      <c r="F3421" s="172">
        <f>IFERROR(__xludf.DUMMYFUNCTION("""COMPUTED_VALUE"""),43224.0)</f>
        <v>43224</v>
      </c>
      <c r="G3421" s="173"/>
      <c r="H3421" s="174">
        <f>IFERROR(__xludf.DUMMYFUNCTION("""COMPUTED_VALUE"""),23225.0)</f>
        <v>23225</v>
      </c>
      <c r="I3421" s="175"/>
      <c r="J3421" s="172">
        <f>IFERROR(__xludf.DUMMYFUNCTION("""COMPUTED_VALUE"""),43250.0)</f>
        <v>43250</v>
      </c>
      <c r="K3421" s="176">
        <f>IFERROR(__xludf.DUMMYFUNCTION("""COMPUTED_VALUE"""),9.0)</f>
        <v>9</v>
      </c>
      <c r="L3421" s="176">
        <f>IFERROR(__xludf.DUMMYFUNCTION("""COMPUTED_VALUE"""),26.0)</f>
        <v>26</v>
      </c>
      <c r="M3421" s="176">
        <f>IFERROR(__xludf.DUMMYFUNCTION("""COMPUTED_VALUE"""),35.0)</f>
        <v>35</v>
      </c>
      <c r="N3421" s="177" t="str">
        <f>IFERROR(__xludf.DUMMYFUNCTION("""COMPUTED_VALUE"""),"Model 3 LR")</f>
        <v>Model 3 LR</v>
      </c>
      <c r="O3421" s="177" t="str">
        <f>IFERROR(__xludf.DUMMYFUNCTION("""COMPUTED_VALUE"""),"Pearl White Multi-Coat")</f>
        <v>Pearl White Multi-Coat</v>
      </c>
      <c r="P3421" s="178" t="str">
        <f>IFERROR(__xludf.DUMMYFUNCTION("""COMPUTED_VALUE"""),"18 inch Aero")</f>
        <v>18 inch Aero</v>
      </c>
      <c r="Q3421" s="177" t="str">
        <f>IFERROR(__xludf.DUMMYFUNCTION("""COMPUTED_VALUE"""),"Black seats")</f>
        <v>Black seats</v>
      </c>
      <c r="R3421" s="170" t="str">
        <f>IFERROR(__xludf.DUMMYFUNCTION("""COMPUTED_VALUE"""),"Enhanced Autopilot")</f>
        <v>Enhanced Autopilot</v>
      </c>
      <c r="S3421" s="170"/>
      <c r="T3421" s="179"/>
      <c r="U3421" s="179"/>
      <c r="V3421" s="179"/>
      <c r="W3421" s="180"/>
      <c r="X3421" s="181" t="str">
        <f>IFERROR(__xludf.DUMMYFUNCTION("""COMPUTED_VALUE"""),"Very Good")</f>
        <v>Very Good</v>
      </c>
      <c r="Y3421" s="182" t="str">
        <f>IFERROR(__xludf.DUMMYFUNCTION("""COMPUTED_VALUE"""),"Excellent")</f>
        <v>Excellent</v>
      </c>
      <c r="Z3421" s="182" t="str">
        <f>IFERROR(__xludf.DUMMYFUNCTION("""COMPUTED_VALUE"""),"Very Good")</f>
        <v>Very Good</v>
      </c>
      <c r="AA3421" s="182" t="str">
        <f>IFERROR(__xludf.DUMMYFUNCTION("""COMPUTED_VALUE"""),"Fair")</f>
        <v>Fair</v>
      </c>
      <c r="AB3421" s="182" t="str">
        <f>IFERROR(__xludf.DUMMYFUNCTION("""COMPUTED_VALUE"""),"Good")</f>
        <v>Good</v>
      </c>
      <c r="AC3421" s="183"/>
      <c r="AD3421" s="183"/>
      <c r="AE3421" s="183"/>
      <c r="AF3421" s="184"/>
      <c r="AG3421" s="180"/>
      <c r="AH3421" s="185">
        <f>IFERROR(__xludf.DUMMYFUNCTION("""COMPUTED_VALUE"""),43253.85076142361)</f>
        <v>43253.85076</v>
      </c>
      <c r="AI3421" s="182"/>
      <c r="AJ3421" s="182"/>
      <c r="AK3421" s="182"/>
      <c r="AL3421" s="182"/>
    </row>
    <row r="3422" ht="20.25" customHeight="1">
      <c r="A3422" s="169" t="str">
        <f>IFERROR(__xludf.DUMMYFUNCTION("""COMPUTED_VALUE"""),"RetroGreyed")</f>
        <v>RetroGreyed</v>
      </c>
      <c r="B3422" s="170" t="str">
        <f>IFERROR(__xludf.DUMMYFUNCTION("""COMPUTED_VALUE"""),"Bay Area")</f>
        <v>Bay Area</v>
      </c>
      <c r="C3422" s="170" t="str">
        <f>IFERROR(__xludf.DUMMYFUNCTION("""COMPUTED_VALUE"""),"CA")</f>
        <v>CA</v>
      </c>
      <c r="D3422" s="170" t="str">
        <f>IFERROR(__xludf.DUMMYFUNCTION("""COMPUTED_VALUE"""),"USA")</f>
        <v>USA</v>
      </c>
      <c r="E3422" s="171">
        <f>IFERROR(__xludf.DUMMYFUNCTION("""COMPUTED_VALUE"""),43215.0)</f>
        <v>43215</v>
      </c>
      <c r="F3422" s="172">
        <f>IFERROR(__xludf.DUMMYFUNCTION("""COMPUTED_VALUE"""),43357.0)</f>
        <v>43357</v>
      </c>
      <c r="G3422" s="173"/>
      <c r="H3422" s="174">
        <f>IFERROR(__xludf.DUMMYFUNCTION("""COMPUTED_VALUE"""),100655.0)</f>
        <v>100655</v>
      </c>
      <c r="I3422" s="175" t="str">
        <f>IFERROR(__xludf.DUMMYFUNCTION("""COMPUTED_VALUE"""),"09/18")</f>
        <v>09/18</v>
      </c>
      <c r="J3422" s="172">
        <f>IFERROR(__xludf.DUMMYFUNCTION("""COMPUTED_VALUE"""),43363.0)</f>
        <v>43363</v>
      </c>
      <c r="K3422" s="176">
        <f>IFERROR(__xludf.DUMMYFUNCTION("""COMPUTED_VALUE"""),142.0)</f>
        <v>142</v>
      </c>
      <c r="L3422" s="176">
        <f>IFERROR(__xludf.DUMMYFUNCTION("""COMPUTED_VALUE"""),6.0)</f>
        <v>6</v>
      </c>
      <c r="M3422" s="176">
        <f>IFERROR(__xludf.DUMMYFUNCTION("""COMPUTED_VALUE"""),148.0)</f>
        <v>148</v>
      </c>
      <c r="N3422" s="177" t="str">
        <f>IFERROR(__xludf.DUMMYFUNCTION("""COMPUTED_VALUE"""),"Model 3 LR AWD")</f>
        <v>Model 3 LR AWD</v>
      </c>
      <c r="O3422" s="177" t="str">
        <f>IFERROR(__xludf.DUMMYFUNCTION("""COMPUTED_VALUE"""),"Red Multi-Coat")</f>
        <v>Red Multi-Coat</v>
      </c>
      <c r="P3422" s="178" t="str">
        <f>IFERROR(__xludf.DUMMYFUNCTION("""COMPUTED_VALUE"""),"19 inch Sport")</f>
        <v>19 inch Sport</v>
      </c>
      <c r="Q3422" s="177" t="str">
        <f>IFERROR(__xludf.DUMMYFUNCTION("""COMPUTED_VALUE"""),"White seats")</f>
        <v>White seats</v>
      </c>
      <c r="R3422" s="170" t="str">
        <f>IFERROR(__xludf.DUMMYFUNCTION("""COMPUTED_VALUE"""),"Enhanced Autopilot")</f>
        <v>Enhanced Autopilot</v>
      </c>
      <c r="S3422" s="170"/>
      <c r="T3422" s="179"/>
      <c r="U3422" s="179"/>
      <c r="V3422" s="179"/>
      <c r="W3422" s="180"/>
      <c r="X3422" s="181" t="str">
        <f>IFERROR(__xludf.DUMMYFUNCTION("""COMPUTED_VALUE"""),"Excellent")</f>
        <v>Excellent</v>
      </c>
      <c r="Y3422" s="182" t="str">
        <f>IFERROR(__xludf.DUMMYFUNCTION("""COMPUTED_VALUE"""),"Very Good")</f>
        <v>Very Good</v>
      </c>
      <c r="Z3422" s="182" t="str">
        <f>IFERROR(__xludf.DUMMYFUNCTION("""COMPUTED_VALUE"""),"Very Good")</f>
        <v>Very Good</v>
      </c>
      <c r="AA3422" s="182" t="str">
        <f>IFERROR(__xludf.DUMMYFUNCTION("""COMPUTED_VALUE"""),"Excellent")</f>
        <v>Excellent</v>
      </c>
      <c r="AB3422" s="182" t="str">
        <f>IFERROR(__xludf.DUMMYFUNCTION("""COMPUTED_VALUE"""),"Excellent")</f>
        <v>Excellent</v>
      </c>
      <c r="AC3422" s="183">
        <f>IFERROR(__xludf.DUMMYFUNCTION("""COMPUTED_VALUE"""),3.0)</f>
        <v>3</v>
      </c>
      <c r="AD3422" s="183">
        <f>IFERROR(__xludf.DUMMYFUNCTION("""COMPUTED_VALUE"""),0.0)</f>
        <v>0</v>
      </c>
      <c r="AE3422" s="183"/>
      <c r="AF3422" s="184"/>
      <c r="AG3422" s="180"/>
      <c r="AH3422" s="185">
        <f>IFERROR(__xludf.DUMMYFUNCTION("""COMPUTED_VALUE"""),43372.93502880787)</f>
        <v>43372.93503</v>
      </c>
      <c r="AI3422" s="182"/>
      <c r="AJ3422" s="182"/>
      <c r="AK3422" s="182"/>
      <c r="AL3422" s="182"/>
    </row>
    <row r="3423" ht="20.25" customHeight="1">
      <c r="A3423" s="169" t="str">
        <f>IFERROR(__xludf.DUMMYFUNCTION("""COMPUTED_VALUE"""),"zadams")</f>
        <v>zadams</v>
      </c>
      <c r="B3423" s="170" t="str">
        <f>IFERROR(__xludf.DUMMYFUNCTION("""COMPUTED_VALUE"""),"Atlanta")</f>
        <v>Atlanta</v>
      </c>
      <c r="C3423" s="170" t="str">
        <f>IFERROR(__xludf.DUMMYFUNCTION("""COMPUTED_VALUE"""),"GA")</f>
        <v>GA</v>
      </c>
      <c r="D3423" s="170" t="str">
        <f>IFERROR(__xludf.DUMMYFUNCTION("""COMPUTED_VALUE"""),"USA")</f>
        <v>USA</v>
      </c>
      <c r="E3423" s="171">
        <f>IFERROR(__xludf.DUMMYFUNCTION("""COMPUTED_VALUE"""),43215.0)</f>
        <v>43215</v>
      </c>
      <c r="F3423" s="172">
        <f>IFERROR(__xludf.DUMMYFUNCTION("""COMPUTED_VALUE"""),43261.0)</f>
        <v>43261</v>
      </c>
      <c r="G3423" s="173"/>
      <c r="H3423" s="174">
        <f>IFERROR(__xludf.DUMMYFUNCTION("""COMPUTED_VALUE"""),24255.0)</f>
        <v>24255</v>
      </c>
      <c r="I3423" s="175" t="str">
        <f>IFERROR(__xludf.DUMMYFUNCTION("""COMPUTED_VALUE"""),"05/18")</f>
        <v>05/18</v>
      </c>
      <c r="J3423" s="172">
        <f>IFERROR(__xludf.DUMMYFUNCTION("""COMPUTED_VALUE"""),43270.0)</f>
        <v>43270</v>
      </c>
      <c r="K3423" s="176">
        <f>IFERROR(__xludf.DUMMYFUNCTION("""COMPUTED_VALUE"""),46.0)</f>
        <v>46</v>
      </c>
      <c r="L3423" s="176">
        <f>IFERROR(__xludf.DUMMYFUNCTION("""COMPUTED_VALUE"""),9.0)</f>
        <v>9</v>
      </c>
      <c r="M3423" s="176">
        <f>IFERROR(__xludf.DUMMYFUNCTION("""COMPUTED_VALUE"""),55.0)</f>
        <v>55</v>
      </c>
      <c r="N3423" s="177" t="str">
        <f>IFERROR(__xludf.DUMMYFUNCTION("""COMPUTED_VALUE"""),"Model 3 LR")</f>
        <v>Model 3 LR</v>
      </c>
      <c r="O3423" s="177" t="str">
        <f>IFERROR(__xludf.DUMMYFUNCTION("""COMPUTED_VALUE"""),"Silver Metallic")</f>
        <v>Silver Metallic</v>
      </c>
      <c r="P3423" s="178" t="str">
        <f>IFERROR(__xludf.DUMMYFUNCTION("""COMPUTED_VALUE"""),"19 inch Sport")</f>
        <v>19 inch Sport</v>
      </c>
      <c r="Q3423" s="177" t="str">
        <f>IFERROR(__xludf.DUMMYFUNCTION("""COMPUTED_VALUE"""),"Black seats")</f>
        <v>Black seats</v>
      </c>
      <c r="R3423" s="170" t="str">
        <f>IFERROR(__xludf.DUMMYFUNCTION("""COMPUTED_VALUE"""),"Enhanced Autopilot")</f>
        <v>Enhanced Autopilot</v>
      </c>
      <c r="S3423" s="170"/>
      <c r="T3423" s="179"/>
      <c r="U3423" s="179"/>
      <c r="V3423" s="179"/>
      <c r="W3423" s="180"/>
      <c r="X3423" s="181" t="str">
        <f>IFERROR(__xludf.DUMMYFUNCTION("""COMPUTED_VALUE"""),"Excellent")</f>
        <v>Excellent</v>
      </c>
      <c r="Y3423" s="182"/>
      <c r="Z3423" s="182"/>
      <c r="AA3423" s="182" t="str">
        <f>IFERROR(__xludf.DUMMYFUNCTION("""COMPUTED_VALUE"""),"Very Good")</f>
        <v>Very Good</v>
      </c>
      <c r="AB3423" s="182" t="str">
        <f>IFERROR(__xludf.DUMMYFUNCTION("""COMPUTED_VALUE"""),"Very Good")</f>
        <v>Very Good</v>
      </c>
      <c r="AC3423" s="183"/>
      <c r="AD3423" s="183"/>
      <c r="AE3423" s="183"/>
      <c r="AF3423" s="184"/>
      <c r="AG3423" s="180"/>
      <c r="AH3423" s="185">
        <f>IFERROR(__xludf.DUMMYFUNCTION("""COMPUTED_VALUE"""),43270.79905091436)</f>
        <v>43270.79905</v>
      </c>
      <c r="AI3423" s="182"/>
      <c r="AJ3423" s="182"/>
      <c r="AK3423" s="182"/>
      <c r="AL3423" s="182"/>
    </row>
    <row r="3424" ht="20.25" customHeight="1">
      <c r="A3424" s="169" t="str">
        <f>IFERROR(__xludf.DUMMYFUNCTION("""COMPUTED_VALUE"""),"gorp")</f>
        <v>gorp</v>
      </c>
      <c r="B3424" s="170" t="str">
        <f>IFERROR(__xludf.DUMMYFUNCTION("""COMPUTED_VALUE"""),"San Jose")</f>
        <v>San Jose</v>
      </c>
      <c r="C3424" s="170" t="str">
        <f>IFERROR(__xludf.DUMMYFUNCTION("""COMPUTED_VALUE"""),"CA")</f>
        <v>CA</v>
      </c>
      <c r="D3424" s="170" t="str">
        <f>IFERROR(__xludf.DUMMYFUNCTION("""COMPUTED_VALUE"""),"USA")</f>
        <v>USA</v>
      </c>
      <c r="E3424" s="171">
        <f>IFERROR(__xludf.DUMMYFUNCTION("""COMPUTED_VALUE"""),43214.0)</f>
        <v>43214</v>
      </c>
      <c r="F3424" s="172">
        <f>IFERROR(__xludf.DUMMYFUNCTION("""COMPUTED_VALUE"""),43273.0)</f>
        <v>43273</v>
      </c>
      <c r="G3424" s="173"/>
      <c r="H3424" s="174">
        <f>IFERROR(__xludf.DUMMYFUNCTION("""COMPUTED_VALUE"""),39264.0)</f>
        <v>39264</v>
      </c>
      <c r="I3424" s="175"/>
      <c r="J3424" s="172">
        <f>IFERROR(__xludf.DUMMYFUNCTION("""COMPUTED_VALUE"""),43280.0)</f>
        <v>43280</v>
      </c>
      <c r="K3424" s="176">
        <f>IFERROR(__xludf.DUMMYFUNCTION("""COMPUTED_VALUE"""),59.0)</f>
        <v>59</v>
      </c>
      <c r="L3424" s="176">
        <f>IFERROR(__xludf.DUMMYFUNCTION("""COMPUTED_VALUE"""),7.0)</f>
        <v>7</v>
      </c>
      <c r="M3424" s="176">
        <f>IFERROR(__xludf.DUMMYFUNCTION("""COMPUTED_VALUE"""),66.0)</f>
        <v>66</v>
      </c>
      <c r="N3424" s="177" t="str">
        <f>IFERROR(__xludf.DUMMYFUNCTION("""COMPUTED_VALUE"""),"Model 3 LR")</f>
        <v>Model 3 LR</v>
      </c>
      <c r="O3424" s="177" t="str">
        <f>IFERROR(__xludf.DUMMYFUNCTION("""COMPUTED_VALUE"""),"Silver Metallic")</f>
        <v>Silver Metallic</v>
      </c>
      <c r="P3424" s="178" t="str">
        <f>IFERROR(__xludf.DUMMYFUNCTION("""COMPUTED_VALUE"""),"18 inch Aero")</f>
        <v>18 inch Aero</v>
      </c>
      <c r="Q3424" s="177" t="str">
        <f>IFERROR(__xludf.DUMMYFUNCTION("""COMPUTED_VALUE"""),"Black seats")</f>
        <v>Black seats</v>
      </c>
      <c r="R3424" s="170" t="str">
        <f>IFERROR(__xludf.DUMMYFUNCTION("""COMPUTED_VALUE"""),"Enhanced Autopilot")</f>
        <v>Enhanced Autopilot</v>
      </c>
      <c r="S3424" s="170"/>
      <c r="T3424" s="179"/>
      <c r="U3424" s="179"/>
      <c r="V3424" s="179"/>
      <c r="W3424" s="180"/>
      <c r="X3424" s="181" t="str">
        <f>IFERROR(__xludf.DUMMYFUNCTION("""COMPUTED_VALUE"""),"Excellent")</f>
        <v>Excellent</v>
      </c>
      <c r="Y3424" s="182" t="str">
        <f>IFERROR(__xludf.DUMMYFUNCTION("""COMPUTED_VALUE"""),"Very Good")</f>
        <v>Very Good</v>
      </c>
      <c r="Z3424" s="182" t="str">
        <f>IFERROR(__xludf.DUMMYFUNCTION("""COMPUTED_VALUE"""),"Excellent")</f>
        <v>Excellent</v>
      </c>
      <c r="AA3424" s="182" t="str">
        <f>IFERROR(__xludf.DUMMYFUNCTION("""COMPUTED_VALUE"""),"Excellent")</f>
        <v>Excellent</v>
      </c>
      <c r="AB3424" s="182" t="str">
        <f>IFERROR(__xludf.DUMMYFUNCTION("""COMPUTED_VALUE"""),"Good")</f>
        <v>Good</v>
      </c>
      <c r="AC3424" s="183"/>
      <c r="AD3424" s="183"/>
      <c r="AE3424" s="183"/>
      <c r="AF3424" s="184"/>
      <c r="AG3424" s="180"/>
      <c r="AH3424" s="185">
        <f>IFERROR(__xludf.DUMMYFUNCTION("""COMPUTED_VALUE"""),43284.382623518526)</f>
        <v>43284.38262</v>
      </c>
      <c r="AI3424" s="182"/>
      <c r="AJ3424" s="182"/>
      <c r="AK3424" s="182"/>
      <c r="AL3424" s="182"/>
    </row>
    <row r="3425" ht="20.25" customHeight="1">
      <c r="A3425" s="169" t="str">
        <f>IFERROR(__xludf.DUMMYFUNCTION("""COMPUTED_VALUE"""),"JmpLemur")</f>
        <v>JmpLemur</v>
      </c>
      <c r="B3425" s="170" t="str">
        <f>IFERROR(__xludf.DUMMYFUNCTION("""COMPUTED_VALUE"""),"Houston")</f>
        <v>Houston</v>
      </c>
      <c r="C3425" s="170" t="str">
        <f>IFERROR(__xludf.DUMMYFUNCTION("""COMPUTED_VALUE"""),"TX")</f>
        <v>TX</v>
      </c>
      <c r="D3425" s="170" t="str">
        <f>IFERROR(__xludf.DUMMYFUNCTION("""COMPUTED_VALUE"""),"USA")</f>
        <v>USA</v>
      </c>
      <c r="E3425" s="171">
        <f>IFERROR(__xludf.DUMMYFUNCTION("""COMPUTED_VALUE"""),43214.0)</f>
        <v>43214</v>
      </c>
      <c r="F3425" s="172">
        <f>IFERROR(__xludf.DUMMYFUNCTION("""COMPUTED_VALUE"""),43269.0)</f>
        <v>43269</v>
      </c>
      <c r="G3425" s="173"/>
      <c r="H3425" s="174">
        <f>IFERROR(__xludf.DUMMYFUNCTION("""COMPUTED_VALUE"""),33755.0)</f>
        <v>33755</v>
      </c>
      <c r="I3425" s="175" t="str">
        <f>IFERROR(__xludf.DUMMYFUNCTION("""COMPUTED_VALUE"""),"06/18")</f>
        <v>06/18</v>
      </c>
      <c r="J3425" s="172">
        <f>IFERROR(__xludf.DUMMYFUNCTION("""COMPUTED_VALUE"""),43284.0)</f>
        <v>43284</v>
      </c>
      <c r="K3425" s="176">
        <f>IFERROR(__xludf.DUMMYFUNCTION("""COMPUTED_VALUE"""),55.0)</f>
        <v>55</v>
      </c>
      <c r="L3425" s="176">
        <f>IFERROR(__xludf.DUMMYFUNCTION("""COMPUTED_VALUE"""),15.0)</f>
        <v>15</v>
      </c>
      <c r="M3425" s="176">
        <f>IFERROR(__xludf.DUMMYFUNCTION("""COMPUTED_VALUE"""),70.0)</f>
        <v>70</v>
      </c>
      <c r="N3425" s="177" t="str">
        <f>IFERROR(__xludf.DUMMYFUNCTION("""COMPUTED_VALUE"""),"Model 3 LR")</f>
        <v>Model 3 LR</v>
      </c>
      <c r="O3425" s="177" t="str">
        <f>IFERROR(__xludf.DUMMYFUNCTION("""COMPUTED_VALUE"""),"Midnight Silver Metallic")</f>
        <v>Midnight Silver Metallic</v>
      </c>
      <c r="P3425" s="178" t="str">
        <f>IFERROR(__xludf.DUMMYFUNCTION("""COMPUTED_VALUE"""),"18 inch Aero")</f>
        <v>18 inch Aero</v>
      </c>
      <c r="Q3425" s="177" t="str">
        <f>IFERROR(__xludf.DUMMYFUNCTION("""COMPUTED_VALUE"""),"Black seats")</f>
        <v>Black seats</v>
      </c>
      <c r="R3425" s="170" t="str">
        <f>IFERROR(__xludf.DUMMYFUNCTION("""COMPUTED_VALUE"""),"Enhanced Autopilot")</f>
        <v>Enhanced Autopilot</v>
      </c>
      <c r="S3425" s="170"/>
      <c r="T3425" s="179"/>
      <c r="U3425" s="179"/>
      <c r="V3425" s="179"/>
      <c r="W3425" s="180"/>
      <c r="X3425" s="181" t="str">
        <f>IFERROR(__xludf.DUMMYFUNCTION("""COMPUTED_VALUE"""),"Good")</f>
        <v>Good</v>
      </c>
      <c r="Y3425" s="182" t="str">
        <f>IFERROR(__xludf.DUMMYFUNCTION("""COMPUTED_VALUE"""),"Very Good")</f>
        <v>Very Good</v>
      </c>
      <c r="Z3425" s="182" t="str">
        <f>IFERROR(__xludf.DUMMYFUNCTION("""COMPUTED_VALUE"""),"Excellent")</f>
        <v>Excellent</v>
      </c>
      <c r="AA3425" s="182" t="str">
        <f>IFERROR(__xludf.DUMMYFUNCTION("""COMPUTED_VALUE"""),"Excellent")</f>
        <v>Excellent</v>
      </c>
      <c r="AB3425" s="182" t="str">
        <f>IFERROR(__xludf.DUMMYFUNCTION("""COMPUTED_VALUE"""),"Very Good")</f>
        <v>Very Good</v>
      </c>
      <c r="AC3425" s="183"/>
      <c r="AD3425" s="183"/>
      <c r="AE3425" s="183"/>
      <c r="AF3425" s="184"/>
      <c r="AG3425" s="180" t="str">
        <f>IFERROR(__xludf.DUMMYFUNCTION("""COMPUTED_VALUE"""),"Delivered with a few scratches on center console.")</f>
        <v>Delivered with a few scratches on center console.</v>
      </c>
      <c r="AH3425" s="185">
        <f>IFERROR(__xludf.DUMMYFUNCTION("""COMPUTED_VALUE"""),43284.53535814815)</f>
        <v>43284.53536</v>
      </c>
      <c r="AI3425" s="182"/>
      <c r="AJ3425" s="182"/>
      <c r="AK3425" s="182"/>
      <c r="AL3425" s="182"/>
    </row>
    <row r="3426" ht="20.25" customHeight="1">
      <c r="A3426" s="169" t="str">
        <f>IFERROR(__xludf.DUMMYFUNCTION("""COMPUTED_VALUE"""),"mingdizzle")</f>
        <v>mingdizzle</v>
      </c>
      <c r="B3426" s="170" t="str">
        <f>IFERROR(__xludf.DUMMYFUNCTION("""COMPUTED_VALUE"""),"Little Rock")</f>
        <v>Little Rock</v>
      </c>
      <c r="C3426" s="170" t="str">
        <f>IFERROR(__xludf.DUMMYFUNCTION("""COMPUTED_VALUE"""),"AR")</f>
        <v>AR</v>
      </c>
      <c r="D3426" s="170" t="str">
        <f>IFERROR(__xludf.DUMMYFUNCTION("""COMPUTED_VALUE"""),"USA")</f>
        <v>USA</v>
      </c>
      <c r="E3426" s="171">
        <f>IFERROR(__xludf.DUMMYFUNCTION("""COMPUTED_VALUE"""),43214.0)</f>
        <v>43214</v>
      </c>
      <c r="F3426" s="172">
        <f>IFERROR(__xludf.DUMMYFUNCTION("""COMPUTED_VALUE"""),43271.0)</f>
        <v>43271</v>
      </c>
      <c r="G3426" s="173"/>
      <c r="H3426" s="174">
        <f>IFERROR(__xludf.DUMMYFUNCTION("""COMPUTED_VALUE"""),35255.0)</f>
        <v>35255</v>
      </c>
      <c r="I3426" s="175" t="str">
        <f>IFERROR(__xludf.DUMMYFUNCTION("""COMPUTED_VALUE"""),"06/18")</f>
        <v>06/18</v>
      </c>
      <c r="J3426" s="172">
        <f>IFERROR(__xludf.DUMMYFUNCTION("""COMPUTED_VALUE"""),43287.0)</f>
        <v>43287</v>
      </c>
      <c r="K3426" s="176">
        <f>IFERROR(__xludf.DUMMYFUNCTION("""COMPUTED_VALUE"""),57.0)</f>
        <v>57</v>
      </c>
      <c r="L3426" s="176">
        <f>IFERROR(__xludf.DUMMYFUNCTION("""COMPUTED_VALUE"""),16.0)</f>
        <v>16</v>
      </c>
      <c r="M3426" s="176">
        <f>IFERROR(__xludf.DUMMYFUNCTION("""COMPUTED_VALUE"""),73.0)</f>
        <v>73</v>
      </c>
      <c r="N3426" s="177" t="str">
        <f>IFERROR(__xludf.DUMMYFUNCTION("""COMPUTED_VALUE"""),"Model 3 LR")</f>
        <v>Model 3 LR</v>
      </c>
      <c r="O3426" s="177" t="str">
        <f>IFERROR(__xludf.DUMMYFUNCTION("""COMPUTED_VALUE"""),"Pearl White Multi-Coat")</f>
        <v>Pearl White Multi-Coat</v>
      </c>
      <c r="P3426" s="178" t="str">
        <f>IFERROR(__xludf.DUMMYFUNCTION("""COMPUTED_VALUE"""),"18 inch Aero")</f>
        <v>18 inch Aero</v>
      </c>
      <c r="Q3426" s="177" t="str">
        <f>IFERROR(__xludf.DUMMYFUNCTION("""COMPUTED_VALUE"""),"Black seats")</f>
        <v>Black seats</v>
      </c>
      <c r="R3426" s="170" t="str">
        <f>IFERROR(__xludf.DUMMYFUNCTION("""COMPUTED_VALUE"""),"Enhanced Autopilot")</f>
        <v>Enhanced Autopilot</v>
      </c>
      <c r="S3426" s="170"/>
      <c r="T3426" s="179"/>
      <c r="U3426" s="179"/>
      <c r="V3426" s="179"/>
      <c r="W3426" s="180"/>
      <c r="X3426" s="181" t="str">
        <f>IFERROR(__xludf.DUMMYFUNCTION("""COMPUTED_VALUE"""),"Fair")</f>
        <v>Fair</v>
      </c>
      <c r="Y3426" s="182" t="str">
        <f>IFERROR(__xludf.DUMMYFUNCTION("""COMPUTED_VALUE"""),"Good")</f>
        <v>Good</v>
      </c>
      <c r="Z3426" s="182" t="str">
        <f>IFERROR(__xludf.DUMMYFUNCTION("""COMPUTED_VALUE"""),"Very Good")</f>
        <v>Very Good</v>
      </c>
      <c r="AA3426" s="182" t="str">
        <f>IFERROR(__xludf.DUMMYFUNCTION("""COMPUTED_VALUE"""),"Fair")</f>
        <v>Fair</v>
      </c>
      <c r="AB3426" s="182" t="str">
        <f>IFERROR(__xludf.DUMMYFUNCTION("""COMPUTED_VALUE"""),"Good")</f>
        <v>Good</v>
      </c>
      <c r="AC3426" s="183">
        <f>IFERROR(__xludf.DUMMYFUNCTION("""COMPUTED_VALUE"""),5.0)</f>
        <v>5</v>
      </c>
      <c r="AD3426" s="183">
        <f>IFERROR(__xludf.DUMMYFUNCTION("""COMPUTED_VALUE"""),2.0)</f>
        <v>2</v>
      </c>
      <c r="AE3426" s="183">
        <f>IFERROR(__xludf.DUMMYFUNCTION("""COMPUTED_VALUE"""),0.0)</f>
        <v>0</v>
      </c>
      <c r="AF3426" s="184"/>
      <c r="AG3426" s="180"/>
      <c r="AH3426" s="185">
        <f>IFERROR(__xludf.DUMMYFUNCTION("""COMPUTED_VALUE"""),43301.54805564815)</f>
        <v>43301.54806</v>
      </c>
      <c r="AI3426" s="182"/>
      <c r="AJ3426" s="182"/>
      <c r="AK3426" s="182"/>
      <c r="AL3426" s="182"/>
    </row>
    <row r="3427" ht="20.25" customHeight="1">
      <c r="A3427" s="169" t="str">
        <f>IFERROR(__xludf.DUMMYFUNCTION("""COMPUTED_VALUE"""),"mtnview747")</f>
        <v>mtnview747</v>
      </c>
      <c r="B3427" s="170" t="str">
        <f>IFERROR(__xludf.DUMMYFUNCTION("""COMPUTED_VALUE"""),"Mountain View, CA")</f>
        <v>Mountain View, CA</v>
      </c>
      <c r="C3427" s="170" t="str">
        <f>IFERROR(__xludf.DUMMYFUNCTION("""COMPUTED_VALUE"""),"CA")</f>
        <v>CA</v>
      </c>
      <c r="D3427" s="170" t="str">
        <f>IFERROR(__xludf.DUMMYFUNCTION("""COMPUTED_VALUE"""),"USA")</f>
        <v>USA</v>
      </c>
      <c r="E3427" s="171">
        <f>IFERROR(__xludf.DUMMYFUNCTION("""COMPUTED_VALUE"""),43214.0)</f>
        <v>43214</v>
      </c>
      <c r="F3427" s="172">
        <f>IFERROR(__xludf.DUMMYFUNCTION("""COMPUTED_VALUE"""),43292.0)</f>
        <v>43292</v>
      </c>
      <c r="G3427" s="173"/>
      <c r="H3427" s="174">
        <f>IFERROR(__xludf.DUMMYFUNCTION("""COMPUTED_VALUE"""),40655.0)</f>
        <v>40655</v>
      </c>
      <c r="I3427" s="175"/>
      <c r="J3427" s="172">
        <f>IFERROR(__xludf.DUMMYFUNCTION("""COMPUTED_VALUE"""),43298.0)</f>
        <v>43298</v>
      </c>
      <c r="K3427" s="176">
        <f>IFERROR(__xludf.DUMMYFUNCTION("""COMPUTED_VALUE"""),78.0)</f>
        <v>78</v>
      </c>
      <c r="L3427" s="176">
        <f>IFERROR(__xludf.DUMMYFUNCTION("""COMPUTED_VALUE"""),6.0)</f>
        <v>6</v>
      </c>
      <c r="M3427" s="176">
        <f>IFERROR(__xludf.DUMMYFUNCTION("""COMPUTED_VALUE"""),84.0)</f>
        <v>84</v>
      </c>
      <c r="N3427" s="177" t="str">
        <f>IFERROR(__xludf.DUMMYFUNCTION("""COMPUTED_VALUE"""),"Model 3 LR")</f>
        <v>Model 3 LR</v>
      </c>
      <c r="O3427" s="177" t="str">
        <f>IFERROR(__xludf.DUMMYFUNCTION("""COMPUTED_VALUE"""),"Pearl White Multi-Coat")</f>
        <v>Pearl White Multi-Coat</v>
      </c>
      <c r="P3427" s="178" t="str">
        <f>IFERROR(__xludf.DUMMYFUNCTION("""COMPUTED_VALUE"""),"18 inch Aero")</f>
        <v>18 inch Aero</v>
      </c>
      <c r="Q3427" s="177" t="str">
        <f>IFERROR(__xludf.DUMMYFUNCTION("""COMPUTED_VALUE"""),"Black seats")</f>
        <v>Black seats</v>
      </c>
      <c r="R3427" s="170" t="str">
        <f>IFERROR(__xludf.DUMMYFUNCTION("""COMPUTED_VALUE"""),"Full Self-Driving")</f>
        <v>Full Self-Driving</v>
      </c>
      <c r="S3427" s="170"/>
      <c r="T3427" s="179"/>
      <c r="U3427" s="179"/>
      <c r="V3427" s="179"/>
      <c r="W3427" s="180"/>
      <c r="X3427" s="181" t="str">
        <f>IFERROR(__xludf.DUMMYFUNCTION("""COMPUTED_VALUE"""),"Very Good")</f>
        <v>Very Good</v>
      </c>
      <c r="Y3427" s="182" t="str">
        <f>IFERROR(__xludf.DUMMYFUNCTION("""COMPUTED_VALUE"""),"Excellent")</f>
        <v>Excellent</v>
      </c>
      <c r="Z3427" s="182" t="str">
        <f>IFERROR(__xludf.DUMMYFUNCTION("""COMPUTED_VALUE"""),"Excellent")</f>
        <v>Excellent</v>
      </c>
      <c r="AA3427" s="182" t="str">
        <f>IFERROR(__xludf.DUMMYFUNCTION("""COMPUTED_VALUE"""),"Very Good")</f>
        <v>Very Good</v>
      </c>
      <c r="AB3427" s="182" t="str">
        <f>IFERROR(__xludf.DUMMYFUNCTION("""COMPUTED_VALUE"""),"Excellent")</f>
        <v>Excellent</v>
      </c>
      <c r="AC3427" s="183">
        <f>IFERROR(__xludf.DUMMYFUNCTION("""COMPUTED_VALUE"""),1.0)</f>
        <v>1</v>
      </c>
      <c r="AD3427" s="183">
        <f>IFERROR(__xludf.DUMMYFUNCTION("""COMPUTED_VALUE"""),1.0)</f>
        <v>1</v>
      </c>
      <c r="AE3427" s="183">
        <f>IFERROR(__xludf.DUMMYFUNCTION("""COMPUTED_VALUE"""),0.0)</f>
        <v>0</v>
      </c>
      <c r="AF3427" s="184"/>
      <c r="AG3427" s="180"/>
      <c r="AH3427" s="185">
        <f>IFERROR(__xludf.DUMMYFUNCTION("""COMPUTED_VALUE"""),43305.945937303244)</f>
        <v>43305.94594</v>
      </c>
      <c r="AI3427" s="182"/>
      <c r="AJ3427" s="182"/>
      <c r="AK3427" s="182"/>
      <c r="AL3427" s="182"/>
    </row>
    <row r="3428" ht="20.25" customHeight="1">
      <c r="A3428" s="169" t="str">
        <f>IFERROR(__xludf.DUMMYFUNCTION("""COMPUTED_VALUE"""),"peachfuzz0")</f>
        <v>peachfuzz0</v>
      </c>
      <c r="B3428" s="170" t="str">
        <f>IFERROR(__xludf.DUMMYFUNCTION("""COMPUTED_VALUE"""),"Montreal")</f>
        <v>Montreal</v>
      </c>
      <c r="C3428" s="170" t="str">
        <f>IFERROR(__xludf.DUMMYFUNCTION("""COMPUTED_VALUE"""),"QC")</f>
        <v>QC</v>
      </c>
      <c r="D3428" s="170" t="str">
        <f>IFERROR(__xludf.DUMMYFUNCTION("""COMPUTED_VALUE"""),"Canada")</f>
        <v>Canada</v>
      </c>
      <c r="E3428" s="171">
        <f>IFERROR(__xludf.DUMMYFUNCTION("""COMPUTED_VALUE"""),43214.0)</f>
        <v>43214</v>
      </c>
      <c r="F3428" s="172">
        <f>IFERROR(__xludf.DUMMYFUNCTION("""COMPUTED_VALUE"""),43236.0)</f>
        <v>43236</v>
      </c>
      <c r="G3428" s="173"/>
      <c r="H3428" s="174">
        <f>IFERROR(__xludf.DUMMYFUNCTION("""COMPUTED_VALUE"""),29255.0)</f>
        <v>29255</v>
      </c>
      <c r="I3428" s="175" t="str">
        <f>IFERROR(__xludf.DUMMYFUNCTION("""COMPUTED_VALUE"""),"05/18")</f>
        <v>05/18</v>
      </c>
      <c r="J3428" s="172">
        <f>IFERROR(__xludf.DUMMYFUNCTION("""COMPUTED_VALUE"""),43259.0)</f>
        <v>43259</v>
      </c>
      <c r="K3428" s="176">
        <f>IFERROR(__xludf.DUMMYFUNCTION("""COMPUTED_VALUE"""),22.0)</f>
        <v>22</v>
      </c>
      <c r="L3428" s="176">
        <f>IFERROR(__xludf.DUMMYFUNCTION("""COMPUTED_VALUE"""),23.0)</f>
        <v>23</v>
      </c>
      <c r="M3428" s="176">
        <f>IFERROR(__xludf.DUMMYFUNCTION("""COMPUTED_VALUE"""),45.0)</f>
        <v>45</v>
      </c>
      <c r="N3428" s="177" t="str">
        <f>IFERROR(__xludf.DUMMYFUNCTION("""COMPUTED_VALUE"""),"Model 3 LR")</f>
        <v>Model 3 LR</v>
      </c>
      <c r="O3428" s="177" t="str">
        <f>IFERROR(__xludf.DUMMYFUNCTION("""COMPUTED_VALUE"""),"Deep Blue Metallic")</f>
        <v>Deep Blue Metallic</v>
      </c>
      <c r="P3428" s="178" t="str">
        <f>IFERROR(__xludf.DUMMYFUNCTION("""COMPUTED_VALUE"""),"18 inch Aero")</f>
        <v>18 inch Aero</v>
      </c>
      <c r="Q3428" s="177" t="str">
        <f>IFERROR(__xludf.DUMMYFUNCTION("""COMPUTED_VALUE"""),"Black seats")</f>
        <v>Black seats</v>
      </c>
      <c r="R3428" s="170" t="str">
        <f>IFERROR(__xludf.DUMMYFUNCTION("""COMPUTED_VALUE"""),"Enhanced Autopilot")</f>
        <v>Enhanced Autopilot</v>
      </c>
      <c r="S3428" s="170"/>
      <c r="T3428" s="179"/>
      <c r="U3428" s="179"/>
      <c r="V3428" s="179"/>
      <c r="W3428" s="180"/>
      <c r="X3428" s="181" t="str">
        <f>IFERROR(__xludf.DUMMYFUNCTION("""COMPUTED_VALUE"""),"Excellent")</f>
        <v>Excellent</v>
      </c>
      <c r="Y3428" s="182" t="str">
        <f>IFERROR(__xludf.DUMMYFUNCTION("""COMPUTED_VALUE"""),"Excellent")</f>
        <v>Excellent</v>
      </c>
      <c r="Z3428" s="182" t="str">
        <f>IFERROR(__xludf.DUMMYFUNCTION("""COMPUTED_VALUE"""),"Excellent")</f>
        <v>Excellent</v>
      </c>
      <c r="AA3428" s="182" t="str">
        <f>IFERROR(__xludf.DUMMYFUNCTION("""COMPUTED_VALUE"""),"Good")</f>
        <v>Good</v>
      </c>
      <c r="AB3428" s="182" t="str">
        <f>IFERROR(__xludf.DUMMYFUNCTION("""COMPUTED_VALUE"""),"Excellent")</f>
        <v>Excellent</v>
      </c>
      <c r="AC3428" s="183"/>
      <c r="AD3428" s="183"/>
      <c r="AE3428" s="183"/>
      <c r="AF3428" s="184"/>
      <c r="AG3428" s="180"/>
      <c r="AH3428" s="185">
        <f>IFERROR(__xludf.DUMMYFUNCTION("""COMPUTED_VALUE"""),43278.28721846065)</f>
        <v>43278.28722</v>
      </c>
      <c r="AI3428" s="182"/>
      <c r="AJ3428" s="182"/>
      <c r="AK3428" s="182"/>
      <c r="AL3428" s="182"/>
    </row>
    <row r="3429" ht="20.25" customHeight="1">
      <c r="A3429" s="169" t="str">
        <f>IFERROR(__xludf.DUMMYFUNCTION("""COMPUTED_VALUE"""),"austin_goldenoak")</f>
        <v>austin_goldenoak</v>
      </c>
      <c r="B3429" s="170" t="str">
        <f>IFERROR(__xludf.DUMMYFUNCTION("""COMPUTED_VALUE"""),"Austin")</f>
        <v>Austin</v>
      </c>
      <c r="C3429" s="170" t="str">
        <f>IFERROR(__xludf.DUMMYFUNCTION("""COMPUTED_VALUE"""),"TX")</f>
        <v>TX</v>
      </c>
      <c r="D3429" s="170" t="str">
        <f>IFERROR(__xludf.DUMMYFUNCTION("""COMPUTED_VALUE"""),"USA")</f>
        <v>USA</v>
      </c>
      <c r="E3429" s="171">
        <f>IFERROR(__xludf.DUMMYFUNCTION("""COMPUTED_VALUE"""),43213.0)</f>
        <v>43213</v>
      </c>
      <c r="F3429" s="172">
        <f>IFERROR(__xludf.DUMMYFUNCTION("""COMPUTED_VALUE"""),43265.0)</f>
        <v>43265</v>
      </c>
      <c r="G3429" s="173"/>
      <c r="H3429" s="174">
        <f>IFERROR(__xludf.DUMMYFUNCTION("""COMPUTED_VALUE"""),38355.0)</f>
        <v>38355</v>
      </c>
      <c r="I3429" s="175"/>
      <c r="J3429" s="172">
        <f>IFERROR(__xludf.DUMMYFUNCTION("""COMPUTED_VALUE"""),43290.0)</f>
        <v>43290</v>
      </c>
      <c r="K3429" s="176">
        <f>IFERROR(__xludf.DUMMYFUNCTION("""COMPUTED_VALUE"""),52.0)</f>
        <v>52</v>
      </c>
      <c r="L3429" s="176">
        <f>IFERROR(__xludf.DUMMYFUNCTION("""COMPUTED_VALUE"""),25.0)</f>
        <v>25</v>
      </c>
      <c r="M3429" s="176">
        <f>IFERROR(__xludf.DUMMYFUNCTION("""COMPUTED_VALUE"""),77.0)</f>
        <v>77</v>
      </c>
      <c r="N3429" s="177" t="str">
        <f>IFERROR(__xludf.DUMMYFUNCTION("""COMPUTED_VALUE"""),"Model 3 LR")</f>
        <v>Model 3 LR</v>
      </c>
      <c r="O3429" s="177" t="str">
        <f>IFERROR(__xludf.DUMMYFUNCTION("""COMPUTED_VALUE"""),"Deep Blue Metallic")</f>
        <v>Deep Blue Metallic</v>
      </c>
      <c r="P3429" s="178" t="str">
        <f>IFERROR(__xludf.DUMMYFUNCTION("""COMPUTED_VALUE"""),"18 inch Aero")</f>
        <v>18 inch Aero</v>
      </c>
      <c r="Q3429" s="177" t="str">
        <f>IFERROR(__xludf.DUMMYFUNCTION("""COMPUTED_VALUE"""),"Black seats")</f>
        <v>Black seats</v>
      </c>
      <c r="R3429" s="170" t="str">
        <f>IFERROR(__xludf.DUMMYFUNCTION("""COMPUTED_VALUE"""),"Enhanced Autopilot")</f>
        <v>Enhanced Autopilot</v>
      </c>
      <c r="S3429" s="170"/>
      <c r="T3429" s="179"/>
      <c r="U3429" s="179"/>
      <c r="V3429" s="179"/>
      <c r="W3429" s="180"/>
      <c r="X3429" s="181" t="str">
        <f>IFERROR(__xludf.DUMMYFUNCTION("""COMPUTED_VALUE"""),"Good")</f>
        <v>Good</v>
      </c>
      <c r="Y3429" s="182" t="str">
        <f>IFERROR(__xludf.DUMMYFUNCTION("""COMPUTED_VALUE"""),"Very Good")</f>
        <v>Very Good</v>
      </c>
      <c r="Z3429" s="182" t="str">
        <f>IFERROR(__xludf.DUMMYFUNCTION("""COMPUTED_VALUE"""),"Fair")</f>
        <v>Fair</v>
      </c>
      <c r="AA3429" s="182" t="str">
        <f>IFERROR(__xludf.DUMMYFUNCTION("""COMPUTED_VALUE"""),"Fair")</f>
        <v>Fair</v>
      </c>
      <c r="AB3429" s="182" t="str">
        <f>IFERROR(__xludf.DUMMYFUNCTION("""COMPUTED_VALUE"""),"Fair")</f>
        <v>Fair</v>
      </c>
      <c r="AC3429" s="183">
        <f>IFERROR(__xludf.DUMMYFUNCTION("""COMPUTED_VALUE"""),1.0)</f>
        <v>1</v>
      </c>
      <c r="AD3429" s="183">
        <f>IFERROR(__xludf.DUMMYFUNCTION("""COMPUTED_VALUE"""),1.0)</f>
        <v>1</v>
      </c>
      <c r="AE3429" s="183">
        <f>IFERROR(__xludf.DUMMYFUNCTION("""COMPUTED_VALUE"""),6.0)</f>
        <v>6</v>
      </c>
      <c r="AF3429" s="184"/>
      <c r="AG3429" s="180"/>
      <c r="AH3429" s="185">
        <f>IFERROR(__xludf.DUMMYFUNCTION("""COMPUTED_VALUE"""),43318.78723952547)</f>
        <v>43318.78724</v>
      </c>
      <c r="AI3429" s="182"/>
      <c r="AJ3429" s="182"/>
      <c r="AK3429" s="182"/>
      <c r="AL3429" s="182"/>
    </row>
    <row r="3430" ht="20.25" customHeight="1">
      <c r="A3430" s="169" t="str">
        <f>IFERROR(__xludf.DUMMYFUNCTION("""COMPUTED_VALUE"""),"bluefalconwing")</f>
        <v>bluefalconwing</v>
      </c>
      <c r="B3430" s="170" t="str">
        <f>IFERROR(__xludf.DUMMYFUNCTION("""COMPUTED_VALUE"""),"Walnut Creek")</f>
        <v>Walnut Creek</v>
      </c>
      <c r="C3430" s="170" t="str">
        <f>IFERROR(__xludf.DUMMYFUNCTION("""COMPUTED_VALUE"""),"CA")</f>
        <v>CA</v>
      </c>
      <c r="D3430" s="170" t="str">
        <f>IFERROR(__xludf.DUMMYFUNCTION("""COMPUTED_VALUE"""),"USA")</f>
        <v>USA</v>
      </c>
      <c r="E3430" s="171">
        <f>IFERROR(__xludf.DUMMYFUNCTION("""COMPUTED_VALUE"""),43213.0)</f>
        <v>43213</v>
      </c>
      <c r="F3430" s="172">
        <f>IFERROR(__xludf.DUMMYFUNCTION("""COMPUTED_VALUE"""),43280.0)</f>
        <v>43280</v>
      </c>
      <c r="G3430" s="173"/>
      <c r="H3430" s="174">
        <f>IFERROR(__xludf.DUMMYFUNCTION("""COMPUTED_VALUE"""),36495.0)</f>
        <v>36495</v>
      </c>
      <c r="I3430" s="175"/>
      <c r="J3430" s="172">
        <f>IFERROR(__xludf.DUMMYFUNCTION("""COMPUTED_VALUE"""),43282.0)</f>
        <v>43282</v>
      </c>
      <c r="K3430" s="176">
        <f>IFERROR(__xludf.DUMMYFUNCTION("""COMPUTED_VALUE"""),67.0)</f>
        <v>67</v>
      </c>
      <c r="L3430" s="176">
        <f>IFERROR(__xludf.DUMMYFUNCTION("""COMPUTED_VALUE"""),2.0)</f>
        <v>2</v>
      </c>
      <c r="M3430" s="176">
        <f>IFERROR(__xludf.DUMMYFUNCTION("""COMPUTED_VALUE"""),69.0)</f>
        <v>69</v>
      </c>
      <c r="N3430" s="177" t="str">
        <f>IFERROR(__xludf.DUMMYFUNCTION("""COMPUTED_VALUE"""),"Model 3 LR")</f>
        <v>Model 3 LR</v>
      </c>
      <c r="O3430" s="177" t="str">
        <f>IFERROR(__xludf.DUMMYFUNCTION("""COMPUTED_VALUE"""),"Solid Black")</f>
        <v>Solid Black</v>
      </c>
      <c r="P3430" s="178" t="str">
        <f>IFERROR(__xludf.DUMMYFUNCTION("""COMPUTED_VALUE"""),"18 inch Aero")</f>
        <v>18 inch Aero</v>
      </c>
      <c r="Q3430" s="177" t="str">
        <f>IFERROR(__xludf.DUMMYFUNCTION("""COMPUTED_VALUE"""),"Black seats")</f>
        <v>Black seats</v>
      </c>
      <c r="R3430" s="170" t="str">
        <f>IFERROR(__xludf.DUMMYFUNCTION("""COMPUTED_VALUE"""),"None")</f>
        <v>None</v>
      </c>
      <c r="S3430" s="170"/>
      <c r="T3430" s="179"/>
      <c r="U3430" s="179"/>
      <c r="V3430" s="179"/>
      <c r="W3430" s="180"/>
      <c r="X3430" s="181" t="str">
        <f>IFERROR(__xludf.DUMMYFUNCTION("""COMPUTED_VALUE"""),"Very Good")</f>
        <v>Very Good</v>
      </c>
      <c r="Y3430" s="182" t="str">
        <f>IFERROR(__xludf.DUMMYFUNCTION("""COMPUTED_VALUE"""),"Very Good")</f>
        <v>Very Good</v>
      </c>
      <c r="Z3430" s="182" t="str">
        <f>IFERROR(__xludf.DUMMYFUNCTION("""COMPUTED_VALUE"""),"Very Good")</f>
        <v>Very Good</v>
      </c>
      <c r="AA3430" s="182" t="str">
        <f>IFERROR(__xludf.DUMMYFUNCTION("""COMPUTED_VALUE"""),"Excellent")</f>
        <v>Excellent</v>
      </c>
      <c r="AB3430" s="182" t="str">
        <f>IFERROR(__xludf.DUMMYFUNCTION("""COMPUTED_VALUE"""),"Poor")</f>
        <v>Poor</v>
      </c>
      <c r="AC3430" s="183"/>
      <c r="AD3430" s="183"/>
      <c r="AE3430" s="183"/>
      <c r="AF3430" s="184"/>
      <c r="AG3430" s="180"/>
      <c r="AH3430" s="185">
        <f>IFERROR(__xludf.DUMMYFUNCTION("""COMPUTED_VALUE"""),43289.97005567129)</f>
        <v>43289.97006</v>
      </c>
      <c r="AI3430" s="182"/>
      <c r="AJ3430" s="182"/>
      <c r="AK3430" s="182"/>
      <c r="AL3430" s="182"/>
    </row>
    <row r="3431" ht="20.25" customHeight="1">
      <c r="A3431" s="169" t="str">
        <f>IFERROR(__xludf.DUMMYFUNCTION("""COMPUTED_VALUE"""),"sandyUTTX")</f>
        <v>sandyUTTX</v>
      </c>
      <c r="B3431" s="170" t="str">
        <f>IFERROR(__xludf.DUMMYFUNCTION("""COMPUTED_VALUE"""),"DFW")</f>
        <v>DFW</v>
      </c>
      <c r="C3431" s="170" t="str">
        <f>IFERROR(__xludf.DUMMYFUNCTION("""COMPUTED_VALUE"""),"TX")</f>
        <v>TX</v>
      </c>
      <c r="D3431" s="170" t="str">
        <f>IFERROR(__xludf.DUMMYFUNCTION("""COMPUTED_VALUE"""),"USA")</f>
        <v>USA</v>
      </c>
      <c r="E3431" s="171">
        <f>IFERROR(__xludf.DUMMYFUNCTION("""COMPUTED_VALUE"""),43213.0)</f>
        <v>43213</v>
      </c>
      <c r="F3431" s="172">
        <f>IFERROR(__xludf.DUMMYFUNCTION("""COMPUTED_VALUE"""),43265.0)</f>
        <v>43265</v>
      </c>
      <c r="G3431" s="173"/>
      <c r="H3431" s="174">
        <f>IFERROR(__xludf.DUMMYFUNCTION("""COMPUTED_VALUE"""),33855.0)</f>
        <v>33855</v>
      </c>
      <c r="I3431" s="175"/>
      <c r="J3431" s="172">
        <f>IFERROR(__xludf.DUMMYFUNCTION("""COMPUTED_VALUE"""),43279.0)</f>
        <v>43279</v>
      </c>
      <c r="K3431" s="176">
        <f>IFERROR(__xludf.DUMMYFUNCTION("""COMPUTED_VALUE"""),52.0)</f>
        <v>52</v>
      </c>
      <c r="L3431" s="176">
        <f>IFERROR(__xludf.DUMMYFUNCTION("""COMPUTED_VALUE"""),14.0)</f>
        <v>14</v>
      </c>
      <c r="M3431" s="176">
        <f>IFERROR(__xludf.DUMMYFUNCTION("""COMPUTED_VALUE"""),66.0)</f>
        <v>66</v>
      </c>
      <c r="N3431" s="177" t="str">
        <f>IFERROR(__xludf.DUMMYFUNCTION("""COMPUTED_VALUE"""),"Model 3 LR")</f>
        <v>Model 3 LR</v>
      </c>
      <c r="O3431" s="177" t="str">
        <f>IFERROR(__xludf.DUMMYFUNCTION("""COMPUTED_VALUE"""),"Midnight Silver Metallic")</f>
        <v>Midnight Silver Metallic</v>
      </c>
      <c r="P3431" s="178" t="str">
        <f>IFERROR(__xludf.DUMMYFUNCTION("""COMPUTED_VALUE"""),"18 inch Aero")</f>
        <v>18 inch Aero</v>
      </c>
      <c r="Q3431" s="177" t="str">
        <f>IFERROR(__xludf.DUMMYFUNCTION("""COMPUTED_VALUE"""),"Black seats")</f>
        <v>Black seats</v>
      </c>
      <c r="R3431" s="170" t="str">
        <f>IFERROR(__xludf.DUMMYFUNCTION("""COMPUTED_VALUE"""),"Enhanced Autopilot")</f>
        <v>Enhanced Autopilot</v>
      </c>
      <c r="S3431" s="170"/>
      <c r="T3431" s="179"/>
      <c r="U3431" s="179"/>
      <c r="V3431" s="179"/>
      <c r="W3431" s="180"/>
      <c r="X3431" s="181" t="str">
        <f>IFERROR(__xludf.DUMMYFUNCTION("""COMPUTED_VALUE"""),"Excellent")</f>
        <v>Excellent</v>
      </c>
      <c r="Y3431" s="182" t="str">
        <f>IFERROR(__xludf.DUMMYFUNCTION("""COMPUTED_VALUE"""),"Excellent")</f>
        <v>Excellent</v>
      </c>
      <c r="Z3431" s="182" t="str">
        <f>IFERROR(__xludf.DUMMYFUNCTION("""COMPUTED_VALUE"""),"Excellent")</f>
        <v>Excellent</v>
      </c>
      <c r="AA3431" s="182" t="str">
        <f>IFERROR(__xludf.DUMMYFUNCTION("""COMPUTED_VALUE"""),"Good")</f>
        <v>Good</v>
      </c>
      <c r="AB3431" s="182" t="str">
        <f>IFERROR(__xludf.DUMMYFUNCTION("""COMPUTED_VALUE"""),"Good")</f>
        <v>Good</v>
      </c>
      <c r="AC3431" s="183"/>
      <c r="AD3431" s="183"/>
      <c r="AE3431" s="183"/>
      <c r="AF3431" s="184"/>
      <c r="AG3431" s="180"/>
      <c r="AH3431" s="185">
        <f>IFERROR(__xludf.DUMMYFUNCTION("""COMPUTED_VALUE"""),43284.39107741898)</f>
        <v>43284.39108</v>
      </c>
      <c r="AI3431" s="182"/>
      <c r="AJ3431" s="182"/>
      <c r="AK3431" s="182"/>
      <c r="AL3431" s="182"/>
    </row>
    <row r="3432" ht="20.25" customHeight="1">
      <c r="A3432" s="169" t="str">
        <f>IFERROR(__xludf.DUMMYFUNCTION("""COMPUTED_VALUE"""),"bltsndwch")</f>
        <v>bltsndwch</v>
      </c>
      <c r="B3432" s="170" t="str">
        <f>IFERROR(__xludf.DUMMYFUNCTION("""COMPUTED_VALUE"""),"Pensacola")</f>
        <v>Pensacola</v>
      </c>
      <c r="C3432" s="170" t="str">
        <f>IFERROR(__xludf.DUMMYFUNCTION("""COMPUTED_VALUE"""),"FL")</f>
        <v>FL</v>
      </c>
      <c r="D3432" s="170" t="str">
        <f>IFERROR(__xludf.DUMMYFUNCTION("""COMPUTED_VALUE"""),"USA")</f>
        <v>USA</v>
      </c>
      <c r="E3432" s="171">
        <f>IFERROR(__xludf.DUMMYFUNCTION("""COMPUTED_VALUE"""),43212.0)</f>
        <v>43212</v>
      </c>
      <c r="F3432" s="172">
        <f>IFERROR(__xludf.DUMMYFUNCTION("""COMPUTED_VALUE"""),43287.0)</f>
        <v>43287</v>
      </c>
      <c r="G3432" s="173"/>
      <c r="H3432" s="174">
        <f>IFERROR(__xludf.DUMMYFUNCTION("""COMPUTED_VALUE"""),30555.0)</f>
        <v>30555</v>
      </c>
      <c r="I3432" s="175"/>
      <c r="J3432" s="172">
        <f>IFERROR(__xludf.DUMMYFUNCTION("""COMPUTED_VALUE"""),43311.0)</f>
        <v>43311</v>
      </c>
      <c r="K3432" s="176">
        <f>IFERROR(__xludf.DUMMYFUNCTION("""COMPUTED_VALUE"""),75.0)</f>
        <v>75</v>
      </c>
      <c r="L3432" s="176">
        <f>IFERROR(__xludf.DUMMYFUNCTION("""COMPUTED_VALUE"""),24.0)</f>
        <v>24</v>
      </c>
      <c r="M3432" s="176">
        <f>IFERROR(__xludf.DUMMYFUNCTION("""COMPUTED_VALUE"""),99.0)</f>
        <v>99</v>
      </c>
      <c r="N3432" s="177" t="str">
        <f>IFERROR(__xludf.DUMMYFUNCTION("""COMPUTED_VALUE"""),"Model 3 LR")</f>
        <v>Model 3 LR</v>
      </c>
      <c r="O3432" s="177" t="str">
        <f>IFERROR(__xludf.DUMMYFUNCTION("""COMPUTED_VALUE"""),"Midnight Silver Metallic")</f>
        <v>Midnight Silver Metallic</v>
      </c>
      <c r="P3432" s="178" t="str">
        <f>IFERROR(__xludf.DUMMYFUNCTION("""COMPUTED_VALUE"""),"19 inch Sport")</f>
        <v>19 inch Sport</v>
      </c>
      <c r="Q3432" s="177" t="str">
        <f>IFERROR(__xludf.DUMMYFUNCTION("""COMPUTED_VALUE"""),"Black seats")</f>
        <v>Black seats</v>
      </c>
      <c r="R3432" s="170" t="str">
        <f>IFERROR(__xludf.DUMMYFUNCTION("""COMPUTED_VALUE"""),"Enhanced Autopilot")</f>
        <v>Enhanced Autopilot</v>
      </c>
      <c r="S3432" s="170"/>
      <c r="T3432" s="179"/>
      <c r="U3432" s="179"/>
      <c r="V3432" s="179"/>
      <c r="W3432" s="180"/>
      <c r="X3432" s="181" t="str">
        <f>IFERROR(__xludf.DUMMYFUNCTION("""COMPUTED_VALUE"""),"Excellent")</f>
        <v>Excellent</v>
      </c>
      <c r="Y3432" s="182" t="str">
        <f>IFERROR(__xludf.DUMMYFUNCTION("""COMPUTED_VALUE"""),"Excellent")</f>
        <v>Excellent</v>
      </c>
      <c r="Z3432" s="182" t="str">
        <f>IFERROR(__xludf.DUMMYFUNCTION("""COMPUTED_VALUE"""),"Excellent")</f>
        <v>Excellent</v>
      </c>
      <c r="AA3432" s="182" t="str">
        <f>IFERROR(__xludf.DUMMYFUNCTION("""COMPUTED_VALUE"""),"Very Good")</f>
        <v>Very Good</v>
      </c>
      <c r="AB3432" s="182" t="str">
        <f>IFERROR(__xludf.DUMMYFUNCTION("""COMPUTED_VALUE"""),"Good")</f>
        <v>Good</v>
      </c>
      <c r="AC3432" s="183">
        <f>IFERROR(__xludf.DUMMYFUNCTION("""COMPUTED_VALUE"""),1.0)</f>
        <v>1</v>
      </c>
      <c r="AD3432" s="183">
        <f>IFERROR(__xludf.DUMMYFUNCTION("""COMPUTED_VALUE"""),0.0)</f>
        <v>0</v>
      </c>
      <c r="AE3432" s="183">
        <f>IFERROR(__xludf.DUMMYFUNCTION("""COMPUTED_VALUE"""),0.0)</f>
        <v>0</v>
      </c>
      <c r="AF3432" s="184"/>
      <c r="AG3432" s="180"/>
      <c r="AH3432" s="185">
        <f>IFERROR(__xludf.DUMMYFUNCTION("""COMPUTED_VALUE"""),43321.41185229167)</f>
        <v>43321.41185</v>
      </c>
      <c r="AI3432" s="182"/>
      <c r="AJ3432" s="182"/>
      <c r="AK3432" s="182"/>
      <c r="AL3432" s="182"/>
    </row>
    <row r="3433" ht="20.25" customHeight="1">
      <c r="A3433" s="169" t="str">
        <f>IFERROR(__xludf.DUMMYFUNCTION("""COMPUTED_VALUE"""),"hokieian")</f>
        <v>hokieian</v>
      </c>
      <c r="B3433" s="170" t="str">
        <f>IFERROR(__xludf.DUMMYFUNCTION("""COMPUTED_VALUE"""),"upstate NY")</f>
        <v>upstate NY</v>
      </c>
      <c r="C3433" s="170" t="str">
        <f>IFERROR(__xludf.DUMMYFUNCTION("""COMPUTED_VALUE"""),"NY")</f>
        <v>NY</v>
      </c>
      <c r="D3433" s="170" t="str">
        <f>IFERROR(__xludf.DUMMYFUNCTION("""COMPUTED_VALUE"""),"USA")</f>
        <v>USA</v>
      </c>
      <c r="E3433" s="171">
        <f>IFERROR(__xludf.DUMMYFUNCTION("""COMPUTED_VALUE"""),43212.0)</f>
        <v>43212</v>
      </c>
      <c r="F3433" s="172">
        <f>IFERROR(__xludf.DUMMYFUNCTION("""COMPUTED_VALUE"""),43271.0)</f>
        <v>43271</v>
      </c>
      <c r="G3433" s="173"/>
      <c r="H3433" s="174">
        <f>IFERROR(__xludf.DUMMYFUNCTION("""COMPUTED_VALUE"""),25631.0)</f>
        <v>25631</v>
      </c>
      <c r="I3433" s="175" t="str">
        <f>IFERROR(__xludf.DUMMYFUNCTION("""COMPUTED_VALUE"""),"06/18")</f>
        <v>06/18</v>
      </c>
      <c r="J3433" s="172">
        <f>IFERROR(__xludf.DUMMYFUNCTION("""COMPUTED_VALUE"""),43301.0)</f>
        <v>43301</v>
      </c>
      <c r="K3433" s="176">
        <f>IFERROR(__xludf.DUMMYFUNCTION("""COMPUTED_VALUE"""),59.0)</f>
        <v>59</v>
      </c>
      <c r="L3433" s="176">
        <f>IFERROR(__xludf.DUMMYFUNCTION("""COMPUTED_VALUE"""),30.0)</f>
        <v>30</v>
      </c>
      <c r="M3433" s="176">
        <f>IFERROR(__xludf.DUMMYFUNCTION("""COMPUTED_VALUE"""),89.0)</f>
        <v>89</v>
      </c>
      <c r="N3433" s="177" t="str">
        <f>IFERROR(__xludf.DUMMYFUNCTION("""COMPUTED_VALUE"""),"Model 3 LR")</f>
        <v>Model 3 LR</v>
      </c>
      <c r="O3433" s="177" t="str">
        <f>IFERROR(__xludf.DUMMYFUNCTION("""COMPUTED_VALUE"""),"Midnight Silver Metallic")</f>
        <v>Midnight Silver Metallic</v>
      </c>
      <c r="P3433" s="178" t="str">
        <f>IFERROR(__xludf.DUMMYFUNCTION("""COMPUTED_VALUE"""),"18 inch Aero")</f>
        <v>18 inch Aero</v>
      </c>
      <c r="Q3433" s="177" t="str">
        <f>IFERROR(__xludf.DUMMYFUNCTION("""COMPUTED_VALUE"""),"Black seats")</f>
        <v>Black seats</v>
      </c>
      <c r="R3433" s="170" t="str">
        <f>IFERROR(__xludf.DUMMYFUNCTION("""COMPUTED_VALUE"""),"None")</f>
        <v>None</v>
      </c>
      <c r="S3433" s="170"/>
      <c r="T3433" s="179"/>
      <c r="U3433" s="179"/>
      <c r="V3433" s="179"/>
      <c r="W3433" s="180"/>
      <c r="X3433" s="181" t="str">
        <f>IFERROR(__xludf.DUMMYFUNCTION("""COMPUTED_VALUE"""),"Very Good")</f>
        <v>Very Good</v>
      </c>
      <c r="Y3433" s="182" t="str">
        <f>IFERROR(__xludf.DUMMYFUNCTION("""COMPUTED_VALUE"""),"Good")</f>
        <v>Good</v>
      </c>
      <c r="Z3433" s="182" t="str">
        <f>IFERROR(__xludf.DUMMYFUNCTION("""COMPUTED_VALUE"""),"Very Good")</f>
        <v>Very Good</v>
      </c>
      <c r="AA3433" s="182" t="str">
        <f>IFERROR(__xludf.DUMMYFUNCTION("""COMPUTED_VALUE"""),"Very Good")</f>
        <v>Very Good</v>
      </c>
      <c r="AB3433" s="182" t="str">
        <f>IFERROR(__xludf.DUMMYFUNCTION("""COMPUTED_VALUE"""),"Excellent")</f>
        <v>Excellent</v>
      </c>
      <c r="AC3433" s="183">
        <f>IFERROR(__xludf.DUMMYFUNCTION("""COMPUTED_VALUE"""),3.0)</f>
        <v>3</v>
      </c>
      <c r="AD3433" s="183">
        <f>IFERROR(__xludf.DUMMYFUNCTION("""COMPUTED_VALUE"""),1.0)</f>
        <v>1</v>
      </c>
      <c r="AE3433" s="183">
        <f>IFERROR(__xludf.DUMMYFUNCTION("""COMPUTED_VALUE"""),0.0)</f>
        <v>0</v>
      </c>
      <c r="AF3433" s="184"/>
      <c r="AG3433" s="180"/>
      <c r="AH3433" s="185">
        <f>IFERROR(__xludf.DUMMYFUNCTION("""COMPUTED_VALUE"""),43335.29189467593)</f>
        <v>43335.29189</v>
      </c>
      <c r="AI3433" s="182"/>
      <c r="AJ3433" s="182"/>
      <c r="AK3433" s="182"/>
      <c r="AL3433" s="182"/>
    </row>
    <row r="3434" ht="20.25" customHeight="1">
      <c r="A3434" s="169" t="str">
        <f>IFERROR(__xludf.DUMMYFUNCTION("""COMPUTED_VALUE"""),"kook43")</f>
        <v>kook43</v>
      </c>
      <c r="B3434" s="170" t="str">
        <f>IFERROR(__xludf.DUMMYFUNCTION("""COMPUTED_VALUE"""),"St. Louis")</f>
        <v>St. Louis</v>
      </c>
      <c r="C3434" s="170" t="str">
        <f>IFERROR(__xludf.DUMMYFUNCTION("""COMPUTED_VALUE"""),"MO")</f>
        <v>MO</v>
      </c>
      <c r="D3434" s="170" t="str">
        <f>IFERROR(__xludf.DUMMYFUNCTION("""COMPUTED_VALUE"""),"USA")</f>
        <v>USA</v>
      </c>
      <c r="E3434" s="171">
        <f>IFERROR(__xludf.DUMMYFUNCTION("""COMPUTED_VALUE"""),43212.0)</f>
        <v>43212</v>
      </c>
      <c r="F3434" s="172">
        <f>IFERROR(__xludf.DUMMYFUNCTION("""COMPUTED_VALUE"""),43255.0)</f>
        <v>43255</v>
      </c>
      <c r="G3434" s="173"/>
      <c r="H3434" s="174">
        <f>IFERROR(__xludf.DUMMYFUNCTION("""COMPUTED_VALUE"""),25355.0)</f>
        <v>25355</v>
      </c>
      <c r="I3434" s="175" t="str">
        <f>IFERROR(__xludf.DUMMYFUNCTION("""COMPUTED_VALUE"""),"06/18")</f>
        <v>06/18</v>
      </c>
      <c r="J3434" s="172">
        <f>IFERROR(__xludf.DUMMYFUNCTION("""COMPUTED_VALUE"""),43279.0)</f>
        <v>43279</v>
      </c>
      <c r="K3434" s="176">
        <f>IFERROR(__xludf.DUMMYFUNCTION("""COMPUTED_VALUE"""),43.0)</f>
        <v>43</v>
      </c>
      <c r="L3434" s="176">
        <f>IFERROR(__xludf.DUMMYFUNCTION("""COMPUTED_VALUE"""),24.0)</f>
        <v>24</v>
      </c>
      <c r="M3434" s="176">
        <f>IFERROR(__xludf.DUMMYFUNCTION("""COMPUTED_VALUE"""),67.0)</f>
        <v>67</v>
      </c>
      <c r="N3434" s="177" t="str">
        <f>IFERROR(__xludf.DUMMYFUNCTION("""COMPUTED_VALUE"""),"Model 3 LR")</f>
        <v>Model 3 LR</v>
      </c>
      <c r="O3434" s="177" t="str">
        <f>IFERROR(__xludf.DUMMYFUNCTION("""COMPUTED_VALUE"""),"Pearl White Multi-Coat")</f>
        <v>Pearl White Multi-Coat</v>
      </c>
      <c r="P3434" s="178" t="str">
        <f>IFERROR(__xludf.DUMMYFUNCTION("""COMPUTED_VALUE"""),"19 inch Sport")</f>
        <v>19 inch Sport</v>
      </c>
      <c r="Q3434" s="177" t="str">
        <f>IFERROR(__xludf.DUMMYFUNCTION("""COMPUTED_VALUE"""),"Black seats")</f>
        <v>Black seats</v>
      </c>
      <c r="R3434" s="170" t="str">
        <f>IFERROR(__xludf.DUMMYFUNCTION("""COMPUTED_VALUE"""),"Enhanced Autopilot")</f>
        <v>Enhanced Autopilot</v>
      </c>
      <c r="S3434" s="170"/>
      <c r="T3434" s="179"/>
      <c r="U3434" s="179"/>
      <c r="V3434" s="179"/>
      <c r="W3434" s="180"/>
      <c r="X3434" s="181" t="str">
        <f>IFERROR(__xludf.DUMMYFUNCTION("""COMPUTED_VALUE"""),"Very Good")</f>
        <v>Very Good</v>
      </c>
      <c r="Y3434" s="182" t="str">
        <f>IFERROR(__xludf.DUMMYFUNCTION("""COMPUTED_VALUE"""),"Very Good")</f>
        <v>Very Good</v>
      </c>
      <c r="Z3434" s="182" t="str">
        <f>IFERROR(__xludf.DUMMYFUNCTION("""COMPUTED_VALUE"""),"Very Good")</f>
        <v>Very Good</v>
      </c>
      <c r="AA3434" s="182" t="str">
        <f>IFERROR(__xludf.DUMMYFUNCTION("""COMPUTED_VALUE"""),"Excellent")</f>
        <v>Excellent</v>
      </c>
      <c r="AB3434" s="182" t="str">
        <f>IFERROR(__xludf.DUMMYFUNCTION("""COMPUTED_VALUE"""),"Very Good")</f>
        <v>Very Good</v>
      </c>
      <c r="AC3434" s="183"/>
      <c r="AD3434" s="183"/>
      <c r="AE3434" s="183"/>
      <c r="AF3434" s="184"/>
      <c r="AG3434" s="180" t="str">
        <f>IFERROR(__xludf.DUMMYFUNCTION("""COMPUTED_VALUE"""),"A few minor issues, front window alignment, and one panel needs adjusting. Other than that it's awesome! :) ")</f>
        <v>A few minor issues, front window alignment, and one panel needs adjusting. Other than that it's awesome! :) </v>
      </c>
      <c r="AH3434" s="185">
        <f>IFERROR(__xludf.DUMMYFUNCTION("""COMPUTED_VALUE"""),43281.37839622685)</f>
        <v>43281.3784</v>
      </c>
      <c r="AI3434" s="182"/>
      <c r="AJ3434" s="182"/>
      <c r="AK3434" s="182"/>
      <c r="AL3434" s="182"/>
    </row>
    <row r="3435" ht="20.25" customHeight="1">
      <c r="A3435" s="169" t="str">
        <f>IFERROR(__xludf.DUMMYFUNCTION("""COMPUTED_VALUE"""),"Wingles")</f>
        <v>Wingles</v>
      </c>
      <c r="B3435" s="170" t="str">
        <f>IFERROR(__xludf.DUMMYFUNCTION("""COMPUTED_VALUE"""),"Scotts Valley")</f>
        <v>Scotts Valley</v>
      </c>
      <c r="C3435" s="170" t="str">
        <f>IFERROR(__xludf.DUMMYFUNCTION("""COMPUTED_VALUE"""),"CA")</f>
        <v>CA</v>
      </c>
      <c r="D3435" s="170" t="str">
        <f>IFERROR(__xludf.DUMMYFUNCTION("""COMPUTED_VALUE"""),"USA")</f>
        <v>USA</v>
      </c>
      <c r="E3435" s="171">
        <f>IFERROR(__xludf.DUMMYFUNCTION("""COMPUTED_VALUE"""),43212.0)</f>
        <v>43212</v>
      </c>
      <c r="F3435" s="172">
        <f>IFERROR(__xludf.DUMMYFUNCTION("""COMPUTED_VALUE"""),43293.0)</f>
        <v>43293</v>
      </c>
      <c r="G3435" s="173"/>
      <c r="H3435" s="174">
        <f>IFERROR(__xludf.DUMMYFUNCTION("""COMPUTED_VALUE"""),48755.0)</f>
        <v>48755</v>
      </c>
      <c r="I3435" s="175"/>
      <c r="J3435" s="172">
        <f>IFERROR(__xludf.DUMMYFUNCTION("""COMPUTED_VALUE"""),43296.0)</f>
        <v>43296</v>
      </c>
      <c r="K3435" s="176">
        <f>IFERROR(__xludf.DUMMYFUNCTION("""COMPUTED_VALUE"""),81.0)</f>
        <v>81</v>
      </c>
      <c r="L3435" s="176">
        <f>IFERROR(__xludf.DUMMYFUNCTION("""COMPUTED_VALUE"""),3.0)</f>
        <v>3</v>
      </c>
      <c r="M3435" s="176">
        <f>IFERROR(__xludf.DUMMYFUNCTION("""COMPUTED_VALUE"""),84.0)</f>
        <v>84</v>
      </c>
      <c r="N3435" s="177" t="str">
        <f>IFERROR(__xludf.DUMMYFUNCTION("""COMPUTED_VALUE"""),"Model 3 LR")</f>
        <v>Model 3 LR</v>
      </c>
      <c r="O3435" s="177" t="str">
        <f>IFERROR(__xludf.DUMMYFUNCTION("""COMPUTED_VALUE"""),"Red Multi-Coat")</f>
        <v>Red Multi-Coat</v>
      </c>
      <c r="P3435" s="178" t="str">
        <f>IFERROR(__xludf.DUMMYFUNCTION("""COMPUTED_VALUE"""),"19 inch Sport")</f>
        <v>19 inch Sport</v>
      </c>
      <c r="Q3435" s="177" t="str">
        <f>IFERROR(__xludf.DUMMYFUNCTION("""COMPUTED_VALUE"""),"Black seats")</f>
        <v>Black seats</v>
      </c>
      <c r="R3435" s="170" t="str">
        <f>IFERROR(__xludf.DUMMYFUNCTION("""COMPUTED_VALUE"""),"Full Self-Driving")</f>
        <v>Full Self-Driving</v>
      </c>
      <c r="S3435" s="170"/>
      <c r="T3435" s="179"/>
      <c r="U3435" s="179"/>
      <c r="V3435" s="179"/>
      <c r="W3435" s="180"/>
      <c r="X3435" s="181" t="str">
        <f>IFERROR(__xludf.DUMMYFUNCTION("""COMPUTED_VALUE"""),"Excellent")</f>
        <v>Excellent</v>
      </c>
      <c r="Y3435" s="182" t="str">
        <f>IFERROR(__xludf.DUMMYFUNCTION("""COMPUTED_VALUE"""),"Excellent")</f>
        <v>Excellent</v>
      </c>
      <c r="Z3435" s="182" t="str">
        <f>IFERROR(__xludf.DUMMYFUNCTION("""COMPUTED_VALUE"""),"Good")</f>
        <v>Good</v>
      </c>
      <c r="AA3435" s="182" t="str">
        <f>IFERROR(__xludf.DUMMYFUNCTION("""COMPUTED_VALUE"""),"Poor")</f>
        <v>Poor</v>
      </c>
      <c r="AB3435" s="182" t="str">
        <f>IFERROR(__xludf.DUMMYFUNCTION("""COMPUTED_VALUE"""),"Good")</f>
        <v>Good</v>
      </c>
      <c r="AC3435" s="183">
        <f>IFERROR(__xludf.DUMMYFUNCTION("""COMPUTED_VALUE"""),1.0)</f>
        <v>1</v>
      </c>
      <c r="AD3435" s="183">
        <f>IFERROR(__xludf.DUMMYFUNCTION("""COMPUTED_VALUE"""),1.0)</f>
        <v>1</v>
      </c>
      <c r="AE3435" s="183"/>
      <c r="AF3435" s="184"/>
      <c r="AG3435" s="180"/>
      <c r="AH3435" s="185">
        <f>IFERROR(__xludf.DUMMYFUNCTION("""COMPUTED_VALUE"""),43312.538237256944)</f>
        <v>43312.53824</v>
      </c>
      <c r="AI3435" s="182"/>
      <c r="AJ3435" s="182"/>
      <c r="AK3435" s="182"/>
      <c r="AL3435" s="182"/>
    </row>
    <row r="3436" ht="20.25" customHeight="1">
      <c r="A3436" s="169" t="str">
        <f>IFERROR(__xludf.DUMMYFUNCTION("""COMPUTED_VALUE"""),"ajwong168")</f>
        <v>ajwong168</v>
      </c>
      <c r="B3436" s="170" t="str">
        <f>IFERROR(__xludf.DUMMYFUNCTION("""COMPUTED_VALUE"""),"San Jose")</f>
        <v>San Jose</v>
      </c>
      <c r="C3436" s="170" t="str">
        <f>IFERROR(__xludf.DUMMYFUNCTION("""COMPUTED_VALUE"""),"CA")</f>
        <v>CA</v>
      </c>
      <c r="D3436" s="170" t="str">
        <f>IFERROR(__xludf.DUMMYFUNCTION("""COMPUTED_VALUE"""),"USA")</f>
        <v>USA</v>
      </c>
      <c r="E3436" s="171">
        <f>IFERROR(__xludf.DUMMYFUNCTION("""COMPUTED_VALUE"""),43211.0)</f>
        <v>43211</v>
      </c>
      <c r="F3436" s="172">
        <f>IFERROR(__xludf.DUMMYFUNCTION("""COMPUTED_VALUE"""),43287.0)</f>
        <v>43287</v>
      </c>
      <c r="G3436" s="173"/>
      <c r="H3436" s="174">
        <f>IFERROR(__xludf.DUMMYFUNCTION("""COMPUTED_VALUE"""),37055.0)</f>
        <v>37055</v>
      </c>
      <c r="I3436" s="175" t="str">
        <f>IFERROR(__xludf.DUMMYFUNCTION("""COMPUTED_VALUE"""),"06/18")</f>
        <v>06/18</v>
      </c>
      <c r="J3436" s="172">
        <f>IFERROR(__xludf.DUMMYFUNCTION("""COMPUTED_VALUE"""),43295.0)</f>
        <v>43295</v>
      </c>
      <c r="K3436" s="176">
        <f>IFERROR(__xludf.DUMMYFUNCTION("""COMPUTED_VALUE"""),76.0)</f>
        <v>76</v>
      </c>
      <c r="L3436" s="176">
        <f>IFERROR(__xludf.DUMMYFUNCTION("""COMPUTED_VALUE"""),8.0)</f>
        <v>8</v>
      </c>
      <c r="M3436" s="176">
        <f>IFERROR(__xludf.DUMMYFUNCTION("""COMPUTED_VALUE"""),84.0)</f>
        <v>84</v>
      </c>
      <c r="N3436" s="177" t="str">
        <f>IFERROR(__xludf.DUMMYFUNCTION("""COMPUTED_VALUE"""),"Model 3 LR")</f>
        <v>Model 3 LR</v>
      </c>
      <c r="O3436" s="177" t="str">
        <f>IFERROR(__xludf.DUMMYFUNCTION("""COMPUTED_VALUE"""),"Midnight Silver Metallic")</f>
        <v>Midnight Silver Metallic</v>
      </c>
      <c r="P3436" s="178" t="str">
        <f>IFERROR(__xludf.DUMMYFUNCTION("""COMPUTED_VALUE"""),"19 inch Sport")</f>
        <v>19 inch Sport</v>
      </c>
      <c r="Q3436" s="177" t="str">
        <f>IFERROR(__xludf.DUMMYFUNCTION("""COMPUTED_VALUE"""),"Black seats")</f>
        <v>Black seats</v>
      </c>
      <c r="R3436" s="170" t="str">
        <f>IFERROR(__xludf.DUMMYFUNCTION("""COMPUTED_VALUE"""),"None")</f>
        <v>None</v>
      </c>
      <c r="S3436" s="170"/>
      <c r="T3436" s="179"/>
      <c r="U3436" s="179"/>
      <c r="V3436" s="179"/>
      <c r="W3436" s="180"/>
      <c r="X3436" s="181" t="str">
        <f>IFERROR(__xludf.DUMMYFUNCTION("""COMPUTED_VALUE"""),"Very Good")</f>
        <v>Very Good</v>
      </c>
      <c r="Y3436" s="182" t="str">
        <f>IFERROR(__xludf.DUMMYFUNCTION("""COMPUTED_VALUE"""),"Excellent")</f>
        <v>Excellent</v>
      </c>
      <c r="Z3436" s="182" t="str">
        <f>IFERROR(__xludf.DUMMYFUNCTION("""COMPUTED_VALUE"""),"Very Good")</f>
        <v>Very Good</v>
      </c>
      <c r="AA3436" s="182" t="str">
        <f>IFERROR(__xludf.DUMMYFUNCTION("""COMPUTED_VALUE"""),"Very Good")</f>
        <v>Very Good</v>
      </c>
      <c r="AB3436" s="182" t="str">
        <f>IFERROR(__xludf.DUMMYFUNCTION("""COMPUTED_VALUE"""),"Good")</f>
        <v>Good</v>
      </c>
      <c r="AC3436" s="183">
        <f>IFERROR(__xludf.DUMMYFUNCTION("""COMPUTED_VALUE"""),2.0)</f>
        <v>2</v>
      </c>
      <c r="AD3436" s="183"/>
      <c r="AE3436" s="183"/>
      <c r="AF3436" s="184"/>
      <c r="AG3436" s="180" t="str">
        <f>IFERROR(__xludf.DUMMYFUNCTION("""COMPUTED_VALUE"""),"Modified order to Midnight Silver Metallic from Pearl White on 6/11/2018")</f>
        <v>Modified order to Midnight Silver Metallic from Pearl White on 6/11/2018</v>
      </c>
      <c r="AH3436" s="185">
        <f>IFERROR(__xludf.DUMMYFUNCTION("""COMPUTED_VALUE"""),43298.00159597222)</f>
        <v>43298.0016</v>
      </c>
      <c r="AI3436" s="182"/>
      <c r="AJ3436" s="182"/>
      <c r="AK3436" s="182"/>
      <c r="AL3436" s="182"/>
    </row>
    <row r="3437" ht="20.25" customHeight="1">
      <c r="A3437" s="169" t="str">
        <f>IFERROR(__xludf.DUMMYFUNCTION("""COMPUTED_VALUE"""),"waterloo42")</f>
        <v>waterloo42</v>
      </c>
      <c r="B3437" s="170" t="str">
        <f>IFERROR(__xludf.DUMMYFUNCTION("""COMPUTED_VALUE"""),"Waterloo")</f>
        <v>Waterloo</v>
      </c>
      <c r="C3437" s="170" t="str">
        <f>IFERROR(__xludf.DUMMYFUNCTION("""COMPUTED_VALUE"""),"ON")</f>
        <v>ON</v>
      </c>
      <c r="D3437" s="170" t="str">
        <f>IFERROR(__xludf.DUMMYFUNCTION("""COMPUTED_VALUE"""),"Canada")</f>
        <v>Canada</v>
      </c>
      <c r="E3437" s="171">
        <f>IFERROR(__xludf.DUMMYFUNCTION("""COMPUTED_VALUE"""),43211.0)</f>
        <v>43211</v>
      </c>
      <c r="F3437" s="172">
        <f>IFERROR(__xludf.DUMMYFUNCTION("""COMPUTED_VALUE"""),43236.0)</f>
        <v>43236</v>
      </c>
      <c r="G3437" s="173"/>
      <c r="H3437" s="174">
        <f>IFERROR(__xludf.DUMMYFUNCTION("""COMPUTED_VALUE"""),29921.0)</f>
        <v>29921</v>
      </c>
      <c r="I3437" s="175"/>
      <c r="J3437" s="172">
        <f>IFERROR(__xludf.DUMMYFUNCTION("""COMPUTED_VALUE"""),43259.0)</f>
        <v>43259</v>
      </c>
      <c r="K3437" s="176">
        <f>IFERROR(__xludf.DUMMYFUNCTION("""COMPUTED_VALUE"""),25.0)</f>
        <v>25</v>
      </c>
      <c r="L3437" s="176">
        <f>IFERROR(__xludf.DUMMYFUNCTION("""COMPUTED_VALUE"""),23.0)</f>
        <v>23</v>
      </c>
      <c r="M3437" s="176">
        <f>IFERROR(__xludf.DUMMYFUNCTION("""COMPUTED_VALUE"""),48.0)</f>
        <v>48</v>
      </c>
      <c r="N3437" s="177" t="str">
        <f>IFERROR(__xludf.DUMMYFUNCTION("""COMPUTED_VALUE"""),"Model 3 LR")</f>
        <v>Model 3 LR</v>
      </c>
      <c r="O3437" s="177" t="str">
        <f>IFERROR(__xludf.DUMMYFUNCTION("""COMPUTED_VALUE"""),"Silver Metallic")</f>
        <v>Silver Metallic</v>
      </c>
      <c r="P3437" s="178" t="str">
        <f>IFERROR(__xludf.DUMMYFUNCTION("""COMPUTED_VALUE"""),"19 inch Sport")</f>
        <v>19 inch Sport</v>
      </c>
      <c r="Q3437" s="177" t="str">
        <f>IFERROR(__xludf.DUMMYFUNCTION("""COMPUTED_VALUE"""),"Black seats")</f>
        <v>Black seats</v>
      </c>
      <c r="R3437" s="170" t="str">
        <f>IFERROR(__xludf.DUMMYFUNCTION("""COMPUTED_VALUE"""),"Enhanced Autopilot")</f>
        <v>Enhanced Autopilot</v>
      </c>
      <c r="S3437" s="170"/>
      <c r="T3437" s="179"/>
      <c r="U3437" s="179"/>
      <c r="V3437" s="179"/>
      <c r="W3437" s="180"/>
      <c r="X3437" s="181" t="str">
        <f>IFERROR(__xludf.DUMMYFUNCTION("""COMPUTED_VALUE"""),"Very Good")</f>
        <v>Very Good</v>
      </c>
      <c r="Y3437" s="182" t="str">
        <f>IFERROR(__xludf.DUMMYFUNCTION("""COMPUTED_VALUE"""),"Excellent")</f>
        <v>Excellent</v>
      </c>
      <c r="Z3437" s="182" t="str">
        <f>IFERROR(__xludf.DUMMYFUNCTION("""COMPUTED_VALUE"""),"Excellent")</f>
        <v>Excellent</v>
      </c>
      <c r="AA3437" s="182" t="str">
        <f>IFERROR(__xludf.DUMMYFUNCTION("""COMPUTED_VALUE"""),"Good")</f>
        <v>Good</v>
      </c>
      <c r="AB3437" s="182" t="str">
        <f>IFERROR(__xludf.DUMMYFUNCTION("""COMPUTED_VALUE"""),"Excellent")</f>
        <v>Excellent</v>
      </c>
      <c r="AC3437" s="183"/>
      <c r="AD3437" s="183"/>
      <c r="AE3437" s="183"/>
      <c r="AF3437" s="184"/>
      <c r="AG3437" s="180"/>
      <c r="AH3437" s="185">
        <f>IFERROR(__xludf.DUMMYFUNCTION("""COMPUTED_VALUE"""),43260.17259396991)</f>
        <v>43260.17259</v>
      </c>
      <c r="AI3437" s="182"/>
      <c r="AJ3437" s="182"/>
      <c r="AK3437" s="182"/>
      <c r="AL3437" s="182"/>
    </row>
    <row r="3438" ht="20.25" customHeight="1">
      <c r="A3438" s="169" t="str">
        <f>IFERROR(__xludf.DUMMYFUNCTION("""COMPUTED_VALUE"""),"jwarcd")</f>
        <v>jwarcd</v>
      </c>
      <c r="B3438" s="170" t="str">
        <f>IFERROR(__xludf.DUMMYFUNCTION("""COMPUTED_VALUE"""),"Boston")</f>
        <v>Boston</v>
      </c>
      <c r="C3438" s="170" t="str">
        <f>IFERROR(__xludf.DUMMYFUNCTION("""COMPUTED_VALUE"""),"MA")</f>
        <v>MA</v>
      </c>
      <c r="D3438" s="170" t="str">
        <f>IFERROR(__xludf.DUMMYFUNCTION("""COMPUTED_VALUE"""),"USA")</f>
        <v>USA</v>
      </c>
      <c r="E3438" s="171">
        <f>IFERROR(__xludf.DUMMYFUNCTION("""COMPUTED_VALUE"""),43210.0)</f>
        <v>43210</v>
      </c>
      <c r="F3438" s="172">
        <f>IFERROR(__xludf.DUMMYFUNCTION("""COMPUTED_VALUE"""),43263.0)</f>
        <v>43263</v>
      </c>
      <c r="G3438" s="173"/>
      <c r="H3438" s="174">
        <f>IFERROR(__xludf.DUMMYFUNCTION("""COMPUTED_VALUE"""),32855.0)</f>
        <v>32855</v>
      </c>
      <c r="I3438" s="175" t="str">
        <f>IFERROR(__xludf.DUMMYFUNCTION("""COMPUTED_VALUE"""),"06/18")</f>
        <v>06/18</v>
      </c>
      <c r="J3438" s="172">
        <f>IFERROR(__xludf.DUMMYFUNCTION("""COMPUTED_VALUE"""),43286.0)</f>
        <v>43286</v>
      </c>
      <c r="K3438" s="176">
        <f>IFERROR(__xludf.DUMMYFUNCTION("""COMPUTED_VALUE"""),53.0)</f>
        <v>53</v>
      </c>
      <c r="L3438" s="176">
        <f>IFERROR(__xludf.DUMMYFUNCTION("""COMPUTED_VALUE"""),23.0)</f>
        <v>23</v>
      </c>
      <c r="M3438" s="176">
        <f>IFERROR(__xludf.DUMMYFUNCTION("""COMPUTED_VALUE"""),76.0)</f>
        <v>76</v>
      </c>
      <c r="N3438" s="177" t="str">
        <f>IFERROR(__xludf.DUMMYFUNCTION("""COMPUTED_VALUE"""),"Model 3 LR")</f>
        <v>Model 3 LR</v>
      </c>
      <c r="O3438" s="177" t="str">
        <f>IFERROR(__xludf.DUMMYFUNCTION("""COMPUTED_VALUE"""),"Midnight Silver Metallic")</f>
        <v>Midnight Silver Metallic</v>
      </c>
      <c r="P3438" s="178" t="str">
        <f>IFERROR(__xludf.DUMMYFUNCTION("""COMPUTED_VALUE"""),"19 inch Sport")</f>
        <v>19 inch Sport</v>
      </c>
      <c r="Q3438" s="177" t="str">
        <f>IFERROR(__xludf.DUMMYFUNCTION("""COMPUTED_VALUE"""),"Black seats")</f>
        <v>Black seats</v>
      </c>
      <c r="R3438" s="170" t="str">
        <f>IFERROR(__xludf.DUMMYFUNCTION("""COMPUTED_VALUE"""),"Enhanced Autopilot")</f>
        <v>Enhanced Autopilot</v>
      </c>
      <c r="S3438" s="170"/>
      <c r="T3438" s="179"/>
      <c r="U3438" s="179"/>
      <c r="V3438" s="179"/>
      <c r="W3438" s="180"/>
      <c r="X3438" s="181" t="str">
        <f>IFERROR(__xludf.DUMMYFUNCTION("""COMPUTED_VALUE"""),"Excellent")</f>
        <v>Excellent</v>
      </c>
      <c r="Y3438" s="182" t="str">
        <f>IFERROR(__xludf.DUMMYFUNCTION("""COMPUTED_VALUE"""),"Excellent")</f>
        <v>Excellent</v>
      </c>
      <c r="Z3438" s="182" t="str">
        <f>IFERROR(__xludf.DUMMYFUNCTION("""COMPUTED_VALUE"""),"Excellent")</f>
        <v>Excellent</v>
      </c>
      <c r="AA3438" s="182" t="str">
        <f>IFERROR(__xludf.DUMMYFUNCTION("""COMPUTED_VALUE"""),"Excellent")</f>
        <v>Excellent</v>
      </c>
      <c r="AB3438" s="182" t="str">
        <f>IFERROR(__xludf.DUMMYFUNCTION("""COMPUTED_VALUE"""),"Excellent")</f>
        <v>Excellent</v>
      </c>
      <c r="AC3438" s="183">
        <f>IFERROR(__xludf.DUMMYFUNCTION("""COMPUTED_VALUE"""),0.0)</f>
        <v>0</v>
      </c>
      <c r="AD3438" s="183"/>
      <c r="AE3438" s="183"/>
      <c r="AF3438" s="184"/>
      <c r="AG3438" s="180"/>
      <c r="AH3438" s="185">
        <f>IFERROR(__xludf.DUMMYFUNCTION("""COMPUTED_VALUE"""),43287.77983116898)</f>
        <v>43287.77983</v>
      </c>
      <c r="AI3438" s="182"/>
      <c r="AJ3438" s="182"/>
      <c r="AK3438" s="182"/>
      <c r="AL3438" s="182"/>
    </row>
    <row r="3439" ht="20.25" customHeight="1">
      <c r="A3439" s="169" t="str">
        <f>IFERROR(__xludf.DUMMYFUNCTION("""COMPUTED_VALUE"""),"nova")</f>
        <v>nova</v>
      </c>
      <c r="B3439" s="170" t="str">
        <f>IFERROR(__xludf.DUMMYFUNCTION("""COMPUTED_VALUE"""),"Santa Monica")</f>
        <v>Santa Monica</v>
      </c>
      <c r="C3439" s="170" t="str">
        <f>IFERROR(__xludf.DUMMYFUNCTION("""COMPUTED_VALUE"""),"CA")</f>
        <v>CA</v>
      </c>
      <c r="D3439" s="170" t="str">
        <f>IFERROR(__xludf.DUMMYFUNCTION("""COMPUTED_VALUE"""),"USA")</f>
        <v>USA</v>
      </c>
      <c r="E3439" s="171">
        <f>IFERROR(__xludf.DUMMYFUNCTION("""COMPUTED_VALUE"""),43210.0)</f>
        <v>43210</v>
      </c>
      <c r="F3439" s="172">
        <f>IFERROR(__xludf.DUMMYFUNCTION("""COMPUTED_VALUE"""),43278.0)</f>
        <v>43278</v>
      </c>
      <c r="G3439" s="173"/>
      <c r="H3439" s="174">
        <f>IFERROR(__xludf.DUMMYFUNCTION("""COMPUTED_VALUE"""),38765.0)</f>
        <v>38765</v>
      </c>
      <c r="I3439" s="175" t="str">
        <f>IFERROR(__xludf.DUMMYFUNCTION("""COMPUTED_VALUE"""),"06/18")</f>
        <v>06/18</v>
      </c>
      <c r="J3439" s="172">
        <f>IFERROR(__xludf.DUMMYFUNCTION("""COMPUTED_VALUE"""),43281.0)</f>
        <v>43281</v>
      </c>
      <c r="K3439" s="176">
        <f>IFERROR(__xludf.DUMMYFUNCTION("""COMPUTED_VALUE"""),68.0)</f>
        <v>68</v>
      </c>
      <c r="L3439" s="176">
        <f>IFERROR(__xludf.DUMMYFUNCTION("""COMPUTED_VALUE"""),3.0)</f>
        <v>3</v>
      </c>
      <c r="M3439" s="176">
        <f>IFERROR(__xludf.DUMMYFUNCTION("""COMPUTED_VALUE"""),71.0)</f>
        <v>71</v>
      </c>
      <c r="N3439" s="177" t="str">
        <f>IFERROR(__xludf.DUMMYFUNCTION("""COMPUTED_VALUE"""),"Model 3 LR")</f>
        <v>Model 3 LR</v>
      </c>
      <c r="O3439" s="177" t="str">
        <f>IFERROR(__xludf.DUMMYFUNCTION("""COMPUTED_VALUE"""),"Pearl White Multi-Coat")</f>
        <v>Pearl White Multi-Coat</v>
      </c>
      <c r="P3439" s="178" t="str">
        <f>IFERROR(__xludf.DUMMYFUNCTION("""COMPUTED_VALUE"""),"19 inch Sport")</f>
        <v>19 inch Sport</v>
      </c>
      <c r="Q3439" s="177" t="str">
        <f>IFERROR(__xludf.DUMMYFUNCTION("""COMPUTED_VALUE"""),"Black seats")</f>
        <v>Black seats</v>
      </c>
      <c r="R3439" s="170" t="str">
        <f>IFERROR(__xludf.DUMMYFUNCTION("""COMPUTED_VALUE"""),"Enhanced Autopilot")</f>
        <v>Enhanced Autopilot</v>
      </c>
      <c r="S3439" s="170"/>
      <c r="T3439" s="179"/>
      <c r="U3439" s="179"/>
      <c r="V3439" s="179"/>
      <c r="W3439" s="180"/>
      <c r="X3439" s="181" t="str">
        <f>IFERROR(__xludf.DUMMYFUNCTION("""COMPUTED_VALUE"""),"Excellent")</f>
        <v>Excellent</v>
      </c>
      <c r="Y3439" s="182" t="str">
        <f>IFERROR(__xludf.DUMMYFUNCTION("""COMPUTED_VALUE"""),"Very Good")</f>
        <v>Very Good</v>
      </c>
      <c r="Z3439" s="182" t="str">
        <f>IFERROR(__xludf.DUMMYFUNCTION("""COMPUTED_VALUE"""),"Excellent")</f>
        <v>Excellent</v>
      </c>
      <c r="AA3439" s="182" t="str">
        <f>IFERROR(__xludf.DUMMYFUNCTION("""COMPUTED_VALUE"""),"Excellent")</f>
        <v>Excellent</v>
      </c>
      <c r="AB3439" s="182" t="str">
        <f>IFERROR(__xludf.DUMMYFUNCTION("""COMPUTED_VALUE"""),"Very Good")</f>
        <v>Very Good</v>
      </c>
      <c r="AC3439" s="183"/>
      <c r="AD3439" s="183"/>
      <c r="AE3439" s="183"/>
      <c r="AF3439" s="184"/>
      <c r="AG3439" s="180"/>
      <c r="AH3439" s="185">
        <f>IFERROR(__xludf.DUMMYFUNCTION("""COMPUTED_VALUE"""),43281.98676922454)</f>
        <v>43281.98677</v>
      </c>
      <c r="AI3439" s="182"/>
      <c r="AJ3439" s="182"/>
      <c r="AK3439" s="182"/>
      <c r="AL3439" s="182"/>
    </row>
    <row r="3440" ht="20.25" customHeight="1">
      <c r="A3440" s="169" t="str">
        <f>IFERROR(__xludf.DUMMYFUNCTION("""COMPUTED_VALUE"""),"Bruce Lachey")</f>
        <v>Bruce Lachey</v>
      </c>
      <c r="B3440" s="170" t="str">
        <f>IFERROR(__xludf.DUMMYFUNCTION("""COMPUTED_VALUE"""),"Cincinnati ")</f>
        <v>Cincinnati </v>
      </c>
      <c r="C3440" s="170" t="str">
        <f>IFERROR(__xludf.DUMMYFUNCTION("""COMPUTED_VALUE"""),"OH")</f>
        <v>OH</v>
      </c>
      <c r="D3440" s="170" t="str">
        <f>IFERROR(__xludf.DUMMYFUNCTION("""COMPUTED_VALUE"""),"USA")</f>
        <v>USA</v>
      </c>
      <c r="E3440" s="171">
        <f>IFERROR(__xludf.DUMMYFUNCTION("""COMPUTED_VALUE"""),43209.0)</f>
        <v>43209</v>
      </c>
      <c r="F3440" s="172">
        <f>IFERROR(__xludf.DUMMYFUNCTION("""COMPUTED_VALUE"""),43234.0)</f>
        <v>43234</v>
      </c>
      <c r="G3440" s="173"/>
      <c r="H3440" s="174">
        <f>IFERROR(__xludf.DUMMYFUNCTION("""COMPUTED_VALUE"""),22106.0)</f>
        <v>22106</v>
      </c>
      <c r="I3440" s="175" t="str">
        <f>IFERROR(__xludf.DUMMYFUNCTION("""COMPUTED_VALUE"""),"05/18")</f>
        <v>05/18</v>
      </c>
      <c r="J3440" s="172">
        <f>IFERROR(__xludf.DUMMYFUNCTION("""COMPUTED_VALUE"""),43245.0)</f>
        <v>43245</v>
      </c>
      <c r="K3440" s="176">
        <f>IFERROR(__xludf.DUMMYFUNCTION("""COMPUTED_VALUE"""),25.0)</f>
        <v>25</v>
      </c>
      <c r="L3440" s="176">
        <f>IFERROR(__xludf.DUMMYFUNCTION("""COMPUTED_VALUE"""),11.0)</f>
        <v>11</v>
      </c>
      <c r="M3440" s="176">
        <f>IFERROR(__xludf.DUMMYFUNCTION("""COMPUTED_VALUE"""),36.0)</f>
        <v>36</v>
      </c>
      <c r="N3440" s="177" t="str">
        <f>IFERROR(__xludf.DUMMYFUNCTION("""COMPUTED_VALUE"""),"Model 3 LR")</f>
        <v>Model 3 LR</v>
      </c>
      <c r="O3440" s="177" t="str">
        <f>IFERROR(__xludf.DUMMYFUNCTION("""COMPUTED_VALUE"""),"Red Multi-Coat")</f>
        <v>Red Multi-Coat</v>
      </c>
      <c r="P3440" s="178" t="str">
        <f>IFERROR(__xludf.DUMMYFUNCTION("""COMPUTED_VALUE"""),"18 inch Aero")</f>
        <v>18 inch Aero</v>
      </c>
      <c r="Q3440" s="177" t="str">
        <f>IFERROR(__xludf.DUMMYFUNCTION("""COMPUTED_VALUE"""),"Black seats")</f>
        <v>Black seats</v>
      </c>
      <c r="R3440" s="170" t="str">
        <f>IFERROR(__xludf.DUMMYFUNCTION("""COMPUTED_VALUE"""),"None")</f>
        <v>None</v>
      </c>
      <c r="S3440" s="170"/>
      <c r="T3440" s="179"/>
      <c r="U3440" s="179"/>
      <c r="V3440" s="179"/>
      <c r="W3440" s="180"/>
      <c r="X3440" s="181" t="str">
        <f>IFERROR(__xludf.DUMMYFUNCTION("""COMPUTED_VALUE"""),"Excellent")</f>
        <v>Excellent</v>
      </c>
      <c r="Y3440" s="182" t="str">
        <f>IFERROR(__xludf.DUMMYFUNCTION("""COMPUTED_VALUE"""),"Excellent")</f>
        <v>Excellent</v>
      </c>
      <c r="Z3440" s="182" t="str">
        <f>IFERROR(__xludf.DUMMYFUNCTION("""COMPUTED_VALUE"""),"Excellent")</f>
        <v>Excellent</v>
      </c>
      <c r="AA3440" s="182" t="str">
        <f>IFERROR(__xludf.DUMMYFUNCTION("""COMPUTED_VALUE"""),"Excellent")</f>
        <v>Excellent</v>
      </c>
      <c r="AB3440" s="182" t="str">
        <f>IFERROR(__xludf.DUMMYFUNCTION("""COMPUTED_VALUE"""),"Excellent")</f>
        <v>Excellent</v>
      </c>
      <c r="AC3440" s="183"/>
      <c r="AD3440" s="183"/>
      <c r="AE3440" s="183"/>
      <c r="AF3440" s="184"/>
      <c r="AG3440" s="180"/>
      <c r="AH3440" s="185">
        <f>IFERROR(__xludf.DUMMYFUNCTION("""COMPUTED_VALUE"""),43268.23431496527)</f>
        <v>43268.23431</v>
      </c>
      <c r="AI3440" s="182"/>
      <c r="AJ3440" s="182"/>
      <c r="AK3440" s="182"/>
      <c r="AL3440" s="182"/>
    </row>
    <row r="3441" ht="20.25" customHeight="1">
      <c r="A3441" s="169" t="str">
        <f>IFERROR(__xludf.DUMMYFUNCTION("""COMPUTED_VALUE"""),"DC Rules")</f>
        <v>DC Rules</v>
      </c>
      <c r="B3441" s="170" t="str">
        <f>IFERROR(__xludf.DUMMYFUNCTION("""COMPUTED_VALUE"""),"Minneapolis")</f>
        <v>Minneapolis</v>
      </c>
      <c r="C3441" s="170" t="str">
        <f>IFERROR(__xludf.DUMMYFUNCTION("""COMPUTED_VALUE"""),"MN")</f>
        <v>MN</v>
      </c>
      <c r="D3441" s="170" t="str">
        <f>IFERROR(__xludf.DUMMYFUNCTION("""COMPUTED_VALUE"""),"USA")</f>
        <v>USA</v>
      </c>
      <c r="E3441" s="171">
        <f>IFERROR(__xludf.DUMMYFUNCTION("""COMPUTED_VALUE"""),43209.0)</f>
        <v>43209</v>
      </c>
      <c r="F3441" s="172">
        <f>IFERROR(__xludf.DUMMYFUNCTION("""COMPUTED_VALUE"""),43244.0)</f>
        <v>43244</v>
      </c>
      <c r="G3441" s="173"/>
      <c r="H3441" s="174">
        <f>IFERROR(__xludf.DUMMYFUNCTION("""COMPUTED_VALUE"""),31655.0)</f>
        <v>31655</v>
      </c>
      <c r="I3441" s="175"/>
      <c r="J3441" s="172">
        <f>IFERROR(__xludf.DUMMYFUNCTION("""COMPUTED_VALUE"""),43280.0)</f>
        <v>43280</v>
      </c>
      <c r="K3441" s="176">
        <f>IFERROR(__xludf.DUMMYFUNCTION("""COMPUTED_VALUE"""),35.0)</f>
        <v>35</v>
      </c>
      <c r="L3441" s="176">
        <f>IFERROR(__xludf.DUMMYFUNCTION("""COMPUTED_VALUE"""),36.0)</f>
        <v>36</v>
      </c>
      <c r="M3441" s="176">
        <f>IFERROR(__xludf.DUMMYFUNCTION("""COMPUTED_VALUE"""),71.0)</f>
        <v>71</v>
      </c>
      <c r="N3441" s="177" t="str">
        <f>IFERROR(__xludf.DUMMYFUNCTION("""COMPUTED_VALUE"""),"Model 3 LR")</f>
        <v>Model 3 LR</v>
      </c>
      <c r="O3441" s="177" t="str">
        <f>IFERROR(__xludf.DUMMYFUNCTION("""COMPUTED_VALUE"""),"Silver Metallic")</f>
        <v>Silver Metallic</v>
      </c>
      <c r="P3441" s="178" t="str">
        <f>IFERROR(__xludf.DUMMYFUNCTION("""COMPUTED_VALUE"""),"19 inch Sport")</f>
        <v>19 inch Sport</v>
      </c>
      <c r="Q3441" s="177" t="str">
        <f>IFERROR(__xludf.DUMMYFUNCTION("""COMPUTED_VALUE"""),"Black seats")</f>
        <v>Black seats</v>
      </c>
      <c r="R3441" s="170" t="str">
        <f>IFERROR(__xludf.DUMMYFUNCTION("""COMPUTED_VALUE"""),"Enhanced Autopilot")</f>
        <v>Enhanced Autopilot</v>
      </c>
      <c r="S3441" s="170"/>
      <c r="T3441" s="179"/>
      <c r="U3441" s="179"/>
      <c r="V3441" s="179"/>
      <c r="W3441" s="180"/>
      <c r="X3441" s="181" t="str">
        <f>IFERROR(__xludf.DUMMYFUNCTION("""COMPUTED_VALUE"""),"Fair")</f>
        <v>Fair</v>
      </c>
      <c r="Y3441" s="182" t="str">
        <f>IFERROR(__xludf.DUMMYFUNCTION("""COMPUTED_VALUE"""),"Very Good")</f>
        <v>Very Good</v>
      </c>
      <c r="Z3441" s="182" t="str">
        <f>IFERROR(__xludf.DUMMYFUNCTION("""COMPUTED_VALUE"""),"Fair")</f>
        <v>Fair</v>
      </c>
      <c r="AA3441" s="182" t="str">
        <f>IFERROR(__xludf.DUMMYFUNCTION("""COMPUTED_VALUE"""),"Fair")</f>
        <v>Fair</v>
      </c>
      <c r="AB3441" s="182" t="str">
        <f>IFERROR(__xludf.DUMMYFUNCTION("""COMPUTED_VALUE"""),"Fair")</f>
        <v>Fair</v>
      </c>
      <c r="AC3441" s="183"/>
      <c r="AD3441" s="183"/>
      <c r="AE3441" s="183"/>
      <c r="AF3441" s="184"/>
      <c r="AG3441" s="180"/>
      <c r="AH3441" s="185">
        <f>IFERROR(__xludf.DUMMYFUNCTION("""COMPUTED_VALUE"""),43283.37853122685)</f>
        <v>43283.37853</v>
      </c>
      <c r="AI3441" s="182"/>
      <c r="AJ3441" s="182"/>
      <c r="AK3441" s="182"/>
      <c r="AL3441" s="182"/>
    </row>
    <row r="3442" ht="20.25" customHeight="1">
      <c r="A3442" s="169" t="str">
        <f>IFERROR(__xludf.DUMMYFUNCTION("""COMPUTED_VALUE"""),"EV_Ronnie")</f>
        <v>EV_Ronnie</v>
      </c>
      <c r="B3442" s="170" t="str">
        <f>IFERROR(__xludf.DUMMYFUNCTION("""COMPUTED_VALUE"""),"San Jose")</f>
        <v>San Jose</v>
      </c>
      <c r="C3442" s="170" t="str">
        <f>IFERROR(__xludf.DUMMYFUNCTION("""COMPUTED_VALUE"""),"CA")</f>
        <v>CA</v>
      </c>
      <c r="D3442" s="170" t="str">
        <f>IFERROR(__xludf.DUMMYFUNCTION("""COMPUTED_VALUE"""),"USA")</f>
        <v>USA</v>
      </c>
      <c r="E3442" s="171">
        <f>IFERROR(__xludf.DUMMYFUNCTION("""COMPUTED_VALUE"""),43209.0)</f>
        <v>43209</v>
      </c>
      <c r="F3442" s="172">
        <f>IFERROR(__xludf.DUMMYFUNCTION("""COMPUTED_VALUE"""),43277.0)</f>
        <v>43277</v>
      </c>
      <c r="G3442" s="173"/>
      <c r="H3442" s="174">
        <f>IFERROR(__xludf.DUMMYFUNCTION("""COMPUTED_VALUE"""),38155.0)</f>
        <v>38155</v>
      </c>
      <c r="I3442" s="175" t="str">
        <f>IFERROR(__xludf.DUMMYFUNCTION("""COMPUTED_VALUE"""),"06/18")</f>
        <v>06/18</v>
      </c>
      <c r="J3442" s="172">
        <f>IFERROR(__xludf.DUMMYFUNCTION("""COMPUTED_VALUE"""),43280.0)</f>
        <v>43280</v>
      </c>
      <c r="K3442" s="176">
        <f>IFERROR(__xludf.DUMMYFUNCTION("""COMPUTED_VALUE"""),68.0)</f>
        <v>68</v>
      </c>
      <c r="L3442" s="176">
        <f>IFERROR(__xludf.DUMMYFUNCTION("""COMPUTED_VALUE"""),3.0)</f>
        <v>3</v>
      </c>
      <c r="M3442" s="176">
        <f>IFERROR(__xludf.DUMMYFUNCTION("""COMPUTED_VALUE"""),71.0)</f>
        <v>71</v>
      </c>
      <c r="N3442" s="177" t="str">
        <f>IFERROR(__xludf.DUMMYFUNCTION("""COMPUTED_VALUE"""),"Model 3 LR")</f>
        <v>Model 3 LR</v>
      </c>
      <c r="O3442" s="177" t="str">
        <f>IFERROR(__xludf.DUMMYFUNCTION("""COMPUTED_VALUE"""),"Deep Blue Metallic")</f>
        <v>Deep Blue Metallic</v>
      </c>
      <c r="P3442" s="178" t="str">
        <f>IFERROR(__xludf.DUMMYFUNCTION("""COMPUTED_VALUE"""),"18 inch Aero")</f>
        <v>18 inch Aero</v>
      </c>
      <c r="Q3442" s="177" t="str">
        <f>IFERROR(__xludf.DUMMYFUNCTION("""COMPUTED_VALUE"""),"Black seats")</f>
        <v>Black seats</v>
      </c>
      <c r="R3442" s="170" t="str">
        <f>IFERROR(__xludf.DUMMYFUNCTION("""COMPUTED_VALUE"""),"Enhanced Autopilot")</f>
        <v>Enhanced Autopilot</v>
      </c>
      <c r="S3442" s="170"/>
      <c r="T3442" s="179"/>
      <c r="U3442" s="179"/>
      <c r="V3442" s="179"/>
      <c r="W3442" s="180"/>
      <c r="X3442" s="181" t="str">
        <f>IFERROR(__xludf.DUMMYFUNCTION("""COMPUTED_VALUE"""),"Excellent")</f>
        <v>Excellent</v>
      </c>
      <c r="Y3442" s="182" t="str">
        <f>IFERROR(__xludf.DUMMYFUNCTION("""COMPUTED_VALUE"""),"Excellent")</f>
        <v>Excellent</v>
      </c>
      <c r="Z3442" s="182" t="str">
        <f>IFERROR(__xludf.DUMMYFUNCTION("""COMPUTED_VALUE"""),"Excellent")</f>
        <v>Excellent</v>
      </c>
      <c r="AA3442" s="182" t="str">
        <f>IFERROR(__xludf.DUMMYFUNCTION("""COMPUTED_VALUE"""),"Excellent")</f>
        <v>Excellent</v>
      </c>
      <c r="AB3442" s="182" t="str">
        <f>IFERROR(__xludf.DUMMYFUNCTION("""COMPUTED_VALUE"""),"Excellent")</f>
        <v>Excellent</v>
      </c>
      <c r="AC3442" s="183"/>
      <c r="AD3442" s="183"/>
      <c r="AE3442" s="183"/>
      <c r="AF3442" s="184"/>
      <c r="AG3442" s="180"/>
      <c r="AH3442" s="185">
        <f>IFERROR(__xludf.DUMMYFUNCTION("""COMPUTED_VALUE"""),43280.55332056714)</f>
        <v>43280.55332</v>
      </c>
      <c r="AI3442" s="182"/>
      <c r="AJ3442" s="182"/>
      <c r="AK3442" s="182"/>
      <c r="AL3442" s="182"/>
    </row>
    <row r="3443" ht="20.25" customHeight="1">
      <c r="A3443" s="169" t="str">
        <f>IFERROR(__xludf.DUMMYFUNCTION("""COMPUTED_VALUE"""),"hastin")</f>
        <v>hastin</v>
      </c>
      <c r="B3443" s="170" t="str">
        <f>IFERROR(__xludf.DUMMYFUNCTION("""COMPUTED_VALUE"""),"Irvine")</f>
        <v>Irvine</v>
      </c>
      <c r="C3443" s="170" t="str">
        <f>IFERROR(__xludf.DUMMYFUNCTION("""COMPUTED_VALUE"""),"CA")</f>
        <v>CA</v>
      </c>
      <c r="D3443" s="170" t="str">
        <f>IFERROR(__xludf.DUMMYFUNCTION("""COMPUTED_VALUE"""),"USA")</f>
        <v>USA</v>
      </c>
      <c r="E3443" s="171">
        <f>IFERROR(__xludf.DUMMYFUNCTION("""COMPUTED_VALUE"""),43209.0)</f>
        <v>43209</v>
      </c>
      <c r="F3443" s="172">
        <f>IFERROR(__xludf.DUMMYFUNCTION("""COMPUTED_VALUE"""),43243.0)</f>
        <v>43243</v>
      </c>
      <c r="G3443" s="173"/>
      <c r="H3443" s="174">
        <f>IFERROR(__xludf.DUMMYFUNCTION("""COMPUTED_VALUE"""),26155.0)</f>
        <v>26155</v>
      </c>
      <c r="I3443" s="175" t="str">
        <f>IFERROR(__xludf.DUMMYFUNCTION("""COMPUTED_VALUE"""),"05/18")</f>
        <v>05/18</v>
      </c>
      <c r="J3443" s="172">
        <f>IFERROR(__xludf.DUMMYFUNCTION("""COMPUTED_VALUE"""),43257.0)</f>
        <v>43257</v>
      </c>
      <c r="K3443" s="176">
        <f>IFERROR(__xludf.DUMMYFUNCTION("""COMPUTED_VALUE"""),34.0)</f>
        <v>34</v>
      </c>
      <c r="L3443" s="176">
        <f>IFERROR(__xludf.DUMMYFUNCTION("""COMPUTED_VALUE"""),14.0)</f>
        <v>14</v>
      </c>
      <c r="M3443" s="176">
        <f>IFERROR(__xludf.DUMMYFUNCTION("""COMPUTED_VALUE"""),48.0)</f>
        <v>48</v>
      </c>
      <c r="N3443" s="177" t="str">
        <f>IFERROR(__xludf.DUMMYFUNCTION("""COMPUTED_VALUE"""),"Model 3 LR")</f>
        <v>Model 3 LR</v>
      </c>
      <c r="O3443" s="177" t="str">
        <f>IFERROR(__xludf.DUMMYFUNCTION("""COMPUTED_VALUE"""),"Deep Blue Metallic")</f>
        <v>Deep Blue Metallic</v>
      </c>
      <c r="P3443" s="178" t="str">
        <f>IFERROR(__xludf.DUMMYFUNCTION("""COMPUTED_VALUE"""),"20 inch Sport")</f>
        <v>20 inch Sport</v>
      </c>
      <c r="Q3443" s="177" t="str">
        <f>IFERROR(__xludf.DUMMYFUNCTION("""COMPUTED_VALUE"""),"Black seats")</f>
        <v>Black seats</v>
      </c>
      <c r="R3443" s="170" t="str">
        <f>IFERROR(__xludf.DUMMYFUNCTION("""COMPUTED_VALUE"""),"Full Self-Driving")</f>
        <v>Full Self-Driving</v>
      </c>
      <c r="S3443" s="170"/>
      <c r="T3443" s="179"/>
      <c r="U3443" s="179"/>
      <c r="V3443" s="179"/>
      <c r="W3443" s="180"/>
      <c r="X3443" s="181" t="str">
        <f>IFERROR(__xludf.DUMMYFUNCTION("""COMPUTED_VALUE"""),"Very Good")</f>
        <v>Very Good</v>
      </c>
      <c r="Y3443" s="182" t="str">
        <f>IFERROR(__xludf.DUMMYFUNCTION("""COMPUTED_VALUE"""),"Excellent")</f>
        <v>Excellent</v>
      </c>
      <c r="Z3443" s="182" t="str">
        <f>IFERROR(__xludf.DUMMYFUNCTION("""COMPUTED_VALUE"""),"Excellent")</f>
        <v>Excellent</v>
      </c>
      <c r="AA3443" s="182" t="str">
        <f>IFERROR(__xludf.DUMMYFUNCTION("""COMPUTED_VALUE"""),"Good")</f>
        <v>Good</v>
      </c>
      <c r="AB3443" s="182" t="str">
        <f>IFERROR(__xludf.DUMMYFUNCTION("""COMPUTED_VALUE"""),"Excellent")</f>
        <v>Excellent</v>
      </c>
      <c r="AC3443" s="183"/>
      <c r="AD3443" s="183"/>
      <c r="AE3443" s="183"/>
      <c r="AF3443" s="184"/>
      <c r="AG3443" s="180"/>
      <c r="AH3443" s="185">
        <f>IFERROR(__xludf.DUMMYFUNCTION("""COMPUTED_VALUE"""),43259.93317283565)</f>
        <v>43259.93317</v>
      </c>
      <c r="AI3443" s="182"/>
      <c r="AJ3443" s="182"/>
      <c r="AK3443" s="182"/>
      <c r="AL3443" s="182"/>
    </row>
    <row r="3444" ht="20.25" customHeight="1">
      <c r="A3444" s="169" t="str">
        <f>IFERROR(__xludf.DUMMYFUNCTION("""COMPUTED_VALUE"""),"misteryub_")</f>
        <v>misteryub_</v>
      </c>
      <c r="B3444" s="170" t="str">
        <f>IFERROR(__xludf.DUMMYFUNCTION("""COMPUTED_VALUE"""),"Kirkland_")</f>
        <v>Kirkland_</v>
      </c>
      <c r="C3444" s="170" t="str">
        <f>IFERROR(__xludf.DUMMYFUNCTION("""COMPUTED_VALUE"""),"WA")</f>
        <v>WA</v>
      </c>
      <c r="D3444" s="170" t="str">
        <f>IFERROR(__xludf.DUMMYFUNCTION("""COMPUTED_VALUE"""),"USA")</f>
        <v>USA</v>
      </c>
      <c r="E3444" s="171">
        <f>IFERROR(__xludf.DUMMYFUNCTION("""COMPUTED_VALUE"""),43209.0)</f>
        <v>43209</v>
      </c>
      <c r="F3444" s="172">
        <f>IFERROR(__xludf.DUMMYFUNCTION("""COMPUTED_VALUE"""),43228.0)</f>
        <v>43228</v>
      </c>
      <c r="G3444" s="173"/>
      <c r="H3444" s="174">
        <f>IFERROR(__xludf.DUMMYFUNCTION("""COMPUTED_VALUE"""),22555.0)</f>
        <v>22555</v>
      </c>
      <c r="I3444" s="175"/>
      <c r="J3444" s="172">
        <f>IFERROR(__xludf.DUMMYFUNCTION("""COMPUTED_VALUE"""),43250.0)</f>
        <v>43250</v>
      </c>
      <c r="K3444" s="176">
        <f>IFERROR(__xludf.DUMMYFUNCTION("""COMPUTED_VALUE"""),19.0)</f>
        <v>19</v>
      </c>
      <c r="L3444" s="176">
        <f>IFERROR(__xludf.DUMMYFUNCTION("""COMPUTED_VALUE"""),22.0)</f>
        <v>22</v>
      </c>
      <c r="M3444" s="176">
        <f>IFERROR(__xludf.DUMMYFUNCTION("""COMPUTED_VALUE"""),41.0)</f>
        <v>41</v>
      </c>
      <c r="N3444" s="177" t="str">
        <f>IFERROR(__xludf.DUMMYFUNCTION("""COMPUTED_VALUE"""),"Model 3 LR")</f>
        <v>Model 3 LR</v>
      </c>
      <c r="O3444" s="177" t="str">
        <f>IFERROR(__xludf.DUMMYFUNCTION("""COMPUTED_VALUE"""),"Deep Blue Metallic")</f>
        <v>Deep Blue Metallic</v>
      </c>
      <c r="P3444" s="178" t="str">
        <f>IFERROR(__xludf.DUMMYFUNCTION("""COMPUTED_VALUE"""),"18 inch Aero")</f>
        <v>18 inch Aero</v>
      </c>
      <c r="Q3444" s="177" t="str">
        <f>IFERROR(__xludf.DUMMYFUNCTION("""COMPUTED_VALUE"""),"Black seats")</f>
        <v>Black seats</v>
      </c>
      <c r="R3444" s="170" t="str">
        <f>IFERROR(__xludf.DUMMYFUNCTION("""COMPUTED_VALUE"""),"Enhanced Autopilot")</f>
        <v>Enhanced Autopilot</v>
      </c>
      <c r="S3444" s="170"/>
      <c r="T3444" s="179"/>
      <c r="U3444" s="179"/>
      <c r="V3444" s="179"/>
      <c r="W3444" s="180"/>
      <c r="X3444" s="181" t="str">
        <f>IFERROR(__xludf.DUMMYFUNCTION("""COMPUTED_VALUE"""),"Excellent")</f>
        <v>Excellent</v>
      </c>
      <c r="Y3444" s="182" t="str">
        <f>IFERROR(__xludf.DUMMYFUNCTION("""COMPUTED_VALUE"""),"Excellent")</f>
        <v>Excellent</v>
      </c>
      <c r="Z3444" s="182" t="str">
        <f>IFERROR(__xludf.DUMMYFUNCTION("""COMPUTED_VALUE"""),"Good")</f>
        <v>Good</v>
      </c>
      <c r="AA3444" s="182" t="str">
        <f>IFERROR(__xludf.DUMMYFUNCTION("""COMPUTED_VALUE"""),"Very Good")</f>
        <v>Very Good</v>
      </c>
      <c r="AB3444" s="182" t="str">
        <f>IFERROR(__xludf.DUMMYFUNCTION("""COMPUTED_VALUE"""),"Excellent")</f>
        <v>Excellent</v>
      </c>
      <c r="AC3444" s="183"/>
      <c r="AD3444" s="183"/>
      <c r="AE3444" s="183"/>
      <c r="AF3444" s="184"/>
      <c r="AG3444" s="180" t="str">
        <f>IFERROR(__xludf.DUMMYFUNCTION("""COMPUTED_VALUE"""),"Planned to wait for AWD, but WA sales tax exemption ending next month_")</f>
        <v>Planned to wait for AWD, but WA sales tax exemption ending next month_</v>
      </c>
      <c r="AH3444" s="185">
        <f>IFERROR(__xludf.DUMMYFUNCTION("""COMPUTED_VALUE"""),43252.74047520833)</f>
        <v>43252.74048</v>
      </c>
      <c r="AI3444" s="182"/>
      <c r="AJ3444" s="182"/>
      <c r="AK3444" s="182"/>
      <c r="AL3444" s="182"/>
    </row>
    <row r="3445" ht="20.25" customHeight="1">
      <c r="A3445" s="169" t="str">
        <f>IFERROR(__xludf.DUMMYFUNCTION("""COMPUTED_VALUE"""),"nil0lab")</f>
        <v>nil0lab</v>
      </c>
      <c r="B3445" s="170" t="str">
        <f>IFERROR(__xludf.DUMMYFUNCTION("""COMPUTED_VALUE"""),"san francisco")</f>
        <v>san francisco</v>
      </c>
      <c r="C3445" s="170" t="str">
        <f>IFERROR(__xludf.DUMMYFUNCTION("""COMPUTED_VALUE"""),"CA")</f>
        <v>CA</v>
      </c>
      <c r="D3445" s="170" t="str">
        <f>IFERROR(__xludf.DUMMYFUNCTION("""COMPUTED_VALUE"""),"USA")</f>
        <v>USA</v>
      </c>
      <c r="E3445" s="171">
        <f>IFERROR(__xludf.DUMMYFUNCTION("""COMPUTED_VALUE"""),43209.0)</f>
        <v>43209</v>
      </c>
      <c r="F3445" s="172">
        <f>IFERROR(__xludf.DUMMYFUNCTION("""COMPUTED_VALUE"""),43277.0)</f>
        <v>43277</v>
      </c>
      <c r="G3445" s="173"/>
      <c r="H3445" s="174">
        <f>IFERROR(__xludf.DUMMYFUNCTION("""COMPUTED_VALUE"""),31755.0)</f>
        <v>31755</v>
      </c>
      <c r="I3445" s="175"/>
      <c r="J3445" s="172">
        <f>IFERROR(__xludf.DUMMYFUNCTION("""COMPUTED_VALUE"""),43281.0)</f>
        <v>43281</v>
      </c>
      <c r="K3445" s="176">
        <f>IFERROR(__xludf.DUMMYFUNCTION("""COMPUTED_VALUE"""),68.0)</f>
        <v>68</v>
      </c>
      <c r="L3445" s="176">
        <f>IFERROR(__xludf.DUMMYFUNCTION("""COMPUTED_VALUE"""),4.0)</f>
        <v>4</v>
      </c>
      <c r="M3445" s="176">
        <f>IFERROR(__xludf.DUMMYFUNCTION("""COMPUTED_VALUE"""),72.0)</f>
        <v>72</v>
      </c>
      <c r="N3445" s="177" t="str">
        <f>IFERROR(__xludf.DUMMYFUNCTION("""COMPUTED_VALUE"""),"Model 3 LR")</f>
        <v>Model 3 LR</v>
      </c>
      <c r="O3445" s="177" t="str">
        <f>IFERROR(__xludf.DUMMYFUNCTION("""COMPUTED_VALUE"""),"Red Multi-Coat")</f>
        <v>Red Multi-Coat</v>
      </c>
      <c r="P3445" s="178" t="str">
        <f>IFERROR(__xludf.DUMMYFUNCTION("""COMPUTED_VALUE"""),"18 inch Aero")</f>
        <v>18 inch Aero</v>
      </c>
      <c r="Q3445" s="177"/>
      <c r="R3445" s="170" t="str">
        <f>IFERROR(__xludf.DUMMYFUNCTION("""COMPUTED_VALUE"""),"None")</f>
        <v>None</v>
      </c>
      <c r="S3445" s="170"/>
      <c r="T3445" s="179"/>
      <c r="U3445" s="179"/>
      <c r="V3445" s="179"/>
      <c r="W3445" s="180"/>
      <c r="X3445" s="181" t="str">
        <f>IFERROR(__xludf.DUMMYFUNCTION("""COMPUTED_VALUE"""),"Excellent")</f>
        <v>Excellent</v>
      </c>
      <c r="Y3445" s="182" t="str">
        <f>IFERROR(__xludf.DUMMYFUNCTION("""COMPUTED_VALUE"""),"Excellent")</f>
        <v>Excellent</v>
      </c>
      <c r="Z3445" s="182" t="str">
        <f>IFERROR(__xludf.DUMMYFUNCTION("""COMPUTED_VALUE"""),"Excellent")</f>
        <v>Excellent</v>
      </c>
      <c r="AA3445" s="182" t="str">
        <f>IFERROR(__xludf.DUMMYFUNCTION("""COMPUTED_VALUE"""),"Good")</f>
        <v>Good</v>
      </c>
      <c r="AB3445" s="182" t="str">
        <f>IFERROR(__xludf.DUMMYFUNCTION("""COMPUTED_VALUE"""),"Excellent")</f>
        <v>Excellent</v>
      </c>
      <c r="AC3445" s="183">
        <f>IFERROR(__xludf.DUMMYFUNCTION("""COMPUTED_VALUE"""),1.0)</f>
        <v>1</v>
      </c>
      <c r="AD3445" s="183">
        <f>IFERROR(__xludf.DUMMYFUNCTION("""COMPUTED_VALUE"""),0.0)</f>
        <v>0</v>
      </c>
      <c r="AE3445" s="183">
        <f>IFERROR(__xludf.DUMMYFUNCTION("""COMPUTED_VALUE"""),0.0)</f>
        <v>0</v>
      </c>
      <c r="AF3445" s="184"/>
      <c r="AG3445" s="180"/>
      <c r="AH3445" s="185">
        <f>IFERROR(__xludf.DUMMYFUNCTION("""COMPUTED_VALUE"""),43295.63407410879)</f>
        <v>43295.63407</v>
      </c>
      <c r="AI3445" s="182"/>
      <c r="AJ3445" s="182"/>
      <c r="AK3445" s="182"/>
      <c r="AL3445" s="182"/>
    </row>
    <row r="3446" ht="20.25" customHeight="1">
      <c r="A3446" s="169" t="str">
        <f>IFERROR(__xludf.DUMMYFUNCTION("""COMPUTED_VALUE"""),"Oregon_guy")</f>
        <v>Oregon_guy</v>
      </c>
      <c r="B3446" s="170" t="str">
        <f>IFERROR(__xludf.DUMMYFUNCTION("""COMPUTED_VALUE"""),"Portland")</f>
        <v>Portland</v>
      </c>
      <c r="C3446" s="170" t="str">
        <f>IFERROR(__xludf.DUMMYFUNCTION("""COMPUTED_VALUE"""),"OR")</f>
        <v>OR</v>
      </c>
      <c r="D3446" s="170" t="str">
        <f>IFERROR(__xludf.DUMMYFUNCTION("""COMPUTED_VALUE"""),"USA")</f>
        <v>USA</v>
      </c>
      <c r="E3446" s="171">
        <f>IFERROR(__xludf.DUMMYFUNCTION("""COMPUTED_VALUE"""),43209.0)</f>
        <v>43209</v>
      </c>
      <c r="F3446" s="172">
        <f>IFERROR(__xludf.DUMMYFUNCTION("""COMPUTED_VALUE"""),43244.0)</f>
        <v>43244</v>
      </c>
      <c r="G3446" s="173"/>
      <c r="H3446" s="174">
        <f>IFERROR(__xludf.DUMMYFUNCTION("""COMPUTED_VALUE"""),25655.0)</f>
        <v>25655</v>
      </c>
      <c r="I3446" s="175"/>
      <c r="J3446" s="172">
        <f>IFERROR(__xludf.DUMMYFUNCTION("""COMPUTED_VALUE"""),43259.0)</f>
        <v>43259</v>
      </c>
      <c r="K3446" s="176">
        <f>IFERROR(__xludf.DUMMYFUNCTION("""COMPUTED_VALUE"""),35.0)</f>
        <v>35</v>
      </c>
      <c r="L3446" s="176">
        <f>IFERROR(__xludf.DUMMYFUNCTION("""COMPUTED_VALUE"""),15.0)</f>
        <v>15</v>
      </c>
      <c r="M3446" s="176">
        <f>IFERROR(__xludf.DUMMYFUNCTION("""COMPUTED_VALUE"""),50.0)</f>
        <v>50</v>
      </c>
      <c r="N3446" s="177" t="str">
        <f>IFERROR(__xludf.DUMMYFUNCTION("""COMPUTED_VALUE"""),"Model 3 LR")</f>
        <v>Model 3 LR</v>
      </c>
      <c r="O3446" s="177" t="str">
        <f>IFERROR(__xludf.DUMMYFUNCTION("""COMPUTED_VALUE"""),"Midnight Silver Metallic")</f>
        <v>Midnight Silver Metallic</v>
      </c>
      <c r="P3446" s="178" t="str">
        <f>IFERROR(__xludf.DUMMYFUNCTION("""COMPUTED_VALUE"""),"18 inch Aero")</f>
        <v>18 inch Aero</v>
      </c>
      <c r="Q3446" s="177" t="str">
        <f>IFERROR(__xludf.DUMMYFUNCTION("""COMPUTED_VALUE"""),"Black seats")</f>
        <v>Black seats</v>
      </c>
      <c r="R3446" s="170" t="str">
        <f>IFERROR(__xludf.DUMMYFUNCTION("""COMPUTED_VALUE"""),"None")</f>
        <v>None</v>
      </c>
      <c r="S3446" s="170"/>
      <c r="T3446" s="179"/>
      <c r="U3446" s="179"/>
      <c r="V3446" s="179"/>
      <c r="W3446" s="180"/>
      <c r="X3446" s="181" t="str">
        <f>IFERROR(__xludf.DUMMYFUNCTION("""COMPUTED_VALUE"""),"Excellent")</f>
        <v>Excellent</v>
      </c>
      <c r="Y3446" s="182" t="str">
        <f>IFERROR(__xludf.DUMMYFUNCTION("""COMPUTED_VALUE"""),"Good")</f>
        <v>Good</v>
      </c>
      <c r="Z3446" s="182" t="str">
        <f>IFERROR(__xludf.DUMMYFUNCTION("""COMPUTED_VALUE"""),"Excellent")</f>
        <v>Excellent</v>
      </c>
      <c r="AA3446" s="182" t="str">
        <f>IFERROR(__xludf.DUMMYFUNCTION("""COMPUTED_VALUE"""),"Excellent")</f>
        <v>Excellent</v>
      </c>
      <c r="AB3446" s="182" t="str">
        <f>IFERROR(__xludf.DUMMYFUNCTION("""COMPUTED_VALUE"""),"Excellent")</f>
        <v>Excellent</v>
      </c>
      <c r="AC3446" s="183"/>
      <c r="AD3446" s="183"/>
      <c r="AE3446" s="183"/>
      <c r="AF3446" s="184"/>
      <c r="AG3446" s="180" t="str">
        <f>IFERROR(__xludf.DUMMYFUNCTION("""COMPUTED_VALUE"""),"Delivery got delayed.Got the car on 13th instead of 8th. The vanity mirror was shattered on passenger side, but they fixed it right away.")</f>
        <v>Delivery got delayed.Got the car on 13th instead of 8th. The vanity mirror was shattered on passenger side, but they fixed it right away.</v>
      </c>
      <c r="AH3446" s="185">
        <f>IFERROR(__xludf.DUMMYFUNCTION("""COMPUTED_VALUE"""),43265.474118495375)</f>
        <v>43265.47412</v>
      </c>
      <c r="AI3446" s="182"/>
      <c r="AJ3446" s="182"/>
      <c r="AK3446" s="182"/>
      <c r="AL3446" s="182"/>
    </row>
    <row r="3447" ht="20.25" customHeight="1">
      <c r="A3447" s="169" t="str">
        <f>IFERROR(__xludf.DUMMYFUNCTION("""COMPUTED_VALUE"""),"sakumar")</f>
        <v>sakumar</v>
      </c>
      <c r="B3447" s="170"/>
      <c r="C3447" s="170" t="str">
        <f>IFERROR(__xludf.DUMMYFUNCTION("""COMPUTED_VALUE"""),"CA")</f>
        <v>CA</v>
      </c>
      <c r="D3447" s="170" t="str">
        <f>IFERROR(__xludf.DUMMYFUNCTION("""COMPUTED_VALUE"""),"USA")</f>
        <v>USA</v>
      </c>
      <c r="E3447" s="171">
        <f>IFERROR(__xludf.DUMMYFUNCTION("""COMPUTED_VALUE"""),43209.0)</f>
        <v>43209</v>
      </c>
      <c r="F3447" s="172"/>
      <c r="G3447" s="173"/>
      <c r="H3447" s="174">
        <f>IFERROR(__xludf.DUMMYFUNCTION("""COMPUTED_VALUE"""),25655.0)</f>
        <v>25655</v>
      </c>
      <c r="I3447" s="175" t="str">
        <f>IFERROR(__xludf.DUMMYFUNCTION("""COMPUTED_VALUE"""),"05/18")</f>
        <v>05/18</v>
      </c>
      <c r="J3447" s="172">
        <f>IFERROR(__xludf.DUMMYFUNCTION("""COMPUTED_VALUE"""),43251.0)</f>
        <v>43251</v>
      </c>
      <c r="K3447" s="176"/>
      <c r="L3447" s="176"/>
      <c r="M3447" s="176">
        <f>IFERROR(__xludf.DUMMYFUNCTION("""COMPUTED_VALUE"""),42.0)</f>
        <v>42</v>
      </c>
      <c r="N3447" s="177" t="str">
        <f>IFERROR(__xludf.DUMMYFUNCTION("""COMPUTED_VALUE"""),"Model 3 LR")</f>
        <v>Model 3 LR</v>
      </c>
      <c r="O3447" s="177" t="str">
        <f>IFERROR(__xludf.DUMMYFUNCTION("""COMPUTED_VALUE"""),"Midnight Silver Metallic")</f>
        <v>Midnight Silver Metallic</v>
      </c>
      <c r="P3447" s="178" t="str">
        <f>IFERROR(__xludf.DUMMYFUNCTION("""COMPUTED_VALUE"""),"18 inch Aero")</f>
        <v>18 inch Aero</v>
      </c>
      <c r="Q3447" s="177" t="str">
        <f>IFERROR(__xludf.DUMMYFUNCTION("""COMPUTED_VALUE"""),"Black seats")</f>
        <v>Black seats</v>
      </c>
      <c r="R3447" s="170" t="str">
        <f>IFERROR(__xludf.DUMMYFUNCTION("""COMPUTED_VALUE"""),"Enhanced Autopilot")</f>
        <v>Enhanced Autopilot</v>
      </c>
      <c r="S3447" s="170"/>
      <c r="T3447" s="179"/>
      <c r="U3447" s="179"/>
      <c r="V3447" s="179"/>
      <c r="W3447" s="180"/>
      <c r="X3447" s="181" t="str">
        <f>IFERROR(__xludf.DUMMYFUNCTION("""COMPUTED_VALUE"""),"Excellent")</f>
        <v>Excellent</v>
      </c>
      <c r="Y3447" s="182" t="str">
        <f>IFERROR(__xludf.DUMMYFUNCTION("""COMPUTED_VALUE"""),"Excellent")</f>
        <v>Excellent</v>
      </c>
      <c r="Z3447" s="182" t="str">
        <f>IFERROR(__xludf.DUMMYFUNCTION("""COMPUTED_VALUE"""),"Excellent")</f>
        <v>Excellent</v>
      </c>
      <c r="AA3447" s="182" t="str">
        <f>IFERROR(__xludf.DUMMYFUNCTION("""COMPUTED_VALUE"""),"Very Good")</f>
        <v>Very Good</v>
      </c>
      <c r="AB3447" s="182" t="str">
        <f>IFERROR(__xludf.DUMMYFUNCTION("""COMPUTED_VALUE"""),"Very Good")</f>
        <v>Very Good</v>
      </c>
      <c r="AC3447" s="183"/>
      <c r="AD3447" s="183"/>
      <c r="AE3447" s="183"/>
      <c r="AF3447" s="184"/>
      <c r="AG3447" s="180"/>
      <c r="AH3447" s="185">
        <f>IFERROR(__xludf.DUMMYFUNCTION("""COMPUTED_VALUE"""),43255.94709148148)</f>
        <v>43255.94709</v>
      </c>
      <c r="AI3447" s="182"/>
      <c r="AJ3447" s="182"/>
      <c r="AK3447" s="182"/>
      <c r="AL3447" s="182"/>
    </row>
    <row r="3448" ht="20.25" customHeight="1">
      <c r="A3448" s="169" t="str">
        <f>IFERROR(__xludf.DUMMYFUNCTION("""COMPUTED_VALUE"""),"tungholio")</f>
        <v>tungholio</v>
      </c>
      <c r="B3448" s="170" t="str">
        <f>IFERROR(__xludf.DUMMYFUNCTION("""COMPUTED_VALUE"""),"San Rafael")</f>
        <v>San Rafael</v>
      </c>
      <c r="C3448" s="170" t="str">
        <f>IFERROR(__xludf.DUMMYFUNCTION("""COMPUTED_VALUE"""),"CA")</f>
        <v>CA</v>
      </c>
      <c r="D3448" s="170" t="str">
        <f>IFERROR(__xludf.DUMMYFUNCTION("""COMPUTED_VALUE"""),"USA")</f>
        <v>USA</v>
      </c>
      <c r="E3448" s="171">
        <f>IFERROR(__xludf.DUMMYFUNCTION("""COMPUTED_VALUE"""),43209.0)</f>
        <v>43209</v>
      </c>
      <c r="F3448" s="172">
        <f>IFERROR(__xludf.DUMMYFUNCTION("""COMPUTED_VALUE"""),43210.0)</f>
        <v>43210</v>
      </c>
      <c r="G3448" s="173"/>
      <c r="H3448" s="174">
        <f>IFERROR(__xludf.DUMMYFUNCTION("""COMPUTED_VALUE"""),17895.0)</f>
        <v>17895</v>
      </c>
      <c r="I3448" s="175"/>
      <c r="J3448" s="172">
        <f>IFERROR(__xludf.DUMMYFUNCTION("""COMPUTED_VALUE"""),43221.0)</f>
        <v>43221</v>
      </c>
      <c r="K3448" s="176">
        <f>IFERROR(__xludf.DUMMYFUNCTION("""COMPUTED_VALUE"""),1.0)</f>
        <v>1</v>
      </c>
      <c r="L3448" s="176">
        <f>IFERROR(__xludf.DUMMYFUNCTION("""COMPUTED_VALUE"""),11.0)</f>
        <v>11</v>
      </c>
      <c r="M3448" s="176">
        <f>IFERROR(__xludf.DUMMYFUNCTION("""COMPUTED_VALUE"""),12.0)</f>
        <v>12</v>
      </c>
      <c r="N3448" s="177" t="str">
        <f>IFERROR(__xludf.DUMMYFUNCTION("""COMPUTED_VALUE"""),"Model 3 LR")</f>
        <v>Model 3 LR</v>
      </c>
      <c r="O3448" s="177" t="str">
        <f>IFERROR(__xludf.DUMMYFUNCTION("""COMPUTED_VALUE"""),"Silver Metallic")</f>
        <v>Silver Metallic</v>
      </c>
      <c r="P3448" s="178" t="str">
        <f>IFERROR(__xludf.DUMMYFUNCTION("""COMPUTED_VALUE"""),"19 inch Sport")</f>
        <v>19 inch Sport</v>
      </c>
      <c r="Q3448" s="177" t="str">
        <f>IFERROR(__xludf.DUMMYFUNCTION("""COMPUTED_VALUE"""),"Black seats")</f>
        <v>Black seats</v>
      </c>
      <c r="R3448" s="170" t="str">
        <f>IFERROR(__xludf.DUMMYFUNCTION("""COMPUTED_VALUE"""),"Enhanced Autopilot")</f>
        <v>Enhanced Autopilot</v>
      </c>
      <c r="S3448" s="170"/>
      <c r="T3448" s="179"/>
      <c r="U3448" s="179"/>
      <c r="V3448" s="179"/>
      <c r="W3448" s="180"/>
      <c r="X3448" s="181" t="str">
        <f>IFERROR(__xludf.DUMMYFUNCTION("""COMPUTED_VALUE"""),"Very Good")</f>
        <v>Very Good</v>
      </c>
      <c r="Y3448" s="182" t="str">
        <f>IFERROR(__xludf.DUMMYFUNCTION("""COMPUTED_VALUE"""),"Very Good")</f>
        <v>Very Good</v>
      </c>
      <c r="Z3448" s="182" t="str">
        <f>IFERROR(__xludf.DUMMYFUNCTION("""COMPUTED_VALUE"""),"Excellent")</f>
        <v>Excellent</v>
      </c>
      <c r="AA3448" s="182"/>
      <c r="AB3448" s="182" t="str">
        <f>IFERROR(__xludf.DUMMYFUNCTION("""COMPUTED_VALUE"""),"Very Good")</f>
        <v>Very Good</v>
      </c>
      <c r="AC3448" s="183"/>
      <c r="AD3448" s="183"/>
      <c r="AE3448" s="183"/>
      <c r="AF3448" s="184"/>
      <c r="AG3448" s="180"/>
      <c r="AH3448" s="185">
        <f>IFERROR(__xludf.DUMMYFUNCTION("""COMPUTED_VALUE"""),43223.620080312496)</f>
        <v>43223.62008</v>
      </c>
      <c r="AI3448" s="182"/>
      <c r="AJ3448" s="182"/>
      <c r="AK3448" s="182"/>
      <c r="AL3448" s="182"/>
    </row>
    <row r="3449" ht="20.25" customHeight="1">
      <c r="A3449" s="169" t="str">
        <f>IFERROR(__xludf.DUMMYFUNCTION("""COMPUTED_VALUE"""),"123abc")</f>
        <v>123abc</v>
      </c>
      <c r="B3449" s="170"/>
      <c r="C3449" s="170" t="str">
        <f>IFERROR(__xludf.DUMMYFUNCTION("""COMPUTED_VALUE"""),"TX")</f>
        <v>TX</v>
      </c>
      <c r="D3449" s="170" t="str">
        <f>IFERROR(__xludf.DUMMYFUNCTION("""COMPUTED_VALUE"""),"USA")</f>
        <v>USA</v>
      </c>
      <c r="E3449" s="171">
        <f>IFERROR(__xludf.DUMMYFUNCTION("""COMPUTED_VALUE"""),43208.0)</f>
        <v>43208</v>
      </c>
      <c r="F3449" s="172">
        <f>IFERROR(__xludf.DUMMYFUNCTION("""COMPUTED_VALUE"""),43244.0)</f>
        <v>43244</v>
      </c>
      <c r="G3449" s="173"/>
      <c r="H3449" s="174">
        <f>IFERROR(__xludf.DUMMYFUNCTION("""COMPUTED_VALUE"""),23555.0)</f>
        <v>23555</v>
      </c>
      <c r="I3449" s="175"/>
      <c r="J3449" s="172">
        <f>IFERROR(__xludf.DUMMYFUNCTION("""COMPUTED_VALUE"""),43256.0)</f>
        <v>43256</v>
      </c>
      <c r="K3449" s="176">
        <f>IFERROR(__xludf.DUMMYFUNCTION("""COMPUTED_VALUE"""),36.0)</f>
        <v>36</v>
      </c>
      <c r="L3449" s="176">
        <f>IFERROR(__xludf.DUMMYFUNCTION("""COMPUTED_VALUE"""),12.0)</f>
        <v>12</v>
      </c>
      <c r="M3449" s="176">
        <f>IFERROR(__xludf.DUMMYFUNCTION("""COMPUTED_VALUE"""),48.0)</f>
        <v>48</v>
      </c>
      <c r="N3449" s="177" t="str">
        <f>IFERROR(__xludf.DUMMYFUNCTION("""COMPUTED_VALUE"""),"Model 3 LR")</f>
        <v>Model 3 LR</v>
      </c>
      <c r="O3449" s="177" t="str">
        <f>IFERROR(__xludf.DUMMYFUNCTION("""COMPUTED_VALUE"""),"Solid Black")</f>
        <v>Solid Black</v>
      </c>
      <c r="P3449" s="178" t="str">
        <f>IFERROR(__xludf.DUMMYFUNCTION("""COMPUTED_VALUE"""),"19 inch Sport")</f>
        <v>19 inch Sport</v>
      </c>
      <c r="Q3449" s="177" t="str">
        <f>IFERROR(__xludf.DUMMYFUNCTION("""COMPUTED_VALUE"""),"Black seats")</f>
        <v>Black seats</v>
      </c>
      <c r="R3449" s="170" t="str">
        <f>IFERROR(__xludf.DUMMYFUNCTION("""COMPUTED_VALUE"""),"Enhanced Autopilot")</f>
        <v>Enhanced Autopilot</v>
      </c>
      <c r="S3449" s="170"/>
      <c r="T3449" s="179"/>
      <c r="U3449" s="179"/>
      <c r="V3449" s="179"/>
      <c r="W3449" s="180"/>
      <c r="X3449" s="181" t="str">
        <f>IFERROR(__xludf.DUMMYFUNCTION("""COMPUTED_VALUE"""),"Excellent")</f>
        <v>Excellent</v>
      </c>
      <c r="Y3449" s="182" t="str">
        <f>IFERROR(__xludf.DUMMYFUNCTION("""COMPUTED_VALUE"""),"Excellent")</f>
        <v>Excellent</v>
      </c>
      <c r="Z3449" s="182" t="str">
        <f>IFERROR(__xludf.DUMMYFUNCTION("""COMPUTED_VALUE"""),"Excellent")</f>
        <v>Excellent</v>
      </c>
      <c r="AA3449" s="182" t="str">
        <f>IFERROR(__xludf.DUMMYFUNCTION("""COMPUTED_VALUE"""),"Excellent")</f>
        <v>Excellent</v>
      </c>
      <c r="AB3449" s="182" t="str">
        <f>IFERROR(__xludf.DUMMYFUNCTION("""COMPUTED_VALUE"""),"Excellent")</f>
        <v>Excellent</v>
      </c>
      <c r="AC3449" s="183"/>
      <c r="AD3449" s="183"/>
      <c r="AE3449" s="183"/>
      <c r="AF3449" s="184"/>
      <c r="AG3449" s="180"/>
      <c r="AH3449" s="185">
        <f>IFERROR(__xludf.DUMMYFUNCTION("""COMPUTED_VALUE"""),43259.34157820602)</f>
        <v>43259.34158</v>
      </c>
      <c r="AI3449" s="182"/>
      <c r="AJ3449" s="182"/>
      <c r="AK3449" s="182"/>
      <c r="AL3449" s="182"/>
    </row>
    <row r="3450" ht="20.25" customHeight="1">
      <c r="A3450" s="169" t="str">
        <f>IFERROR(__xludf.DUMMYFUNCTION("""COMPUTED_VALUE"""),"AAinSoCal")</f>
        <v>AAinSoCal</v>
      </c>
      <c r="B3450" s="170" t="str">
        <f>IFERROR(__xludf.DUMMYFUNCTION("""COMPUTED_VALUE"""),"Los Angeles")</f>
        <v>Los Angeles</v>
      </c>
      <c r="C3450" s="170" t="str">
        <f>IFERROR(__xludf.DUMMYFUNCTION("""COMPUTED_VALUE"""),"CA")</f>
        <v>CA</v>
      </c>
      <c r="D3450" s="170" t="str">
        <f>IFERROR(__xludf.DUMMYFUNCTION("""COMPUTED_VALUE"""),"USA")</f>
        <v>USA</v>
      </c>
      <c r="E3450" s="171">
        <f>IFERROR(__xludf.DUMMYFUNCTION("""COMPUTED_VALUE"""),43208.0)</f>
        <v>43208</v>
      </c>
      <c r="F3450" s="172">
        <f>IFERROR(__xludf.DUMMYFUNCTION("""COMPUTED_VALUE"""),43234.0)</f>
        <v>43234</v>
      </c>
      <c r="G3450" s="173"/>
      <c r="H3450" s="174">
        <f>IFERROR(__xludf.DUMMYFUNCTION("""COMPUTED_VALUE"""),21955.0)</f>
        <v>21955</v>
      </c>
      <c r="I3450" s="175"/>
      <c r="J3450" s="172">
        <f>IFERROR(__xludf.DUMMYFUNCTION("""COMPUTED_VALUE"""),43239.0)</f>
        <v>43239</v>
      </c>
      <c r="K3450" s="176">
        <f>IFERROR(__xludf.DUMMYFUNCTION("""COMPUTED_VALUE"""),26.0)</f>
        <v>26</v>
      </c>
      <c r="L3450" s="176">
        <f>IFERROR(__xludf.DUMMYFUNCTION("""COMPUTED_VALUE"""),5.0)</f>
        <v>5</v>
      </c>
      <c r="M3450" s="176">
        <f>IFERROR(__xludf.DUMMYFUNCTION("""COMPUTED_VALUE"""),31.0)</f>
        <v>31</v>
      </c>
      <c r="N3450" s="177" t="str">
        <f>IFERROR(__xludf.DUMMYFUNCTION("""COMPUTED_VALUE"""),"Model 3 LR")</f>
        <v>Model 3 LR</v>
      </c>
      <c r="O3450" s="177" t="str">
        <f>IFERROR(__xludf.DUMMYFUNCTION("""COMPUTED_VALUE"""),"Midnight Silver Metallic")</f>
        <v>Midnight Silver Metallic</v>
      </c>
      <c r="P3450" s="178" t="str">
        <f>IFERROR(__xludf.DUMMYFUNCTION("""COMPUTED_VALUE"""),"18 inch Aero")</f>
        <v>18 inch Aero</v>
      </c>
      <c r="Q3450" s="177" t="str">
        <f>IFERROR(__xludf.DUMMYFUNCTION("""COMPUTED_VALUE"""),"Black seats")</f>
        <v>Black seats</v>
      </c>
      <c r="R3450" s="170" t="str">
        <f>IFERROR(__xludf.DUMMYFUNCTION("""COMPUTED_VALUE"""),"Enhanced Autopilot")</f>
        <v>Enhanced Autopilot</v>
      </c>
      <c r="S3450" s="170"/>
      <c r="T3450" s="179"/>
      <c r="U3450" s="179"/>
      <c r="V3450" s="179"/>
      <c r="W3450" s="180"/>
      <c r="X3450" s="181" t="str">
        <f>IFERROR(__xludf.DUMMYFUNCTION("""COMPUTED_VALUE"""),"Very Good")</f>
        <v>Very Good</v>
      </c>
      <c r="Y3450" s="182" t="str">
        <f>IFERROR(__xludf.DUMMYFUNCTION("""COMPUTED_VALUE"""),"Very Good")</f>
        <v>Very Good</v>
      </c>
      <c r="Z3450" s="182" t="str">
        <f>IFERROR(__xludf.DUMMYFUNCTION("""COMPUTED_VALUE"""),"Excellent")</f>
        <v>Excellent</v>
      </c>
      <c r="AA3450" s="182"/>
      <c r="AB3450" s="182" t="str">
        <f>IFERROR(__xludf.DUMMYFUNCTION("""COMPUTED_VALUE"""),"Excellent")</f>
        <v>Excellent</v>
      </c>
      <c r="AC3450" s="183"/>
      <c r="AD3450" s="183"/>
      <c r="AE3450" s="183"/>
      <c r="AF3450" s="184"/>
      <c r="AG3450" s="180"/>
      <c r="AH3450" s="185">
        <f>IFERROR(__xludf.DUMMYFUNCTION("""COMPUTED_VALUE"""),43239.632189525466)</f>
        <v>43239.63219</v>
      </c>
      <c r="AI3450" s="182"/>
      <c r="AJ3450" s="182"/>
      <c r="AK3450" s="182"/>
      <c r="AL3450" s="182"/>
    </row>
    <row r="3451" ht="20.25" customHeight="1">
      <c r="A3451" s="169" t="str">
        <f>IFERROR(__xludf.DUMMYFUNCTION("""COMPUTED_VALUE"""),"AngryCPA")</f>
        <v>AngryCPA</v>
      </c>
      <c r="B3451" s="170" t="str">
        <f>IFERROR(__xludf.DUMMYFUNCTION("""COMPUTED_VALUE"""),"Orange County")</f>
        <v>Orange County</v>
      </c>
      <c r="C3451" s="170" t="str">
        <f>IFERROR(__xludf.DUMMYFUNCTION("""COMPUTED_VALUE"""),"CA")</f>
        <v>CA</v>
      </c>
      <c r="D3451" s="170" t="str">
        <f>IFERROR(__xludf.DUMMYFUNCTION("""COMPUTED_VALUE"""),"USA")</f>
        <v>USA</v>
      </c>
      <c r="E3451" s="171">
        <f>IFERROR(__xludf.DUMMYFUNCTION("""COMPUTED_VALUE"""),43208.0)</f>
        <v>43208</v>
      </c>
      <c r="F3451" s="172">
        <f>IFERROR(__xludf.DUMMYFUNCTION("""COMPUTED_VALUE"""),43241.0)</f>
        <v>43241</v>
      </c>
      <c r="G3451" s="173"/>
      <c r="H3451" s="174">
        <f>IFERROR(__xludf.DUMMYFUNCTION("""COMPUTED_VALUE"""),30655.0)</f>
        <v>30655</v>
      </c>
      <c r="I3451" s="175"/>
      <c r="J3451" s="172">
        <f>IFERROR(__xludf.DUMMYFUNCTION("""COMPUTED_VALUE"""),43250.0)</f>
        <v>43250</v>
      </c>
      <c r="K3451" s="176">
        <f>IFERROR(__xludf.DUMMYFUNCTION("""COMPUTED_VALUE"""),33.0)</f>
        <v>33</v>
      </c>
      <c r="L3451" s="176">
        <f>IFERROR(__xludf.DUMMYFUNCTION("""COMPUTED_VALUE"""),9.0)</f>
        <v>9</v>
      </c>
      <c r="M3451" s="176">
        <f>IFERROR(__xludf.DUMMYFUNCTION("""COMPUTED_VALUE"""),42.0)</f>
        <v>42</v>
      </c>
      <c r="N3451" s="177" t="str">
        <f>IFERROR(__xludf.DUMMYFUNCTION("""COMPUTED_VALUE"""),"Model 3 LR")</f>
        <v>Model 3 LR</v>
      </c>
      <c r="O3451" s="177" t="str">
        <f>IFERROR(__xludf.DUMMYFUNCTION("""COMPUTED_VALUE"""),"Silver Metallic")</f>
        <v>Silver Metallic</v>
      </c>
      <c r="P3451" s="178" t="str">
        <f>IFERROR(__xludf.DUMMYFUNCTION("""COMPUTED_VALUE"""),"18 inch Aero")</f>
        <v>18 inch Aero</v>
      </c>
      <c r="Q3451" s="177" t="str">
        <f>IFERROR(__xludf.DUMMYFUNCTION("""COMPUTED_VALUE"""),"Black seats")</f>
        <v>Black seats</v>
      </c>
      <c r="R3451" s="170" t="str">
        <f>IFERROR(__xludf.DUMMYFUNCTION("""COMPUTED_VALUE"""),"Enhanced Autopilot")</f>
        <v>Enhanced Autopilot</v>
      </c>
      <c r="S3451" s="170"/>
      <c r="T3451" s="179"/>
      <c r="U3451" s="179"/>
      <c r="V3451" s="179"/>
      <c r="W3451" s="180"/>
      <c r="X3451" s="181" t="str">
        <f>IFERROR(__xludf.DUMMYFUNCTION("""COMPUTED_VALUE"""),"Excellent")</f>
        <v>Excellent</v>
      </c>
      <c r="Y3451" s="182" t="str">
        <f>IFERROR(__xludf.DUMMYFUNCTION("""COMPUTED_VALUE"""),"Very Good")</f>
        <v>Very Good</v>
      </c>
      <c r="Z3451" s="182" t="str">
        <f>IFERROR(__xludf.DUMMYFUNCTION("""COMPUTED_VALUE"""),"Very Good")</f>
        <v>Very Good</v>
      </c>
      <c r="AA3451" s="182" t="str">
        <f>IFERROR(__xludf.DUMMYFUNCTION("""COMPUTED_VALUE"""),"Excellent")</f>
        <v>Excellent</v>
      </c>
      <c r="AB3451" s="182" t="str">
        <f>IFERROR(__xludf.DUMMYFUNCTION("""COMPUTED_VALUE"""),"Excellent")</f>
        <v>Excellent</v>
      </c>
      <c r="AC3451" s="183"/>
      <c r="AD3451" s="183"/>
      <c r="AE3451" s="183"/>
      <c r="AF3451" s="184"/>
      <c r="AG3451" s="180" t="str">
        <f>IFERROR(__xludf.DUMMYFUNCTION("""COMPUTED_VALUE"""),"VIN Obtained using HPWC trick on 5/21, confirmed via ISA email 5/22")</f>
        <v>VIN Obtained using HPWC trick on 5/21, confirmed via ISA email 5/22</v>
      </c>
      <c r="AH3451" s="185">
        <f>IFERROR(__xludf.DUMMYFUNCTION("""COMPUTED_VALUE"""),43250.769911469906)</f>
        <v>43250.76991</v>
      </c>
      <c r="AI3451" s="182"/>
      <c r="AJ3451" s="182"/>
      <c r="AK3451" s="182"/>
      <c r="AL3451" s="182"/>
    </row>
    <row r="3452" ht="20.25" customHeight="1">
      <c r="A3452" s="169" t="str">
        <f>IFERROR(__xludf.DUMMYFUNCTION("""COMPUTED_VALUE"""),"Apeweek")</f>
        <v>Apeweek</v>
      </c>
      <c r="B3452" s="170" t="str">
        <f>IFERROR(__xludf.DUMMYFUNCTION("""COMPUTED_VALUE"""),"Dearborn")</f>
        <v>Dearborn</v>
      </c>
      <c r="C3452" s="170" t="str">
        <f>IFERROR(__xludf.DUMMYFUNCTION("""COMPUTED_VALUE"""),"MI")</f>
        <v>MI</v>
      </c>
      <c r="D3452" s="170" t="str">
        <f>IFERROR(__xludf.DUMMYFUNCTION("""COMPUTED_VALUE"""),"USA")</f>
        <v>USA</v>
      </c>
      <c r="E3452" s="171">
        <f>IFERROR(__xludf.DUMMYFUNCTION("""COMPUTED_VALUE"""),43208.0)</f>
        <v>43208</v>
      </c>
      <c r="F3452" s="172">
        <f>IFERROR(__xludf.DUMMYFUNCTION("""COMPUTED_VALUE"""),43255.0)</f>
        <v>43255</v>
      </c>
      <c r="G3452" s="173"/>
      <c r="H3452" s="174">
        <f>IFERROR(__xludf.DUMMYFUNCTION("""COMPUTED_VALUE"""),18784.0)</f>
        <v>18784</v>
      </c>
      <c r="I3452" s="175" t="str">
        <f>IFERROR(__xludf.DUMMYFUNCTION("""COMPUTED_VALUE"""),"06/18")</f>
        <v>06/18</v>
      </c>
      <c r="J3452" s="172">
        <f>IFERROR(__xludf.DUMMYFUNCTION("""COMPUTED_VALUE"""),43280.0)</f>
        <v>43280</v>
      </c>
      <c r="K3452" s="176">
        <f>IFERROR(__xludf.DUMMYFUNCTION("""COMPUTED_VALUE"""),47.0)</f>
        <v>47</v>
      </c>
      <c r="L3452" s="176">
        <f>IFERROR(__xludf.DUMMYFUNCTION("""COMPUTED_VALUE"""),25.0)</f>
        <v>25</v>
      </c>
      <c r="M3452" s="176">
        <f>IFERROR(__xludf.DUMMYFUNCTION("""COMPUTED_VALUE"""),72.0)</f>
        <v>72</v>
      </c>
      <c r="N3452" s="177" t="str">
        <f>IFERROR(__xludf.DUMMYFUNCTION("""COMPUTED_VALUE"""),"Model 3 LR")</f>
        <v>Model 3 LR</v>
      </c>
      <c r="O3452" s="177" t="str">
        <f>IFERROR(__xludf.DUMMYFUNCTION("""COMPUTED_VALUE"""),"Solid Black")</f>
        <v>Solid Black</v>
      </c>
      <c r="P3452" s="178" t="str">
        <f>IFERROR(__xludf.DUMMYFUNCTION("""COMPUTED_VALUE"""),"18 inch Aero")</f>
        <v>18 inch Aero</v>
      </c>
      <c r="Q3452" s="177" t="str">
        <f>IFERROR(__xludf.DUMMYFUNCTION("""COMPUTED_VALUE"""),"Black seats")</f>
        <v>Black seats</v>
      </c>
      <c r="R3452" s="170" t="str">
        <f>IFERROR(__xludf.DUMMYFUNCTION("""COMPUTED_VALUE"""),"Enhanced Autopilot")</f>
        <v>Enhanced Autopilot</v>
      </c>
      <c r="S3452" s="170"/>
      <c r="T3452" s="179"/>
      <c r="U3452" s="179"/>
      <c r="V3452" s="179"/>
      <c r="W3452" s="180"/>
      <c r="X3452" s="181" t="str">
        <f>IFERROR(__xludf.DUMMYFUNCTION("""COMPUTED_VALUE"""),"Excellent")</f>
        <v>Excellent</v>
      </c>
      <c r="Y3452" s="182" t="str">
        <f>IFERROR(__xludf.DUMMYFUNCTION("""COMPUTED_VALUE"""),"Excellent")</f>
        <v>Excellent</v>
      </c>
      <c r="Z3452" s="182" t="str">
        <f>IFERROR(__xludf.DUMMYFUNCTION("""COMPUTED_VALUE"""),"Excellent")</f>
        <v>Excellent</v>
      </c>
      <c r="AA3452" s="182" t="str">
        <f>IFERROR(__xludf.DUMMYFUNCTION("""COMPUTED_VALUE"""),"Very Good")</f>
        <v>Very Good</v>
      </c>
      <c r="AB3452" s="182" t="str">
        <f>IFERROR(__xludf.DUMMYFUNCTION("""COMPUTED_VALUE"""),"Very Good")</f>
        <v>Very Good</v>
      </c>
      <c r="AC3452" s="183">
        <f>IFERROR(__xludf.DUMMYFUNCTION("""COMPUTED_VALUE"""),0.0)</f>
        <v>0</v>
      </c>
      <c r="AD3452" s="183"/>
      <c r="AE3452" s="183"/>
      <c r="AF3452" s="184"/>
      <c r="AG3452" s="180"/>
      <c r="AH3452" s="185">
        <f>IFERROR(__xludf.DUMMYFUNCTION("""COMPUTED_VALUE"""),43289.383591481484)</f>
        <v>43289.38359</v>
      </c>
      <c r="AI3452" s="182"/>
      <c r="AJ3452" s="182"/>
      <c r="AK3452" s="182"/>
      <c r="AL3452" s="182"/>
    </row>
    <row r="3453" ht="20.25" customHeight="1">
      <c r="A3453" s="169" t="str">
        <f>IFERROR(__xludf.DUMMYFUNCTION("""COMPUTED_VALUE"""),"avalanch00")</f>
        <v>avalanch00</v>
      </c>
      <c r="B3453" s="170" t="str">
        <f>IFERROR(__xludf.DUMMYFUNCTION("""COMPUTED_VALUE"""),"Denver")</f>
        <v>Denver</v>
      </c>
      <c r="C3453" s="170" t="str">
        <f>IFERROR(__xludf.DUMMYFUNCTION("""COMPUTED_VALUE"""),"CO")</f>
        <v>CO</v>
      </c>
      <c r="D3453" s="170" t="str">
        <f>IFERROR(__xludf.DUMMYFUNCTION("""COMPUTED_VALUE"""),"USA")</f>
        <v>USA</v>
      </c>
      <c r="E3453" s="171">
        <f>IFERROR(__xludf.DUMMYFUNCTION("""COMPUTED_VALUE"""),43208.0)</f>
        <v>43208</v>
      </c>
      <c r="F3453" s="172">
        <f>IFERROR(__xludf.DUMMYFUNCTION("""COMPUTED_VALUE"""),43257.0)</f>
        <v>43257</v>
      </c>
      <c r="G3453" s="173"/>
      <c r="H3453" s="174">
        <f>IFERROR(__xludf.DUMMYFUNCTION("""COMPUTED_VALUE"""),32455.0)</f>
        <v>32455</v>
      </c>
      <c r="I3453" s="175" t="str">
        <f>IFERROR(__xludf.DUMMYFUNCTION("""COMPUTED_VALUE"""),"06/18")</f>
        <v>06/18</v>
      </c>
      <c r="J3453" s="172">
        <f>IFERROR(__xludf.DUMMYFUNCTION("""COMPUTED_VALUE"""),43287.0)</f>
        <v>43287</v>
      </c>
      <c r="K3453" s="176">
        <f>IFERROR(__xludf.DUMMYFUNCTION("""COMPUTED_VALUE"""),49.0)</f>
        <v>49</v>
      </c>
      <c r="L3453" s="176">
        <f>IFERROR(__xludf.DUMMYFUNCTION("""COMPUTED_VALUE"""),30.0)</f>
        <v>30</v>
      </c>
      <c r="M3453" s="176">
        <f>IFERROR(__xludf.DUMMYFUNCTION("""COMPUTED_VALUE"""),79.0)</f>
        <v>79</v>
      </c>
      <c r="N3453" s="177" t="str">
        <f>IFERROR(__xludf.DUMMYFUNCTION("""COMPUTED_VALUE"""),"Model 3 LR")</f>
        <v>Model 3 LR</v>
      </c>
      <c r="O3453" s="177" t="str">
        <f>IFERROR(__xludf.DUMMYFUNCTION("""COMPUTED_VALUE"""),"Red Multi-Coat")</f>
        <v>Red Multi-Coat</v>
      </c>
      <c r="P3453" s="178" t="str">
        <f>IFERROR(__xludf.DUMMYFUNCTION("""COMPUTED_VALUE"""),"18 inch Aero")</f>
        <v>18 inch Aero</v>
      </c>
      <c r="Q3453" s="177" t="str">
        <f>IFERROR(__xludf.DUMMYFUNCTION("""COMPUTED_VALUE"""),"Black seats")</f>
        <v>Black seats</v>
      </c>
      <c r="R3453" s="170" t="str">
        <f>IFERROR(__xludf.DUMMYFUNCTION("""COMPUTED_VALUE"""),"Enhanced Autopilot")</f>
        <v>Enhanced Autopilot</v>
      </c>
      <c r="S3453" s="170"/>
      <c r="T3453" s="179"/>
      <c r="U3453" s="179"/>
      <c r="V3453" s="179"/>
      <c r="W3453" s="180"/>
      <c r="X3453" s="181" t="str">
        <f>IFERROR(__xludf.DUMMYFUNCTION("""COMPUTED_VALUE"""),"Excellent")</f>
        <v>Excellent</v>
      </c>
      <c r="Y3453" s="182" t="str">
        <f>IFERROR(__xludf.DUMMYFUNCTION("""COMPUTED_VALUE"""),"Excellent")</f>
        <v>Excellent</v>
      </c>
      <c r="Z3453" s="182" t="str">
        <f>IFERROR(__xludf.DUMMYFUNCTION("""COMPUTED_VALUE"""),"Very Good")</f>
        <v>Very Good</v>
      </c>
      <c r="AA3453" s="182" t="str">
        <f>IFERROR(__xludf.DUMMYFUNCTION("""COMPUTED_VALUE"""),"Excellent")</f>
        <v>Excellent</v>
      </c>
      <c r="AB3453" s="182" t="str">
        <f>IFERROR(__xludf.DUMMYFUNCTION("""COMPUTED_VALUE"""),"Excellent")</f>
        <v>Excellent</v>
      </c>
      <c r="AC3453" s="183">
        <f>IFERROR(__xludf.DUMMYFUNCTION("""COMPUTED_VALUE"""),1.0)</f>
        <v>1</v>
      </c>
      <c r="AD3453" s="183">
        <f>IFERROR(__xludf.DUMMYFUNCTION("""COMPUTED_VALUE"""),1.0)</f>
        <v>1</v>
      </c>
      <c r="AE3453" s="183"/>
      <c r="AF3453" s="184"/>
      <c r="AG3453" s="180" t="str">
        <f>IFERROR(__xludf.DUMMYFUNCTION("""COMPUTED_VALUE"""),"Rock chip from delivery")</f>
        <v>Rock chip from delivery</v>
      </c>
      <c r="AH3453" s="185">
        <f>IFERROR(__xludf.DUMMYFUNCTION("""COMPUTED_VALUE"""),43293.21508087963)</f>
        <v>43293.21508</v>
      </c>
      <c r="AI3453" s="182"/>
      <c r="AJ3453" s="182"/>
      <c r="AK3453" s="182"/>
      <c r="AL3453" s="182"/>
    </row>
    <row r="3454" ht="20.25" customHeight="1">
      <c r="A3454" s="169" t="str">
        <f>IFERROR(__xludf.DUMMYFUNCTION("""COMPUTED_VALUE"""),"brawlrog")</f>
        <v>brawlrog</v>
      </c>
      <c r="B3454" s="170"/>
      <c r="C3454" s="170" t="str">
        <f>IFERROR(__xludf.DUMMYFUNCTION("""COMPUTED_VALUE"""),"CA")</f>
        <v>CA</v>
      </c>
      <c r="D3454" s="170" t="str">
        <f>IFERROR(__xludf.DUMMYFUNCTION("""COMPUTED_VALUE"""),"USA")</f>
        <v>USA</v>
      </c>
      <c r="E3454" s="171">
        <f>IFERROR(__xludf.DUMMYFUNCTION("""COMPUTED_VALUE"""),43208.0)</f>
        <v>43208</v>
      </c>
      <c r="F3454" s="172">
        <f>IFERROR(__xludf.DUMMYFUNCTION("""COMPUTED_VALUE"""),43245.0)</f>
        <v>43245</v>
      </c>
      <c r="G3454" s="173"/>
      <c r="H3454" s="174">
        <f>IFERROR(__xludf.DUMMYFUNCTION("""COMPUTED_VALUE"""),25155.0)</f>
        <v>25155</v>
      </c>
      <c r="I3454" s="175"/>
      <c r="J3454" s="172">
        <f>IFERROR(__xludf.DUMMYFUNCTION("""COMPUTED_VALUE"""),43253.0)</f>
        <v>43253</v>
      </c>
      <c r="K3454" s="176">
        <f>IFERROR(__xludf.DUMMYFUNCTION("""COMPUTED_VALUE"""),37.0)</f>
        <v>37</v>
      </c>
      <c r="L3454" s="176">
        <f>IFERROR(__xludf.DUMMYFUNCTION("""COMPUTED_VALUE"""),8.0)</f>
        <v>8</v>
      </c>
      <c r="M3454" s="176">
        <f>IFERROR(__xludf.DUMMYFUNCTION("""COMPUTED_VALUE"""),45.0)</f>
        <v>45</v>
      </c>
      <c r="N3454" s="177" t="str">
        <f>IFERROR(__xludf.DUMMYFUNCTION("""COMPUTED_VALUE"""),"Model 3 LR")</f>
        <v>Model 3 LR</v>
      </c>
      <c r="O3454" s="177" t="str">
        <f>IFERROR(__xludf.DUMMYFUNCTION("""COMPUTED_VALUE"""),"Pearl White Multi-Coat")</f>
        <v>Pearl White Multi-Coat</v>
      </c>
      <c r="P3454" s="178" t="str">
        <f>IFERROR(__xludf.DUMMYFUNCTION("""COMPUTED_VALUE"""),"19 inch Sport")</f>
        <v>19 inch Sport</v>
      </c>
      <c r="Q3454" s="177" t="str">
        <f>IFERROR(__xludf.DUMMYFUNCTION("""COMPUTED_VALUE"""),"Black seats")</f>
        <v>Black seats</v>
      </c>
      <c r="R3454" s="170" t="str">
        <f>IFERROR(__xludf.DUMMYFUNCTION("""COMPUTED_VALUE"""),"None")</f>
        <v>None</v>
      </c>
      <c r="S3454" s="170"/>
      <c r="T3454" s="179"/>
      <c r="U3454" s="179"/>
      <c r="V3454" s="179"/>
      <c r="W3454" s="180"/>
      <c r="X3454" s="181" t="str">
        <f>IFERROR(__xludf.DUMMYFUNCTION("""COMPUTED_VALUE"""),"Very Good")</f>
        <v>Very Good</v>
      </c>
      <c r="Y3454" s="182" t="str">
        <f>IFERROR(__xludf.DUMMYFUNCTION("""COMPUTED_VALUE"""),"Excellent")</f>
        <v>Excellent</v>
      </c>
      <c r="Z3454" s="182" t="str">
        <f>IFERROR(__xludf.DUMMYFUNCTION("""COMPUTED_VALUE"""),"Excellent")</f>
        <v>Excellent</v>
      </c>
      <c r="AA3454" s="182" t="str">
        <f>IFERROR(__xludf.DUMMYFUNCTION("""COMPUTED_VALUE"""),"Excellent")</f>
        <v>Excellent</v>
      </c>
      <c r="AB3454" s="182" t="str">
        <f>IFERROR(__xludf.DUMMYFUNCTION("""COMPUTED_VALUE"""),"Excellent")</f>
        <v>Excellent</v>
      </c>
      <c r="AC3454" s="183"/>
      <c r="AD3454" s="183"/>
      <c r="AE3454" s="183"/>
      <c r="AF3454" s="184"/>
      <c r="AG3454" s="180"/>
      <c r="AH3454" s="185">
        <f>IFERROR(__xludf.DUMMYFUNCTION("""COMPUTED_VALUE"""),43258.87079663195)</f>
        <v>43258.8708</v>
      </c>
      <c r="AI3454" s="182"/>
      <c r="AJ3454" s="182"/>
      <c r="AK3454" s="182"/>
      <c r="AL3454" s="182"/>
    </row>
    <row r="3455" ht="20.25" customHeight="1">
      <c r="A3455" s="169" t="str">
        <f>IFERROR(__xludf.DUMMYFUNCTION("""COMPUTED_VALUE"""),"Brett")</f>
        <v>Brett</v>
      </c>
      <c r="B3455" s="170" t="str">
        <f>IFERROR(__xludf.DUMMYFUNCTION("""COMPUTED_VALUE"""),"Brentwood")</f>
        <v>Brentwood</v>
      </c>
      <c r="C3455" s="170" t="str">
        <f>IFERROR(__xludf.DUMMYFUNCTION("""COMPUTED_VALUE"""),"CA")</f>
        <v>CA</v>
      </c>
      <c r="D3455" s="170" t="str">
        <f>IFERROR(__xludf.DUMMYFUNCTION("""COMPUTED_VALUE"""),"USA")</f>
        <v>USA</v>
      </c>
      <c r="E3455" s="171">
        <f>IFERROR(__xludf.DUMMYFUNCTION("""COMPUTED_VALUE"""),43208.0)</f>
        <v>43208</v>
      </c>
      <c r="F3455" s="172">
        <f>IFERROR(__xludf.DUMMYFUNCTION("""COMPUTED_VALUE"""),43279.0)</f>
        <v>43279</v>
      </c>
      <c r="G3455" s="173"/>
      <c r="H3455" s="174">
        <f>IFERROR(__xludf.DUMMYFUNCTION("""COMPUTED_VALUE"""),42786.0)</f>
        <v>42786</v>
      </c>
      <c r="I3455" s="175" t="str">
        <f>IFERROR(__xludf.DUMMYFUNCTION("""COMPUTED_VALUE"""),"06/18")</f>
        <v>06/18</v>
      </c>
      <c r="J3455" s="172">
        <f>IFERROR(__xludf.DUMMYFUNCTION("""COMPUTED_VALUE"""),43282.0)</f>
        <v>43282</v>
      </c>
      <c r="K3455" s="176">
        <f>IFERROR(__xludf.DUMMYFUNCTION("""COMPUTED_VALUE"""),71.0)</f>
        <v>71</v>
      </c>
      <c r="L3455" s="176">
        <f>IFERROR(__xludf.DUMMYFUNCTION("""COMPUTED_VALUE"""),3.0)</f>
        <v>3</v>
      </c>
      <c r="M3455" s="176">
        <f>IFERROR(__xludf.DUMMYFUNCTION("""COMPUTED_VALUE"""),74.0)</f>
        <v>74</v>
      </c>
      <c r="N3455" s="177" t="str">
        <f>IFERROR(__xludf.DUMMYFUNCTION("""COMPUTED_VALUE"""),"Model 3 LR")</f>
        <v>Model 3 LR</v>
      </c>
      <c r="O3455" s="177" t="str">
        <f>IFERROR(__xludf.DUMMYFUNCTION("""COMPUTED_VALUE"""),"Deep Blue Metallic")</f>
        <v>Deep Blue Metallic</v>
      </c>
      <c r="P3455" s="178" t="str">
        <f>IFERROR(__xludf.DUMMYFUNCTION("""COMPUTED_VALUE"""),"19 inch Sport")</f>
        <v>19 inch Sport</v>
      </c>
      <c r="Q3455" s="177" t="str">
        <f>IFERROR(__xludf.DUMMYFUNCTION("""COMPUTED_VALUE"""),"Black seats")</f>
        <v>Black seats</v>
      </c>
      <c r="R3455" s="170" t="str">
        <f>IFERROR(__xludf.DUMMYFUNCTION("""COMPUTED_VALUE"""),"Enhanced Autopilot")</f>
        <v>Enhanced Autopilot</v>
      </c>
      <c r="S3455" s="170"/>
      <c r="T3455" s="179"/>
      <c r="U3455" s="179"/>
      <c r="V3455" s="179"/>
      <c r="W3455" s="180"/>
      <c r="X3455" s="181" t="str">
        <f>IFERROR(__xludf.DUMMYFUNCTION("""COMPUTED_VALUE"""),"Excellent")</f>
        <v>Excellent</v>
      </c>
      <c r="Y3455" s="182" t="str">
        <f>IFERROR(__xludf.DUMMYFUNCTION("""COMPUTED_VALUE"""),"Excellent")</f>
        <v>Excellent</v>
      </c>
      <c r="Z3455" s="182" t="str">
        <f>IFERROR(__xludf.DUMMYFUNCTION("""COMPUTED_VALUE"""),"Excellent")</f>
        <v>Excellent</v>
      </c>
      <c r="AA3455" s="182" t="str">
        <f>IFERROR(__xludf.DUMMYFUNCTION("""COMPUTED_VALUE"""),"Good")</f>
        <v>Good</v>
      </c>
      <c r="AB3455" s="182" t="str">
        <f>IFERROR(__xludf.DUMMYFUNCTION("""COMPUTED_VALUE"""),"Excellent")</f>
        <v>Excellent</v>
      </c>
      <c r="AC3455" s="183"/>
      <c r="AD3455" s="183"/>
      <c r="AE3455" s="183"/>
      <c r="AF3455" s="184"/>
      <c r="AG3455" s="180"/>
      <c r="AH3455" s="185">
        <f>IFERROR(__xludf.DUMMYFUNCTION("""COMPUTED_VALUE"""),43283.559801261574)</f>
        <v>43283.5598</v>
      </c>
      <c r="AI3455" s="182"/>
      <c r="AJ3455" s="182"/>
      <c r="AK3455" s="182"/>
      <c r="AL3455" s="182"/>
    </row>
    <row r="3456" ht="20.25" customHeight="1">
      <c r="A3456" s="169" t="str">
        <f>IFERROR(__xludf.DUMMYFUNCTION("""COMPUTED_VALUE"""),"brianp")</f>
        <v>brianp</v>
      </c>
      <c r="B3456" s="170"/>
      <c r="C3456" s="170" t="str">
        <f>IFERROR(__xludf.DUMMYFUNCTION("""COMPUTED_VALUE"""),"NJ")</f>
        <v>NJ</v>
      </c>
      <c r="D3456" s="170" t="str">
        <f>IFERROR(__xludf.DUMMYFUNCTION("""COMPUTED_VALUE"""),"USA")</f>
        <v>USA</v>
      </c>
      <c r="E3456" s="171">
        <f>IFERROR(__xludf.DUMMYFUNCTION("""COMPUTED_VALUE"""),43208.0)</f>
        <v>43208</v>
      </c>
      <c r="F3456" s="172">
        <f>IFERROR(__xludf.DUMMYFUNCTION("""COMPUTED_VALUE"""),43258.0)</f>
        <v>43258</v>
      </c>
      <c r="G3456" s="173"/>
      <c r="H3456" s="174">
        <f>IFERROR(__xludf.DUMMYFUNCTION("""COMPUTED_VALUE"""),25555.0)</f>
        <v>25555</v>
      </c>
      <c r="I3456" s="175"/>
      <c r="J3456" s="172">
        <f>IFERROR(__xludf.DUMMYFUNCTION("""COMPUTED_VALUE"""),43273.0)</f>
        <v>43273</v>
      </c>
      <c r="K3456" s="176">
        <f>IFERROR(__xludf.DUMMYFUNCTION("""COMPUTED_VALUE"""),50.0)</f>
        <v>50</v>
      </c>
      <c r="L3456" s="176">
        <f>IFERROR(__xludf.DUMMYFUNCTION("""COMPUTED_VALUE"""),15.0)</f>
        <v>15</v>
      </c>
      <c r="M3456" s="176">
        <f>IFERROR(__xludf.DUMMYFUNCTION("""COMPUTED_VALUE"""),65.0)</f>
        <v>65</v>
      </c>
      <c r="N3456" s="177" t="str">
        <f>IFERROR(__xludf.DUMMYFUNCTION("""COMPUTED_VALUE"""),"Model 3 LR")</f>
        <v>Model 3 LR</v>
      </c>
      <c r="O3456" s="177" t="str">
        <f>IFERROR(__xludf.DUMMYFUNCTION("""COMPUTED_VALUE"""),"Solid Black")</f>
        <v>Solid Black</v>
      </c>
      <c r="P3456" s="178" t="str">
        <f>IFERROR(__xludf.DUMMYFUNCTION("""COMPUTED_VALUE"""),"18 inch Aero")</f>
        <v>18 inch Aero</v>
      </c>
      <c r="Q3456" s="177" t="str">
        <f>IFERROR(__xludf.DUMMYFUNCTION("""COMPUTED_VALUE"""),"Black seats")</f>
        <v>Black seats</v>
      </c>
      <c r="R3456" s="170" t="str">
        <f>IFERROR(__xludf.DUMMYFUNCTION("""COMPUTED_VALUE"""),"Enhanced Autopilot")</f>
        <v>Enhanced Autopilot</v>
      </c>
      <c r="S3456" s="170"/>
      <c r="T3456" s="179"/>
      <c r="U3456" s="179"/>
      <c r="V3456" s="179"/>
      <c r="W3456" s="180"/>
      <c r="X3456" s="181" t="str">
        <f>IFERROR(__xludf.DUMMYFUNCTION("""COMPUTED_VALUE"""),"Excellent")</f>
        <v>Excellent</v>
      </c>
      <c r="Y3456" s="182" t="str">
        <f>IFERROR(__xludf.DUMMYFUNCTION("""COMPUTED_VALUE"""),"Excellent")</f>
        <v>Excellent</v>
      </c>
      <c r="Z3456" s="182" t="str">
        <f>IFERROR(__xludf.DUMMYFUNCTION("""COMPUTED_VALUE"""),"Very Good")</f>
        <v>Very Good</v>
      </c>
      <c r="AA3456" s="182" t="str">
        <f>IFERROR(__xludf.DUMMYFUNCTION("""COMPUTED_VALUE"""),"Excellent")</f>
        <v>Excellent</v>
      </c>
      <c r="AB3456" s="182" t="str">
        <f>IFERROR(__xludf.DUMMYFUNCTION("""COMPUTED_VALUE"""),"Excellent")</f>
        <v>Excellent</v>
      </c>
      <c r="AC3456" s="183"/>
      <c r="AD3456" s="183"/>
      <c r="AE3456" s="183"/>
      <c r="AF3456" s="184"/>
      <c r="AG3456" s="180"/>
      <c r="AH3456" s="185">
        <f>IFERROR(__xludf.DUMMYFUNCTION("""COMPUTED_VALUE"""),43276.66817469907)</f>
        <v>43276.66817</v>
      </c>
      <c r="AI3456" s="182"/>
      <c r="AJ3456" s="182"/>
      <c r="AK3456" s="182"/>
      <c r="AL3456" s="182"/>
    </row>
    <row r="3457" ht="20.25" customHeight="1">
      <c r="A3457" s="169" t="str">
        <f>IFERROR(__xludf.DUMMYFUNCTION("""COMPUTED_VALUE"""),"Charlie W")</f>
        <v>Charlie W</v>
      </c>
      <c r="B3457" s="170" t="str">
        <f>IFERROR(__xludf.DUMMYFUNCTION("""COMPUTED_VALUE"""),"Lewes")</f>
        <v>Lewes</v>
      </c>
      <c r="C3457" s="170" t="str">
        <f>IFERROR(__xludf.DUMMYFUNCTION("""COMPUTED_VALUE"""),"DE")</f>
        <v>DE</v>
      </c>
      <c r="D3457" s="170" t="str">
        <f>IFERROR(__xludf.DUMMYFUNCTION("""COMPUTED_VALUE"""),"USA")</f>
        <v>USA</v>
      </c>
      <c r="E3457" s="171">
        <f>IFERROR(__xludf.DUMMYFUNCTION("""COMPUTED_VALUE"""),43208.0)</f>
        <v>43208</v>
      </c>
      <c r="F3457" s="172">
        <f>IFERROR(__xludf.DUMMYFUNCTION("""COMPUTED_VALUE"""),43235.0)</f>
        <v>43235</v>
      </c>
      <c r="G3457" s="173"/>
      <c r="H3457" s="174">
        <f>IFERROR(__xludf.DUMMYFUNCTION("""COMPUTED_VALUE"""),23055.0)</f>
        <v>23055</v>
      </c>
      <c r="I3457" s="175" t="str">
        <f>IFERROR(__xludf.DUMMYFUNCTION("""COMPUTED_VALUE"""),"05/18")</f>
        <v>05/18</v>
      </c>
      <c r="J3457" s="172">
        <f>IFERROR(__xludf.DUMMYFUNCTION("""COMPUTED_VALUE"""),43256.0)</f>
        <v>43256</v>
      </c>
      <c r="K3457" s="176">
        <f>IFERROR(__xludf.DUMMYFUNCTION("""COMPUTED_VALUE"""),27.0)</f>
        <v>27</v>
      </c>
      <c r="L3457" s="176">
        <f>IFERROR(__xludf.DUMMYFUNCTION("""COMPUTED_VALUE"""),21.0)</f>
        <v>21</v>
      </c>
      <c r="M3457" s="176">
        <f>IFERROR(__xludf.DUMMYFUNCTION("""COMPUTED_VALUE"""),48.0)</f>
        <v>48</v>
      </c>
      <c r="N3457" s="177" t="str">
        <f>IFERROR(__xludf.DUMMYFUNCTION("""COMPUTED_VALUE"""),"Model 3 LR")</f>
        <v>Model 3 LR</v>
      </c>
      <c r="O3457" s="177" t="str">
        <f>IFERROR(__xludf.DUMMYFUNCTION("""COMPUTED_VALUE"""),"Pearl White Multi-Coat")</f>
        <v>Pearl White Multi-Coat</v>
      </c>
      <c r="P3457" s="178" t="str">
        <f>IFERROR(__xludf.DUMMYFUNCTION("""COMPUTED_VALUE"""),"18 inch Aero")</f>
        <v>18 inch Aero</v>
      </c>
      <c r="Q3457" s="177" t="str">
        <f>IFERROR(__xludf.DUMMYFUNCTION("""COMPUTED_VALUE"""),"Black seats")</f>
        <v>Black seats</v>
      </c>
      <c r="R3457" s="170" t="str">
        <f>IFERROR(__xludf.DUMMYFUNCTION("""COMPUTED_VALUE"""),"Enhanced Autopilot")</f>
        <v>Enhanced Autopilot</v>
      </c>
      <c r="S3457" s="170"/>
      <c r="T3457" s="179"/>
      <c r="U3457" s="179"/>
      <c r="V3457" s="179"/>
      <c r="W3457" s="180"/>
      <c r="X3457" s="181" t="str">
        <f>IFERROR(__xludf.DUMMYFUNCTION("""COMPUTED_VALUE"""),"Excellent")</f>
        <v>Excellent</v>
      </c>
      <c r="Y3457" s="182" t="str">
        <f>IFERROR(__xludf.DUMMYFUNCTION("""COMPUTED_VALUE"""),"Excellent")</f>
        <v>Excellent</v>
      </c>
      <c r="Z3457" s="182" t="str">
        <f>IFERROR(__xludf.DUMMYFUNCTION("""COMPUTED_VALUE"""),"Excellent")</f>
        <v>Excellent</v>
      </c>
      <c r="AA3457" s="182" t="str">
        <f>IFERROR(__xludf.DUMMYFUNCTION("""COMPUTED_VALUE"""),"Poor")</f>
        <v>Poor</v>
      </c>
      <c r="AB3457" s="182" t="str">
        <f>IFERROR(__xludf.DUMMYFUNCTION("""COMPUTED_VALUE"""),"Excellent")</f>
        <v>Excellent</v>
      </c>
      <c r="AC3457" s="183"/>
      <c r="AD3457" s="183"/>
      <c r="AE3457" s="183"/>
      <c r="AF3457" s="184"/>
      <c r="AG3457" s="180"/>
      <c r="AH3457" s="185">
        <f>IFERROR(__xludf.DUMMYFUNCTION("""COMPUTED_VALUE"""),43259.700010821754)</f>
        <v>43259.70001</v>
      </c>
      <c r="AI3457" s="182"/>
      <c r="AJ3457" s="182"/>
      <c r="AK3457" s="182"/>
      <c r="AL3457" s="182"/>
    </row>
    <row r="3458" ht="20.25" customHeight="1">
      <c r="A3458" s="169" t="str">
        <f>IFERROR(__xludf.DUMMYFUNCTION("""COMPUTED_VALUE"""),"Crocodile")</f>
        <v>Crocodile</v>
      </c>
      <c r="B3458" s="170" t="str">
        <f>IFERROR(__xludf.DUMMYFUNCTION("""COMPUTED_VALUE"""),"SF Bay Area")</f>
        <v>SF Bay Area</v>
      </c>
      <c r="C3458" s="170" t="str">
        <f>IFERROR(__xludf.DUMMYFUNCTION("""COMPUTED_VALUE"""),"CA")</f>
        <v>CA</v>
      </c>
      <c r="D3458" s="170" t="str">
        <f>IFERROR(__xludf.DUMMYFUNCTION("""COMPUTED_VALUE"""),"USA")</f>
        <v>USA</v>
      </c>
      <c r="E3458" s="171">
        <f>IFERROR(__xludf.DUMMYFUNCTION("""COMPUTED_VALUE"""),43208.0)</f>
        <v>43208</v>
      </c>
      <c r="F3458" s="172">
        <f>IFERROR(__xludf.DUMMYFUNCTION("""COMPUTED_VALUE"""),43244.0)</f>
        <v>43244</v>
      </c>
      <c r="G3458" s="173"/>
      <c r="H3458" s="174">
        <f>IFERROR(__xludf.DUMMYFUNCTION("""COMPUTED_VALUE"""),26055.0)</f>
        <v>26055</v>
      </c>
      <c r="I3458" s="175"/>
      <c r="J3458" s="172">
        <f>IFERROR(__xludf.DUMMYFUNCTION("""COMPUTED_VALUE"""),43246.0)</f>
        <v>43246</v>
      </c>
      <c r="K3458" s="176">
        <f>IFERROR(__xludf.DUMMYFUNCTION("""COMPUTED_VALUE"""),36.0)</f>
        <v>36</v>
      </c>
      <c r="L3458" s="176">
        <f>IFERROR(__xludf.DUMMYFUNCTION("""COMPUTED_VALUE"""),2.0)</f>
        <v>2</v>
      </c>
      <c r="M3458" s="176">
        <f>IFERROR(__xludf.DUMMYFUNCTION("""COMPUTED_VALUE"""),38.0)</f>
        <v>38</v>
      </c>
      <c r="N3458" s="177" t="str">
        <f>IFERROR(__xludf.DUMMYFUNCTION("""COMPUTED_VALUE"""),"Model 3 LR")</f>
        <v>Model 3 LR</v>
      </c>
      <c r="O3458" s="177" t="str">
        <f>IFERROR(__xludf.DUMMYFUNCTION("""COMPUTED_VALUE"""),"Deep Blue Metallic")</f>
        <v>Deep Blue Metallic</v>
      </c>
      <c r="P3458" s="178" t="str">
        <f>IFERROR(__xludf.DUMMYFUNCTION("""COMPUTED_VALUE"""),"18 inch Aero")</f>
        <v>18 inch Aero</v>
      </c>
      <c r="Q3458" s="177" t="str">
        <f>IFERROR(__xludf.DUMMYFUNCTION("""COMPUTED_VALUE"""),"Black seats")</f>
        <v>Black seats</v>
      </c>
      <c r="R3458" s="170" t="str">
        <f>IFERROR(__xludf.DUMMYFUNCTION("""COMPUTED_VALUE"""),"Enhanced Autopilot")</f>
        <v>Enhanced Autopilot</v>
      </c>
      <c r="S3458" s="170"/>
      <c r="T3458" s="179"/>
      <c r="U3458" s="179"/>
      <c r="V3458" s="179"/>
      <c r="W3458" s="180"/>
      <c r="X3458" s="181" t="str">
        <f>IFERROR(__xludf.DUMMYFUNCTION("""COMPUTED_VALUE"""),"Excellent")</f>
        <v>Excellent</v>
      </c>
      <c r="Y3458" s="182" t="str">
        <f>IFERROR(__xludf.DUMMYFUNCTION("""COMPUTED_VALUE"""),"Very Good")</f>
        <v>Very Good</v>
      </c>
      <c r="Z3458" s="182" t="str">
        <f>IFERROR(__xludf.DUMMYFUNCTION("""COMPUTED_VALUE"""),"Excellent")</f>
        <v>Excellent</v>
      </c>
      <c r="AA3458" s="182"/>
      <c r="AB3458" s="182" t="str">
        <f>IFERROR(__xludf.DUMMYFUNCTION("""COMPUTED_VALUE"""),"Very Good")</f>
        <v>Very Good</v>
      </c>
      <c r="AC3458" s="183"/>
      <c r="AD3458" s="183"/>
      <c r="AE3458" s="183"/>
      <c r="AF3458" s="184"/>
      <c r="AG3458" s="180"/>
      <c r="AH3458" s="185">
        <f>IFERROR(__xludf.DUMMYFUNCTION("""COMPUTED_VALUE"""),43248.40592027778)</f>
        <v>43248.40592</v>
      </c>
      <c r="AI3458" s="182"/>
      <c r="AJ3458" s="182"/>
      <c r="AK3458" s="182"/>
      <c r="AL3458" s="182"/>
    </row>
    <row r="3459" ht="20.25" customHeight="1">
      <c r="A3459" s="169" t="str">
        <f>IFERROR(__xludf.DUMMYFUNCTION("""COMPUTED_VALUE"""),"devilmountain")</f>
        <v>devilmountain</v>
      </c>
      <c r="B3459" s="170" t="str">
        <f>IFERROR(__xludf.DUMMYFUNCTION("""COMPUTED_VALUE"""),"Walnut Creek")</f>
        <v>Walnut Creek</v>
      </c>
      <c r="C3459" s="170" t="str">
        <f>IFERROR(__xludf.DUMMYFUNCTION("""COMPUTED_VALUE"""),"CA")</f>
        <v>CA</v>
      </c>
      <c r="D3459" s="170" t="str">
        <f>IFERROR(__xludf.DUMMYFUNCTION("""COMPUTED_VALUE"""),"USA")</f>
        <v>USA</v>
      </c>
      <c r="E3459" s="171">
        <f>IFERROR(__xludf.DUMMYFUNCTION("""COMPUTED_VALUE"""),43208.0)</f>
        <v>43208</v>
      </c>
      <c r="F3459" s="172">
        <f>IFERROR(__xludf.DUMMYFUNCTION("""COMPUTED_VALUE"""),43242.0)</f>
        <v>43242</v>
      </c>
      <c r="G3459" s="173"/>
      <c r="H3459" s="174">
        <f>IFERROR(__xludf.DUMMYFUNCTION("""COMPUTED_VALUE"""),24765.0)</f>
        <v>24765</v>
      </c>
      <c r="I3459" s="175" t="str">
        <f>IFERROR(__xludf.DUMMYFUNCTION("""COMPUTED_VALUE"""),"05/18")</f>
        <v>05/18</v>
      </c>
      <c r="J3459" s="172">
        <f>IFERROR(__xludf.DUMMYFUNCTION("""COMPUTED_VALUE"""),43254.0)</f>
        <v>43254</v>
      </c>
      <c r="K3459" s="176">
        <f>IFERROR(__xludf.DUMMYFUNCTION("""COMPUTED_VALUE"""),34.0)</f>
        <v>34</v>
      </c>
      <c r="L3459" s="176">
        <f>IFERROR(__xludf.DUMMYFUNCTION("""COMPUTED_VALUE"""),12.0)</f>
        <v>12</v>
      </c>
      <c r="M3459" s="176">
        <f>IFERROR(__xludf.DUMMYFUNCTION("""COMPUTED_VALUE"""),46.0)</f>
        <v>46</v>
      </c>
      <c r="N3459" s="177" t="str">
        <f>IFERROR(__xludf.DUMMYFUNCTION("""COMPUTED_VALUE"""),"Model 3 LR")</f>
        <v>Model 3 LR</v>
      </c>
      <c r="O3459" s="177" t="str">
        <f>IFERROR(__xludf.DUMMYFUNCTION("""COMPUTED_VALUE"""),"Deep Blue Metallic")</f>
        <v>Deep Blue Metallic</v>
      </c>
      <c r="P3459" s="178" t="str">
        <f>IFERROR(__xludf.DUMMYFUNCTION("""COMPUTED_VALUE"""),"19 inch Sport")</f>
        <v>19 inch Sport</v>
      </c>
      <c r="Q3459" s="177"/>
      <c r="R3459" s="170" t="str">
        <f>IFERROR(__xludf.DUMMYFUNCTION("""COMPUTED_VALUE"""),"Enhanced Autopilot")</f>
        <v>Enhanced Autopilot</v>
      </c>
      <c r="S3459" s="170"/>
      <c r="T3459" s="179"/>
      <c r="U3459" s="179"/>
      <c r="V3459" s="179"/>
      <c r="W3459" s="180"/>
      <c r="X3459" s="181" t="str">
        <f>IFERROR(__xludf.DUMMYFUNCTION("""COMPUTED_VALUE"""),"Excellent")</f>
        <v>Excellent</v>
      </c>
      <c r="Y3459" s="182" t="str">
        <f>IFERROR(__xludf.DUMMYFUNCTION("""COMPUTED_VALUE"""),"Excellent")</f>
        <v>Excellent</v>
      </c>
      <c r="Z3459" s="182" t="str">
        <f>IFERROR(__xludf.DUMMYFUNCTION("""COMPUTED_VALUE"""),"Excellent")</f>
        <v>Excellent</v>
      </c>
      <c r="AA3459" s="182" t="str">
        <f>IFERROR(__xludf.DUMMYFUNCTION("""COMPUTED_VALUE"""),"Very Good")</f>
        <v>Very Good</v>
      </c>
      <c r="AB3459" s="182" t="str">
        <f>IFERROR(__xludf.DUMMYFUNCTION("""COMPUTED_VALUE"""),"Very Good")</f>
        <v>Very Good</v>
      </c>
      <c r="AC3459" s="183"/>
      <c r="AD3459" s="183"/>
      <c r="AE3459" s="183"/>
      <c r="AF3459" s="184"/>
      <c r="AG3459" s="180"/>
      <c r="AH3459" s="185">
        <f>IFERROR(__xludf.DUMMYFUNCTION("""COMPUTED_VALUE"""),43273.81150849537)</f>
        <v>43273.81151</v>
      </c>
      <c r="AI3459" s="182"/>
      <c r="AJ3459" s="182"/>
      <c r="AK3459" s="182"/>
      <c r="AL3459" s="182"/>
    </row>
    <row r="3460" ht="20.25" customHeight="1">
      <c r="A3460" s="169" t="str">
        <f>IFERROR(__xludf.DUMMYFUNCTION("""COMPUTED_VALUE"""),"eclypse")</f>
        <v>eclypse</v>
      </c>
      <c r="B3460" s="170" t="str">
        <f>IFERROR(__xludf.DUMMYFUNCTION("""COMPUTED_VALUE"""),"Natick")</f>
        <v>Natick</v>
      </c>
      <c r="C3460" s="170" t="str">
        <f>IFERROR(__xludf.DUMMYFUNCTION("""COMPUTED_VALUE"""),"MA")</f>
        <v>MA</v>
      </c>
      <c r="D3460" s="170" t="str">
        <f>IFERROR(__xludf.DUMMYFUNCTION("""COMPUTED_VALUE"""),"USA")</f>
        <v>USA</v>
      </c>
      <c r="E3460" s="171">
        <f>IFERROR(__xludf.DUMMYFUNCTION("""COMPUTED_VALUE"""),43208.0)</f>
        <v>43208</v>
      </c>
      <c r="F3460" s="172">
        <f>IFERROR(__xludf.DUMMYFUNCTION("""COMPUTED_VALUE"""),43242.0)</f>
        <v>43242</v>
      </c>
      <c r="G3460" s="173"/>
      <c r="H3460" s="174">
        <f>IFERROR(__xludf.DUMMYFUNCTION("""COMPUTED_VALUE"""),23862.0)</f>
        <v>23862</v>
      </c>
      <c r="I3460" s="175" t="str">
        <f>IFERROR(__xludf.DUMMYFUNCTION("""COMPUTED_VALUE"""),"05/18")</f>
        <v>05/18</v>
      </c>
      <c r="J3460" s="172">
        <f>IFERROR(__xludf.DUMMYFUNCTION("""COMPUTED_VALUE"""),43262.0)</f>
        <v>43262</v>
      </c>
      <c r="K3460" s="176">
        <f>IFERROR(__xludf.DUMMYFUNCTION("""COMPUTED_VALUE"""),34.0)</f>
        <v>34</v>
      </c>
      <c r="L3460" s="176">
        <f>IFERROR(__xludf.DUMMYFUNCTION("""COMPUTED_VALUE"""),20.0)</f>
        <v>20</v>
      </c>
      <c r="M3460" s="176">
        <f>IFERROR(__xludf.DUMMYFUNCTION("""COMPUTED_VALUE"""),54.0)</f>
        <v>54</v>
      </c>
      <c r="N3460" s="177" t="str">
        <f>IFERROR(__xludf.DUMMYFUNCTION("""COMPUTED_VALUE"""),"Model 3 LR")</f>
        <v>Model 3 LR</v>
      </c>
      <c r="O3460" s="177" t="str">
        <f>IFERROR(__xludf.DUMMYFUNCTION("""COMPUTED_VALUE"""),"Midnight Silver Metallic")</f>
        <v>Midnight Silver Metallic</v>
      </c>
      <c r="P3460" s="178" t="str">
        <f>IFERROR(__xludf.DUMMYFUNCTION("""COMPUTED_VALUE"""),"19 inch Sport")</f>
        <v>19 inch Sport</v>
      </c>
      <c r="Q3460" s="177" t="str">
        <f>IFERROR(__xludf.DUMMYFUNCTION("""COMPUTED_VALUE"""),"Black seats")</f>
        <v>Black seats</v>
      </c>
      <c r="R3460" s="170" t="str">
        <f>IFERROR(__xludf.DUMMYFUNCTION("""COMPUTED_VALUE"""),"None")</f>
        <v>None</v>
      </c>
      <c r="S3460" s="170"/>
      <c r="T3460" s="179"/>
      <c r="U3460" s="179"/>
      <c r="V3460" s="179"/>
      <c r="W3460" s="180"/>
      <c r="X3460" s="181" t="str">
        <f>IFERROR(__xludf.DUMMYFUNCTION("""COMPUTED_VALUE"""),"Very Good")</f>
        <v>Very Good</v>
      </c>
      <c r="Y3460" s="182" t="str">
        <f>IFERROR(__xludf.DUMMYFUNCTION("""COMPUTED_VALUE"""),"Excellent")</f>
        <v>Excellent</v>
      </c>
      <c r="Z3460" s="182" t="str">
        <f>IFERROR(__xludf.DUMMYFUNCTION("""COMPUTED_VALUE"""),"Very Good")</f>
        <v>Very Good</v>
      </c>
      <c r="AA3460" s="182" t="str">
        <f>IFERROR(__xludf.DUMMYFUNCTION("""COMPUTED_VALUE"""),"Good")</f>
        <v>Good</v>
      </c>
      <c r="AB3460" s="182" t="str">
        <f>IFERROR(__xludf.DUMMYFUNCTION("""COMPUTED_VALUE"""),"Very Good")</f>
        <v>Very Good</v>
      </c>
      <c r="AC3460" s="183"/>
      <c r="AD3460" s="183"/>
      <c r="AE3460" s="183"/>
      <c r="AF3460" s="184"/>
      <c r="AG3460" s="180"/>
      <c r="AH3460" s="185">
        <f>IFERROR(__xludf.DUMMYFUNCTION("""COMPUTED_VALUE"""),43265.516280497686)</f>
        <v>43265.51628</v>
      </c>
      <c r="AI3460" s="182"/>
      <c r="AJ3460" s="182"/>
      <c r="AK3460" s="182"/>
      <c r="AL3460" s="182"/>
    </row>
    <row r="3461" ht="20.25" customHeight="1">
      <c r="A3461" s="169" t="str">
        <f>IFERROR(__xludf.DUMMYFUNCTION("""COMPUTED_VALUE"""),"emorog")</f>
        <v>emorog</v>
      </c>
      <c r="B3461" s="170" t="str">
        <f>IFERROR(__xludf.DUMMYFUNCTION("""COMPUTED_VALUE"""),"Madison")</f>
        <v>Madison</v>
      </c>
      <c r="C3461" s="170" t="str">
        <f>IFERROR(__xludf.DUMMYFUNCTION("""COMPUTED_VALUE"""),"WI")</f>
        <v>WI</v>
      </c>
      <c r="D3461" s="170" t="str">
        <f>IFERROR(__xludf.DUMMYFUNCTION("""COMPUTED_VALUE"""),"USA")</f>
        <v>USA</v>
      </c>
      <c r="E3461" s="171">
        <f>IFERROR(__xludf.DUMMYFUNCTION("""COMPUTED_VALUE"""),43208.0)</f>
        <v>43208</v>
      </c>
      <c r="F3461" s="172">
        <f>IFERROR(__xludf.DUMMYFUNCTION("""COMPUTED_VALUE"""),43234.0)</f>
        <v>43234</v>
      </c>
      <c r="G3461" s="173"/>
      <c r="H3461" s="174">
        <f>IFERROR(__xludf.DUMMYFUNCTION("""COMPUTED_VALUE"""),22663.0)</f>
        <v>22663</v>
      </c>
      <c r="I3461" s="175" t="str">
        <f>IFERROR(__xludf.DUMMYFUNCTION("""COMPUTED_VALUE"""),"05/18")</f>
        <v>05/18</v>
      </c>
      <c r="J3461" s="172">
        <f>IFERROR(__xludf.DUMMYFUNCTION("""COMPUTED_VALUE"""),43255.0)</f>
        <v>43255</v>
      </c>
      <c r="K3461" s="176">
        <f>IFERROR(__xludf.DUMMYFUNCTION("""COMPUTED_VALUE"""),26.0)</f>
        <v>26</v>
      </c>
      <c r="L3461" s="176">
        <f>IFERROR(__xludf.DUMMYFUNCTION("""COMPUTED_VALUE"""),21.0)</f>
        <v>21</v>
      </c>
      <c r="M3461" s="176">
        <f>IFERROR(__xludf.DUMMYFUNCTION("""COMPUTED_VALUE"""),47.0)</f>
        <v>47</v>
      </c>
      <c r="N3461" s="177" t="str">
        <f>IFERROR(__xludf.DUMMYFUNCTION("""COMPUTED_VALUE"""),"Model 3 LR")</f>
        <v>Model 3 LR</v>
      </c>
      <c r="O3461" s="177" t="str">
        <f>IFERROR(__xludf.DUMMYFUNCTION("""COMPUTED_VALUE"""),"Deep Blue Metallic")</f>
        <v>Deep Blue Metallic</v>
      </c>
      <c r="P3461" s="178" t="str">
        <f>IFERROR(__xludf.DUMMYFUNCTION("""COMPUTED_VALUE"""),"18 inch Aero")</f>
        <v>18 inch Aero</v>
      </c>
      <c r="Q3461" s="177" t="str">
        <f>IFERROR(__xludf.DUMMYFUNCTION("""COMPUTED_VALUE"""),"Black seats")</f>
        <v>Black seats</v>
      </c>
      <c r="R3461" s="170" t="str">
        <f>IFERROR(__xludf.DUMMYFUNCTION("""COMPUTED_VALUE"""),"Enhanced Autopilot")</f>
        <v>Enhanced Autopilot</v>
      </c>
      <c r="S3461" s="170"/>
      <c r="T3461" s="179"/>
      <c r="U3461" s="179"/>
      <c r="V3461" s="179"/>
      <c r="W3461" s="180"/>
      <c r="X3461" s="181" t="str">
        <f>IFERROR(__xludf.DUMMYFUNCTION("""COMPUTED_VALUE"""),"Excellent")</f>
        <v>Excellent</v>
      </c>
      <c r="Y3461" s="182" t="str">
        <f>IFERROR(__xludf.DUMMYFUNCTION("""COMPUTED_VALUE"""),"Very Good")</f>
        <v>Very Good</v>
      </c>
      <c r="Z3461" s="182" t="str">
        <f>IFERROR(__xludf.DUMMYFUNCTION("""COMPUTED_VALUE"""),"Excellent")</f>
        <v>Excellent</v>
      </c>
      <c r="AA3461" s="182" t="str">
        <f>IFERROR(__xludf.DUMMYFUNCTION("""COMPUTED_VALUE"""),"Excellent")</f>
        <v>Excellent</v>
      </c>
      <c r="AB3461" s="182" t="str">
        <f>IFERROR(__xludf.DUMMYFUNCTION("""COMPUTED_VALUE"""),"Excellent")</f>
        <v>Excellent</v>
      </c>
      <c r="AC3461" s="183"/>
      <c r="AD3461" s="183"/>
      <c r="AE3461" s="183"/>
      <c r="AF3461" s="184"/>
      <c r="AG3461" s="180"/>
      <c r="AH3461" s="185">
        <f>IFERROR(__xludf.DUMMYFUNCTION("""COMPUTED_VALUE"""),43256.50546879629)</f>
        <v>43256.50547</v>
      </c>
      <c r="AI3461" s="182"/>
      <c r="AJ3461" s="182"/>
      <c r="AK3461" s="182"/>
      <c r="AL3461" s="182"/>
    </row>
    <row r="3462" ht="20.25" customHeight="1">
      <c r="A3462" s="169" t="str">
        <f>IFERROR(__xludf.DUMMYFUNCTION("""COMPUTED_VALUE"""),"fedepo")</f>
        <v>fedepo</v>
      </c>
      <c r="B3462" s="170" t="str">
        <f>IFERROR(__xludf.DUMMYFUNCTION("""COMPUTED_VALUE"""),"San Francisco")</f>
        <v>San Francisco</v>
      </c>
      <c r="C3462" s="170" t="str">
        <f>IFERROR(__xludf.DUMMYFUNCTION("""COMPUTED_VALUE"""),"CA")</f>
        <v>CA</v>
      </c>
      <c r="D3462" s="170" t="str">
        <f>IFERROR(__xludf.DUMMYFUNCTION("""COMPUTED_VALUE"""),"USA")</f>
        <v>USA</v>
      </c>
      <c r="E3462" s="171">
        <f>IFERROR(__xludf.DUMMYFUNCTION("""COMPUTED_VALUE"""),43208.0)</f>
        <v>43208</v>
      </c>
      <c r="F3462" s="172">
        <f>IFERROR(__xludf.DUMMYFUNCTION("""COMPUTED_VALUE"""),43242.0)</f>
        <v>43242</v>
      </c>
      <c r="G3462" s="173"/>
      <c r="H3462" s="174">
        <f>IFERROR(__xludf.DUMMYFUNCTION("""COMPUTED_VALUE"""),24855.0)</f>
        <v>24855</v>
      </c>
      <c r="I3462" s="175"/>
      <c r="J3462" s="172">
        <f>IFERROR(__xludf.DUMMYFUNCTION("""COMPUTED_VALUE"""),43253.0)</f>
        <v>43253</v>
      </c>
      <c r="K3462" s="176">
        <f>IFERROR(__xludf.DUMMYFUNCTION("""COMPUTED_VALUE"""),34.0)</f>
        <v>34</v>
      </c>
      <c r="L3462" s="176">
        <f>IFERROR(__xludf.DUMMYFUNCTION("""COMPUTED_VALUE"""),11.0)</f>
        <v>11</v>
      </c>
      <c r="M3462" s="176">
        <f>IFERROR(__xludf.DUMMYFUNCTION("""COMPUTED_VALUE"""),45.0)</f>
        <v>45</v>
      </c>
      <c r="N3462" s="177" t="str">
        <f>IFERROR(__xludf.DUMMYFUNCTION("""COMPUTED_VALUE"""),"Model 3 LR")</f>
        <v>Model 3 LR</v>
      </c>
      <c r="O3462" s="177" t="str">
        <f>IFERROR(__xludf.DUMMYFUNCTION("""COMPUTED_VALUE"""),"Deep Blue Metallic")</f>
        <v>Deep Blue Metallic</v>
      </c>
      <c r="P3462" s="178" t="str">
        <f>IFERROR(__xludf.DUMMYFUNCTION("""COMPUTED_VALUE"""),"19 inch Sport")</f>
        <v>19 inch Sport</v>
      </c>
      <c r="Q3462" s="177" t="str">
        <f>IFERROR(__xludf.DUMMYFUNCTION("""COMPUTED_VALUE"""),"Black seats")</f>
        <v>Black seats</v>
      </c>
      <c r="R3462" s="170" t="str">
        <f>IFERROR(__xludf.DUMMYFUNCTION("""COMPUTED_VALUE"""),"Enhanced Autopilot")</f>
        <v>Enhanced Autopilot</v>
      </c>
      <c r="S3462" s="170"/>
      <c r="T3462" s="179"/>
      <c r="U3462" s="179"/>
      <c r="V3462" s="179"/>
      <c r="W3462" s="180"/>
      <c r="X3462" s="181" t="str">
        <f>IFERROR(__xludf.DUMMYFUNCTION("""COMPUTED_VALUE"""),"Excellent")</f>
        <v>Excellent</v>
      </c>
      <c r="Y3462" s="182" t="str">
        <f>IFERROR(__xludf.DUMMYFUNCTION("""COMPUTED_VALUE"""),"Excellent")</f>
        <v>Excellent</v>
      </c>
      <c r="Z3462" s="182" t="str">
        <f>IFERROR(__xludf.DUMMYFUNCTION("""COMPUTED_VALUE"""),"Excellent")</f>
        <v>Excellent</v>
      </c>
      <c r="AA3462" s="182" t="str">
        <f>IFERROR(__xludf.DUMMYFUNCTION("""COMPUTED_VALUE"""),"Excellent")</f>
        <v>Excellent</v>
      </c>
      <c r="AB3462" s="182" t="str">
        <f>IFERROR(__xludf.DUMMYFUNCTION("""COMPUTED_VALUE"""),"Very Good")</f>
        <v>Very Good</v>
      </c>
      <c r="AC3462" s="183"/>
      <c r="AD3462" s="183"/>
      <c r="AE3462" s="183"/>
      <c r="AF3462" s="184"/>
      <c r="AG3462" s="180"/>
      <c r="AH3462" s="185">
        <f>IFERROR(__xludf.DUMMYFUNCTION("""COMPUTED_VALUE"""),43253.73449707176)</f>
        <v>43253.7345</v>
      </c>
      <c r="AI3462" s="182"/>
      <c r="AJ3462" s="182"/>
      <c r="AK3462" s="182"/>
      <c r="AL3462" s="182"/>
    </row>
    <row r="3463" ht="20.25" customHeight="1">
      <c r="A3463" s="169" t="str">
        <f>IFERROR(__xludf.DUMMYFUNCTION("""COMPUTED_VALUE"""),"igbright")</f>
        <v>igbright</v>
      </c>
      <c r="B3463" s="170"/>
      <c r="C3463" s="170" t="str">
        <f>IFERROR(__xludf.DUMMYFUNCTION("""COMPUTED_VALUE"""),"MA")</f>
        <v>MA</v>
      </c>
      <c r="D3463" s="170" t="str">
        <f>IFERROR(__xludf.DUMMYFUNCTION("""COMPUTED_VALUE"""),"USA")</f>
        <v>USA</v>
      </c>
      <c r="E3463" s="171">
        <f>IFERROR(__xludf.DUMMYFUNCTION("""COMPUTED_VALUE"""),43208.0)</f>
        <v>43208</v>
      </c>
      <c r="F3463" s="172">
        <f>IFERROR(__xludf.DUMMYFUNCTION("""COMPUTED_VALUE"""),43253.0)</f>
        <v>43253</v>
      </c>
      <c r="G3463" s="173"/>
      <c r="H3463" s="174">
        <f>IFERROR(__xludf.DUMMYFUNCTION("""COMPUTED_VALUE"""),22755.0)</f>
        <v>22755</v>
      </c>
      <c r="I3463" s="175" t="str">
        <f>IFERROR(__xludf.DUMMYFUNCTION("""COMPUTED_VALUE"""),"05/18")</f>
        <v>05/18</v>
      </c>
      <c r="J3463" s="172">
        <f>IFERROR(__xludf.DUMMYFUNCTION("""COMPUTED_VALUE"""),43263.0)</f>
        <v>43263</v>
      </c>
      <c r="K3463" s="176">
        <f>IFERROR(__xludf.DUMMYFUNCTION("""COMPUTED_VALUE"""),45.0)</f>
        <v>45</v>
      </c>
      <c r="L3463" s="176">
        <f>IFERROR(__xludf.DUMMYFUNCTION("""COMPUTED_VALUE"""),10.0)</f>
        <v>10</v>
      </c>
      <c r="M3463" s="176">
        <f>IFERROR(__xludf.DUMMYFUNCTION("""COMPUTED_VALUE"""),55.0)</f>
        <v>55</v>
      </c>
      <c r="N3463" s="177" t="str">
        <f>IFERROR(__xludf.DUMMYFUNCTION("""COMPUTED_VALUE"""),"Model 3 LR")</f>
        <v>Model 3 LR</v>
      </c>
      <c r="O3463" s="177" t="str">
        <f>IFERROR(__xludf.DUMMYFUNCTION("""COMPUTED_VALUE"""),"Deep Blue Metallic")</f>
        <v>Deep Blue Metallic</v>
      </c>
      <c r="P3463" s="178" t="str">
        <f>IFERROR(__xludf.DUMMYFUNCTION("""COMPUTED_VALUE"""),"18 inch Aero")</f>
        <v>18 inch Aero</v>
      </c>
      <c r="Q3463" s="177" t="str">
        <f>IFERROR(__xludf.DUMMYFUNCTION("""COMPUTED_VALUE"""),"Black seats")</f>
        <v>Black seats</v>
      </c>
      <c r="R3463" s="170" t="str">
        <f>IFERROR(__xludf.DUMMYFUNCTION("""COMPUTED_VALUE"""),"None")</f>
        <v>None</v>
      </c>
      <c r="S3463" s="170"/>
      <c r="T3463" s="179"/>
      <c r="U3463" s="179"/>
      <c r="V3463" s="179"/>
      <c r="W3463" s="180"/>
      <c r="X3463" s="181" t="str">
        <f>IFERROR(__xludf.DUMMYFUNCTION("""COMPUTED_VALUE"""),"Excellent")</f>
        <v>Excellent</v>
      </c>
      <c r="Y3463" s="182" t="str">
        <f>IFERROR(__xludf.DUMMYFUNCTION("""COMPUTED_VALUE"""),"Excellent")</f>
        <v>Excellent</v>
      </c>
      <c r="Z3463" s="182" t="str">
        <f>IFERROR(__xludf.DUMMYFUNCTION("""COMPUTED_VALUE"""),"Excellent")</f>
        <v>Excellent</v>
      </c>
      <c r="AA3463" s="182" t="str">
        <f>IFERROR(__xludf.DUMMYFUNCTION("""COMPUTED_VALUE"""),"Good")</f>
        <v>Good</v>
      </c>
      <c r="AB3463" s="182" t="str">
        <f>IFERROR(__xludf.DUMMYFUNCTION("""COMPUTED_VALUE"""),"Excellent")</f>
        <v>Excellent</v>
      </c>
      <c r="AC3463" s="183"/>
      <c r="AD3463" s="183"/>
      <c r="AE3463" s="183"/>
      <c r="AF3463" s="184"/>
      <c r="AG3463" s="180"/>
      <c r="AH3463" s="185">
        <f>IFERROR(__xludf.DUMMYFUNCTION("""COMPUTED_VALUE"""),43264.20516254629)</f>
        <v>43264.20516</v>
      </c>
      <c r="AI3463" s="182"/>
      <c r="AJ3463" s="182"/>
      <c r="AK3463" s="182"/>
      <c r="AL3463" s="182"/>
    </row>
    <row r="3464" ht="20.25" customHeight="1">
      <c r="A3464" s="169" t="str">
        <f>IFERROR(__xludf.DUMMYFUNCTION("""COMPUTED_VALUE"""),"inittowinit")</f>
        <v>inittowinit</v>
      </c>
      <c r="B3464" s="170" t="str">
        <f>IFERROR(__xludf.DUMMYFUNCTION("""COMPUTED_VALUE"""),"SF Bay Area")</f>
        <v>SF Bay Area</v>
      </c>
      <c r="C3464" s="170" t="str">
        <f>IFERROR(__xludf.DUMMYFUNCTION("""COMPUTED_VALUE"""),"CA")</f>
        <v>CA</v>
      </c>
      <c r="D3464" s="170" t="str">
        <f>IFERROR(__xludf.DUMMYFUNCTION("""COMPUTED_VALUE"""),"USA")</f>
        <v>USA</v>
      </c>
      <c r="E3464" s="171">
        <f>IFERROR(__xludf.DUMMYFUNCTION("""COMPUTED_VALUE"""),43208.0)</f>
        <v>43208</v>
      </c>
      <c r="F3464" s="172">
        <f>IFERROR(__xludf.DUMMYFUNCTION("""COMPUTED_VALUE"""),43242.0)</f>
        <v>43242</v>
      </c>
      <c r="G3464" s="173"/>
      <c r="H3464" s="174">
        <f>IFERROR(__xludf.DUMMYFUNCTION("""COMPUTED_VALUE"""),23436.0)</f>
        <v>23436</v>
      </c>
      <c r="I3464" s="175" t="str">
        <f>IFERROR(__xludf.DUMMYFUNCTION("""COMPUTED_VALUE"""),"05/18")</f>
        <v>05/18</v>
      </c>
      <c r="J3464" s="172">
        <f>IFERROR(__xludf.DUMMYFUNCTION("""COMPUTED_VALUE"""),43252.0)</f>
        <v>43252</v>
      </c>
      <c r="K3464" s="176">
        <f>IFERROR(__xludf.DUMMYFUNCTION("""COMPUTED_VALUE"""),34.0)</f>
        <v>34</v>
      </c>
      <c r="L3464" s="176">
        <f>IFERROR(__xludf.DUMMYFUNCTION("""COMPUTED_VALUE"""),10.0)</f>
        <v>10</v>
      </c>
      <c r="M3464" s="176">
        <f>IFERROR(__xludf.DUMMYFUNCTION("""COMPUTED_VALUE"""),44.0)</f>
        <v>44</v>
      </c>
      <c r="N3464" s="177" t="str">
        <f>IFERROR(__xludf.DUMMYFUNCTION("""COMPUTED_VALUE"""),"Model 3 LR")</f>
        <v>Model 3 LR</v>
      </c>
      <c r="O3464" s="177" t="str">
        <f>IFERROR(__xludf.DUMMYFUNCTION("""COMPUTED_VALUE"""),"Pearl White Multi-Coat")</f>
        <v>Pearl White Multi-Coat</v>
      </c>
      <c r="P3464" s="178" t="str">
        <f>IFERROR(__xludf.DUMMYFUNCTION("""COMPUTED_VALUE"""),"18 inch Aero")</f>
        <v>18 inch Aero</v>
      </c>
      <c r="Q3464" s="177" t="str">
        <f>IFERROR(__xludf.DUMMYFUNCTION("""COMPUTED_VALUE"""),"Black seats")</f>
        <v>Black seats</v>
      </c>
      <c r="R3464" s="170" t="str">
        <f>IFERROR(__xludf.DUMMYFUNCTION("""COMPUTED_VALUE"""),"Enhanced Autopilot")</f>
        <v>Enhanced Autopilot</v>
      </c>
      <c r="S3464" s="170"/>
      <c r="T3464" s="179"/>
      <c r="U3464" s="179"/>
      <c r="V3464" s="179"/>
      <c r="W3464" s="180"/>
      <c r="X3464" s="181" t="str">
        <f>IFERROR(__xludf.DUMMYFUNCTION("""COMPUTED_VALUE"""),"Very Good")</f>
        <v>Very Good</v>
      </c>
      <c r="Y3464" s="182" t="str">
        <f>IFERROR(__xludf.DUMMYFUNCTION("""COMPUTED_VALUE"""),"Excellent")</f>
        <v>Excellent</v>
      </c>
      <c r="Z3464" s="182" t="str">
        <f>IFERROR(__xludf.DUMMYFUNCTION("""COMPUTED_VALUE"""),"Excellent")</f>
        <v>Excellent</v>
      </c>
      <c r="AA3464" s="182" t="str">
        <f>IFERROR(__xludf.DUMMYFUNCTION("""COMPUTED_VALUE"""),"Good")</f>
        <v>Good</v>
      </c>
      <c r="AB3464" s="182" t="str">
        <f>IFERROR(__xludf.DUMMYFUNCTION("""COMPUTED_VALUE"""),"Fair")</f>
        <v>Fair</v>
      </c>
      <c r="AC3464" s="183"/>
      <c r="AD3464" s="183"/>
      <c r="AE3464" s="183"/>
      <c r="AF3464" s="184"/>
      <c r="AG3464" s="180"/>
      <c r="AH3464" s="185">
        <f>IFERROR(__xludf.DUMMYFUNCTION("""COMPUTED_VALUE"""),43256.45593111111)</f>
        <v>43256.45593</v>
      </c>
      <c r="AI3464" s="182"/>
      <c r="AJ3464" s="182"/>
      <c r="AK3464" s="182"/>
      <c r="AL3464" s="182"/>
    </row>
    <row r="3465" ht="20.25" customHeight="1">
      <c r="A3465" s="169" t="str">
        <f>IFERROR(__xludf.DUMMYFUNCTION("""COMPUTED_VALUE"""),"Jeff L")</f>
        <v>Jeff L</v>
      </c>
      <c r="B3465" s="170" t="str">
        <f>IFERROR(__xludf.DUMMYFUNCTION("""COMPUTED_VALUE"""),"Tucson")</f>
        <v>Tucson</v>
      </c>
      <c r="C3465" s="170" t="str">
        <f>IFERROR(__xludf.DUMMYFUNCTION("""COMPUTED_VALUE"""),"AZ")</f>
        <v>AZ</v>
      </c>
      <c r="D3465" s="170" t="str">
        <f>IFERROR(__xludf.DUMMYFUNCTION("""COMPUTED_VALUE"""),"USA")</f>
        <v>USA</v>
      </c>
      <c r="E3465" s="171">
        <f>IFERROR(__xludf.DUMMYFUNCTION("""COMPUTED_VALUE"""),43208.0)</f>
        <v>43208</v>
      </c>
      <c r="F3465" s="172">
        <f>IFERROR(__xludf.DUMMYFUNCTION("""COMPUTED_VALUE"""),43276.0)</f>
        <v>43276</v>
      </c>
      <c r="G3465" s="173"/>
      <c r="H3465" s="174">
        <f>IFERROR(__xludf.DUMMYFUNCTION("""COMPUTED_VALUE"""),36041.0)</f>
        <v>36041</v>
      </c>
      <c r="I3465" s="175" t="str">
        <f>IFERROR(__xludf.DUMMYFUNCTION("""COMPUTED_VALUE"""),"06/18")</f>
        <v>06/18</v>
      </c>
      <c r="J3465" s="172">
        <f>IFERROR(__xludf.DUMMYFUNCTION("""COMPUTED_VALUE"""),43295.0)</f>
        <v>43295</v>
      </c>
      <c r="K3465" s="176">
        <f>IFERROR(__xludf.DUMMYFUNCTION("""COMPUTED_VALUE"""),68.0)</f>
        <v>68</v>
      </c>
      <c r="L3465" s="176">
        <f>IFERROR(__xludf.DUMMYFUNCTION("""COMPUTED_VALUE"""),19.0)</f>
        <v>19</v>
      </c>
      <c r="M3465" s="176">
        <f>IFERROR(__xludf.DUMMYFUNCTION("""COMPUTED_VALUE"""),87.0)</f>
        <v>87</v>
      </c>
      <c r="N3465" s="177" t="str">
        <f>IFERROR(__xludf.DUMMYFUNCTION("""COMPUTED_VALUE"""),"Model 3 LR")</f>
        <v>Model 3 LR</v>
      </c>
      <c r="O3465" s="177" t="str">
        <f>IFERROR(__xludf.DUMMYFUNCTION("""COMPUTED_VALUE"""),"Pearl White Multi-Coat")</f>
        <v>Pearl White Multi-Coat</v>
      </c>
      <c r="P3465" s="178" t="str">
        <f>IFERROR(__xludf.DUMMYFUNCTION("""COMPUTED_VALUE"""),"19 inch Sport")</f>
        <v>19 inch Sport</v>
      </c>
      <c r="Q3465" s="177" t="str">
        <f>IFERROR(__xludf.DUMMYFUNCTION("""COMPUTED_VALUE"""),"Black seats")</f>
        <v>Black seats</v>
      </c>
      <c r="R3465" s="170" t="str">
        <f>IFERROR(__xludf.DUMMYFUNCTION("""COMPUTED_VALUE"""),"Enhanced Autopilot")</f>
        <v>Enhanced Autopilot</v>
      </c>
      <c r="S3465" s="170"/>
      <c r="T3465" s="179"/>
      <c r="U3465" s="179"/>
      <c r="V3465" s="179"/>
      <c r="W3465" s="180"/>
      <c r="X3465" s="181" t="str">
        <f>IFERROR(__xludf.DUMMYFUNCTION("""COMPUTED_VALUE"""),"Excellent")</f>
        <v>Excellent</v>
      </c>
      <c r="Y3465" s="182" t="str">
        <f>IFERROR(__xludf.DUMMYFUNCTION("""COMPUTED_VALUE"""),"Very Good")</f>
        <v>Very Good</v>
      </c>
      <c r="Z3465" s="182" t="str">
        <f>IFERROR(__xludf.DUMMYFUNCTION("""COMPUTED_VALUE"""),"Very Good")</f>
        <v>Very Good</v>
      </c>
      <c r="AA3465" s="182" t="str">
        <f>IFERROR(__xludf.DUMMYFUNCTION("""COMPUTED_VALUE"""),"Excellent")</f>
        <v>Excellent</v>
      </c>
      <c r="AB3465" s="182" t="str">
        <f>IFERROR(__xludf.DUMMYFUNCTION("""COMPUTED_VALUE"""),"Excellent")</f>
        <v>Excellent</v>
      </c>
      <c r="AC3465" s="183">
        <f>IFERROR(__xludf.DUMMYFUNCTION("""COMPUTED_VALUE"""),1.0)</f>
        <v>1</v>
      </c>
      <c r="AD3465" s="183">
        <f>IFERROR(__xludf.DUMMYFUNCTION("""COMPUTED_VALUE"""),1.0)</f>
        <v>1</v>
      </c>
      <c r="AE3465" s="183">
        <f>IFERROR(__xludf.DUMMYFUNCTION("""COMPUTED_VALUE"""),0.0)</f>
        <v>0</v>
      </c>
      <c r="AF3465" s="184"/>
      <c r="AG3465" s="180"/>
      <c r="AH3465" s="185">
        <f>IFERROR(__xludf.DUMMYFUNCTION("""COMPUTED_VALUE"""),43330.33339165509)</f>
        <v>43330.33339</v>
      </c>
      <c r="AI3465" s="182"/>
      <c r="AJ3465" s="182"/>
      <c r="AK3465" s="182"/>
      <c r="AL3465" s="182"/>
    </row>
    <row r="3466" ht="20.25" customHeight="1">
      <c r="A3466" s="169" t="str">
        <f>IFERROR(__xludf.DUMMYFUNCTION("""COMPUTED_VALUE"""),"Jim O ")</f>
        <v>Jim O </v>
      </c>
      <c r="B3466" s="170" t="str">
        <f>IFERROR(__xludf.DUMMYFUNCTION("""COMPUTED_VALUE"""),"Vancouver")</f>
        <v>Vancouver</v>
      </c>
      <c r="C3466" s="170" t="str">
        <f>IFERROR(__xludf.DUMMYFUNCTION("""COMPUTED_VALUE"""),"WA")</f>
        <v>WA</v>
      </c>
      <c r="D3466" s="170" t="str">
        <f>IFERROR(__xludf.DUMMYFUNCTION("""COMPUTED_VALUE"""),"USA")</f>
        <v>USA</v>
      </c>
      <c r="E3466" s="171">
        <f>IFERROR(__xludf.DUMMYFUNCTION("""COMPUTED_VALUE"""),43208.0)</f>
        <v>43208</v>
      </c>
      <c r="F3466" s="172">
        <f>IFERROR(__xludf.DUMMYFUNCTION("""COMPUTED_VALUE"""),43273.0)</f>
        <v>43273</v>
      </c>
      <c r="G3466" s="173"/>
      <c r="H3466" s="174">
        <f>IFERROR(__xludf.DUMMYFUNCTION("""COMPUTED_VALUE"""),30802.0)</f>
        <v>30802</v>
      </c>
      <c r="I3466" s="175"/>
      <c r="J3466" s="172">
        <f>IFERROR(__xludf.DUMMYFUNCTION("""COMPUTED_VALUE"""),43287.0)</f>
        <v>43287</v>
      </c>
      <c r="K3466" s="176">
        <f>IFERROR(__xludf.DUMMYFUNCTION("""COMPUTED_VALUE"""),65.0)</f>
        <v>65</v>
      </c>
      <c r="L3466" s="176">
        <f>IFERROR(__xludf.DUMMYFUNCTION("""COMPUTED_VALUE"""),14.0)</f>
        <v>14</v>
      </c>
      <c r="M3466" s="176">
        <f>IFERROR(__xludf.DUMMYFUNCTION("""COMPUTED_VALUE"""),79.0)</f>
        <v>79</v>
      </c>
      <c r="N3466" s="177" t="str">
        <f>IFERROR(__xludf.DUMMYFUNCTION("""COMPUTED_VALUE"""),"Model 3 LR")</f>
        <v>Model 3 LR</v>
      </c>
      <c r="O3466" s="177" t="str">
        <f>IFERROR(__xludf.DUMMYFUNCTION("""COMPUTED_VALUE"""),"Red Multi-Coat")</f>
        <v>Red Multi-Coat</v>
      </c>
      <c r="P3466" s="178" t="str">
        <f>IFERROR(__xludf.DUMMYFUNCTION("""COMPUTED_VALUE"""),"18 inch Aero")</f>
        <v>18 inch Aero</v>
      </c>
      <c r="Q3466" s="177" t="str">
        <f>IFERROR(__xludf.DUMMYFUNCTION("""COMPUTED_VALUE"""),"Black seats")</f>
        <v>Black seats</v>
      </c>
      <c r="R3466" s="170" t="str">
        <f>IFERROR(__xludf.DUMMYFUNCTION("""COMPUTED_VALUE"""),"Full Self-Driving")</f>
        <v>Full Self-Driving</v>
      </c>
      <c r="S3466" s="170"/>
      <c r="T3466" s="179"/>
      <c r="U3466" s="179"/>
      <c r="V3466" s="179"/>
      <c r="W3466" s="180"/>
      <c r="X3466" s="181" t="str">
        <f>IFERROR(__xludf.DUMMYFUNCTION("""COMPUTED_VALUE"""),"Excellent")</f>
        <v>Excellent</v>
      </c>
      <c r="Y3466" s="182" t="str">
        <f>IFERROR(__xludf.DUMMYFUNCTION("""COMPUTED_VALUE"""),"Excellent")</f>
        <v>Excellent</v>
      </c>
      <c r="Z3466" s="182" t="str">
        <f>IFERROR(__xludf.DUMMYFUNCTION("""COMPUTED_VALUE"""),"Excellent")</f>
        <v>Excellent</v>
      </c>
      <c r="AA3466" s="182" t="str">
        <f>IFERROR(__xludf.DUMMYFUNCTION("""COMPUTED_VALUE"""),"Excellent")</f>
        <v>Excellent</v>
      </c>
      <c r="AB3466" s="182" t="str">
        <f>IFERROR(__xludf.DUMMYFUNCTION("""COMPUTED_VALUE"""),"Excellent")</f>
        <v>Excellent</v>
      </c>
      <c r="AC3466" s="183"/>
      <c r="AD3466" s="183"/>
      <c r="AE3466" s="183"/>
      <c r="AF3466" s="184"/>
      <c r="AG3466" s="180"/>
      <c r="AH3466" s="185">
        <f>IFERROR(__xludf.DUMMYFUNCTION("""COMPUTED_VALUE"""),43287.88010785879)</f>
        <v>43287.88011</v>
      </c>
      <c r="AI3466" s="182"/>
      <c r="AJ3466" s="182"/>
      <c r="AK3466" s="182"/>
      <c r="AL3466" s="182"/>
    </row>
    <row r="3467" ht="20.25" customHeight="1">
      <c r="A3467" s="169" t="str">
        <f>IFERROR(__xludf.DUMMYFUNCTION("""COMPUTED_VALUE"""),"JJ")</f>
        <v>JJ</v>
      </c>
      <c r="B3467" s="170"/>
      <c r="C3467" s="170" t="str">
        <f>IFERROR(__xludf.DUMMYFUNCTION("""COMPUTED_VALUE"""),"MA")</f>
        <v>MA</v>
      </c>
      <c r="D3467" s="170" t="str">
        <f>IFERROR(__xludf.DUMMYFUNCTION("""COMPUTED_VALUE"""),"USA")</f>
        <v>USA</v>
      </c>
      <c r="E3467" s="171">
        <f>IFERROR(__xludf.DUMMYFUNCTION("""COMPUTED_VALUE"""),43208.0)</f>
        <v>43208</v>
      </c>
      <c r="F3467" s="172">
        <f>IFERROR(__xludf.DUMMYFUNCTION("""COMPUTED_VALUE"""),43244.0)</f>
        <v>43244</v>
      </c>
      <c r="G3467" s="173"/>
      <c r="H3467" s="174">
        <f>IFERROR(__xludf.DUMMYFUNCTION("""COMPUTED_VALUE"""),26155.0)</f>
        <v>26155</v>
      </c>
      <c r="I3467" s="175" t="str">
        <f>IFERROR(__xludf.DUMMYFUNCTION("""COMPUTED_VALUE"""),"05/18")</f>
        <v>05/18</v>
      </c>
      <c r="J3467" s="172">
        <f>IFERROR(__xludf.DUMMYFUNCTION("""COMPUTED_VALUE"""),43266.0)</f>
        <v>43266</v>
      </c>
      <c r="K3467" s="176">
        <f>IFERROR(__xludf.DUMMYFUNCTION("""COMPUTED_VALUE"""),36.0)</f>
        <v>36</v>
      </c>
      <c r="L3467" s="176">
        <f>IFERROR(__xludf.DUMMYFUNCTION("""COMPUTED_VALUE"""),22.0)</f>
        <v>22</v>
      </c>
      <c r="M3467" s="176">
        <f>IFERROR(__xludf.DUMMYFUNCTION("""COMPUTED_VALUE"""),58.0)</f>
        <v>58</v>
      </c>
      <c r="N3467" s="177" t="str">
        <f>IFERROR(__xludf.DUMMYFUNCTION("""COMPUTED_VALUE"""),"Model 3 LR")</f>
        <v>Model 3 LR</v>
      </c>
      <c r="O3467" s="177" t="str">
        <f>IFERROR(__xludf.DUMMYFUNCTION("""COMPUTED_VALUE"""),"Pearl White Multi-Coat")</f>
        <v>Pearl White Multi-Coat</v>
      </c>
      <c r="P3467" s="178" t="str">
        <f>IFERROR(__xludf.DUMMYFUNCTION("""COMPUTED_VALUE"""),"18 inch Aero")</f>
        <v>18 inch Aero</v>
      </c>
      <c r="Q3467" s="177" t="str">
        <f>IFERROR(__xludf.DUMMYFUNCTION("""COMPUTED_VALUE"""),"Black seats")</f>
        <v>Black seats</v>
      </c>
      <c r="R3467" s="170" t="str">
        <f>IFERROR(__xludf.DUMMYFUNCTION("""COMPUTED_VALUE"""),"Enhanced Autopilot")</f>
        <v>Enhanced Autopilot</v>
      </c>
      <c r="S3467" s="170"/>
      <c r="T3467" s="179"/>
      <c r="U3467" s="179"/>
      <c r="V3467" s="179"/>
      <c r="W3467" s="180"/>
      <c r="X3467" s="181" t="str">
        <f>IFERROR(__xludf.DUMMYFUNCTION("""COMPUTED_VALUE"""),"Very Good")</f>
        <v>Very Good</v>
      </c>
      <c r="Y3467" s="182" t="str">
        <f>IFERROR(__xludf.DUMMYFUNCTION("""COMPUTED_VALUE"""),"Very Good")</f>
        <v>Very Good</v>
      </c>
      <c r="Z3467" s="182" t="str">
        <f>IFERROR(__xludf.DUMMYFUNCTION("""COMPUTED_VALUE"""),"Very Good")</f>
        <v>Very Good</v>
      </c>
      <c r="AA3467" s="182" t="str">
        <f>IFERROR(__xludf.DUMMYFUNCTION("""COMPUTED_VALUE"""),"Very Good")</f>
        <v>Very Good</v>
      </c>
      <c r="AB3467" s="182" t="str">
        <f>IFERROR(__xludf.DUMMYFUNCTION("""COMPUTED_VALUE"""),"Very Good")</f>
        <v>Very Good</v>
      </c>
      <c r="AC3467" s="183"/>
      <c r="AD3467" s="183"/>
      <c r="AE3467" s="183"/>
      <c r="AF3467" s="184"/>
      <c r="AG3467" s="180"/>
      <c r="AH3467" s="185">
        <f>IFERROR(__xludf.DUMMYFUNCTION("""COMPUTED_VALUE"""),43266.73939164352)</f>
        <v>43266.73939</v>
      </c>
      <c r="AI3467" s="182"/>
      <c r="AJ3467" s="182"/>
      <c r="AK3467" s="182"/>
      <c r="AL3467" s="182"/>
    </row>
    <row r="3468" ht="20.25" customHeight="1">
      <c r="A3468" s="169" t="str">
        <f>IFERROR(__xludf.DUMMYFUNCTION("""COMPUTED_VALUE"""),"jons1133")</f>
        <v>jons1133</v>
      </c>
      <c r="B3468" s="170" t="str">
        <f>IFERROR(__xludf.DUMMYFUNCTION("""COMPUTED_VALUE"""),"Phoenix")</f>
        <v>Phoenix</v>
      </c>
      <c r="C3468" s="170" t="str">
        <f>IFERROR(__xludf.DUMMYFUNCTION("""COMPUTED_VALUE"""),"AZ")</f>
        <v>AZ</v>
      </c>
      <c r="D3468" s="170" t="str">
        <f>IFERROR(__xludf.DUMMYFUNCTION("""COMPUTED_VALUE"""),"USA")</f>
        <v>USA</v>
      </c>
      <c r="E3468" s="171">
        <f>IFERROR(__xludf.DUMMYFUNCTION("""COMPUTED_VALUE"""),43208.0)</f>
        <v>43208</v>
      </c>
      <c r="F3468" s="172">
        <f>IFERROR(__xludf.DUMMYFUNCTION("""COMPUTED_VALUE"""),43230.0)</f>
        <v>43230</v>
      </c>
      <c r="G3468" s="173"/>
      <c r="H3468" s="174">
        <f>IFERROR(__xludf.DUMMYFUNCTION("""COMPUTED_VALUE"""),22455.0)</f>
        <v>22455</v>
      </c>
      <c r="I3468" s="175"/>
      <c r="J3468" s="172">
        <f>IFERROR(__xludf.DUMMYFUNCTION("""COMPUTED_VALUE"""),43245.0)</f>
        <v>43245</v>
      </c>
      <c r="K3468" s="176">
        <f>IFERROR(__xludf.DUMMYFUNCTION("""COMPUTED_VALUE"""),22.0)</f>
        <v>22</v>
      </c>
      <c r="L3468" s="176">
        <f>IFERROR(__xludf.DUMMYFUNCTION("""COMPUTED_VALUE"""),15.0)</f>
        <v>15</v>
      </c>
      <c r="M3468" s="176">
        <f>IFERROR(__xludf.DUMMYFUNCTION("""COMPUTED_VALUE"""),37.0)</f>
        <v>37</v>
      </c>
      <c r="N3468" s="177" t="str">
        <f>IFERROR(__xludf.DUMMYFUNCTION("""COMPUTED_VALUE"""),"Model 3 LR")</f>
        <v>Model 3 LR</v>
      </c>
      <c r="O3468" s="177" t="str">
        <f>IFERROR(__xludf.DUMMYFUNCTION("""COMPUTED_VALUE"""),"Red Multi-Coat")</f>
        <v>Red Multi-Coat</v>
      </c>
      <c r="P3468" s="178" t="str">
        <f>IFERROR(__xludf.DUMMYFUNCTION("""COMPUTED_VALUE"""),"18 inch Aero")</f>
        <v>18 inch Aero</v>
      </c>
      <c r="Q3468" s="177" t="str">
        <f>IFERROR(__xludf.DUMMYFUNCTION("""COMPUTED_VALUE"""),"Black seats")</f>
        <v>Black seats</v>
      </c>
      <c r="R3468" s="170" t="str">
        <f>IFERROR(__xludf.DUMMYFUNCTION("""COMPUTED_VALUE"""),"Enhanced Autopilot")</f>
        <v>Enhanced Autopilot</v>
      </c>
      <c r="S3468" s="170"/>
      <c r="T3468" s="179"/>
      <c r="U3468" s="179"/>
      <c r="V3468" s="179"/>
      <c r="W3468" s="180"/>
      <c r="X3468" s="181" t="str">
        <f>IFERROR(__xludf.DUMMYFUNCTION("""COMPUTED_VALUE"""),"Excellent")</f>
        <v>Excellent</v>
      </c>
      <c r="Y3468" s="182" t="str">
        <f>IFERROR(__xludf.DUMMYFUNCTION("""COMPUTED_VALUE"""),"Excellent")</f>
        <v>Excellent</v>
      </c>
      <c r="Z3468" s="182" t="str">
        <f>IFERROR(__xludf.DUMMYFUNCTION("""COMPUTED_VALUE"""),"Very Good")</f>
        <v>Very Good</v>
      </c>
      <c r="AA3468" s="182"/>
      <c r="AB3468" s="182" t="str">
        <f>IFERROR(__xludf.DUMMYFUNCTION("""COMPUTED_VALUE"""),"Good")</f>
        <v>Good</v>
      </c>
      <c r="AC3468" s="183"/>
      <c r="AD3468" s="183"/>
      <c r="AE3468" s="183"/>
      <c r="AF3468" s="184"/>
      <c r="AG3468" s="180"/>
      <c r="AH3468" s="185">
        <f>IFERROR(__xludf.DUMMYFUNCTION("""COMPUTED_VALUE"""),43247.214859803236)</f>
        <v>43247.21486</v>
      </c>
      <c r="AI3468" s="182"/>
      <c r="AJ3468" s="182"/>
      <c r="AK3468" s="182"/>
      <c r="AL3468" s="182"/>
    </row>
    <row r="3469" ht="20.25" customHeight="1">
      <c r="A3469" s="169" t="str">
        <f>IFERROR(__xludf.DUMMYFUNCTION("""COMPUTED_VALUE"""),"jwanga")</f>
        <v>jwanga</v>
      </c>
      <c r="B3469" s="170" t="str">
        <f>IFERROR(__xludf.DUMMYFUNCTION("""COMPUTED_VALUE"""),"Los Angeles")</f>
        <v>Los Angeles</v>
      </c>
      <c r="C3469" s="170" t="str">
        <f>IFERROR(__xludf.DUMMYFUNCTION("""COMPUTED_VALUE"""),"CA")</f>
        <v>CA</v>
      </c>
      <c r="D3469" s="170" t="str">
        <f>IFERROR(__xludf.DUMMYFUNCTION("""COMPUTED_VALUE"""),"USA")</f>
        <v>USA</v>
      </c>
      <c r="E3469" s="171">
        <f>IFERROR(__xludf.DUMMYFUNCTION("""COMPUTED_VALUE"""),43208.0)</f>
        <v>43208</v>
      </c>
      <c r="F3469" s="172">
        <f>IFERROR(__xludf.DUMMYFUNCTION("""COMPUTED_VALUE"""),43244.0)</f>
        <v>43244</v>
      </c>
      <c r="G3469" s="173"/>
      <c r="H3469" s="174">
        <f>IFERROR(__xludf.DUMMYFUNCTION("""COMPUTED_VALUE"""),24555.0)</f>
        <v>24555</v>
      </c>
      <c r="I3469" s="175" t="str">
        <f>IFERROR(__xludf.DUMMYFUNCTION("""COMPUTED_VALUE"""),"05/18")</f>
        <v>05/18</v>
      </c>
      <c r="J3469" s="172">
        <f>IFERROR(__xludf.DUMMYFUNCTION("""COMPUTED_VALUE"""),43254.0)</f>
        <v>43254</v>
      </c>
      <c r="K3469" s="176">
        <f>IFERROR(__xludf.DUMMYFUNCTION("""COMPUTED_VALUE"""),36.0)</f>
        <v>36</v>
      </c>
      <c r="L3469" s="176">
        <f>IFERROR(__xludf.DUMMYFUNCTION("""COMPUTED_VALUE"""),10.0)</f>
        <v>10</v>
      </c>
      <c r="M3469" s="176">
        <f>IFERROR(__xludf.DUMMYFUNCTION("""COMPUTED_VALUE"""),46.0)</f>
        <v>46</v>
      </c>
      <c r="N3469" s="177" t="str">
        <f>IFERROR(__xludf.DUMMYFUNCTION("""COMPUTED_VALUE"""),"Model 3 LR")</f>
        <v>Model 3 LR</v>
      </c>
      <c r="O3469" s="177" t="str">
        <f>IFERROR(__xludf.DUMMYFUNCTION("""COMPUTED_VALUE"""),"Red Multi-Coat")</f>
        <v>Red Multi-Coat</v>
      </c>
      <c r="P3469" s="178" t="str">
        <f>IFERROR(__xludf.DUMMYFUNCTION("""COMPUTED_VALUE"""),"19 inch Sport")</f>
        <v>19 inch Sport</v>
      </c>
      <c r="Q3469" s="177" t="str">
        <f>IFERROR(__xludf.DUMMYFUNCTION("""COMPUTED_VALUE"""),"Black seats")</f>
        <v>Black seats</v>
      </c>
      <c r="R3469" s="170" t="str">
        <f>IFERROR(__xludf.DUMMYFUNCTION("""COMPUTED_VALUE"""),"Enhanced Autopilot")</f>
        <v>Enhanced Autopilot</v>
      </c>
      <c r="S3469" s="170"/>
      <c r="T3469" s="179"/>
      <c r="U3469" s="179"/>
      <c r="V3469" s="179"/>
      <c r="W3469" s="180"/>
      <c r="X3469" s="181" t="str">
        <f>IFERROR(__xludf.DUMMYFUNCTION("""COMPUTED_VALUE"""),"Excellent")</f>
        <v>Excellent</v>
      </c>
      <c r="Y3469" s="182" t="str">
        <f>IFERROR(__xludf.DUMMYFUNCTION("""COMPUTED_VALUE"""),"Excellent")</f>
        <v>Excellent</v>
      </c>
      <c r="Z3469" s="182" t="str">
        <f>IFERROR(__xludf.DUMMYFUNCTION("""COMPUTED_VALUE"""),"Excellent")</f>
        <v>Excellent</v>
      </c>
      <c r="AA3469" s="182" t="str">
        <f>IFERROR(__xludf.DUMMYFUNCTION("""COMPUTED_VALUE"""),"Excellent")</f>
        <v>Excellent</v>
      </c>
      <c r="AB3469" s="182" t="str">
        <f>IFERROR(__xludf.DUMMYFUNCTION("""COMPUTED_VALUE"""),"Excellent")</f>
        <v>Excellent</v>
      </c>
      <c r="AC3469" s="183"/>
      <c r="AD3469" s="183"/>
      <c r="AE3469" s="183"/>
      <c r="AF3469" s="184"/>
      <c r="AG3469" s="180"/>
      <c r="AH3469" s="185">
        <f>IFERROR(__xludf.DUMMYFUNCTION("""COMPUTED_VALUE"""),43255.41256046296)</f>
        <v>43255.41256</v>
      </c>
      <c r="AI3469" s="182"/>
      <c r="AJ3469" s="182"/>
      <c r="AK3469" s="182"/>
      <c r="AL3469" s="182"/>
    </row>
    <row r="3470" ht="20.25" customHeight="1">
      <c r="A3470" s="169" t="str">
        <f>IFERROR(__xludf.DUMMYFUNCTION("""COMPUTED_VALUE"""),"karlmitchell")</f>
        <v>karlmitchell</v>
      </c>
      <c r="B3470" s="170" t="str">
        <f>IFERROR(__xludf.DUMMYFUNCTION("""COMPUTED_VALUE"""),"Los Angeles")</f>
        <v>Los Angeles</v>
      </c>
      <c r="C3470" s="170" t="str">
        <f>IFERROR(__xludf.DUMMYFUNCTION("""COMPUTED_VALUE"""),"CA")</f>
        <v>CA</v>
      </c>
      <c r="D3470" s="170" t="str">
        <f>IFERROR(__xludf.DUMMYFUNCTION("""COMPUTED_VALUE"""),"USA")</f>
        <v>USA</v>
      </c>
      <c r="E3470" s="171">
        <f>IFERROR(__xludf.DUMMYFUNCTION("""COMPUTED_VALUE"""),43208.0)</f>
        <v>43208</v>
      </c>
      <c r="F3470" s="172">
        <f>IFERROR(__xludf.DUMMYFUNCTION("""COMPUTED_VALUE"""),43234.0)</f>
        <v>43234</v>
      </c>
      <c r="G3470" s="173"/>
      <c r="H3470" s="174">
        <f>IFERROR(__xludf.DUMMYFUNCTION("""COMPUTED_VALUE"""),22155.0)</f>
        <v>22155</v>
      </c>
      <c r="I3470" s="175"/>
      <c r="J3470" s="172">
        <f>IFERROR(__xludf.DUMMYFUNCTION("""COMPUTED_VALUE"""),43242.0)</f>
        <v>43242</v>
      </c>
      <c r="K3470" s="176">
        <f>IFERROR(__xludf.DUMMYFUNCTION("""COMPUTED_VALUE"""),26.0)</f>
        <v>26</v>
      </c>
      <c r="L3470" s="176">
        <f>IFERROR(__xludf.DUMMYFUNCTION("""COMPUTED_VALUE"""),8.0)</f>
        <v>8</v>
      </c>
      <c r="M3470" s="176">
        <f>IFERROR(__xludf.DUMMYFUNCTION("""COMPUTED_VALUE"""),34.0)</f>
        <v>34</v>
      </c>
      <c r="N3470" s="177" t="str">
        <f>IFERROR(__xludf.DUMMYFUNCTION("""COMPUTED_VALUE"""),"Model 3 LR")</f>
        <v>Model 3 LR</v>
      </c>
      <c r="O3470" s="177" t="str">
        <f>IFERROR(__xludf.DUMMYFUNCTION("""COMPUTED_VALUE"""),"Red Multi-Coat")</f>
        <v>Red Multi-Coat</v>
      </c>
      <c r="P3470" s="178" t="str">
        <f>IFERROR(__xludf.DUMMYFUNCTION("""COMPUTED_VALUE"""),"18 inch Aero")</f>
        <v>18 inch Aero</v>
      </c>
      <c r="Q3470" s="177" t="str">
        <f>IFERROR(__xludf.DUMMYFUNCTION("""COMPUTED_VALUE"""),"Black seats")</f>
        <v>Black seats</v>
      </c>
      <c r="R3470" s="170" t="str">
        <f>IFERROR(__xludf.DUMMYFUNCTION("""COMPUTED_VALUE"""),"Full Self-Driving")</f>
        <v>Full Self-Driving</v>
      </c>
      <c r="S3470" s="170"/>
      <c r="T3470" s="179"/>
      <c r="U3470" s="179"/>
      <c r="V3470" s="179"/>
      <c r="W3470" s="180"/>
      <c r="X3470" s="181" t="str">
        <f>IFERROR(__xludf.DUMMYFUNCTION("""COMPUTED_VALUE"""),"Excellent")</f>
        <v>Excellent</v>
      </c>
      <c r="Y3470" s="182" t="str">
        <f>IFERROR(__xludf.DUMMYFUNCTION("""COMPUTED_VALUE"""),"Excellent")</f>
        <v>Excellent</v>
      </c>
      <c r="Z3470" s="182" t="str">
        <f>IFERROR(__xludf.DUMMYFUNCTION("""COMPUTED_VALUE"""),"Excellent")</f>
        <v>Excellent</v>
      </c>
      <c r="AA3470" s="182"/>
      <c r="AB3470" s="182" t="str">
        <f>IFERROR(__xludf.DUMMYFUNCTION("""COMPUTED_VALUE"""),"Excellent")</f>
        <v>Excellent</v>
      </c>
      <c r="AC3470" s="183"/>
      <c r="AD3470" s="183"/>
      <c r="AE3470" s="183"/>
      <c r="AF3470" s="184"/>
      <c r="AG3470" s="180"/>
      <c r="AH3470" s="185">
        <f>IFERROR(__xludf.DUMMYFUNCTION("""COMPUTED_VALUE"""),43243.37358175925)</f>
        <v>43243.37358</v>
      </c>
      <c r="AI3470" s="182"/>
      <c r="AJ3470" s="182"/>
      <c r="AK3470" s="182"/>
      <c r="AL3470" s="182"/>
    </row>
    <row r="3471" ht="20.25" customHeight="1">
      <c r="A3471" s="169" t="str">
        <f>IFERROR(__xludf.DUMMYFUNCTION("""COMPUTED_VALUE"""),"kegg")</f>
        <v>kegg</v>
      </c>
      <c r="B3471" s="170" t="str">
        <f>IFERROR(__xludf.DUMMYFUNCTION("""COMPUTED_VALUE"""),"Natick")</f>
        <v>Natick</v>
      </c>
      <c r="C3471" s="170" t="str">
        <f>IFERROR(__xludf.DUMMYFUNCTION("""COMPUTED_VALUE"""),"MA")</f>
        <v>MA</v>
      </c>
      <c r="D3471" s="170" t="str">
        <f>IFERROR(__xludf.DUMMYFUNCTION("""COMPUTED_VALUE"""),"USA")</f>
        <v>USA</v>
      </c>
      <c r="E3471" s="171">
        <f>IFERROR(__xludf.DUMMYFUNCTION("""COMPUTED_VALUE"""),43208.0)</f>
        <v>43208</v>
      </c>
      <c r="F3471" s="172">
        <f>IFERROR(__xludf.DUMMYFUNCTION("""COMPUTED_VALUE"""),43244.0)</f>
        <v>43244</v>
      </c>
      <c r="G3471" s="173"/>
      <c r="H3471" s="174">
        <f>IFERROR(__xludf.DUMMYFUNCTION("""COMPUTED_VALUE"""),26055.0)</f>
        <v>26055</v>
      </c>
      <c r="I3471" s="175"/>
      <c r="J3471" s="172">
        <f>IFERROR(__xludf.DUMMYFUNCTION("""COMPUTED_VALUE"""),43263.0)</f>
        <v>43263</v>
      </c>
      <c r="K3471" s="176">
        <f>IFERROR(__xludf.DUMMYFUNCTION("""COMPUTED_VALUE"""),36.0)</f>
        <v>36</v>
      </c>
      <c r="L3471" s="176">
        <f>IFERROR(__xludf.DUMMYFUNCTION("""COMPUTED_VALUE"""),19.0)</f>
        <v>19</v>
      </c>
      <c r="M3471" s="176">
        <f>IFERROR(__xludf.DUMMYFUNCTION("""COMPUTED_VALUE"""),55.0)</f>
        <v>55</v>
      </c>
      <c r="N3471" s="177" t="str">
        <f>IFERROR(__xludf.DUMMYFUNCTION("""COMPUTED_VALUE"""),"Model 3 LR")</f>
        <v>Model 3 LR</v>
      </c>
      <c r="O3471" s="177" t="str">
        <f>IFERROR(__xludf.DUMMYFUNCTION("""COMPUTED_VALUE"""),"Red Multi-Coat")</f>
        <v>Red Multi-Coat</v>
      </c>
      <c r="P3471" s="178" t="str">
        <f>IFERROR(__xludf.DUMMYFUNCTION("""COMPUTED_VALUE"""),"18 inch Aero")</f>
        <v>18 inch Aero</v>
      </c>
      <c r="Q3471" s="177" t="str">
        <f>IFERROR(__xludf.DUMMYFUNCTION("""COMPUTED_VALUE"""),"Black seats")</f>
        <v>Black seats</v>
      </c>
      <c r="R3471" s="170" t="str">
        <f>IFERROR(__xludf.DUMMYFUNCTION("""COMPUTED_VALUE"""),"None")</f>
        <v>None</v>
      </c>
      <c r="S3471" s="170"/>
      <c r="T3471" s="179"/>
      <c r="U3471" s="179"/>
      <c r="V3471" s="179"/>
      <c r="W3471" s="180"/>
      <c r="X3471" s="181" t="str">
        <f>IFERROR(__xludf.DUMMYFUNCTION("""COMPUTED_VALUE"""),"Excellent")</f>
        <v>Excellent</v>
      </c>
      <c r="Y3471" s="182" t="str">
        <f>IFERROR(__xludf.DUMMYFUNCTION("""COMPUTED_VALUE"""),"Excellent")</f>
        <v>Excellent</v>
      </c>
      <c r="Z3471" s="182" t="str">
        <f>IFERROR(__xludf.DUMMYFUNCTION("""COMPUTED_VALUE"""),"Excellent")</f>
        <v>Excellent</v>
      </c>
      <c r="AA3471" s="182" t="str">
        <f>IFERROR(__xludf.DUMMYFUNCTION("""COMPUTED_VALUE"""),"Fair")</f>
        <v>Fair</v>
      </c>
      <c r="AB3471" s="182" t="str">
        <f>IFERROR(__xludf.DUMMYFUNCTION("""COMPUTED_VALUE"""),"Excellent")</f>
        <v>Excellent</v>
      </c>
      <c r="AC3471" s="183"/>
      <c r="AD3471" s="183"/>
      <c r="AE3471" s="183"/>
      <c r="AF3471" s="184"/>
      <c r="AG3471" s="180"/>
      <c r="AH3471" s="185">
        <f>IFERROR(__xludf.DUMMYFUNCTION("""COMPUTED_VALUE"""),43267.82224693287)</f>
        <v>43267.82225</v>
      </c>
      <c r="AI3471" s="182"/>
      <c r="AJ3471" s="182"/>
      <c r="AK3471" s="182"/>
      <c r="AL3471" s="182"/>
    </row>
    <row r="3472" ht="20.25" customHeight="1">
      <c r="A3472" s="169" t="str">
        <f>IFERROR(__xludf.DUMMYFUNCTION("""COMPUTED_VALUE"""),"kyoshero")</f>
        <v>kyoshero</v>
      </c>
      <c r="B3472" s="170" t="str">
        <f>IFERROR(__xludf.DUMMYFUNCTION("""COMPUTED_VALUE"""),"Fremont")</f>
        <v>Fremont</v>
      </c>
      <c r="C3472" s="170" t="str">
        <f>IFERROR(__xludf.DUMMYFUNCTION("""COMPUTED_VALUE"""),"CA")</f>
        <v>CA</v>
      </c>
      <c r="D3472" s="170" t="str">
        <f>IFERROR(__xludf.DUMMYFUNCTION("""COMPUTED_VALUE"""),"USA")</f>
        <v>USA</v>
      </c>
      <c r="E3472" s="171">
        <f>IFERROR(__xludf.DUMMYFUNCTION("""COMPUTED_VALUE"""),43208.0)</f>
        <v>43208</v>
      </c>
      <c r="F3472" s="172">
        <f>IFERROR(__xludf.DUMMYFUNCTION("""COMPUTED_VALUE"""),43244.0)</f>
        <v>43244</v>
      </c>
      <c r="G3472" s="173"/>
      <c r="H3472" s="174">
        <f>IFERROR(__xludf.DUMMYFUNCTION("""COMPUTED_VALUE"""),21455.0)</f>
        <v>21455</v>
      </c>
      <c r="I3472" s="175"/>
      <c r="J3472" s="172">
        <f>IFERROR(__xludf.DUMMYFUNCTION("""COMPUTED_VALUE"""),43247.0)</f>
        <v>43247</v>
      </c>
      <c r="K3472" s="176">
        <f>IFERROR(__xludf.DUMMYFUNCTION("""COMPUTED_VALUE"""),36.0)</f>
        <v>36</v>
      </c>
      <c r="L3472" s="176">
        <f>IFERROR(__xludf.DUMMYFUNCTION("""COMPUTED_VALUE"""),3.0)</f>
        <v>3</v>
      </c>
      <c r="M3472" s="176">
        <f>IFERROR(__xludf.DUMMYFUNCTION("""COMPUTED_VALUE"""),39.0)</f>
        <v>39</v>
      </c>
      <c r="N3472" s="177" t="str">
        <f>IFERROR(__xludf.DUMMYFUNCTION("""COMPUTED_VALUE"""),"Model 3 LR")</f>
        <v>Model 3 LR</v>
      </c>
      <c r="O3472" s="177" t="str">
        <f>IFERROR(__xludf.DUMMYFUNCTION("""COMPUTED_VALUE"""),"Midnight Silver Metallic")</f>
        <v>Midnight Silver Metallic</v>
      </c>
      <c r="P3472" s="178" t="str">
        <f>IFERROR(__xludf.DUMMYFUNCTION("""COMPUTED_VALUE"""),"18 inch Aero")</f>
        <v>18 inch Aero</v>
      </c>
      <c r="Q3472" s="177" t="str">
        <f>IFERROR(__xludf.DUMMYFUNCTION("""COMPUTED_VALUE"""),"Black seats")</f>
        <v>Black seats</v>
      </c>
      <c r="R3472" s="170" t="str">
        <f>IFERROR(__xludf.DUMMYFUNCTION("""COMPUTED_VALUE"""),"None")</f>
        <v>None</v>
      </c>
      <c r="S3472" s="170"/>
      <c r="T3472" s="179"/>
      <c r="U3472" s="179"/>
      <c r="V3472" s="179"/>
      <c r="W3472" s="180"/>
      <c r="X3472" s="181" t="str">
        <f>IFERROR(__xludf.DUMMYFUNCTION("""COMPUTED_VALUE"""),"Very Good")</f>
        <v>Very Good</v>
      </c>
      <c r="Y3472" s="182" t="str">
        <f>IFERROR(__xludf.DUMMYFUNCTION("""COMPUTED_VALUE"""),"Excellent")</f>
        <v>Excellent</v>
      </c>
      <c r="Z3472" s="182" t="str">
        <f>IFERROR(__xludf.DUMMYFUNCTION("""COMPUTED_VALUE"""),"Excellent")</f>
        <v>Excellent</v>
      </c>
      <c r="AA3472" s="182"/>
      <c r="AB3472" s="182" t="str">
        <f>IFERROR(__xludf.DUMMYFUNCTION("""COMPUTED_VALUE"""),"Good")</f>
        <v>Good</v>
      </c>
      <c r="AC3472" s="183"/>
      <c r="AD3472" s="183"/>
      <c r="AE3472" s="183"/>
      <c r="AF3472" s="184"/>
      <c r="AG3472" s="180"/>
      <c r="AH3472" s="185">
        <f>IFERROR(__xludf.DUMMYFUNCTION("""COMPUTED_VALUE"""),43249.62579804398)</f>
        <v>43249.6258</v>
      </c>
      <c r="AI3472" s="182"/>
      <c r="AJ3472" s="182"/>
      <c r="AK3472" s="182"/>
      <c r="AL3472" s="182"/>
    </row>
    <row r="3473" ht="20.25" customHeight="1">
      <c r="A3473" s="169" t="str">
        <f>IFERROR(__xludf.DUMMYFUNCTION("""COMPUTED_VALUE"""),"lawduck")</f>
        <v>lawduck</v>
      </c>
      <c r="B3473" s="170" t="str">
        <f>IFERROR(__xludf.DUMMYFUNCTION("""COMPUTED_VALUE"""),"Vancouver")</f>
        <v>Vancouver</v>
      </c>
      <c r="C3473" s="170" t="str">
        <f>IFERROR(__xludf.DUMMYFUNCTION("""COMPUTED_VALUE"""),"WA")</f>
        <v>WA</v>
      </c>
      <c r="D3473" s="170" t="str">
        <f>IFERROR(__xludf.DUMMYFUNCTION("""COMPUTED_VALUE"""),"USA")</f>
        <v>USA</v>
      </c>
      <c r="E3473" s="171">
        <f>IFERROR(__xludf.DUMMYFUNCTION("""COMPUTED_VALUE"""),43208.0)</f>
        <v>43208</v>
      </c>
      <c r="F3473" s="172">
        <f>IFERROR(__xludf.DUMMYFUNCTION("""COMPUTED_VALUE"""),43233.0)</f>
        <v>43233</v>
      </c>
      <c r="G3473" s="173"/>
      <c r="H3473" s="174">
        <f>IFERROR(__xludf.DUMMYFUNCTION("""COMPUTED_VALUE"""),22496.0)</f>
        <v>22496</v>
      </c>
      <c r="I3473" s="175"/>
      <c r="J3473" s="172">
        <f>IFERROR(__xludf.DUMMYFUNCTION("""COMPUTED_VALUE"""),43245.0)</f>
        <v>43245</v>
      </c>
      <c r="K3473" s="176">
        <f>IFERROR(__xludf.DUMMYFUNCTION("""COMPUTED_VALUE"""),25.0)</f>
        <v>25</v>
      </c>
      <c r="L3473" s="176">
        <f>IFERROR(__xludf.DUMMYFUNCTION("""COMPUTED_VALUE"""),12.0)</f>
        <v>12</v>
      </c>
      <c r="M3473" s="176">
        <f>IFERROR(__xludf.DUMMYFUNCTION("""COMPUTED_VALUE"""),37.0)</f>
        <v>37</v>
      </c>
      <c r="N3473" s="177" t="str">
        <f>IFERROR(__xludf.DUMMYFUNCTION("""COMPUTED_VALUE"""),"Model 3 LR")</f>
        <v>Model 3 LR</v>
      </c>
      <c r="O3473" s="177" t="str">
        <f>IFERROR(__xludf.DUMMYFUNCTION("""COMPUTED_VALUE"""),"Deep Blue Metallic")</f>
        <v>Deep Blue Metallic</v>
      </c>
      <c r="P3473" s="178" t="str">
        <f>IFERROR(__xludf.DUMMYFUNCTION("""COMPUTED_VALUE"""),"18 inch Aero")</f>
        <v>18 inch Aero</v>
      </c>
      <c r="Q3473" s="177" t="str">
        <f>IFERROR(__xludf.DUMMYFUNCTION("""COMPUTED_VALUE"""),"Black seats")</f>
        <v>Black seats</v>
      </c>
      <c r="R3473" s="170" t="str">
        <f>IFERROR(__xludf.DUMMYFUNCTION("""COMPUTED_VALUE"""),"Full Self-Driving")</f>
        <v>Full Self-Driving</v>
      </c>
      <c r="S3473" s="170"/>
      <c r="T3473" s="179"/>
      <c r="U3473" s="179"/>
      <c r="V3473" s="179"/>
      <c r="W3473" s="180"/>
      <c r="X3473" s="181" t="str">
        <f>IFERROR(__xludf.DUMMYFUNCTION("""COMPUTED_VALUE"""),"Excellent")</f>
        <v>Excellent</v>
      </c>
      <c r="Y3473" s="182" t="str">
        <f>IFERROR(__xludf.DUMMYFUNCTION("""COMPUTED_VALUE"""),"Excellent")</f>
        <v>Excellent</v>
      </c>
      <c r="Z3473" s="182" t="str">
        <f>IFERROR(__xludf.DUMMYFUNCTION("""COMPUTED_VALUE"""),"Excellent")</f>
        <v>Excellent</v>
      </c>
      <c r="AA3473" s="182"/>
      <c r="AB3473" s="182" t="str">
        <f>IFERROR(__xludf.DUMMYFUNCTION("""COMPUTED_VALUE"""),"Excellent")</f>
        <v>Excellent</v>
      </c>
      <c r="AC3473" s="183"/>
      <c r="AD3473" s="183"/>
      <c r="AE3473" s="183"/>
      <c r="AF3473" s="184"/>
      <c r="AG3473" s="180"/>
      <c r="AH3473" s="185">
        <f>IFERROR(__xludf.DUMMYFUNCTION("""COMPUTED_VALUE"""),43249.55745187501)</f>
        <v>43249.55745</v>
      </c>
      <c r="AI3473" s="182"/>
      <c r="AJ3473" s="182"/>
      <c r="AK3473" s="182"/>
      <c r="AL3473" s="182"/>
    </row>
    <row r="3474" ht="20.25" customHeight="1">
      <c r="A3474" s="169" t="str">
        <f>IFERROR(__xludf.DUMMYFUNCTION("""COMPUTED_VALUE"""),"lxzm")</f>
        <v>lxzm</v>
      </c>
      <c r="B3474" s="170" t="str">
        <f>IFERROR(__xludf.DUMMYFUNCTION("""COMPUTED_VALUE"""),"Santa Fe")</f>
        <v>Santa Fe</v>
      </c>
      <c r="C3474" s="170" t="str">
        <f>IFERROR(__xludf.DUMMYFUNCTION("""COMPUTED_VALUE"""),"NM")</f>
        <v>NM</v>
      </c>
      <c r="D3474" s="170" t="str">
        <f>IFERROR(__xludf.DUMMYFUNCTION("""COMPUTED_VALUE"""),"USA")</f>
        <v>USA</v>
      </c>
      <c r="E3474" s="171">
        <f>IFERROR(__xludf.DUMMYFUNCTION("""COMPUTED_VALUE"""),43208.0)</f>
        <v>43208</v>
      </c>
      <c r="F3474" s="172">
        <f>IFERROR(__xludf.DUMMYFUNCTION("""COMPUTED_VALUE"""),43243.0)</f>
        <v>43243</v>
      </c>
      <c r="G3474" s="173"/>
      <c r="H3474" s="174">
        <f>IFERROR(__xludf.DUMMYFUNCTION("""COMPUTED_VALUE"""),26155.0)</f>
        <v>26155</v>
      </c>
      <c r="I3474" s="175" t="str">
        <f>IFERROR(__xludf.DUMMYFUNCTION("""COMPUTED_VALUE"""),"05/18")</f>
        <v>05/18</v>
      </c>
      <c r="J3474" s="172">
        <f>IFERROR(__xludf.DUMMYFUNCTION("""COMPUTED_VALUE"""),43260.0)</f>
        <v>43260</v>
      </c>
      <c r="K3474" s="176">
        <f>IFERROR(__xludf.DUMMYFUNCTION("""COMPUTED_VALUE"""),35.0)</f>
        <v>35</v>
      </c>
      <c r="L3474" s="176">
        <f>IFERROR(__xludf.DUMMYFUNCTION("""COMPUTED_VALUE"""),17.0)</f>
        <v>17</v>
      </c>
      <c r="M3474" s="176">
        <f>IFERROR(__xludf.DUMMYFUNCTION("""COMPUTED_VALUE"""),52.0)</f>
        <v>52</v>
      </c>
      <c r="N3474" s="177" t="str">
        <f>IFERROR(__xludf.DUMMYFUNCTION("""COMPUTED_VALUE"""),"Model 3 LR")</f>
        <v>Model 3 LR</v>
      </c>
      <c r="O3474" s="177" t="str">
        <f>IFERROR(__xludf.DUMMYFUNCTION("""COMPUTED_VALUE"""),"Pearl White Multi-Coat")</f>
        <v>Pearl White Multi-Coat</v>
      </c>
      <c r="P3474" s="178" t="str">
        <f>IFERROR(__xludf.DUMMYFUNCTION("""COMPUTED_VALUE"""),"18 inch Aero")</f>
        <v>18 inch Aero</v>
      </c>
      <c r="Q3474" s="177" t="str">
        <f>IFERROR(__xludf.DUMMYFUNCTION("""COMPUTED_VALUE"""),"Black seats")</f>
        <v>Black seats</v>
      </c>
      <c r="R3474" s="170" t="str">
        <f>IFERROR(__xludf.DUMMYFUNCTION("""COMPUTED_VALUE"""),"Full Self-Driving")</f>
        <v>Full Self-Driving</v>
      </c>
      <c r="S3474" s="170"/>
      <c r="T3474" s="179"/>
      <c r="U3474" s="179"/>
      <c r="V3474" s="179"/>
      <c r="W3474" s="180"/>
      <c r="X3474" s="181" t="str">
        <f>IFERROR(__xludf.DUMMYFUNCTION("""COMPUTED_VALUE"""),"Very Good")</f>
        <v>Very Good</v>
      </c>
      <c r="Y3474" s="182" t="str">
        <f>IFERROR(__xludf.DUMMYFUNCTION("""COMPUTED_VALUE"""),"Excellent")</f>
        <v>Excellent</v>
      </c>
      <c r="Z3474" s="182" t="str">
        <f>IFERROR(__xludf.DUMMYFUNCTION("""COMPUTED_VALUE"""),"Excellent")</f>
        <v>Excellent</v>
      </c>
      <c r="AA3474" s="182" t="str">
        <f>IFERROR(__xludf.DUMMYFUNCTION("""COMPUTED_VALUE"""),"Excellent")</f>
        <v>Excellent</v>
      </c>
      <c r="AB3474" s="182" t="str">
        <f>IFERROR(__xludf.DUMMYFUNCTION("""COMPUTED_VALUE"""),"Excellent")</f>
        <v>Excellent</v>
      </c>
      <c r="AC3474" s="183">
        <f>IFERROR(__xludf.DUMMYFUNCTION("""COMPUTED_VALUE"""),1.0)</f>
        <v>1</v>
      </c>
      <c r="AD3474" s="183">
        <f>IFERROR(__xludf.DUMMYFUNCTION("""COMPUTED_VALUE"""),2.0)</f>
        <v>2</v>
      </c>
      <c r="AE3474" s="183">
        <f>IFERROR(__xludf.DUMMYFUNCTION("""COMPUTED_VALUE"""),0.0)</f>
        <v>0</v>
      </c>
      <c r="AF3474" s="184"/>
      <c r="AG3474" s="180"/>
      <c r="AH3474" s="185">
        <f>IFERROR(__xludf.DUMMYFUNCTION("""COMPUTED_VALUE"""),43358.7746587963)</f>
        <v>43358.77466</v>
      </c>
      <c r="AI3474" s="182"/>
      <c r="AJ3474" s="182"/>
      <c r="AK3474" s="182"/>
      <c r="AL3474" s="182"/>
    </row>
    <row r="3475" ht="20.25" customHeight="1">
      <c r="A3475" s="169" t="str">
        <f>IFERROR(__xludf.DUMMYFUNCTION("""COMPUTED_VALUE"""),"m3jamz")</f>
        <v>m3jamz</v>
      </c>
      <c r="B3475" s="170" t="str">
        <f>IFERROR(__xludf.DUMMYFUNCTION("""COMPUTED_VALUE"""),"Walnut Creek")</f>
        <v>Walnut Creek</v>
      </c>
      <c r="C3475" s="170" t="str">
        <f>IFERROR(__xludf.DUMMYFUNCTION("""COMPUTED_VALUE"""),"CA")</f>
        <v>CA</v>
      </c>
      <c r="D3475" s="170" t="str">
        <f>IFERROR(__xludf.DUMMYFUNCTION("""COMPUTED_VALUE"""),"USA")</f>
        <v>USA</v>
      </c>
      <c r="E3475" s="171">
        <f>IFERROR(__xludf.DUMMYFUNCTION("""COMPUTED_VALUE"""),43208.0)</f>
        <v>43208</v>
      </c>
      <c r="F3475" s="172">
        <f>IFERROR(__xludf.DUMMYFUNCTION("""COMPUTED_VALUE"""),43241.0)</f>
        <v>43241</v>
      </c>
      <c r="G3475" s="173"/>
      <c r="H3475" s="174"/>
      <c r="I3475" s="175"/>
      <c r="J3475" s="172">
        <f>IFERROR(__xludf.DUMMYFUNCTION("""COMPUTED_VALUE"""),43250.0)</f>
        <v>43250</v>
      </c>
      <c r="K3475" s="176">
        <f>IFERROR(__xludf.DUMMYFUNCTION("""COMPUTED_VALUE"""),33.0)</f>
        <v>33</v>
      </c>
      <c r="L3475" s="176">
        <f>IFERROR(__xludf.DUMMYFUNCTION("""COMPUTED_VALUE"""),9.0)</f>
        <v>9</v>
      </c>
      <c r="M3475" s="176">
        <f>IFERROR(__xludf.DUMMYFUNCTION("""COMPUTED_VALUE"""),42.0)</f>
        <v>42</v>
      </c>
      <c r="N3475" s="177" t="str">
        <f>IFERROR(__xludf.DUMMYFUNCTION("""COMPUTED_VALUE"""),"Model 3 LR")</f>
        <v>Model 3 LR</v>
      </c>
      <c r="O3475" s="177" t="str">
        <f>IFERROR(__xludf.DUMMYFUNCTION("""COMPUTED_VALUE"""),"Solid Black")</f>
        <v>Solid Black</v>
      </c>
      <c r="P3475" s="178" t="str">
        <f>IFERROR(__xludf.DUMMYFUNCTION("""COMPUTED_VALUE"""),"19 inch Sport")</f>
        <v>19 inch Sport</v>
      </c>
      <c r="Q3475" s="177" t="str">
        <f>IFERROR(__xludf.DUMMYFUNCTION("""COMPUTED_VALUE"""),"Black seats")</f>
        <v>Black seats</v>
      </c>
      <c r="R3475" s="170" t="str">
        <f>IFERROR(__xludf.DUMMYFUNCTION("""COMPUTED_VALUE"""),"Full Self-Driving")</f>
        <v>Full Self-Driving</v>
      </c>
      <c r="S3475" s="170"/>
      <c r="T3475" s="179"/>
      <c r="U3475" s="179"/>
      <c r="V3475" s="179"/>
      <c r="W3475" s="180"/>
      <c r="X3475" s="181" t="str">
        <f>IFERROR(__xludf.DUMMYFUNCTION("""COMPUTED_VALUE"""),"Excellent")</f>
        <v>Excellent</v>
      </c>
      <c r="Y3475" s="182" t="str">
        <f>IFERROR(__xludf.DUMMYFUNCTION("""COMPUTED_VALUE"""),"Excellent")</f>
        <v>Excellent</v>
      </c>
      <c r="Z3475" s="182" t="str">
        <f>IFERROR(__xludf.DUMMYFUNCTION("""COMPUTED_VALUE"""),"Excellent")</f>
        <v>Excellent</v>
      </c>
      <c r="AA3475" s="182" t="str">
        <f>IFERROR(__xludf.DUMMYFUNCTION("""COMPUTED_VALUE"""),"Very Good")</f>
        <v>Very Good</v>
      </c>
      <c r="AB3475" s="182" t="str">
        <f>IFERROR(__xludf.DUMMYFUNCTION("""COMPUTED_VALUE"""),"Fair")</f>
        <v>Fair</v>
      </c>
      <c r="AC3475" s="183"/>
      <c r="AD3475" s="183"/>
      <c r="AE3475" s="183"/>
      <c r="AF3475" s="184"/>
      <c r="AG3475" s="180"/>
      <c r="AH3475" s="185">
        <f>IFERROR(__xludf.DUMMYFUNCTION("""COMPUTED_VALUE"""),43250.95960009259)</f>
        <v>43250.9596</v>
      </c>
      <c r="AI3475" s="182"/>
      <c r="AJ3475" s="182"/>
      <c r="AK3475" s="182"/>
      <c r="AL3475" s="182"/>
    </row>
    <row r="3476" ht="20.25" customHeight="1">
      <c r="A3476" s="169" t="str">
        <f>IFERROR(__xludf.DUMMYFUNCTION("""COMPUTED_VALUE"""),"markrose")</f>
        <v>markrose</v>
      </c>
      <c r="B3476" s="170" t="str">
        <f>IFERROR(__xludf.DUMMYFUNCTION("""COMPUTED_VALUE"""),"San Jose")</f>
        <v>San Jose</v>
      </c>
      <c r="C3476" s="170" t="str">
        <f>IFERROR(__xludf.DUMMYFUNCTION("""COMPUTED_VALUE"""),"CA")</f>
        <v>CA</v>
      </c>
      <c r="D3476" s="170" t="str">
        <f>IFERROR(__xludf.DUMMYFUNCTION("""COMPUTED_VALUE"""),"USA")</f>
        <v>USA</v>
      </c>
      <c r="E3476" s="171">
        <f>IFERROR(__xludf.DUMMYFUNCTION("""COMPUTED_VALUE"""),43208.0)</f>
        <v>43208</v>
      </c>
      <c r="F3476" s="172">
        <f>IFERROR(__xludf.DUMMYFUNCTION("""COMPUTED_VALUE"""),43245.0)</f>
        <v>43245</v>
      </c>
      <c r="G3476" s="173"/>
      <c r="H3476" s="174">
        <f>IFERROR(__xludf.DUMMYFUNCTION("""COMPUTED_VALUE"""),23491.0)</f>
        <v>23491</v>
      </c>
      <c r="I3476" s="175"/>
      <c r="J3476" s="172">
        <f>IFERROR(__xludf.DUMMYFUNCTION("""COMPUTED_VALUE"""),43249.0)</f>
        <v>43249</v>
      </c>
      <c r="K3476" s="176">
        <f>IFERROR(__xludf.DUMMYFUNCTION("""COMPUTED_VALUE"""),37.0)</f>
        <v>37</v>
      </c>
      <c r="L3476" s="176">
        <f>IFERROR(__xludf.DUMMYFUNCTION("""COMPUTED_VALUE"""),4.0)</f>
        <v>4</v>
      </c>
      <c r="M3476" s="176">
        <f>IFERROR(__xludf.DUMMYFUNCTION("""COMPUTED_VALUE"""),41.0)</f>
        <v>41</v>
      </c>
      <c r="N3476" s="177" t="str">
        <f>IFERROR(__xludf.DUMMYFUNCTION("""COMPUTED_VALUE"""),"Model 3 LR")</f>
        <v>Model 3 LR</v>
      </c>
      <c r="O3476" s="177" t="str">
        <f>IFERROR(__xludf.DUMMYFUNCTION("""COMPUTED_VALUE"""),"Solid Black")</f>
        <v>Solid Black</v>
      </c>
      <c r="P3476" s="178" t="str">
        <f>IFERROR(__xludf.DUMMYFUNCTION("""COMPUTED_VALUE"""),"19 inch Sport")</f>
        <v>19 inch Sport</v>
      </c>
      <c r="Q3476" s="177" t="str">
        <f>IFERROR(__xludf.DUMMYFUNCTION("""COMPUTED_VALUE"""),"Black seats")</f>
        <v>Black seats</v>
      </c>
      <c r="R3476" s="170" t="str">
        <f>IFERROR(__xludf.DUMMYFUNCTION("""COMPUTED_VALUE"""),"Full Self-Driving")</f>
        <v>Full Self-Driving</v>
      </c>
      <c r="S3476" s="170"/>
      <c r="T3476" s="179"/>
      <c r="U3476" s="179"/>
      <c r="V3476" s="179"/>
      <c r="W3476" s="180"/>
      <c r="X3476" s="181" t="str">
        <f>IFERROR(__xludf.DUMMYFUNCTION("""COMPUTED_VALUE"""),"Excellent")</f>
        <v>Excellent</v>
      </c>
      <c r="Y3476" s="182" t="str">
        <f>IFERROR(__xludf.DUMMYFUNCTION("""COMPUTED_VALUE"""),"Excellent")</f>
        <v>Excellent</v>
      </c>
      <c r="Z3476" s="182" t="str">
        <f>IFERROR(__xludf.DUMMYFUNCTION("""COMPUTED_VALUE"""),"Excellent")</f>
        <v>Excellent</v>
      </c>
      <c r="AA3476" s="182" t="str">
        <f>IFERROR(__xludf.DUMMYFUNCTION("""COMPUTED_VALUE"""),"Very Good")</f>
        <v>Very Good</v>
      </c>
      <c r="AB3476" s="182" t="str">
        <f>IFERROR(__xludf.DUMMYFUNCTION("""COMPUTED_VALUE"""),"Very Good")</f>
        <v>Very Good</v>
      </c>
      <c r="AC3476" s="183"/>
      <c r="AD3476" s="183"/>
      <c r="AE3476" s="183"/>
      <c r="AF3476" s="184"/>
      <c r="AG3476" s="180"/>
      <c r="AH3476" s="185">
        <f>IFERROR(__xludf.DUMMYFUNCTION("""COMPUTED_VALUE"""),43250.62432195602)</f>
        <v>43250.62432</v>
      </c>
      <c r="AI3476" s="182"/>
      <c r="AJ3476" s="182"/>
      <c r="AK3476" s="182"/>
      <c r="AL3476" s="182"/>
    </row>
    <row r="3477" ht="20.25" customHeight="1">
      <c r="A3477" s="169" t="str">
        <f>IFERROR(__xludf.DUMMYFUNCTION("""COMPUTED_VALUE"""),"Mercury Man")</f>
        <v>Mercury Man</v>
      </c>
      <c r="B3477" s="170" t="str">
        <f>IFERROR(__xludf.DUMMYFUNCTION("""COMPUTED_VALUE"""),"Brookings")</f>
        <v>Brookings</v>
      </c>
      <c r="C3477" s="170" t="str">
        <f>IFERROR(__xludf.DUMMYFUNCTION("""COMPUTED_VALUE"""),"OR")</f>
        <v>OR</v>
      </c>
      <c r="D3477" s="170" t="str">
        <f>IFERROR(__xludf.DUMMYFUNCTION("""COMPUTED_VALUE"""),"USA")</f>
        <v>USA</v>
      </c>
      <c r="E3477" s="171">
        <f>IFERROR(__xludf.DUMMYFUNCTION("""COMPUTED_VALUE"""),43208.0)</f>
        <v>43208</v>
      </c>
      <c r="F3477" s="172">
        <f>IFERROR(__xludf.DUMMYFUNCTION("""COMPUTED_VALUE"""),43252.0)</f>
        <v>43252</v>
      </c>
      <c r="G3477" s="173"/>
      <c r="H3477" s="174">
        <f>IFERROR(__xludf.DUMMYFUNCTION("""COMPUTED_VALUE"""),24655.0)</f>
        <v>24655</v>
      </c>
      <c r="I3477" s="175" t="str">
        <f>IFERROR(__xludf.DUMMYFUNCTION("""COMPUTED_VALUE"""),"05/18")</f>
        <v>05/18</v>
      </c>
      <c r="J3477" s="172">
        <f>IFERROR(__xludf.DUMMYFUNCTION("""COMPUTED_VALUE"""),43259.0)</f>
        <v>43259</v>
      </c>
      <c r="K3477" s="176">
        <f>IFERROR(__xludf.DUMMYFUNCTION("""COMPUTED_VALUE"""),44.0)</f>
        <v>44</v>
      </c>
      <c r="L3477" s="176">
        <f>IFERROR(__xludf.DUMMYFUNCTION("""COMPUTED_VALUE"""),7.0)</f>
        <v>7</v>
      </c>
      <c r="M3477" s="176">
        <f>IFERROR(__xludf.DUMMYFUNCTION("""COMPUTED_VALUE"""),51.0)</f>
        <v>51</v>
      </c>
      <c r="N3477" s="177" t="str">
        <f>IFERROR(__xludf.DUMMYFUNCTION("""COMPUTED_VALUE"""),"Model 3 LR")</f>
        <v>Model 3 LR</v>
      </c>
      <c r="O3477" s="177" t="str">
        <f>IFERROR(__xludf.DUMMYFUNCTION("""COMPUTED_VALUE"""),"Red Multi-Coat")</f>
        <v>Red Multi-Coat</v>
      </c>
      <c r="P3477" s="178" t="str">
        <f>IFERROR(__xludf.DUMMYFUNCTION("""COMPUTED_VALUE"""),"19 inch Sport")</f>
        <v>19 inch Sport</v>
      </c>
      <c r="Q3477" s="177" t="str">
        <f>IFERROR(__xludf.DUMMYFUNCTION("""COMPUTED_VALUE"""),"Black seats")</f>
        <v>Black seats</v>
      </c>
      <c r="R3477" s="170" t="str">
        <f>IFERROR(__xludf.DUMMYFUNCTION("""COMPUTED_VALUE"""),"Enhanced Autopilot")</f>
        <v>Enhanced Autopilot</v>
      </c>
      <c r="S3477" s="170"/>
      <c r="T3477" s="179"/>
      <c r="U3477" s="179"/>
      <c r="V3477" s="179"/>
      <c r="W3477" s="180"/>
      <c r="X3477" s="181" t="str">
        <f>IFERROR(__xludf.DUMMYFUNCTION("""COMPUTED_VALUE"""),"Excellent")</f>
        <v>Excellent</v>
      </c>
      <c r="Y3477" s="182" t="str">
        <f>IFERROR(__xludf.DUMMYFUNCTION("""COMPUTED_VALUE"""),"Excellent")</f>
        <v>Excellent</v>
      </c>
      <c r="Z3477" s="182" t="str">
        <f>IFERROR(__xludf.DUMMYFUNCTION("""COMPUTED_VALUE"""),"Excellent")</f>
        <v>Excellent</v>
      </c>
      <c r="AA3477" s="182" t="str">
        <f>IFERROR(__xludf.DUMMYFUNCTION("""COMPUTED_VALUE"""),"Good")</f>
        <v>Good</v>
      </c>
      <c r="AB3477" s="182" t="str">
        <f>IFERROR(__xludf.DUMMYFUNCTION("""COMPUTED_VALUE"""),"Excellent")</f>
        <v>Excellent</v>
      </c>
      <c r="AC3477" s="183"/>
      <c r="AD3477" s="183"/>
      <c r="AE3477" s="183"/>
      <c r="AF3477" s="184"/>
      <c r="AG3477" s="180"/>
      <c r="AH3477" s="185">
        <f>IFERROR(__xludf.DUMMYFUNCTION("""COMPUTED_VALUE"""),43260.955264675926)</f>
        <v>43260.95526</v>
      </c>
      <c r="AI3477" s="182"/>
      <c r="AJ3477" s="182"/>
      <c r="AK3477" s="182"/>
      <c r="AL3477" s="182"/>
    </row>
    <row r="3478" ht="20.25" customHeight="1">
      <c r="A3478" s="169" t="str">
        <f>IFERROR(__xludf.DUMMYFUNCTION("""COMPUTED_VALUE"""),"Merk")</f>
        <v>Merk</v>
      </c>
      <c r="B3478" s="170" t="str">
        <f>IFERROR(__xludf.DUMMYFUNCTION("""COMPUTED_VALUE"""),"Westmont")</f>
        <v>Westmont</v>
      </c>
      <c r="C3478" s="170"/>
      <c r="D3478" s="170" t="str">
        <f>IFERROR(__xludf.DUMMYFUNCTION("""COMPUTED_VALUE"""),"USA")</f>
        <v>USA</v>
      </c>
      <c r="E3478" s="171">
        <f>IFERROR(__xludf.DUMMYFUNCTION("""COMPUTED_VALUE"""),43208.0)</f>
        <v>43208</v>
      </c>
      <c r="F3478" s="172">
        <f>IFERROR(__xludf.DUMMYFUNCTION("""COMPUTED_VALUE"""),43217.0)</f>
        <v>43217</v>
      </c>
      <c r="G3478" s="173"/>
      <c r="H3478" s="174">
        <f>IFERROR(__xludf.DUMMYFUNCTION("""COMPUTED_VALUE"""),17955.0)</f>
        <v>17955</v>
      </c>
      <c r="I3478" s="175" t="str">
        <f>IFERROR(__xludf.DUMMYFUNCTION("""COMPUTED_VALUE"""),"04/18")</f>
        <v>04/18</v>
      </c>
      <c r="J3478" s="172">
        <f>IFERROR(__xludf.DUMMYFUNCTION("""COMPUTED_VALUE"""),43227.0)</f>
        <v>43227</v>
      </c>
      <c r="K3478" s="176">
        <f>IFERROR(__xludf.DUMMYFUNCTION("""COMPUTED_VALUE"""),9.0)</f>
        <v>9</v>
      </c>
      <c r="L3478" s="176">
        <f>IFERROR(__xludf.DUMMYFUNCTION("""COMPUTED_VALUE"""),10.0)</f>
        <v>10</v>
      </c>
      <c r="M3478" s="176">
        <f>IFERROR(__xludf.DUMMYFUNCTION("""COMPUTED_VALUE"""),19.0)</f>
        <v>19</v>
      </c>
      <c r="N3478" s="177" t="str">
        <f>IFERROR(__xludf.DUMMYFUNCTION("""COMPUTED_VALUE"""),"Model 3 LR")</f>
        <v>Model 3 LR</v>
      </c>
      <c r="O3478" s="177" t="str">
        <f>IFERROR(__xludf.DUMMYFUNCTION("""COMPUTED_VALUE"""),"Silver Metallic")</f>
        <v>Silver Metallic</v>
      </c>
      <c r="P3478" s="178" t="str">
        <f>IFERROR(__xludf.DUMMYFUNCTION("""COMPUTED_VALUE"""),"19 inch Sport")</f>
        <v>19 inch Sport</v>
      </c>
      <c r="Q3478" s="177" t="str">
        <f>IFERROR(__xludf.DUMMYFUNCTION("""COMPUTED_VALUE"""),"Black seats")</f>
        <v>Black seats</v>
      </c>
      <c r="R3478" s="170" t="str">
        <f>IFERROR(__xludf.DUMMYFUNCTION("""COMPUTED_VALUE"""),"Enhanced Autopilot")</f>
        <v>Enhanced Autopilot</v>
      </c>
      <c r="S3478" s="170"/>
      <c r="T3478" s="179"/>
      <c r="U3478" s="179"/>
      <c r="V3478" s="179"/>
      <c r="W3478" s="180"/>
      <c r="X3478" s="181" t="str">
        <f>IFERROR(__xludf.DUMMYFUNCTION("""COMPUTED_VALUE"""),"Very Good")</f>
        <v>Very Good</v>
      </c>
      <c r="Y3478" s="182" t="str">
        <f>IFERROR(__xludf.DUMMYFUNCTION("""COMPUTED_VALUE"""),"Very Good")</f>
        <v>Very Good</v>
      </c>
      <c r="Z3478" s="182" t="str">
        <f>IFERROR(__xludf.DUMMYFUNCTION("""COMPUTED_VALUE"""),"Very Good")</f>
        <v>Very Good</v>
      </c>
      <c r="AA3478" s="182" t="str">
        <f>IFERROR(__xludf.DUMMYFUNCTION("""COMPUTED_VALUE"""),"Excellent")</f>
        <v>Excellent</v>
      </c>
      <c r="AB3478" s="182" t="str">
        <f>IFERROR(__xludf.DUMMYFUNCTION("""COMPUTED_VALUE"""),"Excellent")</f>
        <v>Excellent</v>
      </c>
      <c r="AC3478" s="183"/>
      <c r="AD3478" s="183"/>
      <c r="AE3478" s="183"/>
      <c r="AF3478" s="184"/>
      <c r="AG3478" s="180"/>
      <c r="AH3478" s="185">
        <f>IFERROR(__xludf.DUMMYFUNCTION("""COMPUTED_VALUE"""),43264.515598101854)</f>
        <v>43264.5156</v>
      </c>
      <c r="AI3478" s="182"/>
      <c r="AJ3478" s="182"/>
      <c r="AK3478" s="182"/>
      <c r="AL3478" s="182"/>
    </row>
    <row r="3479" ht="20.25" customHeight="1">
      <c r="A3479" s="169" t="str">
        <f>IFERROR(__xludf.DUMMYFUNCTION("""COMPUTED_VALUE"""),"michael")</f>
        <v>michael</v>
      </c>
      <c r="B3479" s="170" t="str">
        <f>IFERROR(__xludf.DUMMYFUNCTION("""COMPUTED_VALUE"""),"San Francisco Bay Area")</f>
        <v>San Francisco Bay Area</v>
      </c>
      <c r="C3479" s="170" t="str">
        <f>IFERROR(__xludf.DUMMYFUNCTION("""COMPUTED_VALUE"""),"CA")</f>
        <v>CA</v>
      </c>
      <c r="D3479" s="170" t="str">
        <f>IFERROR(__xludf.DUMMYFUNCTION("""COMPUTED_VALUE"""),"USA")</f>
        <v>USA</v>
      </c>
      <c r="E3479" s="171">
        <f>IFERROR(__xludf.DUMMYFUNCTION("""COMPUTED_VALUE"""),43208.0)</f>
        <v>43208</v>
      </c>
      <c r="F3479" s="172">
        <f>IFERROR(__xludf.DUMMYFUNCTION("""COMPUTED_VALUE"""),43234.0)</f>
        <v>43234</v>
      </c>
      <c r="G3479" s="173"/>
      <c r="H3479" s="174">
        <f>IFERROR(__xludf.DUMMYFUNCTION("""COMPUTED_VALUE"""),22055.0)</f>
        <v>22055</v>
      </c>
      <c r="I3479" s="175"/>
      <c r="J3479" s="172">
        <f>IFERROR(__xludf.DUMMYFUNCTION("""COMPUTED_VALUE"""),43239.0)</f>
        <v>43239</v>
      </c>
      <c r="K3479" s="176">
        <f>IFERROR(__xludf.DUMMYFUNCTION("""COMPUTED_VALUE"""),26.0)</f>
        <v>26</v>
      </c>
      <c r="L3479" s="176">
        <f>IFERROR(__xludf.DUMMYFUNCTION("""COMPUTED_VALUE"""),5.0)</f>
        <v>5</v>
      </c>
      <c r="M3479" s="176">
        <f>IFERROR(__xludf.DUMMYFUNCTION("""COMPUTED_VALUE"""),31.0)</f>
        <v>31</v>
      </c>
      <c r="N3479" s="177" t="str">
        <f>IFERROR(__xludf.DUMMYFUNCTION("""COMPUTED_VALUE"""),"Model 3 LR")</f>
        <v>Model 3 LR</v>
      </c>
      <c r="O3479" s="177" t="str">
        <f>IFERROR(__xludf.DUMMYFUNCTION("""COMPUTED_VALUE"""),"Silver Metallic")</f>
        <v>Silver Metallic</v>
      </c>
      <c r="P3479" s="178" t="str">
        <f>IFERROR(__xludf.DUMMYFUNCTION("""COMPUTED_VALUE"""),"18 inch Aero")</f>
        <v>18 inch Aero</v>
      </c>
      <c r="Q3479" s="177" t="str">
        <f>IFERROR(__xludf.DUMMYFUNCTION("""COMPUTED_VALUE"""),"Black seats")</f>
        <v>Black seats</v>
      </c>
      <c r="R3479" s="170" t="str">
        <f>IFERROR(__xludf.DUMMYFUNCTION("""COMPUTED_VALUE"""),"Enhanced Autopilot")</f>
        <v>Enhanced Autopilot</v>
      </c>
      <c r="S3479" s="170"/>
      <c r="T3479" s="179"/>
      <c r="U3479" s="179"/>
      <c r="V3479" s="179"/>
      <c r="W3479" s="180"/>
      <c r="X3479" s="181" t="str">
        <f>IFERROR(__xludf.DUMMYFUNCTION("""COMPUTED_VALUE"""),"Excellent")</f>
        <v>Excellent</v>
      </c>
      <c r="Y3479" s="182" t="str">
        <f>IFERROR(__xludf.DUMMYFUNCTION("""COMPUTED_VALUE"""),"Excellent")</f>
        <v>Excellent</v>
      </c>
      <c r="Z3479" s="182" t="str">
        <f>IFERROR(__xludf.DUMMYFUNCTION("""COMPUTED_VALUE"""),"Excellent")</f>
        <v>Excellent</v>
      </c>
      <c r="AA3479" s="182"/>
      <c r="AB3479" s="182" t="str">
        <f>IFERROR(__xludf.DUMMYFUNCTION("""COMPUTED_VALUE"""),"Excellent")</f>
        <v>Excellent</v>
      </c>
      <c r="AC3479" s="183"/>
      <c r="AD3479" s="183"/>
      <c r="AE3479" s="183"/>
      <c r="AF3479" s="184"/>
      <c r="AG3479" s="180"/>
      <c r="AH3479" s="185">
        <f>IFERROR(__xludf.DUMMYFUNCTION("""COMPUTED_VALUE"""),43241.32051879629)</f>
        <v>43241.32052</v>
      </c>
      <c r="AI3479" s="182"/>
      <c r="AJ3479" s="182"/>
      <c r="AK3479" s="182"/>
      <c r="AL3479" s="182"/>
    </row>
    <row r="3480" ht="20.25" customHeight="1">
      <c r="A3480" s="169" t="str">
        <f>IFERROR(__xludf.DUMMYFUNCTION("""COMPUTED_VALUE"""),"mtv")</f>
        <v>mtv</v>
      </c>
      <c r="B3480" s="170"/>
      <c r="C3480" s="170" t="str">
        <f>IFERROR(__xludf.DUMMYFUNCTION("""COMPUTED_VALUE"""),"CA")</f>
        <v>CA</v>
      </c>
      <c r="D3480" s="170" t="str">
        <f>IFERROR(__xludf.DUMMYFUNCTION("""COMPUTED_VALUE"""),"USA")</f>
        <v>USA</v>
      </c>
      <c r="E3480" s="171">
        <f>IFERROR(__xludf.DUMMYFUNCTION("""COMPUTED_VALUE"""),43208.0)</f>
        <v>43208</v>
      </c>
      <c r="F3480" s="172">
        <f>IFERROR(__xludf.DUMMYFUNCTION("""COMPUTED_VALUE"""),43242.0)</f>
        <v>43242</v>
      </c>
      <c r="G3480" s="173"/>
      <c r="H3480" s="174">
        <f>IFERROR(__xludf.DUMMYFUNCTION("""COMPUTED_VALUE"""),24855.0)</f>
        <v>24855</v>
      </c>
      <c r="I3480" s="175"/>
      <c r="J3480" s="172">
        <f>IFERROR(__xludf.DUMMYFUNCTION("""COMPUTED_VALUE"""),43256.0)</f>
        <v>43256</v>
      </c>
      <c r="K3480" s="176">
        <f>IFERROR(__xludf.DUMMYFUNCTION("""COMPUTED_VALUE"""),34.0)</f>
        <v>34</v>
      </c>
      <c r="L3480" s="176">
        <f>IFERROR(__xludf.DUMMYFUNCTION("""COMPUTED_VALUE"""),14.0)</f>
        <v>14</v>
      </c>
      <c r="M3480" s="176">
        <f>IFERROR(__xludf.DUMMYFUNCTION("""COMPUTED_VALUE"""),48.0)</f>
        <v>48</v>
      </c>
      <c r="N3480" s="177" t="str">
        <f>IFERROR(__xludf.DUMMYFUNCTION("""COMPUTED_VALUE"""),"Model 3 LR")</f>
        <v>Model 3 LR</v>
      </c>
      <c r="O3480" s="177" t="str">
        <f>IFERROR(__xludf.DUMMYFUNCTION("""COMPUTED_VALUE"""),"Deep Blue Metallic")</f>
        <v>Deep Blue Metallic</v>
      </c>
      <c r="P3480" s="178" t="str">
        <f>IFERROR(__xludf.DUMMYFUNCTION("""COMPUTED_VALUE"""),"19 inch Sport")</f>
        <v>19 inch Sport</v>
      </c>
      <c r="Q3480" s="177" t="str">
        <f>IFERROR(__xludf.DUMMYFUNCTION("""COMPUTED_VALUE"""),"Black seats")</f>
        <v>Black seats</v>
      </c>
      <c r="R3480" s="170" t="str">
        <f>IFERROR(__xludf.DUMMYFUNCTION("""COMPUTED_VALUE"""),"None")</f>
        <v>None</v>
      </c>
      <c r="S3480" s="170"/>
      <c r="T3480" s="179"/>
      <c r="U3480" s="179"/>
      <c r="V3480" s="179"/>
      <c r="W3480" s="180"/>
      <c r="X3480" s="181" t="str">
        <f>IFERROR(__xludf.DUMMYFUNCTION("""COMPUTED_VALUE"""),"Excellent")</f>
        <v>Excellent</v>
      </c>
      <c r="Y3480" s="182" t="str">
        <f>IFERROR(__xludf.DUMMYFUNCTION("""COMPUTED_VALUE"""),"Excellent")</f>
        <v>Excellent</v>
      </c>
      <c r="Z3480" s="182" t="str">
        <f>IFERROR(__xludf.DUMMYFUNCTION("""COMPUTED_VALUE"""),"Very Good")</f>
        <v>Very Good</v>
      </c>
      <c r="AA3480" s="182" t="str">
        <f>IFERROR(__xludf.DUMMYFUNCTION("""COMPUTED_VALUE"""),"Excellent")</f>
        <v>Excellent</v>
      </c>
      <c r="AB3480" s="182" t="str">
        <f>IFERROR(__xludf.DUMMYFUNCTION("""COMPUTED_VALUE"""),"Excellent")</f>
        <v>Excellent</v>
      </c>
      <c r="AC3480" s="183"/>
      <c r="AD3480" s="183"/>
      <c r="AE3480" s="183"/>
      <c r="AF3480" s="184"/>
      <c r="AG3480" s="180"/>
      <c r="AH3480" s="185">
        <f>IFERROR(__xludf.DUMMYFUNCTION("""COMPUTED_VALUE"""),43256.716189618055)</f>
        <v>43256.71619</v>
      </c>
      <c r="AI3480" s="182"/>
      <c r="AJ3480" s="182"/>
      <c r="AK3480" s="182"/>
      <c r="AL3480" s="182"/>
    </row>
    <row r="3481" ht="20.25" customHeight="1">
      <c r="A3481" s="169" t="str">
        <f>IFERROR(__xludf.DUMMYFUNCTION("""COMPUTED_VALUE"""),"natebrownohio")</f>
        <v>natebrownohio</v>
      </c>
      <c r="B3481" s="170" t="str">
        <f>IFERROR(__xludf.DUMMYFUNCTION("""COMPUTED_VALUE"""),"Worthington")</f>
        <v>Worthington</v>
      </c>
      <c r="C3481" s="170" t="str">
        <f>IFERROR(__xludf.DUMMYFUNCTION("""COMPUTED_VALUE"""),"OH")</f>
        <v>OH</v>
      </c>
      <c r="D3481" s="170" t="str">
        <f>IFERROR(__xludf.DUMMYFUNCTION("""COMPUTED_VALUE"""),"USA")</f>
        <v>USA</v>
      </c>
      <c r="E3481" s="171">
        <f>IFERROR(__xludf.DUMMYFUNCTION("""COMPUTED_VALUE"""),43208.0)</f>
        <v>43208</v>
      </c>
      <c r="F3481" s="172">
        <f>IFERROR(__xludf.DUMMYFUNCTION("""COMPUTED_VALUE"""),43231.0)</f>
        <v>43231</v>
      </c>
      <c r="G3481" s="173"/>
      <c r="H3481" s="174">
        <f>IFERROR(__xludf.DUMMYFUNCTION("""COMPUTED_VALUE"""),21984.0)</f>
        <v>21984</v>
      </c>
      <c r="I3481" s="175" t="str">
        <f>IFERROR(__xludf.DUMMYFUNCTION("""COMPUTED_VALUE"""),"05/18")</f>
        <v>05/18</v>
      </c>
      <c r="J3481" s="172">
        <f>IFERROR(__xludf.DUMMYFUNCTION("""COMPUTED_VALUE"""),43257.0)</f>
        <v>43257</v>
      </c>
      <c r="K3481" s="176">
        <f>IFERROR(__xludf.DUMMYFUNCTION("""COMPUTED_VALUE"""),23.0)</f>
        <v>23</v>
      </c>
      <c r="L3481" s="176">
        <f>IFERROR(__xludf.DUMMYFUNCTION("""COMPUTED_VALUE"""),26.0)</f>
        <v>26</v>
      </c>
      <c r="M3481" s="176">
        <f>IFERROR(__xludf.DUMMYFUNCTION("""COMPUTED_VALUE"""),49.0)</f>
        <v>49</v>
      </c>
      <c r="N3481" s="177" t="str">
        <f>IFERROR(__xludf.DUMMYFUNCTION("""COMPUTED_VALUE"""),"Model 3 LR")</f>
        <v>Model 3 LR</v>
      </c>
      <c r="O3481" s="177" t="str">
        <f>IFERROR(__xludf.DUMMYFUNCTION("""COMPUTED_VALUE"""),"Midnight Silver Metallic")</f>
        <v>Midnight Silver Metallic</v>
      </c>
      <c r="P3481" s="178" t="str">
        <f>IFERROR(__xludf.DUMMYFUNCTION("""COMPUTED_VALUE"""),"18 inch Aero")</f>
        <v>18 inch Aero</v>
      </c>
      <c r="Q3481" s="177" t="str">
        <f>IFERROR(__xludf.DUMMYFUNCTION("""COMPUTED_VALUE"""),"Black seats")</f>
        <v>Black seats</v>
      </c>
      <c r="R3481" s="170" t="str">
        <f>IFERROR(__xludf.DUMMYFUNCTION("""COMPUTED_VALUE"""),"None")</f>
        <v>None</v>
      </c>
      <c r="S3481" s="170"/>
      <c r="T3481" s="179"/>
      <c r="U3481" s="179"/>
      <c r="V3481" s="179"/>
      <c r="W3481" s="180"/>
      <c r="X3481" s="181" t="str">
        <f>IFERROR(__xludf.DUMMYFUNCTION("""COMPUTED_VALUE"""),"Very Good")</f>
        <v>Very Good</v>
      </c>
      <c r="Y3481" s="182" t="str">
        <f>IFERROR(__xludf.DUMMYFUNCTION("""COMPUTED_VALUE"""),"Excellent")</f>
        <v>Excellent</v>
      </c>
      <c r="Z3481" s="182" t="str">
        <f>IFERROR(__xludf.DUMMYFUNCTION("""COMPUTED_VALUE"""),"Excellent")</f>
        <v>Excellent</v>
      </c>
      <c r="AA3481" s="182" t="str">
        <f>IFERROR(__xludf.DUMMYFUNCTION("""COMPUTED_VALUE"""),"Very Good")</f>
        <v>Very Good</v>
      </c>
      <c r="AB3481" s="182" t="str">
        <f>IFERROR(__xludf.DUMMYFUNCTION("""COMPUTED_VALUE"""),"Excellent")</f>
        <v>Excellent</v>
      </c>
      <c r="AC3481" s="183"/>
      <c r="AD3481" s="183"/>
      <c r="AE3481" s="183"/>
      <c r="AF3481" s="184"/>
      <c r="AG3481" s="180" t="str">
        <f>IFERROR(__xludf.DUMMYFUNCTION("""COMPUTED_VALUE"""),"Alliant Credit Union - very easy, great service")</f>
        <v>Alliant Credit Union - very easy, great service</v>
      </c>
      <c r="AH3481" s="185">
        <f>IFERROR(__xludf.DUMMYFUNCTION("""COMPUTED_VALUE"""),43257.84165354167)</f>
        <v>43257.84165</v>
      </c>
      <c r="AI3481" s="182"/>
      <c r="AJ3481" s="182"/>
      <c r="AK3481" s="182"/>
      <c r="AL3481" s="182"/>
    </row>
    <row r="3482" ht="20.25" customHeight="1">
      <c r="A3482" s="169" t="str">
        <f>IFERROR(__xludf.DUMMYFUNCTION("""COMPUTED_VALUE"""),"nccal")</f>
        <v>nccal</v>
      </c>
      <c r="B3482" s="170" t="str">
        <f>IFERROR(__xludf.DUMMYFUNCTION("""COMPUTED_VALUE"""),"Raleigh")</f>
        <v>Raleigh</v>
      </c>
      <c r="C3482" s="170" t="str">
        <f>IFERROR(__xludf.DUMMYFUNCTION("""COMPUTED_VALUE"""),"NC")</f>
        <v>NC</v>
      </c>
      <c r="D3482" s="170" t="str">
        <f>IFERROR(__xludf.DUMMYFUNCTION("""COMPUTED_VALUE"""),"USA")</f>
        <v>USA</v>
      </c>
      <c r="E3482" s="171">
        <f>IFERROR(__xludf.DUMMYFUNCTION("""COMPUTED_VALUE"""),43208.0)</f>
        <v>43208</v>
      </c>
      <c r="F3482" s="172">
        <f>IFERROR(__xludf.DUMMYFUNCTION("""COMPUTED_VALUE"""),43231.0)</f>
        <v>43231</v>
      </c>
      <c r="G3482" s="173"/>
      <c r="H3482" s="174">
        <f>IFERROR(__xludf.DUMMYFUNCTION("""COMPUTED_VALUE"""),25955.0)</f>
        <v>25955</v>
      </c>
      <c r="I3482" s="175"/>
      <c r="J3482" s="172">
        <f>IFERROR(__xludf.DUMMYFUNCTION("""COMPUTED_VALUE"""),43253.0)</f>
        <v>43253</v>
      </c>
      <c r="K3482" s="176">
        <f>IFERROR(__xludf.DUMMYFUNCTION("""COMPUTED_VALUE"""),23.0)</f>
        <v>23</v>
      </c>
      <c r="L3482" s="176">
        <f>IFERROR(__xludf.DUMMYFUNCTION("""COMPUTED_VALUE"""),22.0)</f>
        <v>22</v>
      </c>
      <c r="M3482" s="176">
        <f>IFERROR(__xludf.DUMMYFUNCTION("""COMPUTED_VALUE"""),45.0)</f>
        <v>45</v>
      </c>
      <c r="N3482" s="177" t="str">
        <f>IFERROR(__xludf.DUMMYFUNCTION("""COMPUTED_VALUE"""),"Model 3 LR")</f>
        <v>Model 3 LR</v>
      </c>
      <c r="O3482" s="177" t="str">
        <f>IFERROR(__xludf.DUMMYFUNCTION("""COMPUTED_VALUE"""),"Red Multi-Coat")</f>
        <v>Red Multi-Coat</v>
      </c>
      <c r="P3482" s="178" t="str">
        <f>IFERROR(__xludf.DUMMYFUNCTION("""COMPUTED_VALUE"""),"18 inch Aero")</f>
        <v>18 inch Aero</v>
      </c>
      <c r="Q3482" s="177" t="str">
        <f>IFERROR(__xludf.DUMMYFUNCTION("""COMPUTED_VALUE"""),"Black seats")</f>
        <v>Black seats</v>
      </c>
      <c r="R3482" s="170" t="str">
        <f>IFERROR(__xludf.DUMMYFUNCTION("""COMPUTED_VALUE"""),"Enhanced Autopilot")</f>
        <v>Enhanced Autopilot</v>
      </c>
      <c r="S3482" s="170"/>
      <c r="T3482" s="179"/>
      <c r="U3482" s="179"/>
      <c r="V3482" s="179"/>
      <c r="W3482" s="180"/>
      <c r="X3482" s="181" t="str">
        <f>IFERROR(__xludf.DUMMYFUNCTION("""COMPUTED_VALUE"""),"Excellent")</f>
        <v>Excellent</v>
      </c>
      <c r="Y3482" s="182" t="str">
        <f>IFERROR(__xludf.DUMMYFUNCTION("""COMPUTED_VALUE"""),"Excellent")</f>
        <v>Excellent</v>
      </c>
      <c r="Z3482" s="182" t="str">
        <f>IFERROR(__xludf.DUMMYFUNCTION("""COMPUTED_VALUE"""),"Excellent")</f>
        <v>Excellent</v>
      </c>
      <c r="AA3482" s="182" t="str">
        <f>IFERROR(__xludf.DUMMYFUNCTION("""COMPUTED_VALUE"""),"Excellent")</f>
        <v>Excellent</v>
      </c>
      <c r="AB3482" s="182" t="str">
        <f>IFERROR(__xludf.DUMMYFUNCTION("""COMPUTED_VALUE"""),"Excellent")</f>
        <v>Excellent</v>
      </c>
      <c r="AC3482" s="183"/>
      <c r="AD3482" s="183"/>
      <c r="AE3482" s="183"/>
      <c r="AF3482" s="184"/>
      <c r="AG3482" s="180" t="str">
        <f>IFERROR(__xludf.DUMMYFUNCTION("""COMPUTED_VALUE"""),"TESLA NC GROUP: https://www.facebook.com/groups/TeslaOwnersClubNC/")</f>
        <v>TESLA NC GROUP: https://www.facebook.com/groups/TeslaOwnersClubNC/</v>
      </c>
      <c r="AH3482" s="185">
        <f>IFERROR(__xludf.DUMMYFUNCTION("""COMPUTED_VALUE"""),43254.261218692125)</f>
        <v>43254.26122</v>
      </c>
      <c r="AI3482" s="182"/>
      <c r="AJ3482" s="182"/>
      <c r="AK3482" s="182"/>
      <c r="AL3482" s="182"/>
    </row>
    <row r="3483" ht="20.25" customHeight="1">
      <c r="A3483" s="169" t="str">
        <f>IFERROR(__xludf.DUMMYFUNCTION("""COMPUTED_VALUE"""),"ncsmith4 ")</f>
        <v>ncsmith4 </v>
      </c>
      <c r="B3483" s="170" t="str">
        <f>IFERROR(__xludf.DUMMYFUNCTION("""COMPUTED_VALUE"""),"Los Angeles")</f>
        <v>Los Angeles</v>
      </c>
      <c r="C3483" s="170" t="str">
        <f>IFERROR(__xludf.DUMMYFUNCTION("""COMPUTED_VALUE"""),"CA")</f>
        <v>CA</v>
      </c>
      <c r="D3483" s="170" t="str">
        <f>IFERROR(__xludf.DUMMYFUNCTION("""COMPUTED_VALUE"""),"USA")</f>
        <v>USA</v>
      </c>
      <c r="E3483" s="171">
        <f>IFERROR(__xludf.DUMMYFUNCTION("""COMPUTED_VALUE"""),43208.0)</f>
        <v>43208</v>
      </c>
      <c r="F3483" s="172">
        <f>IFERROR(__xludf.DUMMYFUNCTION("""COMPUTED_VALUE"""),43241.0)</f>
        <v>43241</v>
      </c>
      <c r="G3483" s="173"/>
      <c r="H3483" s="174">
        <f>IFERROR(__xludf.DUMMYFUNCTION("""COMPUTED_VALUE"""),21355.0)</f>
        <v>21355</v>
      </c>
      <c r="I3483" s="175"/>
      <c r="J3483" s="172">
        <f>IFERROR(__xludf.DUMMYFUNCTION("""COMPUTED_VALUE"""),43249.0)</f>
        <v>43249</v>
      </c>
      <c r="K3483" s="176">
        <f>IFERROR(__xludf.DUMMYFUNCTION("""COMPUTED_VALUE"""),33.0)</f>
        <v>33</v>
      </c>
      <c r="L3483" s="176">
        <f>IFERROR(__xludf.DUMMYFUNCTION("""COMPUTED_VALUE"""),8.0)</f>
        <v>8</v>
      </c>
      <c r="M3483" s="176">
        <f>IFERROR(__xludf.DUMMYFUNCTION("""COMPUTED_VALUE"""),41.0)</f>
        <v>41</v>
      </c>
      <c r="N3483" s="177" t="str">
        <f>IFERROR(__xludf.DUMMYFUNCTION("""COMPUTED_VALUE"""),"Model 3 LR")</f>
        <v>Model 3 LR</v>
      </c>
      <c r="O3483" s="177" t="str">
        <f>IFERROR(__xludf.DUMMYFUNCTION("""COMPUTED_VALUE"""),"Midnight Silver Metallic")</f>
        <v>Midnight Silver Metallic</v>
      </c>
      <c r="P3483" s="178" t="str">
        <f>IFERROR(__xludf.DUMMYFUNCTION("""COMPUTED_VALUE"""),"18 inch Aero")</f>
        <v>18 inch Aero</v>
      </c>
      <c r="Q3483" s="177" t="str">
        <f>IFERROR(__xludf.DUMMYFUNCTION("""COMPUTED_VALUE"""),"Black seats")</f>
        <v>Black seats</v>
      </c>
      <c r="R3483" s="170" t="str">
        <f>IFERROR(__xludf.DUMMYFUNCTION("""COMPUTED_VALUE"""),"Enhanced Autopilot")</f>
        <v>Enhanced Autopilot</v>
      </c>
      <c r="S3483" s="170"/>
      <c r="T3483" s="179"/>
      <c r="U3483" s="179"/>
      <c r="V3483" s="179"/>
      <c r="W3483" s="180"/>
      <c r="X3483" s="181" t="str">
        <f>IFERROR(__xludf.DUMMYFUNCTION("""COMPUTED_VALUE"""),"Excellent")</f>
        <v>Excellent</v>
      </c>
      <c r="Y3483" s="182" t="str">
        <f>IFERROR(__xludf.DUMMYFUNCTION("""COMPUTED_VALUE"""),"Excellent")</f>
        <v>Excellent</v>
      </c>
      <c r="Z3483" s="182" t="str">
        <f>IFERROR(__xludf.DUMMYFUNCTION("""COMPUTED_VALUE"""),"Excellent")</f>
        <v>Excellent</v>
      </c>
      <c r="AA3483" s="182" t="str">
        <f>IFERROR(__xludf.DUMMYFUNCTION("""COMPUTED_VALUE"""),"Excellent")</f>
        <v>Excellent</v>
      </c>
      <c r="AB3483" s="182" t="str">
        <f>IFERROR(__xludf.DUMMYFUNCTION("""COMPUTED_VALUE"""),"Excellent")</f>
        <v>Excellent</v>
      </c>
      <c r="AC3483" s="183"/>
      <c r="AD3483" s="183"/>
      <c r="AE3483" s="183"/>
      <c r="AF3483" s="184"/>
      <c r="AG3483" s="180"/>
      <c r="AH3483" s="185">
        <f>IFERROR(__xludf.DUMMYFUNCTION("""COMPUTED_VALUE"""),43249.85838936343)</f>
        <v>43249.85839</v>
      </c>
      <c r="AI3483" s="182"/>
      <c r="AJ3483" s="182"/>
      <c r="AK3483" s="182"/>
      <c r="AL3483" s="182"/>
    </row>
    <row r="3484" ht="20.25" customHeight="1">
      <c r="A3484" s="169" t="str">
        <f>IFERROR(__xludf.DUMMYFUNCTION("""COMPUTED_VALUE"""),"PhilipModel3")</f>
        <v>PhilipModel3</v>
      </c>
      <c r="B3484" s="170" t="str">
        <f>IFERROR(__xludf.DUMMYFUNCTION("""COMPUTED_VALUE"""),"Cupertino")</f>
        <v>Cupertino</v>
      </c>
      <c r="C3484" s="170" t="str">
        <f>IFERROR(__xludf.DUMMYFUNCTION("""COMPUTED_VALUE"""),"CA")</f>
        <v>CA</v>
      </c>
      <c r="D3484" s="170" t="str">
        <f>IFERROR(__xludf.DUMMYFUNCTION("""COMPUTED_VALUE"""),"USA")</f>
        <v>USA</v>
      </c>
      <c r="E3484" s="171">
        <f>IFERROR(__xludf.DUMMYFUNCTION("""COMPUTED_VALUE"""),43208.0)</f>
        <v>43208</v>
      </c>
      <c r="F3484" s="172">
        <f>IFERROR(__xludf.DUMMYFUNCTION("""COMPUTED_VALUE"""),43243.0)</f>
        <v>43243</v>
      </c>
      <c r="G3484" s="173"/>
      <c r="H3484" s="174">
        <f>IFERROR(__xludf.DUMMYFUNCTION("""COMPUTED_VALUE"""),25055.0)</f>
        <v>25055</v>
      </c>
      <c r="I3484" s="175"/>
      <c r="J3484" s="172">
        <f>IFERROR(__xludf.DUMMYFUNCTION("""COMPUTED_VALUE"""),43250.0)</f>
        <v>43250</v>
      </c>
      <c r="K3484" s="176">
        <f>IFERROR(__xludf.DUMMYFUNCTION("""COMPUTED_VALUE"""),35.0)</f>
        <v>35</v>
      </c>
      <c r="L3484" s="176">
        <f>IFERROR(__xludf.DUMMYFUNCTION("""COMPUTED_VALUE"""),7.0)</f>
        <v>7</v>
      </c>
      <c r="M3484" s="176">
        <f>IFERROR(__xludf.DUMMYFUNCTION("""COMPUTED_VALUE"""),42.0)</f>
        <v>42</v>
      </c>
      <c r="N3484" s="177" t="str">
        <f>IFERROR(__xludf.DUMMYFUNCTION("""COMPUTED_VALUE"""),"Model 3 LR")</f>
        <v>Model 3 LR</v>
      </c>
      <c r="O3484" s="177" t="str">
        <f>IFERROR(__xludf.DUMMYFUNCTION("""COMPUTED_VALUE"""),"Pearl White Multi-Coat")</f>
        <v>Pearl White Multi-Coat</v>
      </c>
      <c r="P3484" s="178" t="str">
        <f>IFERROR(__xludf.DUMMYFUNCTION("""COMPUTED_VALUE"""),"19 inch Sport")</f>
        <v>19 inch Sport</v>
      </c>
      <c r="Q3484" s="177" t="str">
        <f>IFERROR(__xludf.DUMMYFUNCTION("""COMPUTED_VALUE"""),"Black seats")</f>
        <v>Black seats</v>
      </c>
      <c r="R3484" s="170" t="str">
        <f>IFERROR(__xludf.DUMMYFUNCTION("""COMPUTED_VALUE"""),"Enhanced Autopilot")</f>
        <v>Enhanced Autopilot</v>
      </c>
      <c r="S3484" s="170"/>
      <c r="T3484" s="179"/>
      <c r="U3484" s="179"/>
      <c r="V3484" s="179"/>
      <c r="W3484" s="180"/>
      <c r="X3484" s="181" t="str">
        <f>IFERROR(__xludf.DUMMYFUNCTION("""COMPUTED_VALUE"""),"Very Good")</f>
        <v>Very Good</v>
      </c>
      <c r="Y3484" s="182" t="str">
        <f>IFERROR(__xludf.DUMMYFUNCTION("""COMPUTED_VALUE"""),"Excellent")</f>
        <v>Excellent</v>
      </c>
      <c r="Z3484" s="182" t="str">
        <f>IFERROR(__xludf.DUMMYFUNCTION("""COMPUTED_VALUE"""),"Excellent")</f>
        <v>Excellent</v>
      </c>
      <c r="AA3484" s="182" t="str">
        <f>IFERROR(__xludf.DUMMYFUNCTION("""COMPUTED_VALUE"""),"Very Good")</f>
        <v>Very Good</v>
      </c>
      <c r="AB3484" s="182" t="str">
        <f>IFERROR(__xludf.DUMMYFUNCTION("""COMPUTED_VALUE"""),"Very Good")</f>
        <v>Very Good</v>
      </c>
      <c r="AC3484" s="183"/>
      <c r="AD3484" s="183"/>
      <c r="AE3484" s="183"/>
      <c r="AF3484" s="184"/>
      <c r="AG3484" s="180"/>
      <c r="AH3484" s="185">
        <f>IFERROR(__xludf.DUMMYFUNCTION("""COMPUTED_VALUE"""),43254.474079375)</f>
        <v>43254.47408</v>
      </c>
      <c r="AI3484" s="182"/>
      <c r="AJ3484" s="182"/>
      <c r="AK3484" s="182"/>
      <c r="AL3484" s="182"/>
    </row>
    <row r="3485" ht="20.25" customHeight="1">
      <c r="A3485" s="169" t="str">
        <f>IFERROR(__xludf.DUMMYFUNCTION("""COMPUTED_VALUE"""),"PUREZX")</f>
        <v>PUREZX</v>
      </c>
      <c r="B3485" s="170" t="str">
        <f>IFERROR(__xludf.DUMMYFUNCTION("""COMPUTED_VALUE"""),"Portland")</f>
        <v>Portland</v>
      </c>
      <c r="C3485" s="170" t="str">
        <f>IFERROR(__xludf.DUMMYFUNCTION("""COMPUTED_VALUE"""),"OR")</f>
        <v>OR</v>
      </c>
      <c r="D3485" s="170" t="str">
        <f>IFERROR(__xludf.DUMMYFUNCTION("""COMPUTED_VALUE"""),"USA")</f>
        <v>USA</v>
      </c>
      <c r="E3485" s="171">
        <f>IFERROR(__xludf.DUMMYFUNCTION("""COMPUTED_VALUE"""),43208.0)</f>
        <v>43208</v>
      </c>
      <c r="F3485" s="172">
        <f>IFERROR(__xludf.DUMMYFUNCTION("""COMPUTED_VALUE"""),43252.0)</f>
        <v>43252</v>
      </c>
      <c r="G3485" s="173"/>
      <c r="H3485" s="174">
        <f>IFERROR(__xludf.DUMMYFUNCTION("""COMPUTED_VALUE"""),26155.0)</f>
        <v>26155</v>
      </c>
      <c r="I3485" s="175"/>
      <c r="J3485" s="172">
        <f>IFERROR(__xludf.DUMMYFUNCTION("""COMPUTED_VALUE"""),43264.0)</f>
        <v>43264</v>
      </c>
      <c r="K3485" s="176">
        <f>IFERROR(__xludf.DUMMYFUNCTION("""COMPUTED_VALUE"""),44.0)</f>
        <v>44</v>
      </c>
      <c r="L3485" s="176">
        <f>IFERROR(__xludf.DUMMYFUNCTION("""COMPUTED_VALUE"""),12.0)</f>
        <v>12</v>
      </c>
      <c r="M3485" s="176">
        <f>IFERROR(__xludf.DUMMYFUNCTION("""COMPUTED_VALUE"""),56.0)</f>
        <v>56</v>
      </c>
      <c r="N3485" s="177" t="str">
        <f>IFERROR(__xludf.DUMMYFUNCTION("""COMPUTED_VALUE"""),"Model 3 LR")</f>
        <v>Model 3 LR</v>
      </c>
      <c r="O3485" s="177" t="str">
        <f>IFERROR(__xludf.DUMMYFUNCTION("""COMPUTED_VALUE"""),"Deep Blue Metallic")</f>
        <v>Deep Blue Metallic</v>
      </c>
      <c r="P3485" s="178" t="str">
        <f>IFERROR(__xludf.DUMMYFUNCTION("""COMPUTED_VALUE"""),"18 inch Aero")</f>
        <v>18 inch Aero</v>
      </c>
      <c r="Q3485" s="177" t="str">
        <f>IFERROR(__xludf.DUMMYFUNCTION("""COMPUTED_VALUE"""),"Black seats")</f>
        <v>Black seats</v>
      </c>
      <c r="R3485" s="170" t="str">
        <f>IFERROR(__xludf.DUMMYFUNCTION("""COMPUTED_VALUE"""),"Enhanced Autopilot")</f>
        <v>Enhanced Autopilot</v>
      </c>
      <c r="S3485" s="170"/>
      <c r="T3485" s="179"/>
      <c r="U3485" s="179"/>
      <c r="V3485" s="179"/>
      <c r="W3485" s="180"/>
      <c r="X3485" s="181" t="str">
        <f>IFERROR(__xludf.DUMMYFUNCTION("""COMPUTED_VALUE"""),"Very Good")</f>
        <v>Very Good</v>
      </c>
      <c r="Y3485" s="182" t="str">
        <f>IFERROR(__xludf.DUMMYFUNCTION("""COMPUTED_VALUE"""),"Very Good")</f>
        <v>Very Good</v>
      </c>
      <c r="Z3485" s="182" t="str">
        <f>IFERROR(__xludf.DUMMYFUNCTION("""COMPUTED_VALUE"""),"Fair")</f>
        <v>Fair</v>
      </c>
      <c r="AA3485" s="182" t="str">
        <f>IFERROR(__xludf.DUMMYFUNCTION("""COMPUTED_VALUE"""),"Good")</f>
        <v>Good</v>
      </c>
      <c r="AB3485" s="182" t="str">
        <f>IFERROR(__xludf.DUMMYFUNCTION("""COMPUTED_VALUE"""),"Poor")</f>
        <v>Poor</v>
      </c>
      <c r="AC3485" s="183"/>
      <c r="AD3485" s="183"/>
      <c r="AE3485" s="183"/>
      <c r="AF3485" s="184"/>
      <c r="AG3485" s="180"/>
      <c r="AH3485" s="185">
        <f>IFERROR(__xludf.DUMMYFUNCTION("""COMPUTED_VALUE"""),43270.86106314815)</f>
        <v>43270.86106</v>
      </c>
      <c r="AI3485" s="182"/>
      <c r="AJ3485" s="182"/>
      <c r="AK3485" s="182"/>
      <c r="AL3485" s="182"/>
    </row>
    <row r="3486" ht="20.25" customHeight="1">
      <c r="A3486" s="169" t="str">
        <f>IFERROR(__xludf.DUMMYFUNCTION("""COMPUTED_VALUE"""),"rhummer")</f>
        <v>rhummer</v>
      </c>
      <c r="B3486" s="170" t="str">
        <f>IFERROR(__xludf.DUMMYFUNCTION("""COMPUTED_VALUE"""),"Madison")</f>
        <v>Madison</v>
      </c>
      <c r="C3486" s="170" t="str">
        <f>IFERROR(__xludf.DUMMYFUNCTION("""COMPUTED_VALUE"""),"WI")</f>
        <v>WI</v>
      </c>
      <c r="D3486" s="170" t="str">
        <f>IFERROR(__xludf.DUMMYFUNCTION("""COMPUTED_VALUE"""),"USA")</f>
        <v>USA</v>
      </c>
      <c r="E3486" s="171">
        <f>IFERROR(__xludf.DUMMYFUNCTION("""COMPUTED_VALUE"""),43208.0)</f>
        <v>43208</v>
      </c>
      <c r="F3486" s="172">
        <f>IFERROR(__xludf.DUMMYFUNCTION("""COMPUTED_VALUE"""),43234.0)</f>
        <v>43234</v>
      </c>
      <c r="G3486" s="173"/>
      <c r="H3486" s="174">
        <f>IFERROR(__xludf.DUMMYFUNCTION("""COMPUTED_VALUE"""),21155.0)</f>
        <v>21155</v>
      </c>
      <c r="I3486" s="175"/>
      <c r="J3486" s="172">
        <f>IFERROR(__xludf.DUMMYFUNCTION("""COMPUTED_VALUE"""),43253.0)</f>
        <v>43253</v>
      </c>
      <c r="K3486" s="176">
        <f>IFERROR(__xludf.DUMMYFUNCTION("""COMPUTED_VALUE"""),26.0)</f>
        <v>26</v>
      </c>
      <c r="L3486" s="176">
        <f>IFERROR(__xludf.DUMMYFUNCTION("""COMPUTED_VALUE"""),19.0)</f>
        <v>19</v>
      </c>
      <c r="M3486" s="176">
        <f>IFERROR(__xludf.DUMMYFUNCTION("""COMPUTED_VALUE"""),45.0)</f>
        <v>45</v>
      </c>
      <c r="N3486" s="177" t="str">
        <f>IFERROR(__xludf.DUMMYFUNCTION("""COMPUTED_VALUE"""),"Model 3 LR")</f>
        <v>Model 3 LR</v>
      </c>
      <c r="O3486" s="177" t="str">
        <f>IFERROR(__xludf.DUMMYFUNCTION("""COMPUTED_VALUE"""),"Midnight Silver Metallic")</f>
        <v>Midnight Silver Metallic</v>
      </c>
      <c r="P3486" s="178" t="str">
        <f>IFERROR(__xludf.DUMMYFUNCTION("""COMPUTED_VALUE"""),"18 inch Aero")</f>
        <v>18 inch Aero</v>
      </c>
      <c r="Q3486" s="177" t="str">
        <f>IFERROR(__xludf.DUMMYFUNCTION("""COMPUTED_VALUE"""),"Black seats")</f>
        <v>Black seats</v>
      </c>
      <c r="R3486" s="170" t="str">
        <f>IFERROR(__xludf.DUMMYFUNCTION("""COMPUTED_VALUE"""),"Enhanced Autopilot")</f>
        <v>Enhanced Autopilot</v>
      </c>
      <c r="S3486" s="170"/>
      <c r="T3486" s="179"/>
      <c r="U3486" s="179"/>
      <c r="V3486" s="179"/>
      <c r="W3486" s="180"/>
      <c r="X3486" s="181" t="str">
        <f>IFERROR(__xludf.DUMMYFUNCTION("""COMPUTED_VALUE"""),"Excellent")</f>
        <v>Excellent</v>
      </c>
      <c r="Y3486" s="182" t="str">
        <f>IFERROR(__xludf.DUMMYFUNCTION("""COMPUTED_VALUE"""),"Excellent")</f>
        <v>Excellent</v>
      </c>
      <c r="Z3486" s="182" t="str">
        <f>IFERROR(__xludf.DUMMYFUNCTION("""COMPUTED_VALUE"""),"Excellent")</f>
        <v>Excellent</v>
      </c>
      <c r="AA3486" s="182" t="str">
        <f>IFERROR(__xludf.DUMMYFUNCTION("""COMPUTED_VALUE"""),"Very Good")</f>
        <v>Very Good</v>
      </c>
      <c r="AB3486" s="182" t="str">
        <f>IFERROR(__xludf.DUMMYFUNCTION("""COMPUTED_VALUE"""),"Excellent")</f>
        <v>Excellent</v>
      </c>
      <c r="AC3486" s="183"/>
      <c r="AD3486" s="183"/>
      <c r="AE3486" s="183"/>
      <c r="AF3486" s="184"/>
      <c r="AG3486" s="180"/>
      <c r="AH3486" s="185">
        <f>IFERROR(__xludf.DUMMYFUNCTION("""COMPUTED_VALUE"""),43254.19539905092)</f>
        <v>43254.1954</v>
      </c>
      <c r="AI3486" s="182"/>
      <c r="AJ3486" s="182"/>
      <c r="AK3486" s="182"/>
      <c r="AL3486" s="182"/>
    </row>
    <row r="3487" ht="20.25" customHeight="1">
      <c r="A3487" s="169" t="str">
        <f>IFERROR(__xludf.DUMMYFUNCTION("""COMPUTED_VALUE"""),"robstak")</f>
        <v>robstak</v>
      </c>
      <c r="B3487" s="170" t="str">
        <f>IFERROR(__xludf.DUMMYFUNCTION("""COMPUTED_VALUE"""),"Upstate New York")</f>
        <v>Upstate New York</v>
      </c>
      <c r="C3487" s="170" t="str">
        <f>IFERROR(__xludf.DUMMYFUNCTION("""COMPUTED_VALUE"""),"NY")</f>
        <v>NY</v>
      </c>
      <c r="D3487" s="170" t="str">
        <f>IFERROR(__xludf.DUMMYFUNCTION("""COMPUTED_VALUE"""),"USA")</f>
        <v>USA</v>
      </c>
      <c r="E3487" s="171">
        <f>IFERROR(__xludf.DUMMYFUNCTION("""COMPUTED_VALUE"""),43208.0)</f>
        <v>43208</v>
      </c>
      <c r="F3487" s="172">
        <f>IFERROR(__xludf.DUMMYFUNCTION("""COMPUTED_VALUE"""),43265.0)</f>
        <v>43265</v>
      </c>
      <c r="G3487" s="173"/>
      <c r="H3487" s="174">
        <f>IFERROR(__xludf.DUMMYFUNCTION("""COMPUTED_VALUE"""),32755.0)</f>
        <v>32755</v>
      </c>
      <c r="I3487" s="175"/>
      <c r="J3487" s="172">
        <f>IFERROR(__xludf.DUMMYFUNCTION("""COMPUTED_VALUE"""),43283.0)</f>
        <v>43283</v>
      </c>
      <c r="K3487" s="176">
        <f>IFERROR(__xludf.DUMMYFUNCTION("""COMPUTED_VALUE"""),57.0)</f>
        <v>57</v>
      </c>
      <c r="L3487" s="176">
        <f>IFERROR(__xludf.DUMMYFUNCTION("""COMPUTED_VALUE"""),18.0)</f>
        <v>18</v>
      </c>
      <c r="M3487" s="176">
        <f>IFERROR(__xludf.DUMMYFUNCTION("""COMPUTED_VALUE"""),75.0)</f>
        <v>75</v>
      </c>
      <c r="N3487" s="177" t="str">
        <f>IFERROR(__xludf.DUMMYFUNCTION("""COMPUTED_VALUE"""),"Model 3 LR")</f>
        <v>Model 3 LR</v>
      </c>
      <c r="O3487" s="177" t="str">
        <f>IFERROR(__xludf.DUMMYFUNCTION("""COMPUTED_VALUE"""),"Midnight Silver Metallic")</f>
        <v>Midnight Silver Metallic</v>
      </c>
      <c r="P3487" s="178" t="str">
        <f>IFERROR(__xludf.DUMMYFUNCTION("""COMPUTED_VALUE"""),"19 inch Sport")</f>
        <v>19 inch Sport</v>
      </c>
      <c r="Q3487" s="177" t="str">
        <f>IFERROR(__xludf.DUMMYFUNCTION("""COMPUTED_VALUE"""),"Black seats")</f>
        <v>Black seats</v>
      </c>
      <c r="R3487" s="170" t="str">
        <f>IFERROR(__xludf.DUMMYFUNCTION("""COMPUTED_VALUE"""),"Enhanced Autopilot")</f>
        <v>Enhanced Autopilot</v>
      </c>
      <c r="S3487" s="170"/>
      <c r="T3487" s="179"/>
      <c r="U3487" s="179"/>
      <c r="V3487" s="179"/>
      <c r="W3487" s="180"/>
      <c r="X3487" s="181" t="str">
        <f>IFERROR(__xludf.DUMMYFUNCTION("""COMPUTED_VALUE"""),"Very Good")</f>
        <v>Very Good</v>
      </c>
      <c r="Y3487" s="182" t="str">
        <f>IFERROR(__xludf.DUMMYFUNCTION("""COMPUTED_VALUE"""),"Excellent")</f>
        <v>Excellent</v>
      </c>
      <c r="Z3487" s="182" t="str">
        <f>IFERROR(__xludf.DUMMYFUNCTION("""COMPUTED_VALUE"""),"Excellent")</f>
        <v>Excellent</v>
      </c>
      <c r="AA3487" s="182" t="str">
        <f>IFERROR(__xludf.DUMMYFUNCTION("""COMPUTED_VALUE"""),"Good")</f>
        <v>Good</v>
      </c>
      <c r="AB3487" s="182" t="str">
        <f>IFERROR(__xludf.DUMMYFUNCTION("""COMPUTED_VALUE"""),"Excellent")</f>
        <v>Excellent</v>
      </c>
      <c r="AC3487" s="183"/>
      <c r="AD3487" s="183"/>
      <c r="AE3487" s="183"/>
      <c r="AF3487" s="184"/>
      <c r="AG3487" s="180"/>
      <c r="AH3487" s="185">
        <f>IFERROR(__xludf.DUMMYFUNCTION("""COMPUTED_VALUE"""),43283.49016208333)</f>
        <v>43283.49016</v>
      </c>
      <c r="AI3487" s="182"/>
      <c r="AJ3487" s="182"/>
      <c r="AK3487" s="182"/>
      <c r="AL3487" s="182"/>
    </row>
    <row r="3488" ht="20.25" customHeight="1">
      <c r="A3488" s="169" t="str">
        <f>IFERROR(__xludf.DUMMYFUNCTION("""COMPUTED_VALUE"""),"runny_yolk")</f>
        <v>runny_yolk</v>
      </c>
      <c r="B3488" s="170"/>
      <c r="C3488" s="170" t="str">
        <f>IFERROR(__xludf.DUMMYFUNCTION("""COMPUTED_VALUE"""),"TX")</f>
        <v>TX</v>
      </c>
      <c r="D3488" s="170" t="str">
        <f>IFERROR(__xludf.DUMMYFUNCTION("""COMPUTED_VALUE"""),"USA")</f>
        <v>USA</v>
      </c>
      <c r="E3488" s="171">
        <f>IFERROR(__xludf.DUMMYFUNCTION("""COMPUTED_VALUE"""),43208.0)</f>
        <v>43208</v>
      </c>
      <c r="F3488" s="172">
        <f>IFERROR(__xludf.DUMMYFUNCTION("""COMPUTED_VALUE"""),43277.0)</f>
        <v>43277</v>
      </c>
      <c r="G3488" s="173"/>
      <c r="H3488" s="174">
        <f>IFERROR(__xludf.DUMMYFUNCTION("""COMPUTED_VALUE"""),34455.0)</f>
        <v>34455</v>
      </c>
      <c r="I3488" s="175"/>
      <c r="J3488" s="172">
        <f>IFERROR(__xludf.DUMMYFUNCTION("""COMPUTED_VALUE"""),43291.0)</f>
        <v>43291</v>
      </c>
      <c r="K3488" s="176">
        <f>IFERROR(__xludf.DUMMYFUNCTION("""COMPUTED_VALUE"""),69.0)</f>
        <v>69</v>
      </c>
      <c r="L3488" s="176">
        <f>IFERROR(__xludf.DUMMYFUNCTION("""COMPUTED_VALUE"""),14.0)</f>
        <v>14</v>
      </c>
      <c r="M3488" s="176">
        <f>IFERROR(__xludf.DUMMYFUNCTION("""COMPUTED_VALUE"""),83.0)</f>
        <v>83</v>
      </c>
      <c r="N3488" s="177" t="str">
        <f>IFERROR(__xludf.DUMMYFUNCTION("""COMPUTED_VALUE"""),"Model 3 LR")</f>
        <v>Model 3 LR</v>
      </c>
      <c r="O3488" s="177" t="str">
        <f>IFERROR(__xludf.DUMMYFUNCTION("""COMPUTED_VALUE"""),"Solid Black")</f>
        <v>Solid Black</v>
      </c>
      <c r="P3488" s="178" t="str">
        <f>IFERROR(__xludf.DUMMYFUNCTION("""COMPUTED_VALUE"""),"18 inch Aero")</f>
        <v>18 inch Aero</v>
      </c>
      <c r="Q3488" s="177" t="str">
        <f>IFERROR(__xludf.DUMMYFUNCTION("""COMPUTED_VALUE"""),"Black seats")</f>
        <v>Black seats</v>
      </c>
      <c r="R3488" s="170" t="str">
        <f>IFERROR(__xludf.DUMMYFUNCTION("""COMPUTED_VALUE"""),"Enhanced Autopilot")</f>
        <v>Enhanced Autopilot</v>
      </c>
      <c r="S3488" s="170"/>
      <c r="T3488" s="179"/>
      <c r="U3488" s="179"/>
      <c r="V3488" s="179"/>
      <c r="W3488" s="180"/>
      <c r="X3488" s="181" t="str">
        <f>IFERROR(__xludf.DUMMYFUNCTION("""COMPUTED_VALUE"""),"Excellent")</f>
        <v>Excellent</v>
      </c>
      <c r="Y3488" s="182" t="str">
        <f>IFERROR(__xludf.DUMMYFUNCTION("""COMPUTED_VALUE"""),"Excellent")</f>
        <v>Excellent</v>
      </c>
      <c r="Z3488" s="182" t="str">
        <f>IFERROR(__xludf.DUMMYFUNCTION("""COMPUTED_VALUE"""),"Excellent")</f>
        <v>Excellent</v>
      </c>
      <c r="AA3488" s="182" t="str">
        <f>IFERROR(__xludf.DUMMYFUNCTION("""COMPUTED_VALUE"""),"Excellent")</f>
        <v>Excellent</v>
      </c>
      <c r="AB3488" s="182" t="str">
        <f>IFERROR(__xludf.DUMMYFUNCTION("""COMPUTED_VALUE"""),"Excellent")</f>
        <v>Excellent</v>
      </c>
      <c r="AC3488" s="183"/>
      <c r="AD3488" s="183"/>
      <c r="AE3488" s="183"/>
      <c r="AF3488" s="184"/>
      <c r="AG3488" s="180"/>
      <c r="AH3488" s="185">
        <f>IFERROR(__xludf.DUMMYFUNCTION("""COMPUTED_VALUE"""),43293.375477685186)</f>
        <v>43293.37548</v>
      </c>
      <c r="AI3488" s="182"/>
      <c r="AJ3488" s="182"/>
      <c r="AK3488" s="182"/>
      <c r="AL3488" s="182"/>
    </row>
    <row r="3489" ht="20.25" customHeight="1">
      <c r="A3489" s="169" t="str">
        <f>IFERROR(__xludf.DUMMYFUNCTION("""COMPUTED_VALUE"""),"SunnyA")</f>
        <v>SunnyA</v>
      </c>
      <c r="B3489" s="170" t="str">
        <f>IFERROR(__xludf.DUMMYFUNCTION("""COMPUTED_VALUE"""),"Saratoga")</f>
        <v>Saratoga</v>
      </c>
      <c r="C3489" s="170" t="str">
        <f>IFERROR(__xludf.DUMMYFUNCTION("""COMPUTED_VALUE"""),"CA")</f>
        <v>CA</v>
      </c>
      <c r="D3489" s="170" t="str">
        <f>IFERROR(__xludf.DUMMYFUNCTION("""COMPUTED_VALUE"""),"USA")</f>
        <v>USA</v>
      </c>
      <c r="E3489" s="171">
        <f>IFERROR(__xludf.DUMMYFUNCTION("""COMPUTED_VALUE"""),43208.0)</f>
        <v>43208</v>
      </c>
      <c r="F3489" s="172">
        <f>IFERROR(__xludf.DUMMYFUNCTION("""COMPUTED_VALUE"""),43252.0)</f>
        <v>43252</v>
      </c>
      <c r="G3489" s="173"/>
      <c r="H3489" s="174">
        <f>IFERROR(__xludf.DUMMYFUNCTION("""COMPUTED_VALUE"""),24645.0)</f>
        <v>24645</v>
      </c>
      <c r="I3489" s="175" t="str">
        <f>IFERROR(__xludf.DUMMYFUNCTION("""COMPUTED_VALUE"""),"04/18")</f>
        <v>04/18</v>
      </c>
      <c r="J3489" s="172">
        <f>IFERROR(__xludf.DUMMYFUNCTION("""COMPUTED_VALUE"""),43257.0)</f>
        <v>43257</v>
      </c>
      <c r="K3489" s="176">
        <f>IFERROR(__xludf.DUMMYFUNCTION("""COMPUTED_VALUE"""),44.0)</f>
        <v>44</v>
      </c>
      <c r="L3489" s="176">
        <f>IFERROR(__xludf.DUMMYFUNCTION("""COMPUTED_VALUE"""),5.0)</f>
        <v>5</v>
      </c>
      <c r="M3489" s="176">
        <f>IFERROR(__xludf.DUMMYFUNCTION("""COMPUTED_VALUE"""),49.0)</f>
        <v>49</v>
      </c>
      <c r="N3489" s="177" t="str">
        <f>IFERROR(__xludf.DUMMYFUNCTION("""COMPUTED_VALUE"""),"Model 3 LR")</f>
        <v>Model 3 LR</v>
      </c>
      <c r="O3489" s="177" t="str">
        <f>IFERROR(__xludf.DUMMYFUNCTION("""COMPUTED_VALUE"""),"Red Multi-Coat")</f>
        <v>Red Multi-Coat</v>
      </c>
      <c r="P3489" s="178" t="str">
        <f>IFERROR(__xludf.DUMMYFUNCTION("""COMPUTED_VALUE"""),"19 inch Sport")</f>
        <v>19 inch Sport</v>
      </c>
      <c r="Q3489" s="177" t="str">
        <f>IFERROR(__xludf.DUMMYFUNCTION("""COMPUTED_VALUE"""),"Black seats")</f>
        <v>Black seats</v>
      </c>
      <c r="R3489" s="170" t="str">
        <f>IFERROR(__xludf.DUMMYFUNCTION("""COMPUTED_VALUE"""),"Full Self-Driving")</f>
        <v>Full Self-Driving</v>
      </c>
      <c r="S3489" s="170"/>
      <c r="T3489" s="179"/>
      <c r="U3489" s="179"/>
      <c r="V3489" s="179"/>
      <c r="W3489" s="180"/>
      <c r="X3489" s="181" t="str">
        <f>IFERROR(__xludf.DUMMYFUNCTION("""COMPUTED_VALUE"""),"Good")</f>
        <v>Good</v>
      </c>
      <c r="Y3489" s="182" t="str">
        <f>IFERROR(__xludf.DUMMYFUNCTION("""COMPUTED_VALUE"""),"Good")</f>
        <v>Good</v>
      </c>
      <c r="Z3489" s="182" t="str">
        <f>IFERROR(__xludf.DUMMYFUNCTION("""COMPUTED_VALUE"""),"Good")</f>
        <v>Good</v>
      </c>
      <c r="AA3489" s="182" t="str">
        <f>IFERROR(__xludf.DUMMYFUNCTION("""COMPUTED_VALUE"""),"Good")</f>
        <v>Good</v>
      </c>
      <c r="AB3489" s="182" t="str">
        <f>IFERROR(__xludf.DUMMYFUNCTION("""COMPUTED_VALUE"""),"Poor")</f>
        <v>Poor</v>
      </c>
      <c r="AC3489" s="183"/>
      <c r="AD3489" s="183"/>
      <c r="AE3489" s="183"/>
      <c r="AF3489" s="184"/>
      <c r="AG3489" s="180"/>
      <c r="AH3489" s="185">
        <f>IFERROR(__xludf.DUMMYFUNCTION("""COMPUTED_VALUE"""),43267.30913841435)</f>
        <v>43267.30914</v>
      </c>
      <c r="AI3489" s="182"/>
      <c r="AJ3489" s="182"/>
      <c r="AK3489" s="182"/>
      <c r="AL3489" s="182"/>
    </row>
    <row r="3490" ht="20.25" customHeight="1">
      <c r="A3490" s="169" t="str">
        <f>IFERROR(__xludf.DUMMYFUNCTION("""COMPUTED_VALUE"""),"thebigkevdogg")</f>
        <v>thebigkevdogg</v>
      </c>
      <c r="B3490" s="170" t="str">
        <f>IFERROR(__xludf.DUMMYFUNCTION("""COMPUTED_VALUE"""),"Los Angeles")</f>
        <v>Los Angeles</v>
      </c>
      <c r="C3490" s="170" t="str">
        <f>IFERROR(__xludf.DUMMYFUNCTION("""COMPUTED_VALUE"""),"CA")</f>
        <v>CA</v>
      </c>
      <c r="D3490" s="170" t="str">
        <f>IFERROR(__xludf.DUMMYFUNCTION("""COMPUTED_VALUE"""),"USA")</f>
        <v>USA</v>
      </c>
      <c r="E3490" s="171">
        <f>IFERROR(__xludf.DUMMYFUNCTION("""COMPUTED_VALUE"""),43208.0)</f>
        <v>43208</v>
      </c>
      <c r="F3490" s="172">
        <f>IFERROR(__xludf.DUMMYFUNCTION("""COMPUTED_VALUE"""),43234.0)</f>
        <v>43234</v>
      </c>
      <c r="G3490" s="173"/>
      <c r="H3490" s="174">
        <f>IFERROR(__xludf.DUMMYFUNCTION("""COMPUTED_VALUE"""),21565.0)</f>
        <v>21565</v>
      </c>
      <c r="I3490" s="175"/>
      <c r="J3490" s="172">
        <f>IFERROR(__xludf.DUMMYFUNCTION("""COMPUTED_VALUE"""),43242.0)</f>
        <v>43242</v>
      </c>
      <c r="K3490" s="176">
        <f>IFERROR(__xludf.DUMMYFUNCTION("""COMPUTED_VALUE"""),26.0)</f>
        <v>26</v>
      </c>
      <c r="L3490" s="176">
        <f>IFERROR(__xludf.DUMMYFUNCTION("""COMPUTED_VALUE"""),8.0)</f>
        <v>8</v>
      </c>
      <c r="M3490" s="176">
        <f>IFERROR(__xludf.DUMMYFUNCTION("""COMPUTED_VALUE"""),34.0)</f>
        <v>34</v>
      </c>
      <c r="N3490" s="177" t="str">
        <f>IFERROR(__xludf.DUMMYFUNCTION("""COMPUTED_VALUE"""),"Model 3 LR")</f>
        <v>Model 3 LR</v>
      </c>
      <c r="O3490" s="177" t="str">
        <f>IFERROR(__xludf.DUMMYFUNCTION("""COMPUTED_VALUE"""),"Midnight Silver Metallic")</f>
        <v>Midnight Silver Metallic</v>
      </c>
      <c r="P3490" s="178" t="str">
        <f>IFERROR(__xludf.DUMMYFUNCTION("""COMPUTED_VALUE"""),"18 inch Aero")</f>
        <v>18 inch Aero</v>
      </c>
      <c r="Q3490" s="177" t="str">
        <f>IFERROR(__xludf.DUMMYFUNCTION("""COMPUTED_VALUE"""),"Black seats")</f>
        <v>Black seats</v>
      </c>
      <c r="R3490" s="170" t="str">
        <f>IFERROR(__xludf.DUMMYFUNCTION("""COMPUTED_VALUE"""),"Enhanced Autopilot")</f>
        <v>Enhanced Autopilot</v>
      </c>
      <c r="S3490" s="170"/>
      <c r="T3490" s="179"/>
      <c r="U3490" s="179"/>
      <c r="V3490" s="179"/>
      <c r="W3490" s="180"/>
      <c r="X3490" s="181" t="str">
        <f>IFERROR(__xludf.DUMMYFUNCTION("""COMPUTED_VALUE"""),"Excellent")</f>
        <v>Excellent</v>
      </c>
      <c r="Y3490" s="182" t="str">
        <f>IFERROR(__xludf.DUMMYFUNCTION("""COMPUTED_VALUE"""),"Excellent")</f>
        <v>Excellent</v>
      </c>
      <c r="Z3490" s="182" t="str">
        <f>IFERROR(__xludf.DUMMYFUNCTION("""COMPUTED_VALUE"""),"Very Good")</f>
        <v>Very Good</v>
      </c>
      <c r="AA3490" s="182"/>
      <c r="AB3490" s="182" t="str">
        <f>IFERROR(__xludf.DUMMYFUNCTION("""COMPUTED_VALUE"""),"Excellent")</f>
        <v>Excellent</v>
      </c>
      <c r="AC3490" s="183"/>
      <c r="AD3490" s="183"/>
      <c r="AE3490" s="183"/>
      <c r="AF3490" s="184"/>
      <c r="AG3490" s="180"/>
      <c r="AH3490" s="185">
        <f>IFERROR(__xludf.DUMMYFUNCTION("""COMPUTED_VALUE"""),43249.391230625)</f>
        <v>43249.39123</v>
      </c>
      <c r="AI3490" s="182"/>
      <c r="AJ3490" s="182"/>
      <c r="AK3490" s="182"/>
      <c r="AL3490" s="182"/>
    </row>
    <row r="3491" ht="20.25" customHeight="1">
      <c r="A3491" s="169" t="str">
        <f>IFERROR(__xludf.DUMMYFUNCTION("""COMPUTED_VALUE"""),"TheDoctor")</f>
        <v>TheDoctor</v>
      </c>
      <c r="B3491" s="170" t="str">
        <f>IFERROR(__xludf.DUMMYFUNCTION("""COMPUTED_VALUE"""),"San Francisco")</f>
        <v>San Francisco</v>
      </c>
      <c r="C3491" s="170" t="str">
        <f>IFERROR(__xludf.DUMMYFUNCTION("""COMPUTED_VALUE"""),"CA")</f>
        <v>CA</v>
      </c>
      <c r="D3491" s="170" t="str">
        <f>IFERROR(__xludf.DUMMYFUNCTION("""COMPUTED_VALUE"""),"USA")</f>
        <v>USA</v>
      </c>
      <c r="E3491" s="171">
        <f>IFERROR(__xludf.DUMMYFUNCTION("""COMPUTED_VALUE"""),43208.0)</f>
        <v>43208</v>
      </c>
      <c r="F3491" s="172">
        <f>IFERROR(__xludf.DUMMYFUNCTION("""COMPUTED_VALUE"""),43291.0)</f>
        <v>43291</v>
      </c>
      <c r="G3491" s="173"/>
      <c r="H3491" s="174">
        <f>IFERROR(__xludf.DUMMYFUNCTION("""COMPUTED_VALUE"""),31855.0)</f>
        <v>31855</v>
      </c>
      <c r="I3491" s="175" t="str">
        <f>IFERROR(__xludf.DUMMYFUNCTION("""COMPUTED_VALUE"""),"06/18")</f>
        <v>06/18</v>
      </c>
      <c r="J3491" s="172">
        <f>IFERROR(__xludf.DUMMYFUNCTION("""COMPUTED_VALUE"""),43296.0)</f>
        <v>43296</v>
      </c>
      <c r="K3491" s="176">
        <f>IFERROR(__xludf.DUMMYFUNCTION("""COMPUTED_VALUE"""),83.0)</f>
        <v>83</v>
      </c>
      <c r="L3491" s="176">
        <f>IFERROR(__xludf.DUMMYFUNCTION("""COMPUTED_VALUE"""),5.0)</f>
        <v>5</v>
      </c>
      <c r="M3491" s="176">
        <f>IFERROR(__xludf.DUMMYFUNCTION("""COMPUTED_VALUE"""),88.0)</f>
        <v>88</v>
      </c>
      <c r="N3491" s="177" t="str">
        <f>IFERROR(__xludf.DUMMYFUNCTION("""COMPUTED_VALUE"""),"Model 3 LR")</f>
        <v>Model 3 LR</v>
      </c>
      <c r="O3491" s="177" t="str">
        <f>IFERROR(__xludf.DUMMYFUNCTION("""COMPUTED_VALUE"""),"Deep Blue Metallic")</f>
        <v>Deep Blue Metallic</v>
      </c>
      <c r="P3491" s="178" t="str">
        <f>IFERROR(__xludf.DUMMYFUNCTION("""COMPUTED_VALUE"""),"18 inch Aero")</f>
        <v>18 inch Aero</v>
      </c>
      <c r="Q3491" s="177" t="str">
        <f>IFERROR(__xludf.DUMMYFUNCTION("""COMPUTED_VALUE"""),"Black seats")</f>
        <v>Black seats</v>
      </c>
      <c r="R3491" s="170" t="str">
        <f>IFERROR(__xludf.DUMMYFUNCTION("""COMPUTED_VALUE"""),"Enhanced Autopilot")</f>
        <v>Enhanced Autopilot</v>
      </c>
      <c r="S3491" s="170"/>
      <c r="T3491" s="179"/>
      <c r="U3491" s="179"/>
      <c r="V3491" s="179"/>
      <c r="W3491" s="180"/>
      <c r="X3491" s="181" t="str">
        <f>IFERROR(__xludf.DUMMYFUNCTION("""COMPUTED_VALUE"""),"Excellent")</f>
        <v>Excellent</v>
      </c>
      <c r="Y3491" s="182" t="str">
        <f>IFERROR(__xludf.DUMMYFUNCTION("""COMPUTED_VALUE"""),"Very Good")</f>
        <v>Very Good</v>
      </c>
      <c r="Z3491" s="182" t="str">
        <f>IFERROR(__xludf.DUMMYFUNCTION("""COMPUTED_VALUE"""),"Good")</f>
        <v>Good</v>
      </c>
      <c r="AA3491" s="182" t="str">
        <f>IFERROR(__xludf.DUMMYFUNCTION("""COMPUTED_VALUE"""),"Good")</f>
        <v>Good</v>
      </c>
      <c r="AB3491" s="182" t="str">
        <f>IFERROR(__xludf.DUMMYFUNCTION("""COMPUTED_VALUE"""),"Excellent")</f>
        <v>Excellent</v>
      </c>
      <c r="AC3491" s="183">
        <f>IFERROR(__xludf.DUMMYFUNCTION("""COMPUTED_VALUE"""),1.0)</f>
        <v>1</v>
      </c>
      <c r="AD3491" s="183"/>
      <c r="AE3491" s="183"/>
      <c r="AF3491" s="184"/>
      <c r="AG3491" s="180" t="str">
        <f>IFERROR(__xludf.DUMMYFUNCTION("""COMPUTED_VALUE"""),"Had to delay delivery until this month.  Previous car (VIN) given away.  New VIN entered.")</f>
        <v>Had to delay delivery until this month.  Previous car (VIN) given away.  New VIN entered.</v>
      </c>
      <c r="AH3491" s="185">
        <f>IFERROR(__xludf.DUMMYFUNCTION("""COMPUTED_VALUE"""),43298.469914270834)</f>
        <v>43298.46991</v>
      </c>
      <c r="AI3491" s="182"/>
      <c r="AJ3491" s="182"/>
      <c r="AK3491" s="182"/>
      <c r="AL3491" s="182"/>
    </row>
    <row r="3492" ht="20.25" customHeight="1">
      <c r="A3492" s="169" t="str">
        <f>IFERROR(__xludf.DUMMYFUNCTION("""COMPUTED_VALUE"""),"this")</f>
        <v>this</v>
      </c>
      <c r="B3492" s="170" t="str">
        <f>IFERROR(__xludf.DUMMYFUNCTION("""COMPUTED_VALUE"""),"Chicago")</f>
        <v>Chicago</v>
      </c>
      <c r="C3492" s="170" t="str">
        <f>IFERROR(__xludf.DUMMYFUNCTION("""COMPUTED_VALUE"""),"IL")</f>
        <v>IL</v>
      </c>
      <c r="D3492" s="170" t="str">
        <f>IFERROR(__xludf.DUMMYFUNCTION("""COMPUTED_VALUE"""),"USA")</f>
        <v>USA</v>
      </c>
      <c r="E3492" s="171">
        <f>IFERROR(__xludf.DUMMYFUNCTION("""COMPUTED_VALUE"""),43208.0)</f>
        <v>43208</v>
      </c>
      <c r="F3492" s="172">
        <f>IFERROR(__xludf.DUMMYFUNCTION("""COMPUTED_VALUE"""),43234.0)</f>
        <v>43234</v>
      </c>
      <c r="G3492" s="173"/>
      <c r="H3492" s="174">
        <f>IFERROR(__xludf.DUMMYFUNCTION("""COMPUTED_VALUE"""),20635.0)</f>
        <v>20635</v>
      </c>
      <c r="I3492" s="175" t="str">
        <f>IFERROR(__xludf.DUMMYFUNCTION("""COMPUTED_VALUE"""),"05/18")</f>
        <v>05/18</v>
      </c>
      <c r="J3492" s="172">
        <f>IFERROR(__xludf.DUMMYFUNCTION("""COMPUTED_VALUE"""),43255.0)</f>
        <v>43255</v>
      </c>
      <c r="K3492" s="176">
        <f>IFERROR(__xludf.DUMMYFUNCTION("""COMPUTED_VALUE"""),26.0)</f>
        <v>26</v>
      </c>
      <c r="L3492" s="176">
        <f>IFERROR(__xludf.DUMMYFUNCTION("""COMPUTED_VALUE"""),21.0)</f>
        <v>21</v>
      </c>
      <c r="M3492" s="176">
        <f>IFERROR(__xludf.DUMMYFUNCTION("""COMPUTED_VALUE"""),47.0)</f>
        <v>47</v>
      </c>
      <c r="N3492" s="177" t="str">
        <f>IFERROR(__xludf.DUMMYFUNCTION("""COMPUTED_VALUE"""),"Model 3 LR")</f>
        <v>Model 3 LR</v>
      </c>
      <c r="O3492" s="177" t="str">
        <f>IFERROR(__xludf.DUMMYFUNCTION("""COMPUTED_VALUE"""),"Solid Black")</f>
        <v>Solid Black</v>
      </c>
      <c r="P3492" s="178" t="str">
        <f>IFERROR(__xludf.DUMMYFUNCTION("""COMPUTED_VALUE"""),"18 inch Aero")</f>
        <v>18 inch Aero</v>
      </c>
      <c r="Q3492" s="177" t="str">
        <f>IFERROR(__xludf.DUMMYFUNCTION("""COMPUTED_VALUE"""),"Black seats")</f>
        <v>Black seats</v>
      </c>
      <c r="R3492" s="170" t="str">
        <f>IFERROR(__xludf.DUMMYFUNCTION("""COMPUTED_VALUE"""),"Enhanced Autopilot")</f>
        <v>Enhanced Autopilot</v>
      </c>
      <c r="S3492" s="170"/>
      <c r="T3492" s="179"/>
      <c r="U3492" s="179"/>
      <c r="V3492" s="179"/>
      <c r="W3492" s="180"/>
      <c r="X3492" s="181" t="str">
        <f>IFERROR(__xludf.DUMMYFUNCTION("""COMPUTED_VALUE"""),"Very Good")</f>
        <v>Very Good</v>
      </c>
      <c r="Y3492" s="182" t="str">
        <f>IFERROR(__xludf.DUMMYFUNCTION("""COMPUTED_VALUE"""),"Fair")</f>
        <v>Fair</v>
      </c>
      <c r="Z3492" s="182" t="str">
        <f>IFERROR(__xludf.DUMMYFUNCTION("""COMPUTED_VALUE"""),"Good")</f>
        <v>Good</v>
      </c>
      <c r="AA3492" s="182" t="str">
        <f>IFERROR(__xludf.DUMMYFUNCTION("""COMPUTED_VALUE"""),"Very Good")</f>
        <v>Very Good</v>
      </c>
      <c r="AB3492" s="182" t="str">
        <f>IFERROR(__xludf.DUMMYFUNCTION("""COMPUTED_VALUE"""),"Excellent")</f>
        <v>Excellent</v>
      </c>
      <c r="AC3492" s="183">
        <f>IFERROR(__xludf.DUMMYFUNCTION("""COMPUTED_VALUE"""),1.0)</f>
        <v>1</v>
      </c>
      <c r="AD3492" s="183">
        <f>IFERROR(__xludf.DUMMYFUNCTION("""COMPUTED_VALUE"""),1.0)</f>
        <v>1</v>
      </c>
      <c r="AE3492" s="183">
        <f>IFERROR(__xludf.DUMMYFUNCTION("""COMPUTED_VALUE"""),12.0)</f>
        <v>12</v>
      </c>
      <c r="AF3492" s="184"/>
      <c r="AG3492" s="180"/>
      <c r="AH3492" s="185">
        <f>IFERROR(__xludf.DUMMYFUNCTION("""COMPUTED_VALUE"""),43299.58712576389)</f>
        <v>43299.58713</v>
      </c>
      <c r="AI3492" s="182"/>
      <c r="AJ3492" s="182"/>
      <c r="AK3492" s="182"/>
      <c r="AL3492" s="182"/>
    </row>
    <row r="3493" ht="20.25" customHeight="1">
      <c r="A3493" s="169" t="str">
        <f>IFERROR(__xludf.DUMMYFUNCTION("""COMPUTED_VALUE"""),"titan0801")</f>
        <v>titan0801</v>
      </c>
      <c r="B3493" s="170" t="str">
        <f>IFERROR(__xludf.DUMMYFUNCTION("""COMPUTED_VALUE"""),"Dallas")</f>
        <v>Dallas</v>
      </c>
      <c r="C3493" s="170" t="str">
        <f>IFERROR(__xludf.DUMMYFUNCTION("""COMPUTED_VALUE"""),"TX")</f>
        <v>TX</v>
      </c>
      <c r="D3493" s="170" t="str">
        <f>IFERROR(__xludf.DUMMYFUNCTION("""COMPUTED_VALUE"""),"USA")</f>
        <v>USA</v>
      </c>
      <c r="E3493" s="171">
        <f>IFERROR(__xludf.DUMMYFUNCTION("""COMPUTED_VALUE"""),43208.0)</f>
        <v>43208</v>
      </c>
      <c r="F3493" s="172">
        <f>IFERROR(__xludf.DUMMYFUNCTION("""COMPUTED_VALUE"""),43269.0)</f>
        <v>43269</v>
      </c>
      <c r="G3493" s="173"/>
      <c r="H3493" s="174">
        <f>IFERROR(__xludf.DUMMYFUNCTION("""COMPUTED_VALUE"""),38455.0)</f>
        <v>38455</v>
      </c>
      <c r="I3493" s="175" t="str">
        <f>IFERROR(__xludf.DUMMYFUNCTION("""COMPUTED_VALUE"""),"06/18")</f>
        <v>06/18</v>
      </c>
      <c r="J3493" s="172">
        <f>IFERROR(__xludf.DUMMYFUNCTION("""COMPUTED_VALUE"""),43288.0)</f>
        <v>43288</v>
      </c>
      <c r="K3493" s="176">
        <f>IFERROR(__xludf.DUMMYFUNCTION("""COMPUTED_VALUE"""),61.0)</f>
        <v>61</v>
      </c>
      <c r="L3493" s="176">
        <f>IFERROR(__xludf.DUMMYFUNCTION("""COMPUTED_VALUE"""),19.0)</f>
        <v>19</v>
      </c>
      <c r="M3493" s="176">
        <f>IFERROR(__xludf.DUMMYFUNCTION("""COMPUTED_VALUE"""),80.0)</f>
        <v>80</v>
      </c>
      <c r="N3493" s="177" t="str">
        <f>IFERROR(__xludf.DUMMYFUNCTION("""COMPUTED_VALUE"""),"Model 3 LR")</f>
        <v>Model 3 LR</v>
      </c>
      <c r="O3493" s="177" t="str">
        <f>IFERROR(__xludf.DUMMYFUNCTION("""COMPUTED_VALUE"""),"Deep Blue Metallic")</f>
        <v>Deep Blue Metallic</v>
      </c>
      <c r="P3493" s="178" t="str">
        <f>IFERROR(__xludf.DUMMYFUNCTION("""COMPUTED_VALUE"""),"18 inch Aero")</f>
        <v>18 inch Aero</v>
      </c>
      <c r="Q3493" s="177" t="str">
        <f>IFERROR(__xludf.DUMMYFUNCTION("""COMPUTED_VALUE"""),"Black seats")</f>
        <v>Black seats</v>
      </c>
      <c r="R3493" s="170" t="str">
        <f>IFERROR(__xludf.DUMMYFUNCTION("""COMPUTED_VALUE"""),"Enhanced Autopilot")</f>
        <v>Enhanced Autopilot</v>
      </c>
      <c r="S3493" s="170"/>
      <c r="T3493" s="179"/>
      <c r="U3493" s="179"/>
      <c r="V3493" s="179"/>
      <c r="W3493" s="180"/>
      <c r="X3493" s="181" t="str">
        <f>IFERROR(__xludf.DUMMYFUNCTION("""COMPUTED_VALUE"""),"Good")</f>
        <v>Good</v>
      </c>
      <c r="Y3493" s="182" t="str">
        <f>IFERROR(__xludf.DUMMYFUNCTION("""COMPUTED_VALUE"""),"Good")</f>
        <v>Good</v>
      </c>
      <c r="Z3493" s="182" t="str">
        <f>IFERROR(__xludf.DUMMYFUNCTION("""COMPUTED_VALUE"""),"Good")</f>
        <v>Good</v>
      </c>
      <c r="AA3493" s="182" t="str">
        <f>IFERROR(__xludf.DUMMYFUNCTION("""COMPUTED_VALUE"""),"Poor")</f>
        <v>Poor</v>
      </c>
      <c r="AB3493" s="182" t="str">
        <f>IFERROR(__xludf.DUMMYFUNCTION("""COMPUTED_VALUE"""),"Poor")</f>
        <v>Poor</v>
      </c>
      <c r="AC3493" s="183"/>
      <c r="AD3493" s="183"/>
      <c r="AE3493" s="183"/>
      <c r="AF3493" s="184"/>
      <c r="AG3493" s="180"/>
      <c r="AH3493" s="185">
        <f>IFERROR(__xludf.DUMMYFUNCTION("""COMPUTED_VALUE"""),43290.70945952547)</f>
        <v>43290.70946</v>
      </c>
      <c r="AI3493" s="182"/>
      <c r="AJ3493" s="182"/>
      <c r="AK3493" s="182"/>
      <c r="AL3493" s="182"/>
    </row>
    <row r="3494" ht="20.25" customHeight="1">
      <c r="A3494" s="169" t="str">
        <f>IFERROR(__xludf.DUMMYFUNCTION("""COMPUTED_VALUE"""),"tivoboy")</f>
        <v>tivoboy</v>
      </c>
      <c r="B3494" s="170" t="str">
        <f>IFERROR(__xludf.DUMMYFUNCTION("""COMPUTED_VALUE"""),"menlo park")</f>
        <v>menlo park</v>
      </c>
      <c r="C3494" s="170" t="str">
        <f>IFERROR(__xludf.DUMMYFUNCTION("""COMPUTED_VALUE"""),"CA")</f>
        <v>CA</v>
      </c>
      <c r="D3494" s="170" t="str">
        <f>IFERROR(__xludf.DUMMYFUNCTION("""COMPUTED_VALUE"""),"USA")</f>
        <v>USA</v>
      </c>
      <c r="E3494" s="171">
        <f>IFERROR(__xludf.DUMMYFUNCTION("""COMPUTED_VALUE"""),43208.0)</f>
        <v>43208</v>
      </c>
      <c r="F3494" s="172">
        <f>IFERROR(__xludf.DUMMYFUNCTION("""COMPUTED_VALUE"""),43243.0)</f>
        <v>43243</v>
      </c>
      <c r="G3494" s="173"/>
      <c r="H3494" s="174">
        <f>IFERROR(__xludf.DUMMYFUNCTION("""COMPUTED_VALUE"""),25755.0)</f>
        <v>25755</v>
      </c>
      <c r="I3494" s="175" t="str">
        <f>IFERROR(__xludf.DUMMYFUNCTION("""COMPUTED_VALUE"""),"05/18")</f>
        <v>05/18</v>
      </c>
      <c r="J3494" s="172">
        <f>IFERROR(__xludf.DUMMYFUNCTION("""COMPUTED_VALUE"""),43252.0)</f>
        <v>43252</v>
      </c>
      <c r="K3494" s="176">
        <f>IFERROR(__xludf.DUMMYFUNCTION("""COMPUTED_VALUE"""),35.0)</f>
        <v>35</v>
      </c>
      <c r="L3494" s="176">
        <f>IFERROR(__xludf.DUMMYFUNCTION("""COMPUTED_VALUE"""),9.0)</f>
        <v>9</v>
      </c>
      <c r="M3494" s="176">
        <f>IFERROR(__xludf.DUMMYFUNCTION("""COMPUTED_VALUE"""),44.0)</f>
        <v>44</v>
      </c>
      <c r="N3494" s="177" t="str">
        <f>IFERROR(__xludf.DUMMYFUNCTION("""COMPUTED_VALUE"""),"Model 3 LR")</f>
        <v>Model 3 LR</v>
      </c>
      <c r="O3494" s="177" t="str">
        <f>IFERROR(__xludf.DUMMYFUNCTION("""COMPUTED_VALUE"""),"Midnight Silver Metallic")</f>
        <v>Midnight Silver Metallic</v>
      </c>
      <c r="P3494" s="178" t="str">
        <f>IFERROR(__xludf.DUMMYFUNCTION("""COMPUTED_VALUE"""),"18 inch Aero")</f>
        <v>18 inch Aero</v>
      </c>
      <c r="Q3494" s="177" t="str">
        <f>IFERROR(__xludf.DUMMYFUNCTION("""COMPUTED_VALUE"""),"Black seats")</f>
        <v>Black seats</v>
      </c>
      <c r="R3494" s="170" t="str">
        <f>IFERROR(__xludf.DUMMYFUNCTION("""COMPUTED_VALUE"""),"Enhanced Autopilot")</f>
        <v>Enhanced Autopilot</v>
      </c>
      <c r="S3494" s="170"/>
      <c r="T3494" s="179"/>
      <c r="U3494" s="179"/>
      <c r="V3494" s="179"/>
      <c r="W3494" s="180"/>
      <c r="X3494" s="181" t="str">
        <f>IFERROR(__xludf.DUMMYFUNCTION("""COMPUTED_VALUE"""),"Excellent")</f>
        <v>Excellent</v>
      </c>
      <c r="Y3494" s="182" t="str">
        <f>IFERROR(__xludf.DUMMYFUNCTION("""COMPUTED_VALUE"""),"Excellent")</f>
        <v>Excellent</v>
      </c>
      <c r="Z3494" s="182" t="str">
        <f>IFERROR(__xludf.DUMMYFUNCTION("""COMPUTED_VALUE"""),"Excellent")</f>
        <v>Excellent</v>
      </c>
      <c r="AA3494" s="182" t="str">
        <f>IFERROR(__xludf.DUMMYFUNCTION("""COMPUTED_VALUE"""),"Good")</f>
        <v>Good</v>
      </c>
      <c r="AB3494" s="182" t="str">
        <f>IFERROR(__xludf.DUMMYFUNCTION("""COMPUTED_VALUE"""),"Very Good")</f>
        <v>Very Good</v>
      </c>
      <c r="AC3494" s="183"/>
      <c r="AD3494" s="183"/>
      <c r="AE3494" s="183"/>
      <c r="AF3494" s="184"/>
      <c r="AG3494" s="180"/>
      <c r="AH3494" s="185">
        <f>IFERROR(__xludf.DUMMYFUNCTION("""COMPUTED_VALUE"""),43268.60737141203)</f>
        <v>43268.60737</v>
      </c>
      <c r="AI3494" s="182"/>
      <c r="AJ3494" s="182"/>
      <c r="AK3494" s="182"/>
      <c r="AL3494" s="182"/>
    </row>
    <row r="3495" ht="20.25" customHeight="1">
      <c r="A3495" s="169" t="str">
        <f>IFERROR(__xludf.DUMMYFUNCTION("""COMPUTED_VALUE"""),"Tony Loprez")</f>
        <v>Tony Loprez</v>
      </c>
      <c r="B3495" s="170" t="str">
        <f>IFERROR(__xludf.DUMMYFUNCTION("""COMPUTED_VALUE"""),"California ")</f>
        <v>California </v>
      </c>
      <c r="C3495" s="170" t="str">
        <f>IFERROR(__xludf.DUMMYFUNCTION("""COMPUTED_VALUE"""),"CA")</f>
        <v>CA</v>
      </c>
      <c r="D3495" s="170" t="str">
        <f>IFERROR(__xludf.DUMMYFUNCTION("""COMPUTED_VALUE"""),"USA")</f>
        <v>USA</v>
      </c>
      <c r="E3495" s="171">
        <f>IFERROR(__xludf.DUMMYFUNCTION("""COMPUTED_VALUE"""),43208.0)</f>
        <v>43208</v>
      </c>
      <c r="F3495" s="172">
        <f>IFERROR(__xludf.DUMMYFUNCTION("""COMPUTED_VALUE"""),43248.0)</f>
        <v>43248</v>
      </c>
      <c r="G3495" s="173"/>
      <c r="H3495" s="174">
        <f>IFERROR(__xludf.DUMMYFUNCTION("""COMPUTED_VALUE"""),18755.0)</f>
        <v>18755</v>
      </c>
      <c r="I3495" s="175"/>
      <c r="J3495" s="172">
        <f>IFERROR(__xludf.DUMMYFUNCTION("""COMPUTED_VALUE"""),43254.0)</f>
        <v>43254</v>
      </c>
      <c r="K3495" s="176">
        <f>IFERROR(__xludf.DUMMYFUNCTION("""COMPUTED_VALUE"""),40.0)</f>
        <v>40</v>
      </c>
      <c r="L3495" s="176">
        <f>IFERROR(__xludf.DUMMYFUNCTION("""COMPUTED_VALUE"""),6.0)</f>
        <v>6</v>
      </c>
      <c r="M3495" s="176">
        <f>IFERROR(__xludf.DUMMYFUNCTION("""COMPUTED_VALUE"""),46.0)</f>
        <v>46</v>
      </c>
      <c r="N3495" s="177" t="str">
        <f>IFERROR(__xludf.DUMMYFUNCTION("""COMPUTED_VALUE"""),"Model 3 LR")</f>
        <v>Model 3 LR</v>
      </c>
      <c r="O3495" s="177" t="str">
        <f>IFERROR(__xludf.DUMMYFUNCTION("""COMPUTED_VALUE"""),"Solid Black")</f>
        <v>Solid Black</v>
      </c>
      <c r="P3495" s="178" t="str">
        <f>IFERROR(__xludf.DUMMYFUNCTION("""COMPUTED_VALUE"""),"18 inch Aero")</f>
        <v>18 inch Aero</v>
      </c>
      <c r="Q3495" s="177" t="str">
        <f>IFERROR(__xludf.DUMMYFUNCTION("""COMPUTED_VALUE"""),"Black seats")</f>
        <v>Black seats</v>
      </c>
      <c r="R3495" s="170" t="str">
        <f>IFERROR(__xludf.DUMMYFUNCTION("""COMPUTED_VALUE"""),"Enhanced Autopilot")</f>
        <v>Enhanced Autopilot</v>
      </c>
      <c r="S3495" s="170"/>
      <c r="T3495" s="179"/>
      <c r="U3495" s="179"/>
      <c r="V3495" s="179"/>
      <c r="W3495" s="180"/>
      <c r="X3495" s="181" t="str">
        <f>IFERROR(__xludf.DUMMYFUNCTION("""COMPUTED_VALUE"""),"Very Good")</f>
        <v>Very Good</v>
      </c>
      <c r="Y3495" s="182" t="str">
        <f>IFERROR(__xludf.DUMMYFUNCTION("""COMPUTED_VALUE"""),"Very Good")</f>
        <v>Very Good</v>
      </c>
      <c r="Z3495" s="182" t="str">
        <f>IFERROR(__xludf.DUMMYFUNCTION("""COMPUTED_VALUE"""),"Good")</f>
        <v>Good</v>
      </c>
      <c r="AA3495" s="182" t="str">
        <f>IFERROR(__xludf.DUMMYFUNCTION("""COMPUTED_VALUE"""),"Good")</f>
        <v>Good</v>
      </c>
      <c r="AB3495" s="182" t="str">
        <f>IFERROR(__xludf.DUMMYFUNCTION("""COMPUTED_VALUE"""),"Good")</f>
        <v>Good</v>
      </c>
      <c r="AC3495" s="183"/>
      <c r="AD3495" s="183"/>
      <c r="AE3495" s="183"/>
      <c r="AF3495" s="184"/>
      <c r="AG3495" s="180"/>
      <c r="AH3495" s="185">
        <f>IFERROR(__xludf.DUMMYFUNCTION("""COMPUTED_VALUE"""),43282.00130068287)</f>
        <v>43282.0013</v>
      </c>
      <c r="AI3495" s="182"/>
      <c r="AJ3495" s="182"/>
      <c r="AK3495" s="182"/>
      <c r="AL3495" s="182"/>
    </row>
    <row r="3496" ht="20.25" customHeight="1">
      <c r="A3496" s="169" t="str">
        <f>IFERROR(__xludf.DUMMYFUNCTION("""COMPUTED_VALUE"""),"Treborn")</f>
        <v>Treborn</v>
      </c>
      <c r="B3496" s="170" t="str">
        <f>IFERROR(__xludf.DUMMYFUNCTION("""COMPUTED_VALUE"""),"Los Angeles")</f>
        <v>Los Angeles</v>
      </c>
      <c r="C3496" s="170" t="str">
        <f>IFERROR(__xludf.DUMMYFUNCTION("""COMPUTED_VALUE"""),"CA")</f>
        <v>CA</v>
      </c>
      <c r="D3496" s="170" t="str">
        <f>IFERROR(__xludf.DUMMYFUNCTION("""COMPUTED_VALUE"""),"USA")</f>
        <v>USA</v>
      </c>
      <c r="E3496" s="171">
        <f>IFERROR(__xludf.DUMMYFUNCTION("""COMPUTED_VALUE"""),43208.0)</f>
        <v>43208</v>
      </c>
      <c r="F3496" s="172">
        <f>IFERROR(__xludf.DUMMYFUNCTION("""COMPUTED_VALUE"""),43242.0)</f>
        <v>43242</v>
      </c>
      <c r="G3496" s="173"/>
      <c r="H3496" s="174">
        <f>IFERROR(__xludf.DUMMYFUNCTION("""COMPUTED_VALUE"""),23255.0)</f>
        <v>23255</v>
      </c>
      <c r="I3496" s="175"/>
      <c r="J3496" s="172">
        <f>IFERROR(__xludf.DUMMYFUNCTION("""COMPUTED_VALUE"""),43250.0)</f>
        <v>43250</v>
      </c>
      <c r="K3496" s="176">
        <f>IFERROR(__xludf.DUMMYFUNCTION("""COMPUTED_VALUE"""),34.0)</f>
        <v>34</v>
      </c>
      <c r="L3496" s="176">
        <f>IFERROR(__xludf.DUMMYFUNCTION("""COMPUTED_VALUE"""),8.0)</f>
        <v>8</v>
      </c>
      <c r="M3496" s="176">
        <f>IFERROR(__xludf.DUMMYFUNCTION("""COMPUTED_VALUE"""),42.0)</f>
        <v>42</v>
      </c>
      <c r="N3496" s="177" t="str">
        <f>IFERROR(__xludf.DUMMYFUNCTION("""COMPUTED_VALUE"""),"Model 3 LR")</f>
        <v>Model 3 LR</v>
      </c>
      <c r="O3496" s="177" t="str">
        <f>IFERROR(__xludf.DUMMYFUNCTION("""COMPUTED_VALUE"""),"Pearl White Multi-Coat")</f>
        <v>Pearl White Multi-Coat</v>
      </c>
      <c r="P3496" s="178" t="str">
        <f>IFERROR(__xludf.DUMMYFUNCTION("""COMPUTED_VALUE"""),"18 inch Aero")</f>
        <v>18 inch Aero</v>
      </c>
      <c r="Q3496" s="177" t="str">
        <f>IFERROR(__xludf.DUMMYFUNCTION("""COMPUTED_VALUE"""),"Black seats")</f>
        <v>Black seats</v>
      </c>
      <c r="R3496" s="170" t="str">
        <f>IFERROR(__xludf.DUMMYFUNCTION("""COMPUTED_VALUE"""),"Full Self-Driving")</f>
        <v>Full Self-Driving</v>
      </c>
      <c r="S3496" s="170"/>
      <c r="T3496" s="179"/>
      <c r="U3496" s="179"/>
      <c r="V3496" s="179"/>
      <c r="W3496" s="180"/>
      <c r="X3496" s="181" t="str">
        <f>IFERROR(__xludf.DUMMYFUNCTION("""COMPUTED_VALUE"""),"Excellent")</f>
        <v>Excellent</v>
      </c>
      <c r="Y3496" s="182" t="str">
        <f>IFERROR(__xludf.DUMMYFUNCTION("""COMPUTED_VALUE"""),"Excellent")</f>
        <v>Excellent</v>
      </c>
      <c r="Z3496" s="182" t="str">
        <f>IFERROR(__xludf.DUMMYFUNCTION("""COMPUTED_VALUE"""),"Excellent")</f>
        <v>Excellent</v>
      </c>
      <c r="AA3496" s="182" t="str">
        <f>IFERROR(__xludf.DUMMYFUNCTION("""COMPUTED_VALUE"""),"Excellent")</f>
        <v>Excellent</v>
      </c>
      <c r="AB3496" s="182" t="str">
        <f>IFERROR(__xludf.DUMMYFUNCTION("""COMPUTED_VALUE"""),"Fair")</f>
        <v>Fair</v>
      </c>
      <c r="AC3496" s="183">
        <f>IFERROR(__xludf.DUMMYFUNCTION("""COMPUTED_VALUE"""),0.0)</f>
        <v>0</v>
      </c>
      <c r="AD3496" s="183">
        <f>IFERROR(__xludf.DUMMYFUNCTION("""COMPUTED_VALUE"""),1.0)</f>
        <v>1</v>
      </c>
      <c r="AE3496" s="183">
        <f>IFERROR(__xludf.DUMMYFUNCTION("""COMPUTED_VALUE"""),2.0)</f>
        <v>2</v>
      </c>
      <c r="AF3496" s="184"/>
      <c r="AG3496" s="180"/>
      <c r="AH3496" s="185">
        <f>IFERROR(__xludf.DUMMYFUNCTION("""COMPUTED_VALUE"""),43326.494447743054)</f>
        <v>43326.49445</v>
      </c>
      <c r="AI3496" s="182"/>
      <c r="AJ3496" s="182"/>
      <c r="AK3496" s="182"/>
      <c r="AL3496" s="182"/>
    </row>
    <row r="3497" ht="20.25" customHeight="1">
      <c r="A3497" s="169" t="str">
        <f>IFERROR(__xludf.DUMMYFUNCTION("""COMPUTED_VALUE"""),"TT97")</f>
        <v>TT97</v>
      </c>
      <c r="B3497" s="170" t="str">
        <f>IFERROR(__xludf.DUMMYFUNCTION("""COMPUTED_VALUE"""),"Los Angeles")</f>
        <v>Los Angeles</v>
      </c>
      <c r="C3497" s="170" t="str">
        <f>IFERROR(__xludf.DUMMYFUNCTION("""COMPUTED_VALUE"""),"CA")</f>
        <v>CA</v>
      </c>
      <c r="D3497" s="170" t="str">
        <f>IFERROR(__xludf.DUMMYFUNCTION("""COMPUTED_VALUE"""),"USA")</f>
        <v>USA</v>
      </c>
      <c r="E3497" s="171">
        <f>IFERROR(__xludf.DUMMYFUNCTION("""COMPUTED_VALUE"""),43208.0)</f>
        <v>43208</v>
      </c>
      <c r="F3497" s="172">
        <f>IFERROR(__xludf.DUMMYFUNCTION("""COMPUTED_VALUE"""),43242.0)</f>
        <v>43242</v>
      </c>
      <c r="G3497" s="173"/>
      <c r="H3497" s="174">
        <f>IFERROR(__xludf.DUMMYFUNCTION("""COMPUTED_VALUE"""),20755.0)</f>
        <v>20755</v>
      </c>
      <c r="I3497" s="175" t="str">
        <f>IFERROR(__xludf.DUMMYFUNCTION("""COMPUTED_VALUE"""),"05/18")</f>
        <v>05/18</v>
      </c>
      <c r="J3497" s="172">
        <f>IFERROR(__xludf.DUMMYFUNCTION("""COMPUTED_VALUE"""),43249.0)</f>
        <v>43249</v>
      </c>
      <c r="K3497" s="176">
        <f>IFERROR(__xludf.DUMMYFUNCTION("""COMPUTED_VALUE"""),34.0)</f>
        <v>34</v>
      </c>
      <c r="L3497" s="176">
        <f>IFERROR(__xludf.DUMMYFUNCTION("""COMPUTED_VALUE"""),7.0)</f>
        <v>7</v>
      </c>
      <c r="M3497" s="176">
        <f>IFERROR(__xludf.DUMMYFUNCTION("""COMPUTED_VALUE"""),41.0)</f>
        <v>41</v>
      </c>
      <c r="N3497" s="177" t="str">
        <f>IFERROR(__xludf.DUMMYFUNCTION("""COMPUTED_VALUE"""),"Model 3 LR")</f>
        <v>Model 3 LR</v>
      </c>
      <c r="O3497" s="177" t="str">
        <f>IFERROR(__xludf.DUMMYFUNCTION("""COMPUTED_VALUE"""),"Solid Black")</f>
        <v>Solid Black</v>
      </c>
      <c r="P3497" s="178" t="str">
        <f>IFERROR(__xludf.DUMMYFUNCTION("""COMPUTED_VALUE"""),"18 inch Aero")</f>
        <v>18 inch Aero</v>
      </c>
      <c r="Q3497" s="177" t="str">
        <f>IFERROR(__xludf.DUMMYFUNCTION("""COMPUTED_VALUE"""),"Black seats")</f>
        <v>Black seats</v>
      </c>
      <c r="R3497" s="170" t="str">
        <f>IFERROR(__xludf.DUMMYFUNCTION("""COMPUTED_VALUE"""),"Full Self-Driving")</f>
        <v>Full Self-Driving</v>
      </c>
      <c r="S3497" s="170"/>
      <c r="T3497" s="179"/>
      <c r="U3497" s="179"/>
      <c r="V3497" s="179"/>
      <c r="W3497" s="180"/>
      <c r="X3497" s="181" t="str">
        <f>IFERROR(__xludf.DUMMYFUNCTION("""COMPUTED_VALUE"""),"Excellent")</f>
        <v>Excellent</v>
      </c>
      <c r="Y3497" s="182" t="str">
        <f>IFERROR(__xludf.DUMMYFUNCTION("""COMPUTED_VALUE"""),"Very Good")</f>
        <v>Very Good</v>
      </c>
      <c r="Z3497" s="182" t="str">
        <f>IFERROR(__xludf.DUMMYFUNCTION("""COMPUTED_VALUE"""),"Excellent")</f>
        <v>Excellent</v>
      </c>
      <c r="AA3497" s="182" t="str">
        <f>IFERROR(__xludf.DUMMYFUNCTION("""COMPUTED_VALUE"""),"Excellent")</f>
        <v>Excellent</v>
      </c>
      <c r="AB3497" s="182" t="str">
        <f>IFERROR(__xludf.DUMMYFUNCTION("""COMPUTED_VALUE"""),"Excellent")</f>
        <v>Excellent</v>
      </c>
      <c r="AC3497" s="183"/>
      <c r="AD3497" s="183"/>
      <c r="AE3497" s="183"/>
      <c r="AF3497" s="184"/>
      <c r="AG3497" s="180"/>
      <c r="AH3497" s="185">
        <f>IFERROR(__xludf.DUMMYFUNCTION("""COMPUTED_VALUE"""),43273.752116192125)</f>
        <v>43273.75212</v>
      </c>
      <c r="AI3497" s="182"/>
      <c r="AJ3497" s="182"/>
      <c r="AK3497" s="182"/>
      <c r="AL3497" s="182"/>
    </row>
    <row r="3498" ht="20.25" customHeight="1">
      <c r="A3498" s="169" t="str">
        <f>IFERROR(__xludf.DUMMYFUNCTION("""COMPUTED_VALUE"""),"warpflyght")</f>
        <v>warpflyght</v>
      </c>
      <c r="B3498" s="170" t="str">
        <f>IFERROR(__xludf.DUMMYFUNCTION("""COMPUTED_VALUE"""),"SF Bay Area")</f>
        <v>SF Bay Area</v>
      </c>
      <c r="C3498" s="170" t="str">
        <f>IFERROR(__xludf.DUMMYFUNCTION("""COMPUTED_VALUE"""),"CA")</f>
        <v>CA</v>
      </c>
      <c r="D3498" s="170" t="str">
        <f>IFERROR(__xludf.DUMMYFUNCTION("""COMPUTED_VALUE"""),"USA")</f>
        <v>USA</v>
      </c>
      <c r="E3498" s="171">
        <f>IFERROR(__xludf.DUMMYFUNCTION("""COMPUTED_VALUE"""),43208.0)</f>
        <v>43208</v>
      </c>
      <c r="F3498" s="172">
        <f>IFERROR(__xludf.DUMMYFUNCTION("""COMPUTED_VALUE"""),43245.0)</f>
        <v>43245</v>
      </c>
      <c r="G3498" s="173"/>
      <c r="H3498" s="174">
        <f>IFERROR(__xludf.DUMMYFUNCTION("""COMPUTED_VALUE"""),26855.0)</f>
        <v>26855</v>
      </c>
      <c r="I3498" s="175"/>
      <c r="J3498" s="172">
        <f>IFERROR(__xludf.DUMMYFUNCTION("""COMPUTED_VALUE"""),43246.0)</f>
        <v>43246</v>
      </c>
      <c r="K3498" s="176">
        <f>IFERROR(__xludf.DUMMYFUNCTION("""COMPUTED_VALUE"""),37.0)</f>
        <v>37</v>
      </c>
      <c r="L3498" s="176">
        <f>IFERROR(__xludf.DUMMYFUNCTION("""COMPUTED_VALUE"""),1.0)</f>
        <v>1</v>
      </c>
      <c r="M3498" s="176">
        <f>IFERROR(__xludf.DUMMYFUNCTION("""COMPUTED_VALUE"""),38.0)</f>
        <v>38</v>
      </c>
      <c r="N3498" s="177" t="str">
        <f>IFERROR(__xludf.DUMMYFUNCTION("""COMPUTED_VALUE"""),"Model 3 LR")</f>
        <v>Model 3 LR</v>
      </c>
      <c r="O3498" s="177" t="str">
        <f>IFERROR(__xludf.DUMMYFUNCTION("""COMPUTED_VALUE"""),"Red Multi-Coat")</f>
        <v>Red Multi-Coat</v>
      </c>
      <c r="P3498" s="178" t="str">
        <f>IFERROR(__xludf.DUMMYFUNCTION("""COMPUTED_VALUE"""),"18 inch Aero")</f>
        <v>18 inch Aero</v>
      </c>
      <c r="Q3498" s="177" t="str">
        <f>IFERROR(__xludf.DUMMYFUNCTION("""COMPUTED_VALUE"""),"Black seats")</f>
        <v>Black seats</v>
      </c>
      <c r="R3498" s="170" t="str">
        <f>IFERROR(__xludf.DUMMYFUNCTION("""COMPUTED_VALUE"""),"Enhanced Autopilot")</f>
        <v>Enhanced Autopilot</v>
      </c>
      <c r="S3498" s="170"/>
      <c r="T3498" s="179"/>
      <c r="U3498" s="179"/>
      <c r="V3498" s="179"/>
      <c r="W3498" s="180"/>
      <c r="X3498" s="181" t="str">
        <f>IFERROR(__xludf.DUMMYFUNCTION("""COMPUTED_VALUE"""),"Good")</f>
        <v>Good</v>
      </c>
      <c r="Y3498" s="182" t="str">
        <f>IFERROR(__xludf.DUMMYFUNCTION("""COMPUTED_VALUE"""),"Excellent")</f>
        <v>Excellent</v>
      </c>
      <c r="Z3498" s="182" t="str">
        <f>IFERROR(__xludf.DUMMYFUNCTION("""COMPUTED_VALUE"""),"Excellent")</f>
        <v>Excellent</v>
      </c>
      <c r="AA3498" s="182" t="str">
        <f>IFERROR(__xludf.DUMMYFUNCTION("""COMPUTED_VALUE"""),"Excellent")</f>
        <v>Excellent</v>
      </c>
      <c r="AB3498" s="182" t="str">
        <f>IFERROR(__xludf.DUMMYFUNCTION("""COMPUTED_VALUE"""),"Excellent")</f>
        <v>Excellent</v>
      </c>
      <c r="AC3498" s="183"/>
      <c r="AD3498" s="183"/>
      <c r="AE3498" s="183"/>
      <c r="AF3498" s="184"/>
      <c r="AG3498" s="180"/>
      <c r="AH3498" s="185">
        <f>IFERROR(__xludf.DUMMYFUNCTION("""COMPUTED_VALUE"""),43249.83076230324)</f>
        <v>43249.83076</v>
      </c>
      <c r="AI3498" s="182"/>
      <c r="AJ3498" s="182"/>
      <c r="AK3498" s="182"/>
      <c r="AL3498" s="182"/>
    </row>
    <row r="3499" ht="20.25" customHeight="1">
      <c r="A3499" s="169" t="str">
        <f>IFERROR(__xludf.DUMMYFUNCTION("""COMPUTED_VALUE"""),"wscornett")</f>
        <v>wscornett</v>
      </c>
      <c r="B3499" s="170" t="str">
        <f>IFERROR(__xludf.DUMMYFUNCTION("""COMPUTED_VALUE"""),"Wichita")</f>
        <v>Wichita</v>
      </c>
      <c r="C3499" s="170" t="str">
        <f>IFERROR(__xludf.DUMMYFUNCTION("""COMPUTED_VALUE"""),"KS")</f>
        <v>KS</v>
      </c>
      <c r="D3499" s="170" t="str">
        <f>IFERROR(__xludf.DUMMYFUNCTION("""COMPUTED_VALUE"""),"USA")</f>
        <v>USA</v>
      </c>
      <c r="E3499" s="171">
        <f>IFERROR(__xludf.DUMMYFUNCTION("""COMPUTED_VALUE"""),43208.0)</f>
        <v>43208</v>
      </c>
      <c r="F3499" s="172">
        <f>IFERROR(__xludf.DUMMYFUNCTION("""COMPUTED_VALUE"""),43231.0)</f>
        <v>43231</v>
      </c>
      <c r="G3499" s="173"/>
      <c r="H3499" s="174">
        <f>IFERROR(__xludf.DUMMYFUNCTION("""COMPUTED_VALUE"""),21855.0)</f>
        <v>21855</v>
      </c>
      <c r="I3499" s="175"/>
      <c r="J3499" s="172">
        <f>IFERROR(__xludf.DUMMYFUNCTION("""COMPUTED_VALUE"""),43252.0)</f>
        <v>43252</v>
      </c>
      <c r="K3499" s="176">
        <f>IFERROR(__xludf.DUMMYFUNCTION("""COMPUTED_VALUE"""),23.0)</f>
        <v>23</v>
      </c>
      <c r="L3499" s="176">
        <f>IFERROR(__xludf.DUMMYFUNCTION("""COMPUTED_VALUE"""),21.0)</f>
        <v>21</v>
      </c>
      <c r="M3499" s="176">
        <f>IFERROR(__xludf.DUMMYFUNCTION("""COMPUTED_VALUE"""),44.0)</f>
        <v>44</v>
      </c>
      <c r="N3499" s="177" t="str">
        <f>IFERROR(__xludf.DUMMYFUNCTION("""COMPUTED_VALUE"""),"Model 3 LR")</f>
        <v>Model 3 LR</v>
      </c>
      <c r="O3499" s="177" t="str">
        <f>IFERROR(__xludf.DUMMYFUNCTION("""COMPUTED_VALUE"""),"Midnight Silver Metallic")</f>
        <v>Midnight Silver Metallic</v>
      </c>
      <c r="P3499" s="178" t="str">
        <f>IFERROR(__xludf.DUMMYFUNCTION("""COMPUTED_VALUE"""),"18 inch Aero")</f>
        <v>18 inch Aero</v>
      </c>
      <c r="Q3499" s="177" t="str">
        <f>IFERROR(__xludf.DUMMYFUNCTION("""COMPUTED_VALUE"""),"Black seats")</f>
        <v>Black seats</v>
      </c>
      <c r="R3499" s="170" t="str">
        <f>IFERROR(__xludf.DUMMYFUNCTION("""COMPUTED_VALUE"""),"Enhanced Autopilot")</f>
        <v>Enhanced Autopilot</v>
      </c>
      <c r="S3499" s="170"/>
      <c r="T3499" s="179"/>
      <c r="U3499" s="179"/>
      <c r="V3499" s="179"/>
      <c r="W3499" s="180"/>
      <c r="X3499" s="181" t="str">
        <f>IFERROR(__xludf.DUMMYFUNCTION("""COMPUTED_VALUE"""),"Very Good")</f>
        <v>Very Good</v>
      </c>
      <c r="Y3499" s="182" t="str">
        <f>IFERROR(__xludf.DUMMYFUNCTION("""COMPUTED_VALUE"""),"Excellent")</f>
        <v>Excellent</v>
      </c>
      <c r="Z3499" s="182" t="str">
        <f>IFERROR(__xludf.DUMMYFUNCTION("""COMPUTED_VALUE"""),"Very Good")</f>
        <v>Very Good</v>
      </c>
      <c r="AA3499" s="182" t="str">
        <f>IFERROR(__xludf.DUMMYFUNCTION("""COMPUTED_VALUE"""),"Good")</f>
        <v>Good</v>
      </c>
      <c r="AB3499" s="182" t="str">
        <f>IFERROR(__xludf.DUMMYFUNCTION("""COMPUTED_VALUE"""),"Very Good")</f>
        <v>Very Good</v>
      </c>
      <c r="AC3499" s="183"/>
      <c r="AD3499" s="183"/>
      <c r="AE3499" s="183"/>
      <c r="AF3499" s="184"/>
      <c r="AG3499" s="180"/>
      <c r="AH3499" s="185">
        <f>IFERROR(__xludf.DUMMYFUNCTION("""COMPUTED_VALUE"""),43252.72130899306)</f>
        <v>43252.72131</v>
      </c>
      <c r="AI3499" s="182"/>
      <c r="AJ3499" s="182"/>
      <c r="AK3499" s="182"/>
      <c r="AL3499" s="182"/>
    </row>
    <row r="3500" ht="20.25" customHeight="1">
      <c r="A3500" s="169" t="str">
        <f>IFERROR(__xludf.DUMMYFUNCTION("""COMPUTED_VALUE"""),"ww3ace")</f>
        <v>ww3ace</v>
      </c>
      <c r="B3500" s="170" t="str">
        <f>IFERROR(__xludf.DUMMYFUNCTION("""COMPUTED_VALUE"""),"San Francisco")</f>
        <v>San Francisco</v>
      </c>
      <c r="C3500" s="170" t="str">
        <f>IFERROR(__xludf.DUMMYFUNCTION("""COMPUTED_VALUE"""),"CA")</f>
        <v>CA</v>
      </c>
      <c r="D3500" s="170" t="str">
        <f>IFERROR(__xludf.DUMMYFUNCTION("""COMPUTED_VALUE"""),"USA")</f>
        <v>USA</v>
      </c>
      <c r="E3500" s="171">
        <f>IFERROR(__xludf.DUMMYFUNCTION("""COMPUTED_VALUE"""),43208.0)</f>
        <v>43208</v>
      </c>
      <c r="F3500" s="172">
        <f>IFERROR(__xludf.DUMMYFUNCTION("""COMPUTED_VALUE"""),43245.0)</f>
        <v>43245</v>
      </c>
      <c r="G3500" s="173"/>
      <c r="H3500" s="174">
        <f>IFERROR(__xludf.DUMMYFUNCTION("""COMPUTED_VALUE"""),23455.0)</f>
        <v>23455</v>
      </c>
      <c r="I3500" s="175"/>
      <c r="J3500" s="172">
        <f>IFERROR(__xludf.DUMMYFUNCTION("""COMPUTED_VALUE"""),43246.0)</f>
        <v>43246</v>
      </c>
      <c r="K3500" s="176">
        <f>IFERROR(__xludf.DUMMYFUNCTION("""COMPUTED_VALUE"""),37.0)</f>
        <v>37</v>
      </c>
      <c r="L3500" s="176">
        <f>IFERROR(__xludf.DUMMYFUNCTION("""COMPUTED_VALUE"""),1.0)</f>
        <v>1</v>
      </c>
      <c r="M3500" s="176">
        <f>IFERROR(__xludf.DUMMYFUNCTION("""COMPUTED_VALUE"""),38.0)</f>
        <v>38</v>
      </c>
      <c r="N3500" s="177" t="str">
        <f>IFERROR(__xludf.DUMMYFUNCTION("""COMPUTED_VALUE"""),"Model 3 LR")</f>
        <v>Model 3 LR</v>
      </c>
      <c r="O3500" s="177" t="str">
        <f>IFERROR(__xludf.DUMMYFUNCTION("""COMPUTED_VALUE"""),"Pearl White Multi-Coat")</f>
        <v>Pearl White Multi-Coat</v>
      </c>
      <c r="P3500" s="178" t="str">
        <f>IFERROR(__xludf.DUMMYFUNCTION("""COMPUTED_VALUE"""),"18 inch Aero")</f>
        <v>18 inch Aero</v>
      </c>
      <c r="Q3500" s="177" t="str">
        <f>IFERROR(__xludf.DUMMYFUNCTION("""COMPUTED_VALUE"""),"Black seats")</f>
        <v>Black seats</v>
      </c>
      <c r="R3500" s="170" t="str">
        <f>IFERROR(__xludf.DUMMYFUNCTION("""COMPUTED_VALUE"""),"Enhanced Autopilot")</f>
        <v>Enhanced Autopilot</v>
      </c>
      <c r="S3500" s="170"/>
      <c r="T3500" s="179"/>
      <c r="U3500" s="179"/>
      <c r="V3500" s="179"/>
      <c r="W3500" s="180"/>
      <c r="X3500" s="181" t="str">
        <f>IFERROR(__xludf.DUMMYFUNCTION("""COMPUTED_VALUE"""),"Excellent")</f>
        <v>Excellent</v>
      </c>
      <c r="Y3500" s="182" t="str">
        <f>IFERROR(__xludf.DUMMYFUNCTION("""COMPUTED_VALUE"""),"Excellent")</f>
        <v>Excellent</v>
      </c>
      <c r="Z3500" s="182" t="str">
        <f>IFERROR(__xludf.DUMMYFUNCTION("""COMPUTED_VALUE"""),"Excellent")</f>
        <v>Excellent</v>
      </c>
      <c r="AA3500" s="182"/>
      <c r="AB3500" s="182" t="str">
        <f>IFERROR(__xludf.DUMMYFUNCTION("""COMPUTED_VALUE"""),"Excellent")</f>
        <v>Excellent</v>
      </c>
      <c r="AC3500" s="183"/>
      <c r="AD3500" s="183"/>
      <c r="AE3500" s="183"/>
      <c r="AF3500" s="184"/>
      <c r="AG3500" s="180"/>
      <c r="AH3500" s="185">
        <f>IFERROR(__xludf.DUMMYFUNCTION("""COMPUTED_VALUE"""),43249.33685997685)</f>
        <v>43249.33686</v>
      </c>
      <c r="AI3500" s="182"/>
      <c r="AJ3500" s="182"/>
      <c r="AK3500" s="182"/>
      <c r="AL3500" s="182"/>
    </row>
    <row r="3501" ht="20.25" customHeight="1">
      <c r="A3501" s="169" t="str">
        <f>IFERROR(__xludf.DUMMYFUNCTION("""COMPUTED_VALUE"""),"yaypie")</f>
        <v>yaypie</v>
      </c>
      <c r="B3501" s="170" t="str">
        <f>IFERROR(__xludf.DUMMYFUNCTION("""COMPUTED_VALUE"""),"Portland")</f>
        <v>Portland</v>
      </c>
      <c r="C3501" s="170" t="str">
        <f>IFERROR(__xludf.DUMMYFUNCTION("""COMPUTED_VALUE"""),"OR")</f>
        <v>OR</v>
      </c>
      <c r="D3501" s="170" t="str">
        <f>IFERROR(__xludf.DUMMYFUNCTION("""COMPUTED_VALUE"""),"USA")</f>
        <v>USA</v>
      </c>
      <c r="E3501" s="171">
        <f>IFERROR(__xludf.DUMMYFUNCTION("""COMPUTED_VALUE"""),43208.0)</f>
        <v>43208</v>
      </c>
      <c r="F3501" s="172">
        <f>IFERROR(__xludf.DUMMYFUNCTION("""COMPUTED_VALUE"""),43229.0)</f>
        <v>43229</v>
      </c>
      <c r="G3501" s="173"/>
      <c r="H3501" s="174">
        <f>IFERROR(__xludf.DUMMYFUNCTION("""COMPUTED_VALUE"""),18955.0)</f>
        <v>18955</v>
      </c>
      <c r="I3501" s="175"/>
      <c r="J3501" s="172">
        <f>IFERROR(__xludf.DUMMYFUNCTION("""COMPUTED_VALUE"""),43239.0)</f>
        <v>43239</v>
      </c>
      <c r="K3501" s="176">
        <f>IFERROR(__xludf.DUMMYFUNCTION("""COMPUTED_VALUE"""),21.0)</f>
        <v>21</v>
      </c>
      <c r="L3501" s="176">
        <f>IFERROR(__xludf.DUMMYFUNCTION("""COMPUTED_VALUE"""),10.0)</f>
        <v>10</v>
      </c>
      <c r="M3501" s="176">
        <f>IFERROR(__xludf.DUMMYFUNCTION("""COMPUTED_VALUE"""),31.0)</f>
        <v>31</v>
      </c>
      <c r="N3501" s="177" t="str">
        <f>IFERROR(__xludf.DUMMYFUNCTION("""COMPUTED_VALUE"""),"Model 3 LR")</f>
        <v>Model 3 LR</v>
      </c>
      <c r="O3501" s="177" t="str">
        <f>IFERROR(__xludf.DUMMYFUNCTION("""COMPUTED_VALUE"""),"Midnight Silver Metallic")</f>
        <v>Midnight Silver Metallic</v>
      </c>
      <c r="P3501" s="178" t="str">
        <f>IFERROR(__xludf.DUMMYFUNCTION("""COMPUTED_VALUE"""),"18 inch Aero")</f>
        <v>18 inch Aero</v>
      </c>
      <c r="Q3501" s="177" t="str">
        <f>IFERROR(__xludf.DUMMYFUNCTION("""COMPUTED_VALUE"""),"Black seats")</f>
        <v>Black seats</v>
      </c>
      <c r="R3501" s="170" t="str">
        <f>IFERROR(__xludf.DUMMYFUNCTION("""COMPUTED_VALUE"""),"Enhanced Autopilot")</f>
        <v>Enhanced Autopilot</v>
      </c>
      <c r="S3501" s="170"/>
      <c r="T3501" s="179"/>
      <c r="U3501" s="179"/>
      <c r="V3501" s="179"/>
      <c r="W3501" s="180"/>
      <c r="X3501" s="181" t="str">
        <f>IFERROR(__xludf.DUMMYFUNCTION("""COMPUTED_VALUE"""),"Excellent")</f>
        <v>Excellent</v>
      </c>
      <c r="Y3501" s="182" t="str">
        <f>IFERROR(__xludf.DUMMYFUNCTION("""COMPUTED_VALUE"""),"Excellent")</f>
        <v>Excellent</v>
      </c>
      <c r="Z3501" s="182" t="str">
        <f>IFERROR(__xludf.DUMMYFUNCTION("""COMPUTED_VALUE"""),"Excellent")</f>
        <v>Excellent</v>
      </c>
      <c r="AA3501" s="182"/>
      <c r="AB3501" s="182" t="str">
        <f>IFERROR(__xludf.DUMMYFUNCTION("""COMPUTED_VALUE"""),"Excellent")</f>
        <v>Excellent</v>
      </c>
      <c r="AC3501" s="183"/>
      <c r="AD3501" s="183"/>
      <c r="AE3501" s="183"/>
      <c r="AF3501" s="184"/>
      <c r="AG3501" s="180"/>
      <c r="AH3501" s="185">
        <f>IFERROR(__xludf.DUMMYFUNCTION("""COMPUTED_VALUE"""),43239.66996699074)</f>
        <v>43239.66997</v>
      </c>
      <c r="AI3501" s="182"/>
      <c r="AJ3501" s="182"/>
      <c r="AK3501" s="182"/>
      <c r="AL3501" s="182"/>
    </row>
    <row r="3502" ht="20.25" customHeight="1">
      <c r="A3502" s="169" t="str">
        <f>IFERROR(__xludf.DUMMYFUNCTION("""COMPUTED_VALUE"""),"zfsnoob")</f>
        <v>zfsnoob</v>
      </c>
      <c r="B3502" s="170" t="str">
        <f>IFERROR(__xludf.DUMMYFUNCTION("""COMPUTED_VALUE"""),"Bay Area")</f>
        <v>Bay Area</v>
      </c>
      <c r="C3502" s="170" t="str">
        <f>IFERROR(__xludf.DUMMYFUNCTION("""COMPUTED_VALUE"""),"CA")</f>
        <v>CA</v>
      </c>
      <c r="D3502" s="170" t="str">
        <f>IFERROR(__xludf.DUMMYFUNCTION("""COMPUTED_VALUE"""),"USA")</f>
        <v>USA</v>
      </c>
      <c r="E3502" s="171">
        <f>IFERROR(__xludf.DUMMYFUNCTION("""COMPUTED_VALUE"""),43208.0)</f>
        <v>43208</v>
      </c>
      <c r="F3502" s="172">
        <f>IFERROR(__xludf.DUMMYFUNCTION("""COMPUTED_VALUE"""),43243.0)</f>
        <v>43243</v>
      </c>
      <c r="G3502" s="173"/>
      <c r="H3502" s="174">
        <f>IFERROR(__xludf.DUMMYFUNCTION("""COMPUTED_VALUE"""),26255.0)</f>
        <v>26255</v>
      </c>
      <c r="I3502" s="175"/>
      <c r="J3502" s="172">
        <f>IFERROR(__xludf.DUMMYFUNCTION("""COMPUTED_VALUE"""),43249.0)</f>
        <v>43249</v>
      </c>
      <c r="K3502" s="176">
        <f>IFERROR(__xludf.DUMMYFUNCTION("""COMPUTED_VALUE"""),35.0)</f>
        <v>35</v>
      </c>
      <c r="L3502" s="176">
        <f>IFERROR(__xludf.DUMMYFUNCTION("""COMPUTED_VALUE"""),6.0)</f>
        <v>6</v>
      </c>
      <c r="M3502" s="176">
        <f>IFERROR(__xludf.DUMMYFUNCTION("""COMPUTED_VALUE"""),41.0)</f>
        <v>41</v>
      </c>
      <c r="N3502" s="177" t="str">
        <f>IFERROR(__xludf.DUMMYFUNCTION("""COMPUTED_VALUE"""),"Model 3 LR")</f>
        <v>Model 3 LR</v>
      </c>
      <c r="O3502" s="177" t="str">
        <f>IFERROR(__xludf.DUMMYFUNCTION("""COMPUTED_VALUE"""),"Pearl White Multi-Coat")</f>
        <v>Pearl White Multi-Coat</v>
      </c>
      <c r="P3502" s="178" t="str">
        <f>IFERROR(__xludf.DUMMYFUNCTION("""COMPUTED_VALUE"""),"18 inch Aero")</f>
        <v>18 inch Aero</v>
      </c>
      <c r="Q3502" s="177" t="str">
        <f>IFERROR(__xludf.DUMMYFUNCTION("""COMPUTED_VALUE"""),"Black seats")</f>
        <v>Black seats</v>
      </c>
      <c r="R3502" s="170" t="str">
        <f>IFERROR(__xludf.DUMMYFUNCTION("""COMPUTED_VALUE"""),"Enhanced Autopilot")</f>
        <v>Enhanced Autopilot</v>
      </c>
      <c r="S3502" s="170"/>
      <c r="T3502" s="179"/>
      <c r="U3502" s="179"/>
      <c r="V3502" s="179"/>
      <c r="W3502" s="180"/>
      <c r="X3502" s="181"/>
      <c r="Y3502" s="182"/>
      <c r="Z3502" s="182"/>
      <c r="AA3502" s="182" t="str">
        <f>IFERROR(__xludf.DUMMYFUNCTION("""COMPUTED_VALUE"""),"Very Good")</f>
        <v>Very Good</v>
      </c>
      <c r="AB3502" s="182" t="str">
        <f>IFERROR(__xludf.DUMMYFUNCTION("""COMPUTED_VALUE"""),"Fair")</f>
        <v>Fair</v>
      </c>
      <c r="AC3502" s="183"/>
      <c r="AD3502" s="183"/>
      <c r="AE3502" s="183"/>
      <c r="AF3502" s="184"/>
      <c r="AG3502" s="180"/>
      <c r="AH3502" s="185">
        <f>IFERROR(__xludf.DUMMYFUNCTION("""COMPUTED_VALUE"""),43249.83234494212)</f>
        <v>43249.83234</v>
      </c>
      <c r="AI3502" s="182"/>
      <c r="AJ3502" s="182"/>
      <c r="AK3502" s="182"/>
      <c r="AL3502" s="182"/>
    </row>
    <row r="3503" ht="20.25" customHeight="1">
      <c r="A3503" s="169" t="str">
        <f>IFERROR(__xludf.DUMMYFUNCTION("""COMPUTED_VALUE"""),"dqr930")</f>
        <v>dqr930</v>
      </c>
      <c r="B3503" s="170" t="str">
        <f>IFERROR(__xludf.DUMMYFUNCTION("""COMPUTED_VALUE"""),"Springfield")</f>
        <v>Springfield</v>
      </c>
      <c r="C3503" s="170" t="str">
        <f>IFERROR(__xludf.DUMMYFUNCTION("""COMPUTED_VALUE"""),"NJ")</f>
        <v>NJ</v>
      </c>
      <c r="D3503" s="170" t="str">
        <f>IFERROR(__xludf.DUMMYFUNCTION("""COMPUTED_VALUE"""),"USA")</f>
        <v>USA</v>
      </c>
      <c r="E3503" s="171">
        <f>IFERROR(__xludf.DUMMYFUNCTION("""COMPUTED_VALUE"""),43207.0)</f>
        <v>43207</v>
      </c>
      <c r="F3503" s="172">
        <f>IFERROR(__xludf.DUMMYFUNCTION("""COMPUTED_VALUE"""),43272.0)</f>
        <v>43272</v>
      </c>
      <c r="G3503" s="173"/>
      <c r="H3503" s="174">
        <f>IFERROR(__xludf.DUMMYFUNCTION("""COMPUTED_VALUE"""),27655.0)</f>
        <v>27655</v>
      </c>
      <c r="I3503" s="175" t="str">
        <f>IFERROR(__xludf.DUMMYFUNCTION("""COMPUTED_VALUE"""),"06/18")</f>
        <v>06/18</v>
      </c>
      <c r="J3503" s="172">
        <f>IFERROR(__xludf.DUMMYFUNCTION("""COMPUTED_VALUE"""),43283.0)</f>
        <v>43283</v>
      </c>
      <c r="K3503" s="176">
        <f>IFERROR(__xludf.DUMMYFUNCTION("""COMPUTED_VALUE"""),65.0)</f>
        <v>65</v>
      </c>
      <c r="L3503" s="176">
        <f>IFERROR(__xludf.DUMMYFUNCTION("""COMPUTED_VALUE"""),11.0)</f>
        <v>11</v>
      </c>
      <c r="M3503" s="176">
        <f>IFERROR(__xludf.DUMMYFUNCTION("""COMPUTED_VALUE"""),76.0)</f>
        <v>76</v>
      </c>
      <c r="N3503" s="177" t="str">
        <f>IFERROR(__xludf.DUMMYFUNCTION("""COMPUTED_VALUE"""),"Model 3 LR")</f>
        <v>Model 3 LR</v>
      </c>
      <c r="O3503" s="177" t="str">
        <f>IFERROR(__xludf.DUMMYFUNCTION("""COMPUTED_VALUE"""),"Red Multi-Coat")</f>
        <v>Red Multi-Coat</v>
      </c>
      <c r="P3503" s="178" t="str">
        <f>IFERROR(__xludf.DUMMYFUNCTION("""COMPUTED_VALUE"""),"18 inch Aero")</f>
        <v>18 inch Aero</v>
      </c>
      <c r="Q3503" s="177" t="str">
        <f>IFERROR(__xludf.DUMMYFUNCTION("""COMPUTED_VALUE"""),"Black seats")</f>
        <v>Black seats</v>
      </c>
      <c r="R3503" s="170" t="str">
        <f>IFERROR(__xludf.DUMMYFUNCTION("""COMPUTED_VALUE"""),"Full Self-Driving")</f>
        <v>Full Self-Driving</v>
      </c>
      <c r="S3503" s="170"/>
      <c r="T3503" s="179"/>
      <c r="U3503" s="179"/>
      <c r="V3503" s="179"/>
      <c r="W3503" s="180"/>
      <c r="X3503" s="181" t="str">
        <f>IFERROR(__xludf.DUMMYFUNCTION("""COMPUTED_VALUE"""),"Good")</f>
        <v>Good</v>
      </c>
      <c r="Y3503" s="182" t="str">
        <f>IFERROR(__xludf.DUMMYFUNCTION("""COMPUTED_VALUE"""),"Fair")</f>
        <v>Fair</v>
      </c>
      <c r="Z3503" s="182" t="str">
        <f>IFERROR(__xludf.DUMMYFUNCTION("""COMPUTED_VALUE"""),"Good")</f>
        <v>Good</v>
      </c>
      <c r="AA3503" s="182" t="str">
        <f>IFERROR(__xludf.DUMMYFUNCTION("""COMPUTED_VALUE"""),"Excellent")</f>
        <v>Excellent</v>
      </c>
      <c r="AB3503" s="182" t="str">
        <f>IFERROR(__xludf.DUMMYFUNCTION("""COMPUTED_VALUE"""),"Very Good")</f>
        <v>Very Good</v>
      </c>
      <c r="AC3503" s="183"/>
      <c r="AD3503" s="183"/>
      <c r="AE3503" s="183"/>
      <c r="AF3503" s="184"/>
      <c r="AG3503" s="180"/>
      <c r="AH3503" s="185">
        <f>IFERROR(__xludf.DUMMYFUNCTION("""COMPUTED_VALUE"""),43287.66397872685)</f>
        <v>43287.66398</v>
      </c>
      <c r="AI3503" s="182"/>
      <c r="AJ3503" s="182"/>
      <c r="AK3503" s="182"/>
      <c r="AL3503" s="182"/>
    </row>
    <row r="3504" ht="20.25" customHeight="1">
      <c r="A3504" s="169" t="str">
        <f>IFERROR(__xludf.DUMMYFUNCTION("""COMPUTED_VALUE"""),"DS42")</f>
        <v>DS42</v>
      </c>
      <c r="B3504" s="170" t="str">
        <f>IFERROR(__xludf.DUMMYFUNCTION("""COMPUTED_VALUE"""),"Aurora")</f>
        <v>Aurora</v>
      </c>
      <c r="C3504" s="170" t="str">
        <f>IFERROR(__xludf.DUMMYFUNCTION("""COMPUTED_VALUE"""),"IL")</f>
        <v>IL</v>
      </c>
      <c r="D3504" s="170" t="str">
        <f>IFERROR(__xludf.DUMMYFUNCTION("""COMPUTED_VALUE"""),"USA")</f>
        <v>USA</v>
      </c>
      <c r="E3504" s="171">
        <f>IFERROR(__xludf.DUMMYFUNCTION("""COMPUTED_VALUE"""),43207.0)</f>
        <v>43207</v>
      </c>
      <c r="F3504" s="172">
        <f>IFERROR(__xludf.DUMMYFUNCTION("""COMPUTED_VALUE"""),43275.0)</f>
        <v>43275</v>
      </c>
      <c r="G3504" s="173"/>
      <c r="H3504" s="174">
        <f>IFERROR(__xludf.DUMMYFUNCTION("""COMPUTED_VALUE"""),33755.0)</f>
        <v>33755</v>
      </c>
      <c r="I3504" s="175" t="str">
        <f>IFERROR(__xludf.DUMMYFUNCTION("""COMPUTED_VALUE"""),"06/18")</f>
        <v>06/18</v>
      </c>
      <c r="J3504" s="172">
        <f>IFERROR(__xludf.DUMMYFUNCTION("""COMPUTED_VALUE"""),43295.0)</f>
        <v>43295</v>
      </c>
      <c r="K3504" s="176">
        <f>IFERROR(__xludf.DUMMYFUNCTION("""COMPUTED_VALUE"""),68.0)</f>
        <v>68</v>
      </c>
      <c r="L3504" s="176">
        <f>IFERROR(__xludf.DUMMYFUNCTION("""COMPUTED_VALUE"""),20.0)</f>
        <v>20</v>
      </c>
      <c r="M3504" s="176">
        <f>IFERROR(__xludf.DUMMYFUNCTION("""COMPUTED_VALUE"""),88.0)</f>
        <v>88</v>
      </c>
      <c r="N3504" s="177" t="str">
        <f>IFERROR(__xludf.DUMMYFUNCTION("""COMPUTED_VALUE"""),"Model 3 LR")</f>
        <v>Model 3 LR</v>
      </c>
      <c r="O3504" s="177" t="str">
        <f>IFERROR(__xludf.DUMMYFUNCTION("""COMPUTED_VALUE"""),"Red Multi-Coat")</f>
        <v>Red Multi-Coat</v>
      </c>
      <c r="P3504" s="178" t="str">
        <f>IFERROR(__xludf.DUMMYFUNCTION("""COMPUTED_VALUE"""),"19 inch Sport")</f>
        <v>19 inch Sport</v>
      </c>
      <c r="Q3504" s="177" t="str">
        <f>IFERROR(__xludf.DUMMYFUNCTION("""COMPUTED_VALUE"""),"Black seats")</f>
        <v>Black seats</v>
      </c>
      <c r="R3504" s="170" t="str">
        <f>IFERROR(__xludf.DUMMYFUNCTION("""COMPUTED_VALUE"""),"Enhanced Autopilot")</f>
        <v>Enhanced Autopilot</v>
      </c>
      <c r="S3504" s="170"/>
      <c r="T3504" s="179"/>
      <c r="U3504" s="179"/>
      <c r="V3504" s="179"/>
      <c r="W3504" s="180"/>
      <c r="X3504" s="181" t="str">
        <f>IFERROR(__xludf.DUMMYFUNCTION("""COMPUTED_VALUE"""),"Excellent")</f>
        <v>Excellent</v>
      </c>
      <c r="Y3504" s="182" t="str">
        <f>IFERROR(__xludf.DUMMYFUNCTION("""COMPUTED_VALUE"""),"Excellent")</f>
        <v>Excellent</v>
      </c>
      <c r="Z3504" s="182" t="str">
        <f>IFERROR(__xludf.DUMMYFUNCTION("""COMPUTED_VALUE"""),"Excellent")</f>
        <v>Excellent</v>
      </c>
      <c r="AA3504" s="182" t="str">
        <f>IFERROR(__xludf.DUMMYFUNCTION("""COMPUTED_VALUE"""),"Excellent")</f>
        <v>Excellent</v>
      </c>
      <c r="AB3504" s="182" t="str">
        <f>IFERROR(__xludf.DUMMYFUNCTION("""COMPUTED_VALUE"""),"Very Good")</f>
        <v>Very Good</v>
      </c>
      <c r="AC3504" s="183">
        <f>IFERROR(__xludf.DUMMYFUNCTION("""COMPUTED_VALUE"""),1.0)</f>
        <v>1</v>
      </c>
      <c r="AD3504" s="183"/>
      <c r="AE3504" s="183"/>
      <c r="AF3504" s="184"/>
      <c r="AG3504" s="180"/>
      <c r="AH3504" s="185">
        <f>IFERROR(__xludf.DUMMYFUNCTION("""COMPUTED_VALUE"""),43298.92741923611)</f>
        <v>43298.92742</v>
      </c>
      <c r="AI3504" s="182"/>
      <c r="AJ3504" s="182"/>
      <c r="AK3504" s="182"/>
      <c r="AL3504" s="182"/>
    </row>
    <row r="3505" ht="20.25" customHeight="1">
      <c r="A3505" s="169" t="str">
        <f>IFERROR(__xludf.DUMMYFUNCTION("""COMPUTED_VALUE"""),"Sanj1990")</f>
        <v>Sanj1990</v>
      </c>
      <c r="B3505" s="170" t="str">
        <f>IFERROR(__xludf.DUMMYFUNCTION("""COMPUTED_VALUE"""),"Chicago")</f>
        <v>Chicago</v>
      </c>
      <c r="C3505" s="170" t="str">
        <f>IFERROR(__xludf.DUMMYFUNCTION("""COMPUTED_VALUE"""),"IL")</f>
        <v>IL</v>
      </c>
      <c r="D3505" s="170" t="str">
        <f>IFERROR(__xludf.DUMMYFUNCTION("""COMPUTED_VALUE"""),"USA")</f>
        <v>USA</v>
      </c>
      <c r="E3505" s="171">
        <f>IFERROR(__xludf.DUMMYFUNCTION("""COMPUTED_VALUE"""),43207.0)</f>
        <v>43207</v>
      </c>
      <c r="F3505" s="172">
        <f>IFERROR(__xludf.DUMMYFUNCTION("""COMPUTED_VALUE"""),43234.0)</f>
        <v>43234</v>
      </c>
      <c r="G3505" s="173"/>
      <c r="H3505" s="174">
        <f>IFERROR(__xludf.DUMMYFUNCTION("""COMPUTED_VALUE"""),23155.0)</f>
        <v>23155</v>
      </c>
      <c r="I3505" s="175"/>
      <c r="J3505" s="172">
        <f>IFERROR(__xludf.DUMMYFUNCTION("""COMPUTED_VALUE"""),43253.0)</f>
        <v>43253</v>
      </c>
      <c r="K3505" s="176">
        <f>IFERROR(__xludf.DUMMYFUNCTION("""COMPUTED_VALUE"""),27.0)</f>
        <v>27</v>
      </c>
      <c r="L3505" s="176">
        <f>IFERROR(__xludf.DUMMYFUNCTION("""COMPUTED_VALUE"""),19.0)</f>
        <v>19</v>
      </c>
      <c r="M3505" s="176">
        <f>IFERROR(__xludf.DUMMYFUNCTION("""COMPUTED_VALUE"""),46.0)</f>
        <v>46</v>
      </c>
      <c r="N3505" s="177" t="str">
        <f>IFERROR(__xludf.DUMMYFUNCTION("""COMPUTED_VALUE"""),"Model 3 LR")</f>
        <v>Model 3 LR</v>
      </c>
      <c r="O3505" s="177" t="str">
        <f>IFERROR(__xludf.DUMMYFUNCTION("""COMPUTED_VALUE"""),"Pearl White Multi-Coat")</f>
        <v>Pearl White Multi-Coat</v>
      </c>
      <c r="P3505" s="178" t="str">
        <f>IFERROR(__xludf.DUMMYFUNCTION("""COMPUTED_VALUE"""),"18 inch Aero")</f>
        <v>18 inch Aero</v>
      </c>
      <c r="Q3505" s="177" t="str">
        <f>IFERROR(__xludf.DUMMYFUNCTION("""COMPUTED_VALUE"""),"Black seats")</f>
        <v>Black seats</v>
      </c>
      <c r="R3505" s="170" t="str">
        <f>IFERROR(__xludf.DUMMYFUNCTION("""COMPUTED_VALUE"""),"Enhanced Autopilot")</f>
        <v>Enhanced Autopilot</v>
      </c>
      <c r="S3505" s="170"/>
      <c r="T3505" s="179"/>
      <c r="U3505" s="179"/>
      <c r="V3505" s="179"/>
      <c r="W3505" s="180"/>
      <c r="X3505" s="181" t="str">
        <f>IFERROR(__xludf.DUMMYFUNCTION("""COMPUTED_VALUE"""),"Excellent")</f>
        <v>Excellent</v>
      </c>
      <c r="Y3505" s="182" t="str">
        <f>IFERROR(__xludf.DUMMYFUNCTION("""COMPUTED_VALUE"""),"Excellent")</f>
        <v>Excellent</v>
      </c>
      <c r="Z3505" s="182" t="str">
        <f>IFERROR(__xludf.DUMMYFUNCTION("""COMPUTED_VALUE"""),"Excellent")</f>
        <v>Excellent</v>
      </c>
      <c r="AA3505" s="182" t="str">
        <f>IFERROR(__xludf.DUMMYFUNCTION("""COMPUTED_VALUE"""),"Excellent")</f>
        <v>Excellent</v>
      </c>
      <c r="AB3505" s="182" t="str">
        <f>IFERROR(__xludf.DUMMYFUNCTION("""COMPUTED_VALUE"""),"Excellent")</f>
        <v>Excellent</v>
      </c>
      <c r="AC3505" s="183"/>
      <c r="AD3505" s="183"/>
      <c r="AE3505" s="183"/>
      <c r="AF3505" s="184"/>
      <c r="AG3505" s="180"/>
      <c r="AH3505" s="185">
        <f>IFERROR(__xludf.DUMMYFUNCTION("""COMPUTED_VALUE"""),43255.5829837037)</f>
        <v>43255.58298</v>
      </c>
      <c r="AI3505" s="182"/>
      <c r="AJ3505" s="182"/>
      <c r="AK3505" s="182"/>
      <c r="AL3505" s="182"/>
    </row>
    <row r="3506" ht="20.25" customHeight="1">
      <c r="A3506" s="169" t="str">
        <f>IFERROR(__xludf.DUMMYFUNCTION("""COMPUTED_VALUE"""),"SpeedfishDave_")</f>
        <v>SpeedfishDave_</v>
      </c>
      <c r="B3506" s="170" t="str">
        <f>IFERROR(__xludf.DUMMYFUNCTION("""COMPUTED_VALUE"""),"Montclair _")</f>
        <v>Montclair _</v>
      </c>
      <c r="C3506" s="170" t="str">
        <f>IFERROR(__xludf.DUMMYFUNCTION("""COMPUTED_VALUE"""),"NJ")</f>
        <v>NJ</v>
      </c>
      <c r="D3506" s="170" t="str">
        <f>IFERROR(__xludf.DUMMYFUNCTION("""COMPUTED_VALUE"""),"USA")</f>
        <v>USA</v>
      </c>
      <c r="E3506" s="171">
        <f>IFERROR(__xludf.DUMMYFUNCTION("""COMPUTED_VALUE"""),43207.0)</f>
        <v>43207</v>
      </c>
      <c r="F3506" s="172">
        <f>IFERROR(__xludf.DUMMYFUNCTION("""COMPUTED_VALUE"""),43266.0)</f>
        <v>43266</v>
      </c>
      <c r="G3506" s="173"/>
      <c r="H3506" s="174">
        <f>IFERROR(__xludf.DUMMYFUNCTION("""COMPUTED_VALUE"""),26755.0)</f>
        <v>26755</v>
      </c>
      <c r="I3506" s="175" t="str">
        <f>IFERROR(__xludf.DUMMYFUNCTION("""COMPUTED_VALUE"""),"06/18")</f>
        <v>06/18</v>
      </c>
      <c r="J3506" s="172">
        <f>IFERROR(__xludf.DUMMYFUNCTION("""COMPUTED_VALUE"""),43300.0)</f>
        <v>43300</v>
      </c>
      <c r="K3506" s="176">
        <f>IFERROR(__xludf.DUMMYFUNCTION("""COMPUTED_VALUE"""),59.0)</f>
        <v>59</v>
      </c>
      <c r="L3506" s="176">
        <f>IFERROR(__xludf.DUMMYFUNCTION("""COMPUTED_VALUE"""),34.0)</f>
        <v>34</v>
      </c>
      <c r="M3506" s="176">
        <f>IFERROR(__xludf.DUMMYFUNCTION("""COMPUTED_VALUE"""),93.0)</f>
        <v>93</v>
      </c>
      <c r="N3506" s="177" t="str">
        <f>IFERROR(__xludf.DUMMYFUNCTION("""COMPUTED_VALUE"""),"Model 3 LR")</f>
        <v>Model 3 LR</v>
      </c>
      <c r="O3506" s="177" t="str">
        <f>IFERROR(__xludf.DUMMYFUNCTION("""COMPUTED_VALUE"""),"Midnight Silver Metallic")</f>
        <v>Midnight Silver Metallic</v>
      </c>
      <c r="P3506" s="178" t="str">
        <f>IFERROR(__xludf.DUMMYFUNCTION("""COMPUTED_VALUE"""),"18 inch Aero")</f>
        <v>18 inch Aero</v>
      </c>
      <c r="Q3506" s="177" t="str">
        <f>IFERROR(__xludf.DUMMYFUNCTION("""COMPUTED_VALUE"""),"Black seats")</f>
        <v>Black seats</v>
      </c>
      <c r="R3506" s="170" t="str">
        <f>IFERROR(__xludf.DUMMYFUNCTION("""COMPUTED_VALUE"""),"Enhanced Autopilot")</f>
        <v>Enhanced Autopilot</v>
      </c>
      <c r="S3506" s="170"/>
      <c r="T3506" s="179"/>
      <c r="U3506" s="179"/>
      <c r="V3506" s="179"/>
      <c r="W3506" s="180"/>
      <c r="X3506" s="181" t="str">
        <f>IFERROR(__xludf.DUMMYFUNCTION("""COMPUTED_VALUE"""),"Good")</f>
        <v>Good</v>
      </c>
      <c r="Y3506" s="182" t="str">
        <f>IFERROR(__xludf.DUMMYFUNCTION("""COMPUTED_VALUE"""),"Excellent")</f>
        <v>Excellent</v>
      </c>
      <c r="Z3506" s="182" t="str">
        <f>IFERROR(__xludf.DUMMYFUNCTION("""COMPUTED_VALUE"""),"Very Good")</f>
        <v>Very Good</v>
      </c>
      <c r="AA3506" s="182" t="str">
        <f>IFERROR(__xludf.DUMMYFUNCTION("""COMPUTED_VALUE"""),"Fair")</f>
        <v>Fair</v>
      </c>
      <c r="AB3506" s="182" t="str">
        <f>IFERROR(__xludf.DUMMYFUNCTION("""COMPUTED_VALUE"""),"Excellent")</f>
        <v>Excellent</v>
      </c>
      <c r="AC3506" s="183">
        <f>IFERROR(__xludf.DUMMYFUNCTION("""COMPUTED_VALUE"""),4.0)</f>
        <v>4</v>
      </c>
      <c r="AD3506" s="183">
        <f>IFERROR(__xludf.DUMMYFUNCTION("""COMPUTED_VALUE"""),1.0)</f>
        <v>1</v>
      </c>
      <c r="AE3506" s="183"/>
      <c r="AF3506" s="184"/>
      <c r="AG3506" s="180" t="str">
        <f>IFERROR(__xludf.DUMMYFUNCTION("""COMPUTED_VALUE"""),"_")</f>
        <v>_</v>
      </c>
      <c r="AH3506" s="185">
        <f>IFERROR(__xludf.DUMMYFUNCTION("""COMPUTED_VALUE"""),43318.48011243055)</f>
        <v>43318.48011</v>
      </c>
      <c r="AI3506" s="182"/>
      <c r="AJ3506" s="182"/>
      <c r="AK3506" s="182"/>
      <c r="AL3506" s="182"/>
    </row>
    <row r="3507" ht="20.25" customHeight="1">
      <c r="A3507" s="169" t="str">
        <f>IFERROR(__xludf.DUMMYFUNCTION("""COMPUTED_VALUE"""),"TheHambledon")</f>
        <v>TheHambledon</v>
      </c>
      <c r="B3507" s="170" t="str">
        <f>IFERROR(__xludf.DUMMYFUNCTION("""COMPUTED_VALUE"""),"Dallas")</f>
        <v>Dallas</v>
      </c>
      <c r="C3507" s="170" t="str">
        <f>IFERROR(__xludf.DUMMYFUNCTION("""COMPUTED_VALUE"""),"TX")</f>
        <v>TX</v>
      </c>
      <c r="D3507" s="170" t="str">
        <f>IFERROR(__xludf.DUMMYFUNCTION("""COMPUTED_VALUE"""),"USA")</f>
        <v>USA</v>
      </c>
      <c r="E3507" s="171">
        <f>IFERROR(__xludf.DUMMYFUNCTION("""COMPUTED_VALUE"""),43207.0)</f>
        <v>43207</v>
      </c>
      <c r="F3507" s="172">
        <f>IFERROR(__xludf.DUMMYFUNCTION("""COMPUTED_VALUE"""),43265.0)</f>
        <v>43265</v>
      </c>
      <c r="G3507" s="173"/>
      <c r="H3507" s="174">
        <f>IFERROR(__xludf.DUMMYFUNCTION("""COMPUTED_VALUE"""),36355.0)</f>
        <v>36355</v>
      </c>
      <c r="I3507" s="175" t="str">
        <f>IFERROR(__xludf.DUMMYFUNCTION("""COMPUTED_VALUE"""),"06/18")</f>
        <v>06/18</v>
      </c>
      <c r="J3507" s="172">
        <f>IFERROR(__xludf.DUMMYFUNCTION("""COMPUTED_VALUE"""),43280.0)</f>
        <v>43280</v>
      </c>
      <c r="K3507" s="176">
        <f>IFERROR(__xludf.DUMMYFUNCTION("""COMPUTED_VALUE"""),58.0)</f>
        <v>58</v>
      </c>
      <c r="L3507" s="176">
        <f>IFERROR(__xludf.DUMMYFUNCTION("""COMPUTED_VALUE"""),15.0)</f>
        <v>15</v>
      </c>
      <c r="M3507" s="176">
        <f>IFERROR(__xludf.DUMMYFUNCTION("""COMPUTED_VALUE"""),73.0)</f>
        <v>73</v>
      </c>
      <c r="N3507" s="177" t="str">
        <f>IFERROR(__xludf.DUMMYFUNCTION("""COMPUTED_VALUE"""),"Model 3 LR")</f>
        <v>Model 3 LR</v>
      </c>
      <c r="O3507" s="177" t="str">
        <f>IFERROR(__xludf.DUMMYFUNCTION("""COMPUTED_VALUE"""),"Solid Black")</f>
        <v>Solid Black</v>
      </c>
      <c r="P3507" s="178" t="str">
        <f>IFERROR(__xludf.DUMMYFUNCTION("""COMPUTED_VALUE"""),"18 inch Aero")</f>
        <v>18 inch Aero</v>
      </c>
      <c r="Q3507" s="177" t="str">
        <f>IFERROR(__xludf.DUMMYFUNCTION("""COMPUTED_VALUE"""),"Black seats")</f>
        <v>Black seats</v>
      </c>
      <c r="R3507" s="170" t="str">
        <f>IFERROR(__xludf.DUMMYFUNCTION("""COMPUTED_VALUE"""),"Enhanced Autopilot")</f>
        <v>Enhanced Autopilot</v>
      </c>
      <c r="S3507" s="170"/>
      <c r="T3507" s="179"/>
      <c r="U3507" s="179"/>
      <c r="V3507" s="179"/>
      <c r="W3507" s="180"/>
      <c r="X3507" s="181" t="str">
        <f>IFERROR(__xludf.DUMMYFUNCTION("""COMPUTED_VALUE"""),"Excellent")</f>
        <v>Excellent</v>
      </c>
      <c r="Y3507" s="182" t="str">
        <f>IFERROR(__xludf.DUMMYFUNCTION("""COMPUTED_VALUE"""),"Excellent")</f>
        <v>Excellent</v>
      </c>
      <c r="Z3507" s="182" t="str">
        <f>IFERROR(__xludf.DUMMYFUNCTION("""COMPUTED_VALUE"""),"Excellent")</f>
        <v>Excellent</v>
      </c>
      <c r="AA3507" s="182" t="str">
        <f>IFERROR(__xludf.DUMMYFUNCTION("""COMPUTED_VALUE"""),"Very Good")</f>
        <v>Very Good</v>
      </c>
      <c r="AB3507" s="182" t="str">
        <f>IFERROR(__xludf.DUMMYFUNCTION("""COMPUTED_VALUE"""),"Excellent")</f>
        <v>Excellent</v>
      </c>
      <c r="AC3507" s="183"/>
      <c r="AD3507" s="183"/>
      <c r="AE3507" s="183"/>
      <c r="AF3507" s="184"/>
      <c r="AG3507" s="180"/>
      <c r="AH3507" s="185">
        <f>IFERROR(__xludf.DUMMYFUNCTION("""COMPUTED_VALUE"""),43281.26566091435)</f>
        <v>43281.26566</v>
      </c>
      <c r="AI3507" s="182"/>
      <c r="AJ3507" s="182"/>
      <c r="AK3507" s="182"/>
      <c r="AL3507" s="182"/>
    </row>
    <row r="3508" ht="20.25" customHeight="1">
      <c r="A3508" s="169" t="str">
        <f>IFERROR(__xludf.DUMMYFUNCTION("""COMPUTED_VALUE"""),"TomP")</f>
        <v>TomP</v>
      </c>
      <c r="B3508" s="170" t="str">
        <f>IFERROR(__xludf.DUMMYFUNCTION("""COMPUTED_VALUE"""),"Woodbridge")</f>
        <v>Woodbridge</v>
      </c>
      <c r="C3508" s="170" t="str">
        <f>IFERROR(__xludf.DUMMYFUNCTION("""COMPUTED_VALUE"""),"VA")</f>
        <v>VA</v>
      </c>
      <c r="D3508" s="170" t="str">
        <f>IFERROR(__xludf.DUMMYFUNCTION("""COMPUTED_VALUE"""),"USA")</f>
        <v>USA</v>
      </c>
      <c r="E3508" s="171">
        <f>IFERROR(__xludf.DUMMYFUNCTION("""COMPUTED_VALUE"""),43207.0)</f>
        <v>43207</v>
      </c>
      <c r="F3508" s="172">
        <f>IFERROR(__xludf.DUMMYFUNCTION("""COMPUTED_VALUE"""),43258.0)</f>
        <v>43258</v>
      </c>
      <c r="G3508" s="173"/>
      <c r="H3508" s="174">
        <f>IFERROR(__xludf.DUMMYFUNCTION("""COMPUTED_VALUE"""),27144.0)</f>
        <v>27144</v>
      </c>
      <c r="I3508" s="175" t="str">
        <f>IFERROR(__xludf.DUMMYFUNCTION("""COMPUTED_VALUE"""),"06/18")</f>
        <v>06/18</v>
      </c>
      <c r="J3508" s="172">
        <f>IFERROR(__xludf.DUMMYFUNCTION("""COMPUTED_VALUE"""),43280.0)</f>
        <v>43280</v>
      </c>
      <c r="K3508" s="176">
        <f>IFERROR(__xludf.DUMMYFUNCTION("""COMPUTED_VALUE"""),51.0)</f>
        <v>51</v>
      </c>
      <c r="L3508" s="176">
        <f>IFERROR(__xludf.DUMMYFUNCTION("""COMPUTED_VALUE"""),22.0)</f>
        <v>22</v>
      </c>
      <c r="M3508" s="176">
        <f>IFERROR(__xludf.DUMMYFUNCTION("""COMPUTED_VALUE"""),73.0)</f>
        <v>73</v>
      </c>
      <c r="N3508" s="177" t="str">
        <f>IFERROR(__xludf.DUMMYFUNCTION("""COMPUTED_VALUE"""),"Model 3 LR")</f>
        <v>Model 3 LR</v>
      </c>
      <c r="O3508" s="177" t="str">
        <f>IFERROR(__xludf.DUMMYFUNCTION("""COMPUTED_VALUE"""),"Pearl White Multi-Coat")</f>
        <v>Pearl White Multi-Coat</v>
      </c>
      <c r="P3508" s="178" t="str">
        <f>IFERROR(__xludf.DUMMYFUNCTION("""COMPUTED_VALUE"""),"18 inch Aero")</f>
        <v>18 inch Aero</v>
      </c>
      <c r="Q3508" s="177" t="str">
        <f>IFERROR(__xludf.DUMMYFUNCTION("""COMPUTED_VALUE"""),"Black seats")</f>
        <v>Black seats</v>
      </c>
      <c r="R3508" s="170" t="str">
        <f>IFERROR(__xludf.DUMMYFUNCTION("""COMPUTED_VALUE"""),"Enhanced Autopilot")</f>
        <v>Enhanced Autopilot</v>
      </c>
      <c r="S3508" s="170"/>
      <c r="T3508" s="179"/>
      <c r="U3508" s="179"/>
      <c r="V3508" s="179"/>
      <c r="W3508" s="180"/>
      <c r="X3508" s="181" t="str">
        <f>IFERROR(__xludf.DUMMYFUNCTION("""COMPUTED_VALUE"""),"Excellent")</f>
        <v>Excellent</v>
      </c>
      <c r="Y3508" s="182" t="str">
        <f>IFERROR(__xludf.DUMMYFUNCTION("""COMPUTED_VALUE"""),"Excellent")</f>
        <v>Excellent</v>
      </c>
      <c r="Z3508" s="182" t="str">
        <f>IFERROR(__xludf.DUMMYFUNCTION("""COMPUTED_VALUE"""),"Excellent")</f>
        <v>Excellent</v>
      </c>
      <c r="AA3508" s="182" t="str">
        <f>IFERROR(__xludf.DUMMYFUNCTION("""COMPUTED_VALUE"""),"Excellent")</f>
        <v>Excellent</v>
      </c>
      <c r="AB3508" s="182" t="str">
        <f>IFERROR(__xludf.DUMMYFUNCTION("""COMPUTED_VALUE"""),"Excellent")</f>
        <v>Excellent</v>
      </c>
      <c r="AC3508" s="183">
        <f>IFERROR(__xludf.DUMMYFUNCTION("""COMPUTED_VALUE"""),0.0)</f>
        <v>0</v>
      </c>
      <c r="AD3508" s="183">
        <f>IFERROR(__xludf.DUMMYFUNCTION("""COMPUTED_VALUE"""),0.0)</f>
        <v>0</v>
      </c>
      <c r="AE3508" s="183"/>
      <c r="AF3508" s="184"/>
      <c r="AG3508" s="180"/>
      <c r="AH3508" s="185">
        <f>IFERROR(__xludf.DUMMYFUNCTION("""COMPUTED_VALUE"""),43308.890771990744)</f>
        <v>43308.89077</v>
      </c>
      <c r="AI3508" s="182"/>
      <c r="AJ3508" s="182"/>
      <c r="AK3508" s="182"/>
      <c r="AL3508" s="182"/>
    </row>
    <row r="3509" ht="20.25" customHeight="1">
      <c r="A3509" s="169" t="str">
        <f>IFERROR(__xludf.DUMMYFUNCTION("""COMPUTED_VALUE"""),"GDN")</f>
        <v>GDN</v>
      </c>
      <c r="B3509" s="170" t="str">
        <f>IFERROR(__xludf.DUMMYFUNCTION("""COMPUTED_VALUE"""),"Dallas")</f>
        <v>Dallas</v>
      </c>
      <c r="C3509" s="170" t="str">
        <f>IFERROR(__xludf.DUMMYFUNCTION("""COMPUTED_VALUE"""),"TX")</f>
        <v>TX</v>
      </c>
      <c r="D3509" s="170" t="str">
        <f>IFERROR(__xludf.DUMMYFUNCTION("""COMPUTED_VALUE"""),"USA")</f>
        <v>USA</v>
      </c>
      <c r="E3509" s="171">
        <f>IFERROR(__xludf.DUMMYFUNCTION("""COMPUTED_VALUE"""),43206.0)</f>
        <v>43206</v>
      </c>
      <c r="F3509" s="172">
        <f>IFERROR(__xludf.DUMMYFUNCTION("""COMPUTED_VALUE"""),43245.0)</f>
        <v>43245</v>
      </c>
      <c r="G3509" s="173"/>
      <c r="H3509" s="174">
        <f>IFERROR(__xludf.DUMMYFUNCTION("""COMPUTED_VALUE"""),23820.0)</f>
        <v>23820</v>
      </c>
      <c r="I3509" s="175" t="str">
        <f>IFERROR(__xludf.DUMMYFUNCTION("""COMPUTED_VALUE"""),"05/18")</f>
        <v>05/18</v>
      </c>
      <c r="J3509" s="172">
        <f>IFERROR(__xludf.DUMMYFUNCTION("""COMPUTED_VALUE"""),43260.0)</f>
        <v>43260</v>
      </c>
      <c r="K3509" s="176">
        <f>IFERROR(__xludf.DUMMYFUNCTION("""COMPUTED_VALUE"""),39.0)</f>
        <v>39</v>
      </c>
      <c r="L3509" s="176">
        <f>IFERROR(__xludf.DUMMYFUNCTION("""COMPUTED_VALUE"""),15.0)</f>
        <v>15</v>
      </c>
      <c r="M3509" s="176">
        <f>IFERROR(__xludf.DUMMYFUNCTION("""COMPUTED_VALUE"""),54.0)</f>
        <v>54</v>
      </c>
      <c r="N3509" s="177" t="str">
        <f>IFERROR(__xludf.DUMMYFUNCTION("""COMPUTED_VALUE"""),"Model 3 LR")</f>
        <v>Model 3 LR</v>
      </c>
      <c r="O3509" s="177" t="str">
        <f>IFERROR(__xludf.DUMMYFUNCTION("""COMPUTED_VALUE"""),"Midnight Silver Metallic")</f>
        <v>Midnight Silver Metallic</v>
      </c>
      <c r="P3509" s="178" t="str">
        <f>IFERROR(__xludf.DUMMYFUNCTION("""COMPUTED_VALUE"""),"19 inch Sport")</f>
        <v>19 inch Sport</v>
      </c>
      <c r="Q3509" s="177" t="str">
        <f>IFERROR(__xludf.DUMMYFUNCTION("""COMPUTED_VALUE"""),"Black seats")</f>
        <v>Black seats</v>
      </c>
      <c r="R3509" s="170" t="str">
        <f>IFERROR(__xludf.DUMMYFUNCTION("""COMPUTED_VALUE"""),"Enhanced Autopilot")</f>
        <v>Enhanced Autopilot</v>
      </c>
      <c r="S3509" s="170"/>
      <c r="T3509" s="179"/>
      <c r="U3509" s="179"/>
      <c r="V3509" s="179"/>
      <c r="W3509" s="180"/>
      <c r="X3509" s="181" t="str">
        <f>IFERROR(__xludf.DUMMYFUNCTION("""COMPUTED_VALUE"""),"Excellent")</f>
        <v>Excellent</v>
      </c>
      <c r="Y3509" s="182" t="str">
        <f>IFERROR(__xludf.DUMMYFUNCTION("""COMPUTED_VALUE"""),"Excellent")</f>
        <v>Excellent</v>
      </c>
      <c r="Z3509" s="182" t="str">
        <f>IFERROR(__xludf.DUMMYFUNCTION("""COMPUTED_VALUE"""),"Excellent")</f>
        <v>Excellent</v>
      </c>
      <c r="AA3509" s="182" t="str">
        <f>IFERROR(__xludf.DUMMYFUNCTION("""COMPUTED_VALUE"""),"Excellent")</f>
        <v>Excellent</v>
      </c>
      <c r="AB3509" s="182" t="str">
        <f>IFERROR(__xludf.DUMMYFUNCTION("""COMPUTED_VALUE"""),"Excellent")</f>
        <v>Excellent</v>
      </c>
      <c r="AC3509" s="183"/>
      <c r="AD3509" s="183"/>
      <c r="AE3509" s="183"/>
      <c r="AF3509" s="184"/>
      <c r="AG3509" s="180"/>
      <c r="AH3509" s="185">
        <f>IFERROR(__xludf.DUMMYFUNCTION("""COMPUTED_VALUE"""),43277.46663568287)</f>
        <v>43277.46664</v>
      </c>
      <c r="AI3509" s="182"/>
      <c r="AJ3509" s="182"/>
      <c r="AK3509" s="182"/>
      <c r="AL3509" s="182"/>
    </row>
    <row r="3510" ht="20.25" customHeight="1">
      <c r="A3510" s="169" t="str">
        <f>IFERROR(__xludf.DUMMYFUNCTION("""COMPUTED_VALUE"""),"gtloyal")</f>
        <v>gtloyal</v>
      </c>
      <c r="B3510" s="170" t="str">
        <f>IFERROR(__xludf.DUMMYFUNCTION("""COMPUTED_VALUE"""),"Atlanta")</f>
        <v>Atlanta</v>
      </c>
      <c r="C3510" s="170" t="str">
        <f>IFERROR(__xludf.DUMMYFUNCTION("""COMPUTED_VALUE"""),"GA")</f>
        <v>GA</v>
      </c>
      <c r="D3510" s="170" t="str">
        <f>IFERROR(__xludf.DUMMYFUNCTION("""COMPUTED_VALUE"""),"USA")</f>
        <v>USA</v>
      </c>
      <c r="E3510" s="171">
        <f>IFERROR(__xludf.DUMMYFUNCTION("""COMPUTED_VALUE"""),43206.0)</f>
        <v>43206</v>
      </c>
      <c r="F3510" s="172">
        <f>IFERROR(__xludf.DUMMYFUNCTION("""COMPUTED_VALUE"""),43265.0)</f>
        <v>43265</v>
      </c>
      <c r="G3510" s="173"/>
      <c r="H3510" s="174">
        <f>IFERROR(__xludf.DUMMYFUNCTION("""COMPUTED_VALUE"""),36155.0)</f>
        <v>36155</v>
      </c>
      <c r="I3510" s="175" t="str">
        <f>IFERROR(__xludf.DUMMYFUNCTION("""COMPUTED_VALUE"""),"06/18")</f>
        <v>06/18</v>
      </c>
      <c r="J3510" s="172">
        <f>IFERROR(__xludf.DUMMYFUNCTION("""COMPUTED_VALUE"""),43297.0)</f>
        <v>43297</v>
      </c>
      <c r="K3510" s="176">
        <f>IFERROR(__xludf.DUMMYFUNCTION("""COMPUTED_VALUE"""),59.0)</f>
        <v>59</v>
      </c>
      <c r="L3510" s="176">
        <f>IFERROR(__xludf.DUMMYFUNCTION("""COMPUTED_VALUE"""),32.0)</f>
        <v>32</v>
      </c>
      <c r="M3510" s="176">
        <f>IFERROR(__xludf.DUMMYFUNCTION("""COMPUTED_VALUE"""),91.0)</f>
        <v>91</v>
      </c>
      <c r="N3510" s="177" t="str">
        <f>IFERROR(__xludf.DUMMYFUNCTION("""COMPUTED_VALUE"""),"Model 3 LR")</f>
        <v>Model 3 LR</v>
      </c>
      <c r="O3510" s="177" t="str">
        <f>IFERROR(__xludf.DUMMYFUNCTION("""COMPUTED_VALUE"""),"Solid Black")</f>
        <v>Solid Black</v>
      </c>
      <c r="P3510" s="178" t="str">
        <f>IFERROR(__xludf.DUMMYFUNCTION("""COMPUTED_VALUE"""),"18 inch Aero")</f>
        <v>18 inch Aero</v>
      </c>
      <c r="Q3510" s="177" t="str">
        <f>IFERROR(__xludf.DUMMYFUNCTION("""COMPUTED_VALUE"""),"Black seats")</f>
        <v>Black seats</v>
      </c>
      <c r="R3510" s="170" t="str">
        <f>IFERROR(__xludf.DUMMYFUNCTION("""COMPUTED_VALUE"""),"Enhanced Autopilot")</f>
        <v>Enhanced Autopilot</v>
      </c>
      <c r="S3510" s="170"/>
      <c r="T3510" s="179"/>
      <c r="U3510" s="179"/>
      <c r="V3510" s="179"/>
      <c r="W3510" s="180"/>
      <c r="X3510" s="181" t="str">
        <f>IFERROR(__xludf.DUMMYFUNCTION("""COMPUTED_VALUE"""),"Excellent")</f>
        <v>Excellent</v>
      </c>
      <c r="Y3510" s="182" t="str">
        <f>IFERROR(__xludf.DUMMYFUNCTION("""COMPUTED_VALUE"""),"Excellent")</f>
        <v>Excellent</v>
      </c>
      <c r="Z3510" s="182" t="str">
        <f>IFERROR(__xludf.DUMMYFUNCTION("""COMPUTED_VALUE"""),"Very Good")</f>
        <v>Very Good</v>
      </c>
      <c r="AA3510" s="182" t="str">
        <f>IFERROR(__xludf.DUMMYFUNCTION("""COMPUTED_VALUE"""),"Good")</f>
        <v>Good</v>
      </c>
      <c r="AB3510" s="182" t="str">
        <f>IFERROR(__xludf.DUMMYFUNCTION("""COMPUTED_VALUE"""),"Excellent")</f>
        <v>Excellent</v>
      </c>
      <c r="AC3510" s="183"/>
      <c r="AD3510" s="183"/>
      <c r="AE3510" s="183"/>
      <c r="AF3510" s="184"/>
      <c r="AG3510" s="180"/>
      <c r="AH3510" s="185">
        <f>IFERROR(__xludf.DUMMYFUNCTION("""COMPUTED_VALUE"""),43297.65801099537)</f>
        <v>43297.65801</v>
      </c>
      <c r="AI3510" s="182"/>
      <c r="AJ3510" s="182"/>
      <c r="AK3510" s="182"/>
      <c r="AL3510" s="182"/>
    </row>
    <row r="3511" ht="20.25" customHeight="1">
      <c r="A3511" s="169" t="str">
        <f>IFERROR(__xludf.DUMMYFUNCTION("""COMPUTED_VALUE"""),"hockeyscott")</f>
        <v>hockeyscott</v>
      </c>
      <c r="B3511" s="170" t="str">
        <f>IFERROR(__xludf.DUMMYFUNCTION("""COMPUTED_VALUE"""),"New Hampshire")</f>
        <v>New Hampshire</v>
      </c>
      <c r="C3511" s="170" t="str">
        <f>IFERROR(__xludf.DUMMYFUNCTION("""COMPUTED_VALUE"""),"NH")</f>
        <v>NH</v>
      </c>
      <c r="D3511" s="170" t="str">
        <f>IFERROR(__xludf.DUMMYFUNCTION("""COMPUTED_VALUE"""),"USA")</f>
        <v>USA</v>
      </c>
      <c r="E3511" s="171">
        <f>IFERROR(__xludf.DUMMYFUNCTION("""COMPUTED_VALUE"""),43206.0)</f>
        <v>43206</v>
      </c>
      <c r="F3511" s="172">
        <f>IFERROR(__xludf.DUMMYFUNCTION("""COMPUTED_VALUE"""),43234.0)</f>
        <v>43234</v>
      </c>
      <c r="G3511" s="173"/>
      <c r="H3511" s="174">
        <f>IFERROR(__xludf.DUMMYFUNCTION("""COMPUTED_VALUE"""),22355.0)</f>
        <v>22355</v>
      </c>
      <c r="I3511" s="175"/>
      <c r="J3511" s="172">
        <f>IFERROR(__xludf.DUMMYFUNCTION("""COMPUTED_VALUE"""),43264.0)</f>
        <v>43264</v>
      </c>
      <c r="K3511" s="176">
        <f>IFERROR(__xludf.DUMMYFUNCTION("""COMPUTED_VALUE"""),28.0)</f>
        <v>28</v>
      </c>
      <c r="L3511" s="176">
        <f>IFERROR(__xludf.DUMMYFUNCTION("""COMPUTED_VALUE"""),30.0)</f>
        <v>30</v>
      </c>
      <c r="M3511" s="176">
        <f>IFERROR(__xludf.DUMMYFUNCTION("""COMPUTED_VALUE"""),58.0)</f>
        <v>58</v>
      </c>
      <c r="N3511" s="177" t="str">
        <f>IFERROR(__xludf.DUMMYFUNCTION("""COMPUTED_VALUE"""),"Model 3 LR")</f>
        <v>Model 3 LR</v>
      </c>
      <c r="O3511" s="177" t="str">
        <f>IFERROR(__xludf.DUMMYFUNCTION("""COMPUTED_VALUE"""),"Red Multi-Coat")</f>
        <v>Red Multi-Coat</v>
      </c>
      <c r="P3511" s="178" t="str">
        <f>IFERROR(__xludf.DUMMYFUNCTION("""COMPUTED_VALUE"""),"18 inch Aero")</f>
        <v>18 inch Aero</v>
      </c>
      <c r="Q3511" s="177" t="str">
        <f>IFERROR(__xludf.DUMMYFUNCTION("""COMPUTED_VALUE"""),"Black seats")</f>
        <v>Black seats</v>
      </c>
      <c r="R3511" s="170" t="str">
        <f>IFERROR(__xludf.DUMMYFUNCTION("""COMPUTED_VALUE"""),"Enhanced Autopilot")</f>
        <v>Enhanced Autopilot</v>
      </c>
      <c r="S3511" s="170"/>
      <c r="T3511" s="179"/>
      <c r="U3511" s="179"/>
      <c r="V3511" s="179"/>
      <c r="W3511" s="180"/>
      <c r="X3511" s="181" t="str">
        <f>IFERROR(__xludf.DUMMYFUNCTION("""COMPUTED_VALUE"""),"Excellent")</f>
        <v>Excellent</v>
      </c>
      <c r="Y3511" s="182" t="str">
        <f>IFERROR(__xludf.DUMMYFUNCTION("""COMPUTED_VALUE"""),"Excellent")</f>
        <v>Excellent</v>
      </c>
      <c r="Z3511" s="182" t="str">
        <f>IFERROR(__xludf.DUMMYFUNCTION("""COMPUTED_VALUE"""),"Excellent")</f>
        <v>Excellent</v>
      </c>
      <c r="AA3511" s="182" t="str">
        <f>IFERROR(__xludf.DUMMYFUNCTION("""COMPUTED_VALUE"""),"Excellent")</f>
        <v>Excellent</v>
      </c>
      <c r="AB3511" s="182" t="str">
        <f>IFERROR(__xludf.DUMMYFUNCTION("""COMPUTED_VALUE"""),"Excellent")</f>
        <v>Excellent</v>
      </c>
      <c r="AC3511" s="183">
        <f>IFERROR(__xludf.DUMMYFUNCTION("""COMPUTED_VALUE"""),0.0)</f>
        <v>0</v>
      </c>
      <c r="AD3511" s="183">
        <f>IFERROR(__xludf.DUMMYFUNCTION("""COMPUTED_VALUE"""),0.0)</f>
        <v>0</v>
      </c>
      <c r="AE3511" s="183">
        <f>IFERROR(__xludf.DUMMYFUNCTION("""COMPUTED_VALUE"""),0.0)</f>
        <v>0</v>
      </c>
      <c r="AF3511" s="184"/>
      <c r="AG3511" s="180"/>
      <c r="AH3511" s="185">
        <f>IFERROR(__xludf.DUMMYFUNCTION("""COMPUTED_VALUE"""),43293.51453530092)</f>
        <v>43293.51454</v>
      </c>
      <c r="AI3511" s="182"/>
      <c r="AJ3511" s="182"/>
      <c r="AK3511" s="182"/>
      <c r="AL3511" s="182"/>
    </row>
    <row r="3512" ht="20.25" customHeight="1">
      <c r="A3512" s="169" t="str">
        <f>IFERROR(__xludf.DUMMYFUNCTION("""COMPUTED_VALUE"""),"jsanford ")</f>
        <v>jsanford </v>
      </c>
      <c r="B3512" s="170" t="str">
        <f>IFERROR(__xludf.DUMMYFUNCTION("""COMPUTED_VALUE"""),"Seattle")</f>
        <v>Seattle</v>
      </c>
      <c r="C3512" s="170" t="str">
        <f>IFERROR(__xludf.DUMMYFUNCTION("""COMPUTED_VALUE"""),"WA")</f>
        <v>WA</v>
      </c>
      <c r="D3512" s="170" t="str">
        <f>IFERROR(__xludf.DUMMYFUNCTION("""COMPUTED_VALUE"""),"USA")</f>
        <v>USA</v>
      </c>
      <c r="E3512" s="171">
        <f>IFERROR(__xludf.DUMMYFUNCTION("""COMPUTED_VALUE"""),43206.0)</f>
        <v>43206</v>
      </c>
      <c r="F3512" s="172">
        <f>IFERROR(__xludf.DUMMYFUNCTION("""COMPUTED_VALUE"""),43227.0)</f>
        <v>43227</v>
      </c>
      <c r="G3512" s="173"/>
      <c r="H3512" s="174">
        <f>IFERROR(__xludf.DUMMYFUNCTION("""COMPUTED_VALUE"""),22055.0)</f>
        <v>22055</v>
      </c>
      <c r="I3512" s="175"/>
      <c r="J3512" s="172">
        <f>IFERROR(__xludf.DUMMYFUNCTION("""COMPUTED_VALUE"""),43241.0)</f>
        <v>43241</v>
      </c>
      <c r="K3512" s="176">
        <f>IFERROR(__xludf.DUMMYFUNCTION("""COMPUTED_VALUE"""),21.0)</f>
        <v>21</v>
      </c>
      <c r="L3512" s="176">
        <f>IFERROR(__xludf.DUMMYFUNCTION("""COMPUTED_VALUE"""),14.0)</f>
        <v>14</v>
      </c>
      <c r="M3512" s="176">
        <f>IFERROR(__xludf.DUMMYFUNCTION("""COMPUTED_VALUE"""),35.0)</f>
        <v>35</v>
      </c>
      <c r="N3512" s="177" t="str">
        <f>IFERROR(__xludf.DUMMYFUNCTION("""COMPUTED_VALUE"""),"Model 3 LR")</f>
        <v>Model 3 LR</v>
      </c>
      <c r="O3512" s="177" t="str">
        <f>IFERROR(__xludf.DUMMYFUNCTION("""COMPUTED_VALUE"""),"Red Multi-Coat")</f>
        <v>Red Multi-Coat</v>
      </c>
      <c r="P3512" s="178" t="str">
        <f>IFERROR(__xludf.DUMMYFUNCTION("""COMPUTED_VALUE"""),"18 inch Aero")</f>
        <v>18 inch Aero</v>
      </c>
      <c r="Q3512" s="177" t="str">
        <f>IFERROR(__xludf.DUMMYFUNCTION("""COMPUTED_VALUE"""),"Black seats")</f>
        <v>Black seats</v>
      </c>
      <c r="R3512" s="170" t="str">
        <f>IFERROR(__xludf.DUMMYFUNCTION("""COMPUTED_VALUE"""),"None")</f>
        <v>None</v>
      </c>
      <c r="S3512" s="170"/>
      <c r="T3512" s="179"/>
      <c r="U3512" s="179"/>
      <c r="V3512" s="179"/>
      <c r="W3512" s="180"/>
      <c r="X3512" s="181" t="str">
        <f>IFERROR(__xludf.DUMMYFUNCTION("""COMPUTED_VALUE"""),"Excellent")</f>
        <v>Excellent</v>
      </c>
      <c r="Y3512" s="182" t="str">
        <f>IFERROR(__xludf.DUMMYFUNCTION("""COMPUTED_VALUE"""),"Excellent")</f>
        <v>Excellent</v>
      </c>
      <c r="Z3512" s="182" t="str">
        <f>IFERROR(__xludf.DUMMYFUNCTION("""COMPUTED_VALUE"""),"Excellent")</f>
        <v>Excellent</v>
      </c>
      <c r="AA3512" s="182"/>
      <c r="AB3512" s="182" t="str">
        <f>IFERROR(__xludf.DUMMYFUNCTION("""COMPUTED_VALUE"""),"Excellent")</f>
        <v>Excellent</v>
      </c>
      <c r="AC3512" s="183"/>
      <c r="AD3512" s="183"/>
      <c r="AE3512" s="183"/>
      <c r="AF3512" s="184"/>
      <c r="AG3512" s="180" t="str">
        <f>IFERROR(__xludf.DUMMYFUNCTION("""COMPUTED_VALUE"""),"Orig. SR but wanted WA tax credit ")</f>
        <v>Orig. SR but wanted WA tax credit </v>
      </c>
      <c r="AH3512" s="185">
        <f>IFERROR(__xludf.DUMMYFUNCTION("""COMPUTED_VALUE"""),43242.28086924769)</f>
        <v>43242.28087</v>
      </c>
      <c r="AI3512" s="182"/>
      <c r="AJ3512" s="182"/>
      <c r="AK3512" s="182"/>
      <c r="AL3512" s="182"/>
    </row>
    <row r="3513" ht="20.25" customHeight="1">
      <c r="A3513" s="169" t="str">
        <f>IFERROR(__xludf.DUMMYFUNCTION("""COMPUTED_VALUE"""),"needOnlyPositive")</f>
        <v>needOnlyPositive</v>
      </c>
      <c r="B3513" s="170" t="str">
        <f>IFERROR(__xludf.DUMMYFUNCTION("""COMPUTED_VALUE"""),"Remond")</f>
        <v>Remond</v>
      </c>
      <c r="C3513" s="170" t="str">
        <f>IFERROR(__xludf.DUMMYFUNCTION("""COMPUTED_VALUE"""),"WA")</f>
        <v>WA</v>
      </c>
      <c r="D3513" s="170" t="str">
        <f>IFERROR(__xludf.DUMMYFUNCTION("""COMPUTED_VALUE"""),"USA")</f>
        <v>USA</v>
      </c>
      <c r="E3513" s="171">
        <f>IFERROR(__xludf.DUMMYFUNCTION("""COMPUTED_VALUE"""),43206.0)</f>
        <v>43206</v>
      </c>
      <c r="F3513" s="172">
        <f>IFERROR(__xludf.DUMMYFUNCTION("""COMPUTED_VALUE"""),43228.0)</f>
        <v>43228</v>
      </c>
      <c r="G3513" s="173"/>
      <c r="H3513" s="174">
        <f>IFERROR(__xludf.DUMMYFUNCTION("""COMPUTED_VALUE"""),22345.0)</f>
        <v>22345</v>
      </c>
      <c r="I3513" s="175"/>
      <c r="J3513" s="172">
        <f>IFERROR(__xludf.DUMMYFUNCTION("""COMPUTED_VALUE"""),43249.0)</f>
        <v>43249</v>
      </c>
      <c r="K3513" s="176">
        <f>IFERROR(__xludf.DUMMYFUNCTION("""COMPUTED_VALUE"""),22.0)</f>
        <v>22</v>
      </c>
      <c r="L3513" s="176">
        <f>IFERROR(__xludf.DUMMYFUNCTION("""COMPUTED_VALUE"""),21.0)</f>
        <v>21</v>
      </c>
      <c r="M3513" s="176">
        <f>IFERROR(__xludf.DUMMYFUNCTION("""COMPUTED_VALUE"""),43.0)</f>
        <v>43</v>
      </c>
      <c r="N3513" s="177" t="str">
        <f>IFERROR(__xludf.DUMMYFUNCTION("""COMPUTED_VALUE"""),"Model 3 LR")</f>
        <v>Model 3 LR</v>
      </c>
      <c r="O3513" s="177" t="str">
        <f>IFERROR(__xludf.DUMMYFUNCTION("""COMPUTED_VALUE"""),"Red Multi-Coat")</f>
        <v>Red Multi-Coat</v>
      </c>
      <c r="P3513" s="178" t="str">
        <f>IFERROR(__xludf.DUMMYFUNCTION("""COMPUTED_VALUE"""),"18 inch Aero")</f>
        <v>18 inch Aero</v>
      </c>
      <c r="Q3513" s="177" t="str">
        <f>IFERROR(__xludf.DUMMYFUNCTION("""COMPUTED_VALUE"""),"Black seats")</f>
        <v>Black seats</v>
      </c>
      <c r="R3513" s="170" t="str">
        <f>IFERROR(__xludf.DUMMYFUNCTION("""COMPUTED_VALUE"""),"Enhanced Autopilot")</f>
        <v>Enhanced Autopilot</v>
      </c>
      <c r="S3513" s="170"/>
      <c r="T3513" s="179"/>
      <c r="U3513" s="179"/>
      <c r="V3513" s="179"/>
      <c r="W3513" s="180"/>
      <c r="X3513" s="181" t="str">
        <f>IFERROR(__xludf.DUMMYFUNCTION("""COMPUTED_VALUE"""),"Very Good")</f>
        <v>Very Good</v>
      </c>
      <c r="Y3513" s="182" t="str">
        <f>IFERROR(__xludf.DUMMYFUNCTION("""COMPUTED_VALUE"""),"Excellent")</f>
        <v>Excellent</v>
      </c>
      <c r="Z3513" s="182" t="str">
        <f>IFERROR(__xludf.DUMMYFUNCTION("""COMPUTED_VALUE"""),"Good")</f>
        <v>Good</v>
      </c>
      <c r="AA3513" s="182"/>
      <c r="AB3513" s="182" t="str">
        <f>IFERROR(__xludf.DUMMYFUNCTION("""COMPUTED_VALUE"""),"Excellent")</f>
        <v>Excellent</v>
      </c>
      <c r="AC3513" s="183"/>
      <c r="AD3513" s="183"/>
      <c r="AE3513" s="183"/>
      <c r="AF3513" s="184"/>
      <c r="AG3513" s="180"/>
      <c r="AH3513" s="185">
        <f>IFERROR(__xludf.DUMMYFUNCTION("""COMPUTED_VALUE"""),43249.57800228009)</f>
        <v>43249.578</v>
      </c>
      <c r="AI3513" s="182"/>
      <c r="AJ3513" s="182"/>
      <c r="AK3513" s="182"/>
      <c r="AL3513" s="182"/>
    </row>
    <row r="3514" ht="20.25" customHeight="1">
      <c r="A3514" s="169" t="str">
        <f>IFERROR(__xludf.DUMMYFUNCTION("""COMPUTED_VALUE"""),"rbrower3")</f>
        <v>rbrower3</v>
      </c>
      <c r="B3514" s="170" t="str">
        <f>IFERROR(__xludf.DUMMYFUNCTION("""COMPUTED_VALUE"""),"Herndon")</f>
        <v>Herndon</v>
      </c>
      <c r="C3514" s="170" t="str">
        <f>IFERROR(__xludf.DUMMYFUNCTION("""COMPUTED_VALUE"""),"VA")</f>
        <v>VA</v>
      </c>
      <c r="D3514" s="170" t="str">
        <f>IFERROR(__xludf.DUMMYFUNCTION("""COMPUTED_VALUE"""),"USA")</f>
        <v>USA</v>
      </c>
      <c r="E3514" s="171">
        <f>IFERROR(__xludf.DUMMYFUNCTION("""COMPUTED_VALUE"""),43206.0)</f>
        <v>43206</v>
      </c>
      <c r="F3514" s="172">
        <f>IFERROR(__xludf.DUMMYFUNCTION("""COMPUTED_VALUE"""),43246.0)</f>
        <v>43246</v>
      </c>
      <c r="G3514" s="173"/>
      <c r="H3514" s="174">
        <f>IFERROR(__xludf.DUMMYFUNCTION("""COMPUTED_VALUE"""),23555.0)</f>
        <v>23555</v>
      </c>
      <c r="I3514" s="175" t="str">
        <f>IFERROR(__xludf.DUMMYFUNCTION("""COMPUTED_VALUE"""),"05/18")</f>
        <v>05/18</v>
      </c>
      <c r="J3514" s="172">
        <f>IFERROR(__xludf.DUMMYFUNCTION("""COMPUTED_VALUE"""),43264.0)</f>
        <v>43264</v>
      </c>
      <c r="K3514" s="176">
        <f>IFERROR(__xludf.DUMMYFUNCTION("""COMPUTED_VALUE"""),40.0)</f>
        <v>40</v>
      </c>
      <c r="L3514" s="176">
        <f>IFERROR(__xludf.DUMMYFUNCTION("""COMPUTED_VALUE"""),18.0)</f>
        <v>18</v>
      </c>
      <c r="M3514" s="176">
        <f>IFERROR(__xludf.DUMMYFUNCTION("""COMPUTED_VALUE"""),58.0)</f>
        <v>58</v>
      </c>
      <c r="N3514" s="177" t="str">
        <f>IFERROR(__xludf.DUMMYFUNCTION("""COMPUTED_VALUE"""),"Model 3 LR")</f>
        <v>Model 3 LR</v>
      </c>
      <c r="O3514" s="177" t="str">
        <f>IFERROR(__xludf.DUMMYFUNCTION("""COMPUTED_VALUE"""),"Solid Black")</f>
        <v>Solid Black</v>
      </c>
      <c r="P3514" s="178" t="str">
        <f>IFERROR(__xludf.DUMMYFUNCTION("""COMPUTED_VALUE"""),"19 inch Sport")</f>
        <v>19 inch Sport</v>
      </c>
      <c r="Q3514" s="177" t="str">
        <f>IFERROR(__xludf.DUMMYFUNCTION("""COMPUTED_VALUE"""),"Black seats")</f>
        <v>Black seats</v>
      </c>
      <c r="R3514" s="170" t="str">
        <f>IFERROR(__xludf.DUMMYFUNCTION("""COMPUTED_VALUE"""),"Full Self-Driving")</f>
        <v>Full Self-Driving</v>
      </c>
      <c r="S3514" s="170"/>
      <c r="T3514" s="179"/>
      <c r="U3514" s="179"/>
      <c r="V3514" s="179"/>
      <c r="W3514" s="180"/>
      <c r="X3514" s="181" t="str">
        <f>IFERROR(__xludf.DUMMYFUNCTION("""COMPUTED_VALUE"""),"Excellent")</f>
        <v>Excellent</v>
      </c>
      <c r="Y3514" s="182" t="str">
        <f>IFERROR(__xludf.DUMMYFUNCTION("""COMPUTED_VALUE"""),"Very Good")</f>
        <v>Very Good</v>
      </c>
      <c r="Z3514" s="182" t="str">
        <f>IFERROR(__xludf.DUMMYFUNCTION("""COMPUTED_VALUE"""),"Excellent")</f>
        <v>Excellent</v>
      </c>
      <c r="AA3514" s="182" t="str">
        <f>IFERROR(__xludf.DUMMYFUNCTION("""COMPUTED_VALUE"""),"Very Good")</f>
        <v>Very Good</v>
      </c>
      <c r="AB3514" s="182" t="str">
        <f>IFERROR(__xludf.DUMMYFUNCTION("""COMPUTED_VALUE"""),"Very Good")</f>
        <v>Very Good</v>
      </c>
      <c r="AC3514" s="183"/>
      <c r="AD3514" s="183"/>
      <c r="AE3514" s="183"/>
      <c r="AF3514" s="184"/>
      <c r="AG3514" s="180"/>
      <c r="AH3514" s="185">
        <f>IFERROR(__xludf.DUMMYFUNCTION("""COMPUTED_VALUE"""),43275.25391415509)</f>
        <v>43275.25391</v>
      </c>
      <c r="AI3514" s="182"/>
      <c r="AJ3514" s="182"/>
      <c r="AK3514" s="182"/>
      <c r="AL3514" s="182"/>
    </row>
    <row r="3515" ht="20.25" customHeight="1">
      <c r="A3515" s="169" t="str">
        <f>IFERROR(__xludf.DUMMYFUNCTION("""COMPUTED_VALUE"""),"Rcalvin202")</f>
        <v>Rcalvin202</v>
      </c>
      <c r="B3515" s="170" t="str">
        <f>IFERROR(__xludf.DUMMYFUNCTION("""COMPUTED_VALUE"""),"Mn")</f>
        <v>Mn</v>
      </c>
      <c r="C3515" s="170" t="str">
        <f>IFERROR(__xludf.DUMMYFUNCTION("""COMPUTED_VALUE"""),"MN")</f>
        <v>MN</v>
      </c>
      <c r="D3515" s="170" t="str">
        <f>IFERROR(__xludf.DUMMYFUNCTION("""COMPUTED_VALUE"""),"USA")</f>
        <v>USA</v>
      </c>
      <c r="E3515" s="171">
        <f>IFERROR(__xludf.DUMMYFUNCTION("""COMPUTED_VALUE"""),43206.0)</f>
        <v>43206</v>
      </c>
      <c r="F3515" s="172">
        <f>IFERROR(__xludf.DUMMYFUNCTION("""COMPUTED_VALUE"""),43230.0)</f>
        <v>43230</v>
      </c>
      <c r="G3515" s="173"/>
      <c r="H3515" s="174">
        <f>IFERROR(__xludf.DUMMYFUNCTION("""COMPUTED_VALUE"""),21255.0)</f>
        <v>21255</v>
      </c>
      <c r="I3515" s="175"/>
      <c r="J3515" s="172">
        <f>IFERROR(__xludf.DUMMYFUNCTION("""COMPUTED_VALUE"""),43252.0)</f>
        <v>43252</v>
      </c>
      <c r="K3515" s="176">
        <f>IFERROR(__xludf.DUMMYFUNCTION("""COMPUTED_VALUE"""),24.0)</f>
        <v>24</v>
      </c>
      <c r="L3515" s="176">
        <f>IFERROR(__xludf.DUMMYFUNCTION("""COMPUTED_VALUE"""),22.0)</f>
        <v>22</v>
      </c>
      <c r="M3515" s="176">
        <f>IFERROR(__xludf.DUMMYFUNCTION("""COMPUTED_VALUE"""),46.0)</f>
        <v>46</v>
      </c>
      <c r="N3515" s="177" t="str">
        <f>IFERROR(__xludf.DUMMYFUNCTION("""COMPUTED_VALUE"""),"Model 3 LR")</f>
        <v>Model 3 LR</v>
      </c>
      <c r="O3515" s="177" t="str">
        <f>IFERROR(__xludf.DUMMYFUNCTION("""COMPUTED_VALUE"""),"Midnight Silver Metallic")</f>
        <v>Midnight Silver Metallic</v>
      </c>
      <c r="P3515" s="178" t="str">
        <f>IFERROR(__xludf.DUMMYFUNCTION("""COMPUTED_VALUE"""),"18 inch Aero")</f>
        <v>18 inch Aero</v>
      </c>
      <c r="Q3515" s="177" t="str">
        <f>IFERROR(__xludf.DUMMYFUNCTION("""COMPUTED_VALUE"""),"Black seats")</f>
        <v>Black seats</v>
      </c>
      <c r="R3515" s="170" t="str">
        <f>IFERROR(__xludf.DUMMYFUNCTION("""COMPUTED_VALUE"""),"Enhanced Autopilot")</f>
        <v>Enhanced Autopilot</v>
      </c>
      <c r="S3515" s="170"/>
      <c r="T3515" s="179"/>
      <c r="U3515" s="179"/>
      <c r="V3515" s="179"/>
      <c r="W3515" s="180"/>
      <c r="X3515" s="181" t="str">
        <f>IFERROR(__xludf.DUMMYFUNCTION("""COMPUTED_VALUE"""),"Very Good")</f>
        <v>Very Good</v>
      </c>
      <c r="Y3515" s="182" t="str">
        <f>IFERROR(__xludf.DUMMYFUNCTION("""COMPUTED_VALUE"""),"Excellent")</f>
        <v>Excellent</v>
      </c>
      <c r="Z3515" s="182" t="str">
        <f>IFERROR(__xludf.DUMMYFUNCTION("""COMPUTED_VALUE"""),"Excellent")</f>
        <v>Excellent</v>
      </c>
      <c r="AA3515" s="182" t="str">
        <f>IFERROR(__xludf.DUMMYFUNCTION("""COMPUTED_VALUE"""),"Good")</f>
        <v>Good</v>
      </c>
      <c r="AB3515" s="182" t="str">
        <f>IFERROR(__xludf.DUMMYFUNCTION("""COMPUTED_VALUE"""),"Very Good")</f>
        <v>Very Good</v>
      </c>
      <c r="AC3515" s="183"/>
      <c r="AD3515" s="183"/>
      <c r="AE3515" s="183"/>
      <c r="AF3515" s="184"/>
      <c r="AG3515" s="180"/>
      <c r="AH3515" s="185">
        <f>IFERROR(__xludf.DUMMYFUNCTION("""COMPUTED_VALUE"""),43255.733055868055)</f>
        <v>43255.73306</v>
      </c>
      <c r="AI3515" s="182"/>
      <c r="AJ3515" s="182"/>
      <c r="AK3515" s="182"/>
      <c r="AL3515" s="182"/>
    </row>
    <row r="3516" ht="20.25" customHeight="1">
      <c r="A3516" s="169" t="str">
        <f>IFERROR(__xludf.DUMMYFUNCTION("""COMPUTED_VALUE"""),"wheelers")</f>
        <v>wheelers</v>
      </c>
      <c r="B3516" s="170" t="str">
        <f>IFERROR(__xludf.DUMMYFUNCTION("""COMPUTED_VALUE"""),"Spokane")</f>
        <v>Spokane</v>
      </c>
      <c r="C3516" s="170" t="str">
        <f>IFERROR(__xludf.DUMMYFUNCTION("""COMPUTED_VALUE"""),"WA")</f>
        <v>WA</v>
      </c>
      <c r="D3516" s="170" t="str">
        <f>IFERROR(__xludf.DUMMYFUNCTION("""COMPUTED_VALUE"""),"USA")</f>
        <v>USA</v>
      </c>
      <c r="E3516" s="171">
        <f>IFERROR(__xludf.DUMMYFUNCTION("""COMPUTED_VALUE"""),43206.0)</f>
        <v>43206</v>
      </c>
      <c r="F3516" s="172">
        <f>IFERROR(__xludf.DUMMYFUNCTION("""COMPUTED_VALUE"""),43227.0)</f>
        <v>43227</v>
      </c>
      <c r="G3516" s="173"/>
      <c r="H3516" s="174">
        <f>IFERROR(__xludf.DUMMYFUNCTION("""COMPUTED_VALUE"""),26055.0)</f>
        <v>26055</v>
      </c>
      <c r="I3516" s="175"/>
      <c r="J3516" s="172">
        <f>IFERROR(__xludf.DUMMYFUNCTION("""COMPUTED_VALUE"""),43234.0)</f>
        <v>43234</v>
      </c>
      <c r="K3516" s="176">
        <f>IFERROR(__xludf.DUMMYFUNCTION("""COMPUTED_VALUE"""),21.0)</f>
        <v>21</v>
      </c>
      <c r="L3516" s="176">
        <f>IFERROR(__xludf.DUMMYFUNCTION("""COMPUTED_VALUE"""),7.0)</f>
        <v>7</v>
      </c>
      <c r="M3516" s="176">
        <f>IFERROR(__xludf.DUMMYFUNCTION("""COMPUTED_VALUE"""),28.0)</f>
        <v>28</v>
      </c>
      <c r="N3516" s="177" t="str">
        <f>IFERROR(__xludf.DUMMYFUNCTION("""COMPUTED_VALUE"""),"Model 3 LR")</f>
        <v>Model 3 LR</v>
      </c>
      <c r="O3516" s="177" t="str">
        <f>IFERROR(__xludf.DUMMYFUNCTION("""COMPUTED_VALUE"""),"Deep Blue Metallic")</f>
        <v>Deep Blue Metallic</v>
      </c>
      <c r="P3516" s="178" t="str">
        <f>IFERROR(__xludf.DUMMYFUNCTION("""COMPUTED_VALUE"""),"18 inch Aero")</f>
        <v>18 inch Aero</v>
      </c>
      <c r="Q3516" s="177" t="str">
        <f>IFERROR(__xludf.DUMMYFUNCTION("""COMPUTED_VALUE"""),"Black seats")</f>
        <v>Black seats</v>
      </c>
      <c r="R3516" s="170" t="str">
        <f>IFERROR(__xludf.DUMMYFUNCTION("""COMPUTED_VALUE"""),"None")</f>
        <v>None</v>
      </c>
      <c r="S3516" s="170"/>
      <c r="T3516" s="179"/>
      <c r="U3516" s="179"/>
      <c r="V3516" s="179"/>
      <c r="W3516" s="180"/>
      <c r="X3516" s="181" t="str">
        <f>IFERROR(__xludf.DUMMYFUNCTION("""COMPUTED_VALUE"""),"Excellent")</f>
        <v>Excellent</v>
      </c>
      <c r="Y3516" s="182" t="str">
        <f>IFERROR(__xludf.DUMMYFUNCTION("""COMPUTED_VALUE"""),"Excellent")</f>
        <v>Excellent</v>
      </c>
      <c r="Z3516" s="182" t="str">
        <f>IFERROR(__xludf.DUMMYFUNCTION("""COMPUTED_VALUE"""),"Good")</f>
        <v>Good</v>
      </c>
      <c r="AA3516" s="182"/>
      <c r="AB3516" s="182" t="str">
        <f>IFERROR(__xludf.DUMMYFUNCTION("""COMPUTED_VALUE"""),"Excellent")</f>
        <v>Excellent</v>
      </c>
      <c r="AC3516" s="183"/>
      <c r="AD3516" s="183"/>
      <c r="AE3516" s="183"/>
      <c r="AF3516" s="184"/>
      <c r="AG3516" s="180"/>
      <c r="AH3516" s="185">
        <f>IFERROR(__xludf.DUMMYFUNCTION("""COMPUTED_VALUE"""),43237.43940657407)</f>
        <v>43237.43941</v>
      </c>
      <c r="AI3516" s="182"/>
      <c r="AJ3516" s="182"/>
      <c r="AK3516" s="182"/>
      <c r="AL3516" s="182"/>
    </row>
    <row r="3517" ht="20.25" customHeight="1">
      <c r="A3517" s="169" t="str">
        <f>IFERROR(__xludf.DUMMYFUNCTION("""COMPUTED_VALUE"""),"zhuology13")</f>
        <v>zhuology13</v>
      </c>
      <c r="B3517" s="170" t="str">
        <f>IFERROR(__xludf.DUMMYFUNCTION("""COMPUTED_VALUE"""),"Los Angeles")</f>
        <v>Los Angeles</v>
      </c>
      <c r="C3517" s="170" t="str">
        <f>IFERROR(__xludf.DUMMYFUNCTION("""COMPUTED_VALUE"""),"CA")</f>
        <v>CA</v>
      </c>
      <c r="D3517" s="170" t="str">
        <f>IFERROR(__xludf.DUMMYFUNCTION("""COMPUTED_VALUE"""),"USA")</f>
        <v>USA</v>
      </c>
      <c r="E3517" s="171">
        <f>IFERROR(__xludf.DUMMYFUNCTION("""COMPUTED_VALUE"""),43206.0)</f>
        <v>43206</v>
      </c>
      <c r="F3517" s="172">
        <f>IFERROR(__xludf.DUMMYFUNCTION("""COMPUTED_VALUE"""),43185.0)</f>
        <v>43185</v>
      </c>
      <c r="G3517" s="173"/>
      <c r="H3517" s="174">
        <f>IFERROR(__xludf.DUMMYFUNCTION("""COMPUTED_VALUE"""),21355.0)</f>
        <v>21355</v>
      </c>
      <c r="I3517" s="175"/>
      <c r="J3517" s="172">
        <f>IFERROR(__xludf.DUMMYFUNCTION("""COMPUTED_VALUE"""),43253.0)</f>
        <v>43253</v>
      </c>
      <c r="K3517" s="176"/>
      <c r="L3517" s="176">
        <f>IFERROR(__xludf.DUMMYFUNCTION("""COMPUTED_VALUE"""),68.0)</f>
        <v>68</v>
      </c>
      <c r="M3517" s="176">
        <f>IFERROR(__xludf.DUMMYFUNCTION("""COMPUTED_VALUE"""),47.0)</f>
        <v>47</v>
      </c>
      <c r="N3517" s="177" t="str">
        <f>IFERROR(__xludf.DUMMYFUNCTION("""COMPUTED_VALUE"""),"Model 3 LR")</f>
        <v>Model 3 LR</v>
      </c>
      <c r="O3517" s="177" t="str">
        <f>IFERROR(__xludf.DUMMYFUNCTION("""COMPUTED_VALUE"""),"Midnight Silver Metallic")</f>
        <v>Midnight Silver Metallic</v>
      </c>
      <c r="P3517" s="178" t="str">
        <f>IFERROR(__xludf.DUMMYFUNCTION("""COMPUTED_VALUE"""),"18 inch Aero")</f>
        <v>18 inch Aero</v>
      </c>
      <c r="Q3517" s="177" t="str">
        <f>IFERROR(__xludf.DUMMYFUNCTION("""COMPUTED_VALUE"""),"Black seats")</f>
        <v>Black seats</v>
      </c>
      <c r="R3517" s="170" t="str">
        <f>IFERROR(__xludf.DUMMYFUNCTION("""COMPUTED_VALUE"""),"Enhanced Autopilot")</f>
        <v>Enhanced Autopilot</v>
      </c>
      <c r="S3517" s="170"/>
      <c r="T3517" s="179"/>
      <c r="U3517" s="179"/>
      <c r="V3517" s="179"/>
      <c r="W3517" s="180"/>
      <c r="X3517" s="181" t="str">
        <f>IFERROR(__xludf.DUMMYFUNCTION("""COMPUTED_VALUE"""),"Very Good")</f>
        <v>Very Good</v>
      </c>
      <c r="Y3517" s="182" t="str">
        <f>IFERROR(__xludf.DUMMYFUNCTION("""COMPUTED_VALUE"""),"Very Good")</f>
        <v>Very Good</v>
      </c>
      <c r="Z3517" s="182" t="str">
        <f>IFERROR(__xludf.DUMMYFUNCTION("""COMPUTED_VALUE"""),"Very Good")</f>
        <v>Very Good</v>
      </c>
      <c r="AA3517" s="182" t="str">
        <f>IFERROR(__xludf.DUMMYFUNCTION("""COMPUTED_VALUE"""),"Very Good")</f>
        <v>Very Good</v>
      </c>
      <c r="AB3517" s="182" t="str">
        <f>IFERROR(__xludf.DUMMYFUNCTION("""COMPUTED_VALUE"""),"Poor")</f>
        <v>Poor</v>
      </c>
      <c r="AC3517" s="183"/>
      <c r="AD3517" s="183"/>
      <c r="AE3517" s="183"/>
      <c r="AF3517" s="184"/>
      <c r="AG3517" s="180"/>
      <c r="AH3517" s="185">
        <f>IFERROR(__xludf.DUMMYFUNCTION("""COMPUTED_VALUE"""),43270.56199407407)</f>
        <v>43270.56199</v>
      </c>
      <c r="AI3517" s="182"/>
      <c r="AJ3517" s="182"/>
      <c r="AK3517" s="182"/>
      <c r="AL3517" s="182"/>
    </row>
    <row r="3518" ht="20.25" customHeight="1">
      <c r="A3518" s="169" t="str">
        <f>IFERROR(__xludf.DUMMYFUNCTION("""COMPUTED_VALUE"""),"Bravedog")</f>
        <v>Bravedog</v>
      </c>
      <c r="B3518" s="170" t="str">
        <f>IFERROR(__xludf.DUMMYFUNCTION("""COMPUTED_VALUE"""),"Austin")</f>
        <v>Austin</v>
      </c>
      <c r="C3518" s="170" t="str">
        <f>IFERROR(__xludf.DUMMYFUNCTION("""COMPUTED_VALUE"""),"TX")</f>
        <v>TX</v>
      </c>
      <c r="D3518" s="170" t="str">
        <f>IFERROR(__xludf.DUMMYFUNCTION("""COMPUTED_VALUE"""),"USA")</f>
        <v>USA</v>
      </c>
      <c r="E3518" s="171">
        <f>IFERROR(__xludf.DUMMYFUNCTION("""COMPUTED_VALUE"""),43205.0)</f>
        <v>43205</v>
      </c>
      <c r="F3518" s="172">
        <f>IFERROR(__xludf.DUMMYFUNCTION("""COMPUTED_VALUE"""),43266.0)</f>
        <v>43266</v>
      </c>
      <c r="G3518" s="173"/>
      <c r="H3518" s="174">
        <f>IFERROR(__xludf.DUMMYFUNCTION("""COMPUTED_VALUE"""),31380.0)</f>
        <v>31380</v>
      </c>
      <c r="I3518" s="175"/>
      <c r="J3518" s="172">
        <f>IFERROR(__xludf.DUMMYFUNCTION("""COMPUTED_VALUE"""),43294.0)</f>
        <v>43294</v>
      </c>
      <c r="K3518" s="176">
        <f>IFERROR(__xludf.DUMMYFUNCTION("""COMPUTED_VALUE"""),61.0)</f>
        <v>61</v>
      </c>
      <c r="L3518" s="176">
        <f>IFERROR(__xludf.DUMMYFUNCTION("""COMPUTED_VALUE"""),28.0)</f>
        <v>28</v>
      </c>
      <c r="M3518" s="176">
        <f>IFERROR(__xludf.DUMMYFUNCTION("""COMPUTED_VALUE"""),89.0)</f>
        <v>89</v>
      </c>
      <c r="N3518" s="177" t="str">
        <f>IFERROR(__xludf.DUMMYFUNCTION("""COMPUTED_VALUE"""),"Model 3 LR")</f>
        <v>Model 3 LR</v>
      </c>
      <c r="O3518" s="177" t="str">
        <f>IFERROR(__xludf.DUMMYFUNCTION("""COMPUTED_VALUE"""),"Solid Black")</f>
        <v>Solid Black</v>
      </c>
      <c r="P3518" s="178" t="str">
        <f>IFERROR(__xludf.DUMMYFUNCTION("""COMPUTED_VALUE"""),"18 inch Aero")</f>
        <v>18 inch Aero</v>
      </c>
      <c r="Q3518" s="177" t="str">
        <f>IFERROR(__xludf.DUMMYFUNCTION("""COMPUTED_VALUE"""),"Black seats")</f>
        <v>Black seats</v>
      </c>
      <c r="R3518" s="170" t="str">
        <f>IFERROR(__xludf.DUMMYFUNCTION("""COMPUTED_VALUE"""),"Full Self-Driving")</f>
        <v>Full Self-Driving</v>
      </c>
      <c r="S3518" s="170"/>
      <c r="T3518" s="179"/>
      <c r="U3518" s="179"/>
      <c r="V3518" s="179"/>
      <c r="W3518" s="180"/>
      <c r="X3518" s="181" t="str">
        <f>IFERROR(__xludf.DUMMYFUNCTION("""COMPUTED_VALUE"""),"Very Good")</f>
        <v>Very Good</v>
      </c>
      <c r="Y3518" s="182" t="str">
        <f>IFERROR(__xludf.DUMMYFUNCTION("""COMPUTED_VALUE"""),"Good")</f>
        <v>Good</v>
      </c>
      <c r="Z3518" s="182" t="str">
        <f>IFERROR(__xludf.DUMMYFUNCTION("""COMPUTED_VALUE"""),"Fair")</f>
        <v>Fair</v>
      </c>
      <c r="AA3518" s="182" t="str">
        <f>IFERROR(__xludf.DUMMYFUNCTION("""COMPUTED_VALUE"""),"Good")</f>
        <v>Good</v>
      </c>
      <c r="AB3518" s="182" t="str">
        <f>IFERROR(__xludf.DUMMYFUNCTION("""COMPUTED_VALUE"""),"Very Good")</f>
        <v>Very Good</v>
      </c>
      <c r="AC3518" s="183">
        <f>IFERROR(__xludf.DUMMYFUNCTION("""COMPUTED_VALUE"""),3.0)</f>
        <v>3</v>
      </c>
      <c r="AD3518" s="183">
        <f>IFERROR(__xludf.DUMMYFUNCTION("""COMPUTED_VALUE"""),1.0)</f>
        <v>1</v>
      </c>
      <c r="AE3518" s="183">
        <f>IFERROR(__xludf.DUMMYFUNCTION("""COMPUTED_VALUE"""),19.0)</f>
        <v>19</v>
      </c>
      <c r="AF3518" s="184"/>
      <c r="AG3518" s="180"/>
      <c r="AH3518" s="185">
        <f>IFERROR(__xludf.DUMMYFUNCTION("""COMPUTED_VALUE"""),43354.888207928234)</f>
        <v>43354.88821</v>
      </c>
      <c r="AI3518" s="182"/>
      <c r="AJ3518" s="182"/>
      <c r="AK3518" s="182"/>
      <c r="AL3518" s="182"/>
    </row>
    <row r="3519" ht="20.25" customHeight="1">
      <c r="A3519" s="169" t="str">
        <f>IFERROR(__xludf.DUMMYFUNCTION("""COMPUTED_VALUE"""),"hobbz")</f>
        <v>hobbz</v>
      </c>
      <c r="B3519" s="170"/>
      <c r="C3519" s="170" t="str">
        <f>IFERROR(__xludf.DUMMYFUNCTION("""COMPUTED_VALUE"""),"WA")</f>
        <v>WA</v>
      </c>
      <c r="D3519" s="170" t="str">
        <f>IFERROR(__xludf.DUMMYFUNCTION("""COMPUTED_VALUE"""),"USA")</f>
        <v>USA</v>
      </c>
      <c r="E3519" s="171">
        <f>IFERROR(__xludf.DUMMYFUNCTION("""COMPUTED_VALUE"""),43205.0)</f>
        <v>43205</v>
      </c>
      <c r="F3519" s="172">
        <f>IFERROR(__xludf.DUMMYFUNCTION("""COMPUTED_VALUE"""),43230.0)</f>
        <v>43230</v>
      </c>
      <c r="G3519" s="173"/>
      <c r="H3519" s="174">
        <f>IFERROR(__xludf.DUMMYFUNCTION("""COMPUTED_VALUE"""),21155.0)</f>
        <v>21155</v>
      </c>
      <c r="I3519" s="175"/>
      <c r="J3519" s="172">
        <f>IFERROR(__xludf.DUMMYFUNCTION("""COMPUTED_VALUE"""),43249.0)</f>
        <v>43249</v>
      </c>
      <c r="K3519" s="176">
        <f>IFERROR(__xludf.DUMMYFUNCTION("""COMPUTED_VALUE"""),25.0)</f>
        <v>25</v>
      </c>
      <c r="L3519" s="176">
        <f>IFERROR(__xludf.DUMMYFUNCTION("""COMPUTED_VALUE"""),19.0)</f>
        <v>19</v>
      </c>
      <c r="M3519" s="176">
        <f>IFERROR(__xludf.DUMMYFUNCTION("""COMPUTED_VALUE"""),44.0)</f>
        <v>44</v>
      </c>
      <c r="N3519" s="177" t="str">
        <f>IFERROR(__xludf.DUMMYFUNCTION("""COMPUTED_VALUE"""),"Model 3 LR")</f>
        <v>Model 3 LR</v>
      </c>
      <c r="O3519" s="177" t="str">
        <f>IFERROR(__xludf.DUMMYFUNCTION("""COMPUTED_VALUE"""),"Midnight Silver Metallic")</f>
        <v>Midnight Silver Metallic</v>
      </c>
      <c r="P3519" s="178" t="str">
        <f>IFERROR(__xludf.DUMMYFUNCTION("""COMPUTED_VALUE"""),"18 inch Aero")</f>
        <v>18 inch Aero</v>
      </c>
      <c r="Q3519" s="177" t="str">
        <f>IFERROR(__xludf.DUMMYFUNCTION("""COMPUTED_VALUE"""),"Black seats")</f>
        <v>Black seats</v>
      </c>
      <c r="R3519" s="170" t="str">
        <f>IFERROR(__xludf.DUMMYFUNCTION("""COMPUTED_VALUE"""),"Full Self-Driving")</f>
        <v>Full Self-Driving</v>
      </c>
      <c r="S3519" s="170"/>
      <c r="T3519" s="179"/>
      <c r="U3519" s="179"/>
      <c r="V3519" s="179"/>
      <c r="W3519" s="180"/>
      <c r="X3519" s="181" t="str">
        <f>IFERROR(__xludf.DUMMYFUNCTION("""COMPUTED_VALUE"""),"Excellent")</f>
        <v>Excellent</v>
      </c>
      <c r="Y3519" s="182" t="str">
        <f>IFERROR(__xludf.DUMMYFUNCTION("""COMPUTED_VALUE"""),"Excellent")</f>
        <v>Excellent</v>
      </c>
      <c r="Z3519" s="182" t="str">
        <f>IFERROR(__xludf.DUMMYFUNCTION("""COMPUTED_VALUE"""),"Excellent")</f>
        <v>Excellent</v>
      </c>
      <c r="AA3519" s="182" t="str">
        <f>IFERROR(__xludf.DUMMYFUNCTION("""COMPUTED_VALUE"""),"Fair")</f>
        <v>Fair</v>
      </c>
      <c r="AB3519" s="182" t="str">
        <f>IFERROR(__xludf.DUMMYFUNCTION("""COMPUTED_VALUE"""),"Excellent")</f>
        <v>Excellent</v>
      </c>
      <c r="AC3519" s="183">
        <f>IFERROR(__xludf.DUMMYFUNCTION("""COMPUTED_VALUE"""),0.0)</f>
        <v>0</v>
      </c>
      <c r="AD3519" s="183">
        <f>IFERROR(__xludf.DUMMYFUNCTION("""COMPUTED_VALUE"""),0.0)</f>
        <v>0</v>
      </c>
      <c r="AE3519" s="183">
        <f>IFERROR(__xludf.DUMMYFUNCTION("""COMPUTED_VALUE"""),0.0)</f>
        <v>0</v>
      </c>
      <c r="AF3519" s="184"/>
      <c r="AG3519" s="180"/>
      <c r="AH3519" s="185">
        <f>IFERROR(__xludf.DUMMYFUNCTION("""COMPUTED_VALUE"""),43290.59970752315)</f>
        <v>43290.59971</v>
      </c>
      <c r="AI3519" s="182"/>
      <c r="AJ3519" s="182"/>
      <c r="AK3519" s="182"/>
      <c r="AL3519" s="182"/>
    </row>
    <row r="3520" ht="20.25" customHeight="1">
      <c r="A3520" s="169" t="str">
        <f>IFERROR(__xludf.DUMMYFUNCTION("""COMPUTED_VALUE"""),"icyone")</f>
        <v>icyone</v>
      </c>
      <c r="B3520" s="170"/>
      <c r="C3520" s="170" t="str">
        <f>IFERROR(__xludf.DUMMYFUNCTION("""COMPUTED_VALUE"""),"OH")</f>
        <v>OH</v>
      </c>
      <c r="D3520" s="170" t="str">
        <f>IFERROR(__xludf.DUMMYFUNCTION("""COMPUTED_VALUE"""),"USA")</f>
        <v>USA</v>
      </c>
      <c r="E3520" s="171">
        <f>IFERROR(__xludf.DUMMYFUNCTION("""COMPUTED_VALUE"""),43205.0)</f>
        <v>43205</v>
      </c>
      <c r="F3520" s="172">
        <f>IFERROR(__xludf.DUMMYFUNCTION("""COMPUTED_VALUE"""),43232.0)</f>
        <v>43232</v>
      </c>
      <c r="G3520" s="173"/>
      <c r="H3520" s="174">
        <f>IFERROR(__xludf.DUMMYFUNCTION("""COMPUTED_VALUE"""),22187.0)</f>
        <v>22187</v>
      </c>
      <c r="I3520" s="175"/>
      <c r="J3520" s="172">
        <f>IFERROR(__xludf.DUMMYFUNCTION("""COMPUTED_VALUE"""),43250.0)</f>
        <v>43250</v>
      </c>
      <c r="K3520" s="176">
        <f>IFERROR(__xludf.DUMMYFUNCTION("""COMPUTED_VALUE"""),27.0)</f>
        <v>27</v>
      </c>
      <c r="L3520" s="176">
        <f>IFERROR(__xludf.DUMMYFUNCTION("""COMPUTED_VALUE"""),18.0)</f>
        <v>18</v>
      </c>
      <c r="M3520" s="176">
        <f>IFERROR(__xludf.DUMMYFUNCTION("""COMPUTED_VALUE"""),45.0)</f>
        <v>45</v>
      </c>
      <c r="N3520" s="177" t="str">
        <f>IFERROR(__xludf.DUMMYFUNCTION("""COMPUTED_VALUE"""),"Model 3 LR")</f>
        <v>Model 3 LR</v>
      </c>
      <c r="O3520" s="177" t="str">
        <f>IFERROR(__xludf.DUMMYFUNCTION("""COMPUTED_VALUE"""),"Red Multi-Coat")</f>
        <v>Red Multi-Coat</v>
      </c>
      <c r="P3520" s="178" t="str">
        <f>IFERROR(__xludf.DUMMYFUNCTION("""COMPUTED_VALUE"""),"18 inch Aero")</f>
        <v>18 inch Aero</v>
      </c>
      <c r="Q3520" s="177" t="str">
        <f>IFERROR(__xludf.DUMMYFUNCTION("""COMPUTED_VALUE"""),"Black seats")</f>
        <v>Black seats</v>
      </c>
      <c r="R3520" s="170" t="str">
        <f>IFERROR(__xludf.DUMMYFUNCTION("""COMPUTED_VALUE"""),"Enhanced Autopilot")</f>
        <v>Enhanced Autopilot</v>
      </c>
      <c r="S3520" s="170"/>
      <c r="T3520" s="179"/>
      <c r="U3520" s="179"/>
      <c r="V3520" s="179"/>
      <c r="W3520" s="180"/>
      <c r="X3520" s="181" t="str">
        <f>IFERROR(__xludf.DUMMYFUNCTION("""COMPUTED_VALUE"""),"Excellent")</f>
        <v>Excellent</v>
      </c>
      <c r="Y3520" s="182" t="str">
        <f>IFERROR(__xludf.DUMMYFUNCTION("""COMPUTED_VALUE"""),"Excellent")</f>
        <v>Excellent</v>
      </c>
      <c r="Z3520" s="182" t="str">
        <f>IFERROR(__xludf.DUMMYFUNCTION("""COMPUTED_VALUE"""),"Excellent")</f>
        <v>Excellent</v>
      </c>
      <c r="AA3520" s="182"/>
      <c r="AB3520" s="182" t="str">
        <f>IFERROR(__xludf.DUMMYFUNCTION("""COMPUTED_VALUE"""),"Excellent")</f>
        <v>Excellent</v>
      </c>
      <c r="AC3520" s="183"/>
      <c r="AD3520" s="183"/>
      <c r="AE3520" s="183"/>
      <c r="AF3520" s="184"/>
      <c r="AG3520" s="180"/>
      <c r="AH3520" s="185">
        <f>IFERROR(__xludf.DUMMYFUNCTION("""COMPUTED_VALUE"""),43251.473280578706)</f>
        <v>43251.47328</v>
      </c>
      <c r="AI3520" s="182"/>
      <c r="AJ3520" s="182"/>
      <c r="AK3520" s="182"/>
      <c r="AL3520" s="182"/>
    </row>
    <row r="3521" ht="20.25" customHeight="1">
      <c r="A3521" s="169" t="str">
        <f>IFERROR(__xludf.DUMMYFUNCTION("""COMPUTED_VALUE"""),"jsto")</f>
        <v>jsto</v>
      </c>
      <c r="B3521" s="170" t="str">
        <f>IFERROR(__xludf.DUMMYFUNCTION("""COMPUTED_VALUE"""),"Seattle")</f>
        <v>Seattle</v>
      </c>
      <c r="C3521" s="170" t="str">
        <f>IFERROR(__xludf.DUMMYFUNCTION("""COMPUTED_VALUE"""),"WA")</f>
        <v>WA</v>
      </c>
      <c r="D3521" s="170" t="str">
        <f>IFERROR(__xludf.DUMMYFUNCTION("""COMPUTED_VALUE"""),"USA")</f>
        <v>USA</v>
      </c>
      <c r="E3521" s="171">
        <f>IFERROR(__xludf.DUMMYFUNCTION("""COMPUTED_VALUE"""),43205.0)</f>
        <v>43205</v>
      </c>
      <c r="F3521" s="172">
        <f>IFERROR(__xludf.DUMMYFUNCTION("""COMPUTED_VALUE"""),43227.0)</f>
        <v>43227</v>
      </c>
      <c r="G3521" s="173"/>
      <c r="H3521" s="174">
        <f>IFERROR(__xludf.DUMMYFUNCTION("""COMPUTED_VALUE"""),21955.0)</f>
        <v>21955</v>
      </c>
      <c r="I3521" s="175"/>
      <c r="J3521" s="172">
        <f>IFERROR(__xludf.DUMMYFUNCTION("""COMPUTED_VALUE"""),43246.0)</f>
        <v>43246</v>
      </c>
      <c r="K3521" s="176">
        <f>IFERROR(__xludf.DUMMYFUNCTION("""COMPUTED_VALUE"""),22.0)</f>
        <v>22</v>
      </c>
      <c r="L3521" s="176">
        <f>IFERROR(__xludf.DUMMYFUNCTION("""COMPUTED_VALUE"""),19.0)</f>
        <v>19</v>
      </c>
      <c r="M3521" s="176">
        <f>IFERROR(__xludf.DUMMYFUNCTION("""COMPUTED_VALUE"""),41.0)</f>
        <v>41</v>
      </c>
      <c r="N3521" s="177" t="str">
        <f>IFERROR(__xludf.DUMMYFUNCTION("""COMPUTED_VALUE"""),"Model 3 LR")</f>
        <v>Model 3 LR</v>
      </c>
      <c r="O3521" s="177" t="str">
        <f>IFERROR(__xludf.DUMMYFUNCTION("""COMPUTED_VALUE"""),"Silver Metallic")</f>
        <v>Silver Metallic</v>
      </c>
      <c r="P3521" s="178" t="str">
        <f>IFERROR(__xludf.DUMMYFUNCTION("""COMPUTED_VALUE"""),"18 inch Aero")</f>
        <v>18 inch Aero</v>
      </c>
      <c r="Q3521" s="177" t="str">
        <f>IFERROR(__xludf.DUMMYFUNCTION("""COMPUTED_VALUE"""),"Black seats")</f>
        <v>Black seats</v>
      </c>
      <c r="R3521" s="170" t="str">
        <f>IFERROR(__xludf.DUMMYFUNCTION("""COMPUTED_VALUE"""),"None")</f>
        <v>None</v>
      </c>
      <c r="S3521" s="170"/>
      <c r="T3521" s="179"/>
      <c r="U3521" s="179"/>
      <c r="V3521" s="179"/>
      <c r="W3521" s="180"/>
      <c r="X3521" s="181" t="str">
        <f>IFERROR(__xludf.DUMMYFUNCTION("""COMPUTED_VALUE"""),"Excellent")</f>
        <v>Excellent</v>
      </c>
      <c r="Y3521" s="182" t="str">
        <f>IFERROR(__xludf.DUMMYFUNCTION("""COMPUTED_VALUE"""),"Excellent")</f>
        <v>Excellent</v>
      </c>
      <c r="Z3521" s="182" t="str">
        <f>IFERROR(__xludf.DUMMYFUNCTION("""COMPUTED_VALUE"""),"Excellent")</f>
        <v>Excellent</v>
      </c>
      <c r="AA3521" s="182"/>
      <c r="AB3521" s="182" t="str">
        <f>IFERROR(__xludf.DUMMYFUNCTION("""COMPUTED_VALUE"""),"Excellent")</f>
        <v>Excellent</v>
      </c>
      <c r="AC3521" s="183"/>
      <c r="AD3521" s="183"/>
      <c r="AE3521" s="183"/>
      <c r="AF3521" s="184"/>
      <c r="AG3521" s="180"/>
      <c r="AH3521" s="185">
        <f>IFERROR(__xludf.DUMMYFUNCTION("""COMPUTED_VALUE"""),43247.824784293975)</f>
        <v>43247.82478</v>
      </c>
      <c r="AI3521" s="182"/>
      <c r="AJ3521" s="182"/>
      <c r="AK3521" s="182"/>
      <c r="AL3521" s="182"/>
    </row>
    <row r="3522" ht="20.25" customHeight="1">
      <c r="A3522" s="169" t="str">
        <f>IFERROR(__xludf.DUMMYFUNCTION("""COMPUTED_VALUE"""),"jtraut")</f>
        <v>jtraut</v>
      </c>
      <c r="B3522" s="170" t="str">
        <f>IFERROR(__xludf.DUMMYFUNCTION("""COMPUTED_VALUE"""),"Los Angeles")</f>
        <v>Los Angeles</v>
      </c>
      <c r="C3522" s="170" t="str">
        <f>IFERROR(__xludf.DUMMYFUNCTION("""COMPUTED_VALUE"""),"CA")</f>
        <v>CA</v>
      </c>
      <c r="D3522" s="170" t="str">
        <f>IFERROR(__xludf.DUMMYFUNCTION("""COMPUTED_VALUE"""),"USA")</f>
        <v>USA</v>
      </c>
      <c r="E3522" s="171">
        <f>IFERROR(__xludf.DUMMYFUNCTION("""COMPUTED_VALUE"""),43205.0)</f>
        <v>43205</v>
      </c>
      <c r="F3522" s="172">
        <f>IFERROR(__xludf.DUMMYFUNCTION("""COMPUTED_VALUE"""),43234.0)</f>
        <v>43234</v>
      </c>
      <c r="G3522" s="173"/>
      <c r="H3522" s="174">
        <f>IFERROR(__xludf.DUMMYFUNCTION("""COMPUTED_VALUE"""),18855.0)</f>
        <v>18855</v>
      </c>
      <c r="I3522" s="175"/>
      <c r="J3522" s="172">
        <f>IFERROR(__xludf.DUMMYFUNCTION("""COMPUTED_VALUE"""),43246.0)</f>
        <v>43246</v>
      </c>
      <c r="K3522" s="176">
        <f>IFERROR(__xludf.DUMMYFUNCTION("""COMPUTED_VALUE"""),29.0)</f>
        <v>29</v>
      </c>
      <c r="L3522" s="176">
        <f>IFERROR(__xludf.DUMMYFUNCTION("""COMPUTED_VALUE"""),12.0)</f>
        <v>12</v>
      </c>
      <c r="M3522" s="176">
        <f>IFERROR(__xludf.DUMMYFUNCTION("""COMPUTED_VALUE"""),41.0)</f>
        <v>41</v>
      </c>
      <c r="N3522" s="177" t="str">
        <f>IFERROR(__xludf.DUMMYFUNCTION("""COMPUTED_VALUE"""),"Model 3 LR")</f>
        <v>Model 3 LR</v>
      </c>
      <c r="O3522" s="177" t="str">
        <f>IFERROR(__xludf.DUMMYFUNCTION("""COMPUTED_VALUE"""),"Midnight Silver Metallic")</f>
        <v>Midnight Silver Metallic</v>
      </c>
      <c r="P3522" s="178" t="str">
        <f>IFERROR(__xludf.DUMMYFUNCTION("""COMPUTED_VALUE"""),"18 inch Aero")</f>
        <v>18 inch Aero</v>
      </c>
      <c r="Q3522" s="177" t="str">
        <f>IFERROR(__xludf.DUMMYFUNCTION("""COMPUTED_VALUE"""),"Black seats")</f>
        <v>Black seats</v>
      </c>
      <c r="R3522" s="170" t="str">
        <f>IFERROR(__xludf.DUMMYFUNCTION("""COMPUTED_VALUE"""),"Enhanced Autopilot")</f>
        <v>Enhanced Autopilot</v>
      </c>
      <c r="S3522" s="170"/>
      <c r="T3522" s="179"/>
      <c r="U3522" s="179"/>
      <c r="V3522" s="179"/>
      <c r="W3522" s="180"/>
      <c r="X3522" s="181" t="str">
        <f>IFERROR(__xludf.DUMMYFUNCTION("""COMPUTED_VALUE"""),"Excellent")</f>
        <v>Excellent</v>
      </c>
      <c r="Y3522" s="182" t="str">
        <f>IFERROR(__xludf.DUMMYFUNCTION("""COMPUTED_VALUE"""),"Excellent")</f>
        <v>Excellent</v>
      </c>
      <c r="Z3522" s="182" t="str">
        <f>IFERROR(__xludf.DUMMYFUNCTION("""COMPUTED_VALUE"""),"Excellent")</f>
        <v>Excellent</v>
      </c>
      <c r="AA3522" s="182"/>
      <c r="AB3522" s="182" t="str">
        <f>IFERROR(__xludf.DUMMYFUNCTION("""COMPUTED_VALUE"""),"Very Good")</f>
        <v>Very Good</v>
      </c>
      <c r="AC3522" s="183"/>
      <c r="AD3522" s="183"/>
      <c r="AE3522" s="183"/>
      <c r="AF3522" s="184"/>
      <c r="AG3522" s="180"/>
      <c r="AH3522" s="185">
        <f>IFERROR(__xludf.DUMMYFUNCTION("""COMPUTED_VALUE"""),43249.43398679398)</f>
        <v>43249.43399</v>
      </c>
      <c r="AI3522" s="182"/>
      <c r="AJ3522" s="182"/>
      <c r="AK3522" s="182"/>
      <c r="AL3522" s="182"/>
    </row>
    <row r="3523" ht="20.25" customHeight="1">
      <c r="A3523" s="169" t="str">
        <f>IFERROR(__xludf.DUMMYFUNCTION("""COMPUTED_VALUE"""),"kevinob11")</f>
        <v>kevinob11</v>
      </c>
      <c r="B3523" s="170"/>
      <c r="C3523" s="170" t="str">
        <f>IFERROR(__xludf.DUMMYFUNCTION("""COMPUTED_VALUE"""),"WA")</f>
        <v>WA</v>
      </c>
      <c r="D3523" s="170" t="str">
        <f>IFERROR(__xludf.DUMMYFUNCTION("""COMPUTED_VALUE"""),"USA")</f>
        <v>USA</v>
      </c>
      <c r="E3523" s="171">
        <f>IFERROR(__xludf.DUMMYFUNCTION("""COMPUTED_VALUE"""),43205.0)</f>
        <v>43205</v>
      </c>
      <c r="F3523" s="172">
        <f>IFERROR(__xludf.DUMMYFUNCTION("""COMPUTED_VALUE"""),43272.0)</f>
        <v>43272</v>
      </c>
      <c r="G3523" s="173"/>
      <c r="H3523" s="174">
        <f>IFERROR(__xludf.DUMMYFUNCTION("""COMPUTED_VALUE"""),33255.0)</f>
        <v>33255</v>
      </c>
      <c r="I3523" s="175" t="str">
        <f>IFERROR(__xludf.DUMMYFUNCTION("""COMPUTED_VALUE"""),"05/18")</f>
        <v>05/18</v>
      </c>
      <c r="J3523" s="172">
        <f>IFERROR(__xludf.DUMMYFUNCTION("""COMPUTED_VALUE"""),43284.0)</f>
        <v>43284</v>
      </c>
      <c r="K3523" s="176">
        <f>IFERROR(__xludf.DUMMYFUNCTION("""COMPUTED_VALUE"""),67.0)</f>
        <v>67</v>
      </c>
      <c r="L3523" s="176">
        <f>IFERROR(__xludf.DUMMYFUNCTION("""COMPUTED_VALUE"""),12.0)</f>
        <v>12</v>
      </c>
      <c r="M3523" s="176">
        <f>IFERROR(__xludf.DUMMYFUNCTION("""COMPUTED_VALUE"""),79.0)</f>
        <v>79</v>
      </c>
      <c r="N3523" s="177" t="str">
        <f>IFERROR(__xludf.DUMMYFUNCTION("""COMPUTED_VALUE"""),"Model 3 LR")</f>
        <v>Model 3 LR</v>
      </c>
      <c r="O3523" s="177" t="str">
        <f>IFERROR(__xludf.DUMMYFUNCTION("""COMPUTED_VALUE"""),"Midnight Silver Metallic")</f>
        <v>Midnight Silver Metallic</v>
      </c>
      <c r="P3523" s="178" t="str">
        <f>IFERROR(__xludf.DUMMYFUNCTION("""COMPUTED_VALUE"""),"19 inch Sport")</f>
        <v>19 inch Sport</v>
      </c>
      <c r="Q3523" s="177" t="str">
        <f>IFERROR(__xludf.DUMMYFUNCTION("""COMPUTED_VALUE"""),"Black seats")</f>
        <v>Black seats</v>
      </c>
      <c r="R3523" s="170" t="str">
        <f>IFERROR(__xludf.DUMMYFUNCTION("""COMPUTED_VALUE"""),"Enhanced Autopilot")</f>
        <v>Enhanced Autopilot</v>
      </c>
      <c r="S3523" s="170"/>
      <c r="T3523" s="179"/>
      <c r="U3523" s="179"/>
      <c r="V3523" s="179"/>
      <c r="W3523" s="180"/>
      <c r="X3523" s="181" t="str">
        <f>IFERROR(__xludf.DUMMYFUNCTION("""COMPUTED_VALUE"""),"Excellent")</f>
        <v>Excellent</v>
      </c>
      <c r="Y3523" s="182" t="str">
        <f>IFERROR(__xludf.DUMMYFUNCTION("""COMPUTED_VALUE"""),"Excellent")</f>
        <v>Excellent</v>
      </c>
      <c r="Z3523" s="182" t="str">
        <f>IFERROR(__xludf.DUMMYFUNCTION("""COMPUTED_VALUE"""),"Excellent")</f>
        <v>Excellent</v>
      </c>
      <c r="AA3523" s="182" t="str">
        <f>IFERROR(__xludf.DUMMYFUNCTION("""COMPUTED_VALUE"""),"Excellent")</f>
        <v>Excellent</v>
      </c>
      <c r="AB3523" s="182" t="str">
        <f>IFERROR(__xludf.DUMMYFUNCTION("""COMPUTED_VALUE"""),"Excellent")</f>
        <v>Excellent</v>
      </c>
      <c r="AC3523" s="183">
        <f>IFERROR(__xludf.DUMMYFUNCTION("""COMPUTED_VALUE"""),0.0)</f>
        <v>0</v>
      </c>
      <c r="AD3523" s="183">
        <f>IFERROR(__xludf.DUMMYFUNCTION("""COMPUTED_VALUE"""),0.0)</f>
        <v>0</v>
      </c>
      <c r="AE3523" s="183">
        <f>IFERROR(__xludf.DUMMYFUNCTION("""COMPUTED_VALUE"""),0.0)</f>
        <v>0</v>
      </c>
      <c r="AF3523" s="184"/>
      <c r="AG3523" s="180"/>
      <c r="AH3523" s="185">
        <f>IFERROR(__xludf.DUMMYFUNCTION("""COMPUTED_VALUE"""),43291.67859862268)</f>
        <v>43291.6786</v>
      </c>
      <c r="AI3523" s="182"/>
      <c r="AJ3523" s="182"/>
      <c r="AK3523" s="182"/>
      <c r="AL3523" s="182"/>
    </row>
    <row r="3524" ht="20.25" customHeight="1">
      <c r="A3524" s="169" t="str">
        <f>IFERROR(__xludf.DUMMYFUNCTION("""COMPUTED_VALUE"""),"MasterG")</f>
        <v>MasterG</v>
      </c>
      <c r="B3524" s="170"/>
      <c r="C3524" s="170" t="str">
        <f>IFERROR(__xludf.DUMMYFUNCTION("""COMPUTED_VALUE"""),"VA")</f>
        <v>VA</v>
      </c>
      <c r="D3524" s="170" t="str">
        <f>IFERROR(__xludf.DUMMYFUNCTION("""COMPUTED_VALUE"""),"USA")</f>
        <v>USA</v>
      </c>
      <c r="E3524" s="171">
        <f>IFERROR(__xludf.DUMMYFUNCTION("""COMPUTED_VALUE"""),43205.0)</f>
        <v>43205</v>
      </c>
      <c r="F3524" s="172"/>
      <c r="G3524" s="173"/>
      <c r="H3524" s="174">
        <f>IFERROR(__xludf.DUMMYFUNCTION("""COMPUTED_VALUE"""),27555.0)</f>
        <v>27555</v>
      </c>
      <c r="I3524" s="175"/>
      <c r="J3524" s="172">
        <f>IFERROR(__xludf.DUMMYFUNCTION("""COMPUTED_VALUE"""),43288.0)</f>
        <v>43288</v>
      </c>
      <c r="K3524" s="176"/>
      <c r="L3524" s="176"/>
      <c r="M3524" s="176">
        <f>IFERROR(__xludf.DUMMYFUNCTION("""COMPUTED_VALUE"""),83.0)</f>
        <v>83</v>
      </c>
      <c r="N3524" s="177" t="str">
        <f>IFERROR(__xludf.DUMMYFUNCTION("""COMPUTED_VALUE"""),"Model 3 LR")</f>
        <v>Model 3 LR</v>
      </c>
      <c r="O3524" s="177" t="str">
        <f>IFERROR(__xludf.DUMMYFUNCTION("""COMPUTED_VALUE"""),"Red Multi-Coat")</f>
        <v>Red Multi-Coat</v>
      </c>
      <c r="P3524" s="178" t="str">
        <f>IFERROR(__xludf.DUMMYFUNCTION("""COMPUTED_VALUE"""),"18 inch Aero")</f>
        <v>18 inch Aero</v>
      </c>
      <c r="Q3524" s="177"/>
      <c r="R3524" s="170" t="str">
        <f>IFERROR(__xludf.DUMMYFUNCTION("""COMPUTED_VALUE"""),"Enhanced Autopilot")</f>
        <v>Enhanced Autopilot</v>
      </c>
      <c r="S3524" s="170"/>
      <c r="T3524" s="179"/>
      <c r="U3524" s="179"/>
      <c r="V3524" s="179"/>
      <c r="W3524" s="180"/>
      <c r="X3524" s="181" t="str">
        <f>IFERROR(__xludf.DUMMYFUNCTION("""COMPUTED_VALUE"""),"Excellent")</f>
        <v>Excellent</v>
      </c>
      <c r="Y3524" s="182" t="str">
        <f>IFERROR(__xludf.DUMMYFUNCTION("""COMPUTED_VALUE"""),"Excellent")</f>
        <v>Excellent</v>
      </c>
      <c r="Z3524" s="182" t="str">
        <f>IFERROR(__xludf.DUMMYFUNCTION("""COMPUTED_VALUE"""),"Excellent")</f>
        <v>Excellent</v>
      </c>
      <c r="AA3524" s="182" t="str">
        <f>IFERROR(__xludf.DUMMYFUNCTION("""COMPUTED_VALUE"""),"Very Good")</f>
        <v>Very Good</v>
      </c>
      <c r="AB3524" s="182" t="str">
        <f>IFERROR(__xludf.DUMMYFUNCTION("""COMPUTED_VALUE"""),"Good")</f>
        <v>Good</v>
      </c>
      <c r="AC3524" s="183">
        <f>IFERROR(__xludf.DUMMYFUNCTION("""COMPUTED_VALUE"""),1.0)</f>
        <v>1</v>
      </c>
      <c r="AD3524" s="183">
        <f>IFERROR(__xludf.DUMMYFUNCTION("""COMPUTED_VALUE"""),1.0)</f>
        <v>1</v>
      </c>
      <c r="AE3524" s="183">
        <f>IFERROR(__xludf.DUMMYFUNCTION("""COMPUTED_VALUE"""),0.0)</f>
        <v>0</v>
      </c>
      <c r="AF3524" s="184"/>
      <c r="AG3524" s="180" t="str">
        <f>IFERROR(__xludf.DUMMYFUNCTION("""COMPUTED_VALUE"""),"Brake Pad replaced for noise.")</f>
        <v>Brake Pad replaced for noise.</v>
      </c>
      <c r="AH3524" s="185">
        <f>IFERROR(__xludf.DUMMYFUNCTION("""COMPUTED_VALUE"""),43308.66808728009)</f>
        <v>43308.66809</v>
      </c>
      <c r="AI3524" s="182"/>
      <c r="AJ3524" s="182"/>
      <c r="AK3524" s="182"/>
      <c r="AL3524" s="182"/>
    </row>
    <row r="3525" ht="20.25" customHeight="1">
      <c r="A3525" s="169" t="str">
        <f>IFERROR(__xludf.DUMMYFUNCTION("""COMPUTED_VALUE"""),"Mobius20")</f>
        <v>Mobius20</v>
      </c>
      <c r="B3525" s="170" t="str">
        <f>IFERROR(__xludf.DUMMYFUNCTION("""COMPUTED_VALUE"""),"Seattle, WA")</f>
        <v>Seattle, WA</v>
      </c>
      <c r="C3525" s="170" t="str">
        <f>IFERROR(__xludf.DUMMYFUNCTION("""COMPUTED_VALUE"""),"WA")</f>
        <v>WA</v>
      </c>
      <c r="D3525" s="170" t="str">
        <f>IFERROR(__xludf.DUMMYFUNCTION("""COMPUTED_VALUE"""),"USA")</f>
        <v>USA</v>
      </c>
      <c r="E3525" s="171">
        <f>IFERROR(__xludf.DUMMYFUNCTION("""COMPUTED_VALUE"""),43205.0)</f>
        <v>43205</v>
      </c>
      <c r="F3525" s="172">
        <f>IFERROR(__xludf.DUMMYFUNCTION("""COMPUTED_VALUE"""),43256.0)</f>
        <v>43256</v>
      </c>
      <c r="G3525" s="173"/>
      <c r="H3525" s="174">
        <f>IFERROR(__xludf.DUMMYFUNCTION("""COMPUTED_VALUE"""),33155.0)</f>
        <v>33155</v>
      </c>
      <c r="I3525" s="175"/>
      <c r="J3525" s="172">
        <f>IFERROR(__xludf.DUMMYFUNCTION("""COMPUTED_VALUE"""),43270.0)</f>
        <v>43270</v>
      </c>
      <c r="K3525" s="176">
        <f>IFERROR(__xludf.DUMMYFUNCTION("""COMPUTED_VALUE"""),51.0)</f>
        <v>51</v>
      </c>
      <c r="L3525" s="176">
        <f>IFERROR(__xludf.DUMMYFUNCTION("""COMPUTED_VALUE"""),14.0)</f>
        <v>14</v>
      </c>
      <c r="M3525" s="176">
        <f>IFERROR(__xludf.DUMMYFUNCTION("""COMPUTED_VALUE"""),65.0)</f>
        <v>65</v>
      </c>
      <c r="N3525" s="177" t="str">
        <f>IFERROR(__xludf.DUMMYFUNCTION("""COMPUTED_VALUE"""),"Model 3 LR")</f>
        <v>Model 3 LR</v>
      </c>
      <c r="O3525" s="177" t="str">
        <f>IFERROR(__xludf.DUMMYFUNCTION("""COMPUTED_VALUE"""),"Solid Black")</f>
        <v>Solid Black</v>
      </c>
      <c r="P3525" s="178" t="str">
        <f>IFERROR(__xludf.DUMMYFUNCTION("""COMPUTED_VALUE"""),"19 inch Sport")</f>
        <v>19 inch Sport</v>
      </c>
      <c r="Q3525" s="177" t="str">
        <f>IFERROR(__xludf.DUMMYFUNCTION("""COMPUTED_VALUE"""),"Black seats")</f>
        <v>Black seats</v>
      </c>
      <c r="R3525" s="170" t="str">
        <f>IFERROR(__xludf.DUMMYFUNCTION("""COMPUTED_VALUE"""),"Enhanced Autopilot")</f>
        <v>Enhanced Autopilot</v>
      </c>
      <c r="S3525" s="170"/>
      <c r="T3525" s="179"/>
      <c r="U3525" s="179"/>
      <c r="V3525" s="179"/>
      <c r="W3525" s="180"/>
      <c r="X3525" s="181" t="str">
        <f>IFERROR(__xludf.DUMMYFUNCTION("""COMPUTED_VALUE"""),"Excellent")</f>
        <v>Excellent</v>
      </c>
      <c r="Y3525" s="182" t="str">
        <f>IFERROR(__xludf.DUMMYFUNCTION("""COMPUTED_VALUE"""),"Excellent")</f>
        <v>Excellent</v>
      </c>
      <c r="Z3525" s="182" t="str">
        <f>IFERROR(__xludf.DUMMYFUNCTION("""COMPUTED_VALUE"""),"Very Good")</f>
        <v>Very Good</v>
      </c>
      <c r="AA3525" s="182" t="str">
        <f>IFERROR(__xludf.DUMMYFUNCTION("""COMPUTED_VALUE"""),"Very Good")</f>
        <v>Very Good</v>
      </c>
      <c r="AB3525" s="182" t="str">
        <f>IFERROR(__xludf.DUMMYFUNCTION("""COMPUTED_VALUE"""),"Excellent")</f>
        <v>Excellent</v>
      </c>
      <c r="AC3525" s="183">
        <f>IFERROR(__xludf.DUMMYFUNCTION("""COMPUTED_VALUE"""),1.0)</f>
        <v>1</v>
      </c>
      <c r="AD3525" s="183">
        <f>IFERROR(__xludf.DUMMYFUNCTION("""COMPUTED_VALUE"""),0.0)</f>
        <v>0</v>
      </c>
      <c r="AE3525" s="183">
        <f>IFERROR(__xludf.DUMMYFUNCTION("""COMPUTED_VALUE"""),0.0)</f>
        <v>0</v>
      </c>
      <c r="AF3525" s="184"/>
      <c r="AG3525" s="180" t="str">
        <f>IFERROR(__xludf.DUMMYFUNCTION("""COMPUTED_VALUE"""),"Do not know accurate VIN assign date (no longer posted to website)")</f>
        <v>Do not know accurate VIN assign date (no longer posted to website)</v>
      </c>
      <c r="AH3525" s="185">
        <f>IFERROR(__xludf.DUMMYFUNCTION("""COMPUTED_VALUE"""),43343.57741109953)</f>
        <v>43343.57741</v>
      </c>
      <c r="AI3525" s="182"/>
      <c r="AJ3525" s="182"/>
      <c r="AK3525" s="182"/>
      <c r="AL3525" s="182"/>
    </row>
    <row r="3526" ht="20.25" customHeight="1">
      <c r="A3526" s="169" t="str">
        <f>IFERROR(__xludf.DUMMYFUNCTION("""COMPUTED_VALUE"""),"RaceBrick ")</f>
        <v>RaceBrick </v>
      </c>
      <c r="B3526" s="170" t="str">
        <f>IFERROR(__xludf.DUMMYFUNCTION("""COMPUTED_VALUE"""),"Spokane")</f>
        <v>Spokane</v>
      </c>
      <c r="C3526" s="170" t="str">
        <f>IFERROR(__xludf.DUMMYFUNCTION("""COMPUTED_VALUE"""),"WA")</f>
        <v>WA</v>
      </c>
      <c r="D3526" s="170" t="str">
        <f>IFERROR(__xludf.DUMMYFUNCTION("""COMPUTED_VALUE"""),"USA")</f>
        <v>USA</v>
      </c>
      <c r="E3526" s="171">
        <f>IFERROR(__xludf.DUMMYFUNCTION("""COMPUTED_VALUE"""),43205.0)</f>
        <v>43205</v>
      </c>
      <c r="F3526" s="172">
        <f>IFERROR(__xludf.DUMMYFUNCTION("""COMPUTED_VALUE"""),43221.0)</f>
        <v>43221</v>
      </c>
      <c r="G3526" s="173"/>
      <c r="H3526" s="174">
        <f>IFERROR(__xludf.DUMMYFUNCTION("""COMPUTED_VALUE"""),18555.0)</f>
        <v>18555</v>
      </c>
      <c r="I3526" s="175"/>
      <c r="J3526" s="172">
        <f>IFERROR(__xludf.DUMMYFUNCTION("""COMPUTED_VALUE"""),43242.0)</f>
        <v>43242</v>
      </c>
      <c r="K3526" s="176">
        <f>IFERROR(__xludf.DUMMYFUNCTION("""COMPUTED_VALUE"""),16.0)</f>
        <v>16</v>
      </c>
      <c r="L3526" s="176">
        <f>IFERROR(__xludf.DUMMYFUNCTION("""COMPUTED_VALUE"""),21.0)</f>
        <v>21</v>
      </c>
      <c r="M3526" s="176">
        <f>IFERROR(__xludf.DUMMYFUNCTION("""COMPUTED_VALUE"""),37.0)</f>
        <v>37</v>
      </c>
      <c r="N3526" s="177" t="str">
        <f>IFERROR(__xludf.DUMMYFUNCTION("""COMPUTED_VALUE"""),"Model 3 LR")</f>
        <v>Model 3 LR</v>
      </c>
      <c r="O3526" s="177" t="str">
        <f>IFERROR(__xludf.DUMMYFUNCTION("""COMPUTED_VALUE"""),"Solid Black")</f>
        <v>Solid Black</v>
      </c>
      <c r="P3526" s="178" t="str">
        <f>IFERROR(__xludf.DUMMYFUNCTION("""COMPUTED_VALUE"""),"18 inch Aero")</f>
        <v>18 inch Aero</v>
      </c>
      <c r="Q3526" s="177" t="str">
        <f>IFERROR(__xludf.DUMMYFUNCTION("""COMPUTED_VALUE"""),"Black seats")</f>
        <v>Black seats</v>
      </c>
      <c r="R3526" s="170" t="str">
        <f>IFERROR(__xludf.DUMMYFUNCTION("""COMPUTED_VALUE"""),"None")</f>
        <v>None</v>
      </c>
      <c r="S3526" s="170"/>
      <c r="T3526" s="179"/>
      <c r="U3526" s="179"/>
      <c r="V3526" s="179"/>
      <c r="W3526" s="180"/>
      <c r="X3526" s="181" t="str">
        <f>IFERROR(__xludf.DUMMYFUNCTION("""COMPUTED_VALUE"""),"Good")</f>
        <v>Good</v>
      </c>
      <c r="Y3526" s="182" t="str">
        <f>IFERROR(__xludf.DUMMYFUNCTION("""COMPUTED_VALUE"""),"Good")</f>
        <v>Good</v>
      </c>
      <c r="Z3526" s="182" t="str">
        <f>IFERROR(__xludf.DUMMYFUNCTION("""COMPUTED_VALUE"""),"Good")</f>
        <v>Good</v>
      </c>
      <c r="AA3526" s="182"/>
      <c r="AB3526" s="182" t="str">
        <f>IFERROR(__xludf.DUMMYFUNCTION("""COMPUTED_VALUE"""),"Fair")</f>
        <v>Fair</v>
      </c>
      <c r="AC3526" s="183"/>
      <c r="AD3526" s="183"/>
      <c r="AE3526" s="183"/>
      <c r="AF3526" s="184"/>
      <c r="AG3526" s="180" t="str">
        <f>IFERROR(__xludf.DUMMYFUNCTION("""COMPUTED_VALUE"""),"Poor communication from Tesla reps. Driver left a dirty handprint on the inside of the B-Pillar")</f>
        <v>Poor communication from Tesla reps. Driver left a dirty handprint on the inside of the B-Pillar</v>
      </c>
      <c r="AH3526" s="185">
        <f>IFERROR(__xludf.DUMMYFUNCTION("""COMPUTED_VALUE"""),43243.39036225695)</f>
        <v>43243.39036</v>
      </c>
      <c r="AI3526" s="182"/>
      <c r="AJ3526" s="182"/>
      <c r="AK3526" s="182"/>
      <c r="AL3526" s="182"/>
    </row>
    <row r="3527" ht="20.25" customHeight="1">
      <c r="A3527" s="169" t="str">
        <f>IFERROR(__xludf.DUMMYFUNCTION("""COMPUTED_VALUE"""),"Redmond_NonOwner_")</f>
        <v>Redmond_NonOwner_</v>
      </c>
      <c r="B3527" s="170" t="str">
        <f>IFERROR(__xludf.DUMMYFUNCTION("""COMPUTED_VALUE"""),"Redmond_")</f>
        <v>Redmond_</v>
      </c>
      <c r="C3527" s="170" t="str">
        <f>IFERROR(__xludf.DUMMYFUNCTION("""COMPUTED_VALUE"""),"WA")</f>
        <v>WA</v>
      </c>
      <c r="D3527" s="170" t="str">
        <f>IFERROR(__xludf.DUMMYFUNCTION("""COMPUTED_VALUE"""),"USA")</f>
        <v>USA</v>
      </c>
      <c r="E3527" s="171">
        <f>IFERROR(__xludf.DUMMYFUNCTION("""COMPUTED_VALUE"""),43205.0)</f>
        <v>43205</v>
      </c>
      <c r="F3527" s="172">
        <f>IFERROR(__xludf.DUMMYFUNCTION("""COMPUTED_VALUE"""),43215.0)</f>
        <v>43215</v>
      </c>
      <c r="G3527" s="173"/>
      <c r="H3527" s="174">
        <f>IFERROR(__xludf.DUMMYFUNCTION("""COMPUTED_VALUE"""),13755.0)</f>
        <v>13755</v>
      </c>
      <c r="I3527" s="175"/>
      <c r="J3527" s="172">
        <f>IFERROR(__xludf.DUMMYFUNCTION("""COMPUTED_VALUE"""),43229.0)</f>
        <v>43229</v>
      </c>
      <c r="K3527" s="176">
        <f>IFERROR(__xludf.DUMMYFUNCTION("""COMPUTED_VALUE"""),10.0)</f>
        <v>10</v>
      </c>
      <c r="L3527" s="176">
        <f>IFERROR(__xludf.DUMMYFUNCTION("""COMPUTED_VALUE"""),14.0)</f>
        <v>14</v>
      </c>
      <c r="M3527" s="176">
        <f>IFERROR(__xludf.DUMMYFUNCTION("""COMPUTED_VALUE"""),24.0)</f>
        <v>24</v>
      </c>
      <c r="N3527" s="177" t="str">
        <f>IFERROR(__xludf.DUMMYFUNCTION("""COMPUTED_VALUE"""),"Model 3 LR")</f>
        <v>Model 3 LR</v>
      </c>
      <c r="O3527" s="177" t="str">
        <f>IFERROR(__xludf.DUMMYFUNCTION("""COMPUTED_VALUE"""),"Deep Blue Metallic")</f>
        <v>Deep Blue Metallic</v>
      </c>
      <c r="P3527" s="178" t="str">
        <f>IFERROR(__xludf.DUMMYFUNCTION("""COMPUTED_VALUE"""),"19 inch Sport")</f>
        <v>19 inch Sport</v>
      </c>
      <c r="Q3527" s="177" t="str">
        <f>IFERROR(__xludf.DUMMYFUNCTION("""COMPUTED_VALUE"""),"Black seats")</f>
        <v>Black seats</v>
      </c>
      <c r="R3527" s="170" t="str">
        <f>IFERROR(__xludf.DUMMYFUNCTION("""COMPUTED_VALUE"""),"Enhanced Autopilot")</f>
        <v>Enhanced Autopilot</v>
      </c>
      <c r="S3527" s="170"/>
      <c r="T3527" s="179"/>
      <c r="U3527" s="179"/>
      <c r="V3527" s="179"/>
      <c r="W3527" s="180"/>
      <c r="X3527" s="181" t="str">
        <f>IFERROR(__xludf.DUMMYFUNCTION("""COMPUTED_VALUE"""),"Excellent")</f>
        <v>Excellent</v>
      </c>
      <c r="Y3527" s="182" t="str">
        <f>IFERROR(__xludf.DUMMYFUNCTION("""COMPUTED_VALUE"""),"Very Good")</f>
        <v>Very Good</v>
      </c>
      <c r="Z3527" s="182" t="str">
        <f>IFERROR(__xludf.DUMMYFUNCTION("""COMPUTED_VALUE"""),"Excellent")</f>
        <v>Excellent</v>
      </c>
      <c r="AA3527" s="182"/>
      <c r="AB3527" s="182" t="str">
        <f>IFERROR(__xludf.DUMMYFUNCTION("""COMPUTED_VALUE"""),"Excellent")</f>
        <v>Excellent</v>
      </c>
      <c r="AC3527" s="183"/>
      <c r="AD3527" s="183"/>
      <c r="AE3527" s="183"/>
      <c r="AF3527" s="184"/>
      <c r="AG3527" s="180" t="str">
        <f>IFERROR(__xludf.DUMMYFUNCTION("""COMPUTED_VALUE"""),"_")</f>
        <v>_</v>
      </c>
      <c r="AH3527" s="185">
        <f>IFERROR(__xludf.DUMMYFUNCTION("""COMPUTED_VALUE"""),43235.6171803588)</f>
        <v>43235.61718</v>
      </c>
      <c r="AI3527" s="182"/>
      <c r="AJ3527" s="182"/>
      <c r="AK3527" s="182"/>
      <c r="AL3527" s="182"/>
    </row>
    <row r="3528" ht="20.25" customHeight="1">
      <c r="A3528" s="169" t="str">
        <f>IFERROR(__xludf.DUMMYFUNCTION("""COMPUTED_VALUE"""),"rnee")</f>
        <v>rnee</v>
      </c>
      <c r="B3528" s="170" t="str">
        <f>IFERROR(__xludf.DUMMYFUNCTION("""COMPUTED_VALUE"""),"West  Friendship")</f>
        <v>West  Friendship</v>
      </c>
      <c r="C3528" s="170" t="str">
        <f>IFERROR(__xludf.DUMMYFUNCTION("""COMPUTED_VALUE"""),"MD")</f>
        <v>MD</v>
      </c>
      <c r="D3528" s="170" t="str">
        <f>IFERROR(__xludf.DUMMYFUNCTION("""COMPUTED_VALUE"""),"USA")</f>
        <v>USA</v>
      </c>
      <c r="E3528" s="171">
        <f>IFERROR(__xludf.DUMMYFUNCTION("""COMPUTED_VALUE"""),43205.0)</f>
        <v>43205</v>
      </c>
      <c r="F3528" s="172">
        <f>IFERROR(__xludf.DUMMYFUNCTION("""COMPUTED_VALUE"""),43241.0)</f>
        <v>43241</v>
      </c>
      <c r="G3528" s="173"/>
      <c r="H3528" s="174">
        <f>IFERROR(__xludf.DUMMYFUNCTION("""COMPUTED_VALUE"""),22255.0)</f>
        <v>22255</v>
      </c>
      <c r="I3528" s="175"/>
      <c r="J3528" s="172">
        <f>IFERROR(__xludf.DUMMYFUNCTION("""COMPUTED_VALUE"""),43262.0)</f>
        <v>43262</v>
      </c>
      <c r="K3528" s="176">
        <f>IFERROR(__xludf.DUMMYFUNCTION("""COMPUTED_VALUE"""),36.0)</f>
        <v>36</v>
      </c>
      <c r="L3528" s="176">
        <f>IFERROR(__xludf.DUMMYFUNCTION("""COMPUTED_VALUE"""),21.0)</f>
        <v>21</v>
      </c>
      <c r="M3528" s="176">
        <f>IFERROR(__xludf.DUMMYFUNCTION("""COMPUTED_VALUE"""),57.0)</f>
        <v>57</v>
      </c>
      <c r="N3528" s="177" t="str">
        <f>IFERROR(__xludf.DUMMYFUNCTION("""COMPUTED_VALUE"""),"Model 3 LR")</f>
        <v>Model 3 LR</v>
      </c>
      <c r="O3528" s="177" t="str">
        <f>IFERROR(__xludf.DUMMYFUNCTION("""COMPUTED_VALUE"""),"Red Multi-Coat")</f>
        <v>Red Multi-Coat</v>
      </c>
      <c r="P3528" s="178" t="str">
        <f>IFERROR(__xludf.DUMMYFUNCTION("""COMPUTED_VALUE"""),"18 inch Aero")</f>
        <v>18 inch Aero</v>
      </c>
      <c r="Q3528" s="177" t="str">
        <f>IFERROR(__xludf.DUMMYFUNCTION("""COMPUTED_VALUE"""),"Black seats")</f>
        <v>Black seats</v>
      </c>
      <c r="R3528" s="170" t="str">
        <f>IFERROR(__xludf.DUMMYFUNCTION("""COMPUTED_VALUE"""),"Enhanced Autopilot")</f>
        <v>Enhanced Autopilot</v>
      </c>
      <c r="S3528" s="170"/>
      <c r="T3528" s="179"/>
      <c r="U3528" s="179"/>
      <c r="V3528" s="179"/>
      <c r="W3528" s="180"/>
      <c r="X3528" s="181"/>
      <c r="Y3528" s="182"/>
      <c r="Z3528" s="182"/>
      <c r="AA3528" s="182"/>
      <c r="AB3528" s="182"/>
      <c r="AC3528" s="183">
        <f>IFERROR(__xludf.DUMMYFUNCTION("""COMPUTED_VALUE"""),2.0)</f>
        <v>2</v>
      </c>
      <c r="AD3528" s="183">
        <f>IFERROR(__xludf.DUMMYFUNCTION("""COMPUTED_VALUE"""),1.0)</f>
        <v>1</v>
      </c>
      <c r="AE3528" s="183">
        <f>IFERROR(__xludf.DUMMYFUNCTION("""COMPUTED_VALUE"""),0.0)</f>
        <v>0</v>
      </c>
      <c r="AF3528" s="184"/>
      <c r="AG3528" s="180"/>
      <c r="AH3528" s="185">
        <f>IFERROR(__xludf.DUMMYFUNCTION("""COMPUTED_VALUE"""),43324.28034834491)</f>
        <v>43324.28035</v>
      </c>
      <c r="AI3528" s="182"/>
      <c r="AJ3528" s="182"/>
      <c r="AK3528" s="182"/>
      <c r="AL3528" s="182"/>
    </row>
    <row r="3529" ht="20.25" customHeight="1">
      <c r="A3529" s="169" t="str">
        <f>IFERROR(__xludf.DUMMYFUNCTION("""COMPUTED_VALUE"""),"S2")</f>
        <v>S2</v>
      </c>
      <c r="B3529" s="170" t="str">
        <f>IFERROR(__xludf.DUMMYFUNCTION("""COMPUTED_VALUE"""),"Oakland")</f>
        <v>Oakland</v>
      </c>
      <c r="C3529" s="170" t="str">
        <f>IFERROR(__xludf.DUMMYFUNCTION("""COMPUTED_VALUE"""),"CA")</f>
        <v>CA</v>
      </c>
      <c r="D3529" s="170" t="str">
        <f>IFERROR(__xludf.DUMMYFUNCTION("""COMPUTED_VALUE"""),"USA")</f>
        <v>USA</v>
      </c>
      <c r="E3529" s="171">
        <f>IFERROR(__xludf.DUMMYFUNCTION("""COMPUTED_VALUE"""),43205.0)</f>
        <v>43205</v>
      </c>
      <c r="F3529" s="172">
        <f>IFERROR(__xludf.DUMMYFUNCTION("""COMPUTED_VALUE"""),43242.0)</f>
        <v>43242</v>
      </c>
      <c r="G3529" s="173"/>
      <c r="H3529" s="174">
        <f>IFERROR(__xludf.DUMMYFUNCTION("""COMPUTED_VALUE"""),23255.0)</f>
        <v>23255</v>
      </c>
      <c r="I3529" s="175"/>
      <c r="J3529" s="172">
        <f>IFERROR(__xludf.DUMMYFUNCTION("""COMPUTED_VALUE"""),43250.0)</f>
        <v>43250</v>
      </c>
      <c r="K3529" s="176">
        <f>IFERROR(__xludf.DUMMYFUNCTION("""COMPUTED_VALUE"""),37.0)</f>
        <v>37</v>
      </c>
      <c r="L3529" s="176">
        <f>IFERROR(__xludf.DUMMYFUNCTION("""COMPUTED_VALUE"""),8.0)</f>
        <v>8</v>
      </c>
      <c r="M3529" s="176">
        <f>IFERROR(__xludf.DUMMYFUNCTION("""COMPUTED_VALUE"""),45.0)</f>
        <v>45</v>
      </c>
      <c r="N3529" s="177" t="str">
        <f>IFERROR(__xludf.DUMMYFUNCTION("""COMPUTED_VALUE"""),"Model 3 LR")</f>
        <v>Model 3 LR</v>
      </c>
      <c r="O3529" s="177" t="str">
        <f>IFERROR(__xludf.DUMMYFUNCTION("""COMPUTED_VALUE"""),"Pearl White Multi-Coat")</f>
        <v>Pearl White Multi-Coat</v>
      </c>
      <c r="P3529" s="178" t="str">
        <f>IFERROR(__xludf.DUMMYFUNCTION("""COMPUTED_VALUE"""),"18 inch Aero")</f>
        <v>18 inch Aero</v>
      </c>
      <c r="Q3529" s="177" t="str">
        <f>IFERROR(__xludf.DUMMYFUNCTION("""COMPUTED_VALUE"""),"Black seats")</f>
        <v>Black seats</v>
      </c>
      <c r="R3529" s="170" t="str">
        <f>IFERROR(__xludf.DUMMYFUNCTION("""COMPUTED_VALUE"""),"Enhanced Autopilot")</f>
        <v>Enhanced Autopilot</v>
      </c>
      <c r="S3529" s="170"/>
      <c r="T3529" s="179"/>
      <c r="U3529" s="179"/>
      <c r="V3529" s="179"/>
      <c r="W3529" s="180"/>
      <c r="X3529" s="181" t="str">
        <f>IFERROR(__xludf.DUMMYFUNCTION("""COMPUTED_VALUE"""),"Excellent")</f>
        <v>Excellent</v>
      </c>
      <c r="Y3529" s="182" t="str">
        <f>IFERROR(__xludf.DUMMYFUNCTION("""COMPUTED_VALUE"""),"Good")</f>
        <v>Good</v>
      </c>
      <c r="Z3529" s="182" t="str">
        <f>IFERROR(__xludf.DUMMYFUNCTION("""COMPUTED_VALUE"""),"Excellent")</f>
        <v>Excellent</v>
      </c>
      <c r="AA3529" s="182" t="str">
        <f>IFERROR(__xludf.DUMMYFUNCTION("""COMPUTED_VALUE"""),"Excellent")</f>
        <v>Excellent</v>
      </c>
      <c r="AB3529" s="182" t="str">
        <f>IFERROR(__xludf.DUMMYFUNCTION("""COMPUTED_VALUE"""),"Excellent")</f>
        <v>Excellent</v>
      </c>
      <c r="AC3529" s="183"/>
      <c r="AD3529" s="183"/>
      <c r="AE3529" s="183"/>
      <c r="AF3529" s="184"/>
      <c r="AG3529" s="180" t="str">
        <f>IFERROR(__xludf.DUMMYFUNCTION("""COMPUTED_VALUE"""),"waited to see if I could still get rebate + AWD, but the timeline didn't seem to fit")</f>
        <v>waited to see if I could still get rebate + AWD, but the timeline didn't seem to fit</v>
      </c>
      <c r="AH3529" s="185">
        <f>IFERROR(__xludf.DUMMYFUNCTION("""COMPUTED_VALUE"""),43250.94634865741)</f>
        <v>43250.94635</v>
      </c>
      <c r="AI3529" s="182"/>
      <c r="AJ3529" s="182"/>
      <c r="AK3529" s="182"/>
      <c r="AL3529" s="182"/>
    </row>
    <row r="3530" ht="20.25" customHeight="1">
      <c r="A3530" s="169" t="str">
        <f>IFERROR(__xludf.DUMMYFUNCTION("""COMPUTED_VALUE"""),"wags")</f>
        <v>wags</v>
      </c>
      <c r="B3530" s="170" t="str">
        <f>IFERROR(__xludf.DUMMYFUNCTION("""COMPUTED_VALUE"""),"Corning")</f>
        <v>Corning</v>
      </c>
      <c r="C3530" s="170" t="str">
        <f>IFERROR(__xludf.DUMMYFUNCTION("""COMPUTED_VALUE"""),"NY")</f>
        <v>NY</v>
      </c>
      <c r="D3530" s="170" t="str">
        <f>IFERROR(__xludf.DUMMYFUNCTION("""COMPUTED_VALUE"""),"USA")</f>
        <v>USA</v>
      </c>
      <c r="E3530" s="171">
        <f>IFERROR(__xludf.DUMMYFUNCTION("""COMPUTED_VALUE"""),43205.0)</f>
        <v>43205</v>
      </c>
      <c r="F3530" s="172">
        <f>IFERROR(__xludf.DUMMYFUNCTION("""COMPUTED_VALUE"""),43245.0)</f>
        <v>43245</v>
      </c>
      <c r="G3530" s="173"/>
      <c r="H3530" s="174">
        <f>IFERROR(__xludf.DUMMYFUNCTION("""COMPUTED_VALUE"""),26055.0)</f>
        <v>26055</v>
      </c>
      <c r="I3530" s="175" t="str">
        <f>IFERROR(__xludf.DUMMYFUNCTION("""COMPUTED_VALUE"""),"05/18")</f>
        <v>05/18</v>
      </c>
      <c r="J3530" s="172">
        <f>IFERROR(__xludf.DUMMYFUNCTION("""COMPUTED_VALUE"""),43269.0)</f>
        <v>43269</v>
      </c>
      <c r="K3530" s="176">
        <f>IFERROR(__xludf.DUMMYFUNCTION("""COMPUTED_VALUE"""),40.0)</f>
        <v>40</v>
      </c>
      <c r="L3530" s="176">
        <f>IFERROR(__xludf.DUMMYFUNCTION("""COMPUTED_VALUE"""),24.0)</f>
        <v>24</v>
      </c>
      <c r="M3530" s="176">
        <f>IFERROR(__xludf.DUMMYFUNCTION("""COMPUTED_VALUE"""),64.0)</f>
        <v>64</v>
      </c>
      <c r="N3530" s="177" t="str">
        <f>IFERROR(__xludf.DUMMYFUNCTION("""COMPUTED_VALUE"""),"Model 3 LR")</f>
        <v>Model 3 LR</v>
      </c>
      <c r="O3530" s="177" t="str">
        <f>IFERROR(__xludf.DUMMYFUNCTION("""COMPUTED_VALUE"""),"Red Multi-Coat")</f>
        <v>Red Multi-Coat</v>
      </c>
      <c r="P3530" s="178" t="str">
        <f>IFERROR(__xludf.DUMMYFUNCTION("""COMPUTED_VALUE"""),"18 inch Aero")</f>
        <v>18 inch Aero</v>
      </c>
      <c r="Q3530" s="177" t="str">
        <f>IFERROR(__xludf.DUMMYFUNCTION("""COMPUTED_VALUE"""),"Black seats")</f>
        <v>Black seats</v>
      </c>
      <c r="R3530" s="170" t="str">
        <f>IFERROR(__xludf.DUMMYFUNCTION("""COMPUTED_VALUE"""),"None")</f>
        <v>None</v>
      </c>
      <c r="S3530" s="170"/>
      <c r="T3530" s="179"/>
      <c r="U3530" s="179"/>
      <c r="V3530" s="179"/>
      <c r="W3530" s="180"/>
      <c r="X3530" s="181" t="str">
        <f>IFERROR(__xludf.DUMMYFUNCTION("""COMPUTED_VALUE"""),"Excellent")</f>
        <v>Excellent</v>
      </c>
      <c r="Y3530" s="182" t="str">
        <f>IFERROR(__xludf.DUMMYFUNCTION("""COMPUTED_VALUE"""),"Excellent")</f>
        <v>Excellent</v>
      </c>
      <c r="Z3530" s="182" t="str">
        <f>IFERROR(__xludf.DUMMYFUNCTION("""COMPUTED_VALUE"""),"Excellent")</f>
        <v>Excellent</v>
      </c>
      <c r="AA3530" s="182" t="str">
        <f>IFERROR(__xludf.DUMMYFUNCTION("""COMPUTED_VALUE"""),"Very Good")</f>
        <v>Very Good</v>
      </c>
      <c r="AB3530" s="182" t="str">
        <f>IFERROR(__xludf.DUMMYFUNCTION("""COMPUTED_VALUE"""),"Very Good")</f>
        <v>Very Good</v>
      </c>
      <c r="AC3530" s="183"/>
      <c r="AD3530" s="183"/>
      <c r="AE3530" s="183"/>
      <c r="AF3530" s="184"/>
      <c r="AG3530" s="180" t="str">
        <f>IFERROR(__xludf.DUMMYFUNCTION("""COMPUTED_VALUE"""),"We drove 250 miles to take delivery.  Need to have more delivery sites.")</f>
        <v>We drove 250 miles to take delivery.  Need to have more delivery sites.</v>
      </c>
      <c r="AH3530" s="185">
        <f>IFERROR(__xludf.DUMMYFUNCTION("""COMPUTED_VALUE"""),43271.25441217593)</f>
        <v>43271.25441</v>
      </c>
      <c r="AI3530" s="182"/>
      <c r="AJ3530" s="182"/>
      <c r="AK3530" s="182"/>
      <c r="AL3530" s="182"/>
    </row>
    <row r="3531" ht="20.25" customHeight="1">
      <c r="A3531" s="169" t="str">
        <f>IFERROR(__xludf.DUMMYFUNCTION("""COMPUTED_VALUE"""),"djsoldat")</f>
        <v>djsoldat</v>
      </c>
      <c r="B3531" s="170"/>
      <c r="C3531" s="170" t="str">
        <f>IFERROR(__xludf.DUMMYFUNCTION("""COMPUTED_VALUE"""),"WI")</f>
        <v>WI</v>
      </c>
      <c r="D3531" s="170" t="str">
        <f>IFERROR(__xludf.DUMMYFUNCTION("""COMPUTED_VALUE"""),"USA")</f>
        <v>USA</v>
      </c>
      <c r="E3531" s="171">
        <f>IFERROR(__xludf.DUMMYFUNCTION("""COMPUTED_VALUE"""),43204.0)</f>
        <v>43204</v>
      </c>
      <c r="F3531" s="172">
        <f>IFERROR(__xludf.DUMMYFUNCTION("""COMPUTED_VALUE"""),43234.0)</f>
        <v>43234</v>
      </c>
      <c r="G3531" s="173"/>
      <c r="H3531" s="174">
        <f>IFERROR(__xludf.DUMMYFUNCTION("""COMPUTED_VALUE"""),22055.0)</f>
        <v>22055</v>
      </c>
      <c r="I3531" s="175"/>
      <c r="J3531" s="172">
        <f>IFERROR(__xludf.DUMMYFUNCTION("""COMPUTED_VALUE"""),43252.0)</f>
        <v>43252</v>
      </c>
      <c r="K3531" s="176">
        <f>IFERROR(__xludf.DUMMYFUNCTION("""COMPUTED_VALUE"""),30.0)</f>
        <v>30</v>
      </c>
      <c r="L3531" s="176">
        <f>IFERROR(__xludf.DUMMYFUNCTION("""COMPUTED_VALUE"""),18.0)</f>
        <v>18</v>
      </c>
      <c r="M3531" s="176">
        <f>IFERROR(__xludf.DUMMYFUNCTION("""COMPUTED_VALUE"""),48.0)</f>
        <v>48</v>
      </c>
      <c r="N3531" s="177" t="str">
        <f>IFERROR(__xludf.DUMMYFUNCTION("""COMPUTED_VALUE"""),"Model 3 LR")</f>
        <v>Model 3 LR</v>
      </c>
      <c r="O3531" s="177" t="str">
        <f>IFERROR(__xludf.DUMMYFUNCTION("""COMPUTED_VALUE"""),"Red Multi-Coat")</f>
        <v>Red Multi-Coat</v>
      </c>
      <c r="P3531" s="178" t="str">
        <f>IFERROR(__xludf.DUMMYFUNCTION("""COMPUTED_VALUE"""),"18 inch Aero")</f>
        <v>18 inch Aero</v>
      </c>
      <c r="Q3531" s="177" t="str">
        <f>IFERROR(__xludf.DUMMYFUNCTION("""COMPUTED_VALUE"""),"Black seats")</f>
        <v>Black seats</v>
      </c>
      <c r="R3531" s="170" t="str">
        <f>IFERROR(__xludf.DUMMYFUNCTION("""COMPUTED_VALUE"""),"Enhanced Autopilot")</f>
        <v>Enhanced Autopilot</v>
      </c>
      <c r="S3531" s="170"/>
      <c r="T3531" s="179"/>
      <c r="U3531" s="179"/>
      <c r="V3531" s="179"/>
      <c r="W3531" s="180"/>
      <c r="X3531" s="181" t="str">
        <f>IFERROR(__xludf.DUMMYFUNCTION("""COMPUTED_VALUE"""),"Excellent")</f>
        <v>Excellent</v>
      </c>
      <c r="Y3531" s="182" t="str">
        <f>IFERROR(__xludf.DUMMYFUNCTION("""COMPUTED_VALUE"""),"Excellent")</f>
        <v>Excellent</v>
      </c>
      <c r="Z3531" s="182" t="str">
        <f>IFERROR(__xludf.DUMMYFUNCTION("""COMPUTED_VALUE"""),"Excellent")</f>
        <v>Excellent</v>
      </c>
      <c r="AA3531" s="182" t="str">
        <f>IFERROR(__xludf.DUMMYFUNCTION("""COMPUTED_VALUE"""),"Very Good")</f>
        <v>Very Good</v>
      </c>
      <c r="AB3531" s="182" t="str">
        <f>IFERROR(__xludf.DUMMYFUNCTION("""COMPUTED_VALUE"""),"Excellent")</f>
        <v>Excellent</v>
      </c>
      <c r="AC3531" s="183"/>
      <c r="AD3531" s="183"/>
      <c r="AE3531" s="183"/>
      <c r="AF3531" s="184"/>
      <c r="AG3531" s="180"/>
      <c r="AH3531" s="185">
        <f>IFERROR(__xludf.DUMMYFUNCTION("""COMPUTED_VALUE"""),43253.68669180555)</f>
        <v>43253.68669</v>
      </c>
      <c r="AI3531" s="182"/>
      <c r="AJ3531" s="182"/>
      <c r="AK3531" s="182"/>
      <c r="AL3531" s="182"/>
    </row>
    <row r="3532" ht="20.25" customHeight="1">
      <c r="A3532" s="169" t="str">
        <f>IFERROR(__xludf.DUMMYFUNCTION("""COMPUTED_VALUE"""),"Flyboy")</f>
        <v>Flyboy</v>
      </c>
      <c r="B3532" s="170" t="str">
        <f>IFERROR(__xludf.DUMMYFUNCTION("""COMPUTED_VALUE"""),"San Antonio")</f>
        <v>San Antonio</v>
      </c>
      <c r="C3532" s="170" t="str">
        <f>IFERROR(__xludf.DUMMYFUNCTION("""COMPUTED_VALUE"""),"TX")</f>
        <v>TX</v>
      </c>
      <c r="D3532" s="170" t="str">
        <f>IFERROR(__xludf.DUMMYFUNCTION("""COMPUTED_VALUE"""),"USA")</f>
        <v>USA</v>
      </c>
      <c r="E3532" s="171">
        <f>IFERROR(__xludf.DUMMYFUNCTION("""COMPUTED_VALUE"""),43204.0)</f>
        <v>43204</v>
      </c>
      <c r="F3532" s="172">
        <f>IFERROR(__xludf.DUMMYFUNCTION("""COMPUTED_VALUE"""),43253.0)</f>
        <v>43253</v>
      </c>
      <c r="G3532" s="173"/>
      <c r="H3532" s="174">
        <f>IFERROR(__xludf.DUMMYFUNCTION("""COMPUTED_VALUE"""),24655.0)</f>
        <v>24655</v>
      </c>
      <c r="I3532" s="175" t="str">
        <f>IFERROR(__xludf.DUMMYFUNCTION("""COMPUTED_VALUE"""),"06/18")</f>
        <v>06/18</v>
      </c>
      <c r="J3532" s="172">
        <f>IFERROR(__xludf.DUMMYFUNCTION("""COMPUTED_VALUE"""),43271.0)</f>
        <v>43271</v>
      </c>
      <c r="K3532" s="176">
        <f>IFERROR(__xludf.DUMMYFUNCTION("""COMPUTED_VALUE"""),49.0)</f>
        <v>49</v>
      </c>
      <c r="L3532" s="176">
        <f>IFERROR(__xludf.DUMMYFUNCTION("""COMPUTED_VALUE"""),18.0)</f>
        <v>18</v>
      </c>
      <c r="M3532" s="176">
        <f>IFERROR(__xludf.DUMMYFUNCTION("""COMPUTED_VALUE"""),67.0)</f>
        <v>67</v>
      </c>
      <c r="N3532" s="177" t="str">
        <f>IFERROR(__xludf.DUMMYFUNCTION("""COMPUTED_VALUE"""),"Model 3 LR")</f>
        <v>Model 3 LR</v>
      </c>
      <c r="O3532" s="177" t="str">
        <f>IFERROR(__xludf.DUMMYFUNCTION("""COMPUTED_VALUE"""),"Red Multi-Coat")</f>
        <v>Red Multi-Coat</v>
      </c>
      <c r="P3532" s="178" t="str">
        <f>IFERROR(__xludf.DUMMYFUNCTION("""COMPUTED_VALUE"""),"19 inch Sport")</f>
        <v>19 inch Sport</v>
      </c>
      <c r="Q3532" s="177" t="str">
        <f>IFERROR(__xludf.DUMMYFUNCTION("""COMPUTED_VALUE"""),"Black seats")</f>
        <v>Black seats</v>
      </c>
      <c r="R3532" s="170" t="str">
        <f>IFERROR(__xludf.DUMMYFUNCTION("""COMPUTED_VALUE"""),"Enhanced Autopilot")</f>
        <v>Enhanced Autopilot</v>
      </c>
      <c r="S3532" s="170"/>
      <c r="T3532" s="179"/>
      <c r="U3532" s="179"/>
      <c r="V3532" s="179"/>
      <c r="W3532" s="180"/>
      <c r="X3532" s="181" t="str">
        <f>IFERROR(__xludf.DUMMYFUNCTION("""COMPUTED_VALUE"""),"Excellent")</f>
        <v>Excellent</v>
      </c>
      <c r="Y3532" s="182" t="str">
        <f>IFERROR(__xludf.DUMMYFUNCTION("""COMPUTED_VALUE"""),"Excellent")</f>
        <v>Excellent</v>
      </c>
      <c r="Z3532" s="182" t="str">
        <f>IFERROR(__xludf.DUMMYFUNCTION("""COMPUTED_VALUE"""),"Excellent")</f>
        <v>Excellent</v>
      </c>
      <c r="AA3532" s="182" t="str">
        <f>IFERROR(__xludf.DUMMYFUNCTION("""COMPUTED_VALUE"""),"Very Good")</f>
        <v>Very Good</v>
      </c>
      <c r="AB3532" s="182" t="str">
        <f>IFERROR(__xludf.DUMMYFUNCTION("""COMPUTED_VALUE"""),"Excellent")</f>
        <v>Excellent</v>
      </c>
      <c r="AC3532" s="183"/>
      <c r="AD3532" s="183"/>
      <c r="AE3532" s="183"/>
      <c r="AF3532" s="184"/>
      <c r="AG3532" s="180" t="str">
        <f>IFERROR(__xludf.DUMMYFUNCTION("""COMPUTED_VALUE"""),"Updated the VIN so that it is now correct ")</f>
        <v>Updated the VIN so that it is now correct </v>
      </c>
      <c r="AH3532" s="185">
        <f>IFERROR(__xludf.DUMMYFUNCTION("""COMPUTED_VALUE"""),43280.672799699074)</f>
        <v>43280.6728</v>
      </c>
      <c r="AI3532" s="182"/>
      <c r="AJ3532" s="182"/>
      <c r="AK3532" s="182"/>
      <c r="AL3532" s="182"/>
    </row>
    <row r="3533" ht="20.25" customHeight="1">
      <c r="A3533" s="169" t="str">
        <f>IFERROR(__xludf.DUMMYFUNCTION("""COMPUTED_VALUE"""),"JMP3000")</f>
        <v>JMP3000</v>
      </c>
      <c r="B3533" s="170" t="str">
        <f>IFERROR(__xludf.DUMMYFUNCTION("""COMPUTED_VALUE"""),"Austin")</f>
        <v>Austin</v>
      </c>
      <c r="C3533" s="170" t="str">
        <f>IFERROR(__xludf.DUMMYFUNCTION("""COMPUTED_VALUE"""),"TX")</f>
        <v>TX</v>
      </c>
      <c r="D3533" s="170" t="str">
        <f>IFERROR(__xludf.DUMMYFUNCTION("""COMPUTED_VALUE"""),"USA")</f>
        <v>USA</v>
      </c>
      <c r="E3533" s="171">
        <f>IFERROR(__xludf.DUMMYFUNCTION("""COMPUTED_VALUE"""),43204.0)</f>
        <v>43204</v>
      </c>
      <c r="F3533" s="172">
        <f>IFERROR(__xludf.DUMMYFUNCTION("""COMPUTED_VALUE"""),43208.0)</f>
        <v>43208</v>
      </c>
      <c r="G3533" s="173"/>
      <c r="H3533" s="174">
        <f>IFERROR(__xludf.DUMMYFUNCTION("""COMPUTED_VALUE"""),14355.0)</f>
        <v>14355</v>
      </c>
      <c r="I3533" s="175"/>
      <c r="J3533" s="172">
        <f>IFERROR(__xludf.DUMMYFUNCTION("""COMPUTED_VALUE"""),43230.0)</f>
        <v>43230</v>
      </c>
      <c r="K3533" s="176">
        <f>IFERROR(__xludf.DUMMYFUNCTION("""COMPUTED_VALUE"""),4.0)</f>
        <v>4</v>
      </c>
      <c r="L3533" s="176">
        <f>IFERROR(__xludf.DUMMYFUNCTION("""COMPUTED_VALUE"""),22.0)</f>
        <v>22</v>
      </c>
      <c r="M3533" s="176">
        <f>IFERROR(__xludf.DUMMYFUNCTION("""COMPUTED_VALUE"""),26.0)</f>
        <v>26</v>
      </c>
      <c r="N3533" s="177" t="str">
        <f>IFERROR(__xludf.DUMMYFUNCTION("""COMPUTED_VALUE"""),"Model 3 LR")</f>
        <v>Model 3 LR</v>
      </c>
      <c r="O3533" s="177" t="str">
        <f>IFERROR(__xludf.DUMMYFUNCTION("""COMPUTED_VALUE"""),"Silver Metallic")</f>
        <v>Silver Metallic</v>
      </c>
      <c r="P3533" s="178" t="str">
        <f>IFERROR(__xludf.DUMMYFUNCTION("""COMPUTED_VALUE"""),"18 inch Aero")</f>
        <v>18 inch Aero</v>
      </c>
      <c r="Q3533" s="177" t="str">
        <f>IFERROR(__xludf.DUMMYFUNCTION("""COMPUTED_VALUE"""),"Black seats")</f>
        <v>Black seats</v>
      </c>
      <c r="R3533" s="170" t="str">
        <f>IFERROR(__xludf.DUMMYFUNCTION("""COMPUTED_VALUE"""),"Enhanced Autopilot")</f>
        <v>Enhanced Autopilot</v>
      </c>
      <c r="S3533" s="170"/>
      <c r="T3533" s="179"/>
      <c r="U3533" s="179"/>
      <c r="V3533" s="179"/>
      <c r="W3533" s="180"/>
      <c r="X3533" s="181" t="str">
        <f>IFERROR(__xludf.DUMMYFUNCTION("""COMPUTED_VALUE"""),"Very Good")</f>
        <v>Very Good</v>
      </c>
      <c r="Y3533" s="182" t="str">
        <f>IFERROR(__xludf.DUMMYFUNCTION("""COMPUTED_VALUE"""),"Excellent")</f>
        <v>Excellent</v>
      </c>
      <c r="Z3533" s="182" t="str">
        <f>IFERROR(__xludf.DUMMYFUNCTION("""COMPUTED_VALUE"""),"Excellent")</f>
        <v>Excellent</v>
      </c>
      <c r="AA3533" s="182" t="str">
        <f>IFERROR(__xludf.DUMMYFUNCTION("""COMPUTED_VALUE"""),"Excellent")</f>
        <v>Excellent</v>
      </c>
      <c r="AB3533" s="182" t="str">
        <f>IFERROR(__xludf.DUMMYFUNCTION("""COMPUTED_VALUE"""),"Excellent")</f>
        <v>Excellent</v>
      </c>
      <c r="AC3533" s="183">
        <f>IFERROR(__xludf.DUMMYFUNCTION("""COMPUTED_VALUE"""),0.0)</f>
        <v>0</v>
      </c>
      <c r="AD3533" s="183">
        <f>IFERROR(__xludf.DUMMYFUNCTION("""COMPUTED_VALUE"""),0.0)</f>
        <v>0</v>
      </c>
      <c r="AE3533" s="183"/>
      <c r="AF3533" s="184"/>
      <c r="AG3533" s="180"/>
      <c r="AH3533" s="185">
        <f>IFERROR(__xludf.DUMMYFUNCTION("""COMPUTED_VALUE"""),43329.7121609375)</f>
        <v>43329.71216</v>
      </c>
      <c r="AI3533" s="182"/>
      <c r="AJ3533" s="182"/>
      <c r="AK3533" s="182"/>
      <c r="AL3533" s="182"/>
    </row>
    <row r="3534" ht="20.25" customHeight="1">
      <c r="A3534" s="169" t="str">
        <f>IFERROR(__xludf.DUMMYFUNCTION("""COMPUTED_VALUE"""),"joannamarkleolime")</f>
        <v>joannamarkleolime</v>
      </c>
      <c r="B3534" s="170" t="str">
        <f>IFERROR(__xludf.DUMMYFUNCTION("""COMPUTED_VALUE"""),"san francisco")</f>
        <v>san francisco</v>
      </c>
      <c r="C3534" s="170"/>
      <c r="D3534" s="170" t="str">
        <f>IFERROR(__xludf.DUMMYFUNCTION("""COMPUTED_VALUE"""),"USA")</f>
        <v>USA</v>
      </c>
      <c r="E3534" s="171">
        <f>IFERROR(__xludf.DUMMYFUNCTION("""COMPUTED_VALUE"""),43204.0)</f>
        <v>43204</v>
      </c>
      <c r="F3534" s="172">
        <f>IFERROR(__xludf.DUMMYFUNCTION("""COMPUTED_VALUE"""),43234.0)</f>
        <v>43234</v>
      </c>
      <c r="G3534" s="173"/>
      <c r="H3534" s="174">
        <f>IFERROR(__xludf.DUMMYFUNCTION("""COMPUTED_VALUE"""),21355.0)</f>
        <v>21355</v>
      </c>
      <c r="I3534" s="175"/>
      <c r="J3534" s="172">
        <f>IFERROR(__xludf.DUMMYFUNCTION("""COMPUTED_VALUE"""),43237.0)</f>
        <v>43237</v>
      </c>
      <c r="K3534" s="176">
        <f>IFERROR(__xludf.DUMMYFUNCTION("""COMPUTED_VALUE"""),30.0)</f>
        <v>30</v>
      </c>
      <c r="L3534" s="176">
        <f>IFERROR(__xludf.DUMMYFUNCTION("""COMPUTED_VALUE"""),3.0)</f>
        <v>3</v>
      </c>
      <c r="M3534" s="176">
        <f>IFERROR(__xludf.DUMMYFUNCTION("""COMPUTED_VALUE"""),33.0)</f>
        <v>33</v>
      </c>
      <c r="N3534" s="177" t="str">
        <f>IFERROR(__xludf.DUMMYFUNCTION("""COMPUTED_VALUE"""),"Model 3 LR")</f>
        <v>Model 3 LR</v>
      </c>
      <c r="O3534" s="177" t="str">
        <f>IFERROR(__xludf.DUMMYFUNCTION("""COMPUTED_VALUE"""),"Midnight Silver Metallic")</f>
        <v>Midnight Silver Metallic</v>
      </c>
      <c r="P3534" s="178" t="str">
        <f>IFERROR(__xludf.DUMMYFUNCTION("""COMPUTED_VALUE"""),"18 inch Aero")</f>
        <v>18 inch Aero</v>
      </c>
      <c r="Q3534" s="177" t="str">
        <f>IFERROR(__xludf.DUMMYFUNCTION("""COMPUTED_VALUE"""),"Black seats")</f>
        <v>Black seats</v>
      </c>
      <c r="R3534" s="170" t="str">
        <f>IFERROR(__xludf.DUMMYFUNCTION("""COMPUTED_VALUE"""),"None")</f>
        <v>None</v>
      </c>
      <c r="S3534" s="170"/>
      <c r="T3534" s="179"/>
      <c r="U3534" s="179"/>
      <c r="V3534" s="179"/>
      <c r="W3534" s="180"/>
      <c r="X3534" s="181" t="str">
        <f>IFERROR(__xludf.DUMMYFUNCTION("""COMPUTED_VALUE"""),"Very Good")</f>
        <v>Very Good</v>
      </c>
      <c r="Y3534" s="182" t="str">
        <f>IFERROR(__xludf.DUMMYFUNCTION("""COMPUTED_VALUE"""),"Very Good")</f>
        <v>Very Good</v>
      </c>
      <c r="Z3534" s="182" t="str">
        <f>IFERROR(__xludf.DUMMYFUNCTION("""COMPUTED_VALUE"""),"Excellent")</f>
        <v>Excellent</v>
      </c>
      <c r="AA3534" s="182"/>
      <c r="AB3534" s="182" t="str">
        <f>IFERROR(__xludf.DUMMYFUNCTION("""COMPUTED_VALUE"""),"Very Good")</f>
        <v>Very Good</v>
      </c>
      <c r="AC3534" s="183"/>
      <c r="AD3534" s="183"/>
      <c r="AE3534" s="183"/>
      <c r="AF3534" s="184"/>
      <c r="AG3534" s="180"/>
      <c r="AH3534" s="185">
        <f>IFERROR(__xludf.DUMMYFUNCTION("""COMPUTED_VALUE"""),43243.619401111115)</f>
        <v>43243.6194</v>
      </c>
      <c r="AI3534" s="182"/>
      <c r="AJ3534" s="182"/>
      <c r="AK3534" s="182"/>
      <c r="AL3534" s="182"/>
    </row>
    <row r="3535" ht="20.25" customHeight="1">
      <c r="A3535" s="169" t="str">
        <f>IFERROR(__xludf.DUMMYFUNCTION("""COMPUTED_VALUE"""),"LTTECH")</f>
        <v>LTTECH</v>
      </c>
      <c r="B3535" s="170" t="str">
        <f>IFERROR(__xludf.DUMMYFUNCTION("""COMPUTED_VALUE"""),"Westwood")</f>
        <v>Westwood</v>
      </c>
      <c r="C3535" s="170" t="str">
        <f>IFERROR(__xludf.DUMMYFUNCTION("""COMPUTED_VALUE"""),"MA")</f>
        <v>MA</v>
      </c>
      <c r="D3535" s="170" t="str">
        <f>IFERROR(__xludf.DUMMYFUNCTION("""COMPUTED_VALUE"""),"USA")</f>
        <v>USA</v>
      </c>
      <c r="E3535" s="171">
        <f>IFERROR(__xludf.DUMMYFUNCTION("""COMPUTED_VALUE"""),43204.0)</f>
        <v>43204</v>
      </c>
      <c r="F3535" s="172">
        <f>IFERROR(__xludf.DUMMYFUNCTION("""COMPUTED_VALUE"""),43234.0)</f>
        <v>43234</v>
      </c>
      <c r="G3535" s="173"/>
      <c r="H3535" s="174">
        <f>IFERROR(__xludf.DUMMYFUNCTION("""COMPUTED_VALUE"""),25955.0)</f>
        <v>25955</v>
      </c>
      <c r="I3535" s="175"/>
      <c r="J3535" s="172">
        <f>IFERROR(__xludf.DUMMYFUNCTION("""COMPUTED_VALUE"""),43257.0)</f>
        <v>43257</v>
      </c>
      <c r="K3535" s="176">
        <f>IFERROR(__xludf.DUMMYFUNCTION("""COMPUTED_VALUE"""),30.0)</f>
        <v>30</v>
      </c>
      <c r="L3535" s="176">
        <f>IFERROR(__xludf.DUMMYFUNCTION("""COMPUTED_VALUE"""),23.0)</f>
        <v>23</v>
      </c>
      <c r="M3535" s="176">
        <f>IFERROR(__xludf.DUMMYFUNCTION("""COMPUTED_VALUE"""),53.0)</f>
        <v>53</v>
      </c>
      <c r="N3535" s="177" t="str">
        <f>IFERROR(__xludf.DUMMYFUNCTION("""COMPUTED_VALUE"""),"Model 3 LR")</f>
        <v>Model 3 LR</v>
      </c>
      <c r="O3535" s="177" t="str">
        <f>IFERROR(__xludf.DUMMYFUNCTION("""COMPUTED_VALUE"""),"Red Multi-Coat")</f>
        <v>Red Multi-Coat</v>
      </c>
      <c r="P3535" s="178" t="str">
        <f>IFERROR(__xludf.DUMMYFUNCTION("""COMPUTED_VALUE"""),"18 inch Aero")</f>
        <v>18 inch Aero</v>
      </c>
      <c r="Q3535" s="177" t="str">
        <f>IFERROR(__xludf.DUMMYFUNCTION("""COMPUTED_VALUE"""),"Black seats")</f>
        <v>Black seats</v>
      </c>
      <c r="R3535" s="170" t="str">
        <f>IFERROR(__xludf.DUMMYFUNCTION("""COMPUTED_VALUE"""),"None")</f>
        <v>None</v>
      </c>
      <c r="S3535" s="170"/>
      <c r="T3535" s="179"/>
      <c r="U3535" s="179"/>
      <c r="V3535" s="179"/>
      <c r="W3535" s="180"/>
      <c r="X3535" s="181" t="str">
        <f>IFERROR(__xludf.DUMMYFUNCTION("""COMPUTED_VALUE"""),"Very Good")</f>
        <v>Very Good</v>
      </c>
      <c r="Y3535" s="182" t="str">
        <f>IFERROR(__xludf.DUMMYFUNCTION("""COMPUTED_VALUE"""),"Very Good")</f>
        <v>Very Good</v>
      </c>
      <c r="Z3535" s="182" t="str">
        <f>IFERROR(__xludf.DUMMYFUNCTION("""COMPUTED_VALUE"""),"Excellent")</f>
        <v>Excellent</v>
      </c>
      <c r="AA3535" s="182" t="str">
        <f>IFERROR(__xludf.DUMMYFUNCTION("""COMPUTED_VALUE"""),"Fair")</f>
        <v>Fair</v>
      </c>
      <c r="AB3535" s="182" t="str">
        <f>IFERROR(__xludf.DUMMYFUNCTION("""COMPUTED_VALUE"""),"Good")</f>
        <v>Good</v>
      </c>
      <c r="AC3535" s="183"/>
      <c r="AD3535" s="183"/>
      <c r="AE3535" s="183"/>
      <c r="AF3535" s="184"/>
      <c r="AG3535" s="180"/>
      <c r="AH3535" s="185">
        <f>IFERROR(__xludf.DUMMYFUNCTION("""COMPUTED_VALUE"""),43260.78146365741)</f>
        <v>43260.78146</v>
      </c>
      <c r="AI3535" s="182"/>
      <c r="AJ3535" s="182"/>
      <c r="AK3535" s="182"/>
      <c r="AL3535" s="182"/>
    </row>
    <row r="3536" ht="20.25" customHeight="1">
      <c r="A3536" s="169" t="str">
        <f>IFERROR(__xludf.DUMMYFUNCTION("""COMPUTED_VALUE"""),"Nate Crawford")</f>
        <v>Nate Crawford</v>
      </c>
      <c r="B3536" s="170" t="str">
        <f>IFERROR(__xludf.DUMMYFUNCTION("""COMPUTED_VALUE"""),"Marina del Rey")</f>
        <v>Marina del Rey</v>
      </c>
      <c r="C3536" s="170" t="str">
        <f>IFERROR(__xludf.DUMMYFUNCTION("""COMPUTED_VALUE"""),"CA")</f>
        <v>CA</v>
      </c>
      <c r="D3536" s="170" t="str">
        <f>IFERROR(__xludf.DUMMYFUNCTION("""COMPUTED_VALUE"""),"USA")</f>
        <v>USA</v>
      </c>
      <c r="E3536" s="171">
        <f>IFERROR(__xludf.DUMMYFUNCTION("""COMPUTED_VALUE"""),43204.0)</f>
        <v>43204</v>
      </c>
      <c r="F3536" s="172">
        <f>IFERROR(__xludf.DUMMYFUNCTION("""COMPUTED_VALUE"""),43234.0)</f>
        <v>43234</v>
      </c>
      <c r="G3536" s="173"/>
      <c r="H3536" s="174">
        <f>IFERROR(__xludf.DUMMYFUNCTION("""COMPUTED_VALUE"""),22255.0)</f>
        <v>22255</v>
      </c>
      <c r="I3536" s="175"/>
      <c r="J3536" s="172">
        <f>IFERROR(__xludf.DUMMYFUNCTION("""COMPUTED_VALUE"""),43246.0)</f>
        <v>43246</v>
      </c>
      <c r="K3536" s="176">
        <f>IFERROR(__xludf.DUMMYFUNCTION("""COMPUTED_VALUE"""),30.0)</f>
        <v>30</v>
      </c>
      <c r="L3536" s="176">
        <f>IFERROR(__xludf.DUMMYFUNCTION("""COMPUTED_VALUE"""),12.0)</f>
        <v>12</v>
      </c>
      <c r="M3536" s="176">
        <f>IFERROR(__xludf.DUMMYFUNCTION("""COMPUTED_VALUE"""),42.0)</f>
        <v>42</v>
      </c>
      <c r="N3536" s="177" t="str">
        <f>IFERROR(__xludf.DUMMYFUNCTION("""COMPUTED_VALUE"""),"Model 3 LR")</f>
        <v>Model 3 LR</v>
      </c>
      <c r="O3536" s="177" t="str">
        <f>IFERROR(__xludf.DUMMYFUNCTION("""COMPUTED_VALUE"""),"Red Multi-Coat")</f>
        <v>Red Multi-Coat</v>
      </c>
      <c r="P3536" s="178" t="str">
        <f>IFERROR(__xludf.DUMMYFUNCTION("""COMPUTED_VALUE"""),"18 inch Aero")</f>
        <v>18 inch Aero</v>
      </c>
      <c r="Q3536" s="177" t="str">
        <f>IFERROR(__xludf.DUMMYFUNCTION("""COMPUTED_VALUE"""),"Black seats")</f>
        <v>Black seats</v>
      </c>
      <c r="R3536" s="170" t="str">
        <f>IFERROR(__xludf.DUMMYFUNCTION("""COMPUTED_VALUE"""),"Enhanced Autopilot")</f>
        <v>Enhanced Autopilot</v>
      </c>
      <c r="S3536" s="170"/>
      <c r="T3536" s="179"/>
      <c r="U3536" s="179"/>
      <c r="V3536" s="179"/>
      <c r="W3536" s="180"/>
      <c r="X3536" s="181" t="str">
        <f>IFERROR(__xludf.DUMMYFUNCTION("""COMPUTED_VALUE"""),"Very Good")</f>
        <v>Very Good</v>
      </c>
      <c r="Y3536" s="182" t="str">
        <f>IFERROR(__xludf.DUMMYFUNCTION("""COMPUTED_VALUE"""),"Excellent")</f>
        <v>Excellent</v>
      </c>
      <c r="Z3536" s="182" t="str">
        <f>IFERROR(__xludf.DUMMYFUNCTION("""COMPUTED_VALUE"""),"Very Good")</f>
        <v>Very Good</v>
      </c>
      <c r="AA3536" s="182"/>
      <c r="AB3536" s="182" t="str">
        <f>IFERROR(__xludf.DUMMYFUNCTION("""COMPUTED_VALUE"""),"Very Good")</f>
        <v>Very Good</v>
      </c>
      <c r="AC3536" s="183"/>
      <c r="AD3536" s="183"/>
      <c r="AE3536" s="183"/>
      <c r="AF3536" s="184"/>
      <c r="AG3536" s="180"/>
      <c r="AH3536" s="185">
        <f>IFERROR(__xludf.DUMMYFUNCTION("""COMPUTED_VALUE"""),43249.33361609954)</f>
        <v>43249.33362</v>
      </c>
      <c r="AI3536" s="182"/>
      <c r="AJ3536" s="182"/>
      <c r="AK3536" s="182"/>
      <c r="AL3536" s="182"/>
    </row>
    <row r="3537" ht="20.25" customHeight="1">
      <c r="A3537" s="169" t="str">
        <f>IFERROR(__xludf.DUMMYFUNCTION("""COMPUTED_VALUE"""),"ranss12")</f>
        <v>ranss12</v>
      </c>
      <c r="B3537" s="170" t="str">
        <f>IFERROR(__xludf.DUMMYFUNCTION("""COMPUTED_VALUE"""),"Bloomfield")</f>
        <v>Bloomfield</v>
      </c>
      <c r="C3537" s="170" t="str">
        <f>IFERROR(__xludf.DUMMYFUNCTION("""COMPUTED_VALUE"""),"NY")</f>
        <v>NY</v>
      </c>
      <c r="D3537" s="170" t="str">
        <f>IFERROR(__xludf.DUMMYFUNCTION("""COMPUTED_VALUE"""),"USA")</f>
        <v>USA</v>
      </c>
      <c r="E3537" s="171">
        <f>IFERROR(__xludf.DUMMYFUNCTION("""COMPUTED_VALUE"""),43204.0)</f>
        <v>43204</v>
      </c>
      <c r="F3537" s="172">
        <f>IFERROR(__xludf.DUMMYFUNCTION("""COMPUTED_VALUE"""),43240.0)</f>
        <v>43240</v>
      </c>
      <c r="G3537" s="173"/>
      <c r="H3537" s="174">
        <f>IFERROR(__xludf.DUMMYFUNCTION("""COMPUTED_VALUE"""),22901.0)</f>
        <v>22901</v>
      </c>
      <c r="I3537" s="175" t="str">
        <f>IFERROR(__xludf.DUMMYFUNCTION("""COMPUTED_VALUE"""),"05/18")</f>
        <v>05/18</v>
      </c>
      <c r="J3537" s="172">
        <f>IFERROR(__xludf.DUMMYFUNCTION("""COMPUTED_VALUE"""),43263.0)</f>
        <v>43263</v>
      </c>
      <c r="K3537" s="176">
        <f>IFERROR(__xludf.DUMMYFUNCTION("""COMPUTED_VALUE"""),36.0)</f>
        <v>36</v>
      </c>
      <c r="L3537" s="176">
        <f>IFERROR(__xludf.DUMMYFUNCTION("""COMPUTED_VALUE"""),23.0)</f>
        <v>23</v>
      </c>
      <c r="M3537" s="176">
        <f>IFERROR(__xludf.DUMMYFUNCTION("""COMPUTED_VALUE"""),59.0)</f>
        <v>59</v>
      </c>
      <c r="N3537" s="177" t="str">
        <f>IFERROR(__xludf.DUMMYFUNCTION("""COMPUTED_VALUE"""),"Model 3 LR")</f>
        <v>Model 3 LR</v>
      </c>
      <c r="O3537" s="177" t="str">
        <f>IFERROR(__xludf.DUMMYFUNCTION("""COMPUTED_VALUE"""),"Deep Blue Metallic")</f>
        <v>Deep Blue Metallic</v>
      </c>
      <c r="P3537" s="178" t="str">
        <f>IFERROR(__xludf.DUMMYFUNCTION("""COMPUTED_VALUE"""),"18 inch Aero")</f>
        <v>18 inch Aero</v>
      </c>
      <c r="Q3537" s="177" t="str">
        <f>IFERROR(__xludf.DUMMYFUNCTION("""COMPUTED_VALUE"""),"Black seats")</f>
        <v>Black seats</v>
      </c>
      <c r="R3537" s="170" t="str">
        <f>IFERROR(__xludf.DUMMYFUNCTION("""COMPUTED_VALUE"""),"Enhanced Autopilot")</f>
        <v>Enhanced Autopilot</v>
      </c>
      <c r="S3537" s="170"/>
      <c r="T3537" s="179"/>
      <c r="U3537" s="179"/>
      <c r="V3537" s="179"/>
      <c r="W3537" s="180"/>
      <c r="X3537" s="181" t="str">
        <f>IFERROR(__xludf.DUMMYFUNCTION("""COMPUTED_VALUE"""),"Good")</f>
        <v>Good</v>
      </c>
      <c r="Y3537" s="182" t="str">
        <f>IFERROR(__xludf.DUMMYFUNCTION("""COMPUTED_VALUE"""),"Very Good")</f>
        <v>Very Good</v>
      </c>
      <c r="Z3537" s="182" t="str">
        <f>IFERROR(__xludf.DUMMYFUNCTION("""COMPUTED_VALUE"""),"Very Good")</f>
        <v>Very Good</v>
      </c>
      <c r="AA3537" s="182" t="str">
        <f>IFERROR(__xludf.DUMMYFUNCTION("""COMPUTED_VALUE"""),"Fair")</f>
        <v>Fair</v>
      </c>
      <c r="AB3537" s="182" t="str">
        <f>IFERROR(__xludf.DUMMYFUNCTION("""COMPUTED_VALUE"""),"Good")</f>
        <v>Good</v>
      </c>
      <c r="AC3537" s="183">
        <f>IFERROR(__xludf.DUMMYFUNCTION("""COMPUTED_VALUE"""),0.0)</f>
        <v>0</v>
      </c>
      <c r="AD3537" s="183">
        <f>IFERROR(__xludf.DUMMYFUNCTION("""COMPUTED_VALUE"""),0.0)</f>
        <v>0</v>
      </c>
      <c r="AE3537" s="183"/>
      <c r="AF3537" s="184"/>
      <c r="AG3537" s="180"/>
      <c r="AH3537" s="185">
        <f>IFERROR(__xludf.DUMMYFUNCTION("""COMPUTED_VALUE"""),43381.32729424768)</f>
        <v>43381.32729</v>
      </c>
      <c r="AI3537" s="182"/>
      <c r="AJ3537" s="182"/>
      <c r="AK3537" s="182"/>
      <c r="AL3537" s="182"/>
    </row>
    <row r="3538" ht="20.25" customHeight="1">
      <c r="A3538" s="169" t="str">
        <f>IFERROR(__xludf.DUMMYFUNCTION("""COMPUTED_VALUE"""),"Taco-Time")</f>
        <v>Taco-Time</v>
      </c>
      <c r="B3538" s="170" t="str">
        <f>IFERROR(__xludf.DUMMYFUNCTION("""COMPUTED_VALUE"""),"Seattle")</f>
        <v>Seattle</v>
      </c>
      <c r="C3538" s="170" t="str">
        <f>IFERROR(__xludf.DUMMYFUNCTION("""COMPUTED_VALUE"""),"WA")</f>
        <v>WA</v>
      </c>
      <c r="D3538" s="170" t="str">
        <f>IFERROR(__xludf.DUMMYFUNCTION("""COMPUTED_VALUE"""),"USA")</f>
        <v>USA</v>
      </c>
      <c r="E3538" s="171">
        <f>IFERROR(__xludf.DUMMYFUNCTION("""COMPUTED_VALUE"""),43204.0)</f>
        <v>43204</v>
      </c>
      <c r="F3538" s="172">
        <f>IFERROR(__xludf.DUMMYFUNCTION("""COMPUTED_VALUE"""),43222.0)</f>
        <v>43222</v>
      </c>
      <c r="G3538" s="173"/>
      <c r="H3538" s="174">
        <f>IFERROR(__xludf.DUMMYFUNCTION("""COMPUTED_VALUE"""),18555.0)</f>
        <v>18555</v>
      </c>
      <c r="I3538" s="175"/>
      <c r="J3538" s="172">
        <f>IFERROR(__xludf.DUMMYFUNCTION("""COMPUTED_VALUE"""),43239.0)</f>
        <v>43239</v>
      </c>
      <c r="K3538" s="176">
        <f>IFERROR(__xludf.DUMMYFUNCTION("""COMPUTED_VALUE"""),18.0)</f>
        <v>18</v>
      </c>
      <c r="L3538" s="176">
        <f>IFERROR(__xludf.DUMMYFUNCTION("""COMPUTED_VALUE"""),17.0)</f>
        <v>17</v>
      </c>
      <c r="M3538" s="176">
        <f>IFERROR(__xludf.DUMMYFUNCTION("""COMPUTED_VALUE"""),35.0)</f>
        <v>35</v>
      </c>
      <c r="N3538" s="177" t="str">
        <f>IFERROR(__xludf.DUMMYFUNCTION("""COMPUTED_VALUE"""),"Model 3 LR")</f>
        <v>Model 3 LR</v>
      </c>
      <c r="O3538" s="177" t="str">
        <f>IFERROR(__xludf.DUMMYFUNCTION("""COMPUTED_VALUE"""),"Solid Black")</f>
        <v>Solid Black</v>
      </c>
      <c r="P3538" s="178" t="str">
        <f>IFERROR(__xludf.DUMMYFUNCTION("""COMPUTED_VALUE"""),"18 inch Aero")</f>
        <v>18 inch Aero</v>
      </c>
      <c r="Q3538" s="177" t="str">
        <f>IFERROR(__xludf.DUMMYFUNCTION("""COMPUTED_VALUE"""),"Black seats")</f>
        <v>Black seats</v>
      </c>
      <c r="R3538" s="170"/>
      <c r="S3538" s="170"/>
      <c r="T3538" s="179"/>
      <c r="U3538" s="179"/>
      <c r="V3538" s="179"/>
      <c r="W3538" s="180"/>
      <c r="X3538" s="181"/>
      <c r="Y3538" s="182"/>
      <c r="Z3538" s="182"/>
      <c r="AA3538" s="182"/>
      <c r="AB3538" s="182"/>
      <c r="AC3538" s="183">
        <f>IFERROR(__xludf.DUMMYFUNCTION("""COMPUTED_VALUE"""),0.0)</f>
        <v>0</v>
      </c>
      <c r="AD3538" s="183">
        <f>IFERROR(__xludf.DUMMYFUNCTION("""COMPUTED_VALUE"""),1.0)</f>
        <v>1</v>
      </c>
      <c r="AE3538" s="183"/>
      <c r="AF3538" s="184"/>
      <c r="AG3538" s="180"/>
      <c r="AH3538" s="185">
        <f>IFERROR(__xludf.DUMMYFUNCTION("""COMPUTED_VALUE"""),43887.680207013895)</f>
        <v>43887.68021</v>
      </c>
      <c r="AI3538" s="182"/>
      <c r="AJ3538" s="182"/>
      <c r="AK3538" s="182"/>
      <c r="AL3538" s="182"/>
    </row>
    <row r="3539" ht="20.25" customHeight="1">
      <c r="A3539" s="169" t="str">
        <f>IFERROR(__xludf.DUMMYFUNCTION("""COMPUTED_VALUE"""),"Teslaticles")</f>
        <v>Teslaticles</v>
      </c>
      <c r="B3539" s="170"/>
      <c r="C3539" s="170" t="str">
        <f>IFERROR(__xludf.DUMMYFUNCTION("""COMPUTED_VALUE"""),"CT")</f>
        <v>CT</v>
      </c>
      <c r="D3539" s="170" t="str">
        <f>IFERROR(__xludf.DUMMYFUNCTION("""COMPUTED_VALUE"""),"USA")</f>
        <v>USA</v>
      </c>
      <c r="E3539" s="171">
        <f>IFERROR(__xludf.DUMMYFUNCTION("""COMPUTED_VALUE"""),43204.0)</f>
        <v>43204</v>
      </c>
      <c r="F3539" s="172">
        <f>IFERROR(__xludf.DUMMYFUNCTION("""COMPUTED_VALUE"""),43265.0)</f>
        <v>43265</v>
      </c>
      <c r="G3539" s="173"/>
      <c r="H3539" s="174">
        <f>IFERROR(__xludf.DUMMYFUNCTION("""COMPUTED_VALUE"""),31100.0)</f>
        <v>31100</v>
      </c>
      <c r="I3539" s="175" t="str">
        <f>IFERROR(__xludf.DUMMYFUNCTION("""COMPUTED_VALUE"""),"06/18")</f>
        <v>06/18</v>
      </c>
      <c r="J3539" s="172">
        <f>IFERROR(__xludf.DUMMYFUNCTION("""COMPUTED_VALUE"""),43307.0)</f>
        <v>43307</v>
      </c>
      <c r="K3539" s="176">
        <f>IFERROR(__xludf.DUMMYFUNCTION("""COMPUTED_VALUE"""),61.0)</f>
        <v>61</v>
      </c>
      <c r="L3539" s="176">
        <f>IFERROR(__xludf.DUMMYFUNCTION("""COMPUTED_VALUE"""),42.0)</f>
        <v>42</v>
      </c>
      <c r="M3539" s="176">
        <f>IFERROR(__xludf.DUMMYFUNCTION("""COMPUTED_VALUE"""),103.0)</f>
        <v>103</v>
      </c>
      <c r="N3539" s="177" t="str">
        <f>IFERROR(__xludf.DUMMYFUNCTION("""COMPUTED_VALUE"""),"Model 3 LR")</f>
        <v>Model 3 LR</v>
      </c>
      <c r="O3539" s="177" t="str">
        <f>IFERROR(__xludf.DUMMYFUNCTION("""COMPUTED_VALUE"""),"Midnight Silver Metallic")</f>
        <v>Midnight Silver Metallic</v>
      </c>
      <c r="P3539" s="178" t="str">
        <f>IFERROR(__xludf.DUMMYFUNCTION("""COMPUTED_VALUE"""),"19 inch Sport")</f>
        <v>19 inch Sport</v>
      </c>
      <c r="Q3539" s="177" t="str">
        <f>IFERROR(__xludf.DUMMYFUNCTION("""COMPUTED_VALUE"""),"Black seats")</f>
        <v>Black seats</v>
      </c>
      <c r="R3539" s="170" t="str">
        <f>IFERROR(__xludf.DUMMYFUNCTION("""COMPUTED_VALUE"""),"Enhanced Autopilot")</f>
        <v>Enhanced Autopilot</v>
      </c>
      <c r="S3539" s="170"/>
      <c r="T3539" s="179"/>
      <c r="U3539" s="179"/>
      <c r="V3539" s="179"/>
      <c r="W3539" s="180"/>
      <c r="X3539" s="181" t="str">
        <f>IFERROR(__xludf.DUMMYFUNCTION("""COMPUTED_VALUE"""),"Very Good")</f>
        <v>Very Good</v>
      </c>
      <c r="Y3539" s="182" t="str">
        <f>IFERROR(__xludf.DUMMYFUNCTION("""COMPUTED_VALUE"""),"Excellent")</f>
        <v>Excellent</v>
      </c>
      <c r="Z3539" s="182" t="str">
        <f>IFERROR(__xludf.DUMMYFUNCTION("""COMPUTED_VALUE"""),"Very Good")</f>
        <v>Very Good</v>
      </c>
      <c r="AA3539" s="182" t="str">
        <f>IFERROR(__xludf.DUMMYFUNCTION("""COMPUTED_VALUE"""),"Excellent")</f>
        <v>Excellent</v>
      </c>
      <c r="AB3539" s="182" t="str">
        <f>IFERROR(__xludf.DUMMYFUNCTION("""COMPUTED_VALUE"""),"Good")</f>
        <v>Good</v>
      </c>
      <c r="AC3539" s="183"/>
      <c r="AD3539" s="183"/>
      <c r="AE3539" s="183"/>
      <c r="AF3539" s="184"/>
      <c r="AG3539" s="180"/>
      <c r="AH3539" s="185">
        <f>IFERROR(__xludf.DUMMYFUNCTION("""COMPUTED_VALUE"""),43317.2254094213)</f>
        <v>43317.22541</v>
      </c>
      <c r="AI3539" s="182"/>
      <c r="AJ3539" s="182"/>
      <c r="AK3539" s="182"/>
      <c r="AL3539" s="182"/>
    </row>
    <row r="3540" ht="20.25" customHeight="1">
      <c r="A3540" s="169" t="str">
        <f>IFERROR(__xludf.DUMMYFUNCTION("""COMPUTED_VALUE"""),"wolverine68")</f>
        <v>wolverine68</v>
      </c>
      <c r="B3540" s="170"/>
      <c r="C3540" s="170" t="str">
        <f>IFERROR(__xludf.DUMMYFUNCTION("""COMPUTED_VALUE"""),"CA")</f>
        <v>CA</v>
      </c>
      <c r="D3540" s="170" t="str">
        <f>IFERROR(__xludf.DUMMYFUNCTION("""COMPUTED_VALUE"""),"USA")</f>
        <v>USA</v>
      </c>
      <c r="E3540" s="171">
        <f>IFERROR(__xludf.DUMMYFUNCTION("""COMPUTED_VALUE"""),43204.0)</f>
        <v>43204</v>
      </c>
      <c r="F3540" s="172">
        <f>IFERROR(__xludf.DUMMYFUNCTION("""COMPUTED_VALUE"""),43233.0)</f>
        <v>43233</v>
      </c>
      <c r="G3540" s="173"/>
      <c r="H3540" s="174">
        <f>IFERROR(__xludf.DUMMYFUNCTION("""COMPUTED_VALUE"""),18955.0)</f>
        <v>18955</v>
      </c>
      <c r="I3540" s="175"/>
      <c r="J3540" s="172">
        <f>IFERROR(__xludf.DUMMYFUNCTION("""COMPUTED_VALUE"""),43245.0)</f>
        <v>43245</v>
      </c>
      <c r="K3540" s="176">
        <f>IFERROR(__xludf.DUMMYFUNCTION("""COMPUTED_VALUE"""),29.0)</f>
        <v>29</v>
      </c>
      <c r="L3540" s="176">
        <f>IFERROR(__xludf.DUMMYFUNCTION("""COMPUTED_VALUE"""),12.0)</f>
        <v>12</v>
      </c>
      <c r="M3540" s="176">
        <f>IFERROR(__xludf.DUMMYFUNCTION("""COMPUTED_VALUE"""),41.0)</f>
        <v>41</v>
      </c>
      <c r="N3540" s="177" t="str">
        <f>IFERROR(__xludf.DUMMYFUNCTION("""COMPUTED_VALUE"""),"Model 3 LR")</f>
        <v>Model 3 LR</v>
      </c>
      <c r="O3540" s="177" t="str">
        <f>IFERROR(__xludf.DUMMYFUNCTION("""COMPUTED_VALUE"""),"Midnight Silver Metallic")</f>
        <v>Midnight Silver Metallic</v>
      </c>
      <c r="P3540" s="178" t="str">
        <f>IFERROR(__xludf.DUMMYFUNCTION("""COMPUTED_VALUE"""),"18 inch Aero")</f>
        <v>18 inch Aero</v>
      </c>
      <c r="Q3540" s="177" t="str">
        <f>IFERROR(__xludf.DUMMYFUNCTION("""COMPUTED_VALUE"""),"Black seats")</f>
        <v>Black seats</v>
      </c>
      <c r="R3540" s="170" t="str">
        <f>IFERROR(__xludf.DUMMYFUNCTION("""COMPUTED_VALUE"""),"Enhanced Autopilot")</f>
        <v>Enhanced Autopilot</v>
      </c>
      <c r="S3540" s="170"/>
      <c r="T3540" s="179"/>
      <c r="U3540" s="179"/>
      <c r="V3540" s="179"/>
      <c r="W3540" s="180"/>
      <c r="X3540" s="181" t="str">
        <f>IFERROR(__xludf.DUMMYFUNCTION("""COMPUTED_VALUE"""),"Very Good")</f>
        <v>Very Good</v>
      </c>
      <c r="Y3540" s="182" t="str">
        <f>IFERROR(__xludf.DUMMYFUNCTION("""COMPUTED_VALUE"""),"Very Good")</f>
        <v>Very Good</v>
      </c>
      <c r="Z3540" s="182" t="str">
        <f>IFERROR(__xludf.DUMMYFUNCTION("""COMPUTED_VALUE"""),"Very Good")</f>
        <v>Very Good</v>
      </c>
      <c r="AA3540" s="182"/>
      <c r="AB3540" s="182" t="str">
        <f>IFERROR(__xludf.DUMMYFUNCTION("""COMPUTED_VALUE"""),"Good")</f>
        <v>Good</v>
      </c>
      <c r="AC3540" s="183"/>
      <c r="AD3540" s="183"/>
      <c r="AE3540" s="183"/>
      <c r="AF3540" s="184"/>
      <c r="AG3540" s="180"/>
      <c r="AH3540" s="185">
        <f>IFERROR(__xludf.DUMMYFUNCTION("""COMPUTED_VALUE"""),43246.29463885417)</f>
        <v>43246.29464</v>
      </c>
      <c r="AI3540" s="182"/>
      <c r="AJ3540" s="182"/>
      <c r="AK3540" s="182"/>
      <c r="AL3540" s="182"/>
    </row>
    <row r="3541" ht="20.25" customHeight="1">
      <c r="A3541" s="169" t="str">
        <f>IFERROR(__xludf.DUMMYFUNCTION("""COMPUTED_VALUE"""),"alae")</f>
        <v>alae</v>
      </c>
      <c r="B3541" s="170"/>
      <c r="C3541" s="170" t="str">
        <f>IFERROR(__xludf.DUMMYFUNCTION("""COMPUTED_VALUE"""),"IL")</f>
        <v>IL</v>
      </c>
      <c r="D3541" s="170" t="str">
        <f>IFERROR(__xludf.DUMMYFUNCTION("""COMPUTED_VALUE"""),"USA")</f>
        <v>USA</v>
      </c>
      <c r="E3541" s="171">
        <f>IFERROR(__xludf.DUMMYFUNCTION("""COMPUTED_VALUE"""),43203.0)</f>
        <v>43203</v>
      </c>
      <c r="F3541" s="172">
        <f>IFERROR(__xludf.DUMMYFUNCTION("""COMPUTED_VALUE"""),43241.0)</f>
        <v>43241</v>
      </c>
      <c r="G3541" s="173"/>
      <c r="H3541" s="174"/>
      <c r="I3541" s="175"/>
      <c r="J3541" s="172">
        <f>IFERROR(__xludf.DUMMYFUNCTION("""COMPUTED_VALUE"""),43264.0)</f>
        <v>43264</v>
      </c>
      <c r="K3541" s="176">
        <f>IFERROR(__xludf.DUMMYFUNCTION("""COMPUTED_VALUE"""),38.0)</f>
        <v>38</v>
      </c>
      <c r="L3541" s="176">
        <f>IFERROR(__xludf.DUMMYFUNCTION("""COMPUTED_VALUE"""),23.0)</f>
        <v>23</v>
      </c>
      <c r="M3541" s="176">
        <f>IFERROR(__xludf.DUMMYFUNCTION("""COMPUTED_VALUE"""),61.0)</f>
        <v>61</v>
      </c>
      <c r="N3541" s="177" t="str">
        <f>IFERROR(__xludf.DUMMYFUNCTION("""COMPUTED_VALUE"""),"Model 3 LR")</f>
        <v>Model 3 LR</v>
      </c>
      <c r="O3541" s="177" t="str">
        <f>IFERROR(__xludf.DUMMYFUNCTION("""COMPUTED_VALUE"""),"Midnight Silver Metallic")</f>
        <v>Midnight Silver Metallic</v>
      </c>
      <c r="P3541" s="178" t="str">
        <f>IFERROR(__xludf.DUMMYFUNCTION("""COMPUTED_VALUE"""),"19 inch Sport")</f>
        <v>19 inch Sport</v>
      </c>
      <c r="Q3541" s="177"/>
      <c r="R3541" s="170" t="str">
        <f>IFERROR(__xludf.DUMMYFUNCTION("""COMPUTED_VALUE"""),"Enhanced Autopilot")</f>
        <v>Enhanced Autopilot</v>
      </c>
      <c r="S3541" s="170"/>
      <c r="T3541" s="179"/>
      <c r="U3541" s="179"/>
      <c r="V3541" s="179"/>
      <c r="W3541" s="180"/>
      <c r="X3541" s="181" t="str">
        <f>IFERROR(__xludf.DUMMYFUNCTION("""COMPUTED_VALUE"""),"Excellent")</f>
        <v>Excellent</v>
      </c>
      <c r="Y3541" s="182" t="str">
        <f>IFERROR(__xludf.DUMMYFUNCTION("""COMPUTED_VALUE"""),"Excellent")</f>
        <v>Excellent</v>
      </c>
      <c r="Z3541" s="182" t="str">
        <f>IFERROR(__xludf.DUMMYFUNCTION("""COMPUTED_VALUE"""),"Excellent")</f>
        <v>Excellent</v>
      </c>
      <c r="AA3541" s="182" t="str">
        <f>IFERROR(__xludf.DUMMYFUNCTION("""COMPUTED_VALUE"""),"Very Good")</f>
        <v>Very Good</v>
      </c>
      <c r="AB3541" s="182" t="str">
        <f>IFERROR(__xludf.DUMMYFUNCTION("""COMPUTED_VALUE"""),"Excellent")</f>
        <v>Excellent</v>
      </c>
      <c r="AC3541" s="183"/>
      <c r="AD3541" s="183"/>
      <c r="AE3541" s="183"/>
      <c r="AF3541" s="184"/>
      <c r="AG3541" s="180"/>
      <c r="AH3541" s="185">
        <f>IFERROR(__xludf.DUMMYFUNCTION("""COMPUTED_VALUE"""),43268.596807974536)</f>
        <v>43268.59681</v>
      </c>
      <c r="AI3541" s="182"/>
      <c r="AJ3541" s="182"/>
      <c r="AK3541" s="182"/>
      <c r="AL3541" s="182"/>
    </row>
    <row r="3542" ht="20.25" customHeight="1">
      <c r="A3542" s="169" t="str">
        <f>IFERROR(__xludf.DUMMYFUNCTION("""COMPUTED_VALUE"""),"ampitupco")</f>
        <v>ampitupco</v>
      </c>
      <c r="B3542" s="170" t="str">
        <f>IFERROR(__xludf.DUMMYFUNCTION("""COMPUTED_VALUE"""),"Denver")</f>
        <v>Denver</v>
      </c>
      <c r="C3542" s="170" t="str">
        <f>IFERROR(__xludf.DUMMYFUNCTION("""COMPUTED_VALUE"""),"CO")</f>
        <v>CO</v>
      </c>
      <c r="D3542" s="170" t="str">
        <f>IFERROR(__xludf.DUMMYFUNCTION("""COMPUTED_VALUE"""),"USA")</f>
        <v>USA</v>
      </c>
      <c r="E3542" s="171">
        <f>IFERROR(__xludf.DUMMYFUNCTION("""COMPUTED_VALUE"""),43203.0)</f>
        <v>43203</v>
      </c>
      <c r="F3542" s="172">
        <f>IFERROR(__xludf.DUMMYFUNCTION("""COMPUTED_VALUE"""),43241.0)</f>
        <v>43241</v>
      </c>
      <c r="G3542" s="173"/>
      <c r="H3542" s="174">
        <f>IFERROR(__xludf.DUMMYFUNCTION("""COMPUTED_VALUE"""),29655.0)</f>
        <v>29655</v>
      </c>
      <c r="I3542" s="175"/>
      <c r="J3542" s="172">
        <f>IFERROR(__xludf.DUMMYFUNCTION("""COMPUTED_VALUE"""),43256.0)</f>
        <v>43256</v>
      </c>
      <c r="K3542" s="176">
        <f>IFERROR(__xludf.DUMMYFUNCTION("""COMPUTED_VALUE"""),38.0)</f>
        <v>38</v>
      </c>
      <c r="L3542" s="176">
        <f>IFERROR(__xludf.DUMMYFUNCTION("""COMPUTED_VALUE"""),15.0)</f>
        <v>15</v>
      </c>
      <c r="M3542" s="176">
        <f>IFERROR(__xludf.DUMMYFUNCTION("""COMPUTED_VALUE"""),53.0)</f>
        <v>53</v>
      </c>
      <c r="N3542" s="177" t="str">
        <f>IFERROR(__xludf.DUMMYFUNCTION("""COMPUTED_VALUE"""),"Model 3 LR")</f>
        <v>Model 3 LR</v>
      </c>
      <c r="O3542" s="177" t="str">
        <f>IFERROR(__xludf.DUMMYFUNCTION("""COMPUTED_VALUE"""),"Red Multi-Coat")</f>
        <v>Red Multi-Coat</v>
      </c>
      <c r="P3542" s="178" t="str">
        <f>IFERROR(__xludf.DUMMYFUNCTION("""COMPUTED_VALUE"""),"18 inch Aero")</f>
        <v>18 inch Aero</v>
      </c>
      <c r="Q3542" s="177" t="str">
        <f>IFERROR(__xludf.DUMMYFUNCTION("""COMPUTED_VALUE"""),"Black seats")</f>
        <v>Black seats</v>
      </c>
      <c r="R3542" s="170" t="str">
        <f>IFERROR(__xludf.DUMMYFUNCTION("""COMPUTED_VALUE"""),"Enhanced Autopilot")</f>
        <v>Enhanced Autopilot</v>
      </c>
      <c r="S3542" s="170"/>
      <c r="T3542" s="179"/>
      <c r="U3542" s="179"/>
      <c r="V3542" s="179"/>
      <c r="W3542" s="180"/>
      <c r="X3542" s="181" t="str">
        <f>IFERROR(__xludf.DUMMYFUNCTION("""COMPUTED_VALUE"""),"Excellent")</f>
        <v>Excellent</v>
      </c>
      <c r="Y3542" s="182" t="str">
        <f>IFERROR(__xludf.DUMMYFUNCTION("""COMPUTED_VALUE"""),"Excellent")</f>
        <v>Excellent</v>
      </c>
      <c r="Z3542" s="182" t="str">
        <f>IFERROR(__xludf.DUMMYFUNCTION("""COMPUTED_VALUE"""),"Very Good")</f>
        <v>Very Good</v>
      </c>
      <c r="AA3542" s="182" t="str">
        <f>IFERROR(__xludf.DUMMYFUNCTION("""COMPUTED_VALUE"""),"Very Good")</f>
        <v>Very Good</v>
      </c>
      <c r="AB3542" s="182" t="str">
        <f>IFERROR(__xludf.DUMMYFUNCTION("""COMPUTED_VALUE"""),"Very Good")</f>
        <v>Very Good</v>
      </c>
      <c r="AC3542" s="183"/>
      <c r="AD3542" s="183"/>
      <c r="AE3542" s="183"/>
      <c r="AF3542" s="184"/>
      <c r="AG3542" s="180"/>
      <c r="AH3542" s="185">
        <f>IFERROR(__xludf.DUMMYFUNCTION("""COMPUTED_VALUE"""),43256.890011261574)</f>
        <v>43256.89001</v>
      </c>
      <c r="AI3542" s="182"/>
      <c r="AJ3542" s="182"/>
      <c r="AK3542" s="182"/>
      <c r="AL3542" s="182"/>
    </row>
    <row r="3543" ht="20.25" customHeight="1">
      <c r="A3543" s="169" t="str">
        <f>IFERROR(__xludf.DUMMYFUNCTION("""COMPUTED_VALUE"""),"Blaroux")</f>
        <v>Blaroux</v>
      </c>
      <c r="B3543" s="170" t="str">
        <f>IFERROR(__xludf.DUMMYFUNCTION("""COMPUTED_VALUE"""),"Union")</f>
        <v>Union</v>
      </c>
      <c r="C3543" s="170" t="str">
        <f>IFERROR(__xludf.DUMMYFUNCTION("""COMPUTED_VALUE"""),"CT")</f>
        <v>CT</v>
      </c>
      <c r="D3543" s="170" t="str">
        <f>IFERROR(__xludf.DUMMYFUNCTION("""COMPUTED_VALUE"""),"USA")</f>
        <v>USA</v>
      </c>
      <c r="E3543" s="171">
        <f>IFERROR(__xludf.DUMMYFUNCTION("""COMPUTED_VALUE"""),43203.0)</f>
        <v>43203</v>
      </c>
      <c r="F3543" s="172">
        <f>IFERROR(__xludf.DUMMYFUNCTION("""COMPUTED_VALUE"""),43278.0)</f>
        <v>43278</v>
      </c>
      <c r="G3543" s="173"/>
      <c r="H3543" s="174">
        <f>IFERROR(__xludf.DUMMYFUNCTION("""COMPUTED_VALUE"""),73655.0)</f>
        <v>73655</v>
      </c>
      <c r="I3543" s="175"/>
      <c r="J3543" s="172">
        <f>IFERROR(__xludf.DUMMYFUNCTION("""COMPUTED_VALUE"""),43320.0)</f>
        <v>43320</v>
      </c>
      <c r="K3543" s="176">
        <f>IFERROR(__xludf.DUMMYFUNCTION("""COMPUTED_VALUE"""),75.0)</f>
        <v>75</v>
      </c>
      <c r="L3543" s="176">
        <f>IFERROR(__xludf.DUMMYFUNCTION("""COMPUTED_VALUE"""),42.0)</f>
        <v>42</v>
      </c>
      <c r="M3543" s="176">
        <f>IFERROR(__xludf.DUMMYFUNCTION("""COMPUTED_VALUE"""),117.0)</f>
        <v>117</v>
      </c>
      <c r="N3543" s="177" t="str">
        <f>IFERROR(__xludf.DUMMYFUNCTION("""COMPUTED_VALUE"""),"Model 3 Performance")</f>
        <v>Model 3 Performance</v>
      </c>
      <c r="O3543" s="177" t="str">
        <f>IFERROR(__xludf.DUMMYFUNCTION("""COMPUTED_VALUE"""),"Midnight Silver Metallic")</f>
        <v>Midnight Silver Metallic</v>
      </c>
      <c r="P3543" s="178" t="str">
        <f>IFERROR(__xludf.DUMMYFUNCTION("""COMPUTED_VALUE"""),"18 inch Aero")</f>
        <v>18 inch Aero</v>
      </c>
      <c r="Q3543" s="177" t="str">
        <f>IFERROR(__xludf.DUMMYFUNCTION("""COMPUTED_VALUE"""),"Black seats")</f>
        <v>Black seats</v>
      </c>
      <c r="R3543" s="170" t="str">
        <f>IFERROR(__xludf.DUMMYFUNCTION("""COMPUTED_VALUE"""),"None")</f>
        <v>None</v>
      </c>
      <c r="S3543" s="170"/>
      <c r="T3543" s="179"/>
      <c r="U3543" s="179"/>
      <c r="V3543" s="179"/>
      <c r="W3543" s="180"/>
      <c r="X3543" s="181" t="str">
        <f>IFERROR(__xludf.DUMMYFUNCTION("""COMPUTED_VALUE"""),"Very Good")</f>
        <v>Very Good</v>
      </c>
      <c r="Y3543" s="182" t="str">
        <f>IFERROR(__xludf.DUMMYFUNCTION("""COMPUTED_VALUE"""),"Excellent")</f>
        <v>Excellent</v>
      </c>
      <c r="Z3543" s="182" t="str">
        <f>IFERROR(__xludf.DUMMYFUNCTION("""COMPUTED_VALUE"""),"Fair")</f>
        <v>Fair</v>
      </c>
      <c r="AA3543" s="182" t="str">
        <f>IFERROR(__xludf.DUMMYFUNCTION("""COMPUTED_VALUE"""),"Fair")</f>
        <v>Fair</v>
      </c>
      <c r="AB3543" s="182" t="str">
        <f>IFERROR(__xludf.DUMMYFUNCTION("""COMPUTED_VALUE"""),"Very Good")</f>
        <v>Very Good</v>
      </c>
      <c r="AC3543" s="183">
        <f>IFERROR(__xludf.DUMMYFUNCTION("""COMPUTED_VALUE"""),3.0)</f>
        <v>3</v>
      </c>
      <c r="AD3543" s="183"/>
      <c r="AE3543" s="183">
        <f>IFERROR(__xludf.DUMMYFUNCTION("""COMPUTED_VALUE"""),17.0)</f>
        <v>17</v>
      </c>
      <c r="AF3543" s="184"/>
      <c r="AG3543" s="180" t="str">
        <f>IFERROR(__xludf.DUMMYFUNCTION("""COMPUTED_VALUE"""),"Small paint bubbles on trunk lid, gouges in underbody fairings from truck unloading")</f>
        <v>Small paint bubbles on trunk lid, gouges in underbody fairings from truck unloading</v>
      </c>
      <c r="AH3543" s="185">
        <f>IFERROR(__xludf.DUMMYFUNCTION("""COMPUTED_VALUE"""),43339.29466341436)</f>
        <v>43339.29466</v>
      </c>
      <c r="AI3543" s="182"/>
      <c r="AJ3543" s="182"/>
      <c r="AK3543" s="182"/>
      <c r="AL3543" s="182"/>
    </row>
    <row r="3544" ht="20.25" customHeight="1">
      <c r="A3544" s="169" t="str">
        <f>IFERROR(__xludf.DUMMYFUNCTION("""COMPUTED_VALUE"""),"Curt")</f>
        <v>Curt</v>
      </c>
      <c r="B3544" s="170" t="str">
        <f>IFERROR(__xludf.DUMMYFUNCTION("""COMPUTED_VALUE"""),"Overland Park")</f>
        <v>Overland Park</v>
      </c>
      <c r="C3544" s="170" t="str">
        <f>IFERROR(__xludf.DUMMYFUNCTION("""COMPUTED_VALUE"""),"KS")</f>
        <v>KS</v>
      </c>
      <c r="D3544" s="170" t="str">
        <f>IFERROR(__xludf.DUMMYFUNCTION("""COMPUTED_VALUE"""),"USA")</f>
        <v>USA</v>
      </c>
      <c r="E3544" s="171">
        <f>IFERROR(__xludf.DUMMYFUNCTION("""COMPUTED_VALUE"""),43203.0)</f>
        <v>43203</v>
      </c>
      <c r="F3544" s="172">
        <f>IFERROR(__xludf.DUMMYFUNCTION("""COMPUTED_VALUE"""),43234.0)</f>
        <v>43234</v>
      </c>
      <c r="G3544" s="173"/>
      <c r="H3544" s="174">
        <f>IFERROR(__xludf.DUMMYFUNCTION("""COMPUTED_VALUE"""),22355.0)</f>
        <v>22355</v>
      </c>
      <c r="I3544" s="175"/>
      <c r="J3544" s="172">
        <f>IFERROR(__xludf.DUMMYFUNCTION("""COMPUTED_VALUE"""),43255.0)</f>
        <v>43255</v>
      </c>
      <c r="K3544" s="176">
        <f>IFERROR(__xludf.DUMMYFUNCTION("""COMPUTED_VALUE"""),31.0)</f>
        <v>31</v>
      </c>
      <c r="L3544" s="176">
        <f>IFERROR(__xludf.DUMMYFUNCTION("""COMPUTED_VALUE"""),21.0)</f>
        <v>21</v>
      </c>
      <c r="M3544" s="176">
        <f>IFERROR(__xludf.DUMMYFUNCTION("""COMPUTED_VALUE"""),52.0)</f>
        <v>52</v>
      </c>
      <c r="N3544" s="177" t="str">
        <f>IFERROR(__xludf.DUMMYFUNCTION("""COMPUTED_VALUE"""),"Model 3 LR")</f>
        <v>Model 3 LR</v>
      </c>
      <c r="O3544" s="177" t="str">
        <f>IFERROR(__xludf.DUMMYFUNCTION("""COMPUTED_VALUE"""),"Red Multi-Coat")</f>
        <v>Red Multi-Coat</v>
      </c>
      <c r="P3544" s="178" t="str">
        <f>IFERROR(__xludf.DUMMYFUNCTION("""COMPUTED_VALUE"""),"18 inch Aero")</f>
        <v>18 inch Aero</v>
      </c>
      <c r="Q3544" s="177" t="str">
        <f>IFERROR(__xludf.DUMMYFUNCTION("""COMPUTED_VALUE"""),"Black seats")</f>
        <v>Black seats</v>
      </c>
      <c r="R3544" s="170" t="str">
        <f>IFERROR(__xludf.DUMMYFUNCTION("""COMPUTED_VALUE"""),"Enhanced Autopilot")</f>
        <v>Enhanced Autopilot</v>
      </c>
      <c r="S3544" s="170"/>
      <c r="T3544" s="179"/>
      <c r="U3544" s="179"/>
      <c r="V3544" s="179"/>
      <c r="W3544" s="180"/>
      <c r="X3544" s="181" t="str">
        <f>IFERROR(__xludf.DUMMYFUNCTION("""COMPUTED_VALUE"""),"Very Good")</f>
        <v>Very Good</v>
      </c>
      <c r="Y3544" s="182" t="str">
        <f>IFERROR(__xludf.DUMMYFUNCTION("""COMPUTED_VALUE"""),"Excellent")</f>
        <v>Excellent</v>
      </c>
      <c r="Z3544" s="182" t="str">
        <f>IFERROR(__xludf.DUMMYFUNCTION("""COMPUTED_VALUE"""),"Very Good")</f>
        <v>Very Good</v>
      </c>
      <c r="AA3544" s="182" t="str">
        <f>IFERROR(__xludf.DUMMYFUNCTION("""COMPUTED_VALUE"""),"Very Good")</f>
        <v>Very Good</v>
      </c>
      <c r="AB3544" s="182" t="str">
        <f>IFERROR(__xludf.DUMMYFUNCTION("""COMPUTED_VALUE"""),"Very Good")</f>
        <v>Very Good</v>
      </c>
      <c r="AC3544" s="183"/>
      <c r="AD3544" s="183"/>
      <c r="AE3544" s="183"/>
      <c r="AF3544" s="184"/>
      <c r="AG3544" s="180"/>
      <c r="AH3544" s="185">
        <f>IFERROR(__xludf.DUMMYFUNCTION("""COMPUTED_VALUE"""),43257.32080623842)</f>
        <v>43257.32081</v>
      </c>
      <c r="AI3544" s="182"/>
      <c r="AJ3544" s="182"/>
      <c r="AK3544" s="182"/>
      <c r="AL3544" s="182"/>
    </row>
    <row r="3545" ht="20.25" customHeight="1">
      <c r="A3545" s="169" t="str">
        <f>IFERROR(__xludf.DUMMYFUNCTION("""COMPUTED_VALUE"""),"dl1972")</f>
        <v>dl1972</v>
      </c>
      <c r="B3545" s="170" t="str">
        <f>IFERROR(__xludf.DUMMYFUNCTION("""COMPUTED_VALUE"""),"Amarillo")</f>
        <v>Amarillo</v>
      </c>
      <c r="C3545" s="170" t="str">
        <f>IFERROR(__xludf.DUMMYFUNCTION("""COMPUTED_VALUE"""),"TX")</f>
        <v>TX</v>
      </c>
      <c r="D3545" s="170" t="str">
        <f>IFERROR(__xludf.DUMMYFUNCTION("""COMPUTED_VALUE"""),"USA")</f>
        <v>USA</v>
      </c>
      <c r="E3545" s="171">
        <f>IFERROR(__xludf.DUMMYFUNCTION("""COMPUTED_VALUE"""),43203.0)</f>
        <v>43203</v>
      </c>
      <c r="F3545" s="172">
        <f>IFERROR(__xludf.DUMMYFUNCTION("""COMPUTED_VALUE"""),43259.0)</f>
        <v>43259</v>
      </c>
      <c r="G3545" s="173"/>
      <c r="H3545" s="174">
        <f>IFERROR(__xludf.DUMMYFUNCTION("""COMPUTED_VALUE"""),24555.0)</f>
        <v>24555</v>
      </c>
      <c r="I3545" s="175"/>
      <c r="J3545" s="172">
        <f>IFERROR(__xludf.DUMMYFUNCTION("""COMPUTED_VALUE"""),43281.0)</f>
        <v>43281</v>
      </c>
      <c r="K3545" s="176">
        <f>IFERROR(__xludf.DUMMYFUNCTION("""COMPUTED_VALUE"""),56.0)</f>
        <v>56</v>
      </c>
      <c r="L3545" s="176">
        <f>IFERROR(__xludf.DUMMYFUNCTION("""COMPUTED_VALUE"""),22.0)</f>
        <v>22</v>
      </c>
      <c r="M3545" s="176">
        <f>IFERROR(__xludf.DUMMYFUNCTION("""COMPUTED_VALUE"""),78.0)</f>
        <v>78</v>
      </c>
      <c r="N3545" s="177" t="str">
        <f>IFERROR(__xludf.DUMMYFUNCTION("""COMPUTED_VALUE"""),"Model 3 LR")</f>
        <v>Model 3 LR</v>
      </c>
      <c r="O3545" s="177" t="str">
        <f>IFERROR(__xludf.DUMMYFUNCTION("""COMPUTED_VALUE"""),"Red Multi-Coat")</f>
        <v>Red Multi-Coat</v>
      </c>
      <c r="P3545" s="178" t="str">
        <f>IFERROR(__xludf.DUMMYFUNCTION("""COMPUTED_VALUE"""),"19 inch Sport")</f>
        <v>19 inch Sport</v>
      </c>
      <c r="Q3545" s="177" t="str">
        <f>IFERROR(__xludf.DUMMYFUNCTION("""COMPUTED_VALUE"""),"Black seats")</f>
        <v>Black seats</v>
      </c>
      <c r="R3545" s="170" t="str">
        <f>IFERROR(__xludf.DUMMYFUNCTION("""COMPUTED_VALUE"""),"Enhanced Autopilot")</f>
        <v>Enhanced Autopilot</v>
      </c>
      <c r="S3545" s="170"/>
      <c r="T3545" s="179"/>
      <c r="U3545" s="179"/>
      <c r="V3545" s="179"/>
      <c r="W3545" s="180"/>
      <c r="X3545" s="181" t="str">
        <f>IFERROR(__xludf.DUMMYFUNCTION("""COMPUTED_VALUE"""),"Fair")</f>
        <v>Fair</v>
      </c>
      <c r="Y3545" s="182" t="str">
        <f>IFERROR(__xludf.DUMMYFUNCTION("""COMPUTED_VALUE"""),"Very Good")</f>
        <v>Very Good</v>
      </c>
      <c r="Z3545" s="182" t="str">
        <f>IFERROR(__xludf.DUMMYFUNCTION("""COMPUTED_VALUE"""),"Fair")</f>
        <v>Fair</v>
      </c>
      <c r="AA3545" s="182" t="str">
        <f>IFERROR(__xludf.DUMMYFUNCTION("""COMPUTED_VALUE"""),"Good")</f>
        <v>Good</v>
      </c>
      <c r="AB3545" s="182" t="str">
        <f>IFERROR(__xludf.DUMMYFUNCTION("""COMPUTED_VALUE"""),"Fair")</f>
        <v>Fair</v>
      </c>
      <c r="AC3545" s="183"/>
      <c r="AD3545" s="183"/>
      <c r="AE3545" s="183"/>
      <c r="AF3545" s="184"/>
      <c r="AG3545" s="180"/>
      <c r="AH3545" s="185">
        <f>IFERROR(__xludf.DUMMYFUNCTION("""COMPUTED_VALUE"""),43283.26655467592)</f>
        <v>43283.26655</v>
      </c>
      <c r="AI3545" s="182"/>
      <c r="AJ3545" s="182"/>
      <c r="AK3545" s="182"/>
      <c r="AL3545" s="182"/>
    </row>
    <row r="3546" ht="20.25" customHeight="1">
      <c r="A3546" s="169" t="str">
        <f>IFERROR(__xludf.DUMMYFUNCTION("""COMPUTED_VALUE"""),"Fetal")</f>
        <v>Fetal</v>
      </c>
      <c r="B3546" s="170" t="str">
        <f>IFERROR(__xludf.DUMMYFUNCTION("""COMPUTED_VALUE"""),"Birmingham")</f>
        <v>Birmingham</v>
      </c>
      <c r="C3546" s="170" t="str">
        <f>IFERROR(__xludf.DUMMYFUNCTION("""COMPUTED_VALUE"""),"AL")</f>
        <v>AL</v>
      </c>
      <c r="D3546" s="170" t="str">
        <f>IFERROR(__xludf.DUMMYFUNCTION("""COMPUTED_VALUE"""),"USA")</f>
        <v>USA</v>
      </c>
      <c r="E3546" s="171">
        <f>IFERROR(__xludf.DUMMYFUNCTION("""COMPUTED_VALUE"""),43203.0)</f>
        <v>43203</v>
      </c>
      <c r="F3546" s="172">
        <f>IFERROR(__xludf.DUMMYFUNCTION("""COMPUTED_VALUE"""),43229.0)</f>
        <v>43229</v>
      </c>
      <c r="G3546" s="173"/>
      <c r="H3546" s="174">
        <f>IFERROR(__xludf.DUMMYFUNCTION("""COMPUTED_VALUE"""),21855.0)</f>
        <v>21855</v>
      </c>
      <c r="I3546" s="175"/>
      <c r="J3546" s="172">
        <f>IFERROR(__xludf.DUMMYFUNCTION("""COMPUTED_VALUE"""),43250.0)</f>
        <v>43250</v>
      </c>
      <c r="K3546" s="176">
        <f>IFERROR(__xludf.DUMMYFUNCTION("""COMPUTED_VALUE"""),26.0)</f>
        <v>26</v>
      </c>
      <c r="L3546" s="176">
        <f>IFERROR(__xludf.DUMMYFUNCTION("""COMPUTED_VALUE"""),21.0)</f>
        <v>21</v>
      </c>
      <c r="M3546" s="176">
        <f>IFERROR(__xludf.DUMMYFUNCTION("""COMPUTED_VALUE"""),47.0)</f>
        <v>47</v>
      </c>
      <c r="N3546" s="177" t="str">
        <f>IFERROR(__xludf.DUMMYFUNCTION("""COMPUTED_VALUE"""),"Model 3 LR")</f>
        <v>Model 3 LR</v>
      </c>
      <c r="O3546" s="177" t="str">
        <f>IFERROR(__xludf.DUMMYFUNCTION("""COMPUTED_VALUE"""),"Midnight Silver Metallic")</f>
        <v>Midnight Silver Metallic</v>
      </c>
      <c r="P3546" s="178" t="str">
        <f>IFERROR(__xludf.DUMMYFUNCTION("""COMPUTED_VALUE"""),"18 inch Aero")</f>
        <v>18 inch Aero</v>
      </c>
      <c r="Q3546" s="177" t="str">
        <f>IFERROR(__xludf.DUMMYFUNCTION("""COMPUTED_VALUE"""),"Black seats")</f>
        <v>Black seats</v>
      </c>
      <c r="R3546" s="170" t="str">
        <f>IFERROR(__xludf.DUMMYFUNCTION("""COMPUTED_VALUE"""),"Enhanced Autopilot")</f>
        <v>Enhanced Autopilot</v>
      </c>
      <c r="S3546" s="170"/>
      <c r="T3546" s="179"/>
      <c r="U3546" s="179"/>
      <c r="V3546" s="179"/>
      <c r="W3546" s="180"/>
      <c r="X3546" s="181" t="str">
        <f>IFERROR(__xludf.DUMMYFUNCTION("""COMPUTED_VALUE"""),"Excellent")</f>
        <v>Excellent</v>
      </c>
      <c r="Y3546" s="182" t="str">
        <f>IFERROR(__xludf.DUMMYFUNCTION("""COMPUTED_VALUE"""),"Excellent")</f>
        <v>Excellent</v>
      </c>
      <c r="Z3546" s="182" t="str">
        <f>IFERROR(__xludf.DUMMYFUNCTION("""COMPUTED_VALUE"""),"Excellent")</f>
        <v>Excellent</v>
      </c>
      <c r="AA3546" s="182" t="str">
        <f>IFERROR(__xludf.DUMMYFUNCTION("""COMPUTED_VALUE"""),"Good")</f>
        <v>Good</v>
      </c>
      <c r="AB3546" s="182" t="str">
        <f>IFERROR(__xludf.DUMMYFUNCTION("""COMPUTED_VALUE"""),"Very Good")</f>
        <v>Very Good</v>
      </c>
      <c r="AC3546" s="183"/>
      <c r="AD3546" s="183"/>
      <c r="AE3546" s="183"/>
      <c r="AF3546" s="184"/>
      <c r="AG3546" s="180"/>
      <c r="AH3546" s="185">
        <f>IFERROR(__xludf.DUMMYFUNCTION("""COMPUTED_VALUE"""),43252.73092190972)</f>
        <v>43252.73092</v>
      </c>
      <c r="AI3546" s="182"/>
      <c r="AJ3546" s="182"/>
      <c r="AK3546" s="182"/>
      <c r="AL3546" s="182"/>
    </row>
    <row r="3547" ht="20.25" customHeight="1">
      <c r="A3547" s="169" t="str">
        <f>IFERROR(__xludf.DUMMYFUNCTION("""COMPUTED_VALUE"""),"fivemidable")</f>
        <v>fivemidable</v>
      </c>
      <c r="B3547" s="170"/>
      <c r="C3547" s="170" t="str">
        <f>IFERROR(__xludf.DUMMYFUNCTION("""COMPUTED_VALUE"""),"ON")</f>
        <v>ON</v>
      </c>
      <c r="D3547" s="170" t="str">
        <f>IFERROR(__xludf.DUMMYFUNCTION("""COMPUTED_VALUE"""),"Canada")</f>
        <v>Canada</v>
      </c>
      <c r="E3547" s="171">
        <f>IFERROR(__xludf.DUMMYFUNCTION("""COMPUTED_VALUE"""),43203.0)</f>
        <v>43203</v>
      </c>
      <c r="F3547" s="172">
        <f>IFERROR(__xludf.DUMMYFUNCTION("""COMPUTED_VALUE"""),43224.0)</f>
        <v>43224</v>
      </c>
      <c r="G3547" s="173"/>
      <c r="H3547" s="174">
        <f>IFERROR(__xludf.DUMMYFUNCTION("""COMPUTED_VALUE"""),22955.0)</f>
        <v>22955</v>
      </c>
      <c r="I3547" s="175"/>
      <c r="J3547" s="172">
        <f>IFERROR(__xludf.DUMMYFUNCTION("""COMPUTED_VALUE"""),43253.0)</f>
        <v>43253</v>
      </c>
      <c r="K3547" s="176">
        <f>IFERROR(__xludf.DUMMYFUNCTION("""COMPUTED_VALUE"""),21.0)</f>
        <v>21</v>
      </c>
      <c r="L3547" s="176">
        <f>IFERROR(__xludf.DUMMYFUNCTION("""COMPUTED_VALUE"""),29.0)</f>
        <v>29</v>
      </c>
      <c r="M3547" s="176">
        <f>IFERROR(__xludf.DUMMYFUNCTION("""COMPUTED_VALUE"""),50.0)</f>
        <v>50</v>
      </c>
      <c r="N3547" s="177" t="str">
        <f>IFERROR(__xludf.DUMMYFUNCTION("""COMPUTED_VALUE"""),"Model 3 LR")</f>
        <v>Model 3 LR</v>
      </c>
      <c r="O3547" s="177" t="str">
        <f>IFERROR(__xludf.DUMMYFUNCTION("""COMPUTED_VALUE"""),"Deep Blue Metallic")</f>
        <v>Deep Blue Metallic</v>
      </c>
      <c r="P3547" s="178" t="str">
        <f>IFERROR(__xludf.DUMMYFUNCTION("""COMPUTED_VALUE"""),"18 inch Aero")</f>
        <v>18 inch Aero</v>
      </c>
      <c r="Q3547" s="177"/>
      <c r="R3547" s="170" t="str">
        <f>IFERROR(__xludf.DUMMYFUNCTION("""COMPUTED_VALUE"""),"None")</f>
        <v>None</v>
      </c>
      <c r="S3547" s="170"/>
      <c r="T3547" s="179"/>
      <c r="U3547" s="179"/>
      <c r="V3547" s="179"/>
      <c r="W3547" s="180"/>
      <c r="X3547" s="181" t="str">
        <f>IFERROR(__xludf.DUMMYFUNCTION("""COMPUTED_VALUE"""),"Excellent")</f>
        <v>Excellent</v>
      </c>
      <c r="Y3547" s="182" t="str">
        <f>IFERROR(__xludf.DUMMYFUNCTION("""COMPUTED_VALUE"""),"Very Good")</f>
        <v>Very Good</v>
      </c>
      <c r="Z3547" s="182" t="str">
        <f>IFERROR(__xludf.DUMMYFUNCTION("""COMPUTED_VALUE"""),"Excellent")</f>
        <v>Excellent</v>
      </c>
      <c r="AA3547" s="182" t="str">
        <f>IFERROR(__xludf.DUMMYFUNCTION("""COMPUTED_VALUE"""),"Good")</f>
        <v>Good</v>
      </c>
      <c r="AB3547" s="182" t="str">
        <f>IFERROR(__xludf.DUMMYFUNCTION("""COMPUTED_VALUE"""),"Very Good")</f>
        <v>Very Good</v>
      </c>
      <c r="AC3547" s="183"/>
      <c r="AD3547" s="183"/>
      <c r="AE3547" s="183"/>
      <c r="AF3547" s="184"/>
      <c r="AG3547" s="180"/>
      <c r="AH3547" s="185">
        <f>IFERROR(__xludf.DUMMYFUNCTION("""COMPUTED_VALUE"""),43253.885611076395)</f>
        <v>43253.88561</v>
      </c>
      <c r="AI3547" s="182"/>
      <c r="AJ3547" s="182"/>
      <c r="AK3547" s="182"/>
      <c r="AL3547" s="182"/>
    </row>
    <row r="3548" ht="20.25" customHeight="1">
      <c r="A3548" s="169" t="str">
        <f>IFERROR(__xludf.DUMMYFUNCTION("""COMPUTED_VALUE"""),"hyappie")</f>
        <v>hyappie</v>
      </c>
      <c r="B3548" s="170" t="str">
        <f>IFERROR(__xludf.DUMMYFUNCTION("""COMPUTED_VALUE"""),"Sunnyvale")</f>
        <v>Sunnyvale</v>
      </c>
      <c r="C3548" s="170" t="str">
        <f>IFERROR(__xludf.DUMMYFUNCTION("""COMPUTED_VALUE"""),"CA")</f>
        <v>CA</v>
      </c>
      <c r="D3548" s="170" t="str">
        <f>IFERROR(__xludf.DUMMYFUNCTION("""COMPUTED_VALUE"""),"USA")</f>
        <v>USA</v>
      </c>
      <c r="E3548" s="171">
        <f>IFERROR(__xludf.DUMMYFUNCTION("""COMPUTED_VALUE"""),43203.0)</f>
        <v>43203</v>
      </c>
      <c r="F3548" s="172">
        <f>IFERROR(__xludf.DUMMYFUNCTION("""COMPUTED_VALUE"""),43233.0)</f>
        <v>43233</v>
      </c>
      <c r="G3548" s="173"/>
      <c r="H3548" s="174">
        <f>IFERROR(__xludf.DUMMYFUNCTION("""COMPUTED_VALUE"""),19255.0)</f>
        <v>19255</v>
      </c>
      <c r="I3548" s="175"/>
      <c r="J3548" s="172">
        <f>IFERROR(__xludf.DUMMYFUNCTION("""COMPUTED_VALUE"""),43239.0)</f>
        <v>43239</v>
      </c>
      <c r="K3548" s="176">
        <f>IFERROR(__xludf.DUMMYFUNCTION("""COMPUTED_VALUE"""),30.0)</f>
        <v>30</v>
      </c>
      <c r="L3548" s="176">
        <f>IFERROR(__xludf.DUMMYFUNCTION("""COMPUTED_VALUE"""),6.0)</f>
        <v>6</v>
      </c>
      <c r="M3548" s="176">
        <f>IFERROR(__xludf.DUMMYFUNCTION("""COMPUTED_VALUE"""),36.0)</f>
        <v>36</v>
      </c>
      <c r="N3548" s="177" t="str">
        <f>IFERROR(__xludf.DUMMYFUNCTION("""COMPUTED_VALUE"""),"Model 3 LR")</f>
        <v>Model 3 LR</v>
      </c>
      <c r="O3548" s="177" t="str">
        <f>IFERROR(__xludf.DUMMYFUNCTION("""COMPUTED_VALUE"""),"Red Multi-Coat")</f>
        <v>Red Multi-Coat</v>
      </c>
      <c r="P3548" s="178" t="str">
        <f>IFERROR(__xludf.DUMMYFUNCTION("""COMPUTED_VALUE"""),"18 inch Aero")</f>
        <v>18 inch Aero</v>
      </c>
      <c r="Q3548" s="177" t="str">
        <f>IFERROR(__xludf.DUMMYFUNCTION("""COMPUTED_VALUE"""),"Black seats")</f>
        <v>Black seats</v>
      </c>
      <c r="R3548" s="170" t="str">
        <f>IFERROR(__xludf.DUMMYFUNCTION("""COMPUTED_VALUE"""),"Enhanced Autopilot")</f>
        <v>Enhanced Autopilot</v>
      </c>
      <c r="S3548" s="170"/>
      <c r="T3548" s="179"/>
      <c r="U3548" s="179"/>
      <c r="V3548" s="179"/>
      <c r="W3548" s="180"/>
      <c r="X3548" s="181" t="str">
        <f>IFERROR(__xludf.DUMMYFUNCTION("""COMPUTED_VALUE"""),"Excellent")</f>
        <v>Excellent</v>
      </c>
      <c r="Y3548" s="182" t="str">
        <f>IFERROR(__xludf.DUMMYFUNCTION("""COMPUTED_VALUE"""),"Very Good")</f>
        <v>Very Good</v>
      </c>
      <c r="Z3548" s="182" t="str">
        <f>IFERROR(__xludf.DUMMYFUNCTION("""COMPUTED_VALUE"""),"Excellent")</f>
        <v>Excellent</v>
      </c>
      <c r="AA3548" s="182"/>
      <c r="AB3548" s="182" t="str">
        <f>IFERROR(__xludf.DUMMYFUNCTION("""COMPUTED_VALUE"""),"Excellent")</f>
        <v>Excellent</v>
      </c>
      <c r="AC3548" s="183"/>
      <c r="AD3548" s="183"/>
      <c r="AE3548" s="183"/>
      <c r="AF3548" s="184"/>
      <c r="AG3548" s="180"/>
      <c r="AH3548" s="185">
        <f>IFERROR(__xludf.DUMMYFUNCTION("""COMPUTED_VALUE"""),43240.4404271412)</f>
        <v>43240.44043</v>
      </c>
      <c r="AI3548" s="182"/>
      <c r="AJ3548" s="182"/>
      <c r="AK3548" s="182"/>
      <c r="AL3548" s="182"/>
    </row>
    <row r="3549" ht="20.25" customHeight="1">
      <c r="A3549" s="169" t="str">
        <f>IFERROR(__xludf.DUMMYFUNCTION("""COMPUTED_VALUE"""),"jcor6")</f>
        <v>jcor6</v>
      </c>
      <c r="B3549" s="170"/>
      <c r="C3549" s="170" t="str">
        <f>IFERROR(__xludf.DUMMYFUNCTION("""COMPUTED_VALUE"""),"SC")</f>
        <v>SC</v>
      </c>
      <c r="D3549" s="170" t="str">
        <f>IFERROR(__xludf.DUMMYFUNCTION("""COMPUTED_VALUE"""),"USA")</f>
        <v>USA</v>
      </c>
      <c r="E3549" s="171">
        <f>IFERROR(__xludf.DUMMYFUNCTION("""COMPUTED_VALUE"""),43203.0)</f>
        <v>43203</v>
      </c>
      <c r="F3549" s="172">
        <f>IFERROR(__xludf.DUMMYFUNCTION("""COMPUTED_VALUE"""),43229.0)</f>
        <v>43229</v>
      </c>
      <c r="G3549" s="173"/>
      <c r="H3549" s="174">
        <f>IFERROR(__xludf.DUMMYFUNCTION("""COMPUTED_VALUE"""),19355.0)</f>
        <v>19355</v>
      </c>
      <c r="I3549" s="175"/>
      <c r="J3549" s="172">
        <f>IFERROR(__xludf.DUMMYFUNCTION("""COMPUTED_VALUE"""),43248.0)</f>
        <v>43248</v>
      </c>
      <c r="K3549" s="176">
        <f>IFERROR(__xludf.DUMMYFUNCTION("""COMPUTED_VALUE"""),26.0)</f>
        <v>26</v>
      </c>
      <c r="L3549" s="176">
        <f>IFERROR(__xludf.DUMMYFUNCTION("""COMPUTED_VALUE"""),19.0)</f>
        <v>19</v>
      </c>
      <c r="M3549" s="176">
        <f>IFERROR(__xludf.DUMMYFUNCTION("""COMPUTED_VALUE"""),45.0)</f>
        <v>45</v>
      </c>
      <c r="N3549" s="177" t="str">
        <f>IFERROR(__xludf.DUMMYFUNCTION("""COMPUTED_VALUE"""),"Model 3 LR")</f>
        <v>Model 3 LR</v>
      </c>
      <c r="O3549" s="177" t="str">
        <f>IFERROR(__xludf.DUMMYFUNCTION("""COMPUTED_VALUE"""),"Red Multi-Coat")</f>
        <v>Red Multi-Coat</v>
      </c>
      <c r="P3549" s="178" t="str">
        <f>IFERROR(__xludf.DUMMYFUNCTION("""COMPUTED_VALUE"""),"18 inch Aero")</f>
        <v>18 inch Aero</v>
      </c>
      <c r="Q3549" s="177" t="str">
        <f>IFERROR(__xludf.DUMMYFUNCTION("""COMPUTED_VALUE"""),"Black seats")</f>
        <v>Black seats</v>
      </c>
      <c r="R3549" s="170" t="str">
        <f>IFERROR(__xludf.DUMMYFUNCTION("""COMPUTED_VALUE"""),"Enhanced Autopilot")</f>
        <v>Enhanced Autopilot</v>
      </c>
      <c r="S3549" s="170"/>
      <c r="T3549" s="179"/>
      <c r="U3549" s="179"/>
      <c r="V3549" s="179"/>
      <c r="W3549" s="180"/>
      <c r="X3549" s="181" t="str">
        <f>IFERROR(__xludf.DUMMYFUNCTION("""COMPUTED_VALUE"""),"Very Good")</f>
        <v>Very Good</v>
      </c>
      <c r="Y3549" s="182" t="str">
        <f>IFERROR(__xludf.DUMMYFUNCTION("""COMPUTED_VALUE"""),"Very Good")</f>
        <v>Very Good</v>
      </c>
      <c r="Z3549" s="182" t="str">
        <f>IFERROR(__xludf.DUMMYFUNCTION("""COMPUTED_VALUE"""),"Good")</f>
        <v>Good</v>
      </c>
      <c r="AA3549" s="182"/>
      <c r="AB3549" s="182" t="str">
        <f>IFERROR(__xludf.DUMMYFUNCTION("""COMPUTED_VALUE"""),"Very Good")</f>
        <v>Very Good</v>
      </c>
      <c r="AC3549" s="183"/>
      <c r="AD3549" s="183"/>
      <c r="AE3549" s="183"/>
      <c r="AF3549" s="184"/>
      <c r="AG3549" s="180"/>
      <c r="AH3549" s="185">
        <f>IFERROR(__xludf.DUMMYFUNCTION("""COMPUTED_VALUE"""),43249.4617496412)</f>
        <v>43249.46175</v>
      </c>
      <c r="AI3549" s="182"/>
      <c r="AJ3549" s="182"/>
      <c r="AK3549" s="182"/>
      <c r="AL3549" s="182"/>
    </row>
    <row r="3550" ht="20.25" customHeight="1">
      <c r="A3550" s="169" t="str">
        <f>IFERROR(__xludf.DUMMYFUNCTION("""COMPUTED_VALUE"""),"JeffDude99")</f>
        <v>JeffDude99</v>
      </c>
      <c r="B3550" s="170" t="str">
        <f>IFERROR(__xludf.DUMMYFUNCTION("""COMPUTED_VALUE"""),"Gaithersburg")</f>
        <v>Gaithersburg</v>
      </c>
      <c r="C3550" s="170" t="str">
        <f>IFERROR(__xludf.DUMMYFUNCTION("""COMPUTED_VALUE"""),"MD")</f>
        <v>MD</v>
      </c>
      <c r="D3550" s="170" t="str">
        <f>IFERROR(__xludf.DUMMYFUNCTION("""COMPUTED_VALUE"""),"USA")</f>
        <v>USA</v>
      </c>
      <c r="E3550" s="171">
        <f>IFERROR(__xludf.DUMMYFUNCTION("""COMPUTED_VALUE"""),43203.0)</f>
        <v>43203</v>
      </c>
      <c r="F3550" s="172">
        <f>IFERROR(__xludf.DUMMYFUNCTION("""COMPUTED_VALUE"""),43234.0)</f>
        <v>43234</v>
      </c>
      <c r="G3550" s="173"/>
      <c r="H3550" s="174">
        <f>IFERROR(__xludf.DUMMYFUNCTION("""COMPUTED_VALUE"""),21255.0)</f>
        <v>21255</v>
      </c>
      <c r="I3550" s="175"/>
      <c r="J3550" s="172">
        <f>IFERROR(__xludf.DUMMYFUNCTION("""COMPUTED_VALUE"""),43257.0)</f>
        <v>43257</v>
      </c>
      <c r="K3550" s="176">
        <f>IFERROR(__xludf.DUMMYFUNCTION("""COMPUTED_VALUE"""),31.0)</f>
        <v>31</v>
      </c>
      <c r="L3550" s="176">
        <f>IFERROR(__xludf.DUMMYFUNCTION("""COMPUTED_VALUE"""),23.0)</f>
        <v>23</v>
      </c>
      <c r="M3550" s="176">
        <f>IFERROR(__xludf.DUMMYFUNCTION("""COMPUTED_VALUE"""),54.0)</f>
        <v>54</v>
      </c>
      <c r="N3550" s="177" t="str">
        <f>IFERROR(__xludf.DUMMYFUNCTION("""COMPUTED_VALUE"""),"Model 3 LR")</f>
        <v>Model 3 LR</v>
      </c>
      <c r="O3550" s="177" t="str">
        <f>IFERROR(__xludf.DUMMYFUNCTION("""COMPUTED_VALUE"""),"Midnight Silver Metallic")</f>
        <v>Midnight Silver Metallic</v>
      </c>
      <c r="P3550" s="178" t="str">
        <f>IFERROR(__xludf.DUMMYFUNCTION("""COMPUTED_VALUE"""),"18 inch Aero")</f>
        <v>18 inch Aero</v>
      </c>
      <c r="Q3550" s="177" t="str">
        <f>IFERROR(__xludf.DUMMYFUNCTION("""COMPUTED_VALUE"""),"Black seats")</f>
        <v>Black seats</v>
      </c>
      <c r="R3550" s="170" t="str">
        <f>IFERROR(__xludf.DUMMYFUNCTION("""COMPUTED_VALUE"""),"Enhanced Autopilot")</f>
        <v>Enhanced Autopilot</v>
      </c>
      <c r="S3550" s="170"/>
      <c r="T3550" s="179"/>
      <c r="U3550" s="179"/>
      <c r="V3550" s="179"/>
      <c r="W3550" s="180"/>
      <c r="X3550" s="181" t="str">
        <f>IFERROR(__xludf.DUMMYFUNCTION("""COMPUTED_VALUE"""),"Very Good")</f>
        <v>Very Good</v>
      </c>
      <c r="Y3550" s="182" t="str">
        <f>IFERROR(__xludf.DUMMYFUNCTION("""COMPUTED_VALUE"""),"Excellent")</f>
        <v>Excellent</v>
      </c>
      <c r="Z3550" s="182" t="str">
        <f>IFERROR(__xludf.DUMMYFUNCTION("""COMPUTED_VALUE"""),"Excellent")</f>
        <v>Excellent</v>
      </c>
      <c r="AA3550" s="182" t="str">
        <f>IFERROR(__xludf.DUMMYFUNCTION("""COMPUTED_VALUE"""),"Good")</f>
        <v>Good</v>
      </c>
      <c r="AB3550" s="182" t="str">
        <f>IFERROR(__xludf.DUMMYFUNCTION("""COMPUTED_VALUE"""),"Very Good")</f>
        <v>Very Good</v>
      </c>
      <c r="AC3550" s="183"/>
      <c r="AD3550" s="183"/>
      <c r="AE3550" s="183"/>
      <c r="AF3550" s="184"/>
      <c r="AG3550" s="180"/>
      <c r="AH3550" s="185">
        <f>IFERROR(__xludf.DUMMYFUNCTION("""COMPUTED_VALUE"""),43260.140577743055)</f>
        <v>43260.14058</v>
      </c>
      <c r="AI3550" s="182"/>
      <c r="AJ3550" s="182"/>
      <c r="AK3550" s="182"/>
      <c r="AL3550" s="182"/>
    </row>
    <row r="3551" ht="20.25" customHeight="1">
      <c r="A3551" s="169" t="str">
        <f>IFERROR(__xludf.DUMMYFUNCTION("""COMPUTED_VALUE"""),"JeopardE")</f>
        <v>JeopardE</v>
      </c>
      <c r="B3551" s="170" t="str">
        <f>IFERROR(__xludf.DUMMYFUNCTION("""COMPUTED_VALUE"""),"Houston")</f>
        <v>Houston</v>
      </c>
      <c r="C3551" s="170" t="str">
        <f>IFERROR(__xludf.DUMMYFUNCTION("""COMPUTED_VALUE"""),"TX")</f>
        <v>TX</v>
      </c>
      <c r="D3551" s="170" t="str">
        <f>IFERROR(__xludf.DUMMYFUNCTION("""COMPUTED_VALUE"""),"USA")</f>
        <v>USA</v>
      </c>
      <c r="E3551" s="171">
        <f>IFERROR(__xludf.DUMMYFUNCTION("""COMPUTED_VALUE"""),43203.0)</f>
        <v>43203</v>
      </c>
      <c r="F3551" s="172">
        <f>IFERROR(__xludf.DUMMYFUNCTION("""COMPUTED_VALUE"""),43253.0)</f>
        <v>43253</v>
      </c>
      <c r="G3551" s="173"/>
      <c r="H3551" s="174">
        <f>IFERROR(__xludf.DUMMYFUNCTION("""COMPUTED_VALUE"""),32855.0)</f>
        <v>32855</v>
      </c>
      <c r="I3551" s="175" t="str">
        <f>IFERROR(__xludf.DUMMYFUNCTION("""COMPUTED_VALUE"""),"06/18")</f>
        <v>06/18</v>
      </c>
      <c r="J3551" s="172">
        <f>IFERROR(__xludf.DUMMYFUNCTION("""COMPUTED_VALUE"""),43272.0)</f>
        <v>43272</v>
      </c>
      <c r="K3551" s="176">
        <f>IFERROR(__xludf.DUMMYFUNCTION("""COMPUTED_VALUE"""),50.0)</f>
        <v>50</v>
      </c>
      <c r="L3551" s="176">
        <f>IFERROR(__xludf.DUMMYFUNCTION("""COMPUTED_VALUE"""),19.0)</f>
        <v>19</v>
      </c>
      <c r="M3551" s="176">
        <f>IFERROR(__xludf.DUMMYFUNCTION("""COMPUTED_VALUE"""),69.0)</f>
        <v>69</v>
      </c>
      <c r="N3551" s="177" t="str">
        <f>IFERROR(__xludf.DUMMYFUNCTION("""COMPUTED_VALUE"""),"Model 3 LR")</f>
        <v>Model 3 LR</v>
      </c>
      <c r="O3551" s="177" t="str">
        <f>IFERROR(__xludf.DUMMYFUNCTION("""COMPUTED_VALUE"""),"Red Multi-Coat")</f>
        <v>Red Multi-Coat</v>
      </c>
      <c r="P3551" s="178" t="str">
        <f>IFERROR(__xludf.DUMMYFUNCTION("""COMPUTED_VALUE"""),"19 inch Sport")</f>
        <v>19 inch Sport</v>
      </c>
      <c r="Q3551" s="177" t="str">
        <f>IFERROR(__xludf.DUMMYFUNCTION("""COMPUTED_VALUE"""),"Black seats")</f>
        <v>Black seats</v>
      </c>
      <c r="R3551" s="170" t="str">
        <f>IFERROR(__xludf.DUMMYFUNCTION("""COMPUTED_VALUE"""),"Enhanced Autopilot")</f>
        <v>Enhanced Autopilot</v>
      </c>
      <c r="S3551" s="170"/>
      <c r="T3551" s="179"/>
      <c r="U3551" s="179"/>
      <c r="V3551" s="179"/>
      <c r="W3551" s="180"/>
      <c r="X3551" s="181" t="str">
        <f>IFERROR(__xludf.DUMMYFUNCTION("""COMPUTED_VALUE"""),"Very Good")</f>
        <v>Very Good</v>
      </c>
      <c r="Y3551" s="182" t="str">
        <f>IFERROR(__xludf.DUMMYFUNCTION("""COMPUTED_VALUE"""),"Very Good")</f>
        <v>Very Good</v>
      </c>
      <c r="Z3551" s="182" t="str">
        <f>IFERROR(__xludf.DUMMYFUNCTION("""COMPUTED_VALUE"""),"Excellent")</f>
        <v>Excellent</v>
      </c>
      <c r="AA3551" s="182" t="str">
        <f>IFERROR(__xludf.DUMMYFUNCTION("""COMPUTED_VALUE"""),"Excellent")</f>
        <v>Excellent</v>
      </c>
      <c r="AB3551" s="182" t="str">
        <f>IFERROR(__xludf.DUMMYFUNCTION("""COMPUTED_VALUE"""),"Excellent")</f>
        <v>Excellent</v>
      </c>
      <c r="AC3551" s="183"/>
      <c r="AD3551" s="183"/>
      <c r="AE3551" s="183"/>
      <c r="AF3551" s="184"/>
      <c r="AG3551" s="180"/>
      <c r="AH3551" s="185">
        <f>IFERROR(__xludf.DUMMYFUNCTION("""COMPUTED_VALUE"""),43278.907412280096)</f>
        <v>43278.90741</v>
      </c>
      <c r="AI3551" s="182"/>
      <c r="AJ3551" s="182"/>
      <c r="AK3551" s="182"/>
      <c r="AL3551" s="182"/>
    </row>
    <row r="3552" ht="20.25" customHeight="1">
      <c r="A3552" s="169" t="str">
        <f>IFERROR(__xludf.DUMMYFUNCTION("""COMPUTED_VALUE"""),"jfrick")</f>
        <v>jfrick</v>
      </c>
      <c r="B3552" s="170" t="str">
        <f>IFERROR(__xludf.DUMMYFUNCTION("""COMPUTED_VALUE"""),"Bellevue")</f>
        <v>Bellevue</v>
      </c>
      <c r="C3552" s="170" t="str">
        <f>IFERROR(__xludf.DUMMYFUNCTION("""COMPUTED_VALUE"""),"WA")</f>
        <v>WA</v>
      </c>
      <c r="D3552" s="170" t="str">
        <f>IFERROR(__xludf.DUMMYFUNCTION("""COMPUTED_VALUE"""),"USA")</f>
        <v>USA</v>
      </c>
      <c r="E3552" s="171">
        <f>IFERROR(__xludf.DUMMYFUNCTION("""COMPUTED_VALUE"""),43203.0)</f>
        <v>43203</v>
      </c>
      <c r="F3552" s="172">
        <f>IFERROR(__xludf.DUMMYFUNCTION("""COMPUTED_VALUE"""),43204.0)</f>
        <v>43204</v>
      </c>
      <c r="G3552" s="173"/>
      <c r="H3552" s="174">
        <f>IFERROR(__xludf.DUMMYFUNCTION("""COMPUTED_VALUE"""),17955.0)</f>
        <v>17955</v>
      </c>
      <c r="I3552" s="175" t="str">
        <f>IFERROR(__xludf.DUMMYFUNCTION("""COMPUTED_VALUE"""),"04/18")</f>
        <v>04/18</v>
      </c>
      <c r="J3552" s="172">
        <f>IFERROR(__xludf.DUMMYFUNCTION("""COMPUTED_VALUE"""),43217.0)</f>
        <v>43217</v>
      </c>
      <c r="K3552" s="176">
        <f>IFERROR(__xludf.DUMMYFUNCTION("""COMPUTED_VALUE"""),1.0)</f>
        <v>1</v>
      </c>
      <c r="L3552" s="176">
        <f>IFERROR(__xludf.DUMMYFUNCTION("""COMPUTED_VALUE"""),13.0)</f>
        <v>13</v>
      </c>
      <c r="M3552" s="176">
        <f>IFERROR(__xludf.DUMMYFUNCTION("""COMPUTED_VALUE"""),14.0)</f>
        <v>14</v>
      </c>
      <c r="N3552" s="177" t="str">
        <f>IFERROR(__xludf.DUMMYFUNCTION("""COMPUTED_VALUE"""),"Model 3 LR")</f>
        <v>Model 3 LR</v>
      </c>
      <c r="O3552" s="177" t="str">
        <f>IFERROR(__xludf.DUMMYFUNCTION("""COMPUTED_VALUE"""),"Silver Metallic")</f>
        <v>Silver Metallic</v>
      </c>
      <c r="P3552" s="178" t="str">
        <f>IFERROR(__xludf.DUMMYFUNCTION("""COMPUTED_VALUE"""),"19 inch Sport")</f>
        <v>19 inch Sport</v>
      </c>
      <c r="Q3552" s="177" t="str">
        <f>IFERROR(__xludf.DUMMYFUNCTION("""COMPUTED_VALUE"""),"Black seats")</f>
        <v>Black seats</v>
      </c>
      <c r="R3552" s="170" t="str">
        <f>IFERROR(__xludf.DUMMYFUNCTION("""COMPUTED_VALUE"""),"None")</f>
        <v>None</v>
      </c>
      <c r="S3552" s="170"/>
      <c r="T3552" s="179"/>
      <c r="U3552" s="179"/>
      <c r="V3552" s="179"/>
      <c r="W3552" s="180"/>
      <c r="X3552" s="181" t="str">
        <f>IFERROR(__xludf.DUMMYFUNCTION("""COMPUTED_VALUE"""),"Very Good")</f>
        <v>Very Good</v>
      </c>
      <c r="Y3552" s="182" t="str">
        <f>IFERROR(__xludf.DUMMYFUNCTION("""COMPUTED_VALUE"""),"Very Good")</f>
        <v>Very Good</v>
      </c>
      <c r="Z3552" s="182" t="str">
        <f>IFERROR(__xludf.DUMMYFUNCTION("""COMPUTED_VALUE"""),"Fair")</f>
        <v>Fair</v>
      </c>
      <c r="AA3552" s="182" t="str">
        <f>IFERROR(__xludf.DUMMYFUNCTION("""COMPUTED_VALUE"""),"Excellent")</f>
        <v>Excellent</v>
      </c>
      <c r="AB3552" s="182" t="str">
        <f>IFERROR(__xludf.DUMMYFUNCTION("""COMPUTED_VALUE"""),"Excellent")</f>
        <v>Excellent</v>
      </c>
      <c r="AC3552" s="183">
        <f>IFERROR(__xludf.DUMMYFUNCTION("""COMPUTED_VALUE"""),0.0)</f>
        <v>0</v>
      </c>
      <c r="AD3552" s="183">
        <f>IFERROR(__xludf.DUMMYFUNCTION("""COMPUTED_VALUE"""),0.0)</f>
        <v>0</v>
      </c>
      <c r="AE3552" s="183">
        <f>IFERROR(__xludf.DUMMYFUNCTION("""COMPUTED_VALUE"""),0.0)</f>
        <v>0</v>
      </c>
      <c r="AF3552" s="184"/>
      <c r="AG3552" s="180"/>
      <c r="AH3552" s="185">
        <f>IFERROR(__xludf.DUMMYFUNCTION("""COMPUTED_VALUE"""),43320.58567053241)</f>
        <v>43320.58567</v>
      </c>
      <c r="AI3552" s="182"/>
      <c r="AJ3552" s="182"/>
      <c r="AK3552" s="182"/>
      <c r="AL3552" s="182"/>
    </row>
    <row r="3553" ht="20.25" customHeight="1">
      <c r="A3553" s="169" t="str">
        <f>IFERROR(__xludf.DUMMYFUNCTION("""COMPUTED_VALUE"""),"Joelsnug")</f>
        <v>Joelsnug</v>
      </c>
      <c r="B3553" s="170" t="str">
        <f>IFERROR(__xludf.DUMMYFUNCTION("""COMPUTED_VALUE"""),"Edmonds")</f>
        <v>Edmonds</v>
      </c>
      <c r="C3553" s="170" t="str">
        <f>IFERROR(__xludf.DUMMYFUNCTION("""COMPUTED_VALUE"""),"WA")</f>
        <v>WA</v>
      </c>
      <c r="D3553" s="170" t="str">
        <f>IFERROR(__xludf.DUMMYFUNCTION("""COMPUTED_VALUE"""),"USA")</f>
        <v>USA</v>
      </c>
      <c r="E3553" s="171">
        <f>IFERROR(__xludf.DUMMYFUNCTION("""COMPUTED_VALUE"""),43203.0)</f>
        <v>43203</v>
      </c>
      <c r="F3553" s="172">
        <f>IFERROR(__xludf.DUMMYFUNCTION("""COMPUTED_VALUE"""),43277.0)</f>
        <v>43277</v>
      </c>
      <c r="G3553" s="173"/>
      <c r="H3553" s="174">
        <f>IFERROR(__xludf.DUMMYFUNCTION("""COMPUTED_VALUE"""),36682.0)</f>
        <v>36682</v>
      </c>
      <c r="I3553" s="175" t="str">
        <f>IFERROR(__xludf.DUMMYFUNCTION("""COMPUTED_VALUE"""),"06/18")</f>
        <v>06/18</v>
      </c>
      <c r="J3553" s="172">
        <f>IFERROR(__xludf.DUMMYFUNCTION("""COMPUTED_VALUE"""),43284.0)</f>
        <v>43284</v>
      </c>
      <c r="K3553" s="176">
        <f>IFERROR(__xludf.DUMMYFUNCTION("""COMPUTED_VALUE"""),74.0)</f>
        <v>74</v>
      </c>
      <c r="L3553" s="176">
        <f>IFERROR(__xludf.DUMMYFUNCTION("""COMPUTED_VALUE"""),7.0)</f>
        <v>7</v>
      </c>
      <c r="M3553" s="176">
        <f>IFERROR(__xludf.DUMMYFUNCTION("""COMPUTED_VALUE"""),81.0)</f>
        <v>81</v>
      </c>
      <c r="N3553" s="177" t="str">
        <f>IFERROR(__xludf.DUMMYFUNCTION("""COMPUTED_VALUE"""),"Model 3 LR")</f>
        <v>Model 3 LR</v>
      </c>
      <c r="O3553" s="177" t="str">
        <f>IFERROR(__xludf.DUMMYFUNCTION("""COMPUTED_VALUE"""),"Midnight Silver Metallic")</f>
        <v>Midnight Silver Metallic</v>
      </c>
      <c r="P3553" s="178" t="str">
        <f>IFERROR(__xludf.DUMMYFUNCTION("""COMPUTED_VALUE"""),"19 inch Sport")</f>
        <v>19 inch Sport</v>
      </c>
      <c r="Q3553" s="177" t="str">
        <f>IFERROR(__xludf.DUMMYFUNCTION("""COMPUTED_VALUE"""),"Black seats")</f>
        <v>Black seats</v>
      </c>
      <c r="R3553" s="170" t="str">
        <f>IFERROR(__xludf.DUMMYFUNCTION("""COMPUTED_VALUE"""),"Enhanced Autopilot")</f>
        <v>Enhanced Autopilot</v>
      </c>
      <c r="S3553" s="170"/>
      <c r="T3553" s="179"/>
      <c r="U3553" s="179"/>
      <c r="V3553" s="179"/>
      <c r="W3553" s="180"/>
      <c r="X3553" s="181" t="str">
        <f>IFERROR(__xludf.DUMMYFUNCTION("""COMPUTED_VALUE"""),"Very Good")</f>
        <v>Very Good</v>
      </c>
      <c r="Y3553" s="182" t="str">
        <f>IFERROR(__xludf.DUMMYFUNCTION("""COMPUTED_VALUE"""),"Excellent")</f>
        <v>Excellent</v>
      </c>
      <c r="Z3553" s="182" t="str">
        <f>IFERROR(__xludf.DUMMYFUNCTION("""COMPUTED_VALUE"""),"Excellent")</f>
        <v>Excellent</v>
      </c>
      <c r="AA3553" s="182" t="str">
        <f>IFERROR(__xludf.DUMMYFUNCTION("""COMPUTED_VALUE"""),"Good")</f>
        <v>Good</v>
      </c>
      <c r="AB3553" s="182" t="str">
        <f>IFERROR(__xludf.DUMMYFUNCTION("""COMPUTED_VALUE"""),"Excellent")</f>
        <v>Excellent</v>
      </c>
      <c r="AC3553" s="183"/>
      <c r="AD3553" s="183"/>
      <c r="AE3553" s="183"/>
      <c r="AF3553" s="184"/>
      <c r="AG3553" s="180"/>
      <c r="AH3553" s="185">
        <f>IFERROR(__xludf.DUMMYFUNCTION("""COMPUTED_VALUE"""),43285.556109652774)</f>
        <v>43285.55611</v>
      </c>
      <c r="AI3553" s="182"/>
      <c r="AJ3553" s="182"/>
      <c r="AK3553" s="182"/>
      <c r="AL3553" s="182"/>
    </row>
    <row r="3554" ht="20.25" customHeight="1">
      <c r="A3554" s="169" t="str">
        <f>IFERROR(__xludf.DUMMYFUNCTION("""COMPUTED_VALUE"""),"Marozhina ")</f>
        <v>Marozhina </v>
      </c>
      <c r="B3554" s="170" t="str">
        <f>IFERROR(__xludf.DUMMYFUNCTION("""COMPUTED_VALUE"""),"Dallas")</f>
        <v>Dallas</v>
      </c>
      <c r="C3554" s="170" t="str">
        <f>IFERROR(__xludf.DUMMYFUNCTION("""COMPUTED_VALUE"""),"TX")</f>
        <v>TX</v>
      </c>
      <c r="D3554" s="170" t="str">
        <f>IFERROR(__xludf.DUMMYFUNCTION("""COMPUTED_VALUE"""),"USA")</f>
        <v>USA</v>
      </c>
      <c r="E3554" s="171">
        <f>IFERROR(__xludf.DUMMYFUNCTION("""COMPUTED_VALUE"""),43203.0)</f>
        <v>43203</v>
      </c>
      <c r="F3554" s="172">
        <f>IFERROR(__xludf.DUMMYFUNCTION("""COMPUTED_VALUE"""),43259.0)</f>
        <v>43259</v>
      </c>
      <c r="G3554" s="173"/>
      <c r="H3554" s="174">
        <f>IFERROR(__xludf.DUMMYFUNCTION("""COMPUTED_VALUE"""),23055.0)</f>
        <v>23055</v>
      </c>
      <c r="I3554" s="175" t="str">
        <f>IFERROR(__xludf.DUMMYFUNCTION("""COMPUTED_VALUE"""),"06/18")</f>
        <v>06/18</v>
      </c>
      <c r="J3554" s="172">
        <f>IFERROR(__xludf.DUMMYFUNCTION("""COMPUTED_VALUE"""),43295.0)</f>
        <v>43295</v>
      </c>
      <c r="K3554" s="176">
        <f>IFERROR(__xludf.DUMMYFUNCTION("""COMPUTED_VALUE"""),56.0)</f>
        <v>56</v>
      </c>
      <c r="L3554" s="176">
        <f>IFERROR(__xludf.DUMMYFUNCTION("""COMPUTED_VALUE"""),36.0)</f>
        <v>36</v>
      </c>
      <c r="M3554" s="176">
        <f>IFERROR(__xludf.DUMMYFUNCTION("""COMPUTED_VALUE"""),92.0)</f>
        <v>92</v>
      </c>
      <c r="N3554" s="177" t="str">
        <f>IFERROR(__xludf.DUMMYFUNCTION("""COMPUTED_VALUE"""),"Model 3 LR")</f>
        <v>Model 3 LR</v>
      </c>
      <c r="O3554" s="177" t="str">
        <f>IFERROR(__xludf.DUMMYFUNCTION("""COMPUTED_VALUE"""),"Solid Black")</f>
        <v>Solid Black</v>
      </c>
      <c r="P3554" s="178" t="str">
        <f>IFERROR(__xludf.DUMMYFUNCTION("""COMPUTED_VALUE"""),"18 inch Aero")</f>
        <v>18 inch Aero</v>
      </c>
      <c r="Q3554" s="177" t="str">
        <f>IFERROR(__xludf.DUMMYFUNCTION("""COMPUTED_VALUE"""),"Black seats")</f>
        <v>Black seats</v>
      </c>
      <c r="R3554" s="170" t="str">
        <f>IFERROR(__xludf.DUMMYFUNCTION("""COMPUTED_VALUE"""),"None")</f>
        <v>None</v>
      </c>
      <c r="S3554" s="170"/>
      <c r="T3554" s="179"/>
      <c r="U3554" s="179"/>
      <c r="V3554" s="179"/>
      <c r="W3554" s="180"/>
      <c r="X3554" s="181" t="str">
        <f>IFERROR(__xludf.DUMMYFUNCTION("""COMPUTED_VALUE"""),"Good")</f>
        <v>Good</v>
      </c>
      <c r="Y3554" s="182" t="str">
        <f>IFERROR(__xludf.DUMMYFUNCTION("""COMPUTED_VALUE"""),"Very Good")</f>
        <v>Very Good</v>
      </c>
      <c r="Z3554" s="182" t="str">
        <f>IFERROR(__xludf.DUMMYFUNCTION("""COMPUTED_VALUE"""),"Very Good")</f>
        <v>Very Good</v>
      </c>
      <c r="AA3554" s="182" t="str">
        <f>IFERROR(__xludf.DUMMYFUNCTION("""COMPUTED_VALUE"""),"Poor")</f>
        <v>Poor</v>
      </c>
      <c r="AB3554" s="182" t="str">
        <f>IFERROR(__xludf.DUMMYFUNCTION("""COMPUTED_VALUE"""),"Good")</f>
        <v>Good</v>
      </c>
      <c r="AC3554" s="183">
        <f>IFERROR(__xludf.DUMMYFUNCTION("""COMPUTED_VALUE"""),1.0)</f>
        <v>1</v>
      </c>
      <c r="AD3554" s="183">
        <f>IFERROR(__xludf.DUMMYFUNCTION("""COMPUTED_VALUE"""),2.0)</f>
        <v>2</v>
      </c>
      <c r="AE3554" s="183">
        <f>IFERROR(__xludf.DUMMYFUNCTION("""COMPUTED_VALUE"""),1.0)</f>
        <v>1</v>
      </c>
      <c r="AF3554" s="184"/>
      <c r="AG3554" s="180"/>
      <c r="AH3554" s="185">
        <f>IFERROR(__xludf.DUMMYFUNCTION("""COMPUTED_VALUE"""),43334.26505202546)</f>
        <v>43334.26505</v>
      </c>
      <c r="AI3554" s="182"/>
      <c r="AJ3554" s="182"/>
      <c r="AK3554" s="182"/>
      <c r="AL3554" s="182"/>
    </row>
    <row r="3555" ht="20.25" customHeight="1">
      <c r="A3555" s="169" t="str">
        <f>IFERROR(__xludf.DUMMYFUNCTION("""COMPUTED_VALUE"""),"mcocjg")</f>
        <v>mcocjg</v>
      </c>
      <c r="B3555" s="170" t="str">
        <f>IFERROR(__xludf.DUMMYFUNCTION("""COMPUTED_VALUE"""),"Birmingham")</f>
        <v>Birmingham</v>
      </c>
      <c r="C3555" s="170" t="str">
        <f>IFERROR(__xludf.DUMMYFUNCTION("""COMPUTED_VALUE"""),"AL")</f>
        <v>AL</v>
      </c>
      <c r="D3555" s="170" t="str">
        <f>IFERROR(__xludf.DUMMYFUNCTION("""COMPUTED_VALUE"""),"USA")</f>
        <v>USA</v>
      </c>
      <c r="E3555" s="171">
        <f>IFERROR(__xludf.DUMMYFUNCTION("""COMPUTED_VALUE"""),43203.0)</f>
        <v>43203</v>
      </c>
      <c r="F3555" s="172">
        <f>IFERROR(__xludf.DUMMYFUNCTION("""COMPUTED_VALUE"""),43234.0)</f>
        <v>43234</v>
      </c>
      <c r="G3555" s="173"/>
      <c r="H3555" s="174">
        <f>IFERROR(__xludf.DUMMYFUNCTION("""COMPUTED_VALUE"""),19455.0)</f>
        <v>19455</v>
      </c>
      <c r="I3555" s="175"/>
      <c r="J3555" s="172">
        <f>IFERROR(__xludf.DUMMYFUNCTION("""COMPUTED_VALUE"""),43253.0)</f>
        <v>43253</v>
      </c>
      <c r="K3555" s="176">
        <f>IFERROR(__xludf.DUMMYFUNCTION("""COMPUTED_VALUE"""),31.0)</f>
        <v>31</v>
      </c>
      <c r="L3555" s="176">
        <f>IFERROR(__xludf.DUMMYFUNCTION("""COMPUTED_VALUE"""),19.0)</f>
        <v>19</v>
      </c>
      <c r="M3555" s="176">
        <f>IFERROR(__xludf.DUMMYFUNCTION("""COMPUTED_VALUE"""),50.0)</f>
        <v>50</v>
      </c>
      <c r="N3555" s="177" t="str">
        <f>IFERROR(__xludf.DUMMYFUNCTION("""COMPUTED_VALUE"""),"Model 3 LR")</f>
        <v>Model 3 LR</v>
      </c>
      <c r="O3555" s="177" t="str">
        <f>IFERROR(__xludf.DUMMYFUNCTION("""COMPUTED_VALUE"""),"Deep Blue Metallic")</f>
        <v>Deep Blue Metallic</v>
      </c>
      <c r="P3555" s="178" t="str">
        <f>IFERROR(__xludf.DUMMYFUNCTION("""COMPUTED_VALUE"""),"18 inch Aero")</f>
        <v>18 inch Aero</v>
      </c>
      <c r="Q3555" s="177" t="str">
        <f>IFERROR(__xludf.DUMMYFUNCTION("""COMPUTED_VALUE"""),"Black seats")</f>
        <v>Black seats</v>
      </c>
      <c r="R3555" s="170" t="str">
        <f>IFERROR(__xludf.DUMMYFUNCTION("""COMPUTED_VALUE"""),"None")</f>
        <v>None</v>
      </c>
      <c r="S3555" s="170"/>
      <c r="T3555" s="179"/>
      <c r="U3555" s="179"/>
      <c r="V3555" s="179"/>
      <c r="W3555" s="180"/>
      <c r="X3555" s="181" t="str">
        <f>IFERROR(__xludf.DUMMYFUNCTION("""COMPUTED_VALUE"""),"Very Good")</f>
        <v>Very Good</v>
      </c>
      <c r="Y3555" s="182" t="str">
        <f>IFERROR(__xludf.DUMMYFUNCTION("""COMPUTED_VALUE"""),"Excellent")</f>
        <v>Excellent</v>
      </c>
      <c r="Z3555" s="182" t="str">
        <f>IFERROR(__xludf.DUMMYFUNCTION("""COMPUTED_VALUE"""),"Good")</f>
        <v>Good</v>
      </c>
      <c r="AA3555" s="182" t="str">
        <f>IFERROR(__xludf.DUMMYFUNCTION("""COMPUTED_VALUE"""),"Very Good")</f>
        <v>Very Good</v>
      </c>
      <c r="AB3555" s="182" t="str">
        <f>IFERROR(__xludf.DUMMYFUNCTION("""COMPUTED_VALUE"""),"Excellent")</f>
        <v>Excellent</v>
      </c>
      <c r="AC3555" s="183"/>
      <c r="AD3555" s="183"/>
      <c r="AE3555" s="183"/>
      <c r="AF3555" s="184"/>
      <c r="AG3555" s="180"/>
      <c r="AH3555" s="185">
        <f>IFERROR(__xludf.DUMMYFUNCTION("""COMPUTED_VALUE"""),43256.40224174769)</f>
        <v>43256.40224</v>
      </c>
      <c r="AI3555" s="182"/>
      <c r="AJ3555" s="182"/>
      <c r="AK3555" s="182"/>
      <c r="AL3555" s="182"/>
    </row>
    <row r="3556" ht="20.25" customHeight="1">
      <c r="A3556" s="169" t="str">
        <f>IFERROR(__xludf.DUMMYFUNCTION("""COMPUTED_VALUE"""),"paulcow")</f>
        <v>paulcow</v>
      </c>
      <c r="B3556" s="170" t="str">
        <f>IFERROR(__xludf.DUMMYFUNCTION("""COMPUTED_VALUE"""),"Madison, WI")</f>
        <v>Madison, WI</v>
      </c>
      <c r="C3556" s="170" t="str">
        <f>IFERROR(__xludf.DUMMYFUNCTION("""COMPUTED_VALUE"""),"WI")</f>
        <v>WI</v>
      </c>
      <c r="D3556" s="170" t="str">
        <f>IFERROR(__xludf.DUMMYFUNCTION("""COMPUTED_VALUE"""),"USA")</f>
        <v>USA</v>
      </c>
      <c r="E3556" s="171">
        <f>IFERROR(__xludf.DUMMYFUNCTION("""COMPUTED_VALUE"""),43203.0)</f>
        <v>43203</v>
      </c>
      <c r="F3556" s="172">
        <f>IFERROR(__xludf.DUMMYFUNCTION("""COMPUTED_VALUE"""),43234.0)</f>
        <v>43234</v>
      </c>
      <c r="G3556" s="173"/>
      <c r="H3556" s="174">
        <f>IFERROR(__xludf.DUMMYFUNCTION("""COMPUTED_VALUE"""),21355.0)</f>
        <v>21355</v>
      </c>
      <c r="I3556" s="175"/>
      <c r="J3556" s="172">
        <f>IFERROR(__xludf.DUMMYFUNCTION("""COMPUTED_VALUE"""),43251.0)</f>
        <v>43251</v>
      </c>
      <c r="K3556" s="176">
        <f>IFERROR(__xludf.DUMMYFUNCTION("""COMPUTED_VALUE"""),31.0)</f>
        <v>31</v>
      </c>
      <c r="L3556" s="176">
        <f>IFERROR(__xludf.DUMMYFUNCTION("""COMPUTED_VALUE"""),17.0)</f>
        <v>17</v>
      </c>
      <c r="M3556" s="176">
        <f>IFERROR(__xludf.DUMMYFUNCTION("""COMPUTED_VALUE"""),48.0)</f>
        <v>48</v>
      </c>
      <c r="N3556" s="177" t="str">
        <f>IFERROR(__xludf.DUMMYFUNCTION("""COMPUTED_VALUE"""),"Model 3 LR")</f>
        <v>Model 3 LR</v>
      </c>
      <c r="O3556" s="177" t="str">
        <f>IFERROR(__xludf.DUMMYFUNCTION("""COMPUTED_VALUE"""),"Midnight Silver Metallic")</f>
        <v>Midnight Silver Metallic</v>
      </c>
      <c r="P3556" s="178" t="str">
        <f>IFERROR(__xludf.DUMMYFUNCTION("""COMPUTED_VALUE"""),"18 inch Aero")</f>
        <v>18 inch Aero</v>
      </c>
      <c r="Q3556" s="177" t="str">
        <f>IFERROR(__xludf.DUMMYFUNCTION("""COMPUTED_VALUE"""),"Black seats")</f>
        <v>Black seats</v>
      </c>
      <c r="R3556" s="170" t="str">
        <f>IFERROR(__xludf.DUMMYFUNCTION("""COMPUTED_VALUE"""),"Full Self-Driving")</f>
        <v>Full Self-Driving</v>
      </c>
      <c r="S3556" s="170"/>
      <c r="T3556" s="179"/>
      <c r="U3556" s="179"/>
      <c r="V3556" s="179"/>
      <c r="W3556" s="180"/>
      <c r="X3556" s="181" t="str">
        <f>IFERROR(__xludf.DUMMYFUNCTION("""COMPUTED_VALUE"""),"Very Good")</f>
        <v>Very Good</v>
      </c>
      <c r="Y3556" s="182" t="str">
        <f>IFERROR(__xludf.DUMMYFUNCTION("""COMPUTED_VALUE"""),"Excellent")</f>
        <v>Excellent</v>
      </c>
      <c r="Z3556" s="182" t="str">
        <f>IFERROR(__xludf.DUMMYFUNCTION("""COMPUTED_VALUE"""),"Excellent")</f>
        <v>Excellent</v>
      </c>
      <c r="AA3556" s="182" t="str">
        <f>IFERROR(__xludf.DUMMYFUNCTION("""COMPUTED_VALUE"""),"Fair")</f>
        <v>Fair</v>
      </c>
      <c r="AB3556" s="182" t="str">
        <f>IFERROR(__xludf.DUMMYFUNCTION("""COMPUTED_VALUE"""),"Very Good")</f>
        <v>Very Good</v>
      </c>
      <c r="AC3556" s="183"/>
      <c r="AD3556" s="183"/>
      <c r="AE3556" s="183"/>
      <c r="AF3556" s="184"/>
      <c r="AG3556" s="180"/>
      <c r="AH3556" s="185">
        <f>IFERROR(__xludf.DUMMYFUNCTION("""COMPUTED_VALUE"""),43257.57423134259)</f>
        <v>43257.57423</v>
      </c>
      <c r="AI3556" s="182"/>
      <c r="AJ3556" s="182"/>
      <c r="AK3556" s="182"/>
      <c r="AL3556" s="182"/>
    </row>
    <row r="3557" ht="20.25" customHeight="1">
      <c r="A3557" s="169" t="str">
        <f>IFERROR(__xludf.DUMMYFUNCTION("""COMPUTED_VALUE"""),"Pobudz")</f>
        <v>Pobudz</v>
      </c>
      <c r="B3557" s="170" t="str">
        <f>IFERROR(__xludf.DUMMYFUNCTION("""COMPUTED_VALUE"""),"Avondale")</f>
        <v>Avondale</v>
      </c>
      <c r="C3557" s="170" t="str">
        <f>IFERROR(__xludf.DUMMYFUNCTION("""COMPUTED_VALUE"""),"AZ")</f>
        <v>AZ</v>
      </c>
      <c r="D3557" s="170" t="str">
        <f>IFERROR(__xludf.DUMMYFUNCTION("""COMPUTED_VALUE"""),"USA")</f>
        <v>USA</v>
      </c>
      <c r="E3557" s="171">
        <f>IFERROR(__xludf.DUMMYFUNCTION("""COMPUTED_VALUE"""),43203.0)</f>
        <v>43203</v>
      </c>
      <c r="F3557" s="172">
        <f>IFERROR(__xludf.DUMMYFUNCTION("""COMPUTED_VALUE"""),43230.0)</f>
        <v>43230</v>
      </c>
      <c r="G3557" s="173"/>
      <c r="H3557" s="174">
        <f>IFERROR(__xludf.DUMMYFUNCTION("""COMPUTED_VALUE"""),26059.0)</f>
        <v>26059</v>
      </c>
      <c r="I3557" s="175" t="str">
        <f>IFERROR(__xludf.DUMMYFUNCTION("""COMPUTED_VALUE"""),"05/18")</f>
        <v>05/18</v>
      </c>
      <c r="J3557" s="172">
        <f>IFERROR(__xludf.DUMMYFUNCTION("""COMPUTED_VALUE"""),43259.0)</f>
        <v>43259</v>
      </c>
      <c r="K3557" s="176">
        <f>IFERROR(__xludf.DUMMYFUNCTION("""COMPUTED_VALUE"""),27.0)</f>
        <v>27</v>
      </c>
      <c r="L3557" s="176">
        <f>IFERROR(__xludf.DUMMYFUNCTION("""COMPUTED_VALUE"""),29.0)</f>
        <v>29</v>
      </c>
      <c r="M3557" s="176">
        <f>IFERROR(__xludf.DUMMYFUNCTION("""COMPUTED_VALUE"""),56.0)</f>
        <v>56</v>
      </c>
      <c r="N3557" s="177" t="str">
        <f>IFERROR(__xludf.DUMMYFUNCTION("""COMPUTED_VALUE"""),"Model 3 LR")</f>
        <v>Model 3 LR</v>
      </c>
      <c r="O3557" s="177" t="str">
        <f>IFERROR(__xludf.DUMMYFUNCTION("""COMPUTED_VALUE"""),"Deep Blue Metallic")</f>
        <v>Deep Blue Metallic</v>
      </c>
      <c r="P3557" s="178" t="str">
        <f>IFERROR(__xludf.DUMMYFUNCTION("""COMPUTED_VALUE"""),"18 inch Aero")</f>
        <v>18 inch Aero</v>
      </c>
      <c r="Q3557" s="177" t="str">
        <f>IFERROR(__xludf.DUMMYFUNCTION("""COMPUTED_VALUE"""),"Black seats")</f>
        <v>Black seats</v>
      </c>
      <c r="R3557" s="170" t="str">
        <f>IFERROR(__xludf.DUMMYFUNCTION("""COMPUTED_VALUE"""),"None")</f>
        <v>None</v>
      </c>
      <c r="S3557" s="170"/>
      <c r="T3557" s="179"/>
      <c r="U3557" s="179"/>
      <c r="V3557" s="179"/>
      <c r="W3557" s="180"/>
      <c r="X3557" s="181" t="str">
        <f>IFERROR(__xludf.DUMMYFUNCTION("""COMPUTED_VALUE"""),"Excellent")</f>
        <v>Excellent</v>
      </c>
      <c r="Y3557" s="182" t="str">
        <f>IFERROR(__xludf.DUMMYFUNCTION("""COMPUTED_VALUE"""),"Excellent")</f>
        <v>Excellent</v>
      </c>
      <c r="Z3557" s="182" t="str">
        <f>IFERROR(__xludf.DUMMYFUNCTION("""COMPUTED_VALUE"""),"Excellent")</f>
        <v>Excellent</v>
      </c>
      <c r="AA3557" s="182" t="str">
        <f>IFERROR(__xludf.DUMMYFUNCTION("""COMPUTED_VALUE"""),"Fair")</f>
        <v>Fair</v>
      </c>
      <c r="AB3557" s="182" t="str">
        <f>IFERROR(__xludf.DUMMYFUNCTION("""COMPUTED_VALUE"""),"Excellent")</f>
        <v>Excellent</v>
      </c>
      <c r="AC3557" s="183"/>
      <c r="AD3557" s="183"/>
      <c r="AE3557" s="183"/>
      <c r="AF3557" s="184"/>
      <c r="AG3557" s="180" t="str">
        <f>IFERROR(__xludf.DUMMYFUNCTION("""COMPUTED_VALUE"""),"Tryck logistics delayed delivery twice. Original delivery date was supposed to be 5/26")</f>
        <v>Tryck logistics delayed delivery twice. Original delivery date was supposed to be 5/26</v>
      </c>
      <c r="AH3557" s="185">
        <f>IFERROR(__xludf.DUMMYFUNCTION("""COMPUTED_VALUE"""),43282.416889791675)</f>
        <v>43282.41689</v>
      </c>
      <c r="AI3557" s="182"/>
      <c r="AJ3557" s="182"/>
      <c r="AK3557" s="182"/>
      <c r="AL3557" s="182"/>
    </row>
    <row r="3558" ht="20.25" customHeight="1">
      <c r="A3558" s="169" t="str">
        <f>IFERROR(__xludf.DUMMYFUNCTION("""COMPUTED_VALUE"""),"PTC Gator")</f>
        <v>PTC Gator</v>
      </c>
      <c r="B3558" s="170" t="str">
        <f>IFERROR(__xludf.DUMMYFUNCTION("""COMPUTED_VALUE"""),"Atlanta")</f>
        <v>Atlanta</v>
      </c>
      <c r="C3558" s="170" t="str">
        <f>IFERROR(__xludf.DUMMYFUNCTION("""COMPUTED_VALUE"""),"GA")</f>
        <v>GA</v>
      </c>
      <c r="D3558" s="170" t="str">
        <f>IFERROR(__xludf.DUMMYFUNCTION("""COMPUTED_VALUE"""),"USA")</f>
        <v>USA</v>
      </c>
      <c r="E3558" s="171">
        <f>IFERROR(__xludf.DUMMYFUNCTION("""COMPUTED_VALUE"""),43203.0)</f>
        <v>43203</v>
      </c>
      <c r="F3558" s="172">
        <f>IFERROR(__xludf.DUMMYFUNCTION("""COMPUTED_VALUE"""),43234.0)</f>
        <v>43234</v>
      </c>
      <c r="G3558" s="173"/>
      <c r="H3558" s="174">
        <f>IFERROR(__xludf.DUMMYFUNCTION("""COMPUTED_VALUE"""),19593.0)</f>
        <v>19593</v>
      </c>
      <c r="I3558" s="175"/>
      <c r="J3558" s="172">
        <f>IFERROR(__xludf.DUMMYFUNCTION("""COMPUTED_VALUE"""),43245.0)</f>
        <v>43245</v>
      </c>
      <c r="K3558" s="176">
        <f>IFERROR(__xludf.DUMMYFUNCTION("""COMPUTED_VALUE"""),31.0)</f>
        <v>31</v>
      </c>
      <c r="L3558" s="176">
        <f>IFERROR(__xludf.DUMMYFUNCTION("""COMPUTED_VALUE"""),11.0)</f>
        <v>11</v>
      </c>
      <c r="M3558" s="176">
        <f>IFERROR(__xludf.DUMMYFUNCTION("""COMPUTED_VALUE"""),42.0)</f>
        <v>42</v>
      </c>
      <c r="N3558" s="177" t="str">
        <f>IFERROR(__xludf.DUMMYFUNCTION("""COMPUTED_VALUE"""),"Model 3 LR")</f>
        <v>Model 3 LR</v>
      </c>
      <c r="O3558" s="177" t="str">
        <f>IFERROR(__xludf.DUMMYFUNCTION("""COMPUTED_VALUE"""),"Deep Blue Metallic")</f>
        <v>Deep Blue Metallic</v>
      </c>
      <c r="P3558" s="178" t="str">
        <f>IFERROR(__xludf.DUMMYFUNCTION("""COMPUTED_VALUE"""),"18 inch Aero")</f>
        <v>18 inch Aero</v>
      </c>
      <c r="Q3558" s="177" t="str">
        <f>IFERROR(__xludf.DUMMYFUNCTION("""COMPUTED_VALUE"""),"Black seats")</f>
        <v>Black seats</v>
      </c>
      <c r="R3558" s="170" t="str">
        <f>IFERROR(__xludf.DUMMYFUNCTION("""COMPUTED_VALUE"""),"Enhanced Autopilot")</f>
        <v>Enhanced Autopilot</v>
      </c>
      <c r="S3558" s="170"/>
      <c r="T3558" s="179"/>
      <c r="U3558" s="179"/>
      <c r="V3558" s="179"/>
      <c r="W3558" s="180"/>
      <c r="X3558" s="181" t="str">
        <f>IFERROR(__xludf.DUMMYFUNCTION("""COMPUTED_VALUE"""),"Excellent")</f>
        <v>Excellent</v>
      </c>
      <c r="Y3558" s="182" t="str">
        <f>IFERROR(__xludf.DUMMYFUNCTION("""COMPUTED_VALUE"""),"Very Good")</f>
        <v>Very Good</v>
      </c>
      <c r="Z3558" s="182" t="str">
        <f>IFERROR(__xludf.DUMMYFUNCTION("""COMPUTED_VALUE"""),"Excellent")</f>
        <v>Excellent</v>
      </c>
      <c r="AA3558" s="182"/>
      <c r="AB3558" s="182" t="str">
        <f>IFERROR(__xludf.DUMMYFUNCTION("""COMPUTED_VALUE"""),"Excellent")</f>
        <v>Excellent</v>
      </c>
      <c r="AC3558" s="183"/>
      <c r="AD3558" s="183"/>
      <c r="AE3558" s="183"/>
      <c r="AF3558" s="184"/>
      <c r="AG3558" s="180"/>
      <c r="AH3558" s="185">
        <f>IFERROR(__xludf.DUMMYFUNCTION("""COMPUTED_VALUE"""),43247.8508809375)</f>
        <v>43247.85088</v>
      </c>
      <c r="AI3558" s="182"/>
      <c r="AJ3558" s="182"/>
      <c r="AK3558" s="182"/>
      <c r="AL3558" s="182"/>
    </row>
    <row r="3559" ht="20.25" customHeight="1">
      <c r="A3559" s="169" t="str">
        <f>IFERROR(__xludf.DUMMYFUNCTION("""COMPUTED_VALUE"""),"rachael678")</f>
        <v>rachael678</v>
      </c>
      <c r="B3559" s="170" t="str">
        <f>IFERROR(__xludf.DUMMYFUNCTION("""COMPUTED_VALUE"""),"Los Osos")</f>
        <v>Los Osos</v>
      </c>
      <c r="C3559" s="170" t="str">
        <f>IFERROR(__xludf.DUMMYFUNCTION("""COMPUTED_VALUE"""),"CA")</f>
        <v>CA</v>
      </c>
      <c r="D3559" s="170" t="str">
        <f>IFERROR(__xludf.DUMMYFUNCTION("""COMPUTED_VALUE"""),"USA")</f>
        <v>USA</v>
      </c>
      <c r="E3559" s="171">
        <f>IFERROR(__xludf.DUMMYFUNCTION("""COMPUTED_VALUE"""),43203.0)</f>
        <v>43203</v>
      </c>
      <c r="F3559" s="172">
        <f>IFERROR(__xludf.DUMMYFUNCTION("""COMPUTED_VALUE"""),43245.0)</f>
        <v>43245</v>
      </c>
      <c r="G3559" s="173"/>
      <c r="H3559" s="174">
        <f>IFERROR(__xludf.DUMMYFUNCTION("""COMPUTED_VALUE"""),22355.0)</f>
        <v>22355</v>
      </c>
      <c r="I3559" s="175"/>
      <c r="J3559" s="172">
        <f>IFERROR(__xludf.DUMMYFUNCTION("""COMPUTED_VALUE"""),43249.0)</f>
        <v>43249</v>
      </c>
      <c r="K3559" s="176">
        <f>IFERROR(__xludf.DUMMYFUNCTION("""COMPUTED_VALUE"""),42.0)</f>
        <v>42</v>
      </c>
      <c r="L3559" s="176">
        <f>IFERROR(__xludf.DUMMYFUNCTION("""COMPUTED_VALUE"""),4.0)</f>
        <v>4</v>
      </c>
      <c r="M3559" s="176">
        <f>IFERROR(__xludf.DUMMYFUNCTION("""COMPUTED_VALUE"""),46.0)</f>
        <v>46</v>
      </c>
      <c r="N3559" s="177" t="str">
        <f>IFERROR(__xludf.DUMMYFUNCTION("""COMPUTED_VALUE"""),"Model 3 LR")</f>
        <v>Model 3 LR</v>
      </c>
      <c r="O3559" s="177" t="str">
        <f>IFERROR(__xludf.DUMMYFUNCTION("""COMPUTED_VALUE"""),"Red Multi-Coat")</f>
        <v>Red Multi-Coat</v>
      </c>
      <c r="P3559" s="178" t="str">
        <f>IFERROR(__xludf.DUMMYFUNCTION("""COMPUTED_VALUE"""),"18 inch Aero")</f>
        <v>18 inch Aero</v>
      </c>
      <c r="Q3559" s="177" t="str">
        <f>IFERROR(__xludf.DUMMYFUNCTION("""COMPUTED_VALUE"""),"Black seats")</f>
        <v>Black seats</v>
      </c>
      <c r="R3559" s="170" t="str">
        <f>IFERROR(__xludf.DUMMYFUNCTION("""COMPUTED_VALUE"""),"Enhanced Autopilot")</f>
        <v>Enhanced Autopilot</v>
      </c>
      <c r="S3559" s="170"/>
      <c r="T3559" s="179"/>
      <c r="U3559" s="179"/>
      <c r="V3559" s="179"/>
      <c r="W3559" s="180"/>
      <c r="X3559" s="181" t="str">
        <f>IFERROR(__xludf.DUMMYFUNCTION("""COMPUTED_VALUE"""),"Excellent")</f>
        <v>Excellent</v>
      </c>
      <c r="Y3559" s="182" t="str">
        <f>IFERROR(__xludf.DUMMYFUNCTION("""COMPUTED_VALUE"""),"Excellent")</f>
        <v>Excellent</v>
      </c>
      <c r="Z3559" s="182" t="str">
        <f>IFERROR(__xludf.DUMMYFUNCTION("""COMPUTED_VALUE"""),"Good")</f>
        <v>Good</v>
      </c>
      <c r="AA3559" s="182" t="str">
        <f>IFERROR(__xludf.DUMMYFUNCTION("""COMPUTED_VALUE"""),"Good")</f>
        <v>Good</v>
      </c>
      <c r="AB3559" s="182" t="str">
        <f>IFERROR(__xludf.DUMMYFUNCTION("""COMPUTED_VALUE"""),"Excellent")</f>
        <v>Excellent</v>
      </c>
      <c r="AC3559" s="183"/>
      <c r="AD3559" s="183"/>
      <c r="AE3559" s="183"/>
      <c r="AF3559" s="184"/>
      <c r="AG3559" s="180"/>
      <c r="AH3559" s="185">
        <f>IFERROR(__xludf.DUMMYFUNCTION("""COMPUTED_VALUE"""),43250.43991476851)</f>
        <v>43250.43991</v>
      </c>
      <c r="AI3559" s="182"/>
      <c r="AJ3559" s="182"/>
      <c r="AK3559" s="182"/>
      <c r="AL3559" s="182"/>
    </row>
    <row r="3560" ht="20.25" customHeight="1">
      <c r="A3560" s="169" t="str">
        <f>IFERROR(__xludf.DUMMYFUNCTION("""COMPUTED_VALUE"""),"Raleel")</f>
        <v>Raleel</v>
      </c>
      <c r="B3560" s="170" t="str">
        <f>IFERROR(__xludf.DUMMYFUNCTION("""COMPUTED_VALUE"""),"richland")</f>
        <v>richland</v>
      </c>
      <c r="C3560" s="170" t="str">
        <f>IFERROR(__xludf.DUMMYFUNCTION("""COMPUTED_VALUE"""),"WA")</f>
        <v>WA</v>
      </c>
      <c r="D3560" s="170" t="str">
        <f>IFERROR(__xludf.DUMMYFUNCTION("""COMPUTED_VALUE"""),"USA")</f>
        <v>USA</v>
      </c>
      <c r="E3560" s="171">
        <f>IFERROR(__xludf.DUMMYFUNCTION("""COMPUTED_VALUE"""),43203.0)</f>
        <v>43203</v>
      </c>
      <c r="F3560" s="172">
        <f>IFERROR(__xludf.DUMMYFUNCTION("""COMPUTED_VALUE"""),43222.0)</f>
        <v>43222</v>
      </c>
      <c r="G3560" s="173"/>
      <c r="H3560" s="174">
        <f>IFERROR(__xludf.DUMMYFUNCTION("""COMPUTED_VALUE"""),19255.0)</f>
        <v>19255</v>
      </c>
      <c r="I3560" s="175"/>
      <c r="J3560" s="172">
        <f>IFERROR(__xludf.DUMMYFUNCTION("""COMPUTED_VALUE"""),43239.0)</f>
        <v>43239</v>
      </c>
      <c r="K3560" s="176">
        <f>IFERROR(__xludf.DUMMYFUNCTION("""COMPUTED_VALUE"""),19.0)</f>
        <v>19</v>
      </c>
      <c r="L3560" s="176">
        <f>IFERROR(__xludf.DUMMYFUNCTION("""COMPUTED_VALUE"""),17.0)</f>
        <v>17</v>
      </c>
      <c r="M3560" s="176">
        <f>IFERROR(__xludf.DUMMYFUNCTION("""COMPUTED_VALUE"""),36.0)</f>
        <v>36</v>
      </c>
      <c r="N3560" s="177" t="str">
        <f>IFERROR(__xludf.DUMMYFUNCTION("""COMPUTED_VALUE"""),"Model 3 LR")</f>
        <v>Model 3 LR</v>
      </c>
      <c r="O3560" s="177" t="str">
        <f>IFERROR(__xludf.DUMMYFUNCTION("""COMPUTED_VALUE"""),"Red Multi-Coat")</f>
        <v>Red Multi-Coat</v>
      </c>
      <c r="P3560" s="178" t="str">
        <f>IFERROR(__xludf.DUMMYFUNCTION("""COMPUTED_VALUE"""),"18 inch Aero")</f>
        <v>18 inch Aero</v>
      </c>
      <c r="Q3560" s="177" t="str">
        <f>IFERROR(__xludf.DUMMYFUNCTION("""COMPUTED_VALUE"""),"Black seats")</f>
        <v>Black seats</v>
      </c>
      <c r="R3560" s="170" t="str">
        <f>IFERROR(__xludf.DUMMYFUNCTION("""COMPUTED_VALUE"""),"Enhanced Autopilot")</f>
        <v>Enhanced Autopilot</v>
      </c>
      <c r="S3560" s="170"/>
      <c r="T3560" s="179"/>
      <c r="U3560" s="179"/>
      <c r="V3560" s="179"/>
      <c r="W3560" s="180"/>
      <c r="X3560" s="181" t="str">
        <f>IFERROR(__xludf.DUMMYFUNCTION("""COMPUTED_VALUE"""),"Excellent")</f>
        <v>Excellent</v>
      </c>
      <c r="Y3560" s="182" t="str">
        <f>IFERROR(__xludf.DUMMYFUNCTION("""COMPUTED_VALUE"""),"Excellent")</f>
        <v>Excellent</v>
      </c>
      <c r="Z3560" s="182" t="str">
        <f>IFERROR(__xludf.DUMMYFUNCTION("""COMPUTED_VALUE"""),"Excellent")</f>
        <v>Excellent</v>
      </c>
      <c r="AA3560" s="182" t="str">
        <f>IFERROR(__xludf.DUMMYFUNCTION("""COMPUTED_VALUE"""),"Excellent")</f>
        <v>Excellent</v>
      </c>
      <c r="AB3560" s="182" t="str">
        <f>IFERROR(__xludf.DUMMYFUNCTION("""COMPUTED_VALUE"""),"Excellent")</f>
        <v>Excellent</v>
      </c>
      <c r="AC3560" s="183"/>
      <c r="AD3560" s="183"/>
      <c r="AE3560" s="183"/>
      <c r="AF3560" s="184"/>
      <c r="AG3560" s="180"/>
      <c r="AH3560" s="185">
        <f>IFERROR(__xludf.DUMMYFUNCTION("""COMPUTED_VALUE"""),43277.852061631944)</f>
        <v>43277.85206</v>
      </c>
      <c r="AI3560" s="182"/>
      <c r="AJ3560" s="182"/>
      <c r="AK3560" s="182"/>
      <c r="AL3560" s="182"/>
    </row>
    <row r="3561" ht="20.25" customHeight="1">
      <c r="A3561" s="169" t="str">
        <f>IFERROR(__xludf.DUMMYFUNCTION("""COMPUTED_VALUE"""),"ryantnt")</f>
        <v>ryantnt</v>
      </c>
      <c r="B3561" s="170" t="str">
        <f>IFERROR(__xludf.DUMMYFUNCTION("""COMPUTED_VALUE"""),"Yorktown")</f>
        <v>Yorktown</v>
      </c>
      <c r="C3561" s="170" t="str">
        <f>IFERROR(__xludf.DUMMYFUNCTION("""COMPUTED_VALUE"""),"VA")</f>
        <v>VA</v>
      </c>
      <c r="D3561" s="170" t="str">
        <f>IFERROR(__xludf.DUMMYFUNCTION("""COMPUTED_VALUE"""),"USA")</f>
        <v>USA</v>
      </c>
      <c r="E3561" s="171">
        <f>IFERROR(__xludf.DUMMYFUNCTION("""COMPUTED_VALUE"""),43203.0)</f>
        <v>43203</v>
      </c>
      <c r="F3561" s="172">
        <f>IFERROR(__xludf.DUMMYFUNCTION("""COMPUTED_VALUE"""),43255.0)</f>
        <v>43255</v>
      </c>
      <c r="G3561" s="173"/>
      <c r="H3561" s="174">
        <f>IFERROR(__xludf.DUMMYFUNCTION("""COMPUTED_VALUE"""),24655.0)</f>
        <v>24655</v>
      </c>
      <c r="I3561" s="175" t="str">
        <f>IFERROR(__xludf.DUMMYFUNCTION("""COMPUTED_VALUE"""),"06/18")</f>
        <v>06/18</v>
      </c>
      <c r="J3561" s="172">
        <f>IFERROR(__xludf.DUMMYFUNCTION("""COMPUTED_VALUE"""),43279.0)</f>
        <v>43279</v>
      </c>
      <c r="K3561" s="176">
        <f>IFERROR(__xludf.DUMMYFUNCTION("""COMPUTED_VALUE"""),52.0)</f>
        <v>52</v>
      </c>
      <c r="L3561" s="176">
        <f>IFERROR(__xludf.DUMMYFUNCTION("""COMPUTED_VALUE"""),24.0)</f>
        <v>24</v>
      </c>
      <c r="M3561" s="176">
        <f>IFERROR(__xludf.DUMMYFUNCTION("""COMPUTED_VALUE"""),76.0)</f>
        <v>76</v>
      </c>
      <c r="N3561" s="177" t="str">
        <f>IFERROR(__xludf.DUMMYFUNCTION("""COMPUTED_VALUE"""),"Model 3 LR")</f>
        <v>Model 3 LR</v>
      </c>
      <c r="O3561" s="177" t="str">
        <f>IFERROR(__xludf.DUMMYFUNCTION("""COMPUTED_VALUE"""),"Red Multi-Coat")</f>
        <v>Red Multi-Coat</v>
      </c>
      <c r="P3561" s="178" t="str">
        <f>IFERROR(__xludf.DUMMYFUNCTION("""COMPUTED_VALUE"""),"19 inch Sport")</f>
        <v>19 inch Sport</v>
      </c>
      <c r="Q3561" s="177" t="str">
        <f>IFERROR(__xludf.DUMMYFUNCTION("""COMPUTED_VALUE"""),"Black seats")</f>
        <v>Black seats</v>
      </c>
      <c r="R3561" s="170" t="str">
        <f>IFERROR(__xludf.DUMMYFUNCTION("""COMPUTED_VALUE"""),"Enhanced Autopilot")</f>
        <v>Enhanced Autopilot</v>
      </c>
      <c r="S3561" s="170"/>
      <c r="T3561" s="179"/>
      <c r="U3561" s="179"/>
      <c r="V3561" s="179"/>
      <c r="W3561" s="180"/>
      <c r="X3561" s="181" t="str">
        <f>IFERROR(__xludf.DUMMYFUNCTION("""COMPUTED_VALUE"""),"Excellent")</f>
        <v>Excellent</v>
      </c>
      <c r="Y3561" s="182" t="str">
        <f>IFERROR(__xludf.DUMMYFUNCTION("""COMPUTED_VALUE"""),"Excellent")</f>
        <v>Excellent</v>
      </c>
      <c r="Z3561" s="182" t="str">
        <f>IFERROR(__xludf.DUMMYFUNCTION("""COMPUTED_VALUE"""),"Excellent")</f>
        <v>Excellent</v>
      </c>
      <c r="AA3561" s="182" t="str">
        <f>IFERROR(__xludf.DUMMYFUNCTION("""COMPUTED_VALUE"""),"Excellent")</f>
        <v>Excellent</v>
      </c>
      <c r="AB3561" s="182" t="str">
        <f>IFERROR(__xludf.DUMMYFUNCTION("""COMPUTED_VALUE"""),"Excellent")</f>
        <v>Excellent</v>
      </c>
      <c r="AC3561" s="183"/>
      <c r="AD3561" s="183"/>
      <c r="AE3561" s="183"/>
      <c r="AF3561" s="184"/>
      <c r="AG3561" s="180"/>
      <c r="AH3561" s="185">
        <f>IFERROR(__xludf.DUMMYFUNCTION("""COMPUTED_VALUE"""),43282.31002121528)</f>
        <v>43282.31002</v>
      </c>
      <c r="AI3561" s="182"/>
      <c r="AJ3561" s="182"/>
      <c r="AK3561" s="182"/>
      <c r="AL3561" s="182"/>
    </row>
    <row r="3562" ht="20.25" customHeight="1">
      <c r="A3562" s="169" t="str">
        <f>IFERROR(__xludf.DUMMYFUNCTION("""COMPUTED_VALUE"""),"s0schen")</f>
        <v>s0schen</v>
      </c>
      <c r="B3562" s="170" t="str">
        <f>IFERROR(__xludf.DUMMYFUNCTION("""COMPUTED_VALUE"""),"Houston")</f>
        <v>Houston</v>
      </c>
      <c r="C3562" s="170" t="str">
        <f>IFERROR(__xludf.DUMMYFUNCTION("""COMPUTED_VALUE"""),"TX")</f>
        <v>TX</v>
      </c>
      <c r="D3562" s="170" t="str">
        <f>IFERROR(__xludf.DUMMYFUNCTION("""COMPUTED_VALUE"""),"USA")</f>
        <v>USA</v>
      </c>
      <c r="E3562" s="171">
        <f>IFERROR(__xludf.DUMMYFUNCTION("""COMPUTED_VALUE"""),43203.0)</f>
        <v>43203</v>
      </c>
      <c r="F3562" s="172">
        <f>IFERROR(__xludf.DUMMYFUNCTION("""COMPUTED_VALUE"""),43243.0)</f>
        <v>43243</v>
      </c>
      <c r="G3562" s="173"/>
      <c r="H3562" s="174">
        <f>IFERROR(__xludf.DUMMYFUNCTION("""COMPUTED_VALUE"""),25655.0)</f>
        <v>25655</v>
      </c>
      <c r="I3562" s="175" t="str">
        <f>IFERROR(__xludf.DUMMYFUNCTION("""COMPUTED_VALUE"""),"05/18")</f>
        <v>05/18</v>
      </c>
      <c r="J3562" s="172">
        <f>IFERROR(__xludf.DUMMYFUNCTION("""COMPUTED_VALUE"""),43272.0)</f>
        <v>43272</v>
      </c>
      <c r="K3562" s="176">
        <f>IFERROR(__xludf.DUMMYFUNCTION("""COMPUTED_VALUE"""),40.0)</f>
        <v>40</v>
      </c>
      <c r="L3562" s="176">
        <f>IFERROR(__xludf.DUMMYFUNCTION("""COMPUTED_VALUE"""),29.0)</f>
        <v>29</v>
      </c>
      <c r="M3562" s="176">
        <f>IFERROR(__xludf.DUMMYFUNCTION("""COMPUTED_VALUE"""),69.0)</f>
        <v>69</v>
      </c>
      <c r="N3562" s="177" t="str">
        <f>IFERROR(__xludf.DUMMYFUNCTION("""COMPUTED_VALUE"""),"Model 3 LR")</f>
        <v>Model 3 LR</v>
      </c>
      <c r="O3562" s="177" t="str">
        <f>IFERROR(__xludf.DUMMYFUNCTION("""COMPUTED_VALUE"""),"Midnight Silver Metallic")</f>
        <v>Midnight Silver Metallic</v>
      </c>
      <c r="P3562" s="178" t="str">
        <f>IFERROR(__xludf.DUMMYFUNCTION("""COMPUTED_VALUE"""),"18 inch Aero")</f>
        <v>18 inch Aero</v>
      </c>
      <c r="Q3562" s="177" t="str">
        <f>IFERROR(__xludf.DUMMYFUNCTION("""COMPUTED_VALUE"""),"Black seats")</f>
        <v>Black seats</v>
      </c>
      <c r="R3562" s="170" t="str">
        <f>IFERROR(__xludf.DUMMYFUNCTION("""COMPUTED_VALUE"""),"Enhanced Autopilot")</f>
        <v>Enhanced Autopilot</v>
      </c>
      <c r="S3562" s="170"/>
      <c r="T3562" s="179"/>
      <c r="U3562" s="179"/>
      <c r="V3562" s="179"/>
      <c r="W3562" s="180"/>
      <c r="X3562" s="181" t="str">
        <f>IFERROR(__xludf.DUMMYFUNCTION("""COMPUTED_VALUE"""),"Good")</f>
        <v>Good</v>
      </c>
      <c r="Y3562" s="182" t="str">
        <f>IFERROR(__xludf.DUMMYFUNCTION("""COMPUTED_VALUE"""),"Excellent")</f>
        <v>Excellent</v>
      </c>
      <c r="Z3562" s="182" t="str">
        <f>IFERROR(__xludf.DUMMYFUNCTION("""COMPUTED_VALUE"""),"Excellent")</f>
        <v>Excellent</v>
      </c>
      <c r="AA3562" s="182" t="str">
        <f>IFERROR(__xludf.DUMMYFUNCTION("""COMPUTED_VALUE"""),"Good")</f>
        <v>Good</v>
      </c>
      <c r="AB3562" s="182" t="str">
        <f>IFERROR(__xludf.DUMMYFUNCTION("""COMPUTED_VALUE"""),"Excellent")</f>
        <v>Excellent</v>
      </c>
      <c r="AC3562" s="183"/>
      <c r="AD3562" s="183"/>
      <c r="AE3562" s="183"/>
      <c r="AF3562" s="184"/>
      <c r="AG3562" s="180"/>
      <c r="AH3562" s="185">
        <f>IFERROR(__xludf.DUMMYFUNCTION("""COMPUTED_VALUE"""),43271.829416099536)</f>
        <v>43271.82942</v>
      </c>
      <c r="AI3562" s="182"/>
      <c r="AJ3562" s="182"/>
      <c r="AK3562" s="182"/>
      <c r="AL3562" s="182"/>
    </row>
    <row r="3563" ht="20.25" customHeight="1">
      <c r="A3563" s="169" t="str">
        <f>IFERROR(__xludf.DUMMYFUNCTION("""COMPUTED_VALUE"""),"SilentAgnostic")</f>
        <v>SilentAgnostic</v>
      </c>
      <c r="B3563" s="170" t="str">
        <f>IFERROR(__xludf.DUMMYFUNCTION("""COMPUTED_VALUE"""),"Mechanicsburg")</f>
        <v>Mechanicsburg</v>
      </c>
      <c r="C3563" s="170" t="str">
        <f>IFERROR(__xludf.DUMMYFUNCTION("""COMPUTED_VALUE"""),"PA")</f>
        <v>PA</v>
      </c>
      <c r="D3563" s="170" t="str">
        <f>IFERROR(__xludf.DUMMYFUNCTION("""COMPUTED_VALUE"""),"USA")</f>
        <v>USA</v>
      </c>
      <c r="E3563" s="171">
        <f>IFERROR(__xludf.DUMMYFUNCTION("""COMPUTED_VALUE"""),43203.0)</f>
        <v>43203</v>
      </c>
      <c r="F3563" s="172">
        <f>IFERROR(__xludf.DUMMYFUNCTION("""COMPUTED_VALUE"""),43234.0)</f>
        <v>43234</v>
      </c>
      <c r="G3563" s="173"/>
      <c r="H3563" s="174">
        <f>IFERROR(__xludf.DUMMYFUNCTION("""COMPUTED_VALUE"""),26055.0)</f>
        <v>26055</v>
      </c>
      <c r="I3563" s="175"/>
      <c r="J3563" s="172">
        <f>IFERROR(__xludf.DUMMYFUNCTION("""COMPUTED_VALUE"""),43258.0)</f>
        <v>43258</v>
      </c>
      <c r="K3563" s="176">
        <f>IFERROR(__xludf.DUMMYFUNCTION("""COMPUTED_VALUE"""),31.0)</f>
        <v>31</v>
      </c>
      <c r="L3563" s="176">
        <f>IFERROR(__xludf.DUMMYFUNCTION("""COMPUTED_VALUE"""),24.0)</f>
        <v>24</v>
      </c>
      <c r="M3563" s="176">
        <f>IFERROR(__xludf.DUMMYFUNCTION("""COMPUTED_VALUE"""),55.0)</f>
        <v>55</v>
      </c>
      <c r="N3563" s="177" t="str">
        <f>IFERROR(__xludf.DUMMYFUNCTION("""COMPUTED_VALUE"""),"Model 3 LR")</f>
        <v>Model 3 LR</v>
      </c>
      <c r="O3563" s="177" t="str">
        <f>IFERROR(__xludf.DUMMYFUNCTION("""COMPUTED_VALUE"""),"Deep Blue Metallic")</f>
        <v>Deep Blue Metallic</v>
      </c>
      <c r="P3563" s="178" t="str">
        <f>IFERROR(__xludf.DUMMYFUNCTION("""COMPUTED_VALUE"""),"18 inch Aero")</f>
        <v>18 inch Aero</v>
      </c>
      <c r="Q3563" s="177" t="str">
        <f>IFERROR(__xludf.DUMMYFUNCTION("""COMPUTED_VALUE"""),"Black seats")</f>
        <v>Black seats</v>
      </c>
      <c r="R3563" s="170" t="str">
        <f>IFERROR(__xludf.DUMMYFUNCTION("""COMPUTED_VALUE"""),"None")</f>
        <v>None</v>
      </c>
      <c r="S3563" s="170"/>
      <c r="T3563" s="179"/>
      <c r="U3563" s="179"/>
      <c r="V3563" s="179"/>
      <c r="W3563" s="180"/>
      <c r="X3563" s="181" t="str">
        <f>IFERROR(__xludf.DUMMYFUNCTION("""COMPUTED_VALUE"""),"Very Good")</f>
        <v>Very Good</v>
      </c>
      <c r="Y3563" s="182" t="str">
        <f>IFERROR(__xludf.DUMMYFUNCTION("""COMPUTED_VALUE"""),"Excellent")</f>
        <v>Excellent</v>
      </c>
      <c r="Z3563" s="182" t="str">
        <f>IFERROR(__xludf.DUMMYFUNCTION("""COMPUTED_VALUE"""),"Very Good")</f>
        <v>Very Good</v>
      </c>
      <c r="AA3563" s="182" t="str">
        <f>IFERROR(__xludf.DUMMYFUNCTION("""COMPUTED_VALUE"""),"Fair")</f>
        <v>Fair</v>
      </c>
      <c r="AB3563" s="182" t="str">
        <f>IFERROR(__xludf.DUMMYFUNCTION("""COMPUTED_VALUE"""),"Good")</f>
        <v>Good</v>
      </c>
      <c r="AC3563" s="183"/>
      <c r="AD3563" s="183"/>
      <c r="AE3563" s="183"/>
      <c r="AF3563" s="184"/>
      <c r="AG3563" s="180"/>
      <c r="AH3563" s="185">
        <f>IFERROR(__xludf.DUMMYFUNCTION("""COMPUTED_VALUE"""),43259.84797156249)</f>
        <v>43259.84797</v>
      </c>
      <c r="AI3563" s="182"/>
      <c r="AJ3563" s="182"/>
      <c r="AK3563" s="182"/>
      <c r="AL3563" s="182"/>
    </row>
    <row r="3564" ht="20.25" customHeight="1">
      <c r="A3564" s="169" t="str">
        <f>IFERROR(__xludf.DUMMYFUNCTION("""COMPUTED_VALUE"""),"zyzeast")</f>
        <v>zyzeast</v>
      </c>
      <c r="B3564" s="170" t="str">
        <f>IFERROR(__xludf.DUMMYFUNCTION("""COMPUTED_VALUE"""),"Chicago")</f>
        <v>Chicago</v>
      </c>
      <c r="C3564" s="170" t="str">
        <f>IFERROR(__xludf.DUMMYFUNCTION("""COMPUTED_VALUE"""),"IL")</f>
        <v>IL</v>
      </c>
      <c r="D3564" s="170" t="str">
        <f>IFERROR(__xludf.DUMMYFUNCTION("""COMPUTED_VALUE"""),"USA")</f>
        <v>USA</v>
      </c>
      <c r="E3564" s="171">
        <f>IFERROR(__xludf.DUMMYFUNCTION("""COMPUTED_VALUE"""),43203.0)</f>
        <v>43203</v>
      </c>
      <c r="F3564" s="172"/>
      <c r="G3564" s="173"/>
      <c r="H3564" s="174">
        <f>IFERROR(__xludf.DUMMYFUNCTION("""COMPUTED_VALUE"""),22355.0)</f>
        <v>22355</v>
      </c>
      <c r="I3564" s="175"/>
      <c r="J3564" s="172">
        <f>IFERROR(__xludf.DUMMYFUNCTION("""COMPUTED_VALUE"""),43257.0)</f>
        <v>43257</v>
      </c>
      <c r="K3564" s="176"/>
      <c r="L3564" s="176"/>
      <c r="M3564" s="176">
        <f>IFERROR(__xludf.DUMMYFUNCTION("""COMPUTED_VALUE"""),54.0)</f>
        <v>54</v>
      </c>
      <c r="N3564" s="177" t="str">
        <f>IFERROR(__xludf.DUMMYFUNCTION("""COMPUTED_VALUE"""),"Model 3 LR")</f>
        <v>Model 3 LR</v>
      </c>
      <c r="O3564" s="177" t="str">
        <f>IFERROR(__xludf.DUMMYFUNCTION("""COMPUTED_VALUE"""),"Red Multi-Coat")</f>
        <v>Red Multi-Coat</v>
      </c>
      <c r="P3564" s="178" t="str">
        <f>IFERROR(__xludf.DUMMYFUNCTION("""COMPUTED_VALUE"""),"18 inch Aero")</f>
        <v>18 inch Aero</v>
      </c>
      <c r="Q3564" s="177"/>
      <c r="R3564" s="170" t="str">
        <f>IFERROR(__xludf.DUMMYFUNCTION("""COMPUTED_VALUE"""),"Enhanced Autopilot")</f>
        <v>Enhanced Autopilot</v>
      </c>
      <c r="S3564" s="170"/>
      <c r="T3564" s="179"/>
      <c r="U3564" s="179"/>
      <c r="V3564" s="179"/>
      <c r="W3564" s="180"/>
      <c r="X3564" s="181" t="str">
        <f>IFERROR(__xludf.DUMMYFUNCTION("""COMPUTED_VALUE"""),"Excellent")</f>
        <v>Excellent</v>
      </c>
      <c r="Y3564" s="182" t="str">
        <f>IFERROR(__xludf.DUMMYFUNCTION("""COMPUTED_VALUE"""),"Excellent")</f>
        <v>Excellent</v>
      </c>
      <c r="Z3564" s="182" t="str">
        <f>IFERROR(__xludf.DUMMYFUNCTION("""COMPUTED_VALUE"""),"Excellent")</f>
        <v>Excellent</v>
      </c>
      <c r="AA3564" s="182" t="str">
        <f>IFERROR(__xludf.DUMMYFUNCTION("""COMPUTED_VALUE"""),"Excellent")</f>
        <v>Excellent</v>
      </c>
      <c r="AB3564" s="182" t="str">
        <f>IFERROR(__xludf.DUMMYFUNCTION("""COMPUTED_VALUE"""),"Excellent")</f>
        <v>Excellent</v>
      </c>
      <c r="AC3564" s="183"/>
      <c r="AD3564" s="183"/>
      <c r="AE3564" s="183"/>
      <c r="AF3564" s="184"/>
      <c r="AG3564" s="180"/>
      <c r="AH3564" s="185">
        <f>IFERROR(__xludf.DUMMYFUNCTION("""COMPUTED_VALUE"""),43270.48625916667)</f>
        <v>43270.48626</v>
      </c>
      <c r="AI3564" s="182"/>
      <c r="AJ3564" s="182"/>
      <c r="AK3564" s="182"/>
      <c r="AL3564" s="182"/>
    </row>
    <row r="3565" ht="20.25" customHeight="1">
      <c r="A3565" s="169" t="str">
        <f>IFERROR(__xludf.DUMMYFUNCTION("""COMPUTED_VALUE"""),"EvFanatic")</f>
        <v>EvFanatic</v>
      </c>
      <c r="B3565" s="170" t="str">
        <f>IFERROR(__xludf.DUMMYFUNCTION("""COMPUTED_VALUE"""),"Dallas")</f>
        <v>Dallas</v>
      </c>
      <c r="C3565" s="170" t="str">
        <f>IFERROR(__xludf.DUMMYFUNCTION("""COMPUTED_VALUE"""),"TX")</f>
        <v>TX</v>
      </c>
      <c r="D3565" s="170" t="str">
        <f>IFERROR(__xludf.DUMMYFUNCTION("""COMPUTED_VALUE"""),"USA")</f>
        <v>USA</v>
      </c>
      <c r="E3565" s="171">
        <f>IFERROR(__xludf.DUMMYFUNCTION("""COMPUTED_VALUE"""),43202.0)</f>
        <v>43202</v>
      </c>
      <c r="F3565" s="172">
        <f>IFERROR(__xludf.DUMMYFUNCTION("""COMPUTED_VALUE"""),43241.0)</f>
        <v>43241</v>
      </c>
      <c r="G3565" s="173"/>
      <c r="H3565" s="174">
        <f>IFERROR(__xludf.DUMMYFUNCTION("""COMPUTED_VALUE"""),19355.0)</f>
        <v>19355</v>
      </c>
      <c r="I3565" s="175" t="str">
        <f>IFERROR(__xludf.DUMMYFUNCTION("""COMPUTED_VALUE"""),"05/18")</f>
        <v>05/18</v>
      </c>
      <c r="J3565" s="172">
        <f>IFERROR(__xludf.DUMMYFUNCTION("""COMPUTED_VALUE"""),43295.0)</f>
        <v>43295</v>
      </c>
      <c r="K3565" s="176">
        <f>IFERROR(__xludf.DUMMYFUNCTION("""COMPUTED_VALUE"""),39.0)</f>
        <v>39</v>
      </c>
      <c r="L3565" s="176">
        <f>IFERROR(__xludf.DUMMYFUNCTION("""COMPUTED_VALUE"""),54.0)</f>
        <v>54</v>
      </c>
      <c r="M3565" s="176">
        <f>IFERROR(__xludf.DUMMYFUNCTION("""COMPUTED_VALUE"""),93.0)</f>
        <v>93</v>
      </c>
      <c r="N3565" s="177" t="str">
        <f>IFERROR(__xludf.DUMMYFUNCTION("""COMPUTED_VALUE"""),"Model 3 LR")</f>
        <v>Model 3 LR</v>
      </c>
      <c r="O3565" s="177" t="str">
        <f>IFERROR(__xludf.DUMMYFUNCTION("""COMPUTED_VALUE"""),"Red Multi-Coat")</f>
        <v>Red Multi-Coat</v>
      </c>
      <c r="P3565" s="178" t="str">
        <f>IFERROR(__xludf.DUMMYFUNCTION("""COMPUTED_VALUE"""),"18 inch Aero")</f>
        <v>18 inch Aero</v>
      </c>
      <c r="Q3565" s="177" t="str">
        <f>IFERROR(__xludf.DUMMYFUNCTION("""COMPUTED_VALUE"""),"Black seats")</f>
        <v>Black seats</v>
      </c>
      <c r="R3565" s="170" t="str">
        <f>IFERROR(__xludf.DUMMYFUNCTION("""COMPUTED_VALUE"""),"Enhanced Autopilot")</f>
        <v>Enhanced Autopilot</v>
      </c>
      <c r="S3565" s="170"/>
      <c r="T3565" s="179"/>
      <c r="U3565" s="179"/>
      <c r="V3565" s="179"/>
      <c r="W3565" s="180"/>
      <c r="X3565" s="181" t="str">
        <f>IFERROR(__xludf.DUMMYFUNCTION("""COMPUTED_VALUE"""),"Very Good")</f>
        <v>Very Good</v>
      </c>
      <c r="Y3565" s="182" t="str">
        <f>IFERROR(__xludf.DUMMYFUNCTION("""COMPUTED_VALUE"""),"Excellent")</f>
        <v>Excellent</v>
      </c>
      <c r="Z3565" s="182" t="str">
        <f>IFERROR(__xludf.DUMMYFUNCTION("""COMPUTED_VALUE"""),"Excellent")</f>
        <v>Excellent</v>
      </c>
      <c r="AA3565" s="182" t="str">
        <f>IFERROR(__xludf.DUMMYFUNCTION("""COMPUTED_VALUE"""),"Good")</f>
        <v>Good</v>
      </c>
      <c r="AB3565" s="182" t="str">
        <f>IFERROR(__xludf.DUMMYFUNCTION("""COMPUTED_VALUE"""),"Good")</f>
        <v>Good</v>
      </c>
      <c r="AC3565" s="183"/>
      <c r="AD3565" s="183"/>
      <c r="AE3565" s="183"/>
      <c r="AF3565" s="184"/>
      <c r="AG3565" s="180" t="str">
        <f>IFERROR(__xludf.DUMMYFUNCTION("""COMPUTED_VALUE"""),"SR and Tax credit")</f>
        <v>SR and Tax credit</v>
      </c>
      <c r="AH3565" s="185">
        <f>IFERROR(__xludf.DUMMYFUNCTION("""COMPUTED_VALUE"""),43296.85560722222)</f>
        <v>43296.85561</v>
      </c>
      <c r="AI3565" s="182"/>
      <c r="AJ3565" s="182"/>
      <c r="AK3565" s="182"/>
      <c r="AL3565" s="182"/>
    </row>
    <row r="3566" ht="20.25" customHeight="1">
      <c r="A3566" s="169" t="str">
        <f>IFERROR(__xludf.DUMMYFUNCTION("""COMPUTED_VALUE"""),"hypoh")</f>
        <v>hypoh</v>
      </c>
      <c r="B3566" s="170" t="str">
        <f>IFERROR(__xludf.DUMMYFUNCTION("""COMPUTED_VALUE"""),"Lorton")</f>
        <v>Lorton</v>
      </c>
      <c r="C3566" s="170" t="str">
        <f>IFERROR(__xludf.DUMMYFUNCTION("""COMPUTED_VALUE"""),"VA")</f>
        <v>VA</v>
      </c>
      <c r="D3566" s="170" t="str">
        <f>IFERROR(__xludf.DUMMYFUNCTION("""COMPUTED_VALUE"""),"USA")</f>
        <v>USA</v>
      </c>
      <c r="E3566" s="171">
        <f>IFERROR(__xludf.DUMMYFUNCTION("""COMPUTED_VALUE"""),43202.0)</f>
        <v>43202</v>
      </c>
      <c r="F3566" s="172">
        <f>IFERROR(__xludf.DUMMYFUNCTION("""COMPUTED_VALUE"""),43230.0)</f>
        <v>43230</v>
      </c>
      <c r="G3566" s="173"/>
      <c r="H3566" s="174">
        <f>IFERROR(__xludf.DUMMYFUNCTION("""COMPUTED_VALUE"""),23255.0)</f>
        <v>23255</v>
      </c>
      <c r="I3566" s="175"/>
      <c r="J3566" s="172">
        <f>IFERROR(__xludf.DUMMYFUNCTION("""COMPUTED_VALUE"""),43272.0)</f>
        <v>43272</v>
      </c>
      <c r="K3566" s="176">
        <f>IFERROR(__xludf.DUMMYFUNCTION("""COMPUTED_VALUE"""),28.0)</f>
        <v>28</v>
      </c>
      <c r="L3566" s="176">
        <f>IFERROR(__xludf.DUMMYFUNCTION("""COMPUTED_VALUE"""),42.0)</f>
        <v>42</v>
      </c>
      <c r="M3566" s="176">
        <f>IFERROR(__xludf.DUMMYFUNCTION("""COMPUTED_VALUE"""),70.0)</f>
        <v>70</v>
      </c>
      <c r="N3566" s="177" t="str">
        <f>IFERROR(__xludf.DUMMYFUNCTION("""COMPUTED_VALUE"""),"Model 3 LR")</f>
        <v>Model 3 LR</v>
      </c>
      <c r="O3566" s="177" t="str">
        <f>IFERROR(__xludf.DUMMYFUNCTION("""COMPUTED_VALUE"""),"Pearl White Multi-Coat")</f>
        <v>Pearl White Multi-Coat</v>
      </c>
      <c r="P3566" s="178" t="str">
        <f>IFERROR(__xludf.DUMMYFUNCTION("""COMPUTED_VALUE"""),"18 inch Aero")</f>
        <v>18 inch Aero</v>
      </c>
      <c r="Q3566" s="177" t="str">
        <f>IFERROR(__xludf.DUMMYFUNCTION("""COMPUTED_VALUE"""),"Black seats")</f>
        <v>Black seats</v>
      </c>
      <c r="R3566" s="170" t="str">
        <f>IFERROR(__xludf.DUMMYFUNCTION("""COMPUTED_VALUE"""),"Enhanced Autopilot")</f>
        <v>Enhanced Autopilot</v>
      </c>
      <c r="S3566" s="170"/>
      <c r="T3566" s="179"/>
      <c r="U3566" s="179"/>
      <c r="V3566" s="179"/>
      <c r="W3566" s="180"/>
      <c r="X3566" s="181" t="str">
        <f>IFERROR(__xludf.DUMMYFUNCTION("""COMPUTED_VALUE"""),"Good")</f>
        <v>Good</v>
      </c>
      <c r="Y3566" s="182" t="str">
        <f>IFERROR(__xludf.DUMMYFUNCTION("""COMPUTED_VALUE"""),"Very Good")</f>
        <v>Very Good</v>
      </c>
      <c r="Z3566" s="182" t="str">
        <f>IFERROR(__xludf.DUMMYFUNCTION("""COMPUTED_VALUE"""),"Very Good")</f>
        <v>Very Good</v>
      </c>
      <c r="AA3566" s="182" t="str">
        <f>IFERROR(__xludf.DUMMYFUNCTION("""COMPUTED_VALUE"""),"Good")</f>
        <v>Good</v>
      </c>
      <c r="AB3566" s="182" t="str">
        <f>IFERROR(__xludf.DUMMYFUNCTION("""COMPUTED_VALUE"""),"Good")</f>
        <v>Good</v>
      </c>
      <c r="AC3566" s="183"/>
      <c r="AD3566" s="183"/>
      <c r="AE3566" s="183"/>
      <c r="AF3566" s="184"/>
      <c r="AG3566" s="180"/>
      <c r="AH3566" s="185">
        <f>IFERROR(__xludf.DUMMYFUNCTION("""COMPUTED_VALUE"""),43277.54617273148)</f>
        <v>43277.54617</v>
      </c>
      <c r="AI3566" s="182"/>
      <c r="AJ3566" s="182"/>
      <c r="AK3566" s="182"/>
      <c r="AL3566" s="182"/>
    </row>
    <row r="3567" ht="20.25" customHeight="1">
      <c r="A3567" s="169" t="str">
        <f>IFERROR(__xludf.DUMMYFUNCTION("""COMPUTED_VALUE"""),"pickledchickens")</f>
        <v>pickledchickens</v>
      </c>
      <c r="B3567" s="170" t="str">
        <f>IFERROR(__xludf.DUMMYFUNCTION("""COMPUTED_VALUE"""),"Santa Rosa")</f>
        <v>Santa Rosa</v>
      </c>
      <c r="C3567" s="170" t="str">
        <f>IFERROR(__xludf.DUMMYFUNCTION("""COMPUTED_VALUE"""),"CA")</f>
        <v>CA</v>
      </c>
      <c r="D3567" s="170" t="str">
        <f>IFERROR(__xludf.DUMMYFUNCTION("""COMPUTED_VALUE"""),"USA")</f>
        <v>USA</v>
      </c>
      <c r="E3567" s="171">
        <f>IFERROR(__xludf.DUMMYFUNCTION("""COMPUTED_VALUE"""),43202.0)</f>
        <v>43202</v>
      </c>
      <c r="F3567" s="172">
        <f>IFERROR(__xludf.DUMMYFUNCTION("""COMPUTED_VALUE"""),43230.0)</f>
        <v>43230</v>
      </c>
      <c r="G3567" s="173"/>
      <c r="H3567" s="174">
        <f>IFERROR(__xludf.DUMMYFUNCTION("""COMPUTED_VALUE"""),22355.0)</f>
        <v>22355</v>
      </c>
      <c r="I3567" s="175"/>
      <c r="J3567" s="172">
        <f>IFERROR(__xludf.DUMMYFUNCTION("""COMPUTED_VALUE"""),43247.0)</f>
        <v>43247</v>
      </c>
      <c r="K3567" s="176">
        <f>IFERROR(__xludf.DUMMYFUNCTION("""COMPUTED_VALUE"""),28.0)</f>
        <v>28</v>
      </c>
      <c r="L3567" s="176">
        <f>IFERROR(__xludf.DUMMYFUNCTION("""COMPUTED_VALUE"""),17.0)</f>
        <v>17</v>
      </c>
      <c r="M3567" s="176">
        <f>IFERROR(__xludf.DUMMYFUNCTION("""COMPUTED_VALUE"""),45.0)</f>
        <v>45</v>
      </c>
      <c r="N3567" s="177" t="str">
        <f>IFERROR(__xludf.DUMMYFUNCTION("""COMPUTED_VALUE"""),"Model 3 LR")</f>
        <v>Model 3 LR</v>
      </c>
      <c r="O3567" s="177" t="str">
        <f>IFERROR(__xludf.DUMMYFUNCTION("""COMPUTED_VALUE"""),"Red Multi-Coat")</f>
        <v>Red Multi-Coat</v>
      </c>
      <c r="P3567" s="178" t="str">
        <f>IFERROR(__xludf.DUMMYFUNCTION("""COMPUTED_VALUE"""),"18 inch Aero")</f>
        <v>18 inch Aero</v>
      </c>
      <c r="Q3567" s="177" t="str">
        <f>IFERROR(__xludf.DUMMYFUNCTION("""COMPUTED_VALUE"""),"Black seats")</f>
        <v>Black seats</v>
      </c>
      <c r="R3567" s="170" t="str">
        <f>IFERROR(__xludf.DUMMYFUNCTION("""COMPUTED_VALUE"""),"Enhanced Autopilot")</f>
        <v>Enhanced Autopilot</v>
      </c>
      <c r="S3567" s="170"/>
      <c r="T3567" s="179"/>
      <c r="U3567" s="179"/>
      <c r="V3567" s="179"/>
      <c r="W3567" s="180"/>
      <c r="X3567" s="181" t="str">
        <f>IFERROR(__xludf.DUMMYFUNCTION("""COMPUTED_VALUE"""),"Excellent")</f>
        <v>Excellent</v>
      </c>
      <c r="Y3567" s="182" t="str">
        <f>IFERROR(__xludf.DUMMYFUNCTION("""COMPUTED_VALUE"""),"Excellent")</f>
        <v>Excellent</v>
      </c>
      <c r="Z3567" s="182" t="str">
        <f>IFERROR(__xludf.DUMMYFUNCTION("""COMPUTED_VALUE"""),"Excellent")</f>
        <v>Excellent</v>
      </c>
      <c r="AA3567" s="182"/>
      <c r="AB3567" s="182" t="str">
        <f>IFERROR(__xludf.DUMMYFUNCTION("""COMPUTED_VALUE"""),"Excellent")</f>
        <v>Excellent</v>
      </c>
      <c r="AC3567" s="183"/>
      <c r="AD3567" s="183"/>
      <c r="AE3567" s="183"/>
      <c r="AF3567" s="184"/>
      <c r="AG3567" s="180"/>
      <c r="AH3567" s="185">
        <f>IFERROR(__xludf.DUMMYFUNCTION("""COMPUTED_VALUE"""),43249.426445150464)</f>
        <v>43249.42645</v>
      </c>
      <c r="AI3567" s="182"/>
      <c r="AJ3567" s="182"/>
      <c r="AK3567" s="182"/>
      <c r="AL3567" s="182"/>
    </row>
    <row r="3568" ht="20.25" customHeight="1">
      <c r="A3568" s="169" t="str">
        <f>IFERROR(__xludf.DUMMYFUNCTION("""COMPUTED_VALUE"""),"aj_in_oc")</f>
        <v>aj_in_oc</v>
      </c>
      <c r="B3568" s="170" t="str">
        <f>IFERROR(__xludf.DUMMYFUNCTION("""COMPUTED_VALUE"""),"Orange County, CA")</f>
        <v>Orange County, CA</v>
      </c>
      <c r="C3568" s="170" t="str">
        <f>IFERROR(__xludf.DUMMYFUNCTION("""COMPUTED_VALUE"""),"CA")</f>
        <v>CA</v>
      </c>
      <c r="D3568" s="170" t="str">
        <f>IFERROR(__xludf.DUMMYFUNCTION("""COMPUTED_VALUE"""),"USA")</f>
        <v>USA</v>
      </c>
      <c r="E3568" s="171">
        <f>IFERROR(__xludf.DUMMYFUNCTION("""COMPUTED_VALUE"""),43201.0)</f>
        <v>43201</v>
      </c>
      <c r="F3568" s="172">
        <f>IFERROR(__xludf.DUMMYFUNCTION("""COMPUTED_VALUE"""),43229.0)</f>
        <v>43229</v>
      </c>
      <c r="G3568" s="173"/>
      <c r="H3568" s="174">
        <f>IFERROR(__xludf.DUMMYFUNCTION("""COMPUTED_VALUE"""),22955.0)</f>
        <v>22955</v>
      </c>
      <c r="I3568" s="175"/>
      <c r="J3568" s="172">
        <f>IFERROR(__xludf.DUMMYFUNCTION("""COMPUTED_VALUE"""),43237.0)</f>
        <v>43237</v>
      </c>
      <c r="K3568" s="176">
        <f>IFERROR(__xludf.DUMMYFUNCTION("""COMPUTED_VALUE"""),28.0)</f>
        <v>28</v>
      </c>
      <c r="L3568" s="176">
        <f>IFERROR(__xludf.DUMMYFUNCTION("""COMPUTED_VALUE"""),8.0)</f>
        <v>8</v>
      </c>
      <c r="M3568" s="176">
        <f>IFERROR(__xludf.DUMMYFUNCTION("""COMPUTED_VALUE"""),36.0)</f>
        <v>36</v>
      </c>
      <c r="N3568" s="177" t="str">
        <f>IFERROR(__xludf.DUMMYFUNCTION("""COMPUTED_VALUE"""),"Model 3 LR")</f>
        <v>Model 3 LR</v>
      </c>
      <c r="O3568" s="177" t="str">
        <f>IFERROR(__xludf.DUMMYFUNCTION("""COMPUTED_VALUE"""),"Deep Blue Metallic")</f>
        <v>Deep Blue Metallic</v>
      </c>
      <c r="P3568" s="178" t="str">
        <f>IFERROR(__xludf.DUMMYFUNCTION("""COMPUTED_VALUE"""),"18 inch Aero")</f>
        <v>18 inch Aero</v>
      </c>
      <c r="Q3568" s="177" t="str">
        <f>IFERROR(__xludf.DUMMYFUNCTION("""COMPUTED_VALUE"""),"Black seats")</f>
        <v>Black seats</v>
      </c>
      <c r="R3568" s="170" t="str">
        <f>IFERROR(__xludf.DUMMYFUNCTION("""COMPUTED_VALUE"""),"None")</f>
        <v>None</v>
      </c>
      <c r="S3568" s="170"/>
      <c r="T3568" s="179"/>
      <c r="U3568" s="179"/>
      <c r="V3568" s="179"/>
      <c r="W3568" s="180"/>
      <c r="X3568" s="181" t="str">
        <f>IFERROR(__xludf.DUMMYFUNCTION("""COMPUTED_VALUE"""),"Very Good")</f>
        <v>Very Good</v>
      </c>
      <c r="Y3568" s="182" t="str">
        <f>IFERROR(__xludf.DUMMYFUNCTION("""COMPUTED_VALUE"""),"Good")</f>
        <v>Good</v>
      </c>
      <c r="Z3568" s="182" t="str">
        <f>IFERROR(__xludf.DUMMYFUNCTION("""COMPUTED_VALUE"""),"Excellent")</f>
        <v>Excellent</v>
      </c>
      <c r="AA3568" s="182"/>
      <c r="AB3568" s="182" t="str">
        <f>IFERROR(__xludf.DUMMYFUNCTION("""COMPUTED_VALUE"""),"Very Good")</f>
        <v>Very Good</v>
      </c>
      <c r="AC3568" s="183"/>
      <c r="AD3568" s="183"/>
      <c r="AE3568" s="183"/>
      <c r="AF3568" s="184"/>
      <c r="AG3568" s="180" t="str">
        <f>IFERROR(__xludf.DUMMYFUNCTION("""COMPUTED_VALUE"""),"Center console cover had flaw. Awaiting replacement.")</f>
        <v>Center console cover had flaw. Awaiting replacement.</v>
      </c>
      <c r="AH3568" s="185">
        <f>IFERROR(__xludf.DUMMYFUNCTION("""COMPUTED_VALUE"""),43240.78496625)</f>
        <v>43240.78497</v>
      </c>
      <c r="AI3568" s="182"/>
      <c r="AJ3568" s="182"/>
      <c r="AK3568" s="182"/>
      <c r="AL3568" s="182"/>
    </row>
    <row r="3569" ht="20.25" customHeight="1">
      <c r="A3569" s="169" t="str">
        <f>IFERROR(__xludf.DUMMYFUNCTION("""COMPUTED_VALUE"""),"ds4k")</f>
        <v>ds4k</v>
      </c>
      <c r="B3569" s="170" t="str">
        <f>IFERROR(__xludf.DUMMYFUNCTION("""COMPUTED_VALUE"""),"Orland Park")</f>
        <v>Orland Park</v>
      </c>
      <c r="C3569" s="170" t="str">
        <f>IFERROR(__xludf.DUMMYFUNCTION("""COMPUTED_VALUE"""),"IL")</f>
        <v>IL</v>
      </c>
      <c r="D3569" s="170" t="str">
        <f>IFERROR(__xludf.DUMMYFUNCTION("""COMPUTED_VALUE"""),"USA")</f>
        <v>USA</v>
      </c>
      <c r="E3569" s="171">
        <f>IFERROR(__xludf.DUMMYFUNCTION("""COMPUTED_VALUE"""),43201.0)</f>
        <v>43201</v>
      </c>
      <c r="F3569" s="172"/>
      <c r="G3569" s="173"/>
      <c r="H3569" s="174">
        <f>IFERROR(__xludf.DUMMYFUNCTION("""COMPUTED_VALUE"""),20955.0)</f>
        <v>20955</v>
      </c>
      <c r="I3569" s="175"/>
      <c r="J3569" s="172">
        <f>IFERROR(__xludf.DUMMYFUNCTION("""COMPUTED_VALUE"""),43255.0)</f>
        <v>43255</v>
      </c>
      <c r="K3569" s="176"/>
      <c r="L3569" s="176"/>
      <c r="M3569" s="176">
        <f>IFERROR(__xludf.DUMMYFUNCTION("""COMPUTED_VALUE"""),54.0)</f>
        <v>54</v>
      </c>
      <c r="N3569" s="177" t="str">
        <f>IFERROR(__xludf.DUMMYFUNCTION("""COMPUTED_VALUE"""),"Model 3 LR")</f>
        <v>Model 3 LR</v>
      </c>
      <c r="O3569" s="177" t="str">
        <f>IFERROR(__xludf.DUMMYFUNCTION("""COMPUTED_VALUE"""),"Solid Black")</f>
        <v>Solid Black</v>
      </c>
      <c r="P3569" s="178" t="str">
        <f>IFERROR(__xludf.DUMMYFUNCTION("""COMPUTED_VALUE"""),"18 inch Aero")</f>
        <v>18 inch Aero</v>
      </c>
      <c r="Q3569" s="177" t="str">
        <f>IFERROR(__xludf.DUMMYFUNCTION("""COMPUTED_VALUE"""),"Black seats")</f>
        <v>Black seats</v>
      </c>
      <c r="R3569" s="170" t="str">
        <f>IFERROR(__xludf.DUMMYFUNCTION("""COMPUTED_VALUE"""),"None")</f>
        <v>None</v>
      </c>
      <c r="S3569" s="170"/>
      <c r="T3569" s="179"/>
      <c r="U3569" s="179"/>
      <c r="V3569" s="179"/>
      <c r="W3569" s="180"/>
      <c r="X3569" s="181" t="str">
        <f>IFERROR(__xludf.DUMMYFUNCTION("""COMPUTED_VALUE"""),"Excellent")</f>
        <v>Excellent</v>
      </c>
      <c r="Y3569" s="182" t="str">
        <f>IFERROR(__xludf.DUMMYFUNCTION("""COMPUTED_VALUE"""),"Excellent")</f>
        <v>Excellent</v>
      </c>
      <c r="Z3569" s="182" t="str">
        <f>IFERROR(__xludf.DUMMYFUNCTION("""COMPUTED_VALUE"""),"Excellent")</f>
        <v>Excellent</v>
      </c>
      <c r="AA3569" s="182" t="str">
        <f>IFERROR(__xludf.DUMMYFUNCTION("""COMPUTED_VALUE"""),"Excellent")</f>
        <v>Excellent</v>
      </c>
      <c r="AB3569" s="182" t="str">
        <f>IFERROR(__xludf.DUMMYFUNCTION("""COMPUTED_VALUE"""),"Excellent")</f>
        <v>Excellent</v>
      </c>
      <c r="AC3569" s="183"/>
      <c r="AD3569" s="183"/>
      <c r="AE3569" s="183"/>
      <c r="AF3569" s="184"/>
      <c r="AG3569" s="180"/>
      <c r="AH3569" s="185">
        <f>IFERROR(__xludf.DUMMYFUNCTION("""COMPUTED_VALUE"""),43256.3626894213)</f>
        <v>43256.36269</v>
      </c>
      <c r="AI3569" s="182"/>
      <c r="AJ3569" s="182"/>
      <c r="AK3569" s="182"/>
      <c r="AL3569" s="182"/>
    </row>
    <row r="3570" ht="20.25" customHeight="1">
      <c r="A3570" s="169" t="str">
        <f>IFERROR(__xludf.DUMMYFUNCTION("""COMPUTED_VALUE"""),"Eeb9")</f>
        <v>Eeb9</v>
      </c>
      <c r="B3570" s="170" t="str">
        <f>IFERROR(__xludf.DUMMYFUNCTION("""COMPUTED_VALUE"""),"Atlanta")</f>
        <v>Atlanta</v>
      </c>
      <c r="C3570" s="170" t="str">
        <f>IFERROR(__xludf.DUMMYFUNCTION("""COMPUTED_VALUE"""),"GA")</f>
        <v>GA</v>
      </c>
      <c r="D3570" s="170" t="str">
        <f>IFERROR(__xludf.DUMMYFUNCTION("""COMPUTED_VALUE"""),"USA")</f>
        <v>USA</v>
      </c>
      <c r="E3570" s="171">
        <f>IFERROR(__xludf.DUMMYFUNCTION("""COMPUTED_VALUE"""),43201.0)</f>
        <v>43201</v>
      </c>
      <c r="F3570" s="172">
        <f>IFERROR(__xludf.DUMMYFUNCTION("""COMPUTED_VALUE"""),43233.0)</f>
        <v>43233</v>
      </c>
      <c r="G3570" s="173"/>
      <c r="H3570" s="174">
        <f>IFERROR(__xludf.DUMMYFUNCTION("""COMPUTED_VALUE"""),21310.0)</f>
        <v>21310</v>
      </c>
      <c r="I3570" s="175" t="str">
        <f>IFERROR(__xludf.DUMMYFUNCTION("""COMPUTED_VALUE"""),"05/18")</f>
        <v>05/18</v>
      </c>
      <c r="J3570" s="172">
        <f>IFERROR(__xludf.DUMMYFUNCTION("""COMPUTED_VALUE"""),43257.0)</f>
        <v>43257</v>
      </c>
      <c r="K3570" s="176">
        <f>IFERROR(__xludf.DUMMYFUNCTION("""COMPUTED_VALUE"""),32.0)</f>
        <v>32</v>
      </c>
      <c r="L3570" s="176">
        <f>IFERROR(__xludf.DUMMYFUNCTION("""COMPUTED_VALUE"""),24.0)</f>
        <v>24</v>
      </c>
      <c r="M3570" s="176">
        <f>IFERROR(__xludf.DUMMYFUNCTION("""COMPUTED_VALUE"""),56.0)</f>
        <v>56</v>
      </c>
      <c r="N3570" s="177" t="str">
        <f>IFERROR(__xludf.DUMMYFUNCTION("""COMPUTED_VALUE"""),"Model 3 LR")</f>
        <v>Model 3 LR</v>
      </c>
      <c r="O3570" s="177" t="str">
        <f>IFERROR(__xludf.DUMMYFUNCTION("""COMPUTED_VALUE"""),"Midnight Silver Metallic")</f>
        <v>Midnight Silver Metallic</v>
      </c>
      <c r="P3570" s="178" t="str">
        <f>IFERROR(__xludf.DUMMYFUNCTION("""COMPUTED_VALUE"""),"18 inch Aero")</f>
        <v>18 inch Aero</v>
      </c>
      <c r="Q3570" s="177" t="str">
        <f>IFERROR(__xludf.DUMMYFUNCTION("""COMPUTED_VALUE"""),"Black seats")</f>
        <v>Black seats</v>
      </c>
      <c r="R3570" s="170" t="str">
        <f>IFERROR(__xludf.DUMMYFUNCTION("""COMPUTED_VALUE"""),"None")</f>
        <v>None</v>
      </c>
      <c r="S3570" s="170"/>
      <c r="T3570" s="179"/>
      <c r="U3570" s="179"/>
      <c r="V3570" s="179"/>
      <c r="W3570" s="180"/>
      <c r="X3570" s="181" t="str">
        <f>IFERROR(__xludf.DUMMYFUNCTION("""COMPUTED_VALUE"""),"Excellent")</f>
        <v>Excellent</v>
      </c>
      <c r="Y3570" s="182" t="str">
        <f>IFERROR(__xludf.DUMMYFUNCTION("""COMPUTED_VALUE"""),"Excellent")</f>
        <v>Excellent</v>
      </c>
      <c r="Z3570" s="182" t="str">
        <f>IFERROR(__xludf.DUMMYFUNCTION("""COMPUTED_VALUE"""),"Good")</f>
        <v>Good</v>
      </c>
      <c r="AA3570" s="182" t="str">
        <f>IFERROR(__xludf.DUMMYFUNCTION("""COMPUTED_VALUE"""),"Good")</f>
        <v>Good</v>
      </c>
      <c r="AB3570" s="182" t="str">
        <f>IFERROR(__xludf.DUMMYFUNCTION("""COMPUTED_VALUE"""),"Excellent")</f>
        <v>Excellent</v>
      </c>
      <c r="AC3570" s="183"/>
      <c r="AD3570" s="183"/>
      <c r="AE3570" s="183"/>
      <c r="AF3570" s="184"/>
      <c r="AG3570" s="180" t="str">
        <f>IFERROR(__xludf.DUMMYFUNCTION("""COMPUTED_VALUE"""),"Some tape residue on paint when I picked up the car - they corrected it as soon as I pointed it out, but it should have been done during prep")</f>
        <v>Some tape residue on paint when I picked up the car - they corrected it as soon as I pointed it out, but it should have been done during prep</v>
      </c>
      <c r="AH3570" s="185">
        <f>IFERROR(__xludf.DUMMYFUNCTION("""COMPUTED_VALUE"""),43270.27284960648)</f>
        <v>43270.27285</v>
      </c>
      <c r="AI3570" s="182"/>
      <c r="AJ3570" s="182"/>
      <c r="AK3570" s="182"/>
      <c r="AL3570" s="182"/>
    </row>
    <row r="3571" ht="20.25" customHeight="1">
      <c r="A3571" s="169" t="str">
        <f>IFERROR(__xludf.DUMMYFUNCTION("""COMPUTED_VALUE"""),"GRiMm")</f>
        <v>GRiMm</v>
      </c>
      <c r="B3571" s="170" t="str">
        <f>IFERROR(__xludf.DUMMYFUNCTION("""COMPUTED_VALUE"""),"Portland OR")</f>
        <v>Portland OR</v>
      </c>
      <c r="C3571" s="170" t="str">
        <f>IFERROR(__xludf.DUMMYFUNCTION("""COMPUTED_VALUE"""),"OR")</f>
        <v>OR</v>
      </c>
      <c r="D3571" s="170" t="str">
        <f>IFERROR(__xludf.DUMMYFUNCTION("""COMPUTED_VALUE"""),"USA")</f>
        <v>USA</v>
      </c>
      <c r="E3571" s="171">
        <f>IFERROR(__xludf.DUMMYFUNCTION("""COMPUTED_VALUE"""),43201.0)</f>
        <v>43201</v>
      </c>
      <c r="F3571" s="172">
        <f>IFERROR(__xludf.DUMMYFUNCTION("""COMPUTED_VALUE"""),43233.0)</f>
        <v>43233</v>
      </c>
      <c r="G3571" s="173"/>
      <c r="H3571" s="174">
        <f>IFERROR(__xludf.DUMMYFUNCTION("""COMPUTED_VALUE"""),22555.0)</f>
        <v>22555</v>
      </c>
      <c r="I3571" s="175"/>
      <c r="J3571" s="172">
        <f>IFERROR(__xludf.DUMMYFUNCTION("""COMPUTED_VALUE"""),43252.0)</f>
        <v>43252</v>
      </c>
      <c r="K3571" s="176">
        <f>IFERROR(__xludf.DUMMYFUNCTION("""COMPUTED_VALUE"""),32.0)</f>
        <v>32</v>
      </c>
      <c r="L3571" s="176">
        <f>IFERROR(__xludf.DUMMYFUNCTION("""COMPUTED_VALUE"""),19.0)</f>
        <v>19</v>
      </c>
      <c r="M3571" s="176">
        <f>IFERROR(__xludf.DUMMYFUNCTION("""COMPUTED_VALUE"""),51.0)</f>
        <v>51</v>
      </c>
      <c r="N3571" s="177" t="str">
        <f>IFERROR(__xludf.DUMMYFUNCTION("""COMPUTED_VALUE"""),"Model 3 LR")</f>
        <v>Model 3 LR</v>
      </c>
      <c r="O3571" s="177" t="str">
        <f>IFERROR(__xludf.DUMMYFUNCTION("""COMPUTED_VALUE"""),"Deep Blue Metallic")</f>
        <v>Deep Blue Metallic</v>
      </c>
      <c r="P3571" s="178" t="str">
        <f>IFERROR(__xludf.DUMMYFUNCTION("""COMPUTED_VALUE"""),"18 inch Aero")</f>
        <v>18 inch Aero</v>
      </c>
      <c r="Q3571" s="177" t="str">
        <f>IFERROR(__xludf.DUMMYFUNCTION("""COMPUTED_VALUE"""),"Black seats")</f>
        <v>Black seats</v>
      </c>
      <c r="R3571" s="170" t="str">
        <f>IFERROR(__xludf.DUMMYFUNCTION("""COMPUTED_VALUE"""),"Enhanced Autopilot")</f>
        <v>Enhanced Autopilot</v>
      </c>
      <c r="S3571" s="170"/>
      <c r="T3571" s="179"/>
      <c r="U3571" s="179"/>
      <c r="V3571" s="179"/>
      <c r="W3571" s="180"/>
      <c r="X3571" s="181" t="str">
        <f>IFERROR(__xludf.DUMMYFUNCTION("""COMPUTED_VALUE"""),"Excellent")</f>
        <v>Excellent</v>
      </c>
      <c r="Y3571" s="182" t="str">
        <f>IFERROR(__xludf.DUMMYFUNCTION("""COMPUTED_VALUE"""),"Excellent")</f>
        <v>Excellent</v>
      </c>
      <c r="Z3571" s="182" t="str">
        <f>IFERROR(__xludf.DUMMYFUNCTION("""COMPUTED_VALUE"""),"Excellent")</f>
        <v>Excellent</v>
      </c>
      <c r="AA3571" s="182" t="str">
        <f>IFERROR(__xludf.DUMMYFUNCTION("""COMPUTED_VALUE"""),"Fair")</f>
        <v>Fair</v>
      </c>
      <c r="AB3571" s="182" t="str">
        <f>IFERROR(__xludf.DUMMYFUNCTION("""COMPUTED_VALUE"""),"Excellent")</f>
        <v>Excellent</v>
      </c>
      <c r="AC3571" s="183"/>
      <c r="AD3571" s="183"/>
      <c r="AE3571" s="183"/>
      <c r="AF3571" s="184"/>
      <c r="AG3571" s="180"/>
      <c r="AH3571" s="185">
        <f>IFERROR(__xludf.DUMMYFUNCTION("""COMPUTED_VALUE"""),43254.51966134259)</f>
        <v>43254.51966</v>
      </c>
      <c r="AI3571" s="182"/>
      <c r="AJ3571" s="182"/>
      <c r="AK3571" s="182"/>
      <c r="AL3571" s="182"/>
    </row>
    <row r="3572" ht="20.25" customHeight="1">
      <c r="A3572" s="169" t="str">
        <f>IFERROR(__xludf.DUMMYFUNCTION("""COMPUTED_VALUE"""),"jefferoniandcheese")</f>
        <v>jefferoniandcheese</v>
      </c>
      <c r="B3572" s="170" t="str">
        <f>IFERROR(__xludf.DUMMYFUNCTION("""COMPUTED_VALUE"""),"San Francisco")</f>
        <v>San Francisco</v>
      </c>
      <c r="C3572" s="170" t="str">
        <f>IFERROR(__xludf.DUMMYFUNCTION("""COMPUTED_VALUE"""),"CA")</f>
        <v>CA</v>
      </c>
      <c r="D3572" s="170" t="str">
        <f>IFERROR(__xludf.DUMMYFUNCTION("""COMPUTED_VALUE"""),"USA")</f>
        <v>USA</v>
      </c>
      <c r="E3572" s="171">
        <f>IFERROR(__xludf.DUMMYFUNCTION("""COMPUTED_VALUE"""),43201.0)</f>
        <v>43201</v>
      </c>
      <c r="F3572" s="172">
        <f>IFERROR(__xludf.DUMMYFUNCTION("""COMPUTED_VALUE"""),43233.0)</f>
        <v>43233</v>
      </c>
      <c r="G3572" s="173"/>
      <c r="H3572" s="174">
        <f>IFERROR(__xludf.DUMMYFUNCTION("""COMPUTED_VALUE"""),22855.0)</f>
        <v>22855</v>
      </c>
      <c r="I3572" s="175"/>
      <c r="J3572" s="172">
        <f>IFERROR(__xludf.DUMMYFUNCTION("""COMPUTED_VALUE"""),43240.0)</f>
        <v>43240</v>
      </c>
      <c r="K3572" s="176">
        <f>IFERROR(__xludf.DUMMYFUNCTION("""COMPUTED_VALUE"""),32.0)</f>
        <v>32</v>
      </c>
      <c r="L3572" s="176">
        <f>IFERROR(__xludf.DUMMYFUNCTION("""COMPUTED_VALUE"""),7.0)</f>
        <v>7</v>
      </c>
      <c r="M3572" s="176">
        <f>IFERROR(__xludf.DUMMYFUNCTION("""COMPUTED_VALUE"""),39.0)</f>
        <v>39</v>
      </c>
      <c r="N3572" s="177" t="str">
        <f>IFERROR(__xludf.DUMMYFUNCTION("""COMPUTED_VALUE"""),"Model 3 LR")</f>
        <v>Model 3 LR</v>
      </c>
      <c r="O3572" s="177" t="str">
        <f>IFERROR(__xludf.DUMMYFUNCTION("""COMPUTED_VALUE"""),"Deep Blue Metallic")</f>
        <v>Deep Blue Metallic</v>
      </c>
      <c r="P3572" s="178" t="str">
        <f>IFERROR(__xludf.DUMMYFUNCTION("""COMPUTED_VALUE"""),"18 inch Aero")</f>
        <v>18 inch Aero</v>
      </c>
      <c r="Q3572" s="177" t="str">
        <f>IFERROR(__xludf.DUMMYFUNCTION("""COMPUTED_VALUE"""),"Black seats")</f>
        <v>Black seats</v>
      </c>
      <c r="R3572" s="170" t="str">
        <f>IFERROR(__xludf.DUMMYFUNCTION("""COMPUTED_VALUE"""),"Enhanced Autopilot")</f>
        <v>Enhanced Autopilot</v>
      </c>
      <c r="S3572" s="170"/>
      <c r="T3572" s="179"/>
      <c r="U3572" s="179"/>
      <c r="V3572" s="179"/>
      <c r="W3572" s="180"/>
      <c r="X3572" s="181" t="str">
        <f>IFERROR(__xludf.DUMMYFUNCTION("""COMPUTED_VALUE"""),"Excellent")</f>
        <v>Excellent</v>
      </c>
      <c r="Y3572" s="182" t="str">
        <f>IFERROR(__xludf.DUMMYFUNCTION("""COMPUTED_VALUE"""),"Excellent")</f>
        <v>Excellent</v>
      </c>
      <c r="Z3572" s="182" t="str">
        <f>IFERROR(__xludf.DUMMYFUNCTION("""COMPUTED_VALUE"""),"Excellent")</f>
        <v>Excellent</v>
      </c>
      <c r="AA3572" s="182"/>
      <c r="AB3572" s="182" t="str">
        <f>IFERROR(__xludf.DUMMYFUNCTION("""COMPUTED_VALUE"""),"Excellent")</f>
        <v>Excellent</v>
      </c>
      <c r="AC3572" s="183"/>
      <c r="AD3572" s="183"/>
      <c r="AE3572" s="183"/>
      <c r="AF3572" s="184"/>
      <c r="AG3572" s="180"/>
      <c r="AH3572" s="185">
        <f>IFERROR(__xludf.DUMMYFUNCTION("""COMPUTED_VALUE"""),43243.42973116898)</f>
        <v>43243.42973</v>
      </c>
      <c r="AI3572" s="182"/>
      <c r="AJ3572" s="182"/>
      <c r="AK3572" s="182"/>
      <c r="AL3572" s="182"/>
    </row>
    <row r="3573" ht="20.25" customHeight="1">
      <c r="A3573" s="169" t="str">
        <f>IFERROR(__xludf.DUMMYFUNCTION("""COMPUTED_VALUE"""),"kimahlberg")</f>
        <v>kimahlberg</v>
      </c>
      <c r="B3573" s="170" t="str">
        <f>IFERROR(__xludf.DUMMYFUNCTION("""COMPUTED_VALUE"""),"Seattle")</f>
        <v>Seattle</v>
      </c>
      <c r="C3573" s="170" t="str">
        <f>IFERROR(__xludf.DUMMYFUNCTION("""COMPUTED_VALUE"""),"WA")</f>
        <v>WA</v>
      </c>
      <c r="D3573" s="170" t="str">
        <f>IFERROR(__xludf.DUMMYFUNCTION("""COMPUTED_VALUE"""),"USA")</f>
        <v>USA</v>
      </c>
      <c r="E3573" s="171">
        <f>IFERROR(__xludf.DUMMYFUNCTION("""COMPUTED_VALUE"""),43201.0)</f>
        <v>43201</v>
      </c>
      <c r="F3573" s="172">
        <f>IFERROR(__xludf.DUMMYFUNCTION("""COMPUTED_VALUE"""),43222.0)</f>
        <v>43222</v>
      </c>
      <c r="G3573" s="173"/>
      <c r="H3573" s="174">
        <f>IFERROR(__xludf.DUMMYFUNCTION("""COMPUTED_VALUE"""),19565.0)</f>
        <v>19565</v>
      </c>
      <c r="I3573" s="175"/>
      <c r="J3573" s="172">
        <f>IFERROR(__xludf.DUMMYFUNCTION("""COMPUTED_VALUE"""),43242.0)</f>
        <v>43242</v>
      </c>
      <c r="K3573" s="176">
        <f>IFERROR(__xludf.DUMMYFUNCTION("""COMPUTED_VALUE"""),21.0)</f>
        <v>21</v>
      </c>
      <c r="L3573" s="176">
        <f>IFERROR(__xludf.DUMMYFUNCTION("""COMPUTED_VALUE"""),20.0)</f>
        <v>20</v>
      </c>
      <c r="M3573" s="176">
        <f>IFERROR(__xludf.DUMMYFUNCTION("""COMPUTED_VALUE"""),41.0)</f>
        <v>41</v>
      </c>
      <c r="N3573" s="177" t="str">
        <f>IFERROR(__xludf.DUMMYFUNCTION("""COMPUTED_VALUE"""),"Model 3 LR")</f>
        <v>Model 3 LR</v>
      </c>
      <c r="O3573" s="177" t="str">
        <f>IFERROR(__xludf.DUMMYFUNCTION("""COMPUTED_VALUE"""),"Deep Blue Metallic")</f>
        <v>Deep Blue Metallic</v>
      </c>
      <c r="P3573" s="178" t="str">
        <f>IFERROR(__xludf.DUMMYFUNCTION("""COMPUTED_VALUE"""),"18 inch Aero")</f>
        <v>18 inch Aero</v>
      </c>
      <c r="Q3573" s="177" t="str">
        <f>IFERROR(__xludf.DUMMYFUNCTION("""COMPUTED_VALUE"""),"Black seats")</f>
        <v>Black seats</v>
      </c>
      <c r="R3573" s="170" t="str">
        <f>IFERROR(__xludf.DUMMYFUNCTION("""COMPUTED_VALUE"""),"None")</f>
        <v>None</v>
      </c>
      <c r="S3573" s="170"/>
      <c r="T3573" s="179"/>
      <c r="U3573" s="179"/>
      <c r="V3573" s="179"/>
      <c r="W3573" s="180"/>
      <c r="X3573" s="181" t="str">
        <f>IFERROR(__xludf.DUMMYFUNCTION("""COMPUTED_VALUE"""),"Good")</f>
        <v>Good</v>
      </c>
      <c r="Y3573" s="182" t="str">
        <f>IFERROR(__xludf.DUMMYFUNCTION("""COMPUTED_VALUE"""),"Very Good")</f>
        <v>Very Good</v>
      </c>
      <c r="Z3573" s="182" t="str">
        <f>IFERROR(__xludf.DUMMYFUNCTION("""COMPUTED_VALUE"""),"Fair")</f>
        <v>Fair</v>
      </c>
      <c r="AA3573" s="182"/>
      <c r="AB3573" s="182" t="str">
        <f>IFERROR(__xludf.DUMMYFUNCTION("""COMPUTED_VALUE"""),"Excellent")</f>
        <v>Excellent</v>
      </c>
      <c r="AC3573" s="183"/>
      <c r="AD3573" s="183"/>
      <c r="AE3573" s="183"/>
      <c r="AF3573" s="184"/>
      <c r="AG3573" s="180"/>
      <c r="AH3573" s="185">
        <f>IFERROR(__xludf.DUMMYFUNCTION("""COMPUTED_VALUE"""),43245.65383047453)</f>
        <v>43245.65383</v>
      </c>
      <c r="AI3573" s="182"/>
      <c r="AJ3573" s="182"/>
      <c r="AK3573" s="182"/>
      <c r="AL3573" s="182"/>
    </row>
    <row r="3574" ht="20.25" customHeight="1">
      <c r="A3574" s="169" t="str">
        <f>IFERROR(__xludf.DUMMYFUNCTION("""COMPUTED_VALUE"""),"rrinn")</f>
        <v>rrinn</v>
      </c>
      <c r="B3574" s="170" t="str">
        <f>IFERROR(__xludf.DUMMYFUNCTION("""COMPUTED_VALUE"""),"Austin")</f>
        <v>Austin</v>
      </c>
      <c r="C3574" s="170" t="str">
        <f>IFERROR(__xludf.DUMMYFUNCTION("""COMPUTED_VALUE"""),"TX")</f>
        <v>TX</v>
      </c>
      <c r="D3574" s="170" t="str">
        <f>IFERROR(__xludf.DUMMYFUNCTION("""COMPUTED_VALUE"""),"USA")</f>
        <v>USA</v>
      </c>
      <c r="E3574" s="171">
        <f>IFERROR(__xludf.DUMMYFUNCTION("""COMPUTED_VALUE"""),43201.0)</f>
        <v>43201</v>
      </c>
      <c r="F3574" s="172">
        <f>IFERROR(__xludf.DUMMYFUNCTION("""COMPUTED_VALUE"""),43252.0)</f>
        <v>43252</v>
      </c>
      <c r="G3574" s="173"/>
      <c r="H3574" s="174">
        <f>IFERROR(__xludf.DUMMYFUNCTION("""COMPUTED_VALUE"""),26157.0)</f>
        <v>26157</v>
      </c>
      <c r="I3574" s="175" t="str">
        <f>IFERROR(__xludf.DUMMYFUNCTION("""COMPUTED_VALUE"""),"06/18")</f>
        <v>06/18</v>
      </c>
      <c r="J3574" s="172">
        <f>IFERROR(__xludf.DUMMYFUNCTION("""COMPUTED_VALUE"""),43265.0)</f>
        <v>43265</v>
      </c>
      <c r="K3574" s="176">
        <f>IFERROR(__xludf.DUMMYFUNCTION("""COMPUTED_VALUE"""),51.0)</f>
        <v>51</v>
      </c>
      <c r="L3574" s="176">
        <f>IFERROR(__xludf.DUMMYFUNCTION("""COMPUTED_VALUE"""),13.0)</f>
        <v>13</v>
      </c>
      <c r="M3574" s="176">
        <f>IFERROR(__xludf.DUMMYFUNCTION("""COMPUTED_VALUE"""),64.0)</f>
        <v>64</v>
      </c>
      <c r="N3574" s="177" t="str">
        <f>IFERROR(__xludf.DUMMYFUNCTION("""COMPUTED_VALUE"""),"Model 3 LR")</f>
        <v>Model 3 LR</v>
      </c>
      <c r="O3574" s="177" t="str">
        <f>IFERROR(__xludf.DUMMYFUNCTION("""COMPUTED_VALUE"""),"Deep Blue Metallic")</f>
        <v>Deep Blue Metallic</v>
      </c>
      <c r="P3574" s="178" t="str">
        <f>IFERROR(__xludf.DUMMYFUNCTION("""COMPUTED_VALUE"""),"18 inch Aero")</f>
        <v>18 inch Aero</v>
      </c>
      <c r="Q3574" s="177" t="str">
        <f>IFERROR(__xludf.DUMMYFUNCTION("""COMPUTED_VALUE"""),"Black seats")</f>
        <v>Black seats</v>
      </c>
      <c r="R3574" s="170" t="str">
        <f>IFERROR(__xludf.DUMMYFUNCTION("""COMPUTED_VALUE"""),"Enhanced Autopilot")</f>
        <v>Enhanced Autopilot</v>
      </c>
      <c r="S3574" s="170"/>
      <c r="T3574" s="179"/>
      <c r="U3574" s="179"/>
      <c r="V3574" s="179"/>
      <c r="W3574" s="180"/>
      <c r="X3574" s="181" t="str">
        <f>IFERROR(__xludf.DUMMYFUNCTION("""COMPUTED_VALUE"""),"Very Good")</f>
        <v>Very Good</v>
      </c>
      <c r="Y3574" s="182" t="str">
        <f>IFERROR(__xludf.DUMMYFUNCTION("""COMPUTED_VALUE"""),"Excellent")</f>
        <v>Excellent</v>
      </c>
      <c r="Z3574" s="182" t="str">
        <f>IFERROR(__xludf.DUMMYFUNCTION("""COMPUTED_VALUE"""),"Very Good")</f>
        <v>Very Good</v>
      </c>
      <c r="AA3574" s="182" t="str">
        <f>IFERROR(__xludf.DUMMYFUNCTION("""COMPUTED_VALUE"""),"Excellent")</f>
        <v>Excellent</v>
      </c>
      <c r="AB3574" s="182" t="str">
        <f>IFERROR(__xludf.DUMMYFUNCTION("""COMPUTED_VALUE"""),"Very Good")</f>
        <v>Very Good</v>
      </c>
      <c r="AC3574" s="183"/>
      <c r="AD3574" s="183"/>
      <c r="AE3574" s="183"/>
      <c r="AF3574" s="184"/>
      <c r="AG3574" s="180"/>
      <c r="AH3574" s="185">
        <f>IFERROR(__xludf.DUMMYFUNCTION("""COMPUTED_VALUE"""),43268.54681837963)</f>
        <v>43268.54682</v>
      </c>
      <c r="AI3574" s="182"/>
      <c r="AJ3574" s="182"/>
      <c r="AK3574" s="182"/>
      <c r="AL3574" s="182"/>
    </row>
    <row r="3575" ht="20.25" customHeight="1">
      <c r="A3575" s="169" t="str">
        <f>IFERROR(__xludf.DUMMYFUNCTION("""COMPUTED_VALUE""")," qbpds75")</f>
        <v> qbpds75</v>
      </c>
      <c r="B3575" s="170" t="str">
        <f>IFERROR(__xludf.DUMMYFUNCTION("""COMPUTED_VALUE"""),"Bellevue")</f>
        <v>Bellevue</v>
      </c>
      <c r="C3575" s="170" t="str">
        <f>IFERROR(__xludf.DUMMYFUNCTION("""COMPUTED_VALUE"""),"WA")</f>
        <v>WA</v>
      </c>
      <c r="D3575" s="170" t="str">
        <f>IFERROR(__xludf.DUMMYFUNCTION("""COMPUTED_VALUE"""),"USA")</f>
        <v>USA</v>
      </c>
      <c r="E3575" s="171">
        <f>IFERROR(__xludf.DUMMYFUNCTION("""COMPUTED_VALUE"""),43200.0)</f>
        <v>43200</v>
      </c>
      <c r="F3575" s="172">
        <f>IFERROR(__xludf.DUMMYFUNCTION("""COMPUTED_VALUE"""),43220.0)</f>
        <v>43220</v>
      </c>
      <c r="G3575" s="173"/>
      <c r="H3575" s="174">
        <f>IFERROR(__xludf.DUMMYFUNCTION("""COMPUTED_VALUE"""),16355.0)</f>
        <v>16355</v>
      </c>
      <c r="I3575" s="175"/>
      <c r="J3575" s="172">
        <f>IFERROR(__xludf.DUMMYFUNCTION("""COMPUTED_VALUE"""),43229.0)</f>
        <v>43229</v>
      </c>
      <c r="K3575" s="176">
        <f>IFERROR(__xludf.DUMMYFUNCTION("""COMPUTED_VALUE"""),20.0)</f>
        <v>20</v>
      </c>
      <c r="L3575" s="176">
        <f>IFERROR(__xludf.DUMMYFUNCTION("""COMPUTED_VALUE"""),9.0)</f>
        <v>9</v>
      </c>
      <c r="M3575" s="176">
        <f>IFERROR(__xludf.DUMMYFUNCTION("""COMPUTED_VALUE"""),29.0)</f>
        <v>29</v>
      </c>
      <c r="N3575" s="177" t="str">
        <f>IFERROR(__xludf.DUMMYFUNCTION("""COMPUTED_VALUE"""),"Model 3 LR")</f>
        <v>Model 3 LR</v>
      </c>
      <c r="O3575" s="177" t="str">
        <f>IFERROR(__xludf.DUMMYFUNCTION("""COMPUTED_VALUE"""),"Midnight Silver Metallic")</f>
        <v>Midnight Silver Metallic</v>
      </c>
      <c r="P3575" s="178" t="str">
        <f>IFERROR(__xludf.DUMMYFUNCTION("""COMPUTED_VALUE"""),"18 inch Aero")</f>
        <v>18 inch Aero</v>
      </c>
      <c r="Q3575" s="177" t="str">
        <f>IFERROR(__xludf.DUMMYFUNCTION("""COMPUTED_VALUE"""),"Black seats")</f>
        <v>Black seats</v>
      </c>
      <c r="R3575" s="170" t="str">
        <f>IFERROR(__xludf.DUMMYFUNCTION("""COMPUTED_VALUE"""),"Enhanced Autopilot")</f>
        <v>Enhanced Autopilot</v>
      </c>
      <c r="S3575" s="170"/>
      <c r="T3575" s="179"/>
      <c r="U3575" s="179"/>
      <c r="V3575" s="179"/>
      <c r="W3575" s="180"/>
      <c r="X3575" s="181" t="str">
        <f>IFERROR(__xludf.DUMMYFUNCTION("""COMPUTED_VALUE"""),"Excellent")</f>
        <v>Excellent</v>
      </c>
      <c r="Y3575" s="182" t="str">
        <f>IFERROR(__xludf.DUMMYFUNCTION("""COMPUTED_VALUE"""),"Excellent")</f>
        <v>Excellent</v>
      </c>
      <c r="Z3575" s="182" t="str">
        <f>IFERROR(__xludf.DUMMYFUNCTION("""COMPUTED_VALUE"""),"Excellent")</f>
        <v>Excellent</v>
      </c>
      <c r="AA3575" s="182"/>
      <c r="AB3575" s="182" t="str">
        <f>IFERROR(__xludf.DUMMYFUNCTION("""COMPUTED_VALUE"""),"Excellent")</f>
        <v>Excellent</v>
      </c>
      <c r="AC3575" s="183"/>
      <c r="AD3575" s="183"/>
      <c r="AE3575" s="183"/>
      <c r="AF3575" s="184"/>
      <c r="AG3575" s="180"/>
      <c r="AH3575" s="185">
        <f>IFERROR(__xludf.DUMMYFUNCTION("""COMPUTED_VALUE"""),43249.38606512731)</f>
        <v>43249.38607</v>
      </c>
      <c r="AI3575" s="182"/>
      <c r="AJ3575" s="182"/>
      <c r="AK3575" s="182"/>
      <c r="AL3575" s="182"/>
    </row>
    <row r="3576" ht="20.25" customHeight="1">
      <c r="A3576" s="169" t="str">
        <f>IFERROR(__xludf.DUMMYFUNCTION("""COMPUTED_VALUE"""),"bornready")</f>
        <v>bornready</v>
      </c>
      <c r="B3576" s="170"/>
      <c r="C3576" s="170" t="str">
        <f>IFERROR(__xludf.DUMMYFUNCTION("""COMPUTED_VALUE"""),"CA")</f>
        <v>CA</v>
      </c>
      <c r="D3576" s="170" t="str">
        <f>IFERROR(__xludf.DUMMYFUNCTION("""COMPUTED_VALUE"""),"USA")</f>
        <v>USA</v>
      </c>
      <c r="E3576" s="171">
        <f>IFERROR(__xludf.DUMMYFUNCTION("""COMPUTED_VALUE"""),43200.0)</f>
        <v>43200</v>
      </c>
      <c r="F3576" s="172">
        <f>IFERROR(__xludf.DUMMYFUNCTION("""COMPUTED_VALUE"""),43229.0)</f>
        <v>43229</v>
      </c>
      <c r="G3576" s="173"/>
      <c r="H3576" s="174">
        <f>IFERROR(__xludf.DUMMYFUNCTION("""COMPUTED_VALUE"""),19455.0)</f>
        <v>19455</v>
      </c>
      <c r="I3576" s="175"/>
      <c r="J3576" s="172">
        <f>IFERROR(__xludf.DUMMYFUNCTION("""COMPUTED_VALUE"""),43237.0)</f>
        <v>43237</v>
      </c>
      <c r="K3576" s="176">
        <f>IFERROR(__xludf.DUMMYFUNCTION("""COMPUTED_VALUE"""),29.0)</f>
        <v>29</v>
      </c>
      <c r="L3576" s="176">
        <f>IFERROR(__xludf.DUMMYFUNCTION("""COMPUTED_VALUE"""),8.0)</f>
        <v>8</v>
      </c>
      <c r="M3576" s="176">
        <f>IFERROR(__xludf.DUMMYFUNCTION("""COMPUTED_VALUE"""),37.0)</f>
        <v>37</v>
      </c>
      <c r="N3576" s="177" t="str">
        <f>IFERROR(__xludf.DUMMYFUNCTION("""COMPUTED_VALUE"""),"Model 3 LR")</f>
        <v>Model 3 LR</v>
      </c>
      <c r="O3576" s="177" t="str">
        <f>IFERROR(__xludf.DUMMYFUNCTION("""COMPUTED_VALUE"""),"Deep Blue Metallic")</f>
        <v>Deep Blue Metallic</v>
      </c>
      <c r="P3576" s="178" t="str">
        <f>IFERROR(__xludf.DUMMYFUNCTION("""COMPUTED_VALUE"""),"18 inch Aero")</f>
        <v>18 inch Aero</v>
      </c>
      <c r="Q3576" s="177" t="str">
        <f>IFERROR(__xludf.DUMMYFUNCTION("""COMPUTED_VALUE"""),"Black seats")</f>
        <v>Black seats</v>
      </c>
      <c r="R3576" s="170" t="str">
        <f>IFERROR(__xludf.DUMMYFUNCTION("""COMPUTED_VALUE"""),"Enhanced Autopilot")</f>
        <v>Enhanced Autopilot</v>
      </c>
      <c r="S3576" s="170"/>
      <c r="T3576" s="179"/>
      <c r="U3576" s="179"/>
      <c r="V3576" s="179"/>
      <c r="W3576" s="180"/>
      <c r="X3576" s="181" t="str">
        <f>IFERROR(__xludf.DUMMYFUNCTION("""COMPUTED_VALUE"""),"Excellent")</f>
        <v>Excellent</v>
      </c>
      <c r="Y3576" s="182" t="str">
        <f>IFERROR(__xludf.DUMMYFUNCTION("""COMPUTED_VALUE"""),"Excellent")</f>
        <v>Excellent</v>
      </c>
      <c r="Z3576" s="182" t="str">
        <f>IFERROR(__xludf.DUMMYFUNCTION("""COMPUTED_VALUE"""),"Excellent")</f>
        <v>Excellent</v>
      </c>
      <c r="AA3576" s="182"/>
      <c r="AB3576" s="182" t="str">
        <f>IFERROR(__xludf.DUMMYFUNCTION("""COMPUTED_VALUE"""),"Very Good")</f>
        <v>Very Good</v>
      </c>
      <c r="AC3576" s="183"/>
      <c r="AD3576" s="183"/>
      <c r="AE3576" s="183"/>
      <c r="AF3576" s="184"/>
      <c r="AG3576" s="180" t="str">
        <f>IFERROR(__xludf.DUMMYFUNCTION("""COMPUTED_VALUE"""),"Awful experience working with ISA in Las Vegas but very good experience receiving car in Rocklin")</f>
        <v>Awful experience working with ISA in Las Vegas but very good experience receiving car in Rocklin</v>
      </c>
      <c r="AH3576" s="185">
        <f>IFERROR(__xludf.DUMMYFUNCTION("""COMPUTED_VALUE"""),43237.931241018516)</f>
        <v>43237.93124</v>
      </c>
      <c r="AI3576" s="182"/>
      <c r="AJ3576" s="182"/>
      <c r="AK3576" s="182"/>
      <c r="AL3576" s="182"/>
    </row>
    <row r="3577" ht="20.25" customHeight="1">
      <c r="A3577" s="169" t="str">
        <f>IFERROR(__xludf.DUMMYFUNCTION("""COMPUTED_VALUE"""),"gdwsk")</f>
        <v>gdwsk</v>
      </c>
      <c r="B3577" s="170" t="str">
        <f>IFERROR(__xludf.DUMMYFUNCTION("""COMPUTED_VALUE"""),"Redondo Beach")</f>
        <v>Redondo Beach</v>
      </c>
      <c r="C3577" s="170" t="str">
        <f>IFERROR(__xludf.DUMMYFUNCTION("""COMPUTED_VALUE"""),"CA")</f>
        <v>CA</v>
      </c>
      <c r="D3577" s="170" t="str">
        <f>IFERROR(__xludf.DUMMYFUNCTION("""COMPUTED_VALUE"""),"USA")</f>
        <v>USA</v>
      </c>
      <c r="E3577" s="171">
        <f>IFERROR(__xludf.DUMMYFUNCTION("""COMPUTED_VALUE"""),43200.0)</f>
        <v>43200</v>
      </c>
      <c r="F3577" s="172">
        <f>IFERROR(__xludf.DUMMYFUNCTION("""COMPUTED_VALUE"""),43230.0)</f>
        <v>43230</v>
      </c>
      <c r="G3577" s="173"/>
      <c r="H3577" s="174">
        <f>IFERROR(__xludf.DUMMYFUNCTION("""COMPUTED_VALUE"""),25925.0)</f>
        <v>25925</v>
      </c>
      <c r="I3577" s="175" t="str">
        <f>IFERROR(__xludf.DUMMYFUNCTION("""COMPUTED_VALUE"""),"05/18")</f>
        <v>05/18</v>
      </c>
      <c r="J3577" s="172">
        <f>IFERROR(__xludf.DUMMYFUNCTION("""COMPUTED_VALUE"""),43239.0)</f>
        <v>43239</v>
      </c>
      <c r="K3577" s="176">
        <f>IFERROR(__xludf.DUMMYFUNCTION("""COMPUTED_VALUE"""),30.0)</f>
        <v>30</v>
      </c>
      <c r="L3577" s="176">
        <f>IFERROR(__xludf.DUMMYFUNCTION("""COMPUTED_VALUE"""),9.0)</f>
        <v>9</v>
      </c>
      <c r="M3577" s="176">
        <f>IFERROR(__xludf.DUMMYFUNCTION("""COMPUTED_VALUE"""),39.0)</f>
        <v>39</v>
      </c>
      <c r="N3577" s="177" t="str">
        <f>IFERROR(__xludf.DUMMYFUNCTION("""COMPUTED_VALUE"""),"Model 3 LR")</f>
        <v>Model 3 LR</v>
      </c>
      <c r="O3577" s="177" t="str">
        <f>IFERROR(__xludf.DUMMYFUNCTION("""COMPUTED_VALUE"""),"Red Multi-Coat")</f>
        <v>Red Multi-Coat</v>
      </c>
      <c r="P3577" s="178" t="str">
        <f>IFERROR(__xludf.DUMMYFUNCTION("""COMPUTED_VALUE"""),"18 inch Aero")</f>
        <v>18 inch Aero</v>
      </c>
      <c r="Q3577" s="177" t="str">
        <f>IFERROR(__xludf.DUMMYFUNCTION("""COMPUTED_VALUE"""),"Black seats")</f>
        <v>Black seats</v>
      </c>
      <c r="R3577" s="170" t="str">
        <f>IFERROR(__xludf.DUMMYFUNCTION("""COMPUTED_VALUE"""),"Enhanced Autopilot")</f>
        <v>Enhanced Autopilot</v>
      </c>
      <c r="S3577" s="170"/>
      <c r="T3577" s="179"/>
      <c r="U3577" s="179"/>
      <c r="V3577" s="179"/>
      <c r="W3577" s="180"/>
      <c r="X3577" s="181" t="str">
        <f>IFERROR(__xludf.DUMMYFUNCTION("""COMPUTED_VALUE"""),"Excellent")</f>
        <v>Excellent</v>
      </c>
      <c r="Y3577" s="182" t="str">
        <f>IFERROR(__xludf.DUMMYFUNCTION("""COMPUTED_VALUE"""),"Excellent")</f>
        <v>Excellent</v>
      </c>
      <c r="Z3577" s="182" t="str">
        <f>IFERROR(__xludf.DUMMYFUNCTION("""COMPUTED_VALUE"""),"Excellent")</f>
        <v>Excellent</v>
      </c>
      <c r="AA3577" s="182" t="str">
        <f>IFERROR(__xludf.DUMMYFUNCTION("""COMPUTED_VALUE"""),"Poor")</f>
        <v>Poor</v>
      </c>
      <c r="AB3577" s="182" t="str">
        <f>IFERROR(__xludf.DUMMYFUNCTION("""COMPUTED_VALUE"""),"Excellent")</f>
        <v>Excellent</v>
      </c>
      <c r="AC3577" s="183">
        <f>IFERROR(__xludf.DUMMYFUNCTION("""COMPUTED_VALUE"""),0.0)</f>
        <v>0</v>
      </c>
      <c r="AD3577" s="183">
        <f>IFERROR(__xludf.DUMMYFUNCTION("""COMPUTED_VALUE"""),1.0)</f>
        <v>1</v>
      </c>
      <c r="AE3577" s="183">
        <f>IFERROR(__xludf.DUMMYFUNCTION("""COMPUTED_VALUE"""),1.0)</f>
        <v>1</v>
      </c>
      <c r="AF3577" s="184"/>
      <c r="AG3577" s="180"/>
      <c r="AH3577" s="185">
        <f>IFERROR(__xludf.DUMMYFUNCTION("""COMPUTED_VALUE"""),43339.875914745375)</f>
        <v>43339.87591</v>
      </c>
      <c r="AI3577" s="182"/>
      <c r="AJ3577" s="182"/>
      <c r="AK3577" s="182"/>
      <c r="AL3577" s="182"/>
    </row>
    <row r="3578" ht="20.25" customHeight="1">
      <c r="A3578" s="169" t="str">
        <f>IFERROR(__xludf.DUMMYFUNCTION("""COMPUTED_VALUE"""),"GregRF")</f>
        <v>GregRF</v>
      </c>
      <c r="B3578" s="170" t="str">
        <f>IFERROR(__xludf.DUMMYFUNCTION("""COMPUTED_VALUE"""),"Aptos")</f>
        <v>Aptos</v>
      </c>
      <c r="C3578" s="170" t="str">
        <f>IFERROR(__xludf.DUMMYFUNCTION("""COMPUTED_VALUE"""),"CA")</f>
        <v>CA</v>
      </c>
      <c r="D3578" s="170" t="str">
        <f>IFERROR(__xludf.DUMMYFUNCTION("""COMPUTED_VALUE"""),"USA")</f>
        <v>USA</v>
      </c>
      <c r="E3578" s="171">
        <f>IFERROR(__xludf.DUMMYFUNCTION("""COMPUTED_VALUE"""),43200.0)</f>
        <v>43200</v>
      </c>
      <c r="F3578" s="172">
        <f>IFERROR(__xludf.DUMMYFUNCTION("""COMPUTED_VALUE"""),43216.0)</f>
        <v>43216</v>
      </c>
      <c r="G3578" s="173"/>
      <c r="H3578" s="174">
        <f>IFERROR(__xludf.DUMMYFUNCTION("""COMPUTED_VALUE"""),20405.0)</f>
        <v>20405</v>
      </c>
      <c r="I3578" s="175"/>
      <c r="J3578" s="172">
        <f>IFERROR(__xludf.DUMMYFUNCTION("""COMPUTED_VALUE"""),43224.0)</f>
        <v>43224</v>
      </c>
      <c r="K3578" s="176">
        <f>IFERROR(__xludf.DUMMYFUNCTION("""COMPUTED_VALUE"""),16.0)</f>
        <v>16</v>
      </c>
      <c r="L3578" s="176">
        <f>IFERROR(__xludf.DUMMYFUNCTION("""COMPUTED_VALUE"""),8.0)</f>
        <v>8</v>
      </c>
      <c r="M3578" s="176">
        <f>IFERROR(__xludf.DUMMYFUNCTION("""COMPUTED_VALUE"""),24.0)</f>
        <v>24</v>
      </c>
      <c r="N3578" s="177" t="str">
        <f>IFERROR(__xludf.DUMMYFUNCTION("""COMPUTED_VALUE"""),"Model 3 LR")</f>
        <v>Model 3 LR</v>
      </c>
      <c r="O3578" s="177" t="str">
        <f>IFERROR(__xludf.DUMMYFUNCTION("""COMPUTED_VALUE"""),"Deep Blue Metallic")</f>
        <v>Deep Blue Metallic</v>
      </c>
      <c r="P3578" s="178" t="str">
        <f>IFERROR(__xludf.DUMMYFUNCTION("""COMPUTED_VALUE"""),"18 inch Aero")</f>
        <v>18 inch Aero</v>
      </c>
      <c r="Q3578" s="177" t="str">
        <f>IFERROR(__xludf.DUMMYFUNCTION("""COMPUTED_VALUE"""),"Black seats")</f>
        <v>Black seats</v>
      </c>
      <c r="R3578" s="170" t="str">
        <f>IFERROR(__xludf.DUMMYFUNCTION("""COMPUTED_VALUE"""),"None")</f>
        <v>None</v>
      </c>
      <c r="S3578" s="170"/>
      <c r="T3578" s="179"/>
      <c r="U3578" s="179"/>
      <c r="V3578" s="179"/>
      <c r="W3578" s="180"/>
      <c r="X3578" s="181" t="str">
        <f>IFERROR(__xludf.DUMMYFUNCTION("""COMPUTED_VALUE"""),"Very Good")</f>
        <v>Very Good</v>
      </c>
      <c r="Y3578" s="182" t="str">
        <f>IFERROR(__xludf.DUMMYFUNCTION("""COMPUTED_VALUE"""),"Excellent")</f>
        <v>Excellent</v>
      </c>
      <c r="Z3578" s="182" t="str">
        <f>IFERROR(__xludf.DUMMYFUNCTION("""COMPUTED_VALUE"""),"Fair")</f>
        <v>Fair</v>
      </c>
      <c r="AA3578" s="182"/>
      <c r="AB3578" s="182" t="str">
        <f>IFERROR(__xludf.DUMMYFUNCTION("""COMPUTED_VALUE"""),"Good")</f>
        <v>Good</v>
      </c>
      <c r="AC3578" s="183"/>
      <c r="AD3578" s="183"/>
      <c r="AE3578" s="183"/>
      <c r="AF3578" s="184"/>
      <c r="AG3578" s="180"/>
      <c r="AH3578" s="185">
        <f>IFERROR(__xludf.DUMMYFUNCTION("""COMPUTED_VALUE"""),43230.57974824074)</f>
        <v>43230.57975</v>
      </c>
      <c r="AI3578" s="182"/>
      <c r="AJ3578" s="182"/>
      <c r="AK3578" s="182"/>
      <c r="AL3578" s="182"/>
    </row>
    <row r="3579" ht="20.25" customHeight="1">
      <c r="A3579" s="169" t="str">
        <f>IFERROR(__xludf.DUMMYFUNCTION("""COMPUTED_VALUE"""),"jbburgess")</f>
        <v>jbburgess</v>
      </c>
      <c r="B3579" s="170" t="str">
        <f>IFERROR(__xludf.DUMMYFUNCTION("""COMPUTED_VALUE"""),"Reno")</f>
        <v>Reno</v>
      </c>
      <c r="C3579" s="170" t="str">
        <f>IFERROR(__xludf.DUMMYFUNCTION("""COMPUTED_VALUE"""),"NV")</f>
        <v>NV</v>
      </c>
      <c r="D3579" s="170" t="str">
        <f>IFERROR(__xludf.DUMMYFUNCTION("""COMPUTED_VALUE"""),"USA")</f>
        <v>USA</v>
      </c>
      <c r="E3579" s="171">
        <f>IFERROR(__xludf.DUMMYFUNCTION("""COMPUTED_VALUE"""),43200.0)</f>
        <v>43200</v>
      </c>
      <c r="F3579" s="172">
        <f>IFERROR(__xludf.DUMMYFUNCTION("""COMPUTED_VALUE"""),43202.0)</f>
        <v>43202</v>
      </c>
      <c r="G3579" s="173"/>
      <c r="H3579" s="174">
        <f>IFERROR(__xludf.DUMMYFUNCTION("""COMPUTED_VALUE"""),18355.0)</f>
        <v>18355</v>
      </c>
      <c r="I3579" s="175"/>
      <c r="J3579" s="172">
        <f>IFERROR(__xludf.DUMMYFUNCTION("""COMPUTED_VALUE"""),43216.0)</f>
        <v>43216</v>
      </c>
      <c r="K3579" s="176">
        <f>IFERROR(__xludf.DUMMYFUNCTION("""COMPUTED_VALUE"""),2.0)</f>
        <v>2</v>
      </c>
      <c r="L3579" s="176">
        <f>IFERROR(__xludf.DUMMYFUNCTION("""COMPUTED_VALUE"""),14.0)</f>
        <v>14</v>
      </c>
      <c r="M3579" s="176">
        <f>IFERROR(__xludf.DUMMYFUNCTION("""COMPUTED_VALUE"""),16.0)</f>
        <v>16</v>
      </c>
      <c r="N3579" s="177" t="str">
        <f>IFERROR(__xludf.DUMMYFUNCTION("""COMPUTED_VALUE"""),"Model 3 LR")</f>
        <v>Model 3 LR</v>
      </c>
      <c r="O3579" s="177" t="str">
        <f>IFERROR(__xludf.DUMMYFUNCTION("""COMPUTED_VALUE"""),"Pearl White Multi-Coat")</f>
        <v>Pearl White Multi-Coat</v>
      </c>
      <c r="P3579" s="178" t="str">
        <f>IFERROR(__xludf.DUMMYFUNCTION("""COMPUTED_VALUE"""),"19 inch Sport")</f>
        <v>19 inch Sport</v>
      </c>
      <c r="Q3579" s="177" t="str">
        <f>IFERROR(__xludf.DUMMYFUNCTION("""COMPUTED_VALUE"""),"Black seats")</f>
        <v>Black seats</v>
      </c>
      <c r="R3579" s="170" t="str">
        <f>IFERROR(__xludf.DUMMYFUNCTION("""COMPUTED_VALUE"""),"None")</f>
        <v>None</v>
      </c>
      <c r="S3579" s="170"/>
      <c r="T3579" s="179"/>
      <c r="U3579" s="179"/>
      <c r="V3579" s="179"/>
      <c r="W3579" s="180"/>
      <c r="X3579" s="181" t="str">
        <f>IFERROR(__xludf.DUMMYFUNCTION("""COMPUTED_VALUE"""),"Very Good")</f>
        <v>Very Good</v>
      </c>
      <c r="Y3579" s="182" t="str">
        <f>IFERROR(__xludf.DUMMYFUNCTION("""COMPUTED_VALUE"""),"Excellent")</f>
        <v>Excellent</v>
      </c>
      <c r="Z3579" s="182" t="str">
        <f>IFERROR(__xludf.DUMMYFUNCTION("""COMPUTED_VALUE"""),"Excellent")</f>
        <v>Excellent</v>
      </c>
      <c r="AA3579" s="182"/>
      <c r="AB3579" s="182" t="str">
        <f>IFERROR(__xludf.DUMMYFUNCTION("""COMPUTED_VALUE"""),"Excellent")</f>
        <v>Excellent</v>
      </c>
      <c r="AC3579" s="183"/>
      <c r="AD3579" s="183"/>
      <c r="AE3579" s="183"/>
      <c r="AF3579" s="184"/>
      <c r="AG3579" s="180" t="str">
        <f>IFERROR(__xludf.DUMMYFUNCTION("""COMPUTED_VALUE"""),"Lived in SF Bay Area on 3/31/16, reserved at Dublin, CA showroom.")</f>
        <v>Lived in SF Bay Area on 3/31/16, reserved at Dublin, CA showroom.</v>
      </c>
      <c r="AH3579" s="185">
        <f>IFERROR(__xludf.DUMMYFUNCTION("""COMPUTED_VALUE"""),43223.40782649306)</f>
        <v>43223.40783</v>
      </c>
      <c r="AI3579" s="182"/>
      <c r="AJ3579" s="182"/>
      <c r="AK3579" s="182"/>
      <c r="AL3579" s="182"/>
    </row>
    <row r="3580" ht="20.25" customHeight="1">
      <c r="A3580" s="169" t="str">
        <f>IFERROR(__xludf.DUMMYFUNCTION("""COMPUTED_VALUE"""),"nbarbettini")</f>
        <v>nbarbettini</v>
      </c>
      <c r="B3580" s="170" t="str">
        <f>IFERROR(__xludf.DUMMYFUNCTION("""COMPUTED_VALUE"""),"San Francisco")</f>
        <v>San Francisco</v>
      </c>
      <c r="C3580" s="170" t="str">
        <f>IFERROR(__xludf.DUMMYFUNCTION("""COMPUTED_VALUE"""),"CA")</f>
        <v>CA</v>
      </c>
      <c r="D3580" s="170" t="str">
        <f>IFERROR(__xludf.DUMMYFUNCTION("""COMPUTED_VALUE"""),"USA")</f>
        <v>USA</v>
      </c>
      <c r="E3580" s="171">
        <f>IFERROR(__xludf.DUMMYFUNCTION("""COMPUTED_VALUE"""),43200.0)</f>
        <v>43200</v>
      </c>
      <c r="F3580" s="172">
        <f>IFERROR(__xludf.DUMMYFUNCTION("""COMPUTED_VALUE"""),43230.0)</f>
        <v>43230</v>
      </c>
      <c r="G3580" s="173"/>
      <c r="H3580" s="174">
        <f>IFERROR(__xludf.DUMMYFUNCTION("""COMPUTED_VALUE"""),22665.0)</f>
        <v>22665</v>
      </c>
      <c r="I3580" s="175"/>
      <c r="J3580" s="172">
        <f>IFERROR(__xludf.DUMMYFUNCTION("""COMPUTED_VALUE"""),43235.0)</f>
        <v>43235</v>
      </c>
      <c r="K3580" s="176">
        <f>IFERROR(__xludf.DUMMYFUNCTION("""COMPUTED_VALUE"""),30.0)</f>
        <v>30</v>
      </c>
      <c r="L3580" s="176">
        <f>IFERROR(__xludf.DUMMYFUNCTION("""COMPUTED_VALUE"""),5.0)</f>
        <v>5</v>
      </c>
      <c r="M3580" s="176">
        <f>IFERROR(__xludf.DUMMYFUNCTION("""COMPUTED_VALUE"""),35.0)</f>
        <v>35</v>
      </c>
      <c r="N3580" s="177" t="str">
        <f>IFERROR(__xludf.DUMMYFUNCTION("""COMPUTED_VALUE"""),"Model 3 LR")</f>
        <v>Model 3 LR</v>
      </c>
      <c r="O3580" s="177" t="str">
        <f>IFERROR(__xludf.DUMMYFUNCTION("""COMPUTED_VALUE"""),"Deep Blue Metallic")</f>
        <v>Deep Blue Metallic</v>
      </c>
      <c r="P3580" s="178" t="str">
        <f>IFERROR(__xludf.DUMMYFUNCTION("""COMPUTED_VALUE"""),"18 inch Aero")</f>
        <v>18 inch Aero</v>
      </c>
      <c r="Q3580" s="177" t="str">
        <f>IFERROR(__xludf.DUMMYFUNCTION("""COMPUTED_VALUE"""),"Black seats")</f>
        <v>Black seats</v>
      </c>
      <c r="R3580" s="170" t="str">
        <f>IFERROR(__xludf.DUMMYFUNCTION("""COMPUTED_VALUE"""),"Enhanced Autopilot")</f>
        <v>Enhanced Autopilot</v>
      </c>
      <c r="S3580" s="170"/>
      <c r="T3580" s="179"/>
      <c r="U3580" s="179"/>
      <c r="V3580" s="179"/>
      <c r="W3580" s="180"/>
      <c r="X3580" s="181" t="str">
        <f>IFERROR(__xludf.DUMMYFUNCTION("""COMPUTED_VALUE"""),"Very Good")</f>
        <v>Very Good</v>
      </c>
      <c r="Y3580" s="182" t="str">
        <f>IFERROR(__xludf.DUMMYFUNCTION("""COMPUTED_VALUE"""),"Excellent")</f>
        <v>Excellent</v>
      </c>
      <c r="Z3580" s="182" t="str">
        <f>IFERROR(__xludf.DUMMYFUNCTION("""COMPUTED_VALUE"""),"Very Good")</f>
        <v>Very Good</v>
      </c>
      <c r="AA3580" s="182"/>
      <c r="AB3580" s="182" t="str">
        <f>IFERROR(__xludf.DUMMYFUNCTION("""COMPUTED_VALUE"""),"Very Good")</f>
        <v>Very Good</v>
      </c>
      <c r="AC3580" s="183"/>
      <c r="AD3580" s="183"/>
      <c r="AE3580" s="183"/>
      <c r="AF3580" s="184"/>
      <c r="AG3580" s="180"/>
      <c r="AH3580" s="185">
        <f>IFERROR(__xludf.DUMMYFUNCTION("""COMPUTED_VALUE"""),43235.9458393287)</f>
        <v>43235.94584</v>
      </c>
      <c r="AI3580" s="182"/>
      <c r="AJ3580" s="182"/>
      <c r="AK3580" s="182"/>
      <c r="AL3580" s="182"/>
    </row>
    <row r="3581" ht="20.25" customHeight="1">
      <c r="A3581" s="169" t="str">
        <f>IFERROR(__xludf.DUMMYFUNCTION("""COMPUTED_VALUE"""),"nogajim ")</f>
        <v>nogajim </v>
      </c>
      <c r="B3581" s="170" t="str">
        <f>IFERROR(__xludf.DUMMYFUNCTION("""COMPUTED_VALUE"""),"Atlanta ")</f>
        <v>Atlanta </v>
      </c>
      <c r="C3581" s="170" t="str">
        <f>IFERROR(__xludf.DUMMYFUNCTION("""COMPUTED_VALUE"""),"GA")</f>
        <v>GA</v>
      </c>
      <c r="D3581" s="170" t="str">
        <f>IFERROR(__xludf.DUMMYFUNCTION("""COMPUTED_VALUE"""),"USA")</f>
        <v>USA</v>
      </c>
      <c r="E3581" s="171">
        <f>IFERROR(__xludf.DUMMYFUNCTION("""COMPUTED_VALUE"""),43200.0)</f>
        <v>43200</v>
      </c>
      <c r="F3581" s="172">
        <f>IFERROR(__xludf.DUMMYFUNCTION("""COMPUTED_VALUE"""),43234.0)</f>
        <v>43234</v>
      </c>
      <c r="G3581" s="173"/>
      <c r="H3581" s="174">
        <f>IFERROR(__xludf.DUMMYFUNCTION("""COMPUTED_VALUE"""),22455.0)</f>
        <v>22455</v>
      </c>
      <c r="I3581" s="175"/>
      <c r="J3581" s="172">
        <f>IFERROR(__xludf.DUMMYFUNCTION("""COMPUTED_VALUE"""),43253.0)</f>
        <v>43253</v>
      </c>
      <c r="K3581" s="176">
        <f>IFERROR(__xludf.DUMMYFUNCTION("""COMPUTED_VALUE"""),34.0)</f>
        <v>34</v>
      </c>
      <c r="L3581" s="176">
        <f>IFERROR(__xludf.DUMMYFUNCTION("""COMPUTED_VALUE"""),19.0)</f>
        <v>19</v>
      </c>
      <c r="M3581" s="176">
        <f>IFERROR(__xludf.DUMMYFUNCTION("""COMPUTED_VALUE"""),53.0)</f>
        <v>53</v>
      </c>
      <c r="N3581" s="177" t="str">
        <f>IFERROR(__xludf.DUMMYFUNCTION("""COMPUTED_VALUE"""),"Model 3 LR")</f>
        <v>Model 3 LR</v>
      </c>
      <c r="O3581" s="177" t="str">
        <f>IFERROR(__xludf.DUMMYFUNCTION("""COMPUTED_VALUE"""),"Red Multi-Coat")</f>
        <v>Red Multi-Coat</v>
      </c>
      <c r="P3581" s="178" t="str">
        <f>IFERROR(__xludf.DUMMYFUNCTION("""COMPUTED_VALUE"""),"18 inch Aero")</f>
        <v>18 inch Aero</v>
      </c>
      <c r="Q3581" s="177" t="str">
        <f>IFERROR(__xludf.DUMMYFUNCTION("""COMPUTED_VALUE"""),"Black seats")</f>
        <v>Black seats</v>
      </c>
      <c r="R3581" s="170" t="str">
        <f>IFERROR(__xludf.DUMMYFUNCTION("""COMPUTED_VALUE"""),"Enhanced Autopilot")</f>
        <v>Enhanced Autopilot</v>
      </c>
      <c r="S3581" s="170"/>
      <c r="T3581" s="179"/>
      <c r="U3581" s="179"/>
      <c r="V3581" s="179"/>
      <c r="W3581" s="180"/>
      <c r="X3581" s="181" t="str">
        <f>IFERROR(__xludf.DUMMYFUNCTION("""COMPUTED_VALUE"""),"Excellent")</f>
        <v>Excellent</v>
      </c>
      <c r="Y3581" s="182" t="str">
        <f>IFERROR(__xludf.DUMMYFUNCTION("""COMPUTED_VALUE"""),"Excellent")</f>
        <v>Excellent</v>
      </c>
      <c r="Z3581" s="182" t="str">
        <f>IFERROR(__xludf.DUMMYFUNCTION("""COMPUTED_VALUE"""),"Good")</f>
        <v>Good</v>
      </c>
      <c r="AA3581" s="182" t="str">
        <f>IFERROR(__xludf.DUMMYFUNCTION("""COMPUTED_VALUE"""),"Fair")</f>
        <v>Fair</v>
      </c>
      <c r="AB3581" s="182" t="str">
        <f>IFERROR(__xludf.DUMMYFUNCTION("""COMPUTED_VALUE"""),"Good")</f>
        <v>Good</v>
      </c>
      <c r="AC3581" s="183"/>
      <c r="AD3581" s="183"/>
      <c r="AE3581" s="183"/>
      <c r="AF3581" s="184"/>
      <c r="AG3581" s="180"/>
      <c r="AH3581" s="185">
        <f>IFERROR(__xludf.DUMMYFUNCTION("""COMPUTED_VALUE"""),43254.24407778935)</f>
        <v>43254.24408</v>
      </c>
      <c r="AI3581" s="182"/>
      <c r="AJ3581" s="182"/>
      <c r="AK3581" s="182"/>
      <c r="AL3581" s="182"/>
    </row>
    <row r="3582" ht="20.25" customHeight="1">
      <c r="A3582" s="169" t="str">
        <f>IFERROR(__xludf.DUMMYFUNCTION("""COMPUTED_VALUE"""),"Polly Wog")</f>
        <v>Polly Wog</v>
      </c>
      <c r="B3582" s="170" t="str">
        <f>IFERROR(__xludf.DUMMYFUNCTION("""COMPUTED_VALUE"""),"Kihei")</f>
        <v>Kihei</v>
      </c>
      <c r="C3582" s="170" t="str">
        <f>IFERROR(__xludf.DUMMYFUNCTION("""COMPUTED_VALUE"""),"HI")</f>
        <v>HI</v>
      </c>
      <c r="D3582" s="170" t="str">
        <f>IFERROR(__xludf.DUMMYFUNCTION("""COMPUTED_VALUE"""),"USA")</f>
        <v>USA</v>
      </c>
      <c r="E3582" s="171">
        <f>IFERROR(__xludf.DUMMYFUNCTION("""COMPUTED_VALUE"""),43200.0)</f>
        <v>43200</v>
      </c>
      <c r="F3582" s="172">
        <f>IFERROR(__xludf.DUMMYFUNCTION("""COMPUTED_VALUE"""),43233.0)</f>
        <v>43233</v>
      </c>
      <c r="G3582" s="173"/>
      <c r="H3582" s="174">
        <f>IFERROR(__xludf.DUMMYFUNCTION("""COMPUTED_VALUE"""),22055.0)</f>
        <v>22055</v>
      </c>
      <c r="I3582" s="175" t="str">
        <f>IFERROR(__xludf.DUMMYFUNCTION("""COMPUTED_VALUE"""),"05/18")</f>
        <v>05/18</v>
      </c>
      <c r="J3582" s="172">
        <f>IFERROR(__xludf.DUMMYFUNCTION("""COMPUTED_VALUE"""),43270.0)</f>
        <v>43270</v>
      </c>
      <c r="K3582" s="176">
        <f>IFERROR(__xludf.DUMMYFUNCTION("""COMPUTED_VALUE"""),33.0)</f>
        <v>33</v>
      </c>
      <c r="L3582" s="176">
        <f>IFERROR(__xludf.DUMMYFUNCTION("""COMPUTED_VALUE"""),37.0)</f>
        <v>37</v>
      </c>
      <c r="M3582" s="176">
        <f>IFERROR(__xludf.DUMMYFUNCTION("""COMPUTED_VALUE"""),70.0)</f>
        <v>70</v>
      </c>
      <c r="N3582" s="177" t="str">
        <f>IFERROR(__xludf.DUMMYFUNCTION("""COMPUTED_VALUE"""),"Model 3 LR")</f>
        <v>Model 3 LR</v>
      </c>
      <c r="O3582" s="177" t="str">
        <f>IFERROR(__xludf.DUMMYFUNCTION("""COMPUTED_VALUE"""),"Red Multi-Coat")</f>
        <v>Red Multi-Coat</v>
      </c>
      <c r="P3582" s="178" t="str">
        <f>IFERROR(__xludf.DUMMYFUNCTION("""COMPUTED_VALUE"""),"18 inch Aero")</f>
        <v>18 inch Aero</v>
      </c>
      <c r="Q3582" s="177" t="str">
        <f>IFERROR(__xludf.DUMMYFUNCTION("""COMPUTED_VALUE"""),"Black seats")</f>
        <v>Black seats</v>
      </c>
      <c r="R3582" s="170" t="str">
        <f>IFERROR(__xludf.DUMMYFUNCTION("""COMPUTED_VALUE"""),"Enhanced Autopilot")</f>
        <v>Enhanced Autopilot</v>
      </c>
      <c r="S3582" s="170"/>
      <c r="T3582" s="179"/>
      <c r="U3582" s="179"/>
      <c r="V3582" s="179"/>
      <c r="W3582" s="180"/>
      <c r="X3582" s="181" t="str">
        <f>IFERROR(__xludf.DUMMYFUNCTION("""COMPUTED_VALUE"""),"Excellent")</f>
        <v>Excellent</v>
      </c>
      <c r="Y3582" s="182" t="str">
        <f>IFERROR(__xludf.DUMMYFUNCTION("""COMPUTED_VALUE"""),"Excellent")</f>
        <v>Excellent</v>
      </c>
      <c r="Z3582" s="182" t="str">
        <f>IFERROR(__xludf.DUMMYFUNCTION("""COMPUTED_VALUE"""),"Excellent")</f>
        <v>Excellent</v>
      </c>
      <c r="AA3582" s="182" t="str">
        <f>IFERROR(__xludf.DUMMYFUNCTION("""COMPUTED_VALUE"""),"Very Good")</f>
        <v>Very Good</v>
      </c>
      <c r="AB3582" s="182" t="str">
        <f>IFERROR(__xludf.DUMMYFUNCTION("""COMPUTED_VALUE"""),"Excellent")</f>
        <v>Excellent</v>
      </c>
      <c r="AC3582" s="183"/>
      <c r="AD3582" s="183"/>
      <c r="AE3582" s="183"/>
      <c r="AF3582" s="184"/>
      <c r="AG3582" s="180"/>
      <c r="AH3582" s="185">
        <f>IFERROR(__xludf.DUMMYFUNCTION("""COMPUTED_VALUE"""),43270.722556203706)</f>
        <v>43270.72256</v>
      </c>
      <c r="AI3582" s="182"/>
      <c r="AJ3582" s="182"/>
      <c r="AK3582" s="182"/>
      <c r="AL3582" s="182"/>
    </row>
    <row r="3583" ht="20.25" customHeight="1">
      <c r="A3583" s="169" t="str">
        <f>IFERROR(__xludf.DUMMYFUNCTION("""COMPUTED_VALUE"""),"Scowler")</f>
        <v>Scowler</v>
      </c>
      <c r="B3583" s="170" t="str">
        <f>IFERROR(__xludf.DUMMYFUNCTION("""COMPUTED_VALUE"""),"Bay Area")</f>
        <v>Bay Area</v>
      </c>
      <c r="C3583" s="170" t="str">
        <f>IFERROR(__xludf.DUMMYFUNCTION("""COMPUTED_VALUE"""),"CA")</f>
        <v>CA</v>
      </c>
      <c r="D3583" s="170" t="str">
        <f>IFERROR(__xludf.DUMMYFUNCTION("""COMPUTED_VALUE"""),"USA")</f>
        <v>USA</v>
      </c>
      <c r="E3583" s="171">
        <f>IFERROR(__xludf.DUMMYFUNCTION("""COMPUTED_VALUE"""),43200.0)</f>
        <v>43200</v>
      </c>
      <c r="F3583" s="172">
        <f>IFERROR(__xludf.DUMMYFUNCTION("""COMPUTED_VALUE"""),43229.0)</f>
        <v>43229</v>
      </c>
      <c r="G3583" s="173"/>
      <c r="H3583" s="174">
        <f>IFERROR(__xludf.DUMMYFUNCTION("""COMPUTED_VALUE"""),21655.0)</f>
        <v>21655</v>
      </c>
      <c r="I3583" s="175"/>
      <c r="J3583" s="172">
        <f>IFERROR(__xludf.DUMMYFUNCTION("""COMPUTED_VALUE"""),43238.0)</f>
        <v>43238</v>
      </c>
      <c r="K3583" s="176">
        <f>IFERROR(__xludf.DUMMYFUNCTION("""COMPUTED_VALUE"""),29.0)</f>
        <v>29</v>
      </c>
      <c r="L3583" s="176">
        <f>IFERROR(__xludf.DUMMYFUNCTION("""COMPUTED_VALUE"""),9.0)</f>
        <v>9</v>
      </c>
      <c r="M3583" s="176">
        <f>IFERROR(__xludf.DUMMYFUNCTION("""COMPUTED_VALUE"""),38.0)</f>
        <v>38</v>
      </c>
      <c r="N3583" s="177" t="str">
        <f>IFERROR(__xludf.DUMMYFUNCTION("""COMPUTED_VALUE"""),"Model 3 LR")</f>
        <v>Model 3 LR</v>
      </c>
      <c r="O3583" s="177" t="str">
        <f>IFERROR(__xludf.DUMMYFUNCTION("""COMPUTED_VALUE"""),"Midnight Silver Metallic")</f>
        <v>Midnight Silver Metallic</v>
      </c>
      <c r="P3583" s="178" t="str">
        <f>IFERROR(__xludf.DUMMYFUNCTION("""COMPUTED_VALUE"""),"18 inch Aero")</f>
        <v>18 inch Aero</v>
      </c>
      <c r="Q3583" s="177" t="str">
        <f>IFERROR(__xludf.DUMMYFUNCTION("""COMPUTED_VALUE"""),"Black seats")</f>
        <v>Black seats</v>
      </c>
      <c r="R3583" s="170" t="str">
        <f>IFERROR(__xludf.DUMMYFUNCTION("""COMPUTED_VALUE"""),"None")</f>
        <v>None</v>
      </c>
      <c r="S3583" s="170"/>
      <c r="T3583" s="179"/>
      <c r="U3583" s="179"/>
      <c r="V3583" s="179"/>
      <c r="W3583" s="180"/>
      <c r="X3583" s="181" t="str">
        <f>IFERROR(__xludf.DUMMYFUNCTION("""COMPUTED_VALUE"""),"Very Good")</f>
        <v>Very Good</v>
      </c>
      <c r="Y3583" s="182" t="str">
        <f>IFERROR(__xludf.DUMMYFUNCTION("""COMPUTED_VALUE"""),"Very Good")</f>
        <v>Very Good</v>
      </c>
      <c r="Z3583" s="182" t="str">
        <f>IFERROR(__xludf.DUMMYFUNCTION("""COMPUTED_VALUE"""),"Very Good")</f>
        <v>Very Good</v>
      </c>
      <c r="AA3583" s="182"/>
      <c r="AB3583" s="182" t="str">
        <f>IFERROR(__xludf.DUMMYFUNCTION("""COMPUTED_VALUE"""),"Good")</f>
        <v>Good</v>
      </c>
      <c r="AC3583" s="183"/>
      <c r="AD3583" s="183"/>
      <c r="AE3583" s="183"/>
      <c r="AF3583" s="184"/>
      <c r="AG3583" s="180"/>
      <c r="AH3583" s="185">
        <f>IFERROR(__xludf.DUMMYFUNCTION("""COMPUTED_VALUE"""),43239.66604858797)</f>
        <v>43239.66605</v>
      </c>
      <c r="AI3583" s="182"/>
      <c r="AJ3583" s="182"/>
      <c r="AK3583" s="182"/>
      <c r="AL3583" s="182"/>
    </row>
    <row r="3584" ht="20.25" customHeight="1">
      <c r="A3584" s="169" t="str">
        <f>IFERROR(__xludf.DUMMYFUNCTION("""COMPUTED_VALUE"""),"seionannon")</f>
        <v>seionannon</v>
      </c>
      <c r="B3584" s="170" t="str">
        <f>IFERROR(__xludf.DUMMYFUNCTION("""COMPUTED_VALUE"""),"SF Bay Area")</f>
        <v>SF Bay Area</v>
      </c>
      <c r="C3584" s="170" t="str">
        <f>IFERROR(__xludf.DUMMYFUNCTION("""COMPUTED_VALUE"""),"CA")</f>
        <v>CA</v>
      </c>
      <c r="D3584" s="170" t="str">
        <f>IFERROR(__xludf.DUMMYFUNCTION("""COMPUTED_VALUE"""),"USA")</f>
        <v>USA</v>
      </c>
      <c r="E3584" s="171">
        <f>IFERROR(__xludf.DUMMYFUNCTION("""COMPUTED_VALUE"""),43200.0)</f>
        <v>43200</v>
      </c>
      <c r="F3584" s="172">
        <f>IFERROR(__xludf.DUMMYFUNCTION("""COMPUTED_VALUE"""),43200.0)</f>
        <v>43200</v>
      </c>
      <c r="G3584" s="173"/>
      <c r="H3584" s="174">
        <f>IFERROR(__xludf.DUMMYFUNCTION("""COMPUTED_VALUE"""),15555.0)</f>
        <v>15555</v>
      </c>
      <c r="I3584" s="175"/>
      <c r="J3584" s="172">
        <f>IFERROR(__xludf.DUMMYFUNCTION("""COMPUTED_VALUE"""),43219.0)</f>
        <v>43219</v>
      </c>
      <c r="K3584" s="176">
        <f>IFERROR(__xludf.DUMMYFUNCTION("""COMPUTED_VALUE"""),0.0)</f>
        <v>0</v>
      </c>
      <c r="L3584" s="176">
        <f>IFERROR(__xludf.DUMMYFUNCTION("""COMPUTED_VALUE"""),19.0)</f>
        <v>19</v>
      </c>
      <c r="M3584" s="176">
        <f>IFERROR(__xludf.DUMMYFUNCTION("""COMPUTED_VALUE"""),19.0)</f>
        <v>19</v>
      </c>
      <c r="N3584" s="177" t="str">
        <f>IFERROR(__xludf.DUMMYFUNCTION("""COMPUTED_VALUE"""),"Model 3 LR")</f>
        <v>Model 3 LR</v>
      </c>
      <c r="O3584" s="177" t="str">
        <f>IFERROR(__xludf.DUMMYFUNCTION("""COMPUTED_VALUE"""),"Deep Blue Metallic")</f>
        <v>Deep Blue Metallic</v>
      </c>
      <c r="P3584" s="178" t="str">
        <f>IFERROR(__xludf.DUMMYFUNCTION("""COMPUTED_VALUE"""),"19 inch Sport")</f>
        <v>19 inch Sport</v>
      </c>
      <c r="Q3584" s="177" t="str">
        <f>IFERROR(__xludf.DUMMYFUNCTION("""COMPUTED_VALUE"""),"Black seats")</f>
        <v>Black seats</v>
      </c>
      <c r="R3584" s="170" t="str">
        <f>IFERROR(__xludf.DUMMYFUNCTION("""COMPUTED_VALUE"""),"Enhanced Autopilot")</f>
        <v>Enhanced Autopilot</v>
      </c>
      <c r="S3584" s="170"/>
      <c r="T3584" s="179"/>
      <c r="U3584" s="179"/>
      <c r="V3584" s="179"/>
      <c r="W3584" s="180"/>
      <c r="X3584" s="181" t="str">
        <f>IFERROR(__xludf.DUMMYFUNCTION("""COMPUTED_VALUE"""),"Excellent")</f>
        <v>Excellent</v>
      </c>
      <c r="Y3584" s="182" t="str">
        <f>IFERROR(__xludf.DUMMYFUNCTION("""COMPUTED_VALUE"""),"Very Good")</f>
        <v>Very Good</v>
      </c>
      <c r="Z3584" s="182" t="str">
        <f>IFERROR(__xludf.DUMMYFUNCTION("""COMPUTED_VALUE"""),"Very Good")</f>
        <v>Very Good</v>
      </c>
      <c r="AA3584" s="182"/>
      <c r="AB3584" s="182" t="str">
        <f>IFERROR(__xludf.DUMMYFUNCTION("""COMPUTED_VALUE"""),"Fair")</f>
        <v>Fair</v>
      </c>
      <c r="AC3584" s="183"/>
      <c r="AD3584" s="183"/>
      <c r="AE3584" s="183"/>
      <c r="AF3584" s="184"/>
      <c r="AG3584" s="180"/>
      <c r="AH3584" s="185">
        <f>IFERROR(__xludf.DUMMYFUNCTION("""COMPUTED_VALUE"""),43229.54314505787)</f>
        <v>43229.54315</v>
      </c>
      <c r="AI3584" s="182"/>
      <c r="AJ3584" s="182"/>
      <c r="AK3584" s="182"/>
      <c r="AL3584" s="182"/>
    </row>
    <row r="3585" ht="20.25" customHeight="1">
      <c r="A3585" s="169" t="str">
        <f>IFERROR(__xludf.DUMMYFUNCTION("""COMPUTED_VALUE"""),"syncnite")</f>
        <v>syncnite</v>
      </c>
      <c r="B3585" s="170" t="str">
        <f>IFERROR(__xludf.DUMMYFUNCTION("""COMPUTED_VALUE"""),"San Jose")</f>
        <v>San Jose</v>
      </c>
      <c r="C3585" s="170" t="str">
        <f>IFERROR(__xludf.DUMMYFUNCTION("""COMPUTED_VALUE"""),"CA")</f>
        <v>CA</v>
      </c>
      <c r="D3585" s="170" t="str">
        <f>IFERROR(__xludf.DUMMYFUNCTION("""COMPUTED_VALUE"""),"USA")</f>
        <v>USA</v>
      </c>
      <c r="E3585" s="171">
        <f>IFERROR(__xludf.DUMMYFUNCTION("""COMPUTED_VALUE"""),43200.0)</f>
        <v>43200</v>
      </c>
      <c r="F3585" s="172">
        <f>IFERROR(__xludf.DUMMYFUNCTION("""COMPUTED_VALUE"""),43217.0)</f>
        <v>43217</v>
      </c>
      <c r="G3585" s="173"/>
      <c r="H3585" s="174">
        <f>IFERROR(__xludf.DUMMYFUNCTION("""COMPUTED_VALUE"""),17055.0)</f>
        <v>17055</v>
      </c>
      <c r="I3585" s="175"/>
      <c r="J3585" s="172">
        <f>IFERROR(__xludf.DUMMYFUNCTION("""COMPUTED_VALUE"""),43224.0)</f>
        <v>43224</v>
      </c>
      <c r="K3585" s="176">
        <f>IFERROR(__xludf.DUMMYFUNCTION("""COMPUTED_VALUE"""),17.0)</f>
        <v>17</v>
      </c>
      <c r="L3585" s="176">
        <f>IFERROR(__xludf.DUMMYFUNCTION("""COMPUTED_VALUE"""),7.0)</f>
        <v>7</v>
      </c>
      <c r="M3585" s="176">
        <f>IFERROR(__xludf.DUMMYFUNCTION("""COMPUTED_VALUE"""),24.0)</f>
        <v>24</v>
      </c>
      <c r="N3585" s="177" t="str">
        <f>IFERROR(__xludf.DUMMYFUNCTION("""COMPUTED_VALUE"""),"Model 3 LR")</f>
        <v>Model 3 LR</v>
      </c>
      <c r="O3585" s="177" t="str">
        <f>IFERROR(__xludf.DUMMYFUNCTION("""COMPUTED_VALUE"""),"Deep Blue Metallic")</f>
        <v>Deep Blue Metallic</v>
      </c>
      <c r="P3585" s="178" t="str">
        <f>IFERROR(__xludf.DUMMYFUNCTION("""COMPUTED_VALUE"""),"18 inch Aero")</f>
        <v>18 inch Aero</v>
      </c>
      <c r="Q3585" s="177" t="str">
        <f>IFERROR(__xludf.DUMMYFUNCTION("""COMPUTED_VALUE"""),"Black seats")</f>
        <v>Black seats</v>
      </c>
      <c r="R3585" s="170" t="str">
        <f>IFERROR(__xludf.DUMMYFUNCTION("""COMPUTED_VALUE"""),"Enhanced Autopilot")</f>
        <v>Enhanced Autopilot</v>
      </c>
      <c r="S3585" s="170"/>
      <c r="T3585" s="179"/>
      <c r="U3585" s="179"/>
      <c r="V3585" s="179"/>
      <c r="W3585" s="180"/>
      <c r="X3585" s="181" t="str">
        <f>IFERROR(__xludf.DUMMYFUNCTION("""COMPUTED_VALUE"""),"Excellent")</f>
        <v>Excellent</v>
      </c>
      <c r="Y3585" s="182" t="str">
        <f>IFERROR(__xludf.DUMMYFUNCTION("""COMPUTED_VALUE"""),"Very Good")</f>
        <v>Very Good</v>
      </c>
      <c r="Z3585" s="182" t="str">
        <f>IFERROR(__xludf.DUMMYFUNCTION("""COMPUTED_VALUE"""),"Excellent")</f>
        <v>Excellent</v>
      </c>
      <c r="AA3585" s="182"/>
      <c r="AB3585" s="182" t="str">
        <f>IFERROR(__xludf.DUMMYFUNCTION("""COMPUTED_VALUE"""),"Excellent")</f>
        <v>Excellent</v>
      </c>
      <c r="AC3585" s="183"/>
      <c r="AD3585" s="183"/>
      <c r="AE3585" s="183"/>
      <c r="AF3585" s="184"/>
      <c r="AG3585" s="180"/>
      <c r="AH3585" s="185">
        <f>IFERROR(__xludf.DUMMYFUNCTION("""COMPUTED_VALUE"""),43229.622160520834)</f>
        <v>43229.62216</v>
      </c>
      <c r="AI3585" s="182"/>
      <c r="AJ3585" s="182"/>
      <c r="AK3585" s="182"/>
      <c r="AL3585" s="182"/>
    </row>
    <row r="3586" ht="20.25" customHeight="1">
      <c r="A3586" s="169" t="str">
        <f>IFERROR(__xludf.DUMMYFUNCTION("""COMPUTED_VALUE"""),"Telsa")</f>
        <v>Telsa</v>
      </c>
      <c r="B3586" s="170" t="str">
        <f>IFERROR(__xludf.DUMMYFUNCTION("""COMPUTED_VALUE"""),"North Bay")</f>
        <v>North Bay</v>
      </c>
      <c r="C3586" s="170" t="str">
        <f>IFERROR(__xludf.DUMMYFUNCTION("""COMPUTED_VALUE"""),"CA")</f>
        <v>CA</v>
      </c>
      <c r="D3586" s="170" t="str">
        <f>IFERROR(__xludf.DUMMYFUNCTION("""COMPUTED_VALUE"""),"USA")</f>
        <v>USA</v>
      </c>
      <c r="E3586" s="171">
        <f>IFERROR(__xludf.DUMMYFUNCTION("""COMPUTED_VALUE"""),43200.0)</f>
        <v>43200</v>
      </c>
      <c r="F3586" s="172">
        <f>IFERROR(__xludf.DUMMYFUNCTION("""COMPUTED_VALUE"""),43234.0)</f>
        <v>43234</v>
      </c>
      <c r="G3586" s="173"/>
      <c r="H3586" s="174">
        <f>IFERROR(__xludf.DUMMYFUNCTION("""COMPUTED_VALUE"""),22955.0)</f>
        <v>22955</v>
      </c>
      <c r="I3586" s="175"/>
      <c r="J3586" s="172">
        <f>IFERROR(__xludf.DUMMYFUNCTION("""COMPUTED_VALUE"""),43236.0)</f>
        <v>43236</v>
      </c>
      <c r="K3586" s="176">
        <f>IFERROR(__xludf.DUMMYFUNCTION("""COMPUTED_VALUE"""),34.0)</f>
        <v>34</v>
      </c>
      <c r="L3586" s="176">
        <f>IFERROR(__xludf.DUMMYFUNCTION("""COMPUTED_VALUE"""),2.0)</f>
        <v>2</v>
      </c>
      <c r="M3586" s="176">
        <f>IFERROR(__xludf.DUMMYFUNCTION("""COMPUTED_VALUE"""),36.0)</f>
        <v>36</v>
      </c>
      <c r="N3586" s="177" t="str">
        <f>IFERROR(__xludf.DUMMYFUNCTION("""COMPUTED_VALUE"""),"Model 3 LR")</f>
        <v>Model 3 LR</v>
      </c>
      <c r="O3586" s="177" t="str">
        <f>IFERROR(__xludf.DUMMYFUNCTION("""COMPUTED_VALUE"""),"Deep Blue Metallic")</f>
        <v>Deep Blue Metallic</v>
      </c>
      <c r="P3586" s="178" t="str">
        <f>IFERROR(__xludf.DUMMYFUNCTION("""COMPUTED_VALUE"""),"18 inch Aero")</f>
        <v>18 inch Aero</v>
      </c>
      <c r="Q3586" s="177" t="str">
        <f>IFERROR(__xludf.DUMMYFUNCTION("""COMPUTED_VALUE"""),"Black seats")</f>
        <v>Black seats</v>
      </c>
      <c r="R3586" s="170" t="str">
        <f>IFERROR(__xludf.DUMMYFUNCTION("""COMPUTED_VALUE"""),"Full Self-Driving")</f>
        <v>Full Self-Driving</v>
      </c>
      <c r="S3586" s="170"/>
      <c r="T3586" s="179"/>
      <c r="U3586" s="179"/>
      <c r="V3586" s="179"/>
      <c r="W3586" s="180"/>
      <c r="X3586" s="181" t="str">
        <f>IFERROR(__xludf.DUMMYFUNCTION("""COMPUTED_VALUE"""),"Very Good")</f>
        <v>Very Good</v>
      </c>
      <c r="Y3586" s="182" t="str">
        <f>IFERROR(__xludf.DUMMYFUNCTION("""COMPUTED_VALUE"""),"Excellent")</f>
        <v>Excellent</v>
      </c>
      <c r="Z3586" s="182" t="str">
        <f>IFERROR(__xludf.DUMMYFUNCTION("""COMPUTED_VALUE"""),"Good")</f>
        <v>Good</v>
      </c>
      <c r="AA3586" s="182"/>
      <c r="AB3586" s="182" t="str">
        <f>IFERROR(__xludf.DUMMYFUNCTION("""COMPUTED_VALUE"""),"Very Good")</f>
        <v>Very Good</v>
      </c>
      <c r="AC3586" s="183"/>
      <c r="AD3586" s="183"/>
      <c r="AE3586" s="183"/>
      <c r="AF3586" s="184"/>
      <c r="AG3586" s="180"/>
      <c r="AH3586" s="185">
        <f>IFERROR(__xludf.DUMMYFUNCTION("""COMPUTED_VALUE"""),43238.73944326388)</f>
        <v>43238.73944</v>
      </c>
      <c r="AI3586" s="182"/>
      <c r="AJ3586" s="182"/>
      <c r="AK3586" s="182"/>
      <c r="AL3586" s="182"/>
    </row>
    <row r="3587" ht="20.25" customHeight="1">
      <c r="A3587" s="169" t="str">
        <f>IFERROR(__xludf.DUMMYFUNCTION("""COMPUTED_VALUE"""),"themcgruff")</f>
        <v>themcgruff</v>
      </c>
      <c r="B3587" s="170" t="str">
        <f>IFERROR(__xludf.DUMMYFUNCTION("""COMPUTED_VALUE"""),"Tampa")</f>
        <v>Tampa</v>
      </c>
      <c r="C3587" s="170" t="str">
        <f>IFERROR(__xludf.DUMMYFUNCTION("""COMPUTED_VALUE"""),"FL")</f>
        <v>FL</v>
      </c>
      <c r="D3587" s="170" t="str">
        <f>IFERROR(__xludf.DUMMYFUNCTION("""COMPUTED_VALUE"""),"USA")</f>
        <v>USA</v>
      </c>
      <c r="E3587" s="171">
        <f>IFERROR(__xludf.DUMMYFUNCTION("""COMPUTED_VALUE"""),43200.0)</f>
        <v>43200</v>
      </c>
      <c r="F3587" s="172">
        <f>IFERROR(__xludf.DUMMYFUNCTION("""COMPUTED_VALUE"""),43201.0)</f>
        <v>43201</v>
      </c>
      <c r="G3587" s="173"/>
      <c r="H3587" s="174">
        <f>IFERROR(__xludf.DUMMYFUNCTION("""COMPUTED_VALUE"""),18275.0)</f>
        <v>18275</v>
      </c>
      <c r="I3587" s="175"/>
      <c r="J3587" s="172">
        <f>IFERROR(__xludf.DUMMYFUNCTION("""COMPUTED_VALUE"""),43227.0)</f>
        <v>43227</v>
      </c>
      <c r="K3587" s="176">
        <f>IFERROR(__xludf.DUMMYFUNCTION("""COMPUTED_VALUE"""),1.0)</f>
        <v>1</v>
      </c>
      <c r="L3587" s="176">
        <f>IFERROR(__xludf.DUMMYFUNCTION("""COMPUTED_VALUE"""),26.0)</f>
        <v>26</v>
      </c>
      <c r="M3587" s="176">
        <f>IFERROR(__xludf.DUMMYFUNCTION("""COMPUTED_VALUE"""),27.0)</f>
        <v>27</v>
      </c>
      <c r="N3587" s="177" t="str">
        <f>IFERROR(__xludf.DUMMYFUNCTION("""COMPUTED_VALUE"""),"Model 3 LR")</f>
        <v>Model 3 LR</v>
      </c>
      <c r="O3587" s="177" t="str">
        <f>IFERROR(__xludf.DUMMYFUNCTION("""COMPUTED_VALUE"""),"Deep Blue Metallic")</f>
        <v>Deep Blue Metallic</v>
      </c>
      <c r="P3587" s="178" t="str">
        <f>IFERROR(__xludf.DUMMYFUNCTION("""COMPUTED_VALUE"""),"19 inch Sport")</f>
        <v>19 inch Sport</v>
      </c>
      <c r="Q3587" s="177" t="str">
        <f>IFERROR(__xludf.DUMMYFUNCTION("""COMPUTED_VALUE"""),"Black seats")</f>
        <v>Black seats</v>
      </c>
      <c r="R3587" s="170" t="str">
        <f>IFERROR(__xludf.DUMMYFUNCTION("""COMPUTED_VALUE"""),"Enhanced Autopilot")</f>
        <v>Enhanced Autopilot</v>
      </c>
      <c r="S3587" s="170"/>
      <c r="T3587" s="179"/>
      <c r="U3587" s="179"/>
      <c r="V3587" s="179"/>
      <c r="W3587" s="180"/>
      <c r="X3587" s="181" t="str">
        <f>IFERROR(__xludf.DUMMYFUNCTION("""COMPUTED_VALUE"""),"Very Good")</f>
        <v>Very Good</v>
      </c>
      <c r="Y3587" s="182" t="str">
        <f>IFERROR(__xludf.DUMMYFUNCTION("""COMPUTED_VALUE"""),"Very Good")</f>
        <v>Very Good</v>
      </c>
      <c r="Z3587" s="182" t="str">
        <f>IFERROR(__xludf.DUMMYFUNCTION("""COMPUTED_VALUE"""),"Good")</f>
        <v>Good</v>
      </c>
      <c r="AA3587" s="182"/>
      <c r="AB3587" s="182" t="str">
        <f>IFERROR(__xludf.DUMMYFUNCTION("""COMPUTED_VALUE"""),"Very Good")</f>
        <v>Very Good</v>
      </c>
      <c r="AC3587" s="183"/>
      <c r="AD3587" s="183"/>
      <c r="AE3587" s="183"/>
      <c r="AF3587" s="184"/>
      <c r="AG3587" s="180"/>
      <c r="AH3587" s="185">
        <f>IFERROR(__xludf.DUMMYFUNCTION("""COMPUTED_VALUE"""),43228.1957458912)</f>
        <v>43228.19575</v>
      </c>
      <c r="AI3587" s="182"/>
      <c r="AJ3587" s="182"/>
      <c r="AK3587" s="182"/>
      <c r="AL3587" s="182"/>
    </row>
    <row r="3588" ht="20.25" customHeight="1">
      <c r="A3588" s="169" t="str">
        <f>IFERROR(__xludf.DUMMYFUNCTION("""COMPUTED_VALUE"""),"Tmuell1")</f>
        <v>Tmuell1</v>
      </c>
      <c r="B3588" s="170" t="str">
        <f>IFERROR(__xludf.DUMMYFUNCTION("""COMPUTED_VALUE"""),"Columbia")</f>
        <v>Columbia</v>
      </c>
      <c r="C3588" s="170" t="str">
        <f>IFERROR(__xludf.DUMMYFUNCTION("""COMPUTED_VALUE"""),"MD")</f>
        <v>MD</v>
      </c>
      <c r="D3588" s="170" t="str">
        <f>IFERROR(__xludf.DUMMYFUNCTION("""COMPUTED_VALUE"""),"USA")</f>
        <v>USA</v>
      </c>
      <c r="E3588" s="171">
        <f>IFERROR(__xludf.DUMMYFUNCTION("""COMPUTED_VALUE"""),43200.0)</f>
        <v>43200</v>
      </c>
      <c r="F3588" s="172">
        <f>IFERROR(__xludf.DUMMYFUNCTION("""COMPUTED_VALUE"""),43202.0)</f>
        <v>43202</v>
      </c>
      <c r="G3588" s="173"/>
      <c r="H3588" s="174">
        <f>IFERROR(__xludf.DUMMYFUNCTION("""COMPUTED_VALUE"""),17655.0)</f>
        <v>17655</v>
      </c>
      <c r="I3588" s="175"/>
      <c r="J3588" s="172">
        <f>IFERROR(__xludf.DUMMYFUNCTION("""COMPUTED_VALUE"""),43221.0)</f>
        <v>43221</v>
      </c>
      <c r="K3588" s="176">
        <f>IFERROR(__xludf.DUMMYFUNCTION("""COMPUTED_VALUE"""),2.0)</f>
        <v>2</v>
      </c>
      <c r="L3588" s="176">
        <f>IFERROR(__xludf.DUMMYFUNCTION("""COMPUTED_VALUE"""),19.0)</f>
        <v>19</v>
      </c>
      <c r="M3588" s="176">
        <f>IFERROR(__xludf.DUMMYFUNCTION("""COMPUTED_VALUE"""),21.0)</f>
        <v>21</v>
      </c>
      <c r="N3588" s="177" t="str">
        <f>IFERROR(__xludf.DUMMYFUNCTION("""COMPUTED_VALUE"""),"Model 3 LR")</f>
        <v>Model 3 LR</v>
      </c>
      <c r="O3588" s="177" t="str">
        <f>IFERROR(__xludf.DUMMYFUNCTION("""COMPUTED_VALUE"""),"Solid Black")</f>
        <v>Solid Black</v>
      </c>
      <c r="P3588" s="178" t="str">
        <f>IFERROR(__xludf.DUMMYFUNCTION("""COMPUTED_VALUE"""),"19 inch Sport")</f>
        <v>19 inch Sport</v>
      </c>
      <c r="Q3588" s="177" t="str">
        <f>IFERROR(__xludf.DUMMYFUNCTION("""COMPUTED_VALUE"""),"Black seats")</f>
        <v>Black seats</v>
      </c>
      <c r="R3588" s="170" t="str">
        <f>IFERROR(__xludf.DUMMYFUNCTION("""COMPUTED_VALUE"""),"Enhanced Autopilot")</f>
        <v>Enhanced Autopilot</v>
      </c>
      <c r="S3588" s="170"/>
      <c r="T3588" s="179"/>
      <c r="U3588" s="179"/>
      <c r="V3588" s="179"/>
      <c r="W3588" s="180"/>
      <c r="X3588" s="181" t="str">
        <f>IFERROR(__xludf.DUMMYFUNCTION("""COMPUTED_VALUE"""),"Excellent")</f>
        <v>Excellent</v>
      </c>
      <c r="Y3588" s="182" t="str">
        <f>IFERROR(__xludf.DUMMYFUNCTION("""COMPUTED_VALUE"""),"Excellent")</f>
        <v>Excellent</v>
      </c>
      <c r="Z3588" s="182" t="str">
        <f>IFERROR(__xludf.DUMMYFUNCTION("""COMPUTED_VALUE"""),"Excellent")</f>
        <v>Excellent</v>
      </c>
      <c r="AA3588" s="182" t="str">
        <f>IFERROR(__xludf.DUMMYFUNCTION("""COMPUTED_VALUE"""),"Fair")</f>
        <v>Fair</v>
      </c>
      <c r="AB3588" s="182" t="str">
        <f>IFERROR(__xludf.DUMMYFUNCTION("""COMPUTED_VALUE"""),"Excellent")</f>
        <v>Excellent</v>
      </c>
      <c r="AC3588" s="183"/>
      <c r="AD3588" s="183"/>
      <c r="AE3588" s="183"/>
      <c r="AF3588" s="184"/>
      <c r="AG3588" s="180"/>
      <c r="AH3588" s="185">
        <f>IFERROR(__xludf.DUMMYFUNCTION("""COMPUTED_VALUE"""),43249.67502173611)</f>
        <v>43249.67502</v>
      </c>
      <c r="AI3588" s="182"/>
      <c r="AJ3588" s="182"/>
      <c r="AK3588" s="182"/>
      <c r="AL3588" s="182"/>
    </row>
    <row r="3589" ht="20.25" customHeight="1">
      <c r="A3589" s="169" t="str">
        <f>IFERROR(__xludf.DUMMYFUNCTION("""COMPUTED_VALUE"""),"tvt408")</f>
        <v>tvt408</v>
      </c>
      <c r="B3589" s="170" t="str">
        <f>IFERROR(__xludf.DUMMYFUNCTION("""COMPUTED_VALUE"""),"Sunnyvale")</f>
        <v>Sunnyvale</v>
      </c>
      <c r="C3589" s="170" t="str">
        <f>IFERROR(__xludf.DUMMYFUNCTION("""COMPUTED_VALUE"""),"CA")</f>
        <v>CA</v>
      </c>
      <c r="D3589" s="170" t="str">
        <f>IFERROR(__xludf.DUMMYFUNCTION("""COMPUTED_VALUE"""),"USA")</f>
        <v>USA</v>
      </c>
      <c r="E3589" s="171">
        <f>IFERROR(__xludf.DUMMYFUNCTION("""COMPUTED_VALUE"""),43200.0)</f>
        <v>43200</v>
      </c>
      <c r="F3589" s="172">
        <f>IFERROR(__xludf.DUMMYFUNCTION("""COMPUTED_VALUE"""),43229.0)</f>
        <v>43229</v>
      </c>
      <c r="G3589" s="173"/>
      <c r="H3589" s="174">
        <f>IFERROR(__xludf.DUMMYFUNCTION("""COMPUTED_VALUE"""),19255.0)</f>
        <v>19255</v>
      </c>
      <c r="I3589" s="175"/>
      <c r="J3589" s="172">
        <f>IFERROR(__xludf.DUMMYFUNCTION("""COMPUTED_VALUE"""),43238.0)</f>
        <v>43238</v>
      </c>
      <c r="K3589" s="176">
        <f>IFERROR(__xludf.DUMMYFUNCTION("""COMPUTED_VALUE"""),29.0)</f>
        <v>29</v>
      </c>
      <c r="L3589" s="176">
        <f>IFERROR(__xludf.DUMMYFUNCTION("""COMPUTED_VALUE"""),9.0)</f>
        <v>9</v>
      </c>
      <c r="M3589" s="176">
        <f>IFERROR(__xludf.DUMMYFUNCTION("""COMPUTED_VALUE"""),38.0)</f>
        <v>38</v>
      </c>
      <c r="N3589" s="177" t="str">
        <f>IFERROR(__xludf.DUMMYFUNCTION("""COMPUTED_VALUE"""),"Model 3 LR")</f>
        <v>Model 3 LR</v>
      </c>
      <c r="O3589" s="177" t="str">
        <f>IFERROR(__xludf.DUMMYFUNCTION("""COMPUTED_VALUE"""),"Red Multi-Coat")</f>
        <v>Red Multi-Coat</v>
      </c>
      <c r="P3589" s="178" t="str">
        <f>IFERROR(__xludf.DUMMYFUNCTION("""COMPUTED_VALUE"""),"18 inch Aero")</f>
        <v>18 inch Aero</v>
      </c>
      <c r="Q3589" s="177" t="str">
        <f>IFERROR(__xludf.DUMMYFUNCTION("""COMPUTED_VALUE"""),"Black seats")</f>
        <v>Black seats</v>
      </c>
      <c r="R3589" s="170" t="str">
        <f>IFERROR(__xludf.DUMMYFUNCTION("""COMPUTED_VALUE"""),"Full Self-Driving")</f>
        <v>Full Self-Driving</v>
      </c>
      <c r="S3589" s="170"/>
      <c r="T3589" s="179"/>
      <c r="U3589" s="179"/>
      <c r="V3589" s="179"/>
      <c r="W3589" s="180"/>
      <c r="X3589" s="181" t="str">
        <f>IFERROR(__xludf.DUMMYFUNCTION("""COMPUTED_VALUE"""),"Excellent")</f>
        <v>Excellent</v>
      </c>
      <c r="Y3589" s="182" t="str">
        <f>IFERROR(__xludf.DUMMYFUNCTION("""COMPUTED_VALUE"""),"Excellent")</f>
        <v>Excellent</v>
      </c>
      <c r="Z3589" s="182" t="str">
        <f>IFERROR(__xludf.DUMMYFUNCTION("""COMPUTED_VALUE"""),"Excellent")</f>
        <v>Excellent</v>
      </c>
      <c r="AA3589" s="182" t="str">
        <f>IFERROR(__xludf.DUMMYFUNCTION("""COMPUTED_VALUE"""),"Good")</f>
        <v>Good</v>
      </c>
      <c r="AB3589" s="182" t="str">
        <f>IFERROR(__xludf.DUMMYFUNCTION("""COMPUTED_VALUE"""),"Excellent")</f>
        <v>Excellent</v>
      </c>
      <c r="AC3589" s="183"/>
      <c r="AD3589" s="183"/>
      <c r="AE3589" s="183"/>
      <c r="AF3589" s="184"/>
      <c r="AG3589" s="180"/>
      <c r="AH3589" s="185">
        <f>IFERROR(__xludf.DUMMYFUNCTION("""COMPUTED_VALUE"""),43265.19273311343)</f>
        <v>43265.19273</v>
      </c>
      <c r="AI3589" s="182"/>
      <c r="AJ3589" s="182"/>
      <c r="AK3589" s="182"/>
      <c r="AL3589" s="182"/>
    </row>
    <row r="3590" ht="20.25" customHeight="1">
      <c r="A3590" s="169" t="str">
        <f>IFERROR(__xludf.DUMMYFUNCTION("""COMPUTED_VALUE"""),"WinstonY")</f>
        <v>WinstonY</v>
      </c>
      <c r="B3590" s="170" t="str">
        <f>IFERROR(__xludf.DUMMYFUNCTION("""COMPUTED_VALUE"""),"Seattle")</f>
        <v>Seattle</v>
      </c>
      <c r="C3590" s="170" t="str">
        <f>IFERROR(__xludf.DUMMYFUNCTION("""COMPUTED_VALUE"""),"WA")</f>
        <v>WA</v>
      </c>
      <c r="D3590" s="170" t="str">
        <f>IFERROR(__xludf.DUMMYFUNCTION("""COMPUTED_VALUE"""),"USA")</f>
        <v>USA</v>
      </c>
      <c r="E3590" s="171">
        <f>IFERROR(__xludf.DUMMYFUNCTION("""COMPUTED_VALUE"""),43200.0)</f>
        <v>43200</v>
      </c>
      <c r="F3590" s="172">
        <f>IFERROR(__xludf.DUMMYFUNCTION("""COMPUTED_VALUE"""),43270.0)</f>
        <v>43270</v>
      </c>
      <c r="G3590" s="173"/>
      <c r="H3590" s="174">
        <f>IFERROR(__xludf.DUMMYFUNCTION("""COMPUTED_VALUE"""),38555.0)</f>
        <v>38555</v>
      </c>
      <c r="I3590" s="175"/>
      <c r="J3590" s="172">
        <f>IFERROR(__xludf.DUMMYFUNCTION("""COMPUTED_VALUE"""),43291.0)</f>
        <v>43291</v>
      </c>
      <c r="K3590" s="176">
        <f>IFERROR(__xludf.DUMMYFUNCTION("""COMPUTED_VALUE"""),70.0)</f>
        <v>70</v>
      </c>
      <c r="L3590" s="176">
        <f>IFERROR(__xludf.DUMMYFUNCTION("""COMPUTED_VALUE"""),21.0)</f>
        <v>21</v>
      </c>
      <c r="M3590" s="176">
        <f>IFERROR(__xludf.DUMMYFUNCTION("""COMPUTED_VALUE"""),91.0)</f>
        <v>91</v>
      </c>
      <c r="N3590" s="177" t="str">
        <f>IFERROR(__xludf.DUMMYFUNCTION("""COMPUTED_VALUE"""),"Model 3 LR")</f>
        <v>Model 3 LR</v>
      </c>
      <c r="O3590" s="177" t="str">
        <f>IFERROR(__xludf.DUMMYFUNCTION("""COMPUTED_VALUE"""),"Deep Blue Metallic")</f>
        <v>Deep Blue Metallic</v>
      </c>
      <c r="P3590" s="178" t="str">
        <f>IFERROR(__xludf.DUMMYFUNCTION("""COMPUTED_VALUE"""),"19 inch Sport")</f>
        <v>19 inch Sport</v>
      </c>
      <c r="Q3590" s="177" t="str">
        <f>IFERROR(__xludf.DUMMYFUNCTION("""COMPUTED_VALUE"""),"Black seats")</f>
        <v>Black seats</v>
      </c>
      <c r="R3590" s="170" t="str">
        <f>IFERROR(__xludf.DUMMYFUNCTION("""COMPUTED_VALUE"""),"Enhanced Autopilot")</f>
        <v>Enhanced Autopilot</v>
      </c>
      <c r="S3590" s="170"/>
      <c r="T3590" s="179"/>
      <c r="U3590" s="179"/>
      <c r="V3590" s="179"/>
      <c r="W3590" s="180"/>
      <c r="X3590" s="181"/>
      <c r="Y3590" s="182"/>
      <c r="Z3590" s="182"/>
      <c r="AA3590" s="182" t="str">
        <f>IFERROR(__xludf.DUMMYFUNCTION("""COMPUTED_VALUE"""),"Excellent")</f>
        <v>Excellent</v>
      </c>
      <c r="AB3590" s="182"/>
      <c r="AC3590" s="183"/>
      <c r="AD3590" s="183"/>
      <c r="AE3590" s="183"/>
      <c r="AF3590" s="184"/>
      <c r="AG3590" s="180"/>
      <c r="AH3590" s="185">
        <f>IFERROR(__xludf.DUMMYFUNCTION("""COMPUTED_VALUE"""),43277.46947270833)</f>
        <v>43277.46947</v>
      </c>
      <c r="AI3590" s="182"/>
      <c r="AJ3590" s="182"/>
      <c r="AK3590" s="182"/>
      <c r="AL3590" s="182"/>
    </row>
    <row r="3591" ht="20.25" customHeight="1">
      <c r="A3591" s="169" t="str">
        <f>IFERROR(__xludf.DUMMYFUNCTION("""COMPUTED_VALUE"""),"xsikal")</f>
        <v>xsikal</v>
      </c>
      <c r="B3591" s="170" t="str">
        <f>IFERROR(__xludf.DUMMYFUNCTION("""COMPUTED_VALUE"""),"San Diego, CA")</f>
        <v>San Diego, CA</v>
      </c>
      <c r="C3591" s="170" t="str">
        <f>IFERROR(__xludf.DUMMYFUNCTION("""COMPUTED_VALUE"""),"CA")</f>
        <v>CA</v>
      </c>
      <c r="D3591" s="170" t="str">
        <f>IFERROR(__xludf.DUMMYFUNCTION("""COMPUTED_VALUE"""),"USA")</f>
        <v>USA</v>
      </c>
      <c r="E3591" s="171">
        <f>IFERROR(__xludf.DUMMYFUNCTION("""COMPUTED_VALUE"""),43200.0)</f>
        <v>43200</v>
      </c>
      <c r="F3591" s="172">
        <f>IFERROR(__xludf.DUMMYFUNCTION("""COMPUTED_VALUE"""),43228.0)</f>
        <v>43228</v>
      </c>
      <c r="G3591" s="173"/>
      <c r="H3591" s="174">
        <f>IFERROR(__xludf.DUMMYFUNCTION("""COMPUTED_VALUE"""),16455.0)</f>
        <v>16455</v>
      </c>
      <c r="I3591" s="175"/>
      <c r="J3591" s="172">
        <f>IFERROR(__xludf.DUMMYFUNCTION("""COMPUTED_VALUE"""),43241.0)</f>
        <v>43241</v>
      </c>
      <c r="K3591" s="176">
        <f>IFERROR(__xludf.DUMMYFUNCTION("""COMPUTED_VALUE"""),28.0)</f>
        <v>28</v>
      </c>
      <c r="L3591" s="176">
        <f>IFERROR(__xludf.DUMMYFUNCTION("""COMPUTED_VALUE"""),13.0)</f>
        <v>13</v>
      </c>
      <c r="M3591" s="176">
        <f>IFERROR(__xludf.DUMMYFUNCTION("""COMPUTED_VALUE"""),41.0)</f>
        <v>41</v>
      </c>
      <c r="N3591" s="177" t="str">
        <f>IFERROR(__xludf.DUMMYFUNCTION("""COMPUTED_VALUE"""),"Model 3 LR")</f>
        <v>Model 3 LR</v>
      </c>
      <c r="O3591" s="177" t="str">
        <f>IFERROR(__xludf.DUMMYFUNCTION("""COMPUTED_VALUE"""),"Midnight Silver Metallic")</f>
        <v>Midnight Silver Metallic</v>
      </c>
      <c r="P3591" s="178" t="str">
        <f>IFERROR(__xludf.DUMMYFUNCTION("""COMPUTED_VALUE"""),"18 inch Aero")</f>
        <v>18 inch Aero</v>
      </c>
      <c r="Q3591" s="177" t="str">
        <f>IFERROR(__xludf.DUMMYFUNCTION("""COMPUTED_VALUE"""),"Black seats")</f>
        <v>Black seats</v>
      </c>
      <c r="R3591" s="170" t="str">
        <f>IFERROR(__xludf.DUMMYFUNCTION("""COMPUTED_VALUE"""),"None")</f>
        <v>None</v>
      </c>
      <c r="S3591" s="170"/>
      <c r="T3591" s="179"/>
      <c r="U3591" s="179"/>
      <c r="V3591" s="179"/>
      <c r="W3591" s="180"/>
      <c r="X3591" s="181" t="str">
        <f>IFERROR(__xludf.DUMMYFUNCTION("""COMPUTED_VALUE"""),"Excellent")</f>
        <v>Excellent</v>
      </c>
      <c r="Y3591" s="182" t="str">
        <f>IFERROR(__xludf.DUMMYFUNCTION("""COMPUTED_VALUE"""),"Excellent")</f>
        <v>Excellent</v>
      </c>
      <c r="Z3591" s="182" t="str">
        <f>IFERROR(__xludf.DUMMYFUNCTION("""COMPUTED_VALUE"""),"Excellent")</f>
        <v>Excellent</v>
      </c>
      <c r="AA3591" s="182"/>
      <c r="AB3591" s="182" t="str">
        <f>IFERROR(__xludf.DUMMYFUNCTION("""COMPUTED_VALUE"""),"Excellent")</f>
        <v>Excellent</v>
      </c>
      <c r="AC3591" s="183"/>
      <c r="AD3591" s="183"/>
      <c r="AE3591" s="183"/>
      <c r="AF3591" s="184"/>
      <c r="AG3591" s="180"/>
      <c r="AH3591" s="185">
        <f>IFERROR(__xludf.DUMMYFUNCTION("""COMPUTED_VALUE"""),43249.306800185186)</f>
        <v>43249.3068</v>
      </c>
      <c r="AI3591" s="182"/>
      <c r="AJ3591" s="182"/>
      <c r="AK3591" s="182"/>
      <c r="AL3591" s="182"/>
    </row>
    <row r="3592" ht="20.25" customHeight="1">
      <c r="A3592" s="169" t="str">
        <f>IFERROR(__xludf.DUMMYFUNCTION("""COMPUTED_VALUE"""),"Gninoked")</f>
        <v>Gninoked</v>
      </c>
      <c r="B3592" s="170" t="str">
        <f>IFERROR(__xludf.DUMMYFUNCTION("""COMPUTED_VALUE"""),"Minneapolis")</f>
        <v>Minneapolis</v>
      </c>
      <c r="C3592" s="170" t="str">
        <f>IFERROR(__xludf.DUMMYFUNCTION("""COMPUTED_VALUE"""),"MN")</f>
        <v>MN</v>
      </c>
      <c r="D3592" s="170" t="str">
        <f>IFERROR(__xludf.DUMMYFUNCTION("""COMPUTED_VALUE"""),"USA")</f>
        <v>USA</v>
      </c>
      <c r="E3592" s="171">
        <f>IFERROR(__xludf.DUMMYFUNCTION("""COMPUTED_VALUE"""),43199.0)</f>
        <v>43199</v>
      </c>
      <c r="F3592" s="172">
        <f>IFERROR(__xludf.DUMMYFUNCTION("""COMPUTED_VALUE"""),43229.0)</f>
        <v>43229</v>
      </c>
      <c r="G3592" s="173"/>
      <c r="H3592" s="174">
        <f>IFERROR(__xludf.DUMMYFUNCTION("""COMPUTED_VALUE"""),18755.0)</f>
        <v>18755</v>
      </c>
      <c r="I3592" s="175"/>
      <c r="J3592" s="172">
        <f>IFERROR(__xludf.DUMMYFUNCTION("""COMPUTED_VALUE"""),43248.0)</f>
        <v>43248</v>
      </c>
      <c r="K3592" s="176">
        <f>IFERROR(__xludf.DUMMYFUNCTION("""COMPUTED_VALUE"""),30.0)</f>
        <v>30</v>
      </c>
      <c r="L3592" s="176">
        <f>IFERROR(__xludf.DUMMYFUNCTION("""COMPUTED_VALUE"""),19.0)</f>
        <v>19</v>
      </c>
      <c r="M3592" s="176">
        <f>IFERROR(__xludf.DUMMYFUNCTION("""COMPUTED_VALUE"""),49.0)</f>
        <v>49</v>
      </c>
      <c r="N3592" s="177" t="str">
        <f>IFERROR(__xludf.DUMMYFUNCTION("""COMPUTED_VALUE"""),"Model 3 LR")</f>
        <v>Model 3 LR</v>
      </c>
      <c r="O3592" s="177" t="str">
        <f>IFERROR(__xludf.DUMMYFUNCTION("""COMPUTED_VALUE"""),"Solid Black")</f>
        <v>Solid Black</v>
      </c>
      <c r="P3592" s="178" t="str">
        <f>IFERROR(__xludf.DUMMYFUNCTION("""COMPUTED_VALUE"""),"18 inch Aero")</f>
        <v>18 inch Aero</v>
      </c>
      <c r="Q3592" s="177" t="str">
        <f>IFERROR(__xludf.DUMMYFUNCTION("""COMPUTED_VALUE"""),"Black seats")</f>
        <v>Black seats</v>
      </c>
      <c r="R3592" s="170" t="str">
        <f>IFERROR(__xludf.DUMMYFUNCTION("""COMPUTED_VALUE"""),"None")</f>
        <v>None</v>
      </c>
      <c r="S3592" s="170"/>
      <c r="T3592" s="179"/>
      <c r="U3592" s="179"/>
      <c r="V3592" s="179"/>
      <c r="W3592" s="180"/>
      <c r="X3592" s="181" t="str">
        <f>IFERROR(__xludf.DUMMYFUNCTION("""COMPUTED_VALUE"""),"Excellent")</f>
        <v>Excellent</v>
      </c>
      <c r="Y3592" s="182" t="str">
        <f>IFERROR(__xludf.DUMMYFUNCTION("""COMPUTED_VALUE"""),"Excellent")</f>
        <v>Excellent</v>
      </c>
      <c r="Z3592" s="182" t="str">
        <f>IFERROR(__xludf.DUMMYFUNCTION("""COMPUTED_VALUE"""),"Excellent")</f>
        <v>Excellent</v>
      </c>
      <c r="AA3592" s="182"/>
      <c r="AB3592" s="182" t="str">
        <f>IFERROR(__xludf.DUMMYFUNCTION("""COMPUTED_VALUE"""),"Excellent")</f>
        <v>Excellent</v>
      </c>
      <c r="AC3592" s="183"/>
      <c r="AD3592" s="183"/>
      <c r="AE3592" s="183"/>
      <c r="AF3592" s="184"/>
      <c r="AG3592" s="180"/>
      <c r="AH3592" s="185">
        <f>IFERROR(__xludf.DUMMYFUNCTION("""COMPUTED_VALUE"""),43248.975009965274)</f>
        <v>43248.97501</v>
      </c>
      <c r="AI3592" s="182"/>
      <c r="AJ3592" s="182"/>
      <c r="AK3592" s="182"/>
      <c r="AL3592" s="182"/>
    </row>
    <row r="3593" ht="20.25" customHeight="1">
      <c r="A3593" s="169" t="str">
        <f>IFERROR(__xludf.DUMMYFUNCTION("""COMPUTED_VALUE"""),"kennycsk")</f>
        <v>kennycsk</v>
      </c>
      <c r="B3593" s="170"/>
      <c r="C3593" s="170" t="str">
        <f>IFERROR(__xludf.DUMMYFUNCTION("""COMPUTED_VALUE"""),"ON")</f>
        <v>ON</v>
      </c>
      <c r="D3593" s="170" t="str">
        <f>IFERROR(__xludf.DUMMYFUNCTION("""COMPUTED_VALUE"""),"Canada")</f>
        <v>Canada</v>
      </c>
      <c r="E3593" s="171">
        <f>IFERROR(__xludf.DUMMYFUNCTION("""COMPUTED_VALUE"""),43198.0)</f>
        <v>43198</v>
      </c>
      <c r="F3593" s="172">
        <f>IFERROR(__xludf.DUMMYFUNCTION("""COMPUTED_VALUE"""),43224.0)</f>
        <v>43224</v>
      </c>
      <c r="G3593" s="173"/>
      <c r="H3593" s="174">
        <f>IFERROR(__xludf.DUMMYFUNCTION("""COMPUTED_VALUE"""),28455.0)</f>
        <v>28455</v>
      </c>
      <c r="I3593" s="175"/>
      <c r="J3593" s="172">
        <f>IFERROR(__xludf.DUMMYFUNCTION("""COMPUTED_VALUE"""),43252.0)</f>
        <v>43252</v>
      </c>
      <c r="K3593" s="176">
        <f>IFERROR(__xludf.DUMMYFUNCTION("""COMPUTED_VALUE"""),26.0)</f>
        <v>26</v>
      </c>
      <c r="L3593" s="176">
        <f>IFERROR(__xludf.DUMMYFUNCTION("""COMPUTED_VALUE"""),28.0)</f>
        <v>28</v>
      </c>
      <c r="M3593" s="176">
        <f>IFERROR(__xludf.DUMMYFUNCTION("""COMPUTED_VALUE"""),54.0)</f>
        <v>54</v>
      </c>
      <c r="N3593" s="177" t="str">
        <f>IFERROR(__xludf.DUMMYFUNCTION("""COMPUTED_VALUE"""),"Model 3 LR")</f>
        <v>Model 3 LR</v>
      </c>
      <c r="O3593" s="177" t="str">
        <f>IFERROR(__xludf.DUMMYFUNCTION("""COMPUTED_VALUE"""),"Solid Black")</f>
        <v>Solid Black</v>
      </c>
      <c r="P3593" s="178" t="str">
        <f>IFERROR(__xludf.DUMMYFUNCTION("""COMPUTED_VALUE"""),"18 inch Aero")</f>
        <v>18 inch Aero</v>
      </c>
      <c r="Q3593" s="177" t="str">
        <f>IFERROR(__xludf.DUMMYFUNCTION("""COMPUTED_VALUE"""),"Black seats")</f>
        <v>Black seats</v>
      </c>
      <c r="R3593" s="170" t="str">
        <f>IFERROR(__xludf.DUMMYFUNCTION("""COMPUTED_VALUE"""),"None")</f>
        <v>None</v>
      </c>
      <c r="S3593" s="170"/>
      <c r="T3593" s="179"/>
      <c r="U3593" s="179"/>
      <c r="V3593" s="179"/>
      <c r="W3593" s="180"/>
      <c r="X3593" s="181" t="str">
        <f>IFERROR(__xludf.DUMMYFUNCTION("""COMPUTED_VALUE"""),"Excellent")</f>
        <v>Excellent</v>
      </c>
      <c r="Y3593" s="182" t="str">
        <f>IFERROR(__xludf.DUMMYFUNCTION("""COMPUTED_VALUE"""),"Good")</f>
        <v>Good</v>
      </c>
      <c r="Z3593" s="182" t="str">
        <f>IFERROR(__xludf.DUMMYFUNCTION("""COMPUTED_VALUE"""),"Good")</f>
        <v>Good</v>
      </c>
      <c r="AA3593" s="182" t="str">
        <f>IFERROR(__xludf.DUMMYFUNCTION("""COMPUTED_VALUE"""),"Excellent")</f>
        <v>Excellent</v>
      </c>
      <c r="AB3593" s="182" t="str">
        <f>IFERROR(__xludf.DUMMYFUNCTION("""COMPUTED_VALUE"""),"Excellent")</f>
        <v>Excellent</v>
      </c>
      <c r="AC3593" s="183">
        <f>IFERROR(__xludf.DUMMYFUNCTION("""COMPUTED_VALUE"""),1.0)</f>
        <v>1</v>
      </c>
      <c r="AD3593" s="183">
        <f>IFERROR(__xludf.DUMMYFUNCTION("""COMPUTED_VALUE"""),1.0)</f>
        <v>1</v>
      </c>
      <c r="AE3593" s="183">
        <f>IFERROR(__xludf.DUMMYFUNCTION("""COMPUTED_VALUE"""),1.0)</f>
        <v>1</v>
      </c>
      <c r="AF3593" s="184"/>
      <c r="AG3593" s="180"/>
      <c r="AH3593" s="185">
        <f>IFERROR(__xludf.DUMMYFUNCTION("""COMPUTED_VALUE"""),43384.58493824075)</f>
        <v>43384.58494</v>
      </c>
      <c r="AI3593" s="182"/>
      <c r="AJ3593" s="182"/>
      <c r="AK3593" s="182"/>
      <c r="AL3593" s="182"/>
    </row>
    <row r="3594" ht="20.25" customHeight="1">
      <c r="A3594" s="169" t="str">
        <f>IFERROR(__xludf.DUMMYFUNCTION("""COMPUTED_VALUE"""),"KurtD")</f>
        <v>KurtD</v>
      </c>
      <c r="B3594" s="170" t="str">
        <f>IFERROR(__xludf.DUMMYFUNCTION("""COMPUTED_VALUE"""),"Raleigh")</f>
        <v>Raleigh</v>
      </c>
      <c r="C3594" s="170" t="str">
        <f>IFERROR(__xludf.DUMMYFUNCTION("""COMPUTED_VALUE"""),"NC")</f>
        <v>NC</v>
      </c>
      <c r="D3594" s="170" t="str">
        <f>IFERROR(__xludf.DUMMYFUNCTION("""COMPUTED_VALUE"""),"USA")</f>
        <v>USA</v>
      </c>
      <c r="E3594" s="171">
        <f>IFERROR(__xludf.DUMMYFUNCTION("""COMPUTED_VALUE"""),43198.0)</f>
        <v>43198</v>
      </c>
      <c r="F3594" s="172">
        <f>IFERROR(__xludf.DUMMYFUNCTION("""COMPUTED_VALUE"""),43227.0)</f>
        <v>43227</v>
      </c>
      <c r="G3594" s="173"/>
      <c r="H3594" s="174">
        <f>IFERROR(__xludf.DUMMYFUNCTION("""COMPUTED_VALUE"""),22955.0)</f>
        <v>22955</v>
      </c>
      <c r="I3594" s="175"/>
      <c r="J3594" s="172">
        <f>IFERROR(__xludf.DUMMYFUNCTION("""COMPUTED_VALUE"""),43245.0)</f>
        <v>43245</v>
      </c>
      <c r="K3594" s="176">
        <f>IFERROR(__xludf.DUMMYFUNCTION("""COMPUTED_VALUE"""),29.0)</f>
        <v>29</v>
      </c>
      <c r="L3594" s="176">
        <f>IFERROR(__xludf.DUMMYFUNCTION("""COMPUTED_VALUE"""),18.0)</f>
        <v>18</v>
      </c>
      <c r="M3594" s="176">
        <f>IFERROR(__xludf.DUMMYFUNCTION("""COMPUTED_VALUE"""),47.0)</f>
        <v>47</v>
      </c>
      <c r="N3594" s="177" t="str">
        <f>IFERROR(__xludf.DUMMYFUNCTION("""COMPUTED_VALUE"""),"Model 3 LR")</f>
        <v>Model 3 LR</v>
      </c>
      <c r="O3594" s="177" t="str">
        <f>IFERROR(__xludf.DUMMYFUNCTION("""COMPUTED_VALUE"""),"Deep Blue Metallic")</f>
        <v>Deep Blue Metallic</v>
      </c>
      <c r="P3594" s="178" t="str">
        <f>IFERROR(__xludf.DUMMYFUNCTION("""COMPUTED_VALUE"""),"18 inch Aero")</f>
        <v>18 inch Aero</v>
      </c>
      <c r="Q3594" s="177" t="str">
        <f>IFERROR(__xludf.DUMMYFUNCTION("""COMPUTED_VALUE"""),"Black seats")</f>
        <v>Black seats</v>
      </c>
      <c r="R3594" s="170" t="str">
        <f>IFERROR(__xludf.DUMMYFUNCTION("""COMPUTED_VALUE"""),"Enhanced Autopilot")</f>
        <v>Enhanced Autopilot</v>
      </c>
      <c r="S3594" s="170"/>
      <c r="T3594" s="179"/>
      <c r="U3594" s="179"/>
      <c r="V3594" s="179"/>
      <c r="W3594" s="180"/>
      <c r="X3594" s="181" t="str">
        <f>IFERROR(__xludf.DUMMYFUNCTION("""COMPUTED_VALUE"""),"Good")</f>
        <v>Good</v>
      </c>
      <c r="Y3594" s="182" t="str">
        <f>IFERROR(__xludf.DUMMYFUNCTION("""COMPUTED_VALUE"""),"Excellent")</f>
        <v>Excellent</v>
      </c>
      <c r="Z3594" s="182" t="str">
        <f>IFERROR(__xludf.DUMMYFUNCTION("""COMPUTED_VALUE"""),"Excellent")</f>
        <v>Excellent</v>
      </c>
      <c r="AA3594" s="182"/>
      <c r="AB3594" s="182" t="str">
        <f>IFERROR(__xludf.DUMMYFUNCTION("""COMPUTED_VALUE"""),"Very Good")</f>
        <v>Very Good</v>
      </c>
      <c r="AC3594" s="183"/>
      <c r="AD3594" s="183"/>
      <c r="AE3594" s="183"/>
      <c r="AF3594" s="184"/>
      <c r="AG3594" s="180"/>
      <c r="AH3594" s="185">
        <f>IFERROR(__xludf.DUMMYFUNCTION("""COMPUTED_VALUE"""),43249.50188978009)</f>
        <v>43249.50189</v>
      </c>
      <c r="AI3594" s="182"/>
      <c r="AJ3594" s="182"/>
      <c r="AK3594" s="182"/>
      <c r="AL3594" s="182"/>
    </row>
    <row r="3595" ht="20.25" customHeight="1">
      <c r="A3595" s="169" t="str">
        <f>IFERROR(__xludf.DUMMYFUNCTION("""COMPUTED_VALUE"""),"ProfessorZ")</f>
        <v>ProfessorZ</v>
      </c>
      <c r="B3595" s="170" t="str">
        <f>IFERROR(__xludf.DUMMYFUNCTION("""COMPUTED_VALUE"""),"Marshall County")</f>
        <v>Marshall County</v>
      </c>
      <c r="C3595" s="170" t="str">
        <f>IFERROR(__xludf.DUMMYFUNCTION("""COMPUTED_VALUE"""),"AL")</f>
        <v>AL</v>
      </c>
      <c r="D3595" s="170" t="str">
        <f>IFERROR(__xludf.DUMMYFUNCTION("""COMPUTED_VALUE"""),"USA")</f>
        <v>USA</v>
      </c>
      <c r="E3595" s="171">
        <f>IFERROR(__xludf.DUMMYFUNCTION("""COMPUTED_VALUE"""),43198.0)</f>
        <v>43198</v>
      </c>
      <c r="F3595" s="172">
        <f>IFERROR(__xludf.DUMMYFUNCTION("""COMPUTED_VALUE"""),43216.0)</f>
        <v>43216</v>
      </c>
      <c r="G3595" s="173"/>
      <c r="H3595" s="174">
        <f>IFERROR(__xludf.DUMMYFUNCTION("""COMPUTED_VALUE"""),13055.0)</f>
        <v>13055</v>
      </c>
      <c r="I3595" s="175"/>
      <c r="J3595" s="172">
        <f>IFERROR(__xludf.DUMMYFUNCTION("""COMPUTED_VALUE"""),43227.0)</f>
        <v>43227</v>
      </c>
      <c r="K3595" s="176">
        <f>IFERROR(__xludf.DUMMYFUNCTION("""COMPUTED_VALUE"""),18.0)</f>
        <v>18</v>
      </c>
      <c r="L3595" s="176">
        <f>IFERROR(__xludf.DUMMYFUNCTION("""COMPUTED_VALUE"""),11.0)</f>
        <v>11</v>
      </c>
      <c r="M3595" s="176">
        <f>IFERROR(__xludf.DUMMYFUNCTION("""COMPUTED_VALUE"""),29.0)</f>
        <v>29</v>
      </c>
      <c r="N3595" s="177" t="str">
        <f>IFERROR(__xludf.DUMMYFUNCTION("""COMPUTED_VALUE"""),"Model 3 LR")</f>
        <v>Model 3 LR</v>
      </c>
      <c r="O3595" s="177" t="str">
        <f>IFERROR(__xludf.DUMMYFUNCTION("""COMPUTED_VALUE"""),"Deep Blue Metallic")</f>
        <v>Deep Blue Metallic</v>
      </c>
      <c r="P3595" s="178" t="str">
        <f>IFERROR(__xludf.DUMMYFUNCTION("""COMPUTED_VALUE"""),"18 inch Aero")</f>
        <v>18 inch Aero</v>
      </c>
      <c r="Q3595" s="177" t="str">
        <f>IFERROR(__xludf.DUMMYFUNCTION("""COMPUTED_VALUE"""),"Black seats")</f>
        <v>Black seats</v>
      </c>
      <c r="R3595" s="170" t="str">
        <f>IFERROR(__xludf.DUMMYFUNCTION("""COMPUTED_VALUE"""),"Enhanced Autopilot")</f>
        <v>Enhanced Autopilot</v>
      </c>
      <c r="S3595" s="170"/>
      <c r="T3595" s="179"/>
      <c r="U3595" s="179"/>
      <c r="V3595" s="179"/>
      <c r="W3595" s="180"/>
      <c r="X3595" s="181" t="str">
        <f>IFERROR(__xludf.DUMMYFUNCTION("""COMPUTED_VALUE"""),"Very Good")</f>
        <v>Very Good</v>
      </c>
      <c r="Y3595" s="182" t="str">
        <f>IFERROR(__xludf.DUMMYFUNCTION("""COMPUTED_VALUE"""),"Excellent")</f>
        <v>Excellent</v>
      </c>
      <c r="Z3595" s="182" t="str">
        <f>IFERROR(__xludf.DUMMYFUNCTION("""COMPUTED_VALUE"""),"Excellent")</f>
        <v>Excellent</v>
      </c>
      <c r="AA3595" s="182"/>
      <c r="AB3595" s="182" t="str">
        <f>IFERROR(__xludf.DUMMYFUNCTION("""COMPUTED_VALUE"""),"Excellent")</f>
        <v>Excellent</v>
      </c>
      <c r="AC3595" s="183"/>
      <c r="AD3595" s="183"/>
      <c r="AE3595" s="183"/>
      <c r="AF3595" s="184"/>
      <c r="AG3595" s="180"/>
      <c r="AH3595" s="185">
        <f>IFERROR(__xludf.DUMMYFUNCTION("""COMPUTED_VALUE"""),43227.814225497685)</f>
        <v>43227.81423</v>
      </c>
      <c r="AI3595" s="182"/>
      <c r="AJ3595" s="182"/>
      <c r="AK3595" s="182"/>
      <c r="AL3595" s="182"/>
    </row>
    <row r="3596" ht="20.25" customHeight="1">
      <c r="A3596" s="169" t="str">
        <f>IFERROR(__xludf.DUMMYFUNCTION("""COMPUTED_VALUE"""),"Beastpilot")</f>
        <v>Beastpilot</v>
      </c>
      <c r="B3596" s="170" t="str">
        <f>IFERROR(__xludf.DUMMYFUNCTION("""COMPUTED_VALUE"""),"Seattle")</f>
        <v>Seattle</v>
      </c>
      <c r="C3596" s="170" t="str">
        <f>IFERROR(__xludf.DUMMYFUNCTION("""COMPUTED_VALUE"""),"WA")</f>
        <v>WA</v>
      </c>
      <c r="D3596" s="170" t="str">
        <f>IFERROR(__xludf.DUMMYFUNCTION("""COMPUTED_VALUE"""),"USA")</f>
        <v>USA</v>
      </c>
      <c r="E3596" s="171">
        <f>IFERROR(__xludf.DUMMYFUNCTION("""COMPUTED_VALUE"""),43197.0)</f>
        <v>43197</v>
      </c>
      <c r="F3596" s="172">
        <f>IFERROR(__xludf.DUMMYFUNCTION("""COMPUTED_VALUE"""),43218.0)</f>
        <v>43218</v>
      </c>
      <c r="G3596" s="173"/>
      <c r="H3596" s="174">
        <f>IFERROR(__xludf.DUMMYFUNCTION("""COMPUTED_VALUE"""),16855.0)</f>
        <v>16855</v>
      </c>
      <c r="I3596" s="175" t="str">
        <f>IFERROR(__xludf.DUMMYFUNCTION("""COMPUTED_VALUE"""),"05/18")</f>
        <v>05/18</v>
      </c>
      <c r="J3596" s="172">
        <f>IFERROR(__xludf.DUMMYFUNCTION("""COMPUTED_VALUE"""),43224.0)</f>
        <v>43224</v>
      </c>
      <c r="K3596" s="176">
        <f>IFERROR(__xludf.DUMMYFUNCTION("""COMPUTED_VALUE"""),21.0)</f>
        <v>21</v>
      </c>
      <c r="L3596" s="176">
        <f>IFERROR(__xludf.DUMMYFUNCTION("""COMPUTED_VALUE"""),6.0)</f>
        <v>6</v>
      </c>
      <c r="M3596" s="176">
        <f>IFERROR(__xludf.DUMMYFUNCTION("""COMPUTED_VALUE"""),27.0)</f>
        <v>27</v>
      </c>
      <c r="N3596" s="177" t="str">
        <f>IFERROR(__xludf.DUMMYFUNCTION("""COMPUTED_VALUE"""),"Model 3 LR")</f>
        <v>Model 3 LR</v>
      </c>
      <c r="O3596" s="177" t="str">
        <f>IFERROR(__xludf.DUMMYFUNCTION("""COMPUTED_VALUE"""),"Red Multi-Coat")</f>
        <v>Red Multi-Coat</v>
      </c>
      <c r="P3596" s="178" t="str">
        <f>IFERROR(__xludf.DUMMYFUNCTION("""COMPUTED_VALUE"""),"18 inch Aero")</f>
        <v>18 inch Aero</v>
      </c>
      <c r="Q3596" s="177" t="str">
        <f>IFERROR(__xludf.DUMMYFUNCTION("""COMPUTED_VALUE"""),"Black seats")</f>
        <v>Black seats</v>
      </c>
      <c r="R3596" s="170" t="str">
        <f>IFERROR(__xludf.DUMMYFUNCTION("""COMPUTED_VALUE"""),"Enhanced Autopilot")</f>
        <v>Enhanced Autopilot</v>
      </c>
      <c r="S3596" s="170"/>
      <c r="T3596" s="179"/>
      <c r="U3596" s="179"/>
      <c r="V3596" s="179"/>
      <c r="W3596" s="180"/>
      <c r="X3596" s="181" t="str">
        <f>IFERROR(__xludf.DUMMYFUNCTION("""COMPUTED_VALUE"""),"Very Good")</f>
        <v>Very Good</v>
      </c>
      <c r="Y3596" s="182" t="str">
        <f>IFERROR(__xludf.DUMMYFUNCTION("""COMPUTED_VALUE"""),"Very Good")</f>
        <v>Very Good</v>
      </c>
      <c r="Z3596" s="182" t="str">
        <f>IFERROR(__xludf.DUMMYFUNCTION("""COMPUTED_VALUE"""),"Poor")</f>
        <v>Poor</v>
      </c>
      <c r="AA3596" s="182" t="str">
        <f>IFERROR(__xludf.DUMMYFUNCTION("""COMPUTED_VALUE"""),"Good")</f>
        <v>Good</v>
      </c>
      <c r="AB3596" s="182" t="str">
        <f>IFERROR(__xludf.DUMMYFUNCTION("""COMPUTED_VALUE"""),"Fair")</f>
        <v>Fair</v>
      </c>
      <c r="AC3596" s="183">
        <f>IFERROR(__xludf.DUMMYFUNCTION("""COMPUTED_VALUE"""),6.0)</f>
        <v>6</v>
      </c>
      <c r="AD3596" s="183">
        <f>IFERROR(__xludf.DUMMYFUNCTION("""COMPUTED_VALUE"""),1.0)</f>
        <v>1</v>
      </c>
      <c r="AE3596" s="183">
        <f>IFERROR(__xludf.DUMMYFUNCTION("""COMPUTED_VALUE"""),10.0)</f>
        <v>10</v>
      </c>
      <c r="AF3596" s="184"/>
      <c r="AG3596" s="180"/>
      <c r="AH3596" s="185">
        <f>IFERROR(__xludf.DUMMYFUNCTION("""COMPUTED_VALUE"""),43430.59394540509)</f>
        <v>43430.59395</v>
      </c>
      <c r="AI3596" s="182"/>
      <c r="AJ3596" s="182"/>
      <c r="AK3596" s="182"/>
      <c r="AL3596" s="182"/>
    </row>
    <row r="3597" ht="20.25" customHeight="1">
      <c r="A3597" s="169" t="str">
        <f>IFERROR(__xludf.DUMMYFUNCTION("""COMPUTED_VALUE"""),"bmrobinson")</f>
        <v>bmrobinson</v>
      </c>
      <c r="B3597" s="170" t="str">
        <f>IFERROR(__xludf.DUMMYFUNCTION("""COMPUTED_VALUE"""),"Cleveland")</f>
        <v>Cleveland</v>
      </c>
      <c r="C3597" s="170" t="str">
        <f>IFERROR(__xludf.DUMMYFUNCTION("""COMPUTED_VALUE"""),"OH")</f>
        <v>OH</v>
      </c>
      <c r="D3597" s="170" t="str">
        <f>IFERROR(__xludf.DUMMYFUNCTION("""COMPUTED_VALUE"""),"USA")</f>
        <v>USA</v>
      </c>
      <c r="E3597" s="171">
        <f>IFERROR(__xludf.DUMMYFUNCTION("""COMPUTED_VALUE"""),43197.0)</f>
        <v>43197</v>
      </c>
      <c r="F3597" s="172">
        <f>IFERROR(__xludf.DUMMYFUNCTION("""COMPUTED_VALUE"""),43223.0)</f>
        <v>43223</v>
      </c>
      <c r="G3597" s="173"/>
      <c r="H3597" s="174">
        <f>IFERROR(__xludf.DUMMYFUNCTION("""COMPUTED_VALUE"""),22755.0)</f>
        <v>22755</v>
      </c>
      <c r="I3597" s="175"/>
      <c r="J3597" s="172">
        <f>IFERROR(__xludf.DUMMYFUNCTION("""COMPUTED_VALUE"""),43243.0)</f>
        <v>43243</v>
      </c>
      <c r="K3597" s="176">
        <f>IFERROR(__xludf.DUMMYFUNCTION("""COMPUTED_VALUE"""),26.0)</f>
        <v>26</v>
      </c>
      <c r="L3597" s="176">
        <f>IFERROR(__xludf.DUMMYFUNCTION("""COMPUTED_VALUE"""),20.0)</f>
        <v>20</v>
      </c>
      <c r="M3597" s="176">
        <f>IFERROR(__xludf.DUMMYFUNCTION("""COMPUTED_VALUE"""),46.0)</f>
        <v>46</v>
      </c>
      <c r="N3597" s="177" t="str">
        <f>IFERROR(__xludf.DUMMYFUNCTION("""COMPUTED_VALUE"""),"Model 3 LR")</f>
        <v>Model 3 LR</v>
      </c>
      <c r="O3597" s="177" t="str">
        <f>IFERROR(__xludf.DUMMYFUNCTION("""COMPUTED_VALUE"""),"Deep Blue Metallic")</f>
        <v>Deep Blue Metallic</v>
      </c>
      <c r="P3597" s="178" t="str">
        <f>IFERROR(__xludf.DUMMYFUNCTION("""COMPUTED_VALUE"""),"18 inch Aero")</f>
        <v>18 inch Aero</v>
      </c>
      <c r="Q3597" s="177" t="str">
        <f>IFERROR(__xludf.DUMMYFUNCTION("""COMPUTED_VALUE"""),"Black seats")</f>
        <v>Black seats</v>
      </c>
      <c r="R3597" s="170" t="str">
        <f>IFERROR(__xludf.DUMMYFUNCTION("""COMPUTED_VALUE"""),"None")</f>
        <v>None</v>
      </c>
      <c r="S3597" s="170"/>
      <c r="T3597" s="179"/>
      <c r="U3597" s="179"/>
      <c r="V3597" s="179"/>
      <c r="W3597" s="180"/>
      <c r="X3597" s="181" t="str">
        <f>IFERROR(__xludf.DUMMYFUNCTION("""COMPUTED_VALUE"""),"Excellent")</f>
        <v>Excellent</v>
      </c>
      <c r="Y3597" s="182" t="str">
        <f>IFERROR(__xludf.DUMMYFUNCTION("""COMPUTED_VALUE"""),"Excellent")</f>
        <v>Excellent</v>
      </c>
      <c r="Z3597" s="182" t="str">
        <f>IFERROR(__xludf.DUMMYFUNCTION("""COMPUTED_VALUE"""),"Good")</f>
        <v>Good</v>
      </c>
      <c r="AA3597" s="182"/>
      <c r="AB3597" s="182" t="str">
        <f>IFERROR(__xludf.DUMMYFUNCTION("""COMPUTED_VALUE"""),"Excellent")</f>
        <v>Excellent</v>
      </c>
      <c r="AC3597" s="183"/>
      <c r="AD3597" s="183"/>
      <c r="AE3597" s="183"/>
      <c r="AF3597" s="184"/>
      <c r="AG3597" s="180" t="str">
        <f>IFERROR(__xludf.DUMMYFUNCTION("""COMPUTED_VALUE"""),"Changed config from black to blue on 4/26")</f>
        <v>Changed config from black to blue on 4/26</v>
      </c>
      <c r="AH3597" s="185">
        <f>IFERROR(__xludf.DUMMYFUNCTION("""COMPUTED_VALUE"""),43243.43177046296)</f>
        <v>43243.43177</v>
      </c>
      <c r="AI3597" s="182"/>
      <c r="AJ3597" s="182"/>
      <c r="AK3597" s="182"/>
      <c r="AL3597" s="182"/>
    </row>
    <row r="3598" ht="20.25" customHeight="1">
      <c r="A3598" s="169" t="str">
        <f>IFERROR(__xludf.DUMMYFUNCTION("""COMPUTED_VALUE"""),"craftbjjr")</f>
        <v>craftbjjr</v>
      </c>
      <c r="B3598" s="170" t="str">
        <f>IFERROR(__xludf.DUMMYFUNCTION("""COMPUTED_VALUE"""),"West Palm Beach")</f>
        <v>West Palm Beach</v>
      </c>
      <c r="C3598" s="170" t="str">
        <f>IFERROR(__xludf.DUMMYFUNCTION("""COMPUTED_VALUE"""),"FL")</f>
        <v>FL</v>
      </c>
      <c r="D3598" s="170" t="str">
        <f>IFERROR(__xludf.DUMMYFUNCTION("""COMPUTED_VALUE"""),"USA")</f>
        <v>USA</v>
      </c>
      <c r="E3598" s="171">
        <f>IFERROR(__xludf.DUMMYFUNCTION("""COMPUTED_VALUE"""),43197.0)</f>
        <v>43197</v>
      </c>
      <c r="F3598" s="172">
        <f>IFERROR(__xludf.DUMMYFUNCTION("""COMPUTED_VALUE"""),43203.0)</f>
        <v>43203</v>
      </c>
      <c r="G3598" s="173"/>
      <c r="H3598" s="174">
        <f>IFERROR(__xludf.DUMMYFUNCTION("""COMPUTED_VALUE"""),17855.0)</f>
        <v>17855</v>
      </c>
      <c r="I3598" s="175"/>
      <c r="J3598" s="172">
        <f>IFERROR(__xludf.DUMMYFUNCTION("""COMPUTED_VALUE"""),43227.0)</f>
        <v>43227</v>
      </c>
      <c r="K3598" s="176">
        <f>IFERROR(__xludf.DUMMYFUNCTION("""COMPUTED_VALUE"""),6.0)</f>
        <v>6</v>
      </c>
      <c r="L3598" s="176">
        <f>IFERROR(__xludf.DUMMYFUNCTION("""COMPUTED_VALUE"""),24.0)</f>
        <v>24</v>
      </c>
      <c r="M3598" s="176">
        <f>IFERROR(__xludf.DUMMYFUNCTION("""COMPUTED_VALUE"""),30.0)</f>
        <v>30</v>
      </c>
      <c r="N3598" s="177" t="str">
        <f>IFERROR(__xludf.DUMMYFUNCTION("""COMPUTED_VALUE"""),"Model 3 LR")</f>
        <v>Model 3 LR</v>
      </c>
      <c r="O3598" s="177" t="str">
        <f>IFERROR(__xludf.DUMMYFUNCTION("""COMPUTED_VALUE"""),"Midnight Silver Metallic")</f>
        <v>Midnight Silver Metallic</v>
      </c>
      <c r="P3598" s="178" t="str">
        <f>IFERROR(__xludf.DUMMYFUNCTION("""COMPUTED_VALUE"""),"19 inch Sport")</f>
        <v>19 inch Sport</v>
      </c>
      <c r="Q3598" s="177" t="str">
        <f>IFERROR(__xludf.DUMMYFUNCTION("""COMPUTED_VALUE"""),"Black seats")</f>
        <v>Black seats</v>
      </c>
      <c r="R3598" s="170" t="str">
        <f>IFERROR(__xludf.DUMMYFUNCTION("""COMPUTED_VALUE"""),"Enhanced Autopilot")</f>
        <v>Enhanced Autopilot</v>
      </c>
      <c r="S3598" s="170"/>
      <c r="T3598" s="179"/>
      <c r="U3598" s="179"/>
      <c r="V3598" s="179"/>
      <c r="W3598" s="180"/>
      <c r="X3598" s="181" t="str">
        <f>IFERROR(__xludf.DUMMYFUNCTION("""COMPUTED_VALUE"""),"Excellent")</f>
        <v>Excellent</v>
      </c>
      <c r="Y3598" s="182" t="str">
        <f>IFERROR(__xludf.DUMMYFUNCTION("""COMPUTED_VALUE"""),"Excellent")</f>
        <v>Excellent</v>
      </c>
      <c r="Z3598" s="182" t="str">
        <f>IFERROR(__xludf.DUMMYFUNCTION("""COMPUTED_VALUE"""),"Excellent")</f>
        <v>Excellent</v>
      </c>
      <c r="AA3598" s="182"/>
      <c r="AB3598" s="182" t="str">
        <f>IFERROR(__xludf.DUMMYFUNCTION("""COMPUTED_VALUE"""),"Excellent")</f>
        <v>Excellent</v>
      </c>
      <c r="AC3598" s="183"/>
      <c r="AD3598" s="183"/>
      <c r="AE3598" s="183"/>
      <c r="AF3598" s="184"/>
      <c r="AG3598" s="180"/>
      <c r="AH3598" s="185">
        <f>IFERROR(__xludf.DUMMYFUNCTION("""COMPUTED_VALUE"""),43230.829670543986)</f>
        <v>43230.82967</v>
      </c>
      <c r="AI3598" s="182"/>
      <c r="AJ3598" s="182"/>
      <c r="AK3598" s="182"/>
      <c r="AL3598" s="182"/>
    </row>
    <row r="3599" ht="20.25" customHeight="1">
      <c r="A3599" s="169" t="str">
        <f>IFERROR(__xludf.DUMMYFUNCTION("""COMPUTED_VALUE"""),"d51")</f>
        <v>d51</v>
      </c>
      <c r="B3599" s="170" t="str">
        <f>IFERROR(__xludf.DUMMYFUNCTION("""COMPUTED_VALUE"""),"Los Angeles")</f>
        <v>Los Angeles</v>
      </c>
      <c r="C3599" s="170" t="str">
        <f>IFERROR(__xludf.DUMMYFUNCTION("""COMPUTED_VALUE"""),"CA")</f>
        <v>CA</v>
      </c>
      <c r="D3599" s="170" t="str">
        <f>IFERROR(__xludf.DUMMYFUNCTION("""COMPUTED_VALUE"""),"USA")</f>
        <v>USA</v>
      </c>
      <c r="E3599" s="171">
        <f>IFERROR(__xludf.DUMMYFUNCTION("""COMPUTED_VALUE"""),43197.0)</f>
        <v>43197</v>
      </c>
      <c r="F3599" s="172">
        <f>IFERROR(__xludf.DUMMYFUNCTION("""COMPUTED_VALUE"""),43200.0)</f>
        <v>43200</v>
      </c>
      <c r="G3599" s="173"/>
      <c r="H3599" s="174">
        <f>IFERROR(__xludf.DUMMYFUNCTION("""COMPUTED_VALUE"""),17595.0)</f>
        <v>17595</v>
      </c>
      <c r="I3599" s="175"/>
      <c r="J3599" s="172">
        <f>IFERROR(__xludf.DUMMYFUNCTION("""COMPUTED_VALUE"""),43210.0)</f>
        <v>43210</v>
      </c>
      <c r="K3599" s="176">
        <f>IFERROR(__xludf.DUMMYFUNCTION("""COMPUTED_VALUE"""),3.0)</f>
        <v>3</v>
      </c>
      <c r="L3599" s="176">
        <f>IFERROR(__xludf.DUMMYFUNCTION("""COMPUTED_VALUE"""),10.0)</f>
        <v>10</v>
      </c>
      <c r="M3599" s="176">
        <f>IFERROR(__xludf.DUMMYFUNCTION("""COMPUTED_VALUE"""),13.0)</f>
        <v>13</v>
      </c>
      <c r="N3599" s="177" t="str">
        <f>IFERROR(__xludf.DUMMYFUNCTION("""COMPUTED_VALUE"""),"Model 3 LR")</f>
        <v>Model 3 LR</v>
      </c>
      <c r="O3599" s="177" t="str">
        <f>IFERROR(__xludf.DUMMYFUNCTION("""COMPUTED_VALUE"""),"Midnight Silver Metallic")</f>
        <v>Midnight Silver Metallic</v>
      </c>
      <c r="P3599" s="178" t="str">
        <f>IFERROR(__xludf.DUMMYFUNCTION("""COMPUTED_VALUE"""),"19 inch Sport")</f>
        <v>19 inch Sport</v>
      </c>
      <c r="Q3599" s="177" t="str">
        <f>IFERROR(__xludf.DUMMYFUNCTION("""COMPUTED_VALUE"""),"Black seats")</f>
        <v>Black seats</v>
      </c>
      <c r="R3599" s="170" t="str">
        <f>IFERROR(__xludf.DUMMYFUNCTION("""COMPUTED_VALUE"""),"None")</f>
        <v>None</v>
      </c>
      <c r="S3599" s="170"/>
      <c r="T3599" s="179"/>
      <c r="U3599" s="179"/>
      <c r="V3599" s="179"/>
      <c r="W3599" s="180"/>
      <c r="X3599" s="181" t="str">
        <f>IFERROR(__xludf.DUMMYFUNCTION("""COMPUTED_VALUE"""),"Very Good")</f>
        <v>Very Good</v>
      </c>
      <c r="Y3599" s="182" t="str">
        <f>IFERROR(__xludf.DUMMYFUNCTION("""COMPUTED_VALUE"""),"Very Good")</f>
        <v>Very Good</v>
      </c>
      <c r="Z3599" s="182" t="str">
        <f>IFERROR(__xludf.DUMMYFUNCTION("""COMPUTED_VALUE"""),"Very Good")</f>
        <v>Very Good</v>
      </c>
      <c r="AA3599" s="182"/>
      <c r="AB3599" s="182" t="str">
        <f>IFERROR(__xludf.DUMMYFUNCTION("""COMPUTED_VALUE"""),"Excellent")</f>
        <v>Excellent</v>
      </c>
      <c r="AC3599" s="183"/>
      <c r="AD3599" s="183"/>
      <c r="AE3599" s="183"/>
      <c r="AF3599" s="184"/>
      <c r="AG3599" s="180"/>
      <c r="AH3599" s="185">
        <f>IFERROR(__xludf.DUMMYFUNCTION("""COMPUTED_VALUE"""),43227.80087644675)</f>
        <v>43227.80088</v>
      </c>
      <c r="AI3599" s="182"/>
      <c r="AJ3599" s="182"/>
      <c r="AK3599" s="182"/>
      <c r="AL3599" s="182"/>
    </row>
    <row r="3600" ht="20.25" customHeight="1">
      <c r="A3600" s="169" t="str">
        <f>IFERROR(__xludf.DUMMYFUNCTION("""COMPUTED_VALUE"""),"gheldean")</f>
        <v>gheldean</v>
      </c>
      <c r="B3600" s="170" t="str">
        <f>IFERROR(__xludf.DUMMYFUNCTION("""COMPUTED_VALUE"""),"Old Bridge")</f>
        <v>Old Bridge</v>
      </c>
      <c r="C3600" s="170" t="str">
        <f>IFERROR(__xludf.DUMMYFUNCTION("""COMPUTED_VALUE"""),"NJ")</f>
        <v>NJ</v>
      </c>
      <c r="D3600" s="170" t="str">
        <f>IFERROR(__xludf.DUMMYFUNCTION("""COMPUTED_VALUE"""),"USA")</f>
        <v>USA</v>
      </c>
      <c r="E3600" s="171">
        <f>IFERROR(__xludf.DUMMYFUNCTION("""COMPUTED_VALUE"""),43197.0)</f>
        <v>43197</v>
      </c>
      <c r="F3600" s="172">
        <f>IFERROR(__xludf.DUMMYFUNCTION("""COMPUTED_VALUE"""),43229.0)</f>
        <v>43229</v>
      </c>
      <c r="G3600" s="173"/>
      <c r="H3600" s="174">
        <f>IFERROR(__xludf.DUMMYFUNCTION("""COMPUTED_VALUE"""),21355.0)</f>
        <v>21355</v>
      </c>
      <c r="I3600" s="175" t="str">
        <f>IFERROR(__xludf.DUMMYFUNCTION("""COMPUTED_VALUE"""),"05/18")</f>
        <v>05/18</v>
      </c>
      <c r="J3600" s="172">
        <f>IFERROR(__xludf.DUMMYFUNCTION("""COMPUTED_VALUE"""),43253.0)</f>
        <v>43253</v>
      </c>
      <c r="K3600" s="176">
        <f>IFERROR(__xludf.DUMMYFUNCTION("""COMPUTED_VALUE"""),32.0)</f>
        <v>32</v>
      </c>
      <c r="L3600" s="176">
        <f>IFERROR(__xludf.DUMMYFUNCTION("""COMPUTED_VALUE"""),24.0)</f>
        <v>24</v>
      </c>
      <c r="M3600" s="176">
        <f>IFERROR(__xludf.DUMMYFUNCTION("""COMPUTED_VALUE"""),56.0)</f>
        <v>56</v>
      </c>
      <c r="N3600" s="177" t="str">
        <f>IFERROR(__xludf.DUMMYFUNCTION("""COMPUTED_VALUE"""),"Model 3 LR")</f>
        <v>Model 3 LR</v>
      </c>
      <c r="O3600" s="177" t="str">
        <f>IFERROR(__xludf.DUMMYFUNCTION("""COMPUTED_VALUE"""),"Midnight Silver Metallic")</f>
        <v>Midnight Silver Metallic</v>
      </c>
      <c r="P3600" s="178" t="str">
        <f>IFERROR(__xludf.DUMMYFUNCTION("""COMPUTED_VALUE"""),"18 inch Aero")</f>
        <v>18 inch Aero</v>
      </c>
      <c r="Q3600" s="177" t="str">
        <f>IFERROR(__xludf.DUMMYFUNCTION("""COMPUTED_VALUE"""),"Black seats")</f>
        <v>Black seats</v>
      </c>
      <c r="R3600" s="170" t="str">
        <f>IFERROR(__xludf.DUMMYFUNCTION("""COMPUTED_VALUE"""),"None")</f>
        <v>None</v>
      </c>
      <c r="S3600" s="170"/>
      <c r="T3600" s="179"/>
      <c r="U3600" s="179"/>
      <c r="V3600" s="179"/>
      <c r="W3600" s="180"/>
      <c r="X3600" s="181" t="str">
        <f>IFERROR(__xludf.DUMMYFUNCTION("""COMPUTED_VALUE"""),"Excellent")</f>
        <v>Excellent</v>
      </c>
      <c r="Y3600" s="182" t="str">
        <f>IFERROR(__xludf.DUMMYFUNCTION("""COMPUTED_VALUE"""),"Excellent")</f>
        <v>Excellent</v>
      </c>
      <c r="Z3600" s="182" t="str">
        <f>IFERROR(__xludf.DUMMYFUNCTION("""COMPUTED_VALUE"""),"Excellent")</f>
        <v>Excellent</v>
      </c>
      <c r="AA3600" s="182" t="str">
        <f>IFERROR(__xludf.DUMMYFUNCTION("""COMPUTED_VALUE"""),"Excellent")</f>
        <v>Excellent</v>
      </c>
      <c r="AB3600" s="182" t="str">
        <f>IFERROR(__xludf.DUMMYFUNCTION("""COMPUTED_VALUE"""),"Excellent")</f>
        <v>Excellent</v>
      </c>
      <c r="AC3600" s="183"/>
      <c r="AD3600" s="183"/>
      <c r="AE3600" s="183"/>
      <c r="AF3600" s="184"/>
      <c r="AG3600" s="180"/>
      <c r="AH3600" s="185">
        <f>IFERROR(__xludf.DUMMYFUNCTION("""COMPUTED_VALUE"""),43259.12627634259)</f>
        <v>43259.12628</v>
      </c>
      <c r="AI3600" s="182"/>
      <c r="AJ3600" s="182"/>
      <c r="AK3600" s="182"/>
      <c r="AL3600" s="182"/>
    </row>
    <row r="3601" ht="20.25" customHeight="1">
      <c r="A3601" s="169" t="str">
        <f>IFERROR(__xludf.DUMMYFUNCTION("""COMPUTED_VALUE"""),"Milo")</f>
        <v>Milo</v>
      </c>
      <c r="B3601" s="170"/>
      <c r="C3601" s="170" t="str">
        <f>IFERROR(__xludf.DUMMYFUNCTION("""COMPUTED_VALUE"""),"MN")</f>
        <v>MN</v>
      </c>
      <c r="D3601" s="170" t="str">
        <f>IFERROR(__xludf.DUMMYFUNCTION("""COMPUTED_VALUE"""),"USA")</f>
        <v>USA</v>
      </c>
      <c r="E3601" s="171">
        <f>IFERROR(__xludf.DUMMYFUNCTION("""COMPUTED_VALUE"""),43197.0)</f>
        <v>43197</v>
      </c>
      <c r="F3601" s="172">
        <f>IFERROR(__xludf.DUMMYFUNCTION("""COMPUTED_VALUE"""),43229.0)</f>
        <v>43229</v>
      </c>
      <c r="G3601" s="173"/>
      <c r="H3601" s="174">
        <f>IFERROR(__xludf.DUMMYFUNCTION("""COMPUTED_VALUE"""),20655.0)</f>
        <v>20655</v>
      </c>
      <c r="I3601" s="175"/>
      <c r="J3601" s="172">
        <f>IFERROR(__xludf.DUMMYFUNCTION("""COMPUTED_VALUE"""),43246.0)</f>
        <v>43246</v>
      </c>
      <c r="K3601" s="176">
        <f>IFERROR(__xludf.DUMMYFUNCTION("""COMPUTED_VALUE"""),32.0)</f>
        <v>32</v>
      </c>
      <c r="L3601" s="176">
        <f>IFERROR(__xludf.DUMMYFUNCTION("""COMPUTED_VALUE"""),17.0)</f>
        <v>17</v>
      </c>
      <c r="M3601" s="176">
        <f>IFERROR(__xludf.DUMMYFUNCTION("""COMPUTED_VALUE"""),49.0)</f>
        <v>49</v>
      </c>
      <c r="N3601" s="177" t="str">
        <f>IFERROR(__xludf.DUMMYFUNCTION("""COMPUTED_VALUE"""),"Model 3 LR")</f>
        <v>Model 3 LR</v>
      </c>
      <c r="O3601" s="177" t="str">
        <f>IFERROR(__xludf.DUMMYFUNCTION("""COMPUTED_VALUE"""),"Solid Black")</f>
        <v>Solid Black</v>
      </c>
      <c r="P3601" s="178" t="str">
        <f>IFERROR(__xludf.DUMMYFUNCTION("""COMPUTED_VALUE"""),"18 inch Aero")</f>
        <v>18 inch Aero</v>
      </c>
      <c r="Q3601" s="177" t="str">
        <f>IFERROR(__xludf.DUMMYFUNCTION("""COMPUTED_VALUE"""),"Black seats")</f>
        <v>Black seats</v>
      </c>
      <c r="R3601" s="170" t="str">
        <f>IFERROR(__xludf.DUMMYFUNCTION("""COMPUTED_VALUE"""),"Enhanced Autopilot")</f>
        <v>Enhanced Autopilot</v>
      </c>
      <c r="S3601" s="170"/>
      <c r="T3601" s="179"/>
      <c r="U3601" s="179"/>
      <c r="V3601" s="179"/>
      <c r="W3601" s="180"/>
      <c r="X3601" s="181" t="str">
        <f>IFERROR(__xludf.DUMMYFUNCTION("""COMPUTED_VALUE"""),"Excellent")</f>
        <v>Excellent</v>
      </c>
      <c r="Y3601" s="182" t="str">
        <f>IFERROR(__xludf.DUMMYFUNCTION("""COMPUTED_VALUE"""),"Excellent")</f>
        <v>Excellent</v>
      </c>
      <c r="Z3601" s="182" t="str">
        <f>IFERROR(__xludf.DUMMYFUNCTION("""COMPUTED_VALUE"""),"Excellent")</f>
        <v>Excellent</v>
      </c>
      <c r="AA3601" s="182"/>
      <c r="AB3601" s="182" t="str">
        <f>IFERROR(__xludf.DUMMYFUNCTION("""COMPUTED_VALUE"""),"Excellent")</f>
        <v>Excellent</v>
      </c>
      <c r="AC3601" s="183"/>
      <c r="AD3601" s="183"/>
      <c r="AE3601" s="183"/>
      <c r="AF3601" s="184"/>
      <c r="AG3601" s="180"/>
      <c r="AH3601" s="185">
        <f>IFERROR(__xludf.DUMMYFUNCTION("""COMPUTED_VALUE"""),43249.58151988426)</f>
        <v>43249.58152</v>
      </c>
      <c r="AI3601" s="182"/>
      <c r="AJ3601" s="182"/>
      <c r="AK3601" s="182"/>
      <c r="AL3601" s="182"/>
    </row>
    <row r="3602" ht="20.25" customHeight="1">
      <c r="A3602" s="169" t="str">
        <f>IFERROR(__xludf.DUMMYFUNCTION("""COMPUTED_VALUE"""),"mthomtech")</f>
        <v>mthomtech</v>
      </c>
      <c r="B3602" s="170" t="str">
        <f>IFERROR(__xludf.DUMMYFUNCTION("""COMPUTED_VALUE"""),"Murphy")</f>
        <v>Murphy</v>
      </c>
      <c r="C3602" s="170" t="str">
        <f>IFERROR(__xludf.DUMMYFUNCTION("""COMPUTED_VALUE"""),"TX")</f>
        <v>TX</v>
      </c>
      <c r="D3602" s="170" t="str">
        <f>IFERROR(__xludf.DUMMYFUNCTION("""COMPUTED_VALUE"""),"USA")</f>
        <v>USA</v>
      </c>
      <c r="E3602" s="171">
        <f>IFERROR(__xludf.DUMMYFUNCTION("""COMPUTED_VALUE"""),43197.0)</f>
        <v>43197</v>
      </c>
      <c r="F3602" s="172">
        <f>IFERROR(__xludf.DUMMYFUNCTION("""COMPUTED_VALUE"""),43230.0)</f>
        <v>43230</v>
      </c>
      <c r="G3602" s="173"/>
      <c r="H3602" s="174">
        <f>IFERROR(__xludf.DUMMYFUNCTION("""COMPUTED_VALUE"""),18755.0)</f>
        <v>18755</v>
      </c>
      <c r="I3602" s="175" t="str">
        <f>IFERROR(__xludf.DUMMYFUNCTION("""COMPUTED_VALUE"""),"05/18")</f>
        <v>05/18</v>
      </c>
      <c r="J3602" s="172">
        <f>IFERROR(__xludf.DUMMYFUNCTION("""COMPUTED_VALUE"""),43256.0)</f>
        <v>43256</v>
      </c>
      <c r="K3602" s="176">
        <f>IFERROR(__xludf.DUMMYFUNCTION("""COMPUTED_VALUE"""),33.0)</f>
        <v>33</v>
      </c>
      <c r="L3602" s="176">
        <f>IFERROR(__xludf.DUMMYFUNCTION("""COMPUTED_VALUE"""),26.0)</f>
        <v>26</v>
      </c>
      <c r="M3602" s="176">
        <f>IFERROR(__xludf.DUMMYFUNCTION("""COMPUTED_VALUE"""),59.0)</f>
        <v>59</v>
      </c>
      <c r="N3602" s="177" t="str">
        <f>IFERROR(__xludf.DUMMYFUNCTION("""COMPUTED_VALUE"""),"Model 3 LR")</f>
        <v>Model 3 LR</v>
      </c>
      <c r="O3602" s="177" t="str">
        <f>IFERROR(__xludf.DUMMYFUNCTION("""COMPUTED_VALUE"""),"Solid Black")</f>
        <v>Solid Black</v>
      </c>
      <c r="P3602" s="178" t="str">
        <f>IFERROR(__xludf.DUMMYFUNCTION("""COMPUTED_VALUE"""),"18 inch Aero")</f>
        <v>18 inch Aero</v>
      </c>
      <c r="Q3602" s="177" t="str">
        <f>IFERROR(__xludf.DUMMYFUNCTION("""COMPUTED_VALUE"""),"Black seats")</f>
        <v>Black seats</v>
      </c>
      <c r="R3602" s="170" t="str">
        <f>IFERROR(__xludf.DUMMYFUNCTION("""COMPUTED_VALUE"""),"None")</f>
        <v>None</v>
      </c>
      <c r="S3602" s="170"/>
      <c r="T3602" s="179"/>
      <c r="U3602" s="179"/>
      <c r="V3602" s="179"/>
      <c r="W3602" s="180"/>
      <c r="X3602" s="181" t="str">
        <f>IFERROR(__xludf.DUMMYFUNCTION("""COMPUTED_VALUE"""),"Excellent")</f>
        <v>Excellent</v>
      </c>
      <c r="Y3602" s="182" t="str">
        <f>IFERROR(__xludf.DUMMYFUNCTION("""COMPUTED_VALUE"""),"Excellent")</f>
        <v>Excellent</v>
      </c>
      <c r="Z3602" s="182" t="str">
        <f>IFERROR(__xludf.DUMMYFUNCTION("""COMPUTED_VALUE"""),"Excellent")</f>
        <v>Excellent</v>
      </c>
      <c r="AA3602" s="182" t="str">
        <f>IFERROR(__xludf.DUMMYFUNCTION("""COMPUTED_VALUE"""),"Excellent")</f>
        <v>Excellent</v>
      </c>
      <c r="AB3602" s="182" t="str">
        <f>IFERROR(__xludf.DUMMYFUNCTION("""COMPUTED_VALUE"""),"Excellent")</f>
        <v>Excellent</v>
      </c>
      <c r="AC3602" s="183"/>
      <c r="AD3602" s="183"/>
      <c r="AE3602" s="183"/>
      <c r="AF3602" s="184"/>
      <c r="AG3602" s="180"/>
      <c r="AH3602" s="185">
        <f>IFERROR(__xludf.DUMMYFUNCTION("""COMPUTED_VALUE"""),43266.52518434027)</f>
        <v>43266.52518</v>
      </c>
      <c r="AI3602" s="182"/>
      <c r="AJ3602" s="182"/>
      <c r="AK3602" s="182"/>
      <c r="AL3602" s="182"/>
    </row>
    <row r="3603" ht="20.25" customHeight="1">
      <c r="A3603" s="169" t="str">
        <f>IFERROR(__xludf.DUMMYFUNCTION("""COMPUTED_VALUE"""),"Pants")</f>
        <v>Pants</v>
      </c>
      <c r="B3603" s="170" t="str">
        <f>IFERROR(__xludf.DUMMYFUNCTION("""COMPUTED_VALUE"""),"Seattle")</f>
        <v>Seattle</v>
      </c>
      <c r="C3603" s="170" t="str">
        <f>IFERROR(__xludf.DUMMYFUNCTION("""COMPUTED_VALUE"""),"WA")</f>
        <v>WA</v>
      </c>
      <c r="D3603" s="170" t="str">
        <f>IFERROR(__xludf.DUMMYFUNCTION("""COMPUTED_VALUE"""),"USA")</f>
        <v>USA</v>
      </c>
      <c r="E3603" s="171">
        <f>IFERROR(__xludf.DUMMYFUNCTION("""COMPUTED_VALUE"""),43197.0)</f>
        <v>43197</v>
      </c>
      <c r="F3603" s="172">
        <f>IFERROR(__xludf.DUMMYFUNCTION("""COMPUTED_VALUE"""),43218.0)</f>
        <v>43218</v>
      </c>
      <c r="G3603" s="173"/>
      <c r="H3603" s="174">
        <f>IFERROR(__xludf.DUMMYFUNCTION("""COMPUTED_VALUE"""),17405.0)</f>
        <v>17405</v>
      </c>
      <c r="I3603" s="175"/>
      <c r="J3603" s="172">
        <f>IFERROR(__xludf.DUMMYFUNCTION("""COMPUTED_VALUE"""),43225.0)</f>
        <v>43225</v>
      </c>
      <c r="K3603" s="176">
        <f>IFERROR(__xludf.DUMMYFUNCTION("""COMPUTED_VALUE"""),21.0)</f>
        <v>21</v>
      </c>
      <c r="L3603" s="176">
        <f>IFERROR(__xludf.DUMMYFUNCTION("""COMPUTED_VALUE"""),7.0)</f>
        <v>7</v>
      </c>
      <c r="M3603" s="176">
        <f>IFERROR(__xludf.DUMMYFUNCTION("""COMPUTED_VALUE"""),28.0)</f>
        <v>28</v>
      </c>
      <c r="N3603" s="177" t="str">
        <f>IFERROR(__xludf.DUMMYFUNCTION("""COMPUTED_VALUE"""),"Model 3 LR")</f>
        <v>Model 3 LR</v>
      </c>
      <c r="O3603" s="177" t="str">
        <f>IFERROR(__xludf.DUMMYFUNCTION("""COMPUTED_VALUE"""),"Pearl White Multi-Coat")</f>
        <v>Pearl White Multi-Coat</v>
      </c>
      <c r="P3603" s="178" t="str">
        <f>IFERROR(__xludf.DUMMYFUNCTION("""COMPUTED_VALUE"""),"18 inch Aero")</f>
        <v>18 inch Aero</v>
      </c>
      <c r="Q3603" s="177" t="str">
        <f>IFERROR(__xludf.DUMMYFUNCTION("""COMPUTED_VALUE"""),"Black seats")</f>
        <v>Black seats</v>
      </c>
      <c r="R3603" s="170" t="str">
        <f>IFERROR(__xludf.DUMMYFUNCTION("""COMPUTED_VALUE"""),"None")</f>
        <v>None</v>
      </c>
      <c r="S3603" s="170"/>
      <c r="T3603" s="179"/>
      <c r="U3603" s="179"/>
      <c r="V3603" s="179"/>
      <c r="W3603" s="180"/>
      <c r="X3603" s="181" t="str">
        <f>IFERROR(__xludf.DUMMYFUNCTION("""COMPUTED_VALUE"""),"Excellent")</f>
        <v>Excellent</v>
      </c>
      <c r="Y3603" s="182" t="str">
        <f>IFERROR(__xludf.DUMMYFUNCTION("""COMPUTED_VALUE"""),"Very Good")</f>
        <v>Very Good</v>
      </c>
      <c r="Z3603" s="182" t="str">
        <f>IFERROR(__xludf.DUMMYFUNCTION("""COMPUTED_VALUE"""),"Very Good")</f>
        <v>Very Good</v>
      </c>
      <c r="AA3603" s="182"/>
      <c r="AB3603" s="182" t="str">
        <f>IFERROR(__xludf.DUMMYFUNCTION("""COMPUTED_VALUE"""),"Very Good")</f>
        <v>Very Good</v>
      </c>
      <c r="AC3603" s="183"/>
      <c r="AD3603" s="183"/>
      <c r="AE3603" s="183"/>
      <c r="AF3603" s="184"/>
      <c r="AG3603" s="180"/>
      <c r="AH3603" s="185">
        <f>IFERROR(__xludf.DUMMYFUNCTION("""COMPUTED_VALUE"""),43228.30139043982)</f>
        <v>43228.30139</v>
      </c>
      <c r="AI3603" s="182"/>
      <c r="AJ3603" s="182"/>
      <c r="AK3603" s="182"/>
      <c r="AL3603" s="182"/>
    </row>
    <row r="3604" ht="20.25" customHeight="1">
      <c r="A3604" s="169" t="str">
        <f>IFERROR(__xludf.DUMMYFUNCTION("""COMPUTED_VALUE"""),"quikwit")</f>
        <v>quikwit</v>
      </c>
      <c r="B3604" s="170" t="str">
        <f>IFERROR(__xludf.DUMMYFUNCTION("""COMPUTED_VALUE"""),"Northern")</f>
        <v>Northern</v>
      </c>
      <c r="C3604" s="170" t="str">
        <f>IFERROR(__xludf.DUMMYFUNCTION("""COMPUTED_VALUE"""),"VA")</f>
        <v>VA</v>
      </c>
      <c r="D3604" s="170" t="str">
        <f>IFERROR(__xludf.DUMMYFUNCTION("""COMPUTED_VALUE"""),"USA")</f>
        <v>USA</v>
      </c>
      <c r="E3604" s="171">
        <f>IFERROR(__xludf.DUMMYFUNCTION("""COMPUTED_VALUE"""),43197.0)</f>
        <v>43197</v>
      </c>
      <c r="F3604" s="172">
        <f>IFERROR(__xludf.DUMMYFUNCTION("""COMPUTED_VALUE"""),43229.0)</f>
        <v>43229</v>
      </c>
      <c r="G3604" s="173"/>
      <c r="H3604" s="174">
        <f>IFERROR(__xludf.DUMMYFUNCTION("""COMPUTED_VALUE"""),21255.0)</f>
        <v>21255</v>
      </c>
      <c r="I3604" s="175" t="str">
        <f>IFERROR(__xludf.DUMMYFUNCTION("""COMPUTED_VALUE"""),"05/18")</f>
        <v>05/18</v>
      </c>
      <c r="J3604" s="172">
        <f>IFERROR(__xludf.DUMMYFUNCTION("""COMPUTED_VALUE"""),43255.0)</f>
        <v>43255</v>
      </c>
      <c r="K3604" s="176">
        <f>IFERROR(__xludf.DUMMYFUNCTION("""COMPUTED_VALUE"""),32.0)</f>
        <v>32</v>
      </c>
      <c r="L3604" s="176">
        <f>IFERROR(__xludf.DUMMYFUNCTION("""COMPUTED_VALUE"""),26.0)</f>
        <v>26</v>
      </c>
      <c r="M3604" s="176">
        <f>IFERROR(__xludf.DUMMYFUNCTION("""COMPUTED_VALUE"""),58.0)</f>
        <v>58</v>
      </c>
      <c r="N3604" s="177" t="str">
        <f>IFERROR(__xludf.DUMMYFUNCTION("""COMPUTED_VALUE"""),"Model 3 LR")</f>
        <v>Model 3 LR</v>
      </c>
      <c r="O3604" s="177" t="str">
        <f>IFERROR(__xludf.DUMMYFUNCTION("""COMPUTED_VALUE"""),"Midnight Silver Metallic")</f>
        <v>Midnight Silver Metallic</v>
      </c>
      <c r="P3604" s="178" t="str">
        <f>IFERROR(__xludf.DUMMYFUNCTION("""COMPUTED_VALUE"""),"18 inch Aero")</f>
        <v>18 inch Aero</v>
      </c>
      <c r="Q3604" s="177" t="str">
        <f>IFERROR(__xludf.DUMMYFUNCTION("""COMPUTED_VALUE"""),"Black seats")</f>
        <v>Black seats</v>
      </c>
      <c r="R3604" s="170" t="str">
        <f>IFERROR(__xludf.DUMMYFUNCTION("""COMPUTED_VALUE"""),"Enhanced Autopilot")</f>
        <v>Enhanced Autopilot</v>
      </c>
      <c r="S3604" s="170"/>
      <c r="T3604" s="179"/>
      <c r="U3604" s="179"/>
      <c r="V3604" s="179"/>
      <c r="W3604" s="180"/>
      <c r="X3604" s="181" t="str">
        <f>IFERROR(__xludf.DUMMYFUNCTION("""COMPUTED_VALUE"""),"Very Good")</f>
        <v>Very Good</v>
      </c>
      <c r="Y3604" s="182" t="str">
        <f>IFERROR(__xludf.DUMMYFUNCTION("""COMPUTED_VALUE"""),"Excellent")</f>
        <v>Excellent</v>
      </c>
      <c r="Z3604" s="182" t="str">
        <f>IFERROR(__xludf.DUMMYFUNCTION("""COMPUTED_VALUE"""),"Excellent")</f>
        <v>Excellent</v>
      </c>
      <c r="AA3604" s="182" t="str">
        <f>IFERROR(__xludf.DUMMYFUNCTION("""COMPUTED_VALUE"""),"Good")</f>
        <v>Good</v>
      </c>
      <c r="AB3604" s="182" t="str">
        <f>IFERROR(__xludf.DUMMYFUNCTION("""COMPUTED_VALUE"""),"Very Good")</f>
        <v>Very Good</v>
      </c>
      <c r="AC3604" s="183"/>
      <c r="AD3604" s="183"/>
      <c r="AE3604" s="183"/>
      <c r="AF3604" s="184"/>
      <c r="AG3604" s="180"/>
      <c r="AH3604" s="185">
        <f>IFERROR(__xludf.DUMMYFUNCTION("""COMPUTED_VALUE"""),43259.759252592594)</f>
        <v>43259.75925</v>
      </c>
      <c r="AI3604" s="182"/>
      <c r="AJ3604" s="182"/>
      <c r="AK3604" s="182"/>
      <c r="AL3604" s="182"/>
    </row>
    <row r="3605" ht="20.25" customHeight="1">
      <c r="A3605" s="186" t="str">
        <f>IFERROR(__xludf.DUMMYFUNCTION("""COMPUTED_VALUE"""),"RaviSundaram.AM")</f>
        <v>RaviSundaram.AM</v>
      </c>
      <c r="B3605" s="170" t="str">
        <f>IFERROR(__xludf.DUMMYFUNCTION("""COMPUTED_VALUE"""),"Pittsburgh")</f>
        <v>Pittsburgh</v>
      </c>
      <c r="C3605" s="170" t="str">
        <f>IFERROR(__xludf.DUMMYFUNCTION("""COMPUTED_VALUE"""),"PA")</f>
        <v>PA</v>
      </c>
      <c r="D3605" s="170" t="str">
        <f>IFERROR(__xludf.DUMMYFUNCTION("""COMPUTED_VALUE"""),"USA")</f>
        <v>USA</v>
      </c>
      <c r="E3605" s="171">
        <f>IFERROR(__xludf.DUMMYFUNCTION("""COMPUTED_VALUE"""),43197.0)</f>
        <v>43197</v>
      </c>
      <c r="F3605" s="172">
        <f>IFERROR(__xludf.DUMMYFUNCTION("""COMPUTED_VALUE"""),43223.0)</f>
        <v>43223</v>
      </c>
      <c r="G3605" s="173"/>
      <c r="H3605" s="174">
        <f>IFERROR(__xludf.DUMMYFUNCTION("""COMPUTED_VALUE"""),19569.0)</f>
        <v>19569</v>
      </c>
      <c r="I3605" s="175"/>
      <c r="J3605" s="172">
        <f>IFERROR(__xludf.DUMMYFUNCTION("""COMPUTED_VALUE"""),43239.0)</f>
        <v>43239</v>
      </c>
      <c r="K3605" s="176">
        <f>IFERROR(__xludf.DUMMYFUNCTION("""COMPUTED_VALUE"""),26.0)</f>
        <v>26</v>
      </c>
      <c r="L3605" s="176">
        <f>IFERROR(__xludf.DUMMYFUNCTION("""COMPUTED_VALUE"""),16.0)</f>
        <v>16</v>
      </c>
      <c r="M3605" s="176">
        <f>IFERROR(__xludf.DUMMYFUNCTION("""COMPUTED_VALUE"""),42.0)</f>
        <v>42</v>
      </c>
      <c r="N3605" s="177" t="str">
        <f>IFERROR(__xludf.DUMMYFUNCTION("""COMPUTED_VALUE"""),"Model 3 LR")</f>
        <v>Model 3 LR</v>
      </c>
      <c r="O3605" s="177" t="str">
        <f>IFERROR(__xludf.DUMMYFUNCTION("""COMPUTED_VALUE"""),"Deep Blue Metallic")</f>
        <v>Deep Blue Metallic</v>
      </c>
      <c r="P3605" s="178" t="str">
        <f>IFERROR(__xludf.DUMMYFUNCTION("""COMPUTED_VALUE"""),"18 inch Aero")</f>
        <v>18 inch Aero</v>
      </c>
      <c r="Q3605" s="177" t="str">
        <f>IFERROR(__xludf.DUMMYFUNCTION("""COMPUTED_VALUE"""),"Black seats")</f>
        <v>Black seats</v>
      </c>
      <c r="R3605" s="170" t="str">
        <f>IFERROR(__xludf.DUMMYFUNCTION("""COMPUTED_VALUE"""),"None")</f>
        <v>None</v>
      </c>
      <c r="S3605" s="170"/>
      <c r="T3605" s="179"/>
      <c r="U3605" s="179"/>
      <c r="V3605" s="179"/>
      <c r="W3605" s="180"/>
      <c r="X3605" s="181" t="str">
        <f>IFERROR(__xludf.DUMMYFUNCTION("""COMPUTED_VALUE"""),"Very Good")</f>
        <v>Very Good</v>
      </c>
      <c r="Y3605" s="182" t="str">
        <f>IFERROR(__xludf.DUMMYFUNCTION("""COMPUTED_VALUE"""),"Very Good")</f>
        <v>Very Good</v>
      </c>
      <c r="Z3605" s="182" t="str">
        <f>IFERROR(__xludf.DUMMYFUNCTION("""COMPUTED_VALUE"""),"Excellent")</f>
        <v>Excellent</v>
      </c>
      <c r="AA3605" s="182"/>
      <c r="AB3605" s="182" t="str">
        <f>IFERROR(__xludf.DUMMYFUNCTION("""COMPUTED_VALUE"""),"Excellent")</f>
        <v>Excellent</v>
      </c>
      <c r="AC3605" s="183"/>
      <c r="AD3605" s="183"/>
      <c r="AE3605" s="183"/>
      <c r="AF3605" s="184"/>
      <c r="AG3605" s="180" t="str">
        <f>IFERROR(__xludf.DUMMYFUNCTION("""COMPUTED_VALUE"""),"Fourth update to spreadsheet.")</f>
        <v>Fourth update to spreadsheet.</v>
      </c>
      <c r="AH3605" s="185">
        <f>IFERROR(__xludf.DUMMYFUNCTION("""COMPUTED_VALUE"""),43241.72355957176)</f>
        <v>43241.72356</v>
      </c>
      <c r="AI3605" s="182"/>
      <c r="AJ3605" s="182"/>
      <c r="AK3605" s="182"/>
      <c r="AL3605" s="182"/>
    </row>
    <row r="3606" ht="20.25" customHeight="1">
      <c r="A3606" s="169" t="str">
        <f>IFERROR(__xludf.DUMMYFUNCTION("""COMPUTED_VALUE"""),"veritas3241")</f>
        <v>veritas3241</v>
      </c>
      <c r="B3606" s="170" t="str">
        <f>IFERROR(__xludf.DUMMYFUNCTION("""COMPUTED_VALUE"""),"Nashville")</f>
        <v>Nashville</v>
      </c>
      <c r="C3606" s="170" t="str">
        <f>IFERROR(__xludf.DUMMYFUNCTION("""COMPUTED_VALUE"""),"TN")</f>
        <v>TN</v>
      </c>
      <c r="D3606" s="170" t="str">
        <f>IFERROR(__xludf.DUMMYFUNCTION("""COMPUTED_VALUE"""),"USA")</f>
        <v>USA</v>
      </c>
      <c r="E3606" s="171">
        <f>IFERROR(__xludf.DUMMYFUNCTION("""COMPUTED_VALUE"""),43197.0)</f>
        <v>43197</v>
      </c>
      <c r="F3606" s="172">
        <f>IFERROR(__xludf.DUMMYFUNCTION("""COMPUTED_VALUE"""),43223.0)</f>
        <v>43223</v>
      </c>
      <c r="G3606" s="173"/>
      <c r="H3606" s="174">
        <f>IFERROR(__xludf.DUMMYFUNCTION("""COMPUTED_VALUE"""),22165.0)</f>
        <v>22165</v>
      </c>
      <c r="I3606" s="175"/>
      <c r="J3606" s="172">
        <f>IFERROR(__xludf.DUMMYFUNCTION("""COMPUTED_VALUE"""),43242.0)</f>
        <v>43242</v>
      </c>
      <c r="K3606" s="176">
        <f>IFERROR(__xludf.DUMMYFUNCTION("""COMPUTED_VALUE"""),26.0)</f>
        <v>26</v>
      </c>
      <c r="L3606" s="176">
        <f>IFERROR(__xludf.DUMMYFUNCTION("""COMPUTED_VALUE"""),19.0)</f>
        <v>19</v>
      </c>
      <c r="M3606" s="176">
        <f>IFERROR(__xludf.DUMMYFUNCTION("""COMPUTED_VALUE"""),45.0)</f>
        <v>45</v>
      </c>
      <c r="N3606" s="177" t="str">
        <f>IFERROR(__xludf.DUMMYFUNCTION("""COMPUTED_VALUE"""),"Model 3 LR")</f>
        <v>Model 3 LR</v>
      </c>
      <c r="O3606" s="177" t="str">
        <f>IFERROR(__xludf.DUMMYFUNCTION("""COMPUTED_VALUE"""),"Red Multi-Coat")</f>
        <v>Red Multi-Coat</v>
      </c>
      <c r="P3606" s="178" t="str">
        <f>IFERROR(__xludf.DUMMYFUNCTION("""COMPUTED_VALUE"""),"18 inch Aero")</f>
        <v>18 inch Aero</v>
      </c>
      <c r="Q3606" s="177" t="str">
        <f>IFERROR(__xludf.DUMMYFUNCTION("""COMPUTED_VALUE"""),"Black seats")</f>
        <v>Black seats</v>
      </c>
      <c r="R3606" s="170" t="str">
        <f>IFERROR(__xludf.DUMMYFUNCTION("""COMPUTED_VALUE"""),"Enhanced Autopilot")</f>
        <v>Enhanced Autopilot</v>
      </c>
      <c r="S3606" s="170"/>
      <c r="T3606" s="179"/>
      <c r="U3606" s="179"/>
      <c r="V3606" s="179"/>
      <c r="W3606" s="180"/>
      <c r="X3606" s="181" t="str">
        <f>IFERROR(__xludf.DUMMYFUNCTION("""COMPUTED_VALUE"""),"Excellent")</f>
        <v>Excellent</v>
      </c>
      <c r="Y3606" s="182" t="str">
        <f>IFERROR(__xludf.DUMMYFUNCTION("""COMPUTED_VALUE"""),"Excellent")</f>
        <v>Excellent</v>
      </c>
      <c r="Z3606" s="182" t="str">
        <f>IFERROR(__xludf.DUMMYFUNCTION("""COMPUTED_VALUE"""),"Very Good")</f>
        <v>Very Good</v>
      </c>
      <c r="AA3606" s="182"/>
      <c r="AB3606" s="182" t="str">
        <f>IFERROR(__xludf.DUMMYFUNCTION("""COMPUTED_VALUE"""),"Excellent")</f>
        <v>Excellent</v>
      </c>
      <c r="AC3606" s="183"/>
      <c r="AD3606" s="183"/>
      <c r="AE3606" s="183"/>
      <c r="AF3606" s="184"/>
      <c r="AG3606" s="180"/>
      <c r="AH3606" s="185">
        <f>IFERROR(__xludf.DUMMYFUNCTION("""COMPUTED_VALUE"""),43244.28861827547)</f>
        <v>43244.28862</v>
      </c>
      <c r="AI3606" s="182"/>
      <c r="AJ3606" s="182"/>
      <c r="AK3606" s="182"/>
      <c r="AL3606" s="182"/>
    </row>
    <row r="3607" ht="20.25" customHeight="1">
      <c r="A3607" s="169" t="str">
        <f>IFERROR(__xludf.DUMMYFUNCTION("""COMPUTED_VALUE"""),"Zaxxon")</f>
        <v>Zaxxon</v>
      </c>
      <c r="B3607" s="170" t="str">
        <f>IFERROR(__xludf.DUMMYFUNCTION("""COMPUTED_VALUE"""),"Denver")</f>
        <v>Denver</v>
      </c>
      <c r="C3607" s="170" t="str">
        <f>IFERROR(__xludf.DUMMYFUNCTION("""COMPUTED_VALUE"""),"CO")</f>
        <v>CO</v>
      </c>
      <c r="D3607" s="170" t="str">
        <f>IFERROR(__xludf.DUMMYFUNCTION("""COMPUTED_VALUE"""),"USA")</f>
        <v>USA</v>
      </c>
      <c r="E3607" s="171">
        <f>IFERROR(__xludf.DUMMYFUNCTION("""COMPUTED_VALUE"""),43197.0)</f>
        <v>43197</v>
      </c>
      <c r="F3607" s="172">
        <f>IFERROR(__xludf.DUMMYFUNCTION("""COMPUTED_VALUE"""),43222.0)</f>
        <v>43222</v>
      </c>
      <c r="G3607" s="173"/>
      <c r="H3607" s="174">
        <f>IFERROR(__xludf.DUMMYFUNCTION("""COMPUTED_VALUE"""),22485.0)</f>
        <v>22485</v>
      </c>
      <c r="I3607" s="175" t="str">
        <f>IFERROR(__xludf.DUMMYFUNCTION("""COMPUTED_VALUE"""),"05/18")</f>
        <v>05/18</v>
      </c>
      <c r="J3607" s="172">
        <f>IFERROR(__xludf.DUMMYFUNCTION("""COMPUTED_VALUE"""),43230.0)</f>
        <v>43230</v>
      </c>
      <c r="K3607" s="176">
        <f>IFERROR(__xludf.DUMMYFUNCTION("""COMPUTED_VALUE"""),25.0)</f>
        <v>25</v>
      </c>
      <c r="L3607" s="176">
        <f>IFERROR(__xludf.DUMMYFUNCTION("""COMPUTED_VALUE"""),8.0)</f>
        <v>8</v>
      </c>
      <c r="M3607" s="176">
        <f>IFERROR(__xludf.DUMMYFUNCTION("""COMPUTED_VALUE"""),33.0)</f>
        <v>33</v>
      </c>
      <c r="N3607" s="177" t="str">
        <f>IFERROR(__xludf.DUMMYFUNCTION("""COMPUTED_VALUE"""),"Model 3 LR")</f>
        <v>Model 3 LR</v>
      </c>
      <c r="O3607" s="177" t="str">
        <f>IFERROR(__xludf.DUMMYFUNCTION("""COMPUTED_VALUE"""),"Deep Blue Metallic")</f>
        <v>Deep Blue Metallic</v>
      </c>
      <c r="P3607" s="178" t="str">
        <f>IFERROR(__xludf.DUMMYFUNCTION("""COMPUTED_VALUE"""),"18 inch Aero")</f>
        <v>18 inch Aero</v>
      </c>
      <c r="Q3607" s="177" t="str">
        <f>IFERROR(__xludf.DUMMYFUNCTION("""COMPUTED_VALUE"""),"Black seats")</f>
        <v>Black seats</v>
      </c>
      <c r="R3607" s="170" t="str">
        <f>IFERROR(__xludf.DUMMYFUNCTION("""COMPUTED_VALUE"""),"Enhanced Autopilot")</f>
        <v>Enhanced Autopilot</v>
      </c>
      <c r="S3607" s="170"/>
      <c r="T3607" s="179"/>
      <c r="U3607" s="179"/>
      <c r="V3607" s="179"/>
      <c r="W3607" s="180"/>
      <c r="X3607" s="181" t="str">
        <f>IFERROR(__xludf.DUMMYFUNCTION("""COMPUTED_VALUE"""),"Excellent")</f>
        <v>Excellent</v>
      </c>
      <c r="Y3607" s="182" t="str">
        <f>IFERROR(__xludf.DUMMYFUNCTION("""COMPUTED_VALUE"""),"Very Good")</f>
        <v>Very Good</v>
      </c>
      <c r="Z3607" s="182" t="str">
        <f>IFERROR(__xludf.DUMMYFUNCTION("""COMPUTED_VALUE"""),"Excellent")</f>
        <v>Excellent</v>
      </c>
      <c r="AA3607" s="182" t="str">
        <f>IFERROR(__xludf.DUMMYFUNCTION("""COMPUTED_VALUE"""),"Excellent")</f>
        <v>Excellent</v>
      </c>
      <c r="AB3607" s="182" t="str">
        <f>IFERROR(__xludf.DUMMYFUNCTION("""COMPUTED_VALUE"""),"Excellent")</f>
        <v>Excellent</v>
      </c>
      <c r="AC3607" s="183"/>
      <c r="AD3607" s="183"/>
      <c r="AE3607" s="183"/>
      <c r="AF3607" s="184"/>
      <c r="AG3607" s="180"/>
      <c r="AH3607" s="185">
        <f>IFERROR(__xludf.DUMMYFUNCTION("""COMPUTED_VALUE"""),43278.88191690972)</f>
        <v>43278.88192</v>
      </c>
      <c r="AI3607" s="182"/>
      <c r="AJ3607" s="182"/>
      <c r="AK3607" s="182"/>
      <c r="AL3607" s="182"/>
    </row>
    <row r="3608" ht="20.25" customHeight="1">
      <c r="A3608" s="169" t="str">
        <f>IFERROR(__xludf.DUMMYFUNCTION("""COMPUTED_VALUE"""),"Ap105")</f>
        <v>Ap105</v>
      </c>
      <c r="B3608" s="170" t="str">
        <f>IFERROR(__xludf.DUMMYFUNCTION("""COMPUTED_VALUE"""),"Kansas City")</f>
        <v>Kansas City</v>
      </c>
      <c r="C3608" s="170" t="str">
        <f>IFERROR(__xludf.DUMMYFUNCTION("""COMPUTED_VALUE"""),"KS")</f>
        <v>KS</v>
      </c>
      <c r="D3608" s="170" t="str">
        <f>IFERROR(__xludf.DUMMYFUNCTION("""COMPUTED_VALUE"""),"USA")</f>
        <v>USA</v>
      </c>
      <c r="E3608" s="171">
        <f>IFERROR(__xludf.DUMMYFUNCTION("""COMPUTED_VALUE"""),43196.0)</f>
        <v>43196</v>
      </c>
      <c r="F3608" s="172">
        <f>IFERROR(__xludf.DUMMYFUNCTION("""COMPUTED_VALUE"""),43219.0)</f>
        <v>43219</v>
      </c>
      <c r="G3608" s="173"/>
      <c r="H3608" s="174">
        <f>IFERROR(__xludf.DUMMYFUNCTION("""COMPUTED_VALUE"""),16755.0)</f>
        <v>16755</v>
      </c>
      <c r="I3608" s="175"/>
      <c r="J3608" s="172">
        <f>IFERROR(__xludf.DUMMYFUNCTION("""COMPUTED_VALUE"""),43235.0)</f>
        <v>43235</v>
      </c>
      <c r="K3608" s="176">
        <f>IFERROR(__xludf.DUMMYFUNCTION("""COMPUTED_VALUE"""),23.0)</f>
        <v>23</v>
      </c>
      <c r="L3608" s="176">
        <f>IFERROR(__xludf.DUMMYFUNCTION("""COMPUTED_VALUE"""),16.0)</f>
        <v>16</v>
      </c>
      <c r="M3608" s="176">
        <f>IFERROR(__xludf.DUMMYFUNCTION("""COMPUTED_VALUE"""),39.0)</f>
        <v>39</v>
      </c>
      <c r="N3608" s="177" t="str">
        <f>IFERROR(__xludf.DUMMYFUNCTION("""COMPUTED_VALUE"""),"Model 3 LR")</f>
        <v>Model 3 LR</v>
      </c>
      <c r="O3608" s="177" t="str">
        <f>IFERROR(__xludf.DUMMYFUNCTION("""COMPUTED_VALUE"""),"Red Multi-Coat")</f>
        <v>Red Multi-Coat</v>
      </c>
      <c r="P3608" s="178" t="str">
        <f>IFERROR(__xludf.DUMMYFUNCTION("""COMPUTED_VALUE"""),"18 inch Aero")</f>
        <v>18 inch Aero</v>
      </c>
      <c r="Q3608" s="177" t="str">
        <f>IFERROR(__xludf.DUMMYFUNCTION("""COMPUTED_VALUE"""),"Black seats")</f>
        <v>Black seats</v>
      </c>
      <c r="R3608" s="170" t="str">
        <f>IFERROR(__xludf.DUMMYFUNCTION("""COMPUTED_VALUE"""),"Enhanced Autopilot")</f>
        <v>Enhanced Autopilot</v>
      </c>
      <c r="S3608" s="170"/>
      <c r="T3608" s="179"/>
      <c r="U3608" s="179"/>
      <c r="V3608" s="179"/>
      <c r="W3608" s="180"/>
      <c r="X3608" s="181" t="str">
        <f>IFERROR(__xludf.DUMMYFUNCTION("""COMPUTED_VALUE"""),"Excellent")</f>
        <v>Excellent</v>
      </c>
      <c r="Y3608" s="182" t="str">
        <f>IFERROR(__xludf.DUMMYFUNCTION("""COMPUTED_VALUE"""),"Excellent")</f>
        <v>Excellent</v>
      </c>
      <c r="Z3608" s="182" t="str">
        <f>IFERROR(__xludf.DUMMYFUNCTION("""COMPUTED_VALUE"""),"Fair")</f>
        <v>Fair</v>
      </c>
      <c r="AA3608" s="182"/>
      <c r="AB3608" s="182" t="str">
        <f>IFERROR(__xludf.DUMMYFUNCTION("""COMPUTED_VALUE"""),"Excellent")</f>
        <v>Excellent</v>
      </c>
      <c r="AC3608" s="183"/>
      <c r="AD3608" s="183"/>
      <c r="AE3608" s="183"/>
      <c r="AF3608" s="184"/>
      <c r="AG3608" s="180"/>
      <c r="AH3608" s="185">
        <f>IFERROR(__xludf.DUMMYFUNCTION("""COMPUTED_VALUE"""),43236.24359489583)</f>
        <v>43236.24359</v>
      </c>
      <c r="AI3608" s="182"/>
      <c r="AJ3608" s="182"/>
      <c r="AK3608" s="182"/>
      <c r="AL3608" s="182"/>
    </row>
    <row r="3609" ht="20.25" customHeight="1">
      <c r="A3609" s="169" t="str">
        <f>IFERROR(__xludf.DUMMYFUNCTION("""COMPUTED_VALUE"""),"baulp")</f>
        <v>baulp</v>
      </c>
      <c r="B3609" s="170" t="str">
        <f>IFERROR(__xludf.DUMMYFUNCTION("""COMPUTED_VALUE"""),"Los Angeles")</f>
        <v>Los Angeles</v>
      </c>
      <c r="C3609" s="170" t="str">
        <f>IFERROR(__xludf.DUMMYFUNCTION("""COMPUTED_VALUE"""),"CA")</f>
        <v>CA</v>
      </c>
      <c r="D3609" s="170" t="str">
        <f>IFERROR(__xludf.DUMMYFUNCTION("""COMPUTED_VALUE"""),"USA")</f>
        <v>USA</v>
      </c>
      <c r="E3609" s="171">
        <f>IFERROR(__xludf.DUMMYFUNCTION("""COMPUTED_VALUE"""),43196.0)</f>
        <v>43196</v>
      </c>
      <c r="F3609" s="172">
        <f>IFERROR(__xludf.DUMMYFUNCTION("""COMPUTED_VALUE"""),43228.0)</f>
        <v>43228</v>
      </c>
      <c r="G3609" s="173"/>
      <c r="H3609" s="174">
        <f>IFERROR(__xludf.DUMMYFUNCTION("""COMPUTED_VALUE"""),21655.0)</f>
        <v>21655</v>
      </c>
      <c r="I3609" s="175"/>
      <c r="J3609" s="172">
        <f>IFERROR(__xludf.DUMMYFUNCTION("""COMPUTED_VALUE"""),43239.0)</f>
        <v>43239</v>
      </c>
      <c r="K3609" s="176">
        <f>IFERROR(__xludf.DUMMYFUNCTION("""COMPUTED_VALUE"""),32.0)</f>
        <v>32</v>
      </c>
      <c r="L3609" s="176">
        <f>IFERROR(__xludf.DUMMYFUNCTION("""COMPUTED_VALUE"""),11.0)</f>
        <v>11</v>
      </c>
      <c r="M3609" s="176">
        <f>IFERROR(__xludf.DUMMYFUNCTION("""COMPUTED_VALUE"""),43.0)</f>
        <v>43</v>
      </c>
      <c r="N3609" s="177" t="str">
        <f>IFERROR(__xludf.DUMMYFUNCTION("""COMPUTED_VALUE"""),"Model 3 LR")</f>
        <v>Model 3 LR</v>
      </c>
      <c r="O3609" s="177" t="str">
        <f>IFERROR(__xludf.DUMMYFUNCTION("""COMPUTED_VALUE"""),"Midnight Silver Metallic")</f>
        <v>Midnight Silver Metallic</v>
      </c>
      <c r="P3609" s="178" t="str">
        <f>IFERROR(__xludf.DUMMYFUNCTION("""COMPUTED_VALUE"""),"18 inch Aero")</f>
        <v>18 inch Aero</v>
      </c>
      <c r="Q3609" s="177" t="str">
        <f>IFERROR(__xludf.DUMMYFUNCTION("""COMPUTED_VALUE"""),"Black seats")</f>
        <v>Black seats</v>
      </c>
      <c r="R3609" s="170" t="str">
        <f>IFERROR(__xludf.DUMMYFUNCTION("""COMPUTED_VALUE"""),"Enhanced Autopilot")</f>
        <v>Enhanced Autopilot</v>
      </c>
      <c r="S3609" s="170"/>
      <c r="T3609" s="179"/>
      <c r="U3609" s="179"/>
      <c r="V3609" s="179"/>
      <c r="W3609" s="180"/>
      <c r="X3609" s="181" t="str">
        <f>IFERROR(__xludf.DUMMYFUNCTION("""COMPUTED_VALUE"""),"Very Good")</f>
        <v>Very Good</v>
      </c>
      <c r="Y3609" s="182" t="str">
        <f>IFERROR(__xludf.DUMMYFUNCTION("""COMPUTED_VALUE"""),"Excellent")</f>
        <v>Excellent</v>
      </c>
      <c r="Z3609" s="182" t="str">
        <f>IFERROR(__xludf.DUMMYFUNCTION("""COMPUTED_VALUE"""),"Excellent")</f>
        <v>Excellent</v>
      </c>
      <c r="AA3609" s="182"/>
      <c r="AB3609" s="182" t="str">
        <f>IFERROR(__xludf.DUMMYFUNCTION("""COMPUTED_VALUE"""),"Excellent")</f>
        <v>Excellent</v>
      </c>
      <c r="AC3609" s="183"/>
      <c r="AD3609" s="183"/>
      <c r="AE3609" s="183"/>
      <c r="AF3609" s="184"/>
      <c r="AG3609" s="180"/>
      <c r="AH3609" s="185">
        <f>IFERROR(__xludf.DUMMYFUNCTION("""COMPUTED_VALUE"""),43242.614112476855)</f>
        <v>43242.61411</v>
      </c>
      <c r="AI3609" s="182"/>
      <c r="AJ3609" s="182"/>
      <c r="AK3609" s="182"/>
      <c r="AL3609" s="182"/>
    </row>
    <row r="3610" ht="20.25" customHeight="1">
      <c r="A3610" s="169" t="str">
        <f>IFERROR(__xludf.DUMMYFUNCTION("""COMPUTED_VALUE"""),"Blavious")</f>
        <v>Blavious</v>
      </c>
      <c r="B3610" s="170" t="str">
        <f>IFERROR(__xludf.DUMMYFUNCTION("""COMPUTED_VALUE"""),"Raleigh")</f>
        <v>Raleigh</v>
      </c>
      <c r="C3610" s="170" t="str">
        <f>IFERROR(__xludf.DUMMYFUNCTION("""COMPUTED_VALUE"""),"NC")</f>
        <v>NC</v>
      </c>
      <c r="D3610" s="170" t="str">
        <f>IFERROR(__xludf.DUMMYFUNCTION("""COMPUTED_VALUE"""),"USA")</f>
        <v>USA</v>
      </c>
      <c r="E3610" s="171">
        <f>IFERROR(__xludf.DUMMYFUNCTION("""COMPUTED_VALUE"""),43196.0)</f>
        <v>43196</v>
      </c>
      <c r="F3610" s="172">
        <f>IFERROR(__xludf.DUMMYFUNCTION("""COMPUTED_VALUE"""),43222.0)</f>
        <v>43222</v>
      </c>
      <c r="G3610" s="173"/>
      <c r="H3610" s="174">
        <f>IFERROR(__xludf.DUMMYFUNCTION("""COMPUTED_VALUE"""),19655.0)</f>
        <v>19655</v>
      </c>
      <c r="I3610" s="175"/>
      <c r="J3610" s="172">
        <f>IFERROR(__xludf.DUMMYFUNCTION("""COMPUTED_VALUE"""),43238.0)</f>
        <v>43238</v>
      </c>
      <c r="K3610" s="176">
        <f>IFERROR(__xludf.DUMMYFUNCTION("""COMPUTED_VALUE"""),26.0)</f>
        <v>26</v>
      </c>
      <c r="L3610" s="176">
        <f>IFERROR(__xludf.DUMMYFUNCTION("""COMPUTED_VALUE"""),16.0)</f>
        <v>16</v>
      </c>
      <c r="M3610" s="176">
        <f>IFERROR(__xludf.DUMMYFUNCTION("""COMPUTED_VALUE"""),42.0)</f>
        <v>42</v>
      </c>
      <c r="N3610" s="177" t="str">
        <f>IFERROR(__xludf.DUMMYFUNCTION("""COMPUTED_VALUE"""),"Model 3 LR")</f>
        <v>Model 3 LR</v>
      </c>
      <c r="O3610" s="177" t="str">
        <f>IFERROR(__xludf.DUMMYFUNCTION("""COMPUTED_VALUE"""),"Pearl White Multi-Coat")</f>
        <v>Pearl White Multi-Coat</v>
      </c>
      <c r="P3610" s="178" t="str">
        <f>IFERROR(__xludf.DUMMYFUNCTION("""COMPUTED_VALUE"""),"18 inch Aero")</f>
        <v>18 inch Aero</v>
      </c>
      <c r="Q3610" s="177" t="str">
        <f>IFERROR(__xludf.DUMMYFUNCTION("""COMPUTED_VALUE"""),"Black seats")</f>
        <v>Black seats</v>
      </c>
      <c r="R3610" s="170" t="str">
        <f>IFERROR(__xludf.DUMMYFUNCTION("""COMPUTED_VALUE"""),"Enhanced Autopilot")</f>
        <v>Enhanced Autopilot</v>
      </c>
      <c r="S3610" s="170"/>
      <c r="T3610" s="179"/>
      <c r="U3610" s="179"/>
      <c r="V3610" s="179"/>
      <c r="W3610" s="180"/>
      <c r="X3610" s="181" t="str">
        <f>IFERROR(__xludf.DUMMYFUNCTION("""COMPUTED_VALUE"""),"Very Good")</f>
        <v>Very Good</v>
      </c>
      <c r="Y3610" s="182" t="str">
        <f>IFERROR(__xludf.DUMMYFUNCTION("""COMPUTED_VALUE"""),"Excellent")</f>
        <v>Excellent</v>
      </c>
      <c r="Z3610" s="182" t="str">
        <f>IFERROR(__xludf.DUMMYFUNCTION("""COMPUTED_VALUE"""),"Very Good")</f>
        <v>Very Good</v>
      </c>
      <c r="AA3610" s="182"/>
      <c r="AB3610" s="182" t="str">
        <f>IFERROR(__xludf.DUMMYFUNCTION("""COMPUTED_VALUE"""),"Excellent")</f>
        <v>Excellent</v>
      </c>
      <c r="AC3610" s="183"/>
      <c r="AD3610" s="183"/>
      <c r="AE3610" s="183"/>
      <c r="AF3610" s="184"/>
      <c r="AG3610" s="180"/>
      <c r="AH3610" s="185">
        <f>IFERROR(__xludf.DUMMYFUNCTION("""COMPUTED_VALUE"""),43238.58688011574)</f>
        <v>43238.58688</v>
      </c>
      <c r="AI3610" s="182"/>
      <c r="AJ3610" s="182"/>
      <c r="AK3610" s="182"/>
      <c r="AL3610" s="182"/>
    </row>
    <row r="3611" ht="20.25" customHeight="1">
      <c r="A3611" s="169" t="str">
        <f>IFERROR(__xludf.DUMMYFUNCTION("""COMPUTED_VALUE"""),"chicagogal")</f>
        <v>chicagogal</v>
      </c>
      <c r="B3611" s="170" t="str">
        <f>IFERROR(__xludf.DUMMYFUNCTION("""COMPUTED_VALUE"""),"Chicago")</f>
        <v>Chicago</v>
      </c>
      <c r="C3611" s="170" t="str">
        <f>IFERROR(__xludf.DUMMYFUNCTION("""COMPUTED_VALUE"""),"IL")</f>
        <v>IL</v>
      </c>
      <c r="D3611" s="170" t="str">
        <f>IFERROR(__xludf.DUMMYFUNCTION("""COMPUTED_VALUE"""),"USA")</f>
        <v>USA</v>
      </c>
      <c r="E3611" s="171">
        <f>IFERROR(__xludf.DUMMYFUNCTION("""COMPUTED_VALUE"""),43196.0)</f>
        <v>43196</v>
      </c>
      <c r="F3611" s="172">
        <f>IFERROR(__xludf.DUMMYFUNCTION("""COMPUTED_VALUE"""),43220.0)</f>
        <v>43220</v>
      </c>
      <c r="G3611" s="173"/>
      <c r="H3611" s="174">
        <f>IFERROR(__xludf.DUMMYFUNCTION("""COMPUTED_VALUE"""),19655.0)</f>
        <v>19655</v>
      </c>
      <c r="I3611" s="175"/>
      <c r="J3611" s="172">
        <f>IFERROR(__xludf.DUMMYFUNCTION("""COMPUTED_VALUE"""),43241.0)</f>
        <v>43241</v>
      </c>
      <c r="K3611" s="176">
        <f>IFERROR(__xludf.DUMMYFUNCTION("""COMPUTED_VALUE"""),24.0)</f>
        <v>24</v>
      </c>
      <c r="L3611" s="176">
        <f>IFERROR(__xludf.DUMMYFUNCTION("""COMPUTED_VALUE"""),21.0)</f>
        <v>21</v>
      </c>
      <c r="M3611" s="176">
        <f>IFERROR(__xludf.DUMMYFUNCTION("""COMPUTED_VALUE"""),45.0)</f>
        <v>45</v>
      </c>
      <c r="N3611" s="177" t="str">
        <f>IFERROR(__xludf.DUMMYFUNCTION("""COMPUTED_VALUE"""),"Model 3 LR")</f>
        <v>Model 3 LR</v>
      </c>
      <c r="O3611" s="177" t="str">
        <f>IFERROR(__xludf.DUMMYFUNCTION("""COMPUTED_VALUE"""),"Pearl White Multi-Coat")</f>
        <v>Pearl White Multi-Coat</v>
      </c>
      <c r="P3611" s="178" t="str">
        <f>IFERROR(__xludf.DUMMYFUNCTION("""COMPUTED_VALUE"""),"18 inch Aero")</f>
        <v>18 inch Aero</v>
      </c>
      <c r="Q3611" s="177" t="str">
        <f>IFERROR(__xludf.DUMMYFUNCTION("""COMPUTED_VALUE"""),"Black seats")</f>
        <v>Black seats</v>
      </c>
      <c r="R3611" s="170" t="str">
        <f>IFERROR(__xludf.DUMMYFUNCTION("""COMPUTED_VALUE"""),"Enhanced Autopilot")</f>
        <v>Enhanced Autopilot</v>
      </c>
      <c r="S3611" s="170"/>
      <c r="T3611" s="179"/>
      <c r="U3611" s="179"/>
      <c r="V3611" s="179"/>
      <c r="W3611" s="180"/>
      <c r="X3611" s="181" t="str">
        <f>IFERROR(__xludf.DUMMYFUNCTION("""COMPUTED_VALUE"""),"Good")</f>
        <v>Good</v>
      </c>
      <c r="Y3611" s="182" t="str">
        <f>IFERROR(__xludf.DUMMYFUNCTION("""COMPUTED_VALUE"""),"Excellent")</f>
        <v>Excellent</v>
      </c>
      <c r="Z3611" s="182" t="str">
        <f>IFERROR(__xludf.DUMMYFUNCTION("""COMPUTED_VALUE"""),"Excellent")</f>
        <v>Excellent</v>
      </c>
      <c r="AA3611" s="182"/>
      <c r="AB3611" s="182" t="str">
        <f>IFERROR(__xludf.DUMMYFUNCTION("""COMPUTED_VALUE"""),"Excellent")</f>
        <v>Excellent</v>
      </c>
      <c r="AC3611" s="183"/>
      <c r="AD3611" s="183"/>
      <c r="AE3611" s="183"/>
      <c r="AF3611" s="184"/>
      <c r="AG3611" s="180"/>
      <c r="AH3611" s="185">
        <f>IFERROR(__xludf.DUMMYFUNCTION("""COMPUTED_VALUE"""),43242.815933715276)</f>
        <v>43242.81593</v>
      </c>
      <c r="AI3611" s="182"/>
      <c r="AJ3611" s="182"/>
      <c r="AK3611" s="182"/>
      <c r="AL3611" s="182"/>
    </row>
    <row r="3612" ht="20.25" customHeight="1">
      <c r="A3612" s="169" t="str">
        <f>IFERROR(__xludf.DUMMYFUNCTION("""COMPUTED_VALUE"""),"cssgeek")</f>
        <v>cssgeek</v>
      </c>
      <c r="B3612" s="170" t="str">
        <f>IFERROR(__xludf.DUMMYFUNCTION("""COMPUTED_VALUE"""),"St. Louis")</f>
        <v>St. Louis</v>
      </c>
      <c r="C3612" s="170" t="str">
        <f>IFERROR(__xludf.DUMMYFUNCTION("""COMPUTED_VALUE"""),"MO")</f>
        <v>MO</v>
      </c>
      <c r="D3612" s="170" t="str">
        <f>IFERROR(__xludf.DUMMYFUNCTION("""COMPUTED_VALUE"""),"USA")</f>
        <v>USA</v>
      </c>
      <c r="E3612" s="171">
        <f>IFERROR(__xludf.DUMMYFUNCTION("""COMPUTED_VALUE"""),43196.0)</f>
        <v>43196</v>
      </c>
      <c r="F3612" s="172">
        <f>IFERROR(__xludf.DUMMYFUNCTION("""COMPUTED_VALUE"""),43224.0)</f>
        <v>43224</v>
      </c>
      <c r="G3612" s="173"/>
      <c r="H3612" s="174">
        <f>IFERROR(__xludf.DUMMYFUNCTION("""COMPUTED_VALUE"""),19355.0)</f>
        <v>19355</v>
      </c>
      <c r="I3612" s="175" t="str">
        <f>IFERROR(__xludf.DUMMYFUNCTION("""COMPUTED_VALUE"""),"05/18")</f>
        <v>05/18</v>
      </c>
      <c r="J3612" s="172">
        <f>IFERROR(__xludf.DUMMYFUNCTION("""COMPUTED_VALUE"""),43246.0)</f>
        <v>43246</v>
      </c>
      <c r="K3612" s="176">
        <f>IFERROR(__xludf.DUMMYFUNCTION("""COMPUTED_VALUE"""),28.0)</f>
        <v>28</v>
      </c>
      <c r="L3612" s="176">
        <f>IFERROR(__xludf.DUMMYFUNCTION("""COMPUTED_VALUE"""),22.0)</f>
        <v>22</v>
      </c>
      <c r="M3612" s="176">
        <f>IFERROR(__xludf.DUMMYFUNCTION("""COMPUTED_VALUE"""),50.0)</f>
        <v>50</v>
      </c>
      <c r="N3612" s="177" t="str">
        <f>IFERROR(__xludf.DUMMYFUNCTION("""COMPUTED_VALUE"""),"Model 3 LR")</f>
        <v>Model 3 LR</v>
      </c>
      <c r="O3612" s="177" t="str">
        <f>IFERROR(__xludf.DUMMYFUNCTION("""COMPUTED_VALUE"""),"Deep Blue Metallic")</f>
        <v>Deep Blue Metallic</v>
      </c>
      <c r="P3612" s="178" t="str">
        <f>IFERROR(__xludf.DUMMYFUNCTION("""COMPUTED_VALUE"""),"18 inch Aero")</f>
        <v>18 inch Aero</v>
      </c>
      <c r="Q3612" s="177" t="str">
        <f>IFERROR(__xludf.DUMMYFUNCTION("""COMPUTED_VALUE"""),"Black seats")</f>
        <v>Black seats</v>
      </c>
      <c r="R3612" s="170" t="str">
        <f>IFERROR(__xludf.DUMMYFUNCTION("""COMPUTED_VALUE"""),"Enhanced Autopilot")</f>
        <v>Enhanced Autopilot</v>
      </c>
      <c r="S3612" s="170"/>
      <c r="T3612" s="179"/>
      <c r="U3612" s="179"/>
      <c r="V3612" s="179"/>
      <c r="W3612" s="180"/>
      <c r="X3612" s="181" t="str">
        <f>IFERROR(__xludf.DUMMYFUNCTION("""COMPUTED_VALUE"""),"Excellent")</f>
        <v>Excellent</v>
      </c>
      <c r="Y3612" s="182" t="str">
        <f>IFERROR(__xludf.DUMMYFUNCTION("""COMPUTED_VALUE"""),"Excellent")</f>
        <v>Excellent</v>
      </c>
      <c r="Z3612" s="182" t="str">
        <f>IFERROR(__xludf.DUMMYFUNCTION("""COMPUTED_VALUE"""),"Excellent")</f>
        <v>Excellent</v>
      </c>
      <c r="AA3612" s="182" t="str">
        <f>IFERROR(__xludf.DUMMYFUNCTION("""COMPUTED_VALUE"""),"Excellent")</f>
        <v>Excellent</v>
      </c>
      <c r="AB3612" s="182" t="str">
        <f>IFERROR(__xludf.DUMMYFUNCTION("""COMPUTED_VALUE"""),"Excellent")</f>
        <v>Excellent</v>
      </c>
      <c r="AC3612" s="183"/>
      <c r="AD3612" s="183"/>
      <c r="AE3612" s="183"/>
      <c r="AF3612" s="184"/>
      <c r="AG3612" s="180"/>
      <c r="AH3612" s="185">
        <f>IFERROR(__xludf.DUMMYFUNCTION("""COMPUTED_VALUE"""),43278.39378711806)</f>
        <v>43278.39379</v>
      </c>
      <c r="AI3612" s="182"/>
      <c r="AJ3612" s="182"/>
      <c r="AK3612" s="182"/>
      <c r="AL3612" s="182"/>
    </row>
    <row r="3613" ht="20.25" customHeight="1">
      <c r="A3613" s="169" t="str">
        <f>IFERROR(__xludf.DUMMYFUNCTION("""COMPUTED_VALUE"""),"Cuba_Steve")</f>
        <v>Cuba_Steve</v>
      </c>
      <c r="B3613" s="170" t="str">
        <f>IFERROR(__xludf.DUMMYFUNCTION("""COMPUTED_VALUE"""),"Orlando")</f>
        <v>Orlando</v>
      </c>
      <c r="C3613" s="170" t="str">
        <f>IFERROR(__xludf.DUMMYFUNCTION("""COMPUTED_VALUE"""),"FL")</f>
        <v>FL</v>
      </c>
      <c r="D3613" s="170" t="str">
        <f>IFERROR(__xludf.DUMMYFUNCTION("""COMPUTED_VALUE"""),"USA")</f>
        <v>USA</v>
      </c>
      <c r="E3613" s="171">
        <f>IFERROR(__xludf.DUMMYFUNCTION("""COMPUTED_VALUE"""),43196.0)</f>
        <v>43196</v>
      </c>
      <c r="F3613" s="172">
        <f>IFERROR(__xludf.DUMMYFUNCTION("""COMPUTED_VALUE"""),43228.0)</f>
        <v>43228</v>
      </c>
      <c r="G3613" s="173"/>
      <c r="H3613" s="174">
        <f>IFERROR(__xludf.DUMMYFUNCTION("""COMPUTED_VALUE"""),18555.0)</f>
        <v>18555</v>
      </c>
      <c r="I3613" s="175" t="str">
        <f>IFERROR(__xludf.DUMMYFUNCTION("""COMPUTED_VALUE"""),"04/18")</f>
        <v>04/18</v>
      </c>
      <c r="J3613" s="172">
        <f>IFERROR(__xludf.DUMMYFUNCTION("""COMPUTED_VALUE"""),43241.0)</f>
        <v>43241</v>
      </c>
      <c r="K3613" s="176">
        <f>IFERROR(__xludf.DUMMYFUNCTION("""COMPUTED_VALUE"""),32.0)</f>
        <v>32</v>
      </c>
      <c r="L3613" s="176">
        <f>IFERROR(__xludf.DUMMYFUNCTION("""COMPUTED_VALUE"""),13.0)</f>
        <v>13</v>
      </c>
      <c r="M3613" s="176">
        <f>IFERROR(__xludf.DUMMYFUNCTION("""COMPUTED_VALUE"""),45.0)</f>
        <v>45</v>
      </c>
      <c r="N3613" s="177" t="str">
        <f>IFERROR(__xludf.DUMMYFUNCTION("""COMPUTED_VALUE"""),"Model 3 LR")</f>
        <v>Model 3 LR</v>
      </c>
      <c r="O3613" s="177" t="str">
        <f>IFERROR(__xludf.DUMMYFUNCTION("""COMPUTED_VALUE"""),"Solid Black")</f>
        <v>Solid Black</v>
      </c>
      <c r="P3613" s="178" t="str">
        <f>IFERROR(__xludf.DUMMYFUNCTION("""COMPUTED_VALUE"""),"18 inch Aero")</f>
        <v>18 inch Aero</v>
      </c>
      <c r="Q3613" s="177" t="str">
        <f>IFERROR(__xludf.DUMMYFUNCTION("""COMPUTED_VALUE"""),"Black seats")</f>
        <v>Black seats</v>
      </c>
      <c r="R3613" s="170" t="str">
        <f>IFERROR(__xludf.DUMMYFUNCTION("""COMPUTED_VALUE"""),"Enhanced Autopilot")</f>
        <v>Enhanced Autopilot</v>
      </c>
      <c r="S3613" s="170"/>
      <c r="T3613" s="179"/>
      <c r="U3613" s="179"/>
      <c r="V3613" s="179"/>
      <c r="W3613" s="180"/>
      <c r="X3613" s="181"/>
      <c r="Y3613" s="182" t="str">
        <f>IFERROR(__xludf.DUMMYFUNCTION("""COMPUTED_VALUE"""),"Very Good")</f>
        <v>Very Good</v>
      </c>
      <c r="Z3613" s="182" t="str">
        <f>IFERROR(__xludf.DUMMYFUNCTION("""COMPUTED_VALUE"""),"Good")</f>
        <v>Good</v>
      </c>
      <c r="AA3613" s="182" t="str">
        <f>IFERROR(__xludf.DUMMYFUNCTION("""COMPUTED_VALUE"""),"Excellent")</f>
        <v>Excellent</v>
      </c>
      <c r="AB3613" s="182" t="str">
        <f>IFERROR(__xludf.DUMMYFUNCTION("""COMPUTED_VALUE"""),"Very Good")</f>
        <v>Very Good</v>
      </c>
      <c r="AC3613" s="183">
        <f>IFERROR(__xludf.DUMMYFUNCTION("""COMPUTED_VALUE"""),2.0)</f>
        <v>2</v>
      </c>
      <c r="AD3613" s="183">
        <f>IFERROR(__xludf.DUMMYFUNCTION("""COMPUTED_VALUE"""),0.0)</f>
        <v>0</v>
      </c>
      <c r="AE3613" s="183">
        <f>IFERROR(__xludf.DUMMYFUNCTION("""COMPUTED_VALUE"""),0.0)</f>
        <v>0</v>
      </c>
      <c r="AF3613" s="184"/>
      <c r="AG3613" s="180"/>
      <c r="AH3613" s="185">
        <f>IFERROR(__xludf.DUMMYFUNCTION("""COMPUTED_VALUE"""),43319.29568288195)</f>
        <v>43319.29568</v>
      </c>
      <c r="AI3613" s="182"/>
      <c r="AJ3613" s="182"/>
      <c r="AK3613" s="182"/>
      <c r="AL3613" s="182"/>
    </row>
    <row r="3614" ht="20.25" customHeight="1">
      <c r="A3614" s="169" t="str">
        <f>IFERROR(__xludf.DUMMYFUNCTION("""COMPUTED_VALUE"""),"dalimata.kristen")</f>
        <v>dalimata.kristen</v>
      </c>
      <c r="B3614" s="170" t="str">
        <f>IFERROR(__xludf.DUMMYFUNCTION("""COMPUTED_VALUE"""),"Vancouver")</f>
        <v>Vancouver</v>
      </c>
      <c r="C3614" s="170" t="str">
        <f>IFERROR(__xludf.DUMMYFUNCTION("""COMPUTED_VALUE"""),"WA")</f>
        <v>WA</v>
      </c>
      <c r="D3614" s="170" t="str">
        <f>IFERROR(__xludf.DUMMYFUNCTION("""COMPUTED_VALUE"""),"USA")</f>
        <v>USA</v>
      </c>
      <c r="E3614" s="171">
        <f>IFERROR(__xludf.DUMMYFUNCTION("""COMPUTED_VALUE"""),43196.0)</f>
        <v>43196</v>
      </c>
      <c r="F3614" s="172">
        <f>IFERROR(__xludf.DUMMYFUNCTION("""COMPUTED_VALUE"""),43207.0)</f>
        <v>43207</v>
      </c>
      <c r="G3614" s="173"/>
      <c r="H3614" s="174">
        <f>IFERROR(__xludf.DUMMYFUNCTION("""COMPUTED_VALUE"""),20381.0)</f>
        <v>20381</v>
      </c>
      <c r="I3614" s="175"/>
      <c r="J3614" s="172">
        <f>IFERROR(__xludf.DUMMYFUNCTION("""COMPUTED_VALUE"""),43224.0)</f>
        <v>43224</v>
      </c>
      <c r="K3614" s="176">
        <f>IFERROR(__xludf.DUMMYFUNCTION("""COMPUTED_VALUE"""),11.0)</f>
        <v>11</v>
      </c>
      <c r="L3614" s="176">
        <f>IFERROR(__xludf.DUMMYFUNCTION("""COMPUTED_VALUE"""),17.0)</f>
        <v>17</v>
      </c>
      <c r="M3614" s="176">
        <f>IFERROR(__xludf.DUMMYFUNCTION("""COMPUTED_VALUE"""),28.0)</f>
        <v>28</v>
      </c>
      <c r="N3614" s="177" t="str">
        <f>IFERROR(__xludf.DUMMYFUNCTION("""COMPUTED_VALUE"""),"Model 3 LR")</f>
        <v>Model 3 LR</v>
      </c>
      <c r="O3614" s="177" t="str">
        <f>IFERROR(__xludf.DUMMYFUNCTION("""COMPUTED_VALUE"""),"Deep Blue Metallic")</f>
        <v>Deep Blue Metallic</v>
      </c>
      <c r="P3614" s="178" t="str">
        <f>IFERROR(__xludf.DUMMYFUNCTION("""COMPUTED_VALUE"""),"19 inch Sport")</f>
        <v>19 inch Sport</v>
      </c>
      <c r="Q3614" s="177" t="str">
        <f>IFERROR(__xludf.DUMMYFUNCTION("""COMPUTED_VALUE"""),"Black seats")</f>
        <v>Black seats</v>
      </c>
      <c r="R3614" s="170" t="str">
        <f>IFERROR(__xludf.DUMMYFUNCTION("""COMPUTED_VALUE"""),"Enhanced Autopilot")</f>
        <v>Enhanced Autopilot</v>
      </c>
      <c r="S3614" s="170"/>
      <c r="T3614" s="179"/>
      <c r="U3614" s="179"/>
      <c r="V3614" s="179"/>
      <c r="W3614" s="180"/>
      <c r="X3614" s="181" t="str">
        <f>IFERROR(__xludf.DUMMYFUNCTION("""COMPUTED_VALUE"""),"Very Good")</f>
        <v>Very Good</v>
      </c>
      <c r="Y3614" s="182" t="str">
        <f>IFERROR(__xludf.DUMMYFUNCTION("""COMPUTED_VALUE"""),"Good")</f>
        <v>Good</v>
      </c>
      <c r="Z3614" s="182" t="str">
        <f>IFERROR(__xludf.DUMMYFUNCTION("""COMPUTED_VALUE"""),"Excellent")</f>
        <v>Excellent</v>
      </c>
      <c r="AA3614" s="182"/>
      <c r="AB3614" s="182" t="str">
        <f>IFERROR(__xludf.DUMMYFUNCTION("""COMPUTED_VALUE"""),"Excellent")</f>
        <v>Excellent</v>
      </c>
      <c r="AC3614" s="183"/>
      <c r="AD3614" s="183"/>
      <c r="AE3614" s="183"/>
      <c r="AF3614" s="184"/>
      <c r="AG3614" s="180"/>
      <c r="AH3614" s="185">
        <f>IFERROR(__xludf.DUMMYFUNCTION("""COMPUTED_VALUE"""),43239.63989078704)</f>
        <v>43239.63989</v>
      </c>
      <c r="AI3614" s="182"/>
      <c r="AJ3614" s="182"/>
      <c r="AK3614" s="182"/>
      <c r="AL3614" s="182"/>
    </row>
    <row r="3615" ht="20.25" customHeight="1">
      <c r="A3615" s="169" t="str">
        <f>IFERROR(__xludf.DUMMYFUNCTION("""COMPUTED_VALUE"""),"Dugknight")</f>
        <v>Dugknight</v>
      </c>
      <c r="B3615" s="170" t="str">
        <f>IFERROR(__xludf.DUMMYFUNCTION("""COMPUTED_VALUE"""),"Long Beach")</f>
        <v>Long Beach</v>
      </c>
      <c r="C3615" s="170" t="str">
        <f>IFERROR(__xludf.DUMMYFUNCTION("""COMPUTED_VALUE"""),"CA")</f>
        <v>CA</v>
      </c>
      <c r="D3615" s="170" t="str">
        <f>IFERROR(__xludf.DUMMYFUNCTION("""COMPUTED_VALUE"""),"USA")</f>
        <v>USA</v>
      </c>
      <c r="E3615" s="171">
        <f>IFERROR(__xludf.DUMMYFUNCTION("""COMPUTED_VALUE"""),43196.0)</f>
        <v>43196</v>
      </c>
      <c r="F3615" s="172">
        <f>IFERROR(__xludf.DUMMYFUNCTION("""COMPUTED_VALUE"""),43218.0)</f>
        <v>43218</v>
      </c>
      <c r="G3615" s="173"/>
      <c r="H3615" s="174">
        <f>IFERROR(__xludf.DUMMYFUNCTION("""COMPUTED_VALUE"""),17155.0)</f>
        <v>17155</v>
      </c>
      <c r="I3615" s="175"/>
      <c r="J3615" s="172">
        <f>IFERROR(__xludf.DUMMYFUNCTION("""COMPUTED_VALUE"""),43228.0)</f>
        <v>43228</v>
      </c>
      <c r="K3615" s="176">
        <f>IFERROR(__xludf.DUMMYFUNCTION("""COMPUTED_VALUE"""),22.0)</f>
        <v>22</v>
      </c>
      <c r="L3615" s="176">
        <f>IFERROR(__xludf.DUMMYFUNCTION("""COMPUTED_VALUE"""),10.0)</f>
        <v>10</v>
      </c>
      <c r="M3615" s="176">
        <f>IFERROR(__xludf.DUMMYFUNCTION("""COMPUTED_VALUE"""),32.0)</f>
        <v>32</v>
      </c>
      <c r="N3615" s="177" t="str">
        <f>IFERROR(__xludf.DUMMYFUNCTION("""COMPUTED_VALUE"""),"Model 3 LR")</f>
        <v>Model 3 LR</v>
      </c>
      <c r="O3615" s="177" t="str">
        <f>IFERROR(__xludf.DUMMYFUNCTION("""COMPUTED_VALUE"""),"Deep Blue Metallic")</f>
        <v>Deep Blue Metallic</v>
      </c>
      <c r="P3615" s="178" t="str">
        <f>IFERROR(__xludf.DUMMYFUNCTION("""COMPUTED_VALUE"""),"18 inch Aero")</f>
        <v>18 inch Aero</v>
      </c>
      <c r="Q3615" s="177" t="str">
        <f>IFERROR(__xludf.DUMMYFUNCTION("""COMPUTED_VALUE"""),"Black seats")</f>
        <v>Black seats</v>
      </c>
      <c r="R3615" s="170" t="str">
        <f>IFERROR(__xludf.DUMMYFUNCTION("""COMPUTED_VALUE"""),"Enhanced Autopilot")</f>
        <v>Enhanced Autopilot</v>
      </c>
      <c r="S3615" s="170"/>
      <c r="T3615" s="179"/>
      <c r="U3615" s="179"/>
      <c r="V3615" s="179"/>
      <c r="W3615" s="180"/>
      <c r="X3615" s="181" t="str">
        <f>IFERROR(__xludf.DUMMYFUNCTION("""COMPUTED_VALUE"""),"Very Good")</f>
        <v>Very Good</v>
      </c>
      <c r="Y3615" s="182" t="str">
        <f>IFERROR(__xludf.DUMMYFUNCTION("""COMPUTED_VALUE"""),"Excellent")</f>
        <v>Excellent</v>
      </c>
      <c r="Z3615" s="182" t="str">
        <f>IFERROR(__xludf.DUMMYFUNCTION("""COMPUTED_VALUE"""),"Excellent")</f>
        <v>Excellent</v>
      </c>
      <c r="AA3615" s="182"/>
      <c r="AB3615" s="182" t="str">
        <f>IFERROR(__xludf.DUMMYFUNCTION("""COMPUTED_VALUE"""),"Good")</f>
        <v>Good</v>
      </c>
      <c r="AC3615" s="183"/>
      <c r="AD3615" s="183"/>
      <c r="AE3615" s="183"/>
      <c r="AF3615" s="184"/>
      <c r="AG3615" s="180"/>
      <c r="AH3615" s="185">
        <f>IFERROR(__xludf.DUMMYFUNCTION("""COMPUTED_VALUE"""),43228.84525125)</f>
        <v>43228.84525</v>
      </c>
      <c r="AI3615" s="182"/>
      <c r="AJ3615" s="182"/>
      <c r="AK3615" s="182"/>
      <c r="AL3615" s="182"/>
    </row>
    <row r="3616" ht="20.25" customHeight="1">
      <c r="A3616" s="169" t="str">
        <f>IFERROR(__xludf.DUMMYFUNCTION("""COMPUTED_VALUE"""),"Faustic")</f>
        <v>Faustic</v>
      </c>
      <c r="B3616" s="170" t="str">
        <f>IFERROR(__xludf.DUMMYFUNCTION("""COMPUTED_VALUE"""),"Orlando")</f>
        <v>Orlando</v>
      </c>
      <c r="C3616" s="170" t="str">
        <f>IFERROR(__xludf.DUMMYFUNCTION("""COMPUTED_VALUE"""),"FL")</f>
        <v>FL</v>
      </c>
      <c r="D3616" s="170" t="str">
        <f>IFERROR(__xludf.DUMMYFUNCTION("""COMPUTED_VALUE"""),"USA")</f>
        <v>USA</v>
      </c>
      <c r="E3616" s="171">
        <f>IFERROR(__xludf.DUMMYFUNCTION("""COMPUTED_VALUE"""),43196.0)</f>
        <v>43196</v>
      </c>
      <c r="F3616" s="172">
        <f>IFERROR(__xludf.DUMMYFUNCTION("""COMPUTED_VALUE"""),43220.0)</f>
        <v>43220</v>
      </c>
      <c r="G3616" s="173"/>
      <c r="H3616" s="174">
        <f>IFERROR(__xludf.DUMMYFUNCTION("""COMPUTED_VALUE"""),17455.0)</f>
        <v>17455</v>
      </c>
      <c r="I3616" s="175" t="str">
        <f>IFERROR(__xludf.DUMMYFUNCTION("""COMPUTED_VALUE"""),"04/18")</f>
        <v>04/18</v>
      </c>
      <c r="J3616" s="172">
        <f>IFERROR(__xludf.DUMMYFUNCTION("""COMPUTED_VALUE"""),43288.0)</f>
        <v>43288</v>
      </c>
      <c r="K3616" s="176">
        <f>IFERROR(__xludf.DUMMYFUNCTION("""COMPUTED_VALUE"""),24.0)</f>
        <v>24</v>
      </c>
      <c r="L3616" s="176">
        <f>IFERROR(__xludf.DUMMYFUNCTION("""COMPUTED_VALUE"""),68.0)</f>
        <v>68</v>
      </c>
      <c r="M3616" s="176">
        <f>IFERROR(__xludf.DUMMYFUNCTION("""COMPUTED_VALUE"""),92.0)</f>
        <v>92</v>
      </c>
      <c r="N3616" s="177" t="str">
        <f>IFERROR(__xludf.DUMMYFUNCTION("""COMPUTED_VALUE"""),"Model 3 LR")</f>
        <v>Model 3 LR</v>
      </c>
      <c r="O3616" s="177" t="str">
        <f>IFERROR(__xludf.DUMMYFUNCTION("""COMPUTED_VALUE"""),"Pearl White Multi-Coat")</f>
        <v>Pearl White Multi-Coat</v>
      </c>
      <c r="P3616" s="178" t="str">
        <f>IFERROR(__xludf.DUMMYFUNCTION("""COMPUTED_VALUE"""),"18 inch Aero")</f>
        <v>18 inch Aero</v>
      </c>
      <c r="Q3616" s="177" t="str">
        <f>IFERROR(__xludf.DUMMYFUNCTION("""COMPUTED_VALUE"""),"Black seats")</f>
        <v>Black seats</v>
      </c>
      <c r="R3616" s="170" t="str">
        <f>IFERROR(__xludf.DUMMYFUNCTION("""COMPUTED_VALUE"""),"Enhanced Autopilot")</f>
        <v>Enhanced Autopilot</v>
      </c>
      <c r="S3616" s="170"/>
      <c r="T3616" s="179"/>
      <c r="U3616" s="179"/>
      <c r="V3616" s="179"/>
      <c r="W3616" s="180"/>
      <c r="X3616" s="181" t="str">
        <f>IFERROR(__xludf.DUMMYFUNCTION("""COMPUTED_VALUE"""),"Excellent")</f>
        <v>Excellent</v>
      </c>
      <c r="Y3616" s="182" t="str">
        <f>IFERROR(__xludf.DUMMYFUNCTION("""COMPUTED_VALUE"""),"Good")</f>
        <v>Good</v>
      </c>
      <c r="Z3616" s="182" t="str">
        <f>IFERROR(__xludf.DUMMYFUNCTION("""COMPUTED_VALUE"""),"Excellent")</f>
        <v>Excellent</v>
      </c>
      <c r="AA3616" s="182" t="str">
        <f>IFERROR(__xludf.DUMMYFUNCTION("""COMPUTED_VALUE"""),"Excellent")</f>
        <v>Excellent</v>
      </c>
      <c r="AB3616" s="182" t="str">
        <f>IFERROR(__xludf.DUMMYFUNCTION("""COMPUTED_VALUE"""),"Good")</f>
        <v>Good</v>
      </c>
      <c r="AC3616" s="183">
        <f>IFERROR(__xludf.DUMMYFUNCTION("""COMPUTED_VALUE"""),2.0)</f>
        <v>2</v>
      </c>
      <c r="AD3616" s="183"/>
      <c r="AE3616" s="183"/>
      <c r="AF3616" s="184"/>
      <c r="AG3616" s="180"/>
      <c r="AH3616" s="185">
        <f>IFERROR(__xludf.DUMMYFUNCTION("""COMPUTED_VALUE"""),43289.364303125)</f>
        <v>43289.3643</v>
      </c>
      <c r="AI3616" s="182"/>
      <c r="AJ3616" s="182"/>
      <c r="AK3616" s="182"/>
      <c r="AL3616" s="182"/>
    </row>
    <row r="3617" ht="20.25" customHeight="1">
      <c r="A3617" s="169" t="str">
        <f>IFERROR(__xludf.DUMMYFUNCTION("""COMPUTED_VALUE"""),"gnp")</f>
        <v>gnp</v>
      </c>
      <c r="B3617" s="170" t="str">
        <f>IFERROR(__xludf.DUMMYFUNCTION("""COMPUTED_VALUE"""),"Houston")</f>
        <v>Houston</v>
      </c>
      <c r="C3617" s="170" t="str">
        <f>IFERROR(__xludf.DUMMYFUNCTION("""COMPUTED_VALUE"""),"TX")</f>
        <v>TX</v>
      </c>
      <c r="D3617" s="170" t="str">
        <f>IFERROR(__xludf.DUMMYFUNCTION("""COMPUTED_VALUE"""),"USA")</f>
        <v>USA</v>
      </c>
      <c r="E3617" s="171">
        <f>IFERROR(__xludf.DUMMYFUNCTION("""COMPUTED_VALUE"""),43196.0)</f>
        <v>43196</v>
      </c>
      <c r="F3617" s="172">
        <f>IFERROR(__xludf.DUMMYFUNCTION("""COMPUTED_VALUE"""),43222.0)</f>
        <v>43222</v>
      </c>
      <c r="G3617" s="173"/>
      <c r="H3617" s="174">
        <f>IFERROR(__xludf.DUMMYFUNCTION("""COMPUTED_VALUE"""),19555.0)</f>
        <v>19555</v>
      </c>
      <c r="I3617" s="175"/>
      <c r="J3617" s="172">
        <f>IFERROR(__xludf.DUMMYFUNCTION("""COMPUTED_VALUE"""),43253.0)</f>
        <v>43253</v>
      </c>
      <c r="K3617" s="176">
        <f>IFERROR(__xludf.DUMMYFUNCTION("""COMPUTED_VALUE"""),26.0)</f>
        <v>26</v>
      </c>
      <c r="L3617" s="176">
        <f>IFERROR(__xludf.DUMMYFUNCTION("""COMPUTED_VALUE"""),31.0)</f>
        <v>31</v>
      </c>
      <c r="M3617" s="176">
        <f>IFERROR(__xludf.DUMMYFUNCTION("""COMPUTED_VALUE"""),57.0)</f>
        <v>57</v>
      </c>
      <c r="N3617" s="177" t="str">
        <f>IFERROR(__xludf.DUMMYFUNCTION("""COMPUTED_VALUE"""),"Model 3 LR")</f>
        <v>Model 3 LR</v>
      </c>
      <c r="O3617" s="177" t="str">
        <f>IFERROR(__xludf.DUMMYFUNCTION("""COMPUTED_VALUE"""),"Deep Blue Metallic")</f>
        <v>Deep Blue Metallic</v>
      </c>
      <c r="P3617" s="178" t="str">
        <f>IFERROR(__xludf.DUMMYFUNCTION("""COMPUTED_VALUE"""),"18 inch Aero")</f>
        <v>18 inch Aero</v>
      </c>
      <c r="Q3617" s="177" t="str">
        <f>IFERROR(__xludf.DUMMYFUNCTION("""COMPUTED_VALUE"""),"Black seats")</f>
        <v>Black seats</v>
      </c>
      <c r="R3617" s="170" t="str">
        <f>IFERROR(__xludf.DUMMYFUNCTION("""COMPUTED_VALUE"""),"None")</f>
        <v>None</v>
      </c>
      <c r="S3617" s="170"/>
      <c r="T3617" s="179"/>
      <c r="U3617" s="179"/>
      <c r="V3617" s="179"/>
      <c r="W3617" s="180"/>
      <c r="X3617" s="181" t="str">
        <f>IFERROR(__xludf.DUMMYFUNCTION("""COMPUTED_VALUE"""),"Excellent")</f>
        <v>Excellent</v>
      </c>
      <c r="Y3617" s="182" t="str">
        <f>IFERROR(__xludf.DUMMYFUNCTION("""COMPUTED_VALUE"""),"Excellent")</f>
        <v>Excellent</v>
      </c>
      <c r="Z3617" s="182" t="str">
        <f>IFERROR(__xludf.DUMMYFUNCTION("""COMPUTED_VALUE"""),"Fair")</f>
        <v>Fair</v>
      </c>
      <c r="AA3617" s="182" t="str">
        <f>IFERROR(__xludf.DUMMYFUNCTION("""COMPUTED_VALUE"""),"Fair")</f>
        <v>Fair</v>
      </c>
      <c r="AB3617" s="182" t="str">
        <f>IFERROR(__xludf.DUMMYFUNCTION("""COMPUTED_VALUE"""),"Very Good")</f>
        <v>Very Good</v>
      </c>
      <c r="AC3617" s="183"/>
      <c r="AD3617" s="183"/>
      <c r="AE3617" s="183"/>
      <c r="AF3617" s="184"/>
      <c r="AG3617" s="180"/>
      <c r="AH3617" s="185">
        <f>IFERROR(__xludf.DUMMYFUNCTION("""COMPUTED_VALUE"""),43253.88940526621)</f>
        <v>43253.88941</v>
      </c>
      <c r="AI3617" s="182"/>
      <c r="AJ3617" s="182"/>
      <c r="AK3617" s="182"/>
      <c r="AL3617" s="182"/>
    </row>
    <row r="3618" ht="20.25" customHeight="1">
      <c r="A3618" s="169" t="str">
        <f>IFERROR(__xludf.DUMMYFUNCTION("""COMPUTED_VALUE"""),"IlliniPDX")</f>
        <v>IlliniPDX</v>
      </c>
      <c r="B3618" s="170" t="str">
        <f>IFERROR(__xludf.DUMMYFUNCTION("""COMPUTED_VALUE"""),"Portland")</f>
        <v>Portland</v>
      </c>
      <c r="C3618" s="170" t="str">
        <f>IFERROR(__xludf.DUMMYFUNCTION("""COMPUTED_VALUE"""),"OR")</f>
        <v>OR</v>
      </c>
      <c r="D3618" s="170" t="str">
        <f>IFERROR(__xludf.DUMMYFUNCTION("""COMPUTED_VALUE"""),"USA")</f>
        <v>USA</v>
      </c>
      <c r="E3618" s="171">
        <f>IFERROR(__xludf.DUMMYFUNCTION("""COMPUTED_VALUE"""),43196.0)</f>
        <v>43196</v>
      </c>
      <c r="F3618" s="172">
        <f>IFERROR(__xludf.DUMMYFUNCTION("""COMPUTED_VALUE"""),43222.0)</f>
        <v>43222</v>
      </c>
      <c r="G3618" s="173"/>
      <c r="H3618" s="174">
        <f>IFERROR(__xludf.DUMMYFUNCTION("""COMPUTED_VALUE"""),19665.0)</f>
        <v>19665</v>
      </c>
      <c r="I3618" s="175"/>
      <c r="J3618" s="172">
        <f>IFERROR(__xludf.DUMMYFUNCTION("""COMPUTED_VALUE"""),43232.0)</f>
        <v>43232</v>
      </c>
      <c r="K3618" s="176">
        <f>IFERROR(__xludf.DUMMYFUNCTION("""COMPUTED_VALUE"""),26.0)</f>
        <v>26</v>
      </c>
      <c r="L3618" s="176">
        <f>IFERROR(__xludf.DUMMYFUNCTION("""COMPUTED_VALUE"""),10.0)</f>
        <v>10</v>
      </c>
      <c r="M3618" s="176">
        <f>IFERROR(__xludf.DUMMYFUNCTION("""COMPUTED_VALUE"""),36.0)</f>
        <v>36</v>
      </c>
      <c r="N3618" s="177" t="str">
        <f>IFERROR(__xludf.DUMMYFUNCTION("""COMPUTED_VALUE"""),"Model 3 LR")</f>
        <v>Model 3 LR</v>
      </c>
      <c r="O3618" s="177" t="str">
        <f>IFERROR(__xludf.DUMMYFUNCTION("""COMPUTED_VALUE"""),"Pearl White Multi-Coat")</f>
        <v>Pearl White Multi-Coat</v>
      </c>
      <c r="P3618" s="178" t="str">
        <f>IFERROR(__xludf.DUMMYFUNCTION("""COMPUTED_VALUE"""),"18 inch Aero")</f>
        <v>18 inch Aero</v>
      </c>
      <c r="Q3618" s="177" t="str">
        <f>IFERROR(__xludf.DUMMYFUNCTION("""COMPUTED_VALUE"""),"Black seats")</f>
        <v>Black seats</v>
      </c>
      <c r="R3618" s="170" t="str">
        <f>IFERROR(__xludf.DUMMYFUNCTION("""COMPUTED_VALUE"""),"Full Self-Driving")</f>
        <v>Full Self-Driving</v>
      </c>
      <c r="S3618" s="170"/>
      <c r="T3618" s="179"/>
      <c r="U3618" s="179"/>
      <c r="V3618" s="179"/>
      <c r="W3618" s="180"/>
      <c r="X3618" s="181" t="str">
        <f>IFERROR(__xludf.DUMMYFUNCTION("""COMPUTED_VALUE"""),"Good")</f>
        <v>Good</v>
      </c>
      <c r="Y3618" s="182" t="str">
        <f>IFERROR(__xludf.DUMMYFUNCTION("""COMPUTED_VALUE"""),"Good")</f>
        <v>Good</v>
      </c>
      <c r="Z3618" s="182" t="str">
        <f>IFERROR(__xludf.DUMMYFUNCTION("""COMPUTED_VALUE"""),"Good")</f>
        <v>Good</v>
      </c>
      <c r="AA3618" s="182"/>
      <c r="AB3618" s="182" t="str">
        <f>IFERROR(__xludf.DUMMYFUNCTION("""COMPUTED_VALUE"""),"Good")</f>
        <v>Good</v>
      </c>
      <c r="AC3618" s="183"/>
      <c r="AD3618" s="183"/>
      <c r="AE3618" s="183"/>
      <c r="AF3618" s="184"/>
      <c r="AG3618" s="180"/>
      <c r="AH3618" s="185">
        <f>IFERROR(__xludf.DUMMYFUNCTION("""COMPUTED_VALUE"""),43223.552843819445)</f>
        <v>43223.55284</v>
      </c>
      <c r="AI3618" s="182"/>
      <c r="AJ3618" s="182"/>
      <c r="AK3618" s="182"/>
      <c r="AL3618" s="182"/>
    </row>
    <row r="3619" ht="20.25" customHeight="1">
      <c r="A3619" s="169" t="str">
        <f>IFERROR(__xludf.DUMMYFUNCTION("""COMPUTED_VALUE"""),"jindhal")</f>
        <v>jindhal</v>
      </c>
      <c r="B3619" s="170" t="str">
        <f>IFERROR(__xludf.DUMMYFUNCTION("""COMPUTED_VALUE"""),"Boston")</f>
        <v>Boston</v>
      </c>
      <c r="C3619" s="170" t="str">
        <f>IFERROR(__xludf.DUMMYFUNCTION("""COMPUTED_VALUE"""),"MA")</f>
        <v>MA</v>
      </c>
      <c r="D3619" s="170" t="str">
        <f>IFERROR(__xludf.DUMMYFUNCTION("""COMPUTED_VALUE"""),"USA")</f>
        <v>USA</v>
      </c>
      <c r="E3619" s="171">
        <f>IFERROR(__xludf.DUMMYFUNCTION("""COMPUTED_VALUE"""),43196.0)</f>
        <v>43196</v>
      </c>
      <c r="F3619" s="172">
        <f>IFERROR(__xludf.DUMMYFUNCTION("""COMPUTED_VALUE"""),43230.0)</f>
        <v>43230</v>
      </c>
      <c r="G3619" s="173"/>
      <c r="H3619" s="174">
        <f>IFERROR(__xludf.DUMMYFUNCTION("""COMPUTED_VALUE"""),25955.0)</f>
        <v>25955</v>
      </c>
      <c r="I3619" s="175"/>
      <c r="J3619" s="172">
        <f>IFERROR(__xludf.DUMMYFUNCTION("""COMPUTED_VALUE"""),43251.0)</f>
        <v>43251</v>
      </c>
      <c r="K3619" s="176">
        <f>IFERROR(__xludf.DUMMYFUNCTION("""COMPUTED_VALUE"""),34.0)</f>
        <v>34</v>
      </c>
      <c r="L3619" s="176">
        <f>IFERROR(__xludf.DUMMYFUNCTION("""COMPUTED_VALUE"""),21.0)</f>
        <v>21</v>
      </c>
      <c r="M3619" s="176">
        <f>IFERROR(__xludf.DUMMYFUNCTION("""COMPUTED_VALUE"""),55.0)</f>
        <v>55</v>
      </c>
      <c r="N3619" s="177" t="str">
        <f>IFERROR(__xludf.DUMMYFUNCTION("""COMPUTED_VALUE"""),"Model 3 LR")</f>
        <v>Model 3 LR</v>
      </c>
      <c r="O3619" s="177" t="str">
        <f>IFERROR(__xludf.DUMMYFUNCTION("""COMPUTED_VALUE"""),"Midnight Silver Metallic")</f>
        <v>Midnight Silver Metallic</v>
      </c>
      <c r="P3619" s="178" t="str">
        <f>IFERROR(__xludf.DUMMYFUNCTION("""COMPUTED_VALUE"""),"18 inch Aero")</f>
        <v>18 inch Aero</v>
      </c>
      <c r="Q3619" s="177" t="str">
        <f>IFERROR(__xludf.DUMMYFUNCTION("""COMPUTED_VALUE"""),"Black seats")</f>
        <v>Black seats</v>
      </c>
      <c r="R3619" s="170" t="str">
        <f>IFERROR(__xludf.DUMMYFUNCTION("""COMPUTED_VALUE"""),"Enhanced Autopilot")</f>
        <v>Enhanced Autopilot</v>
      </c>
      <c r="S3619" s="170"/>
      <c r="T3619" s="179"/>
      <c r="U3619" s="179"/>
      <c r="V3619" s="179"/>
      <c r="W3619" s="180"/>
      <c r="X3619" s="181" t="str">
        <f>IFERROR(__xludf.DUMMYFUNCTION("""COMPUTED_VALUE"""),"Excellent")</f>
        <v>Excellent</v>
      </c>
      <c r="Y3619" s="182" t="str">
        <f>IFERROR(__xludf.DUMMYFUNCTION("""COMPUTED_VALUE"""),"Fair")</f>
        <v>Fair</v>
      </c>
      <c r="Z3619" s="182" t="str">
        <f>IFERROR(__xludf.DUMMYFUNCTION("""COMPUTED_VALUE"""),"Excellent")</f>
        <v>Excellent</v>
      </c>
      <c r="AA3619" s="182" t="str">
        <f>IFERROR(__xludf.DUMMYFUNCTION("""COMPUTED_VALUE"""),"Poor")</f>
        <v>Poor</v>
      </c>
      <c r="AB3619" s="182" t="str">
        <f>IFERROR(__xludf.DUMMYFUNCTION("""COMPUTED_VALUE"""),"Good")</f>
        <v>Good</v>
      </c>
      <c r="AC3619" s="183"/>
      <c r="AD3619" s="183"/>
      <c r="AE3619" s="183"/>
      <c r="AF3619" s="184"/>
      <c r="AG3619" s="180"/>
      <c r="AH3619" s="185">
        <f>IFERROR(__xludf.DUMMYFUNCTION("""COMPUTED_VALUE"""),43253.28415831019)</f>
        <v>43253.28416</v>
      </c>
      <c r="AI3619" s="182"/>
      <c r="AJ3619" s="182"/>
      <c r="AK3619" s="182"/>
      <c r="AL3619" s="182"/>
    </row>
    <row r="3620" ht="20.25" customHeight="1">
      <c r="A3620" s="169" t="str">
        <f>IFERROR(__xludf.DUMMYFUNCTION("""COMPUTED_VALUE"""),"kkal82")</f>
        <v>kkal82</v>
      </c>
      <c r="B3620" s="170" t="str">
        <f>IFERROR(__xludf.DUMMYFUNCTION("""COMPUTED_VALUE"""),"Oak Brook")</f>
        <v>Oak Brook</v>
      </c>
      <c r="C3620" s="170" t="str">
        <f>IFERROR(__xludf.DUMMYFUNCTION("""COMPUTED_VALUE"""),"IL")</f>
        <v>IL</v>
      </c>
      <c r="D3620" s="170" t="str">
        <f>IFERROR(__xludf.DUMMYFUNCTION("""COMPUTED_VALUE"""),"USA")</f>
        <v>USA</v>
      </c>
      <c r="E3620" s="171">
        <f>IFERROR(__xludf.DUMMYFUNCTION("""COMPUTED_VALUE"""),43196.0)</f>
        <v>43196</v>
      </c>
      <c r="F3620" s="172">
        <f>IFERROR(__xludf.DUMMYFUNCTION("""COMPUTED_VALUE"""),43228.0)</f>
        <v>43228</v>
      </c>
      <c r="G3620" s="173"/>
      <c r="H3620" s="174">
        <f>IFERROR(__xludf.DUMMYFUNCTION("""COMPUTED_VALUE"""),26855.0)</f>
        <v>26855</v>
      </c>
      <c r="I3620" s="175"/>
      <c r="J3620" s="172">
        <f>IFERROR(__xludf.DUMMYFUNCTION("""COMPUTED_VALUE"""),43243.0)</f>
        <v>43243</v>
      </c>
      <c r="K3620" s="176">
        <f>IFERROR(__xludf.DUMMYFUNCTION("""COMPUTED_VALUE"""),32.0)</f>
        <v>32</v>
      </c>
      <c r="L3620" s="176">
        <f>IFERROR(__xludf.DUMMYFUNCTION("""COMPUTED_VALUE"""),15.0)</f>
        <v>15</v>
      </c>
      <c r="M3620" s="176">
        <f>IFERROR(__xludf.DUMMYFUNCTION("""COMPUTED_VALUE"""),47.0)</f>
        <v>47</v>
      </c>
      <c r="N3620" s="177" t="str">
        <f>IFERROR(__xludf.DUMMYFUNCTION("""COMPUTED_VALUE"""),"Model 3 LR")</f>
        <v>Model 3 LR</v>
      </c>
      <c r="O3620" s="177" t="str">
        <f>IFERROR(__xludf.DUMMYFUNCTION("""COMPUTED_VALUE"""),"Midnight Silver Metallic")</f>
        <v>Midnight Silver Metallic</v>
      </c>
      <c r="P3620" s="178" t="str">
        <f>IFERROR(__xludf.DUMMYFUNCTION("""COMPUTED_VALUE"""),"18 inch Aero")</f>
        <v>18 inch Aero</v>
      </c>
      <c r="Q3620" s="177" t="str">
        <f>IFERROR(__xludf.DUMMYFUNCTION("""COMPUTED_VALUE"""),"Black seats")</f>
        <v>Black seats</v>
      </c>
      <c r="R3620" s="170" t="str">
        <f>IFERROR(__xludf.DUMMYFUNCTION("""COMPUTED_VALUE"""),"Enhanced Autopilot")</f>
        <v>Enhanced Autopilot</v>
      </c>
      <c r="S3620" s="170"/>
      <c r="T3620" s="179"/>
      <c r="U3620" s="179"/>
      <c r="V3620" s="179"/>
      <c r="W3620" s="180"/>
      <c r="X3620" s="181" t="str">
        <f>IFERROR(__xludf.DUMMYFUNCTION("""COMPUTED_VALUE"""),"Very Good")</f>
        <v>Very Good</v>
      </c>
      <c r="Y3620" s="182" t="str">
        <f>IFERROR(__xludf.DUMMYFUNCTION("""COMPUTED_VALUE"""),"Good")</f>
        <v>Good</v>
      </c>
      <c r="Z3620" s="182" t="str">
        <f>IFERROR(__xludf.DUMMYFUNCTION("""COMPUTED_VALUE"""),"Excellent")</f>
        <v>Excellent</v>
      </c>
      <c r="AA3620" s="182"/>
      <c r="AB3620" s="182" t="str">
        <f>IFERROR(__xludf.DUMMYFUNCTION("""COMPUTED_VALUE"""),"Excellent")</f>
        <v>Excellent</v>
      </c>
      <c r="AC3620" s="183"/>
      <c r="AD3620" s="183"/>
      <c r="AE3620" s="183"/>
      <c r="AF3620" s="184"/>
      <c r="AG3620" s="180"/>
      <c r="AH3620" s="185">
        <f>IFERROR(__xludf.DUMMYFUNCTION("""COMPUTED_VALUE"""),43245.40078431713)</f>
        <v>43245.40078</v>
      </c>
      <c r="AI3620" s="182"/>
      <c r="AJ3620" s="182"/>
      <c r="AK3620" s="182"/>
      <c r="AL3620" s="182"/>
    </row>
    <row r="3621" ht="20.25" customHeight="1">
      <c r="A3621" s="169" t="str">
        <f>IFERROR(__xludf.DUMMYFUNCTION("""COMPUTED_VALUE"""),"LindyNet")</f>
        <v>LindyNet</v>
      </c>
      <c r="B3621" s="170" t="str">
        <f>IFERROR(__xludf.DUMMYFUNCTION("""COMPUTED_VALUE"""),"TX")</f>
        <v>TX</v>
      </c>
      <c r="C3621" s="170" t="str">
        <f>IFERROR(__xludf.DUMMYFUNCTION("""COMPUTED_VALUE"""),"TX")</f>
        <v>TX</v>
      </c>
      <c r="D3621" s="170" t="str">
        <f>IFERROR(__xludf.DUMMYFUNCTION("""COMPUTED_VALUE"""),"USA")</f>
        <v>USA</v>
      </c>
      <c r="E3621" s="171">
        <f>IFERROR(__xludf.DUMMYFUNCTION("""COMPUTED_VALUE"""),43196.0)</f>
        <v>43196</v>
      </c>
      <c r="F3621" s="172">
        <f>IFERROR(__xludf.DUMMYFUNCTION("""COMPUTED_VALUE"""),43218.0)</f>
        <v>43218</v>
      </c>
      <c r="G3621" s="173"/>
      <c r="H3621" s="174">
        <f>IFERROR(__xludf.DUMMYFUNCTION("""COMPUTED_VALUE"""),17155.0)</f>
        <v>17155</v>
      </c>
      <c r="I3621" s="175"/>
      <c r="J3621" s="172">
        <f>IFERROR(__xludf.DUMMYFUNCTION("""COMPUTED_VALUE"""),43245.0)</f>
        <v>43245</v>
      </c>
      <c r="K3621" s="176">
        <f>IFERROR(__xludf.DUMMYFUNCTION("""COMPUTED_VALUE"""),22.0)</f>
        <v>22</v>
      </c>
      <c r="L3621" s="176">
        <f>IFERROR(__xludf.DUMMYFUNCTION("""COMPUTED_VALUE"""),27.0)</f>
        <v>27</v>
      </c>
      <c r="M3621" s="176">
        <f>IFERROR(__xludf.DUMMYFUNCTION("""COMPUTED_VALUE"""),49.0)</f>
        <v>49</v>
      </c>
      <c r="N3621" s="177" t="str">
        <f>IFERROR(__xludf.DUMMYFUNCTION("""COMPUTED_VALUE"""),"Model 3 LR")</f>
        <v>Model 3 LR</v>
      </c>
      <c r="O3621" s="177" t="str">
        <f>IFERROR(__xludf.DUMMYFUNCTION("""COMPUTED_VALUE"""),"Deep Blue Metallic")</f>
        <v>Deep Blue Metallic</v>
      </c>
      <c r="P3621" s="178" t="str">
        <f>IFERROR(__xludf.DUMMYFUNCTION("""COMPUTED_VALUE"""),"18 inch Aero")</f>
        <v>18 inch Aero</v>
      </c>
      <c r="Q3621" s="177" t="str">
        <f>IFERROR(__xludf.DUMMYFUNCTION("""COMPUTED_VALUE"""),"Black seats")</f>
        <v>Black seats</v>
      </c>
      <c r="R3621" s="170" t="str">
        <f>IFERROR(__xludf.DUMMYFUNCTION("""COMPUTED_VALUE"""),"Enhanced Autopilot")</f>
        <v>Enhanced Autopilot</v>
      </c>
      <c r="S3621" s="170"/>
      <c r="T3621" s="179"/>
      <c r="U3621" s="179"/>
      <c r="V3621" s="179"/>
      <c r="W3621" s="180"/>
      <c r="X3621" s="181" t="str">
        <f>IFERROR(__xludf.DUMMYFUNCTION("""COMPUTED_VALUE"""),"Excellent")</f>
        <v>Excellent</v>
      </c>
      <c r="Y3621" s="182" t="str">
        <f>IFERROR(__xludf.DUMMYFUNCTION("""COMPUTED_VALUE"""),"Excellent")</f>
        <v>Excellent</v>
      </c>
      <c r="Z3621" s="182" t="str">
        <f>IFERROR(__xludf.DUMMYFUNCTION("""COMPUTED_VALUE"""),"Excellent")</f>
        <v>Excellent</v>
      </c>
      <c r="AA3621" s="182"/>
      <c r="AB3621" s="182" t="str">
        <f>IFERROR(__xludf.DUMMYFUNCTION("""COMPUTED_VALUE"""),"Fair")</f>
        <v>Fair</v>
      </c>
      <c r="AC3621" s="183"/>
      <c r="AD3621" s="183"/>
      <c r="AE3621" s="183"/>
      <c r="AF3621" s="184"/>
      <c r="AG3621" s="180" t="str">
        <f>IFERROR(__xludf.DUMMYFUNCTION("""COMPUTED_VALUE"""),"Delivery xp was no bueno - never returned calls or emails")</f>
        <v>Delivery xp was no bueno - never returned calls or emails</v>
      </c>
      <c r="AH3621" s="185">
        <f>IFERROR(__xludf.DUMMYFUNCTION("""COMPUTED_VALUE"""),43249.48793008102)</f>
        <v>43249.48793</v>
      </c>
      <c r="AI3621" s="182"/>
      <c r="AJ3621" s="182"/>
      <c r="AK3621" s="182"/>
      <c r="AL3621" s="182"/>
    </row>
    <row r="3622" ht="20.25" customHeight="1">
      <c r="A3622" s="169" t="str">
        <f>IFERROR(__xludf.DUMMYFUNCTION("""COMPUTED_VALUE"""),"martinbogo")</f>
        <v>martinbogo</v>
      </c>
      <c r="B3622" s="170" t="str">
        <f>IFERROR(__xludf.DUMMYFUNCTION("""COMPUTED_VALUE"""),"Austin")</f>
        <v>Austin</v>
      </c>
      <c r="C3622" s="170" t="str">
        <f>IFERROR(__xludf.DUMMYFUNCTION("""COMPUTED_VALUE"""),"TX")</f>
        <v>TX</v>
      </c>
      <c r="D3622" s="170" t="str">
        <f>IFERROR(__xludf.DUMMYFUNCTION("""COMPUTED_VALUE"""),"USA")</f>
        <v>USA</v>
      </c>
      <c r="E3622" s="171">
        <f>IFERROR(__xludf.DUMMYFUNCTION("""COMPUTED_VALUE"""),43196.0)</f>
        <v>43196</v>
      </c>
      <c r="F3622" s="172">
        <f>IFERROR(__xludf.DUMMYFUNCTION("""COMPUTED_VALUE"""),43243.0)</f>
        <v>43243</v>
      </c>
      <c r="G3622" s="173"/>
      <c r="H3622" s="174">
        <f>IFERROR(__xludf.DUMMYFUNCTION("""COMPUTED_VALUE"""),22855.0)</f>
        <v>22855</v>
      </c>
      <c r="I3622" s="175"/>
      <c r="J3622" s="172">
        <f>IFERROR(__xludf.DUMMYFUNCTION("""COMPUTED_VALUE"""),43260.0)</f>
        <v>43260</v>
      </c>
      <c r="K3622" s="176">
        <f>IFERROR(__xludf.DUMMYFUNCTION("""COMPUTED_VALUE"""),47.0)</f>
        <v>47</v>
      </c>
      <c r="L3622" s="176">
        <f>IFERROR(__xludf.DUMMYFUNCTION("""COMPUTED_VALUE"""),17.0)</f>
        <v>17</v>
      </c>
      <c r="M3622" s="176">
        <f>IFERROR(__xludf.DUMMYFUNCTION("""COMPUTED_VALUE"""),64.0)</f>
        <v>64</v>
      </c>
      <c r="N3622" s="177" t="str">
        <f>IFERROR(__xludf.DUMMYFUNCTION("""COMPUTED_VALUE"""),"Model 3 LR")</f>
        <v>Model 3 LR</v>
      </c>
      <c r="O3622" s="177" t="str">
        <f>IFERROR(__xludf.DUMMYFUNCTION("""COMPUTED_VALUE"""),"Deep Blue Metallic")</f>
        <v>Deep Blue Metallic</v>
      </c>
      <c r="P3622" s="178" t="str">
        <f>IFERROR(__xludf.DUMMYFUNCTION("""COMPUTED_VALUE"""),"18 inch Aero")</f>
        <v>18 inch Aero</v>
      </c>
      <c r="Q3622" s="177" t="str">
        <f>IFERROR(__xludf.DUMMYFUNCTION("""COMPUTED_VALUE"""),"Black seats")</f>
        <v>Black seats</v>
      </c>
      <c r="R3622" s="170" t="str">
        <f>IFERROR(__xludf.DUMMYFUNCTION("""COMPUTED_VALUE"""),"Enhanced Autopilot")</f>
        <v>Enhanced Autopilot</v>
      </c>
      <c r="S3622" s="170"/>
      <c r="T3622" s="179"/>
      <c r="U3622" s="179"/>
      <c r="V3622" s="179"/>
      <c r="W3622" s="180"/>
      <c r="X3622" s="181" t="str">
        <f>IFERROR(__xludf.DUMMYFUNCTION("""COMPUTED_VALUE"""),"Excellent")</f>
        <v>Excellent</v>
      </c>
      <c r="Y3622" s="182" t="str">
        <f>IFERROR(__xludf.DUMMYFUNCTION("""COMPUTED_VALUE"""),"Excellent")</f>
        <v>Excellent</v>
      </c>
      <c r="Z3622" s="182" t="str">
        <f>IFERROR(__xludf.DUMMYFUNCTION("""COMPUTED_VALUE"""),"Poor")</f>
        <v>Poor</v>
      </c>
      <c r="AA3622" s="182" t="str">
        <f>IFERROR(__xludf.DUMMYFUNCTION("""COMPUTED_VALUE"""),"Good")</f>
        <v>Good</v>
      </c>
      <c r="AB3622" s="182" t="str">
        <f>IFERROR(__xludf.DUMMYFUNCTION("""COMPUTED_VALUE"""),"Poor")</f>
        <v>Poor</v>
      </c>
      <c r="AC3622" s="183"/>
      <c r="AD3622" s="183"/>
      <c r="AE3622" s="183"/>
      <c r="AF3622" s="184"/>
      <c r="AG3622" s="180" t="str">
        <f>IFERROR(__xludf.DUMMYFUNCTION("""COMPUTED_VALUE"""),"Original delivery was 5/19 -- rejected car due to transport damage to paint/chrome/brake light.  Delivery Specialists didn't seem to know what to do.  I had to be very assertive to request a loaner vehicle, took a while to sort out the VIN redelivery ( or"&amp;"iginal VIN was 170xx ).  New VIN assigned 5/23 with 6/9 delivery")</f>
        <v>Original delivery was 5/19 -- rejected car due to transport damage to paint/chrome/brake light.  Delivery Specialists didn't seem to know what to do.  I had to be very assertive to request a loaner vehicle, took a while to sort out the VIN redelivery ( original VIN was 170xx ).  New VIN assigned 5/23 with 6/9 delivery</v>
      </c>
      <c r="AH3622" s="185">
        <f>IFERROR(__xludf.DUMMYFUNCTION("""COMPUTED_VALUE"""),43254.3894790625)</f>
        <v>43254.38948</v>
      </c>
      <c r="AI3622" s="182"/>
      <c r="AJ3622" s="182"/>
      <c r="AK3622" s="182"/>
      <c r="AL3622" s="182"/>
    </row>
    <row r="3623" ht="20.25" customHeight="1">
      <c r="A3623" s="169" t="str">
        <f>IFERROR(__xludf.DUMMYFUNCTION("""COMPUTED_VALUE"""),"naplesmachelp")</f>
        <v>naplesmachelp</v>
      </c>
      <c r="B3623" s="170" t="str">
        <f>IFERROR(__xludf.DUMMYFUNCTION("""COMPUTED_VALUE"""),"Naples ")</f>
        <v>Naples </v>
      </c>
      <c r="C3623" s="170" t="str">
        <f>IFERROR(__xludf.DUMMYFUNCTION("""COMPUTED_VALUE"""),"FL")</f>
        <v>FL</v>
      </c>
      <c r="D3623" s="170" t="str">
        <f>IFERROR(__xludf.DUMMYFUNCTION("""COMPUTED_VALUE"""),"USA")</f>
        <v>USA</v>
      </c>
      <c r="E3623" s="171">
        <f>IFERROR(__xludf.DUMMYFUNCTION("""COMPUTED_VALUE"""),43196.0)</f>
        <v>43196</v>
      </c>
      <c r="F3623" s="172">
        <f>IFERROR(__xludf.DUMMYFUNCTION("""COMPUTED_VALUE"""),43228.0)</f>
        <v>43228</v>
      </c>
      <c r="G3623" s="173"/>
      <c r="H3623" s="174">
        <f>IFERROR(__xludf.DUMMYFUNCTION("""COMPUTED_VALUE"""),18965.0)</f>
        <v>18965</v>
      </c>
      <c r="I3623" s="175"/>
      <c r="J3623" s="172">
        <f>IFERROR(__xludf.DUMMYFUNCTION("""COMPUTED_VALUE"""),43257.0)</f>
        <v>43257</v>
      </c>
      <c r="K3623" s="176">
        <f>IFERROR(__xludf.DUMMYFUNCTION("""COMPUTED_VALUE"""),32.0)</f>
        <v>32</v>
      </c>
      <c r="L3623" s="176">
        <f>IFERROR(__xludf.DUMMYFUNCTION("""COMPUTED_VALUE"""),29.0)</f>
        <v>29</v>
      </c>
      <c r="M3623" s="176">
        <f>IFERROR(__xludf.DUMMYFUNCTION("""COMPUTED_VALUE"""),61.0)</f>
        <v>61</v>
      </c>
      <c r="N3623" s="177" t="str">
        <f>IFERROR(__xludf.DUMMYFUNCTION("""COMPUTED_VALUE"""),"Model 3 LR")</f>
        <v>Model 3 LR</v>
      </c>
      <c r="O3623" s="177" t="str">
        <f>IFERROR(__xludf.DUMMYFUNCTION("""COMPUTED_VALUE"""),"Midnight Silver Metallic")</f>
        <v>Midnight Silver Metallic</v>
      </c>
      <c r="P3623" s="178" t="str">
        <f>IFERROR(__xludf.DUMMYFUNCTION("""COMPUTED_VALUE"""),"18 inch Aero")</f>
        <v>18 inch Aero</v>
      </c>
      <c r="Q3623" s="177" t="str">
        <f>IFERROR(__xludf.DUMMYFUNCTION("""COMPUTED_VALUE"""),"Black seats")</f>
        <v>Black seats</v>
      </c>
      <c r="R3623" s="170" t="str">
        <f>IFERROR(__xludf.DUMMYFUNCTION("""COMPUTED_VALUE"""),"Enhanced Autopilot")</f>
        <v>Enhanced Autopilot</v>
      </c>
      <c r="S3623" s="170"/>
      <c r="T3623" s="179"/>
      <c r="U3623" s="179"/>
      <c r="V3623" s="179"/>
      <c r="W3623" s="180"/>
      <c r="X3623" s="181" t="str">
        <f>IFERROR(__xludf.DUMMYFUNCTION("""COMPUTED_VALUE"""),"Excellent")</f>
        <v>Excellent</v>
      </c>
      <c r="Y3623" s="182" t="str">
        <f>IFERROR(__xludf.DUMMYFUNCTION("""COMPUTED_VALUE"""),"Excellent")</f>
        <v>Excellent</v>
      </c>
      <c r="Z3623" s="182" t="str">
        <f>IFERROR(__xludf.DUMMYFUNCTION("""COMPUTED_VALUE"""),"Excellent")</f>
        <v>Excellent</v>
      </c>
      <c r="AA3623" s="182" t="str">
        <f>IFERROR(__xludf.DUMMYFUNCTION("""COMPUTED_VALUE"""),"Excellent")</f>
        <v>Excellent</v>
      </c>
      <c r="AB3623" s="182" t="str">
        <f>IFERROR(__xludf.DUMMYFUNCTION("""COMPUTED_VALUE"""),"Excellent")</f>
        <v>Excellent</v>
      </c>
      <c r="AC3623" s="183"/>
      <c r="AD3623" s="183"/>
      <c r="AE3623" s="183"/>
      <c r="AF3623" s="184"/>
      <c r="AG3623" s="180"/>
      <c r="AH3623" s="185">
        <f>IFERROR(__xludf.DUMMYFUNCTION("""COMPUTED_VALUE"""),43261.342243356485)</f>
        <v>43261.34224</v>
      </c>
      <c r="AI3623" s="182"/>
      <c r="AJ3623" s="182"/>
      <c r="AK3623" s="182"/>
      <c r="AL3623" s="182"/>
    </row>
    <row r="3624" ht="20.25" customHeight="1">
      <c r="A3624" s="169" t="str">
        <f>IFERROR(__xludf.DUMMYFUNCTION("""COMPUTED_VALUE"""),"NWSILM")</f>
        <v>NWSILM</v>
      </c>
      <c r="B3624" s="170" t="str">
        <f>IFERROR(__xludf.DUMMYFUNCTION("""COMPUTED_VALUE"""),"Wilmington")</f>
        <v>Wilmington</v>
      </c>
      <c r="C3624" s="170" t="str">
        <f>IFERROR(__xludf.DUMMYFUNCTION("""COMPUTED_VALUE"""),"NC")</f>
        <v>NC</v>
      </c>
      <c r="D3624" s="170" t="str">
        <f>IFERROR(__xludf.DUMMYFUNCTION("""COMPUTED_VALUE"""),"USA")</f>
        <v>USA</v>
      </c>
      <c r="E3624" s="171">
        <f>IFERROR(__xludf.DUMMYFUNCTION("""COMPUTED_VALUE"""),43196.0)</f>
        <v>43196</v>
      </c>
      <c r="F3624" s="172">
        <f>IFERROR(__xludf.DUMMYFUNCTION("""COMPUTED_VALUE"""),43219.0)</f>
        <v>43219</v>
      </c>
      <c r="G3624" s="173"/>
      <c r="H3624" s="174">
        <f>IFERROR(__xludf.DUMMYFUNCTION("""COMPUTED_VALUE"""),17155.0)</f>
        <v>17155</v>
      </c>
      <c r="I3624" s="175"/>
      <c r="J3624" s="172">
        <f>IFERROR(__xludf.DUMMYFUNCTION("""COMPUTED_VALUE"""),43239.0)</f>
        <v>43239</v>
      </c>
      <c r="K3624" s="176">
        <f>IFERROR(__xludf.DUMMYFUNCTION("""COMPUTED_VALUE"""),23.0)</f>
        <v>23</v>
      </c>
      <c r="L3624" s="176">
        <f>IFERROR(__xludf.DUMMYFUNCTION("""COMPUTED_VALUE"""),20.0)</f>
        <v>20</v>
      </c>
      <c r="M3624" s="176">
        <f>IFERROR(__xludf.DUMMYFUNCTION("""COMPUTED_VALUE"""),43.0)</f>
        <v>43</v>
      </c>
      <c r="N3624" s="177" t="str">
        <f>IFERROR(__xludf.DUMMYFUNCTION("""COMPUTED_VALUE"""),"Model 3 LR")</f>
        <v>Model 3 LR</v>
      </c>
      <c r="O3624" s="177" t="str">
        <f>IFERROR(__xludf.DUMMYFUNCTION("""COMPUTED_VALUE"""),"Deep Blue Metallic")</f>
        <v>Deep Blue Metallic</v>
      </c>
      <c r="P3624" s="178" t="str">
        <f>IFERROR(__xludf.DUMMYFUNCTION("""COMPUTED_VALUE"""),"18 inch Aero")</f>
        <v>18 inch Aero</v>
      </c>
      <c r="Q3624" s="177" t="str">
        <f>IFERROR(__xludf.DUMMYFUNCTION("""COMPUTED_VALUE"""),"Black seats")</f>
        <v>Black seats</v>
      </c>
      <c r="R3624" s="170" t="str">
        <f>IFERROR(__xludf.DUMMYFUNCTION("""COMPUTED_VALUE"""),"None")</f>
        <v>None</v>
      </c>
      <c r="S3624" s="170"/>
      <c r="T3624" s="179"/>
      <c r="U3624" s="179"/>
      <c r="V3624" s="179"/>
      <c r="W3624" s="180"/>
      <c r="X3624" s="181" t="str">
        <f>IFERROR(__xludf.DUMMYFUNCTION("""COMPUTED_VALUE"""),"Very Good")</f>
        <v>Very Good</v>
      </c>
      <c r="Y3624" s="182" t="str">
        <f>IFERROR(__xludf.DUMMYFUNCTION("""COMPUTED_VALUE"""),"Excellent")</f>
        <v>Excellent</v>
      </c>
      <c r="Z3624" s="182" t="str">
        <f>IFERROR(__xludf.DUMMYFUNCTION("""COMPUTED_VALUE"""),"Very Good")</f>
        <v>Very Good</v>
      </c>
      <c r="AA3624" s="182"/>
      <c r="AB3624" s="182" t="str">
        <f>IFERROR(__xludf.DUMMYFUNCTION("""COMPUTED_VALUE"""),"Good")</f>
        <v>Good</v>
      </c>
      <c r="AC3624" s="183"/>
      <c r="AD3624" s="183"/>
      <c r="AE3624" s="183"/>
      <c r="AF3624" s="184"/>
      <c r="AG3624" s="180"/>
      <c r="AH3624" s="185">
        <f>IFERROR(__xludf.DUMMYFUNCTION("""COMPUTED_VALUE"""),43241.373179120375)</f>
        <v>43241.37318</v>
      </c>
      <c r="AI3624" s="182"/>
      <c r="AJ3624" s="182"/>
      <c r="AK3624" s="182"/>
      <c r="AL3624" s="182"/>
    </row>
    <row r="3625" ht="20.25" customHeight="1">
      <c r="A3625" s="169" t="str">
        <f>IFERROR(__xludf.DUMMYFUNCTION("""COMPUTED_VALUE"""),"Radio Rex")</f>
        <v>Radio Rex</v>
      </c>
      <c r="B3625" s="170" t="str">
        <f>IFERROR(__xludf.DUMMYFUNCTION("""COMPUTED_VALUE"""),"West Palm Beach")</f>
        <v>West Palm Beach</v>
      </c>
      <c r="C3625" s="170" t="str">
        <f>IFERROR(__xludf.DUMMYFUNCTION("""COMPUTED_VALUE"""),"FL")</f>
        <v>FL</v>
      </c>
      <c r="D3625" s="170" t="str">
        <f>IFERROR(__xludf.DUMMYFUNCTION("""COMPUTED_VALUE"""),"USA")</f>
        <v>USA</v>
      </c>
      <c r="E3625" s="171">
        <f>IFERROR(__xludf.DUMMYFUNCTION("""COMPUTED_VALUE"""),43196.0)</f>
        <v>43196</v>
      </c>
      <c r="F3625" s="172">
        <f>IFERROR(__xludf.DUMMYFUNCTION("""COMPUTED_VALUE"""),43220.0)</f>
        <v>43220</v>
      </c>
      <c r="G3625" s="173"/>
      <c r="H3625" s="174">
        <f>IFERROR(__xludf.DUMMYFUNCTION("""COMPUTED_VALUE"""),19355.0)</f>
        <v>19355</v>
      </c>
      <c r="I3625" s="175"/>
      <c r="J3625" s="172">
        <f>IFERROR(__xludf.DUMMYFUNCTION("""COMPUTED_VALUE"""),43243.0)</f>
        <v>43243</v>
      </c>
      <c r="K3625" s="176">
        <f>IFERROR(__xludf.DUMMYFUNCTION("""COMPUTED_VALUE"""),24.0)</f>
        <v>24</v>
      </c>
      <c r="L3625" s="176">
        <f>IFERROR(__xludf.DUMMYFUNCTION("""COMPUTED_VALUE"""),23.0)</f>
        <v>23</v>
      </c>
      <c r="M3625" s="176">
        <f>IFERROR(__xludf.DUMMYFUNCTION("""COMPUTED_VALUE"""),47.0)</f>
        <v>47</v>
      </c>
      <c r="N3625" s="177" t="str">
        <f>IFERROR(__xludf.DUMMYFUNCTION("""COMPUTED_VALUE"""),"Model 3 LR")</f>
        <v>Model 3 LR</v>
      </c>
      <c r="O3625" s="177" t="str">
        <f>IFERROR(__xludf.DUMMYFUNCTION("""COMPUTED_VALUE"""),"Deep Blue Metallic")</f>
        <v>Deep Blue Metallic</v>
      </c>
      <c r="P3625" s="178" t="str">
        <f>IFERROR(__xludf.DUMMYFUNCTION("""COMPUTED_VALUE"""),"18 inch Aero")</f>
        <v>18 inch Aero</v>
      </c>
      <c r="Q3625" s="177" t="str">
        <f>IFERROR(__xludf.DUMMYFUNCTION("""COMPUTED_VALUE"""),"Black seats")</f>
        <v>Black seats</v>
      </c>
      <c r="R3625" s="170" t="str">
        <f>IFERROR(__xludf.DUMMYFUNCTION("""COMPUTED_VALUE"""),"Enhanced Autopilot")</f>
        <v>Enhanced Autopilot</v>
      </c>
      <c r="S3625" s="170"/>
      <c r="T3625" s="179"/>
      <c r="U3625" s="179"/>
      <c r="V3625" s="179"/>
      <c r="W3625" s="180"/>
      <c r="X3625" s="181" t="str">
        <f>IFERROR(__xludf.DUMMYFUNCTION("""COMPUTED_VALUE"""),"Very Good")</f>
        <v>Very Good</v>
      </c>
      <c r="Y3625" s="182" t="str">
        <f>IFERROR(__xludf.DUMMYFUNCTION("""COMPUTED_VALUE"""),"Excellent")</f>
        <v>Excellent</v>
      </c>
      <c r="Z3625" s="182" t="str">
        <f>IFERROR(__xludf.DUMMYFUNCTION("""COMPUTED_VALUE"""),"Very Good")</f>
        <v>Very Good</v>
      </c>
      <c r="AA3625" s="182"/>
      <c r="AB3625" s="182" t="str">
        <f>IFERROR(__xludf.DUMMYFUNCTION("""COMPUTED_VALUE"""),"Excellent")</f>
        <v>Excellent</v>
      </c>
      <c r="AC3625" s="183"/>
      <c r="AD3625" s="183"/>
      <c r="AE3625" s="183"/>
      <c r="AF3625" s="184"/>
      <c r="AG3625" s="180"/>
      <c r="AH3625" s="185">
        <f>IFERROR(__xludf.DUMMYFUNCTION("""COMPUTED_VALUE"""),43243.578852962964)</f>
        <v>43243.57885</v>
      </c>
      <c r="AI3625" s="182"/>
      <c r="AJ3625" s="182"/>
      <c r="AK3625" s="182"/>
      <c r="AL3625" s="182"/>
    </row>
    <row r="3626" ht="20.25" customHeight="1">
      <c r="A3626" s="169" t="str">
        <f>IFERROR(__xludf.DUMMYFUNCTION("""COMPUTED_VALUE"""),"StartledKiwiBird")</f>
        <v>StartledKiwiBird</v>
      </c>
      <c r="B3626" s="170" t="str">
        <f>IFERROR(__xludf.DUMMYFUNCTION("""COMPUTED_VALUE"""),"Twin Cities")</f>
        <v>Twin Cities</v>
      </c>
      <c r="C3626" s="170" t="str">
        <f>IFERROR(__xludf.DUMMYFUNCTION("""COMPUTED_VALUE"""),"MN")</f>
        <v>MN</v>
      </c>
      <c r="D3626" s="170" t="str">
        <f>IFERROR(__xludf.DUMMYFUNCTION("""COMPUTED_VALUE"""),"USA")</f>
        <v>USA</v>
      </c>
      <c r="E3626" s="171">
        <f>IFERROR(__xludf.DUMMYFUNCTION("""COMPUTED_VALUE"""),43196.0)</f>
        <v>43196</v>
      </c>
      <c r="F3626" s="172">
        <f>IFERROR(__xludf.DUMMYFUNCTION("""COMPUTED_VALUE"""),43229.0)</f>
        <v>43229</v>
      </c>
      <c r="G3626" s="173"/>
      <c r="H3626" s="174">
        <f>IFERROR(__xludf.DUMMYFUNCTION("""COMPUTED_VALUE"""),21308.0)</f>
        <v>21308</v>
      </c>
      <c r="I3626" s="175" t="str">
        <f>IFERROR(__xludf.DUMMYFUNCTION("""COMPUTED_VALUE"""),"05/18")</f>
        <v>05/18</v>
      </c>
      <c r="J3626" s="172">
        <f>IFERROR(__xludf.DUMMYFUNCTION("""COMPUTED_VALUE"""),43255.0)</f>
        <v>43255</v>
      </c>
      <c r="K3626" s="176">
        <f>IFERROR(__xludf.DUMMYFUNCTION("""COMPUTED_VALUE"""),33.0)</f>
        <v>33</v>
      </c>
      <c r="L3626" s="176">
        <f>IFERROR(__xludf.DUMMYFUNCTION("""COMPUTED_VALUE"""),26.0)</f>
        <v>26</v>
      </c>
      <c r="M3626" s="176">
        <f>IFERROR(__xludf.DUMMYFUNCTION("""COMPUTED_VALUE"""),59.0)</f>
        <v>59</v>
      </c>
      <c r="N3626" s="177" t="str">
        <f>IFERROR(__xludf.DUMMYFUNCTION("""COMPUTED_VALUE"""),"Model 3 LR")</f>
        <v>Model 3 LR</v>
      </c>
      <c r="O3626" s="177" t="str">
        <f>IFERROR(__xludf.DUMMYFUNCTION("""COMPUTED_VALUE"""),"Midnight Silver Metallic")</f>
        <v>Midnight Silver Metallic</v>
      </c>
      <c r="P3626" s="178" t="str">
        <f>IFERROR(__xludf.DUMMYFUNCTION("""COMPUTED_VALUE"""),"18 inch Aero")</f>
        <v>18 inch Aero</v>
      </c>
      <c r="Q3626" s="177" t="str">
        <f>IFERROR(__xludf.DUMMYFUNCTION("""COMPUTED_VALUE"""),"Black seats")</f>
        <v>Black seats</v>
      </c>
      <c r="R3626" s="170" t="str">
        <f>IFERROR(__xludf.DUMMYFUNCTION("""COMPUTED_VALUE"""),"Enhanced Autopilot")</f>
        <v>Enhanced Autopilot</v>
      </c>
      <c r="S3626" s="170"/>
      <c r="T3626" s="179"/>
      <c r="U3626" s="179"/>
      <c r="V3626" s="179"/>
      <c r="W3626" s="180"/>
      <c r="X3626" s="181" t="str">
        <f>IFERROR(__xludf.DUMMYFUNCTION("""COMPUTED_VALUE"""),"Excellent")</f>
        <v>Excellent</v>
      </c>
      <c r="Y3626" s="182" t="str">
        <f>IFERROR(__xludf.DUMMYFUNCTION("""COMPUTED_VALUE"""),"Excellent")</f>
        <v>Excellent</v>
      </c>
      <c r="Z3626" s="182" t="str">
        <f>IFERROR(__xludf.DUMMYFUNCTION("""COMPUTED_VALUE"""),"Excellent")</f>
        <v>Excellent</v>
      </c>
      <c r="AA3626" s="182" t="str">
        <f>IFERROR(__xludf.DUMMYFUNCTION("""COMPUTED_VALUE"""),"Fair")</f>
        <v>Fair</v>
      </c>
      <c r="AB3626" s="182" t="str">
        <f>IFERROR(__xludf.DUMMYFUNCTION("""COMPUTED_VALUE"""),"Good")</f>
        <v>Good</v>
      </c>
      <c r="AC3626" s="183"/>
      <c r="AD3626" s="183"/>
      <c r="AE3626" s="183"/>
      <c r="AF3626" s="184"/>
      <c r="AG3626" s="180" t="str">
        <f>IFERROR(__xludf.DUMMYFUNCTION("""COMPUTED_VALUE"""),"Vehicle did not arrive in time for the scheduled delivery: delivery was pushed to 6/5.")</f>
        <v>Vehicle did not arrive in time for the scheduled delivery: delivery was pushed to 6/5.</v>
      </c>
      <c r="AH3626" s="185">
        <f>IFERROR(__xludf.DUMMYFUNCTION("""COMPUTED_VALUE"""),43259.430795810185)</f>
        <v>43259.4308</v>
      </c>
      <c r="AI3626" s="182"/>
      <c r="AJ3626" s="182"/>
      <c r="AK3626" s="182"/>
      <c r="AL3626" s="182"/>
    </row>
    <row r="3627" ht="20.25" customHeight="1">
      <c r="A3627" s="169" t="str">
        <f>IFERROR(__xludf.DUMMYFUNCTION("""COMPUTED_VALUE"""),"Aseth")</f>
        <v>Aseth</v>
      </c>
      <c r="B3627" s="170"/>
      <c r="C3627" s="170" t="str">
        <f>IFERROR(__xludf.DUMMYFUNCTION("""COMPUTED_VALUE"""),"MA")</f>
        <v>MA</v>
      </c>
      <c r="D3627" s="170" t="str">
        <f>IFERROR(__xludf.DUMMYFUNCTION("""COMPUTED_VALUE"""),"USA")</f>
        <v>USA</v>
      </c>
      <c r="E3627" s="171">
        <f>IFERROR(__xludf.DUMMYFUNCTION("""COMPUTED_VALUE"""),43195.0)</f>
        <v>43195</v>
      </c>
      <c r="F3627" s="172">
        <f>IFERROR(__xludf.DUMMYFUNCTION("""COMPUTED_VALUE"""),43217.0)</f>
        <v>43217</v>
      </c>
      <c r="G3627" s="173"/>
      <c r="H3627" s="174">
        <f>IFERROR(__xludf.DUMMYFUNCTION("""COMPUTED_VALUE"""),17055.0)</f>
        <v>17055</v>
      </c>
      <c r="I3627" s="175"/>
      <c r="J3627" s="172">
        <f>IFERROR(__xludf.DUMMYFUNCTION("""COMPUTED_VALUE"""),43236.0)</f>
        <v>43236</v>
      </c>
      <c r="K3627" s="176">
        <f>IFERROR(__xludf.DUMMYFUNCTION("""COMPUTED_VALUE"""),22.0)</f>
        <v>22</v>
      </c>
      <c r="L3627" s="176">
        <f>IFERROR(__xludf.DUMMYFUNCTION("""COMPUTED_VALUE"""),19.0)</f>
        <v>19</v>
      </c>
      <c r="M3627" s="176">
        <f>IFERROR(__xludf.DUMMYFUNCTION("""COMPUTED_VALUE"""),41.0)</f>
        <v>41</v>
      </c>
      <c r="N3627" s="177" t="str">
        <f>IFERROR(__xludf.DUMMYFUNCTION("""COMPUTED_VALUE"""),"Model 3 LR")</f>
        <v>Model 3 LR</v>
      </c>
      <c r="O3627" s="177" t="str">
        <f>IFERROR(__xludf.DUMMYFUNCTION("""COMPUTED_VALUE"""),"Deep Blue Metallic")</f>
        <v>Deep Blue Metallic</v>
      </c>
      <c r="P3627" s="178" t="str">
        <f>IFERROR(__xludf.DUMMYFUNCTION("""COMPUTED_VALUE"""),"18 inch Aero")</f>
        <v>18 inch Aero</v>
      </c>
      <c r="Q3627" s="177" t="str">
        <f>IFERROR(__xludf.DUMMYFUNCTION("""COMPUTED_VALUE"""),"Black seats")</f>
        <v>Black seats</v>
      </c>
      <c r="R3627" s="170" t="str">
        <f>IFERROR(__xludf.DUMMYFUNCTION("""COMPUTED_VALUE"""),"None")</f>
        <v>None</v>
      </c>
      <c r="S3627" s="170"/>
      <c r="T3627" s="179"/>
      <c r="U3627" s="179"/>
      <c r="V3627" s="179"/>
      <c r="W3627" s="180"/>
      <c r="X3627" s="181" t="str">
        <f>IFERROR(__xludf.DUMMYFUNCTION("""COMPUTED_VALUE"""),"Excellent")</f>
        <v>Excellent</v>
      </c>
      <c r="Y3627" s="182" t="str">
        <f>IFERROR(__xludf.DUMMYFUNCTION("""COMPUTED_VALUE"""),"Excellent")</f>
        <v>Excellent</v>
      </c>
      <c r="Z3627" s="182" t="str">
        <f>IFERROR(__xludf.DUMMYFUNCTION("""COMPUTED_VALUE"""),"Excellent")</f>
        <v>Excellent</v>
      </c>
      <c r="AA3627" s="182"/>
      <c r="AB3627" s="182" t="str">
        <f>IFERROR(__xludf.DUMMYFUNCTION("""COMPUTED_VALUE"""),"Excellent")</f>
        <v>Excellent</v>
      </c>
      <c r="AC3627" s="183"/>
      <c r="AD3627" s="183"/>
      <c r="AE3627" s="183"/>
      <c r="AF3627" s="184"/>
      <c r="AG3627" s="180"/>
      <c r="AH3627" s="185">
        <f>IFERROR(__xludf.DUMMYFUNCTION("""COMPUTED_VALUE"""),43236.569856712966)</f>
        <v>43236.56986</v>
      </c>
      <c r="AI3627" s="182"/>
      <c r="AJ3627" s="182"/>
      <c r="AK3627" s="182"/>
      <c r="AL3627" s="182"/>
    </row>
    <row r="3628" ht="20.25" customHeight="1">
      <c r="A3628" s="169" t="str">
        <f>IFERROR(__xludf.DUMMYFUNCTION("""COMPUTED_VALUE"""),"JohnGriffith")</f>
        <v>JohnGriffith</v>
      </c>
      <c r="B3628" s="170" t="str">
        <f>IFERROR(__xludf.DUMMYFUNCTION("""COMPUTED_VALUE"""),"Costa Mesa")</f>
        <v>Costa Mesa</v>
      </c>
      <c r="C3628" s="170" t="str">
        <f>IFERROR(__xludf.DUMMYFUNCTION("""COMPUTED_VALUE"""),"CA")</f>
        <v>CA</v>
      </c>
      <c r="D3628" s="170" t="str">
        <f>IFERROR(__xludf.DUMMYFUNCTION("""COMPUTED_VALUE"""),"USA")</f>
        <v>USA</v>
      </c>
      <c r="E3628" s="171">
        <f>IFERROR(__xludf.DUMMYFUNCTION("""COMPUTED_VALUE"""),43195.0)</f>
        <v>43195</v>
      </c>
      <c r="F3628" s="172">
        <f>IFERROR(__xludf.DUMMYFUNCTION("""COMPUTED_VALUE"""),43203.0)</f>
        <v>43203</v>
      </c>
      <c r="G3628" s="173"/>
      <c r="H3628" s="174">
        <f>IFERROR(__xludf.DUMMYFUNCTION("""COMPUTED_VALUE"""),17992.0)</f>
        <v>17992</v>
      </c>
      <c r="I3628" s="175"/>
      <c r="J3628" s="172">
        <f>IFERROR(__xludf.DUMMYFUNCTION("""COMPUTED_VALUE"""),43216.0)</f>
        <v>43216</v>
      </c>
      <c r="K3628" s="176">
        <f>IFERROR(__xludf.DUMMYFUNCTION("""COMPUTED_VALUE"""),8.0)</f>
        <v>8</v>
      </c>
      <c r="L3628" s="176">
        <f>IFERROR(__xludf.DUMMYFUNCTION("""COMPUTED_VALUE"""),13.0)</f>
        <v>13</v>
      </c>
      <c r="M3628" s="176">
        <f>IFERROR(__xludf.DUMMYFUNCTION("""COMPUTED_VALUE"""),21.0)</f>
        <v>21</v>
      </c>
      <c r="N3628" s="177" t="str">
        <f>IFERROR(__xludf.DUMMYFUNCTION("""COMPUTED_VALUE"""),"Model 3 LR")</f>
        <v>Model 3 LR</v>
      </c>
      <c r="O3628" s="177" t="str">
        <f>IFERROR(__xludf.DUMMYFUNCTION("""COMPUTED_VALUE"""),"Silver Metallic")</f>
        <v>Silver Metallic</v>
      </c>
      <c r="P3628" s="178" t="str">
        <f>IFERROR(__xludf.DUMMYFUNCTION("""COMPUTED_VALUE"""),"19 inch Sport")</f>
        <v>19 inch Sport</v>
      </c>
      <c r="Q3628" s="177" t="str">
        <f>IFERROR(__xludf.DUMMYFUNCTION("""COMPUTED_VALUE"""),"Black seats")</f>
        <v>Black seats</v>
      </c>
      <c r="R3628" s="170" t="str">
        <f>IFERROR(__xludf.DUMMYFUNCTION("""COMPUTED_VALUE"""),"Enhanced Autopilot")</f>
        <v>Enhanced Autopilot</v>
      </c>
      <c r="S3628" s="170"/>
      <c r="T3628" s="179"/>
      <c r="U3628" s="179"/>
      <c r="V3628" s="179"/>
      <c r="W3628" s="180"/>
      <c r="X3628" s="181" t="str">
        <f>IFERROR(__xludf.DUMMYFUNCTION("""COMPUTED_VALUE"""),"Very Good")</f>
        <v>Very Good</v>
      </c>
      <c r="Y3628" s="182" t="str">
        <f>IFERROR(__xludf.DUMMYFUNCTION("""COMPUTED_VALUE"""),"Excellent")</f>
        <v>Excellent</v>
      </c>
      <c r="Z3628" s="182" t="str">
        <f>IFERROR(__xludf.DUMMYFUNCTION("""COMPUTED_VALUE"""),"Very Good")</f>
        <v>Very Good</v>
      </c>
      <c r="AA3628" s="182"/>
      <c r="AB3628" s="182" t="str">
        <f>IFERROR(__xludf.DUMMYFUNCTION("""COMPUTED_VALUE"""),"Excellent")</f>
        <v>Excellent</v>
      </c>
      <c r="AC3628" s="183"/>
      <c r="AD3628" s="183"/>
      <c r="AE3628" s="183"/>
      <c r="AF3628" s="184"/>
      <c r="AG3628" s="180" t="str">
        <f>IFERROR(__xludf.DUMMYFUNCTION("""COMPUTED_VALUE"""),"Prefer AWD")</f>
        <v>Prefer AWD</v>
      </c>
      <c r="AH3628" s="185">
        <f>IFERROR(__xludf.DUMMYFUNCTION("""COMPUTED_VALUE"""),43249.56133174768)</f>
        <v>43249.56133</v>
      </c>
      <c r="AI3628" s="182"/>
      <c r="AJ3628" s="182"/>
      <c r="AK3628" s="182"/>
      <c r="AL3628" s="182"/>
    </row>
    <row r="3629" ht="20.25" customHeight="1">
      <c r="A3629" s="169" t="str">
        <f>IFERROR(__xludf.DUMMYFUNCTION("""COMPUTED_VALUE"""),"kellogg76")</f>
        <v>kellogg76</v>
      </c>
      <c r="B3629" s="170" t="str">
        <f>IFERROR(__xludf.DUMMYFUNCTION("""COMPUTED_VALUE"""),"Halifax")</f>
        <v>Halifax</v>
      </c>
      <c r="C3629" s="170" t="str">
        <f>IFERROR(__xludf.DUMMYFUNCTION("""COMPUTED_VALUE"""),"NS")</f>
        <v>NS</v>
      </c>
      <c r="D3629" s="170" t="str">
        <f>IFERROR(__xludf.DUMMYFUNCTION("""COMPUTED_VALUE"""),"Canada")</f>
        <v>Canada</v>
      </c>
      <c r="E3629" s="171">
        <f>IFERROR(__xludf.DUMMYFUNCTION("""COMPUTED_VALUE"""),43194.0)</f>
        <v>43194</v>
      </c>
      <c r="F3629" s="172">
        <f>IFERROR(__xludf.DUMMYFUNCTION("""COMPUTED_VALUE"""),43228.0)</f>
        <v>43228</v>
      </c>
      <c r="G3629" s="173"/>
      <c r="H3629" s="174">
        <f>IFERROR(__xludf.DUMMYFUNCTION("""COMPUTED_VALUE"""),28855.0)</f>
        <v>28855</v>
      </c>
      <c r="I3629" s="175"/>
      <c r="J3629" s="172">
        <f>IFERROR(__xludf.DUMMYFUNCTION("""COMPUTED_VALUE"""),43271.0)</f>
        <v>43271</v>
      </c>
      <c r="K3629" s="176">
        <f>IFERROR(__xludf.DUMMYFUNCTION("""COMPUTED_VALUE"""),34.0)</f>
        <v>34</v>
      </c>
      <c r="L3629" s="176">
        <f>IFERROR(__xludf.DUMMYFUNCTION("""COMPUTED_VALUE"""),43.0)</f>
        <v>43</v>
      </c>
      <c r="M3629" s="176">
        <f>IFERROR(__xludf.DUMMYFUNCTION("""COMPUTED_VALUE"""),77.0)</f>
        <v>77</v>
      </c>
      <c r="N3629" s="177" t="str">
        <f>IFERROR(__xludf.DUMMYFUNCTION("""COMPUTED_VALUE"""),"Model 3 LR")</f>
        <v>Model 3 LR</v>
      </c>
      <c r="O3629" s="177" t="str">
        <f>IFERROR(__xludf.DUMMYFUNCTION("""COMPUTED_VALUE"""),"Midnight Silver Metallic")</f>
        <v>Midnight Silver Metallic</v>
      </c>
      <c r="P3629" s="178" t="str">
        <f>IFERROR(__xludf.DUMMYFUNCTION("""COMPUTED_VALUE"""),"18 inch Aero")</f>
        <v>18 inch Aero</v>
      </c>
      <c r="Q3629" s="177" t="str">
        <f>IFERROR(__xludf.DUMMYFUNCTION("""COMPUTED_VALUE"""),"Black seats")</f>
        <v>Black seats</v>
      </c>
      <c r="R3629" s="170" t="str">
        <f>IFERROR(__xludf.DUMMYFUNCTION("""COMPUTED_VALUE"""),"Enhanced Autopilot")</f>
        <v>Enhanced Autopilot</v>
      </c>
      <c r="S3629" s="170"/>
      <c r="T3629" s="179"/>
      <c r="U3629" s="179"/>
      <c r="V3629" s="179"/>
      <c r="W3629" s="180"/>
      <c r="X3629" s="181" t="str">
        <f>IFERROR(__xludf.DUMMYFUNCTION("""COMPUTED_VALUE"""),"Excellent")</f>
        <v>Excellent</v>
      </c>
      <c r="Y3629" s="182" t="str">
        <f>IFERROR(__xludf.DUMMYFUNCTION("""COMPUTED_VALUE"""),"Excellent")</f>
        <v>Excellent</v>
      </c>
      <c r="Z3629" s="182" t="str">
        <f>IFERROR(__xludf.DUMMYFUNCTION("""COMPUTED_VALUE"""),"Excellent")</f>
        <v>Excellent</v>
      </c>
      <c r="AA3629" s="182" t="str">
        <f>IFERROR(__xludf.DUMMYFUNCTION("""COMPUTED_VALUE"""),"Good")</f>
        <v>Good</v>
      </c>
      <c r="AB3629" s="182" t="str">
        <f>IFERROR(__xludf.DUMMYFUNCTION("""COMPUTED_VALUE"""),"Poor")</f>
        <v>Poor</v>
      </c>
      <c r="AC3629" s="183"/>
      <c r="AD3629" s="183"/>
      <c r="AE3629" s="183"/>
      <c r="AF3629" s="184"/>
      <c r="AG3629" s="180"/>
      <c r="AH3629" s="185">
        <f>IFERROR(__xludf.DUMMYFUNCTION("""COMPUTED_VALUE"""),43278.20672247685)</f>
        <v>43278.20672</v>
      </c>
      <c r="AI3629" s="182"/>
      <c r="AJ3629" s="182"/>
      <c r="AK3629" s="182"/>
      <c r="AL3629" s="182"/>
    </row>
    <row r="3630" ht="20.25" customHeight="1">
      <c r="A3630" s="169" t="str">
        <f>IFERROR(__xludf.DUMMYFUNCTION("""COMPUTED_VALUE"""),"TEG")</f>
        <v>TEG</v>
      </c>
      <c r="B3630" s="170" t="str">
        <f>IFERROR(__xludf.DUMMYFUNCTION("""COMPUTED_VALUE"""),"SF Bay Area")</f>
        <v>SF Bay Area</v>
      </c>
      <c r="C3630" s="170" t="str">
        <f>IFERROR(__xludf.DUMMYFUNCTION("""COMPUTED_VALUE"""),"CA")</f>
        <v>CA</v>
      </c>
      <c r="D3630" s="170" t="str">
        <f>IFERROR(__xludf.DUMMYFUNCTION("""COMPUTED_VALUE"""),"USA")</f>
        <v>USA</v>
      </c>
      <c r="E3630" s="171">
        <f>IFERROR(__xludf.DUMMYFUNCTION("""COMPUTED_VALUE"""),43192.0)</f>
        <v>43192</v>
      </c>
      <c r="F3630" s="172">
        <f>IFERROR(__xludf.DUMMYFUNCTION("""COMPUTED_VALUE"""),43216.0)</f>
        <v>43216</v>
      </c>
      <c r="G3630" s="173"/>
      <c r="H3630" s="174">
        <f>IFERROR(__xludf.DUMMYFUNCTION("""COMPUTED_VALUE"""),19955.0)</f>
        <v>19955</v>
      </c>
      <c r="I3630" s="175"/>
      <c r="J3630" s="172">
        <f>IFERROR(__xludf.DUMMYFUNCTION("""COMPUTED_VALUE"""),43223.0)</f>
        <v>43223</v>
      </c>
      <c r="K3630" s="176">
        <f>IFERROR(__xludf.DUMMYFUNCTION("""COMPUTED_VALUE"""),24.0)</f>
        <v>24</v>
      </c>
      <c r="L3630" s="176">
        <f>IFERROR(__xludf.DUMMYFUNCTION("""COMPUTED_VALUE"""),7.0)</f>
        <v>7</v>
      </c>
      <c r="M3630" s="176">
        <f>IFERROR(__xludf.DUMMYFUNCTION("""COMPUTED_VALUE"""),31.0)</f>
        <v>31</v>
      </c>
      <c r="N3630" s="177" t="str">
        <f>IFERROR(__xludf.DUMMYFUNCTION("""COMPUTED_VALUE"""),"Model 3 LR")</f>
        <v>Model 3 LR</v>
      </c>
      <c r="O3630" s="177" t="str">
        <f>IFERROR(__xludf.DUMMYFUNCTION("""COMPUTED_VALUE"""),"Midnight Silver Metallic")</f>
        <v>Midnight Silver Metallic</v>
      </c>
      <c r="P3630" s="178" t="str">
        <f>IFERROR(__xludf.DUMMYFUNCTION("""COMPUTED_VALUE"""),"18 inch Aero")</f>
        <v>18 inch Aero</v>
      </c>
      <c r="Q3630" s="177" t="str">
        <f>IFERROR(__xludf.DUMMYFUNCTION("""COMPUTED_VALUE"""),"Black seats")</f>
        <v>Black seats</v>
      </c>
      <c r="R3630" s="170" t="str">
        <f>IFERROR(__xludf.DUMMYFUNCTION("""COMPUTED_VALUE"""),"None")</f>
        <v>None</v>
      </c>
      <c r="S3630" s="170"/>
      <c r="T3630" s="179"/>
      <c r="U3630" s="179"/>
      <c r="V3630" s="179"/>
      <c r="W3630" s="180"/>
      <c r="X3630" s="181" t="str">
        <f>IFERROR(__xludf.DUMMYFUNCTION("""COMPUTED_VALUE"""),"Excellent")</f>
        <v>Excellent</v>
      </c>
      <c r="Y3630" s="182" t="str">
        <f>IFERROR(__xludf.DUMMYFUNCTION("""COMPUTED_VALUE"""),"Very Good")</f>
        <v>Very Good</v>
      </c>
      <c r="Z3630" s="182" t="str">
        <f>IFERROR(__xludf.DUMMYFUNCTION("""COMPUTED_VALUE"""),"Fair")</f>
        <v>Fair</v>
      </c>
      <c r="AA3630" s="182"/>
      <c r="AB3630" s="182" t="str">
        <f>IFERROR(__xludf.DUMMYFUNCTION("""COMPUTED_VALUE"""),"Good")</f>
        <v>Good</v>
      </c>
      <c r="AC3630" s="183"/>
      <c r="AD3630" s="183"/>
      <c r="AE3630" s="183"/>
      <c r="AF3630" s="184"/>
      <c r="AG3630" s="180" t="str">
        <f>IFERROR(__xludf.DUMMYFUNCTION("""COMPUTED_VALUE"""),"charge port door was already scratched at delivery.")</f>
        <v>charge port door was already scratched at delivery.</v>
      </c>
      <c r="AH3630" s="185">
        <f>IFERROR(__xludf.DUMMYFUNCTION("""COMPUTED_VALUE"""),43225.07664209491)</f>
        <v>43225.07664</v>
      </c>
      <c r="AI3630" s="182"/>
      <c r="AJ3630" s="182"/>
      <c r="AK3630" s="182"/>
      <c r="AL3630" s="182"/>
    </row>
    <row r="3631" ht="20.25" customHeight="1">
      <c r="A3631" s="169" t="str">
        <f>IFERROR(__xludf.DUMMYFUNCTION("""COMPUTED_VALUE"""),"akn")</f>
        <v>akn</v>
      </c>
      <c r="B3631" s="170"/>
      <c r="C3631" s="170" t="str">
        <f>IFERROR(__xludf.DUMMYFUNCTION("""COMPUTED_VALUE"""),"FL")</f>
        <v>FL</v>
      </c>
      <c r="D3631" s="170" t="str">
        <f>IFERROR(__xludf.DUMMYFUNCTION("""COMPUTED_VALUE"""),"USA")</f>
        <v>USA</v>
      </c>
      <c r="E3631" s="171">
        <f>IFERROR(__xludf.DUMMYFUNCTION("""COMPUTED_VALUE"""),43189.0)</f>
        <v>43189</v>
      </c>
      <c r="F3631" s="172">
        <f>IFERROR(__xludf.DUMMYFUNCTION("""COMPUTED_VALUE"""),43214.0)</f>
        <v>43214</v>
      </c>
      <c r="G3631" s="173"/>
      <c r="H3631" s="174">
        <f>IFERROR(__xludf.DUMMYFUNCTION("""COMPUTED_VALUE"""),16785.0)</f>
        <v>16785</v>
      </c>
      <c r="I3631" s="175" t="str">
        <f>IFERROR(__xludf.DUMMYFUNCTION("""COMPUTED_VALUE"""),"04/18")</f>
        <v>04/18</v>
      </c>
      <c r="J3631" s="172">
        <f>IFERROR(__xludf.DUMMYFUNCTION("""COMPUTED_VALUE"""),43238.0)</f>
        <v>43238</v>
      </c>
      <c r="K3631" s="176">
        <f>IFERROR(__xludf.DUMMYFUNCTION("""COMPUTED_VALUE"""),25.0)</f>
        <v>25</v>
      </c>
      <c r="L3631" s="176">
        <f>IFERROR(__xludf.DUMMYFUNCTION("""COMPUTED_VALUE"""),24.0)</f>
        <v>24</v>
      </c>
      <c r="M3631" s="176">
        <f>IFERROR(__xludf.DUMMYFUNCTION("""COMPUTED_VALUE"""),49.0)</f>
        <v>49</v>
      </c>
      <c r="N3631" s="177" t="str">
        <f>IFERROR(__xludf.DUMMYFUNCTION("""COMPUTED_VALUE"""),"Model 3 LR")</f>
        <v>Model 3 LR</v>
      </c>
      <c r="O3631" s="177" t="str">
        <f>IFERROR(__xludf.DUMMYFUNCTION("""COMPUTED_VALUE"""),"Red Multi-Coat")</f>
        <v>Red Multi-Coat</v>
      </c>
      <c r="P3631" s="178" t="str">
        <f>IFERROR(__xludf.DUMMYFUNCTION("""COMPUTED_VALUE"""),"18 inch Aero")</f>
        <v>18 inch Aero</v>
      </c>
      <c r="Q3631" s="177" t="str">
        <f>IFERROR(__xludf.DUMMYFUNCTION("""COMPUTED_VALUE"""),"Black seats")</f>
        <v>Black seats</v>
      </c>
      <c r="R3631" s="170" t="str">
        <f>IFERROR(__xludf.DUMMYFUNCTION("""COMPUTED_VALUE"""),"Enhanced Autopilot")</f>
        <v>Enhanced Autopilot</v>
      </c>
      <c r="S3631" s="170"/>
      <c r="T3631" s="179"/>
      <c r="U3631" s="179"/>
      <c r="V3631" s="179"/>
      <c r="W3631" s="180"/>
      <c r="X3631" s="181" t="str">
        <f>IFERROR(__xludf.DUMMYFUNCTION("""COMPUTED_VALUE"""),"Very Good")</f>
        <v>Very Good</v>
      </c>
      <c r="Y3631" s="182" t="str">
        <f>IFERROR(__xludf.DUMMYFUNCTION("""COMPUTED_VALUE"""),"Excellent")</f>
        <v>Excellent</v>
      </c>
      <c r="Z3631" s="182" t="str">
        <f>IFERROR(__xludf.DUMMYFUNCTION("""COMPUTED_VALUE"""),"Very Good")</f>
        <v>Very Good</v>
      </c>
      <c r="AA3631" s="182" t="str">
        <f>IFERROR(__xludf.DUMMYFUNCTION("""COMPUTED_VALUE"""),"Excellent")</f>
        <v>Excellent</v>
      </c>
      <c r="AB3631" s="182" t="str">
        <f>IFERROR(__xludf.DUMMYFUNCTION("""COMPUTED_VALUE"""),"Excellent")</f>
        <v>Excellent</v>
      </c>
      <c r="AC3631" s="183">
        <f>IFERROR(__xludf.DUMMYFUNCTION("""COMPUTED_VALUE"""),2.0)</f>
        <v>2</v>
      </c>
      <c r="AD3631" s="183">
        <f>IFERROR(__xludf.DUMMYFUNCTION("""COMPUTED_VALUE"""),0.0)</f>
        <v>0</v>
      </c>
      <c r="AE3631" s="183">
        <f>IFERROR(__xludf.DUMMYFUNCTION("""COMPUTED_VALUE"""),0.0)</f>
        <v>0</v>
      </c>
      <c r="AF3631" s="184"/>
      <c r="AG3631" s="180"/>
      <c r="AH3631" s="185">
        <f>IFERROR(__xludf.DUMMYFUNCTION("""COMPUTED_VALUE"""),43330.25767678241)</f>
        <v>43330.25768</v>
      </c>
      <c r="AI3631" s="182"/>
      <c r="AJ3631" s="182"/>
      <c r="AK3631" s="182"/>
      <c r="AL3631" s="182"/>
    </row>
    <row r="3632" ht="20.25" customHeight="1">
      <c r="A3632" s="169" t="str">
        <f>IFERROR(__xludf.DUMMYFUNCTION("""COMPUTED_VALUE"""),"Despa-Tesla")</f>
        <v>Despa-Tesla</v>
      </c>
      <c r="B3632" s="170" t="str">
        <f>IFERROR(__xludf.DUMMYFUNCTION("""COMPUTED_VALUE"""),"Montréal")</f>
        <v>Montréal</v>
      </c>
      <c r="C3632" s="170" t="str">
        <f>IFERROR(__xludf.DUMMYFUNCTION("""COMPUTED_VALUE"""),"QC")</f>
        <v>QC</v>
      </c>
      <c r="D3632" s="170" t="str">
        <f>IFERROR(__xludf.DUMMYFUNCTION("""COMPUTED_VALUE"""),"Canada")</f>
        <v>Canada</v>
      </c>
      <c r="E3632" s="171">
        <f>IFERROR(__xludf.DUMMYFUNCTION("""COMPUTED_VALUE"""),43189.0)</f>
        <v>43189</v>
      </c>
      <c r="F3632" s="172">
        <f>IFERROR(__xludf.DUMMYFUNCTION("""COMPUTED_VALUE"""),43227.0)</f>
        <v>43227</v>
      </c>
      <c r="G3632" s="173"/>
      <c r="H3632" s="174">
        <f>IFERROR(__xludf.DUMMYFUNCTION("""COMPUTED_VALUE"""),25855.0)</f>
        <v>25855</v>
      </c>
      <c r="I3632" s="175"/>
      <c r="J3632" s="172">
        <f>IFERROR(__xludf.DUMMYFUNCTION("""COMPUTED_VALUE"""),43251.0)</f>
        <v>43251</v>
      </c>
      <c r="K3632" s="176">
        <f>IFERROR(__xludf.DUMMYFUNCTION("""COMPUTED_VALUE"""),38.0)</f>
        <v>38</v>
      </c>
      <c r="L3632" s="176">
        <f>IFERROR(__xludf.DUMMYFUNCTION("""COMPUTED_VALUE"""),24.0)</f>
        <v>24</v>
      </c>
      <c r="M3632" s="176">
        <f>IFERROR(__xludf.DUMMYFUNCTION("""COMPUTED_VALUE"""),62.0)</f>
        <v>62</v>
      </c>
      <c r="N3632" s="177" t="str">
        <f>IFERROR(__xludf.DUMMYFUNCTION("""COMPUTED_VALUE"""),"Model 3 LR")</f>
        <v>Model 3 LR</v>
      </c>
      <c r="O3632" s="177" t="str">
        <f>IFERROR(__xludf.DUMMYFUNCTION("""COMPUTED_VALUE"""),"Midnight Silver Metallic")</f>
        <v>Midnight Silver Metallic</v>
      </c>
      <c r="P3632" s="178" t="str">
        <f>IFERROR(__xludf.DUMMYFUNCTION("""COMPUTED_VALUE"""),"18 inch Aero")</f>
        <v>18 inch Aero</v>
      </c>
      <c r="Q3632" s="177" t="str">
        <f>IFERROR(__xludf.DUMMYFUNCTION("""COMPUTED_VALUE"""),"Black seats")</f>
        <v>Black seats</v>
      </c>
      <c r="R3632" s="170" t="str">
        <f>IFERROR(__xludf.DUMMYFUNCTION("""COMPUTED_VALUE"""),"Enhanced Autopilot")</f>
        <v>Enhanced Autopilot</v>
      </c>
      <c r="S3632" s="170"/>
      <c r="T3632" s="179"/>
      <c r="U3632" s="179"/>
      <c r="V3632" s="179"/>
      <c r="W3632" s="180"/>
      <c r="X3632" s="181" t="str">
        <f>IFERROR(__xludf.DUMMYFUNCTION("""COMPUTED_VALUE"""),"Excellent")</f>
        <v>Excellent</v>
      </c>
      <c r="Y3632" s="182" t="str">
        <f>IFERROR(__xludf.DUMMYFUNCTION("""COMPUTED_VALUE"""),"Excellent")</f>
        <v>Excellent</v>
      </c>
      <c r="Z3632" s="182" t="str">
        <f>IFERROR(__xludf.DUMMYFUNCTION("""COMPUTED_VALUE"""),"Excellent")</f>
        <v>Excellent</v>
      </c>
      <c r="AA3632" s="182" t="str">
        <f>IFERROR(__xludf.DUMMYFUNCTION("""COMPUTED_VALUE"""),"Excellent")</f>
        <v>Excellent</v>
      </c>
      <c r="AB3632" s="182" t="str">
        <f>IFERROR(__xludf.DUMMYFUNCTION("""COMPUTED_VALUE"""),"Excellent")</f>
        <v>Excellent</v>
      </c>
      <c r="AC3632" s="183"/>
      <c r="AD3632" s="183"/>
      <c r="AE3632" s="183"/>
      <c r="AF3632" s="184"/>
      <c r="AG3632" s="180" t="str">
        <f>IFERROR(__xludf.DUMMYFUNCTION("""COMPUTED_VALUE"""),"Amazing car!")</f>
        <v>Amazing car!</v>
      </c>
      <c r="AH3632" s="185">
        <f>IFERROR(__xludf.DUMMYFUNCTION("""COMPUTED_VALUE"""),43256.90824857639)</f>
        <v>43256.90825</v>
      </c>
      <c r="AI3632" s="182"/>
      <c r="AJ3632" s="182"/>
      <c r="AK3632" s="182"/>
      <c r="AL3632" s="182"/>
    </row>
    <row r="3633" ht="20.25" customHeight="1">
      <c r="A3633" s="169" t="str">
        <f>IFERROR(__xludf.DUMMYFUNCTION("""COMPUTED_VALUE"""),"GalenAlda")</f>
        <v>GalenAlda</v>
      </c>
      <c r="B3633" s="170" t="str">
        <f>IFERROR(__xludf.DUMMYFUNCTION("""COMPUTED_VALUE"""),"Ste-Marthe-sur-le-Lac")</f>
        <v>Ste-Marthe-sur-le-Lac</v>
      </c>
      <c r="C3633" s="170" t="str">
        <f>IFERROR(__xludf.DUMMYFUNCTION("""COMPUTED_VALUE"""),"QC")</f>
        <v>QC</v>
      </c>
      <c r="D3633" s="170" t="str">
        <f>IFERROR(__xludf.DUMMYFUNCTION("""COMPUTED_VALUE"""),"Canada")</f>
        <v>Canada</v>
      </c>
      <c r="E3633" s="171">
        <f>IFERROR(__xludf.DUMMYFUNCTION("""COMPUTED_VALUE"""),43189.0)</f>
        <v>43189</v>
      </c>
      <c r="F3633" s="172">
        <f>IFERROR(__xludf.DUMMYFUNCTION("""COMPUTED_VALUE"""),43263.0)</f>
        <v>43263</v>
      </c>
      <c r="G3633" s="173"/>
      <c r="H3633" s="174">
        <f>IFERROR(__xludf.DUMMYFUNCTION("""COMPUTED_VALUE"""),29455.0)</f>
        <v>29455</v>
      </c>
      <c r="I3633" s="175" t="str">
        <f>IFERROR(__xludf.DUMMYFUNCTION("""COMPUTED_VALUE"""),"05/18")</f>
        <v>05/18</v>
      </c>
      <c r="J3633" s="172">
        <f>IFERROR(__xludf.DUMMYFUNCTION("""COMPUTED_VALUE"""),43273.0)</f>
        <v>43273</v>
      </c>
      <c r="K3633" s="176">
        <f>IFERROR(__xludf.DUMMYFUNCTION("""COMPUTED_VALUE"""),74.0)</f>
        <v>74</v>
      </c>
      <c r="L3633" s="176">
        <f>IFERROR(__xludf.DUMMYFUNCTION("""COMPUTED_VALUE"""),10.0)</f>
        <v>10</v>
      </c>
      <c r="M3633" s="176">
        <f>IFERROR(__xludf.DUMMYFUNCTION("""COMPUTED_VALUE"""),84.0)</f>
        <v>84</v>
      </c>
      <c r="N3633" s="177" t="str">
        <f>IFERROR(__xludf.DUMMYFUNCTION("""COMPUTED_VALUE"""),"Model 3 LR")</f>
        <v>Model 3 LR</v>
      </c>
      <c r="O3633" s="177" t="str">
        <f>IFERROR(__xludf.DUMMYFUNCTION("""COMPUTED_VALUE"""),"Deep Blue Metallic")</f>
        <v>Deep Blue Metallic</v>
      </c>
      <c r="P3633" s="178" t="str">
        <f>IFERROR(__xludf.DUMMYFUNCTION("""COMPUTED_VALUE"""),"18 inch Aero")</f>
        <v>18 inch Aero</v>
      </c>
      <c r="Q3633" s="177" t="str">
        <f>IFERROR(__xludf.DUMMYFUNCTION("""COMPUTED_VALUE"""),"Black seats")</f>
        <v>Black seats</v>
      </c>
      <c r="R3633" s="170" t="str">
        <f>IFERROR(__xludf.DUMMYFUNCTION("""COMPUTED_VALUE"""),"None")</f>
        <v>None</v>
      </c>
      <c r="S3633" s="170"/>
      <c r="T3633" s="179"/>
      <c r="U3633" s="179"/>
      <c r="V3633" s="179"/>
      <c r="W3633" s="180"/>
      <c r="X3633" s="181" t="str">
        <f>IFERROR(__xludf.DUMMYFUNCTION("""COMPUTED_VALUE"""),"Good")</f>
        <v>Good</v>
      </c>
      <c r="Y3633" s="182" t="str">
        <f>IFERROR(__xludf.DUMMYFUNCTION("""COMPUTED_VALUE"""),"Excellent")</f>
        <v>Excellent</v>
      </c>
      <c r="Z3633" s="182" t="str">
        <f>IFERROR(__xludf.DUMMYFUNCTION("""COMPUTED_VALUE"""),"Good")</f>
        <v>Good</v>
      </c>
      <c r="AA3633" s="182" t="str">
        <f>IFERROR(__xludf.DUMMYFUNCTION("""COMPUTED_VALUE"""),"Poor")</f>
        <v>Poor</v>
      </c>
      <c r="AB3633" s="182" t="str">
        <f>IFERROR(__xludf.DUMMYFUNCTION("""COMPUTED_VALUE"""),"Excellent")</f>
        <v>Excellent</v>
      </c>
      <c r="AC3633" s="183">
        <f>IFERROR(__xludf.DUMMYFUNCTION("""COMPUTED_VALUE"""),3.0)</f>
        <v>3</v>
      </c>
      <c r="AD3633" s="183">
        <f>IFERROR(__xludf.DUMMYFUNCTION("""COMPUTED_VALUE"""),1.0)</f>
        <v>1</v>
      </c>
      <c r="AE3633" s="183"/>
      <c r="AF3633" s="184"/>
      <c r="AG3633" s="180"/>
      <c r="AH3633" s="185">
        <f>IFERROR(__xludf.DUMMYFUNCTION("""COMPUTED_VALUE"""),43288.546485023144)</f>
        <v>43288.54649</v>
      </c>
      <c r="AI3633" s="182"/>
      <c r="AJ3633" s="182"/>
      <c r="AK3633" s="182"/>
      <c r="AL3633" s="182"/>
    </row>
    <row r="3634" ht="20.25" customHeight="1">
      <c r="A3634" s="169" t="str">
        <f>IFERROR(__xludf.DUMMYFUNCTION("""COMPUTED_VALUE"""),"HammerTime")</f>
        <v>HammerTime</v>
      </c>
      <c r="B3634" s="170"/>
      <c r="C3634" s="170" t="str">
        <f>IFERROR(__xludf.DUMMYFUNCTION("""COMPUTED_VALUE"""),"ON")</f>
        <v>ON</v>
      </c>
      <c r="D3634" s="170" t="str">
        <f>IFERROR(__xludf.DUMMYFUNCTION("""COMPUTED_VALUE"""),"Canada")</f>
        <v>Canada</v>
      </c>
      <c r="E3634" s="171">
        <f>IFERROR(__xludf.DUMMYFUNCTION("""COMPUTED_VALUE"""),43189.0)</f>
        <v>43189</v>
      </c>
      <c r="F3634" s="172">
        <f>IFERROR(__xludf.DUMMYFUNCTION("""COMPUTED_VALUE"""),43224.0)</f>
        <v>43224</v>
      </c>
      <c r="G3634" s="173"/>
      <c r="H3634" s="174">
        <f>IFERROR(__xludf.DUMMYFUNCTION("""COMPUTED_VALUE"""),21355.0)</f>
        <v>21355</v>
      </c>
      <c r="I3634" s="175" t="str">
        <f>IFERROR(__xludf.DUMMYFUNCTION("""COMPUTED_VALUE"""),"05/18")</f>
        <v>05/18</v>
      </c>
      <c r="J3634" s="172">
        <f>IFERROR(__xludf.DUMMYFUNCTION("""COMPUTED_VALUE"""),43252.0)</f>
        <v>43252</v>
      </c>
      <c r="K3634" s="176">
        <f>IFERROR(__xludf.DUMMYFUNCTION("""COMPUTED_VALUE"""),35.0)</f>
        <v>35</v>
      </c>
      <c r="L3634" s="176">
        <f>IFERROR(__xludf.DUMMYFUNCTION("""COMPUTED_VALUE"""),28.0)</f>
        <v>28</v>
      </c>
      <c r="M3634" s="176">
        <f>IFERROR(__xludf.DUMMYFUNCTION("""COMPUTED_VALUE"""),63.0)</f>
        <v>63</v>
      </c>
      <c r="N3634" s="177" t="str">
        <f>IFERROR(__xludf.DUMMYFUNCTION("""COMPUTED_VALUE"""),"Model 3 LR")</f>
        <v>Model 3 LR</v>
      </c>
      <c r="O3634" s="177" t="str">
        <f>IFERROR(__xludf.DUMMYFUNCTION("""COMPUTED_VALUE"""),"Midnight Silver Metallic")</f>
        <v>Midnight Silver Metallic</v>
      </c>
      <c r="P3634" s="178" t="str">
        <f>IFERROR(__xludf.DUMMYFUNCTION("""COMPUTED_VALUE"""),"18 inch Aero")</f>
        <v>18 inch Aero</v>
      </c>
      <c r="Q3634" s="177" t="str">
        <f>IFERROR(__xludf.DUMMYFUNCTION("""COMPUTED_VALUE"""),"Black seats")</f>
        <v>Black seats</v>
      </c>
      <c r="R3634" s="170" t="str">
        <f>IFERROR(__xludf.DUMMYFUNCTION("""COMPUTED_VALUE"""),"Enhanced Autopilot")</f>
        <v>Enhanced Autopilot</v>
      </c>
      <c r="S3634" s="170"/>
      <c r="T3634" s="179"/>
      <c r="U3634" s="179"/>
      <c r="V3634" s="179"/>
      <c r="W3634" s="180"/>
      <c r="X3634" s="181" t="str">
        <f>IFERROR(__xludf.DUMMYFUNCTION("""COMPUTED_VALUE"""),"Fair")</f>
        <v>Fair</v>
      </c>
      <c r="Y3634" s="182" t="str">
        <f>IFERROR(__xludf.DUMMYFUNCTION("""COMPUTED_VALUE"""),"Very Good")</f>
        <v>Very Good</v>
      </c>
      <c r="Z3634" s="182" t="str">
        <f>IFERROR(__xludf.DUMMYFUNCTION("""COMPUTED_VALUE"""),"Good")</f>
        <v>Good</v>
      </c>
      <c r="AA3634" s="182" t="str">
        <f>IFERROR(__xludf.DUMMYFUNCTION("""COMPUTED_VALUE"""),"Fair")</f>
        <v>Fair</v>
      </c>
      <c r="AB3634" s="182" t="str">
        <f>IFERROR(__xludf.DUMMYFUNCTION("""COMPUTED_VALUE"""),"Fair")</f>
        <v>Fair</v>
      </c>
      <c r="AC3634" s="183">
        <f>IFERROR(__xludf.DUMMYFUNCTION("""COMPUTED_VALUE"""),0.0)</f>
        <v>0</v>
      </c>
      <c r="AD3634" s="183">
        <f>IFERROR(__xludf.DUMMYFUNCTION("""COMPUTED_VALUE"""),0.0)</f>
        <v>0</v>
      </c>
      <c r="AE3634" s="183">
        <f>IFERROR(__xludf.DUMMYFUNCTION("""COMPUTED_VALUE"""),0.0)</f>
        <v>0</v>
      </c>
      <c r="AF3634" s="184"/>
      <c r="AG3634" s="180"/>
      <c r="AH3634" s="185">
        <f>IFERROR(__xludf.DUMMYFUNCTION("""COMPUTED_VALUE"""),43316.26220719907)</f>
        <v>43316.26221</v>
      </c>
      <c r="AI3634" s="182"/>
      <c r="AJ3634" s="182"/>
      <c r="AK3634" s="182"/>
      <c r="AL3634" s="182"/>
    </row>
    <row r="3635" ht="20.25" customHeight="1">
      <c r="A3635" s="169" t="str">
        <f>IFERROR(__xludf.DUMMYFUNCTION("""COMPUTED_VALUE"""),"tlf")</f>
        <v>tlf</v>
      </c>
      <c r="B3635" s="170" t="str">
        <f>IFERROR(__xludf.DUMMYFUNCTION("""COMPUTED_VALUE"""),"Vancouver")</f>
        <v>Vancouver</v>
      </c>
      <c r="C3635" s="170" t="str">
        <f>IFERROR(__xludf.DUMMYFUNCTION("""COMPUTED_VALUE"""),"BC")</f>
        <v>BC</v>
      </c>
      <c r="D3635" s="170" t="str">
        <f>IFERROR(__xludf.DUMMYFUNCTION("""COMPUTED_VALUE"""),"Canada")</f>
        <v>Canada</v>
      </c>
      <c r="E3635" s="171">
        <f>IFERROR(__xludf.DUMMYFUNCTION("""COMPUTED_VALUE"""),43189.0)</f>
        <v>43189</v>
      </c>
      <c r="F3635" s="172"/>
      <c r="G3635" s="173"/>
      <c r="H3635" s="174">
        <f>IFERROR(__xludf.DUMMYFUNCTION("""COMPUTED_VALUE"""),27955.0)</f>
        <v>27955</v>
      </c>
      <c r="I3635" s="175"/>
      <c r="J3635" s="172">
        <f>IFERROR(__xludf.DUMMYFUNCTION("""COMPUTED_VALUE"""),43266.0)</f>
        <v>43266</v>
      </c>
      <c r="K3635" s="176"/>
      <c r="L3635" s="176"/>
      <c r="M3635" s="176">
        <f>IFERROR(__xludf.DUMMYFUNCTION("""COMPUTED_VALUE"""),77.0)</f>
        <v>77</v>
      </c>
      <c r="N3635" s="177" t="str">
        <f>IFERROR(__xludf.DUMMYFUNCTION("""COMPUTED_VALUE"""),"Model 3 LR")</f>
        <v>Model 3 LR</v>
      </c>
      <c r="O3635" s="177" t="str">
        <f>IFERROR(__xludf.DUMMYFUNCTION("""COMPUTED_VALUE"""),"Pearl White Multi-Coat")</f>
        <v>Pearl White Multi-Coat</v>
      </c>
      <c r="P3635" s="178" t="str">
        <f>IFERROR(__xludf.DUMMYFUNCTION("""COMPUTED_VALUE"""),"18 inch Aero")</f>
        <v>18 inch Aero</v>
      </c>
      <c r="Q3635" s="177"/>
      <c r="R3635" s="170" t="str">
        <f>IFERROR(__xludf.DUMMYFUNCTION("""COMPUTED_VALUE"""),"Enhanced Autopilot")</f>
        <v>Enhanced Autopilot</v>
      </c>
      <c r="S3635" s="170"/>
      <c r="T3635" s="179"/>
      <c r="U3635" s="179"/>
      <c r="V3635" s="179"/>
      <c r="W3635" s="180"/>
      <c r="X3635" s="181" t="str">
        <f>IFERROR(__xludf.DUMMYFUNCTION("""COMPUTED_VALUE"""),"Very Good")</f>
        <v>Very Good</v>
      </c>
      <c r="Y3635" s="182" t="str">
        <f>IFERROR(__xludf.DUMMYFUNCTION("""COMPUTED_VALUE"""),"Very Good")</f>
        <v>Very Good</v>
      </c>
      <c r="Z3635" s="182" t="str">
        <f>IFERROR(__xludf.DUMMYFUNCTION("""COMPUTED_VALUE"""),"Good")</f>
        <v>Good</v>
      </c>
      <c r="AA3635" s="182" t="str">
        <f>IFERROR(__xludf.DUMMYFUNCTION("""COMPUTED_VALUE"""),"Poor")</f>
        <v>Poor</v>
      </c>
      <c r="AB3635" s="182" t="str">
        <f>IFERROR(__xludf.DUMMYFUNCTION("""COMPUTED_VALUE"""),"Good")</f>
        <v>Good</v>
      </c>
      <c r="AC3635" s="183"/>
      <c r="AD3635" s="183"/>
      <c r="AE3635" s="183"/>
      <c r="AF3635" s="184"/>
      <c r="AG3635" s="180"/>
      <c r="AH3635" s="185">
        <f>IFERROR(__xludf.DUMMYFUNCTION("""COMPUTED_VALUE"""),43267.73160586805)</f>
        <v>43267.73161</v>
      </c>
      <c r="AI3635" s="182"/>
      <c r="AJ3635" s="182"/>
      <c r="AK3635" s="182"/>
      <c r="AL3635" s="182"/>
    </row>
    <row r="3636" ht="20.25" customHeight="1">
      <c r="A3636" s="169" t="str">
        <f>IFERROR(__xludf.DUMMYFUNCTION("""COMPUTED_VALUE"""),"wasabi")</f>
        <v>wasabi</v>
      </c>
      <c r="B3636" s="170" t="str">
        <f>IFERROR(__xludf.DUMMYFUNCTION("""COMPUTED_VALUE"""),"Toronto")</f>
        <v>Toronto</v>
      </c>
      <c r="C3636" s="170" t="str">
        <f>IFERROR(__xludf.DUMMYFUNCTION("""COMPUTED_VALUE"""),"ON")</f>
        <v>ON</v>
      </c>
      <c r="D3636" s="170" t="str">
        <f>IFERROR(__xludf.DUMMYFUNCTION("""COMPUTED_VALUE"""),"Canada")</f>
        <v>Canada</v>
      </c>
      <c r="E3636" s="171">
        <f>IFERROR(__xludf.DUMMYFUNCTION("""COMPUTED_VALUE"""),43189.0)</f>
        <v>43189</v>
      </c>
      <c r="F3636" s="172">
        <f>IFERROR(__xludf.DUMMYFUNCTION("""COMPUTED_VALUE"""),43224.0)</f>
        <v>43224</v>
      </c>
      <c r="G3636" s="173"/>
      <c r="H3636" s="174">
        <f>IFERROR(__xludf.DUMMYFUNCTION("""COMPUTED_VALUE"""),27895.0)</f>
        <v>27895</v>
      </c>
      <c r="I3636" s="175" t="str">
        <f>IFERROR(__xludf.DUMMYFUNCTION("""COMPUTED_VALUE"""),"05/18")</f>
        <v>05/18</v>
      </c>
      <c r="J3636" s="172">
        <f>IFERROR(__xludf.DUMMYFUNCTION("""COMPUTED_VALUE"""),43260.0)</f>
        <v>43260</v>
      </c>
      <c r="K3636" s="176">
        <f>IFERROR(__xludf.DUMMYFUNCTION("""COMPUTED_VALUE"""),35.0)</f>
        <v>35</v>
      </c>
      <c r="L3636" s="176">
        <f>IFERROR(__xludf.DUMMYFUNCTION("""COMPUTED_VALUE"""),36.0)</f>
        <v>36</v>
      </c>
      <c r="M3636" s="176">
        <f>IFERROR(__xludf.DUMMYFUNCTION("""COMPUTED_VALUE"""),71.0)</f>
        <v>71</v>
      </c>
      <c r="N3636" s="177" t="str">
        <f>IFERROR(__xludf.DUMMYFUNCTION("""COMPUTED_VALUE"""),"Model 3 LR")</f>
        <v>Model 3 LR</v>
      </c>
      <c r="O3636" s="177" t="str">
        <f>IFERROR(__xludf.DUMMYFUNCTION("""COMPUTED_VALUE"""),"Pearl White Multi-Coat")</f>
        <v>Pearl White Multi-Coat</v>
      </c>
      <c r="P3636" s="178" t="str">
        <f>IFERROR(__xludf.DUMMYFUNCTION("""COMPUTED_VALUE"""),"18 inch Aero")</f>
        <v>18 inch Aero</v>
      </c>
      <c r="Q3636" s="177" t="str">
        <f>IFERROR(__xludf.DUMMYFUNCTION("""COMPUTED_VALUE"""),"Black seats")</f>
        <v>Black seats</v>
      </c>
      <c r="R3636" s="170" t="str">
        <f>IFERROR(__xludf.DUMMYFUNCTION("""COMPUTED_VALUE"""),"Enhanced Autopilot")</f>
        <v>Enhanced Autopilot</v>
      </c>
      <c r="S3636" s="170"/>
      <c r="T3636" s="179"/>
      <c r="U3636" s="179"/>
      <c r="V3636" s="179"/>
      <c r="W3636" s="180"/>
      <c r="X3636" s="181" t="str">
        <f>IFERROR(__xludf.DUMMYFUNCTION("""COMPUTED_VALUE"""),"Excellent")</f>
        <v>Excellent</v>
      </c>
      <c r="Y3636" s="182" t="str">
        <f>IFERROR(__xludf.DUMMYFUNCTION("""COMPUTED_VALUE"""),"Excellent")</f>
        <v>Excellent</v>
      </c>
      <c r="Z3636" s="182" t="str">
        <f>IFERROR(__xludf.DUMMYFUNCTION("""COMPUTED_VALUE"""),"Excellent")</f>
        <v>Excellent</v>
      </c>
      <c r="AA3636" s="182" t="str">
        <f>IFERROR(__xludf.DUMMYFUNCTION("""COMPUTED_VALUE"""),"Very Good")</f>
        <v>Very Good</v>
      </c>
      <c r="AB3636" s="182" t="str">
        <f>IFERROR(__xludf.DUMMYFUNCTION("""COMPUTED_VALUE"""),"Very Good")</f>
        <v>Very Good</v>
      </c>
      <c r="AC3636" s="183"/>
      <c r="AD3636" s="183"/>
      <c r="AE3636" s="183"/>
      <c r="AF3636" s="184"/>
      <c r="AG3636" s="180"/>
      <c r="AH3636" s="185">
        <f>IFERROR(__xludf.DUMMYFUNCTION("""COMPUTED_VALUE"""),43268.21409260417)</f>
        <v>43268.21409</v>
      </c>
      <c r="AI3636" s="182"/>
      <c r="AJ3636" s="182"/>
      <c r="AK3636" s="182"/>
      <c r="AL3636" s="182"/>
    </row>
    <row r="3637" ht="20.25" customHeight="1">
      <c r="A3637" s="169" t="str">
        <f>IFERROR(__xludf.DUMMYFUNCTION("""COMPUTED_VALUE"""),"GG")</f>
        <v>GG</v>
      </c>
      <c r="B3637" s="170" t="str">
        <f>IFERROR(__xludf.DUMMYFUNCTION("""COMPUTED_VALUE"""),"Vancouver")</f>
        <v>Vancouver</v>
      </c>
      <c r="C3637" s="170" t="str">
        <f>IFERROR(__xludf.DUMMYFUNCTION("""COMPUTED_VALUE"""),"BC")</f>
        <v>BC</v>
      </c>
      <c r="D3637" s="170" t="str">
        <f>IFERROR(__xludf.DUMMYFUNCTION("""COMPUTED_VALUE"""),"Canada")</f>
        <v>Canada</v>
      </c>
      <c r="E3637" s="171">
        <f>IFERROR(__xludf.DUMMYFUNCTION("""COMPUTED_VALUE"""),43188.0)</f>
        <v>43188</v>
      </c>
      <c r="F3637" s="172">
        <f>IFERROR(__xludf.DUMMYFUNCTION("""COMPUTED_VALUE"""),43257.0)</f>
        <v>43257</v>
      </c>
      <c r="G3637" s="173"/>
      <c r="H3637" s="174">
        <f>IFERROR(__xludf.DUMMYFUNCTION("""COMPUTED_VALUE"""),29455.0)</f>
        <v>29455</v>
      </c>
      <c r="I3637" s="175"/>
      <c r="J3637" s="172">
        <f>IFERROR(__xludf.DUMMYFUNCTION("""COMPUTED_VALUE"""),43259.0)</f>
        <v>43259</v>
      </c>
      <c r="K3637" s="176">
        <f>IFERROR(__xludf.DUMMYFUNCTION("""COMPUTED_VALUE"""),69.0)</f>
        <v>69</v>
      </c>
      <c r="L3637" s="176">
        <f>IFERROR(__xludf.DUMMYFUNCTION("""COMPUTED_VALUE"""),2.0)</f>
        <v>2</v>
      </c>
      <c r="M3637" s="176">
        <f>IFERROR(__xludf.DUMMYFUNCTION("""COMPUTED_VALUE"""),71.0)</f>
        <v>71</v>
      </c>
      <c r="N3637" s="177" t="str">
        <f>IFERROR(__xludf.DUMMYFUNCTION("""COMPUTED_VALUE"""),"Model 3 LR")</f>
        <v>Model 3 LR</v>
      </c>
      <c r="O3637" s="177" t="str">
        <f>IFERROR(__xludf.DUMMYFUNCTION("""COMPUTED_VALUE"""),"Deep Blue Metallic")</f>
        <v>Deep Blue Metallic</v>
      </c>
      <c r="P3637" s="178" t="str">
        <f>IFERROR(__xludf.DUMMYFUNCTION("""COMPUTED_VALUE"""),"18 inch Aero")</f>
        <v>18 inch Aero</v>
      </c>
      <c r="Q3637" s="177" t="str">
        <f>IFERROR(__xludf.DUMMYFUNCTION("""COMPUTED_VALUE"""),"Black seats")</f>
        <v>Black seats</v>
      </c>
      <c r="R3637" s="170" t="str">
        <f>IFERROR(__xludf.DUMMYFUNCTION("""COMPUTED_VALUE"""),"None")</f>
        <v>None</v>
      </c>
      <c r="S3637" s="170"/>
      <c r="T3637" s="179"/>
      <c r="U3637" s="179"/>
      <c r="V3637" s="179"/>
      <c r="W3637" s="180"/>
      <c r="X3637" s="181" t="str">
        <f>IFERROR(__xludf.DUMMYFUNCTION("""COMPUTED_VALUE"""),"Good")</f>
        <v>Good</v>
      </c>
      <c r="Y3637" s="182" t="str">
        <f>IFERROR(__xludf.DUMMYFUNCTION("""COMPUTED_VALUE"""),"Very Good")</f>
        <v>Very Good</v>
      </c>
      <c r="Z3637" s="182" t="str">
        <f>IFERROR(__xludf.DUMMYFUNCTION("""COMPUTED_VALUE"""),"Poor")</f>
        <v>Poor</v>
      </c>
      <c r="AA3637" s="182" t="str">
        <f>IFERROR(__xludf.DUMMYFUNCTION("""COMPUTED_VALUE"""),"Fair")</f>
        <v>Fair</v>
      </c>
      <c r="AB3637" s="182" t="str">
        <f>IFERROR(__xludf.DUMMYFUNCTION("""COMPUTED_VALUE"""),"Very Good")</f>
        <v>Very Good</v>
      </c>
      <c r="AC3637" s="183">
        <f>IFERROR(__xludf.DUMMYFUNCTION("""COMPUTED_VALUE"""),2.0)</f>
        <v>2</v>
      </c>
      <c r="AD3637" s="183">
        <f>IFERROR(__xludf.DUMMYFUNCTION("""COMPUTED_VALUE"""),3.0)</f>
        <v>3</v>
      </c>
      <c r="AE3637" s="183">
        <f>IFERROR(__xludf.DUMMYFUNCTION("""COMPUTED_VALUE"""),4.0)</f>
        <v>4</v>
      </c>
      <c r="AF3637" s="184"/>
      <c r="AG3637" s="180" t="str">
        <f>IFERROR(__xludf.DUMMYFUNCTION("""COMPUTED_VALUE"""),"Paint ")</f>
        <v>Paint </v>
      </c>
      <c r="AH3637" s="185">
        <f>IFERROR(__xludf.DUMMYFUNCTION("""COMPUTED_VALUE"""),43308.57623356482)</f>
        <v>43308.57623</v>
      </c>
      <c r="AI3637" s="182"/>
      <c r="AJ3637" s="182"/>
      <c r="AK3637" s="182"/>
      <c r="AL3637" s="182"/>
    </row>
    <row r="3638" ht="20.25" customHeight="1">
      <c r="A3638" s="169" t="str">
        <f>IFERROR(__xludf.DUMMYFUNCTION("""COMPUTED_VALUE"""),"gwsair")</f>
        <v>gwsair</v>
      </c>
      <c r="B3638" s="170" t="str">
        <f>IFERROR(__xludf.DUMMYFUNCTION("""COMPUTED_VALUE"""),"Houston")</f>
        <v>Houston</v>
      </c>
      <c r="C3638" s="170" t="str">
        <f>IFERROR(__xludf.DUMMYFUNCTION("""COMPUTED_VALUE"""),"TX")</f>
        <v>TX</v>
      </c>
      <c r="D3638" s="170" t="str">
        <f>IFERROR(__xludf.DUMMYFUNCTION("""COMPUTED_VALUE"""),"USA")</f>
        <v>USA</v>
      </c>
      <c r="E3638" s="171">
        <f>IFERROR(__xludf.DUMMYFUNCTION("""COMPUTED_VALUE"""),43188.0)</f>
        <v>43188</v>
      </c>
      <c r="F3638" s="172">
        <f>IFERROR(__xludf.DUMMYFUNCTION("""COMPUTED_VALUE"""),43214.0)</f>
        <v>43214</v>
      </c>
      <c r="G3638" s="173"/>
      <c r="H3638" s="174">
        <f>IFERROR(__xludf.DUMMYFUNCTION("""COMPUTED_VALUE"""),20355.0)</f>
        <v>20355</v>
      </c>
      <c r="I3638" s="175"/>
      <c r="J3638" s="172">
        <f>IFERROR(__xludf.DUMMYFUNCTION("""COMPUTED_VALUE"""),43242.0)</f>
        <v>43242</v>
      </c>
      <c r="K3638" s="176">
        <f>IFERROR(__xludf.DUMMYFUNCTION("""COMPUTED_VALUE"""),26.0)</f>
        <v>26</v>
      </c>
      <c r="L3638" s="176">
        <f>IFERROR(__xludf.DUMMYFUNCTION("""COMPUTED_VALUE"""),28.0)</f>
        <v>28</v>
      </c>
      <c r="M3638" s="176">
        <f>IFERROR(__xludf.DUMMYFUNCTION("""COMPUTED_VALUE"""),54.0)</f>
        <v>54</v>
      </c>
      <c r="N3638" s="177" t="str">
        <f>IFERROR(__xludf.DUMMYFUNCTION("""COMPUTED_VALUE"""),"Model 3 LR")</f>
        <v>Model 3 LR</v>
      </c>
      <c r="O3638" s="177" t="str">
        <f>IFERROR(__xludf.DUMMYFUNCTION("""COMPUTED_VALUE"""),"Deep Blue Metallic")</f>
        <v>Deep Blue Metallic</v>
      </c>
      <c r="P3638" s="178" t="str">
        <f>IFERROR(__xludf.DUMMYFUNCTION("""COMPUTED_VALUE"""),"18 inch Aero")</f>
        <v>18 inch Aero</v>
      </c>
      <c r="Q3638" s="177" t="str">
        <f>IFERROR(__xludf.DUMMYFUNCTION("""COMPUTED_VALUE"""),"Black seats")</f>
        <v>Black seats</v>
      </c>
      <c r="R3638" s="170" t="str">
        <f>IFERROR(__xludf.DUMMYFUNCTION("""COMPUTED_VALUE"""),"Enhanced Autopilot")</f>
        <v>Enhanced Autopilot</v>
      </c>
      <c r="S3638" s="170"/>
      <c r="T3638" s="179"/>
      <c r="U3638" s="179"/>
      <c r="V3638" s="179"/>
      <c r="W3638" s="180"/>
      <c r="X3638" s="181" t="str">
        <f>IFERROR(__xludf.DUMMYFUNCTION("""COMPUTED_VALUE"""),"Good")</f>
        <v>Good</v>
      </c>
      <c r="Y3638" s="182" t="str">
        <f>IFERROR(__xludf.DUMMYFUNCTION("""COMPUTED_VALUE"""),"Excellent")</f>
        <v>Excellent</v>
      </c>
      <c r="Z3638" s="182" t="str">
        <f>IFERROR(__xludf.DUMMYFUNCTION("""COMPUTED_VALUE"""),"Excellent")</f>
        <v>Excellent</v>
      </c>
      <c r="AA3638" s="182"/>
      <c r="AB3638" s="182" t="str">
        <f>IFERROR(__xludf.DUMMYFUNCTION("""COMPUTED_VALUE"""),"Excellent")</f>
        <v>Excellent</v>
      </c>
      <c r="AC3638" s="183"/>
      <c r="AD3638" s="183"/>
      <c r="AE3638" s="183"/>
      <c r="AF3638" s="184"/>
      <c r="AG3638" s="180"/>
      <c r="AH3638" s="185">
        <f>IFERROR(__xludf.DUMMYFUNCTION("""COMPUTED_VALUE"""),43246.16289045139)</f>
        <v>43246.16289</v>
      </c>
      <c r="AI3638" s="182"/>
      <c r="AJ3638" s="182"/>
      <c r="AK3638" s="182"/>
      <c r="AL3638" s="182"/>
    </row>
    <row r="3639" ht="20.25" customHeight="1">
      <c r="A3639" s="169" t="str">
        <f>IFERROR(__xludf.DUMMYFUNCTION("""COMPUTED_VALUE"""),"Jet082")</f>
        <v>Jet082</v>
      </c>
      <c r="B3639" s="170" t="str">
        <f>IFERROR(__xludf.DUMMYFUNCTION("""COMPUTED_VALUE"""),"King of Prussia")</f>
        <v>King of Prussia</v>
      </c>
      <c r="C3639" s="170" t="str">
        <f>IFERROR(__xludf.DUMMYFUNCTION("""COMPUTED_VALUE"""),"PA")</f>
        <v>PA</v>
      </c>
      <c r="D3639" s="170" t="str">
        <f>IFERROR(__xludf.DUMMYFUNCTION("""COMPUTED_VALUE"""),"USA")</f>
        <v>USA</v>
      </c>
      <c r="E3639" s="171">
        <f>IFERROR(__xludf.DUMMYFUNCTION("""COMPUTED_VALUE"""),43188.0)</f>
        <v>43188</v>
      </c>
      <c r="F3639" s="172">
        <f>IFERROR(__xludf.DUMMYFUNCTION("""COMPUTED_VALUE"""),43214.0)</f>
        <v>43214</v>
      </c>
      <c r="G3639" s="173"/>
      <c r="H3639" s="174">
        <f>IFERROR(__xludf.DUMMYFUNCTION("""COMPUTED_VALUE"""),22543.0)</f>
        <v>22543</v>
      </c>
      <c r="I3639" s="175"/>
      <c r="J3639" s="172">
        <f>IFERROR(__xludf.DUMMYFUNCTION("""COMPUTED_VALUE"""),43250.0)</f>
        <v>43250</v>
      </c>
      <c r="K3639" s="176">
        <f>IFERROR(__xludf.DUMMYFUNCTION("""COMPUTED_VALUE"""),26.0)</f>
        <v>26</v>
      </c>
      <c r="L3639" s="176">
        <f>IFERROR(__xludf.DUMMYFUNCTION("""COMPUTED_VALUE"""),36.0)</f>
        <v>36</v>
      </c>
      <c r="M3639" s="176">
        <f>IFERROR(__xludf.DUMMYFUNCTION("""COMPUTED_VALUE"""),62.0)</f>
        <v>62</v>
      </c>
      <c r="N3639" s="177" t="str">
        <f>IFERROR(__xludf.DUMMYFUNCTION("""COMPUTED_VALUE"""),"Model 3 LR")</f>
        <v>Model 3 LR</v>
      </c>
      <c r="O3639" s="177" t="str">
        <f>IFERROR(__xludf.DUMMYFUNCTION("""COMPUTED_VALUE"""),"Deep Blue Metallic")</f>
        <v>Deep Blue Metallic</v>
      </c>
      <c r="P3639" s="178" t="str">
        <f>IFERROR(__xludf.DUMMYFUNCTION("""COMPUTED_VALUE"""),"18 inch Aero")</f>
        <v>18 inch Aero</v>
      </c>
      <c r="Q3639" s="177"/>
      <c r="R3639" s="170" t="str">
        <f>IFERROR(__xludf.DUMMYFUNCTION("""COMPUTED_VALUE"""),"None")</f>
        <v>None</v>
      </c>
      <c r="S3639" s="170"/>
      <c r="T3639" s="179"/>
      <c r="U3639" s="179"/>
      <c r="V3639" s="179"/>
      <c r="W3639" s="180"/>
      <c r="X3639" s="181" t="str">
        <f>IFERROR(__xludf.DUMMYFUNCTION("""COMPUTED_VALUE"""),"Very Good")</f>
        <v>Very Good</v>
      </c>
      <c r="Y3639" s="182" t="str">
        <f>IFERROR(__xludf.DUMMYFUNCTION("""COMPUTED_VALUE"""),"Excellent")</f>
        <v>Excellent</v>
      </c>
      <c r="Z3639" s="182" t="str">
        <f>IFERROR(__xludf.DUMMYFUNCTION("""COMPUTED_VALUE"""),"Excellent")</f>
        <v>Excellent</v>
      </c>
      <c r="AA3639" s="182" t="str">
        <f>IFERROR(__xludf.DUMMYFUNCTION("""COMPUTED_VALUE"""),"Poor")</f>
        <v>Poor</v>
      </c>
      <c r="AB3639" s="182" t="str">
        <f>IFERROR(__xludf.DUMMYFUNCTION("""COMPUTED_VALUE"""),"Good")</f>
        <v>Good</v>
      </c>
      <c r="AC3639" s="183"/>
      <c r="AD3639" s="183"/>
      <c r="AE3639" s="183"/>
      <c r="AF3639" s="184"/>
      <c r="AG3639" s="180"/>
      <c r="AH3639" s="185">
        <f>IFERROR(__xludf.DUMMYFUNCTION("""COMPUTED_VALUE"""),43250.8200550463)</f>
        <v>43250.82006</v>
      </c>
      <c r="AI3639" s="182"/>
      <c r="AJ3639" s="182"/>
      <c r="AK3639" s="182"/>
      <c r="AL3639" s="182"/>
    </row>
    <row r="3640" ht="20.25" customHeight="1">
      <c r="A3640" s="169" t="str">
        <f>IFERROR(__xludf.DUMMYFUNCTION("""COMPUTED_VALUE"""),"akidesir")</f>
        <v>akidesir</v>
      </c>
      <c r="B3640" s="170" t="str">
        <f>IFERROR(__xludf.DUMMYFUNCTION("""COMPUTED_VALUE"""),"Toronto")</f>
        <v>Toronto</v>
      </c>
      <c r="C3640" s="170" t="str">
        <f>IFERROR(__xludf.DUMMYFUNCTION("""COMPUTED_VALUE"""),"ON")</f>
        <v>ON</v>
      </c>
      <c r="D3640" s="170" t="str">
        <f>IFERROR(__xludf.DUMMYFUNCTION("""COMPUTED_VALUE"""),"Canada")</f>
        <v>Canada</v>
      </c>
      <c r="E3640" s="171">
        <f>IFERROR(__xludf.DUMMYFUNCTION("""COMPUTED_VALUE"""),43187.0)</f>
        <v>43187</v>
      </c>
      <c r="F3640" s="172">
        <f>IFERROR(__xludf.DUMMYFUNCTION("""COMPUTED_VALUE"""),43224.0)</f>
        <v>43224</v>
      </c>
      <c r="G3640" s="173"/>
      <c r="H3640" s="174">
        <f>IFERROR(__xludf.DUMMYFUNCTION("""COMPUTED_VALUE"""),29355.0)</f>
        <v>29355</v>
      </c>
      <c r="I3640" s="175" t="str">
        <f>IFERROR(__xludf.DUMMYFUNCTION("""COMPUTED_VALUE"""),"05/18")</f>
        <v>05/18</v>
      </c>
      <c r="J3640" s="172">
        <f>IFERROR(__xludf.DUMMYFUNCTION("""COMPUTED_VALUE"""),43251.0)</f>
        <v>43251</v>
      </c>
      <c r="K3640" s="176">
        <f>IFERROR(__xludf.DUMMYFUNCTION("""COMPUTED_VALUE"""),37.0)</f>
        <v>37</v>
      </c>
      <c r="L3640" s="176">
        <f>IFERROR(__xludf.DUMMYFUNCTION("""COMPUTED_VALUE"""),27.0)</f>
        <v>27</v>
      </c>
      <c r="M3640" s="176">
        <f>IFERROR(__xludf.DUMMYFUNCTION("""COMPUTED_VALUE"""),64.0)</f>
        <v>64</v>
      </c>
      <c r="N3640" s="177" t="str">
        <f>IFERROR(__xludf.DUMMYFUNCTION("""COMPUTED_VALUE"""),"Model 3 LR")</f>
        <v>Model 3 LR</v>
      </c>
      <c r="O3640" s="177" t="str">
        <f>IFERROR(__xludf.DUMMYFUNCTION("""COMPUTED_VALUE"""),"Deep Blue Metallic")</f>
        <v>Deep Blue Metallic</v>
      </c>
      <c r="P3640" s="178" t="str">
        <f>IFERROR(__xludf.DUMMYFUNCTION("""COMPUTED_VALUE"""),"18 inch Aero")</f>
        <v>18 inch Aero</v>
      </c>
      <c r="Q3640" s="177" t="str">
        <f>IFERROR(__xludf.DUMMYFUNCTION("""COMPUTED_VALUE"""),"Black seats")</f>
        <v>Black seats</v>
      </c>
      <c r="R3640" s="170" t="str">
        <f>IFERROR(__xludf.DUMMYFUNCTION("""COMPUTED_VALUE"""),"Enhanced Autopilot")</f>
        <v>Enhanced Autopilot</v>
      </c>
      <c r="S3640" s="170"/>
      <c r="T3640" s="179"/>
      <c r="U3640" s="179"/>
      <c r="V3640" s="179"/>
      <c r="W3640" s="180"/>
      <c r="X3640" s="181" t="str">
        <f>IFERROR(__xludf.DUMMYFUNCTION("""COMPUTED_VALUE"""),"Very Good")</f>
        <v>Very Good</v>
      </c>
      <c r="Y3640" s="182" t="str">
        <f>IFERROR(__xludf.DUMMYFUNCTION("""COMPUTED_VALUE"""),"Excellent")</f>
        <v>Excellent</v>
      </c>
      <c r="Z3640" s="182" t="str">
        <f>IFERROR(__xludf.DUMMYFUNCTION("""COMPUTED_VALUE"""),"Very Good")</f>
        <v>Very Good</v>
      </c>
      <c r="AA3640" s="182" t="str">
        <f>IFERROR(__xludf.DUMMYFUNCTION("""COMPUTED_VALUE"""),"Good")</f>
        <v>Good</v>
      </c>
      <c r="AB3640" s="182" t="str">
        <f>IFERROR(__xludf.DUMMYFUNCTION("""COMPUTED_VALUE"""),"Poor")</f>
        <v>Poor</v>
      </c>
      <c r="AC3640" s="183">
        <f>IFERROR(__xludf.DUMMYFUNCTION("""COMPUTED_VALUE"""),3.0)</f>
        <v>3</v>
      </c>
      <c r="AD3640" s="183">
        <f>IFERROR(__xludf.DUMMYFUNCTION("""COMPUTED_VALUE"""),0.0)</f>
        <v>0</v>
      </c>
      <c r="AE3640" s="183"/>
      <c r="AF3640" s="184"/>
      <c r="AG3640" s="180"/>
      <c r="AH3640" s="185">
        <f>IFERROR(__xludf.DUMMYFUNCTION("""COMPUTED_VALUE"""),43297.644738194445)</f>
        <v>43297.64474</v>
      </c>
      <c r="AI3640" s="182"/>
      <c r="AJ3640" s="182"/>
      <c r="AK3640" s="182"/>
      <c r="AL3640" s="182"/>
    </row>
    <row r="3641" ht="20.25" customHeight="1">
      <c r="A3641" s="169" t="str">
        <f>IFERROR(__xludf.DUMMYFUNCTION("""COMPUTED_VALUE"""),"kencs")</f>
        <v>kencs</v>
      </c>
      <c r="B3641" s="170" t="str">
        <f>IFERROR(__xludf.DUMMYFUNCTION("""COMPUTED_VALUE"""),"Huntsville")</f>
        <v>Huntsville</v>
      </c>
      <c r="C3641" s="170" t="str">
        <f>IFERROR(__xludf.DUMMYFUNCTION("""COMPUTED_VALUE"""),"AL")</f>
        <v>AL</v>
      </c>
      <c r="D3641" s="170" t="str">
        <f>IFERROR(__xludf.DUMMYFUNCTION("""COMPUTED_VALUE"""),"USA")</f>
        <v>USA</v>
      </c>
      <c r="E3641" s="171">
        <f>IFERROR(__xludf.DUMMYFUNCTION("""COMPUTED_VALUE"""),43187.0)</f>
        <v>43187</v>
      </c>
      <c r="F3641" s="172">
        <f>IFERROR(__xludf.DUMMYFUNCTION("""COMPUTED_VALUE"""),43239.0)</f>
        <v>43239</v>
      </c>
      <c r="G3641" s="173"/>
      <c r="H3641" s="174">
        <f>IFERROR(__xludf.DUMMYFUNCTION("""COMPUTED_VALUE"""),26855.0)</f>
        <v>26855</v>
      </c>
      <c r="I3641" s="175"/>
      <c r="J3641" s="172">
        <f>IFERROR(__xludf.DUMMYFUNCTION("""COMPUTED_VALUE"""),43245.0)</f>
        <v>43245</v>
      </c>
      <c r="K3641" s="176">
        <f>IFERROR(__xludf.DUMMYFUNCTION("""COMPUTED_VALUE"""),52.0)</f>
        <v>52</v>
      </c>
      <c r="L3641" s="176">
        <f>IFERROR(__xludf.DUMMYFUNCTION("""COMPUTED_VALUE"""),6.0)</f>
        <v>6</v>
      </c>
      <c r="M3641" s="176">
        <f>IFERROR(__xludf.DUMMYFUNCTION("""COMPUTED_VALUE"""),58.0)</f>
        <v>58</v>
      </c>
      <c r="N3641" s="177" t="str">
        <f>IFERROR(__xludf.DUMMYFUNCTION("""COMPUTED_VALUE"""),"Model 3 LR")</f>
        <v>Model 3 LR</v>
      </c>
      <c r="O3641" s="177" t="str">
        <f>IFERROR(__xludf.DUMMYFUNCTION("""COMPUTED_VALUE"""),"Midnight Silver Metallic")</f>
        <v>Midnight Silver Metallic</v>
      </c>
      <c r="P3641" s="178" t="str">
        <f>IFERROR(__xludf.DUMMYFUNCTION("""COMPUTED_VALUE"""),"18 inch Aero")</f>
        <v>18 inch Aero</v>
      </c>
      <c r="Q3641" s="177" t="str">
        <f>IFERROR(__xludf.DUMMYFUNCTION("""COMPUTED_VALUE"""),"Black seats")</f>
        <v>Black seats</v>
      </c>
      <c r="R3641" s="170" t="str">
        <f>IFERROR(__xludf.DUMMYFUNCTION("""COMPUTED_VALUE"""),"Enhanced Autopilot")</f>
        <v>Enhanced Autopilot</v>
      </c>
      <c r="S3641" s="170"/>
      <c r="T3641" s="179"/>
      <c r="U3641" s="179"/>
      <c r="V3641" s="179"/>
      <c r="W3641" s="180"/>
      <c r="X3641" s="181" t="str">
        <f>IFERROR(__xludf.DUMMYFUNCTION("""COMPUTED_VALUE"""),"Excellent")</f>
        <v>Excellent</v>
      </c>
      <c r="Y3641" s="182" t="str">
        <f>IFERROR(__xludf.DUMMYFUNCTION("""COMPUTED_VALUE"""),"Excellent")</f>
        <v>Excellent</v>
      </c>
      <c r="Z3641" s="182" t="str">
        <f>IFERROR(__xludf.DUMMYFUNCTION("""COMPUTED_VALUE"""),"Excellent")</f>
        <v>Excellent</v>
      </c>
      <c r="AA3641" s="182" t="str">
        <f>IFERROR(__xludf.DUMMYFUNCTION("""COMPUTED_VALUE"""),"Excellent")</f>
        <v>Excellent</v>
      </c>
      <c r="AB3641" s="182" t="str">
        <f>IFERROR(__xludf.DUMMYFUNCTION("""COMPUTED_VALUE"""),"Excellent")</f>
        <v>Excellent</v>
      </c>
      <c r="AC3641" s="183"/>
      <c r="AD3641" s="183"/>
      <c r="AE3641" s="183"/>
      <c r="AF3641" s="184"/>
      <c r="AG3641" s="180"/>
      <c r="AH3641" s="185">
        <f>IFERROR(__xludf.DUMMYFUNCTION("""COMPUTED_VALUE"""),43253.84791763889)</f>
        <v>43253.84792</v>
      </c>
      <c r="AI3641" s="182"/>
      <c r="AJ3641" s="182"/>
      <c r="AK3641" s="182"/>
      <c r="AL3641" s="182"/>
    </row>
    <row r="3642" ht="20.25" customHeight="1">
      <c r="A3642" s="169" t="str">
        <f>IFERROR(__xludf.DUMMYFUNCTION("""COMPUTED_VALUE"""),"LazyLightn_")</f>
        <v>LazyLightn_</v>
      </c>
      <c r="B3642" s="170" t="str">
        <f>IFERROR(__xludf.DUMMYFUNCTION("""COMPUTED_VALUE"""),"Sant Barbara_")</f>
        <v>Sant Barbara_</v>
      </c>
      <c r="C3642" s="170" t="str">
        <f>IFERROR(__xludf.DUMMYFUNCTION("""COMPUTED_VALUE"""),"CA")</f>
        <v>CA</v>
      </c>
      <c r="D3642" s="170" t="str">
        <f>IFERROR(__xludf.DUMMYFUNCTION("""COMPUTED_VALUE"""),"USA")</f>
        <v>USA</v>
      </c>
      <c r="E3642" s="171">
        <f>IFERROR(__xludf.DUMMYFUNCTION("""COMPUTED_VALUE"""),43187.0)</f>
        <v>43187</v>
      </c>
      <c r="F3642" s="172">
        <f>IFERROR(__xludf.DUMMYFUNCTION("""COMPUTED_VALUE"""),43221.0)</f>
        <v>43221</v>
      </c>
      <c r="G3642" s="173"/>
      <c r="H3642" s="174">
        <f>IFERROR(__xludf.DUMMYFUNCTION("""COMPUTED_VALUE"""),17355.0)</f>
        <v>17355</v>
      </c>
      <c r="I3642" s="175"/>
      <c r="J3642" s="172">
        <f>IFERROR(__xludf.DUMMYFUNCTION("""COMPUTED_VALUE"""),43229.0)</f>
        <v>43229</v>
      </c>
      <c r="K3642" s="176">
        <f>IFERROR(__xludf.DUMMYFUNCTION("""COMPUTED_VALUE"""),34.0)</f>
        <v>34</v>
      </c>
      <c r="L3642" s="176">
        <f>IFERROR(__xludf.DUMMYFUNCTION("""COMPUTED_VALUE"""),8.0)</f>
        <v>8</v>
      </c>
      <c r="M3642" s="176">
        <f>IFERROR(__xludf.DUMMYFUNCTION("""COMPUTED_VALUE"""),42.0)</f>
        <v>42</v>
      </c>
      <c r="N3642" s="177" t="str">
        <f>IFERROR(__xludf.DUMMYFUNCTION("""COMPUTED_VALUE"""),"Model 3 LR")</f>
        <v>Model 3 LR</v>
      </c>
      <c r="O3642" s="177" t="str">
        <f>IFERROR(__xludf.DUMMYFUNCTION("""COMPUTED_VALUE"""),"Pearl White Multi-Coat")</f>
        <v>Pearl White Multi-Coat</v>
      </c>
      <c r="P3642" s="178" t="str">
        <f>IFERROR(__xludf.DUMMYFUNCTION("""COMPUTED_VALUE"""),"18 inch Aero")</f>
        <v>18 inch Aero</v>
      </c>
      <c r="Q3642" s="177" t="str">
        <f>IFERROR(__xludf.DUMMYFUNCTION("""COMPUTED_VALUE"""),"Black seats")</f>
        <v>Black seats</v>
      </c>
      <c r="R3642" s="170" t="str">
        <f>IFERROR(__xludf.DUMMYFUNCTION("""COMPUTED_VALUE"""),"Enhanced Autopilot")</f>
        <v>Enhanced Autopilot</v>
      </c>
      <c r="S3642" s="170"/>
      <c r="T3642" s="179"/>
      <c r="U3642" s="179"/>
      <c r="V3642" s="179"/>
      <c r="W3642" s="180"/>
      <c r="X3642" s="181"/>
      <c r="Y3642" s="182"/>
      <c r="Z3642" s="182"/>
      <c r="AA3642" s="182"/>
      <c r="AB3642" s="182" t="str">
        <f>IFERROR(__xludf.DUMMYFUNCTION("""COMPUTED_VALUE"""),"Excellent")</f>
        <v>Excellent</v>
      </c>
      <c r="AC3642" s="183"/>
      <c r="AD3642" s="183"/>
      <c r="AE3642" s="183"/>
      <c r="AF3642" s="184"/>
      <c r="AG3642" s="180" t="str">
        <f>IFERROR(__xludf.DUMMYFUNCTION("""COMPUTED_VALUE"""),"First Prod Del Estimate was Oct-Dec '17_")</f>
        <v>First Prod Del Estimate was Oct-Dec '17_</v>
      </c>
      <c r="AH3642" s="185">
        <f>IFERROR(__xludf.DUMMYFUNCTION("""COMPUTED_VALUE"""),43234.87957318287)</f>
        <v>43234.87957</v>
      </c>
      <c r="AI3642" s="182"/>
      <c r="AJ3642" s="182"/>
      <c r="AK3642" s="182"/>
      <c r="AL3642" s="182"/>
    </row>
    <row r="3643" ht="20.25" customHeight="1">
      <c r="A3643" s="169" t="str">
        <f>IFERROR(__xludf.DUMMYFUNCTION("""COMPUTED_VALUE"""),"m3toronto")</f>
        <v>m3toronto</v>
      </c>
      <c r="B3643" s="170" t="str">
        <f>IFERROR(__xludf.DUMMYFUNCTION("""COMPUTED_VALUE"""),"toronto")</f>
        <v>toronto</v>
      </c>
      <c r="C3643" s="170" t="str">
        <f>IFERROR(__xludf.DUMMYFUNCTION("""COMPUTED_VALUE"""),"ON")</f>
        <v>ON</v>
      </c>
      <c r="D3643" s="170" t="str">
        <f>IFERROR(__xludf.DUMMYFUNCTION("""COMPUTED_VALUE"""),"Canada")</f>
        <v>Canada</v>
      </c>
      <c r="E3643" s="171">
        <f>IFERROR(__xludf.DUMMYFUNCTION("""COMPUTED_VALUE"""),43187.0)</f>
        <v>43187</v>
      </c>
      <c r="F3643" s="172">
        <f>IFERROR(__xludf.DUMMYFUNCTION("""COMPUTED_VALUE"""),43223.0)</f>
        <v>43223</v>
      </c>
      <c r="G3643" s="173"/>
      <c r="H3643" s="174">
        <f>IFERROR(__xludf.DUMMYFUNCTION("""COMPUTED_VALUE"""),21055.0)</f>
        <v>21055</v>
      </c>
      <c r="I3643" s="175" t="str">
        <f>IFERROR(__xludf.DUMMYFUNCTION("""COMPUTED_VALUE"""),"05/18")</f>
        <v>05/18</v>
      </c>
      <c r="J3643" s="172">
        <f>IFERROR(__xludf.DUMMYFUNCTION("""COMPUTED_VALUE"""),43253.0)</f>
        <v>43253</v>
      </c>
      <c r="K3643" s="176">
        <f>IFERROR(__xludf.DUMMYFUNCTION("""COMPUTED_VALUE"""),36.0)</f>
        <v>36</v>
      </c>
      <c r="L3643" s="176">
        <f>IFERROR(__xludf.DUMMYFUNCTION("""COMPUTED_VALUE"""),30.0)</f>
        <v>30</v>
      </c>
      <c r="M3643" s="176">
        <f>IFERROR(__xludf.DUMMYFUNCTION("""COMPUTED_VALUE"""),66.0)</f>
        <v>66</v>
      </c>
      <c r="N3643" s="177" t="str">
        <f>IFERROR(__xludf.DUMMYFUNCTION("""COMPUTED_VALUE"""),"Model 3 LR")</f>
        <v>Model 3 LR</v>
      </c>
      <c r="O3643" s="177" t="str">
        <f>IFERROR(__xludf.DUMMYFUNCTION("""COMPUTED_VALUE"""),"Solid Black")</f>
        <v>Solid Black</v>
      </c>
      <c r="P3643" s="178" t="str">
        <f>IFERROR(__xludf.DUMMYFUNCTION("""COMPUTED_VALUE"""),"18 inch Aero")</f>
        <v>18 inch Aero</v>
      </c>
      <c r="Q3643" s="177" t="str">
        <f>IFERROR(__xludf.DUMMYFUNCTION("""COMPUTED_VALUE"""),"Black seats")</f>
        <v>Black seats</v>
      </c>
      <c r="R3643" s="170" t="str">
        <f>IFERROR(__xludf.DUMMYFUNCTION("""COMPUTED_VALUE"""),"None")</f>
        <v>None</v>
      </c>
      <c r="S3643" s="170"/>
      <c r="T3643" s="179"/>
      <c r="U3643" s="179"/>
      <c r="V3643" s="179"/>
      <c r="W3643" s="180"/>
      <c r="X3643" s="181" t="str">
        <f>IFERROR(__xludf.DUMMYFUNCTION("""COMPUTED_VALUE"""),"Excellent")</f>
        <v>Excellent</v>
      </c>
      <c r="Y3643" s="182" t="str">
        <f>IFERROR(__xludf.DUMMYFUNCTION("""COMPUTED_VALUE"""),"Excellent")</f>
        <v>Excellent</v>
      </c>
      <c r="Z3643" s="182" t="str">
        <f>IFERROR(__xludf.DUMMYFUNCTION("""COMPUTED_VALUE"""),"Excellent")</f>
        <v>Excellent</v>
      </c>
      <c r="AA3643" s="182" t="str">
        <f>IFERROR(__xludf.DUMMYFUNCTION("""COMPUTED_VALUE"""),"Excellent")</f>
        <v>Excellent</v>
      </c>
      <c r="AB3643" s="182" t="str">
        <f>IFERROR(__xludf.DUMMYFUNCTION("""COMPUTED_VALUE"""),"Excellent")</f>
        <v>Excellent</v>
      </c>
      <c r="AC3643" s="183"/>
      <c r="AD3643" s="183"/>
      <c r="AE3643" s="183"/>
      <c r="AF3643" s="184"/>
      <c r="AG3643" s="180"/>
      <c r="AH3643" s="185">
        <f>IFERROR(__xludf.DUMMYFUNCTION("""COMPUTED_VALUE"""),43272.83707324074)</f>
        <v>43272.83707</v>
      </c>
      <c r="AI3643" s="182"/>
      <c r="AJ3643" s="182"/>
      <c r="AK3643" s="182"/>
      <c r="AL3643" s="182"/>
    </row>
    <row r="3644" ht="20.25" customHeight="1">
      <c r="A3644" s="169" t="str">
        <f>IFERROR(__xludf.DUMMYFUNCTION("""COMPUTED_VALUE"""),"1piloth20")</f>
        <v>1piloth20</v>
      </c>
      <c r="B3644" s="170" t="str">
        <f>IFERROR(__xludf.DUMMYFUNCTION("""COMPUTED_VALUE"""),"Newmarket ")</f>
        <v>Newmarket </v>
      </c>
      <c r="C3644" s="170" t="str">
        <f>IFERROR(__xludf.DUMMYFUNCTION("""COMPUTED_VALUE"""),"ON")</f>
        <v>ON</v>
      </c>
      <c r="D3644" s="170" t="str">
        <f>IFERROR(__xludf.DUMMYFUNCTION("""COMPUTED_VALUE"""),"Canada")</f>
        <v>Canada</v>
      </c>
      <c r="E3644" s="171">
        <f>IFERROR(__xludf.DUMMYFUNCTION("""COMPUTED_VALUE"""),43186.0)</f>
        <v>43186</v>
      </c>
      <c r="F3644" s="172">
        <f>IFERROR(__xludf.DUMMYFUNCTION("""COMPUTED_VALUE"""),43223.0)</f>
        <v>43223</v>
      </c>
      <c r="G3644" s="173"/>
      <c r="H3644" s="174">
        <f>IFERROR(__xludf.DUMMYFUNCTION("""COMPUTED_VALUE"""),28763.0)</f>
        <v>28763</v>
      </c>
      <c r="I3644" s="175" t="str">
        <f>IFERROR(__xludf.DUMMYFUNCTION("""COMPUTED_VALUE"""),"05/18")</f>
        <v>05/18</v>
      </c>
      <c r="J3644" s="172">
        <f>IFERROR(__xludf.DUMMYFUNCTION("""COMPUTED_VALUE"""),43251.0)</f>
        <v>43251</v>
      </c>
      <c r="K3644" s="176">
        <f>IFERROR(__xludf.DUMMYFUNCTION("""COMPUTED_VALUE"""),37.0)</f>
        <v>37</v>
      </c>
      <c r="L3644" s="176">
        <f>IFERROR(__xludf.DUMMYFUNCTION("""COMPUTED_VALUE"""),28.0)</f>
        <v>28</v>
      </c>
      <c r="M3644" s="176">
        <f>IFERROR(__xludf.DUMMYFUNCTION("""COMPUTED_VALUE"""),65.0)</f>
        <v>65</v>
      </c>
      <c r="N3644" s="177" t="str">
        <f>IFERROR(__xludf.DUMMYFUNCTION("""COMPUTED_VALUE"""),"Model 3 LR")</f>
        <v>Model 3 LR</v>
      </c>
      <c r="O3644" s="177" t="str">
        <f>IFERROR(__xludf.DUMMYFUNCTION("""COMPUTED_VALUE"""),"Midnight Silver Metallic")</f>
        <v>Midnight Silver Metallic</v>
      </c>
      <c r="P3644" s="178" t="str">
        <f>IFERROR(__xludf.DUMMYFUNCTION("""COMPUTED_VALUE"""),"18 inch Aero")</f>
        <v>18 inch Aero</v>
      </c>
      <c r="Q3644" s="177" t="str">
        <f>IFERROR(__xludf.DUMMYFUNCTION("""COMPUTED_VALUE"""),"Black seats")</f>
        <v>Black seats</v>
      </c>
      <c r="R3644" s="170" t="str">
        <f>IFERROR(__xludf.DUMMYFUNCTION("""COMPUTED_VALUE"""),"None")</f>
        <v>None</v>
      </c>
      <c r="S3644" s="170"/>
      <c r="T3644" s="179"/>
      <c r="U3644" s="179"/>
      <c r="V3644" s="179"/>
      <c r="W3644" s="180"/>
      <c r="X3644" s="181" t="str">
        <f>IFERROR(__xludf.DUMMYFUNCTION("""COMPUTED_VALUE"""),"Very Good")</f>
        <v>Very Good</v>
      </c>
      <c r="Y3644" s="182" t="str">
        <f>IFERROR(__xludf.DUMMYFUNCTION("""COMPUTED_VALUE"""),"Excellent")</f>
        <v>Excellent</v>
      </c>
      <c r="Z3644" s="182" t="str">
        <f>IFERROR(__xludf.DUMMYFUNCTION("""COMPUTED_VALUE"""),"Excellent")</f>
        <v>Excellent</v>
      </c>
      <c r="AA3644" s="182" t="str">
        <f>IFERROR(__xludf.DUMMYFUNCTION("""COMPUTED_VALUE"""),"Very Good")</f>
        <v>Very Good</v>
      </c>
      <c r="AB3644" s="182" t="str">
        <f>IFERROR(__xludf.DUMMYFUNCTION("""COMPUTED_VALUE"""),"Fair")</f>
        <v>Fair</v>
      </c>
      <c r="AC3644" s="183"/>
      <c r="AD3644" s="183"/>
      <c r="AE3644" s="183"/>
      <c r="AF3644" s="184"/>
      <c r="AG3644" s="180"/>
      <c r="AH3644" s="185">
        <f>IFERROR(__xludf.DUMMYFUNCTION("""COMPUTED_VALUE"""),43261.86893798611)</f>
        <v>43261.86894</v>
      </c>
      <c r="AI3644" s="182"/>
      <c r="AJ3644" s="182"/>
      <c r="AK3644" s="182"/>
      <c r="AL3644" s="182"/>
    </row>
    <row r="3645" ht="20.25" customHeight="1">
      <c r="A3645" s="169" t="str">
        <f>IFERROR(__xludf.DUMMYFUNCTION("""COMPUTED_VALUE"""),"abrighton")</f>
        <v>abrighton</v>
      </c>
      <c r="B3645" s="170" t="str">
        <f>IFERROR(__xludf.DUMMYFUNCTION("""COMPUTED_VALUE"""),"Toronto")</f>
        <v>Toronto</v>
      </c>
      <c r="C3645" s="170" t="str">
        <f>IFERROR(__xludf.DUMMYFUNCTION("""COMPUTED_VALUE"""),"ON")</f>
        <v>ON</v>
      </c>
      <c r="D3645" s="170" t="str">
        <f>IFERROR(__xludf.DUMMYFUNCTION("""COMPUTED_VALUE"""),"Canada")</f>
        <v>Canada</v>
      </c>
      <c r="E3645" s="171">
        <f>IFERROR(__xludf.DUMMYFUNCTION("""COMPUTED_VALUE"""),43186.0)</f>
        <v>43186</v>
      </c>
      <c r="F3645" s="172">
        <f>IFERROR(__xludf.DUMMYFUNCTION("""COMPUTED_VALUE"""),43223.0)</f>
        <v>43223</v>
      </c>
      <c r="G3645" s="173"/>
      <c r="H3645" s="174">
        <f>IFERROR(__xludf.DUMMYFUNCTION("""COMPUTED_VALUE"""),28955.0)</f>
        <v>28955</v>
      </c>
      <c r="I3645" s="175"/>
      <c r="J3645" s="172">
        <f>IFERROR(__xludf.DUMMYFUNCTION("""COMPUTED_VALUE"""),43253.0)</f>
        <v>43253</v>
      </c>
      <c r="K3645" s="176">
        <f>IFERROR(__xludf.DUMMYFUNCTION("""COMPUTED_VALUE"""),37.0)</f>
        <v>37</v>
      </c>
      <c r="L3645" s="176">
        <f>IFERROR(__xludf.DUMMYFUNCTION("""COMPUTED_VALUE"""),30.0)</f>
        <v>30</v>
      </c>
      <c r="M3645" s="176">
        <f>IFERROR(__xludf.DUMMYFUNCTION("""COMPUTED_VALUE"""),67.0)</f>
        <v>67</v>
      </c>
      <c r="N3645" s="177" t="str">
        <f>IFERROR(__xludf.DUMMYFUNCTION("""COMPUTED_VALUE"""),"Model 3 LR")</f>
        <v>Model 3 LR</v>
      </c>
      <c r="O3645" s="177" t="str">
        <f>IFERROR(__xludf.DUMMYFUNCTION("""COMPUTED_VALUE"""),"Midnight Silver Metallic")</f>
        <v>Midnight Silver Metallic</v>
      </c>
      <c r="P3645" s="178" t="str">
        <f>IFERROR(__xludf.DUMMYFUNCTION("""COMPUTED_VALUE"""),"18 inch Aero")</f>
        <v>18 inch Aero</v>
      </c>
      <c r="Q3645" s="177" t="str">
        <f>IFERROR(__xludf.DUMMYFUNCTION("""COMPUTED_VALUE"""),"Black seats")</f>
        <v>Black seats</v>
      </c>
      <c r="R3645" s="170" t="str">
        <f>IFERROR(__xludf.DUMMYFUNCTION("""COMPUTED_VALUE"""),"Enhanced Autopilot")</f>
        <v>Enhanced Autopilot</v>
      </c>
      <c r="S3645" s="170"/>
      <c r="T3645" s="179"/>
      <c r="U3645" s="179"/>
      <c r="V3645" s="179"/>
      <c r="W3645" s="180"/>
      <c r="X3645" s="181" t="str">
        <f>IFERROR(__xludf.DUMMYFUNCTION("""COMPUTED_VALUE"""),"Excellent")</f>
        <v>Excellent</v>
      </c>
      <c r="Y3645" s="182" t="str">
        <f>IFERROR(__xludf.DUMMYFUNCTION("""COMPUTED_VALUE"""),"Very Good")</f>
        <v>Very Good</v>
      </c>
      <c r="Z3645" s="182" t="str">
        <f>IFERROR(__xludf.DUMMYFUNCTION("""COMPUTED_VALUE"""),"Excellent")</f>
        <v>Excellent</v>
      </c>
      <c r="AA3645" s="182" t="str">
        <f>IFERROR(__xludf.DUMMYFUNCTION("""COMPUTED_VALUE"""),"Fair")</f>
        <v>Fair</v>
      </c>
      <c r="AB3645" s="182" t="str">
        <f>IFERROR(__xludf.DUMMYFUNCTION("""COMPUTED_VALUE"""),"Very Good")</f>
        <v>Very Good</v>
      </c>
      <c r="AC3645" s="183"/>
      <c r="AD3645" s="183"/>
      <c r="AE3645" s="183"/>
      <c r="AF3645" s="184"/>
      <c r="AG3645" s="180"/>
      <c r="AH3645" s="185">
        <f>IFERROR(__xludf.DUMMYFUNCTION("""COMPUTED_VALUE"""),43256.725628935186)</f>
        <v>43256.72563</v>
      </c>
      <c r="AI3645" s="182"/>
      <c r="AJ3645" s="182"/>
      <c r="AK3645" s="182"/>
      <c r="AL3645" s="182"/>
    </row>
    <row r="3646" ht="20.25" customHeight="1">
      <c r="A3646" s="169" t="str">
        <f>IFERROR(__xludf.DUMMYFUNCTION("""COMPUTED_VALUE"""),"Cil-Vin")</f>
        <v>Cil-Vin</v>
      </c>
      <c r="B3646" s="170" t="str">
        <f>IFERROR(__xludf.DUMMYFUNCTION("""COMPUTED_VALUE"""),"Gatineau")</f>
        <v>Gatineau</v>
      </c>
      <c r="C3646" s="170" t="str">
        <f>IFERROR(__xludf.DUMMYFUNCTION("""COMPUTED_VALUE"""),"QC")</f>
        <v>QC</v>
      </c>
      <c r="D3646" s="170" t="str">
        <f>IFERROR(__xludf.DUMMYFUNCTION("""COMPUTED_VALUE"""),"Canada")</f>
        <v>Canada</v>
      </c>
      <c r="E3646" s="171">
        <f>IFERROR(__xludf.DUMMYFUNCTION("""COMPUTED_VALUE"""),43186.0)</f>
        <v>43186</v>
      </c>
      <c r="F3646" s="172">
        <f>IFERROR(__xludf.DUMMYFUNCTION("""COMPUTED_VALUE"""),43235.0)</f>
        <v>43235</v>
      </c>
      <c r="G3646" s="173"/>
      <c r="H3646" s="174">
        <f>IFERROR(__xludf.DUMMYFUNCTION("""COMPUTED_VALUE"""),29409.0)</f>
        <v>29409</v>
      </c>
      <c r="I3646" s="175" t="str">
        <f>IFERROR(__xludf.DUMMYFUNCTION("""COMPUTED_VALUE"""),"05/18")</f>
        <v>05/18</v>
      </c>
      <c r="J3646" s="172">
        <f>IFERROR(__xludf.DUMMYFUNCTION("""COMPUTED_VALUE"""),43276.0)</f>
        <v>43276</v>
      </c>
      <c r="K3646" s="176">
        <f>IFERROR(__xludf.DUMMYFUNCTION("""COMPUTED_VALUE"""),49.0)</f>
        <v>49</v>
      </c>
      <c r="L3646" s="176">
        <f>IFERROR(__xludf.DUMMYFUNCTION("""COMPUTED_VALUE"""),41.0)</f>
        <v>41</v>
      </c>
      <c r="M3646" s="176">
        <f>IFERROR(__xludf.DUMMYFUNCTION("""COMPUTED_VALUE"""),90.0)</f>
        <v>90</v>
      </c>
      <c r="N3646" s="177" t="str">
        <f>IFERROR(__xludf.DUMMYFUNCTION("""COMPUTED_VALUE"""),"Model 3 LR")</f>
        <v>Model 3 LR</v>
      </c>
      <c r="O3646" s="177" t="str">
        <f>IFERROR(__xludf.DUMMYFUNCTION("""COMPUTED_VALUE"""),"Deep Blue Metallic")</f>
        <v>Deep Blue Metallic</v>
      </c>
      <c r="P3646" s="178" t="str">
        <f>IFERROR(__xludf.DUMMYFUNCTION("""COMPUTED_VALUE"""),"18 inch Aero")</f>
        <v>18 inch Aero</v>
      </c>
      <c r="Q3646" s="177" t="str">
        <f>IFERROR(__xludf.DUMMYFUNCTION("""COMPUTED_VALUE"""),"Black seats")</f>
        <v>Black seats</v>
      </c>
      <c r="R3646" s="170" t="str">
        <f>IFERROR(__xludf.DUMMYFUNCTION("""COMPUTED_VALUE"""),"None")</f>
        <v>None</v>
      </c>
      <c r="S3646" s="170"/>
      <c r="T3646" s="179"/>
      <c r="U3646" s="179"/>
      <c r="V3646" s="179"/>
      <c r="W3646" s="180"/>
      <c r="X3646" s="181" t="str">
        <f>IFERROR(__xludf.DUMMYFUNCTION("""COMPUTED_VALUE"""),"Excellent")</f>
        <v>Excellent</v>
      </c>
      <c r="Y3646" s="182" t="str">
        <f>IFERROR(__xludf.DUMMYFUNCTION("""COMPUTED_VALUE"""),"Excellent")</f>
        <v>Excellent</v>
      </c>
      <c r="Z3646" s="182" t="str">
        <f>IFERROR(__xludf.DUMMYFUNCTION("""COMPUTED_VALUE"""),"Excellent")</f>
        <v>Excellent</v>
      </c>
      <c r="AA3646" s="182" t="str">
        <f>IFERROR(__xludf.DUMMYFUNCTION("""COMPUTED_VALUE"""),"Very Good")</f>
        <v>Very Good</v>
      </c>
      <c r="AB3646" s="182" t="str">
        <f>IFERROR(__xludf.DUMMYFUNCTION("""COMPUTED_VALUE"""),"Very Good")</f>
        <v>Very Good</v>
      </c>
      <c r="AC3646" s="183"/>
      <c r="AD3646" s="183"/>
      <c r="AE3646" s="183"/>
      <c r="AF3646" s="184"/>
      <c r="AG3646" s="180"/>
      <c r="AH3646" s="185">
        <f>IFERROR(__xludf.DUMMYFUNCTION("""COMPUTED_VALUE"""),43277.53495565972)</f>
        <v>43277.53496</v>
      </c>
      <c r="AI3646" s="182"/>
      <c r="AJ3646" s="182"/>
      <c r="AK3646" s="182"/>
      <c r="AL3646" s="182"/>
    </row>
    <row r="3647" ht="20.25" customHeight="1">
      <c r="A3647" s="169" t="str">
        <f>IFERROR(__xludf.DUMMYFUNCTION("""COMPUTED_VALUE"""),"khawk17")</f>
        <v>khawk17</v>
      </c>
      <c r="B3647" s="170" t="str">
        <f>IFERROR(__xludf.DUMMYFUNCTION("""COMPUTED_VALUE"""),"Fayetteville")</f>
        <v>Fayetteville</v>
      </c>
      <c r="C3647" s="170" t="str">
        <f>IFERROR(__xludf.DUMMYFUNCTION("""COMPUTED_VALUE"""),"GA")</f>
        <v>GA</v>
      </c>
      <c r="D3647" s="170" t="str">
        <f>IFERROR(__xludf.DUMMYFUNCTION("""COMPUTED_VALUE"""),"USA")</f>
        <v>USA</v>
      </c>
      <c r="E3647" s="171">
        <f>IFERROR(__xludf.DUMMYFUNCTION("""COMPUTED_VALUE"""),43186.0)</f>
        <v>43186</v>
      </c>
      <c r="F3647" s="172">
        <f>IFERROR(__xludf.DUMMYFUNCTION("""COMPUTED_VALUE"""),43227.0)</f>
        <v>43227</v>
      </c>
      <c r="G3647" s="173"/>
      <c r="H3647" s="174">
        <f>IFERROR(__xludf.DUMMYFUNCTION("""COMPUTED_VALUE"""),18955.0)</f>
        <v>18955</v>
      </c>
      <c r="I3647" s="175"/>
      <c r="J3647" s="172">
        <f>IFERROR(__xludf.DUMMYFUNCTION("""COMPUTED_VALUE"""),43243.0)</f>
        <v>43243</v>
      </c>
      <c r="K3647" s="176">
        <f>IFERROR(__xludf.DUMMYFUNCTION("""COMPUTED_VALUE"""),41.0)</f>
        <v>41</v>
      </c>
      <c r="L3647" s="176">
        <f>IFERROR(__xludf.DUMMYFUNCTION("""COMPUTED_VALUE"""),16.0)</f>
        <v>16</v>
      </c>
      <c r="M3647" s="176">
        <f>IFERROR(__xludf.DUMMYFUNCTION("""COMPUTED_VALUE"""),57.0)</f>
        <v>57</v>
      </c>
      <c r="N3647" s="177" t="str">
        <f>IFERROR(__xludf.DUMMYFUNCTION("""COMPUTED_VALUE"""),"Model 3 LR")</f>
        <v>Model 3 LR</v>
      </c>
      <c r="O3647" s="177" t="str">
        <f>IFERROR(__xludf.DUMMYFUNCTION("""COMPUTED_VALUE"""),"Midnight Silver Metallic")</f>
        <v>Midnight Silver Metallic</v>
      </c>
      <c r="P3647" s="178" t="str">
        <f>IFERROR(__xludf.DUMMYFUNCTION("""COMPUTED_VALUE"""),"18 inch Aero")</f>
        <v>18 inch Aero</v>
      </c>
      <c r="Q3647" s="177" t="str">
        <f>IFERROR(__xludf.DUMMYFUNCTION("""COMPUTED_VALUE"""),"Black seats")</f>
        <v>Black seats</v>
      </c>
      <c r="R3647" s="170" t="str">
        <f>IFERROR(__xludf.DUMMYFUNCTION("""COMPUTED_VALUE"""),"None")</f>
        <v>None</v>
      </c>
      <c r="S3647" s="170"/>
      <c r="T3647" s="179"/>
      <c r="U3647" s="179"/>
      <c r="V3647" s="179"/>
      <c r="W3647" s="180"/>
      <c r="X3647" s="181" t="str">
        <f>IFERROR(__xludf.DUMMYFUNCTION("""COMPUTED_VALUE"""),"Excellent")</f>
        <v>Excellent</v>
      </c>
      <c r="Y3647" s="182" t="str">
        <f>IFERROR(__xludf.DUMMYFUNCTION("""COMPUTED_VALUE"""),"Excellent")</f>
        <v>Excellent</v>
      </c>
      <c r="Z3647" s="182" t="str">
        <f>IFERROR(__xludf.DUMMYFUNCTION("""COMPUTED_VALUE"""),"Excellent")</f>
        <v>Excellent</v>
      </c>
      <c r="AA3647" s="182" t="str">
        <f>IFERROR(__xludf.DUMMYFUNCTION("""COMPUTED_VALUE"""),"Very Good")</f>
        <v>Very Good</v>
      </c>
      <c r="AB3647" s="182" t="str">
        <f>IFERROR(__xludf.DUMMYFUNCTION("""COMPUTED_VALUE"""),"Very Good")</f>
        <v>Very Good</v>
      </c>
      <c r="AC3647" s="183"/>
      <c r="AD3647" s="183"/>
      <c r="AE3647" s="183"/>
      <c r="AF3647" s="184"/>
      <c r="AG3647" s="180" t="str">
        <f>IFERROR(__xludf.DUMMYFUNCTION("""COMPUTED_VALUE"""),"Listed information is correct per reservation form")</f>
        <v>Listed information is correct per reservation form</v>
      </c>
      <c r="AH3647" s="185">
        <f>IFERROR(__xludf.DUMMYFUNCTION("""COMPUTED_VALUE"""),43262.74748875)</f>
        <v>43262.74749</v>
      </c>
      <c r="AI3647" s="182"/>
      <c r="AJ3647" s="182"/>
      <c r="AK3647" s="182"/>
      <c r="AL3647" s="182"/>
    </row>
    <row r="3648" ht="20.25" customHeight="1">
      <c r="A3648" s="169" t="str">
        <f>IFERROR(__xludf.DUMMYFUNCTION("""COMPUTED_VALUE"""),"Longshot")</f>
        <v>Longshot</v>
      </c>
      <c r="B3648" s="170" t="str">
        <f>IFERROR(__xludf.DUMMYFUNCTION("""COMPUTED_VALUE"""),"Montreal")</f>
        <v>Montreal</v>
      </c>
      <c r="C3648" s="170" t="str">
        <f>IFERROR(__xludf.DUMMYFUNCTION("""COMPUTED_VALUE"""),"QC")</f>
        <v>QC</v>
      </c>
      <c r="D3648" s="170" t="str">
        <f>IFERROR(__xludf.DUMMYFUNCTION("""COMPUTED_VALUE"""),"Canada")</f>
        <v>Canada</v>
      </c>
      <c r="E3648" s="171">
        <f>IFERROR(__xludf.DUMMYFUNCTION("""COMPUTED_VALUE"""),43186.0)</f>
        <v>43186</v>
      </c>
      <c r="F3648" s="172">
        <f>IFERROR(__xludf.DUMMYFUNCTION("""COMPUTED_VALUE"""),43257.0)</f>
        <v>43257</v>
      </c>
      <c r="G3648" s="173"/>
      <c r="H3648" s="174">
        <f>IFERROR(__xludf.DUMMYFUNCTION("""COMPUTED_VALUE"""),28655.0)</f>
        <v>28655</v>
      </c>
      <c r="I3648" s="175"/>
      <c r="J3648" s="172">
        <f>IFERROR(__xludf.DUMMYFUNCTION("""COMPUTED_VALUE"""),43291.0)</f>
        <v>43291</v>
      </c>
      <c r="K3648" s="176">
        <f>IFERROR(__xludf.DUMMYFUNCTION("""COMPUTED_VALUE"""),71.0)</f>
        <v>71</v>
      </c>
      <c r="L3648" s="176">
        <f>IFERROR(__xludf.DUMMYFUNCTION("""COMPUTED_VALUE"""),34.0)</f>
        <v>34</v>
      </c>
      <c r="M3648" s="176">
        <f>IFERROR(__xludf.DUMMYFUNCTION("""COMPUTED_VALUE"""),105.0)</f>
        <v>105</v>
      </c>
      <c r="N3648" s="177" t="str">
        <f>IFERROR(__xludf.DUMMYFUNCTION("""COMPUTED_VALUE"""),"Model 3 LR")</f>
        <v>Model 3 LR</v>
      </c>
      <c r="O3648" s="177" t="str">
        <f>IFERROR(__xludf.DUMMYFUNCTION("""COMPUTED_VALUE"""),"Solid Black")</f>
        <v>Solid Black</v>
      </c>
      <c r="P3648" s="178" t="str">
        <f>IFERROR(__xludf.DUMMYFUNCTION("""COMPUTED_VALUE"""),"18 inch Aero")</f>
        <v>18 inch Aero</v>
      </c>
      <c r="Q3648" s="177" t="str">
        <f>IFERROR(__xludf.DUMMYFUNCTION("""COMPUTED_VALUE"""),"Black seats")</f>
        <v>Black seats</v>
      </c>
      <c r="R3648" s="170" t="str">
        <f>IFERROR(__xludf.DUMMYFUNCTION("""COMPUTED_VALUE"""),"Enhanced Autopilot")</f>
        <v>Enhanced Autopilot</v>
      </c>
      <c r="S3648" s="170"/>
      <c r="T3648" s="179"/>
      <c r="U3648" s="179"/>
      <c r="V3648" s="179"/>
      <c r="W3648" s="180"/>
      <c r="X3648" s="181"/>
      <c r="Y3648" s="182"/>
      <c r="Z3648" s="182"/>
      <c r="AA3648" s="182"/>
      <c r="AB3648" s="182"/>
      <c r="AC3648" s="183">
        <f>IFERROR(__xludf.DUMMYFUNCTION("""COMPUTED_VALUE"""),1.0)</f>
        <v>1</v>
      </c>
      <c r="AD3648" s="183"/>
      <c r="AE3648" s="183"/>
      <c r="AF3648" s="184"/>
      <c r="AG3648" s="180"/>
      <c r="AH3648" s="185">
        <f>IFERROR(__xludf.DUMMYFUNCTION("""COMPUTED_VALUE"""),43292.912333865745)</f>
        <v>43292.91233</v>
      </c>
      <c r="AI3648" s="182"/>
      <c r="AJ3648" s="182"/>
      <c r="AK3648" s="182"/>
      <c r="AL3648" s="182"/>
    </row>
    <row r="3649" ht="20.25" customHeight="1">
      <c r="A3649" s="169" t="str">
        <f>IFERROR(__xludf.DUMMYFUNCTION("""COMPUTED_VALUE"""),"npaquin")</f>
        <v>npaquin</v>
      </c>
      <c r="B3649" s="170" t="str">
        <f>IFERROR(__xludf.DUMMYFUNCTION("""COMPUTED_VALUE"""),"Montreal")</f>
        <v>Montreal</v>
      </c>
      <c r="C3649" s="170" t="str">
        <f>IFERROR(__xludf.DUMMYFUNCTION("""COMPUTED_VALUE"""),"QC")</f>
        <v>QC</v>
      </c>
      <c r="D3649" s="170" t="str">
        <f>IFERROR(__xludf.DUMMYFUNCTION("""COMPUTED_VALUE"""),"Canada")</f>
        <v>Canada</v>
      </c>
      <c r="E3649" s="171">
        <f>IFERROR(__xludf.DUMMYFUNCTION("""COMPUTED_VALUE"""),43186.0)</f>
        <v>43186</v>
      </c>
      <c r="F3649" s="172">
        <f>IFERROR(__xludf.DUMMYFUNCTION("""COMPUTED_VALUE"""),43227.0)</f>
        <v>43227</v>
      </c>
      <c r="G3649" s="173"/>
      <c r="H3649" s="174">
        <f>IFERROR(__xludf.DUMMYFUNCTION("""COMPUTED_VALUE"""),29255.0)</f>
        <v>29255</v>
      </c>
      <c r="I3649" s="175" t="str">
        <f>IFERROR(__xludf.DUMMYFUNCTION("""COMPUTED_VALUE"""),"05/18")</f>
        <v>05/18</v>
      </c>
      <c r="J3649" s="172">
        <f>IFERROR(__xludf.DUMMYFUNCTION("""COMPUTED_VALUE"""),43255.0)</f>
        <v>43255</v>
      </c>
      <c r="K3649" s="176">
        <f>IFERROR(__xludf.DUMMYFUNCTION("""COMPUTED_VALUE"""),41.0)</f>
        <v>41</v>
      </c>
      <c r="L3649" s="176">
        <f>IFERROR(__xludf.DUMMYFUNCTION("""COMPUTED_VALUE"""),28.0)</f>
        <v>28</v>
      </c>
      <c r="M3649" s="176">
        <f>IFERROR(__xludf.DUMMYFUNCTION("""COMPUTED_VALUE"""),69.0)</f>
        <v>69</v>
      </c>
      <c r="N3649" s="177" t="str">
        <f>IFERROR(__xludf.DUMMYFUNCTION("""COMPUTED_VALUE"""),"Model 3 LR")</f>
        <v>Model 3 LR</v>
      </c>
      <c r="O3649" s="177" t="str">
        <f>IFERROR(__xludf.DUMMYFUNCTION("""COMPUTED_VALUE"""),"Red Multi-Coat")</f>
        <v>Red Multi-Coat</v>
      </c>
      <c r="P3649" s="178" t="str">
        <f>IFERROR(__xludf.DUMMYFUNCTION("""COMPUTED_VALUE"""),"18 inch Aero")</f>
        <v>18 inch Aero</v>
      </c>
      <c r="Q3649" s="177" t="str">
        <f>IFERROR(__xludf.DUMMYFUNCTION("""COMPUTED_VALUE"""),"Black seats")</f>
        <v>Black seats</v>
      </c>
      <c r="R3649" s="170" t="str">
        <f>IFERROR(__xludf.DUMMYFUNCTION("""COMPUTED_VALUE"""),"Enhanced Autopilot")</f>
        <v>Enhanced Autopilot</v>
      </c>
      <c r="S3649" s="170"/>
      <c r="T3649" s="179"/>
      <c r="U3649" s="179"/>
      <c r="V3649" s="179"/>
      <c r="W3649" s="180"/>
      <c r="X3649" s="181" t="str">
        <f>IFERROR(__xludf.DUMMYFUNCTION("""COMPUTED_VALUE"""),"Excellent")</f>
        <v>Excellent</v>
      </c>
      <c r="Y3649" s="182" t="str">
        <f>IFERROR(__xludf.DUMMYFUNCTION("""COMPUTED_VALUE"""),"Excellent")</f>
        <v>Excellent</v>
      </c>
      <c r="Z3649" s="182" t="str">
        <f>IFERROR(__xludf.DUMMYFUNCTION("""COMPUTED_VALUE"""),"Excellent")</f>
        <v>Excellent</v>
      </c>
      <c r="AA3649" s="182" t="str">
        <f>IFERROR(__xludf.DUMMYFUNCTION("""COMPUTED_VALUE"""),"Excellent")</f>
        <v>Excellent</v>
      </c>
      <c r="AB3649" s="182" t="str">
        <f>IFERROR(__xludf.DUMMYFUNCTION("""COMPUTED_VALUE"""),"Excellent")</f>
        <v>Excellent</v>
      </c>
      <c r="AC3649" s="183"/>
      <c r="AD3649" s="183"/>
      <c r="AE3649" s="183"/>
      <c r="AF3649" s="184"/>
      <c r="AG3649" s="180"/>
      <c r="AH3649" s="185">
        <f>IFERROR(__xludf.DUMMYFUNCTION("""COMPUTED_VALUE"""),43277.460392280096)</f>
        <v>43277.46039</v>
      </c>
      <c r="AI3649" s="182"/>
      <c r="AJ3649" s="182"/>
      <c r="AK3649" s="182"/>
      <c r="AL3649" s="182"/>
    </row>
    <row r="3650" ht="20.25" customHeight="1">
      <c r="A3650" s="169" t="str">
        <f>IFERROR(__xludf.DUMMYFUNCTION("""COMPUTED_VALUE"""),"SandysTesla")</f>
        <v>SandysTesla</v>
      </c>
      <c r="B3650" s="170" t="str">
        <f>IFERROR(__xludf.DUMMYFUNCTION("""COMPUTED_VALUE"""),"Ontario")</f>
        <v>Ontario</v>
      </c>
      <c r="C3650" s="170" t="str">
        <f>IFERROR(__xludf.DUMMYFUNCTION("""COMPUTED_VALUE"""),"ON")</f>
        <v>ON</v>
      </c>
      <c r="D3650" s="170" t="str">
        <f>IFERROR(__xludf.DUMMYFUNCTION("""COMPUTED_VALUE"""),"Canada")</f>
        <v>Canada</v>
      </c>
      <c r="E3650" s="171">
        <f>IFERROR(__xludf.DUMMYFUNCTION("""COMPUTED_VALUE"""),43186.0)</f>
        <v>43186</v>
      </c>
      <c r="F3650" s="172">
        <f>IFERROR(__xludf.DUMMYFUNCTION("""COMPUTED_VALUE"""),43235.0)</f>
        <v>43235</v>
      </c>
      <c r="G3650" s="173"/>
      <c r="H3650" s="174">
        <f>IFERROR(__xludf.DUMMYFUNCTION("""COMPUTED_VALUE"""),30230.0)</f>
        <v>30230</v>
      </c>
      <c r="I3650" s="175" t="str">
        <f>IFERROR(__xludf.DUMMYFUNCTION("""COMPUTED_VALUE"""),"05/18")</f>
        <v>05/18</v>
      </c>
      <c r="J3650" s="172">
        <f>IFERROR(__xludf.DUMMYFUNCTION("""COMPUTED_VALUE"""),43256.0)</f>
        <v>43256</v>
      </c>
      <c r="K3650" s="176">
        <f>IFERROR(__xludf.DUMMYFUNCTION("""COMPUTED_VALUE"""),49.0)</f>
        <v>49</v>
      </c>
      <c r="L3650" s="176">
        <f>IFERROR(__xludf.DUMMYFUNCTION("""COMPUTED_VALUE"""),21.0)</f>
        <v>21</v>
      </c>
      <c r="M3650" s="176">
        <f>IFERROR(__xludf.DUMMYFUNCTION("""COMPUTED_VALUE"""),70.0)</f>
        <v>70</v>
      </c>
      <c r="N3650" s="177" t="str">
        <f>IFERROR(__xludf.DUMMYFUNCTION("""COMPUTED_VALUE"""),"Model 3 LR")</f>
        <v>Model 3 LR</v>
      </c>
      <c r="O3650" s="177" t="str">
        <f>IFERROR(__xludf.DUMMYFUNCTION("""COMPUTED_VALUE"""),"Pearl White Multi-Coat")</f>
        <v>Pearl White Multi-Coat</v>
      </c>
      <c r="P3650" s="178" t="str">
        <f>IFERROR(__xludf.DUMMYFUNCTION("""COMPUTED_VALUE"""),"19 inch Sport")</f>
        <v>19 inch Sport</v>
      </c>
      <c r="Q3650" s="177" t="str">
        <f>IFERROR(__xludf.DUMMYFUNCTION("""COMPUTED_VALUE"""),"Black seats")</f>
        <v>Black seats</v>
      </c>
      <c r="R3650" s="170" t="str">
        <f>IFERROR(__xludf.DUMMYFUNCTION("""COMPUTED_VALUE"""),"Enhanced Autopilot")</f>
        <v>Enhanced Autopilot</v>
      </c>
      <c r="S3650" s="170"/>
      <c r="T3650" s="179"/>
      <c r="U3650" s="179"/>
      <c r="V3650" s="179"/>
      <c r="W3650" s="180"/>
      <c r="X3650" s="181" t="str">
        <f>IFERROR(__xludf.DUMMYFUNCTION("""COMPUTED_VALUE"""),"Very Good")</f>
        <v>Very Good</v>
      </c>
      <c r="Y3650" s="182" t="str">
        <f>IFERROR(__xludf.DUMMYFUNCTION("""COMPUTED_VALUE"""),"Excellent")</f>
        <v>Excellent</v>
      </c>
      <c r="Z3650" s="182" t="str">
        <f>IFERROR(__xludf.DUMMYFUNCTION("""COMPUTED_VALUE"""),"Excellent")</f>
        <v>Excellent</v>
      </c>
      <c r="AA3650" s="182" t="str">
        <f>IFERROR(__xludf.DUMMYFUNCTION("""COMPUTED_VALUE"""),"Good")</f>
        <v>Good</v>
      </c>
      <c r="AB3650" s="182" t="str">
        <f>IFERROR(__xludf.DUMMYFUNCTION("""COMPUTED_VALUE"""),"Very Good")</f>
        <v>Very Good</v>
      </c>
      <c r="AC3650" s="183">
        <f>IFERROR(__xludf.DUMMYFUNCTION("""COMPUTED_VALUE"""),0.0)</f>
        <v>0</v>
      </c>
      <c r="AD3650" s="183">
        <f>IFERROR(__xludf.DUMMYFUNCTION("""COMPUTED_VALUE"""),0.0)</f>
        <v>0</v>
      </c>
      <c r="AE3650" s="183">
        <f>IFERROR(__xludf.DUMMYFUNCTION("""COMPUTED_VALUE"""),0.0)</f>
        <v>0</v>
      </c>
      <c r="AF3650" s="184"/>
      <c r="AG3650" s="180"/>
      <c r="AH3650" s="185">
        <f>IFERROR(__xludf.DUMMYFUNCTION("""COMPUTED_VALUE"""),43314.34348033565)</f>
        <v>43314.34348</v>
      </c>
      <c r="AI3650" s="182"/>
      <c r="AJ3650" s="182"/>
      <c r="AK3650" s="182"/>
      <c r="AL3650" s="182"/>
    </row>
    <row r="3651" ht="20.25" customHeight="1">
      <c r="A3651" s="169" t="str">
        <f>IFERROR(__xludf.DUMMYFUNCTION("""COMPUTED_VALUE"""),"protomech")</f>
        <v>protomech</v>
      </c>
      <c r="B3651" s="170" t="str">
        <f>IFERROR(__xludf.DUMMYFUNCTION("""COMPUTED_VALUE"""),"Nashville")</f>
        <v>Nashville</v>
      </c>
      <c r="C3651" s="170" t="str">
        <f>IFERROR(__xludf.DUMMYFUNCTION("""COMPUTED_VALUE"""),"TN")</f>
        <v>TN</v>
      </c>
      <c r="D3651" s="170" t="str">
        <f>IFERROR(__xludf.DUMMYFUNCTION("""COMPUTED_VALUE"""),"USA")</f>
        <v>USA</v>
      </c>
      <c r="E3651" s="171">
        <f>IFERROR(__xludf.DUMMYFUNCTION("""COMPUTED_VALUE"""),43185.0)</f>
        <v>43185</v>
      </c>
      <c r="F3651" s="172">
        <f>IFERROR(__xludf.DUMMYFUNCTION("""COMPUTED_VALUE"""),43223.0)</f>
        <v>43223</v>
      </c>
      <c r="G3651" s="173"/>
      <c r="H3651" s="174">
        <f>IFERROR(__xludf.DUMMYFUNCTION("""COMPUTED_VALUE"""),18975.0)</f>
        <v>18975</v>
      </c>
      <c r="I3651" s="175"/>
      <c r="J3651" s="172">
        <f>IFERROR(__xludf.DUMMYFUNCTION("""COMPUTED_VALUE"""),43242.0)</f>
        <v>43242</v>
      </c>
      <c r="K3651" s="176">
        <f>IFERROR(__xludf.DUMMYFUNCTION("""COMPUTED_VALUE"""),38.0)</f>
        <v>38</v>
      </c>
      <c r="L3651" s="176">
        <f>IFERROR(__xludf.DUMMYFUNCTION("""COMPUTED_VALUE"""),19.0)</f>
        <v>19</v>
      </c>
      <c r="M3651" s="176">
        <f>IFERROR(__xludf.DUMMYFUNCTION("""COMPUTED_VALUE"""),57.0)</f>
        <v>57</v>
      </c>
      <c r="N3651" s="177" t="str">
        <f>IFERROR(__xludf.DUMMYFUNCTION("""COMPUTED_VALUE"""),"Model 3 LR")</f>
        <v>Model 3 LR</v>
      </c>
      <c r="O3651" s="177" t="str">
        <f>IFERROR(__xludf.DUMMYFUNCTION("""COMPUTED_VALUE"""),"Midnight Silver Metallic")</f>
        <v>Midnight Silver Metallic</v>
      </c>
      <c r="P3651" s="178" t="str">
        <f>IFERROR(__xludf.DUMMYFUNCTION("""COMPUTED_VALUE"""),"18 inch Aero")</f>
        <v>18 inch Aero</v>
      </c>
      <c r="Q3651" s="177" t="str">
        <f>IFERROR(__xludf.DUMMYFUNCTION("""COMPUTED_VALUE"""),"Black seats")</f>
        <v>Black seats</v>
      </c>
      <c r="R3651" s="170" t="str">
        <f>IFERROR(__xludf.DUMMYFUNCTION("""COMPUTED_VALUE"""),"Full Self-Driving")</f>
        <v>Full Self-Driving</v>
      </c>
      <c r="S3651" s="170"/>
      <c r="T3651" s="179"/>
      <c r="U3651" s="179"/>
      <c r="V3651" s="179"/>
      <c r="W3651" s="180"/>
      <c r="X3651" s="181" t="str">
        <f>IFERROR(__xludf.DUMMYFUNCTION("""COMPUTED_VALUE"""),"Excellent")</f>
        <v>Excellent</v>
      </c>
      <c r="Y3651" s="182" t="str">
        <f>IFERROR(__xludf.DUMMYFUNCTION("""COMPUTED_VALUE"""),"Excellent")</f>
        <v>Excellent</v>
      </c>
      <c r="Z3651" s="182" t="str">
        <f>IFERROR(__xludf.DUMMYFUNCTION("""COMPUTED_VALUE"""),"Excellent")</f>
        <v>Excellent</v>
      </c>
      <c r="AA3651" s="182" t="str">
        <f>IFERROR(__xludf.DUMMYFUNCTION("""COMPUTED_VALUE"""),"Good")</f>
        <v>Good</v>
      </c>
      <c r="AB3651" s="182" t="str">
        <f>IFERROR(__xludf.DUMMYFUNCTION("""COMPUTED_VALUE"""),"Very Good")</f>
        <v>Very Good</v>
      </c>
      <c r="AC3651" s="183"/>
      <c r="AD3651" s="183"/>
      <c r="AE3651" s="183"/>
      <c r="AF3651" s="184"/>
      <c r="AG3651" s="180"/>
      <c r="AH3651" s="185">
        <f>IFERROR(__xludf.DUMMYFUNCTION("""COMPUTED_VALUE"""),43250.44053072917)</f>
        <v>43250.44053</v>
      </c>
      <c r="AI3651" s="182"/>
      <c r="AJ3651" s="182"/>
      <c r="AK3651" s="182"/>
      <c r="AL3651" s="182"/>
    </row>
    <row r="3652" ht="20.25" customHeight="1">
      <c r="A3652" s="169" t="str">
        <f>IFERROR(__xludf.DUMMYFUNCTION("""COMPUTED_VALUE"""),"wattgas")</f>
        <v>wattgas</v>
      </c>
      <c r="B3652" s="170" t="str">
        <f>IFERROR(__xludf.DUMMYFUNCTION("""COMPUTED_VALUE"""),"Seattle")</f>
        <v>Seattle</v>
      </c>
      <c r="C3652" s="170" t="str">
        <f>IFERROR(__xludf.DUMMYFUNCTION("""COMPUTED_VALUE"""),"WA")</f>
        <v>WA</v>
      </c>
      <c r="D3652" s="170" t="str">
        <f>IFERROR(__xludf.DUMMYFUNCTION("""COMPUTED_VALUE"""),"USA")</f>
        <v>USA</v>
      </c>
      <c r="E3652" s="171">
        <f>IFERROR(__xludf.DUMMYFUNCTION("""COMPUTED_VALUE"""),43185.0)</f>
        <v>43185</v>
      </c>
      <c r="F3652" s="172"/>
      <c r="G3652" s="173"/>
      <c r="H3652" s="174">
        <f>IFERROR(__xludf.DUMMYFUNCTION("""COMPUTED_VALUE"""),15655.0)</f>
        <v>15655</v>
      </c>
      <c r="I3652" s="175"/>
      <c r="J3652" s="172">
        <f>IFERROR(__xludf.DUMMYFUNCTION("""COMPUTED_VALUE"""),43216.0)</f>
        <v>43216</v>
      </c>
      <c r="K3652" s="176"/>
      <c r="L3652" s="176"/>
      <c r="M3652" s="176">
        <f>IFERROR(__xludf.DUMMYFUNCTION("""COMPUTED_VALUE"""),31.0)</f>
        <v>31</v>
      </c>
      <c r="N3652" s="177" t="str">
        <f>IFERROR(__xludf.DUMMYFUNCTION("""COMPUTED_VALUE"""),"Model 3 LR")</f>
        <v>Model 3 LR</v>
      </c>
      <c r="O3652" s="177" t="str">
        <f>IFERROR(__xludf.DUMMYFUNCTION("""COMPUTED_VALUE"""),"Deep Blue Metallic")</f>
        <v>Deep Blue Metallic</v>
      </c>
      <c r="P3652" s="178" t="str">
        <f>IFERROR(__xludf.DUMMYFUNCTION("""COMPUTED_VALUE"""),"19 inch Sport")</f>
        <v>19 inch Sport</v>
      </c>
      <c r="Q3652" s="177" t="str">
        <f>IFERROR(__xludf.DUMMYFUNCTION("""COMPUTED_VALUE"""),"Black seats")</f>
        <v>Black seats</v>
      </c>
      <c r="R3652" s="170" t="str">
        <f>IFERROR(__xludf.DUMMYFUNCTION("""COMPUTED_VALUE"""),"Enhanced Autopilot")</f>
        <v>Enhanced Autopilot</v>
      </c>
      <c r="S3652" s="170"/>
      <c r="T3652" s="179"/>
      <c r="U3652" s="179"/>
      <c r="V3652" s="179"/>
      <c r="W3652" s="180"/>
      <c r="X3652" s="181" t="str">
        <f>IFERROR(__xludf.DUMMYFUNCTION("""COMPUTED_VALUE"""),"Excellent")</f>
        <v>Excellent</v>
      </c>
      <c r="Y3652" s="182" t="str">
        <f>IFERROR(__xludf.DUMMYFUNCTION("""COMPUTED_VALUE"""),"Excellent")</f>
        <v>Excellent</v>
      </c>
      <c r="Z3652" s="182" t="str">
        <f>IFERROR(__xludf.DUMMYFUNCTION("""COMPUTED_VALUE"""),"Excellent")</f>
        <v>Excellent</v>
      </c>
      <c r="AA3652" s="182" t="str">
        <f>IFERROR(__xludf.DUMMYFUNCTION("""COMPUTED_VALUE"""),"Fair")</f>
        <v>Fair</v>
      </c>
      <c r="AB3652" s="182" t="str">
        <f>IFERROR(__xludf.DUMMYFUNCTION("""COMPUTED_VALUE"""),"Good")</f>
        <v>Good</v>
      </c>
      <c r="AC3652" s="183">
        <f>IFERROR(__xludf.DUMMYFUNCTION("""COMPUTED_VALUE"""),0.0)</f>
        <v>0</v>
      </c>
      <c r="AD3652" s="183">
        <f>IFERROR(__xludf.DUMMYFUNCTION("""COMPUTED_VALUE"""),0.0)</f>
        <v>0</v>
      </c>
      <c r="AE3652" s="183">
        <f>IFERROR(__xludf.DUMMYFUNCTION("""COMPUTED_VALUE"""),0.0)</f>
        <v>0</v>
      </c>
      <c r="AF3652" s="184"/>
      <c r="AG3652" s="180"/>
      <c r="AH3652" s="185">
        <f>IFERROR(__xludf.DUMMYFUNCTION("""COMPUTED_VALUE"""),43411.807948379625)</f>
        <v>43411.80795</v>
      </c>
      <c r="AI3652" s="182"/>
      <c r="AJ3652" s="182"/>
      <c r="AK3652" s="182"/>
      <c r="AL3652" s="182"/>
    </row>
    <row r="3653" ht="20.25" customHeight="1">
      <c r="A3653" s="169" t="str">
        <f>IFERROR(__xludf.DUMMYFUNCTION("""COMPUTED_VALUE"""),"Frank99")</f>
        <v>Frank99</v>
      </c>
      <c r="B3653" s="170" t="str">
        <f>IFERROR(__xludf.DUMMYFUNCTION("""COMPUTED_VALUE"""),"Phoenix")</f>
        <v>Phoenix</v>
      </c>
      <c r="C3653" s="170" t="str">
        <f>IFERROR(__xludf.DUMMYFUNCTION("""COMPUTED_VALUE"""),"AZ")</f>
        <v>AZ</v>
      </c>
      <c r="D3653" s="170" t="str">
        <f>IFERROR(__xludf.DUMMYFUNCTION("""COMPUTED_VALUE"""),"USA")</f>
        <v>USA</v>
      </c>
      <c r="E3653" s="171">
        <f>IFERROR(__xludf.DUMMYFUNCTION("""COMPUTED_VALUE"""),43184.0)</f>
        <v>43184</v>
      </c>
      <c r="F3653" s="172">
        <f>IFERROR(__xludf.DUMMYFUNCTION("""COMPUTED_VALUE"""),43206.0)</f>
        <v>43206</v>
      </c>
      <c r="G3653" s="173"/>
      <c r="H3653" s="174">
        <f>IFERROR(__xludf.DUMMYFUNCTION("""COMPUTED_VALUE"""),16728.0)</f>
        <v>16728</v>
      </c>
      <c r="I3653" s="175"/>
      <c r="J3653" s="172">
        <f>IFERROR(__xludf.DUMMYFUNCTION("""COMPUTED_VALUE"""),43223.0)</f>
        <v>43223</v>
      </c>
      <c r="K3653" s="176">
        <f>IFERROR(__xludf.DUMMYFUNCTION("""COMPUTED_VALUE"""),22.0)</f>
        <v>22</v>
      </c>
      <c r="L3653" s="176">
        <f>IFERROR(__xludf.DUMMYFUNCTION("""COMPUTED_VALUE"""),17.0)</f>
        <v>17</v>
      </c>
      <c r="M3653" s="176">
        <f>IFERROR(__xludf.DUMMYFUNCTION("""COMPUTED_VALUE"""),39.0)</f>
        <v>39</v>
      </c>
      <c r="N3653" s="177" t="str">
        <f>IFERROR(__xludf.DUMMYFUNCTION("""COMPUTED_VALUE"""),"Model 3 LR")</f>
        <v>Model 3 LR</v>
      </c>
      <c r="O3653" s="177" t="str">
        <f>IFERROR(__xludf.DUMMYFUNCTION("""COMPUTED_VALUE"""),"Red Multi-Coat")</f>
        <v>Red Multi-Coat</v>
      </c>
      <c r="P3653" s="178" t="str">
        <f>IFERROR(__xludf.DUMMYFUNCTION("""COMPUTED_VALUE"""),"18 inch Aero")</f>
        <v>18 inch Aero</v>
      </c>
      <c r="Q3653" s="177" t="str">
        <f>IFERROR(__xludf.DUMMYFUNCTION("""COMPUTED_VALUE"""),"Black seats")</f>
        <v>Black seats</v>
      </c>
      <c r="R3653" s="170" t="str">
        <f>IFERROR(__xludf.DUMMYFUNCTION("""COMPUTED_VALUE"""),"Enhanced Autopilot")</f>
        <v>Enhanced Autopilot</v>
      </c>
      <c r="S3653" s="170"/>
      <c r="T3653" s="179"/>
      <c r="U3653" s="179"/>
      <c r="V3653" s="179"/>
      <c r="W3653" s="180"/>
      <c r="X3653" s="181" t="str">
        <f>IFERROR(__xludf.DUMMYFUNCTION("""COMPUTED_VALUE"""),"Excellent")</f>
        <v>Excellent</v>
      </c>
      <c r="Y3653" s="182" t="str">
        <f>IFERROR(__xludf.DUMMYFUNCTION("""COMPUTED_VALUE"""),"Excellent")</f>
        <v>Excellent</v>
      </c>
      <c r="Z3653" s="182" t="str">
        <f>IFERROR(__xludf.DUMMYFUNCTION("""COMPUTED_VALUE"""),"Excellent")</f>
        <v>Excellent</v>
      </c>
      <c r="AA3653" s="182"/>
      <c r="AB3653" s="182" t="str">
        <f>IFERROR(__xludf.DUMMYFUNCTION("""COMPUTED_VALUE"""),"Excellent")</f>
        <v>Excellent</v>
      </c>
      <c r="AC3653" s="183"/>
      <c r="AD3653" s="183"/>
      <c r="AE3653" s="183"/>
      <c r="AF3653" s="184"/>
      <c r="AG3653" s="180"/>
      <c r="AH3653" s="185">
        <f>IFERROR(__xludf.DUMMYFUNCTION("""COMPUTED_VALUE"""),43230.62722638888)</f>
        <v>43230.62723</v>
      </c>
      <c r="AI3653" s="182"/>
      <c r="AJ3653" s="182"/>
      <c r="AK3653" s="182"/>
      <c r="AL3653" s="182"/>
    </row>
    <row r="3654" ht="20.25" customHeight="1">
      <c r="A3654" s="169" t="str">
        <f>IFERROR(__xludf.DUMMYFUNCTION("""COMPUTED_VALUE"""),"TeslaWindsor")</f>
        <v>TeslaWindsor</v>
      </c>
      <c r="B3654" s="170" t="str">
        <f>IFERROR(__xludf.DUMMYFUNCTION("""COMPUTED_VALUE"""),"Windsor")</f>
        <v>Windsor</v>
      </c>
      <c r="C3654" s="170" t="str">
        <f>IFERROR(__xludf.DUMMYFUNCTION("""COMPUTED_VALUE"""),"ON")</f>
        <v>ON</v>
      </c>
      <c r="D3654" s="170" t="str">
        <f>IFERROR(__xludf.DUMMYFUNCTION("""COMPUTED_VALUE"""),"Canada")</f>
        <v>Canada</v>
      </c>
      <c r="E3654" s="171">
        <f>IFERROR(__xludf.DUMMYFUNCTION("""COMPUTED_VALUE"""),43184.0)</f>
        <v>43184</v>
      </c>
      <c r="F3654" s="172">
        <f>IFERROR(__xludf.DUMMYFUNCTION("""COMPUTED_VALUE"""),43223.0)</f>
        <v>43223</v>
      </c>
      <c r="G3654" s="173"/>
      <c r="H3654" s="174">
        <f>IFERROR(__xludf.DUMMYFUNCTION("""COMPUTED_VALUE"""),29555.0)</f>
        <v>29555</v>
      </c>
      <c r="I3654" s="175"/>
      <c r="J3654" s="172">
        <f>IFERROR(__xludf.DUMMYFUNCTION("""COMPUTED_VALUE"""),43250.0)</f>
        <v>43250</v>
      </c>
      <c r="K3654" s="176">
        <f>IFERROR(__xludf.DUMMYFUNCTION("""COMPUTED_VALUE"""),39.0)</f>
        <v>39</v>
      </c>
      <c r="L3654" s="176">
        <f>IFERROR(__xludf.DUMMYFUNCTION("""COMPUTED_VALUE"""),27.0)</f>
        <v>27</v>
      </c>
      <c r="M3654" s="176">
        <f>IFERROR(__xludf.DUMMYFUNCTION("""COMPUTED_VALUE"""),66.0)</f>
        <v>66</v>
      </c>
      <c r="N3654" s="177" t="str">
        <f>IFERROR(__xludf.DUMMYFUNCTION("""COMPUTED_VALUE"""),"Model 3 LR")</f>
        <v>Model 3 LR</v>
      </c>
      <c r="O3654" s="177" t="str">
        <f>IFERROR(__xludf.DUMMYFUNCTION("""COMPUTED_VALUE"""),"Pearl White Multi-Coat")</f>
        <v>Pearl White Multi-Coat</v>
      </c>
      <c r="P3654" s="178" t="str">
        <f>IFERROR(__xludf.DUMMYFUNCTION("""COMPUTED_VALUE"""),"18 inch Aero")</f>
        <v>18 inch Aero</v>
      </c>
      <c r="Q3654" s="177" t="str">
        <f>IFERROR(__xludf.DUMMYFUNCTION("""COMPUTED_VALUE"""),"Black seats")</f>
        <v>Black seats</v>
      </c>
      <c r="R3654" s="170" t="str">
        <f>IFERROR(__xludf.DUMMYFUNCTION("""COMPUTED_VALUE"""),"None")</f>
        <v>None</v>
      </c>
      <c r="S3654" s="170"/>
      <c r="T3654" s="179"/>
      <c r="U3654" s="179"/>
      <c r="V3654" s="179"/>
      <c r="W3654" s="180"/>
      <c r="X3654" s="181" t="str">
        <f>IFERROR(__xludf.DUMMYFUNCTION("""COMPUTED_VALUE"""),"Excellent")</f>
        <v>Excellent</v>
      </c>
      <c r="Y3654" s="182" t="str">
        <f>IFERROR(__xludf.DUMMYFUNCTION("""COMPUTED_VALUE"""),"Excellent")</f>
        <v>Excellent</v>
      </c>
      <c r="Z3654" s="182" t="str">
        <f>IFERROR(__xludf.DUMMYFUNCTION("""COMPUTED_VALUE"""),"Very Good")</f>
        <v>Very Good</v>
      </c>
      <c r="AA3654" s="182" t="str">
        <f>IFERROR(__xludf.DUMMYFUNCTION("""COMPUTED_VALUE"""),"Poor")</f>
        <v>Poor</v>
      </c>
      <c r="AB3654" s="182" t="str">
        <f>IFERROR(__xludf.DUMMYFUNCTION("""COMPUTED_VALUE"""),"Poor")</f>
        <v>Poor</v>
      </c>
      <c r="AC3654" s="183"/>
      <c r="AD3654" s="183"/>
      <c r="AE3654" s="183"/>
      <c r="AF3654" s="184"/>
      <c r="AG3654" s="180"/>
      <c r="AH3654" s="185">
        <f>IFERROR(__xludf.DUMMYFUNCTION("""COMPUTED_VALUE"""),43252.58050019676)</f>
        <v>43252.5805</v>
      </c>
      <c r="AI3654" s="182"/>
      <c r="AJ3654" s="182"/>
      <c r="AK3654" s="182"/>
      <c r="AL3654" s="182"/>
    </row>
    <row r="3655" ht="20.25" customHeight="1">
      <c r="A3655" s="169" t="str">
        <f>IFERROR(__xludf.DUMMYFUNCTION("""COMPUTED_VALUE"""),"theishu")</f>
        <v>theishu</v>
      </c>
      <c r="B3655" s="170" t="str">
        <f>IFERROR(__xludf.DUMMYFUNCTION("""COMPUTED_VALUE"""),"Fairfax")</f>
        <v>Fairfax</v>
      </c>
      <c r="C3655" s="170" t="str">
        <f>IFERROR(__xludf.DUMMYFUNCTION("""COMPUTED_VALUE"""),"VA")</f>
        <v>VA</v>
      </c>
      <c r="D3655" s="170" t="str">
        <f>IFERROR(__xludf.DUMMYFUNCTION("""COMPUTED_VALUE"""),"USA")</f>
        <v>USA</v>
      </c>
      <c r="E3655" s="171">
        <f>IFERROR(__xludf.DUMMYFUNCTION("""COMPUTED_VALUE"""),43184.0)</f>
        <v>43184</v>
      </c>
      <c r="F3655" s="172">
        <f>IFERROR(__xludf.DUMMYFUNCTION("""COMPUTED_VALUE"""),43206.0)</f>
        <v>43206</v>
      </c>
      <c r="G3655" s="173"/>
      <c r="H3655" s="174">
        <f>IFERROR(__xludf.DUMMYFUNCTION("""COMPUTED_VALUE"""),16755.0)</f>
        <v>16755</v>
      </c>
      <c r="I3655" s="175"/>
      <c r="J3655" s="172">
        <f>IFERROR(__xludf.DUMMYFUNCTION("""COMPUTED_VALUE"""),43229.0)</f>
        <v>43229</v>
      </c>
      <c r="K3655" s="176">
        <f>IFERROR(__xludf.DUMMYFUNCTION("""COMPUTED_VALUE"""),22.0)</f>
        <v>22</v>
      </c>
      <c r="L3655" s="176">
        <f>IFERROR(__xludf.DUMMYFUNCTION("""COMPUTED_VALUE"""),23.0)</f>
        <v>23</v>
      </c>
      <c r="M3655" s="176">
        <f>IFERROR(__xludf.DUMMYFUNCTION("""COMPUTED_VALUE"""),45.0)</f>
        <v>45</v>
      </c>
      <c r="N3655" s="177" t="str">
        <f>IFERROR(__xludf.DUMMYFUNCTION("""COMPUTED_VALUE"""),"Model 3 LR")</f>
        <v>Model 3 LR</v>
      </c>
      <c r="O3655" s="177" t="str">
        <f>IFERROR(__xludf.DUMMYFUNCTION("""COMPUTED_VALUE"""),"Red Multi-Coat")</f>
        <v>Red Multi-Coat</v>
      </c>
      <c r="P3655" s="178" t="str">
        <f>IFERROR(__xludf.DUMMYFUNCTION("""COMPUTED_VALUE"""),"18 inch Aero")</f>
        <v>18 inch Aero</v>
      </c>
      <c r="Q3655" s="177" t="str">
        <f>IFERROR(__xludf.DUMMYFUNCTION("""COMPUTED_VALUE"""),"Black seats")</f>
        <v>Black seats</v>
      </c>
      <c r="R3655" s="170" t="str">
        <f>IFERROR(__xludf.DUMMYFUNCTION("""COMPUTED_VALUE"""),"Full Self-Driving")</f>
        <v>Full Self-Driving</v>
      </c>
      <c r="S3655" s="170"/>
      <c r="T3655" s="179"/>
      <c r="U3655" s="179"/>
      <c r="V3655" s="179"/>
      <c r="W3655" s="180"/>
      <c r="X3655" s="181" t="str">
        <f>IFERROR(__xludf.DUMMYFUNCTION("""COMPUTED_VALUE"""),"Very Good")</f>
        <v>Very Good</v>
      </c>
      <c r="Y3655" s="182" t="str">
        <f>IFERROR(__xludf.DUMMYFUNCTION("""COMPUTED_VALUE"""),"Excellent")</f>
        <v>Excellent</v>
      </c>
      <c r="Z3655" s="182" t="str">
        <f>IFERROR(__xludf.DUMMYFUNCTION("""COMPUTED_VALUE"""),"Excellent")</f>
        <v>Excellent</v>
      </c>
      <c r="AA3655" s="182"/>
      <c r="AB3655" s="182" t="str">
        <f>IFERROR(__xludf.DUMMYFUNCTION("""COMPUTED_VALUE"""),"Good")</f>
        <v>Good</v>
      </c>
      <c r="AC3655" s="183"/>
      <c r="AD3655" s="183"/>
      <c r="AE3655" s="183"/>
      <c r="AF3655" s="184"/>
      <c r="AG3655" s="180"/>
      <c r="AH3655" s="185">
        <f>IFERROR(__xludf.DUMMYFUNCTION("""COMPUTED_VALUE"""),43230.520236122684)</f>
        <v>43230.52024</v>
      </c>
      <c r="AI3655" s="182"/>
      <c r="AJ3655" s="182"/>
      <c r="AK3655" s="182"/>
      <c r="AL3655" s="182"/>
    </row>
    <row r="3656" ht="20.25" customHeight="1">
      <c r="A3656" s="169" t="str">
        <f>IFERROR(__xludf.DUMMYFUNCTION("""COMPUTED_VALUE"""),"cucopper")</f>
        <v>cucopper</v>
      </c>
      <c r="B3656" s="170" t="str">
        <f>IFERROR(__xludf.DUMMYFUNCTION("""COMPUTED_VALUE"""),"Costa Mesa")</f>
        <v>Costa Mesa</v>
      </c>
      <c r="C3656" s="170" t="str">
        <f>IFERROR(__xludf.DUMMYFUNCTION("""COMPUTED_VALUE"""),"CA")</f>
        <v>CA</v>
      </c>
      <c r="D3656" s="170" t="str">
        <f>IFERROR(__xludf.DUMMYFUNCTION("""COMPUTED_VALUE"""),"USA")</f>
        <v>USA</v>
      </c>
      <c r="E3656" s="171">
        <f>IFERROR(__xludf.DUMMYFUNCTION("""COMPUTED_VALUE"""),43183.0)</f>
        <v>43183</v>
      </c>
      <c r="F3656" s="172">
        <f>IFERROR(__xludf.DUMMYFUNCTION("""COMPUTED_VALUE"""),43218.0)</f>
        <v>43218</v>
      </c>
      <c r="G3656" s="173"/>
      <c r="H3656" s="174">
        <f>IFERROR(__xludf.DUMMYFUNCTION("""COMPUTED_VALUE"""),15955.0)</f>
        <v>15955</v>
      </c>
      <c r="I3656" s="175"/>
      <c r="J3656" s="172">
        <f>IFERROR(__xludf.DUMMYFUNCTION("""COMPUTED_VALUE"""),43229.0)</f>
        <v>43229</v>
      </c>
      <c r="K3656" s="176">
        <f>IFERROR(__xludf.DUMMYFUNCTION("""COMPUTED_VALUE"""),35.0)</f>
        <v>35</v>
      </c>
      <c r="L3656" s="176">
        <f>IFERROR(__xludf.DUMMYFUNCTION("""COMPUTED_VALUE"""),11.0)</f>
        <v>11</v>
      </c>
      <c r="M3656" s="176">
        <f>IFERROR(__xludf.DUMMYFUNCTION("""COMPUTED_VALUE"""),46.0)</f>
        <v>46</v>
      </c>
      <c r="N3656" s="177" t="str">
        <f>IFERROR(__xludf.DUMMYFUNCTION("""COMPUTED_VALUE"""),"Model 3 LR")</f>
        <v>Model 3 LR</v>
      </c>
      <c r="O3656" s="177" t="str">
        <f>IFERROR(__xludf.DUMMYFUNCTION("""COMPUTED_VALUE"""),"Solid Black")</f>
        <v>Solid Black</v>
      </c>
      <c r="P3656" s="178" t="str">
        <f>IFERROR(__xludf.DUMMYFUNCTION("""COMPUTED_VALUE"""),"18 inch Aero")</f>
        <v>18 inch Aero</v>
      </c>
      <c r="Q3656" s="177" t="str">
        <f>IFERROR(__xludf.DUMMYFUNCTION("""COMPUTED_VALUE"""),"Black seats")</f>
        <v>Black seats</v>
      </c>
      <c r="R3656" s="170" t="str">
        <f>IFERROR(__xludf.DUMMYFUNCTION("""COMPUTED_VALUE"""),"Enhanced Autopilot")</f>
        <v>Enhanced Autopilot</v>
      </c>
      <c r="S3656" s="170"/>
      <c r="T3656" s="179"/>
      <c r="U3656" s="179"/>
      <c r="V3656" s="179"/>
      <c r="W3656" s="180"/>
      <c r="X3656" s="181" t="str">
        <f>IFERROR(__xludf.DUMMYFUNCTION("""COMPUTED_VALUE"""),"Very Good")</f>
        <v>Very Good</v>
      </c>
      <c r="Y3656" s="182" t="str">
        <f>IFERROR(__xludf.DUMMYFUNCTION("""COMPUTED_VALUE"""),"Very Good")</f>
        <v>Very Good</v>
      </c>
      <c r="Z3656" s="182" t="str">
        <f>IFERROR(__xludf.DUMMYFUNCTION("""COMPUTED_VALUE"""),"Very Good")</f>
        <v>Very Good</v>
      </c>
      <c r="AA3656" s="182"/>
      <c r="AB3656" s="182" t="str">
        <f>IFERROR(__xludf.DUMMYFUNCTION("""COMPUTED_VALUE"""),"Very Good")</f>
        <v>Very Good</v>
      </c>
      <c r="AC3656" s="183"/>
      <c r="AD3656" s="183"/>
      <c r="AE3656" s="183"/>
      <c r="AF3656" s="184"/>
      <c r="AG3656" s="180"/>
      <c r="AH3656" s="185">
        <f>IFERROR(__xludf.DUMMYFUNCTION("""COMPUTED_VALUE"""),43229.66888178241)</f>
        <v>43229.66888</v>
      </c>
      <c r="AI3656" s="182"/>
      <c r="AJ3656" s="182"/>
      <c r="AK3656" s="182"/>
      <c r="AL3656" s="182"/>
    </row>
    <row r="3657" ht="20.25" customHeight="1">
      <c r="A3657" s="169" t="str">
        <f>IFERROR(__xludf.DUMMYFUNCTION("""COMPUTED_VALUE"""),"jobadiah08")</f>
        <v>jobadiah08</v>
      </c>
      <c r="B3657" s="170"/>
      <c r="C3657" s="170" t="str">
        <f>IFERROR(__xludf.DUMMYFUNCTION("""COMPUTED_VALUE"""),"CA")</f>
        <v>CA</v>
      </c>
      <c r="D3657" s="170" t="str">
        <f>IFERROR(__xludf.DUMMYFUNCTION("""COMPUTED_VALUE"""),"USA")</f>
        <v>USA</v>
      </c>
      <c r="E3657" s="171">
        <f>IFERROR(__xludf.DUMMYFUNCTION("""COMPUTED_VALUE"""),43183.0)</f>
        <v>43183</v>
      </c>
      <c r="F3657" s="172">
        <f>IFERROR(__xludf.DUMMYFUNCTION("""COMPUTED_VALUE"""),43222.0)</f>
        <v>43222</v>
      </c>
      <c r="G3657" s="173"/>
      <c r="H3657" s="174">
        <f>IFERROR(__xludf.DUMMYFUNCTION("""COMPUTED_VALUE"""),21855.0)</f>
        <v>21855</v>
      </c>
      <c r="I3657" s="175"/>
      <c r="J3657" s="172">
        <f>IFERROR(__xludf.DUMMYFUNCTION("""COMPUTED_VALUE"""),43231.0)</f>
        <v>43231</v>
      </c>
      <c r="K3657" s="176">
        <f>IFERROR(__xludf.DUMMYFUNCTION("""COMPUTED_VALUE"""),39.0)</f>
        <v>39</v>
      </c>
      <c r="L3657" s="176">
        <f>IFERROR(__xludf.DUMMYFUNCTION("""COMPUTED_VALUE"""),9.0)</f>
        <v>9</v>
      </c>
      <c r="M3657" s="176">
        <f>IFERROR(__xludf.DUMMYFUNCTION("""COMPUTED_VALUE"""),48.0)</f>
        <v>48</v>
      </c>
      <c r="N3657" s="177" t="str">
        <f>IFERROR(__xludf.DUMMYFUNCTION("""COMPUTED_VALUE"""),"Model 3 LR")</f>
        <v>Model 3 LR</v>
      </c>
      <c r="O3657" s="177" t="str">
        <f>IFERROR(__xludf.DUMMYFUNCTION("""COMPUTED_VALUE"""),"Midnight Silver Metallic")</f>
        <v>Midnight Silver Metallic</v>
      </c>
      <c r="P3657" s="178" t="str">
        <f>IFERROR(__xludf.DUMMYFUNCTION("""COMPUTED_VALUE"""),"18 inch Aero")</f>
        <v>18 inch Aero</v>
      </c>
      <c r="Q3657" s="177" t="str">
        <f>IFERROR(__xludf.DUMMYFUNCTION("""COMPUTED_VALUE"""),"Black seats")</f>
        <v>Black seats</v>
      </c>
      <c r="R3657" s="170" t="str">
        <f>IFERROR(__xludf.DUMMYFUNCTION("""COMPUTED_VALUE"""),"Enhanced Autopilot")</f>
        <v>Enhanced Autopilot</v>
      </c>
      <c r="S3657" s="170"/>
      <c r="T3657" s="179"/>
      <c r="U3657" s="179"/>
      <c r="V3657" s="179"/>
      <c r="W3657" s="180"/>
      <c r="X3657" s="181" t="str">
        <f>IFERROR(__xludf.DUMMYFUNCTION("""COMPUTED_VALUE"""),"Very Good")</f>
        <v>Very Good</v>
      </c>
      <c r="Y3657" s="182" t="str">
        <f>IFERROR(__xludf.DUMMYFUNCTION("""COMPUTED_VALUE"""),"Excellent")</f>
        <v>Excellent</v>
      </c>
      <c r="Z3657" s="182" t="str">
        <f>IFERROR(__xludf.DUMMYFUNCTION("""COMPUTED_VALUE"""),"Excellent")</f>
        <v>Excellent</v>
      </c>
      <c r="AA3657" s="182"/>
      <c r="AB3657" s="182" t="str">
        <f>IFERROR(__xludf.DUMMYFUNCTION("""COMPUTED_VALUE"""),"Very Good")</f>
        <v>Very Good</v>
      </c>
      <c r="AC3657" s="183"/>
      <c r="AD3657" s="183"/>
      <c r="AE3657" s="183"/>
      <c r="AF3657" s="184"/>
      <c r="AG3657" s="180" t="str">
        <f>IFERROR(__xludf.DUMMYFUNCTION("""COMPUTED_VALUE"""),"Gaps seemed a bit wide, but were even all the way around")</f>
        <v>Gaps seemed a bit wide, but were even all the way around</v>
      </c>
      <c r="AH3657" s="185">
        <f>IFERROR(__xludf.DUMMYFUNCTION("""COMPUTED_VALUE"""),43231.83053910879)</f>
        <v>43231.83054</v>
      </c>
      <c r="AI3657" s="182"/>
      <c r="AJ3657" s="182"/>
      <c r="AK3657" s="182"/>
      <c r="AL3657" s="182"/>
    </row>
    <row r="3658" ht="20.25" customHeight="1">
      <c r="A3658" s="169" t="str">
        <f>IFERROR(__xludf.DUMMYFUNCTION("""COMPUTED_VALUE"""),"VBRaj66")</f>
        <v>VBRaj66</v>
      </c>
      <c r="B3658" s="170" t="str">
        <f>IFERROR(__xludf.DUMMYFUNCTION("""COMPUTED_VALUE"""),"San Diego")</f>
        <v>San Diego</v>
      </c>
      <c r="C3658" s="170" t="str">
        <f>IFERROR(__xludf.DUMMYFUNCTION("""COMPUTED_VALUE"""),"CA")</f>
        <v>CA</v>
      </c>
      <c r="D3658" s="170" t="str">
        <f>IFERROR(__xludf.DUMMYFUNCTION("""COMPUTED_VALUE"""),"USA")</f>
        <v>USA</v>
      </c>
      <c r="E3658" s="171">
        <f>IFERROR(__xludf.DUMMYFUNCTION("""COMPUTED_VALUE"""),43182.0)</f>
        <v>43182</v>
      </c>
      <c r="F3658" s="172">
        <f>IFERROR(__xludf.DUMMYFUNCTION("""COMPUTED_VALUE"""),43202.0)</f>
        <v>43202</v>
      </c>
      <c r="G3658" s="173"/>
      <c r="H3658" s="174">
        <f>IFERROR(__xludf.DUMMYFUNCTION("""COMPUTED_VALUE"""),14655.0)</f>
        <v>14655</v>
      </c>
      <c r="I3658" s="175" t="str">
        <f>IFERROR(__xludf.DUMMYFUNCTION("""COMPUTED_VALUE"""),"04/18")</f>
        <v>04/18</v>
      </c>
      <c r="J3658" s="172">
        <f>IFERROR(__xludf.DUMMYFUNCTION("""COMPUTED_VALUE"""),43214.0)</f>
        <v>43214</v>
      </c>
      <c r="K3658" s="176">
        <f>IFERROR(__xludf.DUMMYFUNCTION("""COMPUTED_VALUE"""),20.0)</f>
        <v>20</v>
      </c>
      <c r="L3658" s="176">
        <f>IFERROR(__xludf.DUMMYFUNCTION("""COMPUTED_VALUE"""),12.0)</f>
        <v>12</v>
      </c>
      <c r="M3658" s="176">
        <f>IFERROR(__xludf.DUMMYFUNCTION("""COMPUTED_VALUE"""),32.0)</f>
        <v>32</v>
      </c>
      <c r="N3658" s="177" t="str">
        <f>IFERROR(__xludf.DUMMYFUNCTION("""COMPUTED_VALUE"""),"Model 3 LR")</f>
        <v>Model 3 LR</v>
      </c>
      <c r="O3658" s="177" t="str">
        <f>IFERROR(__xludf.DUMMYFUNCTION("""COMPUTED_VALUE"""),"Deep Blue Metallic")</f>
        <v>Deep Blue Metallic</v>
      </c>
      <c r="P3658" s="178" t="str">
        <f>IFERROR(__xludf.DUMMYFUNCTION("""COMPUTED_VALUE"""),"18 inch Aero")</f>
        <v>18 inch Aero</v>
      </c>
      <c r="Q3658" s="177" t="str">
        <f>IFERROR(__xludf.DUMMYFUNCTION("""COMPUTED_VALUE"""),"Black seats")</f>
        <v>Black seats</v>
      </c>
      <c r="R3658" s="170" t="str">
        <f>IFERROR(__xludf.DUMMYFUNCTION("""COMPUTED_VALUE"""),"Full Self-Driving")</f>
        <v>Full Self-Driving</v>
      </c>
      <c r="S3658" s="170"/>
      <c r="T3658" s="179"/>
      <c r="U3658" s="179"/>
      <c r="V3658" s="179"/>
      <c r="W3658" s="180"/>
      <c r="X3658" s="181" t="str">
        <f>IFERROR(__xludf.DUMMYFUNCTION("""COMPUTED_VALUE"""),"Excellent")</f>
        <v>Excellent</v>
      </c>
      <c r="Y3658" s="182" t="str">
        <f>IFERROR(__xludf.DUMMYFUNCTION("""COMPUTED_VALUE"""),"Excellent")</f>
        <v>Excellent</v>
      </c>
      <c r="Z3658" s="182" t="str">
        <f>IFERROR(__xludf.DUMMYFUNCTION("""COMPUTED_VALUE"""),"Very Good")</f>
        <v>Very Good</v>
      </c>
      <c r="AA3658" s="182" t="str">
        <f>IFERROR(__xludf.DUMMYFUNCTION("""COMPUTED_VALUE"""),"Very Good")</f>
        <v>Very Good</v>
      </c>
      <c r="AB3658" s="182" t="str">
        <f>IFERROR(__xludf.DUMMYFUNCTION("""COMPUTED_VALUE"""),"Excellent")</f>
        <v>Excellent</v>
      </c>
      <c r="AC3658" s="183">
        <f>IFERROR(__xludf.DUMMYFUNCTION("""COMPUTED_VALUE"""),1.0)</f>
        <v>1</v>
      </c>
      <c r="AD3658" s="183">
        <f>IFERROR(__xludf.DUMMYFUNCTION("""COMPUTED_VALUE"""),1.0)</f>
        <v>1</v>
      </c>
      <c r="AE3658" s="183">
        <f>IFERROR(__xludf.DUMMYFUNCTION("""COMPUTED_VALUE"""),3.0)</f>
        <v>3</v>
      </c>
      <c r="AF3658" s="184"/>
      <c r="AG3658" s="180" t="str">
        <f>IFERROR(__xludf.DUMMYFUNCTION("""COMPUTED_VALUE"""),"Replaced steering control module")</f>
        <v>Replaced steering control module</v>
      </c>
      <c r="AH3658" s="185">
        <f>IFERROR(__xludf.DUMMYFUNCTION("""COMPUTED_VALUE"""),43312.70694714121)</f>
        <v>43312.70695</v>
      </c>
      <c r="AI3658" s="182"/>
      <c r="AJ3658" s="182"/>
      <c r="AK3658" s="182"/>
      <c r="AL3658" s="182"/>
    </row>
    <row r="3659" ht="20.25" customHeight="1">
      <c r="A3659" s="169" t="str">
        <f>IFERROR(__xludf.DUMMYFUNCTION("""COMPUTED_VALUE"""),"AndrewSD")</f>
        <v>AndrewSD</v>
      </c>
      <c r="B3659" s="170" t="str">
        <f>IFERROR(__xludf.DUMMYFUNCTION("""COMPUTED_VALUE"""),"San Diego")</f>
        <v>San Diego</v>
      </c>
      <c r="C3659" s="170" t="str">
        <f>IFERROR(__xludf.DUMMYFUNCTION("""COMPUTED_VALUE"""),"CA")</f>
        <v>CA</v>
      </c>
      <c r="D3659" s="170" t="str">
        <f>IFERROR(__xludf.DUMMYFUNCTION("""COMPUTED_VALUE"""),"USA")</f>
        <v>USA</v>
      </c>
      <c r="E3659" s="171">
        <f>IFERROR(__xludf.DUMMYFUNCTION("""COMPUTED_VALUE"""),43181.0)</f>
        <v>43181</v>
      </c>
      <c r="F3659" s="172">
        <f>IFERROR(__xludf.DUMMYFUNCTION("""COMPUTED_VALUE"""),43218.0)</f>
        <v>43218</v>
      </c>
      <c r="G3659" s="173"/>
      <c r="H3659" s="174">
        <f>IFERROR(__xludf.DUMMYFUNCTION("""COMPUTED_VALUE"""),14155.0)</f>
        <v>14155</v>
      </c>
      <c r="I3659" s="175"/>
      <c r="J3659" s="172">
        <f>IFERROR(__xludf.DUMMYFUNCTION("""COMPUTED_VALUE"""),43225.0)</f>
        <v>43225</v>
      </c>
      <c r="K3659" s="176">
        <f>IFERROR(__xludf.DUMMYFUNCTION("""COMPUTED_VALUE"""),37.0)</f>
        <v>37</v>
      </c>
      <c r="L3659" s="176">
        <f>IFERROR(__xludf.DUMMYFUNCTION("""COMPUTED_VALUE"""),7.0)</f>
        <v>7</v>
      </c>
      <c r="M3659" s="176">
        <f>IFERROR(__xludf.DUMMYFUNCTION("""COMPUTED_VALUE"""),44.0)</f>
        <v>44</v>
      </c>
      <c r="N3659" s="177" t="str">
        <f>IFERROR(__xludf.DUMMYFUNCTION("""COMPUTED_VALUE"""),"Model 3 LR")</f>
        <v>Model 3 LR</v>
      </c>
      <c r="O3659" s="177" t="str">
        <f>IFERROR(__xludf.DUMMYFUNCTION("""COMPUTED_VALUE"""),"Midnight Silver Metallic")</f>
        <v>Midnight Silver Metallic</v>
      </c>
      <c r="P3659" s="178" t="str">
        <f>IFERROR(__xludf.DUMMYFUNCTION("""COMPUTED_VALUE"""),"18 inch Aero")</f>
        <v>18 inch Aero</v>
      </c>
      <c r="Q3659" s="177" t="str">
        <f>IFERROR(__xludf.DUMMYFUNCTION("""COMPUTED_VALUE"""),"Black seats")</f>
        <v>Black seats</v>
      </c>
      <c r="R3659" s="170" t="str">
        <f>IFERROR(__xludf.DUMMYFUNCTION("""COMPUTED_VALUE"""),"Enhanced Autopilot")</f>
        <v>Enhanced Autopilot</v>
      </c>
      <c r="S3659" s="170"/>
      <c r="T3659" s="179"/>
      <c r="U3659" s="179"/>
      <c r="V3659" s="179"/>
      <c r="W3659" s="180"/>
      <c r="X3659" s="181" t="str">
        <f>IFERROR(__xludf.DUMMYFUNCTION("""COMPUTED_VALUE"""),"Excellent")</f>
        <v>Excellent</v>
      </c>
      <c r="Y3659" s="182" t="str">
        <f>IFERROR(__xludf.DUMMYFUNCTION("""COMPUTED_VALUE"""),"Excellent")</f>
        <v>Excellent</v>
      </c>
      <c r="Z3659" s="182" t="str">
        <f>IFERROR(__xludf.DUMMYFUNCTION("""COMPUTED_VALUE"""),"Excellent")</f>
        <v>Excellent</v>
      </c>
      <c r="AA3659" s="182"/>
      <c r="AB3659" s="182" t="str">
        <f>IFERROR(__xludf.DUMMYFUNCTION("""COMPUTED_VALUE"""),"Excellent")</f>
        <v>Excellent</v>
      </c>
      <c r="AC3659" s="183"/>
      <c r="AD3659" s="183"/>
      <c r="AE3659" s="183"/>
      <c r="AF3659" s="184"/>
      <c r="AG3659" s="180"/>
      <c r="AH3659" s="185">
        <f>IFERROR(__xludf.DUMMYFUNCTION("""COMPUTED_VALUE"""),43226.84498236111)</f>
        <v>43226.84498</v>
      </c>
      <c r="AI3659" s="182"/>
      <c r="AJ3659" s="182"/>
      <c r="AK3659" s="182"/>
      <c r="AL3659" s="182"/>
    </row>
    <row r="3660" ht="20.25" customHeight="1">
      <c r="A3660" s="169" t="str">
        <f>IFERROR(__xludf.DUMMYFUNCTION("""COMPUTED_VALUE"""),"Brian S")</f>
        <v>Brian S</v>
      </c>
      <c r="B3660" s="170" t="str">
        <f>IFERROR(__xludf.DUMMYFUNCTION("""COMPUTED_VALUE"""),"Portland")</f>
        <v>Portland</v>
      </c>
      <c r="C3660" s="170" t="str">
        <f>IFERROR(__xludf.DUMMYFUNCTION("""COMPUTED_VALUE"""),"OR")</f>
        <v>OR</v>
      </c>
      <c r="D3660" s="170" t="str">
        <f>IFERROR(__xludf.DUMMYFUNCTION("""COMPUTED_VALUE"""),"USA")</f>
        <v>USA</v>
      </c>
      <c r="E3660" s="171">
        <f>IFERROR(__xludf.DUMMYFUNCTION("""COMPUTED_VALUE"""),43181.0)</f>
        <v>43181</v>
      </c>
      <c r="F3660" s="172">
        <f>IFERROR(__xludf.DUMMYFUNCTION("""COMPUTED_VALUE"""),43218.0)</f>
        <v>43218</v>
      </c>
      <c r="G3660" s="173"/>
      <c r="H3660" s="174">
        <f>IFERROR(__xludf.DUMMYFUNCTION("""COMPUTED_VALUE"""),16255.0)</f>
        <v>16255</v>
      </c>
      <c r="I3660" s="175"/>
      <c r="J3660" s="172">
        <f>IFERROR(__xludf.DUMMYFUNCTION("""COMPUTED_VALUE"""),43232.0)</f>
        <v>43232</v>
      </c>
      <c r="K3660" s="176">
        <f>IFERROR(__xludf.DUMMYFUNCTION("""COMPUTED_VALUE"""),37.0)</f>
        <v>37</v>
      </c>
      <c r="L3660" s="176">
        <f>IFERROR(__xludf.DUMMYFUNCTION("""COMPUTED_VALUE"""),14.0)</f>
        <v>14</v>
      </c>
      <c r="M3660" s="176">
        <f>IFERROR(__xludf.DUMMYFUNCTION("""COMPUTED_VALUE"""),51.0)</f>
        <v>51</v>
      </c>
      <c r="N3660" s="177" t="str">
        <f>IFERROR(__xludf.DUMMYFUNCTION("""COMPUTED_VALUE"""),"Model 3 LR")</f>
        <v>Model 3 LR</v>
      </c>
      <c r="O3660" s="177" t="str">
        <f>IFERROR(__xludf.DUMMYFUNCTION("""COMPUTED_VALUE"""),"Midnight Silver Metallic")</f>
        <v>Midnight Silver Metallic</v>
      </c>
      <c r="P3660" s="178" t="str">
        <f>IFERROR(__xludf.DUMMYFUNCTION("""COMPUTED_VALUE"""),"18 inch Aero")</f>
        <v>18 inch Aero</v>
      </c>
      <c r="Q3660" s="177" t="str">
        <f>IFERROR(__xludf.DUMMYFUNCTION("""COMPUTED_VALUE"""),"Black seats")</f>
        <v>Black seats</v>
      </c>
      <c r="R3660" s="170" t="str">
        <f>IFERROR(__xludf.DUMMYFUNCTION("""COMPUTED_VALUE"""),"None")</f>
        <v>None</v>
      </c>
      <c r="S3660" s="170"/>
      <c r="T3660" s="179"/>
      <c r="U3660" s="179"/>
      <c r="V3660" s="179"/>
      <c r="W3660" s="180"/>
      <c r="X3660" s="181" t="str">
        <f>IFERROR(__xludf.DUMMYFUNCTION("""COMPUTED_VALUE"""),"Excellent")</f>
        <v>Excellent</v>
      </c>
      <c r="Y3660" s="182" t="str">
        <f>IFERROR(__xludf.DUMMYFUNCTION("""COMPUTED_VALUE"""),"Excellent")</f>
        <v>Excellent</v>
      </c>
      <c r="Z3660" s="182" t="str">
        <f>IFERROR(__xludf.DUMMYFUNCTION("""COMPUTED_VALUE"""),"Excellent")</f>
        <v>Excellent</v>
      </c>
      <c r="AA3660" s="182"/>
      <c r="AB3660" s="182" t="str">
        <f>IFERROR(__xludf.DUMMYFUNCTION("""COMPUTED_VALUE"""),"Excellent")</f>
        <v>Excellent</v>
      </c>
      <c r="AC3660" s="183"/>
      <c r="AD3660" s="183"/>
      <c r="AE3660" s="183"/>
      <c r="AF3660" s="184"/>
      <c r="AG3660" s="180"/>
      <c r="AH3660" s="185">
        <f>IFERROR(__xludf.DUMMYFUNCTION("""COMPUTED_VALUE"""),43233.776724710646)</f>
        <v>43233.77672</v>
      </c>
      <c r="AI3660" s="182"/>
      <c r="AJ3660" s="182"/>
      <c r="AK3660" s="182"/>
      <c r="AL3660" s="182"/>
    </row>
    <row r="3661" ht="20.25" customHeight="1">
      <c r="A3661" s="169" t="str">
        <f>IFERROR(__xludf.DUMMYFUNCTION("""COMPUTED_VALUE"""),"Buckeye")</f>
        <v>Buckeye</v>
      </c>
      <c r="B3661" s="170" t="str">
        <f>IFERROR(__xludf.DUMMYFUNCTION("""COMPUTED_VALUE"""),"Cleveland")</f>
        <v>Cleveland</v>
      </c>
      <c r="C3661" s="170" t="str">
        <f>IFERROR(__xludf.DUMMYFUNCTION("""COMPUTED_VALUE"""),"OH")</f>
        <v>OH</v>
      </c>
      <c r="D3661" s="170" t="str">
        <f>IFERROR(__xludf.DUMMYFUNCTION("""COMPUTED_VALUE"""),"USA")</f>
        <v>USA</v>
      </c>
      <c r="E3661" s="171">
        <f>IFERROR(__xludf.DUMMYFUNCTION("""COMPUTED_VALUE"""),43181.0)</f>
        <v>43181</v>
      </c>
      <c r="F3661" s="172">
        <f>IFERROR(__xludf.DUMMYFUNCTION("""COMPUTED_VALUE"""),43205.0)</f>
        <v>43205</v>
      </c>
      <c r="G3661" s="173"/>
      <c r="H3661" s="174">
        <f>IFERROR(__xludf.DUMMYFUNCTION("""COMPUTED_VALUE"""),13955.0)</f>
        <v>13955</v>
      </c>
      <c r="I3661" s="175"/>
      <c r="J3661" s="172">
        <f>IFERROR(__xludf.DUMMYFUNCTION("""COMPUTED_VALUE"""),43228.0)</f>
        <v>43228</v>
      </c>
      <c r="K3661" s="176">
        <f>IFERROR(__xludf.DUMMYFUNCTION("""COMPUTED_VALUE"""),24.0)</f>
        <v>24</v>
      </c>
      <c r="L3661" s="176">
        <f>IFERROR(__xludf.DUMMYFUNCTION("""COMPUTED_VALUE"""),23.0)</f>
        <v>23</v>
      </c>
      <c r="M3661" s="176">
        <f>IFERROR(__xludf.DUMMYFUNCTION("""COMPUTED_VALUE"""),47.0)</f>
        <v>47</v>
      </c>
      <c r="N3661" s="177" t="str">
        <f>IFERROR(__xludf.DUMMYFUNCTION("""COMPUTED_VALUE"""),"Model 3 LR")</f>
        <v>Model 3 LR</v>
      </c>
      <c r="O3661" s="177" t="str">
        <f>IFERROR(__xludf.DUMMYFUNCTION("""COMPUTED_VALUE"""),"Solid Black")</f>
        <v>Solid Black</v>
      </c>
      <c r="P3661" s="178" t="str">
        <f>IFERROR(__xludf.DUMMYFUNCTION("""COMPUTED_VALUE"""),"18 inch Aero")</f>
        <v>18 inch Aero</v>
      </c>
      <c r="Q3661" s="177" t="str">
        <f>IFERROR(__xludf.DUMMYFUNCTION("""COMPUTED_VALUE"""),"Black seats")</f>
        <v>Black seats</v>
      </c>
      <c r="R3661" s="170" t="str">
        <f>IFERROR(__xludf.DUMMYFUNCTION("""COMPUTED_VALUE"""),"Enhanced Autopilot")</f>
        <v>Enhanced Autopilot</v>
      </c>
      <c r="S3661" s="170"/>
      <c r="T3661" s="179"/>
      <c r="U3661" s="179"/>
      <c r="V3661" s="179"/>
      <c r="W3661" s="180"/>
      <c r="X3661" s="181" t="str">
        <f>IFERROR(__xludf.DUMMYFUNCTION("""COMPUTED_VALUE"""),"Very Good")</f>
        <v>Very Good</v>
      </c>
      <c r="Y3661" s="182" t="str">
        <f>IFERROR(__xludf.DUMMYFUNCTION("""COMPUTED_VALUE"""),"Very Good")</f>
        <v>Very Good</v>
      </c>
      <c r="Z3661" s="182" t="str">
        <f>IFERROR(__xludf.DUMMYFUNCTION("""COMPUTED_VALUE"""),"Very Good")</f>
        <v>Very Good</v>
      </c>
      <c r="AA3661" s="182"/>
      <c r="AB3661" s="182" t="str">
        <f>IFERROR(__xludf.DUMMYFUNCTION("""COMPUTED_VALUE"""),"Good")</f>
        <v>Good</v>
      </c>
      <c r="AC3661" s="183"/>
      <c r="AD3661" s="183"/>
      <c r="AE3661" s="183"/>
      <c r="AF3661" s="184"/>
      <c r="AG3661" s="180"/>
      <c r="AH3661" s="185">
        <f>IFERROR(__xludf.DUMMYFUNCTION("""COMPUTED_VALUE"""),43229.254946643516)</f>
        <v>43229.25495</v>
      </c>
      <c r="AI3661" s="182"/>
      <c r="AJ3661" s="182"/>
      <c r="AK3661" s="182"/>
      <c r="AL3661" s="182"/>
    </row>
    <row r="3662" ht="20.25" customHeight="1">
      <c r="A3662" s="169" t="str">
        <f>IFERROR(__xludf.DUMMYFUNCTION("""COMPUTED_VALUE"""),"ehem3")</f>
        <v>ehem3</v>
      </c>
      <c r="B3662" s="170" t="str">
        <f>IFERROR(__xludf.DUMMYFUNCTION("""COMPUTED_VALUE"""),"Somerset county")</f>
        <v>Somerset county</v>
      </c>
      <c r="C3662" s="170" t="str">
        <f>IFERROR(__xludf.DUMMYFUNCTION("""COMPUTED_VALUE"""),"NJ")</f>
        <v>NJ</v>
      </c>
      <c r="D3662" s="170" t="str">
        <f>IFERROR(__xludf.DUMMYFUNCTION("""COMPUTED_VALUE"""),"USA")</f>
        <v>USA</v>
      </c>
      <c r="E3662" s="171">
        <f>IFERROR(__xludf.DUMMYFUNCTION("""COMPUTED_VALUE"""),43181.0)</f>
        <v>43181</v>
      </c>
      <c r="F3662" s="172">
        <f>IFERROR(__xludf.DUMMYFUNCTION("""COMPUTED_VALUE"""),43205.0)</f>
        <v>43205</v>
      </c>
      <c r="G3662" s="173"/>
      <c r="H3662" s="174">
        <f>IFERROR(__xludf.DUMMYFUNCTION("""COMPUTED_VALUE"""),12600.0)</f>
        <v>12600</v>
      </c>
      <c r="I3662" s="175" t="str">
        <f>IFERROR(__xludf.DUMMYFUNCTION("""COMPUTED_VALUE"""),"04/18")</f>
        <v>04/18</v>
      </c>
      <c r="J3662" s="172">
        <f>IFERROR(__xludf.DUMMYFUNCTION("""COMPUTED_VALUE"""),43227.0)</f>
        <v>43227</v>
      </c>
      <c r="K3662" s="176">
        <f>IFERROR(__xludf.DUMMYFUNCTION("""COMPUTED_VALUE"""),24.0)</f>
        <v>24</v>
      </c>
      <c r="L3662" s="176">
        <f>IFERROR(__xludf.DUMMYFUNCTION("""COMPUTED_VALUE"""),22.0)</f>
        <v>22</v>
      </c>
      <c r="M3662" s="176">
        <f>IFERROR(__xludf.DUMMYFUNCTION("""COMPUTED_VALUE"""),46.0)</f>
        <v>46</v>
      </c>
      <c r="N3662" s="177" t="str">
        <f>IFERROR(__xludf.DUMMYFUNCTION("""COMPUTED_VALUE"""),"Model 3 LR")</f>
        <v>Model 3 LR</v>
      </c>
      <c r="O3662" s="177" t="str">
        <f>IFERROR(__xludf.DUMMYFUNCTION("""COMPUTED_VALUE"""),"Solid Black")</f>
        <v>Solid Black</v>
      </c>
      <c r="P3662" s="178" t="str">
        <f>IFERROR(__xludf.DUMMYFUNCTION("""COMPUTED_VALUE"""),"18 inch Aero")</f>
        <v>18 inch Aero</v>
      </c>
      <c r="Q3662" s="177" t="str">
        <f>IFERROR(__xludf.DUMMYFUNCTION("""COMPUTED_VALUE"""),"Black seats")</f>
        <v>Black seats</v>
      </c>
      <c r="R3662" s="170" t="str">
        <f>IFERROR(__xludf.DUMMYFUNCTION("""COMPUTED_VALUE"""),"Full Self-Driving")</f>
        <v>Full Self-Driving</v>
      </c>
      <c r="S3662" s="170"/>
      <c r="T3662" s="179"/>
      <c r="U3662" s="179"/>
      <c r="V3662" s="179"/>
      <c r="W3662" s="180"/>
      <c r="X3662" s="181" t="str">
        <f>IFERROR(__xludf.DUMMYFUNCTION("""COMPUTED_VALUE"""),"Excellent")</f>
        <v>Excellent</v>
      </c>
      <c r="Y3662" s="182" t="str">
        <f>IFERROR(__xludf.DUMMYFUNCTION("""COMPUTED_VALUE"""),"Excellent")</f>
        <v>Excellent</v>
      </c>
      <c r="Z3662" s="182" t="str">
        <f>IFERROR(__xludf.DUMMYFUNCTION("""COMPUTED_VALUE"""),"Excellent")</f>
        <v>Excellent</v>
      </c>
      <c r="AA3662" s="182" t="str">
        <f>IFERROR(__xludf.DUMMYFUNCTION("""COMPUTED_VALUE"""),"Fair")</f>
        <v>Fair</v>
      </c>
      <c r="AB3662" s="182" t="str">
        <f>IFERROR(__xludf.DUMMYFUNCTION("""COMPUTED_VALUE"""),"Fair")</f>
        <v>Fair</v>
      </c>
      <c r="AC3662" s="183">
        <f>IFERROR(__xludf.DUMMYFUNCTION("""COMPUTED_VALUE"""),0.0)</f>
        <v>0</v>
      </c>
      <c r="AD3662" s="183">
        <f>IFERROR(__xludf.DUMMYFUNCTION("""COMPUTED_VALUE"""),1.0)</f>
        <v>1</v>
      </c>
      <c r="AE3662" s="183">
        <f>IFERROR(__xludf.DUMMYFUNCTION("""COMPUTED_VALUE"""),0.0)</f>
        <v>0</v>
      </c>
      <c r="AF3662" s="184"/>
      <c r="AG3662" s="180"/>
      <c r="AH3662" s="185">
        <f>IFERROR(__xludf.DUMMYFUNCTION("""COMPUTED_VALUE"""),43320.33940005787)</f>
        <v>43320.3394</v>
      </c>
      <c r="AI3662" s="182"/>
      <c r="AJ3662" s="182"/>
      <c r="AK3662" s="182"/>
      <c r="AL3662" s="182"/>
    </row>
    <row r="3663" ht="20.25" customHeight="1">
      <c r="A3663" s="169" t="str">
        <f>IFERROR(__xludf.DUMMYFUNCTION("""COMPUTED_VALUE"""),"etm33")</f>
        <v>etm33</v>
      </c>
      <c r="B3663" s="170" t="str">
        <f>IFERROR(__xludf.DUMMYFUNCTION("""COMPUTED_VALUE"""),"Buffalo")</f>
        <v>Buffalo</v>
      </c>
      <c r="C3663" s="170" t="str">
        <f>IFERROR(__xludf.DUMMYFUNCTION("""COMPUTED_VALUE"""),"NY")</f>
        <v>NY</v>
      </c>
      <c r="D3663" s="170" t="str">
        <f>IFERROR(__xludf.DUMMYFUNCTION("""COMPUTED_VALUE"""),"USA")</f>
        <v>USA</v>
      </c>
      <c r="E3663" s="171">
        <f>IFERROR(__xludf.DUMMYFUNCTION("""COMPUTED_VALUE"""),43181.0)</f>
        <v>43181</v>
      </c>
      <c r="F3663" s="172">
        <f>IFERROR(__xludf.DUMMYFUNCTION("""COMPUTED_VALUE"""),43199.0)</f>
        <v>43199</v>
      </c>
      <c r="G3663" s="173"/>
      <c r="H3663" s="174">
        <f>IFERROR(__xludf.DUMMYFUNCTION("""COMPUTED_VALUE"""),14455.0)</f>
        <v>14455</v>
      </c>
      <c r="I3663" s="175"/>
      <c r="J3663" s="172">
        <f>IFERROR(__xludf.DUMMYFUNCTION("""COMPUTED_VALUE"""),43225.0)</f>
        <v>43225</v>
      </c>
      <c r="K3663" s="176">
        <f>IFERROR(__xludf.DUMMYFUNCTION("""COMPUTED_VALUE"""),18.0)</f>
        <v>18</v>
      </c>
      <c r="L3663" s="176">
        <f>IFERROR(__xludf.DUMMYFUNCTION("""COMPUTED_VALUE"""),26.0)</f>
        <v>26</v>
      </c>
      <c r="M3663" s="176">
        <f>IFERROR(__xludf.DUMMYFUNCTION("""COMPUTED_VALUE"""),44.0)</f>
        <v>44</v>
      </c>
      <c r="N3663" s="177" t="str">
        <f>IFERROR(__xludf.DUMMYFUNCTION("""COMPUTED_VALUE"""),"Model 3 LR")</f>
        <v>Model 3 LR</v>
      </c>
      <c r="O3663" s="177" t="str">
        <f>IFERROR(__xludf.DUMMYFUNCTION("""COMPUTED_VALUE"""),"Red Multi-Coat")</f>
        <v>Red Multi-Coat</v>
      </c>
      <c r="P3663" s="178" t="str">
        <f>IFERROR(__xludf.DUMMYFUNCTION("""COMPUTED_VALUE"""),"18 inch Aero")</f>
        <v>18 inch Aero</v>
      </c>
      <c r="Q3663" s="177" t="str">
        <f>IFERROR(__xludf.DUMMYFUNCTION("""COMPUTED_VALUE"""),"Black seats")</f>
        <v>Black seats</v>
      </c>
      <c r="R3663" s="170" t="str">
        <f>IFERROR(__xludf.DUMMYFUNCTION("""COMPUTED_VALUE"""),"Enhanced Autopilot")</f>
        <v>Enhanced Autopilot</v>
      </c>
      <c r="S3663" s="170"/>
      <c r="T3663" s="179"/>
      <c r="U3663" s="179"/>
      <c r="V3663" s="179"/>
      <c r="W3663" s="180"/>
      <c r="X3663" s="181" t="str">
        <f>IFERROR(__xludf.DUMMYFUNCTION("""COMPUTED_VALUE"""),"Good")</f>
        <v>Good</v>
      </c>
      <c r="Y3663" s="182" t="str">
        <f>IFERROR(__xludf.DUMMYFUNCTION("""COMPUTED_VALUE"""),"Very Good")</f>
        <v>Very Good</v>
      </c>
      <c r="Z3663" s="182" t="str">
        <f>IFERROR(__xludf.DUMMYFUNCTION("""COMPUTED_VALUE"""),"Fair")</f>
        <v>Fair</v>
      </c>
      <c r="AA3663" s="182"/>
      <c r="AB3663" s="182" t="str">
        <f>IFERROR(__xludf.DUMMYFUNCTION("""COMPUTED_VALUE"""),"Good")</f>
        <v>Good</v>
      </c>
      <c r="AC3663" s="183"/>
      <c r="AD3663" s="183"/>
      <c r="AE3663" s="183"/>
      <c r="AF3663" s="184"/>
      <c r="AG3663" s="180"/>
      <c r="AH3663" s="185">
        <f>IFERROR(__xludf.DUMMYFUNCTION("""COMPUTED_VALUE"""),43229.96140753472)</f>
        <v>43229.96141</v>
      </c>
      <c r="AI3663" s="182"/>
      <c r="AJ3663" s="182"/>
      <c r="AK3663" s="182"/>
      <c r="AL3663" s="182"/>
    </row>
    <row r="3664" ht="20.25" customHeight="1">
      <c r="A3664" s="169" t="str">
        <f>IFERROR(__xludf.DUMMYFUNCTION("""COMPUTED_VALUE"""),"Fidget")</f>
        <v>Fidget</v>
      </c>
      <c r="B3664" s="170"/>
      <c r="C3664" s="170" t="str">
        <f>IFERROR(__xludf.DUMMYFUNCTION("""COMPUTED_VALUE"""),"DE")</f>
        <v>DE</v>
      </c>
      <c r="D3664" s="170" t="str">
        <f>IFERROR(__xludf.DUMMYFUNCTION("""COMPUTED_VALUE"""),"USA")</f>
        <v>USA</v>
      </c>
      <c r="E3664" s="171">
        <f>IFERROR(__xludf.DUMMYFUNCTION("""COMPUTED_VALUE"""),43181.0)</f>
        <v>43181</v>
      </c>
      <c r="F3664" s="172"/>
      <c r="G3664" s="173"/>
      <c r="H3664" s="174">
        <f>IFERROR(__xludf.DUMMYFUNCTION("""COMPUTED_VALUE"""),14455.0)</f>
        <v>14455</v>
      </c>
      <c r="I3664" s="175"/>
      <c r="J3664" s="172">
        <f>IFERROR(__xludf.DUMMYFUNCTION("""COMPUTED_VALUE"""),43238.0)</f>
        <v>43238</v>
      </c>
      <c r="K3664" s="176"/>
      <c r="L3664" s="176"/>
      <c r="M3664" s="176">
        <f>IFERROR(__xludf.DUMMYFUNCTION("""COMPUTED_VALUE"""),57.0)</f>
        <v>57</v>
      </c>
      <c r="N3664" s="177" t="str">
        <f>IFERROR(__xludf.DUMMYFUNCTION("""COMPUTED_VALUE"""),"Model 3 LR")</f>
        <v>Model 3 LR</v>
      </c>
      <c r="O3664" s="177" t="str">
        <f>IFERROR(__xludf.DUMMYFUNCTION("""COMPUTED_VALUE"""),"Red Multi-Coat")</f>
        <v>Red Multi-Coat</v>
      </c>
      <c r="P3664" s="178" t="str">
        <f>IFERROR(__xludf.DUMMYFUNCTION("""COMPUTED_VALUE"""),"18 inch Aero")</f>
        <v>18 inch Aero</v>
      </c>
      <c r="Q3664" s="177" t="str">
        <f>IFERROR(__xludf.DUMMYFUNCTION("""COMPUTED_VALUE"""),"Black seats")</f>
        <v>Black seats</v>
      </c>
      <c r="R3664" s="170" t="str">
        <f>IFERROR(__xludf.DUMMYFUNCTION("""COMPUTED_VALUE"""),"Enhanced Autopilot")</f>
        <v>Enhanced Autopilot</v>
      </c>
      <c r="S3664" s="170"/>
      <c r="T3664" s="179"/>
      <c r="U3664" s="179"/>
      <c r="V3664" s="179"/>
      <c r="W3664" s="180"/>
      <c r="X3664" s="181" t="str">
        <f>IFERROR(__xludf.DUMMYFUNCTION("""COMPUTED_VALUE"""),"Very Good")</f>
        <v>Very Good</v>
      </c>
      <c r="Y3664" s="182" t="str">
        <f>IFERROR(__xludf.DUMMYFUNCTION("""COMPUTED_VALUE"""),"Very Good")</f>
        <v>Very Good</v>
      </c>
      <c r="Z3664" s="182" t="str">
        <f>IFERROR(__xludf.DUMMYFUNCTION("""COMPUTED_VALUE"""),"Very Good")</f>
        <v>Very Good</v>
      </c>
      <c r="AA3664" s="182"/>
      <c r="AB3664" s="182" t="str">
        <f>IFERROR(__xludf.DUMMYFUNCTION("""COMPUTED_VALUE"""),"Very Good")</f>
        <v>Very Good</v>
      </c>
      <c r="AC3664" s="183"/>
      <c r="AD3664" s="183"/>
      <c r="AE3664" s="183"/>
      <c r="AF3664" s="184"/>
      <c r="AG3664" s="180"/>
      <c r="AH3664" s="185">
        <f>IFERROR(__xludf.DUMMYFUNCTION("""COMPUTED_VALUE"""),43242.50549216435)</f>
        <v>43242.50549</v>
      </c>
      <c r="AI3664" s="182"/>
      <c r="AJ3664" s="182"/>
      <c r="AK3664" s="182"/>
      <c r="AL3664" s="182"/>
    </row>
    <row r="3665" ht="20.25" customHeight="1">
      <c r="A3665" s="169" t="str">
        <f>IFERROR(__xludf.DUMMYFUNCTION("""COMPUTED_VALUE"""),"gogata99")</f>
        <v>gogata99</v>
      </c>
      <c r="B3665" s="170" t="str">
        <f>IFERROR(__xludf.DUMMYFUNCTION("""COMPUTED_VALUE"""),"Gainesville")</f>
        <v>Gainesville</v>
      </c>
      <c r="C3665" s="170" t="str">
        <f>IFERROR(__xludf.DUMMYFUNCTION("""COMPUTED_VALUE"""),"FL")</f>
        <v>FL</v>
      </c>
      <c r="D3665" s="170" t="str">
        <f>IFERROR(__xludf.DUMMYFUNCTION("""COMPUTED_VALUE"""),"USA")</f>
        <v>USA</v>
      </c>
      <c r="E3665" s="171">
        <f>IFERROR(__xludf.DUMMYFUNCTION("""COMPUTED_VALUE"""),43181.0)</f>
        <v>43181</v>
      </c>
      <c r="F3665" s="172">
        <f>IFERROR(__xludf.DUMMYFUNCTION("""COMPUTED_VALUE"""),43203.0)</f>
        <v>43203</v>
      </c>
      <c r="G3665" s="173"/>
      <c r="H3665" s="174">
        <f>IFERROR(__xludf.DUMMYFUNCTION("""COMPUTED_VALUE"""),14855.0)</f>
        <v>14855</v>
      </c>
      <c r="I3665" s="175"/>
      <c r="J3665" s="172">
        <f>IFERROR(__xludf.DUMMYFUNCTION("""COMPUTED_VALUE"""),43232.0)</f>
        <v>43232</v>
      </c>
      <c r="K3665" s="176">
        <f>IFERROR(__xludf.DUMMYFUNCTION("""COMPUTED_VALUE"""),22.0)</f>
        <v>22</v>
      </c>
      <c r="L3665" s="176">
        <f>IFERROR(__xludf.DUMMYFUNCTION("""COMPUTED_VALUE"""),29.0)</f>
        <v>29</v>
      </c>
      <c r="M3665" s="176">
        <f>IFERROR(__xludf.DUMMYFUNCTION("""COMPUTED_VALUE"""),51.0)</f>
        <v>51</v>
      </c>
      <c r="N3665" s="177" t="str">
        <f>IFERROR(__xludf.DUMMYFUNCTION("""COMPUTED_VALUE"""),"Model 3 LR")</f>
        <v>Model 3 LR</v>
      </c>
      <c r="O3665" s="177" t="str">
        <f>IFERROR(__xludf.DUMMYFUNCTION("""COMPUTED_VALUE"""),"Pearl White Multi-Coat")</f>
        <v>Pearl White Multi-Coat</v>
      </c>
      <c r="P3665" s="178" t="str">
        <f>IFERROR(__xludf.DUMMYFUNCTION("""COMPUTED_VALUE"""),"18 inch Aero")</f>
        <v>18 inch Aero</v>
      </c>
      <c r="Q3665" s="177" t="str">
        <f>IFERROR(__xludf.DUMMYFUNCTION("""COMPUTED_VALUE"""),"Black seats")</f>
        <v>Black seats</v>
      </c>
      <c r="R3665" s="170" t="str">
        <f>IFERROR(__xludf.DUMMYFUNCTION("""COMPUTED_VALUE"""),"None")</f>
        <v>None</v>
      </c>
      <c r="S3665" s="170"/>
      <c r="T3665" s="179"/>
      <c r="U3665" s="179"/>
      <c r="V3665" s="179"/>
      <c r="W3665" s="180"/>
      <c r="X3665" s="181" t="str">
        <f>IFERROR(__xludf.DUMMYFUNCTION("""COMPUTED_VALUE"""),"Excellent")</f>
        <v>Excellent</v>
      </c>
      <c r="Y3665" s="182" t="str">
        <f>IFERROR(__xludf.DUMMYFUNCTION("""COMPUTED_VALUE"""),"Excellent")</f>
        <v>Excellent</v>
      </c>
      <c r="Z3665" s="182" t="str">
        <f>IFERROR(__xludf.DUMMYFUNCTION("""COMPUTED_VALUE"""),"Very Good")</f>
        <v>Very Good</v>
      </c>
      <c r="AA3665" s="182"/>
      <c r="AB3665" s="182" t="str">
        <f>IFERROR(__xludf.DUMMYFUNCTION("""COMPUTED_VALUE"""),"Excellent")</f>
        <v>Excellent</v>
      </c>
      <c r="AC3665" s="183"/>
      <c r="AD3665" s="183"/>
      <c r="AE3665" s="183"/>
      <c r="AF3665" s="184"/>
      <c r="AG3665" s="180"/>
      <c r="AH3665" s="185">
        <f>IFERROR(__xludf.DUMMYFUNCTION("""COMPUTED_VALUE"""),43249.49855674769)</f>
        <v>43249.49856</v>
      </c>
      <c r="AI3665" s="182"/>
      <c r="AJ3665" s="182"/>
      <c r="AK3665" s="182"/>
      <c r="AL3665" s="182"/>
    </row>
    <row r="3666" ht="20.25" customHeight="1">
      <c r="A3666" s="169" t="str">
        <f>IFERROR(__xludf.DUMMYFUNCTION("""COMPUTED_VALUE"""),"jeremyc")</f>
        <v>jeremyc</v>
      </c>
      <c r="B3666" s="170" t="str">
        <f>IFERROR(__xludf.DUMMYFUNCTION("""COMPUTED_VALUE"""),"USA")</f>
        <v>USA</v>
      </c>
      <c r="C3666" s="170" t="str">
        <f>IFERROR(__xludf.DUMMYFUNCTION("""COMPUTED_VALUE"""),"AR")</f>
        <v>AR</v>
      </c>
      <c r="D3666" s="170" t="str">
        <f>IFERROR(__xludf.DUMMYFUNCTION("""COMPUTED_VALUE"""),"USA")</f>
        <v>USA</v>
      </c>
      <c r="E3666" s="171">
        <f>IFERROR(__xludf.DUMMYFUNCTION("""COMPUTED_VALUE"""),43181.0)</f>
        <v>43181</v>
      </c>
      <c r="F3666" s="172">
        <f>IFERROR(__xludf.DUMMYFUNCTION("""COMPUTED_VALUE"""),43203.0)</f>
        <v>43203</v>
      </c>
      <c r="G3666" s="173"/>
      <c r="H3666" s="174">
        <f>IFERROR(__xludf.DUMMYFUNCTION("""COMPUTED_VALUE"""),12568.0)</f>
        <v>12568</v>
      </c>
      <c r="I3666" s="175"/>
      <c r="J3666" s="172">
        <f>IFERROR(__xludf.DUMMYFUNCTION("""COMPUTED_VALUE"""),43222.0)</f>
        <v>43222</v>
      </c>
      <c r="K3666" s="176">
        <f>IFERROR(__xludf.DUMMYFUNCTION("""COMPUTED_VALUE"""),22.0)</f>
        <v>22</v>
      </c>
      <c r="L3666" s="176">
        <f>IFERROR(__xludf.DUMMYFUNCTION("""COMPUTED_VALUE"""),19.0)</f>
        <v>19</v>
      </c>
      <c r="M3666" s="176">
        <f>IFERROR(__xludf.DUMMYFUNCTION("""COMPUTED_VALUE"""),41.0)</f>
        <v>41</v>
      </c>
      <c r="N3666" s="177" t="str">
        <f>IFERROR(__xludf.DUMMYFUNCTION("""COMPUTED_VALUE"""),"Model 3 LR")</f>
        <v>Model 3 LR</v>
      </c>
      <c r="O3666" s="177" t="str">
        <f>IFERROR(__xludf.DUMMYFUNCTION("""COMPUTED_VALUE"""),"Solid Black")</f>
        <v>Solid Black</v>
      </c>
      <c r="P3666" s="178" t="str">
        <f>IFERROR(__xludf.DUMMYFUNCTION("""COMPUTED_VALUE"""),"18 inch Aero")</f>
        <v>18 inch Aero</v>
      </c>
      <c r="Q3666" s="177" t="str">
        <f>IFERROR(__xludf.DUMMYFUNCTION("""COMPUTED_VALUE"""),"Black seats")</f>
        <v>Black seats</v>
      </c>
      <c r="R3666" s="170" t="str">
        <f>IFERROR(__xludf.DUMMYFUNCTION("""COMPUTED_VALUE"""),"Enhanced Autopilot")</f>
        <v>Enhanced Autopilot</v>
      </c>
      <c r="S3666" s="170"/>
      <c r="T3666" s="179"/>
      <c r="U3666" s="179"/>
      <c r="V3666" s="179"/>
      <c r="W3666" s="180"/>
      <c r="X3666" s="181" t="str">
        <f>IFERROR(__xludf.DUMMYFUNCTION("""COMPUTED_VALUE"""),"Excellent")</f>
        <v>Excellent</v>
      </c>
      <c r="Y3666" s="182" t="str">
        <f>IFERROR(__xludf.DUMMYFUNCTION("""COMPUTED_VALUE"""),"Excellent")</f>
        <v>Excellent</v>
      </c>
      <c r="Z3666" s="182" t="str">
        <f>IFERROR(__xludf.DUMMYFUNCTION("""COMPUTED_VALUE"""),"Excellent")</f>
        <v>Excellent</v>
      </c>
      <c r="AA3666" s="182"/>
      <c r="AB3666" s="182" t="str">
        <f>IFERROR(__xludf.DUMMYFUNCTION("""COMPUTED_VALUE"""),"Excellent")</f>
        <v>Excellent</v>
      </c>
      <c r="AC3666" s="183"/>
      <c r="AD3666" s="183"/>
      <c r="AE3666" s="183"/>
      <c r="AF3666" s="184"/>
      <c r="AG3666" s="180"/>
      <c r="AH3666" s="185">
        <f>IFERROR(__xludf.DUMMYFUNCTION("""COMPUTED_VALUE"""),43227.53230931713)</f>
        <v>43227.53231</v>
      </c>
      <c r="AI3666" s="182"/>
      <c r="AJ3666" s="182"/>
      <c r="AK3666" s="182"/>
      <c r="AL3666" s="182"/>
    </row>
    <row r="3667" ht="20.25" customHeight="1">
      <c r="A3667" s="169" t="str">
        <f>IFERROR(__xludf.DUMMYFUNCTION("""COMPUTED_VALUE"""),"jjaroundtheclock")</f>
        <v>jjaroundtheclock</v>
      </c>
      <c r="B3667" s="170" t="str">
        <f>IFERROR(__xludf.DUMMYFUNCTION("""COMPUTED_VALUE"""),"VAN NUYS")</f>
        <v>VAN NUYS</v>
      </c>
      <c r="C3667" s="170" t="str">
        <f>IFERROR(__xludf.DUMMYFUNCTION("""COMPUTED_VALUE"""),"CA")</f>
        <v>CA</v>
      </c>
      <c r="D3667" s="170" t="str">
        <f>IFERROR(__xludf.DUMMYFUNCTION("""COMPUTED_VALUE"""),"USA")</f>
        <v>USA</v>
      </c>
      <c r="E3667" s="171">
        <f>IFERROR(__xludf.DUMMYFUNCTION("""COMPUTED_VALUE"""),43181.0)</f>
        <v>43181</v>
      </c>
      <c r="F3667" s="172">
        <f>IFERROR(__xludf.DUMMYFUNCTION("""COMPUTED_VALUE"""),43215.0)</f>
        <v>43215</v>
      </c>
      <c r="G3667" s="173"/>
      <c r="H3667" s="174">
        <f>IFERROR(__xludf.DUMMYFUNCTION("""COMPUTED_VALUE"""),8455.0)</f>
        <v>8455</v>
      </c>
      <c r="I3667" s="175"/>
      <c r="J3667" s="172">
        <f>IFERROR(__xludf.DUMMYFUNCTION("""COMPUTED_VALUE"""),43221.0)</f>
        <v>43221</v>
      </c>
      <c r="K3667" s="176">
        <f>IFERROR(__xludf.DUMMYFUNCTION("""COMPUTED_VALUE"""),34.0)</f>
        <v>34</v>
      </c>
      <c r="L3667" s="176">
        <f>IFERROR(__xludf.DUMMYFUNCTION("""COMPUTED_VALUE"""),6.0)</f>
        <v>6</v>
      </c>
      <c r="M3667" s="176">
        <f>IFERROR(__xludf.DUMMYFUNCTION("""COMPUTED_VALUE"""),40.0)</f>
        <v>40</v>
      </c>
      <c r="N3667" s="177" t="str">
        <f>IFERROR(__xludf.DUMMYFUNCTION("""COMPUTED_VALUE"""),"Model 3 LR")</f>
        <v>Model 3 LR</v>
      </c>
      <c r="O3667" s="177" t="str">
        <f>IFERROR(__xludf.DUMMYFUNCTION("""COMPUTED_VALUE"""),"Solid Black")</f>
        <v>Solid Black</v>
      </c>
      <c r="P3667" s="178" t="str">
        <f>IFERROR(__xludf.DUMMYFUNCTION("""COMPUTED_VALUE"""),"18 inch Aero")</f>
        <v>18 inch Aero</v>
      </c>
      <c r="Q3667" s="177" t="str">
        <f>IFERROR(__xludf.DUMMYFUNCTION("""COMPUTED_VALUE"""),"Black seats")</f>
        <v>Black seats</v>
      </c>
      <c r="R3667" s="170" t="str">
        <f>IFERROR(__xludf.DUMMYFUNCTION("""COMPUTED_VALUE"""),"Enhanced Autopilot")</f>
        <v>Enhanced Autopilot</v>
      </c>
      <c r="S3667" s="170"/>
      <c r="T3667" s="179"/>
      <c r="U3667" s="179"/>
      <c r="V3667" s="179"/>
      <c r="W3667" s="180"/>
      <c r="X3667" s="181" t="str">
        <f>IFERROR(__xludf.DUMMYFUNCTION("""COMPUTED_VALUE"""),"Excellent")</f>
        <v>Excellent</v>
      </c>
      <c r="Y3667" s="182" t="str">
        <f>IFERROR(__xludf.DUMMYFUNCTION("""COMPUTED_VALUE"""),"Excellent")</f>
        <v>Excellent</v>
      </c>
      <c r="Z3667" s="182" t="str">
        <f>IFERROR(__xludf.DUMMYFUNCTION("""COMPUTED_VALUE"""),"Excellent")</f>
        <v>Excellent</v>
      </c>
      <c r="AA3667" s="182"/>
      <c r="AB3667" s="182" t="str">
        <f>IFERROR(__xludf.DUMMYFUNCTION("""COMPUTED_VALUE"""),"Good")</f>
        <v>Good</v>
      </c>
      <c r="AC3667" s="183"/>
      <c r="AD3667" s="183"/>
      <c r="AE3667" s="183"/>
      <c r="AF3667" s="184"/>
      <c r="AG3667" s="180"/>
      <c r="AH3667" s="185">
        <f>IFERROR(__xludf.DUMMYFUNCTION("""COMPUTED_VALUE"""),43227.98639938658)</f>
        <v>43227.9864</v>
      </c>
      <c r="AI3667" s="182"/>
      <c r="AJ3667" s="182"/>
      <c r="AK3667" s="182"/>
      <c r="AL3667" s="182"/>
    </row>
    <row r="3668" ht="20.25" customHeight="1">
      <c r="A3668" s="169" t="str">
        <f>IFERROR(__xludf.DUMMYFUNCTION("""COMPUTED_VALUE"""),"kubs")</f>
        <v>kubs</v>
      </c>
      <c r="B3668" s="170" t="str">
        <f>IFERROR(__xludf.DUMMYFUNCTION("""COMPUTED_VALUE"""),"Minneapolis")</f>
        <v>Minneapolis</v>
      </c>
      <c r="C3668" s="170" t="str">
        <f>IFERROR(__xludf.DUMMYFUNCTION("""COMPUTED_VALUE"""),"MN")</f>
        <v>MN</v>
      </c>
      <c r="D3668" s="170" t="str">
        <f>IFERROR(__xludf.DUMMYFUNCTION("""COMPUTED_VALUE"""),"USA")</f>
        <v>USA</v>
      </c>
      <c r="E3668" s="171">
        <f>IFERROR(__xludf.DUMMYFUNCTION("""COMPUTED_VALUE"""),43181.0)</f>
        <v>43181</v>
      </c>
      <c r="F3668" s="172">
        <f>IFERROR(__xludf.DUMMYFUNCTION("""COMPUTED_VALUE"""),43206.0)</f>
        <v>43206</v>
      </c>
      <c r="G3668" s="173"/>
      <c r="H3668" s="174">
        <f>IFERROR(__xludf.DUMMYFUNCTION("""COMPUTED_VALUE"""),17255.0)</f>
        <v>17255</v>
      </c>
      <c r="I3668" s="175"/>
      <c r="J3668" s="172">
        <f>IFERROR(__xludf.DUMMYFUNCTION("""COMPUTED_VALUE"""),43236.0)</f>
        <v>43236</v>
      </c>
      <c r="K3668" s="176">
        <f>IFERROR(__xludf.DUMMYFUNCTION("""COMPUTED_VALUE"""),25.0)</f>
        <v>25</v>
      </c>
      <c r="L3668" s="176">
        <f>IFERROR(__xludf.DUMMYFUNCTION("""COMPUTED_VALUE"""),30.0)</f>
        <v>30</v>
      </c>
      <c r="M3668" s="176">
        <f>IFERROR(__xludf.DUMMYFUNCTION("""COMPUTED_VALUE"""),55.0)</f>
        <v>55</v>
      </c>
      <c r="N3668" s="177" t="str">
        <f>IFERROR(__xludf.DUMMYFUNCTION("""COMPUTED_VALUE"""),"Model 3 LR")</f>
        <v>Model 3 LR</v>
      </c>
      <c r="O3668" s="177" t="str">
        <f>IFERROR(__xludf.DUMMYFUNCTION("""COMPUTED_VALUE"""),"Pearl White Multi-Coat")</f>
        <v>Pearl White Multi-Coat</v>
      </c>
      <c r="P3668" s="178" t="str">
        <f>IFERROR(__xludf.DUMMYFUNCTION("""COMPUTED_VALUE"""),"18 inch Aero")</f>
        <v>18 inch Aero</v>
      </c>
      <c r="Q3668" s="177" t="str">
        <f>IFERROR(__xludf.DUMMYFUNCTION("""COMPUTED_VALUE"""),"Black seats")</f>
        <v>Black seats</v>
      </c>
      <c r="R3668" s="170" t="str">
        <f>IFERROR(__xludf.DUMMYFUNCTION("""COMPUTED_VALUE"""),"None")</f>
        <v>None</v>
      </c>
      <c r="S3668" s="170"/>
      <c r="T3668" s="179"/>
      <c r="U3668" s="179"/>
      <c r="V3668" s="179"/>
      <c r="W3668" s="180"/>
      <c r="X3668" s="181" t="str">
        <f>IFERROR(__xludf.DUMMYFUNCTION("""COMPUTED_VALUE"""),"Very Good")</f>
        <v>Very Good</v>
      </c>
      <c r="Y3668" s="182" t="str">
        <f>IFERROR(__xludf.DUMMYFUNCTION("""COMPUTED_VALUE"""),"Very Good")</f>
        <v>Very Good</v>
      </c>
      <c r="Z3668" s="182" t="str">
        <f>IFERROR(__xludf.DUMMYFUNCTION("""COMPUTED_VALUE"""),"Very Good")</f>
        <v>Very Good</v>
      </c>
      <c r="AA3668" s="182"/>
      <c r="AB3668" s="182" t="str">
        <f>IFERROR(__xludf.DUMMYFUNCTION("""COMPUTED_VALUE"""),"Good")</f>
        <v>Good</v>
      </c>
      <c r="AC3668" s="183"/>
      <c r="AD3668" s="183"/>
      <c r="AE3668" s="183"/>
      <c r="AF3668" s="184"/>
      <c r="AG3668" s="180"/>
      <c r="AH3668" s="185">
        <f>IFERROR(__xludf.DUMMYFUNCTION("""COMPUTED_VALUE"""),43236.74009104167)</f>
        <v>43236.74009</v>
      </c>
      <c r="AI3668" s="182"/>
      <c r="AJ3668" s="182"/>
      <c r="AK3668" s="182"/>
      <c r="AL3668" s="182"/>
    </row>
    <row r="3669" ht="20.25" customHeight="1">
      <c r="A3669" s="169" t="str">
        <f>IFERROR(__xludf.DUMMYFUNCTION("""COMPUTED_VALUE"""),"mdarcy")</f>
        <v>mdarcy</v>
      </c>
      <c r="B3669" s="170" t="str">
        <f>IFERROR(__xludf.DUMMYFUNCTION("""COMPUTED_VALUE"""),"San Diego")</f>
        <v>San Diego</v>
      </c>
      <c r="C3669" s="170" t="str">
        <f>IFERROR(__xludf.DUMMYFUNCTION("""COMPUTED_VALUE"""),"CA")</f>
        <v>CA</v>
      </c>
      <c r="D3669" s="170" t="str">
        <f>IFERROR(__xludf.DUMMYFUNCTION("""COMPUTED_VALUE"""),"USA")</f>
        <v>USA</v>
      </c>
      <c r="E3669" s="171">
        <f>IFERROR(__xludf.DUMMYFUNCTION("""COMPUTED_VALUE"""),43181.0)</f>
        <v>43181</v>
      </c>
      <c r="F3669" s="172">
        <f>IFERROR(__xludf.DUMMYFUNCTION("""COMPUTED_VALUE"""),43218.0)</f>
        <v>43218</v>
      </c>
      <c r="G3669" s="173"/>
      <c r="H3669" s="174">
        <f>IFERROR(__xludf.DUMMYFUNCTION("""COMPUTED_VALUE"""),16358.0)</f>
        <v>16358</v>
      </c>
      <c r="I3669" s="175"/>
      <c r="J3669" s="172">
        <f>IFERROR(__xludf.DUMMYFUNCTION("""COMPUTED_VALUE"""),43227.0)</f>
        <v>43227</v>
      </c>
      <c r="K3669" s="176">
        <f>IFERROR(__xludf.DUMMYFUNCTION("""COMPUTED_VALUE"""),37.0)</f>
        <v>37</v>
      </c>
      <c r="L3669" s="176">
        <f>IFERROR(__xludf.DUMMYFUNCTION("""COMPUTED_VALUE"""),9.0)</f>
        <v>9</v>
      </c>
      <c r="M3669" s="176">
        <f>IFERROR(__xludf.DUMMYFUNCTION("""COMPUTED_VALUE"""),46.0)</f>
        <v>46</v>
      </c>
      <c r="N3669" s="177" t="str">
        <f>IFERROR(__xludf.DUMMYFUNCTION("""COMPUTED_VALUE"""),"Model 3 LR")</f>
        <v>Model 3 LR</v>
      </c>
      <c r="O3669" s="177" t="str">
        <f>IFERROR(__xludf.DUMMYFUNCTION("""COMPUTED_VALUE"""),"Midnight Silver Metallic")</f>
        <v>Midnight Silver Metallic</v>
      </c>
      <c r="P3669" s="178" t="str">
        <f>IFERROR(__xludf.DUMMYFUNCTION("""COMPUTED_VALUE"""),"18 inch Aero")</f>
        <v>18 inch Aero</v>
      </c>
      <c r="Q3669" s="177" t="str">
        <f>IFERROR(__xludf.DUMMYFUNCTION("""COMPUTED_VALUE"""),"Black seats")</f>
        <v>Black seats</v>
      </c>
      <c r="R3669" s="170" t="str">
        <f>IFERROR(__xludf.DUMMYFUNCTION("""COMPUTED_VALUE"""),"None")</f>
        <v>None</v>
      </c>
      <c r="S3669" s="170"/>
      <c r="T3669" s="179"/>
      <c r="U3669" s="179"/>
      <c r="V3669" s="179"/>
      <c r="W3669" s="180"/>
      <c r="X3669" s="181" t="str">
        <f>IFERROR(__xludf.DUMMYFUNCTION("""COMPUTED_VALUE"""),"Excellent")</f>
        <v>Excellent</v>
      </c>
      <c r="Y3669" s="182" t="str">
        <f>IFERROR(__xludf.DUMMYFUNCTION("""COMPUTED_VALUE"""),"Excellent")</f>
        <v>Excellent</v>
      </c>
      <c r="Z3669" s="182" t="str">
        <f>IFERROR(__xludf.DUMMYFUNCTION("""COMPUTED_VALUE"""),"Excellent")</f>
        <v>Excellent</v>
      </c>
      <c r="AA3669" s="182"/>
      <c r="AB3669" s="182" t="str">
        <f>IFERROR(__xludf.DUMMYFUNCTION("""COMPUTED_VALUE"""),"Excellent")</f>
        <v>Excellent</v>
      </c>
      <c r="AC3669" s="183"/>
      <c r="AD3669" s="183"/>
      <c r="AE3669" s="183"/>
      <c r="AF3669" s="184"/>
      <c r="AG3669" s="180"/>
      <c r="AH3669" s="185">
        <f>IFERROR(__xludf.DUMMYFUNCTION("""COMPUTED_VALUE"""),43228.370980763895)</f>
        <v>43228.37098</v>
      </c>
      <c r="AI3669" s="182"/>
      <c r="AJ3669" s="182"/>
      <c r="AK3669" s="182"/>
      <c r="AL3669" s="182"/>
    </row>
    <row r="3670" ht="20.25" customHeight="1">
      <c r="A3670" s="169" t="str">
        <f>IFERROR(__xludf.DUMMYFUNCTION("""COMPUTED_VALUE"""),"morrisg")</f>
        <v>morrisg</v>
      </c>
      <c r="B3670" s="170" t="str">
        <f>IFERROR(__xludf.DUMMYFUNCTION("""COMPUTED_VALUE"""),"Portland")</f>
        <v>Portland</v>
      </c>
      <c r="C3670" s="170" t="str">
        <f>IFERROR(__xludf.DUMMYFUNCTION("""COMPUTED_VALUE"""),"OR")</f>
        <v>OR</v>
      </c>
      <c r="D3670" s="170" t="str">
        <f>IFERROR(__xludf.DUMMYFUNCTION("""COMPUTED_VALUE"""),"USA")</f>
        <v>USA</v>
      </c>
      <c r="E3670" s="171">
        <f>IFERROR(__xludf.DUMMYFUNCTION("""COMPUTED_VALUE"""),43181.0)</f>
        <v>43181</v>
      </c>
      <c r="F3670" s="172">
        <f>IFERROR(__xludf.DUMMYFUNCTION("""COMPUTED_VALUE"""),43219.0)</f>
        <v>43219</v>
      </c>
      <c r="G3670" s="173"/>
      <c r="H3670" s="174">
        <f>IFERROR(__xludf.DUMMYFUNCTION("""COMPUTED_VALUE"""),14155.0)</f>
        <v>14155</v>
      </c>
      <c r="I3670" s="175" t="str">
        <f>IFERROR(__xludf.DUMMYFUNCTION("""COMPUTED_VALUE"""),"04/18")</f>
        <v>04/18</v>
      </c>
      <c r="J3670" s="172">
        <f>IFERROR(__xludf.DUMMYFUNCTION("""COMPUTED_VALUE"""),43232.0)</f>
        <v>43232</v>
      </c>
      <c r="K3670" s="176">
        <f>IFERROR(__xludf.DUMMYFUNCTION("""COMPUTED_VALUE"""),38.0)</f>
        <v>38</v>
      </c>
      <c r="L3670" s="176">
        <f>IFERROR(__xludf.DUMMYFUNCTION("""COMPUTED_VALUE"""),13.0)</f>
        <v>13</v>
      </c>
      <c r="M3670" s="176">
        <f>IFERROR(__xludf.DUMMYFUNCTION("""COMPUTED_VALUE"""),51.0)</f>
        <v>51</v>
      </c>
      <c r="N3670" s="177" t="str">
        <f>IFERROR(__xludf.DUMMYFUNCTION("""COMPUTED_VALUE"""),"Model 3 LR")</f>
        <v>Model 3 LR</v>
      </c>
      <c r="O3670" s="177" t="str">
        <f>IFERROR(__xludf.DUMMYFUNCTION("""COMPUTED_VALUE"""),"Midnight Silver Metallic")</f>
        <v>Midnight Silver Metallic</v>
      </c>
      <c r="P3670" s="178" t="str">
        <f>IFERROR(__xludf.DUMMYFUNCTION("""COMPUTED_VALUE"""),"18 inch Aero")</f>
        <v>18 inch Aero</v>
      </c>
      <c r="Q3670" s="177" t="str">
        <f>IFERROR(__xludf.DUMMYFUNCTION("""COMPUTED_VALUE"""),"Black seats")</f>
        <v>Black seats</v>
      </c>
      <c r="R3670" s="170" t="str">
        <f>IFERROR(__xludf.DUMMYFUNCTION("""COMPUTED_VALUE"""),"Enhanced Autopilot")</f>
        <v>Enhanced Autopilot</v>
      </c>
      <c r="S3670" s="170"/>
      <c r="T3670" s="179"/>
      <c r="U3670" s="179"/>
      <c r="V3670" s="179"/>
      <c r="W3670" s="180"/>
      <c r="X3670" s="181" t="str">
        <f>IFERROR(__xludf.DUMMYFUNCTION("""COMPUTED_VALUE"""),"Very Good")</f>
        <v>Very Good</v>
      </c>
      <c r="Y3670" s="182" t="str">
        <f>IFERROR(__xludf.DUMMYFUNCTION("""COMPUTED_VALUE"""),"Very Good")</f>
        <v>Very Good</v>
      </c>
      <c r="Z3670" s="182" t="str">
        <f>IFERROR(__xludf.DUMMYFUNCTION("""COMPUTED_VALUE"""),"Very Good")</f>
        <v>Very Good</v>
      </c>
      <c r="AA3670" s="182" t="str">
        <f>IFERROR(__xludf.DUMMYFUNCTION("""COMPUTED_VALUE"""),"Good")</f>
        <v>Good</v>
      </c>
      <c r="AB3670" s="182" t="str">
        <f>IFERROR(__xludf.DUMMYFUNCTION("""COMPUTED_VALUE"""),"Excellent")</f>
        <v>Excellent</v>
      </c>
      <c r="AC3670" s="183"/>
      <c r="AD3670" s="183"/>
      <c r="AE3670" s="183"/>
      <c r="AF3670" s="184"/>
      <c r="AG3670" s="180"/>
      <c r="AH3670" s="185">
        <f>IFERROR(__xludf.DUMMYFUNCTION("""COMPUTED_VALUE"""),43255.59481969907)</f>
        <v>43255.59482</v>
      </c>
      <c r="AI3670" s="182"/>
      <c r="AJ3670" s="182"/>
      <c r="AK3670" s="182"/>
      <c r="AL3670" s="182"/>
    </row>
    <row r="3671" ht="20.25" customHeight="1">
      <c r="A3671" s="169" t="str">
        <f>IFERROR(__xludf.DUMMYFUNCTION("""COMPUTED_VALUE"""),"No_ICE")</f>
        <v>No_ICE</v>
      </c>
      <c r="B3671" s="170" t="str">
        <f>IFERROR(__xludf.DUMMYFUNCTION("""COMPUTED_VALUE"""),"Annapolis")</f>
        <v>Annapolis</v>
      </c>
      <c r="C3671" s="170" t="str">
        <f>IFERROR(__xludf.DUMMYFUNCTION("""COMPUTED_VALUE"""),"MD")</f>
        <v>MD</v>
      </c>
      <c r="D3671" s="170" t="str">
        <f>IFERROR(__xludf.DUMMYFUNCTION("""COMPUTED_VALUE"""),"USA")</f>
        <v>USA</v>
      </c>
      <c r="E3671" s="171">
        <f>IFERROR(__xludf.DUMMYFUNCTION("""COMPUTED_VALUE"""),43181.0)</f>
        <v>43181</v>
      </c>
      <c r="F3671" s="172">
        <f>IFERROR(__xludf.DUMMYFUNCTION("""COMPUTED_VALUE"""),43201.0)</f>
        <v>43201</v>
      </c>
      <c r="G3671" s="173"/>
      <c r="H3671" s="174">
        <f>IFERROR(__xludf.DUMMYFUNCTION("""COMPUTED_VALUE"""),12655.0)</f>
        <v>12655</v>
      </c>
      <c r="I3671" s="175"/>
      <c r="J3671" s="172">
        <f>IFERROR(__xludf.DUMMYFUNCTION("""COMPUTED_VALUE"""),43224.0)</f>
        <v>43224</v>
      </c>
      <c r="K3671" s="176">
        <f>IFERROR(__xludf.DUMMYFUNCTION("""COMPUTED_VALUE"""),20.0)</f>
        <v>20</v>
      </c>
      <c r="L3671" s="176">
        <f>IFERROR(__xludf.DUMMYFUNCTION("""COMPUTED_VALUE"""),23.0)</f>
        <v>23</v>
      </c>
      <c r="M3671" s="176">
        <f>IFERROR(__xludf.DUMMYFUNCTION("""COMPUTED_VALUE"""),43.0)</f>
        <v>43</v>
      </c>
      <c r="N3671" s="177" t="str">
        <f>IFERROR(__xludf.DUMMYFUNCTION("""COMPUTED_VALUE"""),"Model 3 LR")</f>
        <v>Model 3 LR</v>
      </c>
      <c r="O3671" s="177" t="str">
        <f>IFERROR(__xludf.DUMMYFUNCTION("""COMPUTED_VALUE"""),"Midnight Silver Metallic")</f>
        <v>Midnight Silver Metallic</v>
      </c>
      <c r="P3671" s="178" t="str">
        <f>IFERROR(__xludf.DUMMYFUNCTION("""COMPUTED_VALUE"""),"18 inch Aero")</f>
        <v>18 inch Aero</v>
      </c>
      <c r="Q3671" s="177" t="str">
        <f>IFERROR(__xludf.DUMMYFUNCTION("""COMPUTED_VALUE"""),"Black seats")</f>
        <v>Black seats</v>
      </c>
      <c r="R3671" s="170" t="str">
        <f>IFERROR(__xludf.DUMMYFUNCTION("""COMPUTED_VALUE"""),"Full Self-Driving")</f>
        <v>Full Self-Driving</v>
      </c>
      <c r="S3671" s="170"/>
      <c r="T3671" s="179"/>
      <c r="U3671" s="179"/>
      <c r="V3671" s="179"/>
      <c r="W3671" s="180"/>
      <c r="X3671" s="181" t="str">
        <f>IFERROR(__xludf.DUMMYFUNCTION("""COMPUTED_VALUE"""),"Excellent")</f>
        <v>Excellent</v>
      </c>
      <c r="Y3671" s="182" t="str">
        <f>IFERROR(__xludf.DUMMYFUNCTION("""COMPUTED_VALUE"""),"Excellent")</f>
        <v>Excellent</v>
      </c>
      <c r="Z3671" s="182" t="str">
        <f>IFERROR(__xludf.DUMMYFUNCTION("""COMPUTED_VALUE"""),"Excellent")</f>
        <v>Excellent</v>
      </c>
      <c r="AA3671" s="182"/>
      <c r="AB3671" s="182" t="str">
        <f>IFERROR(__xludf.DUMMYFUNCTION("""COMPUTED_VALUE"""),"Excellent")</f>
        <v>Excellent</v>
      </c>
      <c r="AC3671" s="183"/>
      <c r="AD3671" s="183"/>
      <c r="AE3671" s="183"/>
      <c r="AF3671" s="184"/>
      <c r="AG3671" s="180"/>
      <c r="AH3671" s="185">
        <f>IFERROR(__xludf.DUMMYFUNCTION("""COMPUTED_VALUE"""),43224.702454074075)</f>
        <v>43224.70245</v>
      </c>
      <c r="AI3671" s="182"/>
      <c r="AJ3671" s="182"/>
      <c r="AK3671" s="182"/>
      <c r="AL3671" s="182"/>
    </row>
    <row r="3672" ht="20.25" customHeight="1">
      <c r="A3672" s="169" t="str">
        <f>IFERROR(__xludf.DUMMYFUNCTION("""COMPUTED_VALUE"""),"Rich M")</f>
        <v>Rich M</v>
      </c>
      <c r="B3672" s="170" t="str">
        <f>IFERROR(__xludf.DUMMYFUNCTION("""COMPUTED_VALUE"""),"Blandon")</f>
        <v>Blandon</v>
      </c>
      <c r="C3672" s="170" t="str">
        <f>IFERROR(__xludf.DUMMYFUNCTION("""COMPUTED_VALUE"""),"PA")</f>
        <v>PA</v>
      </c>
      <c r="D3672" s="170" t="str">
        <f>IFERROR(__xludf.DUMMYFUNCTION("""COMPUTED_VALUE"""),"USA")</f>
        <v>USA</v>
      </c>
      <c r="E3672" s="171">
        <f>IFERROR(__xludf.DUMMYFUNCTION("""COMPUTED_VALUE"""),43181.0)</f>
        <v>43181</v>
      </c>
      <c r="F3672" s="172">
        <f>IFERROR(__xludf.DUMMYFUNCTION("""COMPUTED_VALUE"""),43217.0)</f>
        <v>43217</v>
      </c>
      <c r="G3672" s="173"/>
      <c r="H3672" s="174">
        <f>IFERROR(__xludf.DUMMYFUNCTION("""COMPUTED_VALUE"""),16296.0)</f>
        <v>16296</v>
      </c>
      <c r="I3672" s="175"/>
      <c r="J3672" s="172">
        <f>IFERROR(__xludf.DUMMYFUNCTION("""COMPUTED_VALUE"""),43238.0)</f>
        <v>43238</v>
      </c>
      <c r="K3672" s="176">
        <f>IFERROR(__xludf.DUMMYFUNCTION("""COMPUTED_VALUE"""),36.0)</f>
        <v>36</v>
      </c>
      <c r="L3672" s="176">
        <f>IFERROR(__xludf.DUMMYFUNCTION("""COMPUTED_VALUE"""),21.0)</f>
        <v>21</v>
      </c>
      <c r="M3672" s="176">
        <f>IFERROR(__xludf.DUMMYFUNCTION("""COMPUTED_VALUE"""),57.0)</f>
        <v>57</v>
      </c>
      <c r="N3672" s="177" t="str">
        <f>IFERROR(__xludf.DUMMYFUNCTION("""COMPUTED_VALUE"""),"Model 3 LR")</f>
        <v>Model 3 LR</v>
      </c>
      <c r="O3672" s="177" t="str">
        <f>IFERROR(__xludf.DUMMYFUNCTION("""COMPUTED_VALUE"""),"Midnight Silver Metallic")</f>
        <v>Midnight Silver Metallic</v>
      </c>
      <c r="P3672" s="178" t="str">
        <f>IFERROR(__xludf.DUMMYFUNCTION("""COMPUTED_VALUE"""),"18 inch Aero")</f>
        <v>18 inch Aero</v>
      </c>
      <c r="Q3672" s="177" t="str">
        <f>IFERROR(__xludf.DUMMYFUNCTION("""COMPUTED_VALUE"""),"Black seats")</f>
        <v>Black seats</v>
      </c>
      <c r="R3672" s="170" t="str">
        <f>IFERROR(__xludf.DUMMYFUNCTION("""COMPUTED_VALUE"""),"Enhanced Autopilot")</f>
        <v>Enhanced Autopilot</v>
      </c>
      <c r="S3672" s="170"/>
      <c r="T3672" s="179"/>
      <c r="U3672" s="179"/>
      <c r="V3672" s="179"/>
      <c r="W3672" s="180"/>
      <c r="X3672" s="181" t="str">
        <f>IFERROR(__xludf.DUMMYFUNCTION("""COMPUTED_VALUE"""),"Very Good")</f>
        <v>Very Good</v>
      </c>
      <c r="Y3672" s="182" t="str">
        <f>IFERROR(__xludf.DUMMYFUNCTION("""COMPUTED_VALUE"""),"Excellent")</f>
        <v>Excellent</v>
      </c>
      <c r="Z3672" s="182" t="str">
        <f>IFERROR(__xludf.DUMMYFUNCTION("""COMPUTED_VALUE"""),"Excellent")</f>
        <v>Excellent</v>
      </c>
      <c r="AA3672" s="182"/>
      <c r="AB3672" s="182" t="str">
        <f>IFERROR(__xludf.DUMMYFUNCTION("""COMPUTED_VALUE"""),"Excellent")</f>
        <v>Excellent</v>
      </c>
      <c r="AC3672" s="183"/>
      <c r="AD3672" s="183"/>
      <c r="AE3672" s="183"/>
      <c r="AF3672" s="184"/>
      <c r="AG3672" s="180" t="str">
        <f>IFERROR(__xludf.DUMMYFUNCTION("""COMPUTED_VALUE"""),"If White interior is available, I'll take it")</f>
        <v>If White interior is available, I'll take it</v>
      </c>
      <c r="AH3672" s="185">
        <f>IFERROR(__xludf.DUMMYFUNCTION("""COMPUTED_VALUE"""),43239.37919045139)</f>
        <v>43239.37919</v>
      </c>
      <c r="AI3672" s="182"/>
      <c r="AJ3672" s="182"/>
      <c r="AK3672" s="182"/>
      <c r="AL3672" s="182"/>
    </row>
    <row r="3673" ht="20.25" customHeight="1">
      <c r="A3673" s="169" t="str">
        <f>IFERROR(__xludf.DUMMYFUNCTION("""COMPUTED_VALUE"""),"SmokinStak")</f>
        <v>SmokinStak</v>
      </c>
      <c r="B3673" s="170" t="str">
        <f>IFERROR(__xludf.DUMMYFUNCTION("""COMPUTED_VALUE"""),"St. Louis")</f>
        <v>St. Louis</v>
      </c>
      <c r="C3673" s="170" t="str">
        <f>IFERROR(__xludf.DUMMYFUNCTION("""COMPUTED_VALUE"""),"MO")</f>
        <v>MO</v>
      </c>
      <c r="D3673" s="170" t="str">
        <f>IFERROR(__xludf.DUMMYFUNCTION("""COMPUTED_VALUE"""),"USA")</f>
        <v>USA</v>
      </c>
      <c r="E3673" s="171">
        <f>IFERROR(__xludf.DUMMYFUNCTION("""COMPUTED_VALUE"""),43181.0)</f>
        <v>43181</v>
      </c>
      <c r="F3673" s="172">
        <f>IFERROR(__xludf.DUMMYFUNCTION("""COMPUTED_VALUE"""),43203.0)</f>
        <v>43203</v>
      </c>
      <c r="G3673" s="173"/>
      <c r="H3673" s="174">
        <f>IFERROR(__xludf.DUMMYFUNCTION("""COMPUTED_VALUE"""),12565.0)</f>
        <v>12565</v>
      </c>
      <c r="I3673" s="175"/>
      <c r="J3673" s="172">
        <f>IFERROR(__xludf.DUMMYFUNCTION("""COMPUTED_VALUE"""),43223.0)</f>
        <v>43223</v>
      </c>
      <c r="K3673" s="176">
        <f>IFERROR(__xludf.DUMMYFUNCTION("""COMPUTED_VALUE"""),22.0)</f>
        <v>22</v>
      </c>
      <c r="L3673" s="176">
        <f>IFERROR(__xludf.DUMMYFUNCTION("""COMPUTED_VALUE"""),20.0)</f>
        <v>20</v>
      </c>
      <c r="M3673" s="176">
        <f>IFERROR(__xludf.DUMMYFUNCTION("""COMPUTED_VALUE"""),42.0)</f>
        <v>42</v>
      </c>
      <c r="N3673" s="177" t="str">
        <f>IFERROR(__xludf.DUMMYFUNCTION("""COMPUTED_VALUE"""),"Model 3 LR")</f>
        <v>Model 3 LR</v>
      </c>
      <c r="O3673" s="177" t="str">
        <f>IFERROR(__xludf.DUMMYFUNCTION("""COMPUTED_VALUE"""),"Solid Black")</f>
        <v>Solid Black</v>
      </c>
      <c r="P3673" s="178" t="str">
        <f>IFERROR(__xludf.DUMMYFUNCTION("""COMPUTED_VALUE"""),"18 inch Aero")</f>
        <v>18 inch Aero</v>
      </c>
      <c r="Q3673" s="177" t="str">
        <f>IFERROR(__xludf.DUMMYFUNCTION("""COMPUTED_VALUE"""),"Black seats")</f>
        <v>Black seats</v>
      </c>
      <c r="R3673" s="170" t="str">
        <f>IFERROR(__xludf.DUMMYFUNCTION("""COMPUTED_VALUE"""),"Enhanced Autopilot")</f>
        <v>Enhanced Autopilot</v>
      </c>
      <c r="S3673" s="170"/>
      <c r="T3673" s="179"/>
      <c r="U3673" s="179"/>
      <c r="V3673" s="179"/>
      <c r="W3673" s="180"/>
      <c r="X3673" s="181" t="str">
        <f>IFERROR(__xludf.DUMMYFUNCTION("""COMPUTED_VALUE"""),"Excellent")</f>
        <v>Excellent</v>
      </c>
      <c r="Y3673" s="182" t="str">
        <f>IFERROR(__xludf.DUMMYFUNCTION("""COMPUTED_VALUE"""),"Good")</f>
        <v>Good</v>
      </c>
      <c r="Z3673" s="182" t="str">
        <f>IFERROR(__xludf.DUMMYFUNCTION("""COMPUTED_VALUE"""),"Good")</f>
        <v>Good</v>
      </c>
      <c r="AA3673" s="182" t="str">
        <f>IFERROR(__xludf.DUMMYFUNCTION("""COMPUTED_VALUE"""),"Very Good")</f>
        <v>Very Good</v>
      </c>
      <c r="AB3673" s="182" t="str">
        <f>IFERROR(__xludf.DUMMYFUNCTION("""COMPUTED_VALUE"""),"Excellent")</f>
        <v>Excellent</v>
      </c>
      <c r="AC3673" s="183">
        <f>IFERROR(__xludf.DUMMYFUNCTION("""COMPUTED_VALUE"""),1.0)</f>
        <v>1</v>
      </c>
      <c r="AD3673" s="183">
        <f>IFERROR(__xludf.DUMMYFUNCTION("""COMPUTED_VALUE"""),0.0)</f>
        <v>0</v>
      </c>
      <c r="AE3673" s="183">
        <f>IFERROR(__xludf.DUMMYFUNCTION("""COMPUTED_VALUE"""),0.0)</f>
        <v>0</v>
      </c>
      <c r="AF3673" s="184"/>
      <c r="AG3673" s="180"/>
      <c r="AH3673" s="185">
        <f>IFERROR(__xludf.DUMMYFUNCTION("""COMPUTED_VALUE"""),43494.34917715278)</f>
        <v>43494.34918</v>
      </c>
      <c r="AI3673" s="182"/>
      <c r="AJ3673" s="182"/>
      <c r="AK3673" s="182"/>
      <c r="AL3673" s="182"/>
    </row>
    <row r="3674" ht="20.25" customHeight="1">
      <c r="A3674" s="169" t="str">
        <f>IFERROR(__xludf.DUMMYFUNCTION("""COMPUTED_VALUE"""),"treyjp")</f>
        <v>treyjp</v>
      </c>
      <c r="B3674" s="170" t="str">
        <f>IFERROR(__xludf.DUMMYFUNCTION("""COMPUTED_VALUE"""),"Austin")</f>
        <v>Austin</v>
      </c>
      <c r="C3674" s="170" t="str">
        <f>IFERROR(__xludf.DUMMYFUNCTION("""COMPUTED_VALUE"""),"TX")</f>
        <v>TX</v>
      </c>
      <c r="D3674" s="170" t="str">
        <f>IFERROR(__xludf.DUMMYFUNCTION("""COMPUTED_VALUE"""),"USA")</f>
        <v>USA</v>
      </c>
      <c r="E3674" s="171">
        <f>IFERROR(__xludf.DUMMYFUNCTION("""COMPUTED_VALUE"""),43181.0)</f>
        <v>43181</v>
      </c>
      <c r="F3674" s="172">
        <f>IFERROR(__xludf.DUMMYFUNCTION("""COMPUTED_VALUE"""),43206.0)</f>
        <v>43206</v>
      </c>
      <c r="G3674" s="173"/>
      <c r="H3674" s="174">
        <f>IFERROR(__xludf.DUMMYFUNCTION("""COMPUTED_VALUE"""),13896.0)</f>
        <v>13896</v>
      </c>
      <c r="I3674" s="175"/>
      <c r="J3674" s="172">
        <f>IFERROR(__xludf.DUMMYFUNCTION("""COMPUTED_VALUE"""),43222.0)</f>
        <v>43222</v>
      </c>
      <c r="K3674" s="176">
        <f>IFERROR(__xludf.DUMMYFUNCTION("""COMPUTED_VALUE"""),25.0)</f>
        <v>25</v>
      </c>
      <c r="L3674" s="176">
        <f>IFERROR(__xludf.DUMMYFUNCTION("""COMPUTED_VALUE"""),16.0)</f>
        <v>16</v>
      </c>
      <c r="M3674" s="176">
        <f>IFERROR(__xludf.DUMMYFUNCTION("""COMPUTED_VALUE"""),41.0)</f>
        <v>41</v>
      </c>
      <c r="N3674" s="177" t="str">
        <f>IFERROR(__xludf.DUMMYFUNCTION("""COMPUTED_VALUE"""),"Model 3 LR")</f>
        <v>Model 3 LR</v>
      </c>
      <c r="O3674" s="177" t="str">
        <f>IFERROR(__xludf.DUMMYFUNCTION("""COMPUTED_VALUE"""),"Solid Black")</f>
        <v>Solid Black</v>
      </c>
      <c r="P3674" s="178" t="str">
        <f>IFERROR(__xludf.DUMMYFUNCTION("""COMPUTED_VALUE"""),"18 inch Aero")</f>
        <v>18 inch Aero</v>
      </c>
      <c r="Q3674" s="177" t="str">
        <f>IFERROR(__xludf.DUMMYFUNCTION("""COMPUTED_VALUE"""),"Black seats")</f>
        <v>Black seats</v>
      </c>
      <c r="R3674" s="170" t="str">
        <f>IFERROR(__xludf.DUMMYFUNCTION("""COMPUTED_VALUE"""),"Enhanced Autopilot")</f>
        <v>Enhanced Autopilot</v>
      </c>
      <c r="S3674" s="170"/>
      <c r="T3674" s="179"/>
      <c r="U3674" s="179"/>
      <c r="V3674" s="179"/>
      <c r="W3674" s="180"/>
      <c r="X3674" s="181" t="str">
        <f>IFERROR(__xludf.DUMMYFUNCTION("""COMPUTED_VALUE"""),"Very Good")</f>
        <v>Very Good</v>
      </c>
      <c r="Y3674" s="182" t="str">
        <f>IFERROR(__xludf.DUMMYFUNCTION("""COMPUTED_VALUE"""),"Very Good")</f>
        <v>Very Good</v>
      </c>
      <c r="Z3674" s="182" t="str">
        <f>IFERROR(__xludf.DUMMYFUNCTION("""COMPUTED_VALUE"""),"Very Good")</f>
        <v>Very Good</v>
      </c>
      <c r="AA3674" s="182"/>
      <c r="AB3674" s="182" t="str">
        <f>IFERROR(__xludf.DUMMYFUNCTION("""COMPUTED_VALUE"""),"Excellent")</f>
        <v>Excellent</v>
      </c>
      <c r="AC3674" s="183"/>
      <c r="AD3674" s="183"/>
      <c r="AE3674" s="183"/>
      <c r="AF3674" s="184"/>
      <c r="AG3674" s="180"/>
      <c r="AH3674" s="185">
        <f>IFERROR(__xludf.DUMMYFUNCTION("""COMPUTED_VALUE"""),43224.69022439815)</f>
        <v>43224.69022</v>
      </c>
      <c r="AI3674" s="182"/>
      <c r="AJ3674" s="182"/>
      <c r="AK3674" s="182"/>
      <c r="AL3674" s="182"/>
    </row>
    <row r="3675" ht="20.25" customHeight="1">
      <c r="A3675" s="169" t="str">
        <f>IFERROR(__xludf.DUMMYFUNCTION("""COMPUTED_VALUE"""),"wriwanski")</f>
        <v>wriwanski</v>
      </c>
      <c r="B3675" s="170" t="str">
        <f>IFERROR(__xludf.DUMMYFUNCTION("""COMPUTED_VALUE"""),"St. Charles")</f>
        <v>St. Charles</v>
      </c>
      <c r="C3675" s="170" t="str">
        <f>IFERROR(__xludf.DUMMYFUNCTION("""COMPUTED_VALUE"""),"IL")</f>
        <v>IL</v>
      </c>
      <c r="D3675" s="170" t="str">
        <f>IFERROR(__xludf.DUMMYFUNCTION("""COMPUTED_VALUE"""),"USA")</f>
        <v>USA</v>
      </c>
      <c r="E3675" s="171">
        <f>IFERROR(__xludf.DUMMYFUNCTION("""COMPUTED_VALUE"""),43181.0)</f>
        <v>43181</v>
      </c>
      <c r="F3675" s="172">
        <f>IFERROR(__xludf.DUMMYFUNCTION("""COMPUTED_VALUE"""),43218.0)</f>
        <v>43218</v>
      </c>
      <c r="G3675" s="173"/>
      <c r="H3675" s="174">
        <f>IFERROR(__xludf.DUMMYFUNCTION("""COMPUTED_VALUE"""),16370.0)</f>
        <v>16370</v>
      </c>
      <c r="I3675" s="175"/>
      <c r="J3675" s="172">
        <f>IFERROR(__xludf.DUMMYFUNCTION("""COMPUTED_VALUE"""),43236.0)</f>
        <v>43236</v>
      </c>
      <c r="K3675" s="176">
        <f>IFERROR(__xludf.DUMMYFUNCTION("""COMPUTED_VALUE"""),37.0)</f>
        <v>37</v>
      </c>
      <c r="L3675" s="176">
        <f>IFERROR(__xludf.DUMMYFUNCTION("""COMPUTED_VALUE"""),18.0)</f>
        <v>18</v>
      </c>
      <c r="M3675" s="176">
        <f>IFERROR(__xludf.DUMMYFUNCTION("""COMPUTED_VALUE"""),55.0)</f>
        <v>55</v>
      </c>
      <c r="N3675" s="177" t="str">
        <f>IFERROR(__xludf.DUMMYFUNCTION("""COMPUTED_VALUE"""),"Model 3 LR")</f>
        <v>Model 3 LR</v>
      </c>
      <c r="O3675" s="177" t="str">
        <f>IFERROR(__xludf.DUMMYFUNCTION("""COMPUTED_VALUE"""),"Midnight Silver Metallic")</f>
        <v>Midnight Silver Metallic</v>
      </c>
      <c r="P3675" s="178" t="str">
        <f>IFERROR(__xludf.DUMMYFUNCTION("""COMPUTED_VALUE"""),"18 inch Aero")</f>
        <v>18 inch Aero</v>
      </c>
      <c r="Q3675" s="177" t="str">
        <f>IFERROR(__xludf.DUMMYFUNCTION("""COMPUTED_VALUE"""),"Black seats")</f>
        <v>Black seats</v>
      </c>
      <c r="R3675" s="170" t="str">
        <f>IFERROR(__xludf.DUMMYFUNCTION("""COMPUTED_VALUE"""),"Enhanced Autopilot")</f>
        <v>Enhanced Autopilot</v>
      </c>
      <c r="S3675" s="170"/>
      <c r="T3675" s="179"/>
      <c r="U3675" s="179"/>
      <c r="V3675" s="179"/>
      <c r="W3675" s="180"/>
      <c r="X3675" s="181" t="str">
        <f>IFERROR(__xludf.DUMMYFUNCTION("""COMPUTED_VALUE"""),"Very Good")</f>
        <v>Very Good</v>
      </c>
      <c r="Y3675" s="182" t="str">
        <f>IFERROR(__xludf.DUMMYFUNCTION("""COMPUTED_VALUE"""),"Excellent")</f>
        <v>Excellent</v>
      </c>
      <c r="Z3675" s="182" t="str">
        <f>IFERROR(__xludf.DUMMYFUNCTION("""COMPUTED_VALUE"""),"Very Good")</f>
        <v>Very Good</v>
      </c>
      <c r="AA3675" s="182"/>
      <c r="AB3675" s="182" t="str">
        <f>IFERROR(__xludf.DUMMYFUNCTION("""COMPUTED_VALUE"""),"Excellent")</f>
        <v>Excellent</v>
      </c>
      <c r="AC3675" s="183"/>
      <c r="AD3675" s="183"/>
      <c r="AE3675" s="183"/>
      <c r="AF3675" s="184"/>
      <c r="AG3675" s="180" t="str">
        <f>IFERROR(__xludf.DUMMYFUNCTION("""COMPUTED_VALUE"""),"Phenomenal Service (Delivery) Center staff!")</f>
        <v>Phenomenal Service (Delivery) Center staff!</v>
      </c>
      <c r="AH3675" s="185">
        <f>IFERROR(__xludf.DUMMYFUNCTION("""COMPUTED_VALUE"""),43237.37325542824)</f>
        <v>43237.37326</v>
      </c>
      <c r="AI3675" s="182"/>
      <c r="AJ3675" s="182"/>
      <c r="AK3675" s="182"/>
      <c r="AL3675" s="182"/>
    </row>
    <row r="3676" ht="20.25" customHeight="1">
      <c r="A3676" s="169" t="str">
        <f>IFERROR(__xludf.DUMMYFUNCTION("""COMPUTED_VALUE"""),"Sperkin")</f>
        <v>Sperkin</v>
      </c>
      <c r="B3676" s="170" t="str">
        <f>IFERROR(__xludf.DUMMYFUNCTION("""COMPUTED_VALUE"""),"Santa Monica")</f>
        <v>Santa Monica</v>
      </c>
      <c r="C3676" s="170" t="str">
        <f>IFERROR(__xludf.DUMMYFUNCTION("""COMPUTED_VALUE"""),"CA")</f>
        <v>CA</v>
      </c>
      <c r="D3676" s="170" t="str">
        <f>IFERROR(__xludf.DUMMYFUNCTION("""COMPUTED_VALUE"""),"USA")</f>
        <v>USA</v>
      </c>
      <c r="E3676" s="171">
        <f>IFERROR(__xludf.DUMMYFUNCTION("""COMPUTED_VALUE"""),43174.0)</f>
        <v>43174</v>
      </c>
      <c r="F3676" s="172">
        <f>IFERROR(__xludf.DUMMYFUNCTION("""COMPUTED_VALUE"""),43205.0)</f>
        <v>43205</v>
      </c>
      <c r="G3676" s="173"/>
      <c r="H3676" s="174">
        <f>IFERROR(__xludf.DUMMYFUNCTION("""COMPUTED_VALUE"""),12755.0)</f>
        <v>12755</v>
      </c>
      <c r="I3676" s="175" t="str">
        <f>IFERROR(__xludf.DUMMYFUNCTION("""COMPUTED_VALUE"""),"04/18")</f>
        <v>04/18</v>
      </c>
      <c r="J3676" s="172">
        <f>IFERROR(__xludf.DUMMYFUNCTION("""COMPUTED_VALUE"""),43218.0)</f>
        <v>43218</v>
      </c>
      <c r="K3676" s="176">
        <f>IFERROR(__xludf.DUMMYFUNCTION("""COMPUTED_VALUE"""),31.0)</f>
        <v>31</v>
      </c>
      <c r="L3676" s="176">
        <f>IFERROR(__xludf.DUMMYFUNCTION("""COMPUTED_VALUE"""),13.0)</f>
        <v>13</v>
      </c>
      <c r="M3676" s="176">
        <f>IFERROR(__xludf.DUMMYFUNCTION("""COMPUTED_VALUE"""),44.0)</f>
        <v>44</v>
      </c>
      <c r="N3676" s="177" t="str">
        <f>IFERROR(__xludf.DUMMYFUNCTION("""COMPUTED_VALUE"""),"Model 3 LR")</f>
        <v>Model 3 LR</v>
      </c>
      <c r="O3676" s="177" t="str">
        <f>IFERROR(__xludf.DUMMYFUNCTION("""COMPUTED_VALUE"""),"Midnight Silver Metallic")</f>
        <v>Midnight Silver Metallic</v>
      </c>
      <c r="P3676" s="178" t="str">
        <f>IFERROR(__xludf.DUMMYFUNCTION("""COMPUTED_VALUE"""),"18 inch Aero")</f>
        <v>18 inch Aero</v>
      </c>
      <c r="Q3676" s="177" t="str">
        <f>IFERROR(__xludf.DUMMYFUNCTION("""COMPUTED_VALUE"""),"Black seats")</f>
        <v>Black seats</v>
      </c>
      <c r="R3676" s="170" t="str">
        <f>IFERROR(__xludf.DUMMYFUNCTION("""COMPUTED_VALUE"""),"Enhanced Autopilot")</f>
        <v>Enhanced Autopilot</v>
      </c>
      <c r="S3676" s="170"/>
      <c r="T3676" s="179"/>
      <c r="U3676" s="179"/>
      <c r="V3676" s="179"/>
      <c r="W3676" s="180"/>
      <c r="X3676" s="181" t="str">
        <f>IFERROR(__xludf.DUMMYFUNCTION("""COMPUTED_VALUE"""),"Very Good")</f>
        <v>Very Good</v>
      </c>
      <c r="Y3676" s="182" t="str">
        <f>IFERROR(__xludf.DUMMYFUNCTION("""COMPUTED_VALUE"""),"Excellent")</f>
        <v>Excellent</v>
      </c>
      <c r="Z3676" s="182" t="str">
        <f>IFERROR(__xludf.DUMMYFUNCTION("""COMPUTED_VALUE"""),"Excellent")</f>
        <v>Excellent</v>
      </c>
      <c r="AA3676" s="182" t="str">
        <f>IFERROR(__xludf.DUMMYFUNCTION("""COMPUTED_VALUE"""),"Fair")</f>
        <v>Fair</v>
      </c>
      <c r="AB3676" s="182" t="str">
        <f>IFERROR(__xludf.DUMMYFUNCTION("""COMPUTED_VALUE"""),"Poor")</f>
        <v>Poor</v>
      </c>
      <c r="AC3676" s="183">
        <f>IFERROR(__xludf.DUMMYFUNCTION("""COMPUTED_VALUE"""),2.0)</f>
        <v>2</v>
      </c>
      <c r="AD3676" s="183">
        <f>IFERROR(__xludf.DUMMYFUNCTION("""COMPUTED_VALUE"""),2.0)</f>
        <v>2</v>
      </c>
      <c r="AE3676" s="183">
        <f>IFERROR(__xludf.DUMMYFUNCTION("""COMPUTED_VALUE"""),21.0)</f>
        <v>21</v>
      </c>
      <c r="AF3676" s="184"/>
      <c r="AG3676" s="180" t="str">
        <f>IFERROR(__xludf.DUMMYFUNCTION("""COMPUTED_VALUE"""),"Very Good Service Center due to awesome loaner cars!")</f>
        <v>Very Good Service Center due to awesome loaner cars!</v>
      </c>
      <c r="AH3676" s="185">
        <f>IFERROR(__xludf.DUMMYFUNCTION("""COMPUTED_VALUE"""),43333.820633310184)</f>
        <v>43333.82063</v>
      </c>
      <c r="AI3676" s="182"/>
      <c r="AJ3676" s="182"/>
      <c r="AK3676" s="182"/>
      <c r="AL3676" s="182"/>
    </row>
    <row r="3677" ht="20.25" customHeight="1">
      <c r="A3677" s="169" t="str">
        <f>IFERROR(__xludf.DUMMYFUNCTION("""COMPUTED_VALUE"""),"travel4b")</f>
        <v>travel4b</v>
      </c>
      <c r="B3677" s="170" t="str">
        <f>IFERROR(__xludf.DUMMYFUNCTION("""COMPUTED_VALUE"""),"Norfolk")</f>
        <v>Norfolk</v>
      </c>
      <c r="C3677" s="170" t="str">
        <f>IFERROR(__xludf.DUMMYFUNCTION("""COMPUTED_VALUE"""),"VA")</f>
        <v>VA</v>
      </c>
      <c r="D3677" s="170" t="str">
        <f>IFERROR(__xludf.DUMMYFUNCTION("""COMPUTED_VALUE"""),"USA")</f>
        <v>USA</v>
      </c>
      <c r="E3677" s="171">
        <f>IFERROR(__xludf.DUMMYFUNCTION("""COMPUTED_VALUE"""),43167.0)</f>
        <v>43167</v>
      </c>
      <c r="F3677" s="172">
        <f>IFERROR(__xludf.DUMMYFUNCTION("""COMPUTED_VALUE"""),43171.0)</f>
        <v>43171</v>
      </c>
      <c r="G3677" s="173"/>
      <c r="H3677" s="174">
        <f>IFERROR(__xludf.DUMMYFUNCTION("""COMPUTED_VALUE"""),9635.0)</f>
        <v>9635</v>
      </c>
      <c r="I3677" s="175"/>
      <c r="J3677" s="172">
        <f>IFERROR(__xludf.DUMMYFUNCTION("""COMPUTED_VALUE"""),43197.0)</f>
        <v>43197</v>
      </c>
      <c r="K3677" s="176">
        <f>IFERROR(__xludf.DUMMYFUNCTION("""COMPUTED_VALUE"""),4.0)</f>
        <v>4</v>
      </c>
      <c r="L3677" s="176">
        <f>IFERROR(__xludf.DUMMYFUNCTION("""COMPUTED_VALUE"""),26.0)</f>
        <v>26</v>
      </c>
      <c r="M3677" s="176">
        <f>IFERROR(__xludf.DUMMYFUNCTION("""COMPUTED_VALUE"""),30.0)</f>
        <v>30</v>
      </c>
      <c r="N3677" s="177" t="str">
        <f>IFERROR(__xludf.DUMMYFUNCTION("""COMPUTED_VALUE"""),"Model 3 LR")</f>
        <v>Model 3 LR</v>
      </c>
      <c r="O3677" s="177" t="str">
        <f>IFERROR(__xludf.DUMMYFUNCTION("""COMPUTED_VALUE"""),"Silver Metallic")</f>
        <v>Silver Metallic</v>
      </c>
      <c r="P3677" s="178" t="str">
        <f>IFERROR(__xludf.DUMMYFUNCTION("""COMPUTED_VALUE"""),"19 inch Sport")</f>
        <v>19 inch Sport</v>
      </c>
      <c r="Q3677" s="177" t="str">
        <f>IFERROR(__xludf.DUMMYFUNCTION("""COMPUTED_VALUE"""),"Black seats")</f>
        <v>Black seats</v>
      </c>
      <c r="R3677" s="170" t="str">
        <f>IFERROR(__xludf.DUMMYFUNCTION("""COMPUTED_VALUE"""),"None")</f>
        <v>None</v>
      </c>
      <c r="S3677" s="170"/>
      <c r="T3677" s="179"/>
      <c r="U3677" s="179"/>
      <c r="V3677" s="179"/>
      <c r="W3677" s="180"/>
      <c r="X3677" s="181" t="str">
        <f>IFERROR(__xludf.DUMMYFUNCTION("""COMPUTED_VALUE"""),"Excellent")</f>
        <v>Excellent</v>
      </c>
      <c r="Y3677" s="182" t="str">
        <f>IFERROR(__xludf.DUMMYFUNCTION("""COMPUTED_VALUE"""),"Excellent")</f>
        <v>Excellent</v>
      </c>
      <c r="Z3677" s="182" t="str">
        <f>IFERROR(__xludf.DUMMYFUNCTION("""COMPUTED_VALUE"""),"Good")</f>
        <v>Good</v>
      </c>
      <c r="AA3677" s="182"/>
      <c r="AB3677" s="182" t="str">
        <f>IFERROR(__xludf.DUMMYFUNCTION("""COMPUTED_VALUE"""),"Good")</f>
        <v>Good</v>
      </c>
      <c r="AC3677" s="183"/>
      <c r="AD3677" s="183"/>
      <c r="AE3677" s="183"/>
      <c r="AF3677" s="184"/>
      <c r="AG3677" s="180" t="str">
        <f>IFERROR(__xludf.DUMMYFUNCTION("""COMPUTED_VALUE"""),"bumper scratch; required repainting")</f>
        <v>bumper scratch; required repainting</v>
      </c>
      <c r="AH3677" s="185">
        <f>IFERROR(__xludf.DUMMYFUNCTION("""COMPUTED_VALUE"""),43273.47272288195)</f>
        <v>43273.47272</v>
      </c>
      <c r="AI3677" s="182"/>
      <c r="AJ3677" s="182"/>
      <c r="AK3677" s="182"/>
      <c r="AL3677" s="182"/>
    </row>
    <row r="3678" ht="20.25" customHeight="1">
      <c r="A3678" s="169" t="str">
        <f>IFERROR(__xludf.DUMMYFUNCTION("""COMPUTED_VALUE"""),"slippy47")</f>
        <v>slippy47</v>
      </c>
      <c r="B3678" s="170" t="str">
        <f>IFERROR(__xludf.DUMMYFUNCTION("""COMPUTED_VALUE"""),"Orlando")</f>
        <v>Orlando</v>
      </c>
      <c r="C3678" s="170" t="str">
        <f>IFERROR(__xludf.DUMMYFUNCTION("""COMPUTED_VALUE"""),"FL")</f>
        <v>FL</v>
      </c>
      <c r="D3678" s="170" t="str">
        <f>IFERROR(__xludf.DUMMYFUNCTION("""COMPUTED_VALUE"""),"USA")</f>
        <v>USA</v>
      </c>
      <c r="E3678" s="171">
        <f>IFERROR(__xludf.DUMMYFUNCTION("""COMPUTED_VALUE"""),43162.0)</f>
        <v>43162</v>
      </c>
      <c r="F3678" s="172">
        <f>IFERROR(__xludf.DUMMYFUNCTION("""COMPUTED_VALUE"""),43201.0)</f>
        <v>43201</v>
      </c>
      <c r="G3678" s="173"/>
      <c r="H3678" s="174">
        <f>IFERROR(__xludf.DUMMYFUNCTION("""COMPUTED_VALUE"""),14085.0)</f>
        <v>14085</v>
      </c>
      <c r="I3678" s="175"/>
      <c r="J3678" s="172">
        <f>IFERROR(__xludf.DUMMYFUNCTION("""COMPUTED_VALUE"""),43225.0)</f>
        <v>43225</v>
      </c>
      <c r="K3678" s="176">
        <f>IFERROR(__xludf.DUMMYFUNCTION("""COMPUTED_VALUE"""),39.0)</f>
        <v>39</v>
      </c>
      <c r="L3678" s="176">
        <f>IFERROR(__xludf.DUMMYFUNCTION("""COMPUTED_VALUE"""),24.0)</f>
        <v>24</v>
      </c>
      <c r="M3678" s="176">
        <f>IFERROR(__xludf.DUMMYFUNCTION("""COMPUTED_VALUE"""),63.0)</f>
        <v>63</v>
      </c>
      <c r="N3678" s="177" t="str">
        <f>IFERROR(__xludf.DUMMYFUNCTION("""COMPUTED_VALUE"""),"Model 3 LR")</f>
        <v>Model 3 LR</v>
      </c>
      <c r="O3678" s="177" t="str">
        <f>IFERROR(__xludf.DUMMYFUNCTION("""COMPUTED_VALUE"""),"Midnight Silver Metallic")</f>
        <v>Midnight Silver Metallic</v>
      </c>
      <c r="P3678" s="178" t="str">
        <f>IFERROR(__xludf.DUMMYFUNCTION("""COMPUTED_VALUE"""),"18 inch Aero")</f>
        <v>18 inch Aero</v>
      </c>
      <c r="Q3678" s="177" t="str">
        <f>IFERROR(__xludf.DUMMYFUNCTION("""COMPUTED_VALUE"""),"Black seats")</f>
        <v>Black seats</v>
      </c>
      <c r="R3678" s="170" t="str">
        <f>IFERROR(__xludf.DUMMYFUNCTION("""COMPUTED_VALUE"""),"None")</f>
        <v>None</v>
      </c>
      <c r="S3678" s="170"/>
      <c r="T3678" s="179"/>
      <c r="U3678" s="179"/>
      <c r="V3678" s="179"/>
      <c r="W3678" s="180"/>
      <c r="X3678" s="181" t="str">
        <f>IFERROR(__xludf.DUMMYFUNCTION("""COMPUTED_VALUE"""),"Excellent")</f>
        <v>Excellent</v>
      </c>
      <c r="Y3678" s="182" t="str">
        <f>IFERROR(__xludf.DUMMYFUNCTION("""COMPUTED_VALUE"""),"Very Good")</f>
        <v>Very Good</v>
      </c>
      <c r="Z3678" s="182" t="str">
        <f>IFERROR(__xludf.DUMMYFUNCTION("""COMPUTED_VALUE"""),"Excellent")</f>
        <v>Excellent</v>
      </c>
      <c r="AA3678" s="182"/>
      <c r="AB3678" s="182" t="str">
        <f>IFERROR(__xludf.DUMMYFUNCTION("""COMPUTED_VALUE"""),"Very Good")</f>
        <v>Very Good</v>
      </c>
      <c r="AC3678" s="183"/>
      <c r="AD3678" s="183"/>
      <c r="AE3678" s="183"/>
      <c r="AF3678" s="184"/>
      <c r="AG3678" s="180"/>
      <c r="AH3678" s="185">
        <f>IFERROR(__xludf.DUMMYFUNCTION("""COMPUTED_VALUE"""),43229.892188958336)</f>
        <v>43229.89219</v>
      </c>
      <c r="AI3678" s="182"/>
      <c r="AJ3678" s="182"/>
      <c r="AK3678" s="182"/>
      <c r="AL3678" s="182"/>
    </row>
    <row r="3679" ht="20.25" customHeight="1">
      <c r="A3679" s="169" t="str">
        <f>IFERROR(__xludf.DUMMYFUNCTION("""COMPUTED_VALUE"""),"kapplebaum")</f>
        <v>kapplebaum</v>
      </c>
      <c r="B3679" s="170" t="str">
        <f>IFERROR(__xludf.DUMMYFUNCTION("""COMPUTED_VALUE"""),"Sacramento")</f>
        <v>Sacramento</v>
      </c>
      <c r="C3679" s="170" t="str">
        <f>IFERROR(__xludf.DUMMYFUNCTION("""COMPUTED_VALUE"""),"CA")</f>
        <v>CA</v>
      </c>
      <c r="D3679" s="170" t="str">
        <f>IFERROR(__xludf.DUMMYFUNCTION("""COMPUTED_VALUE"""),"USA")</f>
        <v>USA</v>
      </c>
      <c r="E3679" s="171">
        <f>IFERROR(__xludf.DUMMYFUNCTION("""COMPUTED_VALUE"""),43160.0)</f>
        <v>43160</v>
      </c>
      <c r="F3679" s="172">
        <f>IFERROR(__xludf.DUMMYFUNCTION("""COMPUTED_VALUE"""),43189.0)</f>
        <v>43189</v>
      </c>
      <c r="G3679" s="173"/>
      <c r="H3679" s="174">
        <f>IFERROR(__xludf.DUMMYFUNCTION("""COMPUTED_VALUE"""),9157.0)</f>
        <v>9157</v>
      </c>
      <c r="I3679" s="175"/>
      <c r="J3679" s="172">
        <f>IFERROR(__xludf.DUMMYFUNCTION("""COMPUTED_VALUE"""),43201.0)</f>
        <v>43201</v>
      </c>
      <c r="K3679" s="176">
        <f>IFERROR(__xludf.DUMMYFUNCTION("""COMPUTED_VALUE"""),29.0)</f>
        <v>29</v>
      </c>
      <c r="L3679" s="176">
        <f>IFERROR(__xludf.DUMMYFUNCTION("""COMPUTED_VALUE"""),12.0)</f>
        <v>12</v>
      </c>
      <c r="M3679" s="176">
        <f>IFERROR(__xludf.DUMMYFUNCTION("""COMPUTED_VALUE"""),41.0)</f>
        <v>41</v>
      </c>
      <c r="N3679" s="177" t="str">
        <f>IFERROR(__xludf.DUMMYFUNCTION("""COMPUTED_VALUE"""),"Model 3 LR")</f>
        <v>Model 3 LR</v>
      </c>
      <c r="O3679" s="177" t="str">
        <f>IFERROR(__xludf.DUMMYFUNCTION("""COMPUTED_VALUE"""),"Pearl White Multi-Coat")</f>
        <v>Pearl White Multi-Coat</v>
      </c>
      <c r="P3679" s="178" t="str">
        <f>IFERROR(__xludf.DUMMYFUNCTION("""COMPUTED_VALUE"""),"18 inch Aero")</f>
        <v>18 inch Aero</v>
      </c>
      <c r="Q3679" s="177" t="str">
        <f>IFERROR(__xludf.DUMMYFUNCTION("""COMPUTED_VALUE"""),"Black seats")</f>
        <v>Black seats</v>
      </c>
      <c r="R3679" s="170" t="str">
        <f>IFERROR(__xludf.DUMMYFUNCTION("""COMPUTED_VALUE"""),"Full Self-Driving")</f>
        <v>Full Self-Driving</v>
      </c>
      <c r="S3679" s="170"/>
      <c r="T3679" s="179"/>
      <c r="U3679" s="179"/>
      <c r="V3679" s="179"/>
      <c r="W3679" s="180"/>
      <c r="X3679" s="181" t="str">
        <f>IFERROR(__xludf.DUMMYFUNCTION("""COMPUTED_VALUE"""),"Fair")</f>
        <v>Fair</v>
      </c>
      <c r="Y3679" s="182" t="str">
        <f>IFERROR(__xludf.DUMMYFUNCTION("""COMPUTED_VALUE"""),"Excellent")</f>
        <v>Excellent</v>
      </c>
      <c r="Z3679" s="182" t="str">
        <f>IFERROR(__xludf.DUMMYFUNCTION("""COMPUTED_VALUE"""),"Excellent")</f>
        <v>Excellent</v>
      </c>
      <c r="AA3679" s="182" t="str">
        <f>IFERROR(__xludf.DUMMYFUNCTION("""COMPUTED_VALUE"""),"Good")</f>
        <v>Good</v>
      </c>
      <c r="AB3679" s="182" t="str">
        <f>IFERROR(__xludf.DUMMYFUNCTION("""COMPUTED_VALUE"""),"Excellent")</f>
        <v>Excellent</v>
      </c>
      <c r="AC3679" s="183">
        <f>IFERROR(__xludf.DUMMYFUNCTION("""COMPUTED_VALUE"""),3.0)</f>
        <v>3</v>
      </c>
      <c r="AD3679" s="183">
        <f>IFERROR(__xludf.DUMMYFUNCTION("""COMPUTED_VALUE"""),3.0)</f>
        <v>3</v>
      </c>
      <c r="AE3679" s="183">
        <f>IFERROR(__xludf.DUMMYFUNCTION("""COMPUTED_VALUE"""),1.0)</f>
        <v>1</v>
      </c>
      <c r="AF3679" s="184"/>
      <c r="AG3679" s="180"/>
      <c r="AH3679" s="185">
        <f>IFERROR(__xludf.DUMMYFUNCTION("""COMPUTED_VALUE"""),43322.70898675926)</f>
        <v>43322.70899</v>
      </c>
      <c r="AI3679" s="182"/>
      <c r="AJ3679" s="182"/>
      <c r="AK3679" s="182"/>
      <c r="AL3679" s="182"/>
    </row>
    <row r="3680" ht="20.25" customHeight="1">
      <c r="A3680" s="169" t="str">
        <f>IFERROR(__xludf.DUMMYFUNCTION("""COMPUTED_VALUE"""),"webfootguy")</f>
        <v>webfootguy</v>
      </c>
      <c r="B3680" s="170" t="str">
        <f>IFERROR(__xludf.DUMMYFUNCTION("""COMPUTED_VALUE"""),"Portland")</f>
        <v>Portland</v>
      </c>
      <c r="C3680" s="170" t="str">
        <f>IFERROR(__xludf.DUMMYFUNCTION("""COMPUTED_VALUE"""),"OR")</f>
        <v>OR</v>
      </c>
      <c r="D3680" s="170" t="str">
        <f>IFERROR(__xludf.DUMMYFUNCTION("""COMPUTED_VALUE"""),"USA")</f>
        <v>USA</v>
      </c>
      <c r="E3680" s="171">
        <f>IFERROR(__xludf.DUMMYFUNCTION("""COMPUTED_VALUE"""),43159.0)</f>
        <v>43159</v>
      </c>
      <c r="F3680" s="172">
        <f>IFERROR(__xludf.DUMMYFUNCTION("""COMPUTED_VALUE"""),43327.0)</f>
        <v>43327</v>
      </c>
      <c r="G3680" s="173"/>
      <c r="H3680" s="174">
        <f>IFERROR(__xludf.DUMMYFUNCTION("""COMPUTED_VALUE"""),56155.0)</f>
        <v>56155</v>
      </c>
      <c r="I3680" s="175" t="str">
        <f>IFERROR(__xludf.DUMMYFUNCTION("""COMPUTED_VALUE"""),"08/18")</f>
        <v>08/18</v>
      </c>
      <c r="J3680" s="172">
        <f>IFERROR(__xludf.DUMMYFUNCTION("""COMPUTED_VALUE"""),43334.0)</f>
        <v>43334</v>
      </c>
      <c r="K3680" s="176">
        <f>IFERROR(__xludf.DUMMYFUNCTION("""COMPUTED_VALUE"""),168.0)</f>
        <v>168</v>
      </c>
      <c r="L3680" s="176">
        <f>IFERROR(__xludf.DUMMYFUNCTION("""COMPUTED_VALUE"""),7.0)</f>
        <v>7</v>
      </c>
      <c r="M3680" s="176">
        <f>IFERROR(__xludf.DUMMYFUNCTION("""COMPUTED_VALUE"""),175.0)</f>
        <v>175</v>
      </c>
      <c r="N3680" s="177" t="str">
        <f>IFERROR(__xludf.DUMMYFUNCTION("""COMPUTED_VALUE"""),"Model 3 Performance")</f>
        <v>Model 3 Performance</v>
      </c>
      <c r="O3680" s="177" t="str">
        <f>IFERROR(__xludf.DUMMYFUNCTION("""COMPUTED_VALUE"""),"Red Multi-Coat")</f>
        <v>Red Multi-Coat</v>
      </c>
      <c r="P3680" s="178" t="str">
        <f>IFERROR(__xludf.DUMMYFUNCTION("""COMPUTED_VALUE"""),"18 inch Aero")</f>
        <v>18 inch Aero</v>
      </c>
      <c r="Q3680" s="177" t="str">
        <f>IFERROR(__xludf.DUMMYFUNCTION("""COMPUTED_VALUE"""),"White seats")</f>
        <v>White seats</v>
      </c>
      <c r="R3680" s="170" t="str">
        <f>IFERROR(__xludf.DUMMYFUNCTION("""COMPUTED_VALUE"""),"Full Self-Driving")</f>
        <v>Full Self-Driving</v>
      </c>
      <c r="S3680" s="170"/>
      <c r="T3680" s="179"/>
      <c r="U3680" s="179"/>
      <c r="V3680" s="179"/>
      <c r="W3680" s="180"/>
      <c r="X3680" s="181" t="str">
        <f>IFERROR(__xludf.DUMMYFUNCTION("""COMPUTED_VALUE"""),"Excellent")</f>
        <v>Excellent</v>
      </c>
      <c r="Y3680" s="182" t="str">
        <f>IFERROR(__xludf.DUMMYFUNCTION("""COMPUTED_VALUE"""),"Excellent")</f>
        <v>Excellent</v>
      </c>
      <c r="Z3680" s="182" t="str">
        <f>IFERROR(__xludf.DUMMYFUNCTION("""COMPUTED_VALUE"""),"Excellent")</f>
        <v>Excellent</v>
      </c>
      <c r="AA3680" s="182" t="str">
        <f>IFERROR(__xludf.DUMMYFUNCTION("""COMPUTED_VALUE"""),"Excellent")</f>
        <v>Excellent</v>
      </c>
      <c r="AB3680" s="182" t="str">
        <f>IFERROR(__xludf.DUMMYFUNCTION("""COMPUTED_VALUE"""),"Excellent")</f>
        <v>Excellent</v>
      </c>
      <c r="AC3680" s="183"/>
      <c r="AD3680" s="183"/>
      <c r="AE3680" s="183"/>
      <c r="AF3680" s="184"/>
      <c r="AG3680" s="180"/>
      <c r="AH3680" s="185">
        <f>IFERROR(__xludf.DUMMYFUNCTION("""COMPUTED_VALUE"""),43347.72253126158)</f>
        <v>43347.72253</v>
      </c>
      <c r="AI3680" s="182"/>
      <c r="AJ3680" s="182"/>
      <c r="AK3680" s="182"/>
      <c r="AL3680" s="182"/>
    </row>
    <row r="3681" ht="20.25" customHeight="1">
      <c r="A3681" s="169" t="str">
        <f>IFERROR(__xludf.DUMMYFUNCTION("""COMPUTED_VALUE"""),"42156999")</f>
        <v>42156999</v>
      </c>
      <c r="B3681" s="170" t="str">
        <f>IFERROR(__xludf.DUMMYFUNCTION("""COMPUTED_VALUE"""),"Los Angeles")</f>
        <v>Los Angeles</v>
      </c>
      <c r="C3681" s="170" t="str">
        <f>IFERROR(__xludf.DUMMYFUNCTION("""COMPUTED_VALUE"""),"CA")</f>
        <v>CA</v>
      </c>
      <c r="D3681" s="170" t="str">
        <f>IFERROR(__xludf.DUMMYFUNCTION("""COMPUTED_VALUE"""),"USA")</f>
        <v>USA</v>
      </c>
      <c r="E3681" s="171">
        <f>IFERROR(__xludf.DUMMYFUNCTION("""COMPUTED_VALUE"""),43153.0)</f>
        <v>43153</v>
      </c>
      <c r="F3681" s="172"/>
      <c r="G3681" s="173"/>
      <c r="H3681" s="174">
        <f>IFERROR(__xludf.DUMMYFUNCTION("""COMPUTED_VALUE"""),19555.0)</f>
        <v>19555</v>
      </c>
      <c r="I3681" s="175" t="str">
        <f>IFERROR(__xludf.DUMMYFUNCTION("""COMPUTED_VALUE"""),"05/18")</f>
        <v>05/18</v>
      </c>
      <c r="J3681" s="172">
        <f>IFERROR(__xludf.DUMMYFUNCTION("""COMPUTED_VALUE"""),43232.0)</f>
        <v>43232</v>
      </c>
      <c r="K3681" s="176"/>
      <c r="L3681" s="176"/>
      <c r="M3681" s="176">
        <f>IFERROR(__xludf.DUMMYFUNCTION("""COMPUTED_VALUE"""),79.0)</f>
        <v>79</v>
      </c>
      <c r="N3681" s="177" t="str">
        <f>IFERROR(__xludf.DUMMYFUNCTION("""COMPUTED_VALUE"""),"Model 3 LR")</f>
        <v>Model 3 LR</v>
      </c>
      <c r="O3681" s="177" t="str">
        <f>IFERROR(__xludf.DUMMYFUNCTION("""COMPUTED_VALUE"""),"Pearl White Multi-Coat")</f>
        <v>Pearl White Multi-Coat</v>
      </c>
      <c r="P3681" s="178" t="str">
        <f>IFERROR(__xludf.DUMMYFUNCTION("""COMPUTED_VALUE"""),"18 inch Aero")</f>
        <v>18 inch Aero</v>
      </c>
      <c r="Q3681" s="177" t="str">
        <f>IFERROR(__xludf.DUMMYFUNCTION("""COMPUTED_VALUE"""),"Black seats")</f>
        <v>Black seats</v>
      </c>
      <c r="R3681" s="170" t="str">
        <f>IFERROR(__xludf.DUMMYFUNCTION("""COMPUTED_VALUE"""),"Enhanced Autopilot")</f>
        <v>Enhanced Autopilot</v>
      </c>
      <c r="S3681" s="170"/>
      <c r="T3681" s="179"/>
      <c r="U3681" s="179"/>
      <c r="V3681" s="179"/>
      <c r="W3681" s="180"/>
      <c r="X3681" s="181" t="str">
        <f>IFERROR(__xludf.DUMMYFUNCTION("""COMPUTED_VALUE"""),"Fair")</f>
        <v>Fair</v>
      </c>
      <c r="Y3681" s="182" t="str">
        <f>IFERROR(__xludf.DUMMYFUNCTION("""COMPUTED_VALUE"""),"Fair")</f>
        <v>Fair</v>
      </c>
      <c r="Z3681" s="182" t="str">
        <f>IFERROR(__xludf.DUMMYFUNCTION("""COMPUTED_VALUE"""),"Good")</f>
        <v>Good</v>
      </c>
      <c r="AA3681" s="182" t="str">
        <f>IFERROR(__xludf.DUMMYFUNCTION("""COMPUTED_VALUE"""),"Very Good")</f>
        <v>Very Good</v>
      </c>
      <c r="AB3681" s="182" t="str">
        <f>IFERROR(__xludf.DUMMYFUNCTION("""COMPUTED_VALUE"""),"Very Good")</f>
        <v>Very Good</v>
      </c>
      <c r="AC3681" s="183"/>
      <c r="AD3681" s="183"/>
      <c r="AE3681" s="183"/>
      <c r="AF3681" s="184"/>
      <c r="AG3681" s="180"/>
      <c r="AH3681" s="185">
        <f>IFERROR(__xludf.DUMMYFUNCTION("""COMPUTED_VALUE"""),43262.67355829861)</f>
        <v>43262.67356</v>
      </c>
      <c r="AI3681" s="182"/>
      <c r="AJ3681" s="182"/>
      <c r="AK3681" s="182"/>
      <c r="AL3681" s="182"/>
    </row>
    <row r="3682" ht="20.25" customHeight="1">
      <c r="A3682" s="169" t="str">
        <f>IFERROR(__xludf.DUMMYFUNCTION("""COMPUTED_VALUE"""),"Dhrivnak ")</f>
        <v>Dhrivnak </v>
      </c>
      <c r="B3682" s="170"/>
      <c r="C3682" s="170" t="str">
        <f>IFERROR(__xludf.DUMMYFUNCTION("""COMPUTED_VALUE"""),"TN")</f>
        <v>TN</v>
      </c>
      <c r="D3682" s="170" t="str">
        <f>IFERROR(__xludf.DUMMYFUNCTION("""COMPUTED_VALUE"""),"USA")</f>
        <v>USA</v>
      </c>
      <c r="E3682" s="171">
        <f>IFERROR(__xludf.DUMMYFUNCTION("""COMPUTED_VALUE"""),43153.0)</f>
        <v>43153</v>
      </c>
      <c r="F3682" s="172"/>
      <c r="G3682" s="173"/>
      <c r="H3682" s="174">
        <f>IFERROR(__xludf.DUMMYFUNCTION("""COMPUTED_VALUE"""),7241.0)</f>
        <v>7241</v>
      </c>
      <c r="I3682" s="175"/>
      <c r="J3682" s="172">
        <f>IFERROR(__xludf.DUMMYFUNCTION("""COMPUTED_VALUE"""),43187.0)</f>
        <v>43187</v>
      </c>
      <c r="K3682" s="176"/>
      <c r="L3682" s="176"/>
      <c r="M3682" s="176">
        <f>IFERROR(__xludf.DUMMYFUNCTION("""COMPUTED_VALUE"""),34.0)</f>
        <v>34</v>
      </c>
      <c r="N3682" s="177" t="str">
        <f>IFERROR(__xludf.DUMMYFUNCTION("""COMPUTED_VALUE"""),"Model 3 LR")</f>
        <v>Model 3 LR</v>
      </c>
      <c r="O3682" s="177" t="str">
        <f>IFERROR(__xludf.DUMMYFUNCTION("""COMPUTED_VALUE"""),"Deep Blue Metallic")</f>
        <v>Deep Blue Metallic</v>
      </c>
      <c r="P3682" s="178" t="str">
        <f>IFERROR(__xludf.DUMMYFUNCTION("""COMPUTED_VALUE"""),"18 inch Aero")</f>
        <v>18 inch Aero</v>
      </c>
      <c r="Q3682" s="177" t="str">
        <f>IFERROR(__xludf.DUMMYFUNCTION("""COMPUTED_VALUE"""),"Black seats")</f>
        <v>Black seats</v>
      </c>
      <c r="R3682" s="170" t="str">
        <f>IFERROR(__xludf.DUMMYFUNCTION("""COMPUTED_VALUE"""),"None")</f>
        <v>None</v>
      </c>
      <c r="S3682" s="170"/>
      <c r="T3682" s="179"/>
      <c r="U3682" s="179"/>
      <c r="V3682" s="179"/>
      <c r="W3682" s="180"/>
      <c r="X3682" s="181" t="str">
        <f>IFERROR(__xludf.DUMMYFUNCTION("""COMPUTED_VALUE"""),"Very Good")</f>
        <v>Very Good</v>
      </c>
      <c r="Y3682" s="182" t="str">
        <f>IFERROR(__xludf.DUMMYFUNCTION("""COMPUTED_VALUE"""),"Very Good")</f>
        <v>Very Good</v>
      </c>
      <c r="Z3682" s="182" t="str">
        <f>IFERROR(__xludf.DUMMYFUNCTION("""COMPUTED_VALUE"""),"Excellent")</f>
        <v>Excellent</v>
      </c>
      <c r="AA3682" s="182"/>
      <c r="AB3682" s="182" t="str">
        <f>IFERROR(__xludf.DUMMYFUNCTION("""COMPUTED_VALUE"""),"Good")</f>
        <v>Good</v>
      </c>
      <c r="AC3682" s="183"/>
      <c r="AD3682" s="183"/>
      <c r="AE3682" s="183"/>
      <c r="AF3682" s="184"/>
      <c r="AG3682" s="180"/>
      <c r="AH3682" s="185">
        <f>IFERROR(__xludf.DUMMYFUNCTION("""COMPUTED_VALUE"""),43239.17106908565)</f>
        <v>43239.17107</v>
      </c>
      <c r="AI3682" s="182"/>
      <c r="AJ3682" s="182"/>
      <c r="AK3682" s="182"/>
      <c r="AL3682" s="182"/>
    </row>
    <row r="3683" ht="20.25" customHeight="1">
      <c r="A3683" s="169" t="str">
        <f>IFERROR(__xludf.DUMMYFUNCTION("""COMPUTED_VALUE"""),"dimsum")</f>
        <v>dimsum</v>
      </c>
      <c r="B3683" s="170" t="str">
        <f>IFERROR(__xludf.DUMMYFUNCTION("""COMPUTED_VALUE"""),"San Diego")</f>
        <v>San Diego</v>
      </c>
      <c r="C3683" s="170" t="str">
        <f>IFERROR(__xludf.DUMMYFUNCTION("""COMPUTED_VALUE"""),"CA")</f>
        <v>CA</v>
      </c>
      <c r="D3683" s="170" t="str">
        <f>IFERROR(__xludf.DUMMYFUNCTION("""COMPUTED_VALUE"""),"USA")</f>
        <v>USA</v>
      </c>
      <c r="E3683" s="171">
        <f>IFERROR(__xludf.DUMMYFUNCTION("""COMPUTED_VALUE"""),43153.0)</f>
        <v>43153</v>
      </c>
      <c r="F3683" s="172">
        <f>IFERROR(__xludf.DUMMYFUNCTION("""COMPUTED_VALUE"""),43175.0)</f>
        <v>43175</v>
      </c>
      <c r="G3683" s="173"/>
      <c r="H3683" s="174">
        <f>IFERROR(__xludf.DUMMYFUNCTION("""COMPUTED_VALUE"""),9055.0)</f>
        <v>9055</v>
      </c>
      <c r="I3683" s="175"/>
      <c r="J3683" s="172">
        <f>IFERROR(__xludf.DUMMYFUNCTION("""COMPUTED_VALUE"""),43186.0)</f>
        <v>43186</v>
      </c>
      <c r="K3683" s="176">
        <f>IFERROR(__xludf.DUMMYFUNCTION("""COMPUTED_VALUE"""),22.0)</f>
        <v>22</v>
      </c>
      <c r="L3683" s="176">
        <f>IFERROR(__xludf.DUMMYFUNCTION("""COMPUTED_VALUE"""),11.0)</f>
        <v>11</v>
      </c>
      <c r="M3683" s="176">
        <f>IFERROR(__xludf.DUMMYFUNCTION("""COMPUTED_VALUE"""),33.0)</f>
        <v>33</v>
      </c>
      <c r="N3683" s="177" t="str">
        <f>IFERROR(__xludf.DUMMYFUNCTION("""COMPUTED_VALUE"""),"Model 3 LR")</f>
        <v>Model 3 LR</v>
      </c>
      <c r="O3683" s="177" t="str">
        <f>IFERROR(__xludf.DUMMYFUNCTION("""COMPUTED_VALUE"""),"Deep Blue Metallic")</f>
        <v>Deep Blue Metallic</v>
      </c>
      <c r="P3683" s="178" t="str">
        <f>IFERROR(__xludf.DUMMYFUNCTION("""COMPUTED_VALUE"""),"18 inch Aero")</f>
        <v>18 inch Aero</v>
      </c>
      <c r="Q3683" s="177" t="str">
        <f>IFERROR(__xludf.DUMMYFUNCTION("""COMPUTED_VALUE"""),"Black seats")</f>
        <v>Black seats</v>
      </c>
      <c r="R3683" s="170" t="str">
        <f>IFERROR(__xludf.DUMMYFUNCTION("""COMPUTED_VALUE"""),"Enhanced Autopilot")</f>
        <v>Enhanced Autopilot</v>
      </c>
      <c r="S3683" s="170"/>
      <c r="T3683" s="179"/>
      <c r="U3683" s="179"/>
      <c r="V3683" s="179"/>
      <c r="W3683" s="180"/>
      <c r="X3683" s="181" t="str">
        <f>IFERROR(__xludf.DUMMYFUNCTION("""COMPUTED_VALUE"""),"Good")</f>
        <v>Good</v>
      </c>
      <c r="Y3683" s="182" t="str">
        <f>IFERROR(__xludf.DUMMYFUNCTION("""COMPUTED_VALUE"""),"Good")</f>
        <v>Good</v>
      </c>
      <c r="Z3683" s="182" t="str">
        <f>IFERROR(__xludf.DUMMYFUNCTION("""COMPUTED_VALUE"""),"Very Good")</f>
        <v>Very Good</v>
      </c>
      <c r="AA3683" s="182"/>
      <c r="AB3683" s="182" t="str">
        <f>IFERROR(__xludf.DUMMYFUNCTION("""COMPUTED_VALUE"""),"Good")</f>
        <v>Good</v>
      </c>
      <c r="AC3683" s="183"/>
      <c r="AD3683" s="183"/>
      <c r="AE3683" s="183"/>
      <c r="AF3683" s="184"/>
      <c r="AG3683" s="180"/>
      <c r="AH3683" s="185">
        <f>IFERROR(__xludf.DUMMYFUNCTION("""COMPUTED_VALUE"""),43293.58851516204)</f>
        <v>43293.58852</v>
      </c>
      <c r="AI3683" s="182"/>
      <c r="AJ3683" s="182"/>
      <c r="AK3683" s="182"/>
      <c r="AL3683" s="182"/>
    </row>
    <row r="3684" ht="20.25" customHeight="1">
      <c r="A3684" s="169" t="str">
        <f>IFERROR(__xludf.DUMMYFUNCTION("""COMPUTED_VALUE"""),"everman")</f>
        <v>everman</v>
      </c>
      <c r="B3684" s="170" t="str">
        <f>IFERROR(__xludf.DUMMYFUNCTION("""COMPUTED_VALUE"""),"Colorado Springs")</f>
        <v>Colorado Springs</v>
      </c>
      <c r="C3684" s="170" t="str">
        <f>IFERROR(__xludf.DUMMYFUNCTION("""COMPUTED_VALUE"""),"CO")</f>
        <v>CO</v>
      </c>
      <c r="D3684" s="170" t="str">
        <f>IFERROR(__xludf.DUMMYFUNCTION("""COMPUTED_VALUE"""),"USA")</f>
        <v>USA</v>
      </c>
      <c r="E3684" s="171">
        <f>IFERROR(__xludf.DUMMYFUNCTION("""COMPUTED_VALUE"""),43153.0)</f>
        <v>43153</v>
      </c>
      <c r="F3684" s="172">
        <f>IFERROR(__xludf.DUMMYFUNCTION("""COMPUTED_VALUE"""),43188.0)</f>
        <v>43188</v>
      </c>
      <c r="G3684" s="173"/>
      <c r="H3684" s="174">
        <f>IFERROR(__xludf.DUMMYFUNCTION("""COMPUTED_VALUE"""),8652.0)</f>
        <v>8652</v>
      </c>
      <c r="I3684" s="175" t="str">
        <f>IFERROR(__xludf.DUMMYFUNCTION("""COMPUTED_VALUE"""),"03/18")</f>
        <v>03/18</v>
      </c>
      <c r="J3684" s="172">
        <f>IFERROR(__xludf.DUMMYFUNCTION("""COMPUTED_VALUE"""),43196.0)</f>
        <v>43196</v>
      </c>
      <c r="K3684" s="176">
        <f>IFERROR(__xludf.DUMMYFUNCTION("""COMPUTED_VALUE"""),35.0)</f>
        <v>35</v>
      </c>
      <c r="L3684" s="176">
        <f>IFERROR(__xludf.DUMMYFUNCTION("""COMPUTED_VALUE"""),8.0)</f>
        <v>8</v>
      </c>
      <c r="M3684" s="176">
        <f>IFERROR(__xludf.DUMMYFUNCTION("""COMPUTED_VALUE"""),43.0)</f>
        <v>43</v>
      </c>
      <c r="N3684" s="177" t="str">
        <f>IFERROR(__xludf.DUMMYFUNCTION("""COMPUTED_VALUE"""),"Model 3 LR")</f>
        <v>Model 3 LR</v>
      </c>
      <c r="O3684" s="177" t="str">
        <f>IFERROR(__xludf.DUMMYFUNCTION("""COMPUTED_VALUE"""),"Midnight Silver Metallic")</f>
        <v>Midnight Silver Metallic</v>
      </c>
      <c r="P3684" s="178" t="str">
        <f>IFERROR(__xludf.DUMMYFUNCTION("""COMPUTED_VALUE"""),"18 inch Aero")</f>
        <v>18 inch Aero</v>
      </c>
      <c r="Q3684" s="177" t="str">
        <f>IFERROR(__xludf.DUMMYFUNCTION("""COMPUTED_VALUE"""),"Black seats")</f>
        <v>Black seats</v>
      </c>
      <c r="R3684" s="170" t="str">
        <f>IFERROR(__xludf.DUMMYFUNCTION("""COMPUTED_VALUE"""),"Full Self-Driving")</f>
        <v>Full Self-Driving</v>
      </c>
      <c r="S3684" s="170"/>
      <c r="T3684" s="179"/>
      <c r="U3684" s="179"/>
      <c r="V3684" s="179"/>
      <c r="W3684" s="180"/>
      <c r="X3684" s="181" t="str">
        <f>IFERROR(__xludf.DUMMYFUNCTION("""COMPUTED_VALUE"""),"Very Good")</f>
        <v>Very Good</v>
      </c>
      <c r="Y3684" s="182" t="str">
        <f>IFERROR(__xludf.DUMMYFUNCTION("""COMPUTED_VALUE"""),"Very Good")</f>
        <v>Very Good</v>
      </c>
      <c r="Z3684" s="182" t="str">
        <f>IFERROR(__xludf.DUMMYFUNCTION("""COMPUTED_VALUE"""),"Excellent")</f>
        <v>Excellent</v>
      </c>
      <c r="AA3684" s="182" t="str">
        <f>IFERROR(__xludf.DUMMYFUNCTION("""COMPUTED_VALUE"""),"Excellent")</f>
        <v>Excellent</v>
      </c>
      <c r="AB3684" s="182" t="str">
        <f>IFERROR(__xludf.DUMMYFUNCTION("""COMPUTED_VALUE"""),"Very Good")</f>
        <v>Very Good</v>
      </c>
      <c r="AC3684" s="183">
        <f>IFERROR(__xludf.DUMMYFUNCTION("""COMPUTED_VALUE"""),2.0)</f>
        <v>2</v>
      </c>
      <c r="AD3684" s="183">
        <f>IFERROR(__xludf.DUMMYFUNCTION("""COMPUTED_VALUE"""),1.0)</f>
        <v>1</v>
      </c>
      <c r="AE3684" s="183">
        <f>IFERROR(__xludf.DUMMYFUNCTION("""COMPUTED_VALUE"""),0.0)</f>
        <v>0</v>
      </c>
      <c r="AF3684" s="184"/>
      <c r="AG3684" s="180"/>
      <c r="AH3684" s="185">
        <f>IFERROR(__xludf.DUMMYFUNCTION("""COMPUTED_VALUE"""),43307.0067834375)</f>
        <v>43307.00678</v>
      </c>
      <c r="AI3684" s="182"/>
      <c r="AJ3684" s="182"/>
      <c r="AK3684" s="182"/>
      <c r="AL3684" s="182"/>
    </row>
    <row r="3685" ht="20.25" customHeight="1">
      <c r="A3685" s="169" t="str">
        <f>IFERROR(__xludf.DUMMYFUNCTION("""COMPUTED_VALUE"""),"I_Has_A_Bucket")</f>
        <v>I_Has_A_Bucket</v>
      </c>
      <c r="B3685" s="170" t="str">
        <f>IFERROR(__xludf.DUMMYFUNCTION("""COMPUTED_VALUE"""),"San Jose")</f>
        <v>San Jose</v>
      </c>
      <c r="C3685" s="170" t="str">
        <f>IFERROR(__xludf.DUMMYFUNCTION("""COMPUTED_VALUE"""),"CA")</f>
        <v>CA</v>
      </c>
      <c r="D3685" s="170" t="str">
        <f>IFERROR(__xludf.DUMMYFUNCTION("""COMPUTED_VALUE"""),"USA")</f>
        <v>USA</v>
      </c>
      <c r="E3685" s="171">
        <f>IFERROR(__xludf.DUMMYFUNCTION("""COMPUTED_VALUE"""),43153.0)</f>
        <v>43153</v>
      </c>
      <c r="F3685" s="172">
        <f>IFERROR(__xludf.DUMMYFUNCTION("""COMPUTED_VALUE"""),43179.0)</f>
        <v>43179</v>
      </c>
      <c r="G3685" s="173"/>
      <c r="H3685" s="174">
        <f>IFERROR(__xludf.DUMMYFUNCTION("""COMPUTED_VALUE"""),9055.0)</f>
        <v>9055</v>
      </c>
      <c r="I3685" s="175"/>
      <c r="J3685" s="172">
        <f>IFERROR(__xludf.DUMMYFUNCTION("""COMPUTED_VALUE"""),43187.0)</f>
        <v>43187</v>
      </c>
      <c r="K3685" s="176">
        <f>IFERROR(__xludf.DUMMYFUNCTION("""COMPUTED_VALUE"""),26.0)</f>
        <v>26</v>
      </c>
      <c r="L3685" s="176">
        <f>IFERROR(__xludf.DUMMYFUNCTION("""COMPUTED_VALUE"""),8.0)</f>
        <v>8</v>
      </c>
      <c r="M3685" s="176">
        <f>IFERROR(__xludf.DUMMYFUNCTION("""COMPUTED_VALUE"""),34.0)</f>
        <v>34</v>
      </c>
      <c r="N3685" s="177" t="str">
        <f>IFERROR(__xludf.DUMMYFUNCTION("""COMPUTED_VALUE"""),"Model 3 LR")</f>
        <v>Model 3 LR</v>
      </c>
      <c r="O3685" s="177" t="str">
        <f>IFERROR(__xludf.DUMMYFUNCTION("""COMPUTED_VALUE"""),"Deep Blue Metallic")</f>
        <v>Deep Blue Metallic</v>
      </c>
      <c r="P3685" s="178" t="str">
        <f>IFERROR(__xludf.DUMMYFUNCTION("""COMPUTED_VALUE"""),"18 inch Aero")</f>
        <v>18 inch Aero</v>
      </c>
      <c r="Q3685" s="177" t="str">
        <f>IFERROR(__xludf.DUMMYFUNCTION("""COMPUTED_VALUE"""),"Black seats")</f>
        <v>Black seats</v>
      </c>
      <c r="R3685" s="170" t="str">
        <f>IFERROR(__xludf.DUMMYFUNCTION("""COMPUTED_VALUE"""),"Enhanced Autopilot")</f>
        <v>Enhanced Autopilot</v>
      </c>
      <c r="S3685" s="170"/>
      <c r="T3685" s="179"/>
      <c r="U3685" s="179"/>
      <c r="V3685" s="179"/>
      <c r="W3685" s="180"/>
      <c r="X3685" s="181" t="str">
        <f>IFERROR(__xludf.DUMMYFUNCTION("""COMPUTED_VALUE"""),"Good")</f>
        <v>Good</v>
      </c>
      <c r="Y3685" s="182" t="str">
        <f>IFERROR(__xludf.DUMMYFUNCTION("""COMPUTED_VALUE"""),"Very Good")</f>
        <v>Very Good</v>
      </c>
      <c r="Z3685" s="182" t="str">
        <f>IFERROR(__xludf.DUMMYFUNCTION("""COMPUTED_VALUE"""),"Very Good")</f>
        <v>Very Good</v>
      </c>
      <c r="AA3685" s="182"/>
      <c r="AB3685" s="182" t="str">
        <f>IFERROR(__xludf.DUMMYFUNCTION("""COMPUTED_VALUE"""),"Good")</f>
        <v>Good</v>
      </c>
      <c r="AC3685" s="183"/>
      <c r="AD3685" s="183"/>
      <c r="AE3685" s="183"/>
      <c r="AF3685" s="184"/>
      <c r="AG3685" s="180" t="str">
        <f>IFERROR(__xludf.DUMMYFUNCTION("""COMPUTED_VALUE"""),"Reservation made in-store in Maryland, moved to California")</f>
        <v>Reservation made in-store in Maryland, moved to California</v>
      </c>
      <c r="AH3685" s="185">
        <f>IFERROR(__xludf.DUMMYFUNCTION("""COMPUTED_VALUE"""),43223.37408432871)</f>
        <v>43223.37408</v>
      </c>
      <c r="AI3685" s="182"/>
      <c r="AJ3685" s="182"/>
      <c r="AK3685" s="182"/>
      <c r="AL3685" s="182"/>
    </row>
    <row r="3686" ht="20.25" customHeight="1">
      <c r="A3686" s="169" t="str">
        <f>IFERROR(__xludf.DUMMYFUNCTION("""COMPUTED_VALUE"""),"Jeff318")</f>
        <v>Jeff318</v>
      </c>
      <c r="B3686" s="170" t="str">
        <f>IFERROR(__xludf.DUMMYFUNCTION("""COMPUTED_VALUE"""),"Orlando")</f>
        <v>Orlando</v>
      </c>
      <c r="C3686" s="170" t="str">
        <f>IFERROR(__xludf.DUMMYFUNCTION("""COMPUTED_VALUE"""),"FL")</f>
        <v>FL</v>
      </c>
      <c r="D3686" s="170" t="str">
        <f>IFERROR(__xludf.DUMMYFUNCTION("""COMPUTED_VALUE"""),"USA")</f>
        <v>USA</v>
      </c>
      <c r="E3686" s="171">
        <f>IFERROR(__xludf.DUMMYFUNCTION("""COMPUTED_VALUE"""),43153.0)</f>
        <v>43153</v>
      </c>
      <c r="F3686" s="172">
        <f>IFERROR(__xludf.DUMMYFUNCTION("""COMPUTED_VALUE"""),43168.0)</f>
        <v>43168</v>
      </c>
      <c r="G3686" s="173"/>
      <c r="H3686" s="174">
        <f>IFERROR(__xludf.DUMMYFUNCTION("""COMPUTED_VALUE"""),7395.0)</f>
        <v>7395</v>
      </c>
      <c r="I3686" s="175"/>
      <c r="J3686" s="172">
        <f>IFERROR(__xludf.DUMMYFUNCTION("""COMPUTED_VALUE"""),43190.0)</f>
        <v>43190</v>
      </c>
      <c r="K3686" s="176">
        <f>IFERROR(__xludf.DUMMYFUNCTION("""COMPUTED_VALUE"""),15.0)</f>
        <v>15</v>
      </c>
      <c r="L3686" s="176">
        <f>IFERROR(__xludf.DUMMYFUNCTION("""COMPUTED_VALUE"""),22.0)</f>
        <v>22</v>
      </c>
      <c r="M3686" s="176">
        <f>IFERROR(__xludf.DUMMYFUNCTION("""COMPUTED_VALUE"""),37.0)</f>
        <v>37</v>
      </c>
      <c r="N3686" s="177" t="str">
        <f>IFERROR(__xludf.DUMMYFUNCTION("""COMPUTED_VALUE"""),"Model 3 LR")</f>
        <v>Model 3 LR</v>
      </c>
      <c r="O3686" s="177" t="str">
        <f>IFERROR(__xludf.DUMMYFUNCTION("""COMPUTED_VALUE"""),"Deep Blue Metallic")</f>
        <v>Deep Blue Metallic</v>
      </c>
      <c r="P3686" s="178" t="str">
        <f>IFERROR(__xludf.DUMMYFUNCTION("""COMPUTED_VALUE"""),"18 inch Aero")</f>
        <v>18 inch Aero</v>
      </c>
      <c r="Q3686" s="177" t="str">
        <f>IFERROR(__xludf.DUMMYFUNCTION("""COMPUTED_VALUE"""),"Black seats")</f>
        <v>Black seats</v>
      </c>
      <c r="R3686" s="170" t="str">
        <f>IFERROR(__xludf.DUMMYFUNCTION("""COMPUTED_VALUE"""),"Enhanced Autopilot")</f>
        <v>Enhanced Autopilot</v>
      </c>
      <c r="S3686" s="170"/>
      <c r="T3686" s="179"/>
      <c r="U3686" s="179"/>
      <c r="V3686" s="179"/>
      <c r="W3686" s="180"/>
      <c r="X3686" s="181" t="str">
        <f>IFERROR(__xludf.DUMMYFUNCTION("""COMPUTED_VALUE"""),"Very Good")</f>
        <v>Very Good</v>
      </c>
      <c r="Y3686" s="182" t="str">
        <f>IFERROR(__xludf.DUMMYFUNCTION("""COMPUTED_VALUE"""),"Excellent")</f>
        <v>Excellent</v>
      </c>
      <c r="Z3686" s="182" t="str">
        <f>IFERROR(__xludf.DUMMYFUNCTION("""COMPUTED_VALUE"""),"Very Good")</f>
        <v>Very Good</v>
      </c>
      <c r="AA3686" s="182"/>
      <c r="AB3686" s="182" t="str">
        <f>IFERROR(__xludf.DUMMYFUNCTION("""COMPUTED_VALUE"""),"Excellent")</f>
        <v>Excellent</v>
      </c>
      <c r="AC3686" s="183"/>
      <c r="AD3686" s="183"/>
      <c r="AE3686" s="183"/>
      <c r="AF3686" s="184"/>
      <c r="AG3686" s="180"/>
      <c r="AH3686" s="185">
        <f>IFERROR(__xludf.DUMMYFUNCTION("""COMPUTED_VALUE"""),43227.30399440972)</f>
        <v>43227.30399</v>
      </c>
      <c r="AI3686" s="182"/>
      <c r="AJ3686" s="182"/>
      <c r="AK3686" s="182"/>
      <c r="AL3686" s="182"/>
    </row>
    <row r="3687" ht="20.25" customHeight="1">
      <c r="A3687" s="169" t="str">
        <f>IFERROR(__xludf.DUMMYFUNCTION("""COMPUTED_VALUE"""),"PoitNarf")</f>
        <v>PoitNarf</v>
      </c>
      <c r="B3687" s="170"/>
      <c r="C3687" s="170" t="str">
        <f>IFERROR(__xludf.DUMMYFUNCTION("""COMPUTED_VALUE"""),"NJ")</f>
        <v>NJ</v>
      </c>
      <c r="D3687" s="170" t="str">
        <f>IFERROR(__xludf.DUMMYFUNCTION("""COMPUTED_VALUE"""),"USA")</f>
        <v>USA</v>
      </c>
      <c r="E3687" s="171">
        <f>IFERROR(__xludf.DUMMYFUNCTION("""COMPUTED_VALUE"""),43153.0)</f>
        <v>43153</v>
      </c>
      <c r="F3687" s="172">
        <f>IFERROR(__xludf.DUMMYFUNCTION("""COMPUTED_VALUE"""),43166.0)</f>
        <v>43166</v>
      </c>
      <c r="G3687" s="173"/>
      <c r="H3687" s="174">
        <f>IFERROR(__xludf.DUMMYFUNCTION("""COMPUTED_VALUE"""),7255.0)</f>
        <v>7255</v>
      </c>
      <c r="I3687" s="175"/>
      <c r="J3687" s="172">
        <f>IFERROR(__xludf.DUMMYFUNCTION("""COMPUTED_VALUE"""),43188.0)</f>
        <v>43188</v>
      </c>
      <c r="K3687" s="176">
        <f>IFERROR(__xludf.DUMMYFUNCTION("""COMPUTED_VALUE"""),13.0)</f>
        <v>13</v>
      </c>
      <c r="L3687" s="176">
        <f>IFERROR(__xludf.DUMMYFUNCTION("""COMPUTED_VALUE"""),22.0)</f>
        <v>22</v>
      </c>
      <c r="M3687" s="176">
        <f>IFERROR(__xludf.DUMMYFUNCTION("""COMPUTED_VALUE"""),35.0)</f>
        <v>35</v>
      </c>
      <c r="N3687" s="177" t="str">
        <f>IFERROR(__xludf.DUMMYFUNCTION("""COMPUTED_VALUE"""),"Model 3 LR")</f>
        <v>Model 3 LR</v>
      </c>
      <c r="O3687" s="177" t="str">
        <f>IFERROR(__xludf.DUMMYFUNCTION("""COMPUTED_VALUE"""),"Deep Blue Metallic")</f>
        <v>Deep Blue Metallic</v>
      </c>
      <c r="P3687" s="178" t="str">
        <f>IFERROR(__xludf.DUMMYFUNCTION("""COMPUTED_VALUE"""),"18 inch Aero")</f>
        <v>18 inch Aero</v>
      </c>
      <c r="Q3687" s="177" t="str">
        <f>IFERROR(__xludf.DUMMYFUNCTION("""COMPUTED_VALUE"""),"Black seats")</f>
        <v>Black seats</v>
      </c>
      <c r="R3687" s="170" t="str">
        <f>IFERROR(__xludf.DUMMYFUNCTION("""COMPUTED_VALUE"""),"Full Self-Driving")</f>
        <v>Full Self-Driving</v>
      </c>
      <c r="S3687" s="170"/>
      <c r="T3687" s="179"/>
      <c r="U3687" s="179"/>
      <c r="V3687" s="179"/>
      <c r="W3687" s="180"/>
      <c r="X3687" s="181" t="str">
        <f>IFERROR(__xludf.DUMMYFUNCTION("""COMPUTED_VALUE"""),"Very Good")</f>
        <v>Very Good</v>
      </c>
      <c r="Y3687" s="182" t="str">
        <f>IFERROR(__xludf.DUMMYFUNCTION("""COMPUTED_VALUE"""),"Excellent")</f>
        <v>Excellent</v>
      </c>
      <c r="Z3687" s="182" t="str">
        <f>IFERROR(__xludf.DUMMYFUNCTION("""COMPUTED_VALUE"""),"Excellent")</f>
        <v>Excellent</v>
      </c>
      <c r="AA3687" s="182" t="str">
        <f>IFERROR(__xludf.DUMMYFUNCTION("""COMPUTED_VALUE"""),"Excellent")</f>
        <v>Excellent</v>
      </c>
      <c r="AB3687" s="182" t="str">
        <f>IFERROR(__xludf.DUMMYFUNCTION("""COMPUTED_VALUE"""),"Excellent")</f>
        <v>Excellent</v>
      </c>
      <c r="AC3687" s="183">
        <f>IFERROR(__xludf.DUMMYFUNCTION("""COMPUTED_VALUE"""),0.0)</f>
        <v>0</v>
      </c>
      <c r="AD3687" s="183">
        <f>IFERROR(__xludf.DUMMYFUNCTION("""COMPUTED_VALUE"""),0.0)</f>
        <v>0</v>
      </c>
      <c r="AE3687" s="183">
        <f>IFERROR(__xludf.DUMMYFUNCTION("""COMPUTED_VALUE"""),0.0)</f>
        <v>0</v>
      </c>
      <c r="AF3687" s="184"/>
      <c r="AG3687" s="180"/>
      <c r="AH3687" s="185">
        <f>IFERROR(__xludf.DUMMYFUNCTION("""COMPUTED_VALUE"""),43564.45240710648)</f>
        <v>43564.45241</v>
      </c>
      <c r="AI3687" s="182"/>
      <c r="AJ3687" s="182"/>
      <c r="AK3687" s="182"/>
      <c r="AL3687" s="182"/>
    </row>
    <row r="3688" ht="20.25" customHeight="1">
      <c r="A3688" s="169" t="str">
        <f>IFERROR(__xludf.DUMMYFUNCTION("""COMPUTED_VALUE"""),"relidtm")</f>
        <v>relidtm</v>
      </c>
      <c r="B3688" s="170" t="str">
        <f>IFERROR(__xludf.DUMMYFUNCTION("""COMPUTED_VALUE"""),"Orlando")</f>
        <v>Orlando</v>
      </c>
      <c r="C3688" s="170" t="str">
        <f>IFERROR(__xludf.DUMMYFUNCTION("""COMPUTED_VALUE"""),"FL")</f>
        <v>FL</v>
      </c>
      <c r="D3688" s="170" t="str">
        <f>IFERROR(__xludf.DUMMYFUNCTION("""COMPUTED_VALUE"""),"USA")</f>
        <v>USA</v>
      </c>
      <c r="E3688" s="171">
        <f>IFERROR(__xludf.DUMMYFUNCTION("""COMPUTED_VALUE"""),43153.0)</f>
        <v>43153</v>
      </c>
      <c r="F3688" s="172">
        <f>IFERROR(__xludf.DUMMYFUNCTION("""COMPUTED_VALUE"""),43161.0)</f>
        <v>43161</v>
      </c>
      <c r="G3688" s="173"/>
      <c r="H3688" s="174"/>
      <c r="I3688" s="175" t="str">
        <f>IFERROR(__xludf.DUMMYFUNCTION("""COMPUTED_VALUE"""),"03/18")</f>
        <v>03/18</v>
      </c>
      <c r="J3688" s="172">
        <f>IFERROR(__xludf.DUMMYFUNCTION("""COMPUTED_VALUE"""),43190.0)</f>
        <v>43190</v>
      </c>
      <c r="K3688" s="176">
        <f>IFERROR(__xludf.DUMMYFUNCTION("""COMPUTED_VALUE"""),8.0)</f>
        <v>8</v>
      </c>
      <c r="L3688" s="176">
        <f>IFERROR(__xludf.DUMMYFUNCTION("""COMPUTED_VALUE"""),29.0)</f>
        <v>29</v>
      </c>
      <c r="M3688" s="176">
        <f>IFERROR(__xludf.DUMMYFUNCTION("""COMPUTED_VALUE"""),37.0)</f>
        <v>37</v>
      </c>
      <c r="N3688" s="177" t="str">
        <f>IFERROR(__xludf.DUMMYFUNCTION("""COMPUTED_VALUE"""),"Model 3 LR")</f>
        <v>Model 3 LR</v>
      </c>
      <c r="O3688" s="177" t="str">
        <f>IFERROR(__xludf.DUMMYFUNCTION("""COMPUTED_VALUE"""),"Deep Blue Metallic")</f>
        <v>Deep Blue Metallic</v>
      </c>
      <c r="P3688" s="178" t="str">
        <f>IFERROR(__xludf.DUMMYFUNCTION("""COMPUTED_VALUE"""),"18 inch Aero")</f>
        <v>18 inch Aero</v>
      </c>
      <c r="Q3688" s="177" t="str">
        <f>IFERROR(__xludf.DUMMYFUNCTION("""COMPUTED_VALUE"""),"Black seats")</f>
        <v>Black seats</v>
      </c>
      <c r="R3688" s="170" t="str">
        <f>IFERROR(__xludf.DUMMYFUNCTION("""COMPUTED_VALUE"""),"Enhanced Autopilot")</f>
        <v>Enhanced Autopilot</v>
      </c>
      <c r="S3688" s="170"/>
      <c r="T3688" s="179"/>
      <c r="U3688" s="179"/>
      <c r="V3688" s="179"/>
      <c r="W3688" s="180"/>
      <c r="X3688" s="181" t="str">
        <f>IFERROR(__xludf.DUMMYFUNCTION("""COMPUTED_VALUE"""),"Excellent")</f>
        <v>Excellent</v>
      </c>
      <c r="Y3688" s="182" t="str">
        <f>IFERROR(__xludf.DUMMYFUNCTION("""COMPUTED_VALUE"""),"Very Good")</f>
        <v>Very Good</v>
      </c>
      <c r="Z3688" s="182" t="str">
        <f>IFERROR(__xludf.DUMMYFUNCTION("""COMPUTED_VALUE"""),"Excellent")</f>
        <v>Excellent</v>
      </c>
      <c r="AA3688" s="182" t="str">
        <f>IFERROR(__xludf.DUMMYFUNCTION("""COMPUTED_VALUE"""),"Poor")</f>
        <v>Poor</v>
      </c>
      <c r="AB3688" s="182" t="str">
        <f>IFERROR(__xludf.DUMMYFUNCTION("""COMPUTED_VALUE"""),"Excellent")</f>
        <v>Excellent</v>
      </c>
      <c r="AC3688" s="183">
        <f>IFERROR(__xludf.DUMMYFUNCTION("""COMPUTED_VALUE"""),1.0)</f>
        <v>1</v>
      </c>
      <c r="AD3688" s="183">
        <f>IFERROR(__xludf.DUMMYFUNCTION("""COMPUTED_VALUE"""),1.0)</f>
        <v>1</v>
      </c>
      <c r="AE3688" s="183">
        <f>IFERROR(__xludf.DUMMYFUNCTION("""COMPUTED_VALUE"""),0.0)</f>
        <v>0</v>
      </c>
      <c r="AF3688" s="184"/>
      <c r="AG3688" s="180"/>
      <c r="AH3688" s="185">
        <f>IFERROR(__xludf.DUMMYFUNCTION("""COMPUTED_VALUE"""),43329.43964215278)</f>
        <v>43329.43964</v>
      </c>
      <c r="AI3688" s="182"/>
      <c r="AJ3688" s="182"/>
      <c r="AK3688" s="182"/>
      <c r="AL3688" s="182"/>
    </row>
    <row r="3689" ht="20.25" customHeight="1">
      <c r="A3689" s="169" t="str">
        <f>IFERROR(__xludf.DUMMYFUNCTION("""COMPUTED_VALUE"""),"Sckego ")</f>
        <v>Sckego </v>
      </c>
      <c r="B3689" s="170" t="str">
        <f>IFERROR(__xludf.DUMMYFUNCTION("""COMPUTED_VALUE"""),"San jose")</f>
        <v>San jose</v>
      </c>
      <c r="C3689" s="170" t="str">
        <f>IFERROR(__xludf.DUMMYFUNCTION("""COMPUTED_VALUE"""),"CA")</f>
        <v>CA</v>
      </c>
      <c r="D3689" s="170" t="str">
        <f>IFERROR(__xludf.DUMMYFUNCTION("""COMPUTED_VALUE"""),"USA")</f>
        <v>USA</v>
      </c>
      <c r="E3689" s="171">
        <f>IFERROR(__xludf.DUMMYFUNCTION("""COMPUTED_VALUE"""),43153.0)</f>
        <v>43153</v>
      </c>
      <c r="F3689" s="172">
        <f>IFERROR(__xludf.DUMMYFUNCTION("""COMPUTED_VALUE"""),43179.0)</f>
        <v>43179</v>
      </c>
      <c r="G3689" s="173"/>
      <c r="H3689" s="174">
        <f>IFERROR(__xludf.DUMMYFUNCTION("""COMPUTED_VALUE"""),11655.0)</f>
        <v>11655</v>
      </c>
      <c r="I3689" s="175"/>
      <c r="J3689" s="172">
        <f>IFERROR(__xludf.DUMMYFUNCTION("""COMPUTED_VALUE"""),43189.0)</f>
        <v>43189</v>
      </c>
      <c r="K3689" s="176">
        <f>IFERROR(__xludf.DUMMYFUNCTION("""COMPUTED_VALUE"""),26.0)</f>
        <v>26</v>
      </c>
      <c r="L3689" s="176">
        <f>IFERROR(__xludf.DUMMYFUNCTION("""COMPUTED_VALUE"""),10.0)</f>
        <v>10</v>
      </c>
      <c r="M3689" s="176">
        <f>IFERROR(__xludf.DUMMYFUNCTION("""COMPUTED_VALUE"""),36.0)</f>
        <v>36</v>
      </c>
      <c r="N3689" s="177" t="str">
        <f>IFERROR(__xludf.DUMMYFUNCTION("""COMPUTED_VALUE"""),"Model 3 LR")</f>
        <v>Model 3 LR</v>
      </c>
      <c r="O3689" s="177" t="str">
        <f>IFERROR(__xludf.DUMMYFUNCTION("""COMPUTED_VALUE"""),"Silver Metallic")</f>
        <v>Silver Metallic</v>
      </c>
      <c r="P3689" s="178" t="str">
        <f>IFERROR(__xludf.DUMMYFUNCTION("""COMPUTED_VALUE"""),"18 inch Aero")</f>
        <v>18 inch Aero</v>
      </c>
      <c r="Q3689" s="177" t="str">
        <f>IFERROR(__xludf.DUMMYFUNCTION("""COMPUTED_VALUE"""),"Black seats")</f>
        <v>Black seats</v>
      </c>
      <c r="R3689" s="170" t="str">
        <f>IFERROR(__xludf.DUMMYFUNCTION("""COMPUTED_VALUE"""),"Enhanced Autopilot")</f>
        <v>Enhanced Autopilot</v>
      </c>
      <c r="S3689" s="170"/>
      <c r="T3689" s="179"/>
      <c r="U3689" s="179"/>
      <c r="V3689" s="179"/>
      <c r="W3689" s="180"/>
      <c r="X3689" s="181" t="str">
        <f>IFERROR(__xludf.DUMMYFUNCTION("""COMPUTED_VALUE"""),"Excellent")</f>
        <v>Excellent</v>
      </c>
      <c r="Y3689" s="182" t="str">
        <f>IFERROR(__xludf.DUMMYFUNCTION("""COMPUTED_VALUE"""),"Excellent")</f>
        <v>Excellent</v>
      </c>
      <c r="Z3689" s="182" t="str">
        <f>IFERROR(__xludf.DUMMYFUNCTION("""COMPUTED_VALUE"""),"Excellent")</f>
        <v>Excellent</v>
      </c>
      <c r="AA3689" s="182"/>
      <c r="AB3689" s="182" t="str">
        <f>IFERROR(__xludf.DUMMYFUNCTION("""COMPUTED_VALUE"""),"Excellent")</f>
        <v>Excellent</v>
      </c>
      <c r="AC3689" s="183"/>
      <c r="AD3689" s="183"/>
      <c r="AE3689" s="183"/>
      <c r="AF3689" s="184"/>
      <c r="AG3689" s="180"/>
      <c r="AH3689" s="185">
        <f>IFERROR(__xludf.DUMMYFUNCTION("""COMPUTED_VALUE"""),43223.36295967593)</f>
        <v>43223.36296</v>
      </c>
      <c r="AI3689" s="182"/>
      <c r="AJ3689" s="182"/>
      <c r="AK3689" s="182"/>
      <c r="AL3689" s="182"/>
    </row>
    <row r="3690" ht="20.25" customHeight="1">
      <c r="A3690" s="169" t="str">
        <f>IFERROR(__xludf.DUMMYFUNCTION("""COMPUTED_VALUE"""),"Ubah Goobah ")</f>
        <v>Ubah Goobah </v>
      </c>
      <c r="B3690" s="170" t="str">
        <f>IFERROR(__xludf.DUMMYFUNCTION("""COMPUTED_VALUE"""),"Santa Monica")</f>
        <v>Santa Monica</v>
      </c>
      <c r="C3690" s="170" t="str">
        <f>IFERROR(__xludf.DUMMYFUNCTION("""COMPUTED_VALUE"""),"CA")</f>
        <v>CA</v>
      </c>
      <c r="D3690" s="170" t="str">
        <f>IFERROR(__xludf.DUMMYFUNCTION("""COMPUTED_VALUE"""),"USA")</f>
        <v>USA</v>
      </c>
      <c r="E3690" s="171">
        <f>IFERROR(__xludf.DUMMYFUNCTION("""COMPUTED_VALUE"""),43153.0)</f>
        <v>43153</v>
      </c>
      <c r="F3690" s="172">
        <f>IFERROR(__xludf.DUMMYFUNCTION("""COMPUTED_VALUE"""),43171.0)</f>
        <v>43171</v>
      </c>
      <c r="G3690" s="173"/>
      <c r="H3690" s="174">
        <f>IFERROR(__xludf.DUMMYFUNCTION("""COMPUTED_VALUE"""),11155.0)</f>
        <v>11155</v>
      </c>
      <c r="I3690" s="175"/>
      <c r="J3690" s="172">
        <f>IFERROR(__xludf.DUMMYFUNCTION("""COMPUTED_VALUE"""),43185.0)</f>
        <v>43185</v>
      </c>
      <c r="K3690" s="176">
        <f>IFERROR(__xludf.DUMMYFUNCTION("""COMPUTED_VALUE"""),18.0)</f>
        <v>18</v>
      </c>
      <c r="L3690" s="176">
        <f>IFERROR(__xludf.DUMMYFUNCTION("""COMPUTED_VALUE"""),14.0)</f>
        <v>14</v>
      </c>
      <c r="M3690" s="176">
        <f>IFERROR(__xludf.DUMMYFUNCTION("""COMPUTED_VALUE"""),32.0)</f>
        <v>32</v>
      </c>
      <c r="N3690" s="177" t="str">
        <f>IFERROR(__xludf.DUMMYFUNCTION("""COMPUTED_VALUE"""),"Model 3 LR")</f>
        <v>Model 3 LR</v>
      </c>
      <c r="O3690" s="177" t="str">
        <f>IFERROR(__xludf.DUMMYFUNCTION("""COMPUTED_VALUE"""),"Deep Blue Metallic")</f>
        <v>Deep Blue Metallic</v>
      </c>
      <c r="P3690" s="178" t="str">
        <f>IFERROR(__xludf.DUMMYFUNCTION("""COMPUTED_VALUE"""),"19 inch Sport")</f>
        <v>19 inch Sport</v>
      </c>
      <c r="Q3690" s="177" t="str">
        <f>IFERROR(__xludf.DUMMYFUNCTION("""COMPUTED_VALUE"""),"Black seats")</f>
        <v>Black seats</v>
      </c>
      <c r="R3690" s="170" t="str">
        <f>IFERROR(__xludf.DUMMYFUNCTION("""COMPUTED_VALUE"""),"None")</f>
        <v>None</v>
      </c>
      <c r="S3690" s="170"/>
      <c r="T3690" s="179"/>
      <c r="U3690" s="179"/>
      <c r="V3690" s="179"/>
      <c r="W3690" s="180"/>
      <c r="X3690" s="181" t="str">
        <f>IFERROR(__xludf.DUMMYFUNCTION("""COMPUTED_VALUE"""),"Excellent")</f>
        <v>Excellent</v>
      </c>
      <c r="Y3690" s="182" t="str">
        <f>IFERROR(__xludf.DUMMYFUNCTION("""COMPUTED_VALUE"""),"Very Good")</f>
        <v>Very Good</v>
      </c>
      <c r="Z3690" s="182" t="str">
        <f>IFERROR(__xludf.DUMMYFUNCTION("""COMPUTED_VALUE"""),"Very Good")</f>
        <v>Very Good</v>
      </c>
      <c r="AA3690" s="182" t="str">
        <f>IFERROR(__xludf.DUMMYFUNCTION("""COMPUTED_VALUE"""),"Very Good")</f>
        <v>Very Good</v>
      </c>
      <c r="AB3690" s="182" t="str">
        <f>IFERROR(__xludf.DUMMYFUNCTION("""COMPUTED_VALUE"""),"Very Good")</f>
        <v>Very Good</v>
      </c>
      <c r="AC3690" s="183"/>
      <c r="AD3690" s="183"/>
      <c r="AE3690" s="183"/>
      <c r="AF3690" s="184"/>
      <c r="AG3690" s="180"/>
      <c r="AH3690" s="185">
        <f>IFERROR(__xludf.DUMMYFUNCTION("""COMPUTED_VALUE"""),43274.05095709491)</f>
        <v>43274.05096</v>
      </c>
      <c r="AI3690" s="182"/>
      <c r="AJ3690" s="182"/>
      <c r="AK3690" s="182"/>
      <c r="AL3690" s="182"/>
    </row>
    <row r="3691" ht="20.25" customHeight="1">
      <c r="A3691" s="169" t="str">
        <f>IFERROR(__xludf.DUMMYFUNCTION("""COMPUTED_VALUE"""),"dckiwi")</f>
        <v>dckiwi</v>
      </c>
      <c r="B3691" s="170" t="str">
        <f>IFERROR(__xludf.DUMMYFUNCTION("""COMPUTED_VALUE"""),"Tysons Corner")</f>
        <v>Tysons Corner</v>
      </c>
      <c r="C3691" s="170" t="str">
        <f>IFERROR(__xludf.DUMMYFUNCTION("""COMPUTED_VALUE"""),"VA")</f>
        <v>VA</v>
      </c>
      <c r="D3691" s="170" t="str">
        <f>IFERROR(__xludf.DUMMYFUNCTION("""COMPUTED_VALUE"""),"USA")</f>
        <v>USA</v>
      </c>
      <c r="E3691" s="171">
        <f>IFERROR(__xludf.DUMMYFUNCTION("""COMPUTED_VALUE"""),43150.0)</f>
        <v>43150</v>
      </c>
      <c r="F3691" s="172">
        <f>IFERROR(__xludf.DUMMYFUNCTION("""COMPUTED_VALUE"""),43192.0)</f>
        <v>43192</v>
      </c>
      <c r="G3691" s="173"/>
      <c r="H3691" s="174">
        <f>IFERROR(__xludf.DUMMYFUNCTION("""COMPUTED_VALUE"""),10655.0)</f>
        <v>10655</v>
      </c>
      <c r="I3691" s="175"/>
      <c r="J3691" s="172">
        <f>IFERROR(__xludf.DUMMYFUNCTION("""COMPUTED_VALUE"""),43223.0)</f>
        <v>43223</v>
      </c>
      <c r="K3691" s="176">
        <f>IFERROR(__xludf.DUMMYFUNCTION("""COMPUTED_VALUE"""),42.0)</f>
        <v>42</v>
      </c>
      <c r="L3691" s="176">
        <f>IFERROR(__xludf.DUMMYFUNCTION("""COMPUTED_VALUE"""),31.0)</f>
        <v>31</v>
      </c>
      <c r="M3691" s="176">
        <f>IFERROR(__xludf.DUMMYFUNCTION("""COMPUTED_VALUE"""),73.0)</f>
        <v>73</v>
      </c>
      <c r="N3691" s="177" t="str">
        <f>IFERROR(__xludf.DUMMYFUNCTION("""COMPUTED_VALUE"""),"Model 3 LR")</f>
        <v>Model 3 LR</v>
      </c>
      <c r="O3691" s="177" t="str">
        <f>IFERROR(__xludf.DUMMYFUNCTION("""COMPUTED_VALUE"""),"Pearl White Multi-Coat")</f>
        <v>Pearl White Multi-Coat</v>
      </c>
      <c r="P3691" s="178" t="str">
        <f>IFERROR(__xludf.DUMMYFUNCTION("""COMPUTED_VALUE"""),"18 inch Aero")</f>
        <v>18 inch Aero</v>
      </c>
      <c r="Q3691" s="177" t="str">
        <f>IFERROR(__xludf.DUMMYFUNCTION("""COMPUTED_VALUE"""),"Black seats")</f>
        <v>Black seats</v>
      </c>
      <c r="R3691" s="170" t="str">
        <f>IFERROR(__xludf.DUMMYFUNCTION("""COMPUTED_VALUE"""),"Full Self-Driving")</f>
        <v>Full Self-Driving</v>
      </c>
      <c r="S3691" s="170"/>
      <c r="T3691" s="179"/>
      <c r="U3691" s="179"/>
      <c r="V3691" s="179"/>
      <c r="W3691" s="180"/>
      <c r="X3691" s="181" t="str">
        <f>IFERROR(__xludf.DUMMYFUNCTION("""COMPUTED_VALUE"""),"Excellent")</f>
        <v>Excellent</v>
      </c>
      <c r="Y3691" s="182" t="str">
        <f>IFERROR(__xludf.DUMMYFUNCTION("""COMPUTED_VALUE"""),"Excellent")</f>
        <v>Excellent</v>
      </c>
      <c r="Z3691" s="182" t="str">
        <f>IFERROR(__xludf.DUMMYFUNCTION("""COMPUTED_VALUE"""),"Excellent")</f>
        <v>Excellent</v>
      </c>
      <c r="AA3691" s="182"/>
      <c r="AB3691" s="182" t="str">
        <f>IFERROR(__xludf.DUMMYFUNCTION("""COMPUTED_VALUE"""),"Excellent")</f>
        <v>Excellent</v>
      </c>
      <c r="AC3691" s="183"/>
      <c r="AD3691" s="183"/>
      <c r="AE3691" s="183"/>
      <c r="AF3691" s="184"/>
      <c r="AG3691" s="180"/>
      <c r="AH3691" s="185">
        <f>IFERROR(__xludf.DUMMYFUNCTION("""COMPUTED_VALUE"""),43223.822483518525)</f>
        <v>43223.82248</v>
      </c>
      <c r="AI3691" s="182"/>
      <c r="AJ3691" s="182"/>
      <c r="AK3691" s="182"/>
      <c r="AL3691" s="182"/>
    </row>
    <row r="3692" ht="20.25" customHeight="1">
      <c r="A3692" s="169" t="str">
        <f>IFERROR(__xludf.DUMMYFUNCTION("""COMPUTED_VALUE"""),"novox77")</f>
        <v>novox77</v>
      </c>
      <c r="B3692" s="170"/>
      <c r="C3692" s="170" t="str">
        <f>IFERROR(__xludf.DUMMYFUNCTION("""COMPUTED_VALUE"""),"NH")</f>
        <v>NH</v>
      </c>
      <c r="D3692" s="170" t="str">
        <f>IFERROR(__xludf.DUMMYFUNCTION("""COMPUTED_VALUE"""),"USA")</f>
        <v>USA</v>
      </c>
      <c r="E3692" s="171">
        <f>IFERROR(__xludf.DUMMYFUNCTION("""COMPUTED_VALUE"""),43129.0)</f>
        <v>43129</v>
      </c>
      <c r="F3692" s="172">
        <f>IFERROR(__xludf.DUMMYFUNCTION("""COMPUTED_VALUE"""),43159.0)</f>
        <v>43159</v>
      </c>
      <c r="G3692" s="173"/>
      <c r="H3692" s="174">
        <f>IFERROR(__xludf.DUMMYFUNCTION("""COMPUTED_VALUE"""),6855.0)</f>
        <v>6855</v>
      </c>
      <c r="I3692" s="175" t="str">
        <f>IFERROR(__xludf.DUMMYFUNCTION("""COMPUTED_VALUE"""),"02/18")</f>
        <v>02/18</v>
      </c>
      <c r="J3692" s="172">
        <f>IFERROR(__xludf.DUMMYFUNCTION("""COMPUTED_VALUE"""),43189.0)</f>
        <v>43189</v>
      </c>
      <c r="K3692" s="176">
        <f>IFERROR(__xludf.DUMMYFUNCTION("""COMPUTED_VALUE"""),30.0)</f>
        <v>30</v>
      </c>
      <c r="L3692" s="176">
        <f>IFERROR(__xludf.DUMMYFUNCTION("""COMPUTED_VALUE"""),30.0)</f>
        <v>30</v>
      </c>
      <c r="M3692" s="176">
        <f>IFERROR(__xludf.DUMMYFUNCTION("""COMPUTED_VALUE"""),60.0)</f>
        <v>60</v>
      </c>
      <c r="N3692" s="177" t="str">
        <f>IFERROR(__xludf.DUMMYFUNCTION("""COMPUTED_VALUE"""),"Model 3 LR")</f>
        <v>Model 3 LR</v>
      </c>
      <c r="O3692" s="177" t="str">
        <f>IFERROR(__xludf.DUMMYFUNCTION("""COMPUTED_VALUE"""),"Midnight Silver Metallic")</f>
        <v>Midnight Silver Metallic</v>
      </c>
      <c r="P3692" s="178" t="str">
        <f>IFERROR(__xludf.DUMMYFUNCTION("""COMPUTED_VALUE"""),"18 inch Aero")</f>
        <v>18 inch Aero</v>
      </c>
      <c r="Q3692" s="177" t="str">
        <f>IFERROR(__xludf.DUMMYFUNCTION("""COMPUTED_VALUE"""),"Black seats")</f>
        <v>Black seats</v>
      </c>
      <c r="R3692" s="170" t="str">
        <f>IFERROR(__xludf.DUMMYFUNCTION("""COMPUTED_VALUE"""),"Enhanced Autopilot")</f>
        <v>Enhanced Autopilot</v>
      </c>
      <c r="S3692" s="170"/>
      <c r="T3692" s="179"/>
      <c r="U3692" s="179"/>
      <c r="V3692" s="179"/>
      <c r="W3692" s="180"/>
      <c r="X3692" s="181" t="str">
        <f>IFERROR(__xludf.DUMMYFUNCTION("""COMPUTED_VALUE"""),"Excellent")</f>
        <v>Excellent</v>
      </c>
      <c r="Y3692" s="182" t="str">
        <f>IFERROR(__xludf.DUMMYFUNCTION("""COMPUTED_VALUE"""),"Very Good")</f>
        <v>Very Good</v>
      </c>
      <c r="Z3692" s="182" t="str">
        <f>IFERROR(__xludf.DUMMYFUNCTION("""COMPUTED_VALUE"""),"Excellent")</f>
        <v>Excellent</v>
      </c>
      <c r="AA3692" s="182" t="str">
        <f>IFERROR(__xludf.DUMMYFUNCTION("""COMPUTED_VALUE"""),"Excellent")</f>
        <v>Excellent</v>
      </c>
      <c r="AB3692" s="182" t="str">
        <f>IFERROR(__xludf.DUMMYFUNCTION("""COMPUTED_VALUE"""),"Good")</f>
        <v>Good</v>
      </c>
      <c r="AC3692" s="183"/>
      <c r="AD3692" s="183"/>
      <c r="AE3692" s="183"/>
      <c r="AF3692" s="184"/>
      <c r="AG3692" s="180" t="str">
        <f>IFERROR(__xludf.DUMMYFUNCTION("""COMPUTED_VALUE"""),"originally deferring, but decided to get first production config")</f>
        <v>originally deferring, but decided to get first production config</v>
      </c>
      <c r="AH3692" s="185">
        <f>IFERROR(__xludf.DUMMYFUNCTION("""COMPUTED_VALUE"""),43280.87525965278)</f>
        <v>43280.87526</v>
      </c>
      <c r="AI3692" s="182"/>
      <c r="AJ3692" s="182"/>
      <c r="AK3692" s="182"/>
      <c r="AL3692" s="182"/>
    </row>
    <row r="3693" ht="20.25" customHeight="1">
      <c r="A3693" s="169" t="str">
        <f>IFERROR(__xludf.DUMMYFUNCTION("""COMPUTED_VALUE"""),"gassole")</f>
        <v>gassole</v>
      </c>
      <c r="B3693" s="170" t="str">
        <f>IFERROR(__xludf.DUMMYFUNCTION("""COMPUTED_VALUE"""),"Houston")</f>
        <v>Houston</v>
      </c>
      <c r="C3693" s="170" t="str">
        <f>IFERROR(__xludf.DUMMYFUNCTION("""COMPUTED_VALUE"""),"TX")</f>
        <v>TX</v>
      </c>
      <c r="D3693" s="170" t="str">
        <f>IFERROR(__xludf.DUMMYFUNCTION("""COMPUTED_VALUE"""),"USA")</f>
        <v>USA</v>
      </c>
      <c r="E3693" s="171">
        <f>IFERROR(__xludf.DUMMYFUNCTION("""COMPUTED_VALUE"""),43119.0)</f>
        <v>43119</v>
      </c>
      <c r="F3693" s="172">
        <f>IFERROR(__xludf.DUMMYFUNCTION("""COMPUTED_VALUE"""),43144.0)</f>
        <v>43144</v>
      </c>
      <c r="G3693" s="173"/>
      <c r="H3693" s="174">
        <f>IFERROR(__xludf.DUMMYFUNCTION("""COMPUTED_VALUE"""),4555.0)</f>
        <v>4555</v>
      </c>
      <c r="I3693" s="175" t="str">
        <f>IFERROR(__xludf.DUMMYFUNCTION("""COMPUTED_VALUE"""),"01/18")</f>
        <v>01/18</v>
      </c>
      <c r="J3693" s="172">
        <f>IFERROR(__xludf.DUMMYFUNCTION("""COMPUTED_VALUE"""),43173.0)</f>
        <v>43173</v>
      </c>
      <c r="K3693" s="176">
        <f>IFERROR(__xludf.DUMMYFUNCTION("""COMPUTED_VALUE"""),25.0)</f>
        <v>25</v>
      </c>
      <c r="L3693" s="176">
        <f>IFERROR(__xludf.DUMMYFUNCTION("""COMPUTED_VALUE"""),29.0)</f>
        <v>29</v>
      </c>
      <c r="M3693" s="176">
        <f>IFERROR(__xludf.DUMMYFUNCTION("""COMPUTED_VALUE"""),54.0)</f>
        <v>54</v>
      </c>
      <c r="N3693" s="177" t="str">
        <f>IFERROR(__xludf.DUMMYFUNCTION("""COMPUTED_VALUE"""),"Model 3 LR")</f>
        <v>Model 3 LR</v>
      </c>
      <c r="O3693" s="177" t="str">
        <f>IFERROR(__xludf.DUMMYFUNCTION("""COMPUTED_VALUE"""),"Midnight Silver Metallic")</f>
        <v>Midnight Silver Metallic</v>
      </c>
      <c r="P3693" s="178" t="str">
        <f>IFERROR(__xludf.DUMMYFUNCTION("""COMPUTED_VALUE"""),"19 inch Sport")</f>
        <v>19 inch Sport</v>
      </c>
      <c r="Q3693" s="177" t="str">
        <f>IFERROR(__xludf.DUMMYFUNCTION("""COMPUTED_VALUE"""),"Black seats")</f>
        <v>Black seats</v>
      </c>
      <c r="R3693" s="170" t="str">
        <f>IFERROR(__xludf.DUMMYFUNCTION("""COMPUTED_VALUE"""),"Enhanced Autopilot")</f>
        <v>Enhanced Autopilot</v>
      </c>
      <c r="S3693" s="170"/>
      <c r="T3693" s="179"/>
      <c r="U3693" s="179"/>
      <c r="V3693" s="179"/>
      <c r="W3693" s="180"/>
      <c r="X3693" s="181" t="str">
        <f>IFERROR(__xludf.DUMMYFUNCTION("""COMPUTED_VALUE"""),"Excellent")</f>
        <v>Excellent</v>
      </c>
      <c r="Y3693" s="182" t="str">
        <f>IFERROR(__xludf.DUMMYFUNCTION("""COMPUTED_VALUE"""),"Excellent")</f>
        <v>Excellent</v>
      </c>
      <c r="Z3693" s="182" t="str">
        <f>IFERROR(__xludf.DUMMYFUNCTION("""COMPUTED_VALUE"""),"Excellent")</f>
        <v>Excellent</v>
      </c>
      <c r="AA3693" s="182" t="str">
        <f>IFERROR(__xludf.DUMMYFUNCTION("""COMPUTED_VALUE"""),"Poor")</f>
        <v>Poor</v>
      </c>
      <c r="AB3693" s="182" t="str">
        <f>IFERROR(__xludf.DUMMYFUNCTION("""COMPUTED_VALUE"""),"Excellent")</f>
        <v>Excellent</v>
      </c>
      <c r="AC3693" s="183">
        <f>IFERROR(__xludf.DUMMYFUNCTION("""COMPUTED_VALUE"""),1.0)</f>
        <v>1</v>
      </c>
      <c r="AD3693" s="183">
        <f>IFERROR(__xludf.DUMMYFUNCTION("""COMPUTED_VALUE"""),1.0)</f>
        <v>1</v>
      </c>
      <c r="AE3693" s="183">
        <f>IFERROR(__xludf.DUMMYFUNCTION("""COMPUTED_VALUE"""),1.0)</f>
        <v>1</v>
      </c>
      <c r="AF3693" s="184"/>
      <c r="AG3693" s="180"/>
      <c r="AH3693" s="185">
        <f>IFERROR(__xludf.DUMMYFUNCTION("""COMPUTED_VALUE"""),43320.221882962964)</f>
        <v>43320.22188</v>
      </c>
      <c r="AI3693" s="182"/>
      <c r="AJ3693" s="182"/>
      <c r="AK3693" s="182"/>
      <c r="AL3693" s="182"/>
    </row>
    <row r="3694" ht="20.25" customHeight="1">
      <c r="A3694" s="169" t="str">
        <f>IFERROR(__xludf.DUMMYFUNCTION("""COMPUTED_VALUE"""),"PatrickM")</f>
        <v>PatrickM</v>
      </c>
      <c r="B3694" s="170" t="str">
        <f>IFERROR(__xludf.DUMMYFUNCTION("""COMPUTED_VALUE"""),"Fort Collins")</f>
        <v>Fort Collins</v>
      </c>
      <c r="C3694" s="170" t="str">
        <f>IFERROR(__xludf.DUMMYFUNCTION("""COMPUTED_VALUE"""),"CO")</f>
        <v>CO</v>
      </c>
      <c r="D3694" s="170" t="str">
        <f>IFERROR(__xludf.DUMMYFUNCTION("""COMPUTED_VALUE"""),"USA")</f>
        <v>USA</v>
      </c>
      <c r="E3694" s="171">
        <f>IFERROR(__xludf.DUMMYFUNCTION("""COMPUTED_VALUE"""),43117.0)</f>
        <v>43117</v>
      </c>
      <c r="F3694" s="172">
        <f>IFERROR(__xludf.DUMMYFUNCTION("""COMPUTED_VALUE"""),43123.0)</f>
        <v>43123</v>
      </c>
      <c r="G3694" s="173"/>
      <c r="H3694" s="174">
        <f>IFERROR(__xludf.DUMMYFUNCTION("""COMPUTED_VALUE"""),5475.0)</f>
        <v>5475</v>
      </c>
      <c r="I3694" s="175"/>
      <c r="J3694" s="172">
        <f>IFERROR(__xludf.DUMMYFUNCTION("""COMPUTED_VALUE"""),43133.0)</f>
        <v>43133</v>
      </c>
      <c r="K3694" s="176">
        <f>IFERROR(__xludf.DUMMYFUNCTION("""COMPUTED_VALUE"""),6.0)</f>
        <v>6</v>
      </c>
      <c r="L3694" s="176">
        <f>IFERROR(__xludf.DUMMYFUNCTION("""COMPUTED_VALUE"""),10.0)</f>
        <v>10</v>
      </c>
      <c r="M3694" s="176">
        <f>IFERROR(__xludf.DUMMYFUNCTION("""COMPUTED_VALUE"""),16.0)</f>
        <v>16</v>
      </c>
      <c r="N3694" s="177" t="str">
        <f>IFERROR(__xludf.DUMMYFUNCTION("""COMPUTED_VALUE"""),"Model 3 LR")</f>
        <v>Model 3 LR</v>
      </c>
      <c r="O3694" s="177" t="str">
        <f>IFERROR(__xludf.DUMMYFUNCTION("""COMPUTED_VALUE"""),"Deep Blue Metallic")</f>
        <v>Deep Blue Metallic</v>
      </c>
      <c r="P3694" s="178" t="str">
        <f>IFERROR(__xludf.DUMMYFUNCTION("""COMPUTED_VALUE"""),"18 inch Aero")</f>
        <v>18 inch Aero</v>
      </c>
      <c r="Q3694" s="177" t="str">
        <f>IFERROR(__xludf.DUMMYFUNCTION("""COMPUTED_VALUE"""),"Black seats")</f>
        <v>Black seats</v>
      </c>
      <c r="R3694" s="170" t="str">
        <f>IFERROR(__xludf.DUMMYFUNCTION("""COMPUTED_VALUE"""),"Enhanced Autopilot")</f>
        <v>Enhanced Autopilot</v>
      </c>
      <c r="S3694" s="170"/>
      <c r="T3694" s="179"/>
      <c r="U3694" s="179"/>
      <c r="V3694" s="179"/>
      <c r="W3694" s="180"/>
      <c r="X3694" s="181" t="str">
        <f>IFERROR(__xludf.DUMMYFUNCTION("""COMPUTED_VALUE"""),"Excellent")</f>
        <v>Excellent</v>
      </c>
      <c r="Y3694" s="182" t="str">
        <f>IFERROR(__xludf.DUMMYFUNCTION("""COMPUTED_VALUE"""),"Excellent")</f>
        <v>Excellent</v>
      </c>
      <c r="Z3694" s="182" t="str">
        <f>IFERROR(__xludf.DUMMYFUNCTION("""COMPUTED_VALUE"""),"Excellent")</f>
        <v>Excellent</v>
      </c>
      <c r="AA3694" s="182" t="str">
        <f>IFERROR(__xludf.DUMMYFUNCTION("""COMPUTED_VALUE"""),"Excellent")</f>
        <v>Excellent</v>
      </c>
      <c r="AB3694" s="182" t="str">
        <f>IFERROR(__xludf.DUMMYFUNCTION("""COMPUTED_VALUE"""),"Excellent")</f>
        <v>Excellent</v>
      </c>
      <c r="AC3694" s="183"/>
      <c r="AD3694" s="183"/>
      <c r="AE3694" s="183"/>
      <c r="AF3694" s="184"/>
      <c r="AG3694" s="180" t="str">
        <f>IFERROR(__xludf.DUMMYFUNCTION("""COMPUTED_VALUE"""),"No issues with the car at all after 3 months")</f>
        <v>No issues with the car at all after 3 months</v>
      </c>
      <c r="AH3694" s="185">
        <f>IFERROR(__xludf.DUMMYFUNCTION("""COMPUTED_VALUE"""),43249.86302962963)</f>
        <v>43249.86303</v>
      </c>
      <c r="AI3694" s="182"/>
      <c r="AJ3694" s="182"/>
      <c r="AK3694" s="182"/>
      <c r="AL3694" s="182"/>
    </row>
    <row r="3695" ht="20.25" customHeight="1">
      <c r="A3695" s="169" t="str">
        <f>IFERROR(__xludf.DUMMYFUNCTION("""COMPUTED_VALUE"""),"PatrickM")</f>
        <v>PatrickM</v>
      </c>
      <c r="B3695" s="170" t="str">
        <f>IFERROR(__xludf.DUMMYFUNCTION("""COMPUTED_VALUE"""),"Fort Collins")</f>
        <v>Fort Collins</v>
      </c>
      <c r="C3695" s="170" t="str">
        <f>IFERROR(__xludf.DUMMYFUNCTION("""COMPUTED_VALUE"""),"CO")</f>
        <v>CO</v>
      </c>
      <c r="D3695" s="170" t="str">
        <f>IFERROR(__xludf.DUMMYFUNCTION("""COMPUTED_VALUE"""),"USA")</f>
        <v>USA</v>
      </c>
      <c r="E3695" s="171">
        <f>IFERROR(__xludf.DUMMYFUNCTION("""COMPUTED_VALUE"""),43117.0)</f>
        <v>43117</v>
      </c>
      <c r="F3695" s="172">
        <f>IFERROR(__xludf.DUMMYFUNCTION("""COMPUTED_VALUE"""),43123.0)</f>
        <v>43123</v>
      </c>
      <c r="G3695" s="173"/>
      <c r="H3695" s="174">
        <f>IFERROR(__xludf.DUMMYFUNCTION("""COMPUTED_VALUE"""),5475.0)</f>
        <v>5475</v>
      </c>
      <c r="I3695" s="175" t="str">
        <f>IFERROR(__xludf.DUMMYFUNCTION("""COMPUTED_VALUE"""),"01/18")</f>
        <v>01/18</v>
      </c>
      <c r="J3695" s="172">
        <f>IFERROR(__xludf.DUMMYFUNCTION("""COMPUTED_VALUE"""),43133.0)</f>
        <v>43133</v>
      </c>
      <c r="K3695" s="176">
        <f>IFERROR(__xludf.DUMMYFUNCTION("""COMPUTED_VALUE"""),6.0)</f>
        <v>6</v>
      </c>
      <c r="L3695" s="176">
        <f>IFERROR(__xludf.DUMMYFUNCTION("""COMPUTED_VALUE"""),10.0)</f>
        <v>10</v>
      </c>
      <c r="M3695" s="176">
        <f>IFERROR(__xludf.DUMMYFUNCTION("""COMPUTED_VALUE"""),16.0)</f>
        <v>16</v>
      </c>
      <c r="N3695" s="177" t="str">
        <f>IFERROR(__xludf.DUMMYFUNCTION("""COMPUTED_VALUE"""),"Model 3 LR")</f>
        <v>Model 3 LR</v>
      </c>
      <c r="O3695" s="177" t="str">
        <f>IFERROR(__xludf.DUMMYFUNCTION("""COMPUTED_VALUE"""),"Deep Blue Metallic")</f>
        <v>Deep Blue Metallic</v>
      </c>
      <c r="P3695" s="178" t="str">
        <f>IFERROR(__xludf.DUMMYFUNCTION("""COMPUTED_VALUE"""),"18 inch Aero")</f>
        <v>18 inch Aero</v>
      </c>
      <c r="Q3695" s="177" t="str">
        <f>IFERROR(__xludf.DUMMYFUNCTION("""COMPUTED_VALUE"""),"Black seats")</f>
        <v>Black seats</v>
      </c>
      <c r="R3695" s="170" t="str">
        <f>IFERROR(__xludf.DUMMYFUNCTION("""COMPUTED_VALUE"""),"Enhanced Autopilot")</f>
        <v>Enhanced Autopilot</v>
      </c>
      <c r="S3695" s="170"/>
      <c r="T3695" s="179"/>
      <c r="U3695" s="179"/>
      <c r="V3695" s="179"/>
      <c r="W3695" s="180"/>
      <c r="X3695" s="181" t="str">
        <f>IFERROR(__xludf.DUMMYFUNCTION("""COMPUTED_VALUE"""),"Excellent")</f>
        <v>Excellent</v>
      </c>
      <c r="Y3695" s="182" t="str">
        <f>IFERROR(__xludf.DUMMYFUNCTION("""COMPUTED_VALUE"""),"Excellent")</f>
        <v>Excellent</v>
      </c>
      <c r="Z3695" s="182" t="str">
        <f>IFERROR(__xludf.DUMMYFUNCTION("""COMPUTED_VALUE"""),"Excellent")</f>
        <v>Excellent</v>
      </c>
      <c r="AA3695" s="182" t="str">
        <f>IFERROR(__xludf.DUMMYFUNCTION("""COMPUTED_VALUE"""),"Good")</f>
        <v>Good</v>
      </c>
      <c r="AB3695" s="182" t="str">
        <f>IFERROR(__xludf.DUMMYFUNCTION("""COMPUTED_VALUE"""),"Excellent")</f>
        <v>Excellent</v>
      </c>
      <c r="AC3695" s="183">
        <f>IFERROR(__xludf.DUMMYFUNCTION("""COMPUTED_VALUE"""),0.0)</f>
        <v>0</v>
      </c>
      <c r="AD3695" s="183">
        <f>IFERROR(__xludf.DUMMYFUNCTION("""COMPUTED_VALUE"""),0.0)</f>
        <v>0</v>
      </c>
      <c r="AE3695" s="183">
        <f>IFERROR(__xludf.DUMMYFUNCTION("""COMPUTED_VALUE"""),0.0)</f>
        <v>0</v>
      </c>
      <c r="AF3695" s="184"/>
      <c r="AG3695" s="180" t="str">
        <f>IFERROR(__xludf.DUMMYFUNCTION("""COMPUTED_VALUE"""),"Absolutely no issues so far at 6 months, 7500 miles")</f>
        <v>Absolutely no issues so far at 6 months, 7500 miles</v>
      </c>
      <c r="AH3695" s="185">
        <f>IFERROR(__xludf.DUMMYFUNCTION("""COMPUTED_VALUE"""),43329.96164340278)</f>
        <v>43329.96164</v>
      </c>
      <c r="AI3695" s="182"/>
      <c r="AJ3695" s="182"/>
      <c r="AK3695" s="182"/>
      <c r="AL3695" s="182"/>
    </row>
    <row r="3696" ht="20.25" customHeight="1">
      <c r="A3696" s="169" t="str">
        <f>IFERROR(__xludf.DUMMYFUNCTION("""COMPUTED_VALUE"""),"Jango Fett")</f>
        <v>Jango Fett</v>
      </c>
      <c r="B3696" s="170" t="str">
        <f>IFERROR(__xludf.DUMMYFUNCTION("""COMPUTED_VALUE"""),"Chicago suburbs")</f>
        <v>Chicago suburbs</v>
      </c>
      <c r="C3696" s="170" t="str">
        <f>IFERROR(__xludf.DUMMYFUNCTION("""COMPUTED_VALUE"""),"IL")</f>
        <v>IL</v>
      </c>
      <c r="D3696" s="170" t="str">
        <f>IFERROR(__xludf.DUMMYFUNCTION("""COMPUTED_VALUE"""),"USA")</f>
        <v>USA</v>
      </c>
      <c r="E3696" s="171">
        <f>IFERROR(__xludf.DUMMYFUNCTION("""COMPUTED_VALUE"""),43104.0)</f>
        <v>43104</v>
      </c>
      <c r="F3696" s="172">
        <f>IFERROR(__xludf.DUMMYFUNCTION("""COMPUTED_VALUE"""),43124.0)</f>
        <v>43124</v>
      </c>
      <c r="G3696" s="173"/>
      <c r="H3696" s="174">
        <f>IFERROR(__xludf.DUMMYFUNCTION("""COMPUTED_VALUE"""),2842.0)</f>
        <v>2842</v>
      </c>
      <c r="I3696" s="175"/>
      <c r="J3696" s="172">
        <f>IFERROR(__xludf.DUMMYFUNCTION("""COMPUTED_VALUE"""),43124.0)</f>
        <v>43124</v>
      </c>
      <c r="K3696" s="176">
        <f>IFERROR(__xludf.DUMMYFUNCTION("""COMPUTED_VALUE"""),20.0)</f>
        <v>20</v>
      </c>
      <c r="L3696" s="176">
        <f>IFERROR(__xludf.DUMMYFUNCTION("""COMPUTED_VALUE"""),0.0)</f>
        <v>0</v>
      </c>
      <c r="M3696" s="176">
        <f>IFERROR(__xludf.DUMMYFUNCTION("""COMPUTED_VALUE"""),20.0)</f>
        <v>20</v>
      </c>
      <c r="N3696" s="177" t="str">
        <f>IFERROR(__xludf.DUMMYFUNCTION("""COMPUTED_VALUE"""),"Model 3 LR")</f>
        <v>Model 3 LR</v>
      </c>
      <c r="O3696" s="177" t="str">
        <f>IFERROR(__xludf.DUMMYFUNCTION("""COMPUTED_VALUE"""),"Midnight Silver Metallic")</f>
        <v>Midnight Silver Metallic</v>
      </c>
      <c r="P3696" s="178" t="str">
        <f>IFERROR(__xludf.DUMMYFUNCTION("""COMPUTED_VALUE"""),"18 inch Aero")</f>
        <v>18 inch Aero</v>
      </c>
      <c r="Q3696" s="177" t="str">
        <f>IFERROR(__xludf.DUMMYFUNCTION("""COMPUTED_VALUE"""),"Black seats")</f>
        <v>Black seats</v>
      </c>
      <c r="R3696" s="170" t="str">
        <f>IFERROR(__xludf.DUMMYFUNCTION("""COMPUTED_VALUE"""),"Enhanced Autopilot")</f>
        <v>Enhanced Autopilot</v>
      </c>
      <c r="S3696" s="170"/>
      <c r="T3696" s="179"/>
      <c r="U3696" s="179"/>
      <c r="V3696" s="179"/>
      <c r="W3696" s="180"/>
      <c r="X3696" s="181" t="str">
        <f>IFERROR(__xludf.DUMMYFUNCTION("""COMPUTED_VALUE"""),"Very Good")</f>
        <v>Very Good</v>
      </c>
      <c r="Y3696" s="182" t="str">
        <f>IFERROR(__xludf.DUMMYFUNCTION("""COMPUTED_VALUE"""),"Very Good")</f>
        <v>Very Good</v>
      </c>
      <c r="Z3696" s="182" t="str">
        <f>IFERROR(__xludf.DUMMYFUNCTION("""COMPUTED_VALUE"""),"Excellent")</f>
        <v>Excellent</v>
      </c>
      <c r="AA3696" s="182" t="str">
        <f>IFERROR(__xludf.DUMMYFUNCTION("""COMPUTED_VALUE"""),"Excellent")</f>
        <v>Excellent</v>
      </c>
      <c r="AB3696" s="182" t="str">
        <f>IFERROR(__xludf.DUMMYFUNCTION("""COMPUTED_VALUE"""),"Excellent")</f>
        <v>Excellent</v>
      </c>
      <c r="AC3696" s="183">
        <f>IFERROR(__xludf.DUMMYFUNCTION("""COMPUTED_VALUE"""),1.0)</f>
        <v>1</v>
      </c>
      <c r="AD3696" s="183">
        <f>IFERROR(__xludf.DUMMYFUNCTION("""COMPUTED_VALUE"""),1.0)</f>
        <v>1</v>
      </c>
      <c r="AE3696" s="183">
        <f>IFERROR(__xludf.DUMMYFUNCTION("""COMPUTED_VALUE"""),0.0)</f>
        <v>0</v>
      </c>
      <c r="AF3696" s="184"/>
      <c r="AG3696" s="180" t="str">
        <f>IFERROR(__xludf.DUMMYFUNCTION("""COMPUTED_VALUE"""),"Date of manufacture: 1/2018.  Very few problems")</f>
        <v>Date of manufacture: 1/2018.  Very few problems</v>
      </c>
      <c r="AH3696" s="185">
        <f>IFERROR(__xludf.DUMMYFUNCTION("""COMPUTED_VALUE"""),43521.417008819444)</f>
        <v>43521.41701</v>
      </c>
      <c r="AI3696" s="182"/>
      <c r="AJ3696" s="182"/>
      <c r="AK3696" s="182"/>
      <c r="AL3696" s="182"/>
    </row>
    <row r="3697" ht="20.25" customHeight="1">
      <c r="A3697" s="169" t="str">
        <f>IFERROR(__xludf.DUMMYFUNCTION("""COMPUTED_VALUE"""),"Nevetsyad")</f>
        <v>Nevetsyad</v>
      </c>
      <c r="B3697" s="170" t="str">
        <f>IFERROR(__xludf.DUMMYFUNCTION("""COMPUTED_VALUE"""),"Virginia")</f>
        <v>Virginia</v>
      </c>
      <c r="C3697" s="170" t="str">
        <f>IFERROR(__xludf.DUMMYFUNCTION("""COMPUTED_VALUE"""),"VA")</f>
        <v>VA</v>
      </c>
      <c r="D3697" s="170" t="str">
        <f>IFERROR(__xludf.DUMMYFUNCTION("""COMPUTED_VALUE"""),"USA")</f>
        <v>USA</v>
      </c>
      <c r="E3697" s="171">
        <f>IFERROR(__xludf.DUMMYFUNCTION("""COMPUTED_VALUE"""),43101.0)</f>
        <v>43101</v>
      </c>
      <c r="F3697" s="172">
        <f>IFERROR(__xludf.DUMMYFUNCTION("""COMPUTED_VALUE"""),43114.0)</f>
        <v>43114</v>
      </c>
      <c r="G3697" s="173"/>
      <c r="H3697" s="174">
        <f>IFERROR(__xludf.DUMMYFUNCTION("""COMPUTED_VALUE"""),4049.0)</f>
        <v>4049</v>
      </c>
      <c r="I3697" s="175"/>
      <c r="J3697" s="172">
        <f>IFERROR(__xludf.DUMMYFUNCTION("""COMPUTED_VALUE"""),43125.0)</f>
        <v>43125</v>
      </c>
      <c r="K3697" s="176">
        <f>IFERROR(__xludf.DUMMYFUNCTION("""COMPUTED_VALUE"""),13.0)</f>
        <v>13</v>
      </c>
      <c r="L3697" s="176">
        <f>IFERROR(__xludf.DUMMYFUNCTION("""COMPUTED_VALUE"""),11.0)</f>
        <v>11</v>
      </c>
      <c r="M3697" s="176">
        <f>IFERROR(__xludf.DUMMYFUNCTION("""COMPUTED_VALUE"""),24.0)</f>
        <v>24</v>
      </c>
      <c r="N3697" s="177" t="str">
        <f>IFERROR(__xludf.DUMMYFUNCTION("""COMPUTED_VALUE"""),"Model 3 LR")</f>
        <v>Model 3 LR</v>
      </c>
      <c r="O3697" s="177" t="str">
        <f>IFERROR(__xludf.DUMMYFUNCTION("""COMPUTED_VALUE"""),"Red Multi-Coat")</f>
        <v>Red Multi-Coat</v>
      </c>
      <c r="P3697" s="178" t="str">
        <f>IFERROR(__xludf.DUMMYFUNCTION("""COMPUTED_VALUE"""),"18 inch Aero")</f>
        <v>18 inch Aero</v>
      </c>
      <c r="Q3697" s="177" t="str">
        <f>IFERROR(__xludf.DUMMYFUNCTION("""COMPUTED_VALUE"""),"Black seats")</f>
        <v>Black seats</v>
      </c>
      <c r="R3697" s="170" t="str">
        <f>IFERROR(__xludf.DUMMYFUNCTION("""COMPUTED_VALUE"""),"Enhanced Autopilot")</f>
        <v>Enhanced Autopilot</v>
      </c>
      <c r="S3697" s="170"/>
      <c r="T3697" s="179"/>
      <c r="U3697" s="179"/>
      <c r="V3697" s="179"/>
      <c r="W3697" s="180"/>
      <c r="X3697" s="181" t="str">
        <f>IFERROR(__xludf.DUMMYFUNCTION("""COMPUTED_VALUE"""),"Excellent")</f>
        <v>Excellent</v>
      </c>
      <c r="Y3697" s="182" t="str">
        <f>IFERROR(__xludf.DUMMYFUNCTION("""COMPUTED_VALUE"""),"Excellent")</f>
        <v>Excellent</v>
      </c>
      <c r="Z3697" s="182" t="str">
        <f>IFERROR(__xludf.DUMMYFUNCTION("""COMPUTED_VALUE"""),"Very Good")</f>
        <v>Very Good</v>
      </c>
      <c r="AA3697" s="182"/>
      <c r="AB3697" s="182" t="str">
        <f>IFERROR(__xludf.DUMMYFUNCTION("""COMPUTED_VALUE"""),"Excellent")</f>
        <v>Excellent</v>
      </c>
      <c r="AC3697" s="183"/>
      <c r="AD3697" s="183"/>
      <c r="AE3697" s="183"/>
      <c r="AF3697" s="184"/>
      <c r="AG3697" s="180"/>
      <c r="AH3697" s="185">
        <f>IFERROR(__xludf.DUMMYFUNCTION("""COMPUTED_VALUE"""),43249.306760347215)</f>
        <v>43249.30676</v>
      </c>
      <c r="AI3697" s="182"/>
      <c r="AJ3697" s="182"/>
      <c r="AK3697" s="182"/>
      <c r="AL3697" s="182"/>
    </row>
    <row r="3698" ht="20.25" customHeight="1">
      <c r="A3698" s="169" t="str">
        <f>IFERROR(__xludf.DUMMYFUNCTION("""COMPUTED_VALUE"""),"Skryll")</f>
        <v>Skryll</v>
      </c>
      <c r="B3698" s="170" t="str">
        <f>IFERROR(__xludf.DUMMYFUNCTION("""COMPUTED_VALUE"""),"Pleasant Hill")</f>
        <v>Pleasant Hill</v>
      </c>
      <c r="C3698" s="170" t="str">
        <f>IFERROR(__xludf.DUMMYFUNCTION("""COMPUTED_VALUE"""),"CA")</f>
        <v>CA</v>
      </c>
      <c r="D3698" s="170" t="str">
        <f>IFERROR(__xludf.DUMMYFUNCTION("""COMPUTED_VALUE"""),"USA")</f>
        <v>USA</v>
      </c>
      <c r="E3698" s="171">
        <f>IFERROR(__xludf.DUMMYFUNCTION("""COMPUTED_VALUE"""),43089.0)</f>
        <v>43089</v>
      </c>
      <c r="F3698" s="172">
        <f>IFERROR(__xludf.DUMMYFUNCTION("""COMPUTED_VALUE"""),43101.0)</f>
        <v>43101</v>
      </c>
      <c r="G3698" s="173"/>
      <c r="H3698" s="174">
        <f>IFERROR(__xludf.DUMMYFUNCTION("""COMPUTED_VALUE"""),3161.0)</f>
        <v>3161</v>
      </c>
      <c r="I3698" s="175"/>
      <c r="J3698" s="172">
        <f>IFERROR(__xludf.DUMMYFUNCTION("""COMPUTED_VALUE"""),43110.0)</f>
        <v>43110</v>
      </c>
      <c r="K3698" s="176">
        <f>IFERROR(__xludf.DUMMYFUNCTION("""COMPUTED_VALUE"""),12.0)</f>
        <v>12</v>
      </c>
      <c r="L3698" s="176">
        <f>IFERROR(__xludf.DUMMYFUNCTION("""COMPUTED_VALUE"""),9.0)</f>
        <v>9</v>
      </c>
      <c r="M3698" s="176">
        <f>IFERROR(__xludf.DUMMYFUNCTION("""COMPUTED_VALUE"""),21.0)</f>
        <v>21</v>
      </c>
      <c r="N3698" s="177" t="str">
        <f>IFERROR(__xludf.DUMMYFUNCTION("""COMPUTED_VALUE"""),"Model 3 LR")</f>
        <v>Model 3 LR</v>
      </c>
      <c r="O3698" s="177" t="str">
        <f>IFERROR(__xludf.DUMMYFUNCTION("""COMPUTED_VALUE"""),"Pearl White Multi-Coat")</f>
        <v>Pearl White Multi-Coat</v>
      </c>
      <c r="P3698" s="178" t="str">
        <f>IFERROR(__xludf.DUMMYFUNCTION("""COMPUTED_VALUE"""),"18 inch Aero")</f>
        <v>18 inch Aero</v>
      </c>
      <c r="Q3698" s="177" t="str">
        <f>IFERROR(__xludf.DUMMYFUNCTION("""COMPUTED_VALUE"""),"Black seats")</f>
        <v>Black seats</v>
      </c>
      <c r="R3698" s="170" t="str">
        <f>IFERROR(__xludf.DUMMYFUNCTION("""COMPUTED_VALUE"""),"Full Self-Driving")</f>
        <v>Full Self-Driving</v>
      </c>
      <c r="S3698" s="170"/>
      <c r="T3698" s="179"/>
      <c r="U3698" s="179"/>
      <c r="V3698" s="179"/>
      <c r="W3698" s="180"/>
      <c r="X3698" s="181" t="str">
        <f>IFERROR(__xludf.DUMMYFUNCTION("""COMPUTED_VALUE"""),"Very Good")</f>
        <v>Very Good</v>
      </c>
      <c r="Y3698" s="182" t="str">
        <f>IFERROR(__xludf.DUMMYFUNCTION("""COMPUTED_VALUE"""),"Very Good")</f>
        <v>Very Good</v>
      </c>
      <c r="Z3698" s="182" t="str">
        <f>IFERROR(__xludf.DUMMYFUNCTION("""COMPUTED_VALUE"""),"Excellent")</f>
        <v>Excellent</v>
      </c>
      <c r="AA3698" s="182" t="str">
        <f>IFERROR(__xludf.DUMMYFUNCTION("""COMPUTED_VALUE"""),"Fair")</f>
        <v>Fair</v>
      </c>
      <c r="AB3698" s="182" t="str">
        <f>IFERROR(__xludf.DUMMYFUNCTION("""COMPUTED_VALUE"""),"Fair")</f>
        <v>Fair</v>
      </c>
      <c r="AC3698" s="183">
        <f>IFERROR(__xludf.DUMMYFUNCTION("""COMPUTED_VALUE"""),1.0)</f>
        <v>1</v>
      </c>
      <c r="AD3698" s="183">
        <f>IFERROR(__xludf.DUMMYFUNCTION("""COMPUTED_VALUE"""),1.0)</f>
        <v>1</v>
      </c>
      <c r="AE3698" s="183">
        <f>IFERROR(__xludf.DUMMYFUNCTION("""COMPUTED_VALUE"""),3.0)</f>
        <v>3</v>
      </c>
      <c r="AF3698" s="184"/>
      <c r="AG3698" s="180"/>
      <c r="AH3698" s="185">
        <f>IFERROR(__xludf.DUMMYFUNCTION("""COMPUTED_VALUE"""),43535.172585925924)</f>
        <v>43535.17259</v>
      </c>
      <c r="AI3698" s="182"/>
      <c r="AJ3698" s="182"/>
      <c r="AK3698" s="182"/>
      <c r="AL3698" s="182"/>
    </row>
    <row r="3699" ht="20.25" customHeight="1">
      <c r="A3699" s="169" t="str">
        <f>IFERROR(__xludf.DUMMYFUNCTION("""COMPUTED_VALUE"""),"reefine")</f>
        <v>reefine</v>
      </c>
      <c r="B3699" s="170"/>
      <c r="C3699" s="170" t="str">
        <f>IFERROR(__xludf.DUMMYFUNCTION("""COMPUTED_VALUE"""),"CA")</f>
        <v>CA</v>
      </c>
      <c r="D3699" s="170" t="str">
        <f>IFERROR(__xludf.DUMMYFUNCTION("""COMPUTED_VALUE"""),"USA")</f>
        <v>USA</v>
      </c>
      <c r="E3699" s="171">
        <f>IFERROR(__xludf.DUMMYFUNCTION("""COMPUTED_VALUE"""),43084.0)</f>
        <v>43084</v>
      </c>
      <c r="F3699" s="172">
        <f>IFERROR(__xludf.DUMMYFUNCTION("""COMPUTED_VALUE"""),43103.0)</f>
        <v>43103</v>
      </c>
      <c r="G3699" s="173"/>
      <c r="H3699" s="174">
        <f>IFERROR(__xludf.DUMMYFUNCTION("""COMPUTED_VALUE"""),3454.0)</f>
        <v>3454</v>
      </c>
      <c r="I3699" s="175"/>
      <c r="J3699" s="172">
        <f>IFERROR(__xludf.DUMMYFUNCTION("""COMPUTED_VALUE"""),43112.0)</f>
        <v>43112</v>
      </c>
      <c r="K3699" s="176">
        <f>IFERROR(__xludf.DUMMYFUNCTION("""COMPUTED_VALUE"""),19.0)</f>
        <v>19</v>
      </c>
      <c r="L3699" s="176">
        <f>IFERROR(__xludf.DUMMYFUNCTION("""COMPUTED_VALUE"""),9.0)</f>
        <v>9</v>
      </c>
      <c r="M3699" s="176">
        <f>IFERROR(__xludf.DUMMYFUNCTION("""COMPUTED_VALUE"""),28.0)</f>
        <v>28</v>
      </c>
      <c r="N3699" s="177" t="str">
        <f>IFERROR(__xludf.DUMMYFUNCTION("""COMPUTED_VALUE"""),"Model 3 LR")</f>
        <v>Model 3 LR</v>
      </c>
      <c r="O3699" s="177" t="str">
        <f>IFERROR(__xludf.DUMMYFUNCTION("""COMPUTED_VALUE"""),"Silver Metallic")</f>
        <v>Silver Metallic</v>
      </c>
      <c r="P3699" s="178" t="str">
        <f>IFERROR(__xludf.DUMMYFUNCTION("""COMPUTED_VALUE"""),"19 inch Sport")</f>
        <v>19 inch Sport</v>
      </c>
      <c r="Q3699" s="177" t="str">
        <f>IFERROR(__xludf.DUMMYFUNCTION("""COMPUTED_VALUE"""),"Black seats")</f>
        <v>Black seats</v>
      </c>
      <c r="R3699" s="170" t="str">
        <f>IFERROR(__xludf.DUMMYFUNCTION("""COMPUTED_VALUE"""),"Enhanced Autopilot")</f>
        <v>Enhanced Autopilot</v>
      </c>
      <c r="S3699" s="170"/>
      <c r="T3699" s="179"/>
      <c r="U3699" s="179"/>
      <c r="V3699" s="179"/>
      <c r="W3699" s="180"/>
      <c r="X3699" s="181" t="str">
        <f>IFERROR(__xludf.DUMMYFUNCTION("""COMPUTED_VALUE"""),"Excellent")</f>
        <v>Excellent</v>
      </c>
      <c r="Y3699" s="182" t="str">
        <f>IFERROR(__xludf.DUMMYFUNCTION("""COMPUTED_VALUE"""),"Very Good")</f>
        <v>Very Good</v>
      </c>
      <c r="Z3699" s="182" t="str">
        <f>IFERROR(__xludf.DUMMYFUNCTION("""COMPUTED_VALUE"""),"Excellent")</f>
        <v>Excellent</v>
      </c>
      <c r="AA3699" s="182"/>
      <c r="AB3699" s="182" t="str">
        <f>IFERROR(__xludf.DUMMYFUNCTION("""COMPUTED_VALUE"""),"Excellent")</f>
        <v>Excellent</v>
      </c>
      <c r="AC3699" s="183"/>
      <c r="AD3699" s="183"/>
      <c r="AE3699" s="183"/>
      <c r="AF3699" s="184"/>
      <c r="AG3699" s="180"/>
      <c r="AH3699" s="185">
        <f>IFERROR(__xludf.DUMMYFUNCTION("""COMPUTED_VALUE"""),43227.63897091435)</f>
        <v>43227.63897</v>
      </c>
      <c r="AI3699" s="182"/>
      <c r="AJ3699" s="182"/>
      <c r="AK3699" s="182"/>
      <c r="AL3699" s="182"/>
    </row>
    <row r="3700" ht="20.25" customHeight="1">
      <c r="A3700" s="169" t="str">
        <f>IFERROR(__xludf.DUMMYFUNCTION("""COMPUTED_VALUE"""),"PReilly44")</f>
        <v>PReilly44</v>
      </c>
      <c r="B3700" s="170"/>
      <c r="C3700" s="170" t="str">
        <f>IFERROR(__xludf.DUMMYFUNCTION("""COMPUTED_VALUE"""),"MD")</f>
        <v>MD</v>
      </c>
      <c r="D3700" s="170" t="str">
        <f>IFERROR(__xludf.DUMMYFUNCTION("""COMPUTED_VALUE"""),"USA")</f>
        <v>USA</v>
      </c>
      <c r="E3700" s="171">
        <f>IFERROR(__xludf.DUMMYFUNCTION("""COMPUTED_VALUE"""),43076.0)</f>
        <v>43076</v>
      </c>
      <c r="F3700" s="172">
        <f>IFERROR(__xludf.DUMMYFUNCTION("""COMPUTED_VALUE"""),43110.0)</f>
        <v>43110</v>
      </c>
      <c r="G3700" s="173"/>
      <c r="H3700" s="174">
        <f>IFERROR(__xludf.DUMMYFUNCTION("""COMPUTED_VALUE"""),3055.0)</f>
        <v>3055</v>
      </c>
      <c r="I3700" s="175"/>
      <c r="J3700" s="172">
        <f>IFERROR(__xludf.DUMMYFUNCTION("""COMPUTED_VALUE"""),42752.0)</f>
        <v>42752</v>
      </c>
      <c r="K3700" s="176">
        <f>IFERROR(__xludf.DUMMYFUNCTION("""COMPUTED_VALUE"""),34.0)</f>
        <v>34</v>
      </c>
      <c r="L3700" s="176"/>
      <c r="M3700" s="176"/>
      <c r="N3700" s="177" t="str">
        <f>IFERROR(__xludf.DUMMYFUNCTION("""COMPUTED_VALUE"""),"Model 3 LR")</f>
        <v>Model 3 LR</v>
      </c>
      <c r="O3700" s="177" t="str">
        <f>IFERROR(__xludf.DUMMYFUNCTION("""COMPUTED_VALUE"""),"Deep Blue Metallic")</f>
        <v>Deep Blue Metallic</v>
      </c>
      <c r="P3700" s="178" t="str">
        <f>IFERROR(__xludf.DUMMYFUNCTION("""COMPUTED_VALUE"""),"18 inch Aero")</f>
        <v>18 inch Aero</v>
      </c>
      <c r="Q3700" s="177" t="str">
        <f>IFERROR(__xludf.DUMMYFUNCTION("""COMPUTED_VALUE"""),"Black seats")</f>
        <v>Black seats</v>
      </c>
      <c r="R3700" s="170" t="str">
        <f>IFERROR(__xludf.DUMMYFUNCTION("""COMPUTED_VALUE"""),"Enhanced Autopilot")</f>
        <v>Enhanced Autopilot</v>
      </c>
      <c r="S3700" s="170"/>
      <c r="T3700" s="179"/>
      <c r="U3700" s="179"/>
      <c r="V3700" s="179"/>
      <c r="W3700" s="180"/>
      <c r="X3700" s="181" t="str">
        <f>IFERROR(__xludf.DUMMYFUNCTION("""COMPUTED_VALUE"""),"Excellent")</f>
        <v>Excellent</v>
      </c>
      <c r="Y3700" s="182" t="str">
        <f>IFERROR(__xludf.DUMMYFUNCTION("""COMPUTED_VALUE"""),"Excellent")</f>
        <v>Excellent</v>
      </c>
      <c r="Z3700" s="182" t="str">
        <f>IFERROR(__xludf.DUMMYFUNCTION("""COMPUTED_VALUE"""),"Excellent")</f>
        <v>Excellent</v>
      </c>
      <c r="AA3700" s="182"/>
      <c r="AB3700" s="182" t="str">
        <f>IFERROR(__xludf.DUMMYFUNCTION("""COMPUTED_VALUE"""),"Excellent")</f>
        <v>Excellent</v>
      </c>
      <c r="AC3700" s="183"/>
      <c r="AD3700" s="183"/>
      <c r="AE3700" s="183"/>
      <c r="AF3700" s="184"/>
      <c r="AG3700" s="180"/>
      <c r="AH3700" s="185">
        <f>IFERROR(__xludf.DUMMYFUNCTION("""COMPUTED_VALUE"""),43249.250229143516)</f>
        <v>43249.25023</v>
      </c>
      <c r="AI3700" s="182"/>
      <c r="AJ3700" s="182"/>
      <c r="AK3700" s="182"/>
      <c r="AL3700" s="182"/>
    </row>
    <row r="3701" ht="20.25" customHeight="1">
      <c r="A3701" s="169" t="str">
        <f>IFERROR(__xludf.DUMMYFUNCTION("""COMPUTED_VALUE"""),"BLUR")</f>
        <v>BLUR</v>
      </c>
      <c r="B3701" s="170" t="str">
        <f>IFERROR(__xludf.DUMMYFUNCTION("""COMPUTED_VALUE"""),"Seattle")</f>
        <v>Seattle</v>
      </c>
      <c r="C3701" s="170" t="str">
        <f>IFERROR(__xludf.DUMMYFUNCTION("""COMPUTED_VALUE"""),"WA")</f>
        <v>WA</v>
      </c>
      <c r="D3701" s="170" t="str">
        <f>IFERROR(__xludf.DUMMYFUNCTION("""COMPUTED_VALUE"""),"USA")</f>
        <v>USA</v>
      </c>
      <c r="E3701" s="171">
        <f>IFERROR(__xludf.DUMMYFUNCTION("""COMPUTED_VALUE"""),43040.0)</f>
        <v>43040</v>
      </c>
      <c r="F3701" s="172">
        <f>IFERROR(__xludf.DUMMYFUNCTION("""COMPUTED_VALUE"""),43300.0)</f>
        <v>43300</v>
      </c>
      <c r="G3701" s="173"/>
      <c r="H3701" s="174">
        <f>IFERROR(__xludf.DUMMYFUNCTION("""COMPUTED_VALUE"""),73348.0)</f>
        <v>73348</v>
      </c>
      <c r="I3701" s="175"/>
      <c r="J3701" s="172">
        <f>IFERROR(__xludf.DUMMYFUNCTION("""COMPUTED_VALUE"""),43305.0)</f>
        <v>43305</v>
      </c>
      <c r="K3701" s="176">
        <f>IFERROR(__xludf.DUMMYFUNCTION("""COMPUTED_VALUE"""),260.0)</f>
        <v>260</v>
      </c>
      <c r="L3701" s="176">
        <f>IFERROR(__xludf.DUMMYFUNCTION("""COMPUTED_VALUE"""),5.0)</f>
        <v>5</v>
      </c>
      <c r="M3701" s="176">
        <f>IFERROR(__xludf.DUMMYFUNCTION("""COMPUTED_VALUE"""),265.0)</f>
        <v>265</v>
      </c>
      <c r="N3701" s="177" t="str">
        <f>IFERROR(__xludf.DUMMYFUNCTION("""COMPUTED_VALUE"""),"Model 3 Performance")</f>
        <v>Model 3 Performance</v>
      </c>
      <c r="O3701" s="177" t="str">
        <f>IFERROR(__xludf.DUMMYFUNCTION("""COMPUTED_VALUE"""),"Red Multi-Coat")</f>
        <v>Red Multi-Coat</v>
      </c>
      <c r="P3701" s="178" t="str">
        <f>IFERROR(__xludf.DUMMYFUNCTION("""COMPUTED_VALUE"""),"18 inch Aero")</f>
        <v>18 inch Aero</v>
      </c>
      <c r="Q3701" s="177" t="str">
        <f>IFERROR(__xludf.DUMMYFUNCTION("""COMPUTED_VALUE"""),"Black seats")</f>
        <v>Black seats</v>
      </c>
      <c r="R3701" s="170"/>
      <c r="S3701" s="170"/>
      <c r="T3701" s="179"/>
      <c r="U3701" s="179"/>
      <c r="V3701" s="179"/>
      <c r="W3701" s="180"/>
      <c r="X3701" s="181" t="str">
        <f>IFERROR(__xludf.DUMMYFUNCTION("""COMPUTED_VALUE"""),"Fair")</f>
        <v>Fair</v>
      </c>
      <c r="Y3701" s="182" t="str">
        <f>IFERROR(__xludf.DUMMYFUNCTION("""COMPUTED_VALUE"""),"Good")</f>
        <v>Good</v>
      </c>
      <c r="Z3701" s="182" t="str">
        <f>IFERROR(__xludf.DUMMYFUNCTION("""COMPUTED_VALUE"""),"Fair")</f>
        <v>Fair</v>
      </c>
      <c r="AA3701" s="182" t="str">
        <f>IFERROR(__xludf.DUMMYFUNCTION("""COMPUTED_VALUE"""),"Fair")</f>
        <v>Fair</v>
      </c>
      <c r="AB3701" s="182" t="str">
        <f>IFERROR(__xludf.DUMMYFUNCTION("""COMPUTED_VALUE"""),"Fair")</f>
        <v>Fair</v>
      </c>
      <c r="AC3701" s="183">
        <f>IFERROR(__xludf.DUMMYFUNCTION("""COMPUTED_VALUE"""),4.0)</f>
        <v>4</v>
      </c>
      <c r="AD3701" s="183">
        <f>IFERROR(__xludf.DUMMYFUNCTION("""COMPUTED_VALUE"""),1.0)</f>
        <v>1</v>
      </c>
      <c r="AE3701" s="183">
        <f>IFERROR(__xludf.DUMMYFUNCTION("""COMPUTED_VALUE"""),0.0)</f>
        <v>0</v>
      </c>
      <c r="AF3701" s="184"/>
      <c r="AG3701" s="180"/>
      <c r="AH3701" s="185">
        <f>IFERROR(__xludf.DUMMYFUNCTION("""COMPUTED_VALUE"""),43940.473231331016)</f>
        <v>43940.47323</v>
      </c>
      <c r="AI3701" s="182"/>
      <c r="AJ3701" s="182"/>
      <c r="AK3701" s="182"/>
      <c r="AL3701" s="182"/>
    </row>
    <row r="3702" ht="20.25" customHeight="1">
      <c r="A3702" s="169" t="str">
        <f>IFERROR(__xludf.DUMMYFUNCTION("""COMPUTED_VALUE"""),"Bill33432")</f>
        <v>Bill33432</v>
      </c>
      <c r="B3702" s="170" t="str">
        <f>IFERROR(__xludf.DUMMYFUNCTION("""COMPUTED_VALUE"""),"Boca Raton")</f>
        <v>Boca Raton</v>
      </c>
      <c r="C3702" s="170" t="str">
        <f>IFERROR(__xludf.DUMMYFUNCTION("""COMPUTED_VALUE"""),"FL")</f>
        <v>FL</v>
      </c>
      <c r="D3702" s="170" t="str">
        <f>IFERROR(__xludf.DUMMYFUNCTION("""COMPUTED_VALUE"""),"USA")</f>
        <v>USA</v>
      </c>
      <c r="E3702" s="171">
        <f>IFERROR(__xludf.DUMMYFUNCTION("""COMPUTED_VALUE"""),42988.0)</f>
        <v>42988</v>
      </c>
      <c r="F3702" s="172"/>
      <c r="G3702" s="173"/>
      <c r="H3702" s="174">
        <f>IFERROR(__xludf.DUMMYFUNCTION("""COMPUTED_VALUE"""),2655.0)</f>
        <v>2655</v>
      </c>
      <c r="I3702" s="175"/>
      <c r="J3702" s="172">
        <f>IFERROR(__xludf.DUMMYFUNCTION("""COMPUTED_VALUE"""),43109.0)</f>
        <v>43109</v>
      </c>
      <c r="K3702" s="176"/>
      <c r="L3702" s="176"/>
      <c r="M3702" s="176">
        <f>IFERROR(__xludf.DUMMYFUNCTION("""COMPUTED_VALUE"""),121.0)</f>
        <v>121</v>
      </c>
      <c r="N3702" s="177" t="str">
        <f>IFERROR(__xludf.DUMMYFUNCTION("""COMPUTED_VALUE"""),"Model 3 LR")</f>
        <v>Model 3 LR</v>
      </c>
      <c r="O3702" s="177" t="str">
        <f>IFERROR(__xludf.DUMMYFUNCTION("""COMPUTED_VALUE"""),"Pearl White Multi-Coat")</f>
        <v>Pearl White Multi-Coat</v>
      </c>
      <c r="P3702" s="178" t="str">
        <f>IFERROR(__xludf.DUMMYFUNCTION("""COMPUTED_VALUE"""),"19 inch Sport")</f>
        <v>19 inch Sport</v>
      </c>
      <c r="Q3702" s="177" t="str">
        <f>IFERROR(__xludf.DUMMYFUNCTION("""COMPUTED_VALUE"""),"Black seats")</f>
        <v>Black seats</v>
      </c>
      <c r="R3702" s="170" t="str">
        <f>IFERROR(__xludf.DUMMYFUNCTION("""COMPUTED_VALUE"""),"Enhanced Autopilot")</f>
        <v>Enhanced Autopilot</v>
      </c>
      <c r="S3702" s="170"/>
      <c r="T3702" s="179"/>
      <c r="U3702" s="179"/>
      <c r="V3702" s="179"/>
      <c r="W3702" s="180"/>
      <c r="X3702" s="181" t="str">
        <f>IFERROR(__xludf.DUMMYFUNCTION("""COMPUTED_VALUE"""),"Very Good")</f>
        <v>Very Good</v>
      </c>
      <c r="Y3702" s="182" t="str">
        <f>IFERROR(__xludf.DUMMYFUNCTION("""COMPUTED_VALUE"""),"Very Good")</f>
        <v>Very Good</v>
      </c>
      <c r="Z3702" s="182" t="str">
        <f>IFERROR(__xludf.DUMMYFUNCTION("""COMPUTED_VALUE"""),"Excellent")</f>
        <v>Excellent</v>
      </c>
      <c r="AA3702" s="182"/>
      <c r="AB3702" s="182" t="str">
        <f>IFERROR(__xludf.DUMMYFUNCTION("""COMPUTED_VALUE"""),"Excellent")</f>
        <v>Excellent</v>
      </c>
      <c r="AC3702" s="183"/>
      <c r="AD3702" s="183"/>
      <c r="AE3702" s="183"/>
      <c r="AF3702" s="184"/>
      <c r="AG3702" s="180"/>
      <c r="AH3702" s="185">
        <f>IFERROR(__xludf.DUMMYFUNCTION("""COMPUTED_VALUE"""),43239.35441469907)</f>
        <v>43239.35441</v>
      </c>
      <c r="AI3702" s="182"/>
      <c r="AJ3702" s="182"/>
      <c r="AK3702" s="182"/>
      <c r="AL3702" s="182"/>
    </row>
    <row r="3703" ht="20.25" customHeight="1">
      <c r="A3703" s="169" t="str">
        <f>IFERROR(__xludf.DUMMYFUNCTION("""COMPUTED_VALUE"""),"Zanziabar")</f>
        <v>Zanziabar</v>
      </c>
      <c r="B3703" s="170" t="str">
        <f>IFERROR(__xludf.DUMMYFUNCTION("""COMPUTED_VALUE"""),"Redlands")</f>
        <v>Redlands</v>
      </c>
      <c r="C3703" s="170" t="str">
        <f>IFERROR(__xludf.DUMMYFUNCTION("""COMPUTED_VALUE"""),"CA")</f>
        <v>CA</v>
      </c>
      <c r="D3703" s="170" t="str">
        <f>IFERROR(__xludf.DUMMYFUNCTION("""COMPUTED_VALUE"""),"USA")</f>
        <v>USA</v>
      </c>
      <c r="E3703" s="171">
        <f>IFERROR(__xludf.DUMMYFUNCTION("""COMPUTED_VALUE"""),42958.0)</f>
        <v>42958</v>
      </c>
      <c r="F3703" s="172">
        <f>IFERROR(__xludf.DUMMYFUNCTION("""COMPUTED_VALUE"""),43312.0)</f>
        <v>43312</v>
      </c>
      <c r="G3703" s="173"/>
      <c r="H3703" s="174">
        <f>IFERROR(__xludf.DUMMYFUNCTION("""COMPUTED_VALUE"""),45317.0)</f>
        <v>45317</v>
      </c>
      <c r="I3703" s="175" t="str">
        <f>IFERROR(__xludf.DUMMYFUNCTION("""COMPUTED_VALUE"""),"07/18")</f>
        <v>07/18</v>
      </c>
      <c r="J3703" s="172">
        <f>IFERROR(__xludf.DUMMYFUNCTION("""COMPUTED_VALUE"""),43317.0)</f>
        <v>43317</v>
      </c>
      <c r="K3703" s="176">
        <f>IFERROR(__xludf.DUMMYFUNCTION("""COMPUTED_VALUE"""),354.0)</f>
        <v>354</v>
      </c>
      <c r="L3703" s="176">
        <f>IFERROR(__xludf.DUMMYFUNCTION("""COMPUTED_VALUE"""),5.0)</f>
        <v>5</v>
      </c>
      <c r="M3703" s="176">
        <f>IFERROR(__xludf.DUMMYFUNCTION("""COMPUTED_VALUE"""),359.0)</f>
        <v>359</v>
      </c>
      <c r="N3703" s="177" t="str">
        <f>IFERROR(__xludf.DUMMYFUNCTION("""COMPUTED_VALUE"""),"Model 3 LR")</f>
        <v>Model 3 LR</v>
      </c>
      <c r="O3703" s="177" t="str">
        <f>IFERROR(__xludf.DUMMYFUNCTION("""COMPUTED_VALUE"""),"Midnight Silver Metallic")</f>
        <v>Midnight Silver Metallic</v>
      </c>
      <c r="P3703" s="178" t="str">
        <f>IFERROR(__xludf.DUMMYFUNCTION("""COMPUTED_VALUE"""),"18 inch Aero")</f>
        <v>18 inch Aero</v>
      </c>
      <c r="Q3703" s="177" t="str">
        <f>IFERROR(__xludf.DUMMYFUNCTION("""COMPUTED_VALUE"""),"Black seats")</f>
        <v>Black seats</v>
      </c>
      <c r="R3703" s="170" t="str">
        <f>IFERROR(__xludf.DUMMYFUNCTION("""COMPUTED_VALUE"""),"None")</f>
        <v>None</v>
      </c>
      <c r="S3703" s="170"/>
      <c r="T3703" s="179"/>
      <c r="U3703" s="179"/>
      <c r="V3703" s="179"/>
      <c r="W3703" s="180"/>
      <c r="X3703" s="181" t="str">
        <f>IFERROR(__xludf.DUMMYFUNCTION("""COMPUTED_VALUE"""),"Excellent")</f>
        <v>Excellent</v>
      </c>
      <c r="Y3703" s="182" t="str">
        <f>IFERROR(__xludf.DUMMYFUNCTION("""COMPUTED_VALUE"""),"Excellent")</f>
        <v>Excellent</v>
      </c>
      <c r="Z3703" s="182" t="str">
        <f>IFERROR(__xludf.DUMMYFUNCTION("""COMPUTED_VALUE"""),"Excellent")</f>
        <v>Excellent</v>
      </c>
      <c r="AA3703" s="182" t="str">
        <f>IFERROR(__xludf.DUMMYFUNCTION("""COMPUTED_VALUE"""),"Excellent")</f>
        <v>Excellent</v>
      </c>
      <c r="AB3703" s="182" t="str">
        <f>IFERROR(__xludf.DUMMYFUNCTION("""COMPUTED_VALUE"""),"Excellent")</f>
        <v>Excellent</v>
      </c>
      <c r="AC3703" s="183">
        <f>IFERROR(__xludf.DUMMYFUNCTION("""COMPUTED_VALUE"""),0.0)</f>
        <v>0</v>
      </c>
      <c r="AD3703" s="183">
        <f>IFERROR(__xludf.DUMMYFUNCTION("""COMPUTED_VALUE"""),0.0)</f>
        <v>0</v>
      </c>
      <c r="AE3703" s="183">
        <f>IFERROR(__xludf.DUMMYFUNCTION("""COMPUTED_VALUE"""),0.0)</f>
        <v>0</v>
      </c>
      <c r="AF3703" s="184"/>
      <c r="AG3703" s="180"/>
      <c r="AH3703" s="185">
        <f>IFERROR(__xludf.DUMMYFUNCTION("""COMPUTED_VALUE"""),43318.46150892361)</f>
        <v>43318.46151</v>
      </c>
      <c r="AI3703" s="182"/>
      <c r="AJ3703" s="182"/>
      <c r="AK3703" s="182"/>
      <c r="AL3703" s="182"/>
    </row>
    <row r="3704" ht="20.25" customHeight="1">
      <c r="A3704" s="169" t="str">
        <f>IFERROR(__xludf.DUMMYFUNCTION("""COMPUTED_VALUE"""),"Sam-Bam")</f>
        <v>Sam-Bam</v>
      </c>
      <c r="B3704" s="170" t="str">
        <f>IFERROR(__xludf.DUMMYFUNCTION("""COMPUTED_VALUE"""),"Alameda")</f>
        <v>Alameda</v>
      </c>
      <c r="C3704" s="170" t="str">
        <f>IFERROR(__xludf.DUMMYFUNCTION("""COMPUTED_VALUE"""),"CA")</f>
        <v>CA</v>
      </c>
      <c r="D3704" s="170" t="str">
        <f>IFERROR(__xludf.DUMMYFUNCTION("""COMPUTED_VALUE"""),"USA")</f>
        <v>USA</v>
      </c>
      <c r="E3704" s="171">
        <f>IFERROR(__xludf.DUMMYFUNCTION("""COMPUTED_VALUE"""),42567.0)</f>
        <v>42567</v>
      </c>
      <c r="F3704" s="172">
        <f>IFERROR(__xludf.DUMMYFUNCTION("""COMPUTED_VALUE"""),43319.0)</f>
        <v>43319</v>
      </c>
      <c r="G3704" s="173"/>
      <c r="H3704" s="174">
        <f>IFERROR(__xludf.DUMMYFUNCTION("""COMPUTED_VALUE"""),45365.0)</f>
        <v>45365</v>
      </c>
      <c r="I3704" s="175" t="str">
        <f>IFERROR(__xludf.DUMMYFUNCTION("""COMPUTED_VALUE"""),"07/18")</f>
        <v>07/18</v>
      </c>
      <c r="J3704" s="172">
        <f>IFERROR(__xludf.DUMMYFUNCTION("""COMPUTED_VALUE"""),43328.0)</f>
        <v>43328</v>
      </c>
      <c r="K3704" s="176"/>
      <c r="L3704" s="176">
        <f>IFERROR(__xludf.DUMMYFUNCTION("""COMPUTED_VALUE"""),9.0)</f>
        <v>9</v>
      </c>
      <c r="M3704" s="176"/>
      <c r="N3704" s="177" t="str">
        <f>IFERROR(__xludf.DUMMYFUNCTION("""COMPUTED_VALUE"""),"Model 3 LR")</f>
        <v>Model 3 LR</v>
      </c>
      <c r="O3704" s="177" t="str">
        <f>IFERROR(__xludf.DUMMYFUNCTION("""COMPUTED_VALUE"""),"Midnight Silver Metallic")</f>
        <v>Midnight Silver Metallic</v>
      </c>
      <c r="P3704" s="178" t="str">
        <f>IFERROR(__xludf.DUMMYFUNCTION("""COMPUTED_VALUE"""),"18 inch Aero")</f>
        <v>18 inch Aero</v>
      </c>
      <c r="Q3704" s="177" t="str">
        <f>IFERROR(__xludf.DUMMYFUNCTION("""COMPUTED_VALUE"""),"Black seats")</f>
        <v>Black seats</v>
      </c>
      <c r="R3704" s="170" t="str">
        <f>IFERROR(__xludf.DUMMYFUNCTION("""COMPUTED_VALUE"""),"None")</f>
        <v>None</v>
      </c>
      <c r="S3704" s="170"/>
      <c r="T3704" s="179"/>
      <c r="U3704" s="179"/>
      <c r="V3704" s="179"/>
      <c r="W3704" s="180"/>
      <c r="X3704" s="181" t="str">
        <f>IFERROR(__xludf.DUMMYFUNCTION("""COMPUTED_VALUE"""),"Very Good")</f>
        <v>Very Good</v>
      </c>
      <c r="Y3704" s="182" t="str">
        <f>IFERROR(__xludf.DUMMYFUNCTION("""COMPUTED_VALUE"""),"Very Good")</f>
        <v>Very Good</v>
      </c>
      <c r="Z3704" s="182" t="str">
        <f>IFERROR(__xludf.DUMMYFUNCTION("""COMPUTED_VALUE"""),"Excellent")</f>
        <v>Excellent</v>
      </c>
      <c r="AA3704" s="182" t="str">
        <f>IFERROR(__xludf.DUMMYFUNCTION("""COMPUTED_VALUE"""),"Excellent")</f>
        <v>Excellent</v>
      </c>
      <c r="AB3704" s="182" t="str">
        <f>IFERROR(__xludf.DUMMYFUNCTION("""COMPUTED_VALUE"""),"Very Good")</f>
        <v>Very Good</v>
      </c>
      <c r="AC3704" s="183"/>
      <c r="AD3704" s="183"/>
      <c r="AE3704" s="183"/>
      <c r="AF3704" s="184"/>
      <c r="AG3704" s="180"/>
      <c r="AH3704" s="185">
        <f>IFERROR(__xludf.DUMMYFUNCTION("""COMPUTED_VALUE"""),43335.34951806713)</f>
        <v>43335.34952</v>
      </c>
      <c r="AI3704" s="182"/>
      <c r="AJ3704" s="182"/>
      <c r="AK3704" s="182"/>
      <c r="AL3704" s="182"/>
    </row>
    <row r="3705" ht="20.25" customHeight="1">
      <c r="A3705" s="169" t="str">
        <f>IFERROR(__xludf.DUMMYFUNCTION("""COMPUTED_VALUE"""),"dc10023")</f>
        <v>dc10023</v>
      </c>
      <c r="B3705" s="170" t="str">
        <f>IFERROR(__xludf.DUMMYFUNCTION("""COMPUTED_VALUE"""),"Seattle")</f>
        <v>Seattle</v>
      </c>
      <c r="C3705" s="170" t="str">
        <f>IFERROR(__xludf.DUMMYFUNCTION("""COMPUTED_VALUE"""),"WA")</f>
        <v>WA</v>
      </c>
      <c r="D3705" s="170" t="str">
        <f>IFERROR(__xludf.DUMMYFUNCTION("""COMPUTED_VALUE"""),"USA")</f>
        <v>USA</v>
      </c>
      <c r="E3705" s="171">
        <f>IFERROR(__xludf.DUMMYFUNCTION("""COMPUTED_VALUE"""),42464.0)</f>
        <v>42464</v>
      </c>
      <c r="F3705" s="172">
        <f>IFERROR(__xludf.DUMMYFUNCTION("""COMPUTED_VALUE"""),43366.0)</f>
        <v>43366</v>
      </c>
      <c r="G3705" s="173"/>
      <c r="H3705" s="174">
        <f>IFERROR(__xludf.DUMMYFUNCTION("""COMPUTED_VALUE"""),105276.0)</f>
        <v>105276</v>
      </c>
      <c r="I3705" s="175"/>
      <c r="J3705" s="172">
        <f>IFERROR(__xludf.DUMMYFUNCTION("""COMPUTED_VALUE"""),43370.0)</f>
        <v>43370</v>
      </c>
      <c r="K3705" s="176"/>
      <c r="L3705" s="176">
        <f>IFERROR(__xludf.DUMMYFUNCTION("""COMPUTED_VALUE"""),4.0)</f>
        <v>4</v>
      </c>
      <c r="M3705" s="176"/>
      <c r="N3705" s="177" t="str">
        <f>IFERROR(__xludf.DUMMYFUNCTION("""COMPUTED_VALUE"""),"Model 3 LR AWD")</f>
        <v>Model 3 LR AWD</v>
      </c>
      <c r="O3705" s="177" t="str">
        <f>IFERROR(__xludf.DUMMYFUNCTION("""COMPUTED_VALUE"""),"Deep Blue Metallic")</f>
        <v>Deep Blue Metallic</v>
      </c>
      <c r="P3705" s="178" t="str">
        <f>IFERROR(__xludf.DUMMYFUNCTION("""COMPUTED_VALUE"""),"18 inch Aero")</f>
        <v>18 inch Aero</v>
      </c>
      <c r="Q3705" s="177" t="str">
        <f>IFERROR(__xludf.DUMMYFUNCTION("""COMPUTED_VALUE"""),"Black seats")</f>
        <v>Black seats</v>
      </c>
      <c r="R3705" s="170" t="str">
        <f>IFERROR(__xludf.DUMMYFUNCTION("""COMPUTED_VALUE"""),"Full Self-Driving")</f>
        <v>Full Self-Driving</v>
      </c>
      <c r="S3705" s="170"/>
      <c r="T3705" s="179"/>
      <c r="U3705" s="179"/>
      <c r="V3705" s="179"/>
      <c r="W3705" s="180"/>
      <c r="X3705" s="181" t="str">
        <f>IFERROR(__xludf.DUMMYFUNCTION("""COMPUTED_VALUE"""),"Excellent")</f>
        <v>Excellent</v>
      </c>
      <c r="Y3705" s="182" t="str">
        <f>IFERROR(__xludf.DUMMYFUNCTION("""COMPUTED_VALUE"""),"Excellent")</f>
        <v>Excellent</v>
      </c>
      <c r="Z3705" s="182" t="str">
        <f>IFERROR(__xludf.DUMMYFUNCTION("""COMPUTED_VALUE"""),"Excellent")</f>
        <v>Excellent</v>
      </c>
      <c r="AA3705" s="182" t="str">
        <f>IFERROR(__xludf.DUMMYFUNCTION("""COMPUTED_VALUE"""),"Fair")</f>
        <v>Fair</v>
      </c>
      <c r="AB3705" s="182" t="str">
        <f>IFERROR(__xludf.DUMMYFUNCTION("""COMPUTED_VALUE"""),"Excellent")</f>
        <v>Excellent</v>
      </c>
      <c r="AC3705" s="183">
        <f>IFERROR(__xludf.DUMMYFUNCTION("""COMPUTED_VALUE"""),0.0)</f>
        <v>0</v>
      </c>
      <c r="AD3705" s="183">
        <f>IFERROR(__xludf.DUMMYFUNCTION("""COMPUTED_VALUE"""),0.0)</f>
        <v>0</v>
      </c>
      <c r="AE3705" s="183">
        <f>IFERROR(__xludf.DUMMYFUNCTION("""COMPUTED_VALUE"""),0.0)</f>
        <v>0</v>
      </c>
      <c r="AF3705" s="184"/>
      <c r="AG3705" s="180" t="str">
        <f>IFERROR(__xludf.DUMMYFUNCTION("""COMPUTED_VALUE"""),"Several months in. Very happy customers. Only issue is that I live in condo without wifi so there are delays in updates.")</f>
        <v>Several months in. Very happy customers. Only issue is that I live in condo without wifi so there are delays in updates.</v>
      </c>
      <c r="AH3705" s="185">
        <f>IFERROR(__xludf.DUMMYFUNCTION("""COMPUTED_VALUE"""),43446.44155173611)</f>
        <v>43446.44155</v>
      </c>
      <c r="AI3705" s="182"/>
      <c r="AJ3705" s="182"/>
      <c r="AK3705" s="182"/>
      <c r="AL3705" s="182"/>
    </row>
    <row r="3706" ht="20.25" customHeight="1">
      <c r="A3706" s="169" t="str">
        <f>IFERROR(__xludf.DUMMYFUNCTION("""COMPUTED_VALUE"""),"riverFox")</f>
        <v>riverFox</v>
      </c>
      <c r="B3706" s="170" t="str">
        <f>IFERROR(__xludf.DUMMYFUNCTION("""COMPUTED_VALUE"""),"Denver")</f>
        <v>Denver</v>
      </c>
      <c r="C3706" s="170" t="str">
        <f>IFERROR(__xludf.DUMMYFUNCTION("""COMPUTED_VALUE"""),"CO")</f>
        <v>CO</v>
      </c>
      <c r="D3706" s="170" t="str">
        <f>IFERROR(__xludf.DUMMYFUNCTION("""COMPUTED_VALUE"""),"USA")</f>
        <v>USA</v>
      </c>
      <c r="E3706" s="171">
        <f>IFERROR(__xludf.DUMMYFUNCTION("""COMPUTED_VALUE"""),42460.0)</f>
        <v>42460</v>
      </c>
      <c r="F3706" s="172">
        <f>IFERROR(__xludf.DUMMYFUNCTION("""COMPUTED_VALUE"""),43360.0)</f>
        <v>43360</v>
      </c>
      <c r="G3706" s="173"/>
      <c r="H3706" s="174">
        <f>IFERROR(__xludf.DUMMYFUNCTION("""COMPUTED_VALUE"""),99255.0)</f>
        <v>99255</v>
      </c>
      <c r="I3706" s="175" t="str">
        <f>IFERROR(__xludf.DUMMYFUNCTION("""COMPUTED_VALUE"""),"08/18")</f>
        <v>08/18</v>
      </c>
      <c r="J3706" s="172">
        <f>IFERROR(__xludf.DUMMYFUNCTION("""COMPUTED_VALUE"""),43372.0)</f>
        <v>43372</v>
      </c>
      <c r="K3706" s="176"/>
      <c r="L3706" s="176">
        <f>IFERROR(__xludf.DUMMYFUNCTION("""COMPUTED_VALUE"""),12.0)</f>
        <v>12</v>
      </c>
      <c r="M3706" s="176"/>
      <c r="N3706" s="177" t="str">
        <f>IFERROR(__xludf.DUMMYFUNCTION("""COMPUTED_VALUE"""),"Model 3 LR AWD")</f>
        <v>Model 3 LR AWD</v>
      </c>
      <c r="O3706" s="177" t="str">
        <f>IFERROR(__xludf.DUMMYFUNCTION("""COMPUTED_VALUE"""),"Obsidian Black Metallic")</f>
        <v>Obsidian Black Metallic</v>
      </c>
      <c r="P3706" s="178" t="str">
        <f>IFERROR(__xludf.DUMMYFUNCTION("""COMPUTED_VALUE"""),"18 inch Aero")</f>
        <v>18 inch Aero</v>
      </c>
      <c r="Q3706" s="177" t="str">
        <f>IFERROR(__xludf.DUMMYFUNCTION("""COMPUTED_VALUE"""),"White seats")</f>
        <v>White seats</v>
      </c>
      <c r="R3706" s="170" t="str">
        <f>IFERROR(__xludf.DUMMYFUNCTION("""COMPUTED_VALUE"""),"Enhanced Autopilot")</f>
        <v>Enhanced Autopilot</v>
      </c>
      <c r="S3706" s="170"/>
      <c r="T3706" s="179"/>
      <c r="U3706" s="179"/>
      <c r="V3706" s="179"/>
      <c r="W3706" s="180"/>
      <c r="X3706" s="181" t="str">
        <f>IFERROR(__xludf.DUMMYFUNCTION("""COMPUTED_VALUE"""),"Excellent")</f>
        <v>Excellent</v>
      </c>
      <c r="Y3706" s="182" t="str">
        <f>IFERROR(__xludf.DUMMYFUNCTION("""COMPUTED_VALUE"""),"Excellent")</f>
        <v>Excellent</v>
      </c>
      <c r="Z3706" s="182" t="str">
        <f>IFERROR(__xludf.DUMMYFUNCTION("""COMPUTED_VALUE"""),"Good")</f>
        <v>Good</v>
      </c>
      <c r="AA3706" s="182" t="str">
        <f>IFERROR(__xludf.DUMMYFUNCTION("""COMPUTED_VALUE"""),"Fair")</f>
        <v>Fair</v>
      </c>
      <c r="AB3706" s="182" t="str">
        <f>IFERROR(__xludf.DUMMYFUNCTION("""COMPUTED_VALUE"""),"Fair")</f>
        <v>Fair</v>
      </c>
      <c r="AC3706" s="183">
        <f>IFERROR(__xludf.DUMMYFUNCTION("""COMPUTED_VALUE"""),2.0)</f>
        <v>2</v>
      </c>
      <c r="AD3706" s="183">
        <f>IFERROR(__xludf.DUMMYFUNCTION("""COMPUTED_VALUE"""),1.0)</f>
        <v>1</v>
      </c>
      <c r="AE3706" s="183">
        <f>IFERROR(__xludf.DUMMYFUNCTION("""COMPUTED_VALUE"""),1.0)</f>
        <v>1</v>
      </c>
      <c r="AF3706" s="184"/>
      <c r="AG3706" s="180" t="str">
        <f>IFERROR(__xludf.DUMMYFUNCTION("""COMPUTED_VALUE"""),"The car is freakin awesome!!!")</f>
        <v>The car is freakin awesome!!!</v>
      </c>
      <c r="AH3706" s="185">
        <f>IFERROR(__xludf.DUMMYFUNCTION("""COMPUTED_VALUE"""),43381.679157280094)</f>
        <v>43381.67916</v>
      </c>
      <c r="AI3706" s="182"/>
      <c r="AJ3706" s="182"/>
      <c r="AK3706" s="182"/>
      <c r="AL3706" s="182"/>
    </row>
    <row r="3707" ht="20.25" customHeight="1">
      <c r="A3707" s="169" t="str">
        <f>IFERROR(__xludf.DUMMYFUNCTION("""COMPUTED_VALUE"""),"trivs")</f>
        <v>trivs</v>
      </c>
      <c r="B3707" s="170" t="str">
        <f>IFERROR(__xludf.DUMMYFUNCTION("""COMPUTED_VALUE"""),"Westfield")</f>
        <v>Westfield</v>
      </c>
      <c r="C3707" s="170" t="str">
        <f>IFERROR(__xludf.DUMMYFUNCTION("""COMPUTED_VALUE"""),"IN")</f>
        <v>IN</v>
      </c>
      <c r="D3707" s="170" t="str">
        <f>IFERROR(__xludf.DUMMYFUNCTION("""COMPUTED_VALUE"""),"USA")</f>
        <v>USA</v>
      </c>
      <c r="E3707" s="171">
        <f>IFERROR(__xludf.DUMMYFUNCTION("""COMPUTED_VALUE"""),42460.0)</f>
        <v>42460</v>
      </c>
      <c r="F3707" s="172">
        <f>IFERROR(__xludf.DUMMYFUNCTION("""COMPUTED_VALUE"""),43197.0)</f>
        <v>43197</v>
      </c>
      <c r="G3707" s="173"/>
      <c r="H3707" s="174">
        <f>IFERROR(__xludf.DUMMYFUNCTION("""COMPUTED_VALUE"""),14755.0)</f>
        <v>14755</v>
      </c>
      <c r="I3707" s="175" t="str">
        <f>IFERROR(__xludf.DUMMYFUNCTION("""COMPUTED_VALUE"""),"03/18")</f>
        <v>03/18</v>
      </c>
      <c r="J3707" s="172">
        <f>IFERROR(__xludf.DUMMYFUNCTION("""COMPUTED_VALUE"""),43211.0)</f>
        <v>43211</v>
      </c>
      <c r="K3707" s="176"/>
      <c r="L3707" s="176">
        <f>IFERROR(__xludf.DUMMYFUNCTION("""COMPUTED_VALUE"""),14.0)</f>
        <v>14</v>
      </c>
      <c r="M3707" s="176"/>
      <c r="N3707" s="177" t="str">
        <f>IFERROR(__xludf.DUMMYFUNCTION("""COMPUTED_VALUE"""),"Model 3 LR")</f>
        <v>Model 3 LR</v>
      </c>
      <c r="O3707" s="177" t="str">
        <f>IFERROR(__xludf.DUMMYFUNCTION("""COMPUTED_VALUE"""),"Silver Metallic")</f>
        <v>Silver Metallic</v>
      </c>
      <c r="P3707" s="178" t="str">
        <f>IFERROR(__xludf.DUMMYFUNCTION("""COMPUTED_VALUE"""),"18 inch Aero")</f>
        <v>18 inch Aero</v>
      </c>
      <c r="Q3707" s="177" t="str">
        <f>IFERROR(__xludf.DUMMYFUNCTION("""COMPUTED_VALUE"""),"Black seats")</f>
        <v>Black seats</v>
      </c>
      <c r="R3707" s="170" t="str">
        <f>IFERROR(__xludf.DUMMYFUNCTION("""COMPUTED_VALUE"""),"Enhanced Autopilot")</f>
        <v>Enhanced Autopilot</v>
      </c>
      <c r="S3707" s="170"/>
      <c r="T3707" s="179"/>
      <c r="U3707" s="179"/>
      <c r="V3707" s="179"/>
      <c r="W3707" s="180"/>
      <c r="X3707" s="181" t="str">
        <f>IFERROR(__xludf.DUMMYFUNCTION("""COMPUTED_VALUE"""),"Very Good")</f>
        <v>Very Good</v>
      </c>
      <c r="Y3707" s="182" t="str">
        <f>IFERROR(__xludf.DUMMYFUNCTION("""COMPUTED_VALUE"""),"Excellent")</f>
        <v>Excellent</v>
      </c>
      <c r="Z3707" s="182" t="str">
        <f>IFERROR(__xludf.DUMMYFUNCTION("""COMPUTED_VALUE"""),"Excellent")</f>
        <v>Excellent</v>
      </c>
      <c r="AA3707" s="182" t="str">
        <f>IFERROR(__xludf.DUMMYFUNCTION("""COMPUTED_VALUE"""),"Very Good")</f>
        <v>Very Good</v>
      </c>
      <c r="AB3707" s="182" t="str">
        <f>IFERROR(__xludf.DUMMYFUNCTION("""COMPUTED_VALUE"""),"Excellent")</f>
        <v>Excellent</v>
      </c>
      <c r="AC3707" s="183">
        <f>IFERROR(__xludf.DUMMYFUNCTION("""COMPUTED_VALUE"""),0.0)</f>
        <v>0</v>
      </c>
      <c r="AD3707" s="183">
        <f>IFERROR(__xludf.DUMMYFUNCTION("""COMPUTED_VALUE"""),0.0)</f>
        <v>0</v>
      </c>
      <c r="AE3707" s="183">
        <f>IFERROR(__xludf.DUMMYFUNCTION("""COMPUTED_VALUE"""),0.0)</f>
        <v>0</v>
      </c>
      <c r="AF3707" s="184"/>
      <c r="AG3707" s="180" t="str">
        <f>IFERROR(__xludf.DUMMYFUNCTION("""COMPUTED_VALUE"""),"Best car I've ever had/driven/ridden in.")</f>
        <v>Best car I've ever had/driven/ridden in.</v>
      </c>
      <c r="AH3707" s="185">
        <f>IFERROR(__xludf.DUMMYFUNCTION("""COMPUTED_VALUE"""),43446.24743269676)</f>
        <v>43446.24743</v>
      </c>
      <c r="AI3707" s="182"/>
      <c r="AJ3707" s="182"/>
      <c r="AK3707" s="182"/>
      <c r="AL3707" s="182"/>
    </row>
    <row r="3708" ht="20.25" customHeight="1">
      <c r="A3708" s="169" t="str">
        <f>IFERROR(__xludf.DUMMYFUNCTION("""COMPUTED_VALUE"""),"Vahe Baghoomian")</f>
        <v>Vahe Baghoomian</v>
      </c>
      <c r="B3708" s="170" t="str">
        <f>IFERROR(__xludf.DUMMYFUNCTION("""COMPUTED_VALUE"""),"Toronto")</f>
        <v>Toronto</v>
      </c>
      <c r="C3708" s="170" t="str">
        <f>IFERROR(__xludf.DUMMYFUNCTION("""COMPUTED_VALUE"""),"ON")</f>
        <v>ON</v>
      </c>
      <c r="D3708" s="170" t="str">
        <f>IFERROR(__xludf.DUMMYFUNCTION("""COMPUTED_VALUE"""),"Canada")</f>
        <v>Canada</v>
      </c>
      <c r="E3708" s="171">
        <f>IFERROR(__xludf.DUMMYFUNCTION("""COMPUTED_VALUE"""),34220.0)</f>
        <v>34220</v>
      </c>
      <c r="F3708" s="172">
        <f>IFERROR(__xludf.DUMMYFUNCTION("""COMPUTED_VALUE"""),44342.0)</f>
        <v>44342</v>
      </c>
      <c r="G3708" s="173" t="str">
        <f>IFERROR(__xludf.DUMMYFUNCTION("""COMPUTED_VALUE"""),"Phone call")</f>
        <v>Phone call</v>
      </c>
      <c r="H3708" s="174"/>
      <c r="I3708" s="175" t="str">
        <f>IFERROR(__xludf.DUMMYFUNCTION("""COMPUTED_VALUE"""),"04/21")</f>
        <v>04/21</v>
      </c>
      <c r="J3708" s="172">
        <f>IFERROR(__xludf.DUMMYFUNCTION("""COMPUTED_VALUE"""),44344.0)</f>
        <v>44344</v>
      </c>
      <c r="K3708" s="176"/>
      <c r="L3708" s="176">
        <f>IFERROR(__xludf.DUMMYFUNCTION("""COMPUTED_VALUE"""),2.0)</f>
        <v>2</v>
      </c>
      <c r="M3708" s="176"/>
      <c r="N3708" s="177" t="str">
        <f>IFERROR(__xludf.DUMMYFUNCTION("""COMPUTED_VALUE"""),"Model 3 SR+")</f>
        <v>Model 3 SR+</v>
      </c>
      <c r="O3708" s="177" t="str">
        <f>IFERROR(__xludf.DUMMYFUNCTION("""COMPUTED_VALUE"""),"Pearl White Multi-Coat")</f>
        <v>Pearl White Multi-Coat</v>
      </c>
      <c r="P3708" s="178" t="str">
        <f>IFERROR(__xludf.DUMMYFUNCTION("""COMPUTED_VALUE"""),"18 inch")</f>
        <v>18 inch</v>
      </c>
      <c r="Q3708" s="177" t="str">
        <f>IFERROR(__xludf.DUMMYFUNCTION("""COMPUTED_VALUE"""),"All Black")</f>
        <v>All Black</v>
      </c>
      <c r="R3708" s="170" t="str">
        <f>IFERROR(__xludf.DUMMYFUNCTION("""COMPUTED_VALUE"""),"Autopilot included")</f>
        <v>Autopilot included</v>
      </c>
      <c r="S3708" s="170" t="str">
        <f>IFERROR(__xludf.DUMMYFUNCTION("""COMPUTED_VALUE"""),"Lease")</f>
        <v>Lease</v>
      </c>
      <c r="T3708" s="179" t="str">
        <f>IFERROR(__xludf.DUMMYFUNCTION("""COMPUTED_VALUE"""),"Chevrolet ")</f>
        <v>Chevrolet </v>
      </c>
      <c r="U3708" s="179" t="str">
        <f>IFERROR(__xludf.DUMMYFUNCTION("""COMPUTED_VALUE"""),"Electric!")</f>
        <v>Electric!</v>
      </c>
      <c r="V3708" s="179" t="str">
        <f>IFERROR(__xludf.DUMMYFUNCTION("""COMPUTED_VALUE"""),"Blind spot indicators on side mirrors")</f>
        <v>Blind spot indicators on side mirrors</v>
      </c>
      <c r="W3708" s="180"/>
      <c r="X3708" s="181" t="str">
        <f>IFERROR(__xludf.DUMMYFUNCTION("""COMPUTED_VALUE"""),"Very Good")</f>
        <v>Very Good</v>
      </c>
      <c r="Y3708" s="182" t="str">
        <f>IFERROR(__xludf.DUMMYFUNCTION("""COMPUTED_VALUE"""),"Very Good")</f>
        <v>Very Good</v>
      </c>
      <c r="Z3708" s="182" t="str">
        <f>IFERROR(__xludf.DUMMYFUNCTION("""COMPUTED_VALUE"""),"Excellent")</f>
        <v>Excellent</v>
      </c>
      <c r="AA3708" s="182" t="str">
        <f>IFERROR(__xludf.DUMMYFUNCTION("""COMPUTED_VALUE"""),"Excellent")</f>
        <v>Excellent</v>
      </c>
      <c r="AB3708" s="182" t="str">
        <f>IFERROR(__xludf.DUMMYFUNCTION("""COMPUTED_VALUE"""),"Excellent")</f>
        <v>Excellent</v>
      </c>
      <c r="AC3708" s="183">
        <f>IFERROR(__xludf.DUMMYFUNCTION("""COMPUTED_VALUE"""),0.0)</f>
        <v>0</v>
      </c>
      <c r="AD3708" s="183">
        <f>IFERROR(__xludf.DUMMYFUNCTION("""COMPUTED_VALUE"""),0.0)</f>
        <v>0</v>
      </c>
      <c r="AE3708" s="183">
        <f>IFERROR(__xludf.DUMMYFUNCTION("""COMPUTED_VALUE"""),0.0)</f>
        <v>0</v>
      </c>
      <c r="AF3708" s="184" t="str">
        <f>IFERROR(__xludf.DUMMYFUNCTION("""COMPUTED_VALUE"""),"No. I took delivery of the first car Tesla was able to deliver.")</f>
        <v>No. I took delivery of the first car Tesla was able to deliver.</v>
      </c>
      <c r="AG3708" s="180"/>
      <c r="AH3708" s="185">
        <f>IFERROR(__xludf.DUMMYFUNCTION("""COMPUTED_VALUE"""),44343.37848532407)</f>
        <v>44343.37849</v>
      </c>
      <c r="AI3708" s="182"/>
      <c r="AJ3708" s="182"/>
      <c r="AK3708" s="182"/>
      <c r="AL3708" s="182"/>
    </row>
    <row r="3709" ht="20.25" customHeight="1">
      <c r="A3709" s="169" t="str">
        <f>IFERROR(__xludf.DUMMYFUNCTION("""COMPUTED_VALUE"""),"Josie67")</f>
        <v>Josie67</v>
      </c>
      <c r="B3709" s="170" t="str">
        <f>IFERROR(__xludf.DUMMYFUNCTION("""COMPUTED_VALUE"""),"San Rafael")</f>
        <v>San Rafael</v>
      </c>
      <c r="C3709" s="170" t="str">
        <f>IFERROR(__xludf.DUMMYFUNCTION("""COMPUTED_VALUE"""),"CA")</f>
        <v>CA</v>
      </c>
      <c r="D3709" s="170" t="str">
        <f>IFERROR(__xludf.DUMMYFUNCTION("""COMPUTED_VALUE"""),"USA")</f>
        <v>USA</v>
      </c>
      <c r="E3709" s="171">
        <f>IFERROR(__xludf.DUMMYFUNCTION("""COMPUTED_VALUE"""),-620088.0)</f>
        <v>-620088</v>
      </c>
      <c r="F3709" s="172">
        <f>IFERROR(__xludf.DUMMYFUNCTION("""COMPUTED_VALUE"""),44303.0)</f>
        <v>44303</v>
      </c>
      <c r="G3709" s="173" t="str">
        <f>IFERROR(__xludf.DUMMYFUNCTION("""COMPUTED_VALUE"""),"Text message")</f>
        <v>Text message</v>
      </c>
      <c r="H3709" s="174">
        <f>IFERROR(__xludf.DUMMYFUNCTION("""COMPUTED_VALUE"""),947755.0)</f>
        <v>947755</v>
      </c>
      <c r="I3709" s="175" t="str">
        <f>IFERROR(__xludf.DUMMYFUNCTION("""COMPUTED_VALUE"""),"04/21")</f>
        <v>04/21</v>
      </c>
      <c r="J3709" s="172">
        <f>IFERROR(__xludf.DUMMYFUNCTION("""COMPUTED_VALUE"""),44306.0)</f>
        <v>44306</v>
      </c>
      <c r="K3709" s="176"/>
      <c r="L3709" s="176">
        <f>IFERROR(__xludf.DUMMYFUNCTION("""COMPUTED_VALUE"""),3.0)</f>
        <v>3</v>
      </c>
      <c r="M3709" s="176"/>
      <c r="N3709" s="177" t="str">
        <f>IFERROR(__xludf.DUMMYFUNCTION("""COMPUTED_VALUE"""),"Model 3 Performance")</f>
        <v>Model 3 Performance</v>
      </c>
      <c r="O3709" s="177" t="str">
        <f>IFERROR(__xludf.DUMMYFUNCTION("""COMPUTED_VALUE"""),"Red Multi-Coat")</f>
        <v>Red Multi-Coat</v>
      </c>
      <c r="P3709" s="178" t="str">
        <f>IFERROR(__xludf.DUMMYFUNCTION("""COMPUTED_VALUE"""),"20 inch")</f>
        <v>20 inch</v>
      </c>
      <c r="Q3709" s="177" t="str">
        <f>IFERROR(__xludf.DUMMYFUNCTION("""COMPUTED_VALUE"""),"All Black")</f>
        <v>All Black</v>
      </c>
      <c r="R3709" s="170" t="str">
        <f>IFERROR(__xludf.DUMMYFUNCTION("""COMPUTED_VALUE"""),"Autopilot included")</f>
        <v>Autopilot included</v>
      </c>
      <c r="S3709" s="170" t="str">
        <f>IFERROR(__xludf.DUMMYFUNCTION("""COMPUTED_VALUE"""),"Cash")</f>
        <v>Cash</v>
      </c>
      <c r="T3709" s="179" t="str">
        <f>IFERROR(__xludf.DUMMYFUNCTION("""COMPUTED_VALUE"""),"Ford  Mustang Cobra")</f>
        <v>Ford  Mustang Cobra</v>
      </c>
      <c r="U3709" s="179" t="str">
        <f>IFERROR(__xludf.DUMMYFUNCTION("""COMPUTED_VALUE"""),"Tesla brand image")</f>
        <v>Tesla brand image</v>
      </c>
      <c r="V3709" s="179" t="str">
        <f>IFERROR(__xludf.DUMMYFUNCTION("""COMPUTED_VALUE"""),"Dashboard")</f>
        <v>Dashboard</v>
      </c>
      <c r="W3709" s="180"/>
      <c r="X3709" s="181" t="str">
        <f>IFERROR(__xludf.DUMMYFUNCTION("""COMPUTED_VALUE"""),"Excellent")</f>
        <v>Excellent</v>
      </c>
      <c r="Y3709" s="182" t="str">
        <f>IFERROR(__xludf.DUMMYFUNCTION("""COMPUTED_VALUE"""),"Excellent")</f>
        <v>Excellent</v>
      </c>
      <c r="Z3709" s="182" t="str">
        <f>IFERROR(__xludf.DUMMYFUNCTION("""COMPUTED_VALUE"""),"Excellent")</f>
        <v>Excellent</v>
      </c>
      <c r="AA3709" s="182" t="str">
        <f>IFERROR(__xludf.DUMMYFUNCTION("""COMPUTED_VALUE"""),"Excellent")</f>
        <v>Excellent</v>
      </c>
      <c r="AB3709" s="182" t="str">
        <f>IFERROR(__xludf.DUMMYFUNCTION("""COMPUTED_VALUE"""),"Excellent")</f>
        <v>Excellent</v>
      </c>
      <c r="AC3709" s="183"/>
      <c r="AD3709" s="183"/>
      <c r="AE3709" s="183"/>
      <c r="AF3709" s="184" t="str">
        <f>IFERROR(__xludf.DUMMYFUNCTION("""COMPUTED_VALUE"""),"No. I took delivery of the first car Tesla was able to deliver.")</f>
        <v>No. I took delivery of the first car Tesla was able to deliver.</v>
      </c>
      <c r="AG3709" s="180"/>
      <c r="AH3709" s="185">
        <f>IFERROR(__xludf.DUMMYFUNCTION("""COMPUTED_VALUE"""),44306.999078622684)</f>
        <v>44306.99908</v>
      </c>
      <c r="AI3709" s="182"/>
      <c r="AJ3709" s="182"/>
      <c r="AK3709" s="182"/>
      <c r="AL3709" s="182"/>
    </row>
    <row r="3710" ht="20.25" customHeight="1">
      <c r="A3710" s="169"/>
      <c r="B3710" s="170"/>
      <c r="C3710" s="170"/>
      <c r="D3710" s="170"/>
      <c r="E3710" s="171"/>
      <c r="F3710" s="172"/>
      <c r="G3710" s="173"/>
      <c r="H3710" s="174"/>
      <c r="I3710" s="175"/>
      <c r="J3710" s="172"/>
      <c r="K3710" s="176"/>
      <c r="L3710" s="176"/>
      <c r="M3710" s="176"/>
      <c r="N3710" s="177"/>
      <c r="O3710" s="177"/>
      <c r="P3710" s="178"/>
      <c r="Q3710" s="177"/>
      <c r="R3710" s="170"/>
      <c r="S3710" s="170"/>
      <c r="T3710" s="179"/>
      <c r="U3710" s="179"/>
      <c r="V3710" s="179"/>
      <c r="W3710" s="180"/>
      <c r="X3710" s="181"/>
      <c r="Y3710" s="182"/>
      <c r="Z3710" s="182"/>
      <c r="AA3710" s="182"/>
      <c r="AB3710" s="182"/>
      <c r="AC3710" s="183"/>
      <c r="AD3710" s="183"/>
      <c r="AE3710" s="183"/>
      <c r="AF3710" s="184"/>
      <c r="AG3710" s="180"/>
      <c r="AH3710" s="185"/>
      <c r="AI3710" s="182"/>
      <c r="AJ3710" s="182"/>
      <c r="AK3710" s="182"/>
      <c r="AL3710" s="182"/>
    </row>
    <row r="3711" ht="20.25" customHeight="1">
      <c r="A3711" s="169"/>
      <c r="B3711" s="170"/>
      <c r="C3711" s="170"/>
      <c r="D3711" s="170"/>
      <c r="E3711" s="171"/>
      <c r="F3711" s="172"/>
      <c r="G3711" s="173"/>
      <c r="H3711" s="174"/>
      <c r="I3711" s="175"/>
      <c r="J3711" s="172"/>
      <c r="K3711" s="176"/>
      <c r="L3711" s="176"/>
      <c r="M3711" s="176"/>
      <c r="N3711" s="177"/>
      <c r="O3711" s="177"/>
      <c r="P3711" s="178"/>
      <c r="Q3711" s="177"/>
      <c r="R3711" s="170"/>
      <c r="S3711" s="170"/>
      <c r="T3711" s="179"/>
      <c r="U3711" s="179"/>
      <c r="V3711" s="179"/>
      <c r="W3711" s="180"/>
      <c r="X3711" s="181"/>
      <c r="Y3711" s="182"/>
      <c r="Z3711" s="182"/>
      <c r="AA3711" s="182"/>
      <c r="AB3711" s="182"/>
      <c r="AC3711" s="183"/>
      <c r="AD3711" s="183"/>
      <c r="AE3711" s="183"/>
      <c r="AF3711" s="184"/>
      <c r="AG3711" s="180"/>
      <c r="AH3711" s="185"/>
      <c r="AI3711" s="182"/>
      <c r="AJ3711" s="182"/>
      <c r="AK3711" s="182"/>
      <c r="AL3711" s="182"/>
    </row>
    <row r="3712" ht="20.25" customHeight="1">
      <c r="A3712" s="169"/>
      <c r="B3712" s="170"/>
      <c r="C3712" s="170"/>
      <c r="D3712" s="170"/>
      <c r="E3712" s="171"/>
      <c r="F3712" s="172"/>
      <c r="G3712" s="173"/>
      <c r="H3712" s="174"/>
      <c r="I3712" s="175"/>
      <c r="J3712" s="172"/>
      <c r="K3712" s="176"/>
      <c r="L3712" s="176"/>
      <c r="M3712" s="176"/>
      <c r="N3712" s="177"/>
      <c r="O3712" s="177"/>
      <c r="P3712" s="178"/>
      <c r="Q3712" s="177"/>
      <c r="R3712" s="170"/>
      <c r="S3712" s="170"/>
      <c r="T3712" s="179"/>
      <c r="U3712" s="179"/>
      <c r="V3712" s="179"/>
      <c r="W3712" s="180"/>
      <c r="X3712" s="181"/>
      <c r="Y3712" s="182"/>
      <c r="Z3712" s="182"/>
      <c r="AA3712" s="182"/>
      <c r="AB3712" s="182"/>
      <c r="AC3712" s="183"/>
      <c r="AD3712" s="183"/>
      <c r="AE3712" s="183"/>
      <c r="AF3712" s="184"/>
      <c r="AG3712" s="180"/>
      <c r="AH3712" s="185"/>
      <c r="AI3712" s="182"/>
      <c r="AJ3712" s="182"/>
      <c r="AK3712" s="182"/>
      <c r="AL3712" s="182"/>
    </row>
    <row r="3713" ht="20.25" customHeight="1">
      <c r="A3713" s="169"/>
      <c r="B3713" s="170"/>
      <c r="C3713" s="170"/>
      <c r="D3713" s="170"/>
      <c r="E3713" s="171"/>
      <c r="F3713" s="172"/>
      <c r="G3713" s="173"/>
      <c r="H3713" s="174"/>
      <c r="I3713" s="175"/>
      <c r="J3713" s="172"/>
      <c r="K3713" s="176"/>
      <c r="L3713" s="176"/>
      <c r="M3713" s="176"/>
      <c r="N3713" s="177"/>
      <c r="O3713" s="177"/>
      <c r="P3713" s="178"/>
      <c r="Q3713" s="177"/>
      <c r="R3713" s="170"/>
      <c r="S3713" s="170"/>
      <c r="T3713" s="179"/>
      <c r="U3713" s="179"/>
      <c r="V3713" s="179"/>
      <c r="W3713" s="180"/>
      <c r="X3713" s="181"/>
      <c r="Y3713" s="182"/>
      <c r="Z3713" s="182"/>
      <c r="AA3713" s="182"/>
      <c r="AB3713" s="182"/>
      <c r="AC3713" s="183"/>
      <c r="AD3713" s="183"/>
      <c r="AE3713" s="183"/>
      <c r="AF3713" s="184"/>
      <c r="AG3713" s="180"/>
      <c r="AH3713" s="185"/>
      <c r="AI3713" s="182"/>
      <c r="AJ3713" s="182"/>
      <c r="AK3713" s="182"/>
      <c r="AL3713" s="182"/>
    </row>
    <row r="3714" ht="20.25" customHeight="1">
      <c r="A3714" s="169"/>
      <c r="B3714" s="170"/>
      <c r="C3714" s="170"/>
      <c r="D3714" s="170"/>
      <c r="E3714" s="171"/>
      <c r="F3714" s="172"/>
      <c r="G3714" s="173"/>
      <c r="H3714" s="174"/>
      <c r="I3714" s="175"/>
      <c r="J3714" s="172"/>
      <c r="K3714" s="176"/>
      <c r="L3714" s="176"/>
      <c r="M3714" s="176"/>
      <c r="N3714" s="177"/>
      <c r="O3714" s="177"/>
      <c r="P3714" s="178"/>
      <c r="Q3714" s="177"/>
      <c r="R3714" s="170"/>
      <c r="S3714" s="170"/>
      <c r="T3714" s="179"/>
      <c r="U3714" s="179"/>
      <c r="V3714" s="179"/>
      <c r="W3714" s="180"/>
      <c r="X3714" s="181"/>
      <c r="Y3714" s="182"/>
      <c r="Z3714" s="182"/>
      <c r="AA3714" s="182"/>
      <c r="AB3714" s="182"/>
      <c r="AC3714" s="183"/>
      <c r="AD3714" s="183"/>
      <c r="AE3714" s="183"/>
      <c r="AF3714" s="184"/>
      <c r="AG3714" s="180"/>
      <c r="AH3714" s="185"/>
      <c r="AI3714" s="182"/>
      <c r="AJ3714" s="182"/>
      <c r="AK3714" s="182"/>
      <c r="AL3714" s="182"/>
    </row>
    <row r="3715" ht="20.25" customHeight="1">
      <c r="A3715" s="169"/>
      <c r="B3715" s="170"/>
      <c r="C3715" s="170"/>
      <c r="D3715" s="170"/>
      <c r="E3715" s="171"/>
      <c r="F3715" s="172"/>
      <c r="G3715" s="173"/>
      <c r="H3715" s="174"/>
      <c r="I3715" s="175"/>
      <c r="J3715" s="172"/>
      <c r="K3715" s="176"/>
      <c r="L3715" s="176"/>
      <c r="M3715" s="176"/>
      <c r="N3715" s="177"/>
      <c r="O3715" s="177"/>
      <c r="P3715" s="178"/>
      <c r="Q3715" s="177"/>
      <c r="R3715" s="170"/>
      <c r="S3715" s="170"/>
      <c r="T3715" s="179"/>
      <c r="U3715" s="179"/>
      <c r="V3715" s="179"/>
      <c r="W3715" s="180"/>
      <c r="X3715" s="181"/>
      <c r="Y3715" s="182"/>
      <c r="Z3715" s="182"/>
      <c r="AA3715" s="182"/>
      <c r="AB3715" s="182"/>
      <c r="AC3715" s="183"/>
      <c r="AD3715" s="183"/>
      <c r="AE3715" s="183"/>
      <c r="AF3715" s="184"/>
      <c r="AG3715" s="180"/>
      <c r="AH3715" s="185"/>
      <c r="AI3715" s="182"/>
      <c r="AJ3715" s="182"/>
      <c r="AK3715" s="182"/>
      <c r="AL3715" s="182"/>
    </row>
    <row r="3716" ht="20.25" customHeight="1">
      <c r="A3716" s="169"/>
      <c r="B3716" s="170"/>
      <c r="C3716" s="170"/>
      <c r="D3716" s="170"/>
      <c r="E3716" s="171"/>
      <c r="F3716" s="172"/>
      <c r="G3716" s="173"/>
      <c r="H3716" s="174"/>
      <c r="I3716" s="175"/>
      <c r="J3716" s="172"/>
      <c r="K3716" s="176"/>
      <c r="L3716" s="176"/>
      <c r="M3716" s="176"/>
      <c r="N3716" s="177"/>
      <c r="O3716" s="177"/>
      <c r="P3716" s="178"/>
      <c r="Q3716" s="177"/>
      <c r="R3716" s="170"/>
      <c r="S3716" s="170"/>
      <c r="T3716" s="179"/>
      <c r="U3716" s="179"/>
      <c r="V3716" s="179"/>
      <c r="W3716" s="180"/>
      <c r="X3716" s="181"/>
      <c r="Y3716" s="182"/>
      <c r="Z3716" s="182"/>
      <c r="AA3716" s="182"/>
      <c r="AB3716" s="182"/>
      <c r="AC3716" s="183"/>
      <c r="AD3716" s="183"/>
      <c r="AE3716" s="183"/>
      <c r="AF3716" s="184"/>
      <c r="AG3716" s="180"/>
      <c r="AH3716" s="185"/>
      <c r="AI3716" s="182"/>
      <c r="AJ3716" s="182"/>
      <c r="AK3716" s="182"/>
      <c r="AL3716" s="182"/>
    </row>
    <row r="3717" ht="20.25" customHeight="1">
      <c r="A3717" s="169"/>
      <c r="B3717" s="170"/>
      <c r="C3717" s="170"/>
      <c r="D3717" s="170"/>
      <c r="E3717" s="171"/>
      <c r="F3717" s="172"/>
      <c r="G3717" s="173"/>
      <c r="H3717" s="174"/>
      <c r="I3717" s="175"/>
      <c r="J3717" s="172"/>
      <c r="K3717" s="176"/>
      <c r="L3717" s="176"/>
      <c r="M3717" s="176"/>
      <c r="N3717" s="177"/>
      <c r="O3717" s="177"/>
      <c r="P3717" s="178"/>
      <c r="Q3717" s="177"/>
      <c r="R3717" s="170"/>
      <c r="S3717" s="170"/>
      <c r="T3717" s="179"/>
      <c r="U3717" s="179"/>
      <c r="V3717" s="179"/>
      <c r="W3717" s="180"/>
      <c r="X3717" s="181"/>
      <c r="Y3717" s="182"/>
      <c r="Z3717" s="182"/>
      <c r="AA3717" s="182"/>
      <c r="AB3717" s="182"/>
      <c r="AC3717" s="183"/>
      <c r="AD3717" s="183"/>
      <c r="AE3717" s="183"/>
      <c r="AF3717" s="184"/>
      <c r="AG3717" s="180"/>
      <c r="AH3717" s="185"/>
      <c r="AI3717" s="182"/>
      <c r="AJ3717" s="182"/>
      <c r="AK3717" s="182"/>
      <c r="AL3717" s="182"/>
    </row>
    <row r="3718" ht="20.25" customHeight="1">
      <c r="A3718" s="169"/>
      <c r="B3718" s="170"/>
      <c r="C3718" s="170"/>
      <c r="D3718" s="170"/>
      <c r="E3718" s="171"/>
      <c r="F3718" s="172"/>
      <c r="G3718" s="173"/>
      <c r="H3718" s="174"/>
      <c r="I3718" s="175"/>
      <c r="J3718" s="172"/>
      <c r="K3718" s="176"/>
      <c r="L3718" s="176"/>
      <c r="M3718" s="176"/>
      <c r="N3718" s="177"/>
      <c r="O3718" s="177"/>
      <c r="P3718" s="178"/>
      <c r="Q3718" s="177"/>
      <c r="R3718" s="170"/>
      <c r="S3718" s="170"/>
      <c r="T3718" s="179"/>
      <c r="U3718" s="179"/>
      <c r="V3718" s="179"/>
      <c r="W3718" s="180"/>
      <c r="X3718" s="181"/>
      <c r="Y3718" s="182"/>
      <c r="Z3718" s="182"/>
      <c r="AA3718" s="182"/>
      <c r="AB3718" s="182"/>
      <c r="AC3718" s="183"/>
      <c r="AD3718" s="183"/>
      <c r="AE3718" s="183"/>
      <c r="AF3718" s="184"/>
      <c r="AG3718" s="180"/>
      <c r="AH3718" s="185"/>
      <c r="AI3718" s="182"/>
      <c r="AJ3718" s="182"/>
      <c r="AK3718" s="182"/>
      <c r="AL3718" s="182"/>
    </row>
    <row r="3719" ht="20.25" customHeight="1">
      <c r="A3719" s="169"/>
      <c r="B3719" s="170"/>
      <c r="C3719" s="170"/>
      <c r="D3719" s="170"/>
      <c r="E3719" s="171"/>
      <c r="F3719" s="172"/>
      <c r="G3719" s="173"/>
      <c r="H3719" s="174"/>
      <c r="I3719" s="175"/>
      <c r="J3719" s="172"/>
      <c r="K3719" s="176"/>
      <c r="L3719" s="176"/>
      <c r="M3719" s="176"/>
      <c r="N3719" s="177"/>
      <c r="O3719" s="177"/>
      <c r="P3719" s="178"/>
      <c r="Q3719" s="177"/>
      <c r="R3719" s="170"/>
      <c r="S3719" s="170"/>
      <c r="T3719" s="179"/>
      <c r="U3719" s="179"/>
      <c r="V3719" s="179"/>
      <c r="W3719" s="180"/>
      <c r="X3719" s="181"/>
      <c r="Y3719" s="182"/>
      <c r="Z3719" s="182"/>
      <c r="AA3719" s="182"/>
      <c r="AB3719" s="182"/>
      <c r="AC3719" s="183"/>
      <c r="AD3719" s="183"/>
      <c r="AE3719" s="183"/>
      <c r="AF3719" s="184"/>
      <c r="AG3719" s="180"/>
      <c r="AH3719" s="185"/>
      <c r="AI3719" s="182"/>
      <c r="AJ3719" s="182"/>
      <c r="AK3719" s="182"/>
      <c r="AL3719" s="182"/>
    </row>
    <row r="3720" ht="20.25" customHeight="1">
      <c r="A3720" s="169"/>
      <c r="B3720" s="170"/>
      <c r="C3720" s="170"/>
      <c r="D3720" s="170"/>
      <c r="E3720" s="171"/>
      <c r="F3720" s="172"/>
      <c r="G3720" s="173"/>
      <c r="H3720" s="174"/>
      <c r="I3720" s="175"/>
      <c r="J3720" s="172"/>
      <c r="K3720" s="176"/>
      <c r="L3720" s="176"/>
      <c r="M3720" s="176"/>
      <c r="N3720" s="177"/>
      <c r="O3720" s="177"/>
      <c r="P3720" s="178"/>
      <c r="Q3720" s="177"/>
      <c r="R3720" s="170"/>
      <c r="S3720" s="170"/>
      <c r="T3720" s="179"/>
      <c r="U3720" s="179"/>
      <c r="V3720" s="179"/>
      <c r="W3720" s="180"/>
      <c r="X3720" s="181"/>
      <c r="Y3720" s="182"/>
      <c r="Z3720" s="182"/>
      <c r="AA3720" s="182"/>
      <c r="AB3720" s="182"/>
      <c r="AC3720" s="183"/>
      <c r="AD3720" s="183"/>
      <c r="AE3720" s="183"/>
      <c r="AF3720" s="184"/>
      <c r="AG3720" s="180"/>
      <c r="AH3720" s="185"/>
      <c r="AI3720" s="182"/>
      <c r="AJ3720" s="182"/>
      <c r="AK3720" s="182"/>
      <c r="AL3720" s="182"/>
    </row>
    <row r="3721" ht="20.25" customHeight="1">
      <c r="A3721" s="169"/>
      <c r="B3721" s="170"/>
      <c r="C3721" s="170"/>
      <c r="D3721" s="170"/>
      <c r="E3721" s="171"/>
      <c r="F3721" s="172"/>
      <c r="G3721" s="173"/>
      <c r="H3721" s="174"/>
      <c r="I3721" s="175"/>
      <c r="J3721" s="172"/>
      <c r="K3721" s="176"/>
      <c r="L3721" s="176"/>
      <c r="M3721" s="176"/>
      <c r="N3721" s="177"/>
      <c r="O3721" s="177"/>
      <c r="P3721" s="178"/>
      <c r="Q3721" s="177"/>
      <c r="R3721" s="170"/>
      <c r="S3721" s="170"/>
      <c r="T3721" s="179"/>
      <c r="U3721" s="179"/>
      <c r="V3721" s="179"/>
      <c r="W3721" s="180"/>
      <c r="X3721" s="181"/>
      <c r="Y3721" s="182"/>
      <c r="Z3721" s="182"/>
      <c r="AA3721" s="182"/>
      <c r="AB3721" s="182"/>
      <c r="AC3721" s="183"/>
      <c r="AD3721" s="183"/>
      <c r="AE3721" s="183"/>
      <c r="AF3721" s="184"/>
      <c r="AG3721" s="180"/>
      <c r="AH3721" s="185"/>
      <c r="AI3721" s="182"/>
      <c r="AJ3721" s="182"/>
      <c r="AK3721" s="182"/>
      <c r="AL3721" s="182"/>
    </row>
    <row r="3722" ht="20.25" customHeight="1">
      <c r="A3722" s="169"/>
      <c r="B3722" s="170"/>
      <c r="C3722" s="170"/>
      <c r="D3722" s="170"/>
      <c r="E3722" s="171"/>
      <c r="F3722" s="172"/>
      <c r="G3722" s="173"/>
      <c r="H3722" s="174"/>
      <c r="I3722" s="175"/>
      <c r="J3722" s="172"/>
      <c r="K3722" s="176"/>
      <c r="L3722" s="176"/>
      <c r="M3722" s="176"/>
      <c r="N3722" s="177"/>
      <c r="O3722" s="177"/>
      <c r="P3722" s="178"/>
      <c r="Q3722" s="177"/>
      <c r="R3722" s="170"/>
      <c r="S3722" s="170"/>
      <c r="T3722" s="179"/>
      <c r="U3722" s="179"/>
      <c r="V3722" s="179"/>
      <c r="W3722" s="180"/>
      <c r="X3722" s="181"/>
      <c r="Y3722" s="182"/>
      <c r="Z3722" s="182"/>
      <c r="AA3722" s="182"/>
      <c r="AB3722" s="182"/>
      <c r="AC3722" s="183"/>
      <c r="AD3722" s="183"/>
      <c r="AE3722" s="183"/>
      <c r="AF3722" s="184"/>
      <c r="AG3722" s="180"/>
      <c r="AH3722" s="185"/>
      <c r="AI3722" s="182"/>
      <c r="AJ3722" s="182"/>
      <c r="AK3722" s="182"/>
      <c r="AL3722" s="182"/>
    </row>
    <row r="3723" ht="20.25" customHeight="1">
      <c r="A3723" s="169"/>
      <c r="B3723" s="170"/>
      <c r="C3723" s="170"/>
      <c r="D3723" s="170"/>
      <c r="E3723" s="171"/>
      <c r="F3723" s="172"/>
      <c r="G3723" s="173"/>
      <c r="H3723" s="174"/>
      <c r="I3723" s="175"/>
      <c r="J3723" s="172"/>
      <c r="K3723" s="176"/>
      <c r="L3723" s="176"/>
      <c r="M3723" s="176"/>
      <c r="N3723" s="177"/>
      <c r="O3723" s="177"/>
      <c r="P3723" s="178"/>
      <c r="Q3723" s="177"/>
      <c r="R3723" s="170"/>
      <c r="S3723" s="170"/>
      <c r="T3723" s="179"/>
      <c r="U3723" s="179"/>
      <c r="V3723" s="179"/>
      <c r="W3723" s="180"/>
      <c r="X3723" s="181"/>
      <c r="Y3723" s="182"/>
      <c r="Z3723" s="182"/>
      <c r="AA3723" s="182"/>
      <c r="AB3723" s="182"/>
      <c r="AC3723" s="183"/>
      <c r="AD3723" s="183"/>
      <c r="AE3723" s="183"/>
      <c r="AF3723" s="184"/>
      <c r="AG3723" s="180"/>
      <c r="AH3723" s="185"/>
      <c r="AI3723" s="182"/>
      <c r="AJ3723" s="182"/>
      <c r="AK3723" s="182"/>
      <c r="AL3723" s="182"/>
    </row>
    <row r="3724" ht="20.25" customHeight="1">
      <c r="A3724" s="169"/>
      <c r="B3724" s="170"/>
      <c r="C3724" s="170"/>
      <c r="D3724" s="170"/>
      <c r="E3724" s="171"/>
      <c r="F3724" s="172"/>
      <c r="G3724" s="173"/>
      <c r="H3724" s="174"/>
      <c r="I3724" s="175"/>
      <c r="J3724" s="172"/>
      <c r="K3724" s="176"/>
      <c r="L3724" s="176"/>
      <c r="M3724" s="176"/>
      <c r="N3724" s="177"/>
      <c r="O3724" s="177"/>
      <c r="P3724" s="178"/>
      <c r="Q3724" s="177"/>
      <c r="R3724" s="170"/>
      <c r="S3724" s="170"/>
      <c r="T3724" s="179"/>
      <c r="U3724" s="179"/>
      <c r="V3724" s="179"/>
      <c r="W3724" s="180"/>
      <c r="X3724" s="181"/>
      <c r="Y3724" s="182"/>
      <c r="Z3724" s="182"/>
      <c r="AA3724" s="182"/>
      <c r="AB3724" s="182"/>
      <c r="AC3724" s="183"/>
      <c r="AD3724" s="183"/>
      <c r="AE3724" s="183"/>
      <c r="AF3724" s="184"/>
      <c r="AG3724" s="180"/>
      <c r="AH3724" s="185"/>
      <c r="AI3724" s="182"/>
      <c r="AJ3724" s="182"/>
      <c r="AK3724" s="182"/>
      <c r="AL3724" s="182"/>
    </row>
    <row r="3725" ht="20.25" customHeight="1">
      <c r="A3725" s="169"/>
      <c r="B3725" s="170"/>
      <c r="C3725" s="170"/>
      <c r="D3725" s="170"/>
      <c r="E3725" s="171"/>
      <c r="F3725" s="172"/>
      <c r="G3725" s="173"/>
      <c r="H3725" s="174"/>
      <c r="I3725" s="175"/>
      <c r="J3725" s="172"/>
      <c r="K3725" s="176"/>
      <c r="L3725" s="176"/>
      <c r="M3725" s="176"/>
      <c r="N3725" s="177"/>
      <c r="O3725" s="177"/>
      <c r="P3725" s="178"/>
      <c r="Q3725" s="177"/>
      <c r="R3725" s="170"/>
      <c r="S3725" s="170"/>
      <c r="T3725" s="179"/>
      <c r="U3725" s="179"/>
      <c r="V3725" s="179"/>
      <c r="W3725" s="180"/>
      <c r="X3725" s="181"/>
      <c r="Y3725" s="182"/>
      <c r="Z3725" s="182"/>
      <c r="AA3725" s="182"/>
      <c r="AB3725" s="182"/>
      <c r="AC3725" s="183"/>
      <c r="AD3725" s="183"/>
      <c r="AE3725" s="183"/>
      <c r="AF3725" s="184"/>
      <c r="AG3725" s="180"/>
      <c r="AH3725" s="185"/>
      <c r="AI3725" s="182"/>
      <c r="AJ3725" s="182"/>
      <c r="AK3725" s="182"/>
      <c r="AL3725" s="182"/>
    </row>
    <row r="3726" ht="20.25" customHeight="1">
      <c r="A3726" s="169"/>
      <c r="B3726" s="170"/>
      <c r="C3726" s="170"/>
      <c r="D3726" s="170"/>
      <c r="E3726" s="171"/>
      <c r="F3726" s="172"/>
      <c r="G3726" s="173"/>
      <c r="H3726" s="174"/>
      <c r="I3726" s="175"/>
      <c r="J3726" s="172"/>
      <c r="K3726" s="176"/>
      <c r="L3726" s="176"/>
      <c r="M3726" s="176"/>
      <c r="N3726" s="177"/>
      <c r="O3726" s="177"/>
      <c r="P3726" s="178"/>
      <c r="Q3726" s="177"/>
      <c r="R3726" s="170"/>
      <c r="S3726" s="170"/>
      <c r="T3726" s="179"/>
      <c r="U3726" s="179"/>
      <c r="V3726" s="179"/>
      <c r="W3726" s="180"/>
      <c r="X3726" s="181"/>
      <c r="Y3726" s="182"/>
      <c r="Z3726" s="182"/>
      <c r="AA3726" s="182"/>
      <c r="AB3726" s="182"/>
      <c r="AC3726" s="183"/>
      <c r="AD3726" s="183"/>
      <c r="AE3726" s="183"/>
      <c r="AF3726" s="184"/>
      <c r="AG3726" s="180"/>
      <c r="AH3726" s="185"/>
      <c r="AI3726" s="182"/>
      <c r="AJ3726" s="182"/>
      <c r="AK3726" s="182"/>
      <c r="AL3726" s="182"/>
    </row>
    <row r="3727" ht="20.25" customHeight="1">
      <c r="A3727" s="169"/>
      <c r="B3727" s="170"/>
      <c r="C3727" s="170"/>
      <c r="D3727" s="170"/>
      <c r="E3727" s="171"/>
      <c r="F3727" s="172"/>
      <c r="G3727" s="173"/>
      <c r="H3727" s="174"/>
      <c r="I3727" s="175"/>
      <c r="J3727" s="172"/>
      <c r="K3727" s="176"/>
      <c r="L3727" s="176"/>
      <c r="M3727" s="176"/>
      <c r="N3727" s="177"/>
      <c r="O3727" s="177"/>
      <c r="P3727" s="178"/>
      <c r="Q3727" s="177"/>
      <c r="R3727" s="170"/>
      <c r="S3727" s="170"/>
      <c r="T3727" s="179"/>
      <c r="U3727" s="179"/>
      <c r="V3727" s="179"/>
      <c r="W3727" s="180"/>
      <c r="X3727" s="181"/>
      <c r="Y3727" s="182"/>
      <c r="Z3727" s="182"/>
      <c r="AA3727" s="182"/>
      <c r="AB3727" s="182"/>
      <c r="AC3727" s="183"/>
      <c r="AD3727" s="183"/>
      <c r="AE3727" s="183"/>
      <c r="AF3727" s="184"/>
      <c r="AG3727" s="180"/>
      <c r="AH3727" s="185"/>
      <c r="AI3727" s="182"/>
      <c r="AJ3727" s="182"/>
      <c r="AK3727" s="182"/>
      <c r="AL3727" s="182"/>
    </row>
    <row r="3728" ht="20.25" customHeight="1">
      <c r="A3728" s="169"/>
      <c r="B3728" s="170"/>
      <c r="C3728" s="170"/>
      <c r="D3728" s="170"/>
      <c r="E3728" s="171"/>
      <c r="F3728" s="172"/>
      <c r="G3728" s="173"/>
      <c r="H3728" s="174"/>
      <c r="I3728" s="175"/>
      <c r="J3728" s="172"/>
      <c r="K3728" s="176"/>
      <c r="L3728" s="176"/>
      <c r="M3728" s="176"/>
      <c r="N3728" s="177"/>
      <c r="O3728" s="177"/>
      <c r="P3728" s="178"/>
      <c r="Q3728" s="177"/>
      <c r="R3728" s="170"/>
      <c r="S3728" s="170"/>
      <c r="T3728" s="179"/>
      <c r="U3728" s="179"/>
      <c r="V3728" s="179"/>
      <c r="W3728" s="180"/>
      <c r="X3728" s="181"/>
      <c r="Y3728" s="182"/>
      <c r="Z3728" s="182"/>
      <c r="AA3728" s="182"/>
      <c r="AB3728" s="182"/>
      <c r="AC3728" s="183"/>
      <c r="AD3728" s="183"/>
      <c r="AE3728" s="183"/>
      <c r="AF3728" s="184"/>
      <c r="AG3728" s="180"/>
      <c r="AH3728" s="185"/>
      <c r="AI3728" s="182"/>
      <c r="AJ3728" s="182"/>
      <c r="AK3728" s="182"/>
      <c r="AL3728" s="182"/>
    </row>
    <row r="3729" ht="20.25" customHeight="1">
      <c r="A3729" s="169"/>
      <c r="B3729" s="170"/>
      <c r="C3729" s="170"/>
      <c r="D3729" s="170"/>
      <c r="E3729" s="171"/>
      <c r="F3729" s="172"/>
      <c r="G3729" s="173"/>
      <c r="H3729" s="174"/>
      <c r="I3729" s="175"/>
      <c r="J3729" s="172"/>
      <c r="K3729" s="176"/>
      <c r="L3729" s="176"/>
      <c r="M3729" s="176"/>
      <c r="N3729" s="177"/>
      <c r="O3729" s="177"/>
      <c r="P3729" s="178"/>
      <c r="Q3729" s="177"/>
      <c r="R3729" s="170"/>
      <c r="S3729" s="170"/>
      <c r="T3729" s="179"/>
      <c r="U3729" s="179"/>
      <c r="V3729" s="179"/>
      <c r="W3729" s="180"/>
      <c r="X3729" s="181"/>
      <c r="Y3729" s="182"/>
      <c r="Z3729" s="182"/>
      <c r="AA3729" s="182"/>
      <c r="AB3729" s="182"/>
      <c r="AC3729" s="183"/>
      <c r="AD3729" s="183"/>
      <c r="AE3729" s="183"/>
      <c r="AF3729" s="184"/>
      <c r="AG3729" s="180"/>
      <c r="AH3729" s="185"/>
      <c r="AI3729" s="182"/>
      <c r="AJ3729" s="182"/>
      <c r="AK3729" s="182"/>
      <c r="AL3729" s="182"/>
    </row>
    <row r="3730" ht="20.25" customHeight="1">
      <c r="A3730" s="169"/>
      <c r="B3730" s="170"/>
      <c r="C3730" s="170"/>
      <c r="D3730" s="170"/>
      <c r="E3730" s="171"/>
      <c r="F3730" s="172"/>
      <c r="G3730" s="173"/>
      <c r="H3730" s="174"/>
      <c r="I3730" s="175"/>
      <c r="J3730" s="172"/>
      <c r="K3730" s="176"/>
      <c r="L3730" s="176"/>
      <c r="M3730" s="176"/>
      <c r="N3730" s="177"/>
      <c r="O3730" s="177"/>
      <c r="P3730" s="178"/>
      <c r="Q3730" s="177"/>
      <c r="R3730" s="170"/>
      <c r="S3730" s="170"/>
      <c r="T3730" s="179"/>
      <c r="U3730" s="179"/>
      <c r="V3730" s="179"/>
      <c r="W3730" s="180"/>
      <c r="X3730" s="181"/>
      <c r="Y3730" s="182"/>
      <c r="Z3730" s="182"/>
      <c r="AA3730" s="182"/>
      <c r="AB3730" s="182"/>
      <c r="AC3730" s="183"/>
      <c r="AD3730" s="183"/>
      <c r="AE3730" s="183"/>
      <c r="AF3730" s="184"/>
      <c r="AG3730" s="180"/>
      <c r="AH3730" s="185"/>
      <c r="AI3730" s="182"/>
      <c r="AJ3730" s="182"/>
      <c r="AK3730" s="182"/>
      <c r="AL3730" s="182"/>
    </row>
    <row r="3731" ht="20.25" customHeight="1">
      <c r="A3731" s="169"/>
      <c r="B3731" s="170"/>
      <c r="C3731" s="170"/>
      <c r="D3731" s="170"/>
      <c r="E3731" s="171"/>
      <c r="F3731" s="172"/>
      <c r="G3731" s="173"/>
      <c r="H3731" s="174"/>
      <c r="I3731" s="175"/>
      <c r="J3731" s="172"/>
      <c r="K3731" s="176"/>
      <c r="L3731" s="176"/>
      <c r="M3731" s="176"/>
      <c r="N3731" s="177"/>
      <c r="O3731" s="177"/>
      <c r="P3731" s="178"/>
      <c r="Q3731" s="177"/>
      <c r="R3731" s="170"/>
      <c r="S3731" s="170"/>
      <c r="T3731" s="179"/>
      <c r="U3731" s="179"/>
      <c r="V3731" s="179"/>
      <c r="W3731" s="180"/>
      <c r="X3731" s="181"/>
      <c r="Y3731" s="182"/>
      <c r="Z3731" s="182"/>
      <c r="AA3731" s="182"/>
      <c r="AB3731" s="182"/>
      <c r="AC3731" s="183"/>
      <c r="AD3731" s="183"/>
      <c r="AE3731" s="183"/>
      <c r="AF3731" s="184"/>
      <c r="AG3731" s="180"/>
      <c r="AH3731" s="185"/>
      <c r="AI3731" s="182"/>
      <c r="AJ3731" s="182"/>
      <c r="AK3731" s="182"/>
      <c r="AL3731" s="182"/>
    </row>
    <row r="3732" ht="20.25" customHeight="1">
      <c r="A3732" s="169"/>
      <c r="B3732" s="170"/>
      <c r="C3732" s="170"/>
      <c r="D3732" s="170"/>
      <c r="E3732" s="171"/>
      <c r="F3732" s="172"/>
      <c r="G3732" s="173"/>
      <c r="H3732" s="174"/>
      <c r="I3732" s="175"/>
      <c r="J3732" s="172"/>
      <c r="K3732" s="176"/>
      <c r="L3732" s="176"/>
      <c r="M3732" s="176"/>
      <c r="N3732" s="177"/>
      <c r="O3732" s="177"/>
      <c r="P3732" s="178"/>
      <c r="Q3732" s="177"/>
      <c r="R3732" s="170"/>
      <c r="S3732" s="170"/>
      <c r="T3732" s="179"/>
      <c r="U3732" s="179"/>
      <c r="V3732" s="179"/>
      <c r="W3732" s="180"/>
      <c r="X3732" s="181"/>
      <c r="Y3732" s="182"/>
      <c r="Z3732" s="182"/>
      <c r="AA3732" s="182"/>
      <c r="AB3732" s="182"/>
      <c r="AC3732" s="183"/>
      <c r="AD3732" s="183"/>
      <c r="AE3732" s="183"/>
      <c r="AF3732" s="184"/>
      <c r="AG3732" s="180"/>
      <c r="AH3732" s="185"/>
      <c r="AI3732" s="182"/>
      <c r="AJ3732" s="182"/>
      <c r="AK3732" s="182"/>
      <c r="AL3732" s="182"/>
    </row>
    <row r="3733" ht="20.25" customHeight="1">
      <c r="A3733" s="169"/>
      <c r="B3733" s="170"/>
      <c r="C3733" s="170"/>
      <c r="D3733" s="170"/>
      <c r="E3733" s="171"/>
      <c r="F3733" s="172"/>
      <c r="G3733" s="173"/>
      <c r="H3733" s="174"/>
      <c r="I3733" s="175"/>
      <c r="J3733" s="172"/>
      <c r="K3733" s="176"/>
      <c r="L3733" s="176"/>
      <c r="M3733" s="176"/>
      <c r="N3733" s="177"/>
      <c r="O3733" s="177"/>
      <c r="P3733" s="178"/>
      <c r="Q3733" s="177"/>
      <c r="R3733" s="170"/>
      <c r="S3733" s="170"/>
      <c r="T3733" s="179"/>
      <c r="U3733" s="179"/>
      <c r="V3733" s="179"/>
      <c r="W3733" s="180"/>
      <c r="X3733" s="181"/>
      <c r="Y3733" s="182"/>
      <c r="Z3733" s="182"/>
      <c r="AA3733" s="182"/>
      <c r="AB3733" s="182"/>
      <c r="AC3733" s="183"/>
      <c r="AD3733" s="183"/>
      <c r="AE3733" s="183"/>
      <c r="AF3733" s="184"/>
      <c r="AG3733" s="180"/>
      <c r="AH3733" s="185"/>
      <c r="AI3733" s="182"/>
      <c r="AJ3733" s="182"/>
      <c r="AK3733" s="182"/>
      <c r="AL3733" s="182"/>
    </row>
    <row r="3734" ht="20.25" customHeight="1">
      <c r="A3734" s="169"/>
      <c r="B3734" s="170"/>
      <c r="C3734" s="170"/>
      <c r="D3734" s="170"/>
      <c r="E3734" s="171"/>
      <c r="F3734" s="172"/>
      <c r="G3734" s="173"/>
      <c r="H3734" s="174"/>
      <c r="I3734" s="175"/>
      <c r="J3734" s="172"/>
      <c r="K3734" s="176"/>
      <c r="L3734" s="176"/>
      <c r="M3734" s="176"/>
      <c r="N3734" s="177"/>
      <c r="O3734" s="177"/>
      <c r="P3734" s="178"/>
      <c r="Q3734" s="177"/>
      <c r="R3734" s="170"/>
      <c r="S3734" s="170"/>
      <c r="T3734" s="179"/>
      <c r="U3734" s="179"/>
      <c r="V3734" s="179"/>
      <c r="W3734" s="180"/>
      <c r="X3734" s="181"/>
      <c r="Y3734" s="182"/>
      <c r="Z3734" s="182"/>
      <c r="AA3734" s="182"/>
      <c r="AB3734" s="182"/>
      <c r="AC3734" s="183"/>
      <c r="AD3734" s="183"/>
      <c r="AE3734" s="183"/>
      <c r="AF3734" s="184"/>
      <c r="AG3734" s="180"/>
      <c r="AH3734" s="185"/>
      <c r="AI3734" s="182"/>
      <c r="AJ3734" s="182"/>
      <c r="AK3734" s="182"/>
      <c r="AL3734" s="182"/>
    </row>
    <row r="3735" ht="20.25" customHeight="1">
      <c r="A3735" s="169"/>
      <c r="B3735" s="170"/>
      <c r="C3735" s="170"/>
      <c r="D3735" s="170"/>
      <c r="E3735" s="171"/>
      <c r="F3735" s="172"/>
      <c r="G3735" s="173"/>
      <c r="H3735" s="174"/>
      <c r="I3735" s="175"/>
      <c r="J3735" s="172"/>
      <c r="K3735" s="176"/>
      <c r="L3735" s="176"/>
      <c r="M3735" s="176"/>
      <c r="N3735" s="177"/>
      <c r="O3735" s="177"/>
      <c r="P3735" s="178"/>
      <c r="Q3735" s="177"/>
      <c r="R3735" s="170"/>
      <c r="S3735" s="170"/>
      <c r="T3735" s="179"/>
      <c r="U3735" s="179"/>
      <c r="V3735" s="179"/>
      <c r="W3735" s="180"/>
      <c r="X3735" s="181"/>
      <c r="Y3735" s="182"/>
      <c r="Z3735" s="182"/>
      <c r="AA3735" s="182"/>
      <c r="AB3735" s="182"/>
      <c r="AC3735" s="183"/>
      <c r="AD3735" s="183"/>
      <c r="AE3735" s="183"/>
      <c r="AF3735" s="184"/>
      <c r="AG3735" s="180"/>
      <c r="AH3735" s="185"/>
      <c r="AI3735" s="182"/>
      <c r="AJ3735" s="182"/>
      <c r="AK3735" s="182"/>
      <c r="AL3735" s="182"/>
    </row>
    <row r="3736" ht="20.25" customHeight="1">
      <c r="A3736" s="169"/>
      <c r="B3736" s="170"/>
      <c r="C3736" s="170"/>
      <c r="D3736" s="170"/>
      <c r="E3736" s="171"/>
      <c r="F3736" s="172"/>
      <c r="G3736" s="173"/>
      <c r="H3736" s="174"/>
      <c r="I3736" s="175"/>
      <c r="J3736" s="172"/>
      <c r="K3736" s="176"/>
      <c r="L3736" s="176"/>
      <c r="M3736" s="176"/>
      <c r="N3736" s="177"/>
      <c r="O3736" s="177"/>
      <c r="P3736" s="178"/>
      <c r="Q3736" s="177"/>
      <c r="R3736" s="170"/>
      <c r="S3736" s="170"/>
      <c r="T3736" s="179"/>
      <c r="U3736" s="179"/>
      <c r="V3736" s="179"/>
      <c r="W3736" s="180"/>
      <c r="X3736" s="181"/>
      <c r="Y3736" s="182"/>
      <c r="Z3736" s="182"/>
      <c r="AA3736" s="182"/>
      <c r="AB3736" s="182"/>
      <c r="AC3736" s="183"/>
      <c r="AD3736" s="183"/>
      <c r="AE3736" s="183"/>
      <c r="AF3736" s="184"/>
      <c r="AG3736" s="180"/>
      <c r="AH3736" s="185"/>
      <c r="AI3736" s="182"/>
      <c r="AJ3736" s="182"/>
      <c r="AK3736" s="182"/>
      <c r="AL3736" s="182"/>
    </row>
    <row r="3737" ht="20.25" customHeight="1">
      <c r="A3737" s="169"/>
      <c r="B3737" s="170"/>
      <c r="C3737" s="170"/>
      <c r="D3737" s="170"/>
      <c r="E3737" s="171"/>
      <c r="F3737" s="172"/>
      <c r="G3737" s="173"/>
      <c r="H3737" s="174"/>
      <c r="I3737" s="175"/>
      <c r="J3737" s="172"/>
      <c r="K3737" s="176"/>
      <c r="L3737" s="176"/>
      <c r="M3737" s="176"/>
      <c r="N3737" s="177"/>
      <c r="O3737" s="177"/>
      <c r="P3737" s="178"/>
      <c r="Q3737" s="177"/>
      <c r="R3737" s="170"/>
      <c r="S3737" s="170"/>
      <c r="T3737" s="179"/>
      <c r="U3737" s="179"/>
      <c r="V3737" s="179"/>
      <c r="W3737" s="180"/>
      <c r="X3737" s="181"/>
      <c r="Y3737" s="182"/>
      <c r="Z3737" s="182"/>
      <c r="AA3737" s="182"/>
      <c r="AB3737" s="182"/>
      <c r="AC3737" s="183"/>
      <c r="AD3737" s="183"/>
      <c r="AE3737" s="183"/>
      <c r="AF3737" s="184"/>
      <c r="AG3737" s="180"/>
      <c r="AH3737" s="185"/>
      <c r="AI3737" s="182"/>
      <c r="AJ3737" s="182"/>
      <c r="AK3737" s="182"/>
      <c r="AL3737" s="182"/>
    </row>
    <row r="3738" ht="20.25" customHeight="1">
      <c r="A3738" s="169"/>
      <c r="B3738" s="170"/>
      <c r="C3738" s="170"/>
      <c r="D3738" s="170"/>
      <c r="E3738" s="171"/>
      <c r="F3738" s="172"/>
      <c r="G3738" s="173"/>
      <c r="H3738" s="174"/>
      <c r="I3738" s="175"/>
      <c r="J3738" s="172"/>
      <c r="K3738" s="176"/>
      <c r="L3738" s="176"/>
      <c r="M3738" s="176"/>
      <c r="N3738" s="177"/>
      <c r="O3738" s="177"/>
      <c r="P3738" s="178"/>
      <c r="Q3738" s="177"/>
      <c r="R3738" s="170"/>
      <c r="S3738" s="170"/>
      <c r="T3738" s="179"/>
      <c r="U3738" s="179"/>
      <c r="V3738" s="179"/>
      <c r="W3738" s="180"/>
      <c r="X3738" s="181"/>
      <c r="Y3738" s="182"/>
      <c r="Z3738" s="182"/>
      <c r="AA3738" s="182"/>
      <c r="AB3738" s="182"/>
      <c r="AC3738" s="183"/>
      <c r="AD3738" s="183"/>
      <c r="AE3738" s="183"/>
      <c r="AF3738" s="184"/>
      <c r="AG3738" s="180"/>
      <c r="AH3738" s="185"/>
      <c r="AI3738" s="182"/>
      <c r="AJ3738" s="182"/>
      <c r="AK3738" s="182"/>
      <c r="AL3738" s="182"/>
    </row>
    <row r="3739" ht="20.25" customHeight="1">
      <c r="A3739" s="169"/>
      <c r="B3739" s="170"/>
      <c r="C3739" s="170"/>
      <c r="D3739" s="170"/>
      <c r="E3739" s="171"/>
      <c r="F3739" s="172"/>
      <c r="G3739" s="173"/>
      <c r="H3739" s="174"/>
      <c r="I3739" s="175"/>
      <c r="J3739" s="172"/>
      <c r="K3739" s="176"/>
      <c r="L3739" s="176"/>
      <c r="M3739" s="176"/>
      <c r="N3739" s="177"/>
      <c r="O3739" s="177"/>
      <c r="P3739" s="178"/>
      <c r="Q3739" s="177"/>
      <c r="R3739" s="170"/>
      <c r="S3739" s="170"/>
      <c r="T3739" s="179"/>
      <c r="U3739" s="179"/>
      <c r="V3739" s="179"/>
      <c r="W3739" s="180"/>
      <c r="X3739" s="181"/>
      <c r="Y3739" s="182"/>
      <c r="Z3739" s="182"/>
      <c r="AA3739" s="182"/>
      <c r="AB3739" s="182"/>
      <c r="AC3739" s="183"/>
      <c r="AD3739" s="183"/>
      <c r="AE3739" s="183"/>
      <c r="AF3739" s="184"/>
      <c r="AG3739" s="180"/>
      <c r="AH3739" s="185"/>
      <c r="AI3739" s="182"/>
      <c r="AJ3739" s="182"/>
      <c r="AK3739" s="182"/>
      <c r="AL3739" s="182"/>
    </row>
    <row r="3740" ht="20.25" customHeight="1">
      <c r="A3740" s="169"/>
      <c r="B3740" s="170"/>
      <c r="C3740" s="170"/>
      <c r="D3740" s="170"/>
      <c r="E3740" s="171"/>
      <c r="F3740" s="172"/>
      <c r="G3740" s="173"/>
      <c r="H3740" s="174"/>
      <c r="I3740" s="175"/>
      <c r="J3740" s="172"/>
      <c r="K3740" s="176"/>
      <c r="L3740" s="176"/>
      <c r="M3740" s="176"/>
      <c r="N3740" s="177"/>
      <c r="O3740" s="177"/>
      <c r="P3740" s="178"/>
      <c r="Q3740" s="177"/>
      <c r="R3740" s="170"/>
      <c r="S3740" s="170"/>
      <c r="T3740" s="179"/>
      <c r="U3740" s="179"/>
      <c r="V3740" s="179"/>
      <c r="W3740" s="180"/>
      <c r="X3740" s="181"/>
      <c r="Y3740" s="182"/>
      <c r="Z3740" s="182"/>
      <c r="AA3740" s="182"/>
      <c r="AB3740" s="182"/>
      <c r="AC3740" s="183"/>
      <c r="AD3740" s="183"/>
      <c r="AE3740" s="183"/>
      <c r="AF3740" s="184"/>
      <c r="AG3740" s="180"/>
      <c r="AH3740" s="185"/>
      <c r="AI3740" s="182"/>
      <c r="AJ3740" s="182"/>
      <c r="AK3740" s="182"/>
      <c r="AL3740" s="182"/>
    </row>
    <row r="3741" ht="20.25" customHeight="1">
      <c r="A3741" s="169"/>
      <c r="B3741" s="170"/>
      <c r="C3741" s="170"/>
      <c r="D3741" s="170"/>
      <c r="E3741" s="171"/>
      <c r="F3741" s="172"/>
      <c r="G3741" s="173"/>
      <c r="H3741" s="174"/>
      <c r="I3741" s="175"/>
      <c r="J3741" s="172"/>
      <c r="K3741" s="176"/>
      <c r="L3741" s="176"/>
      <c r="M3741" s="176"/>
      <c r="N3741" s="177"/>
      <c r="O3741" s="177"/>
      <c r="P3741" s="178"/>
      <c r="Q3741" s="177"/>
      <c r="R3741" s="170"/>
      <c r="S3741" s="170"/>
      <c r="T3741" s="179"/>
      <c r="U3741" s="179"/>
      <c r="V3741" s="179"/>
      <c r="W3741" s="180"/>
      <c r="X3741" s="181"/>
      <c r="Y3741" s="182"/>
      <c r="Z3741" s="182"/>
      <c r="AA3741" s="182"/>
      <c r="AB3741" s="182"/>
      <c r="AC3741" s="183"/>
      <c r="AD3741" s="183"/>
      <c r="AE3741" s="183"/>
      <c r="AF3741" s="184"/>
      <c r="AG3741" s="180"/>
      <c r="AH3741" s="185"/>
      <c r="AI3741" s="182"/>
      <c r="AJ3741" s="182"/>
      <c r="AK3741" s="182"/>
      <c r="AL3741" s="182"/>
    </row>
    <row r="3742" ht="20.25" customHeight="1">
      <c r="A3742" s="169"/>
      <c r="B3742" s="170"/>
      <c r="C3742" s="170"/>
      <c r="D3742" s="170"/>
      <c r="E3742" s="171"/>
      <c r="F3742" s="172"/>
      <c r="G3742" s="173"/>
      <c r="H3742" s="174"/>
      <c r="I3742" s="175"/>
      <c r="J3742" s="172"/>
      <c r="K3742" s="176"/>
      <c r="L3742" s="176"/>
      <c r="M3742" s="176"/>
      <c r="N3742" s="177"/>
      <c r="O3742" s="177"/>
      <c r="P3742" s="178"/>
      <c r="Q3742" s="177"/>
      <c r="R3742" s="170"/>
      <c r="S3742" s="170"/>
      <c r="T3742" s="179"/>
      <c r="U3742" s="179"/>
      <c r="V3742" s="179"/>
      <c r="W3742" s="180"/>
      <c r="X3742" s="181"/>
      <c r="Y3742" s="182"/>
      <c r="Z3742" s="182"/>
      <c r="AA3742" s="182"/>
      <c r="AB3742" s="182"/>
      <c r="AC3742" s="183"/>
      <c r="AD3742" s="183"/>
      <c r="AE3742" s="183"/>
      <c r="AF3742" s="184"/>
      <c r="AG3742" s="180"/>
      <c r="AH3742" s="185"/>
      <c r="AI3742" s="182"/>
      <c r="AJ3742" s="182"/>
      <c r="AK3742" s="182"/>
      <c r="AL3742" s="182"/>
    </row>
    <row r="3743" ht="20.25" customHeight="1">
      <c r="A3743" s="169"/>
      <c r="B3743" s="170"/>
      <c r="C3743" s="170"/>
      <c r="D3743" s="170"/>
      <c r="E3743" s="171"/>
      <c r="F3743" s="172"/>
      <c r="G3743" s="173"/>
      <c r="H3743" s="174"/>
      <c r="I3743" s="175"/>
      <c r="J3743" s="172"/>
      <c r="K3743" s="176"/>
      <c r="L3743" s="176"/>
      <c r="M3743" s="176"/>
      <c r="N3743" s="177"/>
      <c r="O3743" s="177"/>
      <c r="P3743" s="178"/>
      <c r="Q3743" s="177"/>
      <c r="R3743" s="170"/>
      <c r="S3743" s="170"/>
      <c r="T3743" s="179"/>
      <c r="U3743" s="179"/>
      <c r="V3743" s="179"/>
      <c r="W3743" s="180"/>
      <c r="X3743" s="181"/>
      <c r="Y3743" s="182"/>
      <c r="Z3743" s="182"/>
      <c r="AA3743" s="182"/>
      <c r="AB3743" s="182"/>
      <c r="AC3743" s="183"/>
      <c r="AD3743" s="183"/>
      <c r="AE3743" s="183"/>
      <c r="AF3743" s="184"/>
      <c r="AG3743" s="180"/>
      <c r="AH3743" s="185"/>
      <c r="AI3743" s="182"/>
      <c r="AJ3743" s="182"/>
      <c r="AK3743" s="182"/>
      <c r="AL3743" s="182"/>
    </row>
    <row r="3744" ht="20.25" customHeight="1">
      <c r="A3744" s="169"/>
      <c r="B3744" s="170"/>
      <c r="C3744" s="170"/>
      <c r="D3744" s="170"/>
      <c r="E3744" s="171"/>
      <c r="F3744" s="172"/>
      <c r="G3744" s="173"/>
      <c r="H3744" s="174"/>
      <c r="I3744" s="175"/>
      <c r="J3744" s="172"/>
      <c r="K3744" s="176"/>
      <c r="L3744" s="176"/>
      <c r="M3744" s="176"/>
      <c r="N3744" s="177"/>
      <c r="O3744" s="177"/>
      <c r="P3744" s="178"/>
      <c r="Q3744" s="177"/>
      <c r="R3744" s="170"/>
      <c r="S3744" s="170"/>
      <c r="T3744" s="179"/>
      <c r="U3744" s="179"/>
      <c r="V3744" s="179"/>
      <c r="W3744" s="180"/>
      <c r="X3744" s="181"/>
      <c r="Y3744" s="182"/>
      <c r="Z3744" s="182"/>
      <c r="AA3744" s="182"/>
      <c r="AB3744" s="182"/>
      <c r="AC3744" s="183"/>
      <c r="AD3744" s="183"/>
      <c r="AE3744" s="183"/>
      <c r="AF3744" s="184"/>
      <c r="AG3744" s="180"/>
      <c r="AH3744" s="185"/>
      <c r="AI3744" s="182"/>
      <c r="AJ3744" s="182"/>
      <c r="AK3744" s="182"/>
      <c r="AL3744" s="182"/>
    </row>
    <row r="3745" ht="20.25" customHeight="1">
      <c r="A3745" s="169"/>
      <c r="B3745" s="170"/>
      <c r="C3745" s="170"/>
      <c r="D3745" s="170"/>
      <c r="E3745" s="171"/>
      <c r="F3745" s="172"/>
      <c r="G3745" s="173"/>
      <c r="H3745" s="174"/>
      <c r="I3745" s="175"/>
      <c r="J3745" s="172"/>
      <c r="K3745" s="176"/>
      <c r="L3745" s="176"/>
      <c r="M3745" s="176"/>
      <c r="N3745" s="177"/>
      <c r="O3745" s="177"/>
      <c r="P3745" s="178"/>
      <c r="Q3745" s="177"/>
      <c r="R3745" s="170"/>
      <c r="S3745" s="170"/>
      <c r="T3745" s="179"/>
      <c r="U3745" s="179"/>
      <c r="V3745" s="179"/>
      <c r="W3745" s="180"/>
      <c r="X3745" s="181"/>
      <c r="Y3745" s="182"/>
      <c r="Z3745" s="182"/>
      <c r="AA3745" s="182"/>
      <c r="AB3745" s="182"/>
      <c r="AC3745" s="183"/>
      <c r="AD3745" s="183"/>
      <c r="AE3745" s="183"/>
      <c r="AF3745" s="184"/>
      <c r="AG3745" s="180"/>
      <c r="AH3745" s="185"/>
      <c r="AI3745" s="182"/>
      <c r="AJ3745" s="182"/>
      <c r="AK3745" s="182"/>
      <c r="AL3745" s="182"/>
    </row>
    <row r="3746" ht="20.25" customHeight="1">
      <c r="A3746" s="169"/>
      <c r="B3746" s="170"/>
      <c r="C3746" s="170"/>
      <c r="D3746" s="170"/>
      <c r="E3746" s="171"/>
      <c r="F3746" s="172"/>
      <c r="G3746" s="173"/>
      <c r="H3746" s="174"/>
      <c r="I3746" s="175"/>
      <c r="J3746" s="172"/>
      <c r="K3746" s="176"/>
      <c r="L3746" s="176"/>
      <c r="M3746" s="176"/>
      <c r="N3746" s="177"/>
      <c r="O3746" s="177"/>
      <c r="P3746" s="178"/>
      <c r="Q3746" s="177"/>
      <c r="R3746" s="170"/>
      <c r="S3746" s="170"/>
      <c r="T3746" s="179"/>
      <c r="U3746" s="179"/>
      <c r="V3746" s="179"/>
      <c r="W3746" s="180"/>
      <c r="X3746" s="181"/>
      <c r="Y3746" s="182"/>
      <c r="Z3746" s="182"/>
      <c r="AA3746" s="182"/>
      <c r="AB3746" s="182"/>
      <c r="AC3746" s="183"/>
      <c r="AD3746" s="183"/>
      <c r="AE3746" s="183"/>
      <c r="AF3746" s="184"/>
      <c r="AG3746" s="180"/>
      <c r="AH3746" s="185"/>
      <c r="AI3746" s="182"/>
      <c r="AJ3746" s="182"/>
      <c r="AK3746" s="182"/>
      <c r="AL3746" s="182"/>
    </row>
    <row r="3747" ht="20.25" customHeight="1">
      <c r="A3747" s="169"/>
      <c r="B3747" s="170"/>
      <c r="C3747" s="170"/>
      <c r="D3747" s="170"/>
      <c r="E3747" s="171"/>
      <c r="F3747" s="172"/>
      <c r="G3747" s="173"/>
      <c r="H3747" s="174"/>
      <c r="I3747" s="175"/>
      <c r="J3747" s="172"/>
      <c r="K3747" s="176"/>
      <c r="L3747" s="176"/>
      <c r="M3747" s="176"/>
      <c r="N3747" s="177"/>
      <c r="O3747" s="177"/>
      <c r="P3747" s="178"/>
      <c r="Q3747" s="177"/>
      <c r="R3747" s="170"/>
      <c r="S3747" s="170"/>
      <c r="T3747" s="179"/>
      <c r="U3747" s="179"/>
      <c r="V3747" s="179"/>
      <c r="W3747" s="180"/>
      <c r="X3747" s="181"/>
      <c r="Y3747" s="182"/>
      <c r="Z3747" s="182"/>
      <c r="AA3747" s="182"/>
      <c r="AB3747" s="182"/>
      <c r="AC3747" s="183"/>
      <c r="AD3747" s="183"/>
      <c r="AE3747" s="183"/>
      <c r="AF3747" s="184"/>
      <c r="AG3747" s="180"/>
      <c r="AH3747" s="185"/>
      <c r="AI3747" s="182"/>
      <c r="AJ3747" s="182"/>
      <c r="AK3747" s="182"/>
      <c r="AL3747" s="182"/>
    </row>
    <row r="3748" ht="20.25" customHeight="1">
      <c r="A3748" s="169"/>
      <c r="B3748" s="170"/>
      <c r="C3748" s="170"/>
      <c r="D3748" s="170"/>
      <c r="E3748" s="171"/>
      <c r="F3748" s="172"/>
      <c r="G3748" s="173"/>
      <c r="H3748" s="174"/>
      <c r="I3748" s="175"/>
      <c r="J3748" s="172"/>
      <c r="K3748" s="176"/>
      <c r="L3748" s="176"/>
      <c r="M3748" s="176"/>
      <c r="N3748" s="177"/>
      <c r="O3748" s="177"/>
      <c r="P3748" s="178"/>
      <c r="Q3748" s="177"/>
      <c r="R3748" s="170"/>
      <c r="S3748" s="170"/>
      <c r="T3748" s="179"/>
      <c r="U3748" s="179"/>
      <c r="V3748" s="179"/>
      <c r="W3748" s="180"/>
      <c r="X3748" s="181"/>
      <c r="Y3748" s="182"/>
      <c r="Z3748" s="182"/>
      <c r="AA3748" s="182"/>
      <c r="AB3748" s="182"/>
      <c r="AC3748" s="183"/>
      <c r="AD3748" s="183"/>
      <c r="AE3748" s="183"/>
      <c r="AF3748" s="184"/>
      <c r="AG3748" s="180"/>
      <c r="AH3748" s="185"/>
      <c r="AI3748" s="182"/>
      <c r="AJ3748" s="182"/>
      <c r="AK3748" s="182"/>
      <c r="AL3748" s="182"/>
    </row>
    <row r="3749" ht="20.25" customHeight="1">
      <c r="A3749" s="169"/>
      <c r="B3749" s="170"/>
      <c r="C3749" s="170"/>
      <c r="D3749" s="170"/>
      <c r="E3749" s="171"/>
      <c r="F3749" s="172"/>
      <c r="G3749" s="173"/>
      <c r="H3749" s="174"/>
      <c r="I3749" s="175"/>
      <c r="J3749" s="172"/>
      <c r="K3749" s="176"/>
      <c r="L3749" s="176"/>
      <c r="M3749" s="176"/>
      <c r="N3749" s="177"/>
      <c r="O3749" s="177"/>
      <c r="P3749" s="178"/>
      <c r="Q3749" s="177"/>
      <c r="R3749" s="170"/>
      <c r="S3749" s="170"/>
      <c r="T3749" s="179"/>
      <c r="U3749" s="179"/>
      <c r="V3749" s="179"/>
      <c r="W3749" s="180"/>
      <c r="X3749" s="181"/>
      <c r="Y3749" s="182"/>
      <c r="Z3749" s="182"/>
      <c r="AA3749" s="182"/>
      <c r="AB3749" s="182"/>
      <c r="AC3749" s="183"/>
      <c r="AD3749" s="183"/>
      <c r="AE3749" s="183"/>
      <c r="AF3749" s="184"/>
      <c r="AG3749" s="180"/>
      <c r="AH3749" s="185"/>
      <c r="AI3749" s="182"/>
      <c r="AJ3749" s="182"/>
      <c r="AK3749" s="182"/>
      <c r="AL3749" s="182"/>
    </row>
    <row r="3750" ht="20.25" customHeight="1">
      <c r="A3750" s="169"/>
      <c r="B3750" s="170"/>
      <c r="C3750" s="170"/>
      <c r="D3750" s="170"/>
      <c r="E3750" s="171"/>
      <c r="F3750" s="172"/>
      <c r="G3750" s="173"/>
      <c r="H3750" s="174"/>
      <c r="I3750" s="175"/>
      <c r="J3750" s="172"/>
      <c r="K3750" s="176"/>
      <c r="L3750" s="176"/>
      <c r="M3750" s="176"/>
      <c r="N3750" s="177"/>
      <c r="O3750" s="177"/>
      <c r="P3750" s="178"/>
      <c r="Q3750" s="177"/>
      <c r="R3750" s="170"/>
      <c r="S3750" s="170"/>
      <c r="T3750" s="179"/>
      <c r="U3750" s="179"/>
      <c r="V3750" s="179"/>
      <c r="W3750" s="180"/>
      <c r="X3750" s="181"/>
      <c r="Y3750" s="182"/>
      <c r="Z3750" s="182"/>
      <c r="AA3750" s="182"/>
      <c r="AB3750" s="182"/>
      <c r="AC3750" s="183"/>
      <c r="AD3750" s="183"/>
      <c r="AE3750" s="183"/>
      <c r="AF3750" s="184"/>
      <c r="AG3750" s="180"/>
      <c r="AH3750" s="185"/>
      <c r="AI3750" s="182"/>
      <c r="AJ3750" s="182"/>
      <c r="AK3750" s="182"/>
      <c r="AL3750" s="182"/>
    </row>
    <row r="3751" ht="20.25" customHeight="1">
      <c r="A3751" s="169"/>
      <c r="B3751" s="170"/>
      <c r="C3751" s="170"/>
      <c r="D3751" s="170"/>
      <c r="E3751" s="171"/>
      <c r="F3751" s="172"/>
      <c r="G3751" s="173"/>
      <c r="H3751" s="174"/>
      <c r="I3751" s="175"/>
      <c r="J3751" s="172"/>
      <c r="K3751" s="176"/>
      <c r="L3751" s="176"/>
      <c r="M3751" s="176"/>
      <c r="N3751" s="177"/>
      <c r="O3751" s="177"/>
      <c r="P3751" s="178"/>
      <c r="Q3751" s="177"/>
      <c r="R3751" s="170"/>
      <c r="S3751" s="170"/>
      <c r="T3751" s="179"/>
      <c r="U3751" s="179"/>
      <c r="V3751" s="179"/>
      <c r="W3751" s="180"/>
      <c r="X3751" s="181"/>
      <c r="Y3751" s="182"/>
      <c r="Z3751" s="182"/>
      <c r="AA3751" s="182"/>
      <c r="AB3751" s="182"/>
      <c r="AC3751" s="183"/>
      <c r="AD3751" s="183"/>
      <c r="AE3751" s="183"/>
      <c r="AF3751" s="184"/>
      <c r="AG3751" s="180"/>
      <c r="AH3751" s="185"/>
      <c r="AI3751" s="182"/>
      <c r="AJ3751" s="182"/>
      <c r="AK3751" s="182"/>
      <c r="AL3751" s="182"/>
    </row>
    <row r="3752" ht="20.25" customHeight="1">
      <c r="A3752" s="169"/>
      <c r="B3752" s="170"/>
      <c r="C3752" s="170"/>
      <c r="D3752" s="170"/>
      <c r="E3752" s="171"/>
      <c r="F3752" s="172"/>
      <c r="G3752" s="173"/>
      <c r="H3752" s="174"/>
      <c r="I3752" s="175"/>
      <c r="J3752" s="172"/>
      <c r="K3752" s="176"/>
      <c r="L3752" s="176"/>
      <c r="M3752" s="176"/>
      <c r="N3752" s="177"/>
      <c r="O3752" s="177"/>
      <c r="P3752" s="178"/>
      <c r="Q3752" s="177"/>
      <c r="R3752" s="170"/>
      <c r="S3752" s="170"/>
      <c r="T3752" s="179"/>
      <c r="U3752" s="179"/>
      <c r="V3752" s="179"/>
      <c r="W3752" s="180"/>
      <c r="X3752" s="181"/>
      <c r="Y3752" s="182"/>
      <c r="Z3752" s="182"/>
      <c r="AA3752" s="182"/>
      <c r="AB3752" s="182"/>
      <c r="AC3752" s="183"/>
      <c r="AD3752" s="183"/>
      <c r="AE3752" s="183"/>
      <c r="AF3752" s="184"/>
      <c r="AG3752" s="180"/>
      <c r="AH3752" s="185"/>
      <c r="AI3752" s="182"/>
      <c r="AJ3752" s="182"/>
      <c r="AK3752" s="182"/>
      <c r="AL3752" s="182"/>
    </row>
    <row r="3753" ht="20.25" customHeight="1">
      <c r="A3753" s="169"/>
      <c r="B3753" s="170"/>
      <c r="C3753" s="170"/>
      <c r="D3753" s="170"/>
      <c r="E3753" s="171"/>
      <c r="F3753" s="172"/>
      <c r="G3753" s="173"/>
      <c r="H3753" s="174"/>
      <c r="I3753" s="175"/>
      <c r="J3753" s="172"/>
      <c r="K3753" s="176"/>
      <c r="L3753" s="176"/>
      <c r="M3753" s="176"/>
      <c r="N3753" s="177"/>
      <c r="O3753" s="177"/>
      <c r="P3753" s="178"/>
      <c r="Q3753" s="177"/>
      <c r="R3753" s="170"/>
      <c r="S3753" s="170"/>
      <c r="T3753" s="179"/>
      <c r="U3753" s="179"/>
      <c r="V3753" s="179"/>
      <c r="W3753" s="180"/>
      <c r="X3753" s="181"/>
      <c r="Y3753" s="182"/>
      <c r="Z3753" s="182"/>
      <c r="AA3753" s="182"/>
      <c r="AB3753" s="182"/>
      <c r="AC3753" s="183"/>
      <c r="AD3753" s="183"/>
      <c r="AE3753" s="183"/>
      <c r="AF3753" s="184"/>
      <c r="AG3753" s="180"/>
      <c r="AH3753" s="185"/>
      <c r="AI3753" s="182"/>
      <c r="AJ3753" s="182"/>
      <c r="AK3753" s="182"/>
      <c r="AL3753" s="182"/>
    </row>
    <row r="3754" ht="20.25" customHeight="1">
      <c r="A3754" s="169"/>
      <c r="B3754" s="170"/>
      <c r="C3754" s="170"/>
      <c r="D3754" s="170"/>
      <c r="E3754" s="171"/>
      <c r="F3754" s="172"/>
      <c r="G3754" s="173"/>
      <c r="H3754" s="174"/>
      <c r="I3754" s="175"/>
      <c r="J3754" s="172"/>
      <c r="K3754" s="176"/>
      <c r="L3754" s="176"/>
      <c r="M3754" s="176"/>
      <c r="N3754" s="177"/>
      <c r="O3754" s="177"/>
      <c r="P3754" s="178"/>
      <c r="Q3754" s="177"/>
      <c r="R3754" s="170"/>
      <c r="S3754" s="170"/>
      <c r="T3754" s="179"/>
      <c r="U3754" s="179"/>
      <c r="V3754" s="179"/>
      <c r="W3754" s="180"/>
      <c r="X3754" s="181"/>
      <c r="Y3754" s="182"/>
      <c r="Z3754" s="182"/>
      <c r="AA3754" s="182"/>
      <c r="AB3754" s="182"/>
      <c r="AC3754" s="183"/>
      <c r="AD3754" s="183"/>
      <c r="AE3754" s="183"/>
      <c r="AF3754" s="184"/>
      <c r="AG3754" s="180"/>
      <c r="AH3754" s="185"/>
      <c r="AI3754" s="182"/>
      <c r="AJ3754" s="182"/>
      <c r="AK3754" s="182"/>
      <c r="AL3754" s="182"/>
    </row>
    <row r="3755" ht="20.25" customHeight="1">
      <c r="A3755" s="169"/>
      <c r="B3755" s="170"/>
      <c r="C3755" s="170"/>
      <c r="D3755" s="170"/>
      <c r="E3755" s="171"/>
      <c r="F3755" s="172"/>
      <c r="G3755" s="173"/>
      <c r="H3755" s="174"/>
      <c r="I3755" s="175"/>
      <c r="J3755" s="172"/>
      <c r="K3755" s="176"/>
      <c r="L3755" s="176"/>
      <c r="M3755" s="176"/>
      <c r="N3755" s="177"/>
      <c r="O3755" s="177"/>
      <c r="P3755" s="178"/>
      <c r="Q3755" s="177"/>
      <c r="R3755" s="170"/>
      <c r="S3755" s="170"/>
      <c r="T3755" s="179"/>
      <c r="U3755" s="179"/>
      <c r="V3755" s="179"/>
      <c r="W3755" s="180"/>
      <c r="X3755" s="181"/>
      <c r="Y3755" s="182"/>
      <c r="Z3755" s="182"/>
      <c r="AA3755" s="182"/>
      <c r="AB3755" s="182"/>
      <c r="AC3755" s="183"/>
      <c r="AD3755" s="183"/>
      <c r="AE3755" s="183"/>
      <c r="AF3755" s="184"/>
      <c r="AG3755" s="180"/>
      <c r="AH3755" s="185"/>
      <c r="AI3755" s="182"/>
      <c r="AJ3755" s="182"/>
      <c r="AK3755" s="182"/>
      <c r="AL3755" s="182"/>
    </row>
    <row r="3756" ht="20.25" customHeight="1">
      <c r="A3756" s="169"/>
      <c r="B3756" s="170"/>
      <c r="C3756" s="170"/>
      <c r="D3756" s="170"/>
      <c r="E3756" s="171"/>
      <c r="F3756" s="172"/>
      <c r="G3756" s="173"/>
      <c r="H3756" s="174"/>
      <c r="I3756" s="175"/>
      <c r="J3756" s="172"/>
      <c r="K3756" s="176"/>
      <c r="L3756" s="176"/>
      <c r="M3756" s="176"/>
      <c r="N3756" s="177"/>
      <c r="O3756" s="177"/>
      <c r="P3756" s="178"/>
      <c r="Q3756" s="177"/>
      <c r="R3756" s="170"/>
      <c r="S3756" s="170"/>
      <c r="T3756" s="179"/>
      <c r="U3756" s="179"/>
      <c r="V3756" s="179"/>
      <c r="W3756" s="180"/>
      <c r="X3756" s="181"/>
      <c r="Y3756" s="182"/>
      <c r="Z3756" s="182"/>
      <c r="AA3756" s="182"/>
      <c r="AB3756" s="182"/>
      <c r="AC3756" s="183"/>
      <c r="AD3756" s="183"/>
      <c r="AE3756" s="183"/>
      <c r="AF3756" s="184"/>
      <c r="AG3756" s="180"/>
      <c r="AH3756" s="185"/>
      <c r="AI3756" s="182"/>
      <c r="AJ3756" s="182"/>
      <c r="AK3756" s="182"/>
      <c r="AL3756" s="182"/>
    </row>
    <row r="3757" ht="20.25" customHeight="1">
      <c r="A3757" s="169"/>
      <c r="B3757" s="170"/>
      <c r="C3757" s="170"/>
      <c r="D3757" s="170"/>
      <c r="E3757" s="171"/>
      <c r="F3757" s="172"/>
      <c r="G3757" s="173"/>
      <c r="H3757" s="174"/>
      <c r="I3757" s="175"/>
      <c r="J3757" s="172"/>
      <c r="K3757" s="176"/>
      <c r="L3757" s="176"/>
      <c r="M3757" s="176"/>
      <c r="N3757" s="177"/>
      <c r="O3757" s="177"/>
      <c r="P3757" s="178"/>
      <c r="Q3757" s="177"/>
      <c r="R3757" s="170"/>
      <c r="S3757" s="170"/>
      <c r="T3757" s="179"/>
      <c r="U3757" s="179"/>
      <c r="V3757" s="179"/>
      <c r="W3757" s="180"/>
      <c r="X3757" s="181"/>
      <c r="Y3757" s="182"/>
      <c r="Z3757" s="182"/>
      <c r="AA3757" s="182"/>
      <c r="AB3757" s="182"/>
      <c r="AC3757" s="183"/>
      <c r="AD3757" s="183"/>
      <c r="AE3757" s="183"/>
      <c r="AF3757" s="184"/>
      <c r="AG3757" s="180"/>
      <c r="AH3757" s="185"/>
      <c r="AI3757" s="182"/>
      <c r="AJ3757" s="182"/>
      <c r="AK3757" s="182"/>
      <c r="AL3757" s="182"/>
    </row>
    <row r="3758" ht="20.25" customHeight="1">
      <c r="A3758" s="169"/>
      <c r="B3758" s="170"/>
      <c r="C3758" s="170"/>
      <c r="D3758" s="170"/>
      <c r="E3758" s="171"/>
      <c r="F3758" s="172"/>
      <c r="G3758" s="173"/>
      <c r="H3758" s="174"/>
      <c r="I3758" s="175"/>
      <c r="J3758" s="172"/>
      <c r="K3758" s="176"/>
      <c r="L3758" s="176"/>
      <c r="M3758" s="176"/>
      <c r="N3758" s="177"/>
      <c r="O3758" s="177"/>
      <c r="P3758" s="178"/>
      <c r="Q3758" s="177"/>
      <c r="R3758" s="170"/>
      <c r="S3758" s="170"/>
      <c r="T3758" s="179"/>
      <c r="U3758" s="179"/>
      <c r="V3758" s="179"/>
      <c r="W3758" s="180"/>
      <c r="X3758" s="181"/>
      <c r="Y3758" s="182"/>
      <c r="Z3758" s="182"/>
      <c r="AA3758" s="182"/>
      <c r="AB3758" s="182"/>
      <c r="AC3758" s="183"/>
      <c r="AD3758" s="183"/>
      <c r="AE3758" s="183"/>
      <c r="AF3758" s="184"/>
      <c r="AG3758" s="180"/>
      <c r="AH3758" s="185"/>
      <c r="AI3758" s="182"/>
      <c r="AJ3758" s="182"/>
      <c r="AK3758" s="182"/>
      <c r="AL3758" s="182"/>
    </row>
    <row r="3759" ht="20.25" customHeight="1">
      <c r="A3759" s="169"/>
      <c r="B3759" s="170"/>
      <c r="C3759" s="170"/>
      <c r="D3759" s="170"/>
      <c r="E3759" s="171"/>
      <c r="F3759" s="172"/>
      <c r="G3759" s="173"/>
      <c r="H3759" s="174"/>
      <c r="I3759" s="175"/>
      <c r="J3759" s="172"/>
      <c r="K3759" s="176"/>
      <c r="L3759" s="176"/>
      <c r="M3759" s="176"/>
      <c r="N3759" s="177"/>
      <c r="O3759" s="177"/>
      <c r="P3759" s="178"/>
      <c r="Q3759" s="177"/>
      <c r="R3759" s="170"/>
      <c r="S3759" s="170"/>
      <c r="T3759" s="179"/>
      <c r="U3759" s="179"/>
      <c r="V3759" s="179"/>
      <c r="W3759" s="180"/>
      <c r="X3759" s="181"/>
      <c r="Y3759" s="182"/>
      <c r="Z3759" s="182"/>
      <c r="AA3759" s="182"/>
      <c r="AB3759" s="182"/>
      <c r="AC3759" s="183"/>
      <c r="AD3759" s="183"/>
      <c r="AE3759" s="183"/>
      <c r="AF3759" s="184"/>
      <c r="AG3759" s="180"/>
      <c r="AH3759" s="185"/>
      <c r="AI3759" s="182"/>
      <c r="AJ3759" s="182"/>
      <c r="AK3759" s="182"/>
      <c r="AL3759" s="182"/>
    </row>
    <row r="3760" ht="20.25" customHeight="1">
      <c r="A3760" s="169"/>
      <c r="B3760" s="170"/>
      <c r="C3760" s="170"/>
      <c r="D3760" s="170"/>
      <c r="E3760" s="171"/>
      <c r="F3760" s="172"/>
      <c r="G3760" s="173"/>
      <c r="H3760" s="174"/>
      <c r="I3760" s="175"/>
      <c r="J3760" s="172"/>
      <c r="K3760" s="176"/>
      <c r="L3760" s="176"/>
      <c r="M3760" s="176"/>
      <c r="N3760" s="177"/>
      <c r="O3760" s="177"/>
      <c r="P3760" s="178"/>
      <c r="Q3760" s="177"/>
      <c r="R3760" s="170"/>
      <c r="S3760" s="170"/>
      <c r="T3760" s="179"/>
      <c r="U3760" s="179"/>
      <c r="V3760" s="179"/>
      <c r="W3760" s="180"/>
      <c r="X3760" s="181"/>
      <c r="Y3760" s="182"/>
      <c r="Z3760" s="182"/>
      <c r="AA3760" s="182"/>
      <c r="AB3760" s="182"/>
      <c r="AC3760" s="183"/>
      <c r="AD3760" s="183"/>
      <c r="AE3760" s="183"/>
      <c r="AF3760" s="184"/>
      <c r="AG3760" s="180"/>
      <c r="AH3760" s="185"/>
      <c r="AI3760" s="182"/>
      <c r="AJ3760" s="182"/>
      <c r="AK3760" s="182"/>
      <c r="AL3760" s="182"/>
    </row>
    <row r="3761" ht="20.25" customHeight="1">
      <c r="A3761" s="169"/>
      <c r="B3761" s="170"/>
      <c r="C3761" s="170"/>
      <c r="D3761" s="170"/>
      <c r="E3761" s="171"/>
      <c r="F3761" s="172"/>
      <c r="G3761" s="173"/>
      <c r="H3761" s="174"/>
      <c r="I3761" s="175"/>
      <c r="J3761" s="172"/>
      <c r="K3761" s="176"/>
      <c r="L3761" s="176"/>
      <c r="M3761" s="176"/>
      <c r="N3761" s="177"/>
      <c r="O3761" s="177"/>
      <c r="P3761" s="178"/>
      <c r="Q3761" s="177"/>
      <c r="R3761" s="170"/>
      <c r="S3761" s="170"/>
      <c r="T3761" s="179"/>
      <c r="U3761" s="179"/>
      <c r="V3761" s="179"/>
      <c r="W3761" s="180"/>
      <c r="X3761" s="181"/>
      <c r="Y3761" s="182"/>
      <c r="Z3761" s="182"/>
      <c r="AA3761" s="182"/>
      <c r="AB3761" s="182"/>
      <c r="AC3761" s="183"/>
      <c r="AD3761" s="183"/>
      <c r="AE3761" s="183"/>
      <c r="AF3761" s="184"/>
      <c r="AG3761" s="180"/>
      <c r="AH3761" s="185"/>
      <c r="AI3761" s="182"/>
      <c r="AJ3761" s="182"/>
      <c r="AK3761" s="182"/>
      <c r="AL3761" s="182"/>
    </row>
    <row r="3762" ht="20.25" customHeight="1">
      <c r="A3762" s="169"/>
      <c r="B3762" s="170"/>
      <c r="C3762" s="170"/>
      <c r="D3762" s="170"/>
      <c r="E3762" s="171"/>
      <c r="F3762" s="172"/>
      <c r="G3762" s="173"/>
      <c r="H3762" s="174"/>
      <c r="I3762" s="175"/>
      <c r="J3762" s="172"/>
      <c r="K3762" s="176"/>
      <c r="L3762" s="176"/>
      <c r="M3762" s="176"/>
      <c r="N3762" s="177"/>
      <c r="O3762" s="177"/>
      <c r="P3762" s="178"/>
      <c r="Q3762" s="177"/>
      <c r="R3762" s="170"/>
      <c r="S3762" s="170"/>
      <c r="T3762" s="179"/>
      <c r="U3762" s="179"/>
      <c r="V3762" s="179"/>
      <c r="W3762" s="180"/>
      <c r="X3762" s="181"/>
      <c r="Y3762" s="182"/>
      <c r="Z3762" s="182"/>
      <c r="AA3762" s="182"/>
      <c r="AB3762" s="182"/>
      <c r="AC3762" s="183"/>
      <c r="AD3762" s="183"/>
      <c r="AE3762" s="183"/>
      <c r="AF3762" s="184"/>
      <c r="AG3762" s="180"/>
      <c r="AH3762" s="185"/>
      <c r="AI3762" s="182"/>
      <c r="AJ3762" s="182"/>
      <c r="AK3762" s="182"/>
      <c r="AL3762" s="182"/>
    </row>
    <row r="3763" ht="20.25" customHeight="1">
      <c r="A3763" s="169"/>
      <c r="B3763" s="170"/>
      <c r="C3763" s="170"/>
      <c r="D3763" s="170"/>
      <c r="E3763" s="171"/>
      <c r="F3763" s="172"/>
      <c r="G3763" s="173"/>
      <c r="H3763" s="174"/>
      <c r="I3763" s="175"/>
      <c r="J3763" s="172"/>
      <c r="K3763" s="176"/>
      <c r="L3763" s="176"/>
      <c r="M3763" s="176"/>
      <c r="N3763" s="177"/>
      <c r="O3763" s="177"/>
      <c r="P3763" s="178"/>
      <c r="Q3763" s="177"/>
      <c r="R3763" s="170"/>
      <c r="S3763" s="170"/>
      <c r="T3763" s="179"/>
      <c r="U3763" s="179"/>
      <c r="V3763" s="179"/>
      <c r="W3763" s="180"/>
      <c r="X3763" s="181"/>
      <c r="Y3763" s="182"/>
      <c r="Z3763" s="182"/>
      <c r="AA3763" s="182"/>
      <c r="AB3763" s="182"/>
      <c r="AC3763" s="183"/>
      <c r="AD3763" s="183"/>
      <c r="AE3763" s="183"/>
      <c r="AF3763" s="184"/>
      <c r="AG3763" s="180"/>
      <c r="AH3763" s="185"/>
      <c r="AI3763" s="182"/>
      <c r="AJ3763" s="182"/>
      <c r="AK3763" s="182"/>
      <c r="AL3763" s="182"/>
    </row>
    <row r="3764" ht="20.25" customHeight="1">
      <c r="A3764" s="169"/>
      <c r="B3764" s="170"/>
      <c r="C3764" s="170"/>
      <c r="D3764" s="170"/>
      <c r="E3764" s="171"/>
      <c r="F3764" s="172"/>
      <c r="G3764" s="173"/>
      <c r="H3764" s="174"/>
      <c r="I3764" s="175"/>
      <c r="J3764" s="172"/>
      <c r="K3764" s="176"/>
      <c r="L3764" s="176"/>
      <c r="M3764" s="176"/>
      <c r="N3764" s="177"/>
      <c r="O3764" s="177"/>
      <c r="P3764" s="178"/>
      <c r="Q3764" s="177"/>
      <c r="R3764" s="170"/>
      <c r="S3764" s="170"/>
      <c r="T3764" s="179"/>
      <c r="U3764" s="179"/>
      <c r="V3764" s="179"/>
      <c r="W3764" s="180"/>
      <c r="X3764" s="181"/>
      <c r="Y3764" s="182"/>
      <c r="Z3764" s="182"/>
      <c r="AA3764" s="182"/>
      <c r="AB3764" s="182"/>
      <c r="AC3764" s="183"/>
      <c r="AD3764" s="183"/>
      <c r="AE3764" s="183"/>
      <c r="AF3764" s="184"/>
      <c r="AG3764" s="180"/>
      <c r="AH3764" s="185"/>
      <c r="AI3764" s="182"/>
      <c r="AJ3764" s="182"/>
      <c r="AK3764" s="182"/>
      <c r="AL3764" s="182"/>
    </row>
    <row r="3765" ht="20.25" customHeight="1">
      <c r="A3765" s="169"/>
      <c r="B3765" s="170"/>
      <c r="C3765" s="170"/>
      <c r="D3765" s="170"/>
      <c r="E3765" s="171"/>
      <c r="F3765" s="172"/>
      <c r="G3765" s="173"/>
      <c r="H3765" s="174"/>
      <c r="I3765" s="175"/>
      <c r="J3765" s="172"/>
      <c r="K3765" s="176"/>
      <c r="L3765" s="176"/>
      <c r="M3765" s="176"/>
      <c r="N3765" s="177"/>
      <c r="O3765" s="177"/>
      <c r="P3765" s="178"/>
      <c r="Q3765" s="177"/>
      <c r="R3765" s="170"/>
      <c r="S3765" s="170"/>
      <c r="T3765" s="179"/>
      <c r="U3765" s="179"/>
      <c r="V3765" s="179"/>
      <c r="W3765" s="180"/>
      <c r="X3765" s="181"/>
      <c r="Y3765" s="182"/>
      <c r="Z3765" s="182"/>
      <c r="AA3765" s="182"/>
      <c r="AB3765" s="182"/>
      <c r="AC3765" s="183"/>
      <c r="AD3765" s="183"/>
      <c r="AE3765" s="183"/>
      <c r="AF3765" s="184"/>
      <c r="AG3765" s="180"/>
      <c r="AH3765" s="185"/>
      <c r="AI3765" s="182"/>
      <c r="AJ3765" s="182"/>
      <c r="AK3765" s="182"/>
      <c r="AL3765" s="182"/>
    </row>
    <row r="3766" ht="20.25" customHeight="1">
      <c r="A3766" s="169"/>
      <c r="B3766" s="170"/>
      <c r="C3766" s="170"/>
      <c r="D3766" s="170"/>
      <c r="E3766" s="171"/>
      <c r="F3766" s="172"/>
      <c r="G3766" s="173"/>
      <c r="H3766" s="174"/>
      <c r="I3766" s="175"/>
      <c r="J3766" s="172"/>
      <c r="K3766" s="176"/>
      <c r="L3766" s="176"/>
      <c r="M3766" s="176"/>
      <c r="N3766" s="177"/>
      <c r="O3766" s="177"/>
      <c r="P3766" s="178"/>
      <c r="Q3766" s="177"/>
      <c r="R3766" s="170"/>
      <c r="S3766" s="170"/>
      <c r="T3766" s="179"/>
      <c r="U3766" s="179"/>
      <c r="V3766" s="179"/>
      <c r="W3766" s="180"/>
      <c r="X3766" s="181"/>
      <c r="Y3766" s="182"/>
      <c r="Z3766" s="182"/>
      <c r="AA3766" s="182"/>
      <c r="AB3766" s="182"/>
      <c r="AC3766" s="183"/>
      <c r="AD3766" s="183"/>
      <c r="AE3766" s="183"/>
      <c r="AF3766" s="184"/>
      <c r="AG3766" s="180"/>
      <c r="AH3766" s="185"/>
      <c r="AI3766" s="182"/>
      <c r="AJ3766" s="182"/>
      <c r="AK3766" s="182"/>
      <c r="AL3766" s="182"/>
    </row>
    <row r="3767" ht="20.25" customHeight="1">
      <c r="A3767" s="169"/>
      <c r="B3767" s="170"/>
      <c r="C3767" s="170"/>
      <c r="D3767" s="170"/>
      <c r="E3767" s="171"/>
      <c r="F3767" s="172"/>
      <c r="G3767" s="173"/>
      <c r="H3767" s="174"/>
      <c r="I3767" s="175"/>
      <c r="J3767" s="172"/>
      <c r="K3767" s="176"/>
      <c r="L3767" s="176"/>
      <c r="M3767" s="176"/>
      <c r="N3767" s="177"/>
      <c r="O3767" s="177"/>
      <c r="P3767" s="178"/>
      <c r="Q3767" s="177"/>
      <c r="R3767" s="170"/>
      <c r="S3767" s="170"/>
      <c r="T3767" s="179"/>
      <c r="U3767" s="179"/>
      <c r="V3767" s="179"/>
      <c r="W3767" s="180"/>
      <c r="X3767" s="181"/>
      <c r="Y3767" s="182"/>
      <c r="Z3767" s="182"/>
      <c r="AA3767" s="182"/>
      <c r="AB3767" s="182"/>
      <c r="AC3767" s="183"/>
      <c r="AD3767" s="183"/>
      <c r="AE3767" s="183"/>
      <c r="AF3767" s="184"/>
      <c r="AG3767" s="180"/>
      <c r="AH3767" s="185"/>
      <c r="AI3767" s="182"/>
      <c r="AJ3767" s="182"/>
      <c r="AK3767" s="182"/>
      <c r="AL3767" s="182"/>
    </row>
    <row r="3768" ht="20.25" customHeight="1">
      <c r="A3768" s="169"/>
      <c r="B3768" s="170"/>
      <c r="C3768" s="170"/>
      <c r="D3768" s="170"/>
      <c r="E3768" s="171"/>
      <c r="F3768" s="172"/>
      <c r="G3768" s="173"/>
      <c r="H3768" s="174"/>
      <c r="I3768" s="175"/>
      <c r="J3768" s="172"/>
      <c r="K3768" s="176"/>
      <c r="L3768" s="176"/>
      <c r="M3768" s="176"/>
      <c r="N3768" s="177"/>
      <c r="O3768" s="177"/>
      <c r="P3768" s="178"/>
      <c r="Q3768" s="177"/>
      <c r="R3768" s="170"/>
      <c r="S3768" s="170"/>
      <c r="T3768" s="179"/>
      <c r="U3768" s="179"/>
      <c r="V3768" s="179"/>
      <c r="W3768" s="180"/>
      <c r="X3768" s="181"/>
      <c r="Y3768" s="182"/>
      <c r="Z3768" s="182"/>
      <c r="AA3768" s="182"/>
      <c r="AB3768" s="182"/>
      <c r="AC3768" s="183"/>
      <c r="AD3768" s="183"/>
      <c r="AE3768" s="183"/>
      <c r="AF3768" s="184"/>
      <c r="AG3768" s="180"/>
      <c r="AH3768" s="185"/>
      <c r="AI3768" s="182"/>
      <c r="AJ3768" s="182"/>
      <c r="AK3768" s="182"/>
      <c r="AL3768" s="182"/>
    </row>
    <row r="3769" ht="20.25" customHeight="1">
      <c r="A3769" s="169"/>
      <c r="B3769" s="170"/>
      <c r="C3769" s="170"/>
      <c r="D3769" s="170"/>
      <c r="E3769" s="171"/>
      <c r="F3769" s="172"/>
      <c r="G3769" s="173"/>
      <c r="H3769" s="174"/>
      <c r="I3769" s="175"/>
      <c r="J3769" s="172"/>
      <c r="K3769" s="176"/>
      <c r="L3769" s="176"/>
      <c r="M3769" s="176"/>
      <c r="N3769" s="177"/>
      <c r="O3769" s="177"/>
      <c r="P3769" s="178"/>
      <c r="Q3769" s="177"/>
      <c r="R3769" s="170"/>
      <c r="S3769" s="170"/>
      <c r="T3769" s="179"/>
      <c r="U3769" s="179"/>
      <c r="V3769" s="179"/>
      <c r="W3769" s="180"/>
      <c r="X3769" s="181"/>
      <c r="Y3769" s="182"/>
      <c r="Z3769" s="182"/>
      <c r="AA3769" s="182"/>
      <c r="AB3769" s="182"/>
      <c r="AC3769" s="183"/>
      <c r="AD3769" s="183"/>
      <c r="AE3769" s="183"/>
      <c r="AF3769" s="184"/>
      <c r="AG3769" s="180"/>
      <c r="AH3769" s="185"/>
      <c r="AI3769" s="182"/>
      <c r="AJ3769" s="182"/>
      <c r="AK3769" s="182"/>
      <c r="AL3769" s="182"/>
    </row>
    <row r="3770" ht="20.25" customHeight="1">
      <c r="A3770" s="169"/>
      <c r="B3770" s="170"/>
      <c r="C3770" s="170"/>
      <c r="D3770" s="170"/>
      <c r="E3770" s="171"/>
      <c r="F3770" s="172"/>
      <c r="G3770" s="173"/>
      <c r="H3770" s="174"/>
      <c r="I3770" s="175"/>
      <c r="J3770" s="172"/>
      <c r="K3770" s="176"/>
      <c r="L3770" s="176"/>
      <c r="M3770" s="176"/>
      <c r="N3770" s="177"/>
      <c r="O3770" s="177"/>
      <c r="P3770" s="178"/>
      <c r="Q3770" s="177"/>
      <c r="R3770" s="170"/>
      <c r="S3770" s="170"/>
      <c r="T3770" s="179"/>
      <c r="U3770" s="179"/>
      <c r="V3770" s="179"/>
      <c r="W3770" s="180"/>
      <c r="X3770" s="181"/>
      <c r="Y3770" s="182"/>
      <c r="Z3770" s="182"/>
      <c r="AA3770" s="182"/>
      <c r="AB3770" s="182"/>
      <c r="AC3770" s="183"/>
      <c r="AD3770" s="183"/>
      <c r="AE3770" s="183"/>
      <c r="AF3770" s="184"/>
      <c r="AG3770" s="180"/>
      <c r="AH3770" s="185"/>
      <c r="AI3770" s="182"/>
      <c r="AJ3770" s="182"/>
      <c r="AK3770" s="182"/>
      <c r="AL3770" s="182"/>
    </row>
    <row r="3771" ht="20.25" customHeight="1">
      <c r="A3771" s="169"/>
      <c r="B3771" s="170"/>
      <c r="C3771" s="170"/>
      <c r="D3771" s="170"/>
      <c r="E3771" s="171"/>
      <c r="F3771" s="172"/>
      <c r="G3771" s="173"/>
      <c r="H3771" s="174"/>
      <c r="I3771" s="175"/>
      <c r="J3771" s="172"/>
      <c r="K3771" s="176"/>
      <c r="L3771" s="176"/>
      <c r="M3771" s="176"/>
      <c r="N3771" s="177"/>
      <c r="O3771" s="177"/>
      <c r="P3771" s="178"/>
      <c r="Q3771" s="177"/>
      <c r="R3771" s="170"/>
      <c r="S3771" s="170"/>
      <c r="T3771" s="179"/>
      <c r="U3771" s="179"/>
      <c r="V3771" s="179"/>
      <c r="W3771" s="180"/>
      <c r="X3771" s="181"/>
      <c r="Y3771" s="182"/>
      <c r="Z3771" s="182"/>
      <c r="AA3771" s="182"/>
      <c r="AB3771" s="182"/>
      <c r="AC3771" s="183"/>
      <c r="AD3771" s="183"/>
      <c r="AE3771" s="183"/>
      <c r="AF3771" s="184"/>
      <c r="AG3771" s="180"/>
      <c r="AH3771" s="185"/>
      <c r="AI3771" s="182"/>
      <c r="AJ3771" s="182"/>
      <c r="AK3771" s="182"/>
      <c r="AL3771" s="182"/>
    </row>
    <row r="3772" ht="20.25" customHeight="1">
      <c r="A3772" s="169"/>
      <c r="B3772" s="170"/>
      <c r="C3772" s="170"/>
      <c r="D3772" s="170"/>
      <c r="E3772" s="171"/>
      <c r="F3772" s="172"/>
      <c r="G3772" s="173"/>
      <c r="H3772" s="174"/>
      <c r="I3772" s="175"/>
      <c r="J3772" s="172"/>
      <c r="K3772" s="176"/>
      <c r="L3772" s="176"/>
      <c r="M3772" s="176"/>
      <c r="N3772" s="177"/>
      <c r="O3772" s="177"/>
      <c r="P3772" s="178"/>
      <c r="Q3772" s="177"/>
      <c r="R3772" s="170"/>
      <c r="S3772" s="170"/>
      <c r="T3772" s="179"/>
      <c r="U3772" s="179"/>
      <c r="V3772" s="179"/>
      <c r="W3772" s="180"/>
      <c r="X3772" s="181"/>
      <c r="Y3772" s="182"/>
      <c r="Z3772" s="182"/>
      <c r="AA3772" s="182"/>
      <c r="AB3772" s="182"/>
      <c r="AC3772" s="183"/>
      <c r="AD3772" s="183"/>
      <c r="AE3772" s="183"/>
      <c r="AF3772" s="184"/>
      <c r="AG3772" s="180"/>
      <c r="AH3772" s="185"/>
      <c r="AI3772" s="182"/>
      <c r="AJ3772" s="182"/>
      <c r="AK3772" s="182"/>
      <c r="AL3772" s="182"/>
    </row>
    <row r="3773" ht="20.25" customHeight="1">
      <c r="A3773" s="169"/>
      <c r="B3773" s="170"/>
      <c r="C3773" s="170"/>
      <c r="D3773" s="170"/>
      <c r="E3773" s="171"/>
      <c r="F3773" s="172"/>
      <c r="G3773" s="173"/>
      <c r="H3773" s="174"/>
      <c r="I3773" s="175"/>
      <c r="J3773" s="172"/>
      <c r="K3773" s="176"/>
      <c r="L3773" s="176"/>
      <c r="M3773" s="176"/>
      <c r="N3773" s="177"/>
      <c r="O3773" s="177"/>
      <c r="P3773" s="178"/>
      <c r="Q3773" s="177"/>
      <c r="R3773" s="170"/>
      <c r="S3773" s="170"/>
      <c r="T3773" s="179"/>
      <c r="U3773" s="179"/>
      <c r="V3773" s="179"/>
      <c r="W3773" s="180"/>
      <c r="X3773" s="181"/>
      <c r="Y3773" s="182"/>
      <c r="Z3773" s="182"/>
      <c r="AA3773" s="182"/>
      <c r="AB3773" s="182"/>
      <c r="AC3773" s="183"/>
      <c r="AD3773" s="183"/>
      <c r="AE3773" s="183"/>
      <c r="AF3773" s="184"/>
      <c r="AG3773" s="180"/>
      <c r="AH3773" s="185"/>
      <c r="AI3773" s="182"/>
      <c r="AJ3773" s="182"/>
      <c r="AK3773" s="182"/>
      <c r="AL3773" s="182"/>
    </row>
    <row r="3774" ht="20.25" customHeight="1">
      <c r="A3774" s="169"/>
      <c r="B3774" s="170"/>
      <c r="C3774" s="170"/>
      <c r="D3774" s="170"/>
      <c r="E3774" s="171"/>
      <c r="F3774" s="172"/>
      <c r="G3774" s="173"/>
      <c r="H3774" s="174"/>
      <c r="I3774" s="175"/>
      <c r="J3774" s="172"/>
      <c r="K3774" s="176"/>
      <c r="L3774" s="176"/>
      <c r="M3774" s="176"/>
      <c r="N3774" s="177"/>
      <c r="O3774" s="177"/>
      <c r="P3774" s="178"/>
      <c r="Q3774" s="177"/>
      <c r="R3774" s="170"/>
      <c r="S3774" s="170"/>
      <c r="T3774" s="179"/>
      <c r="U3774" s="179"/>
      <c r="V3774" s="179"/>
      <c r="W3774" s="180"/>
      <c r="X3774" s="181"/>
      <c r="Y3774" s="182"/>
      <c r="Z3774" s="182"/>
      <c r="AA3774" s="182"/>
      <c r="AB3774" s="182"/>
      <c r="AC3774" s="183"/>
      <c r="AD3774" s="183"/>
      <c r="AE3774" s="183"/>
      <c r="AF3774" s="184"/>
      <c r="AG3774" s="180"/>
      <c r="AH3774" s="185"/>
      <c r="AI3774" s="182"/>
      <c r="AJ3774" s="182"/>
      <c r="AK3774" s="182"/>
      <c r="AL3774" s="182"/>
    </row>
    <row r="3775" ht="20.25" customHeight="1">
      <c r="A3775" s="169"/>
      <c r="B3775" s="170"/>
      <c r="C3775" s="170"/>
      <c r="D3775" s="170"/>
      <c r="E3775" s="171"/>
      <c r="F3775" s="172"/>
      <c r="G3775" s="173"/>
      <c r="H3775" s="174"/>
      <c r="I3775" s="175"/>
      <c r="J3775" s="172"/>
      <c r="K3775" s="176"/>
      <c r="L3775" s="176"/>
      <c r="M3775" s="176"/>
      <c r="N3775" s="177"/>
      <c r="O3775" s="177"/>
      <c r="P3775" s="178"/>
      <c r="Q3775" s="177"/>
      <c r="R3775" s="170"/>
      <c r="S3775" s="170"/>
      <c r="T3775" s="179"/>
      <c r="U3775" s="179"/>
      <c r="V3775" s="179"/>
      <c r="W3775" s="180"/>
      <c r="X3775" s="181"/>
      <c r="Y3775" s="182"/>
      <c r="Z3775" s="182"/>
      <c r="AA3775" s="182"/>
      <c r="AB3775" s="182"/>
      <c r="AC3775" s="183"/>
      <c r="AD3775" s="183"/>
      <c r="AE3775" s="183"/>
      <c r="AF3775" s="184"/>
      <c r="AG3775" s="180"/>
      <c r="AH3775" s="185"/>
      <c r="AI3775" s="182"/>
      <c r="AJ3775" s="182"/>
      <c r="AK3775" s="182"/>
      <c r="AL3775" s="182"/>
    </row>
    <row r="3776" ht="20.25" customHeight="1">
      <c r="A3776" s="169"/>
      <c r="B3776" s="170"/>
      <c r="C3776" s="170"/>
      <c r="D3776" s="170"/>
      <c r="E3776" s="171"/>
      <c r="F3776" s="172"/>
      <c r="G3776" s="173"/>
      <c r="H3776" s="174"/>
      <c r="I3776" s="175"/>
      <c r="J3776" s="172"/>
      <c r="K3776" s="176"/>
      <c r="L3776" s="176"/>
      <c r="M3776" s="176"/>
      <c r="N3776" s="177"/>
      <c r="O3776" s="177"/>
      <c r="P3776" s="178"/>
      <c r="Q3776" s="177"/>
      <c r="R3776" s="170"/>
      <c r="S3776" s="170"/>
      <c r="T3776" s="179"/>
      <c r="U3776" s="179"/>
      <c r="V3776" s="179"/>
      <c r="W3776" s="180"/>
      <c r="X3776" s="181"/>
      <c r="Y3776" s="182"/>
      <c r="Z3776" s="182"/>
      <c r="AA3776" s="182"/>
      <c r="AB3776" s="182"/>
      <c r="AC3776" s="183"/>
      <c r="AD3776" s="183"/>
      <c r="AE3776" s="183"/>
      <c r="AF3776" s="184"/>
      <c r="AG3776" s="180"/>
      <c r="AH3776" s="185"/>
      <c r="AI3776" s="182"/>
      <c r="AJ3776" s="182"/>
      <c r="AK3776" s="182"/>
      <c r="AL3776" s="182"/>
    </row>
    <row r="3777" ht="20.25" customHeight="1">
      <c r="A3777" s="169"/>
      <c r="B3777" s="170"/>
      <c r="C3777" s="170"/>
      <c r="D3777" s="170"/>
      <c r="E3777" s="171"/>
      <c r="F3777" s="172"/>
      <c r="G3777" s="173"/>
      <c r="H3777" s="174"/>
      <c r="I3777" s="175"/>
      <c r="J3777" s="172"/>
      <c r="K3777" s="176"/>
      <c r="L3777" s="176"/>
      <c r="M3777" s="176"/>
      <c r="N3777" s="177"/>
      <c r="O3777" s="177"/>
      <c r="P3777" s="178"/>
      <c r="Q3777" s="177"/>
      <c r="R3777" s="170"/>
      <c r="S3777" s="170"/>
      <c r="T3777" s="179"/>
      <c r="U3777" s="179"/>
      <c r="V3777" s="179"/>
      <c r="W3777" s="180"/>
      <c r="X3777" s="181"/>
      <c r="Y3777" s="182"/>
      <c r="Z3777" s="182"/>
      <c r="AA3777" s="182"/>
      <c r="AB3777" s="182"/>
      <c r="AC3777" s="183"/>
      <c r="AD3777" s="183"/>
      <c r="AE3777" s="183"/>
      <c r="AF3777" s="184"/>
      <c r="AG3777" s="180"/>
      <c r="AH3777" s="185"/>
      <c r="AI3777" s="182"/>
      <c r="AJ3777" s="182"/>
      <c r="AK3777" s="182"/>
      <c r="AL3777" s="182"/>
    </row>
    <row r="3778" ht="20.25" customHeight="1">
      <c r="A3778" s="169"/>
      <c r="B3778" s="170"/>
      <c r="C3778" s="170"/>
      <c r="D3778" s="170"/>
      <c r="E3778" s="171"/>
      <c r="F3778" s="172"/>
      <c r="G3778" s="173"/>
      <c r="H3778" s="174"/>
      <c r="I3778" s="175"/>
      <c r="J3778" s="172"/>
      <c r="K3778" s="176"/>
      <c r="L3778" s="176"/>
      <c r="M3778" s="176"/>
      <c r="N3778" s="177"/>
      <c r="O3778" s="177"/>
      <c r="P3778" s="178"/>
      <c r="Q3778" s="177"/>
      <c r="R3778" s="170"/>
      <c r="S3778" s="170"/>
      <c r="T3778" s="179"/>
      <c r="U3778" s="179"/>
      <c r="V3778" s="179"/>
      <c r="W3778" s="180"/>
      <c r="X3778" s="181"/>
      <c r="Y3778" s="182"/>
      <c r="Z3778" s="182"/>
      <c r="AA3778" s="182"/>
      <c r="AB3778" s="182"/>
      <c r="AC3778" s="183"/>
      <c r="AD3778" s="183"/>
      <c r="AE3778" s="183"/>
      <c r="AF3778" s="184"/>
      <c r="AG3778" s="180"/>
      <c r="AH3778" s="185"/>
      <c r="AI3778" s="182"/>
      <c r="AJ3778" s="182"/>
      <c r="AK3778" s="182"/>
      <c r="AL3778" s="182"/>
    </row>
    <row r="3779" ht="20.25" customHeight="1">
      <c r="A3779" s="169"/>
      <c r="B3779" s="170"/>
      <c r="C3779" s="170"/>
      <c r="D3779" s="170"/>
      <c r="E3779" s="171"/>
      <c r="F3779" s="172"/>
      <c r="G3779" s="173"/>
      <c r="H3779" s="174"/>
      <c r="I3779" s="175"/>
      <c r="J3779" s="172"/>
      <c r="K3779" s="176"/>
      <c r="L3779" s="176"/>
      <c r="M3779" s="176"/>
      <c r="N3779" s="177"/>
      <c r="O3779" s="177"/>
      <c r="P3779" s="178"/>
      <c r="Q3779" s="177"/>
      <c r="R3779" s="170"/>
      <c r="S3779" s="170"/>
      <c r="T3779" s="179"/>
      <c r="U3779" s="179"/>
      <c r="V3779" s="179"/>
      <c r="W3779" s="180"/>
      <c r="X3779" s="181"/>
      <c r="Y3779" s="182"/>
      <c r="Z3779" s="182"/>
      <c r="AA3779" s="182"/>
      <c r="AB3779" s="182"/>
      <c r="AC3779" s="183"/>
      <c r="AD3779" s="183"/>
      <c r="AE3779" s="183"/>
      <c r="AF3779" s="184"/>
      <c r="AG3779" s="180"/>
      <c r="AH3779" s="185"/>
      <c r="AI3779" s="182"/>
      <c r="AJ3779" s="182"/>
      <c r="AK3779" s="182"/>
      <c r="AL3779" s="182"/>
    </row>
    <row r="3780" ht="20.25" customHeight="1">
      <c r="A3780" s="169"/>
      <c r="B3780" s="170"/>
      <c r="C3780" s="170"/>
      <c r="D3780" s="170"/>
      <c r="E3780" s="171"/>
      <c r="F3780" s="172"/>
      <c r="G3780" s="173"/>
      <c r="H3780" s="174"/>
      <c r="I3780" s="175"/>
      <c r="J3780" s="172"/>
      <c r="K3780" s="176"/>
      <c r="L3780" s="176"/>
      <c r="M3780" s="176"/>
      <c r="N3780" s="177"/>
      <c r="O3780" s="177"/>
      <c r="P3780" s="178"/>
      <c r="Q3780" s="177"/>
      <c r="R3780" s="170"/>
      <c r="S3780" s="170"/>
      <c r="T3780" s="179"/>
      <c r="U3780" s="179"/>
      <c r="V3780" s="179"/>
      <c r="W3780" s="180"/>
      <c r="X3780" s="181"/>
      <c r="Y3780" s="182"/>
      <c r="Z3780" s="182"/>
      <c r="AA3780" s="182"/>
      <c r="AB3780" s="182"/>
      <c r="AC3780" s="183"/>
      <c r="AD3780" s="183"/>
      <c r="AE3780" s="183"/>
      <c r="AF3780" s="184"/>
      <c r="AG3780" s="180"/>
      <c r="AH3780" s="185"/>
      <c r="AI3780" s="182"/>
      <c r="AJ3780" s="182"/>
      <c r="AK3780" s="182"/>
      <c r="AL3780" s="182"/>
    </row>
    <row r="3781" ht="20.25" customHeight="1">
      <c r="A3781" s="169"/>
      <c r="B3781" s="170"/>
      <c r="C3781" s="170"/>
      <c r="D3781" s="170"/>
      <c r="E3781" s="171"/>
      <c r="F3781" s="172"/>
      <c r="G3781" s="173"/>
      <c r="H3781" s="174"/>
      <c r="I3781" s="175"/>
      <c r="J3781" s="172"/>
      <c r="K3781" s="176"/>
      <c r="L3781" s="176"/>
      <c r="M3781" s="176"/>
      <c r="N3781" s="177"/>
      <c r="O3781" s="177"/>
      <c r="P3781" s="178"/>
      <c r="Q3781" s="177"/>
      <c r="R3781" s="170"/>
      <c r="S3781" s="170"/>
      <c r="T3781" s="179"/>
      <c r="U3781" s="179"/>
      <c r="V3781" s="179"/>
      <c r="W3781" s="180"/>
      <c r="X3781" s="181"/>
      <c r="Y3781" s="182"/>
      <c r="Z3781" s="182"/>
      <c r="AA3781" s="182"/>
      <c r="AB3781" s="182"/>
      <c r="AC3781" s="183"/>
      <c r="AD3781" s="183"/>
      <c r="AE3781" s="183"/>
      <c r="AF3781" s="184"/>
      <c r="AG3781" s="180"/>
      <c r="AH3781" s="185"/>
      <c r="AI3781" s="182"/>
      <c r="AJ3781" s="182"/>
      <c r="AK3781" s="182"/>
      <c r="AL3781" s="182"/>
    </row>
    <row r="3782" ht="20.25" customHeight="1">
      <c r="A3782" s="169"/>
      <c r="B3782" s="170"/>
      <c r="C3782" s="170"/>
      <c r="D3782" s="170"/>
      <c r="E3782" s="171"/>
      <c r="F3782" s="172"/>
      <c r="G3782" s="173"/>
      <c r="H3782" s="174"/>
      <c r="I3782" s="175"/>
      <c r="J3782" s="172"/>
      <c r="K3782" s="176"/>
      <c r="L3782" s="176"/>
      <c r="M3782" s="176"/>
      <c r="N3782" s="177"/>
      <c r="O3782" s="177"/>
      <c r="P3782" s="178"/>
      <c r="Q3782" s="177"/>
      <c r="R3782" s="170"/>
      <c r="S3782" s="170"/>
      <c r="T3782" s="179"/>
      <c r="U3782" s="179"/>
      <c r="V3782" s="179"/>
      <c r="W3782" s="180"/>
      <c r="X3782" s="181"/>
      <c r="Y3782" s="182"/>
      <c r="Z3782" s="182"/>
      <c r="AA3782" s="182"/>
      <c r="AB3782" s="182"/>
      <c r="AC3782" s="183"/>
      <c r="AD3782" s="183"/>
      <c r="AE3782" s="183"/>
      <c r="AF3782" s="184"/>
      <c r="AG3782" s="180"/>
      <c r="AH3782" s="185"/>
      <c r="AI3782" s="182"/>
      <c r="AJ3782" s="182"/>
      <c r="AK3782" s="182"/>
      <c r="AL3782" s="182"/>
    </row>
    <row r="3783" ht="20.25" customHeight="1">
      <c r="A3783" s="169"/>
      <c r="B3783" s="170"/>
      <c r="C3783" s="170"/>
      <c r="D3783" s="170"/>
      <c r="E3783" s="171"/>
      <c r="F3783" s="172"/>
      <c r="G3783" s="173"/>
      <c r="H3783" s="174"/>
      <c r="I3783" s="175"/>
      <c r="J3783" s="172"/>
      <c r="K3783" s="176"/>
      <c r="L3783" s="176"/>
      <c r="M3783" s="176"/>
      <c r="N3783" s="177"/>
      <c r="O3783" s="177"/>
      <c r="P3783" s="178"/>
      <c r="Q3783" s="177"/>
      <c r="R3783" s="170"/>
      <c r="S3783" s="170"/>
      <c r="T3783" s="179"/>
      <c r="U3783" s="179"/>
      <c r="V3783" s="179"/>
      <c r="W3783" s="180"/>
      <c r="X3783" s="181"/>
      <c r="Y3783" s="182"/>
      <c r="Z3783" s="182"/>
      <c r="AA3783" s="182"/>
      <c r="AB3783" s="182"/>
      <c r="AC3783" s="183"/>
      <c r="AD3783" s="183"/>
      <c r="AE3783" s="183"/>
      <c r="AF3783" s="184"/>
      <c r="AG3783" s="180"/>
      <c r="AH3783" s="185"/>
      <c r="AI3783" s="182"/>
      <c r="AJ3783" s="182"/>
      <c r="AK3783" s="182"/>
      <c r="AL3783" s="182"/>
    </row>
    <row r="3784" ht="20.25" customHeight="1">
      <c r="A3784" s="169"/>
      <c r="B3784" s="170"/>
      <c r="C3784" s="170"/>
      <c r="D3784" s="170"/>
      <c r="E3784" s="171"/>
      <c r="F3784" s="172"/>
      <c r="G3784" s="173"/>
      <c r="H3784" s="174"/>
      <c r="I3784" s="175"/>
      <c r="J3784" s="172"/>
      <c r="K3784" s="176"/>
      <c r="L3784" s="176"/>
      <c r="M3784" s="176"/>
      <c r="N3784" s="177"/>
      <c r="O3784" s="177"/>
      <c r="P3784" s="178"/>
      <c r="Q3784" s="177"/>
      <c r="R3784" s="170"/>
      <c r="S3784" s="170"/>
      <c r="T3784" s="179"/>
      <c r="U3784" s="179"/>
      <c r="V3784" s="179"/>
      <c r="W3784" s="180"/>
      <c r="X3784" s="181"/>
      <c r="Y3784" s="182"/>
      <c r="Z3784" s="182"/>
      <c r="AA3784" s="182"/>
      <c r="AB3784" s="182"/>
      <c r="AC3784" s="183"/>
      <c r="AD3784" s="183"/>
      <c r="AE3784" s="183"/>
      <c r="AF3784" s="184"/>
      <c r="AG3784" s="180"/>
      <c r="AH3784" s="185"/>
      <c r="AI3784" s="182"/>
      <c r="AJ3784" s="182"/>
      <c r="AK3784" s="182"/>
      <c r="AL3784" s="182"/>
    </row>
    <row r="3785" ht="20.25" customHeight="1">
      <c r="A3785" s="169"/>
      <c r="B3785" s="170"/>
      <c r="C3785" s="170"/>
      <c r="D3785" s="170"/>
      <c r="E3785" s="171"/>
      <c r="F3785" s="172"/>
      <c r="G3785" s="173"/>
      <c r="H3785" s="174"/>
      <c r="I3785" s="175"/>
      <c r="J3785" s="172"/>
      <c r="K3785" s="176"/>
      <c r="L3785" s="176"/>
      <c r="M3785" s="176"/>
      <c r="N3785" s="177"/>
      <c r="O3785" s="177"/>
      <c r="P3785" s="178"/>
      <c r="Q3785" s="177"/>
      <c r="R3785" s="170"/>
      <c r="S3785" s="170"/>
      <c r="T3785" s="179"/>
      <c r="U3785" s="179"/>
      <c r="V3785" s="179"/>
      <c r="W3785" s="180"/>
      <c r="X3785" s="181"/>
      <c r="Y3785" s="182"/>
      <c r="Z3785" s="182"/>
      <c r="AA3785" s="182"/>
      <c r="AB3785" s="182"/>
      <c r="AC3785" s="183"/>
      <c r="AD3785" s="183"/>
      <c r="AE3785" s="183"/>
      <c r="AF3785" s="184"/>
      <c r="AG3785" s="180"/>
      <c r="AH3785" s="185"/>
      <c r="AI3785" s="182"/>
      <c r="AJ3785" s="182"/>
      <c r="AK3785" s="182"/>
      <c r="AL3785" s="182"/>
    </row>
    <row r="3786" ht="20.25" customHeight="1">
      <c r="A3786" s="169"/>
      <c r="B3786" s="170"/>
      <c r="C3786" s="170"/>
      <c r="D3786" s="170"/>
      <c r="E3786" s="171"/>
      <c r="F3786" s="172"/>
      <c r="G3786" s="173"/>
      <c r="H3786" s="174"/>
      <c r="I3786" s="175"/>
      <c r="J3786" s="172"/>
      <c r="K3786" s="176"/>
      <c r="L3786" s="176"/>
      <c r="M3786" s="176"/>
      <c r="N3786" s="177"/>
      <c r="O3786" s="177"/>
      <c r="P3786" s="178"/>
      <c r="Q3786" s="177"/>
      <c r="R3786" s="170"/>
      <c r="S3786" s="170"/>
      <c r="T3786" s="179"/>
      <c r="U3786" s="179"/>
      <c r="V3786" s="179"/>
      <c r="W3786" s="180"/>
      <c r="X3786" s="181"/>
      <c r="Y3786" s="182"/>
      <c r="Z3786" s="182"/>
      <c r="AA3786" s="182"/>
      <c r="AB3786" s="182"/>
      <c r="AC3786" s="183"/>
      <c r="AD3786" s="183"/>
      <c r="AE3786" s="183"/>
      <c r="AF3786" s="184"/>
      <c r="AG3786" s="180"/>
      <c r="AH3786" s="185"/>
      <c r="AI3786" s="182"/>
      <c r="AJ3786" s="182"/>
      <c r="AK3786" s="182"/>
      <c r="AL3786" s="182"/>
    </row>
    <row r="3787" ht="20.25" customHeight="1">
      <c r="A3787" s="169"/>
      <c r="B3787" s="170"/>
      <c r="C3787" s="170"/>
      <c r="D3787" s="170"/>
      <c r="E3787" s="171"/>
      <c r="F3787" s="172"/>
      <c r="G3787" s="173"/>
      <c r="H3787" s="174"/>
      <c r="I3787" s="175"/>
      <c r="J3787" s="172"/>
      <c r="K3787" s="176"/>
      <c r="L3787" s="176"/>
      <c r="M3787" s="176"/>
      <c r="N3787" s="177"/>
      <c r="O3787" s="177"/>
      <c r="P3787" s="178"/>
      <c r="Q3787" s="177"/>
      <c r="R3787" s="170"/>
      <c r="S3787" s="170"/>
      <c r="T3787" s="179"/>
      <c r="U3787" s="179"/>
      <c r="V3787" s="179"/>
      <c r="W3787" s="180"/>
      <c r="X3787" s="181"/>
      <c r="Y3787" s="182"/>
      <c r="Z3787" s="182"/>
      <c r="AA3787" s="182"/>
      <c r="AB3787" s="182"/>
      <c r="AC3787" s="183"/>
      <c r="AD3787" s="183"/>
      <c r="AE3787" s="183"/>
      <c r="AF3787" s="184"/>
      <c r="AG3787" s="180"/>
      <c r="AH3787" s="185"/>
      <c r="AI3787" s="182"/>
      <c r="AJ3787" s="182"/>
      <c r="AK3787" s="182"/>
      <c r="AL3787" s="182"/>
    </row>
    <row r="3788" ht="20.25" customHeight="1">
      <c r="A3788" s="169"/>
      <c r="B3788" s="170"/>
      <c r="C3788" s="170"/>
      <c r="D3788" s="170"/>
      <c r="E3788" s="171"/>
      <c r="F3788" s="172"/>
      <c r="G3788" s="173"/>
      <c r="H3788" s="174"/>
      <c r="I3788" s="175"/>
      <c r="J3788" s="172"/>
      <c r="K3788" s="176"/>
      <c r="L3788" s="176"/>
      <c r="M3788" s="176"/>
      <c r="N3788" s="177"/>
      <c r="O3788" s="177"/>
      <c r="P3788" s="178"/>
      <c r="Q3788" s="177"/>
      <c r="R3788" s="170"/>
      <c r="S3788" s="170"/>
      <c r="T3788" s="179"/>
      <c r="U3788" s="179"/>
      <c r="V3788" s="179"/>
      <c r="W3788" s="180"/>
      <c r="X3788" s="181"/>
      <c r="Y3788" s="182"/>
      <c r="Z3788" s="182"/>
      <c r="AA3788" s="182"/>
      <c r="AB3788" s="182"/>
      <c r="AC3788" s="183"/>
      <c r="AD3788" s="183"/>
      <c r="AE3788" s="183"/>
      <c r="AF3788" s="184"/>
      <c r="AG3788" s="180"/>
      <c r="AH3788" s="185"/>
      <c r="AI3788" s="182"/>
      <c r="AJ3788" s="182"/>
      <c r="AK3788" s="182"/>
      <c r="AL3788" s="182"/>
    </row>
    <row r="3789" ht="20.25" customHeight="1">
      <c r="A3789" s="169"/>
      <c r="B3789" s="170"/>
      <c r="C3789" s="170"/>
      <c r="D3789" s="170"/>
      <c r="E3789" s="171"/>
      <c r="F3789" s="172"/>
      <c r="G3789" s="173"/>
      <c r="H3789" s="174"/>
      <c r="I3789" s="175"/>
      <c r="J3789" s="172"/>
      <c r="K3789" s="176"/>
      <c r="L3789" s="176"/>
      <c r="M3789" s="176"/>
      <c r="N3789" s="177"/>
      <c r="O3789" s="177"/>
      <c r="P3789" s="178"/>
      <c r="Q3789" s="177"/>
      <c r="R3789" s="170"/>
      <c r="S3789" s="170"/>
      <c r="T3789" s="179"/>
      <c r="U3789" s="179"/>
      <c r="V3789" s="179"/>
      <c r="W3789" s="180"/>
      <c r="X3789" s="181"/>
      <c r="Y3789" s="182"/>
      <c r="Z3789" s="182"/>
      <c r="AA3789" s="182"/>
      <c r="AB3789" s="182"/>
      <c r="AC3789" s="183"/>
      <c r="AD3789" s="183"/>
      <c r="AE3789" s="183"/>
      <c r="AF3789" s="184"/>
      <c r="AG3789" s="180"/>
      <c r="AH3789" s="185"/>
      <c r="AI3789" s="182"/>
      <c r="AJ3789" s="182"/>
      <c r="AK3789" s="182"/>
      <c r="AL3789" s="182"/>
    </row>
    <row r="3790" ht="20.25" customHeight="1">
      <c r="A3790" s="169"/>
      <c r="B3790" s="170"/>
      <c r="C3790" s="170"/>
      <c r="D3790" s="170"/>
      <c r="E3790" s="171"/>
      <c r="F3790" s="172"/>
      <c r="G3790" s="173"/>
      <c r="H3790" s="174"/>
      <c r="I3790" s="175"/>
      <c r="J3790" s="172"/>
      <c r="K3790" s="176"/>
      <c r="L3790" s="176"/>
      <c r="M3790" s="176"/>
      <c r="N3790" s="177"/>
      <c r="O3790" s="177"/>
      <c r="P3790" s="178"/>
      <c r="Q3790" s="177"/>
      <c r="R3790" s="170"/>
      <c r="S3790" s="170"/>
      <c r="T3790" s="179"/>
      <c r="U3790" s="179"/>
      <c r="V3790" s="179"/>
      <c r="W3790" s="180"/>
      <c r="X3790" s="181"/>
      <c r="Y3790" s="182"/>
      <c r="Z3790" s="182"/>
      <c r="AA3790" s="182"/>
      <c r="AB3790" s="182"/>
      <c r="AC3790" s="183"/>
      <c r="AD3790" s="183"/>
      <c r="AE3790" s="183"/>
      <c r="AF3790" s="184"/>
      <c r="AG3790" s="180"/>
      <c r="AH3790" s="185"/>
      <c r="AI3790" s="182"/>
      <c r="AJ3790" s="182"/>
      <c r="AK3790" s="182"/>
      <c r="AL3790" s="182"/>
    </row>
    <row r="3791" ht="20.25" customHeight="1">
      <c r="A3791" s="169"/>
      <c r="B3791" s="170"/>
      <c r="C3791" s="170"/>
      <c r="D3791" s="170"/>
      <c r="E3791" s="171"/>
      <c r="F3791" s="172"/>
      <c r="G3791" s="173"/>
      <c r="H3791" s="174"/>
      <c r="I3791" s="175"/>
      <c r="J3791" s="172"/>
      <c r="K3791" s="176"/>
      <c r="L3791" s="176"/>
      <c r="M3791" s="176"/>
      <c r="N3791" s="177"/>
      <c r="O3791" s="177"/>
      <c r="P3791" s="178"/>
      <c r="Q3791" s="177"/>
      <c r="R3791" s="170"/>
      <c r="S3791" s="170"/>
      <c r="T3791" s="179"/>
      <c r="U3791" s="179"/>
      <c r="V3791" s="179"/>
      <c r="W3791" s="180"/>
      <c r="X3791" s="181"/>
      <c r="Y3791" s="182"/>
      <c r="Z3791" s="182"/>
      <c r="AA3791" s="182"/>
      <c r="AB3791" s="182"/>
      <c r="AC3791" s="183"/>
      <c r="AD3791" s="183"/>
      <c r="AE3791" s="183"/>
      <c r="AF3791" s="184"/>
      <c r="AG3791" s="180"/>
      <c r="AH3791" s="185"/>
      <c r="AI3791" s="182"/>
      <c r="AJ3791" s="182"/>
      <c r="AK3791" s="182"/>
      <c r="AL3791" s="182"/>
    </row>
    <row r="3792" ht="20.25" customHeight="1">
      <c r="A3792" s="169"/>
      <c r="B3792" s="170"/>
      <c r="C3792" s="170"/>
      <c r="D3792" s="170"/>
      <c r="E3792" s="171"/>
      <c r="F3792" s="172"/>
      <c r="G3792" s="173"/>
      <c r="H3792" s="174"/>
      <c r="I3792" s="175"/>
      <c r="J3792" s="172"/>
      <c r="K3792" s="176"/>
      <c r="L3792" s="176"/>
      <c r="M3792" s="176"/>
      <c r="N3792" s="177"/>
      <c r="O3792" s="177"/>
      <c r="P3792" s="178"/>
      <c r="Q3792" s="177"/>
      <c r="R3792" s="170"/>
      <c r="S3792" s="170"/>
      <c r="T3792" s="179"/>
      <c r="U3792" s="179"/>
      <c r="V3792" s="179"/>
      <c r="W3792" s="180"/>
      <c r="X3792" s="181"/>
      <c r="Y3792" s="182"/>
      <c r="Z3792" s="182"/>
      <c r="AA3792" s="182"/>
      <c r="AB3792" s="182"/>
      <c r="AC3792" s="183"/>
      <c r="AD3792" s="183"/>
      <c r="AE3792" s="183"/>
      <c r="AF3792" s="184"/>
      <c r="AG3792" s="180"/>
      <c r="AH3792" s="185"/>
      <c r="AI3792" s="182"/>
      <c r="AJ3792" s="182"/>
      <c r="AK3792" s="182"/>
      <c r="AL3792" s="182"/>
    </row>
    <row r="3793" ht="20.25" customHeight="1">
      <c r="A3793" s="169"/>
      <c r="B3793" s="170"/>
      <c r="C3793" s="170"/>
      <c r="D3793" s="170"/>
      <c r="E3793" s="171"/>
      <c r="F3793" s="172"/>
      <c r="G3793" s="173"/>
      <c r="H3793" s="174"/>
      <c r="I3793" s="175"/>
      <c r="J3793" s="172"/>
      <c r="K3793" s="176"/>
      <c r="L3793" s="176"/>
      <c r="M3793" s="176"/>
      <c r="N3793" s="177"/>
      <c r="O3793" s="177"/>
      <c r="P3793" s="178"/>
      <c r="Q3793" s="177"/>
      <c r="R3793" s="170"/>
      <c r="S3793" s="170"/>
      <c r="T3793" s="179"/>
      <c r="U3793" s="179"/>
      <c r="V3793" s="179"/>
      <c r="W3793" s="180"/>
      <c r="X3793" s="181"/>
      <c r="Y3793" s="182"/>
      <c r="Z3793" s="182"/>
      <c r="AA3793" s="182"/>
      <c r="AB3793" s="182"/>
      <c r="AC3793" s="183"/>
      <c r="AD3793" s="183"/>
      <c r="AE3793" s="183"/>
      <c r="AF3793" s="184"/>
      <c r="AG3793" s="180"/>
      <c r="AH3793" s="185"/>
      <c r="AI3793" s="182"/>
      <c r="AJ3793" s="182"/>
      <c r="AK3793" s="182"/>
      <c r="AL3793" s="182"/>
    </row>
    <row r="3794" ht="20.25" customHeight="1">
      <c r="A3794" s="169"/>
      <c r="B3794" s="170"/>
      <c r="C3794" s="170"/>
      <c r="D3794" s="170"/>
      <c r="E3794" s="171"/>
      <c r="F3794" s="172"/>
      <c r="G3794" s="173"/>
      <c r="H3794" s="174"/>
      <c r="I3794" s="175"/>
      <c r="J3794" s="172"/>
      <c r="K3794" s="176"/>
      <c r="L3794" s="176"/>
      <c r="M3794" s="176"/>
      <c r="N3794" s="177"/>
      <c r="O3794" s="177"/>
      <c r="P3794" s="178"/>
      <c r="Q3794" s="177"/>
      <c r="R3794" s="170"/>
      <c r="S3794" s="170"/>
      <c r="T3794" s="179"/>
      <c r="U3794" s="179"/>
      <c r="V3794" s="179"/>
      <c r="W3794" s="180"/>
      <c r="X3794" s="181"/>
      <c r="Y3794" s="182"/>
      <c r="Z3794" s="182"/>
      <c r="AA3794" s="182"/>
      <c r="AB3794" s="182"/>
      <c r="AC3794" s="183"/>
      <c r="AD3794" s="183"/>
      <c r="AE3794" s="183"/>
      <c r="AF3794" s="184"/>
      <c r="AG3794" s="180"/>
      <c r="AH3794" s="185"/>
      <c r="AI3794" s="182"/>
      <c r="AJ3794" s="182"/>
      <c r="AK3794" s="182"/>
      <c r="AL3794" s="182"/>
    </row>
    <row r="3795" ht="20.25" customHeight="1">
      <c r="A3795" s="169"/>
      <c r="B3795" s="170"/>
      <c r="C3795" s="170"/>
      <c r="D3795" s="170"/>
      <c r="E3795" s="171"/>
      <c r="F3795" s="172"/>
      <c r="G3795" s="173"/>
      <c r="H3795" s="174"/>
      <c r="I3795" s="175"/>
      <c r="J3795" s="172"/>
      <c r="K3795" s="176"/>
      <c r="L3795" s="176"/>
      <c r="M3795" s="176"/>
      <c r="N3795" s="177"/>
      <c r="O3795" s="177"/>
      <c r="P3795" s="178"/>
      <c r="Q3795" s="177"/>
      <c r="R3795" s="170"/>
      <c r="S3795" s="170"/>
      <c r="T3795" s="179"/>
      <c r="U3795" s="179"/>
      <c r="V3795" s="179"/>
      <c r="W3795" s="180"/>
      <c r="X3795" s="181"/>
      <c r="Y3795" s="182"/>
      <c r="Z3795" s="182"/>
      <c r="AA3795" s="182"/>
      <c r="AB3795" s="182"/>
      <c r="AC3795" s="183"/>
      <c r="AD3795" s="183"/>
      <c r="AE3795" s="183"/>
      <c r="AF3795" s="184"/>
      <c r="AG3795" s="180"/>
      <c r="AH3795" s="185"/>
      <c r="AI3795" s="182"/>
      <c r="AJ3795" s="182"/>
      <c r="AK3795" s="182"/>
      <c r="AL3795" s="182"/>
    </row>
    <row r="3796" ht="20.25" customHeight="1">
      <c r="A3796" s="169"/>
      <c r="B3796" s="170"/>
      <c r="C3796" s="170"/>
      <c r="D3796" s="170"/>
      <c r="E3796" s="171"/>
      <c r="F3796" s="172"/>
      <c r="G3796" s="173"/>
      <c r="H3796" s="174"/>
      <c r="I3796" s="175"/>
      <c r="J3796" s="172"/>
      <c r="K3796" s="176"/>
      <c r="L3796" s="176"/>
      <c r="M3796" s="176"/>
      <c r="N3796" s="177"/>
      <c r="O3796" s="177"/>
      <c r="P3796" s="178"/>
      <c r="Q3796" s="177"/>
      <c r="R3796" s="170"/>
      <c r="S3796" s="170"/>
      <c r="T3796" s="179"/>
      <c r="U3796" s="179"/>
      <c r="V3796" s="179"/>
      <c r="W3796" s="180"/>
      <c r="X3796" s="181"/>
      <c r="Y3796" s="182"/>
      <c r="Z3796" s="182"/>
      <c r="AA3796" s="182"/>
      <c r="AB3796" s="182"/>
      <c r="AC3796" s="183"/>
      <c r="AD3796" s="183"/>
      <c r="AE3796" s="183"/>
      <c r="AF3796" s="184"/>
      <c r="AG3796" s="180"/>
      <c r="AH3796" s="185"/>
      <c r="AI3796" s="182"/>
      <c r="AJ3796" s="182"/>
      <c r="AK3796" s="182"/>
      <c r="AL3796" s="182"/>
    </row>
    <row r="3797" ht="20.25" customHeight="1">
      <c r="A3797" s="169"/>
      <c r="B3797" s="170"/>
      <c r="C3797" s="170"/>
      <c r="D3797" s="170"/>
      <c r="E3797" s="171"/>
      <c r="F3797" s="172"/>
      <c r="G3797" s="173"/>
      <c r="H3797" s="174"/>
      <c r="I3797" s="175"/>
      <c r="J3797" s="172"/>
      <c r="K3797" s="176"/>
      <c r="L3797" s="176"/>
      <c r="M3797" s="176"/>
      <c r="N3797" s="177"/>
      <c r="O3797" s="177"/>
      <c r="P3797" s="178"/>
      <c r="Q3797" s="177"/>
      <c r="R3797" s="170"/>
      <c r="S3797" s="170"/>
      <c r="T3797" s="179"/>
      <c r="U3797" s="179"/>
      <c r="V3797" s="179"/>
      <c r="W3797" s="180"/>
      <c r="X3797" s="181"/>
      <c r="Y3797" s="182"/>
      <c r="Z3797" s="182"/>
      <c r="AA3797" s="182"/>
      <c r="AB3797" s="182"/>
      <c r="AC3797" s="183"/>
      <c r="AD3797" s="183"/>
      <c r="AE3797" s="183"/>
      <c r="AF3797" s="184"/>
      <c r="AG3797" s="180"/>
      <c r="AH3797" s="185"/>
      <c r="AI3797" s="182"/>
      <c r="AJ3797" s="182"/>
      <c r="AK3797" s="182"/>
      <c r="AL3797" s="182"/>
    </row>
    <row r="3798" ht="20.25" customHeight="1">
      <c r="A3798" s="169"/>
      <c r="B3798" s="170"/>
      <c r="C3798" s="170"/>
      <c r="D3798" s="170"/>
      <c r="E3798" s="171"/>
      <c r="F3798" s="172"/>
      <c r="G3798" s="173"/>
      <c r="H3798" s="174"/>
      <c r="I3798" s="175"/>
      <c r="J3798" s="172"/>
      <c r="K3798" s="176"/>
      <c r="L3798" s="176"/>
      <c r="M3798" s="176"/>
      <c r="N3798" s="177"/>
      <c r="O3798" s="177"/>
      <c r="P3798" s="178"/>
      <c r="Q3798" s="177"/>
      <c r="R3798" s="170"/>
      <c r="S3798" s="170"/>
      <c r="T3798" s="179"/>
      <c r="U3798" s="179"/>
      <c r="V3798" s="179"/>
      <c r="W3798" s="180"/>
      <c r="X3798" s="181"/>
      <c r="Y3798" s="182"/>
      <c r="Z3798" s="182"/>
      <c r="AA3798" s="182"/>
      <c r="AB3798" s="182"/>
      <c r="AC3798" s="183"/>
      <c r="AD3798" s="183"/>
      <c r="AE3798" s="183"/>
      <c r="AF3798" s="184"/>
      <c r="AG3798" s="180"/>
      <c r="AH3798" s="185"/>
      <c r="AI3798" s="182"/>
      <c r="AJ3798" s="182"/>
      <c r="AK3798" s="182"/>
      <c r="AL3798" s="182"/>
    </row>
    <row r="3799" ht="20.25" customHeight="1">
      <c r="A3799" s="169"/>
      <c r="B3799" s="170"/>
      <c r="C3799" s="170"/>
      <c r="D3799" s="170"/>
      <c r="E3799" s="171"/>
      <c r="F3799" s="172"/>
      <c r="G3799" s="173"/>
      <c r="H3799" s="174"/>
      <c r="I3799" s="175"/>
      <c r="J3799" s="172"/>
      <c r="K3799" s="176"/>
      <c r="L3799" s="176"/>
      <c r="M3799" s="176"/>
      <c r="N3799" s="177"/>
      <c r="O3799" s="177"/>
      <c r="P3799" s="178"/>
      <c r="Q3799" s="177"/>
      <c r="R3799" s="170"/>
      <c r="S3799" s="170"/>
      <c r="T3799" s="179"/>
      <c r="U3799" s="179"/>
      <c r="V3799" s="179"/>
      <c r="W3799" s="180"/>
      <c r="X3799" s="181"/>
      <c r="Y3799" s="182"/>
      <c r="Z3799" s="182"/>
      <c r="AA3799" s="182"/>
      <c r="AB3799" s="182"/>
      <c r="AC3799" s="183"/>
      <c r="AD3799" s="183"/>
      <c r="AE3799" s="183"/>
      <c r="AF3799" s="184"/>
      <c r="AG3799" s="180"/>
      <c r="AH3799" s="185"/>
      <c r="AI3799" s="182"/>
      <c r="AJ3799" s="182"/>
      <c r="AK3799" s="182"/>
      <c r="AL3799" s="182"/>
    </row>
    <row r="3800" ht="20.25" customHeight="1">
      <c r="A3800" s="169"/>
      <c r="B3800" s="170"/>
      <c r="C3800" s="170"/>
      <c r="D3800" s="170"/>
      <c r="E3800" s="171"/>
      <c r="F3800" s="172"/>
      <c r="G3800" s="173"/>
      <c r="H3800" s="174"/>
      <c r="I3800" s="175"/>
      <c r="J3800" s="172"/>
      <c r="K3800" s="176"/>
      <c r="L3800" s="176"/>
      <c r="M3800" s="176"/>
      <c r="N3800" s="177"/>
      <c r="O3800" s="177"/>
      <c r="P3800" s="178"/>
      <c r="Q3800" s="177"/>
      <c r="R3800" s="170"/>
      <c r="S3800" s="170"/>
      <c r="T3800" s="179"/>
      <c r="U3800" s="179"/>
      <c r="V3800" s="179"/>
      <c r="W3800" s="180"/>
      <c r="X3800" s="181"/>
      <c r="Y3800" s="182"/>
      <c r="Z3800" s="182"/>
      <c r="AA3800" s="182"/>
      <c r="AB3800" s="182"/>
      <c r="AC3800" s="183"/>
      <c r="AD3800" s="183"/>
      <c r="AE3800" s="183"/>
      <c r="AF3800" s="184"/>
      <c r="AG3800" s="180"/>
      <c r="AH3800" s="185"/>
      <c r="AI3800" s="182"/>
      <c r="AJ3800" s="182"/>
      <c r="AK3800" s="182"/>
      <c r="AL3800" s="182"/>
    </row>
    <row r="3801" ht="20.25" customHeight="1">
      <c r="A3801" s="169"/>
      <c r="B3801" s="170"/>
      <c r="C3801" s="170"/>
      <c r="D3801" s="170"/>
      <c r="E3801" s="171"/>
      <c r="F3801" s="172"/>
      <c r="G3801" s="173"/>
      <c r="H3801" s="174"/>
      <c r="I3801" s="175"/>
      <c r="J3801" s="172"/>
      <c r="K3801" s="176"/>
      <c r="L3801" s="176"/>
      <c r="M3801" s="176"/>
      <c r="N3801" s="177"/>
      <c r="O3801" s="177"/>
      <c r="P3801" s="178"/>
      <c r="Q3801" s="177"/>
      <c r="R3801" s="170"/>
      <c r="S3801" s="170"/>
      <c r="T3801" s="179"/>
      <c r="U3801" s="179"/>
      <c r="V3801" s="179"/>
      <c r="W3801" s="180"/>
      <c r="X3801" s="181"/>
      <c r="Y3801" s="182"/>
      <c r="Z3801" s="182"/>
      <c r="AA3801" s="182"/>
      <c r="AB3801" s="182"/>
      <c r="AC3801" s="183"/>
      <c r="AD3801" s="183"/>
      <c r="AE3801" s="183"/>
      <c r="AF3801" s="184"/>
      <c r="AG3801" s="180"/>
      <c r="AH3801" s="185"/>
      <c r="AI3801" s="182"/>
      <c r="AJ3801" s="182"/>
      <c r="AK3801" s="182"/>
      <c r="AL3801" s="182"/>
    </row>
    <row r="3802" ht="20.25" customHeight="1">
      <c r="A3802" s="169"/>
      <c r="B3802" s="170"/>
      <c r="C3802" s="170"/>
      <c r="D3802" s="170"/>
      <c r="E3802" s="171"/>
      <c r="F3802" s="172"/>
      <c r="G3802" s="173"/>
      <c r="H3802" s="174"/>
      <c r="I3802" s="175"/>
      <c r="J3802" s="172"/>
      <c r="K3802" s="176"/>
      <c r="L3802" s="176"/>
      <c r="M3802" s="176"/>
      <c r="N3802" s="177"/>
      <c r="O3802" s="177"/>
      <c r="P3802" s="178"/>
      <c r="Q3802" s="177"/>
      <c r="R3802" s="170"/>
      <c r="S3802" s="170"/>
      <c r="T3802" s="179"/>
      <c r="U3802" s="179"/>
      <c r="V3802" s="179"/>
      <c r="W3802" s="180"/>
      <c r="X3802" s="181"/>
      <c r="Y3802" s="182"/>
      <c r="Z3802" s="182"/>
      <c r="AA3802" s="182"/>
      <c r="AB3802" s="182"/>
      <c r="AC3802" s="183"/>
      <c r="AD3802" s="183"/>
      <c r="AE3802" s="183"/>
      <c r="AF3802" s="184"/>
      <c r="AG3802" s="180"/>
      <c r="AH3802" s="185"/>
      <c r="AI3802" s="182"/>
      <c r="AJ3802" s="182"/>
      <c r="AK3802" s="182"/>
      <c r="AL3802" s="182"/>
    </row>
    <row r="3803" ht="20.25" customHeight="1">
      <c r="A3803" s="169"/>
      <c r="B3803" s="170"/>
      <c r="C3803" s="170"/>
      <c r="D3803" s="170"/>
      <c r="E3803" s="171"/>
      <c r="F3803" s="172"/>
      <c r="G3803" s="173"/>
      <c r="H3803" s="174"/>
      <c r="I3803" s="175"/>
      <c r="J3803" s="172"/>
      <c r="K3803" s="176"/>
      <c r="L3803" s="176"/>
      <c r="M3803" s="176"/>
      <c r="N3803" s="177"/>
      <c r="O3803" s="177"/>
      <c r="P3803" s="178"/>
      <c r="Q3803" s="177"/>
      <c r="R3803" s="170"/>
      <c r="S3803" s="170"/>
      <c r="T3803" s="179"/>
      <c r="U3803" s="179"/>
      <c r="V3803" s="179"/>
      <c r="W3803" s="180"/>
      <c r="X3803" s="181"/>
      <c r="Y3803" s="182"/>
      <c r="Z3803" s="182"/>
      <c r="AA3803" s="182"/>
      <c r="AB3803" s="182"/>
      <c r="AC3803" s="183"/>
      <c r="AD3803" s="183"/>
      <c r="AE3803" s="183"/>
      <c r="AF3803" s="184"/>
      <c r="AG3803" s="180"/>
      <c r="AH3803" s="185"/>
      <c r="AI3803" s="182"/>
      <c r="AJ3803" s="182"/>
      <c r="AK3803" s="182"/>
      <c r="AL3803" s="182"/>
    </row>
    <row r="3804" ht="20.25" customHeight="1">
      <c r="A3804" s="169"/>
      <c r="B3804" s="170"/>
      <c r="C3804" s="170"/>
      <c r="D3804" s="170"/>
      <c r="E3804" s="171"/>
      <c r="F3804" s="172"/>
      <c r="G3804" s="173"/>
      <c r="H3804" s="174"/>
      <c r="I3804" s="175"/>
      <c r="J3804" s="172"/>
      <c r="K3804" s="176"/>
      <c r="L3804" s="176"/>
      <c r="M3804" s="176"/>
      <c r="N3804" s="177"/>
      <c r="O3804" s="177"/>
      <c r="P3804" s="178"/>
      <c r="Q3804" s="177"/>
      <c r="R3804" s="170"/>
      <c r="S3804" s="170"/>
      <c r="T3804" s="179"/>
      <c r="U3804" s="179"/>
      <c r="V3804" s="179"/>
      <c r="W3804" s="180"/>
      <c r="X3804" s="181"/>
      <c r="Y3804" s="182"/>
      <c r="Z3804" s="182"/>
      <c r="AA3804" s="182"/>
      <c r="AB3804" s="182"/>
      <c r="AC3804" s="183"/>
      <c r="AD3804" s="183"/>
      <c r="AE3804" s="183"/>
      <c r="AF3804" s="184"/>
      <c r="AG3804" s="180"/>
      <c r="AH3804" s="185"/>
      <c r="AI3804" s="182"/>
      <c r="AJ3804" s="182"/>
      <c r="AK3804" s="182"/>
      <c r="AL3804" s="182"/>
    </row>
    <row r="3805" ht="20.25" customHeight="1">
      <c r="A3805" s="169"/>
      <c r="B3805" s="170"/>
      <c r="C3805" s="170"/>
      <c r="D3805" s="170"/>
      <c r="E3805" s="171"/>
      <c r="F3805" s="172"/>
      <c r="G3805" s="173"/>
      <c r="H3805" s="174"/>
      <c r="I3805" s="175"/>
      <c r="J3805" s="172"/>
      <c r="K3805" s="176"/>
      <c r="L3805" s="176"/>
      <c r="M3805" s="176"/>
      <c r="N3805" s="177"/>
      <c r="O3805" s="177"/>
      <c r="P3805" s="178"/>
      <c r="Q3805" s="177"/>
      <c r="R3805" s="170"/>
      <c r="S3805" s="170"/>
      <c r="T3805" s="179"/>
      <c r="U3805" s="179"/>
      <c r="V3805" s="179"/>
      <c r="W3805" s="180"/>
      <c r="X3805" s="181"/>
      <c r="Y3805" s="182"/>
      <c r="Z3805" s="182"/>
      <c r="AA3805" s="182"/>
      <c r="AB3805" s="182"/>
      <c r="AC3805" s="183"/>
      <c r="AD3805" s="183"/>
      <c r="AE3805" s="183"/>
      <c r="AF3805" s="184"/>
      <c r="AG3805" s="180"/>
      <c r="AH3805" s="185"/>
      <c r="AI3805" s="182"/>
      <c r="AJ3805" s="182"/>
      <c r="AK3805" s="182"/>
      <c r="AL3805" s="182"/>
    </row>
    <row r="3806" ht="20.25" customHeight="1">
      <c r="A3806" s="169"/>
      <c r="B3806" s="170"/>
      <c r="C3806" s="170"/>
      <c r="D3806" s="170"/>
      <c r="E3806" s="171"/>
      <c r="F3806" s="172"/>
      <c r="G3806" s="173"/>
      <c r="H3806" s="174"/>
      <c r="I3806" s="175"/>
      <c r="J3806" s="172"/>
      <c r="K3806" s="176"/>
      <c r="L3806" s="176"/>
      <c r="M3806" s="176"/>
      <c r="N3806" s="177"/>
      <c r="O3806" s="177"/>
      <c r="P3806" s="178"/>
      <c r="Q3806" s="177"/>
      <c r="R3806" s="170"/>
      <c r="S3806" s="170"/>
      <c r="T3806" s="179"/>
      <c r="U3806" s="179"/>
      <c r="V3806" s="179"/>
      <c r="W3806" s="180"/>
      <c r="X3806" s="181"/>
      <c r="Y3806" s="182"/>
      <c r="Z3806" s="182"/>
      <c r="AA3806" s="182"/>
      <c r="AB3806" s="182"/>
      <c r="AC3806" s="183"/>
      <c r="AD3806" s="183"/>
      <c r="AE3806" s="183"/>
      <c r="AF3806" s="184"/>
      <c r="AG3806" s="180"/>
      <c r="AH3806" s="185"/>
      <c r="AI3806" s="182"/>
      <c r="AJ3806" s="182"/>
      <c r="AK3806" s="182"/>
      <c r="AL3806" s="182"/>
    </row>
    <row r="3807" ht="20.25" customHeight="1">
      <c r="A3807" s="169"/>
      <c r="B3807" s="170"/>
      <c r="C3807" s="170"/>
      <c r="D3807" s="170"/>
      <c r="E3807" s="171"/>
      <c r="F3807" s="172"/>
      <c r="G3807" s="173"/>
      <c r="H3807" s="174"/>
      <c r="I3807" s="175"/>
      <c r="J3807" s="172"/>
      <c r="K3807" s="176"/>
      <c r="L3807" s="176"/>
      <c r="M3807" s="176"/>
      <c r="N3807" s="177"/>
      <c r="O3807" s="177"/>
      <c r="P3807" s="178"/>
      <c r="Q3807" s="177"/>
      <c r="R3807" s="170"/>
      <c r="S3807" s="170"/>
      <c r="T3807" s="179"/>
      <c r="U3807" s="179"/>
      <c r="V3807" s="179"/>
      <c r="W3807" s="180"/>
      <c r="X3807" s="181"/>
      <c r="Y3807" s="182"/>
      <c r="Z3807" s="182"/>
      <c r="AA3807" s="182"/>
      <c r="AB3807" s="182"/>
      <c r="AC3807" s="183"/>
      <c r="AD3807" s="183"/>
      <c r="AE3807" s="183"/>
      <c r="AF3807" s="184"/>
      <c r="AG3807" s="180"/>
      <c r="AH3807" s="185"/>
      <c r="AI3807" s="182"/>
      <c r="AJ3807" s="182"/>
      <c r="AK3807" s="182"/>
      <c r="AL3807" s="182"/>
    </row>
    <row r="3808" ht="20.25" customHeight="1">
      <c r="A3808" s="169"/>
      <c r="B3808" s="170"/>
      <c r="C3808" s="170"/>
      <c r="D3808" s="170"/>
      <c r="E3808" s="171"/>
      <c r="F3808" s="172"/>
      <c r="G3808" s="173"/>
      <c r="H3808" s="174"/>
      <c r="I3808" s="175"/>
      <c r="J3808" s="172"/>
      <c r="K3808" s="176"/>
      <c r="L3808" s="176"/>
      <c r="M3808" s="176"/>
      <c r="N3808" s="177"/>
      <c r="O3808" s="177"/>
      <c r="P3808" s="178"/>
      <c r="Q3808" s="177"/>
      <c r="R3808" s="170"/>
      <c r="S3808" s="170"/>
      <c r="T3808" s="179"/>
      <c r="U3808" s="179"/>
      <c r="V3808" s="179"/>
      <c r="W3808" s="180"/>
      <c r="X3808" s="181"/>
      <c r="Y3808" s="182"/>
      <c r="Z3808" s="182"/>
      <c r="AA3808" s="182"/>
      <c r="AB3808" s="182"/>
      <c r="AC3808" s="183"/>
      <c r="AD3808" s="183"/>
      <c r="AE3808" s="183"/>
      <c r="AF3808" s="184"/>
      <c r="AG3808" s="180"/>
      <c r="AH3808" s="185"/>
      <c r="AI3808" s="182"/>
      <c r="AJ3808" s="182"/>
      <c r="AK3808" s="182"/>
      <c r="AL3808" s="182"/>
    </row>
    <row r="3809" ht="20.25" customHeight="1">
      <c r="A3809" s="169"/>
      <c r="B3809" s="170"/>
      <c r="C3809" s="170"/>
      <c r="D3809" s="170"/>
      <c r="E3809" s="171"/>
      <c r="F3809" s="172"/>
      <c r="G3809" s="173"/>
      <c r="H3809" s="174"/>
      <c r="I3809" s="175"/>
      <c r="J3809" s="172"/>
      <c r="K3809" s="176"/>
      <c r="L3809" s="176"/>
      <c r="M3809" s="176"/>
      <c r="N3809" s="177"/>
      <c r="O3809" s="177"/>
      <c r="P3809" s="178"/>
      <c r="Q3809" s="177"/>
      <c r="R3809" s="170"/>
      <c r="S3809" s="170"/>
      <c r="T3809" s="179"/>
      <c r="U3809" s="179"/>
      <c r="V3809" s="179"/>
      <c r="W3809" s="180"/>
      <c r="X3809" s="181"/>
      <c r="Y3809" s="182"/>
      <c r="Z3809" s="182"/>
      <c r="AA3809" s="182"/>
      <c r="AB3809" s="182"/>
      <c r="AC3809" s="183"/>
      <c r="AD3809" s="183"/>
      <c r="AE3809" s="183"/>
      <c r="AF3809" s="184"/>
      <c r="AG3809" s="180"/>
      <c r="AH3809" s="185"/>
      <c r="AI3809" s="182"/>
      <c r="AJ3809" s="182"/>
      <c r="AK3809" s="182"/>
      <c r="AL3809" s="182"/>
    </row>
    <row r="3810" ht="20.25" customHeight="1">
      <c r="A3810" s="169"/>
      <c r="B3810" s="170"/>
      <c r="C3810" s="170"/>
      <c r="D3810" s="170"/>
      <c r="E3810" s="171"/>
      <c r="F3810" s="172"/>
      <c r="G3810" s="173"/>
      <c r="H3810" s="174"/>
      <c r="I3810" s="175"/>
      <c r="J3810" s="172"/>
      <c r="K3810" s="176"/>
      <c r="L3810" s="176"/>
      <c r="M3810" s="176"/>
      <c r="N3810" s="177"/>
      <c r="O3810" s="177"/>
      <c r="P3810" s="178"/>
      <c r="Q3810" s="177"/>
      <c r="R3810" s="170"/>
      <c r="S3810" s="170"/>
      <c r="T3810" s="179"/>
      <c r="U3810" s="179"/>
      <c r="V3810" s="179"/>
      <c r="W3810" s="180"/>
      <c r="X3810" s="181"/>
      <c r="Y3810" s="182"/>
      <c r="Z3810" s="182"/>
      <c r="AA3810" s="182"/>
      <c r="AB3810" s="182"/>
      <c r="AC3810" s="183"/>
      <c r="AD3810" s="183"/>
      <c r="AE3810" s="183"/>
      <c r="AF3810" s="184"/>
      <c r="AG3810" s="180"/>
      <c r="AH3810" s="185"/>
      <c r="AI3810" s="182"/>
      <c r="AJ3810" s="182"/>
      <c r="AK3810" s="182"/>
      <c r="AL3810" s="182"/>
    </row>
    <row r="3811" ht="20.25" customHeight="1">
      <c r="A3811" s="169"/>
      <c r="B3811" s="170"/>
      <c r="C3811" s="170"/>
      <c r="D3811" s="170"/>
      <c r="E3811" s="171"/>
      <c r="F3811" s="172"/>
      <c r="G3811" s="173"/>
      <c r="H3811" s="174"/>
      <c r="I3811" s="175"/>
      <c r="J3811" s="172"/>
      <c r="K3811" s="176"/>
      <c r="L3811" s="176"/>
      <c r="M3811" s="176"/>
      <c r="N3811" s="177"/>
      <c r="O3811" s="177"/>
      <c r="P3811" s="178"/>
      <c r="Q3811" s="177"/>
      <c r="R3811" s="170"/>
      <c r="S3811" s="170"/>
      <c r="T3811" s="179"/>
      <c r="U3811" s="179"/>
      <c r="V3811" s="179"/>
      <c r="W3811" s="180"/>
      <c r="X3811" s="181"/>
      <c r="Y3811" s="182"/>
      <c r="Z3811" s="182"/>
      <c r="AA3811" s="182"/>
      <c r="AB3811" s="182"/>
      <c r="AC3811" s="183"/>
      <c r="AD3811" s="183"/>
      <c r="AE3811" s="183"/>
      <c r="AF3811" s="184"/>
      <c r="AG3811" s="180"/>
      <c r="AH3811" s="185"/>
      <c r="AI3811" s="182"/>
      <c r="AJ3811" s="182"/>
      <c r="AK3811" s="182"/>
      <c r="AL3811" s="182"/>
    </row>
    <row r="3812" ht="20.25" customHeight="1">
      <c r="A3812" s="169"/>
      <c r="B3812" s="170"/>
      <c r="C3812" s="170"/>
      <c r="D3812" s="170"/>
      <c r="E3812" s="171"/>
      <c r="F3812" s="172"/>
      <c r="G3812" s="173"/>
      <c r="H3812" s="174"/>
      <c r="I3812" s="175"/>
      <c r="J3812" s="172"/>
      <c r="K3812" s="176"/>
      <c r="L3812" s="176"/>
      <c r="M3812" s="176"/>
      <c r="N3812" s="177"/>
      <c r="O3812" s="177"/>
      <c r="P3812" s="178"/>
      <c r="Q3812" s="177"/>
      <c r="R3812" s="170"/>
      <c r="S3812" s="170"/>
      <c r="T3812" s="179"/>
      <c r="U3812" s="179"/>
      <c r="V3812" s="179"/>
      <c r="W3812" s="180"/>
      <c r="X3812" s="181"/>
      <c r="Y3812" s="182"/>
      <c r="Z3812" s="182"/>
      <c r="AA3812" s="182"/>
      <c r="AB3812" s="182"/>
      <c r="AC3812" s="183"/>
      <c r="AD3812" s="183"/>
      <c r="AE3812" s="183"/>
      <c r="AF3812" s="184"/>
      <c r="AG3812" s="180"/>
      <c r="AH3812" s="185"/>
      <c r="AI3812" s="182"/>
      <c r="AJ3812" s="182"/>
      <c r="AK3812" s="182"/>
      <c r="AL3812" s="182"/>
    </row>
    <row r="3813" ht="20.25" customHeight="1">
      <c r="A3813" s="169"/>
      <c r="B3813" s="170"/>
      <c r="C3813" s="170"/>
      <c r="D3813" s="170"/>
      <c r="E3813" s="171"/>
      <c r="F3813" s="172"/>
      <c r="G3813" s="173"/>
      <c r="H3813" s="174"/>
      <c r="I3813" s="175"/>
      <c r="J3813" s="172"/>
      <c r="K3813" s="176"/>
      <c r="L3813" s="176"/>
      <c r="M3813" s="176"/>
      <c r="N3813" s="177"/>
      <c r="O3813" s="177"/>
      <c r="P3813" s="178"/>
      <c r="Q3813" s="177"/>
      <c r="R3813" s="170"/>
      <c r="S3813" s="170"/>
      <c r="T3813" s="179"/>
      <c r="U3813" s="179"/>
      <c r="V3813" s="179"/>
      <c r="W3813" s="180"/>
      <c r="X3813" s="181"/>
      <c r="Y3813" s="182"/>
      <c r="Z3813" s="182"/>
      <c r="AA3813" s="182"/>
      <c r="AB3813" s="182"/>
      <c r="AC3813" s="183"/>
      <c r="AD3813" s="183"/>
      <c r="AE3813" s="183"/>
      <c r="AF3813" s="184"/>
      <c r="AG3813" s="180"/>
      <c r="AH3813" s="185"/>
      <c r="AI3813" s="182"/>
      <c r="AJ3813" s="182"/>
      <c r="AK3813" s="182"/>
      <c r="AL3813" s="182"/>
    </row>
    <row r="3814" ht="20.25" customHeight="1">
      <c r="A3814" s="169"/>
      <c r="B3814" s="170"/>
      <c r="C3814" s="170"/>
      <c r="D3814" s="170"/>
      <c r="E3814" s="171"/>
      <c r="F3814" s="172"/>
      <c r="G3814" s="173"/>
      <c r="H3814" s="174"/>
      <c r="I3814" s="175"/>
      <c r="J3814" s="172"/>
      <c r="K3814" s="176"/>
      <c r="L3814" s="176"/>
      <c r="M3814" s="176"/>
      <c r="N3814" s="177"/>
      <c r="O3814" s="177"/>
      <c r="P3814" s="178"/>
      <c r="Q3814" s="177"/>
      <c r="R3814" s="170"/>
      <c r="S3814" s="170"/>
      <c r="T3814" s="179"/>
      <c r="U3814" s="179"/>
      <c r="V3814" s="179"/>
      <c r="W3814" s="180"/>
      <c r="X3814" s="181"/>
      <c r="Y3814" s="182"/>
      <c r="Z3814" s="182"/>
      <c r="AA3814" s="182"/>
      <c r="AB3814" s="182"/>
      <c r="AC3814" s="183"/>
      <c r="AD3814" s="183"/>
      <c r="AE3814" s="183"/>
      <c r="AF3814" s="184"/>
      <c r="AG3814" s="180"/>
      <c r="AH3814" s="185"/>
      <c r="AI3814" s="182"/>
      <c r="AJ3814" s="182"/>
      <c r="AK3814" s="182"/>
      <c r="AL3814" s="182"/>
    </row>
    <row r="3815" ht="20.25" customHeight="1">
      <c r="A3815" s="169"/>
      <c r="B3815" s="170"/>
      <c r="C3815" s="170"/>
      <c r="D3815" s="170"/>
      <c r="E3815" s="171"/>
      <c r="F3815" s="172"/>
      <c r="G3815" s="173"/>
      <c r="H3815" s="174"/>
      <c r="I3815" s="175"/>
      <c r="J3815" s="172"/>
      <c r="K3815" s="176"/>
      <c r="L3815" s="176"/>
      <c r="M3815" s="176"/>
      <c r="N3815" s="177"/>
      <c r="O3815" s="177"/>
      <c r="P3815" s="178"/>
      <c r="Q3815" s="177"/>
      <c r="R3815" s="170"/>
      <c r="S3815" s="170"/>
      <c r="T3815" s="179"/>
      <c r="U3815" s="179"/>
      <c r="V3815" s="179"/>
      <c r="W3815" s="180"/>
      <c r="X3815" s="181"/>
      <c r="Y3815" s="182"/>
      <c r="Z3815" s="182"/>
      <c r="AA3815" s="182"/>
      <c r="AB3815" s="182"/>
      <c r="AC3815" s="183"/>
      <c r="AD3815" s="183"/>
      <c r="AE3815" s="183"/>
      <c r="AF3815" s="184"/>
      <c r="AG3815" s="180"/>
      <c r="AH3815" s="185"/>
      <c r="AI3815" s="182"/>
      <c r="AJ3815" s="182"/>
      <c r="AK3815" s="182"/>
      <c r="AL3815" s="182"/>
    </row>
    <row r="3816" ht="20.25" customHeight="1">
      <c r="A3816" s="169"/>
      <c r="B3816" s="170"/>
      <c r="C3816" s="170"/>
      <c r="D3816" s="170"/>
      <c r="E3816" s="171"/>
      <c r="F3816" s="172"/>
      <c r="G3816" s="173"/>
      <c r="H3816" s="174"/>
      <c r="I3816" s="175"/>
      <c r="J3816" s="172"/>
      <c r="K3816" s="176"/>
      <c r="L3816" s="176"/>
      <c r="M3816" s="176"/>
      <c r="N3816" s="177"/>
      <c r="O3816" s="177"/>
      <c r="P3816" s="178"/>
      <c r="Q3816" s="177"/>
      <c r="R3816" s="170"/>
      <c r="S3816" s="170"/>
      <c r="T3816" s="179"/>
      <c r="U3816" s="179"/>
      <c r="V3816" s="179"/>
      <c r="W3816" s="180"/>
      <c r="X3816" s="181"/>
      <c r="Y3816" s="182"/>
      <c r="Z3816" s="182"/>
      <c r="AA3816" s="182"/>
      <c r="AB3816" s="182"/>
      <c r="AC3816" s="183"/>
      <c r="AD3816" s="183"/>
      <c r="AE3816" s="183"/>
      <c r="AF3816" s="184"/>
      <c r="AG3816" s="180"/>
      <c r="AH3816" s="185"/>
      <c r="AI3816" s="182"/>
      <c r="AJ3816" s="182"/>
      <c r="AK3816" s="182"/>
      <c r="AL3816" s="182"/>
    </row>
    <row r="3817" ht="20.25" customHeight="1">
      <c r="A3817" s="169"/>
      <c r="B3817" s="170"/>
      <c r="C3817" s="170"/>
      <c r="D3817" s="170"/>
      <c r="E3817" s="171"/>
      <c r="F3817" s="172"/>
      <c r="G3817" s="173"/>
      <c r="H3817" s="174"/>
      <c r="I3817" s="175"/>
      <c r="J3817" s="172"/>
      <c r="K3817" s="176"/>
      <c r="L3817" s="176"/>
      <c r="M3817" s="176"/>
      <c r="N3817" s="177"/>
      <c r="O3817" s="177"/>
      <c r="P3817" s="178"/>
      <c r="Q3817" s="177"/>
      <c r="R3817" s="170"/>
      <c r="S3817" s="170"/>
      <c r="T3817" s="179"/>
      <c r="U3817" s="179"/>
      <c r="V3817" s="179"/>
      <c r="W3817" s="180"/>
      <c r="X3817" s="181"/>
      <c r="Y3817" s="182"/>
      <c r="Z3817" s="182"/>
      <c r="AA3817" s="182"/>
      <c r="AB3817" s="182"/>
      <c r="AC3817" s="183"/>
      <c r="AD3817" s="183"/>
      <c r="AE3817" s="183"/>
      <c r="AF3817" s="184"/>
      <c r="AG3817" s="180"/>
      <c r="AH3817" s="185"/>
      <c r="AI3817" s="182"/>
      <c r="AJ3817" s="182"/>
      <c r="AK3817" s="182"/>
      <c r="AL3817" s="182"/>
    </row>
    <row r="3818" ht="20.25" customHeight="1">
      <c r="A3818" s="169"/>
      <c r="B3818" s="170"/>
      <c r="C3818" s="170"/>
      <c r="D3818" s="170"/>
      <c r="E3818" s="171"/>
      <c r="F3818" s="172"/>
      <c r="G3818" s="173"/>
      <c r="H3818" s="174"/>
      <c r="I3818" s="175"/>
      <c r="J3818" s="172"/>
      <c r="K3818" s="176"/>
      <c r="L3818" s="176"/>
      <c r="M3818" s="176"/>
      <c r="N3818" s="177"/>
      <c r="O3818" s="177"/>
      <c r="P3818" s="178"/>
      <c r="Q3818" s="177"/>
      <c r="R3818" s="170"/>
      <c r="S3818" s="170"/>
      <c r="T3818" s="179"/>
      <c r="U3818" s="179"/>
      <c r="V3818" s="179"/>
      <c r="W3818" s="180"/>
      <c r="X3818" s="181"/>
      <c r="Y3818" s="182"/>
      <c r="Z3818" s="182"/>
      <c r="AA3818" s="182"/>
      <c r="AB3818" s="182"/>
      <c r="AC3818" s="183"/>
      <c r="AD3818" s="183"/>
      <c r="AE3818" s="183"/>
      <c r="AF3818" s="184"/>
      <c r="AG3818" s="180"/>
      <c r="AH3818" s="185"/>
      <c r="AI3818" s="182"/>
      <c r="AJ3818" s="182"/>
      <c r="AK3818" s="182"/>
      <c r="AL3818" s="182"/>
    </row>
    <row r="3819" ht="20.25" customHeight="1">
      <c r="A3819" s="169"/>
      <c r="B3819" s="170"/>
      <c r="C3819" s="170"/>
      <c r="D3819" s="170"/>
      <c r="E3819" s="171"/>
      <c r="F3819" s="172"/>
      <c r="G3819" s="173"/>
      <c r="H3819" s="174"/>
      <c r="I3819" s="175"/>
      <c r="J3819" s="172"/>
      <c r="K3819" s="176"/>
      <c r="L3819" s="176"/>
      <c r="M3819" s="176"/>
      <c r="N3819" s="177"/>
      <c r="O3819" s="177"/>
      <c r="P3819" s="178"/>
      <c r="Q3819" s="177"/>
      <c r="R3819" s="170"/>
      <c r="S3819" s="170"/>
      <c r="T3819" s="179"/>
      <c r="U3819" s="179"/>
      <c r="V3819" s="179"/>
      <c r="W3819" s="180"/>
      <c r="X3819" s="181"/>
      <c r="Y3819" s="182"/>
      <c r="Z3819" s="182"/>
      <c r="AA3819" s="182"/>
      <c r="AB3819" s="182"/>
      <c r="AC3819" s="183"/>
      <c r="AD3819" s="183"/>
      <c r="AE3819" s="183"/>
      <c r="AF3819" s="184"/>
      <c r="AG3819" s="180"/>
      <c r="AH3819" s="185"/>
      <c r="AI3819" s="182"/>
      <c r="AJ3819" s="182"/>
      <c r="AK3819" s="182"/>
      <c r="AL3819" s="182"/>
    </row>
    <row r="3820" ht="20.25" customHeight="1">
      <c r="A3820" s="169"/>
      <c r="B3820" s="170"/>
      <c r="C3820" s="170"/>
      <c r="D3820" s="170"/>
      <c r="E3820" s="171"/>
      <c r="F3820" s="172"/>
      <c r="G3820" s="173"/>
      <c r="H3820" s="174"/>
      <c r="I3820" s="175"/>
      <c r="J3820" s="172"/>
      <c r="K3820" s="176"/>
      <c r="L3820" s="176"/>
      <c r="M3820" s="176"/>
      <c r="N3820" s="177"/>
      <c r="O3820" s="177"/>
      <c r="P3820" s="178"/>
      <c r="Q3820" s="177"/>
      <c r="R3820" s="170"/>
      <c r="S3820" s="170"/>
      <c r="T3820" s="179"/>
      <c r="U3820" s="179"/>
      <c r="V3820" s="179"/>
      <c r="W3820" s="180"/>
      <c r="X3820" s="181"/>
      <c r="Y3820" s="182"/>
      <c r="Z3820" s="182"/>
      <c r="AA3820" s="182"/>
      <c r="AB3820" s="182"/>
      <c r="AC3820" s="183"/>
      <c r="AD3820" s="183"/>
      <c r="AE3820" s="183"/>
      <c r="AF3820" s="184"/>
      <c r="AG3820" s="180"/>
      <c r="AH3820" s="185"/>
      <c r="AI3820" s="182"/>
      <c r="AJ3820" s="182"/>
      <c r="AK3820" s="182"/>
      <c r="AL3820" s="182"/>
    </row>
    <row r="3821" ht="20.25" customHeight="1">
      <c r="A3821" s="169"/>
      <c r="B3821" s="170"/>
      <c r="C3821" s="170"/>
      <c r="D3821" s="170"/>
      <c r="E3821" s="171"/>
      <c r="F3821" s="172"/>
      <c r="G3821" s="173"/>
      <c r="H3821" s="174"/>
      <c r="I3821" s="175"/>
      <c r="J3821" s="172"/>
      <c r="K3821" s="176"/>
      <c r="L3821" s="176"/>
      <c r="M3821" s="176"/>
      <c r="N3821" s="177"/>
      <c r="O3821" s="177"/>
      <c r="P3821" s="178"/>
      <c r="Q3821" s="177"/>
      <c r="R3821" s="170"/>
      <c r="S3821" s="170"/>
      <c r="T3821" s="179"/>
      <c r="U3821" s="179"/>
      <c r="V3821" s="179"/>
      <c r="W3821" s="180"/>
      <c r="X3821" s="181"/>
      <c r="Y3821" s="182"/>
      <c r="Z3821" s="182"/>
      <c r="AA3821" s="182"/>
      <c r="AB3821" s="182"/>
      <c r="AC3821" s="183"/>
      <c r="AD3821" s="183"/>
      <c r="AE3821" s="183"/>
      <c r="AF3821" s="184"/>
      <c r="AG3821" s="180"/>
      <c r="AH3821" s="185"/>
      <c r="AI3821" s="182"/>
      <c r="AJ3821" s="182"/>
      <c r="AK3821" s="182"/>
      <c r="AL3821" s="182"/>
    </row>
    <row r="3822" ht="20.25" customHeight="1">
      <c r="A3822" s="169"/>
      <c r="B3822" s="170"/>
      <c r="C3822" s="170"/>
      <c r="D3822" s="170"/>
      <c r="E3822" s="171"/>
      <c r="F3822" s="172"/>
      <c r="G3822" s="173"/>
      <c r="H3822" s="174"/>
      <c r="I3822" s="175"/>
      <c r="J3822" s="172"/>
      <c r="K3822" s="176"/>
      <c r="L3822" s="176"/>
      <c r="M3822" s="176"/>
      <c r="N3822" s="177"/>
      <c r="O3822" s="177"/>
      <c r="P3822" s="178"/>
      <c r="Q3822" s="177"/>
      <c r="R3822" s="170"/>
      <c r="S3822" s="170"/>
      <c r="T3822" s="179"/>
      <c r="U3822" s="179"/>
      <c r="V3822" s="179"/>
      <c r="W3822" s="180"/>
      <c r="X3822" s="181"/>
      <c r="Y3822" s="182"/>
      <c r="Z3822" s="182"/>
      <c r="AA3822" s="182"/>
      <c r="AB3822" s="182"/>
      <c r="AC3822" s="183"/>
      <c r="AD3822" s="183"/>
      <c r="AE3822" s="183"/>
      <c r="AF3822" s="184"/>
      <c r="AG3822" s="180"/>
      <c r="AH3822" s="185"/>
      <c r="AI3822" s="182"/>
      <c r="AJ3822" s="182"/>
      <c r="AK3822" s="182"/>
      <c r="AL3822" s="182"/>
    </row>
    <row r="3823" ht="20.25" customHeight="1">
      <c r="A3823" s="169"/>
      <c r="B3823" s="170"/>
      <c r="C3823" s="170"/>
      <c r="D3823" s="170"/>
      <c r="E3823" s="171"/>
      <c r="F3823" s="172"/>
      <c r="G3823" s="173"/>
      <c r="H3823" s="174"/>
      <c r="I3823" s="175"/>
      <c r="J3823" s="172"/>
      <c r="K3823" s="176"/>
      <c r="L3823" s="176"/>
      <c r="M3823" s="176"/>
      <c r="N3823" s="177"/>
      <c r="O3823" s="177"/>
      <c r="P3823" s="178"/>
      <c r="Q3823" s="177"/>
      <c r="R3823" s="170"/>
      <c r="S3823" s="170"/>
      <c r="T3823" s="179"/>
      <c r="U3823" s="179"/>
      <c r="V3823" s="179"/>
      <c r="W3823" s="180"/>
      <c r="X3823" s="181"/>
      <c r="Y3823" s="182"/>
      <c r="Z3823" s="182"/>
      <c r="AA3823" s="182"/>
      <c r="AB3823" s="182"/>
      <c r="AC3823" s="183"/>
      <c r="AD3823" s="183"/>
      <c r="AE3823" s="183"/>
      <c r="AF3823" s="184"/>
      <c r="AG3823" s="180"/>
      <c r="AH3823" s="185"/>
      <c r="AI3823" s="182"/>
      <c r="AJ3823" s="182"/>
      <c r="AK3823" s="182"/>
      <c r="AL3823" s="182"/>
    </row>
    <row r="3824" ht="20.25" customHeight="1">
      <c r="A3824" s="169"/>
      <c r="B3824" s="170"/>
      <c r="C3824" s="170"/>
      <c r="D3824" s="170"/>
      <c r="E3824" s="171"/>
      <c r="F3824" s="172"/>
      <c r="G3824" s="173"/>
      <c r="H3824" s="174"/>
      <c r="I3824" s="175"/>
      <c r="J3824" s="172"/>
      <c r="K3824" s="176"/>
      <c r="L3824" s="176"/>
      <c r="M3824" s="176"/>
      <c r="N3824" s="177"/>
      <c r="O3824" s="177"/>
      <c r="P3824" s="178"/>
      <c r="Q3824" s="177"/>
      <c r="R3824" s="170"/>
      <c r="S3824" s="170"/>
      <c r="T3824" s="179"/>
      <c r="U3824" s="179"/>
      <c r="V3824" s="179"/>
      <c r="W3824" s="180"/>
      <c r="X3824" s="181"/>
      <c r="Y3824" s="182"/>
      <c r="Z3824" s="182"/>
      <c r="AA3824" s="182"/>
      <c r="AB3824" s="182"/>
      <c r="AC3824" s="183"/>
      <c r="AD3824" s="183"/>
      <c r="AE3824" s="183"/>
      <c r="AF3824" s="184"/>
      <c r="AG3824" s="180"/>
      <c r="AH3824" s="185"/>
      <c r="AI3824" s="182"/>
      <c r="AJ3824" s="182"/>
      <c r="AK3824" s="182"/>
      <c r="AL3824" s="182"/>
    </row>
    <row r="3825" ht="20.25" customHeight="1">
      <c r="A3825" s="169"/>
      <c r="B3825" s="170"/>
      <c r="C3825" s="170"/>
      <c r="D3825" s="170"/>
      <c r="E3825" s="171"/>
      <c r="F3825" s="172"/>
      <c r="G3825" s="173"/>
      <c r="H3825" s="174"/>
      <c r="I3825" s="175"/>
      <c r="J3825" s="172"/>
      <c r="K3825" s="176"/>
      <c r="L3825" s="176"/>
      <c r="M3825" s="176"/>
      <c r="N3825" s="177"/>
      <c r="O3825" s="177"/>
      <c r="P3825" s="178"/>
      <c r="Q3825" s="177"/>
      <c r="R3825" s="170"/>
      <c r="S3825" s="170"/>
      <c r="T3825" s="179"/>
      <c r="U3825" s="179"/>
      <c r="V3825" s="179"/>
      <c r="W3825" s="180"/>
      <c r="X3825" s="181"/>
      <c r="Y3825" s="182"/>
      <c r="Z3825" s="182"/>
      <c r="AA3825" s="182"/>
      <c r="AB3825" s="182"/>
      <c r="AC3825" s="183"/>
      <c r="AD3825" s="183"/>
      <c r="AE3825" s="183"/>
      <c r="AF3825" s="184"/>
      <c r="AG3825" s="180"/>
      <c r="AH3825" s="185"/>
      <c r="AI3825" s="182"/>
      <c r="AJ3825" s="182"/>
      <c r="AK3825" s="182"/>
      <c r="AL3825" s="182"/>
    </row>
    <row r="3826" ht="20.25" customHeight="1">
      <c r="A3826" s="169"/>
      <c r="B3826" s="170"/>
      <c r="C3826" s="170"/>
      <c r="D3826" s="170"/>
      <c r="E3826" s="171"/>
      <c r="F3826" s="172"/>
      <c r="G3826" s="173"/>
      <c r="H3826" s="174"/>
      <c r="I3826" s="175"/>
      <c r="J3826" s="172"/>
      <c r="K3826" s="176"/>
      <c r="L3826" s="176"/>
      <c r="M3826" s="176"/>
      <c r="N3826" s="177"/>
      <c r="O3826" s="177"/>
      <c r="P3826" s="178"/>
      <c r="Q3826" s="177"/>
      <c r="R3826" s="170"/>
      <c r="S3826" s="170"/>
      <c r="T3826" s="179"/>
      <c r="U3826" s="179"/>
      <c r="V3826" s="179"/>
      <c r="W3826" s="180"/>
      <c r="X3826" s="181"/>
      <c r="Y3826" s="182"/>
      <c r="Z3826" s="182"/>
      <c r="AA3826" s="182"/>
      <c r="AB3826" s="182"/>
      <c r="AC3826" s="183"/>
      <c r="AD3826" s="183"/>
      <c r="AE3826" s="183"/>
      <c r="AF3826" s="184"/>
      <c r="AG3826" s="180"/>
      <c r="AH3826" s="185"/>
      <c r="AI3826" s="182"/>
      <c r="AJ3826" s="182"/>
      <c r="AK3826" s="182"/>
      <c r="AL3826" s="182"/>
    </row>
    <row r="3827" ht="20.25" customHeight="1">
      <c r="A3827" s="169"/>
      <c r="B3827" s="170"/>
      <c r="C3827" s="170"/>
      <c r="D3827" s="170"/>
      <c r="E3827" s="171"/>
      <c r="F3827" s="172"/>
      <c r="G3827" s="173"/>
      <c r="H3827" s="174"/>
      <c r="I3827" s="175"/>
      <c r="J3827" s="172"/>
      <c r="K3827" s="176"/>
      <c r="L3827" s="176"/>
      <c r="M3827" s="176"/>
      <c r="N3827" s="177"/>
      <c r="O3827" s="177"/>
      <c r="P3827" s="178"/>
      <c r="Q3827" s="177"/>
      <c r="R3827" s="170"/>
      <c r="S3827" s="170"/>
      <c r="T3827" s="179"/>
      <c r="U3827" s="179"/>
      <c r="V3827" s="179"/>
      <c r="W3827" s="180"/>
      <c r="X3827" s="181"/>
      <c r="Y3827" s="182"/>
      <c r="Z3827" s="182"/>
      <c r="AA3827" s="182"/>
      <c r="AB3827" s="182"/>
      <c r="AC3827" s="183"/>
      <c r="AD3827" s="183"/>
      <c r="AE3827" s="183"/>
      <c r="AF3827" s="184"/>
      <c r="AG3827" s="180"/>
      <c r="AH3827" s="185"/>
      <c r="AI3827" s="182"/>
      <c r="AJ3827" s="182"/>
      <c r="AK3827" s="182"/>
      <c r="AL3827" s="182"/>
    </row>
    <row r="3828" ht="20.25" customHeight="1">
      <c r="A3828" s="169"/>
      <c r="B3828" s="170"/>
      <c r="C3828" s="170"/>
      <c r="D3828" s="170"/>
      <c r="E3828" s="171"/>
      <c r="F3828" s="172"/>
      <c r="G3828" s="173"/>
      <c r="H3828" s="174"/>
      <c r="I3828" s="175"/>
      <c r="J3828" s="172"/>
      <c r="K3828" s="176"/>
      <c r="L3828" s="176"/>
      <c r="M3828" s="176"/>
      <c r="N3828" s="177"/>
      <c r="O3828" s="177"/>
      <c r="P3828" s="178"/>
      <c r="Q3828" s="177"/>
      <c r="R3828" s="170"/>
      <c r="S3828" s="170"/>
      <c r="T3828" s="179"/>
      <c r="U3828" s="179"/>
      <c r="V3828" s="179"/>
      <c r="W3828" s="180"/>
      <c r="X3828" s="181"/>
      <c r="Y3828" s="182"/>
      <c r="Z3828" s="182"/>
      <c r="AA3828" s="182"/>
      <c r="AB3828" s="182"/>
      <c r="AC3828" s="183"/>
      <c r="AD3828" s="183"/>
      <c r="AE3828" s="183"/>
      <c r="AF3828" s="184"/>
      <c r="AG3828" s="180"/>
      <c r="AH3828" s="185"/>
      <c r="AI3828" s="182"/>
      <c r="AJ3828" s="182"/>
      <c r="AK3828" s="182"/>
      <c r="AL3828" s="182"/>
    </row>
    <row r="3829" ht="20.25" customHeight="1">
      <c r="A3829" s="169"/>
      <c r="B3829" s="170"/>
      <c r="C3829" s="170"/>
      <c r="D3829" s="170"/>
      <c r="E3829" s="171"/>
      <c r="F3829" s="172"/>
      <c r="G3829" s="173"/>
      <c r="H3829" s="174"/>
      <c r="I3829" s="175"/>
      <c r="J3829" s="172"/>
      <c r="K3829" s="176"/>
      <c r="L3829" s="176"/>
      <c r="M3829" s="176"/>
      <c r="N3829" s="177"/>
      <c r="O3829" s="177"/>
      <c r="P3829" s="178"/>
      <c r="Q3829" s="177"/>
      <c r="R3829" s="170"/>
      <c r="S3829" s="170"/>
      <c r="T3829" s="179"/>
      <c r="U3829" s="179"/>
      <c r="V3829" s="179"/>
      <c r="W3829" s="180"/>
      <c r="X3829" s="181"/>
      <c r="Y3829" s="182"/>
      <c r="Z3829" s="182"/>
      <c r="AA3829" s="182"/>
      <c r="AB3829" s="182"/>
      <c r="AC3829" s="183"/>
      <c r="AD3829" s="183"/>
      <c r="AE3829" s="183"/>
      <c r="AF3829" s="184"/>
      <c r="AG3829" s="180"/>
      <c r="AH3829" s="185"/>
      <c r="AI3829" s="182"/>
      <c r="AJ3829" s="182"/>
      <c r="AK3829" s="182"/>
      <c r="AL3829" s="182"/>
    </row>
    <row r="3830" ht="20.25" customHeight="1">
      <c r="A3830" s="169"/>
      <c r="B3830" s="170"/>
      <c r="C3830" s="170"/>
      <c r="D3830" s="170"/>
      <c r="E3830" s="171"/>
      <c r="F3830" s="172"/>
      <c r="G3830" s="173"/>
      <c r="H3830" s="174"/>
      <c r="I3830" s="175"/>
      <c r="J3830" s="172"/>
      <c r="K3830" s="176"/>
      <c r="L3830" s="176"/>
      <c r="M3830" s="176"/>
      <c r="N3830" s="177"/>
      <c r="O3830" s="177"/>
      <c r="P3830" s="178"/>
      <c r="Q3830" s="177"/>
      <c r="R3830" s="170"/>
      <c r="S3830" s="170"/>
      <c r="T3830" s="179"/>
      <c r="U3830" s="179"/>
      <c r="V3830" s="179"/>
      <c r="W3830" s="180"/>
      <c r="X3830" s="181"/>
      <c r="Y3830" s="182"/>
      <c r="Z3830" s="182"/>
      <c r="AA3830" s="182"/>
      <c r="AB3830" s="182"/>
      <c r="AC3830" s="183"/>
      <c r="AD3830" s="183"/>
      <c r="AE3830" s="183"/>
      <c r="AF3830" s="184"/>
      <c r="AG3830" s="180"/>
      <c r="AH3830" s="185"/>
      <c r="AI3830" s="182"/>
      <c r="AJ3830" s="182"/>
      <c r="AK3830" s="182"/>
      <c r="AL3830" s="182"/>
    </row>
    <row r="3831" ht="20.25" customHeight="1">
      <c r="A3831" s="169"/>
      <c r="B3831" s="170"/>
      <c r="C3831" s="170"/>
      <c r="D3831" s="170"/>
      <c r="E3831" s="171"/>
      <c r="F3831" s="172"/>
      <c r="G3831" s="173"/>
      <c r="H3831" s="174"/>
      <c r="I3831" s="175"/>
      <c r="J3831" s="172"/>
      <c r="K3831" s="176"/>
      <c r="L3831" s="176"/>
      <c r="M3831" s="176"/>
      <c r="N3831" s="177"/>
      <c r="O3831" s="177"/>
      <c r="P3831" s="178"/>
      <c r="Q3831" s="177"/>
      <c r="R3831" s="170"/>
      <c r="S3831" s="170"/>
      <c r="T3831" s="179"/>
      <c r="U3831" s="179"/>
      <c r="V3831" s="179"/>
      <c r="W3831" s="180"/>
      <c r="X3831" s="181"/>
      <c r="Y3831" s="182"/>
      <c r="Z3831" s="182"/>
      <c r="AA3831" s="182"/>
      <c r="AB3831" s="182"/>
      <c r="AC3831" s="183"/>
      <c r="AD3831" s="183"/>
      <c r="AE3831" s="183"/>
      <c r="AF3831" s="184"/>
      <c r="AG3831" s="180"/>
      <c r="AH3831" s="185"/>
      <c r="AI3831" s="182"/>
      <c r="AJ3831" s="182"/>
      <c r="AK3831" s="182"/>
      <c r="AL3831" s="182"/>
    </row>
    <row r="3832" ht="20.25" customHeight="1">
      <c r="A3832" s="169"/>
      <c r="B3832" s="170"/>
      <c r="C3832" s="170"/>
      <c r="D3832" s="170"/>
      <c r="E3832" s="171"/>
      <c r="F3832" s="172"/>
      <c r="G3832" s="173"/>
      <c r="H3832" s="174"/>
      <c r="I3832" s="175"/>
      <c r="J3832" s="172"/>
      <c r="K3832" s="176"/>
      <c r="L3832" s="176"/>
      <c r="M3832" s="176"/>
      <c r="N3832" s="177"/>
      <c r="O3832" s="177"/>
      <c r="P3832" s="178"/>
      <c r="Q3832" s="177"/>
      <c r="R3832" s="170"/>
      <c r="S3832" s="170"/>
      <c r="T3832" s="179"/>
      <c r="U3832" s="179"/>
      <c r="V3832" s="179"/>
      <c r="W3832" s="180"/>
      <c r="X3832" s="181"/>
      <c r="Y3832" s="182"/>
      <c r="Z3832" s="182"/>
      <c r="AA3832" s="182"/>
      <c r="AB3832" s="182"/>
      <c r="AC3832" s="183"/>
      <c r="AD3832" s="183"/>
      <c r="AE3832" s="183"/>
      <c r="AF3832" s="184"/>
      <c r="AG3832" s="180"/>
      <c r="AH3832" s="185"/>
      <c r="AI3832" s="182"/>
      <c r="AJ3832" s="182"/>
      <c r="AK3832" s="182"/>
      <c r="AL3832" s="182"/>
    </row>
    <row r="3833" ht="20.25" customHeight="1">
      <c r="A3833" s="169"/>
      <c r="B3833" s="170"/>
      <c r="C3833" s="170"/>
      <c r="D3833" s="170"/>
      <c r="E3833" s="171"/>
      <c r="F3833" s="172"/>
      <c r="G3833" s="173"/>
      <c r="H3833" s="174"/>
      <c r="I3833" s="175"/>
      <c r="J3833" s="172"/>
      <c r="K3833" s="176"/>
      <c r="L3833" s="176"/>
      <c r="M3833" s="176"/>
      <c r="N3833" s="177"/>
      <c r="O3833" s="177"/>
      <c r="P3833" s="178"/>
      <c r="Q3833" s="177"/>
      <c r="R3833" s="170"/>
      <c r="S3833" s="170"/>
      <c r="T3833" s="179"/>
      <c r="U3833" s="179"/>
      <c r="V3833" s="179"/>
      <c r="W3833" s="180"/>
      <c r="X3833" s="181"/>
      <c r="Y3833" s="182"/>
      <c r="Z3833" s="182"/>
      <c r="AA3833" s="182"/>
      <c r="AB3833" s="182"/>
      <c r="AC3833" s="183"/>
      <c r="AD3833" s="183"/>
      <c r="AE3833" s="183"/>
      <c r="AF3833" s="184"/>
      <c r="AG3833" s="180"/>
      <c r="AH3833" s="185"/>
      <c r="AI3833" s="182"/>
      <c r="AJ3833" s="182"/>
      <c r="AK3833" s="182"/>
      <c r="AL3833" s="182"/>
    </row>
    <row r="3834" ht="20.25" customHeight="1">
      <c r="A3834" s="169"/>
      <c r="B3834" s="170"/>
      <c r="C3834" s="170"/>
      <c r="D3834" s="170"/>
      <c r="E3834" s="171"/>
      <c r="F3834" s="172"/>
      <c r="G3834" s="173"/>
      <c r="H3834" s="174"/>
      <c r="I3834" s="175"/>
      <c r="J3834" s="172"/>
      <c r="K3834" s="176"/>
      <c r="L3834" s="176"/>
      <c r="M3834" s="176"/>
      <c r="N3834" s="177"/>
      <c r="O3834" s="177"/>
      <c r="P3834" s="178"/>
      <c r="Q3834" s="177"/>
      <c r="R3834" s="170"/>
      <c r="S3834" s="170"/>
      <c r="T3834" s="179"/>
      <c r="U3834" s="179"/>
      <c r="V3834" s="179"/>
      <c r="W3834" s="180"/>
      <c r="X3834" s="181"/>
      <c r="Y3834" s="182"/>
      <c r="Z3834" s="182"/>
      <c r="AA3834" s="182"/>
      <c r="AB3834" s="182"/>
      <c r="AC3834" s="183"/>
      <c r="AD3834" s="183"/>
      <c r="AE3834" s="183"/>
      <c r="AF3834" s="184"/>
      <c r="AG3834" s="180"/>
      <c r="AH3834" s="185"/>
      <c r="AI3834" s="182"/>
      <c r="AJ3834" s="182"/>
      <c r="AK3834" s="182"/>
      <c r="AL3834" s="182"/>
    </row>
    <row r="3835" ht="20.25" customHeight="1">
      <c r="A3835" s="169"/>
      <c r="B3835" s="170"/>
      <c r="C3835" s="170"/>
      <c r="D3835" s="170"/>
      <c r="E3835" s="171"/>
      <c r="F3835" s="172"/>
      <c r="G3835" s="173"/>
      <c r="H3835" s="174"/>
      <c r="I3835" s="175"/>
      <c r="J3835" s="172"/>
      <c r="K3835" s="176"/>
      <c r="L3835" s="176"/>
      <c r="M3835" s="176"/>
      <c r="N3835" s="177"/>
      <c r="O3835" s="177"/>
      <c r="P3835" s="178"/>
      <c r="Q3835" s="177"/>
      <c r="R3835" s="170"/>
      <c r="S3835" s="170"/>
      <c r="T3835" s="179"/>
      <c r="U3835" s="179"/>
      <c r="V3835" s="179"/>
      <c r="W3835" s="180"/>
      <c r="X3835" s="181"/>
      <c r="Y3835" s="182"/>
      <c r="Z3835" s="182"/>
      <c r="AA3835" s="182"/>
      <c r="AB3835" s="182"/>
      <c r="AC3835" s="183"/>
      <c r="AD3835" s="183"/>
      <c r="AE3835" s="183"/>
      <c r="AF3835" s="184"/>
      <c r="AG3835" s="180"/>
      <c r="AH3835" s="185"/>
      <c r="AI3835" s="182"/>
      <c r="AJ3835" s="182"/>
      <c r="AK3835" s="182"/>
      <c r="AL3835" s="182"/>
    </row>
    <row r="3836" ht="20.25" customHeight="1">
      <c r="A3836" s="169"/>
      <c r="B3836" s="170"/>
      <c r="C3836" s="170"/>
      <c r="D3836" s="170"/>
      <c r="E3836" s="171"/>
      <c r="F3836" s="172"/>
      <c r="G3836" s="173"/>
      <c r="H3836" s="174"/>
      <c r="I3836" s="175"/>
      <c r="J3836" s="172"/>
      <c r="K3836" s="176"/>
      <c r="L3836" s="176"/>
      <c r="M3836" s="176"/>
      <c r="N3836" s="177"/>
      <c r="O3836" s="177"/>
      <c r="P3836" s="178"/>
      <c r="Q3836" s="177"/>
      <c r="R3836" s="170"/>
      <c r="S3836" s="170"/>
      <c r="T3836" s="179"/>
      <c r="U3836" s="179"/>
      <c r="V3836" s="179"/>
      <c r="W3836" s="180"/>
      <c r="X3836" s="181"/>
      <c r="Y3836" s="182"/>
      <c r="Z3836" s="182"/>
      <c r="AA3836" s="182"/>
      <c r="AB3836" s="182"/>
      <c r="AC3836" s="183"/>
      <c r="AD3836" s="183"/>
      <c r="AE3836" s="183"/>
      <c r="AF3836" s="184"/>
      <c r="AG3836" s="180"/>
      <c r="AH3836" s="185"/>
      <c r="AI3836" s="182"/>
      <c r="AJ3836" s="182"/>
      <c r="AK3836" s="182"/>
      <c r="AL3836" s="182"/>
    </row>
    <row r="3837" ht="20.25" customHeight="1">
      <c r="A3837" s="169"/>
      <c r="B3837" s="170"/>
      <c r="C3837" s="170"/>
      <c r="D3837" s="170"/>
      <c r="E3837" s="171"/>
      <c r="F3837" s="172"/>
      <c r="G3837" s="173"/>
      <c r="H3837" s="174"/>
      <c r="I3837" s="175"/>
      <c r="J3837" s="172"/>
      <c r="K3837" s="176"/>
      <c r="L3837" s="176"/>
      <c r="M3837" s="176"/>
      <c r="N3837" s="177"/>
      <c r="O3837" s="177"/>
      <c r="P3837" s="178"/>
      <c r="Q3837" s="177"/>
      <c r="R3837" s="170"/>
      <c r="S3837" s="170"/>
      <c r="T3837" s="179"/>
      <c r="U3837" s="179"/>
      <c r="V3837" s="179"/>
      <c r="W3837" s="180"/>
      <c r="X3837" s="181"/>
      <c r="Y3837" s="182"/>
      <c r="Z3837" s="182"/>
      <c r="AA3837" s="182"/>
      <c r="AB3837" s="182"/>
      <c r="AC3837" s="183"/>
      <c r="AD3837" s="183"/>
      <c r="AE3837" s="183"/>
      <c r="AF3837" s="184"/>
      <c r="AG3837" s="180"/>
      <c r="AH3837" s="185"/>
      <c r="AI3837" s="182"/>
      <c r="AJ3837" s="182"/>
      <c r="AK3837" s="182"/>
      <c r="AL3837" s="182"/>
    </row>
    <row r="3838" ht="20.25" customHeight="1">
      <c r="A3838" s="169"/>
      <c r="B3838" s="170"/>
      <c r="C3838" s="170"/>
      <c r="D3838" s="170"/>
      <c r="E3838" s="171"/>
      <c r="F3838" s="172"/>
      <c r="G3838" s="173"/>
      <c r="H3838" s="174"/>
      <c r="I3838" s="175"/>
      <c r="J3838" s="172"/>
      <c r="K3838" s="176"/>
      <c r="L3838" s="176"/>
      <c r="M3838" s="176"/>
      <c r="N3838" s="177"/>
      <c r="O3838" s="177"/>
      <c r="P3838" s="178"/>
      <c r="Q3838" s="177"/>
      <c r="R3838" s="170"/>
      <c r="S3838" s="170"/>
      <c r="T3838" s="179"/>
      <c r="U3838" s="179"/>
      <c r="V3838" s="179"/>
      <c r="W3838" s="180"/>
      <c r="X3838" s="181"/>
      <c r="Y3838" s="182"/>
      <c r="Z3838" s="182"/>
      <c r="AA3838" s="182"/>
      <c r="AB3838" s="182"/>
      <c r="AC3838" s="183"/>
      <c r="AD3838" s="183"/>
      <c r="AE3838" s="183"/>
      <c r="AF3838" s="184"/>
      <c r="AG3838" s="180"/>
      <c r="AH3838" s="185"/>
      <c r="AI3838" s="182"/>
      <c r="AJ3838" s="182"/>
      <c r="AK3838" s="182"/>
      <c r="AL3838" s="182"/>
    </row>
    <row r="3839" ht="20.25" customHeight="1">
      <c r="A3839" s="169"/>
      <c r="B3839" s="170"/>
      <c r="C3839" s="170"/>
      <c r="D3839" s="170"/>
      <c r="E3839" s="171"/>
      <c r="F3839" s="172"/>
      <c r="G3839" s="173"/>
      <c r="H3839" s="174"/>
      <c r="I3839" s="175"/>
      <c r="J3839" s="172"/>
      <c r="K3839" s="176"/>
      <c r="L3839" s="176"/>
      <c r="M3839" s="176"/>
      <c r="N3839" s="177"/>
      <c r="O3839" s="177"/>
      <c r="P3839" s="178"/>
      <c r="Q3839" s="177"/>
      <c r="R3839" s="170"/>
      <c r="S3839" s="170"/>
      <c r="T3839" s="179"/>
      <c r="U3839" s="179"/>
      <c r="V3839" s="179"/>
      <c r="W3839" s="180"/>
      <c r="X3839" s="181"/>
      <c r="Y3839" s="182"/>
      <c r="Z3839" s="182"/>
      <c r="AA3839" s="182"/>
      <c r="AB3839" s="182"/>
      <c r="AC3839" s="183"/>
      <c r="AD3839" s="183"/>
      <c r="AE3839" s="183"/>
      <c r="AF3839" s="184"/>
      <c r="AG3839" s="180"/>
      <c r="AH3839" s="185"/>
      <c r="AI3839" s="182"/>
      <c r="AJ3839" s="182"/>
      <c r="AK3839" s="182"/>
      <c r="AL3839" s="182"/>
    </row>
    <row r="3840" ht="20.25" customHeight="1">
      <c r="A3840" s="169"/>
      <c r="B3840" s="170"/>
      <c r="C3840" s="170"/>
      <c r="D3840" s="170"/>
      <c r="E3840" s="171"/>
      <c r="F3840" s="172"/>
      <c r="G3840" s="173"/>
      <c r="H3840" s="174"/>
      <c r="I3840" s="175"/>
      <c r="J3840" s="172"/>
      <c r="K3840" s="176"/>
      <c r="L3840" s="176"/>
      <c r="M3840" s="176"/>
      <c r="N3840" s="177"/>
      <c r="O3840" s="177"/>
      <c r="P3840" s="178"/>
      <c r="Q3840" s="177"/>
      <c r="R3840" s="170"/>
      <c r="S3840" s="170"/>
      <c r="T3840" s="179"/>
      <c r="U3840" s="179"/>
      <c r="V3840" s="179"/>
      <c r="W3840" s="180"/>
      <c r="X3840" s="181"/>
      <c r="Y3840" s="182"/>
      <c r="Z3840" s="182"/>
      <c r="AA3840" s="182"/>
      <c r="AB3840" s="182"/>
      <c r="AC3840" s="183"/>
      <c r="AD3840" s="183"/>
      <c r="AE3840" s="183"/>
      <c r="AF3840" s="184"/>
      <c r="AG3840" s="180"/>
      <c r="AH3840" s="185"/>
      <c r="AI3840" s="182"/>
      <c r="AJ3840" s="182"/>
      <c r="AK3840" s="182"/>
      <c r="AL3840" s="182"/>
    </row>
    <row r="3841" ht="20.25" customHeight="1">
      <c r="A3841" s="169"/>
      <c r="B3841" s="170"/>
      <c r="C3841" s="170"/>
      <c r="D3841" s="170"/>
      <c r="E3841" s="171"/>
      <c r="F3841" s="172"/>
      <c r="G3841" s="173"/>
      <c r="H3841" s="174"/>
      <c r="I3841" s="175"/>
      <c r="J3841" s="172"/>
      <c r="K3841" s="176"/>
      <c r="L3841" s="176"/>
      <c r="M3841" s="176"/>
      <c r="N3841" s="177"/>
      <c r="O3841" s="177"/>
      <c r="P3841" s="178"/>
      <c r="Q3841" s="177"/>
      <c r="R3841" s="170"/>
      <c r="S3841" s="170"/>
      <c r="T3841" s="179"/>
      <c r="U3841" s="179"/>
      <c r="V3841" s="179"/>
      <c r="W3841" s="180"/>
      <c r="X3841" s="181"/>
      <c r="Y3841" s="182"/>
      <c r="Z3841" s="182"/>
      <c r="AA3841" s="182"/>
      <c r="AB3841" s="182"/>
      <c r="AC3841" s="183"/>
      <c r="AD3841" s="183"/>
      <c r="AE3841" s="183"/>
      <c r="AF3841" s="184"/>
      <c r="AG3841" s="180"/>
      <c r="AH3841" s="185"/>
      <c r="AI3841" s="182"/>
      <c r="AJ3841" s="182"/>
      <c r="AK3841" s="182"/>
      <c r="AL3841" s="182"/>
    </row>
    <row r="3842" ht="20.25" customHeight="1">
      <c r="A3842" s="169"/>
      <c r="B3842" s="170"/>
      <c r="C3842" s="170"/>
      <c r="D3842" s="170"/>
      <c r="E3842" s="171"/>
      <c r="F3842" s="172"/>
      <c r="G3842" s="173"/>
      <c r="H3842" s="174"/>
      <c r="I3842" s="175"/>
      <c r="J3842" s="172"/>
      <c r="K3842" s="176"/>
      <c r="L3842" s="176"/>
      <c r="M3842" s="176"/>
      <c r="N3842" s="177"/>
      <c r="O3842" s="177"/>
      <c r="P3842" s="178"/>
      <c r="Q3842" s="177"/>
      <c r="R3842" s="170"/>
      <c r="S3842" s="170"/>
      <c r="T3842" s="179"/>
      <c r="U3842" s="179"/>
      <c r="V3842" s="179"/>
      <c r="W3842" s="180"/>
      <c r="X3842" s="181"/>
      <c r="Y3842" s="182"/>
      <c r="Z3842" s="182"/>
      <c r="AA3842" s="182"/>
      <c r="AB3842" s="182"/>
      <c r="AC3842" s="183"/>
      <c r="AD3842" s="183"/>
      <c r="AE3842" s="183"/>
      <c r="AF3842" s="184"/>
      <c r="AG3842" s="180"/>
      <c r="AH3842" s="185"/>
      <c r="AI3842" s="182"/>
      <c r="AJ3842" s="182"/>
      <c r="AK3842" s="182"/>
      <c r="AL3842" s="182"/>
    </row>
    <row r="3843" ht="20.25" customHeight="1">
      <c r="A3843" s="169"/>
      <c r="B3843" s="170"/>
      <c r="C3843" s="170"/>
      <c r="D3843" s="170"/>
      <c r="E3843" s="171"/>
      <c r="F3843" s="172"/>
      <c r="G3843" s="173"/>
      <c r="H3843" s="174"/>
      <c r="I3843" s="175"/>
      <c r="J3843" s="172"/>
      <c r="K3843" s="176"/>
      <c r="L3843" s="176"/>
      <c r="M3843" s="176"/>
      <c r="N3843" s="177"/>
      <c r="O3843" s="177"/>
      <c r="P3843" s="178"/>
      <c r="Q3843" s="177"/>
      <c r="R3843" s="170"/>
      <c r="S3843" s="170"/>
      <c r="T3843" s="179"/>
      <c r="U3843" s="179"/>
      <c r="V3843" s="179"/>
      <c r="W3843" s="180"/>
      <c r="X3843" s="181"/>
      <c r="Y3843" s="182"/>
      <c r="Z3843" s="182"/>
      <c r="AA3843" s="182"/>
      <c r="AB3843" s="182"/>
      <c r="AC3843" s="183"/>
      <c r="AD3843" s="183"/>
      <c r="AE3843" s="183"/>
      <c r="AF3843" s="184"/>
      <c r="AG3843" s="180"/>
      <c r="AH3843" s="185"/>
      <c r="AI3843" s="182"/>
      <c r="AJ3843" s="182"/>
      <c r="AK3843" s="182"/>
      <c r="AL3843" s="182"/>
    </row>
    <row r="3844" ht="20.25" customHeight="1">
      <c r="A3844" s="169"/>
      <c r="B3844" s="170"/>
      <c r="C3844" s="170"/>
      <c r="D3844" s="170"/>
      <c r="E3844" s="171"/>
      <c r="F3844" s="172"/>
      <c r="G3844" s="173"/>
      <c r="H3844" s="174"/>
      <c r="I3844" s="175"/>
      <c r="J3844" s="172"/>
      <c r="K3844" s="176"/>
      <c r="L3844" s="176"/>
      <c r="M3844" s="176"/>
      <c r="N3844" s="177"/>
      <c r="O3844" s="177"/>
      <c r="P3844" s="178"/>
      <c r="Q3844" s="177"/>
      <c r="R3844" s="170"/>
      <c r="S3844" s="170"/>
      <c r="T3844" s="179"/>
      <c r="U3844" s="179"/>
      <c r="V3844" s="179"/>
      <c r="W3844" s="180"/>
      <c r="X3844" s="181"/>
      <c r="Y3844" s="182"/>
      <c r="Z3844" s="182"/>
      <c r="AA3844" s="182"/>
      <c r="AB3844" s="182"/>
      <c r="AC3844" s="183"/>
      <c r="AD3844" s="183"/>
      <c r="AE3844" s="183"/>
      <c r="AF3844" s="184"/>
      <c r="AG3844" s="180"/>
      <c r="AH3844" s="185"/>
      <c r="AI3844" s="182"/>
      <c r="AJ3844" s="182"/>
      <c r="AK3844" s="182"/>
      <c r="AL3844" s="182"/>
    </row>
    <row r="3845" ht="20.25" customHeight="1">
      <c r="A3845" s="169"/>
      <c r="B3845" s="170"/>
      <c r="C3845" s="170"/>
      <c r="D3845" s="170"/>
      <c r="E3845" s="171"/>
      <c r="F3845" s="172"/>
      <c r="G3845" s="173"/>
      <c r="H3845" s="174"/>
      <c r="I3845" s="175"/>
      <c r="J3845" s="172"/>
      <c r="K3845" s="176"/>
      <c r="L3845" s="176"/>
      <c r="M3845" s="176"/>
      <c r="N3845" s="177"/>
      <c r="O3845" s="177"/>
      <c r="P3845" s="178"/>
      <c r="Q3845" s="177"/>
      <c r="R3845" s="170"/>
      <c r="S3845" s="170"/>
      <c r="T3845" s="179"/>
      <c r="U3845" s="179"/>
      <c r="V3845" s="179"/>
      <c r="W3845" s="180"/>
      <c r="X3845" s="181"/>
      <c r="Y3845" s="182"/>
      <c r="Z3845" s="182"/>
      <c r="AA3845" s="182"/>
      <c r="AB3845" s="182"/>
      <c r="AC3845" s="183"/>
      <c r="AD3845" s="183"/>
      <c r="AE3845" s="183"/>
      <c r="AF3845" s="184"/>
      <c r="AG3845" s="180"/>
      <c r="AH3845" s="185"/>
      <c r="AI3845" s="182"/>
      <c r="AJ3845" s="182"/>
      <c r="AK3845" s="182"/>
      <c r="AL3845" s="182"/>
    </row>
    <row r="3846" ht="20.25" customHeight="1">
      <c r="A3846" s="169"/>
      <c r="B3846" s="170"/>
      <c r="C3846" s="170"/>
      <c r="D3846" s="170"/>
      <c r="E3846" s="171"/>
      <c r="F3846" s="172"/>
      <c r="G3846" s="173"/>
      <c r="H3846" s="174"/>
      <c r="I3846" s="175"/>
      <c r="J3846" s="172"/>
      <c r="K3846" s="176"/>
      <c r="L3846" s="176"/>
      <c r="M3846" s="176"/>
      <c r="N3846" s="177"/>
      <c r="O3846" s="177"/>
      <c r="P3846" s="178"/>
      <c r="Q3846" s="177"/>
      <c r="R3846" s="170"/>
      <c r="S3846" s="170"/>
      <c r="T3846" s="179"/>
      <c r="U3846" s="179"/>
      <c r="V3846" s="179"/>
      <c r="W3846" s="180"/>
      <c r="X3846" s="181"/>
      <c r="Y3846" s="182"/>
      <c r="Z3846" s="182"/>
      <c r="AA3846" s="182"/>
      <c r="AB3846" s="182"/>
      <c r="AC3846" s="183"/>
      <c r="AD3846" s="183"/>
      <c r="AE3846" s="183"/>
      <c r="AF3846" s="184"/>
      <c r="AG3846" s="180"/>
      <c r="AH3846" s="185"/>
      <c r="AI3846" s="182"/>
      <c r="AJ3846" s="182"/>
      <c r="AK3846" s="182"/>
      <c r="AL3846" s="182"/>
    </row>
    <row r="3847" ht="20.25" customHeight="1">
      <c r="A3847" s="169"/>
      <c r="B3847" s="170"/>
      <c r="C3847" s="170"/>
      <c r="D3847" s="170"/>
      <c r="E3847" s="171"/>
      <c r="F3847" s="172"/>
      <c r="G3847" s="173"/>
      <c r="H3847" s="174"/>
      <c r="I3847" s="175"/>
      <c r="J3847" s="172"/>
      <c r="K3847" s="176"/>
      <c r="L3847" s="176"/>
      <c r="M3847" s="176"/>
      <c r="N3847" s="177"/>
      <c r="O3847" s="177"/>
      <c r="P3847" s="178"/>
      <c r="Q3847" s="177"/>
      <c r="R3847" s="170"/>
      <c r="S3847" s="170"/>
      <c r="T3847" s="179"/>
      <c r="U3847" s="179"/>
      <c r="V3847" s="179"/>
      <c r="W3847" s="180"/>
      <c r="X3847" s="181"/>
      <c r="Y3847" s="182"/>
      <c r="Z3847" s="182"/>
      <c r="AA3847" s="182"/>
      <c r="AB3847" s="182"/>
      <c r="AC3847" s="183"/>
      <c r="AD3847" s="183"/>
      <c r="AE3847" s="183"/>
      <c r="AF3847" s="184"/>
      <c r="AG3847" s="180"/>
      <c r="AH3847" s="185"/>
      <c r="AI3847" s="182"/>
      <c r="AJ3847" s="182"/>
      <c r="AK3847" s="182"/>
      <c r="AL3847" s="182"/>
    </row>
    <row r="3848" ht="20.25" customHeight="1">
      <c r="A3848" s="169"/>
      <c r="B3848" s="170"/>
      <c r="C3848" s="170"/>
      <c r="D3848" s="170"/>
      <c r="E3848" s="171"/>
      <c r="F3848" s="172"/>
      <c r="G3848" s="173"/>
      <c r="H3848" s="174"/>
      <c r="I3848" s="175"/>
      <c r="J3848" s="172"/>
      <c r="K3848" s="176"/>
      <c r="L3848" s="176"/>
      <c r="M3848" s="176"/>
      <c r="N3848" s="177"/>
      <c r="O3848" s="177"/>
      <c r="P3848" s="178"/>
      <c r="Q3848" s="177"/>
      <c r="R3848" s="170"/>
      <c r="S3848" s="170"/>
      <c r="T3848" s="179"/>
      <c r="U3848" s="179"/>
      <c r="V3848" s="179"/>
      <c r="W3848" s="180"/>
      <c r="X3848" s="181"/>
      <c r="Y3848" s="182"/>
      <c r="Z3848" s="182"/>
      <c r="AA3848" s="182"/>
      <c r="AB3848" s="182"/>
      <c r="AC3848" s="183"/>
      <c r="AD3848" s="183"/>
      <c r="AE3848" s="183"/>
      <c r="AF3848" s="184"/>
      <c r="AG3848" s="180"/>
      <c r="AH3848" s="185"/>
      <c r="AI3848" s="182"/>
      <c r="AJ3848" s="182"/>
      <c r="AK3848" s="182"/>
      <c r="AL3848" s="182"/>
    </row>
    <row r="3849" ht="20.25" customHeight="1">
      <c r="A3849" s="169"/>
      <c r="B3849" s="170"/>
      <c r="C3849" s="170"/>
      <c r="D3849" s="170"/>
      <c r="E3849" s="171"/>
      <c r="F3849" s="172"/>
      <c r="G3849" s="173"/>
      <c r="H3849" s="174"/>
      <c r="I3849" s="175"/>
      <c r="J3849" s="172"/>
      <c r="K3849" s="176"/>
      <c r="L3849" s="176"/>
      <c r="M3849" s="176"/>
      <c r="N3849" s="177"/>
      <c r="O3849" s="177"/>
      <c r="P3849" s="178"/>
      <c r="Q3849" s="177"/>
      <c r="R3849" s="170"/>
      <c r="S3849" s="170"/>
      <c r="T3849" s="179"/>
      <c r="U3849" s="179"/>
      <c r="V3849" s="179"/>
      <c r="W3849" s="180"/>
      <c r="X3849" s="181"/>
      <c r="Y3849" s="182"/>
      <c r="Z3849" s="182"/>
      <c r="AA3849" s="182"/>
      <c r="AB3849" s="182"/>
      <c r="AC3849" s="183"/>
      <c r="AD3849" s="183"/>
      <c r="AE3849" s="183"/>
      <c r="AF3849" s="184"/>
      <c r="AG3849" s="180"/>
      <c r="AH3849" s="185"/>
      <c r="AI3849" s="182"/>
      <c r="AJ3849" s="182"/>
      <c r="AK3849" s="182"/>
      <c r="AL3849" s="182"/>
    </row>
    <row r="3850" ht="20.25" customHeight="1">
      <c r="A3850" s="169"/>
      <c r="B3850" s="170"/>
      <c r="C3850" s="170"/>
      <c r="D3850" s="170"/>
      <c r="E3850" s="171"/>
      <c r="F3850" s="172"/>
      <c r="G3850" s="173"/>
      <c r="H3850" s="174"/>
      <c r="I3850" s="175"/>
      <c r="J3850" s="172"/>
      <c r="K3850" s="176"/>
      <c r="L3850" s="176"/>
      <c r="M3850" s="176"/>
      <c r="N3850" s="177"/>
      <c r="O3850" s="177"/>
      <c r="P3850" s="178"/>
      <c r="Q3850" s="177"/>
      <c r="R3850" s="170"/>
      <c r="S3850" s="170"/>
      <c r="T3850" s="179"/>
      <c r="U3850" s="179"/>
      <c r="V3850" s="179"/>
      <c r="W3850" s="180"/>
      <c r="X3850" s="181"/>
      <c r="Y3850" s="182"/>
      <c r="Z3850" s="182"/>
      <c r="AA3850" s="182"/>
      <c r="AB3850" s="182"/>
      <c r="AC3850" s="183"/>
      <c r="AD3850" s="183"/>
      <c r="AE3850" s="183"/>
      <c r="AF3850" s="184"/>
      <c r="AG3850" s="180"/>
      <c r="AH3850" s="185"/>
      <c r="AI3850" s="182"/>
      <c r="AJ3850" s="182"/>
      <c r="AK3850" s="182"/>
      <c r="AL3850" s="182"/>
    </row>
    <row r="3851" ht="20.25" customHeight="1">
      <c r="A3851" s="169"/>
      <c r="B3851" s="170"/>
      <c r="C3851" s="170"/>
      <c r="D3851" s="170"/>
      <c r="E3851" s="171"/>
      <c r="F3851" s="172"/>
      <c r="G3851" s="173"/>
      <c r="H3851" s="174"/>
      <c r="I3851" s="175"/>
      <c r="J3851" s="172"/>
      <c r="K3851" s="176"/>
      <c r="L3851" s="176"/>
      <c r="M3851" s="176"/>
      <c r="N3851" s="177"/>
      <c r="O3851" s="177"/>
      <c r="P3851" s="178"/>
      <c r="Q3851" s="177"/>
      <c r="R3851" s="170"/>
      <c r="S3851" s="170"/>
      <c r="T3851" s="179"/>
      <c r="U3851" s="179"/>
      <c r="V3851" s="179"/>
      <c r="W3851" s="180"/>
      <c r="X3851" s="181"/>
      <c r="Y3851" s="182"/>
      <c r="Z3851" s="182"/>
      <c r="AA3851" s="182"/>
      <c r="AB3851" s="182"/>
      <c r="AC3851" s="183"/>
      <c r="AD3851" s="183"/>
      <c r="AE3851" s="183"/>
      <c r="AF3851" s="184"/>
      <c r="AG3851" s="180"/>
      <c r="AH3851" s="185"/>
      <c r="AI3851" s="182"/>
      <c r="AJ3851" s="182"/>
      <c r="AK3851" s="182"/>
      <c r="AL3851" s="182"/>
    </row>
    <row r="3852" ht="20.25" customHeight="1">
      <c r="A3852" s="169"/>
      <c r="B3852" s="170"/>
      <c r="C3852" s="170"/>
      <c r="D3852" s="170"/>
      <c r="E3852" s="171"/>
      <c r="F3852" s="172"/>
      <c r="G3852" s="173"/>
      <c r="H3852" s="174"/>
      <c r="I3852" s="175"/>
      <c r="J3852" s="172"/>
      <c r="K3852" s="176"/>
      <c r="L3852" s="176"/>
      <c r="M3852" s="176"/>
      <c r="N3852" s="177"/>
      <c r="O3852" s="177"/>
      <c r="P3852" s="178"/>
      <c r="Q3852" s="177"/>
      <c r="R3852" s="170"/>
      <c r="S3852" s="170"/>
      <c r="T3852" s="179"/>
      <c r="U3852" s="179"/>
      <c r="V3852" s="179"/>
      <c r="W3852" s="180"/>
      <c r="X3852" s="181"/>
      <c r="Y3852" s="182"/>
      <c r="Z3852" s="182"/>
      <c r="AA3852" s="182"/>
      <c r="AB3852" s="182"/>
      <c r="AC3852" s="183"/>
      <c r="AD3852" s="183"/>
      <c r="AE3852" s="183"/>
      <c r="AF3852" s="184"/>
      <c r="AG3852" s="180"/>
      <c r="AH3852" s="185"/>
      <c r="AI3852" s="182"/>
      <c r="AJ3852" s="182"/>
      <c r="AK3852" s="182"/>
      <c r="AL3852" s="182"/>
    </row>
    <row r="3853" ht="20.25" customHeight="1">
      <c r="A3853" s="169"/>
      <c r="B3853" s="170"/>
      <c r="C3853" s="170"/>
      <c r="D3853" s="170"/>
      <c r="E3853" s="171"/>
      <c r="F3853" s="172"/>
      <c r="G3853" s="173"/>
      <c r="H3853" s="174"/>
      <c r="I3853" s="175"/>
      <c r="J3853" s="172"/>
      <c r="K3853" s="176"/>
      <c r="L3853" s="176"/>
      <c r="M3853" s="176"/>
      <c r="N3853" s="177"/>
      <c r="O3853" s="177"/>
      <c r="P3853" s="178"/>
      <c r="Q3853" s="177"/>
      <c r="R3853" s="170"/>
      <c r="S3853" s="170"/>
      <c r="T3853" s="179"/>
      <c r="U3853" s="179"/>
      <c r="V3853" s="179"/>
      <c r="W3853" s="180"/>
      <c r="X3853" s="181"/>
      <c r="Y3853" s="182"/>
      <c r="Z3853" s="182"/>
      <c r="AA3853" s="182"/>
      <c r="AB3853" s="182"/>
      <c r="AC3853" s="183"/>
      <c r="AD3853" s="183"/>
      <c r="AE3853" s="183"/>
      <c r="AF3853" s="184"/>
      <c r="AG3853" s="180"/>
      <c r="AH3853" s="185"/>
      <c r="AI3853" s="182"/>
      <c r="AJ3853" s="182"/>
      <c r="AK3853" s="182"/>
      <c r="AL3853" s="182"/>
    </row>
    <row r="3854" ht="20.25" customHeight="1">
      <c r="A3854" s="169"/>
      <c r="B3854" s="170"/>
      <c r="C3854" s="170"/>
      <c r="D3854" s="170"/>
      <c r="E3854" s="171"/>
      <c r="F3854" s="172"/>
      <c r="G3854" s="173"/>
      <c r="H3854" s="174"/>
      <c r="I3854" s="175"/>
      <c r="J3854" s="172"/>
      <c r="K3854" s="176"/>
      <c r="L3854" s="176"/>
      <c r="M3854" s="176"/>
      <c r="N3854" s="177"/>
      <c r="O3854" s="177"/>
      <c r="P3854" s="178"/>
      <c r="Q3854" s="177"/>
      <c r="R3854" s="170"/>
      <c r="S3854" s="170"/>
      <c r="T3854" s="179"/>
      <c r="U3854" s="179"/>
      <c r="V3854" s="179"/>
      <c r="W3854" s="180"/>
      <c r="X3854" s="181"/>
      <c r="Y3854" s="182"/>
      <c r="Z3854" s="182"/>
      <c r="AA3854" s="182"/>
      <c r="AB3854" s="182"/>
      <c r="AC3854" s="183"/>
      <c r="AD3854" s="183"/>
      <c r="AE3854" s="183"/>
      <c r="AF3854" s="184"/>
      <c r="AG3854" s="180"/>
      <c r="AH3854" s="185"/>
      <c r="AI3854" s="182"/>
      <c r="AJ3854" s="182"/>
      <c r="AK3854" s="182"/>
      <c r="AL3854" s="182"/>
    </row>
    <row r="3855" ht="20.25" customHeight="1">
      <c r="A3855" s="169"/>
      <c r="B3855" s="170"/>
      <c r="C3855" s="170"/>
      <c r="D3855" s="170"/>
      <c r="E3855" s="171"/>
      <c r="F3855" s="172"/>
      <c r="G3855" s="173"/>
      <c r="H3855" s="174"/>
      <c r="I3855" s="175"/>
      <c r="J3855" s="172"/>
      <c r="K3855" s="176"/>
      <c r="L3855" s="176"/>
      <c r="M3855" s="176"/>
      <c r="N3855" s="177"/>
      <c r="O3855" s="177"/>
      <c r="P3855" s="178"/>
      <c r="Q3855" s="177"/>
      <c r="R3855" s="170"/>
      <c r="S3855" s="170"/>
      <c r="T3855" s="179"/>
      <c r="U3855" s="179"/>
      <c r="V3855" s="179"/>
      <c r="W3855" s="180"/>
      <c r="X3855" s="181"/>
      <c r="Y3855" s="182"/>
      <c r="Z3855" s="182"/>
      <c r="AA3855" s="182"/>
      <c r="AB3855" s="182"/>
      <c r="AC3855" s="183"/>
      <c r="AD3855" s="183"/>
      <c r="AE3855" s="183"/>
      <c r="AF3855" s="184"/>
      <c r="AG3855" s="180"/>
      <c r="AH3855" s="185"/>
      <c r="AI3855" s="182"/>
      <c r="AJ3855" s="182"/>
      <c r="AK3855" s="182"/>
      <c r="AL3855" s="182"/>
    </row>
    <row r="3856" ht="20.25" customHeight="1">
      <c r="A3856" s="169"/>
      <c r="B3856" s="170"/>
      <c r="C3856" s="170"/>
      <c r="D3856" s="170"/>
      <c r="E3856" s="171"/>
      <c r="F3856" s="172"/>
      <c r="G3856" s="173"/>
      <c r="H3856" s="174"/>
      <c r="I3856" s="175"/>
      <c r="J3856" s="172"/>
      <c r="K3856" s="176"/>
      <c r="L3856" s="176"/>
      <c r="M3856" s="176"/>
      <c r="N3856" s="177"/>
      <c r="O3856" s="177"/>
      <c r="P3856" s="178"/>
      <c r="Q3856" s="177"/>
      <c r="R3856" s="170"/>
      <c r="S3856" s="170"/>
      <c r="T3856" s="179"/>
      <c r="U3856" s="179"/>
      <c r="V3856" s="179"/>
      <c r="W3856" s="180"/>
      <c r="X3856" s="181"/>
      <c r="Y3856" s="182"/>
      <c r="Z3856" s="182"/>
      <c r="AA3856" s="182"/>
      <c r="AB3856" s="182"/>
      <c r="AC3856" s="183"/>
      <c r="AD3856" s="183"/>
      <c r="AE3856" s="183"/>
      <c r="AF3856" s="184"/>
      <c r="AG3856" s="180"/>
      <c r="AH3856" s="185"/>
      <c r="AI3856" s="182"/>
      <c r="AJ3856" s="182"/>
      <c r="AK3856" s="182"/>
      <c r="AL3856" s="182"/>
    </row>
    <row r="3857" ht="20.25" customHeight="1">
      <c r="A3857" s="169"/>
      <c r="B3857" s="170"/>
      <c r="C3857" s="170"/>
      <c r="D3857" s="170"/>
      <c r="E3857" s="171"/>
      <c r="F3857" s="172"/>
      <c r="G3857" s="173"/>
      <c r="H3857" s="174"/>
      <c r="I3857" s="175"/>
      <c r="J3857" s="172"/>
      <c r="K3857" s="176"/>
      <c r="L3857" s="176"/>
      <c r="M3857" s="176"/>
      <c r="N3857" s="177"/>
      <c r="O3857" s="177"/>
      <c r="P3857" s="178"/>
      <c r="Q3857" s="177"/>
      <c r="R3857" s="170"/>
      <c r="S3857" s="170"/>
      <c r="T3857" s="179"/>
      <c r="U3857" s="179"/>
      <c r="V3857" s="179"/>
      <c r="W3857" s="180"/>
      <c r="X3857" s="181"/>
      <c r="Y3857" s="182"/>
      <c r="Z3857" s="182"/>
      <c r="AA3857" s="182"/>
      <c r="AB3857" s="182"/>
      <c r="AC3857" s="183"/>
      <c r="AD3857" s="183"/>
      <c r="AE3857" s="183"/>
      <c r="AF3857" s="184"/>
      <c r="AG3857" s="180"/>
      <c r="AH3857" s="185"/>
      <c r="AI3857" s="182"/>
      <c r="AJ3857" s="182"/>
      <c r="AK3857" s="182"/>
      <c r="AL3857" s="182"/>
    </row>
    <row r="3858" ht="20.25" customHeight="1">
      <c r="A3858" s="169"/>
      <c r="B3858" s="170"/>
      <c r="C3858" s="170"/>
      <c r="D3858" s="170"/>
      <c r="E3858" s="171"/>
      <c r="F3858" s="172"/>
      <c r="G3858" s="173"/>
      <c r="H3858" s="174"/>
      <c r="I3858" s="175"/>
      <c r="J3858" s="172"/>
      <c r="K3858" s="176"/>
      <c r="L3858" s="176"/>
      <c r="M3858" s="176"/>
      <c r="N3858" s="177"/>
      <c r="O3858" s="177"/>
      <c r="P3858" s="178"/>
      <c r="Q3858" s="177"/>
      <c r="R3858" s="170"/>
      <c r="S3858" s="170"/>
      <c r="T3858" s="179"/>
      <c r="U3858" s="179"/>
      <c r="V3858" s="179"/>
      <c r="W3858" s="180"/>
      <c r="X3858" s="181"/>
      <c r="Y3858" s="182"/>
      <c r="Z3858" s="182"/>
      <c r="AA3858" s="182"/>
      <c r="AB3858" s="182"/>
      <c r="AC3858" s="183"/>
      <c r="AD3858" s="183"/>
      <c r="AE3858" s="183"/>
      <c r="AF3858" s="184"/>
      <c r="AG3858" s="180"/>
      <c r="AH3858" s="185"/>
      <c r="AI3858" s="182"/>
      <c r="AJ3858" s="182"/>
      <c r="AK3858" s="182"/>
      <c r="AL3858" s="182"/>
    </row>
    <row r="3859" ht="20.25" customHeight="1">
      <c r="A3859" s="169"/>
      <c r="B3859" s="170"/>
      <c r="C3859" s="170"/>
      <c r="D3859" s="170"/>
      <c r="E3859" s="171"/>
      <c r="F3859" s="172"/>
      <c r="G3859" s="173"/>
      <c r="H3859" s="174"/>
      <c r="I3859" s="175"/>
      <c r="J3859" s="172"/>
      <c r="K3859" s="176"/>
      <c r="L3859" s="176"/>
      <c r="M3859" s="176"/>
      <c r="N3859" s="177"/>
      <c r="O3859" s="177"/>
      <c r="P3859" s="178"/>
      <c r="Q3859" s="177"/>
      <c r="R3859" s="170"/>
      <c r="S3859" s="170"/>
      <c r="T3859" s="179"/>
      <c r="U3859" s="179"/>
      <c r="V3859" s="179"/>
      <c r="W3859" s="180"/>
      <c r="X3859" s="181"/>
      <c r="Y3859" s="182"/>
      <c r="Z3859" s="182"/>
      <c r="AA3859" s="182"/>
      <c r="AB3859" s="182"/>
      <c r="AC3859" s="183"/>
      <c r="AD3859" s="183"/>
      <c r="AE3859" s="183"/>
      <c r="AF3859" s="184"/>
      <c r="AG3859" s="180"/>
      <c r="AH3859" s="185"/>
      <c r="AI3859" s="182"/>
      <c r="AJ3859" s="182"/>
      <c r="AK3859" s="182"/>
      <c r="AL3859" s="182"/>
    </row>
    <row r="3860" ht="20.25" customHeight="1">
      <c r="A3860" s="169"/>
      <c r="B3860" s="170"/>
      <c r="C3860" s="170"/>
      <c r="D3860" s="170"/>
      <c r="E3860" s="171"/>
      <c r="F3860" s="172"/>
      <c r="G3860" s="173"/>
      <c r="H3860" s="174"/>
      <c r="I3860" s="175"/>
      <c r="J3860" s="172"/>
      <c r="K3860" s="176"/>
      <c r="L3860" s="176"/>
      <c r="M3860" s="176"/>
      <c r="N3860" s="177"/>
      <c r="O3860" s="177"/>
      <c r="P3860" s="178"/>
      <c r="Q3860" s="177"/>
      <c r="R3860" s="170"/>
      <c r="S3860" s="170"/>
      <c r="T3860" s="179"/>
      <c r="U3860" s="179"/>
      <c r="V3860" s="179"/>
      <c r="W3860" s="180"/>
      <c r="X3860" s="181"/>
      <c r="Y3860" s="182"/>
      <c r="Z3860" s="182"/>
      <c r="AA3860" s="182"/>
      <c r="AB3860" s="182"/>
      <c r="AC3860" s="183"/>
      <c r="AD3860" s="183"/>
      <c r="AE3860" s="183"/>
      <c r="AF3860" s="184"/>
      <c r="AG3860" s="180"/>
      <c r="AH3860" s="185"/>
      <c r="AI3860" s="182"/>
      <c r="AJ3860" s="182"/>
      <c r="AK3860" s="182"/>
      <c r="AL3860" s="182"/>
    </row>
    <row r="3861" ht="20.25" customHeight="1">
      <c r="A3861" s="169"/>
      <c r="B3861" s="170"/>
      <c r="C3861" s="170"/>
      <c r="D3861" s="170"/>
      <c r="E3861" s="171"/>
      <c r="F3861" s="172"/>
      <c r="G3861" s="173"/>
      <c r="H3861" s="174"/>
      <c r="I3861" s="175"/>
      <c r="J3861" s="172"/>
      <c r="K3861" s="176"/>
      <c r="L3861" s="176"/>
      <c r="M3861" s="176"/>
      <c r="N3861" s="177"/>
      <c r="O3861" s="177"/>
      <c r="P3861" s="178"/>
      <c r="Q3861" s="177"/>
      <c r="R3861" s="170"/>
      <c r="S3861" s="170"/>
      <c r="T3861" s="179"/>
      <c r="U3861" s="179"/>
      <c r="V3861" s="179"/>
      <c r="W3861" s="180"/>
      <c r="X3861" s="181"/>
      <c r="Y3861" s="182"/>
      <c r="Z3861" s="182"/>
      <c r="AA3861" s="182"/>
      <c r="AB3861" s="182"/>
      <c r="AC3861" s="183"/>
      <c r="AD3861" s="183"/>
      <c r="AE3861" s="183"/>
      <c r="AF3861" s="184"/>
      <c r="AG3861" s="180"/>
      <c r="AH3861" s="185"/>
      <c r="AI3861" s="182"/>
      <c r="AJ3861" s="182"/>
      <c r="AK3861" s="182"/>
      <c r="AL3861" s="182"/>
    </row>
    <row r="3862" ht="20.25" customHeight="1">
      <c r="A3862" s="169"/>
      <c r="B3862" s="170"/>
      <c r="C3862" s="170"/>
      <c r="D3862" s="170"/>
      <c r="E3862" s="171"/>
      <c r="F3862" s="172"/>
      <c r="G3862" s="173"/>
      <c r="H3862" s="174"/>
      <c r="I3862" s="175"/>
      <c r="J3862" s="172"/>
      <c r="K3862" s="176"/>
      <c r="L3862" s="176"/>
      <c r="M3862" s="176"/>
      <c r="N3862" s="177"/>
      <c r="O3862" s="177"/>
      <c r="P3862" s="178"/>
      <c r="Q3862" s="177"/>
      <c r="R3862" s="170"/>
      <c r="S3862" s="170"/>
      <c r="T3862" s="179"/>
      <c r="U3862" s="179"/>
      <c r="V3862" s="179"/>
      <c r="W3862" s="180"/>
      <c r="X3862" s="181"/>
      <c r="Y3862" s="182"/>
      <c r="Z3862" s="182"/>
      <c r="AA3862" s="182"/>
      <c r="AB3862" s="182"/>
      <c r="AC3862" s="183"/>
      <c r="AD3862" s="183"/>
      <c r="AE3862" s="183"/>
      <c r="AF3862" s="184"/>
      <c r="AG3862" s="180"/>
      <c r="AH3862" s="185"/>
      <c r="AI3862" s="182"/>
      <c r="AJ3862" s="182"/>
      <c r="AK3862" s="182"/>
      <c r="AL3862" s="182"/>
    </row>
    <row r="3863" ht="20.25" customHeight="1">
      <c r="A3863" s="169"/>
      <c r="B3863" s="170"/>
      <c r="C3863" s="170"/>
      <c r="D3863" s="170"/>
      <c r="E3863" s="171"/>
      <c r="F3863" s="172"/>
      <c r="G3863" s="173"/>
      <c r="H3863" s="174"/>
      <c r="I3863" s="175"/>
      <c r="J3863" s="172"/>
      <c r="K3863" s="176"/>
      <c r="L3863" s="176"/>
      <c r="M3863" s="176"/>
      <c r="N3863" s="177"/>
      <c r="O3863" s="177"/>
      <c r="P3863" s="178"/>
      <c r="Q3863" s="177"/>
      <c r="R3863" s="170"/>
      <c r="S3863" s="170"/>
      <c r="T3863" s="179"/>
      <c r="U3863" s="179"/>
      <c r="V3863" s="179"/>
      <c r="W3863" s="180"/>
      <c r="X3863" s="181"/>
      <c r="Y3863" s="182"/>
      <c r="Z3863" s="182"/>
      <c r="AA3863" s="182"/>
      <c r="AB3863" s="182"/>
      <c r="AC3863" s="183"/>
      <c r="AD3863" s="183"/>
      <c r="AE3863" s="183"/>
      <c r="AF3863" s="184"/>
      <c r="AG3863" s="180"/>
      <c r="AH3863" s="185"/>
      <c r="AI3863" s="182"/>
      <c r="AJ3863" s="182"/>
      <c r="AK3863" s="182"/>
      <c r="AL3863" s="182"/>
    </row>
    <row r="3864" ht="20.25" customHeight="1">
      <c r="A3864" s="169"/>
      <c r="B3864" s="170"/>
      <c r="C3864" s="170"/>
      <c r="D3864" s="170"/>
      <c r="E3864" s="171"/>
      <c r="F3864" s="172"/>
      <c r="G3864" s="173"/>
      <c r="H3864" s="174"/>
      <c r="I3864" s="175"/>
      <c r="J3864" s="172"/>
      <c r="K3864" s="176"/>
      <c r="L3864" s="176"/>
      <c r="M3864" s="176"/>
      <c r="N3864" s="177"/>
      <c r="O3864" s="177"/>
      <c r="P3864" s="178"/>
      <c r="Q3864" s="177"/>
      <c r="R3864" s="170"/>
      <c r="S3864" s="170"/>
      <c r="T3864" s="179"/>
      <c r="U3864" s="179"/>
      <c r="V3864" s="179"/>
      <c r="W3864" s="180"/>
      <c r="X3864" s="181"/>
      <c r="Y3864" s="182"/>
      <c r="Z3864" s="182"/>
      <c r="AA3864" s="182"/>
      <c r="AB3864" s="182"/>
      <c r="AC3864" s="183"/>
      <c r="AD3864" s="183"/>
      <c r="AE3864" s="183"/>
      <c r="AF3864" s="184"/>
      <c r="AG3864" s="180"/>
      <c r="AH3864" s="185"/>
      <c r="AI3864" s="182"/>
      <c r="AJ3864" s="182"/>
      <c r="AK3864" s="182"/>
      <c r="AL3864" s="182"/>
    </row>
    <row r="3865" ht="20.25" customHeight="1">
      <c r="A3865" s="169"/>
      <c r="B3865" s="170"/>
      <c r="C3865" s="170"/>
      <c r="D3865" s="170"/>
      <c r="E3865" s="171"/>
      <c r="F3865" s="172"/>
      <c r="G3865" s="173"/>
      <c r="H3865" s="174"/>
      <c r="I3865" s="175"/>
      <c r="J3865" s="172"/>
      <c r="K3865" s="176"/>
      <c r="L3865" s="176"/>
      <c r="M3865" s="176"/>
      <c r="N3865" s="177"/>
      <c r="O3865" s="177"/>
      <c r="P3865" s="178"/>
      <c r="Q3865" s="177"/>
      <c r="R3865" s="170"/>
      <c r="S3865" s="170"/>
      <c r="T3865" s="179"/>
      <c r="U3865" s="179"/>
      <c r="V3865" s="179"/>
      <c r="W3865" s="180"/>
      <c r="X3865" s="181"/>
      <c r="Y3865" s="182"/>
      <c r="Z3865" s="182"/>
      <c r="AA3865" s="182"/>
      <c r="AB3865" s="182"/>
      <c r="AC3865" s="183"/>
      <c r="AD3865" s="183"/>
      <c r="AE3865" s="183"/>
      <c r="AF3865" s="184"/>
      <c r="AG3865" s="180"/>
      <c r="AH3865" s="185"/>
      <c r="AI3865" s="182"/>
      <c r="AJ3865" s="182"/>
      <c r="AK3865" s="182"/>
      <c r="AL3865" s="182"/>
    </row>
    <row r="3866" ht="20.25" customHeight="1">
      <c r="A3866" s="169"/>
      <c r="B3866" s="170"/>
      <c r="C3866" s="170"/>
      <c r="D3866" s="170"/>
      <c r="E3866" s="171"/>
      <c r="F3866" s="172"/>
      <c r="G3866" s="173"/>
      <c r="H3866" s="174"/>
      <c r="I3866" s="175"/>
      <c r="J3866" s="172"/>
      <c r="K3866" s="176"/>
      <c r="L3866" s="176"/>
      <c r="M3866" s="176"/>
      <c r="N3866" s="177"/>
      <c r="O3866" s="177"/>
      <c r="P3866" s="178"/>
      <c r="Q3866" s="177"/>
      <c r="R3866" s="170"/>
      <c r="S3866" s="170"/>
      <c r="T3866" s="179"/>
      <c r="U3866" s="179"/>
      <c r="V3866" s="179"/>
      <c r="W3866" s="180"/>
      <c r="X3866" s="181"/>
      <c r="Y3866" s="182"/>
      <c r="Z3866" s="182"/>
      <c r="AA3866" s="182"/>
      <c r="AB3866" s="182"/>
      <c r="AC3866" s="183"/>
      <c r="AD3866" s="183"/>
      <c r="AE3866" s="183"/>
      <c r="AF3866" s="184"/>
      <c r="AG3866" s="180"/>
      <c r="AH3866" s="185"/>
      <c r="AI3866" s="182"/>
      <c r="AJ3866" s="182"/>
      <c r="AK3866" s="182"/>
      <c r="AL3866" s="182"/>
    </row>
    <row r="3867" ht="20.25" customHeight="1">
      <c r="A3867" s="169"/>
      <c r="B3867" s="170"/>
      <c r="C3867" s="170"/>
      <c r="D3867" s="170"/>
      <c r="E3867" s="171"/>
      <c r="F3867" s="172"/>
      <c r="G3867" s="173"/>
      <c r="H3867" s="174"/>
      <c r="I3867" s="175"/>
      <c r="J3867" s="172"/>
      <c r="K3867" s="176"/>
      <c r="L3867" s="176"/>
      <c r="M3867" s="176"/>
      <c r="N3867" s="177"/>
      <c r="O3867" s="177"/>
      <c r="P3867" s="178"/>
      <c r="Q3867" s="177"/>
      <c r="R3867" s="170"/>
      <c r="S3867" s="170"/>
      <c r="T3867" s="179"/>
      <c r="U3867" s="179"/>
      <c r="V3867" s="179"/>
      <c r="W3867" s="180"/>
      <c r="X3867" s="181"/>
      <c r="Y3867" s="182"/>
      <c r="Z3867" s="182"/>
      <c r="AA3867" s="182"/>
      <c r="AB3867" s="182"/>
      <c r="AC3867" s="183"/>
      <c r="AD3867" s="183"/>
      <c r="AE3867" s="183"/>
      <c r="AF3867" s="184"/>
      <c r="AG3867" s="180"/>
      <c r="AH3867" s="185"/>
      <c r="AI3867" s="182"/>
      <c r="AJ3867" s="182"/>
      <c r="AK3867" s="182"/>
      <c r="AL3867" s="182"/>
    </row>
    <row r="3868" ht="20.25" customHeight="1">
      <c r="A3868" s="169"/>
      <c r="B3868" s="170"/>
      <c r="C3868" s="170"/>
      <c r="D3868" s="170"/>
      <c r="E3868" s="171"/>
      <c r="F3868" s="172"/>
      <c r="G3868" s="173"/>
      <c r="H3868" s="174"/>
      <c r="I3868" s="175"/>
      <c r="J3868" s="172"/>
      <c r="K3868" s="176"/>
      <c r="L3868" s="176"/>
      <c r="M3868" s="176"/>
      <c r="N3868" s="177"/>
      <c r="O3868" s="177"/>
      <c r="P3868" s="178"/>
      <c r="Q3868" s="177"/>
      <c r="R3868" s="170"/>
      <c r="S3868" s="170"/>
      <c r="T3868" s="179"/>
      <c r="U3868" s="179"/>
      <c r="V3868" s="179"/>
      <c r="W3868" s="180"/>
      <c r="X3868" s="181"/>
      <c r="Y3868" s="182"/>
      <c r="Z3868" s="182"/>
      <c r="AA3868" s="182"/>
      <c r="AB3868" s="182"/>
      <c r="AC3868" s="183"/>
      <c r="AD3868" s="183"/>
      <c r="AE3868" s="183"/>
      <c r="AF3868" s="184"/>
      <c r="AG3868" s="180"/>
      <c r="AH3868" s="185"/>
      <c r="AI3868" s="182"/>
      <c r="AJ3868" s="182"/>
      <c r="AK3868" s="182"/>
      <c r="AL3868" s="182"/>
    </row>
    <row r="3869" ht="20.25" customHeight="1">
      <c r="A3869" s="169"/>
      <c r="B3869" s="170"/>
      <c r="C3869" s="170"/>
      <c r="D3869" s="170"/>
      <c r="E3869" s="171"/>
      <c r="F3869" s="172"/>
      <c r="G3869" s="173"/>
      <c r="H3869" s="174"/>
      <c r="I3869" s="175"/>
      <c r="J3869" s="172"/>
      <c r="K3869" s="176"/>
      <c r="L3869" s="176"/>
      <c r="M3869" s="176"/>
      <c r="N3869" s="177"/>
      <c r="O3869" s="177"/>
      <c r="P3869" s="178"/>
      <c r="Q3869" s="177"/>
      <c r="R3869" s="170"/>
      <c r="S3869" s="170"/>
      <c r="T3869" s="179"/>
      <c r="U3869" s="179"/>
      <c r="V3869" s="179"/>
      <c r="W3869" s="180"/>
      <c r="X3869" s="181"/>
      <c r="Y3869" s="182"/>
      <c r="Z3869" s="182"/>
      <c r="AA3869" s="182"/>
      <c r="AB3869" s="182"/>
      <c r="AC3869" s="183"/>
      <c r="AD3869" s="183"/>
      <c r="AE3869" s="183"/>
      <c r="AF3869" s="184"/>
      <c r="AG3869" s="180"/>
      <c r="AH3869" s="185"/>
      <c r="AI3869" s="182"/>
      <c r="AJ3869" s="182"/>
      <c r="AK3869" s="182"/>
      <c r="AL3869" s="182"/>
    </row>
    <row r="3870" ht="20.25" customHeight="1">
      <c r="A3870" s="169"/>
      <c r="B3870" s="170"/>
      <c r="C3870" s="170"/>
      <c r="D3870" s="170"/>
      <c r="E3870" s="171"/>
      <c r="F3870" s="172"/>
      <c r="G3870" s="173"/>
      <c r="H3870" s="174"/>
      <c r="I3870" s="175"/>
      <c r="J3870" s="172"/>
      <c r="K3870" s="176"/>
      <c r="L3870" s="176"/>
      <c r="M3870" s="176"/>
      <c r="N3870" s="177"/>
      <c r="O3870" s="177"/>
      <c r="P3870" s="178"/>
      <c r="Q3870" s="177"/>
      <c r="R3870" s="170"/>
      <c r="S3870" s="170"/>
      <c r="T3870" s="179"/>
      <c r="U3870" s="179"/>
      <c r="V3870" s="179"/>
      <c r="W3870" s="180"/>
      <c r="X3870" s="181"/>
      <c r="Y3870" s="182"/>
      <c r="Z3870" s="182"/>
      <c r="AA3870" s="182"/>
      <c r="AB3870" s="182"/>
      <c r="AC3870" s="183"/>
      <c r="AD3870" s="183"/>
      <c r="AE3870" s="183"/>
      <c r="AF3870" s="184"/>
      <c r="AG3870" s="180"/>
      <c r="AH3870" s="185"/>
      <c r="AI3870" s="182"/>
      <c r="AJ3870" s="182"/>
      <c r="AK3870" s="182"/>
      <c r="AL3870" s="182"/>
    </row>
    <row r="3871" ht="20.25" customHeight="1">
      <c r="A3871" s="169"/>
      <c r="B3871" s="170"/>
      <c r="C3871" s="170"/>
      <c r="D3871" s="170"/>
      <c r="E3871" s="171"/>
      <c r="F3871" s="172"/>
      <c r="G3871" s="173"/>
      <c r="H3871" s="174"/>
      <c r="I3871" s="175"/>
      <c r="J3871" s="172"/>
      <c r="K3871" s="176"/>
      <c r="L3871" s="176"/>
      <c r="M3871" s="176"/>
      <c r="N3871" s="177"/>
      <c r="O3871" s="177"/>
      <c r="P3871" s="178"/>
      <c r="Q3871" s="177"/>
      <c r="R3871" s="170"/>
      <c r="S3871" s="170"/>
      <c r="T3871" s="179"/>
      <c r="U3871" s="179"/>
      <c r="V3871" s="179"/>
      <c r="W3871" s="180"/>
      <c r="X3871" s="181"/>
      <c r="Y3871" s="182"/>
      <c r="Z3871" s="182"/>
      <c r="AA3871" s="182"/>
      <c r="AB3871" s="182"/>
      <c r="AC3871" s="183"/>
      <c r="AD3871" s="183"/>
      <c r="AE3871" s="183"/>
      <c r="AF3871" s="184"/>
      <c r="AG3871" s="180"/>
      <c r="AH3871" s="185"/>
      <c r="AI3871" s="182"/>
      <c r="AJ3871" s="182"/>
      <c r="AK3871" s="182"/>
      <c r="AL3871" s="182"/>
    </row>
    <row r="3872" ht="20.25" customHeight="1">
      <c r="A3872" s="169"/>
      <c r="B3872" s="170"/>
      <c r="C3872" s="170"/>
      <c r="D3872" s="170"/>
      <c r="E3872" s="171"/>
      <c r="F3872" s="172"/>
      <c r="G3872" s="173"/>
      <c r="H3872" s="174"/>
      <c r="I3872" s="175"/>
      <c r="J3872" s="172"/>
      <c r="K3872" s="176"/>
      <c r="L3872" s="176"/>
      <c r="M3872" s="176"/>
      <c r="N3872" s="177"/>
      <c r="O3872" s="177"/>
      <c r="P3872" s="178"/>
      <c r="Q3872" s="177"/>
      <c r="R3872" s="170"/>
      <c r="S3872" s="170"/>
      <c r="T3872" s="179"/>
      <c r="U3872" s="179"/>
      <c r="V3872" s="179"/>
      <c r="W3872" s="180"/>
      <c r="X3872" s="181"/>
      <c r="Y3872" s="182"/>
      <c r="Z3872" s="182"/>
      <c r="AA3872" s="182"/>
      <c r="AB3872" s="182"/>
      <c r="AC3872" s="183"/>
      <c r="AD3872" s="183"/>
      <c r="AE3872" s="183"/>
      <c r="AF3872" s="184"/>
      <c r="AG3872" s="180"/>
      <c r="AH3872" s="185"/>
      <c r="AI3872" s="182"/>
      <c r="AJ3872" s="182"/>
      <c r="AK3872" s="182"/>
      <c r="AL3872" s="182"/>
    </row>
    <row r="3873" ht="20.25" customHeight="1">
      <c r="A3873" s="169"/>
      <c r="B3873" s="170"/>
      <c r="C3873" s="170"/>
      <c r="D3873" s="170"/>
      <c r="E3873" s="171"/>
      <c r="F3873" s="172"/>
      <c r="G3873" s="173"/>
      <c r="H3873" s="174"/>
      <c r="I3873" s="175"/>
      <c r="J3873" s="172"/>
      <c r="K3873" s="176"/>
      <c r="L3873" s="176"/>
      <c r="M3873" s="176"/>
      <c r="N3873" s="177"/>
      <c r="O3873" s="177"/>
      <c r="P3873" s="178"/>
      <c r="Q3873" s="177"/>
      <c r="R3873" s="170"/>
      <c r="S3873" s="170"/>
      <c r="T3873" s="179"/>
      <c r="U3873" s="179"/>
      <c r="V3873" s="179"/>
      <c r="W3873" s="180"/>
      <c r="X3873" s="181"/>
      <c r="Y3873" s="182"/>
      <c r="Z3873" s="182"/>
      <c r="AA3873" s="182"/>
      <c r="AB3873" s="182"/>
      <c r="AC3873" s="183"/>
      <c r="AD3873" s="183"/>
      <c r="AE3873" s="183"/>
      <c r="AF3873" s="184"/>
      <c r="AG3873" s="180"/>
      <c r="AH3873" s="185"/>
      <c r="AI3873" s="182"/>
      <c r="AJ3873" s="182"/>
      <c r="AK3873" s="182"/>
      <c r="AL3873" s="182"/>
    </row>
    <row r="3874" ht="20.25" customHeight="1">
      <c r="A3874" s="169"/>
      <c r="B3874" s="170"/>
      <c r="C3874" s="170"/>
      <c r="D3874" s="170"/>
      <c r="E3874" s="171"/>
      <c r="F3874" s="172"/>
      <c r="G3874" s="173"/>
      <c r="H3874" s="174"/>
      <c r="I3874" s="175"/>
      <c r="J3874" s="172"/>
      <c r="K3874" s="176"/>
      <c r="L3874" s="176"/>
      <c r="M3874" s="176"/>
      <c r="N3874" s="177"/>
      <c r="O3874" s="177"/>
      <c r="P3874" s="178"/>
      <c r="Q3874" s="177"/>
      <c r="R3874" s="170"/>
      <c r="S3874" s="170"/>
      <c r="T3874" s="179"/>
      <c r="U3874" s="179"/>
      <c r="V3874" s="179"/>
      <c r="W3874" s="180"/>
      <c r="X3874" s="181"/>
      <c r="Y3874" s="182"/>
      <c r="Z3874" s="182"/>
      <c r="AA3874" s="182"/>
      <c r="AB3874" s="182"/>
      <c r="AC3874" s="183"/>
      <c r="AD3874" s="183"/>
      <c r="AE3874" s="183"/>
      <c r="AF3874" s="184"/>
      <c r="AG3874" s="180"/>
      <c r="AH3874" s="185"/>
      <c r="AI3874" s="182"/>
      <c r="AJ3874" s="182"/>
      <c r="AK3874" s="182"/>
      <c r="AL3874" s="182"/>
    </row>
    <row r="3875" ht="20.25" customHeight="1">
      <c r="A3875" s="169"/>
      <c r="B3875" s="170"/>
      <c r="C3875" s="170"/>
      <c r="D3875" s="170"/>
      <c r="E3875" s="171"/>
      <c r="F3875" s="172"/>
      <c r="G3875" s="173"/>
      <c r="H3875" s="174"/>
      <c r="I3875" s="175"/>
      <c r="J3875" s="172"/>
      <c r="K3875" s="176"/>
      <c r="L3875" s="176"/>
      <c r="M3875" s="176"/>
      <c r="N3875" s="177"/>
      <c r="O3875" s="177"/>
      <c r="P3875" s="178"/>
      <c r="Q3875" s="177"/>
      <c r="R3875" s="170"/>
      <c r="S3875" s="170"/>
      <c r="T3875" s="179"/>
      <c r="U3875" s="179"/>
      <c r="V3875" s="179"/>
      <c r="W3875" s="180"/>
      <c r="X3875" s="181"/>
      <c r="Y3875" s="182"/>
      <c r="Z3875" s="182"/>
      <c r="AA3875" s="182"/>
      <c r="AB3875" s="182"/>
      <c r="AC3875" s="183"/>
      <c r="AD3875" s="183"/>
      <c r="AE3875" s="183"/>
      <c r="AF3875" s="184"/>
      <c r="AG3875" s="180"/>
      <c r="AH3875" s="185"/>
      <c r="AI3875" s="182"/>
      <c r="AJ3875" s="182"/>
      <c r="AK3875" s="182"/>
      <c r="AL3875" s="182"/>
    </row>
    <row r="3876" ht="20.25" customHeight="1">
      <c r="A3876" s="169"/>
      <c r="B3876" s="170"/>
      <c r="C3876" s="170"/>
      <c r="D3876" s="170"/>
      <c r="E3876" s="171"/>
      <c r="F3876" s="172"/>
      <c r="G3876" s="173"/>
      <c r="H3876" s="174"/>
      <c r="I3876" s="175"/>
      <c r="J3876" s="172"/>
      <c r="K3876" s="176"/>
      <c r="L3876" s="176"/>
      <c r="M3876" s="176"/>
      <c r="N3876" s="177"/>
      <c r="O3876" s="177"/>
      <c r="P3876" s="178"/>
      <c r="Q3876" s="177"/>
      <c r="R3876" s="170"/>
      <c r="S3876" s="170"/>
      <c r="T3876" s="179"/>
      <c r="U3876" s="179"/>
      <c r="V3876" s="179"/>
      <c r="W3876" s="180"/>
      <c r="X3876" s="181"/>
      <c r="Y3876" s="182"/>
      <c r="Z3876" s="182"/>
      <c r="AA3876" s="182"/>
      <c r="AB3876" s="182"/>
      <c r="AC3876" s="183"/>
      <c r="AD3876" s="183"/>
      <c r="AE3876" s="183"/>
      <c r="AF3876" s="184"/>
      <c r="AG3876" s="180"/>
      <c r="AH3876" s="185"/>
      <c r="AI3876" s="182"/>
      <c r="AJ3876" s="182"/>
      <c r="AK3876" s="182"/>
      <c r="AL3876" s="182"/>
    </row>
    <row r="3877" ht="20.25" customHeight="1">
      <c r="A3877" s="169"/>
      <c r="B3877" s="170"/>
      <c r="C3877" s="170"/>
      <c r="D3877" s="170"/>
      <c r="E3877" s="171"/>
      <c r="F3877" s="172"/>
      <c r="G3877" s="173"/>
      <c r="H3877" s="174"/>
      <c r="I3877" s="175"/>
      <c r="J3877" s="172"/>
      <c r="K3877" s="176"/>
      <c r="L3877" s="176"/>
      <c r="M3877" s="176"/>
      <c r="N3877" s="177"/>
      <c r="O3877" s="177"/>
      <c r="P3877" s="178"/>
      <c r="Q3877" s="177"/>
      <c r="R3877" s="170"/>
      <c r="S3877" s="170"/>
      <c r="T3877" s="179"/>
      <c r="U3877" s="179"/>
      <c r="V3877" s="179"/>
      <c r="W3877" s="180"/>
      <c r="X3877" s="181"/>
      <c r="Y3877" s="182"/>
      <c r="Z3877" s="182"/>
      <c r="AA3877" s="182"/>
      <c r="AB3877" s="182"/>
      <c r="AC3877" s="183"/>
      <c r="AD3877" s="183"/>
      <c r="AE3877" s="183"/>
      <c r="AF3877" s="184"/>
      <c r="AG3877" s="180"/>
      <c r="AH3877" s="185"/>
      <c r="AI3877" s="182"/>
      <c r="AJ3877" s="182"/>
      <c r="AK3877" s="182"/>
      <c r="AL3877" s="182"/>
    </row>
    <row r="3878" ht="20.25" customHeight="1">
      <c r="A3878" s="169"/>
      <c r="B3878" s="170"/>
      <c r="C3878" s="170"/>
      <c r="D3878" s="170"/>
      <c r="E3878" s="171"/>
      <c r="F3878" s="172"/>
      <c r="G3878" s="173"/>
      <c r="H3878" s="174"/>
      <c r="I3878" s="175"/>
      <c r="J3878" s="172"/>
      <c r="K3878" s="176"/>
      <c r="L3878" s="176"/>
      <c r="M3878" s="176"/>
      <c r="N3878" s="177"/>
      <c r="O3878" s="177"/>
      <c r="P3878" s="178"/>
      <c r="Q3878" s="177"/>
      <c r="R3878" s="170"/>
      <c r="S3878" s="170"/>
      <c r="T3878" s="179"/>
      <c r="U3878" s="179"/>
      <c r="V3878" s="179"/>
      <c r="W3878" s="180"/>
      <c r="X3878" s="181"/>
      <c r="Y3878" s="182"/>
      <c r="Z3878" s="182"/>
      <c r="AA3878" s="182"/>
      <c r="AB3878" s="182"/>
      <c r="AC3878" s="183"/>
      <c r="AD3878" s="183"/>
      <c r="AE3878" s="183"/>
      <c r="AF3878" s="184"/>
      <c r="AG3878" s="180"/>
      <c r="AH3878" s="185"/>
      <c r="AI3878" s="182"/>
      <c r="AJ3878" s="182"/>
      <c r="AK3878" s="182"/>
      <c r="AL3878" s="182"/>
    </row>
    <row r="3879" ht="20.25" customHeight="1">
      <c r="A3879" s="169"/>
      <c r="B3879" s="170"/>
      <c r="C3879" s="170"/>
      <c r="D3879" s="170"/>
      <c r="E3879" s="171"/>
      <c r="F3879" s="172"/>
      <c r="G3879" s="173"/>
      <c r="H3879" s="174"/>
      <c r="I3879" s="175"/>
      <c r="J3879" s="172"/>
      <c r="K3879" s="176"/>
      <c r="L3879" s="176"/>
      <c r="M3879" s="176"/>
      <c r="N3879" s="177"/>
      <c r="O3879" s="177"/>
      <c r="P3879" s="178"/>
      <c r="Q3879" s="177"/>
      <c r="R3879" s="170"/>
      <c r="S3879" s="170"/>
      <c r="T3879" s="179"/>
      <c r="U3879" s="179"/>
      <c r="V3879" s="179"/>
      <c r="W3879" s="180"/>
      <c r="X3879" s="181"/>
      <c r="Y3879" s="182"/>
      <c r="Z3879" s="182"/>
      <c r="AA3879" s="182"/>
      <c r="AB3879" s="182"/>
      <c r="AC3879" s="183"/>
      <c r="AD3879" s="183"/>
      <c r="AE3879" s="183"/>
      <c r="AF3879" s="184"/>
      <c r="AG3879" s="180"/>
      <c r="AH3879" s="185"/>
      <c r="AI3879" s="182"/>
      <c r="AJ3879" s="182"/>
      <c r="AK3879" s="182"/>
      <c r="AL3879" s="182"/>
    </row>
    <row r="3880" ht="20.25" customHeight="1">
      <c r="A3880" s="169"/>
      <c r="B3880" s="170"/>
      <c r="C3880" s="170"/>
      <c r="D3880" s="170"/>
      <c r="E3880" s="171"/>
      <c r="F3880" s="172"/>
      <c r="G3880" s="173"/>
      <c r="H3880" s="174"/>
      <c r="I3880" s="175"/>
      <c r="J3880" s="172"/>
      <c r="K3880" s="176"/>
      <c r="L3880" s="176"/>
      <c r="M3880" s="176"/>
      <c r="N3880" s="177"/>
      <c r="O3880" s="177"/>
      <c r="P3880" s="178"/>
      <c r="Q3880" s="177"/>
      <c r="R3880" s="170"/>
      <c r="S3880" s="170"/>
      <c r="T3880" s="179"/>
      <c r="U3880" s="179"/>
      <c r="V3880" s="179"/>
      <c r="W3880" s="180"/>
      <c r="X3880" s="181"/>
      <c r="Y3880" s="182"/>
      <c r="Z3880" s="182"/>
      <c r="AA3880" s="182"/>
      <c r="AB3880" s="182"/>
      <c r="AC3880" s="183"/>
      <c r="AD3880" s="183"/>
      <c r="AE3880" s="183"/>
      <c r="AF3880" s="184"/>
      <c r="AG3880" s="180"/>
      <c r="AH3880" s="185"/>
      <c r="AI3880" s="182"/>
      <c r="AJ3880" s="182"/>
      <c r="AK3880" s="182"/>
      <c r="AL3880" s="182"/>
    </row>
    <row r="3881" ht="20.25" customHeight="1">
      <c r="A3881" s="169"/>
      <c r="B3881" s="170"/>
      <c r="C3881" s="170"/>
      <c r="D3881" s="170"/>
      <c r="E3881" s="171"/>
      <c r="F3881" s="172"/>
      <c r="G3881" s="173"/>
      <c r="H3881" s="174"/>
      <c r="I3881" s="175"/>
      <c r="J3881" s="172"/>
      <c r="K3881" s="176"/>
      <c r="L3881" s="176"/>
      <c r="M3881" s="176"/>
      <c r="N3881" s="177"/>
      <c r="O3881" s="177"/>
      <c r="P3881" s="178"/>
      <c r="Q3881" s="177"/>
      <c r="R3881" s="170"/>
      <c r="S3881" s="170"/>
      <c r="T3881" s="179"/>
      <c r="U3881" s="179"/>
      <c r="V3881" s="179"/>
      <c r="W3881" s="180"/>
      <c r="X3881" s="181"/>
      <c r="Y3881" s="182"/>
      <c r="Z3881" s="182"/>
      <c r="AA3881" s="182"/>
      <c r="AB3881" s="182"/>
      <c r="AC3881" s="183"/>
      <c r="AD3881" s="183"/>
      <c r="AE3881" s="183"/>
      <c r="AF3881" s="184"/>
      <c r="AG3881" s="180"/>
      <c r="AH3881" s="185"/>
      <c r="AI3881" s="182"/>
      <c r="AJ3881" s="182"/>
      <c r="AK3881" s="182"/>
      <c r="AL3881" s="182"/>
    </row>
    <row r="3882" ht="20.25" customHeight="1">
      <c r="A3882" s="169"/>
      <c r="B3882" s="170"/>
      <c r="C3882" s="170"/>
      <c r="D3882" s="170"/>
      <c r="E3882" s="171"/>
      <c r="F3882" s="172"/>
      <c r="G3882" s="173"/>
      <c r="H3882" s="174"/>
      <c r="I3882" s="175"/>
      <c r="J3882" s="172"/>
      <c r="K3882" s="176"/>
      <c r="L3882" s="176"/>
      <c r="M3882" s="176"/>
      <c r="N3882" s="177"/>
      <c r="O3882" s="177"/>
      <c r="P3882" s="178"/>
      <c r="Q3882" s="177"/>
      <c r="R3882" s="170"/>
      <c r="S3882" s="170"/>
      <c r="T3882" s="179"/>
      <c r="U3882" s="179"/>
      <c r="V3882" s="179"/>
      <c r="W3882" s="180"/>
      <c r="X3882" s="181"/>
      <c r="Y3882" s="182"/>
      <c r="Z3882" s="182"/>
      <c r="AA3882" s="182"/>
      <c r="AB3882" s="182"/>
      <c r="AC3882" s="183"/>
      <c r="AD3882" s="183"/>
      <c r="AE3882" s="183"/>
      <c r="AF3882" s="184"/>
      <c r="AG3882" s="180"/>
      <c r="AH3882" s="185"/>
      <c r="AI3882" s="182"/>
      <c r="AJ3882" s="182"/>
      <c r="AK3882" s="182"/>
      <c r="AL3882" s="182"/>
    </row>
    <row r="3883" ht="20.25" customHeight="1">
      <c r="A3883" s="169"/>
      <c r="B3883" s="170"/>
      <c r="C3883" s="170"/>
      <c r="D3883" s="170"/>
      <c r="E3883" s="171"/>
      <c r="F3883" s="172"/>
      <c r="G3883" s="173"/>
      <c r="H3883" s="174"/>
      <c r="I3883" s="175"/>
      <c r="J3883" s="172"/>
      <c r="K3883" s="176"/>
      <c r="L3883" s="176"/>
      <c r="M3883" s="176"/>
      <c r="N3883" s="177"/>
      <c r="O3883" s="177"/>
      <c r="P3883" s="178"/>
      <c r="Q3883" s="177"/>
      <c r="R3883" s="170"/>
      <c r="S3883" s="170"/>
      <c r="T3883" s="179"/>
      <c r="U3883" s="179"/>
      <c r="V3883" s="179"/>
      <c r="W3883" s="180"/>
      <c r="X3883" s="181"/>
      <c r="Y3883" s="182"/>
      <c r="Z3883" s="182"/>
      <c r="AA3883" s="182"/>
      <c r="AB3883" s="182"/>
      <c r="AC3883" s="183"/>
      <c r="AD3883" s="183"/>
      <c r="AE3883" s="183"/>
      <c r="AF3883" s="184"/>
      <c r="AG3883" s="180"/>
      <c r="AH3883" s="185"/>
      <c r="AI3883" s="182"/>
      <c r="AJ3883" s="182"/>
      <c r="AK3883" s="182"/>
      <c r="AL3883" s="182"/>
    </row>
    <row r="3884" ht="20.25" customHeight="1">
      <c r="A3884" s="169"/>
      <c r="B3884" s="170"/>
      <c r="C3884" s="170"/>
      <c r="D3884" s="170"/>
      <c r="E3884" s="171"/>
      <c r="F3884" s="172"/>
      <c r="G3884" s="173"/>
      <c r="H3884" s="174"/>
      <c r="I3884" s="175"/>
      <c r="J3884" s="172"/>
      <c r="K3884" s="176"/>
      <c r="L3884" s="176"/>
      <c r="M3884" s="176"/>
      <c r="N3884" s="177"/>
      <c r="O3884" s="177"/>
      <c r="P3884" s="178"/>
      <c r="Q3884" s="177"/>
      <c r="R3884" s="170"/>
      <c r="S3884" s="170"/>
      <c r="T3884" s="179"/>
      <c r="U3884" s="179"/>
      <c r="V3884" s="179"/>
      <c r="W3884" s="180"/>
      <c r="X3884" s="181"/>
      <c r="Y3884" s="182"/>
      <c r="Z3884" s="182"/>
      <c r="AA3884" s="182"/>
      <c r="AB3884" s="182"/>
      <c r="AC3884" s="183"/>
      <c r="AD3884" s="183"/>
      <c r="AE3884" s="183"/>
      <c r="AF3884" s="184"/>
      <c r="AG3884" s="180"/>
      <c r="AH3884" s="185"/>
      <c r="AI3884" s="182"/>
      <c r="AJ3884" s="182"/>
      <c r="AK3884" s="182"/>
      <c r="AL3884" s="182"/>
    </row>
    <row r="3885" ht="20.25" customHeight="1">
      <c r="A3885" s="169"/>
      <c r="B3885" s="170"/>
      <c r="C3885" s="170"/>
      <c r="D3885" s="170"/>
      <c r="E3885" s="171"/>
      <c r="F3885" s="172"/>
      <c r="G3885" s="173"/>
      <c r="H3885" s="174"/>
      <c r="I3885" s="175"/>
      <c r="J3885" s="172"/>
      <c r="K3885" s="176"/>
      <c r="L3885" s="176"/>
      <c r="M3885" s="176"/>
      <c r="N3885" s="177"/>
      <c r="O3885" s="177"/>
      <c r="P3885" s="178"/>
      <c r="Q3885" s="177"/>
      <c r="R3885" s="170"/>
      <c r="S3885" s="170"/>
      <c r="T3885" s="179"/>
      <c r="U3885" s="179"/>
      <c r="V3885" s="179"/>
      <c r="W3885" s="180"/>
      <c r="X3885" s="181"/>
      <c r="Y3885" s="182"/>
      <c r="Z3885" s="182"/>
      <c r="AA3885" s="182"/>
      <c r="AB3885" s="182"/>
      <c r="AC3885" s="183"/>
      <c r="AD3885" s="183"/>
      <c r="AE3885" s="183"/>
      <c r="AF3885" s="184"/>
      <c r="AG3885" s="180"/>
      <c r="AH3885" s="185"/>
      <c r="AI3885" s="182"/>
      <c r="AJ3885" s="182"/>
      <c r="AK3885" s="182"/>
      <c r="AL3885" s="182"/>
    </row>
    <row r="3886" ht="20.25" customHeight="1">
      <c r="A3886" s="169"/>
      <c r="B3886" s="170"/>
      <c r="C3886" s="170"/>
      <c r="D3886" s="170"/>
      <c r="E3886" s="171"/>
      <c r="F3886" s="172"/>
      <c r="G3886" s="173"/>
      <c r="H3886" s="174"/>
      <c r="I3886" s="175"/>
      <c r="J3886" s="172"/>
      <c r="K3886" s="176"/>
      <c r="L3886" s="176"/>
      <c r="M3886" s="176"/>
      <c r="N3886" s="177"/>
      <c r="O3886" s="177"/>
      <c r="P3886" s="178"/>
      <c r="Q3886" s="177"/>
      <c r="R3886" s="170"/>
      <c r="S3886" s="170"/>
      <c r="T3886" s="179"/>
      <c r="U3886" s="179"/>
      <c r="V3886" s="179"/>
      <c r="W3886" s="180"/>
      <c r="X3886" s="181"/>
      <c r="Y3886" s="182"/>
      <c r="Z3886" s="182"/>
      <c r="AA3886" s="182"/>
      <c r="AB3886" s="182"/>
      <c r="AC3886" s="183"/>
      <c r="AD3886" s="183"/>
      <c r="AE3886" s="183"/>
      <c r="AF3886" s="184"/>
      <c r="AG3886" s="180"/>
      <c r="AH3886" s="185"/>
      <c r="AI3886" s="182"/>
      <c r="AJ3886" s="182"/>
      <c r="AK3886" s="182"/>
      <c r="AL3886" s="182"/>
    </row>
    <row r="3887" ht="20.25" customHeight="1">
      <c r="A3887" s="169"/>
      <c r="B3887" s="170"/>
      <c r="C3887" s="170"/>
      <c r="D3887" s="170"/>
      <c r="E3887" s="171"/>
      <c r="F3887" s="172"/>
      <c r="G3887" s="173"/>
      <c r="H3887" s="174"/>
      <c r="I3887" s="175"/>
      <c r="J3887" s="172"/>
      <c r="K3887" s="176"/>
      <c r="L3887" s="176"/>
      <c r="M3887" s="176"/>
      <c r="N3887" s="177"/>
      <c r="O3887" s="177"/>
      <c r="P3887" s="178"/>
      <c r="Q3887" s="177"/>
      <c r="R3887" s="170"/>
      <c r="S3887" s="170"/>
      <c r="T3887" s="179"/>
      <c r="U3887" s="179"/>
      <c r="V3887" s="179"/>
      <c r="W3887" s="180"/>
      <c r="X3887" s="181"/>
      <c r="Y3887" s="182"/>
      <c r="Z3887" s="182"/>
      <c r="AA3887" s="182"/>
      <c r="AB3887" s="182"/>
      <c r="AC3887" s="183"/>
      <c r="AD3887" s="183"/>
      <c r="AE3887" s="183"/>
      <c r="AF3887" s="184"/>
      <c r="AG3887" s="180"/>
      <c r="AH3887" s="185"/>
      <c r="AI3887" s="182"/>
      <c r="AJ3887" s="182"/>
      <c r="AK3887" s="182"/>
      <c r="AL3887" s="182"/>
    </row>
    <row r="3888" ht="20.25" customHeight="1">
      <c r="A3888" s="169"/>
      <c r="B3888" s="170"/>
      <c r="C3888" s="170"/>
      <c r="D3888" s="170"/>
      <c r="E3888" s="171"/>
      <c r="F3888" s="172"/>
      <c r="G3888" s="173"/>
      <c r="H3888" s="174"/>
      <c r="I3888" s="175"/>
      <c r="J3888" s="172"/>
      <c r="K3888" s="176"/>
      <c r="L3888" s="176"/>
      <c r="M3888" s="176"/>
      <c r="N3888" s="177"/>
      <c r="O3888" s="177"/>
      <c r="P3888" s="178"/>
      <c r="Q3888" s="177"/>
      <c r="R3888" s="170"/>
      <c r="S3888" s="170"/>
      <c r="T3888" s="179"/>
      <c r="U3888" s="179"/>
      <c r="V3888" s="179"/>
      <c r="W3888" s="180"/>
      <c r="X3888" s="181"/>
      <c r="Y3888" s="182"/>
      <c r="Z3888" s="182"/>
      <c r="AA3888" s="182"/>
      <c r="AB3888" s="182"/>
      <c r="AC3888" s="183"/>
      <c r="AD3888" s="183"/>
      <c r="AE3888" s="183"/>
      <c r="AF3888" s="184"/>
      <c r="AG3888" s="180"/>
      <c r="AH3888" s="185"/>
      <c r="AI3888" s="182"/>
      <c r="AJ3888" s="182"/>
      <c r="AK3888" s="182"/>
      <c r="AL3888" s="182"/>
    </row>
    <row r="3889" ht="20.25" customHeight="1">
      <c r="A3889" s="169"/>
      <c r="B3889" s="170"/>
      <c r="C3889" s="170"/>
      <c r="D3889" s="170"/>
      <c r="E3889" s="171"/>
      <c r="F3889" s="172"/>
      <c r="G3889" s="173"/>
      <c r="H3889" s="174"/>
      <c r="I3889" s="175"/>
      <c r="J3889" s="172"/>
      <c r="K3889" s="176"/>
      <c r="L3889" s="176"/>
      <c r="M3889" s="176"/>
      <c r="N3889" s="177"/>
      <c r="O3889" s="177"/>
      <c r="P3889" s="178"/>
      <c r="Q3889" s="177"/>
      <c r="R3889" s="170"/>
      <c r="S3889" s="170"/>
      <c r="T3889" s="179"/>
      <c r="U3889" s="179"/>
      <c r="V3889" s="179"/>
      <c r="W3889" s="180"/>
      <c r="X3889" s="181"/>
      <c r="Y3889" s="182"/>
      <c r="Z3889" s="182"/>
      <c r="AA3889" s="182"/>
      <c r="AB3889" s="182"/>
      <c r="AC3889" s="183"/>
      <c r="AD3889" s="183"/>
      <c r="AE3889" s="183"/>
      <c r="AF3889" s="184"/>
      <c r="AG3889" s="180"/>
      <c r="AH3889" s="185"/>
      <c r="AI3889" s="182"/>
      <c r="AJ3889" s="182"/>
      <c r="AK3889" s="182"/>
      <c r="AL3889" s="182"/>
    </row>
    <row r="3890" ht="20.25" customHeight="1">
      <c r="A3890" s="169"/>
      <c r="B3890" s="170"/>
      <c r="C3890" s="170"/>
      <c r="D3890" s="170"/>
      <c r="E3890" s="171"/>
      <c r="F3890" s="172"/>
      <c r="G3890" s="173"/>
      <c r="H3890" s="174"/>
      <c r="I3890" s="175"/>
      <c r="J3890" s="172"/>
      <c r="K3890" s="176"/>
      <c r="L3890" s="176"/>
      <c r="M3890" s="176"/>
      <c r="N3890" s="177"/>
      <c r="O3890" s="177"/>
      <c r="P3890" s="178"/>
      <c r="Q3890" s="177"/>
      <c r="R3890" s="170"/>
      <c r="S3890" s="170"/>
      <c r="T3890" s="179"/>
      <c r="U3890" s="179"/>
      <c r="V3890" s="179"/>
      <c r="W3890" s="180"/>
      <c r="X3890" s="181"/>
      <c r="Y3890" s="182"/>
      <c r="Z3890" s="182"/>
      <c r="AA3890" s="182"/>
      <c r="AB3890" s="182"/>
      <c r="AC3890" s="183"/>
      <c r="AD3890" s="183"/>
      <c r="AE3890" s="183"/>
      <c r="AF3890" s="184"/>
      <c r="AG3890" s="180"/>
      <c r="AH3890" s="185"/>
      <c r="AI3890" s="182"/>
      <c r="AJ3890" s="182"/>
      <c r="AK3890" s="182"/>
      <c r="AL3890" s="182"/>
    </row>
    <row r="3891" ht="20.25" customHeight="1">
      <c r="A3891" s="169"/>
      <c r="B3891" s="170"/>
      <c r="C3891" s="170"/>
      <c r="D3891" s="170"/>
      <c r="E3891" s="171"/>
      <c r="F3891" s="172"/>
      <c r="G3891" s="173"/>
      <c r="H3891" s="174"/>
      <c r="I3891" s="175"/>
      <c r="J3891" s="172"/>
      <c r="K3891" s="176"/>
      <c r="L3891" s="176"/>
      <c r="M3891" s="176"/>
      <c r="N3891" s="177"/>
      <c r="O3891" s="177"/>
      <c r="P3891" s="178"/>
      <c r="Q3891" s="177"/>
      <c r="R3891" s="170"/>
      <c r="S3891" s="170"/>
      <c r="T3891" s="179"/>
      <c r="U3891" s="179"/>
      <c r="V3891" s="179"/>
      <c r="W3891" s="180"/>
      <c r="X3891" s="181"/>
      <c r="Y3891" s="182"/>
      <c r="Z3891" s="182"/>
      <c r="AA3891" s="182"/>
      <c r="AB3891" s="182"/>
      <c r="AC3891" s="183"/>
      <c r="AD3891" s="183"/>
      <c r="AE3891" s="183"/>
      <c r="AF3891" s="184"/>
      <c r="AG3891" s="180"/>
      <c r="AH3891" s="185"/>
      <c r="AI3891" s="182"/>
      <c r="AJ3891" s="182"/>
      <c r="AK3891" s="182"/>
      <c r="AL3891" s="182"/>
    </row>
    <row r="3892" ht="20.25" customHeight="1">
      <c r="A3892" s="169"/>
      <c r="B3892" s="170"/>
      <c r="C3892" s="170"/>
      <c r="D3892" s="170"/>
      <c r="E3892" s="171"/>
      <c r="F3892" s="172"/>
      <c r="G3892" s="173"/>
      <c r="H3892" s="174"/>
      <c r="I3892" s="175"/>
      <c r="J3892" s="172"/>
      <c r="K3892" s="176"/>
      <c r="L3892" s="176"/>
      <c r="M3892" s="176"/>
      <c r="N3892" s="177"/>
      <c r="O3892" s="177"/>
      <c r="P3892" s="178"/>
      <c r="Q3892" s="177"/>
      <c r="R3892" s="170"/>
      <c r="S3892" s="170"/>
      <c r="T3892" s="179"/>
      <c r="U3892" s="179"/>
      <c r="V3892" s="179"/>
      <c r="W3892" s="180"/>
      <c r="X3892" s="181"/>
      <c r="Y3892" s="182"/>
      <c r="Z3892" s="182"/>
      <c r="AA3892" s="182"/>
      <c r="AB3892" s="182"/>
      <c r="AC3892" s="183"/>
      <c r="AD3892" s="183"/>
      <c r="AE3892" s="183"/>
      <c r="AF3892" s="184"/>
      <c r="AG3892" s="180"/>
      <c r="AH3892" s="185"/>
      <c r="AI3892" s="182"/>
      <c r="AJ3892" s="182"/>
      <c r="AK3892" s="182"/>
      <c r="AL3892" s="182"/>
    </row>
    <row r="3893" ht="20.25" customHeight="1">
      <c r="A3893" s="169"/>
      <c r="B3893" s="170"/>
      <c r="C3893" s="170"/>
      <c r="D3893" s="170"/>
      <c r="E3893" s="171"/>
      <c r="F3893" s="172"/>
      <c r="G3893" s="173"/>
      <c r="H3893" s="174"/>
      <c r="I3893" s="175"/>
      <c r="J3893" s="172"/>
      <c r="K3893" s="176"/>
      <c r="L3893" s="176"/>
      <c r="M3893" s="176"/>
      <c r="N3893" s="177"/>
      <c r="O3893" s="177"/>
      <c r="P3893" s="178"/>
      <c r="Q3893" s="177"/>
      <c r="R3893" s="170"/>
      <c r="S3893" s="170"/>
      <c r="T3893" s="179"/>
      <c r="U3893" s="179"/>
      <c r="V3893" s="179"/>
      <c r="W3893" s="180"/>
      <c r="X3893" s="181"/>
      <c r="Y3893" s="182"/>
      <c r="Z3893" s="182"/>
      <c r="AA3893" s="182"/>
      <c r="AB3893" s="182"/>
      <c r="AC3893" s="183"/>
      <c r="AD3893" s="183"/>
      <c r="AE3893" s="183"/>
      <c r="AF3893" s="184"/>
      <c r="AG3893" s="180"/>
      <c r="AH3893" s="185"/>
      <c r="AI3893" s="182"/>
      <c r="AJ3893" s="182"/>
      <c r="AK3893" s="182"/>
      <c r="AL3893" s="182"/>
    </row>
    <row r="3894" ht="20.25" customHeight="1">
      <c r="A3894" s="169"/>
      <c r="B3894" s="170"/>
      <c r="C3894" s="170"/>
      <c r="D3894" s="170"/>
      <c r="E3894" s="171"/>
      <c r="F3894" s="172"/>
      <c r="G3894" s="173"/>
      <c r="H3894" s="174"/>
      <c r="I3894" s="175"/>
      <c r="J3894" s="172"/>
      <c r="K3894" s="176"/>
      <c r="L3894" s="176"/>
      <c r="M3894" s="176"/>
      <c r="N3894" s="177"/>
      <c r="O3894" s="177"/>
      <c r="P3894" s="178"/>
      <c r="Q3894" s="177"/>
      <c r="R3894" s="170"/>
      <c r="S3894" s="170"/>
      <c r="T3894" s="179"/>
      <c r="U3894" s="179"/>
      <c r="V3894" s="179"/>
      <c r="W3894" s="180"/>
      <c r="X3894" s="181"/>
      <c r="Y3894" s="182"/>
      <c r="Z3894" s="182"/>
      <c r="AA3894" s="182"/>
      <c r="AB3894" s="182"/>
      <c r="AC3894" s="183"/>
      <c r="AD3894" s="183"/>
      <c r="AE3894" s="183"/>
      <c r="AF3894" s="184"/>
      <c r="AG3894" s="180"/>
      <c r="AH3894" s="185"/>
      <c r="AI3894" s="182"/>
      <c r="AJ3894" s="182"/>
      <c r="AK3894" s="182"/>
      <c r="AL3894" s="182"/>
    </row>
    <row r="3895" ht="20.25" customHeight="1">
      <c r="A3895" s="169"/>
      <c r="B3895" s="170"/>
      <c r="C3895" s="170"/>
      <c r="D3895" s="170"/>
      <c r="E3895" s="171"/>
      <c r="F3895" s="172"/>
      <c r="G3895" s="173"/>
      <c r="H3895" s="174"/>
      <c r="I3895" s="175"/>
      <c r="J3895" s="172"/>
      <c r="K3895" s="176"/>
      <c r="L3895" s="176"/>
      <c r="M3895" s="176"/>
      <c r="N3895" s="177"/>
      <c r="O3895" s="177"/>
      <c r="P3895" s="178"/>
      <c r="Q3895" s="177"/>
      <c r="R3895" s="170"/>
      <c r="S3895" s="170"/>
      <c r="T3895" s="179"/>
      <c r="U3895" s="179"/>
      <c r="V3895" s="179"/>
      <c r="W3895" s="180"/>
      <c r="X3895" s="181"/>
      <c r="Y3895" s="182"/>
      <c r="Z3895" s="182"/>
      <c r="AA3895" s="182"/>
      <c r="AB3895" s="182"/>
      <c r="AC3895" s="183"/>
      <c r="AD3895" s="183"/>
      <c r="AE3895" s="183"/>
      <c r="AF3895" s="184"/>
      <c r="AG3895" s="180"/>
      <c r="AH3895" s="185"/>
      <c r="AI3895" s="182"/>
      <c r="AJ3895" s="182"/>
      <c r="AK3895" s="182"/>
      <c r="AL3895" s="182"/>
    </row>
    <row r="3896" ht="20.25" customHeight="1">
      <c r="A3896" s="169"/>
      <c r="B3896" s="170"/>
      <c r="C3896" s="170"/>
      <c r="D3896" s="170"/>
      <c r="E3896" s="171"/>
      <c r="F3896" s="172"/>
      <c r="G3896" s="173"/>
      <c r="H3896" s="174"/>
      <c r="I3896" s="175"/>
      <c r="J3896" s="172"/>
      <c r="K3896" s="176"/>
      <c r="L3896" s="176"/>
      <c r="M3896" s="176"/>
      <c r="N3896" s="177"/>
      <c r="O3896" s="177"/>
      <c r="P3896" s="178"/>
      <c r="Q3896" s="177"/>
      <c r="R3896" s="170"/>
      <c r="S3896" s="170"/>
      <c r="T3896" s="179"/>
      <c r="U3896" s="179"/>
      <c r="V3896" s="179"/>
      <c r="W3896" s="180"/>
      <c r="X3896" s="181"/>
      <c r="Y3896" s="182"/>
      <c r="Z3896" s="182"/>
      <c r="AA3896" s="182"/>
      <c r="AB3896" s="182"/>
      <c r="AC3896" s="183"/>
      <c r="AD3896" s="183"/>
      <c r="AE3896" s="183"/>
      <c r="AF3896" s="184"/>
      <c r="AG3896" s="180"/>
      <c r="AH3896" s="185"/>
      <c r="AI3896" s="182"/>
      <c r="AJ3896" s="182"/>
      <c r="AK3896" s="182"/>
      <c r="AL3896" s="182"/>
    </row>
    <row r="3897" ht="20.25" customHeight="1">
      <c r="A3897" s="169"/>
      <c r="B3897" s="170"/>
      <c r="C3897" s="170"/>
      <c r="D3897" s="170"/>
      <c r="E3897" s="171"/>
      <c r="F3897" s="172"/>
      <c r="G3897" s="173"/>
      <c r="H3897" s="174"/>
      <c r="I3897" s="175"/>
      <c r="J3897" s="172"/>
      <c r="K3897" s="176"/>
      <c r="L3897" s="176"/>
      <c r="M3897" s="176"/>
      <c r="N3897" s="177"/>
      <c r="O3897" s="177"/>
      <c r="P3897" s="178"/>
      <c r="Q3897" s="177"/>
      <c r="R3897" s="170"/>
      <c r="S3897" s="170"/>
      <c r="T3897" s="179"/>
      <c r="U3897" s="179"/>
      <c r="V3897" s="179"/>
      <c r="W3897" s="180"/>
      <c r="X3897" s="181"/>
      <c r="Y3897" s="182"/>
      <c r="Z3897" s="182"/>
      <c r="AA3897" s="182"/>
      <c r="AB3897" s="182"/>
      <c r="AC3897" s="183"/>
      <c r="AD3897" s="183"/>
      <c r="AE3897" s="183"/>
      <c r="AF3897" s="184"/>
      <c r="AG3897" s="180"/>
      <c r="AH3897" s="185"/>
      <c r="AI3897" s="182"/>
      <c r="AJ3897" s="182"/>
      <c r="AK3897" s="182"/>
      <c r="AL3897" s="182"/>
    </row>
    <row r="3898" ht="20.25" customHeight="1">
      <c r="A3898" s="169"/>
      <c r="B3898" s="170"/>
      <c r="C3898" s="170"/>
      <c r="D3898" s="170"/>
      <c r="E3898" s="171"/>
      <c r="F3898" s="172"/>
      <c r="G3898" s="173"/>
      <c r="H3898" s="174"/>
      <c r="I3898" s="175"/>
      <c r="J3898" s="172"/>
      <c r="K3898" s="176"/>
      <c r="L3898" s="176"/>
      <c r="M3898" s="176"/>
      <c r="N3898" s="177"/>
      <c r="O3898" s="177"/>
      <c r="P3898" s="178"/>
      <c r="Q3898" s="177"/>
      <c r="R3898" s="170"/>
      <c r="S3898" s="170"/>
      <c r="T3898" s="179"/>
      <c r="U3898" s="179"/>
      <c r="V3898" s="179"/>
      <c r="W3898" s="180"/>
      <c r="X3898" s="181"/>
      <c r="Y3898" s="182"/>
      <c r="Z3898" s="182"/>
      <c r="AA3898" s="182"/>
      <c r="AB3898" s="182"/>
      <c r="AC3898" s="183"/>
      <c r="AD3898" s="183"/>
      <c r="AE3898" s="183"/>
      <c r="AF3898" s="184"/>
      <c r="AG3898" s="180"/>
      <c r="AH3898" s="185"/>
      <c r="AI3898" s="182"/>
      <c r="AJ3898" s="182"/>
      <c r="AK3898" s="182"/>
      <c r="AL3898" s="182"/>
    </row>
    <row r="3899" ht="20.25" customHeight="1">
      <c r="A3899" s="169"/>
      <c r="B3899" s="170"/>
      <c r="C3899" s="170"/>
      <c r="D3899" s="170"/>
      <c r="E3899" s="171"/>
      <c r="F3899" s="172"/>
      <c r="G3899" s="173"/>
      <c r="H3899" s="174"/>
      <c r="I3899" s="175"/>
      <c r="J3899" s="172"/>
      <c r="K3899" s="176"/>
      <c r="L3899" s="176"/>
      <c r="M3899" s="176"/>
      <c r="N3899" s="177"/>
      <c r="O3899" s="177"/>
      <c r="P3899" s="178"/>
      <c r="Q3899" s="177"/>
      <c r="R3899" s="170"/>
      <c r="S3899" s="170"/>
      <c r="T3899" s="179"/>
      <c r="U3899" s="179"/>
      <c r="V3899" s="179"/>
      <c r="W3899" s="180"/>
      <c r="X3899" s="181"/>
      <c r="Y3899" s="182"/>
      <c r="Z3899" s="182"/>
      <c r="AA3899" s="182"/>
      <c r="AB3899" s="182"/>
      <c r="AC3899" s="183"/>
      <c r="AD3899" s="183"/>
      <c r="AE3899" s="183"/>
      <c r="AF3899" s="184"/>
      <c r="AG3899" s="180"/>
      <c r="AH3899" s="185"/>
      <c r="AI3899" s="182"/>
      <c r="AJ3899" s="182"/>
      <c r="AK3899" s="182"/>
      <c r="AL3899" s="182"/>
    </row>
    <row r="3900" ht="20.25" customHeight="1">
      <c r="A3900" s="169"/>
      <c r="B3900" s="170"/>
      <c r="C3900" s="170"/>
      <c r="D3900" s="170"/>
      <c r="E3900" s="171"/>
      <c r="F3900" s="172"/>
      <c r="G3900" s="173"/>
      <c r="H3900" s="174"/>
      <c r="I3900" s="175"/>
      <c r="J3900" s="172"/>
      <c r="K3900" s="176"/>
      <c r="L3900" s="176"/>
      <c r="M3900" s="176"/>
      <c r="N3900" s="177"/>
      <c r="O3900" s="177"/>
      <c r="P3900" s="178"/>
      <c r="Q3900" s="177"/>
      <c r="R3900" s="170"/>
      <c r="S3900" s="170"/>
      <c r="T3900" s="179"/>
      <c r="U3900" s="179"/>
      <c r="V3900" s="179"/>
      <c r="W3900" s="180"/>
      <c r="X3900" s="181"/>
      <c r="Y3900" s="182"/>
      <c r="Z3900" s="182"/>
      <c r="AA3900" s="182"/>
      <c r="AB3900" s="182"/>
      <c r="AC3900" s="183"/>
      <c r="AD3900" s="183"/>
      <c r="AE3900" s="183"/>
      <c r="AF3900" s="184"/>
      <c r="AG3900" s="180"/>
      <c r="AH3900" s="185"/>
      <c r="AI3900" s="182"/>
      <c r="AJ3900" s="182"/>
      <c r="AK3900" s="182"/>
      <c r="AL3900" s="182"/>
    </row>
    <row r="3901" ht="20.25" customHeight="1">
      <c r="A3901" s="169"/>
      <c r="B3901" s="170"/>
      <c r="C3901" s="170"/>
      <c r="D3901" s="170"/>
      <c r="E3901" s="171"/>
      <c r="F3901" s="172"/>
      <c r="G3901" s="173"/>
      <c r="H3901" s="174"/>
      <c r="I3901" s="175"/>
      <c r="J3901" s="172"/>
      <c r="K3901" s="176"/>
      <c r="L3901" s="176"/>
      <c r="M3901" s="176"/>
      <c r="N3901" s="177"/>
      <c r="O3901" s="177"/>
      <c r="P3901" s="178"/>
      <c r="Q3901" s="177"/>
      <c r="R3901" s="170"/>
      <c r="S3901" s="170"/>
      <c r="T3901" s="179"/>
      <c r="U3901" s="179"/>
      <c r="V3901" s="179"/>
      <c r="W3901" s="180"/>
      <c r="X3901" s="181"/>
      <c r="Y3901" s="182"/>
      <c r="Z3901" s="182"/>
      <c r="AA3901" s="182"/>
      <c r="AB3901" s="182"/>
      <c r="AC3901" s="183"/>
      <c r="AD3901" s="183"/>
      <c r="AE3901" s="183"/>
      <c r="AF3901" s="184"/>
      <c r="AG3901" s="180"/>
      <c r="AH3901" s="185"/>
      <c r="AI3901" s="182"/>
      <c r="AJ3901" s="182"/>
      <c r="AK3901" s="182"/>
      <c r="AL3901" s="182"/>
    </row>
    <row r="3902" ht="20.25" customHeight="1">
      <c r="A3902" s="169"/>
      <c r="B3902" s="170"/>
      <c r="C3902" s="170"/>
      <c r="D3902" s="170"/>
      <c r="E3902" s="171"/>
      <c r="F3902" s="172"/>
      <c r="G3902" s="173"/>
      <c r="H3902" s="174"/>
      <c r="I3902" s="175"/>
      <c r="J3902" s="172"/>
      <c r="K3902" s="176"/>
      <c r="L3902" s="176"/>
      <c r="M3902" s="176"/>
      <c r="N3902" s="177"/>
      <c r="O3902" s="177"/>
      <c r="P3902" s="178"/>
      <c r="Q3902" s="177"/>
      <c r="R3902" s="170"/>
      <c r="S3902" s="170"/>
      <c r="T3902" s="179"/>
      <c r="U3902" s="179"/>
      <c r="V3902" s="179"/>
      <c r="W3902" s="180"/>
      <c r="X3902" s="181"/>
      <c r="Y3902" s="182"/>
      <c r="Z3902" s="182"/>
      <c r="AA3902" s="182"/>
      <c r="AB3902" s="182"/>
      <c r="AC3902" s="183"/>
      <c r="AD3902" s="183"/>
      <c r="AE3902" s="183"/>
      <c r="AF3902" s="184"/>
      <c r="AG3902" s="180"/>
      <c r="AH3902" s="185"/>
      <c r="AI3902" s="182"/>
      <c r="AJ3902" s="182"/>
      <c r="AK3902" s="182"/>
      <c r="AL3902" s="182"/>
    </row>
    <row r="3903" ht="20.25" customHeight="1">
      <c r="A3903" s="169"/>
      <c r="B3903" s="170"/>
      <c r="C3903" s="170"/>
      <c r="D3903" s="170"/>
      <c r="E3903" s="171"/>
      <c r="F3903" s="172"/>
      <c r="G3903" s="173"/>
      <c r="H3903" s="174"/>
      <c r="I3903" s="175"/>
      <c r="J3903" s="172"/>
      <c r="K3903" s="176"/>
      <c r="L3903" s="176"/>
      <c r="M3903" s="176"/>
      <c r="N3903" s="177"/>
      <c r="O3903" s="177"/>
      <c r="P3903" s="178"/>
      <c r="Q3903" s="177"/>
      <c r="R3903" s="170"/>
      <c r="S3903" s="170"/>
      <c r="T3903" s="179"/>
      <c r="U3903" s="179"/>
      <c r="V3903" s="179"/>
      <c r="W3903" s="180"/>
      <c r="X3903" s="181"/>
      <c r="Y3903" s="182"/>
      <c r="Z3903" s="182"/>
      <c r="AA3903" s="182"/>
      <c r="AB3903" s="182"/>
      <c r="AC3903" s="183"/>
      <c r="AD3903" s="183"/>
      <c r="AE3903" s="183"/>
      <c r="AF3903" s="184"/>
      <c r="AG3903" s="180"/>
      <c r="AH3903" s="185"/>
      <c r="AI3903" s="182"/>
      <c r="AJ3903" s="182"/>
      <c r="AK3903" s="182"/>
      <c r="AL3903" s="182"/>
    </row>
    <row r="3904" ht="20.25" customHeight="1">
      <c r="A3904" s="169"/>
      <c r="B3904" s="170"/>
      <c r="C3904" s="170"/>
      <c r="D3904" s="170"/>
      <c r="E3904" s="171"/>
      <c r="F3904" s="172"/>
      <c r="G3904" s="173"/>
      <c r="H3904" s="174"/>
      <c r="I3904" s="175"/>
      <c r="J3904" s="172"/>
      <c r="K3904" s="176"/>
      <c r="L3904" s="176"/>
      <c r="M3904" s="176"/>
      <c r="N3904" s="177"/>
      <c r="O3904" s="177"/>
      <c r="P3904" s="178"/>
      <c r="Q3904" s="177"/>
      <c r="R3904" s="170"/>
      <c r="S3904" s="170"/>
      <c r="T3904" s="179"/>
      <c r="U3904" s="179"/>
      <c r="V3904" s="179"/>
      <c r="W3904" s="180"/>
      <c r="X3904" s="181"/>
      <c r="Y3904" s="182"/>
      <c r="Z3904" s="182"/>
      <c r="AA3904" s="182"/>
      <c r="AB3904" s="182"/>
      <c r="AC3904" s="183"/>
      <c r="AD3904" s="183"/>
      <c r="AE3904" s="183"/>
      <c r="AF3904" s="184"/>
      <c r="AG3904" s="180"/>
      <c r="AH3904" s="185"/>
      <c r="AI3904" s="182"/>
      <c r="AJ3904" s="182"/>
      <c r="AK3904" s="182"/>
      <c r="AL3904" s="182"/>
    </row>
    <row r="3905" ht="20.25" customHeight="1">
      <c r="A3905" s="169"/>
      <c r="B3905" s="170"/>
      <c r="C3905" s="170"/>
      <c r="D3905" s="170"/>
      <c r="E3905" s="171"/>
      <c r="F3905" s="172"/>
      <c r="G3905" s="173"/>
      <c r="H3905" s="174"/>
      <c r="I3905" s="175"/>
      <c r="J3905" s="172"/>
      <c r="K3905" s="176"/>
      <c r="L3905" s="176"/>
      <c r="M3905" s="176"/>
      <c r="N3905" s="177"/>
      <c r="O3905" s="177"/>
      <c r="P3905" s="178"/>
      <c r="Q3905" s="177"/>
      <c r="R3905" s="170"/>
      <c r="S3905" s="170"/>
      <c r="T3905" s="179"/>
      <c r="U3905" s="179"/>
      <c r="V3905" s="179"/>
      <c r="W3905" s="180"/>
      <c r="X3905" s="181"/>
      <c r="Y3905" s="182"/>
      <c r="Z3905" s="182"/>
      <c r="AA3905" s="182"/>
      <c r="AB3905" s="182"/>
      <c r="AC3905" s="183"/>
      <c r="AD3905" s="183"/>
      <c r="AE3905" s="183"/>
      <c r="AF3905" s="184"/>
      <c r="AG3905" s="180"/>
      <c r="AH3905" s="185"/>
      <c r="AI3905" s="182"/>
      <c r="AJ3905" s="182"/>
      <c r="AK3905" s="182"/>
      <c r="AL3905" s="182"/>
    </row>
    <row r="3906" ht="20.25" customHeight="1">
      <c r="A3906" s="169"/>
      <c r="B3906" s="170"/>
      <c r="C3906" s="170"/>
      <c r="D3906" s="170"/>
      <c r="E3906" s="171"/>
      <c r="F3906" s="172"/>
      <c r="G3906" s="173"/>
      <c r="H3906" s="174"/>
      <c r="I3906" s="175"/>
      <c r="J3906" s="172"/>
      <c r="K3906" s="176"/>
      <c r="L3906" s="176"/>
      <c r="M3906" s="176"/>
      <c r="N3906" s="177"/>
      <c r="O3906" s="177"/>
      <c r="P3906" s="178"/>
      <c r="Q3906" s="177"/>
      <c r="R3906" s="170"/>
      <c r="S3906" s="170"/>
      <c r="T3906" s="179"/>
      <c r="U3906" s="179"/>
      <c r="V3906" s="179"/>
      <c r="W3906" s="180"/>
      <c r="X3906" s="181"/>
      <c r="Y3906" s="182"/>
      <c r="Z3906" s="182"/>
      <c r="AA3906" s="182"/>
      <c r="AB3906" s="182"/>
      <c r="AC3906" s="183"/>
      <c r="AD3906" s="183"/>
      <c r="AE3906" s="183"/>
      <c r="AF3906" s="184"/>
      <c r="AG3906" s="180"/>
      <c r="AH3906" s="185"/>
      <c r="AI3906" s="182"/>
      <c r="AJ3906" s="182"/>
      <c r="AK3906" s="182"/>
      <c r="AL3906" s="182"/>
    </row>
    <row r="3907" ht="20.25" customHeight="1">
      <c r="A3907" s="169"/>
      <c r="B3907" s="170"/>
      <c r="C3907" s="170"/>
      <c r="D3907" s="170"/>
      <c r="E3907" s="171"/>
      <c r="F3907" s="172"/>
      <c r="G3907" s="173"/>
      <c r="H3907" s="174"/>
      <c r="I3907" s="175"/>
      <c r="J3907" s="172"/>
      <c r="K3907" s="176"/>
      <c r="L3907" s="176"/>
      <c r="M3907" s="176"/>
      <c r="N3907" s="177"/>
      <c r="O3907" s="177"/>
      <c r="P3907" s="178"/>
      <c r="Q3907" s="177"/>
      <c r="R3907" s="170"/>
      <c r="S3907" s="170"/>
      <c r="T3907" s="179"/>
      <c r="U3907" s="179"/>
      <c r="V3907" s="179"/>
      <c r="W3907" s="180"/>
      <c r="X3907" s="181"/>
      <c r="Y3907" s="182"/>
      <c r="Z3907" s="182"/>
      <c r="AA3907" s="182"/>
      <c r="AB3907" s="182"/>
      <c r="AC3907" s="183"/>
      <c r="AD3907" s="183"/>
      <c r="AE3907" s="183"/>
      <c r="AF3907" s="184"/>
      <c r="AG3907" s="180"/>
      <c r="AH3907" s="185"/>
      <c r="AI3907" s="182"/>
      <c r="AJ3907" s="182"/>
      <c r="AK3907" s="182"/>
      <c r="AL3907" s="182"/>
    </row>
    <row r="3908" ht="20.25" customHeight="1">
      <c r="A3908" s="169"/>
      <c r="B3908" s="170"/>
      <c r="C3908" s="170"/>
      <c r="D3908" s="170"/>
      <c r="E3908" s="171"/>
      <c r="F3908" s="172"/>
      <c r="G3908" s="173"/>
      <c r="H3908" s="174"/>
      <c r="I3908" s="175"/>
      <c r="J3908" s="172"/>
      <c r="K3908" s="176"/>
      <c r="L3908" s="176"/>
      <c r="M3908" s="176"/>
      <c r="N3908" s="177"/>
      <c r="O3908" s="177"/>
      <c r="P3908" s="178"/>
      <c r="Q3908" s="177"/>
      <c r="R3908" s="170"/>
      <c r="S3908" s="170"/>
      <c r="T3908" s="179"/>
      <c r="U3908" s="179"/>
      <c r="V3908" s="179"/>
      <c r="W3908" s="180"/>
      <c r="X3908" s="181"/>
      <c r="Y3908" s="182"/>
      <c r="Z3908" s="182"/>
      <c r="AA3908" s="182"/>
      <c r="AB3908" s="182"/>
      <c r="AC3908" s="183"/>
      <c r="AD3908" s="183"/>
      <c r="AE3908" s="183"/>
      <c r="AF3908" s="184"/>
      <c r="AG3908" s="180"/>
      <c r="AH3908" s="185"/>
      <c r="AI3908" s="182"/>
      <c r="AJ3908" s="182"/>
      <c r="AK3908" s="182"/>
      <c r="AL3908" s="182"/>
    </row>
    <row r="3909" ht="20.25" customHeight="1">
      <c r="A3909" s="169"/>
      <c r="B3909" s="170"/>
      <c r="C3909" s="170"/>
      <c r="D3909" s="170"/>
      <c r="E3909" s="171"/>
      <c r="F3909" s="172"/>
      <c r="G3909" s="173"/>
      <c r="H3909" s="174"/>
      <c r="I3909" s="175"/>
      <c r="J3909" s="172"/>
      <c r="K3909" s="176"/>
      <c r="L3909" s="176"/>
      <c r="M3909" s="176"/>
      <c r="N3909" s="177"/>
      <c r="O3909" s="177"/>
      <c r="P3909" s="178"/>
      <c r="Q3909" s="177"/>
      <c r="R3909" s="170"/>
      <c r="S3909" s="170"/>
      <c r="T3909" s="179"/>
      <c r="U3909" s="179"/>
      <c r="V3909" s="179"/>
      <c r="W3909" s="180"/>
      <c r="X3909" s="181"/>
      <c r="Y3909" s="182"/>
      <c r="Z3909" s="182"/>
      <c r="AA3909" s="182"/>
      <c r="AB3909" s="182"/>
      <c r="AC3909" s="183"/>
      <c r="AD3909" s="183"/>
      <c r="AE3909" s="183"/>
      <c r="AF3909" s="184"/>
      <c r="AG3909" s="180"/>
      <c r="AH3909" s="185"/>
      <c r="AI3909" s="182"/>
      <c r="AJ3909" s="182"/>
      <c r="AK3909" s="182"/>
      <c r="AL3909" s="182"/>
    </row>
    <row r="3910" ht="20.25" customHeight="1">
      <c r="A3910" s="169"/>
      <c r="B3910" s="170"/>
      <c r="C3910" s="170"/>
      <c r="D3910" s="170"/>
      <c r="E3910" s="171"/>
      <c r="F3910" s="172"/>
      <c r="G3910" s="173"/>
      <c r="H3910" s="174"/>
      <c r="I3910" s="175"/>
      <c r="J3910" s="172"/>
      <c r="K3910" s="176"/>
      <c r="L3910" s="176"/>
      <c r="M3910" s="176"/>
      <c r="N3910" s="177"/>
      <c r="O3910" s="177"/>
      <c r="P3910" s="178"/>
      <c r="Q3910" s="177"/>
      <c r="R3910" s="170"/>
      <c r="S3910" s="170"/>
      <c r="T3910" s="179"/>
      <c r="U3910" s="179"/>
      <c r="V3910" s="179"/>
      <c r="W3910" s="180"/>
      <c r="X3910" s="181"/>
      <c r="Y3910" s="182"/>
      <c r="Z3910" s="182"/>
      <c r="AA3910" s="182"/>
      <c r="AB3910" s="182"/>
      <c r="AC3910" s="183"/>
      <c r="AD3910" s="183"/>
      <c r="AE3910" s="183"/>
      <c r="AF3910" s="184"/>
      <c r="AG3910" s="180"/>
      <c r="AH3910" s="185"/>
      <c r="AI3910" s="182"/>
      <c r="AJ3910" s="182"/>
      <c r="AK3910" s="182"/>
      <c r="AL3910" s="182"/>
    </row>
    <row r="3911" ht="20.25" customHeight="1">
      <c r="A3911" s="169"/>
      <c r="B3911" s="170"/>
      <c r="C3911" s="170"/>
      <c r="D3911" s="170"/>
      <c r="E3911" s="171"/>
      <c r="F3911" s="172"/>
      <c r="G3911" s="173"/>
      <c r="H3911" s="174"/>
      <c r="I3911" s="175"/>
      <c r="J3911" s="172"/>
      <c r="K3911" s="176"/>
      <c r="L3911" s="176"/>
      <c r="M3911" s="176"/>
      <c r="N3911" s="177"/>
      <c r="O3911" s="177"/>
      <c r="P3911" s="178"/>
      <c r="Q3911" s="177"/>
      <c r="R3911" s="170"/>
      <c r="S3911" s="170"/>
      <c r="T3911" s="179"/>
      <c r="U3911" s="179"/>
      <c r="V3911" s="179"/>
      <c r="W3911" s="180"/>
      <c r="X3911" s="181"/>
      <c r="Y3911" s="182"/>
      <c r="Z3911" s="182"/>
      <c r="AA3911" s="182"/>
      <c r="AB3911" s="182"/>
      <c r="AC3911" s="183"/>
      <c r="AD3911" s="183"/>
      <c r="AE3911" s="183"/>
      <c r="AF3911" s="184"/>
      <c r="AG3911" s="180"/>
      <c r="AH3911" s="185"/>
      <c r="AI3911" s="182"/>
      <c r="AJ3911" s="182"/>
      <c r="AK3911" s="182"/>
      <c r="AL3911" s="182"/>
    </row>
    <row r="3912" ht="20.25" customHeight="1">
      <c r="A3912" s="169"/>
      <c r="B3912" s="170"/>
      <c r="C3912" s="170"/>
      <c r="D3912" s="170"/>
      <c r="E3912" s="171"/>
      <c r="F3912" s="172"/>
      <c r="G3912" s="173"/>
      <c r="H3912" s="174"/>
      <c r="I3912" s="175"/>
      <c r="J3912" s="172"/>
      <c r="K3912" s="176"/>
      <c r="L3912" s="176"/>
      <c r="M3912" s="176"/>
      <c r="N3912" s="177"/>
      <c r="O3912" s="177"/>
      <c r="P3912" s="178"/>
      <c r="Q3912" s="177"/>
      <c r="R3912" s="170"/>
      <c r="S3912" s="170"/>
      <c r="T3912" s="179"/>
      <c r="U3912" s="179"/>
      <c r="V3912" s="179"/>
      <c r="W3912" s="180"/>
      <c r="X3912" s="181"/>
      <c r="Y3912" s="182"/>
      <c r="Z3912" s="182"/>
      <c r="AA3912" s="182"/>
      <c r="AB3912" s="182"/>
      <c r="AC3912" s="183"/>
      <c r="AD3912" s="183"/>
      <c r="AE3912" s="183"/>
      <c r="AF3912" s="184"/>
      <c r="AG3912" s="180"/>
      <c r="AH3912" s="185"/>
      <c r="AI3912" s="182"/>
      <c r="AJ3912" s="182"/>
      <c r="AK3912" s="182"/>
      <c r="AL3912" s="182"/>
    </row>
    <row r="3913" ht="20.25" customHeight="1">
      <c r="A3913" s="169"/>
      <c r="B3913" s="170"/>
      <c r="C3913" s="170"/>
      <c r="D3913" s="170"/>
      <c r="E3913" s="171"/>
      <c r="F3913" s="172"/>
      <c r="G3913" s="173"/>
      <c r="H3913" s="174"/>
      <c r="I3913" s="175"/>
      <c r="J3913" s="172"/>
      <c r="K3913" s="176"/>
      <c r="L3913" s="176"/>
      <c r="M3913" s="176"/>
      <c r="N3913" s="177"/>
      <c r="O3913" s="177"/>
      <c r="P3913" s="178"/>
      <c r="Q3913" s="177"/>
      <c r="R3913" s="170"/>
      <c r="S3913" s="170"/>
      <c r="T3913" s="179"/>
      <c r="U3913" s="179"/>
      <c r="V3913" s="179"/>
      <c r="W3913" s="180"/>
      <c r="X3913" s="181"/>
      <c r="Y3913" s="182"/>
      <c r="Z3913" s="182"/>
      <c r="AA3913" s="182"/>
      <c r="AB3913" s="182"/>
      <c r="AC3913" s="183"/>
      <c r="AD3913" s="183"/>
      <c r="AE3913" s="183"/>
      <c r="AF3913" s="184"/>
      <c r="AG3913" s="180"/>
      <c r="AH3913" s="185"/>
      <c r="AI3913" s="182"/>
      <c r="AJ3913" s="182"/>
      <c r="AK3913" s="182"/>
      <c r="AL3913" s="182"/>
    </row>
    <row r="3914" ht="20.25" customHeight="1">
      <c r="A3914" s="169"/>
      <c r="B3914" s="170"/>
      <c r="C3914" s="170"/>
      <c r="D3914" s="170"/>
      <c r="E3914" s="171"/>
      <c r="F3914" s="172"/>
      <c r="G3914" s="173"/>
      <c r="H3914" s="174"/>
      <c r="I3914" s="175"/>
      <c r="J3914" s="172"/>
      <c r="K3914" s="176"/>
      <c r="L3914" s="176"/>
      <c r="M3914" s="176"/>
      <c r="N3914" s="177"/>
      <c r="O3914" s="177"/>
      <c r="P3914" s="178"/>
      <c r="Q3914" s="177"/>
      <c r="R3914" s="170"/>
      <c r="S3914" s="170"/>
      <c r="T3914" s="179"/>
      <c r="U3914" s="179"/>
      <c r="V3914" s="179"/>
      <c r="W3914" s="180"/>
      <c r="X3914" s="181"/>
      <c r="Y3914" s="182"/>
      <c r="Z3914" s="182"/>
      <c r="AA3914" s="182"/>
      <c r="AB3914" s="182"/>
      <c r="AC3914" s="183"/>
      <c r="AD3914" s="183"/>
      <c r="AE3914" s="183"/>
      <c r="AF3914" s="184"/>
      <c r="AG3914" s="180"/>
      <c r="AH3914" s="185"/>
      <c r="AI3914" s="182"/>
      <c r="AJ3914" s="182"/>
      <c r="AK3914" s="182"/>
      <c r="AL3914" s="182"/>
    </row>
    <row r="3915" ht="20.25" customHeight="1">
      <c r="A3915" s="169"/>
      <c r="B3915" s="170"/>
      <c r="C3915" s="170"/>
      <c r="D3915" s="170"/>
      <c r="E3915" s="171"/>
      <c r="F3915" s="172"/>
      <c r="G3915" s="173"/>
      <c r="H3915" s="174"/>
      <c r="I3915" s="175"/>
      <c r="J3915" s="172"/>
      <c r="K3915" s="176"/>
      <c r="L3915" s="176"/>
      <c r="M3915" s="176"/>
      <c r="N3915" s="177"/>
      <c r="O3915" s="177"/>
      <c r="P3915" s="178"/>
      <c r="Q3915" s="177"/>
      <c r="R3915" s="170"/>
      <c r="S3915" s="170"/>
      <c r="T3915" s="179"/>
      <c r="U3915" s="179"/>
      <c r="V3915" s="179"/>
      <c r="W3915" s="180"/>
      <c r="X3915" s="181"/>
      <c r="Y3915" s="182"/>
      <c r="Z3915" s="182"/>
      <c r="AA3915" s="182"/>
      <c r="AB3915" s="182"/>
      <c r="AC3915" s="183"/>
      <c r="AD3915" s="183"/>
      <c r="AE3915" s="183"/>
      <c r="AF3915" s="184"/>
      <c r="AG3915" s="180"/>
      <c r="AH3915" s="185"/>
      <c r="AI3915" s="182"/>
      <c r="AJ3915" s="182"/>
      <c r="AK3915" s="182"/>
      <c r="AL3915" s="182"/>
    </row>
    <row r="3916" ht="20.25" customHeight="1">
      <c r="A3916" s="169"/>
      <c r="B3916" s="170"/>
      <c r="C3916" s="170"/>
      <c r="D3916" s="170"/>
      <c r="E3916" s="171"/>
      <c r="F3916" s="172"/>
      <c r="G3916" s="173"/>
      <c r="H3916" s="174"/>
      <c r="I3916" s="175"/>
      <c r="J3916" s="172"/>
      <c r="K3916" s="176"/>
      <c r="L3916" s="176"/>
      <c r="M3916" s="176"/>
      <c r="N3916" s="177"/>
      <c r="O3916" s="177"/>
      <c r="P3916" s="178"/>
      <c r="Q3916" s="177"/>
      <c r="R3916" s="170"/>
      <c r="S3916" s="170"/>
      <c r="T3916" s="179"/>
      <c r="U3916" s="179"/>
      <c r="V3916" s="179"/>
      <c r="W3916" s="180"/>
      <c r="X3916" s="181"/>
      <c r="Y3916" s="182"/>
      <c r="Z3916" s="182"/>
      <c r="AA3916" s="182"/>
      <c r="AB3916" s="182"/>
      <c r="AC3916" s="183"/>
      <c r="AD3916" s="183"/>
      <c r="AE3916" s="183"/>
      <c r="AF3916" s="184"/>
      <c r="AG3916" s="180"/>
      <c r="AH3916" s="185"/>
      <c r="AI3916" s="182"/>
      <c r="AJ3916" s="182"/>
      <c r="AK3916" s="182"/>
      <c r="AL3916" s="182"/>
    </row>
    <row r="3917" ht="20.25" customHeight="1">
      <c r="A3917" s="169"/>
      <c r="B3917" s="170"/>
      <c r="C3917" s="170"/>
      <c r="D3917" s="170"/>
      <c r="E3917" s="171"/>
      <c r="F3917" s="172"/>
      <c r="G3917" s="173"/>
      <c r="H3917" s="174"/>
      <c r="I3917" s="175"/>
      <c r="J3917" s="172"/>
      <c r="K3917" s="176"/>
      <c r="L3917" s="176"/>
      <c r="M3917" s="176"/>
      <c r="N3917" s="177"/>
      <c r="O3917" s="177"/>
      <c r="P3917" s="178"/>
      <c r="Q3917" s="177"/>
      <c r="R3917" s="170"/>
      <c r="S3917" s="170"/>
      <c r="T3917" s="179"/>
      <c r="U3917" s="179"/>
      <c r="V3917" s="179"/>
      <c r="W3917" s="180"/>
      <c r="X3917" s="181"/>
      <c r="Y3917" s="182"/>
      <c r="Z3917" s="182"/>
      <c r="AA3917" s="182"/>
      <c r="AB3917" s="182"/>
      <c r="AC3917" s="183"/>
      <c r="AD3917" s="183"/>
      <c r="AE3917" s="183"/>
      <c r="AF3917" s="184"/>
      <c r="AG3917" s="180"/>
      <c r="AH3917" s="185"/>
      <c r="AI3917" s="182"/>
      <c r="AJ3917" s="182"/>
      <c r="AK3917" s="182"/>
      <c r="AL3917" s="182"/>
    </row>
    <row r="3918" ht="20.25" customHeight="1">
      <c r="A3918" s="169"/>
      <c r="B3918" s="170"/>
      <c r="C3918" s="170"/>
      <c r="D3918" s="170"/>
      <c r="E3918" s="171"/>
      <c r="F3918" s="172"/>
      <c r="G3918" s="173"/>
      <c r="H3918" s="174"/>
      <c r="I3918" s="175"/>
      <c r="J3918" s="172"/>
      <c r="K3918" s="176"/>
      <c r="L3918" s="176"/>
      <c r="M3918" s="176"/>
      <c r="N3918" s="177"/>
      <c r="O3918" s="177"/>
      <c r="P3918" s="178"/>
      <c r="Q3918" s="177"/>
      <c r="R3918" s="170"/>
      <c r="S3918" s="170"/>
      <c r="T3918" s="179"/>
      <c r="U3918" s="179"/>
      <c r="V3918" s="179"/>
      <c r="W3918" s="180"/>
      <c r="X3918" s="181"/>
      <c r="Y3918" s="182"/>
      <c r="Z3918" s="182"/>
      <c r="AA3918" s="182"/>
      <c r="AB3918" s="182"/>
      <c r="AC3918" s="183"/>
      <c r="AD3918" s="183"/>
      <c r="AE3918" s="183"/>
      <c r="AF3918" s="184"/>
      <c r="AG3918" s="180"/>
      <c r="AH3918" s="185"/>
      <c r="AI3918" s="182"/>
      <c r="AJ3918" s="182"/>
      <c r="AK3918" s="182"/>
      <c r="AL3918" s="182"/>
    </row>
    <row r="3919" ht="20.25" customHeight="1">
      <c r="A3919" s="169"/>
      <c r="B3919" s="170"/>
      <c r="C3919" s="170"/>
      <c r="D3919" s="170"/>
      <c r="E3919" s="171"/>
      <c r="F3919" s="172"/>
      <c r="G3919" s="173"/>
      <c r="H3919" s="174"/>
      <c r="I3919" s="175"/>
      <c r="J3919" s="172"/>
      <c r="K3919" s="176"/>
      <c r="L3919" s="176"/>
      <c r="M3919" s="176"/>
      <c r="N3919" s="177"/>
      <c r="O3919" s="177"/>
      <c r="P3919" s="178"/>
      <c r="Q3919" s="177"/>
      <c r="R3919" s="170"/>
      <c r="S3919" s="170"/>
      <c r="T3919" s="179"/>
      <c r="U3919" s="179"/>
      <c r="V3919" s="179"/>
      <c r="W3919" s="180"/>
      <c r="X3919" s="181"/>
      <c r="Y3919" s="182"/>
      <c r="Z3919" s="182"/>
      <c r="AA3919" s="182"/>
      <c r="AB3919" s="182"/>
      <c r="AC3919" s="183"/>
      <c r="AD3919" s="183"/>
      <c r="AE3919" s="183"/>
      <c r="AF3919" s="184"/>
      <c r="AG3919" s="180"/>
      <c r="AH3919" s="185"/>
      <c r="AI3919" s="182"/>
      <c r="AJ3919" s="182"/>
      <c r="AK3919" s="182"/>
      <c r="AL3919" s="182"/>
    </row>
    <row r="3920" ht="20.25" customHeight="1">
      <c r="A3920" s="169"/>
      <c r="B3920" s="170"/>
      <c r="C3920" s="170"/>
      <c r="D3920" s="170"/>
      <c r="E3920" s="171"/>
      <c r="F3920" s="172"/>
      <c r="G3920" s="173"/>
      <c r="H3920" s="174"/>
      <c r="I3920" s="175"/>
      <c r="J3920" s="172"/>
      <c r="K3920" s="176"/>
      <c r="L3920" s="176"/>
      <c r="M3920" s="176"/>
      <c r="N3920" s="177"/>
      <c r="O3920" s="177"/>
      <c r="P3920" s="178"/>
      <c r="Q3920" s="177"/>
      <c r="R3920" s="170"/>
      <c r="S3920" s="170"/>
      <c r="T3920" s="179"/>
      <c r="U3920" s="179"/>
      <c r="V3920" s="179"/>
      <c r="W3920" s="180"/>
      <c r="X3920" s="181"/>
      <c r="Y3920" s="182"/>
      <c r="Z3920" s="182"/>
      <c r="AA3920" s="182"/>
      <c r="AB3920" s="182"/>
      <c r="AC3920" s="183"/>
      <c r="AD3920" s="183"/>
      <c r="AE3920" s="183"/>
      <c r="AF3920" s="184"/>
      <c r="AG3920" s="180"/>
      <c r="AH3920" s="185"/>
      <c r="AI3920" s="182"/>
      <c r="AJ3920" s="182"/>
      <c r="AK3920" s="182"/>
      <c r="AL3920" s="182"/>
    </row>
    <row r="3921" ht="20.25" customHeight="1">
      <c r="A3921" s="169"/>
      <c r="B3921" s="170"/>
      <c r="C3921" s="170"/>
      <c r="D3921" s="170"/>
      <c r="E3921" s="171"/>
      <c r="F3921" s="172"/>
      <c r="G3921" s="173"/>
      <c r="H3921" s="174"/>
      <c r="I3921" s="175"/>
      <c r="J3921" s="172"/>
      <c r="K3921" s="176"/>
      <c r="L3921" s="176"/>
      <c r="M3921" s="176"/>
      <c r="N3921" s="177"/>
      <c r="O3921" s="177"/>
      <c r="P3921" s="178"/>
      <c r="Q3921" s="177"/>
      <c r="R3921" s="170"/>
      <c r="S3921" s="170"/>
      <c r="T3921" s="179"/>
      <c r="U3921" s="179"/>
      <c r="V3921" s="179"/>
      <c r="W3921" s="180"/>
      <c r="X3921" s="181"/>
      <c r="Y3921" s="182"/>
      <c r="Z3921" s="182"/>
      <c r="AA3921" s="182"/>
      <c r="AB3921" s="182"/>
      <c r="AC3921" s="183"/>
      <c r="AD3921" s="183"/>
      <c r="AE3921" s="183"/>
      <c r="AF3921" s="184"/>
      <c r="AG3921" s="180"/>
      <c r="AH3921" s="185"/>
      <c r="AI3921" s="182"/>
      <c r="AJ3921" s="182"/>
      <c r="AK3921" s="182"/>
      <c r="AL3921" s="182"/>
    </row>
    <row r="3922" ht="20.25" customHeight="1">
      <c r="A3922" s="169"/>
      <c r="B3922" s="170"/>
      <c r="C3922" s="170"/>
      <c r="D3922" s="170"/>
      <c r="E3922" s="171"/>
      <c r="F3922" s="172"/>
      <c r="G3922" s="173"/>
      <c r="H3922" s="174"/>
      <c r="I3922" s="175"/>
      <c r="J3922" s="172"/>
      <c r="K3922" s="176"/>
      <c r="L3922" s="176"/>
      <c r="M3922" s="176"/>
      <c r="N3922" s="177"/>
      <c r="O3922" s="177"/>
      <c r="P3922" s="178"/>
      <c r="Q3922" s="177"/>
      <c r="R3922" s="170"/>
      <c r="S3922" s="170"/>
      <c r="T3922" s="179"/>
      <c r="U3922" s="179"/>
      <c r="V3922" s="179"/>
      <c r="W3922" s="180"/>
      <c r="X3922" s="181"/>
      <c r="Y3922" s="182"/>
      <c r="Z3922" s="182"/>
      <c r="AA3922" s="182"/>
      <c r="AB3922" s="182"/>
      <c r="AC3922" s="183"/>
      <c r="AD3922" s="183"/>
      <c r="AE3922" s="183"/>
      <c r="AF3922" s="184"/>
      <c r="AG3922" s="180"/>
      <c r="AH3922" s="185"/>
      <c r="AI3922" s="182"/>
      <c r="AJ3922" s="182"/>
      <c r="AK3922" s="182"/>
      <c r="AL3922" s="182"/>
    </row>
    <row r="3923" ht="20.25" customHeight="1">
      <c r="A3923" s="169"/>
      <c r="B3923" s="170"/>
      <c r="C3923" s="170"/>
      <c r="D3923" s="170"/>
      <c r="E3923" s="171"/>
      <c r="F3923" s="172"/>
      <c r="G3923" s="173"/>
      <c r="H3923" s="174"/>
      <c r="I3923" s="175"/>
      <c r="J3923" s="172"/>
      <c r="K3923" s="176"/>
      <c r="L3923" s="176"/>
      <c r="M3923" s="176"/>
      <c r="N3923" s="177"/>
      <c r="O3923" s="177"/>
      <c r="P3923" s="178"/>
      <c r="Q3923" s="177"/>
      <c r="R3923" s="170"/>
      <c r="S3923" s="170"/>
      <c r="T3923" s="179"/>
      <c r="U3923" s="179"/>
      <c r="V3923" s="179"/>
      <c r="W3923" s="180"/>
      <c r="X3923" s="181"/>
      <c r="Y3923" s="182"/>
      <c r="Z3923" s="182"/>
      <c r="AA3923" s="182"/>
      <c r="AB3923" s="182"/>
      <c r="AC3923" s="183"/>
      <c r="AD3923" s="183"/>
      <c r="AE3923" s="183"/>
      <c r="AF3923" s="184"/>
      <c r="AG3923" s="180"/>
      <c r="AH3923" s="185"/>
      <c r="AI3923" s="182"/>
      <c r="AJ3923" s="182"/>
      <c r="AK3923" s="182"/>
      <c r="AL3923" s="182"/>
    </row>
    <row r="3924" ht="20.25" customHeight="1">
      <c r="A3924" s="169"/>
      <c r="B3924" s="170"/>
      <c r="C3924" s="170"/>
      <c r="D3924" s="170"/>
      <c r="E3924" s="171"/>
      <c r="F3924" s="172"/>
      <c r="G3924" s="173"/>
      <c r="H3924" s="174"/>
      <c r="I3924" s="175"/>
      <c r="J3924" s="172"/>
      <c r="K3924" s="176"/>
      <c r="L3924" s="176"/>
      <c r="M3924" s="176"/>
      <c r="N3924" s="177"/>
      <c r="O3924" s="177"/>
      <c r="P3924" s="178"/>
      <c r="Q3924" s="177"/>
      <c r="R3924" s="170"/>
      <c r="S3924" s="170"/>
      <c r="T3924" s="179"/>
      <c r="U3924" s="179"/>
      <c r="V3924" s="179"/>
      <c r="W3924" s="180"/>
      <c r="X3924" s="181"/>
      <c r="Y3924" s="182"/>
      <c r="Z3924" s="182"/>
      <c r="AA3924" s="182"/>
      <c r="AB3924" s="182"/>
      <c r="AC3924" s="183"/>
      <c r="AD3924" s="183"/>
      <c r="AE3924" s="183"/>
      <c r="AF3924" s="184"/>
      <c r="AG3924" s="180"/>
      <c r="AH3924" s="185"/>
      <c r="AI3924" s="182"/>
      <c r="AJ3924" s="182"/>
      <c r="AK3924" s="182"/>
      <c r="AL3924" s="182"/>
    </row>
    <row r="3925" ht="20.25" customHeight="1">
      <c r="A3925" s="169"/>
      <c r="B3925" s="170"/>
      <c r="C3925" s="170"/>
      <c r="D3925" s="170"/>
      <c r="E3925" s="171"/>
      <c r="F3925" s="172"/>
      <c r="G3925" s="173"/>
      <c r="H3925" s="174"/>
      <c r="I3925" s="175"/>
      <c r="J3925" s="172"/>
      <c r="K3925" s="176"/>
      <c r="L3925" s="176"/>
      <c r="M3925" s="176"/>
      <c r="N3925" s="177"/>
      <c r="O3925" s="177"/>
      <c r="P3925" s="178"/>
      <c r="Q3925" s="177"/>
      <c r="R3925" s="170"/>
      <c r="S3925" s="170"/>
      <c r="T3925" s="179"/>
      <c r="U3925" s="179"/>
      <c r="V3925" s="179"/>
      <c r="W3925" s="180"/>
      <c r="X3925" s="181"/>
      <c r="Y3925" s="182"/>
      <c r="Z3925" s="182"/>
      <c r="AA3925" s="182"/>
      <c r="AB3925" s="182"/>
      <c r="AC3925" s="183"/>
      <c r="AD3925" s="183"/>
      <c r="AE3925" s="183"/>
      <c r="AF3925" s="184"/>
      <c r="AG3925" s="180"/>
      <c r="AH3925" s="185"/>
      <c r="AI3925" s="182"/>
      <c r="AJ3925" s="182"/>
      <c r="AK3925" s="182"/>
      <c r="AL3925" s="182"/>
    </row>
    <row r="3926" ht="20.25" customHeight="1">
      <c r="A3926" s="169"/>
      <c r="B3926" s="170"/>
      <c r="C3926" s="170"/>
      <c r="D3926" s="170"/>
      <c r="E3926" s="171"/>
      <c r="F3926" s="172"/>
      <c r="G3926" s="173"/>
      <c r="H3926" s="174"/>
      <c r="I3926" s="175"/>
      <c r="J3926" s="172"/>
      <c r="K3926" s="176"/>
      <c r="L3926" s="176"/>
      <c r="M3926" s="176"/>
      <c r="N3926" s="177"/>
      <c r="O3926" s="177"/>
      <c r="P3926" s="178"/>
      <c r="Q3926" s="177"/>
      <c r="R3926" s="170"/>
      <c r="S3926" s="170"/>
      <c r="T3926" s="179"/>
      <c r="U3926" s="179"/>
      <c r="V3926" s="179"/>
      <c r="W3926" s="180"/>
      <c r="X3926" s="181"/>
      <c r="Y3926" s="182"/>
      <c r="Z3926" s="182"/>
      <c r="AA3926" s="182"/>
      <c r="AB3926" s="182"/>
      <c r="AC3926" s="183"/>
      <c r="AD3926" s="183"/>
      <c r="AE3926" s="183"/>
      <c r="AF3926" s="184"/>
      <c r="AG3926" s="180"/>
      <c r="AH3926" s="185"/>
      <c r="AI3926" s="182"/>
      <c r="AJ3926" s="182"/>
      <c r="AK3926" s="182"/>
      <c r="AL3926" s="182"/>
    </row>
    <row r="3927" ht="20.25" customHeight="1">
      <c r="A3927" s="169"/>
      <c r="B3927" s="170"/>
      <c r="C3927" s="170"/>
      <c r="D3927" s="170"/>
      <c r="E3927" s="171"/>
      <c r="F3927" s="172"/>
      <c r="G3927" s="173"/>
      <c r="H3927" s="174"/>
      <c r="I3927" s="175"/>
      <c r="J3927" s="172"/>
      <c r="K3927" s="176"/>
      <c r="L3927" s="176"/>
      <c r="M3927" s="176"/>
      <c r="N3927" s="177"/>
      <c r="O3927" s="177"/>
      <c r="P3927" s="178"/>
      <c r="Q3927" s="177"/>
      <c r="R3927" s="170"/>
      <c r="S3927" s="170"/>
      <c r="T3927" s="179"/>
      <c r="U3927" s="179"/>
      <c r="V3927" s="179"/>
      <c r="W3927" s="180"/>
      <c r="X3927" s="181"/>
      <c r="Y3927" s="182"/>
      <c r="Z3927" s="182"/>
      <c r="AA3927" s="182"/>
      <c r="AB3927" s="182"/>
      <c r="AC3927" s="183"/>
      <c r="AD3927" s="183"/>
      <c r="AE3927" s="183"/>
      <c r="AF3927" s="184"/>
      <c r="AG3927" s="180"/>
      <c r="AH3927" s="185"/>
      <c r="AI3927" s="182"/>
      <c r="AJ3927" s="182"/>
      <c r="AK3927" s="182"/>
      <c r="AL3927" s="182"/>
    </row>
    <row r="3928" ht="20.25" customHeight="1">
      <c r="A3928" s="169"/>
      <c r="B3928" s="170"/>
      <c r="C3928" s="170"/>
      <c r="D3928" s="170"/>
      <c r="E3928" s="171"/>
      <c r="F3928" s="172"/>
      <c r="G3928" s="173"/>
      <c r="H3928" s="174"/>
      <c r="I3928" s="175"/>
      <c r="J3928" s="172"/>
      <c r="K3928" s="176"/>
      <c r="L3928" s="176"/>
      <c r="M3928" s="176"/>
      <c r="N3928" s="177"/>
      <c r="O3928" s="177"/>
      <c r="P3928" s="178"/>
      <c r="Q3928" s="177"/>
      <c r="R3928" s="170"/>
      <c r="S3928" s="170"/>
      <c r="T3928" s="179"/>
      <c r="U3928" s="179"/>
      <c r="V3928" s="179"/>
      <c r="W3928" s="180"/>
      <c r="X3928" s="181"/>
      <c r="Y3928" s="182"/>
      <c r="Z3928" s="182"/>
      <c r="AA3928" s="182"/>
      <c r="AB3928" s="182"/>
      <c r="AC3928" s="183"/>
      <c r="AD3928" s="183"/>
      <c r="AE3928" s="183"/>
      <c r="AF3928" s="184"/>
      <c r="AG3928" s="180"/>
      <c r="AH3928" s="185"/>
      <c r="AI3928" s="182"/>
      <c r="AJ3928" s="182"/>
      <c r="AK3928" s="182"/>
      <c r="AL3928" s="182"/>
    </row>
    <row r="3929" ht="20.25" customHeight="1">
      <c r="A3929" s="169"/>
      <c r="B3929" s="170"/>
      <c r="C3929" s="170"/>
      <c r="D3929" s="170"/>
      <c r="E3929" s="171"/>
      <c r="F3929" s="172"/>
      <c r="G3929" s="173"/>
      <c r="H3929" s="174"/>
      <c r="I3929" s="175"/>
      <c r="J3929" s="172"/>
      <c r="K3929" s="176"/>
      <c r="L3929" s="176"/>
      <c r="M3929" s="176"/>
      <c r="N3929" s="177"/>
      <c r="O3929" s="177"/>
      <c r="P3929" s="178"/>
      <c r="Q3929" s="177"/>
      <c r="R3929" s="170"/>
      <c r="S3929" s="170"/>
      <c r="T3929" s="179"/>
      <c r="U3929" s="179"/>
      <c r="V3929" s="179"/>
      <c r="W3929" s="180"/>
      <c r="X3929" s="181"/>
      <c r="Y3929" s="182"/>
      <c r="Z3929" s="182"/>
      <c r="AA3929" s="182"/>
      <c r="AB3929" s="182"/>
      <c r="AC3929" s="183"/>
      <c r="AD3929" s="183"/>
      <c r="AE3929" s="183"/>
      <c r="AF3929" s="184"/>
      <c r="AG3929" s="180"/>
      <c r="AH3929" s="185"/>
      <c r="AI3929" s="182"/>
      <c r="AJ3929" s="182"/>
      <c r="AK3929" s="182"/>
      <c r="AL3929" s="182"/>
    </row>
    <row r="3930" ht="20.25" customHeight="1">
      <c r="A3930" s="169"/>
      <c r="B3930" s="170"/>
      <c r="C3930" s="170"/>
      <c r="D3930" s="170"/>
      <c r="E3930" s="171"/>
      <c r="F3930" s="172"/>
      <c r="G3930" s="173"/>
      <c r="H3930" s="174"/>
      <c r="I3930" s="175"/>
      <c r="J3930" s="172"/>
      <c r="K3930" s="176"/>
      <c r="L3930" s="176"/>
      <c r="M3930" s="176"/>
      <c r="N3930" s="177"/>
      <c r="O3930" s="177"/>
      <c r="P3930" s="178"/>
      <c r="Q3930" s="177"/>
      <c r="R3930" s="170"/>
      <c r="S3930" s="170"/>
      <c r="T3930" s="179"/>
      <c r="U3930" s="179"/>
      <c r="V3930" s="179"/>
      <c r="W3930" s="180"/>
      <c r="X3930" s="181"/>
      <c r="Y3930" s="182"/>
      <c r="Z3930" s="182"/>
      <c r="AA3930" s="182"/>
      <c r="AB3930" s="182"/>
      <c r="AC3930" s="183"/>
      <c r="AD3930" s="183"/>
      <c r="AE3930" s="183"/>
      <c r="AF3930" s="184"/>
      <c r="AG3930" s="180"/>
      <c r="AH3930" s="185"/>
      <c r="AI3930" s="182"/>
      <c r="AJ3930" s="182"/>
      <c r="AK3930" s="182"/>
      <c r="AL3930" s="182"/>
    </row>
    <row r="3931" ht="20.25" customHeight="1">
      <c r="A3931" s="169"/>
      <c r="B3931" s="170"/>
      <c r="C3931" s="170"/>
      <c r="D3931" s="170"/>
      <c r="E3931" s="171"/>
      <c r="F3931" s="172"/>
      <c r="G3931" s="173"/>
      <c r="H3931" s="174"/>
      <c r="I3931" s="175"/>
      <c r="J3931" s="172"/>
      <c r="K3931" s="176"/>
      <c r="L3931" s="176"/>
      <c r="M3931" s="176"/>
      <c r="N3931" s="177"/>
      <c r="O3931" s="177"/>
      <c r="P3931" s="178"/>
      <c r="Q3931" s="177"/>
      <c r="R3931" s="170"/>
      <c r="S3931" s="170"/>
      <c r="T3931" s="179"/>
      <c r="U3931" s="179"/>
      <c r="V3931" s="179"/>
      <c r="W3931" s="180"/>
      <c r="X3931" s="181"/>
      <c r="Y3931" s="182"/>
      <c r="Z3931" s="182"/>
      <c r="AA3931" s="182"/>
      <c r="AB3931" s="182"/>
      <c r="AC3931" s="183"/>
      <c r="AD3931" s="183"/>
      <c r="AE3931" s="183"/>
      <c r="AF3931" s="184"/>
      <c r="AG3931" s="180"/>
      <c r="AH3931" s="185"/>
      <c r="AI3931" s="182"/>
      <c r="AJ3931" s="182"/>
      <c r="AK3931" s="182"/>
      <c r="AL3931" s="182"/>
    </row>
    <row r="3932" ht="20.25" customHeight="1">
      <c r="A3932" s="169"/>
      <c r="B3932" s="170"/>
      <c r="C3932" s="170"/>
      <c r="D3932" s="170"/>
      <c r="E3932" s="171"/>
      <c r="F3932" s="172"/>
      <c r="G3932" s="173"/>
      <c r="H3932" s="174"/>
      <c r="I3932" s="175"/>
      <c r="J3932" s="172"/>
      <c r="K3932" s="176"/>
      <c r="L3932" s="176"/>
      <c r="M3932" s="176"/>
      <c r="N3932" s="177"/>
      <c r="O3932" s="177"/>
      <c r="P3932" s="178"/>
      <c r="Q3932" s="177"/>
      <c r="R3932" s="170"/>
      <c r="S3932" s="170"/>
      <c r="T3932" s="179"/>
      <c r="U3932" s="179"/>
      <c r="V3932" s="179"/>
      <c r="W3932" s="180"/>
      <c r="X3932" s="181"/>
      <c r="Y3932" s="182"/>
      <c r="Z3932" s="182"/>
      <c r="AA3932" s="182"/>
      <c r="AB3932" s="182"/>
      <c r="AC3932" s="183"/>
      <c r="AD3932" s="183"/>
      <c r="AE3932" s="183"/>
      <c r="AF3932" s="184"/>
      <c r="AG3932" s="180"/>
      <c r="AH3932" s="185"/>
      <c r="AI3932" s="182"/>
      <c r="AJ3932" s="182"/>
      <c r="AK3932" s="182"/>
      <c r="AL3932" s="182"/>
    </row>
    <row r="3933" ht="20.25" customHeight="1">
      <c r="A3933" s="169"/>
      <c r="B3933" s="170"/>
      <c r="C3933" s="170"/>
      <c r="D3933" s="170"/>
      <c r="E3933" s="171"/>
      <c r="F3933" s="172"/>
      <c r="G3933" s="173"/>
      <c r="H3933" s="174"/>
      <c r="I3933" s="175"/>
      <c r="J3933" s="172"/>
      <c r="K3933" s="176"/>
      <c r="L3933" s="176"/>
      <c r="M3933" s="176"/>
      <c r="N3933" s="177"/>
      <c r="O3933" s="177"/>
      <c r="P3933" s="178"/>
      <c r="Q3933" s="177"/>
      <c r="R3933" s="170"/>
      <c r="S3933" s="170"/>
      <c r="T3933" s="179"/>
      <c r="U3933" s="179"/>
      <c r="V3933" s="179"/>
      <c r="W3933" s="180"/>
      <c r="X3933" s="181"/>
      <c r="Y3933" s="182"/>
      <c r="Z3933" s="182"/>
      <c r="AA3933" s="182"/>
      <c r="AB3933" s="182"/>
      <c r="AC3933" s="183"/>
      <c r="AD3933" s="183"/>
      <c r="AE3933" s="183"/>
      <c r="AF3933" s="184"/>
      <c r="AG3933" s="180"/>
      <c r="AH3933" s="185"/>
      <c r="AI3933" s="182"/>
      <c r="AJ3933" s="182"/>
      <c r="AK3933" s="182"/>
      <c r="AL3933" s="182"/>
    </row>
    <row r="3934" ht="20.25" customHeight="1">
      <c r="A3934" s="169"/>
      <c r="B3934" s="170"/>
      <c r="C3934" s="170"/>
      <c r="D3934" s="170"/>
      <c r="E3934" s="171"/>
      <c r="F3934" s="172"/>
      <c r="G3934" s="173"/>
      <c r="H3934" s="174"/>
      <c r="I3934" s="175"/>
      <c r="J3934" s="172"/>
      <c r="K3934" s="176"/>
      <c r="L3934" s="176"/>
      <c r="M3934" s="176"/>
      <c r="N3934" s="177"/>
      <c r="O3934" s="177"/>
      <c r="P3934" s="178"/>
      <c r="Q3934" s="177"/>
      <c r="R3934" s="170"/>
      <c r="S3934" s="170"/>
      <c r="T3934" s="179"/>
      <c r="U3934" s="179"/>
      <c r="V3934" s="179"/>
      <c r="W3934" s="180"/>
      <c r="X3934" s="181"/>
      <c r="Y3934" s="182"/>
      <c r="Z3934" s="182"/>
      <c r="AA3934" s="182"/>
      <c r="AB3934" s="182"/>
      <c r="AC3934" s="183"/>
      <c r="AD3934" s="183"/>
      <c r="AE3934" s="183"/>
      <c r="AF3934" s="184"/>
      <c r="AG3934" s="180"/>
      <c r="AH3934" s="185"/>
      <c r="AI3934" s="182"/>
      <c r="AJ3934" s="182"/>
      <c r="AK3934" s="182"/>
      <c r="AL3934" s="182"/>
    </row>
    <row r="3935" ht="20.25" customHeight="1">
      <c r="A3935" s="169"/>
      <c r="B3935" s="170"/>
      <c r="C3935" s="170"/>
      <c r="D3935" s="170"/>
      <c r="E3935" s="171"/>
      <c r="F3935" s="172"/>
      <c r="G3935" s="173"/>
      <c r="H3935" s="174"/>
      <c r="I3935" s="175"/>
      <c r="J3935" s="172"/>
      <c r="K3935" s="176"/>
      <c r="L3935" s="176"/>
      <c r="M3935" s="176"/>
      <c r="N3935" s="177"/>
      <c r="O3935" s="177"/>
      <c r="P3935" s="178"/>
      <c r="Q3935" s="177"/>
      <c r="R3935" s="170"/>
      <c r="S3935" s="170"/>
      <c r="T3935" s="179"/>
      <c r="U3935" s="179"/>
      <c r="V3935" s="179"/>
      <c r="W3935" s="180"/>
      <c r="X3935" s="181"/>
      <c r="Y3935" s="182"/>
      <c r="Z3935" s="182"/>
      <c r="AA3935" s="182"/>
      <c r="AB3935" s="182"/>
      <c r="AC3935" s="183"/>
      <c r="AD3935" s="183"/>
      <c r="AE3935" s="183"/>
      <c r="AF3935" s="184"/>
      <c r="AG3935" s="180"/>
      <c r="AH3935" s="185"/>
      <c r="AI3935" s="182"/>
      <c r="AJ3935" s="182"/>
      <c r="AK3935" s="182"/>
      <c r="AL3935" s="182"/>
    </row>
    <row r="3936" ht="20.25" customHeight="1">
      <c r="A3936" s="169"/>
      <c r="B3936" s="170"/>
      <c r="C3936" s="170"/>
      <c r="D3936" s="170"/>
      <c r="E3936" s="171"/>
      <c r="F3936" s="172"/>
      <c r="G3936" s="173"/>
      <c r="H3936" s="174"/>
      <c r="I3936" s="175"/>
      <c r="J3936" s="172"/>
      <c r="K3936" s="176"/>
      <c r="L3936" s="176"/>
      <c r="M3936" s="176"/>
      <c r="N3936" s="177"/>
      <c r="O3936" s="177"/>
      <c r="P3936" s="178"/>
      <c r="Q3936" s="177"/>
      <c r="R3936" s="170"/>
      <c r="S3936" s="170"/>
      <c r="T3936" s="179"/>
      <c r="U3936" s="179"/>
      <c r="V3936" s="179"/>
      <c r="W3936" s="180"/>
      <c r="X3936" s="181"/>
      <c r="Y3936" s="182"/>
      <c r="Z3936" s="182"/>
      <c r="AA3936" s="182"/>
      <c r="AB3936" s="182"/>
      <c r="AC3936" s="183"/>
      <c r="AD3936" s="183"/>
      <c r="AE3936" s="183"/>
      <c r="AF3936" s="184"/>
      <c r="AG3936" s="180"/>
      <c r="AH3936" s="185"/>
      <c r="AI3936" s="182"/>
      <c r="AJ3936" s="182"/>
      <c r="AK3936" s="182"/>
      <c r="AL3936" s="182"/>
    </row>
    <row r="3937" ht="20.25" customHeight="1">
      <c r="A3937" s="169"/>
      <c r="B3937" s="170"/>
      <c r="C3937" s="170"/>
      <c r="D3937" s="170"/>
      <c r="E3937" s="171"/>
      <c r="F3937" s="172"/>
      <c r="G3937" s="173"/>
      <c r="H3937" s="174"/>
      <c r="I3937" s="175"/>
      <c r="J3937" s="172"/>
      <c r="K3937" s="176"/>
      <c r="L3937" s="176"/>
      <c r="M3937" s="176"/>
      <c r="N3937" s="177"/>
      <c r="O3937" s="177"/>
      <c r="P3937" s="178"/>
      <c r="Q3937" s="177"/>
      <c r="R3937" s="170"/>
      <c r="S3937" s="170"/>
      <c r="T3937" s="179"/>
      <c r="U3937" s="179"/>
      <c r="V3937" s="179"/>
      <c r="W3937" s="180"/>
      <c r="X3937" s="181"/>
      <c r="Y3937" s="182"/>
      <c r="Z3937" s="182"/>
      <c r="AA3937" s="182"/>
      <c r="AB3937" s="182"/>
      <c r="AC3937" s="183"/>
      <c r="AD3937" s="183"/>
      <c r="AE3937" s="183"/>
      <c r="AF3937" s="184"/>
      <c r="AG3937" s="180"/>
      <c r="AH3937" s="185"/>
      <c r="AI3937" s="182"/>
      <c r="AJ3937" s="182"/>
      <c r="AK3937" s="182"/>
      <c r="AL3937" s="182"/>
    </row>
    <row r="3938" ht="20.25" customHeight="1">
      <c r="A3938" s="169"/>
      <c r="B3938" s="170"/>
      <c r="C3938" s="170"/>
      <c r="D3938" s="170"/>
      <c r="E3938" s="171"/>
      <c r="F3938" s="172"/>
      <c r="G3938" s="173"/>
      <c r="H3938" s="174"/>
      <c r="I3938" s="175"/>
      <c r="J3938" s="172"/>
      <c r="K3938" s="176"/>
      <c r="L3938" s="176"/>
      <c r="M3938" s="176"/>
      <c r="N3938" s="177"/>
      <c r="O3938" s="177"/>
      <c r="P3938" s="178"/>
      <c r="Q3938" s="177"/>
      <c r="R3938" s="170"/>
      <c r="S3938" s="170"/>
      <c r="T3938" s="179"/>
      <c r="U3938" s="179"/>
      <c r="V3938" s="179"/>
      <c r="W3938" s="180"/>
      <c r="X3938" s="181"/>
      <c r="Y3938" s="182"/>
      <c r="Z3938" s="182"/>
      <c r="AA3938" s="182"/>
      <c r="AB3938" s="182"/>
      <c r="AC3938" s="183"/>
      <c r="AD3938" s="183"/>
      <c r="AE3938" s="183"/>
      <c r="AF3938" s="184"/>
      <c r="AG3938" s="180"/>
      <c r="AH3938" s="185"/>
      <c r="AI3938" s="182"/>
      <c r="AJ3938" s="182"/>
      <c r="AK3938" s="182"/>
      <c r="AL3938" s="182"/>
    </row>
    <row r="3939" ht="20.25" customHeight="1">
      <c r="A3939" s="169"/>
      <c r="B3939" s="170"/>
      <c r="C3939" s="170"/>
      <c r="D3939" s="170"/>
      <c r="E3939" s="171"/>
      <c r="F3939" s="172"/>
      <c r="G3939" s="173"/>
      <c r="H3939" s="174"/>
      <c r="I3939" s="175"/>
      <c r="J3939" s="172"/>
      <c r="K3939" s="176"/>
      <c r="L3939" s="176"/>
      <c r="M3939" s="176"/>
      <c r="N3939" s="177"/>
      <c r="O3939" s="177"/>
      <c r="P3939" s="178"/>
      <c r="Q3939" s="177"/>
      <c r="R3939" s="170"/>
      <c r="S3939" s="170"/>
      <c r="T3939" s="179"/>
      <c r="U3939" s="179"/>
      <c r="V3939" s="179"/>
      <c r="W3939" s="180"/>
      <c r="X3939" s="181"/>
      <c r="Y3939" s="182"/>
      <c r="Z3939" s="182"/>
      <c r="AA3939" s="182"/>
      <c r="AB3939" s="182"/>
      <c r="AC3939" s="183"/>
      <c r="AD3939" s="183"/>
      <c r="AE3939" s="183"/>
      <c r="AF3939" s="184"/>
      <c r="AG3939" s="180"/>
      <c r="AH3939" s="185"/>
      <c r="AI3939" s="182"/>
      <c r="AJ3939" s="182"/>
      <c r="AK3939" s="182"/>
      <c r="AL3939" s="182"/>
    </row>
    <row r="3940" ht="20.25" customHeight="1">
      <c r="A3940" s="169"/>
      <c r="B3940" s="170"/>
      <c r="C3940" s="170"/>
      <c r="D3940" s="170"/>
      <c r="E3940" s="171"/>
      <c r="F3940" s="172"/>
      <c r="G3940" s="173"/>
      <c r="H3940" s="174"/>
      <c r="I3940" s="175"/>
      <c r="J3940" s="172"/>
      <c r="K3940" s="176"/>
      <c r="L3940" s="176"/>
      <c r="M3940" s="176"/>
      <c r="N3940" s="177"/>
      <c r="O3940" s="177"/>
      <c r="P3940" s="178"/>
      <c r="Q3940" s="177"/>
      <c r="R3940" s="170"/>
      <c r="S3940" s="170"/>
      <c r="T3940" s="179"/>
      <c r="U3940" s="179"/>
      <c r="V3940" s="179"/>
      <c r="W3940" s="180"/>
      <c r="X3940" s="181"/>
      <c r="Y3940" s="182"/>
      <c r="Z3940" s="182"/>
      <c r="AA3940" s="182"/>
      <c r="AB3940" s="182"/>
      <c r="AC3940" s="183"/>
      <c r="AD3940" s="183"/>
      <c r="AE3940" s="183"/>
      <c r="AF3940" s="184"/>
      <c r="AG3940" s="180"/>
      <c r="AH3940" s="185"/>
      <c r="AI3940" s="182"/>
      <c r="AJ3940" s="182"/>
      <c r="AK3940" s="182"/>
      <c r="AL3940" s="182"/>
    </row>
    <row r="3941" ht="20.25" customHeight="1">
      <c r="A3941" s="169"/>
      <c r="B3941" s="170"/>
      <c r="C3941" s="170"/>
      <c r="D3941" s="170"/>
      <c r="E3941" s="171"/>
      <c r="F3941" s="172"/>
      <c r="G3941" s="173"/>
      <c r="H3941" s="174"/>
      <c r="I3941" s="175"/>
      <c r="J3941" s="172"/>
      <c r="K3941" s="176"/>
      <c r="L3941" s="176"/>
      <c r="M3941" s="176"/>
      <c r="N3941" s="177"/>
      <c r="O3941" s="177"/>
      <c r="P3941" s="178"/>
      <c r="Q3941" s="177"/>
      <c r="R3941" s="170"/>
      <c r="S3941" s="170"/>
      <c r="T3941" s="179"/>
      <c r="U3941" s="179"/>
      <c r="V3941" s="179"/>
      <c r="W3941" s="180"/>
      <c r="X3941" s="181"/>
      <c r="Y3941" s="182"/>
      <c r="Z3941" s="182"/>
      <c r="AA3941" s="182"/>
      <c r="AB3941" s="182"/>
      <c r="AC3941" s="183"/>
      <c r="AD3941" s="183"/>
      <c r="AE3941" s="183"/>
      <c r="AF3941" s="184"/>
      <c r="AG3941" s="180"/>
      <c r="AH3941" s="185"/>
      <c r="AI3941" s="182"/>
      <c r="AJ3941" s="182"/>
      <c r="AK3941" s="182"/>
      <c r="AL3941" s="182"/>
    </row>
    <row r="3942" ht="20.25" customHeight="1">
      <c r="A3942" s="169"/>
      <c r="B3942" s="170"/>
      <c r="C3942" s="170"/>
      <c r="D3942" s="170"/>
      <c r="E3942" s="171"/>
      <c r="F3942" s="172"/>
      <c r="G3942" s="173"/>
      <c r="H3942" s="174"/>
      <c r="I3942" s="175"/>
      <c r="J3942" s="172"/>
      <c r="K3942" s="176"/>
      <c r="L3942" s="176"/>
      <c r="M3942" s="176"/>
      <c r="N3942" s="177"/>
      <c r="O3942" s="177"/>
      <c r="P3942" s="178"/>
      <c r="Q3942" s="177"/>
      <c r="R3942" s="170"/>
      <c r="S3942" s="170"/>
      <c r="T3942" s="179"/>
      <c r="U3942" s="179"/>
      <c r="V3942" s="179"/>
      <c r="W3942" s="180"/>
      <c r="X3942" s="181"/>
      <c r="Y3942" s="182"/>
      <c r="Z3942" s="182"/>
      <c r="AA3942" s="182"/>
      <c r="AB3942" s="182"/>
      <c r="AC3942" s="183"/>
      <c r="AD3942" s="183"/>
      <c r="AE3942" s="183"/>
      <c r="AF3942" s="184"/>
      <c r="AG3942" s="180"/>
      <c r="AH3942" s="185"/>
      <c r="AI3942" s="182"/>
      <c r="AJ3942" s="182"/>
      <c r="AK3942" s="182"/>
      <c r="AL3942" s="182"/>
    </row>
    <row r="3943" ht="20.25" customHeight="1">
      <c r="A3943" s="169"/>
      <c r="B3943" s="170"/>
      <c r="C3943" s="170"/>
      <c r="D3943" s="170"/>
      <c r="E3943" s="171"/>
      <c r="F3943" s="172"/>
      <c r="G3943" s="173"/>
      <c r="H3943" s="174"/>
      <c r="I3943" s="175"/>
      <c r="J3943" s="172"/>
      <c r="K3943" s="176"/>
      <c r="L3943" s="176"/>
      <c r="M3943" s="176"/>
      <c r="N3943" s="177"/>
      <c r="O3943" s="177"/>
      <c r="P3943" s="178"/>
      <c r="Q3943" s="177"/>
      <c r="R3943" s="170"/>
      <c r="S3943" s="170"/>
      <c r="T3943" s="179"/>
      <c r="U3943" s="179"/>
      <c r="V3943" s="179"/>
      <c r="W3943" s="180"/>
      <c r="X3943" s="181"/>
      <c r="Y3943" s="182"/>
      <c r="Z3943" s="182"/>
      <c r="AA3943" s="182"/>
      <c r="AB3943" s="182"/>
      <c r="AC3943" s="183"/>
      <c r="AD3943" s="183"/>
      <c r="AE3943" s="183"/>
      <c r="AF3943" s="184"/>
      <c r="AG3943" s="180"/>
      <c r="AH3943" s="185"/>
      <c r="AI3943" s="182"/>
      <c r="AJ3943" s="182"/>
      <c r="AK3943" s="182"/>
      <c r="AL3943" s="182"/>
    </row>
    <row r="3944" ht="20.25" customHeight="1">
      <c r="A3944" s="169"/>
      <c r="B3944" s="170"/>
      <c r="C3944" s="170"/>
      <c r="D3944" s="170"/>
      <c r="E3944" s="171"/>
      <c r="F3944" s="172"/>
      <c r="G3944" s="173"/>
      <c r="H3944" s="174"/>
      <c r="I3944" s="175"/>
      <c r="J3944" s="172"/>
      <c r="K3944" s="176"/>
      <c r="L3944" s="176"/>
      <c r="M3944" s="176"/>
      <c r="N3944" s="177"/>
      <c r="O3944" s="177"/>
      <c r="P3944" s="178"/>
      <c r="Q3944" s="177"/>
      <c r="R3944" s="170"/>
      <c r="S3944" s="170"/>
      <c r="T3944" s="179"/>
      <c r="U3944" s="179"/>
      <c r="V3944" s="179"/>
      <c r="W3944" s="180"/>
      <c r="X3944" s="181"/>
      <c r="Y3944" s="182"/>
      <c r="Z3944" s="182"/>
      <c r="AA3944" s="182"/>
      <c r="AB3944" s="182"/>
      <c r="AC3944" s="183"/>
      <c r="AD3944" s="183"/>
      <c r="AE3944" s="183"/>
      <c r="AF3944" s="184"/>
      <c r="AG3944" s="180"/>
      <c r="AH3944" s="185"/>
      <c r="AI3944" s="182"/>
      <c r="AJ3944" s="182"/>
      <c r="AK3944" s="182"/>
      <c r="AL3944" s="182"/>
    </row>
    <row r="3945" ht="20.25" customHeight="1">
      <c r="A3945" s="169"/>
      <c r="B3945" s="170"/>
      <c r="C3945" s="170"/>
      <c r="D3945" s="170"/>
      <c r="E3945" s="171"/>
      <c r="F3945" s="172"/>
      <c r="G3945" s="173"/>
      <c r="H3945" s="174"/>
      <c r="I3945" s="175"/>
      <c r="J3945" s="172"/>
      <c r="K3945" s="176"/>
      <c r="L3945" s="176"/>
      <c r="M3945" s="176"/>
      <c r="N3945" s="177"/>
      <c r="O3945" s="177"/>
      <c r="P3945" s="178"/>
      <c r="Q3945" s="177"/>
      <c r="R3945" s="170"/>
      <c r="S3945" s="170"/>
      <c r="T3945" s="179"/>
      <c r="U3945" s="179"/>
      <c r="V3945" s="179"/>
      <c r="W3945" s="180"/>
      <c r="X3945" s="181"/>
      <c r="Y3945" s="182"/>
      <c r="Z3945" s="182"/>
      <c r="AA3945" s="182"/>
      <c r="AB3945" s="182"/>
      <c r="AC3945" s="183"/>
      <c r="AD3945" s="183"/>
      <c r="AE3945" s="183"/>
      <c r="AF3945" s="184"/>
      <c r="AG3945" s="180"/>
      <c r="AH3945" s="185"/>
      <c r="AI3945" s="182"/>
      <c r="AJ3945" s="182"/>
      <c r="AK3945" s="182"/>
      <c r="AL3945" s="182"/>
    </row>
    <row r="3946" ht="20.25" customHeight="1">
      <c r="A3946" s="169"/>
      <c r="B3946" s="170"/>
      <c r="C3946" s="170"/>
      <c r="D3946" s="170"/>
      <c r="E3946" s="171"/>
      <c r="F3946" s="172"/>
      <c r="G3946" s="173"/>
      <c r="H3946" s="174"/>
      <c r="I3946" s="175"/>
      <c r="J3946" s="172"/>
      <c r="K3946" s="176"/>
      <c r="L3946" s="176"/>
      <c r="M3946" s="176"/>
      <c r="N3946" s="177"/>
      <c r="O3946" s="177"/>
      <c r="P3946" s="178"/>
      <c r="Q3946" s="177"/>
      <c r="R3946" s="170"/>
      <c r="S3946" s="170"/>
      <c r="T3946" s="179"/>
      <c r="U3946" s="179"/>
      <c r="V3946" s="179"/>
      <c r="W3946" s="180"/>
      <c r="X3946" s="181"/>
      <c r="Y3946" s="182"/>
      <c r="Z3946" s="182"/>
      <c r="AA3946" s="182"/>
      <c r="AB3946" s="182"/>
      <c r="AC3946" s="183"/>
      <c r="AD3946" s="183"/>
      <c r="AE3946" s="183"/>
      <c r="AF3946" s="184"/>
      <c r="AG3946" s="180"/>
      <c r="AH3946" s="185"/>
      <c r="AI3946" s="182"/>
      <c r="AJ3946" s="182"/>
      <c r="AK3946" s="182"/>
      <c r="AL3946" s="182"/>
    </row>
    <row r="3947" ht="20.25" customHeight="1">
      <c r="A3947" s="169"/>
      <c r="B3947" s="170"/>
      <c r="C3947" s="170"/>
      <c r="D3947" s="170"/>
      <c r="E3947" s="171"/>
      <c r="F3947" s="172"/>
      <c r="G3947" s="173"/>
      <c r="H3947" s="174"/>
      <c r="I3947" s="175"/>
      <c r="J3947" s="172"/>
      <c r="K3947" s="176"/>
      <c r="L3947" s="176"/>
      <c r="M3947" s="176"/>
      <c r="N3947" s="177"/>
      <c r="O3947" s="177"/>
      <c r="P3947" s="178"/>
      <c r="Q3947" s="177"/>
      <c r="R3947" s="170"/>
      <c r="S3947" s="170"/>
      <c r="T3947" s="179"/>
      <c r="U3947" s="179"/>
      <c r="V3947" s="179"/>
      <c r="W3947" s="180"/>
      <c r="X3947" s="181"/>
      <c r="Y3947" s="182"/>
      <c r="Z3947" s="182"/>
      <c r="AA3947" s="182"/>
      <c r="AB3947" s="182"/>
      <c r="AC3947" s="183"/>
      <c r="AD3947" s="183"/>
      <c r="AE3947" s="183"/>
      <c r="AF3947" s="184"/>
      <c r="AG3947" s="180"/>
      <c r="AH3947" s="185"/>
      <c r="AI3947" s="182"/>
      <c r="AJ3947" s="182"/>
      <c r="AK3947" s="182"/>
      <c r="AL3947" s="182"/>
    </row>
    <row r="3948" ht="20.25" customHeight="1">
      <c r="A3948" s="169"/>
      <c r="B3948" s="170"/>
      <c r="C3948" s="170"/>
      <c r="D3948" s="170"/>
      <c r="E3948" s="171"/>
      <c r="F3948" s="172"/>
      <c r="G3948" s="173"/>
      <c r="H3948" s="174"/>
      <c r="I3948" s="175"/>
      <c r="J3948" s="172"/>
      <c r="K3948" s="176"/>
      <c r="L3948" s="176"/>
      <c r="M3948" s="176"/>
      <c r="N3948" s="177"/>
      <c r="O3948" s="177"/>
      <c r="P3948" s="178"/>
      <c r="Q3948" s="177"/>
      <c r="R3948" s="170"/>
      <c r="S3948" s="170"/>
      <c r="T3948" s="179"/>
      <c r="U3948" s="179"/>
      <c r="V3948" s="179"/>
      <c r="W3948" s="180"/>
      <c r="X3948" s="181"/>
      <c r="Y3948" s="182"/>
      <c r="Z3948" s="182"/>
      <c r="AA3948" s="182"/>
      <c r="AB3948" s="182"/>
      <c r="AC3948" s="183"/>
      <c r="AD3948" s="183"/>
      <c r="AE3948" s="183"/>
      <c r="AF3948" s="184"/>
      <c r="AG3948" s="180"/>
      <c r="AH3948" s="185"/>
      <c r="AI3948" s="182"/>
      <c r="AJ3948" s="182"/>
      <c r="AK3948" s="182"/>
      <c r="AL3948" s="182"/>
    </row>
    <row r="3949" ht="20.25" customHeight="1">
      <c r="A3949" s="169"/>
      <c r="B3949" s="170"/>
      <c r="C3949" s="170"/>
      <c r="D3949" s="170"/>
      <c r="E3949" s="171"/>
      <c r="F3949" s="172"/>
      <c r="G3949" s="173"/>
      <c r="H3949" s="174"/>
      <c r="I3949" s="175"/>
      <c r="J3949" s="172"/>
      <c r="K3949" s="176"/>
      <c r="L3949" s="176"/>
      <c r="M3949" s="176"/>
      <c r="N3949" s="177"/>
      <c r="O3949" s="177"/>
      <c r="P3949" s="178"/>
      <c r="Q3949" s="177"/>
      <c r="R3949" s="170"/>
      <c r="S3949" s="170"/>
      <c r="T3949" s="179"/>
      <c r="U3949" s="179"/>
      <c r="V3949" s="179"/>
      <c r="W3949" s="180"/>
      <c r="X3949" s="181"/>
      <c r="Y3949" s="182"/>
      <c r="Z3949" s="182"/>
      <c r="AA3949" s="182"/>
      <c r="AB3949" s="182"/>
      <c r="AC3949" s="183"/>
      <c r="AD3949" s="183"/>
      <c r="AE3949" s="183"/>
      <c r="AF3949" s="184"/>
      <c r="AG3949" s="180"/>
      <c r="AH3949" s="185"/>
      <c r="AI3949" s="182"/>
      <c r="AJ3949" s="182"/>
      <c r="AK3949" s="182"/>
      <c r="AL3949" s="182"/>
    </row>
    <row r="3950" ht="20.25" customHeight="1">
      <c r="A3950" s="169"/>
      <c r="B3950" s="170"/>
      <c r="C3950" s="170"/>
      <c r="D3950" s="170"/>
      <c r="E3950" s="171"/>
      <c r="F3950" s="172"/>
      <c r="G3950" s="173"/>
      <c r="H3950" s="174"/>
      <c r="I3950" s="175"/>
      <c r="J3950" s="172"/>
      <c r="K3950" s="176"/>
      <c r="L3950" s="176"/>
      <c r="M3950" s="176"/>
      <c r="N3950" s="177"/>
      <c r="O3950" s="177"/>
      <c r="P3950" s="178"/>
      <c r="Q3950" s="177"/>
      <c r="R3950" s="170"/>
      <c r="S3950" s="170"/>
      <c r="T3950" s="179"/>
      <c r="U3950" s="179"/>
      <c r="V3950" s="179"/>
      <c r="W3950" s="180"/>
      <c r="X3950" s="181"/>
      <c r="Y3950" s="182"/>
      <c r="Z3950" s="182"/>
      <c r="AA3950" s="182"/>
      <c r="AB3950" s="182"/>
      <c r="AC3950" s="183"/>
      <c r="AD3950" s="183"/>
      <c r="AE3950" s="183"/>
      <c r="AF3950" s="184"/>
      <c r="AG3950" s="180"/>
      <c r="AH3950" s="185"/>
      <c r="AI3950" s="182"/>
      <c r="AJ3950" s="182"/>
      <c r="AK3950" s="182"/>
      <c r="AL3950" s="182"/>
    </row>
    <row r="3951" ht="20.25" customHeight="1">
      <c r="A3951" s="169"/>
      <c r="B3951" s="170"/>
      <c r="C3951" s="170"/>
      <c r="D3951" s="170"/>
      <c r="E3951" s="171"/>
      <c r="F3951" s="172"/>
      <c r="G3951" s="173"/>
      <c r="H3951" s="174"/>
      <c r="I3951" s="175"/>
      <c r="J3951" s="172"/>
      <c r="K3951" s="176"/>
      <c r="L3951" s="176"/>
      <c r="M3951" s="176"/>
      <c r="N3951" s="177"/>
      <c r="O3951" s="177"/>
      <c r="P3951" s="178"/>
      <c r="Q3951" s="177"/>
      <c r="R3951" s="170"/>
      <c r="S3951" s="170"/>
      <c r="T3951" s="179"/>
      <c r="U3951" s="179"/>
      <c r="V3951" s="179"/>
      <c r="W3951" s="180"/>
      <c r="X3951" s="181"/>
      <c r="Y3951" s="182"/>
      <c r="Z3951" s="182"/>
      <c r="AA3951" s="182"/>
      <c r="AB3951" s="182"/>
      <c r="AC3951" s="183"/>
      <c r="AD3951" s="183"/>
      <c r="AE3951" s="183"/>
      <c r="AF3951" s="184"/>
      <c r="AG3951" s="180"/>
      <c r="AH3951" s="185"/>
      <c r="AI3951" s="182"/>
      <c r="AJ3951" s="182"/>
      <c r="AK3951" s="182"/>
      <c r="AL3951" s="182"/>
    </row>
    <row r="3952" ht="20.25" customHeight="1">
      <c r="A3952" s="169"/>
      <c r="B3952" s="170"/>
      <c r="C3952" s="170"/>
      <c r="D3952" s="170"/>
      <c r="E3952" s="171"/>
      <c r="F3952" s="172"/>
      <c r="G3952" s="173"/>
      <c r="H3952" s="174"/>
      <c r="I3952" s="175"/>
      <c r="J3952" s="172"/>
      <c r="K3952" s="176"/>
      <c r="L3952" s="176"/>
      <c r="M3952" s="176"/>
      <c r="N3952" s="177"/>
      <c r="O3952" s="177"/>
      <c r="P3952" s="178"/>
      <c r="Q3952" s="177"/>
      <c r="R3952" s="170"/>
      <c r="S3952" s="170"/>
      <c r="T3952" s="179"/>
      <c r="U3952" s="179"/>
      <c r="V3952" s="179"/>
      <c r="W3952" s="180"/>
      <c r="X3952" s="181"/>
      <c r="Y3952" s="182"/>
      <c r="Z3952" s="182"/>
      <c r="AA3952" s="182"/>
      <c r="AB3952" s="182"/>
      <c r="AC3952" s="183"/>
      <c r="AD3952" s="183"/>
      <c r="AE3952" s="183"/>
      <c r="AF3952" s="184"/>
      <c r="AG3952" s="180"/>
      <c r="AH3952" s="185"/>
      <c r="AI3952" s="182"/>
      <c r="AJ3952" s="182"/>
      <c r="AK3952" s="182"/>
      <c r="AL3952" s="182"/>
    </row>
    <row r="3953" ht="20.25" customHeight="1">
      <c r="A3953" s="169"/>
      <c r="B3953" s="170"/>
      <c r="C3953" s="170"/>
      <c r="D3953" s="170"/>
      <c r="E3953" s="171"/>
      <c r="F3953" s="172"/>
      <c r="G3953" s="173"/>
      <c r="H3953" s="174"/>
      <c r="I3953" s="175"/>
      <c r="J3953" s="172"/>
      <c r="K3953" s="176"/>
      <c r="L3953" s="176"/>
      <c r="M3953" s="176"/>
      <c r="N3953" s="177"/>
      <c r="O3953" s="177"/>
      <c r="P3953" s="178"/>
      <c r="Q3953" s="177"/>
      <c r="R3953" s="170"/>
      <c r="S3953" s="170"/>
      <c r="T3953" s="179"/>
      <c r="U3953" s="179"/>
      <c r="V3953" s="179"/>
      <c r="W3953" s="180"/>
      <c r="X3953" s="181"/>
      <c r="Y3953" s="182"/>
      <c r="Z3953" s="182"/>
      <c r="AA3953" s="182"/>
      <c r="AB3953" s="182"/>
      <c r="AC3953" s="183"/>
      <c r="AD3953" s="183"/>
      <c r="AE3953" s="183"/>
      <c r="AF3953" s="184"/>
      <c r="AG3953" s="180"/>
      <c r="AH3953" s="185"/>
      <c r="AI3953" s="182"/>
      <c r="AJ3953" s="182"/>
      <c r="AK3953" s="182"/>
      <c r="AL3953" s="182"/>
    </row>
    <row r="3954" ht="20.25" customHeight="1">
      <c r="A3954" s="169"/>
      <c r="B3954" s="170"/>
      <c r="C3954" s="170"/>
      <c r="D3954" s="170"/>
      <c r="E3954" s="171"/>
      <c r="F3954" s="172"/>
      <c r="G3954" s="173"/>
      <c r="H3954" s="174"/>
      <c r="I3954" s="175"/>
      <c r="J3954" s="172"/>
      <c r="K3954" s="176"/>
      <c r="L3954" s="176"/>
      <c r="M3954" s="176"/>
      <c r="N3954" s="177"/>
      <c r="O3954" s="177"/>
      <c r="P3954" s="178"/>
      <c r="Q3954" s="177"/>
      <c r="R3954" s="170"/>
      <c r="S3954" s="170"/>
      <c r="T3954" s="179"/>
      <c r="U3954" s="179"/>
      <c r="V3954" s="179"/>
      <c r="W3954" s="180"/>
      <c r="X3954" s="181"/>
      <c r="Y3954" s="182"/>
      <c r="Z3954" s="182"/>
      <c r="AA3954" s="182"/>
      <c r="AB3954" s="182"/>
      <c r="AC3954" s="183"/>
      <c r="AD3954" s="183"/>
      <c r="AE3954" s="183"/>
      <c r="AF3954" s="184"/>
      <c r="AG3954" s="180"/>
      <c r="AH3954" s="185"/>
      <c r="AI3954" s="182"/>
      <c r="AJ3954" s="182"/>
      <c r="AK3954" s="182"/>
      <c r="AL3954" s="182"/>
    </row>
    <row r="3955" ht="20.25" customHeight="1">
      <c r="A3955" s="169"/>
      <c r="B3955" s="170"/>
      <c r="C3955" s="170"/>
      <c r="D3955" s="170"/>
      <c r="E3955" s="171"/>
      <c r="F3955" s="172"/>
      <c r="G3955" s="173"/>
      <c r="H3955" s="174"/>
      <c r="I3955" s="175"/>
      <c r="J3955" s="172"/>
      <c r="K3955" s="176"/>
      <c r="L3955" s="176"/>
      <c r="M3955" s="176"/>
      <c r="N3955" s="177"/>
      <c r="O3955" s="177"/>
      <c r="P3955" s="178"/>
      <c r="Q3955" s="177"/>
      <c r="R3955" s="170"/>
      <c r="S3955" s="170"/>
      <c r="T3955" s="179"/>
      <c r="U3955" s="179"/>
      <c r="V3955" s="179"/>
      <c r="W3955" s="180"/>
      <c r="X3955" s="181"/>
      <c r="Y3955" s="182"/>
      <c r="Z3955" s="182"/>
      <c r="AA3955" s="182"/>
      <c r="AB3955" s="182"/>
      <c r="AC3955" s="183"/>
      <c r="AD3955" s="183"/>
      <c r="AE3955" s="183"/>
      <c r="AF3955" s="184"/>
      <c r="AG3955" s="180"/>
      <c r="AH3955" s="185"/>
      <c r="AI3955" s="182"/>
      <c r="AJ3955" s="182"/>
      <c r="AK3955" s="182"/>
      <c r="AL3955" s="182"/>
    </row>
    <row r="3956" ht="20.25" customHeight="1">
      <c r="A3956" s="169"/>
      <c r="B3956" s="170"/>
      <c r="C3956" s="170"/>
      <c r="D3956" s="170"/>
      <c r="E3956" s="171"/>
      <c r="F3956" s="172"/>
      <c r="G3956" s="173"/>
      <c r="H3956" s="174"/>
      <c r="I3956" s="175"/>
      <c r="J3956" s="172"/>
      <c r="K3956" s="176"/>
      <c r="L3956" s="176"/>
      <c r="M3956" s="176"/>
      <c r="N3956" s="177"/>
      <c r="O3956" s="177"/>
      <c r="P3956" s="178"/>
      <c r="Q3956" s="177"/>
      <c r="R3956" s="170"/>
      <c r="S3956" s="170"/>
      <c r="T3956" s="179"/>
      <c r="U3956" s="179"/>
      <c r="V3956" s="179"/>
      <c r="W3956" s="180"/>
      <c r="X3956" s="181"/>
      <c r="Y3956" s="182"/>
      <c r="Z3956" s="182"/>
      <c r="AA3956" s="182"/>
      <c r="AB3956" s="182"/>
      <c r="AC3956" s="183"/>
      <c r="AD3956" s="183"/>
      <c r="AE3956" s="183"/>
      <c r="AF3956" s="184"/>
      <c r="AG3956" s="180"/>
      <c r="AH3956" s="185"/>
      <c r="AI3956" s="182"/>
      <c r="AJ3956" s="182"/>
      <c r="AK3956" s="182"/>
      <c r="AL3956" s="182"/>
    </row>
    <row r="3957" ht="20.25" customHeight="1">
      <c r="A3957" s="169"/>
      <c r="B3957" s="170"/>
      <c r="C3957" s="170"/>
      <c r="D3957" s="170"/>
      <c r="E3957" s="171"/>
      <c r="F3957" s="172"/>
      <c r="G3957" s="173"/>
      <c r="H3957" s="174"/>
      <c r="I3957" s="175"/>
      <c r="J3957" s="172"/>
      <c r="K3957" s="176"/>
      <c r="L3957" s="176"/>
      <c r="M3957" s="176"/>
      <c r="N3957" s="177"/>
      <c r="O3957" s="177"/>
      <c r="P3957" s="178"/>
      <c r="Q3957" s="177"/>
      <c r="R3957" s="170"/>
      <c r="S3957" s="170"/>
      <c r="T3957" s="179"/>
      <c r="U3957" s="179"/>
      <c r="V3957" s="179"/>
      <c r="W3957" s="180"/>
      <c r="X3957" s="181"/>
      <c r="Y3957" s="182"/>
      <c r="Z3957" s="182"/>
      <c r="AA3957" s="182"/>
      <c r="AB3957" s="182"/>
      <c r="AC3957" s="183"/>
      <c r="AD3957" s="183"/>
      <c r="AE3957" s="183"/>
      <c r="AF3957" s="184"/>
      <c r="AG3957" s="180"/>
      <c r="AH3957" s="185"/>
      <c r="AI3957" s="182"/>
      <c r="AJ3957" s="182"/>
      <c r="AK3957" s="182"/>
      <c r="AL3957" s="182"/>
    </row>
    <row r="3958" ht="20.25" customHeight="1">
      <c r="A3958" s="169"/>
      <c r="B3958" s="170"/>
      <c r="C3958" s="170"/>
      <c r="D3958" s="170"/>
      <c r="E3958" s="171"/>
      <c r="F3958" s="172"/>
      <c r="G3958" s="173"/>
      <c r="H3958" s="174"/>
      <c r="I3958" s="175"/>
      <c r="J3958" s="172"/>
      <c r="K3958" s="176"/>
      <c r="L3958" s="176"/>
      <c r="M3958" s="176"/>
      <c r="N3958" s="177"/>
      <c r="O3958" s="177"/>
      <c r="P3958" s="178"/>
      <c r="Q3958" s="177"/>
      <c r="R3958" s="170"/>
      <c r="S3958" s="170"/>
      <c r="T3958" s="179"/>
      <c r="U3958" s="179"/>
      <c r="V3958" s="179"/>
      <c r="W3958" s="180"/>
      <c r="X3958" s="181"/>
      <c r="Y3958" s="182"/>
      <c r="Z3958" s="182"/>
      <c r="AA3958" s="182"/>
      <c r="AB3958" s="182"/>
      <c r="AC3958" s="183"/>
      <c r="AD3958" s="183"/>
      <c r="AE3958" s="183"/>
      <c r="AF3958" s="184"/>
      <c r="AG3958" s="180"/>
      <c r="AH3958" s="185"/>
      <c r="AI3958" s="182"/>
      <c r="AJ3958" s="182"/>
      <c r="AK3958" s="182"/>
      <c r="AL3958" s="182"/>
    </row>
    <row r="3959" ht="20.25" customHeight="1">
      <c r="A3959" s="169"/>
      <c r="B3959" s="170"/>
      <c r="C3959" s="170"/>
      <c r="D3959" s="170"/>
      <c r="E3959" s="171"/>
      <c r="F3959" s="172"/>
      <c r="G3959" s="173"/>
      <c r="H3959" s="174"/>
      <c r="I3959" s="175"/>
      <c r="J3959" s="172"/>
      <c r="K3959" s="176"/>
      <c r="L3959" s="176"/>
      <c r="M3959" s="176"/>
      <c r="N3959" s="177"/>
      <c r="O3959" s="177"/>
      <c r="P3959" s="178"/>
      <c r="Q3959" s="177"/>
      <c r="R3959" s="170"/>
      <c r="S3959" s="170"/>
      <c r="T3959" s="179"/>
      <c r="U3959" s="179"/>
      <c r="V3959" s="179"/>
      <c r="W3959" s="180"/>
      <c r="X3959" s="181"/>
      <c r="Y3959" s="182"/>
      <c r="Z3959" s="182"/>
      <c r="AA3959" s="182"/>
      <c r="AB3959" s="182"/>
      <c r="AC3959" s="183"/>
      <c r="AD3959" s="183"/>
      <c r="AE3959" s="183"/>
      <c r="AF3959" s="184"/>
      <c r="AG3959" s="180"/>
      <c r="AH3959" s="185"/>
      <c r="AI3959" s="182"/>
      <c r="AJ3959" s="182"/>
      <c r="AK3959" s="182"/>
      <c r="AL3959" s="182"/>
    </row>
    <row r="3960" ht="20.25" customHeight="1">
      <c r="A3960" s="169"/>
      <c r="B3960" s="170"/>
      <c r="C3960" s="170"/>
      <c r="D3960" s="170"/>
      <c r="E3960" s="171"/>
      <c r="F3960" s="172"/>
      <c r="G3960" s="173"/>
      <c r="H3960" s="174"/>
      <c r="I3960" s="175"/>
      <c r="J3960" s="172"/>
      <c r="K3960" s="176"/>
      <c r="L3960" s="176"/>
      <c r="M3960" s="176"/>
      <c r="N3960" s="177"/>
      <c r="O3960" s="177"/>
      <c r="P3960" s="178"/>
      <c r="Q3960" s="177"/>
      <c r="R3960" s="170"/>
      <c r="S3960" s="170"/>
      <c r="T3960" s="179"/>
      <c r="U3960" s="179"/>
      <c r="V3960" s="179"/>
      <c r="W3960" s="180"/>
      <c r="X3960" s="181"/>
      <c r="Y3960" s="182"/>
      <c r="Z3960" s="182"/>
      <c r="AA3960" s="182"/>
      <c r="AB3960" s="182"/>
      <c r="AC3960" s="183"/>
      <c r="AD3960" s="183"/>
      <c r="AE3960" s="183"/>
      <c r="AF3960" s="184"/>
      <c r="AG3960" s="180"/>
      <c r="AH3960" s="185"/>
      <c r="AI3960" s="182"/>
      <c r="AJ3960" s="182"/>
      <c r="AK3960" s="182"/>
      <c r="AL3960" s="182"/>
    </row>
    <row r="3961" ht="20.25" customHeight="1">
      <c r="A3961" s="169"/>
      <c r="B3961" s="170"/>
      <c r="C3961" s="170"/>
      <c r="D3961" s="170"/>
      <c r="E3961" s="171"/>
      <c r="F3961" s="172"/>
      <c r="G3961" s="173"/>
      <c r="H3961" s="174"/>
      <c r="I3961" s="175"/>
      <c r="J3961" s="172"/>
      <c r="K3961" s="176"/>
      <c r="L3961" s="176"/>
      <c r="M3961" s="176"/>
      <c r="N3961" s="177"/>
      <c r="O3961" s="177"/>
      <c r="P3961" s="178"/>
      <c r="Q3961" s="177"/>
      <c r="R3961" s="170"/>
      <c r="S3961" s="170"/>
      <c r="T3961" s="179"/>
      <c r="U3961" s="179"/>
      <c r="V3961" s="179"/>
      <c r="W3961" s="180"/>
      <c r="X3961" s="181"/>
      <c r="Y3961" s="182"/>
      <c r="Z3961" s="182"/>
      <c r="AA3961" s="182"/>
      <c r="AB3961" s="182"/>
      <c r="AC3961" s="183"/>
      <c r="AD3961" s="183"/>
      <c r="AE3961" s="183"/>
      <c r="AF3961" s="184"/>
      <c r="AG3961" s="180"/>
      <c r="AH3961" s="185"/>
      <c r="AI3961" s="182"/>
      <c r="AJ3961" s="182"/>
      <c r="AK3961" s="182"/>
      <c r="AL3961" s="182"/>
    </row>
    <row r="3962" ht="20.25" customHeight="1">
      <c r="A3962" s="169"/>
      <c r="B3962" s="170"/>
      <c r="C3962" s="170"/>
      <c r="D3962" s="170"/>
      <c r="E3962" s="171"/>
      <c r="F3962" s="172"/>
      <c r="G3962" s="173"/>
      <c r="H3962" s="174"/>
      <c r="I3962" s="175"/>
      <c r="J3962" s="172"/>
      <c r="K3962" s="176"/>
      <c r="L3962" s="176"/>
      <c r="M3962" s="176"/>
      <c r="N3962" s="177"/>
      <c r="O3962" s="177"/>
      <c r="P3962" s="178"/>
      <c r="Q3962" s="177"/>
      <c r="R3962" s="170"/>
      <c r="S3962" s="170"/>
      <c r="T3962" s="179"/>
      <c r="U3962" s="179"/>
      <c r="V3962" s="179"/>
      <c r="W3962" s="180"/>
      <c r="X3962" s="181"/>
      <c r="Y3962" s="182"/>
      <c r="Z3962" s="182"/>
      <c r="AA3962" s="182"/>
      <c r="AB3962" s="182"/>
      <c r="AC3962" s="183"/>
      <c r="AD3962" s="183"/>
      <c r="AE3962" s="183"/>
      <c r="AF3962" s="184"/>
      <c r="AG3962" s="180"/>
      <c r="AH3962" s="185"/>
      <c r="AI3962" s="182"/>
      <c r="AJ3962" s="182"/>
      <c r="AK3962" s="182"/>
      <c r="AL3962" s="182"/>
    </row>
    <row r="3963" ht="20.25" customHeight="1">
      <c r="A3963" s="169"/>
      <c r="B3963" s="170"/>
      <c r="C3963" s="170"/>
      <c r="D3963" s="170"/>
      <c r="E3963" s="171"/>
      <c r="F3963" s="172"/>
      <c r="G3963" s="173"/>
      <c r="H3963" s="174"/>
      <c r="I3963" s="175"/>
      <c r="J3963" s="172"/>
      <c r="K3963" s="176"/>
      <c r="L3963" s="176"/>
      <c r="M3963" s="176"/>
      <c r="N3963" s="177"/>
      <c r="O3963" s="177"/>
      <c r="P3963" s="178"/>
      <c r="Q3963" s="177"/>
      <c r="R3963" s="170"/>
      <c r="S3963" s="170"/>
      <c r="T3963" s="179"/>
      <c r="U3963" s="179"/>
      <c r="V3963" s="179"/>
      <c r="W3963" s="180"/>
      <c r="X3963" s="181"/>
      <c r="Y3963" s="182"/>
      <c r="Z3963" s="182"/>
      <c r="AA3963" s="182"/>
      <c r="AB3963" s="182"/>
      <c r="AC3963" s="183"/>
      <c r="AD3963" s="183"/>
      <c r="AE3963" s="183"/>
      <c r="AF3963" s="184"/>
      <c r="AG3963" s="180"/>
      <c r="AH3963" s="185"/>
      <c r="AI3963" s="182"/>
      <c r="AJ3963" s="182"/>
      <c r="AK3963" s="182"/>
      <c r="AL3963" s="182"/>
    </row>
    <row r="3964" ht="20.25" customHeight="1">
      <c r="A3964" s="169"/>
      <c r="B3964" s="170"/>
      <c r="C3964" s="170"/>
      <c r="D3964" s="170"/>
      <c r="E3964" s="171"/>
      <c r="F3964" s="172"/>
      <c r="G3964" s="173"/>
      <c r="H3964" s="174"/>
      <c r="I3964" s="175"/>
      <c r="J3964" s="172"/>
      <c r="K3964" s="176"/>
      <c r="L3964" s="176"/>
      <c r="M3964" s="176"/>
      <c r="N3964" s="177"/>
      <c r="O3964" s="177"/>
      <c r="P3964" s="178"/>
      <c r="Q3964" s="177"/>
      <c r="R3964" s="170"/>
      <c r="S3964" s="170"/>
      <c r="T3964" s="179"/>
      <c r="U3964" s="179"/>
      <c r="V3964" s="179"/>
      <c r="W3964" s="180"/>
      <c r="X3964" s="181"/>
      <c r="Y3964" s="182"/>
      <c r="Z3964" s="182"/>
      <c r="AA3964" s="182"/>
      <c r="AB3964" s="182"/>
      <c r="AC3964" s="183"/>
      <c r="AD3964" s="183"/>
      <c r="AE3964" s="183"/>
      <c r="AF3964" s="184"/>
      <c r="AG3964" s="180"/>
      <c r="AH3964" s="185"/>
      <c r="AI3964" s="182"/>
      <c r="AJ3964" s="182"/>
      <c r="AK3964" s="182"/>
      <c r="AL3964" s="182"/>
    </row>
    <row r="3965" ht="20.25" customHeight="1">
      <c r="A3965" s="169"/>
      <c r="B3965" s="170"/>
      <c r="C3965" s="170"/>
      <c r="D3965" s="170"/>
      <c r="E3965" s="171"/>
      <c r="F3965" s="172"/>
      <c r="G3965" s="173"/>
      <c r="H3965" s="174"/>
      <c r="I3965" s="175"/>
      <c r="J3965" s="172"/>
      <c r="K3965" s="176"/>
      <c r="L3965" s="176"/>
      <c r="M3965" s="176"/>
      <c r="N3965" s="177"/>
      <c r="O3965" s="177"/>
      <c r="P3965" s="178"/>
      <c r="Q3965" s="177"/>
      <c r="R3965" s="170"/>
      <c r="S3965" s="170"/>
      <c r="T3965" s="179"/>
      <c r="U3965" s="179"/>
      <c r="V3965" s="179"/>
      <c r="W3965" s="180"/>
      <c r="X3965" s="181"/>
      <c r="Y3965" s="182"/>
      <c r="Z3965" s="182"/>
      <c r="AA3965" s="182"/>
      <c r="AB3965" s="182"/>
      <c r="AC3965" s="183"/>
      <c r="AD3965" s="183"/>
      <c r="AE3965" s="183"/>
      <c r="AF3965" s="184"/>
      <c r="AG3965" s="180"/>
      <c r="AH3965" s="185"/>
      <c r="AI3965" s="182"/>
      <c r="AJ3965" s="182"/>
      <c r="AK3965" s="182"/>
      <c r="AL3965" s="182"/>
    </row>
    <row r="3966" ht="20.25" customHeight="1">
      <c r="A3966" s="169"/>
      <c r="B3966" s="170"/>
      <c r="C3966" s="170"/>
      <c r="D3966" s="170"/>
      <c r="E3966" s="171"/>
      <c r="F3966" s="172"/>
      <c r="G3966" s="173"/>
      <c r="H3966" s="174"/>
      <c r="I3966" s="175"/>
      <c r="J3966" s="172"/>
      <c r="K3966" s="176"/>
      <c r="L3966" s="176"/>
      <c r="M3966" s="176"/>
      <c r="N3966" s="177"/>
      <c r="O3966" s="177"/>
      <c r="P3966" s="178"/>
      <c r="Q3966" s="177"/>
      <c r="R3966" s="170"/>
      <c r="S3966" s="170"/>
      <c r="T3966" s="179"/>
      <c r="U3966" s="179"/>
      <c r="V3966" s="179"/>
      <c r="W3966" s="180"/>
      <c r="X3966" s="181"/>
      <c r="Y3966" s="182"/>
      <c r="Z3966" s="182"/>
      <c r="AA3966" s="182"/>
      <c r="AB3966" s="182"/>
      <c r="AC3966" s="183"/>
      <c r="AD3966" s="183"/>
      <c r="AE3966" s="183"/>
      <c r="AF3966" s="184"/>
      <c r="AG3966" s="180"/>
      <c r="AH3966" s="185"/>
      <c r="AI3966" s="182"/>
      <c r="AJ3966" s="182"/>
      <c r="AK3966" s="182"/>
      <c r="AL3966" s="182"/>
    </row>
    <row r="3967" ht="20.25" customHeight="1">
      <c r="A3967" s="169"/>
      <c r="B3967" s="170"/>
      <c r="C3967" s="170"/>
      <c r="D3967" s="170"/>
      <c r="E3967" s="171"/>
      <c r="F3967" s="172"/>
      <c r="G3967" s="173"/>
      <c r="H3967" s="174"/>
      <c r="I3967" s="175"/>
      <c r="J3967" s="172"/>
      <c r="K3967" s="176"/>
      <c r="L3967" s="176"/>
      <c r="M3967" s="176"/>
      <c r="N3967" s="177"/>
      <c r="O3967" s="177"/>
      <c r="P3967" s="178"/>
      <c r="Q3967" s="177"/>
      <c r="R3967" s="170"/>
      <c r="S3967" s="170"/>
      <c r="T3967" s="179"/>
      <c r="U3967" s="179"/>
      <c r="V3967" s="179"/>
      <c r="W3967" s="180"/>
      <c r="X3967" s="181"/>
      <c r="Y3967" s="182"/>
      <c r="Z3967" s="182"/>
      <c r="AA3967" s="182"/>
      <c r="AB3967" s="182"/>
      <c r="AC3967" s="183"/>
      <c r="AD3967" s="183"/>
      <c r="AE3967" s="183"/>
      <c r="AF3967" s="184"/>
      <c r="AG3967" s="180"/>
      <c r="AH3967" s="185"/>
      <c r="AI3967" s="182"/>
      <c r="AJ3967" s="182"/>
      <c r="AK3967" s="182"/>
      <c r="AL3967" s="182"/>
    </row>
    <row r="3968" ht="20.25" customHeight="1">
      <c r="A3968" s="169"/>
      <c r="B3968" s="170"/>
      <c r="C3968" s="170"/>
      <c r="D3968" s="170"/>
      <c r="E3968" s="171"/>
      <c r="F3968" s="172"/>
      <c r="G3968" s="173"/>
      <c r="H3968" s="174"/>
      <c r="I3968" s="175"/>
      <c r="J3968" s="172"/>
      <c r="K3968" s="176"/>
      <c r="L3968" s="176"/>
      <c r="M3968" s="176"/>
      <c r="N3968" s="177"/>
      <c r="O3968" s="177"/>
      <c r="P3968" s="178"/>
      <c r="Q3968" s="177"/>
      <c r="R3968" s="170"/>
      <c r="S3968" s="170"/>
      <c r="T3968" s="179"/>
      <c r="U3968" s="179"/>
      <c r="V3968" s="179"/>
      <c r="W3968" s="180"/>
      <c r="X3968" s="181"/>
      <c r="Y3968" s="182"/>
      <c r="Z3968" s="182"/>
      <c r="AA3968" s="182"/>
      <c r="AB3968" s="182"/>
      <c r="AC3968" s="183"/>
      <c r="AD3968" s="183"/>
      <c r="AE3968" s="183"/>
      <c r="AF3968" s="184"/>
      <c r="AG3968" s="180"/>
      <c r="AH3968" s="185"/>
      <c r="AI3968" s="182"/>
      <c r="AJ3968" s="182"/>
      <c r="AK3968" s="182"/>
      <c r="AL3968" s="182"/>
    </row>
    <row r="3969" ht="20.25" customHeight="1">
      <c r="A3969" s="169"/>
      <c r="B3969" s="170"/>
      <c r="C3969" s="170"/>
      <c r="D3969" s="170"/>
      <c r="E3969" s="171"/>
      <c r="F3969" s="172"/>
      <c r="G3969" s="173"/>
      <c r="H3969" s="174"/>
      <c r="I3969" s="175"/>
      <c r="J3969" s="172"/>
      <c r="K3969" s="176"/>
      <c r="L3969" s="176"/>
      <c r="M3969" s="176"/>
      <c r="N3969" s="177"/>
      <c r="O3969" s="177"/>
      <c r="P3969" s="178"/>
      <c r="Q3969" s="177"/>
      <c r="R3969" s="170"/>
      <c r="S3969" s="170"/>
      <c r="T3969" s="179"/>
      <c r="U3969" s="179"/>
      <c r="V3969" s="179"/>
      <c r="W3969" s="180"/>
      <c r="X3969" s="181"/>
      <c r="Y3969" s="182"/>
      <c r="Z3969" s="182"/>
      <c r="AA3969" s="182"/>
      <c r="AB3969" s="182"/>
      <c r="AC3969" s="183"/>
      <c r="AD3969" s="183"/>
      <c r="AE3969" s="183"/>
      <c r="AF3969" s="184"/>
      <c r="AG3969" s="180"/>
      <c r="AH3969" s="185"/>
      <c r="AI3969" s="182"/>
      <c r="AJ3969" s="182"/>
      <c r="AK3969" s="182"/>
      <c r="AL3969" s="182"/>
    </row>
    <row r="3970" ht="20.25" customHeight="1">
      <c r="A3970" s="169"/>
      <c r="B3970" s="170"/>
      <c r="C3970" s="170"/>
      <c r="D3970" s="170"/>
      <c r="E3970" s="171"/>
      <c r="F3970" s="172"/>
      <c r="G3970" s="173"/>
      <c r="H3970" s="174"/>
      <c r="I3970" s="175"/>
      <c r="J3970" s="172"/>
      <c r="K3970" s="176"/>
      <c r="L3970" s="176"/>
      <c r="M3970" s="176"/>
      <c r="N3970" s="177"/>
      <c r="O3970" s="177"/>
      <c r="P3970" s="178"/>
      <c r="Q3970" s="177"/>
      <c r="R3970" s="170"/>
      <c r="S3970" s="170"/>
      <c r="T3970" s="179"/>
      <c r="U3970" s="179"/>
      <c r="V3970" s="179"/>
      <c r="W3970" s="180"/>
      <c r="X3970" s="181"/>
      <c r="Y3970" s="182"/>
      <c r="Z3970" s="182"/>
      <c r="AA3970" s="182"/>
      <c r="AB3970" s="182"/>
      <c r="AC3970" s="183"/>
      <c r="AD3970" s="183"/>
      <c r="AE3970" s="183"/>
      <c r="AF3970" s="184"/>
      <c r="AG3970" s="180"/>
      <c r="AH3970" s="185"/>
      <c r="AI3970" s="182"/>
      <c r="AJ3970" s="182"/>
      <c r="AK3970" s="182"/>
      <c r="AL3970" s="182"/>
    </row>
    <row r="3971" ht="20.25" customHeight="1">
      <c r="A3971" s="169"/>
      <c r="B3971" s="170"/>
      <c r="C3971" s="170"/>
      <c r="D3971" s="170"/>
      <c r="E3971" s="171"/>
      <c r="F3971" s="172"/>
      <c r="G3971" s="173"/>
      <c r="H3971" s="174"/>
      <c r="I3971" s="175"/>
      <c r="J3971" s="172"/>
      <c r="K3971" s="176"/>
      <c r="L3971" s="176"/>
      <c r="M3971" s="176"/>
      <c r="N3971" s="177"/>
      <c r="O3971" s="177"/>
      <c r="P3971" s="178"/>
      <c r="Q3971" s="177"/>
      <c r="R3971" s="170"/>
      <c r="S3971" s="170"/>
      <c r="T3971" s="179"/>
      <c r="U3971" s="179"/>
      <c r="V3971" s="179"/>
      <c r="W3971" s="180"/>
      <c r="X3971" s="181"/>
      <c r="Y3971" s="182"/>
      <c r="Z3971" s="182"/>
      <c r="AA3971" s="182"/>
      <c r="AB3971" s="182"/>
      <c r="AC3971" s="183"/>
      <c r="AD3971" s="183"/>
      <c r="AE3971" s="183"/>
      <c r="AF3971" s="184"/>
      <c r="AG3971" s="180"/>
      <c r="AH3971" s="185"/>
      <c r="AI3971" s="182"/>
      <c r="AJ3971" s="182"/>
      <c r="AK3971" s="182"/>
      <c r="AL3971" s="182"/>
    </row>
    <row r="3972" ht="20.25" customHeight="1">
      <c r="A3972" s="169"/>
      <c r="B3972" s="170"/>
      <c r="C3972" s="170"/>
      <c r="D3972" s="170"/>
      <c r="E3972" s="171"/>
      <c r="F3972" s="172"/>
      <c r="G3972" s="173"/>
      <c r="H3972" s="174"/>
      <c r="I3972" s="175"/>
      <c r="J3972" s="172"/>
      <c r="K3972" s="176"/>
      <c r="L3972" s="176"/>
      <c r="M3972" s="176"/>
      <c r="N3972" s="177"/>
      <c r="O3972" s="177"/>
      <c r="P3972" s="178"/>
      <c r="Q3972" s="177"/>
      <c r="R3972" s="170"/>
      <c r="S3972" s="170"/>
      <c r="T3972" s="179"/>
      <c r="U3972" s="179"/>
      <c r="V3972" s="179"/>
      <c r="W3972" s="180"/>
      <c r="X3972" s="181"/>
      <c r="Y3972" s="182"/>
      <c r="Z3972" s="182"/>
      <c r="AA3972" s="182"/>
      <c r="AB3972" s="182"/>
      <c r="AC3972" s="183"/>
      <c r="AD3972" s="183"/>
      <c r="AE3972" s="183"/>
      <c r="AF3972" s="184"/>
      <c r="AG3972" s="180"/>
      <c r="AH3972" s="185"/>
      <c r="AI3972" s="182"/>
      <c r="AJ3972" s="182"/>
      <c r="AK3972" s="182"/>
      <c r="AL3972" s="182"/>
    </row>
    <row r="3973" ht="20.25" customHeight="1">
      <c r="A3973" s="169"/>
      <c r="B3973" s="170"/>
      <c r="C3973" s="170"/>
      <c r="D3973" s="170"/>
      <c r="E3973" s="171"/>
      <c r="F3973" s="172"/>
      <c r="G3973" s="173"/>
      <c r="H3973" s="174"/>
      <c r="I3973" s="175"/>
      <c r="J3973" s="172"/>
      <c r="K3973" s="176"/>
      <c r="L3973" s="176"/>
      <c r="M3973" s="176"/>
      <c r="N3973" s="177"/>
      <c r="O3973" s="177"/>
      <c r="P3973" s="178"/>
      <c r="Q3973" s="177"/>
      <c r="R3973" s="170"/>
      <c r="S3973" s="170"/>
      <c r="T3973" s="179"/>
      <c r="U3973" s="179"/>
      <c r="V3973" s="179"/>
      <c r="W3973" s="180"/>
      <c r="X3973" s="181"/>
      <c r="Y3973" s="182"/>
      <c r="Z3973" s="182"/>
      <c r="AA3973" s="182"/>
      <c r="AB3973" s="182"/>
      <c r="AC3973" s="183"/>
      <c r="AD3973" s="183"/>
      <c r="AE3973" s="183"/>
      <c r="AF3973" s="184"/>
      <c r="AG3973" s="180"/>
      <c r="AH3973" s="185"/>
      <c r="AI3973" s="182"/>
      <c r="AJ3973" s="182"/>
      <c r="AK3973" s="182"/>
      <c r="AL3973" s="182"/>
    </row>
    <row r="3974" ht="20.25" customHeight="1">
      <c r="A3974" s="169"/>
      <c r="B3974" s="170"/>
      <c r="C3974" s="170"/>
      <c r="D3974" s="170"/>
      <c r="E3974" s="171"/>
      <c r="F3974" s="172"/>
      <c r="G3974" s="173"/>
      <c r="H3974" s="174"/>
      <c r="I3974" s="175"/>
      <c r="J3974" s="172"/>
      <c r="K3974" s="176"/>
      <c r="L3974" s="176"/>
      <c r="M3974" s="176"/>
      <c r="N3974" s="177"/>
      <c r="O3974" s="177"/>
      <c r="P3974" s="178"/>
      <c r="Q3974" s="177"/>
      <c r="R3974" s="170"/>
      <c r="S3974" s="170"/>
      <c r="T3974" s="179"/>
      <c r="U3974" s="179"/>
      <c r="V3974" s="179"/>
      <c r="W3974" s="180"/>
      <c r="X3974" s="181"/>
      <c r="Y3974" s="182"/>
      <c r="Z3974" s="182"/>
      <c r="AA3974" s="182"/>
      <c r="AB3974" s="182"/>
      <c r="AC3974" s="183"/>
      <c r="AD3974" s="183"/>
      <c r="AE3974" s="183"/>
      <c r="AF3974" s="184"/>
      <c r="AG3974" s="180"/>
      <c r="AH3974" s="185"/>
      <c r="AI3974" s="182"/>
      <c r="AJ3974" s="182"/>
      <c r="AK3974" s="182"/>
      <c r="AL3974" s="182"/>
    </row>
    <row r="3975" ht="20.25" customHeight="1">
      <c r="A3975" s="169"/>
      <c r="B3975" s="170"/>
      <c r="C3975" s="170"/>
      <c r="D3975" s="170"/>
      <c r="E3975" s="171"/>
      <c r="F3975" s="172"/>
      <c r="G3975" s="173"/>
      <c r="H3975" s="174"/>
      <c r="I3975" s="175"/>
      <c r="J3975" s="172"/>
      <c r="K3975" s="176"/>
      <c r="L3975" s="176"/>
      <c r="M3975" s="176"/>
      <c r="N3975" s="177"/>
      <c r="O3975" s="177"/>
      <c r="P3975" s="178"/>
      <c r="Q3975" s="177"/>
      <c r="R3975" s="170"/>
      <c r="S3975" s="170"/>
      <c r="T3975" s="179"/>
      <c r="U3975" s="179"/>
      <c r="V3975" s="179"/>
      <c r="W3975" s="180"/>
      <c r="X3975" s="181"/>
      <c r="Y3975" s="182"/>
      <c r="Z3975" s="182"/>
      <c r="AA3975" s="182"/>
      <c r="AB3975" s="182"/>
      <c r="AC3975" s="183"/>
      <c r="AD3975" s="183"/>
      <c r="AE3975" s="183"/>
      <c r="AF3975" s="184"/>
      <c r="AG3975" s="180"/>
      <c r="AH3975" s="185"/>
      <c r="AI3975" s="182"/>
      <c r="AJ3975" s="182"/>
      <c r="AK3975" s="182"/>
      <c r="AL3975" s="182"/>
    </row>
    <row r="3976" ht="20.25" customHeight="1">
      <c r="A3976" s="169"/>
      <c r="B3976" s="170"/>
      <c r="C3976" s="170"/>
      <c r="D3976" s="170"/>
      <c r="E3976" s="171"/>
      <c r="F3976" s="172"/>
      <c r="G3976" s="173"/>
      <c r="H3976" s="174"/>
      <c r="I3976" s="175"/>
      <c r="J3976" s="172"/>
      <c r="K3976" s="176"/>
      <c r="L3976" s="176"/>
      <c r="M3976" s="176"/>
      <c r="N3976" s="177"/>
      <c r="O3976" s="177"/>
      <c r="P3976" s="178"/>
      <c r="Q3976" s="177"/>
      <c r="R3976" s="170"/>
      <c r="S3976" s="170"/>
      <c r="T3976" s="179"/>
      <c r="U3976" s="179"/>
      <c r="V3976" s="179"/>
      <c r="W3976" s="180"/>
      <c r="X3976" s="181"/>
      <c r="Y3976" s="182"/>
      <c r="Z3976" s="182"/>
      <c r="AA3976" s="182"/>
      <c r="AB3976" s="182"/>
      <c r="AC3976" s="183"/>
      <c r="AD3976" s="183"/>
      <c r="AE3976" s="183"/>
      <c r="AF3976" s="184"/>
      <c r="AG3976" s="180"/>
      <c r="AH3976" s="185"/>
      <c r="AI3976" s="182"/>
      <c r="AJ3976" s="182"/>
      <c r="AK3976" s="182"/>
      <c r="AL3976" s="182"/>
    </row>
    <row r="3977" ht="20.25" customHeight="1">
      <c r="A3977" s="169"/>
      <c r="B3977" s="170"/>
      <c r="C3977" s="170"/>
      <c r="D3977" s="170"/>
      <c r="E3977" s="171"/>
      <c r="F3977" s="172"/>
      <c r="G3977" s="173"/>
      <c r="H3977" s="174"/>
      <c r="I3977" s="175"/>
      <c r="J3977" s="172"/>
      <c r="K3977" s="176"/>
      <c r="L3977" s="176"/>
      <c r="M3977" s="176"/>
      <c r="N3977" s="177"/>
      <c r="O3977" s="177"/>
      <c r="P3977" s="178"/>
      <c r="Q3977" s="177"/>
      <c r="R3977" s="170"/>
      <c r="S3977" s="170"/>
      <c r="T3977" s="179"/>
      <c r="U3977" s="179"/>
      <c r="V3977" s="179"/>
      <c r="W3977" s="180"/>
      <c r="X3977" s="181"/>
      <c r="Y3977" s="182"/>
      <c r="Z3977" s="182"/>
      <c r="AA3977" s="182"/>
      <c r="AB3977" s="182"/>
      <c r="AC3977" s="183"/>
      <c r="AD3977" s="183"/>
      <c r="AE3977" s="183"/>
      <c r="AF3977" s="184"/>
      <c r="AG3977" s="180"/>
      <c r="AH3977" s="185"/>
      <c r="AI3977" s="182"/>
      <c r="AJ3977" s="182"/>
      <c r="AK3977" s="182"/>
      <c r="AL3977" s="182"/>
    </row>
    <row r="3978" ht="20.25" customHeight="1">
      <c r="A3978" s="169"/>
      <c r="B3978" s="170"/>
      <c r="C3978" s="170"/>
      <c r="D3978" s="170"/>
      <c r="E3978" s="171"/>
      <c r="F3978" s="172"/>
      <c r="G3978" s="173"/>
      <c r="H3978" s="174"/>
      <c r="I3978" s="175"/>
      <c r="J3978" s="172"/>
      <c r="K3978" s="176"/>
      <c r="L3978" s="176"/>
      <c r="M3978" s="176"/>
      <c r="N3978" s="177"/>
      <c r="O3978" s="177"/>
      <c r="P3978" s="178"/>
      <c r="Q3978" s="177"/>
      <c r="R3978" s="170"/>
      <c r="S3978" s="170"/>
      <c r="T3978" s="179"/>
      <c r="U3978" s="179"/>
      <c r="V3978" s="179"/>
      <c r="W3978" s="180"/>
      <c r="X3978" s="181"/>
      <c r="Y3978" s="182"/>
      <c r="Z3978" s="182"/>
      <c r="AA3978" s="182"/>
      <c r="AB3978" s="182"/>
      <c r="AC3978" s="183"/>
      <c r="AD3978" s="183"/>
      <c r="AE3978" s="183"/>
      <c r="AF3978" s="184"/>
      <c r="AG3978" s="180"/>
      <c r="AH3978" s="185"/>
      <c r="AI3978" s="182"/>
      <c r="AJ3978" s="182"/>
      <c r="AK3978" s="182"/>
      <c r="AL3978" s="182"/>
    </row>
    <row r="3979" ht="20.25" customHeight="1">
      <c r="A3979" s="169"/>
      <c r="B3979" s="170"/>
      <c r="C3979" s="170"/>
      <c r="D3979" s="170"/>
      <c r="E3979" s="171"/>
      <c r="F3979" s="172"/>
      <c r="G3979" s="173"/>
      <c r="H3979" s="174"/>
      <c r="I3979" s="175"/>
      <c r="J3979" s="172"/>
      <c r="K3979" s="176"/>
      <c r="L3979" s="176"/>
      <c r="M3979" s="176"/>
      <c r="N3979" s="177"/>
      <c r="O3979" s="177"/>
      <c r="P3979" s="178"/>
      <c r="Q3979" s="177"/>
      <c r="R3979" s="170"/>
      <c r="S3979" s="170"/>
      <c r="T3979" s="179"/>
      <c r="U3979" s="179"/>
      <c r="V3979" s="179"/>
      <c r="W3979" s="180"/>
      <c r="X3979" s="181"/>
      <c r="Y3979" s="182"/>
      <c r="Z3979" s="182"/>
      <c r="AA3979" s="182"/>
      <c r="AB3979" s="182"/>
      <c r="AC3979" s="183"/>
      <c r="AD3979" s="183"/>
      <c r="AE3979" s="183"/>
      <c r="AF3979" s="184"/>
      <c r="AG3979" s="180"/>
      <c r="AH3979" s="185"/>
      <c r="AI3979" s="182"/>
      <c r="AJ3979" s="182"/>
      <c r="AK3979" s="182"/>
      <c r="AL3979" s="182"/>
    </row>
    <row r="3980" ht="20.25" customHeight="1">
      <c r="A3980" s="169"/>
      <c r="B3980" s="170"/>
      <c r="C3980" s="170"/>
      <c r="D3980" s="170"/>
      <c r="E3980" s="171"/>
      <c r="F3980" s="172"/>
      <c r="G3980" s="173"/>
      <c r="H3980" s="174"/>
      <c r="I3980" s="175"/>
      <c r="J3980" s="172"/>
      <c r="K3980" s="176"/>
      <c r="L3980" s="176"/>
      <c r="M3980" s="176"/>
      <c r="N3980" s="177"/>
      <c r="O3980" s="177"/>
      <c r="P3980" s="178"/>
      <c r="Q3980" s="177"/>
      <c r="R3980" s="170"/>
      <c r="S3980" s="170"/>
      <c r="T3980" s="179"/>
      <c r="U3980" s="179"/>
      <c r="V3980" s="179"/>
      <c r="W3980" s="180"/>
      <c r="X3980" s="181"/>
      <c r="Y3980" s="182"/>
      <c r="Z3980" s="182"/>
      <c r="AA3980" s="182"/>
      <c r="AB3980" s="182"/>
      <c r="AC3980" s="183"/>
      <c r="AD3980" s="183"/>
      <c r="AE3980" s="183"/>
      <c r="AF3980" s="184"/>
      <c r="AG3980" s="180"/>
      <c r="AH3980" s="185"/>
      <c r="AI3980" s="182"/>
      <c r="AJ3980" s="182"/>
      <c r="AK3980" s="182"/>
      <c r="AL3980" s="182"/>
    </row>
    <row r="3981" ht="20.25" customHeight="1">
      <c r="A3981" s="169"/>
      <c r="B3981" s="170"/>
      <c r="C3981" s="170"/>
      <c r="D3981" s="170"/>
      <c r="E3981" s="171"/>
      <c r="F3981" s="172"/>
      <c r="G3981" s="173"/>
      <c r="H3981" s="174"/>
      <c r="I3981" s="175"/>
      <c r="J3981" s="172"/>
      <c r="K3981" s="176"/>
      <c r="L3981" s="176"/>
      <c r="M3981" s="176"/>
      <c r="N3981" s="177"/>
      <c r="O3981" s="177"/>
      <c r="P3981" s="178"/>
      <c r="Q3981" s="177"/>
      <c r="R3981" s="170"/>
      <c r="S3981" s="170"/>
      <c r="T3981" s="179"/>
      <c r="U3981" s="179"/>
      <c r="V3981" s="179"/>
      <c r="W3981" s="180"/>
      <c r="X3981" s="181"/>
      <c r="Y3981" s="182"/>
      <c r="Z3981" s="182"/>
      <c r="AA3981" s="182"/>
      <c r="AB3981" s="182"/>
      <c r="AC3981" s="183"/>
      <c r="AD3981" s="183"/>
      <c r="AE3981" s="183"/>
      <c r="AF3981" s="184"/>
      <c r="AG3981" s="180"/>
      <c r="AH3981" s="185"/>
      <c r="AI3981" s="182"/>
      <c r="AJ3981" s="182"/>
      <c r="AK3981" s="182"/>
      <c r="AL3981" s="182"/>
    </row>
    <row r="3982" ht="20.25" customHeight="1">
      <c r="A3982" s="169"/>
      <c r="B3982" s="170"/>
      <c r="C3982" s="170"/>
      <c r="D3982" s="170"/>
      <c r="E3982" s="171"/>
      <c r="F3982" s="172"/>
      <c r="G3982" s="173"/>
      <c r="H3982" s="174"/>
      <c r="I3982" s="175"/>
      <c r="J3982" s="172"/>
      <c r="K3982" s="176"/>
      <c r="L3982" s="176"/>
      <c r="M3982" s="176"/>
      <c r="N3982" s="177"/>
      <c r="O3982" s="177"/>
      <c r="P3982" s="178"/>
      <c r="Q3982" s="177"/>
      <c r="R3982" s="170"/>
      <c r="S3982" s="170"/>
      <c r="T3982" s="179"/>
      <c r="U3982" s="179"/>
      <c r="V3982" s="179"/>
      <c r="W3982" s="180"/>
      <c r="X3982" s="181"/>
      <c r="Y3982" s="182"/>
      <c r="Z3982" s="182"/>
      <c r="AA3982" s="182"/>
      <c r="AB3982" s="182"/>
      <c r="AC3982" s="183"/>
      <c r="AD3982" s="183"/>
      <c r="AE3982" s="183"/>
      <c r="AF3982" s="184"/>
      <c r="AG3982" s="180"/>
      <c r="AH3982" s="185"/>
      <c r="AI3982" s="182"/>
      <c r="AJ3982" s="182"/>
      <c r="AK3982" s="182"/>
      <c r="AL3982" s="182"/>
    </row>
    <row r="3983" ht="20.25" customHeight="1">
      <c r="A3983" s="169"/>
      <c r="B3983" s="170"/>
      <c r="C3983" s="170"/>
      <c r="D3983" s="170"/>
      <c r="E3983" s="171"/>
      <c r="F3983" s="172"/>
      <c r="G3983" s="173"/>
      <c r="H3983" s="174"/>
      <c r="I3983" s="175"/>
      <c r="J3983" s="172"/>
      <c r="K3983" s="176"/>
      <c r="L3983" s="176"/>
      <c r="M3983" s="176"/>
      <c r="N3983" s="177"/>
      <c r="O3983" s="177"/>
      <c r="P3983" s="178"/>
      <c r="Q3983" s="177"/>
      <c r="R3983" s="170"/>
      <c r="S3983" s="170"/>
      <c r="T3983" s="179"/>
      <c r="U3983" s="179"/>
      <c r="V3983" s="179"/>
      <c r="W3983" s="180"/>
      <c r="X3983" s="181"/>
      <c r="Y3983" s="182"/>
      <c r="Z3983" s="182"/>
      <c r="AA3983" s="182"/>
      <c r="AB3983" s="182"/>
      <c r="AC3983" s="183"/>
      <c r="AD3983" s="183"/>
      <c r="AE3983" s="183"/>
      <c r="AF3983" s="184"/>
      <c r="AG3983" s="180"/>
      <c r="AH3983" s="185"/>
      <c r="AI3983" s="182"/>
      <c r="AJ3983" s="182"/>
      <c r="AK3983" s="182"/>
      <c r="AL3983" s="182"/>
    </row>
    <row r="3984" ht="20.25" customHeight="1">
      <c r="A3984" s="169"/>
      <c r="B3984" s="170"/>
      <c r="C3984" s="170"/>
      <c r="D3984" s="170"/>
      <c r="E3984" s="171"/>
      <c r="F3984" s="172"/>
      <c r="G3984" s="173"/>
      <c r="H3984" s="174"/>
      <c r="I3984" s="175"/>
      <c r="J3984" s="172"/>
      <c r="K3984" s="176"/>
      <c r="L3984" s="176"/>
      <c r="M3984" s="176"/>
      <c r="N3984" s="177"/>
      <c r="O3984" s="177"/>
      <c r="P3984" s="178"/>
      <c r="Q3984" s="177"/>
      <c r="R3984" s="170"/>
      <c r="S3984" s="170"/>
      <c r="T3984" s="179"/>
      <c r="U3984" s="179"/>
      <c r="V3984" s="179"/>
      <c r="W3984" s="180"/>
      <c r="X3984" s="181"/>
      <c r="Y3984" s="182"/>
      <c r="Z3984" s="182"/>
      <c r="AA3984" s="182"/>
      <c r="AB3984" s="182"/>
      <c r="AC3984" s="183"/>
      <c r="AD3984" s="183"/>
      <c r="AE3984" s="183"/>
      <c r="AF3984" s="184"/>
      <c r="AG3984" s="180"/>
      <c r="AH3984" s="185"/>
      <c r="AI3984" s="182"/>
      <c r="AJ3984" s="182"/>
      <c r="AK3984" s="182"/>
      <c r="AL3984" s="182"/>
    </row>
    <row r="3985" ht="20.25" customHeight="1">
      <c r="A3985" s="169"/>
      <c r="B3985" s="170"/>
      <c r="C3985" s="170"/>
      <c r="D3985" s="170"/>
      <c r="E3985" s="171"/>
      <c r="F3985" s="172"/>
      <c r="G3985" s="173"/>
      <c r="H3985" s="174"/>
      <c r="I3985" s="175"/>
      <c r="J3985" s="172"/>
      <c r="K3985" s="176"/>
      <c r="L3985" s="176"/>
      <c r="M3985" s="176"/>
      <c r="N3985" s="177"/>
      <c r="O3985" s="177"/>
      <c r="P3985" s="178"/>
      <c r="Q3985" s="177"/>
      <c r="R3985" s="170"/>
      <c r="S3985" s="170"/>
      <c r="T3985" s="179"/>
      <c r="U3985" s="179"/>
      <c r="V3985" s="179"/>
      <c r="W3985" s="180"/>
      <c r="X3985" s="181"/>
      <c r="Y3985" s="182"/>
      <c r="Z3985" s="182"/>
      <c r="AA3985" s="182"/>
      <c r="AB3985" s="182"/>
      <c r="AC3985" s="183"/>
      <c r="AD3985" s="183"/>
      <c r="AE3985" s="183"/>
      <c r="AF3985" s="184"/>
      <c r="AG3985" s="180"/>
      <c r="AH3985" s="185"/>
      <c r="AI3985" s="182"/>
      <c r="AJ3985" s="182"/>
      <c r="AK3985" s="182"/>
      <c r="AL3985" s="182"/>
    </row>
    <row r="3986" ht="20.25" customHeight="1">
      <c r="A3986" s="169"/>
      <c r="B3986" s="170"/>
      <c r="C3986" s="170"/>
      <c r="D3986" s="170"/>
      <c r="E3986" s="171"/>
      <c r="F3986" s="172"/>
      <c r="G3986" s="173"/>
      <c r="H3986" s="174"/>
      <c r="I3986" s="175"/>
      <c r="J3986" s="172"/>
      <c r="K3986" s="176"/>
      <c r="L3986" s="176"/>
      <c r="M3986" s="176"/>
      <c r="N3986" s="177"/>
      <c r="O3986" s="177"/>
      <c r="P3986" s="178"/>
      <c r="Q3986" s="177"/>
      <c r="R3986" s="170"/>
      <c r="S3986" s="170"/>
      <c r="T3986" s="179"/>
      <c r="U3986" s="179"/>
      <c r="V3986" s="179"/>
      <c r="W3986" s="180"/>
      <c r="X3986" s="181"/>
      <c r="Y3986" s="182"/>
      <c r="Z3986" s="182"/>
      <c r="AA3986" s="182"/>
      <c r="AB3986" s="182"/>
      <c r="AC3986" s="183"/>
      <c r="AD3986" s="183"/>
      <c r="AE3986" s="183"/>
      <c r="AF3986" s="184"/>
      <c r="AG3986" s="180"/>
      <c r="AH3986" s="185"/>
      <c r="AI3986" s="182"/>
      <c r="AJ3986" s="182"/>
      <c r="AK3986" s="182"/>
      <c r="AL3986" s="182"/>
    </row>
    <row r="3987" ht="20.25" customHeight="1">
      <c r="A3987" s="169"/>
      <c r="B3987" s="170"/>
      <c r="C3987" s="170"/>
      <c r="D3987" s="170"/>
      <c r="E3987" s="171"/>
      <c r="F3987" s="172"/>
      <c r="G3987" s="173"/>
      <c r="H3987" s="174"/>
      <c r="I3987" s="175"/>
      <c r="J3987" s="172"/>
      <c r="K3987" s="176"/>
      <c r="L3987" s="176"/>
      <c r="M3987" s="176"/>
      <c r="N3987" s="177"/>
      <c r="O3987" s="177"/>
      <c r="P3987" s="178"/>
      <c r="Q3987" s="177"/>
      <c r="R3987" s="170"/>
      <c r="S3987" s="170"/>
      <c r="T3987" s="179"/>
      <c r="U3987" s="179"/>
      <c r="V3987" s="179"/>
      <c r="W3987" s="180"/>
      <c r="X3987" s="181"/>
      <c r="Y3987" s="182"/>
      <c r="Z3987" s="182"/>
      <c r="AA3987" s="182"/>
      <c r="AB3987" s="182"/>
      <c r="AC3987" s="183"/>
      <c r="AD3987" s="183"/>
      <c r="AE3987" s="183"/>
      <c r="AF3987" s="184"/>
      <c r="AG3987" s="180"/>
      <c r="AH3987" s="185"/>
      <c r="AI3987" s="182"/>
      <c r="AJ3987" s="182"/>
      <c r="AK3987" s="182"/>
      <c r="AL3987" s="182"/>
    </row>
    <row r="3988" ht="20.25" customHeight="1">
      <c r="A3988" s="169"/>
      <c r="B3988" s="170"/>
      <c r="C3988" s="170"/>
      <c r="D3988" s="170"/>
      <c r="E3988" s="171"/>
      <c r="F3988" s="172"/>
      <c r="G3988" s="173"/>
      <c r="H3988" s="174"/>
      <c r="I3988" s="175"/>
      <c r="J3988" s="172"/>
      <c r="K3988" s="176"/>
      <c r="L3988" s="176"/>
      <c r="M3988" s="176"/>
      <c r="N3988" s="177"/>
      <c r="O3988" s="177"/>
      <c r="P3988" s="178"/>
      <c r="Q3988" s="177"/>
      <c r="R3988" s="170"/>
      <c r="S3988" s="170"/>
      <c r="T3988" s="179"/>
      <c r="U3988" s="179"/>
      <c r="V3988" s="179"/>
      <c r="W3988" s="180"/>
      <c r="X3988" s="181"/>
      <c r="Y3988" s="182"/>
      <c r="Z3988" s="182"/>
      <c r="AA3988" s="182"/>
      <c r="AB3988" s="182"/>
      <c r="AC3988" s="183"/>
      <c r="AD3988" s="183"/>
      <c r="AE3988" s="183"/>
      <c r="AF3988" s="184"/>
      <c r="AG3988" s="180"/>
      <c r="AH3988" s="185"/>
      <c r="AI3988" s="182"/>
      <c r="AJ3988" s="182"/>
      <c r="AK3988" s="182"/>
      <c r="AL3988" s="182"/>
    </row>
    <row r="3989" ht="20.25" customHeight="1">
      <c r="A3989" s="169"/>
      <c r="B3989" s="170"/>
      <c r="C3989" s="170"/>
      <c r="D3989" s="170"/>
      <c r="E3989" s="171"/>
      <c r="F3989" s="172"/>
      <c r="G3989" s="173"/>
      <c r="H3989" s="174"/>
      <c r="I3989" s="175"/>
      <c r="J3989" s="172"/>
      <c r="K3989" s="176"/>
      <c r="L3989" s="176"/>
      <c r="M3989" s="176"/>
      <c r="N3989" s="177"/>
      <c r="O3989" s="177"/>
      <c r="P3989" s="178"/>
      <c r="Q3989" s="177"/>
      <c r="R3989" s="170"/>
      <c r="S3989" s="170"/>
      <c r="T3989" s="179"/>
      <c r="U3989" s="179"/>
      <c r="V3989" s="179"/>
      <c r="W3989" s="180"/>
      <c r="X3989" s="181"/>
      <c r="Y3989" s="182"/>
      <c r="Z3989" s="182"/>
      <c r="AA3989" s="182"/>
      <c r="AB3989" s="182"/>
      <c r="AC3989" s="183"/>
      <c r="AD3989" s="183"/>
      <c r="AE3989" s="183"/>
      <c r="AF3989" s="184"/>
      <c r="AG3989" s="180"/>
      <c r="AH3989" s="185"/>
      <c r="AI3989" s="182"/>
      <c r="AJ3989" s="182"/>
      <c r="AK3989" s="182"/>
      <c r="AL3989" s="182"/>
    </row>
    <row r="3990" ht="20.25" customHeight="1">
      <c r="A3990" s="169"/>
      <c r="B3990" s="170"/>
      <c r="C3990" s="170"/>
      <c r="D3990" s="170"/>
      <c r="E3990" s="171"/>
      <c r="F3990" s="172"/>
      <c r="G3990" s="173"/>
      <c r="H3990" s="174"/>
      <c r="I3990" s="175"/>
      <c r="J3990" s="172"/>
      <c r="K3990" s="176"/>
      <c r="L3990" s="176"/>
      <c r="M3990" s="176"/>
      <c r="N3990" s="177"/>
      <c r="O3990" s="177"/>
      <c r="P3990" s="178"/>
      <c r="Q3990" s="177"/>
      <c r="R3990" s="170"/>
      <c r="S3990" s="170"/>
      <c r="T3990" s="179"/>
      <c r="U3990" s="179"/>
      <c r="V3990" s="179"/>
      <c r="W3990" s="180"/>
      <c r="X3990" s="181"/>
      <c r="Y3990" s="182"/>
      <c r="Z3990" s="182"/>
      <c r="AA3990" s="182"/>
      <c r="AB3990" s="182"/>
      <c r="AC3990" s="183"/>
      <c r="AD3990" s="183"/>
      <c r="AE3990" s="183"/>
      <c r="AF3990" s="184"/>
      <c r="AG3990" s="180"/>
      <c r="AH3990" s="185"/>
      <c r="AI3990" s="182"/>
      <c r="AJ3990" s="182"/>
      <c r="AK3990" s="182"/>
      <c r="AL3990" s="182"/>
    </row>
    <row r="3991" ht="20.25" customHeight="1">
      <c r="A3991" s="169"/>
      <c r="B3991" s="170"/>
      <c r="C3991" s="170"/>
      <c r="D3991" s="170"/>
      <c r="E3991" s="171"/>
      <c r="F3991" s="172"/>
      <c r="G3991" s="173"/>
      <c r="H3991" s="174"/>
      <c r="I3991" s="175"/>
      <c r="J3991" s="172"/>
      <c r="K3991" s="176"/>
      <c r="L3991" s="176"/>
      <c r="M3991" s="176"/>
      <c r="N3991" s="177"/>
      <c r="O3991" s="177"/>
      <c r="P3991" s="178"/>
      <c r="Q3991" s="177"/>
      <c r="R3991" s="170"/>
      <c r="S3991" s="170"/>
      <c r="T3991" s="179"/>
      <c r="U3991" s="179"/>
      <c r="V3991" s="179"/>
      <c r="W3991" s="180"/>
      <c r="X3991" s="181"/>
      <c r="Y3991" s="182"/>
      <c r="Z3991" s="182"/>
      <c r="AA3991" s="182"/>
      <c r="AB3991" s="182"/>
      <c r="AC3991" s="183"/>
      <c r="AD3991" s="183"/>
      <c r="AE3991" s="183"/>
      <c r="AF3991" s="184"/>
      <c r="AG3991" s="180"/>
      <c r="AH3991" s="185"/>
      <c r="AI3991" s="182"/>
      <c r="AJ3991" s="182"/>
      <c r="AK3991" s="182"/>
      <c r="AL3991" s="182"/>
    </row>
    <row r="3992" ht="20.25" customHeight="1">
      <c r="A3992" s="169"/>
      <c r="B3992" s="170"/>
      <c r="C3992" s="170"/>
      <c r="D3992" s="170"/>
      <c r="E3992" s="171"/>
      <c r="F3992" s="172"/>
      <c r="G3992" s="173"/>
      <c r="H3992" s="174"/>
      <c r="I3992" s="175"/>
      <c r="J3992" s="172"/>
      <c r="K3992" s="176"/>
      <c r="L3992" s="176"/>
      <c r="M3992" s="176"/>
      <c r="N3992" s="177"/>
      <c r="O3992" s="177"/>
      <c r="P3992" s="178"/>
      <c r="Q3992" s="177"/>
      <c r="R3992" s="170"/>
      <c r="S3992" s="170"/>
      <c r="T3992" s="179"/>
      <c r="U3992" s="179"/>
      <c r="V3992" s="179"/>
      <c r="W3992" s="180"/>
      <c r="X3992" s="181"/>
      <c r="Y3992" s="182"/>
      <c r="Z3992" s="182"/>
      <c r="AA3992" s="182"/>
      <c r="AB3992" s="182"/>
      <c r="AC3992" s="183"/>
      <c r="AD3992" s="183"/>
      <c r="AE3992" s="183"/>
      <c r="AF3992" s="184"/>
      <c r="AG3992" s="180"/>
      <c r="AH3992" s="185"/>
      <c r="AI3992" s="182"/>
      <c r="AJ3992" s="182"/>
      <c r="AK3992" s="182"/>
      <c r="AL3992" s="182"/>
    </row>
    <row r="3993" ht="20.25" customHeight="1">
      <c r="A3993" s="169"/>
      <c r="B3993" s="170"/>
      <c r="C3993" s="170"/>
      <c r="D3993" s="170"/>
      <c r="E3993" s="171"/>
      <c r="F3993" s="172"/>
      <c r="G3993" s="173"/>
      <c r="H3993" s="174"/>
      <c r="I3993" s="175"/>
      <c r="J3993" s="172"/>
      <c r="K3993" s="176"/>
      <c r="L3993" s="176"/>
      <c r="M3993" s="176"/>
      <c r="N3993" s="177"/>
      <c r="O3993" s="177"/>
      <c r="P3993" s="178"/>
      <c r="Q3993" s="177"/>
      <c r="R3993" s="170"/>
      <c r="S3993" s="170"/>
      <c r="T3993" s="179"/>
      <c r="U3993" s="179"/>
      <c r="V3993" s="179"/>
      <c r="W3993" s="180"/>
      <c r="X3993" s="181"/>
      <c r="Y3993" s="182"/>
      <c r="Z3993" s="182"/>
      <c r="AA3993" s="182"/>
      <c r="AB3993" s="182"/>
      <c r="AC3993" s="183"/>
      <c r="AD3993" s="183"/>
      <c r="AE3993" s="183"/>
      <c r="AF3993" s="184"/>
      <c r="AG3993" s="180"/>
      <c r="AH3993" s="185"/>
      <c r="AI3993" s="182"/>
      <c r="AJ3993" s="182"/>
      <c r="AK3993" s="182"/>
      <c r="AL3993" s="182"/>
    </row>
    <row r="3994" ht="20.25" customHeight="1">
      <c r="A3994" s="169"/>
      <c r="B3994" s="170"/>
      <c r="C3994" s="170"/>
      <c r="D3994" s="170"/>
      <c r="E3994" s="171"/>
      <c r="F3994" s="172"/>
      <c r="G3994" s="173"/>
      <c r="H3994" s="174"/>
      <c r="I3994" s="175"/>
      <c r="J3994" s="172"/>
      <c r="K3994" s="176"/>
      <c r="L3994" s="176"/>
      <c r="M3994" s="176"/>
      <c r="N3994" s="177"/>
      <c r="O3994" s="177"/>
      <c r="P3994" s="178"/>
      <c r="Q3994" s="177"/>
      <c r="R3994" s="170"/>
      <c r="S3994" s="170"/>
      <c r="T3994" s="179"/>
      <c r="U3994" s="179"/>
      <c r="V3994" s="179"/>
      <c r="W3994" s="180"/>
      <c r="X3994" s="181"/>
      <c r="Y3994" s="182"/>
      <c r="Z3994" s="182"/>
      <c r="AA3994" s="182"/>
      <c r="AB3994" s="182"/>
      <c r="AC3994" s="183"/>
      <c r="AD3994" s="183"/>
      <c r="AE3994" s="183"/>
      <c r="AF3994" s="184"/>
      <c r="AG3994" s="180"/>
      <c r="AH3994" s="185"/>
      <c r="AI3994" s="182"/>
      <c r="AJ3994" s="182"/>
      <c r="AK3994" s="182"/>
      <c r="AL3994" s="182"/>
    </row>
    <row r="3995" ht="20.25" customHeight="1">
      <c r="A3995" s="169"/>
      <c r="B3995" s="170"/>
      <c r="C3995" s="170"/>
      <c r="D3995" s="170"/>
      <c r="E3995" s="171"/>
      <c r="F3995" s="172"/>
      <c r="G3995" s="173"/>
      <c r="H3995" s="174"/>
      <c r="I3995" s="175"/>
      <c r="J3995" s="172"/>
      <c r="K3995" s="176"/>
      <c r="L3995" s="176"/>
      <c r="M3995" s="176"/>
      <c r="N3995" s="177"/>
      <c r="O3995" s="177"/>
      <c r="P3995" s="178"/>
      <c r="Q3995" s="177"/>
      <c r="R3995" s="170"/>
      <c r="S3995" s="170"/>
      <c r="T3995" s="179"/>
      <c r="U3995" s="179"/>
      <c r="V3995" s="179"/>
      <c r="W3995" s="180"/>
      <c r="X3995" s="181"/>
      <c r="Y3995" s="182"/>
      <c r="Z3995" s="182"/>
      <c r="AA3995" s="182"/>
      <c r="AB3995" s="182"/>
      <c r="AC3995" s="183"/>
      <c r="AD3995" s="183"/>
      <c r="AE3995" s="183"/>
      <c r="AF3995" s="184"/>
      <c r="AG3995" s="180"/>
      <c r="AH3995" s="185"/>
      <c r="AI3995" s="182"/>
      <c r="AJ3995" s="182"/>
      <c r="AK3995" s="182"/>
      <c r="AL3995" s="182"/>
    </row>
    <row r="3996" ht="20.25" customHeight="1">
      <c r="A3996" s="169"/>
      <c r="B3996" s="170"/>
      <c r="C3996" s="170"/>
      <c r="D3996" s="170"/>
      <c r="E3996" s="171"/>
      <c r="F3996" s="172"/>
      <c r="G3996" s="173"/>
      <c r="H3996" s="174"/>
      <c r="I3996" s="175"/>
      <c r="J3996" s="172"/>
      <c r="K3996" s="176"/>
      <c r="L3996" s="176"/>
      <c r="M3996" s="176"/>
      <c r="N3996" s="177"/>
      <c r="O3996" s="177"/>
      <c r="P3996" s="178"/>
      <c r="Q3996" s="177"/>
      <c r="R3996" s="170"/>
      <c r="S3996" s="170"/>
      <c r="T3996" s="179"/>
      <c r="U3996" s="179"/>
      <c r="V3996" s="179"/>
      <c r="W3996" s="180"/>
      <c r="X3996" s="181"/>
      <c r="Y3996" s="182"/>
      <c r="Z3996" s="182"/>
      <c r="AA3996" s="182"/>
      <c r="AB3996" s="182"/>
      <c r="AC3996" s="183"/>
      <c r="AD3996" s="183"/>
      <c r="AE3996" s="183"/>
      <c r="AF3996" s="184"/>
      <c r="AG3996" s="180"/>
      <c r="AH3996" s="185"/>
      <c r="AI3996" s="182"/>
      <c r="AJ3996" s="182"/>
      <c r="AK3996" s="182"/>
      <c r="AL3996" s="182"/>
    </row>
    <row r="3997" ht="20.25" customHeight="1">
      <c r="A3997" s="169"/>
      <c r="B3997" s="170"/>
      <c r="C3997" s="170"/>
      <c r="D3997" s="170"/>
      <c r="E3997" s="171"/>
      <c r="F3997" s="172"/>
      <c r="G3997" s="173"/>
      <c r="H3997" s="174"/>
      <c r="I3997" s="175"/>
      <c r="J3997" s="172"/>
      <c r="K3997" s="176"/>
      <c r="L3997" s="176"/>
      <c r="M3997" s="176"/>
      <c r="N3997" s="177"/>
      <c r="O3997" s="177"/>
      <c r="P3997" s="178"/>
      <c r="Q3997" s="177"/>
      <c r="R3997" s="170"/>
      <c r="S3997" s="170"/>
      <c r="T3997" s="179"/>
      <c r="U3997" s="179"/>
      <c r="V3997" s="179"/>
      <c r="W3997" s="180"/>
      <c r="X3997" s="181"/>
      <c r="Y3997" s="182"/>
      <c r="Z3997" s="182"/>
      <c r="AA3997" s="182"/>
      <c r="AB3997" s="182"/>
      <c r="AC3997" s="183"/>
      <c r="AD3997" s="183"/>
      <c r="AE3997" s="183"/>
      <c r="AF3997" s="184"/>
      <c r="AG3997" s="180"/>
      <c r="AH3997" s="185"/>
      <c r="AI3997" s="182"/>
      <c r="AJ3997" s="182"/>
      <c r="AK3997" s="182"/>
      <c r="AL3997" s="182"/>
    </row>
    <row r="3998" ht="20.25" customHeight="1">
      <c r="A3998" s="169"/>
      <c r="B3998" s="170"/>
      <c r="C3998" s="170"/>
      <c r="D3998" s="170"/>
      <c r="E3998" s="171"/>
      <c r="F3998" s="172"/>
      <c r="G3998" s="173"/>
      <c r="H3998" s="174"/>
      <c r="I3998" s="175"/>
      <c r="J3998" s="172"/>
      <c r="K3998" s="176"/>
      <c r="L3998" s="176"/>
      <c r="M3998" s="176"/>
      <c r="N3998" s="177"/>
      <c r="O3998" s="177"/>
      <c r="P3998" s="178"/>
      <c r="Q3998" s="177"/>
      <c r="R3998" s="170"/>
      <c r="S3998" s="170"/>
      <c r="T3998" s="179"/>
      <c r="U3998" s="179"/>
      <c r="V3998" s="179"/>
      <c r="W3998" s="180"/>
      <c r="X3998" s="181"/>
      <c r="Y3998" s="182"/>
      <c r="Z3998" s="182"/>
      <c r="AA3998" s="182"/>
      <c r="AB3998" s="182"/>
      <c r="AC3998" s="183"/>
      <c r="AD3998" s="183"/>
      <c r="AE3998" s="183"/>
      <c r="AF3998" s="184"/>
      <c r="AG3998" s="180"/>
      <c r="AH3998" s="185"/>
      <c r="AI3998" s="182"/>
      <c r="AJ3998" s="182"/>
      <c r="AK3998" s="182"/>
      <c r="AL3998" s="182"/>
    </row>
    <row r="3999" ht="20.25" customHeight="1">
      <c r="A3999" s="169"/>
      <c r="B3999" s="170"/>
      <c r="C3999" s="170"/>
      <c r="D3999" s="170"/>
      <c r="E3999" s="171"/>
      <c r="F3999" s="172"/>
      <c r="G3999" s="173"/>
      <c r="H3999" s="174"/>
      <c r="I3999" s="175"/>
      <c r="J3999" s="172"/>
      <c r="K3999" s="176"/>
      <c r="L3999" s="176"/>
      <c r="M3999" s="176"/>
      <c r="N3999" s="177"/>
      <c r="O3999" s="177"/>
      <c r="P3999" s="178"/>
      <c r="Q3999" s="177"/>
      <c r="R3999" s="170"/>
      <c r="S3999" s="170"/>
      <c r="T3999" s="179"/>
      <c r="U3999" s="179"/>
      <c r="V3999" s="179"/>
      <c r="W3999" s="180"/>
      <c r="X3999" s="181"/>
      <c r="Y3999" s="182"/>
      <c r="Z3999" s="182"/>
      <c r="AA3999" s="182"/>
      <c r="AB3999" s="182"/>
      <c r="AC3999" s="183"/>
      <c r="AD3999" s="183"/>
      <c r="AE3999" s="183"/>
      <c r="AF3999" s="184"/>
      <c r="AG3999" s="180"/>
      <c r="AH3999" s="185"/>
      <c r="AI3999" s="182"/>
      <c r="AJ3999" s="182"/>
      <c r="AK3999" s="182"/>
      <c r="AL3999" s="182"/>
    </row>
    <row r="4000" ht="20.25" customHeight="1">
      <c r="A4000" s="169"/>
      <c r="B4000" s="170"/>
      <c r="C4000" s="170"/>
      <c r="D4000" s="170"/>
      <c r="E4000" s="171"/>
      <c r="F4000" s="172"/>
      <c r="G4000" s="173"/>
      <c r="H4000" s="174"/>
      <c r="I4000" s="175"/>
      <c r="J4000" s="172"/>
      <c r="K4000" s="176"/>
      <c r="L4000" s="176"/>
      <c r="M4000" s="176"/>
      <c r="N4000" s="177"/>
      <c r="O4000" s="177"/>
      <c r="P4000" s="178"/>
      <c r="Q4000" s="177"/>
      <c r="R4000" s="170"/>
      <c r="S4000" s="170"/>
      <c r="T4000" s="179"/>
      <c r="U4000" s="179"/>
      <c r="V4000" s="179"/>
      <c r="W4000" s="180"/>
      <c r="X4000" s="181"/>
      <c r="Y4000" s="182"/>
      <c r="Z4000" s="182"/>
      <c r="AA4000" s="182"/>
      <c r="AB4000" s="182"/>
      <c r="AC4000" s="183"/>
      <c r="AD4000" s="183"/>
      <c r="AE4000" s="183"/>
      <c r="AF4000" s="184"/>
      <c r="AG4000" s="180"/>
      <c r="AH4000" s="185"/>
      <c r="AI4000" s="182"/>
      <c r="AJ4000" s="182"/>
      <c r="AK4000" s="182"/>
      <c r="AL4000" s="182"/>
    </row>
    <row r="4001" ht="20.25" customHeight="1">
      <c r="A4001" s="169"/>
      <c r="B4001" s="170"/>
      <c r="C4001" s="170"/>
      <c r="D4001" s="170"/>
      <c r="E4001" s="171"/>
      <c r="F4001" s="172"/>
      <c r="G4001" s="173"/>
      <c r="H4001" s="174"/>
      <c r="I4001" s="175"/>
      <c r="J4001" s="172"/>
      <c r="K4001" s="176"/>
      <c r="L4001" s="176"/>
      <c r="M4001" s="176"/>
      <c r="N4001" s="177"/>
      <c r="O4001" s="177"/>
      <c r="P4001" s="178"/>
      <c r="Q4001" s="177"/>
      <c r="R4001" s="170"/>
      <c r="S4001" s="170"/>
      <c r="T4001" s="179"/>
      <c r="U4001" s="179"/>
      <c r="V4001" s="179"/>
      <c r="W4001" s="180"/>
      <c r="X4001" s="181"/>
      <c r="Y4001" s="182"/>
      <c r="Z4001" s="182"/>
      <c r="AA4001" s="182"/>
      <c r="AB4001" s="182"/>
      <c r="AC4001" s="183"/>
      <c r="AD4001" s="183"/>
      <c r="AE4001" s="183"/>
      <c r="AF4001" s="184"/>
      <c r="AG4001" s="180"/>
      <c r="AH4001" s="185"/>
      <c r="AI4001" s="182"/>
      <c r="AJ4001" s="182"/>
      <c r="AK4001" s="182"/>
      <c r="AL4001" s="182"/>
    </row>
    <row r="4002" ht="20.25" customHeight="1">
      <c r="A4002" s="169"/>
      <c r="B4002" s="170"/>
      <c r="C4002" s="170"/>
      <c r="D4002" s="170"/>
      <c r="E4002" s="171"/>
      <c r="F4002" s="172"/>
      <c r="G4002" s="173"/>
      <c r="H4002" s="174"/>
      <c r="I4002" s="175"/>
      <c r="J4002" s="172"/>
      <c r="K4002" s="176"/>
      <c r="L4002" s="176"/>
      <c r="M4002" s="176"/>
      <c r="N4002" s="177"/>
      <c r="O4002" s="177"/>
      <c r="P4002" s="178"/>
      <c r="Q4002" s="177"/>
      <c r="R4002" s="170"/>
      <c r="S4002" s="170"/>
      <c r="T4002" s="179"/>
      <c r="U4002" s="179"/>
      <c r="V4002" s="179"/>
      <c r="W4002" s="180"/>
      <c r="X4002" s="181"/>
      <c r="Y4002" s="182"/>
      <c r="Z4002" s="182"/>
      <c r="AA4002" s="182"/>
      <c r="AB4002" s="182"/>
      <c r="AC4002" s="183"/>
      <c r="AD4002" s="183"/>
      <c r="AE4002" s="183"/>
      <c r="AF4002" s="184"/>
      <c r="AG4002" s="180"/>
      <c r="AH4002" s="185"/>
      <c r="AI4002" s="182"/>
      <c r="AJ4002" s="182"/>
      <c r="AK4002" s="182"/>
      <c r="AL4002" s="182"/>
    </row>
    <row r="4003" ht="20.25" customHeight="1">
      <c r="A4003" s="169"/>
      <c r="B4003" s="170"/>
      <c r="C4003" s="170"/>
      <c r="D4003" s="170"/>
      <c r="E4003" s="171"/>
      <c r="F4003" s="172"/>
      <c r="G4003" s="173"/>
      <c r="H4003" s="174"/>
      <c r="I4003" s="175"/>
      <c r="J4003" s="172"/>
      <c r="K4003" s="176"/>
      <c r="L4003" s="176"/>
      <c r="M4003" s="176"/>
      <c r="N4003" s="177"/>
      <c r="O4003" s="177"/>
      <c r="P4003" s="178"/>
      <c r="Q4003" s="177"/>
      <c r="R4003" s="170"/>
      <c r="S4003" s="170"/>
      <c r="T4003" s="179"/>
      <c r="U4003" s="179"/>
      <c r="V4003" s="179"/>
      <c r="W4003" s="180"/>
      <c r="X4003" s="181"/>
      <c r="Y4003" s="182"/>
      <c r="Z4003" s="182"/>
      <c r="AA4003" s="182"/>
      <c r="AB4003" s="182"/>
      <c r="AC4003" s="183"/>
      <c r="AD4003" s="183"/>
      <c r="AE4003" s="183"/>
      <c r="AF4003" s="184"/>
      <c r="AG4003" s="180"/>
      <c r="AH4003" s="185"/>
      <c r="AI4003" s="182"/>
      <c r="AJ4003" s="182"/>
      <c r="AK4003" s="182"/>
      <c r="AL4003" s="182"/>
    </row>
    <row r="4004" ht="20.25" customHeight="1">
      <c r="A4004" s="169"/>
      <c r="B4004" s="170"/>
      <c r="C4004" s="170"/>
      <c r="D4004" s="170"/>
      <c r="E4004" s="171"/>
      <c r="F4004" s="172"/>
      <c r="G4004" s="173"/>
      <c r="H4004" s="174"/>
      <c r="I4004" s="175"/>
      <c r="J4004" s="172"/>
      <c r="K4004" s="176"/>
      <c r="L4004" s="176"/>
      <c r="M4004" s="176"/>
      <c r="N4004" s="177"/>
      <c r="O4004" s="177"/>
      <c r="P4004" s="178"/>
      <c r="Q4004" s="177"/>
      <c r="R4004" s="170"/>
      <c r="S4004" s="170"/>
      <c r="T4004" s="179"/>
      <c r="U4004" s="179"/>
      <c r="V4004" s="179"/>
      <c r="W4004" s="180"/>
      <c r="X4004" s="181"/>
      <c r="Y4004" s="182"/>
      <c r="Z4004" s="182"/>
      <c r="AA4004" s="182"/>
      <c r="AB4004" s="182"/>
      <c r="AC4004" s="183"/>
      <c r="AD4004" s="183"/>
      <c r="AE4004" s="183"/>
      <c r="AF4004" s="184"/>
      <c r="AG4004" s="180"/>
      <c r="AH4004" s="185"/>
      <c r="AI4004" s="182"/>
      <c r="AJ4004" s="182"/>
      <c r="AK4004" s="182"/>
      <c r="AL4004" s="182"/>
    </row>
    <row r="4005" ht="20.25" customHeight="1">
      <c r="A4005" s="169"/>
      <c r="B4005" s="170"/>
      <c r="C4005" s="170"/>
      <c r="D4005" s="170"/>
      <c r="E4005" s="171"/>
      <c r="F4005" s="172"/>
      <c r="G4005" s="173"/>
      <c r="H4005" s="174"/>
      <c r="I4005" s="175"/>
      <c r="J4005" s="172"/>
      <c r="K4005" s="176"/>
      <c r="L4005" s="176"/>
      <c r="M4005" s="176"/>
      <c r="N4005" s="177"/>
      <c r="O4005" s="177"/>
      <c r="P4005" s="178"/>
      <c r="Q4005" s="177"/>
      <c r="R4005" s="170"/>
      <c r="S4005" s="170"/>
      <c r="T4005" s="179"/>
      <c r="U4005" s="179"/>
      <c r="V4005" s="179"/>
      <c r="W4005" s="180"/>
      <c r="X4005" s="181"/>
      <c r="Y4005" s="182"/>
      <c r="Z4005" s="182"/>
      <c r="AA4005" s="182"/>
      <c r="AB4005" s="182"/>
      <c r="AC4005" s="183"/>
      <c r="AD4005" s="183"/>
      <c r="AE4005" s="183"/>
      <c r="AF4005" s="184"/>
      <c r="AG4005" s="180"/>
      <c r="AH4005" s="185"/>
      <c r="AI4005" s="182"/>
      <c r="AJ4005" s="182"/>
      <c r="AK4005" s="182"/>
      <c r="AL4005" s="182"/>
    </row>
    <row r="4006" ht="20.25" customHeight="1">
      <c r="A4006" s="169"/>
      <c r="B4006" s="170"/>
      <c r="C4006" s="170"/>
      <c r="D4006" s="170"/>
      <c r="E4006" s="171"/>
      <c r="F4006" s="172"/>
      <c r="G4006" s="173"/>
      <c r="H4006" s="174"/>
      <c r="I4006" s="175"/>
      <c r="J4006" s="172"/>
      <c r="K4006" s="176"/>
      <c r="L4006" s="176"/>
      <c r="M4006" s="176"/>
      <c r="N4006" s="177"/>
      <c r="O4006" s="177"/>
      <c r="P4006" s="178"/>
      <c r="Q4006" s="177"/>
      <c r="R4006" s="170"/>
      <c r="S4006" s="170"/>
      <c r="T4006" s="179"/>
      <c r="U4006" s="179"/>
      <c r="V4006" s="179"/>
      <c r="W4006" s="180"/>
      <c r="X4006" s="181"/>
      <c r="Y4006" s="182"/>
      <c r="Z4006" s="182"/>
      <c r="AA4006" s="182"/>
      <c r="AB4006" s="182"/>
      <c r="AC4006" s="183"/>
      <c r="AD4006" s="183"/>
      <c r="AE4006" s="183"/>
      <c r="AF4006" s="184"/>
      <c r="AG4006" s="180"/>
      <c r="AH4006" s="185"/>
      <c r="AI4006" s="182"/>
      <c r="AJ4006" s="182"/>
      <c r="AK4006" s="182"/>
      <c r="AL4006" s="182"/>
    </row>
    <row r="4007" ht="20.25" customHeight="1">
      <c r="A4007" s="169"/>
      <c r="B4007" s="170"/>
      <c r="C4007" s="170"/>
      <c r="D4007" s="170"/>
      <c r="E4007" s="171"/>
      <c r="F4007" s="172"/>
      <c r="G4007" s="173"/>
      <c r="H4007" s="174"/>
      <c r="I4007" s="175"/>
      <c r="J4007" s="172"/>
      <c r="K4007" s="176"/>
      <c r="L4007" s="176"/>
      <c r="M4007" s="176"/>
      <c r="N4007" s="177"/>
      <c r="O4007" s="177"/>
      <c r="P4007" s="178"/>
      <c r="Q4007" s="177"/>
      <c r="R4007" s="170"/>
      <c r="S4007" s="170"/>
      <c r="T4007" s="179"/>
      <c r="U4007" s="179"/>
      <c r="V4007" s="179"/>
      <c r="W4007" s="180"/>
      <c r="X4007" s="181"/>
      <c r="Y4007" s="182"/>
      <c r="Z4007" s="182"/>
      <c r="AA4007" s="182"/>
      <c r="AB4007" s="182"/>
      <c r="AC4007" s="183"/>
      <c r="AD4007" s="183"/>
      <c r="AE4007" s="183"/>
      <c r="AF4007" s="184"/>
      <c r="AG4007" s="180"/>
      <c r="AH4007" s="185"/>
      <c r="AI4007" s="182"/>
      <c r="AJ4007" s="182"/>
      <c r="AK4007" s="182"/>
      <c r="AL4007" s="182"/>
    </row>
    <row r="4008" ht="20.25" customHeight="1">
      <c r="A4008" s="169"/>
      <c r="B4008" s="170"/>
      <c r="C4008" s="170"/>
      <c r="D4008" s="170"/>
      <c r="E4008" s="171"/>
      <c r="F4008" s="172"/>
      <c r="G4008" s="173"/>
      <c r="H4008" s="174"/>
      <c r="I4008" s="175"/>
      <c r="J4008" s="172"/>
      <c r="K4008" s="176"/>
      <c r="L4008" s="176"/>
      <c r="M4008" s="176"/>
      <c r="N4008" s="177"/>
      <c r="O4008" s="177"/>
      <c r="P4008" s="178"/>
      <c r="Q4008" s="177"/>
      <c r="R4008" s="170"/>
      <c r="S4008" s="170"/>
      <c r="T4008" s="179"/>
      <c r="U4008" s="179"/>
      <c r="V4008" s="179"/>
      <c r="W4008" s="180"/>
      <c r="X4008" s="181"/>
      <c r="Y4008" s="182"/>
      <c r="Z4008" s="182"/>
      <c r="AA4008" s="182"/>
      <c r="AB4008" s="182"/>
      <c r="AC4008" s="183"/>
      <c r="AD4008" s="183"/>
      <c r="AE4008" s="183"/>
      <c r="AF4008" s="184"/>
      <c r="AG4008" s="180"/>
      <c r="AH4008" s="185"/>
      <c r="AI4008" s="182"/>
      <c r="AJ4008" s="182"/>
      <c r="AK4008" s="182"/>
      <c r="AL4008" s="182"/>
    </row>
    <row r="4009" ht="20.25" customHeight="1">
      <c r="A4009" s="169"/>
      <c r="B4009" s="170"/>
      <c r="C4009" s="170"/>
      <c r="D4009" s="170"/>
      <c r="E4009" s="171"/>
      <c r="F4009" s="172"/>
      <c r="G4009" s="173"/>
      <c r="H4009" s="174"/>
      <c r="I4009" s="175"/>
      <c r="J4009" s="172"/>
      <c r="K4009" s="176"/>
      <c r="L4009" s="176"/>
      <c r="M4009" s="176"/>
      <c r="N4009" s="177"/>
      <c r="O4009" s="177"/>
      <c r="P4009" s="178"/>
      <c r="Q4009" s="177"/>
      <c r="R4009" s="170"/>
      <c r="S4009" s="170"/>
      <c r="T4009" s="179"/>
      <c r="U4009" s="179"/>
      <c r="V4009" s="179"/>
      <c r="W4009" s="180"/>
      <c r="X4009" s="181"/>
      <c r="Y4009" s="182"/>
      <c r="Z4009" s="182"/>
      <c r="AA4009" s="182"/>
      <c r="AB4009" s="182"/>
      <c r="AC4009" s="183"/>
      <c r="AD4009" s="183"/>
      <c r="AE4009" s="183"/>
      <c r="AF4009" s="184"/>
      <c r="AG4009" s="180"/>
      <c r="AH4009" s="185"/>
      <c r="AI4009" s="182"/>
      <c r="AJ4009" s="182"/>
      <c r="AK4009" s="182"/>
      <c r="AL4009" s="182"/>
    </row>
    <row r="4010" ht="20.25" customHeight="1">
      <c r="A4010" s="169"/>
      <c r="B4010" s="170"/>
      <c r="C4010" s="170"/>
      <c r="D4010" s="170"/>
      <c r="E4010" s="171"/>
      <c r="F4010" s="172"/>
      <c r="G4010" s="173"/>
      <c r="H4010" s="174"/>
      <c r="I4010" s="175"/>
      <c r="J4010" s="172"/>
      <c r="K4010" s="176"/>
      <c r="L4010" s="176"/>
      <c r="M4010" s="176"/>
      <c r="N4010" s="177"/>
      <c r="O4010" s="177"/>
      <c r="P4010" s="178"/>
      <c r="Q4010" s="177"/>
      <c r="R4010" s="170"/>
      <c r="S4010" s="170"/>
      <c r="T4010" s="179"/>
      <c r="U4010" s="179"/>
      <c r="V4010" s="179"/>
      <c r="W4010" s="180"/>
      <c r="X4010" s="181"/>
      <c r="Y4010" s="182"/>
      <c r="Z4010" s="182"/>
      <c r="AA4010" s="182"/>
      <c r="AB4010" s="182"/>
      <c r="AC4010" s="183"/>
      <c r="AD4010" s="183"/>
      <c r="AE4010" s="183"/>
      <c r="AF4010" s="184"/>
      <c r="AG4010" s="180"/>
      <c r="AH4010" s="185"/>
      <c r="AI4010" s="182"/>
      <c r="AJ4010" s="182"/>
      <c r="AK4010" s="182"/>
      <c r="AL4010" s="182"/>
    </row>
    <row r="4011" ht="20.25" customHeight="1">
      <c r="A4011" s="169"/>
      <c r="B4011" s="170"/>
      <c r="C4011" s="170"/>
      <c r="D4011" s="170"/>
      <c r="E4011" s="171"/>
      <c r="F4011" s="172"/>
      <c r="G4011" s="173"/>
      <c r="H4011" s="174"/>
      <c r="I4011" s="175"/>
      <c r="J4011" s="172"/>
      <c r="K4011" s="176"/>
      <c r="L4011" s="176"/>
      <c r="M4011" s="176"/>
      <c r="N4011" s="177"/>
      <c r="O4011" s="177"/>
      <c r="P4011" s="178"/>
      <c r="Q4011" s="177"/>
      <c r="R4011" s="170"/>
      <c r="S4011" s="170"/>
      <c r="T4011" s="179"/>
      <c r="U4011" s="179"/>
      <c r="V4011" s="179"/>
      <c r="W4011" s="180"/>
      <c r="X4011" s="181"/>
      <c r="Y4011" s="182"/>
      <c r="Z4011" s="182"/>
      <c r="AA4011" s="182"/>
      <c r="AB4011" s="182"/>
      <c r="AC4011" s="183"/>
      <c r="AD4011" s="183"/>
      <c r="AE4011" s="183"/>
      <c r="AF4011" s="184"/>
      <c r="AG4011" s="180"/>
      <c r="AH4011" s="185"/>
      <c r="AI4011" s="182"/>
      <c r="AJ4011" s="182"/>
      <c r="AK4011" s="182"/>
      <c r="AL4011" s="182"/>
    </row>
    <row r="4012" ht="20.25" customHeight="1">
      <c r="A4012" s="169"/>
      <c r="B4012" s="170"/>
      <c r="C4012" s="170"/>
      <c r="D4012" s="170"/>
      <c r="E4012" s="171"/>
      <c r="F4012" s="172"/>
      <c r="G4012" s="173"/>
      <c r="H4012" s="174"/>
      <c r="I4012" s="175"/>
      <c r="J4012" s="172"/>
      <c r="K4012" s="176"/>
      <c r="L4012" s="176"/>
      <c r="M4012" s="176"/>
      <c r="N4012" s="177"/>
      <c r="O4012" s="177"/>
      <c r="P4012" s="178"/>
      <c r="Q4012" s="177"/>
      <c r="R4012" s="170"/>
      <c r="S4012" s="170"/>
      <c r="T4012" s="179"/>
      <c r="U4012" s="179"/>
      <c r="V4012" s="179"/>
      <c r="W4012" s="180"/>
      <c r="X4012" s="181"/>
      <c r="Y4012" s="182"/>
      <c r="Z4012" s="182"/>
      <c r="AA4012" s="182"/>
      <c r="AB4012" s="182"/>
      <c r="AC4012" s="183"/>
      <c r="AD4012" s="183"/>
      <c r="AE4012" s="183"/>
      <c r="AF4012" s="184"/>
      <c r="AG4012" s="180"/>
      <c r="AH4012" s="185"/>
      <c r="AI4012" s="182"/>
      <c r="AJ4012" s="182"/>
      <c r="AK4012" s="182"/>
      <c r="AL4012" s="182"/>
    </row>
    <row r="4013" ht="20.25" customHeight="1">
      <c r="A4013" s="169"/>
      <c r="B4013" s="170"/>
      <c r="C4013" s="170"/>
      <c r="D4013" s="170"/>
      <c r="E4013" s="171"/>
      <c r="F4013" s="172"/>
      <c r="G4013" s="173"/>
      <c r="H4013" s="174"/>
      <c r="I4013" s="175"/>
      <c r="J4013" s="172"/>
      <c r="K4013" s="176"/>
      <c r="L4013" s="176"/>
      <c r="M4013" s="176"/>
      <c r="N4013" s="177"/>
      <c r="O4013" s="177"/>
      <c r="P4013" s="178"/>
      <c r="Q4013" s="177"/>
      <c r="R4013" s="170"/>
      <c r="S4013" s="170"/>
      <c r="T4013" s="179"/>
      <c r="U4013" s="179"/>
      <c r="V4013" s="179"/>
      <c r="W4013" s="180"/>
      <c r="X4013" s="181"/>
      <c r="Y4013" s="182"/>
      <c r="Z4013" s="182"/>
      <c r="AA4013" s="182"/>
      <c r="AB4013" s="182"/>
      <c r="AC4013" s="183"/>
      <c r="AD4013" s="183"/>
      <c r="AE4013" s="183"/>
      <c r="AF4013" s="184"/>
      <c r="AG4013" s="180"/>
      <c r="AH4013" s="185"/>
      <c r="AI4013" s="182"/>
      <c r="AJ4013" s="182"/>
      <c r="AK4013" s="182"/>
      <c r="AL4013" s="182"/>
    </row>
    <row r="4014" ht="20.25" customHeight="1">
      <c r="A4014" s="169"/>
      <c r="B4014" s="170"/>
      <c r="C4014" s="170"/>
      <c r="D4014" s="170"/>
      <c r="E4014" s="171"/>
      <c r="F4014" s="172"/>
      <c r="G4014" s="173"/>
      <c r="H4014" s="174"/>
      <c r="I4014" s="175"/>
      <c r="J4014" s="172"/>
      <c r="K4014" s="176"/>
      <c r="L4014" s="176"/>
      <c r="M4014" s="176"/>
      <c r="N4014" s="177"/>
      <c r="O4014" s="177"/>
      <c r="P4014" s="178"/>
      <c r="Q4014" s="177"/>
      <c r="R4014" s="170"/>
      <c r="S4014" s="170"/>
      <c r="T4014" s="179"/>
      <c r="U4014" s="179"/>
      <c r="V4014" s="179"/>
      <c r="W4014" s="180"/>
      <c r="X4014" s="181"/>
      <c r="Y4014" s="182"/>
      <c r="Z4014" s="182"/>
      <c r="AA4014" s="182"/>
      <c r="AB4014" s="182"/>
      <c r="AC4014" s="183"/>
      <c r="AD4014" s="183"/>
      <c r="AE4014" s="183"/>
      <c r="AF4014" s="184"/>
      <c r="AG4014" s="180"/>
      <c r="AH4014" s="185"/>
      <c r="AI4014" s="182"/>
      <c r="AJ4014" s="182"/>
      <c r="AK4014" s="182"/>
      <c r="AL4014" s="182"/>
    </row>
    <row r="4015" ht="20.25" customHeight="1">
      <c r="A4015" s="169"/>
      <c r="B4015" s="170"/>
      <c r="C4015" s="170"/>
      <c r="D4015" s="170"/>
      <c r="E4015" s="171"/>
      <c r="F4015" s="172"/>
      <c r="G4015" s="173"/>
      <c r="H4015" s="174"/>
      <c r="I4015" s="175"/>
      <c r="J4015" s="172"/>
      <c r="K4015" s="176"/>
      <c r="L4015" s="176"/>
      <c r="M4015" s="176"/>
      <c r="N4015" s="177"/>
      <c r="O4015" s="177"/>
      <c r="P4015" s="178"/>
      <c r="Q4015" s="177"/>
      <c r="R4015" s="170"/>
      <c r="S4015" s="170"/>
      <c r="T4015" s="179"/>
      <c r="U4015" s="179"/>
      <c r="V4015" s="179"/>
      <c r="W4015" s="180"/>
      <c r="X4015" s="181"/>
      <c r="Y4015" s="182"/>
      <c r="Z4015" s="182"/>
      <c r="AA4015" s="182"/>
      <c r="AB4015" s="182"/>
      <c r="AC4015" s="183"/>
      <c r="AD4015" s="183"/>
      <c r="AE4015" s="183"/>
      <c r="AF4015" s="184"/>
      <c r="AG4015" s="180"/>
      <c r="AH4015" s="185"/>
      <c r="AI4015" s="182"/>
      <c r="AJ4015" s="182"/>
      <c r="AK4015" s="182"/>
      <c r="AL4015" s="182"/>
    </row>
    <row r="4016" ht="20.25" customHeight="1">
      <c r="A4016" s="169"/>
      <c r="B4016" s="170"/>
      <c r="C4016" s="170"/>
      <c r="D4016" s="170"/>
      <c r="E4016" s="171"/>
      <c r="F4016" s="172"/>
      <c r="G4016" s="173"/>
      <c r="H4016" s="174"/>
      <c r="I4016" s="175"/>
      <c r="J4016" s="172"/>
      <c r="K4016" s="176"/>
      <c r="L4016" s="176"/>
      <c r="M4016" s="176"/>
      <c r="N4016" s="177"/>
      <c r="O4016" s="177"/>
      <c r="P4016" s="178"/>
      <c r="Q4016" s="177"/>
      <c r="R4016" s="170"/>
      <c r="S4016" s="170"/>
      <c r="T4016" s="179"/>
      <c r="U4016" s="179"/>
      <c r="V4016" s="179"/>
      <c r="W4016" s="180"/>
      <c r="X4016" s="181"/>
      <c r="Y4016" s="182"/>
      <c r="Z4016" s="182"/>
      <c r="AA4016" s="182"/>
      <c r="AB4016" s="182"/>
      <c r="AC4016" s="183"/>
      <c r="AD4016" s="183"/>
      <c r="AE4016" s="183"/>
      <c r="AF4016" s="184"/>
      <c r="AG4016" s="180"/>
      <c r="AH4016" s="185"/>
      <c r="AI4016" s="182"/>
      <c r="AJ4016" s="182"/>
      <c r="AK4016" s="182"/>
      <c r="AL4016" s="182"/>
    </row>
    <row r="4017" ht="20.25" customHeight="1">
      <c r="A4017" s="169"/>
      <c r="B4017" s="170"/>
      <c r="C4017" s="170"/>
      <c r="D4017" s="170"/>
      <c r="E4017" s="171"/>
      <c r="F4017" s="172"/>
      <c r="G4017" s="173"/>
      <c r="H4017" s="174"/>
      <c r="I4017" s="175"/>
      <c r="J4017" s="172"/>
      <c r="K4017" s="176"/>
      <c r="L4017" s="176"/>
      <c r="M4017" s="176"/>
      <c r="N4017" s="177"/>
      <c r="O4017" s="177"/>
      <c r="P4017" s="178"/>
      <c r="Q4017" s="177"/>
      <c r="R4017" s="170"/>
      <c r="S4017" s="170"/>
      <c r="T4017" s="179"/>
      <c r="U4017" s="179"/>
      <c r="V4017" s="179"/>
      <c r="W4017" s="180"/>
      <c r="X4017" s="181"/>
      <c r="Y4017" s="182"/>
      <c r="Z4017" s="182"/>
      <c r="AA4017" s="182"/>
      <c r="AB4017" s="182"/>
      <c r="AC4017" s="183"/>
      <c r="AD4017" s="183"/>
      <c r="AE4017" s="183"/>
      <c r="AF4017" s="184"/>
      <c r="AG4017" s="180"/>
      <c r="AH4017" s="185"/>
      <c r="AI4017" s="182"/>
      <c r="AJ4017" s="182"/>
      <c r="AK4017" s="182"/>
      <c r="AL4017" s="182"/>
    </row>
    <row r="4018" ht="20.25" customHeight="1">
      <c r="A4018" s="169"/>
      <c r="B4018" s="170"/>
      <c r="C4018" s="170"/>
      <c r="D4018" s="170"/>
      <c r="E4018" s="171"/>
      <c r="F4018" s="172"/>
      <c r="G4018" s="173"/>
      <c r="H4018" s="174"/>
      <c r="I4018" s="175"/>
      <c r="J4018" s="172"/>
      <c r="K4018" s="176"/>
      <c r="L4018" s="176"/>
      <c r="M4018" s="176"/>
      <c r="N4018" s="177"/>
      <c r="O4018" s="177"/>
      <c r="P4018" s="178"/>
      <c r="Q4018" s="177"/>
      <c r="R4018" s="170"/>
      <c r="S4018" s="170"/>
      <c r="T4018" s="179"/>
      <c r="U4018" s="179"/>
      <c r="V4018" s="179"/>
      <c r="W4018" s="180"/>
      <c r="X4018" s="181"/>
      <c r="Y4018" s="182"/>
      <c r="Z4018" s="182"/>
      <c r="AA4018" s="182"/>
      <c r="AB4018" s="182"/>
      <c r="AC4018" s="183"/>
      <c r="AD4018" s="183"/>
      <c r="AE4018" s="183"/>
      <c r="AF4018" s="184"/>
      <c r="AG4018" s="180"/>
      <c r="AH4018" s="185"/>
      <c r="AI4018" s="182"/>
      <c r="AJ4018" s="182"/>
      <c r="AK4018" s="182"/>
      <c r="AL4018" s="182"/>
    </row>
    <row r="4019" ht="20.25" customHeight="1">
      <c r="A4019" s="169"/>
      <c r="B4019" s="170"/>
      <c r="C4019" s="170"/>
      <c r="D4019" s="170"/>
      <c r="E4019" s="171"/>
      <c r="F4019" s="172"/>
      <c r="G4019" s="173"/>
      <c r="H4019" s="174"/>
      <c r="I4019" s="175"/>
      <c r="J4019" s="172"/>
      <c r="K4019" s="176"/>
      <c r="L4019" s="176"/>
      <c r="M4019" s="176"/>
      <c r="N4019" s="177"/>
      <c r="O4019" s="177"/>
      <c r="P4019" s="178"/>
      <c r="Q4019" s="177"/>
      <c r="R4019" s="170"/>
      <c r="S4019" s="170"/>
      <c r="T4019" s="179"/>
      <c r="U4019" s="179"/>
      <c r="V4019" s="179"/>
      <c r="W4019" s="180"/>
      <c r="X4019" s="181"/>
      <c r="Y4019" s="182"/>
      <c r="Z4019" s="182"/>
      <c r="AA4019" s="182"/>
      <c r="AB4019" s="182"/>
      <c r="AC4019" s="183"/>
      <c r="AD4019" s="183"/>
      <c r="AE4019" s="183"/>
      <c r="AF4019" s="184"/>
      <c r="AG4019" s="180"/>
      <c r="AH4019" s="185"/>
      <c r="AI4019" s="182"/>
      <c r="AJ4019" s="182"/>
      <c r="AK4019" s="182"/>
      <c r="AL4019" s="182"/>
    </row>
    <row r="4020" ht="20.25" customHeight="1">
      <c r="A4020" s="169"/>
      <c r="B4020" s="170"/>
      <c r="C4020" s="170"/>
      <c r="D4020" s="170"/>
      <c r="E4020" s="171"/>
      <c r="F4020" s="172"/>
      <c r="G4020" s="173"/>
      <c r="H4020" s="174"/>
      <c r="I4020" s="175"/>
      <c r="J4020" s="172"/>
      <c r="K4020" s="176"/>
      <c r="L4020" s="176"/>
      <c r="M4020" s="176"/>
      <c r="N4020" s="177"/>
      <c r="O4020" s="177"/>
      <c r="P4020" s="178"/>
      <c r="Q4020" s="177"/>
      <c r="R4020" s="170"/>
      <c r="S4020" s="170"/>
      <c r="T4020" s="179"/>
      <c r="U4020" s="179"/>
      <c r="V4020" s="179"/>
      <c r="W4020" s="180"/>
      <c r="X4020" s="181"/>
      <c r="Y4020" s="182"/>
      <c r="Z4020" s="182"/>
      <c r="AA4020" s="182"/>
      <c r="AB4020" s="182"/>
      <c r="AC4020" s="183"/>
      <c r="AD4020" s="183"/>
      <c r="AE4020" s="183"/>
      <c r="AF4020" s="184"/>
      <c r="AG4020" s="180"/>
      <c r="AH4020" s="185"/>
      <c r="AI4020" s="182"/>
      <c r="AJ4020" s="182"/>
      <c r="AK4020" s="182"/>
      <c r="AL4020" s="182"/>
    </row>
    <row r="4021" ht="20.25" customHeight="1">
      <c r="A4021" s="169"/>
      <c r="B4021" s="170"/>
      <c r="C4021" s="170"/>
      <c r="D4021" s="170"/>
      <c r="E4021" s="171"/>
      <c r="F4021" s="172"/>
      <c r="G4021" s="173"/>
      <c r="H4021" s="174"/>
      <c r="I4021" s="175"/>
      <c r="J4021" s="172"/>
      <c r="K4021" s="176"/>
      <c r="L4021" s="176"/>
      <c r="M4021" s="176"/>
      <c r="N4021" s="177"/>
      <c r="O4021" s="177"/>
      <c r="P4021" s="178"/>
      <c r="Q4021" s="177"/>
      <c r="R4021" s="170"/>
      <c r="S4021" s="170"/>
      <c r="T4021" s="179"/>
      <c r="U4021" s="179"/>
      <c r="V4021" s="179"/>
      <c r="W4021" s="180"/>
      <c r="X4021" s="181"/>
      <c r="Y4021" s="182"/>
      <c r="Z4021" s="182"/>
      <c r="AA4021" s="182"/>
      <c r="AB4021" s="182"/>
      <c r="AC4021" s="183"/>
      <c r="AD4021" s="183"/>
      <c r="AE4021" s="183"/>
      <c r="AF4021" s="184"/>
      <c r="AG4021" s="180"/>
      <c r="AH4021" s="185"/>
      <c r="AI4021" s="182"/>
      <c r="AJ4021" s="182"/>
      <c r="AK4021" s="182"/>
      <c r="AL4021" s="182"/>
    </row>
    <row r="4022" ht="20.25" customHeight="1">
      <c r="A4022" s="169"/>
      <c r="B4022" s="170"/>
      <c r="C4022" s="170"/>
      <c r="D4022" s="170"/>
      <c r="E4022" s="171"/>
      <c r="F4022" s="172"/>
      <c r="G4022" s="173"/>
      <c r="H4022" s="174"/>
      <c r="I4022" s="175"/>
      <c r="J4022" s="172"/>
      <c r="K4022" s="176"/>
      <c r="L4022" s="176"/>
      <c r="M4022" s="176"/>
      <c r="N4022" s="177"/>
      <c r="O4022" s="177"/>
      <c r="P4022" s="178"/>
      <c r="Q4022" s="177"/>
      <c r="R4022" s="170"/>
      <c r="S4022" s="170"/>
      <c r="T4022" s="179"/>
      <c r="U4022" s="179"/>
      <c r="V4022" s="179"/>
      <c r="W4022" s="180"/>
      <c r="X4022" s="181"/>
      <c r="Y4022" s="182"/>
      <c r="Z4022" s="182"/>
      <c r="AA4022" s="182"/>
      <c r="AB4022" s="182"/>
      <c r="AC4022" s="183"/>
      <c r="AD4022" s="183"/>
      <c r="AE4022" s="183"/>
      <c r="AF4022" s="184"/>
      <c r="AG4022" s="180"/>
      <c r="AH4022" s="185"/>
      <c r="AI4022" s="182"/>
      <c r="AJ4022" s="182"/>
      <c r="AK4022" s="182"/>
      <c r="AL4022" s="182"/>
    </row>
    <row r="4023" ht="20.25" customHeight="1">
      <c r="A4023" s="169"/>
      <c r="B4023" s="170"/>
      <c r="C4023" s="170"/>
      <c r="D4023" s="170"/>
      <c r="E4023" s="171"/>
      <c r="F4023" s="172"/>
      <c r="G4023" s="173"/>
      <c r="H4023" s="174"/>
      <c r="I4023" s="175"/>
      <c r="J4023" s="172"/>
      <c r="K4023" s="176"/>
      <c r="L4023" s="176"/>
      <c r="M4023" s="176"/>
      <c r="N4023" s="177"/>
      <c r="O4023" s="177"/>
      <c r="P4023" s="178"/>
      <c r="Q4023" s="177"/>
      <c r="R4023" s="170"/>
      <c r="S4023" s="170"/>
      <c r="T4023" s="179"/>
      <c r="U4023" s="179"/>
      <c r="V4023" s="179"/>
      <c r="W4023" s="180"/>
      <c r="X4023" s="181"/>
      <c r="Y4023" s="182"/>
      <c r="Z4023" s="182"/>
      <c r="AA4023" s="182"/>
      <c r="AB4023" s="182"/>
      <c r="AC4023" s="183"/>
      <c r="AD4023" s="183"/>
      <c r="AE4023" s="183"/>
      <c r="AF4023" s="184"/>
      <c r="AG4023" s="180"/>
      <c r="AH4023" s="185"/>
      <c r="AI4023" s="182"/>
      <c r="AJ4023" s="182"/>
      <c r="AK4023" s="182"/>
      <c r="AL4023" s="182"/>
    </row>
    <row r="4024" ht="20.25" customHeight="1">
      <c r="A4024" s="169"/>
      <c r="B4024" s="170"/>
      <c r="C4024" s="170"/>
      <c r="D4024" s="170"/>
      <c r="E4024" s="171"/>
      <c r="F4024" s="172"/>
      <c r="G4024" s="173"/>
      <c r="H4024" s="174"/>
      <c r="I4024" s="175"/>
      <c r="J4024" s="172"/>
      <c r="K4024" s="176"/>
      <c r="L4024" s="176"/>
      <c r="M4024" s="176"/>
      <c r="N4024" s="177"/>
      <c r="O4024" s="177"/>
      <c r="P4024" s="178"/>
      <c r="Q4024" s="177"/>
      <c r="R4024" s="170"/>
      <c r="S4024" s="170"/>
      <c r="T4024" s="179"/>
      <c r="U4024" s="179"/>
      <c r="V4024" s="179"/>
      <c r="W4024" s="180"/>
      <c r="X4024" s="181"/>
      <c r="Y4024" s="182"/>
      <c r="Z4024" s="182"/>
      <c r="AA4024" s="182"/>
      <c r="AB4024" s="182"/>
      <c r="AC4024" s="183"/>
      <c r="AD4024" s="183"/>
      <c r="AE4024" s="183"/>
      <c r="AF4024" s="184"/>
      <c r="AG4024" s="180"/>
      <c r="AH4024" s="185"/>
      <c r="AI4024" s="182"/>
      <c r="AJ4024" s="182"/>
      <c r="AK4024" s="182"/>
      <c r="AL4024" s="182"/>
    </row>
    <row r="4025" ht="20.25" customHeight="1">
      <c r="A4025" s="169"/>
      <c r="B4025" s="170"/>
      <c r="C4025" s="170"/>
      <c r="D4025" s="170"/>
      <c r="E4025" s="171"/>
      <c r="F4025" s="172"/>
      <c r="G4025" s="173"/>
      <c r="H4025" s="174"/>
      <c r="I4025" s="175"/>
      <c r="J4025" s="172"/>
      <c r="K4025" s="176"/>
      <c r="L4025" s="176"/>
      <c r="M4025" s="176"/>
      <c r="N4025" s="177"/>
      <c r="O4025" s="177"/>
      <c r="P4025" s="178"/>
      <c r="Q4025" s="177"/>
      <c r="R4025" s="170"/>
      <c r="S4025" s="170"/>
      <c r="T4025" s="179"/>
      <c r="U4025" s="179"/>
      <c r="V4025" s="179"/>
      <c r="W4025" s="180"/>
      <c r="X4025" s="181"/>
      <c r="Y4025" s="182"/>
      <c r="Z4025" s="182"/>
      <c r="AA4025" s="182"/>
      <c r="AB4025" s="182"/>
      <c r="AC4025" s="183"/>
      <c r="AD4025" s="183"/>
      <c r="AE4025" s="183"/>
      <c r="AF4025" s="184"/>
      <c r="AG4025" s="180"/>
      <c r="AH4025" s="185"/>
      <c r="AI4025" s="182"/>
      <c r="AJ4025" s="182"/>
      <c r="AK4025" s="182"/>
      <c r="AL4025" s="182"/>
    </row>
    <row r="4026" ht="20.25" customHeight="1">
      <c r="A4026" s="169"/>
      <c r="B4026" s="170"/>
      <c r="C4026" s="170"/>
      <c r="D4026" s="170"/>
      <c r="E4026" s="171"/>
      <c r="F4026" s="172"/>
      <c r="G4026" s="173"/>
      <c r="H4026" s="174"/>
      <c r="I4026" s="175"/>
      <c r="J4026" s="172"/>
      <c r="K4026" s="176"/>
      <c r="L4026" s="176"/>
      <c r="M4026" s="176"/>
      <c r="N4026" s="177"/>
      <c r="O4026" s="177"/>
      <c r="P4026" s="178"/>
      <c r="Q4026" s="177"/>
      <c r="R4026" s="170"/>
      <c r="S4026" s="170"/>
      <c r="T4026" s="179"/>
      <c r="U4026" s="179"/>
      <c r="V4026" s="179"/>
      <c r="W4026" s="180"/>
      <c r="X4026" s="181"/>
      <c r="Y4026" s="182"/>
      <c r="Z4026" s="182"/>
      <c r="AA4026" s="182"/>
      <c r="AB4026" s="182"/>
      <c r="AC4026" s="183"/>
      <c r="AD4026" s="183"/>
      <c r="AE4026" s="183"/>
      <c r="AF4026" s="184"/>
      <c r="AG4026" s="180"/>
      <c r="AH4026" s="185"/>
      <c r="AI4026" s="182"/>
      <c r="AJ4026" s="182"/>
      <c r="AK4026" s="182"/>
      <c r="AL4026" s="182"/>
    </row>
    <row r="4027" ht="20.25" customHeight="1">
      <c r="A4027" s="169"/>
      <c r="B4027" s="170"/>
      <c r="C4027" s="170"/>
      <c r="D4027" s="170"/>
      <c r="E4027" s="171"/>
      <c r="F4027" s="172"/>
      <c r="G4027" s="173"/>
      <c r="H4027" s="174"/>
      <c r="I4027" s="175"/>
      <c r="J4027" s="172"/>
      <c r="K4027" s="176"/>
      <c r="L4027" s="176"/>
      <c r="M4027" s="176"/>
      <c r="N4027" s="177"/>
      <c r="O4027" s="177"/>
      <c r="P4027" s="178"/>
      <c r="Q4027" s="177"/>
      <c r="R4027" s="170"/>
      <c r="S4027" s="170"/>
      <c r="T4027" s="179"/>
      <c r="U4027" s="179"/>
      <c r="V4027" s="179"/>
      <c r="W4027" s="180"/>
      <c r="X4027" s="181"/>
      <c r="Y4027" s="182"/>
      <c r="Z4027" s="182"/>
      <c r="AA4027" s="182"/>
      <c r="AB4027" s="182"/>
      <c r="AC4027" s="183"/>
      <c r="AD4027" s="183"/>
      <c r="AE4027" s="183"/>
      <c r="AF4027" s="184"/>
      <c r="AG4027" s="180"/>
      <c r="AH4027" s="185"/>
      <c r="AI4027" s="182"/>
      <c r="AJ4027" s="182"/>
      <c r="AK4027" s="182"/>
      <c r="AL4027" s="182"/>
    </row>
    <row r="4028" ht="20.25" customHeight="1">
      <c r="A4028" s="169"/>
      <c r="B4028" s="170"/>
      <c r="C4028" s="170"/>
      <c r="D4028" s="170"/>
      <c r="E4028" s="171"/>
      <c r="F4028" s="172"/>
      <c r="G4028" s="173"/>
      <c r="H4028" s="174"/>
      <c r="I4028" s="175"/>
      <c r="J4028" s="172"/>
      <c r="K4028" s="176"/>
      <c r="L4028" s="176"/>
      <c r="M4028" s="176"/>
      <c r="N4028" s="177"/>
      <c r="O4028" s="177"/>
      <c r="P4028" s="178"/>
      <c r="Q4028" s="177"/>
      <c r="R4028" s="170"/>
      <c r="S4028" s="170"/>
      <c r="T4028" s="179"/>
      <c r="U4028" s="179"/>
      <c r="V4028" s="179"/>
      <c r="W4028" s="180"/>
      <c r="X4028" s="181"/>
      <c r="Y4028" s="182"/>
      <c r="Z4028" s="182"/>
      <c r="AA4028" s="182"/>
      <c r="AB4028" s="182"/>
      <c r="AC4028" s="183"/>
      <c r="AD4028" s="183"/>
      <c r="AE4028" s="183"/>
      <c r="AF4028" s="184"/>
      <c r="AG4028" s="180"/>
      <c r="AH4028" s="185"/>
      <c r="AI4028" s="182"/>
      <c r="AJ4028" s="182"/>
      <c r="AK4028" s="182"/>
      <c r="AL4028" s="182"/>
    </row>
    <row r="4029" ht="20.25" customHeight="1">
      <c r="A4029" s="169"/>
      <c r="B4029" s="170"/>
      <c r="C4029" s="170"/>
      <c r="D4029" s="170"/>
      <c r="E4029" s="171"/>
      <c r="F4029" s="172"/>
      <c r="G4029" s="173"/>
      <c r="H4029" s="174"/>
      <c r="I4029" s="175"/>
      <c r="J4029" s="172"/>
      <c r="K4029" s="176"/>
      <c r="L4029" s="176"/>
      <c r="M4029" s="176"/>
      <c r="N4029" s="177"/>
      <c r="O4029" s="177"/>
      <c r="P4029" s="178"/>
      <c r="Q4029" s="177"/>
      <c r="R4029" s="170"/>
      <c r="S4029" s="170"/>
      <c r="T4029" s="179"/>
      <c r="U4029" s="179"/>
      <c r="V4029" s="179"/>
      <c r="W4029" s="180"/>
      <c r="X4029" s="181"/>
      <c r="Y4029" s="182"/>
      <c r="Z4029" s="182"/>
      <c r="AA4029" s="182"/>
      <c r="AB4029" s="182"/>
      <c r="AC4029" s="183"/>
      <c r="AD4029" s="183"/>
      <c r="AE4029" s="183"/>
      <c r="AF4029" s="184"/>
      <c r="AG4029" s="180"/>
      <c r="AH4029" s="185"/>
      <c r="AI4029" s="182"/>
      <c r="AJ4029" s="182"/>
      <c r="AK4029" s="182"/>
      <c r="AL4029" s="182"/>
    </row>
    <row r="4030" ht="20.25" customHeight="1">
      <c r="A4030" s="169"/>
      <c r="B4030" s="170"/>
      <c r="C4030" s="170"/>
      <c r="D4030" s="170"/>
      <c r="E4030" s="171"/>
      <c r="F4030" s="172"/>
      <c r="G4030" s="173"/>
      <c r="H4030" s="174"/>
      <c r="I4030" s="175"/>
      <c r="J4030" s="172"/>
      <c r="K4030" s="176"/>
      <c r="L4030" s="176"/>
      <c r="M4030" s="176"/>
      <c r="N4030" s="177"/>
      <c r="O4030" s="177"/>
      <c r="P4030" s="178"/>
      <c r="Q4030" s="177"/>
      <c r="R4030" s="170"/>
      <c r="S4030" s="170"/>
      <c r="T4030" s="179"/>
      <c r="U4030" s="179"/>
      <c r="V4030" s="179"/>
      <c r="W4030" s="180"/>
      <c r="X4030" s="181"/>
      <c r="Y4030" s="182"/>
      <c r="Z4030" s="182"/>
      <c r="AA4030" s="182"/>
      <c r="AB4030" s="182"/>
      <c r="AC4030" s="183"/>
      <c r="AD4030" s="183"/>
      <c r="AE4030" s="183"/>
      <c r="AF4030" s="184"/>
      <c r="AG4030" s="180"/>
      <c r="AH4030" s="185"/>
      <c r="AI4030" s="182"/>
      <c r="AJ4030" s="182"/>
      <c r="AK4030" s="182"/>
      <c r="AL4030" s="182"/>
    </row>
    <row r="4031" ht="20.25" customHeight="1">
      <c r="A4031" s="169"/>
      <c r="B4031" s="170"/>
      <c r="C4031" s="170"/>
      <c r="D4031" s="170"/>
      <c r="E4031" s="171"/>
      <c r="F4031" s="172"/>
      <c r="G4031" s="173"/>
      <c r="H4031" s="174"/>
      <c r="I4031" s="175"/>
      <c r="J4031" s="172"/>
      <c r="K4031" s="176"/>
      <c r="L4031" s="176"/>
      <c r="M4031" s="176"/>
      <c r="N4031" s="177"/>
      <c r="O4031" s="177"/>
      <c r="P4031" s="178"/>
      <c r="Q4031" s="177"/>
      <c r="R4031" s="170"/>
      <c r="S4031" s="170"/>
      <c r="T4031" s="179"/>
      <c r="U4031" s="179"/>
      <c r="V4031" s="179"/>
      <c r="W4031" s="180"/>
      <c r="X4031" s="181"/>
      <c r="Y4031" s="182"/>
      <c r="Z4031" s="182"/>
      <c r="AA4031" s="182"/>
      <c r="AB4031" s="182"/>
      <c r="AC4031" s="183"/>
      <c r="AD4031" s="183"/>
      <c r="AE4031" s="183"/>
      <c r="AF4031" s="184"/>
      <c r="AG4031" s="180"/>
      <c r="AH4031" s="185"/>
      <c r="AI4031" s="182"/>
      <c r="AJ4031" s="182"/>
      <c r="AK4031" s="182"/>
      <c r="AL4031" s="182"/>
    </row>
    <row r="4032" ht="20.25" customHeight="1">
      <c r="A4032" s="169"/>
      <c r="B4032" s="170"/>
      <c r="C4032" s="170"/>
      <c r="D4032" s="170"/>
      <c r="E4032" s="171"/>
      <c r="F4032" s="172"/>
      <c r="G4032" s="173"/>
      <c r="H4032" s="174"/>
      <c r="I4032" s="175"/>
      <c r="J4032" s="172"/>
      <c r="K4032" s="176"/>
      <c r="L4032" s="176"/>
      <c r="M4032" s="176"/>
      <c r="N4032" s="177"/>
      <c r="O4032" s="177"/>
      <c r="P4032" s="178"/>
      <c r="Q4032" s="177"/>
      <c r="R4032" s="170"/>
      <c r="S4032" s="170"/>
      <c r="T4032" s="179"/>
      <c r="U4032" s="179"/>
      <c r="V4032" s="179"/>
      <c r="W4032" s="180"/>
      <c r="X4032" s="181"/>
      <c r="Y4032" s="182"/>
      <c r="Z4032" s="182"/>
      <c r="AA4032" s="182"/>
      <c r="AB4032" s="182"/>
      <c r="AC4032" s="183"/>
      <c r="AD4032" s="183"/>
      <c r="AE4032" s="183"/>
      <c r="AF4032" s="184"/>
      <c r="AG4032" s="180"/>
      <c r="AH4032" s="185"/>
      <c r="AI4032" s="182"/>
      <c r="AJ4032" s="182"/>
      <c r="AK4032" s="182"/>
      <c r="AL4032" s="182"/>
    </row>
    <row r="4033" ht="20.25" customHeight="1">
      <c r="A4033" s="169"/>
      <c r="B4033" s="170"/>
      <c r="C4033" s="170"/>
      <c r="D4033" s="170"/>
      <c r="E4033" s="171"/>
      <c r="F4033" s="172"/>
      <c r="G4033" s="173"/>
      <c r="H4033" s="174"/>
      <c r="I4033" s="175"/>
      <c r="J4033" s="172"/>
      <c r="K4033" s="176"/>
      <c r="L4033" s="176"/>
      <c r="M4033" s="176"/>
      <c r="N4033" s="177"/>
      <c r="O4033" s="177"/>
      <c r="P4033" s="178"/>
      <c r="Q4033" s="177"/>
      <c r="R4033" s="170"/>
      <c r="S4033" s="170"/>
      <c r="T4033" s="179"/>
      <c r="U4033" s="179"/>
      <c r="V4033" s="179"/>
      <c r="W4033" s="180"/>
      <c r="X4033" s="181"/>
      <c r="Y4033" s="182"/>
      <c r="Z4033" s="182"/>
      <c r="AA4033" s="182"/>
      <c r="AB4033" s="182"/>
      <c r="AC4033" s="183"/>
      <c r="AD4033" s="183"/>
      <c r="AE4033" s="183"/>
      <c r="AF4033" s="184"/>
      <c r="AG4033" s="180"/>
      <c r="AH4033" s="185"/>
      <c r="AI4033" s="182"/>
      <c r="AJ4033" s="182"/>
      <c r="AK4033" s="182"/>
      <c r="AL4033" s="182"/>
    </row>
    <row r="4034" ht="20.25" customHeight="1">
      <c r="A4034" s="169"/>
      <c r="B4034" s="170"/>
      <c r="C4034" s="170"/>
      <c r="D4034" s="170"/>
      <c r="E4034" s="171"/>
      <c r="F4034" s="172"/>
      <c r="G4034" s="173"/>
      <c r="H4034" s="174"/>
      <c r="I4034" s="175"/>
      <c r="J4034" s="172"/>
      <c r="K4034" s="176"/>
      <c r="L4034" s="176"/>
      <c r="M4034" s="176"/>
      <c r="N4034" s="177"/>
      <c r="O4034" s="177"/>
      <c r="P4034" s="178"/>
      <c r="Q4034" s="177"/>
      <c r="R4034" s="170"/>
      <c r="S4034" s="170"/>
      <c r="T4034" s="179"/>
      <c r="U4034" s="179"/>
      <c r="V4034" s="179"/>
      <c r="W4034" s="180"/>
      <c r="X4034" s="181"/>
      <c r="Y4034" s="182"/>
      <c r="Z4034" s="182"/>
      <c r="AA4034" s="182"/>
      <c r="AB4034" s="182"/>
      <c r="AC4034" s="183"/>
      <c r="AD4034" s="183"/>
      <c r="AE4034" s="183"/>
      <c r="AF4034" s="184"/>
      <c r="AG4034" s="180"/>
      <c r="AH4034" s="185"/>
      <c r="AI4034" s="182"/>
      <c r="AJ4034" s="182"/>
      <c r="AK4034" s="182"/>
      <c r="AL4034" s="182"/>
    </row>
    <row r="4035" ht="20.25" customHeight="1">
      <c r="A4035" s="169"/>
      <c r="B4035" s="170"/>
      <c r="C4035" s="170"/>
      <c r="D4035" s="170"/>
      <c r="E4035" s="171"/>
      <c r="F4035" s="172"/>
      <c r="G4035" s="173"/>
      <c r="H4035" s="174"/>
      <c r="I4035" s="175"/>
      <c r="J4035" s="172"/>
      <c r="K4035" s="176"/>
      <c r="L4035" s="176"/>
      <c r="M4035" s="176"/>
      <c r="N4035" s="177"/>
      <c r="O4035" s="177"/>
      <c r="P4035" s="178"/>
      <c r="Q4035" s="177"/>
      <c r="R4035" s="170"/>
      <c r="S4035" s="170"/>
      <c r="T4035" s="179"/>
      <c r="U4035" s="179"/>
      <c r="V4035" s="179"/>
      <c r="W4035" s="180"/>
      <c r="X4035" s="181"/>
      <c r="Y4035" s="182"/>
      <c r="Z4035" s="182"/>
      <c r="AA4035" s="182"/>
      <c r="AB4035" s="182"/>
      <c r="AC4035" s="183"/>
      <c r="AD4035" s="183"/>
      <c r="AE4035" s="183"/>
      <c r="AF4035" s="184"/>
      <c r="AG4035" s="180"/>
      <c r="AH4035" s="185"/>
      <c r="AI4035" s="182"/>
      <c r="AJ4035" s="182"/>
      <c r="AK4035" s="182"/>
      <c r="AL4035" s="182"/>
    </row>
    <row r="4036" ht="20.25" customHeight="1">
      <c r="A4036" s="169"/>
      <c r="B4036" s="170"/>
      <c r="C4036" s="170"/>
      <c r="D4036" s="170"/>
      <c r="E4036" s="171"/>
      <c r="F4036" s="172"/>
      <c r="G4036" s="173"/>
      <c r="H4036" s="174"/>
      <c r="I4036" s="175"/>
      <c r="J4036" s="172"/>
      <c r="K4036" s="176"/>
      <c r="L4036" s="176"/>
      <c r="M4036" s="176"/>
      <c r="N4036" s="177"/>
      <c r="O4036" s="177"/>
      <c r="P4036" s="178"/>
      <c r="Q4036" s="177"/>
      <c r="R4036" s="170"/>
      <c r="S4036" s="170"/>
      <c r="T4036" s="179"/>
      <c r="U4036" s="179"/>
      <c r="V4036" s="179"/>
      <c r="W4036" s="180"/>
      <c r="X4036" s="181"/>
      <c r="Y4036" s="182"/>
      <c r="Z4036" s="182"/>
      <c r="AA4036" s="182"/>
      <c r="AB4036" s="182"/>
      <c r="AC4036" s="183"/>
      <c r="AD4036" s="183"/>
      <c r="AE4036" s="183"/>
      <c r="AF4036" s="184"/>
      <c r="AG4036" s="180"/>
      <c r="AH4036" s="185"/>
      <c r="AI4036" s="182"/>
      <c r="AJ4036" s="182"/>
      <c r="AK4036" s="182"/>
      <c r="AL4036" s="182"/>
    </row>
    <row r="4037" ht="20.25" customHeight="1">
      <c r="A4037" s="169"/>
      <c r="B4037" s="170"/>
      <c r="C4037" s="170"/>
      <c r="D4037" s="170"/>
      <c r="E4037" s="171"/>
      <c r="F4037" s="172"/>
      <c r="G4037" s="173"/>
      <c r="H4037" s="174"/>
      <c r="I4037" s="175"/>
      <c r="J4037" s="172"/>
      <c r="K4037" s="176"/>
      <c r="L4037" s="176"/>
      <c r="M4037" s="176"/>
      <c r="N4037" s="177"/>
      <c r="O4037" s="177"/>
      <c r="P4037" s="178"/>
      <c r="Q4037" s="177"/>
      <c r="R4037" s="170"/>
      <c r="S4037" s="170"/>
      <c r="T4037" s="179"/>
      <c r="U4037" s="179"/>
      <c r="V4037" s="179"/>
      <c r="W4037" s="180"/>
      <c r="X4037" s="181"/>
      <c r="Y4037" s="182"/>
      <c r="Z4037" s="182"/>
      <c r="AA4037" s="182"/>
      <c r="AB4037" s="182"/>
      <c r="AC4037" s="183"/>
      <c r="AD4037" s="183"/>
      <c r="AE4037" s="183"/>
      <c r="AF4037" s="184"/>
      <c r="AG4037" s="180"/>
      <c r="AH4037" s="185"/>
      <c r="AI4037" s="182"/>
      <c r="AJ4037" s="182"/>
      <c r="AK4037" s="182"/>
      <c r="AL4037" s="182"/>
    </row>
    <row r="4038" ht="20.25" customHeight="1">
      <c r="A4038" s="169"/>
      <c r="B4038" s="170"/>
      <c r="C4038" s="170"/>
      <c r="D4038" s="170"/>
      <c r="E4038" s="171"/>
      <c r="F4038" s="172"/>
      <c r="G4038" s="173"/>
      <c r="H4038" s="174"/>
      <c r="I4038" s="175"/>
      <c r="J4038" s="172"/>
      <c r="K4038" s="176"/>
      <c r="L4038" s="176"/>
      <c r="M4038" s="176"/>
      <c r="N4038" s="177"/>
      <c r="O4038" s="177"/>
      <c r="P4038" s="178"/>
      <c r="Q4038" s="177"/>
      <c r="R4038" s="170"/>
      <c r="S4038" s="170"/>
      <c r="T4038" s="179"/>
      <c r="U4038" s="179"/>
      <c r="V4038" s="179"/>
      <c r="W4038" s="180"/>
      <c r="X4038" s="181"/>
      <c r="Y4038" s="182"/>
      <c r="Z4038" s="182"/>
      <c r="AA4038" s="182"/>
      <c r="AB4038" s="182"/>
      <c r="AC4038" s="183"/>
      <c r="AD4038" s="183"/>
      <c r="AE4038" s="183"/>
      <c r="AF4038" s="184"/>
      <c r="AG4038" s="180"/>
      <c r="AH4038" s="185"/>
      <c r="AI4038" s="182"/>
      <c r="AJ4038" s="182"/>
      <c r="AK4038" s="182"/>
      <c r="AL4038" s="182"/>
    </row>
    <row r="4039" ht="20.25" customHeight="1">
      <c r="A4039" s="169"/>
      <c r="B4039" s="170"/>
      <c r="C4039" s="170"/>
      <c r="D4039" s="170"/>
      <c r="E4039" s="171"/>
      <c r="F4039" s="172"/>
      <c r="G4039" s="173"/>
      <c r="H4039" s="174"/>
      <c r="I4039" s="175"/>
      <c r="J4039" s="172"/>
      <c r="K4039" s="176"/>
      <c r="L4039" s="176"/>
      <c r="M4039" s="176"/>
      <c r="N4039" s="177"/>
      <c r="O4039" s="177"/>
      <c r="P4039" s="178"/>
      <c r="Q4039" s="177"/>
      <c r="R4039" s="170"/>
      <c r="S4039" s="170"/>
      <c r="T4039" s="179"/>
      <c r="U4039" s="179"/>
      <c r="V4039" s="179"/>
      <c r="W4039" s="180"/>
      <c r="X4039" s="181"/>
      <c r="Y4039" s="182"/>
      <c r="Z4039" s="182"/>
      <c r="AA4039" s="182"/>
      <c r="AB4039" s="182"/>
      <c r="AC4039" s="183"/>
      <c r="AD4039" s="183"/>
      <c r="AE4039" s="183"/>
      <c r="AF4039" s="184"/>
      <c r="AG4039" s="180"/>
      <c r="AH4039" s="185"/>
      <c r="AI4039" s="182"/>
      <c r="AJ4039" s="182"/>
      <c r="AK4039" s="182"/>
      <c r="AL4039" s="182"/>
    </row>
    <row r="4040" ht="20.25" customHeight="1">
      <c r="A4040" s="169"/>
      <c r="B4040" s="170"/>
      <c r="C4040" s="170"/>
      <c r="D4040" s="170"/>
      <c r="E4040" s="171"/>
      <c r="F4040" s="172"/>
      <c r="G4040" s="173"/>
      <c r="H4040" s="174"/>
      <c r="I4040" s="175"/>
      <c r="J4040" s="172"/>
      <c r="K4040" s="176"/>
      <c r="L4040" s="176"/>
      <c r="M4040" s="176"/>
      <c r="N4040" s="177"/>
      <c r="O4040" s="177"/>
      <c r="P4040" s="178"/>
      <c r="Q4040" s="177"/>
      <c r="R4040" s="170"/>
      <c r="S4040" s="170"/>
      <c r="T4040" s="179"/>
      <c r="U4040" s="179"/>
      <c r="V4040" s="179"/>
      <c r="W4040" s="180"/>
      <c r="X4040" s="181"/>
      <c r="Y4040" s="182"/>
      <c r="Z4040" s="182"/>
      <c r="AA4040" s="182"/>
      <c r="AB4040" s="182"/>
      <c r="AC4040" s="183"/>
      <c r="AD4040" s="183"/>
      <c r="AE4040" s="183"/>
      <c r="AF4040" s="184"/>
      <c r="AG4040" s="180"/>
      <c r="AH4040" s="185"/>
      <c r="AI4040" s="182"/>
      <c r="AJ4040" s="182"/>
      <c r="AK4040" s="182"/>
      <c r="AL4040" s="182"/>
    </row>
    <row r="4041" ht="20.25" customHeight="1">
      <c r="A4041" s="169"/>
      <c r="B4041" s="170"/>
      <c r="C4041" s="170"/>
      <c r="D4041" s="170"/>
      <c r="E4041" s="171"/>
      <c r="F4041" s="172"/>
      <c r="G4041" s="173"/>
      <c r="H4041" s="174"/>
      <c r="I4041" s="175"/>
      <c r="J4041" s="172"/>
      <c r="K4041" s="176"/>
      <c r="L4041" s="176"/>
      <c r="M4041" s="176"/>
      <c r="N4041" s="177"/>
      <c r="O4041" s="177"/>
      <c r="P4041" s="178"/>
      <c r="Q4041" s="177"/>
      <c r="R4041" s="170"/>
      <c r="S4041" s="170"/>
      <c r="T4041" s="179"/>
      <c r="U4041" s="179"/>
      <c r="V4041" s="179"/>
      <c r="W4041" s="180"/>
      <c r="X4041" s="181"/>
      <c r="Y4041" s="182"/>
      <c r="Z4041" s="182"/>
      <c r="AA4041" s="182"/>
      <c r="AB4041" s="182"/>
      <c r="AC4041" s="183"/>
      <c r="AD4041" s="183"/>
      <c r="AE4041" s="183"/>
      <c r="AF4041" s="184"/>
      <c r="AG4041" s="180"/>
      <c r="AH4041" s="185"/>
      <c r="AI4041" s="182"/>
      <c r="AJ4041" s="182"/>
      <c r="AK4041" s="182"/>
      <c r="AL4041" s="182"/>
    </row>
    <row r="4042" ht="20.25" customHeight="1">
      <c r="A4042" s="169"/>
      <c r="B4042" s="170"/>
      <c r="C4042" s="170"/>
      <c r="D4042" s="170"/>
      <c r="E4042" s="171"/>
      <c r="F4042" s="172"/>
      <c r="G4042" s="173"/>
      <c r="H4042" s="174"/>
      <c r="I4042" s="175"/>
      <c r="J4042" s="172"/>
      <c r="K4042" s="176"/>
      <c r="L4042" s="176"/>
      <c r="M4042" s="176"/>
      <c r="N4042" s="177"/>
      <c r="O4042" s="177"/>
      <c r="P4042" s="178"/>
      <c r="Q4042" s="177"/>
      <c r="R4042" s="170"/>
      <c r="S4042" s="170"/>
      <c r="T4042" s="179"/>
      <c r="U4042" s="179"/>
      <c r="V4042" s="179"/>
      <c r="W4042" s="180"/>
      <c r="X4042" s="181"/>
      <c r="Y4042" s="182"/>
      <c r="Z4042" s="182"/>
      <c r="AA4042" s="182"/>
      <c r="AB4042" s="182"/>
      <c r="AC4042" s="183"/>
      <c r="AD4042" s="183"/>
      <c r="AE4042" s="183"/>
      <c r="AF4042" s="184"/>
      <c r="AG4042" s="180"/>
      <c r="AH4042" s="185"/>
      <c r="AI4042" s="182"/>
      <c r="AJ4042" s="182"/>
      <c r="AK4042" s="182"/>
      <c r="AL4042" s="182"/>
    </row>
    <row r="4043" ht="20.25" customHeight="1">
      <c r="A4043" s="169"/>
      <c r="B4043" s="170"/>
      <c r="C4043" s="170"/>
      <c r="D4043" s="170"/>
      <c r="E4043" s="171"/>
      <c r="F4043" s="172"/>
      <c r="G4043" s="173"/>
      <c r="H4043" s="174"/>
      <c r="I4043" s="175"/>
      <c r="J4043" s="172"/>
      <c r="K4043" s="176"/>
      <c r="L4043" s="176"/>
      <c r="M4043" s="176"/>
      <c r="N4043" s="177"/>
      <c r="O4043" s="177"/>
      <c r="P4043" s="178"/>
      <c r="Q4043" s="177"/>
      <c r="R4043" s="170"/>
      <c r="S4043" s="170"/>
      <c r="T4043" s="179"/>
      <c r="U4043" s="179"/>
      <c r="V4043" s="179"/>
      <c r="W4043" s="180"/>
      <c r="X4043" s="181"/>
      <c r="Y4043" s="182"/>
      <c r="Z4043" s="182"/>
      <c r="AA4043" s="182"/>
      <c r="AB4043" s="182"/>
      <c r="AC4043" s="183"/>
      <c r="AD4043" s="183"/>
      <c r="AE4043" s="183"/>
      <c r="AF4043" s="184"/>
      <c r="AG4043" s="180"/>
      <c r="AH4043" s="185"/>
      <c r="AI4043" s="182"/>
      <c r="AJ4043" s="182"/>
      <c r="AK4043" s="182"/>
      <c r="AL4043" s="182"/>
    </row>
    <row r="4044" ht="20.25" customHeight="1">
      <c r="A4044" s="169"/>
      <c r="B4044" s="170"/>
      <c r="C4044" s="170"/>
      <c r="D4044" s="170"/>
      <c r="E4044" s="171"/>
      <c r="F4044" s="172"/>
      <c r="G4044" s="173"/>
      <c r="H4044" s="174"/>
      <c r="I4044" s="175"/>
      <c r="J4044" s="172"/>
      <c r="K4044" s="176"/>
      <c r="L4044" s="176"/>
      <c r="M4044" s="176"/>
      <c r="N4044" s="177"/>
      <c r="O4044" s="177"/>
      <c r="P4044" s="178"/>
      <c r="Q4044" s="177"/>
      <c r="R4044" s="170"/>
      <c r="S4044" s="170"/>
      <c r="T4044" s="179"/>
      <c r="U4044" s="179"/>
      <c r="V4044" s="179"/>
      <c r="W4044" s="180"/>
      <c r="X4044" s="181"/>
      <c r="Y4044" s="182"/>
      <c r="Z4044" s="182"/>
      <c r="AA4044" s="182"/>
      <c r="AB4044" s="182"/>
      <c r="AC4044" s="183"/>
      <c r="AD4044" s="183"/>
      <c r="AE4044" s="183"/>
      <c r="AF4044" s="184"/>
      <c r="AG4044" s="180"/>
      <c r="AH4044" s="185"/>
      <c r="AI4044" s="182"/>
      <c r="AJ4044" s="182"/>
      <c r="AK4044" s="182"/>
      <c r="AL4044" s="182"/>
    </row>
    <row r="4045" ht="20.25" customHeight="1">
      <c r="A4045" s="169"/>
      <c r="B4045" s="170"/>
      <c r="C4045" s="170"/>
      <c r="D4045" s="170"/>
      <c r="E4045" s="171"/>
      <c r="F4045" s="172"/>
      <c r="G4045" s="173"/>
      <c r="H4045" s="174"/>
      <c r="I4045" s="175"/>
      <c r="J4045" s="172"/>
      <c r="K4045" s="176"/>
      <c r="L4045" s="176"/>
      <c r="M4045" s="176"/>
      <c r="N4045" s="177"/>
      <c r="O4045" s="177"/>
      <c r="P4045" s="178"/>
      <c r="Q4045" s="177"/>
      <c r="R4045" s="170"/>
      <c r="S4045" s="170"/>
      <c r="T4045" s="179"/>
      <c r="U4045" s="179"/>
      <c r="V4045" s="179"/>
      <c r="W4045" s="180"/>
      <c r="X4045" s="181"/>
      <c r="Y4045" s="182"/>
      <c r="Z4045" s="182"/>
      <c r="AA4045" s="182"/>
      <c r="AB4045" s="182"/>
      <c r="AC4045" s="183"/>
      <c r="AD4045" s="183"/>
      <c r="AE4045" s="183"/>
      <c r="AF4045" s="184"/>
      <c r="AG4045" s="180"/>
      <c r="AH4045" s="185"/>
      <c r="AI4045" s="182"/>
      <c r="AJ4045" s="182"/>
      <c r="AK4045" s="182"/>
      <c r="AL4045" s="182"/>
    </row>
    <row r="4046" ht="20.25" customHeight="1">
      <c r="A4046" s="169"/>
      <c r="B4046" s="170"/>
      <c r="C4046" s="170"/>
      <c r="D4046" s="170"/>
      <c r="E4046" s="171"/>
      <c r="F4046" s="172"/>
      <c r="G4046" s="173"/>
      <c r="H4046" s="174"/>
      <c r="I4046" s="175"/>
      <c r="J4046" s="172"/>
      <c r="K4046" s="176"/>
      <c r="L4046" s="176"/>
      <c r="M4046" s="176"/>
      <c r="N4046" s="177"/>
      <c r="O4046" s="177"/>
      <c r="P4046" s="178"/>
      <c r="Q4046" s="177"/>
      <c r="R4046" s="170"/>
      <c r="S4046" s="170"/>
      <c r="T4046" s="179"/>
      <c r="U4046" s="179"/>
      <c r="V4046" s="179"/>
      <c r="W4046" s="180"/>
      <c r="X4046" s="181"/>
      <c r="Y4046" s="182"/>
      <c r="Z4046" s="182"/>
      <c r="AA4046" s="182"/>
      <c r="AB4046" s="182"/>
      <c r="AC4046" s="183"/>
      <c r="AD4046" s="183"/>
      <c r="AE4046" s="183"/>
      <c r="AF4046" s="184"/>
      <c r="AG4046" s="180"/>
      <c r="AH4046" s="185"/>
      <c r="AI4046" s="182"/>
      <c r="AJ4046" s="182"/>
      <c r="AK4046" s="182"/>
      <c r="AL4046" s="182"/>
    </row>
    <row r="4047" ht="20.25" customHeight="1">
      <c r="A4047" s="169"/>
      <c r="B4047" s="170"/>
      <c r="C4047" s="170"/>
      <c r="D4047" s="170"/>
      <c r="E4047" s="171"/>
      <c r="F4047" s="172"/>
      <c r="G4047" s="173"/>
      <c r="H4047" s="174"/>
      <c r="I4047" s="175"/>
      <c r="J4047" s="172"/>
      <c r="K4047" s="176"/>
      <c r="L4047" s="176"/>
      <c r="M4047" s="176"/>
      <c r="N4047" s="177"/>
      <c r="O4047" s="177"/>
      <c r="P4047" s="178"/>
      <c r="Q4047" s="177"/>
      <c r="R4047" s="170"/>
      <c r="S4047" s="170"/>
      <c r="T4047" s="179"/>
      <c r="U4047" s="179"/>
      <c r="V4047" s="179"/>
      <c r="W4047" s="180"/>
      <c r="X4047" s="181"/>
      <c r="Y4047" s="182"/>
      <c r="Z4047" s="182"/>
      <c r="AA4047" s="182"/>
      <c r="AB4047" s="182"/>
      <c r="AC4047" s="183"/>
      <c r="AD4047" s="183"/>
      <c r="AE4047" s="183"/>
      <c r="AF4047" s="184"/>
      <c r="AG4047" s="180"/>
      <c r="AH4047" s="185"/>
      <c r="AI4047" s="182"/>
      <c r="AJ4047" s="182"/>
      <c r="AK4047" s="182"/>
      <c r="AL4047" s="182"/>
    </row>
    <row r="4048" ht="20.25" customHeight="1">
      <c r="A4048" s="169"/>
      <c r="B4048" s="170"/>
      <c r="C4048" s="170"/>
      <c r="D4048" s="170"/>
      <c r="E4048" s="171"/>
      <c r="F4048" s="172"/>
      <c r="G4048" s="173"/>
      <c r="H4048" s="174"/>
      <c r="I4048" s="175"/>
      <c r="J4048" s="172"/>
      <c r="K4048" s="176"/>
      <c r="L4048" s="176"/>
      <c r="M4048" s="176"/>
      <c r="N4048" s="177"/>
      <c r="O4048" s="177"/>
      <c r="P4048" s="178"/>
      <c r="Q4048" s="177"/>
      <c r="R4048" s="170"/>
      <c r="S4048" s="170"/>
      <c r="T4048" s="179"/>
      <c r="U4048" s="179"/>
      <c r="V4048" s="179"/>
      <c r="W4048" s="180"/>
      <c r="X4048" s="181"/>
      <c r="Y4048" s="182"/>
      <c r="Z4048" s="182"/>
      <c r="AA4048" s="182"/>
      <c r="AB4048" s="182"/>
      <c r="AC4048" s="183"/>
      <c r="AD4048" s="183"/>
      <c r="AE4048" s="183"/>
      <c r="AF4048" s="184"/>
      <c r="AG4048" s="180"/>
      <c r="AH4048" s="185"/>
      <c r="AI4048" s="182"/>
      <c r="AJ4048" s="182"/>
      <c r="AK4048" s="182"/>
      <c r="AL4048" s="182"/>
    </row>
    <row r="4049" ht="20.25" customHeight="1">
      <c r="A4049" s="169"/>
      <c r="B4049" s="170"/>
      <c r="C4049" s="170"/>
      <c r="D4049" s="170"/>
      <c r="E4049" s="171"/>
      <c r="F4049" s="172"/>
      <c r="G4049" s="173"/>
      <c r="H4049" s="174"/>
      <c r="I4049" s="175"/>
      <c r="J4049" s="172"/>
      <c r="K4049" s="176"/>
      <c r="L4049" s="176"/>
      <c r="M4049" s="176"/>
      <c r="N4049" s="177"/>
      <c r="O4049" s="177"/>
      <c r="P4049" s="178"/>
      <c r="Q4049" s="177"/>
      <c r="R4049" s="170"/>
      <c r="S4049" s="170"/>
      <c r="T4049" s="179"/>
      <c r="U4049" s="179"/>
      <c r="V4049" s="179"/>
      <c r="W4049" s="180"/>
      <c r="X4049" s="181"/>
      <c r="Y4049" s="182"/>
      <c r="Z4049" s="182"/>
      <c r="AA4049" s="182"/>
      <c r="AB4049" s="182"/>
      <c r="AC4049" s="183"/>
      <c r="AD4049" s="183"/>
      <c r="AE4049" s="183"/>
      <c r="AF4049" s="184"/>
      <c r="AG4049" s="180"/>
      <c r="AH4049" s="185"/>
      <c r="AI4049" s="182"/>
      <c r="AJ4049" s="182"/>
      <c r="AK4049" s="182"/>
      <c r="AL4049" s="182"/>
    </row>
    <row r="4050" ht="20.25" customHeight="1">
      <c r="A4050" s="169"/>
      <c r="B4050" s="170"/>
      <c r="C4050" s="170"/>
      <c r="D4050" s="170"/>
      <c r="E4050" s="171"/>
      <c r="F4050" s="172"/>
      <c r="G4050" s="173"/>
      <c r="H4050" s="174"/>
      <c r="I4050" s="175"/>
      <c r="J4050" s="172"/>
      <c r="K4050" s="176"/>
      <c r="L4050" s="176"/>
      <c r="M4050" s="176"/>
      <c r="N4050" s="177"/>
      <c r="O4050" s="177"/>
      <c r="P4050" s="178"/>
      <c r="Q4050" s="177"/>
      <c r="R4050" s="170"/>
      <c r="S4050" s="170"/>
      <c r="T4050" s="179"/>
      <c r="U4050" s="179"/>
      <c r="V4050" s="179"/>
      <c r="W4050" s="180"/>
      <c r="X4050" s="181"/>
      <c r="Y4050" s="182"/>
      <c r="Z4050" s="182"/>
      <c r="AA4050" s="182"/>
      <c r="AB4050" s="182"/>
      <c r="AC4050" s="183"/>
      <c r="AD4050" s="183"/>
      <c r="AE4050" s="183"/>
      <c r="AF4050" s="184"/>
      <c r="AG4050" s="180"/>
      <c r="AH4050" s="185"/>
      <c r="AI4050" s="182"/>
      <c r="AJ4050" s="182"/>
      <c r="AK4050" s="182"/>
      <c r="AL4050" s="182"/>
    </row>
    <row r="4051" ht="20.25" customHeight="1">
      <c r="A4051" s="169"/>
      <c r="B4051" s="170"/>
      <c r="C4051" s="170"/>
      <c r="D4051" s="170"/>
      <c r="E4051" s="171"/>
      <c r="F4051" s="172"/>
      <c r="G4051" s="173"/>
      <c r="H4051" s="174"/>
      <c r="I4051" s="175"/>
      <c r="J4051" s="172"/>
      <c r="K4051" s="176"/>
      <c r="L4051" s="176"/>
      <c r="M4051" s="176"/>
      <c r="N4051" s="177"/>
      <c r="O4051" s="177"/>
      <c r="P4051" s="178"/>
      <c r="Q4051" s="177"/>
      <c r="R4051" s="170"/>
      <c r="S4051" s="170"/>
      <c r="T4051" s="179"/>
      <c r="U4051" s="179"/>
      <c r="V4051" s="179"/>
      <c r="W4051" s="180"/>
      <c r="X4051" s="181"/>
      <c r="Y4051" s="182"/>
      <c r="Z4051" s="182"/>
      <c r="AA4051" s="182"/>
      <c r="AB4051" s="182"/>
      <c r="AC4051" s="183"/>
      <c r="AD4051" s="183"/>
      <c r="AE4051" s="183"/>
      <c r="AF4051" s="184"/>
      <c r="AG4051" s="180"/>
      <c r="AH4051" s="185"/>
      <c r="AI4051" s="182"/>
      <c r="AJ4051" s="182"/>
      <c r="AK4051" s="182"/>
      <c r="AL4051" s="182"/>
    </row>
    <row r="4052" ht="20.25" customHeight="1">
      <c r="A4052" s="169"/>
      <c r="B4052" s="170"/>
      <c r="C4052" s="170"/>
      <c r="D4052" s="170"/>
      <c r="E4052" s="171"/>
      <c r="F4052" s="172"/>
      <c r="G4052" s="173"/>
      <c r="H4052" s="174"/>
      <c r="I4052" s="175"/>
      <c r="J4052" s="172"/>
      <c r="K4052" s="176"/>
      <c r="L4052" s="176"/>
      <c r="M4052" s="176"/>
      <c r="N4052" s="177"/>
      <c r="O4052" s="177"/>
      <c r="P4052" s="178"/>
      <c r="Q4052" s="177"/>
      <c r="R4052" s="170"/>
      <c r="S4052" s="170"/>
      <c r="T4052" s="179"/>
      <c r="U4052" s="179"/>
      <c r="V4052" s="179"/>
      <c r="W4052" s="180"/>
      <c r="X4052" s="181"/>
      <c r="Y4052" s="182"/>
      <c r="Z4052" s="182"/>
      <c r="AA4052" s="182"/>
      <c r="AB4052" s="182"/>
      <c r="AC4052" s="183"/>
      <c r="AD4052" s="183"/>
      <c r="AE4052" s="183"/>
      <c r="AF4052" s="184"/>
      <c r="AG4052" s="180"/>
      <c r="AH4052" s="185"/>
      <c r="AI4052" s="182"/>
      <c r="AJ4052" s="182"/>
      <c r="AK4052" s="182"/>
      <c r="AL4052" s="182"/>
    </row>
    <row r="4053" ht="20.25" customHeight="1">
      <c r="A4053" s="169"/>
      <c r="B4053" s="170"/>
      <c r="C4053" s="170"/>
      <c r="D4053" s="170"/>
      <c r="E4053" s="171"/>
      <c r="F4053" s="172"/>
      <c r="G4053" s="173"/>
      <c r="H4053" s="174"/>
      <c r="I4053" s="175"/>
      <c r="J4053" s="172"/>
      <c r="K4053" s="176"/>
      <c r="L4053" s="176"/>
      <c r="M4053" s="176"/>
      <c r="N4053" s="177"/>
      <c r="O4053" s="177"/>
      <c r="P4053" s="178"/>
      <c r="Q4053" s="177"/>
      <c r="R4053" s="170"/>
      <c r="S4053" s="170"/>
      <c r="T4053" s="179"/>
      <c r="U4053" s="179"/>
      <c r="V4053" s="179"/>
      <c r="W4053" s="180"/>
      <c r="X4053" s="181"/>
      <c r="Y4053" s="182"/>
      <c r="Z4053" s="182"/>
      <c r="AA4053" s="182"/>
      <c r="AB4053" s="182"/>
      <c r="AC4053" s="183"/>
      <c r="AD4053" s="183"/>
      <c r="AE4053" s="183"/>
      <c r="AF4053" s="184"/>
      <c r="AG4053" s="180"/>
      <c r="AH4053" s="185"/>
      <c r="AI4053" s="182"/>
      <c r="AJ4053" s="182"/>
      <c r="AK4053" s="182"/>
      <c r="AL4053" s="182"/>
    </row>
    <row r="4054" ht="20.25" customHeight="1">
      <c r="A4054" s="169"/>
      <c r="B4054" s="170"/>
      <c r="C4054" s="170"/>
      <c r="D4054" s="170"/>
      <c r="E4054" s="171"/>
      <c r="F4054" s="172"/>
      <c r="G4054" s="173"/>
      <c r="H4054" s="174"/>
      <c r="I4054" s="175"/>
      <c r="J4054" s="172"/>
      <c r="K4054" s="176"/>
      <c r="L4054" s="176"/>
      <c r="M4054" s="176"/>
      <c r="N4054" s="177"/>
      <c r="O4054" s="177"/>
      <c r="P4054" s="178"/>
      <c r="Q4054" s="177"/>
      <c r="R4054" s="170"/>
      <c r="S4054" s="170"/>
      <c r="T4054" s="179"/>
      <c r="U4054" s="179"/>
      <c r="V4054" s="179"/>
      <c r="W4054" s="180"/>
      <c r="X4054" s="181"/>
      <c r="Y4054" s="182"/>
      <c r="Z4054" s="182"/>
      <c r="AA4054" s="182"/>
      <c r="AB4054" s="182"/>
      <c r="AC4054" s="183"/>
      <c r="AD4054" s="183"/>
      <c r="AE4054" s="183"/>
      <c r="AF4054" s="184"/>
      <c r="AG4054" s="180"/>
      <c r="AH4054" s="185"/>
      <c r="AI4054" s="182"/>
      <c r="AJ4054" s="182"/>
      <c r="AK4054" s="182"/>
      <c r="AL4054" s="182"/>
    </row>
    <row r="4055" ht="20.25" customHeight="1">
      <c r="A4055" s="169"/>
      <c r="B4055" s="170"/>
      <c r="C4055" s="170"/>
      <c r="D4055" s="170"/>
      <c r="E4055" s="171"/>
      <c r="F4055" s="172"/>
      <c r="G4055" s="173"/>
      <c r="H4055" s="174"/>
      <c r="I4055" s="175"/>
      <c r="J4055" s="172"/>
      <c r="K4055" s="176"/>
      <c r="L4055" s="176"/>
      <c r="M4055" s="176"/>
      <c r="N4055" s="177"/>
      <c r="O4055" s="177"/>
      <c r="P4055" s="178"/>
      <c r="Q4055" s="177"/>
      <c r="R4055" s="170"/>
      <c r="S4055" s="170"/>
      <c r="T4055" s="179"/>
      <c r="U4055" s="179"/>
      <c r="V4055" s="179"/>
      <c r="W4055" s="180"/>
      <c r="X4055" s="181"/>
      <c r="Y4055" s="182"/>
      <c r="Z4055" s="182"/>
      <c r="AA4055" s="182"/>
      <c r="AB4055" s="182"/>
      <c r="AC4055" s="183"/>
      <c r="AD4055" s="183"/>
      <c r="AE4055" s="183"/>
      <c r="AF4055" s="184"/>
      <c r="AG4055" s="180"/>
      <c r="AH4055" s="185"/>
      <c r="AI4055" s="182"/>
      <c r="AJ4055" s="182"/>
      <c r="AK4055" s="182"/>
      <c r="AL4055" s="182"/>
    </row>
    <row r="4056" ht="20.25" customHeight="1">
      <c r="A4056" s="169"/>
      <c r="B4056" s="170"/>
      <c r="C4056" s="170"/>
      <c r="D4056" s="170"/>
      <c r="E4056" s="171"/>
      <c r="F4056" s="172"/>
      <c r="G4056" s="173"/>
      <c r="H4056" s="174"/>
      <c r="I4056" s="175"/>
      <c r="J4056" s="172"/>
      <c r="K4056" s="176"/>
      <c r="L4056" s="176"/>
      <c r="M4056" s="176"/>
      <c r="N4056" s="177"/>
      <c r="O4056" s="177"/>
      <c r="P4056" s="178"/>
      <c r="Q4056" s="177"/>
      <c r="R4056" s="170"/>
      <c r="S4056" s="170"/>
      <c r="T4056" s="179"/>
      <c r="U4056" s="179"/>
      <c r="V4056" s="179"/>
      <c r="W4056" s="180"/>
      <c r="X4056" s="181"/>
      <c r="Y4056" s="182"/>
      <c r="Z4056" s="182"/>
      <c r="AA4056" s="182"/>
      <c r="AB4056" s="182"/>
      <c r="AC4056" s="183"/>
      <c r="AD4056" s="183"/>
      <c r="AE4056" s="183"/>
      <c r="AF4056" s="184"/>
      <c r="AG4056" s="180"/>
      <c r="AH4056" s="185"/>
      <c r="AI4056" s="182"/>
      <c r="AJ4056" s="182"/>
      <c r="AK4056" s="182"/>
      <c r="AL4056" s="182"/>
    </row>
    <row r="4057" ht="20.25" customHeight="1">
      <c r="A4057" s="169"/>
      <c r="B4057" s="170"/>
      <c r="C4057" s="170"/>
      <c r="D4057" s="170"/>
      <c r="E4057" s="171"/>
      <c r="F4057" s="172"/>
      <c r="G4057" s="173"/>
      <c r="H4057" s="174"/>
      <c r="I4057" s="175"/>
      <c r="J4057" s="172"/>
      <c r="K4057" s="176"/>
      <c r="L4057" s="176"/>
      <c r="M4057" s="176"/>
      <c r="N4057" s="177"/>
      <c r="O4057" s="177"/>
      <c r="P4057" s="178"/>
      <c r="Q4057" s="177"/>
      <c r="R4057" s="170"/>
      <c r="S4057" s="170"/>
      <c r="T4057" s="179"/>
      <c r="U4057" s="179"/>
      <c r="V4057" s="179"/>
      <c r="W4057" s="180"/>
      <c r="X4057" s="181"/>
      <c r="Y4057" s="182"/>
      <c r="Z4057" s="182"/>
      <c r="AA4057" s="182"/>
      <c r="AB4057" s="182"/>
      <c r="AC4057" s="183"/>
      <c r="AD4057" s="183"/>
      <c r="AE4057" s="183"/>
      <c r="AF4057" s="184"/>
      <c r="AG4057" s="180"/>
      <c r="AH4057" s="185"/>
      <c r="AI4057" s="182"/>
      <c r="AJ4057" s="182"/>
      <c r="AK4057" s="182"/>
      <c r="AL4057" s="182"/>
    </row>
    <row r="4058" ht="20.25" customHeight="1">
      <c r="A4058" s="169"/>
      <c r="B4058" s="170"/>
      <c r="C4058" s="170"/>
      <c r="D4058" s="170"/>
      <c r="E4058" s="171"/>
      <c r="F4058" s="172"/>
      <c r="G4058" s="173"/>
      <c r="H4058" s="174"/>
      <c r="I4058" s="175"/>
      <c r="J4058" s="172"/>
      <c r="K4058" s="176"/>
      <c r="L4058" s="176"/>
      <c r="M4058" s="176"/>
      <c r="N4058" s="177"/>
      <c r="O4058" s="177"/>
      <c r="P4058" s="178"/>
      <c r="Q4058" s="177"/>
      <c r="R4058" s="170"/>
      <c r="S4058" s="170"/>
      <c r="T4058" s="179"/>
      <c r="U4058" s="179"/>
      <c r="V4058" s="179"/>
      <c r="W4058" s="180"/>
      <c r="X4058" s="181"/>
      <c r="Y4058" s="182"/>
      <c r="Z4058" s="182"/>
      <c r="AA4058" s="182"/>
      <c r="AB4058" s="182"/>
      <c r="AC4058" s="183"/>
      <c r="AD4058" s="183"/>
      <c r="AE4058" s="183"/>
      <c r="AF4058" s="184"/>
      <c r="AG4058" s="180"/>
      <c r="AH4058" s="185"/>
      <c r="AI4058" s="182"/>
      <c r="AJ4058" s="182"/>
      <c r="AK4058" s="182"/>
      <c r="AL4058" s="182"/>
    </row>
    <row r="4059" ht="20.25" customHeight="1">
      <c r="A4059" s="169"/>
      <c r="B4059" s="170"/>
      <c r="C4059" s="170"/>
      <c r="D4059" s="170"/>
      <c r="E4059" s="171"/>
      <c r="F4059" s="172"/>
      <c r="G4059" s="173"/>
      <c r="H4059" s="174"/>
      <c r="I4059" s="175"/>
      <c r="J4059" s="172"/>
      <c r="K4059" s="176"/>
      <c r="L4059" s="176"/>
      <c r="M4059" s="176"/>
      <c r="N4059" s="177"/>
      <c r="O4059" s="177"/>
      <c r="P4059" s="178"/>
      <c r="Q4059" s="177"/>
      <c r="R4059" s="170"/>
      <c r="S4059" s="170"/>
      <c r="T4059" s="179"/>
      <c r="U4059" s="179"/>
      <c r="V4059" s="179"/>
      <c r="W4059" s="180"/>
      <c r="X4059" s="181"/>
      <c r="Y4059" s="182"/>
      <c r="Z4059" s="182"/>
      <c r="AA4059" s="182"/>
      <c r="AB4059" s="182"/>
      <c r="AC4059" s="183"/>
      <c r="AD4059" s="183"/>
      <c r="AE4059" s="183"/>
      <c r="AF4059" s="184"/>
      <c r="AG4059" s="180"/>
      <c r="AH4059" s="185"/>
      <c r="AI4059" s="182"/>
      <c r="AJ4059" s="182"/>
      <c r="AK4059" s="182"/>
      <c r="AL4059" s="182"/>
    </row>
    <row r="4060" ht="20.25" customHeight="1">
      <c r="A4060" s="169"/>
      <c r="B4060" s="170"/>
      <c r="C4060" s="170"/>
      <c r="D4060" s="170"/>
      <c r="E4060" s="171"/>
      <c r="F4060" s="172"/>
      <c r="G4060" s="173"/>
      <c r="H4060" s="174"/>
      <c r="I4060" s="175"/>
      <c r="J4060" s="172"/>
      <c r="K4060" s="176"/>
      <c r="L4060" s="176"/>
      <c r="M4060" s="176"/>
      <c r="N4060" s="177"/>
      <c r="O4060" s="177"/>
      <c r="P4060" s="178"/>
      <c r="Q4060" s="177"/>
      <c r="R4060" s="170"/>
      <c r="S4060" s="170"/>
      <c r="T4060" s="179"/>
      <c r="U4060" s="179"/>
      <c r="V4060" s="179"/>
      <c r="W4060" s="180"/>
      <c r="X4060" s="181"/>
      <c r="Y4060" s="182"/>
      <c r="Z4060" s="182"/>
      <c r="AA4060" s="182"/>
      <c r="AB4060" s="182"/>
      <c r="AC4060" s="183"/>
      <c r="AD4060" s="183"/>
      <c r="AE4060" s="183"/>
      <c r="AF4060" s="184"/>
      <c r="AG4060" s="180"/>
      <c r="AH4060" s="185"/>
      <c r="AI4060" s="182"/>
      <c r="AJ4060" s="182"/>
      <c r="AK4060" s="182"/>
      <c r="AL4060" s="182"/>
    </row>
    <row r="4061" ht="20.25" customHeight="1">
      <c r="A4061" s="169"/>
      <c r="B4061" s="170"/>
      <c r="C4061" s="170"/>
      <c r="D4061" s="170"/>
      <c r="E4061" s="171"/>
      <c r="F4061" s="172"/>
      <c r="G4061" s="173"/>
      <c r="H4061" s="174"/>
      <c r="I4061" s="175"/>
      <c r="J4061" s="172"/>
      <c r="K4061" s="176"/>
      <c r="L4061" s="176"/>
      <c r="M4061" s="176"/>
      <c r="N4061" s="177"/>
      <c r="O4061" s="177"/>
      <c r="P4061" s="178"/>
      <c r="Q4061" s="177"/>
      <c r="R4061" s="170"/>
      <c r="S4061" s="170"/>
      <c r="T4061" s="179"/>
      <c r="U4061" s="179"/>
      <c r="V4061" s="179"/>
      <c r="W4061" s="180"/>
      <c r="X4061" s="181"/>
      <c r="Y4061" s="182"/>
      <c r="Z4061" s="182"/>
      <c r="AA4061" s="182"/>
      <c r="AB4061" s="182"/>
      <c r="AC4061" s="183"/>
      <c r="AD4061" s="183"/>
      <c r="AE4061" s="183"/>
      <c r="AF4061" s="184"/>
      <c r="AG4061" s="180"/>
      <c r="AH4061" s="185"/>
      <c r="AI4061" s="182"/>
      <c r="AJ4061" s="182"/>
      <c r="AK4061" s="182"/>
      <c r="AL4061" s="182"/>
    </row>
    <row r="4062" ht="20.25" customHeight="1">
      <c r="A4062" s="169"/>
      <c r="B4062" s="170"/>
      <c r="C4062" s="170"/>
      <c r="D4062" s="170"/>
      <c r="E4062" s="171"/>
      <c r="F4062" s="172"/>
      <c r="G4062" s="173"/>
      <c r="H4062" s="174"/>
      <c r="I4062" s="175"/>
      <c r="J4062" s="172"/>
      <c r="K4062" s="176"/>
      <c r="L4062" s="176"/>
      <c r="M4062" s="176"/>
      <c r="N4062" s="177"/>
      <c r="O4062" s="177"/>
      <c r="P4062" s="178"/>
      <c r="Q4062" s="177"/>
      <c r="R4062" s="170"/>
      <c r="S4062" s="170"/>
      <c r="T4062" s="179"/>
      <c r="U4062" s="179"/>
      <c r="V4062" s="179"/>
      <c r="W4062" s="180"/>
      <c r="X4062" s="181"/>
      <c r="Y4062" s="182"/>
      <c r="Z4062" s="182"/>
      <c r="AA4062" s="182"/>
      <c r="AB4062" s="182"/>
      <c r="AC4062" s="183"/>
      <c r="AD4062" s="183"/>
      <c r="AE4062" s="183"/>
      <c r="AF4062" s="184"/>
      <c r="AG4062" s="180"/>
      <c r="AH4062" s="185"/>
      <c r="AI4062" s="182"/>
      <c r="AJ4062" s="182"/>
      <c r="AK4062" s="182"/>
      <c r="AL4062" s="182"/>
    </row>
    <row r="4063" ht="20.25" customHeight="1">
      <c r="A4063" s="169"/>
      <c r="B4063" s="170"/>
      <c r="C4063" s="170"/>
      <c r="D4063" s="170"/>
      <c r="E4063" s="171"/>
      <c r="F4063" s="172"/>
      <c r="G4063" s="173"/>
      <c r="H4063" s="174"/>
      <c r="I4063" s="175"/>
      <c r="J4063" s="172"/>
      <c r="K4063" s="176"/>
      <c r="L4063" s="176"/>
      <c r="M4063" s="176"/>
      <c r="N4063" s="177"/>
      <c r="O4063" s="177"/>
      <c r="P4063" s="178"/>
      <c r="Q4063" s="177"/>
      <c r="R4063" s="170"/>
      <c r="S4063" s="170"/>
      <c r="T4063" s="179"/>
      <c r="U4063" s="179"/>
      <c r="V4063" s="179"/>
      <c r="W4063" s="180"/>
      <c r="X4063" s="181"/>
      <c r="Y4063" s="182"/>
      <c r="Z4063" s="182"/>
      <c r="AA4063" s="182"/>
      <c r="AB4063" s="182"/>
      <c r="AC4063" s="183"/>
      <c r="AD4063" s="183"/>
      <c r="AE4063" s="183"/>
      <c r="AF4063" s="184"/>
      <c r="AG4063" s="180"/>
      <c r="AH4063" s="185"/>
      <c r="AI4063" s="182"/>
      <c r="AJ4063" s="182"/>
      <c r="AK4063" s="182"/>
      <c r="AL4063" s="182"/>
    </row>
    <row r="4064" ht="20.25" customHeight="1">
      <c r="A4064" s="169"/>
      <c r="B4064" s="170"/>
      <c r="C4064" s="170"/>
      <c r="D4064" s="170"/>
      <c r="E4064" s="171"/>
      <c r="F4064" s="172"/>
      <c r="G4064" s="173"/>
      <c r="H4064" s="174"/>
      <c r="I4064" s="175"/>
      <c r="J4064" s="172"/>
      <c r="K4064" s="176"/>
      <c r="L4064" s="176"/>
      <c r="M4064" s="176"/>
      <c r="N4064" s="177"/>
      <c r="O4064" s="177"/>
      <c r="P4064" s="178"/>
      <c r="Q4064" s="177"/>
      <c r="R4064" s="170"/>
      <c r="S4064" s="170"/>
      <c r="T4064" s="179"/>
      <c r="U4064" s="179"/>
      <c r="V4064" s="179"/>
      <c r="W4064" s="180"/>
      <c r="X4064" s="181"/>
      <c r="Y4064" s="182"/>
      <c r="Z4064" s="182"/>
      <c r="AA4064" s="182"/>
      <c r="AB4064" s="182"/>
      <c r="AC4064" s="183"/>
      <c r="AD4064" s="183"/>
      <c r="AE4064" s="183"/>
      <c r="AF4064" s="184"/>
      <c r="AG4064" s="180"/>
      <c r="AH4064" s="185"/>
      <c r="AI4064" s="182"/>
      <c r="AJ4064" s="182"/>
      <c r="AK4064" s="182"/>
      <c r="AL4064" s="182"/>
    </row>
    <row r="4065" ht="20.25" customHeight="1">
      <c r="A4065" s="169"/>
      <c r="B4065" s="170"/>
      <c r="C4065" s="170"/>
      <c r="D4065" s="170"/>
      <c r="E4065" s="171"/>
      <c r="F4065" s="172"/>
      <c r="G4065" s="173"/>
      <c r="H4065" s="174"/>
      <c r="I4065" s="175"/>
      <c r="J4065" s="172"/>
      <c r="K4065" s="176"/>
      <c r="L4065" s="176"/>
      <c r="M4065" s="176"/>
      <c r="N4065" s="177"/>
      <c r="O4065" s="177"/>
      <c r="P4065" s="178"/>
      <c r="Q4065" s="177"/>
      <c r="R4065" s="170"/>
      <c r="S4065" s="170"/>
      <c r="T4065" s="179"/>
      <c r="U4065" s="179"/>
      <c r="V4065" s="179"/>
      <c r="W4065" s="180"/>
      <c r="X4065" s="181"/>
      <c r="Y4065" s="182"/>
      <c r="Z4065" s="182"/>
      <c r="AA4065" s="182"/>
      <c r="AB4065" s="182"/>
      <c r="AC4065" s="183"/>
      <c r="AD4065" s="183"/>
      <c r="AE4065" s="183"/>
      <c r="AF4065" s="184"/>
      <c r="AG4065" s="180"/>
      <c r="AH4065" s="185"/>
      <c r="AI4065" s="182"/>
      <c r="AJ4065" s="182"/>
      <c r="AK4065" s="182"/>
      <c r="AL4065" s="182"/>
    </row>
    <row r="4066" ht="20.25" customHeight="1">
      <c r="A4066" s="169"/>
      <c r="B4066" s="170"/>
      <c r="C4066" s="170"/>
      <c r="D4066" s="170"/>
      <c r="E4066" s="171"/>
      <c r="F4066" s="172"/>
      <c r="G4066" s="173"/>
      <c r="H4066" s="174"/>
      <c r="I4066" s="175"/>
      <c r="J4066" s="172"/>
      <c r="K4066" s="176"/>
      <c r="L4066" s="176"/>
      <c r="M4066" s="176"/>
      <c r="N4066" s="177"/>
      <c r="O4066" s="177"/>
      <c r="P4066" s="178"/>
      <c r="Q4066" s="177"/>
      <c r="R4066" s="170"/>
      <c r="S4066" s="170"/>
      <c r="T4066" s="179"/>
      <c r="U4066" s="179"/>
      <c r="V4066" s="179"/>
      <c r="W4066" s="180"/>
      <c r="X4066" s="181"/>
      <c r="Y4066" s="182"/>
      <c r="Z4066" s="182"/>
      <c r="AA4066" s="182"/>
      <c r="AB4066" s="182"/>
      <c r="AC4066" s="183"/>
      <c r="AD4066" s="183"/>
      <c r="AE4066" s="183"/>
      <c r="AF4066" s="184"/>
      <c r="AG4066" s="180"/>
      <c r="AH4066" s="185"/>
      <c r="AI4066" s="182"/>
      <c r="AJ4066" s="182"/>
      <c r="AK4066" s="182"/>
      <c r="AL4066" s="182"/>
    </row>
    <row r="4067" ht="20.25" customHeight="1">
      <c r="A4067" s="169"/>
      <c r="B4067" s="170"/>
      <c r="C4067" s="170"/>
      <c r="D4067" s="170"/>
      <c r="E4067" s="171"/>
      <c r="F4067" s="172"/>
      <c r="G4067" s="173"/>
      <c r="H4067" s="174"/>
      <c r="I4067" s="175"/>
      <c r="J4067" s="172"/>
      <c r="K4067" s="176"/>
      <c r="L4067" s="176"/>
      <c r="M4067" s="176"/>
      <c r="N4067" s="177"/>
      <c r="O4067" s="177"/>
      <c r="P4067" s="178"/>
      <c r="Q4067" s="177"/>
      <c r="R4067" s="170"/>
      <c r="S4067" s="170"/>
      <c r="T4067" s="179"/>
      <c r="U4067" s="179"/>
      <c r="V4067" s="179"/>
      <c r="W4067" s="180"/>
      <c r="X4067" s="181"/>
      <c r="Y4067" s="182"/>
      <c r="Z4067" s="182"/>
      <c r="AA4067" s="182"/>
      <c r="AB4067" s="182"/>
      <c r="AC4067" s="183"/>
      <c r="AD4067" s="183"/>
      <c r="AE4067" s="183"/>
      <c r="AF4067" s="184"/>
      <c r="AG4067" s="180"/>
      <c r="AH4067" s="185"/>
      <c r="AI4067" s="182"/>
      <c r="AJ4067" s="182"/>
      <c r="AK4067" s="182"/>
      <c r="AL4067" s="182"/>
    </row>
    <row r="4068" ht="20.25" customHeight="1">
      <c r="A4068" s="169"/>
      <c r="B4068" s="170"/>
      <c r="C4068" s="170"/>
      <c r="D4068" s="170"/>
      <c r="E4068" s="171"/>
      <c r="F4068" s="172"/>
      <c r="G4068" s="173"/>
      <c r="H4068" s="174"/>
      <c r="I4068" s="175"/>
      <c r="J4068" s="172"/>
      <c r="K4068" s="176"/>
      <c r="L4068" s="176"/>
      <c r="M4068" s="176"/>
      <c r="N4068" s="177"/>
      <c r="O4068" s="177"/>
      <c r="P4068" s="178"/>
      <c r="Q4068" s="177"/>
      <c r="R4068" s="170"/>
      <c r="S4068" s="170"/>
      <c r="T4068" s="179"/>
      <c r="U4068" s="179"/>
      <c r="V4068" s="179"/>
      <c r="W4068" s="180"/>
      <c r="X4068" s="181"/>
      <c r="Y4068" s="182"/>
      <c r="Z4068" s="182"/>
      <c r="AA4068" s="182"/>
      <c r="AB4068" s="182"/>
      <c r="AC4068" s="183"/>
      <c r="AD4068" s="183"/>
      <c r="AE4068" s="183"/>
      <c r="AF4068" s="184"/>
      <c r="AG4068" s="180"/>
      <c r="AH4068" s="185"/>
      <c r="AI4068" s="182"/>
      <c r="AJ4068" s="182"/>
      <c r="AK4068" s="182"/>
      <c r="AL4068" s="182"/>
    </row>
    <row r="4069" ht="20.25" customHeight="1">
      <c r="A4069" s="169"/>
      <c r="B4069" s="170"/>
      <c r="C4069" s="170"/>
      <c r="D4069" s="170"/>
      <c r="E4069" s="171"/>
      <c r="F4069" s="172"/>
      <c r="G4069" s="173"/>
      <c r="H4069" s="174"/>
      <c r="I4069" s="175"/>
      <c r="J4069" s="172"/>
      <c r="K4069" s="176"/>
      <c r="L4069" s="176"/>
      <c r="M4069" s="176"/>
      <c r="N4069" s="177"/>
      <c r="O4069" s="177"/>
      <c r="P4069" s="178"/>
      <c r="Q4069" s="177"/>
      <c r="R4069" s="170"/>
      <c r="S4069" s="170"/>
      <c r="T4069" s="179"/>
      <c r="U4069" s="179"/>
      <c r="V4069" s="179"/>
      <c r="W4069" s="180"/>
      <c r="X4069" s="181"/>
      <c r="Y4069" s="182"/>
      <c r="Z4069" s="182"/>
      <c r="AA4069" s="182"/>
      <c r="AB4069" s="182"/>
      <c r="AC4069" s="183"/>
      <c r="AD4069" s="183"/>
      <c r="AE4069" s="183"/>
      <c r="AF4069" s="184"/>
      <c r="AG4069" s="180"/>
      <c r="AH4069" s="185"/>
      <c r="AI4069" s="182"/>
      <c r="AJ4069" s="182"/>
      <c r="AK4069" s="182"/>
      <c r="AL4069" s="182"/>
    </row>
    <row r="4070" ht="20.25" customHeight="1">
      <c r="A4070" s="169"/>
      <c r="B4070" s="170"/>
      <c r="C4070" s="170"/>
      <c r="D4070" s="170"/>
      <c r="E4070" s="171"/>
      <c r="F4070" s="172"/>
      <c r="G4070" s="173"/>
      <c r="H4070" s="174"/>
      <c r="I4070" s="175"/>
      <c r="J4070" s="172"/>
      <c r="K4070" s="176"/>
      <c r="L4070" s="176"/>
      <c r="M4070" s="176"/>
      <c r="N4070" s="177"/>
      <c r="O4070" s="177"/>
      <c r="P4070" s="178"/>
      <c r="Q4070" s="177"/>
      <c r="R4070" s="170"/>
      <c r="S4070" s="170"/>
      <c r="T4070" s="179"/>
      <c r="U4070" s="179"/>
      <c r="V4070" s="179"/>
      <c r="W4070" s="180"/>
      <c r="X4070" s="181"/>
      <c r="Y4070" s="182"/>
      <c r="Z4070" s="182"/>
      <c r="AA4070" s="182"/>
      <c r="AB4070" s="182"/>
      <c r="AC4070" s="183"/>
      <c r="AD4070" s="183"/>
      <c r="AE4070" s="183"/>
      <c r="AF4070" s="184"/>
      <c r="AG4070" s="180"/>
      <c r="AH4070" s="185"/>
      <c r="AI4070" s="182"/>
      <c r="AJ4070" s="182"/>
      <c r="AK4070" s="182"/>
      <c r="AL4070" s="182"/>
    </row>
    <row r="4071" ht="20.25" customHeight="1">
      <c r="A4071" s="169"/>
      <c r="B4071" s="170"/>
      <c r="C4071" s="170"/>
      <c r="D4071" s="170"/>
      <c r="E4071" s="171"/>
      <c r="F4071" s="172"/>
      <c r="G4071" s="173"/>
      <c r="H4071" s="174"/>
      <c r="I4071" s="175"/>
      <c r="J4071" s="172"/>
      <c r="K4071" s="176"/>
      <c r="L4071" s="176"/>
      <c r="M4071" s="176"/>
      <c r="N4071" s="177"/>
      <c r="O4071" s="177"/>
      <c r="P4071" s="178"/>
      <c r="Q4071" s="177"/>
      <c r="R4071" s="170"/>
      <c r="S4071" s="170"/>
      <c r="T4071" s="179"/>
      <c r="U4071" s="179"/>
      <c r="V4071" s="179"/>
      <c r="W4071" s="180"/>
      <c r="X4071" s="181"/>
      <c r="Y4071" s="182"/>
      <c r="Z4071" s="182"/>
      <c r="AA4071" s="182"/>
      <c r="AB4071" s="182"/>
      <c r="AC4071" s="183"/>
      <c r="AD4071" s="183"/>
      <c r="AE4071" s="183"/>
      <c r="AF4071" s="184"/>
      <c r="AG4071" s="180"/>
      <c r="AH4071" s="185"/>
      <c r="AI4071" s="182"/>
      <c r="AJ4071" s="182"/>
      <c r="AK4071" s="182"/>
      <c r="AL4071" s="182"/>
    </row>
    <row r="4072" ht="20.25" customHeight="1">
      <c r="A4072" s="169"/>
      <c r="B4072" s="170"/>
      <c r="C4072" s="170"/>
      <c r="D4072" s="170"/>
      <c r="E4072" s="171"/>
      <c r="F4072" s="172"/>
      <c r="G4072" s="173"/>
      <c r="H4072" s="174"/>
      <c r="I4072" s="175"/>
      <c r="J4072" s="172"/>
      <c r="K4072" s="176"/>
      <c r="L4072" s="176"/>
      <c r="M4072" s="176"/>
      <c r="N4072" s="177"/>
      <c r="O4072" s="177"/>
      <c r="P4072" s="178"/>
      <c r="Q4072" s="177"/>
      <c r="R4072" s="170"/>
      <c r="S4072" s="170"/>
      <c r="T4072" s="179"/>
      <c r="U4072" s="179"/>
      <c r="V4072" s="179"/>
      <c r="W4072" s="180"/>
      <c r="X4072" s="181"/>
      <c r="Y4072" s="182"/>
      <c r="Z4072" s="182"/>
      <c r="AA4072" s="182"/>
      <c r="AB4072" s="182"/>
      <c r="AC4072" s="183"/>
      <c r="AD4072" s="183"/>
      <c r="AE4072" s="183"/>
      <c r="AF4072" s="184"/>
      <c r="AG4072" s="180"/>
      <c r="AH4072" s="185"/>
      <c r="AI4072" s="182"/>
      <c r="AJ4072" s="182"/>
      <c r="AK4072" s="182"/>
      <c r="AL4072" s="182"/>
    </row>
    <row r="4073" ht="20.25" customHeight="1">
      <c r="A4073" s="169"/>
      <c r="B4073" s="170"/>
      <c r="C4073" s="170"/>
      <c r="D4073" s="170"/>
      <c r="E4073" s="171"/>
      <c r="F4073" s="172"/>
      <c r="G4073" s="173"/>
      <c r="H4073" s="174"/>
      <c r="I4073" s="175"/>
      <c r="J4073" s="172"/>
      <c r="K4073" s="176"/>
      <c r="L4073" s="176"/>
      <c r="M4073" s="176"/>
      <c r="N4073" s="177"/>
      <c r="O4073" s="177"/>
      <c r="P4073" s="178"/>
      <c r="Q4073" s="177"/>
      <c r="R4073" s="170"/>
      <c r="S4073" s="170"/>
      <c r="T4073" s="179"/>
      <c r="U4073" s="179"/>
      <c r="V4073" s="179"/>
      <c r="W4073" s="180"/>
      <c r="X4073" s="181"/>
      <c r="Y4073" s="182"/>
      <c r="Z4073" s="182"/>
      <c r="AA4073" s="182"/>
      <c r="AB4073" s="182"/>
      <c r="AC4073" s="183"/>
      <c r="AD4073" s="183"/>
      <c r="AE4073" s="183"/>
      <c r="AF4073" s="184"/>
      <c r="AG4073" s="180"/>
      <c r="AH4073" s="185"/>
      <c r="AI4073" s="182"/>
      <c r="AJ4073" s="182"/>
      <c r="AK4073" s="182"/>
      <c r="AL4073" s="182"/>
    </row>
    <row r="4074" ht="20.25" customHeight="1">
      <c r="A4074" s="169"/>
      <c r="B4074" s="170"/>
      <c r="C4074" s="170"/>
      <c r="D4074" s="170"/>
      <c r="E4074" s="171"/>
      <c r="F4074" s="172"/>
      <c r="G4074" s="173"/>
      <c r="H4074" s="174"/>
      <c r="I4074" s="175"/>
      <c r="J4074" s="172"/>
      <c r="K4074" s="176"/>
      <c r="L4074" s="176"/>
      <c r="M4074" s="176"/>
      <c r="N4074" s="177"/>
      <c r="O4074" s="177"/>
      <c r="P4074" s="178"/>
      <c r="Q4074" s="177"/>
      <c r="R4074" s="170"/>
      <c r="S4074" s="170"/>
      <c r="T4074" s="179"/>
      <c r="U4074" s="179"/>
      <c r="V4074" s="179"/>
      <c r="W4074" s="180"/>
      <c r="X4074" s="181"/>
      <c r="Y4074" s="182"/>
      <c r="Z4074" s="182"/>
      <c r="AA4074" s="182"/>
      <c r="AB4074" s="182"/>
      <c r="AC4074" s="183"/>
      <c r="AD4074" s="183"/>
      <c r="AE4074" s="183"/>
      <c r="AF4074" s="184"/>
      <c r="AG4074" s="180"/>
      <c r="AH4074" s="185"/>
      <c r="AI4074" s="182"/>
      <c r="AJ4074" s="182"/>
      <c r="AK4074" s="182"/>
      <c r="AL4074" s="182"/>
    </row>
    <row r="4075" ht="20.25" customHeight="1">
      <c r="A4075" s="169"/>
      <c r="B4075" s="170"/>
      <c r="C4075" s="170"/>
      <c r="D4075" s="170"/>
      <c r="E4075" s="171"/>
      <c r="F4075" s="172"/>
      <c r="G4075" s="173"/>
      <c r="H4075" s="174"/>
      <c r="I4075" s="175"/>
      <c r="J4075" s="172"/>
      <c r="K4075" s="176"/>
      <c r="L4075" s="176"/>
      <c r="M4075" s="176"/>
      <c r="N4075" s="177"/>
      <c r="O4075" s="177"/>
      <c r="P4075" s="178"/>
      <c r="Q4075" s="177"/>
      <c r="R4075" s="170"/>
      <c r="S4075" s="170"/>
      <c r="T4075" s="179"/>
      <c r="U4075" s="179"/>
      <c r="V4075" s="179"/>
      <c r="W4075" s="180"/>
      <c r="X4075" s="181"/>
      <c r="Y4075" s="182"/>
      <c r="Z4075" s="182"/>
      <c r="AA4075" s="182"/>
      <c r="AB4075" s="182"/>
      <c r="AC4075" s="183"/>
      <c r="AD4075" s="183"/>
      <c r="AE4075" s="183"/>
      <c r="AF4075" s="184"/>
      <c r="AG4075" s="180"/>
      <c r="AH4075" s="185"/>
      <c r="AI4075" s="182"/>
      <c r="AJ4075" s="182"/>
      <c r="AK4075" s="182"/>
      <c r="AL4075" s="182"/>
    </row>
    <row r="4076" ht="20.25" customHeight="1">
      <c r="A4076" s="169"/>
      <c r="B4076" s="170"/>
      <c r="C4076" s="170"/>
      <c r="D4076" s="170"/>
      <c r="E4076" s="171"/>
      <c r="F4076" s="172"/>
      <c r="G4076" s="173"/>
      <c r="H4076" s="174"/>
      <c r="I4076" s="175"/>
      <c r="J4076" s="172"/>
      <c r="K4076" s="176"/>
      <c r="L4076" s="176"/>
      <c r="M4076" s="176"/>
      <c r="N4076" s="177"/>
      <c r="O4076" s="177"/>
      <c r="P4076" s="178"/>
      <c r="Q4076" s="177"/>
      <c r="R4076" s="170"/>
      <c r="S4076" s="170"/>
      <c r="T4076" s="179"/>
      <c r="U4076" s="179"/>
      <c r="V4076" s="179"/>
      <c r="W4076" s="180"/>
      <c r="X4076" s="181"/>
      <c r="Y4076" s="182"/>
      <c r="Z4076" s="182"/>
      <c r="AA4076" s="182"/>
      <c r="AB4076" s="182"/>
      <c r="AC4076" s="183"/>
      <c r="AD4076" s="183"/>
      <c r="AE4076" s="183"/>
      <c r="AF4076" s="184"/>
      <c r="AG4076" s="180"/>
      <c r="AH4076" s="185"/>
      <c r="AI4076" s="182"/>
      <c r="AJ4076" s="182"/>
      <c r="AK4076" s="182"/>
      <c r="AL4076" s="182"/>
    </row>
    <row r="4077" ht="20.25" customHeight="1">
      <c r="A4077" s="169"/>
      <c r="B4077" s="170"/>
      <c r="C4077" s="170"/>
      <c r="D4077" s="170"/>
      <c r="E4077" s="171"/>
      <c r="F4077" s="172"/>
      <c r="G4077" s="173"/>
      <c r="H4077" s="174"/>
      <c r="I4077" s="175"/>
      <c r="J4077" s="172"/>
      <c r="K4077" s="176"/>
      <c r="L4077" s="176"/>
      <c r="M4077" s="176"/>
      <c r="N4077" s="177"/>
      <c r="O4077" s="177"/>
      <c r="P4077" s="178"/>
      <c r="Q4077" s="177"/>
      <c r="R4077" s="170"/>
      <c r="S4077" s="170"/>
      <c r="T4077" s="179"/>
      <c r="U4077" s="179"/>
      <c r="V4077" s="179"/>
      <c r="W4077" s="180"/>
      <c r="X4077" s="181"/>
      <c r="Y4077" s="182"/>
      <c r="Z4077" s="182"/>
      <c r="AA4077" s="182"/>
      <c r="AB4077" s="182"/>
      <c r="AC4077" s="183"/>
      <c r="AD4077" s="183"/>
      <c r="AE4077" s="183"/>
      <c r="AF4077" s="184"/>
      <c r="AG4077" s="180"/>
      <c r="AH4077" s="185"/>
      <c r="AI4077" s="182"/>
      <c r="AJ4077" s="182"/>
      <c r="AK4077" s="182"/>
      <c r="AL4077" s="182"/>
    </row>
    <row r="4078" ht="20.25" customHeight="1">
      <c r="A4078" s="169"/>
      <c r="B4078" s="170"/>
      <c r="C4078" s="170"/>
      <c r="D4078" s="170"/>
      <c r="E4078" s="171"/>
      <c r="F4078" s="172"/>
      <c r="G4078" s="173"/>
      <c r="H4078" s="174"/>
      <c r="I4078" s="175"/>
      <c r="J4078" s="172"/>
      <c r="K4078" s="176"/>
      <c r="L4078" s="176"/>
      <c r="M4078" s="176"/>
      <c r="N4078" s="177"/>
      <c r="O4078" s="177"/>
      <c r="P4078" s="178"/>
      <c r="Q4078" s="177"/>
      <c r="R4078" s="170"/>
      <c r="S4078" s="170"/>
      <c r="T4078" s="179"/>
      <c r="U4078" s="179"/>
      <c r="V4078" s="179"/>
      <c r="W4078" s="180"/>
      <c r="X4078" s="181"/>
      <c r="Y4078" s="182"/>
      <c r="Z4078" s="182"/>
      <c r="AA4078" s="182"/>
      <c r="AB4078" s="182"/>
      <c r="AC4078" s="183"/>
      <c r="AD4078" s="183"/>
      <c r="AE4078" s="183"/>
      <c r="AF4078" s="184"/>
      <c r="AG4078" s="180"/>
      <c r="AH4078" s="185"/>
      <c r="AI4078" s="182"/>
      <c r="AJ4078" s="182"/>
      <c r="AK4078" s="182"/>
      <c r="AL4078" s="182"/>
    </row>
    <row r="4079" ht="20.25" customHeight="1">
      <c r="A4079" s="169"/>
      <c r="B4079" s="170"/>
      <c r="C4079" s="170"/>
      <c r="D4079" s="170"/>
      <c r="E4079" s="171"/>
      <c r="F4079" s="172"/>
      <c r="G4079" s="173"/>
      <c r="H4079" s="174"/>
      <c r="I4079" s="175"/>
      <c r="J4079" s="172"/>
      <c r="K4079" s="176"/>
      <c r="L4079" s="176"/>
      <c r="M4079" s="176"/>
      <c r="N4079" s="177"/>
      <c r="O4079" s="177"/>
      <c r="P4079" s="178"/>
      <c r="Q4079" s="177"/>
      <c r="R4079" s="170"/>
      <c r="S4079" s="170"/>
      <c r="T4079" s="179"/>
      <c r="U4079" s="179"/>
      <c r="V4079" s="179"/>
      <c r="W4079" s="180"/>
      <c r="X4079" s="181"/>
      <c r="Y4079" s="182"/>
      <c r="Z4079" s="182"/>
      <c r="AA4079" s="182"/>
      <c r="AB4079" s="182"/>
      <c r="AC4079" s="183"/>
      <c r="AD4079" s="183"/>
      <c r="AE4079" s="183"/>
      <c r="AF4079" s="184"/>
      <c r="AG4079" s="180"/>
      <c r="AH4079" s="185"/>
      <c r="AI4079" s="182"/>
      <c r="AJ4079" s="182"/>
      <c r="AK4079" s="182"/>
      <c r="AL4079" s="182"/>
    </row>
    <row r="4080" ht="20.25" customHeight="1">
      <c r="A4080" s="169"/>
      <c r="B4080" s="170"/>
      <c r="C4080" s="170"/>
      <c r="D4080" s="170"/>
      <c r="E4080" s="171"/>
      <c r="F4080" s="172"/>
      <c r="G4080" s="173"/>
      <c r="H4080" s="174"/>
      <c r="I4080" s="175"/>
      <c r="J4080" s="172"/>
      <c r="K4080" s="176"/>
      <c r="L4080" s="176"/>
      <c r="M4080" s="176"/>
      <c r="N4080" s="177"/>
      <c r="O4080" s="177"/>
      <c r="P4080" s="178"/>
      <c r="Q4080" s="177"/>
      <c r="R4080" s="170"/>
      <c r="S4080" s="170"/>
      <c r="T4080" s="179"/>
      <c r="U4080" s="179"/>
      <c r="V4080" s="179"/>
      <c r="W4080" s="180"/>
      <c r="X4080" s="181"/>
      <c r="Y4080" s="182"/>
      <c r="Z4080" s="182"/>
      <c r="AA4080" s="182"/>
      <c r="AB4080" s="182"/>
      <c r="AC4080" s="183"/>
      <c r="AD4080" s="183"/>
      <c r="AE4080" s="183"/>
      <c r="AF4080" s="184"/>
      <c r="AG4080" s="180"/>
      <c r="AH4080" s="185"/>
      <c r="AI4080" s="182"/>
      <c r="AJ4080" s="182"/>
      <c r="AK4080" s="182"/>
      <c r="AL4080" s="182"/>
    </row>
    <row r="4081" ht="20.25" customHeight="1">
      <c r="A4081" s="169"/>
      <c r="B4081" s="170"/>
      <c r="C4081" s="170"/>
      <c r="D4081" s="170"/>
      <c r="E4081" s="171"/>
      <c r="F4081" s="172"/>
      <c r="G4081" s="173"/>
      <c r="H4081" s="174"/>
      <c r="I4081" s="175"/>
      <c r="J4081" s="172"/>
      <c r="K4081" s="176"/>
      <c r="L4081" s="176"/>
      <c r="M4081" s="176"/>
      <c r="N4081" s="177"/>
      <c r="O4081" s="177"/>
      <c r="P4081" s="178"/>
      <c r="Q4081" s="177"/>
      <c r="R4081" s="170"/>
      <c r="S4081" s="170"/>
      <c r="T4081" s="179"/>
      <c r="U4081" s="179"/>
      <c r="V4081" s="179"/>
      <c r="W4081" s="180"/>
      <c r="X4081" s="181"/>
      <c r="Y4081" s="182"/>
      <c r="Z4081" s="182"/>
      <c r="AA4081" s="182"/>
      <c r="AB4081" s="182"/>
      <c r="AC4081" s="183"/>
      <c r="AD4081" s="183"/>
      <c r="AE4081" s="183"/>
      <c r="AF4081" s="184"/>
      <c r="AG4081" s="180"/>
      <c r="AH4081" s="185"/>
      <c r="AI4081" s="182"/>
      <c r="AJ4081" s="182"/>
      <c r="AK4081" s="182"/>
      <c r="AL4081" s="182"/>
    </row>
    <row r="4082" ht="20.25" customHeight="1">
      <c r="A4082" s="169"/>
      <c r="B4082" s="170"/>
      <c r="C4082" s="170"/>
      <c r="D4082" s="170"/>
      <c r="E4082" s="171"/>
      <c r="F4082" s="172"/>
      <c r="G4082" s="173"/>
      <c r="H4082" s="174"/>
      <c r="I4082" s="175"/>
      <c r="J4082" s="172"/>
      <c r="K4082" s="176"/>
      <c r="L4082" s="176"/>
      <c r="M4082" s="176"/>
      <c r="N4082" s="177"/>
      <c r="O4082" s="177"/>
      <c r="P4082" s="178"/>
      <c r="Q4082" s="177"/>
      <c r="R4082" s="170"/>
      <c r="S4082" s="170"/>
      <c r="T4082" s="179"/>
      <c r="U4082" s="179"/>
      <c r="V4082" s="179"/>
      <c r="W4082" s="180"/>
      <c r="X4082" s="181"/>
      <c r="Y4082" s="182"/>
      <c r="Z4082" s="182"/>
      <c r="AA4082" s="182"/>
      <c r="AB4082" s="182"/>
      <c r="AC4082" s="183"/>
      <c r="AD4082" s="183"/>
      <c r="AE4082" s="183"/>
      <c r="AF4082" s="184"/>
      <c r="AG4082" s="180"/>
      <c r="AH4082" s="185"/>
      <c r="AI4082" s="182"/>
      <c r="AJ4082" s="182"/>
      <c r="AK4082" s="182"/>
      <c r="AL4082" s="182"/>
    </row>
    <row r="4083" ht="20.25" customHeight="1">
      <c r="A4083" s="169"/>
      <c r="B4083" s="170"/>
      <c r="C4083" s="170"/>
      <c r="D4083" s="170"/>
      <c r="E4083" s="171"/>
      <c r="F4083" s="172"/>
      <c r="G4083" s="173"/>
      <c r="H4083" s="174"/>
      <c r="I4083" s="175"/>
      <c r="J4083" s="172"/>
      <c r="K4083" s="176"/>
      <c r="L4083" s="176"/>
      <c r="M4083" s="176"/>
      <c r="N4083" s="177"/>
      <c r="O4083" s="177"/>
      <c r="P4083" s="178"/>
      <c r="Q4083" s="177"/>
      <c r="R4083" s="170"/>
      <c r="S4083" s="170"/>
      <c r="T4083" s="179"/>
      <c r="U4083" s="179"/>
      <c r="V4083" s="179"/>
      <c r="W4083" s="180"/>
      <c r="X4083" s="181"/>
      <c r="Y4083" s="182"/>
      <c r="Z4083" s="182"/>
      <c r="AA4083" s="182"/>
      <c r="AB4083" s="182"/>
      <c r="AC4083" s="183"/>
      <c r="AD4083" s="183"/>
      <c r="AE4083" s="183"/>
      <c r="AF4083" s="184"/>
      <c r="AG4083" s="180"/>
      <c r="AH4083" s="185"/>
      <c r="AI4083" s="182"/>
      <c r="AJ4083" s="182"/>
      <c r="AK4083" s="182"/>
      <c r="AL4083" s="182"/>
    </row>
    <row r="4084" ht="20.25" customHeight="1">
      <c r="A4084" s="169"/>
      <c r="B4084" s="170"/>
      <c r="C4084" s="170"/>
      <c r="D4084" s="170"/>
      <c r="E4084" s="171"/>
      <c r="F4084" s="172"/>
      <c r="G4084" s="173"/>
      <c r="H4084" s="174"/>
      <c r="I4084" s="175"/>
      <c r="J4084" s="172"/>
      <c r="K4084" s="176"/>
      <c r="L4084" s="176"/>
      <c r="M4084" s="176"/>
      <c r="N4084" s="177"/>
      <c r="O4084" s="177"/>
      <c r="P4084" s="178"/>
      <c r="Q4084" s="177"/>
      <c r="R4084" s="170"/>
      <c r="S4084" s="170"/>
      <c r="T4084" s="179"/>
      <c r="U4084" s="179"/>
      <c r="V4084" s="179"/>
      <c r="W4084" s="180"/>
      <c r="X4084" s="181"/>
      <c r="Y4084" s="182"/>
      <c r="Z4084" s="182"/>
      <c r="AA4084" s="182"/>
      <c r="AB4084" s="182"/>
      <c r="AC4084" s="183"/>
      <c r="AD4084" s="183"/>
      <c r="AE4084" s="183"/>
      <c r="AF4084" s="184"/>
      <c r="AG4084" s="180"/>
      <c r="AH4084" s="185"/>
      <c r="AI4084" s="182"/>
      <c r="AJ4084" s="182"/>
      <c r="AK4084" s="182"/>
      <c r="AL4084" s="182"/>
    </row>
    <row r="4085" ht="20.25" customHeight="1">
      <c r="A4085" s="169"/>
      <c r="B4085" s="170"/>
      <c r="C4085" s="170"/>
      <c r="D4085" s="170"/>
      <c r="E4085" s="171"/>
      <c r="F4085" s="172"/>
      <c r="G4085" s="173"/>
      <c r="H4085" s="174"/>
      <c r="I4085" s="175"/>
      <c r="J4085" s="172"/>
      <c r="K4085" s="176"/>
      <c r="L4085" s="176"/>
      <c r="M4085" s="176"/>
      <c r="N4085" s="177"/>
      <c r="O4085" s="177"/>
      <c r="P4085" s="178"/>
      <c r="Q4085" s="177"/>
      <c r="R4085" s="170"/>
      <c r="S4085" s="170"/>
      <c r="T4085" s="179"/>
      <c r="U4085" s="179"/>
      <c r="V4085" s="179"/>
      <c r="W4085" s="180"/>
      <c r="X4085" s="181"/>
      <c r="Y4085" s="182"/>
      <c r="Z4085" s="182"/>
      <c r="AA4085" s="182"/>
      <c r="AB4085" s="182"/>
      <c r="AC4085" s="183"/>
      <c r="AD4085" s="183"/>
      <c r="AE4085" s="183"/>
      <c r="AF4085" s="184"/>
      <c r="AG4085" s="180"/>
      <c r="AH4085" s="185"/>
      <c r="AI4085" s="182"/>
      <c r="AJ4085" s="182"/>
      <c r="AK4085" s="182"/>
      <c r="AL4085" s="182"/>
    </row>
    <row r="4086" ht="20.25" customHeight="1">
      <c r="A4086" s="169"/>
      <c r="B4086" s="170"/>
      <c r="C4086" s="170"/>
      <c r="D4086" s="170"/>
      <c r="E4086" s="171"/>
      <c r="F4086" s="172"/>
      <c r="G4086" s="173"/>
      <c r="H4086" s="174"/>
      <c r="I4086" s="175"/>
      <c r="J4086" s="172"/>
      <c r="K4086" s="176"/>
      <c r="L4086" s="176"/>
      <c r="M4086" s="176"/>
      <c r="N4086" s="177"/>
      <c r="O4086" s="177"/>
      <c r="P4086" s="178"/>
      <c r="Q4086" s="177"/>
      <c r="R4086" s="170"/>
      <c r="S4086" s="170"/>
      <c r="T4086" s="179"/>
      <c r="U4086" s="179"/>
      <c r="V4086" s="179"/>
      <c r="W4086" s="180"/>
      <c r="X4086" s="181"/>
      <c r="Y4086" s="182"/>
      <c r="Z4086" s="182"/>
      <c r="AA4086" s="182"/>
      <c r="AB4086" s="182"/>
      <c r="AC4086" s="183"/>
      <c r="AD4086" s="183"/>
      <c r="AE4086" s="183"/>
      <c r="AF4086" s="184"/>
      <c r="AG4086" s="180"/>
      <c r="AH4086" s="185"/>
      <c r="AI4086" s="182"/>
      <c r="AJ4086" s="182"/>
      <c r="AK4086" s="182"/>
      <c r="AL4086" s="182"/>
    </row>
    <row r="4087" ht="20.25" customHeight="1">
      <c r="A4087" s="169"/>
      <c r="B4087" s="170"/>
      <c r="C4087" s="170"/>
      <c r="D4087" s="170"/>
      <c r="E4087" s="171"/>
      <c r="F4087" s="172"/>
      <c r="G4087" s="173"/>
      <c r="H4087" s="174"/>
      <c r="I4087" s="175"/>
      <c r="J4087" s="172"/>
      <c r="K4087" s="176"/>
      <c r="L4087" s="176"/>
      <c r="M4087" s="176"/>
      <c r="N4087" s="177"/>
      <c r="O4087" s="177"/>
      <c r="P4087" s="178"/>
      <c r="Q4087" s="177"/>
      <c r="R4087" s="170"/>
      <c r="S4087" s="170"/>
      <c r="T4087" s="179"/>
      <c r="U4087" s="179"/>
      <c r="V4087" s="179"/>
      <c r="W4087" s="180"/>
      <c r="X4087" s="181"/>
      <c r="Y4087" s="182"/>
      <c r="Z4087" s="182"/>
      <c r="AA4087" s="182"/>
      <c r="AB4087" s="182"/>
      <c r="AC4087" s="183"/>
      <c r="AD4087" s="183"/>
      <c r="AE4087" s="183"/>
      <c r="AF4087" s="184"/>
      <c r="AG4087" s="180"/>
      <c r="AH4087" s="185"/>
      <c r="AI4087" s="182"/>
      <c r="AJ4087" s="182"/>
      <c r="AK4087" s="182"/>
      <c r="AL4087" s="182"/>
    </row>
    <row r="4088" ht="20.25" customHeight="1">
      <c r="A4088" s="169"/>
      <c r="B4088" s="170"/>
      <c r="C4088" s="170"/>
      <c r="D4088" s="170"/>
      <c r="E4088" s="171"/>
      <c r="F4088" s="172"/>
      <c r="G4088" s="173"/>
      <c r="H4088" s="174"/>
      <c r="I4088" s="175"/>
      <c r="J4088" s="172"/>
      <c r="K4088" s="176"/>
      <c r="L4088" s="176"/>
      <c r="M4088" s="176"/>
      <c r="N4088" s="177"/>
      <c r="O4088" s="177"/>
      <c r="P4088" s="178"/>
      <c r="Q4088" s="177"/>
      <c r="R4088" s="170"/>
      <c r="S4088" s="170"/>
      <c r="T4088" s="179"/>
      <c r="U4088" s="179"/>
      <c r="V4088" s="179"/>
      <c r="W4088" s="180"/>
      <c r="X4088" s="181"/>
      <c r="Y4088" s="182"/>
      <c r="Z4088" s="182"/>
      <c r="AA4088" s="182"/>
      <c r="AB4088" s="182"/>
      <c r="AC4088" s="183"/>
      <c r="AD4088" s="183"/>
      <c r="AE4088" s="183"/>
      <c r="AF4088" s="184"/>
      <c r="AG4088" s="180"/>
      <c r="AH4088" s="185"/>
      <c r="AI4088" s="182"/>
      <c r="AJ4088" s="182"/>
      <c r="AK4088" s="182"/>
      <c r="AL4088" s="182"/>
    </row>
    <row r="4089" ht="20.25" customHeight="1">
      <c r="A4089" s="169"/>
      <c r="B4089" s="170"/>
      <c r="C4089" s="170"/>
      <c r="D4089" s="170"/>
      <c r="E4089" s="171"/>
      <c r="F4089" s="172"/>
      <c r="G4089" s="173"/>
      <c r="H4089" s="174"/>
      <c r="I4089" s="175"/>
      <c r="J4089" s="172"/>
      <c r="K4089" s="176"/>
      <c r="L4089" s="176"/>
      <c r="M4089" s="176"/>
      <c r="N4089" s="177"/>
      <c r="O4089" s="177"/>
      <c r="P4089" s="178"/>
      <c r="Q4089" s="177"/>
      <c r="R4089" s="170"/>
      <c r="S4089" s="170"/>
      <c r="T4089" s="179"/>
      <c r="U4089" s="179"/>
      <c r="V4089" s="179"/>
      <c r="W4089" s="180"/>
      <c r="X4089" s="181"/>
      <c r="Y4089" s="182"/>
      <c r="Z4089" s="182"/>
      <c r="AA4089" s="182"/>
      <c r="AB4089" s="182"/>
      <c r="AC4089" s="183"/>
      <c r="AD4089" s="183"/>
      <c r="AE4089" s="183"/>
      <c r="AF4089" s="184"/>
      <c r="AG4089" s="180"/>
      <c r="AH4089" s="185"/>
      <c r="AI4089" s="182"/>
      <c r="AJ4089" s="182"/>
      <c r="AK4089" s="182"/>
      <c r="AL4089" s="182"/>
    </row>
    <row r="4090" ht="20.25" customHeight="1">
      <c r="A4090" s="169"/>
      <c r="B4090" s="170"/>
      <c r="C4090" s="170"/>
      <c r="D4090" s="170"/>
      <c r="E4090" s="171"/>
      <c r="F4090" s="172"/>
      <c r="G4090" s="173"/>
      <c r="H4090" s="174"/>
      <c r="I4090" s="175"/>
      <c r="J4090" s="172"/>
      <c r="K4090" s="176"/>
      <c r="L4090" s="176"/>
      <c r="M4090" s="176"/>
      <c r="N4090" s="177"/>
      <c r="O4090" s="177"/>
      <c r="P4090" s="178"/>
      <c r="Q4090" s="177"/>
      <c r="R4090" s="170"/>
      <c r="S4090" s="170"/>
      <c r="T4090" s="179"/>
      <c r="U4090" s="179"/>
      <c r="V4090" s="179"/>
      <c r="W4090" s="180"/>
      <c r="X4090" s="181"/>
      <c r="Y4090" s="182"/>
      <c r="Z4090" s="182"/>
      <c r="AA4090" s="182"/>
      <c r="AB4090" s="182"/>
      <c r="AC4090" s="183"/>
      <c r="AD4090" s="183"/>
      <c r="AE4090" s="183"/>
      <c r="AF4090" s="184"/>
      <c r="AG4090" s="180"/>
      <c r="AH4090" s="185"/>
      <c r="AI4090" s="182"/>
      <c r="AJ4090" s="182"/>
      <c r="AK4090" s="182"/>
      <c r="AL4090" s="182"/>
    </row>
    <row r="4091" ht="20.25" customHeight="1">
      <c r="A4091" s="169"/>
      <c r="B4091" s="170"/>
      <c r="C4091" s="170"/>
      <c r="D4091" s="170"/>
      <c r="E4091" s="171"/>
      <c r="F4091" s="172"/>
      <c r="G4091" s="173"/>
      <c r="H4091" s="174"/>
      <c r="I4091" s="175"/>
      <c r="J4091" s="172"/>
      <c r="K4091" s="176"/>
      <c r="L4091" s="176"/>
      <c r="M4091" s="176"/>
      <c r="N4091" s="177"/>
      <c r="O4091" s="177"/>
      <c r="P4091" s="178"/>
      <c r="Q4091" s="177"/>
      <c r="R4091" s="170"/>
      <c r="S4091" s="170"/>
      <c r="T4091" s="179"/>
      <c r="U4091" s="179"/>
      <c r="V4091" s="179"/>
      <c r="W4091" s="180"/>
      <c r="X4091" s="181"/>
      <c r="Y4091" s="182"/>
      <c r="Z4091" s="182"/>
      <c r="AA4091" s="182"/>
      <c r="AB4091" s="182"/>
      <c r="AC4091" s="183"/>
      <c r="AD4091" s="183"/>
      <c r="AE4091" s="183"/>
      <c r="AF4091" s="184"/>
      <c r="AG4091" s="180"/>
      <c r="AH4091" s="185"/>
      <c r="AI4091" s="182"/>
      <c r="AJ4091" s="182"/>
      <c r="AK4091" s="182"/>
      <c r="AL4091" s="182"/>
    </row>
    <row r="4092" ht="20.25" customHeight="1">
      <c r="A4092" s="169"/>
      <c r="B4092" s="170"/>
      <c r="C4092" s="170"/>
      <c r="D4092" s="170"/>
      <c r="E4092" s="171"/>
      <c r="F4092" s="172"/>
      <c r="G4092" s="173"/>
      <c r="H4092" s="174"/>
      <c r="I4092" s="175"/>
      <c r="J4092" s="172"/>
      <c r="K4092" s="176"/>
      <c r="L4092" s="176"/>
      <c r="M4092" s="176"/>
      <c r="N4092" s="177"/>
      <c r="O4092" s="177"/>
      <c r="P4092" s="178"/>
      <c r="Q4092" s="177"/>
      <c r="R4092" s="170"/>
      <c r="S4092" s="170"/>
      <c r="T4092" s="179"/>
      <c r="U4092" s="179"/>
      <c r="V4092" s="179"/>
      <c r="W4092" s="180"/>
      <c r="X4092" s="181"/>
      <c r="Y4092" s="182"/>
      <c r="Z4092" s="182"/>
      <c r="AA4092" s="182"/>
      <c r="AB4092" s="182"/>
      <c r="AC4092" s="183"/>
      <c r="AD4092" s="183"/>
      <c r="AE4092" s="183"/>
      <c r="AF4092" s="184"/>
      <c r="AG4092" s="180"/>
      <c r="AH4092" s="185"/>
      <c r="AI4092" s="182"/>
      <c r="AJ4092" s="182"/>
      <c r="AK4092" s="182"/>
      <c r="AL4092" s="182"/>
    </row>
    <row r="4093" ht="20.25" customHeight="1">
      <c r="A4093" s="169"/>
      <c r="B4093" s="170"/>
      <c r="C4093" s="170"/>
      <c r="D4093" s="170"/>
      <c r="E4093" s="171"/>
      <c r="F4093" s="172"/>
      <c r="G4093" s="173"/>
      <c r="H4093" s="174"/>
      <c r="I4093" s="175"/>
      <c r="J4093" s="172"/>
      <c r="K4093" s="176"/>
      <c r="L4093" s="176"/>
      <c r="M4093" s="176"/>
      <c r="N4093" s="177"/>
      <c r="O4093" s="177"/>
      <c r="P4093" s="178"/>
      <c r="Q4093" s="177"/>
      <c r="R4093" s="170"/>
      <c r="S4093" s="170"/>
      <c r="T4093" s="179"/>
      <c r="U4093" s="179"/>
      <c r="V4093" s="179"/>
      <c r="W4093" s="180"/>
      <c r="X4093" s="181"/>
      <c r="Y4093" s="182"/>
      <c r="Z4093" s="182"/>
      <c r="AA4093" s="182"/>
      <c r="AB4093" s="182"/>
      <c r="AC4093" s="183"/>
      <c r="AD4093" s="183"/>
      <c r="AE4093" s="183"/>
      <c r="AF4093" s="184"/>
      <c r="AG4093" s="180"/>
      <c r="AH4093" s="185"/>
      <c r="AI4093" s="182"/>
      <c r="AJ4093" s="182"/>
      <c r="AK4093" s="182"/>
      <c r="AL4093" s="182"/>
    </row>
    <row r="4094" ht="20.25" customHeight="1">
      <c r="A4094" s="169"/>
      <c r="B4094" s="170"/>
      <c r="C4094" s="170"/>
      <c r="D4094" s="170"/>
      <c r="E4094" s="171"/>
      <c r="F4094" s="172"/>
      <c r="G4094" s="173"/>
      <c r="H4094" s="174"/>
      <c r="I4094" s="175"/>
      <c r="J4094" s="172"/>
      <c r="K4094" s="176"/>
      <c r="L4094" s="176"/>
      <c r="M4094" s="176"/>
      <c r="N4094" s="177"/>
      <c r="O4094" s="177"/>
      <c r="P4094" s="178"/>
      <c r="Q4094" s="177"/>
      <c r="R4094" s="170"/>
      <c r="S4094" s="170"/>
      <c r="T4094" s="179"/>
      <c r="U4094" s="179"/>
      <c r="V4094" s="179"/>
      <c r="W4094" s="180"/>
      <c r="X4094" s="181"/>
      <c r="Y4094" s="182"/>
      <c r="Z4094" s="182"/>
      <c r="AA4094" s="182"/>
      <c r="AB4094" s="182"/>
      <c r="AC4094" s="183"/>
      <c r="AD4094" s="183"/>
      <c r="AE4094" s="183"/>
      <c r="AF4094" s="184"/>
      <c r="AG4094" s="180"/>
      <c r="AH4094" s="185"/>
      <c r="AI4094" s="182"/>
      <c r="AJ4094" s="182"/>
      <c r="AK4094" s="182"/>
      <c r="AL4094" s="182"/>
    </row>
    <row r="4095" ht="20.25" customHeight="1">
      <c r="A4095" s="169"/>
      <c r="B4095" s="170"/>
      <c r="C4095" s="170"/>
      <c r="D4095" s="170"/>
      <c r="E4095" s="171"/>
      <c r="F4095" s="172"/>
      <c r="G4095" s="173"/>
      <c r="H4095" s="174"/>
      <c r="I4095" s="175"/>
      <c r="J4095" s="172"/>
      <c r="K4095" s="176"/>
      <c r="L4095" s="176"/>
      <c r="M4095" s="176"/>
      <c r="N4095" s="177"/>
      <c r="O4095" s="177"/>
      <c r="P4095" s="178"/>
      <c r="Q4095" s="177"/>
      <c r="R4095" s="170"/>
      <c r="S4095" s="170"/>
      <c r="T4095" s="179"/>
      <c r="U4095" s="179"/>
      <c r="V4095" s="179"/>
      <c r="W4095" s="180"/>
      <c r="X4095" s="181"/>
      <c r="Y4095" s="182"/>
      <c r="Z4095" s="182"/>
      <c r="AA4095" s="182"/>
      <c r="AB4095" s="182"/>
      <c r="AC4095" s="183"/>
      <c r="AD4095" s="183"/>
      <c r="AE4095" s="183"/>
      <c r="AF4095" s="184"/>
      <c r="AG4095" s="180"/>
      <c r="AH4095" s="185"/>
      <c r="AI4095" s="182"/>
      <c r="AJ4095" s="182"/>
      <c r="AK4095" s="182"/>
      <c r="AL4095" s="182"/>
    </row>
    <row r="4096" ht="20.25" customHeight="1">
      <c r="A4096" s="169"/>
      <c r="B4096" s="170"/>
      <c r="C4096" s="170"/>
      <c r="D4096" s="170"/>
      <c r="E4096" s="171"/>
      <c r="F4096" s="172"/>
      <c r="G4096" s="173"/>
      <c r="H4096" s="174"/>
      <c r="I4096" s="175"/>
      <c r="J4096" s="172"/>
      <c r="K4096" s="176"/>
      <c r="L4096" s="176"/>
      <c r="M4096" s="176"/>
      <c r="N4096" s="177"/>
      <c r="O4096" s="177"/>
      <c r="P4096" s="178"/>
      <c r="Q4096" s="177"/>
      <c r="R4096" s="170"/>
      <c r="S4096" s="170"/>
      <c r="T4096" s="179"/>
      <c r="U4096" s="179"/>
      <c r="V4096" s="179"/>
      <c r="W4096" s="180"/>
      <c r="X4096" s="181"/>
      <c r="Y4096" s="182"/>
      <c r="Z4096" s="182"/>
      <c r="AA4096" s="182"/>
      <c r="AB4096" s="182"/>
      <c r="AC4096" s="183"/>
      <c r="AD4096" s="183"/>
      <c r="AE4096" s="183"/>
      <c r="AF4096" s="184"/>
      <c r="AG4096" s="180"/>
      <c r="AH4096" s="185"/>
      <c r="AI4096" s="182"/>
      <c r="AJ4096" s="182"/>
      <c r="AK4096" s="182"/>
      <c r="AL4096" s="182"/>
    </row>
    <row r="4097" ht="20.25" customHeight="1">
      <c r="A4097" s="169"/>
      <c r="B4097" s="170"/>
      <c r="C4097" s="170"/>
      <c r="D4097" s="170"/>
      <c r="E4097" s="171"/>
      <c r="F4097" s="172"/>
      <c r="G4097" s="173"/>
      <c r="H4097" s="174"/>
      <c r="I4097" s="175"/>
      <c r="J4097" s="172"/>
      <c r="K4097" s="176"/>
      <c r="L4097" s="176"/>
      <c r="M4097" s="176"/>
      <c r="N4097" s="177"/>
      <c r="O4097" s="177"/>
      <c r="P4097" s="178"/>
      <c r="Q4097" s="177"/>
      <c r="R4097" s="170"/>
      <c r="S4097" s="170"/>
      <c r="T4097" s="179"/>
      <c r="U4097" s="179"/>
      <c r="V4097" s="179"/>
      <c r="W4097" s="180"/>
      <c r="X4097" s="181"/>
      <c r="Y4097" s="182"/>
      <c r="Z4097" s="182"/>
      <c r="AA4097" s="182"/>
      <c r="AB4097" s="182"/>
      <c r="AC4097" s="183"/>
      <c r="AD4097" s="183"/>
      <c r="AE4097" s="183"/>
      <c r="AF4097" s="184"/>
      <c r="AG4097" s="180"/>
      <c r="AH4097" s="185"/>
      <c r="AI4097" s="182"/>
      <c r="AJ4097" s="182"/>
      <c r="AK4097" s="182"/>
      <c r="AL4097" s="182"/>
    </row>
    <row r="4098" ht="20.25" customHeight="1">
      <c r="A4098" s="169"/>
      <c r="B4098" s="170"/>
      <c r="C4098" s="170"/>
      <c r="D4098" s="170"/>
      <c r="E4098" s="171"/>
      <c r="F4098" s="172"/>
      <c r="G4098" s="173"/>
      <c r="H4098" s="174"/>
      <c r="I4098" s="175"/>
      <c r="J4098" s="172"/>
      <c r="K4098" s="176"/>
      <c r="L4098" s="176"/>
      <c r="M4098" s="176"/>
      <c r="N4098" s="177"/>
      <c r="O4098" s="177"/>
      <c r="P4098" s="178"/>
      <c r="Q4098" s="177"/>
      <c r="R4098" s="170"/>
      <c r="S4098" s="170"/>
      <c r="T4098" s="179"/>
      <c r="U4098" s="179"/>
      <c r="V4098" s="179"/>
      <c r="W4098" s="180"/>
      <c r="X4098" s="181"/>
      <c r="Y4098" s="182"/>
      <c r="Z4098" s="182"/>
      <c r="AA4098" s="182"/>
      <c r="AB4098" s="182"/>
      <c r="AC4098" s="183"/>
      <c r="AD4098" s="183"/>
      <c r="AE4098" s="183"/>
      <c r="AF4098" s="184"/>
      <c r="AG4098" s="180"/>
      <c r="AH4098" s="185"/>
      <c r="AI4098" s="182"/>
      <c r="AJ4098" s="182"/>
      <c r="AK4098" s="182"/>
      <c r="AL4098" s="182"/>
    </row>
    <row r="4099" ht="20.25" customHeight="1">
      <c r="A4099" s="169"/>
      <c r="B4099" s="170"/>
      <c r="C4099" s="170"/>
      <c r="D4099" s="170"/>
      <c r="E4099" s="171"/>
      <c r="F4099" s="172"/>
      <c r="G4099" s="173"/>
      <c r="H4099" s="174"/>
      <c r="I4099" s="175"/>
      <c r="J4099" s="172"/>
      <c r="K4099" s="176"/>
      <c r="L4099" s="176"/>
      <c r="M4099" s="176"/>
      <c r="N4099" s="177"/>
      <c r="O4099" s="177"/>
      <c r="P4099" s="178"/>
      <c r="Q4099" s="177"/>
      <c r="R4099" s="170"/>
      <c r="S4099" s="170"/>
      <c r="T4099" s="179"/>
      <c r="U4099" s="179"/>
      <c r="V4099" s="179"/>
      <c r="W4099" s="180"/>
      <c r="X4099" s="181"/>
      <c r="Y4099" s="182"/>
      <c r="Z4099" s="182"/>
      <c r="AA4099" s="182"/>
      <c r="AB4099" s="182"/>
      <c r="AC4099" s="183"/>
      <c r="AD4099" s="183"/>
      <c r="AE4099" s="183"/>
      <c r="AF4099" s="184"/>
      <c r="AG4099" s="180"/>
      <c r="AH4099" s="185"/>
      <c r="AI4099" s="182"/>
      <c r="AJ4099" s="182"/>
      <c r="AK4099" s="182"/>
      <c r="AL4099" s="182"/>
    </row>
    <row r="4100" ht="20.25" customHeight="1">
      <c r="A4100" s="169"/>
      <c r="B4100" s="170"/>
      <c r="C4100" s="170"/>
      <c r="D4100" s="170"/>
      <c r="E4100" s="171"/>
      <c r="F4100" s="172"/>
      <c r="G4100" s="173"/>
      <c r="H4100" s="174"/>
      <c r="I4100" s="175"/>
      <c r="J4100" s="172"/>
      <c r="K4100" s="176"/>
      <c r="L4100" s="176"/>
      <c r="M4100" s="176"/>
      <c r="N4100" s="177"/>
      <c r="O4100" s="177"/>
      <c r="P4100" s="178"/>
      <c r="Q4100" s="177"/>
      <c r="R4100" s="170"/>
      <c r="S4100" s="170"/>
      <c r="T4100" s="179"/>
      <c r="U4100" s="179"/>
      <c r="V4100" s="179"/>
      <c r="W4100" s="180"/>
      <c r="X4100" s="181"/>
      <c r="Y4100" s="182"/>
      <c r="Z4100" s="182"/>
      <c r="AA4100" s="182"/>
      <c r="AB4100" s="182"/>
      <c r="AC4100" s="183"/>
      <c r="AD4100" s="183"/>
      <c r="AE4100" s="183"/>
      <c r="AF4100" s="184"/>
      <c r="AG4100" s="180"/>
      <c r="AH4100" s="185"/>
      <c r="AI4100" s="182"/>
      <c r="AJ4100" s="182"/>
      <c r="AK4100" s="182"/>
      <c r="AL4100" s="182"/>
    </row>
    <row r="4101" ht="20.25" customHeight="1">
      <c r="A4101" s="169"/>
      <c r="B4101" s="170"/>
      <c r="C4101" s="170"/>
      <c r="D4101" s="170"/>
      <c r="E4101" s="171"/>
      <c r="F4101" s="172"/>
      <c r="G4101" s="173"/>
      <c r="H4101" s="174"/>
      <c r="I4101" s="175"/>
      <c r="J4101" s="172"/>
      <c r="K4101" s="176"/>
      <c r="L4101" s="176"/>
      <c r="M4101" s="176"/>
      <c r="N4101" s="177"/>
      <c r="O4101" s="177"/>
      <c r="P4101" s="178"/>
      <c r="Q4101" s="177"/>
      <c r="R4101" s="170"/>
      <c r="S4101" s="170"/>
      <c r="T4101" s="179"/>
      <c r="U4101" s="179"/>
      <c r="V4101" s="179"/>
      <c r="W4101" s="180"/>
      <c r="X4101" s="181"/>
      <c r="Y4101" s="182"/>
      <c r="Z4101" s="182"/>
      <c r="AA4101" s="182"/>
      <c r="AB4101" s="182"/>
      <c r="AC4101" s="183"/>
      <c r="AD4101" s="183"/>
      <c r="AE4101" s="183"/>
      <c r="AF4101" s="184"/>
      <c r="AG4101" s="180"/>
      <c r="AH4101" s="185"/>
      <c r="AI4101" s="182"/>
      <c r="AJ4101" s="182"/>
      <c r="AK4101" s="182"/>
      <c r="AL4101" s="182"/>
    </row>
    <row r="4102" ht="20.25" customHeight="1">
      <c r="A4102" s="169"/>
      <c r="B4102" s="170"/>
      <c r="C4102" s="170"/>
      <c r="D4102" s="170"/>
      <c r="E4102" s="171"/>
      <c r="F4102" s="172"/>
      <c r="G4102" s="173"/>
      <c r="H4102" s="174"/>
      <c r="I4102" s="175"/>
      <c r="J4102" s="172"/>
      <c r="K4102" s="176"/>
      <c r="L4102" s="176"/>
      <c r="M4102" s="176"/>
      <c r="N4102" s="177"/>
      <c r="O4102" s="177"/>
      <c r="P4102" s="178"/>
      <c r="Q4102" s="177"/>
      <c r="R4102" s="170"/>
      <c r="S4102" s="170"/>
      <c r="T4102" s="179"/>
      <c r="U4102" s="179"/>
      <c r="V4102" s="179"/>
      <c r="W4102" s="180"/>
      <c r="X4102" s="181"/>
      <c r="Y4102" s="182"/>
      <c r="Z4102" s="182"/>
      <c r="AA4102" s="182"/>
      <c r="AB4102" s="182"/>
      <c r="AC4102" s="183"/>
      <c r="AD4102" s="183"/>
      <c r="AE4102" s="183"/>
      <c r="AF4102" s="184"/>
      <c r="AG4102" s="180"/>
      <c r="AH4102" s="185"/>
      <c r="AI4102" s="182"/>
      <c r="AJ4102" s="182"/>
      <c r="AK4102" s="182"/>
      <c r="AL4102" s="182"/>
    </row>
    <row r="4103" ht="20.25" customHeight="1">
      <c r="A4103" s="169"/>
      <c r="B4103" s="170"/>
      <c r="C4103" s="170"/>
      <c r="D4103" s="170"/>
      <c r="E4103" s="171"/>
      <c r="F4103" s="172"/>
      <c r="G4103" s="173"/>
      <c r="H4103" s="174"/>
      <c r="I4103" s="175"/>
      <c r="J4103" s="172"/>
      <c r="K4103" s="176"/>
      <c r="L4103" s="176"/>
      <c r="M4103" s="176"/>
      <c r="N4103" s="177"/>
      <c r="O4103" s="177"/>
      <c r="P4103" s="178"/>
      <c r="Q4103" s="177"/>
      <c r="R4103" s="170"/>
      <c r="S4103" s="170"/>
      <c r="T4103" s="179"/>
      <c r="U4103" s="179"/>
      <c r="V4103" s="179"/>
      <c r="W4103" s="180"/>
      <c r="X4103" s="181"/>
      <c r="Y4103" s="182"/>
      <c r="Z4103" s="182"/>
      <c r="AA4103" s="182"/>
      <c r="AB4103" s="182"/>
      <c r="AC4103" s="183"/>
      <c r="AD4103" s="183"/>
      <c r="AE4103" s="183"/>
      <c r="AF4103" s="184"/>
      <c r="AG4103" s="180"/>
      <c r="AH4103" s="185"/>
      <c r="AI4103" s="182"/>
      <c r="AJ4103" s="182"/>
      <c r="AK4103" s="182"/>
      <c r="AL4103" s="182"/>
    </row>
    <row r="4104" ht="20.25" customHeight="1">
      <c r="A4104" s="169"/>
      <c r="B4104" s="170"/>
      <c r="C4104" s="170"/>
      <c r="D4104" s="170"/>
      <c r="E4104" s="171"/>
      <c r="F4104" s="172"/>
      <c r="G4104" s="173"/>
      <c r="H4104" s="174"/>
      <c r="I4104" s="175"/>
      <c r="J4104" s="172"/>
      <c r="K4104" s="176"/>
      <c r="L4104" s="176"/>
      <c r="M4104" s="176"/>
      <c r="N4104" s="177"/>
      <c r="O4104" s="177"/>
      <c r="P4104" s="178"/>
      <c r="Q4104" s="177"/>
      <c r="R4104" s="170"/>
      <c r="S4104" s="170"/>
      <c r="T4104" s="179"/>
      <c r="U4104" s="179"/>
      <c r="V4104" s="179"/>
      <c r="W4104" s="180"/>
      <c r="X4104" s="181"/>
      <c r="Y4104" s="182"/>
      <c r="Z4104" s="182"/>
      <c r="AA4104" s="182"/>
      <c r="AB4104" s="182"/>
      <c r="AC4104" s="183"/>
      <c r="AD4104" s="183"/>
      <c r="AE4104" s="183"/>
      <c r="AF4104" s="184"/>
      <c r="AG4104" s="180"/>
      <c r="AH4104" s="185"/>
      <c r="AI4104" s="182"/>
      <c r="AJ4104" s="182"/>
      <c r="AK4104" s="182"/>
      <c r="AL4104" s="182"/>
    </row>
    <row r="4105" ht="20.25" customHeight="1">
      <c r="A4105" s="169"/>
      <c r="B4105" s="170"/>
      <c r="C4105" s="170"/>
      <c r="D4105" s="170"/>
      <c r="E4105" s="171"/>
      <c r="F4105" s="172"/>
      <c r="G4105" s="173"/>
      <c r="H4105" s="174"/>
      <c r="I4105" s="175"/>
      <c r="J4105" s="172"/>
      <c r="K4105" s="176"/>
      <c r="L4105" s="176"/>
      <c r="M4105" s="176"/>
      <c r="N4105" s="177"/>
      <c r="O4105" s="177"/>
      <c r="P4105" s="178"/>
      <c r="Q4105" s="177"/>
      <c r="R4105" s="170"/>
      <c r="S4105" s="170"/>
      <c r="T4105" s="179"/>
      <c r="U4105" s="179"/>
      <c r="V4105" s="179"/>
      <c r="W4105" s="180"/>
      <c r="X4105" s="181"/>
      <c r="Y4105" s="182"/>
      <c r="Z4105" s="182"/>
      <c r="AA4105" s="182"/>
      <c r="AB4105" s="182"/>
      <c r="AC4105" s="183"/>
      <c r="AD4105" s="183"/>
      <c r="AE4105" s="183"/>
      <c r="AF4105" s="184"/>
      <c r="AG4105" s="180"/>
      <c r="AH4105" s="185"/>
      <c r="AI4105" s="182"/>
      <c r="AJ4105" s="182"/>
      <c r="AK4105" s="182"/>
      <c r="AL4105" s="182"/>
    </row>
    <row r="4106" ht="20.25" customHeight="1">
      <c r="A4106" s="169"/>
      <c r="B4106" s="170"/>
      <c r="C4106" s="170"/>
      <c r="D4106" s="170"/>
      <c r="E4106" s="171"/>
      <c r="F4106" s="172"/>
      <c r="G4106" s="173"/>
      <c r="H4106" s="174"/>
      <c r="I4106" s="175"/>
      <c r="J4106" s="172"/>
      <c r="K4106" s="176"/>
      <c r="L4106" s="176"/>
      <c r="M4106" s="176"/>
      <c r="N4106" s="177"/>
      <c r="O4106" s="177"/>
      <c r="P4106" s="178"/>
      <c r="Q4106" s="177"/>
      <c r="R4106" s="170"/>
      <c r="S4106" s="170"/>
      <c r="T4106" s="179"/>
      <c r="U4106" s="179"/>
      <c r="V4106" s="179"/>
      <c r="W4106" s="180"/>
      <c r="X4106" s="181"/>
      <c r="Y4106" s="182"/>
      <c r="Z4106" s="182"/>
      <c r="AA4106" s="182"/>
      <c r="AB4106" s="182"/>
      <c r="AC4106" s="183"/>
      <c r="AD4106" s="183"/>
      <c r="AE4106" s="183"/>
      <c r="AF4106" s="184"/>
      <c r="AG4106" s="180"/>
      <c r="AH4106" s="185"/>
      <c r="AI4106" s="182"/>
      <c r="AJ4106" s="182"/>
      <c r="AK4106" s="182"/>
      <c r="AL4106" s="182"/>
    </row>
    <row r="4107" ht="20.25" customHeight="1">
      <c r="A4107" s="169"/>
      <c r="B4107" s="170"/>
      <c r="C4107" s="170"/>
      <c r="D4107" s="170"/>
      <c r="E4107" s="171"/>
      <c r="F4107" s="172"/>
      <c r="G4107" s="173"/>
      <c r="H4107" s="174"/>
      <c r="I4107" s="175"/>
      <c r="J4107" s="172"/>
      <c r="K4107" s="176"/>
      <c r="L4107" s="176"/>
      <c r="M4107" s="176"/>
      <c r="N4107" s="177"/>
      <c r="O4107" s="177"/>
      <c r="P4107" s="178"/>
      <c r="Q4107" s="177"/>
      <c r="R4107" s="170"/>
      <c r="S4107" s="170"/>
      <c r="T4107" s="179"/>
      <c r="U4107" s="179"/>
      <c r="V4107" s="179"/>
      <c r="W4107" s="180"/>
      <c r="X4107" s="181"/>
      <c r="Y4107" s="182"/>
      <c r="Z4107" s="182"/>
      <c r="AA4107" s="182"/>
      <c r="AB4107" s="182"/>
      <c r="AC4107" s="183"/>
      <c r="AD4107" s="183"/>
      <c r="AE4107" s="183"/>
      <c r="AF4107" s="184"/>
      <c r="AG4107" s="180"/>
      <c r="AH4107" s="185"/>
      <c r="AI4107" s="182"/>
      <c r="AJ4107" s="182"/>
      <c r="AK4107" s="182"/>
      <c r="AL4107" s="182"/>
    </row>
    <row r="4108" ht="20.25" customHeight="1">
      <c r="A4108" s="169"/>
      <c r="B4108" s="170"/>
      <c r="C4108" s="170"/>
      <c r="D4108" s="170"/>
      <c r="E4108" s="171"/>
      <c r="F4108" s="172"/>
      <c r="G4108" s="173"/>
      <c r="H4108" s="174"/>
      <c r="I4108" s="175"/>
      <c r="J4108" s="172"/>
      <c r="K4108" s="176"/>
      <c r="L4108" s="176"/>
      <c r="M4108" s="176"/>
      <c r="N4108" s="177"/>
      <c r="O4108" s="177"/>
      <c r="P4108" s="178"/>
      <c r="Q4108" s="177"/>
      <c r="R4108" s="170"/>
      <c r="S4108" s="170"/>
      <c r="T4108" s="179"/>
      <c r="U4108" s="179"/>
      <c r="V4108" s="179"/>
      <c r="W4108" s="180"/>
      <c r="X4108" s="181"/>
      <c r="Y4108" s="182"/>
      <c r="Z4108" s="182"/>
      <c r="AA4108" s="182"/>
      <c r="AB4108" s="182"/>
      <c r="AC4108" s="183"/>
      <c r="AD4108" s="183"/>
      <c r="AE4108" s="183"/>
      <c r="AF4108" s="184"/>
      <c r="AG4108" s="180"/>
      <c r="AH4108" s="185"/>
      <c r="AI4108" s="182"/>
      <c r="AJ4108" s="182"/>
      <c r="AK4108" s="182"/>
      <c r="AL4108" s="182"/>
    </row>
    <row r="4109" ht="20.25" customHeight="1">
      <c r="A4109" s="169"/>
      <c r="B4109" s="170"/>
      <c r="C4109" s="170"/>
      <c r="D4109" s="170"/>
      <c r="E4109" s="171"/>
      <c r="F4109" s="172"/>
      <c r="G4109" s="173"/>
      <c r="H4109" s="174"/>
      <c r="I4109" s="175"/>
      <c r="J4109" s="172"/>
      <c r="K4109" s="176"/>
      <c r="L4109" s="176"/>
      <c r="M4109" s="176"/>
      <c r="N4109" s="177"/>
      <c r="O4109" s="177"/>
      <c r="P4109" s="178"/>
      <c r="Q4109" s="177"/>
      <c r="R4109" s="170"/>
      <c r="S4109" s="170"/>
      <c r="T4109" s="179"/>
      <c r="U4109" s="179"/>
      <c r="V4109" s="179"/>
      <c r="W4109" s="180"/>
      <c r="X4109" s="181"/>
      <c r="Y4109" s="182"/>
      <c r="Z4109" s="182"/>
      <c r="AA4109" s="182"/>
      <c r="AB4109" s="182"/>
      <c r="AC4109" s="183"/>
      <c r="AD4109" s="183"/>
      <c r="AE4109" s="183"/>
      <c r="AF4109" s="184"/>
      <c r="AG4109" s="180"/>
      <c r="AH4109" s="185"/>
      <c r="AI4109" s="182"/>
      <c r="AJ4109" s="182"/>
      <c r="AK4109" s="182"/>
      <c r="AL4109" s="182"/>
    </row>
    <row r="4110" ht="20.25" customHeight="1">
      <c r="A4110" s="169"/>
      <c r="B4110" s="170"/>
      <c r="C4110" s="170"/>
      <c r="D4110" s="170"/>
      <c r="E4110" s="171"/>
      <c r="F4110" s="172"/>
      <c r="G4110" s="173"/>
      <c r="H4110" s="174"/>
      <c r="I4110" s="175"/>
      <c r="J4110" s="172"/>
      <c r="K4110" s="176"/>
      <c r="L4110" s="176"/>
      <c r="M4110" s="176"/>
      <c r="N4110" s="177"/>
      <c r="O4110" s="177"/>
      <c r="P4110" s="178"/>
      <c r="Q4110" s="177"/>
      <c r="R4110" s="170"/>
      <c r="S4110" s="170"/>
      <c r="T4110" s="179"/>
      <c r="U4110" s="179"/>
      <c r="V4110" s="179"/>
      <c r="W4110" s="180"/>
      <c r="X4110" s="181"/>
      <c r="Y4110" s="182"/>
      <c r="Z4110" s="182"/>
      <c r="AA4110" s="182"/>
      <c r="AB4110" s="182"/>
      <c r="AC4110" s="183"/>
      <c r="AD4110" s="183"/>
      <c r="AE4110" s="183"/>
      <c r="AF4110" s="184"/>
      <c r="AG4110" s="180"/>
      <c r="AH4110" s="185"/>
      <c r="AI4110" s="182"/>
      <c r="AJ4110" s="182"/>
      <c r="AK4110" s="182"/>
      <c r="AL4110" s="182"/>
    </row>
    <row r="4111" ht="20.25" customHeight="1">
      <c r="A4111" s="169"/>
      <c r="B4111" s="170"/>
      <c r="C4111" s="170"/>
      <c r="D4111" s="170"/>
      <c r="E4111" s="171"/>
      <c r="F4111" s="172"/>
      <c r="G4111" s="173"/>
      <c r="H4111" s="174"/>
      <c r="I4111" s="175"/>
      <c r="J4111" s="172"/>
      <c r="K4111" s="176"/>
      <c r="L4111" s="176"/>
      <c r="M4111" s="176"/>
      <c r="N4111" s="177"/>
      <c r="O4111" s="177"/>
      <c r="P4111" s="178"/>
      <c r="Q4111" s="177"/>
      <c r="R4111" s="170"/>
      <c r="S4111" s="170"/>
      <c r="T4111" s="179"/>
      <c r="U4111" s="179"/>
      <c r="V4111" s="179"/>
      <c r="W4111" s="180"/>
      <c r="X4111" s="181"/>
      <c r="Y4111" s="182"/>
      <c r="Z4111" s="182"/>
      <c r="AA4111" s="182"/>
      <c r="AB4111" s="182"/>
      <c r="AC4111" s="183"/>
      <c r="AD4111" s="183"/>
      <c r="AE4111" s="183"/>
      <c r="AF4111" s="184"/>
      <c r="AG4111" s="180"/>
      <c r="AH4111" s="185"/>
      <c r="AI4111" s="182"/>
      <c r="AJ4111" s="182"/>
      <c r="AK4111" s="182"/>
      <c r="AL4111" s="182"/>
    </row>
    <row r="4112" ht="20.25" customHeight="1">
      <c r="A4112" s="169"/>
      <c r="B4112" s="170"/>
      <c r="C4112" s="170"/>
      <c r="D4112" s="170"/>
      <c r="E4112" s="171"/>
      <c r="F4112" s="172"/>
      <c r="G4112" s="173"/>
      <c r="H4112" s="174"/>
      <c r="I4112" s="175"/>
      <c r="J4112" s="172"/>
      <c r="K4112" s="176"/>
      <c r="L4112" s="176"/>
      <c r="M4112" s="176"/>
      <c r="N4112" s="177"/>
      <c r="O4112" s="177"/>
      <c r="P4112" s="178"/>
      <c r="Q4112" s="177"/>
      <c r="R4112" s="170"/>
      <c r="S4112" s="170"/>
      <c r="T4112" s="179"/>
      <c r="U4112" s="179"/>
      <c r="V4112" s="179"/>
      <c r="W4112" s="180"/>
      <c r="X4112" s="181"/>
      <c r="Y4112" s="182"/>
      <c r="Z4112" s="182"/>
      <c r="AA4112" s="182"/>
      <c r="AB4112" s="182"/>
      <c r="AC4112" s="183"/>
      <c r="AD4112" s="183"/>
      <c r="AE4112" s="183"/>
      <c r="AF4112" s="184"/>
      <c r="AG4112" s="180"/>
      <c r="AH4112" s="185"/>
      <c r="AI4112" s="182"/>
      <c r="AJ4112" s="182"/>
      <c r="AK4112" s="182"/>
      <c r="AL4112" s="182"/>
    </row>
    <row r="4113" ht="20.25" customHeight="1">
      <c r="A4113" s="169"/>
      <c r="B4113" s="170"/>
      <c r="C4113" s="170"/>
      <c r="D4113" s="170"/>
      <c r="E4113" s="171"/>
      <c r="F4113" s="172"/>
      <c r="G4113" s="173"/>
      <c r="H4113" s="174"/>
      <c r="I4113" s="175"/>
      <c r="J4113" s="172"/>
      <c r="K4113" s="176"/>
      <c r="L4113" s="176"/>
      <c r="M4113" s="176"/>
      <c r="N4113" s="177"/>
      <c r="O4113" s="177"/>
      <c r="P4113" s="178"/>
      <c r="Q4113" s="177"/>
      <c r="R4113" s="170"/>
      <c r="S4113" s="170"/>
      <c r="T4113" s="179"/>
      <c r="U4113" s="179"/>
      <c r="V4113" s="179"/>
      <c r="W4113" s="180"/>
      <c r="X4113" s="181"/>
      <c r="Y4113" s="182"/>
      <c r="Z4113" s="182"/>
      <c r="AA4113" s="182"/>
      <c r="AB4113" s="182"/>
      <c r="AC4113" s="183"/>
      <c r="AD4113" s="183"/>
      <c r="AE4113" s="183"/>
      <c r="AF4113" s="184"/>
      <c r="AG4113" s="180"/>
      <c r="AH4113" s="185"/>
      <c r="AI4113" s="182"/>
      <c r="AJ4113" s="182"/>
      <c r="AK4113" s="182"/>
      <c r="AL4113" s="182"/>
    </row>
    <row r="4114" ht="20.25" customHeight="1">
      <c r="A4114" s="169"/>
      <c r="B4114" s="170"/>
      <c r="C4114" s="170"/>
      <c r="D4114" s="170"/>
      <c r="E4114" s="171"/>
      <c r="F4114" s="172"/>
      <c r="G4114" s="173"/>
      <c r="H4114" s="174"/>
      <c r="I4114" s="175"/>
      <c r="J4114" s="172"/>
      <c r="K4114" s="176"/>
      <c r="L4114" s="176"/>
      <c r="M4114" s="176"/>
      <c r="N4114" s="177"/>
      <c r="O4114" s="177"/>
      <c r="P4114" s="178"/>
      <c r="Q4114" s="177"/>
      <c r="R4114" s="170"/>
      <c r="S4114" s="170"/>
      <c r="T4114" s="179"/>
      <c r="U4114" s="179"/>
      <c r="V4114" s="179"/>
      <c r="W4114" s="180"/>
      <c r="X4114" s="181"/>
      <c r="Y4114" s="182"/>
      <c r="Z4114" s="182"/>
      <c r="AA4114" s="182"/>
      <c r="AB4114" s="182"/>
      <c r="AC4114" s="183"/>
      <c r="AD4114" s="183"/>
      <c r="AE4114" s="183"/>
      <c r="AF4114" s="184"/>
      <c r="AG4114" s="180"/>
      <c r="AH4114" s="185"/>
      <c r="AI4114" s="182"/>
      <c r="AJ4114" s="182"/>
      <c r="AK4114" s="182"/>
      <c r="AL4114" s="182"/>
    </row>
    <row r="4115" ht="20.25" customHeight="1">
      <c r="A4115" s="169"/>
      <c r="B4115" s="170"/>
      <c r="C4115" s="170"/>
      <c r="D4115" s="170"/>
      <c r="E4115" s="171"/>
      <c r="F4115" s="172"/>
      <c r="G4115" s="173"/>
      <c r="H4115" s="174"/>
      <c r="I4115" s="175"/>
      <c r="J4115" s="172"/>
      <c r="K4115" s="176"/>
      <c r="L4115" s="176"/>
      <c r="M4115" s="176"/>
      <c r="N4115" s="177"/>
      <c r="O4115" s="177"/>
      <c r="P4115" s="178"/>
      <c r="Q4115" s="177"/>
      <c r="R4115" s="170"/>
      <c r="S4115" s="170"/>
      <c r="T4115" s="179"/>
      <c r="U4115" s="179"/>
      <c r="V4115" s="179"/>
      <c r="W4115" s="180"/>
      <c r="X4115" s="181"/>
      <c r="Y4115" s="182"/>
      <c r="Z4115" s="182"/>
      <c r="AA4115" s="182"/>
      <c r="AB4115" s="182"/>
      <c r="AC4115" s="183"/>
      <c r="AD4115" s="183"/>
      <c r="AE4115" s="183"/>
      <c r="AF4115" s="184"/>
      <c r="AG4115" s="180"/>
      <c r="AH4115" s="185"/>
      <c r="AI4115" s="182"/>
      <c r="AJ4115" s="182"/>
      <c r="AK4115" s="182"/>
      <c r="AL4115" s="182"/>
    </row>
    <row r="4116" ht="20.25" customHeight="1">
      <c r="A4116" s="169"/>
      <c r="B4116" s="170"/>
      <c r="C4116" s="170"/>
      <c r="D4116" s="170"/>
      <c r="E4116" s="171"/>
      <c r="F4116" s="172"/>
      <c r="G4116" s="173"/>
      <c r="H4116" s="174"/>
      <c r="I4116" s="175"/>
      <c r="J4116" s="172"/>
      <c r="K4116" s="176"/>
      <c r="L4116" s="176"/>
      <c r="M4116" s="176"/>
      <c r="N4116" s="177"/>
      <c r="O4116" s="177"/>
      <c r="P4116" s="178"/>
      <c r="Q4116" s="177"/>
      <c r="R4116" s="170"/>
      <c r="S4116" s="170"/>
      <c r="T4116" s="179"/>
      <c r="U4116" s="179"/>
      <c r="V4116" s="179"/>
      <c r="W4116" s="180"/>
      <c r="X4116" s="181"/>
      <c r="Y4116" s="182"/>
      <c r="Z4116" s="182"/>
      <c r="AA4116" s="182"/>
      <c r="AB4116" s="182"/>
      <c r="AC4116" s="183"/>
      <c r="AD4116" s="183"/>
      <c r="AE4116" s="183"/>
      <c r="AF4116" s="184"/>
      <c r="AG4116" s="180"/>
      <c r="AH4116" s="185"/>
      <c r="AI4116" s="182"/>
      <c r="AJ4116" s="182"/>
      <c r="AK4116" s="182"/>
      <c r="AL4116" s="182"/>
    </row>
    <row r="4117" ht="20.25" customHeight="1">
      <c r="A4117" s="169"/>
      <c r="B4117" s="170"/>
      <c r="C4117" s="170"/>
      <c r="D4117" s="170"/>
      <c r="E4117" s="171"/>
      <c r="F4117" s="172"/>
      <c r="G4117" s="173"/>
      <c r="H4117" s="174"/>
      <c r="I4117" s="175"/>
      <c r="J4117" s="172"/>
      <c r="K4117" s="176"/>
      <c r="L4117" s="176"/>
      <c r="M4117" s="176"/>
      <c r="N4117" s="177"/>
      <c r="O4117" s="177"/>
      <c r="P4117" s="178"/>
      <c r="Q4117" s="177"/>
      <c r="R4117" s="170"/>
      <c r="S4117" s="170"/>
      <c r="T4117" s="179"/>
      <c r="U4117" s="179"/>
      <c r="V4117" s="179"/>
      <c r="W4117" s="180"/>
      <c r="X4117" s="181"/>
      <c r="Y4117" s="182"/>
      <c r="Z4117" s="182"/>
      <c r="AA4117" s="182"/>
      <c r="AB4117" s="182"/>
      <c r="AC4117" s="183"/>
      <c r="AD4117" s="183"/>
      <c r="AE4117" s="183"/>
      <c r="AF4117" s="184"/>
      <c r="AG4117" s="180"/>
      <c r="AH4117" s="185"/>
      <c r="AI4117" s="182"/>
      <c r="AJ4117" s="182"/>
      <c r="AK4117" s="182"/>
      <c r="AL4117" s="182"/>
    </row>
    <row r="4118" ht="20.25" customHeight="1">
      <c r="A4118" s="169"/>
      <c r="B4118" s="170"/>
      <c r="C4118" s="170"/>
      <c r="D4118" s="170"/>
      <c r="E4118" s="171"/>
      <c r="F4118" s="172"/>
      <c r="G4118" s="173"/>
      <c r="H4118" s="174"/>
      <c r="I4118" s="175"/>
      <c r="J4118" s="172"/>
      <c r="K4118" s="176"/>
      <c r="L4118" s="176"/>
      <c r="M4118" s="176"/>
      <c r="N4118" s="177"/>
      <c r="O4118" s="177"/>
      <c r="P4118" s="178"/>
      <c r="Q4118" s="177"/>
      <c r="R4118" s="170"/>
      <c r="S4118" s="170"/>
      <c r="T4118" s="179"/>
      <c r="U4118" s="179"/>
      <c r="V4118" s="179"/>
      <c r="W4118" s="180"/>
      <c r="X4118" s="181"/>
      <c r="Y4118" s="182"/>
      <c r="Z4118" s="182"/>
      <c r="AA4118" s="182"/>
      <c r="AB4118" s="182"/>
      <c r="AC4118" s="183"/>
      <c r="AD4118" s="183"/>
      <c r="AE4118" s="183"/>
      <c r="AF4118" s="184"/>
      <c r="AG4118" s="180"/>
      <c r="AH4118" s="185"/>
      <c r="AI4118" s="182"/>
      <c r="AJ4118" s="182"/>
      <c r="AK4118" s="182"/>
      <c r="AL4118" s="182"/>
    </row>
    <row r="4119" ht="20.25" customHeight="1">
      <c r="A4119" s="169"/>
      <c r="B4119" s="170"/>
      <c r="C4119" s="170"/>
      <c r="D4119" s="170"/>
      <c r="E4119" s="171"/>
      <c r="F4119" s="172"/>
      <c r="G4119" s="173"/>
      <c r="H4119" s="174"/>
      <c r="I4119" s="175"/>
      <c r="J4119" s="172"/>
      <c r="K4119" s="176"/>
      <c r="L4119" s="176"/>
      <c r="M4119" s="176"/>
      <c r="N4119" s="177"/>
      <c r="O4119" s="177"/>
      <c r="P4119" s="178"/>
      <c r="Q4119" s="177"/>
      <c r="R4119" s="170"/>
      <c r="S4119" s="170"/>
      <c r="T4119" s="179"/>
      <c r="U4119" s="179"/>
      <c r="V4119" s="179"/>
      <c r="W4119" s="180"/>
      <c r="X4119" s="181"/>
      <c r="Y4119" s="182"/>
      <c r="Z4119" s="182"/>
      <c r="AA4119" s="182"/>
      <c r="AB4119" s="182"/>
      <c r="AC4119" s="183"/>
      <c r="AD4119" s="183"/>
      <c r="AE4119" s="183"/>
      <c r="AF4119" s="184"/>
      <c r="AG4119" s="180"/>
      <c r="AH4119" s="185"/>
      <c r="AI4119" s="182"/>
      <c r="AJ4119" s="182"/>
      <c r="AK4119" s="182"/>
      <c r="AL4119" s="182"/>
    </row>
    <row r="4120" ht="20.25" customHeight="1">
      <c r="A4120" s="169"/>
      <c r="B4120" s="170"/>
      <c r="C4120" s="170"/>
      <c r="D4120" s="170"/>
      <c r="E4120" s="171"/>
      <c r="F4120" s="172"/>
      <c r="G4120" s="173"/>
      <c r="H4120" s="174"/>
      <c r="I4120" s="175"/>
      <c r="J4120" s="172"/>
      <c r="K4120" s="176"/>
      <c r="L4120" s="176"/>
      <c r="M4120" s="176"/>
      <c r="N4120" s="177"/>
      <c r="O4120" s="177"/>
      <c r="P4120" s="178"/>
      <c r="Q4120" s="177"/>
      <c r="R4120" s="170"/>
      <c r="S4120" s="170"/>
      <c r="T4120" s="179"/>
      <c r="U4120" s="179"/>
      <c r="V4120" s="179"/>
      <c r="W4120" s="180"/>
      <c r="X4120" s="181"/>
      <c r="Y4120" s="182"/>
      <c r="Z4120" s="182"/>
      <c r="AA4120" s="182"/>
      <c r="AB4120" s="182"/>
      <c r="AC4120" s="183"/>
      <c r="AD4120" s="183"/>
      <c r="AE4120" s="183"/>
      <c r="AF4120" s="184"/>
      <c r="AG4120" s="180"/>
      <c r="AH4120" s="185"/>
      <c r="AI4120" s="182"/>
      <c r="AJ4120" s="182"/>
      <c r="AK4120" s="182"/>
      <c r="AL4120" s="182"/>
    </row>
    <row r="4121" ht="20.25" customHeight="1">
      <c r="A4121" s="169"/>
      <c r="B4121" s="170"/>
      <c r="C4121" s="170"/>
      <c r="D4121" s="170"/>
      <c r="E4121" s="171"/>
      <c r="F4121" s="172"/>
      <c r="G4121" s="173"/>
      <c r="H4121" s="174"/>
      <c r="I4121" s="175"/>
      <c r="J4121" s="172"/>
      <c r="K4121" s="176"/>
      <c r="L4121" s="176"/>
      <c r="M4121" s="176"/>
      <c r="N4121" s="177"/>
      <c r="O4121" s="177"/>
      <c r="P4121" s="178"/>
      <c r="Q4121" s="177"/>
      <c r="R4121" s="170"/>
      <c r="S4121" s="170"/>
      <c r="T4121" s="179"/>
      <c r="U4121" s="179"/>
      <c r="V4121" s="179"/>
      <c r="W4121" s="180"/>
      <c r="X4121" s="181"/>
      <c r="Y4121" s="182"/>
      <c r="Z4121" s="182"/>
      <c r="AA4121" s="182"/>
      <c r="AB4121" s="182"/>
      <c r="AC4121" s="183"/>
      <c r="AD4121" s="183"/>
      <c r="AE4121" s="183"/>
      <c r="AF4121" s="184"/>
      <c r="AG4121" s="180"/>
      <c r="AH4121" s="185"/>
      <c r="AI4121" s="182"/>
      <c r="AJ4121" s="182"/>
      <c r="AK4121" s="182"/>
      <c r="AL4121" s="182"/>
    </row>
    <row r="4122" ht="20.25" customHeight="1">
      <c r="A4122" s="169"/>
      <c r="B4122" s="170"/>
      <c r="C4122" s="170"/>
      <c r="D4122" s="170"/>
      <c r="E4122" s="171"/>
      <c r="F4122" s="172"/>
      <c r="G4122" s="173"/>
      <c r="H4122" s="174"/>
      <c r="I4122" s="175"/>
      <c r="J4122" s="172"/>
      <c r="K4122" s="176"/>
      <c r="L4122" s="176"/>
      <c r="M4122" s="176"/>
      <c r="N4122" s="177"/>
      <c r="O4122" s="177"/>
      <c r="P4122" s="178"/>
      <c r="Q4122" s="177"/>
      <c r="R4122" s="170"/>
      <c r="S4122" s="170"/>
      <c r="T4122" s="179"/>
      <c r="U4122" s="179"/>
      <c r="V4122" s="179"/>
      <c r="W4122" s="180"/>
      <c r="X4122" s="181"/>
      <c r="Y4122" s="182"/>
      <c r="Z4122" s="182"/>
      <c r="AA4122" s="182"/>
      <c r="AB4122" s="182"/>
      <c r="AC4122" s="183"/>
      <c r="AD4122" s="183"/>
      <c r="AE4122" s="183"/>
      <c r="AF4122" s="184"/>
      <c r="AG4122" s="180"/>
      <c r="AH4122" s="185"/>
      <c r="AI4122" s="182"/>
      <c r="AJ4122" s="182"/>
      <c r="AK4122" s="182"/>
      <c r="AL4122" s="182"/>
    </row>
    <row r="4123" ht="20.25" customHeight="1">
      <c r="A4123" s="169"/>
      <c r="B4123" s="170"/>
      <c r="C4123" s="170"/>
      <c r="D4123" s="170"/>
      <c r="E4123" s="171"/>
      <c r="F4123" s="172"/>
      <c r="G4123" s="173"/>
      <c r="H4123" s="174"/>
      <c r="I4123" s="175"/>
      <c r="J4123" s="172"/>
      <c r="K4123" s="176"/>
      <c r="L4123" s="176"/>
      <c r="M4123" s="176"/>
      <c r="N4123" s="177"/>
      <c r="O4123" s="177"/>
      <c r="P4123" s="178"/>
      <c r="Q4123" s="177"/>
      <c r="R4123" s="170"/>
      <c r="S4123" s="170"/>
      <c r="T4123" s="179"/>
      <c r="U4123" s="179"/>
      <c r="V4123" s="179"/>
      <c r="W4123" s="180"/>
      <c r="X4123" s="181"/>
      <c r="Y4123" s="182"/>
      <c r="Z4123" s="182"/>
      <c r="AA4123" s="182"/>
      <c r="AB4123" s="182"/>
      <c r="AC4123" s="183"/>
      <c r="AD4123" s="183"/>
      <c r="AE4123" s="183"/>
      <c r="AF4123" s="184"/>
      <c r="AG4123" s="180"/>
      <c r="AH4123" s="185"/>
      <c r="AI4123" s="182"/>
      <c r="AJ4123" s="182"/>
      <c r="AK4123" s="182"/>
      <c r="AL4123" s="182"/>
    </row>
    <row r="4124" ht="20.25" customHeight="1">
      <c r="A4124" s="169"/>
      <c r="B4124" s="170"/>
      <c r="C4124" s="170"/>
      <c r="D4124" s="170"/>
      <c r="E4124" s="171"/>
      <c r="F4124" s="172"/>
      <c r="G4124" s="173"/>
      <c r="H4124" s="174"/>
      <c r="I4124" s="175"/>
      <c r="J4124" s="172"/>
      <c r="K4124" s="176"/>
      <c r="L4124" s="176"/>
      <c r="M4124" s="176"/>
      <c r="N4124" s="177"/>
      <c r="O4124" s="177"/>
      <c r="P4124" s="178"/>
      <c r="Q4124" s="177"/>
      <c r="R4124" s="170"/>
      <c r="S4124" s="170"/>
      <c r="T4124" s="179"/>
      <c r="U4124" s="179"/>
      <c r="V4124" s="179"/>
      <c r="W4124" s="180"/>
      <c r="X4124" s="181"/>
      <c r="Y4124" s="182"/>
      <c r="Z4124" s="182"/>
      <c r="AA4124" s="182"/>
      <c r="AB4124" s="182"/>
      <c r="AC4124" s="183"/>
      <c r="AD4124" s="183"/>
      <c r="AE4124" s="183"/>
      <c r="AF4124" s="184"/>
      <c r="AG4124" s="180"/>
      <c r="AH4124" s="185"/>
      <c r="AI4124" s="182"/>
      <c r="AJ4124" s="182"/>
      <c r="AK4124" s="182"/>
      <c r="AL4124" s="182"/>
    </row>
    <row r="4125" ht="20.25" customHeight="1">
      <c r="A4125" s="169"/>
      <c r="B4125" s="170"/>
      <c r="C4125" s="170"/>
      <c r="D4125" s="170"/>
      <c r="E4125" s="171"/>
      <c r="F4125" s="172"/>
      <c r="G4125" s="173"/>
      <c r="H4125" s="174"/>
      <c r="I4125" s="175"/>
      <c r="J4125" s="172"/>
      <c r="K4125" s="176"/>
      <c r="L4125" s="176"/>
      <c r="M4125" s="176"/>
      <c r="N4125" s="177"/>
      <c r="O4125" s="177"/>
      <c r="P4125" s="178"/>
      <c r="Q4125" s="177"/>
      <c r="R4125" s="170"/>
      <c r="S4125" s="170"/>
      <c r="T4125" s="179"/>
      <c r="U4125" s="179"/>
      <c r="V4125" s="179"/>
      <c r="W4125" s="180"/>
      <c r="X4125" s="181"/>
      <c r="Y4125" s="182"/>
      <c r="Z4125" s="182"/>
      <c r="AA4125" s="182"/>
      <c r="AB4125" s="182"/>
      <c r="AC4125" s="183"/>
      <c r="AD4125" s="183"/>
      <c r="AE4125" s="183"/>
      <c r="AF4125" s="184"/>
      <c r="AG4125" s="180"/>
      <c r="AH4125" s="185"/>
      <c r="AI4125" s="182"/>
      <c r="AJ4125" s="182"/>
      <c r="AK4125" s="182"/>
      <c r="AL4125" s="182"/>
    </row>
    <row r="4126" ht="20.25" customHeight="1">
      <c r="A4126" s="169"/>
      <c r="B4126" s="170"/>
      <c r="C4126" s="170"/>
      <c r="D4126" s="170"/>
      <c r="E4126" s="171"/>
      <c r="F4126" s="172"/>
      <c r="G4126" s="173"/>
      <c r="H4126" s="174"/>
      <c r="I4126" s="175"/>
      <c r="J4126" s="172"/>
      <c r="K4126" s="176"/>
      <c r="L4126" s="176"/>
      <c r="M4126" s="176"/>
      <c r="N4126" s="177"/>
      <c r="O4126" s="177"/>
      <c r="P4126" s="178"/>
      <c r="Q4126" s="177"/>
      <c r="R4126" s="170"/>
      <c r="S4126" s="170"/>
      <c r="T4126" s="179"/>
      <c r="U4126" s="179"/>
      <c r="V4126" s="179"/>
      <c r="W4126" s="180"/>
      <c r="X4126" s="181"/>
      <c r="Y4126" s="182"/>
      <c r="Z4126" s="182"/>
      <c r="AA4126" s="182"/>
      <c r="AB4126" s="182"/>
      <c r="AC4126" s="183"/>
      <c r="AD4126" s="183"/>
      <c r="AE4126" s="183"/>
      <c r="AF4126" s="184"/>
      <c r="AG4126" s="180"/>
      <c r="AH4126" s="185"/>
      <c r="AI4126" s="182"/>
      <c r="AJ4126" s="182"/>
      <c r="AK4126" s="182"/>
      <c r="AL4126" s="182"/>
    </row>
    <row r="4127" ht="20.25" customHeight="1">
      <c r="A4127" s="169"/>
      <c r="B4127" s="170"/>
      <c r="C4127" s="170"/>
      <c r="D4127" s="170"/>
      <c r="E4127" s="171"/>
      <c r="F4127" s="172"/>
      <c r="G4127" s="173"/>
      <c r="H4127" s="174"/>
      <c r="I4127" s="175"/>
      <c r="J4127" s="172"/>
      <c r="K4127" s="176"/>
      <c r="L4127" s="176"/>
      <c r="M4127" s="176"/>
      <c r="N4127" s="177"/>
      <c r="O4127" s="177"/>
      <c r="P4127" s="178"/>
      <c r="Q4127" s="177"/>
      <c r="R4127" s="170"/>
      <c r="S4127" s="170"/>
      <c r="T4127" s="179"/>
      <c r="U4127" s="179"/>
      <c r="V4127" s="179"/>
      <c r="W4127" s="180"/>
      <c r="X4127" s="181"/>
      <c r="Y4127" s="182"/>
      <c r="Z4127" s="182"/>
      <c r="AA4127" s="182"/>
      <c r="AB4127" s="182"/>
      <c r="AC4127" s="183"/>
      <c r="AD4127" s="183"/>
      <c r="AE4127" s="183"/>
      <c r="AF4127" s="184"/>
      <c r="AG4127" s="180"/>
      <c r="AH4127" s="185"/>
      <c r="AI4127" s="182"/>
      <c r="AJ4127" s="182"/>
      <c r="AK4127" s="182"/>
      <c r="AL4127" s="182"/>
    </row>
    <row r="4128" ht="20.25" customHeight="1">
      <c r="A4128" s="169"/>
      <c r="B4128" s="170"/>
      <c r="C4128" s="170"/>
      <c r="D4128" s="170"/>
      <c r="E4128" s="171"/>
      <c r="F4128" s="172"/>
      <c r="G4128" s="173"/>
      <c r="H4128" s="174"/>
      <c r="I4128" s="175"/>
      <c r="J4128" s="172"/>
      <c r="K4128" s="176"/>
      <c r="L4128" s="176"/>
      <c r="M4128" s="176"/>
      <c r="N4128" s="177"/>
      <c r="O4128" s="177"/>
      <c r="P4128" s="178"/>
      <c r="Q4128" s="177"/>
      <c r="R4128" s="170"/>
      <c r="S4128" s="170"/>
      <c r="T4128" s="179"/>
      <c r="U4128" s="179"/>
      <c r="V4128" s="179"/>
      <c r="W4128" s="180"/>
      <c r="X4128" s="181"/>
      <c r="Y4128" s="182"/>
      <c r="Z4128" s="182"/>
      <c r="AA4128" s="182"/>
      <c r="AB4128" s="182"/>
      <c r="AC4128" s="183"/>
      <c r="AD4128" s="183"/>
      <c r="AE4128" s="183"/>
      <c r="AF4128" s="184"/>
      <c r="AG4128" s="180"/>
      <c r="AH4128" s="185"/>
      <c r="AI4128" s="182"/>
      <c r="AJ4128" s="182"/>
      <c r="AK4128" s="182"/>
      <c r="AL4128" s="182"/>
    </row>
    <row r="4129" ht="20.25" customHeight="1">
      <c r="A4129" s="169"/>
      <c r="B4129" s="170"/>
      <c r="C4129" s="170"/>
      <c r="D4129" s="170"/>
      <c r="E4129" s="171"/>
      <c r="F4129" s="172"/>
      <c r="G4129" s="173"/>
      <c r="H4129" s="174"/>
      <c r="I4129" s="175"/>
      <c r="J4129" s="172"/>
      <c r="K4129" s="176"/>
      <c r="L4129" s="176"/>
      <c r="M4129" s="176"/>
      <c r="N4129" s="177"/>
      <c r="O4129" s="177"/>
      <c r="P4129" s="178"/>
      <c r="Q4129" s="177"/>
      <c r="R4129" s="170"/>
      <c r="S4129" s="170"/>
      <c r="T4129" s="179"/>
      <c r="U4129" s="179"/>
      <c r="V4129" s="179"/>
      <c r="W4129" s="180"/>
      <c r="X4129" s="181"/>
      <c r="Y4129" s="182"/>
      <c r="Z4129" s="182"/>
      <c r="AA4129" s="182"/>
      <c r="AB4129" s="182"/>
      <c r="AC4129" s="183"/>
      <c r="AD4129" s="183"/>
      <c r="AE4129" s="183"/>
      <c r="AF4129" s="184"/>
      <c r="AG4129" s="180"/>
      <c r="AH4129" s="185"/>
      <c r="AI4129" s="182"/>
      <c r="AJ4129" s="182"/>
      <c r="AK4129" s="182"/>
      <c r="AL4129" s="182"/>
    </row>
    <row r="4130" ht="20.25" customHeight="1">
      <c r="A4130" s="169"/>
      <c r="B4130" s="170"/>
      <c r="C4130" s="170"/>
      <c r="D4130" s="170"/>
      <c r="E4130" s="171"/>
      <c r="F4130" s="172"/>
      <c r="G4130" s="173"/>
      <c r="H4130" s="174"/>
      <c r="I4130" s="175"/>
      <c r="J4130" s="172"/>
      <c r="K4130" s="176"/>
      <c r="L4130" s="176"/>
      <c r="M4130" s="176"/>
      <c r="N4130" s="177"/>
      <c r="O4130" s="177"/>
      <c r="P4130" s="178"/>
      <c r="Q4130" s="177"/>
      <c r="R4130" s="170"/>
      <c r="S4130" s="170"/>
      <c r="T4130" s="179"/>
      <c r="U4130" s="179"/>
      <c r="V4130" s="179"/>
      <c r="W4130" s="180"/>
      <c r="X4130" s="181"/>
      <c r="Y4130" s="182"/>
      <c r="Z4130" s="182"/>
      <c r="AA4130" s="182"/>
      <c r="AB4130" s="182"/>
      <c r="AC4130" s="183"/>
      <c r="AD4130" s="183"/>
      <c r="AE4130" s="183"/>
      <c r="AF4130" s="184"/>
      <c r="AG4130" s="180"/>
      <c r="AH4130" s="185"/>
      <c r="AI4130" s="182"/>
      <c r="AJ4130" s="182"/>
      <c r="AK4130" s="182"/>
      <c r="AL4130" s="182"/>
    </row>
    <row r="4131" ht="20.25" customHeight="1">
      <c r="A4131" s="169"/>
      <c r="B4131" s="170"/>
      <c r="C4131" s="170"/>
      <c r="D4131" s="170"/>
      <c r="E4131" s="171"/>
      <c r="F4131" s="172"/>
      <c r="G4131" s="173"/>
      <c r="H4131" s="174"/>
      <c r="I4131" s="175"/>
      <c r="J4131" s="172"/>
      <c r="K4131" s="176"/>
      <c r="L4131" s="176"/>
      <c r="M4131" s="176"/>
      <c r="N4131" s="177"/>
      <c r="O4131" s="177"/>
      <c r="P4131" s="178"/>
      <c r="Q4131" s="177"/>
      <c r="R4131" s="170"/>
      <c r="S4131" s="170"/>
      <c r="T4131" s="179"/>
      <c r="U4131" s="179"/>
      <c r="V4131" s="179"/>
      <c r="W4131" s="180"/>
      <c r="X4131" s="181"/>
      <c r="Y4131" s="182"/>
      <c r="Z4131" s="182"/>
      <c r="AA4131" s="182"/>
      <c r="AB4131" s="182"/>
      <c r="AC4131" s="183"/>
      <c r="AD4131" s="183"/>
      <c r="AE4131" s="183"/>
      <c r="AF4131" s="184"/>
      <c r="AG4131" s="180"/>
      <c r="AH4131" s="185"/>
      <c r="AI4131" s="182"/>
      <c r="AJ4131" s="182"/>
      <c r="AK4131" s="182"/>
      <c r="AL4131" s="182"/>
    </row>
    <row r="4132" ht="20.25" customHeight="1">
      <c r="A4132" s="169"/>
      <c r="B4132" s="170"/>
      <c r="C4132" s="170"/>
      <c r="D4132" s="170"/>
      <c r="E4132" s="171"/>
      <c r="F4132" s="172"/>
      <c r="G4132" s="173"/>
      <c r="H4132" s="174"/>
      <c r="I4132" s="175"/>
      <c r="J4132" s="172"/>
      <c r="K4132" s="176"/>
      <c r="L4132" s="176"/>
      <c r="M4132" s="176"/>
      <c r="N4132" s="177"/>
      <c r="O4132" s="177"/>
      <c r="P4132" s="178"/>
      <c r="Q4132" s="177"/>
      <c r="R4132" s="170"/>
      <c r="S4132" s="170"/>
      <c r="T4132" s="179"/>
      <c r="U4132" s="179"/>
      <c r="V4132" s="179"/>
      <c r="W4132" s="180"/>
      <c r="X4132" s="181"/>
      <c r="Y4132" s="182"/>
      <c r="Z4132" s="182"/>
      <c r="AA4132" s="182"/>
      <c r="AB4132" s="182"/>
      <c r="AC4132" s="183"/>
      <c r="AD4132" s="183"/>
      <c r="AE4132" s="183"/>
      <c r="AF4132" s="184"/>
      <c r="AG4132" s="180"/>
      <c r="AH4132" s="185"/>
      <c r="AI4132" s="182"/>
      <c r="AJ4132" s="182"/>
      <c r="AK4132" s="182"/>
      <c r="AL4132" s="182"/>
    </row>
    <row r="4133" ht="20.25" customHeight="1">
      <c r="A4133" s="169"/>
      <c r="B4133" s="170"/>
      <c r="C4133" s="170"/>
      <c r="D4133" s="170"/>
      <c r="E4133" s="171"/>
      <c r="F4133" s="172"/>
      <c r="G4133" s="173"/>
      <c r="H4133" s="174"/>
      <c r="I4133" s="175"/>
      <c r="J4133" s="172"/>
      <c r="K4133" s="176"/>
      <c r="L4133" s="176"/>
      <c r="M4133" s="176"/>
      <c r="N4133" s="177"/>
      <c r="O4133" s="177"/>
      <c r="P4133" s="178"/>
      <c r="Q4133" s="177"/>
      <c r="R4133" s="170"/>
      <c r="S4133" s="170"/>
      <c r="T4133" s="179"/>
      <c r="U4133" s="179"/>
      <c r="V4133" s="179"/>
      <c r="W4133" s="180"/>
      <c r="X4133" s="181"/>
      <c r="Y4133" s="182"/>
      <c r="Z4133" s="182"/>
      <c r="AA4133" s="182"/>
      <c r="AB4133" s="182"/>
      <c r="AC4133" s="183"/>
      <c r="AD4133" s="183"/>
      <c r="AE4133" s="183"/>
      <c r="AF4133" s="184"/>
      <c r="AG4133" s="180"/>
      <c r="AH4133" s="185"/>
      <c r="AI4133" s="182"/>
      <c r="AJ4133" s="182"/>
      <c r="AK4133" s="182"/>
      <c r="AL4133" s="182"/>
    </row>
    <row r="4134" ht="20.25" customHeight="1">
      <c r="A4134" s="169"/>
      <c r="B4134" s="170"/>
      <c r="C4134" s="170"/>
      <c r="D4134" s="170"/>
      <c r="E4134" s="171"/>
      <c r="F4134" s="172"/>
      <c r="G4134" s="173"/>
      <c r="H4134" s="174"/>
      <c r="I4134" s="175"/>
      <c r="J4134" s="172"/>
      <c r="K4134" s="176"/>
      <c r="L4134" s="176"/>
      <c r="M4134" s="176"/>
      <c r="N4134" s="177"/>
      <c r="O4134" s="177"/>
      <c r="P4134" s="178"/>
      <c r="Q4134" s="177"/>
      <c r="R4134" s="170"/>
      <c r="S4134" s="170"/>
      <c r="T4134" s="179"/>
      <c r="U4134" s="179"/>
      <c r="V4134" s="179"/>
      <c r="W4134" s="180"/>
      <c r="X4134" s="181"/>
      <c r="Y4134" s="182"/>
      <c r="Z4134" s="182"/>
      <c r="AA4134" s="182"/>
      <c r="AB4134" s="182"/>
      <c r="AC4134" s="183"/>
      <c r="AD4134" s="183"/>
      <c r="AE4134" s="183"/>
      <c r="AF4134" s="184"/>
      <c r="AG4134" s="180"/>
      <c r="AH4134" s="185"/>
      <c r="AI4134" s="182"/>
      <c r="AJ4134" s="182"/>
      <c r="AK4134" s="182"/>
      <c r="AL4134" s="182"/>
    </row>
    <row r="4135" ht="20.25" customHeight="1">
      <c r="A4135" s="169"/>
      <c r="B4135" s="170"/>
      <c r="C4135" s="170"/>
      <c r="D4135" s="170"/>
      <c r="E4135" s="171"/>
      <c r="F4135" s="172"/>
      <c r="G4135" s="173"/>
      <c r="H4135" s="174"/>
      <c r="I4135" s="175"/>
      <c r="J4135" s="172"/>
      <c r="K4135" s="176"/>
      <c r="L4135" s="176"/>
      <c r="M4135" s="176"/>
      <c r="N4135" s="177"/>
      <c r="O4135" s="177"/>
      <c r="P4135" s="178"/>
      <c r="Q4135" s="177"/>
      <c r="R4135" s="170"/>
      <c r="S4135" s="170"/>
      <c r="T4135" s="179"/>
      <c r="U4135" s="179"/>
      <c r="V4135" s="179"/>
      <c r="W4135" s="180"/>
      <c r="X4135" s="181"/>
      <c r="Y4135" s="182"/>
      <c r="Z4135" s="182"/>
      <c r="AA4135" s="182"/>
      <c r="AB4135" s="182"/>
      <c r="AC4135" s="183"/>
      <c r="AD4135" s="183"/>
      <c r="AE4135" s="183"/>
      <c r="AF4135" s="184"/>
      <c r="AG4135" s="180"/>
      <c r="AH4135" s="185"/>
      <c r="AI4135" s="182"/>
      <c r="AJ4135" s="182"/>
      <c r="AK4135" s="182"/>
      <c r="AL4135" s="182"/>
    </row>
    <row r="4136" ht="20.25" customHeight="1">
      <c r="A4136" s="169"/>
      <c r="B4136" s="170"/>
      <c r="C4136" s="170"/>
      <c r="D4136" s="170"/>
      <c r="E4136" s="171"/>
      <c r="F4136" s="172"/>
      <c r="G4136" s="173"/>
      <c r="H4136" s="174"/>
      <c r="I4136" s="175"/>
      <c r="J4136" s="172"/>
      <c r="K4136" s="176"/>
      <c r="L4136" s="176"/>
      <c r="M4136" s="176"/>
      <c r="N4136" s="177"/>
      <c r="O4136" s="177"/>
      <c r="P4136" s="178"/>
      <c r="Q4136" s="177"/>
      <c r="R4136" s="170"/>
      <c r="S4136" s="170"/>
      <c r="T4136" s="179"/>
      <c r="U4136" s="179"/>
      <c r="V4136" s="179"/>
      <c r="W4136" s="180"/>
      <c r="X4136" s="181"/>
      <c r="Y4136" s="182"/>
      <c r="Z4136" s="182"/>
      <c r="AA4136" s="182"/>
      <c r="AB4136" s="182"/>
      <c r="AC4136" s="183"/>
      <c r="AD4136" s="183"/>
      <c r="AE4136" s="183"/>
      <c r="AF4136" s="184"/>
      <c r="AG4136" s="180"/>
      <c r="AH4136" s="185"/>
      <c r="AI4136" s="182"/>
      <c r="AJ4136" s="182"/>
      <c r="AK4136" s="182"/>
      <c r="AL4136" s="182"/>
    </row>
    <row r="4137" ht="20.25" customHeight="1">
      <c r="A4137" s="169"/>
      <c r="B4137" s="170"/>
      <c r="C4137" s="170"/>
      <c r="D4137" s="170"/>
      <c r="E4137" s="171"/>
      <c r="F4137" s="172"/>
      <c r="G4137" s="173"/>
      <c r="H4137" s="174"/>
      <c r="I4137" s="175"/>
      <c r="J4137" s="172"/>
      <c r="K4137" s="176"/>
      <c r="L4137" s="176"/>
      <c r="M4137" s="176"/>
      <c r="N4137" s="177"/>
      <c r="O4137" s="177"/>
      <c r="P4137" s="178"/>
      <c r="Q4137" s="177"/>
      <c r="R4137" s="170"/>
      <c r="S4137" s="170"/>
      <c r="T4137" s="179"/>
      <c r="U4137" s="179"/>
      <c r="V4137" s="179"/>
      <c r="W4137" s="180"/>
      <c r="X4137" s="181"/>
      <c r="Y4137" s="182"/>
      <c r="Z4137" s="182"/>
      <c r="AA4137" s="182"/>
      <c r="AB4137" s="182"/>
      <c r="AC4137" s="183"/>
      <c r="AD4137" s="183"/>
      <c r="AE4137" s="183"/>
      <c r="AF4137" s="184"/>
      <c r="AG4137" s="180"/>
      <c r="AH4137" s="185"/>
      <c r="AI4137" s="182"/>
      <c r="AJ4137" s="182"/>
      <c r="AK4137" s="182"/>
      <c r="AL4137" s="182"/>
    </row>
    <row r="4138" ht="20.25" customHeight="1">
      <c r="A4138" s="169"/>
      <c r="B4138" s="170"/>
      <c r="C4138" s="170"/>
      <c r="D4138" s="170"/>
      <c r="E4138" s="171"/>
      <c r="F4138" s="172"/>
      <c r="G4138" s="173"/>
      <c r="H4138" s="174"/>
      <c r="I4138" s="175"/>
      <c r="J4138" s="172"/>
      <c r="K4138" s="176"/>
      <c r="L4138" s="176"/>
      <c r="M4138" s="176"/>
      <c r="N4138" s="177"/>
      <c r="O4138" s="177"/>
      <c r="P4138" s="178"/>
      <c r="Q4138" s="177"/>
      <c r="R4138" s="170"/>
      <c r="S4138" s="170"/>
      <c r="T4138" s="179"/>
      <c r="U4138" s="179"/>
      <c r="V4138" s="179"/>
      <c r="W4138" s="180"/>
      <c r="X4138" s="181"/>
      <c r="Y4138" s="182"/>
      <c r="Z4138" s="182"/>
      <c r="AA4138" s="182"/>
      <c r="AB4138" s="182"/>
      <c r="AC4138" s="183"/>
      <c r="AD4138" s="183"/>
      <c r="AE4138" s="183"/>
      <c r="AF4138" s="184"/>
      <c r="AG4138" s="180"/>
      <c r="AH4138" s="185"/>
      <c r="AI4138" s="182"/>
      <c r="AJ4138" s="182"/>
      <c r="AK4138" s="182"/>
      <c r="AL4138" s="182"/>
    </row>
    <row r="4139" ht="20.25" customHeight="1">
      <c r="A4139" s="169"/>
      <c r="B4139" s="170"/>
      <c r="C4139" s="170"/>
      <c r="D4139" s="170"/>
      <c r="E4139" s="171"/>
      <c r="F4139" s="172"/>
      <c r="G4139" s="173"/>
      <c r="H4139" s="174"/>
      <c r="I4139" s="175"/>
      <c r="J4139" s="172"/>
      <c r="K4139" s="176"/>
      <c r="L4139" s="176"/>
      <c r="M4139" s="176"/>
      <c r="N4139" s="177"/>
      <c r="O4139" s="177"/>
      <c r="P4139" s="178"/>
      <c r="Q4139" s="177"/>
      <c r="R4139" s="170"/>
      <c r="S4139" s="170"/>
      <c r="T4139" s="179"/>
      <c r="U4139" s="179"/>
      <c r="V4139" s="179"/>
      <c r="W4139" s="180"/>
      <c r="X4139" s="181"/>
      <c r="Y4139" s="182"/>
      <c r="Z4139" s="182"/>
      <c r="AA4139" s="182"/>
      <c r="AB4139" s="182"/>
      <c r="AC4139" s="183"/>
      <c r="AD4139" s="183"/>
      <c r="AE4139" s="183"/>
      <c r="AF4139" s="184"/>
      <c r="AG4139" s="180"/>
      <c r="AH4139" s="185"/>
      <c r="AI4139" s="182"/>
      <c r="AJ4139" s="182"/>
      <c r="AK4139" s="182"/>
      <c r="AL4139" s="182"/>
    </row>
    <row r="4140" ht="20.25" customHeight="1">
      <c r="A4140" s="169"/>
      <c r="B4140" s="170"/>
      <c r="C4140" s="170"/>
      <c r="D4140" s="170"/>
      <c r="E4140" s="171"/>
      <c r="F4140" s="172"/>
      <c r="G4140" s="173"/>
      <c r="H4140" s="174"/>
      <c r="I4140" s="175"/>
      <c r="J4140" s="172"/>
      <c r="K4140" s="176"/>
      <c r="L4140" s="176"/>
      <c r="M4140" s="176"/>
      <c r="N4140" s="177"/>
      <c r="O4140" s="177"/>
      <c r="P4140" s="178"/>
      <c r="Q4140" s="177"/>
      <c r="R4140" s="170"/>
      <c r="S4140" s="170"/>
      <c r="T4140" s="179"/>
      <c r="U4140" s="179"/>
      <c r="V4140" s="179"/>
      <c r="W4140" s="180"/>
      <c r="X4140" s="181"/>
      <c r="Y4140" s="182"/>
      <c r="Z4140" s="182"/>
      <c r="AA4140" s="182"/>
      <c r="AB4140" s="182"/>
      <c r="AC4140" s="183"/>
      <c r="AD4140" s="183"/>
      <c r="AE4140" s="183"/>
      <c r="AF4140" s="184"/>
      <c r="AG4140" s="180"/>
      <c r="AH4140" s="185"/>
      <c r="AI4140" s="182"/>
      <c r="AJ4140" s="182"/>
      <c r="AK4140" s="182"/>
      <c r="AL4140" s="182"/>
    </row>
    <row r="4141" ht="20.25" customHeight="1">
      <c r="A4141" s="169"/>
      <c r="B4141" s="170"/>
      <c r="C4141" s="170"/>
      <c r="D4141" s="170"/>
      <c r="E4141" s="171"/>
      <c r="F4141" s="172"/>
      <c r="G4141" s="173"/>
      <c r="H4141" s="174"/>
      <c r="I4141" s="175"/>
      <c r="J4141" s="172"/>
      <c r="K4141" s="176"/>
      <c r="L4141" s="176"/>
      <c r="M4141" s="176"/>
      <c r="N4141" s="177"/>
      <c r="O4141" s="177"/>
      <c r="P4141" s="178"/>
      <c r="Q4141" s="177"/>
      <c r="R4141" s="170"/>
      <c r="S4141" s="170"/>
      <c r="T4141" s="179"/>
      <c r="U4141" s="179"/>
      <c r="V4141" s="179"/>
      <c r="W4141" s="180"/>
      <c r="X4141" s="181"/>
      <c r="Y4141" s="182"/>
      <c r="Z4141" s="182"/>
      <c r="AA4141" s="182"/>
      <c r="AB4141" s="182"/>
      <c r="AC4141" s="183"/>
      <c r="AD4141" s="183"/>
      <c r="AE4141" s="183"/>
      <c r="AF4141" s="184"/>
      <c r="AG4141" s="180"/>
      <c r="AH4141" s="185"/>
      <c r="AI4141" s="182"/>
      <c r="AJ4141" s="182"/>
      <c r="AK4141" s="182"/>
      <c r="AL4141" s="182"/>
    </row>
    <row r="4142" ht="20.25" customHeight="1">
      <c r="A4142" s="169"/>
      <c r="B4142" s="170"/>
      <c r="C4142" s="170"/>
      <c r="D4142" s="170"/>
      <c r="E4142" s="171"/>
      <c r="F4142" s="172"/>
      <c r="G4142" s="173"/>
      <c r="H4142" s="174"/>
      <c r="I4142" s="175"/>
      <c r="J4142" s="172"/>
      <c r="K4142" s="176"/>
      <c r="L4142" s="176"/>
      <c r="M4142" s="176"/>
      <c r="N4142" s="177"/>
      <c r="O4142" s="177"/>
      <c r="P4142" s="178"/>
      <c r="Q4142" s="177"/>
      <c r="R4142" s="170"/>
      <c r="S4142" s="170"/>
      <c r="T4142" s="179"/>
      <c r="U4142" s="179"/>
      <c r="V4142" s="179"/>
      <c r="W4142" s="180"/>
      <c r="X4142" s="181"/>
      <c r="Y4142" s="182"/>
      <c r="Z4142" s="182"/>
      <c r="AA4142" s="182"/>
      <c r="AB4142" s="182"/>
      <c r="AC4142" s="183"/>
      <c r="AD4142" s="183"/>
      <c r="AE4142" s="183"/>
      <c r="AF4142" s="184"/>
      <c r="AG4142" s="180"/>
      <c r="AH4142" s="185"/>
      <c r="AI4142" s="182"/>
      <c r="AJ4142" s="182"/>
      <c r="AK4142" s="182"/>
      <c r="AL4142" s="182"/>
    </row>
    <row r="4143" ht="20.25" customHeight="1">
      <c r="A4143" s="169"/>
      <c r="B4143" s="170"/>
      <c r="C4143" s="170"/>
      <c r="D4143" s="170"/>
      <c r="E4143" s="171"/>
      <c r="F4143" s="172"/>
      <c r="G4143" s="173"/>
      <c r="H4143" s="174"/>
      <c r="I4143" s="175"/>
      <c r="J4143" s="172"/>
      <c r="K4143" s="176"/>
      <c r="L4143" s="176"/>
      <c r="M4143" s="176"/>
      <c r="N4143" s="177"/>
      <c r="O4143" s="177"/>
      <c r="P4143" s="178"/>
      <c r="Q4143" s="177"/>
      <c r="R4143" s="170"/>
      <c r="S4143" s="170"/>
      <c r="T4143" s="179"/>
      <c r="U4143" s="179"/>
      <c r="V4143" s="179"/>
      <c r="W4143" s="180"/>
      <c r="X4143" s="181"/>
      <c r="Y4143" s="182"/>
      <c r="Z4143" s="182"/>
      <c r="AA4143" s="182"/>
      <c r="AB4143" s="182"/>
      <c r="AC4143" s="183"/>
      <c r="AD4143" s="183"/>
      <c r="AE4143" s="183"/>
      <c r="AF4143" s="184"/>
      <c r="AG4143" s="180"/>
      <c r="AH4143" s="185"/>
      <c r="AI4143" s="182"/>
      <c r="AJ4143" s="182"/>
      <c r="AK4143" s="182"/>
      <c r="AL4143" s="182"/>
    </row>
    <row r="4144" ht="20.25" customHeight="1">
      <c r="A4144" s="169"/>
      <c r="B4144" s="170"/>
      <c r="C4144" s="170"/>
      <c r="D4144" s="170"/>
      <c r="E4144" s="171"/>
      <c r="F4144" s="172"/>
      <c r="G4144" s="173"/>
      <c r="H4144" s="174"/>
      <c r="I4144" s="175"/>
      <c r="J4144" s="172"/>
      <c r="K4144" s="176"/>
      <c r="L4144" s="176"/>
      <c r="M4144" s="176"/>
      <c r="N4144" s="177"/>
      <c r="O4144" s="177"/>
      <c r="P4144" s="178"/>
      <c r="Q4144" s="177"/>
      <c r="R4144" s="170"/>
      <c r="S4144" s="170"/>
      <c r="T4144" s="179"/>
      <c r="U4144" s="179"/>
      <c r="V4144" s="179"/>
      <c r="W4144" s="180"/>
      <c r="X4144" s="181"/>
      <c r="Y4144" s="182"/>
      <c r="Z4144" s="182"/>
      <c r="AA4144" s="182"/>
      <c r="AB4144" s="182"/>
      <c r="AC4144" s="183"/>
      <c r="AD4144" s="183"/>
      <c r="AE4144" s="183"/>
      <c r="AF4144" s="184"/>
      <c r="AG4144" s="180"/>
      <c r="AH4144" s="185"/>
      <c r="AI4144" s="182"/>
      <c r="AJ4144" s="182"/>
      <c r="AK4144" s="182"/>
      <c r="AL4144" s="182"/>
    </row>
    <row r="4145" ht="20.25" customHeight="1">
      <c r="A4145" s="169"/>
      <c r="B4145" s="170"/>
      <c r="C4145" s="170"/>
      <c r="D4145" s="170"/>
      <c r="E4145" s="171"/>
      <c r="F4145" s="172"/>
      <c r="G4145" s="173"/>
      <c r="H4145" s="174"/>
      <c r="I4145" s="175"/>
      <c r="J4145" s="172"/>
      <c r="K4145" s="176"/>
      <c r="L4145" s="176"/>
      <c r="M4145" s="176"/>
      <c r="N4145" s="177"/>
      <c r="O4145" s="177"/>
      <c r="P4145" s="178"/>
      <c r="Q4145" s="177"/>
      <c r="R4145" s="170"/>
      <c r="S4145" s="170"/>
      <c r="T4145" s="179"/>
      <c r="U4145" s="179"/>
      <c r="V4145" s="179"/>
      <c r="W4145" s="180"/>
      <c r="X4145" s="181"/>
      <c r="Y4145" s="182"/>
      <c r="Z4145" s="182"/>
      <c r="AA4145" s="182"/>
      <c r="AB4145" s="182"/>
      <c r="AC4145" s="183"/>
      <c r="AD4145" s="183"/>
      <c r="AE4145" s="183"/>
      <c r="AF4145" s="184"/>
      <c r="AG4145" s="180"/>
      <c r="AH4145" s="185"/>
      <c r="AI4145" s="182"/>
      <c r="AJ4145" s="182"/>
      <c r="AK4145" s="182"/>
      <c r="AL4145" s="182"/>
    </row>
    <row r="4146" ht="20.25" customHeight="1">
      <c r="A4146" s="169"/>
      <c r="B4146" s="170"/>
      <c r="C4146" s="170"/>
      <c r="D4146" s="170"/>
      <c r="E4146" s="171"/>
      <c r="F4146" s="172"/>
      <c r="G4146" s="173"/>
      <c r="H4146" s="174"/>
      <c r="I4146" s="175"/>
      <c r="J4146" s="172"/>
      <c r="K4146" s="176"/>
      <c r="L4146" s="176"/>
      <c r="M4146" s="176"/>
      <c r="N4146" s="177"/>
      <c r="O4146" s="177"/>
      <c r="P4146" s="178"/>
      <c r="Q4146" s="177"/>
      <c r="R4146" s="170"/>
      <c r="S4146" s="170"/>
      <c r="T4146" s="179"/>
      <c r="U4146" s="179"/>
      <c r="V4146" s="179"/>
      <c r="W4146" s="180"/>
      <c r="X4146" s="181"/>
      <c r="Y4146" s="182"/>
      <c r="Z4146" s="182"/>
      <c r="AA4146" s="182"/>
      <c r="AB4146" s="182"/>
      <c r="AC4146" s="183"/>
      <c r="AD4146" s="183"/>
      <c r="AE4146" s="183"/>
      <c r="AF4146" s="184"/>
      <c r="AG4146" s="180"/>
      <c r="AH4146" s="185"/>
      <c r="AI4146" s="182"/>
      <c r="AJ4146" s="182"/>
      <c r="AK4146" s="182"/>
      <c r="AL4146" s="182"/>
    </row>
    <row r="4147" ht="20.25" customHeight="1">
      <c r="A4147" s="169"/>
      <c r="B4147" s="170"/>
      <c r="C4147" s="170"/>
      <c r="D4147" s="170"/>
      <c r="E4147" s="171"/>
      <c r="F4147" s="172"/>
      <c r="G4147" s="173"/>
      <c r="H4147" s="174"/>
      <c r="I4147" s="175"/>
      <c r="J4147" s="172"/>
      <c r="K4147" s="176"/>
      <c r="L4147" s="176"/>
      <c r="M4147" s="176"/>
      <c r="N4147" s="177"/>
      <c r="O4147" s="177"/>
      <c r="P4147" s="178"/>
      <c r="Q4147" s="177"/>
      <c r="R4147" s="170"/>
      <c r="S4147" s="170"/>
      <c r="T4147" s="179"/>
      <c r="U4147" s="179"/>
      <c r="V4147" s="179"/>
      <c r="W4147" s="180"/>
      <c r="X4147" s="181"/>
      <c r="Y4147" s="182"/>
      <c r="Z4147" s="182"/>
      <c r="AA4147" s="182"/>
      <c r="AB4147" s="182"/>
      <c r="AC4147" s="183"/>
      <c r="AD4147" s="183"/>
      <c r="AE4147" s="183"/>
      <c r="AF4147" s="184"/>
      <c r="AG4147" s="180"/>
      <c r="AH4147" s="185"/>
      <c r="AI4147" s="182"/>
      <c r="AJ4147" s="182"/>
      <c r="AK4147" s="182"/>
      <c r="AL4147" s="182"/>
    </row>
    <row r="4148" ht="20.25" customHeight="1">
      <c r="A4148" s="169"/>
      <c r="B4148" s="170"/>
      <c r="C4148" s="170"/>
      <c r="D4148" s="170"/>
      <c r="E4148" s="171"/>
      <c r="F4148" s="172"/>
      <c r="G4148" s="173"/>
      <c r="H4148" s="174"/>
      <c r="I4148" s="175"/>
      <c r="J4148" s="172"/>
      <c r="K4148" s="176"/>
      <c r="L4148" s="176"/>
      <c r="M4148" s="176"/>
      <c r="N4148" s="177"/>
      <c r="O4148" s="177"/>
      <c r="P4148" s="178"/>
      <c r="Q4148" s="177"/>
      <c r="R4148" s="170"/>
      <c r="S4148" s="170"/>
      <c r="T4148" s="179"/>
      <c r="U4148" s="179"/>
      <c r="V4148" s="179"/>
      <c r="W4148" s="180"/>
      <c r="X4148" s="181"/>
      <c r="Y4148" s="182"/>
      <c r="Z4148" s="182"/>
      <c r="AA4148" s="182"/>
      <c r="AB4148" s="182"/>
      <c r="AC4148" s="183"/>
      <c r="AD4148" s="183"/>
      <c r="AE4148" s="183"/>
      <c r="AF4148" s="184"/>
      <c r="AG4148" s="180"/>
      <c r="AH4148" s="185"/>
      <c r="AI4148" s="182"/>
      <c r="AJ4148" s="182"/>
      <c r="AK4148" s="182"/>
      <c r="AL4148" s="182"/>
    </row>
    <row r="4149" ht="20.25" customHeight="1">
      <c r="A4149" s="169"/>
      <c r="B4149" s="170"/>
      <c r="C4149" s="170"/>
      <c r="D4149" s="170"/>
      <c r="E4149" s="171"/>
      <c r="F4149" s="172"/>
      <c r="G4149" s="173"/>
      <c r="H4149" s="174"/>
      <c r="I4149" s="175"/>
      <c r="J4149" s="172"/>
      <c r="K4149" s="176"/>
      <c r="L4149" s="176"/>
      <c r="M4149" s="176"/>
      <c r="N4149" s="177"/>
      <c r="O4149" s="177"/>
      <c r="P4149" s="178"/>
      <c r="Q4149" s="177"/>
      <c r="R4149" s="170"/>
      <c r="S4149" s="170"/>
      <c r="T4149" s="179"/>
      <c r="U4149" s="179"/>
      <c r="V4149" s="179"/>
      <c r="W4149" s="180"/>
      <c r="X4149" s="181"/>
      <c r="Y4149" s="182"/>
      <c r="Z4149" s="182"/>
      <c r="AA4149" s="182"/>
      <c r="AB4149" s="182"/>
      <c r="AC4149" s="183"/>
      <c r="AD4149" s="183"/>
      <c r="AE4149" s="183"/>
      <c r="AF4149" s="184"/>
      <c r="AG4149" s="180"/>
      <c r="AH4149" s="185"/>
      <c r="AI4149" s="182"/>
      <c r="AJ4149" s="182"/>
      <c r="AK4149" s="182"/>
      <c r="AL4149" s="182"/>
    </row>
    <row r="4150" ht="20.25" customHeight="1">
      <c r="A4150" s="169"/>
      <c r="B4150" s="170"/>
      <c r="C4150" s="170"/>
      <c r="D4150" s="170"/>
      <c r="E4150" s="171"/>
      <c r="F4150" s="172"/>
      <c r="G4150" s="173"/>
      <c r="H4150" s="174"/>
      <c r="I4150" s="175"/>
      <c r="J4150" s="172"/>
      <c r="K4150" s="176"/>
      <c r="L4150" s="176"/>
      <c r="M4150" s="176"/>
      <c r="N4150" s="177"/>
      <c r="O4150" s="177"/>
      <c r="P4150" s="178"/>
      <c r="Q4150" s="177"/>
      <c r="R4150" s="170"/>
      <c r="S4150" s="170"/>
      <c r="T4150" s="179"/>
      <c r="U4150" s="179"/>
      <c r="V4150" s="179"/>
      <c r="W4150" s="180"/>
      <c r="X4150" s="181"/>
      <c r="Y4150" s="182"/>
      <c r="Z4150" s="182"/>
      <c r="AA4150" s="182"/>
      <c r="AB4150" s="182"/>
      <c r="AC4150" s="183"/>
      <c r="AD4150" s="183"/>
      <c r="AE4150" s="183"/>
      <c r="AF4150" s="184"/>
      <c r="AG4150" s="180"/>
      <c r="AH4150" s="185"/>
      <c r="AI4150" s="182"/>
      <c r="AJ4150" s="182"/>
      <c r="AK4150" s="182"/>
      <c r="AL4150" s="182"/>
    </row>
    <row r="4151" ht="20.25" customHeight="1">
      <c r="A4151" s="169"/>
      <c r="B4151" s="170"/>
      <c r="C4151" s="170"/>
      <c r="D4151" s="170"/>
      <c r="E4151" s="171"/>
      <c r="F4151" s="172"/>
      <c r="G4151" s="173"/>
      <c r="H4151" s="174"/>
      <c r="I4151" s="175"/>
      <c r="J4151" s="172"/>
      <c r="K4151" s="176"/>
      <c r="L4151" s="176"/>
      <c r="M4151" s="176"/>
      <c r="N4151" s="177"/>
      <c r="O4151" s="177"/>
      <c r="P4151" s="178"/>
      <c r="Q4151" s="177"/>
      <c r="R4151" s="170"/>
      <c r="S4151" s="170"/>
      <c r="T4151" s="179"/>
      <c r="U4151" s="179"/>
      <c r="V4151" s="179"/>
      <c r="W4151" s="180"/>
      <c r="X4151" s="181"/>
      <c r="Y4151" s="182"/>
      <c r="Z4151" s="182"/>
      <c r="AA4151" s="182"/>
      <c r="AB4151" s="182"/>
      <c r="AC4151" s="183"/>
      <c r="AD4151" s="183"/>
      <c r="AE4151" s="183"/>
      <c r="AF4151" s="184"/>
      <c r="AG4151" s="180"/>
      <c r="AH4151" s="185"/>
      <c r="AI4151" s="182"/>
      <c r="AJ4151" s="182"/>
      <c r="AK4151" s="182"/>
      <c r="AL4151" s="182"/>
    </row>
    <row r="4152" ht="20.25" customHeight="1">
      <c r="A4152" s="169"/>
      <c r="B4152" s="170"/>
      <c r="C4152" s="170"/>
      <c r="D4152" s="170"/>
      <c r="E4152" s="171"/>
      <c r="F4152" s="172"/>
      <c r="G4152" s="173"/>
      <c r="H4152" s="174"/>
      <c r="I4152" s="175"/>
      <c r="J4152" s="172"/>
      <c r="K4152" s="176"/>
      <c r="L4152" s="176"/>
      <c r="M4152" s="176"/>
      <c r="N4152" s="177"/>
      <c r="O4152" s="177"/>
      <c r="P4152" s="178"/>
      <c r="Q4152" s="177"/>
      <c r="R4152" s="170"/>
      <c r="S4152" s="170"/>
      <c r="T4152" s="179"/>
      <c r="U4152" s="179"/>
      <c r="V4152" s="179"/>
      <c r="W4152" s="180"/>
      <c r="X4152" s="181"/>
      <c r="Y4152" s="182"/>
      <c r="Z4152" s="182"/>
      <c r="AA4152" s="182"/>
      <c r="AB4152" s="182"/>
      <c r="AC4152" s="183"/>
      <c r="AD4152" s="183"/>
      <c r="AE4152" s="183"/>
      <c r="AF4152" s="184"/>
      <c r="AG4152" s="180"/>
      <c r="AH4152" s="185"/>
      <c r="AI4152" s="182"/>
      <c r="AJ4152" s="182"/>
      <c r="AK4152" s="182"/>
      <c r="AL4152" s="182"/>
    </row>
    <row r="4153" ht="20.25" customHeight="1">
      <c r="A4153" s="169"/>
      <c r="B4153" s="170"/>
      <c r="C4153" s="170"/>
      <c r="D4153" s="170"/>
      <c r="E4153" s="171"/>
      <c r="F4153" s="172"/>
      <c r="G4153" s="173"/>
      <c r="H4153" s="174"/>
      <c r="I4153" s="175"/>
      <c r="J4153" s="172"/>
      <c r="K4153" s="176"/>
      <c r="L4153" s="176"/>
      <c r="M4153" s="176"/>
      <c r="N4153" s="177"/>
      <c r="O4153" s="177"/>
      <c r="P4153" s="178"/>
      <c r="Q4153" s="177"/>
      <c r="R4153" s="170"/>
      <c r="S4153" s="170"/>
      <c r="T4153" s="179"/>
      <c r="U4153" s="179"/>
      <c r="V4153" s="179"/>
      <c r="W4153" s="180"/>
      <c r="X4153" s="181"/>
      <c r="Y4153" s="182"/>
      <c r="Z4153" s="182"/>
      <c r="AA4153" s="182"/>
      <c r="AB4153" s="182"/>
      <c r="AC4153" s="183"/>
      <c r="AD4153" s="183"/>
      <c r="AE4153" s="183"/>
      <c r="AF4153" s="184"/>
      <c r="AG4153" s="180"/>
      <c r="AH4153" s="185"/>
      <c r="AI4153" s="182"/>
      <c r="AJ4153" s="182"/>
      <c r="AK4153" s="182"/>
      <c r="AL4153" s="182"/>
    </row>
    <row r="4154" ht="20.25" customHeight="1">
      <c r="A4154" s="169"/>
      <c r="B4154" s="170"/>
      <c r="C4154" s="170"/>
      <c r="D4154" s="170"/>
      <c r="E4154" s="171"/>
      <c r="F4154" s="172"/>
      <c r="G4154" s="173"/>
      <c r="H4154" s="174"/>
      <c r="I4154" s="175"/>
      <c r="J4154" s="172"/>
      <c r="K4154" s="176"/>
      <c r="L4154" s="176"/>
      <c r="M4154" s="176"/>
      <c r="N4154" s="177"/>
      <c r="O4154" s="177"/>
      <c r="P4154" s="178"/>
      <c r="Q4154" s="177"/>
      <c r="R4154" s="170"/>
      <c r="S4154" s="170"/>
      <c r="T4154" s="179"/>
      <c r="U4154" s="179"/>
      <c r="V4154" s="179"/>
      <c r="W4154" s="180"/>
      <c r="X4154" s="181"/>
      <c r="Y4154" s="182"/>
      <c r="Z4154" s="182"/>
      <c r="AA4154" s="182"/>
      <c r="AB4154" s="182"/>
      <c r="AC4154" s="183"/>
      <c r="AD4154" s="183"/>
      <c r="AE4154" s="183"/>
      <c r="AF4154" s="184"/>
      <c r="AG4154" s="180"/>
      <c r="AH4154" s="185"/>
      <c r="AI4154" s="182"/>
      <c r="AJ4154" s="182"/>
      <c r="AK4154" s="182"/>
      <c r="AL4154" s="182"/>
    </row>
    <row r="4155" ht="20.25" customHeight="1">
      <c r="A4155" s="169"/>
      <c r="B4155" s="170"/>
      <c r="C4155" s="170"/>
      <c r="D4155" s="170"/>
      <c r="E4155" s="171"/>
      <c r="F4155" s="172"/>
      <c r="G4155" s="173"/>
      <c r="H4155" s="174"/>
      <c r="I4155" s="175"/>
      <c r="J4155" s="172"/>
      <c r="K4155" s="176"/>
      <c r="L4155" s="176"/>
      <c r="M4155" s="176"/>
      <c r="N4155" s="177"/>
      <c r="O4155" s="177"/>
      <c r="P4155" s="178"/>
      <c r="Q4155" s="177"/>
      <c r="R4155" s="170"/>
      <c r="S4155" s="170"/>
      <c r="T4155" s="179"/>
      <c r="U4155" s="179"/>
      <c r="V4155" s="179"/>
      <c r="W4155" s="180"/>
      <c r="X4155" s="181"/>
      <c r="Y4155" s="182"/>
      <c r="Z4155" s="182"/>
      <c r="AA4155" s="182"/>
      <c r="AB4155" s="182"/>
      <c r="AC4155" s="183"/>
      <c r="AD4155" s="183"/>
      <c r="AE4155" s="183"/>
      <c r="AF4155" s="184"/>
      <c r="AG4155" s="180"/>
      <c r="AH4155" s="185"/>
      <c r="AI4155" s="182"/>
      <c r="AJ4155" s="182"/>
      <c r="AK4155" s="182"/>
      <c r="AL4155" s="182"/>
    </row>
    <row r="4156" ht="20.25" customHeight="1">
      <c r="A4156" s="169"/>
      <c r="B4156" s="170"/>
      <c r="C4156" s="170"/>
      <c r="D4156" s="170"/>
      <c r="E4156" s="171"/>
      <c r="F4156" s="172"/>
      <c r="G4156" s="173"/>
      <c r="H4156" s="174"/>
      <c r="I4156" s="175"/>
      <c r="J4156" s="172"/>
      <c r="K4156" s="176"/>
      <c r="L4156" s="176"/>
      <c r="M4156" s="176"/>
      <c r="N4156" s="177"/>
      <c r="O4156" s="177"/>
      <c r="P4156" s="178"/>
      <c r="Q4156" s="177"/>
      <c r="R4156" s="170"/>
      <c r="S4156" s="170"/>
      <c r="T4156" s="179"/>
      <c r="U4156" s="179"/>
      <c r="V4156" s="179"/>
      <c r="W4156" s="180"/>
      <c r="X4156" s="181"/>
      <c r="Y4156" s="182"/>
      <c r="Z4156" s="182"/>
      <c r="AA4156" s="182"/>
      <c r="AB4156" s="182"/>
      <c r="AC4156" s="183"/>
      <c r="AD4156" s="183"/>
      <c r="AE4156" s="183"/>
      <c r="AF4156" s="184"/>
      <c r="AG4156" s="180"/>
      <c r="AH4156" s="185"/>
      <c r="AI4156" s="182"/>
      <c r="AJ4156" s="182"/>
      <c r="AK4156" s="182"/>
      <c r="AL4156" s="182"/>
    </row>
    <row r="4157" ht="20.25" customHeight="1">
      <c r="A4157" s="169"/>
      <c r="B4157" s="170"/>
      <c r="C4157" s="170"/>
      <c r="D4157" s="170"/>
      <c r="E4157" s="171"/>
      <c r="F4157" s="172"/>
      <c r="G4157" s="173"/>
      <c r="H4157" s="174"/>
      <c r="I4157" s="175"/>
      <c r="J4157" s="172"/>
      <c r="K4157" s="176"/>
      <c r="L4157" s="176"/>
      <c r="M4157" s="176"/>
      <c r="N4157" s="177"/>
      <c r="O4157" s="177"/>
      <c r="P4157" s="178"/>
      <c r="Q4157" s="177"/>
      <c r="R4157" s="170"/>
      <c r="S4157" s="170"/>
      <c r="T4157" s="179"/>
      <c r="U4157" s="179"/>
      <c r="V4157" s="179"/>
      <c r="W4157" s="180"/>
      <c r="X4157" s="181"/>
      <c r="Y4157" s="182"/>
      <c r="Z4157" s="182"/>
      <c r="AA4157" s="182"/>
      <c r="AB4157" s="182"/>
      <c r="AC4157" s="183"/>
      <c r="AD4157" s="183"/>
      <c r="AE4157" s="183"/>
      <c r="AF4157" s="184"/>
      <c r="AG4157" s="180"/>
      <c r="AH4157" s="185"/>
      <c r="AI4157" s="182"/>
      <c r="AJ4157" s="182"/>
      <c r="AK4157" s="182"/>
      <c r="AL4157" s="182"/>
    </row>
    <row r="4158" ht="20.25" customHeight="1">
      <c r="A4158" s="169"/>
      <c r="B4158" s="170"/>
      <c r="C4158" s="170"/>
      <c r="D4158" s="170"/>
      <c r="E4158" s="171"/>
      <c r="F4158" s="172"/>
      <c r="G4158" s="173"/>
      <c r="H4158" s="174"/>
      <c r="I4158" s="175"/>
      <c r="J4158" s="172"/>
      <c r="K4158" s="176"/>
      <c r="L4158" s="176"/>
      <c r="M4158" s="176"/>
      <c r="N4158" s="177"/>
      <c r="O4158" s="177"/>
      <c r="P4158" s="178"/>
      <c r="Q4158" s="177"/>
      <c r="R4158" s="170"/>
      <c r="S4158" s="170"/>
      <c r="T4158" s="179"/>
      <c r="U4158" s="179"/>
      <c r="V4158" s="179"/>
      <c r="W4158" s="180"/>
      <c r="X4158" s="181"/>
      <c r="Y4158" s="182"/>
      <c r="Z4158" s="182"/>
      <c r="AA4158" s="182"/>
      <c r="AB4158" s="182"/>
      <c r="AC4158" s="183"/>
      <c r="AD4158" s="183"/>
      <c r="AE4158" s="183"/>
      <c r="AF4158" s="184"/>
      <c r="AG4158" s="180"/>
      <c r="AH4158" s="185"/>
      <c r="AI4158" s="182"/>
      <c r="AJ4158" s="182"/>
      <c r="AK4158" s="182"/>
      <c r="AL4158" s="182"/>
    </row>
    <row r="4159" ht="20.25" customHeight="1">
      <c r="A4159" s="169"/>
      <c r="B4159" s="170"/>
      <c r="C4159" s="170"/>
      <c r="D4159" s="170"/>
      <c r="E4159" s="171"/>
      <c r="F4159" s="172"/>
      <c r="G4159" s="173"/>
      <c r="H4159" s="174"/>
      <c r="I4159" s="175"/>
      <c r="J4159" s="172"/>
      <c r="K4159" s="176"/>
      <c r="L4159" s="176"/>
      <c r="M4159" s="176"/>
      <c r="N4159" s="177"/>
      <c r="O4159" s="177"/>
      <c r="P4159" s="178"/>
      <c r="Q4159" s="177"/>
      <c r="R4159" s="170"/>
      <c r="S4159" s="170"/>
      <c r="T4159" s="179"/>
      <c r="U4159" s="179"/>
      <c r="V4159" s="179"/>
      <c r="W4159" s="180"/>
      <c r="X4159" s="181"/>
      <c r="Y4159" s="182"/>
      <c r="Z4159" s="182"/>
      <c r="AA4159" s="182"/>
      <c r="AB4159" s="182"/>
      <c r="AC4159" s="183"/>
      <c r="AD4159" s="183"/>
      <c r="AE4159" s="183"/>
      <c r="AF4159" s="184"/>
      <c r="AG4159" s="180"/>
      <c r="AH4159" s="185"/>
      <c r="AI4159" s="182"/>
      <c r="AJ4159" s="182"/>
      <c r="AK4159" s="182"/>
      <c r="AL4159" s="182"/>
    </row>
    <row r="4160" ht="20.25" customHeight="1">
      <c r="A4160" s="169"/>
      <c r="B4160" s="170"/>
      <c r="C4160" s="170"/>
      <c r="D4160" s="170"/>
      <c r="E4160" s="171"/>
      <c r="F4160" s="172"/>
      <c r="G4160" s="173"/>
      <c r="H4160" s="174"/>
      <c r="I4160" s="175"/>
      <c r="J4160" s="172"/>
      <c r="K4160" s="176"/>
      <c r="L4160" s="176"/>
      <c r="M4160" s="176"/>
      <c r="N4160" s="177"/>
      <c r="O4160" s="177"/>
      <c r="P4160" s="178"/>
      <c r="Q4160" s="177"/>
      <c r="R4160" s="170"/>
      <c r="S4160" s="170"/>
      <c r="T4160" s="179"/>
      <c r="U4160" s="179"/>
      <c r="V4160" s="179"/>
      <c r="W4160" s="180"/>
      <c r="X4160" s="181"/>
      <c r="Y4160" s="182"/>
      <c r="Z4160" s="182"/>
      <c r="AA4160" s="182"/>
      <c r="AB4160" s="182"/>
      <c r="AC4160" s="183"/>
      <c r="AD4160" s="183"/>
      <c r="AE4160" s="183"/>
      <c r="AF4160" s="184"/>
      <c r="AG4160" s="180"/>
      <c r="AH4160" s="185"/>
      <c r="AI4160" s="182"/>
      <c r="AJ4160" s="182"/>
      <c r="AK4160" s="182"/>
      <c r="AL4160" s="182"/>
    </row>
    <row r="4161" ht="20.25" customHeight="1">
      <c r="A4161" s="169"/>
      <c r="B4161" s="170"/>
      <c r="C4161" s="170"/>
      <c r="D4161" s="170"/>
      <c r="E4161" s="171"/>
      <c r="F4161" s="172"/>
      <c r="G4161" s="173"/>
      <c r="H4161" s="174"/>
      <c r="I4161" s="175"/>
      <c r="J4161" s="172"/>
      <c r="K4161" s="176"/>
      <c r="L4161" s="176"/>
      <c r="M4161" s="176"/>
      <c r="N4161" s="177"/>
      <c r="O4161" s="177"/>
      <c r="P4161" s="178"/>
      <c r="Q4161" s="177"/>
      <c r="R4161" s="170"/>
      <c r="S4161" s="170"/>
      <c r="T4161" s="179"/>
      <c r="U4161" s="179"/>
      <c r="V4161" s="179"/>
      <c r="W4161" s="180"/>
      <c r="X4161" s="181"/>
      <c r="Y4161" s="182"/>
      <c r="Z4161" s="182"/>
      <c r="AA4161" s="182"/>
      <c r="AB4161" s="182"/>
      <c r="AC4161" s="183"/>
      <c r="AD4161" s="183"/>
      <c r="AE4161" s="183"/>
      <c r="AF4161" s="184"/>
      <c r="AG4161" s="180"/>
      <c r="AH4161" s="185"/>
      <c r="AI4161" s="182"/>
      <c r="AJ4161" s="182"/>
      <c r="AK4161" s="182"/>
      <c r="AL4161" s="182"/>
    </row>
    <row r="4162" ht="20.25" customHeight="1">
      <c r="A4162" s="169"/>
      <c r="B4162" s="170"/>
      <c r="C4162" s="170"/>
      <c r="D4162" s="170"/>
      <c r="E4162" s="171"/>
      <c r="F4162" s="172"/>
      <c r="G4162" s="173"/>
      <c r="H4162" s="174"/>
      <c r="I4162" s="175"/>
      <c r="J4162" s="172"/>
      <c r="K4162" s="176"/>
      <c r="L4162" s="176"/>
      <c r="M4162" s="176"/>
      <c r="N4162" s="177"/>
      <c r="O4162" s="177"/>
      <c r="P4162" s="178"/>
      <c r="Q4162" s="177"/>
      <c r="R4162" s="170"/>
      <c r="S4162" s="170"/>
      <c r="T4162" s="179"/>
      <c r="U4162" s="179"/>
      <c r="V4162" s="179"/>
      <c r="W4162" s="180"/>
      <c r="X4162" s="181"/>
      <c r="Y4162" s="182"/>
      <c r="Z4162" s="182"/>
      <c r="AA4162" s="182"/>
      <c r="AB4162" s="182"/>
      <c r="AC4162" s="183"/>
      <c r="AD4162" s="183"/>
      <c r="AE4162" s="183"/>
      <c r="AF4162" s="184"/>
      <c r="AG4162" s="180"/>
      <c r="AH4162" s="185"/>
      <c r="AI4162" s="182"/>
      <c r="AJ4162" s="182"/>
      <c r="AK4162" s="182"/>
      <c r="AL4162" s="182"/>
    </row>
    <row r="4163" ht="20.25" customHeight="1">
      <c r="A4163" s="169"/>
      <c r="B4163" s="170"/>
      <c r="C4163" s="170"/>
      <c r="D4163" s="170"/>
      <c r="E4163" s="171"/>
      <c r="F4163" s="172"/>
      <c r="G4163" s="173"/>
      <c r="H4163" s="174"/>
      <c r="I4163" s="175"/>
      <c r="J4163" s="172"/>
      <c r="K4163" s="176"/>
      <c r="L4163" s="176"/>
      <c r="M4163" s="176"/>
      <c r="N4163" s="177"/>
      <c r="O4163" s="177"/>
      <c r="P4163" s="178"/>
      <c r="Q4163" s="177"/>
      <c r="R4163" s="170"/>
      <c r="S4163" s="170"/>
      <c r="T4163" s="179"/>
      <c r="U4163" s="179"/>
      <c r="V4163" s="179"/>
      <c r="W4163" s="180"/>
      <c r="X4163" s="181"/>
      <c r="Y4163" s="182"/>
      <c r="Z4163" s="182"/>
      <c r="AA4163" s="182"/>
      <c r="AB4163" s="182"/>
      <c r="AC4163" s="183"/>
      <c r="AD4163" s="183"/>
      <c r="AE4163" s="183"/>
      <c r="AF4163" s="184"/>
      <c r="AG4163" s="180"/>
      <c r="AH4163" s="185"/>
      <c r="AI4163" s="182"/>
      <c r="AJ4163" s="182"/>
      <c r="AK4163" s="182"/>
      <c r="AL4163" s="182"/>
    </row>
    <row r="4164" ht="20.25" customHeight="1">
      <c r="A4164" s="169"/>
      <c r="B4164" s="170"/>
      <c r="C4164" s="170"/>
      <c r="D4164" s="170"/>
      <c r="E4164" s="171"/>
      <c r="F4164" s="172"/>
      <c r="G4164" s="173"/>
      <c r="H4164" s="174"/>
      <c r="I4164" s="175"/>
      <c r="J4164" s="172"/>
      <c r="K4164" s="176"/>
      <c r="L4164" s="176"/>
      <c r="M4164" s="176"/>
      <c r="N4164" s="177"/>
      <c r="O4164" s="177"/>
      <c r="P4164" s="178"/>
      <c r="Q4164" s="177"/>
      <c r="R4164" s="170"/>
      <c r="S4164" s="170"/>
      <c r="T4164" s="179"/>
      <c r="U4164" s="179"/>
      <c r="V4164" s="179"/>
      <c r="W4164" s="180"/>
      <c r="X4164" s="181"/>
      <c r="Y4164" s="182"/>
      <c r="Z4164" s="182"/>
      <c r="AA4164" s="182"/>
      <c r="AB4164" s="182"/>
      <c r="AC4164" s="183"/>
      <c r="AD4164" s="183"/>
      <c r="AE4164" s="183"/>
      <c r="AF4164" s="184"/>
      <c r="AG4164" s="180"/>
      <c r="AH4164" s="185"/>
      <c r="AI4164" s="182"/>
      <c r="AJ4164" s="182"/>
      <c r="AK4164" s="182"/>
      <c r="AL4164" s="182"/>
    </row>
    <row r="4165" ht="20.25" customHeight="1">
      <c r="A4165" s="169"/>
      <c r="B4165" s="170"/>
      <c r="C4165" s="170"/>
      <c r="D4165" s="170"/>
      <c r="E4165" s="171"/>
      <c r="F4165" s="172"/>
      <c r="G4165" s="173"/>
      <c r="H4165" s="174"/>
      <c r="I4165" s="175"/>
      <c r="J4165" s="172"/>
      <c r="K4165" s="176"/>
      <c r="L4165" s="176"/>
      <c r="M4165" s="176"/>
      <c r="N4165" s="177"/>
      <c r="O4165" s="177"/>
      <c r="P4165" s="178"/>
      <c r="Q4165" s="177"/>
      <c r="R4165" s="170"/>
      <c r="S4165" s="170"/>
      <c r="T4165" s="179"/>
      <c r="U4165" s="179"/>
      <c r="V4165" s="179"/>
      <c r="W4165" s="180"/>
      <c r="X4165" s="181"/>
      <c r="Y4165" s="182"/>
      <c r="Z4165" s="182"/>
      <c r="AA4165" s="182"/>
      <c r="AB4165" s="182"/>
      <c r="AC4165" s="183"/>
      <c r="AD4165" s="183"/>
      <c r="AE4165" s="183"/>
      <c r="AF4165" s="184"/>
      <c r="AG4165" s="180"/>
      <c r="AH4165" s="185"/>
      <c r="AI4165" s="182"/>
      <c r="AJ4165" s="182"/>
      <c r="AK4165" s="182"/>
      <c r="AL4165" s="182"/>
    </row>
    <row r="4166" ht="20.25" customHeight="1">
      <c r="A4166" s="169"/>
      <c r="B4166" s="170"/>
      <c r="C4166" s="170"/>
      <c r="D4166" s="170"/>
      <c r="E4166" s="171"/>
      <c r="F4166" s="172"/>
      <c r="G4166" s="173"/>
      <c r="H4166" s="174"/>
      <c r="I4166" s="175"/>
      <c r="J4166" s="172"/>
      <c r="K4166" s="176"/>
      <c r="L4166" s="176"/>
      <c r="M4166" s="176"/>
      <c r="N4166" s="177"/>
      <c r="O4166" s="177"/>
      <c r="P4166" s="178"/>
      <c r="Q4166" s="177"/>
      <c r="R4166" s="170"/>
      <c r="S4166" s="170"/>
      <c r="T4166" s="179"/>
      <c r="U4166" s="179"/>
      <c r="V4166" s="179"/>
      <c r="W4166" s="180"/>
      <c r="X4166" s="181"/>
      <c r="Y4166" s="182"/>
      <c r="Z4166" s="182"/>
      <c r="AA4166" s="182"/>
      <c r="AB4166" s="182"/>
      <c r="AC4166" s="183"/>
      <c r="AD4166" s="183"/>
      <c r="AE4166" s="183"/>
      <c r="AF4166" s="184"/>
      <c r="AG4166" s="180"/>
      <c r="AH4166" s="185"/>
      <c r="AI4166" s="182"/>
      <c r="AJ4166" s="182"/>
      <c r="AK4166" s="182"/>
      <c r="AL4166" s="182"/>
    </row>
    <row r="4167" ht="20.25" customHeight="1">
      <c r="A4167" s="169"/>
      <c r="B4167" s="170"/>
      <c r="C4167" s="170"/>
      <c r="D4167" s="170"/>
      <c r="E4167" s="171"/>
      <c r="F4167" s="172"/>
      <c r="G4167" s="173"/>
      <c r="H4167" s="174"/>
      <c r="I4167" s="175"/>
      <c r="J4167" s="172"/>
      <c r="K4167" s="176"/>
      <c r="L4167" s="176"/>
      <c r="M4167" s="176"/>
      <c r="N4167" s="177"/>
      <c r="O4167" s="177"/>
      <c r="P4167" s="178"/>
      <c r="Q4167" s="177"/>
      <c r="R4167" s="170"/>
      <c r="S4167" s="170"/>
      <c r="T4167" s="179"/>
      <c r="U4167" s="179"/>
      <c r="V4167" s="179"/>
      <c r="W4167" s="180"/>
      <c r="X4167" s="181"/>
      <c r="Y4167" s="182"/>
      <c r="Z4167" s="182"/>
      <c r="AA4167" s="182"/>
      <c r="AB4167" s="182"/>
      <c r="AC4167" s="183"/>
      <c r="AD4167" s="183"/>
      <c r="AE4167" s="183"/>
      <c r="AF4167" s="184"/>
      <c r="AG4167" s="180"/>
      <c r="AH4167" s="185"/>
      <c r="AI4167" s="182"/>
      <c r="AJ4167" s="182"/>
      <c r="AK4167" s="182"/>
      <c r="AL4167" s="182"/>
    </row>
    <row r="4168" ht="20.25" customHeight="1">
      <c r="A4168" s="169"/>
      <c r="B4168" s="170"/>
      <c r="C4168" s="170"/>
      <c r="D4168" s="170"/>
      <c r="E4168" s="171"/>
      <c r="F4168" s="172"/>
      <c r="G4168" s="173"/>
      <c r="H4168" s="174"/>
      <c r="I4168" s="175"/>
      <c r="J4168" s="172"/>
      <c r="K4168" s="176"/>
      <c r="L4168" s="176"/>
      <c r="M4168" s="176"/>
      <c r="N4168" s="177"/>
      <c r="O4168" s="177"/>
      <c r="P4168" s="178"/>
      <c r="Q4168" s="177"/>
      <c r="R4168" s="170"/>
      <c r="S4168" s="170"/>
      <c r="T4168" s="179"/>
      <c r="U4168" s="179"/>
      <c r="V4168" s="179"/>
      <c r="W4168" s="180"/>
      <c r="X4168" s="181"/>
      <c r="Y4168" s="182"/>
      <c r="Z4168" s="182"/>
      <c r="AA4168" s="182"/>
      <c r="AB4168" s="182"/>
      <c r="AC4168" s="183"/>
      <c r="AD4168" s="183"/>
      <c r="AE4168" s="183"/>
      <c r="AF4168" s="184"/>
      <c r="AG4168" s="180"/>
      <c r="AH4168" s="185"/>
      <c r="AI4168" s="182"/>
      <c r="AJ4168" s="182"/>
      <c r="AK4168" s="182"/>
      <c r="AL4168" s="182"/>
    </row>
    <row r="4169" ht="20.25" customHeight="1">
      <c r="A4169" s="169"/>
      <c r="B4169" s="170"/>
      <c r="C4169" s="170"/>
      <c r="D4169" s="170"/>
      <c r="E4169" s="171"/>
      <c r="F4169" s="172"/>
      <c r="G4169" s="173"/>
      <c r="H4169" s="174"/>
      <c r="I4169" s="175"/>
      <c r="J4169" s="172"/>
      <c r="K4169" s="176"/>
      <c r="L4169" s="176"/>
      <c r="M4169" s="176"/>
      <c r="N4169" s="177"/>
      <c r="O4169" s="177"/>
      <c r="P4169" s="178"/>
      <c r="Q4169" s="177"/>
      <c r="R4169" s="170"/>
      <c r="S4169" s="170"/>
      <c r="T4169" s="179"/>
      <c r="U4169" s="179"/>
      <c r="V4169" s="179"/>
      <c r="W4169" s="180"/>
      <c r="X4169" s="181"/>
      <c r="Y4169" s="182"/>
      <c r="Z4169" s="182"/>
      <c r="AA4169" s="182"/>
      <c r="AB4169" s="182"/>
      <c r="AC4169" s="183"/>
      <c r="AD4169" s="183"/>
      <c r="AE4169" s="183"/>
      <c r="AF4169" s="184"/>
      <c r="AG4169" s="180"/>
      <c r="AH4169" s="185"/>
      <c r="AI4169" s="182"/>
      <c r="AJ4169" s="182"/>
      <c r="AK4169" s="182"/>
      <c r="AL4169" s="182"/>
    </row>
    <row r="4170" ht="20.25" customHeight="1">
      <c r="A4170" s="169"/>
      <c r="B4170" s="170"/>
      <c r="C4170" s="170"/>
      <c r="D4170" s="170"/>
      <c r="E4170" s="171"/>
      <c r="F4170" s="172"/>
      <c r="G4170" s="173"/>
      <c r="H4170" s="174"/>
      <c r="I4170" s="175"/>
      <c r="J4170" s="172"/>
      <c r="K4170" s="176"/>
      <c r="L4170" s="176"/>
      <c r="M4170" s="176"/>
      <c r="N4170" s="177"/>
      <c r="O4170" s="177"/>
      <c r="P4170" s="178"/>
      <c r="Q4170" s="177"/>
      <c r="R4170" s="170"/>
      <c r="S4170" s="170"/>
      <c r="T4170" s="179"/>
      <c r="U4170" s="179"/>
      <c r="V4170" s="179"/>
      <c r="W4170" s="180"/>
      <c r="X4170" s="181"/>
      <c r="Y4170" s="182"/>
      <c r="Z4170" s="182"/>
      <c r="AA4170" s="182"/>
      <c r="AB4170" s="182"/>
      <c r="AC4170" s="183"/>
      <c r="AD4170" s="183"/>
      <c r="AE4170" s="183"/>
      <c r="AF4170" s="184"/>
      <c r="AG4170" s="180"/>
      <c r="AH4170" s="185"/>
      <c r="AI4170" s="182"/>
      <c r="AJ4170" s="182"/>
      <c r="AK4170" s="182"/>
      <c r="AL4170" s="182"/>
    </row>
    <row r="4171" ht="20.25" customHeight="1">
      <c r="A4171" s="169"/>
      <c r="B4171" s="170"/>
      <c r="C4171" s="170"/>
      <c r="D4171" s="170"/>
      <c r="E4171" s="171"/>
      <c r="F4171" s="172"/>
      <c r="G4171" s="173"/>
      <c r="H4171" s="174"/>
      <c r="I4171" s="175"/>
      <c r="J4171" s="172"/>
      <c r="K4171" s="176"/>
      <c r="L4171" s="176"/>
      <c r="M4171" s="176"/>
      <c r="N4171" s="177"/>
      <c r="O4171" s="177"/>
      <c r="P4171" s="178"/>
      <c r="Q4171" s="177"/>
      <c r="R4171" s="170"/>
      <c r="S4171" s="170"/>
      <c r="T4171" s="179"/>
      <c r="U4171" s="179"/>
      <c r="V4171" s="179"/>
      <c r="W4171" s="180"/>
      <c r="X4171" s="181"/>
      <c r="Y4171" s="182"/>
      <c r="Z4171" s="182"/>
      <c r="AA4171" s="182"/>
      <c r="AB4171" s="182"/>
      <c r="AC4171" s="183"/>
      <c r="AD4171" s="183"/>
      <c r="AE4171" s="183"/>
      <c r="AF4171" s="184"/>
      <c r="AG4171" s="180"/>
      <c r="AH4171" s="185"/>
      <c r="AI4171" s="182"/>
      <c r="AJ4171" s="182"/>
      <c r="AK4171" s="182"/>
      <c r="AL4171" s="182"/>
    </row>
    <row r="4172" ht="20.25" customHeight="1">
      <c r="A4172" s="169"/>
      <c r="B4172" s="170"/>
      <c r="C4172" s="170"/>
      <c r="D4172" s="170"/>
      <c r="E4172" s="171"/>
      <c r="F4172" s="172"/>
      <c r="G4172" s="173"/>
      <c r="H4172" s="174"/>
      <c r="I4172" s="175"/>
      <c r="J4172" s="172"/>
      <c r="K4172" s="176"/>
      <c r="L4172" s="176"/>
      <c r="M4172" s="176"/>
      <c r="N4172" s="177"/>
      <c r="O4172" s="177"/>
      <c r="P4172" s="178"/>
      <c r="Q4172" s="177"/>
      <c r="R4172" s="170"/>
      <c r="S4172" s="170"/>
      <c r="T4172" s="179"/>
      <c r="U4172" s="179"/>
      <c r="V4172" s="179"/>
      <c r="W4172" s="180"/>
      <c r="X4172" s="181"/>
      <c r="Y4172" s="182"/>
      <c r="Z4172" s="182"/>
      <c r="AA4172" s="182"/>
      <c r="AB4172" s="182"/>
      <c r="AC4172" s="183"/>
      <c r="AD4172" s="183"/>
      <c r="AE4172" s="183"/>
      <c r="AF4172" s="184"/>
      <c r="AG4172" s="180"/>
      <c r="AH4172" s="185"/>
      <c r="AI4172" s="182"/>
      <c r="AJ4172" s="182"/>
      <c r="AK4172" s="182"/>
      <c r="AL4172" s="182"/>
    </row>
    <row r="4173" ht="20.25" customHeight="1">
      <c r="A4173" s="169"/>
      <c r="B4173" s="170"/>
      <c r="C4173" s="170"/>
      <c r="D4173" s="170"/>
      <c r="E4173" s="171"/>
      <c r="F4173" s="172"/>
      <c r="G4173" s="173"/>
      <c r="H4173" s="174"/>
      <c r="I4173" s="175"/>
      <c r="J4173" s="172"/>
      <c r="K4173" s="176"/>
      <c r="L4173" s="176"/>
      <c r="M4173" s="176"/>
      <c r="N4173" s="177"/>
      <c r="O4173" s="177"/>
      <c r="P4173" s="178"/>
      <c r="Q4173" s="177"/>
      <c r="R4173" s="170"/>
      <c r="S4173" s="170"/>
      <c r="T4173" s="179"/>
      <c r="U4173" s="179"/>
      <c r="V4173" s="179"/>
      <c r="W4173" s="180"/>
      <c r="X4173" s="181"/>
      <c r="Y4173" s="182"/>
      <c r="Z4173" s="182"/>
      <c r="AA4173" s="182"/>
      <c r="AB4173" s="182"/>
      <c r="AC4173" s="183"/>
      <c r="AD4173" s="183"/>
      <c r="AE4173" s="183"/>
      <c r="AF4173" s="184"/>
      <c r="AG4173" s="180"/>
      <c r="AH4173" s="185"/>
      <c r="AI4173" s="182"/>
      <c r="AJ4173" s="182"/>
      <c r="AK4173" s="182"/>
      <c r="AL4173" s="182"/>
    </row>
    <row r="4174" ht="20.25" customHeight="1">
      <c r="A4174" s="169"/>
      <c r="B4174" s="170"/>
      <c r="C4174" s="170"/>
      <c r="D4174" s="170"/>
      <c r="E4174" s="171"/>
      <c r="F4174" s="172"/>
      <c r="G4174" s="173"/>
      <c r="H4174" s="174"/>
      <c r="I4174" s="175"/>
      <c r="J4174" s="172"/>
      <c r="K4174" s="176"/>
      <c r="L4174" s="176"/>
      <c r="M4174" s="176"/>
      <c r="N4174" s="177"/>
      <c r="O4174" s="177"/>
      <c r="P4174" s="178"/>
      <c r="Q4174" s="177"/>
      <c r="R4174" s="170"/>
      <c r="S4174" s="170"/>
      <c r="T4174" s="179"/>
      <c r="U4174" s="179"/>
      <c r="V4174" s="179"/>
      <c r="W4174" s="180"/>
      <c r="X4174" s="181"/>
      <c r="Y4174" s="182"/>
      <c r="Z4174" s="182"/>
      <c r="AA4174" s="182"/>
      <c r="AB4174" s="182"/>
      <c r="AC4174" s="183"/>
      <c r="AD4174" s="183"/>
      <c r="AE4174" s="183"/>
      <c r="AF4174" s="184"/>
      <c r="AG4174" s="180"/>
      <c r="AH4174" s="185"/>
      <c r="AI4174" s="182"/>
      <c r="AJ4174" s="182"/>
      <c r="AK4174" s="182"/>
      <c r="AL4174" s="182"/>
    </row>
    <row r="4175" ht="20.25" customHeight="1">
      <c r="A4175" s="169"/>
      <c r="B4175" s="170"/>
      <c r="C4175" s="170"/>
      <c r="D4175" s="170"/>
      <c r="E4175" s="171"/>
      <c r="F4175" s="172"/>
      <c r="G4175" s="173"/>
      <c r="H4175" s="174"/>
      <c r="I4175" s="175"/>
      <c r="J4175" s="172"/>
      <c r="K4175" s="176"/>
      <c r="L4175" s="176"/>
      <c r="M4175" s="176"/>
      <c r="N4175" s="177"/>
      <c r="O4175" s="177"/>
      <c r="P4175" s="178"/>
      <c r="Q4175" s="177"/>
      <c r="R4175" s="170"/>
      <c r="S4175" s="170"/>
      <c r="T4175" s="179"/>
      <c r="U4175" s="179"/>
      <c r="V4175" s="179"/>
      <c r="W4175" s="180"/>
      <c r="X4175" s="181"/>
      <c r="Y4175" s="182"/>
      <c r="Z4175" s="182"/>
      <c r="AA4175" s="182"/>
      <c r="AB4175" s="182"/>
      <c r="AC4175" s="183"/>
      <c r="AD4175" s="183"/>
      <c r="AE4175" s="183"/>
      <c r="AF4175" s="184"/>
      <c r="AG4175" s="180"/>
      <c r="AH4175" s="185"/>
      <c r="AI4175" s="182"/>
      <c r="AJ4175" s="182"/>
      <c r="AK4175" s="182"/>
      <c r="AL4175" s="182"/>
    </row>
    <row r="4176" ht="20.25" customHeight="1">
      <c r="A4176" s="169"/>
      <c r="B4176" s="170"/>
      <c r="C4176" s="170"/>
      <c r="D4176" s="170"/>
      <c r="E4176" s="171"/>
      <c r="F4176" s="172"/>
      <c r="G4176" s="173"/>
      <c r="H4176" s="174"/>
      <c r="I4176" s="175"/>
      <c r="J4176" s="172"/>
      <c r="K4176" s="176"/>
      <c r="L4176" s="176"/>
      <c r="M4176" s="176"/>
      <c r="N4176" s="177"/>
      <c r="O4176" s="177"/>
      <c r="P4176" s="178"/>
      <c r="Q4176" s="177"/>
      <c r="R4176" s="170"/>
      <c r="S4176" s="170"/>
      <c r="T4176" s="179"/>
      <c r="U4176" s="179"/>
      <c r="V4176" s="179"/>
      <c r="W4176" s="180"/>
      <c r="X4176" s="181"/>
      <c r="Y4176" s="182"/>
      <c r="Z4176" s="182"/>
      <c r="AA4176" s="182"/>
      <c r="AB4176" s="182"/>
      <c r="AC4176" s="183"/>
      <c r="AD4176" s="183"/>
      <c r="AE4176" s="183"/>
      <c r="AF4176" s="184"/>
      <c r="AG4176" s="180"/>
      <c r="AH4176" s="185"/>
      <c r="AI4176" s="182"/>
      <c r="AJ4176" s="182"/>
      <c r="AK4176" s="182"/>
      <c r="AL4176" s="182"/>
    </row>
    <row r="4177" ht="20.25" customHeight="1">
      <c r="A4177" s="169"/>
      <c r="B4177" s="170"/>
      <c r="C4177" s="170"/>
      <c r="D4177" s="170"/>
      <c r="E4177" s="171"/>
      <c r="F4177" s="172"/>
      <c r="G4177" s="173"/>
      <c r="H4177" s="174"/>
      <c r="I4177" s="175"/>
      <c r="J4177" s="172"/>
      <c r="K4177" s="176"/>
      <c r="L4177" s="176"/>
      <c r="M4177" s="176"/>
      <c r="N4177" s="177"/>
      <c r="O4177" s="177"/>
      <c r="P4177" s="178"/>
      <c r="Q4177" s="177"/>
      <c r="R4177" s="170"/>
      <c r="S4177" s="170"/>
      <c r="T4177" s="179"/>
      <c r="U4177" s="179"/>
      <c r="V4177" s="179"/>
      <c r="W4177" s="180"/>
      <c r="X4177" s="181"/>
      <c r="Y4177" s="182"/>
      <c r="Z4177" s="182"/>
      <c r="AA4177" s="182"/>
      <c r="AB4177" s="182"/>
      <c r="AC4177" s="183"/>
      <c r="AD4177" s="183"/>
      <c r="AE4177" s="183"/>
      <c r="AF4177" s="184"/>
      <c r="AG4177" s="180"/>
      <c r="AH4177" s="185"/>
      <c r="AI4177" s="182"/>
      <c r="AJ4177" s="182"/>
      <c r="AK4177" s="182"/>
      <c r="AL4177" s="182"/>
    </row>
    <row r="4178" ht="20.25" customHeight="1">
      <c r="A4178" s="169"/>
      <c r="B4178" s="170"/>
      <c r="C4178" s="170"/>
      <c r="D4178" s="170"/>
      <c r="E4178" s="171"/>
      <c r="F4178" s="172"/>
      <c r="G4178" s="173"/>
      <c r="H4178" s="174"/>
      <c r="I4178" s="175"/>
      <c r="J4178" s="172"/>
      <c r="K4178" s="176"/>
      <c r="L4178" s="176"/>
      <c r="M4178" s="176"/>
      <c r="N4178" s="177"/>
      <c r="O4178" s="177"/>
      <c r="P4178" s="178"/>
      <c r="Q4178" s="177"/>
      <c r="R4178" s="170"/>
      <c r="S4178" s="170"/>
      <c r="T4178" s="179"/>
      <c r="U4178" s="179"/>
      <c r="V4178" s="179"/>
      <c r="W4178" s="180"/>
      <c r="X4178" s="181"/>
      <c r="Y4178" s="182"/>
      <c r="Z4178" s="182"/>
      <c r="AA4178" s="182"/>
      <c r="AB4178" s="182"/>
      <c r="AC4178" s="183"/>
      <c r="AD4178" s="183"/>
      <c r="AE4178" s="183"/>
      <c r="AF4178" s="184"/>
      <c r="AG4178" s="180"/>
      <c r="AH4178" s="185"/>
      <c r="AI4178" s="182"/>
      <c r="AJ4178" s="182"/>
      <c r="AK4178" s="182"/>
      <c r="AL4178" s="182"/>
    </row>
    <row r="4179" ht="20.25" customHeight="1">
      <c r="A4179" s="169"/>
      <c r="B4179" s="170"/>
      <c r="C4179" s="170"/>
      <c r="D4179" s="170"/>
      <c r="E4179" s="171"/>
      <c r="F4179" s="172"/>
      <c r="G4179" s="173"/>
      <c r="H4179" s="174"/>
      <c r="I4179" s="175"/>
      <c r="J4179" s="172"/>
      <c r="K4179" s="176"/>
      <c r="L4179" s="176"/>
      <c r="M4179" s="176"/>
      <c r="N4179" s="177"/>
      <c r="O4179" s="177"/>
      <c r="P4179" s="178"/>
      <c r="Q4179" s="177"/>
      <c r="R4179" s="170"/>
      <c r="S4179" s="170"/>
      <c r="T4179" s="179"/>
      <c r="U4179" s="179"/>
      <c r="V4179" s="179"/>
      <c r="W4179" s="180"/>
      <c r="X4179" s="181"/>
      <c r="Y4179" s="182"/>
      <c r="Z4179" s="182"/>
      <c r="AA4179" s="182"/>
      <c r="AB4179" s="182"/>
      <c r="AC4179" s="183"/>
      <c r="AD4179" s="183"/>
      <c r="AE4179" s="183"/>
      <c r="AF4179" s="184"/>
      <c r="AG4179" s="180"/>
      <c r="AH4179" s="185"/>
      <c r="AI4179" s="182"/>
      <c r="AJ4179" s="182"/>
      <c r="AK4179" s="182"/>
      <c r="AL4179" s="182"/>
    </row>
    <row r="4180" ht="20.25" customHeight="1">
      <c r="A4180" s="169"/>
      <c r="B4180" s="170"/>
      <c r="C4180" s="170"/>
      <c r="D4180" s="170"/>
      <c r="E4180" s="171"/>
      <c r="F4180" s="172"/>
      <c r="G4180" s="173"/>
      <c r="H4180" s="174"/>
      <c r="I4180" s="175"/>
      <c r="J4180" s="172"/>
      <c r="K4180" s="176"/>
      <c r="L4180" s="176"/>
      <c r="M4180" s="176"/>
      <c r="N4180" s="177"/>
      <c r="O4180" s="177"/>
      <c r="P4180" s="178"/>
      <c r="Q4180" s="177"/>
      <c r="R4180" s="170"/>
      <c r="S4180" s="170"/>
      <c r="T4180" s="179"/>
      <c r="U4180" s="179"/>
      <c r="V4180" s="179"/>
      <c r="W4180" s="180"/>
      <c r="X4180" s="181"/>
      <c r="Y4180" s="182"/>
      <c r="Z4180" s="182"/>
      <c r="AA4180" s="182"/>
      <c r="AB4180" s="182"/>
      <c r="AC4180" s="183"/>
      <c r="AD4180" s="183"/>
      <c r="AE4180" s="183"/>
      <c r="AF4180" s="184"/>
      <c r="AG4180" s="180"/>
      <c r="AH4180" s="185"/>
      <c r="AI4180" s="182"/>
      <c r="AJ4180" s="182"/>
      <c r="AK4180" s="182"/>
      <c r="AL4180" s="182"/>
    </row>
    <row r="4181" ht="20.25" customHeight="1">
      <c r="A4181" s="169"/>
      <c r="B4181" s="170"/>
      <c r="C4181" s="170"/>
      <c r="D4181" s="170"/>
      <c r="E4181" s="171"/>
      <c r="F4181" s="172"/>
      <c r="G4181" s="173"/>
      <c r="H4181" s="174"/>
      <c r="I4181" s="175"/>
      <c r="J4181" s="172"/>
      <c r="K4181" s="176"/>
      <c r="L4181" s="176"/>
      <c r="M4181" s="176"/>
      <c r="N4181" s="177"/>
      <c r="O4181" s="177"/>
      <c r="P4181" s="178"/>
      <c r="Q4181" s="177"/>
      <c r="R4181" s="170"/>
      <c r="S4181" s="170"/>
      <c r="T4181" s="179"/>
      <c r="U4181" s="179"/>
      <c r="V4181" s="179"/>
      <c r="W4181" s="180"/>
      <c r="X4181" s="181"/>
      <c r="Y4181" s="182"/>
      <c r="Z4181" s="182"/>
      <c r="AA4181" s="182"/>
      <c r="AB4181" s="182"/>
      <c r="AC4181" s="183"/>
      <c r="AD4181" s="183"/>
      <c r="AE4181" s="183"/>
      <c r="AF4181" s="184"/>
      <c r="AG4181" s="180"/>
      <c r="AH4181" s="185"/>
      <c r="AI4181" s="182"/>
      <c r="AJ4181" s="182"/>
      <c r="AK4181" s="182"/>
      <c r="AL4181" s="182"/>
    </row>
    <row r="4182" ht="20.25" customHeight="1">
      <c r="A4182" s="169"/>
      <c r="B4182" s="170"/>
      <c r="C4182" s="170"/>
      <c r="D4182" s="170"/>
      <c r="E4182" s="171"/>
      <c r="F4182" s="172"/>
      <c r="G4182" s="173"/>
      <c r="H4182" s="174"/>
      <c r="I4182" s="175"/>
      <c r="J4182" s="172"/>
      <c r="K4182" s="176"/>
      <c r="L4182" s="176"/>
      <c r="M4182" s="176"/>
      <c r="N4182" s="177"/>
      <c r="O4182" s="177"/>
      <c r="P4182" s="178"/>
      <c r="Q4182" s="177"/>
      <c r="R4182" s="170"/>
      <c r="S4182" s="170"/>
      <c r="T4182" s="179"/>
      <c r="U4182" s="179"/>
      <c r="V4182" s="179"/>
      <c r="W4182" s="180"/>
      <c r="X4182" s="181"/>
      <c r="Y4182" s="182"/>
      <c r="Z4182" s="182"/>
      <c r="AA4182" s="182"/>
      <c r="AB4182" s="182"/>
      <c r="AC4182" s="183"/>
      <c r="AD4182" s="183"/>
      <c r="AE4182" s="183"/>
      <c r="AF4182" s="184"/>
      <c r="AG4182" s="180"/>
      <c r="AH4182" s="185"/>
      <c r="AI4182" s="182"/>
      <c r="AJ4182" s="182"/>
      <c r="AK4182" s="182"/>
      <c r="AL4182" s="182"/>
    </row>
    <row r="4183" ht="20.25" customHeight="1">
      <c r="A4183" s="169"/>
      <c r="B4183" s="170"/>
      <c r="C4183" s="170"/>
      <c r="D4183" s="170"/>
      <c r="E4183" s="171"/>
      <c r="F4183" s="172"/>
      <c r="G4183" s="173"/>
      <c r="H4183" s="174"/>
      <c r="I4183" s="175"/>
      <c r="J4183" s="172"/>
      <c r="K4183" s="176"/>
      <c r="L4183" s="176"/>
      <c r="M4183" s="176"/>
      <c r="N4183" s="177"/>
      <c r="O4183" s="177"/>
      <c r="P4183" s="178"/>
      <c r="Q4183" s="177"/>
      <c r="R4183" s="170"/>
      <c r="S4183" s="170"/>
      <c r="T4183" s="179"/>
      <c r="U4183" s="179"/>
      <c r="V4183" s="179"/>
      <c r="W4183" s="180"/>
      <c r="X4183" s="181"/>
      <c r="Y4183" s="182"/>
      <c r="Z4183" s="182"/>
      <c r="AA4183" s="182"/>
      <c r="AB4183" s="182"/>
      <c r="AC4183" s="183"/>
      <c r="AD4183" s="183"/>
      <c r="AE4183" s="183"/>
      <c r="AF4183" s="184"/>
      <c r="AG4183" s="180"/>
      <c r="AH4183" s="185"/>
      <c r="AI4183" s="182"/>
      <c r="AJ4183" s="182"/>
      <c r="AK4183" s="182"/>
      <c r="AL4183" s="182"/>
    </row>
    <row r="4184" ht="20.25" customHeight="1">
      <c r="A4184" s="169"/>
      <c r="B4184" s="170"/>
      <c r="C4184" s="170"/>
      <c r="D4184" s="170"/>
      <c r="E4184" s="171"/>
      <c r="F4184" s="172"/>
      <c r="G4184" s="173"/>
      <c r="H4184" s="174"/>
      <c r="I4184" s="175"/>
      <c r="J4184" s="172"/>
      <c r="K4184" s="176"/>
      <c r="L4184" s="176"/>
      <c r="M4184" s="176"/>
      <c r="N4184" s="177"/>
      <c r="O4184" s="177"/>
      <c r="P4184" s="178"/>
      <c r="Q4184" s="177"/>
      <c r="R4184" s="170"/>
      <c r="S4184" s="170"/>
      <c r="T4184" s="179"/>
      <c r="U4184" s="179"/>
      <c r="V4184" s="179"/>
      <c r="W4184" s="180"/>
      <c r="X4184" s="181"/>
      <c r="Y4184" s="182"/>
      <c r="Z4184" s="182"/>
      <c r="AA4184" s="182"/>
      <c r="AB4184" s="182"/>
      <c r="AC4184" s="183"/>
      <c r="AD4184" s="183"/>
      <c r="AE4184" s="183"/>
      <c r="AF4184" s="184"/>
      <c r="AG4184" s="180"/>
      <c r="AH4184" s="185"/>
      <c r="AI4184" s="182"/>
      <c r="AJ4184" s="182"/>
      <c r="AK4184" s="182"/>
      <c r="AL4184" s="182"/>
    </row>
    <row r="4185" ht="20.25" customHeight="1">
      <c r="A4185" s="169"/>
      <c r="B4185" s="170"/>
      <c r="C4185" s="170"/>
      <c r="D4185" s="170"/>
      <c r="E4185" s="171"/>
      <c r="F4185" s="172"/>
      <c r="G4185" s="173"/>
      <c r="H4185" s="174"/>
      <c r="I4185" s="175"/>
      <c r="J4185" s="172"/>
      <c r="K4185" s="176"/>
      <c r="L4185" s="176"/>
      <c r="M4185" s="176"/>
      <c r="N4185" s="177"/>
      <c r="O4185" s="177"/>
      <c r="P4185" s="178"/>
      <c r="Q4185" s="177"/>
      <c r="R4185" s="170"/>
      <c r="S4185" s="170"/>
      <c r="T4185" s="179"/>
      <c r="U4185" s="179"/>
      <c r="V4185" s="179"/>
      <c r="W4185" s="180"/>
      <c r="X4185" s="181"/>
      <c r="Y4185" s="182"/>
      <c r="Z4185" s="182"/>
      <c r="AA4185" s="182"/>
      <c r="AB4185" s="182"/>
      <c r="AC4185" s="183"/>
      <c r="AD4185" s="183"/>
      <c r="AE4185" s="183"/>
      <c r="AF4185" s="184"/>
      <c r="AG4185" s="180"/>
      <c r="AH4185" s="185"/>
      <c r="AI4185" s="182"/>
      <c r="AJ4185" s="182"/>
      <c r="AK4185" s="182"/>
      <c r="AL4185" s="182"/>
    </row>
    <row r="4186" ht="20.25" customHeight="1">
      <c r="A4186" s="169"/>
      <c r="B4186" s="170"/>
      <c r="C4186" s="170"/>
      <c r="D4186" s="170"/>
      <c r="E4186" s="171"/>
      <c r="F4186" s="172"/>
      <c r="G4186" s="173"/>
      <c r="H4186" s="174"/>
      <c r="I4186" s="175"/>
      <c r="J4186" s="172"/>
      <c r="K4186" s="176"/>
      <c r="L4186" s="176"/>
      <c r="M4186" s="176"/>
      <c r="N4186" s="177"/>
      <c r="O4186" s="177"/>
      <c r="P4186" s="178"/>
      <c r="Q4186" s="177"/>
      <c r="R4186" s="170"/>
      <c r="S4186" s="170"/>
      <c r="T4186" s="179"/>
      <c r="U4186" s="179"/>
      <c r="V4186" s="179"/>
      <c r="W4186" s="180"/>
      <c r="X4186" s="181"/>
      <c r="Y4186" s="182"/>
      <c r="Z4186" s="182"/>
      <c r="AA4186" s="182"/>
      <c r="AB4186" s="182"/>
      <c r="AC4186" s="183"/>
      <c r="AD4186" s="183"/>
      <c r="AE4186" s="183"/>
      <c r="AF4186" s="184"/>
      <c r="AG4186" s="180"/>
      <c r="AH4186" s="185"/>
      <c r="AI4186" s="182"/>
      <c r="AJ4186" s="182"/>
      <c r="AK4186" s="182"/>
      <c r="AL4186" s="182"/>
    </row>
    <row r="4187" ht="20.25" customHeight="1">
      <c r="A4187" s="169"/>
      <c r="B4187" s="170"/>
      <c r="C4187" s="170"/>
      <c r="D4187" s="170"/>
      <c r="E4187" s="171"/>
      <c r="F4187" s="172"/>
      <c r="G4187" s="173"/>
      <c r="H4187" s="174"/>
      <c r="I4187" s="175"/>
      <c r="J4187" s="172"/>
      <c r="K4187" s="176"/>
      <c r="L4187" s="176"/>
      <c r="M4187" s="176"/>
      <c r="N4187" s="177"/>
      <c r="O4187" s="177"/>
      <c r="P4187" s="178"/>
      <c r="Q4187" s="177"/>
      <c r="R4187" s="170"/>
      <c r="S4187" s="170"/>
      <c r="T4187" s="179"/>
      <c r="U4187" s="179"/>
      <c r="V4187" s="179"/>
      <c r="W4187" s="180"/>
      <c r="X4187" s="181"/>
      <c r="Y4187" s="182"/>
      <c r="Z4187" s="182"/>
      <c r="AA4187" s="182"/>
      <c r="AB4187" s="182"/>
      <c r="AC4187" s="183"/>
      <c r="AD4187" s="183"/>
      <c r="AE4187" s="183"/>
      <c r="AF4187" s="184"/>
      <c r="AG4187" s="180"/>
      <c r="AH4187" s="185"/>
      <c r="AI4187" s="182"/>
      <c r="AJ4187" s="182"/>
      <c r="AK4187" s="182"/>
      <c r="AL4187" s="182"/>
    </row>
    <row r="4188" ht="20.25" customHeight="1">
      <c r="A4188" s="169"/>
      <c r="B4188" s="170"/>
      <c r="C4188" s="170"/>
      <c r="D4188" s="170"/>
      <c r="E4188" s="171"/>
      <c r="F4188" s="172"/>
      <c r="G4188" s="173"/>
      <c r="H4188" s="174"/>
      <c r="I4188" s="175"/>
      <c r="J4188" s="172"/>
      <c r="K4188" s="176"/>
      <c r="L4188" s="176"/>
      <c r="M4188" s="176"/>
      <c r="N4188" s="177"/>
      <c r="O4188" s="177"/>
      <c r="P4188" s="178"/>
      <c r="Q4188" s="177"/>
      <c r="R4188" s="170"/>
      <c r="S4188" s="170"/>
      <c r="T4188" s="179"/>
      <c r="U4188" s="179"/>
      <c r="V4188" s="179"/>
      <c r="W4188" s="180"/>
      <c r="X4188" s="181"/>
      <c r="Y4188" s="182"/>
      <c r="Z4188" s="182"/>
      <c r="AA4188" s="182"/>
      <c r="AB4188" s="182"/>
      <c r="AC4188" s="183"/>
      <c r="AD4188" s="183"/>
      <c r="AE4188" s="183"/>
      <c r="AF4188" s="184"/>
      <c r="AG4188" s="180"/>
      <c r="AH4188" s="185"/>
      <c r="AI4188" s="182"/>
      <c r="AJ4188" s="182"/>
      <c r="AK4188" s="182"/>
      <c r="AL4188" s="182"/>
    </row>
    <row r="4189" ht="20.25" customHeight="1">
      <c r="A4189" s="169"/>
      <c r="B4189" s="170"/>
      <c r="C4189" s="170"/>
      <c r="D4189" s="170"/>
      <c r="E4189" s="171"/>
      <c r="F4189" s="172"/>
      <c r="G4189" s="173"/>
      <c r="H4189" s="174"/>
      <c r="I4189" s="175"/>
      <c r="J4189" s="172"/>
      <c r="K4189" s="176"/>
      <c r="L4189" s="176"/>
      <c r="M4189" s="176"/>
      <c r="N4189" s="177"/>
      <c r="O4189" s="177"/>
      <c r="P4189" s="178"/>
      <c r="Q4189" s="177"/>
      <c r="R4189" s="170"/>
      <c r="S4189" s="170"/>
      <c r="T4189" s="179"/>
      <c r="U4189" s="179"/>
      <c r="V4189" s="179"/>
      <c r="W4189" s="180"/>
      <c r="X4189" s="181"/>
      <c r="Y4189" s="182"/>
      <c r="Z4189" s="182"/>
      <c r="AA4189" s="182"/>
      <c r="AB4189" s="182"/>
      <c r="AC4189" s="183"/>
      <c r="AD4189" s="183"/>
      <c r="AE4189" s="183"/>
      <c r="AF4189" s="184"/>
      <c r="AG4189" s="180"/>
      <c r="AH4189" s="185"/>
      <c r="AI4189" s="182"/>
      <c r="AJ4189" s="182"/>
      <c r="AK4189" s="182"/>
      <c r="AL4189" s="182"/>
    </row>
    <row r="4190" ht="20.25" customHeight="1">
      <c r="A4190" s="169"/>
      <c r="B4190" s="170"/>
      <c r="C4190" s="170"/>
      <c r="D4190" s="170"/>
      <c r="E4190" s="171"/>
      <c r="F4190" s="172"/>
      <c r="G4190" s="173"/>
      <c r="H4190" s="174"/>
      <c r="I4190" s="175"/>
      <c r="J4190" s="172"/>
      <c r="K4190" s="176"/>
      <c r="L4190" s="176"/>
      <c r="M4190" s="176"/>
      <c r="N4190" s="177"/>
      <c r="O4190" s="177"/>
      <c r="P4190" s="178"/>
      <c r="Q4190" s="177"/>
      <c r="R4190" s="170"/>
      <c r="S4190" s="170"/>
      <c r="T4190" s="179"/>
      <c r="U4190" s="179"/>
      <c r="V4190" s="179"/>
      <c r="W4190" s="180"/>
      <c r="X4190" s="181"/>
      <c r="Y4190" s="182"/>
      <c r="Z4190" s="182"/>
      <c r="AA4190" s="182"/>
      <c r="AB4190" s="182"/>
      <c r="AC4190" s="183"/>
      <c r="AD4190" s="183"/>
      <c r="AE4190" s="183"/>
      <c r="AF4190" s="184"/>
      <c r="AG4190" s="180"/>
      <c r="AH4190" s="185"/>
      <c r="AI4190" s="182"/>
      <c r="AJ4190" s="182"/>
      <c r="AK4190" s="182"/>
      <c r="AL4190" s="182"/>
    </row>
    <row r="4191" ht="20.25" customHeight="1">
      <c r="A4191" s="169"/>
      <c r="B4191" s="170"/>
      <c r="C4191" s="170"/>
      <c r="D4191" s="170"/>
      <c r="E4191" s="171"/>
      <c r="F4191" s="172"/>
      <c r="G4191" s="173"/>
      <c r="H4191" s="174"/>
      <c r="I4191" s="175"/>
      <c r="J4191" s="172"/>
      <c r="K4191" s="176"/>
      <c r="L4191" s="176"/>
      <c r="M4191" s="176"/>
      <c r="N4191" s="177"/>
      <c r="O4191" s="177"/>
      <c r="P4191" s="178"/>
      <c r="Q4191" s="177"/>
      <c r="R4191" s="170"/>
      <c r="S4191" s="170"/>
      <c r="T4191" s="179"/>
      <c r="U4191" s="179"/>
      <c r="V4191" s="179"/>
      <c r="W4191" s="180"/>
      <c r="X4191" s="181"/>
      <c r="Y4191" s="182"/>
      <c r="Z4191" s="182"/>
      <c r="AA4191" s="182"/>
      <c r="AB4191" s="182"/>
      <c r="AC4191" s="183"/>
      <c r="AD4191" s="183"/>
      <c r="AE4191" s="183"/>
      <c r="AF4191" s="184"/>
      <c r="AG4191" s="180"/>
      <c r="AH4191" s="185"/>
      <c r="AI4191" s="182"/>
      <c r="AJ4191" s="182"/>
      <c r="AK4191" s="182"/>
      <c r="AL4191" s="182"/>
    </row>
    <row r="4192" ht="20.25" customHeight="1">
      <c r="A4192" s="169"/>
      <c r="B4192" s="170"/>
      <c r="C4192" s="170"/>
      <c r="D4192" s="170"/>
      <c r="E4192" s="171"/>
      <c r="F4192" s="172"/>
      <c r="G4192" s="173"/>
      <c r="H4192" s="174"/>
      <c r="I4192" s="175"/>
      <c r="J4192" s="172"/>
      <c r="K4192" s="176"/>
      <c r="L4192" s="176"/>
      <c r="M4192" s="176"/>
      <c r="N4192" s="177"/>
      <c r="O4192" s="177"/>
      <c r="P4192" s="178"/>
      <c r="Q4192" s="177"/>
      <c r="R4192" s="170"/>
      <c r="S4192" s="170"/>
      <c r="T4192" s="179"/>
      <c r="U4192" s="179"/>
      <c r="V4192" s="179"/>
      <c r="W4192" s="180"/>
      <c r="X4192" s="181"/>
      <c r="Y4192" s="182"/>
      <c r="Z4192" s="182"/>
      <c r="AA4192" s="182"/>
      <c r="AB4192" s="182"/>
      <c r="AC4192" s="183"/>
      <c r="AD4192" s="183"/>
      <c r="AE4192" s="183"/>
      <c r="AF4192" s="184"/>
      <c r="AG4192" s="180"/>
      <c r="AH4192" s="185"/>
      <c r="AI4192" s="182"/>
      <c r="AJ4192" s="182"/>
      <c r="AK4192" s="182"/>
      <c r="AL4192" s="182"/>
    </row>
    <row r="4193" ht="20.25" customHeight="1">
      <c r="A4193" s="169"/>
      <c r="B4193" s="170"/>
      <c r="C4193" s="170"/>
      <c r="D4193" s="170"/>
      <c r="E4193" s="171"/>
      <c r="F4193" s="172"/>
      <c r="G4193" s="173"/>
      <c r="H4193" s="174"/>
      <c r="I4193" s="175"/>
      <c r="J4193" s="172"/>
      <c r="K4193" s="176"/>
      <c r="L4193" s="176"/>
      <c r="M4193" s="176"/>
      <c r="N4193" s="177"/>
      <c r="O4193" s="177"/>
      <c r="P4193" s="178"/>
      <c r="Q4193" s="177"/>
      <c r="R4193" s="170"/>
      <c r="S4193" s="170"/>
      <c r="T4193" s="179"/>
      <c r="U4193" s="179"/>
      <c r="V4193" s="179"/>
      <c r="W4193" s="180"/>
      <c r="X4193" s="181"/>
      <c r="Y4193" s="182"/>
      <c r="Z4193" s="182"/>
      <c r="AA4193" s="182"/>
      <c r="AB4193" s="182"/>
      <c r="AC4193" s="183"/>
      <c r="AD4193" s="183"/>
      <c r="AE4193" s="183"/>
      <c r="AF4193" s="184"/>
      <c r="AG4193" s="180"/>
      <c r="AH4193" s="185"/>
      <c r="AI4193" s="182"/>
      <c r="AJ4193" s="182"/>
      <c r="AK4193" s="182"/>
      <c r="AL4193" s="182"/>
    </row>
    <row r="4194" ht="20.25" customHeight="1">
      <c r="A4194" s="169"/>
      <c r="B4194" s="170"/>
      <c r="C4194" s="170"/>
      <c r="D4194" s="170"/>
      <c r="E4194" s="171"/>
      <c r="F4194" s="172"/>
      <c r="G4194" s="173"/>
      <c r="H4194" s="174"/>
      <c r="I4194" s="175"/>
      <c r="J4194" s="172"/>
      <c r="K4194" s="176"/>
      <c r="L4194" s="176"/>
      <c r="M4194" s="176"/>
      <c r="N4194" s="177"/>
      <c r="O4194" s="177"/>
      <c r="P4194" s="178"/>
      <c r="Q4194" s="177"/>
      <c r="R4194" s="170"/>
      <c r="S4194" s="170"/>
      <c r="T4194" s="179"/>
      <c r="U4194" s="179"/>
      <c r="V4194" s="179"/>
      <c r="W4194" s="180"/>
      <c r="X4194" s="181"/>
      <c r="Y4194" s="182"/>
      <c r="Z4194" s="182"/>
      <c r="AA4194" s="182"/>
      <c r="AB4194" s="182"/>
      <c r="AC4194" s="183"/>
      <c r="AD4194" s="183"/>
      <c r="AE4194" s="183"/>
      <c r="AF4194" s="184"/>
      <c r="AG4194" s="180"/>
      <c r="AH4194" s="185"/>
      <c r="AI4194" s="182"/>
      <c r="AJ4194" s="182"/>
      <c r="AK4194" s="182"/>
      <c r="AL4194" s="182"/>
    </row>
    <row r="4195" ht="20.25" customHeight="1">
      <c r="A4195" s="169"/>
      <c r="B4195" s="170"/>
      <c r="C4195" s="170"/>
      <c r="D4195" s="170"/>
      <c r="E4195" s="171"/>
      <c r="F4195" s="172"/>
      <c r="G4195" s="173"/>
      <c r="H4195" s="174"/>
      <c r="I4195" s="175"/>
      <c r="J4195" s="172"/>
      <c r="K4195" s="176"/>
      <c r="L4195" s="176"/>
      <c r="M4195" s="176"/>
      <c r="N4195" s="177"/>
      <c r="O4195" s="177"/>
      <c r="P4195" s="178"/>
      <c r="Q4195" s="177"/>
      <c r="R4195" s="170"/>
      <c r="S4195" s="170"/>
      <c r="T4195" s="179"/>
      <c r="U4195" s="179"/>
      <c r="V4195" s="179"/>
      <c r="W4195" s="180"/>
      <c r="X4195" s="181"/>
      <c r="Y4195" s="182"/>
      <c r="Z4195" s="182"/>
      <c r="AA4195" s="182"/>
      <c r="AB4195" s="182"/>
      <c r="AC4195" s="183"/>
      <c r="AD4195" s="183"/>
      <c r="AE4195" s="183"/>
      <c r="AF4195" s="184"/>
      <c r="AG4195" s="180"/>
      <c r="AH4195" s="185"/>
      <c r="AI4195" s="182"/>
      <c r="AJ4195" s="182"/>
      <c r="AK4195" s="182"/>
      <c r="AL4195" s="182"/>
    </row>
    <row r="4196" ht="20.25" customHeight="1">
      <c r="A4196" s="169" t="str">
        <f>IFERROR(__xludf.DUMMYFUNCTION("""COMPUTED_VALUE"""),"Mattyboy")</f>
        <v>Mattyboy</v>
      </c>
      <c r="B4196" s="170" t="str">
        <f>IFERROR(__xludf.DUMMYFUNCTION("""COMPUTED_VALUE"""),"Ontario")</f>
        <v>Ontario</v>
      </c>
      <c r="C4196" s="170" t="str">
        <f>IFERROR(__xludf.DUMMYFUNCTION("""COMPUTED_VALUE"""),"NY")</f>
        <v>NY</v>
      </c>
      <c r="D4196" s="170" t="str">
        <f>IFERROR(__xludf.DUMMYFUNCTION("""COMPUTED_VALUE"""),"USA")</f>
        <v>USA</v>
      </c>
      <c r="E4196" s="171"/>
      <c r="F4196" s="172"/>
      <c r="G4196" s="173"/>
      <c r="H4196" s="174"/>
      <c r="I4196" s="175"/>
      <c r="J4196" s="172"/>
      <c r="K4196" s="176"/>
      <c r="L4196" s="176"/>
      <c r="M4196" s="176"/>
      <c r="N4196" s="177" t="str">
        <f>IFERROR(__xludf.DUMMYFUNCTION("""COMPUTED_VALUE"""),"Model 3 SR+")</f>
        <v>Model 3 SR+</v>
      </c>
      <c r="O4196" s="177" t="str">
        <f>IFERROR(__xludf.DUMMYFUNCTION("""COMPUTED_VALUE"""),"Pearl White Multi-Coat")</f>
        <v>Pearl White Multi-Coat</v>
      </c>
      <c r="P4196" s="178" t="str">
        <f>IFERROR(__xludf.DUMMYFUNCTION("""COMPUTED_VALUE"""),"18 inch")</f>
        <v>18 inch</v>
      </c>
      <c r="Q4196" s="177" t="str">
        <f>IFERROR(__xludf.DUMMYFUNCTION("""COMPUTED_VALUE"""),"All Black")</f>
        <v>All Black</v>
      </c>
      <c r="R4196" s="170" t="str">
        <f>IFERROR(__xludf.DUMMYFUNCTION("""COMPUTED_VALUE"""),"Autopilot included")</f>
        <v>Autopilot included</v>
      </c>
      <c r="S4196" s="170" t="str">
        <f>IFERROR(__xludf.DUMMYFUNCTION("""COMPUTED_VALUE"""),"Loan")</f>
        <v>Loan</v>
      </c>
      <c r="T4196" s="179" t="str">
        <f>IFERROR(__xludf.DUMMYFUNCTION("""COMPUTED_VALUE"""),"Honda Accord")</f>
        <v>Honda Accord</v>
      </c>
      <c r="U4196" s="179" t="str">
        <f>IFERROR(__xludf.DUMMYFUNCTION("""COMPUTED_VALUE"""),"Electric!")</f>
        <v>Electric!</v>
      </c>
      <c r="V4196" s="179" t="str">
        <f>IFERROR(__xludf.DUMMYFUNCTION("""COMPUTED_VALUE"""),"Blind spot indicators on side mirrors")</f>
        <v>Blind spot indicators on side mirrors</v>
      </c>
      <c r="W4196" s="180"/>
      <c r="X4196" s="181"/>
      <c r="Y4196" s="182"/>
      <c r="Z4196" s="182"/>
      <c r="AA4196" s="182"/>
      <c r="AB4196" s="182"/>
      <c r="AC4196" s="183"/>
      <c r="AD4196" s="183"/>
      <c r="AE4196" s="183"/>
      <c r="AF4196" s="184"/>
      <c r="AG4196" s="180"/>
      <c r="AH4196" s="185">
        <f>IFERROR(__xludf.DUMMYFUNCTION("""COMPUTED_VALUE"""),44428.65470864584)</f>
        <v>44428.65471</v>
      </c>
      <c r="AI4196" s="182"/>
      <c r="AJ4196" s="182"/>
      <c r="AK4196" s="182"/>
      <c r="AL4196" s="182"/>
    </row>
    <row r="4197" ht="20.25" customHeight="1">
      <c r="A4197" s="169" t="str">
        <f>IFERROR(__xludf.DUMMYFUNCTION("""COMPUTED_VALUE"""),"Rannydey")</f>
        <v>Rannydey</v>
      </c>
      <c r="B4197" s="170" t="str">
        <f>IFERROR(__xludf.DUMMYFUNCTION("""COMPUTED_VALUE"""),"Rockville")</f>
        <v>Rockville</v>
      </c>
      <c r="C4197" s="170" t="str">
        <f>IFERROR(__xludf.DUMMYFUNCTION("""COMPUTED_VALUE"""),"MD")</f>
        <v>MD</v>
      </c>
      <c r="D4197" s="170" t="str">
        <f>IFERROR(__xludf.DUMMYFUNCTION("""COMPUTED_VALUE"""),"USA")</f>
        <v>USA</v>
      </c>
      <c r="E4197" s="171"/>
      <c r="F4197" s="172">
        <f>IFERROR(__xludf.DUMMYFUNCTION("""COMPUTED_VALUE"""),43200.0)</f>
        <v>43200</v>
      </c>
      <c r="G4197" s="173"/>
      <c r="H4197" s="174">
        <f>IFERROR(__xludf.DUMMYFUNCTION("""COMPUTED_VALUE"""),16955.0)</f>
        <v>16955</v>
      </c>
      <c r="I4197" s="175"/>
      <c r="J4197" s="172">
        <f>IFERROR(__xludf.DUMMYFUNCTION("""COMPUTED_VALUE"""),43231.0)</f>
        <v>43231</v>
      </c>
      <c r="K4197" s="176"/>
      <c r="L4197" s="176">
        <f>IFERROR(__xludf.DUMMYFUNCTION("""COMPUTED_VALUE"""),31.0)</f>
        <v>31</v>
      </c>
      <c r="M4197" s="176"/>
      <c r="N4197" s="177" t="str">
        <f>IFERROR(__xludf.DUMMYFUNCTION("""COMPUTED_VALUE"""),"Model 3 LR")</f>
        <v>Model 3 LR</v>
      </c>
      <c r="O4197" s="177" t="str">
        <f>IFERROR(__xludf.DUMMYFUNCTION("""COMPUTED_VALUE"""),"Deep Blue Metallic")</f>
        <v>Deep Blue Metallic</v>
      </c>
      <c r="P4197" s="178" t="str">
        <f>IFERROR(__xludf.DUMMYFUNCTION("""COMPUTED_VALUE"""),"18 inch Aero")</f>
        <v>18 inch Aero</v>
      </c>
      <c r="Q4197" s="177" t="str">
        <f>IFERROR(__xludf.DUMMYFUNCTION("""COMPUTED_VALUE"""),"Black seats")</f>
        <v>Black seats</v>
      </c>
      <c r="R4197" s="170" t="str">
        <f>IFERROR(__xludf.DUMMYFUNCTION("""COMPUTED_VALUE"""),"Enhanced Autopilot")</f>
        <v>Enhanced Autopilot</v>
      </c>
      <c r="S4197" s="170"/>
      <c r="T4197" s="179"/>
      <c r="U4197" s="179"/>
      <c r="V4197" s="179"/>
      <c r="W4197" s="180"/>
      <c r="X4197" s="181" t="str">
        <f>IFERROR(__xludf.DUMMYFUNCTION("""COMPUTED_VALUE"""),"Fair")</f>
        <v>Fair</v>
      </c>
      <c r="Y4197" s="182" t="str">
        <f>IFERROR(__xludf.DUMMYFUNCTION("""COMPUTED_VALUE"""),"Excellent")</f>
        <v>Excellent</v>
      </c>
      <c r="Z4197" s="182" t="str">
        <f>IFERROR(__xludf.DUMMYFUNCTION("""COMPUTED_VALUE"""),"Excellent")</f>
        <v>Excellent</v>
      </c>
      <c r="AA4197" s="182"/>
      <c r="AB4197" s="182" t="str">
        <f>IFERROR(__xludf.DUMMYFUNCTION("""COMPUTED_VALUE"""),"Excellent")</f>
        <v>Excellent</v>
      </c>
      <c r="AC4197" s="183"/>
      <c r="AD4197" s="183"/>
      <c r="AE4197" s="183"/>
      <c r="AF4197" s="184"/>
      <c r="AG4197" s="180"/>
      <c r="AH4197" s="185">
        <f>IFERROR(__xludf.DUMMYFUNCTION("""COMPUTED_VALUE"""),43234.32176690972)</f>
        <v>43234.32177</v>
      </c>
      <c r="AI4197" s="182"/>
      <c r="AJ4197" s="182"/>
      <c r="AK4197" s="182"/>
      <c r="AL4197" s="182"/>
    </row>
    <row r="4198" ht="20.25" customHeight="1">
      <c r="A4198" s="169"/>
      <c r="B4198" s="170"/>
      <c r="C4198" s="170"/>
      <c r="D4198" s="170"/>
      <c r="E4198" s="171"/>
      <c r="F4198" s="172"/>
      <c r="G4198" s="173"/>
      <c r="H4198" s="174"/>
      <c r="I4198" s="175"/>
      <c r="J4198" s="172"/>
      <c r="K4198" s="176"/>
      <c r="L4198" s="176"/>
      <c r="M4198" s="176"/>
      <c r="N4198" s="177"/>
      <c r="O4198" s="177"/>
      <c r="P4198" s="178"/>
      <c r="Q4198" s="177"/>
      <c r="R4198" s="170"/>
      <c r="S4198" s="170"/>
      <c r="T4198" s="179"/>
      <c r="U4198" s="179"/>
      <c r="V4198" s="179"/>
      <c r="W4198" s="180"/>
      <c r="X4198" s="181"/>
      <c r="Y4198" s="182"/>
      <c r="Z4198" s="182"/>
      <c r="AA4198" s="182"/>
      <c r="AB4198" s="182"/>
      <c r="AC4198" s="183"/>
      <c r="AD4198" s="183"/>
      <c r="AE4198" s="183"/>
      <c r="AF4198" s="184"/>
      <c r="AG4198" s="180"/>
      <c r="AH4198" s="185"/>
      <c r="AI4198" s="182"/>
      <c r="AJ4198" s="182"/>
      <c r="AK4198" s="182"/>
      <c r="AL4198" s="182"/>
    </row>
    <row r="4199" ht="20.25" customHeight="1">
      <c r="A4199" s="169"/>
      <c r="B4199" s="170"/>
      <c r="C4199" s="170"/>
      <c r="D4199" s="170"/>
      <c r="E4199" s="171"/>
      <c r="F4199" s="172"/>
      <c r="G4199" s="173"/>
      <c r="H4199" s="174"/>
      <c r="I4199" s="175"/>
      <c r="J4199" s="172"/>
      <c r="K4199" s="176"/>
      <c r="L4199" s="176"/>
      <c r="M4199" s="176"/>
      <c r="N4199" s="177"/>
      <c r="O4199" s="177"/>
      <c r="P4199" s="178"/>
      <c r="Q4199" s="177"/>
      <c r="R4199" s="170"/>
      <c r="S4199" s="170"/>
      <c r="T4199" s="179"/>
      <c r="U4199" s="179"/>
      <c r="V4199" s="179"/>
      <c r="W4199" s="180"/>
      <c r="X4199" s="181"/>
      <c r="Y4199" s="182"/>
      <c r="Z4199" s="182"/>
      <c r="AA4199" s="182"/>
      <c r="AB4199" s="182"/>
      <c r="AC4199" s="183"/>
      <c r="AD4199" s="183"/>
      <c r="AE4199" s="183"/>
      <c r="AF4199" s="184"/>
      <c r="AG4199" s="180"/>
      <c r="AH4199" s="185"/>
      <c r="AI4199" s="182"/>
      <c r="AJ4199" s="182"/>
      <c r="AK4199" s="182"/>
      <c r="AL4199" s="182"/>
    </row>
    <row r="4200" ht="20.25" customHeight="1">
      <c r="A4200" s="169"/>
      <c r="B4200" s="170"/>
      <c r="C4200" s="170"/>
      <c r="D4200" s="170"/>
      <c r="E4200" s="171"/>
      <c r="F4200" s="172"/>
      <c r="G4200" s="173"/>
      <c r="H4200" s="174"/>
      <c r="I4200" s="175"/>
      <c r="J4200" s="172"/>
      <c r="K4200" s="176"/>
      <c r="L4200" s="176"/>
      <c r="M4200" s="176"/>
      <c r="N4200" s="177"/>
      <c r="O4200" s="177"/>
      <c r="P4200" s="178"/>
      <c r="Q4200" s="177"/>
      <c r="R4200" s="170"/>
      <c r="S4200" s="170"/>
      <c r="T4200" s="179"/>
      <c r="U4200" s="179"/>
      <c r="V4200" s="179"/>
      <c r="W4200" s="180"/>
      <c r="X4200" s="181"/>
      <c r="Y4200" s="182"/>
      <c r="Z4200" s="182"/>
      <c r="AA4200" s="182"/>
      <c r="AB4200" s="182"/>
      <c r="AC4200" s="183"/>
      <c r="AD4200" s="183"/>
      <c r="AE4200" s="183"/>
      <c r="AF4200" s="184"/>
      <c r="AG4200" s="180"/>
      <c r="AH4200" s="185"/>
      <c r="AI4200" s="182"/>
      <c r="AJ4200" s="182"/>
      <c r="AK4200" s="182"/>
      <c r="AL4200" s="182"/>
    </row>
    <row r="4201" ht="20.25" customHeight="1">
      <c r="A4201" s="169"/>
      <c r="B4201" s="170"/>
      <c r="C4201" s="170"/>
      <c r="D4201" s="170"/>
      <c r="E4201" s="171"/>
      <c r="F4201" s="172"/>
      <c r="G4201" s="173"/>
      <c r="H4201" s="174"/>
      <c r="I4201" s="175"/>
      <c r="J4201" s="172"/>
      <c r="K4201" s="176"/>
      <c r="L4201" s="176"/>
      <c r="M4201" s="176"/>
      <c r="N4201" s="177"/>
      <c r="O4201" s="177"/>
      <c r="P4201" s="178"/>
      <c r="Q4201" s="177"/>
      <c r="R4201" s="170"/>
      <c r="S4201" s="170"/>
      <c r="T4201" s="179"/>
      <c r="U4201" s="179"/>
      <c r="V4201" s="179"/>
      <c r="W4201" s="180"/>
      <c r="X4201" s="181"/>
      <c r="Y4201" s="182"/>
      <c r="Z4201" s="182"/>
      <c r="AA4201" s="182"/>
      <c r="AB4201" s="182"/>
      <c r="AC4201" s="183"/>
      <c r="AD4201" s="183"/>
      <c r="AE4201" s="183"/>
      <c r="AF4201" s="184"/>
      <c r="AG4201" s="180"/>
      <c r="AH4201" s="185"/>
      <c r="AI4201" s="182"/>
      <c r="AJ4201" s="182"/>
      <c r="AK4201" s="182"/>
      <c r="AL4201" s="182"/>
    </row>
    <row r="4202" ht="20.25" customHeight="1">
      <c r="A4202" s="169"/>
      <c r="B4202" s="170"/>
      <c r="C4202" s="170"/>
      <c r="D4202" s="170"/>
      <c r="E4202" s="171"/>
      <c r="F4202" s="172"/>
      <c r="G4202" s="173"/>
      <c r="H4202" s="174"/>
      <c r="I4202" s="175"/>
      <c r="J4202" s="172"/>
      <c r="K4202" s="176"/>
      <c r="L4202" s="176"/>
      <c r="M4202" s="176"/>
      <c r="N4202" s="177"/>
      <c r="O4202" s="177"/>
      <c r="P4202" s="178"/>
      <c r="Q4202" s="177"/>
      <c r="R4202" s="170"/>
      <c r="S4202" s="170"/>
      <c r="T4202" s="179"/>
      <c r="U4202" s="179"/>
      <c r="V4202" s="179"/>
      <c r="W4202" s="180"/>
      <c r="X4202" s="181"/>
      <c r="Y4202" s="182"/>
      <c r="Z4202" s="182"/>
      <c r="AA4202" s="182"/>
      <c r="AB4202" s="182"/>
      <c r="AC4202" s="183"/>
      <c r="AD4202" s="183"/>
      <c r="AE4202" s="183"/>
      <c r="AF4202" s="184"/>
      <c r="AG4202" s="180"/>
      <c r="AH4202" s="185"/>
      <c r="AI4202" s="182"/>
      <c r="AJ4202" s="182"/>
      <c r="AK4202" s="182"/>
      <c r="AL4202" s="182"/>
    </row>
    <row r="4203" ht="20.25" customHeight="1">
      <c r="A4203" s="169"/>
      <c r="B4203" s="170"/>
      <c r="C4203" s="170"/>
      <c r="D4203" s="170"/>
      <c r="E4203" s="171"/>
      <c r="F4203" s="172"/>
      <c r="G4203" s="173"/>
      <c r="H4203" s="174"/>
      <c r="I4203" s="175"/>
      <c r="J4203" s="172"/>
      <c r="K4203" s="176"/>
      <c r="L4203" s="176"/>
      <c r="M4203" s="176"/>
      <c r="N4203" s="177"/>
      <c r="O4203" s="177"/>
      <c r="P4203" s="178"/>
      <c r="Q4203" s="177"/>
      <c r="R4203" s="170"/>
      <c r="S4203" s="170"/>
      <c r="T4203" s="179"/>
      <c r="U4203" s="179"/>
      <c r="V4203" s="179"/>
      <c r="W4203" s="180"/>
      <c r="X4203" s="181"/>
      <c r="Y4203" s="182"/>
      <c r="Z4203" s="182"/>
      <c r="AA4203" s="182"/>
      <c r="AB4203" s="182"/>
      <c r="AC4203" s="183"/>
      <c r="AD4203" s="183"/>
      <c r="AE4203" s="183"/>
      <c r="AF4203" s="184"/>
      <c r="AG4203" s="180"/>
      <c r="AH4203" s="185"/>
      <c r="AI4203" s="182"/>
      <c r="AJ4203" s="182"/>
      <c r="AK4203" s="182"/>
      <c r="AL4203" s="182"/>
    </row>
    <row r="4204" ht="20.25" customHeight="1">
      <c r="A4204" s="169"/>
      <c r="B4204" s="170"/>
      <c r="C4204" s="170"/>
      <c r="D4204" s="170"/>
      <c r="E4204" s="171"/>
      <c r="F4204" s="172"/>
      <c r="G4204" s="173"/>
      <c r="H4204" s="174"/>
      <c r="I4204" s="175"/>
      <c r="J4204" s="172"/>
      <c r="K4204" s="176"/>
      <c r="L4204" s="176"/>
      <c r="M4204" s="176"/>
      <c r="N4204" s="177"/>
      <c r="O4204" s="177"/>
      <c r="P4204" s="178"/>
      <c r="Q4204" s="177"/>
      <c r="R4204" s="170"/>
      <c r="S4204" s="170"/>
      <c r="T4204" s="179"/>
      <c r="U4204" s="179"/>
      <c r="V4204" s="179"/>
      <c r="W4204" s="180"/>
      <c r="X4204" s="181"/>
      <c r="Y4204" s="182"/>
      <c r="Z4204" s="182"/>
      <c r="AA4204" s="182"/>
      <c r="AB4204" s="182"/>
      <c r="AC4204" s="183"/>
      <c r="AD4204" s="183"/>
      <c r="AE4204" s="183"/>
      <c r="AF4204" s="184"/>
      <c r="AG4204" s="180"/>
      <c r="AH4204" s="185"/>
      <c r="AI4204" s="182"/>
      <c r="AJ4204" s="182"/>
      <c r="AK4204" s="182"/>
      <c r="AL4204" s="182"/>
    </row>
    <row r="4205" ht="20.25" customHeight="1">
      <c r="A4205" s="169"/>
      <c r="B4205" s="170"/>
      <c r="C4205" s="170"/>
      <c r="D4205" s="170"/>
      <c r="E4205" s="171"/>
      <c r="F4205" s="172"/>
      <c r="G4205" s="173"/>
      <c r="H4205" s="174"/>
      <c r="I4205" s="175"/>
      <c r="J4205" s="172"/>
      <c r="K4205" s="176"/>
      <c r="L4205" s="176"/>
      <c r="M4205" s="176"/>
      <c r="N4205" s="177"/>
      <c r="O4205" s="177"/>
      <c r="P4205" s="178"/>
      <c r="Q4205" s="177"/>
      <c r="R4205" s="170"/>
      <c r="S4205" s="170"/>
      <c r="T4205" s="179"/>
      <c r="U4205" s="179"/>
      <c r="V4205" s="179"/>
      <c r="W4205" s="180"/>
      <c r="X4205" s="181"/>
      <c r="Y4205" s="182"/>
      <c r="Z4205" s="182"/>
      <c r="AA4205" s="182"/>
      <c r="AB4205" s="182"/>
      <c r="AC4205" s="183"/>
      <c r="AD4205" s="183"/>
      <c r="AE4205" s="183"/>
      <c r="AF4205" s="184"/>
      <c r="AG4205" s="180"/>
      <c r="AH4205" s="185"/>
      <c r="AI4205" s="182"/>
      <c r="AJ4205" s="182"/>
      <c r="AK4205" s="182"/>
      <c r="AL4205" s="182"/>
    </row>
    <row r="4206" ht="20.25" customHeight="1">
      <c r="A4206" s="169"/>
      <c r="B4206" s="170"/>
      <c r="C4206" s="170"/>
      <c r="D4206" s="170"/>
      <c r="E4206" s="171"/>
      <c r="F4206" s="172"/>
      <c r="G4206" s="173"/>
      <c r="H4206" s="174"/>
      <c r="I4206" s="175"/>
      <c r="J4206" s="172"/>
      <c r="K4206" s="176"/>
      <c r="L4206" s="176"/>
      <c r="M4206" s="176"/>
      <c r="N4206" s="177"/>
      <c r="O4206" s="177"/>
      <c r="P4206" s="178"/>
      <c r="Q4206" s="177"/>
      <c r="R4206" s="170"/>
      <c r="S4206" s="170"/>
      <c r="T4206" s="179"/>
      <c r="U4206" s="179"/>
      <c r="V4206" s="179"/>
      <c r="W4206" s="180"/>
      <c r="X4206" s="181"/>
      <c r="Y4206" s="182"/>
      <c r="Z4206" s="182"/>
      <c r="AA4206" s="182"/>
      <c r="AB4206" s="182"/>
      <c r="AC4206" s="183"/>
      <c r="AD4206" s="183"/>
      <c r="AE4206" s="183"/>
      <c r="AF4206" s="184"/>
      <c r="AG4206" s="180"/>
      <c r="AH4206" s="185"/>
      <c r="AI4206" s="182"/>
      <c r="AJ4206" s="182"/>
      <c r="AK4206" s="182"/>
      <c r="AL4206" s="182"/>
    </row>
    <row r="4207" ht="20.25" customHeight="1">
      <c r="A4207" s="169"/>
      <c r="B4207" s="170"/>
      <c r="C4207" s="170"/>
      <c r="D4207" s="170"/>
      <c r="E4207" s="171"/>
      <c r="F4207" s="172"/>
      <c r="G4207" s="173"/>
      <c r="H4207" s="174"/>
      <c r="I4207" s="175"/>
      <c r="J4207" s="172"/>
      <c r="K4207" s="176"/>
      <c r="L4207" s="176"/>
      <c r="M4207" s="176"/>
      <c r="N4207" s="177"/>
      <c r="O4207" s="177"/>
      <c r="P4207" s="178"/>
      <c r="Q4207" s="177"/>
      <c r="R4207" s="170"/>
      <c r="S4207" s="170"/>
      <c r="T4207" s="179"/>
      <c r="U4207" s="179"/>
      <c r="V4207" s="179"/>
      <c r="W4207" s="180"/>
      <c r="X4207" s="181"/>
      <c r="Y4207" s="182"/>
      <c r="Z4207" s="182"/>
      <c r="AA4207" s="182"/>
      <c r="AB4207" s="182"/>
      <c r="AC4207" s="183"/>
      <c r="AD4207" s="183"/>
      <c r="AE4207" s="183"/>
      <c r="AF4207" s="184"/>
      <c r="AG4207" s="180"/>
      <c r="AH4207" s="185"/>
      <c r="AI4207" s="182"/>
      <c r="AJ4207" s="182"/>
      <c r="AK4207" s="182"/>
      <c r="AL4207" s="182"/>
    </row>
    <row r="4208" ht="20.25" customHeight="1">
      <c r="A4208" s="169"/>
      <c r="B4208" s="170"/>
      <c r="C4208" s="170"/>
      <c r="D4208" s="170"/>
      <c r="E4208" s="171"/>
      <c r="F4208" s="172"/>
      <c r="G4208" s="173"/>
      <c r="H4208" s="174"/>
      <c r="I4208" s="175"/>
      <c r="J4208" s="172"/>
      <c r="K4208" s="176"/>
      <c r="L4208" s="176"/>
      <c r="M4208" s="176"/>
      <c r="N4208" s="177"/>
      <c r="O4208" s="177"/>
      <c r="P4208" s="178"/>
      <c r="Q4208" s="177"/>
      <c r="R4208" s="170"/>
      <c r="S4208" s="170"/>
      <c r="T4208" s="179"/>
      <c r="U4208" s="179"/>
      <c r="V4208" s="179"/>
      <c r="W4208" s="180"/>
      <c r="X4208" s="181"/>
      <c r="Y4208" s="182"/>
      <c r="Z4208" s="182"/>
      <c r="AA4208" s="182"/>
      <c r="AB4208" s="182"/>
      <c r="AC4208" s="183"/>
      <c r="AD4208" s="183"/>
      <c r="AE4208" s="183"/>
      <c r="AF4208" s="184"/>
      <c r="AG4208" s="180"/>
      <c r="AH4208" s="185"/>
      <c r="AI4208" s="182"/>
      <c r="AJ4208" s="182"/>
      <c r="AK4208" s="182"/>
      <c r="AL4208" s="182"/>
    </row>
    <row r="4209" ht="20.25" customHeight="1">
      <c r="A4209" s="169"/>
      <c r="B4209" s="170"/>
      <c r="C4209" s="170"/>
      <c r="D4209" s="170"/>
      <c r="E4209" s="171"/>
      <c r="F4209" s="172"/>
      <c r="G4209" s="173"/>
      <c r="H4209" s="174"/>
      <c r="I4209" s="175"/>
      <c r="J4209" s="172"/>
      <c r="K4209" s="176"/>
      <c r="L4209" s="176"/>
      <c r="M4209" s="176"/>
      <c r="N4209" s="177"/>
      <c r="O4209" s="177"/>
      <c r="P4209" s="178"/>
      <c r="Q4209" s="177"/>
      <c r="R4209" s="170"/>
      <c r="S4209" s="170"/>
      <c r="T4209" s="179"/>
      <c r="U4209" s="179"/>
      <c r="V4209" s="179"/>
      <c r="W4209" s="180"/>
      <c r="X4209" s="181"/>
      <c r="Y4209" s="182"/>
      <c r="Z4209" s="182"/>
      <c r="AA4209" s="182"/>
      <c r="AB4209" s="182"/>
      <c r="AC4209" s="183"/>
      <c r="AD4209" s="183"/>
      <c r="AE4209" s="183"/>
      <c r="AF4209" s="184"/>
      <c r="AG4209" s="180"/>
      <c r="AH4209" s="185"/>
      <c r="AI4209" s="182"/>
      <c r="AJ4209" s="182"/>
      <c r="AK4209" s="182"/>
      <c r="AL4209" s="182"/>
    </row>
    <row r="4210" ht="20.25" customHeight="1">
      <c r="A4210" s="169"/>
      <c r="B4210" s="170"/>
      <c r="C4210" s="170"/>
      <c r="D4210" s="170"/>
      <c r="E4210" s="171"/>
      <c r="F4210" s="172"/>
      <c r="G4210" s="173"/>
      <c r="H4210" s="174"/>
      <c r="I4210" s="175"/>
      <c r="J4210" s="172"/>
      <c r="K4210" s="176"/>
      <c r="L4210" s="176"/>
      <c r="M4210" s="176"/>
      <c r="N4210" s="177"/>
      <c r="O4210" s="177"/>
      <c r="P4210" s="178"/>
      <c r="Q4210" s="177"/>
      <c r="R4210" s="170"/>
      <c r="S4210" s="170"/>
      <c r="T4210" s="179"/>
      <c r="U4210" s="179"/>
      <c r="V4210" s="179"/>
      <c r="W4210" s="180"/>
      <c r="X4210" s="181"/>
      <c r="Y4210" s="182"/>
      <c r="Z4210" s="182"/>
      <c r="AA4210" s="182"/>
      <c r="AB4210" s="182"/>
      <c r="AC4210" s="183"/>
      <c r="AD4210" s="183"/>
      <c r="AE4210" s="183"/>
      <c r="AF4210" s="184"/>
      <c r="AG4210" s="180"/>
      <c r="AH4210" s="185"/>
      <c r="AI4210" s="182"/>
      <c r="AJ4210" s="182"/>
      <c r="AK4210" s="182"/>
      <c r="AL4210" s="182"/>
    </row>
    <row r="4211" ht="20.25" customHeight="1">
      <c r="A4211" s="169"/>
      <c r="B4211" s="170"/>
      <c r="C4211" s="170"/>
      <c r="D4211" s="170"/>
      <c r="E4211" s="171"/>
      <c r="F4211" s="172"/>
      <c r="G4211" s="173"/>
      <c r="H4211" s="174"/>
      <c r="I4211" s="175"/>
      <c r="J4211" s="172"/>
      <c r="K4211" s="176"/>
      <c r="L4211" s="176"/>
      <c r="M4211" s="176"/>
      <c r="N4211" s="177"/>
      <c r="O4211" s="177"/>
      <c r="P4211" s="178"/>
      <c r="Q4211" s="177"/>
      <c r="R4211" s="170"/>
      <c r="S4211" s="170"/>
      <c r="T4211" s="179"/>
      <c r="U4211" s="179"/>
      <c r="V4211" s="179"/>
      <c r="W4211" s="180"/>
      <c r="X4211" s="181"/>
      <c r="Y4211" s="182"/>
      <c r="Z4211" s="182"/>
      <c r="AA4211" s="182"/>
      <c r="AB4211" s="182"/>
      <c r="AC4211" s="183"/>
      <c r="AD4211" s="183"/>
      <c r="AE4211" s="183"/>
      <c r="AF4211" s="184"/>
      <c r="AG4211" s="180"/>
      <c r="AH4211" s="185"/>
      <c r="AI4211" s="182"/>
      <c r="AJ4211" s="182"/>
      <c r="AK4211" s="182"/>
      <c r="AL4211" s="182"/>
    </row>
    <row r="4212" ht="20.25" customHeight="1">
      <c r="A4212" s="169"/>
      <c r="B4212" s="170"/>
      <c r="C4212" s="170"/>
      <c r="D4212" s="170"/>
      <c r="E4212" s="171"/>
      <c r="F4212" s="172"/>
      <c r="G4212" s="173"/>
      <c r="H4212" s="174"/>
      <c r="I4212" s="175"/>
      <c r="J4212" s="172"/>
      <c r="K4212" s="176"/>
      <c r="L4212" s="176"/>
      <c r="M4212" s="176"/>
      <c r="N4212" s="177"/>
      <c r="O4212" s="177"/>
      <c r="P4212" s="178"/>
      <c r="Q4212" s="177"/>
      <c r="R4212" s="170"/>
      <c r="S4212" s="170"/>
      <c r="T4212" s="179"/>
      <c r="U4212" s="179"/>
      <c r="V4212" s="179"/>
      <c r="W4212" s="180"/>
      <c r="X4212" s="181"/>
      <c r="Y4212" s="182"/>
      <c r="Z4212" s="182"/>
      <c r="AA4212" s="182"/>
      <c r="AB4212" s="182"/>
      <c r="AC4212" s="183"/>
      <c r="AD4212" s="183"/>
      <c r="AE4212" s="183"/>
      <c r="AF4212" s="184"/>
      <c r="AG4212" s="180"/>
      <c r="AH4212" s="185"/>
      <c r="AI4212" s="182"/>
      <c r="AJ4212" s="182"/>
      <c r="AK4212" s="182"/>
      <c r="AL4212" s="182"/>
    </row>
    <row r="4213" ht="20.25" customHeight="1">
      <c r="A4213" s="169"/>
      <c r="B4213" s="170"/>
      <c r="C4213" s="170"/>
      <c r="D4213" s="170"/>
      <c r="E4213" s="171"/>
      <c r="F4213" s="172"/>
      <c r="G4213" s="173"/>
      <c r="H4213" s="174"/>
      <c r="I4213" s="175"/>
      <c r="J4213" s="172"/>
      <c r="K4213" s="176"/>
      <c r="L4213" s="176"/>
      <c r="M4213" s="176"/>
      <c r="N4213" s="177"/>
      <c r="O4213" s="177"/>
      <c r="P4213" s="178"/>
      <c r="Q4213" s="177"/>
      <c r="R4213" s="170"/>
      <c r="S4213" s="170"/>
      <c r="T4213" s="179"/>
      <c r="U4213" s="179"/>
      <c r="V4213" s="179"/>
      <c r="W4213" s="180"/>
      <c r="X4213" s="181"/>
      <c r="Y4213" s="182"/>
      <c r="Z4213" s="182"/>
      <c r="AA4213" s="182"/>
      <c r="AB4213" s="182"/>
      <c r="AC4213" s="183"/>
      <c r="AD4213" s="183"/>
      <c r="AE4213" s="183"/>
      <c r="AF4213" s="184"/>
      <c r="AG4213" s="180"/>
      <c r="AH4213" s="185"/>
      <c r="AI4213" s="182"/>
      <c r="AJ4213" s="182"/>
      <c r="AK4213" s="182"/>
      <c r="AL4213" s="182"/>
    </row>
    <row r="4214" ht="20.25" customHeight="1">
      <c r="A4214" s="169"/>
      <c r="B4214" s="170"/>
      <c r="C4214" s="170"/>
      <c r="D4214" s="170"/>
      <c r="E4214" s="171"/>
      <c r="F4214" s="172"/>
      <c r="G4214" s="173"/>
      <c r="H4214" s="174"/>
      <c r="I4214" s="175"/>
      <c r="J4214" s="172"/>
      <c r="K4214" s="176"/>
      <c r="L4214" s="176"/>
      <c r="M4214" s="176"/>
      <c r="N4214" s="177"/>
      <c r="O4214" s="177"/>
      <c r="P4214" s="178"/>
      <c r="Q4214" s="177"/>
      <c r="R4214" s="170"/>
      <c r="S4214" s="170"/>
      <c r="T4214" s="179"/>
      <c r="U4214" s="179"/>
      <c r="V4214" s="179"/>
      <c r="W4214" s="180"/>
      <c r="X4214" s="181"/>
      <c r="Y4214" s="182"/>
      <c r="Z4214" s="182"/>
      <c r="AA4214" s="182"/>
      <c r="AB4214" s="182"/>
      <c r="AC4214" s="183"/>
      <c r="AD4214" s="183"/>
      <c r="AE4214" s="183"/>
      <c r="AF4214" s="184"/>
      <c r="AG4214" s="180"/>
      <c r="AH4214" s="185"/>
      <c r="AI4214" s="182"/>
      <c r="AJ4214" s="182"/>
      <c r="AK4214" s="182"/>
      <c r="AL4214" s="182"/>
    </row>
    <row r="4215" ht="20.25" customHeight="1">
      <c r="A4215" s="169"/>
      <c r="B4215" s="170"/>
      <c r="C4215" s="170"/>
      <c r="D4215" s="170"/>
      <c r="E4215" s="171"/>
      <c r="F4215" s="172"/>
      <c r="G4215" s="173"/>
      <c r="H4215" s="174"/>
      <c r="I4215" s="175"/>
      <c r="J4215" s="172"/>
      <c r="K4215" s="176"/>
      <c r="L4215" s="176"/>
      <c r="M4215" s="176"/>
      <c r="N4215" s="177"/>
      <c r="O4215" s="177"/>
      <c r="P4215" s="178"/>
      <c r="Q4215" s="177"/>
      <c r="R4215" s="170"/>
      <c r="S4215" s="170"/>
      <c r="T4215" s="179"/>
      <c r="U4215" s="179"/>
      <c r="V4215" s="179"/>
      <c r="W4215" s="180"/>
      <c r="X4215" s="181"/>
      <c r="Y4215" s="182"/>
      <c r="Z4215" s="182"/>
      <c r="AA4215" s="182"/>
      <c r="AB4215" s="182"/>
      <c r="AC4215" s="183"/>
      <c r="AD4215" s="183"/>
      <c r="AE4215" s="183"/>
      <c r="AF4215" s="184"/>
      <c r="AG4215" s="180"/>
      <c r="AH4215" s="185"/>
      <c r="AI4215" s="182"/>
      <c r="AJ4215" s="182"/>
      <c r="AK4215" s="182"/>
      <c r="AL4215" s="182"/>
    </row>
    <row r="4216" ht="20.25" customHeight="1">
      <c r="A4216" s="169"/>
      <c r="B4216" s="170"/>
      <c r="C4216" s="170"/>
      <c r="D4216" s="170"/>
      <c r="E4216" s="171"/>
      <c r="F4216" s="172"/>
      <c r="G4216" s="173"/>
      <c r="H4216" s="174"/>
      <c r="I4216" s="175"/>
      <c r="J4216" s="172"/>
      <c r="K4216" s="176"/>
      <c r="L4216" s="176"/>
      <c r="M4216" s="176"/>
      <c r="N4216" s="177"/>
      <c r="O4216" s="177"/>
      <c r="P4216" s="178"/>
      <c r="Q4216" s="177"/>
      <c r="R4216" s="170"/>
      <c r="S4216" s="170"/>
      <c r="T4216" s="179"/>
      <c r="U4216" s="179"/>
      <c r="V4216" s="179"/>
      <c r="W4216" s="180"/>
      <c r="X4216" s="181"/>
      <c r="Y4216" s="182"/>
      <c r="Z4216" s="182"/>
      <c r="AA4216" s="182"/>
      <c r="AB4216" s="182"/>
      <c r="AC4216" s="183"/>
      <c r="AD4216" s="183"/>
      <c r="AE4216" s="183"/>
      <c r="AF4216" s="184"/>
      <c r="AG4216" s="180"/>
      <c r="AH4216" s="185"/>
      <c r="AI4216" s="182"/>
      <c r="AJ4216" s="182"/>
      <c r="AK4216" s="182"/>
      <c r="AL4216" s="182"/>
    </row>
    <row r="4217" ht="20.25" customHeight="1">
      <c r="A4217" s="169"/>
      <c r="B4217" s="170"/>
      <c r="C4217" s="170"/>
      <c r="D4217" s="170"/>
      <c r="E4217" s="171"/>
      <c r="F4217" s="172"/>
      <c r="G4217" s="173"/>
      <c r="H4217" s="174"/>
      <c r="I4217" s="175"/>
      <c r="J4217" s="172"/>
      <c r="K4217" s="176"/>
      <c r="L4217" s="176"/>
      <c r="M4217" s="176"/>
      <c r="N4217" s="177"/>
      <c r="O4217" s="177"/>
      <c r="P4217" s="178"/>
      <c r="Q4217" s="177"/>
      <c r="R4217" s="170"/>
      <c r="S4217" s="170"/>
      <c r="T4217" s="179"/>
      <c r="U4217" s="179"/>
      <c r="V4217" s="179"/>
      <c r="W4217" s="180"/>
      <c r="X4217" s="181"/>
      <c r="Y4217" s="182"/>
      <c r="Z4217" s="182"/>
      <c r="AA4217" s="182"/>
      <c r="AB4217" s="182"/>
      <c r="AC4217" s="183"/>
      <c r="AD4217" s="183"/>
      <c r="AE4217" s="183"/>
      <c r="AF4217" s="184"/>
      <c r="AG4217" s="180"/>
      <c r="AH4217" s="185"/>
      <c r="AI4217" s="182"/>
      <c r="AJ4217" s="182"/>
      <c r="AK4217" s="182"/>
      <c r="AL4217" s="182"/>
    </row>
    <row r="4218" ht="20.25" customHeight="1">
      <c r="A4218" s="169"/>
      <c r="B4218" s="170"/>
      <c r="C4218" s="170"/>
      <c r="D4218" s="170"/>
      <c r="E4218" s="171"/>
      <c r="F4218" s="172"/>
      <c r="G4218" s="173"/>
      <c r="H4218" s="174"/>
      <c r="I4218" s="175"/>
      <c r="J4218" s="172"/>
      <c r="K4218" s="176"/>
      <c r="L4218" s="176"/>
      <c r="M4218" s="176"/>
      <c r="N4218" s="177"/>
      <c r="O4218" s="177"/>
      <c r="P4218" s="178"/>
      <c r="Q4218" s="177"/>
      <c r="R4218" s="170"/>
      <c r="S4218" s="170"/>
      <c r="T4218" s="179"/>
      <c r="U4218" s="179"/>
      <c r="V4218" s="179"/>
      <c r="W4218" s="180"/>
      <c r="X4218" s="181"/>
      <c r="Y4218" s="182"/>
      <c r="Z4218" s="182"/>
      <c r="AA4218" s="182"/>
      <c r="AB4218" s="182"/>
      <c r="AC4218" s="183"/>
      <c r="AD4218" s="183"/>
      <c r="AE4218" s="183"/>
      <c r="AF4218" s="184"/>
      <c r="AG4218" s="180"/>
      <c r="AH4218" s="185"/>
      <c r="AI4218" s="182"/>
      <c r="AJ4218" s="182"/>
      <c r="AK4218" s="182"/>
      <c r="AL4218" s="182"/>
    </row>
    <row r="4219" ht="20.25" customHeight="1">
      <c r="A4219" s="169"/>
      <c r="B4219" s="170"/>
      <c r="C4219" s="170"/>
      <c r="D4219" s="170"/>
      <c r="E4219" s="171"/>
      <c r="F4219" s="172"/>
      <c r="G4219" s="173"/>
      <c r="H4219" s="174"/>
      <c r="I4219" s="175"/>
      <c r="J4219" s="172"/>
      <c r="K4219" s="176"/>
      <c r="L4219" s="176"/>
      <c r="M4219" s="176"/>
      <c r="N4219" s="177"/>
      <c r="O4219" s="177"/>
      <c r="P4219" s="178"/>
      <c r="Q4219" s="177"/>
      <c r="R4219" s="170"/>
      <c r="S4219" s="170"/>
      <c r="T4219" s="179"/>
      <c r="U4219" s="179"/>
      <c r="V4219" s="179"/>
      <c r="W4219" s="180"/>
      <c r="X4219" s="181"/>
      <c r="Y4219" s="182"/>
      <c r="Z4219" s="182"/>
      <c r="AA4219" s="182"/>
      <c r="AB4219" s="182"/>
      <c r="AC4219" s="183"/>
      <c r="AD4219" s="183"/>
      <c r="AE4219" s="183"/>
      <c r="AF4219" s="184"/>
      <c r="AG4219" s="180"/>
      <c r="AH4219" s="185"/>
      <c r="AI4219" s="182"/>
      <c r="AJ4219" s="182"/>
      <c r="AK4219" s="182"/>
      <c r="AL4219" s="182"/>
    </row>
    <row r="4220" ht="20.25" customHeight="1">
      <c r="A4220" s="169"/>
      <c r="B4220" s="170"/>
      <c r="C4220" s="170"/>
      <c r="D4220" s="170"/>
      <c r="E4220" s="171"/>
      <c r="F4220" s="172"/>
      <c r="G4220" s="173"/>
      <c r="H4220" s="174"/>
      <c r="I4220" s="175"/>
      <c r="J4220" s="172"/>
      <c r="K4220" s="176"/>
      <c r="L4220" s="176"/>
      <c r="M4220" s="176"/>
      <c r="N4220" s="177"/>
      <c r="O4220" s="177"/>
      <c r="P4220" s="178"/>
      <c r="Q4220" s="177"/>
      <c r="R4220" s="170"/>
      <c r="S4220" s="170"/>
      <c r="T4220" s="179"/>
      <c r="U4220" s="179"/>
      <c r="V4220" s="179"/>
      <c r="W4220" s="180"/>
      <c r="X4220" s="181"/>
      <c r="Y4220" s="182"/>
      <c r="Z4220" s="182"/>
      <c r="AA4220" s="182"/>
      <c r="AB4220" s="182"/>
      <c r="AC4220" s="183"/>
      <c r="AD4220" s="183"/>
      <c r="AE4220" s="183"/>
      <c r="AF4220" s="184"/>
      <c r="AG4220" s="180"/>
      <c r="AH4220" s="185"/>
      <c r="AI4220" s="182"/>
      <c r="AJ4220" s="182"/>
      <c r="AK4220" s="182"/>
      <c r="AL4220" s="182"/>
    </row>
    <row r="4221" ht="20.25" customHeight="1">
      <c r="A4221" s="169"/>
      <c r="B4221" s="170"/>
      <c r="C4221" s="170"/>
      <c r="D4221" s="170"/>
      <c r="E4221" s="171"/>
      <c r="F4221" s="172"/>
      <c r="G4221" s="173"/>
      <c r="H4221" s="174"/>
      <c r="I4221" s="175"/>
      <c r="J4221" s="172"/>
      <c r="K4221" s="176"/>
      <c r="L4221" s="176"/>
      <c r="M4221" s="176"/>
      <c r="N4221" s="177"/>
      <c r="O4221" s="177"/>
      <c r="P4221" s="178"/>
      <c r="Q4221" s="177"/>
      <c r="R4221" s="170"/>
      <c r="S4221" s="170"/>
      <c r="T4221" s="179"/>
      <c r="U4221" s="179"/>
      <c r="V4221" s="179"/>
      <c r="W4221" s="180"/>
      <c r="X4221" s="181"/>
      <c r="Y4221" s="182"/>
      <c r="Z4221" s="182"/>
      <c r="AA4221" s="182"/>
      <c r="AB4221" s="182"/>
      <c r="AC4221" s="183"/>
      <c r="AD4221" s="183"/>
      <c r="AE4221" s="183"/>
      <c r="AF4221" s="184"/>
      <c r="AG4221" s="180"/>
      <c r="AH4221" s="185"/>
      <c r="AI4221" s="182"/>
      <c r="AJ4221" s="182"/>
      <c r="AK4221" s="182"/>
      <c r="AL4221" s="182"/>
    </row>
  </sheetData>
  <conditionalFormatting sqref="E4:F4221">
    <cfRule type="expression" dxfId="0" priority="1">
      <formula>(E4&lt;&gt;"")*($AH4&lt;&gt;"")*(E4-$AH4&gt;1)</formula>
    </cfRule>
  </conditionalFormatting>
  <hyperlinks>
    <hyperlink r:id="rId1" ref="A2006"/>
    <hyperlink r:id="rId2" ref="A3605"/>
  </hyperlinks>
  <printOptions gridLines="1" horizontalCentered="1"/>
  <pageMargins bottom="0.75" footer="0.0" header="0.0" left="0.7" right="0.7" top="0.75"/>
  <pageSetup fitToHeight="0" paperSize="9" cellComments="atEnd" orientation="landscape" pageOrder="overThenDown"/>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sheetData>
    <row r="1">
      <c r="A1" s="187" t="str">
        <f>IFERROR(__xludf.DUMMYFUNCTION("importrange(""https://docs.google.com/spreadsheets/d/16H__gRsxZ_WpgklwgGm0e7UpDJVpaW2fO0H25C-8IO0/edit#gid=388184889"",""'Model 3 entries2'!A:AJ"")"),"Username")</f>
        <v>Username</v>
      </c>
      <c r="B1" t="str">
        <f>IFERROR(__xludf.DUMMYFUNCTION("""COMPUTED_VALUE"""),"City or town")</f>
        <v>City or town</v>
      </c>
      <c r="C1" t="str">
        <f>IFERROR(__xludf.DUMMYFUNCTION("""COMPUTED_VALUE"""),"State or Province")</f>
        <v>State or Province</v>
      </c>
      <c r="D1" t="str">
        <f>IFERROR(__xludf.DUMMYFUNCTION("""COMPUTED_VALUE"""),"Country")</f>
        <v>Country</v>
      </c>
      <c r="E1" t="str">
        <f>IFERROR(__xludf.DUMMYFUNCTION("""COMPUTED_VALUE"""),"Order date ▼")</f>
        <v>Order date ▼</v>
      </c>
      <c r="F1" t="str">
        <f>IFERROR(__xludf.DUMMYFUNCTION("""COMPUTED_VALUE"""),"VIN Date")</f>
        <v>VIN Date</v>
      </c>
      <c r="G1" t="str">
        <f>IFERROR(__xludf.DUMMYFUNCTION("""COMPUTED_VALUE"""),"VIN source")</f>
        <v>VIN source</v>
      </c>
      <c r="H1" t="str">
        <f>IFERROR(__xludf.DUMMYFUNCTION("""COMPUTED_VALUE"""),"VIN")</f>
        <v>VIN</v>
      </c>
      <c r="I1" t="str">
        <f>IFERROR(__xludf.DUMMYFUNCTION("""COMPUTED_VALUE"""),"Month/Year of manufacture")</f>
        <v>Month/Year of manufacture</v>
      </c>
      <c r="J1" s="5" t="str">
        <f>IFERROR(__xludf.DUMMYFUNCTION("""COMPUTED_VALUE"""),"Delivery Date")</f>
        <v>Delivery Date</v>
      </c>
      <c r="K1" t="str">
        <f>IFERROR(__xludf.DUMMYFUNCTION("""COMPUTED_VALUE"""),"Order to VIN")</f>
        <v>Order to VIN</v>
      </c>
      <c r="L1" t="str">
        <f>IFERROR(__xludf.DUMMYFUNCTION("""COMPUTED_VALUE"""),"VIN to Delivery")</f>
        <v>VIN to Delivery</v>
      </c>
      <c r="M1" t="str">
        <f>IFERROR(__xludf.DUMMYFUNCTION("""COMPUTED_VALUE"""),"Order to Delivery")</f>
        <v>Order to Delivery</v>
      </c>
      <c r="N1" t="str">
        <f>IFERROR(__xludf.DUMMYFUNCTION("""COMPUTED_VALUE"""),"Trim level")</f>
        <v>Trim level</v>
      </c>
      <c r="O1" t="str">
        <f>IFERROR(__xludf.DUMMYFUNCTION("""COMPUTED_VALUE"""),"Paint color")</f>
        <v>Paint color</v>
      </c>
      <c r="P1" t="str">
        <f>IFERROR(__xludf.DUMMYFUNCTION("""COMPUTED_VALUE"""),"Wheels")</f>
        <v>Wheels</v>
      </c>
      <c r="Q1" t="str">
        <f>IFERROR(__xludf.DUMMYFUNCTION("""COMPUTED_VALUE"""),"Interior")</f>
        <v>Interior</v>
      </c>
      <c r="R1" t="str">
        <f>IFERROR(__xludf.DUMMYFUNCTION("""COMPUTED_VALUE"""),"Autopilot")</f>
        <v>Autopilot</v>
      </c>
      <c r="S1" t="str">
        <f>IFERROR(__xludf.DUMMYFUNCTION("""COMPUTED_VALUE"""),"Purchase Method")</f>
        <v>Purchase Method</v>
      </c>
      <c r="T1" t="str">
        <f>IFERROR(__xludf.DUMMYFUNCTION("""COMPUTED_VALUE"""),"What is your current car?")</f>
        <v>What is your current car?</v>
      </c>
      <c r="U1" t="str">
        <f>IFERROR(__xludf.DUMMYFUNCTION("""COMPUTED_VALUE"""),"What do you like most about Model Y?")</f>
        <v>What do you like most about Model Y?</v>
      </c>
      <c r="V1" t="str">
        <f>IFERROR(__xludf.DUMMYFUNCTION("""COMPUTED_VALUE"""),"What do you wish Tesla would add to Model Y?")</f>
        <v>What do you wish Tesla would add to Model Y?</v>
      </c>
      <c r="W1" t="str">
        <f>IFERROR(__xludf.DUMMYFUNCTION("""COMPUTED_VALUE"""),"Any tips or advice for new buyers?")</f>
        <v>Any tips or advice for new buyers?</v>
      </c>
      <c r="X1" t="str">
        <f>IFERROR(__xludf.DUMMYFUNCTION("""COMPUTED_VALUE"""),"Panel gaps")</f>
        <v>Panel gaps</v>
      </c>
      <c r="Y1" t="str">
        <f>IFERROR(__xludf.DUMMYFUNCTION("""COMPUTED_VALUE"""),"Interior fit and finish")</f>
        <v>Interior fit and finish</v>
      </c>
      <c r="Z1" t="str">
        <f>IFERROR(__xludf.DUMMYFUNCTION("""COMPUTED_VALUE"""),"Paint and exterior surfaces")</f>
        <v>Paint and exterior surfaces</v>
      </c>
      <c r="AA1" t="str">
        <f>IFERROR(__xludf.DUMMYFUNCTION("""COMPUTED_VALUE"""),"Communication prior to delivery")</f>
        <v>Communication prior to delivery</v>
      </c>
      <c r="AB1" t="str">
        <f>IFERROR(__xludf.DUMMYFUNCTION("""COMPUTED_VALUE"""),"Delivery experience")</f>
        <v>Delivery experience</v>
      </c>
      <c r="AC1" t="str">
        <f>IFERROR(__xludf.DUMMYFUNCTION("""COMPUTED_VALUE"""),"Number of defects that needed fixing")</f>
        <v>Number of defects that needed fixing</v>
      </c>
      <c r="AD1" t="str">
        <f>IFERROR(__xludf.DUMMYFUNCTION("""COMPUTED_VALUE"""),"Number of service center or mobile service visits")</f>
        <v>Number of service center or mobile service visits</v>
      </c>
      <c r="AE1" t="str">
        <f>IFERROR(__xludf.DUMMYFUNCTION("""COMPUTED_VALUE"""),"Number of days Tesla kept the car for repairs")</f>
        <v>Number of days Tesla kept the car for repairs</v>
      </c>
      <c r="AF1" t="str">
        <f>IFERROR(__xludf.DUMMYFUNCTION("""COMPUTED_VALUE"""),"Have you refused delivery or returned the car?")</f>
        <v>Have you refused delivery or returned the car?</v>
      </c>
      <c r="AG1" t="str">
        <f>IFERROR(__xludf.DUMMYFUNCTION("""COMPUTED_VALUE"""),"Other comments")</f>
        <v>Other comments</v>
      </c>
      <c r="AH1" t="str">
        <f>IFERROR(__xludf.DUMMYFUNCTION("""COMPUTED_VALUE"""),"Last Update")</f>
        <v>Last Update</v>
      </c>
    </row>
    <row r="2">
      <c r="A2" t="str">
        <f>IFERROR(__xludf.DUMMYFUNCTION("""COMPUTED_VALUE"""),"Sckego ")</f>
        <v>Sckego </v>
      </c>
      <c r="B2" t="str">
        <f>IFERROR(__xludf.DUMMYFUNCTION("""COMPUTED_VALUE"""),"San jose")</f>
        <v>San jose</v>
      </c>
      <c r="C2" t="str">
        <f>IFERROR(__xludf.DUMMYFUNCTION("""COMPUTED_VALUE"""),"CA")</f>
        <v>CA</v>
      </c>
      <c r="D2" t="str">
        <f>IFERROR(__xludf.DUMMYFUNCTION("""COMPUTED_VALUE"""),"USA")</f>
        <v>USA</v>
      </c>
      <c r="E2" s="188">
        <f>IFERROR(__xludf.DUMMYFUNCTION("""COMPUTED_VALUE"""),43153.0)</f>
        <v>43153</v>
      </c>
      <c r="F2" s="188">
        <f>IFERROR(__xludf.DUMMYFUNCTION("""COMPUTED_VALUE"""),43179.0)</f>
        <v>43179</v>
      </c>
      <c r="H2">
        <f>IFERROR(__xludf.DUMMYFUNCTION("""COMPUTED_VALUE"""),11655.0)</f>
        <v>11655</v>
      </c>
      <c r="J2" s="5">
        <f>IFERROR(__xludf.DUMMYFUNCTION("""COMPUTED_VALUE"""),43189.0)</f>
        <v>43189</v>
      </c>
      <c r="K2">
        <f>IFERROR(__xludf.DUMMYFUNCTION("""COMPUTED_VALUE"""),26.0)</f>
        <v>26</v>
      </c>
      <c r="L2">
        <f>IFERROR(__xludf.DUMMYFUNCTION("""COMPUTED_VALUE"""),10.0)</f>
        <v>10</v>
      </c>
      <c r="M2">
        <f>IFERROR(__xludf.DUMMYFUNCTION("""COMPUTED_VALUE"""),36.0)</f>
        <v>36</v>
      </c>
      <c r="N2" t="str">
        <f>IFERROR(__xludf.DUMMYFUNCTION("""COMPUTED_VALUE"""),"Model 3 LR")</f>
        <v>Model 3 LR</v>
      </c>
      <c r="O2" t="str">
        <f>IFERROR(__xludf.DUMMYFUNCTION("""COMPUTED_VALUE"""),"Silver Metallic")</f>
        <v>Silver Metallic</v>
      </c>
      <c r="P2" t="str">
        <f>IFERROR(__xludf.DUMMYFUNCTION("""COMPUTED_VALUE"""),"18 inch Aero")</f>
        <v>18 inch Aero</v>
      </c>
      <c r="Q2" t="str">
        <f>IFERROR(__xludf.DUMMYFUNCTION("""COMPUTED_VALUE"""),"Black seats")</f>
        <v>Black seats</v>
      </c>
      <c r="R2" t="str">
        <f>IFERROR(__xludf.DUMMYFUNCTION("""COMPUTED_VALUE"""),"Enhanced Autopilot")</f>
        <v>Enhanced Autopilot</v>
      </c>
      <c r="X2" t="str">
        <f>IFERROR(__xludf.DUMMYFUNCTION("""COMPUTED_VALUE"""),"Excellent")</f>
        <v>Excellent</v>
      </c>
      <c r="Y2" t="str">
        <f>IFERROR(__xludf.DUMMYFUNCTION("""COMPUTED_VALUE"""),"Excellent")</f>
        <v>Excellent</v>
      </c>
      <c r="Z2" t="str">
        <f>IFERROR(__xludf.DUMMYFUNCTION("""COMPUTED_VALUE"""),"Excellent")</f>
        <v>Excellent</v>
      </c>
      <c r="AB2" t="str">
        <f>IFERROR(__xludf.DUMMYFUNCTION("""COMPUTED_VALUE"""),"Excellent")</f>
        <v>Excellent</v>
      </c>
      <c r="AH2" s="189">
        <f>IFERROR(__xludf.DUMMYFUNCTION("""COMPUTED_VALUE"""),43223.36295967593)</f>
        <v>43223.36296</v>
      </c>
    </row>
    <row r="3">
      <c r="A3" t="str">
        <f>IFERROR(__xludf.DUMMYFUNCTION("""COMPUTED_VALUE"""),"I_Has_A_Bucket")</f>
        <v>I_Has_A_Bucket</v>
      </c>
      <c r="B3" t="str">
        <f>IFERROR(__xludf.DUMMYFUNCTION("""COMPUTED_VALUE"""),"San Jose")</f>
        <v>San Jose</v>
      </c>
      <c r="C3" t="str">
        <f>IFERROR(__xludf.DUMMYFUNCTION("""COMPUTED_VALUE"""),"CA")</f>
        <v>CA</v>
      </c>
      <c r="D3" t="str">
        <f>IFERROR(__xludf.DUMMYFUNCTION("""COMPUTED_VALUE"""),"USA")</f>
        <v>USA</v>
      </c>
      <c r="E3" s="188">
        <f>IFERROR(__xludf.DUMMYFUNCTION("""COMPUTED_VALUE"""),43153.0)</f>
        <v>43153</v>
      </c>
      <c r="F3" s="188">
        <f>IFERROR(__xludf.DUMMYFUNCTION("""COMPUTED_VALUE"""),43179.0)</f>
        <v>43179</v>
      </c>
      <c r="H3">
        <f>IFERROR(__xludf.DUMMYFUNCTION("""COMPUTED_VALUE"""),9055.0)</f>
        <v>9055</v>
      </c>
      <c r="J3" s="5">
        <f>IFERROR(__xludf.DUMMYFUNCTION("""COMPUTED_VALUE"""),43187.0)</f>
        <v>43187</v>
      </c>
      <c r="K3">
        <f>IFERROR(__xludf.DUMMYFUNCTION("""COMPUTED_VALUE"""),26.0)</f>
        <v>26</v>
      </c>
      <c r="L3">
        <f>IFERROR(__xludf.DUMMYFUNCTION("""COMPUTED_VALUE"""),8.0)</f>
        <v>8</v>
      </c>
      <c r="M3">
        <f>IFERROR(__xludf.DUMMYFUNCTION("""COMPUTED_VALUE"""),34.0)</f>
        <v>34</v>
      </c>
      <c r="N3" t="str">
        <f>IFERROR(__xludf.DUMMYFUNCTION("""COMPUTED_VALUE"""),"Model 3 LR")</f>
        <v>Model 3 LR</v>
      </c>
      <c r="O3" t="str">
        <f>IFERROR(__xludf.DUMMYFUNCTION("""COMPUTED_VALUE"""),"Deep Blue Metallic")</f>
        <v>Deep Blue Metallic</v>
      </c>
      <c r="P3" t="str">
        <f>IFERROR(__xludf.DUMMYFUNCTION("""COMPUTED_VALUE"""),"18 inch Aero")</f>
        <v>18 inch Aero</v>
      </c>
      <c r="Q3" t="str">
        <f>IFERROR(__xludf.DUMMYFUNCTION("""COMPUTED_VALUE"""),"Black seats")</f>
        <v>Black seats</v>
      </c>
      <c r="R3" t="str">
        <f>IFERROR(__xludf.DUMMYFUNCTION("""COMPUTED_VALUE"""),"Enhanced Autopilot")</f>
        <v>Enhanced Autopilot</v>
      </c>
      <c r="X3" t="str">
        <f>IFERROR(__xludf.DUMMYFUNCTION("""COMPUTED_VALUE"""),"Good")</f>
        <v>Good</v>
      </c>
      <c r="Y3" t="str">
        <f>IFERROR(__xludf.DUMMYFUNCTION("""COMPUTED_VALUE"""),"Very Good")</f>
        <v>Very Good</v>
      </c>
      <c r="Z3" t="str">
        <f>IFERROR(__xludf.DUMMYFUNCTION("""COMPUTED_VALUE"""),"Very Good")</f>
        <v>Very Good</v>
      </c>
      <c r="AB3" t="str">
        <f>IFERROR(__xludf.DUMMYFUNCTION("""COMPUTED_VALUE"""),"Good")</f>
        <v>Good</v>
      </c>
      <c r="AG3" t="str">
        <f>IFERROR(__xludf.DUMMYFUNCTION("""COMPUTED_VALUE"""),"Reservation made in-store in Maryland, moved to California")</f>
        <v>Reservation made in-store in Maryland, moved to California</v>
      </c>
      <c r="AH3" s="189">
        <f>IFERROR(__xludf.DUMMYFUNCTION("""COMPUTED_VALUE"""),43223.37408432871)</f>
        <v>43223.37408</v>
      </c>
    </row>
    <row r="4">
      <c r="A4" t="str">
        <f>IFERROR(__xludf.DUMMYFUNCTION("""COMPUTED_VALUE"""),"jbburgess")</f>
        <v>jbburgess</v>
      </c>
      <c r="B4" t="str">
        <f>IFERROR(__xludf.DUMMYFUNCTION("""COMPUTED_VALUE"""),"Reno")</f>
        <v>Reno</v>
      </c>
      <c r="C4" t="str">
        <f>IFERROR(__xludf.DUMMYFUNCTION("""COMPUTED_VALUE"""),"NV")</f>
        <v>NV</v>
      </c>
      <c r="D4" t="str">
        <f>IFERROR(__xludf.DUMMYFUNCTION("""COMPUTED_VALUE"""),"USA")</f>
        <v>USA</v>
      </c>
      <c r="E4" s="188">
        <f>IFERROR(__xludf.DUMMYFUNCTION("""COMPUTED_VALUE"""),43200.0)</f>
        <v>43200</v>
      </c>
      <c r="F4" s="188">
        <f>IFERROR(__xludf.DUMMYFUNCTION("""COMPUTED_VALUE"""),43202.0)</f>
        <v>43202</v>
      </c>
      <c r="H4">
        <f>IFERROR(__xludf.DUMMYFUNCTION("""COMPUTED_VALUE"""),18355.0)</f>
        <v>18355</v>
      </c>
      <c r="J4" s="5">
        <f>IFERROR(__xludf.DUMMYFUNCTION("""COMPUTED_VALUE"""),43216.0)</f>
        <v>43216</v>
      </c>
      <c r="K4">
        <f>IFERROR(__xludf.DUMMYFUNCTION("""COMPUTED_VALUE"""),2.0)</f>
        <v>2</v>
      </c>
      <c r="L4">
        <f>IFERROR(__xludf.DUMMYFUNCTION("""COMPUTED_VALUE"""),14.0)</f>
        <v>14</v>
      </c>
      <c r="M4">
        <f>IFERROR(__xludf.DUMMYFUNCTION("""COMPUTED_VALUE"""),16.0)</f>
        <v>16</v>
      </c>
      <c r="N4" t="str">
        <f>IFERROR(__xludf.DUMMYFUNCTION("""COMPUTED_VALUE"""),"Model 3 LR")</f>
        <v>Model 3 LR</v>
      </c>
      <c r="O4" t="str">
        <f>IFERROR(__xludf.DUMMYFUNCTION("""COMPUTED_VALUE"""),"Pearl White Multi-Coat")</f>
        <v>Pearl White Multi-Coat</v>
      </c>
      <c r="P4" t="str">
        <f>IFERROR(__xludf.DUMMYFUNCTION("""COMPUTED_VALUE"""),"19 inch Sport")</f>
        <v>19 inch Sport</v>
      </c>
      <c r="Q4" t="str">
        <f>IFERROR(__xludf.DUMMYFUNCTION("""COMPUTED_VALUE"""),"Black seats")</f>
        <v>Black seats</v>
      </c>
      <c r="R4" t="str">
        <f>IFERROR(__xludf.DUMMYFUNCTION("""COMPUTED_VALUE"""),"None")</f>
        <v>None</v>
      </c>
      <c r="X4" t="str">
        <f>IFERROR(__xludf.DUMMYFUNCTION("""COMPUTED_VALUE"""),"Very Good")</f>
        <v>Very Good</v>
      </c>
      <c r="Y4" t="str">
        <f>IFERROR(__xludf.DUMMYFUNCTION("""COMPUTED_VALUE"""),"Excellent")</f>
        <v>Excellent</v>
      </c>
      <c r="Z4" t="str">
        <f>IFERROR(__xludf.DUMMYFUNCTION("""COMPUTED_VALUE"""),"Excellent")</f>
        <v>Excellent</v>
      </c>
      <c r="AB4" t="str">
        <f>IFERROR(__xludf.DUMMYFUNCTION("""COMPUTED_VALUE"""),"Excellent")</f>
        <v>Excellent</v>
      </c>
      <c r="AG4" t="str">
        <f>IFERROR(__xludf.DUMMYFUNCTION("""COMPUTED_VALUE"""),"Lived in SF Bay Area on 3/31/16, reserved at Dublin, CA showroom.")</f>
        <v>Lived in SF Bay Area on 3/31/16, reserved at Dublin, CA showroom.</v>
      </c>
      <c r="AH4" s="189">
        <f>IFERROR(__xludf.DUMMYFUNCTION("""COMPUTED_VALUE"""),43223.40782649306)</f>
        <v>43223.40783</v>
      </c>
    </row>
    <row r="5">
      <c r="A5" t="str">
        <f>IFERROR(__xludf.DUMMYFUNCTION("""COMPUTED_VALUE"""),"IlliniPDX")</f>
        <v>IlliniPDX</v>
      </c>
      <c r="B5" t="str">
        <f>IFERROR(__xludf.DUMMYFUNCTION("""COMPUTED_VALUE"""),"Portland")</f>
        <v>Portland</v>
      </c>
      <c r="C5" t="str">
        <f>IFERROR(__xludf.DUMMYFUNCTION("""COMPUTED_VALUE"""),"OR")</f>
        <v>OR</v>
      </c>
      <c r="D5" t="str">
        <f>IFERROR(__xludf.DUMMYFUNCTION("""COMPUTED_VALUE"""),"USA")</f>
        <v>USA</v>
      </c>
      <c r="E5" s="188">
        <f>IFERROR(__xludf.DUMMYFUNCTION("""COMPUTED_VALUE"""),43196.0)</f>
        <v>43196</v>
      </c>
      <c r="F5" s="188">
        <f>IFERROR(__xludf.DUMMYFUNCTION("""COMPUTED_VALUE"""),43222.0)</f>
        <v>43222</v>
      </c>
      <c r="H5">
        <f>IFERROR(__xludf.DUMMYFUNCTION("""COMPUTED_VALUE"""),19665.0)</f>
        <v>19665</v>
      </c>
      <c r="J5" s="5">
        <f>IFERROR(__xludf.DUMMYFUNCTION("""COMPUTED_VALUE"""),43232.0)</f>
        <v>43232</v>
      </c>
      <c r="K5">
        <f>IFERROR(__xludf.DUMMYFUNCTION("""COMPUTED_VALUE"""),26.0)</f>
        <v>26</v>
      </c>
      <c r="L5">
        <f>IFERROR(__xludf.DUMMYFUNCTION("""COMPUTED_VALUE"""),10.0)</f>
        <v>10</v>
      </c>
      <c r="M5">
        <f>IFERROR(__xludf.DUMMYFUNCTION("""COMPUTED_VALUE"""),36.0)</f>
        <v>36</v>
      </c>
      <c r="N5" t="str">
        <f>IFERROR(__xludf.DUMMYFUNCTION("""COMPUTED_VALUE"""),"Model 3 LR")</f>
        <v>Model 3 LR</v>
      </c>
      <c r="O5" t="str">
        <f>IFERROR(__xludf.DUMMYFUNCTION("""COMPUTED_VALUE"""),"Pearl White Multi-Coat")</f>
        <v>Pearl White Multi-Coat</v>
      </c>
      <c r="P5" t="str">
        <f>IFERROR(__xludf.DUMMYFUNCTION("""COMPUTED_VALUE"""),"18 inch Aero")</f>
        <v>18 inch Aero</v>
      </c>
      <c r="Q5" t="str">
        <f>IFERROR(__xludf.DUMMYFUNCTION("""COMPUTED_VALUE"""),"Black seats")</f>
        <v>Black seats</v>
      </c>
      <c r="R5" t="str">
        <f>IFERROR(__xludf.DUMMYFUNCTION("""COMPUTED_VALUE"""),"Full Self-Driving")</f>
        <v>Full Self-Driving</v>
      </c>
      <c r="X5" t="str">
        <f>IFERROR(__xludf.DUMMYFUNCTION("""COMPUTED_VALUE"""),"Good")</f>
        <v>Good</v>
      </c>
      <c r="Y5" t="str">
        <f>IFERROR(__xludf.DUMMYFUNCTION("""COMPUTED_VALUE"""),"Good")</f>
        <v>Good</v>
      </c>
      <c r="Z5" t="str">
        <f>IFERROR(__xludf.DUMMYFUNCTION("""COMPUTED_VALUE"""),"Good")</f>
        <v>Good</v>
      </c>
      <c r="AB5" t="str">
        <f>IFERROR(__xludf.DUMMYFUNCTION("""COMPUTED_VALUE"""),"Good")</f>
        <v>Good</v>
      </c>
      <c r="AH5" s="189">
        <f>IFERROR(__xludf.DUMMYFUNCTION("""COMPUTED_VALUE"""),43223.552843819445)</f>
        <v>43223.55284</v>
      </c>
    </row>
    <row r="6">
      <c r="A6" t="str">
        <f>IFERROR(__xludf.DUMMYFUNCTION("""COMPUTED_VALUE"""),"tungholio")</f>
        <v>tungholio</v>
      </c>
      <c r="B6" t="str">
        <f>IFERROR(__xludf.DUMMYFUNCTION("""COMPUTED_VALUE"""),"San Rafael")</f>
        <v>San Rafael</v>
      </c>
      <c r="C6" t="str">
        <f>IFERROR(__xludf.DUMMYFUNCTION("""COMPUTED_VALUE"""),"CA")</f>
        <v>CA</v>
      </c>
      <c r="D6" t="str">
        <f>IFERROR(__xludf.DUMMYFUNCTION("""COMPUTED_VALUE"""),"USA")</f>
        <v>USA</v>
      </c>
      <c r="E6" s="188">
        <f>IFERROR(__xludf.DUMMYFUNCTION("""COMPUTED_VALUE"""),43209.0)</f>
        <v>43209</v>
      </c>
      <c r="F6" s="188">
        <f>IFERROR(__xludf.DUMMYFUNCTION("""COMPUTED_VALUE"""),43210.0)</f>
        <v>43210</v>
      </c>
      <c r="H6">
        <f>IFERROR(__xludf.DUMMYFUNCTION("""COMPUTED_VALUE"""),17895.0)</f>
        <v>17895</v>
      </c>
      <c r="J6" s="5">
        <f>IFERROR(__xludf.DUMMYFUNCTION("""COMPUTED_VALUE"""),43221.0)</f>
        <v>43221</v>
      </c>
      <c r="K6">
        <f>IFERROR(__xludf.DUMMYFUNCTION("""COMPUTED_VALUE"""),1.0)</f>
        <v>1</v>
      </c>
      <c r="L6">
        <f>IFERROR(__xludf.DUMMYFUNCTION("""COMPUTED_VALUE"""),11.0)</f>
        <v>11</v>
      </c>
      <c r="M6">
        <f>IFERROR(__xludf.DUMMYFUNCTION("""COMPUTED_VALUE"""),12.0)</f>
        <v>12</v>
      </c>
      <c r="N6" t="str">
        <f>IFERROR(__xludf.DUMMYFUNCTION("""COMPUTED_VALUE"""),"Model 3 LR")</f>
        <v>Model 3 LR</v>
      </c>
      <c r="O6" t="str">
        <f>IFERROR(__xludf.DUMMYFUNCTION("""COMPUTED_VALUE"""),"Silver Metallic")</f>
        <v>Silver Metallic</v>
      </c>
      <c r="P6" t="str">
        <f>IFERROR(__xludf.DUMMYFUNCTION("""COMPUTED_VALUE"""),"19 inch Sport")</f>
        <v>19 inch Sport</v>
      </c>
      <c r="Q6" t="str">
        <f>IFERROR(__xludf.DUMMYFUNCTION("""COMPUTED_VALUE"""),"Black seats")</f>
        <v>Black seats</v>
      </c>
      <c r="R6" t="str">
        <f>IFERROR(__xludf.DUMMYFUNCTION("""COMPUTED_VALUE"""),"Enhanced Autopilot")</f>
        <v>Enhanced Autopilot</v>
      </c>
      <c r="X6" t="str">
        <f>IFERROR(__xludf.DUMMYFUNCTION("""COMPUTED_VALUE"""),"Very Good")</f>
        <v>Very Good</v>
      </c>
      <c r="Y6" t="str">
        <f>IFERROR(__xludf.DUMMYFUNCTION("""COMPUTED_VALUE"""),"Very Good")</f>
        <v>Very Good</v>
      </c>
      <c r="Z6" t="str">
        <f>IFERROR(__xludf.DUMMYFUNCTION("""COMPUTED_VALUE"""),"Excellent")</f>
        <v>Excellent</v>
      </c>
      <c r="AB6" t="str">
        <f>IFERROR(__xludf.DUMMYFUNCTION("""COMPUTED_VALUE"""),"Very Good")</f>
        <v>Very Good</v>
      </c>
      <c r="AH6" s="189">
        <f>IFERROR(__xludf.DUMMYFUNCTION("""COMPUTED_VALUE"""),43223.620080312496)</f>
        <v>43223.62008</v>
      </c>
    </row>
    <row r="7">
      <c r="A7" t="str">
        <f>IFERROR(__xludf.DUMMYFUNCTION("""COMPUTED_VALUE"""),"dckiwi")</f>
        <v>dckiwi</v>
      </c>
      <c r="B7" t="str">
        <f>IFERROR(__xludf.DUMMYFUNCTION("""COMPUTED_VALUE"""),"Tysons Corner")</f>
        <v>Tysons Corner</v>
      </c>
      <c r="C7" t="str">
        <f>IFERROR(__xludf.DUMMYFUNCTION("""COMPUTED_VALUE"""),"VA")</f>
        <v>VA</v>
      </c>
      <c r="D7" t="str">
        <f>IFERROR(__xludf.DUMMYFUNCTION("""COMPUTED_VALUE"""),"USA")</f>
        <v>USA</v>
      </c>
      <c r="E7" s="188">
        <f>IFERROR(__xludf.DUMMYFUNCTION("""COMPUTED_VALUE"""),43150.0)</f>
        <v>43150</v>
      </c>
      <c r="F7" s="188">
        <f>IFERROR(__xludf.DUMMYFUNCTION("""COMPUTED_VALUE"""),43192.0)</f>
        <v>43192</v>
      </c>
      <c r="H7">
        <f>IFERROR(__xludf.DUMMYFUNCTION("""COMPUTED_VALUE"""),10655.0)</f>
        <v>10655</v>
      </c>
      <c r="J7" s="5">
        <f>IFERROR(__xludf.DUMMYFUNCTION("""COMPUTED_VALUE"""),43223.0)</f>
        <v>43223</v>
      </c>
      <c r="K7">
        <f>IFERROR(__xludf.DUMMYFUNCTION("""COMPUTED_VALUE"""),42.0)</f>
        <v>42</v>
      </c>
      <c r="L7">
        <f>IFERROR(__xludf.DUMMYFUNCTION("""COMPUTED_VALUE"""),31.0)</f>
        <v>31</v>
      </c>
      <c r="M7">
        <f>IFERROR(__xludf.DUMMYFUNCTION("""COMPUTED_VALUE"""),73.0)</f>
        <v>73</v>
      </c>
      <c r="N7" t="str">
        <f>IFERROR(__xludf.DUMMYFUNCTION("""COMPUTED_VALUE"""),"Model 3 LR")</f>
        <v>Model 3 LR</v>
      </c>
      <c r="O7" t="str">
        <f>IFERROR(__xludf.DUMMYFUNCTION("""COMPUTED_VALUE"""),"Pearl White Multi-Coat")</f>
        <v>Pearl White Multi-Coat</v>
      </c>
      <c r="P7" t="str">
        <f>IFERROR(__xludf.DUMMYFUNCTION("""COMPUTED_VALUE"""),"18 inch Aero")</f>
        <v>18 inch Aero</v>
      </c>
      <c r="Q7" t="str">
        <f>IFERROR(__xludf.DUMMYFUNCTION("""COMPUTED_VALUE"""),"Black seats")</f>
        <v>Black seats</v>
      </c>
      <c r="R7" t="str">
        <f>IFERROR(__xludf.DUMMYFUNCTION("""COMPUTED_VALUE"""),"Full Self-Driving")</f>
        <v>Full Self-Driving</v>
      </c>
      <c r="X7" t="str">
        <f>IFERROR(__xludf.DUMMYFUNCTION("""COMPUTED_VALUE"""),"Excellent")</f>
        <v>Excellent</v>
      </c>
      <c r="Y7" t="str">
        <f>IFERROR(__xludf.DUMMYFUNCTION("""COMPUTED_VALUE"""),"Excellent")</f>
        <v>Excellent</v>
      </c>
      <c r="Z7" t="str">
        <f>IFERROR(__xludf.DUMMYFUNCTION("""COMPUTED_VALUE"""),"Excellent")</f>
        <v>Excellent</v>
      </c>
      <c r="AB7" t="str">
        <f>IFERROR(__xludf.DUMMYFUNCTION("""COMPUTED_VALUE"""),"Excellent")</f>
        <v>Excellent</v>
      </c>
      <c r="AH7" s="189">
        <f>IFERROR(__xludf.DUMMYFUNCTION("""COMPUTED_VALUE"""),43223.82248351852)</f>
        <v>43223.82248</v>
      </c>
    </row>
    <row r="8">
      <c r="A8" t="str">
        <f>IFERROR(__xludf.DUMMYFUNCTION("""COMPUTED_VALUE"""),"treyjp")</f>
        <v>treyjp</v>
      </c>
      <c r="B8" t="str">
        <f>IFERROR(__xludf.DUMMYFUNCTION("""COMPUTED_VALUE"""),"Austin")</f>
        <v>Austin</v>
      </c>
      <c r="C8" t="str">
        <f>IFERROR(__xludf.DUMMYFUNCTION("""COMPUTED_VALUE"""),"TX")</f>
        <v>TX</v>
      </c>
      <c r="D8" t="str">
        <f>IFERROR(__xludf.DUMMYFUNCTION("""COMPUTED_VALUE"""),"USA")</f>
        <v>USA</v>
      </c>
      <c r="E8" s="188">
        <f>IFERROR(__xludf.DUMMYFUNCTION("""COMPUTED_VALUE"""),43181.0)</f>
        <v>43181</v>
      </c>
      <c r="F8" s="188">
        <f>IFERROR(__xludf.DUMMYFUNCTION("""COMPUTED_VALUE"""),43206.0)</f>
        <v>43206</v>
      </c>
      <c r="H8">
        <f>IFERROR(__xludf.DUMMYFUNCTION("""COMPUTED_VALUE"""),13896.0)</f>
        <v>13896</v>
      </c>
      <c r="J8" s="5">
        <f>IFERROR(__xludf.DUMMYFUNCTION("""COMPUTED_VALUE"""),43222.0)</f>
        <v>43222</v>
      </c>
      <c r="K8">
        <f>IFERROR(__xludf.DUMMYFUNCTION("""COMPUTED_VALUE"""),25.0)</f>
        <v>25</v>
      </c>
      <c r="L8">
        <f>IFERROR(__xludf.DUMMYFUNCTION("""COMPUTED_VALUE"""),16.0)</f>
        <v>16</v>
      </c>
      <c r="M8">
        <f>IFERROR(__xludf.DUMMYFUNCTION("""COMPUTED_VALUE"""),41.0)</f>
        <v>41</v>
      </c>
      <c r="N8" t="str">
        <f>IFERROR(__xludf.DUMMYFUNCTION("""COMPUTED_VALUE"""),"Model 3 LR")</f>
        <v>Model 3 LR</v>
      </c>
      <c r="O8" t="str">
        <f>IFERROR(__xludf.DUMMYFUNCTION("""COMPUTED_VALUE"""),"Solid Black")</f>
        <v>Solid Black</v>
      </c>
      <c r="P8" t="str">
        <f>IFERROR(__xludf.DUMMYFUNCTION("""COMPUTED_VALUE"""),"18 inch Aero")</f>
        <v>18 inch Aero</v>
      </c>
      <c r="Q8" t="str">
        <f>IFERROR(__xludf.DUMMYFUNCTION("""COMPUTED_VALUE"""),"Black seats")</f>
        <v>Black seats</v>
      </c>
      <c r="R8" t="str">
        <f>IFERROR(__xludf.DUMMYFUNCTION("""COMPUTED_VALUE"""),"Enhanced Autopilot")</f>
        <v>Enhanced Autopilot</v>
      </c>
      <c r="X8" t="str">
        <f>IFERROR(__xludf.DUMMYFUNCTION("""COMPUTED_VALUE"""),"Very Good")</f>
        <v>Very Good</v>
      </c>
      <c r="Y8" t="str">
        <f>IFERROR(__xludf.DUMMYFUNCTION("""COMPUTED_VALUE"""),"Very Good")</f>
        <v>Very Good</v>
      </c>
      <c r="Z8" t="str">
        <f>IFERROR(__xludf.DUMMYFUNCTION("""COMPUTED_VALUE"""),"Very Good")</f>
        <v>Very Good</v>
      </c>
      <c r="AB8" t="str">
        <f>IFERROR(__xludf.DUMMYFUNCTION("""COMPUTED_VALUE"""),"Excellent")</f>
        <v>Excellent</v>
      </c>
      <c r="AH8" s="189">
        <f>IFERROR(__xludf.DUMMYFUNCTION("""COMPUTED_VALUE"""),43224.690224398146)</f>
        <v>43224.69022</v>
      </c>
    </row>
    <row r="9">
      <c r="A9" t="str">
        <f>IFERROR(__xludf.DUMMYFUNCTION("""COMPUTED_VALUE"""),"No_ICE")</f>
        <v>No_ICE</v>
      </c>
      <c r="B9" t="str">
        <f>IFERROR(__xludf.DUMMYFUNCTION("""COMPUTED_VALUE"""),"Annapolis")</f>
        <v>Annapolis</v>
      </c>
      <c r="C9" t="str">
        <f>IFERROR(__xludf.DUMMYFUNCTION("""COMPUTED_VALUE"""),"MD")</f>
        <v>MD</v>
      </c>
      <c r="D9" t="str">
        <f>IFERROR(__xludf.DUMMYFUNCTION("""COMPUTED_VALUE"""),"USA")</f>
        <v>USA</v>
      </c>
      <c r="E9" s="188">
        <f>IFERROR(__xludf.DUMMYFUNCTION("""COMPUTED_VALUE"""),43181.0)</f>
        <v>43181</v>
      </c>
      <c r="F9" s="188">
        <f>IFERROR(__xludf.DUMMYFUNCTION("""COMPUTED_VALUE"""),43201.0)</f>
        <v>43201</v>
      </c>
      <c r="H9">
        <f>IFERROR(__xludf.DUMMYFUNCTION("""COMPUTED_VALUE"""),12655.0)</f>
        <v>12655</v>
      </c>
      <c r="J9" s="5">
        <f>IFERROR(__xludf.DUMMYFUNCTION("""COMPUTED_VALUE"""),43224.0)</f>
        <v>43224</v>
      </c>
      <c r="K9">
        <f>IFERROR(__xludf.DUMMYFUNCTION("""COMPUTED_VALUE"""),20.0)</f>
        <v>20</v>
      </c>
      <c r="L9">
        <f>IFERROR(__xludf.DUMMYFUNCTION("""COMPUTED_VALUE"""),23.0)</f>
        <v>23</v>
      </c>
      <c r="M9">
        <f>IFERROR(__xludf.DUMMYFUNCTION("""COMPUTED_VALUE"""),43.0)</f>
        <v>43</v>
      </c>
      <c r="N9" t="str">
        <f>IFERROR(__xludf.DUMMYFUNCTION("""COMPUTED_VALUE"""),"Model 3 LR")</f>
        <v>Model 3 LR</v>
      </c>
      <c r="O9" t="str">
        <f>IFERROR(__xludf.DUMMYFUNCTION("""COMPUTED_VALUE"""),"Midnight Silver Metallic")</f>
        <v>Midnight Silver Metallic</v>
      </c>
      <c r="P9" t="str">
        <f>IFERROR(__xludf.DUMMYFUNCTION("""COMPUTED_VALUE"""),"18 inch Aero")</f>
        <v>18 inch Aero</v>
      </c>
      <c r="Q9" t="str">
        <f>IFERROR(__xludf.DUMMYFUNCTION("""COMPUTED_VALUE"""),"Black seats")</f>
        <v>Black seats</v>
      </c>
      <c r="R9" t="str">
        <f>IFERROR(__xludf.DUMMYFUNCTION("""COMPUTED_VALUE"""),"Full Self-Driving")</f>
        <v>Full Self-Driving</v>
      </c>
      <c r="X9" t="str">
        <f>IFERROR(__xludf.DUMMYFUNCTION("""COMPUTED_VALUE"""),"Excellent")</f>
        <v>Excellent</v>
      </c>
      <c r="Y9" t="str">
        <f>IFERROR(__xludf.DUMMYFUNCTION("""COMPUTED_VALUE"""),"Excellent")</f>
        <v>Excellent</v>
      </c>
      <c r="Z9" t="str">
        <f>IFERROR(__xludf.DUMMYFUNCTION("""COMPUTED_VALUE"""),"Excellent")</f>
        <v>Excellent</v>
      </c>
      <c r="AB9" t="str">
        <f>IFERROR(__xludf.DUMMYFUNCTION("""COMPUTED_VALUE"""),"Excellent")</f>
        <v>Excellent</v>
      </c>
      <c r="AH9" s="189">
        <f>IFERROR(__xludf.DUMMYFUNCTION("""COMPUTED_VALUE"""),43224.702454074075)</f>
        <v>43224.70245</v>
      </c>
    </row>
    <row r="10">
      <c r="A10" t="str">
        <f>IFERROR(__xludf.DUMMYFUNCTION("""COMPUTED_VALUE"""),"TEG")</f>
        <v>TEG</v>
      </c>
      <c r="B10" t="str">
        <f>IFERROR(__xludf.DUMMYFUNCTION("""COMPUTED_VALUE"""),"SF Bay Area")</f>
        <v>SF Bay Area</v>
      </c>
      <c r="C10" t="str">
        <f>IFERROR(__xludf.DUMMYFUNCTION("""COMPUTED_VALUE"""),"CA")</f>
        <v>CA</v>
      </c>
      <c r="D10" t="str">
        <f>IFERROR(__xludf.DUMMYFUNCTION("""COMPUTED_VALUE"""),"USA")</f>
        <v>USA</v>
      </c>
      <c r="E10" s="188">
        <f>IFERROR(__xludf.DUMMYFUNCTION("""COMPUTED_VALUE"""),43192.0)</f>
        <v>43192</v>
      </c>
      <c r="F10" s="188">
        <f>IFERROR(__xludf.DUMMYFUNCTION("""COMPUTED_VALUE"""),43216.0)</f>
        <v>43216</v>
      </c>
      <c r="H10">
        <f>IFERROR(__xludf.DUMMYFUNCTION("""COMPUTED_VALUE"""),19955.0)</f>
        <v>19955</v>
      </c>
      <c r="J10" s="5">
        <f>IFERROR(__xludf.DUMMYFUNCTION("""COMPUTED_VALUE"""),43223.0)</f>
        <v>43223</v>
      </c>
      <c r="K10">
        <f>IFERROR(__xludf.DUMMYFUNCTION("""COMPUTED_VALUE"""),24.0)</f>
        <v>24</v>
      </c>
      <c r="L10">
        <f>IFERROR(__xludf.DUMMYFUNCTION("""COMPUTED_VALUE"""),7.0)</f>
        <v>7</v>
      </c>
      <c r="M10">
        <f>IFERROR(__xludf.DUMMYFUNCTION("""COMPUTED_VALUE"""),31.0)</f>
        <v>31</v>
      </c>
      <c r="N10" t="str">
        <f>IFERROR(__xludf.DUMMYFUNCTION("""COMPUTED_VALUE"""),"Model 3 LR")</f>
        <v>Model 3 LR</v>
      </c>
      <c r="O10" t="str">
        <f>IFERROR(__xludf.DUMMYFUNCTION("""COMPUTED_VALUE"""),"Midnight Silver Metallic")</f>
        <v>Midnight Silver Metallic</v>
      </c>
      <c r="P10" t="str">
        <f>IFERROR(__xludf.DUMMYFUNCTION("""COMPUTED_VALUE"""),"18 inch Aero")</f>
        <v>18 inch Aero</v>
      </c>
      <c r="Q10" t="str">
        <f>IFERROR(__xludf.DUMMYFUNCTION("""COMPUTED_VALUE"""),"Black seats")</f>
        <v>Black seats</v>
      </c>
      <c r="R10" t="str">
        <f>IFERROR(__xludf.DUMMYFUNCTION("""COMPUTED_VALUE"""),"None")</f>
        <v>None</v>
      </c>
      <c r="X10" t="str">
        <f>IFERROR(__xludf.DUMMYFUNCTION("""COMPUTED_VALUE"""),"Excellent")</f>
        <v>Excellent</v>
      </c>
      <c r="Y10" t="str">
        <f>IFERROR(__xludf.DUMMYFUNCTION("""COMPUTED_VALUE"""),"Very Good")</f>
        <v>Very Good</v>
      </c>
      <c r="Z10" t="str">
        <f>IFERROR(__xludf.DUMMYFUNCTION("""COMPUTED_VALUE"""),"Fair")</f>
        <v>Fair</v>
      </c>
      <c r="AB10" t="str">
        <f>IFERROR(__xludf.DUMMYFUNCTION("""COMPUTED_VALUE"""),"Good")</f>
        <v>Good</v>
      </c>
      <c r="AG10" t="str">
        <f>IFERROR(__xludf.DUMMYFUNCTION("""COMPUTED_VALUE"""),"charge port door was already scratched at delivery.")</f>
        <v>charge port door was already scratched at delivery.</v>
      </c>
      <c r="AH10" s="189">
        <f>IFERROR(__xludf.DUMMYFUNCTION("""COMPUTED_VALUE"""),43225.07664209491)</f>
        <v>43225.07664</v>
      </c>
    </row>
    <row r="11">
      <c r="A11" t="str">
        <f>IFERROR(__xludf.DUMMYFUNCTION("""COMPUTED_VALUE"""),"AndrewSD")</f>
        <v>AndrewSD</v>
      </c>
      <c r="B11" t="str">
        <f>IFERROR(__xludf.DUMMYFUNCTION("""COMPUTED_VALUE"""),"San Diego")</f>
        <v>San Diego</v>
      </c>
      <c r="C11" t="str">
        <f>IFERROR(__xludf.DUMMYFUNCTION("""COMPUTED_VALUE"""),"CA")</f>
        <v>CA</v>
      </c>
      <c r="D11" t="str">
        <f>IFERROR(__xludf.DUMMYFUNCTION("""COMPUTED_VALUE"""),"USA")</f>
        <v>USA</v>
      </c>
      <c r="E11" s="188">
        <f>IFERROR(__xludf.DUMMYFUNCTION("""COMPUTED_VALUE"""),43181.0)</f>
        <v>43181</v>
      </c>
      <c r="F11" s="188">
        <f>IFERROR(__xludf.DUMMYFUNCTION("""COMPUTED_VALUE"""),43218.0)</f>
        <v>43218</v>
      </c>
      <c r="H11">
        <f>IFERROR(__xludf.DUMMYFUNCTION("""COMPUTED_VALUE"""),14155.0)</f>
        <v>14155</v>
      </c>
      <c r="J11" s="5">
        <f>IFERROR(__xludf.DUMMYFUNCTION("""COMPUTED_VALUE"""),43225.0)</f>
        <v>43225</v>
      </c>
      <c r="K11">
        <f>IFERROR(__xludf.DUMMYFUNCTION("""COMPUTED_VALUE"""),37.0)</f>
        <v>37</v>
      </c>
      <c r="L11">
        <f>IFERROR(__xludf.DUMMYFUNCTION("""COMPUTED_VALUE"""),7.0)</f>
        <v>7</v>
      </c>
      <c r="M11">
        <f>IFERROR(__xludf.DUMMYFUNCTION("""COMPUTED_VALUE"""),44.0)</f>
        <v>44</v>
      </c>
      <c r="N11" t="str">
        <f>IFERROR(__xludf.DUMMYFUNCTION("""COMPUTED_VALUE"""),"Model 3 LR")</f>
        <v>Model 3 LR</v>
      </c>
      <c r="O11" t="str">
        <f>IFERROR(__xludf.DUMMYFUNCTION("""COMPUTED_VALUE"""),"Midnight Silver Metallic")</f>
        <v>Midnight Silver Metallic</v>
      </c>
      <c r="P11" t="str">
        <f>IFERROR(__xludf.DUMMYFUNCTION("""COMPUTED_VALUE"""),"18 inch Aero")</f>
        <v>18 inch Aero</v>
      </c>
      <c r="Q11" t="str">
        <f>IFERROR(__xludf.DUMMYFUNCTION("""COMPUTED_VALUE"""),"Black seats")</f>
        <v>Black seats</v>
      </c>
      <c r="R11" t="str">
        <f>IFERROR(__xludf.DUMMYFUNCTION("""COMPUTED_VALUE"""),"Enhanced Autopilot")</f>
        <v>Enhanced Autopilot</v>
      </c>
      <c r="X11" t="str">
        <f>IFERROR(__xludf.DUMMYFUNCTION("""COMPUTED_VALUE"""),"Excellent")</f>
        <v>Excellent</v>
      </c>
      <c r="Y11" t="str">
        <f>IFERROR(__xludf.DUMMYFUNCTION("""COMPUTED_VALUE"""),"Excellent")</f>
        <v>Excellent</v>
      </c>
      <c r="Z11" t="str">
        <f>IFERROR(__xludf.DUMMYFUNCTION("""COMPUTED_VALUE"""),"Excellent")</f>
        <v>Excellent</v>
      </c>
      <c r="AB11" t="str">
        <f>IFERROR(__xludf.DUMMYFUNCTION("""COMPUTED_VALUE"""),"Excellent")</f>
        <v>Excellent</v>
      </c>
      <c r="AH11" s="189">
        <f>IFERROR(__xludf.DUMMYFUNCTION("""COMPUTED_VALUE"""),43226.844982361115)</f>
        <v>43226.84498</v>
      </c>
    </row>
    <row r="12">
      <c r="A12" t="str">
        <f>IFERROR(__xludf.DUMMYFUNCTION("""COMPUTED_VALUE"""),"Jreddd1")</f>
        <v>Jreddd1</v>
      </c>
      <c r="B12" t="str">
        <f>IFERROR(__xludf.DUMMYFUNCTION("""COMPUTED_VALUE"""),"Austin")</f>
        <v>Austin</v>
      </c>
      <c r="C12" t="str">
        <f>IFERROR(__xludf.DUMMYFUNCTION("""COMPUTED_VALUE"""),"TX")</f>
        <v>TX</v>
      </c>
      <c r="D12" t="str">
        <f>IFERROR(__xludf.DUMMYFUNCTION("""COMPUTED_VALUE"""),"USA")</f>
        <v>USA</v>
      </c>
      <c r="E12" s="188">
        <f>IFERROR(__xludf.DUMMYFUNCTION("""COMPUTED_VALUE"""),44395.0)</f>
        <v>44395</v>
      </c>
      <c r="F12" s="188">
        <f>IFERROR(__xludf.DUMMYFUNCTION("""COMPUTED_VALUE"""),44430.0)</f>
        <v>44430</v>
      </c>
      <c r="G12" t="str">
        <f>IFERROR(__xludf.DUMMYFUNCTION("""COMPUTED_VALUE"""),"Manage order page (normal text)")</f>
        <v>Manage order page (normal text)</v>
      </c>
      <c r="J12" s="188">
        <f>IFERROR(__xludf.DUMMYFUNCTION("""COMPUTED_VALUE"""),44438.0)</f>
        <v>44438</v>
      </c>
      <c r="K12">
        <f>IFERROR(__xludf.DUMMYFUNCTION("""COMPUTED_VALUE"""),35.0)</f>
        <v>35</v>
      </c>
      <c r="L12">
        <f>IFERROR(__xludf.DUMMYFUNCTION("""COMPUTED_VALUE"""),8.0)</f>
        <v>8</v>
      </c>
      <c r="M12">
        <f>IFERROR(__xludf.DUMMYFUNCTION("""COMPUTED_VALUE"""),43.0)</f>
        <v>43</v>
      </c>
      <c r="N12" t="str">
        <f>IFERROR(__xludf.DUMMYFUNCTION("""COMPUTED_VALUE"""),"Model 3 LR AWD")</f>
        <v>Model 3 LR AWD</v>
      </c>
      <c r="O12" t="str">
        <f>IFERROR(__xludf.DUMMYFUNCTION("""COMPUTED_VALUE"""),"Pearl White Multi-Coat")</f>
        <v>Pearl White Multi-Coat</v>
      </c>
      <c r="P12" t="str">
        <f>IFERROR(__xludf.DUMMYFUNCTION("""COMPUTED_VALUE"""),"19 inch")</f>
        <v>19 inch</v>
      </c>
      <c r="Q12" t="str">
        <f>IFERROR(__xludf.DUMMYFUNCTION("""COMPUTED_VALUE"""),"Black and White")</f>
        <v>Black and White</v>
      </c>
      <c r="R12" t="str">
        <f>IFERROR(__xludf.DUMMYFUNCTION("""COMPUTED_VALUE"""),"Autopilot included")</f>
        <v>Autopilot included</v>
      </c>
      <c r="S12" t="str">
        <f>IFERROR(__xludf.DUMMYFUNCTION("""COMPUTED_VALUE"""),"Loan")</f>
        <v>Loan</v>
      </c>
      <c r="T12" t="str">
        <f>IFERROR(__xludf.DUMMYFUNCTION("""COMPUTED_VALUE"""),"Jetta")</f>
        <v>Jetta</v>
      </c>
      <c r="U12" t="str">
        <f>IFERROR(__xludf.DUMMYFUNCTION("""COMPUTED_VALUE"""),"Autopilot")</f>
        <v>Autopilot</v>
      </c>
      <c r="V12" t="str">
        <f>IFERROR(__xludf.DUMMYFUNCTION("""COMPUTED_VALUE"""),"Apple CarPlay / Android Auto / SiriusXM Radio")</f>
        <v>Apple CarPlay / Android Auto / SiriusXM Radio</v>
      </c>
      <c r="AH12" s="189">
        <f>IFERROR(__xludf.DUMMYFUNCTION("""COMPUTED_VALUE"""),44433.243609212965)</f>
        <v>44433.24361</v>
      </c>
    </row>
    <row r="13">
      <c r="A13" t="str">
        <f>IFERROR(__xludf.DUMMYFUNCTION("""COMPUTED_VALUE"""),"Jeff318")</f>
        <v>Jeff318</v>
      </c>
      <c r="B13" t="str">
        <f>IFERROR(__xludf.DUMMYFUNCTION("""COMPUTED_VALUE"""),"Orlando")</f>
        <v>Orlando</v>
      </c>
      <c r="C13" t="str">
        <f>IFERROR(__xludf.DUMMYFUNCTION("""COMPUTED_VALUE"""),"FL")</f>
        <v>FL</v>
      </c>
      <c r="D13" t="str">
        <f>IFERROR(__xludf.DUMMYFUNCTION("""COMPUTED_VALUE"""),"USA")</f>
        <v>USA</v>
      </c>
      <c r="E13" s="188">
        <f>IFERROR(__xludf.DUMMYFUNCTION("""COMPUTED_VALUE"""),43153.0)</f>
        <v>43153</v>
      </c>
      <c r="F13" s="188">
        <f>IFERROR(__xludf.DUMMYFUNCTION("""COMPUTED_VALUE"""),43168.0)</f>
        <v>43168</v>
      </c>
      <c r="H13">
        <f>IFERROR(__xludf.DUMMYFUNCTION("""COMPUTED_VALUE"""),7395.0)</f>
        <v>7395</v>
      </c>
      <c r="J13" s="5">
        <f>IFERROR(__xludf.DUMMYFUNCTION("""COMPUTED_VALUE"""),43190.0)</f>
        <v>43190</v>
      </c>
      <c r="K13">
        <f>IFERROR(__xludf.DUMMYFUNCTION("""COMPUTED_VALUE"""),15.0)</f>
        <v>15</v>
      </c>
      <c r="L13">
        <f>IFERROR(__xludf.DUMMYFUNCTION("""COMPUTED_VALUE"""),22.0)</f>
        <v>22</v>
      </c>
      <c r="M13">
        <f>IFERROR(__xludf.DUMMYFUNCTION("""COMPUTED_VALUE"""),37.0)</f>
        <v>37</v>
      </c>
      <c r="N13" t="str">
        <f>IFERROR(__xludf.DUMMYFUNCTION("""COMPUTED_VALUE"""),"Model 3 LR")</f>
        <v>Model 3 LR</v>
      </c>
      <c r="O13" t="str">
        <f>IFERROR(__xludf.DUMMYFUNCTION("""COMPUTED_VALUE"""),"Deep Blue Metallic")</f>
        <v>Deep Blue Metallic</v>
      </c>
      <c r="P13" t="str">
        <f>IFERROR(__xludf.DUMMYFUNCTION("""COMPUTED_VALUE"""),"18 inch Aero")</f>
        <v>18 inch Aero</v>
      </c>
      <c r="Q13" t="str">
        <f>IFERROR(__xludf.DUMMYFUNCTION("""COMPUTED_VALUE"""),"Black seats")</f>
        <v>Black seats</v>
      </c>
      <c r="R13" t="str">
        <f>IFERROR(__xludf.DUMMYFUNCTION("""COMPUTED_VALUE"""),"Enhanced Autopilot")</f>
        <v>Enhanced Autopilot</v>
      </c>
      <c r="X13" t="str">
        <f>IFERROR(__xludf.DUMMYFUNCTION("""COMPUTED_VALUE"""),"Very Good")</f>
        <v>Very Good</v>
      </c>
      <c r="Y13" t="str">
        <f>IFERROR(__xludf.DUMMYFUNCTION("""COMPUTED_VALUE"""),"Excellent")</f>
        <v>Excellent</v>
      </c>
      <c r="Z13" t="str">
        <f>IFERROR(__xludf.DUMMYFUNCTION("""COMPUTED_VALUE"""),"Very Good")</f>
        <v>Very Good</v>
      </c>
      <c r="AB13" t="str">
        <f>IFERROR(__xludf.DUMMYFUNCTION("""COMPUTED_VALUE"""),"Excellent")</f>
        <v>Excellent</v>
      </c>
      <c r="AH13" s="189">
        <f>IFERROR(__xludf.DUMMYFUNCTION("""COMPUTED_VALUE"""),43227.303994409725)</f>
        <v>43227.30399</v>
      </c>
    </row>
    <row r="14">
      <c r="A14" t="str">
        <f>IFERROR(__xludf.DUMMYFUNCTION("""COMPUTED_VALUE"""),"jeremyc")</f>
        <v>jeremyc</v>
      </c>
      <c r="B14" t="str">
        <f>IFERROR(__xludf.DUMMYFUNCTION("""COMPUTED_VALUE"""),"USA")</f>
        <v>USA</v>
      </c>
      <c r="C14" t="str">
        <f>IFERROR(__xludf.DUMMYFUNCTION("""COMPUTED_VALUE"""),"AR")</f>
        <v>AR</v>
      </c>
      <c r="D14" t="str">
        <f>IFERROR(__xludf.DUMMYFUNCTION("""COMPUTED_VALUE"""),"USA")</f>
        <v>USA</v>
      </c>
      <c r="E14" s="188">
        <f>IFERROR(__xludf.DUMMYFUNCTION("""COMPUTED_VALUE"""),43181.0)</f>
        <v>43181</v>
      </c>
      <c r="F14" s="188">
        <f>IFERROR(__xludf.DUMMYFUNCTION("""COMPUTED_VALUE"""),43203.0)</f>
        <v>43203</v>
      </c>
      <c r="H14">
        <f>IFERROR(__xludf.DUMMYFUNCTION("""COMPUTED_VALUE"""),12568.0)</f>
        <v>12568</v>
      </c>
      <c r="J14" s="5">
        <f>IFERROR(__xludf.DUMMYFUNCTION("""COMPUTED_VALUE"""),43222.0)</f>
        <v>43222</v>
      </c>
      <c r="K14">
        <f>IFERROR(__xludf.DUMMYFUNCTION("""COMPUTED_VALUE"""),22.0)</f>
        <v>22</v>
      </c>
      <c r="L14">
        <f>IFERROR(__xludf.DUMMYFUNCTION("""COMPUTED_VALUE"""),19.0)</f>
        <v>19</v>
      </c>
      <c r="M14">
        <f>IFERROR(__xludf.DUMMYFUNCTION("""COMPUTED_VALUE"""),41.0)</f>
        <v>41</v>
      </c>
      <c r="N14" t="str">
        <f>IFERROR(__xludf.DUMMYFUNCTION("""COMPUTED_VALUE"""),"Model 3 LR")</f>
        <v>Model 3 LR</v>
      </c>
      <c r="O14" t="str">
        <f>IFERROR(__xludf.DUMMYFUNCTION("""COMPUTED_VALUE"""),"Solid Black")</f>
        <v>Solid Black</v>
      </c>
      <c r="P14" t="str">
        <f>IFERROR(__xludf.DUMMYFUNCTION("""COMPUTED_VALUE"""),"18 inch Aero")</f>
        <v>18 inch Aero</v>
      </c>
      <c r="Q14" t="str">
        <f>IFERROR(__xludf.DUMMYFUNCTION("""COMPUTED_VALUE"""),"Black seats")</f>
        <v>Black seats</v>
      </c>
      <c r="R14" t="str">
        <f>IFERROR(__xludf.DUMMYFUNCTION("""COMPUTED_VALUE"""),"Enhanced Autopilot")</f>
        <v>Enhanced Autopilot</v>
      </c>
      <c r="X14" t="str">
        <f>IFERROR(__xludf.DUMMYFUNCTION("""COMPUTED_VALUE"""),"Excellent")</f>
        <v>Excellent</v>
      </c>
      <c r="Y14" t="str">
        <f>IFERROR(__xludf.DUMMYFUNCTION("""COMPUTED_VALUE"""),"Excellent")</f>
        <v>Excellent</v>
      </c>
      <c r="Z14" t="str">
        <f>IFERROR(__xludf.DUMMYFUNCTION("""COMPUTED_VALUE"""),"Excellent")</f>
        <v>Excellent</v>
      </c>
      <c r="AB14" t="str">
        <f>IFERROR(__xludf.DUMMYFUNCTION("""COMPUTED_VALUE"""),"Excellent")</f>
        <v>Excellent</v>
      </c>
      <c r="AH14" s="189">
        <f>IFERROR(__xludf.DUMMYFUNCTION("""COMPUTED_VALUE"""),43227.53230931713)</f>
        <v>43227.53231</v>
      </c>
    </row>
    <row r="15">
      <c r="A15" t="str">
        <f>IFERROR(__xludf.DUMMYFUNCTION("""COMPUTED_VALUE"""),"reefine")</f>
        <v>reefine</v>
      </c>
      <c r="C15" t="str">
        <f>IFERROR(__xludf.DUMMYFUNCTION("""COMPUTED_VALUE"""),"CA")</f>
        <v>CA</v>
      </c>
      <c r="D15" t="str">
        <f>IFERROR(__xludf.DUMMYFUNCTION("""COMPUTED_VALUE"""),"USA")</f>
        <v>USA</v>
      </c>
      <c r="E15" s="188">
        <f>IFERROR(__xludf.DUMMYFUNCTION("""COMPUTED_VALUE"""),43084.0)</f>
        <v>43084</v>
      </c>
      <c r="F15" s="188">
        <f>IFERROR(__xludf.DUMMYFUNCTION("""COMPUTED_VALUE"""),43103.0)</f>
        <v>43103</v>
      </c>
      <c r="H15">
        <f>IFERROR(__xludf.DUMMYFUNCTION("""COMPUTED_VALUE"""),3454.0)</f>
        <v>3454</v>
      </c>
      <c r="J15" s="5">
        <f>IFERROR(__xludf.DUMMYFUNCTION("""COMPUTED_VALUE"""),43112.0)</f>
        <v>43112</v>
      </c>
      <c r="K15">
        <f>IFERROR(__xludf.DUMMYFUNCTION("""COMPUTED_VALUE"""),19.0)</f>
        <v>19</v>
      </c>
      <c r="L15">
        <f>IFERROR(__xludf.DUMMYFUNCTION("""COMPUTED_VALUE"""),9.0)</f>
        <v>9</v>
      </c>
      <c r="M15">
        <f>IFERROR(__xludf.DUMMYFUNCTION("""COMPUTED_VALUE"""),28.0)</f>
        <v>28</v>
      </c>
      <c r="N15" t="str">
        <f>IFERROR(__xludf.DUMMYFUNCTION("""COMPUTED_VALUE"""),"Model 3 LR")</f>
        <v>Model 3 LR</v>
      </c>
      <c r="O15" t="str">
        <f>IFERROR(__xludf.DUMMYFUNCTION("""COMPUTED_VALUE"""),"Silver Metallic")</f>
        <v>Silver Metallic</v>
      </c>
      <c r="P15" t="str">
        <f>IFERROR(__xludf.DUMMYFUNCTION("""COMPUTED_VALUE"""),"19 inch Sport")</f>
        <v>19 inch Sport</v>
      </c>
      <c r="Q15" t="str">
        <f>IFERROR(__xludf.DUMMYFUNCTION("""COMPUTED_VALUE"""),"Black seats")</f>
        <v>Black seats</v>
      </c>
      <c r="R15" t="str">
        <f>IFERROR(__xludf.DUMMYFUNCTION("""COMPUTED_VALUE"""),"Enhanced Autopilot")</f>
        <v>Enhanced Autopilot</v>
      </c>
      <c r="X15" t="str">
        <f>IFERROR(__xludf.DUMMYFUNCTION("""COMPUTED_VALUE"""),"Excellent")</f>
        <v>Excellent</v>
      </c>
      <c r="Y15" t="str">
        <f>IFERROR(__xludf.DUMMYFUNCTION("""COMPUTED_VALUE"""),"Very Good")</f>
        <v>Very Good</v>
      </c>
      <c r="Z15" t="str">
        <f>IFERROR(__xludf.DUMMYFUNCTION("""COMPUTED_VALUE"""),"Excellent")</f>
        <v>Excellent</v>
      </c>
      <c r="AB15" t="str">
        <f>IFERROR(__xludf.DUMMYFUNCTION("""COMPUTED_VALUE"""),"Excellent")</f>
        <v>Excellent</v>
      </c>
      <c r="AH15" s="189">
        <f>IFERROR(__xludf.DUMMYFUNCTION("""COMPUTED_VALUE"""),43227.638970914355)</f>
        <v>43227.63897</v>
      </c>
    </row>
    <row r="16">
      <c r="A16" t="str">
        <f>IFERROR(__xludf.DUMMYFUNCTION("""COMPUTED_VALUE"""),"d51")</f>
        <v>d51</v>
      </c>
      <c r="B16" t="str">
        <f>IFERROR(__xludf.DUMMYFUNCTION("""COMPUTED_VALUE"""),"Los Angeles")</f>
        <v>Los Angeles</v>
      </c>
      <c r="C16" t="str">
        <f>IFERROR(__xludf.DUMMYFUNCTION("""COMPUTED_VALUE"""),"CA")</f>
        <v>CA</v>
      </c>
      <c r="D16" t="str">
        <f>IFERROR(__xludf.DUMMYFUNCTION("""COMPUTED_VALUE"""),"USA")</f>
        <v>USA</v>
      </c>
      <c r="E16" s="188">
        <f>IFERROR(__xludf.DUMMYFUNCTION("""COMPUTED_VALUE"""),43197.0)</f>
        <v>43197</v>
      </c>
      <c r="F16" s="188">
        <f>IFERROR(__xludf.DUMMYFUNCTION("""COMPUTED_VALUE"""),43200.0)</f>
        <v>43200</v>
      </c>
      <c r="H16">
        <f>IFERROR(__xludf.DUMMYFUNCTION("""COMPUTED_VALUE"""),17595.0)</f>
        <v>17595</v>
      </c>
      <c r="J16" s="5">
        <f>IFERROR(__xludf.DUMMYFUNCTION("""COMPUTED_VALUE"""),43210.0)</f>
        <v>43210</v>
      </c>
      <c r="K16">
        <f>IFERROR(__xludf.DUMMYFUNCTION("""COMPUTED_VALUE"""),3.0)</f>
        <v>3</v>
      </c>
      <c r="L16">
        <f>IFERROR(__xludf.DUMMYFUNCTION("""COMPUTED_VALUE"""),10.0)</f>
        <v>10</v>
      </c>
      <c r="M16">
        <f>IFERROR(__xludf.DUMMYFUNCTION("""COMPUTED_VALUE"""),13.0)</f>
        <v>13</v>
      </c>
      <c r="N16" t="str">
        <f>IFERROR(__xludf.DUMMYFUNCTION("""COMPUTED_VALUE"""),"Model 3 LR")</f>
        <v>Model 3 LR</v>
      </c>
      <c r="O16" t="str">
        <f>IFERROR(__xludf.DUMMYFUNCTION("""COMPUTED_VALUE"""),"Midnight Silver Metallic")</f>
        <v>Midnight Silver Metallic</v>
      </c>
      <c r="P16" t="str">
        <f>IFERROR(__xludf.DUMMYFUNCTION("""COMPUTED_VALUE"""),"19 inch Sport")</f>
        <v>19 inch Sport</v>
      </c>
      <c r="Q16" t="str">
        <f>IFERROR(__xludf.DUMMYFUNCTION("""COMPUTED_VALUE"""),"Black seats")</f>
        <v>Black seats</v>
      </c>
      <c r="R16" t="str">
        <f>IFERROR(__xludf.DUMMYFUNCTION("""COMPUTED_VALUE"""),"None")</f>
        <v>None</v>
      </c>
      <c r="X16" t="str">
        <f>IFERROR(__xludf.DUMMYFUNCTION("""COMPUTED_VALUE"""),"Very Good")</f>
        <v>Very Good</v>
      </c>
      <c r="Y16" t="str">
        <f>IFERROR(__xludf.DUMMYFUNCTION("""COMPUTED_VALUE"""),"Very Good")</f>
        <v>Very Good</v>
      </c>
      <c r="Z16" t="str">
        <f>IFERROR(__xludf.DUMMYFUNCTION("""COMPUTED_VALUE"""),"Very Good")</f>
        <v>Very Good</v>
      </c>
      <c r="AB16" t="str">
        <f>IFERROR(__xludf.DUMMYFUNCTION("""COMPUTED_VALUE"""),"Excellent")</f>
        <v>Excellent</v>
      </c>
      <c r="AH16" s="189">
        <f>IFERROR(__xludf.DUMMYFUNCTION("""COMPUTED_VALUE"""),43227.80087644676)</f>
        <v>43227.80088</v>
      </c>
    </row>
    <row r="17">
      <c r="A17" t="str">
        <f>IFERROR(__xludf.DUMMYFUNCTION("""COMPUTED_VALUE"""),"ProfessorZ")</f>
        <v>ProfessorZ</v>
      </c>
      <c r="B17" t="str">
        <f>IFERROR(__xludf.DUMMYFUNCTION("""COMPUTED_VALUE"""),"Marshall County")</f>
        <v>Marshall County</v>
      </c>
      <c r="C17" t="str">
        <f>IFERROR(__xludf.DUMMYFUNCTION("""COMPUTED_VALUE"""),"AL")</f>
        <v>AL</v>
      </c>
      <c r="D17" t="str">
        <f>IFERROR(__xludf.DUMMYFUNCTION("""COMPUTED_VALUE"""),"USA")</f>
        <v>USA</v>
      </c>
      <c r="E17" s="188">
        <f>IFERROR(__xludf.DUMMYFUNCTION("""COMPUTED_VALUE"""),43198.0)</f>
        <v>43198</v>
      </c>
      <c r="F17" s="188">
        <f>IFERROR(__xludf.DUMMYFUNCTION("""COMPUTED_VALUE"""),43216.0)</f>
        <v>43216</v>
      </c>
      <c r="H17">
        <f>IFERROR(__xludf.DUMMYFUNCTION("""COMPUTED_VALUE"""),13055.0)</f>
        <v>13055</v>
      </c>
      <c r="J17" s="5">
        <f>IFERROR(__xludf.DUMMYFUNCTION("""COMPUTED_VALUE"""),43227.0)</f>
        <v>43227</v>
      </c>
      <c r="K17">
        <f>IFERROR(__xludf.DUMMYFUNCTION("""COMPUTED_VALUE"""),18.0)</f>
        <v>18</v>
      </c>
      <c r="L17">
        <f>IFERROR(__xludf.DUMMYFUNCTION("""COMPUTED_VALUE"""),11.0)</f>
        <v>11</v>
      </c>
      <c r="M17">
        <f>IFERROR(__xludf.DUMMYFUNCTION("""COMPUTED_VALUE"""),29.0)</f>
        <v>29</v>
      </c>
      <c r="N17" t="str">
        <f>IFERROR(__xludf.DUMMYFUNCTION("""COMPUTED_VALUE"""),"Model 3 LR")</f>
        <v>Model 3 LR</v>
      </c>
      <c r="O17" t="str">
        <f>IFERROR(__xludf.DUMMYFUNCTION("""COMPUTED_VALUE"""),"Deep Blue Metallic")</f>
        <v>Deep Blue Metallic</v>
      </c>
      <c r="P17" t="str">
        <f>IFERROR(__xludf.DUMMYFUNCTION("""COMPUTED_VALUE"""),"18 inch Aero")</f>
        <v>18 inch Aero</v>
      </c>
      <c r="Q17" t="str">
        <f>IFERROR(__xludf.DUMMYFUNCTION("""COMPUTED_VALUE"""),"Black seats")</f>
        <v>Black seats</v>
      </c>
      <c r="R17" t="str">
        <f>IFERROR(__xludf.DUMMYFUNCTION("""COMPUTED_VALUE"""),"Enhanced Autopilot")</f>
        <v>Enhanced Autopilot</v>
      </c>
      <c r="X17" t="str">
        <f>IFERROR(__xludf.DUMMYFUNCTION("""COMPUTED_VALUE"""),"Very Good")</f>
        <v>Very Good</v>
      </c>
      <c r="Y17" t="str">
        <f>IFERROR(__xludf.DUMMYFUNCTION("""COMPUTED_VALUE"""),"Excellent")</f>
        <v>Excellent</v>
      </c>
      <c r="Z17" t="str">
        <f>IFERROR(__xludf.DUMMYFUNCTION("""COMPUTED_VALUE"""),"Excellent")</f>
        <v>Excellent</v>
      </c>
      <c r="AB17" t="str">
        <f>IFERROR(__xludf.DUMMYFUNCTION("""COMPUTED_VALUE"""),"Excellent")</f>
        <v>Excellent</v>
      </c>
      <c r="AH17" s="189">
        <f>IFERROR(__xludf.DUMMYFUNCTION("""COMPUTED_VALUE"""),43227.814225497685)</f>
        <v>43227.81423</v>
      </c>
    </row>
    <row r="18">
      <c r="A18" t="str">
        <f>IFERROR(__xludf.DUMMYFUNCTION("""COMPUTED_VALUE"""),"jjaroundtheclock")</f>
        <v>jjaroundtheclock</v>
      </c>
      <c r="B18" t="str">
        <f>IFERROR(__xludf.DUMMYFUNCTION("""COMPUTED_VALUE"""),"VAN NUYS")</f>
        <v>VAN NUYS</v>
      </c>
      <c r="C18" t="str">
        <f>IFERROR(__xludf.DUMMYFUNCTION("""COMPUTED_VALUE"""),"CA")</f>
        <v>CA</v>
      </c>
      <c r="D18" t="str">
        <f>IFERROR(__xludf.DUMMYFUNCTION("""COMPUTED_VALUE"""),"USA")</f>
        <v>USA</v>
      </c>
      <c r="E18" s="188">
        <f>IFERROR(__xludf.DUMMYFUNCTION("""COMPUTED_VALUE"""),43181.0)</f>
        <v>43181</v>
      </c>
      <c r="F18" s="188">
        <f>IFERROR(__xludf.DUMMYFUNCTION("""COMPUTED_VALUE"""),43215.0)</f>
        <v>43215</v>
      </c>
      <c r="H18">
        <f>IFERROR(__xludf.DUMMYFUNCTION("""COMPUTED_VALUE"""),8455.0)</f>
        <v>8455</v>
      </c>
      <c r="J18" s="5">
        <f>IFERROR(__xludf.DUMMYFUNCTION("""COMPUTED_VALUE"""),43221.0)</f>
        <v>43221</v>
      </c>
      <c r="K18">
        <f>IFERROR(__xludf.DUMMYFUNCTION("""COMPUTED_VALUE"""),34.0)</f>
        <v>34</v>
      </c>
      <c r="L18">
        <f>IFERROR(__xludf.DUMMYFUNCTION("""COMPUTED_VALUE"""),6.0)</f>
        <v>6</v>
      </c>
      <c r="M18">
        <f>IFERROR(__xludf.DUMMYFUNCTION("""COMPUTED_VALUE"""),40.0)</f>
        <v>40</v>
      </c>
      <c r="N18" t="str">
        <f>IFERROR(__xludf.DUMMYFUNCTION("""COMPUTED_VALUE"""),"Model 3 LR")</f>
        <v>Model 3 LR</v>
      </c>
      <c r="O18" t="str">
        <f>IFERROR(__xludf.DUMMYFUNCTION("""COMPUTED_VALUE"""),"Solid Black")</f>
        <v>Solid Black</v>
      </c>
      <c r="P18" t="str">
        <f>IFERROR(__xludf.DUMMYFUNCTION("""COMPUTED_VALUE"""),"18 inch Aero")</f>
        <v>18 inch Aero</v>
      </c>
      <c r="Q18" t="str">
        <f>IFERROR(__xludf.DUMMYFUNCTION("""COMPUTED_VALUE"""),"Black seats")</f>
        <v>Black seats</v>
      </c>
      <c r="R18" t="str">
        <f>IFERROR(__xludf.DUMMYFUNCTION("""COMPUTED_VALUE"""),"Enhanced Autopilot")</f>
        <v>Enhanced Autopilot</v>
      </c>
      <c r="X18" t="str">
        <f>IFERROR(__xludf.DUMMYFUNCTION("""COMPUTED_VALUE"""),"Excellent")</f>
        <v>Excellent</v>
      </c>
      <c r="Y18" t="str">
        <f>IFERROR(__xludf.DUMMYFUNCTION("""COMPUTED_VALUE"""),"Excellent")</f>
        <v>Excellent</v>
      </c>
      <c r="Z18" t="str">
        <f>IFERROR(__xludf.DUMMYFUNCTION("""COMPUTED_VALUE"""),"Excellent")</f>
        <v>Excellent</v>
      </c>
      <c r="AB18" t="str">
        <f>IFERROR(__xludf.DUMMYFUNCTION("""COMPUTED_VALUE"""),"Good")</f>
        <v>Good</v>
      </c>
      <c r="AH18" s="189">
        <f>IFERROR(__xludf.DUMMYFUNCTION("""COMPUTED_VALUE"""),43227.98639938657)</f>
        <v>43227.9864</v>
      </c>
    </row>
    <row r="19">
      <c r="A19" t="str">
        <f>IFERROR(__xludf.DUMMYFUNCTION("""COMPUTED_VALUE"""),"themcgruff")</f>
        <v>themcgruff</v>
      </c>
      <c r="B19" t="str">
        <f>IFERROR(__xludf.DUMMYFUNCTION("""COMPUTED_VALUE"""),"Tampa")</f>
        <v>Tampa</v>
      </c>
      <c r="C19" t="str">
        <f>IFERROR(__xludf.DUMMYFUNCTION("""COMPUTED_VALUE"""),"FL")</f>
        <v>FL</v>
      </c>
      <c r="D19" t="str">
        <f>IFERROR(__xludf.DUMMYFUNCTION("""COMPUTED_VALUE"""),"USA")</f>
        <v>USA</v>
      </c>
      <c r="E19" s="188">
        <f>IFERROR(__xludf.DUMMYFUNCTION("""COMPUTED_VALUE"""),43200.0)</f>
        <v>43200</v>
      </c>
      <c r="F19" s="188">
        <f>IFERROR(__xludf.DUMMYFUNCTION("""COMPUTED_VALUE"""),43201.0)</f>
        <v>43201</v>
      </c>
      <c r="H19">
        <f>IFERROR(__xludf.DUMMYFUNCTION("""COMPUTED_VALUE"""),18275.0)</f>
        <v>18275</v>
      </c>
      <c r="J19" s="5">
        <f>IFERROR(__xludf.DUMMYFUNCTION("""COMPUTED_VALUE"""),43227.0)</f>
        <v>43227</v>
      </c>
      <c r="K19">
        <f>IFERROR(__xludf.DUMMYFUNCTION("""COMPUTED_VALUE"""),1.0)</f>
        <v>1</v>
      </c>
      <c r="L19">
        <f>IFERROR(__xludf.DUMMYFUNCTION("""COMPUTED_VALUE"""),26.0)</f>
        <v>26</v>
      </c>
      <c r="M19">
        <f>IFERROR(__xludf.DUMMYFUNCTION("""COMPUTED_VALUE"""),27.0)</f>
        <v>27</v>
      </c>
      <c r="N19" t="str">
        <f>IFERROR(__xludf.DUMMYFUNCTION("""COMPUTED_VALUE"""),"Model 3 LR")</f>
        <v>Model 3 LR</v>
      </c>
      <c r="O19" t="str">
        <f>IFERROR(__xludf.DUMMYFUNCTION("""COMPUTED_VALUE"""),"Deep Blue Metallic")</f>
        <v>Deep Blue Metallic</v>
      </c>
      <c r="P19" t="str">
        <f>IFERROR(__xludf.DUMMYFUNCTION("""COMPUTED_VALUE"""),"19 inch Sport")</f>
        <v>19 inch Sport</v>
      </c>
      <c r="Q19" t="str">
        <f>IFERROR(__xludf.DUMMYFUNCTION("""COMPUTED_VALUE"""),"Black seats")</f>
        <v>Black seats</v>
      </c>
      <c r="R19" t="str">
        <f>IFERROR(__xludf.DUMMYFUNCTION("""COMPUTED_VALUE"""),"Enhanced Autopilot")</f>
        <v>Enhanced Autopilot</v>
      </c>
      <c r="X19" t="str">
        <f>IFERROR(__xludf.DUMMYFUNCTION("""COMPUTED_VALUE"""),"Very Good")</f>
        <v>Very Good</v>
      </c>
      <c r="Y19" t="str">
        <f>IFERROR(__xludf.DUMMYFUNCTION("""COMPUTED_VALUE"""),"Very Good")</f>
        <v>Very Good</v>
      </c>
      <c r="Z19" t="str">
        <f>IFERROR(__xludf.DUMMYFUNCTION("""COMPUTED_VALUE"""),"Good")</f>
        <v>Good</v>
      </c>
      <c r="AB19" t="str">
        <f>IFERROR(__xludf.DUMMYFUNCTION("""COMPUTED_VALUE"""),"Very Good")</f>
        <v>Very Good</v>
      </c>
      <c r="AH19" s="189">
        <f>IFERROR(__xludf.DUMMYFUNCTION("""COMPUTED_VALUE"""),43228.19574589121)</f>
        <v>43228.19575</v>
      </c>
    </row>
    <row r="20">
      <c r="A20" t="str">
        <f>IFERROR(__xludf.DUMMYFUNCTION("""COMPUTED_VALUE"""),"Pants")</f>
        <v>Pants</v>
      </c>
      <c r="B20" t="str">
        <f>IFERROR(__xludf.DUMMYFUNCTION("""COMPUTED_VALUE"""),"Seattle")</f>
        <v>Seattle</v>
      </c>
      <c r="C20" t="str">
        <f>IFERROR(__xludf.DUMMYFUNCTION("""COMPUTED_VALUE"""),"WA")</f>
        <v>WA</v>
      </c>
      <c r="D20" t="str">
        <f>IFERROR(__xludf.DUMMYFUNCTION("""COMPUTED_VALUE"""),"USA")</f>
        <v>USA</v>
      </c>
      <c r="E20" s="188">
        <f>IFERROR(__xludf.DUMMYFUNCTION("""COMPUTED_VALUE"""),43197.0)</f>
        <v>43197</v>
      </c>
      <c r="F20" s="188">
        <f>IFERROR(__xludf.DUMMYFUNCTION("""COMPUTED_VALUE"""),43218.0)</f>
        <v>43218</v>
      </c>
      <c r="H20">
        <f>IFERROR(__xludf.DUMMYFUNCTION("""COMPUTED_VALUE"""),17405.0)</f>
        <v>17405</v>
      </c>
      <c r="J20" s="5">
        <f>IFERROR(__xludf.DUMMYFUNCTION("""COMPUTED_VALUE"""),43225.0)</f>
        <v>43225</v>
      </c>
      <c r="K20">
        <f>IFERROR(__xludf.DUMMYFUNCTION("""COMPUTED_VALUE"""),21.0)</f>
        <v>21</v>
      </c>
      <c r="L20">
        <f>IFERROR(__xludf.DUMMYFUNCTION("""COMPUTED_VALUE"""),7.0)</f>
        <v>7</v>
      </c>
      <c r="M20">
        <f>IFERROR(__xludf.DUMMYFUNCTION("""COMPUTED_VALUE"""),28.0)</f>
        <v>28</v>
      </c>
      <c r="N20" t="str">
        <f>IFERROR(__xludf.DUMMYFUNCTION("""COMPUTED_VALUE"""),"Model 3 LR")</f>
        <v>Model 3 LR</v>
      </c>
      <c r="O20" t="str">
        <f>IFERROR(__xludf.DUMMYFUNCTION("""COMPUTED_VALUE"""),"Pearl White Multi-Coat")</f>
        <v>Pearl White Multi-Coat</v>
      </c>
      <c r="P20" t="str">
        <f>IFERROR(__xludf.DUMMYFUNCTION("""COMPUTED_VALUE"""),"18 inch Aero")</f>
        <v>18 inch Aero</v>
      </c>
      <c r="Q20" t="str">
        <f>IFERROR(__xludf.DUMMYFUNCTION("""COMPUTED_VALUE"""),"Black seats")</f>
        <v>Black seats</v>
      </c>
      <c r="R20" t="str">
        <f>IFERROR(__xludf.DUMMYFUNCTION("""COMPUTED_VALUE"""),"None")</f>
        <v>None</v>
      </c>
      <c r="X20" t="str">
        <f>IFERROR(__xludf.DUMMYFUNCTION("""COMPUTED_VALUE"""),"Excellent")</f>
        <v>Excellent</v>
      </c>
      <c r="Y20" t="str">
        <f>IFERROR(__xludf.DUMMYFUNCTION("""COMPUTED_VALUE"""),"Very Good")</f>
        <v>Very Good</v>
      </c>
      <c r="Z20" t="str">
        <f>IFERROR(__xludf.DUMMYFUNCTION("""COMPUTED_VALUE"""),"Very Good")</f>
        <v>Very Good</v>
      </c>
      <c r="AB20" t="str">
        <f>IFERROR(__xludf.DUMMYFUNCTION("""COMPUTED_VALUE"""),"Very Good")</f>
        <v>Very Good</v>
      </c>
      <c r="AH20" s="189">
        <f>IFERROR(__xludf.DUMMYFUNCTION("""COMPUTED_VALUE"""),43228.30139043981)</f>
        <v>43228.30139</v>
      </c>
    </row>
    <row r="21">
      <c r="A21" t="str">
        <f>IFERROR(__xludf.DUMMYFUNCTION("""COMPUTED_VALUE"""),"mdarcy")</f>
        <v>mdarcy</v>
      </c>
      <c r="B21" t="str">
        <f>IFERROR(__xludf.DUMMYFUNCTION("""COMPUTED_VALUE"""),"San Diego")</f>
        <v>San Diego</v>
      </c>
      <c r="C21" t="str">
        <f>IFERROR(__xludf.DUMMYFUNCTION("""COMPUTED_VALUE"""),"CA")</f>
        <v>CA</v>
      </c>
      <c r="D21" t="str">
        <f>IFERROR(__xludf.DUMMYFUNCTION("""COMPUTED_VALUE"""),"USA")</f>
        <v>USA</v>
      </c>
      <c r="E21" s="188">
        <f>IFERROR(__xludf.DUMMYFUNCTION("""COMPUTED_VALUE"""),43181.0)</f>
        <v>43181</v>
      </c>
      <c r="F21" s="188">
        <f>IFERROR(__xludf.DUMMYFUNCTION("""COMPUTED_VALUE"""),43218.0)</f>
        <v>43218</v>
      </c>
      <c r="H21">
        <f>IFERROR(__xludf.DUMMYFUNCTION("""COMPUTED_VALUE"""),16358.0)</f>
        <v>16358</v>
      </c>
      <c r="J21" s="5">
        <f>IFERROR(__xludf.DUMMYFUNCTION("""COMPUTED_VALUE"""),43227.0)</f>
        <v>43227</v>
      </c>
      <c r="K21">
        <f>IFERROR(__xludf.DUMMYFUNCTION("""COMPUTED_VALUE"""),37.0)</f>
        <v>37</v>
      </c>
      <c r="L21">
        <f>IFERROR(__xludf.DUMMYFUNCTION("""COMPUTED_VALUE"""),9.0)</f>
        <v>9</v>
      </c>
      <c r="M21">
        <f>IFERROR(__xludf.DUMMYFUNCTION("""COMPUTED_VALUE"""),46.0)</f>
        <v>46</v>
      </c>
      <c r="N21" t="str">
        <f>IFERROR(__xludf.DUMMYFUNCTION("""COMPUTED_VALUE"""),"Model 3 LR")</f>
        <v>Model 3 LR</v>
      </c>
      <c r="O21" t="str">
        <f>IFERROR(__xludf.DUMMYFUNCTION("""COMPUTED_VALUE"""),"Midnight Silver Metallic")</f>
        <v>Midnight Silver Metallic</v>
      </c>
      <c r="P21" t="str">
        <f>IFERROR(__xludf.DUMMYFUNCTION("""COMPUTED_VALUE"""),"18 inch Aero")</f>
        <v>18 inch Aero</v>
      </c>
      <c r="Q21" t="str">
        <f>IFERROR(__xludf.DUMMYFUNCTION("""COMPUTED_VALUE"""),"Black seats")</f>
        <v>Black seats</v>
      </c>
      <c r="R21" t="str">
        <f>IFERROR(__xludf.DUMMYFUNCTION("""COMPUTED_VALUE"""),"None")</f>
        <v>None</v>
      </c>
      <c r="X21" t="str">
        <f>IFERROR(__xludf.DUMMYFUNCTION("""COMPUTED_VALUE"""),"Excellent")</f>
        <v>Excellent</v>
      </c>
      <c r="Y21" t="str">
        <f>IFERROR(__xludf.DUMMYFUNCTION("""COMPUTED_VALUE"""),"Excellent")</f>
        <v>Excellent</v>
      </c>
      <c r="Z21" t="str">
        <f>IFERROR(__xludf.DUMMYFUNCTION("""COMPUTED_VALUE"""),"Excellent")</f>
        <v>Excellent</v>
      </c>
      <c r="AB21" t="str">
        <f>IFERROR(__xludf.DUMMYFUNCTION("""COMPUTED_VALUE"""),"Excellent")</f>
        <v>Excellent</v>
      </c>
      <c r="AH21" s="189">
        <f>IFERROR(__xludf.DUMMYFUNCTION("""COMPUTED_VALUE"""),43228.37098076389)</f>
        <v>43228.37098</v>
      </c>
    </row>
    <row r="22">
      <c r="A22" t="str">
        <f>IFERROR(__xludf.DUMMYFUNCTION("""COMPUTED_VALUE"""),"Dugknight")</f>
        <v>Dugknight</v>
      </c>
      <c r="B22" t="str">
        <f>IFERROR(__xludf.DUMMYFUNCTION("""COMPUTED_VALUE"""),"Long Beach")</f>
        <v>Long Beach</v>
      </c>
      <c r="C22" t="str">
        <f>IFERROR(__xludf.DUMMYFUNCTION("""COMPUTED_VALUE"""),"CA")</f>
        <v>CA</v>
      </c>
      <c r="D22" t="str">
        <f>IFERROR(__xludf.DUMMYFUNCTION("""COMPUTED_VALUE"""),"USA")</f>
        <v>USA</v>
      </c>
      <c r="E22" s="188">
        <f>IFERROR(__xludf.DUMMYFUNCTION("""COMPUTED_VALUE"""),43196.0)</f>
        <v>43196</v>
      </c>
      <c r="F22" s="188">
        <f>IFERROR(__xludf.DUMMYFUNCTION("""COMPUTED_VALUE"""),43218.0)</f>
        <v>43218</v>
      </c>
      <c r="H22">
        <f>IFERROR(__xludf.DUMMYFUNCTION("""COMPUTED_VALUE"""),17155.0)</f>
        <v>17155</v>
      </c>
      <c r="J22" s="5">
        <f>IFERROR(__xludf.DUMMYFUNCTION("""COMPUTED_VALUE"""),43228.0)</f>
        <v>43228</v>
      </c>
      <c r="K22">
        <f>IFERROR(__xludf.DUMMYFUNCTION("""COMPUTED_VALUE"""),22.0)</f>
        <v>22</v>
      </c>
      <c r="L22">
        <f>IFERROR(__xludf.DUMMYFUNCTION("""COMPUTED_VALUE"""),10.0)</f>
        <v>10</v>
      </c>
      <c r="M22">
        <f>IFERROR(__xludf.DUMMYFUNCTION("""COMPUTED_VALUE"""),32.0)</f>
        <v>32</v>
      </c>
      <c r="N22" t="str">
        <f>IFERROR(__xludf.DUMMYFUNCTION("""COMPUTED_VALUE"""),"Model 3 LR")</f>
        <v>Model 3 LR</v>
      </c>
      <c r="O22" t="str">
        <f>IFERROR(__xludf.DUMMYFUNCTION("""COMPUTED_VALUE"""),"Deep Blue Metallic")</f>
        <v>Deep Blue Metallic</v>
      </c>
      <c r="P22" t="str">
        <f>IFERROR(__xludf.DUMMYFUNCTION("""COMPUTED_VALUE"""),"18 inch Aero")</f>
        <v>18 inch Aero</v>
      </c>
      <c r="Q22" t="str">
        <f>IFERROR(__xludf.DUMMYFUNCTION("""COMPUTED_VALUE"""),"Black seats")</f>
        <v>Black seats</v>
      </c>
      <c r="R22" t="str">
        <f>IFERROR(__xludf.DUMMYFUNCTION("""COMPUTED_VALUE"""),"Enhanced Autopilot")</f>
        <v>Enhanced Autopilot</v>
      </c>
      <c r="X22" t="str">
        <f>IFERROR(__xludf.DUMMYFUNCTION("""COMPUTED_VALUE"""),"Very Good")</f>
        <v>Very Good</v>
      </c>
      <c r="Y22" t="str">
        <f>IFERROR(__xludf.DUMMYFUNCTION("""COMPUTED_VALUE"""),"Excellent")</f>
        <v>Excellent</v>
      </c>
      <c r="Z22" t="str">
        <f>IFERROR(__xludf.DUMMYFUNCTION("""COMPUTED_VALUE"""),"Excellent")</f>
        <v>Excellent</v>
      </c>
      <c r="AB22" t="str">
        <f>IFERROR(__xludf.DUMMYFUNCTION("""COMPUTED_VALUE"""),"Good")</f>
        <v>Good</v>
      </c>
      <c r="AH22" s="189">
        <f>IFERROR(__xludf.DUMMYFUNCTION("""COMPUTED_VALUE"""),43228.84525125)</f>
        <v>43228.84525</v>
      </c>
    </row>
    <row r="23">
      <c r="A23" t="str">
        <f>IFERROR(__xludf.DUMMYFUNCTION("""COMPUTED_VALUE"""),"Buckeye")</f>
        <v>Buckeye</v>
      </c>
      <c r="B23" t="str">
        <f>IFERROR(__xludf.DUMMYFUNCTION("""COMPUTED_VALUE"""),"Cleveland")</f>
        <v>Cleveland</v>
      </c>
      <c r="C23" t="str">
        <f>IFERROR(__xludf.DUMMYFUNCTION("""COMPUTED_VALUE"""),"OH")</f>
        <v>OH</v>
      </c>
      <c r="D23" t="str">
        <f>IFERROR(__xludf.DUMMYFUNCTION("""COMPUTED_VALUE"""),"USA")</f>
        <v>USA</v>
      </c>
      <c r="E23" s="188">
        <f>IFERROR(__xludf.DUMMYFUNCTION("""COMPUTED_VALUE"""),43181.0)</f>
        <v>43181</v>
      </c>
      <c r="F23" s="188">
        <f>IFERROR(__xludf.DUMMYFUNCTION("""COMPUTED_VALUE"""),43205.0)</f>
        <v>43205</v>
      </c>
      <c r="H23">
        <f>IFERROR(__xludf.DUMMYFUNCTION("""COMPUTED_VALUE"""),13955.0)</f>
        <v>13955</v>
      </c>
      <c r="J23" s="5">
        <f>IFERROR(__xludf.DUMMYFUNCTION("""COMPUTED_VALUE"""),43228.0)</f>
        <v>43228</v>
      </c>
      <c r="K23">
        <f>IFERROR(__xludf.DUMMYFUNCTION("""COMPUTED_VALUE"""),24.0)</f>
        <v>24</v>
      </c>
      <c r="L23">
        <f>IFERROR(__xludf.DUMMYFUNCTION("""COMPUTED_VALUE"""),23.0)</f>
        <v>23</v>
      </c>
      <c r="M23">
        <f>IFERROR(__xludf.DUMMYFUNCTION("""COMPUTED_VALUE"""),47.0)</f>
        <v>47</v>
      </c>
      <c r="N23" t="str">
        <f>IFERROR(__xludf.DUMMYFUNCTION("""COMPUTED_VALUE"""),"Model 3 LR")</f>
        <v>Model 3 LR</v>
      </c>
      <c r="O23" t="str">
        <f>IFERROR(__xludf.DUMMYFUNCTION("""COMPUTED_VALUE"""),"Solid Black")</f>
        <v>Solid Black</v>
      </c>
      <c r="P23" t="str">
        <f>IFERROR(__xludf.DUMMYFUNCTION("""COMPUTED_VALUE"""),"18 inch Aero")</f>
        <v>18 inch Aero</v>
      </c>
      <c r="Q23" t="str">
        <f>IFERROR(__xludf.DUMMYFUNCTION("""COMPUTED_VALUE"""),"Black seats")</f>
        <v>Black seats</v>
      </c>
      <c r="R23" t="str">
        <f>IFERROR(__xludf.DUMMYFUNCTION("""COMPUTED_VALUE"""),"Enhanced Autopilot")</f>
        <v>Enhanced Autopilot</v>
      </c>
      <c r="X23" t="str">
        <f>IFERROR(__xludf.DUMMYFUNCTION("""COMPUTED_VALUE"""),"Very Good")</f>
        <v>Very Good</v>
      </c>
      <c r="Y23" t="str">
        <f>IFERROR(__xludf.DUMMYFUNCTION("""COMPUTED_VALUE"""),"Very Good")</f>
        <v>Very Good</v>
      </c>
      <c r="Z23" t="str">
        <f>IFERROR(__xludf.DUMMYFUNCTION("""COMPUTED_VALUE"""),"Very Good")</f>
        <v>Very Good</v>
      </c>
      <c r="AB23" t="str">
        <f>IFERROR(__xludf.DUMMYFUNCTION("""COMPUTED_VALUE"""),"Good")</f>
        <v>Good</v>
      </c>
      <c r="AH23" s="189">
        <f>IFERROR(__xludf.DUMMYFUNCTION("""COMPUTED_VALUE"""),43229.254946643516)</f>
        <v>43229.25495</v>
      </c>
    </row>
    <row r="24">
      <c r="A24" t="str">
        <f>IFERROR(__xludf.DUMMYFUNCTION("""COMPUTED_VALUE"""),"seionannon")</f>
        <v>seionannon</v>
      </c>
      <c r="B24" t="str">
        <f>IFERROR(__xludf.DUMMYFUNCTION("""COMPUTED_VALUE"""),"SF Bay Area")</f>
        <v>SF Bay Area</v>
      </c>
      <c r="C24" t="str">
        <f>IFERROR(__xludf.DUMMYFUNCTION("""COMPUTED_VALUE"""),"CA")</f>
        <v>CA</v>
      </c>
      <c r="D24" t="str">
        <f>IFERROR(__xludf.DUMMYFUNCTION("""COMPUTED_VALUE"""),"USA")</f>
        <v>USA</v>
      </c>
      <c r="E24" s="188">
        <f>IFERROR(__xludf.DUMMYFUNCTION("""COMPUTED_VALUE"""),43200.0)</f>
        <v>43200</v>
      </c>
      <c r="F24" s="188">
        <f>IFERROR(__xludf.DUMMYFUNCTION("""COMPUTED_VALUE"""),43200.0)</f>
        <v>43200</v>
      </c>
      <c r="H24">
        <f>IFERROR(__xludf.DUMMYFUNCTION("""COMPUTED_VALUE"""),15555.0)</f>
        <v>15555</v>
      </c>
      <c r="J24" s="5">
        <f>IFERROR(__xludf.DUMMYFUNCTION("""COMPUTED_VALUE"""),43219.0)</f>
        <v>43219</v>
      </c>
      <c r="K24">
        <f>IFERROR(__xludf.DUMMYFUNCTION("""COMPUTED_VALUE"""),0.0)</f>
        <v>0</v>
      </c>
      <c r="L24">
        <f>IFERROR(__xludf.DUMMYFUNCTION("""COMPUTED_VALUE"""),19.0)</f>
        <v>19</v>
      </c>
      <c r="M24">
        <f>IFERROR(__xludf.DUMMYFUNCTION("""COMPUTED_VALUE"""),19.0)</f>
        <v>19</v>
      </c>
      <c r="N24" t="str">
        <f>IFERROR(__xludf.DUMMYFUNCTION("""COMPUTED_VALUE"""),"Model 3 LR")</f>
        <v>Model 3 LR</v>
      </c>
      <c r="O24" t="str">
        <f>IFERROR(__xludf.DUMMYFUNCTION("""COMPUTED_VALUE"""),"Deep Blue Metallic")</f>
        <v>Deep Blue Metallic</v>
      </c>
      <c r="P24" t="str">
        <f>IFERROR(__xludf.DUMMYFUNCTION("""COMPUTED_VALUE"""),"19 inch Sport")</f>
        <v>19 inch Sport</v>
      </c>
      <c r="Q24" t="str">
        <f>IFERROR(__xludf.DUMMYFUNCTION("""COMPUTED_VALUE"""),"Black seats")</f>
        <v>Black seats</v>
      </c>
      <c r="R24" t="str">
        <f>IFERROR(__xludf.DUMMYFUNCTION("""COMPUTED_VALUE"""),"Enhanced Autopilot")</f>
        <v>Enhanced Autopilot</v>
      </c>
      <c r="X24" t="str">
        <f>IFERROR(__xludf.DUMMYFUNCTION("""COMPUTED_VALUE"""),"Excellent")</f>
        <v>Excellent</v>
      </c>
      <c r="Y24" t="str">
        <f>IFERROR(__xludf.DUMMYFUNCTION("""COMPUTED_VALUE"""),"Very Good")</f>
        <v>Very Good</v>
      </c>
      <c r="Z24" t="str">
        <f>IFERROR(__xludf.DUMMYFUNCTION("""COMPUTED_VALUE"""),"Very Good")</f>
        <v>Very Good</v>
      </c>
      <c r="AB24" t="str">
        <f>IFERROR(__xludf.DUMMYFUNCTION("""COMPUTED_VALUE"""),"Fair")</f>
        <v>Fair</v>
      </c>
      <c r="AH24" s="189">
        <f>IFERROR(__xludf.DUMMYFUNCTION("""COMPUTED_VALUE"""),43229.54314505787)</f>
        <v>43229.54315</v>
      </c>
    </row>
    <row r="25">
      <c r="A25" t="str">
        <f>IFERROR(__xludf.DUMMYFUNCTION("""COMPUTED_VALUE"""),"syncnite")</f>
        <v>syncnite</v>
      </c>
      <c r="B25" t="str">
        <f>IFERROR(__xludf.DUMMYFUNCTION("""COMPUTED_VALUE"""),"San Jose")</f>
        <v>San Jose</v>
      </c>
      <c r="C25" t="str">
        <f>IFERROR(__xludf.DUMMYFUNCTION("""COMPUTED_VALUE"""),"CA")</f>
        <v>CA</v>
      </c>
      <c r="D25" t="str">
        <f>IFERROR(__xludf.DUMMYFUNCTION("""COMPUTED_VALUE"""),"USA")</f>
        <v>USA</v>
      </c>
      <c r="E25" s="188">
        <f>IFERROR(__xludf.DUMMYFUNCTION("""COMPUTED_VALUE"""),43200.0)</f>
        <v>43200</v>
      </c>
      <c r="F25" s="188">
        <f>IFERROR(__xludf.DUMMYFUNCTION("""COMPUTED_VALUE"""),43217.0)</f>
        <v>43217</v>
      </c>
      <c r="H25">
        <f>IFERROR(__xludf.DUMMYFUNCTION("""COMPUTED_VALUE"""),17055.0)</f>
        <v>17055</v>
      </c>
      <c r="J25" s="5">
        <f>IFERROR(__xludf.DUMMYFUNCTION("""COMPUTED_VALUE"""),43224.0)</f>
        <v>43224</v>
      </c>
      <c r="K25">
        <f>IFERROR(__xludf.DUMMYFUNCTION("""COMPUTED_VALUE"""),17.0)</f>
        <v>17</v>
      </c>
      <c r="L25">
        <f>IFERROR(__xludf.DUMMYFUNCTION("""COMPUTED_VALUE"""),7.0)</f>
        <v>7</v>
      </c>
      <c r="M25">
        <f>IFERROR(__xludf.DUMMYFUNCTION("""COMPUTED_VALUE"""),24.0)</f>
        <v>24</v>
      </c>
      <c r="N25" t="str">
        <f>IFERROR(__xludf.DUMMYFUNCTION("""COMPUTED_VALUE"""),"Model 3 LR")</f>
        <v>Model 3 LR</v>
      </c>
      <c r="O25" t="str">
        <f>IFERROR(__xludf.DUMMYFUNCTION("""COMPUTED_VALUE"""),"Deep Blue Metallic")</f>
        <v>Deep Blue Metallic</v>
      </c>
      <c r="P25" t="str">
        <f>IFERROR(__xludf.DUMMYFUNCTION("""COMPUTED_VALUE"""),"18 inch Aero")</f>
        <v>18 inch Aero</v>
      </c>
      <c r="Q25" t="str">
        <f>IFERROR(__xludf.DUMMYFUNCTION("""COMPUTED_VALUE"""),"Black seats")</f>
        <v>Black seats</v>
      </c>
      <c r="R25" t="str">
        <f>IFERROR(__xludf.DUMMYFUNCTION("""COMPUTED_VALUE"""),"Enhanced Autopilot")</f>
        <v>Enhanced Autopilot</v>
      </c>
      <c r="X25" t="str">
        <f>IFERROR(__xludf.DUMMYFUNCTION("""COMPUTED_VALUE"""),"Excellent")</f>
        <v>Excellent</v>
      </c>
      <c r="Y25" t="str">
        <f>IFERROR(__xludf.DUMMYFUNCTION("""COMPUTED_VALUE"""),"Very Good")</f>
        <v>Very Good</v>
      </c>
      <c r="Z25" t="str">
        <f>IFERROR(__xludf.DUMMYFUNCTION("""COMPUTED_VALUE"""),"Excellent")</f>
        <v>Excellent</v>
      </c>
      <c r="AB25" t="str">
        <f>IFERROR(__xludf.DUMMYFUNCTION("""COMPUTED_VALUE"""),"Excellent")</f>
        <v>Excellent</v>
      </c>
      <c r="AH25" s="189">
        <f>IFERROR(__xludf.DUMMYFUNCTION("""COMPUTED_VALUE"""),43229.622160520834)</f>
        <v>43229.62216</v>
      </c>
    </row>
    <row r="26">
      <c r="A26" t="str">
        <f>IFERROR(__xludf.DUMMYFUNCTION("""COMPUTED_VALUE"""),"cucopper")</f>
        <v>cucopper</v>
      </c>
      <c r="B26" t="str">
        <f>IFERROR(__xludf.DUMMYFUNCTION("""COMPUTED_VALUE"""),"Costa Mesa")</f>
        <v>Costa Mesa</v>
      </c>
      <c r="C26" t="str">
        <f>IFERROR(__xludf.DUMMYFUNCTION("""COMPUTED_VALUE"""),"CA")</f>
        <v>CA</v>
      </c>
      <c r="D26" t="str">
        <f>IFERROR(__xludf.DUMMYFUNCTION("""COMPUTED_VALUE"""),"USA")</f>
        <v>USA</v>
      </c>
      <c r="E26" s="188">
        <f>IFERROR(__xludf.DUMMYFUNCTION("""COMPUTED_VALUE"""),43183.0)</f>
        <v>43183</v>
      </c>
      <c r="F26" s="188">
        <f>IFERROR(__xludf.DUMMYFUNCTION("""COMPUTED_VALUE"""),43218.0)</f>
        <v>43218</v>
      </c>
      <c r="H26">
        <f>IFERROR(__xludf.DUMMYFUNCTION("""COMPUTED_VALUE"""),15955.0)</f>
        <v>15955</v>
      </c>
      <c r="J26" s="5">
        <f>IFERROR(__xludf.DUMMYFUNCTION("""COMPUTED_VALUE"""),43229.0)</f>
        <v>43229</v>
      </c>
      <c r="K26">
        <f>IFERROR(__xludf.DUMMYFUNCTION("""COMPUTED_VALUE"""),35.0)</f>
        <v>35</v>
      </c>
      <c r="L26">
        <f>IFERROR(__xludf.DUMMYFUNCTION("""COMPUTED_VALUE"""),11.0)</f>
        <v>11</v>
      </c>
      <c r="M26">
        <f>IFERROR(__xludf.DUMMYFUNCTION("""COMPUTED_VALUE"""),46.0)</f>
        <v>46</v>
      </c>
      <c r="N26" t="str">
        <f>IFERROR(__xludf.DUMMYFUNCTION("""COMPUTED_VALUE"""),"Model 3 LR")</f>
        <v>Model 3 LR</v>
      </c>
      <c r="O26" t="str">
        <f>IFERROR(__xludf.DUMMYFUNCTION("""COMPUTED_VALUE"""),"Solid Black")</f>
        <v>Solid Black</v>
      </c>
      <c r="P26" t="str">
        <f>IFERROR(__xludf.DUMMYFUNCTION("""COMPUTED_VALUE"""),"18 inch Aero")</f>
        <v>18 inch Aero</v>
      </c>
      <c r="Q26" t="str">
        <f>IFERROR(__xludf.DUMMYFUNCTION("""COMPUTED_VALUE"""),"Black seats")</f>
        <v>Black seats</v>
      </c>
      <c r="R26" t="str">
        <f>IFERROR(__xludf.DUMMYFUNCTION("""COMPUTED_VALUE"""),"Enhanced Autopilot")</f>
        <v>Enhanced Autopilot</v>
      </c>
      <c r="X26" t="str">
        <f>IFERROR(__xludf.DUMMYFUNCTION("""COMPUTED_VALUE"""),"Very Good")</f>
        <v>Very Good</v>
      </c>
      <c r="Y26" t="str">
        <f>IFERROR(__xludf.DUMMYFUNCTION("""COMPUTED_VALUE"""),"Very Good")</f>
        <v>Very Good</v>
      </c>
      <c r="Z26" t="str">
        <f>IFERROR(__xludf.DUMMYFUNCTION("""COMPUTED_VALUE"""),"Very Good")</f>
        <v>Very Good</v>
      </c>
      <c r="AB26" t="str">
        <f>IFERROR(__xludf.DUMMYFUNCTION("""COMPUTED_VALUE"""),"Very Good")</f>
        <v>Very Good</v>
      </c>
      <c r="AH26" s="189">
        <f>IFERROR(__xludf.DUMMYFUNCTION("""COMPUTED_VALUE"""),43229.6688817824)</f>
        <v>43229.66888</v>
      </c>
    </row>
    <row r="27">
      <c r="A27" t="str">
        <f>IFERROR(__xludf.DUMMYFUNCTION("""COMPUTED_VALUE"""),"slippy47")</f>
        <v>slippy47</v>
      </c>
      <c r="B27" t="str">
        <f>IFERROR(__xludf.DUMMYFUNCTION("""COMPUTED_VALUE"""),"Orlando")</f>
        <v>Orlando</v>
      </c>
      <c r="C27" t="str">
        <f>IFERROR(__xludf.DUMMYFUNCTION("""COMPUTED_VALUE"""),"FL")</f>
        <v>FL</v>
      </c>
      <c r="D27" t="str">
        <f>IFERROR(__xludf.DUMMYFUNCTION("""COMPUTED_VALUE"""),"USA")</f>
        <v>USA</v>
      </c>
      <c r="E27" s="188">
        <f>IFERROR(__xludf.DUMMYFUNCTION("""COMPUTED_VALUE"""),43162.0)</f>
        <v>43162</v>
      </c>
      <c r="F27" s="188">
        <f>IFERROR(__xludf.DUMMYFUNCTION("""COMPUTED_VALUE"""),43201.0)</f>
        <v>43201</v>
      </c>
      <c r="H27">
        <f>IFERROR(__xludf.DUMMYFUNCTION("""COMPUTED_VALUE"""),14085.0)</f>
        <v>14085</v>
      </c>
      <c r="J27" s="5">
        <f>IFERROR(__xludf.DUMMYFUNCTION("""COMPUTED_VALUE"""),43225.0)</f>
        <v>43225</v>
      </c>
      <c r="K27">
        <f>IFERROR(__xludf.DUMMYFUNCTION("""COMPUTED_VALUE"""),39.0)</f>
        <v>39</v>
      </c>
      <c r="L27">
        <f>IFERROR(__xludf.DUMMYFUNCTION("""COMPUTED_VALUE"""),24.0)</f>
        <v>24</v>
      </c>
      <c r="M27">
        <f>IFERROR(__xludf.DUMMYFUNCTION("""COMPUTED_VALUE"""),63.0)</f>
        <v>63</v>
      </c>
      <c r="N27" t="str">
        <f>IFERROR(__xludf.DUMMYFUNCTION("""COMPUTED_VALUE"""),"Model 3 LR")</f>
        <v>Model 3 LR</v>
      </c>
      <c r="O27" t="str">
        <f>IFERROR(__xludf.DUMMYFUNCTION("""COMPUTED_VALUE"""),"Midnight Silver Metallic")</f>
        <v>Midnight Silver Metallic</v>
      </c>
      <c r="P27" t="str">
        <f>IFERROR(__xludf.DUMMYFUNCTION("""COMPUTED_VALUE"""),"18 inch Aero")</f>
        <v>18 inch Aero</v>
      </c>
      <c r="Q27" t="str">
        <f>IFERROR(__xludf.DUMMYFUNCTION("""COMPUTED_VALUE"""),"Black seats")</f>
        <v>Black seats</v>
      </c>
      <c r="R27" t="str">
        <f>IFERROR(__xludf.DUMMYFUNCTION("""COMPUTED_VALUE"""),"None")</f>
        <v>None</v>
      </c>
      <c r="X27" t="str">
        <f>IFERROR(__xludf.DUMMYFUNCTION("""COMPUTED_VALUE"""),"Excellent")</f>
        <v>Excellent</v>
      </c>
      <c r="Y27" t="str">
        <f>IFERROR(__xludf.DUMMYFUNCTION("""COMPUTED_VALUE"""),"Very Good")</f>
        <v>Very Good</v>
      </c>
      <c r="Z27" t="str">
        <f>IFERROR(__xludf.DUMMYFUNCTION("""COMPUTED_VALUE"""),"Excellent")</f>
        <v>Excellent</v>
      </c>
      <c r="AB27" t="str">
        <f>IFERROR(__xludf.DUMMYFUNCTION("""COMPUTED_VALUE"""),"Very Good")</f>
        <v>Very Good</v>
      </c>
      <c r="AH27" s="189">
        <f>IFERROR(__xludf.DUMMYFUNCTION("""COMPUTED_VALUE"""),43229.89218895833)</f>
        <v>43229.89219</v>
      </c>
    </row>
    <row r="28">
      <c r="A28" t="str">
        <f>IFERROR(__xludf.DUMMYFUNCTION("""COMPUTED_VALUE"""),"etm33")</f>
        <v>etm33</v>
      </c>
      <c r="B28" t="str">
        <f>IFERROR(__xludf.DUMMYFUNCTION("""COMPUTED_VALUE"""),"Buffalo")</f>
        <v>Buffalo</v>
      </c>
      <c r="C28" t="str">
        <f>IFERROR(__xludf.DUMMYFUNCTION("""COMPUTED_VALUE"""),"NY")</f>
        <v>NY</v>
      </c>
      <c r="D28" t="str">
        <f>IFERROR(__xludf.DUMMYFUNCTION("""COMPUTED_VALUE"""),"USA")</f>
        <v>USA</v>
      </c>
      <c r="E28" s="188">
        <f>IFERROR(__xludf.DUMMYFUNCTION("""COMPUTED_VALUE"""),43181.0)</f>
        <v>43181</v>
      </c>
      <c r="F28" s="188">
        <f>IFERROR(__xludf.DUMMYFUNCTION("""COMPUTED_VALUE"""),43199.0)</f>
        <v>43199</v>
      </c>
      <c r="H28">
        <f>IFERROR(__xludf.DUMMYFUNCTION("""COMPUTED_VALUE"""),14455.0)</f>
        <v>14455</v>
      </c>
      <c r="J28" s="5">
        <f>IFERROR(__xludf.DUMMYFUNCTION("""COMPUTED_VALUE"""),43225.0)</f>
        <v>43225</v>
      </c>
      <c r="K28">
        <f>IFERROR(__xludf.DUMMYFUNCTION("""COMPUTED_VALUE"""),18.0)</f>
        <v>18</v>
      </c>
      <c r="L28">
        <f>IFERROR(__xludf.DUMMYFUNCTION("""COMPUTED_VALUE"""),26.0)</f>
        <v>26</v>
      </c>
      <c r="M28">
        <f>IFERROR(__xludf.DUMMYFUNCTION("""COMPUTED_VALUE"""),44.0)</f>
        <v>44</v>
      </c>
      <c r="N28" t="str">
        <f>IFERROR(__xludf.DUMMYFUNCTION("""COMPUTED_VALUE"""),"Model 3 LR")</f>
        <v>Model 3 LR</v>
      </c>
      <c r="O28" t="str">
        <f>IFERROR(__xludf.DUMMYFUNCTION("""COMPUTED_VALUE"""),"Red Multi-Coat")</f>
        <v>Red Multi-Coat</v>
      </c>
      <c r="P28" t="str">
        <f>IFERROR(__xludf.DUMMYFUNCTION("""COMPUTED_VALUE"""),"18 inch Aero")</f>
        <v>18 inch Aero</v>
      </c>
      <c r="Q28" t="str">
        <f>IFERROR(__xludf.DUMMYFUNCTION("""COMPUTED_VALUE"""),"Black seats")</f>
        <v>Black seats</v>
      </c>
      <c r="R28" t="str">
        <f>IFERROR(__xludf.DUMMYFUNCTION("""COMPUTED_VALUE"""),"Enhanced Autopilot")</f>
        <v>Enhanced Autopilot</v>
      </c>
      <c r="X28" t="str">
        <f>IFERROR(__xludf.DUMMYFUNCTION("""COMPUTED_VALUE"""),"Good")</f>
        <v>Good</v>
      </c>
      <c r="Y28" t="str">
        <f>IFERROR(__xludf.DUMMYFUNCTION("""COMPUTED_VALUE"""),"Very Good")</f>
        <v>Very Good</v>
      </c>
      <c r="Z28" t="str">
        <f>IFERROR(__xludf.DUMMYFUNCTION("""COMPUTED_VALUE"""),"Fair")</f>
        <v>Fair</v>
      </c>
      <c r="AB28" t="str">
        <f>IFERROR(__xludf.DUMMYFUNCTION("""COMPUTED_VALUE"""),"Good")</f>
        <v>Good</v>
      </c>
      <c r="AH28" s="189">
        <f>IFERROR(__xludf.DUMMYFUNCTION("""COMPUTED_VALUE"""),43229.96140753472)</f>
        <v>43229.96141</v>
      </c>
    </row>
    <row r="29">
      <c r="A29" t="str">
        <f>IFERROR(__xludf.DUMMYFUNCTION("""COMPUTED_VALUE"""),"theishu")</f>
        <v>theishu</v>
      </c>
      <c r="B29" t="str">
        <f>IFERROR(__xludf.DUMMYFUNCTION("""COMPUTED_VALUE"""),"Fairfax")</f>
        <v>Fairfax</v>
      </c>
      <c r="C29" t="str">
        <f>IFERROR(__xludf.DUMMYFUNCTION("""COMPUTED_VALUE"""),"VA")</f>
        <v>VA</v>
      </c>
      <c r="D29" t="str">
        <f>IFERROR(__xludf.DUMMYFUNCTION("""COMPUTED_VALUE"""),"USA")</f>
        <v>USA</v>
      </c>
      <c r="E29" s="188">
        <f>IFERROR(__xludf.DUMMYFUNCTION("""COMPUTED_VALUE"""),43184.0)</f>
        <v>43184</v>
      </c>
      <c r="F29" s="188">
        <f>IFERROR(__xludf.DUMMYFUNCTION("""COMPUTED_VALUE"""),43206.0)</f>
        <v>43206</v>
      </c>
      <c r="H29">
        <f>IFERROR(__xludf.DUMMYFUNCTION("""COMPUTED_VALUE"""),16755.0)</f>
        <v>16755</v>
      </c>
      <c r="J29" s="5">
        <f>IFERROR(__xludf.DUMMYFUNCTION("""COMPUTED_VALUE"""),43229.0)</f>
        <v>43229</v>
      </c>
      <c r="K29">
        <f>IFERROR(__xludf.DUMMYFUNCTION("""COMPUTED_VALUE"""),22.0)</f>
        <v>22</v>
      </c>
      <c r="L29">
        <f>IFERROR(__xludf.DUMMYFUNCTION("""COMPUTED_VALUE"""),23.0)</f>
        <v>23</v>
      </c>
      <c r="M29">
        <f>IFERROR(__xludf.DUMMYFUNCTION("""COMPUTED_VALUE"""),45.0)</f>
        <v>45</v>
      </c>
      <c r="N29" t="str">
        <f>IFERROR(__xludf.DUMMYFUNCTION("""COMPUTED_VALUE"""),"Model 3 LR")</f>
        <v>Model 3 LR</v>
      </c>
      <c r="O29" t="str">
        <f>IFERROR(__xludf.DUMMYFUNCTION("""COMPUTED_VALUE"""),"Red Multi-Coat")</f>
        <v>Red Multi-Coat</v>
      </c>
      <c r="P29" t="str">
        <f>IFERROR(__xludf.DUMMYFUNCTION("""COMPUTED_VALUE"""),"18 inch Aero")</f>
        <v>18 inch Aero</v>
      </c>
      <c r="Q29" t="str">
        <f>IFERROR(__xludf.DUMMYFUNCTION("""COMPUTED_VALUE"""),"Black seats")</f>
        <v>Black seats</v>
      </c>
      <c r="R29" t="str">
        <f>IFERROR(__xludf.DUMMYFUNCTION("""COMPUTED_VALUE"""),"Full Self-Driving")</f>
        <v>Full Self-Driving</v>
      </c>
      <c r="X29" t="str">
        <f>IFERROR(__xludf.DUMMYFUNCTION("""COMPUTED_VALUE"""),"Very Good")</f>
        <v>Very Good</v>
      </c>
      <c r="Y29" t="str">
        <f>IFERROR(__xludf.DUMMYFUNCTION("""COMPUTED_VALUE"""),"Excellent")</f>
        <v>Excellent</v>
      </c>
      <c r="Z29" t="str">
        <f>IFERROR(__xludf.DUMMYFUNCTION("""COMPUTED_VALUE"""),"Excellent")</f>
        <v>Excellent</v>
      </c>
      <c r="AB29" t="str">
        <f>IFERROR(__xludf.DUMMYFUNCTION("""COMPUTED_VALUE"""),"Good")</f>
        <v>Good</v>
      </c>
      <c r="AH29" s="189">
        <f>IFERROR(__xludf.DUMMYFUNCTION("""COMPUTED_VALUE"""),43230.520236122684)</f>
        <v>43230.52024</v>
      </c>
    </row>
    <row r="30">
      <c r="A30" t="str">
        <f>IFERROR(__xludf.DUMMYFUNCTION("""COMPUTED_VALUE"""),"GregRF")</f>
        <v>GregRF</v>
      </c>
      <c r="B30" t="str">
        <f>IFERROR(__xludf.DUMMYFUNCTION("""COMPUTED_VALUE"""),"Aptos")</f>
        <v>Aptos</v>
      </c>
      <c r="C30" t="str">
        <f>IFERROR(__xludf.DUMMYFUNCTION("""COMPUTED_VALUE"""),"CA")</f>
        <v>CA</v>
      </c>
      <c r="D30" t="str">
        <f>IFERROR(__xludf.DUMMYFUNCTION("""COMPUTED_VALUE"""),"USA")</f>
        <v>USA</v>
      </c>
      <c r="E30" s="188">
        <f>IFERROR(__xludf.DUMMYFUNCTION("""COMPUTED_VALUE"""),43200.0)</f>
        <v>43200</v>
      </c>
      <c r="F30" s="188">
        <f>IFERROR(__xludf.DUMMYFUNCTION("""COMPUTED_VALUE"""),43216.0)</f>
        <v>43216</v>
      </c>
      <c r="H30">
        <f>IFERROR(__xludf.DUMMYFUNCTION("""COMPUTED_VALUE"""),20405.0)</f>
        <v>20405</v>
      </c>
      <c r="J30" s="5">
        <f>IFERROR(__xludf.DUMMYFUNCTION("""COMPUTED_VALUE"""),43224.0)</f>
        <v>43224</v>
      </c>
      <c r="K30">
        <f>IFERROR(__xludf.DUMMYFUNCTION("""COMPUTED_VALUE"""),16.0)</f>
        <v>16</v>
      </c>
      <c r="L30">
        <f>IFERROR(__xludf.DUMMYFUNCTION("""COMPUTED_VALUE"""),8.0)</f>
        <v>8</v>
      </c>
      <c r="M30">
        <f>IFERROR(__xludf.DUMMYFUNCTION("""COMPUTED_VALUE"""),24.0)</f>
        <v>24</v>
      </c>
      <c r="N30" t="str">
        <f>IFERROR(__xludf.DUMMYFUNCTION("""COMPUTED_VALUE"""),"Model 3 LR")</f>
        <v>Model 3 LR</v>
      </c>
      <c r="O30" t="str">
        <f>IFERROR(__xludf.DUMMYFUNCTION("""COMPUTED_VALUE"""),"Deep Blue Metallic")</f>
        <v>Deep Blue Metallic</v>
      </c>
      <c r="P30" t="str">
        <f>IFERROR(__xludf.DUMMYFUNCTION("""COMPUTED_VALUE"""),"18 inch Aero")</f>
        <v>18 inch Aero</v>
      </c>
      <c r="Q30" t="str">
        <f>IFERROR(__xludf.DUMMYFUNCTION("""COMPUTED_VALUE"""),"Black seats")</f>
        <v>Black seats</v>
      </c>
      <c r="R30" t="str">
        <f>IFERROR(__xludf.DUMMYFUNCTION("""COMPUTED_VALUE"""),"None")</f>
        <v>None</v>
      </c>
      <c r="X30" t="str">
        <f>IFERROR(__xludf.DUMMYFUNCTION("""COMPUTED_VALUE"""),"Very Good")</f>
        <v>Very Good</v>
      </c>
      <c r="Y30" t="str">
        <f>IFERROR(__xludf.DUMMYFUNCTION("""COMPUTED_VALUE"""),"Excellent")</f>
        <v>Excellent</v>
      </c>
      <c r="Z30" t="str">
        <f>IFERROR(__xludf.DUMMYFUNCTION("""COMPUTED_VALUE"""),"Fair")</f>
        <v>Fair</v>
      </c>
      <c r="AB30" t="str">
        <f>IFERROR(__xludf.DUMMYFUNCTION("""COMPUTED_VALUE"""),"Good")</f>
        <v>Good</v>
      </c>
      <c r="AH30" s="189">
        <f>IFERROR(__xludf.DUMMYFUNCTION("""COMPUTED_VALUE"""),43230.579748240736)</f>
        <v>43230.57975</v>
      </c>
    </row>
    <row r="31">
      <c r="A31" t="str">
        <f>IFERROR(__xludf.DUMMYFUNCTION("""COMPUTED_VALUE"""),"Frank99")</f>
        <v>Frank99</v>
      </c>
      <c r="B31" t="str">
        <f>IFERROR(__xludf.DUMMYFUNCTION("""COMPUTED_VALUE"""),"Phoenix")</f>
        <v>Phoenix</v>
      </c>
      <c r="C31" t="str">
        <f>IFERROR(__xludf.DUMMYFUNCTION("""COMPUTED_VALUE"""),"AZ")</f>
        <v>AZ</v>
      </c>
      <c r="D31" t="str">
        <f>IFERROR(__xludf.DUMMYFUNCTION("""COMPUTED_VALUE"""),"USA")</f>
        <v>USA</v>
      </c>
      <c r="E31" s="188">
        <f>IFERROR(__xludf.DUMMYFUNCTION("""COMPUTED_VALUE"""),43184.0)</f>
        <v>43184</v>
      </c>
      <c r="F31" s="188">
        <f>IFERROR(__xludf.DUMMYFUNCTION("""COMPUTED_VALUE"""),43206.0)</f>
        <v>43206</v>
      </c>
      <c r="H31">
        <f>IFERROR(__xludf.DUMMYFUNCTION("""COMPUTED_VALUE"""),16728.0)</f>
        <v>16728</v>
      </c>
      <c r="J31" s="5">
        <f>IFERROR(__xludf.DUMMYFUNCTION("""COMPUTED_VALUE"""),43223.0)</f>
        <v>43223</v>
      </c>
      <c r="K31">
        <f>IFERROR(__xludf.DUMMYFUNCTION("""COMPUTED_VALUE"""),22.0)</f>
        <v>22</v>
      </c>
      <c r="L31">
        <f>IFERROR(__xludf.DUMMYFUNCTION("""COMPUTED_VALUE"""),17.0)</f>
        <v>17</v>
      </c>
      <c r="M31">
        <f>IFERROR(__xludf.DUMMYFUNCTION("""COMPUTED_VALUE"""),39.0)</f>
        <v>39</v>
      </c>
      <c r="N31" t="str">
        <f>IFERROR(__xludf.DUMMYFUNCTION("""COMPUTED_VALUE"""),"Model 3 LR")</f>
        <v>Model 3 LR</v>
      </c>
      <c r="O31" t="str">
        <f>IFERROR(__xludf.DUMMYFUNCTION("""COMPUTED_VALUE"""),"Red Multi-Coat")</f>
        <v>Red Multi-Coat</v>
      </c>
      <c r="P31" t="str">
        <f>IFERROR(__xludf.DUMMYFUNCTION("""COMPUTED_VALUE"""),"18 inch Aero")</f>
        <v>18 inch Aero</v>
      </c>
      <c r="Q31" t="str">
        <f>IFERROR(__xludf.DUMMYFUNCTION("""COMPUTED_VALUE"""),"Black seats")</f>
        <v>Black seats</v>
      </c>
      <c r="R31" t="str">
        <f>IFERROR(__xludf.DUMMYFUNCTION("""COMPUTED_VALUE"""),"Enhanced Autopilot")</f>
        <v>Enhanced Autopilot</v>
      </c>
      <c r="X31" t="str">
        <f>IFERROR(__xludf.DUMMYFUNCTION("""COMPUTED_VALUE"""),"Excellent")</f>
        <v>Excellent</v>
      </c>
      <c r="Y31" t="str">
        <f>IFERROR(__xludf.DUMMYFUNCTION("""COMPUTED_VALUE"""),"Excellent")</f>
        <v>Excellent</v>
      </c>
      <c r="Z31" t="str">
        <f>IFERROR(__xludf.DUMMYFUNCTION("""COMPUTED_VALUE"""),"Excellent")</f>
        <v>Excellent</v>
      </c>
      <c r="AB31" t="str">
        <f>IFERROR(__xludf.DUMMYFUNCTION("""COMPUTED_VALUE"""),"Excellent")</f>
        <v>Excellent</v>
      </c>
      <c r="AH31" s="189">
        <f>IFERROR(__xludf.DUMMYFUNCTION("""COMPUTED_VALUE"""),43230.62722638889)</f>
        <v>43230.62723</v>
      </c>
    </row>
    <row r="32">
      <c r="A32" t="str">
        <f>IFERROR(__xludf.DUMMYFUNCTION("""COMPUTED_VALUE"""),"craftbjjr")</f>
        <v>craftbjjr</v>
      </c>
      <c r="B32" t="str">
        <f>IFERROR(__xludf.DUMMYFUNCTION("""COMPUTED_VALUE"""),"West Palm Beach")</f>
        <v>West Palm Beach</v>
      </c>
      <c r="C32" t="str">
        <f>IFERROR(__xludf.DUMMYFUNCTION("""COMPUTED_VALUE"""),"FL")</f>
        <v>FL</v>
      </c>
      <c r="D32" t="str">
        <f>IFERROR(__xludf.DUMMYFUNCTION("""COMPUTED_VALUE"""),"USA")</f>
        <v>USA</v>
      </c>
      <c r="E32" s="188">
        <f>IFERROR(__xludf.DUMMYFUNCTION("""COMPUTED_VALUE"""),43197.0)</f>
        <v>43197</v>
      </c>
      <c r="F32" s="188">
        <f>IFERROR(__xludf.DUMMYFUNCTION("""COMPUTED_VALUE"""),43203.0)</f>
        <v>43203</v>
      </c>
      <c r="H32">
        <f>IFERROR(__xludf.DUMMYFUNCTION("""COMPUTED_VALUE"""),17855.0)</f>
        <v>17855</v>
      </c>
      <c r="J32" s="5">
        <f>IFERROR(__xludf.DUMMYFUNCTION("""COMPUTED_VALUE"""),43227.0)</f>
        <v>43227</v>
      </c>
      <c r="K32">
        <f>IFERROR(__xludf.DUMMYFUNCTION("""COMPUTED_VALUE"""),6.0)</f>
        <v>6</v>
      </c>
      <c r="L32">
        <f>IFERROR(__xludf.DUMMYFUNCTION("""COMPUTED_VALUE"""),24.0)</f>
        <v>24</v>
      </c>
      <c r="M32">
        <f>IFERROR(__xludf.DUMMYFUNCTION("""COMPUTED_VALUE"""),30.0)</f>
        <v>30</v>
      </c>
      <c r="N32" t="str">
        <f>IFERROR(__xludf.DUMMYFUNCTION("""COMPUTED_VALUE"""),"Model 3 LR")</f>
        <v>Model 3 LR</v>
      </c>
      <c r="O32" t="str">
        <f>IFERROR(__xludf.DUMMYFUNCTION("""COMPUTED_VALUE"""),"Midnight Silver Metallic")</f>
        <v>Midnight Silver Metallic</v>
      </c>
      <c r="P32" t="str">
        <f>IFERROR(__xludf.DUMMYFUNCTION("""COMPUTED_VALUE"""),"19 inch Sport")</f>
        <v>19 inch Sport</v>
      </c>
      <c r="Q32" t="str">
        <f>IFERROR(__xludf.DUMMYFUNCTION("""COMPUTED_VALUE"""),"Black seats")</f>
        <v>Black seats</v>
      </c>
      <c r="R32" t="str">
        <f>IFERROR(__xludf.DUMMYFUNCTION("""COMPUTED_VALUE"""),"Enhanced Autopilot")</f>
        <v>Enhanced Autopilot</v>
      </c>
      <c r="X32" t="str">
        <f>IFERROR(__xludf.DUMMYFUNCTION("""COMPUTED_VALUE"""),"Excellent")</f>
        <v>Excellent</v>
      </c>
      <c r="Y32" t="str">
        <f>IFERROR(__xludf.DUMMYFUNCTION("""COMPUTED_VALUE"""),"Excellent")</f>
        <v>Excellent</v>
      </c>
      <c r="Z32" t="str">
        <f>IFERROR(__xludf.DUMMYFUNCTION("""COMPUTED_VALUE"""),"Excellent")</f>
        <v>Excellent</v>
      </c>
      <c r="AB32" t="str">
        <f>IFERROR(__xludf.DUMMYFUNCTION("""COMPUTED_VALUE"""),"Excellent")</f>
        <v>Excellent</v>
      </c>
      <c r="AH32" s="189">
        <f>IFERROR(__xludf.DUMMYFUNCTION("""COMPUTED_VALUE"""),43230.829670543986)</f>
        <v>43230.82967</v>
      </c>
    </row>
    <row r="33">
      <c r="A33" t="str">
        <f>IFERROR(__xludf.DUMMYFUNCTION("""COMPUTED_VALUE"""),"jobadiah08")</f>
        <v>jobadiah08</v>
      </c>
      <c r="C33" t="str">
        <f>IFERROR(__xludf.DUMMYFUNCTION("""COMPUTED_VALUE"""),"CA")</f>
        <v>CA</v>
      </c>
      <c r="D33" t="str">
        <f>IFERROR(__xludf.DUMMYFUNCTION("""COMPUTED_VALUE"""),"USA")</f>
        <v>USA</v>
      </c>
      <c r="E33" s="188">
        <f>IFERROR(__xludf.DUMMYFUNCTION("""COMPUTED_VALUE"""),43183.0)</f>
        <v>43183</v>
      </c>
      <c r="F33" s="188">
        <f>IFERROR(__xludf.DUMMYFUNCTION("""COMPUTED_VALUE"""),43222.0)</f>
        <v>43222</v>
      </c>
      <c r="H33">
        <f>IFERROR(__xludf.DUMMYFUNCTION("""COMPUTED_VALUE"""),21855.0)</f>
        <v>21855</v>
      </c>
      <c r="J33" s="5">
        <f>IFERROR(__xludf.DUMMYFUNCTION("""COMPUTED_VALUE"""),43231.0)</f>
        <v>43231</v>
      </c>
      <c r="K33">
        <f>IFERROR(__xludf.DUMMYFUNCTION("""COMPUTED_VALUE"""),39.0)</f>
        <v>39</v>
      </c>
      <c r="L33">
        <f>IFERROR(__xludf.DUMMYFUNCTION("""COMPUTED_VALUE"""),9.0)</f>
        <v>9</v>
      </c>
      <c r="M33">
        <f>IFERROR(__xludf.DUMMYFUNCTION("""COMPUTED_VALUE"""),48.0)</f>
        <v>48</v>
      </c>
      <c r="N33" t="str">
        <f>IFERROR(__xludf.DUMMYFUNCTION("""COMPUTED_VALUE"""),"Model 3 LR")</f>
        <v>Model 3 LR</v>
      </c>
      <c r="O33" t="str">
        <f>IFERROR(__xludf.DUMMYFUNCTION("""COMPUTED_VALUE"""),"Midnight Silver Metallic")</f>
        <v>Midnight Silver Metallic</v>
      </c>
      <c r="P33" t="str">
        <f>IFERROR(__xludf.DUMMYFUNCTION("""COMPUTED_VALUE"""),"18 inch Aero")</f>
        <v>18 inch Aero</v>
      </c>
      <c r="Q33" t="str">
        <f>IFERROR(__xludf.DUMMYFUNCTION("""COMPUTED_VALUE"""),"Black seats")</f>
        <v>Black seats</v>
      </c>
      <c r="R33" t="str">
        <f>IFERROR(__xludf.DUMMYFUNCTION("""COMPUTED_VALUE"""),"Enhanced Autopilot")</f>
        <v>Enhanced Autopilot</v>
      </c>
      <c r="X33" t="str">
        <f>IFERROR(__xludf.DUMMYFUNCTION("""COMPUTED_VALUE"""),"Very Good")</f>
        <v>Very Good</v>
      </c>
      <c r="Y33" t="str">
        <f>IFERROR(__xludf.DUMMYFUNCTION("""COMPUTED_VALUE"""),"Excellent")</f>
        <v>Excellent</v>
      </c>
      <c r="Z33" t="str">
        <f>IFERROR(__xludf.DUMMYFUNCTION("""COMPUTED_VALUE"""),"Excellent")</f>
        <v>Excellent</v>
      </c>
      <c r="AB33" t="str">
        <f>IFERROR(__xludf.DUMMYFUNCTION("""COMPUTED_VALUE"""),"Very Good")</f>
        <v>Very Good</v>
      </c>
      <c r="AG33" t="str">
        <f>IFERROR(__xludf.DUMMYFUNCTION("""COMPUTED_VALUE"""),"Gaps seemed a bit wide, but were even all the way around")</f>
        <v>Gaps seemed a bit wide, but were even all the way around</v>
      </c>
      <c r="AH33" s="189">
        <f>IFERROR(__xludf.DUMMYFUNCTION("""COMPUTED_VALUE"""),43231.83053910879)</f>
        <v>43231.83054</v>
      </c>
    </row>
    <row r="34">
      <c r="A34" t="str">
        <f>IFERROR(__xludf.DUMMYFUNCTION("""COMPUTED_VALUE"""),"gzzz")</f>
        <v>gzzz</v>
      </c>
      <c r="B34" t="str">
        <f>IFERROR(__xludf.DUMMYFUNCTION("""COMPUTED_VALUE"""),"Bay Area")</f>
        <v>Bay Area</v>
      </c>
      <c r="C34" t="str">
        <f>IFERROR(__xludf.DUMMYFUNCTION("""COMPUTED_VALUE"""),"CA")</f>
        <v>CA</v>
      </c>
      <c r="D34" t="str">
        <f>IFERROR(__xludf.DUMMYFUNCTION("""COMPUTED_VALUE"""),"USA")</f>
        <v>USA</v>
      </c>
      <c r="E34" s="188">
        <f>IFERROR(__xludf.DUMMYFUNCTION("""COMPUTED_VALUE"""),44410.0)</f>
        <v>44410</v>
      </c>
      <c r="N34" t="str">
        <f>IFERROR(__xludf.DUMMYFUNCTION("""COMPUTED_VALUE"""),"Model 3 LR AWD")</f>
        <v>Model 3 LR AWD</v>
      </c>
      <c r="O34" t="str">
        <f>IFERROR(__xludf.DUMMYFUNCTION("""COMPUTED_VALUE"""),"Pearl White Multi-Coat")</f>
        <v>Pearl White Multi-Coat</v>
      </c>
      <c r="P34" t="str">
        <f>IFERROR(__xludf.DUMMYFUNCTION("""COMPUTED_VALUE"""),"18 inch")</f>
        <v>18 inch</v>
      </c>
      <c r="Q34" t="str">
        <f>IFERROR(__xludf.DUMMYFUNCTION("""COMPUTED_VALUE"""),"All Black")</f>
        <v>All Black</v>
      </c>
      <c r="R34" t="str">
        <f>IFERROR(__xludf.DUMMYFUNCTION("""COMPUTED_VALUE"""),"Autopilot included")</f>
        <v>Autopilot included</v>
      </c>
      <c r="S34" t="str">
        <f>IFERROR(__xludf.DUMMYFUNCTION("""COMPUTED_VALUE"""),"Cash")</f>
        <v>Cash</v>
      </c>
      <c r="T34" t="str">
        <f>IFERROR(__xludf.DUMMYFUNCTION("""COMPUTED_VALUE"""),"BMW 3 Series")</f>
        <v>BMW 3 Series</v>
      </c>
      <c r="U34" t="str">
        <f>IFERROR(__xludf.DUMMYFUNCTION("""COMPUTED_VALUE"""),"Electric!")</f>
        <v>Electric!</v>
      </c>
      <c r="V34" t="str">
        <f>IFERROR(__xludf.DUMMYFUNCTION("""COMPUTED_VALUE"""),"Blind spot indicators on side mirrors")</f>
        <v>Blind spot indicators on side mirrors</v>
      </c>
      <c r="AH34" s="189">
        <f>IFERROR(__xludf.DUMMYFUNCTION("""COMPUTED_VALUE"""),44449.702589479166)</f>
        <v>44449.70259</v>
      </c>
    </row>
    <row r="35">
      <c r="A35" t="str">
        <f>IFERROR(__xludf.DUMMYFUNCTION("""COMPUTED_VALUE"""),"Brian S")</f>
        <v>Brian S</v>
      </c>
      <c r="B35" t="str">
        <f>IFERROR(__xludf.DUMMYFUNCTION("""COMPUTED_VALUE"""),"Portland")</f>
        <v>Portland</v>
      </c>
      <c r="C35" t="str">
        <f>IFERROR(__xludf.DUMMYFUNCTION("""COMPUTED_VALUE"""),"OR")</f>
        <v>OR</v>
      </c>
      <c r="D35" t="str">
        <f>IFERROR(__xludf.DUMMYFUNCTION("""COMPUTED_VALUE"""),"USA")</f>
        <v>USA</v>
      </c>
      <c r="E35" s="188">
        <f>IFERROR(__xludf.DUMMYFUNCTION("""COMPUTED_VALUE"""),43181.0)</f>
        <v>43181</v>
      </c>
      <c r="F35" s="188">
        <f>IFERROR(__xludf.DUMMYFUNCTION("""COMPUTED_VALUE"""),43218.0)</f>
        <v>43218</v>
      </c>
      <c r="H35">
        <f>IFERROR(__xludf.DUMMYFUNCTION("""COMPUTED_VALUE"""),16255.0)</f>
        <v>16255</v>
      </c>
      <c r="J35" s="5">
        <f>IFERROR(__xludf.DUMMYFUNCTION("""COMPUTED_VALUE"""),43232.0)</f>
        <v>43232</v>
      </c>
      <c r="K35">
        <f>IFERROR(__xludf.DUMMYFUNCTION("""COMPUTED_VALUE"""),37.0)</f>
        <v>37</v>
      </c>
      <c r="L35">
        <f>IFERROR(__xludf.DUMMYFUNCTION("""COMPUTED_VALUE"""),14.0)</f>
        <v>14</v>
      </c>
      <c r="M35">
        <f>IFERROR(__xludf.DUMMYFUNCTION("""COMPUTED_VALUE"""),51.0)</f>
        <v>51</v>
      </c>
      <c r="N35" t="str">
        <f>IFERROR(__xludf.DUMMYFUNCTION("""COMPUTED_VALUE"""),"Model 3 LR")</f>
        <v>Model 3 LR</v>
      </c>
      <c r="O35" t="str">
        <f>IFERROR(__xludf.DUMMYFUNCTION("""COMPUTED_VALUE"""),"Midnight Silver Metallic")</f>
        <v>Midnight Silver Metallic</v>
      </c>
      <c r="P35" t="str">
        <f>IFERROR(__xludf.DUMMYFUNCTION("""COMPUTED_VALUE"""),"18 inch Aero")</f>
        <v>18 inch Aero</v>
      </c>
      <c r="Q35" t="str">
        <f>IFERROR(__xludf.DUMMYFUNCTION("""COMPUTED_VALUE"""),"Black seats")</f>
        <v>Black seats</v>
      </c>
      <c r="R35" t="str">
        <f>IFERROR(__xludf.DUMMYFUNCTION("""COMPUTED_VALUE"""),"None")</f>
        <v>None</v>
      </c>
      <c r="X35" t="str">
        <f>IFERROR(__xludf.DUMMYFUNCTION("""COMPUTED_VALUE"""),"Excellent")</f>
        <v>Excellent</v>
      </c>
      <c r="Y35" t="str">
        <f>IFERROR(__xludf.DUMMYFUNCTION("""COMPUTED_VALUE"""),"Excellent")</f>
        <v>Excellent</v>
      </c>
      <c r="Z35" t="str">
        <f>IFERROR(__xludf.DUMMYFUNCTION("""COMPUTED_VALUE"""),"Excellent")</f>
        <v>Excellent</v>
      </c>
      <c r="AB35" t="str">
        <f>IFERROR(__xludf.DUMMYFUNCTION("""COMPUTED_VALUE"""),"Excellent")</f>
        <v>Excellent</v>
      </c>
      <c r="AH35" s="189">
        <f>IFERROR(__xludf.DUMMYFUNCTION("""COMPUTED_VALUE"""),43233.77672471065)</f>
        <v>43233.77672</v>
      </c>
    </row>
    <row r="36">
      <c r="A36" t="str">
        <f>IFERROR(__xludf.DUMMYFUNCTION("""COMPUTED_VALUE"""),"Rannydey")</f>
        <v>Rannydey</v>
      </c>
      <c r="B36" t="str">
        <f>IFERROR(__xludf.DUMMYFUNCTION("""COMPUTED_VALUE"""),"Rockville")</f>
        <v>Rockville</v>
      </c>
      <c r="C36" t="str">
        <f>IFERROR(__xludf.DUMMYFUNCTION("""COMPUTED_VALUE"""),"MD")</f>
        <v>MD</v>
      </c>
      <c r="D36" t="str">
        <f>IFERROR(__xludf.DUMMYFUNCTION("""COMPUTED_VALUE"""),"USA")</f>
        <v>USA</v>
      </c>
      <c r="F36" s="188">
        <f>IFERROR(__xludf.DUMMYFUNCTION("""COMPUTED_VALUE"""),43200.0)</f>
        <v>43200</v>
      </c>
      <c r="H36">
        <f>IFERROR(__xludf.DUMMYFUNCTION("""COMPUTED_VALUE"""),16955.0)</f>
        <v>16955</v>
      </c>
      <c r="J36" s="5">
        <f>IFERROR(__xludf.DUMMYFUNCTION("""COMPUTED_VALUE"""),43231.0)</f>
        <v>43231</v>
      </c>
      <c r="L36">
        <f>IFERROR(__xludf.DUMMYFUNCTION("""COMPUTED_VALUE"""),31.0)</f>
        <v>31</v>
      </c>
      <c r="N36" t="str">
        <f>IFERROR(__xludf.DUMMYFUNCTION("""COMPUTED_VALUE"""),"Model 3 LR")</f>
        <v>Model 3 LR</v>
      </c>
      <c r="O36" t="str">
        <f>IFERROR(__xludf.DUMMYFUNCTION("""COMPUTED_VALUE"""),"Deep Blue Metallic")</f>
        <v>Deep Blue Metallic</v>
      </c>
      <c r="P36" t="str">
        <f>IFERROR(__xludf.DUMMYFUNCTION("""COMPUTED_VALUE"""),"18 inch Aero")</f>
        <v>18 inch Aero</v>
      </c>
      <c r="Q36" t="str">
        <f>IFERROR(__xludf.DUMMYFUNCTION("""COMPUTED_VALUE"""),"Black seats")</f>
        <v>Black seats</v>
      </c>
      <c r="R36" t="str">
        <f>IFERROR(__xludf.DUMMYFUNCTION("""COMPUTED_VALUE"""),"Enhanced Autopilot")</f>
        <v>Enhanced Autopilot</v>
      </c>
      <c r="X36" t="str">
        <f>IFERROR(__xludf.DUMMYFUNCTION("""COMPUTED_VALUE"""),"Fair")</f>
        <v>Fair</v>
      </c>
      <c r="Y36" t="str">
        <f>IFERROR(__xludf.DUMMYFUNCTION("""COMPUTED_VALUE"""),"Excellent")</f>
        <v>Excellent</v>
      </c>
      <c r="Z36" t="str">
        <f>IFERROR(__xludf.DUMMYFUNCTION("""COMPUTED_VALUE"""),"Excellent")</f>
        <v>Excellent</v>
      </c>
      <c r="AB36" t="str">
        <f>IFERROR(__xludf.DUMMYFUNCTION("""COMPUTED_VALUE"""),"Excellent")</f>
        <v>Excellent</v>
      </c>
      <c r="AH36" s="189">
        <f>IFERROR(__xludf.DUMMYFUNCTION("""COMPUTED_VALUE"""),43234.32176690972)</f>
        <v>43234.32177</v>
      </c>
    </row>
    <row r="37">
      <c r="A37" t="str">
        <f>IFERROR(__xludf.DUMMYFUNCTION("""COMPUTED_VALUE"""),"LazyLightn_")</f>
        <v>LazyLightn_</v>
      </c>
      <c r="B37" t="str">
        <f>IFERROR(__xludf.DUMMYFUNCTION("""COMPUTED_VALUE"""),"Sant Barbara_")</f>
        <v>Sant Barbara_</v>
      </c>
      <c r="C37" t="str">
        <f>IFERROR(__xludf.DUMMYFUNCTION("""COMPUTED_VALUE"""),"CA")</f>
        <v>CA</v>
      </c>
      <c r="D37" t="str">
        <f>IFERROR(__xludf.DUMMYFUNCTION("""COMPUTED_VALUE"""),"USA")</f>
        <v>USA</v>
      </c>
      <c r="E37" s="188">
        <f>IFERROR(__xludf.DUMMYFUNCTION("""COMPUTED_VALUE"""),43187.0)</f>
        <v>43187</v>
      </c>
      <c r="F37" s="188">
        <f>IFERROR(__xludf.DUMMYFUNCTION("""COMPUTED_VALUE"""),43221.0)</f>
        <v>43221</v>
      </c>
      <c r="H37">
        <f>IFERROR(__xludf.DUMMYFUNCTION("""COMPUTED_VALUE"""),17355.0)</f>
        <v>17355</v>
      </c>
      <c r="J37" s="5">
        <f>IFERROR(__xludf.DUMMYFUNCTION("""COMPUTED_VALUE"""),43229.0)</f>
        <v>43229</v>
      </c>
      <c r="K37">
        <f>IFERROR(__xludf.DUMMYFUNCTION("""COMPUTED_VALUE"""),34.0)</f>
        <v>34</v>
      </c>
      <c r="L37">
        <f>IFERROR(__xludf.DUMMYFUNCTION("""COMPUTED_VALUE"""),8.0)</f>
        <v>8</v>
      </c>
      <c r="M37">
        <f>IFERROR(__xludf.DUMMYFUNCTION("""COMPUTED_VALUE"""),42.0)</f>
        <v>42</v>
      </c>
      <c r="N37" t="str">
        <f>IFERROR(__xludf.DUMMYFUNCTION("""COMPUTED_VALUE"""),"Model 3 LR")</f>
        <v>Model 3 LR</v>
      </c>
      <c r="O37" t="str">
        <f>IFERROR(__xludf.DUMMYFUNCTION("""COMPUTED_VALUE"""),"Pearl White Multi-Coat")</f>
        <v>Pearl White Multi-Coat</v>
      </c>
      <c r="P37" t="str">
        <f>IFERROR(__xludf.DUMMYFUNCTION("""COMPUTED_VALUE"""),"18 inch Aero")</f>
        <v>18 inch Aero</v>
      </c>
      <c r="Q37" t="str">
        <f>IFERROR(__xludf.DUMMYFUNCTION("""COMPUTED_VALUE"""),"Black seats")</f>
        <v>Black seats</v>
      </c>
      <c r="R37" t="str">
        <f>IFERROR(__xludf.DUMMYFUNCTION("""COMPUTED_VALUE"""),"Enhanced Autopilot")</f>
        <v>Enhanced Autopilot</v>
      </c>
      <c r="AB37" t="str">
        <f>IFERROR(__xludf.DUMMYFUNCTION("""COMPUTED_VALUE"""),"Excellent")</f>
        <v>Excellent</v>
      </c>
      <c r="AG37" t="str">
        <f>IFERROR(__xludf.DUMMYFUNCTION("""COMPUTED_VALUE"""),"First Prod Del Estimate was Oct-Dec '17_")</f>
        <v>First Prod Del Estimate was Oct-Dec '17_</v>
      </c>
      <c r="AH37" s="189">
        <f>IFERROR(__xludf.DUMMYFUNCTION("""COMPUTED_VALUE"""),43234.87957318287)</f>
        <v>43234.87957</v>
      </c>
    </row>
    <row r="38">
      <c r="A38" t="str">
        <f>IFERROR(__xludf.DUMMYFUNCTION("""COMPUTED_VALUE"""),"Redmond_NonOwner_")</f>
        <v>Redmond_NonOwner_</v>
      </c>
      <c r="B38" t="str">
        <f>IFERROR(__xludf.DUMMYFUNCTION("""COMPUTED_VALUE"""),"Redmond_")</f>
        <v>Redmond_</v>
      </c>
      <c r="C38" t="str">
        <f>IFERROR(__xludf.DUMMYFUNCTION("""COMPUTED_VALUE"""),"WA")</f>
        <v>WA</v>
      </c>
      <c r="D38" t="str">
        <f>IFERROR(__xludf.DUMMYFUNCTION("""COMPUTED_VALUE"""),"USA")</f>
        <v>USA</v>
      </c>
      <c r="E38" s="188">
        <f>IFERROR(__xludf.DUMMYFUNCTION("""COMPUTED_VALUE"""),43205.0)</f>
        <v>43205</v>
      </c>
      <c r="F38" s="188">
        <f>IFERROR(__xludf.DUMMYFUNCTION("""COMPUTED_VALUE"""),43215.0)</f>
        <v>43215</v>
      </c>
      <c r="H38">
        <f>IFERROR(__xludf.DUMMYFUNCTION("""COMPUTED_VALUE"""),13755.0)</f>
        <v>13755</v>
      </c>
      <c r="J38" s="5">
        <f>IFERROR(__xludf.DUMMYFUNCTION("""COMPUTED_VALUE"""),43229.0)</f>
        <v>43229</v>
      </c>
      <c r="K38">
        <f>IFERROR(__xludf.DUMMYFUNCTION("""COMPUTED_VALUE"""),10.0)</f>
        <v>10</v>
      </c>
      <c r="L38">
        <f>IFERROR(__xludf.DUMMYFUNCTION("""COMPUTED_VALUE"""),14.0)</f>
        <v>14</v>
      </c>
      <c r="M38">
        <f>IFERROR(__xludf.DUMMYFUNCTION("""COMPUTED_VALUE"""),24.0)</f>
        <v>24</v>
      </c>
      <c r="N38" t="str">
        <f>IFERROR(__xludf.DUMMYFUNCTION("""COMPUTED_VALUE"""),"Model 3 LR")</f>
        <v>Model 3 LR</v>
      </c>
      <c r="O38" t="str">
        <f>IFERROR(__xludf.DUMMYFUNCTION("""COMPUTED_VALUE"""),"Deep Blue Metallic")</f>
        <v>Deep Blue Metallic</v>
      </c>
      <c r="P38" t="str">
        <f>IFERROR(__xludf.DUMMYFUNCTION("""COMPUTED_VALUE"""),"19 inch Sport")</f>
        <v>19 inch Sport</v>
      </c>
      <c r="Q38" t="str">
        <f>IFERROR(__xludf.DUMMYFUNCTION("""COMPUTED_VALUE"""),"Black seats")</f>
        <v>Black seats</v>
      </c>
      <c r="R38" t="str">
        <f>IFERROR(__xludf.DUMMYFUNCTION("""COMPUTED_VALUE"""),"Enhanced Autopilot")</f>
        <v>Enhanced Autopilot</v>
      </c>
      <c r="X38" t="str">
        <f>IFERROR(__xludf.DUMMYFUNCTION("""COMPUTED_VALUE"""),"Excellent")</f>
        <v>Excellent</v>
      </c>
      <c r="Y38" t="str">
        <f>IFERROR(__xludf.DUMMYFUNCTION("""COMPUTED_VALUE"""),"Very Good")</f>
        <v>Very Good</v>
      </c>
      <c r="Z38" t="str">
        <f>IFERROR(__xludf.DUMMYFUNCTION("""COMPUTED_VALUE"""),"Excellent")</f>
        <v>Excellent</v>
      </c>
      <c r="AB38" t="str">
        <f>IFERROR(__xludf.DUMMYFUNCTION("""COMPUTED_VALUE"""),"Excellent")</f>
        <v>Excellent</v>
      </c>
      <c r="AG38" t="str">
        <f>IFERROR(__xludf.DUMMYFUNCTION("""COMPUTED_VALUE"""),"_")</f>
        <v>_</v>
      </c>
      <c r="AH38" s="189">
        <f>IFERROR(__xludf.DUMMYFUNCTION("""COMPUTED_VALUE"""),43235.61718035879)</f>
        <v>43235.61718</v>
      </c>
    </row>
    <row r="39">
      <c r="A39" t="str">
        <f>IFERROR(__xludf.DUMMYFUNCTION("""COMPUTED_VALUE"""),"nbarbettini")</f>
        <v>nbarbettini</v>
      </c>
      <c r="B39" t="str">
        <f>IFERROR(__xludf.DUMMYFUNCTION("""COMPUTED_VALUE"""),"San Francisco")</f>
        <v>San Francisco</v>
      </c>
      <c r="C39" t="str">
        <f>IFERROR(__xludf.DUMMYFUNCTION("""COMPUTED_VALUE"""),"CA")</f>
        <v>CA</v>
      </c>
      <c r="D39" t="str">
        <f>IFERROR(__xludf.DUMMYFUNCTION("""COMPUTED_VALUE"""),"USA")</f>
        <v>USA</v>
      </c>
      <c r="E39" s="188">
        <f>IFERROR(__xludf.DUMMYFUNCTION("""COMPUTED_VALUE"""),43200.0)</f>
        <v>43200</v>
      </c>
      <c r="F39" s="188">
        <f>IFERROR(__xludf.DUMMYFUNCTION("""COMPUTED_VALUE"""),43230.0)</f>
        <v>43230</v>
      </c>
      <c r="H39">
        <f>IFERROR(__xludf.DUMMYFUNCTION("""COMPUTED_VALUE"""),22665.0)</f>
        <v>22665</v>
      </c>
      <c r="J39" s="5">
        <f>IFERROR(__xludf.DUMMYFUNCTION("""COMPUTED_VALUE"""),43235.0)</f>
        <v>43235</v>
      </c>
      <c r="K39">
        <f>IFERROR(__xludf.DUMMYFUNCTION("""COMPUTED_VALUE"""),30.0)</f>
        <v>30</v>
      </c>
      <c r="L39">
        <f>IFERROR(__xludf.DUMMYFUNCTION("""COMPUTED_VALUE"""),5.0)</f>
        <v>5</v>
      </c>
      <c r="M39">
        <f>IFERROR(__xludf.DUMMYFUNCTION("""COMPUTED_VALUE"""),35.0)</f>
        <v>35</v>
      </c>
      <c r="N39" t="str">
        <f>IFERROR(__xludf.DUMMYFUNCTION("""COMPUTED_VALUE"""),"Model 3 LR")</f>
        <v>Model 3 LR</v>
      </c>
      <c r="O39" t="str">
        <f>IFERROR(__xludf.DUMMYFUNCTION("""COMPUTED_VALUE"""),"Deep Blue Metallic")</f>
        <v>Deep Blue Metallic</v>
      </c>
      <c r="P39" t="str">
        <f>IFERROR(__xludf.DUMMYFUNCTION("""COMPUTED_VALUE"""),"18 inch Aero")</f>
        <v>18 inch Aero</v>
      </c>
      <c r="Q39" t="str">
        <f>IFERROR(__xludf.DUMMYFUNCTION("""COMPUTED_VALUE"""),"Black seats")</f>
        <v>Black seats</v>
      </c>
      <c r="R39" t="str">
        <f>IFERROR(__xludf.DUMMYFUNCTION("""COMPUTED_VALUE"""),"Enhanced Autopilot")</f>
        <v>Enhanced Autopilot</v>
      </c>
      <c r="X39" t="str">
        <f>IFERROR(__xludf.DUMMYFUNCTION("""COMPUTED_VALUE"""),"Very Good")</f>
        <v>Very Good</v>
      </c>
      <c r="Y39" t="str">
        <f>IFERROR(__xludf.DUMMYFUNCTION("""COMPUTED_VALUE"""),"Excellent")</f>
        <v>Excellent</v>
      </c>
      <c r="Z39" t="str">
        <f>IFERROR(__xludf.DUMMYFUNCTION("""COMPUTED_VALUE"""),"Very Good")</f>
        <v>Very Good</v>
      </c>
      <c r="AB39" t="str">
        <f>IFERROR(__xludf.DUMMYFUNCTION("""COMPUTED_VALUE"""),"Very Good")</f>
        <v>Very Good</v>
      </c>
      <c r="AH39" s="189">
        <f>IFERROR(__xludf.DUMMYFUNCTION("""COMPUTED_VALUE"""),43235.945839328706)</f>
        <v>43235.94584</v>
      </c>
    </row>
    <row r="40">
      <c r="A40" t="str">
        <f>IFERROR(__xludf.DUMMYFUNCTION("""COMPUTED_VALUE"""),"Ap105")</f>
        <v>Ap105</v>
      </c>
      <c r="B40" t="str">
        <f>IFERROR(__xludf.DUMMYFUNCTION("""COMPUTED_VALUE"""),"Kansas City")</f>
        <v>Kansas City</v>
      </c>
      <c r="C40" t="str">
        <f>IFERROR(__xludf.DUMMYFUNCTION("""COMPUTED_VALUE"""),"KS")</f>
        <v>KS</v>
      </c>
      <c r="D40" t="str">
        <f>IFERROR(__xludf.DUMMYFUNCTION("""COMPUTED_VALUE"""),"USA")</f>
        <v>USA</v>
      </c>
      <c r="E40" s="188">
        <f>IFERROR(__xludf.DUMMYFUNCTION("""COMPUTED_VALUE"""),43196.0)</f>
        <v>43196</v>
      </c>
      <c r="F40" s="188">
        <f>IFERROR(__xludf.DUMMYFUNCTION("""COMPUTED_VALUE"""),43219.0)</f>
        <v>43219</v>
      </c>
      <c r="H40">
        <f>IFERROR(__xludf.DUMMYFUNCTION("""COMPUTED_VALUE"""),16755.0)</f>
        <v>16755</v>
      </c>
      <c r="J40" s="5">
        <f>IFERROR(__xludf.DUMMYFUNCTION("""COMPUTED_VALUE"""),43235.0)</f>
        <v>43235</v>
      </c>
      <c r="K40">
        <f>IFERROR(__xludf.DUMMYFUNCTION("""COMPUTED_VALUE"""),23.0)</f>
        <v>23</v>
      </c>
      <c r="L40">
        <f>IFERROR(__xludf.DUMMYFUNCTION("""COMPUTED_VALUE"""),16.0)</f>
        <v>16</v>
      </c>
      <c r="M40">
        <f>IFERROR(__xludf.DUMMYFUNCTION("""COMPUTED_VALUE"""),39.0)</f>
        <v>39</v>
      </c>
      <c r="N40" t="str">
        <f>IFERROR(__xludf.DUMMYFUNCTION("""COMPUTED_VALUE"""),"Model 3 LR")</f>
        <v>Model 3 LR</v>
      </c>
      <c r="O40" t="str">
        <f>IFERROR(__xludf.DUMMYFUNCTION("""COMPUTED_VALUE"""),"Red Multi-Coat")</f>
        <v>Red Multi-Coat</v>
      </c>
      <c r="P40" t="str">
        <f>IFERROR(__xludf.DUMMYFUNCTION("""COMPUTED_VALUE"""),"18 inch Aero")</f>
        <v>18 inch Aero</v>
      </c>
      <c r="Q40" t="str">
        <f>IFERROR(__xludf.DUMMYFUNCTION("""COMPUTED_VALUE"""),"Black seats")</f>
        <v>Black seats</v>
      </c>
      <c r="R40" t="str">
        <f>IFERROR(__xludf.DUMMYFUNCTION("""COMPUTED_VALUE"""),"Enhanced Autopilot")</f>
        <v>Enhanced Autopilot</v>
      </c>
      <c r="X40" t="str">
        <f>IFERROR(__xludf.DUMMYFUNCTION("""COMPUTED_VALUE"""),"Excellent")</f>
        <v>Excellent</v>
      </c>
      <c r="Y40" t="str">
        <f>IFERROR(__xludf.DUMMYFUNCTION("""COMPUTED_VALUE"""),"Excellent")</f>
        <v>Excellent</v>
      </c>
      <c r="Z40" t="str">
        <f>IFERROR(__xludf.DUMMYFUNCTION("""COMPUTED_VALUE"""),"Fair")</f>
        <v>Fair</v>
      </c>
      <c r="AB40" t="str">
        <f>IFERROR(__xludf.DUMMYFUNCTION("""COMPUTED_VALUE"""),"Excellent")</f>
        <v>Excellent</v>
      </c>
      <c r="AH40" s="189">
        <f>IFERROR(__xludf.DUMMYFUNCTION("""COMPUTED_VALUE"""),43236.24359489583)</f>
        <v>43236.24359</v>
      </c>
    </row>
    <row r="41">
      <c r="A41" t="str">
        <f>IFERROR(__xludf.DUMMYFUNCTION("""COMPUTED_VALUE"""),"Aseth")</f>
        <v>Aseth</v>
      </c>
      <c r="C41" t="str">
        <f>IFERROR(__xludf.DUMMYFUNCTION("""COMPUTED_VALUE"""),"MA")</f>
        <v>MA</v>
      </c>
      <c r="D41" t="str">
        <f>IFERROR(__xludf.DUMMYFUNCTION("""COMPUTED_VALUE"""),"USA")</f>
        <v>USA</v>
      </c>
      <c r="E41" s="188">
        <f>IFERROR(__xludf.DUMMYFUNCTION("""COMPUTED_VALUE"""),43195.0)</f>
        <v>43195</v>
      </c>
      <c r="F41" s="188">
        <f>IFERROR(__xludf.DUMMYFUNCTION("""COMPUTED_VALUE"""),43217.0)</f>
        <v>43217</v>
      </c>
      <c r="H41">
        <f>IFERROR(__xludf.DUMMYFUNCTION("""COMPUTED_VALUE"""),17055.0)</f>
        <v>17055</v>
      </c>
      <c r="J41" s="5">
        <f>IFERROR(__xludf.DUMMYFUNCTION("""COMPUTED_VALUE"""),43236.0)</f>
        <v>43236</v>
      </c>
      <c r="K41">
        <f>IFERROR(__xludf.DUMMYFUNCTION("""COMPUTED_VALUE"""),22.0)</f>
        <v>22</v>
      </c>
      <c r="L41">
        <f>IFERROR(__xludf.DUMMYFUNCTION("""COMPUTED_VALUE"""),19.0)</f>
        <v>19</v>
      </c>
      <c r="M41">
        <f>IFERROR(__xludf.DUMMYFUNCTION("""COMPUTED_VALUE"""),41.0)</f>
        <v>41</v>
      </c>
      <c r="N41" t="str">
        <f>IFERROR(__xludf.DUMMYFUNCTION("""COMPUTED_VALUE"""),"Model 3 LR")</f>
        <v>Model 3 LR</v>
      </c>
      <c r="O41" t="str">
        <f>IFERROR(__xludf.DUMMYFUNCTION("""COMPUTED_VALUE"""),"Deep Blue Metallic")</f>
        <v>Deep Blue Metallic</v>
      </c>
      <c r="P41" t="str">
        <f>IFERROR(__xludf.DUMMYFUNCTION("""COMPUTED_VALUE"""),"18 inch Aero")</f>
        <v>18 inch Aero</v>
      </c>
      <c r="Q41" t="str">
        <f>IFERROR(__xludf.DUMMYFUNCTION("""COMPUTED_VALUE"""),"Black seats")</f>
        <v>Black seats</v>
      </c>
      <c r="R41" t="str">
        <f>IFERROR(__xludf.DUMMYFUNCTION("""COMPUTED_VALUE"""),"None")</f>
        <v>None</v>
      </c>
      <c r="X41" t="str">
        <f>IFERROR(__xludf.DUMMYFUNCTION("""COMPUTED_VALUE"""),"Excellent")</f>
        <v>Excellent</v>
      </c>
      <c r="Y41" t="str">
        <f>IFERROR(__xludf.DUMMYFUNCTION("""COMPUTED_VALUE"""),"Excellent")</f>
        <v>Excellent</v>
      </c>
      <c r="Z41" t="str">
        <f>IFERROR(__xludf.DUMMYFUNCTION("""COMPUTED_VALUE"""),"Excellent")</f>
        <v>Excellent</v>
      </c>
      <c r="AB41" t="str">
        <f>IFERROR(__xludf.DUMMYFUNCTION("""COMPUTED_VALUE"""),"Excellent")</f>
        <v>Excellent</v>
      </c>
      <c r="AH41" s="189">
        <f>IFERROR(__xludf.DUMMYFUNCTION("""COMPUTED_VALUE"""),43236.56985671296)</f>
        <v>43236.56986</v>
      </c>
    </row>
    <row r="42">
      <c r="A42" t="str">
        <f>IFERROR(__xludf.DUMMYFUNCTION("""COMPUTED_VALUE"""),"kubs")</f>
        <v>kubs</v>
      </c>
      <c r="B42" t="str">
        <f>IFERROR(__xludf.DUMMYFUNCTION("""COMPUTED_VALUE"""),"Minneapolis")</f>
        <v>Minneapolis</v>
      </c>
      <c r="C42" t="str">
        <f>IFERROR(__xludf.DUMMYFUNCTION("""COMPUTED_VALUE"""),"MN")</f>
        <v>MN</v>
      </c>
      <c r="D42" t="str">
        <f>IFERROR(__xludf.DUMMYFUNCTION("""COMPUTED_VALUE"""),"USA")</f>
        <v>USA</v>
      </c>
      <c r="E42" s="188">
        <f>IFERROR(__xludf.DUMMYFUNCTION("""COMPUTED_VALUE"""),43181.0)</f>
        <v>43181</v>
      </c>
      <c r="F42" s="188">
        <f>IFERROR(__xludf.DUMMYFUNCTION("""COMPUTED_VALUE"""),43206.0)</f>
        <v>43206</v>
      </c>
      <c r="H42">
        <f>IFERROR(__xludf.DUMMYFUNCTION("""COMPUTED_VALUE"""),17255.0)</f>
        <v>17255</v>
      </c>
      <c r="J42" s="5">
        <f>IFERROR(__xludf.DUMMYFUNCTION("""COMPUTED_VALUE"""),43236.0)</f>
        <v>43236</v>
      </c>
      <c r="K42">
        <f>IFERROR(__xludf.DUMMYFUNCTION("""COMPUTED_VALUE"""),25.0)</f>
        <v>25</v>
      </c>
      <c r="L42">
        <f>IFERROR(__xludf.DUMMYFUNCTION("""COMPUTED_VALUE"""),30.0)</f>
        <v>30</v>
      </c>
      <c r="M42">
        <f>IFERROR(__xludf.DUMMYFUNCTION("""COMPUTED_VALUE"""),55.0)</f>
        <v>55</v>
      </c>
      <c r="N42" t="str">
        <f>IFERROR(__xludf.DUMMYFUNCTION("""COMPUTED_VALUE"""),"Model 3 LR")</f>
        <v>Model 3 LR</v>
      </c>
      <c r="O42" t="str">
        <f>IFERROR(__xludf.DUMMYFUNCTION("""COMPUTED_VALUE"""),"Pearl White Multi-Coat")</f>
        <v>Pearl White Multi-Coat</v>
      </c>
      <c r="P42" t="str">
        <f>IFERROR(__xludf.DUMMYFUNCTION("""COMPUTED_VALUE"""),"18 inch Aero")</f>
        <v>18 inch Aero</v>
      </c>
      <c r="Q42" t="str">
        <f>IFERROR(__xludf.DUMMYFUNCTION("""COMPUTED_VALUE"""),"Black seats")</f>
        <v>Black seats</v>
      </c>
      <c r="R42" t="str">
        <f>IFERROR(__xludf.DUMMYFUNCTION("""COMPUTED_VALUE"""),"None")</f>
        <v>None</v>
      </c>
      <c r="X42" t="str">
        <f>IFERROR(__xludf.DUMMYFUNCTION("""COMPUTED_VALUE"""),"Very Good")</f>
        <v>Very Good</v>
      </c>
      <c r="Y42" t="str">
        <f>IFERROR(__xludf.DUMMYFUNCTION("""COMPUTED_VALUE"""),"Very Good")</f>
        <v>Very Good</v>
      </c>
      <c r="Z42" t="str">
        <f>IFERROR(__xludf.DUMMYFUNCTION("""COMPUTED_VALUE"""),"Very Good")</f>
        <v>Very Good</v>
      </c>
      <c r="AB42" t="str">
        <f>IFERROR(__xludf.DUMMYFUNCTION("""COMPUTED_VALUE"""),"Good")</f>
        <v>Good</v>
      </c>
      <c r="AH42" s="189">
        <f>IFERROR(__xludf.DUMMYFUNCTION("""COMPUTED_VALUE"""),43236.74009104166)</f>
        <v>43236.74009</v>
      </c>
    </row>
    <row r="43">
      <c r="A43" t="str">
        <f>IFERROR(__xludf.DUMMYFUNCTION("""COMPUTED_VALUE"""),"wriwanski")</f>
        <v>wriwanski</v>
      </c>
      <c r="B43" t="str">
        <f>IFERROR(__xludf.DUMMYFUNCTION("""COMPUTED_VALUE"""),"St. Charles")</f>
        <v>St. Charles</v>
      </c>
      <c r="C43" t="str">
        <f>IFERROR(__xludf.DUMMYFUNCTION("""COMPUTED_VALUE"""),"IL")</f>
        <v>IL</v>
      </c>
      <c r="D43" t="str">
        <f>IFERROR(__xludf.DUMMYFUNCTION("""COMPUTED_VALUE"""),"USA")</f>
        <v>USA</v>
      </c>
      <c r="E43" s="188">
        <f>IFERROR(__xludf.DUMMYFUNCTION("""COMPUTED_VALUE"""),43181.0)</f>
        <v>43181</v>
      </c>
      <c r="F43" s="188">
        <f>IFERROR(__xludf.DUMMYFUNCTION("""COMPUTED_VALUE"""),43218.0)</f>
        <v>43218</v>
      </c>
      <c r="H43">
        <f>IFERROR(__xludf.DUMMYFUNCTION("""COMPUTED_VALUE"""),16370.0)</f>
        <v>16370</v>
      </c>
      <c r="J43" s="5">
        <f>IFERROR(__xludf.DUMMYFUNCTION("""COMPUTED_VALUE"""),43236.0)</f>
        <v>43236</v>
      </c>
      <c r="K43">
        <f>IFERROR(__xludf.DUMMYFUNCTION("""COMPUTED_VALUE"""),37.0)</f>
        <v>37</v>
      </c>
      <c r="L43">
        <f>IFERROR(__xludf.DUMMYFUNCTION("""COMPUTED_VALUE"""),18.0)</f>
        <v>18</v>
      </c>
      <c r="M43">
        <f>IFERROR(__xludf.DUMMYFUNCTION("""COMPUTED_VALUE"""),55.0)</f>
        <v>55</v>
      </c>
      <c r="N43" t="str">
        <f>IFERROR(__xludf.DUMMYFUNCTION("""COMPUTED_VALUE"""),"Model 3 LR")</f>
        <v>Model 3 LR</v>
      </c>
      <c r="O43" t="str">
        <f>IFERROR(__xludf.DUMMYFUNCTION("""COMPUTED_VALUE"""),"Midnight Silver Metallic")</f>
        <v>Midnight Silver Metallic</v>
      </c>
      <c r="P43" t="str">
        <f>IFERROR(__xludf.DUMMYFUNCTION("""COMPUTED_VALUE"""),"18 inch Aero")</f>
        <v>18 inch Aero</v>
      </c>
      <c r="Q43" t="str">
        <f>IFERROR(__xludf.DUMMYFUNCTION("""COMPUTED_VALUE"""),"Black seats")</f>
        <v>Black seats</v>
      </c>
      <c r="R43" t="str">
        <f>IFERROR(__xludf.DUMMYFUNCTION("""COMPUTED_VALUE"""),"Enhanced Autopilot")</f>
        <v>Enhanced Autopilot</v>
      </c>
      <c r="X43" t="str">
        <f>IFERROR(__xludf.DUMMYFUNCTION("""COMPUTED_VALUE"""),"Very Good")</f>
        <v>Very Good</v>
      </c>
      <c r="Y43" t="str">
        <f>IFERROR(__xludf.DUMMYFUNCTION("""COMPUTED_VALUE"""),"Excellent")</f>
        <v>Excellent</v>
      </c>
      <c r="Z43" t="str">
        <f>IFERROR(__xludf.DUMMYFUNCTION("""COMPUTED_VALUE"""),"Very Good")</f>
        <v>Very Good</v>
      </c>
      <c r="AB43" t="str">
        <f>IFERROR(__xludf.DUMMYFUNCTION("""COMPUTED_VALUE"""),"Excellent")</f>
        <v>Excellent</v>
      </c>
      <c r="AG43" t="str">
        <f>IFERROR(__xludf.DUMMYFUNCTION("""COMPUTED_VALUE"""),"Phenomenal Service (Delivery) Center staff!")</f>
        <v>Phenomenal Service (Delivery) Center staff!</v>
      </c>
      <c r="AH43" s="189">
        <f>IFERROR(__xludf.DUMMYFUNCTION("""COMPUTED_VALUE"""),43237.37325542824)</f>
        <v>43237.37326</v>
      </c>
    </row>
    <row r="44">
      <c r="A44" t="str">
        <f>IFERROR(__xludf.DUMMYFUNCTION("""COMPUTED_VALUE"""),"wheelers")</f>
        <v>wheelers</v>
      </c>
      <c r="B44" t="str">
        <f>IFERROR(__xludf.DUMMYFUNCTION("""COMPUTED_VALUE"""),"Spokane")</f>
        <v>Spokane</v>
      </c>
      <c r="C44" t="str">
        <f>IFERROR(__xludf.DUMMYFUNCTION("""COMPUTED_VALUE"""),"WA")</f>
        <v>WA</v>
      </c>
      <c r="D44" t="str">
        <f>IFERROR(__xludf.DUMMYFUNCTION("""COMPUTED_VALUE"""),"USA")</f>
        <v>USA</v>
      </c>
      <c r="E44" s="188">
        <f>IFERROR(__xludf.DUMMYFUNCTION("""COMPUTED_VALUE"""),43206.0)</f>
        <v>43206</v>
      </c>
      <c r="F44" s="188">
        <f>IFERROR(__xludf.DUMMYFUNCTION("""COMPUTED_VALUE"""),43227.0)</f>
        <v>43227</v>
      </c>
      <c r="H44">
        <f>IFERROR(__xludf.DUMMYFUNCTION("""COMPUTED_VALUE"""),26055.0)</f>
        <v>26055</v>
      </c>
      <c r="J44" s="5">
        <f>IFERROR(__xludf.DUMMYFUNCTION("""COMPUTED_VALUE"""),43234.0)</f>
        <v>43234</v>
      </c>
      <c r="K44">
        <f>IFERROR(__xludf.DUMMYFUNCTION("""COMPUTED_VALUE"""),21.0)</f>
        <v>21</v>
      </c>
      <c r="L44">
        <f>IFERROR(__xludf.DUMMYFUNCTION("""COMPUTED_VALUE"""),7.0)</f>
        <v>7</v>
      </c>
      <c r="M44">
        <f>IFERROR(__xludf.DUMMYFUNCTION("""COMPUTED_VALUE"""),28.0)</f>
        <v>28</v>
      </c>
      <c r="N44" t="str">
        <f>IFERROR(__xludf.DUMMYFUNCTION("""COMPUTED_VALUE"""),"Model 3 LR")</f>
        <v>Model 3 LR</v>
      </c>
      <c r="O44" t="str">
        <f>IFERROR(__xludf.DUMMYFUNCTION("""COMPUTED_VALUE"""),"Deep Blue Metallic")</f>
        <v>Deep Blue Metallic</v>
      </c>
      <c r="P44" t="str">
        <f>IFERROR(__xludf.DUMMYFUNCTION("""COMPUTED_VALUE"""),"18 inch Aero")</f>
        <v>18 inch Aero</v>
      </c>
      <c r="Q44" t="str">
        <f>IFERROR(__xludf.DUMMYFUNCTION("""COMPUTED_VALUE"""),"Black seats")</f>
        <v>Black seats</v>
      </c>
      <c r="R44" t="str">
        <f>IFERROR(__xludf.DUMMYFUNCTION("""COMPUTED_VALUE"""),"None")</f>
        <v>None</v>
      </c>
      <c r="X44" t="str">
        <f>IFERROR(__xludf.DUMMYFUNCTION("""COMPUTED_VALUE"""),"Excellent")</f>
        <v>Excellent</v>
      </c>
      <c r="Y44" t="str">
        <f>IFERROR(__xludf.DUMMYFUNCTION("""COMPUTED_VALUE"""),"Excellent")</f>
        <v>Excellent</v>
      </c>
      <c r="Z44" t="str">
        <f>IFERROR(__xludf.DUMMYFUNCTION("""COMPUTED_VALUE"""),"Good")</f>
        <v>Good</v>
      </c>
      <c r="AB44" t="str">
        <f>IFERROR(__xludf.DUMMYFUNCTION("""COMPUTED_VALUE"""),"Excellent")</f>
        <v>Excellent</v>
      </c>
      <c r="AH44" s="189">
        <f>IFERROR(__xludf.DUMMYFUNCTION("""COMPUTED_VALUE"""),43237.43940657408)</f>
        <v>43237.43941</v>
      </c>
    </row>
    <row r="45">
      <c r="A45" t="str">
        <f>IFERROR(__xludf.DUMMYFUNCTION("""COMPUTED_VALUE"""),"bornready")</f>
        <v>bornready</v>
      </c>
      <c r="C45" t="str">
        <f>IFERROR(__xludf.DUMMYFUNCTION("""COMPUTED_VALUE"""),"CA")</f>
        <v>CA</v>
      </c>
      <c r="D45" t="str">
        <f>IFERROR(__xludf.DUMMYFUNCTION("""COMPUTED_VALUE"""),"USA")</f>
        <v>USA</v>
      </c>
      <c r="E45" s="188">
        <f>IFERROR(__xludf.DUMMYFUNCTION("""COMPUTED_VALUE"""),43200.0)</f>
        <v>43200</v>
      </c>
      <c r="F45" s="188">
        <f>IFERROR(__xludf.DUMMYFUNCTION("""COMPUTED_VALUE"""),43229.0)</f>
        <v>43229</v>
      </c>
      <c r="H45">
        <f>IFERROR(__xludf.DUMMYFUNCTION("""COMPUTED_VALUE"""),19455.0)</f>
        <v>19455</v>
      </c>
      <c r="J45" s="5">
        <f>IFERROR(__xludf.DUMMYFUNCTION("""COMPUTED_VALUE"""),43237.0)</f>
        <v>43237</v>
      </c>
      <c r="K45">
        <f>IFERROR(__xludf.DUMMYFUNCTION("""COMPUTED_VALUE"""),29.0)</f>
        <v>29</v>
      </c>
      <c r="L45">
        <f>IFERROR(__xludf.DUMMYFUNCTION("""COMPUTED_VALUE"""),8.0)</f>
        <v>8</v>
      </c>
      <c r="M45">
        <f>IFERROR(__xludf.DUMMYFUNCTION("""COMPUTED_VALUE"""),37.0)</f>
        <v>37</v>
      </c>
      <c r="N45" t="str">
        <f>IFERROR(__xludf.DUMMYFUNCTION("""COMPUTED_VALUE"""),"Model 3 LR")</f>
        <v>Model 3 LR</v>
      </c>
      <c r="O45" t="str">
        <f>IFERROR(__xludf.DUMMYFUNCTION("""COMPUTED_VALUE"""),"Deep Blue Metallic")</f>
        <v>Deep Blue Metallic</v>
      </c>
      <c r="P45" t="str">
        <f>IFERROR(__xludf.DUMMYFUNCTION("""COMPUTED_VALUE"""),"18 inch Aero")</f>
        <v>18 inch Aero</v>
      </c>
      <c r="Q45" t="str">
        <f>IFERROR(__xludf.DUMMYFUNCTION("""COMPUTED_VALUE"""),"Black seats")</f>
        <v>Black seats</v>
      </c>
      <c r="R45" t="str">
        <f>IFERROR(__xludf.DUMMYFUNCTION("""COMPUTED_VALUE"""),"Enhanced Autopilot")</f>
        <v>Enhanced Autopilot</v>
      </c>
      <c r="X45" t="str">
        <f>IFERROR(__xludf.DUMMYFUNCTION("""COMPUTED_VALUE"""),"Excellent")</f>
        <v>Excellent</v>
      </c>
      <c r="Y45" t="str">
        <f>IFERROR(__xludf.DUMMYFUNCTION("""COMPUTED_VALUE"""),"Excellent")</f>
        <v>Excellent</v>
      </c>
      <c r="Z45" t="str">
        <f>IFERROR(__xludf.DUMMYFUNCTION("""COMPUTED_VALUE"""),"Excellent")</f>
        <v>Excellent</v>
      </c>
      <c r="AB45" t="str">
        <f>IFERROR(__xludf.DUMMYFUNCTION("""COMPUTED_VALUE"""),"Very Good")</f>
        <v>Very Good</v>
      </c>
      <c r="AG45" t="str">
        <f>IFERROR(__xludf.DUMMYFUNCTION("""COMPUTED_VALUE"""),"Awful experience working with ISA in Las Vegas but very good experience receiving car in Rocklin")</f>
        <v>Awful experience working with ISA in Las Vegas but very good experience receiving car in Rocklin</v>
      </c>
      <c r="AH45" s="189">
        <f>IFERROR(__xludf.DUMMYFUNCTION("""COMPUTED_VALUE"""),43237.93124101852)</f>
        <v>43237.93124</v>
      </c>
    </row>
    <row r="46">
      <c r="A46" t="str">
        <f>IFERROR(__xludf.DUMMYFUNCTION("""COMPUTED_VALUE"""),"Blavious")</f>
        <v>Blavious</v>
      </c>
      <c r="B46" t="str">
        <f>IFERROR(__xludf.DUMMYFUNCTION("""COMPUTED_VALUE"""),"Raleigh")</f>
        <v>Raleigh</v>
      </c>
      <c r="C46" t="str">
        <f>IFERROR(__xludf.DUMMYFUNCTION("""COMPUTED_VALUE"""),"NC")</f>
        <v>NC</v>
      </c>
      <c r="D46" t="str">
        <f>IFERROR(__xludf.DUMMYFUNCTION("""COMPUTED_VALUE"""),"USA")</f>
        <v>USA</v>
      </c>
      <c r="E46" s="188">
        <f>IFERROR(__xludf.DUMMYFUNCTION("""COMPUTED_VALUE"""),43196.0)</f>
        <v>43196</v>
      </c>
      <c r="F46" s="188">
        <f>IFERROR(__xludf.DUMMYFUNCTION("""COMPUTED_VALUE"""),43222.0)</f>
        <v>43222</v>
      </c>
      <c r="H46">
        <f>IFERROR(__xludf.DUMMYFUNCTION("""COMPUTED_VALUE"""),19655.0)</f>
        <v>19655</v>
      </c>
      <c r="J46" s="5">
        <f>IFERROR(__xludf.DUMMYFUNCTION("""COMPUTED_VALUE"""),43238.0)</f>
        <v>43238</v>
      </c>
      <c r="K46">
        <f>IFERROR(__xludf.DUMMYFUNCTION("""COMPUTED_VALUE"""),26.0)</f>
        <v>26</v>
      </c>
      <c r="L46">
        <f>IFERROR(__xludf.DUMMYFUNCTION("""COMPUTED_VALUE"""),16.0)</f>
        <v>16</v>
      </c>
      <c r="M46">
        <f>IFERROR(__xludf.DUMMYFUNCTION("""COMPUTED_VALUE"""),42.0)</f>
        <v>42</v>
      </c>
      <c r="N46" t="str">
        <f>IFERROR(__xludf.DUMMYFUNCTION("""COMPUTED_VALUE"""),"Model 3 LR")</f>
        <v>Model 3 LR</v>
      </c>
      <c r="O46" t="str">
        <f>IFERROR(__xludf.DUMMYFUNCTION("""COMPUTED_VALUE"""),"Pearl White Multi-Coat")</f>
        <v>Pearl White Multi-Coat</v>
      </c>
      <c r="P46" t="str">
        <f>IFERROR(__xludf.DUMMYFUNCTION("""COMPUTED_VALUE"""),"18 inch Aero")</f>
        <v>18 inch Aero</v>
      </c>
      <c r="Q46" t="str">
        <f>IFERROR(__xludf.DUMMYFUNCTION("""COMPUTED_VALUE"""),"Black seats")</f>
        <v>Black seats</v>
      </c>
      <c r="R46" t="str">
        <f>IFERROR(__xludf.DUMMYFUNCTION("""COMPUTED_VALUE"""),"Enhanced Autopilot")</f>
        <v>Enhanced Autopilot</v>
      </c>
      <c r="X46" t="str">
        <f>IFERROR(__xludf.DUMMYFUNCTION("""COMPUTED_VALUE"""),"Very Good")</f>
        <v>Very Good</v>
      </c>
      <c r="Y46" t="str">
        <f>IFERROR(__xludf.DUMMYFUNCTION("""COMPUTED_VALUE"""),"Excellent")</f>
        <v>Excellent</v>
      </c>
      <c r="Z46" t="str">
        <f>IFERROR(__xludf.DUMMYFUNCTION("""COMPUTED_VALUE"""),"Very Good")</f>
        <v>Very Good</v>
      </c>
      <c r="AB46" t="str">
        <f>IFERROR(__xludf.DUMMYFUNCTION("""COMPUTED_VALUE"""),"Excellent")</f>
        <v>Excellent</v>
      </c>
      <c r="AH46" s="189">
        <f>IFERROR(__xludf.DUMMYFUNCTION("""COMPUTED_VALUE"""),43238.58688011574)</f>
        <v>43238.58688</v>
      </c>
    </row>
    <row r="47">
      <c r="A47" t="str">
        <f>IFERROR(__xludf.DUMMYFUNCTION("""COMPUTED_VALUE"""),"Telsa")</f>
        <v>Telsa</v>
      </c>
      <c r="B47" t="str">
        <f>IFERROR(__xludf.DUMMYFUNCTION("""COMPUTED_VALUE"""),"North Bay")</f>
        <v>North Bay</v>
      </c>
      <c r="C47" t="str">
        <f>IFERROR(__xludf.DUMMYFUNCTION("""COMPUTED_VALUE"""),"CA")</f>
        <v>CA</v>
      </c>
      <c r="D47" t="str">
        <f>IFERROR(__xludf.DUMMYFUNCTION("""COMPUTED_VALUE"""),"USA")</f>
        <v>USA</v>
      </c>
      <c r="E47" s="188">
        <f>IFERROR(__xludf.DUMMYFUNCTION("""COMPUTED_VALUE"""),43200.0)</f>
        <v>43200</v>
      </c>
      <c r="F47" s="188">
        <f>IFERROR(__xludf.DUMMYFUNCTION("""COMPUTED_VALUE"""),43234.0)</f>
        <v>43234</v>
      </c>
      <c r="H47">
        <f>IFERROR(__xludf.DUMMYFUNCTION("""COMPUTED_VALUE"""),22955.0)</f>
        <v>22955</v>
      </c>
      <c r="J47" s="5">
        <f>IFERROR(__xludf.DUMMYFUNCTION("""COMPUTED_VALUE"""),43236.0)</f>
        <v>43236</v>
      </c>
      <c r="K47">
        <f>IFERROR(__xludf.DUMMYFUNCTION("""COMPUTED_VALUE"""),34.0)</f>
        <v>34</v>
      </c>
      <c r="L47">
        <f>IFERROR(__xludf.DUMMYFUNCTION("""COMPUTED_VALUE"""),2.0)</f>
        <v>2</v>
      </c>
      <c r="M47">
        <f>IFERROR(__xludf.DUMMYFUNCTION("""COMPUTED_VALUE"""),36.0)</f>
        <v>36</v>
      </c>
      <c r="N47" t="str">
        <f>IFERROR(__xludf.DUMMYFUNCTION("""COMPUTED_VALUE"""),"Model 3 LR")</f>
        <v>Model 3 LR</v>
      </c>
      <c r="O47" t="str">
        <f>IFERROR(__xludf.DUMMYFUNCTION("""COMPUTED_VALUE"""),"Deep Blue Metallic")</f>
        <v>Deep Blue Metallic</v>
      </c>
      <c r="P47" t="str">
        <f>IFERROR(__xludf.DUMMYFUNCTION("""COMPUTED_VALUE"""),"18 inch Aero")</f>
        <v>18 inch Aero</v>
      </c>
      <c r="Q47" t="str">
        <f>IFERROR(__xludf.DUMMYFUNCTION("""COMPUTED_VALUE"""),"Black seats")</f>
        <v>Black seats</v>
      </c>
      <c r="R47" t="str">
        <f>IFERROR(__xludf.DUMMYFUNCTION("""COMPUTED_VALUE"""),"Full Self-Driving")</f>
        <v>Full Self-Driving</v>
      </c>
      <c r="X47" t="str">
        <f>IFERROR(__xludf.DUMMYFUNCTION("""COMPUTED_VALUE"""),"Very Good")</f>
        <v>Very Good</v>
      </c>
      <c r="Y47" t="str">
        <f>IFERROR(__xludf.DUMMYFUNCTION("""COMPUTED_VALUE"""),"Excellent")</f>
        <v>Excellent</v>
      </c>
      <c r="Z47" t="str">
        <f>IFERROR(__xludf.DUMMYFUNCTION("""COMPUTED_VALUE"""),"Good")</f>
        <v>Good</v>
      </c>
      <c r="AB47" t="str">
        <f>IFERROR(__xludf.DUMMYFUNCTION("""COMPUTED_VALUE"""),"Very Good")</f>
        <v>Very Good</v>
      </c>
      <c r="AH47" s="189">
        <f>IFERROR(__xludf.DUMMYFUNCTION("""COMPUTED_VALUE"""),43238.73944326389)</f>
        <v>43238.73944</v>
      </c>
    </row>
    <row r="48">
      <c r="A48" t="str">
        <f>IFERROR(__xludf.DUMMYFUNCTION("""COMPUTED_VALUE"""),"Dhrivnak ")</f>
        <v>Dhrivnak </v>
      </c>
      <c r="C48" t="str">
        <f>IFERROR(__xludf.DUMMYFUNCTION("""COMPUTED_VALUE"""),"TN")</f>
        <v>TN</v>
      </c>
      <c r="D48" t="str">
        <f>IFERROR(__xludf.DUMMYFUNCTION("""COMPUTED_VALUE"""),"USA")</f>
        <v>USA</v>
      </c>
      <c r="E48" s="188">
        <f>IFERROR(__xludf.DUMMYFUNCTION("""COMPUTED_VALUE"""),43153.0)</f>
        <v>43153</v>
      </c>
      <c r="H48">
        <f>IFERROR(__xludf.DUMMYFUNCTION("""COMPUTED_VALUE"""),7241.0)</f>
        <v>7241</v>
      </c>
      <c r="J48" s="5">
        <f>IFERROR(__xludf.DUMMYFUNCTION("""COMPUTED_VALUE"""),43187.0)</f>
        <v>43187</v>
      </c>
      <c r="M48">
        <f>IFERROR(__xludf.DUMMYFUNCTION("""COMPUTED_VALUE"""),34.0)</f>
        <v>34</v>
      </c>
      <c r="N48" t="str">
        <f>IFERROR(__xludf.DUMMYFUNCTION("""COMPUTED_VALUE"""),"Model 3 LR")</f>
        <v>Model 3 LR</v>
      </c>
      <c r="O48" t="str">
        <f>IFERROR(__xludf.DUMMYFUNCTION("""COMPUTED_VALUE"""),"Deep Blue Metallic")</f>
        <v>Deep Blue Metallic</v>
      </c>
      <c r="P48" t="str">
        <f>IFERROR(__xludf.DUMMYFUNCTION("""COMPUTED_VALUE"""),"18 inch Aero")</f>
        <v>18 inch Aero</v>
      </c>
      <c r="Q48" t="str">
        <f>IFERROR(__xludf.DUMMYFUNCTION("""COMPUTED_VALUE"""),"Black seats")</f>
        <v>Black seats</v>
      </c>
      <c r="R48" t="str">
        <f>IFERROR(__xludf.DUMMYFUNCTION("""COMPUTED_VALUE"""),"None")</f>
        <v>None</v>
      </c>
      <c r="X48" t="str">
        <f>IFERROR(__xludf.DUMMYFUNCTION("""COMPUTED_VALUE"""),"Very Good")</f>
        <v>Very Good</v>
      </c>
      <c r="Y48" t="str">
        <f>IFERROR(__xludf.DUMMYFUNCTION("""COMPUTED_VALUE"""),"Very Good")</f>
        <v>Very Good</v>
      </c>
      <c r="Z48" t="str">
        <f>IFERROR(__xludf.DUMMYFUNCTION("""COMPUTED_VALUE"""),"Excellent")</f>
        <v>Excellent</v>
      </c>
      <c r="AB48" t="str">
        <f>IFERROR(__xludf.DUMMYFUNCTION("""COMPUTED_VALUE"""),"Good")</f>
        <v>Good</v>
      </c>
      <c r="AH48" s="189">
        <f>IFERROR(__xludf.DUMMYFUNCTION("""COMPUTED_VALUE"""),43239.17106908565)</f>
        <v>43239.17107</v>
      </c>
    </row>
    <row r="49">
      <c r="A49" t="str">
        <f>IFERROR(__xludf.DUMMYFUNCTION("""COMPUTED_VALUE"""),"Bill33432")</f>
        <v>Bill33432</v>
      </c>
      <c r="B49" t="str">
        <f>IFERROR(__xludf.DUMMYFUNCTION("""COMPUTED_VALUE"""),"Boca Raton")</f>
        <v>Boca Raton</v>
      </c>
      <c r="C49" t="str">
        <f>IFERROR(__xludf.DUMMYFUNCTION("""COMPUTED_VALUE"""),"FL")</f>
        <v>FL</v>
      </c>
      <c r="D49" t="str">
        <f>IFERROR(__xludf.DUMMYFUNCTION("""COMPUTED_VALUE"""),"USA")</f>
        <v>USA</v>
      </c>
      <c r="E49" s="188">
        <f>IFERROR(__xludf.DUMMYFUNCTION("""COMPUTED_VALUE"""),42988.0)</f>
        <v>42988</v>
      </c>
      <c r="H49">
        <f>IFERROR(__xludf.DUMMYFUNCTION("""COMPUTED_VALUE"""),2655.0)</f>
        <v>2655</v>
      </c>
      <c r="J49" s="5">
        <f>IFERROR(__xludf.DUMMYFUNCTION("""COMPUTED_VALUE"""),43109.0)</f>
        <v>43109</v>
      </c>
      <c r="M49">
        <f>IFERROR(__xludf.DUMMYFUNCTION("""COMPUTED_VALUE"""),121.0)</f>
        <v>121</v>
      </c>
      <c r="N49" t="str">
        <f>IFERROR(__xludf.DUMMYFUNCTION("""COMPUTED_VALUE"""),"Model 3 LR")</f>
        <v>Model 3 LR</v>
      </c>
      <c r="O49" t="str">
        <f>IFERROR(__xludf.DUMMYFUNCTION("""COMPUTED_VALUE"""),"Pearl White Multi-Coat")</f>
        <v>Pearl White Multi-Coat</v>
      </c>
      <c r="P49" t="str">
        <f>IFERROR(__xludf.DUMMYFUNCTION("""COMPUTED_VALUE"""),"19 inch Sport")</f>
        <v>19 inch Sport</v>
      </c>
      <c r="Q49" t="str">
        <f>IFERROR(__xludf.DUMMYFUNCTION("""COMPUTED_VALUE"""),"Black seats")</f>
        <v>Black seats</v>
      </c>
      <c r="R49" t="str">
        <f>IFERROR(__xludf.DUMMYFUNCTION("""COMPUTED_VALUE"""),"Enhanced Autopilot")</f>
        <v>Enhanced Autopilot</v>
      </c>
      <c r="X49" t="str">
        <f>IFERROR(__xludf.DUMMYFUNCTION("""COMPUTED_VALUE"""),"Very Good")</f>
        <v>Very Good</v>
      </c>
      <c r="Y49" t="str">
        <f>IFERROR(__xludf.DUMMYFUNCTION("""COMPUTED_VALUE"""),"Very Good")</f>
        <v>Very Good</v>
      </c>
      <c r="Z49" t="str">
        <f>IFERROR(__xludf.DUMMYFUNCTION("""COMPUTED_VALUE"""),"Excellent")</f>
        <v>Excellent</v>
      </c>
      <c r="AB49" t="str">
        <f>IFERROR(__xludf.DUMMYFUNCTION("""COMPUTED_VALUE"""),"Excellent")</f>
        <v>Excellent</v>
      </c>
      <c r="AH49" s="189">
        <f>IFERROR(__xludf.DUMMYFUNCTION("""COMPUTED_VALUE"""),43239.354414699075)</f>
        <v>43239.35441</v>
      </c>
    </row>
    <row r="50">
      <c r="A50" t="str">
        <f>IFERROR(__xludf.DUMMYFUNCTION("""COMPUTED_VALUE"""),"Rich M")</f>
        <v>Rich M</v>
      </c>
      <c r="B50" t="str">
        <f>IFERROR(__xludf.DUMMYFUNCTION("""COMPUTED_VALUE"""),"Blandon")</f>
        <v>Blandon</v>
      </c>
      <c r="C50" t="str">
        <f>IFERROR(__xludf.DUMMYFUNCTION("""COMPUTED_VALUE"""),"PA")</f>
        <v>PA</v>
      </c>
      <c r="D50" t="str">
        <f>IFERROR(__xludf.DUMMYFUNCTION("""COMPUTED_VALUE"""),"USA")</f>
        <v>USA</v>
      </c>
      <c r="E50" s="188">
        <f>IFERROR(__xludf.DUMMYFUNCTION("""COMPUTED_VALUE"""),43181.0)</f>
        <v>43181</v>
      </c>
      <c r="F50" s="188">
        <f>IFERROR(__xludf.DUMMYFUNCTION("""COMPUTED_VALUE"""),43217.0)</f>
        <v>43217</v>
      </c>
      <c r="H50">
        <f>IFERROR(__xludf.DUMMYFUNCTION("""COMPUTED_VALUE"""),16296.0)</f>
        <v>16296</v>
      </c>
      <c r="J50" s="5">
        <f>IFERROR(__xludf.DUMMYFUNCTION("""COMPUTED_VALUE"""),43238.0)</f>
        <v>43238</v>
      </c>
      <c r="K50">
        <f>IFERROR(__xludf.DUMMYFUNCTION("""COMPUTED_VALUE"""),36.0)</f>
        <v>36</v>
      </c>
      <c r="L50">
        <f>IFERROR(__xludf.DUMMYFUNCTION("""COMPUTED_VALUE"""),21.0)</f>
        <v>21</v>
      </c>
      <c r="M50">
        <f>IFERROR(__xludf.DUMMYFUNCTION("""COMPUTED_VALUE"""),57.0)</f>
        <v>57</v>
      </c>
      <c r="N50" t="str">
        <f>IFERROR(__xludf.DUMMYFUNCTION("""COMPUTED_VALUE"""),"Model 3 LR")</f>
        <v>Model 3 LR</v>
      </c>
      <c r="O50" t="str">
        <f>IFERROR(__xludf.DUMMYFUNCTION("""COMPUTED_VALUE"""),"Midnight Silver Metallic")</f>
        <v>Midnight Silver Metallic</v>
      </c>
      <c r="P50" t="str">
        <f>IFERROR(__xludf.DUMMYFUNCTION("""COMPUTED_VALUE"""),"18 inch Aero")</f>
        <v>18 inch Aero</v>
      </c>
      <c r="Q50" t="str">
        <f>IFERROR(__xludf.DUMMYFUNCTION("""COMPUTED_VALUE"""),"Black seats")</f>
        <v>Black seats</v>
      </c>
      <c r="R50" t="str">
        <f>IFERROR(__xludf.DUMMYFUNCTION("""COMPUTED_VALUE"""),"Enhanced Autopilot")</f>
        <v>Enhanced Autopilot</v>
      </c>
      <c r="X50" t="str">
        <f>IFERROR(__xludf.DUMMYFUNCTION("""COMPUTED_VALUE"""),"Very Good")</f>
        <v>Very Good</v>
      </c>
      <c r="Y50" t="str">
        <f>IFERROR(__xludf.DUMMYFUNCTION("""COMPUTED_VALUE"""),"Excellent")</f>
        <v>Excellent</v>
      </c>
      <c r="Z50" t="str">
        <f>IFERROR(__xludf.DUMMYFUNCTION("""COMPUTED_VALUE"""),"Excellent")</f>
        <v>Excellent</v>
      </c>
      <c r="AB50" t="str">
        <f>IFERROR(__xludf.DUMMYFUNCTION("""COMPUTED_VALUE"""),"Excellent")</f>
        <v>Excellent</v>
      </c>
      <c r="AG50" t="str">
        <f>IFERROR(__xludf.DUMMYFUNCTION("""COMPUTED_VALUE"""),"If White interior is available, I'll take it")</f>
        <v>If White interior is available, I'll take it</v>
      </c>
      <c r="AH50" s="189">
        <f>IFERROR(__xludf.DUMMYFUNCTION("""COMPUTED_VALUE"""),43239.37919045139)</f>
        <v>43239.37919</v>
      </c>
    </row>
    <row r="51">
      <c r="A51" t="str">
        <f>IFERROR(__xludf.DUMMYFUNCTION("""COMPUTED_VALUE"""),"AAinSoCal")</f>
        <v>AAinSoCal</v>
      </c>
      <c r="B51" t="str">
        <f>IFERROR(__xludf.DUMMYFUNCTION("""COMPUTED_VALUE"""),"Los Angeles")</f>
        <v>Los Angeles</v>
      </c>
      <c r="C51" t="str">
        <f>IFERROR(__xludf.DUMMYFUNCTION("""COMPUTED_VALUE"""),"CA")</f>
        <v>CA</v>
      </c>
      <c r="D51" t="str">
        <f>IFERROR(__xludf.DUMMYFUNCTION("""COMPUTED_VALUE"""),"USA")</f>
        <v>USA</v>
      </c>
      <c r="E51" s="188">
        <f>IFERROR(__xludf.DUMMYFUNCTION("""COMPUTED_VALUE"""),43208.0)</f>
        <v>43208</v>
      </c>
      <c r="F51" s="188">
        <f>IFERROR(__xludf.DUMMYFUNCTION("""COMPUTED_VALUE"""),43234.0)</f>
        <v>43234</v>
      </c>
      <c r="H51">
        <f>IFERROR(__xludf.DUMMYFUNCTION("""COMPUTED_VALUE"""),21955.0)</f>
        <v>21955</v>
      </c>
      <c r="J51" s="5">
        <f>IFERROR(__xludf.DUMMYFUNCTION("""COMPUTED_VALUE"""),43239.0)</f>
        <v>43239</v>
      </c>
      <c r="K51">
        <f>IFERROR(__xludf.DUMMYFUNCTION("""COMPUTED_VALUE"""),26.0)</f>
        <v>26</v>
      </c>
      <c r="L51">
        <f>IFERROR(__xludf.DUMMYFUNCTION("""COMPUTED_VALUE"""),5.0)</f>
        <v>5</v>
      </c>
      <c r="M51">
        <f>IFERROR(__xludf.DUMMYFUNCTION("""COMPUTED_VALUE"""),31.0)</f>
        <v>31</v>
      </c>
      <c r="N51" t="str">
        <f>IFERROR(__xludf.DUMMYFUNCTION("""COMPUTED_VALUE"""),"Model 3 LR")</f>
        <v>Model 3 LR</v>
      </c>
      <c r="O51" t="str">
        <f>IFERROR(__xludf.DUMMYFUNCTION("""COMPUTED_VALUE"""),"Midnight Silver Metallic")</f>
        <v>Midnight Silver Metallic</v>
      </c>
      <c r="P51" t="str">
        <f>IFERROR(__xludf.DUMMYFUNCTION("""COMPUTED_VALUE"""),"18 inch Aero")</f>
        <v>18 inch Aero</v>
      </c>
      <c r="Q51" t="str">
        <f>IFERROR(__xludf.DUMMYFUNCTION("""COMPUTED_VALUE"""),"Black seats")</f>
        <v>Black seats</v>
      </c>
      <c r="R51" t="str">
        <f>IFERROR(__xludf.DUMMYFUNCTION("""COMPUTED_VALUE"""),"Enhanced Autopilot")</f>
        <v>Enhanced Autopilot</v>
      </c>
      <c r="X51" t="str">
        <f>IFERROR(__xludf.DUMMYFUNCTION("""COMPUTED_VALUE"""),"Very Good")</f>
        <v>Very Good</v>
      </c>
      <c r="Y51" t="str">
        <f>IFERROR(__xludf.DUMMYFUNCTION("""COMPUTED_VALUE"""),"Very Good")</f>
        <v>Very Good</v>
      </c>
      <c r="Z51" t="str">
        <f>IFERROR(__xludf.DUMMYFUNCTION("""COMPUTED_VALUE"""),"Excellent")</f>
        <v>Excellent</v>
      </c>
      <c r="AB51" t="str">
        <f>IFERROR(__xludf.DUMMYFUNCTION("""COMPUTED_VALUE"""),"Excellent")</f>
        <v>Excellent</v>
      </c>
      <c r="AH51" s="189">
        <f>IFERROR(__xludf.DUMMYFUNCTION("""COMPUTED_VALUE"""),43239.632189525466)</f>
        <v>43239.63219</v>
      </c>
    </row>
    <row r="52">
      <c r="A52" t="str">
        <f>IFERROR(__xludf.DUMMYFUNCTION("""COMPUTED_VALUE"""),"dalimata.kristen")</f>
        <v>dalimata.kristen</v>
      </c>
      <c r="B52" t="str">
        <f>IFERROR(__xludf.DUMMYFUNCTION("""COMPUTED_VALUE"""),"Vancouver")</f>
        <v>Vancouver</v>
      </c>
      <c r="C52" t="str">
        <f>IFERROR(__xludf.DUMMYFUNCTION("""COMPUTED_VALUE"""),"WA")</f>
        <v>WA</v>
      </c>
      <c r="D52" t="str">
        <f>IFERROR(__xludf.DUMMYFUNCTION("""COMPUTED_VALUE"""),"USA")</f>
        <v>USA</v>
      </c>
      <c r="E52" s="188">
        <f>IFERROR(__xludf.DUMMYFUNCTION("""COMPUTED_VALUE"""),43196.0)</f>
        <v>43196</v>
      </c>
      <c r="F52" s="188">
        <f>IFERROR(__xludf.DUMMYFUNCTION("""COMPUTED_VALUE"""),43207.0)</f>
        <v>43207</v>
      </c>
      <c r="H52">
        <f>IFERROR(__xludf.DUMMYFUNCTION("""COMPUTED_VALUE"""),20381.0)</f>
        <v>20381</v>
      </c>
      <c r="J52" s="5">
        <f>IFERROR(__xludf.DUMMYFUNCTION("""COMPUTED_VALUE"""),43224.0)</f>
        <v>43224</v>
      </c>
      <c r="K52">
        <f>IFERROR(__xludf.DUMMYFUNCTION("""COMPUTED_VALUE"""),11.0)</f>
        <v>11</v>
      </c>
      <c r="L52">
        <f>IFERROR(__xludf.DUMMYFUNCTION("""COMPUTED_VALUE"""),17.0)</f>
        <v>17</v>
      </c>
      <c r="M52">
        <f>IFERROR(__xludf.DUMMYFUNCTION("""COMPUTED_VALUE"""),28.0)</f>
        <v>28</v>
      </c>
      <c r="N52" t="str">
        <f>IFERROR(__xludf.DUMMYFUNCTION("""COMPUTED_VALUE"""),"Model 3 LR")</f>
        <v>Model 3 LR</v>
      </c>
      <c r="O52" t="str">
        <f>IFERROR(__xludf.DUMMYFUNCTION("""COMPUTED_VALUE"""),"Deep Blue Metallic")</f>
        <v>Deep Blue Metallic</v>
      </c>
      <c r="P52" t="str">
        <f>IFERROR(__xludf.DUMMYFUNCTION("""COMPUTED_VALUE"""),"19 inch Sport")</f>
        <v>19 inch Sport</v>
      </c>
      <c r="Q52" t="str">
        <f>IFERROR(__xludf.DUMMYFUNCTION("""COMPUTED_VALUE"""),"Black seats")</f>
        <v>Black seats</v>
      </c>
      <c r="R52" t="str">
        <f>IFERROR(__xludf.DUMMYFUNCTION("""COMPUTED_VALUE"""),"Enhanced Autopilot")</f>
        <v>Enhanced Autopilot</v>
      </c>
      <c r="X52" t="str">
        <f>IFERROR(__xludf.DUMMYFUNCTION("""COMPUTED_VALUE"""),"Very Good")</f>
        <v>Very Good</v>
      </c>
      <c r="Y52" t="str">
        <f>IFERROR(__xludf.DUMMYFUNCTION("""COMPUTED_VALUE"""),"Good")</f>
        <v>Good</v>
      </c>
      <c r="Z52" t="str">
        <f>IFERROR(__xludf.DUMMYFUNCTION("""COMPUTED_VALUE"""),"Excellent")</f>
        <v>Excellent</v>
      </c>
      <c r="AB52" t="str">
        <f>IFERROR(__xludf.DUMMYFUNCTION("""COMPUTED_VALUE"""),"Excellent")</f>
        <v>Excellent</v>
      </c>
      <c r="AH52" s="189">
        <f>IFERROR(__xludf.DUMMYFUNCTION("""COMPUTED_VALUE"""),43239.63989078703)</f>
        <v>43239.63989</v>
      </c>
    </row>
    <row r="53">
      <c r="A53" t="str">
        <f>IFERROR(__xludf.DUMMYFUNCTION("""COMPUTED_VALUE"""),"Scowler")</f>
        <v>Scowler</v>
      </c>
      <c r="B53" t="str">
        <f>IFERROR(__xludf.DUMMYFUNCTION("""COMPUTED_VALUE"""),"Bay Area")</f>
        <v>Bay Area</v>
      </c>
      <c r="C53" t="str">
        <f>IFERROR(__xludf.DUMMYFUNCTION("""COMPUTED_VALUE"""),"CA")</f>
        <v>CA</v>
      </c>
      <c r="D53" t="str">
        <f>IFERROR(__xludf.DUMMYFUNCTION("""COMPUTED_VALUE"""),"USA")</f>
        <v>USA</v>
      </c>
      <c r="E53" s="188">
        <f>IFERROR(__xludf.DUMMYFUNCTION("""COMPUTED_VALUE"""),43200.0)</f>
        <v>43200</v>
      </c>
      <c r="F53" s="188">
        <f>IFERROR(__xludf.DUMMYFUNCTION("""COMPUTED_VALUE"""),43229.0)</f>
        <v>43229</v>
      </c>
      <c r="H53">
        <f>IFERROR(__xludf.DUMMYFUNCTION("""COMPUTED_VALUE"""),21655.0)</f>
        <v>21655</v>
      </c>
      <c r="J53" s="5">
        <f>IFERROR(__xludf.DUMMYFUNCTION("""COMPUTED_VALUE"""),43238.0)</f>
        <v>43238</v>
      </c>
      <c r="K53">
        <f>IFERROR(__xludf.DUMMYFUNCTION("""COMPUTED_VALUE"""),29.0)</f>
        <v>29</v>
      </c>
      <c r="L53">
        <f>IFERROR(__xludf.DUMMYFUNCTION("""COMPUTED_VALUE"""),9.0)</f>
        <v>9</v>
      </c>
      <c r="M53">
        <f>IFERROR(__xludf.DUMMYFUNCTION("""COMPUTED_VALUE"""),38.0)</f>
        <v>38</v>
      </c>
      <c r="N53" t="str">
        <f>IFERROR(__xludf.DUMMYFUNCTION("""COMPUTED_VALUE"""),"Model 3 LR")</f>
        <v>Model 3 LR</v>
      </c>
      <c r="O53" t="str">
        <f>IFERROR(__xludf.DUMMYFUNCTION("""COMPUTED_VALUE"""),"Midnight Silver Metallic")</f>
        <v>Midnight Silver Metallic</v>
      </c>
      <c r="P53" t="str">
        <f>IFERROR(__xludf.DUMMYFUNCTION("""COMPUTED_VALUE"""),"18 inch Aero")</f>
        <v>18 inch Aero</v>
      </c>
      <c r="Q53" t="str">
        <f>IFERROR(__xludf.DUMMYFUNCTION("""COMPUTED_VALUE"""),"Black seats")</f>
        <v>Black seats</v>
      </c>
      <c r="R53" t="str">
        <f>IFERROR(__xludf.DUMMYFUNCTION("""COMPUTED_VALUE"""),"None")</f>
        <v>None</v>
      </c>
      <c r="X53" t="str">
        <f>IFERROR(__xludf.DUMMYFUNCTION("""COMPUTED_VALUE"""),"Very Good")</f>
        <v>Very Good</v>
      </c>
      <c r="Y53" t="str">
        <f>IFERROR(__xludf.DUMMYFUNCTION("""COMPUTED_VALUE"""),"Very Good")</f>
        <v>Very Good</v>
      </c>
      <c r="Z53" t="str">
        <f>IFERROR(__xludf.DUMMYFUNCTION("""COMPUTED_VALUE"""),"Very Good")</f>
        <v>Very Good</v>
      </c>
      <c r="AB53" t="str">
        <f>IFERROR(__xludf.DUMMYFUNCTION("""COMPUTED_VALUE"""),"Good")</f>
        <v>Good</v>
      </c>
      <c r="AH53" s="189">
        <f>IFERROR(__xludf.DUMMYFUNCTION("""COMPUTED_VALUE"""),43239.66604858796)</f>
        <v>43239.66605</v>
      </c>
    </row>
    <row r="54">
      <c r="A54" t="str">
        <f>IFERROR(__xludf.DUMMYFUNCTION("""COMPUTED_VALUE"""),"yaypie")</f>
        <v>yaypie</v>
      </c>
      <c r="B54" t="str">
        <f>IFERROR(__xludf.DUMMYFUNCTION("""COMPUTED_VALUE"""),"Portland")</f>
        <v>Portland</v>
      </c>
      <c r="C54" t="str">
        <f>IFERROR(__xludf.DUMMYFUNCTION("""COMPUTED_VALUE"""),"OR")</f>
        <v>OR</v>
      </c>
      <c r="D54" t="str">
        <f>IFERROR(__xludf.DUMMYFUNCTION("""COMPUTED_VALUE"""),"USA")</f>
        <v>USA</v>
      </c>
      <c r="E54" s="188">
        <f>IFERROR(__xludf.DUMMYFUNCTION("""COMPUTED_VALUE"""),43208.0)</f>
        <v>43208</v>
      </c>
      <c r="F54" s="188">
        <f>IFERROR(__xludf.DUMMYFUNCTION("""COMPUTED_VALUE"""),43229.0)</f>
        <v>43229</v>
      </c>
      <c r="H54">
        <f>IFERROR(__xludf.DUMMYFUNCTION("""COMPUTED_VALUE"""),18955.0)</f>
        <v>18955</v>
      </c>
      <c r="J54" s="5">
        <f>IFERROR(__xludf.DUMMYFUNCTION("""COMPUTED_VALUE"""),43239.0)</f>
        <v>43239</v>
      </c>
      <c r="K54">
        <f>IFERROR(__xludf.DUMMYFUNCTION("""COMPUTED_VALUE"""),21.0)</f>
        <v>21</v>
      </c>
      <c r="L54">
        <f>IFERROR(__xludf.DUMMYFUNCTION("""COMPUTED_VALUE"""),10.0)</f>
        <v>10</v>
      </c>
      <c r="M54">
        <f>IFERROR(__xludf.DUMMYFUNCTION("""COMPUTED_VALUE"""),31.0)</f>
        <v>31</v>
      </c>
      <c r="N54" t="str">
        <f>IFERROR(__xludf.DUMMYFUNCTION("""COMPUTED_VALUE"""),"Model 3 LR")</f>
        <v>Model 3 LR</v>
      </c>
      <c r="O54" t="str">
        <f>IFERROR(__xludf.DUMMYFUNCTION("""COMPUTED_VALUE"""),"Midnight Silver Metallic")</f>
        <v>Midnight Silver Metallic</v>
      </c>
      <c r="P54" t="str">
        <f>IFERROR(__xludf.DUMMYFUNCTION("""COMPUTED_VALUE"""),"18 inch Aero")</f>
        <v>18 inch Aero</v>
      </c>
      <c r="Q54" t="str">
        <f>IFERROR(__xludf.DUMMYFUNCTION("""COMPUTED_VALUE"""),"Black seats")</f>
        <v>Black seats</v>
      </c>
      <c r="R54" t="str">
        <f>IFERROR(__xludf.DUMMYFUNCTION("""COMPUTED_VALUE"""),"Enhanced Autopilot")</f>
        <v>Enhanced Autopilot</v>
      </c>
      <c r="X54" t="str">
        <f>IFERROR(__xludf.DUMMYFUNCTION("""COMPUTED_VALUE"""),"Excellent")</f>
        <v>Excellent</v>
      </c>
      <c r="Y54" t="str">
        <f>IFERROR(__xludf.DUMMYFUNCTION("""COMPUTED_VALUE"""),"Excellent")</f>
        <v>Excellent</v>
      </c>
      <c r="Z54" t="str">
        <f>IFERROR(__xludf.DUMMYFUNCTION("""COMPUTED_VALUE"""),"Excellent")</f>
        <v>Excellent</v>
      </c>
      <c r="AB54" t="str">
        <f>IFERROR(__xludf.DUMMYFUNCTION("""COMPUTED_VALUE"""),"Excellent")</f>
        <v>Excellent</v>
      </c>
      <c r="AH54" s="189">
        <f>IFERROR(__xludf.DUMMYFUNCTION("""COMPUTED_VALUE"""),43239.66996699074)</f>
        <v>43239.66997</v>
      </c>
    </row>
    <row r="55">
      <c r="A55" t="str">
        <f>IFERROR(__xludf.DUMMYFUNCTION("""COMPUTED_VALUE"""),"hyappie")</f>
        <v>hyappie</v>
      </c>
      <c r="B55" t="str">
        <f>IFERROR(__xludf.DUMMYFUNCTION("""COMPUTED_VALUE"""),"Sunnyvale")</f>
        <v>Sunnyvale</v>
      </c>
      <c r="C55" t="str">
        <f>IFERROR(__xludf.DUMMYFUNCTION("""COMPUTED_VALUE"""),"CA")</f>
        <v>CA</v>
      </c>
      <c r="D55" t="str">
        <f>IFERROR(__xludf.DUMMYFUNCTION("""COMPUTED_VALUE"""),"USA")</f>
        <v>USA</v>
      </c>
      <c r="E55" s="188">
        <f>IFERROR(__xludf.DUMMYFUNCTION("""COMPUTED_VALUE"""),43203.0)</f>
        <v>43203</v>
      </c>
      <c r="F55" s="188">
        <f>IFERROR(__xludf.DUMMYFUNCTION("""COMPUTED_VALUE"""),43233.0)</f>
        <v>43233</v>
      </c>
      <c r="H55">
        <f>IFERROR(__xludf.DUMMYFUNCTION("""COMPUTED_VALUE"""),19255.0)</f>
        <v>19255</v>
      </c>
      <c r="J55" s="5">
        <f>IFERROR(__xludf.DUMMYFUNCTION("""COMPUTED_VALUE"""),43239.0)</f>
        <v>43239</v>
      </c>
      <c r="K55">
        <f>IFERROR(__xludf.DUMMYFUNCTION("""COMPUTED_VALUE"""),30.0)</f>
        <v>30</v>
      </c>
      <c r="L55">
        <f>IFERROR(__xludf.DUMMYFUNCTION("""COMPUTED_VALUE"""),6.0)</f>
        <v>6</v>
      </c>
      <c r="M55">
        <f>IFERROR(__xludf.DUMMYFUNCTION("""COMPUTED_VALUE"""),36.0)</f>
        <v>36</v>
      </c>
      <c r="N55" t="str">
        <f>IFERROR(__xludf.DUMMYFUNCTION("""COMPUTED_VALUE"""),"Model 3 LR")</f>
        <v>Model 3 LR</v>
      </c>
      <c r="O55" t="str">
        <f>IFERROR(__xludf.DUMMYFUNCTION("""COMPUTED_VALUE"""),"Red Multi-Coat")</f>
        <v>Red Multi-Coat</v>
      </c>
      <c r="P55" t="str">
        <f>IFERROR(__xludf.DUMMYFUNCTION("""COMPUTED_VALUE"""),"18 inch Aero")</f>
        <v>18 inch Aero</v>
      </c>
      <c r="Q55" t="str">
        <f>IFERROR(__xludf.DUMMYFUNCTION("""COMPUTED_VALUE"""),"Black seats")</f>
        <v>Black seats</v>
      </c>
      <c r="R55" t="str">
        <f>IFERROR(__xludf.DUMMYFUNCTION("""COMPUTED_VALUE"""),"Enhanced Autopilot")</f>
        <v>Enhanced Autopilot</v>
      </c>
      <c r="X55" t="str">
        <f>IFERROR(__xludf.DUMMYFUNCTION("""COMPUTED_VALUE"""),"Excellent")</f>
        <v>Excellent</v>
      </c>
      <c r="Y55" t="str">
        <f>IFERROR(__xludf.DUMMYFUNCTION("""COMPUTED_VALUE"""),"Very Good")</f>
        <v>Very Good</v>
      </c>
      <c r="Z55" t="str">
        <f>IFERROR(__xludf.DUMMYFUNCTION("""COMPUTED_VALUE"""),"Excellent")</f>
        <v>Excellent</v>
      </c>
      <c r="AB55" t="str">
        <f>IFERROR(__xludf.DUMMYFUNCTION("""COMPUTED_VALUE"""),"Excellent")</f>
        <v>Excellent</v>
      </c>
      <c r="AH55" s="189">
        <f>IFERROR(__xludf.DUMMYFUNCTION("""COMPUTED_VALUE"""),43240.440427141206)</f>
        <v>43240.44043</v>
      </c>
    </row>
    <row r="56">
      <c r="A56" t="str">
        <f>IFERROR(__xludf.DUMMYFUNCTION("""COMPUTED_VALUE"""),"aj_in_oc")</f>
        <v>aj_in_oc</v>
      </c>
      <c r="B56" t="str">
        <f>IFERROR(__xludf.DUMMYFUNCTION("""COMPUTED_VALUE"""),"Orange County, CA")</f>
        <v>Orange County, CA</v>
      </c>
      <c r="C56" t="str">
        <f>IFERROR(__xludf.DUMMYFUNCTION("""COMPUTED_VALUE"""),"CA")</f>
        <v>CA</v>
      </c>
      <c r="D56" t="str">
        <f>IFERROR(__xludf.DUMMYFUNCTION("""COMPUTED_VALUE"""),"USA")</f>
        <v>USA</v>
      </c>
      <c r="E56" s="188">
        <f>IFERROR(__xludf.DUMMYFUNCTION("""COMPUTED_VALUE"""),43201.0)</f>
        <v>43201</v>
      </c>
      <c r="F56" s="188">
        <f>IFERROR(__xludf.DUMMYFUNCTION("""COMPUTED_VALUE"""),43229.0)</f>
        <v>43229</v>
      </c>
      <c r="H56">
        <f>IFERROR(__xludf.DUMMYFUNCTION("""COMPUTED_VALUE"""),22955.0)</f>
        <v>22955</v>
      </c>
      <c r="J56" s="5">
        <f>IFERROR(__xludf.DUMMYFUNCTION("""COMPUTED_VALUE"""),43237.0)</f>
        <v>43237</v>
      </c>
      <c r="K56">
        <f>IFERROR(__xludf.DUMMYFUNCTION("""COMPUTED_VALUE"""),28.0)</f>
        <v>28</v>
      </c>
      <c r="L56">
        <f>IFERROR(__xludf.DUMMYFUNCTION("""COMPUTED_VALUE"""),8.0)</f>
        <v>8</v>
      </c>
      <c r="M56">
        <f>IFERROR(__xludf.DUMMYFUNCTION("""COMPUTED_VALUE"""),36.0)</f>
        <v>36</v>
      </c>
      <c r="N56" t="str">
        <f>IFERROR(__xludf.DUMMYFUNCTION("""COMPUTED_VALUE"""),"Model 3 LR")</f>
        <v>Model 3 LR</v>
      </c>
      <c r="O56" t="str">
        <f>IFERROR(__xludf.DUMMYFUNCTION("""COMPUTED_VALUE"""),"Deep Blue Metallic")</f>
        <v>Deep Blue Metallic</v>
      </c>
      <c r="P56" t="str">
        <f>IFERROR(__xludf.DUMMYFUNCTION("""COMPUTED_VALUE"""),"18 inch Aero")</f>
        <v>18 inch Aero</v>
      </c>
      <c r="Q56" t="str">
        <f>IFERROR(__xludf.DUMMYFUNCTION("""COMPUTED_VALUE"""),"Black seats")</f>
        <v>Black seats</v>
      </c>
      <c r="R56" t="str">
        <f>IFERROR(__xludf.DUMMYFUNCTION("""COMPUTED_VALUE"""),"None")</f>
        <v>None</v>
      </c>
      <c r="X56" t="str">
        <f>IFERROR(__xludf.DUMMYFUNCTION("""COMPUTED_VALUE"""),"Very Good")</f>
        <v>Very Good</v>
      </c>
      <c r="Y56" t="str">
        <f>IFERROR(__xludf.DUMMYFUNCTION("""COMPUTED_VALUE"""),"Good")</f>
        <v>Good</v>
      </c>
      <c r="Z56" t="str">
        <f>IFERROR(__xludf.DUMMYFUNCTION("""COMPUTED_VALUE"""),"Excellent")</f>
        <v>Excellent</v>
      </c>
      <c r="AB56" t="str">
        <f>IFERROR(__xludf.DUMMYFUNCTION("""COMPUTED_VALUE"""),"Very Good")</f>
        <v>Very Good</v>
      </c>
      <c r="AG56" t="str">
        <f>IFERROR(__xludf.DUMMYFUNCTION("""COMPUTED_VALUE"""),"Center console cover had flaw. Awaiting replacement.")</f>
        <v>Center console cover had flaw. Awaiting replacement.</v>
      </c>
      <c r="AH56" s="189">
        <f>IFERROR(__xludf.DUMMYFUNCTION("""COMPUTED_VALUE"""),43240.78496625)</f>
        <v>43240.78497</v>
      </c>
    </row>
    <row r="57">
      <c r="A57" t="str">
        <f>IFERROR(__xludf.DUMMYFUNCTION("""COMPUTED_VALUE"""),"michael")</f>
        <v>michael</v>
      </c>
      <c r="B57" t="str">
        <f>IFERROR(__xludf.DUMMYFUNCTION("""COMPUTED_VALUE"""),"San Francisco Bay Area")</f>
        <v>San Francisco Bay Area</v>
      </c>
      <c r="C57" t="str">
        <f>IFERROR(__xludf.DUMMYFUNCTION("""COMPUTED_VALUE"""),"CA")</f>
        <v>CA</v>
      </c>
      <c r="D57" t="str">
        <f>IFERROR(__xludf.DUMMYFUNCTION("""COMPUTED_VALUE"""),"USA")</f>
        <v>USA</v>
      </c>
      <c r="E57" s="188">
        <f>IFERROR(__xludf.DUMMYFUNCTION("""COMPUTED_VALUE"""),43208.0)</f>
        <v>43208</v>
      </c>
      <c r="F57" s="188">
        <f>IFERROR(__xludf.DUMMYFUNCTION("""COMPUTED_VALUE"""),43234.0)</f>
        <v>43234</v>
      </c>
      <c r="H57">
        <f>IFERROR(__xludf.DUMMYFUNCTION("""COMPUTED_VALUE"""),22055.0)</f>
        <v>22055</v>
      </c>
      <c r="J57" s="5">
        <f>IFERROR(__xludf.DUMMYFUNCTION("""COMPUTED_VALUE"""),43239.0)</f>
        <v>43239</v>
      </c>
      <c r="K57">
        <f>IFERROR(__xludf.DUMMYFUNCTION("""COMPUTED_VALUE"""),26.0)</f>
        <v>26</v>
      </c>
      <c r="L57">
        <f>IFERROR(__xludf.DUMMYFUNCTION("""COMPUTED_VALUE"""),5.0)</f>
        <v>5</v>
      </c>
      <c r="M57">
        <f>IFERROR(__xludf.DUMMYFUNCTION("""COMPUTED_VALUE"""),31.0)</f>
        <v>31</v>
      </c>
      <c r="N57" t="str">
        <f>IFERROR(__xludf.DUMMYFUNCTION("""COMPUTED_VALUE"""),"Model 3 LR")</f>
        <v>Model 3 LR</v>
      </c>
      <c r="O57" t="str">
        <f>IFERROR(__xludf.DUMMYFUNCTION("""COMPUTED_VALUE"""),"Silver Metallic")</f>
        <v>Silver Metallic</v>
      </c>
      <c r="P57" t="str">
        <f>IFERROR(__xludf.DUMMYFUNCTION("""COMPUTED_VALUE"""),"18 inch Aero")</f>
        <v>18 inch Aero</v>
      </c>
      <c r="Q57" t="str">
        <f>IFERROR(__xludf.DUMMYFUNCTION("""COMPUTED_VALUE"""),"Black seats")</f>
        <v>Black seats</v>
      </c>
      <c r="R57" t="str">
        <f>IFERROR(__xludf.DUMMYFUNCTION("""COMPUTED_VALUE"""),"Enhanced Autopilot")</f>
        <v>Enhanced Autopilot</v>
      </c>
      <c r="X57" t="str">
        <f>IFERROR(__xludf.DUMMYFUNCTION("""COMPUTED_VALUE"""),"Excellent")</f>
        <v>Excellent</v>
      </c>
      <c r="Y57" t="str">
        <f>IFERROR(__xludf.DUMMYFUNCTION("""COMPUTED_VALUE"""),"Excellent")</f>
        <v>Excellent</v>
      </c>
      <c r="Z57" t="str">
        <f>IFERROR(__xludf.DUMMYFUNCTION("""COMPUTED_VALUE"""),"Excellent")</f>
        <v>Excellent</v>
      </c>
      <c r="AB57" t="str">
        <f>IFERROR(__xludf.DUMMYFUNCTION("""COMPUTED_VALUE"""),"Excellent")</f>
        <v>Excellent</v>
      </c>
      <c r="AH57" s="189">
        <f>IFERROR(__xludf.DUMMYFUNCTION("""COMPUTED_VALUE"""),43241.320518796296)</f>
        <v>43241.32052</v>
      </c>
    </row>
    <row r="58">
      <c r="A58" t="str">
        <f>IFERROR(__xludf.DUMMYFUNCTION("""COMPUTED_VALUE"""),"NWSILM")</f>
        <v>NWSILM</v>
      </c>
      <c r="B58" t="str">
        <f>IFERROR(__xludf.DUMMYFUNCTION("""COMPUTED_VALUE"""),"Wilmington")</f>
        <v>Wilmington</v>
      </c>
      <c r="C58" t="str">
        <f>IFERROR(__xludf.DUMMYFUNCTION("""COMPUTED_VALUE"""),"NC")</f>
        <v>NC</v>
      </c>
      <c r="D58" t="str">
        <f>IFERROR(__xludf.DUMMYFUNCTION("""COMPUTED_VALUE"""),"USA")</f>
        <v>USA</v>
      </c>
      <c r="E58" s="188">
        <f>IFERROR(__xludf.DUMMYFUNCTION("""COMPUTED_VALUE"""),43196.0)</f>
        <v>43196</v>
      </c>
      <c r="F58" s="188">
        <f>IFERROR(__xludf.DUMMYFUNCTION("""COMPUTED_VALUE"""),43219.0)</f>
        <v>43219</v>
      </c>
      <c r="H58">
        <f>IFERROR(__xludf.DUMMYFUNCTION("""COMPUTED_VALUE"""),17155.0)</f>
        <v>17155</v>
      </c>
      <c r="J58" s="5">
        <f>IFERROR(__xludf.DUMMYFUNCTION("""COMPUTED_VALUE"""),43239.0)</f>
        <v>43239</v>
      </c>
      <c r="K58">
        <f>IFERROR(__xludf.DUMMYFUNCTION("""COMPUTED_VALUE"""),23.0)</f>
        <v>23</v>
      </c>
      <c r="L58">
        <f>IFERROR(__xludf.DUMMYFUNCTION("""COMPUTED_VALUE"""),20.0)</f>
        <v>20</v>
      </c>
      <c r="M58">
        <f>IFERROR(__xludf.DUMMYFUNCTION("""COMPUTED_VALUE"""),43.0)</f>
        <v>43</v>
      </c>
      <c r="N58" t="str">
        <f>IFERROR(__xludf.DUMMYFUNCTION("""COMPUTED_VALUE"""),"Model 3 LR")</f>
        <v>Model 3 LR</v>
      </c>
      <c r="O58" t="str">
        <f>IFERROR(__xludf.DUMMYFUNCTION("""COMPUTED_VALUE"""),"Deep Blue Metallic")</f>
        <v>Deep Blue Metallic</v>
      </c>
      <c r="P58" t="str">
        <f>IFERROR(__xludf.DUMMYFUNCTION("""COMPUTED_VALUE"""),"18 inch Aero")</f>
        <v>18 inch Aero</v>
      </c>
      <c r="Q58" t="str">
        <f>IFERROR(__xludf.DUMMYFUNCTION("""COMPUTED_VALUE"""),"Black seats")</f>
        <v>Black seats</v>
      </c>
      <c r="R58" t="str">
        <f>IFERROR(__xludf.DUMMYFUNCTION("""COMPUTED_VALUE"""),"None")</f>
        <v>None</v>
      </c>
      <c r="X58" t="str">
        <f>IFERROR(__xludf.DUMMYFUNCTION("""COMPUTED_VALUE"""),"Very Good")</f>
        <v>Very Good</v>
      </c>
      <c r="Y58" t="str">
        <f>IFERROR(__xludf.DUMMYFUNCTION("""COMPUTED_VALUE"""),"Excellent")</f>
        <v>Excellent</v>
      </c>
      <c r="Z58" t="str">
        <f>IFERROR(__xludf.DUMMYFUNCTION("""COMPUTED_VALUE"""),"Very Good")</f>
        <v>Very Good</v>
      </c>
      <c r="AB58" t="str">
        <f>IFERROR(__xludf.DUMMYFUNCTION("""COMPUTED_VALUE"""),"Good")</f>
        <v>Good</v>
      </c>
      <c r="AH58" s="189">
        <f>IFERROR(__xludf.DUMMYFUNCTION("""COMPUTED_VALUE"""),43241.373179120375)</f>
        <v>43241.37318</v>
      </c>
    </row>
    <row r="59">
      <c r="A59" s="190" t="str">
        <f>IFERROR(__xludf.DUMMYFUNCTION("""COMPUTED_VALUE"""),"RaviSundaram.AM")</f>
        <v>RaviSundaram.AM</v>
      </c>
      <c r="B59" t="str">
        <f>IFERROR(__xludf.DUMMYFUNCTION("""COMPUTED_VALUE"""),"Pittsburgh")</f>
        <v>Pittsburgh</v>
      </c>
      <c r="C59" t="str">
        <f>IFERROR(__xludf.DUMMYFUNCTION("""COMPUTED_VALUE"""),"PA")</f>
        <v>PA</v>
      </c>
      <c r="D59" t="str">
        <f>IFERROR(__xludf.DUMMYFUNCTION("""COMPUTED_VALUE"""),"USA")</f>
        <v>USA</v>
      </c>
      <c r="E59" s="188">
        <f>IFERROR(__xludf.DUMMYFUNCTION("""COMPUTED_VALUE"""),43197.0)</f>
        <v>43197</v>
      </c>
      <c r="F59" s="188">
        <f>IFERROR(__xludf.DUMMYFUNCTION("""COMPUTED_VALUE"""),43223.0)</f>
        <v>43223</v>
      </c>
      <c r="H59">
        <f>IFERROR(__xludf.DUMMYFUNCTION("""COMPUTED_VALUE"""),19569.0)</f>
        <v>19569</v>
      </c>
      <c r="J59" s="5">
        <f>IFERROR(__xludf.DUMMYFUNCTION("""COMPUTED_VALUE"""),43239.0)</f>
        <v>43239</v>
      </c>
      <c r="K59">
        <f>IFERROR(__xludf.DUMMYFUNCTION("""COMPUTED_VALUE"""),26.0)</f>
        <v>26</v>
      </c>
      <c r="L59">
        <f>IFERROR(__xludf.DUMMYFUNCTION("""COMPUTED_VALUE"""),16.0)</f>
        <v>16</v>
      </c>
      <c r="M59">
        <f>IFERROR(__xludf.DUMMYFUNCTION("""COMPUTED_VALUE"""),42.0)</f>
        <v>42</v>
      </c>
      <c r="N59" t="str">
        <f>IFERROR(__xludf.DUMMYFUNCTION("""COMPUTED_VALUE"""),"Model 3 LR")</f>
        <v>Model 3 LR</v>
      </c>
      <c r="O59" t="str">
        <f>IFERROR(__xludf.DUMMYFUNCTION("""COMPUTED_VALUE"""),"Deep Blue Metallic")</f>
        <v>Deep Blue Metallic</v>
      </c>
      <c r="P59" t="str">
        <f>IFERROR(__xludf.DUMMYFUNCTION("""COMPUTED_VALUE"""),"18 inch Aero")</f>
        <v>18 inch Aero</v>
      </c>
      <c r="Q59" t="str">
        <f>IFERROR(__xludf.DUMMYFUNCTION("""COMPUTED_VALUE"""),"Black seats")</f>
        <v>Black seats</v>
      </c>
      <c r="R59" t="str">
        <f>IFERROR(__xludf.DUMMYFUNCTION("""COMPUTED_VALUE"""),"None")</f>
        <v>None</v>
      </c>
      <c r="X59" t="str">
        <f>IFERROR(__xludf.DUMMYFUNCTION("""COMPUTED_VALUE"""),"Very Good")</f>
        <v>Very Good</v>
      </c>
      <c r="Y59" t="str">
        <f>IFERROR(__xludf.DUMMYFUNCTION("""COMPUTED_VALUE"""),"Very Good")</f>
        <v>Very Good</v>
      </c>
      <c r="Z59" t="str">
        <f>IFERROR(__xludf.DUMMYFUNCTION("""COMPUTED_VALUE"""),"Excellent")</f>
        <v>Excellent</v>
      </c>
      <c r="AB59" t="str">
        <f>IFERROR(__xludf.DUMMYFUNCTION("""COMPUTED_VALUE"""),"Excellent")</f>
        <v>Excellent</v>
      </c>
      <c r="AG59" t="str">
        <f>IFERROR(__xludf.DUMMYFUNCTION("""COMPUTED_VALUE"""),"Fourth update to spreadsheet.")</f>
        <v>Fourth update to spreadsheet.</v>
      </c>
      <c r="AH59" s="189">
        <f>IFERROR(__xludf.DUMMYFUNCTION("""COMPUTED_VALUE"""),43241.72355957176)</f>
        <v>43241.72356</v>
      </c>
    </row>
    <row r="60">
      <c r="A60" t="str">
        <f>IFERROR(__xludf.DUMMYFUNCTION("""COMPUTED_VALUE"""),"jsanford ")</f>
        <v>jsanford </v>
      </c>
      <c r="B60" t="str">
        <f>IFERROR(__xludf.DUMMYFUNCTION("""COMPUTED_VALUE"""),"Seattle")</f>
        <v>Seattle</v>
      </c>
      <c r="C60" t="str">
        <f>IFERROR(__xludf.DUMMYFUNCTION("""COMPUTED_VALUE"""),"WA")</f>
        <v>WA</v>
      </c>
      <c r="D60" t="str">
        <f>IFERROR(__xludf.DUMMYFUNCTION("""COMPUTED_VALUE"""),"USA")</f>
        <v>USA</v>
      </c>
      <c r="E60" s="188">
        <f>IFERROR(__xludf.DUMMYFUNCTION("""COMPUTED_VALUE"""),43206.0)</f>
        <v>43206</v>
      </c>
      <c r="F60" s="188">
        <f>IFERROR(__xludf.DUMMYFUNCTION("""COMPUTED_VALUE"""),43227.0)</f>
        <v>43227</v>
      </c>
      <c r="H60">
        <f>IFERROR(__xludf.DUMMYFUNCTION("""COMPUTED_VALUE"""),22055.0)</f>
        <v>22055</v>
      </c>
      <c r="J60" s="5">
        <f>IFERROR(__xludf.DUMMYFUNCTION("""COMPUTED_VALUE"""),43241.0)</f>
        <v>43241</v>
      </c>
      <c r="K60">
        <f>IFERROR(__xludf.DUMMYFUNCTION("""COMPUTED_VALUE"""),21.0)</f>
        <v>21</v>
      </c>
      <c r="L60">
        <f>IFERROR(__xludf.DUMMYFUNCTION("""COMPUTED_VALUE"""),14.0)</f>
        <v>14</v>
      </c>
      <c r="M60">
        <f>IFERROR(__xludf.DUMMYFUNCTION("""COMPUTED_VALUE"""),35.0)</f>
        <v>35</v>
      </c>
      <c r="N60" t="str">
        <f>IFERROR(__xludf.DUMMYFUNCTION("""COMPUTED_VALUE"""),"Model 3 LR")</f>
        <v>Model 3 LR</v>
      </c>
      <c r="O60" t="str">
        <f>IFERROR(__xludf.DUMMYFUNCTION("""COMPUTED_VALUE"""),"Red Multi-Coat")</f>
        <v>Red Multi-Coat</v>
      </c>
      <c r="P60" t="str">
        <f>IFERROR(__xludf.DUMMYFUNCTION("""COMPUTED_VALUE"""),"18 inch Aero")</f>
        <v>18 inch Aero</v>
      </c>
      <c r="Q60" t="str">
        <f>IFERROR(__xludf.DUMMYFUNCTION("""COMPUTED_VALUE"""),"Black seats")</f>
        <v>Black seats</v>
      </c>
      <c r="R60" t="str">
        <f>IFERROR(__xludf.DUMMYFUNCTION("""COMPUTED_VALUE"""),"None")</f>
        <v>None</v>
      </c>
      <c r="X60" t="str">
        <f>IFERROR(__xludf.DUMMYFUNCTION("""COMPUTED_VALUE"""),"Excellent")</f>
        <v>Excellent</v>
      </c>
      <c r="Y60" t="str">
        <f>IFERROR(__xludf.DUMMYFUNCTION("""COMPUTED_VALUE"""),"Excellent")</f>
        <v>Excellent</v>
      </c>
      <c r="Z60" t="str">
        <f>IFERROR(__xludf.DUMMYFUNCTION("""COMPUTED_VALUE"""),"Excellent")</f>
        <v>Excellent</v>
      </c>
      <c r="AB60" t="str">
        <f>IFERROR(__xludf.DUMMYFUNCTION("""COMPUTED_VALUE"""),"Excellent")</f>
        <v>Excellent</v>
      </c>
      <c r="AG60" t="str">
        <f>IFERROR(__xludf.DUMMYFUNCTION("""COMPUTED_VALUE"""),"Orig. SR but wanted WA tax credit ")</f>
        <v>Orig. SR but wanted WA tax credit </v>
      </c>
      <c r="AH60" s="189">
        <f>IFERROR(__xludf.DUMMYFUNCTION("""COMPUTED_VALUE"""),43242.28086924768)</f>
        <v>43242.28087</v>
      </c>
    </row>
    <row r="61">
      <c r="A61" t="str">
        <f>IFERROR(__xludf.DUMMYFUNCTION("""COMPUTED_VALUE"""),"Fidget")</f>
        <v>Fidget</v>
      </c>
      <c r="C61" t="str">
        <f>IFERROR(__xludf.DUMMYFUNCTION("""COMPUTED_VALUE"""),"DE")</f>
        <v>DE</v>
      </c>
      <c r="D61" t="str">
        <f>IFERROR(__xludf.DUMMYFUNCTION("""COMPUTED_VALUE"""),"USA")</f>
        <v>USA</v>
      </c>
      <c r="E61" s="188">
        <f>IFERROR(__xludf.DUMMYFUNCTION("""COMPUTED_VALUE"""),43181.0)</f>
        <v>43181</v>
      </c>
      <c r="H61">
        <f>IFERROR(__xludf.DUMMYFUNCTION("""COMPUTED_VALUE"""),14455.0)</f>
        <v>14455</v>
      </c>
      <c r="J61" s="5">
        <f>IFERROR(__xludf.DUMMYFUNCTION("""COMPUTED_VALUE"""),43238.0)</f>
        <v>43238</v>
      </c>
      <c r="M61">
        <f>IFERROR(__xludf.DUMMYFUNCTION("""COMPUTED_VALUE"""),57.0)</f>
        <v>57</v>
      </c>
      <c r="N61" t="str">
        <f>IFERROR(__xludf.DUMMYFUNCTION("""COMPUTED_VALUE"""),"Model 3 LR")</f>
        <v>Model 3 LR</v>
      </c>
      <c r="O61" t="str">
        <f>IFERROR(__xludf.DUMMYFUNCTION("""COMPUTED_VALUE"""),"Red Multi-Coat")</f>
        <v>Red Multi-Coat</v>
      </c>
      <c r="P61" t="str">
        <f>IFERROR(__xludf.DUMMYFUNCTION("""COMPUTED_VALUE"""),"18 inch Aero")</f>
        <v>18 inch Aero</v>
      </c>
      <c r="Q61" t="str">
        <f>IFERROR(__xludf.DUMMYFUNCTION("""COMPUTED_VALUE"""),"Black seats")</f>
        <v>Black seats</v>
      </c>
      <c r="R61" t="str">
        <f>IFERROR(__xludf.DUMMYFUNCTION("""COMPUTED_VALUE"""),"Enhanced Autopilot")</f>
        <v>Enhanced Autopilot</v>
      </c>
      <c r="X61" t="str">
        <f>IFERROR(__xludf.DUMMYFUNCTION("""COMPUTED_VALUE"""),"Very Good")</f>
        <v>Very Good</v>
      </c>
      <c r="Y61" t="str">
        <f>IFERROR(__xludf.DUMMYFUNCTION("""COMPUTED_VALUE"""),"Very Good")</f>
        <v>Very Good</v>
      </c>
      <c r="Z61" t="str">
        <f>IFERROR(__xludf.DUMMYFUNCTION("""COMPUTED_VALUE"""),"Very Good")</f>
        <v>Very Good</v>
      </c>
      <c r="AB61" t="str">
        <f>IFERROR(__xludf.DUMMYFUNCTION("""COMPUTED_VALUE"""),"Very Good")</f>
        <v>Very Good</v>
      </c>
      <c r="AH61" s="189">
        <f>IFERROR(__xludf.DUMMYFUNCTION("""COMPUTED_VALUE"""),43242.50549216435)</f>
        <v>43242.50549</v>
      </c>
    </row>
    <row r="62">
      <c r="A62" t="str">
        <f>IFERROR(__xludf.DUMMYFUNCTION("""COMPUTED_VALUE"""),"baulp")</f>
        <v>baulp</v>
      </c>
      <c r="B62" t="str">
        <f>IFERROR(__xludf.DUMMYFUNCTION("""COMPUTED_VALUE"""),"Los Angeles")</f>
        <v>Los Angeles</v>
      </c>
      <c r="C62" t="str">
        <f>IFERROR(__xludf.DUMMYFUNCTION("""COMPUTED_VALUE"""),"CA")</f>
        <v>CA</v>
      </c>
      <c r="D62" t="str">
        <f>IFERROR(__xludf.DUMMYFUNCTION("""COMPUTED_VALUE"""),"USA")</f>
        <v>USA</v>
      </c>
      <c r="E62" s="188">
        <f>IFERROR(__xludf.DUMMYFUNCTION("""COMPUTED_VALUE"""),43196.0)</f>
        <v>43196</v>
      </c>
      <c r="F62" s="188">
        <f>IFERROR(__xludf.DUMMYFUNCTION("""COMPUTED_VALUE"""),43228.0)</f>
        <v>43228</v>
      </c>
      <c r="H62">
        <f>IFERROR(__xludf.DUMMYFUNCTION("""COMPUTED_VALUE"""),21655.0)</f>
        <v>21655</v>
      </c>
      <c r="J62" s="5">
        <f>IFERROR(__xludf.DUMMYFUNCTION("""COMPUTED_VALUE"""),43239.0)</f>
        <v>43239</v>
      </c>
      <c r="K62">
        <f>IFERROR(__xludf.DUMMYFUNCTION("""COMPUTED_VALUE"""),32.0)</f>
        <v>32</v>
      </c>
      <c r="L62">
        <f>IFERROR(__xludf.DUMMYFUNCTION("""COMPUTED_VALUE"""),11.0)</f>
        <v>11</v>
      </c>
      <c r="M62">
        <f>IFERROR(__xludf.DUMMYFUNCTION("""COMPUTED_VALUE"""),43.0)</f>
        <v>43</v>
      </c>
      <c r="N62" t="str">
        <f>IFERROR(__xludf.DUMMYFUNCTION("""COMPUTED_VALUE"""),"Model 3 LR")</f>
        <v>Model 3 LR</v>
      </c>
      <c r="O62" t="str">
        <f>IFERROR(__xludf.DUMMYFUNCTION("""COMPUTED_VALUE"""),"Midnight Silver Metallic")</f>
        <v>Midnight Silver Metallic</v>
      </c>
      <c r="P62" t="str">
        <f>IFERROR(__xludf.DUMMYFUNCTION("""COMPUTED_VALUE"""),"18 inch Aero")</f>
        <v>18 inch Aero</v>
      </c>
      <c r="Q62" t="str">
        <f>IFERROR(__xludf.DUMMYFUNCTION("""COMPUTED_VALUE"""),"Black seats")</f>
        <v>Black seats</v>
      </c>
      <c r="R62" t="str">
        <f>IFERROR(__xludf.DUMMYFUNCTION("""COMPUTED_VALUE"""),"Enhanced Autopilot")</f>
        <v>Enhanced Autopilot</v>
      </c>
      <c r="X62" t="str">
        <f>IFERROR(__xludf.DUMMYFUNCTION("""COMPUTED_VALUE"""),"Very Good")</f>
        <v>Very Good</v>
      </c>
      <c r="Y62" t="str">
        <f>IFERROR(__xludf.DUMMYFUNCTION("""COMPUTED_VALUE"""),"Excellent")</f>
        <v>Excellent</v>
      </c>
      <c r="Z62" t="str">
        <f>IFERROR(__xludf.DUMMYFUNCTION("""COMPUTED_VALUE"""),"Excellent")</f>
        <v>Excellent</v>
      </c>
      <c r="AB62" t="str">
        <f>IFERROR(__xludf.DUMMYFUNCTION("""COMPUTED_VALUE"""),"Excellent")</f>
        <v>Excellent</v>
      </c>
      <c r="AH62" s="189">
        <f>IFERROR(__xludf.DUMMYFUNCTION("""COMPUTED_VALUE"""),43242.61411247685)</f>
        <v>43242.61411</v>
      </c>
    </row>
    <row r="63">
      <c r="A63" t="str">
        <f>IFERROR(__xludf.DUMMYFUNCTION("""COMPUTED_VALUE"""),"chicagogal")</f>
        <v>chicagogal</v>
      </c>
      <c r="B63" t="str">
        <f>IFERROR(__xludf.DUMMYFUNCTION("""COMPUTED_VALUE"""),"Chicago")</f>
        <v>Chicago</v>
      </c>
      <c r="C63" t="str">
        <f>IFERROR(__xludf.DUMMYFUNCTION("""COMPUTED_VALUE"""),"IL")</f>
        <v>IL</v>
      </c>
      <c r="D63" t="str">
        <f>IFERROR(__xludf.DUMMYFUNCTION("""COMPUTED_VALUE"""),"USA")</f>
        <v>USA</v>
      </c>
      <c r="E63" s="188">
        <f>IFERROR(__xludf.DUMMYFUNCTION("""COMPUTED_VALUE"""),43196.0)</f>
        <v>43196</v>
      </c>
      <c r="F63" s="188">
        <f>IFERROR(__xludf.DUMMYFUNCTION("""COMPUTED_VALUE"""),43220.0)</f>
        <v>43220</v>
      </c>
      <c r="H63">
        <f>IFERROR(__xludf.DUMMYFUNCTION("""COMPUTED_VALUE"""),19655.0)</f>
        <v>19655</v>
      </c>
      <c r="J63" s="5">
        <f>IFERROR(__xludf.DUMMYFUNCTION("""COMPUTED_VALUE"""),43241.0)</f>
        <v>43241</v>
      </c>
      <c r="K63">
        <f>IFERROR(__xludf.DUMMYFUNCTION("""COMPUTED_VALUE"""),24.0)</f>
        <v>24</v>
      </c>
      <c r="L63">
        <f>IFERROR(__xludf.DUMMYFUNCTION("""COMPUTED_VALUE"""),21.0)</f>
        <v>21</v>
      </c>
      <c r="M63">
        <f>IFERROR(__xludf.DUMMYFUNCTION("""COMPUTED_VALUE"""),45.0)</f>
        <v>45</v>
      </c>
      <c r="N63" t="str">
        <f>IFERROR(__xludf.DUMMYFUNCTION("""COMPUTED_VALUE"""),"Model 3 LR")</f>
        <v>Model 3 LR</v>
      </c>
      <c r="O63" t="str">
        <f>IFERROR(__xludf.DUMMYFUNCTION("""COMPUTED_VALUE"""),"Pearl White Multi-Coat")</f>
        <v>Pearl White Multi-Coat</v>
      </c>
      <c r="P63" t="str">
        <f>IFERROR(__xludf.DUMMYFUNCTION("""COMPUTED_VALUE"""),"18 inch Aero")</f>
        <v>18 inch Aero</v>
      </c>
      <c r="Q63" t="str">
        <f>IFERROR(__xludf.DUMMYFUNCTION("""COMPUTED_VALUE"""),"Black seats")</f>
        <v>Black seats</v>
      </c>
      <c r="R63" t="str">
        <f>IFERROR(__xludf.DUMMYFUNCTION("""COMPUTED_VALUE"""),"Enhanced Autopilot")</f>
        <v>Enhanced Autopilot</v>
      </c>
      <c r="X63" t="str">
        <f>IFERROR(__xludf.DUMMYFUNCTION("""COMPUTED_VALUE"""),"Good")</f>
        <v>Good</v>
      </c>
      <c r="Y63" t="str">
        <f>IFERROR(__xludf.DUMMYFUNCTION("""COMPUTED_VALUE"""),"Excellent")</f>
        <v>Excellent</v>
      </c>
      <c r="Z63" t="str">
        <f>IFERROR(__xludf.DUMMYFUNCTION("""COMPUTED_VALUE"""),"Excellent")</f>
        <v>Excellent</v>
      </c>
      <c r="AB63" t="str">
        <f>IFERROR(__xludf.DUMMYFUNCTION("""COMPUTED_VALUE"""),"Excellent")</f>
        <v>Excellent</v>
      </c>
      <c r="AH63" s="189">
        <f>IFERROR(__xludf.DUMMYFUNCTION("""COMPUTED_VALUE"""),43242.815933715276)</f>
        <v>43242.81593</v>
      </c>
    </row>
    <row r="64">
      <c r="A64" t="str">
        <f>IFERROR(__xludf.DUMMYFUNCTION("""COMPUTED_VALUE"""),"karlmitchell")</f>
        <v>karlmitchell</v>
      </c>
      <c r="B64" t="str">
        <f>IFERROR(__xludf.DUMMYFUNCTION("""COMPUTED_VALUE"""),"Los Angeles")</f>
        <v>Los Angeles</v>
      </c>
      <c r="C64" t="str">
        <f>IFERROR(__xludf.DUMMYFUNCTION("""COMPUTED_VALUE"""),"CA")</f>
        <v>CA</v>
      </c>
      <c r="D64" t="str">
        <f>IFERROR(__xludf.DUMMYFUNCTION("""COMPUTED_VALUE"""),"USA")</f>
        <v>USA</v>
      </c>
      <c r="E64" s="188">
        <f>IFERROR(__xludf.DUMMYFUNCTION("""COMPUTED_VALUE"""),43208.0)</f>
        <v>43208</v>
      </c>
      <c r="F64" s="188">
        <f>IFERROR(__xludf.DUMMYFUNCTION("""COMPUTED_VALUE"""),43234.0)</f>
        <v>43234</v>
      </c>
      <c r="H64">
        <f>IFERROR(__xludf.DUMMYFUNCTION("""COMPUTED_VALUE"""),22155.0)</f>
        <v>22155</v>
      </c>
      <c r="J64" s="5">
        <f>IFERROR(__xludf.DUMMYFUNCTION("""COMPUTED_VALUE"""),43242.0)</f>
        <v>43242</v>
      </c>
      <c r="K64">
        <f>IFERROR(__xludf.DUMMYFUNCTION("""COMPUTED_VALUE"""),26.0)</f>
        <v>26</v>
      </c>
      <c r="L64">
        <f>IFERROR(__xludf.DUMMYFUNCTION("""COMPUTED_VALUE"""),8.0)</f>
        <v>8</v>
      </c>
      <c r="M64">
        <f>IFERROR(__xludf.DUMMYFUNCTION("""COMPUTED_VALUE"""),34.0)</f>
        <v>34</v>
      </c>
      <c r="N64" t="str">
        <f>IFERROR(__xludf.DUMMYFUNCTION("""COMPUTED_VALUE"""),"Model 3 LR")</f>
        <v>Model 3 LR</v>
      </c>
      <c r="O64" t="str">
        <f>IFERROR(__xludf.DUMMYFUNCTION("""COMPUTED_VALUE"""),"Red Multi-Coat")</f>
        <v>Red Multi-Coat</v>
      </c>
      <c r="P64" t="str">
        <f>IFERROR(__xludf.DUMMYFUNCTION("""COMPUTED_VALUE"""),"18 inch Aero")</f>
        <v>18 inch Aero</v>
      </c>
      <c r="Q64" t="str">
        <f>IFERROR(__xludf.DUMMYFUNCTION("""COMPUTED_VALUE"""),"Black seats")</f>
        <v>Black seats</v>
      </c>
      <c r="R64" t="str">
        <f>IFERROR(__xludf.DUMMYFUNCTION("""COMPUTED_VALUE"""),"Full Self-Driving")</f>
        <v>Full Self-Driving</v>
      </c>
      <c r="X64" t="str">
        <f>IFERROR(__xludf.DUMMYFUNCTION("""COMPUTED_VALUE"""),"Excellent")</f>
        <v>Excellent</v>
      </c>
      <c r="Y64" t="str">
        <f>IFERROR(__xludf.DUMMYFUNCTION("""COMPUTED_VALUE"""),"Excellent")</f>
        <v>Excellent</v>
      </c>
      <c r="Z64" t="str">
        <f>IFERROR(__xludf.DUMMYFUNCTION("""COMPUTED_VALUE"""),"Excellent")</f>
        <v>Excellent</v>
      </c>
      <c r="AB64" t="str">
        <f>IFERROR(__xludf.DUMMYFUNCTION("""COMPUTED_VALUE"""),"Excellent")</f>
        <v>Excellent</v>
      </c>
      <c r="AH64" s="189">
        <f>IFERROR(__xludf.DUMMYFUNCTION("""COMPUTED_VALUE"""),43243.37358175926)</f>
        <v>43243.37358</v>
      </c>
    </row>
    <row r="65">
      <c r="A65" t="str">
        <f>IFERROR(__xludf.DUMMYFUNCTION("""COMPUTED_VALUE"""),"RaceBrick ")</f>
        <v>RaceBrick </v>
      </c>
      <c r="B65" t="str">
        <f>IFERROR(__xludf.DUMMYFUNCTION("""COMPUTED_VALUE"""),"Spokane")</f>
        <v>Spokane</v>
      </c>
      <c r="C65" t="str">
        <f>IFERROR(__xludf.DUMMYFUNCTION("""COMPUTED_VALUE"""),"WA")</f>
        <v>WA</v>
      </c>
      <c r="D65" t="str">
        <f>IFERROR(__xludf.DUMMYFUNCTION("""COMPUTED_VALUE"""),"USA")</f>
        <v>USA</v>
      </c>
      <c r="E65" s="188">
        <f>IFERROR(__xludf.DUMMYFUNCTION("""COMPUTED_VALUE"""),43205.0)</f>
        <v>43205</v>
      </c>
      <c r="F65" s="188">
        <f>IFERROR(__xludf.DUMMYFUNCTION("""COMPUTED_VALUE"""),43221.0)</f>
        <v>43221</v>
      </c>
      <c r="H65">
        <f>IFERROR(__xludf.DUMMYFUNCTION("""COMPUTED_VALUE"""),18555.0)</f>
        <v>18555</v>
      </c>
      <c r="J65" s="5">
        <f>IFERROR(__xludf.DUMMYFUNCTION("""COMPUTED_VALUE"""),43242.0)</f>
        <v>43242</v>
      </c>
      <c r="K65">
        <f>IFERROR(__xludf.DUMMYFUNCTION("""COMPUTED_VALUE"""),16.0)</f>
        <v>16</v>
      </c>
      <c r="L65">
        <f>IFERROR(__xludf.DUMMYFUNCTION("""COMPUTED_VALUE"""),21.0)</f>
        <v>21</v>
      </c>
      <c r="M65">
        <f>IFERROR(__xludf.DUMMYFUNCTION("""COMPUTED_VALUE"""),37.0)</f>
        <v>37</v>
      </c>
      <c r="N65" t="str">
        <f>IFERROR(__xludf.DUMMYFUNCTION("""COMPUTED_VALUE"""),"Model 3 LR")</f>
        <v>Model 3 LR</v>
      </c>
      <c r="O65" t="str">
        <f>IFERROR(__xludf.DUMMYFUNCTION("""COMPUTED_VALUE"""),"Solid Black")</f>
        <v>Solid Black</v>
      </c>
      <c r="P65" t="str">
        <f>IFERROR(__xludf.DUMMYFUNCTION("""COMPUTED_VALUE"""),"18 inch Aero")</f>
        <v>18 inch Aero</v>
      </c>
      <c r="Q65" t="str">
        <f>IFERROR(__xludf.DUMMYFUNCTION("""COMPUTED_VALUE"""),"Black seats")</f>
        <v>Black seats</v>
      </c>
      <c r="R65" t="str">
        <f>IFERROR(__xludf.DUMMYFUNCTION("""COMPUTED_VALUE"""),"None")</f>
        <v>None</v>
      </c>
      <c r="X65" t="str">
        <f>IFERROR(__xludf.DUMMYFUNCTION("""COMPUTED_VALUE"""),"Good")</f>
        <v>Good</v>
      </c>
      <c r="Y65" t="str">
        <f>IFERROR(__xludf.DUMMYFUNCTION("""COMPUTED_VALUE"""),"Good")</f>
        <v>Good</v>
      </c>
      <c r="Z65" t="str">
        <f>IFERROR(__xludf.DUMMYFUNCTION("""COMPUTED_VALUE"""),"Good")</f>
        <v>Good</v>
      </c>
      <c r="AB65" t="str">
        <f>IFERROR(__xludf.DUMMYFUNCTION("""COMPUTED_VALUE"""),"Fair")</f>
        <v>Fair</v>
      </c>
      <c r="AG65" t="str">
        <f>IFERROR(__xludf.DUMMYFUNCTION("""COMPUTED_VALUE"""),"Poor communication from Tesla reps. Driver left a dirty handprint on the inside of the B-Pillar")</f>
        <v>Poor communication from Tesla reps. Driver left a dirty handprint on the inside of the B-Pillar</v>
      </c>
      <c r="AH65" s="189">
        <f>IFERROR(__xludf.DUMMYFUNCTION("""COMPUTED_VALUE"""),43243.39036225695)</f>
        <v>43243.39036</v>
      </c>
    </row>
    <row r="66">
      <c r="A66" t="str">
        <f>IFERROR(__xludf.DUMMYFUNCTION("""COMPUTED_VALUE"""),"jefferoniandcheese")</f>
        <v>jefferoniandcheese</v>
      </c>
      <c r="B66" t="str">
        <f>IFERROR(__xludf.DUMMYFUNCTION("""COMPUTED_VALUE"""),"San Francisco")</f>
        <v>San Francisco</v>
      </c>
      <c r="C66" t="str">
        <f>IFERROR(__xludf.DUMMYFUNCTION("""COMPUTED_VALUE"""),"CA")</f>
        <v>CA</v>
      </c>
      <c r="D66" t="str">
        <f>IFERROR(__xludf.DUMMYFUNCTION("""COMPUTED_VALUE"""),"USA")</f>
        <v>USA</v>
      </c>
      <c r="E66" s="188">
        <f>IFERROR(__xludf.DUMMYFUNCTION("""COMPUTED_VALUE"""),43201.0)</f>
        <v>43201</v>
      </c>
      <c r="F66" s="188">
        <f>IFERROR(__xludf.DUMMYFUNCTION("""COMPUTED_VALUE"""),43233.0)</f>
        <v>43233</v>
      </c>
      <c r="H66">
        <f>IFERROR(__xludf.DUMMYFUNCTION("""COMPUTED_VALUE"""),22855.0)</f>
        <v>22855</v>
      </c>
      <c r="J66" s="5">
        <f>IFERROR(__xludf.DUMMYFUNCTION("""COMPUTED_VALUE"""),43240.0)</f>
        <v>43240</v>
      </c>
      <c r="K66">
        <f>IFERROR(__xludf.DUMMYFUNCTION("""COMPUTED_VALUE"""),32.0)</f>
        <v>32</v>
      </c>
      <c r="L66">
        <f>IFERROR(__xludf.DUMMYFUNCTION("""COMPUTED_VALUE"""),7.0)</f>
        <v>7</v>
      </c>
      <c r="M66">
        <f>IFERROR(__xludf.DUMMYFUNCTION("""COMPUTED_VALUE"""),39.0)</f>
        <v>39</v>
      </c>
      <c r="N66" t="str">
        <f>IFERROR(__xludf.DUMMYFUNCTION("""COMPUTED_VALUE"""),"Model 3 LR")</f>
        <v>Model 3 LR</v>
      </c>
      <c r="O66" t="str">
        <f>IFERROR(__xludf.DUMMYFUNCTION("""COMPUTED_VALUE"""),"Deep Blue Metallic")</f>
        <v>Deep Blue Metallic</v>
      </c>
      <c r="P66" t="str">
        <f>IFERROR(__xludf.DUMMYFUNCTION("""COMPUTED_VALUE"""),"18 inch Aero")</f>
        <v>18 inch Aero</v>
      </c>
      <c r="Q66" t="str">
        <f>IFERROR(__xludf.DUMMYFUNCTION("""COMPUTED_VALUE"""),"Black seats")</f>
        <v>Black seats</v>
      </c>
      <c r="R66" t="str">
        <f>IFERROR(__xludf.DUMMYFUNCTION("""COMPUTED_VALUE"""),"Enhanced Autopilot")</f>
        <v>Enhanced Autopilot</v>
      </c>
      <c r="X66" t="str">
        <f>IFERROR(__xludf.DUMMYFUNCTION("""COMPUTED_VALUE"""),"Excellent")</f>
        <v>Excellent</v>
      </c>
      <c r="Y66" t="str">
        <f>IFERROR(__xludf.DUMMYFUNCTION("""COMPUTED_VALUE"""),"Excellent")</f>
        <v>Excellent</v>
      </c>
      <c r="Z66" t="str">
        <f>IFERROR(__xludf.DUMMYFUNCTION("""COMPUTED_VALUE"""),"Excellent")</f>
        <v>Excellent</v>
      </c>
      <c r="AB66" t="str">
        <f>IFERROR(__xludf.DUMMYFUNCTION("""COMPUTED_VALUE"""),"Excellent")</f>
        <v>Excellent</v>
      </c>
      <c r="AH66" s="189">
        <f>IFERROR(__xludf.DUMMYFUNCTION("""COMPUTED_VALUE"""),43243.42973116898)</f>
        <v>43243.42973</v>
      </c>
    </row>
    <row r="67">
      <c r="A67" t="str">
        <f>IFERROR(__xludf.DUMMYFUNCTION("""COMPUTED_VALUE"""),"bmrobinson")</f>
        <v>bmrobinson</v>
      </c>
      <c r="B67" t="str">
        <f>IFERROR(__xludf.DUMMYFUNCTION("""COMPUTED_VALUE"""),"Cleveland")</f>
        <v>Cleveland</v>
      </c>
      <c r="C67" t="str">
        <f>IFERROR(__xludf.DUMMYFUNCTION("""COMPUTED_VALUE"""),"OH")</f>
        <v>OH</v>
      </c>
      <c r="D67" t="str">
        <f>IFERROR(__xludf.DUMMYFUNCTION("""COMPUTED_VALUE"""),"USA")</f>
        <v>USA</v>
      </c>
      <c r="E67" s="188">
        <f>IFERROR(__xludf.DUMMYFUNCTION("""COMPUTED_VALUE"""),43197.0)</f>
        <v>43197</v>
      </c>
      <c r="F67" s="188">
        <f>IFERROR(__xludf.DUMMYFUNCTION("""COMPUTED_VALUE"""),43223.0)</f>
        <v>43223</v>
      </c>
      <c r="H67">
        <f>IFERROR(__xludf.DUMMYFUNCTION("""COMPUTED_VALUE"""),22755.0)</f>
        <v>22755</v>
      </c>
      <c r="J67" s="5">
        <f>IFERROR(__xludf.DUMMYFUNCTION("""COMPUTED_VALUE"""),43243.0)</f>
        <v>43243</v>
      </c>
      <c r="K67">
        <f>IFERROR(__xludf.DUMMYFUNCTION("""COMPUTED_VALUE"""),26.0)</f>
        <v>26</v>
      </c>
      <c r="L67">
        <f>IFERROR(__xludf.DUMMYFUNCTION("""COMPUTED_VALUE"""),20.0)</f>
        <v>20</v>
      </c>
      <c r="M67">
        <f>IFERROR(__xludf.DUMMYFUNCTION("""COMPUTED_VALUE"""),46.0)</f>
        <v>46</v>
      </c>
      <c r="N67" t="str">
        <f>IFERROR(__xludf.DUMMYFUNCTION("""COMPUTED_VALUE"""),"Model 3 LR")</f>
        <v>Model 3 LR</v>
      </c>
      <c r="O67" t="str">
        <f>IFERROR(__xludf.DUMMYFUNCTION("""COMPUTED_VALUE"""),"Deep Blue Metallic")</f>
        <v>Deep Blue Metallic</v>
      </c>
      <c r="P67" t="str">
        <f>IFERROR(__xludf.DUMMYFUNCTION("""COMPUTED_VALUE"""),"18 inch Aero")</f>
        <v>18 inch Aero</v>
      </c>
      <c r="Q67" t="str">
        <f>IFERROR(__xludf.DUMMYFUNCTION("""COMPUTED_VALUE"""),"Black seats")</f>
        <v>Black seats</v>
      </c>
      <c r="R67" t="str">
        <f>IFERROR(__xludf.DUMMYFUNCTION("""COMPUTED_VALUE"""),"None")</f>
        <v>None</v>
      </c>
      <c r="X67" t="str">
        <f>IFERROR(__xludf.DUMMYFUNCTION("""COMPUTED_VALUE"""),"Excellent")</f>
        <v>Excellent</v>
      </c>
      <c r="Y67" t="str">
        <f>IFERROR(__xludf.DUMMYFUNCTION("""COMPUTED_VALUE"""),"Excellent")</f>
        <v>Excellent</v>
      </c>
      <c r="Z67" t="str">
        <f>IFERROR(__xludf.DUMMYFUNCTION("""COMPUTED_VALUE"""),"Good")</f>
        <v>Good</v>
      </c>
      <c r="AB67" t="str">
        <f>IFERROR(__xludf.DUMMYFUNCTION("""COMPUTED_VALUE"""),"Excellent")</f>
        <v>Excellent</v>
      </c>
      <c r="AG67" t="str">
        <f>IFERROR(__xludf.DUMMYFUNCTION("""COMPUTED_VALUE"""),"Changed config from black to blue on 4/26")</f>
        <v>Changed config from black to blue on 4/26</v>
      </c>
      <c r="AH67" s="189">
        <f>IFERROR(__xludf.DUMMYFUNCTION("""COMPUTED_VALUE"""),43243.431770462965)</f>
        <v>43243.43177</v>
      </c>
    </row>
    <row r="68">
      <c r="A68" t="str">
        <f>IFERROR(__xludf.DUMMYFUNCTION("""COMPUTED_VALUE"""),"Radio Rex")</f>
        <v>Radio Rex</v>
      </c>
      <c r="B68" t="str">
        <f>IFERROR(__xludf.DUMMYFUNCTION("""COMPUTED_VALUE"""),"West Palm Beach")</f>
        <v>West Palm Beach</v>
      </c>
      <c r="C68" t="str">
        <f>IFERROR(__xludf.DUMMYFUNCTION("""COMPUTED_VALUE"""),"FL")</f>
        <v>FL</v>
      </c>
      <c r="D68" t="str">
        <f>IFERROR(__xludf.DUMMYFUNCTION("""COMPUTED_VALUE"""),"USA")</f>
        <v>USA</v>
      </c>
      <c r="E68" s="188">
        <f>IFERROR(__xludf.DUMMYFUNCTION("""COMPUTED_VALUE"""),43196.0)</f>
        <v>43196</v>
      </c>
      <c r="F68" s="188">
        <f>IFERROR(__xludf.DUMMYFUNCTION("""COMPUTED_VALUE"""),43220.0)</f>
        <v>43220</v>
      </c>
      <c r="H68">
        <f>IFERROR(__xludf.DUMMYFUNCTION("""COMPUTED_VALUE"""),19355.0)</f>
        <v>19355</v>
      </c>
      <c r="J68" s="5">
        <f>IFERROR(__xludf.DUMMYFUNCTION("""COMPUTED_VALUE"""),43243.0)</f>
        <v>43243</v>
      </c>
      <c r="K68">
        <f>IFERROR(__xludf.DUMMYFUNCTION("""COMPUTED_VALUE"""),24.0)</f>
        <v>24</v>
      </c>
      <c r="L68">
        <f>IFERROR(__xludf.DUMMYFUNCTION("""COMPUTED_VALUE"""),23.0)</f>
        <v>23</v>
      </c>
      <c r="M68">
        <f>IFERROR(__xludf.DUMMYFUNCTION("""COMPUTED_VALUE"""),47.0)</f>
        <v>47</v>
      </c>
      <c r="N68" t="str">
        <f>IFERROR(__xludf.DUMMYFUNCTION("""COMPUTED_VALUE"""),"Model 3 LR")</f>
        <v>Model 3 LR</v>
      </c>
      <c r="O68" t="str">
        <f>IFERROR(__xludf.DUMMYFUNCTION("""COMPUTED_VALUE"""),"Deep Blue Metallic")</f>
        <v>Deep Blue Metallic</v>
      </c>
      <c r="P68" t="str">
        <f>IFERROR(__xludf.DUMMYFUNCTION("""COMPUTED_VALUE"""),"18 inch Aero")</f>
        <v>18 inch Aero</v>
      </c>
      <c r="Q68" t="str">
        <f>IFERROR(__xludf.DUMMYFUNCTION("""COMPUTED_VALUE"""),"Black seats")</f>
        <v>Black seats</v>
      </c>
      <c r="R68" t="str">
        <f>IFERROR(__xludf.DUMMYFUNCTION("""COMPUTED_VALUE"""),"Enhanced Autopilot")</f>
        <v>Enhanced Autopilot</v>
      </c>
      <c r="X68" t="str">
        <f>IFERROR(__xludf.DUMMYFUNCTION("""COMPUTED_VALUE"""),"Very Good")</f>
        <v>Very Good</v>
      </c>
      <c r="Y68" t="str">
        <f>IFERROR(__xludf.DUMMYFUNCTION("""COMPUTED_VALUE"""),"Excellent")</f>
        <v>Excellent</v>
      </c>
      <c r="Z68" t="str">
        <f>IFERROR(__xludf.DUMMYFUNCTION("""COMPUTED_VALUE"""),"Very Good")</f>
        <v>Very Good</v>
      </c>
      <c r="AB68" t="str">
        <f>IFERROR(__xludf.DUMMYFUNCTION("""COMPUTED_VALUE"""),"Excellent")</f>
        <v>Excellent</v>
      </c>
      <c r="AH68" s="189">
        <f>IFERROR(__xludf.DUMMYFUNCTION("""COMPUTED_VALUE"""),43243.578852962964)</f>
        <v>43243.57885</v>
      </c>
    </row>
    <row r="69">
      <c r="A69" t="str">
        <f>IFERROR(__xludf.DUMMYFUNCTION("""COMPUTED_VALUE"""),"joannamarkleolime")</f>
        <v>joannamarkleolime</v>
      </c>
      <c r="B69" t="str">
        <f>IFERROR(__xludf.DUMMYFUNCTION("""COMPUTED_VALUE"""),"san francisco")</f>
        <v>san francisco</v>
      </c>
      <c r="D69" t="str">
        <f>IFERROR(__xludf.DUMMYFUNCTION("""COMPUTED_VALUE"""),"USA")</f>
        <v>USA</v>
      </c>
      <c r="E69" s="188">
        <f>IFERROR(__xludf.DUMMYFUNCTION("""COMPUTED_VALUE"""),43204.0)</f>
        <v>43204</v>
      </c>
      <c r="F69" s="188">
        <f>IFERROR(__xludf.DUMMYFUNCTION("""COMPUTED_VALUE"""),43234.0)</f>
        <v>43234</v>
      </c>
      <c r="H69">
        <f>IFERROR(__xludf.DUMMYFUNCTION("""COMPUTED_VALUE"""),21355.0)</f>
        <v>21355</v>
      </c>
      <c r="J69" s="5">
        <f>IFERROR(__xludf.DUMMYFUNCTION("""COMPUTED_VALUE"""),43237.0)</f>
        <v>43237</v>
      </c>
      <c r="K69">
        <f>IFERROR(__xludf.DUMMYFUNCTION("""COMPUTED_VALUE"""),30.0)</f>
        <v>30</v>
      </c>
      <c r="L69">
        <f>IFERROR(__xludf.DUMMYFUNCTION("""COMPUTED_VALUE"""),3.0)</f>
        <v>3</v>
      </c>
      <c r="M69">
        <f>IFERROR(__xludf.DUMMYFUNCTION("""COMPUTED_VALUE"""),33.0)</f>
        <v>33</v>
      </c>
      <c r="N69" t="str">
        <f>IFERROR(__xludf.DUMMYFUNCTION("""COMPUTED_VALUE"""),"Model 3 LR")</f>
        <v>Model 3 LR</v>
      </c>
      <c r="O69" t="str">
        <f>IFERROR(__xludf.DUMMYFUNCTION("""COMPUTED_VALUE"""),"Midnight Silver Metallic")</f>
        <v>Midnight Silver Metallic</v>
      </c>
      <c r="P69" t="str">
        <f>IFERROR(__xludf.DUMMYFUNCTION("""COMPUTED_VALUE"""),"18 inch Aero")</f>
        <v>18 inch Aero</v>
      </c>
      <c r="Q69" t="str">
        <f>IFERROR(__xludf.DUMMYFUNCTION("""COMPUTED_VALUE"""),"Black seats")</f>
        <v>Black seats</v>
      </c>
      <c r="R69" t="str">
        <f>IFERROR(__xludf.DUMMYFUNCTION("""COMPUTED_VALUE"""),"None")</f>
        <v>None</v>
      </c>
      <c r="X69" t="str">
        <f>IFERROR(__xludf.DUMMYFUNCTION("""COMPUTED_VALUE"""),"Very Good")</f>
        <v>Very Good</v>
      </c>
      <c r="Y69" t="str">
        <f>IFERROR(__xludf.DUMMYFUNCTION("""COMPUTED_VALUE"""),"Very Good")</f>
        <v>Very Good</v>
      </c>
      <c r="Z69" t="str">
        <f>IFERROR(__xludf.DUMMYFUNCTION("""COMPUTED_VALUE"""),"Excellent")</f>
        <v>Excellent</v>
      </c>
      <c r="AB69" t="str">
        <f>IFERROR(__xludf.DUMMYFUNCTION("""COMPUTED_VALUE"""),"Very Good")</f>
        <v>Very Good</v>
      </c>
      <c r="AH69" s="189">
        <f>IFERROR(__xludf.DUMMYFUNCTION("""COMPUTED_VALUE"""),43243.61940111111)</f>
        <v>43243.6194</v>
      </c>
    </row>
    <row r="70">
      <c r="A70" t="str">
        <f>IFERROR(__xludf.DUMMYFUNCTION("""COMPUTED_VALUE"""),"veritas3241")</f>
        <v>veritas3241</v>
      </c>
      <c r="B70" t="str">
        <f>IFERROR(__xludf.DUMMYFUNCTION("""COMPUTED_VALUE"""),"Nashville")</f>
        <v>Nashville</v>
      </c>
      <c r="C70" t="str">
        <f>IFERROR(__xludf.DUMMYFUNCTION("""COMPUTED_VALUE"""),"TN")</f>
        <v>TN</v>
      </c>
      <c r="D70" t="str">
        <f>IFERROR(__xludf.DUMMYFUNCTION("""COMPUTED_VALUE"""),"USA")</f>
        <v>USA</v>
      </c>
      <c r="E70" s="188">
        <f>IFERROR(__xludf.DUMMYFUNCTION("""COMPUTED_VALUE"""),43197.0)</f>
        <v>43197</v>
      </c>
      <c r="F70" s="188">
        <f>IFERROR(__xludf.DUMMYFUNCTION("""COMPUTED_VALUE"""),43223.0)</f>
        <v>43223</v>
      </c>
      <c r="H70">
        <f>IFERROR(__xludf.DUMMYFUNCTION("""COMPUTED_VALUE"""),22165.0)</f>
        <v>22165</v>
      </c>
      <c r="J70" s="5">
        <f>IFERROR(__xludf.DUMMYFUNCTION("""COMPUTED_VALUE"""),43242.0)</f>
        <v>43242</v>
      </c>
      <c r="K70">
        <f>IFERROR(__xludf.DUMMYFUNCTION("""COMPUTED_VALUE"""),26.0)</f>
        <v>26</v>
      </c>
      <c r="L70">
        <f>IFERROR(__xludf.DUMMYFUNCTION("""COMPUTED_VALUE"""),19.0)</f>
        <v>19</v>
      </c>
      <c r="M70">
        <f>IFERROR(__xludf.DUMMYFUNCTION("""COMPUTED_VALUE"""),45.0)</f>
        <v>45</v>
      </c>
      <c r="N70" t="str">
        <f>IFERROR(__xludf.DUMMYFUNCTION("""COMPUTED_VALUE"""),"Model 3 LR")</f>
        <v>Model 3 LR</v>
      </c>
      <c r="O70" t="str">
        <f>IFERROR(__xludf.DUMMYFUNCTION("""COMPUTED_VALUE"""),"Red Multi-Coat")</f>
        <v>Red Multi-Coat</v>
      </c>
      <c r="P70" t="str">
        <f>IFERROR(__xludf.DUMMYFUNCTION("""COMPUTED_VALUE"""),"18 inch Aero")</f>
        <v>18 inch Aero</v>
      </c>
      <c r="Q70" t="str">
        <f>IFERROR(__xludf.DUMMYFUNCTION("""COMPUTED_VALUE"""),"Black seats")</f>
        <v>Black seats</v>
      </c>
      <c r="R70" t="str">
        <f>IFERROR(__xludf.DUMMYFUNCTION("""COMPUTED_VALUE"""),"Enhanced Autopilot")</f>
        <v>Enhanced Autopilot</v>
      </c>
      <c r="X70" t="str">
        <f>IFERROR(__xludf.DUMMYFUNCTION("""COMPUTED_VALUE"""),"Excellent")</f>
        <v>Excellent</v>
      </c>
      <c r="Y70" t="str">
        <f>IFERROR(__xludf.DUMMYFUNCTION("""COMPUTED_VALUE"""),"Excellent")</f>
        <v>Excellent</v>
      </c>
      <c r="Z70" t="str">
        <f>IFERROR(__xludf.DUMMYFUNCTION("""COMPUTED_VALUE"""),"Very Good")</f>
        <v>Very Good</v>
      </c>
      <c r="AB70" t="str">
        <f>IFERROR(__xludf.DUMMYFUNCTION("""COMPUTED_VALUE"""),"Excellent")</f>
        <v>Excellent</v>
      </c>
      <c r="AH70" s="189">
        <f>IFERROR(__xludf.DUMMYFUNCTION("""COMPUTED_VALUE"""),43244.28861827546)</f>
        <v>43244.28862</v>
      </c>
    </row>
    <row r="71">
      <c r="A71" t="str">
        <f>IFERROR(__xludf.DUMMYFUNCTION("""COMPUTED_VALUE"""),"kkal82")</f>
        <v>kkal82</v>
      </c>
      <c r="B71" t="str">
        <f>IFERROR(__xludf.DUMMYFUNCTION("""COMPUTED_VALUE"""),"Oak Brook")</f>
        <v>Oak Brook</v>
      </c>
      <c r="C71" t="str">
        <f>IFERROR(__xludf.DUMMYFUNCTION("""COMPUTED_VALUE"""),"IL")</f>
        <v>IL</v>
      </c>
      <c r="D71" t="str">
        <f>IFERROR(__xludf.DUMMYFUNCTION("""COMPUTED_VALUE"""),"USA")</f>
        <v>USA</v>
      </c>
      <c r="E71" s="188">
        <f>IFERROR(__xludf.DUMMYFUNCTION("""COMPUTED_VALUE"""),43196.0)</f>
        <v>43196</v>
      </c>
      <c r="F71" s="188">
        <f>IFERROR(__xludf.DUMMYFUNCTION("""COMPUTED_VALUE"""),43228.0)</f>
        <v>43228</v>
      </c>
      <c r="H71">
        <f>IFERROR(__xludf.DUMMYFUNCTION("""COMPUTED_VALUE"""),26855.0)</f>
        <v>26855</v>
      </c>
      <c r="J71" s="5">
        <f>IFERROR(__xludf.DUMMYFUNCTION("""COMPUTED_VALUE"""),43243.0)</f>
        <v>43243</v>
      </c>
      <c r="K71">
        <f>IFERROR(__xludf.DUMMYFUNCTION("""COMPUTED_VALUE"""),32.0)</f>
        <v>32</v>
      </c>
      <c r="L71">
        <f>IFERROR(__xludf.DUMMYFUNCTION("""COMPUTED_VALUE"""),15.0)</f>
        <v>15</v>
      </c>
      <c r="M71">
        <f>IFERROR(__xludf.DUMMYFUNCTION("""COMPUTED_VALUE"""),47.0)</f>
        <v>47</v>
      </c>
      <c r="N71" t="str">
        <f>IFERROR(__xludf.DUMMYFUNCTION("""COMPUTED_VALUE"""),"Model 3 LR")</f>
        <v>Model 3 LR</v>
      </c>
      <c r="O71" t="str">
        <f>IFERROR(__xludf.DUMMYFUNCTION("""COMPUTED_VALUE"""),"Midnight Silver Metallic")</f>
        <v>Midnight Silver Metallic</v>
      </c>
      <c r="P71" t="str">
        <f>IFERROR(__xludf.DUMMYFUNCTION("""COMPUTED_VALUE"""),"18 inch Aero")</f>
        <v>18 inch Aero</v>
      </c>
      <c r="Q71" t="str">
        <f>IFERROR(__xludf.DUMMYFUNCTION("""COMPUTED_VALUE"""),"Black seats")</f>
        <v>Black seats</v>
      </c>
      <c r="R71" t="str">
        <f>IFERROR(__xludf.DUMMYFUNCTION("""COMPUTED_VALUE"""),"Enhanced Autopilot")</f>
        <v>Enhanced Autopilot</v>
      </c>
      <c r="X71" t="str">
        <f>IFERROR(__xludf.DUMMYFUNCTION("""COMPUTED_VALUE"""),"Very Good")</f>
        <v>Very Good</v>
      </c>
      <c r="Y71" t="str">
        <f>IFERROR(__xludf.DUMMYFUNCTION("""COMPUTED_VALUE"""),"Good")</f>
        <v>Good</v>
      </c>
      <c r="Z71" t="str">
        <f>IFERROR(__xludf.DUMMYFUNCTION("""COMPUTED_VALUE"""),"Excellent")</f>
        <v>Excellent</v>
      </c>
      <c r="AB71" t="str">
        <f>IFERROR(__xludf.DUMMYFUNCTION("""COMPUTED_VALUE"""),"Excellent")</f>
        <v>Excellent</v>
      </c>
      <c r="AH71" s="189">
        <f>IFERROR(__xludf.DUMMYFUNCTION("""COMPUTED_VALUE"""),43245.40078431713)</f>
        <v>43245.40078</v>
      </c>
    </row>
    <row r="72">
      <c r="A72" t="str">
        <f>IFERROR(__xludf.DUMMYFUNCTION("""COMPUTED_VALUE"""),"kimahlberg")</f>
        <v>kimahlberg</v>
      </c>
      <c r="B72" t="str">
        <f>IFERROR(__xludf.DUMMYFUNCTION("""COMPUTED_VALUE"""),"Seattle")</f>
        <v>Seattle</v>
      </c>
      <c r="C72" t="str">
        <f>IFERROR(__xludf.DUMMYFUNCTION("""COMPUTED_VALUE"""),"WA")</f>
        <v>WA</v>
      </c>
      <c r="D72" t="str">
        <f>IFERROR(__xludf.DUMMYFUNCTION("""COMPUTED_VALUE"""),"USA")</f>
        <v>USA</v>
      </c>
      <c r="E72" s="188">
        <f>IFERROR(__xludf.DUMMYFUNCTION("""COMPUTED_VALUE"""),43201.0)</f>
        <v>43201</v>
      </c>
      <c r="F72" s="188">
        <f>IFERROR(__xludf.DUMMYFUNCTION("""COMPUTED_VALUE"""),43222.0)</f>
        <v>43222</v>
      </c>
      <c r="H72">
        <f>IFERROR(__xludf.DUMMYFUNCTION("""COMPUTED_VALUE"""),19565.0)</f>
        <v>19565</v>
      </c>
      <c r="J72" s="5">
        <f>IFERROR(__xludf.DUMMYFUNCTION("""COMPUTED_VALUE"""),43242.0)</f>
        <v>43242</v>
      </c>
      <c r="K72">
        <f>IFERROR(__xludf.DUMMYFUNCTION("""COMPUTED_VALUE"""),21.0)</f>
        <v>21</v>
      </c>
      <c r="L72">
        <f>IFERROR(__xludf.DUMMYFUNCTION("""COMPUTED_VALUE"""),20.0)</f>
        <v>20</v>
      </c>
      <c r="M72">
        <f>IFERROR(__xludf.DUMMYFUNCTION("""COMPUTED_VALUE"""),41.0)</f>
        <v>41</v>
      </c>
      <c r="N72" t="str">
        <f>IFERROR(__xludf.DUMMYFUNCTION("""COMPUTED_VALUE"""),"Model 3 LR")</f>
        <v>Model 3 LR</v>
      </c>
      <c r="O72" t="str">
        <f>IFERROR(__xludf.DUMMYFUNCTION("""COMPUTED_VALUE"""),"Deep Blue Metallic")</f>
        <v>Deep Blue Metallic</v>
      </c>
      <c r="P72" t="str">
        <f>IFERROR(__xludf.DUMMYFUNCTION("""COMPUTED_VALUE"""),"18 inch Aero")</f>
        <v>18 inch Aero</v>
      </c>
      <c r="Q72" t="str">
        <f>IFERROR(__xludf.DUMMYFUNCTION("""COMPUTED_VALUE"""),"Black seats")</f>
        <v>Black seats</v>
      </c>
      <c r="R72" t="str">
        <f>IFERROR(__xludf.DUMMYFUNCTION("""COMPUTED_VALUE"""),"None")</f>
        <v>None</v>
      </c>
      <c r="X72" t="str">
        <f>IFERROR(__xludf.DUMMYFUNCTION("""COMPUTED_VALUE"""),"Good")</f>
        <v>Good</v>
      </c>
      <c r="Y72" t="str">
        <f>IFERROR(__xludf.DUMMYFUNCTION("""COMPUTED_VALUE"""),"Very Good")</f>
        <v>Very Good</v>
      </c>
      <c r="Z72" t="str">
        <f>IFERROR(__xludf.DUMMYFUNCTION("""COMPUTED_VALUE"""),"Fair")</f>
        <v>Fair</v>
      </c>
      <c r="AB72" t="str">
        <f>IFERROR(__xludf.DUMMYFUNCTION("""COMPUTED_VALUE"""),"Excellent")</f>
        <v>Excellent</v>
      </c>
      <c r="AH72" s="189">
        <f>IFERROR(__xludf.DUMMYFUNCTION("""COMPUTED_VALUE"""),43245.65383047453)</f>
        <v>43245.65383</v>
      </c>
    </row>
    <row r="73">
      <c r="A73" t="str">
        <f>IFERROR(__xludf.DUMMYFUNCTION("""COMPUTED_VALUE"""),"gwsair")</f>
        <v>gwsair</v>
      </c>
      <c r="B73" t="str">
        <f>IFERROR(__xludf.DUMMYFUNCTION("""COMPUTED_VALUE"""),"Houston")</f>
        <v>Houston</v>
      </c>
      <c r="C73" t="str">
        <f>IFERROR(__xludf.DUMMYFUNCTION("""COMPUTED_VALUE"""),"TX")</f>
        <v>TX</v>
      </c>
      <c r="D73" t="str">
        <f>IFERROR(__xludf.DUMMYFUNCTION("""COMPUTED_VALUE"""),"USA")</f>
        <v>USA</v>
      </c>
      <c r="E73" s="188">
        <f>IFERROR(__xludf.DUMMYFUNCTION("""COMPUTED_VALUE"""),43188.0)</f>
        <v>43188</v>
      </c>
      <c r="F73" s="188">
        <f>IFERROR(__xludf.DUMMYFUNCTION("""COMPUTED_VALUE"""),43214.0)</f>
        <v>43214</v>
      </c>
      <c r="H73">
        <f>IFERROR(__xludf.DUMMYFUNCTION("""COMPUTED_VALUE"""),20355.0)</f>
        <v>20355</v>
      </c>
      <c r="J73" s="5">
        <f>IFERROR(__xludf.DUMMYFUNCTION("""COMPUTED_VALUE"""),43242.0)</f>
        <v>43242</v>
      </c>
      <c r="K73">
        <f>IFERROR(__xludf.DUMMYFUNCTION("""COMPUTED_VALUE"""),26.0)</f>
        <v>26</v>
      </c>
      <c r="L73">
        <f>IFERROR(__xludf.DUMMYFUNCTION("""COMPUTED_VALUE"""),28.0)</f>
        <v>28</v>
      </c>
      <c r="M73">
        <f>IFERROR(__xludf.DUMMYFUNCTION("""COMPUTED_VALUE"""),54.0)</f>
        <v>54</v>
      </c>
      <c r="N73" t="str">
        <f>IFERROR(__xludf.DUMMYFUNCTION("""COMPUTED_VALUE"""),"Model 3 LR")</f>
        <v>Model 3 LR</v>
      </c>
      <c r="O73" t="str">
        <f>IFERROR(__xludf.DUMMYFUNCTION("""COMPUTED_VALUE"""),"Deep Blue Metallic")</f>
        <v>Deep Blue Metallic</v>
      </c>
      <c r="P73" t="str">
        <f>IFERROR(__xludf.DUMMYFUNCTION("""COMPUTED_VALUE"""),"18 inch Aero")</f>
        <v>18 inch Aero</v>
      </c>
      <c r="Q73" t="str">
        <f>IFERROR(__xludf.DUMMYFUNCTION("""COMPUTED_VALUE"""),"Black seats")</f>
        <v>Black seats</v>
      </c>
      <c r="R73" t="str">
        <f>IFERROR(__xludf.DUMMYFUNCTION("""COMPUTED_VALUE"""),"Enhanced Autopilot")</f>
        <v>Enhanced Autopilot</v>
      </c>
      <c r="X73" t="str">
        <f>IFERROR(__xludf.DUMMYFUNCTION("""COMPUTED_VALUE"""),"Good")</f>
        <v>Good</v>
      </c>
      <c r="Y73" t="str">
        <f>IFERROR(__xludf.DUMMYFUNCTION("""COMPUTED_VALUE"""),"Excellent")</f>
        <v>Excellent</v>
      </c>
      <c r="Z73" t="str">
        <f>IFERROR(__xludf.DUMMYFUNCTION("""COMPUTED_VALUE"""),"Excellent")</f>
        <v>Excellent</v>
      </c>
      <c r="AB73" t="str">
        <f>IFERROR(__xludf.DUMMYFUNCTION("""COMPUTED_VALUE"""),"Excellent")</f>
        <v>Excellent</v>
      </c>
      <c r="AH73" s="189">
        <f>IFERROR(__xludf.DUMMYFUNCTION("""COMPUTED_VALUE"""),43246.16289045139)</f>
        <v>43246.16289</v>
      </c>
    </row>
    <row r="74">
      <c r="A74" t="str">
        <f>IFERROR(__xludf.DUMMYFUNCTION("""COMPUTED_VALUE"""),"wolverine68")</f>
        <v>wolverine68</v>
      </c>
      <c r="C74" t="str">
        <f>IFERROR(__xludf.DUMMYFUNCTION("""COMPUTED_VALUE"""),"CA")</f>
        <v>CA</v>
      </c>
      <c r="D74" t="str">
        <f>IFERROR(__xludf.DUMMYFUNCTION("""COMPUTED_VALUE"""),"USA")</f>
        <v>USA</v>
      </c>
      <c r="E74" s="188">
        <f>IFERROR(__xludf.DUMMYFUNCTION("""COMPUTED_VALUE"""),43204.0)</f>
        <v>43204</v>
      </c>
      <c r="F74" s="188">
        <f>IFERROR(__xludf.DUMMYFUNCTION("""COMPUTED_VALUE"""),43233.0)</f>
        <v>43233</v>
      </c>
      <c r="H74">
        <f>IFERROR(__xludf.DUMMYFUNCTION("""COMPUTED_VALUE"""),18955.0)</f>
        <v>18955</v>
      </c>
      <c r="J74" s="5">
        <f>IFERROR(__xludf.DUMMYFUNCTION("""COMPUTED_VALUE"""),43245.0)</f>
        <v>43245</v>
      </c>
      <c r="K74">
        <f>IFERROR(__xludf.DUMMYFUNCTION("""COMPUTED_VALUE"""),29.0)</f>
        <v>29</v>
      </c>
      <c r="L74">
        <f>IFERROR(__xludf.DUMMYFUNCTION("""COMPUTED_VALUE"""),12.0)</f>
        <v>12</v>
      </c>
      <c r="M74">
        <f>IFERROR(__xludf.DUMMYFUNCTION("""COMPUTED_VALUE"""),41.0)</f>
        <v>41</v>
      </c>
      <c r="N74" t="str">
        <f>IFERROR(__xludf.DUMMYFUNCTION("""COMPUTED_VALUE"""),"Model 3 LR")</f>
        <v>Model 3 LR</v>
      </c>
      <c r="O74" t="str">
        <f>IFERROR(__xludf.DUMMYFUNCTION("""COMPUTED_VALUE"""),"Midnight Silver Metallic")</f>
        <v>Midnight Silver Metallic</v>
      </c>
      <c r="P74" t="str">
        <f>IFERROR(__xludf.DUMMYFUNCTION("""COMPUTED_VALUE"""),"18 inch Aero")</f>
        <v>18 inch Aero</v>
      </c>
      <c r="Q74" t="str">
        <f>IFERROR(__xludf.DUMMYFUNCTION("""COMPUTED_VALUE"""),"Black seats")</f>
        <v>Black seats</v>
      </c>
      <c r="R74" t="str">
        <f>IFERROR(__xludf.DUMMYFUNCTION("""COMPUTED_VALUE"""),"Enhanced Autopilot")</f>
        <v>Enhanced Autopilot</v>
      </c>
      <c r="X74" t="str">
        <f>IFERROR(__xludf.DUMMYFUNCTION("""COMPUTED_VALUE"""),"Very Good")</f>
        <v>Very Good</v>
      </c>
      <c r="Y74" t="str">
        <f>IFERROR(__xludf.DUMMYFUNCTION("""COMPUTED_VALUE"""),"Very Good")</f>
        <v>Very Good</v>
      </c>
      <c r="Z74" t="str">
        <f>IFERROR(__xludf.DUMMYFUNCTION("""COMPUTED_VALUE"""),"Very Good")</f>
        <v>Very Good</v>
      </c>
      <c r="AB74" t="str">
        <f>IFERROR(__xludf.DUMMYFUNCTION("""COMPUTED_VALUE"""),"Good")</f>
        <v>Good</v>
      </c>
      <c r="AH74" s="189">
        <f>IFERROR(__xludf.DUMMYFUNCTION("""COMPUTED_VALUE"""),43246.29463885417)</f>
        <v>43246.29464</v>
      </c>
    </row>
    <row r="75">
      <c r="A75" t="str">
        <f>IFERROR(__xludf.DUMMYFUNCTION("""COMPUTED_VALUE"""),"jons1133")</f>
        <v>jons1133</v>
      </c>
      <c r="B75" t="str">
        <f>IFERROR(__xludf.DUMMYFUNCTION("""COMPUTED_VALUE"""),"Phoenix")</f>
        <v>Phoenix</v>
      </c>
      <c r="C75" t="str">
        <f>IFERROR(__xludf.DUMMYFUNCTION("""COMPUTED_VALUE"""),"AZ")</f>
        <v>AZ</v>
      </c>
      <c r="D75" t="str">
        <f>IFERROR(__xludf.DUMMYFUNCTION("""COMPUTED_VALUE"""),"USA")</f>
        <v>USA</v>
      </c>
      <c r="E75" s="188">
        <f>IFERROR(__xludf.DUMMYFUNCTION("""COMPUTED_VALUE"""),43208.0)</f>
        <v>43208</v>
      </c>
      <c r="F75" s="188">
        <f>IFERROR(__xludf.DUMMYFUNCTION("""COMPUTED_VALUE"""),43230.0)</f>
        <v>43230</v>
      </c>
      <c r="H75">
        <f>IFERROR(__xludf.DUMMYFUNCTION("""COMPUTED_VALUE"""),22455.0)</f>
        <v>22455</v>
      </c>
      <c r="J75" s="5">
        <f>IFERROR(__xludf.DUMMYFUNCTION("""COMPUTED_VALUE"""),43245.0)</f>
        <v>43245</v>
      </c>
      <c r="K75">
        <f>IFERROR(__xludf.DUMMYFUNCTION("""COMPUTED_VALUE"""),22.0)</f>
        <v>22</v>
      </c>
      <c r="L75">
        <f>IFERROR(__xludf.DUMMYFUNCTION("""COMPUTED_VALUE"""),15.0)</f>
        <v>15</v>
      </c>
      <c r="M75">
        <f>IFERROR(__xludf.DUMMYFUNCTION("""COMPUTED_VALUE"""),37.0)</f>
        <v>37</v>
      </c>
      <c r="N75" t="str">
        <f>IFERROR(__xludf.DUMMYFUNCTION("""COMPUTED_VALUE"""),"Model 3 LR")</f>
        <v>Model 3 LR</v>
      </c>
      <c r="O75" t="str">
        <f>IFERROR(__xludf.DUMMYFUNCTION("""COMPUTED_VALUE"""),"Red Multi-Coat")</f>
        <v>Red Multi-Coat</v>
      </c>
      <c r="P75" t="str">
        <f>IFERROR(__xludf.DUMMYFUNCTION("""COMPUTED_VALUE"""),"18 inch Aero")</f>
        <v>18 inch Aero</v>
      </c>
      <c r="Q75" t="str">
        <f>IFERROR(__xludf.DUMMYFUNCTION("""COMPUTED_VALUE"""),"Black seats")</f>
        <v>Black seats</v>
      </c>
      <c r="R75" t="str">
        <f>IFERROR(__xludf.DUMMYFUNCTION("""COMPUTED_VALUE"""),"Enhanced Autopilot")</f>
        <v>Enhanced Autopilot</v>
      </c>
      <c r="X75" t="str">
        <f>IFERROR(__xludf.DUMMYFUNCTION("""COMPUTED_VALUE"""),"Excellent")</f>
        <v>Excellent</v>
      </c>
      <c r="Y75" t="str">
        <f>IFERROR(__xludf.DUMMYFUNCTION("""COMPUTED_VALUE"""),"Excellent")</f>
        <v>Excellent</v>
      </c>
      <c r="Z75" t="str">
        <f>IFERROR(__xludf.DUMMYFUNCTION("""COMPUTED_VALUE"""),"Very Good")</f>
        <v>Very Good</v>
      </c>
      <c r="AB75" t="str">
        <f>IFERROR(__xludf.DUMMYFUNCTION("""COMPUTED_VALUE"""),"Good")</f>
        <v>Good</v>
      </c>
      <c r="AH75" s="189">
        <f>IFERROR(__xludf.DUMMYFUNCTION("""COMPUTED_VALUE"""),43247.214859803236)</f>
        <v>43247.21486</v>
      </c>
    </row>
    <row r="76">
      <c r="A76" t="str">
        <f>IFERROR(__xludf.DUMMYFUNCTION("""COMPUTED_VALUE"""),"jsto")</f>
        <v>jsto</v>
      </c>
      <c r="B76" t="str">
        <f>IFERROR(__xludf.DUMMYFUNCTION("""COMPUTED_VALUE"""),"Seattle")</f>
        <v>Seattle</v>
      </c>
      <c r="C76" t="str">
        <f>IFERROR(__xludf.DUMMYFUNCTION("""COMPUTED_VALUE"""),"WA")</f>
        <v>WA</v>
      </c>
      <c r="D76" t="str">
        <f>IFERROR(__xludf.DUMMYFUNCTION("""COMPUTED_VALUE"""),"USA")</f>
        <v>USA</v>
      </c>
      <c r="E76" s="188">
        <f>IFERROR(__xludf.DUMMYFUNCTION("""COMPUTED_VALUE"""),43205.0)</f>
        <v>43205</v>
      </c>
      <c r="F76" s="188">
        <f>IFERROR(__xludf.DUMMYFUNCTION("""COMPUTED_VALUE"""),43227.0)</f>
        <v>43227</v>
      </c>
      <c r="H76">
        <f>IFERROR(__xludf.DUMMYFUNCTION("""COMPUTED_VALUE"""),21955.0)</f>
        <v>21955</v>
      </c>
      <c r="J76" s="5">
        <f>IFERROR(__xludf.DUMMYFUNCTION("""COMPUTED_VALUE"""),43246.0)</f>
        <v>43246</v>
      </c>
      <c r="K76">
        <f>IFERROR(__xludf.DUMMYFUNCTION("""COMPUTED_VALUE"""),22.0)</f>
        <v>22</v>
      </c>
      <c r="L76">
        <f>IFERROR(__xludf.DUMMYFUNCTION("""COMPUTED_VALUE"""),19.0)</f>
        <v>19</v>
      </c>
      <c r="M76">
        <f>IFERROR(__xludf.DUMMYFUNCTION("""COMPUTED_VALUE"""),41.0)</f>
        <v>41</v>
      </c>
      <c r="N76" t="str">
        <f>IFERROR(__xludf.DUMMYFUNCTION("""COMPUTED_VALUE"""),"Model 3 LR")</f>
        <v>Model 3 LR</v>
      </c>
      <c r="O76" t="str">
        <f>IFERROR(__xludf.DUMMYFUNCTION("""COMPUTED_VALUE"""),"Silver Metallic")</f>
        <v>Silver Metallic</v>
      </c>
      <c r="P76" t="str">
        <f>IFERROR(__xludf.DUMMYFUNCTION("""COMPUTED_VALUE"""),"18 inch Aero")</f>
        <v>18 inch Aero</v>
      </c>
      <c r="Q76" t="str">
        <f>IFERROR(__xludf.DUMMYFUNCTION("""COMPUTED_VALUE"""),"Black seats")</f>
        <v>Black seats</v>
      </c>
      <c r="R76" t="str">
        <f>IFERROR(__xludf.DUMMYFUNCTION("""COMPUTED_VALUE"""),"None")</f>
        <v>None</v>
      </c>
      <c r="X76" t="str">
        <f>IFERROR(__xludf.DUMMYFUNCTION("""COMPUTED_VALUE"""),"Excellent")</f>
        <v>Excellent</v>
      </c>
      <c r="Y76" t="str">
        <f>IFERROR(__xludf.DUMMYFUNCTION("""COMPUTED_VALUE"""),"Excellent")</f>
        <v>Excellent</v>
      </c>
      <c r="Z76" t="str">
        <f>IFERROR(__xludf.DUMMYFUNCTION("""COMPUTED_VALUE"""),"Excellent")</f>
        <v>Excellent</v>
      </c>
      <c r="AB76" t="str">
        <f>IFERROR(__xludf.DUMMYFUNCTION("""COMPUTED_VALUE"""),"Excellent")</f>
        <v>Excellent</v>
      </c>
      <c r="AH76" s="189">
        <f>IFERROR(__xludf.DUMMYFUNCTION("""COMPUTED_VALUE"""),43247.82478429398)</f>
        <v>43247.82478</v>
      </c>
    </row>
    <row r="77">
      <c r="A77" t="str">
        <f>IFERROR(__xludf.DUMMYFUNCTION("""COMPUTED_VALUE"""),"PTC Gator")</f>
        <v>PTC Gator</v>
      </c>
      <c r="B77" t="str">
        <f>IFERROR(__xludf.DUMMYFUNCTION("""COMPUTED_VALUE"""),"Atlanta")</f>
        <v>Atlanta</v>
      </c>
      <c r="C77" t="str">
        <f>IFERROR(__xludf.DUMMYFUNCTION("""COMPUTED_VALUE"""),"GA")</f>
        <v>GA</v>
      </c>
      <c r="D77" t="str">
        <f>IFERROR(__xludf.DUMMYFUNCTION("""COMPUTED_VALUE"""),"USA")</f>
        <v>USA</v>
      </c>
      <c r="E77" s="188">
        <f>IFERROR(__xludf.DUMMYFUNCTION("""COMPUTED_VALUE"""),43203.0)</f>
        <v>43203</v>
      </c>
      <c r="F77" s="188">
        <f>IFERROR(__xludf.DUMMYFUNCTION("""COMPUTED_VALUE"""),43234.0)</f>
        <v>43234</v>
      </c>
      <c r="H77">
        <f>IFERROR(__xludf.DUMMYFUNCTION("""COMPUTED_VALUE"""),19593.0)</f>
        <v>19593</v>
      </c>
      <c r="J77" s="5">
        <f>IFERROR(__xludf.DUMMYFUNCTION("""COMPUTED_VALUE"""),43245.0)</f>
        <v>43245</v>
      </c>
      <c r="K77">
        <f>IFERROR(__xludf.DUMMYFUNCTION("""COMPUTED_VALUE"""),31.0)</f>
        <v>31</v>
      </c>
      <c r="L77">
        <f>IFERROR(__xludf.DUMMYFUNCTION("""COMPUTED_VALUE"""),11.0)</f>
        <v>11</v>
      </c>
      <c r="M77">
        <f>IFERROR(__xludf.DUMMYFUNCTION("""COMPUTED_VALUE"""),42.0)</f>
        <v>42</v>
      </c>
      <c r="N77" t="str">
        <f>IFERROR(__xludf.DUMMYFUNCTION("""COMPUTED_VALUE"""),"Model 3 LR")</f>
        <v>Model 3 LR</v>
      </c>
      <c r="O77" t="str">
        <f>IFERROR(__xludf.DUMMYFUNCTION("""COMPUTED_VALUE"""),"Deep Blue Metallic")</f>
        <v>Deep Blue Metallic</v>
      </c>
      <c r="P77" t="str">
        <f>IFERROR(__xludf.DUMMYFUNCTION("""COMPUTED_VALUE"""),"18 inch Aero")</f>
        <v>18 inch Aero</v>
      </c>
      <c r="Q77" t="str">
        <f>IFERROR(__xludf.DUMMYFUNCTION("""COMPUTED_VALUE"""),"Black seats")</f>
        <v>Black seats</v>
      </c>
      <c r="R77" t="str">
        <f>IFERROR(__xludf.DUMMYFUNCTION("""COMPUTED_VALUE"""),"Enhanced Autopilot")</f>
        <v>Enhanced Autopilot</v>
      </c>
      <c r="X77" t="str">
        <f>IFERROR(__xludf.DUMMYFUNCTION("""COMPUTED_VALUE"""),"Excellent")</f>
        <v>Excellent</v>
      </c>
      <c r="Y77" t="str">
        <f>IFERROR(__xludf.DUMMYFUNCTION("""COMPUTED_VALUE"""),"Very Good")</f>
        <v>Very Good</v>
      </c>
      <c r="Z77" t="str">
        <f>IFERROR(__xludf.DUMMYFUNCTION("""COMPUTED_VALUE"""),"Excellent")</f>
        <v>Excellent</v>
      </c>
      <c r="AB77" t="str">
        <f>IFERROR(__xludf.DUMMYFUNCTION("""COMPUTED_VALUE"""),"Excellent")</f>
        <v>Excellent</v>
      </c>
      <c r="AH77" s="189">
        <f>IFERROR(__xludf.DUMMYFUNCTION("""COMPUTED_VALUE"""),43247.850880937505)</f>
        <v>43247.85088</v>
      </c>
    </row>
    <row r="78">
      <c r="A78" t="str">
        <f>IFERROR(__xludf.DUMMYFUNCTION("""COMPUTED_VALUE"""),"Crocodile")</f>
        <v>Crocodile</v>
      </c>
      <c r="B78" t="str">
        <f>IFERROR(__xludf.DUMMYFUNCTION("""COMPUTED_VALUE"""),"SF Bay Area")</f>
        <v>SF Bay Area</v>
      </c>
      <c r="C78" t="str">
        <f>IFERROR(__xludf.DUMMYFUNCTION("""COMPUTED_VALUE"""),"CA")</f>
        <v>CA</v>
      </c>
      <c r="D78" t="str">
        <f>IFERROR(__xludf.DUMMYFUNCTION("""COMPUTED_VALUE"""),"USA")</f>
        <v>USA</v>
      </c>
      <c r="E78" s="188">
        <f>IFERROR(__xludf.DUMMYFUNCTION("""COMPUTED_VALUE"""),43208.0)</f>
        <v>43208</v>
      </c>
      <c r="F78" s="188">
        <f>IFERROR(__xludf.DUMMYFUNCTION("""COMPUTED_VALUE"""),43244.0)</f>
        <v>43244</v>
      </c>
      <c r="H78">
        <f>IFERROR(__xludf.DUMMYFUNCTION("""COMPUTED_VALUE"""),26055.0)</f>
        <v>26055</v>
      </c>
      <c r="J78" s="5">
        <f>IFERROR(__xludf.DUMMYFUNCTION("""COMPUTED_VALUE"""),43246.0)</f>
        <v>43246</v>
      </c>
      <c r="K78">
        <f>IFERROR(__xludf.DUMMYFUNCTION("""COMPUTED_VALUE"""),36.0)</f>
        <v>36</v>
      </c>
      <c r="L78">
        <f>IFERROR(__xludf.DUMMYFUNCTION("""COMPUTED_VALUE"""),2.0)</f>
        <v>2</v>
      </c>
      <c r="M78">
        <f>IFERROR(__xludf.DUMMYFUNCTION("""COMPUTED_VALUE"""),38.0)</f>
        <v>38</v>
      </c>
      <c r="N78" t="str">
        <f>IFERROR(__xludf.DUMMYFUNCTION("""COMPUTED_VALUE"""),"Model 3 LR")</f>
        <v>Model 3 LR</v>
      </c>
      <c r="O78" t="str">
        <f>IFERROR(__xludf.DUMMYFUNCTION("""COMPUTED_VALUE"""),"Deep Blue Metallic")</f>
        <v>Deep Blue Metallic</v>
      </c>
      <c r="P78" t="str">
        <f>IFERROR(__xludf.DUMMYFUNCTION("""COMPUTED_VALUE"""),"18 inch Aero")</f>
        <v>18 inch Aero</v>
      </c>
      <c r="Q78" t="str">
        <f>IFERROR(__xludf.DUMMYFUNCTION("""COMPUTED_VALUE"""),"Black seats")</f>
        <v>Black seats</v>
      </c>
      <c r="R78" t="str">
        <f>IFERROR(__xludf.DUMMYFUNCTION("""COMPUTED_VALUE"""),"Enhanced Autopilot")</f>
        <v>Enhanced Autopilot</v>
      </c>
      <c r="X78" t="str">
        <f>IFERROR(__xludf.DUMMYFUNCTION("""COMPUTED_VALUE"""),"Excellent")</f>
        <v>Excellent</v>
      </c>
      <c r="Y78" t="str">
        <f>IFERROR(__xludf.DUMMYFUNCTION("""COMPUTED_VALUE"""),"Very Good")</f>
        <v>Very Good</v>
      </c>
      <c r="Z78" t="str">
        <f>IFERROR(__xludf.DUMMYFUNCTION("""COMPUTED_VALUE"""),"Excellent")</f>
        <v>Excellent</v>
      </c>
      <c r="AB78" t="str">
        <f>IFERROR(__xludf.DUMMYFUNCTION("""COMPUTED_VALUE"""),"Very Good")</f>
        <v>Very Good</v>
      </c>
      <c r="AH78" s="189">
        <f>IFERROR(__xludf.DUMMYFUNCTION("""COMPUTED_VALUE"""),43248.40592027778)</f>
        <v>43248.40592</v>
      </c>
    </row>
    <row r="79">
      <c r="A79" t="str">
        <f>IFERROR(__xludf.DUMMYFUNCTION("""COMPUTED_VALUE"""),"Gninoked")</f>
        <v>Gninoked</v>
      </c>
      <c r="B79" t="str">
        <f>IFERROR(__xludf.DUMMYFUNCTION("""COMPUTED_VALUE"""),"Minneapolis")</f>
        <v>Minneapolis</v>
      </c>
      <c r="C79" t="str">
        <f>IFERROR(__xludf.DUMMYFUNCTION("""COMPUTED_VALUE"""),"MN")</f>
        <v>MN</v>
      </c>
      <c r="D79" t="str">
        <f>IFERROR(__xludf.DUMMYFUNCTION("""COMPUTED_VALUE"""),"USA")</f>
        <v>USA</v>
      </c>
      <c r="E79" s="188">
        <f>IFERROR(__xludf.DUMMYFUNCTION("""COMPUTED_VALUE"""),43199.0)</f>
        <v>43199</v>
      </c>
      <c r="F79" s="188">
        <f>IFERROR(__xludf.DUMMYFUNCTION("""COMPUTED_VALUE"""),43229.0)</f>
        <v>43229</v>
      </c>
      <c r="H79">
        <f>IFERROR(__xludf.DUMMYFUNCTION("""COMPUTED_VALUE"""),18755.0)</f>
        <v>18755</v>
      </c>
      <c r="J79" s="5">
        <f>IFERROR(__xludf.DUMMYFUNCTION("""COMPUTED_VALUE"""),43248.0)</f>
        <v>43248</v>
      </c>
      <c r="K79">
        <f>IFERROR(__xludf.DUMMYFUNCTION("""COMPUTED_VALUE"""),30.0)</f>
        <v>30</v>
      </c>
      <c r="L79">
        <f>IFERROR(__xludf.DUMMYFUNCTION("""COMPUTED_VALUE"""),19.0)</f>
        <v>19</v>
      </c>
      <c r="M79">
        <f>IFERROR(__xludf.DUMMYFUNCTION("""COMPUTED_VALUE"""),49.0)</f>
        <v>49</v>
      </c>
      <c r="N79" t="str">
        <f>IFERROR(__xludf.DUMMYFUNCTION("""COMPUTED_VALUE"""),"Model 3 LR")</f>
        <v>Model 3 LR</v>
      </c>
      <c r="O79" t="str">
        <f>IFERROR(__xludf.DUMMYFUNCTION("""COMPUTED_VALUE"""),"Solid Black")</f>
        <v>Solid Black</v>
      </c>
      <c r="P79" t="str">
        <f>IFERROR(__xludf.DUMMYFUNCTION("""COMPUTED_VALUE"""),"18 inch Aero")</f>
        <v>18 inch Aero</v>
      </c>
      <c r="Q79" t="str">
        <f>IFERROR(__xludf.DUMMYFUNCTION("""COMPUTED_VALUE"""),"Black seats")</f>
        <v>Black seats</v>
      </c>
      <c r="R79" t="str">
        <f>IFERROR(__xludf.DUMMYFUNCTION("""COMPUTED_VALUE"""),"None")</f>
        <v>None</v>
      </c>
      <c r="X79" t="str">
        <f>IFERROR(__xludf.DUMMYFUNCTION("""COMPUTED_VALUE"""),"Excellent")</f>
        <v>Excellent</v>
      </c>
      <c r="Y79" t="str">
        <f>IFERROR(__xludf.DUMMYFUNCTION("""COMPUTED_VALUE"""),"Excellent")</f>
        <v>Excellent</v>
      </c>
      <c r="Z79" t="str">
        <f>IFERROR(__xludf.DUMMYFUNCTION("""COMPUTED_VALUE"""),"Excellent")</f>
        <v>Excellent</v>
      </c>
      <c r="AB79" t="str">
        <f>IFERROR(__xludf.DUMMYFUNCTION("""COMPUTED_VALUE"""),"Excellent")</f>
        <v>Excellent</v>
      </c>
      <c r="AH79" s="189">
        <f>IFERROR(__xludf.DUMMYFUNCTION("""COMPUTED_VALUE"""),43248.975009965274)</f>
        <v>43248.97501</v>
      </c>
    </row>
    <row r="80">
      <c r="A80" t="str">
        <f>IFERROR(__xludf.DUMMYFUNCTION("""COMPUTED_VALUE"""),"PReilly44")</f>
        <v>PReilly44</v>
      </c>
      <c r="C80" t="str">
        <f>IFERROR(__xludf.DUMMYFUNCTION("""COMPUTED_VALUE"""),"MD")</f>
        <v>MD</v>
      </c>
      <c r="D80" t="str">
        <f>IFERROR(__xludf.DUMMYFUNCTION("""COMPUTED_VALUE"""),"USA")</f>
        <v>USA</v>
      </c>
      <c r="E80" s="188">
        <f>IFERROR(__xludf.DUMMYFUNCTION("""COMPUTED_VALUE"""),43076.0)</f>
        <v>43076</v>
      </c>
      <c r="F80" s="188">
        <f>IFERROR(__xludf.DUMMYFUNCTION("""COMPUTED_VALUE"""),43110.0)</f>
        <v>43110</v>
      </c>
      <c r="H80">
        <f>IFERROR(__xludf.DUMMYFUNCTION("""COMPUTED_VALUE"""),3055.0)</f>
        <v>3055</v>
      </c>
      <c r="J80" s="5">
        <f>IFERROR(__xludf.DUMMYFUNCTION("""COMPUTED_VALUE"""),42752.0)</f>
        <v>42752</v>
      </c>
      <c r="K80">
        <f>IFERROR(__xludf.DUMMYFUNCTION("""COMPUTED_VALUE"""),34.0)</f>
        <v>34</v>
      </c>
      <c r="N80" t="str">
        <f>IFERROR(__xludf.DUMMYFUNCTION("""COMPUTED_VALUE"""),"Model 3 LR")</f>
        <v>Model 3 LR</v>
      </c>
      <c r="O80" t="str">
        <f>IFERROR(__xludf.DUMMYFUNCTION("""COMPUTED_VALUE"""),"Deep Blue Metallic")</f>
        <v>Deep Blue Metallic</v>
      </c>
      <c r="P80" t="str">
        <f>IFERROR(__xludf.DUMMYFUNCTION("""COMPUTED_VALUE"""),"18 inch Aero")</f>
        <v>18 inch Aero</v>
      </c>
      <c r="Q80" t="str">
        <f>IFERROR(__xludf.DUMMYFUNCTION("""COMPUTED_VALUE"""),"Black seats")</f>
        <v>Black seats</v>
      </c>
      <c r="R80" t="str">
        <f>IFERROR(__xludf.DUMMYFUNCTION("""COMPUTED_VALUE"""),"Enhanced Autopilot")</f>
        <v>Enhanced Autopilot</v>
      </c>
      <c r="X80" t="str">
        <f>IFERROR(__xludf.DUMMYFUNCTION("""COMPUTED_VALUE"""),"Excellent")</f>
        <v>Excellent</v>
      </c>
      <c r="Y80" t="str">
        <f>IFERROR(__xludf.DUMMYFUNCTION("""COMPUTED_VALUE"""),"Excellent")</f>
        <v>Excellent</v>
      </c>
      <c r="Z80" t="str">
        <f>IFERROR(__xludf.DUMMYFUNCTION("""COMPUTED_VALUE"""),"Excellent")</f>
        <v>Excellent</v>
      </c>
      <c r="AB80" t="str">
        <f>IFERROR(__xludf.DUMMYFUNCTION("""COMPUTED_VALUE"""),"Excellent")</f>
        <v>Excellent</v>
      </c>
      <c r="AH80" s="189">
        <f>IFERROR(__xludf.DUMMYFUNCTION("""COMPUTED_VALUE"""),43249.25022914352)</f>
        <v>43249.25023</v>
      </c>
    </row>
    <row r="81">
      <c r="A81" t="str">
        <f>IFERROR(__xludf.DUMMYFUNCTION("""COMPUTED_VALUE"""),"Nevetsyad")</f>
        <v>Nevetsyad</v>
      </c>
      <c r="B81" t="str">
        <f>IFERROR(__xludf.DUMMYFUNCTION("""COMPUTED_VALUE"""),"Virginia")</f>
        <v>Virginia</v>
      </c>
      <c r="C81" t="str">
        <f>IFERROR(__xludf.DUMMYFUNCTION("""COMPUTED_VALUE"""),"VA")</f>
        <v>VA</v>
      </c>
      <c r="D81" t="str">
        <f>IFERROR(__xludf.DUMMYFUNCTION("""COMPUTED_VALUE"""),"USA")</f>
        <v>USA</v>
      </c>
      <c r="E81" s="188">
        <f>IFERROR(__xludf.DUMMYFUNCTION("""COMPUTED_VALUE"""),43101.0)</f>
        <v>43101</v>
      </c>
      <c r="F81" s="188">
        <f>IFERROR(__xludf.DUMMYFUNCTION("""COMPUTED_VALUE"""),43114.0)</f>
        <v>43114</v>
      </c>
      <c r="H81">
        <f>IFERROR(__xludf.DUMMYFUNCTION("""COMPUTED_VALUE"""),4049.0)</f>
        <v>4049</v>
      </c>
      <c r="J81" s="5">
        <f>IFERROR(__xludf.DUMMYFUNCTION("""COMPUTED_VALUE"""),43125.0)</f>
        <v>43125</v>
      </c>
      <c r="K81">
        <f>IFERROR(__xludf.DUMMYFUNCTION("""COMPUTED_VALUE"""),13.0)</f>
        <v>13</v>
      </c>
      <c r="L81">
        <f>IFERROR(__xludf.DUMMYFUNCTION("""COMPUTED_VALUE"""),11.0)</f>
        <v>11</v>
      </c>
      <c r="M81">
        <f>IFERROR(__xludf.DUMMYFUNCTION("""COMPUTED_VALUE"""),24.0)</f>
        <v>24</v>
      </c>
      <c r="N81" t="str">
        <f>IFERROR(__xludf.DUMMYFUNCTION("""COMPUTED_VALUE"""),"Model 3 LR")</f>
        <v>Model 3 LR</v>
      </c>
      <c r="O81" t="str">
        <f>IFERROR(__xludf.DUMMYFUNCTION("""COMPUTED_VALUE"""),"Red Multi-Coat")</f>
        <v>Red Multi-Coat</v>
      </c>
      <c r="P81" t="str">
        <f>IFERROR(__xludf.DUMMYFUNCTION("""COMPUTED_VALUE"""),"18 inch Aero")</f>
        <v>18 inch Aero</v>
      </c>
      <c r="Q81" t="str">
        <f>IFERROR(__xludf.DUMMYFUNCTION("""COMPUTED_VALUE"""),"Black seats")</f>
        <v>Black seats</v>
      </c>
      <c r="R81" t="str">
        <f>IFERROR(__xludf.DUMMYFUNCTION("""COMPUTED_VALUE"""),"Enhanced Autopilot")</f>
        <v>Enhanced Autopilot</v>
      </c>
      <c r="X81" t="str">
        <f>IFERROR(__xludf.DUMMYFUNCTION("""COMPUTED_VALUE"""),"Excellent")</f>
        <v>Excellent</v>
      </c>
      <c r="Y81" t="str">
        <f>IFERROR(__xludf.DUMMYFUNCTION("""COMPUTED_VALUE"""),"Excellent")</f>
        <v>Excellent</v>
      </c>
      <c r="Z81" t="str">
        <f>IFERROR(__xludf.DUMMYFUNCTION("""COMPUTED_VALUE"""),"Very Good")</f>
        <v>Very Good</v>
      </c>
      <c r="AB81" t="str">
        <f>IFERROR(__xludf.DUMMYFUNCTION("""COMPUTED_VALUE"""),"Excellent")</f>
        <v>Excellent</v>
      </c>
      <c r="AH81" s="189">
        <f>IFERROR(__xludf.DUMMYFUNCTION("""COMPUTED_VALUE"""),43249.30676034722)</f>
        <v>43249.30676</v>
      </c>
    </row>
    <row r="82">
      <c r="A82" t="str">
        <f>IFERROR(__xludf.DUMMYFUNCTION("""COMPUTED_VALUE"""),"xsikal")</f>
        <v>xsikal</v>
      </c>
      <c r="B82" t="str">
        <f>IFERROR(__xludf.DUMMYFUNCTION("""COMPUTED_VALUE"""),"San Diego, CA")</f>
        <v>San Diego, CA</v>
      </c>
      <c r="C82" t="str">
        <f>IFERROR(__xludf.DUMMYFUNCTION("""COMPUTED_VALUE"""),"CA")</f>
        <v>CA</v>
      </c>
      <c r="D82" t="str">
        <f>IFERROR(__xludf.DUMMYFUNCTION("""COMPUTED_VALUE"""),"USA")</f>
        <v>USA</v>
      </c>
      <c r="E82" s="188">
        <f>IFERROR(__xludf.DUMMYFUNCTION("""COMPUTED_VALUE"""),43200.0)</f>
        <v>43200</v>
      </c>
      <c r="F82" s="188">
        <f>IFERROR(__xludf.DUMMYFUNCTION("""COMPUTED_VALUE"""),43228.0)</f>
        <v>43228</v>
      </c>
      <c r="H82">
        <f>IFERROR(__xludf.DUMMYFUNCTION("""COMPUTED_VALUE"""),16455.0)</f>
        <v>16455</v>
      </c>
      <c r="J82" s="5">
        <f>IFERROR(__xludf.DUMMYFUNCTION("""COMPUTED_VALUE"""),43241.0)</f>
        <v>43241</v>
      </c>
      <c r="K82">
        <f>IFERROR(__xludf.DUMMYFUNCTION("""COMPUTED_VALUE"""),28.0)</f>
        <v>28</v>
      </c>
      <c r="L82">
        <f>IFERROR(__xludf.DUMMYFUNCTION("""COMPUTED_VALUE"""),13.0)</f>
        <v>13</v>
      </c>
      <c r="M82">
        <f>IFERROR(__xludf.DUMMYFUNCTION("""COMPUTED_VALUE"""),41.0)</f>
        <v>41</v>
      </c>
      <c r="N82" t="str">
        <f>IFERROR(__xludf.DUMMYFUNCTION("""COMPUTED_VALUE"""),"Model 3 LR")</f>
        <v>Model 3 LR</v>
      </c>
      <c r="O82" t="str">
        <f>IFERROR(__xludf.DUMMYFUNCTION("""COMPUTED_VALUE"""),"Midnight Silver Metallic")</f>
        <v>Midnight Silver Metallic</v>
      </c>
      <c r="P82" t="str">
        <f>IFERROR(__xludf.DUMMYFUNCTION("""COMPUTED_VALUE"""),"18 inch Aero")</f>
        <v>18 inch Aero</v>
      </c>
      <c r="Q82" t="str">
        <f>IFERROR(__xludf.DUMMYFUNCTION("""COMPUTED_VALUE"""),"Black seats")</f>
        <v>Black seats</v>
      </c>
      <c r="R82" t="str">
        <f>IFERROR(__xludf.DUMMYFUNCTION("""COMPUTED_VALUE"""),"None")</f>
        <v>None</v>
      </c>
      <c r="X82" t="str">
        <f>IFERROR(__xludf.DUMMYFUNCTION("""COMPUTED_VALUE"""),"Excellent")</f>
        <v>Excellent</v>
      </c>
      <c r="Y82" t="str">
        <f>IFERROR(__xludf.DUMMYFUNCTION("""COMPUTED_VALUE"""),"Excellent")</f>
        <v>Excellent</v>
      </c>
      <c r="Z82" t="str">
        <f>IFERROR(__xludf.DUMMYFUNCTION("""COMPUTED_VALUE"""),"Excellent")</f>
        <v>Excellent</v>
      </c>
      <c r="AB82" t="str">
        <f>IFERROR(__xludf.DUMMYFUNCTION("""COMPUTED_VALUE"""),"Excellent")</f>
        <v>Excellent</v>
      </c>
      <c r="AH82" s="189">
        <f>IFERROR(__xludf.DUMMYFUNCTION("""COMPUTED_VALUE"""),43249.306800185186)</f>
        <v>43249.3068</v>
      </c>
    </row>
    <row r="83">
      <c r="A83" t="str">
        <f>IFERROR(__xludf.DUMMYFUNCTION("""COMPUTED_VALUE"""),"Nate Crawford")</f>
        <v>Nate Crawford</v>
      </c>
      <c r="B83" t="str">
        <f>IFERROR(__xludf.DUMMYFUNCTION("""COMPUTED_VALUE"""),"Marina del Rey")</f>
        <v>Marina del Rey</v>
      </c>
      <c r="C83" t="str">
        <f>IFERROR(__xludf.DUMMYFUNCTION("""COMPUTED_VALUE"""),"CA")</f>
        <v>CA</v>
      </c>
      <c r="D83" t="str">
        <f>IFERROR(__xludf.DUMMYFUNCTION("""COMPUTED_VALUE"""),"USA")</f>
        <v>USA</v>
      </c>
      <c r="E83" s="188">
        <f>IFERROR(__xludf.DUMMYFUNCTION("""COMPUTED_VALUE"""),43204.0)</f>
        <v>43204</v>
      </c>
      <c r="F83" s="188">
        <f>IFERROR(__xludf.DUMMYFUNCTION("""COMPUTED_VALUE"""),43234.0)</f>
        <v>43234</v>
      </c>
      <c r="H83">
        <f>IFERROR(__xludf.DUMMYFUNCTION("""COMPUTED_VALUE"""),22255.0)</f>
        <v>22255</v>
      </c>
      <c r="J83" s="5">
        <f>IFERROR(__xludf.DUMMYFUNCTION("""COMPUTED_VALUE"""),43246.0)</f>
        <v>43246</v>
      </c>
      <c r="K83">
        <f>IFERROR(__xludf.DUMMYFUNCTION("""COMPUTED_VALUE"""),30.0)</f>
        <v>30</v>
      </c>
      <c r="L83">
        <f>IFERROR(__xludf.DUMMYFUNCTION("""COMPUTED_VALUE"""),12.0)</f>
        <v>12</v>
      </c>
      <c r="M83">
        <f>IFERROR(__xludf.DUMMYFUNCTION("""COMPUTED_VALUE"""),42.0)</f>
        <v>42</v>
      </c>
      <c r="N83" t="str">
        <f>IFERROR(__xludf.DUMMYFUNCTION("""COMPUTED_VALUE"""),"Model 3 LR")</f>
        <v>Model 3 LR</v>
      </c>
      <c r="O83" t="str">
        <f>IFERROR(__xludf.DUMMYFUNCTION("""COMPUTED_VALUE"""),"Red Multi-Coat")</f>
        <v>Red Multi-Coat</v>
      </c>
      <c r="P83" t="str">
        <f>IFERROR(__xludf.DUMMYFUNCTION("""COMPUTED_VALUE"""),"18 inch Aero")</f>
        <v>18 inch Aero</v>
      </c>
      <c r="Q83" t="str">
        <f>IFERROR(__xludf.DUMMYFUNCTION("""COMPUTED_VALUE"""),"Black seats")</f>
        <v>Black seats</v>
      </c>
      <c r="R83" t="str">
        <f>IFERROR(__xludf.DUMMYFUNCTION("""COMPUTED_VALUE"""),"Enhanced Autopilot")</f>
        <v>Enhanced Autopilot</v>
      </c>
      <c r="X83" t="str">
        <f>IFERROR(__xludf.DUMMYFUNCTION("""COMPUTED_VALUE"""),"Very Good")</f>
        <v>Very Good</v>
      </c>
      <c r="Y83" t="str">
        <f>IFERROR(__xludf.DUMMYFUNCTION("""COMPUTED_VALUE"""),"Excellent")</f>
        <v>Excellent</v>
      </c>
      <c r="Z83" t="str">
        <f>IFERROR(__xludf.DUMMYFUNCTION("""COMPUTED_VALUE"""),"Very Good")</f>
        <v>Very Good</v>
      </c>
      <c r="AB83" t="str">
        <f>IFERROR(__xludf.DUMMYFUNCTION("""COMPUTED_VALUE"""),"Very Good")</f>
        <v>Very Good</v>
      </c>
      <c r="AH83" s="189">
        <f>IFERROR(__xludf.DUMMYFUNCTION("""COMPUTED_VALUE"""),43249.33361609954)</f>
        <v>43249.33362</v>
      </c>
    </row>
    <row r="84">
      <c r="A84" t="str">
        <f>IFERROR(__xludf.DUMMYFUNCTION("""COMPUTED_VALUE"""),"ww3ace")</f>
        <v>ww3ace</v>
      </c>
      <c r="B84" t="str">
        <f>IFERROR(__xludf.DUMMYFUNCTION("""COMPUTED_VALUE"""),"San Francisco")</f>
        <v>San Francisco</v>
      </c>
      <c r="C84" t="str">
        <f>IFERROR(__xludf.DUMMYFUNCTION("""COMPUTED_VALUE"""),"CA")</f>
        <v>CA</v>
      </c>
      <c r="D84" t="str">
        <f>IFERROR(__xludf.DUMMYFUNCTION("""COMPUTED_VALUE"""),"USA")</f>
        <v>USA</v>
      </c>
      <c r="E84" s="188">
        <f>IFERROR(__xludf.DUMMYFUNCTION("""COMPUTED_VALUE"""),43208.0)</f>
        <v>43208</v>
      </c>
      <c r="F84" s="188">
        <f>IFERROR(__xludf.DUMMYFUNCTION("""COMPUTED_VALUE"""),43245.0)</f>
        <v>43245</v>
      </c>
      <c r="H84">
        <f>IFERROR(__xludf.DUMMYFUNCTION("""COMPUTED_VALUE"""),23455.0)</f>
        <v>23455</v>
      </c>
      <c r="J84" s="5">
        <f>IFERROR(__xludf.DUMMYFUNCTION("""COMPUTED_VALUE"""),43246.0)</f>
        <v>43246</v>
      </c>
      <c r="K84">
        <f>IFERROR(__xludf.DUMMYFUNCTION("""COMPUTED_VALUE"""),37.0)</f>
        <v>37</v>
      </c>
      <c r="L84">
        <f>IFERROR(__xludf.DUMMYFUNCTION("""COMPUTED_VALUE"""),1.0)</f>
        <v>1</v>
      </c>
      <c r="M84">
        <f>IFERROR(__xludf.DUMMYFUNCTION("""COMPUTED_VALUE"""),38.0)</f>
        <v>38</v>
      </c>
      <c r="N84" t="str">
        <f>IFERROR(__xludf.DUMMYFUNCTION("""COMPUTED_VALUE"""),"Model 3 LR")</f>
        <v>Model 3 LR</v>
      </c>
      <c r="O84" t="str">
        <f>IFERROR(__xludf.DUMMYFUNCTION("""COMPUTED_VALUE"""),"Pearl White Multi-Coat")</f>
        <v>Pearl White Multi-Coat</v>
      </c>
      <c r="P84" t="str">
        <f>IFERROR(__xludf.DUMMYFUNCTION("""COMPUTED_VALUE"""),"18 inch Aero")</f>
        <v>18 inch Aero</v>
      </c>
      <c r="Q84" t="str">
        <f>IFERROR(__xludf.DUMMYFUNCTION("""COMPUTED_VALUE"""),"Black seats")</f>
        <v>Black seats</v>
      </c>
      <c r="R84" t="str">
        <f>IFERROR(__xludf.DUMMYFUNCTION("""COMPUTED_VALUE"""),"Enhanced Autopilot")</f>
        <v>Enhanced Autopilot</v>
      </c>
      <c r="X84" t="str">
        <f>IFERROR(__xludf.DUMMYFUNCTION("""COMPUTED_VALUE"""),"Excellent")</f>
        <v>Excellent</v>
      </c>
      <c r="Y84" t="str">
        <f>IFERROR(__xludf.DUMMYFUNCTION("""COMPUTED_VALUE"""),"Excellent")</f>
        <v>Excellent</v>
      </c>
      <c r="Z84" t="str">
        <f>IFERROR(__xludf.DUMMYFUNCTION("""COMPUTED_VALUE"""),"Excellent")</f>
        <v>Excellent</v>
      </c>
      <c r="AB84" t="str">
        <f>IFERROR(__xludf.DUMMYFUNCTION("""COMPUTED_VALUE"""),"Excellent")</f>
        <v>Excellent</v>
      </c>
      <c r="AH84" s="189">
        <f>IFERROR(__xludf.DUMMYFUNCTION("""COMPUTED_VALUE"""),43249.33685997685)</f>
        <v>43249.33686</v>
      </c>
    </row>
    <row r="85">
      <c r="A85" t="str">
        <f>IFERROR(__xludf.DUMMYFUNCTION("""COMPUTED_VALUE""")," qbpds75")</f>
        <v> qbpds75</v>
      </c>
      <c r="B85" t="str">
        <f>IFERROR(__xludf.DUMMYFUNCTION("""COMPUTED_VALUE"""),"Bellevue")</f>
        <v>Bellevue</v>
      </c>
      <c r="C85" t="str">
        <f>IFERROR(__xludf.DUMMYFUNCTION("""COMPUTED_VALUE"""),"WA")</f>
        <v>WA</v>
      </c>
      <c r="D85" t="str">
        <f>IFERROR(__xludf.DUMMYFUNCTION("""COMPUTED_VALUE"""),"USA")</f>
        <v>USA</v>
      </c>
      <c r="E85" s="188">
        <f>IFERROR(__xludf.DUMMYFUNCTION("""COMPUTED_VALUE"""),43200.0)</f>
        <v>43200</v>
      </c>
      <c r="F85" s="188">
        <f>IFERROR(__xludf.DUMMYFUNCTION("""COMPUTED_VALUE"""),43220.0)</f>
        <v>43220</v>
      </c>
      <c r="H85">
        <f>IFERROR(__xludf.DUMMYFUNCTION("""COMPUTED_VALUE"""),16355.0)</f>
        <v>16355</v>
      </c>
      <c r="J85" s="5">
        <f>IFERROR(__xludf.DUMMYFUNCTION("""COMPUTED_VALUE"""),43229.0)</f>
        <v>43229</v>
      </c>
      <c r="K85">
        <f>IFERROR(__xludf.DUMMYFUNCTION("""COMPUTED_VALUE"""),20.0)</f>
        <v>20</v>
      </c>
      <c r="L85">
        <f>IFERROR(__xludf.DUMMYFUNCTION("""COMPUTED_VALUE"""),9.0)</f>
        <v>9</v>
      </c>
      <c r="M85">
        <f>IFERROR(__xludf.DUMMYFUNCTION("""COMPUTED_VALUE"""),29.0)</f>
        <v>29</v>
      </c>
      <c r="N85" t="str">
        <f>IFERROR(__xludf.DUMMYFUNCTION("""COMPUTED_VALUE"""),"Model 3 LR")</f>
        <v>Model 3 LR</v>
      </c>
      <c r="O85" t="str">
        <f>IFERROR(__xludf.DUMMYFUNCTION("""COMPUTED_VALUE"""),"Midnight Silver Metallic")</f>
        <v>Midnight Silver Metallic</v>
      </c>
      <c r="P85" t="str">
        <f>IFERROR(__xludf.DUMMYFUNCTION("""COMPUTED_VALUE"""),"18 inch Aero")</f>
        <v>18 inch Aero</v>
      </c>
      <c r="Q85" t="str">
        <f>IFERROR(__xludf.DUMMYFUNCTION("""COMPUTED_VALUE"""),"Black seats")</f>
        <v>Black seats</v>
      </c>
      <c r="R85" t="str">
        <f>IFERROR(__xludf.DUMMYFUNCTION("""COMPUTED_VALUE"""),"Enhanced Autopilot")</f>
        <v>Enhanced Autopilot</v>
      </c>
      <c r="X85" t="str">
        <f>IFERROR(__xludf.DUMMYFUNCTION("""COMPUTED_VALUE"""),"Excellent")</f>
        <v>Excellent</v>
      </c>
      <c r="Y85" t="str">
        <f>IFERROR(__xludf.DUMMYFUNCTION("""COMPUTED_VALUE"""),"Excellent")</f>
        <v>Excellent</v>
      </c>
      <c r="Z85" t="str">
        <f>IFERROR(__xludf.DUMMYFUNCTION("""COMPUTED_VALUE"""),"Excellent")</f>
        <v>Excellent</v>
      </c>
      <c r="AB85" t="str">
        <f>IFERROR(__xludf.DUMMYFUNCTION("""COMPUTED_VALUE"""),"Excellent")</f>
        <v>Excellent</v>
      </c>
      <c r="AH85" s="189">
        <f>IFERROR(__xludf.DUMMYFUNCTION("""COMPUTED_VALUE"""),43249.38606512731)</f>
        <v>43249.38607</v>
      </c>
    </row>
    <row r="86">
      <c r="A86" t="str">
        <f>IFERROR(__xludf.DUMMYFUNCTION("""COMPUTED_VALUE"""),"thebigkevdogg")</f>
        <v>thebigkevdogg</v>
      </c>
      <c r="B86" t="str">
        <f>IFERROR(__xludf.DUMMYFUNCTION("""COMPUTED_VALUE"""),"Los Angeles")</f>
        <v>Los Angeles</v>
      </c>
      <c r="C86" t="str">
        <f>IFERROR(__xludf.DUMMYFUNCTION("""COMPUTED_VALUE"""),"CA")</f>
        <v>CA</v>
      </c>
      <c r="D86" t="str">
        <f>IFERROR(__xludf.DUMMYFUNCTION("""COMPUTED_VALUE"""),"USA")</f>
        <v>USA</v>
      </c>
      <c r="E86" s="188">
        <f>IFERROR(__xludf.DUMMYFUNCTION("""COMPUTED_VALUE"""),43208.0)</f>
        <v>43208</v>
      </c>
      <c r="F86" s="188">
        <f>IFERROR(__xludf.DUMMYFUNCTION("""COMPUTED_VALUE"""),43234.0)</f>
        <v>43234</v>
      </c>
      <c r="H86">
        <f>IFERROR(__xludf.DUMMYFUNCTION("""COMPUTED_VALUE"""),21565.0)</f>
        <v>21565</v>
      </c>
      <c r="J86" s="5">
        <f>IFERROR(__xludf.DUMMYFUNCTION("""COMPUTED_VALUE"""),43242.0)</f>
        <v>43242</v>
      </c>
      <c r="K86">
        <f>IFERROR(__xludf.DUMMYFUNCTION("""COMPUTED_VALUE"""),26.0)</f>
        <v>26</v>
      </c>
      <c r="L86">
        <f>IFERROR(__xludf.DUMMYFUNCTION("""COMPUTED_VALUE"""),8.0)</f>
        <v>8</v>
      </c>
      <c r="M86">
        <f>IFERROR(__xludf.DUMMYFUNCTION("""COMPUTED_VALUE"""),34.0)</f>
        <v>34</v>
      </c>
      <c r="N86" t="str">
        <f>IFERROR(__xludf.DUMMYFUNCTION("""COMPUTED_VALUE"""),"Model 3 LR")</f>
        <v>Model 3 LR</v>
      </c>
      <c r="O86" t="str">
        <f>IFERROR(__xludf.DUMMYFUNCTION("""COMPUTED_VALUE"""),"Midnight Silver Metallic")</f>
        <v>Midnight Silver Metallic</v>
      </c>
      <c r="P86" t="str">
        <f>IFERROR(__xludf.DUMMYFUNCTION("""COMPUTED_VALUE"""),"18 inch Aero")</f>
        <v>18 inch Aero</v>
      </c>
      <c r="Q86" t="str">
        <f>IFERROR(__xludf.DUMMYFUNCTION("""COMPUTED_VALUE"""),"Black seats")</f>
        <v>Black seats</v>
      </c>
      <c r="R86" t="str">
        <f>IFERROR(__xludf.DUMMYFUNCTION("""COMPUTED_VALUE"""),"Enhanced Autopilot")</f>
        <v>Enhanced Autopilot</v>
      </c>
      <c r="X86" t="str">
        <f>IFERROR(__xludf.DUMMYFUNCTION("""COMPUTED_VALUE"""),"Excellent")</f>
        <v>Excellent</v>
      </c>
      <c r="Y86" t="str">
        <f>IFERROR(__xludf.DUMMYFUNCTION("""COMPUTED_VALUE"""),"Excellent")</f>
        <v>Excellent</v>
      </c>
      <c r="Z86" t="str">
        <f>IFERROR(__xludf.DUMMYFUNCTION("""COMPUTED_VALUE"""),"Very Good")</f>
        <v>Very Good</v>
      </c>
      <c r="AB86" t="str">
        <f>IFERROR(__xludf.DUMMYFUNCTION("""COMPUTED_VALUE"""),"Excellent")</f>
        <v>Excellent</v>
      </c>
      <c r="AH86" s="189">
        <f>IFERROR(__xludf.DUMMYFUNCTION("""COMPUTED_VALUE"""),43249.391230625)</f>
        <v>43249.39123</v>
      </c>
    </row>
    <row r="87">
      <c r="A87" t="str">
        <f>IFERROR(__xludf.DUMMYFUNCTION("""COMPUTED_VALUE"""),"pickledchickens")</f>
        <v>pickledchickens</v>
      </c>
      <c r="B87" t="str">
        <f>IFERROR(__xludf.DUMMYFUNCTION("""COMPUTED_VALUE"""),"Santa Rosa")</f>
        <v>Santa Rosa</v>
      </c>
      <c r="C87" t="str">
        <f>IFERROR(__xludf.DUMMYFUNCTION("""COMPUTED_VALUE"""),"CA")</f>
        <v>CA</v>
      </c>
      <c r="D87" t="str">
        <f>IFERROR(__xludf.DUMMYFUNCTION("""COMPUTED_VALUE"""),"USA")</f>
        <v>USA</v>
      </c>
      <c r="E87" s="188">
        <f>IFERROR(__xludf.DUMMYFUNCTION("""COMPUTED_VALUE"""),43202.0)</f>
        <v>43202</v>
      </c>
      <c r="F87" s="188">
        <f>IFERROR(__xludf.DUMMYFUNCTION("""COMPUTED_VALUE"""),43230.0)</f>
        <v>43230</v>
      </c>
      <c r="H87">
        <f>IFERROR(__xludf.DUMMYFUNCTION("""COMPUTED_VALUE"""),22355.0)</f>
        <v>22355</v>
      </c>
      <c r="J87" s="5">
        <f>IFERROR(__xludf.DUMMYFUNCTION("""COMPUTED_VALUE"""),43247.0)</f>
        <v>43247</v>
      </c>
      <c r="K87">
        <f>IFERROR(__xludf.DUMMYFUNCTION("""COMPUTED_VALUE"""),28.0)</f>
        <v>28</v>
      </c>
      <c r="L87">
        <f>IFERROR(__xludf.DUMMYFUNCTION("""COMPUTED_VALUE"""),17.0)</f>
        <v>17</v>
      </c>
      <c r="M87">
        <f>IFERROR(__xludf.DUMMYFUNCTION("""COMPUTED_VALUE"""),45.0)</f>
        <v>45</v>
      </c>
      <c r="N87" t="str">
        <f>IFERROR(__xludf.DUMMYFUNCTION("""COMPUTED_VALUE"""),"Model 3 LR")</f>
        <v>Model 3 LR</v>
      </c>
      <c r="O87" t="str">
        <f>IFERROR(__xludf.DUMMYFUNCTION("""COMPUTED_VALUE"""),"Red Multi-Coat")</f>
        <v>Red Multi-Coat</v>
      </c>
      <c r="P87" t="str">
        <f>IFERROR(__xludf.DUMMYFUNCTION("""COMPUTED_VALUE"""),"18 inch Aero")</f>
        <v>18 inch Aero</v>
      </c>
      <c r="Q87" t="str">
        <f>IFERROR(__xludf.DUMMYFUNCTION("""COMPUTED_VALUE"""),"Black seats")</f>
        <v>Black seats</v>
      </c>
      <c r="R87" t="str">
        <f>IFERROR(__xludf.DUMMYFUNCTION("""COMPUTED_VALUE"""),"Enhanced Autopilot")</f>
        <v>Enhanced Autopilot</v>
      </c>
      <c r="X87" t="str">
        <f>IFERROR(__xludf.DUMMYFUNCTION("""COMPUTED_VALUE"""),"Excellent")</f>
        <v>Excellent</v>
      </c>
      <c r="Y87" t="str">
        <f>IFERROR(__xludf.DUMMYFUNCTION("""COMPUTED_VALUE"""),"Excellent")</f>
        <v>Excellent</v>
      </c>
      <c r="Z87" t="str">
        <f>IFERROR(__xludf.DUMMYFUNCTION("""COMPUTED_VALUE"""),"Excellent")</f>
        <v>Excellent</v>
      </c>
      <c r="AB87" t="str">
        <f>IFERROR(__xludf.DUMMYFUNCTION("""COMPUTED_VALUE"""),"Excellent")</f>
        <v>Excellent</v>
      </c>
      <c r="AH87" s="189">
        <f>IFERROR(__xludf.DUMMYFUNCTION("""COMPUTED_VALUE"""),43249.426445150464)</f>
        <v>43249.42645</v>
      </c>
    </row>
    <row r="88">
      <c r="A88" t="str">
        <f>IFERROR(__xludf.DUMMYFUNCTION("""COMPUTED_VALUE"""),"jtraut")</f>
        <v>jtraut</v>
      </c>
      <c r="B88" t="str">
        <f>IFERROR(__xludf.DUMMYFUNCTION("""COMPUTED_VALUE"""),"Los Angeles")</f>
        <v>Los Angeles</v>
      </c>
      <c r="C88" t="str">
        <f>IFERROR(__xludf.DUMMYFUNCTION("""COMPUTED_VALUE"""),"CA")</f>
        <v>CA</v>
      </c>
      <c r="D88" t="str">
        <f>IFERROR(__xludf.DUMMYFUNCTION("""COMPUTED_VALUE"""),"USA")</f>
        <v>USA</v>
      </c>
      <c r="E88" s="188">
        <f>IFERROR(__xludf.DUMMYFUNCTION("""COMPUTED_VALUE"""),43205.0)</f>
        <v>43205</v>
      </c>
      <c r="F88" s="188">
        <f>IFERROR(__xludf.DUMMYFUNCTION("""COMPUTED_VALUE"""),43234.0)</f>
        <v>43234</v>
      </c>
      <c r="H88">
        <f>IFERROR(__xludf.DUMMYFUNCTION("""COMPUTED_VALUE"""),18855.0)</f>
        <v>18855</v>
      </c>
      <c r="J88" s="5">
        <f>IFERROR(__xludf.DUMMYFUNCTION("""COMPUTED_VALUE"""),43246.0)</f>
        <v>43246</v>
      </c>
      <c r="K88">
        <f>IFERROR(__xludf.DUMMYFUNCTION("""COMPUTED_VALUE"""),29.0)</f>
        <v>29</v>
      </c>
      <c r="L88">
        <f>IFERROR(__xludf.DUMMYFUNCTION("""COMPUTED_VALUE"""),12.0)</f>
        <v>12</v>
      </c>
      <c r="M88">
        <f>IFERROR(__xludf.DUMMYFUNCTION("""COMPUTED_VALUE"""),41.0)</f>
        <v>41</v>
      </c>
      <c r="N88" t="str">
        <f>IFERROR(__xludf.DUMMYFUNCTION("""COMPUTED_VALUE"""),"Model 3 LR")</f>
        <v>Model 3 LR</v>
      </c>
      <c r="O88" t="str">
        <f>IFERROR(__xludf.DUMMYFUNCTION("""COMPUTED_VALUE"""),"Midnight Silver Metallic")</f>
        <v>Midnight Silver Metallic</v>
      </c>
      <c r="P88" t="str">
        <f>IFERROR(__xludf.DUMMYFUNCTION("""COMPUTED_VALUE"""),"18 inch Aero")</f>
        <v>18 inch Aero</v>
      </c>
      <c r="Q88" t="str">
        <f>IFERROR(__xludf.DUMMYFUNCTION("""COMPUTED_VALUE"""),"Black seats")</f>
        <v>Black seats</v>
      </c>
      <c r="R88" t="str">
        <f>IFERROR(__xludf.DUMMYFUNCTION("""COMPUTED_VALUE"""),"Enhanced Autopilot")</f>
        <v>Enhanced Autopilot</v>
      </c>
      <c r="X88" t="str">
        <f>IFERROR(__xludf.DUMMYFUNCTION("""COMPUTED_VALUE"""),"Excellent")</f>
        <v>Excellent</v>
      </c>
      <c r="Y88" t="str">
        <f>IFERROR(__xludf.DUMMYFUNCTION("""COMPUTED_VALUE"""),"Excellent")</f>
        <v>Excellent</v>
      </c>
      <c r="Z88" t="str">
        <f>IFERROR(__xludf.DUMMYFUNCTION("""COMPUTED_VALUE"""),"Excellent")</f>
        <v>Excellent</v>
      </c>
      <c r="AB88" t="str">
        <f>IFERROR(__xludf.DUMMYFUNCTION("""COMPUTED_VALUE"""),"Very Good")</f>
        <v>Very Good</v>
      </c>
      <c r="AH88" s="189">
        <f>IFERROR(__xludf.DUMMYFUNCTION("""COMPUTED_VALUE"""),43249.433986793985)</f>
        <v>43249.43399</v>
      </c>
    </row>
    <row r="89">
      <c r="A89" t="str">
        <f>IFERROR(__xludf.DUMMYFUNCTION("""COMPUTED_VALUE"""),"jcor6")</f>
        <v>jcor6</v>
      </c>
      <c r="C89" t="str">
        <f>IFERROR(__xludf.DUMMYFUNCTION("""COMPUTED_VALUE"""),"SC")</f>
        <v>SC</v>
      </c>
      <c r="D89" t="str">
        <f>IFERROR(__xludf.DUMMYFUNCTION("""COMPUTED_VALUE"""),"USA")</f>
        <v>USA</v>
      </c>
      <c r="E89" s="188">
        <f>IFERROR(__xludf.DUMMYFUNCTION("""COMPUTED_VALUE"""),43203.0)</f>
        <v>43203</v>
      </c>
      <c r="F89" s="188">
        <f>IFERROR(__xludf.DUMMYFUNCTION("""COMPUTED_VALUE"""),43229.0)</f>
        <v>43229</v>
      </c>
      <c r="H89">
        <f>IFERROR(__xludf.DUMMYFUNCTION("""COMPUTED_VALUE"""),19355.0)</f>
        <v>19355</v>
      </c>
      <c r="J89" s="5">
        <f>IFERROR(__xludf.DUMMYFUNCTION("""COMPUTED_VALUE"""),43248.0)</f>
        <v>43248</v>
      </c>
      <c r="K89">
        <f>IFERROR(__xludf.DUMMYFUNCTION("""COMPUTED_VALUE"""),26.0)</f>
        <v>26</v>
      </c>
      <c r="L89">
        <f>IFERROR(__xludf.DUMMYFUNCTION("""COMPUTED_VALUE"""),19.0)</f>
        <v>19</v>
      </c>
      <c r="M89">
        <f>IFERROR(__xludf.DUMMYFUNCTION("""COMPUTED_VALUE"""),45.0)</f>
        <v>45</v>
      </c>
      <c r="N89" t="str">
        <f>IFERROR(__xludf.DUMMYFUNCTION("""COMPUTED_VALUE"""),"Model 3 LR")</f>
        <v>Model 3 LR</v>
      </c>
      <c r="O89" t="str">
        <f>IFERROR(__xludf.DUMMYFUNCTION("""COMPUTED_VALUE"""),"Red Multi-Coat")</f>
        <v>Red Multi-Coat</v>
      </c>
      <c r="P89" t="str">
        <f>IFERROR(__xludf.DUMMYFUNCTION("""COMPUTED_VALUE"""),"18 inch Aero")</f>
        <v>18 inch Aero</v>
      </c>
      <c r="Q89" t="str">
        <f>IFERROR(__xludf.DUMMYFUNCTION("""COMPUTED_VALUE"""),"Black seats")</f>
        <v>Black seats</v>
      </c>
      <c r="R89" t="str">
        <f>IFERROR(__xludf.DUMMYFUNCTION("""COMPUTED_VALUE"""),"Enhanced Autopilot")</f>
        <v>Enhanced Autopilot</v>
      </c>
      <c r="X89" t="str">
        <f>IFERROR(__xludf.DUMMYFUNCTION("""COMPUTED_VALUE"""),"Very Good")</f>
        <v>Very Good</v>
      </c>
      <c r="Y89" t="str">
        <f>IFERROR(__xludf.DUMMYFUNCTION("""COMPUTED_VALUE"""),"Very Good")</f>
        <v>Very Good</v>
      </c>
      <c r="Z89" t="str">
        <f>IFERROR(__xludf.DUMMYFUNCTION("""COMPUTED_VALUE"""),"Good")</f>
        <v>Good</v>
      </c>
      <c r="AB89" t="str">
        <f>IFERROR(__xludf.DUMMYFUNCTION("""COMPUTED_VALUE"""),"Very Good")</f>
        <v>Very Good</v>
      </c>
      <c r="AH89" s="189">
        <f>IFERROR(__xludf.DUMMYFUNCTION("""COMPUTED_VALUE"""),43249.4617496412)</f>
        <v>43249.46175</v>
      </c>
    </row>
    <row r="90">
      <c r="A90" t="str">
        <f>IFERROR(__xludf.DUMMYFUNCTION("""COMPUTED_VALUE"""),"LindyNet")</f>
        <v>LindyNet</v>
      </c>
      <c r="B90" t="str">
        <f>IFERROR(__xludf.DUMMYFUNCTION("""COMPUTED_VALUE"""),"TX")</f>
        <v>TX</v>
      </c>
      <c r="C90" t="str">
        <f>IFERROR(__xludf.DUMMYFUNCTION("""COMPUTED_VALUE"""),"TX")</f>
        <v>TX</v>
      </c>
      <c r="D90" t="str">
        <f>IFERROR(__xludf.DUMMYFUNCTION("""COMPUTED_VALUE"""),"USA")</f>
        <v>USA</v>
      </c>
      <c r="E90" s="188">
        <f>IFERROR(__xludf.DUMMYFUNCTION("""COMPUTED_VALUE"""),43196.0)</f>
        <v>43196</v>
      </c>
      <c r="F90" s="188">
        <f>IFERROR(__xludf.DUMMYFUNCTION("""COMPUTED_VALUE"""),43218.0)</f>
        <v>43218</v>
      </c>
      <c r="H90">
        <f>IFERROR(__xludf.DUMMYFUNCTION("""COMPUTED_VALUE"""),17155.0)</f>
        <v>17155</v>
      </c>
      <c r="J90" s="5">
        <f>IFERROR(__xludf.DUMMYFUNCTION("""COMPUTED_VALUE"""),43245.0)</f>
        <v>43245</v>
      </c>
      <c r="K90">
        <f>IFERROR(__xludf.DUMMYFUNCTION("""COMPUTED_VALUE"""),22.0)</f>
        <v>22</v>
      </c>
      <c r="L90">
        <f>IFERROR(__xludf.DUMMYFUNCTION("""COMPUTED_VALUE"""),27.0)</f>
        <v>27</v>
      </c>
      <c r="M90">
        <f>IFERROR(__xludf.DUMMYFUNCTION("""COMPUTED_VALUE"""),49.0)</f>
        <v>49</v>
      </c>
      <c r="N90" t="str">
        <f>IFERROR(__xludf.DUMMYFUNCTION("""COMPUTED_VALUE"""),"Model 3 LR")</f>
        <v>Model 3 LR</v>
      </c>
      <c r="O90" t="str">
        <f>IFERROR(__xludf.DUMMYFUNCTION("""COMPUTED_VALUE"""),"Deep Blue Metallic")</f>
        <v>Deep Blue Metallic</v>
      </c>
      <c r="P90" t="str">
        <f>IFERROR(__xludf.DUMMYFUNCTION("""COMPUTED_VALUE"""),"18 inch Aero")</f>
        <v>18 inch Aero</v>
      </c>
      <c r="Q90" t="str">
        <f>IFERROR(__xludf.DUMMYFUNCTION("""COMPUTED_VALUE"""),"Black seats")</f>
        <v>Black seats</v>
      </c>
      <c r="R90" t="str">
        <f>IFERROR(__xludf.DUMMYFUNCTION("""COMPUTED_VALUE"""),"Enhanced Autopilot")</f>
        <v>Enhanced Autopilot</v>
      </c>
      <c r="X90" t="str">
        <f>IFERROR(__xludf.DUMMYFUNCTION("""COMPUTED_VALUE"""),"Excellent")</f>
        <v>Excellent</v>
      </c>
      <c r="Y90" t="str">
        <f>IFERROR(__xludf.DUMMYFUNCTION("""COMPUTED_VALUE"""),"Excellent")</f>
        <v>Excellent</v>
      </c>
      <c r="Z90" t="str">
        <f>IFERROR(__xludf.DUMMYFUNCTION("""COMPUTED_VALUE"""),"Excellent")</f>
        <v>Excellent</v>
      </c>
      <c r="AB90" t="str">
        <f>IFERROR(__xludf.DUMMYFUNCTION("""COMPUTED_VALUE"""),"Fair")</f>
        <v>Fair</v>
      </c>
      <c r="AG90" t="str">
        <f>IFERROR(__xludf.DUMMYFUNCTION("""COMPUTED_VALUE"""),"Delivery xp was no bueno - never returned calls or emails")</f>
        <v>Delivery xp was no bueno - never returned calls or emails</v>
      </c>
      <c r="AH90" s="189">
        <f>IFERROR(__xludf.DUMMYFUNCTION("""COMPUTED_VALUE"""),43249.48793008101)</f>
        <v>43249.48793</v>
      </c>
    </row>
    <row r="91">
      <c r="A91" t="str">
        <f>IFERROR(__xludf.DUMMYFUNCTION("""COMPUTED_VALUE"""),"gogata99")</f>
        <v>gogata99</v>
      </c>
      <c r="B91" t="str">
        <f>IFERROR(__xludf.DUMMYFUNCTION("""COMPUTED_VALUE"""),"Gainesville")</f>
        <v>Gainesville</v>
      </c>
      <c r="C91" t="str">
        <f>IFERROR(__xludf.DUMMYFUNCTION("""COMPUTED_VALUE"""),"FL")</f>
        <v>FL</v>
      </c>
      <c r="D91" t="str">
        <f>IFERROR(__xludf.DUMMYFUNCTION("""COMPUTED_VALUE"""),"USA")</f>
        <v>USA</v>
      </c>
      <c r="E91" s="188">
        <f>IFERROR(__xludf.DUMMYFUNCTION("""COMPUTED_VALUE"""),43181.0)</f>
        <v>43181</v>
      </c>
      <c r="F91" s="188">
        <f>IFERROR(__xludf.DUMMYFUNCTION("""COMPUTED_VALUE"""),43203.0)</f>
        <v>43203</v>
      </c>
      <c r="H91">
        <f>IFERROR(__xludf.DUMMYFUNCTION("""COMPUTED_VALUE"""),14855.0)</f>
        <v>14855</v>
      </c>
      <c r="J91" s="5">
        <f>IFERROR(__xludf.DUMMYFUNCTION("""COMPUTED_VALUE"""),43232.0)</f>
        <v>43232</v>
      </c>
      <c r="K91">
        <f>IFERROR(__xludf.DUMMYFUNCTION("""COMPUTED_VALUE"""),22.0)</f>
        <v>22</v>
      </c>
      <c r="L91">
        <f>IFERROR(__xludf.DUMMYFUNCTION("""COMPUTED_VALUE"""),29.0)</f>
        <v>29</v>
      </c>
      <c r="M91">
        <f>IFERROR(__xludf.DUMMYFUNCTION("""COMPUTED_VALUE"""),51.0)</f>
        <v>51</v>
      </c>
      <c r="N91" t="str">
        <f>IFERROR(__xludf.DUMMYFUNCTION("""COMPUTED_VALUE"""),"Model 3 LR")</f>
        <v>Model 3 LR</v>
      </c>
      <c r="O91" t="str">
        <f>IFERROR(__xludf.DUMMYFUNCTION("""COMPUTED_VALUE"""),"Pearl White Multi-Coat")</f>
        <v>Pearl White Multi-Coat</v>
      </c>
      <c r="P91" t="str">
        <f>IFERROR(__xludf.DUMMYFUNCTION("""COMPUTED_VALUE"""),"18 inch Aero")</f>
        <v>18 inch Aero</v>
      </c>
      <c r="Q91" t="str">
        <f>IFERROR(__xludf.DUMMYFUNCTION("""COMPUTED_VALUE"""),"Black seats")</f>
        <v>Black seats</v>
      </c>
      <c r="R91" t="str">
        <f>IFERROR(__xludf.DUMMYFUNCTION("""COMPUTED_VALUE"""),"None")</f>
        <v>None</v>
      </c>
      <c r="X91" t="str">
        <f>IFERROR(__xludf.DUMMYFUNCTION("""COMPUTED_VALUE"""),"Excellent")</f>
        <v>Excellent</v>
      </c>
      <c r="Y91" t="str">
        <f>IFERROR(__xludf.DUMMYFUNCTION("""COMPUTED_VALUE"""),"Excellent")</f>
        <v>Excellent</v>
      </c>
      <c r="Z91" t="str">
        <f>IFERROR(__xludf.DUMMYFUNCTION("""COMPUTED_VALUE"""),"Very Good")</f>
        <v>Very Good</v>
      </c>
      <c r="AB91" t="str">
        <f>IFERROR(__xludf.DUMMYFUNCTION("""COMPUTED_VALUE"""),"Excellent")</f>
        <v>Excellent</v>
      </c>
      <c r="AH91" s="189">
        <f>IFERROR(__xludf.DUMMYFUNCTION("""COMPUTED_VALUE"""),43249.49855674768)</f>
        <v>43249.49856</v>
      </c>
    </row>
    <row r="92">
      <c r="A92" t="str">
        <f>IFERROR(__xludf.DUMMYFUNCTION("""COMPUTED_VALUE"""),"KurtD")</f>
        <v>KurtD</v>
      </c>
      <c r="B92" t="str">
        <f>IFERROR(__xludf.DUMMYFUNCTION("""COMPUTED_VALUE"""),"Raleigh")</f>
        <v>Raleigh</v>
      </c>
      <c r="C92" t="str">
        <f>IFERROR(__xludf.DUMMYFUNCTION("""COMPUTED_VALUE"""),"NC")</f>
        <v>NC</v>
      </c>
      <c r="D92" t="str">
        <f>IFERROR(__xludf.DUMMYFUNCTION("""COMPUTED_VALUE"""),"USA")</f>
        <v>USA</v>
      </c>
      <c r="E92" s="188">
        <f>IFERROR(__xludf.DUMMYFUNCTION("""COMPUTED_VALUE"""),43198.0)</f>
        <v>43198</v>
      </c>
      <c r="F92" s="188">
        <f>IFERROR(__xludf.DUMMYFUNCTION("""COMPUTED_VALUE"""),43227.0)</f>
        <v>43227</v>
      </c>
      <c r="H92">
        <f>IFERROR(__xludf.DUMMYFUNCTION("""COMPUTED_VALUE"""),22955.0)</f>
        <v>22955</v>
      </c>
      <c r="J92" s="5">
        <f>IFERROR(__xludf.DUMMYFUNCTION("""COMPUTED_VALUE"""),43245.0)</f>
        <v>43245</v>
      </c>
      <c r="K92">
        <f>IFERROR(__xludf.DUMMYFUNCTION("""COMPUTED_VALUE"""),29.0)</f>
        <v>29</v>
      </c>
      <c r="L92">
        <f>IFERROR(__xludf.DUMMYFUNCTION("""COMPUTED_VALUE"""),18.0)</f>
        <v>18</v>
      </c>
      <c r="M92">
        <f>IFERROR(__xludf.DUMMYFUNCTION("""COMPUTED_VALUE"""),47.0)</f>
        <v>47</v>
      </c>
      <c r="N92" t="str">
        <f>IFERROR(__xludf.DUMMYFUNCTION("""COMPUTED_VALUE"""),"Model 3 LR")</f>
        <v>Model 3 LR</v>
      </c>
      <c r="O92" t="str">
        <f>IFERROR(__xludf.DUMMYFUNCTION("""COMPUTED_VALUE"""),"Deep Blue Metallic")</f>
        <v>Deep Blue Metallic</v>
      </c>
      <c r="P92" t="str">
        <f>IFERROR(__xludf.DUMMYFUNCTION("""COMPUTED_VALUE"""),"18 inch Aero")</f>
        <v>18 inch Aero</v>
      </c>
      <c r="Q92" t="str">
        <f>IFERROR(__xludf.DUMMYFUNCTION("""COMPUTED_VALUE"""),"Black seats")</f>
        <v>Black seats</v>
      </c>
      <c r="R92" t="str">
        <f>IFERROR(__xludf.DUMMYFUNCTION("""COMPUTED_VALUE"""),"Enhanced Autopilot")</f>
        <v>Enhanced Autopilot</v>
      </c>
      <c r="X92" t="str">
        <f>IFERROR(__xludf.DUMMYFUNCTION("""COMPUTED_VALUE"""),"Good")</f>
        <v>Good</v>
      </c>
      <c r="Y92" t="str">
        <f>IFERROR(__xludf.DUMMYFUNCTION("""COMPUTED_VALUE"""),"Excellent")</f>
        <v>Excellent</v>
      </c>
      <c r="Z92" t="str">
        <f>IFERROR(__xludf.DUMMYFUNCTION("""COMPUTED_VALUE"""),"Excellent")</f>
        <v>Excellent</v>
      </c>
      <c r="AB92" t="str">
        <f>IFERROR(__xludf.DUMMYFUNCTION("""COMPUTED_VALUE"""),"Very Good")</f>
        <v>Very Good</v>
      </c>
      <c r="AH92" s="189">
        <f>IFERROR(__xludf.DUMMYFUNCTION("""COMPUTED_VALUE"""),43249.50188978009)</f>
        <v>43249.50189</v>
      </c>
    </row>
    <row r="93">
      <c r="A93" t="str">
        <f>IFERROR(__xludf.DUMMYFUNCTION("""COMPUTED_VALUE"""),"lawduck")</f>
        <v>lawduck</v>
      </c>
      <c r="B93" t="str">
        <f>IFERROR(__xludf.DUMMYFUNCTION("""COMPUTED_VALUE"""),"Vancouver")</f>
        <v>Vancouver</v>
      </c>
      <c r="C93" t="str">
        <f>IFERROR(__xludf.DUMMYFUNCTION("""COMPUTED_VALUE"""),"WA")</f>
        <v>WA</v>
      </c>
      <c r="D93" t="str">
        <f>IFERROR(__xludf.DUMMYFUNCTION("""COMPUTED_VALUE"""),"USA")</f>
        <v>USA</v>
      </c>
      <c r="E93" s="188">
        <f>IFERROR(__xludf.DUMMYFUNCTION("""COMPUTED_VALUE"""),43208.0)</f>
        <v>43208</v>
      </c>
      <c r="F93" s="188">
        <f>IFERROR(__xludf.DUMMYFUNCTION("""COMPUTED_VALUE"""),43233.0)</f>
        <v>43233</v>
      </c>
      <c r="H93">
        <f>IFERROR(__xludf.DUMMYFUNCTION("""COMPUTED_VALUE"""),22496.0)</f>
        <v>22496</v>
      </c>
      <c r="J93" s="5">
        <f>IFERROR(__xludf.DUMMYFUNCTION("""COMPUTED_VALUE"""),43245.0)</f>
        <v>43245</v>
      </c>
      <c r="K93">
        <f>IFERROR(__xludf.DUMMYFUNCTION("""COMPUTED_VALUE"""),25.0)</f>
        <v>25</v>
      </c>
      <c r="L93">
        <f>IFERROR(__xludf.DUMMYFUNCTION("""COMPUTED_VALUE"""),12.0)</f>
        <v>12</v>
      </c>
      <c r="M93">
        <f>IFERROR(__xludf.DUMMYFUNCTION("""COMPUTED_VALUE"""),37.0)</f>
        <v>37</v>
      </c>
      <c r="N93" t="str">
        <f>IFERROR(__xludf.DUMMYFUNCTION("""COMPUTED_VALUE"""),"Model 3 LR")</f>
        <v>Model 3 LR</v>
      </c>
      <c r="O93" t="str">
        <f>IFERROR(__xludf.DUMMYFUNCTION("""COMPUTED_VALUE"""),"Deep Blue Metallic")</f>
        <v>Deep Blue Metallic</v>
      </c>
      <c r="P93" t="str">
        <f>IFERROR(__xludf.DUMMYFUNCTION("""COMPUTED_VALUE"""),"18 inch Aero")</f>
        <v>18 inch Aero</v>
      </c>
      <c r="Q93" t="str">
        <f>IFERROR(__xludf.DUMMYFUNCTION("""COMPUTED_VALUE"""),"Black seats")</f>
        <v>Black seats</v>
      </c>
      <c r="R93" t="str">
        <f>IFERROR(__xludf.DUMMYFUNCTION("""COMPUTED_VALUE"""),"Full Self-Driving")</f>
        <v>Full Self-Driving</v>
      </c>
      <c r="X93" t="str">
        <f>IFERROR(__xludf.DUMMYFUNCTION("""COMPUTED_VALUE"""),"Excellent")</f>
        <v>Excellent</v>
      </c>
      <c r="Y93" t="str">
        <f>IFERROR(__xludf.DUMMYFUNCTION("""COMPUTED_VALUE"""),"Excellent")</f>
        <v>Excellent</v>
      </c>
      <c r="Z93" t="str">
        <f>IFERROR(__xludf.DUMMYFUNCTION("""COMPUTED_VALUE"""),"Excellent")</f>
        <v>Excellent</v>
      </c>
      <c r="AB93" t="str">
        <f>IFERROR(__xludf.DUMMYFUNCTION("""COMPUTED_VALUE"""),"Excellent")</f>
        <v>Excellent</v>
      </c>
      <c r="AH93" s="189">
        <f>IFERROR(__xludf.DUMMYFUNCTION("""COMPUTED_VALUE"""),43249.557451875)</f>
        <v>43249.55745</v>
      </c>
    </row>
    <row r="94">
      <c r="A94" t="str">
        <f>IFERROR(__xludf.DUMMYFUNCTION("""COMPUTED_VALUE"""),"JohnGriffith")</f>
        <v>JohnGriffith</v>
      </c>
      <c r="B94" t="str">
        <f>IFERROR(__xludf.DUMMYFUNCTION("""COMPUTED_VALUE"""),"Costa Mesa")</f>
        <v>Costa Mesa</v>
      </c>
      <c r="C94" t="str">
        <f>IFERROR(__xludf.DUMMYFUNCTION("""COMPUTED_VALUE"""),"CA")</f>
        <v>CA</v>
      </c>
      <c r="D94" t="str">
        <f>IFERROR(__xludf.DUMMYFUNCTION("""COMPUTED_VALUE"""),"USA")</f>
        <v>USA</v>
      </c>
      <c r="E94" s="188">
        <f>IFERROR(__xludf.DUMMYFUNCTION("""COMPUTED_VALUE"""),43195.0)</f>
        <v>43195</v>
      </c>
      <c r="F94" s="188">
        <f>IFERROR(__xludf.DUMMYFUNCTION("""COMPUTED_VALUE"""),43203.0)</f>
        <v>43203</v>
      </c>
      <c r="H94">
        <f>IFERROR(__xludf.DUMMYFUNCTION("""COMPUTED_VALUE"""),17992.0)</f>
        <v>17992</v>
      </c>
      <c r="J94" s="5">
        <f>IFERROR(__xludf.DUMMYFUNCTION("""COMPUTED_VALUE"""),43216.0)</f>
        <v>43216</v>
      </c>
      <c r="K94">
        <f>IFERROR(__xludf.DUMMYFUNCTION("""COMPUTED_VALUE"""),8.0)</f>
        <v>8</v>
      </c>
      <c r="L94">
        <f>IFERROR(__xludf.DUMMYFUNCTION("""COMPUTED_VALUE"""),13.0)</f>
        <v>13</v>
      </c>
      <c r="M94">
        <f>IFERROR(__xludf.DUMMYFUNCTION("""COMPUTED_VALUE"""),21.0)</f>
        <v>21</v>
      </c>
      <c r="N94" t="str">
        <f>IFERROR(__xludf.DUMMYFUNCTION("""COMPUTED_VALUE"""),"Model 3 LR")</f>
        <v>Model 3 LR</v>
      </c>
      <c r="O94" t="str">
        <f>IFERROR(__xludf.DUMMYFUNCTION("""COMPUTED_VALUE"""),"Silver Metallic")</f>
        <v>Silver Metallic</v>
      </c>
      <c r="P94" t="str">
        <f>IFERROR(__xludf.DUMMYFUNCTION("""COMPUTED_VALUE"""),"19 inch Sport")</f>
        <v>19 inch Sport</v>
      </c>
      <c r="Q94" t="str">
        <f>IFERROR(__xludf.DUMMYFUNCTION("""COMPUTED_VALUE"""),"Black seats")</f>
        <v>Black seats</v>
      </c>
      <c r="R94" t="str">
        <f>IFERROR(__xludf.DUMMYFUNCTION("""COMPUTED_VALUE"""),"Enhanced Autopilot")</f>
        <v>Enhanced Autopilot</v>
      </c>
      <c r="X94" t="str">
        <f>IFERROR(__xludf.DUMMYFUNCTION("""COMPUTED_VALUE"""),"Very Good")</f>
        <v>Very Good</v>
      </c>
      <c r="Y94" t="str">
        <f>IFERROR(__xludf.DUMMYFUNCTION("""COMPUTED_VALUE"""),"Excellent")</f>
        <v>Excellent</v>
      </c>
      <c r="Z94" t="str">
        <f>IFERROR(__xludf.DUMMYFUNCTION("""COMPUTED_VALUE"""),"Very Good")</f>
        <v>Very Good</v>
      </c>
      <c r="AB94" t="str">
        <f>IFERROR(__xludf.DUMMYFUNCTION("""COMPUTED_VALUE"""),"Excellent")</f>
        <v>Excellent</v>
      </c>
      <c r="AG94" t="str">
        <f>IFERROR(__xludf.DUMMYFUNCTION("""COMPUTED_VALUE"""),"Prefer AWD")</f>
        <v>Prefer AWD</v>
      </c>
      <c r="AH94" s="189">
        <f>IFERROR(__xludf.DUMMYFUNCTION("""COMPUTED_VALUE"""),43249.56133174768)</f>
        <v>43249.56133</v>
      </c>
    </row>
    <row r="95">
      <c r="A95" t="str">
        <f>IFERROR(__xludf.DUMMYFUNCTION("""COMPUTED_VALUE"""),"needOnlyPositive")</f>
        <v>needOnlyPositive</v>
      </c>
      <c r="B95" t="str">
        <f>IFERROR(__xludf.DUMMYFUNCTION("""COMPUTED_VALUE"""),"Remond")</f>
        <v>Remond</v>
      </c>
      <c r="C95" t="str">
        <f>IFERROR(__xludf.DUMMYFUNCTION("""COMPUTED_VALUE"""),"WA")</f>
        <v>WA</v>
      </c>
      <c r="D95" t="str">
        <f>IFERROR(__xludf.DUMMYFUNCTION("""COMPUTED_VALUE"""),"USA")</f>
        <v>USA</v>
      </c>
      <c r="E95" s="188">
        <f>IFERROR(__xludf.DUMMYFUNCTION("""COMPUTED_VALUE"""),43206.0)</f>
        <v>43206</v>
      </c>
      <c r="F95" s="188">
        <f>IFERROR(__xludf.DUMMYFUNCTION("""COMPUTED_VALUE"""),43228.0)</f>
        <v>43228</v>
      </c>
      <c r="H95">
        <f>IFERROR(__xludf.DUMMYFUNCTION("""COMPUTED_VALUE"""),22345.0)</f>
        <v>22345</v>
      </c>
      <c r="J95" s="5">
        <f>IFERROR(__xludf.DUMMYFUNCTION("""COMPUTED_VALUE"""),43249.0)</f>
        <v>43249</v>
      </c>
      <c r="K95">
        <f>IFERROR(__xludf.DUMMYFUNCTION("""COMPUTED_VALUE"""),22.0)</f>
        <v>22</v>
      </c>
      <c r="L95">
        <f>IFERROR(__xludf.DUMMYFUNCTION("""COMPUTED_VALUE"""),21.0)</f>
        <v>21</v>
      </c>
      <c r="M95">
        <f>IFERROR(__xludf.DUMMYFUNCTION("""COMPUTED_VALUE"""),43.0)</f>
        <v>43</v>
      </c>
      <c r="N95" t="str">
        <f>IFERROR(__xludf.DUMMYFUNCTION("""COMPUTED_VALUE"""),"Model 3 LR")</f>
        <v>Model 3 LR</v>
      </c>
      <c r="O95" t="str">
        <f>IFERROR(__xludf.DUMMYFUNCTION("""COMPUTED_VALUE"""),"Red Multi-Coat")</f>
        <v>Red Multi-Coat</v>
      </c>
      <c r="P95" t="str">
        <f>IFERROR(__xludf.DUMMYFUNCTION("""COMPUTED_VALUE"""),"18 inch Aero")</f>
        <v>18 inch Aero</v>
      </c>
      <c r="Q95" t="str">
        <f>IFERROR(__xludf.DUMMYFUNCTION("""COMPUTED_VALUE"""),"Black seats")</f>
        <v>Black seats</v>
      </c>
      <c r="R95" t="str">
        <f>IFERROR(__xludf.DUMMYFUNCTION("""COMPUTED_VALUE"""),"Enhanced Autopilot")</f>
        <v>Enhanced Autopilot</v>
      </c>
      <c r="X95" t="str">
        <f>IFERROR(__xludf.DUMMYFUNCTION("""COMPUTED_VALUE"""),"Very Good")</f>
        <v>Very Good</v>
      </c>
      <c r="Y95" t="str">
        <f>IFERROR(__xludf.DUMMYFUNCTION("""COMPUTED_VALUE"""),"Excellent")</f>
        <v>Excellent</v>
      </c>
      <c r="Z95" t="str">
        <f>IFERROR(__xludf.DUMMYFUNCTION("""COMPUTED_VALUE"""),"Good")</f>
        <v>Good</v>
      </c>
      <c r="AB95" t="str">
        <f>IFERROR(__xludf.DUMMYFUNCTION("""COMPUTED_VALUE"""),"Excellent")</f>
        <v>Excellent</v>
      </c>
      <c r="AH95" s="189">
        <f>IFERROR(__xludf.DUMMYFUNCTION("""COMPUTED_VALUE"""),43249.57800228009)</f>
        <v>43249.578</v>
      </c>
    </row>
    <row r="96">
      <c r="A96" t="str">
        <f>IFERROR(__xludf.DUMMYFUNCTION("""COMPUTED_VALUE"""),"Milo")</f>
        <v>Milo</v>
      </c>
      <c r="C96" t="str">
        <f>IFERROR(__xludf.DUMMYFUNCTION("""COMPUTED_VALUE"""),"MN")</f>
        <v>MN</v>
      </c>
      <c r="D96" t="str">
        <f>IFERROR(__xludf.DUMMYFUNCTION("""COMPUTED_VALUE"""),"USA")</f>
        <v>USA</v>
      </c>
      <c r="E96" s="188">
        <f>IFERROR(__xludf.DUMMYFUNCTION("""COMPUTED_VALUE"""),43197.0)</f>
        <v>43197</v>
      </c>
      <c r="F96" s="188">
        <f>IFERROR(__xludf.DUMMYFUNCTION("""COMPUTED_VALUE"""),43229.0)</f>
        <v>43229</v>
      </c>
      <c r="H96">
        <f>IFERROR(__xludf.DUMMYFUNCTION("""COMPUTED_VALUE"""),20655.0)</f>
        <v>20655</v>
      </c>
      <c r="J96" s="5">
        <f>IFERROR(__xludf.DUMMYFUNCTION("""COMPUTED_VALUE"""),43246.0)</f>
        <v>43246</v>
      </c>
      <c r="K96">
        <f>IFERROR(__xludf.DUMMYFUNCTION("""COMPUTED_VALUE"""),32.0)</f>
        <v>32</v>
      </c>
      <c r="L96">
        <f>IFERROR(__xludf.DUMMYFUNCTION("""COMPUTED_VALUE"""),17.0)</f>
        <v>17</v>
      </c>
      <c r="M96">
        <f>IFERROR(__xludf.DUMMYFUNCTION("""COMPUTED_VALUE"""),49.0)</f>
        <v>49</v>
      </c>
      <c r="N96" t="str">
        <f>IFERROR(__xludf.DUMMYFUNCTION("""COMPUTED_VALUE"""),"Model 3 LR")</f>
        <v>Model 3 LR</v>
      </c>
      <c r="O96" t="str">
        <f>IFERROR(__xludf.DUMMYFUNCTION("""COMPUTED_VALUE"""),"Solid Black")</f>
        <v>Solid Black</v>
      </c>
      <c r="P96" t="str">
        <f>IFERROR(__xludf.DUMMYFUNCTION("""COMPUTED_VALUE"""),"18 inch Aero")</f>
        <v>18 inch Aero</v>
      </c>
      <c r="Q96" t="str">
        <f>IFERROR(__xludf.DUMMYFUNCTION("""COMPUTED_VALUE"""),"Black seats")</f>
        <v>Black seats</v>
      </c>
      <c r="R96" t="str">
        <f>IFERROR(__xludf.DUMMYFUNCTION("""COMPUTED_VALUE"""),"Enhanced Autopilot")</f>
        <v>Enhanced Autopilot</v>
      </c>
      <c r="X96" t="str">
        <f>IFERROR(__xludf.DUMMYFUNCTION("""COMPUTED_VALUE"""),"Excellent")</f>
        <v>Excellent</v>
      </c>
      <c r="Y96" t="str">
        <f>IFERROR(__xludf.DUMMYFUNCTION("""COMPUTED_VALUE"""),"Excellent")</f>
        <v>Excellent</v>
      </c>
      <c r="Z96" t="str">
        <f>IFERROR(__xludf.DUMMYFUNCTION("""COMPUTED_VALUE"""),"Excellent")</f>
        <v>Excellent</v>
      </c>
      <c r="AB96" t="str">
        <f>IFERROR(__xludf.DUMMYFUNCTION("""COMPUTED_VALUE"""),"Excellent")</f>
        <v>Excellent</v>
      </c>
      <c r="AH96" s="189">
        <f>IFERROR(__xludf.DUMMYFUNCTION("""COMPUTED_VALUE"""),43249.58151988426)</f>
        <v>43249.58152</v>
      </c>
    </row>
    <row r="97">
      <c r="A97" t="str">
        <f>IFERROR(__xludf.DUMMYFUNCTION("""COMPUTED_VALUE"""),"kyoshero")</f>
        <v>kyoshero</v>
      </c>
      <c r="B97" t="str">
        <f>IFERROR(__xludf.DUMMYFUNCTION("""COMPUTED_VALUE"""),"Fremont")</f>
        <v>Fremont</v>
      </c>
      <c r="C97" t="str">
        <f>IFERROR(__xludf.DUMMYFUNCTION("""COMPUTED_VALUE"""),"CA")</f>
        <v>CA</v>
      </c>
      <c r="D97" t="str">
        <f>IFERROR(__xludf.DUMMYFUNCTION("""COMPUTED_VALUE"""),"USA")</f>
        <v>USA</v>
      </c>
      <c r="E97" s="188">
        <f>IFERROR(__xludf.DUMMYFUNCTION("""COMPUTED_VALUE"""),43208.0)</f>
        <v>43208</v>
      </c>
      <c r="F97" s="188">
        <f>IFERROR(__xludf.DUMMYFUNCTION("""COMPUTED_VALUE"""),43244.0)</f>
        <v>43244</v>
      </c>
      <c r="H97">
        <f>IFERROR(__xludf.DUMMYFUNCTION("""COMPUTED_VALUE"""),21455.0)</f>
        <v>21455</v>
      </c>
      <c r="J97" s="5">
        <f>IFERROR(__xludf.DUMMYFUNCTION("""COMPUTED_VALUE"""),43247.0)</f>
        <v>43247</v>
      </c>
      <c r="K97">
        <f>IFERROR(__xludf.DUMMYFUNCTION("""COMPUTED_VALUE"""),36.0)</f>
        <v>36</v>
      </c>
      <c r="L97">
        <f>IFERROR(__xludf.DUMMYFUNCTION("""COMPUTED_VALUE"""),3.0)</f>
        <v>3</v>
      </c>
      <c r="M97">
        <f>IFERROR(__xludf.DUMMYFUNCTION("""COMPUTED_VALUE"""),39.0)</f>
        <v>39</v>
      </c>
      <c r="N97" t="str">
        <f>IFERROR(__xludf.DUMMYFUNCTION("""COMPUTED_VALUE"""),"Model 3 LR")</f>
        <v>Model 3 LR</v>
      </c>
      <c r="O97" t="str">
        <f>IFERROR(__xludf.DUMMYFUNCTION("""COMPUTED_VALUE"""),"Midnight Silver Metallic")</f>
        <v>Midnight Silver Metallic</v>
      </c>
      <c r="P97" t="str">
        <f>IFERROR(__xludf.DUMMYFUNCTION("""COMPUTED_VALUE"""),"18 inch Aero")</f>
        <v>18 inch Aero</v>
      </c>
      <c r="Q97" t="str">
        <f>IFERROR(__xludf.DUMMYFUNCTION("""COMPUTED_VALUE"""),"Black seats")</f>
        <v>Black seats</v>
      </c>
      <c r="R97" t="str">
        <f>IFERROR(__xludf.DUMMYFUNCTION("""COMPUTED_VALUE"""),"None")</f>
        <v>None</v>
      </c>
      <c r="X97" t="str">
        <f>IFERROR(__xludf.DUMMYFUNCTION("""COMPUTED_VALUE"""),"Very Good")</f>
        <v>Very Good</v>
      </c>
      <c r="Y97" t="str">
        <f>IFERROR(__xludf.DUMMYFUNCTION("""COMPUTED_VALUE"""),"Excellent")</f>
        <v>Excellent</v>
      </c>
      <c r="Z97" t="str">
        <f>IFERROR(__xludf.DUMMYFUNCTION("""COMPUTED_VALUE"""),"Excellent")</f>
        <v>Excellent</v>
      </c>
      <c r="AB97" t="str">
        <f>IFERROR(__xludf.DUMMYFUNCTION("""COMPUTED_VALUE"""),"Good")</f>
        <v>Good</v>
      </c>
      <c r="AH97" s="189">
        <f>IFERROR(__xludf.DUMMYFUNCTION("""COMPUTED_VALUE"""),43249.625798043984)</f>
        <v>43249.6258</v>
      </c>
    </row>
    <row r="98">
      <c r="A98" t="str">
        <f>IFERROR(__xludf.DUMMYFUNCTION("""COMPUTED_VALUE"""),"Tmuell1")</f>
        <v>Tmuell1</v>
      </c>
      <c r="B98" t="str">
        <f>IFERROR(__xludf.DUMMYFUNCTION("""COMPUTED_VALUE"""),"Columbia")</f>
        <v>Columbia</v>
      </c>
      <c r="C98" t="str">
        <f>IFERROR(__xludf.DUMMYFUNCTION("""COMPUTED_VALUE"""),"MD")</f>
        <v>MD</v>
      </c>
      <c r="D98" t="str">
        <f>IFERROR(__xludf.DUMMYFUNCTION("""COMPUTED_VALUE"""),"USA")</f>
        <v>USA</v>
      </c>
      <c r="E98" s="188">
        <f>IFERROR(__xludf.DUMMYFUNCTION("""COMPUTED_VALUE"""),43200.0)</f>
        <v>43200</v>
      </c>
      <c r="F98" s="188">
        <f>IFERROR(__xludf.DUMMYFUNCTION("""COMPUTED_VALUE"""),43202.0)</f>
        <v>43202</v>
      </c>
      <c r="H98">
        <f>IFERROR(__xludf.DUMMYFUNCTION("""COMPUTED_VALUE"""),17655.0)</f>
        <v>17655</v>
      </c>
      <c r="J98" s="5">
        <f>IFERROR(__xludf.DUMMYFUNCTION("""COMPUTED_VALUE"""),43221.0)</f>
        <v>43221</v>
      </c>
      <c r="K98">
        <f>IFERROR(__xludf.DUMMYFUNCTION("""COMPUTED_VALUE"""),2.0)</f>
        <v>2</v>
      </c>
      <c r="L98">
        <f>IFERROR(__xludf.DUMMYFUNCTION("""COMPUTED_VALUE"""),19.0)</f>
        <v>19</v>
      </c>
      <c r="M98">
        <f>IFERROR(__xludf.DUMMYFUNCTION("""COMPUTED_VALUE"""),21.0)</f>
        <v>21</v>
      </c>
      <c r="N98" t="str">
        <f>IFERROR(__xludf.DUMMYFUNCTION("""COMPUTED_VALUE"""),"Model 3 LR")</f>
        <v>Model 3 LR</v>
      </c>
      <c r="O98" t="str">
        <f>IFERROR(__xludf.DUMMYFUNCTION("""COMPUTED_VALUE"""),"Solid Black")</f>
        <v>Solid Black</v>
      </c>
      <c r="P98" t="str">
        <f>IFERROR(__xludf.DUMMYFUNCTION("""COMPUTED_VALUE"""),"19 inch Sport")</f>
        <v>19 inch Sport</v>
      </c>
      <c r="Q98" t="str">
        <f>IFERROR(__xludf.DUMMYFUNCTION("""COMPUTED_VALUE"""),"Black seats")</f>
        <v>Black seats</v>
      </c>
      <c r="R98" t="str">
        <f>IFERROR(__xludf.DUMMYFUNCTION("""COMPUTED_VALUE"""),"Enhanced Autopilot")</f>
        <v>Enhanced Autopilot</v>
      </c>
      <c r="X98" t="str">
        <f>IFERROR(__xludf.DUMMYFUNCTION("""COMPUTED_VALUE"""),"Excellent")</f>
        <v>Excellent</v>
      </c>
      <c r="Y98" t="str">
        <f>IFERROR(__xludf.DUMMYFUNCTION("""COMPUTED_VALUE"""),"Excellent")</f>
        <v>Excellent</v>
      </c>
      <c r="Z98" t="str">
        <f>IFERROR(__xludf.DUMMYFUNCTION("""COMPUTED_VALUE"""),"Excellent")</f>
        <v>Excellent</v>
      </c>
      <c r="AA98" t="str">
        <f>IFERROR(__xludf.DUMMYFUNCTION("""COMPUTED_VALUE"""),"Fair")</f>
        <v>Fair</v>
      </c>
      <c r="AB98" t="str">
        <f>IFERROR(__xludf.DUMMYFUNCTION("""COMPUTED_VALUE"""),"Excellent")</f>
        <v>Excellent</v>
      </c>
      <c r="AH98" s="189">
        <f>IFERROR(__xludf.DUMMYFUNCTION("""COMPUTED_VALUE"""),43249.67502173611)</f>
        <v>43249.67502</v>
      </c>
    </row>
    <row r="99">
      <c r="A99" t="str">
        <f>IFERROR(__xludf.DUMMYFUNCTION("""COMPUTED_VALUE"""),"warpflyght")</f>
        <v>warpflyght</v>
      </c>
      <c r="B99" t="str">
        <f>IFERROR(__xludf.DUMMYFUNCTION("""COMPUTED_VALUE"""),"SF Bay Area")</f>
        <v>SF Bay Area</v>
      </c>
      <c r="C99" t="str">
        <f>IFERROR(__xludf.DUMMYFUNCTION("""COMPUTED_VALUE"""),"CA")</f>
        <v>CA</v>
      </c>
      <c r="D99" t="str">
        <f>IFERROR(__xludf.DUMMYFUNCTION("""COMPUTED_VALUE"""),"USA")</f>
        <v>USA</v>
      </c>
      <c r="E99" s="188">
        <f>IFERROR(__xludf.DUMMYFUNCTION("""COMPUTED_VALUE"""),43208.0)</f>
        <v>43208</v>
      </c>
      <c r="F99" s="188">
        <f>IFERROR(__xludf.DUMMYFUNCTION("""COMPUTED_VALUE"""),43245.0)</f>
        <v>43245</v>
      </c>
      <c r="H99">
        <f>IFERROR(__xludf.DUMMYFUNCTION("""COMPUTED_VALUE"""),26855.0)</f>
        <v>26855</v>
      </c>
      <c r="J99" s="5">
        <f>IFERROR(__xludf.DUMMYFUNCTION("""COMPUTED_VALUE"""),43246.0)</f>
        <v>43246</v>
      </c>
      <c r="K99">
        <f>IFERROR(__xludf.DUMMYFUNCTION("""COMPUTED_VALUE"""),37.0)</f>
        <v>37</v>
      </c>
      <c r="L99">
        <f>IFERROR(__xludf.DUMMYFUNCTION("""COMPUTED_VALUE"""),1.0)</f>
        <v>1</v>
      </c>
      <c r="M99">
        <f>IFERROR(__xludf.DUMMYFUNCTION("""COMPUTED_VALUE"""),38.0)</f>
        <v>38</v>
      </c>
      <c r="N99" t="str">
        <f>IFERROR(__xludf.DUMMYFUNCTION("""COMPUTED_VALUE"""),"Model 3 LR")</f>
        <v>Model 3 LR</v>
      </c>
      <c r="O99" t="str">
        <f>IFERROR(__xludf.DUMMYFUNCTION("""COMPUTED_VALUE"""),"Red Multi-Coat")</f>
        <v>Red Multi-Coat</v>
      </c>
      <c r="P99" t="str">
        <f>IFERROR(__xludf.DUMMYFUNCTION("""COMPUTED_VALUE"""),"18 inch Aero")</f>
        <v>18 inch Aero</v>
      </c>
      <c r="Q99" t="str">
        <f>IFERROR(__xludf.DUMMYFUNCTION("""COMPUTED_VALUE"""),"Black seats")</f>
        <v>Black seats</v>
      </c>
      <c r="R99" t="str">
        <f>IFERROR(__xludf.DUMMYFUNCTION("""COMPUTED_VALUE"""),"Enhanced Autopilot")</f>
        <v>Enhanced Autopilot</v>
      </c>
      <c r="X99" t="str">
        <f>IFERROR(__xludf.DUMMYFUNCTION("""COMPUTED_VALUE"""),"Good")</f>
        <v>Good</v>
      </c>
      <c r="Y99" t="str">
        <f>IFERROR(__xludf.DUMMYFUNCTION("""COMPUTED_VALUE"""),"Excellent")</f>
        <v>Excellent</v>
      </c>
      <c r="Z99" t="str">
        <f>IFERROR(__xludf.DUMMYFUNCTION("""COMPUTED_VALUE"""),"Excellent")</f>
        <v>Excellent</v>
      </c>
      <c r="AA99" t="str">
        <f>IFERROR(__xludf.DUMMYFUNCTION("""COMPUTED_VALUE"""),"Excellent")</f>
        <v>Excellent</v>
      </c>
      <c r="AB99" t="str">
        <f>IFERROR(__xludf.DUMMYFUNCTION("""COMPUTED_VALUE"""),"Excellent")</f>
        <v>Excellent</v>
      </c>
      <c r="AH99" s="189">
        <f>IFERROR(__xludf.DUMMYFUNCTION("""COMPUTED_VALUE"""),43249.830762303245)</f>
        <v>43249.83076</v>
      </c>
    </row>
    <row r="100">
      <c r="A100" t="str">
        <f>IFERROR(__xludf.DUMMYFUNCTION("""COMPUTED_VALUE"""),"zfsnoob")</f>
        <v>zfsnoob</v>
      </c>
      <c r="B100" t="str">
        <f>IFERROR(__xludf.DUMMYFUNCTION("""COMPUTED_VALUE"""),"Bay Area")</f>
        <v>Bay Area</v>
      </c>
      <c r="C100" t="str">
        <f>IFERROR(__xludf.DUMMYFUNCTION("""COMPUTED_VALUE"""),"CA")</f>
        <v>CA</v>
      </c>
      <c r="D100" t="str">
        <f>IFERROR(__xludf.DUMMYFUNCTION("""COMPUTED_VALUE"""),"USA")</f>
        <v>USA</v>
      </c>
      <c r="E100" s="188">
        <f>IFERROR(__xludf.DUMMYFUNCTION("""COMPUTED_VALUE"""),43208.0)</f>
        <v>43208</v>
      </c>
      <c r="F100" s="188">
        <f>IFERROR(__xludf.DUMMYFUNCTION("""COMPUTED_VALUE"""),43243.0)</f>
        <v>43243</v>
      </c>
      <c r="H100">
        <f>IFERROR(__xludf.DUMMYFUNCTION("""COMPUTED_VALUE"""),26255.0)</f>
        <v>26255</v>
      </c>
      <c r="J100" s="5">
        <f>IFERROR(__xludf.DUMMYFUNCTION("""COMPUTED_VALUE"""),43249.0)</f>
        <v>43249</v>
      </c>
      <c r="K100">
        <f>IFERROR(__xludf.DUMMYFUNCTION("""COMPUTED_VALUE"""),35.0)</f>
        <v>35</v>
      </c>
      <c r="L100">
        <f>IFERROR(__xludf.DUMMYFUNCTION("""COMPUTED_VALUE"""),6.0)</f>
        <v>6</v>
      </c>
      <c r="M100">
        <f>IFERROR(__xludf.DUMMYFUNCTION("""COMPUTED_VALUE"""),41.0)</f>
        <v>41</v>
      </c>
      <c r="N100" t="str">
        <f>IFERROR(__xludf.DUMMYFUNCTION("""COMPUTED_VALUE"""),"Model 3 LR")</f>
        <v>Model 3 LR</v>
      </c>
      <c r="O100" t="str">
        <f>IFERROR(__xludf.DUMMYFUNCTION("""COMPUTED_VALUE"""),"Pearl White Multi-Coat")</f>
        <v>Pearl White Multi-Coat</v>
      </c>
      <c r="P100" t="str">
        <f>IFERROR(__xludf.DUMMYFUNCTION("""COMPUTED_VALUE"""),"18 inch Aero")</f>
        <v>18 inch Aero</v>
      </c>
      <c r="Q100" t="str">
        <f>IFERROR(__xludf.DUMMYFUNCTION("""COMPUTED_VALUE"""),"Black seats")</f>
        <v>Black seats</v>
      </c>
      <c r="R100" t="str">
        <f>IFERROR(__xludf.DUMMYFUNCTION("""COMPUTED_VALUE"""),"Enhanced Autopilot")</f>
        <v>Enhanced Autopilot</v>
      </c>
      <c r="AA100" t="str">
        <f>IFERROR(__xludf.DUMMYFUNCTION("""COMPUTED_VALUE"""),"Very Good")</f>
        <v>Very Good</v>
      </c>
      <c r="AB100" t="str">
        <f>IFERROR(__xludf.DUMMYFUNCTION("""COMPUTED_VALUE"""),"Fair")</f>
        <v>Fair</v>
      </c>
      <c r="AH100" s="189">
        <f>IFERROR(__xludf.DUMMYFUNCTION("""COMPUTED_VALUE"""),43249.83234494213)</f>
        <v>43249.83234</v>
      </c>
    </row>
    <row r="101">
      <c r="A101" t="str">
        <f>IFERROR(__xludf.DUMMYFUNCTION("""COMPUTED_VALUE"""),"ncsmith4 ")</f>
        <v>ncsmith4 </v>
      </c>
      <c r="B101" t="str">
        <f>IFERROR(__xludf.DUMMYFUNCTION("""COMPUTED_VALUE"""),"Los Angeles")</f>
        <v>Los Angeles</v>
      </c>
      <c r="C101" t="str">
        <f>IFERROR(__xludf.DUMMYFUNCTION("""COMPUTED_VALUE"""),"CA")</f>
        <v>CA</v>
      </c>
      <c r="D101" t="str">
        <f>IFERROR(__xludf.DUMMYFUNCTION("""COMPUTED_VALUE"""),"USA")</f>
        <v>USA</v>
      </c>
      <c r="E101" s="188">
        <f>IFERROR(__xludf.DUMMYFUNCTION("""COMPUTED_VALUE"""),43208.0)</f>
        <v>43208</v>
      </c>
      <c r="F101" s="188">
        <f>IFERROR(__xludf.DUMMYFUNCTION("""COMPUTED_VALUE"""),43241.0)</f>
        <v>43241</v>
      </c>
      <c r="H101">
        <f>IFERROR(__xludf.DUMMYFUNCTION("""COMPUTED_VALUE"""),21355.0)</f>
        <v>21355</v>
      </c>
      <c r="J101" s="5">
        <f>IFERROR(__xludf.DUMMYFUNCTION("""COMPUTED_VALUE"""),43249.0)</f>
        <v>43249</v>
      </c>
      <c r="K101">
        <f>IFERROR(__xludf.DUMMYFUNCTION("""COMPUTED_VALUE"""),33.0)</f>
        <v>33</v>
      </c>
      <c r="L101">
        <f>IFERROR(__xludf.DUMMYFUNCTION("""COMPUTED_VALUE"""),8.0)</f>
        <v>8</v>
      </c>
      <c r="M101">
        <f>IFERROR(__xludf.DUMMYFUNCTION("""COMPUTED_VALUE"""),41.0)</f>
        <v>41</v>
      </c>
      <c r="N101" t="str">
        <f>IFERROR(__xludf.DUMMYFUNCTION("""COMPUTED_VALUE"""),"Model 3 LR")</f>
        <v>Model 3 LR</v>
      </c>
      <c r="O101" t="str">
        <f>IFERROR(__xludf.DUMMYFUNCTION("""COMPUTED_VALUE"""),"Midnight Silver Metallic")</f>
        <v>Midnight Silver Metallic</v>
      </c>
      <c r="P101" t="str">
        <f>IFERROR(__xludf.DUMMYFUNCTION("""COMPUTED_VALUE"""),"18 inch Aero")</f>
        <v>18 inch Aero</v>
      </c>
      <c r="Q101" t="str">
        <f>IFERROR(__xludf.DUMMYFUNCTION("""COMPUTED_VALUE"""),"Black seats")</f>
        <v>Black seats</v>
      </c>
      <c r="R101" t="str">
        <f>IFERROR(__xludf.DUMMYFUNCTION("""COMPUTED_VALUE"""),"Enhanced Autopilot")</f>
        <v>Enhanced Autopilot</v>
      </c>
      <c r="X101" t="str">
        <f>IFERROR(__xludf.DUMMYFUNCTION("""COMPUTED_VALUE"""),"Excellent")</f>
        <v>Excellent</v>
      </c>
      <c r="Y101" t="str">
        <f>IFERROR(__xludf.DUMMYFUNCTION("""COMPUTED_VALUE"""),"Excellent")</f>
        <v>Excellent</v>
      </c>
      <c r="Z101" t="str">
        <f>IFERROR(__xludf.DUMMYFUNCTION("""COMPUTED_VALUE"""),"Excellent")</f>
        <v>Excellent</v>
      </c>
      <c r="AA101" t="str">
        <f>IFERROR(__xludf.DUMMYFUNCTION("""COMPUTED_VALUE"""),"Excellent")</f>
        <v>Excellent</v>
      </c>
      <c r="AB101" t="str">
        <f>IFERROR(__xludf.DUMMYFUNCTION("""COMPUTED_VALUE"""),"Excellent")</f>
        <v>Excellent</v>
      </c>
      <c r="AH101" s="189">
        <f>IFERROR(__xludf.DUMMYFUNCTION("""COMPUTED_VALUE"""),43249.85838936343)</f>
        <v>43249.85839</v>
      </c>
    </row>
    <row r="102">
      <c r="A102" t="str">
        <f>IFERROR(__xludf.DUMMYFUNCTION("""COMPUTED_VALUE"""),"PatrickM")</f>
        <v>PatrickM</v>
      </c>
      <c r="B102" t="str">
        <f>IFERROR(__xludf.DUMMYFUNCTION("""COMPUTED_VALUE"""),"Fort Collins")</f>
        <v>Fort Collins</v>
      </c>
      <c r="C102" t="str">
        <f>IFERROR(__xludf.DUMMYFUNCTION("""COMPUTED_VALUE"""),"CO")</f>
        <v>CO</v>
      </c>
      <c r="D102" t="str">
        <f>IFERROR(__xludf.DUMMYFUNCTION("""COMPUTED_VALUE"""),"USA")</f>
        <v>USA</v>
      </c>
      <c r="E102" s="188">
        <f>IFERROR(__xludf.DUMMYFUNCTION("""COMPUTED_VALUE"""),43117.0)</f>
        <v>43117</v>
      </c>
      <c r="F102" s="188">
        <f>IFERROR(__xludf.DUMMYFUNCTION("""COMPUTED_VALUE"""),43123.0)</f>
        <v>43123</v>
      </c>
      <c r="H102">
        <f>IFERROR(__xludf.DUMMYFUNCTION("""COMPUTED_VALUE"""),5475.0)</f>
        <v>5475</v>
      </c>
      <c r="J102" s="5">
        <f>IFERROR(__xludf.DUMMYFUNCTION("""COMPUTED_VALUE"""),43133.0)</f>
        <v>43133</v>
      </c>
      <c r="K102">
        <f>IFERROR(__xludf.DUMMYFUNCTION("""COMPUTED_VALUE"""),6.0)</f>
        <v>6</v>
      </c>
      <c r="L102">
        <f>IFERROR(__xludf.DUMMYFUNCTION("""COMPUTED_VALUE"""),10.0)</f>
        <v>10</v>
      </c>
      <c r="M102">
        <f>IFERROR(__xludf.DUMMYFUNCTION("""COMPUTED_VALUE"""),16.0)</f>
        <v>16</v>
      </c>
      <c r="N102" t="str">
        <f>IFERROR(__xludf.DUMMYFUNCTION("""COMPUTED_VALUE"""),"Model 3 LR")</f>
        <v>Model 3 LR</v>
      </c>
      <c r="O102" t="str">
        <f>IFERROR(__xludf.DUMMYFUNCTION("""COMPUTED_VALUE"""),"Deep Blue Metallic")</f>
        <v>Deep Blue Metallic</v>
      </c>
      <c r="P102" t="str">
        <f>IFERROR(__xludf.DUMMYFUNCTION("""COMPUTED_VALUE"""),"18 inch Aero")</f>
        <v>18 inch Aero</v>
      </c>
      <c r="Q102" t="str">
        <f>IFERROR(__xludf.DUMMYFUNCTION("""COMPUTED_VALUE"""),"Black seats")</f>
        <v>Black seats</v>
      </c>
      <c r="R102" t="str">
        <f>IFERROR(__xludf.DUMMYFUNCTION("""COMPUTED_VALUE"""),"Enhanced Autopilot")</f>
        <v>Enhanced Autopilot</v>
      </c>
      <c r="X102" t="str">
        <f>IFERROR(__xludf.DUMMYFUNCTION("""COMPUTED_VALUE"""),"Excellent")</f>
        <v>Excellent</v>
      </c>
      <c r="Y102" t="str">
        <f>IFERROR(__xludf.DUMMYFUNCTION("""COMPUTED_VALUE"""),"Excellent")</f>
        <v>Excellent</v>
      </c>
      <c r="Z102" t="str">
        <f>IFERROR(__xludf.DUMMYFUNCTION("""COMPUTED_VALUE"""),"Excellent")</f>
        <v>Excellent</v>
      </c>
      <c r="AA102" t="str">
        <f>IFERROR(__xludf.DUMMYFUNCTION("""COMPUTED_VALUE"""),"Excellent")</f>
        <v>Excellent</v>
      </c>
      <c r="AB102" t="str">
        <f>IFERROR(__xludf.DUMMYFUNCTION("""COMPUTED_VALUE"""),"Excellent")</f>
        <v>Excellent</v>
      </c>
      <c r="AG102" t="str">
        <f>IFERROR(__xludf.DUMMYFUNCTION("""COMPUTED_VALUE"""),"No issues with the car at all after 3 months")</f>
        <v>No issues with the car at all after 3 months</v>
      </c>
      <c r="AH102" s="189">
        <f>IFERROR(__xludf.DUMMYFUNCTION("""COMPUTED_VALUE"""),43249.86302962963)</f>
        <v>43249.86303</v>
      </c>
    </row>
    <row r="103">
      <c r="A103" t="str">
        <f>IFERROR(__xludf.DUMMYFUNCTION("""COMPUTED_VALUE"""),"rachael678")</f>
        <v>rachael678</v>
      </c>
      <c r="B103" t="str">
        <f>IFERROR(__xludf.DUMMYFUNCTION("""COMPUTED_VALUE"""),"Los Osos")</f>
        <v>Los Osos</v>
      </c>
      <c r="C103" t="str">
        <f>IFERROR(__xludf.DUMMYFUNCTION("""COMPUTED_VALUE"""),"CA")</f>
        <v>CA</v>
      </c>
      <c r="D103" t="str">
        <f>IFERROR(__xludf.DUMMYFUNCTION("""COMPUTED_VALUE"""),"USA")</f>
        <v>USA</v>
      </c>
      <c r="E103" s="188">
        <f>IFERROR(__xludf.DUMMYFUNCTION("""COMPUTED_VALUE"""),43203.0)</f>
        <v>43203</v>
      </c>
      <c r="F103" s="188">
        <f>IFERROR(__xludf.DUMMYFUNCTION("""COMPUTED_VALUE"""),43245.0)</f>
        <v>43245</v>
      </c>
      <c r="H103">
        <f>IFERROR(__xludf.DUMMYFUNCTION("""COMPUTED_VALUE"""),22355.0)</f>
        <v>22355</v>
      </c>
      <c r="J103" s="5">
        <f>IFERROR(__xludf.DUMMYFUNCTION("""COMPUTED_VALUE"""),43249.0)</f>
        <v>43249</v>
      </c>
      <c r="K103">
        <f>IFERROR(__xludf.DUMMYFUNCTION("""COMPUTED_VALUE"""),42.0)</f>
        <v>42</v>
      </c>
      <c r="L103">
        <f>IFERROR(__xludf.DUMMYFUNCTION("""COMPUTED_VALUE"""),4.0)</f>
        <v>4</v>
      </c>
      <c r="M103">
        <f>IFERROR(__xludf.DUMMYFUNCTION("""COMPUTED_VALUE"""),46.0)</f>
        <v>46</v>
      </c>
      <c r="N103" t="str">
        <f>IFERROR(__xludf.DUMMYFUNCTION("""COMPUTED_VALUE"""),"Model 3 LR")</f>
        <v>Model 3 LR</v>
      </c>
      <c r="O103" t="str">
        <f>IFERROR(__xludf.DUMMYFUNCTION("""COMPUTED_VALUE"""),"Red Multi-Coat")</f>
        <v>Red Multi-Coat</v>
      </c>
      <c r="P103" t="str">
        <f>IFERROR(__xludf.DUMMYFUNCTION("""COMPUTED_VALUE"""),"18 inch Aero")</f>
        <v>18 inch Aero</v>
      </c>
      <c r="Q103" t="str">
        <f>IFERROR(__xludf.DUMMYFUNCTION("""COMPUTED_VALUE"""),"Black seats")</f>
        <v>Black seats</v>
      </c>
      <c r="R103" t="str">
        <f>IFERROR(__xludf.DUMMYFUNCTION("""COMPUTED_VALUE"""),"Enhanced Autopilot")</f>
        <v>Enhanced Autopilot</v>
      </c>
      <c r="X103" t="str">
        <f>IFERROR(__xludf.DUMMYFUNCTION("""COMPUTED_VALUE"""),"Excellent")</f>
        <v>Excellent</v>
      </c>
      <c r="Y103" t="str">
        <f>IFERROR(__xludf.DUMMYFUNCTION("""COMPUTED_VALUE"""),"Excellent")</f>
        <v>Excellent</v>
      </c>
      <c r="Z103" t="str">
        <f>IFERROR(__xludf.DUMMYFUNCTION("""COMPUTED_VALUE"""),"Good")</f>
        <v>Good</v>
      </c>
      <c r="AA103" t="str">
        <f>IFERROR(__xludf.DUMMYFUNCTION("""COMPUTED_VALUE"""),"Good")</f>
        <v>Good</v>
      </c>
      <c r="AB103" t="str">
        <f>IFERROR(__xludf.DUMMYFUNCTION("""COMPUTED_VALUE"""),"Excellent")</f>
        <v>Excellent</v>
      </c>
      <c r="AH103" s="189">
        <f>IFERROR(__xludf.DUMMYFUNCTION("""COMPUTED_VALUE"""),43250.43991476852)</f>
        <v>43250.43991</v>
      </c>
    </row>
    <row r="104">
      <c r="A104" t="str">
        <f>IFERROR(__xludf.DUMMYFUNCTION("""COMPUTED_VALUE"""),"protomech")</f>
        <v>protomech</v>
      </c>
      <c r="B104" t="str">
        <f>IFERROR(__xludf.DUMMYFUNCTION("""COMPUTED_VALUE"""),"Nashville")</f>
        <v>Nashville</v>
      </c>
      <c r="C104" t="str">
        <f>IFERROR(__xludf.DUMMYFUNCTION("""COMPUTED_VALUE"""),"TN")</f>
        <v>TN</v>
      </c>
      <c r="D104" t="str">
        <f>IFERROR(__xludf.DUMMYFUNCTION("""COMPUTED_VALUE"""),"USA")</f>
        <v>USA</v>
      </c>
      <c r="E104" s="188">
        <f>IFERROR(__xludf.DUMMYFUNCTION("""COMPUTED_VALUE"""),43185.0)</f>
        <v>43185</v>
      </c>
      <c r="F104" s="188">
        <f>IFERROR(__xludf.DUMMYFUNCTION("""COMPUTED_VALUE"""),43223.0)</f>
        <v>43223</v>
      </c>
      <c r="H104">
        <f>IFERROR(__xludf.DUMMYFUNCTION("""COMPUTED_VALUE"""),18975.0)</f>
        <v>18975</v>
      </c>
      <c r="J104" s="5">
        <f>IFERROR(__xludf.DUMMYFUNCTION("""COMPUTED_VALUE"""),43242.0)</f>
        <v>43242</v>
      </c>
      <c r="K104">
        <f>IFERROR(__xludf.DUMMYFUNCTION("""COMPUTED_VALUE"""),38.0)</f>
        <v>38</v>
      </c>
      <c r="L104">
        <f>IFERROR(__xludf.DUMMYFUNCTION("""COMPUTED_VALUE"""),19.0)</f>
        <v>19</v>
      </c>
      <c r="M104">
        <f>IFERROR(__xludf.DUMMYFUNCTION("""COMPUTED_VALUE"""),57.0)</f>
        <v>57</v>
      </c>
      <c r="N104" t="str">
        <f>IFERROR(__xludf.DUMMYFUNCTION("""COMPUTED_VALUE"""),"Model 3 LR")</f>
        <v>Model 3 LR</v>
      </c>
      <c r="O104" t="str">
        <f>IFERROR(__xludf.DUMMYFUNCTION("""COMPUTED_VALUE"""),"Midnight Silver Metallic")</f>
        <v>Midnight Silver Metallic</v>
      </c>
      <c r="P104" t="str">
        <f>IFERROR(__xludf.DUMMYFUNCTION("""COMPUTED_VALUE"""),"18 inch Aero")</f>
        <v>18 inch Aero</v>
      </c>
      <c r="Q104" t="str">
        <f>IFERROR(__xludf.DUMMYFUNCTION("""COMPUTED_VALUE"""),"Black seats")</f>
        <v>Black seats</v>
      </c>
      <c r="R104" t="str">
        <f>IFERROR(__xludf.DUMMYFUNCTION("""COMPUTED_VALUE"""),"Full Self-Driving")</f>
        <v>Full Self-Driving</v>
      </c>
      <c r="X104" t="str">
        <f>IFERROR(__xludf.DUMMYFUNCTION("""COMPUTED_VALUE"""),"Excellent")</f>
        <v>Excellent</v>
      </c>
      <c r="Y104" t="str">
        <f>IFERROR(__xludf.DUMMYFUNCTION("""COMPUTED_VALUE"""),"Excellent")</f>
        <v>Excellent</v>
      </c>
      <c r="Z104" t="str">
        <f>IFERROR(__xludf.DUMMYFUNCTION("""COMPUTED_VALUE"""),"Excellent")</f>
        <v>Excellent</v>
      </c>
      <c r="AA104" t="str">
        <f>IFERROR(__xludf.DUMMYFUNCTION("""COMPUTED_VALUE"""),"Good")</f>
        <v>Good</v>
      </c>
      <c r="AB104" t="str">
        <f>IFERROR(__xludf.DUMMYFUNCTION("""COMPUTED_VALUE"""),"Very Good")</f>
        <v>Very Good</v>
      </c>
      <c r="AH104" s="189">
        <f>IFERROR(__xludf.DUMMYFUNCTION("""COMPUTED_VALUE"""),43250.44053072917)</f>
        <v>43250.44053</v>
      </c>
    </row>
    <row r="105">
      <c r="A105" t="str">
        <f>IFERROR(__xludf.DUMMYFUNCTION("""COMPUTED_VALUE"""),"markrose")</f>
        <v>markrose</v>
      </c>
      <c r="B105" t="str">
        <f>IFERROR(__xludf.DUMMYFUNCTION("""COMPUTED_VALUE"""),"San Jose")</f>
        <v>San Jose</v>
      </c>
      <c r="C105" t="str">
        <f>IFERROR(__xludf.DUMMYFUNCTION("""COMPUTED_VALUE"""),"CA")</f>
        <v>CA</v>
      </c>
      <c r="D105" t="str">
        <f>IFERROR(__xludf.DUMMYFUNCTION("""COMPUTED_VALUE"""),"USA")</f>
        <v>USA</v>
      </c>
      <c r="E105" s="188">
        <f>IFERROR(__xludf.DUMMYFUNCTION("""COMPUTED_VALUE"""),43208.0)</f>
        <v>43208</v>
      </c>
      <c r="F105" s="188">
        <f>IFERROR(__xludf.DUMMYFUNCTION("""COMPUTED_VALUE"""),43245.0)</f>
        <v>43245</v>
      </c>
      <c r="H105">
        <f>IFERROR(__xludf.DUMMYFUNCTION("""COMPUTED_VALUE"""),23491.0)</f>
        <v>23491</v>
      </c>
      <c r="J105" s="5">
        <f>IFERROR(__xludf.DUMMYFUNCTION("""COMPUTED_VALUE"""),43249.0)</f>
        <v>43249</v>
      </c>
      <c r="K105">
        <f>IFERROR(__xludf.DUMMYFUNCTION("""COMPUTED_VALUE"""),37.0)</f>
        <v>37</v>
      </c>
      <c r="L105">
        <f>IFERROR(__xludf.DUMMYFUNCTION("""COMPUTED_VALUE"""),4.0)</f>
        <v>4</v>
      </c>
      <c r="M105">
        <f>IFERROR(__xludf.DUMMYFUNCTION("""COMPUTED_VALUE"""),41.0)</f>
        <v>41</v>
      </c>
      <c r="N105" t="str">
        <f>IFERROR(__xludf.DUMMYFUNCTION("""COMPUTED_VALUE"""),"Model 3 LR")</f>
        <v>Model 3 LR</v>
      </c>
      <c r="O105" t="str">
        <f>IFERROR(__xludf.DUMMYFUNCTION("""COMPUTED_VALUE"""),"Solid Black")</f>
        <v>Solid Black</v>
      </c>
      <c r="P105" t="str">
        <f>IFERROR(__xludf.DUMMYFUNCTION("""COMPUTED_VALUE"""),"19 inch Sport")</f>
        <v>19 inch Sport</v>
      </c>
      <c r="Q105" t="str">
        <f>IFERROR(__xludf.DUMMYFUNCTION("""COMPUTED_VALUE"""),"Black seats")</f>
        <v>Black seats</v>
      </c>
      <c r="R105" t="str">
        <f>IFERROR(__xludf.DUMMYFUNCTION("""COMPUTED_VALUE"""),"Full Self-Driving")</f>
        <v>Full Self-Driving</v>
      </c>
      <c r="X105" t="str">
        <f>IFERROR(__xludf.DUMMYFUNCTION("""COMPUTED_VALUE"""),"Excellent")</f>
        <v>Excellent</v>
      </c>
      <c r="Y105" t="str">
        <f>IFERROR(__xludf.DUMMYFUNCTION("""COMPUTED_VALUE"""),"Excellent")</f>
        <v>Excellent</v>
      </c>
      <c r="Z105" t="str">
        <f>IFERROR(__xludf.DUMMYFUNCTION("""COMPUTED_VALUE"""),"Excellent")</f>
        <v>Excellent</v>
      </c>
      <c r="AA105" t="str">
        <f>IFERROR(__xludf.DUMMYFUNCTION("""COMPUTED_VALUE"""),"Very Good")</f>
        <v>Very Good</v>
      </c>
      <c r="AB105" t="str">
        <f>IFERROR(__xludf.DUMMYFUNCTION("""COMPUTED_VALUE"""),"Very Good")</f>
        <v>Very Good</v>
      </c>
      <c r="AH105" s="189">
        <f>IFERROR(__xludf.DUMMYFUNCTION("""COMPUTED_VALUE"""),43250.62432195602)</f>
        <v>43250.62432</v>
      </c>
    </row>
    <row r="106">
      <c r="A106" t="str">
        <f>IFERROR(__xludf.DUMMYFUNCTION("""COMPUTED_VALUE"""),"AngryCPA")</f>
        <v>AngryCPA</v>
      </c>
      <c r="B106" t="str">
        <f>IFERROR(__xludf.DUMMYFUNCTION("""COMPUTED_VALUE"""),"Orange County")</f>
        <v>Orange County</v>
      </c>
      <c r="C106" t="str">
        <f>IFERROR(__xludf.DUMMYFUNCTION("""COMPUTED_VALUE"""),"CA")</f>
        <v>CA</v>
      </c>
      <c r="D106" t="str">
        <f>IFERROR(__xludf.DUMMYFUNCTION("""COMPUTED_VALUE"""),"USA")</f>
        <v>USA</v>
      </c>
      <c r="E106" s="188">
        <f>IFERROR(__xludf.DUMMYFUNCTION("""COMPUTED_VALUE"""),43208.0)</f>
        <v>43208</v>
      </c>
      <c r="F106" s="188">
        <f>IFERROR(__xludf.DUMMYFUNCTION("""COMPUTED_VALUE"""),43241.0)</f>
        <v>43241</v>
      </c>
      <c r="H106">
        <f>IFERROR(__xludf.DUMMYFUNCTION("""COMPUTED_VALUE"""),30655.0)</f>
        <v>30655</v>
      </c>
      <c r="J106" s="5">
        <f>IFERROR(__xludf.DUMMYFUNCTION("""COMPUTED_VALUE"""),43250.0)</f>
        <v>43250</v>
      </c>
      <c r="K106">
        <f>IFERROR(__xludf.DUMMYFUNCTION("""COMPUTED_VALUE"""),33.0)</f>
        <v>33</v>
      </c>
      <c r="L106">
        <f>IFERROR(__xludf.DUMMYFUNCTION("""COMPUTED_VALUE"""),9.0)</f>
        <v>9</v>
      </c>
      <c r="M106">
        <f>IFERROR(__xludf.DUMMYFUNCTION("""COMPUTED_VALUE"""),42.0)</f>
        <v>42</v>
      </c>
      <c r="N106" t="str">
        <f>IFERROR(__xludf.DUMMYFUNCTION("""COMPUTED_VALUE"""),"Model 3 LR")</f>
        <v>Model 3 LR</v>
      </c>
      <c r="O106" t="str">
        <f>IFERROR(__xludf.DUMMYFUNCTION("""COMPUTED_VALUE"""),"Silver Metallic")</f>
        <v>Silver Metallic</v>
      </c>
      <c r="P106" t="str">
        <f>IFERROR(__xludf.DUMMYFUNCTION("""COMPUTED_VALUE"""),"18 inch Aero")</f>
        <v>18 inch Aero</v>
      </c>
      <c r="Q106" t="str">
        <f>IFERROR(__xludf.DUMMYFUNCTION("""COMPUTED_VALUE"""),"Black seats")</f>
        <v>Black seats</v>
      </c>
      <c r="R106" t="str">
        <f>IFERROR(__xludf.DUMMYFUNCTION("""COMPUTED_VALUE"""),"Enhanced Autopilot")</f>
        <v>Enhanced Autopilot</v>
      </c>
      <c r="X106" t="str">
        <f>IFERROR(__xludf.DUMMYFUNCTION("""COMPUTED_VALUE"""),"Excellent")</f>
        <v>Excellent</v>
      </c>
      <c r="Y106" t="str">
        <f>IFERROR(__xludf.DUMMYFUNCTION("""COMPUTED_VALUE"""),"Very Good")</f>
        <v>Very Good</v>
      </c>
      <c r="Z106" t="str">
        <f>IFERROR(__xludf.DUMMYFUNCTION("""COMPUTED_VALUE"""),"Very Good")</f>
        <v>Very Good</v>
      </c>
      <c r="AA106" t="str">
        <f>IFERROR(__xludf.DUMMYFUNCTION("""COMPUTED_VALUE"""),"Excellent")</f>
        <v>Excellent</v>
      </c>
      <c r="AB106" t="str">
        <f>IFERROR(__xludf.DUMMYFUNCTION("""COMPUTED_VALUE"""),"Excellent")</f>
        <v>Excellent</v>
      </c>
      <c r="AG106" t="str">
        <f>IFERROR(__xludf.DUMMYFUNCTION("""COMPUTED_VALUE"""),"VIN Obtained using HPWC trick on 5/21, confirmed via ISA email 5/22")</f>
        <v>VIN Obtained using HPWC trick on 5/21, confirmed via ISA email 5/22</v>
      </c>
      <c r="AH106" s="189">
        <f>IFERROR(__xludf.DUMMYFUNCTION("""COMPUTED_VALUE"""),43250.769911469906)</f>
        <v>43250.76991</v>
      </c>
    </row>
    <row r="107">
      <c r="A107" t="str">
        <f>IFERROR(__xludf.DUMMYFUNCTION("""COMPUTED_VALUE"""),"Jet082")</f>
        <v>Jet082</v>
      </c>
      <c r="B107" t="str">
        <f>IFERROR(__xludf.DUMMYFUNCTION("""COMPUTED_VALUE"""),"King of Prussia")</f>
        <v>King of Prussia</v>
      </c>
      <c r="C107" t="str">
        <f>IFERROR(__xludf.DUMMYFUNCTION("""COMPUTED_VALUE"""),"PA")</f>
        <v>PA</v>
      </c>
      <c r="D107" t="str">
        <f>IFERROR(__xludf.DUMMYFUNCTION("""COMPUTED_VALUE"""),"USA")</f>
        <v>USA</v>
      </c>
      <c r="E107" s="188">
        <f>IFERROR(__xludf.DUMMYFUNCTION("""COMPUTED_VALUE"""),43188.0)</f>
        <v>43188</v>
      </c>
      <c r="F107" s="188">
        <f>IFERROR(__xludf.DUMMYFUNCTION("""COMPUTED_VALUE"""),43214.0)</f>
        <v>43214</v>
      </c>
      <c r="H107">
        <f>IFERROR(__xludf.DUMMYFUNCTION("""COMPUTED_VALUE"""),22543.0)</f>
        <v>22543</v>
      </c>
      <c r="J107" s="5">
        <f>IFERROR(__xludf.DUMMYFUNCTION("""COMPUTED_VALUE"""),43250.0)</f>
        <v>43250</v>
      </c>
      <c r="K107">
        <f>IFERROR(__xludf.DUMMYFUNCTION("""COMPUTED_VALUE"""),26.0)</f>
        <v>26</v>
      </c>
      <c r="L107">
        <f>IFERROR(__xludf.DUMMYFUNCTION("""COMPUTED_VALUE"""),36.0)</f>
        <v>36</v>
      </c>
      <c r="M107">
        <f>IFERROR(__xludf.DUMMYFUNCTION("""COMPUTED_VALUE"""),62.0)</f>
        <v>62</v>
      </c>
      <c r="N107" t="str">
        <f>IFERROR(__xludf.DUMMYFUNCTION("""COMPUTED_VALUE"""),"Model 3 LR")</f>
        <v>Model 3 LR</v>
      </c>
      <c r="O107" t="str">
        <f>IFERROR(__xludf.DUMMYFUNCTION("""COMPUTED_VALUE"""),"Deep Blue Metallic")</f>
        <v>Deep Blue Metallic</v>
      </c>
      <c r="P107" t="str">
        <f>IFERROR(__xludf.DUMMYFUNCTION("""COMPUTED_VALUE"""),"18 inch Aero")</f>
        <v>18 inch Aero</v>
      </c>
      <c r="R107" t="str">
        <f>IFERROR(__xludf.DUMMYFUNCTION("""COMPUTED_VALUE"""),"None")</f>
        <v>None</v>
      </c>
      <c r="X107" t="str">
        <f>IFERROR(__xludf.DUMMYFUNCTION("""COMPUTED_VALUE"""),"Very Good")</f>
        <v>Very Good</v>
      </c>
      <c r="Y107" t="str">
        <f>IFERROR(__xludf.DUMMYFUNCTION("""COMPUTED_VALUE"""),"Excellent")</f>
        <v>Excellent</v>
      </c>
      <c r="Z107" t="str">
        <f>IFERROR(__xludf.DUMMYFUNCTION("""COMPUTED_VALUE"""),"Excellent")</f>
        <v>Excellent</v>
      </c>
      <c r="AA107" t="str">
        <f>IFERROR(__xludf.DUMMYFUNCTION("""COMPUTED_VALUE"""),"Poor")</f>
        <v>Poor</v>
      </c>
      <c r="AB107" t="str">
        <f>IFERROR(__xludf.DUMMYFUNCTION("""COMPUTED_VALUE"""),"Good")</f>
        <v>Good</v>
      </c>
      <c r="AH107" s="189">
        <f>IFERROR(__xludf.DUMMYFUNCTION("""COMPUTED_VALUE"""),43250.82005504629)</f>
        <v>43250.82006</v>
      </c>
    </row>
    <row r="108">
      <c r="A108" t="str">
        <f>IFERROR(__xludf.DUMMYFUNCTION("""COMPUTED_VALUE"""),"JWR")</f>
        <v>JWR</v>
      </c>
      <c r="B108" t="str">
        <f>IFERROR(__xludf.DUMMYFUNCTION("""COMPUTED_VALUE"""),"Toronto")</f>
        <v>Toronto</v>
      </c>
      <c r="C108" t="str">
        <f>IFERROR(__xludf.DUMMYFUNCTION("""COMPUTED_VALUE"""),"ON")</f>
        <v>ON</v>
      </c>
      <c r="D108" t="str">
        <f>IFERROR(__xludf.DUMMYFUNCTION("""COMPUTED_VALUE"""),"Canada")</f>
        <v>Canada</v>
      </c>
      <c r="E108" s="188">
        <f>IFERROR(__xludf.DUMMYFUNCTION("""COMPUTED_VALUE"""),43216.0)</f>
        <v>43216</v>
      </c>
      <c r="F108" s="188">
        <f>IFERROR(__xludf.DUMMYFUNCTION("""COMPUTED_VALUE"""),43224.0)</f>
        <v>43224</v>
      </c>
      <c r="H108">
        <f>IFERROR(__xludf.DUMMYFUNCTION("""COMPUTED_VALUE"""),20855.0)</f>
        <v>20855</v>
      </c>
      <c r="J108" s="5">
        <f>IFERROR(__xludf.DUMMYFUNCTION("""COMPUTED_VALUE"""),43250.0)</f>
        <v>43250</v>
      </c>
      <c r="K108">
        <f>IFERROR(__xludf.DUMMYFUNCTION("""COMPUTED_VALUE"""),8.0)</f>
        <v>8</v>
      </c>
      <c r="L108">
        <f>IFERROR(__xludf.DUMMYFUNCTION("""COMPUTED_VALUE"""),26.0)</f>
        <v>26</v>
      </c>
      <c r="M108">
        <f>IFERROR(__xludf.DUMMYFUNCTION("""COMPUTED_VALUE"""),34.0)</f>
        <v>34</v>
      </c>
      <c r="N108" t="str">
        <f>IFERROR(__xludf.DUMMYFUNCTION("""COMPUTED_VALUE"""),"Model 3 LR")</f>
        <v>Model 3 LR</v>
      </c>
      <c r="O108" t="str">
        <f>IFERROR(__xludf.DUMMYFUNCTION("""COMPUTED_VALUE"""),"Solid Black")</f>
        <v>Solid Black</v>
      </c>
      <c r="P108" t="str">
        <f>IFERROR(__xludf.DUMMYFUNCTION("""COMPUTED_VALUE"""),"18 inch Aero")</f>
        <v>18 inch Aero</v>
      </c>
      <c r="Q108" t="str">
        <f>IFERROR(__xludf.DUMMYFUNCTION("""COMPUTED_VALUE"""),"Black seats")</f>
        <v>Black seats</v>
      </c>
      <c r="R108" t="str">
        <f>IFERROR(__xludf.DUMMYFUNCTION("""COMPUTED_VALUE"""),"None")</f>
        <v>None</v>
      </c>
      <c r="X108" t="str">
        <f>IFERROR(__xludf.DUMMYFUNCTION("""COMPUTED_VALUE"""),"Excellent")</f>
        <v>Excellent</v>
      </c>
      <c r="Y108" t="str">
        <f>IFERROR(__xludf.DUMMYFUNCTION("""COMPUTED_VALUE"""),"Excellent")</f>
        <v>Excellent</v>
      </c>
      <c r="Z108" t="str">
        <f>IFERROR(__xludf.DUMMYFUNCTION("""COMPUTED_VALUE"""),"Very Good")</f>
        <v>Very Good</v>
      </c>
      <c r="AA108" t="str">
        <f>IFERROR(__xludf.DUMMYFUNCTION("""COMPUTED_VALUE"""),"Very Good")</f>
        <v>Very Good</v>
      </c>
      <c r="AB108" t="str">
        <f>IFERROR(__xludf.DUMMYFUNCTION("""COMPUTED_VALUE"""),"Very Good")</f>
        <v>Very Good</v>
      </c>
      <c r="AH108" s="189">
        <f>IFERROR(__xludf.DUMMYFUNCTION("""COMPUTED_VALUE"""),43250.879323113426)</f>
        <v>43250.87932</v>
      </c>
    </row>
    <row r="109">
      <c r="A109" t="str">
        <f>IFERROR(__xludf.DUMMYFUNCTION("""COMPUTED_VALUE"""),"S2")</f>
        <v>S2</v>
      </c>
      <c r="B109" t="str">
        <f>IFERROR(__xludf.DUMMYFUNCTION("""COMPUTED_VALUE"""),"Oakland")</f>
        <v>Oakland</v>
      </c>
      <c r="C109" t="str">
        <f>IFERROR(__xludf.DUMMYFUNCTION("""COMPUTED_VALUE"""),"CA")</f>
        <v>CA</v>
      </c>
      <c r="D109" t="str">
        <f>IFERROR(__xludf.DUMMYFUNCTION("""COMPUTED_VALUE"""),"USA")</f>
        <v>USA</v>
      </c>
      <c r="E109" s="188">
        <f>IFERROR(__xludf.DUMMYFUNCTION("""COMPUTED_VALUE"""),43205.0)</f>
        <v>43205</v>
      </c>
      <c r="F109" s="188">
        <f>IFERROR(__xludf.DUMMYFUNCTION("""COMPUTED_VALUE"""),43242.0)</f>
        <v>43242</v>
      </c>
      <c r="H109">
        <f>IFERROR(__xludf.DUMMYFUNCTION("""COMPUTED_VALUE"""),23255.0)</f>
        <v>23255</v>
      </c>
      <c r="J109" s="5">
        <f>IFERROR(__xludf.DUMMYFUNCTION("""COMPUTED_VALUE"""),43250.0)</f>
        <v>43250</v>
      </c>
      <c r="K109">
        <f>IFERROR(__xludf.DUMMYFUNCTION("""COMPUTED_VALUE"""),37.0)</f>
        <v>37</v>
      </c>
      <c r="L109">
        <f>IFERROR(__xludf.DUMMYFUNCTION("""COMPUTED_VALUE"""),8.0)</f>
        <v>8</v>
      </c>
      <c r="M109">
        <f>IFERROR(__xludf.DUMMYFUNCTION("""COMPUTED_VALUE"""),45.0)</f>
        <v>45</v>
      </c>
      <c r="N109" t="str">
        <f>IFERROR(__xludf.DUMMYFUNCTION("""COMPUTED_VALUE"""),"Model 3 LR")</f>
        <v>Model 3 LR</v>
      </c>
      <c r="O109" t="str">
        <f>IFERROR(__xludf.DUMMYFUNCTION("""COMPUTED_VALUE"""),"Pearl White Multi-Coat")</f>
        <v>Pearl White Multi-Coat</v>
      </c>
      <c r="P109" t="str">
        <f>IFERROR(__xludf.DUMMYFUNCTION("""COMPUTED_VALUE"""),"18 inch Aero")</f>
        <v>18 inch Aero</v>
      </c>
      <c r="Q109" t="str">
        <f>IFERROR(__xludf.DUMMYFUNCTION("""COMPUTED_VALUE"""),"Black seats")</f>
        <v>Black seats</v>
      </c>
      <c r="R109" t="str">
        <f>IFERROR(__xludf.DUMMYFUNCTION("""COMPUTED_VALUE"""),"Enhanced Autopilot")</f>
        <v>Enhanced Autopilot</v>
      </c>
      <c r="X109" t="str">
        <f>IFERROR(__xludf.DUMMYFUNCTION("""COMPUTED_VALUE"""),"Excellent")</f>
        <v>Excellent</v>
      </c>
      <c r="Y109" t="str">
        <f>IFERROR(__xludf.DUMMYFUNCTION("""COMPUTED_VALUE"""),"Good")</f>
        <v>Good</v>
      </c>
      <c r="Z109" t="str">
        <f>IFERROR(__xludf.DUMMYFUNCTION("""COMPUTED_VALUE"""),"Excellent")</f>
        <v>Excellent</v>
      </c>
      <c r="AA109" t="str">
        <f>IFERROR(__xludf.DUMMYFUNCTION("""COMPUTED_VALUE"""),"Excellent")</f>
        <v>Excellent</v>
      </c>
      <c r="AB109" t="str">
        <f>IFERROR(__xludf.DUMMYFUNCTION("""COMPUTED_VALUE"""),"Excellent")</f>
        <v>Excellent</v>
      </c>
      <c r="AG109" t="str">
        <f>IFERROR(__xludf.DUMMYFUNCTION("""COMPUTED_VALUE"""),"waited to see if I could still get rebate + AWD, but the timeline didn't seem to fit")</f>
        <v>waited to see if I could still get rebate + AWD, but the timeline didn't seem to fit</v>
      </c>
      <c r="AH109" s="189">
        <f>IFERROR(__xludf.DUMMYFUNCTION("""COMPUTED_VALUE"""),43250.94634865741)</f>
        <v>43250.94635</v>
      </c>
    </row>
    <row r="110">
      <c r="A110" t="str">
        <f>IFERROR(__xludf.DUMMYFUNCTION("""COMPUTED_VALUE"""),"m3jamz")</f>
        <v>m3jamz</v>
      </c>
      <c r="B110" t="str">
        <f>IFERROR(__xludf.DUMMYFUNCTION("""COMPUTED_VALUE"""),"Walnut Creek")</f>
        <v>Walnut Creek</v>
      </c>
      <c r="C110" t="str">
        <f>IFERROR(__xludf.DUMMYFUNCTION("""COMPUTED_VALUE"""),"CA")</f>
        <v>CA</v>
      </c>
      <c r="D110" t="str">
        <f>IFERROR(__xludf.DUMMYFUNCTION("""COMPUTED_VALUE"""),"USA")</f>
        <v>USA</v>
      </c>
      <c r="E110" s="188">
        <f>IFERROR(__xludf.DUMMYFUNCTION("""COMPUTED_VALUE"""),43208.0)</f>
        <v>43208</v>
      </c>
      <c r="F110" s="188">
        <f>IFERROR(__xludf.DUMMYFUNCTION("""COMPUTED_VALUE"""),43241.0)</f>
        <v>43241</v>
      </c>
      <c r="J110" s="5">
        <f>IFERROR(__xludf.DUMMYFUNCTION("""COMPUTED_VALUE"""),43250.0)</f>
        <v>43250</v>
      </c>
      <c r="K110">
        <f>IFERROR(__xludf.DUMMYFUNCTION("""COMPUTED_VALUE"""),33.0)</f>
        <v>33</v>
      </c>
      <c r="L110">
        <f>IFERROR(__xludf.DUMMYFUNCTION("""COMPUTED_VALUE"""),9.0)</f>
        <v>9</v>
      </c>
      <c r="M110">
        <f>IFERROR(__xludf.DUMMYFUNCTION("""COMPUTED_VALUE"""),42.0)</f>
        <v>42</v>
      </c>
      <c r="N110" t="str">
        <f>IFERROR(__xludf.DUMMYFUNCTION("""COMPUTED_VALUE"""),"Model 3 LR")</f>
        <v>Model 3 LR</v>
      </c>
      <c r="O110" t="str">
        <f>IFERROR(__xludf.DUMMYFUNCTION("""COMPUTED_VALUE"""),"Solid Black")</f>
        <v>Solid Black</v>
      </c>
      <c r="P110" t="str">
        <f>IFERROR(__xludf.DUMMYFUNCTION("""COMPUTED_VALUE"""),"19 inch Sport")</f>
        <v>19 inch Sport</v>
      </c>
      <c r="Q110" t="str">
        <f>IFERROR(__xludf.DUMMYFUNCTION("""COMPUTED_VALUE"""),"Black seats")</f>
        <v>Black seats</v>
      </c>
      <c r="R110" t="str">
        <f>IFERROR(__xludf.DUMMYFUNCTION("""COMPUTED_VALUE"""),"Full Self-Driving")</f>
        <v>Full Self-Driving</v>
      </c>
      <c r="X110" t="str">
        <f>IFERROR(__xludf.DUMMYFUNCTION("""COMPUTED_VALUE"""),"Excellent")</f>
        <v>Excellent</v>
      </c>
      <c r="Y110" t="str">
        <f>IFERROR(__xludf.DUMMYFUNCTION("""COMPUTED_VALUE"""),"Excellent")</f>
        <v>Excellent</v>
      </c>
      <c r="Z110" t="str">
        <f>IFERROR(__xludf.DUMMYFUNCTION("""COMPUTED_VALUE"""),"Excellent")</f>
        <v>Excellent</v>
      </c>
      <c r="AA110" t="str">
        <f>IFERROR(__xludf.DUMMYFUNCTION("""COMPUTED_VALUE"""),"Very Good")</f>
        <v>Very Good</v>
      </c>
      <c r="AB110" t="str">
        <f>IFERROR(__xludf.DUMMYFUNCTION("""COMPUTED_VALUE"""),"Fair")</f>
        <v>Fair</v>
      </c>
      <c r="AH110" s="189">
        <f>IFERROR(__xludf.DUMMYFUNCTION("""COMPUTED_VALUE"""),43250.959600092596)</f>
        <v>43250.9596</v>
      </c>
    </row>
    <row r="111">
      <c r="A111" t="str">
        <f>IFERROR(__xludf.DUMMYFUNCTION("""COMPUTED_VALUE"""),"icyone")</f>
        <v>icyone</v>
      </c>
      <c r="C111" t="str">
        <f>IFERROR(__xludf.DUMMYFUNCTION("""COMPUTED_VALUE"""),"OH")</f>
        <v>OH</v>
      </c>
      <c r="D111" t="str">
        <f>IFERROR(__xludf.DUMMYFUNCTION("""COMPUTED_VALUE"""),"USA")</f>
        <v>USA</v>
      </c>
      <c r="E111" s="188">
        <f>IFERROR(__xludf.DUMMYFUNCTION("""COMPUTED_VALUE"""),43205.0)</f>
        <v>43205</v>
      </c>
      <c r="F111" s="188">
        <f>IFERROR(__xludf.DUMMYFUNCTION("""COMPUTED_VALUE"""),43232.0)</f>
        <v>43232</v>
      </c>
      <c r="H111">
        <f>IFERROR(__xludf.DUMMYFUNCTION("""COMPUTED_VALUE"""),22187.0)</f>
        <v>22187</v>
      </c>
      <c r="J111" s="5">
        <f>IFERROR(__xludf.DUMMYFUNCTION("""COMPUTED_VALUE"""),43250.0)</f>
        <v>43250</v>
      </c>
      <c r="K111">
        <f>IFERROR(__xludf.DUMMYFUNCTION("""COMPUTED_VALUE"""),27.0)</f>
        <v>27</v>
      </c>
      <c r="L111">
        <f>IFERROR(__xludf.DUMMYFUNCTION("""COMPUTED_VALUE"""),18.0)</f>
        <v>18</v>
      </c>
      <c r="M111">
        <f>IFERROR(__xludf.DUMMYFUNCTION("""COMPUTED_VALUE"""),45.0)</f>
        <v>45</v>
      </c>
      <c r="N111" t="str">
        <f>IFERROR(__xludf.DUMMYFUNCTION("""COMPUTED_VALUE"""),"Model 3 LR")</f>
        <v>Model 3 LR</v>
      </c>
      <c r="O111" t="str">
        <f>IFERROR(__xludf.DUMMYFUNCTION("""COMPUTED_VALUE"""),"Red Multi-Coat")</f>
        <v>Red Multi-Coat</v>
      </c>
      <c r="P111" t="str">
        <f>IFERROR(__xludf.DUMMYFUNCTION("""COMPUTED_VALUE"""),"18 inch Aero")</f>
        <v>18 inch Aero</v>
      </c>
      <c r="Q111" t="str">
        <f>IFERROR(__xludf.DUMMYFUNCTION("""COMPUTED_VALUE"""),"Black seats")</f>
        <v>Black seats</v>
      </c>
      <c r="R111" t="str">
        <f>IFERROR(__xludf.DUMMYFUNCTION("""COMPUTED_VALUE"""),"Enhanced Autopilot")</f>
        <v>Enhanced Autopilot</v>
      </c>
      <c r="X111" t="str">
        <f>IFERROR(__xludf.DUMMYFUNCTION("""COMPUTED_VALUE"""),"Excellent")</f>
        <v>Excellent</v>
      </c>
      <c r="Y111" t="str">
        <f>IFERROR(__xludf.DUMMYFUNCTION("""COMPUTED_VALUE"""),"Excellent")</f>
        <v>Excellent</v>
      </c>
      <c r="Z111" t="str">
        <f>IFERROR(__xludf.DUMMYFUNCTION("""COMPUTED_VALUE"""),"Excellent")</f>
        <v>Excellent</v>
      </c>
      <c r="AB111" t="str">
        <f>IFERROR(__xludf.DUMMYFUNCTION("""COMPUTED_VALUE"""),"Excellent")</f>
        <v>Excellent</v>
      </c>
      <c r="AH111" s="189">
        <f>IFERROR(__xludf.DUMMYFUNCTION("""COMPUTED_VALUE"""),43251.473280578706)</f>
        <v>43251.47328</v>
      </c>
    </row>
    <row r="112">
      <c r="A112" t="str">
        <f>IFERROR(__xludf.DUMMYFUNCTION("""COMPUTED_VALUE"""),"ElliotJupiter")</f>
        <v>ElliotJupiter</v>
      </c>
      <c r="B112" t="str">
        <f>IFERROR(__xludf.DUMMYFUNCTION("""COMPUTED_VALUE"""),"Covington")</f>
        <v>Covington</v>
      </c>
      <c r="C112" t="str">
        <f>IFERROR(__xludf.DUMMYFUNCTION("""COMPUTED_VALUE"""),"KY")</f>
        <v>KY</v>
      </c>
      <c r="D112" t="str">
        <f>IFERROR(__xludf.DUMMYFUNCTION("""COMPUTED_VALUE"""),"USA")</f>
        <v>USA</v>
      </c>
      <c r="E112" s="188">
        <f>IFERROR(__xludf.DUMMYFUNCTION("""COMPUTED_VALUE"""),43228.0)</f>
        <v>43228</v>
      </c>
      <c r="F112" s="188">
        <f>IFERROR(__xludf.DUMMYFUNCTION("""COMPUTED_VALUE"""),43232.0)</f>
        <v>43232</v>
      </c>
      <c r="H112">
        <f>IFERROR(__xludf.DUMMYFUNCTION("""COMPUTED_VALUE"""),18996.0)</f>
        <v>18996</v>
      </c>
      <c r="J112" s="5">
        <f>IFERROR(__xludf.DUMMYFUNCTION("""COMPUTED_VALUE"""),43252.0)</f>
        <v>43252</v>
      </c>
      <c r="K112">
        <f>IFERROR(__xludf.DUMMYFUNCTION("""COMPUTED_VALUE"""),4.0)</f>
        <v>4</v>
      </c>
      <c r="L112">
        <f>IFERROR(__xludf.DUMMYFUNCTION("""COMPUTED_VALUE"""),20.0)</f>
        <v>20</v>
      </c>
      <c r="M112">
        <f>IFERROR(__xludf.DUMMYFUNCTION("""COMPUTED_VALUE"""),24.0)</f>
        <v>24</v>
      </c>
      <c r="N112" t="str">
        <f>IFERROR(__xludf.DUMMYFUNCTION("""COMPUTED_VALUE"""),"Model 3 LR")</f>
        <v>Model 3 LR</v>
      </c>
      <c r="O112" t="str">
        <f>IFERROR(__xludf.DUMMYFUNCTION("""COMPUTED_VALUE"""),"Midnight Silver Metallic")</f>
        <v>Midnight Silver Metallic</v>
      </c>
      <c r="P112" t="str">
        <f>IFERROR(__xludf.DUMMYFUNCTION("""COMPUTED_VALUE"""),"18 inch Aero")</f>
        <v>18 inch Aero</v>
      </c>
      <c r="Q112" t="str">
        <f>IFERROR(__xludf.DUMMYFUNCTION("""COMPUTED_VALUE"""),"Black seats")</f>
        <v>Black seats</v>
      </c>
      <c r="R112" t="str">
        <f>IFERROR(__xludf.DUMMYFUNCTION("""COMPUTED_VALUE"""),"Enhanced Autopilot")</f>
        <v>Enhanced Autopilot</v>
      </c>
      <c r="X112" t="str">
        <f>IFERROR(__xludf.DUMMYFUNCTION("""COMPUTED_VALUE"""),"Excellent")</f>
        <v>Excellent</v>
      </c>
      <c r="Y112" t="str">
        <f>IFERROR(__xludf.DUMMYFUNCTION("""COMPUTED_VALUE"""),"Excellent")</f>
        <v>Excellent</v>
      </c>
      <c r="Z112" t="str">
        <f>IFERROR(__xludf.DUMMYFUNCTION("""COMPUTED_VALUE"""),"Excellent")</f>
        <v>Excellent</v>
      </c>
      <c r="AA112" t="str">
        <f>IFERROR(__xludf.DUMMYFUNCTION("""COMPUTED_VALUE"""),"Excellent")</f>
        <v>Excellent</v>
      </c>
      <c r="AB112" t="str">
        <f>IFERROR(__xludf.DUMMYFUNCTION("""COMPUTED_VALUE"""),"Excellent")</f>
        <v>Excellent</v>
      </c>
      <c r="AH112" s="189">
        <f>IFERROR(__xludf.DUMMYFUNCTION("""COMPUTED_VALUE"""),43252.42571106482)</f>
        <v>43252.42571</v>
      </c>
    </row>
    <row r="113">
      <c r="A113" t="str">
        <f>IFERROR(__xludf.DUMMYFUNCTION("""COMPUTED_VALUE"""),"wapinupu")</f>
        <v>wapinupu</v>
      </c>
      <c r="B113" t="str">
        <f>IFERROR(__xludf.DUMMYFUNCTION("""COMPUTED_VALUE"""),"Windsor")</f>
        <v>Windsor</v>
      </c>
      <c r="C113" t="str">
        <f>IFERROR(__xludf.DUMMYFUNCTION("""COMPUTED_VALUE"""),"ON")</f>
        <v>ON</v>
      </c>
      <c r="D113" t="str">
        <f>IFERROR(__xludf.DUMMYFUNCTION("""COMPUTED_VALUE"""),"Canada")</f>
        <v>Canada</v>
      </c>
      <c r="E113" s="188">
        <f>IFERROR(__xludf.DUMMYFUNCTION("""COMPUTED_VALUE"""),43217.0)</f>
        <v>43217</v>
      </c>
      <c r="F113" s="188">
        <f>IFERROR(__xludf.DUMMYFUNCTION("""COMPUTED_VALUE"""),43231.0)</f>
        <v>43231</v>
      </c>
      <c r="H113">
        <f>IFERROR(__xludf.DUMMYFUNCTION("""COMPUTED_VALUE"""),26875.0)</f>
        <v>26875</v>
      </c>
      <c r="J113" s="5">
        <f>IFERROR(__xludf.DUMMYFUNCTION("""COMPUTED_VALUE"""),43250.0)</f>
        <v>43250</v>
      </c>
      <c r="K113">
        <f>IFERROR(__xludf.DUMMYFUNCTION("""COMPUTED_VALUE"""),14.0)</f>
        <v>14</v>
      </c>
      <c r="L113">
        <f>IFERROR(__xludf.DUMMYFUNCTION("""COMPUTED_VALUE"""),19.0)</f>
        <v>19</v>
      </c>
      <c r="M113">
        <f>IFERROR(__xludf.DUMMYFUNCTION("""COMPUTED_VALUE"""),33.0)</f>
        <v>33</v>
      </c>
      <c r="N113" t="str">
        <f>IFERROR(__xludf.DUMMYFUNCTION("""COMPUTED_VALUE"""),"Model 3 LR")</f>
        <v>Model 3 LR</v>
      </c>
      <c r="O113" t="str">
        <f>IFERROR(__xludf.DUMMYFUNCTION("""COMPUTED_VALUE"""),"Silver Metallic")</f>
        <v>Silver Metallic</v>
      </c>
      <c r="P113" t="str">
        <f>IFERROR(__xludf.DUMMYFUNCTION("""COMPUTED_VALUE"""),"18 inch Aero")</f>
        <v>18 inch Aero</v>
      </c>
      <c r="Q113" t="str">
        <f>IFERROR(__xludf.DUMMYFUNCTION("""COMPUTED_VALUE"""),"Black seats")</f>
        <v>Black seats</v>
      </c>
      <c r="R113" t="str">
        <f>IFERROR(__xludf.DUMMYFUNCTION("""COMPUTED_VALUE"""),"Enhanced Autopilot")</f>
        <v>Enhanced Autopilot</v>
      </c>
      <c r="X113" t="str">
        <f>IFERROR(__xludf.DUMMYFUNCTION("""COMPUTED_VALUE"""),"Excellent")</f>
        <v>Excellent</v>
      </c>
      <c r="Y113" t="str">
        <f>IFERROR(__xludf.DUMMYFUNCTION("""COMPUTED_VALUE"""),"Excellent")</f>
        <v>Excellent</v>
      </c>
      <c r="Z113" t="str">
        <f>IFERROR(__xludf.DUMMYFUNCTION("""COMPUTED_VALUE"""),"Excellent")</f>
        <v>Excellent</v>
      </c>
      <c r="AA113" t="str">
        <f>IFERROR(__xludf.DUMMYFUNCTION("""COMPUTED_VALUE"""),"Excellent")</f>
        <v>Excellent</v>
      </c>
      <c r="AB113" t="str">
        <f>IFERROR(__xludf.DUMMYFUNCTION("""COMPUTED_VALUE"""),"Good")</f>
        <v>Good</v>
      </c>
      <c r="AH113" s="189">
        <f>IFERROR(__xludf.DUMMYFUNCTION("""COMPUTED_VALUE"""),43252.52284650463)</f>
        <v>43252.52285</v>
      </c>
    </row>
    <row r="114">
      <c r="A114" t="str">
        <f>IFERROR(__xludf.DUMMYFUNCTION("""COMPUTED_VALUE"""),"TeslaWindsor")</f>
        <v>TeslaWindsor</v>
      </c>
      <c r="B114" t="str">
        <f>IFERROR(__xludf.DUMMYFUNCTION("""COMPUTED_VALUE"""),"Windsor")</f>
        <v>Windsor</v>
      </c>
      <c r="C114" t="str">
        <f>IFERROR(__xludf.DUMMYFUNCTION("""COMPUTED_VALUE"""),"ON")</f>
        <v>ON</v>
      </c>
      <c r="D114" t="str">
        <f>IFERROR(__xludf.DUMMYFUNCTION("""COMPUTED_VALUE"""),"Canada")</f>
        <v>Canada</v>
      </c>
      <c r="E114" s="188">
        <f>IFERROR(__xludf.DUMMYFUNCTION("""COMPUTED_VALUE"""),43184.0)</f>
        <v>43184</v>
      </c>
      <c r="F114" s="188">
        <f>IFERROR(__xludf.DUMMYFUNCTION("""COMPUTED_VALUE"""),43223.0)</f>
        <v>43223</v>
      </c>
      <c r="H114">
        <f>IFERROR(__xludf.DUMMYFUNCTION("""COMPUTED_VALUE"""),29555.0)</f>
        <v>29555</v>
      </c>
      <c r="J114" s="5">
        <f>IFERROR(__xludf.DUMMYFUNCTION("""COMPUTED_VALUE"""),43250.0)</f>
        <v>43250</v>
      </c>
      <c r="K114">
        <f>IFERROR(__xludf.DUMMYFUNCTION("""COMPUTED_VALUE"""),39.0)</f>
        <v>39</v>
      </c>
      <c r="L114">
        <f>IFERROR(__xludf.DUMMYFUNCTION("""COMPUTED_VALUE"""),27.0)</f>
        <v>27</v>
      </c>
      <c r="M114">
        <f>IFERROR(__xludf.DUMMYFUNCTION("""COMPUTED_VALUE"""),66.0)</f>
        <v>66</v>
      </c>
      <c r="N114" t="str">
        <f>IFERROR(__xludf.DUMMYFUNCTION("""COMPUTED_VALUE"""),"Model 3 LR")</f>
        <v>Model 3 LR</v>
      </c>
      <c r="O114" t="str">
        <f>IFERROR(__xludf.DUMMYFUNCTION("""COMPUTED_VALUE"""),"Pearl White Multi-Coat")</f>
        <v>Pearl White Multi-Coat</v>
      </c>
      <c r="P114" t="str">
        <f>IFERROR(__xludf.DUMMYFUNCTION("""COMPUTED_VALUE"""),"18 inch Aero")</f>
        <v>18 inch Aero</v>
      </c>
      <c r="Q114" t="str">
        <f>IFERROR(__xludf.DUMMYFUNCTION("""COMPUTED_VALUE"""),"Black seats")</f>
        <v>Black seats</v>
      </c>
      <c r="R114" t="str">
        <f>IFERROR(__xludf.DUMMYFUNCTION("""COMPUTED_VALUE"""),"None")</f>
        <v>None</v>
      </c>
      <c r="X114" t="str">
        <f>IFERROR(__xludf.DUMMYFUNCTION("""COMPUTED_VALUE"""),"Excellent")</f>
        <v>Excellent</v>
      </c>
      <c r="Y114" t="str">
        <f>IFERROR(__xludf.DUMMYFUNCTION("""COMPUTED_VALUE"""),"Excellent")</f>
        <v>Excellent</v>
      </c>
      <c r="Z114" t="str">
        <f>IFERROR(__xludf.DUMMYFUNCTION("""COMPUTED_VALUE"""),"Very Good")</f>
        <v>Very Good</v>
      </c>
      <c r="AA114" t="str">
        <f>IFERROR(__xludf.DUMMYFUNCTION("""COMPUTED_VALUE"""),"Poor")</f>
        <v>Poor</v>
      </c>
      <c r="AB114" t="str">
        <f>IFERROR(__xludf.DUMMYFUNCTION("""COMPUTED_VALUE"""),"Poor")</f>
        <v>Poor</v>
      </c>
      <c r="AH114" s="189">
        <f>IFERROR(__xludf.DUMMYFUNCTION("""COMPUTED_VALUE"""),43252.58050019676)</f>
        <v>43252.5805</v>
      </c>
    </row>
    <row r="115">
      <c r="A115" t="str">
        <f>IFERROR(__xludf.DUMMYFUNCTION("""COMPUTED_VALUE"""),"wscornett")</f>
        <v>wscornett</v>
      </c>
      <c r="B115" t="str">
        <f>IFERROR(__xludf.DUMMYFUNCTION("""COMPUTED_VALUE"""),"Wichita")</f>
        <v>Wichita</v>
      </c>
      <c r="C115" t="str">
        <f>IFERROR(__xludf.DUMMYFUNCTION("""COMPUTED_VALUE"""),"KS")</f>
        <v>KS</v>
      </c>
      <c r="D115" t="str">
        <f>IFERROR(__xludf.DUMMYFUNCTION("""COMPUTED_VALUE"""),"USA")</f>
        <v>USA</v>
      </c>
      <c r="E115" s="188">
        <f>IFERROR(__xludf.DUMMYFUNCTION("""COMPUTED_VALUE"""),43208.0)</f>
        <v>43208</v>
      </c>
      <c r="F115" s="188">
        <f>IFERROR(__xludf.DUMMYFUNCTION("""COMPUTED_VALUE"""),43231.0)</f>
        <v>43231</v>
      </c>
      <c r="H115">
        <f>IFERROR(__xludf.DUMMYFUNCTION("""COMPUTED_VALUE"""),21855.0)</f>
        <v>21855</v>
      </c>
      <c r="J115" s="5">
        <f>IFERROR(__xludf.DUMMYFUNCTION("""COMPUTED_VALUE"""),43252.0)</f>
        <v>43252</v>
      </c>
      <c r="K115">
        <f>IFERROR(__xludf.DUMMYFUNCTION("""COMPUTED_VALUE"""),23.0)</f>
        <v>23</v>
      </c>
      <c r="L115">
        <f>IFERROR(__xludf.DUMMYFUNCTION("""COMPUTED_VALUE"""),21.0)</f>
        <v>21</v>
      </c>
      <c r="M115">
        <f>IFERROR(__xludf.DUMMYFUNCTION("""COMPUTED_VALUE"""),44.0)</f>
        <v>44</v>
      </c>
      <c r="N115" t="str">
        <f>IFERROR(__xludf.DUMMYFUNCTION("""COMPUTED_VALUE"""),"Model 3 LR")</f>
        <v>Model 3 LR</v>
      </c>
      <c r="O115" t="str">
        <f>IFERROR(__xludf.DUMMYFUNCTION("""COMPUTED_VALUE"""),"Midnight Silver Metallic")</f>
        <v>Midnight Silver Metallic</v>
      </c>
      <c r="P115" t="str">
        <f>IFERROR(__xludf.DUMMYFUNCTION("""COMPUTED_VALUE"""),"18 inch Aero")</f>
        <v>18 inch Aero</v>
      </c>
      <c r="Q115" t="str">
        <f>IFERROR(__xludf.DUMMYFUNCTION("""COMPUTED_VALUE"""),"Black seats")</f>
        <v>Black seats</v>
      </c>
      <c r="R115" t="str">
        <f>IFERROR(__xludf.DUMMYFUNCTION("""COMPUTED_VALUE"""),"Enhanced Autopilot")</f>
        <v>Enhanced Autopilot</v>
      </c>
      <c r="X115" t="str">
        <f>IFERROR(__xludf.DUMMYFUNCTION("""COMPUTED_VALUE"""),"Very Good")</f>
        <v>Very Good</v>
      </c>
      <c r="Y115" t="str">
        <f>IFERROR(__xludf.DUMMYFUNCTION("""COMPUTED_VALUE"""),"Excellent")</f>
        <v>Excellent</v>
      </c>
      <c r="Z115" t="str">
        <f>IFERROR(__xludf.DUMMYFUNCTION("""COMPUTED_VALUE"""),"Very Good")</f>
        <v>Very Good</v>
      </c>
      <c r="AA115" t="str">
        <f>IFERROR(__xludf.DUMMYFUNCTION("""COMPUTED_VALUE"""),"Good")</f>
        <v>Good</v>
      </c>
      <c r="AB115" t="str">
        <f>IFERROR(__xludf.DUMMYFUNCTION("""COMPUTED_VALUE"""),"Very Good")</f>
        <v>Very Good</v>
      </c>
      <c r="AH115" s="189">
        <f>IFERROR(__xludf.DUMMYFUNCTION("""COMPUTED_VALUE"""),43252.72130899306)</f>
        <v>43252.72131</v>
      </c>
    </row>
    <row r="116">
      <c r="A116" t="str">
        <f>IFERROR(__xludf.DUMMYFUNCTION("""COMPUTED_VALUE"""),"Fetal")</f>
        <v>Fetal</v>
      </c>
      <c r="B116" t="str">
        <f>IFERROR(__xludf.DUMMYFUNCTION("""COMPUTED_VALUE"""),"Birmingham")</f>
        <v>Birmingham</v>
      </c>
      <c r="C116" t="str">
        <f>IFERROR(__xludf.DUMMYFUNCTION("""COMPUTED_VALUE"""),"AL")</f>
        <v>AL</v>
      </c>
      <c r="D116" t="str">
        <f>IFERROR(__xludf.DUMMYFUNCTION("""COMPUTED_VALUE"""),"USA")</f>
        <v>USA</v>
      </c>
      <c r="E116" s="188">
        <f>IFERROR(__xludf.DUMMYFUNCTION("""COMPUTED_VALUE"""),43203.0)</f>
        <v>43203</v>
      </c>
      <c r="F116" s="188">
        <f>IFERROR(__xludf.DUMMYFUNCTION("""COMPUTED_VALUE"""),43229.0)</f>
        <v>43229</v>
      </c>
      <c r="H116">
        <f>IFERROR(__xludf.DUMMYFUNCTION("""COMPUTED_VALUE"""),21855.0)</f>
        <v>21855</v>
      </c>
      <c r="J116" s="5">
        <f>IFERROR(__xludf.DUMMYFUNCTION("""COMPUTED_VALUE"""),43250.0)</f>
        <v>43250</v>
      </c>
      <c r="K116">
        <f>IFERROR(__xludf.DUMMYFUNCTION("""COMPUTED_VALUE"""),26.0)</f>
        <v>26</v>
      </c>
      <c r="L116">
        <f>IFERROR(__xludf.DUMMYFUNCTION("""COMPUTED_VALUE"""),21.0)</f>
        <v>21</v>
      </c>
      <c r="M116">
        <f>IFERROR(__xludf.DUMMYFUNCTION("""COMPUTED_VALUE"""),47.0)</f>
        <v>47</v>
      </c>
      <c r="N116" t="str">
        <f>IFERROR(__xludf.DUMMYFUNCTION("""COMPUTED_VALUE"""),"Model 3 LR")</f>
        <v>Model 3 LR</v>
      </c>
      <c r="O116" t="str">
        <f>IFERROR(__xludf.DUMMYFUNCTION("""COMPUTED_VALUE"""),"Midnight Silver Metallic")</f>
        <v>Midnight Silver Metallic</v>
      </c>
      <c r="P116" t="str">
        <f>IFERROR(__xludf.DUMMYFUNCTION("""COMPUTED_VALUE"""),"18 inch Aero")</f>
        <v>18 inch Aero</v>
      </c>
      <c r="Q116" t="str">
        <f>IFERROR(__xludf.DUMMYFUNCTION("""COMPUTED_VALUE"""),"Black seats")</f>
        <v>Black seats</v>
      </c>
      <c r="R116" t="str">
        <f>IFERROR(__xludf.DUMMYFUNCTION("""COMPUTED_VALUE"""),"Enhanced Autopilot")</f>
        <v>Enhanced Autopilot</v>
      </c>
      <c r="X116" t="str">
        <f>IFERROR(__xludf.DUMMYFUNCTION("""COMPUTED_VALUE"""),"Excellent")</f>
        <v>Excellent</v>
      </c>
      <c r="Y116" t="str">
        <f>IFERROR(__xludf.DUMMYFUNCTION("""COMPUTED_VALUE"""),"Excellent")</f>
        <v>Excellent</v>
      </c>
      <c r="Z116" t="str">
        <f>IFERROR(__xludf.DUMMYFUNCTION("""COMPUTED_VALUE"""),"Excellent")</f>
        <v>Excellent</v>
      </c>
      <c r="AA116" t="str">
        <f>IFERROR(__xludf.DUMMYFUNCTION("""COMPUTED_VALUE"""),"Good")</f>
        <v>Good</v>
      </c>
      <c r="AB116" t="str">
        <f>IFERROR(__xludf.DUMMYFUNCTION("""COMPUTED_VALUE"""),"Very Good")</f>
        <v>Very Good</v>
      </c>
      <c r="AH116" s="189">
        <f>IFERROR(__xludf.DUMMYFUNCTION("""COMPUTED_VALUE"""),43252.73092190972)</f>
        <v>43252.73092</v>
      </c>
    </row>
    <row r="117">
      <c r="A117" t="str">
        <f>IFERROR(__xludf.DUMMYFUNCTION("""COMPUTED_VALUE"""),"misteryub_")</f>
        <v>misteryub_</v>
      </c>
      <c r="B117" t="str">
        <f>IFERROR(__xludf.DUMMYFUNCTION("""COMPUTED_VALUE"""),"Kirkland_")</f>
        <v>Kirkland_</v>
      </c>
      <c r="C117" t="str">
        <f>IFERROR(__xludf.DUMMYFUNCTION("""COMPUTED_VALUE"""),"WA")</f>
        <v>WA</v>
      </c>
      <c r="D117" t="str">
        <f>IFERROR(__xludf.DUMMYFUNCTION("""COMPUTED_VALUE"""),"USA")</f>
        <v>USA</v>
      </c>
      <c r="E117" s="188">
        <f>IFERROR(__xludf.DUMMYFUNCTION("""COMPUTED_VALUE"""),43209.0)</f>
        <v>43209</v>
      </c>
      <c r="F117" s="188">
        <f>IFERROR(__xludf.DUMMYFUNCTION("""COMPUTED_VALUE"""),43228.0)</f>
        <v>43228</v>
      </c>
      <c r="H117">
        <f>IFERROR(__xludf.DUMMYFUNCTION("""COMPUTED_VALUE"""),22555.0)</f>
        <v>22555</v>
      </c>
      <c r="J117" s="5">
        <f>IFERROR(__xludf.DUMMYFUNCTION("""COMPUTED_VALUE"""),43250.0)</f>
        <v>43250</v>
      </c>
      <c r="K117">
        <f>IFERROR(__xludf.DUMMYFUNCTION("""COMPUTED_VALUE"""),19.0)</f>
        <v>19</v>
      </c>
      <c r="L117">
        <f>IFERROR(__xludf.DUMMYFUNCTION("""COMPUTED_VALUE"""),22.0)</f>
        <v>22</v>
      </c>
      <c r="M117">
        <f>IFERROR(__xludf.DUMMYFUNCTION("""COMPUTED_VALUE"""),41.0)</f>
        <v>41</v>
      </c>
      <c r="N117" t="str">
        <f>IFERROR(__xludf.DUMMYFUNCTION("""COMPUTED_VALUE"""),"Model 3 LR")</f>
        <v>Model 3 LR</v>
      </c>
      <c r="O117" t="str">
        <f>IFERROR(__xludf.DUMMYFUNCTION("""COMPUTED_VALUE"""),"Deep Blue Metallic")</f>
        <v>Deep Blue Metallic</v>
      </c>
      <c r="P117" t="str">
        <f>IFERROR(__xludf.DUMMYFUNCTION("""COMPUTED_VALUE"""),"18 inch Aero")</f>
        <v>18 inch Aero</v>
      </c>
      <c r="Q117" t="str">
        <f>IFERROR(__xludf.DUMMYFUNCTION("""COMPUTED_VALUE"""),"Black seats")</f>
        <v>Black seats</v>
      </c>
      <c r="R117" t="str">
        <f>IFERROR(__xludf.DUMMYFUNCTION("""COMPUTED_VALUE"""),"Enhanced Autopilot")</f>
        <v>Enhanced Autopilot</v>
      </c>
      <c r="X117" t="str">
        <f>IFERROR(__xludf.DUMMYFUNCTION("""COMPUTED_VALUE"""),"Excellent")</f>
        <v>Excellent</v>
      </c>
      <c r="Y117" t="str">
        <f>IFERROR(__xludf.DUMMYFUNCTION("""COMPUTED_VALUE"""),"Excellent")</f>
        <v>Excellent</v>
      </c>
      <c r="Z117" t="str">
        <f>IFERROR(__xludf.DUMMYFUNCTION("""COMPUTED_VALUE"""),"Good")</f>
        <v>Good</v>
      </c>
      <c r="AA117" t="str">
        <f>IFERROR(__xludf.DUMMYFUNCTION("""COMPUTED_VALUE"""),"Very Good")</f>
        <v>Very Good</v>
      </c>
      <c r="AB117" t="str">
        <f>IFERROR(__xludf.DUMMYFUNCTION("""COMPUTED_VALUE"""),"Excellent")</f>
        <v>Excellent</v>
      </c>
      <c r="AG117" t="str">
        <f>IFERROR(__xludf.DUMMYFUNCTION("""COMPUTED_VALUE"""),"Planned to wait for AWD, but WA sales tax exemption ending next month_")</f>
        <v>Planned to wait for AWD, but WA sales tax exemption ending next month_</v>
      </c>
      <c r="AH117" s="189">
        <f>IFERROR(__xludf.DUMMYFUNCTION("""COMPUTED_VALUE"""),43252.74047520834)</f>
        <v>43252.74048</v>
      </c>
    </row>
    <row r="118">
      <c r="A118" t="str">
        <f>IFERROR(__xludf.DUMMYFUNCTION("""COMPUTED_VALUE"""),"jindhal")</f>
        <v>jindhal</v>
      </c>
      <c r="B118" t="str">
        <f>IFERROR(__xludf.DUMMYFUNCTION("""COMPUTED_VALUE"""),"Boston")</f>
        <v>Boston</v>
      </c>
      <c r="C118" t="str">
        <f>IFERROR(__xludf.DUMMYFUNCTION("""COMPUTED_VALUE"""),"MA")</f>
        <v>MA</v>
      </c>
      <c r="D118" t="str">
        <f>IFERROR(__xludf.DUMMYFUNCTION("""COMPUTED_VALUE"""),"USA")</f>
        <v>USA</v>
      </c>
      <c r="E118" s="188">
        <f>IFERROR(__xludf.DUMMYFUNCTION("""COMPUTED_VALUE"""),43196.0)</f>
        <v>43196</v>
      </c>
      <c r="F118" s="188">
        <f>IFERROR(__xludf.DUMMYFUNCTION("""COMPUTED_VALUE"""),43230.0)</f>
        <v>43230</v>
      </c>
      <c r="H118">
        <f>IFERROR(__xludf.DUMMYFUNCTION("""COMPUTED_VALUE"""),25955.0)</f>
        <v>25955</v>
      </c>
      <c r="J118" s="5">
        <f>IFERROR(__xludf.DUMMYFUNCTION("""COMPUTED_VALUE"""),43251.0)</f>
        <v>43251</v>
      </c>
      <c r="K118">
        <f>IFERROR(__xludf.DUMMYFUNCTION("""COMPUTED_VALUE"""),34.0)</f>
        <v>34</v>
      </c>
      <c r="L118">
        <f>IFERROR(__xludf.DUMMYFUNCTION("""COMPUTED_VALUE"""),21.0)</f>
        <v>21</v>
      </c>
      <c r="M118">
        <f>IFERROR(__xludf.DUMMYFUNCTION("""COMPUTED_VALUE"""),55.0)</f>
        <v>55</v>
      </c>
      <c r="N118" t="str">
        <f>IFERROR(__xludf.DUMMYFUNCTION("""COMPUTED_VALUE"""),"Model 3 LR")</f>
        <v>Model 3 LR</v>
      </c>
      <c r="O118" t="str">
        <f>IFERROR(__xludf.DUMMYFUNCTION("""COMPUTED_VALUE"""),"Midnight Silver Metallic")</f>
        <v>Midnight Silver Metallic</v>
      </c>
      <c r="P118" t="str">
        <f>IFERROR(__xludf.DUMMYFUNCTION("""COMPUTED_VALUE"""),"18 inch Aero")</f>
        <v>18 inch Aero</v>
      </c>
      <c r="Q118" t="str">
        <f>IFERROR(__xludf.DUMMYFUNCTION("""COMPUTED_VALUE"""),"Black seats")</f>
        <v>Black seats</v>
      </c>
      <c r="R118" t="str">
        <f>IFERROR(__xludf.DUMMYFUNCTION("""COMPUTED_VALUE"""),"Enhanced Autopilot")</f>
        <v>Enhanced Autopilot</v>
      </c>
      <c r="X118" t="str">
        <f>IFERROR(__xludf.DUMMYFUNCTION("""COMPUTED_VALUE"""),"Excellent")</f>
        <v>Excellent</v>
      </c>
      <c r="Y118" t="str">
        <f>IFERROR(__xludf.DUMMYFUNCTION("""COMPUTED_VALUE"""),"Fair")</f>
        <v>Fair</v>
      </c>
      <c r="Z118" t="str">
        <f>IFERROR(__xludf.DUMMYFUNCTION("""COMPUTED_VALUE"""),"Excellent")</f>
        <v>Excellent</v>
      </c>
      <c r="AA118" t="str">
        <f>IFERROR(__xludf.DUMMYFUNCTION("""COMPUTED_VALUE"""),"Poor")</f>
        <v>Poor</v>
      </c>
      <c r="AB118" t="str">
        <f>IFERROR(__xludf.DUMMYFUNCTION("""COMPUTED_VALUE"""),"Good")</f>
        <v>Good</v>
      </c>
      <c r="AH118" s="189">
        <f>IFERROR(__xludf.DUMMYFUNCTION("""COMPUTED_VALUE"""),43253.28415831018)</f>
        <v>43253.28416</v>
      </c>
    </row>
    <row r="119">
      <c r="A119" t="str">
        <f>IFERROR(__xludf.DUMMYFUNCTION("""COMPUTED_VALUE"""),"djsoldat")</f>
        <v>djsoldat</v>
      </c>
      <c r="C119" t="str">
        <f>IFERROR(__xludf.DUMMYFUNCTION("""COMPUTED_VALUE"""),"WI")</f>
        <v>WI</v>
      </c>
      <c r="D119" t="str">
        <f>IFERROR(__xludf.DUMMYFUNCTION("""COMPUTED_VALUE"""),"USA")</f>
        <v>USA</v>
      </c>
      <c r="E119" s="188">
        <f>IFERROR(__xludf.DUMMYFUNCTION("""COMPUTED_VALUE"""),43204.0)</f>
        <v>43204</v>
      </c>
      <c r="F119" s="188">
        <f>IFERROR(__xludf.DUMMYFUNCTION("""COMPUTED_VALUE"""),43234.0)</f>
        <v>43234</v>
      </c>
      <c r="H119">
        <f>IFERROR(__xludf.DUMMYFUNCTION("""COMPUTED_VALUE"""),22055.0)</f>
        <v>22055</v>
      </c>
      <c r="J119" s="5">
        <f>IFERROR(__xludf.DUMMYFUNCTION("""COMPUTED_VALUE"""),43252.0)</f>
        <v>43252</v>
      </c>
      <c r="K119">
        <f>IFERROR(__xludf.DUMMYFUNCTION("""COMPUTED_VALUE"""),30.0)</f>
        <v>30</v>
      </c>
      <c r="L119">
        <f>IFERROR(__xludf.DUMMYFUNCTION("""COMPUTED_VALUE"""),18.0)</f>
        <v>18</v>
      </c>
      <c r="M119">
        <f>IFERROR(__xludf.DUMMYFUNCTION("""COMPUTED_VALUE"""),48.0)</f>
        <v>48</v>
      </c>
      <c r="N119" t="str">
        <f>IFERROR(__xludf.DUMMYFUNCTION("""COMPUTED_VALUE"""),"Model 3 LR")</f>
        <v>Model 3 LR</v>
      </c>
      <c r="O119" t="str">
        <f>IFERROR(__xludf.DUMMYFUNCTION("""COMPUTED_VALUE"""),"Red Multi-Coat")</f>
        <v>Red Multi-Coat</v>
      </c>
      <c r="P119" t="str">
        <f>IFERROR(__xludf.DUMMYFUNCTION("""COMPUTED_VALUE"""),"18 inch Aero")</f>
        <v>18 inch Aero</v>
      </c>
      <c r="Q119" t="str">
        <f>IFERROR(__xludf.DUMMYFUNCTION("""COMPUTED_VALUE"""),"Black seats")</f>
        <v>Black seats</v>
      </c>
      <c r="R119" t="str">
        <f>IFERROR(__xludf.DUMMYFUNCTION("""COMPUTED_VALUE"""),"Enhanced Autopilot")</f>
        <v>Enhanced Autopilot</v>
      </c>
      <c r="X119" t="str">
        <f>IFERROR(__xludf.DUMMYFUNCTION("""COMPUTED_VALUE"""),"Excellent")</f>
        <v>Excellent</v>
      </c>
      <c r="Y119" t="str">
        <f>IFERROR(__xludf.DUMMYFUNCTION("""COMPUTED_VALUE"""),"Excellent")</f>
        <v>Excellent</v>
      </c>
      <c r="Z119" t="str">
        <f>IFERROR(__xludf.DUMMYFUNCTION("""COMPUTED_VALUE"""),"Excellent")</f>
        <v>Excellent</v>
      </c>
      <c r="AA119" t="str">
        <f>IFERROR(__xludf.DUMMYFUNCTION("""COMPUTED_VALUE"""),"Very Good")</f>
        <v>Very Good</v>
      </c>
      <c r="AB119" t="str">
        <f>IFERROR(__xludf.DUMMYFUNCTION("""COMPUTED_VALUE"""),"Excellent")</f>
        <v>Excellent</v>
      </c>
      <c r="AH119" s="189">
        <f>IFERROR(__xludf.DUMMYFUNCTION("""COMPUTED_VALUE"""),43253.68669180556)</f>
        <v>43253.68669</v>
      </c>
    </row>
    <row r="120">
      <c r="A120" t="str">
        <f>IFERROR(__xludf.DUMMYFUNCTION("""COMPUTED_VALUE"""),"fedepo")</f>
        <v>fedepo</v>
      </c>
      <c r="B120" t="str">
        <f>IFERROR(__xludf.DUMMYFUNCTION("""COMPUTED_VALUE"""),"San Francisco")</f>
        <v>San Francisco</v>
      </c>
      <c r="C120" t="str">
        <f>IFERROR(__xludf.DUMMYFUNCTION("""COMPUTED_VALUE"""),"CA")</f>
        <v>CA</v>
      </c>
      <c r="D120" t="str">
        <f>IFERROR(__xludf.DUMMYFUNCTION("""COMPUTED_VALUE"""),"USA")</f>
        <v>USA</v>
      </c>
      <c r="E120" s="188">
        <f>IFERROR(__xludf.DUMMYFUNCTION("""COMPUTED_VALUE"""),43208.0)</f>
        <v>43208</v>
      </c>
      <c r="F120" s="188">
        <f>IFERROR(__xludf.DUMMYFUNCTION("""COMPUTED_VALUE"""),43242.0)</f>
        <v>43242</v>
      </c>
      <c r="H120">
        <f>IFERROR(__xludf.DUMMYFUNCTION("""COMPUTED_VALUE"""),24855.0)</f>
        <v>24855</v>
      </c>
      <c r="J120" s="5">
        <f>IFERROR(__xludf.DUMMYFUNCTION("""COMPUTED_VALUE"""),43253.0)</f>
        <v>43253</v>
      </c>
      <c r="K120">
        <f>IFERROR(__xludf.DUMMYFUNCTION("""COMPUTED_VALUE"""),34.0)</f>
        <v>34</v>
      </c>
      <c r="L120">
        <f>IFERROR(__xludf.DUMMYFUNCTION("""COMPUTED_VALUE"""),11.0)</f>
        <v>11</v>
      </c>
      <c r="M120">
        <f>IFERROR(__xludf.DUMMYFUNCTION("""COMPUTED_VALUE"""),45.0)</f>
        <v>45</v>
      </c>
      <c r="N120" t="str">
        <f>IFERROR(__xludf.DUMMYFUNCTION("""COMPUTED_VALUE"""),"Model 3 LR")</f>
        <v>Model 3 LR</v>
      </c>
      <c r="O120" t="str">
        <f>IFERROR(__xludf.DUMMYFUNCTION("""COMPUTED_VALUE"""),"Deep Blue Metallic")</f>
        <v>Deep Blue Metallic</v>
      </c>
      <c r="P120" t="str">
        <f>IFERROR(__xludf.DUMMYFUNCTION("""COMPUTED_VALUE"""),"19 inch Sport")</f>
        <v>19 inch Sport</v>
      </c>
      <c r="Q120" t="str">
        <f>IFERROR(__xludf.DUMMYFUNCTION("""COMPUTED_VALUE"""),"Black seats")</f>
        <v>Black seats</v>
      </c>
      <c r="R120" t="str">
        <f>IFERROR(__xludf.DUMMYFUNCTION("""COMPUTED_VALUE"""),"Enhanced Autopilot")</f>
        <v>Enhanced Autopilot</v>
      </c>
      <c r="X120" t="str">
        <f>IFERROR(__xludf.DUMMYFUNCTION("""COMPUTED_VALUE"""),"Excellent")</f>
        <v>Excellent</v>
      </c>
      <c r="Y120" t="str">
        <f>IFERROR(__xludf.DUMMYFUNCTION("""COMPUTED_VALUE"""),"Excellent")</f>
        <v>Excellent</v>
      </c>
      <c r="Z120" t="str">
        <f>IFERROR(__xludf.DUMMYFUNCTION("""COMPUTED_VALUE"""),"Excellent")</f>
        <v>Excellent</v>
      </c>
      <c r="AA120" t="str">
        <f>IFERROR(__xludf.DUMMYFUNCTION("""COMPUTED_VALUE"""),"Excellent")</f>
        <v>Excellent</v>
      </c>
      <c r="AB120" t="str">
        <f>IFERROR(__xludf.DUMMYFUNCTION("""COMPUTED_VALUE"""),"Very Good")</f>
        <v>Very Good</v>
      </c>
      <c r="AH120" s="189">
        <f>IFERROR(__xludf.DUMMYFUNCTION("""COMPUTED_VALUE"""),43253.73449707176)</f>
        <v>43253.7345</v>
      </c>
    </row>
    <row r="121">
      <c r="A121" t="str">
        <f>IFERROR(__xludf.DUMMYFUNCTION("""COMPUTED_VALUE"""),"kencs")</f>
        <v>kencs</v>
      </c>
      <c r="B121" t="str">
        <f>IFERROR(__xludf.DUMMYFUNCTION("""COMPUTED_VALUE"""),"Huntsville")</f>
        <v>Huntsville</v>
      </c>
      <c r="C121" t="str">
        <f>IFERROR(__xludf.DUMMYFUNCTION("""COMPUTED_VALUE"""),"AL")</f>
        <v>AL</v>
      </c>
      <c r="D121" t="str">
        <f>IFERROR(__xludf.DUMMYFUNCTION("""COMPUTED_VALUE"""),"USA")</f>
        <v>USA</v>
      </c>
      <c r="E121" s="188">
        <f>IFERROR(__xludf.DUMMYFUNCTION("""COMPUTED_VALUE"""),43187.0)</f>
        <v>43187</v>
      </c>
      <c r="F121" s="188">
        <f>IFERROR(__xludf.DUMMYFUNCTION("""COMPUTED_VALUE"""),43239.0)</f>
        <v>43239</v>
      </c>
      <c r="H121">
        <f>IFERROR(__xludf.DUMMYFUNCTION("""COMPUTED_VALUE"""),26855.0)</f>
        <v>26855</v>
      </c>
      <c r="J121" s="5">
        <f>IFERROR(__xludf.DUMMYFUNCTION("""COMPUTED_VALUE"""),43245.0)</f>
        <v>43245</v>
      </c>
      <c r="K121">
        <f>IFERROR(__xludf.DUMMYFUNCTION("""COMPUTED_VALUE"""),52.0)</f>
        <v>52</v>
      </c>
      <c r="L121">
        <f>IFERROR(__xludf.DUMMYFUNCTION("""COMPUTED_VALUE"""),6.0)</f>
        <v>6</v>
      </c>
      <c r="M121">
        <f>IFERROR(__xludf.DUMMYFUNCTION("""COMPUTED_VALUE"""),58.0)</f>
        <v>58</v>
      </c>
      <c r="N121" t="str">
        <f>IFERROR(__xludf.DUMMYFUNCTION("""COMPUTED_VALUE"""),"Model 3 LR")</f>
        <v>Model 3 LR</v>
      </c>
      <c r="O121" t="str">
        <f>IFERROR(__xludf.DUMMYFUNCTION("""COMPUTED_VALUE"""),"Midnight Silver Metallic")</f>
        <v>Midnight Silver Metallic</v>
      </c>
      <c r="P121" t="str">
        <f>IFERROR(__xludf.DUMMYFUNCTION("""COMPUTED_VALUE"""),"18 inch Aero")</f>
        <v>18 inch Aero</v>
      </c>
      <c r="Q121" t="str">
        <f>IFERROR(__xludf.DUMMYFUNCTION("""COMPUTED_VALUE"""),"Black seats")</f>
        <v>Black seats</v>
      </c>
      <c r="R121" t="str">
        <f>IFERROR(__xludf.DUMMYFUNCTION("""COMPUTED_VALUE"""),"Enhanced Autopilot")</f>
        <v>Enhanced Autopilot</v>
      </c>
      <c r="X121" t="str">
        <f>IFERROR(__xludf.DUMMYFUNCTION("""COMPUTED_VALUE"""),"Excellent")</f>
        <v>Excellent</v>
      </c>
      <c r="Y121" t="str">
        <f>IFERROR(__xludf.DUMMYFUNCTION("""COMPUTED_VALUE"""),"Excellent")</f>
        <v>Excellent</v>
      </c>
      <c r="Z121" t="str">
        <f>IFERROR(__xludf.DUMMYFUNCTION("""COMPUTED_VALUE"""),"Excellent")</f>
        <v>Excellent</v>
      </c>
      <c r="AA121" t="str">
        <f>IFERROR(__xludf.DUMMYFUNCTION("""COMPUTED_VALUE"""),"Excellent")</f>
        <v>Excellent</v>
      </c>
      <c r="AB121" t="str">
        <f>IFERROR(__xludf.DUMMYFUNCTION("""COMPUTED_VALUE"""),"Excellent")</f>
        <v>Excellent</v>
      </c>
      <c r="AH121" s="189">
        <f>IFERROR(__xludf.DUMMYFUNCTION("""COMPUTED_VALUE"""),43253.847917638894)</f>
        <v>43253.84792</v>
      </c>
    </row>
    <row r="122">
      <c r="A122" t="str">
        <f>IFERROR(__xludf.DUMMYFUNCTION("""COMPUTED_VALUE"""),"navguy12")</f>
        <v>navguy12</v>
      </c>
      <c r="B122" t="str">
        <f>IFERROR(__xludf.DUMMYFUNCTION("""COMPUTED_VALUE"""),"Batawa")</f>
        <v>Batawa</v>
      </c>
      <c r="C122" t="str">
        <f>IFERROR(__xludf.DUMMYFUNCTION("""COMPUTED_VALUE"""),"ON")</f>
        <v>ON</v>
      </c>
      <c r="D122" t="str">
        <f>IFERROR(__xludf.DUMMYFUNCTION("""COMPUTED_VALUE"""),"Canada")</f>
        <v>Canada</v>
      </c>
      <c r="E122" s="188">
        <f>IFERROR(__xludf.DUMMYFUNCTION("""COMPUTED_VALUE"""),43215.0)</f>
        <v>43215</v>
      </c>
      <c r="F122" s="188">
        <f>IFERROR(__xludf.DUMMYFUNCTION("""COMPUTED_VALUE"""),43224.0)</f>
        <v>43224</v>
      </c>
      <c r="H122">
        <f>IFERROR(__xludf.DUMMYFUNCTION("""COMPUTED_VALUE"""),23225.0)</f>
        <v>23225</v>
      </c>
      <c r="J122" s="5">
        <f>IFERROR(__xludf.DUMMYFUNCTION("""COMPUTED_VALUE"""),43250.0)</f>
        <v>43250</v>
      </c>
      <c r="K122">
        <f>IFERROR(__xludf.DUMMYFUNCTION("""COMPUTED_VALUE"""),9.0)</f>
        <v>9</v>
      </c>
      <c r="L122">
        <f>IFERROR(__xludf.DUMMYFUNCTION("""COMPUTED_VALUE"""),26.0)</f>
        <v>26</v>
      </c>
      <c r="M122">
        <f>IFERROR(__xludf.DUMMYFUNCTION("""COMPUTED_VALUE"""),35.0)</f>
        <v>35</v>
      </c>
      <c r="N122" t="str">
        <f>IFERROR(__xludf.DUMMYFUNCTION("""COMPUTED_VALUE"""),"Model 3 LR")</f>
        <v>Model 3 LR</v>
      </c>
      <c r="O122" t="str">
        <f>IFERROR(__xludf.DUMMYFUNCTION("""COMPUTED_VALUE"""),"Pearl White Multi-Coat")</f>
        <v>Pearl White Multi-Coat</v>
      </c>
      <c r="P122" t="str">
        <f>IFERROR(__xludf.DUMMYFUNCTION("""COMPUTED_VALUE"""),"18 inch Aero")</f>
        <v>18 inch Aero</v>
      </c>
      <c r="Q122" t="str">
        <f>IFERROR(__xludf.DUMMYFUNCTION("""COMPUTED_VALUE"""),"Black seats")</f>
        <v>Black seats</v>
      </c>
      <c r="R122" t="str">
        <f>IFERROR(__xludf.DUMMYFUNCTION("""COMPUTED_VALUE"""),"Enhanced Autopilot")</f>
        <v>Enhanced Autopilot</v>
      </c>
      <c r="X122" t="str">
        <f>IFERROR(__xludf.DUMMYFUNCTION("""COMPUTED_VALUE"""),"Very Good")</f>
        <v>Very Good</v>
      </c>
      <c r="Y122" t="str">
        <f>IFERROR(__xludf.DUMMYFUNCTION("""COMPUTED_VALUE"""),"Excellent")</f>
        <v>Excellent</v>
      </c>
      <c r="Z122" t="str">
        <f>IFERROR(__xludf.DUMMYFUNCTION("""COMPUTED_VALUE"""),"Very Good")</f>
        <v>Very Good</v>
      </c>
      <c r="AA122" t="str">
        <f>IFERROR(__xludf.DUMMYFUNCTION("""COMPUTED_VALUE"""),"Fair")</f>
        <v>Fair</v>
      </c>
      <c r="AB122" t="str">
        <f>IFERROR(__xludf.DUMMYFUNCTION("""COMPUTED_VALUE"""),"Good")</f>
        <v>Good</v>
      </c>
      <c r="AH122" s="189">
        <f>IFERROR(__xludf.DUMMYFUNCTION("""COMPUTED_VALUE"""),43253.850761423615)</f>
        <v>43253.85076</v>
      </c>
    </row>
    <row r="123">
      <c r="A123" t="str">
        <f>IFERROR(__xludf.DUMMYFUNCTION("""COMPUTED_VALUE"""),"fivemidable")</f>
        <v>fivemidable</v>
      </c>
      <c r="C123" t="str">
        <f>IFERROR(__xludf.DUMMYFUNCTION("""COMPUTED_VALUE"""),"ON")</f>
        <v>ON</v>
      </c>
      <c r="D123" t="str">
        <f>IFERROR(__xludf.DUMMYFUNCTION("""COMPUTED_VALUE"""),"Canada")</f>
        <v>Canada</v>
      </c>
      <c r="E123" s="188">
        <f>IFERROR(__xludf.DUMMYFUNCTION("""COMPUTED_VALUE"""),43203.0)</f>
        <v>43203</v>
      </c>
      <c r="F123" s="188">
        <f>IFERROR(__xludf.DUMMYFUNCTION("""COMPUTED_VALUE"""),43224.0)</f>
        <v>43224</v>
      </c>
      <c r="H123">
        <f>IFERROR(__xludf.DUMMYFUNCTION("""COMPUTED_VALUE"""),22955.0)</f>
        <v>22955</v>
      </c>
      <c r="J123" s="5">
        <f>IFERROR(__xludf.DUMMYFUNCTION("""COMPUTED_VALUE"""),43253.0)</f>
        <v>43253</v>
      </c>
      <c r="K123">
        <f>IFERROR(__xludf.DUMMYFUNCTION("""COMPUTED_VALUE"""),21.0)</f>
        <v>21</v>
      </c>
      <c r="L123">
        <f>IFERROR(__xludf.DUMMYFUNCTION("""COMPUTED_VALUE"""),29.0)</f>
        <v>29</v>
      </c>
      <c r="M123">
        <f>IFERROR(__xludf.DUMMYFUNCTION("""COMPUTED_VALUE"""),50.0)</f>
        <v>50</v>
      </c>
      <c r="N123" t="str">
        <f>IFERROR(__xludf.DUMMYFUNCTION("""COMPUTED_VALUE"""),"Model 3 LR")</f>
        <v>Model 3 LR</v>
      </c>
      <c r="O123" t="str">
        <f>IFERROR(__xludf.DUMMYFUNCTION("""COMPUTED_VALUE"""),"Deep Blue Metallic")</f>
        <v>Deep Blue Metallic</v>
      </c>
      <c r="P123" t="str">
        <f>IFERROR(__xludf.DUMMYFUNCTION("""COMPUTED_VALUE"""),"18 inch Aero")</f>
        <v>18 inch Aero</v>
      </c>
      <c r="R123" t="str">
        <f>IFERROR(__xludf.DUMMYFUNCTION("""COMPUTED_VALUE"""),"None")</f>
        <v>None</v>
      </c>
      <c r="X123" t="str">
        <f>IFERROR(__xludf.DUMMYFUNCTION("""COMPUTED_VALUE"""),"Excellent")</f>
        <v>Excellent</v>
      </c>
      <c r="Y123" t="str">
        <f>IFERROR(__xludf.DUMMYFUNCTION("""COMPUTED_VALUE"""),"Very Good")</f>
        <v>Very Good</v>
      </c>
      <c r="Z123" t="str">
        <f>IFERROR(__xludf.DUMMYFUNCTION("""COMPUTED_VALUE"""),"Excellent")</f>
        <v>Excellent</v>
      </c>
      <c r="AA123" t="str">
        <f>IFERROR(__xludf.DUMMYFUNCTION("""COMPUTED_VALUE"""),"Good")</f>
        <v>Good</v>
      </c>
      <c r="AB123" t="str">
        <f>IFERROR(__xludf.DUMMYFUNCTION("""COMPUTED_VALUE"""),"Very Good")</f>
        <v>Very Good</v>
      </c>
      <c r="AH123" s="189">
        <f>IFERROR(__xludf.DUMMYFUNCTION("""COMPUTED_VALUE"""),43253.88561107639)</f>
        <v>43253.88561</v>
      </c>
    </row>
    <row r="124">
      <c r="A124" t="str">
        <f>IFERROR(__xludf.DUMMYFUNCTION("""COMPUTED_VALUE"""),"gnp")</f>
        <v>gnp</v>
      </c>
      <c r="B124" t="str">
        <f>IFERROR(__xludf.DUMMYFUNCTION("""COMPUTED_VALUE"""),"Houston")</f>
        <v>Houston</v>
      </c>
      <c r="C124" t="str">
        <f>IFERROR(__xludf.DUMMYFUNCTION("""COMPUTED_VALUE"""),"TX")</f>
        <v>TX</v>
      </c>
      <c r="D124" t="str">
        <f>IFERROR(__xludf.DUMMYFUNCTION("""COMPUTED_VALUE"""),"USA")</f>
        <v>USA</v>
      </c>
      <c r="E124" s="188">
        <f>IFERROR(__xludf.DUMMYFUNCTION("""COMPUTED_VALUE"""),43196.0)</f>
        <v>43196</v>
      </c>
      <c r="F124" s="188">
        <f>IFERROR(__xludf.DUMMYFUNCTION("""COMPUTED_VALUE"""),43222.0)</f>
        <v>43222</v>
      </c>
      <c r="H124">
        <f>IFERROR(__xludf.DUMMYFUNCTION("""COMPUTED_VALUE"""),19555.0)</f>
        <v>19555</v>
      </c>
      <c r="J124" s="5">
        <f>IFERROR(__xludf.DUMMYFUNCTION("""COMPUTED_VALUE"""),43253.0)</f>
        <v>43253</v>
      </c>
      <c r="K124">
        <f>IFERROR(__xludf.DUMMYFUNCTION("""COMPUTED_VALUE"""),26.0)</f>
        <v>26</v>
      </c>
      <c r="L124">
        <f>IFERROR(__xludf.DUMMYFUNCTION("""COMPUTED_VALUE"""),31.0)</f>
        <v>31</v>
      </c>
      <c r="M124">
        <f>IFERROR(__xludf.DUMMYFUNCTION("""COMPUTED_VALUE"""),57.0)</f>
        <v>57</v>
      </c>
      <c r="N124" t="str">
        <f>IFERROR(__xludf.DUMMYFUNCTION("""COMPUTED_VALUE"""),"Model 3 LR")</f>
        <v>Model 3 LR</v>
      </c>
      <c r="O124" t="str">
        <f>IFERROR(__xludf.DUMMYFUNCTION("""COMPUTED_VALUE"""),"Deep Blue Metallic")</f>
        <v>Deep Blue Metallic</v>
      </c>
      <c r="P124" t="str">
        <f>IFERROR(__xludf.DUMMYFUNCTION("""COMPUTED_VALUE"""),"18 inch Aero")</f>
        <v>18 inch Aero</v>
      </c>
      <c r="Q124" t="str">
        <f>IFERROR(__xludf.DUMMYFUNCTION("""COMPUTED_VALUE"""),"Black seats")</f>
        <v>Black seats</v>
      </c>
      <c r="R124" t="str">
        <f>IFERROR(__xludf.DUMMYFUNCTION("""COMPUTED_VALUE"""),"None")</f>
        <v>None</v>
      </c>
      <c r="X124" t="str">
        <f>IFERROR(__xludf.DUMMYFUNCTION("""COMPUTED_VALUE"""),"Excellent")</f>
        <v>Excellent</v>
      </c>
      <c r="Y124" t="str">
        <f>IFERROR(__xludf.DUMMYFUNCTION("""COMPUTED_VALUE"""),"Excellent")</f>
        <v>Excellent</v>
      </c>
      <c r="Z124" t="str">
        <f>IFERROR(__xludf.DUMMYFUNCTION("""COMPUTED_VALUE"""),"Fair")</f>
        <v>Fair</v>
      </c>
      <c r="AA124" t="str">
        <f>IFERROR(__xludf.DUMMYFUNCTION("""COMPUTED_VALUE"""),"Fair")</f>
        <v>Fair</v>
      </c>
      <c r="AB124" t="str">
        <f>IFERROR(__xludf.DUMMYFUNCTION("""COMPUTED_VALUE"""),"Very Good")</f>
        <v>Very Good</v>
      </c>
      <c r="AH124" s="189">
        <f>IFERROR(__xludf.DUMMYFUNCTION("""COMPUTED_VALUE"""),43253.88940526621)</f>
        <v>43253.88941</v>
      </c>
    </row>
    <row r="125">
      <c r="A125" t="str">
        <f>IFERROR(__xludf.DUMMYFUNCTION("""COMPUTED_VALUE"""),"rhummer")</f>
        <v>rhummer</v>
      </c>
      <c r="B125" t="str">
        <f>IFERROR(__xludf.DUMMYFUNCTION("""COMPUTED_VALUE"""),"Madison")</f>
        <v>Madison</v>
      </c>
      <c r="C125" t="str">
        <f>IFERROR(__xludf.DUMMYFUNCTION("""COMPUTED_VALUE"""),"WI")</f>
        <v>WI</v>
      </c>
      <c r="D125" t="str">
        <f>IFERROR(__xludf.DUMMYFUNCTION("""COMPUTED_VALUE"""),"USA")</f>
        <v>USA</v>
      </c>
      <c r="E125" s="188">
        <f>IFERROR(__xludf.DUMMYFUNCTION("""COMPUTED_VALUE"""),43208.0)</f>
        <v>43208</v>
      </c>
      <c r="F125" s="188">
        <f>IFERROR(__xludf.DUMMYFUNCTION("""COMPUTED_VALUE"""),43234.0)</f>
        <v>43234</v>
      </c>
      <c r="H125">
        <f>IFERROR(__xludf.DUMMYFUNCTION("""COMPUTED_VALUE"""),21155.0)</f>
        <v>21155</v>
      </c>
      <c r="J125" s="5">
        <f>IFERROR(__xludf.DUMMYFUNCTION("""COMPUTED_VALUE"""),43253.0)</f>
        <v>43253</v>
      </c>
      <c r="K125">
        <f>IFERROR(__xludf.DUMMYFUNCTION("""COMPUTED_VALUE"""),26.0)</f>
        <v>26</v>
      </c>
      <c r="L125">
        <f>IFERROR(__xludf.DUMMYFUNCTION("""COMPUTED_VALUE"""),19.0)</f>
        <v>19</v>
      </c>
      <c r="M125">
        <f>IFERROR(__xludf.DUMMYFUNCTION("""COMPUTED_VALUE"""),45.0)</f>
        <v>45</v>
      </c>
      <c r="N125" t="str">
        <f>IFERROR(__xludf.DUMMYFUNCTION("""COMPUTED_VALUE"""),"Model 3 LR")</f>
        <v>Model 3 LR</v>
      </c>
      <c r="O125" t="str">
        <f>IFERROR(__xludf.DUMMYFUNCTION("""COMPUTED_VALUE"""),"Midnight Silver Metallic")</f>
        <v>Midnight Silver Metallic</v>
      </c>
      <c r="P125" t="str">
        <f>IFERROR(__xludf.DUMMYFUNCTION("""COMPUTED_VALUE"""),"18 inch Aero")</f>
        <v>18 inch Aero</v>
      </c>
      <c r="Q125" t="str">
        <f>IFERROR(__xludf.DUMMYFUNCTION("""COMPUTED_VALUE"""),"Black seats")</f>
        <v>Black seats</v>
      </c>
      <c r="R125" t="str">
        <f>IFERROR(__xludf.DUMMYFUNCTION("""COMPUTED_VALUE"""),"Enhanced Autopilot")</f>
        <v>Enhanced Autopilot</v>
      </c>
      <c r="X125" t="str">
        <f>IFERROR(__xludf.DUMMYFUNCTION("""COMPUTED_VALUE"""),"Excellent")</f>
        <v>Excellent</v>
      </c>
      <c r="Y125" t="str">
        <f>IFERROR(__xludf.DUMMYFUNCTION("""COMPUTED_VALUE"""),"Excellent")</f>
        <v>Excellent</v>
      </c>
      <c r="Z125" t="str">
        <f>IFERROR(__xludf.DUMMYFUNCTION("""COMPUTED_VALUE"""),"Excellent")</f>
        <v>Excellent</v>
      </c>
      <c r="AA125" t="str">
        <f>IFERROR(__xludf.DUMMYFUNCTION("""COMPUTED_VALUE"""),"Very Good")</f>
        <v>Very Good</v>
      </c>
      <c r="AB125" t="str">
        <f>IFERROR(__xludf.DUMMYFUNCTION("""COMPUTED_VALUE"""),"Excellent")</f>
        <v>Excellent</v>
      </c>
      <c r="AH125" s="189">
        <f>IFERROR(__xludf.DUMMYFUNCTION("""COMPUTED_VALUE"""),43254.19539905092)</f>
        <v>43254.1954</v>
      </c>
    </row>
    <row r="126">
      <c r="A126" t="str">
        <f>IFERROR(__xludf.DUMMYFUNCTION("""COMPUTED_VALUE"""),"nogajim ")</f>
        <v>nogajim </v>
      </c>
      <c r="B126" t="str">
        <f>IFERROR(__xludf.DUMMYFUNCTION("""COMPUTED_VALUE"""),"Atlanta ")</f>
        <v>Atlanta </v>
      </c>
      <c r="C126" t="str">
        <f>IFERROR(__xludf.DUMMYFUNCTION("""COMPUTED_VALUE"""),"GA")</f>
        <v>GA</v>
      </c>
      <c r="D126" t="str">
        <f>IFERROR(__xludf.DUMMYFUNCTION("""COMPUTED_VALUE"""),"USA")</f>
        <v>USA</v>
      </c>
      <c r="E126" s="188">
        <f>IFERROR(__xludf.DUMMYFUNCTION("""COMPUTED_VALUE"""),43200.0)</f>
        <v>43200</v>
      </c>
      <c r="F126" s="188">
        <f>IFERROR(__xludf.DUMMYFUNCTION("""COMPUTED_VALUE"""),43234.0)</f>
        <v>43234</v>
      </c>
      <c r="H126">
        <f>IFERROR(__xludf.DUMMYFUNCTION("""COMPUTED_VALUE"""),22455.0)</f>
        <v>22455</v>
      </c>
      <c r="J126" s="5">
        <f>IFERROR(__xludf.DUMMYFUNCTION("""COMPUTED_VALUE"""),43253.0)</f>
        <v>43253</v>
      </c>
      <c r="K126">
        <f>IFERROR(__xludf.DUMMYFUNCTION("""COMPUTED_VALUE"""),34.0)</f>
        <v>34</v>
      </c>
      <c r="L126">
        <f>IFERROR(__xludf.DUMMYFUNCTION("""COMPUTED_VALUE"""),19.0)</f>
        <v>19</v>
      </c>
      <c r="M126">
        <f>IFERROR(__xludf.DUMMYFUNCTION("""COMPUTED_VALUE"""),53.0)</f>
        <v>53</v>
      </c>
      <c r="N126" t="str">
        <f>IFERROR(__xludf.DUMMYFUNCTION("""COMPUTED_VALUE"""),"Model 3 LR")</f>
        <v>Model 3 LR</v>
      </c>
      <c r="O126" t="str">
        <f>IFERROR(__xludf.DUMMYFUNCTION("""COMPUTED_VALUE"""),"Red Multi-Coat")</f>
        <v>Red Multi-Coat</v>
      </c>
      <c r="P126" t="str">
        <f>IFERROR(__xludf.DUMMYFUNCTION("""COMPUTED_VALUE"""),"18 inch Aero")</f>
        <v>18 inch Aero</v>
      </c>
      <c r="Q126" t="str">
        <f>IFERROR(__xludf.DUMMYFUNCTION("""COMPUTED_VALUE"""),"Black seats")</f>
        <v>Black seats</v>
      </c>
      <c r="R126" t="str">
        <f>IFERROR(__xludf.DUMMYFUNCTION("""COMPUTED_VALUE"""),"Enhanced Autopilot")</f>
        <v>Enhanced Autopilot</v>
      </c>
      <c r="X126" t="str">
        <f>IFERROR(__xludf.DUMMYFUNCTION("""COMPUTED_VALUE"""),"Excellent")</f>
        <v>Excellent</v>
      </c>
      <c r="Y126" t="str">
        <f>IFERROR(__xludf.DUMMYFUNCTION("""COMPUTED_VALUE"""),"Excellent")</f>
        <v>Excellent</v>
      </c>
      <c r="Z126" t="str">
        <f>IFERROR(__xludf.DUMMYFUNCTION("""COMPUTED_VALUE"""),"Good")</f>
        <v>Good</v>
      </c>
      <c r="AA126" t="str">
        <f>IFERROR(__xludf.DUMMYFUNCTION("""COMPUTED_VALUE"""),"Fair")</f>
        <v>Fair</v>
      </c>
      <c r="AB126" t="str">
        <f>IFERROR(__xludf.DUMMYFUNCTION("""COMPUTED_VALUE"""),"Good")</f>
        <v>Good</v>
      </c>
      <c r="AH126" s="189">
        <f>IFERROR(__xludf.DUMMYFUNCTION("""COMPUTED_VALUE"""),43254.24407778935)</f>
        <v>43254.24408</v>
      </c>
    </row>
    <row r="127">
      <c r="A127" t="str">
        <f>IFERROR(__xludf.DUMMYFUNCTION("""COMPUTED_VALUE"""),"nccal")</f>
        <v>nccal</v>
      </c>
      <c r="B127" t="str">
        <f>IFERROR(__xludf.DUMMYFUNCTION("""COMPUTED_VALUE"""),"Raleigh")</f>
        <v>Raleigh</v>
      </c>
      <c r="C127" t="str">
        <f>IFERROR(__xludf.DUMMYFUNCTION("""COMPUTED_VALUE"""),"NC")</f>
        <v>NC</v>
      </c>
      <c r="D127" t="str">
        <f>IFERROR(__xludf.DUMMYFUNCTION("""COMPUTED_VALUE"""),"USA")</f>
        <v>USA</v>
      </c>
      <c r="E127" s="188">
        <f>IFERROR(__xludf.DUMMYFUNCTION("""COMPUTED_VALUE"""),43208.0)</f>
        <v>43208</v>
      </c>
      <c r="F127" s="188">
        <f>IFERROR(__xludf.DUMMYFUNCTION("""COMPUTED_VALUE"""),43231.0)</f>
        <v>43231</v>
      </c>
      <c r="H127">
        <f>IFERROR(__xludf.DUMMYFUNCTION("""COMPUTED_VALUE"""),25955.0)</f>
        <v>25955</v>
      </c>
      <c r="J127" s="5">
        <f>IFERROR(__xludf.DUMMYFUNCTION("""COMPUTED_VALUE"""),43253.0)</f>
        <v>43253</v>
      </c>
      <c r="K127">
        <f>IFERROR(__xludf.DUMMYFUNCTION("""COMPUTED_VALUE"""),23.0)</f>
        <v>23</v>
      </c>
      <c r="L127">
        <f>IFERROR(__xludf.DUMMYFUNCTION("""COMPUTED_VALUE"""),22.0)</f>
        <v>22</v>
      </c>
      <c r="M127">
        <f>IFERROR(__xludf.DUMMYFUNCTION("""COMPUTED_VALUE"""),45.0)</f>
        <v>45</v>
      </c>
      <c r="N127" t="str">
        <f>IFERROR(__xludf.DUMMYFUNCTION("""COMPUTED_VALUE"""),"Model 3 LR")</f>
        <v>Model 3 LR</v>
      </c>
      <c r="O127" t="str">
        <f>IFERROR(__xludf.DUMMYFUNCTION("""COMPUTED_VALUE"""),"Red Multi-Coat")</f>
        <v>Red Multi-Coat</v>
      </c>
      <c r="P127" t="str">
        <f>IFERROR(__xludf.DUMMYFUNCTION("""COMPUTED_VALUE"""),"18 inch Aero")</f>
        <v>18 inch Aero</v>
      </c>
      <c r="Q127" t="str">
        <f>IFERROR(__xludf.DUMMYFUNCTION("""COMPUTED_VALUE"""),"Black seats")</f>
        <v>Black seats</v>
      </c>
      <c r="R127" t="str">
        <f>IFERROR(__xludf.DUMMYFUNCTION("""COMPUTED_VALUE"""),"Enhanced Autopilot")</f>
        <v>Enhanced Autopilot</v>
      </c>
      <c r="X127" t="str">
        <f>IFERROR(__xludf.DUMMYFUNCTION("""COMPUTED_VALUE"""),"Excellent")</f>
        <v>Excellent</v>
      </c>
      <c r="Y127" t="str">
        <f>IFERROR(__xludf.DUMMYFUNCTION("""COMPUTED_VALUE"""),"Excellent")</f>
        <v>Excellent</v>
      </c>
      <c r="Z127" t="str">
        <f>IFERROR(__xludf.DUMMYFUNCTION("""COMPUTED_VALUE"""),"Excellent")</f>
        <v>Excellent</v>
      </c>
      <c r="AA127" t="str">
        <f>IFERROR(__xludf.DUMMYFUNCTION("""COMPUTED_VALUE"""),"Excellent")</f>
        <v>Excellent</v>
      </c>
      <c r="AB127" t="str">
        <f>IFERROR(__xludf.DUMMYFUNCTION("""COMPUTED_VALUE"""),"Excellent")</f>
        <v>Excellent</v>
      </c>
      <c r="AG127" t="str">
        <f>IFERROR(__xludf.DUMMYFUNCTION("""COMPUTED_VALUE"""),"TESLA NC GROUP: https://www.facebook.com/groups/TeslaOwnersClubNC/")</f>
        <v>TESLA NC GROUP: https://www.facebook.com/groups/TeslaOwnersClubNC/</v>
      </c>
      <c r="AH127" s="189">
        <f>IFERROR(__xludf.DUMMYFUNCTION("""COMPUTED_VALUE"""),43254.26121869213)</f>
        <v>43254.26122</v>
      </c>
    </row>
    <row r="128">
      <c r="A128" t="str">
        <f>IFERROR(__xludf.DUMMYFUNCTION("""COMPUTED_VALUE"""),"martinbogo")</f>
        <v>martinbogo</v>
      </c>
      <c r="B128" t="str">
        <f>IFERROR(__xludf.DUMMYFUNCTION("""COMPUTED_VALUE"""),"Austin")</f>
        <v>Austin</v>
      </c>
      <c r="C128" t="str">
        <f>IFERROR(__xludf.DUMMYFUNCTION("""COMPUTED_VALUE"""),"TX")</f>
        <v>TX</v>
      </c>
      <c r="D128" t="str">
        <f>IFERROR(__xludf.DUMMYFUNCTION("""COMPUTED_VALUE"""),"USA")</f>
        <v>USA</v>
      </c>
      <c r="E128" s="188">
        <f>IFERROR(__xludf.DUMMYFUNCTION("""COMPUTED_VALUE"""),43196.0)</f>
        <v>43196</v>
      </c>
      <c r="F128" s="188">
        <f>IFERROR(__xludf.DUMMYFUNCTION("""COMPUTED_VALUE"""),43243.0)</f>
        <v>43243</v>
      </c>
      <c r="H128">
        <f>IFERROR(__xludf.DUMMYFUNCTION("""COMPUTED_VALUE"""),22855.0)</f>
        <v>22855</v>
      </c>
      <c r="J128" s="5">
        <f>IFERROR(__xludf.DUMMYFUNCTION("""COMPUTED_VALUE"""),43260.0)</f>
        <v>43260</v>
      </c>
      <c r="K128">
        <f>IFERROR(__xludf.DUMMYFUNCTION("""COMPUTED_VALUE"""),47.0)</f>
        <v>47</v>
      </c>
      <c r="L128">
        <f>IFERROR(__xludf.DUMMYFUNCTION("""COMPUTED_VALUE"""),17.0)</f>
        <v>17</v>
      </c>
      <c r="M128">
        <f>IFERROR(__xludf.DUMMYFUNCTION("""COMPUTED_VALUE"""),64.0)</f>
        <v>64</v>
      </c>
      <c r="N128" t="str">
        <f>IFERROR(__xludf.DUMMYFUNCTION("""COMPUTED_VALUE"""),"Model 3 LR")</f>
        <v>Model 3 LR</v>
      </c>
      <c r="O128" t="str">
        <f>IFERROR(__xludf.DUMMYFUNCTION("""COMPUTED_VALUE"""),"Deep Blue Metallic")</f>
        <v>Deep Blue Metallic</v>
      </c>
      <c r="P128" t="str">
        <f>IFERROR(__xludf.DUMMYFUNCTION("""COMPUTED_VALUE"""),"18 inch Aero")</f>
        <v>18 inch Aero</v>
      </c>
      <c r="Q128" t="str">
        <f>IFERROR(__xludf.DUMMYFUNCTION("""COMPUTED_VALUE"""),"Black seats")</f>
        <v>Black seats</v>
      </c>
      <c r="R128" t="str">
        <f>IFERROR(__xludf.DUMMYFUNCTION("""COMPUTED_VALUE"""),"Enhanced Autopilot")</f>
        <v>Enhanced Autopilot</v>
      </c>
      <c r="X128" t="str">
        <f>IFERROR(__xludf.DUMMYFUNCTION("""COMPUTED_VALUE"""),"Excellent")</f>
        <v>Excellent</v>
      </c>
      <c r="Y128" t="str">
        <f>IFERROR(__xludf.DUMMYFUNCTION("""COMPUTED_VALUE"""),"Excellent")</f>
        <v>Excellent</v>
      </c>
      <c r="Z128" t="str">
        <f>IFERROR(__xludf.DUMMYFUNCTION("""COMPUTED_VALUE"""),"Poor")</f>
        <v>Poor</v>
      </c>
      <c r="AA128" t="str">
        <f>IFERROR(__xludf.DUMMYFUNCTION("""COMPUTED_VALUE"""),"Good")</f>
        <v>Good</v>
      </c>
      <c r="AB128" t="str">
        <f>IFERROR(__xludf.DUMMYFUNCTION("""COMPUTED_VALUE"""),"Poor")</f>
        <v>Poor</v>
      </c>
      <c r="AG128" t="str">
        <f>IFERROR(__xludf.DUMMYFUNCTION("""COMPUTED_VALUE"""),"Original delivery was 5/19 -- rejected car due to transport damage to paint/chrome/brake light.  Delivery Specialists didn't seem to know what to do.  I had to be very assertive to request a loaner vehicle, took a while to sort out the VIN redelivery ( or"&amp;"iginal VIN was 170xx ).  New VIN assigned 5/23 with 6/9 delivery")</f>
        <v>Original delivery was 5/19 -- rejected car due to transport damage to paint/chrome/brake light.  Delivery Specialists didn't seem to know what to do.  I had to be very assertive to request a loaner vehicle, took a while to sort out the VIN redelivery ( original VIN was 170xx ).  New VIN assigned 5/23 with 6/9 delivery</v>
      </c>
      <c r="AH128" s="189">
        <f>IFERROR(__xludf.DUMMYFUNCTION("""COMPUTED_VALUE"""),43254.389479062505)</f>
        <v>43254.38948</v>
      </c>
    </row>
    <row r="129">
      <c r="A129" t="str">
        <f>IFERROR(__xludf.DUMMYFUNCTION("""COMPUTED_VALUE"""),"PhilipModel3")</f>
        <v>PhilipModel3</v>
      </c>
      <c r="B129" t="str">
        <f>IFERROR(__xludf.DUMMYFUNCTION("""COMPUTED_VALUE"""),"Cupertino")</f>
        <v>Cupertino</v>
      </c>
      <c r="C129" t="str">
        <f>IFERROR(__xludf.DUMMYFUNCTION("""COMPUTED_VALUE"""),"CA")</f>
        <v>CA</v>
      </c>
      <c r="D129" t="str">
        <f>IFERROR(__xludf.DUMMYFUNCTION("""COMPUTED_VALUE"""),"USA")</f>
        <v>USA</v>
      </c>
      <c r="E129" s="188">
        <f>IFERROR(__xludf.DUMMYFUNCTION("""COMPUTED_VALUE"""),43208.0)</f>
        <v>43208</v>
      </c>
      <c r="F129" s="188">
        <f>IFERROR(__xludf.DUMMYFUNCTION("""COMPUTED_VALUE"""),43243.0)</f>
        <v>43243</v>
      </c>
      <c r="H129">
        <f>IFERROR(__xludf.DUMMYFUNCTION("""COMPUTED_VALUE"""),25055.0)</f>
        <v>25055</v>
      </c>
      <c r="J129" s="5">
        <f>IFERROR(__xludf.DUMMYFUNCTION("""COMPUTED_VALUE"""),43250.0)</f>
        <v>43250</v>
      </c>
      <c r="K129">
        <f>IFERROR(__xludf.DUMMYFUNCTION("""COMPUTED_VALUE"""),35.0)</f>
        <v>35</v>
      </c>
      <c r="L129">
        <f>IFERROR(__xludf.DUMMYFUNCTION("""COMPUTED_VALUE"""),7.0)</f>
        <v>7</v>
      </c>
      <c r="M129">
        <f>IFERROR(__xludf.DUMMYFUNCTION("""COMPUTED_VALUE"""),42.0)</f>
        <v>42</v>
      </c>
      <c r="N129" t="str">
        <f>IFERROR(__xludf.DUMMYFUNCTION("""COMPUTED_VALUE"""),"Model 3 LR")</f>
        <v>Model 3 LR</v>
      </c>
      <c r="O129" t="str">
        <f>IFERROR(__xludf.DUMMYFUNCTION("""COMPUTED_VALUE"""),"Pearl White Multi-Coat")</f>
        <v>Pearl White Multi-Coat</v>
      </c>
      <c r="P129" t="str">
        <f>IFERROR(__xludf.DUMMYFUNCTION("""COMPUTED_VALUE"""),"19 inch Sport")</f>
        <v>19 inch Sport</v>
      </c>
      <c r="Q129" t="str">
        <f>IFERROR(__xludf.DUMMYFUNCTION("""COMPUTED_VALUE"""),"Black seats")</f>
        <v>Black seats</v>
      </c>
      <c r="R129" t="str">
        <f>IFERROR(__xludf.DUMMYFUNCTION("""COMPUTED_VALUE"""),"Enhanced Autopilot")</f>
        <v>Enhanced Autopilot</v>
      </c>
      <c r="X129" t="str">
        <f>IFERROR(__xludf.DUMMYFUNCTION("""COMPUTED_VALUE"""),"Very Good")</f>
        <v>Very Good</v>
      </c>
      <c r="Y129" t="str">
        <f>IFERROR(__xludf.DUMMYFUNCTION("""COMPUTED_VALUE"""),"Excellent")</f>
        <v>Excellent</v>
      </c>
      <c r="Z129" t="str">
        <f>IFERROR(__xludf.DUMMYFUNCTION("""COMPUTED_VALUE"""),"Excellent")</f>
        <v>Excellent</v>
      </c>
      <c r="AA129" t="str">
        <f>IFERROR(__xludf.DUMMYFUNCTION("""COMPUTED_VALUE"""),"Very Good")</f>
        <v>Very Good</v>
      </c>
      <c r="AB129" t="str">
        <f>IFERROR(__xludf.DUMMYFUNCTION("""COMPUTED_VALUE"""),"Very Good")</f>
        <v>Very Good</v>
      </c>
      <c r="AH129" s="189">
        <f>IFERROR(__xludf.DUMMYFUNCTION("""COMPUTED_VALUE"""),43254.474079374995)</f>
        <v>43254.47408</v>
      </c>
    </row>
    <row r="130">
      <c r="A130" t="str">
        <f>IFERROR(__xludf.DUMMYFUNCTION("""COMPUTED_VALUE"""),"GRiMm")</f>
        <v>GRiMm</v>
      </c>
      <c r="B130" t="str">
        <f>IFERROR(__xludf.DUMMYFUNCTION("""COMPUTED_VALUE"""),"Portland OR")</f>
        <v>Portland OR</v>
      </c>
      <c r="C130" t="str">
        <f>IFERROR(__xludf.DUMMYFUNCTION("""COMPUTED_VALUE"""),"OR")</f>
        <v>OR</v>
      </c>
      <c r="D130" t="str">
        <f>IFERROR(__xludf.DUMMYFUNCTION("""COMPUTED_VALUE"""),"USA")</f>
        <v>USA</v>
      </c>
      <c r="E130" s="188">
        <f>IFERROR(__xludf.DUMMYFUNCTION("""COMPUTED_VALUE"""),43201.0)</f>
        <v>43201</v>
      </c>
      <c r="F130" s="188">
        <f>IFERROR(__xludf.DUMMYFUNCTION("""COMPUTED_VALUE"""),43233.0)</f>
        <v>43233</v>
      </c>
      <c r="H130">
        <f>IFERROR(__xludf.DUMMYFUNCTION("""COMPUTED_VALUE"""),22555.0)</f>
        <v>22555</v>
      </c>
      <c r="J130" s="5">
        <f>IFERROR(__xludf.DUMMYFUNCTION("""COMPUTED_VALUE"""),43252.0)</f>
        <v>43252</v>
      </c>
      <c r="K130">
        <f>IFERROR(__xludf.DUMMYFUNCTION("""COMPUTED_VALUE"""),32.0)</f>
        <v>32</v>
      </c>
      <c r="L130">
        <f>IFERROR(__xludf.DUMMYFUNCTION("""COMPUTED_VALUE"""),19.0)</f>
        <v>19</v>
      </c>
      <c r="M130">
        <f>IFERROR(__xludf.DUMMYFUNCTION("""COMPUTED_VALUE"""),51.0)</f>
        <v>51</v>
      </c>
      <c r="N130" t="str">
        <f>IFERROR(__xludf.DUMMYFUNCTION("""COMPUTED_VALUE"""),"Model 3 LR")</f>
        <v>Model 3 LR</v>
      </c>
      <c r="O130" t="str">
        <f>IFERROR(__xludf.DUMMYFUNCTION("""COMPUTED_VALUE"""),"Deep Blue Metallic")</f>
        <v>Deep Blue Metallic</v>
      </c>
      <c r="P130" t="str">
        <f>IFERROR(__xludf.DUMMYFUNCTION("""COMPUTED_VALUE"""),"18 inch Aero")</f>
        <v>18 inch Aero</v>
      </c>
      <c r="Q130" t="str">
        <f>IFERROR(__xludf.DUMMYFUNCTION("""COMPUTED_VALUE"""),"Black seats")</f>
        <v>Black seats</v>
      </c>
      <c r="R130" t="str">
        <f>IFERROR(__xludf.DUMMYFUNCTION("""COMPUTED_VALUE"""),"Enhanced Autopilot")</f>
        <v>Enhanced Autopilot</v>
      </c>
      <c r="X130" t="str">
        <f>IFERROR(__xludf.DUMMYFUNCTION("""COMPUTED_VALUE"""),"Excellent")</f>
        <v>Excellent</v>
      </c>
      <c r="Y130" t="str">
        <f>IFERROR(__xludf.DUMMYFUNCTION("""COMPUTED_VALUE"""),"Excellent")</f>
        <v>Excellent</v>
      </c>
      <c r="Z130" t="str">
        <f>IFERROR(__xludf.DUMMYFUNCTION("""COMPUTED_VALUE"""),"Excellent")</f>
        <v>Excellent</v>
      </c>
      <c r="AA130" t="str">
        <f>IFERROR(__xludf.DUMMYFUNCTION("""COMPUTED_VALUE"""),"Fair")</f>
        <v>Fair</v>
      </c>
      <c r="AB130" t="str">
        <f>IFERROR(__xludf.DUMMYFUNCTION("""COMPUTED_VALUE"""),"Excellent")</f>
        <v>Excellent</v>
      </c>
      <c r="AH130" s="189">
        <f>IFERROR(__xludf.DUMMYFUNCTION("""COMPUTED_VALUE"""),43254.519661342594)</f>
        <v>43254.51966</v>
      </c>
    </row>
    <row r="131">
      <c r="A131" t="str">
        <f>IFERROR(__xludf.DUMMYFUNCTION("""COMPUTED_VALUE"""),"jwanga")</f>
        <v>jwanga</v>
      </c>
      <c r="B131" t="str">
        <f>IFERROR(__xludf.DUMMYFUNCTION("""COMPUTED_VALUE"""),"Los Angeles")</f>
        <v>Los Angeles</v>
      </c>
      <c r="C131" t="str">
        <f>IFERROR(__xludf.DUMMYFUNCTION("""COMPUTED_VALUE"""),"CA")</f>
        <v>CA</v>
      </c>
      <c r="D131" t="str">
        <f>IFERROR(__xludf.DUMMYFUNCTION("""COMPUTED_VALUE"""),"USA")</f>
        <v>USA</v>
      </c>
      <c r="E131" s="188">
        <f>IFERROR(__xludf.DUMMYFUNCTION("""COMPUTED_VALUE"""),43208.0)</f>
        <v>43208</v>
      </c>
      <c r="F131" s="188">
        <f>IFERROR(__xludf.DUMMYFUNCTION("""COMPUTED_VALUE"""),43244.0)</f>
        <v>43244</v>
      </c>
      <c r="H131">
        <f>IFERROR(__xludf.DUMMYFUNCTION("""COMPUTED_VALUE"""),24555.0)</f>
        <v>24555</v>
      </c>
      <c r="I131" t="str">
        <f>IFERROR(__xludf.DUMMYFUNCTION("""COMPUTED_VALUE"""),"05/18")</f>
        <v>05/18</v>
      </c>
      <c r="J131" s="5">
        <f>IFERROR(__xludf.DUMMYFUNCTION("""COMPUTED_VALUE"""),43254.0)</f>
        <v>43254</v>
      </c>
      <c r="K131">
        <f>IFERROR(__xludf.DUMMYFUNCTION("""COMPUTED_VALUE"""),36.0)</f>
        <v>36</v>
      </c>
      <c r="L131">
        <f>IFERROR(__xludf.DUMMYFUNCTION("""COMPUTED_VALUE"""),10.0)</f>
        <v>10</v>
      </c>
      <c r="M131">
        <f>IFERROR(__xludf.DUMMYFUNCTION("""COMPUTED_VALUE"""),46.0)</f>
        <v>46</v>
      </c>
      <c r="N131" t="str">
        <f>IFERROR(__xludf.DUMMYFUNCTION("""COMPUTED_VALUE"""),"Model 3 LR")</f>
        <v>Model 3 LR</v>
      </c>
      <c r="O131" t="str">
        <f>IFERROR(__xludf.DUMMYFUNCTION("""COMPUTED_VALUE"""),"Red Multi-Coat")</f>
        <v>Red Multi-Coat</v>
      </c>
      <c r="P131" t="str">
        <f>IFERROR(__xludf.DUMMYFUNCTION("""COMPUTED_VALUE"""),"19 inch Sport")</f>
        <v>19 inch Sport</v>
      </c>
      <c r="Q131" t="str">
        <f>IFERROR(__xludf.DUMMYFUNCTION("""COMPUTED_VALUE"""),"Black seats")</f>
        <v>Black seats</v>
      </c>
      <c r="R131" t="str">
        <f>IFERROR(__xludf.DUMMYFUNCTION("""COMPUTED_VALUE"""),"Enhanced Autopilot")</f>
        <v>Enhanced Autopilot</v>
      </c>
      <c r="X131" t="str">
        <f>IFERROR(__xludf.DUMMYFUNCTION("""COMPUTED_VALUE"""),"Excellent")</f>
        <v>Excellent</v>
      </c>
      <c r="Y131" t="str">
        <f>IFERROR(__xludf.DUMMYFUNCTION("""COMPUTED_VALUE"""),"Excellent")</f>
        <v>Excellent</v>
      </c>
      <c r="Z131" t="str">
        <f>IFERROR(__xludf.DUMMYFUNCTION("""COMPUTED_VALUE"""),"Excellent")</f>
        <v>Excellent</v>
      </c>
      <c r="AA131" t="str">
        <f>IFERROR(__xludf.DUMMYFUNCTION("""COMPUTED_VALUE"""),"Excellent")</f>
        <v>Excellent</v>
      </c>
      <c r="AB131" t="str">
        <f>IFERROR(__xludf.DUMMYFUNCTION("""COMPUTED_VALUE"""),"Excellent")</f>
        <v>Excellent</v>
      </c>
      <c r="AH131" s="189">
        <f>IFERROR(__xludf.DUMMYFUNCTION("""COMPUTED_VALUE"""),43255.412560462966)</f>
        <v>43255.41256</v>
      </c>
    </row>
    <row r="132">
      <c r="A132" t="str">
        <f>IFERROR(__xludf.DUMMYFUNCTION("""COMPUTED_VALUE"""),"Sanj1990")</f>
        <v>Sanj1990</v>
      </c>
      <c r="B132" t="str">
        <f>IFERROR(__xludf.DUMMYFUNCTION("""COMPUTED_VALUE"""),"Chicago")</f>
        <v>Chicago</v>
      </c>
      <c r="C132" t="str">
        <f>IFERROR(__xludf.DUMMYFUNCTION("""COMPUTED_VALUE"""),"IL")</f>
        <v>IL</v>
      </c>
      <c r="D132" t="str">
        <f>IFERROR(__xludf.DUMMYFUNCTION("""COMPUTED_VALUE"""),"USA")</f>
        <v>USA</v>
      </c>
      <c r="E132" s="188">
        <f>IFERROR(__xludf.DUMMYFUNCTION("""COMPUTED_VALUE"""),43207.0)</f>
        <v>43207</v>
      </c>
      <c r="F132" s="188">
        <f>IFERROR(__xludf.DUMMYFUNCTION("""COMPUTED_VALUE"""),43234.0)</f>
        <v>43234</v>
      </c>
      <c r="H132">
        <f>IFERROR(__xludf.DUMMYFUNCTION("""COMPUTED_VALUE"""),23155.0)</f>
        <v>23155</v>
      </c>
      <c r="J132" s="5">
        <f>IFERROR(__xludf.DUMMYFUNCTION("""COMPUTED_VALUE"""),43253.0)</f>
        <v>43253</v>
      </c>
      <c r="K132">
        <f>IFERROR(__xludf.DUMMYFUNCTION("""COMPUTED_VALUE"""),27.0)</f>
        <v>27</v>
      </c>
      <c r="L132">
        <f>IFERROR(__xludf.DUMMYFUNCTION("""COMPUTED_VALUE"""),19.0)</f>
        <v>19</v>
      </c>
      <c r="M132">
        <f>IFERROR(__xludf.DUMMYFUNCTION("""COMPUTED_VALUE"""),46.0)</f>
        <v>46</v>
      </c>
      <c r="N132" t="str">
        <f>IFERROR(__xludf.DUMMYFUNCTION("""COMPUTED_VALUE"""),"Model 3 LR")</f>
        <v>Model 3 LR</v>
      </c>
      <c r="O132" t="str">
        <f>IFERROR(__xludf.DUMMYFUNCTION("""COMPUTED_VALUE"""),"Pearl White Multi-Coat")</f>
        <v>Pearl White Multi-Coat</v>
      </c>
      <c r="P132" t="str">
        <f>IFERROR(__xludf.DUMMYFUNCTION("""COMPUTED_VALUE"""),"18 inch Aero")</f>
        <v>18 inch Aero</v>
      </c>
      <c r="Q132" t="str">
        <f>IFERROR(__xludf.DUMMYFUNCTION("""COMPUTED_VALUE"""),"Black seats")</f>
        <v>Black seats</v>
      </c>
      <c r="R132" t="str">
        <f>IFERROR(__xludf.DUMMYFUNCTION("""COMPUTED_VALUE"""),"Enhanced Autopilot")</f>
        <v>Enhanced Autopilot</v>
      </c>
      <c r="X132" t="str">
        <f>IFERROR(__xludf.DUMMYFUNCTION("""COMPUTED_VALUE"""),"Excellent")</f>
        <v>Excellent</v>
      </c>
      <c r="Y132" t="str">
        <f>IFERROR(__xludf.DUMMYFUNCTION("""COMPUTED_VALUE"""),"Excellent")</f>
        <v>Excellent</v>
      </c>
      <c r="Z132" t="str">
        <f>IFERROR(__xludf.DUMMYFUNCTION("""COMPUTED_VALUE"""),"Excellent")</f>
        <v>Excellent</v>
      </c>
      <c r="AA132" t="str">
        <f>IFERROR(__xludf.DUMMYFUNCTION("""COMPUTED_VALUE"""),"Excellent")</f>
        <v>Excellent</v>
      </c>
      <c r="AB132" t="str">
        <f>IFERROR(__xludf.DUMMYFUNCTION("""COMPUTED_VALUE"""),"Excellent")</f>
        <v>Excellent</v>
      </c>
      <c r="AH132" s="189">
        <f>IFERROR(__xludf.DUMMYFUNCTION("""COMPUTED_VALUE"""),43255.5829837037)</f>
        <v>43255.58298</v>
      </c>
    </row>
    <row r="133">
      <c r="A133" t="str">
        <f>IFERROR(__xludf.DUMMYFUNCTION("""COMPUTED_VALUE"""),"morrisg")</f>
        <v>morrisg</v>
      </c>
      <c r="B133" t="str">
        <f>IFERROR(__xludf.DUMMYFUNCTION("""COMPUTED_VALUE"""),"Portland")</f>
        <v>Portland</v>
      </c>
      <c r="C133" t="str">
        <f>IFERROR(__xludf.DUMMYFUNCTION("""COMPUTED_VALUE"""),"OR")</f>
        <v>OR</v>
      </c>
      <c r="D133" t="str">
        <f>IFERROR(__xludf.DUMMYFUNCTION("""COMPUTED_VALUE"""),"USA")</f>
        <v>USA</v>
      </c>
      <c r="E133" s="188">
        <f>IFERROR(__xludf.DUMMYFUNCTION("""COMPUTED_VALUE"""),43181.0)</f>
        <v>43181</v>
      </c>
      <c r="F133" s="188">
        <f>IFERROR(__xludf.DUMMYFUNCTION("""COMPUTED_VALUE"""),43219.0)</f>
        <v>43219</v>
      </c>
      <c r="H133">
        <f>IFERROR(__xludf.DUMMYFUNCTION("""COMPUTED_VALUE"""),14155.0)</f>
        <v>14155</v>
      </c>
      <c r="I133" t="str">
        <f>IFERROR(__xludf.DUMMYFUNCTION("""COMPUTED_VALUE"""),"04/18")</f>
        <v>04/18</v>
      </c>
      <c r="J133" s="5">
        <f>IFERROR(__xludf.DUMMYFUNCTION("""COMPUTED_VALUE"""),43232.0)</f>
        <v>43232</v>
      </c>
      <c r="K133">
        <f>IFERROR(__xludf.DUMMYFUNCTION("""COMPUTED_VALUE"""),38.0)</f>
        <v>38</v>
      </c>
      <c r="L133">
        <f>IFERROR(__xludf.DUMMYFUNCTION("""COMPUTED_VALUE"""),13.0)</f>
        <v>13</v>
      </c>
      <c r="M133">
        <f>IFERROR(__xludf.DUMMYFUNCTION("""COMPUTED_VALUE"""),51.0)</f>
        <v>51</v>
      </c>
      <c r="N133" t="str">
        <f>IFERROR(__xludf.DUMMYFUNCTION("""COMPUTED_VALUE"""),"Model 3 LR")</f>
        <v>Model 3 LR</v>
      </c>
      <c r="O133" t="str">
        <f>IFERROR(__xludf.DUMMYFUNCTION("""COMPUTED_VALUE"""),"Midnight Silver Metallic")</f>
        <v>Midnight Silver Metallic</v>
      </c>
      <c r="P133" t="str">
        <f>IFERROR(__xludf.DUMMYFUNCTION("""COMPUTED_VALUE"""),"18 inch Aero")</f>
        <v>18 inch Aero</v>
      </c>
      <c r="Q133" t="str">
        <f>IFERROR(__xludf.DUMMYFUNCTION("""COMPUTED_VALUE"""),"Black seats")</f>
        <v>Black seats</v>
      </c>
      <c r="R133" t="str">
        <f>IFERROR(__xludf.DUMMYFUNCTION("""COMPUTED_VALUE"""),"Enhanced Autopilot")</f>
        <v>Enhanced Autopilot</v>
      </c>
      <c r="X133" t="str">
        <f>IFERROR(__xludf.DUMMYFUNCTION("""COMPUTED_VALUE"""),"Very Good")</f>
        <v>Very Good</v>
      </c>
      <c r="Y133" t="str">
        <f>IFERROR(__xludf.DUMMYFUNCTION("""COMPUTED_VALUE"""),"Very Good")</f>
        <v>Very Good</v>
      </c>
      <c r="Z133" t="str">
        <f>IFERROR(__xludf.DUMMYFUNCTION("""COMPUTED_VALUE"""),"Very Good")</f>
        <v>Very Good</v>
      </c>
      <c r="AA133" t="str">
        <f>IFERROR(__xludf.DUMMYFUNCTION("""COMPUTED_VALUE"""),"Good")</f>
        <v>Good</v>
      </c>
      <c r="AB133" t="str">
        <f>IFERROR(__xludf.DUMMYFUNCTION("""COMPUTED_VALUE"""),"Excellent")</f>
        <v>Excellent</v>
      </c>
      <c r="AH133" s="189">
        <f>IFERROR(__xludf.DUMMYFUNCTION("""COMPUTED_VALUE"""),43255.59481969908)</f>
        <v>43255.59482</v>
      </c>
    </row>
    <row r="134">
      <c r="A134" t="str">
        <f>IFERROR(__xludf.DUMMYFUNCTION("""COMPUTED_VALUE"""),"Rcalvin202")</f>
        <v>Rcalvin202</v>
      </c>
      <c r="B134" t="str">
        <f>IFERROR(__xludf.DUMMYFUNCTION("""COMPUTED_VALUE"""),"Mn")</f>
        <v>Mn</v>
      </c>
      <c r="C134" t="str">
        <f>IFERROR(__xludf.DUMMYFUNCTION("""COMPUTED_VALUE"""),"MN")</f>
        <v>MN</v>
      </c>
      <c r="D134" t="str">
        <f>IFERROR(__xludf.DUMMYFUNCTION("""COMPUTED_VALUE"""),"USA")</f>
        <v>USA</v>
      </c>
      <c r="E134" s="188">
        <f>IFERROR(__xludf.DUMMYFUNCTION("""COMPUTED_VALUE"""),43206.0)</f>
        <v>43206</v>
      </c>
      <c r="F134" s="188">
        <f>IFERROR(__xludf.DUMMYFUNCTION("""COMPUTED_VALUE"""),43230.0)</f>
        <v>43230</v>
      </c>
      <c r="H134">
        <f>IFERROR(__xludf.DUMMYFUNCTION("""COMPUTED_VALUE"""),21255.0)</f>
        <v>21255</v>
      </c>
      <c r="J134" s="5">
        <f>IFERROR(__xludf.DUMMYFUNCTION("""COMPUTED_VALUE"""),43252.0)</f>
        <v>43252</v>
      </c>
      <c r="K134">
        <f>IFERROR(__xludf.DUMMYFUNCTION("""COMPUTED_VALUE"""),24.0)</f>
        <v>24</v>
      </c>
      <c r="L134">
        <f>IFERROR(__xludf.DUMMYFUNCTION("""COMPUTED_VALUE"""),22.0)</f>
        <v>22</v>
      </c>
      <c r="M134">
        <f>IFERROR(__xludf.DUMMYFUNCTION("""COMPUTED_VALUE"""),46.0)</f>
        <v>46</v>
      </c>
      <c r="N134" t="str">
        <f>IFERROR(__xludf.DUMMYFUNCTION("""COMPUTED_VALUE"""),"Model 3 LR")</f>
        <v>Model 3 LR</v>
      </c>
      <c r="O134" t="str">
        <f>IFERROR(__xludf.DUMMYFUNCTION("""COMPUTED_VALUE"""),"Midnight Silver Metallic")</f>
        <v>Midnight Silver Metallic</v>
      </c>
      <c r="P134" t="str">
        <f>IFERROR(__xludf.DUMMYFUNCTION("""COMPUTED_VALUE"""),"18 inch Aero")</f>
        <v>18 inch Aero</v>
      </c>
      <c r="Q134" t="str">
        <f>IFERROR(__xludf.DUMMYFUNCTION("""COMPUTED_VALUE"""),"Black seats")</f>
        <v>Black seats</v>
      </c>
      <c r="R134" t="str">
        <f>IFERROR(__xludf.DUMMYFUNCTION("""COMPUTED_VALUE"""),"Enhanced Autopilot")</f>
        <v>Enhanced Autopilot</v>
      </c>
      <c r="X134" t="str">
        <f>IFERROR(__xludf.DUMMYFUNCTION("""COMPUTED_VALUE"""),"Very Good")</f>
        <v>Very Good</v>
      </c>
      <c r="Y134" t="str">
        <f>IFERROR(__xludf.DUMMYFUNCTION("""COMPUTED_VALUE"""),"Excellent")</f>
        <v>Excellent</v>
      </c>
      <c r="Z134" t="str">
        <f>IFERROR(__xludf.DUMMYFUNCTION("""COMPUTED_VALUE"""),"Excellent")</f>
        <v>Excellent</v>
      </c>
      <c r="AA134" t="str">
        <f>IFERROR(__xludf.DUMMYFUNCTION("""COMPUTED_VALUE"""),"Good")</f>
        <v>Good</v>
      </c>
      <c r="AB134" t="str">
        <f>IFERROR(__xludf.DUMMYFUNCTION("""COMPUTED_VALUE"""),"Very Good")</f>
        <v>Very Good</v>
      </c>
      <c r="AH134" s="189">
        <f>IFERROR(__xludf.DUMMYFUNCTION("""COMPUTED_VALUE"""),43255.733055868055)</f>
        <v>43255.73306</v>
      </c>
    </row>
    <row r="135">
      <c r="A135" t="str">
        <f>IFERROR(__xludf.DUMMYFUNCTION("""COMPUTED_VALUE"""),"sakumar")</f>
        <v>sakumar</v>
      </c>
      <c r="C135" t="str">
        <f>IFERROR(__xludf.DUMMYFUNCTION("""COMPUTED_VALUE"""),"CA")</f>
        <v>CA</v>
      </c>
      <c r="D135" t="str">
        <f>IFERROR(__xludf.DUMMYFUNCTION("""COMPUTED_VALUE"""),"USA")</f>
        <v>USA</v>
      </c>
      <c r="E135" s="188">
        <f>IFERROR(__xludf.DUMMYFUNCTION("""COMPUTED_VALUE"""),43209.0)</f>
        <v>43209</v>
      </c>
      <c r="H135">
        <f>IFERROR(__xludf.DUMMYFUNCTION("""COMPUTED_VALUE"""),25655.0)</f>
        <v>25655</v>
      </c>
      <c r="I135" t="str">
        <f>IFERROR(__xludf.DUMMYFUNCTION("""COMPUTED_VALUE"""),"05/18")</f>
        <v>05/18</v>
      </c>
      <c r="J135" s="5">
        <f>IFERROR(__xludf.DUMMYFUNCTION("""COMPUTED_VALUE"""),43251.0)</f>
        <v>43251</v>
      </c>
      <c r="M135">
        <f>IFERROR(__xludf.DUMMYFUNCTION("""COMPUTED_VALUE"""),42.0)</f>
        <v>42</v>
      </c>
      <c r="N135" t="str">
        <f>IFERROR(__xludf.DUMMYFUNCTION("""COMPUTED_VALUE"""),"Model 3 LR")</f>
        <v>Model 3 LR</v>
      </c>
      <c r="O135" t="str">
        <f>IFERROR(__xludf.DUMMYFUNCTION("""COMPUTED_VALUE"""),"Midnight Silver Metallic")</f>
        <v>Midnight Silver Metallic</v>
      </c>
      <c r="P135" t="str">
        <f>IFERROR(__xludf.DUMMYFUNCTION("""COMPUTED_VALUE"""),"18 inch Aero")</f>
        <v>18 inch Aero</v>
      </c>
      <c r="Q135" t="str">
        <f>IFERROR(__xludf.DUMMYFUNCTION("""COMPUTED_VALUE"""),"Black seats")</f>
        <v>Black seats</v>
      </c>
      <c r="R135" t="str">
        <f>IFERROR(__xludf.DUMMYFUNCTION("""COMPUTED_VALUE"""),"Enhanced Autopilot")</f>
        <v>Enhanced Autopilot</v>
      </c>
      <c r="X135" t="str">
        <f>IFERROR(__xludf.DUMMYFUNCTION("""COMPUTED_VALUE"""),"Excellent")</f>
        <v>Excellent</v>
      </c>
      <c r="Y135" t="str">
        <f>IFERROR(__xludf.DUMMYFUNCTION("""COMPUTED_VALUE"""),"Excellent")</f>
        <v>Excellent</v>
      </c>
      <c r="Z135" t="str">
        <f>IFERROR(__xludf.DUMMYFUNCTION("""COMPUTED_VALUE"""),"Excellent")</f>
        <v>Excellent</v>
      </c>
      <c r="AA135" t="str">
        <f>IFERROR(__xludf.DUMMYFUNCTION("""COMPUTED_VALUE"""),"Very Good")</f>
        <v>Very Good</v>
      </c>
      <c r="AB135" t="str">
        <f>IFERROR(__xludf.DUMMYFUNCTION("""COMPUTED_VALUE"""),"Very Good")</f>
        <v>Very Good</v>
      </c>
      <c r="AH135" s="189">
        <f>IFERROR(__xludf.DUMMYFUNCTION("""COMPUTED_VALUE"""),43255.94709148148)</f>
        <v>43255.94709</v>
      </c>
    </row>
    <row r="136">
      <c r="A136" t="str">
        <f>IFERROR(__xludf.DUMMYFUNCTION("""COMPUTED_VALUE"""),"ds4k")</f>
        <v>ds4k</v>
      </c>
      <c r="B136" t="str">
        <f>IFERROR(__xludf.DUMMYFUNCTION("""COMPUTED_VALUE"""),"Orland Park")</f>
        <v>Orland Park</v>
      </c>
      <c r="C136" t="str">
        <f>IFERROR(__xludf.DUMMYFUNCTION("""COMPUTED_VALUE"""),"IL")</f>
        <v>IL</v>
      </c>
      <c r="D136" t="str">
        <f>IFERROR(__xludf.DUMMYFUNCTION("""COMPUTED_VALUE"""),"USA")</f>
        <v>USA</v>
      </c>
      <c r="E136" s="188">
        <f>IFERROR(__xludf.DUMMYFUNCTION("""COMPUTED_VALUE"""),43201.0)</f>
        <v>43201</v>
      </c>
      <c r="H136">
        <f>IFERROR(__xludf.DUMMYFUNCTION("""COMPUTED_VALUE"""),20955.0)</f>
        <v>20955</v>
      </c>
      <c r="J136" s="5">
        <f>IFERROR(__xludf.DUMMYFUNCTION("""COMPUTED_VALUE"""),43255.0)</f>
        <v>43255</v>
      </c>
      <c r="M136">
        <f>IFERROR(__xludf.DUMMYFUNCTION("""COMPUTED_VALUE"""),54.0)</f>
        <v>54</v>
      </c>
      <c r="N136" t="str">
        <f>IFERROR(__xludf.DUMMYFUNCTION("""COMPUTED_VALUE"""),"Model 3 LR")</f>
        <v>Model 3 LR</v>
      </c>
      <c r="O136" t="str">
        <f>IFERROR(__xludf.DUMMYFUNCTION("""COMPUTED_VALUE"""),"Solid Black")</f>
        <v>Solid Black</v>
      </c>
      <c r="P136" t="str">
        <f>IFERROR(__xludf.DUMMYFUNCTION("""COMPUTED_VALUE"""),"18 inch Aero")</f>
        <v>18 inch Aero</v>
      </c>
      <c r="Q136" t="str">
        <f>IFERROR(__xludf.DUMMYFUNCTION("""COMPUTED_VALUE"""),"Black seats")</f>
        <v>Black seats</v>
      </c>
      <c r="R136" t="str">
        <f>IFERROR(__xludf.DUMMYFUNCTION("""COMPUTED_VALUE"""),"None")</f>
        <v>None</v>
      </c>
      <c r="X136" t="str">
        <f>IFERROR(__xludf.DUMMYFUNCTION("""COMPUTED_VALUE"""),"Excellent")</f>
        <v>Excellent</v>
      </c>
      <c r="Y136" t="str">
        <f>IFERROR(__xludf.DUMMYFUNCTION("""COMPUTED_VALUE"""),"Excellent")</f>
        <v>Excellent</v>
      </c>
      <c r="Z136" t="str">
        <f>IFERROR(__xludf.DUMMYFUNCTION("""COMPUTED_VALUE"""),"Excellent")</f>
        <v>Excellent</v>
      </c>
      <c r="AA136" t="str">
        <f>IFERROR(__xludf.DUMMYFUNCTION("""COMPUTED_VALUE"""),"Excellent")</f>
        <v>Excellent</v>
      </c>
      <c r="AB136" t="str">
        <f>IFERROR(__xludf.DUMMYFUNCTION("""COMPUTED_VALUE"""),"Excellent")</f>
        <v>Excellent</v>
      </c>
      <c r="AH136" s="189">
        <f>IFERROR(__xludf.DUMMYFUNCTION("""COMPUTED_VALUE"""),43256.362689421294)</f>
        <v>43256.36269</v>
      </c>
    </row>
    <row r="137">
      <c r="A137" t="str">
        <f>IFERROR(__xludf.DUMMYFUNCTION("""COMPUTED_VALUE"""),"mcocjg")</f>
        <v>mcocjg</v>
      </c>
      <c r="B137" t="str">
        <f>IFERROR(__xludf.DUMMYFUNCTION("""COMPUTED_VALUE"""),"Birmingham")</f>
        <v>Birmingham</v>
      </c>
      <c r="C137" t="str">
        <f>IFERROR(__xludf.DUMMYFUNCTION("""COMPUTED_VALUE"""),"AL")</f>
        <v>AL</v>
      </c>
      <c r="D137" t="str">
        <f>IFERROR(__xludf.DUMMYFUNCTION("""COMPUTED_VALUE"""),"USA")</f>
        <v>USA</v>
      </c>
      <c r="E137" s="188">
        <f>IFERROR(__xludf.DUMMYFUNCTION("""COMPUTED_VALUE"""),43203.0)</f>
        <v>43203</v>
      </c>
      <c r="F137" s="188">
        <f>IFERROR(__xludf.DUMMYFUNCTION("""COMPUTED_VALUE"""),43234.0)</f>
        <v>43234</v>
      </c>
      <c r="H137">
        <f>IFERROR(__xludf.DUMMYFUNCTION("""COMPUTED_VALUE"""),19455.0)</f>
        <v>19455</v>
      </c>
      <c r="J137" s="5">
        <f>IFERROR(__xludf.DUMMYFUNCTION("""COMPUTED_VALUE"""),43253.0)</f>
        <v>43253</v>
      </c>
      <c r="K137">
        <f>IFERROR(__xludf.DUMMYFUNCTION("""COMPUTED_VALUE"""),31.0)</f>
        <v>31</v>
      </c>
      <c r="L137">
        <f>IFERROR(__xludf.DUMMYFUNCTION("""COMPUTED_VALUE"""),19.0)</f>
        <v>19</v>
      </c>
      <c r="M137">
        <f>IFERROR(__xludf.DUMMYFUNCTION("""COMPUTED_VALUE"""),50.0)</f>
        <v>50</v>
      </c>
      <c r="N137" t="str">
        <f>IFERROR(__xludf.DUMMYFUNCTION("""COMPUTED_VALUE"""),"Model 3 LR")</f>
        <v>Model 3 LR</v>
      </c>
      <c r="O137" t="str">
        <f>IFERROR(__xludf.DUMMYFUNCTION("""COMPUTED_VALUE"""),"Deep Blue Metallic")</f>
        <v>Deep Blue Metallic</v>
      </c>
      <c r="P137" t="str">
        <f>IFERROR(__xludf.DUMMYFUNCTION("""COMPUTED_VALUE"""),"18 inch Aero")</f>
        <v>18 inch Aero</v>
      </c>
      <c r="Q137" t="str">
        <f>IFERROR(__xludf.DUMMYFUNCTION("""COMPUTED_VALUE"""),"Black seats")</f>
        <v>Black seats</v>
      </c>
      <c r="R137" t="str">
        <f>IFERROR(__xludf.DUMMYFUNCTION("""COMPUTED_VALUE"""),"None")</f>
        <v>None</v>
      </c>
      <c r="X137" t="str">
        <f>IFERROR(__xludf.DUMMYFUNCTION("""COMPUTED_VALUE"""),"Very Good")</f>
        <v>Very Good</v>
      </c>
      <c r="Y137" t="str">
        <f>IFERROR(__xludf.DUMMYFUNCTION("""COMPUTED_VALUE"""),"Excellent")</f>
        <v>Excellent</v>
      </c>
      <c r="Z137" t="str">
        <f>IFERROR(__xludf.DUMMYFUNCTION("""COMPUTED_VALUE"""),"Good")</f>
        <v>Good</v>
      </c>
      <c r="AA137" t="str">
        <f>IFERROR(__xludf.DUMMYFUNCTION("""COMPUTED_VALUE"""),"Very Good")</f>
        <v>Very Good</v>
      </c>
      <c r="AB137" t="str">
        <f>IFERROR(__xludf.DUMMYFUNCTION("""COMPUTED_VALUE"""),"Excellent")</f>
        <v>Excellent</v>
      </c>
      <c r="AH137" s="189">
        <f>IFERROR(__xludf.DUMMYFUNCTION("""COMPUTED_VALUE"""),43256.40224174768)</f>
        <v>43256.40224</v>
      </c>
    </row>
    <row r="138">
      <c r="A138" t="str">
        <f>IFERROR(__xludf.DUMMYFUNCTION("""COMPUTED_VALUE"""),"inittowinit")</f>
        <v>inittowinit</v>
      </c>
      <c r="B138" t="str">
        <f>IFERROR(__xludf.DUMMYFUNCTION("""COMPUTED_VALUE"""),"SF Bay Area")</f>
        <v>SF Bay Area</v>
      </c>
      <c r="C138" t="str">
        <f>IFERROR(__xludf.DUMMYFUNCTION("""COMPUTED_VALUE"""),"CA")</f>
        <v>CA</v>
      </c>
      <c r="D138" t="str">
        <f>IFERROR(__xludf.DUMMYFUNCTION("""COMPUTED_VALUE"""),"USA")</f>
        <v>USA</v>
      </c>
      <c r="E138" s="188">
        <f>IFERROR(__xludf.DUMMYFUNCTION("""COMPUTED_VALUE"""),43208.0)</f>
        <v>43208</v>
      </c>
      <c r="F138" s="188">
        <f>IFERROR(__xludf.DUMMYFUNCTION("""COMPUTED_VALUE"""),43242.0)</f>
        <v>43242</v>
      </c>
      <c r="H138">
        <f>IFERROR(__xludf.DUMMYFUNCTION("""COMPUTED_VALUE"""),23436.0)</f>
        <v>23436</v>
      </c>
      <c r="I138" t="str">
        <f>IFERROR(__xludf.DUMMYFUNCTION("""COMPUTED_VALUE"""),"05/18")</f>
        <v>05/18</v>
      </c>
      <c r="J138" s="5">
        <f>IFERROR(__xludf.DUMMYFUNCTION("""COMPUTED_VALUE"""),43252.0)</f>
        <v>43252</v>
      </c>
      <c r="K138">
        <f>IFERROR(__xludf.DUMMYFUNCTION("""COMPUTED_VALUE"""),34.0)</f>
        <v>34</v>
      </c>
      <c r="L138">
        <f>IFERROR(__xludf.DUMMYFUNCTION("""COMPUTED_VALUE"""),10.0)</f>
        <v>10</v>
      </c>
      <c r="M138">
        <f>IFERROR(__xludf.DUMMYFUNCTION("""COMPUTED_VALUE"""),44.0)</f>
        <v>44</v>
      </c>
      <c r="N138" t="str">
        <f>IFERROR(__xludf.DUMMYFUNCTION("""COMPUTED_VALUE"""),"Model 3 LR")</f>
        <v>Model 3 LR</v>
      </c>
      <c r="O138" t="str">
        <f>IFERROR(__xludf.DUMMYFUNCTION("""COMPUTED_VALUE"""),"Pearl White Multi-Coat")</f>
        <v>Pearl White Multi-Coat</v>
      </c>
      <c r="P138" t="str">
        <f>IFERROR(__xludf.DUMMYFUNCTION("""COMPUTED_VALUE"""),"18 inch Aero")</f>
        <v>18 inch Aero</v>
      </c>
      <c r="Q138" t="str">
        <f>IFERROR(__xludf.DUMMYFUNCTION("""COMPUTED_VALUE"""),"Black seats")</f>
        <v>Black seats</v>
      </c>
      <c r="R138" t="str">
        <f>IFERROR(__xludf.DUMMYFUNCTION("""COMPUTED_VALUE"""),"Enhanced Autopilot")</f>
        <v>Enhanced Autopilot</v>
      </c>
      <c r="X138" t="str">
        <f>IFERROR(__xludf.DUMMYFUNCTION("""COMPUTED_VALUE"""),"Very Good")</f>
        <v>Very Good</v>
      </c>
      <c r="Y138" t="str">
        <f>IFERROR(__xludf.DUMMYFUNCTION("""COMPUTED_VALUE"""),"Excellent")</f>
        <v>Excellent</v>
      </c>
      <c r="Z138" t="str">
        <f>IFERROR(__xludf.DUMMYFUNCTION("""COMPUTED_VALUE"""),"Excellent")</f>
        <v>Excellent</v>
      </c>
      <c r="AA138" t="str">
        <f>IFERROR(__xludf.DUMMYFUNCTION("""COMPUTED_VALUE"""),"Good")</f>
        <v>Good</v>
      </c>
      <c r="AB138" t="str">
        <f>IFERROR(__xludf.DUMMYFUNCTION("""COMPUTED_VALUE"""),"Fair")</f>
        <v>Fair</v>
      </c>
      <c r="AH138" s="189">
        <f>IFERROR(__xludf.DUMMYFUNCTION("""COMPUTED_VALUE"""),43256.45593111111)</f>
        <v>43256.45593</v>
      </c>
    </row>
    <row r="139">
      <c r="A139" t="str">
        <f>IFERROR(__xludf.DUMMYFUNCTION("""COMPUTED_VALUE"""),"emorog")</f>
        <v>emorog</v>
      </c>
      <c r="B139" t="str">
        <f>IFERROR(__xludf.DUMMYFUNCTION("""COMPUTED_VALUE"""),"Madison")</f>
        <v>Madison</v>
      </c>
      <c r="C139" t="str">
        <f>IFERROR(__xludf.DUMMYFUNCTION("""COMPUTED_VALUE"""),"WI")</f>
        <v>WI</v>
      </c>
      <c r="D139" t="str">
        <f>IFERROR(__xludf.DUMMYFUNCTION("""COMPUTED_VALUE"""),"USA")</f>
        <v>USA</v>
      </c>
      <c r="E139" s="188">
        <f>IFERROR(__xludf.DUMMYFUNCTION("""COMPUTED_VALUE"""),43208.0)</f>
        <v>43208</v>
      </c>
      <c r="F139" s="188">
        <f>IFERROR(__xludf.DUMMYFUNCTION("""COMPUTED_VALUE"""),43234.0)</f>
        <v>43234</v>
      </c>
      <c r="H139">
        <f>IFERROR(__xludf.DUMMYFUNCTION("""COMPUTED_VALUE"""),22663.0)</f>
        <v>22663</v>
      </c>
      <c r="I139" t="str">
        <f>IFERROR(__xludf.DUMMYFUNCTION("""COMPUTED_VALUE"""),"05/18")</f>
        <v>05/18</v>
      </c>
      <c r="J139" s="5">
        <f>IFERROR(__xludf.DUMMYFUNCTION("""COMPUTED_VALUE"""),43255.0)</f>
        <v>43255</v>
      </c>
      <c r="K139">
        <f>IFERROR(__xludf.DUMMYFUNCTION("""COMPUTED_VALUE"""),26.0)</f>
        <v>26</v>
      </c>
      <c r="L139">
        <f>IFERROR(__xludf.DUMMYFUNCTION("""COMPUTED_VALUE"""),21.0)</f>
        <v>21</v>
      </c>
      <c r="M139">
        <f>IFERROR(__xludf.DUMMYFUNCTION("""COMPUTED_VALUE"""),47.0)</f>
        <v>47</v>
      </c>
      <c r="N139" t="str">
        <f>IFERROR(__xludf.DUMMYFUNCTION("""COMPUTED_VALUE"""),"Model 3 LR")</f>
        <v>Model 3 LR</v>
      </c>
      <c r="O139" t="str">
        <f>IFERROR(__xludf.DUMMYFUNCTION("""COMPUTED_VALUE"""),"Deep Blue Metallic")</f>
        <v>Deep Blue Metallic</v>
      </c>
      <c r="P139" t="str">
        <f>IFERROR(__xludf.DUMMYFUNCTION("""COMPUTED_VALUE"""),"18 inch Aero")</f>
        <v>18 inch Aero</v>
      </c>
      <c r="Q139" t="str">
        <f>IFERROR(__xludf.DUMMYFUNCTION("""COMPUTED_VALUE"""),"Black seats")</f>
        <v>Black seats</v>
      </c>
      <c r="R139" t="str">
        <f>IFERROR(__xludf.DUMMYFUNCTION("""COMPUTED_VALUE"""),"Enhanced Autopilot")</f>
        <v>Enhanced Autopilot</v>
      </c>
      <c r="X139" t="str">
        <f>IFERROR(__xludf.DUMMYFUNCTION("""COMPUTED_VALUE"""),"Excellent")</f>
        <v>Excellent</v>
      </c>
      <c r="Y139" t="str">
        <f>IFERROR(__xludf.DUMMYFUNCTION("""COMPUTED_VALUE"""),"Very Good")</f>
        <v>Very Good</v>
      </c>
      <c r="Z139" t="str">
        <f>IFERROR(__xludf.DUMMYFUNCTION("""COMPUTED_VALUE"""),"Excellent")</f>
        <v>Excellent</v>
      </c>
      <c r="AA139" t="str">
        <f>IFERROR(__xludf.DUMMYFUNCTION("""COMPUTED_VALUE"""),"Excellent")</f>
        <v>Excellent</v>
      </c>
      <c r="AB139" t="str">
        <f>IFERROR(__xludf.DUMMYFUNCTION("""COMPUTED_VALUE"""),"Excellent")</f>
        <v>Excellent</v>
      </c>
      <c r="AH139" s="189">
        <f>IFERROR(__xludf.DUMMYFUNCTION("""COMPUTED_VALUE"""),43256.5054687963)</f>
        <v>43256.50547</v>
      </c>
    </row>
    <row r="140">
      <c r="A140" t="str">
        <f>IFERROR(__xludf.DUMMYFUNCTION("""COMPUTED_VALUE"""),"mtv")</f>
        <v>mtv</v>
      </c>
      <c r="C140" t="str">
        <f>IFERROR(__xludf.DUMMYFUNCTION("""COMPUTED_VALUE"""),"CA")</f>
        <v>CA</v>
      </c>
      <c r="D140" t="str">
        <f>IFERROR(__xludf.DUMMYFUNCTION("""COMPUTED_VALUE"""),"USA")</f>
        <v>USA</v>
      </c>
      <c r="E140" s="188">
        <f>IFERROR(__xludf.DUMMYFUNCTION("""COMPUTED_VALUE"""),43208.0)</f>
        <v>43208</v>
      </c>
      <c r="F140" s="188">
        <f>IFERROR(__xludf.DUMMYFUNCTION("""COMPUTED_VALUE"""),43242.0)</f>
        <v>43242</v>
      </c>
      <c r="H140">
        <f>IFERROR(__xludf.DUMMYFUNCTION("""COMPUTED_VALUE"""),24855.0)</f>
        <v>24855</v>
      </c>
      <c r="J140" s="5">
        <f>IFERROR(__xludf.DUMMYFUNCTION("""COMPUTED_VALUE"""),43256.0)</f>
        <v>43256</v>
      </c>
      <c r="K140">
        <f>IFERROR(__xludf.DUMMYFUNCTION("""COMPUTED_VALUE"""),34.0)</f>
        <v>34</v>
      </c>
      <c r="L140">
        <f>IFERROR(__xludf.DUMMYFUNCTION("""COMPUTED_VALUE"""),14.0)</f>
        <v>14</v>
      </c>
      <c r="M140">
        <f>IFERROR(__xludf.DUMMYFUNCTION("""COMPUTED_VALUE"""),48.0)</f>
        <v>48</v>
      </c>
      <c r="N140" t="str">
        <f>IFERROR(__xludf.DUMMYFUNCTION("""COMPUTED_VALUE"""),"Model 3 LR")</f>
        <v>Model 3 LR</v>
      </c>
      <c r="O140" t="str">
        <f>IFERROR(__xludf.DUMMYFUNCTION("""COMPUTED_VALUE"""),"Deep Blue Metallic")</f>
        <v>Deep Blue Metallic</v>
      </c>
      <c r="P140" t="str">
        <f>IFERROR(__xludf.DUMMYFUNCTION("""COMPUTED_VALUE"""),"19 inch Sport")</f>
        <v>19 inch Sport</v>
      </c>
      <c r="Q140" t="str">
        <f>IFERROR(__xludf.DUMMYFUNCTION("""COMPUTED_VALUE"""),"Black seats")</f>
        <v>Black seats</v>
      </c>
      <c r="R140" t="str">
        <f>IFERROR(__xludf.DUMMYFUNCTION("""COMPUTED_VALUE"""),"None")</f>
        <v>None</v>
      </c>
      <c r="X140" t="str">
        <f>IFERROR(__xludf.DUMMYFUNCTION("""COMPUTED_VALUE"""),"Excellent")</f>
        <v>Excellent</v>
      </c>
      <c r="Y140" t="str">
        <f>IFERROR(__xludf.DUMMYFUNCTION("""COMPUTED_VALUE"""),"Excellent")</f>
        <v>Excellent</v>
      </c>
      <c r="Z140" t="str">
        <f>IFERROR(__xludf.DUMMYFUNCTION("""COMPUTED_VALUE"""),"Very Good")</f>
        <v>Very Good</v>
      </c>
      <c r="AA140" t="str">
        <f>IFERROR(__xludf.DUMMYFUNCTION("""COMPUTED_VALUE"""),"Excellent")</f>
        <v>Excellent</v>
      </c>
      <c r="AB140" t="str">
        <f>IFERROR(__xludf.DUMMYFUNCTION("""COMPUTED_VALUE"""),"Excellent")</f>
        <v>Excellent</v>
      </c>
      <c r="AH140" s="189">
        <f>IFERROR(__xludf.DUMMYFUNCTION("""COMPUTED_VALUE"""),43256.716189618055)</f>
        <v>43256.71619</v>
      </c>
    </row>
    <row r="141">
      <c r="A141" t="str">
        <f>IFERROR(__xludf.DUMMYFUNCTION("""COMPUTED_VALUE"""),"abrighton")</f>
        <v>abrighton</v>
      </c>
      <c r="B141" t="str">
        <f>IFERROR(__xludf.DUMMYFUNCTION("""COMPUTED_VALUE"""),"Toronto")</f>
        <v>Toronto</v>
      </c>
      <c r="C141" t="str">
        <f>IFERROR(__xludf.DUMMYFUNCTION("""COMPUTED_VALUE"""),"ON")</f>
        <v>ON</v>
      </c>
      <c r="D141" t="str">
        <f>IFERROR(__xludf.DUMMYFUNCTION("""COMPUTED_VALUE"""),"Canada")</f>
        <v>Canada</v>
      </c>
      <c r="E141" s="188">
        <f>IFERROR(__xludf.DUMMYFUNCTION("""COMPUTED_VALUE"""),43186.0)</f>
        <v>43186</v>
      </c>
      <c r="F141" s="188">
        <f>IFERROR(__xludf.DUMMYFUNCTION("""COMPUTED_VALUE"""),43223.0)</f>
        <v>43223</v>
      </c>
      <c r="H141">
        <f>IFERROR(__xludf.DUMMYFUNCTION("""COMPUTED_VALUE"""),28955.0)</f>
        <v>28955</v>
      </c>
      <c r="J141" s="5">
        <f>IFERROR(__xludf.DUMMYFUNCTION("""COMPUTED_VALUE"""),43253.0)</f>
        <v>43253</v>
      </c>
      <c r="K141">
        <f>IFERROR(__xludf.DUMMYFUNCTION("""COMPUTED_VALUE"""),37.0)</f>
        <v>37</v>
      </c>
      <c r="L141">
        <f>IFERROR(__xludf.DUMMYFUNCTION("""COMPUTED_VALUE"""),30.0)</f>
        <v>30</v>
      </c>
      <c r="M141">
        <f>IFERROR(__xludf.DUMMYFUNCTION("""COMPUTED_VALUE"""),67.0)</f>
        <v>67</v>
      </c>
      <c r="N141" t="str">
        <f>IFERROR(__xludf.DUMMYFUNCTION("""COMPUTED_VALUE"""),"Model 3 LR")</f>
        <v>Model 3 LR</v>
      </c>
      <c r="O141" t="str">
        <f>IFERROR(__xludf.DUMMYFUNCTION("""COMPUTED_VALUE"""),"Midnight Silver Metallic")</f>
        <v>Midnight Silver Metallic</v>
      </c>
      <c r="P141" t="str">
        <f>IFERROR(__xludf.DUMMYFUNCTION("""COMPUTED_VALUE"""),"18 inch Aero")</f>
        <v>18 inch Aero</v>
      </c>
      <c r="Q141" t="str">
        <f>IFERROR(__xludf.DUMMYFUNCTION("""COMPUTED_VALUE"""),"Black seats")</f>
        <v>Black seats</v>
      </c>
      <c r="R141" t="str">
        <f>IFERROR(__xludf.DUMMYFUNCTION("""COMPUTED_VALUE"""),"Enhanced Autopilot")</f>
        <v>Enhanced Autopilot</v>
      </c>
      <c r="X141" t="str">
        <f>IFERROR(__xludf.DUMMYFUNCTION("""COMPUTED_VALUE"""),"Excellent")</f>
        <v>Excellent</v>
      </c>
      <c r="Y141" t="str">
        <f>IFERROR(__xludf.DUMMYFUNCTION("""COMPUTED_VALUE"""),"Very Good")</f>
        <v>Very Good</v>
      </c>
      <c r="Z141" t="str">
        <f>IFERROR(__xludf.DUMMYFUNCTION("""COMPUTED_VALUE"""),"Excellent")</f>
        <v>Excellent</v>
      </c>
      <c r="AA141" t="str">
        <f>IFERROR(__xludf.DUMMYFUNCTION("""COMPUTED_VALUE"""),"Fair")</f>
        <v>Fair</v>
      </c>
      <c r="AB141" t="str">
        <f>IFERROR(__xludf.DUMMYFUNCTION("""COMPUTED_VALUE"""),"Very Good")</f>
        <v>Very Good</v>
      </c>
      <c r="AH141" s="189">
        <f>IFERROR(__xludf.DUMMYFUNCTION("""COMPUTED_VALUE"""),43256.725628935186)</f>
        <v>43256.72563</v>
      </c>
    </row>
    <row r="142">
      <c r="A142" t="str">
        <f>IFERROR(__xludf.DUMMYFUNCTION("""COMPUTED_VALUE"""),"ampitupco")</f>
        <v>ampitupco</v>
      </c>
      <c r="B142" t="str">
        <f>IFERROR(__xludf.DUMMYFUNCTION("""COMPUTED_VALUE"""),"Denver")</f>
        <v>Denver</v>
      </c>
      <c r="C142" t="str">
        <f>IFERROR(__xludf.DUMMYFUNCTION("""COMPUTED_VALUE"""),"CO")</f>
        <v>CO</v>
      </c>
      <c r="D142" t="str">
        <f>IFERROR(__xludf.DUMMYFUNCTION("""COMPUTED_VALUE"""),"USA")</f>
        <v>USA</v>
      </c>
      <c r="E142" s="188">
        <f>IFERROR(__xludf.DUMMYFUNCTION("""COMPUTED_VALUE"""),43203.0)</f>
        <v>43203</v>
      </c>
      <c r="F142" s="188">
        <f>IFERROR(__xludf.DUMMYFUNCTION("""COMPUTED_VALUE"""),43241.0)</f>
        <v>43241</v>
      </c>
      <c r="H142">
        <f>IFERROR(__xludf.DUMMYFUNCTION("""COMPUTED_VALUE"""),29655.0)</f>
        <v>29655</v>
      </c>
      <c r="J142" s="5">
        <f>IFERROR(__xludf.DUMMYFUNCTION("""COMPUTED_VALUE"""),43256.0)</f>
        <v>43256</v>
      </c>
      <c r="K142">
        <f>IFERROR(__xludf.DUMMYFUNCTION("""COMPUTED_VALUE"""),38.0)</f>
        <v>38</v>
      </c>
      <c r="L142">
        <f>IFERROR(__xludf.DUMMYFUNCTION("""COMPUTED_VALUE"""),15.0)</f>
        <v>15</v>
      </c>
      <c r="M142">
        <f>IFERROR(__xludf.DUMMYFUNCTION("""COMPUTED_VALUE"""),53.0)</f>
        <v>53</v>
      </c>
      <c r="N142" t="str">
        <f>IFERROR(__xludf.DUMMYFUNCTION("""COMPUTED_VALUE"""),"Model 3 LR")</f>
        <v>Model 3 LR</v>
      </c>
      <c r="O142" t="str">
        <f>IFERROR(__xludf.DUMMYFUNCTION("""COMPUTED_VALUE"""),"Red Multi-Coat")</f>
        <v>Red Multi-Coat</v>
      </c>
      <c r="P142" t="str">
        <f>IFERROR(__xludf.DUMMYFUNCTION("""COMPUTED_VALUE"""),"18 inch Aero")</f>
        <v>18 inch Aero</v>
      </c>
      <c r="Q142" t="str">
        <f>IFERROR(__xludf.DUMMYFUNCTION("""COMPUTED_VALUE"""),"Black seats")</f>
        <v>Black seats</v>
      </c>
      <c r="R142" t="str">
        <f>IFERROR(__xludf.DUMMYFUNCTION("""COMPUTED_VALUE"""),"Enhanced Autopilot")</f>
        <v>Enhanced Autopilot</v>
      </c>
      <c r="X142" t="str">
        <f>IFERROR(__xludf.DUMMYFUNCTION("""COMPUTED_VALUE"""),"Excellent")</f>
        <v>Excellent</v>
      </c>
      <c r="Y142" t="str">
        <f>IFERROR(__xludf.DUMMYFUNCTION("""COMPUTED_VALUE"""),"Excellent")</f>
        <v>Excellent</v>
      </c>
      <c r="Z142" t="str">
        <f>IFERROR(__xludf.DUMMYFUNCTION("""COMPUTED_VALUE"""),"Very Good")</f>
        <v>Very Good</v>
      </c>
      <c r="AA142" t="str">
        <f>IFERROR(__xludf.DUMMYFUNCTION("""COMPUTED_VALUE"""),"Very Good")</f>
        <v>Very Good</v>
      </c>
      <c r="AB142" t="str">
        <f>IFERROR(__xludf.DUMMYFUNCTION("""COMPUTED_VALUE"""),"Very Good")</f>
        <v>Very Good</v>
      </c>
      <c r="AH142" s="189">
        <f>IFERROR(__xludf.DUMMYFUNCTION("""COMPUTED_VALUE"""),43256.890011261574)</f>
        <v>43256.89001</v>
      </c>
    </row>
    <row r="143">
      <c r="A143" t="str">
        <f>IFERROR(__xludf.DUMMYFUNCTION("""COMPUTED_VALUE"""),"Despa-Tesla")</f>
        <v>Despa-Tesla</v>
      </c>
      <c r="B143" t="str">
        <f>IFERROR(__xludf.DUMMYFUNCTION("""COMPUTED_VALUE"""),"Montréal")</f>
        <v>Montréal</v>
      </c>
      <c r="C143" t="str">
        <f>IFERROR(__xludf.DUMMYFUNCTION("""COMPUTED_VALUE"""),"QC")</f>
        <v>QC</v>
      </c>
      <c r="D143" t="str">
        <f>IFERROR(__xludf.DUMMYFUNCTION("""COMPUTED_VALUE"""),"Canada")</f>
        <v>Canada</v>
      </c>
      <c r="E143" s="188">
        <f>IFERROR(__xludf.DUMMYFUNCTION("""COMPUTED_VALUE"""),43189.0)</f>
        <v>43189</v>
      </c>
      <c r="F143" s="188">
        <f>IFERROR(__xludf.DUMMYFUNCTION("""COMPUTED_VALUE"""),43227.0)</f>
        <v>43227</v>
      </c>
      <c r="H143">
        <f>IFERROR(__xludf.DUMMYFUNCTION("""COMPUTED_VALUE"""),25855.0)</f>
        <v>25855</v>
      </c>
      <c r="J143" s="5">
        <f>IFERROR(__xludf.DUMMYFUNCTION("""COMPUTED_VALUE"""),43251.0)</f>
        <v>43251</v>
      </c>
      <c r="K143">
        <f>IFERROR(__xludf.DUMMYFUNCTION("""COMPUTED_VALUE"""),38.0)</f>
        <v>38</v>
      </c>
      <c r="L143">
        <f>IFERROR(__xludf.DUMMYFUNCTION("""COMPUTED_VALUE"""),24.0)</f>
        <v>24</v>
      </c>
      <c r="M143">
        <f>IFERROR(__xludf.DUMMYFUNCTION("""COMPUTED_VALUE"""),62.0)</f>
        <v>62</v>
      </c>
      <c r="N143" t="str">
        <f>IFERROR(__xludf.DUMMYFUNCTION("""COMPUTED_VALUE"""),"Model 3 LR")</f>
        <v>Model 3 LR</v>
      </c>
      <c r="O143" t="str">
        <f>IFERROR(__xludf.DUMMYFUNCTION("""COMPUTED_VALUE"""),"Midnight Silver Metallic")</f>
        <v>Midnight Silver Metallic</v>
      </c>
      <c r="P143" t="str">
        <f>IFERROR(__xludf.DUMMYFUNCTION("""COMPUTED_VALUE"""),"18 inch Aero")</f>
        <v>18 inch Aero</v>
      </c>
      <c r="Q143" t="str">
        <f>IFERROR(__xludf.DUMMYFUNCTION("""COMPUTED_VALUE"""),"Black seats")</f>
        <v>Black seats</v>
      </c>
      <c r="R143" t="str">
        <f>IFERROR(__xludf.DUMMYFUNCTION("""COMPUTED_VALUE"""),"Enhanced Autopilot")</f>
        <v>Enhanced Autopilot</v>
      </c>
      <c r="X143" t="str">
        <f>IFERROR(__xludf.DUMMYFUNCTION("""COMPUTED_VALUE"""),"Excellent")</f>
        <v>Excellent</v>
      </c>
      <c r="Y143" t="str">
        <f>IFERROR(__xludf.DUMMYFUNCTION("""COMPUTED_VALUE"""),"Excellent")</f>
        <v>Excellent</v>
      </c>
      <c r="Z143" t="str">
        <f>IFERROR(__xludf.DUMMYFUNCTION("""COMPUTED_VALUE"""),"Excellent")</f>
        <v>Excellent</v>
      </c>
      <c r="AA143" t="str">
        <f>IFERROR(__xludf.DUMMYFUNCTION("""COMPUTED_VALUE"""),"Excellent")</f>
        <v>Excellent</v>
      </c>
      <c r="AB143" t="str">
        <f>IFERROR(__xludf.DUMMYFUNCTION("""COMPUTED_VALUE"""),"Excellent")</f>
        <v>Excellent</v>
      </c>
      <c r="AG143" t="str">
        <f>IFERROR(__xludf.DUMMYFUNCTION("""COMPUTED_VALUE"""),"Amazing car!")</f>
        <v>Amazing car!</v>
      </c>
      <c r="AH143" s="189">
        <f>IFERROR(__xludf.DUMMYFUNCTION("""COMPUTED_VALUE"""),43256.908248576394)</f>
        <v>43256.90825</v>
      </c>
    </row>
    <row r="144">
      <c r="A144" t="str">
        <f>IFERROR(__xludf.DUMMYFUNCTION("""COMPUTED_VALUE"""),"Curt")</f>
        <v>Curt</v>
      </c>
      <c r="B144" t="str">
        <f>IFERROR(__xludf.DUMMYFUNCTION("""COMPUTED_VALUE"""),"Overland Park")</f>
        <v>Overland Park</v>
      </c>
      <c r="C144" t="str">
        <f>IFERROR(__xludf.DUMMYFUNCTION("""COMPUTED_VALUE"""),"KS")</f>
        <v>KS</v>
      </c>
      <c r="D144" t="str">
        <f>IFERROR(__xludf.DUMMYFUNCTION("""COMPUTED_VALUE"""),"USA")</f>
        <v>USA</v>
      </c>
      <c r="E144" s="188">
        <f>IFERROR(__xludf.DUMMYFUNCTION("""COMPUTED_VALUE"""),43203.0)</f>
        <v>43203</v>
      </c>
      <c r="F144" s="188">
        <f>IFERROR(__xludf.DUMMYFUNCTION("""COMPUTED_VALUE"""),43234.0)</f>
        <v>43234</v>
      </c>
      <c r="H144">
        <f>IFERROR(__xludf.DUMMYFUNCTION("""COMPUTED_VALUE"""),22355.0)</f>
        <v>22355</v>
      </c>
      <c r="J144" s="5">
        <f>IFERROR(__xludf.DUMMYFUNCTION("""COMPUTED_VALUE"""),43255.0)</f>
        <v>43255</v>
      </c>
      <c r="K144">
        <f>IFERROR(__xludf.DUMMYFUNCTION("""COMPUTED_VALUE"""),31.0)</f>
        <v>31</v>
      </c>
      <c r="L144">
        <f>IFERROR(__xludf.DUMMYFUNCTION("""COMPUTED_VALUE"""),21.0)</f>
        <v>21</v>
      </c>
      <c r="M144">
        <f>IFERROR(__xludf.DUMMYFUNCTION("""COMPUTED_VALUE"""),52.0)</f>
        <v>52</v>
      </c>
      <c r="N144" t="str">
        <f>IFERROR(__xludf.DUMMYFUNCTION("""COMPUTED_VALUE"""),"Model 3 LR")</f>
        <v>Model 3 LR</v>
      </c>
      <c r="O144" t="str">
        <f>IFERROR(__xludf.DUMMYFUNCTION("""COMPUTED_VALUE"""),"Red Multi-Coat")</f>
        <v>Red Multi-Coat</v>
      </c>
      <c r="P144" t="str">
        <f>IFERROR(__xludf.DUMMYFUNCTION("""COMPUTED_VALUE"""),"18 inch Aero")</f>
        <v>18 inch Aero</v>
      </c>
      <c r="Q144" t="str">
        <f>IFERROR(__xludf.DUMMYFUNCTION("""COMPUTED_VALUE"""),"Black seats")</f>
        <v>Black seats</v>
      </c>
      <c r="R144" t="str">
        <f>IFERROR(__xludf.DUMMYFUNCTION("""COMPUTED_VALUE"""),"Enhanced Autopilot")</f>
        <v>Enhanced Autopilot</v>
      </c>
      <c r="X144" t="str">
        <f>IFERROR(__xludf.DUMMYFUNCTION("""COMPUTED_VALUE"""),"Very Good")</f>
        <v>Very Good</v>
      </c>
      <c r="Y144" t="str">
        <f>IFERROR(__xludf.DUMMYFUNCTION("""COMPUTED_VALUE"""),"Excellent")</f>
        <v>Excellent</v>
      </c>
      <c r="Z144" t="str">
        <f>IFERROR(__xludf.DUMMYFUNCTION("""COMPUTED_VALUE"""),"Very Good")</f>
        <v>Very Good</v>
      </c>
      <c r="AA144" t="str">
        <f>IFERROR(__xludf.DUMMYFUNCTION("""COMPUTED_VALUE"""),"Very Good")</f>
        <v>Very Good</v>
      </c>
      <c r="AB144" t="str">
        <f>IFERROR(__xludf.DUMMYFUNCTION("""COMPUTED_VALUE"""),"Very Good")</f>
        <v>Very Good</v>
      </c>
      <c r="AH144" s="189">
        <f>IFERROR(__xludf.DUMMYFUNCTION("""COMPUTED_VALUE"""),43257.32080623842)</f>
        <v>43257.32081</v>
      </c>
    </row>
    <row r="145">
      <c r="A145" t="str">
        <f>IFERROR(__xludf.DUMMYFUNCTION("""COMPUTED_VALUE"""),"paulcow")</f>
        <v>paulcow</v>
      </c>
      <c r="B145" t="str">
        <f>IFERROR(__xludf.DUMMYFUNCTION("""COMPUTED_VALUE"""),"Madison, WI")</f>
        <v>Madison, WI</v>
      </c>
      <c r="C145" t="str">
        <f>IFERROR(__xludf.DUMMYFUNCTION("""COMPUTED_VALUE"""),"WI")</f>
        <v>WI</v>
      </c>
      <c r="D145" t="str">
        <f>IFERROR(__xludf.DUMMYFUNCTION("""COMPUTED_VALUE"""),"USA")</f>
        <v>USA</v>
      </c>
      <c r="E145" s="188">
        <f>IFERROR(__xludf.DUMMYFUNCTION("""COMPUTED_VALUE"""),43203.0)</f>
        <v>43203</v>
      </c>
      <c r="F145" s="188">
        <f>IFERROR(__xludf.DUMMYFUNCTION("""COMPUTED_VALUE"""),43234.0)</f>
        <v>43234</v>
      </c>
      <c r="H145">
        <f>IFERROR(__xludf.DUMMYFUNCTION("""COMPUTED_VALUE"""),21355.0)</f>
        <v>21355</v>
      </c>
      <c r="J145" s="5">
        <f>IFERROR(__xludf.DUMMYFUNCTION("""COMPUTED_VALUE"""),43251.0)</f>
        <v>43251</v>
      </c>
      <c r="K145">
        <f>IFERROR(__xludf.DUMMYFUNCTION("""COMPUTED_VALUE"""),31.0)</f>
        <v>31</v>
      </c>
      <c r="L145">
        <f>IFERROR(__xludf.DUMMYFUNCTION("""COMPUTED_VALUE"""),17.0)</f>
        <v>17</v>
      </c>
      <c r="M145">
        <f>IFERROR(__xludf.DUMMYFUNCTION("""COMPUTED_VALUE"""),48.0)</f>
        <v>48</v>
      </c>
      <c r="N145" t="str">
        <f>IFERROR(__xludf.DUMMYFUNCTION("""COMPUTED_VALUE"""),"Model 3 LR")</f>
        <v>Model 3 LR</v>
      </c>
      <c r="O145" t="str">
        <f>IFERROR(__xludf.DUMMYFUNCTION("""COMPUTED_VALUE"""),"Midnight Silver Metallic")</f>
        <v>Midnight Silver Metallic</v>
      </c>
      <c r="P145" t="str">
        <f>IFERROR(__xludf.DUMMYFUNCTION("""COMPUTED_VALUE"""),"18 inch Aero")</f>
        <v>18 inch Aero</v>
      </c>
      <c r="Q145" t="str">
        <f>IFERROR(__xludf.DUMMYFUNCTION("""COMPUTED_VALUE"""),"Black seats")</f>
        <v>Black seats</v>
      </c>
      <c r="R145" t="str">
        <f>IFERROR(__xludf.DUMMYFUNCTION("""COMPUTED_VALUE"""),"Full Self-Driving")</f>
        <v>Full Self-Driving</v>
      </c>
      <c r="X145" t="str">
        <f>IFERROR(__xludf.DUMMYFUNCTION("""COMPUTED_VALUE"""),"Very Good")</f>
        <v>Very Good</v>
      </c>
      <c r="Y145" t="str">
        <f>IFERROR(__xludf.DUMMYFUNCTION("""COMPUTED_VALUE"""),"Excellent")</f>
        <v>Excellent</v>
      </c>
      <c r="Z145" t="str">
        <f>IFERROR(__xludf.DUMMYFUNCTION("""COMPUTED_VALUE"""),"Excellent")</f>
        <v>Excellent</v>
      </c>
      <c r="AA145" t="str">
        <f>IFERROR(__xludf.DUMMYFUNCTION("""COMPUTED_VALUE"""),"Fair")</f>
        <v>Fair</v>
      </c>
      <c r="AB145" t="str">
        <f>IFERROR(__xludf.DUMMYFUNCTION("""COMPUTED_VALUE"""),"Very Good")</f>
        <v>Very Good</v>
      </c>
      <c r="AH145" s="189">
        <f>IFERROR(__xludf.DUMMYFUNCTION("""COMPUTED_VALUE"""),43257.57423134259)</f>
        <v>43257.57423</v>
      </c>
    </row>
    <row r="146">
      <c r="A146" t="str">
        <f>IFERROR(__xludf.DUMMYFUNCTION("""COMPUTED_VALUE"""),"JimPart")</f>
        <v>JimPart</v>
      </c>
      <c r="B146" t="str">
        <f>IFERROR(__xludf.DUMMYFUNCTION("""COMPUTED_VALUE"""),"Orlando ")</f>
        <v>Orlando </v>
      </c>
      <c r="C146" t="str">
        <f>IFERROR(__xludf.DUMMYFUNCTION("""COMPUTED_VALUE"""),"FL")</f>
        <v>FL</v>
      </c>
      <c r="D146" t="str">
        <f>IFERROR(__xludf.DUMMYFUNCTION("""COMPUTED_VALUE"""),"USA")</f>
        <v>USA</v>
      </c>
      <c r="E146" s="188">
        <f>IFERROR(__xludf.DUMMYFUNCTION("""COMPUTED_VALUE"""),43215.0)</f>
        <v>43215</v>
      </c>
      <c r="F146" s="188">
        <f>IFERROR(__xludf.DUMMYFUNCTION("""COMPUTED_VALUE"""),43231.0)</f>
        <v>43231</v>
      </c>
      <c r="H146">
        <f>IFERROR(__xludf.DUMMYFUNCTION("""COMPUTED_VALUE"""),22055.0)</f>
        <v>22055</v>
      </c>
      <c r="I146" t="str">
        <f>IFERROR(__xludf.DUMMYFUNCTION("""COMPUTED_VALUE"""),"05/18")</f>
        <v>05/18</v>
      </c>
      <c r="J146" s="5">
        <f>IFERROR(__xludf.DUMMYFUNCTION("""COMPUTED_VALUE"""),43254.0)</f>
        <v>43254</v>
      </c>
      <c r="K146">
        <f>IFERROR(__xludf.DUMMYFUNCTION("""COMPUTED_VALUE"""),16.0)</f>
        <v>16</v>
      </c>
      <c r="L146">
        <f>IFERROR(__xludf.DUMMYFUNCTION("""COMPUTED_VALUE"""),23.0)</f>
        <v>23</v>
      </c>
      <c r="M146">
        <f>IFERROR(__xludf.DUMMYFUNCTION("""COMPUTED_VALUE"""),39.0)</f>
        <v>39</v>
      </c>
      <c r="N146" t="str">
        <f>IFERROR(__xludf.DUMMYFUNCTION("""COMPUTED_VALUE"""),"Model 3 LR")</f>
        <v>Model 3 LR</v>
      </c>
      <c r="O146" t="str">
        <f>IFERROR(__xludf.DUMMYFUNCTION("""COMPUTED_VALUE"""),"Red Multi-Coat")</f>
        <v>Red Multi-Coat</v>
      </c>
      <c r="P146" t="str">
        <f>IFERROR(__xludf.DUMMYFUNCTION("""COMPUTED_VALUE"""),"18 inch Aero")</f>
        <v>18 inch Aero</v>
      </c>
      <c r="Q146" t="str">
        <f>IFERROR(__xludf.DUMMYFUNCTION("""COMPUTED_VALUE"""),"Black seats")</f>
        <v>Black seats</v>
      </c>
      <c r="R146" t="str">
        <f>IFERROR(__xludf.DUMMYFUNCTION("""COMPUTED_VALUE"""),"Enhanced Autopilot")</f>
        <v>Enhanced Autopilot</v>
      </c>
      <c r="X146" t="str">
        <f>IFERROR(__xludf.DUMMYFUNCTION("""COMPUTED_VALUE"""),"Good")</f>
        <v>Good</v>
      </c>
      <c r="Y146" t="str">
        <f>IFERROR(__xludf.DUMMYFUNCTION("""COMPUTED_VALUE"""),"Very Good")</f>
        <v>Very Good</v>
      </c>
      <c r="Z146" t="str">
        <f>IFERROR(__xludf.DUMMYFUNCTION("""COMPUTED_VALUE"""),"Very Good")</f>
        <v>Very Good</v>
      </c>
      <c r="AA146" t="str">
        <f>IFERROR(__xludf.DUMMYFUNCTION("""COMPUTED_VALUE"""),"Excellent")</f>
        <v>Excellent</v>
      </c>
      <c r="AB146" t="str">
        <f>IFERROR(__xludf.DUMMYFUNCTION("""COMPUTED_VALUE"""),"Excellent")</f>
        <v>Excellent</v>
      </c>
      <c r="AH146" s="189">
        <f>IFERROR(__xludf.DUMMYFUNCTION("""COMPUTED_VALUE"""),43257.77521116898)</f>
        <v>43257.77521</v>
      </c>
    </row>
    <row r="147">
      <c r="A147" t="str">
        <f>IFERROR(__xludf.DUMMYFUNCTION("""COMPUTED_VALUE"""),"natebrownohio")</f>
        <v>natebrownohio</v>
      </c>
      <c r="B147" t="str">
        <f>IFERROR(__xludf.DUMMYFUNCTION("""COMPUTED_VALUE"""),"Worthington")</f>
        <v>Worthington</v>
      </c>
      <c r="C147" t="str">
        <f>IFERROR(__xludf.DUMMYFUNCTION("""COMPUTED_VALUE"""),"OH")</f>
        <v>OH</v>
      </c>
      <c r="D147" t="str">
        <f>IFERROR(__xludf.DUMMYFUNCTION("""COMPUTED_VALUE"""),"USA")</f>
        <v>USA</v>
      </c>
      <c r="E147" s="188">
        <f>IFERROR(__xludf.DUMMYFUNCTION("""COMPUTED_VALUE"""),43208.0)</f>
        <v>43208</v>
      </c>
      <c r="F147" s="188">
        <f>IFERROR(__xludf.DUMMYFUNCTION("""COMPUTED_VALUE"""),43231.0)</f>
        <v>43231</v>
      </c>
      <c r="H147">
        <f>IFERROR(__xludf.DUMMYFUNCTION("""COMPUTED_VALUE"""),21984.0)</f>
        <v>21984</v>
      </c>
      <c r="I147" t="str">
        <f>IFERROR(__xludf.DUMMYFUNCTION("""COMPUTED_VALUE"""),"05/18")</f>
        <v>05/18</v>
      </c>
      <c r="J147" s="5">
        <f>IFERROR(__xludf.DUMMYFUNCTION("""COMPUTED_VALUE"""),43257.0)</f>
        <v>43257</v>
      </c>
      <c r="K147">
        <f>IFERROR(__xludf.DUMMYFUNCTION("""COMPUTED_VALUE"""),23.0)</f>
        <v>23</v>
      </c>
      <c r="L147">
        <f>IFERROR(__xludf.DUMMYFUNCTION("""COMPUTED_VALUE"""),26.0)</f>
        <v>26</v>
      </c>
      <c r="M147">
        <f>IFERROR(__xludf.DUMMYFUNCTION("""COMPUTED_VALUE"""),49.0)</f>
        <v>49</v>
      </c>
      <c r="N147" t="str">
        <f>IFERROR(__xludf.DUMMYFUNCTION("""COMPUTED_VALUE"""),"Model 3 LR")</f>
        <v>Model 3 LR</v>
      </c>
      <c r="O147" t="str">
        <f>IFERROR(__xludf.DUMMYFUNCTION("""COMPUTED_VALUE"""),"Midnight Silver Metallic")</f>
        <v>Midnight Silver Metallic</v>
      </c>
      <c r="P147" t="str">
        <f>IFERROR(__xludf.DUMMYFUNCTION("""COMPUTED_VALUE"""),"18 inch Aero")</f>
        <v>18 inch Aero</v>
      </c>
      <c r="Q147" t="str">
        <f>IFERROR(__xludf.DUMMYFUNCTION("""COMPUTED_VALUE"""),"Black seats")</f>
        <v>Black seats</v>
      </c>
      <c r="R147" t="str">
        <f>IFERROR(__xludf.DUMMYFUNCTION("""COMPUTED_VALUE"""),"None")</f>
        <v>None</v>
      </c>
      <c r="X147" t="str">
        <f>IFERROR(__xludf.DUMMYFUNCTION("""COMPUTED_VALUE"""),"Very Good")</f>
        <v>Very Good</v>
      </c>
      <c r="Y147" t="str">
        <f>IFERROR(__xludf.DUMMYFUNCTION("""COMPUTED_VALUE"""),"Excellent")</f>
        <v>Excellent</v>
      </c>
      <c r="Z147" t="str">
        <f>IFERROR(__xludf.DUMMYFUNCTION("""COMPUTED_VALUE"""),"Excellent")</f>
        <v>Excellent</v>
      </c>
      <c r="AA147" t="str">
        <f>IFERROR(__xludf.DUMMYFUNCTION("""COMPUTED_VALUE"""),"Very Good")</f>
        <v>Very Good</v>
      </c>
      <c r="AB147" t="str">
        <f>IFERROR(__xludf.DUMMYFUNCTION("""COMPUTED_VALUE"""),"Excellent")</f>
        <v>Excellent</v>
      </c>
      <c r="AG147" t="str">
        <f>IFERROR(__xludf.DUMMYFUNCTION("""COMPUTED_VALUE"""),"Alliant Credit Union - very easy, great service")</f>
        <v>Alliant Credit Union - very easy, great service</v>
      </c>
      <c r="AH147" s="189">
        <f>IFERROR(__xludf.DUMMYFUNCTION("""COMPUTED_VALUE"""),43257.84165354166)</f>
        <v>43257.84165</v>
      </c>
    </row>
    <row r="148">
      <c r="A148" t="str">
        <f>IFERROR(__xludf.DUMMYFUNCTION("""COMPUTED_VALUE"""),"Yy")</f>
        <v>Yy</v>
      </c>
      <c r="B148" t="str">
        <f>IFERROR(__xludf.DUMMYFUNCTION("""COMPUTED_VALUE"""),"North Vancouver")</f>
        <v>North Vancouver</v>
      </c>
      <c r="C148" t="str">
        <f>IFERROR(__xludf.DUMMYFUNCTION("""COMPUTED_VALUE"""),"BC")</f>
        <v>BC</v>
      </c>
      <c r="D148" t="str">
        <f>IFERROR(__xludf.DUMMYFUNCTION("""COMPUTED_VALUE"""),"Canada")</f>
        <v>Canada</v>
      </c>
      <c r="E148" s="188">
        <f>IFERROR(__xludf.DUMMYFUNCTION("""COMPUTED_VALUE"""),43217.0)</f>
        <v>43217</v>
      </c>
      <c r="F148" s="188">
        <f>IFERROR(__xludf.DUMMYFUNCTION("""COMPUTED_VALUE"""),43252.0)</f>
        <v>43252</v>
      </c>
      <c r="H148">
        <f>IFERROR(__xludf.DUMMYFUNCTION("""COMPUTED_VALUE"""),30055.0)</f>
        <v>30055</v>
      </c>
      <c r="J148" s="5">
        <f>IFERROR(__xludf.DUMMYFUNCTION("""COMPUTED_VALUE"""),43257.0)</f>
        <v>43257</v>
      </c>
      <c r="K148">
        <f>IFERROR(__xludf.DUMMYFUNCTION("""COMPUTED_VALUE"""),35.0)</f>
        <v>35</v>
      </c>
      <c r="L148">
        <f>IFERROR(__xludf.DUMMYFUNCTION("""COMPUTED_VALUE"""),5.0)</f>
        <v>5</v>
      </c>
      <c r="M148">
        <f>IFERROR(__xludf.DUMMYFUNCTION("""COMPUTED_VALUE"""),40.0)</f>
        <v>40</v>
      </c>
      <c r="N148" t="str">
        <f>IFERROR(__xludf.DUMMYFUNCTION("""COMPUTED_VALUE"""),"Model 3 LR")</f>
        <v>Model 3 LR</v>
      </c>
      <c r="O148" t="str">
        <f>IFERROR(__xludf.DUMMYFUNCTION("""COMPUTED_VALUE"""),"Red Multi-Coat")</f>
        <v>Red Multi-Coat</v>
      </c>
      <c r="P148" t="str">
        <f>IFERROR(__xludf.DUMMYFUNCTION("""COMPUTED_VALUE"""),"19 inch Sport")</f>
        <v>19 inch Sport</v>
      </c>
      <c r="Q148" t="str">
        <f>IFERROR(__xludf.DUMMYFUNCTION("""COMPUTED_VALUE"""),"Black seats")</f>
        <v>Black seats</v>
      </c>
      <c r="R148" t="str">
        <f>IFERROR(__xludf.DUMMYFUNCTION("""COMPUTED_VALUE"""),"Enhanced Autopilot")</f>
        <v>Enhanced Autopilot</v>
      </c>
      <c r="X148" t="str">
        <f>IFERROR(__xludf.DUMMYFUNCTION("""COMPUTED_VALUE"""),"Good")</f>
        <v>Good</v>
      </c>
      <c r="Y148" t="str">
        <f>IFERROR(__xludf.DUMMYFUNCTION("""COMPUTED_VALUE"""),"Good")</f>
        <v>Good</v>
      </c>
      <c r="Z148" t="str">
        <f>IFERROR(__xludf.DUMMYFUNCTION("""COMPUTED_VALUE"""),"Good")</f>
        <v>Good</v>
      </c>
      <c r="AA148" t="str">
        <f>IFERROR(__xludf.DUMMYFUNCTION("""COMPUTED_VALUE"""),"Good")</f>
        <v>Good</v>
      </c>
      <c r="AB148" t="str">
        <f>IFERROR(__xludf.DUMMYFUNCTION("""COMPUTED_VALUE"""),"Very Good")</f>
        <v>Very Good</v>
      </c>
      <c r="AH148" s="189">
        <f>IFERROR(__xludf.DUMMYFUNCTION("""COMPUTED_VALUE"""),43258.04225594907)</f>
        <v>43258.04226</v>
      </c>
    </row>
    <row r="149">
      <c r="A149" t="str">
        <f>IFERROR(__xludf.DUMMYFUNCTION("""COMPUTED_VALUE"""),"incogzeto")</f>
        <v>incogzeto</v>
      </c>
      <c r="B149" t="str">
        <f>IFERROR(__xludf.DUMMYFUNCTION("""COMPUTED_VALUE"""),"Toronto")</f>
        <v>Toronto</v>
      </c>
      <c r="C149" t="str">
        <f>IFERROR(__xludf.DUMMYFUNCTION("""COMPUTED_VALUE"""),"ON")</f>
        <v>ON</v>
      </c>
      <c r="D149" t="str">
        <f>IFERROR(__xludf.DUMMYFUNCTION("""COMPUTED_VALUE"""),"Canada")</f>
        <v>Canada</v>
      </c>
      <c r="E149" s="188">
        <f>IFERROR(__xludf.DUMMYFUNCTION("""COMPUTED_VALUE"""),43217.0)</f>
        <v>43217</v>
      </c>
      <c r="F149" s="188">
        <f>IFERROR(__xludf.DUMMYFUNCTION("""COMPUTED_VALUE"""),43225.0)</f>
        <v>43225</v>
      </c>
      <c r="H149">
        <f>IFERROR(__xludf.DUMMYFUNCTION("""COMPUTED_VALUE"""),27455.0)</f>
        <v>27455</v>
      </c>
      <c r="J149" s="5">
        <f>IFERROR(__xludf.DUMMYFUNCTION("""COMPUTED_VALUE"""),43251.0)</f>
        <v>43251</v>
      </c>
      <c r="K149">
        <f>IFERROR(__xludf.DUMMYFUNCTION("""COMPUTED_VALUE"""),8.0)</f>
        <v>8</v>
      </c>
      <c r="L149">
        <f>IFERROR(__xludf.DUMMYFUNCTION("""COMPUTED_VALUE"""),26.0)</f>
        <v>26</v>
      </c>
      <c r="M149">
        <f>IFERROR(__xludf.DUMMYFUNCTION("""COMPUTED_VALUE"""),34.0)</f>
        <v>34</v>
      </c>
      <c r="N149" t="str">
        <f>IFERROR(__xludf.DUMMYFUNCTION("""COMPUTED_VALUE"""),"Model 3 LR")</f>
        <v>Model 3 LR</v>
      </c>
      <c r="O149" t="str">
        <f>IFERROR(__xludf.DUMMYFUNCTION("""COMPUTED_VALUE"""),"Solid Black")</f>
        <v>Solid Black</v>
      </c>
      <c r="P149" t="str">
        <f>IFERROR(__xludf.DUMMYFUNCTION("""COMPUTED_VALUE"""),"18 inch Aero")</f>
        <v>18 inch Aero</v>
      </c>
      <c r="Q149" t="str">
        <f>IFERROR(__xludf.DUMMYFUNCTION("""COMPUTED_VALUE"""),"Black seats")</f>
        <v>Black seats</v>
      </c>
      <c r="R149" t="str">
        <f>IFERROR(__xludf.DUMMYFUNCTION("""COMPUTED_VALUE"""),"Enhanced Autopilot")</f>
        <v>Enhanced Autopilot</v>
      </c>
      <c r="X149" t="str">
        <f>IFERROR(__xludf.DUMMYFUNCTION("""COMPUTED_VALUE"""),"Very Good")</f>
        <v>Very Good</v>
      </c>
      <c r="Y149" t="str">
        <f>IFERROR(__xludf.DUMMYFUNCTION("""COMPUTED_VALUE"""),"Very Good")</f>
        <v>Very Good</v>
      </c>
      <c r="Z149" t="str">
        <f>IFERROR(__xludf.DUMMYFUNCTION("""COMPUTED_VALUE"""),"Very Good")</f>
        <v>Very Good</v>
      </c>
      <c r="AA149" t="str">
        <f>IFERROR(__xludf.DUMMYFUNCTION("""COMPUTED_VALUE"""),"Fair")</f>
        <v>Fair</v>
      </c>
      <c r="AB149" t="str">
        <f>IFERROR(__xludf.DUMMYFUNCTION("""COMPUTED_VALUE"""),"Fair")</f>
        <v>Fair</v>
      </c>
      <c r="AH149" s="189">
        <f>IFERROR(__xludf.DUMMYFUNCTION("""COMPUTED_VALUE"""),43258.30417175926)</f>
        <v>43258.30417</v>
      </c>
    </row>
    <row r="150">
      <c r="A150" t="str">
        <f>IFERROR(__xludf.DUMMYFUNCTION("""COMPUTED_VALUE"""),"brawlrog")</f>
        <v>brawlrog</v>
      </c>
      <c r="C150" t="str">
        <f>IFERROR(__xludf.DUMMYFUNCTION("""COMPUTED_VALUE"""),"CA")</f>
        <v>CA</v>
      </c>
      <c r="D150" t="str">
        <f>IFERROR(__xludf.DUMMYFUNCTION("""COMPUTED_VALUE"""),"USA")</f>
        <v>USA</v>
      </c>
      <c r="E150" s="188">
        <f>IFERROR(__xludf.DUMMYFUNCTION("""COMPUTED_VALUE"""),43208.0)</f>
        <v>43208</v>
      </c>
      <c r="F150" s="188">
        <f>IFERROR(__xludf.DUMMYFUNCTION("""COMPUTED_VALUE"""),43245.0)</f>
        <v>43245</v>
      </c>
      <c r="H150">
        <f>IFERROR(__xludf.DUMMYFUNCTION("""COMPUTED_VALUE"""),25155.0)</f>
        <v>25155</v>
      </c>
      <c r="J150" s="5">
        <f>IFERROR(__xludf.DUMMYFUNCTION("""COMPUTED_VALUE"""),43253.0)</f>
        <v>43253</v>
      </c>
      <c r="K150">
        <f>IFERROR(__xludf.DUMMYFUNCTION("""COMPUTED_VALUE"""),37.0)</f>
        <v>37</v>
      </c>
      <c r="L150">
        <f>IFERROR(__xludf.DUMMYFUNCTION("""COMPUTED_VALUE"""),8.0)</f>
        <v>8</v>
      </c>
      <c r="M150">
        <f>IFERROR(__xludf.DUMMYFUNCTION("""COMPUTED_VALUE"""),45.0)</f>
        <v>45</v>
      </c>
      <c r="N150" t="str">
        <f>IFERROR(__xludf.DUMMYFUNCTION("""COMPUTED_VALUE"""),"Model 3 LR")</f>
        <v>Model 3 LR</v>
      </c>
      <c r="O150" t="str">
        <f>IFERROR(__xludf.DUMMYFUNCTION("""COMPUTED_VALUE"""),"Pearl White Multi-Coat")</f>
        <v>Pearl White Multi-Coat</v>
      </c>
      <c r="P150" t="str">
        <f>IFERROR(__xludf.DUMMYFUNCTION("""COMPUTED_VALUE"""),"19 inch Sport")</f>
        <v>19 inch Sport</v>
      </c>
      <c r="Q150" t="str">
        <f>IFERROR(__xludf.DUMMYFUNCTION("""COMPUTED_VALUE"""),"Black seats")</f>
        <v>Black seats</v>
      </c>
      <c r="R150" t="str">
        <f>IFERROR(__xludf.DUMMYFUNCTION("""COMPUTED_VALUE"""),"None")</f>
        <v>None</v>
      </c>
      <c r="X150" t="str">
        <f>IFERROR(__xludf.DUMMYFUNCTION("""COMPUTED_VALUE"""),"Very Good")</f>
        <v>Very Good</v>
      </c>
      <c r="Y150" t="str">
        <f>IFERROR(__xludf.DUMMYFUNCTION("""COMPUTED_VALUE"""),"Excellent")</f>
        <v>Excellent</v>
      </c>
      <c r="Z150" t="str">
        <f>IFERROR(__xludf.DUMMYFUNCTION("""COMPUTED_VALUE"""),"Excellent")</f>
        <v>Excellent</v>
      </c>
      <c r="AA150" t="str">
        <f>IFERROR(__xludf.DUMMYFUNCTION("""COMPUTED_VALUE"""),"Excellent")</f>
        <v>Excellent</v>
      </c>
      <c r="AB150" t="str">
        <f>IFERROR(__xludf.DUMMYFUNCTION("""COMPUTED_VALUE"""),"Excellent")</f>
        <v>Excellent</v>
      </c>
      <c r="AH150" s="189">
        <f>IFERROR(__xludf.DUMMYFUNCTION("""COMPUTED_VALUE"""),43258.87079663195)</f>
        <v>43258.8708</v>
      </c>
    </row>
    <row r="151">
      <c r="A151" t="str">
        <f>IFERROR(__xludf.DUMMYFUNCTION("""COMPUTED_VALUE"""),"gheldean")</f>
        <v>gheldean</v>
      </c>
      <c r="B151" t="str">
        <f>IFERROR(__xludf.DUMMYFUNCTION("""COMPUTED_VALUE"""),"Old Bridge")</f>
        <v>Old Bridge</v>
      </c>
      <c r="C151" t="str">
        <f>IFERROR(__xludf.DUMMYFUNCTION("""COMPUTED_VALUE"""),"NJ")</f>
        <v>NJ</v>
      </c>
      <c r="D151" t="str">
        <f>IFERROR(__xludf.DUMMYFUNCTION("""COMPUTED_VALUE"""),"USA")</f>
        <v>USA</v>
      </c>
      <c r="E151" s="188">
        <f>IFERROR(__xludf.DUMMYFUNCTION("""COMPUTED_VALUE"""),43197.0)</f>
        <v>43197</v>
      </c>
      <c r="F151" s="188">
        <f>IFERROR(__xludf.DUMMYFUNCTION("""COMPUTED_VALUE"""),43229.0)</f>
        <v>43229</v>
      </c>
      <c r="H151">
        <f>IFERROR(__xludf.DUMMYFUNCTION("""COMPUTED_VALUE"""),21355.0)</f>
        <v>21355</v>
      </c>
      <c r="I151" t="str">
        <f>IFERROR(__xludf.DUMMYFUNCTION("""COMPUTED_VALUE"""),"05/18")</f>
        <v>05/18</v>
      </c>
      <c r="J151" s="5">
        <f>IFERROR(__xludf.DUMMYFUNCTION("""COMPUTED_VALUE"""),43253.0)</f>
        <v>43253</v>
      </c>
      <c r="K151">
        <f>IFERROR(__xludf.DUMMYFUNCTION("""COMPUTED_VALUE"""),32.0)</f>
        <v>32</v>
      </c>
      <c r="L151">
        <f>IFERROR(__xludf.DUMMYFUNCTION("""COMPUTED_VALUE"""),24.0)</f>
        <v>24</v>
      </c>
      <c r="M151">
        <f>IFERROR(__xludf.DUMMYFUNCTION("""COMPUTED_VALUE"""),56.0)</f>
        <v>56</v>
      </c>
      <c r="N151" t="str">
        <f>IFERROR(__xludf.DUMMYFUNCTION("""COMPUTED_VALUE"""),"Model 3 LR")</f>
        <v>Model 3 LR</v>
      </c>
      <c r="O151" t="str">
        <f>IFERROR(__xludf.DUMMYFUNCTION("""COMPUTED_VALUE"""),"Midnight Silver Metallic")</f>
        <v>Midnight Silver Metallic</v>
      </c>
      <c r="P151" t="str">
        <f>IFERROR(__xludf.DUMMYFUNCTION("""COMPUTED_VALUE"""),"18 inch Aero")</f>
        <v>18 inch Aero</v>
      </c>
      <c r="Q151" t="str">
        <f>IFERROR(__xludf.DUMMYFUNCTION("""COMPUTED_VALUE"""),"Black seats")</f>
        <v>Black seats</v>
      </c>
      <c r="R151" t="str">
        <f>IFERROR(__xludf.DUMMYFUNCTION("""COMPUTED_VALUE"""),"None")</f>
        <v>None</v>
      </c>
      <c r="X151" t="str">
        <f>IFERROR(__xludf.DUMMYFUNCTION("""COMPUTED_VALUE"""),"Excellent")</f>
        <v>Excellent</v>
      </c>
      <c r="Y151" t="str">
        <f>IFERROR(__xludf.DUMMYFUNCTION("""COMPUTED_VALUE"""),"Excellent")</f>
        <v>Excellent</v>
      </c>
      <c r="Z151" t="str">
        <f>IFERROR(__xludf.DUMMYFUNCTION("""COMPUTED_VALUE"""),"Excellent")</f>
        <v>Excellent</v>
      </c>
      <c r="AA151" t="str">
        <f>IFERROR(__xludf.DUMMYFUNCTION("""COMPUTED_VALUE"""),"Excellent")</f>
        <v>Excellent</v>
      </c>
      <c r="AB151" t="str">
        <f>IFERROR(__xludf.DUMMYFUNCTION("""COMPUTED_VALUE"""),"Excellent")</f>
        <v>Excellent</v>
      </c>
      <c r="AH151" s="189">
        <f>IFERROR(__xludf.DUMMYFUNCTION("""COMPUTED_VALUE"""),43259.12627634259)</f>
        <v>43259.12628</v>
      </c>
    </row>
    <row r="152">
      <c r="A152" t="str">
        <f>IFERROR(__xludf.DUMMYFUNCTION("""COMPUTED_VALUE"""),"123abc")</f>
        <v>123abc</v>
      </c>
      <c r="C152" t="str">
        <f>IFERROR(__xludf.DUMMYFUNCTION("""COMPUTED_VALUE"""),"TX")</f>
        <v>TX</v>
      </c>
      <c r="D152" t="str">
        <f>IFERROR(__xludf.DUMMYFUNCTION("""COMPUTED_VALUE"""),"USA")</f>
        <v>USA</v>
      </c>
      <c r="E152" s="188">
        <f>IFERROR(__xludf.DUMMYFUNCTION("""COMPUTED_VALUE"""),43208.0)</f>
        <v>43208</v>
      </c>
      <c r="F152" s="188">
        <f>IFERROR(__xludf.DUMMYFUNCTION("""COMPUTED_VALUE"""),43244.0)</f>
        <v>43244</v>
      </c>
      <c r="H152">
        <f>IFERROR(__xludf.DUMMYFUNCTION("""COMPUTED_VALUE"""),23555.0)</f>
        <v>23555</v>
      </c>
      <c r="J152" s="5">
        <f>IFERROR(__xludf.DUMMYFUNCTION("""COMPUTED_VALUE"""),43256.0)</f>
        <v>43256</v>
      </c>
      <c r="K152">
        <f>IFERROR(__xludf.DUMMYFUNCTION("""COMPUTED_VALUE"""),36.0)</f>
        <v>36</v>
      </c>
      <c r="L152">
        <f>IFERROR(__xludf.DUMMYFUNCTION("""COMPUTED_VALUE"""),12.0)</f>
        <v>12</v>
      </c>
      <c r="M152">
        <f>IFERROR(__xludf.DUMMYFUNCTION("""COMPUTED_VALUE"""),48.0)</f>
        <v>48</v>
      </c>
      <c r="N152" t="str">
        <f>IFERROR(__xludf.DUMMYFUNCTION("""COMPUTED_VALUE"""),"Model 3 LR")</f>
        <v>Model 3 LR</v>
      </c>
      <c r="O152" t="str">
        <f>IFERROR(__xludf.DUMMYFUNCTION("""COMPUTED_VALUE"""),"Solid Black")</f>
        <v>Solid Black</v>
      </c>
      <c r="P152" t="str">
        <f>IFERROR(__xludf.DUMMYFUNCTION("""COMPUTED_VALUE"""),"19 inch Sport")</f>
        <v>19 inch Sport</v>
      </c>
      <c r="Q152" t="str">
        <f>IFERROR(__xludf.DUMMYFUNCTION("""COMPUTED_VALUE"""),"Black seats")</f>
        <v>Black seats</v>
      </c>
      <c r="R152" t="str">
        <f>IFERROR(__xludf.DUMMYFUNCTION("""COMPUTED_VALUE"""),"Enhanced Autopilot")</f>
        <v>Enhanced Autopilot</v>
      </c>
      <c r="X152" t="str">
        <f>IFERROR(__xludf.DUMMYFUNCTION("""COMPUTED_VALUE"""),"Excellent")</f>
        <v>Excellent</v>
      </c>
      <c r="Y152" t="str">
        <f>IFERROR(__xludf.DUMMYFUNCTION("""COMPUTED_VALUE"""),"Excellent")</f>
        <v>Excellent</v>
      </c>
      <c r="Z152" t="str">
        <f>IFERROR(__xludf.DUMMYFUNCTION("""COMPUTED_VALUE"""),"Excellent")</f>
        <v>Excellent</v>
      </c>
      <c r="AA152" t="str">
        <f>IFERROR(__xludf.DUMMYFUNCTION("""COMPUTED_VALUE"""),"Excellent")</f>
        <v>Excellent</v>
      </c>
      <c r="AB152" t="str">
        <f>IFERROR(__xludf.DUMMYFUNCTION("""COMPUTED_VALUE"""),"Excellent")</f>
        <v>Excellent</v>
      </c>
      <c r="AH152" s="189">
        <f>IFERROR(__xludf.DUMMYFUNCTION("""COMPUTED_VALUE"""),43259.34157820602)</f>
        <v>43259.34158</v>
      </c>
    </row>
    <row r="153">
      <c r="A153" t="str">
        <f>IFERROR(__xludf.DUMMYFUNCTION("""COMPUTED_VALUE"""),"StartledKiwiBird")</f>
        <v>StartledKiwiBird</v>
      </c>
      <c r="B153" t="str">
        <f>IFERROR(__xludf.DUMMYFUNCTION("""COMPUTED_VALUE"""),"Twin Cities")</f>
        <v>Twin Cities</v>
      </c>
      <c r="C153" t="str">
        <f>IFERROR(__xludf.DUMMYFUNCTION("""COMPUTED_VALUE"""),"MN")</f>
        <v>MN</v>
      </c>
      <c r="D153" t="str">
        <f>IFERROR(__xludf.DUMMYFUNCTION("""COMPUTED_VALUE"""),"USA")</f>
        <v>USA</v>
      </c>
      <c r="E153" s="188">
        <f>IFERROR(__xludf.DUMMYFUNCTION("""COMPUTED_VALUE"""),43196.0)</f>
        <v>43196</v>
      </c>
      <c r="F153" s="188">
        <f>IFERROR(__xludf.DUMMYFUNCTION("""COMPUTED_VALUE"""),43229.0)</f>
        <v>43229</v>
      </c>
      <c r="H153">
        <f>IFERROR(__xludf.DUMMYFUNCTION("""COMPUTED_VALUE"""),21308.0)</f>
        <v>21308</v>
      </c>
      <c r="I153" t="str">
        <f>IFERROR(__xludf.DUMMYFUNCTION("""COMPUTED_VALUE"""),"05/18")</f>
        <v>05/18</v>
      </c>
      <c r="J153" s="5">
        <f>IFERROR(__xludf.DUMMYFUNCTION("""COMPUTED_VALUE"""),43255.0)</f>
        <v>43255</v>
      </c>
      <c r="K153">
        <f>IFERROR(__xludf.DUMMYFUNCTION("""COMPUTED_VALUE"""),33.0)</f>
        <v>33</v>
      </c>
      <c r="L153">
        <f>IFERROR(__xludf.DUMMYFUNCTION("""COMPUTED_VALUE"""),26.0)</f>
        <v>26</v>
      </c>
      <c r="M153">
        <f>IFERROR(__xludf.DUMMYFUNCTION("""COMPUTED_VALUE"""),59.0)</f>
        <v>59</v>
      </c>
      <c r="N153" t="str">
        <f>IFERROR(__xludf.DUMMYFUNCTION("""COMPUTED_VALUE"""),"Model 3 LR")</f>
        <v>Model 3 LR</v>
      </c>
      <c r="O153" t="str">
        <f>IFERROR(__xludf.DUMMYFUNCTION("""COMPUTED_VALUE"""),"Midnight Silver Metallic")</f>
        <v>Midnight Silver Metallic</v>
      </c>
      <c r="P153" t="str">
        <f>IFERROR(__xludf.DUMMYFUNCTION("""COMPUTED_VALUE"""),"18 inch Aero")</f>
        <v>18 inch Aero</v>
      </c>
      <c r="Q153" t="str">
        <f>IFERROR(__xludf.DUMMYFUNCTION("""COMPUTED_VALUE"""),"Black seats")</f>
        <v>Black seats</v>
      </c>
      <c r="R153" t="str">
        <f>IFERROR(__xludf.DUMMYFUNCTION("""COMPUTED_VALUE"""),"Enhanced Autopilot")</f>
        <v>Enhanced Autopilot</v>
      </c>
      <c r="X153" t="str">
        <f>IFERROR(__xludf.DUMMYFUNCTION("""COMPUTED_VALUE"""),"Excellent")</f>
        <v>Excellent</v>
      </c>
      <c r="Y153" t="str">
        <f>IFERROR(__xludf.DUMMYFUNCTION("""COMPUTED_VALUE"""),"Excellent")</f>
        <v>Excellent</v>
      </c>
      <c r="Z153" t="str">
        <f>IFERROR(__xludf.DUMMYFUNCTION("""COMPUTED_VALUE"""),"Excellent")</f>
        <v>Excellent</v>
      </c>
      <c r="AA153" t="str">
        <f>IFERROR(__xludf.DUMMYFUNCTION("""COMPUTED_VALUE"""),"Fair")</f>
        <v>Fair</v>
      </c>
      <c r="AB153" t="str">
        <f>IFERROR(__xludf.DUMMYFUNCTION("""COMPUTED_VALUE"""),"Good")</f>
        <v>Good</v>
      </c>
      <c r="AG153" t="str">
        <f>IFERROR(__xludf.DUMMYFUNCTION("""COMPUTED_VALUE"""),"Vehicle did not arrive in time for the scheduled delivery: delivery was pushed to 6/5.")</f>
        <v>Vehicle did not arrive in time for the scheduled delivery: delivery was pushed to 6/5.</v>
      </c>
      <c r="AH153" s="189">
        <f>IFERROR(__xludf.DUMMYFUNCTION("""COMPUTED_VALUE"""),43259.430795810185)</f>
        <v>43259.4308</v>
      </c>
    </row>
    <row r="154">
      <c r="A154" t="str">
        <f>IFERROR(__xludf.DUMMYFUNCTION("""COMPUTED_VALUE"""),"Charlie W")</f>
        <v>Charlie W</v>
      </c>
      <c r="B154" t="str">
        <f>IFERROR(__xludf.DUMMYFUNCTION("""COMPUTED_VALUE"""),"Lewes")</f>
        <v>Lewes</v>
      </c>
      <c r="C154" t="str">
        <f>IFERROR(__xludf.DUMMYFUNCTION("""COMPUTED_VALUE"""),"DE")</f>
        <v>DE</v>
      </c>
      <c r="D154" t="str">
        <f>IFERROR(__xludf.DUMMYFUNCTION("""COMPUTED_VALUE"""),"USA")</f>
        <v>USA</v>
      </c>
      <c r="E154" s="188">
        <f>IFERROR(__xludf.DUMMYFUNCTION("""COMPUTED_VALUE"""),43208.0)</f>
        <v>43208</v>
      </c>
      <c r="F154" s="188">
        <f>IFERROR(__xludf.DUMMYFUNCTION("""COMPUTED_VALUE"""),43235.0)</f>
        <v>43235</v>
      </c>
      <c r="H154">
        <f>IFERROR(__xludf.DUMMYFUNCTION("""COMPUTED_VALUE"""),23055.0)</f>
        <v>23055</v>
      </c>
      <c r="I154" t="str">
        <f>IFERROR(__xludf.DUMMYFUNCTION("""COMPUTED_VALUE"""),"05/18")</f>
        <v>05/18</v>
      </c>
      <c r="J154" s="5">
        <f>IFERROR(__xludf.DUMMYFUNCTION("""COMPUTED_VALUE"""),43256.0)</f>
        <v>43256</v>
      </c>
      <c r="K154">
        <f>IFERROR(__xludf.DUMMYFUNCTION("""COMPUTED_VALUE"""),27.0)</f>
        <v>27</v>
      </c>
      <c r="L154">
        <f>IFERROR(__xludf.DUMMYFUNCTION("""COMPUTED_VALUE"""),21.0)</f>
        <v>21</v>
      </c>
      <c r="M154">
        <f>IFERROR(__xludf.DUMMYFUNCTION("""COMPUTED_VALUE"""),48.0)</f>
        <v>48</v>
      </c>
      <c r="N154" t="str">
        <f>IFERROR(__xludf.DUMMYFUNCTION("""COMPUTED_VALUE"""),"Model 3 LR")</f>
        <v>Model 3 LR</v>
      </c>
      <c r="O154" t="str">
        <f>IFERROR(__xludf.DUMMYFUNCTION("""COMPUTED_VALUE"""),"Pearl White Multi-Coat")</f>
        <v>Pearl White Multi-Coat</v>
      </c>
      <c r="P154" t="str">
        <f>IFERROR(__xludf.DUMMYFUNCTION("""COMPUTED_VALUE"""),"18 inch Aero")</f>
        <v>18 inch Aero</v>
      </c>
      <c r="Q154" t="str">
        <f>IFERROR(__xludf.DUMMYFUNCTION("""COMPUTED_VALUE"""),"Black seats")</f>
        <v>Black seats</v>
      </c>
      <c r="R154" t="str">
        <f>IFERROR(__xludf.DUMMYFUNCTION("""COMPUTED_VALUE"""),"Enhanced Autopilot")</f>
        <v>Enhanced Autopilot</v>
      </c>
      <c r="X154" t="str">
        <f>IFERROR(__xludf.DUMMYFUNCTION("""COMPUTED_VALUE"""),"Excellent")</f>
        <v>Excellent</v>
      </c>
      <c r="Y154" t="str">
        <f>IFERROR(__xludf.DUMMYFUNCTION("""COMPUTED_VALUE"""),"Excellent")</f>
        <v>Excellent</v>
      </c>
      <c r="Z154" t="str">
        <f>IFERROR(__xludf.DUMMYFUNCTION("""COMPUTED_VALUE"""),"Excellent")</f>
        <v>Excellent</v>
      </c>
      <c r="AA154" t="str">
        <f>IFERROR(__xludf.DUMMYFUNCTION("""COMPUTED_VALUE"""),"Poor")</f>
        <v>Poor</v>
      </c>
      <c r="AB154" t="str">
        <f>IFERROR(__xludf.DUMMYFUNCTION("""COMPUTED_VALUE"""),"Excellent")</f>
        <v>Excellent</v>
      </c>
      <c r="AH154" s="189">
        <f>IFERROR(__xludf.DUMMYFUNCTION("""COMPUTED_VALUE"""),43259.70001082176)</f>
        <v>43259.70001</v>
      </c>
    </row>
    <row r="155">
      <c r="A155" t="str">
        <f>IFERROR(__xludf.DUMMYFUNCTION("""COMPUTED_VALUE"""),"quikwit")</f>
        <v>quikwit</v>
      </c>
      <c r="B155" t="str">
        <f>IFERROR(__xludf.DUMMYFUNCTION("""COMPUTED_VALUE"""),"Northern")</f>
        <v>Northern</v>
      </c>
      <c r="C155" t="str">
        <f>IFERROR(__xludf.DUMMYFUNCTION("""COMPUTED_VALUE"""),"VA")</f>
        <v>VA</v>
      </c>
      <c r="D155" t="str">
        <f>IFERROR(__xludf.DUMMYFUNCTION("""COMPUTED_VALUE"""),"USA")</f>
        <v>USA</v>
      </c>
      <c r="E155" s="188">
        <f>IFERROR(__xludf.DUMMYFUNCTION("""COMPUTED_VALUE"""),43197.0)</f>
        <v>43197</v>
      </c>
      <c r="F155" s="188">
        <f>IFERROR(__xludf.DUMMYFUNCTION("""COMPUTED_VALUE"""),43229.0)</f>
        <v>43229</v>
      </c>
      <c r="H155">
        <f>IFERROR(__xludf.DUMMYFUNCTION("""COMPUTED_VALUE"""),21255.0)</f>
        <v>21255</v>
      </c>
      <c r="I155" t="str">
        <f>IFERROR(__xludf.DUMMYFUNCTION("""COMPUTED_VALUE"""),"05/18")</f>
        <v>05/18</v>
      </c>
      <c r="J155" s="5">
        <f>IFERROR(__xludf.DUMMYFUNCTION("""COMPUTED_VALUE"""),43255.0)</f>
        <v>43255</v>
      </c>
      <c r="K155">
        <f>IFERROR(__xludf.DUMMYFUNCTION("""COMPUTED_VALUE"""),32.0)</f>
        <v>32</v>
      </c>
      <c r="L155">
        <f>IFERROR(__xludf.DUMMYFUNCTION("""COMPUTED_VALUE"""),26.0)</f>
        <v>26</v>
      </c>
      <c r="M155">
        <f>IFERROR(__xludf.DUMMYFUNCTION("""COMPUTED_VALUE"""),58.0)</f>
        <v>58</v>
      </c>
      <c r="N155" t="str">
        <f>IFERROR(__xludf.DUMMYFUNCTION("""COMPUTED_VALUE"""),"Model 3 LR")</f>
        <v>Model 3 LR</v>
      </c>
      <c r="O155" t="str">
        <f>IFERROR(__xludf.DUMMYFUNCTION("""COMPUTED_VALUE"""),"Midnight Silver Metallic")</f>
        <v>Midnight Silver Metallic</v>
      </c>
      <c r="P155" t="str">
        <f>IFERROR(__xludf.DUMMYFUNCTION("""COMPUTED_VALUE"""),"18 inch Aero")</f>
        <v>18 inch Aero</v>
      </c>
      <c r="Q155" t="str">
        <f>IFERROR(__xludf.DUMMYFUNCTION("""COMPUTED_VALUE"""),"Black seats")</f>
        <v>Black seats</v>
      </c>
      <c r="R155" t="str">
        <f>IFERROR(__xludf.DUMMYFUNCTION("""COMPUTED_VALUE"""),"Enhanced Autopilot")</f>
        <v>Enhanced Autopilot</v>
      </c>
      <c r="X155" t="str">
        <f>IFERROR(__xludf.DUMMYFUNCTION("""COMPUTED_VALUE"""),"Very Good")</f>
        <v>Very Good</v>
      </c>
      <c r="Y155" t="str">
        <f>IFERROR(__xludf.DUMMYFUNCTION("""COMPUTED_VALUE"""),"Excellent")</f>
        <v>Excellent</v>
      </c>
      <c r="Z155" t="str">
        <f>IFERROR(__xludf.DUMMYFUNCTION("""COMPUTED_VALUE"""),"Excellent")</f>
        <v>Excellent</v>
      </c>
      <c r="AA155" t="str">
        <f>IFERROR(__xludf.DUMMYFUNCTION("""COMPUTED_VALUE"""),"Good")</f>
        <v>Good</v>
      </c>
      <c r="AB155" t="str">
        <f>IFERROR(__xludf.DUMMYFUNCTION("""COMPUTED_VALUE"""),"Very Good")</f>
        <v>Very Good</v>
      </c>
      <c r="AH155" s="189">
        <f>IFERROR(__xludf.DUMMYFUNCTION("""COMPUTED_VALUE"""),43259.759252592594)</f>
        <v>43259.75925</v>
      </c>
    </row>
    <row r="156">
      <c r="A156" t="str">
        <f>IFERROR(__xludf.DUMMYFUNCTION("""COMPUTED_VALUE"""),"SilentAgnostic")</f>
        <v>SilentAgnostic</v>
      </c>
      <c r="B156" t="str">
        <f>IFERROR(__xludf.DUMMYFUNCTION("""COMPUTED_VALUE"""),"Mechanicsburg")</f>
        <v>Mechanicsburg</v>
      </c>
      <c r="C156" t="str">
        <f>IFERROR(__xludf.DUMMYFUNCTION("""COMPUTED_VALUE"""),"PA")</f>
        <v>PA</v>
      </c>
      <c r="D156" t="str">
        <f>IFERROR(__xludf.DUMMYFUNCTION("""COMPUTED_VALUE"""),"USA")</f>
        <v>USA</v>
      </c>
      <c r="E156" s="188">
        <f>IFERROR(__xludf.DUMMYFUNCTION("""COMPUTED_VALUE"""),43203.0)</f>
        <v>43203</v>
      </c>
      <c r="F156" s="188">
        <f>IFERROR(__xludf.DUMMYFUNCTION("""COMPUTED_VALUE"""),43234.0)</f>
        <v>43234</v>
      </c>
      <c r="H156">
        <f>IFERROR(__xludf.DUMMYFUNCTION("""COMPUTED_VALUE"""),26055.0)</f>
        <v>26055</v>
      </c>
      <c r="J156" s="5">
        <f>IFERROR(__xludf.DUMMYFUNCTION("""COMPUTED_VALUE"""),43258.0)</f>
        <v>43258</v>
      </c>
      <c r="K156">
        <f>IFERROR(__xludf.DUMMYFUNCTION("""COMPUTED_VALUE"""),31.0)</f>
        <v>31</v>
      </c>
      <c r="L156">
        <f>IFERROR(__xludf.DUMMYFUNCTION("""COMPUTED_VALUE"""),24.0)</f>
        <v>24</v>
      </c>
      <c r="M156">
        <f>IFERROR(__xludf.DUMMYFUNCTION("""COMPUTED_VALUE"""),55.0)</f>
        <v>55</v>
      </c>
      <c r="N156" t="str">
        <f>IFERROR(__xludf.DUMMYFUNCTION("""COMPUTED_VALUE"""),"Model 3 LR")</f>
        <v>Model 3 LR</v>
      </c>
      <c r="O156" t="str">
        <f>IFERROR(__xludf.DUMMYFUNCTION("""COMPUTED_VALUE"""),"Deep Blue Metallic")</f>
        <v>Deep Blue Metallic</v>
      </c>
      <c r="P156" t="str">
        <f>IFERROR(__xludf.DUMMYFUNCTION("""COMPUTED_VALUE"""),"18 inch Aero")</f>
        <v>18 inch Aero</v>
      </c>
      <c r="Q156" t="str">
        <f>IFERROR(__xludf.DUMMYFUNCTION("""COMPUTED_VALUE"""),"Black seats")</f>
        <v>Black seats</v>
      </c>
      <c r="R156" t="str">
        <f>IFERROR(__xludf.DUMMYFUNCTION("""COMPUTED_VALUE"""),"None")</f>
        <v>None</v>
      </c>
      <c r="X156" t="str">
        <f>IFERROR(__xludf.DUMMYFUNCTION("""COMPUTED_VALUE"""),"Very Good")</f>
        <v>Very Good</v>
      </c>
      <c r="Y156" t="str">
        <f>IFERROR(__xludf.DUMMYFUNCTION("""COMPUTED_VALUE"""),"Excellent")</f>
        <v>Excellent</v>
      </c>
      <c r="Z156" t="str">
        <f>IFERROR(__xludf.DUMMYFUNCTION("""COMPUTED_VALUE"""),"Very Good")</f>
        <v>Very Good</v>
      </c>
      <c r="AA156" t="str">
        <f>IFERROR(__xludf.DUMMYFUNCTION("""COMPUTED_VALUE"""),"Fair")</f>
        <v>Fair</v>
      </c>
      <c r="AB156" t="str">
        <f>IFERROR(__xludf.DUMMYFUNCTION("""COMPUTED_VALUE"""),"Good")</f>
        <v>Good</v>
      </c>
      <c r="AH156" s="189">
        <f>IFERROR(__xludf.DUMMYFUNCTION("""COMPUTED_VALUE"""),43259.8479715625)</f>
        <v>43259.84797</v>
      </c>
    </row>
    <row r="157">
      <c r="A157" t="str">
        <f>IFERROR(__xludf.DUMMYFUNCTION("""COMPUTED_VALUE"""),"hastin")</f>
        <v>hastin</v>
      </c>
      <c r="B157" t="str">
        <f>IFERROR(__xludf.DUMMYFUNCTION("""COMPUTED_VALUE"""),"Irvine")</f>
        <v>Irvine</v>
      </c>
      <c r="C157" t="str">
        <f>IFERROR(__xludf.DUMMYFUNCTION("""COMPUTED_VALUE"""),"CA")</f>
        <v>CA</v>
      </c>
      <c r="D157" t="str">
        <f>IFERROR(__xludf.DUMMYFUNCTION("""COMPUTED_VALUE"""),"USA")</f>
        <v>USA</v>
      </c>
      <c r="E157" s="188">
        <f>IFERROR(__xludf.DUMMYFUNCTION("""COMPUTED_VALUE"""),43209.0)</f>
        <v>43209</v>
      </c>
      <c r="F157" s="188">
        <f>IFERROR(__xludf.DUMMYFUNCTION("""COMPUTED_VALUE"""),43243.0)</f>
        <v>43243</v>
      </c>
      <c r="H157">
        <f>IFERROR(__xludf.DUMMYFUNCTION("""COMPUTED_VALUE"""),26155.0)</f>
        <v>26155</v>
      </c>
      <c r="I157" t="str">
        <f>IFERROR(__xludf.DUMMYFUNCTION("""COMPUTED_VALUE"""),"05/18")</f>
        <v>05/18</v>
      </c>
      <c r="J157" s="5">
        <f>IFERROR(__xludf.DUMMYFUNCTION("""COMPUTED_VALUE"""),43257.0)</f>
        <v>43257</v>
      </c>
      <c r="K157">
        <f>IFERROR(__xludf.DUMMYFUNCTION("""COMPUTED_VALUE"""),34.0)</f>
        <v>34</v>
      </c>
      <c r="L157">
        <f>IFERROR(__xludf.DUMMYFUNCTION("""COMPUTED_VALUE"""),14.0)</f>
        <v>14</v>
      </c>
      <c r="M157">
        <f>IFERROR(__xludf.DUMMYFUNCTION("""COMPUTED_VALUE"""),48.0)</f>
        <v>48</v>
      </c>
      <c r="N157" t="str">
        <f>IFERROR(__xludf.DUMMYFUNCTION("""COMPUTED_VALUE"""),"Model 3 LR")</f>
        <v>Model 3 LR</v>
      </c>
      <c r="O157" t="str">
        <f>IFERROR(__xludf.DUMMYFUNCTION("""COMPUTED_VALUE"""),"Deep Blue Metallic")</f>
        <v>Deep Blue Metallic</v>
      </c>
      <c r="P157" t="str">
        <f>IFERROR(__xludf.DUMMYFUNCTION("""COMPUTED_VALUE"""),"20 inch Sport")</f>
        <v>20 inch Sport</v>
      </c>
      <c r="Q157" t="str">
        <f>IFERROR(__xludf.DUMMYFUNCTION("""COMPUTED_VALUE"""),"Black seats")</f>
        <v>Black seats</v>
      </c>
      <c r="R157" t="str">
        <f>IFERROR(__xludf.DUMMYFUNCTION("""COMPUTED_VALUE"""),"Full Self-Driving")</f>
        <v>Full Self-Driving</v>
      </c>
      <c r="X157" t="str">
        <f>IFERROR(__xludf.DUMMYFUNCTION("""COMPUTED_VALUE"""),"Very Good")</f>
        <v>Very Good</v>
      </c>
      <c r="Y157" t="str">
        <f>IFERROR(__xludf.DUMMYFUNCTION("""COMPUTED_VALUE"""),"Excellent")</f>
        <v>Excellent</v>
      </c>
      <c r="Z157" t="str">
        <f>IFERROR(__xludf.DUMMYFUNCTION("""COMPUTED_VALUE"""),"Excellent")</f>
        <v>Excellent</v>
      </c>
      <c r="AA157" t="str">
        <f>IFERROR(__xludf.DUMMYFUNCTION("""COMPUTED_VALUE"""),"Good")</f>
        <v>Good</v>
      </c>
      <c r="AB157" t="str">
        <f>IFERROR(__xludf.DUMMYFUNCTION("""COMPUTED_VALUE"""),"Excellent")</f>
        <v>Excellent</v>
      </c>
      <c r="AH157" s="189">
        <f>IFERROR(__xludf.DUMMYFUNCTION("""COMPUTED_VALUE"""),43259.93317283565)</f>
        <v>43259.93317</v>
      </c>
    </row>
    <row r="158">
      <c r="A158" t="str">
        <f>IFERROR(__xludf.DUMMYFUNCTION("""COMPUTED_VALUE"""),"JeffDude99")</f>
        <v>JeffDude99</v>
      </c>
      <c r="B158" t="str">
        <f>IFERROR(__xludf.DUMMYFUNCTION("""COMPUTED_VALUE"""),"Gaithersburg")</f>
        <v>Gaithersburg</v>
      </c>
      <c r="C158" t="str">
        <f>IFERROR(__xludf.DUMMYFUNCTION("""COMPUTED_VALUE"""),"MD")</f>
        <v>MD</v>
      </c>
      <c r="D158" t="str">
        <f>IFERROR(__xludf.DUMMYFUNCTION("""COMPUTED_VALUE"""),"USA")</f>
        <v>USA</v>
      </c>
      <c r="E158" s="188">
        <f>IFERROR(__xludf.DUMMYFUNCTION("""COMPUTED_VALUE"""),43203.0)</f>
        <v>43203</v>
      </c>
      <c r="F158" s="188">
        <f>IFERROR(__xludf.DUMMYFUNCTION("""COMPUTED_VALUE"""),43234.0)</f>
        <v>43234</v>
      </c>
      <c r="H158">
        <f>IFERROR(__xludf.DUMMYFUNCTION("""COMPUTED_VALUE"""),21255.0)</f>
        <v>21255</v>
      </c>
      <c r="J158" s="5">
        <f>IFERROR(__xludf.DUMMYFUNCTION("""COMPUTED_VALUE"""),43257.0)</f>
        <v>43257</v>
      </c>
      <c r="K158">
        <f>IFERROR(__xludf.DUMMYFUNCTION("""COMPUTED_VALUE"""),31.0)</f>
        <v>31</v>
      </c>
      <c r="L158">
        <f>IFERROR(__xludf.DUMMYFUNCTION("""COMPUTED_VALUE"""),23.0)</f>
        <v>23</v>
      </c>
      <c r="M158">
        <f>IFERROR(__xludf.DUMMYFUNCTION("""COMPUTED_VALUE"""),54.0)</f>
        <v>54</v>
      </c>
      <c r="N158" t="str">
        <f>IFERROR(__xludf.DUMMYFUNCTION("""COMPUTED_VALUE"""),"Model 3 LR")</f>
        <v>Model 3 LR</v>
      </c>
      <c r="O158" t="str">
        <f>IFERROR(__xludf.DUMMYFUNCTION("""COMPUTED_VALUE"""),"Midnight Silver Metallic")</f>
        <v>Midnight Silver Metallic</v>
      </c>
      <c r="P158" t="str">
        <f>IFERROR(__xludf.DUMMYFUNCTION("""COMPUTED_VALUE"""),"18 inch Aero")</f>
        <v>18 inch Aero</v>
      </c>
      <c r="Q158" t="str">
        <f>IFERROR(__xludf.DUMMYFUNCTION("""COMPUTED_VALUE"""),"Black seats")</f>
        <v>Black seats</v>
      </c>
      <c r="R158" t="str">
        <f>IFERROR(__xludf.DUMMYFUNCTION("""COMPUTED_VALUE"""),"Enhanced Autopilot")</f>
        <v>Enhanced Autopilot</v>
      </c>
      <c r="X158" t="str">
        <f>IFERROR(__xludf.DUMMYFUNCTION("""COMPUTED_VALUE"""),"Very Good")</f>
        <v>Very Good</v>
      </c>
      <c r="Y158" t="str">
        <f>IFERROR(__xludf.DUMMYFUNCTION("""COMPUTED_VALUE"""),"Excellent")</f>
        <v>Excellent</v>
      </c>
      <c r="Z158" t="str">
        <f>IFERROR(__xludf.DUMMYFUNCTION("""COMPUTED_VALUE"""),"Excellent")</f>
        <v>Excellent</v>
      </c>
      <c r="AA158" t="str">
        <f>IFERROR(__xludf.DUMMYFUNCTION("""COMPUTED_VALUE"""),"Good")</f>
        <v>Good</v>
      </c>
      <c r="AB158" t="str">
        <f>IFERROR(__xludf.DUMMYFUNCTION("""COMPUTED_VALUE"""),"Very Good")</f>
        <v>Very Good</v>
      </c>
      <c r="AH158" s="189">
        <f>IFERROR(__xludf.DUMMYFUNCTION("""COMPUTED_VALUE"""),43260.140577743055)</f>
        <v>43260.14058</v>
      </c>
    </row>
    <row r="159">
      <c r="A159" t="str">
        <f>IFERROR(__xludf.DUMMYFUNCTION("""COMPUTED_VALUE"""),"waterloo42")</f>
        <v>waterloo42</v>
      </c>
      <c r="B159" t="str">
        <f>IFERROR(__xludf.DUMMYFUNCTION("""COMPUTED_VALUE"""),"Waterloo")</f>
        <v>Waterloo</v>
      </c>
      <c r="C159" t="str">
        <f>IFERROR(__xludf.DUMMYFUNCTION("""COMPUTED_VALUE"""),"ON")</f>
        <v>ON</v>
      </c>
      <c r="D159" t="str">
        <f>IFERROR(__xludf.DUMMYFUNCTION("""COMPUTED_VALUE"""),"Canada")</f>
        <v>Canada</v>
      </c>
      <c r="E159" s="188">
        <f>IFERROR(__xludf.DUMMYFUNCTION("""COMPUTED_VALUE"""),43211.0)</f>
        <v>43211</v>
      </c>
      <c r="F159" s="188">
        <f>IFERROR(__xludf.DUMMYFUNCTION("""COMPUTED_VALUE"""),43236.0)</f>
        <v>43236</v>
      </c>
      <c r="H159">
        <f>IFERROR(__xludf.DUMMYFUNCTION("""COMPUTED_VALUE"""),29921.0)</f>
        <v>29921</v>
      </c>
      <c r="J159" s="5">
        <f>IFERROR(__xludf.DUMMYFUNCTION("""COMPUTED_VALUE"""),43259.0)</f>
        <v>43259</v>
      </c>
      <c r="K159">
        <f>IFERROR(__xludf.DUMMYFUNCTION("""COMPUTED_VALUE"""),25.0)</f>
        <v>25</v>
      </c>
      <c r="L159">
        <f>IFERROR(__xludf.DUMMYFUNCTION("""COMPUTED_VALUE"""),23.0)</f>
        <v>23</v>
      </c>
      <c r="M159">
        <f>IFERROR(__xludf.DUMMYFUNCTION("""COMPUTED_VALUE"""),48.0)</f>
        <v>48</v>
      </c>
      <c r="N159" t="str">
        <f>IFERROR(__xludf.DUMMYFUNCTION("""COMPUTED_VALUE"""),"Model 3 LR")</f>
        <v>Model 3 LR</v>
      </c>
      <c r="O159" t="str">
        <f>IFERROR(__xludf.DUMMYFUNCTION("""COMPUTED_VALUE"""),"Silver Metallic")</f>
        <v>Silver Metallic</v>
      </c>
      <c r="P159" t="str">
        <f>IFERROR(__xludf.DUMMYFUNCTION("""COMPUTED_VALUE"""),"19 inch Sport")</f>
        <v>19 inch Sport</v>
      </c>
      <c r="Q159" t="str">
        <f>IFERROR(__xludf.DUMMYFUNCTION("""COMPUTED_VALUE"""),"Black seats")</f>
        <v>Black seats</v>
      </c>
      <c r="R159" t="str">
        <f>IFERROR(__xludf.DUMMYFUNCTION("""COMPUTED_VALUE"""),"Enhanced Autopilot")</f>
        <v>Enhanced Autopilot</v>
      </c>
      <c r="X159" t="str">
        <f>IFERROR(__xludf.DUMMYFUNCTION("""COMPUTED_VALUE"""),"Very Good")</f>
        <v>Very Good</v>
      </c>
      <c r="Y159" t="str">
        <f>IFERROR(__xludf.DUMMYFUNCTION("""COMPUTED_VALUE"""),"Excellent")</f>
        <v>Excellent</v>
      </c>
      <c r="Z159" t="str">
        <f>IFERROR(__xludf.DUMMYFUNCTION("""COMPUTED_VALUE"""),"Excellent")</f>
        <v>Excellent</v>
      </c>
      <c r="AA159" t="str">
        <f>IFERROR(__xludf.DUMMYFUNCTION("""COMPUTED_VALUE"""),"Good")</f>
        <v>Good</v>
      </c>
      <c r="AB159" t="str">
        <f>IFERROR(__xludf.DUMMYFUNCTION("""COMPUTED_VALUE"""),"Excellent")</f>
        <v>Excellent</v>
      </c>
      <c r="AH159" s="189">
        <f>IFERROR(__xludf.DUMMYFUNCTION("""COMPUTED_VALUE"""),43260.17259396991)</f>
        <v>43260.17259</v>
      </c>
    </row>
    <row r="160">
      <c r="A160" t="str">
        <f>IFERROR(__xludf.DUMMYFUNCTION("""COMPUTED_VALUE"""),"LTTECH")</f>
        <v>LTTECH</v>
      </c>
      <c r="B160" t="str">
        <f>IFERROR(__xludf.DUMMYFUNCTION("""COMPUTED_VALUE"""),"Westwood")</f>
        <v>Westwood</v>
      </c>
      <c r="C160" t="str">
        <f>IFERROR(__xludf.DUMMYFUNCTION("""COMPUTED_VALUE"""),"MA")</f>
        <v>MA</v>
      </c>
      <c r="D160" t="str">
        <f>IFERROR(__xludf.DUMMYFUNCTION("""COMPUTED_VALUE"""),"USA")</f>
        <v>USA</v>
      </c>
      <c r="E160" s="188">
        <f>IFERROR(__xludf.DUMMYFUNCTION("""COMPUTED_VALUE"""),43204.0)</f>
        <v>43204</v>
      </c>
      <c r="F160" s="188">
        <f>IFERROR(__xludf.DUMMYFUNCTION("""COMPUTED_VALUE"""),43234.0)</f>
        <v>43234</v>
      </c>
      <c r="H160">
        <f>IFERROR(__xludf.DUMMYFUNCTION("""COMPUTED_VALUE"""),25955.0)</f>
        <v>25955</v>
      </c>
      <c r="J160" s="5">
        <f>IFERROR(__xludf.DUMMYFUNCTION("""COMPUTED_VALUE"""),43257.0)</f>
        <v>43257</v>
      </c>
      <c r="K160">
        <f>IFERROR(__xludf.DUMMYFUNCTION("""COMPUTED_VALUE"""),30.0)</f>
        <v>30</v>
      </c>
      <c r="L160">
        <f>IFERROR(__xludf.DUMMYFUNCTION("""COMPUTED_VALUE"""),23.0)</f>
        <v>23</v>
      </c>
      <c r="M160">
        <f>IFERROR(__xludf.DUMMYFUNCTION("""COMPUTED_VALUE"""),53.0)</f>
        <v>53</v>
      </c>
      <c r="N160" t="str">
        <f>IFERROR(__xludf.DUMMYFUNCTION("""COMPUTED_VALUE"""),"Model 3 LR")</f>
        <v>Model 3 LR</v>
      </c>
      <c r="O160" t="str">
        <f>IFERROR(__xludf.DUMMYFUNCTION("""COMPUTED_VALUE"""),"Red Multi-Coat")</f>
        <v>Red Multi-Coat</v>
      </c>
      <c r="P160" t="str">
        <f>IFERROR(__xludf.DUMMYFUNCTION("""COMPUTED_VALUE"""),"18 inch Aero")</f>
        <v>18 inch Aero</v>
      </c>
      <c r="Q160" t="str">
        <f>IFERROR(__xludf.DUMMYFUNCTION("""COMPUTED_VALUE"""),"Black seats")</f>
        <v>Black seats</v>
      </c>
      <c r="R160" t="str">
        <f>IFERROR(__xludf.DUMMYFUNCTION("""COMPUTED_VALUE"""),"None")</f>
        <v>None</v>
      </c>
      <c r="X160" t="str">
        <f>IFERROR(__xludf.DUMMYFUNCTION("""COMPUTED_VALUE"""),"Very Good")</f>
        <v>Very Good</v>
      </c>
      <c r="Y160" t="str">
        <f>IFERROR(__xludf.DUMMYFUNCTION("""COMPUTED_VALUE"""),"Very Good")</f>
        <v>Very Good</v>
      </c>
      <c r="Z160" t="str">
        <f>IFERROR(__xludf.DUMMYFUNCTION("""COMPUTED_VALUE"""),"Excellent")</f>
        <v>Excellent</v>
      </c>
      <c r="AA160" t="str">
        <f>IFERROR(__xludf.DUMMYFUNCTION("""COMPUTED_VALUE"""),"Fair")</f>
        <v>Fair</v>
      </c>
      <c r="AB160" t="str">
        <f>IFERROR(__xludf.DUMMYFUNCTION("""COMPUTED_VALUE"""),"Good")</f>
        <v>Good</v>
      </c>
      <c r="AH160" s="189">
        <f>IFERROR(__xludf.DUMMYFUNCTION("""COMPUTED_VALUE"""),43260.781463657404)</f>
        <v>43260.78146</v>
      </c>
    </row>
    <row r="161">
      <c r="A161" t="str">
        <f>IFERROR(__xludf.DUMMYFUNCTION("""COMPUTED_VALUE"""),"Mercury Man")</f>
        <v>Mercury Man</v>
      </c>
      <c r="B161" t="str">
        <f>IFERROR(__xludf.DUMMYFUNCTION("""COMPUTED_VALUE"""),"Brookings")</f>
        <v>Brookings</v>
      </c>
      <c r="C161" t="str">
        <f>IFERROR(__xludf.DUMMYFUNCTION("""COMPUTED_VALUE"""),"OR")</f>
        <v>OR</v>
      </c>
      <c r="D161" t="str">
        <f>IFERROR(__xludf.DUMMYFUNCTION("""COMPUTED_VALUE"""),"USA")</f>
        <v>USA</v>
      </c>
      <c r="E161" s="188">
        <f>IFERROR(__xludf.DUMMYFUNCTION("""COMPUTED_VALUE"""),43208.0)</f>
        <v>43208</v>
      </c>
      <c r="F161" s="188">
        <f>IFERROR(__xludf.DUMMYFUNCTION("""COMPUTED_VALUE"""),43252.0)</f>
        <v>43252</v>
      </c>
      <c r="H161">
        <f>IFERROR(__xludf.DUMMYFUNCTION("""COMPUTED_VALUE"""),24655.0)</f>
        <v>24655</v>
      </c>
      <c r="I161" t="str">
        <f>IFERROR(__xludf.DUMMYFUNCTION("""COMPUTED_VALUE"""),"05/18")</f>
        <v>05/18</v>
      </c>
      <c r="J161" s="5">
        <f>IFERROR(__xludf.DUMMYFUNCTION("""COMPUTED_VALUE"""),43259.0)</f>
        <v>43259</v>
      </c>
      <c r="K161">
        <f>IFERROR(__xludf.DUMMYFUNCTION("""COMPUTED_VALUE"""),44.0)</f>
        <v>44</v>
      </c>
      <c r="L161">
        <f>IFERROR(__xludf.DUMMYFUNCTION("""COMPUTED_VALUE"""),7.0)</f>
        <v>7</v>
      </c>
      <c r="M161">
        <f>IFERROR(__xludf.DUMMYFUNCTION("""COMPUTED_VALUE"""),51.0)</f>
        <v>51</v>
      </c>
      <c r="N161" t="str">
        <f>IFERROR(__xludf.DUMMYFUNCTION("""COMPUTED_VALUE"""),"Model 3 LR")</f>
        <v>Model 3 LR</v>
      </c>
      <c r="O161" t="str">
        <f>IFERROR(__xludf.DUMMYFUNCTION("""COMPUTED_VALUE"""),"Red Multi-Coat")</f>
        <v>Red Multi-Coat</v>
      </c>
      <c r="P161" t="str">
        <f>IFERROR(__xludf.DUMMYFUNCTION("""COMPUTED_VALUE"""),"19 inch Sport")</f>
        <v>19 inch Sport</v>
      </c>
      <c r="Q161" t="str">
        <f>IFERROR(__xludf.DUMMYFUNCTION("""COMPUTED_VALUE"""),"Black seats")</f>
        <v>Black seats</v>
      </c>
      <c r="R161" t="str">
        <f>IFERROR(__xludf.DUMMYFUNCTION("""COMPUTED_VALUE"""),"Enhanced Autopilot")</f>
        <v>Enhanced Autopilot</v>
      </c>
      <c r="X161" t="str">
        <f>IFERROR(__xludf.DUMMYFUNCTION("""COMPUTED_VALUE"""),"Excellent")</f>
        <v>Excellent</v>
      </c>
      <c r="Y161" t="str">
        <f>IFERROR(__xludf.DUMMYFUNCTION("""COMPUTED_VALUE"""),"Excellent")</f>
        <v>Excellent</v>
      </c>
      <c r="Z161" t="str">
        <f>IFERROR(__xludf.DUMMYFUNCTION("""COMPUTED_VALUE"""),"Excellent")</f>
        <v>Excellent</v>
      </c>
      <c r="AA161" t="str">
        <f>IFERROR(__xludf.DUMMYFUNCTION("""COMPUTED_VALUE"""),"Good")</f>
        <v>Good</v>
      </c>
      <c r="AB161" t="str">
        <f>IFERROR(__xludf.DUMMYFUNCTION("""COMPUTED_VALUE"""),"Excellent")</f>
        <v>Excellent</v>
      </c>
      <c r="AH161" s="189">
        <f>IFERROR(__xludf.DUMMYFUNCTION("""COMPUTED_VALUE"""),43260.955264675926)</f>
        <v>43260.95526</v>
      </c>
    </row>
    <row r="162">
      <c r="A162" t="str">
        <f>IFERROR(__xludf.DUMMYFUNCTION("""COMPUTED_VALUE"""),"naplesmachelp")</f>
        <v>naplesmachelp</v>
      </c>
      <c r="B162" t="str">
        <f>IFERROR(__xludf.DUMMYFUNCTION("""COMPUTED_VALUE"""),"Naples ")</f>
        <v>Naples </v>
      </c>
      <c r="C162" t="str">
        <f>IFERROR(__xludf.DUMMYFUNCTION("""COMPUTED_VALUE"""),"FL")</f>
        <v>FL</v>
      </c>
      <c r="D162" t="str">
        <f>IFERROR(__xludf.DUMMYFUNCTION("""COMPUTED_VALUE"""),"USA")</f>
        <v>USA</v>
      </c>
      <c r="E162" s="188">
        <f>IFERROR(__xludf.DUMMYFUNCTION("""COMPUTED_VALUE"""),43196.0)</f>
        <v>43196</v>
      </c>
      <c r="F162" s="188">
        <f>IFERROR(__xludf.DUMMYFUNCTION("""COMPUTED_VALUE"""),43228.0)</f>
        <v>43228</v>
      </c>
      <c r="H162">
        <f>IFERROR(__xludf.DUMMYFUNCTION("""COMPUTED_VALUE"""),18965.0)</f>
        <v>18965</v>
      </c>
      <c r="J162" s="5">
        <f>IFERROR(__xludf.DUMMYFUNCTION("""COMPUTED_VALUE"""),43257.0)</f>
        <v>43257</v>
      </c>
      <c r="K162">
        <f>IFERROR(__xludf.DUMMYFUNCTION("""COMPUTED_VALUE"""),32.0)</f>
        <v>32</v>
      </c>
      <c r="L162">
        <f>IFERROR(__xludf.DUMMYFUNCTION("""COMPUTED_VALUE"""),29.0)</f>
        <v>29</v>
      </c>
      <c r="M162">
        <f>IFERROR(__xludf.DUMMYFUNCTION("""COMPUTED_VALUE"""),61.0)</f>
        <v>61</v>
      </c>
      <c r="N162" t="str">
        <f>IFERROR(__xludf.DUMMYFUNCTION("""COMPUTED_VALUE"""),"Model 3 LR")</f>
        <v>Model 3 LR</v>
      </c>
      <c r="O162" t="str">
        <f>IFERROR(__xludf.DUMMYFUNCTION("""COMPUTED_VALUE"""),"Midnight Silver Metallic")</f>
        <v>Midnight Silver Metallic</v>
      </c>
      <c r="P162" t="str">
        <f>IFERROR(__xludf.DUMMYFUNCTION("""COMPUTED_VALUE"""),"18 inch Aero")</f>
        <v>18 inch Aero</v>
      </c>
      <c r="Q162" t="str">
        <f>IFERROR(__xludf.DUMMYFUNCTION("""COMPUTED_VALUE"""),"Black seats")</f>
        <v>Black seats</v>
      </c>
      <c r="R162" t="str">
        <f>IFERROR(__xludf.DUMMYFUNCTION("""COMPUTED_VALUE"""),"Enhanced Autopilot")</f>
        <v>Enhanced Autopilot</v>
      </c>
      <c r="X162" t="str">
        <f>IFERROR(__xludf.DUMMYFUNCTION("""COMPUTED_VALUE"""),"Excellent")</f>
        <v>Excellent</v>
      </c>
      <c r="Y162" t="str">
        <f>IFERROR(__xludf.DUMMYFUNCTION("""COMPUTED_VALUE"""),"Excellent")</f>
        <v>Excellent</v>
      </c>
      <c r="Z162" t="str">
        <f>IFERROR(__xludf.DUMMYFUNCTION("""COMPUTED_VALUE"""),"Excellent")</f>
        <v>Excellent</v>
      </c>
      <c r="AA162" t="str">
        <f>IFERROR(__xludf.DUMMYFUNCTION("""COMPUTED_VALUE"""),"Excellent")</f>
        <v>Excellent</v>
      </c>
      <c r="AB162" t="str">
        <f>IFERROR(__xludf.DUMMYFUNCTION("""COMPUTED_VALUE"""),"Excellent")</f>
        <v>Excellent</v>
      </c>
      <c r="AH162" s="189">
        <f>IFERROR(__xludf.DUMMYFUNCTION("""COMPUTED_VALUE"""),43261.342243356485)</f>
        <v>43261.34224</v>
      </c>
    </row>
    <row r="163">
      <c r="A163" t="str">
        <f>IFERROR(__xludf.DUMMYFUNCTION("""COMPUTED_VALUE"""),"PeterM")</f>
        <v>PeterM</v>
      </c>
      <c r="B163" t="str">
        <f>IFERROR(__xludf.DUMMYFUNCTION("""COMPUTED_VALUE"""),"Chilliwack")</f>
        <v>Chilliwack</v>
      </c>
      <c r="C163" t="str">
        <f>IFERROR(__xludf.DUMMYFUNCTION("""COMPUTED_VALUE"""),"BC")</f>
        <v>BC</v>
      </c>
      <c r="D163" t="str">
        <f>IFERROR(__xludf.DUMMYFUNCTION("""COMPUTED_VALUE"""),"Canada")</f>
        <v>Canada</v>
      </c>
      <c r="E163" s="188">
        <f>IFERROR(__xludf.DUMMYFUNCTION("""COMPUTED_VALUE"""),43220.0)</f>
        <v>43220</v>
      </c>
      <c r="F163" s="188">
        <f>IFERROR(__xludf.DUMMYFUNCTION("""COMPUTED_VALUE"""),43257.0)</f>
        <v>43257</v>
      </c>
      <c r="H163">
        <f>IFERROR(__xludf.DUMMYFUNCTION("""COMPUTED_VALUE"""),29485.0)</f>
        <v>29485</v>
      </c>
      <c r="J163" s="5">
        <f>IFERROR(__xludf.DUMMYFUNCTION("""COMPUTED_VALUE"""),43259.0)</f>
        <v>43259</v>
      </c>
      <c r="K163">
        <f>IFERROR(__xludf.DUMMYFUNCTION("""COMPUTED_VALUE"""),37.0)</f>
        <v>37</v>
      </c>
      <c r="L163">
        <f>IFERROR(__xludf.DUMMYFUNCTION("""COMPUTED_VALUE"""),2.0)</f>
        <v>2</v>
      </c>
      <c r="M163">
        <f>IFERROR(__xludf.DUMMYFUNCTION("""COMPUTED_VALUE"""),39.0)</f>
        <v>39</v>
      </c>
      <c r="N163" t="str">
        <f>IFERROR(__xludf.DUMMYFUNCTION("""COMPUTED_VALUE"""),"Model 3 LR")</f>
        <v>Model 3 LR</v>
      </c>
      <c r="O163" t="str">
        <f>IFERROR(__xludf.DUMMYFUNCTION("""COMPUTED_VALUE"""),"Red Multi-Coat")</f>
        <v>Red Multi-Coat</v>
      </c>
      <c r="P163" t="str">
        <f>IFERROR(__xludf.DUMMYFUNCTION("""COMPUTED_VALUE"""),"18 inch Aero")</f>
        <v>18 inch Aero</v>
      </c>
      <c r="Q163" t="str">
        <f>IFERROR(__xludf.DUMMYFUNCTION("""COMPUTED_VALUE"""),"Black seats")</f>
        <v>Black seats</v>
      </c>
      <c r="R163" t="str">
        <f>IFERROR(__xludf.DUMMYFUNCTION("""COMPUTED_VALUE"""),"None")</f>
        <v>None</v>
      </c>
      <c r="X163" t="str">
        <f>IFERROR(__xludf.DUMMYFUNCTION("""COMPUTED_VALUE"""),"Excellent")</f>
        <v>Excellent</v>
      </c>
      <c r="Y163" t="str">
        <f>IFERROR(__xludf.DUMMYFUNCTION("""COMPUTED_VALUE"""),"Excellent")</f>
        <v>Excellent</v>
      </c>
      <c r="Z163" t="str">
        <f>IFERROR(__xludf.DUMMYFUNCTION("""COMPUTED_VALUE"""),"Excellent")</f>
        <v>Excellent</v>
      </c>
      <c r="AA163" t="str">
        <f>IFERROR(__xludf.DUMMYFUNCTION("""COMPUTED_VALUE"""),"Fair")</f>
        <v>Fair</v>
      </c>
      <c r="AB163" t="str">
        <f>IFERROR(__xludf.DUMMYFUNCTION("""COMPUTED_VALUE"""),"Good")</f>
        <v>Good</v>
      </c>
      <c r="AH163" s="189">
        <f>IFERROR(__xludf.DUMMYFUNCTION("""COMPUTED_VALUE"""),43261.786304305555)</f>
        <v>43261.7863</v>
      </c>
    </row>
    <row r="164">
      <c r="A164" t="str">
        <f>IFERROR(__xludf.DUMMYFUNCTION("""COMPUTED_VALUE"""),"1piloth20")</f>
        <v>1piloth20</v>
      </c>
      <c r="B164" t="str">
        <f>IFERROR(__xludf.DUMMYFUNCTION("""COMPUTED_VALUE"""),"Newmarket ")</f>
        <v>Newmarket </v>
      </c>
      <c r="C164" t="str">
        <f>IFERROR(__xludf.DUMMYFUNCTION("""COMPUTED_VALUE"""),"ON")</f>
        <v>ON</v>
      </c>
      <c r="D164" t="str">
        <f>IFERROR(__xludf.DUMMYFUNCTION("""COMPUTED_VALUE"""),"Canada")</f>
        <v>Canada</v>
      </c>
      <c r="E164" s="188">
        <f>IFERROR(__xludf.DUMMYFUNCTION("""COMPUTED_VALUE"""),43186.0)</f>
        <v>43186</v>
      </c>
      <c r="F164" s="188">
        <f>IFERROR(__xludf.DUMMYFUNCTION("""COMPUTED_VALUE"""),43223.0)</f>
        <v>43223</v>
      </c>
      <c r="H164">
        <f>IFERROR(__xludf.DUMMYFUNCTION("""COMPUTED_VALUE"""),28763.0)</f>
        <v>28763</v>
      </c>
      <c r="I164" t="str">
        <f>IFERROR(__xludf.DUMMYFUNCTION("""COMPUTED_VALUE"""),"05/18")</f>
        <v>05/18</v>
      </c>
      <c r="J164" s="5">
        <f>IFERROR(__xludf.DUMMYFUNCTION("""COMPUTED_VALUE"""),43251.0)</f>
        <v>43251</v>
      </c>
      <c r="K164">
        <f>IFERROR(__xludf.DUMMYFUNCTION("""COMPUTED_VALUE"""),37.0)</f>
        <v>37</v>
      </c>
      <c r="L164">
        <f>IFERROR(__xludf.DUMMYFUNCTION("""COMPUTED_VALUE"""),28.0)</f>
        <v>28</v>
      </c>
      <c r="M164">
        <f>IFERROR(__xludf.DUMMYFUNCTION("""COMPUTED_VALUE"""),65.0)</f>
        <v>65</v>
      </c>
      <c r="N164" t="str">
        <f>IFERROR(__xludf.DUMMYFUNCTION("""COMPUTED_VALUE"""),"Model 3 LR")</f>
        <v>Model 3 LR</v>
      </c>
      <c r="O164" t="str">
        <f>IFERROR(__xludf.DUMMYFUNCTION("""COMPUTED_VALUE"""),"Midnight Silver Metallic")</f>
        <v>Midnight Silver Metallic</v>
      </c>
      <c r="P164" t="str">
        <f>IFERROR(__xludf.DUMMYFUNCTION("""COMPUTED_VALUE"""),"18 inch Aero")</f>
        <v>18 inch Aero</v>
      </c>
      <c r="Q164" t="str">
        <f>IFERROR(__xludf.DUMMYFUNCTION("""COMPUTED_VALUE"""),"Black seats")</f>
        <v>Black seats</v>
      </c>
      <c r="R164" t="str">
        <f>IFERROR(__xludf.DUMMYFUNCTION("""COMPUTED_VALUE"""),"None")</f>
        <v>None</v>
      </c>
      <c r="X164" t="str">
        <f>IFERROR(__xludf.DUMMYFUNCTION("""COMPUTED_VALUE"""),"Very Good")</f>
        <v>Very Good</v>
      </c>
      <c r="Y164" t="str">
        <f>IFERROR(__xludf.DUMMYFUNCTION("""COMPUTED_VALUE"""),"Excellent")</f>
        <v>Excellent</v>
      </c>
      <c r="Z164" t="str">
        <f>IFERROR(__xludf.DUMMYFUNCTION("""COMPUTED_VALUE"""),"Excellent")</f>
        <v>Excellent</v>
      </c>
      <c r="AA164" t="str">
        <f>IFERROR(__xludf.DUMMYFUNCTION("""COMPUTED_VALUE"""),"Very Good")</f>
        <v>Very Good</v>
      </c>
      <c r="AB164" t="str">
        <f>IFERROR(__xludf.DUMMYFUNCTION("""COMPUTED_VALUE"""),"Fair")</f>
        <v>Fair</v>
      </c>
      <c r="AH164" s="189">
        <f>IFERROR(__xludf.DUMMYFUNCTION("""COMPUTED_VALUE"""),43261.86893798611)</f>
        <v>43261.86894</v>
      </c>
    </row>
    <row r="165">
      <c r="A165" t="str">
        <f>IFERROR(__xludf.DUMMYFUNCTION("""COMPUTED_VALUE"""),"simonm")</f>
        <v>simonm</v>
      </c>
      <c r="B165" t="str">
        <f>IFERROR(__xludf.DUMMYFUNCTION("""COMPUTED_VALUE"""),"Toronto")</f>
        <v>Toronto</v>
      </c>
      <c r="C165" t="str">
        <f>IFERROR(__xludf.DUMMYFUNCTION("""COMPUTED_VALUE"""),"ON")</f>
        <v>ON</v>
      </c>
      <c r="D165" t="str">
        <f>IFERROR(__xludf.DUMMYFUNCTION("""COMPUTED_VALUE"""),"Canada")</f>
        <v>Canada</v>
      </c>
      <c r="E165" s="188">
        <f>IFERROR(__xludf.DUMMYFUNCTION("""COMPUTED_VALUE"""),43217.0)</f>
        <v>43217</v>
      </c>
      <c r="F165" s="188">
        <f>IFERROR(__xludf.DUMMYFUNCTION("""COMPUTED_VALUE"""),43235.0)</f>
        <v>43235</v>
      </c>
      <c r="H165">
        <f>IFERROR(__xludf.DUMMYFUNCTION("""COMPUTED_VALUE"""),30115.0)</f>
        <v>30115</v>
      </c>
      <c r="J165" s="5">
        <f>IFERROR(__xludf.DUMMYFUNCTION("""COMPUTED_VALUE"""),43260.0)</f>
        <v>43260</v>
      </c>
      <c r="K165">
        <f>IFERROR(__xludf.DUMMYFUNCTION("""COMPUTED_VALUE"""),18.0)</f>
        <v>18</v>
      </c>
      <c r="L165">
        <f>IFERROR(__xludf.DUMMYFUNCTION("""COMPUTED_VALUE"""),25.0)</f>
        <v>25</v>
      </c>
      <c r="M165">
        <f>IFERROR(__xludf.DUMMYFUNCTION("""COMPUTED_VALUE"""),43.0)</f>
        <v>43</v>
      </c>
      <c r="N165" t="str">
        <f>IFERROR(__xludf.DUMMYFUNCTION("""COMPUTED_VALUE"""),"Model 3 LR")</f>
        <v>Model 3 LR</v>
      </c>
      <c r="O165" t="str">
        <f>IFERROR(__xludf.DUMMYFUNCTION("""COMPUTED_VALUE"""),"Deep Blue Metallic")</f>
        <v>Deep Blue Metallic</v>
      </c>
      <c r="P165" t="str">
        <f>IFERROR(__xludf.DUMMYFUNCTION("""COMPUTED_VALUE"""),"19 inch Sport")</f>
        <v>19 inch Sport</v>
      </c>
      <c r="Q165" t="str">
        <f>IFERROR(__xludf.DUMMYFUNCTION("""COMPUTED_VALUE"""),"Black seats")</f>
        <v>Black seats</v>
      </c>
      <c r="R165" t="str">
        <f>IFERROR(__xludf.DUMMYFUNCTION("""COMPUTED_VALUE"""),"Enhanced Autopilot")</f>
        <v>Enhanced Autopilot</v>
      </c>
      <c r="X165" t="str">
        <f>IFERROR(__xludf.DUMMYFUNCTION("""COMPUTED_VALUE"""),"Excellent")</f>
        <v>Excellent</v>
      </c>
      <c r="Y165" t="str">
        <f>IFERROR(__xludf.DUMMYFUNCTION("""COMPUTED_VALUE"""),"Excellent")</f>
        <v>Excellent</v>
      </c>
      <c r="Z165" t="str">
        <f>IFERROR(__xludf.DUMMYFUNCTION("""COMPUTED_VALUE"""),"Very Good")</f>
        <v>Very Good</v>
      </c>
      <c r="AA165" t="str">
        <f>IFERROR(__xludf.DUMMYFUNCTION("""COMPUTED_VALUE"""),"Fair")</f>
        <v>Fair</v>
      </c>
      <c r="AB165" t="str">
        <f>IFERROR(__xludf.DUMMYFUNCTION("""COMPUTED_VALUE"""),"Very Good")</f>
        <v>Very Good</v>
      </c>
      <c r="AH165" s="189">
        <f>IFERROR(__xludf.DUMMYFUNCTION("""COMPUTED_VALUE"""),43262.33861085648)</f>
        <v>43262.33861</v>
      </c>
    </row>
    <row r="166">
      <c r="A166" t="str">
        <f>IFERROR(__xludf.DUMMYFUNCTION("""COMPUTED_VALUE"""),"iamanunaki")</f>
        <v>iamanunaki</v>
      </c>
      <c r="B166" t="str">
        <f>IFERROR(__xludf.DUMMYFUNCTION("""COMPUTED_VALUE"""),"Toronto")</f>
        <v>Toronto</v>
      </c>
      <c r="C166" t="str">
        <f>IFERROR(__xludf.DUMMYFUNCTION("""COMPUTED_VALUE"""),"ON")</f>
        <v>ON</v>
      </c>
      <c r="D166" t="str">
        <f>IFERROR(__xludf.DUMMYFUNCTION("""COMPUTED_VALUE"""),"Canada")</f>
        <v>Canada</v>
      </c>
      <c r="E166" s="188">
        <f>IFERROR(__xludf.DUMMYFUNCTION("""COMPUTED_VALUE"""),43230.0)</f>
        <v>43230</v>
      </c>
      <c r="F166" s="188">
        <f>IFERROR(__xludf.DUMMYFUNCTION("""COMPUTED_VALUE"""),43235.0)</f>
        <v>43235</v>
      </c>
      <c r="H166">
        <f>IFERROR(__xludf.DUMMYFUNCTION("""COMPUTED_VALUE"""),28355.0)</f>
        <v>28355</v>
      </c>
      <c r="J166" s="5">
        <f>IFERROR(__xludf.DUMMYFUNCTION("""COMPUTED_VALUE"""),43260.0)</f>
        <v>43260</v>
      </c>
      <c r="K166">
        <f>IFERROR(__xludf.DUMMYFUNCTION("""COMPUTED_VALUE"""),5.0)</f>
        <v>5</v>
      </c>
      <c r="L166">
        <f>IFERROR(__xludf.DUMMYFUNCTION("""COMPUTED_VALUE"""),25.0)</f>
        <v>25</v>
      </c>
      <c r="M166">
        <f>IFERROR(__xludf.DUMMYFUNCTION("""COMPUTED_VALUE"""),30.0)</f>
        <v>30</v>
      </c>
      <c r="N166" t="str">
        <f>IFERROR(__xludf.DUMMYFUNCTION("""COMPUTED_VALUE"""),"Model 3 LR")</f>
        <v>Model 3 LR</v>
      </c>
      <c r="O166" t="str">
        <f>IFERROR(__xludf.DUMMYFUNCTION("""COMPUTED_VALUE"""),"Solid Black")</f>
        <v>Solid Black</v>
      </c>
      <c r="P166" t="str">
        <f>IFERROR(__xludf.DUMMYFUNCTION("""COMPUTED_VALUE"""),"18 inch Aero")</f>
        <v>18 inch Aero</v>
      </c>
      <c r="Q166" t="str">
        <f>IFERROR(__xludf.DUMMYFUNCTION("""COMPUTED_VALUE"""),"Black seats")</f>
        <v>Black seats</v>
      </c>
      <c r="R166" t="str">
        <f>IFERROR(__xludf.DUMMYFUNCTION("""COMPUTED_VALUE"""),"None")</f>
        <v>None</v>
      </c>
      <c r="X166" t="str">
        <f>IFERROR(__xludf.DUMMYFUNCTION("""COMPUTED_VALUE"""),"Very Good")</f>
        <v>Very Good</v>
      </c>
      <c r="Y166" t="str">
        <f>IFERROR(__xludf.DUMMYFUNCTION("""COMPUTED_VALUE"""),"Excellent")</f>
        <v>Excellent</v>
      </c>
      <c r="Z166" t="str">
        <f>IFERROR(__xludf.DUMMYFUNCTION("""COMPUTED_VALUE"""),"Very Good")</f>
        <v>Very Good</v>
      </c>
      <c r="AA166" t="str">
        <f>IFERROR(__xludf.DUMMYFUNCTION("""COMPUTED_VALUE"""),"Fair")</f>
        <v>Fair</v>
      </c>
      <c r="AB166" t="str">
        <f>IFERROR(__xludf.DUMMYFUNCTION("""COMPUTED_VALUE"""),"Very Good")</f>
        <v>Very Good</v>
      </c>
      <c r="AH166" s="189">
        <f>IFERROR(__xludf.DUMMYFUNCTION("""COMPUTED_VALUE"""),43262.616890300924)</f>
        <v>43262.61689</v>
      </c>
    </row>
    <row r="167">
      <c r="A167">
        <f>IFERROR(__xludf.DUMMYFUNCTION("""COMPUTED_VALUE"""),4.2156999E7)</f>
        <v>42156999</v>
      </c>
      <c r="B167" t="str">
        <f>IFERROR(__xludf.DUMMYFUNCTION("""COMPUTED_VALUE"""),"Los Angeles")</f>
        <v>Los Angeles</v>
      </c>
      <c r="C167" t="str">
        <f>IFERROR(__xludf.DUMMYFUNCTION("""COMPUTED_VALUE"""),"CA")</f>
        <v>CA</v>
      </c>
      <c r="D167" t="str">
        <f>IFERROR(__xludf.DUMMYFUNCTION("""COMPUTED_VALUE"""),"USA")</f>
        <v>USA</v>
      </c>
      <c r="E167" s="188">
        <f>IFERROR(__xludf.DUMMYFUNCTION("""COMPUTED_VALUE"""),43153.0)</f>
        <v>43153</v>
      </c>
      <c r="H167">
        <f>IFERROR(__xludf.DUMMYFUNCTION("""COMPUTED_VALUE"""),19555.0)</f>
        <v>19555</v>
      </c>
      <c r="I167" t="str">
        <f>IFERROR(__xludf.DUMMYFUNCTION("""COMPUTED_VALUE"""),"05/18")</f>
        <v>05/18</v>
      </c>
      <c r="J167" s="5">
        <f>IFERROR(__xludf.DUMMYFUNCTION("""COMPUTED_VALUE"""),43232.0)</f>
        <v>43232</v>
      </c>
      <c r="M167">
        <f>IFERROR(__xludf.DUMMYFUNCTION("""COMPUTED_VALUE"""),79.0)</f>
        <v>79</v>
      </c>
      <c r="N167" t="str">
        <f>IFERROR(__xludf.DUMMYFUNCTION("""COMPUTED_VALUE"""),"Model 3 LR")</f>
        <v>Model 3 LR</v>
      </c>
      <c r="O167" t="str">
        <f>IFERROR(__xludf.DUMMYFUNCTION("""COMPUTED_VALUE"""),"Pearl White Multi-Coat")</f>
        <v>Pearl White Multi-Coat</v>
      </c>
      <c r="P167" t="str">
        <f>IFERROR(__xludf.DUMMYFUNCTION("""COMPUTED_VALUE"""),"18 inch Aero")</f>
        <v>18 inch Aero</v>
      </c>
      <c r="Q167" t="str">
        <f>IFERROR(__xludf.DUMMYFUNCTION("""COMPUTED_VALUE"""),"Black seats")</f>
        <v>Black seats</v>
      </c>
      <c r="R167" t="str">
        <f>IFERROR(__xludf.DUMMYFUNCTION("""COMPUTED_VALUE"""),"Enhanced Autopilot")</f>
        <v>Enhanced Autopilot</v>
      </c>
      <c r="X167" t="str">
        <f>IFERROR(__xludf.DUMMYFUNCTION("""COMPUTED_VALUE"""),"Fair")</f>
        <v>Fair</v>
      </c>
      <c r="Y167" t="str">
        <f>IFERROR(__xludf.DUMMYFUNCTION("""COMPUTED_VALUE"""),"Fair")</f>
        <v>Fair</v>
      </c>
      <c r="Z167" t="str">
        <f>IFERROR(__xludf.DUMMYFUNCTION("""COMPUTED_VALUE"""),"Good")</f>
        <v>Good</v>
      </c>
      <c r="AA167" t="str">
        <f>IFERROR(__xludf.DUMMYFUNCTION("""COMPUTED_VALUE"""),"Very Good")</f>
        <v>Very Good</v>
      </c>
      <c r="AB167" t="str">
        <f>IFERROR(__xludf.DUMMYFUNCTION("""COMPUTED_VALUE"""),"Very Good")</f>
        <v>Very Good</v>
      </c>
      <c r="AH167" s="189">
        <f>IFERROR(__xludf.DUMMYFUNCTION("""COMPUTED_VALUE"""),43262.673558298615)</f>
        <v>43262.67356</v>
      </c>
    </row>
    <row r="168">
      <c r="A168" t="str">
        <f>IFERROR(__xludf.DUMMYFUNCTION("""COMPUTED_VALUE"""),"khawk17")</f>
        <v>khawk17</v>
      </c>
      <c r="B168" t="str">
        <f>IFERROR(__xludf.DUMMYFUNCTION("""COMPUTED_VALUE"""),"Fayetteville")</f>
        <v>Fayetteville</v>
      </c>
      <c r="C168" t="str">
        <f>IFERROR(__xludf.DUMMYFUNCTION("""COMPUTED_VALUE"""),"GA")</f>
        <v>GA</v>
      </c>
      <c r="D168" t="str">
        <f>IFERROR(__xludf.DUMMYFUNCTION("""COMPUTED_VALUE"""),"USA")</f>
        <v>USA</v>
      </c>
      <c r="E168" s="188">
        <f>IFERROR(__xludf.DUMMYFUNCTION("""COMPUTED_VALUE"""),43186.0)</f>
        <v>43186</v>
      </c>
      <c r="F168" s="188">
        <f>IFERROR(__xludf.DUMMYFUNCTION("""COMPUTED_VALUE"""),43227.0)</f>
        <v>43227</v>
      </c>
      <c r="H168">
        <f>IFERROR(__xludf.DUMMYFUNCTION("""COMPUTED_VALUE"""),18955.0)</f>
        <v>18955</v>
      </c>
      <c r="J168" s="5">
        <f>IFERROR(__xludf.DUMMYFUNCTION("""COMPUTED_VALUE"""),43243.0)</f>
        <v>43243</v>
      </c>
      <c r="K168">
        <f>IFERROR(__xludf.DUMMYFUNCTION("""COMPUTED_VALUE"""),41.0)</f>
        <v>41</v>
      </c>
      <c r="L168">
        <f>IFERROR(__xludf.DUMMYFUNCTION("""COMPUTED_VALUE"""),16.0)</f>
        <v>16</v>
      </c>
      <c r="M168">
        <f>IFERROR(__xludf.DUMMYFUNCTION("""COMPUTED_VALUE"""),57.0)</f>
        <v>57</v>
      </c>
      <c r="N168" t="str">
        <f>IFERROR(__xludf.DUMMYFUNCTION("""COMPUTED_VALUE"""),"Model 3 LR")</f>
        <v>Model 3 LR</v>
      </c>
      <c r="O168" t="str">
        <f>IFERROR(__xludf.DUMMYFUNCTION("""COMPUTED_VALUE"""),"Midnight Silver Metallic")</f>
        <v>Midnight Silver Metallic</v>
      </c>
      <c r="P168" t="str">
        <f>IFERROR(__xludf.DUMMYFUNCTION("""COMPUTED_VALUE"""),"18 inch Aero")</f>
        <v>18 inch Aero</v>
      </c>
      <c r="Q168" t="str">
        <f>IFERROR(__xludf.DUMMYFUNCTION("""COMPUTED_VALUE"""),"Black seats")</f>
        <v>Black seats</v>
      </c>
      <c r="R168" t="str">
        <f>IFERROR(__xludf.DUMMYFUNCTION("""COMPUTED_VALUE"""),"None")</f>
        <v>None</v>
      </c>
      <c r="X168" t="str">
        <f>IFERROR(__xludf.DUMMYFUNCTION("""COMPUTED_VALUE"""),"Excellent")</f>
        <v>Excellent</v>
      </c>
      <c r="Y168" t="str">
        <f>IFERROR(__xludf.DUMMYFUNCTION("""COMPUTED_VALUE"""),"Excellent")</f>
        <v>Excellent</v>
      </c>
      <c r="Z168" t="str">
        <f>IFERROR(__xludf.DUMMYFUNCTION("""COMPUTED_VALUE"""),"Excellent")</f>
        <v>Excellent</v>
      </c>
      <c r="AA168" t="str">
        <f>IFERROR(__xludf.DUMMYFUNCTION("""COMPUTED_VALUE"""),"Very Good")</f>
        <v>Very Good</v>
      </c>
      <c r="AB168" t="str">
        <f>IFERROR(__xludf.DUMMYFUNCTION("""COMPUTED_VALUE"""),"Very Good")</f>
        <v>Very Good</v>
      </c>
      <c r="AG168" t="str">
        <f>IFERROR(__xludf.DUMMYFUNCTION("""COMPUTED_VALUE"""),"Listed information is correct per reservation form")</f>
        <v>Listed information is correct per reservation form</v>
      </c>
      <c r="AH168" s="189">
        <f>IFERROR(__xludf.DUMMYFUNCTION("""COMPUTED_VALUE"""),43262.74748875)</f>
        <v>43262.74749</v>
      </c>
    </row>
    <row r="169">
      <c r="A169" t="str">
        <f>IFERROR(__xludf.DUMMYFUNCTION("""COMPUTED_VALUE"""),"garrettdigital")</f>
        <v>garrettdigital</v>
      </c>
      <c r="B169" t="str">
        <f>IFERROR(__xludf.DUMMYFUNCTION("""COMPUTED_VALUE"""),"Victoria")</f>
        <v>Victoria</v>
      </c>
      <c r="C169" t="str">
        <f>IFERROR(__xludf.DUMMYFUNCTION("""COMPUTED_VALUE"""),"BC")</f>
        <v>BC</v>
      </c>
      <c r="D169" t="str">
        <f>IFERROR(__xludf.DUMMYFUNCTION("""COMPUTED_VALUE"""),"Canada")</f>
        <v>Canada</v>
      </c>
      <c r="E169" s="188">
        <f>IFERROR(__xludf.DUMMYFUNCTION("""COMPUTED_VALUE"""),43219.0)</f>
        <v>43219</v>
      </c>
      <c r="F169" s="188">
        <f>IFERROR(__xludf.DUMMYFUNCTION("""COMPUTED_VALUE"""),43241.0)</f>
        <v>43241</v>
      </c>
      <c r="H169">
        <f>IFERROR(__xludf.DUMMYFUNCTION("""COMPUTED_VALUE"""),28355.0)</f>
        <v>28355</v>
      </c>
      <c r="I169" t="str">
        <f>IFERROR(__xludf.DUMMYFUNCTION("""COMPUTED_VALUE"""),"05/18")</f>
        <v>05/18</v>
      </c>
      <c r="J169" s="5">
        <f>IFERROR(__xludf.DUMMYFUNCTION("""COMPUTED_VALUE"""),43258.0)</f>
        <v>43258</v>
      </c>
      <c r="K169">
        <f>IFERROR(__xludf.DUMMYFUNCTION("""COMPUTED_VALUE"""),22.0)</f>
        <v>22</v>
      </c>
      <c r="L169">
        <f>IFERROR(__xludf.DUMMYFUNCTION("""COMPUTED_VALUE"""),17.0)</f>
        <v>17</v>
      </c>
      <c r="M169">
        <f>IFERROR(__xludf.DUMMYFUNCTION("""COMPUTED_VALUE"""),39.0)</f>
        <v>39</v>
      </c>
      <c r="N169" t="str">
        <f>IFERROR(__xludf.DUMMYFUNCTION("""COMPUTED_VALUE"""),"Model 3 LR")</f>
        <v>Model 3 LR</v>
      </c>
      <c r="O169" t="str">
        <f>IFERROR(__xludf.DUMMYFUNCTION("""COMPUTED_VALUE"""),"Solid Black")</f>
        <v>Solid Black</v>
      </c>
      <c r="P169" t="str">
        <f>IFERROR(__xludf.DUMMYFUNCTION("""COMPUTED_VALUE"""),"18 inch Aero")</f>
        <v>18 inch Aero</v>
      </c>
      <c r="Q169" t="str">
        <f>IFERROR(__xludf.DUMMYFUNCTION("""COMPUTED_VALUE"""),"Black seats")</f>
        <v>Black seats</v>
      </c>
      <c r="R169" t="str">
        <f>IFERROR(__xludf.DUMMYFUNCTION("""COMPUTED_VALUE"""),"None")</f>
        <v>None</v>
      </c>
      <c r="X169" t="str">
        <f>IFERROR(__xludf.DUMMYFUNCTION("""COMPUTED_VALUE"""),"Good")</f>
        <v>Good</v>
      </c>
      <c r="Y169" t="str">
        <f>IFERROR(__xludf.DUMMYFUNCTION("""COMPUTED_VALUE"""),"Excellent")</f>
        <v>Excellent</v>
      </c>
      <c r="Z169" t="str">
        <f>IFERROR(__xludf.DUMMYFUNCTION("""COMPUTED_VALUE"""),"Very Good")</f>
        <v>Very Good</v>
      </c>
      <c r="AA169" t="str">
        <f>IFERROR(__xludf.DUMMYFUNCTION("""COMPUTED_VALUE"""),"Good")</f>
        <v>Good</v>
      </c>
      <c r="AB169" t="str">
        <f>IFERROR(__xludf.DUMMYFUNCTION("""COMPUTED_VALUE"""),"Good")</f>
        <v>Good</v>
      </c>
      <c r="AH169" s="189">
        <f>IFERROR(__xludf.DUMMYFUNCTION("""COMPUTED_VALUE"""),43263.47794780093)</f>
        <v>43263.47795</v>
      </c>
    </row>
    <row r="170">
      <c r="A170" t="str">
        <f>IFERROR(__xludf.DUMMYFUNCTION("""COMPUTED_VALUE"""),"igbright")</f>
        <v>igbright</v>
      </c>
      <c r="C170" t="str">
        <f>IFERROR(__xludf.DUMMYFUNCTION("""COMPUTED_VALUE"""),"MA")</f>
        <v>MA</v>
      </c>
      <c r="D170" t="str">
        <f>IFERROR(__xludf.DUMMYFUNCTION("""COMPUTED_VALUE"""),"USA")</f>
        <v>USA</v>
      </c>
      <c r="E170" s="188">
        <f>IFERROR(__xludf.DUMMYFUNCTION("""COMPUTED_VALUE"""),43208.0)</f>
        <v>43208</v>
      </c>
      <c r="F170" s="188">
        <f>IFERROR(__xludf.DUMMYFUNCTION("""COMPUTED_VALUE"""),43253.0)</f>
        <v>43253</v>
      </c>
      <c r="H170">
        <f>IFERROR(__xludf.DUMMYFUNCTION("""COMPUTED_VALUE"""),22755.0)</f>
        <v>22755</v>
      </c>
      <c r="I170" t="str">
        <f>IFERROR(__xludf.DUMMYFUNCTION("""COMPUTED_VALUE"""),"05/18")</f>
        <v>05/18</v>
      </c>
      <c r="J170" s="5">
        <f>IFERROR(__xludf.DUMMYFUNCTION("""COMPUTED_VALUE"""),43263.0)</f>
        <v>43263</v>
      </c>
      <c r="K170">
        <f>IFERROR(__xludf.DUMMYFUNCTION("""COMPUTED_VALUE"""),45.0)</f>
        <v>45</v>
      </c>
      <c r="L170">
        <f>IFERROR(__xludf.DUMMYFUNCTION("""COMPUTED_VALUE"""),10.0)</f>
        <v>10</v>
      </c>
      <c r="M170">
        <f>IFERROR(__xludf.DUMMYFUNCTION("""COMPUTED_VALUE"""),55.0)</f>
        <v>55</v>
      </c>
      <c r="N170" t="str">
        <f>IFERROR(__xludf.DUMMYFUNCTION("""COMPUTED_VALUE"""),"Model 3 LR")</f>
        <v>Model 3 LR</v>
      </c>
      <c r="O170" t="str">
        <f>IFERROR(__xludf.DUMMYFUNCTION("""COMPUTED_VALUE"""),"Deep Blue Metallic")</f>
        <v>Deep Blue Metallic</v>
      </c>
      <c r="P170" t="str">
        <f>IFERROR(__xludf.DUMMYFUNCTION("""COMPUTED_VALUE"""),"18 inch Aero")</f>
        <v>18 inch Aero</v>
      </c>
      <c r="Q170" t="str">
        <f>IFERROR(__xludf.DUMMYFUNCTION("""COMPUTED_VALUE"""),"Black seats")</f>
        <v>Black seats</v>
      </c>
      <c r="R170" t="str">
        <f>IFERROR(__xludf.DUMMYFUNCTION("""COMPUTED_VALUE"""),"None")</f>
        <v>None</v>
      </c>
      <c r="X170" t="str">
        <f>IFERROR(__xludf.DUMMYFUNCTION("""COMPUTED_VALUE"""),"Excellent")</f>
        <v>Excellent</v>
      </c>
      <c r="Y170" t="str">
        <f>IFERROR(__xludf.DUMMYFUNCTION("""COMPUTED_VALUE"""),"Excellent")</f>
        <v>Excellent</v>
      </c>
      <c r="Z170" t="str">
        <f>IFERROR(__xludf.DUMMYFUNCTION("""COMPUTED_VALUE"""),"Excellent")</f>
        <v>Excellent</v>
      </c>
      <c r="AA170" t="str">
        <f>IFERROR(__xludf.DUMMYFUNCTION("""COMPUTED_VALUE"""),"Good")</f>
        <v>Good</v>
      </c>
      <c r="AB170" t="str">
        <f>IFERROR(__xludf.DUMMYFUNCTION("""COMPUTED_VALUE"""),"Excellent")</f>
        <v>Excellent</v>
      </c>
      <c r="AH170" s="189">
        <f>IFERROR(__xludf.DUMMYFUNCTION("""COMPUTED_VALUE"""),43264.20516254629)</f>
        <v>43264.20516</v>
      </c>
    </row>
    <row r="171">
      <c r="A171" t="str">
        <f>IFERROR(__xludf.DUMMYFUNCTION("""COMPUTED_VALUE"""),"NormC")</f>
        <v>NormC</v>
      </c>
      <c r="B171" t="str">
        <f>IFERROR(__xludf.DUMMYFUNCTION("""COMPUTED_VALUE"""),"Ottawa")</f>
        <v>Ottawa</v>
      </c>
      <c r="C171" t="str">
        <f>IFERROR(__xludf.DUMMYFUNCTION("""COMPUTED_VALUE"""),"ON")</f>
        <v>ON</v>
      </c>
      <c r="D171" t="str">
        <f>IFERROR(__xludf.DUMMYFUNCTION("""COMPUTED_VALUE"""),"Canada")</f>
        <v>Canada</v>
      </c>
      <c r="E171" s="188">
        <f>IFERROR(__xludf.DUMMYFUNCTION("""COMPUTED_VALUE"""),43216.0)</f>
        <v>43216</v>
      </c>
      <c r="F171" s="188">
        <f>IFERROR(__xludf.DUMMYFUNCTION("""COMPUTED_VALUE"""),43235.0)</f>
        <v>43235</v>
      </c>
      <c r="H171">
        <f>IFERROR(__xludf.DUMMYFUNCTION("""COMPUTED_VALUE"""),29355.0)</f>
        <v>29355</v>
      </c>
      <c r="J171" s="5">
        <f>IFERROR(__xludf.DUMMYFUNCTION("""COMPUTED_VALUE"""),43256.0)</f>
        <v>43256</v>
      </c>
      <c r="K171">
        <f>IFERROR(__xludf.DUMMYFUNCTION("""COMPUTED_VALUE"""),19.0)</f>
        <v>19</v>
      </c>
      <c r="L171">
        <f>IFERROR(__xludf.DUMMYFUNCTION("""COMPUTED_VALUE"""),21.0)</f>
        <v>21</v>
      </c>
      <c r="M171">
        <f>IFERROR(__xludf.DUMMYFUNCTION("""COMPUTED_VALUE"""),40.0)</f>
        <v>40</v>
      </c>
      <c r="N171" t="str">
        <f>IFERROR(__xludf.DUMMYFUNCTION("""COMPUTED_VALUE"""),"Model 3 LR")</f>
        <v>Model 3 LR</v>
      </c>
      <c r="O171" t="str">
        <f>IFERROR(__xludf.DUMMYFUNCTION("""COMPUTED_VALUE"""),"Deep Blue Metallic")</f>
        <v>Deep Blue Metallic</v>
      </c>
      <c r="P171" t="str">
        <f>IFERROR(__xludf.DUMMYFUNCTION("""COMPUTED_VALUE"""),"18 inch Aero")</f>
        <v>18 inch Aero</v>
      </c>
      <c r="Q171" t="str">
        <f>IFERROR(__xludf.DUMMYFUNCTION("""COMPUTED_VALUE"""),"Black seats")</f>
        <v>Black seats</v>
      </c>
      <c r="R171" t="str">
        <f>IFERROR(__xludf.DUMMYFUNCTION("""COMPUTED_VALUE"""),"None")</f>
        <v>None</v>
      </c>
      <c r="X171" t="str">
        <f>IFERROR(__xludf.DUMMYFUNCTION("""COMPUTED_VALUE"""),"Excellent")</f>
        <v>Excellent</v>
      </c>
      <c r="Y171" t="str">
        <f>IFERROR(__xludf.DUMMYFUNCTION("""COMPUTED_VALUE"""),"Excellent")</f>
        <v>Excellent</v>
      </c>
      <c r="Z171" t="str">
        <f>IFERROR(__xludf.DUMMYFUNCTION("""COMPUTED_VALUE"""),"Excellent")</f>
        <v>Excellent</v>
      </c>
      <c r="AA171" t="str">
        <f>IFERROR(__xludf.DUMMYFUNCTION("""COMPUTED_VALUE"""),"Very Good")</f>
        <v>Very Good</v>
      </c>
      <c r="AB171" t="str">
        <f>IFERROR(__xludf.DUMMYFUNCTION("""COMPUTED_VALUE"""),"Very Good")</f>
        <v>Very Good</v>
      </c>
      <c r="AH171" s="189">
        <f>IFERROR(__xludf.DUMMYFUNCTION("""COMPUTED_VALUE"""),43264.37490359954)</f>
        <v>43264.3749</v>
      </c>
    </row>
    <row r="172">
      <c r="A172" t="str">
        <f>IFERROR(__xludf.DUMMYFUNCTION("""COMPUTED_VALUE"""),"Merk")</f>
        <v>Merk</v>
      </c>
      <c r="B172" t="str">
        <f>IFERROR(__xludf.DUMMYFUNCTION("""COMPUTED_VALUE"""),"Westmont")</f>
        <v>Westmont</v>
      </c>
      <c r="D172" t="str">
        <f>IFERROR(__xludf.DUMMYFUNCTION("""COMPUTED_VALUE"""),"USA")</f>
        <v>USA</v>
      </c>
      <c r="E172" s="188">
        <f>IFERROR(__xludf.DUMMYFUNCTION("""COMPUTED_VALUE"""),43208.0)</f>
        <v>43208</v>
      </c>
      <c r="F172" s="188">
        <f>IFERROR(__xludf.DUMMYFUNCTION("""COMPUTED_VALUE"""),43217.0)</f>
        <v>43217</v>
      </c>
      <c r="H172">
        <f>IFERROR(__xludf.DUMMYFUNCTION("""COMPUTED_VALUE"""),17955.0)</f>
        <v>17955</v>
      </c>
      <c r="I172" t="str">
        <f>IFERROR(__xludf.DUMMYFUNCTION("""COMPUTED_VALUE"""),"04/18")</f>
        <v>04/18</v>
      </c>
      <c r="J172" s="5">
        <f>IFERROR(__xludf.DUMMYFUNCTION("""COMPUTED_VALUE"""),43227.0)</f>
        <v>43227</v>
      </c>
      <c r="K172">
        <f>IFERROR(__xludf.DUMMYFUNCTION("""COMPUTED_VALUE"""),9.0)</f>
        <v>9</v>
      </c>
      <c r="L172">
        <f>IFERROR(__xludf.DUMMYFUNCTION("""COMPUTED_VALUE"""),10.0)</f>
        <v>10</v>
      </c>
      <c r="M172">
        <f>IFERROR(__xludf.DUMMYFUNCTION("""COMPUTED_VALUE"""),19.0)</f>
        <v>19</v>
      </c>
      <c r="N172" t="str">
        <f>IFERROR(__xludf.DUMMYFUNCTION("""COMPUTED_VALUE"""),"Model 3 LR")</f>
        <v>Model 3 LR</v>
      </c>
      <c r="O172" t="str">
        <f>IFERROR(__xludf.DUMMYFUNCTION("""COMPUTED_VALUE"""),"Silver Metallic")</f>
        <v>Silver Metallic</v>
      </c>
      <c r="P172" t="str">
        <f>IFERROR(__xludf.DUMMYFUNCTION("""COMPUTED_VALUE"""),"19 inch Sport")</f>
        <v>19 inch Sport</v>
      </c>
      <c r="Q172" t="str">
        <f>IFERROR(__xludf.DUMMYFUNCTION("""COMPUTED_VALUE"""),"Black seats")</f>
        <v>Black seats</v>
      </c>
      <c r="R172" t="str">
        <f>IFERROR(__xludf.DUMMYFUNCTION("""COMPUTED_VALUE"""),"Enhanced Autopilot")</f>
        <v>Enhanced Autopilot</v>
      </c>
      <c r="X172" t="str">
        <f>IFERROR(__xludf.DUMMYFUNCTION("""COMPUTED_VALUE"""),"Very Good")</f>
        <v>Very Good</v>
      </c>
      <c r="Y172" t="str">
        <f>IFERROR(__xludf.DUMMYFUNCTION("""COMPUTED_VALUE"""),"Very Good")</f>
        <v>Very Good</v>
      </c>
      <c r="Z172" t="str">
        <f>IFERROR(__xludf.DUMMYFUNCTION("""COMPUTED_VALUE"""),"Very Good")</f>
        <v>Very Good</v>
      </c>
      <c r="AA172" t="str">
        <f>IFERROR(__xludf.DUMMYFUNCTION("""COMPUTED_VALUE"""),"Excellent")</f>
        <v>Excellent</v>
      </c>
      <c r="AB172" t="str">
        <f>IFERROR(__xludf.DUMMYFUNCTION("""COMPUTED_VALUE"""),"Excellent")</f>
        <v>Excellent</v>
      </c>
      <c r="AH172" s="189">
        <f>IFERROR(__xludf.DUMMYFUNCTION("""COMPUTED_VALUE"""),43264.51559810185)</f>
        <v>43264.5156</v>
      </c>
    </row>
    <row r="173">
      <c r="A173" t="str">
        <f>IFERROR(__xludf.DUMMYFUNCTION("""COMPUTED_VALUE"""),"tvt408")</f>
        <v>tvt408</v>
      </c>
      <c r="B173" t="str">
        <f>IFERROR(__xludf.DUMMYFUNCTION("""COMPUTED_VALUE"""),"Sunnyvale")</f>
        <v>Sunnyvale</v>
      </c>
      <c r="C173" t="str">
        <f>IFERROR(__xludf.DUMMYFUNCTION("""COMPUTED_VALUE"""),"CA")</f>
        <v>CA</v>
      </c>
      <c r="D173" t="str">
        <f>IFERROR(__xludf.DUMMYFUNCTION("""COMPUTED_VALUE"""),"USA")</f>
        <v>USA</v>
      </c>
      <c r="E173" s="188">
        <f>IFERROR(__xludf.DUMMYFUNCTION("""COMPUTED_VALUE"""),43200.0)</f>
        <v>43200</v>
      </c>
      <c r="F173" s="188">
        <f>IFERROR(__xludf.DUMMYFUNCTION("""COMPUTED_VALUE"""),43229.0)</f>
        <v>43229</v>
      </c>
      <c r="H173">
        <f>IFERROR(__xludf.DUMMYFUNCTION("""COMPUTED_VALUE"""),19255.0)</f>
        <v>19255</v>
      </c>
      <c r="J173" s="5">
        <f>IFERROR(__xludf.DUMMYFUNCTION("""COMPUTED_VALUE"""),43238.0)</f>
        <v>43238</v>
      </c>
      <c r="K173">
        <f>IFERROR(__xludf.DUMMYFUNCTION("""COMPUTED_VALUE"""),29.0)</f>
        <v>29</v>
      </c>
      <c r="L173">
        <f>IFERROR(__xludf.DUMMYFUNCTION("""COMPUTED_VALUE"""),9.0)</f>
        <v>9</v>
      </c>
      <c r="M173">
        <f>IFERROR(__xludf.DUMMYFUNCTION("""COMPUTED_VALUE"""),38.0)</f>
        <v>38</v>
      </c>
      <c r="N173" t="str">
        <f>IFERROR(__xludf.DUMMYFUNCTION("""COMPUTED_VALUE"""),"Model 3 LR")</f>
        <v>Model 3 LR</v>
      </c>
      <c r="O173" t="str">
        <f>IFERROR(__xludf.DUMMYFUNCTION("""COMPUTED_VALUE"""),"Red Multi-Coat")</f>
        <v>Red Multi-Coat</v>
      </c>
      <c r="P173" t="str">
        <f>IFERROR(__xludf.DUMMYFUNCTION("""COMPUTED_VALUE"""),"18 inch Aero")</f>
        <v>18 inch Aero</v>
      </c>
      <c r="Q173" t="str">
        <f>IFERROR(__xludf.DUMMYFUNCTION("""COMPUTED_VALUE"""),"Black seats")</f>
        <v>Black seats</v>
      </c>
      <c r="R173" t="str">
        <f>IFERROR(__xludf.DUMMYFUNCTION("""COMPUTED_VALUE"""),"Full Self-Driving")</f>
        <v>Full Self-Driving</v>
      </c>
      <c r="X173" t="str">
        <f>IFERROR(__xludf.DUMMYFUNCTION("""COMPUTED_VALUE"""),"Excellent")</f>
        <v>Excellent</v>
      </c>
      <c r="Y173" t="str">
        <f>IFERROR(__xludf.DUMMYFUNCTION("""COMPUTED_VALUE"""),"Excellent")</f>
        <v>Excellent</v>
      </c>
      <c r="Z173" t="str">
        <f>IFERROR(__xludf.DUMMYFUNCTION("""COMPUTED_VALUE"""),"Excellent")</f>
        <v>Excellent</v>
      </c>
      <c r="AA173" t="str">
        <f>IFERROR(__xludf.DUMMYFUNCTION("""COMPUTED_VALUE"""),"Good")</f>
        <v>Good</v>
      </c>
      <c r="AB173" t="str">
        <f>IFERROR(__xludf.DUMMYFUNCTION("""COMPUTED_VALUE"""),"Excellent")</f>
        <v>Excellent</v>
      </c>
      <c r="AH173" s="189">
        <f>IFERROR(__xludf.DUMMYFUNCTION("""COMPUTED_VALUE"""),43265.19273311342)</f>
        <v>43265.19273</v>
      </c>
    </row>
    <row r="174">
      <c r="A174" t="str">
        <f>IFERROR(__xludf.DUMMYFUNCTION("""COMPUTED_VALUE"""),"Oregon_guy")</f>
        <v>Oregon_guy</v>
      </c>
      <c r="B174" t="str">
        <f>IFERROR(__xludf.DUMMYFUNCTION("""COMPUTED_VALUE"""),"Portland")</f>
        <v>Portland</v>
      </c>
      <c r="C174" t="str">
        <f>IFERROR(__xludf.DUMMYFUNCTION("""COMPUTED_VALUE"""),"OR")</f>
        <v>OR</v>
      </c>
      <c r="D174" t="str">
        <f>IFERROR(__xludf.DUMMYFUNCTION("""COMPUTED_VALUE"""),"USA")</f>
        <v>USA</v>
      </c>
      <c r="E174" s="188">
        <f>IFERROR(__xludf.DUMMYFUNCTION("""COMPUTED_VALUE"""),43209.0)</f>
        <v>43209</v>
      </c>
      <c r="F174" s="188">
        <f>IFERROR(__xludf.DUMMYFUNCTION("""COMPUTED_VALUE"""),43244.0)</f>
        <v>43244</v>
      </c>
      <c r="H174">
        <f>IFERROR(__xludf.DUMMYFUNCTION("""COMPUTED_VALUE"""),25655.0)</f>
        <v>25655</v>
      </c>
      <c r="J174" s="5">
        <f>IFERROR(__xludf.DUMMYFUNCTION("""COMPUTED_VALUE"""),43259.0)</f>
        <v>43259</v>
      </c>
      <c r="K174">
        <f>IFERROR(__xludf.DUMMYFUNCTION("""COMPUTED_VALUE"""),35.0)</f>
        <v>35</v>
      </c>
      <c r="L174">
        <f>IFERROR(__xludf.DUMMYFUNCTION("""COMPUTED_VALUE"""),15.0)</f>
        <v>15</v>
      </c>
      <c r="M174">
        <f>IFERROR(__xludf.DUMMYFUNCTION("""COMPUTED_VALUE"""),50.0)</f>
        <v>50</v>
      </c>
      <c r="N174" t="str">
        <f>IFERROR(__xludf.DUMMYFUNCTION("""COMPUTED_VALUE"""),"Model 3 LR")</f>
        <v>Model 3 LR</v>
      </c>
      <c r="O174" t="str">
        <f>IFERROR(__xludf.DUMMYFUNCTION("""COMPUTED_VALUE"""),"Midnight Silver Metallic")</f>
        <v>Midnight Silver Metallic</v>
      </c>
      <c r="P174" t="str">
        <f>IFERROR(__xludf.DUMMYFUNCTION("""COMPUTED_VALUE"""),"18 inch Aero")</f>
        <v>18 inch Aero</v>
      </c>
      <c r="Q174" t="str">
        <f>IFERROR(__xludf.DUMMYFUNCTION("""COMPUTED_VALUE"""),"Black seats")</f>
        <v>Black seats</v>
      </c>
      <c r="R174" t="str">
        <f>IFERROR(__xludf.DUMMYFUNCTION("""COMPUTED_VALUE"""),"None")</f>
        <v>None</v>
      </c>
      <c r="X174" t="str">
        <f>IFERROR(__xludf.DUMMYFUNCTION("""COMPUTED_VALUE"""),"Excellent")</f>
        <v>Excellent</v>
      </c>
      <c r="Y174" t="str">
        <f>IFERROR(__xludf.DUMMYFUNCTION("""COMPUTED_VALUE"""),"Good")</f>
        <v>Good</v>
      </c>
      <c r="Z174" t="str">
        <f>IFERROR(__xludf.DUMMYFUNCTION("""COMPUTED_VALUE"""),"Excellent")</f>
        <v>Excellent</v>
      </c>
      <c r="AA174" t="str">
        <f>IFERROR(__xludf.DUMMYFUNCTION("""COMPUTED_VALUE"""),"Excellent")</f>
        <v>Excellent</v>
      </c>
      <c r="AB174" t="str">
        <f>IFERROR(__xludf.DUMMYFUNCTION("""COMPUTED_VALUE"""),"Excellent")</f>
        <v>Excellent</v>
      </c>
      <c r="AG174" t="str">
        <f>IFERROR(__xludf.DUMMYFUNCTION("""COMPUTED_VALUE"""),"Delivery got delayed.Got the car on 13th instead of 8th. The vanity mirror was shattered on passenger side, but they fixed it right away.")</f>
        <v>Delivery got delayed.Got the car on 13th instead of 8th. The vanity mirror was shattered on passenger side, but they fixed it right away.</v>
      </c>
      <c r="AH174" s="189">
        <f>IFERROR(__xludf.DUMMYFUNCTION("""COMPUTED_VALUE"""),43265.474118495375)</f>
        <v>43265.47412</v>
      </c>
    </row>
    <row r="175">
      <c r="A175" t="str">
        <f>IFERROR(__xludf.DUMMYFUNCTION("""COMPUTED_VALUE"""),"eclypse")</f>
        <v>eclypse</v>
      </c>
      <c r="B175" t="str">
        <f>IFERROR(__xludf.DUMMYFUNCTION("""COMPUTED_VALUE"""),"Natick")</f>
        <v>Natick</v>
      </c>
      <c r="C175" t="str">
        <f>IFERROR(__xludf.DUMMYFUNCTION("""COMPUTED_VALUE"""),"MA")</f>
        <v>MA</v>
      </c>
      <c r="D175" t="str">
        <f>IFERROR(__xludf.DUMMYFUNCTION("""COMPUTED_VALUE"""),"USA")</f>
        <v>USA</v>
      </c>
      <c r="E175" s="188">
        <f>IFERROR(__xludf.DUMMYFUNCTION("""COMPUTED_VALUE"""),43208.0)</f>
        <v>43208</v>
      </c>
      <c r="F175" s="188">
        <f>IFERROR(__xludf.DUMMYFUNCTION("""COMPUTED_VALUE"""),43242.0)</f>
        <v>43242</v>
      </c>
      <c r="H175">
        <f>IFERROR(__xludf.DUMMYFUNCTION("""COMPUTED_VALUE"""),23862.0)</f>
        <v>23862</v>
      </c>
      <c r="I175" t="str">
        <f>IFERROR(__xludf.DUMMYFUNCTION("""COMPUTED_VALUE"""),"05/18")</f>
        <v>05/18</v>
      </c>
      <c r="J175" s="5">
        <f>IFERROR(__xludf.DUMMYFUNCTION("""COMPUTED_VALUE"""),43262.0)</f>
        <v>43262</v>
      </c>
      <c r="K175">
        <f>IFERROR(__xludf.DUMMYFUNCTION("""COMPUTED_VALUE"""),34.0)</f>
        <v>34</v>
      </c>
      <c r="L175">
        <f>IFERROR(__xludf.DUMMYFUNCTION("""COMPUTED_VALUE"""),20.0)</f>
        <v>20</v>
      </c>
      <c r="M175">
        <f>IFERROR(__xludf.DUMMYFUNCTION("""COMPUTED_VALUE"""),54.0)</f>
        <v>54</v>
      </c>
      <c r="N175" t="str">
        <f>IFERROR(__xludf.DUMMYFUNCTION("""COMPUTED_VALUE"""),"Model 3 LR")</f>
        <v>Model 3 LR</v>
      </c>
      <c r="O175" t="str">
        <f>IFERROR(__xludf.DUMMYFUNCTION("""COMPUTED_VALUE"""),"Midnight Silver Metallic")</f>
        <v>Midnight Silver Metallic</v>
      </c>
      <c r="P175" t="str">
        <f>IFERROR(__xludf.DUMMYFUNCTION("""COMPUTED_VALUE"""),"19 inch Sport")</f>
        <v>19 inch Sport</v>
      </c>
      <c r="Q175" t="str">
        <f>IFERROR(__xludf.DUMMYFUNCTION("""COMPUTED_VALUE"""),"Black seats")</f>
        <v>Black seats</v>
      </c>
      <c r="R175" t="str">
        <f>IFERROR(__xludf.DUMMYFUNCTION("""COMPUTED_VALUE"""),"None")</f>
        <v>None</v>
      </c>
      <c r="X175" t="str">
        <f>IFERROR(__xludf.DUMMYFUNCTION("""COMPUTED_VALUE"""),"Very Good")</f>
        <v>Very Good</v>
      </c>
      <c r="Y175" t="str">
        <f>IFERROR(__xludf.DUMMYFUNCTION("""COMPUTED_VALUE"""),"Excellent")</f>
        <v>Excellent</v>
      </c>
      <c r="Z175" t="str">
        <f>IFERROR(__xludf.DUMMYFUNCTION("""COMPUTED_VALUE"""),"Very Good")</f>
        <v>Very Good</v>
      </c>
      <c r="AA175" t="str">
        <f>IFERROR(__xludf.DUMMYFUNCTION("""COMPUTED_VALUE"""),"Good")</f>
        <v>Good</v>
      </c>
      <c r="AB175" t="str">
        <f>IFERROR(__xludf.DUMMYFUNCTION("""COMPUTED_VALUE"""),"Very Good")</f>
        <v>Very Good</v>
      </c>
      <c r="AH175" s="189">
        <f>IFERROR(__xludf.DUMMYFUNCTION("""COMPUTED_VALUE"""),43265.516280497686)</f>
        <v>43265.51628</v>
      </c>
    </row>
    <row r="176">
      <c r="A176" t="str">
        <f>IFERROR(__xludf.DUMMYFUNCTION("""COMPUTED_VALUE"""),"JohnMon")</f>
        <v>JohnMon</v>
      </c>
      <c r="B176" t="str">
        <f>IFERROR(__xludf.DUMMYFUNCTION("""COMPUTED_VALUE"""),"Aurora")</f>
        <v>Aurora</v>
      </c>
      <c r="C176" t="str">
        <f>IFERROR(__xludf.DUMMYFUNCTION("""COMPUTED_VALUE"""),"ON")</f>
        <v>ON</v>
      </c>
      <c r="D176" t="str">
        <f>IFERROR(__xludf.DUMMYFUNCTION("""COMPUTED_VALUE"""),"Canada")</f>
        <v>Canada</v>
      </c>
      <c r="E176" s="188">
        <f>IFERROR(__xludf.DUMMYFUNCTION("""COMPUTED_VALUE"""),43222.0)</f>
        <v>43222</v>
      </c>
      <c r="F176" s="188">
        <f>IFERROR(__xludf.DUMMYFUNCTION("""COMPUTED_VALUE"""),43226.0)</f>
        <v>43226</v>
      </c>
      <c r="H176">
        <f>IFERROR(__xludf.DUMMYFUNCTION("""COMPUTED_VALUE"""),26855.0)</f>
        <v>26855</v>
      </c>
      <c r="J176" s="5">
        <f>IFERROR(__xludf.DUMMYFUNCTION("""COMPUTED_VALUE"""),43260.0)</f>
        <v>43260</v>
      </c>
      <c r="K176">
        <f>IFERROR(__xludf.DUMMYFUNCTION("""COMPUTED_VALUE"""),4.0)</f>
        <v>4</v>
      </c>
      <c r="L176">
        <f>IFERROR(__xludf.DUMMYFUNCTION("""COMPUTED_VALUE"""),34.0)</f>
        <v>34</v>
      </c>
      <c r="M176">
        <f>IFERROR(__xludf.DUMMYFUNCTION("""COMPUTED_VALUE"""),38.0)</f>
        <v>38</v>
      </c>
      <c r="N176" t="str">
        <f>IFERROR(__xludf.DUMMYFUNCTION("""COMPUTED_VALUE"""),"Model 3 LR")</f>
        <v>Model 3 LR</v>
      </c>
      <c r="O176" t="str">
        <f>IFERROR(__xludf.DUMMYFUNCTION("""COMPUTED_VALUE"""),"Silver Metallic")</f>
        <v>Silver Metallic</v>
      </c>
      <c r="P176" t="str">
        <f>IFERROR(__xludf.DUMMYFUNCTION("""COMPUTED_VALUE"""),"18 inch Aero")</f>
        <v>18 inch Aero</v>
      </c>
      <c r="Q176" t="str">
        <f>IFERROR(__xludf.DUMMYFUNCTION("""COMPUTED_VALUE"""),"Black seats")</f>
        <v>Black seats</v>
      </c>
      <c r="R176" t="str">
        <f>IFERROR(__xludf.DUMMYFUNCTION("""COMPUTED_VALUE"""),"None")</f>
        <v>None</v>
      </c>
      <c r="X176" t="str">
        <f>IFERROR(__xludf.DUMMYFUNCTION("""COMPUTED_VALUE"""),"Excellent")</f>
        <v>Excellent</v>
      </c>
      <c r="Y176" t="str">
        <f>IFERROR(__xludf.DUMMYFUNCTION("""COMPUTED_VALUE"""),"Poor")</f>
        <v>Poor</v>
      </c>
      <c r="Z176" t="str">
        <f>IFERROR(__xludf.DUMMYFUNCTION("""COMPUTED_VALUE"""),"Excellent")</f>
        <v>Excellent</v>
      </c>
      <c r="AA176" t="str">
        <f>IFERROR(__xludf.DUMMYFUNCTION("""COMPUTED_VALUE"""),"Fair")</f>
        <v>Fair</v>
      </c>
      <c r="AB176" t="str">
        <f>IFERROR(__xludf.DUMMYFUNCTION("""COMPUTED_VALUE"""),"Good")</f>
        <v>Good</v>
      </c>
      <c r="AG176" t="str">
        <f>IFERROR(__xludf.DUMMYFUNCTION("""COMPUTED_VALUE"""),"Damage to seat; mud on seat; dirt in trunk")</f>
        <v>Damage to seat; mud on seat; dirt in trunk</v>
      </c>
      <c r="AH176" s="189">
        <f>IFERROR(__xludf.DUMMYFUNCTION("""COMPUTED_VALUE"""),43266.29648780092)</f>
        <v>43266.29649</v>
      </c>
    </row>
    <row r="177">
      <c r="A177" t="str">
        <f>IFERROR(__xludf.DUMMYFUNCTION("""COMPUTED_VALUE"""),"mthomtech")</f>
        <v>mthomtech</v>
      </c>
      <c r="B177" t="str">
        <f>IFERROR(__xludf.DUMMYFUNCTION("""COMPUTED_VALUE"""),"Murphy")</f>
        <v>Murphy</v>
      </c>
      <c r="C177" t="str">
        <f>IFERROR(__xludf.DUMMYFUNCTION("""COMPUTED_VALUE"""),"TX")</f>
        <v>TX</v>
      </c>
      <c r="D177" t="str">
        <f>IFERROR(__xludf.DUMMYFUNCTION("""COMPUTED_VALUE"""),"USA")</f>
        <v>USA</v>
      </c>
      <c r="E177" s="188">
        <f>IFERROR(__xludf.DUMMYFUNCTION("""COMPUTED_VALUE"""),43197.0)</f>
        <v>43197</v>
      </c>
      <c r="F177" s="188">
        <f>IFERROR(__xludf.DUMMYFUNCTION("""COMPUTED_VALUE"""),43230.0)</f>
        <v>43230</v>
      </c>
      <c r="H177">
        <f>IFERROR(__xludf.DUMMYFUNCTION("""COMPUTED_VALUE"""),18755.0)</f>
        <v>18755</v>
      </c>
      <c r="I177" t="str">
        <f>IFERROR(__xludf.DUMMYFUNCTION("""COMPUTED_VALUE"""),"05/18")</f>
        <v>05/18</v>
      </c>
      <c r="J177" s="5">
        <f>IFERROR(__xludf.DUMMYFUNCTION("""COMPUTED_VALUE"""),43256.0)</f>
        <v>43256</v>
      </c>
      <c r="K177">
        <f>IFERROR(__xludf.DUMMYFUNCTION("""COMPUTED_VALUE"""),33.0)</f>
        <v>33</v>
      </c>
      <c r="L177">
        <f>IFERROR(__xludf.DUMMYFUNCTION("""COMPUTED_VALUE"""),26.0)</f>
        <v>26</v>
      </c>
      <c r="M177">
        <f>IFERROR(__xludf.DUMMYFUNCTION("""COMPUTED_VALUE"""),59.0)</f>
        <v>59</v>
      </c>
      <c r="N177" t="str">
        <f>IFERROR(__xludf.DUMMYFUNCTION("""COMPUTED_VALUE"""),"Model 3 LR")</f>
        <v>Model 3 LR</v>
      </c>
      <c r="O177" t="str">
        <f>IFERROR(__xludf.DUMMYFUNCTION("""COMPUTED_VALUE"""),"Solid Black")</f>
        <v>Solid Black</v>
      </c>
      <c r="P177" t="str">
        <f>IFERROR(__xludf.DUMMYFUNCTION("""COMPUTED_VALUE"""),"18 inch Aero")</f>
        <v>18 inch Aero</v>
      </c>
      <c r="Q177" t="str">
        <f>IFERROR(__xludf.DUMMYFUNCTION("""COMPUTED_VALUE"""),"Black seats")</f>
        <v>Black seats</v>
      </c>
      <c r="R177" t="str">
        <f>IFERROR(__xludf.DUMMYFUNCTION("""COMPUTED_VALUE"""),"None")</f>
        <v>None</v>
      </c>
      <c r="X177" t="str">
        <f>IFERROR(__xludf.DUMMYFUNCTION("""COMPUTED_VALUE"""),"Excellent")</f>
        <v>Excellent</v>
      </c>
      <c r="Y177" t="str">
        <f>IFERROR(__xludf.DUMMYFUNCTION("""COMPUTED_VALUE"""),"Excellent")</f>
        <v>Excellent</v>
      </c>
      <c r="Z177" t="str">
        <f>IFERROR(__xludf.DUMMYFUNCTION("""COMPUTED_VALUE"""),"Excellent")</f>
        <v>Excellent</v>
      </c>
      <c r="AA177" t="str">
        <f>IFERROR(__xludf.DUMMYFUNCTION("""COMPUTED_VALUE"""),"Excellent")</f>
        <v>Excellent</v>
      </c>
      <c r="AB177" t="str">
        <f>IFERROR(__xludf.DUMMYFUNCTION("""COMPUTED_VALUE"""),"Excellent")</f>
        <v>Excellent</v>
      </c>
      <c r="AH177" s="189">
        <f>IFERROR(__xludf.DUMMYFUNCTION("""COMPUTED_VALUE"""),43266.52518434028)</f>
        <v>43266.52518</v>
      </c>
    </row>
    <row r="178">
      <c r="A178" t="str">
        <f>IFERROR(__xludf.DUMMYFUNCTION("""COMPUTED_VALUE"""),"JJ")</f>
        <v>JJ</v>
      </c>
      <c r="C178" t="str">
        <f>IFERROR(__xludf.DUMMYFUNCTION("""COMPUTED_VALUE"""),"MA")</f>
        <v>MA</v>
      </c>
      <c r="D178" t="str">
        <f>IFERROR(__xludf.DUMMYFUNCTION("""COMPUTED_VALUE"""),"USA")</f>
        <v>USA</v>
      </c>
      <c r="E178" s="188">
        <f>IFERROR(__xludf.DUMMYFUNCTION("""COMPUTED_VALUE"""),43208.0)</f>
        <v>43208</v>
      </c>
      <c r="F178" s="188">
        <f>IFERROR(__xludf.DUMMYFUNCTION("""COMPUTED_VALUE"""),43244.0)</f>
        <v>43244</v>
      </c>
      <c r="H178">
        <f>IFERROR(__xludf.DUMMYFUNCTION("""COMPUTED_VALUE"""),26155.0)</f>
        <v>26155</v>
      </c>
      <c r="I178" t="str">
        <f>IFERROR(__xludf.DUMMYFUNCTION("""COMPUTED_VALUE"""),"05/18")</f>
        <v>05/18</v>
      </c>
      <c r="J178" s="5">
        <f>IFERROR(__xludf.DUMMYFUNCTION("""COMPUTED_VALUE"""),43266.0)</f>
        <v>43266</v>
      </c>
      <c r="K178">
        <f>IFERROR(__xludf.DUMMYFUNCTION("""COMPUTED_VALUE"""),36.0)</f>
        <v>36</v>
      </c>
      <c r="L178">
        <f>IFERROR(__xludf.DUMMYFUNCTION("""COMPUTED_VALUE"""),22.0)</f>
        <v>22</v>
      </c>
      <c r="M178">
        <f>IFERROR(__xludf.DUMMYFUNCTION("""COMPUTED_VALUE"""),58.0)</f>
        <v>58</v>
      </c>
      <c r="N178" t="str">
        <f>IFERROR(__xludf.DUMMYFUNCTION("""COMPUTED_VALUE"""),"Model 3 LR")</f>
        <v>Model 3 LR</v>
      </c>
      <c r="O178" t="str">
        <f>IFERROR(__xludf.DUMMYFUNCTION("""COMPUTED_VALUE"""),"Pearl White Multi-Coat")</f>
        <v>Pearl White Multi-Coat</v>
      </c>
      <c r="P178" t="str">
        <f>IFERROR(__xludf.DUMMYFUNCTION("""COMPUTED_VALUE"""),"18 inch Aero")</f>
        <v>18 inch Aero</v>
      </c>
      <c r="Q178" t="str">
        <f>IFERROR(__xludf.DUMMYFUNCTION("""COMPUTED_VALUE"""),"Black seats")</f>
        <v>Black seats</v>
      </c>
      <c r="R178" t="str">
        <f>IFERROR(__xludf.DUMMYFUNCTION("""COMPUTED_VALUE"""),"Enhanced Autopilot")</f>
        <v>Enhanced Autopilot</v>
      </c>
      <c r="X178" t="str">
        <f>IFERROR(__xludf.DUMMYFUNCTION("""COMPUTED_VALUE"""),"Very Good")</f>
        <v>Very Good</v>
      </c>
      <c r="Y178" t="str">
        <f>IFERROR(__xludf.DUMMYFUNCTION("""COMPUTED_VALUE"""),"Very Good")</f>
        <v>Very Good</v>
      </c>
      <c r="Z178" t="str">
        <f>IFERROR(__xludf.DUMMYFUNCTION("""COMPUTED_VALUE"""),"Very Good")</f>
        <v>Very Good</v>
      </c>
      <c r="AA178" t="str">
        <f>IFERROR(__xludf.DUMMYFUNCTION("""COMPUTED_VALUE"""),"Very Good")</f>
        <v>Very Good</v>
      </c>
      <c r="AB178" t="str">
        <f>IFERROR(__xludf.DUMMYFUNCTION("""COMPUTED_VALUE"""),"Very Good")</f>
        <v>Very Good</v>
      </c>
      <c r="AH178" s="189">
        <f>IFERROR(__xludf.DUMMYFUNCTION("""COMPUTED_VALUE"""),43266.73939164352)</f>
        <v>43266.73939</v>
      </c>
    </row>
    <row r="179">
      <c r="A179" t="str">
        <f>IFERROR(__xludf.DUMMYFUNCTION("""COMPUTED_VALUE"""),"SunnyA")</f>
        <v>SunnyA</v>
      </c>
      <c r="B179" t="str">
        <f>IFERROR(__xludf.DUMMYFUNCTION("""COMPUTED_VALUE"""),"Saratoga")</f>
        <v>Saratoga</v>
      </c>
      <c r="C179" t="str">
        <f>IFERROR(__xludf.DUMMYFUNCTION("""COMPUTED_VALUE"""),"CA")</f>
        <v>CA</v>
      </c>
      <c r="D179" t="str">
        <f>IFERROR(__xludf.DUMMYFUNCTION("""COMPUTED_VALUE"""),"USA")</f>
        <v>USA</v>
      </c>
      <c r="E179" s="188">
        <f>IFERROR(__xludf.DUMMYFUNCTION("""COMPUTED_VALUE"""),43208.0)</f>
        <v>43208</v>
      </c>
      <c r="F179" s="188">
        <f>IFERROR(__xludf.DUMMYFUNCTION("""COMPUTED_VALUE"""),43252.0)</f>
        <v>43252</v>
      </c>
      <c r="H179">
        <f>IFERROR(__xludf.DUMMYFUNCTION("""COMPUTED_VALUE"""),24645.0)</f>
        <v>24645</v>
      </c>
      <c r="I179" t="str">
        <f>IFERROR(__xludf.DUMMYFUNCTION("""COMPUTED_VALUE"""),"04/18")</f>
        <v>04/18</v>
      </c>
      <c r="J179" s="5">
        <f>IFERROR(__xludf.DUMMYFUNCTION("""COMPUTED_VALUE"""),43257.0)</f>
        <v>43257</v>
      </c>
      <c r="K179">
        <f>IFERROR(__xludf.DUMMYFUNCTION("""COMPUTED_VALUE"""),44.0)</f>
        <v>44</v>
      </c>
      <c r="L179">
        <f>IFERROR(__xludf.DUMMYFUNCTION("""COMPUTED_VALUE"""),5.0)</f>
        <v>5</v>
      </c>
      <c r="M179">
        <f>IFERROR(__xludf.DUMMYFUNCTION("""COMPUTED_VALUE"""),49.0)</f>
        <v>49</v>
      </c>
      <c r="N179" t="str">
        <f>IFERROR(__xludf.DUMMYFUNCTION("""COMPUTED_VALUE"""),"Model 3 LR")</f>
        <v>Model 3 LR</v>
      </c>
      <c r="O179" t="str">
        <f>IFERROR(__xludf.DUMMYFUNCTION("""COMPUTED_VALUE"""),"Red Multi-Coat")</f>
        <v>Red Multi-Coat</v>
      </c>
      <c r="P179" t="str">
        <f>IFERROR(__xludf.DUMMYFUNCTION("""COMPUTED_VALUE"""),"19 inch Sport")</f>
        <v>19 inch Sport</v>
      </c>
      <c r="Q179" t="str">
        <f>IFERROR(__xludf.DUMMYFUNCTION("""COMPUTED_VALUE"""),"Black seats")</f>
        <v>Black seats</v>
      </c>
      <c r="R179" t="str">
        <f>IFERROR(__xludf.DUMMYFUNCTION("""COMPUTED_VALUE"""),"Full Self-Driving")</f>
        <v>Full Self-Driving</v>
      </c>
      <c r="X179" t="str">
        <f>IFERROR(__xludf.DUMMYFUNCTION("""COMPUTED_VALUE"""),"Good")</f>
        <v>Good</v>
      </c>
      <c r="Y179" t="str">
        <f>IFERROR(__xludf.DUMMYFUNCTION("""COMPUTED_VALUE"""),"Good")</f>
        <v>Good</v>
      </c>
      <c r="Z179" t="str">
        <f>IFERROR(__xludf.DUMMYFUNCTION("""COMPUTED_VALUE"""),"Good")</f>
        <v>Good</v>
      </c>
      <c r="AA179" t="str">
        <f>IFERROR(__xludf.DUMMYFUNCTION("""COMPUTED_VALUE"""),"Good")</f>
        <v>Good</v>
      </c>
      <c r="AB179" t="str">
        <f>IFERROR(__xludf.DUMMYFUNCTION("""COMPUTED_VALUE"""),"Poor")</f>
        <v>Poor</v>
      </c>
      <c r="AH179" s="189">
        <f>IFERROR(__xludf.DUMMYFUNCTION("""COMPUTED_VALUE"""),43267.30913841435)</f>
        <v>43267.30914</v>
      </c>
    </row>
    <row r="180">
      <c r="A180" t="str">
        <f>IFERROR(__xludf.DUMMYFUNCTION("""COMPUTED_VALUE"""),"tlf")</f>
        <v>tlf</v>
      </c>
      <c r="B180" t="str">
        <f>IFERROR(__xludf.DUMMYFUNCTION("""COMPUTED_VALUE"""),"Vancouver")</f>
        <v>Vancouver</v>
      </c>
      <c r="C180" t="str">
        <f>IFERROR(__xludf.DUMMYFUNCTION("""COMPUTED_VALUE"""),"BC")</f>
        <v>BC</v>
      </c>
      <c r="D180" t="str">
        <f>IFERROR(__xludf.DUMMYFUNCTION("""COMPUTED_VALUE"""),"Canada")</f>
        <v>Canada</v>
      </c>
      <c r="E180" s="188">
        <f>IFERROR(__xludf.DUMMYFUNCTION("""COMPUTED_VALUE"""),43189.0)</f>
        <v>43189</v>
      </c>
      <c r="H180">
        <f>IFERROR(__xludf.DUMMYFUNCTION("""COMPUTED_VALUE"""),27955.0)</f>
        <v>27955</v>
      </c>
      <c r="J180" s="5">
        <f>IFERROR(__xludf.DUMMYFUNCTION("""COMPUTED_VALUE"""),43266.0)</f>
        <v>43266</v>
      </c>
      <c r="M180">
        <f>IFERROR(__xludf.DUMMYFUNCTION("""COMPUTED_VALUE"""),77.0)</f>
        <v>77</v>
      </c>
      <c r="N180" t="str">
        <f>IFERROR(__xludf.DUMMYFUNCTION("""COMPUTED_VALUE"""),"Model 3 LR")</f>
        <v>Model 3 LR</v>
      </c>
      <c r="O180" t="str">
        <f>IFERROR(__xludf.DUMMYFUNCTION("""COMPUTED_VALUE"""),"Pearl White Multi-Coat")</f>
        <v>Pearl White Multi-Coat</v>
      </c>
      <c r="P180" t="str">
        <f>IFERROR(__xludf.DUMMYFUNCTION("""COMPUTED_VALUE"""),"18 inch Aero")</f>
        <v>18 inch Aero</v>
      </c>
      <c r="R180" t="str">
        <f>IFERROR(__xludf.DUMMYFUNCTION("""COMPUTED_VALUE"""),"Enhanced Autopilot")</f>
        <v>Enhanced Autopilot</v>
      </c>
      <c r="X180" t="str">
        <f>IFERROR(__xludf.DUMMYFUNCTION("""COMPUTED_VALUE"""),"Very Good")</f>
        <v>Very Good</v>
      </c>
      <c r="Y180" t="str">
        <f>IFERROR(__xludf.DUMMYFUNCTION("""COMPUTED_VALUE"""),"Very Good")</f>
        <v>Very Good</v>
      </c>
      <c r="Z180" t="str">
        <f>IFERROR(__xludf.DUMMYFUNCTION("""COMPUTED_VALUE"""),"Good")</f>
        <v>Good</v>
      </c>
      <c r="AA180" t="str">
        <f>IFERROR(__xludf.DUMMYFUNCTION("""COMPUTED_VALUE"""),"Poor")</f>
        <v>Poor</v>
      </c>
      <c r="AB180" t="str">
        <f>IFERROR(__xludf.DUMMYFUNCTION("""COMPUTED_VALUE"""),"Good")</f>
        <v>Good</v>
      </c>
      <c r="AH180" s="189">
        <f>IFERROR(__xludf.DUMMYFUNCTION("""COMPUTED_VALUE"""),43267.73160586806)</f>
        <v>43267.73161</v>
      </c>
    </row>
    <row r="181">
      <c r="A181" t="str">
        <f>IFERROR(__xludf.DUMMYFUNCTION("""COMPUTED_VALUE"""),"kegg")</f>
        <v>kegg</v>
      </c>
      <c r="B181" t="str">
        <f>IFERROR(__xludf.DUMMYFUNCTION("""COMPUTED_VALUE"""),"Natick")</f>
        <v>Natick</v>
      </c>
      <c r="C181" t="str">
        <f>IFERROR(__xludf.DUMMYFUNCTION("""COMPUTED_VALUE"""),"MA")</f>
        <v>MA</v>
      </c>
      <c r="D181" t="str">
        <f>IFERROR(__xludf.DUMMYFUNCTION("""COMPUTED_VALUE"""),"USA")</f>
        <v>USA</v>
      </c>
      <c r="E181" s="188">
        <f>IFERROR(__xludf.DUMMYFUNCTION("""COMPUTED_VALUE"""),43208.0)</f>
        <v>43208</v>
      </c>
      <c r="F181" s="188">
        <f>IFERROR(__xludf.DUMMYFUNCTION("""COMPUTED_VALUE"""),43244.0)</f>
        <v>43244</v>
      </c>
      <c r="H181">
        <f>IFERROR(__xludf.DUMMYFUNCTION("""COMPUTED_VALUE"""),26055.0)</f>
        <v>26055</v>
      </c>
      <c r="J181" s="5">
        <f>IFERROR(__xludf.DUMMYFUNCTION("""COMPUTED_VALUE"""),43263.0)</f>
        <v>43263</v>
      </c>
      <c r="K181">
        <f>IFERROR(__xludf.DUMMYFUNCTION("""COMPUTED_VALUE"""),36.0)</f>
        <v>36</v>
      </c>
      <c r="L181">
        <f>IFERROR(__xludf.DUMMYFUNCTION("""COMPUTED_VALUE"""),19.0)</f>
        <v>19</v>
      </c>
      <c r="M181">
        <f>IFERROR(__xludf.DUMMYFUNCTION("""COMPUTED_VALUE"""),55.0)</f>
        <v>55</v>
      </c>
      <c r="N181" t="str">
        <f>IFERROR(__xludf.DUMMYFUNCTION("""COMPUTED_VALUE"""),"Model 3 LR")</f>
        <v>Model 3 LR</v>
      </c>
      <c r="O181" t="str">
        <f>IFERROR(__xludf.DUMMYFUNCTION("""COMPUTED_VALUE"""),"Red Multi-Coat")</f>
        <v>Red Multi-Coat</v>
      </c>
      <c r="P181" t="str">
        <f>IFERROR(__xludf.DUMMYFUNCTION("""COMPUTED_VALUE"""),"18 inch Aero")</f>
        <v>18 inch Aero</v>
      </c>
      <c r="Q181" t="str">
        <f>IFERROR(__xludf.DUMMYFUNCTION("""COMPUTED_VALUE"""),"Black seats")</f>
        <v>Black seats</v>
      </c>
      <c r="R181" t="str">
        <f>IFERROR(__xludf.DUMMYFUNCTION("""COMPUTED_VALUE"""),"None")</f>
        <v>None</v>
      </c>
      <c r="X181" t="str">
        <f>IFERROR(__xludf.DUMMYFUNCTION("""COMPUTED_VALUE"""),"Excellent")</f>
        <v>Excellent</v>
      </c>
      <c r="Y181" t="str">
        <f>IFERROR(__xludf.DUMMYFUNCTION("""COMPUTED_VALUE"""),"Excellent")</f>
        <v>Excellent</v>
      </c>
      <c r="Z181" t="str">
        <f>IFERROR(__xludf.DUMMYFUNCTION("""COMPUTED_VALUE"""),"Excellent")</f>
        <v>Excellent</v>
      </c>
      <c r="AA181" t="str">
        <f>IFERROR(__xludf.DUMMYFUNCTION("""COMPUTED_VALUE"""),"Fair")</f>
        <v>Fair</v>
      </c>
      <c r="AB181" t="str">
        <f>IFERROR(__xludf.DUMMYFUNCTION("""COMPUTED_VALUE"""),"Excellent")</f>
        <v>Excellent</v>
      </c>
      <c r="AH181" s="189">
        <f>IFERROR(__xludf.DUMMYFUNCTION("""COMPUTED_VALUE"""),43267.822246932876)</f>
        <v>43267.82225</v>
      </c>
    </row>
    <row r="182">
      <c r="A182" t="str">
        <f>IFERROR(__xludf.DUMMYFUNCTION("""COMPUTED_VALUE"""),"wasabi")</f>
        <v>wasabi</v>
      </c>
      <c r="B182" t="str">
        <f>IFERROR(__xludf.DUMMYFUNCTION("""COMPUTED_VALUE"""),"Toronto")</f>
        <v>Toronto</v>
      </c>
      <c r="C182" t="str">
        <f>IFERROR(__xludf.DUMMYFUNCTION("""COMPUTED_VALUE"""),"ON")</f>
        <v>ON</v>
      </c>
      <c r="D182" t="str">
        <f>IFERROR(__xludf.DUMMYFUNCTION("""COMPUTED_VALUE"""),"Canada")</f>
        <v>Canada</v>
      </c>
      <c r="E182" s="188">
        <f>IFERROR(__xludf.DUMMYFUNCTION("""COMPUTED_VALUE"""),43189.0)</f>
        <v>43189</v>
      </c>
      <c r="F182" s="188">
        <f>IFERROR(__xludf.DUMMYFUNCTION("""COMPUTED_VALUE"""),43224.0)</f>
        <v>43224</v>
      </c>
      <c r="H182">
        <f>IFERROR(__xludf.DUMMYFUNCTION("""COMPUTED_VALUE"""),27895.0)</f>
        <v>27895</v>
      </c>
      <c r="I182" t="str">
        <f>IFERROR(__xludf.DUMMYFUNCTION("""COMPUTED_VALUE"""),"05/18")</f>
        <v>05/18</v>
      </c>
      <c r="J182" s="5">
        <f>IFERROR(__xludf.DUMMYFUNCTION("""COMPUTED_VALUE"""),43260.0)</f>
        <v>43260</v>
      </c>
      <c r="K182">
        <f>IFERROR(__xludf.DUMMYFUNCTION("""COMPUTED_VALUE"""),35.0)</f>
        <v>35</v>
      </c>
      <c r="L182">
        <f>IFERROR(__xludf.DUMMYFUNCTION("""COMPUTED_VALUE"""),36.0)</f>
        <v>36</v>
      </c>
      <c r="M182">
        <f>IFERROR(__xludf.DUMMYFUNCTION("""COMPUTED_VALUE"""),71.0)</f>
        <v>71</v>
      </c>
      <c r="N182" t="str">
        <f>IFERROR(__xludf.DUMMYFUNCTION("""COMPUTED_VALUE"""),"Model 3 LR")</f>
        <v>Model 3 LR</v>
      </c>
      <c r="O182" t="str">
        <f>IFERROR(__xludf.DUMMYFUNCTION("""COMPUTED_VALUE"""),"Pearl White Multi-Coat")</f>
        <v>Pearl White Multi-Coat</v>
      </c>
      <c r="P182" t="str">
        <f>IFERROR(__xludf.DUMMYFUNCTION("""COMPUTED_VALUE"""),"18 inch Aero")</f>
        <v>18 inch Aero</v>
      </c>
      <c r="Q182" t="str">
        <f>IFERROR(__xludf.DUMMYFUNCTION("""COMPUTED_VALUE"""),"Black seats")</f>
        <v>Black seats</v>
      </c>
      <c r="R182" t="str">
        <f>IFERROR(__xludf.DUMMYFUNCTION("""COMPUTED_VALUE"""),"Enhanced Autopilot")</f>
        <v>Enhanced Autopilot</v>
      </c>
      <c r="X182" t="str">
        <f>IFERROR(__xludf.DUMMYFUNCTION("""COMPUTED_VALUE"""),"Excellent")</f>
        <v>Excellent</v>
      </c>
      <c r="Y182" t="str">
        <f>IFERROR(__xludf.DUMMYFUNCTION("""COMPUTED_VALUE"""),"Excellent")</f>
        <v>Excellent</v>
      </c>
      <c r="Z182" t="str">
        <f>IFERROR(__xludf.DUMMYFUNCTION("""COMPUTED_VALUE"""),"Excellent")</f>
        <v>Excellent</v>
      </c>
      <c r="AA182" t="str">
        <f>IFERROR(__xludf.DUMMYFUNCTION("""COMPUTED_VALUE"""),"Very Good")</f>
        <v>Very Good</v>
      </c>
      <c r="AB182" t="str">
        <f>IFERROR(__xludf.DUMMYFUNCTION("""COMPUTED_VALUE"""),"Very Good")</f>
        <v>Very Good</v>
      </c>
      <c r="AH182" s="189">
        <f>IFERROR(__xludf.DUMMYFUNCTION("""COMPUTED_VALUE"""),43268.21409260417)</f>
        <v>43268.21409</v>
      </c>
    </row>
    <row r="183">
      <c r="A183" t="str">
        <f>IFERROR(__xludf.DUMMYFUNCTION("""COMPUTED_VALUE"""),"Bruce Lachey")</f>
        <v>Bruce Lachey</v>
      </c>
      <c r="B183" t="str">
        <f>IFERROR(__xludf.DUMMYFUNCTION("""COMPUTED_VALUE"""),"Cincinnati ")</f>
        <v>Cincinnati </v>
      </c>
      <c r="C183" t="str">
        <f>IFERROR(__xludf.DUMMYFUNCTION("""COMPUTED_VALUE"""),"OH")</f>
        <v>OH</v>
      </c>
      <c r="D183" t="str">
        <f>IFERROR(__xludf.DUMMYFUNCTION("""COMPUTED_VALUE"""),"USA")</f>
        <v>USA</v>
      </c>
      <c r="E183" s="188">
        <f>IFERROR(__xludf.DUMMYFUNCTION("""COMPUTED_VALUE"""),43209.0)</f>
        <v>43209</v>
      </c>
      <c r="F183" s="188">
        <f>IFERROR(__xludf.DUMMYFUNCTION("""COMPUTED_VALUE"""),43234.0)</f>
        <v>43234</v>
      </c>
      <c r="H183">
        <f>IFERROR(__xludf.DUMMYFUNCTION("""COMPUTED_VALUE"""),22106.0)</f>
        <v>22106</v>
      </c>
      <c r="I183" t="str">
        <f>IFERROR(__xludf.DUMMYFUNCTION("""COMPUTED_VALUE"""),"05/18")</f>
        <v>05/18</v>
      </c>
      <c r="J183" s="5">
        <f>IFERROR(__xludf.DUMMYFUNCTION("""COMPUTED_VALUE"""),43245.0)</f>
        <v>43245</v>
      </c>
      <c r="K183">
        <f>IFERROR(__xludf.DUMMYFUNCTION("""COMPUTED_VALUE"""),25.0)</f>
        <v>25</v>
      </c>
      <c r="L183">
        <f>IFERROR(__xludf.DUMMYFUNCTION("""COMPUTED_VALUE"""),11.0)</f>
        <v>11</v>
      </c>
      <c r="M183">
        <f>IFERROR(__xludf.DUMMYFUNCTION("""COMPUTED_VALUE"""),36.0)</f>
        <v>36</v>
      </c>
      <c r="N183" t="str">
        <f>IFERROR(__xludf.DUMMYFUNCTION("""COMPUTED_VALUE"""),"Model 3 LR")</f>
        <v>Model 3 LR</v>
      </c>
      <c r="O183" t="str">
        <f>IFERROR(__xludf.DUMMYFUNCTION("""COMPUTED_VALUE"""),"Red Multi-Coat")</f>
        <v>Red Multi-Coat</v>
      </c>
      <c r="P183" t="str">
        <f>IFERROR(__xludf.DUMMYFUNCTION("""COMPUTED_VALUE"""),"18 inch Aero")</f>
        <v>18 inch Aero</v>
      </c>
      <c r="Q183" t="str">
        <f>IFERROR(__xludf.DUMMYFUNCTION("""COMPUTED_VALUE"""),"Black seats")</f>
        <v>Black seats</v>
      </c>
      <c r="R183" t="str">
        <f>IFERROR(__xludf.DUMMYFUNCTION("""COMPUTED_VALUE"""),"None")</f>
        <v>None</v>
      </c>
      <c r="X183" t="str">
        <f>IFERROR(__xludf.DUMMYFUNCTION("""COMPUTED_VALUE"""),"Excellent")</f>
        <v>Excellent</v>
      </c>
      <c r="Y183" t="str">
        <f>IFERROR(__xludf.DUMMYFUNCTION("""COMPUTED_VALUE"""),"Excellent")</f>
        <v>Excellent</v>
      </c>
      <c r="Z183" t="str">
        <f>IFERROR(__xludf.DUMMYFUNCTION("""COMPUTED_VALUE"""),"Excellent")</f>
        <v>Excellent</v>
      </c>
      <c r="AA183" t="str">
        <f>IFERROR(__xludf.DUMMYFUNCTION("""COMPUTED_VALUE"""),"Excellent")</f>
        <v>Excellent</v>
      </c>
      <c r="AB183" t="str">
        <f>IFERROR(__xludf.DUMMYFUNCTION("""COMPUTED_VALUE"""),"Excellent")</f>
        <v>Excellent</v>
      </c>
      <c r="AH183" s="189">
        <f>IFERROR(__xludf.DUMMYFUNCTION("""COMPUTED_VALUE"""),43268.23431496527)</f>
        <v>43268.23431</v>
      </c>
    </row>
    <row r="184">
      <c r="A184" t="str">
        <f>IFERROR(__xludf.DUMMYFUNCTION("""COMPUTED_VALUE"""),"rrinn")</f>
        <v>rrinn</v>
      </c>
      <c r="B184" t="str">
        <f>IFERROR(__xludf.DUMMYFUNCTION("""COMPUTED_VALUE"""),"Austin")</f>
        <v>Austin</v>
      </c>
      <c r="C184" t="str">
        <f>IFERROR(__xludf.DUMMYFUNCTION("""COMPUTED_VALUE"""),"TX")</f>
        <v>TX</v>
      </c>
      <c r="D184" t="str">
        <f>IFERROR(__xludf.DUMMYFUNCTION("""COMPUTED_VALUE"""),"USA")</f>
        <v>USA</v>
      </c>
      <c r="E184" s="188">
        <f>IFERROR(__xludf.DUMMYFUNCTION("""COMPUTED_VALUE"""),43201.0)</f>
        <v>43201</v>
      </c>
      <c r="F184" s="188">
        <f>IFERROR(__xludf.DUMMYFUNCTION("""COMPUTED_VALUE"""),43252.0)</f>
        <v>43252</v>
      </c>
      <c r="H184">
        <f>IFERROR(__xludf.DUMMYFUNCTION("""COMPUTED_VALUE"""),26157.0)</f>
        <v>26157</v>
      </c>
      <c r="I184" t="str">
        <f>IFERROR(__xludf.DUMMYFUNCTION("""COMPUTED_VALUE"""),"06/18")</f>
        <v>06/18</v>
      </c>
      <c r="J184" s="5">
        <f>IFERROR(__xludf.DUMMYFUNCTION("""COMPUTED_VALUE"""),43265.0)</f>
        <v>43265</v>
      </c>
      <c r="K184">
        <f>IFERROR(__xludf.DUMMYFUNCTION("""COMPUTED_VALUE"""),51.0)</f>
        <v>51</v>
      </c>
      <c r="L184">
        <f>IFERROR(__xludf.DUMMYFUNCTION("""COMPUTED_VALUE"""),13.0)</f>
        <v>13</v>
      </c>
      <c r="M184">
        <f>IFERROR(__xludf.DUMMYFUNCTION("""COMPUTED_VALUE"""),64.0)</f>
        <v>64</v>
      </c>
      <c r="N184" t="str">
        <f>IFERROR(__xludf.DUMMYFUNCTION("""COMPUTED_VALUE"""),"Model 3 LR")</f>
        <v>Model 3 LR</v>
      </c>
      <c r="O184" t="str">
        <f>IFERROR(__xludf.DUMMYFUNCTION("""COMPUTED_VALUE"""),"Deep Blue Metallic")</f>
        <v>Deep Blue Metallic</v>
      </c>
      <c r="P184" t="str">
        <f>IFERROR(__xludf.DUMMYFUNCTION("""COMPUTED_VALUE"""),"18 inch Aero")</f>
        <v>18 inch Aero</v>
      </c>
      <c r="Q184" t="str">
        <f>IFERROR(__xludf.DUMMYFUNCTION("""COMPUTED_VALUE"""),"Black seats")</f>
        <v>Black seats</v>
      </c>
      <c r="R184" t="str">
        <f>IFERROR(__xludf.DUMMYFUNCTION("""COMPUTED_VALUE"""),"Enhanced Autopilot")</f>
        <v>Enhanced Autopilot</v>
      </c>
      <c r="X184" t="str">
        <f>IFERROR(__xludf.DUMMYFUNCTION("""COMPUTED_VALUE"""),"Very Good")</f>
        <v>Very Good</v>
      </c>
      <c r="Y184" t="str">
        <f>IFERROR(__xludf.DUMMYFUNCTION("""COMPUTED_VALUE"""),"Excellent")</f>
        <v>Excellent</v>
      </c>
      <c r="Z184" t="str">
        <f>IFERROR(__xludf.DUMMYFUNCTION("""COMPUTED_VALUE"""),"Very Good")</f>
        <v>Very Good</v>
      </c>
      <c r="AA184" t="str">
        <f>IFERROR(__xludf.DUMMYFUNCTION("""COMPUTED_VALUE"""),"Excellent")</f>
        <v>Excellent</v>
      </c>
      <c r="AB184" t="str">
        <f>IFERROR(__xludf.DUMMYFUNCTION("""COMPUTED_VALUE"""),"Very Good")</f>
        <v>Very Good</v>
      </c>
      <c r="AH184" s="189">
        <f>IFERROR(__xludf.DUMMYFUNCTION("""COMPUTED_VALUE"""),43268.54681837963)</f>
        <v>43268.54682</v>
      </c>
    </row>
    <row r="185">
      <c r="A185" t="str">
        <f>IFERROR(__xludf.DUMMYFUNCTION("""COMPUTED_VALUE"""),"alae")</f>
        <v>alae</v>
      </c>
      <c r="C185" t="str">
        <f>IFERROR(__xludf.DUMMYFUNCTION("""COMPUTED_VALUE"""),"IL")</f>
        <v>IL</v>
      </c>
      <c r="D185" t="str">
        <f>IFERROR(__xludf.DUMMYFUNCTION("""COMPUTED_VALUE"""),"USA")</f>
        <v>USA</v>
      </c>
      <c r="E185" s="188">
        <f>IFERROR(__xludf.DUMMYFUNCTION("""COMPUTED_VALUE"""),43203.0)</f>
        <v>43203</v>
      </c>
      <c r="F185" s="188">
        <f>IFERROR(__xludf.DUMMYFUNCTION("""COMPUTED_VALUE"""),43241.0)</f>
        <v>43241</v>
      </c>
      <c r="J185" s="5">
        <f>IFERROR(__xludf.DUMMYFUNCTION("""COMPUTED_VALUE"""),43264.0)</f>
        <v>43264</v>
      </c>
      <c r="K185">
        <f>IFERROR(__xludf.DUMMYFUNCTION("""COMPUTED_VALUE"""),38.0)</f>
        <v>38</v>
      </c>
      <c r="L185">
        <f>IFERROR(__xludf.DUMMYFUNCTION("""COMPUTED_VALUE"""),23.0)</f>
        <v>23</v>
      </c>
      <c r="M185">
        <f>IFERROR(__xludf.DUMMYFUNCTION("""COMPUTED_VALUE"""),61.0)</f>
        <v>61</v>
      </c>
      <c r="N185" t="str">
        <f>IFERROR(__xludf.DUMMYFUNCTION("""COMPUTED_VALUE"""),"Model 3 LR")</f>
        <v>Model 3 LR</v>
      </c>
      <c r="O185" t="str">
        <f>IFERROR(__xludf.DUMMYFUNCTION("""COMPUTED_VALUE"""),"Midnight Silver Metallic")</f>
        <v>Midnight Silver Metallic</v>
      </c>
      <c r="P185" t="str">
        <f>IFERROR(__xludf.DUMMYFUNCTION("""COMPUTED_VALUE"""),"19 inch Sport")</f>
        <v>19 inch Sport</v>
      </c>
      <c r="R185" t="str">
        <f>IFERROR(__xludf.DUMMYFUNCTION("""COMPUTED_VALUE"""),"Enhanced Autopilot")</f>
        <v>Enhanced Autopilot</v>
      </c>
      <c r="X185" t="str">
        <f>IFERROR(__xludf.DUMMYFUNCTION("""COMPUTED_VALUE"""),"Excellent")</f>
        <v>Excellent</v>
      </c>
      <c r="Y185" t="str">
        <f>IFERROR(__xludf.DUMMYFUNCTION("""COMPUTED_VALUE"""),"Excellent")</f>
        <v>Excellent</v>
      </c>
      <c r="Z185" t="str">
        <f>IFERROR(__xludf.DUMMYFUNCTION("""COMPUTED_VALUE"""),"Excellent")</f>
        <v>Excellent</v>
      </c>
      <c r="AA185" t="str">
        <f>IFERROR(__xludf.DUMMYFUNCTION("""COMPUTED_VALUE"""),"Very Good")</f>
        <v>Very Good</v>
      </c>
      <c r="AB185" t="str">
        <f>IFERROR(__xludf.DUMMYFUNCTION("""COMPUTED_VALUE"""),"Excellent")</f>
        <v>Excellent</v>
      </c>
      <c r="AH185" s="189">
        <f>IFERROR(__xludf.DUMMYFUNCTION("""COMPUTED_VALUE"""),43268.596807974536)</f>
        <v>43268.59681</v>
      </c>
    </row>
    <row r="186">
      <c r="A186" t="str">
        <f>IFERROR(__xludf.DUMMYFUNCTION("""COMPUTED_VALUE"""),"tivoboy")</f>
        <v>tivoboy</v>
      </c>
      <c r="B186" t="str">
        <f>IFERROR(__xludf.DUMMYFUNCTION("""COMPUTED_VALUE"""),"menlo park")</f>
        <v>menlo park</v>
      </c>
      <c r="C186" t="str">
        <f>IFERROR(__xludf.DUMMYFUNCTION("""COMPUTED_VALUE"""),"CA")</f>
        <v>CA</v>
      </c>
      <c r="D186" t="str">
        <f>IFERROR(__xludf.DUMMYFUNCTION("""COMPUTED_VALUE"""),"USA")</f>
        <v>USA</v>
      </c>
      <c r="E186" s="188">
        <f>IFERROR(__xludf.DUMMYFUNCTION("""COMPUTED_VALUE"""),43208.0)</f>
        <v>43208</v>
      </c>
      <c r="F186" s="188">
        <f>IFERROR(__xludf.DUMMYFUNCTION("""COMPUTED_VALUE"""),43243.0)</f>
        <v>43243</v>
      </c>
      <c r="H186">
        <f>IFERROR(__xludf.DUMMYFUNCTION("""COMPUTED_VALUE"""),25755.0)</f>
        <v>25755</v>
      </c>
      <c r="I186" t="str">
        <f>IFERROR(__xludf.DUMMYFUNCTION("""COMPUTED_VALUE"""),"05/18")</f>
        <v>05/18</v>
      </c>
      <c r="J186" s="5">
        <f>IFERROR(__xludf.DUMMYFUNCTION("""COMPUTED_VALUE"""),43252.0)</f>
        <v>43252</v>
      </c>
      <c r="K186">
        <f>IFERROR(__xludf.DUMMYFUNCTION("""COMPUTED_VALUE"""),35.0)</f>
        <v>35</v>
      </c>
      <c r="L186">
        <f>IFERROR(__xludf.DUMMYFUNCTION("""COMPUTED_VALUE"""),9.0)</f>
        <v>9</v>
      </c>
      <c r="M186">
        <f>IFERROR(__xludf.DUMMYFUNCTION("""COMPUTED_VALUE"""),44.0)</f>
        <v>44</v>
      </c>
      <c r="N186" t="str">
        <f>IFERROR(__xludf.DUMMYFUNCTION("""COMPUTED_VALUE"""),"Model 3 LR")</f>
        <v>Model 3 LR</v>
      </c>
      <c r="O186" t="str">
        <f>IFERROR(__xludf.DUMMYFUNCTION("""COMPUTED_VALUE"""),"Midnight Silver Metallic")</f>
        <v>Midnight Silver Metallic</v>
      </c>
      <c r="P186" t="str">
        <f>IFERROR(__xludf.DUMMYFUNCTION("""COMPUTED_VALUE"""),"18 inch Aero")</f>
        <v>18 inch Aero</v>
      </c>
      <c r="Q186" t="str">
        <f>IFERROR(__xludf.DUMMYFUNCTION("""COMPUTED_VALUE"""),"Black seats")</f>
        <v>Black seats</v>
      </c>
      <c r="R186" t="str">
        <f>IFERROR(__xludf.DUMMYFUNCTION("""COMPUTED_VALUE"""),"Enhanced Autopilot")</f>
        <v>Enhanced Autopilot</v>
      </c>
      <c r="X186" t="str">
        <f>IFERROR(__xludf.DUMMYFUNCTION("""COMPUTED_VALUE"""),"Excellent")</f>
        <v>Excellent</v>
      </c>
      <c r="Y186" t="str">
        <f>IFERROR(__xludf.DUMMYFUNCTION("""COMPUTED_VALUE"""),"Excellent")</f>
        <v>Excellent</v>
      </c>
      <c r="Z186" t="str">
        <f>IFERROR(__xludf.DUMMYFUNCTION("""COMPUTED_VALUE"""),"Excellent")</f>
        <v>Excellent</v>
      </c>
      <c r="AA186" t="str">
        <f>IFERROR(__xludf.DUMMYFUNCTION("""COMPUTED_VALUE"""),"Good")</f>
        <v>Good</v>
      </c>
      <c r="AB186" t="str">
        <f>IFERROR(__xludf.DUMMYFUNCTION("""COMPUTED_VALUE"""),"Very Good")</f>
        <v>Very Good</v>
      </c>
      <c r="AH186" s="189">
        <f>IFERROR(__xludf.DUMMYFUNCTION("""COMPUTED_VALUE"""),43268.607371412036)</f>
        <v>43268.60737</v>
      </c>
    </row>
    <row r="187">
      <c r="A187" t="str">
        <f>IFERROR(__xludf.DUMMYFUNCTION("""COMPUTED_VALUE"""),"exbmw")</f>
        <v>exbmw</v>
      </c>
      <c r="B187" t="str">
        <f>IFERROR(__xludf.DUMMYFUNCTION("""COMPUTED_VALUE"""),"Toronto")</f>
        <v>Toronto</v>
      </c>
      <c r="C187" t="str">
        <f>IFERROR(__xludf.DUMMYFUNCTION("""COMPUTED_VALUE"""),"ON")</f>
        <v>ON</v>
      </c>
      <c r="D187" t="str">
        <f>IFERROR(__xludf.DUMMYFUNCTION("""COMPUTED_VALUE"""),"Canada")</f>
        <v>Canada</v>
      </c>
      <c r="E187" s="188">
        <f>IFERROR(__xludf.DUMMYFUNCTION("""COMPUTED_VALUE"""),43252.0)</f>
        <v>43252</v>
      </c>
      <c r="F187" s="188">
        <f>IFERROR(__xludf.DUMMYFUNCTION("""COMPUTED_VALUE"""),43255.0)</f>
        <v>43255</v>
      </c>
      <c r="H187">
        <f>IFERROR(__xludf.DUMMYFUNCTION("""COMPUTED_VALUE"""),32055.0)</f>
        <v>32055</v>
      </c>
      <c r="J187" s="5">
        <f>IFERROR(__xludf.DUMMYFUNCTION("""COMPUTED_VALUE"""),43267.0)</f>
        <v>43267</v>
      </c>
      <c r="K187">
        <f>IFERROR(__xludf.DUMMYFUNCTION("""COMPUTED_VALUE"""),3.0)</f>
        <v>3</v>
      </c>
      <c r="L187">
        <f>IFERROR(__xludf.DUMMYFUNCTION("""COMPUTED_VALUE"""),12.0)</f>
        <v>12</v>
      </c>
      <c r="M187">
        <f>IFERROR(__xludf.DUMMYFUNCTION("""COMPUTED_VALUE"""),15.0)</f>
        <v>15</v>
      </c>
      <c r="N187" t="str">
        <f>IFERROR(__xludf.DUMMYFUNCTION("""COMPUTED_VALUE"""),"Model 3 LR")</f>
        <v>Model 3 LR</v>
      </c>
      <c r="O187" t="str">
        <f>IFERROR(__xludf.DUMMYFUNCTION("""COMPUTED_VALUE"""),"Midnight Silver Metallic")</f>
        <v>Midnight Silver Metallic</v>
      </c>
      <c r="P187" t="str">
        <f>IFERROR(__xludf.DUMMYFUNCTION("""COMPUTED_VALUE"""),"19 inch Sport")</f>
        <v>19 inch Sport</v>
      </c>
      <c r="Q187" t="str">
        <f>IFERROR(__xludf.DUMMYFUNCTION("""COMPUTED_VALUE"""),"Black seats")</f>
        <v>Black seats</v>
      </c>
      <c r="R187" t="str">
        <f>IFERROR(__xludf.DUMMYFUNCTION("""COMPUTED_VALUE"""),"Enhanced Autopilot")</f>
        <v>Enhanced Autopilot</v>
      </c>
      <c r="X187" t="str">
        <f>IFERROR(__xludf.DUMMYFUNCTION("""COMPUTED_VALUE"""),"Excellent")</f>
        <v>Excellent</v>
      </c>
      <c r="Y187" t="str">
        <f>IFERROR(__xludf.DUMMYFUNCTION("""COMPUTED_VALUE"""),"Excellent")</f>
        <v>Excellent</v>
      </c>
      <c r="Z187" t="str">
        <f>IFERROR(__xludf.DUMMYFUNCTION("""COMPUTED_VALUE"""),"Poor")</f>
        <v>Poor</v>
      </c>
      <c r="AA187" t="str">
        <f>IFERROR(__xludf.DUMMYFUNCTION("""COMPUTED_VALUE"""),"Very Good")</f>
        <v>Very Good</v>
      </c>
      <c r="AB187" t="str">
        <f>IFERROR(__xludf.DUMMYFUNCTION("""COMPUTED_VALUE"""),"Very Good")</f>
        <v>Very Good</v>
      </c>
      <c r="AH187" s="189">
        <f>IFERROR(__xludf.DUMMYFUNCTION("""COMPUTED_VALUE"""),43269.77805150463)</f>
        <v>43269.77805</v>
      </c>
    </row>
    <row r="188">
      <c r="A188" t="str">
        <f>IFERROR(__xludf.DUMMYFUNCTION("""COMPUTED_VALUE"""),"Eeb9")</f>
        <v>Eeb9</v>
      </c>
      <c r="B188" t="str">
        <f>IFERROR(__xludf.DUMMYFUNCTION("""COMPUTED_VALUE"""),"Atlanta")</f>
        <v>Atlanta</v>
      </c>
      <c r="C188" t="str">
        <f>IFERROR(__xludf.DUMMYFUNCTION("""COMPUTED_VALUE"""),"GA")</f>
        <v>GA</v>
      </c>
      <c r="D188" t="str">
        <f>IFERROR(__xludf.DUMMYFUNCTION("""COMPUTED_VALUE"""),"USA")</f>
        <v>USA</v>
      </c>
      <c r="E188" s="188">
        <f>IFERROR(__xludf.DUMMYFUNCTION("""COMPUTED_VALUE"""),43201.0)</f>
        <v>43201</v>
      </c>
      <c r="F188" s="188">
        <f>IFERROR(__xludf.DUMMYFUNCTION("""COMPUTED_VALUE"""),43233.0)</f>
        <v>43233</v>
      </c>
      <c r="H188">
        <f>IFERROR(__xludf.DUMMYFUNCTION("""COMPUTED_VALUE"""),21310.0)</f>
        <v>21310</v>
      </c>
      <c r="I188" t="str">
        <f>IFERROR(__xludf.DUMMYFUNCTION("""COMPUTED_VALUE"""),"05/18")</f>
        <v>05/18</v>
      </c>
      <c r="J188" s="5">
        <f>IFERROR(__xludf.DUMMYFUNCTION("""COMPUTED_VALUE"""),43257.0)</f>
        <v>43257</v>
      </c>
      <c r="K188">
        <f>IFERROR(__xludf.DUMMYFUNCTION("""COMPUTED_VALUE"""),32.0)</f>
        <v>32</v>
      </c>
      <c r="L188">
        <f>IFERROR(__xludf.DUMMYFUNCTION("""COMPUTED_VALUE"""),24.0)</f>
        <v>24</v>
      </c>
      <c r="M188">
        <f>IFERROR(__xludf.DUMMYFUNCTION("""COMPUTED_VALUE"""),56.0)</f>
        <v>56</v>
      </c>
      <c r="N188" t="str">
        <f>IFERROR(__xludf.DUMMYFUNCTION("""COMPUTED_VALUE"""),"Model 3 LR")</f>
        <v>Model 3 LR</v>
      </c>
      <c r="O188" t="str">
        <f>IFERROR(__xludf.DUMMYFUNCTION("""COMPUTED_VALUE"""),"Midnight Silver Metallic")</f>
        <v>Midnight Silver Metallic</v>
      </c>
      <c r="P188" t="str">
        <f>IFERROR(__xludf.DUMMYFUNCTION("""COMPUTED_VALUE"""),"18 inch Aero")</f>
        <v>18 inch Aero</v>
      </c>
      <c r="Q188" t="str">
        <f>IFERROR(__xludf.DUMMYFUNCTION("""COMPUTED_VALUE"""),"Black seats")</f>
        <v>Black seats</v>
      </c>
      <c r="R188" t="str">
        <f>IFERROR(__xludf.DUMMYFUNCTION("""COMPUTED_VALUE"""),"None")</f>
        <v>None</v>
      </c>
      <c r="X188" t="str">
        <f>IFERROR(__xludf.DUMMYFUNCTION("""COMPUTED_VALUE"""),"Excellent")</f>
        <v>Excellent</v>
      </c>
      <c r="Y188" t="str">
        <f>IFERROR(__xludf.DUMMYFUNCTION("""COMPUTED_VALUE"""),"Excellent")</f>
        <v>Excellent</v>
      </c>
      <c r="Z188" t="str">
        <f>IFERROR(__xludf.DUMMYFUNCTION("""COMPUTED_VALUE"""),"Good")</f>
        <v>Good</v>
      </c>
      <c r="AA188" t="str">
        <f>IFERROR(__xludf.DUMMYFUNCTION("""COMPUTED_VALUE"""),"Good")</f>
        <v>Good</v>
      </c>
      <c r="AB188" t="str">
        <f>IFERROR(__xludf.DUMMYFUNCTION("""COMPUTED_VALUE"""),"Excellent")</f>
        <v>Excellent</v>
      </c>
      <c r="AG188" t="str">
        <f>IFERROR(__xludf.DUMMYFUNCTION("""COMPUTED_VALUE"""),"Some tape residue on paint when I picked up the car - they corrected it as soon as I pointed it out, but it should have been done during prep")</f>
        <v>Some tape residue on paint when I picked up the car - they corrected it as soon as I pointed it out, but it should have been done during prep</v>
      </c>
      <c r="AH188" s="189">
        <f>IFERROR(__xludf.DUMMYFUNCTION("""COMPUTED_VALUE"""),43270.27284960648)</f>
        <v>43270.27285</v>
      </c>
    </row>
    <row r="189">
      <c r="A189" t="str">
        <f>IFERROR(__xludf.DUMMYFUNCTION("""COMPUTED_VALUE"""),"BlueWRXPride")</f>
        <v>BlueWRXPride</v>
      </c>
      <c r="B189" t="str">
        <f>IFERROR(__xludf.DUMMYFUNCTION("""COMPUTED_VALUE"""),"Syracuse")</f>
        <v>Syracuse</v>
      </c>
      <c r="C189" t="str">
        <f>IFERROR(__xludf.DUMMYFUNCTION("""COMPUTED_VALUE"""),"NY")</f>
        <v>NY</v>
      </c>
      <c r="D189" t="str">
        <f>IFERROR(__xludf.DUMMYFUNCTION("""COMPUTED_VALUE"""),"USA")</f>
        <v>USA</v>
      </c>
      <c r="E189" s="188">
        <f>IFERROR(__xludf.DUMMYFUNCTION("""COMPUTED_VALUE"""),44482.0)</f>
        <v>44482</v>
      </c>
      <c r="N189" t="str">
        <f>IFERROR(__xludf.DUMMYFUNCTION("""COMPUTED_VALUE"""),"Model 3 LR AWD")</f>
        <v>Model 3 LR AWD</v>
      </c>
      <c r="O189" t="str">
        <f>IFERROR(__xludf.DUMMYFUNCTION("""COMPUTED_VALUE"""),"Red Multi-Coat")</f>
        <v>Red Multi-Coat</v>
      </c>
      <c r="P189" t="str">
        <f>IFERROR(__xludf.DUMMYFUNCTION("""COMPUTED_VALUE"""),"18 inch")</f>
        <v>18 inch</v>
      </c>
      <c r="Q189" t="str">
        <f>IFERROR(__xludf.DUMMYFUNCTION("""COMPUTED_VALUE"""),"All Black")</f>
        <v>All Black</v>
      </c>
      <c r="R189" t="str">
        <f>IFERROR(__xludf.DUMMYFUNCTION("""COMPUTED_VALUE"""),"Autopilot included")</f>
        <v>Autopilot included</v>
      </c>
      <c r="S189" t="str">
        <f>IFERROR(__xludf.DUMMYFUNCTION("""COMPUTED_VALUE"""),"Loan")</f>
        <v>Loan</v>
      </c>
      <c r="T189" t="str">
        <f>IFERROR(__xludf.DUMMYFUNCTION("""COMPUTED_VALUE"""),"Tesla Model 3")</f>
        <v>Tesla Model 3</v>
      </c>
      <c r="U189" t="str">
        <f>IFERROR(__xludf.DUMMYFUNCTION("""COMPUTED_VALUE"""),"Electric!")</f>
        <v>Electric!</v>
      </c>
      <c r="V189" t="str">
        <f>IFERROR(__xludf.DUMMYFUNCTION("""COMPUTED_VALUE"""),"Blind spot indicators on side mirrors")</f>
        <v>Blind spot indicators on side mirrors</v>
      </c>
      <c r="AH189" s="189">
        <f>IFERROR(__xludf.DUMMYFUNCTION("""COMPUTED_VALUE"""),44482.38770127315)</f>
        <v>44482.3877</v>
      </c>
    </row>
    <row r="190">
      <c r="A190" t="str">
        <f>IFERROR(__xludf.DUMMYFUNCTION("""COMPUTED_VALUE"""),"dizzy-d")</f>
        <v>dizzy-d</v>
      </c>
      <c r="B190" t="str">
        <f>IFERROR(__xludf.DUMMYFUNCTION("""COMPUTED_VALUE"""),"Chicago")</f>
        <v>Chicago</v>
      </c>
      <c r="C190" t="str">
        <f>IFERROR(__xludf.DUMMYFUNCTION("""COMPUTED_VALUE"""),"IL")</f>
        <v>IL</v>
      </c>
      <c r="D190" t="str">
        <f>IFERROR(__xludf.DUMMYFUNCTION("""COMPUTED_VALUE"""),"USA")</f>
        <v>USA</v>
      </c>
      <c r="E190" s="188">
        <f>IFERROR(__xludf.DUMMYFUNCTION("""COMPUTED_VALUE"""),43231.0)</f>
        <v>43231</v>
      </c>
      <c r="F190" s="188">
        <f>IFERROR(__xludf.DUMMYFUNCTION("""COMPUTED_VALUE"""),43257.0)</f>
        <v>43257</v>
      </c>
      <c r="H190">
        <f>IFERROR(__xludf.DUMMYFUNCTION("""COMPUTED_VALUE"""),25655.0)</f>
        <v>25655</v>
      </c>
      <c r="I190" t="str">
        <f>IFERROR(__xludf.DUMMYFUNCTION("""COMPUTED_VALUE"""),"05/18")</f>
        <v>05/18</v>
      </c>
      <c r="J190" s="5">
        <f>IFERROR(__xludf.DUMMYFUNCTION("""COMPUTED_VALUE"""),43267.0)</f>
        <v>43267</v>
      </c>
      <c r="K190">
        <f>IFERROR(__xludf.DUMMYFUNCTION("""COMPUTED_VALUE"""),26.0)</f>
        <v>26</v>
      </c>
      <c r="L190">
        <f>IFERROR(__xludf.DUMMYFUNCTION("""COMPUTED_VALUE"""),10.0)</f>
        <v>10</v>
      </c>
      <c r="M190">
        <f>IFERROR(__xludf.DUMMYFUNCTION("""COMPUTED_VALUE"""),36.0)</f>
        <v>36</v>
      </c>
      <c r="N190" t="str">
        <f>IFERROR(__xludf.DUMMYFUNCTION("""COMPUTED_VALUE"""),"Model 3 LR")</f>
        <v>Model 3 LR</v>
      </c>
      <c r="O190" t="str">
        <f>IFERROR(__xludf.DUMMYFUNCTION("""COMPUTED_VALUE"""),"Midnight Silver Metallic")</f>
        <v>Midnight Silver Metallic</v>
      </c>
      <c r="P190" t="str">
        <f>IFERROR(__xludf.DUMMYFUNCTION("""COMPUTED_VALUE"""),"18 inch Aero")</f>
        <v>18 inch Aero</v>
      </c>
      <c r="Q190" t="str">
        <f>IFERROR(__xludf.DUMMYFUNCTION("""COMPUTED_VALUE"""),"Black seats")</f>
        <v>Black seats</v>
      </c>
      <c r="R190" t="str">
        <f>IFERROR(__xludf.DUMMYFUNCTION("""COMPUTED_VALUE"""),"Enhanced Autopilot")</f>
        <v>Enhanced Autopilot</v>
      </c>
      <c r="X190" t="str">
        <f>IFERROR(__xludf.DUMMYFUNCTION("""COMPUTED_VALUE"""),"Excellent")</f>
        <v>Excellent</v>
      </c>
      <c r="Y190" t="str">
        <f>IFERROR(__xludf.DUMMYFUNCTION("""COMPUTED_VALUE"""),"Excellent")</f>
        <v>Excellent</v>
      </c>
      <c r="Z190" t="str">
        <f>IFERROR(__xludf.DUMMYFUNCTION("""COMPUTED_VALUE"""),"Excellent")</f>
        <v>Excellent</v>
      </c>
      <c r="AA190" t="str">
        <f>IFERROR(__xludf.DUMMYFUNCTION("""COMPUTED_VALUE"""),"Excellent")</f>
        <v>Excellent</v>
      </c>
      <c r="AB190" t="str">
        <f>IFERROR(__xludf.DUMMYFUNCTION("""COMPUTED_VALUE"""),"Excellent")</f>
        <v>Excellent</v>
      </c>
      <c r="AH190" s="189">
        <f>IFERROR(__xludf.DUMMYFUNCTION("""COMPUTED_VALUE"""),43270.37156706018)</f>
        <v>43270.37157</v>
      </c>
    </row>
    <row r="191">
      <c r="A191" t="str">
        <f>IFERROR(__xludf.DUMMYFUNCTION("""COMPUTED_VALUE"""),"zyzeast")</f>
        <v>zyzeast</v>
      </c>
      <c r="B191" t="str">
        <f>IFERROR(__xludf.DUMMYFUNCTION("""COMPUTED_VALUE"""),"Chicago")</f>
        <v>Chicago</v>
      </c>
      <c r="C191" t="str">
        <f>IFERROR(__xludf.DUMMYFUNCTION("""COMPUTED_VALUE"""),"IL")</f>
        <v>IL</v>
      </c>
      <c r="D191" t="str">
        <f>IFERROR(__xludf.DUMMYFUNCTION("""COMPUTED_VALUE"""),"USA")</f>
        <v>USA</v>
      </c>
      <c r="E191" s="188">
        <f>IFERROR(__xludf.DUMMYFUNCTION("""COMPUTED_VALUE"""),43203.0)</f>
        <v>43203</v>
      </c>
      <c r="H191">
        <f>IFERROR(__xludf.DUMMYFUNCTION("""COMPUTED_VALUE"""),22355.0)</f>
        <v>22355</v>
      </c>
      <c r="J191" s="5">
        <f>IFERROR(__xludf.DUMMYFUNCTION("""COMPUTED_VALUE"""),43257.0)</f>
        <v>43257</v>
      </c>
      <c r="M191">
        <f>IFERROR(__xludf.DUMMYFUNCTION("""COMPUTED_VALUE"""),54.0)</f>
        <v>54</v>
      </c>
      <c r="N191" t="str">
        <f>IFERROR(__xludf.DUMMYFUNCTION("""COMPUTED_VALUE"""),"Model 3 LR")</f>
        <v>Model 3 LR</v>
      </c>
      <c r="O191" t="str">
        <f>IFERROR(__xludf.DUMMYFUNCTION("""COMPUTED_VALUE"""),"Red Multi-Coat")</f>
        <v>Red Multi-Coat</v>
      </c>
      <c r="P191" t="str">
        <f>IFERROR(__xludf.DUMMYFUNCTION("""COMPUTED_VALUE"""),"18 inch Aero")</f>
        <v>18 inch Aero</v>
      </c>
      <c r="R191" t="str">
        <f>IFERROR(__xludf.DUMMYFUNCTION("""COMPUTED_VALUE"""),"Enhanced Autopilot")</f>
        <v>Enhanced Autopilot</v>
      </c>
      <c r="X191" t="str">
        <f>IFERROR(__xludf.DUMMYFUNCTION("""COMPUTED_VALUE"""),"Excellent")</f>
        <v>Excellent</v>
      </c>
      <c r="Y191" t="str">
        <f>IFERROR(__xludf.DUMMYFUNCTION("""COMPUTED_VALUE"""),"Excellent")</f>
        <v>Excellent</v>
      </c>
      <c r="Z191" t="str">
        <f>IFERROR(__xludf.DUMMYFUNCTION("""COMPUTED_VALUE"""),"Excellent")</f>
        <v>Excellent</v>
      </c>
      <c r="AA191" t="str">
        <f>IFERROR(__xludf.DUMMYFUNCTION("""COMPUTED_VALUE"""),"Excellent")</f>
        <v>Excellent</v>
      </c>
      <c r="AB191" t="str">
        <f>IFERROR(__xludf.DUMMYFUNCTION("""COMPUTED_VALUE"""),"Excellent")</f>
        <v>Excellent</v>
      </c>
      <c r="AH191" s="189">
        <f>IFERROR(__xludf.DUMMYFUNCTION("""COMPUTED_VALUE"""),43270.48625916667)</f>
        <v>43270.48626</v>
      </c>
    </row>
    <row r="192">
      <c r="A192" t="str">
        <f>IFERROR(__xludf.DUMMYFUNCTION("""COMPUTED_VALUE"""),"zhuology13")</f>
        <v>zhuology13</v>
      </c>
      <c r="B192" t="str">
        <f>IFERROR(__xludf.DUMMYFUNCTION("""COMPUTED_VALUE"""),"Los Angeles")</f>
        <v>Los Angeles</v>
      </c>
      <c r="C192" t="str">
        <f>IFERROR(__xludf.DUMMYFUNCTION("""COMPUTED_VALUE"""),"CA")</f>
        <v>CA</v>
      </c>
      <c r="D192" t="str">
        <f>IFERROR(__xludf.DUMMYFUNCTION("""COMPUTED_VALUE"""),"USA")</f>
        <v>USA</v>
      </c>
      <c r="E192" s="188">
        <f>IFERROR(__xludf.DUMMYFUNCTION("""COMPUTED_VALUE"""),43206.0)</f>
        <v>43206</v>
      </c>
      <c r="F192" s="188">
        <f>IFERROR(__xludf.DUMMYFUNCTION("""COMPUTED_VALUE"""),43185.0)</f>
        <v>43185</v>
      </c>
      <c r="H192">
        <f>IFERROR(__xludf.DUMMYFUNCTION("""COMPUTED_VALUE"""),21355.0)</f>
        <v>21355</v>
      </c>
      <c r="J192" s="5">
        <f>IFERROR(__xludf.DUMMYFUNCTION("""COMPUTED_VALUE"""),43253.0)</f>
        <v>43253</v>
      </c>
      <c r="L192">
        <f>IFERROR(__xludf.DUMMYFUNCTION("""COMPUTED_VALUE"""),68.0)</f>
        <v>68</v>
      </c>
      <c r="M192">
        <f>IFERROR(__xludf.DUMMYFUNCTION("""COMPUTED_VALUE"""),47.0)</f>
        <v>47</v>
      </c>
      <c r="N192" t="str">
        <f>IFERROR(__xludf.DUMMYFUNCTION("""COMPUTED_VALUE"""),"Model 3 LR")</f>
        <v>Model 3 LR</v>
      </c>
      <c r="O192" t="str">
        <f>IFERROR(__xludf.DUMMYFUNCTION("""COMPUTED_VALUE"""),"Midnight Silver Metallic")</f>
        <v>Midnight Silver Metallic</v>
      </c>
      <c r="P192" t="str">
        <f>IFERROR(__xludf.DUMMYFUNCTION("""COMPUTED_VALUE"""),"18 inch Aero")</f>
        <v>18 inch Aero</v>
      </c>
      <c r="Q192" t="str">
        <f>IFERROR(__xludf.DUMMYFUNCTION("""COMPUTED_VALUE"""),"Black seats")</f>
        <v>Black seats</v>
      </c>
      <c r="R192" t="str">
        <f>IFERROR(__xludf.DUMMYFUNCTION("""COMPUTED_VALUE"""),"Enhanced Autopilot")</f>
        <v>Enhanced Autopilot</v>
      </c>
      <c r="X192" t="str">
        <f>IFERROR(__xludf.DUMMYFUNCTION("""COMPUTED_VALUE"""),"Very Good")</f>
        <v>Very Good</v>
      </c>
      <c r="Y192" t="str">
        <f>IFERROR(__xludf.DUMMYFUNCTION("""COMPUTED_VALUE"""),"Very Good")</f>
        <v>Very Good</v>
      </c>
      <c r="Z192" t="str">
        <f>IFERROR(__xludf.DUMMYFUNCTION("""COMPUTED_VALUE"""),"Very Good")</f>
        <v>Very Good</v>
      </c>
      <c r="AA192" t="str">
        <f>IFERROR(__xludf.DUMMYFUNCTION("""COMPUTED_VALUE"""),"Very Good")</f>
        <v>Very Good</v>
      </c>
      <c r="AB192" t="str">
        <f>IFERROR(__xludf.DUMMYFUNCTION("""COMPUTED_VALUE"""),"Poor")</f>
        <v>Poor</v>
      </c>
      <c r="AH192" s="189">
        <f>IFERROR(__xludf.DUMMYFUNCTION("""COMPUTED_VALUE"""),43270.56199407407)</f>
        <v>43270.56199</v>
      </c>
    </row>
    <row r="193">
      <c r="A193" t="str">
        <f>IFERROR(__xludf.DUMMYFUNCTION("""COMPUTED_VALUE"""),"Polly Wog")</f>
        <v>Polly Wog</v>
      </c>
      <c r="B193" t="str">
        <f>IFERROR(__xludf.DUMMYFUNCTION("""COMPUTED_VALUE"""),"Kihei")</f>
        <v>Kihei</v>
      </c>
      <c r="C193" t="str">
        <f>IFERROR(__xludf.DUMMYFUNCTION("""COMPUTED_VALUE"""),"HI")</f>
        <v>HI</v>
      </c>
      <c r="D193" t="str">
        <f>IFERROR(__xludf.DUMMYFUNCTION("""COMPUTED_VALUE"""),"USA")</f>
        <v>USA</v>
      </c>
      <c r="E193" s="188">
        <f>IFERROR(__xludf.DUMMYFUNCTION("""COMPUTED_VALUE"""),43200.0)</f>
        <v>43200</v>
      </c>
      <c r="F193" s="188">
        <f>IFERROR(__xludf.DUMMYFUNCTION("""COMPUTED_VALUE"""),43233.0)</f>
        <v>43233</v>
      </c>
      <c r="H193">
        <f>IFERROR(__xludf.DUMMYFUNCTION("""COMPUTED_VALUE"""),22055.0)</f>
        <v>22055</v>
      </c>
      <c r="I193" t="str">
        <f>IFERROR(__xludf.DUMMYFUNCTION("""COMPUTED_VALUE"""),"05/18")</f>
        <v>05/18</v>
      </c>
      <c r="J193" s="5">
        <f>IFERROR(__xludf.DUMMYFUNCTION("""COMPUTED_VALUE"""),43270.0)</f>
        <v>43270</v>
      </c>
      <c r="K193">
        <f>IFERROR(__xludf.DUMMYFUNCTION("""COMPUTED_VALUE"""),33.0)</f>
        <v>33</v>
      </c>
      <c r="L193">
        <f>IFERROR(__xludf.DUMMYFUNCTION("""COMPUTED_VALUE"""),37.0)</f>
        <v>37</v>
      </c>
      <c r="M193">
        <f>IFERROR(__xludf.DUMMYFUNCTION("""COMPUTED_VALUE"""),70.0)</f>
        <v>70</v>
      </c>
      <c r="N193" t="str">
        <f>IFERROR(__xludf.DUMMYFUNCTION("""COMPUTED_VALUE"""),"Model 3 LR")</f>
        <v>Model 3 LR</v>
      </c>
      <c r="O193" t="str">
        <f>IFERROR(__xludf.DUMMYFUNCTION("""COMPUTED_VALUE"""),"Red Multi-Coat")</f>
        <v>Red Multi-Coat</v>
      </c>
      <c r="P193" t="str">
        <f>IFERROR(__xludf.DUMMYFUNCTION("""COMPUTED_VALUE"""),"18 inch Aero")</f>
        <v>18 inch Aero</v>
      </c>
      <c r="Q193" t="str">
        <f>IFERROR(__xludf.DUMMYFUNCTION("""COMPUTED_VALUE"""),"Black seats")</f>
        <v>Black seats</v>
      </c>
      <c r="R193" t="str">
        <f>IFERROR(__xludf.DUMMYFUNCTION("""COMPUTED_VALUE"""),"Enhanced Autopilot")</f>
        <v>Enhanced Autopilot</v>
      </c>
      <c r="X193" t="str">
        <f>IFERROR(__xludf.DUMMYFUNCTION("""COMPUTED_VALUE"""),"Excellent")</f>
        <v>Excellent</v>
      </c>
      <c r="Y193" t="str">
        <f>IFERROR(__xludf.DUMMYFUNCTION("""COMPUTED_VALUE"""),"Excellent")</f>
        <v>Excellent</v>
      </c>
      <c r="Z193" t="str">
        <f>IFERROR(__xludf.DUMMYFUNCTION("""COMPUTED_VALUE"""),"Excellent")</f>
        <v>Excellent</v>
      </c>
      <c r="AA193" t="str">
        <f>IFERROR(__xludf.DUMMYFUNCTION("""COMPUTED_VALUE"""),"Very Good")</f>
        <v>Very Good</v>
      </c>
      <c r="AB193" t="str">
        <f>IFERROR(__xludf.DUMMYFUNCTION("""COMPUTED_VALUE"""),"Excellent")</f>
        <v>Excellent</v>
      </c>
      <c r="AH193" s="189">
        <f>IFERROR(__xludf.DUMMYFUNCTION("""COMPUTED_VALUE"""),43270.722556203706)</f>
        <v>43270.72256</v>
      </c>
    </row>
    <row r="194">
      <c r="A194" t="str">
        <f>IFERROR(__xludf.DUMMYFUNCTION("""COMPUTED_VALUE"""),"zadams")</f>
        <v>zadams</v>
      </c>
      <c r="B194" t="str">
        <f>IFERROR(__xludf.DUMMYFUNCTION("""COMPUTED_VALUE"""),"Atlanta")</f>
        <v>Atlanta</v>
      </c>
      <c r="C194" t="str">
        <f>IFERROR(__xludf.DUMMYFUNCTION("""COMPUTED_VALUE"""),"GA")</f>
        <v>GA</v>
      </c>
      <c r="D194" t="str">
        <f>IFERROR(__xludf.DUMMYFUNCTION("""COMPUTED_VALUE"""),"USA")</f>
        <v>USA</v>
      </c>
      <c r="E194" s="188">
        <f>IFERROR(__xludf.DUMMYFUNCTION("""COMPUTED_VALUE"""),43215.0)</f>
        <v>43215</v>
      </c>
      <c r="F194" s="188">
        <f>IFERROR(__xludf.DUMMYFUNCTION("""COMPUTED_VALUE"""),43261.0)</f>
        <v>43261</v>
      </c>
      <c r="H194">
        <f>IFERROR(__xludf.DUMMYFUNCTION("""COMPUTED_VALUE"""),24255.0)</f>
        <v>24255</v>
      </c>
      <c r="I194" t="str">
        <f>IFERROR(__xludf.DUMMYFUNCTION("""COMPUTED_VALUE"""),"05/18")</f>
        <v>05/18</v>
      </c>
      <c r="J194" s="5">
        <f>IFERROR(__xludf.DUMMYFUNCTION("""COMPUTED_VALUE"""),43270.0)</f>
        <v>43270</v>
      </c>
      <c r="K194">
        <f>IFERROR(__xludf.DUMMYFUNCTION("""COMPUTED_VALUE"""),46.0)</f>
        <v>46</v>
      </c>
      <c r="L194">
        <f>IFERROR(__xludf.DUMMYFUNCTION("""COMPUTED_VALUE"""),9.0)</f>
        <v>9</v>
      </c>
      <c r="M194">
        <f>IFERROR(__xludf.DUMMYFUNCTION("""COMPUTED_VALUE"""),55.0)</f>
        <v>55</v>
      </c>
      <c r="N194" t="str">
        <f>IFERROR(__xludf.DUMMYFUNCTION("""COMPUTED_VALUE"""),"Model 3 LR")</f>
        <v>Model 3 LR</v>
      </c>
      <c r="O194" t="str">
        <f>IFERROR(__xludf.DUMMYFUNCTION("""COMPUTED_VALUE"""),"Silver Metallic")</f>
        <v>Silver Metallic</v>
      </c>
      <c r="P194" t="str">
        <f>IFERROR(__xludf.DUMMYFUNCTION("""COMPUTED_VALUE"""),"19 inch Sport")</f>
        <v>19 inch Sport</v>
      </c>
      <c r="Q194" t="str">
        <f>IFERROR(__xludf.DUMMYFUNCTION("""COMPUTED_VALUE"""),"Black seats")</f>
        <v>Black seats</v>
      </c>
      <c r="R194" t="str">
        <f>IFERROR(__xludf.DUMMYFUNCTION("""COMPUTED_VALUE"""),"Enhanced Autopilot")</f>
        <v>Enhanced Autopilot</v>
      </c>
      <c r="X194" t="str">
        <f>IFERROR(__xludf.DUMMYFUNCTION("""COMPUTED_VALUE"""),"Excellent")</f>
        <v>Excellent</v>
      </c>
      <c r="AA194" t="str">
        <f>IFERROR(__xludf.DUMMYFUNCTION("""COMPUTED_VALUE"""),"Very Good")</f>
        <v>Very Good</v>
      </c>
      <c r="AB194" t="str">
        <f>IFERROR(__xludf.DUMMYFUNCTION("""COMPUTED_VALUE"""),"Very Good")</f>
        <v>Very Good</v>
      </c>
      <c r="AH194" s="189">
        <f>IFERROR(__xludf.DUMMYFUNCTION("""COMPUTED_VALUE"""),43270.79905091436)</f>
        <v>43270.79905</v>
      </c>
    </row>
    <row r="195">
      <c r="A195" t="str">
        <f>IFERROR(__xludf.DUMMYFUNCTION("""COMPUTED_VALUE"""),"PUREZX")</f>
        <v>PUREZX</v>
      </c>
      <c r="B195" t="str">
        <f>IFERROR(__xludf.DUMMYFUNCTION("""COMPUTED_VALUE"""),"Portland")</f>
        <v>Portland</v>
      </c>
      <c r="C195" t="str">
        <f>IFERROR(__xludf.DUMMYFUNCTION("""COMPUTED_VALUE"""),"OR")</f>
        <v>OR</v>
      </c>
      <c r="D195" t="str">
        <f>IFERROR(__xludf.DUMMYFUNCTION("""COMPUTED_VALUE"""),"USA")</f>
        <v>USA</v>
      </c>
      <c r="E195" s="188">
        <f>IFERROR(__xludf.DUMMYFUNCTION("""COMPUTED_VALUE"""),43208.0)</f>
        <v>43208</v>
      </c>
      <c r="F195" s="188">
        <f>IFERROR(__xludf.DUMMYFUNCTION("""COMPUTED_VALUE"""),43252.0)</f>
        <v>43252</v>
      </c>
      <c r="H195">
        <f>IFERROR(__xludf.DUMMYFUNCTION("""COMPUTED_VALUE"""),26155.0)</f>
        <v>26155</v>
      </c>
      <c r="J195" s="5">
        <f>IFERROR(__xludf.DUMMYFUNCTION("""COMPUTED_VALUE"""),43264.0)</f>
        <v>43264</v>
      </c>
      <c r="K195">
        <f>IFERROR(__xludf.DUMMYFUNCTION("""COMPUTED_VALUE"""),44.0)</f>
        <v>44</v>
      </c>
      <c r="L195">
        <f>IFERROR(__xludf.DUMMYFUNCTION("""COMPUTED_VALUE"""),12.0)</f>
        <v>12</v>
      </c>
      <c r="M195">
        <f>IFERROR(__xludf.DUMMYFUNCTION("""COMPUTED_VALUE"""),56.0)</f>
        <v>56</v>
      </c>
      <c r="N195" t="str">
        <f>IFERROR(__xludf.DUMMYFUNCTION("""COMPUTED_VALUE"""),"Model 3 LR")</f>
        <v>Model 3 LR</v>
      </c>
      <c r="O195" t="str">
        <f>IFERROR(__xludf.DUMMYFUNCTION("""COMPUTED_VALUE"""),"Deep Blue Metallic")</f>
        <v>Deep Blue Metallic</v>
      </c>
      <c r="P195" t="str">
        <f>IFERROR(__xludf.DUMMYFUNCTION("""COMPUTED_VALUE"""),"18 inch Aero")</f>
        <v>18 inch Aero</v>
      </c>
      <c r="Q195" t="str">
        <f>IFERROR(__xludf.DUMMYFUNCTION("""COMPUTED_VALUE"""),"Black seats")</f>
        <v>Black seats</v>
      </c>
      <c r="R195" t="str">
        <f>IFERROR(__xludf.DUMMYFUNCTION("""COMPUTED_VALUE"""),"Enhanced Autopilot")</f>
        <v>Enhanced Autopilot</v>
      </c>
      <c r="X195" t="str">
        <f>IFERROR(__xludf.DUMMYFUNCTION("""COMPUTED_VALUE"""),"Very Good")</f>
        <v>Very Good</v>
      </c>
      <c r="Y195" t="str">
        <f>IFERROR(__xludf.DUMMYFUNCTION("""COMPUTED_VALUE"""),"Very Good")</f>
        <v>Very Good</v>
      </c>
      <c r="Z195" t="str">
        <f>IFERROR(__xludf.DUMMYFUNCTION("""COMPUTED_VALUE"""),"Fair")</f>
        <v>Fair</v>
      </c>
      <c r="AA195" t="str">
        <f>IFERROR(__xludf.DUMMYFUNCTION("""COMPUTED_VALUE"""),"Good")</f>
        <v>Good</v>
      </c>
      <c r="AB195" t="str">
        <f>IFERROR(__xludf.DUMMYFUNCTION("""COMPUTED_VALUE"""),"Poor")</f>
        <v>Poor</v>
      </c>
      <c r="AH195" s="189">
        <f>IFERROR(__xludf.DUMMYFUNCTION("""COMPUTED_VALUE"""),43270.86106314815)</f>
        <v>43270.86106</v>
      </c>
    </row>
    <row r="196">
      <c r="A196" t="str">
        <f>IFERROR(__xludf.DUMMYFUNCTION("""COMPUTED_VALUE"""),"wags")</f>
        <v>wags</v>
      </c>
      <c r="B196" t="str">
        <f>IFERROR(__xludf.DUMMYFUNCTION("""COMPUTED_VALUE"""),"Corning")</f>
        <v>Corning</v>
      </c>
      <c r="C196" t="str">
        <f>IFERROR(__xludf.DUMMYFUNCTION("""COMPUTED_VALUE"""),"NY")</f>
        <v>NY</v>
      </c>
      <c r="D196" t="str">
        <f>IFERROR(__xludf.DUMMYFUNCTION("""COMPUTED_VALUE"""),"USA")</f>
        <v>USA</v>
      </c>
      <c r="E196" s="188">
        <f>IFERROR(__xludf.DUMMYFUNCTION("""COMPUTED_VALUE"""),43205.0)</f>
        <v>43205</v>
      </c>
      <c r="F196" s="188">
        <f>IFERROR(__xludf.DUMMYFUNCTION("""COMPUTED_VALUE"""),43245.0)</f>
        <v>43245</v>
      </c>
      <c r="H196">
        <f>IFERROR(__xludf.DUMMYFUNCTION("""COMPUTED_VALUE"""),26055.0)</f>
        <v>26055</v>
      </c>
      <c r="I196" t="str">
        <f>IFERROR(__xludf.DUMMYFUNCTION("""COMPUTED_VALUE"""),"05/18")</f>
        <v>05/18</v>
      </c>
      <c r="J196" s="5">
        <f>IFERROR(__xludf.DUMMYFUNCTION("""COMPUTED_VALUE"""),43269.0)</f>
        <v>43269</v>
      </c>
      <c r="K196">
        <f>IFERROR(__xludf.DUMMYFUNCTION("""COMPUTED_VALUE"""),40.0)</f>
        <v>40</v>
      </c>
      <c r="L196">
        <f>IFERROR(__xludf.DUMMYFUNCTION("""COMPUTED_VALUE"""),24.0)</f>
        <v>24</v>
      </c>
      <c r="M196">
        <f>IFERROR(__xludf.DUMMYFUNCTION("""COMPUTED_VALUE"""),64.0)</f>
        <v>64</v>
      </c>
      <c r="N196" t="str">
        <f>IFERROR(__xludf.DUMMYFUNCTION("""COMPUTED_VALUE"""),"Model 3 LR")</f>
        <v>Model 3 LR</v>
      </c>
      <c r="O196" t="str">
        <f>IFERROR(__xludf.DUMMYFUNCTION("""COMPUTED_VALUE"""),"Red Multi-Coat")</f>
        <v>Red Multi-Coat</v>
      </c>
      <c r="P196" t="str">
        <f>IFERROR(__xludf.DUMMYFUNCTION("""COMPUTED_VALUE"""),"18 inch Aero")</f>
        <v>18 inch Aero</v>
      </c>
      <c r="Q196" t="str">
        <f>IFERROR(__xludf.DUMMYFUNCTION("""COMPUTED_VALUE"""),"Black seats")</f>
        <v>Black seats</v>
      </c>
      <c r="R196" t="str">
        <f>IFERROR(__xludf.DUMMYFUNCTION("""COMPUTED_VALUE"""),"None")</f>
        <v>None</v>
      </c>
      <c r="X196" t="str">
        <f>IFERROR(__xludf.DUMMYFUNCTION("""COMPUTED_VALUE"""),"Excellent")</f>
        <v>Excellent</v>
      </c>
      <c r="Y196" t="str">
        <f>IFERROR(__xludf.DUMMYFUNCTION("""COMPUTED_VALUE"""),"Excellent")</f>
        <v>Excellent</v>
      </c>
      <c r="Z196" t="str">
        <f>IFERROR(__xludf.DUMMYFUNCTION("""COMPUTED_VALUE"""),"Excellent")</f>
        <v>Excellent</v>
      </c>
      <c r="AA196" t="str">
        <f>IFERROR(__xludf.DUMMYFUNCTION("""COMPUTED_VALUE"""),"Very Good")</f>
        <v>Very Good</v>
      </c>
      <c r="AB196" t="str">
        <f>IFERROR(__xludf.DUMMYFUNCTION("""COMPUTED_VALUE"""),"Very Good")</f>
        <v>Very Good</v>
      </c>
      <c r="AG196" t="str">
        <f>IFERROR(__xludf.DUMMYFUNCTION("""COMPUTED_VALUE"""),"We drove 250 miles to take delivery.  Need to have more delivery sites.")</f>
        <v>We drove 250 miles to take delivery.  Need to have more delivery sites.</v>
      </c>
      <c r="AH196" s="189">
        <f>IFERROR(__xludf.DUMMYFUNCTION("""COMPUTED_VALUE"""),43271.25441217593)</f>
        <v>43271.25441</v>
      </c>
    </row>
    <row r="197">
      <c r="A197" t="str">
        <f>IFERROR(__xludf.DUMMYFUNCTION("""COMPUTED_VALUE"""),"s0schen")</f>
        <v>s0schen</v>
      </c>
      <c r="B197" t="str">
        <f>IFERROR(__xludf.DUMMYFUNCTION("""COMPUTED_VALUE"""),"Houston")</f>
        <v>Houston</v>
      </c>
      <c r="C197" t="str">
        <f>IFERROR(__xludf.DUMMYFUNCTION("""COMPUTED_VALUE"""),"TX")</f>
        <v>TX</v>
      </c>
      <c r="D197" t="str">
        <f>IFERROR(__xludf.DUMMYFUNCTION("""COMPUTED_VALUE"""),"USA")</f>
        <v>USA</v>
      </c>
      <c r="E197" s="188">
        <f>IFERROR(__xludf.DUMMYFUNCTION("""COMPUTED_VALUE"""),43203.0)</f>
        <v>43203</v>
      </c>
      <c r="F197" s="188">
        <f>IFERROR(__xludf.DUMMYFUNCTION("""COMPUTED_VALUE"""),43243.0)</f>
        <v>43243</v>
      </c>
      <c r="H197">
        <f>IFERROR(__xludf.DUMMYFUNCTION("""COMPUTED_VALUE"""),25655.0)</f>
        <v>25655</v>
      </c>
      <c r="I197" t="str">
        <f>IFERROR(__xludf.DUMMYFUNCTION("""COMPUTED_VALUE"""),"05/18")</f>
        <v>05/18</v>
      </c>
      <c r="J197" s="5">
        <f>IFERROR(__xludf.DUMMYFUNCTION("""COMPUTED_VALUE"""),43272.0)</f>
        <v>43272</v>
      </c>
      <c r="K197">
        <f>IFERROR(__xludf.DUMMYFUNCTION("""COMPUTED_VALUE"""),40.0)</f>
        <v>40</v>
      </c>
      <c r="L197">
        <f>IFERROR(__xludf.DUMMYFUNCTION("""COMPUTED_VALUE"""),29.0)</f>
        <v>29</v>
      </c>
      <c r="M197">
        <f>IFERROR(__xludf.DUMMYFUNCTION("""COMPUTED_VALUE"""),69.0)</f>
        <v>69</v>
      </c>
      <c r="N197" t="str">
        <f>IFERROR(__xludf.DUMMYFUNCTION("""COMPUTED_VALUE"""),"Model 3 LR")</f>
        <v>Model 3 LR</v>
      </c>
      <c r="O197" t="str">
        <f>IFERROR(__xludf.DUMMYFUNCTION("""COMPUTED_VALUE"""),"Midnight Silver Metallic")</f>
        <v>Midnight Silver Metallic</v>
      </c>
      <c r="P197" t="str">
        <f>IFERROR(__xludf.DUMMYFUNCTION("""COMPUTED_VALUE"""),"18 inch Aero")</f>
        <v>18 inch Aero</v>
      </c>
      <c r="Q197" t="str">
        <f>IFERROR(__xludf.DUMMYFUNCTION("""COMPUTED_VALUE"""),"Black seats")</f>
        <v>Black seats</v>
      </c>
      <c r="R197" t="str">
        <f>IFERROR(__xludf.DUMMYFUNCTION("""COMPUTED_VALUE"""),"Enhanced Autopilot")</f>
        <v>Enhanced Autopilot</v>
      </c>
      <c r="X197" t="str">
        <f>IFERROR(__xludf.DUMMYFUNCTION("""COMPUTED_VALUE"""),"Good")</f>
        <v>Good</v>
      </c>
      <c r="Y197" t="str">
        <f>IFERROR(__xludf.DUMMYFUNCTION("""COMPUTED_VALUE"""),"Excellent")</f>
        <v>Excellent</v>
      </c>
      <c r="Z197" t="str">
        <f>IFERROR(__xludf.DUMMYFUNCTION("""COMPUTED_VALUE"""),"Excellent")</f>
        <v>Excellent</v>
      </c>
      <c r="AA197" t="str">
        <f>IFERROR(__xludf.DUMMYFUNCTION("""COMPUTED_VALUE"""),"Good")</f>
        <v>Good</v>
      </c>
      <c r="AB197" t="str">
        <f>IFERROR(__xludf.DUMMYFUNCTION("""COMPUTED_VALUE"""),"Excellent")</f>
        <v>Excellent</v>
      </c>
      <c r="AH197" s="189">
        <f>IFERROR(__xludf.DUMMYFUNCTION("""COMPUTED_VALUE"""),43271.829416099536)</f>
        <v>43271.82942</v>
      </c>
    </row>
    <row r="198">
      <c r="A198" t="str">
        <f>IFERROR(__xludf.DUMMYFUNCTION("""COMPUTED_VALUE"""),"greenwood")</f>
        <v>greenwood</v>
      </c>
      <c r="B198" t="str">
        <f>IFERROR(__xludf.DUMMYFUNCTION("""COMPUTED_VALUE"""),"Seattle")</f>
        <v>Seattle</v>
      </c>
      <c r="C198" t="str">
        <f>IFERROR(__xludf.DUMMYFUNCTION("""COMPUTED_VALUE"""),"WA")</f>
        <v>WA</v>
      </c>
      <c r="D198" t="str">
        <f>IFERROR(__xludf.DUMMYFUNCTION("""COMPUTED_VALUE"""),"USA")</f>
        <v>USA</v>
      </c>
      <c r="E198" s="188">
        <f>IFERROR(__xludf.DUMMYFUNCTION("""COMPUTED_VALUE"""),43222.0)</f>
        <v>43222</v>
      </c>
      <c r="F198" s="188">
        <f>IFERROR(__xludf.DUMMYFUNCTION("""COMPUTED_VALUE"""),43227.0)</f>
        <v>43227</v>
      </c>
      <c r="H198">
        <f>IFERROR(__xludf.DUMMYFUNCTION("""COMPUTED_VALUE"""),16455.0)</f>
        <v>16455</v>
      </c>
      <c r="I198" t="str">
        <f>IFERROR(__xludf.DUMMYFUNCTION("""COMPUTED_VALUE"""),"05/18")</f>
        <v>05/18</v>
      </c>
      <c r="J198" s="5">
        <f>IFERROR(__xludf.DUMMYFUNCTION("""COMPUTED_VALUE"""),43247.0)</f>
        <v>43247</v>
      </c>
      <c r="K198">
        <f>IFERROR(__xludf.DUMMYFUNCTION("""COMPUTED_VALUE"""),5.0)</f>
        <v>5</v>
      </c>
      <c r="L198">
        <f>IFERROR(__xludf.DUMMYFUNCTION("""COMPUTED_VALUE"""),20.0)</f>
        <v>20</v>
      </c>
      <c r="M198">
        <f>IFERROR(__xludf.DUMMYFUNCTION("""COMPUTED_VALUE"""),25.0)</f>
        <v>25</v>
      </c>
      <c r="N198" t="str">
        <f>IFERROR(__xludf.DUMMYFUNCTION("""COMPUTED_VALUE"""),"Model 3 LR")</f>
        <v>Model 3 LR</v>
      </c>
      <c r="O198" t="str">
        <f>IFERROR(__xludf.DUMMYFUNCTION("""COMPUTED_VALUE"""),"Midnight Silver Metallic")</f>
        <v>Midnight Silver Metallic</v>
      </c>
      <c r="P198" t="str">
        <f>IFERROR(__xludf.DUMMYFUNCTION("""COMPUTED_VALUE"""),"18 inch Aero")</f>
        <v>18 inch Aero</v>
      </c>
      <c r="Q198" t="str">
        <f>IFERROR(__xludf.DUMMYFUNCTION("""COMPUTED_VALUE"""),"Black seats")</f>
        <v>Black seats</v>
      </c>
      <c r="R198" t="str">
        <f>IFERROR(__xludf.DUMMYFUNCTION("""COMPUTED_VALUE"""),"Enhanced Autopilot")</f>
        <v>Enhanced Autopilot</v>
      </c>
      <c r="X198" t="str">
        <f>IFERROR(__xludf.DUMMYFUNCTION("""COMPUTED_VALUE"""),"Excellent")</f>
        <v>Excellent</v>
      </c>
      <c r="Y198" t="str">
        <f>IFERROR(__xludf.DUMMYFUNCTION("""COMPUTED_VALUE"""),"Excellent")</f>
        <v>Excellent</v>
      </c>
      <c r="Z198" t="str">
        <f>IFERROR(__xludf.DUMMYFUNCTION("""COMPUTED_VALUE"""),"Excellent")</f>
        <v>Excellent</v>
      </c>
      <c r="AA198" t="str">
        <f>IFERROR(__xludf.DUMMYFUNCTION("""COMPUTED_VALUE"""),"Very Good")</f>
        <v>Very Good</v>
      </c>
      <c r="AB198" t="str">
        <f>IFERROR(__xludf.DUMMYFUNCTION("""COMPUTED_VALUE"""),"Very Good")</f>
        <v>Very Good</v>
      </c>
      <c r="AH198" s="189">
        <f>IFERROR(__xludf.DUMMYFUNCTION("""COMPUTED_VALUE"""),43272.61712335648)</f>
        <v>43272.61712</v>
      </c>
    </row>
    <row r="199">
      <c r="A199" t="str">
        <f>IFERROR(__xludf.DUMMYFUNCTION("""COMPUTED_VALUE"""),"m3toronto")</f>
        <v>m3toronto</v>
      </c>
      <c r="B199" t="str">
        <f>IFERROR(__xludf.DUMMYFUNCTION("""COMPUTED_VALUE"""),"toronto")</f>
        <v>toronto</v>
      </c>
      <c r="C199" t="str">
        <f>IFERROR(__xludf.DUMMYFUNCTION("""COMPUTED_VALUE"""),"ON")</f>
        <v>ON</v>
      </c>
      <c r="D199" t="str">
        <f>IFERROR(__xludf.DUMMYFUNCTION("""COMPUTED_VALUE"""),"Canada")</f>
        <v>Canada</v>
      </c>
      <c r="E199" s="188">
        <f>IFERROR(__xludf.DUMMYFUNCTION("""COMPUTED_VALUE"""),43187.0)</f>
        <v>43187</v>
      </c>
      <c r="F199" s="188">
        <f>IFERROR(__xludf.DUMMYFUNCTION("""COMPUTED_VALUE"""),43223.0)</f>
        <v>43223</v>
      </c>
      <c r="H199">
        <f>IFERROR(__xludf.DUMMYFUNCTION("""COMPUTED_VALUE"""),21055.0)</f>
        <v>21055</v>
      </c>
      <c r="I199" t="str">
        <f>IFERROR(__xludf.DUMMYFUNCTION("""COMPUTED_VALUE"""),"05/18")</f>
        <v>05/18</v>
      </c>
      <c r="J199" s="5">
        <f>IFERROR(__xludf.DUMMYFUNCTION("""COMPUTED_VALUE"""),43253.0)</f>
        <v>43253</v>
      </c>
      <c r="K199">
        <f>IFERROR(__xludf.DUMMYFUNCTION("""COMPUTED_VALUE"""),36.0)</f>
        <v>36</v>
      </c>
      <c r="L199">
        <f>IFERROR(__xludf.DUMMYFUNCTION("""COMPUTED_VALUE"""),30.0)</f>
        <v>30</v>
      </c>
      <c r="M199">
        <f>IFERROR(__xludf.DUMMYFUNCTION("""COMPUTED_VALUE"""),66.0)</f>
        <v>66</v>
      </c>
      <c r="N199" t="str">
        <f>IFERROR(__xludf.DUMMYFUNCTION("""COMPUTED_VALUE"""),"Model 3 LR")</f>
        <v>Model 3 LR</v>
      </c>
      <c r="O199" t="str">
        <f>IFERROR(__xludf.DUMMYFUNCTION("""COMPUTED_VALUE"""),"Solid Black")</f>
        <v>Solid Black</v>
      </c>
      <c r="P199" t="str">
        <f>IFERROR(__xludf.DUMMYFUNCTION("""COMPUTED_VALUE"""),"18 inch Aero")</f>
        <v>18 inch Aero</v>
      </c>
      <c r="Q199" t="str">
        <f>IFERROR(__xludf.DUMMYFUNCTION("""COMPUTED_VALUE"""),"Black seats")</f>
        <v>Black seats</v>
      </c>
      <c r="R199" t="str">
        <f>IFERROR(__xludf.DUMMYFUNCTION("""COMPUTED_VALUE"""),"None")</f>
        <v>None</v>
      </c>
      <c r="X199" t="str">
        <f>IFERROR(__xludf.DUMMYFUNCTION("""COMPUTED_VALUE"""),"Excellent")</f>
        <v>Excellent</v>
      </c>
      <c r="Y199" t="str">
        <f>IFERROR(__xludf.DUMMYFUNCTION("""COMPUTED_VALUE"""),"Excellent")</f>
        <v>Excellent</v>
      </c>
      <c r="Z199" t="str">
        <f>IFERROR(__xludf.DUMMYFUNCTION("""COMPUTED_VALUE"""),"Excellent")</f>
        <v>Excellent</v>
      </c>
      <c r="AA199" t="str">
        <f>IFERROR(__xludf.DUMMYFUNCTION("""COMPUTED_VALUE"""),"Excellent")</f>
        <v>Excellent</v>
      </c>
      <c r="AB199" t="str">
        <f>IFERROR(__xludf.DUMMYFUNCTION("""COMPUTED_VALUE"""),"Excellent")</f>
        <v>Excellent</v>
      </c>
      <c r="AH199" s="189">
        <f>IFERROR(__xludf.DUMMYFUNCTION("""COMPUTED_VALUE"""),43272.83707324074)</f>
        <v>43272.83707</v>
      </c>
    </row>
    <row r="200">
      <c r="A200" t="str">
        <f>IFERROR(__xludf.DUMMYFUNCTION("""COMPUTED_VALUE"""),"travel4b")</f>
        <v>travel4b</v>
      </c>
      <c r="B200" t="str">
        <f>IFERROR(__xludf.DUMMYFUNCTION("""COMPUTED_VALUE"""),"Norfolk")</f>
        <v>Norfolk</v>
      </c>
      <c r="C200" t="str">
        <f>IFERROR(__xludf.DUMMYFUNCTION("""COMPUTED_VALUE"""),"VA")</f>
        <v>VA</v>
      </c>
      <c r="D200" t="str">
        <f>IFERROR(__xludf.DUMMYFUNCTION("""COMPUTED_VALUE"""),"USA")</f>
        <v>USA</v>
      </c>
      <c r="E200" s="188">
        <f>IFERROR(__xludf.DUMMYFUNCTION("""COMPUTED_VALUE"""),43167.0)</f>
        <v>43167</v>
      </c>
      <c r="F200" s="188">
        <f>IFERROR(__xludf.DUMMYFUNCTION("""COMPUTED_VALUE"""),43171.0)</f>
        <v>43171</v>
      </c>
      <c r="H200">
        <f>IFERROR(__xludf.DUMMYFUNCTION("""COMPUTED_VALUE"""),9635.0)</f>
        <v>9635</v>
      </c>
      <c r="J200" s="5">
        <f>IFERROR(__xludf.DUMMYFUNCTION("""COMPUTED_VALUE"""),43197.0)</f>
        <v>43197</v>
      </c>
      <c r="K200">
        <f>IFERROR(__xludf.DUMMYFUNCTION("""COMPUTED_VALUE"""),4.0)</f>
        <v>4</v>
      </c>
      <c r="L200">
        <f>IFERROR(__xludf.DUMMYFUNCTION("""COMPUTED_VALUE"""),26.0)</f>
        <v>26</v>
      </c>
      <c r="M200">
        <f>IFERROR(__xludf.DUMMYFUNCTION("""COMPUTED_VALUE"""),30.0)</f>
        <v>30</v>
      </c>
      <c r="N200" t="str">
        <f>IFERROR(__xludf.DUMMYFUNCTION("""COMPUTED_VALUE"""),"Model 3 LR")</f>
        <v>Model 3 LR</v>
      </c>
      <c r="O200" t="str">
        <f>IFERROR(__xludf.DUMMYFUNCTION("""COMPUTED_VALUE"""),"Silver Metallic")</f>
        <v>Silver Metallic</v>
      </c>
      <c r="P200" t="str">
        <f>IFERROR(__xludf.DUMMYFUNCTION("""COMPUTED_VALUE"""),"19 inch Sport")</f>
        <v>19 inch Sport</v>
      </c>
      <c r="Q200" t="str">
        <f>IFERROR(__xludf.DUMMYFUNCTION("""COMPUTED_VALUE"""),"Black seats")</f>
        <v>Black seats</v>
      </c>
      <c r="R200" t="str">
        <f>IFERROR(__xludf.DUMMYFUNCTION("""COMPUTED_VALUE"""),"None")</f>
        <v>None</v>
      </c>
      <c r="X200" t="str">
        <f>IFERROR(__xludf.DUMMYFUNCTION("""COMPUTED_VALUE"""),"Excellent")</f>
        <v>Excellent</v>
      </c>
      <c r="Y200" t="str">
        <f>IFERROR(__xludf.DUMMYFUNCTION("""COMPUTED_VALUE"""),"Excellent")</f>
        <v>Excellent</v>
      </c>
      <c r="Z200" t="str">
        <f>IFERROR(__xludf.DUMMYFUNCTION("""COMPUTED_VALUE"""),"Good")</f>
        <v>Good</v>
      </c>
      <c r="AB200" t="str">
        <f>IFERROR(__xludf.DUMMYFUNCTION("""COMPUTED_VALUE"""),"Good")</f>
        <v>Good</v>
      </c>
      <c r="AG200" t="str">
        <f>IFERROR(__xludf.DUMMYFUNCTION("""COMPUTED_VALUE"""),"bumper scratch; required repainting")</f>
        <v>bumper scratch; required repainting</v>
      </c>
      <c r="AH200" s="189">
        <f>IFERROR(__xludf.DUMMYFUNCTION("""COMPUTED_VALUE"""),43273.47272288194)</f>
        <v>43273.47272</v>
      </c>
    </row>
    <row r="201">
      <c r="A201" t="str">
        <f>IFERROR(__xludf.DUMMYFUNCTION("""COMPUTED_VALUE"""),"TT97")</f>
        <v>TT97</v>
      </c>
      <c r="B201" t="str">
        <f>IFERROR(__xludf.DUMMYFUNCTION("""COMPUTED_VALUE"""),"Los Angeles")</f>
        <v>Los Angeles</v>
      </c>
      <c r="C201" t="str">
        <f>IFERROR(__xludf.DUMMYFUNCTION("""COMPUTED_VALUE"""),"CA")</f>
        <v>CA</v>
      </c>
      <c r="D201" t="str">
        <f>IFERROR(__xludf.DUMMYFUNCTION("""COMPUTED_VALUE"""),"USA")</f>
        <v>USA</v>
      </c>
      <c r="E201" s="188">
        <f>IFERROR(__xludf.DUMMYFUNCTION("""COMPUTED_VALUE"""),43208.0)</f>
        <v>43208</v>
      </c>
      <c r="F201" s="188">
        <f>IFERROR(__xludf.DUMMYFUNCTION("""COMPUTED_VALUE"""),43242.0)</f>
        <v>43242</v>
      </c>
      <c r="H201">
        <f>IFERROR(__xludf.DUMMYFUNCTION("""COMPUTED_VALUE"""),20755.0)</f>
        <v>20755</v>
      </c>
      <c r="I201" t="str">
        <f>IFERROR(__xludf.DUMMYFUNCTION("""COMPUTED_VALUE"""),"05/18")</f>
        <v>05/18</v>
      </c>
      <c r="J201" s="5">
        <f>IFERROR(__xludf.DUMMYFUNCTION("""COMPUTED_VALUE"""),43249.0)</f>
        <v>43249</v>
      </c>
      <c r="K201">
        <f>IFERROR(__xludf.DUMMYFUNCTION("""COMPUTED_VALUE"""),34.0)</f>
        <v>34</v>
      </c>
      <c r="L201">
        <f>IFERROR(__xludf.DUMMYFUNCTION("""COMPUTED_VALUE"""),7.0)</f>
        <v>7</v>
      </c>
      <c r="M201">
        <f>IFERROR(__xludf.DUMMYFUNCTION("""COMPUTED_VALUE"""),41.0)</f>
        <v>41</v>
      </c>
      <c r="N201" t="str">
        <f>IFERROR(__xludf.DUMMYFUNCTION("""COMPUTED_VALUE"""),"Model 3 LR")</f>
        <v>Model 3 LR</v>
      </c>
      <c r="O201" t="str">
        <f>IFERROR(__xludf.DUMMYFUNCTION("""COMPUTED_VALUE"""),"Solid Black")</f>
        <v>Solid Black</v>
      </c>
      <c r="P201" t="str">
        <f>IFERROR(__xludf.DUMMYFUNCTION("""COMPUTED_VALUE"""),"18 inch Aero")</f>
        <v>18 inch Aero</v>
      </c>
      <c r="Q201" t="str">
        <f>IFERROR(__xludf.DUMMYFUNCTION("""COMPUTED_VALUE"""),"Black seats")</f>
        <v>Black seats</v>
      </c>
      <c r="R201" t="str">
        <f>IFERROR(__xludf.DUMMYFUNCTION("""COMPUTED_VALUE"""),"Full Self-Driving")</f>
        <v>Full Self-Driving</v>
      </c>
      <c r="X201" t="str">
        <f>IFERROR(__xludf.DUMMYFUNCTION("""COMPUTED_VALUE"""),"Excellent")</f>
        <v>Excellent</v>
      </c>
      <c r="Y201" t="str">
        <f>IFERROR(__xludf.DUMMYFUNCTION("""COMPUTED_VALUE"""),"Very Good")</f>
        <v>Very Good</v>
      </c>
      <c r="Z201" t="str">
        <f>IFERROR(__xludf.DUMMYFUNCTION("""COMPUTED_VALUE"""),"Excellent")</f>
        <v>Excellent</v>
      </c>
      <c r="AA201" t="str">
        <f>IFERROR(__xludf.DUMMYFUNCTION("""COMPUTED_VALUE"""),"Excellent")</f>
        <v>Excellent</v>
      </c>
      <c r="AB201" t="str">
        <f>IFERROR(__xludf.DUMMYFUNCTION("""COMPUTED_VALUE"""),"Excellent")</f>
        <v>Excellent</v>
      </c>
      <c r="AH201" s="189">
        <f>IFERROR(__xludf.DUMMYFUNCTION("""COMPUTED_VALUE"""),43273.75211619213)</f>
        <v>43273.75212</v>
      </c>
    </row>
    <row r="202">
      <c r="A202" t="str">
        <f>IFERROR(__xludf.DUMMYFUNCTION("""COMPUTED_VALUE"""),"devilmountain")</f>
        <v>devilmountain</v>
      </c>
      <c r="B202" t="str">
        <f>IFERROR(__xludf.DUMMYFUNCTION("""COMPUTED_VALUE"""),"Walnut Creek")</f>
        <v>Walnut Creek</v>
      </c>
      <c r="C202" t="str">
        <f>IFERROR(__xludf.DUMMYFUNCTION("""COMPUTED_VALUE"""),"CA")</f>
        <v>CA</v>
      </c>
      <c r="D202" t="str">
        <f>IFERROR(__xludf.DUMMYFUNCTION("""COMPUTED_VALUE"""),"USA")</f>
        <v>USA</v>
      </c>
      <c r="E202" s="188">
        <f>IFERROR(__xludf.DUMMYFUNCTION("""COMPUTED_VALUE"""),43208.0)</f>
        <v>43208</v>
      </c>
      <c r="F202" s="188">
        <f>IFERROR(__xludf.DUMMYFUNCTION("""COMPUTED_VALUE"""),43242.0)</f>
        <v>43242</v>
      </c>
      <c r="H202">
        <f>IFERROR(__xludf.DUMMYFUNCTION("""COMPUTED_VALUE"""),24765.0)</f>
        <v>24765</v>
      </c>
      <c r="I202" t="str">
        <f>IFERROR(__xludf.DUMMYFUNCTION("""COMPUTED_VALUE"""),"05/18")</f>
        <v>05/18</v>
      </c>
      <c r="J202" s="5">
        <f>IFERROR(__xludf.DUMMYFUNCTION("""COMPUTED_VALUE"""),43254.0)</f>
        <v>43254</v>
      </c>
      <c r="K202">
        <f>IFERROR(__xludf.DUMMYFUNCTION("""COMPUTED_VALUE"""),34.0)</f>
        <v>34</v>
      </c>
      <c r="L202">
        <f>IFERROR(__xludf.DUMMYFUNCTION("""COMPUTED_VALUE"""),12.0)</f>
        <v>12</v>
      </c>
      <c r="M202">
        <f>IFERROR(__xludf.DUMMYFUNCTION("""COMPUTED_VALUE"""),46.0)</f>
        <v>46</v>
      </c>
      <c r="N202" t="str">
        <f>IFERROR(__xludf.DUMMYFUNCTION("""COMPUTED_VALUE"""),"Model 3 LR")</f>
        <v>Model 3 LR</v>
      </c>
      <c r="O202" t="str">
        <f>IFERROR(__xludf.DUMMYFUNCTION("""COMPUTED_VALUE"""),"Deep Blue Metallic")</f>
        <v>Deep Blue Metallic</v>
      </c>
      <c r="P202" t="str">
        <f>IFERROR(__xludf.DUMMYFUNCTION("""COMPUTED_VALUE"""),"19 inch Sport")</f>
        <v>19 inch Sport</v>
      </c>
      <c r="R202" t="str">
        <f>IFERROR(__xludf.DUMMYFUNCTION("""COMPUTED_VALUE"""),"Enhanced Autopilot")</f>
        <v>Enhanced Autopilot</v>
      </c>
      <c r="X202" t="str">
        <f>IFERROR(__xludf.DUMMYFUNCTION("""COMPUTED_VALUE"""),"Excellent")</f>
        <v>Excellent</v>
      </c>
      <c r="Y202" t="str">
        <f>IFERROR(__xludf.DUMMYFUNCTION("""COMPUTED_VALUE"""),"Excellent")</f>
        <v>Excellent</v>
      </c>
      <c r="Z202" t="str">
        <f>IFERROR(__xludf.DUMMYFUNCTION("""COMPUTED_VALUE"""),"Excellent")</f>
        <v>Excellent</v>
      </c>
      <c r="AA202" t="str">
        <f>IFERROR(__xludf.DUMMYFUNCTION("""COMPUTED_VALUE"""),"Very Good")</f>
        <v>Very Good</v>
      </c>
      <c r="AB202" t="str">
        <f>IFERROR(__xludf.DUMMYFUNCTION("""COMPUTED_VALUE"""),"Very Good")</f>
        <v>Very Good</v>
      </c>
      <c r="AH202" s="189">
        <f>IFERROR(__xludf.DUMMYFUNCTION("""COMPUTED_VALUE"""),43273.811508495375)</f>
        <v>43273.81151</v>
      </c>
    </row>
    <row r="203">
      <c r="A203" t="str">
        <f>IFERROR(__xludf.DUMMYFUNCTION("""COMPUTED_VALUE"""),"KuroAlphaM3")</f>
        <v>KuroAlphaM3</v>
      </c>
      <c r="B203" t="str">
        <f>IFERROR(__xludf.DUMMYFUNCTION("""COMPUTED_VALUE"""),"Alpharetta ")</f>
        <v>Alpharetta </v>
      </c>
      <c r="C203" t="str">
        <f>IFERROR(__xludf.DUMMYFUNCTION("""COMPUTED_VALUE"""),"GA")</f>
        <v>GA</v>
      </c>
      <c r="D203" t="str">
        <f>IFERROR(__xludf.DUMMYFUNCTION("""COMPUTED_VALUE"""),"USA")</f>
        <v>USA</v>
      </c>
      <c r="E203" s="188">
        <f>IFERROR(__xludf.DUMMYFUNCTION("""COMPUTED_VALUE"""),43215.0)</f>
        <v>43215</v>
      </c>
      <c r="F203" s="188">
        <f>IFERROR(__xludf.DUMMYFUNCTION("""COMPUTED_VALUE"""),43254.0)</f>
        <v>43254</v>
      </c>
      <c r="H203">
        <f>IFERROR(__xludf.DUMMYFUNCTION("""COMPUTED_VALUE"""),31955.0)</f>
        <v>31955</v>
      </c>
      <c r="J203" s="5">
        <f>IFERROR(__xludf.DUMMYFUNCTION("""COMPUTED_VALUE"""),43273.0)</f>
        <v>43273</v>
      </c>
      <c r="K203">
        <f>IFERROR(__xludf.DUMMYFUNCTION("""COMPUTED_VALUE"""),39.0)</f>
        <v>39</v>
      </c>
      <c r="L203">
        <f>IFERROR(__xludf.DUMMYFUNCTION("""COMPUTED_VALUE"""),19.0)</f>
        <v>19</v>
      </c>
      <c r="M203">
        <f>IFERROR(__xludf.DUMMYFUNCTION("""COMPUTED_VALUE"""),58.0)</f>
        <v>58</v>
      </c>
      <c r="N203" t="str">
        <f>IFERROR(__xludf.DUMMYFUNCTION("""COMPUTED_VALUE"""),"Model 3 LR")</f>
        <v>Model 3 LR</v>
      </c>
      <c r="O203" t="str">
        <f>IFERROR(__xludf.DUMMYFUNCTION("""COMPUTED_VALUE"""),"Solid Black")</f>
        <v>Solid Black</v>
      </c>
      <c r="P203" t="str">
        <f>IFERROR(__xludf.DUMMYFUNCTION("""COMPUTED_VALUE"""),"19 inch Sport")</f>
        <v>19 inch Sport</v>
      </c>
      <c r="Q203" t="str">
        <f>IFERROR(__xludf.DUMMYFUNCTION("""COMPUTED_VALUE"""),"Black seats")</f>
        <v>Black seats</v>
      </c>
      <c r="R203" t="str">
        <f>IFERROR(__xludf.DUMMYFUNCTION("""COMPUTED_VALUE"""),"None")</f>
        <v>None</v>
      </c>
      <c r="X203" t="str">
        <f>IFERROR(__xludf.DUMMYFUNCTION("""COMPUTED_VALUE"""),"Excellent")</f>
        <v>Excellent</v>
      </c>
      <c r="Y203" t="str">
        <f>IFERROR(__xludf.DUMMYFUNCTION("""COMPUTED_VALUE"""),"Excellent")</f>
        <v>Excellent</v>
      </c>
      <c r="Z203" t="str">
        <f>IFERROR(__xludf.DUMMYFUNCTION("""COMPUTED_VALUE"""),"Very Good")</f>
        <v>Very Good</v>
      </c>
      <c r="AA203" t="str">
        <f>IFERROR(__xludf.DUMMYFUNCTION("""COMPUTED_VALUE"""),"Good")</f>
        <v>Good</v>
      </c>
      <c r="AB203" t="str">
        <f>IFERROR(__xludf.DUMMYFUNCTION("""COMPUTED_VALUE"""),"Very Good")</f>
        <v>Very Good</v>
      </c>
      <c r="AH203" s="189">
        <f>IFERROR(__xludf.DUMMYFUNCTION("""COMPUTED_VALUE"""),43273.91374795139)</f>
        <v>43273.91375</v>
      </c>
    </row>
    <row r="204">
      <c r="A204" t="str">
        <f>IFERROR(__xludf.DUMMYFUNCTION("""COMPUTED_VALUE"""),"Ubah Goobah ")</f>
        <v>Ubah Goobah </v>
      </c>
      <c r="B204" t="str">
        <f>IFERROR(__xludf.DUMMYFUNCTION("""COMPUTED_VALUE"""),"Santa Monica")</f>
        <v>Santa Monica</v>
      </c>
      <c r="C204" t="str">
        <f>IFERROR(__xludf.DUMMYFUNCTION("""COMPUTED_VALUE"""),"CA")</f>
        <v>CA</v>
      </c>
      <c r="D204" t="str">
        <f>IFERROR(__xludf.DUMMYFUNCTION("""COMPUTED_VALUE"""),"USA")</f>
        <v>USA</v>
      </c>
      <c r="E204" s="188">
        <f>IFERROR(__xludf.DUMMYFUNCTION("""COMPUTED_VALUE"""),43153.0)</f>
        <v>43153</v>
      </c>
      <c r="F204" s="188">
        <f>IFERROR(__xludf.DUMMYFUNCTION("""COMPUTED_VALUE"""),43171.0)</f>
        <v>43171</v>
      </c>
      <c r="H204">
        <f>IFERROR(__xludf.DUMMYFUNCTION("""COMPUTED_VALUE"""),11155.0)</f>
        <v>11155</v>
      </c>
      <c r="J204" s="5">
        <f>IFERROR(__xludf.DUMMYFUNCTION("""COMPUTED_VALUE"""),43185.0)</f>
        <v>43185</v>
      </c>
      <c r="K204">
        <f>IFERROR(__xludf.DUMMYFUNCTION("""COMPUTED_VALUE"""),18.0)</f>
        <v>18</v>
      </c>
      <c r="L204">
        <f>IFERROR(__xludf.DUMMYFUNCTION("""COMPUTED_VALUE"""),14.0)</f>
        <v>14</v>
      </c>
      <c r="M204">
        <f>IFERROR(__xludf.DUMMYFUNCTION("""COMPUTED_VALUE"""),32.0)</f>
        <v>32</v>
      </c>
      <c r="N204" t="str">
        <f>IFERROR(__xludf.DUMMYFUNCTION("""COMPUTED_VALUE"""),"Model 3 LR")</f>
        <v>Model 3 LR</v>
      </c>
      <c r="O204" t="str">
        <f>IFERROR(__xludf.DUMMYFUNCTION("""COMPUTED_VALUE"""),"Deep Blue Metallic")</f>
        <v>Deep Blue Metallic</v>
      </c>
      <c r="P204" t="str">
        <f>IFERROR(__xludf.DUMMYFUNCTION("""COMPUTED_VALUE"""),"19 inch Sport")</f>
        <v>19 inch Sport</v>
      </c>
      <c r="Q204" t="str">
        <f>IFERROR(__xludf.DUMMYFUNCTION("""COMPUTED_VALUE"""),"Black seats")</f>
        <v>Black seats</v>
      </c>
      <c r="R204" t="str">
        <f>IFERROR(__xludf.DUMMYFUNCTION("""COMPUTED_VALUE"""),"None")</f>
        <v>None</v>
      </c>
      <c r="X204" t="str">
        <f>IFERROR(__xludf.DUMMYFUNCTION("""COMPUTED_VALUE"""),"Excellent")</f>
        <v>Excellent</v>
      </c>
      <c r="Y204" t="str">
        <f>IFERROR(__xludf.DUMMYFUNCTION("""COMPUTED_VALUE"""),"Very Good")</f>
        <v>Very Good</v>
      </c>
      <c r="Z204" t="str">
        <f>IFERROR(__xludf.DUMMYFUNCTION("""COMPUTED_VALUE"""),"Very Good")</f>
        <v>Very Good</v>
      </c>
      <c r="AA204" t="str">
        <f>IFERROR(__xludf.DUMMYFUNCTION("""COMPUTED_VALUE"""),"Very Good")</f>
        <v>Very Good</v>
      </c>
      <c r="AB204" t="str">
        <f>IFERROR(__xludf.DUMMYFUNCTION("""COMPUTED_VALUE"""),"Very Good")</f>
        <v>Very Good</v>
      </c>
      <c r="AH204" s="189">
        <f>IFERROR(__xludf.DUMMYFUNCTION("""COMPUTED_VALUE"""),43274.05095709491)</f>
        <v>43274.05096</v>
      </c>
    </row>
    <row r="205">
      <c r="A205" t="str">
        <f>IFERROR(__xludf.DUMMYFUNCTION("""COMPUTED_VALUE"""),"rbrower3")</f>
        <v>rbrower3</v>
      </c>
      <c r="B205" t="str">
        <f>IFERROR(__xludf.DUMMYFUNCTION("""COMPUTED_VALUE"""),"Herndon")</f>
        <v>Herndon</v>
      </c>
      <c r="C205" t="str">
        <f>IFERROR(__xludf.DUMMYFUNCTION("""COMPUTED_VALUE"""),"VA")</f>
        <v>VA</v>
      </c>
      <c r="D205" t="str">
        <f>IFERROR(__xludf.DUMMYFUNCTION("""COMPUTED_VALUE"""),"USA")</f>
        <v>USA</v>
      </c>
      <c r="E205" s="188">
        <f>IFERROR(__xludf.DUMMYFUNCTION("""COMPUTED_VALUE"""),43206.0)</f>
        <v>43206</v>
      </c>
      <c r="F205" s="188">
        <f>IFERROR(__xludf.DUMMYFUNCTION("""COMPUTED_VALUE"""),43246.0)</f>
        <v>43246</v>
      </c>
      <c r="H205">
        <f>IFERROR(__xludf.DUMMYFUNCTION("""COMPUTED_VALUE"""),23555.0)</f>
        <v>23555</v>
      </c>
      <c r="I205" t="str">
        <f>IFERROR(__xludf.DUMMYFUNCTION("""COMPUTED_VALUE"""),"05/18")</f>
        <v>05/18</v>
      </c>
      <c r="J205" s="5">
        <f>IFERROR(__xludf.DUMMYFUNCTION("""COMPUTED_VALUE"""),43264.0)</f>
        <v>43264</v>
      </c>
      <c r="K205">
        <f>IFERROR(__xludf.DUMMYFUNCTION("""COMPUTED_VALUE"""),40.0)</f>
        <v>40</v>
      </c>
      <c r="L205">
        <f>IFERROR(__xludf.DUMMYFUNCTION("""COMPUTED_VALUE"""),18.0)</f>
        <v>18</v>
      </c>
      <c r="M205">
        <f>IFERROR(__xludf.DUMMYFUNCTION("""COMPUTED_VALUE"""),58.0)</f>
        <v>58</v>
      </c>
      <c r="N205" t="str">
        <f>IFERROR(__xludf.DUMMYFUNCTION("""COMPUTED_VALUE"""),"Model 3 LR")</f>
        <v>Model 3 LR</v>
      </c>
      <c r="O205" t="str">
        <f>IFERROR(__xludf.DUMMYFUNCTION("""COMPUTED_VALUE"""),"Solid Black")</f>
        <v>Solid Black</v>
      </c>
      <c r="P205" t="str">
        <f>IFERROR(__xludf.DUMMYFUNCTION("""COMPUTED_VALUE"""),"19 inch Sport")</f>
        <v>19 inch Sport</v>
      </c>
      <c r="Q205" t="str">
        <f>IFERROR(__xludf.DUMMYFUNCTION("""COMPUTED_VALUE"""),"Black seats")</f>
        <v>Black seats</v>
      </c>
      <c r="R205" t="str">
        <f>IFERROR(__xludf.DUMMYFUNCTION("""COMPUTED_VALUE"""),"Full Self-Driving")</f>
        <v>Full Self-Driving</v>
      </c>
      <c r="X205" t="str">
        <f>IFERROR(__xludf.DUMMYFUNCTION("""COMPUTED_VALUE"""),"Excellent")</f>
        <v>Excellent</v>
      </c>
      <c r="Y205" t="str">
        <f>IFERROR(__xludf.DUMMYFUNCTION("""COMPUTED_VALUE"""),"Very Good")</f>
        <v>Very Good</v>
      </c>
      <c r="Z205" t="str">
        <f>IFERROR(__xludf.DUMMYFUNCTION("""COMPUTED_VALUE"""),"Excellent")</f>
        <v>Excellent</v>
      </c>
      <c r="AA205" t="str">
        <f>IFERROR(__xludf.DUMMYFUNCTION("""COMPUTED_VALUE"""),"Very Good")</f>
        <v>Very Good</v>
      </c>
      <c r="AB205" t="str">
        <f>IFERROR(__xludf.DUMMYFUNCTION("""COMPUTED_VALUE"""),"Very Good")</f>
        <v>Very Good</v>
      </c>
      <c r="AH205" s="189">
        <f>IFERROR(__xludf.DUMMYFUNCTION("""COMPUTED_VALUE"""),43275.253914155095)</f>
        <v>43275.25391</v>
      </c>
    </row>
    <row r="206">
      <c r="A206" t="str">
        <f>IFERROR(__xludf.DUMMYFUNCTION("""COMPUTED_VALUE"""),"brianp")</f>
        <v>brianp</v>
      </c>
      <c r="C206" t="str">
        <f>IFERROR(__xludf.DUMMYFUNCTION("""COMPUTED_VALUE"""),"NJ")</f>
        <v>NJ</v>
      </c>
      <c r="D206" t="str">
        <f>IFERROR(__xludf.DUMMYFUNCTION("""COMPUTED_VALUE"""),"USA")</f>
        <v>USA</v>
      </c>
      <c r="E206" s="188">
        <f>IFERROR(__xludf.DUMMYFUNCTION("""COMPUTED_VALUE"""),43208.0)</f>
        <v>43208</v>
      </c>
      <c r="F206" s="188">
        <f>IFERROR(__xludf.DUMMYFUNCTION("""COMPUTED_VALUE"""),43258.0)</f>
        <v>43258</v>
      </c>
      <c r="H206">
        <f>IFERROR(__xludf.DUMMYFUNCTION("""COMPUTED_VALUE"""),25555.0)</f>
        <v>25555</v>
      </c>
      <c r="J206" s="5">
        <f>IFERROR(__xludf.DUMMYFUNCTION("""COMPUTED_VALUE"""),43273.0)</f>
        <v>43273</v>
      </c>
      <c r="K206">
        <f>IFERROR(__xludf.DUMMYFUNCTION("""COMPUTED_VALUE"""),50.0)</f>
        <v>50</v>
      </c>
      <c r="L206">
        <f>IFERROR(__xludf.DUMMYFUNCTION("""COMPUTED_VALUE"""),15.0)</f>
        <v>15</v>
      </c>
      <c r="M206">
        <f>IFERROR(__xludf.DUMMYFUNCTION("""COMPUTED_VALUE"""),65.0)</f>
        <v>65</v>
      </c>
      <c r="N206" t="str">
        <f>IFERROR(__xludf.DUMMYFUNCTION("""COMPUTED_VALUE"""),"Model 3 LR")</f>
        <v>Model 3 LR</v>
      </c>
      <c r="O206" t="str">
        <f>IFERROR(__xludf.DUMMYFUNCTION("""COMPUTED_VALUE"""),"Solid Black")</f>
        <v>Solid Black</v>
      </c>
      <c r="P206" t="str">
        <f>IFERROR(__xludf.DUMMYFUNCTION("""COMPUTED_VALUE"""),"18 inch Aero")</f>
        <v>18 inch Aero</v>
      </c>
      <c r="Q206" t="str">
        <f>IFERROR(__xludf.DUMMYFUNCTION("""COMPUTED_VALUE"""),"Black seats")</f>
        <v>Black seats</v>
      </c>
      <c r="R206" t="str">
        <f>IFERROR(__xludf.DUMMYFUNCTION("""COMPUTED_VALUE"""),"Enhanced Autopilot")</f>
        <v>Enhanced Autopilot</v>
      </c>
      <c r="X206" t="str">
        <f>IFERROR(__xludf.DUMMYFUNCTION("""COMPUTED_VALUE"""),"Excellent")</f>
        <v>Excellent</v>
      </c>
      <c r="Y206" t="str">
        <f>IFERROR(__xludf.DUMMYFUNCTION("""COMPUTED_VALUE"""),"Excellent")</f>
        <v>Excellent</v>
      </c>
      <c r="Z206" t="str">
        <f>IFERROR(__xludf.DUMMYFUNCTION("""COMPUTED_VALUE"""),"Very Good")</f>
        <v>Very Good</v>
      </c>
      <c r="AA206" t="str">
        <f>IFERROR(__xludf.DUMMYFUNCTION("""COMPUTED_VALUE"""),"Excellent")</f>
        <v>Excellent</v>
      </c>
      <c r="AB206" t="str">
        <f>IFERROR(__xludf.DUMMYFUNCTION("""COMPUTED_VALUE"""),"Excellent")</f>
        <v>Excellent</v>
      </c>
      <c r="AH206" s="189">
        <f>IFERROR(__xludf.DUMMYFUNCTION("""COMPUTED_VALUE"""),43276.66817469907)</f>
        <v>43276.66817</v>
      </c>
    </row>
    <row r="207">
      <c r="A207" t="str">
        <f>IFERROR(__xludf.DUMMYFUNCTION("""COMPUTED_VALUE"""),"npaquin")</f>
        <v>npaquin</v>
      </c>
      <c r="B207" t="str">
        <f>IFERROR(__xludf.DUMMYFUNCTION("""COMPUTED_VALUE"""),"Montreal")</f>
        <v>Montreal</v>
      </c>
      <c r="C207" t="str">
        <f>IFERROR(__xludf.DUMMYFUNCTION("""COMPUTED_VALUE"""),"QC")</f>
        <v>QC</v>
      </c>
      <c r="D207" t="str">
        <f>IFERROR(__xludf.DUMMYFUNCTION("""COMPUTED_VALUE"""),"Canada")</f>
        <v>Canada</v>
      </c>
      <c r="E207" s="188">
        <f>IFERROR(__xludf.DUMMYFUNCTION("""COMPUTED_VALUE"""),43186.0)</f>
        <v>43186</v>
      </c>
      <c r="F207" s="188">
        <f>IFERROR(__xludf.DUMMYFUNCTION("""COMPUTED_VALUE"""),43227.0)</f>
        <v>43227</v>
      </c>
      <c r="H207">
        <f>IFERROR(__xludf.DUMMYFUNCTION("""COMPUTED_VALUE"""),29255.0)</f>
        <v>29255</v>
      </c>
      <c r="I207" t="str">
        <f>IFERROR(__xludf.DUMMYFUNCTION("""COMPUTED_VALUE"""),"05/18")</f>
        <v>05/18</v>
      </c>
      <c r="J207" s="5">
        <f>IFERROR(__xludf.DUMMYFUNCTION("""COMPUTED_VALUE"""),43255.0)</f>
        <v>43255</v>
      </c>
      <c r="K207">
        <f>IFERROR(__xludf.DUMMYFUNCTION("""COMPUTED_VALUE"""),41.0)</f>
        <v>41</v>
      </c>
      <c r="L207">
        <f>IFERROR(__xludf.DUMMYFUNCTION("""COMPUTED_VALUE"""),28.0)</f>
        <v>28</v>
      </c>
      <c r="M207">
        <f>IFERROR(__xludf.DUMMYFUNCTION("""COMPUTED_VALUE"""),69.0)</f>
        <v>69</v>
      </c>
      <c r="N207" t="str">
        <f>IFERROR(__xludf.DUMMYFUNCTION("""COMPUTED_VALUE"""),"Model 3 LR")</f>
        <v>Model 3 LR</v>
      </c>
      <c r="O207" t="str">
        <f>IFERROR(__xludf.DUMMYFUNCTION("""COMPUTED_VALUE"""),"Red Multi-Coat")</f>
        <v>Red Multi-Coat</v>
      </c>
      <c r="P207" t="str">
        <f>IFERROR(__xludf.DUMMYFUNCTION("""COMPUTED_VALUE"""),"18 inch Aero")</f>
        <v>18 inch Aero</v>
      </c>
      <c r="Q207" t="str">
        <f>IFERROR(__xludf.DUMMYFUNCTION("""COMPUTED_VALUE"""),"Black seats")</f>
        <v>Black seats</v>
      </c>
      <c r="R207" t="str">
        <f>IFERROR(__xludf.DUMMYFUNCTION("""COMPUTED_VALUE"""),"Enhanced Autopilot")</f>
        <v>Enhanced Autopilot</v>
      </c>
      <c r="X207" t="str">
        <f>IFERROR(__xludf.DUMMYFUNCTION("""COMPUTED_VALUE"""),"Excellent")</f>
        <v>Excellent</v>
      </c>
      <c r="Y207" t="str">
        <f>IFERROR(__xludf.DUMMYFUNCTION("""COMPUTED_VALUE"""),"Excellent")</f>
        <v>Excellent</v>
      </c>
      <c r="Z207" t="str">
        <f>IFERROR(__xludf.DUMMYFUNCTION("""COMPUTED_VALUE"""),"Excellent")</f>
        <v>Excellent</v>
      </c>
      <c r="AA207" t="str">
        <f>IFERROR(__xludf.DUMMYFUNCTION("""COMPUTED_VALUE"""),"Excellent")</f>
        <v>Excellent</v>
      </c>
      <c r="AB207" t="str">
        <f>IFERROR(__xludf.DUMMYFUNCTION("""COMPUTED_VALUE"""),"Excellent")</f>
        <v>Excellent</v>
      </c>
      <c r="AH207" s="189">
        <f>IFERROR(__xludf.DUMMYFUNCTION("""COMPUTED_VALUE"""),43277.46039228009)</f>
        <v>43277.46039</v>
      </c>
    </row>
    <row r="208">
      <c r="A208" t="str">
        <f>IFERROR(__xludf.DUMMYFUNCTION("""COMPUTED_VALUE"""),"GDN")</f>
        <v>GDN</v>
      </c>
      <c r="B208" t="str">
        <f>IFERROR(__xludf.DUMMYFUNCTION("""COMPUTED_VALUE"""),"Dallas")</f>
        <v>Dallas</v>
      </c>
      <c r="C208" t="str">
        <f>IFERROR(__xludf.DUMMYFUNCTION("""COMPUTED_VALUE"""),"TX")</f>
        <v>TX</v>
      </c>
      <c r="D208" t="str">
        <f>IFERROR(__xludf.DUMMYFUNCTION("""COMPUTED_VALUE"""),"USA")</f>
        <v>USA</v>
      </c>
      <c r="E208" s="188">
        <f>IFERROR(__xludf.DUMMYFUNCTION("""COMPUTED_VALUE"""),43206.0)</f>
        <v>43206</v>
      </c>
      <c r="F208" s="188">
        <f>IFERROR(__xludf.DUMMYFUNCTION("""COMPUTED_VALUE"""),43245.0)</f>
        <v>43245</v>
      </c>
      <c r="H208">
        <f>IFERROR(__xludf.DUMMYFUNCTION("""COMPUTED_VALUE"""),23820.0)</f>
        <v>23820</v>
      </c>
      <c r="I208" t="str">
        <f>IFERROR(__xludf.DUMMYFUNCTION("""COMPUTED_VALUE"""),"05/18")</f>
        <v>05/18</v>
      </c>
      <c r="J208" s="5">
        <f>IFERROR(__xludf.DUMMYFUNCTION("""COMPUTED_VALUE"""),43260.0)</f>
        <v>43260</v>
      </c>
      <c r="K208">
        <f>IFERROR(__xludf.DUMMYFUNCTION("""COMPUTED_VALUE"""),39.0)</f>
        <v>39</v>
      </c>
      <c r="L208">
        <f>IFERROR(__xludf.DUMMYFUNCTION("""COMPUTED_VALUE"""),15.0)</f>
        <v>15</v>
      </c>
      <c r="M208">
        <f>IFERROR(__xludf.DUMMYFUNCTION("""COMPUTED_VALUE"""),54.0)</f>
        <v>54</v>
      </c>
      <c r="N208" t="str">
        <f>IFERROR(__xludf.DUMMYFUNCTION("""COMPUTED_VALUE"""),"Model 3 LR")</f>
        <v>Model 3 LR</v>
      </c>
      <c r="O208" t="str">
        <f>IFERROR(__xludf.DUMMYFUNCTION("""COMPUTED_VALUE"""),"Midnight Silver Metallic")</f>
        <v>Midnight Silver Metallic</v>
      </c>
      <c r="P208" t="str">
        <f>IFERROR(__xludf.DUMMYFUNCTION("""COMPUTED_VALUE"""),"19 inch Sport")</f>
        <v>19 inch Sport</v>
      </c>
      <c r="Q208" t="str">
        <f>IFERROR(__xludf.DUMMYFUNCTION("""COMPUTED_VALUE"""),"Black seats")</f>
        <v>Black seats</v>
      </c>
      <c r="R208" t="str">
        <f>IFERROR(__xludf.DUMMYFUNCTION("""COMPUTED_VALUE"""),"Enhanced Autopilot")</f>
        <v>Enhanced Autopilot</v>
      </c>
      <c r="X208" t="str">
        <f>IFERROR(__xludf.DUMMYFUNCTION("""COMPUTED_VALUE"""),"Excellent")</f>
        <v>Excellent</v>
      </c>
      <c r="Y208" t="str">
        <f>IFERROR(__xludf.DUMMYFUNCTION("""COMPUTED_VALUE"""),"Excellent")</f>
        <v>Excellent</v>
      </c>
      <c r="Z208" t="str">
        <f>IFERROR(__xludf.DUMMYFUNCTION("""COMPUTED_VALUE"""),"Excellent")</f>
        <v>Excellent</v>
      </c>
      <c r="AA208" t="str">
        <f>IFERROR(__xludf.DUMMYFUNCTION("""COMPUTED_VALUE"""),"Excellent")</f>
        <v>Excellent</v>
      </c>
      <c r="AB208" t="str">
        <f>IFERROR(__xludf.DUMMYFUNCTION("""COMPUTED_VALUE"""),"Excellent")</f>
        <v>Excellent</v>
      </c>
      <c r="AH208" s="189">
        <f>IFERROR(__xludf.DUMMYFUNCTION("""COMPUTED_VALUE"""),43277.46663568287)</f>
        <v>43277.46664</v>
      </c>
    </row>
    <row r="209">
      <c r="A209" t="str">
        <f>IFERROR(__xludf.DUMMYFUNCTION("""COMPUTED_VALUE"""),"WinstonY")</f>
        <v>WinstonY</v>
      </c>
      <c r="B209" t="str">
        <f>IFERROR(__xludf.DUMMYFUNCTION("""COMPUTED_VALUE"""),"Seattle")</f>
        <v>Seattle</v>
      </c>
      <c r="C209" t="str">
        <f>IFERROR(__xludf.DUMMYFUNCTION("""COMPUTED_VALUE"""),"WA")</f>
        <v>WA</v>
      </c>
      <c r="D209" t="str">
        <f>IFERROR(__xludf.DUMMYFUNCTION("""COMPUTED_VALUE"""),"USA")</f>
        <v>USA</v>
      </c>
      <c r="E209" s="188">
        <f>IFERROR(__xludf.DUMMYFUNCTION("""COMPUTED_VALUE"""),43200.0)</f>
        <v>43200</v>
      </c>
      <c r="F209" s="188">
        <f>IFERROR(__xludf.DUMMYFUNCTION("""COMPUTED_VALUE"""),43270.0)</f>
        <v>43270</v>
      </c>
      <c r="H209">
        <f>IFERROR(__xludf.DUMMYFUNCTION("""COMPUTED_VALUE"""),38555.0)</f>
        <v>38555</v>
      </c>
      <c r="J209" s="5">
        <f>IFERROR(__xludf.DUMMYFUNCTION("""COMPUTED_VALUE"""),43291.0)</f>
        <v>43291</v>
      </c>
      <c r="K209">
        <f>IFERROR(__xludf.DUMMYFUNCTION("""COMPUTED_VALUE"""),70.0)</f>
        <v>70</v>
      </c>
      <c r="L209">
        <f>IFERROR(__xludf.DUMMYFUNCTION("""COMPUTED_VALUE"""),21.0)</f>
        <v>21</v>
      </c>
      <c r="M209">
        <f>IFERROR(__xludf.DUMMYFUNCTION("""COMPUTED_VALUE"""),91.0)</f>
        <v>91</v>
      </c>
      <c r="N209" t="str">
        <f>IFERROR(__xludf.DUMMYFUNCTION("""COMPUTED_VALUE"""),"Model 3 LR")</f>
        <v>Model 3 LR</v>
      </c>
      <c r="O209" t="str">
        <f>IFERROR(__xludf.DUMMYFUNCTION("""COMPUTED_VALUE"""),"Deep Blue Metallic")</f>
        <v>Deep Blue Metallic</v>
      </c>
      <c r="P209" t="str">
        <f>IFERROR(__xludf.DUMMYFUNCTION("""COMPUTED_VALUE"""),"19 inch Sport")</f>
        <v>19 inch Sport</v>
      </c>
      <c r="Q209" t="str">
        <f>IFERROR(__xludf.DUMMYFUNCTION("""COMPUTED_VALUE"""),"Black seats")</f>
        <v>Black seats</v>
      </c>
      <c r="R209" t="str">
        <f>IFERROR(__xludf.DUMMYFUNCTION("""COMPUTED_VALUE"""),"Enhanced Autopilot")</f>
        <v>Enhanced Autopilot</v>
      </c>
      <c r="AA209" t="str">
        <f>IFERROR(__xludf.DUMMYFUNCTION("""COMPUTED_VALUE"""),"Excellent")</f>
        <v>Excellent</v>
      </c>
      <c r="AH209" s="189">
        <f>IFERROR(__xludf.DUMMYFUNCTION("""COMPUTED_VALUE"""),43277.46947270833)</f>
        <v>43277.46947</v>
      </c>
    </row>
    <row r="210">
      <c r="A210" t="str">
        <f>IFERROR(__xludf.DUMMYFUNCTION("""COMPUTED_VALUE"""),"Cil-Vin")</f>
        <v>Cil-Vin</v>
      </c>
      <c r="B210" t="str">
        <f>IFERROR(__xludf.DUMMYFUNCTION("""COMPUTED_VALUE"""),"Gatineau")</f>
        <v>Gatineau</v>
      </c>
      <c r="C210" t="str">
        <f>IFERROR(__xludf.DUMMYFUNCTION("""COMPUTED_VALUE"""),"QC")</f>
        <v>QC</v>
      </c>
      <c r="D210" t="str">
        <f>IFERROR(__xludf.DUMMYFUNCTION("""COMPUTED_VALUE"""),"Canada")</f>
        <v>Canada</v>
      </c>
      <c r="E210" s="188">
        <f>IFERROR(__xludf.DUMMYFUNCTION("""COMPUTED_VALUE"""),43186.0)</f>
        <v>43186</v>
      </c>
      <c r="F210" s="188">
        <f>IFERROR(__xludf.DUMMYFUNCTION("""COMPUTED_VALUE"""),43235.0)</f>
        <v>43235</v>
      </c>
      <c r="H210">
        <f>IFERROR(__xludf.DUMMYFUNCTION("""COMPUTED_VALUE"""),29409.0)</f>
        <v>29409</v>
      </c>
      <c r="I210" t="str">
        <f>IFERROR(__xludf.DUMMYFUNCTION("""COMPUTED_VALUE"""),"05/18")</f>
        <v>05/18</v>
      </c>
      <c r="J210" s="5">
        <f>IFERROR(__xludf.DUMMYFUNCTION("""COMPUTED_VALUE"""),43276.0)</f>
        <v>43276</v>
      </c>
      <c r="K210">
        <f>IFERROR(__xludf.DUMMYFUNCTION("""COMPUTED_VALUE"""),49.0)</f>
        <v>49</v>
      </c>
      <c r="L210">
        <f>IFERROR(__xludf.DUMMYFUNCTION("""COMPUTED_VALUE"""),41.0)</f>
        <v>41</v>
      </c>
      <c r="M210">
        <f>IFERROR(__xludf.DUMMYFUNCTION("""COMPUTED_VALUE"""),90.0)</f>
        <v>90</v>
      </c>
      <c r="N210" t="str">
        <f>IFERROR(__xludf.DUMMYFUNCTION("""COMPUTED_VALUE"""),"Model 3 LR")</f>
        <v>Model 3 LR</v>
      </c>
      <c r="O210" t="str">
        <f>IFERROR(__xludf.DUMMYFUNCTION("""COMPUTED_VALUE"""),"Deep Blue Metallic")</f>
        <v>Deep Blue Metallic</v>
      </c>
      <c r="P210" t="str">
        <f>IFERROR(__xludf.DUMMYFUNCTION("""COMPUTED_VALUE"""),"18 inch Aero")</f>
        <v>18 inch Aero</v>
      </c>
      <c r="Q210" t="str">
        <f>IFERROR(__xludf.DUMMYFUNCTION("""COMPUTED_VALUE"""),"Black seats")</f>
        <v>Black seats</v>
      </c>
      <c r="R210" t="str">
        <f>IFERROR(__xludf.DUMMYFUNCTION("""COMPUTED_VALUE"""),"None")</f>
        <v>None</v>
      </c>
      <c r="X210" t="str">
        <f>IFERROR(__xludf.DUMMYFUNCTION("""COMPUTED_VALUE"""),"Excellent")</f>
        <v>Excellent</v>
      </c>
      <c r="Y210" t="str">
        <f>IFERROR(__xludf.DUMMYFUNCTION("""COMPUTED_VALUE"""),"Excellent")</f>
        <v>Excellent</v>
      </c>
      <c r="Z210" t="str">
        <f>IFERROR(__xludf.DUMMYFUNCTION("""COMPUTED_VALUE"""),"Excellent")</f>
        <v>Excellent</v>
      </c>
      <c r="AA210" t="str">
        <f>IFERROR(__xludf.DUMMYFUNCTION("""COMPUTED_VALUE"""),"Very Good")</f>
        <v>Very Good</v>
      </c>
      <c r="AB210" t="str">
        <f>IFERROR(__xludf.DUMMYFUNCTION("""COMPUTED_VALUE"""),"Very Good")</f>
        <v>Very Good</v>
      </c>
      <c r="AH210" s="189">
        <f>IFERROR(__xludf.DUMMYFUNCTION("""COMPUTED_VALUE"""),43277.53495565972)</f>
        <v>43277.53496</v>
      </c>
    </row>
    <row r="211">
      <c r="A211" t="str">
        <f>IFERROR(__xludf.DUMMYFUNCTION("""COMPUTED_VALUE"""),"hypoh")</f>
        <v>hypoh</v>
      </c>
      <c r="B211" t="str">
        <f>IFERROR(__xludf.DUMMYFUNCTION("""COMPUTED_VALUE"""),"Lorton")</f>
        <v>Lorton</v>
      </c>
      <c r="C211" t="str">
        <f>IFERROR(__xludf.DUMMYFUNCTION("""COMPUTED_VALUE"""),"VA")</f>
        <v>VA</v>
      </c>
      <c r="D211" t="str">
        <f>IFERROR(__xludf.DUMMYFUNCTION("""COMPUTED_VALUE"""),"USA")</f>
        <v>USA</v>
      </c>
      <c r="E211" s="188">
        <f>IFERROR(__xludf.DUMMYFUNCTION("""COMPUTED_VALUE"""),43202.0)</f>
        <v>43202</v>
      </c>
      <c r="F211" s="188">
        <f>IFERROR(__xludf.DUMMYFUNCTION("""COMPUTED_VALUE"""),43230.0)</f>
        <v>43230</v>
      </c>
      <c r="H211">
        <f>IFERROR(__xludf.DUMMYFUNCTION("""COMPUTED_VALUE"""),23255.0)</f>
        <v>23255</v>
      </c>
      <c r="J211" s="5">
        <f>IFERROR(__xludf.DUMMYFUNCTION("""COMPUTED_VALUE"""),43272.0)</f>
        <v>43272</v>
      </c>
      <c r="K211">
        <f>IFERROR(__xludf.DUMMYFUNCTION("""COMPUTED_VALUE"""),28.0)</f>
        <v>28</v>
      </c>
      <c r="L211">
        <f>IFERROR(__xludf.DUMMYFUNCTION("""COMPUTED_VALUE"""),42.0)</f>
        <v>42</v>
      </c>
      <c r="M211">
        <f>IFERROR(__xludf.DUMMYFUNCTION("""COMPUTED_VALUE"""),70.0)</f>
        <v>70</v>
      </c>
      <c r="N211" t="str">
        <f>IFERROR(__xludf.DUMMYFUNCTION("""COMPUTED_VALUE"""),"Model 3 LR")</f>
        <v>Model 3 LR</v>
      </c>
      <c r="O211" t="str">
        <f>IFERROR(__xludf.DUMMYFUNCTION("""COMPUTED_VALUE"""),"Pearl White Multi-Coat")</f>
        <v>Pearl White Multi-Coat</v>
      </c>
      <c r="P211" t="str">
        <f>IFERROR(__xludf.DUMMYFUNCTION("""COMPUTED_VALUE"""),"18 inch Aero")</f>
        <v>18 inch Aero</v>
      </c>
      <c r="Q211" t="str">
        <f>IFERROR(__xludf.DUMMYFUNCTION("""COMPUTED_VALUE"""),"Black seats")</f>
        <v>Black seats</v>
      </c>
      <c r="R211" t="str">
        <f>IFERROR(__xludf.DUMMYFUNCTION("""COMPUTED_VALUE"""),"Enhanced Autopilot")</f>
        <v>Enhanced Autopilot</v>
      </c>
      <c r="X211" t="str">
        <f>IFERROR(__xludf.DUMMYFUNCTION("""COMPUTED_VALUE"""),"Good")</f>
        <v>Good</v>
      </c>
      <c r="Y211" t="str">
        <f>IFERROR(__xludf.DUMMYFUNCTION("""COMPUTED_VALUE"""),"Very Good")</f>
        <v>Very Good</v>
      </c>
      <c r="Z211" t="str">
        <f>IFERROR(__xludf.DUMMYFUNCTION("""COMPUTED_VALUE"""),"Very Good")</f>
        <v>Very Good</v>
      </c>
      <c r="AA211" t="str">
        <f>IFERROR(__xludf.DUMMYFUNCTION("""COMPUTED_VALUE"""),"Good")</f>
        <v>Good</v>
      </c>
      <c r="AB211" t="str">
        <f>IFERROR(__xludf.DUMMYFUNCTION("""COMPUTED_VALUE"""),"Good")</f>
        <v>Good</v>
      </c>
      <c r="AH211" s="189">
        <f>IFERROR(__xludf.DUMMYFUNCTION("""COMPUTED_VALUE"""),43277.54617273148)</f>
        <v>43277.54617</v>
      </c>
    </row>
    <row r="212">
      <c r="A212" t="str">
        <f>IFERROR(__xludf.DUMMYFUNCTION("""COMPUTED_VALUE"""),"mbelanger")</f>
        <v>mbelanger</v>
      </c>
      <c r="B212" t="str">
        <f>IFERROR(__xludf.DUMMYFUNCTION("""COMPUTED_VALUE"""),"Quebec")</f>
        <v>Quebec</v>
      </c>
      <c r="C212" t="str">
        <f>IFERROR(__xludf.DUMMYFUNCTION("""COMPUTED_VALUE"""),"QC")</f>
        <v>QC</v>
      </c>
      <c r="D212" t="str">
        <f>IFERROR(__xludf.DUMMYFUNCTION("""COMPUTED_VALUE"""),"Canada")</f>
        <v>Canada</v>
      </c>
      <c r="E212" s="188">
        <f>IFERROR(__xludf.DUMMYFUNCTION("""COMPUTED_VALUE"""),43216.0)</f>
        <v>43216</v>
      </c>
      <c r="F212" s="188">
        <f>IFERROR(__xludf.DUMMYFUNCTION("""COMPUTED_VALUE"""),43237.0)</f>
        <v>43237</v>
      </c>
      <c r="H212">
        <f>IFERROR(__xludf.DUMMYFUNCTION("""COMPUTED_VALUE"""),29450.0)</f>
        <v>29450</v>
      </c>
      <c r="J212" s="5">
        <f>IFERROR(__xludf.DUMMYFUNCTION("""COMPUTED_VALUE"""),43273.0)</f>
        <v>43273</v>
      </c>
      <c r="K212">
        <f>IFERROR(__xludf.DUMMYFUNCTION("""COMPUTED_VALUE"""),21.0)</f>
        <v>21</v>
      </c>
      <c r="L212">
        <f>IFERROR(__xludf.DUMMYFUNCTION("""COMPUTED_VALUE"""),36.0)</f>
        <v>36</v>
      </c>
      <c r="M212">
        <f>IFERROR(__xludf.DUMMYFUNCTION("""COMPUTED_VALUE"""),57.0)</f>
        <v>57</v>
      </c>
      <c r="N212" t="str">
        <f>IFERROR(__xludf.DUMMYFUNCTION("""COMPUTED_VALUE"""),"Model 3 LR")</f>
        <v>Model 3 LR</v>
      </c>
      <c r="O212" t="str">
        <f>IFERROR(__xludf.DUMMYFUNCTION("""COMPUTED_VALUE"""),"Deep Blue Metallic")</f>
        <v>Deep Blue Metallic</v>
      </c>
      <c r="P212" t="str">
        <f>IFERROR(__xludf.DUMMYFUNCTION("""COMPUTED_VALUE"""),"18 inch Aero")</f>
        <v>18 inch Aero</v>
      </c>
      <c r="Q212" t="str">
        <f>IFERROR(__xludf.DUMMYFUNCTION("""COMPUTED_VALUE"""),"Black seats")</f>
        <v>Black seats</v>
      </c>
      <c r="R212" t="str">
        <f>IFERROR(__xludf.DUMMYFUNCTION("""COMPUTED_VALUE"""),"None")</f>
        <v>None</v>
      </c>
      <c r="X212" t="str">
        <f>IFERROR(__xludf.DUMMYFUNCTION("""COMPUTED_VALUE"""),"Excellent")</f>
        <v>Excellent</v>
      </c>
      <c r="Y212" t="str">
        <f>IFERROR(__xludf.DUMMYFUNCTION("""COMPUTED_VALUE"""),"Excellent")</f>
        <v>Excellent</v>
      </c>
      <c r="Z212" t="str">
        <f>IFERROR(__xludf.DUMMYFUNCTION("""COMPUTED_VALUE"""),"Excellent")</f>
        <v>Excellent</v>
      </c>
      <c r="AA212" t="str">
        <f>IFERROR(__xludf.DUMMYFUNCTION("""COMPUTED_VALUE"""),"Good")</f>
        <v>Good</v>
      </c>
      <c r="AB212" t="str">
        <f>IFERROR(__xludf.DUMMYFUNCTION("""COMPUTED_VALUE"""),"Good")</f>
        <v>Good</v>
      </c>
      <c r="AH212" s="189">
        <f>IFERROR(__xludf.DUMMYFUNCTION("""COMPUTED_VALUE"""),43277.56903460648)</f>
        <v>43277.56903</v>
      </c>
    </row>
    <row r="213">
      <c r="A213" t="str">
        <f>IFERROR(__xludf.DUMMYFUNCTION("""COMPUTED_VALUE"""),"Raleel")</f>
        <v>Raleel</v>
      </c>
      <c r="B213" t="str">
        <f>IFERROR(__xludf.DUMMYFUNCTION("""COMPUTED_VALUE"""),"richland")</f>
        <v>richland</v>
      </c>
      <c r="C213" t="str">
        <f>IFERROR(__xludf.DUMMYFUNCTION("""COMPUTED_VALUE"""),"WA")</f>
        <v>WA</v>
      </c>
      <c r="D213" t="str">
        <f>IFERROR(__xludf.DUMMYFUNCTION("""COMPUTED_VALUE"""),"USA")</f>
        <v>USA</v>
      </c>
      <c r="E213" s="188">
        <f>IFERROR(__xludf.DUMMYFUNCTION("""COMPUTED_VALUE"""),43203.0)</f>
        <v>43203</v>
      </c>
      <c r="F213" s="188">
        <f>IFERROR(__xludf.DUMMYFUNCTION("""COMPUTED_VALUE"""),43222.0)</f>
        <v>43222</v>
      </c>
      <c r="H213">
        <f>IFERROR(__xludf.DUMMYFUNCTION("""COMPUTED_VALUE"""),19255.0)</f>
        <v>19255</v>
      </c>
      <c r="J213" s="5">
        <f>IFERROR(__xludf.DUMMYFUNCTION("""COMPUTED_VALUE"""),43239.0)</f>
        <v>43239</v>
      </c>
      <c r="K213">
        <f>IFERROR(__xludf.DUMMYFUNCTION("""COMPUTED_VALUE"""),19.0)</f>
        <v>19</v>
      </c>
      <c r="L213">
        <f>IFERROR(__xludf.DUMMYFUNCTION("""COMPUTED_VALUE"""),17.0)</f>
        <v>17</v>
      </c>
      <c r="M213">
        <f>IFERROR(__xludf.DUMMYFUNCTION("""COMPUTED_VALUE"""),36.0)</f>
        <v>36</v>
      </c>
      <c r="N213" t="str">
        <f>IFERROR(__xludf.DUMMYFUNCTION("""COMPUTED_VALUE"""),"Model 3 LR")</f>
        <v>Model 3 LR</v>
      </c>
      <c r="O213" t="str">
        <f>IFERROR(__xludf.DUMMYFUNCTION("""COMPUTED_VALUE"""),"Red Multi-Coat")</f>
        <v>Red Multi-Coat</v>
      </c>
      <c r="P213" t="str">
        <f>IFERROR(__xludf.DUMMYFUNCTION("""COMPUTED_VALUE"""),"18 inch Aero")</f>
        <v>18 inch Aero</v>
      </c>
      <c r="Q213" t="str">
        <f>IFERROR(__xludf.DUMMYFUNCTION("""COMPUTED_VALUE"""),"Black seats")</f>
        <v>Black seats</v>
      </c>
      <c r="R213" t="str">
        <f>IFERROR(__xludf.DUMMYFUNCTION("""COMPUTED_VALUE"""),"Enhanced Autopilot")</f>
        <v>Enhanced Autopilot</v>
      </c>
      <c r="X213" t="str">
        <f>IFERROR(__xludf.DUMMYFUNCTION("""COMPUTED_VALUE"""),"Excellent")</f>
        <v>Excellent</v>
      </c>
      <c r="Y213" t="str">
        <f>IFERROR(__xludf.DUMMYFUNCTION("""COMPUTED_VALUE"""),"Excellent")</f>
        <v>Excellent</v>
      </c>
      <c r="Z213" t="str">
        <f>IFERROR(__xludf.DUMMYFUNCTION("""COMPUTED_VALUE"""),"Excellent")</f>
        <v>Excellent</v>
      </c>
      <c r="AA213" t="str">
        <f>IFERROR(__xludf.DUMMYFUNCTION("""COMPUTED_VALUE"""),"Excellent")</f>
        <v>Excellent</v>
      </c>
      <c r="AB213" t="str">
        <f>IFERROR(__xludf.DUMMYFUNCTION("""COMPUTED_VALUE"""),"Excellent")</f>
        <v>Excellent</v>
      </c>
      <c r="AH213" s="189">
        <f>IFERROR(__xludf.DUMMYFUNCTION("""COMPUTED_VALUE"""),43277.852061631944)</f>
        <v>43277.85206</v>
      </c>
    </row>
    <row r="214">
      <c r="A214" t="str">
        <f>IFERROR(__xludf.DUMMYFUNCTION("""COMPUTED_VALUE"""),"kellogg76")</f>
        <v>kellogg76</v>
      </c>
      <c r="B214" t="str">
        <f>IFERROR(__xludf.DUMMYFUNCTION("""COMPUTED_VALUE"""),"Halifax")</f>
        <v>Halifax</v>
      </c>
      <c r="C214" t="str">
        <f>IFERROR(__xludf.DUMMYFUNCTION("""COMPUTED_VALUE"""),"NS")</f>
        <v>NS</v>
      </c>
      <c r="D214" t="str">
        <f>IFERROR(__xludf.DUMMYFUNCTION("""COMPUTED_VALUE"""),"Canada")</f>
        <v>Canada</v>
      </c>
      <c r="E214" s="188">
        <f>IFERROR(__xludf.DUMMYFUNCTION("""COMPUTED_VALUE"""),43194.0)</f>
        <v>43194</v>
      </c>
      <c r="F214" s="188">
        <f>IFERROR(__xludf.DUMMYFUNCTION("""COMPUTED_VALUE"""),43228.0)</f>
        <v>43228</v>
      </c>
      <c r="H214">
        <f>IFERROR(__xludf.DUMMYFUNCTION("""COMPUTED_VALUE"""),28855.0)</f>
        <v>28855</v>
      </c>
      <c r="J214" s="5">
        <f>IFERROR(__xludf.DUMMYFUNCTION("""COMPUTED_VALUE"""),43271.0)</f>
        <v>43271</v>
      </c>
      <c r="K214">
        <f>IFERROR(__xludf.DUMMYFUNCTION("""COMPUTED_VALUE"""),34.0)</f>
        <v>34</v>
      </c>
      <c r="L214">
        <f>IFERROR(__xludf.DUMMYFUNCTION("""COMPUTED_VALUE"""),43.0)</f>
        <v>43</v>
      </c>
      <c r="M214">
        <f>IFERROR(__xludf.DUMMYFUNCTION("""COMPUTED_VALUE"""),77.0)</f>
        <v>77</v>
      </c>
      <c r="N214" t="str">
        <f>IFERROR(__xludf.DUMMYFUNCTION("""COMPUTED_VALUE"""),"Model 3 LR")</f>
        <v>Model 3 LR</v>
      </c>
      <c r="O214" t="str">
        <f>IFERROR(__xludf.DUMMYFUNCTION("""COMPUTED_VALUE"""),"Midnight Silver Metallic")</f>
        <v>Midnight Silver Metallic</v>
      </c>
      <c r="P214" t="str">
        <f>IFERROR(__xludf.DUMMYFUNCTION("""COMPUTED_VALUE"""),"18 inch Aero")</f>
        <v>18 inch Aero</v>
      </c>
      <c r="Q214" t="str">
        <f>IFERROR(__xludf.DUMMYFUNCTION("""COMPUTED_VALUE"""),"Black seats")</f>
        <v>Black seats</v>
      </c>
      <c r="R214" t="str">
        <f>IFERROR(__xludf.DUMMYFUNCTION("""COMPUTED_VALUE"""),"Enhanced Autopilot")</f>
        <v>Enhanced Autopilot</v>
      </c>
      <c r="X214" t="str">
        <f>IFERROR(__xludf.DUMMYFUNCTION("""COMPUTED_VALUE"""),"Excellent")</f>
        <v>Excellent</v>
      </c>
      <c r="Y214" t="str">
        <f>IFERROR(__xludf.DUMMYFUNCTION("""COMPUTED_VALUE"""),"Excellent")</f>
        <v>Excellent</v>
      </c>
      <c r="Z214" t="str">
        <f>IFERROR(__xludf.DUMMYFUNCTION("""COMPUTED_VALUE"""),"Excellent")</f>
        <v>Excellent</v>
      </c>
      <c r="AA214" t="str">
        <f>IFERROR(__xludf.DUMMYFUNCTION("""COMPUTED_VALUE"""),"Good")</f>
        <v>Good</v>
      </c>
      <c r="AB214" t="str">
        <f>IFERROR(__xludf.DUMMYFUNCTION("""COMPUTED_VALUE"""),"Poor")</f>
        <v>Poor</v>
      </c>
      <c r="AH214" s="189">
        <f>IFERROR(__xludf.DUMMYFUNCTION("""COMPUTED_VALUE"""),43278.206722476854)</f>
        <v>43278.20672</v>
      </c>
    </row>
    <row r="215">
      <c r="A215" t="str">
        <f>IFERROR(__xludf.DUMMYFUNCTION("""COMPUTED_VALUE"""),"peachfuzz0")</f>
        <v>peachfuzz0</v>
      </c>
      <c r="B215" t="str">
        <f>IFERROR(__xludf.DUMMYFUNCTION("""COMPUTED_VALUE"""),"Montreal")</f>
        <v>Montreal</v>
      </c>
      <c r="C215" t="str">
        <f>IFERROR(__xludf.DUMMYFUNCTION("""COMPUTED_VALUE"""),"QC")</f>
        <v>QC</v>
      </c>
      <c r="D215" t="str">
        <f>IFERROR(__xludf.DUMMYFUNCTION("""COMPUTED_VALUE"""),"Canada")</f>
        <v>Canada</v>
      </c>
      <c r="E215" s="188">
        <f>IFERROR(__xludf.DUMMYFUNCTION("""COMPUTED_VALUE"""),43214.0)</f>
        <v>43214</v>
      </c>
      <c r="F215" s="188">
        <f>IFERROR(__xludf.DUMMYFUNCTION("""COMPUTED_VALUE"""),43236.0)</f>
        <v>43236</v>
      </c>
      <c r="H215">
        <f>IFERROR(__xludf.DUMMYFUNCTION("""COMPUTED_VALUE"""),29255.0)</f>
        <v>29255</v>
      </c>
      <c r="I215" t="str">
        <f>IFERROR(__xludf.DUMMYFUNCTION("""COMPUTED_VALUE"""),"05/18")</f>
        <v>05/18</v>
      </c>
      <c r="J215" s="5">
        <f>IFERROR(__xludf.DUMMYFUNCTION("""COMPUTED_VALUE"""),43259.0)</f>
        <v>43259</v>
      </c>
      <c r="K215">
        <f>IFERROR(__xludf.DUMMYFUNCTION("""COMPUTED_VALUE"""),22.0)</f>
        <v>22</v>
      </c>
      <c r="L215">
        <f>IFERROR(__xludf.DUMMYFUNCTION("""COMPUTED_VALUE"""),23.0)</f>
        <v>23</v>
      </c>
      <c r="M215">
        <f>IFERROR(__xludf.DUMMYFUNCTION("""COMPUTED_VALUE"""),45.0)</f>
        <v>45</v>
      </c>
      <c r="N215" t="str">
        <f>IFERROR(__xludf.DUMMYFUNCTION("""COMPUTED_VALUE"""),"Model 3 LR")</f>
        <v>Model 3 LR</v>
      </c>
      <c r="O215" t="str">
        <f>IFERROR(__xludf.DUMMYFUNCTION("""COMPUTED_VALUE"""),"Deep Blue Metallic")</f>
        <v>Deep Blue Metallic</v>
      </c>
      <c r="P215" t="str">
        <f>IFERROR(__xludf.DUMMYFUNCTION("""COMPUTED_VALUE"""),"18 inch Aero")</f>
        <v>18 inch Aero</v>
      </c>
      <c r="Q215" t="str">
        <f>IFERROR(__xludf.DUMMYFUNCTION("""COMPUTED_VALUE"""),"Black seats")</f>
        <v>Black seats</v>
      </c>
      <c r="R215" t="str">
        <f>IFERROR(__xludf.DUMMYFUNCTION("""COMPUTED_VALUE"""),"Enhanced Autopilot")</f>
        <v>Enhanced Autopilot</v>
      </c>
      <c r="X215" t="str">
        <f>IFERROR(__xludf.DUMMYFUNCTION("""COMPUTED_VALUE"""),"Excellent")</f>
        <v>Excellent</v>
      </c>
      <c r="Y215" t="str">
        <f>IFERROR(__xludf.DUMMYFUNCTION("""COMPUTED_VALUE"""),"Excellent")</f>
        <v>Excellent</v>
      </c>
      <c r="Z215" t="str">
        <f>IFERROR(__xludf.DUMMYFUNCTION("""COMPUTED_VALUE"""),"Excellent")</f>
        <v>Excellent</v>
      </c>
      <c r="AA215" t="str">
        <f>IFERROR(__xludf.DUMMYFUNCTION("""COMPUTED_VALUE"""),"Good")</f>
        <v>Good</v>
      </c>
      <c r="AB215" t="str">
        <f>IFERROR(__xludf.DUMMYFUNCTION("""COMPUTED_VALUE"""),"Excellent")</f>
        <v>Excellent</v>
      </c>
      <c r="AH215" s="189">
        <f>IFERROR(__xludf.DUMMYFUNCTION("""COMPUTED_VALUE"""),43278.28721846065)</f>
        <v>43278.28722</v>
      </c>
    </row>
    <row r="216">
      <c r="A216" t="str">
        <f>IFERROR(__xludf.DUMMYFUNCTION("""COMPUTED_VALUE"""),"cssgeek")</f>
        <v>cssgeek</v>
      </c>
      <c r="B216" t="str">
        <f>IFERROR(__xludf.DUMMYFUNCTION("""COMPUTED_VALUE"""),"St. Louis")</f>
        <v>St. Louis</v>
      </c>
      <c r="C216" t="str">
        <f>IFERROR(__xludf.DUMMYFUNCTION("""COMPUTED_VALUE"""),"MO")</f>
        <v>MO</v>
      </c>
      <c r="D216" t="str">
        <f>IFERROR(__xludf.DUMMYFUNCTION("""COMPUTED_VALUE"""),"USA")</f>
        <v>USA</v>
      </c>
      <c r="E216" s="188">
        <f>IFERROR(__xludf.DUMMYFUNCTION("""COMPUTED_VALUE"""),43196.0)</f>
        <v>43196</v>
      </c>
      <c r="F216" s="188">
        <f>IFERROR(__xludf.DUMMYFUNCTION("""COMPUTED_VALUE"""),43224.0)</f>
        <v>43224</v>
      </c>
      <c r="H216">
        <f>IFERROR(__xludf.DUMMYFUNCTION("""COMPUTED_VALUE"""),19355.0)</f>
        <v>19355</v>
      </c>
      <c r="I216" t="str">
        <f>IFERROR(__xludf.DUMMYFUNCTION("""COMPUTED_VALUE"""),"05/18")</f>
        <v>05/18</v>
      </c>
      <c r="J216" s="5">
        <f>IFERROR(__xludf.DUMMYFUNCTION("""COMPUTED_VALUE"""),43246.0)</f>
        <v>43246</v>
      </c>
      <c r="K216">
        <f>IFERROR(__xludf.DUMMYFUNCTION("""COMPUTED_VALUE"""),28.0)</f>
        <v>28</v>
      </c>
      <c r="L216">
        <f>IFERROR(__xludf.DUMMYFUNCTION("""COMPUTED_VALUE"""),22.0)</f>
        <v>22</v>
      </c>
      <c r="M216">
        <f>IFERROR(__xludf.DUMMYFUNCTION("""COMPUTED_VALUE"""),50.0)</f>
        <v>50</v>
      </c>
      <c r="N216" t="str">
        <f>IFERROR(__xludf.DUMMYFUNCTION("""COMPUTED_VALUE"""),"Model 3 LR")</f>
        <v>Model 3 LR</v>
      </c>
      <c r="O216" t="str">
        <f>IFERROR(__xludf.DUMMYFUNCTION("""COMPUTED_VALUE"""),"Deep Blue Metallic")</f>
        <v>Deep Blue Metallic</v>
      </c>
      <c r="P216" t="str">
        <f>IFERROR(__xludf.DUMMYFUNCTION("""COMPUTED_VALUE"""),"18 inch Aero")</f>
        <v>18 inch Aero</v>
      </c>
      <c r="Q216" t="str">
        <f>IFERROR(__xludf.DUMMYFUNCTION("""COMPUTED_VALUE"""),"Black seats")</f>
        <v>Black seats</v>
      </c>
      <c r="R216" t="str">
        <f>IFERROR(__xludf.DUMMYFUNCTION("""COMPUTED_VALUE"""),"Enhanced Autopilot")</f>
        <v>Enhanced Autopilot</v>
      </c>
      <c r="X216" t="str">
        <f>IFERROR(__xludf.DUMMYFUNCTION("""COMPUTED_VALUE"""),"Excellent")</f>
        <v>Excellent</v>
      </c>
      <c r="Y216" t="str">
        <f>IFERROR(__xludf.DUMMYFUNCTION("""COMPUTED_VALUE"""),"Excellent")</f>
        <v>Excellent</v>
      </c>
      <c r="Z216" t="str">
        <f>IFERROR(__xludf.DUMMYFUNCTION("""COMPUTED_VALUE"""),"Excellent")</f>
        <v>Excellent</v>
      </c>
      <c r="AA216" t="str">
        <f>IFERROR(__xludf.DUMMYFUNCTION("""COMPUTED_VALUE"""),"Excellent")</f>
        <v>Excellent</v>
      </c>
      <c r="AB216" t="str">
        <f>IFERROR(__xludf.DUMMYFUNCTION("""COMPUTED_VALUE"""),"Excellent")</f>
        <v>Excellent</v>
      </c>
      <c r="AH216" s="189">
        <f>IFERROR(__xludf.DUMMYFUNCTION("""COMPUTED_VALUE"""),43278.39378711805)</f>
        <v>43278.39379</v>
      </c>
    </row>
    <row r="217">
      <c r="A217" t="str">
        <f>IFERROR(__xludf.DUMMYFUNCTION("""COMPUTED_VALUE"""),"jpao")</f>
        <v>jpao</v>
      </c>
      <c r="B217" t="str">
        <f>IFERROR(__xludf.DUMMYFUNCTION("""COMPUTED_VALUE"""),"Santa Barbara")</f>
        <v>Santa Barbara</v>
      </c>
      <c r="C217" t="str">
        <f>IFERROR(__xludf.DUMMYFUNCTION("""COMPUTED_VALUE"""),"CA")</f>
        <v>CA</v>
      </c>
      <c r="D217" t="str">
        <f>IFERROR(__xludf.DUMMYFUNCTION("""COMPUTED_VALUE"""),"USA")</f>
        <v>USA</v>
      </c>
      <c r="E217" s="188">
        <f>IFERROR(__xludf.DUMMYFUNCTION("""COMPUTED_VALUE"""),43242.0)</f>
        <v>43242</v>
      </c>
      <c r="F217" s="188">
        <f>IFERROR(__xludf.DUMMYFUNCTION("""COMPUTED_VALUE"""),43277.0)</f>
        <v>43277</v>
      </c>
      <c r="H217">
        <f>IFERROR(__xludf.DUMMYFUNCTION("""COMPUTED_VALUE"""),43055.0)</f>
        <v>43055</v>
      </c>
      <c r="J217" s="5">
        <f>IFERROR(__xludf.DUMMYFUNCTION("""COMPUTED_VALUE"""),43280.0)</f>
        <v>43280</v>
      </c>
      <c r="K217">
        <f>IFERROR(__xludf.DUMMYFUNCTION("""COMPUTED_VALUE"""),35.0)</f>
        <v>35</v>
      </c>
      <c r="L217">
        <f>IFERROR(__xludf.DUMMYFUNCTION("""COMPUTED_VALUE"""),3.0)</f>
        <v>3</v>
      </c>
      <c r="M217">
        <f>IFERROR(__xludf.DUMMYFUNCTION("""COMPUTED_VALUE"""),38.0)</f>
        <v>38</v>
      </c>
      <c r="N217" t="str">
        <f>IFERROR(__xludf.DUMMYFUNCTION("""COMPUTED_VALUE"""),"Model 3 LR")</f>
        <v>Model 3 LR</v>
      </c>
      <c r="O217" t="str">
        <f>IFERROR(__xludf.DUMMYFUNCTION("""COMPUTED_VALUE"""),"Silver Metallic")</f>
        <v>Silver Metallic</v>
      </c>
      <c r="P217" t="str">
        <f>IFERROR(__xludf.DUMMYFUNCTION("""COMPUTED_VALUE"""),"18 inch Aero")</f>
        <v>18 inch Aero</v>
      </c>
      <c r="Q217" t="str">
        <f>IFERROR(__xludf.DUMMYFUNCTION("""COMPUTED_VALUE"""),"Black seats")</f>
        <v>Black seats</v>
      </c>
      <c r="R217" t="str">
        <f>IFERROR(__xludf.DUMMYFUNCTION("""COMPUTED_VALUE"""),"Enhanced Autopilot")</f>
        <v>Enhanced Autopilot</v>
      </c>
      <c r="AA217" t="str">
        <f>IFERROR(__xludf.DUMMYFUNCTION("""COMPUTED_VALUE"""),"Very Good")</f>
        <v>Very Good</v>
      </c>
      <c r="AH217" s="189">
        <f>IFERROR(__xludf.DUMMYFUNCTION("""COMPUTED_VALUE"""),43278.500811342594)</f>
        <v>43278.50081</v>
      </c>
    </row>
    <row r="218">
      <c r="A218" t="str">
        <f>IFERROR(__xludf.DUMMYFUNCTION("""COMPUTED_VALUE"""),"Zaxxon")</f>
        <v>Zaxxon</v>
      </c>
      <c r="B218" t="str">
        <f>IFERROR(__xludf.DUMMYFUNCTION("""COMPUTED_VALUE"""),"Denver")</f>
        <v>Denver</v>
      </c>
      <c r="C218" t="str">
        <f>IFERROR(__xludf.DUMMYFUNCTION("""COMPUTED_VALUE"""),"CO")</f>
        <v>CO</v>
      </c>
      <c r="D218" t="str">
        <f>IFERROR(__xludf.DUMMYFUNCTION("""COMPUTED_VALUE"""),"USA")</f>
        <v>USA</v>
      </c>
      <c r="E218" s="188">
        <f>IFERROR(__xludf.DUMMYFUNCTION("""COMPUTED_VALUE"""),43197.0)</f>
        <v>43197</v>
      </c>
      <c r="F218" s="188">
        <f>IFERROR(__xludf.DUMMYFUNCTION("""COMPUTED_VALUE"""),43222.0)</f>
        <v>43222</v>
      </c>
      <c r="H218">
        <f>IFERROR(__xludf.DUMMYFUNCTION("""COMPUTED_VALUE"""),22485.0)</f>
        <v>22485</v>
      </c>
      <c r="I218" t="str">
        <f>IFERROR(__xludf.DUMMYFUNCTION("""COMPUTED_VALUE"""),"05/18")</f>
        <v>05/18</v>
      </c>
      <c r="J218" s="5">
        <f>IFERROR(__xludf.DUMMYFUNCTION("""COMPUTED_VALUE"""),43230.0)</f>
        <v>43230</v>
      </c>
      <c r="K218">
        <f>IFERROR(__xludf.DUMMYFUNCTION("""COMPUTED_VALUE"""),25.0)</f>
        <v>25</v>
      </c>
      <c r="L218">
        <f>IFERROR(__xludf.DUMMYFUNCTION("""COMPUTED_VALUE"""),8.0)</f>
        <v>8</v>
      </c>
      <c r="M218">
        <f>IFERROR(__xludf.DUMMYFUNCTION("""COMPUTED_VALUE"""),33.0)</f>
        <v>33</v>
      </c>
      <c r="N218" t="str">
        <f>IFERROR(__xludf.DUMMYFUNCTION("""COMPUTED_VALUE"""),"Model 3 LR")</f>
        <v>Model 3 LR</v>
      </c>
      <c r="O218" t="str">
        <f>IFERROR(__xludf.DUMMYFUNCTION("""COMPUTED_VALUE"""),"Deep Blue Metallic")</f>
        <v>Deep Blue Metallic</v>
      </c>
      <c r="P218" t="str">
        <f>IFERROR(__xludf.DUMMYFUNCTION("""COMPUTED_VALUE"""),"18 inch Aero")</f>
        <v>18 inch Aero</v>
      </c>
      <c r="Q218" t="str">
        <f>IFERROR(__xludf.DUMMYFUNCTION("""COMPUTED_VALUE"""),"Black seats")</f>
        <v>Black seats</v>
      </c>
      <c r="R218" t="str">
        <f>IFERROR(__xludf.DUMMYFUNCTION("""COMPUTED_VALUE"""),"Enhanced Autopilot")</f>
        <v>Enhanced Autopilot</v>
      </c>
      <c r="X218" t="str">
        <f>IFERROR(__xludf.DUMMYFUNCTION("""COMPUTED_VALUE"""),"Excellent")</f>
        <v>Excellent</v>
      </c>
      <c r="Y218" t="str">
        <f>IFERROR(__xludf.DUMMYFUNCTION("""COMPUTED_VALUE"""),"Very Good")</f>
        <v>Very Good</v>
      </c>
      <c r="Z218" t="str">
        <f>IFERROR(__xludf.DUMMYFUNCTION("""COMPUTED_VALUE"""),"Excellent")</f>
        <v>Excellent</v>
      </c>
      <c r="AA218" t="str">
        <f>IFERROR(__xludf.DUMMYFUNCTION("""COMPUTED_VALUE"""),"Excellent")</f>
        <v>Excellent</v>
      </c>
      <c r="AB218" t="str">
        <f>IFERROR(__xludf.DUMMYFUNCTION("""COMPUTED_VALUE"""),"Excellent")</f>
        <v>Excellent</v>
      </c>
      <c r="AH218" s="189">
        <f>IFERROR(__xludf.DUMMYFUNCTION("""COMPUTED_VALUE"""),43278.881916909726)</f>
        <v>43278.88192</v>
      </c>
    </row>
    <row r="219">
      <c r="A219" t="str">
        <f>IFERROR(__xludf.DUMMYFUNCTION("""COMPUTED_VALUE"""),"JeopardE")</f>
        <v>JeopardE</v>
      </c>
      <c r="B219" t="str">
        <f>IFERROR(__xludf.DUMMYFUNCTION("""COMPUTED_VALUE"""),"Houston")</f>
        <v>Houston</v>
      </c>
      <c r="C219" t="str">
        <f>IFERROR(__xludf.DUMMYFUNCTION("""COMPUTED_VALUE"""),"TX")</f>
        <v>TX</v>
      </c>
      <c r="D219" t="str">
        <f>IFERROR(__xludf.DUMMYFUNCTION("""COMPUTED_VALUE"""),"USA")</f>
        <v>USA</v>
      </c>
      <c r="E219" s="188">
        <f>IFERROR(__xludf.DUMMYFUNCTION("""COMPUTED_VALUE"""),43203.0)</f>
        <v>43203</v>
      </c>
      <c r="F219" s="188">
        <f>IFERROR(__xludf.DUMMYFUNCTION("""COMPUTED_VALUE"""),43253.0)</f>
        <v>43253</v>
      </c>
      <c r="H219">
        <f>IFERROR(__xludf.DUMMYFUNCTION("""COMPUTED_VALUE"""),32855.0)</f>
        <v>32855</v>
      </c>
      <c r="I219" t="str">
        <f>IFERROR(__xludf.DUMMYFUNCTION("""COMPUTED_VALUE"""),"06/18")</f>
        <v>06/18</v>
      </c>
      <c r="J219" s="5">
        <f>IFERROR(__xludf.DUMMYFUNCTION("""COMPUTED_VALUE"""),43272.0)</f>
        <v>43272</v>
      </c>
      <c r="K219">
        <f>IFERROR(__xludf.DUMMYFUNCTION("""COMPUTED_VALUE"""),50.0)</f>
        <v>50</v>
      </c>
      <c r="L219">
        <f>IFERROR(__xludf.DUMMYFUNCTION("""COMPUTED_VALUE"""),19.0)</f>
        <v>19</v>
      </c>
      <c r="M219">
        <f>IFERROR(__xludf.DUMMYFUNCTION("""COMPUTED_VALUE"""),69.0)</f>
        <v>69</v>
      </c>
      <c r="N219" t="str">
        <f>IFERROR(__xludf.DUMMYFUNCTION("""COMPUTED_VALUE"""),"Model 3 LR")</f>
        <v>Model 3 LR</v>
      </c>
      <c r="O219" t="str">
        <f>IFERROR(__xludf.DUMMYFUNCTION("""COMPUTED_VALUE"""),"Red Multi-Coat")</f>
        <v>Red Multi-Coat</v>
      </c>
      <c r="P219" t="str">
        <f>IFERROR(__xludf.DUMMYFUNCTION("""COMPUTED_VALUE"""),"19 inch Sport")</f>
        <v>19 inch Sport</v>
      </c>
      <c r="Q219" t="str">
        <f>IFERROR(__xludf.DUMMYFUNCTION("""COMPUTED_VALUE"""),"Black seats")</f>
        <v>Black seats</v>
      </c>
      <c r="R219" t="str">
        <f>IFERROR(__xludf.DUMMYFUNCTION("""COMPUTED_VALUE"""),"Enhanced Autopilot")</f>
        <v>Enhanced Autopilot</v>
      </c>
      <c r="X219" t="str">
        <f>IFERROR(__xludf.DUMMYFUNCTION("""COMPUTED_VALUE"""),"Very Good")</f>
        <v>Very Good</v>
      </c>
      <c r="Y219" t="str">
        <f>IFERROR(__xludf.DUMMYFUNCTION("""COMPUTED_VALUE"""),"Very Good")</f>
        <v>Very Good</v>
      </c>
      <c r="Z219" t="str">
        <f>IFERROR(__xludf.DUMMYFUNCTION("""COMPUTED_VALUE"""),"Excellent")</f>
        <v>Excellent</v>
      </c>
      <c r="AA219" t="str">
        <f>IFERROR(__xludf.DUMMYFUNCTION("""COMPUTED_VALUE"""),"Excellent")</f>
        <v>Excellent</v>
      </c>
      <c r="AB219" t="str">
        <f>IFERROR(__xludf.DUMMYFUNCTION("""COMPUTED_VALUE"""),"Excellent")</f>
        <v>Excellent</v>
      </c>
      <c r="AH219" s="189">
        <f>IFERROR(__xludf.DUMMYFUNCTION("""COMPUTED_VALUE"""),43278.907412280096)</f>
        <v>43278.90741</v>
      </c>
    </row>
    <row r="220">
      <c r="A220" t="str">
        <f>IFERROR(__xludf.DUMMYFUNCTION("""COMPUTED_VALUE"""),"EV_Ronnie")</f>
        <v>EV_Ronnie</v>
      </c>
      <c r="B220" t="str">
        <f>IFERROR(__xludf.DUMMYFUNCTION("""COMPUTED_VALUE"""),"San Jose")</f>
        <v>San Jose</v>
      </c>
      <c r="C220" t="str">
        <f>IFERROR(__xludf.DUMMYFUNCTION("""COMPUTED_VALUE"""),"CA")</f>
        <v>CA</v>
      </c>
      <c r="D220" t="str">
        <f>IFERROR(__xludf.DUMMYFUNCTION("""COMPUTED_VALUE"""),"USA")</f>
        <v>USA</v>
      </c>
      <c r="E220" s="188">
        <f>IFERROR(__xludf.DUMMYFUNCTION("""COMPUTED_VALUE"""),43209.0)</f>
        <v>43209</v>
      </c>
      <c r="F220" s="188">
        <f>IFERROR(__xludf.DUMMYFUNCTION("""COMPUTED_VALUE"""),43277.0)</f>
        <v>43277</v>
      </c>
      <c r="H220">
        <f>IFERROR(__xludf.DUMMYFUNCTION("""COMPUTED_VALUE"""),38155.0)</f>
        <v>38155</v>
      </c>
      <c r="I220" t="str">
        <f>IFERROR(__xludf.DUMMYFUNCTION("""COMPUTED_VALUE"""),"06/18")</f>
        <v>06/18</v>
      </c>
      <c r="J220" s="5">
        <f>IFERROR(__xludf.DUMMYFUNCTION("""COMPUTED_VALUE"""),43280.0)</f>
        <v>43280</v>
      </c>
      <c r="K220">
        <f>IFERROR(__xludf.DUMMYFUNCTION("""COMPUTED_VALUE"""),68.0)</f>
        <v>68</v>
      </c>
      <c r="L220">
        <f>IFERROR(__xludf.DUMMYFUNCTION("""COMPUTED_VALUE"""),3.0)</f>
        <v>3</v>
      </c>
      <c r="M220">
        <f>IFERROR(__xludf.DUMMYFUNCTION("""COMPUTED_VALUE"""),71.0)</f>
        <v>71</v>
      </c>
      <c r="N220" t="str">
        <f>IFERROR(__xludf.DUMMYFUNCTION("""COMPUTED_VALUE"""),"Model 3 LR")</f>
        <v>Model 3 LR</v>
      </c>
      <c r="O220" t="str">
        <f>IFERROR(__xludf.DUMMYFUNCTION("""COMPUTED_VALUE"""),"Deep Blue Metallic")</f>
        <v>Deep Blue Metallic</v>
      </c>
      <c r="P220" t="str">
        <f>IFERROR(__xludf.DUMMYFUNCTION("""COMPUTED_VALUE"""),"18 inch Aero")</f>
        <v>18 inch Aero</v>
      </c>
      <c r="Q220" t="str">
        <f>IFERROR(__xludf.DUMMYFUNCTION("""COMPUTED_VALUE"""),"Black seats")</f>
        <v>Black seats</v>
      </c>
      <c r="R220" t="str">
        <f>IFERROR(__xludf.DUMMYFUNCTION("""COMPUTED_VALUE"""),"Enhanced Autopilot")</f>
        <v>Enhanced Autopilot</v>
      </c>
      <c r="X220" t="str">
        <f>IFERROR(__xludf.DUMMYFUNCTION("""COMPUTED_VALUE"""),"Excellent")</f>
        <v>Excellent</v>
      </c>
      <c r="Y220" t="str">
        <f>IFERROR(__xludf.DUMMYFUNCTION("""COMPUTED_VALUE"""),"Excellent")</f>
        <v>Excellent</v>
      </c>
      <c r="Z220" t="str">
        <f>IFERROR(__xludf.DUMMYFUNCTION("""COMPUTED_VALUE"""),"Excellent")</f>
        <v>Excellent</v>
      </c>
      <c r="AA220" t="str">
        <f>IFERROR(__xludf.DUMMYFUNCTION("""COMPUTED_VALUE"""),"Excellent")</f>
        <v>Excellent</v>
      </c>
      <c r="AB220" t="str">
        <f>IFERROR(__xludf.DUMMYFUNCTION("""COMPUTED_VALUE"""),"Excellent")</f>
        <v>Excellent</v>
      </c>
      <c r="AH220" s="189">
        <f>IFERROR(__xludf.DUMMYFUNCTION("""COMPUTED_VALUE"""),43280.55332056713)</f>
        <v>43280.55332</v>
      </c>
    </row>
    <row r="221">
      <c r="A221" t="str">
        <f>IFERROR(__xludf.DUMMYFUNCTION("""COMPUTED_VALUE"""),"Flyboy")</f>
        <v>Flyboy</v>
      </c>
      <c r="B221" t="str">
        <f>IFERROR(__xludf.DUMMYFUNCTION("""COMPUTED_VALUE"""),"San Antonio")</f>
        <v>San Antonio</v>
      </c>
      <c r="C221" t="str">
        <f>IFERROR(__xludf.DUMMYFUNCTION("""COMPUTED_VALUE"""),"TX")</f>
        <v>TX</v>
      </c>
      <c r="D221" t="str">
        <f>IFERROR(__xludf.DUMMYFUNCTION("""COMPUTED_VALUE"""),"USA")</f>
        <v>USA</v>
      </c>
      <c r="E221" s="188">
        <f>IFERROR(__xludf.DUMMYFUNCTION("""COMPUTED_VALUE"""),43204.0)</f>
        <v>43204</v>
      </c>
      <c r="F221" s="188">
        <f>IFERROR(__xludf.DUMMYFUNCTION("""COMPUTED_VALUE"""),43253.0)</f>
        <v>43253</v>
      </c>
      <c r="H221">
        <f>IFERROR(__xludf.DUMMYFUNCTION("""COMPUTED_VALUE"""),24655.0)</f>
        <v>24655</v>
      </c>
      <c r="I221" t="str">
        <f>IFERROR(__xludf.DUMMYFUNCTION("""COMPUTED_VALUE"""),"06/18")</f>
        <v>06/18</v>
      </c>
      <c r="J221" s="5">
        <f>IFERROR(__xludf.DUMMYFUNCTION("""COMPUTED_VALUE"""),43271.0)</f>
        <v>43271</v>
      </c>
      <c r="K221">
        <f>IFERROR(__xludf.DUMMYFUNCTION("""COMPUTED_VALUE"""),49.0)</f>
        <v>49</v>
      </c>
      <c r="L221">
        <f>IFERROR(__xludf.DUMMYFUNCTION("""COMPUTED_VALUE"""),18.0)</f>
        <v>18</v>
      </c>
      <c r="M221">
        <f>IFERROR(__xludf.DUMMYFUNCTION("""COMPUTED_VALUE"""),67.0)</f>
        <v>67</v>
      </c>
      <c r="N221" t="str">
        <f>IFERROR(__xludf.DUMMYFUNCTION("""COMPUTED_VALUE"""),"Model 3 LR")</f>
        <v>Model 3 LR</v>
      </c>
      <c r="O221" t="str">
        <f>IFERROR(__xludf.DUMMYFUNCTION("""COMPUTED_VALUE"""),"Red Multi-Coat")</f>
        <v>Red Multi-Coat</v>
      </c>
      <c r="P221" t="str">
        <f>IFERROR(__xludf.DUMMYFUNCTION("""COMPUTED_VALUE"""),"19 inch Sport")</f>
        <v>19 inch Sport</v>
      </c>
      <c r="Q221" t="str">
        <f>IFERROR(__xludf.DUMMYFUNCTION("""COMPUTED_VALUE"""),"Black seats")</f>
        <v>Black seats</v>
      </c>
      <c r="R221" t="str">
        <f>IFERROR(__xludf.DUMMYFUNCTION("""COMPUTED_VALUE"""),"Enhanced Autopilot")</f>
        <v>Enhanced Autopilot</v>
      </c>
      <c r="X221" t="str">
        <f>IFERROR(__xludf.DUMMYFUNCTION("""COMPUTED_VALUE"""),"Excellent")</f>
        <v>Excellent</v>
      </c>
      <c r="Y221" t="str">
        <f>IFERROR(__xludf.DUMMYFUNCTION("""COMPUTED_VALUE"""),"Excellent")</f>
        <v>Excellent</v>
      </c>
      <c r="Z221" t="str">
        <f>IFERROR(__xludf.DUMMYFUNCTION("""COMPUTED_VALUE"""),"Excellent")</f>
        <v>Excellent</v>
      </c>
      <c r="AA221" t="str">
        <f>IFERROR(__xludf.DUMMYFUNCTION("""COMPUTED_VALUE"""),"Very Good")</f>
        <v>Very Good</v>
      </c>
      <c r="AB221" t="str">
        <f>IFERROR(__xludf.DUMMYFUNCTION("""COMPUTED_VALUE"""),"Excellent")</f>
        <v>Excellent</v>
      </c>
      <c r="AG221" t="str">
        <f>IFERROR(__xludf.DUMMYFUNCTION("""COMPUTED_VALUE"""),"Updated the VIN so that it is now correct ")</f>
        <v>Updated the VIN so that it is now correct </v>
      </c>
      <c r="AH221" s="189">
        <f>IFERROR(__xludf.DUMMYFUNCTION("""COMPUTED_VALUE"""),43280.672799699074)</f>
        <v>43280.6728</v>
      </c>
    </row>
    <row r="222">
      <c r="A222" t="str">
        <f>IFERROR(__xludf.DUMMYFUNCTION("""COMPUTED_VALUE"""),"novox77")</f>
        <v>novox77</v>
      </c>
      <c r="C222" t="str">
        <f>IFERROR(__xludf.DUMMYFUNCTION("""COMPUTED_VALUE"""),"NH")</f>
        <v>NH</v>
      </c>
      <c r="D222" t="str">
        <f>IFERROR(__xludf.DUMMYFUNCTION("""COMPUTED_VALUE"""),"USA")</f>
        <v>USA</v>
      </c>
      <c r="E222" s="188">
        <f>IFERROR(__xludf.DUMMYFUNCTION("""COMPUTED_VALUE"""),43129.0)</f>
        <v>43129</v>
      </c>
      <c r="F222" s="188">
        <f>IFERROR(__xludf.DUMMYFUNCTION("""COMPUTED_VALUE"""),43159.0)</f>
        <v>43159</v>
      </c>
      <c r="H222">
        <f>IFERROR(__xludf.DUMMYFUNCTION("""COMPUTED_VALUE"""),6855.0)</f>
        <v>6855</v>
      </c>
      <c r="I222" t="str">
        <f>IFERROR(__xludf.DUMMYFUNCTION("""COMPUTED_VALUE"""),"02/18")</f>
        <v>02/18</v>
      </c>
      <c r="J222" s="5">
        <f>IFERROR(__xludf.DUMMYFUNCTION("""COMPUTED_VALUE"""),43189.0)</f>
        <v>43189</v>
      </c>
      <c r="K222">
        <f>IFERROR(__xludf.DUMMYFUNCTION("""COMPUTED_VALUE"""),30.0)</f>
        <v>30</v>
      </c>
      <c r="L222">
        <f>IFERROR(__xludf.DUMMYFUNCTION("""COMPUTED_VALUE"""),30.0)</f>
        <v>30</v>
      </c>
      <c r="M222">
        <f>IFERROR(__xludf.DUMMYFUNCTION("""COMPUTED_VALUE"""),60.0)</f>
        <v>60</v>
      </c>
      <c r="N222" t="str">
        <f>IFERROR(__xludf.DUMMYFUNCTION("""COMPUTED_VALUE"""),"Model 3 LR")</f>
        <v>Model 3 LR</v>
      </c>
      <c r="O222" t="str">
        <f>IFERROR(__xludf.DUMMYFUNCTION("""COMPUTED_VALUE"""),"Midnight Silver Metallic")</f>
        <v>Midnight Silver Metallic</v>
      </c>
      <c r="P222" t="str">
        <f>IFERROR(__xludf.DUMMYFUNCTION("""COMPUTED_VALUE"""),"18 inch Aero")</f>
        <v>18 inch Aero</v>
      </c>
      <c r="Q222" t="str">
        <f>IFERROR(__xludf.DUMMYFUNCTION("""COMPUTED_VALUE"""),"Black seats")</f>
        <v>Black seats</v>
      </c>
      <c r="R222" t="str">
        <f>IFERROR(__xludf.DUMMYFUNCTION("""COMPUTED_VALUE"""),"Enhanced Autopilot")</f>
        <v>Enhanced Autopilot</v>
      </c>
      <c r="X222" t="str">
        <f>IFERROR(__xludf.DUMMYFUNCTION("""COMPUTED_VALUE"""),"Excellent")</f>
        <v>Excellent</v>
      </c>
      <c r="Y222" t="str">
        <f>IFERROR(__xludf.DUMMYFUNCTION("""COMPUTED_VALUE"""),"Very Good")</f>
        <v>Very Good</v>
      </c>
      <c r="Z222" t="str">
        <f>IFERROR(__xludf.DUMMYFUNCTION("""COMPUTED_VALUE"""),"Excellent")</f>
        <v>Excellent</v>
      </c>
      <c r="AA222" t="str">
        <f>IFERROR(__xludf.DUMMYFUNCTION("""COMPUTED_VALUE"""),"Excellent")</f>
        <v>Excellent</v>
      </c>
      <c r="AB222" t="str">
        <f>IFERROR(__xludf.DUMMYFUNCTION("""COMPUTED_VALUE"""),"Good")</f>
        <v>Good</v>
      </c>
      <c r="AG222" t="str">
        <f>IFERROR(__xludf.DUMMYFUNCTION("""COMPUTED_VALUE"""),"originally deferring, but decided to get first production config")</f>
        <v>originally deferring, but decided to get first production config</v>
      </c>
      <c r="AH222" s="189">
        <f>IFERROR(__xludf.DUMMYFUNCTION("""COMPUTED_VALUE"""),43280.87525965278)</f>
        <v>43280.87526</v>
      </c>
    </row>
    <row r="223">
      <c r="A223" t="str">
        <f>IFERROR(__xludf.DUMMYFUNCTION("""COMPUTED_VALUE"""),"TheHambledon")</f>
        <v>TheHambledon</v>
      </c>
      <c r="B223" t="str">
        <f>IFERROR(__xludf.DUMMYFUNCTION("""COMPUTED_VALUE"""),"Dallas")</f>
        <v>Dallas</v>
      </c>
      <c r="C223" t="str">
        <f>IFERROR(__xludf.DUMMYFUNCTION("""COMPUTED_VALUE"""),"TX")</f>
        <v>TX</v>
      </c>
      <c r="D223" t="str">
        <f>IFERROR(__xludf.DUMMYFUNCTION("""COMPUTED_VALUE"""),"USA")</f>
        <v>USA</v>
      </c>
      <c r="E223" s="188">
        <f>IFERROR(__xludf.DUMMYFUNCTION("""COMPUTED_VALUE"""),43207.0)</f>
        <v>43207</v>
      </c>
      <c r="F223" s="188">
        <f>IFERROR(__xludf.DUMMYFUNCTION("""COMPUTED_VALUE"""),43265.0)</f>
        <v>43265</v>
      </c>
      <c r="H223">
        <f>IFERROR(__xludf.DUMMYFUNCTION("""COMPUTED_VALUE"""),36355.0)</f>
        <v>36355</v>
      </c>
      <c r="I223" t="str">
        <f>IFERROR(__xludf.DUMMYFUNCTION("""COMPUTED_VALUE"""),"06/18")</f>
        <v>06/18</v>
      </c>
      <c r="J223" s="5">
        <f>IFERROR(__xludf.DUMMYFUNCTION("""COMPUTED_VALUE"""),43280.0)</f>
        <v>43280</v>
      </c>
      <c r="K223">
        <f>IFERROR(__xludf.DUMMYFUNCTION("""COMPUTED_VALUE"""),58.0)</f>
        <v>58</v>
      </c>
      <c r="L223">
        <f>IFERROR(__xludf.DUMMYFUNCTION("""COMPUTED_VALUE"""),15.0)</f>
        <v>15</v>
      </c>
      <c r="M223">
        <f>IFERROR(__xludf.DUMMYFUNCTION("""COMPUTED_VALUE"""),73.0)</f>
        <v>73</v>
      </c>
      <c r="N223" t="str">
        <f>IFERROR(__xludf.DUMMYFUNCTION("""COMPUTED_VALUE"""),"Model 3 LR")</f>
        <v>Model 3 LR</v>
      </c>
      <c r="O223" t="str">
        <f>IFERROR(__xludf.DUMMYFUNCTION("""COMPUTED_VALUE"""),"Solid Black")</f>
        <v>Solid Black</v>
      </c>
      <c r="P223" t="str">
        <f>IFERROR(__xludf.DUMMYFUNCTION("""COMPUTED_VALUE"""),"18 inch Aero")</f>
        <v>18 inch Aero</v>
      </c>
      <c r="Q223" t="str">
        <f>IFERROR(__xludf.DUMMYFUNCTION("""COMPUTED_VALUE"""),"Black seats")</f>
        <v>Black seats</v>
      </c>
      <c r="R223" t="str">
        <f>IFERROR(__xludf.DUMMYFUNCTION("""COMPUTED_VALUE"""),"Enhanced Autopilot")</f>
        <v>Enhanced Autopilot</v>
      </c>
      <c r="X223" t="str">
        <f>IFERROR(__xludf.DUMMYFUNCTION("""COMPUTED_VALUE"""),"Excellent")</f>
        <v>Excellent</v>
      </c>
      <c r="Y223" t="str">
        <f>IFERROR(__xludf.DUMMYFUNCTION("""COMPUTED_VALUE"""),"Excellent")</f>
        <v>Excellent</v>
      </c>
      <c r="Z223" t="str">
        <f>IFERROR(__xludf.DUMMYFUNCTION("""COMPUTED_VALUE"""),"Excellent")</f>
        <v>Excellent</v>
      </c>
      <c r="AA223" t="str">
        <f>IFERROR(__xludf.DUMMYFUNCTION("""COMPUTED_VALUE"""),"Very Good")</f>
        <v>Very Good</v>
      </c>
      <c r="AB223" t="str">
        <f>IFERROR(__xludf.DUMMYFUNCTION("""COMPUTED_VALUE"""),"Excellent")</f>
        <v>Excellent</v>
      </c>
      <c r="AH223" s="189">
        <f>IFERROR(__xludf.DUMMYFUNCTION("""COMPUTED_VALUE"""),43281.26566091435)</f>
        <v>43281.26566</v>
      </c>
    </row>
    <row r="224">
      <c r="A224" t="str">
        <f>IFERROR(__xludf.DUMMYFUNCTION("""COMPUTED_VALUE"""),"kook43")</f>
        <v>kook43</v>
      </c>
      <c r="B224" t="str">
        <f>IFERROR(__xludf.DUMMYFUNCTION("""COMPUTED_VALUE"""),"St. Louis")</f>
        <v>St. Louis</v>
      </c>
      <c r="C224" t="str">
        <f>IFERROR(__xludf.DUMMYFUNCTION("""COMPUTED_VALUE"""),"MO")</f>
        <v>MO</v>
      </c>
      <c r="D224" t="str">
        <f>IFERROR(__xludf.DUMMYFUNCTION("""COMPUTED_VALUE"""),"USA")</f>
        <v>USA</v>
      </c>
      <c r="E224" s="188">
        <f>IFERROR(__xludf.DUMMYFUNCTION("""COMPUTED_VALUE"""),43212.0)</f>
        <v>43212</v>
      </c>
      <c r="F224" s="188">
        <f>IFERROR(__xludf.DUMMYFUNCTION("""COMPUTED_VALUE"""),43255.0)</f>
        <v>43255</v>
      </c>
      <c r="H224">
        <f>IFERROR(__xludf.DUMMYFUNCTION("""COMPUTED_VALUE"""),25355.0)</f>
        <v>25355</v>
      </c>
      <c r="I224" t="str">
        <f>IFERROR(__xludf.DUMMYFUNCTION("""COMPUTED_VALUE"""),"06/18")</f>
        <v>06/18</v>
      </c>
      <c r="J224" s="5">
        <f>IFERROR(__xludf.DUMMYFUNCTION("""COMPUTED_VALUE"""),43279.0)</f>
        <v>43279</v>
      </c>
      <c r="K224">
        <f>IFERROR(__xludf.DUMMYFUNCTION("""COMPUTED_VALUE"""),43.0)</f>
        <v>43</v>
      </c>
      <c r="L224">
        <f>IFERROR(__xludf.DUMMYFUNCTION("""COMPUTED_VALUE"""),24.0)</f>
        <v>24</v>
      </c>
      <c r="M224">
        <f>IFERROR(__xludf.DUMMYFUNCTION("""COMPUTED_VALUE"""),67.0)</f>
        <v>67</v>
      </c>
      <c r="N224" t="str">
        <f>IFERROR(__xludf.DUMMYFUNCTION("""COMPUTED_VALUE"""),"Model 3 LR")</f>
        <v>Model 3 LR</v>
      </c>
      <c r="O224" t="str">
        <f>IFERROR(__xludf.DUMMYFUNCTION("""COMPUTED_VALUE"""),"Pearl White Multi-Coat")</f>
        <v>Pearl White Multi-Coat</v>
      </c>
      <c r="P224" t="str">
        <f>IFERROR(__xludf.DUMMYFUNCTION("""COMPUTED_VALUE"""),"19 inch Sport")</f>
        <v>19 inch Sport</v>
      </c>
      <c r="Q224" t="str">
        <f>IFERROR(__xludf.DUMMYFUNCTION("""COMPUTED_VALUE"""),"Black seats")</f>
        <v>Black seats</v>
      </c>
      <c r="R224" t="str">
        <f>IFERROR(__xludf.DUMMYFUNCTION("""COMPUTED_VALUE"""),"Enhanced Autopilot")</f>
        <v>Enhanced Autopilot</v>
      </c>
      <c r="X224" t="str">
        <f>IFERROR(__xludf.DUMMYFUNCTION("""COMPUTED_VALUE"""),"Very Good")</f>
        <v>Very Good</v>
      </c>
      <c r="Y224" t="str">
        <f>IFERROR(__xludf.DUMMYFUNCTION("""COMPUTED_VALUE"""),"Very Good")</f>
        <v>Very Good</v>
      </c>
      <c r="Z224" t="str">
        <f>IFERROR(__xludf.DUMMYFUNCTION("""COMPUTED_VALUE"""),"Very Good")</f>
        <v>Very Good</v>
      </c>
      <c r="AA224" t="str">
        <f>IFERROR(__xludf.DUMMYFUNCTION("""COMPUTED_VALUE"""),"Excellent")</f>
        <v>Excellent</v>
      </c>
      <c r="AB224" t="str">
        <f>IFERROR(__xludf.DUMMYFUNCTION("""COMPUTED_VALUE"""),"Very Good")</f>
        <v>Very Good</v>
      </c>
      <c r="AG224" t="str">
        <f>IFERROR(__xludf.DUMMYFUNCTION("""COMPUTED_VALUE"""),"A few minor issues, front window alignment, and one panel needs adjusting. Other than that it's awesome! :) ")</f>
        <v>A few minor issues, front window alignment, and one panel needs adjusting. Other than that it's awesome! :) </v>
      </c>
      <c r="AH224" s="189">
        <f>IFERROR(__xludf.DUMMYFUNCTION("""COMPUTED_VALUE"""),43281.37839622685)</f>
        <v>43281.3784</v>
      </c>
    </row>
    <row r="225">
      <c r="A225" t="str">
        <f>IFERROR(__xludf.DUMMYFUNCTION("""COMPUTED_VALUE"""),"Mr. K")</f>
        <v>Mr. K</v>
      </c>
      <c r="B225" t="str">
        <f>IFERROR(__xludf.DUMMYFUNCTION("""COMPUTED_VALUE"""),"Carmichael")</f>
        <v>Carmichael</v>
      </c>
      <c r="C225" t="str">
        <f>IFERROR(__xludf.DUMMYFUNCTION("""COMPUTED_VALUE"""),"CA")</f>
        <v>CA</v>
      </c>
      <c r="D225" t="str">
        <f>IFERROR(__xludf.DUMMYFUNCTION("""COMPUTED_VALUE"""),"USA")</f>
        <v>USA</v>
      </c>
      <c r="E225" s="188">
        <f>IFERROR(__xludf.DUMMYFUNCTION("""COMPUTED_VALUE"""),44319.0)</f>
        <v>44319</v>
      </c>
      <c r="F225" s="188">
        <f>IFERROR(__xludf.DUMMYFUNCTION("""COMPUTED_VALUE"""),44373.0)</f>
        <v>44373</v>
      </c>
      <c r="G225" t="str">
        <f>IFERROR(__xludf.DUMMYFUNCTION("""COMPUTED_VALUE"""),"Text message")</f>
        <v>Text message</v>
      </c>
      <c r="H225">
        <f>IFERROR(__xludf.DUMMYFUNCTION("""COMPUTED_VALUE"""),286155.0)</f>
        <v>286155</v>
      </c>
      <c r="I225" t="str">
        <f>IFERROR(__xludf.DUMMYFUNCTION("""COMPUTED_VALUE"""),"06/21")</f>
        <v>06/21</v>
      </c>
      <c r="J225" s="188">
        <f>IFERROR(__xludf.DUMMYFUNCTION("""COMPUTED_VALUE"""),44375.0)</f>
        <v>44375</v>
      </c>
      <c r="K225">
        <f>IFERROR(__xludf.DUMMYFUNCTION("""COMPUTED_VALUE"""),54.0)</f>
        <v>54</v>
      </c>
      <c r="L225">
        <f>IFERROR(__xludf.DUMMYFUNCTION("""COMPUTED_VALUE"""),2.0)</f>
        <v>2</v>
      </c>
      <c r="M225">
        <f>IFERROR(__xludf.DUMMYFUNCTION("""COMPUTED_VALUE"""),56.0)</f>
        <v>56</v>
      </c>
      <c r="N225" t="str">
        <f>IFERROR(__xludf.DUMMYFUNCTION("""COMPUTED_VALUE"""),"Model 3 LR AWD")</f>
        <v>Model 3 LR AWD</v>
      </c>
      <c r="O225" t="str">
        <f>IFERROR(__xludf.DUMMYFUNCTION("""COMPUTED_VALUE"""),"Red Multi-Coat")</f>
        <v>Red Multi-Coat</v>
      </c>
      <c r="P225" t="str">
        <f>IFERROR(__xludf.DUMMYFUNCTION("""COMPUTED_VALUE"""),"18 inch")</f>
        <v>18 inch</v>
      </c>
      <c r="Q225" t="str">
        <f>IFERROR(__xludf.DUMMYFUNCTION("""COMPUTED_VALUE"""),"All Black")</f>
        <v>All Black</v>
      </c>
      <c r="R225" t="str">
        <f>IFERROR(__xludf.DUMMYFUNCTION("""COMPUTED_VALUE"""),"Autopilot included")</f>
        <v>Autopilot included</v>
      </c>
      <c r="S225" t="str">
        <f>IFERROR(__xludf.DUMMYFUNCTION("""COMPUTED_VALUE"""),"Cash")</f>
        <v>Cash</v>
      </c>
      <c r="T225" t="str">
        <f>IFERROR(__xludf.DUMMYFUNCTION("""COMPUTED_VALUE"""),"Tesla Model 3")</f>
        <v>Tesla Model 3</v>
      </c>
      <c r="U225" t="str">
        <f>IFERROR(__xludf.DUMMYFUNCTION("""COMPUTED_VALUE"""),"Electric!")</f>
        <v>Electric!</v>
      </c>
      <c r="V225" t="str">
        <f>IFERROR(__xludf.DUMMYFUNCTION("""COMPUTED_VALUE"""),"Head-up display")</f>
        <v>Head-up display</v>
      </c>
      <c r="X225" t="str">
        <f>IFERROR(__xludf.DUMMYFUNCTION("""COMPUTED_VALUE"""),"Very Good")</f>
        <v>Very Good</v>
      </c>
      <c r="Y225" t="str">
        <f>IFERROR(__xludf.DUMMYFUNCTION("""COMPUTED_VALUE"""),"Excellent")</f>
        <v>Excellent</v>
      </c>
      <c r="Z225" t="str">
        <f>IFERROR(__xludf.DUMMYFUNCTION("""COMPUTED_VALUE"""),"Excellent")</f>
        <v>Excellent</v>
      </c>
      <c r="AA225" t="str">
        <f>IFERROR(__xludf.DUMMYFUNCTION("""COMPUTED_VALUE"""),"Fair")</f>
        <v>Fair</v>
      </c>
      <c r="AB225" t="str">
        <f>IFERROR(__xludf.DUMMYFUNCTION("""COMPUTED_VALUE"""),"Excellent")</f>
        <v>Excellent</v>
      </c>
      <c r="AC225">
        <f>IFERROR(__xludf.DUMMYFUNCTION("""COMPUTED_VALUE"""),0.0)</f>
        <v>0</v>
      </c>
      <c r="AD225">
        <f>IFERROR(__xludf.DUMMYFUNCTION("""COMPUTED_VALUE"""),0.0)</f>
        <v>0</v>
      </c>
      <c r="AE225">
        <f>IFERROR(__xludf.DUMMYFUNCTION("""COMPUTED_VALUE"""),0.0)</f>
        <v>0</v>
      </c>
      <c r="AF225" t="str">
        <f>IFERROR(__xludf.DUMMYFUNCTION("""COMPUTED_VALUE"""),"No. I took delivery of the first car Tesla was able to deliver.")</f>
        <v>No. I took delivery of the first car Tesla was able to deliver.</v>
      </c>
      <c r="AH225" s="189">
        <f>IFERROR(__xludf.DUMMYFUNCTION("""COMPUTED_VALUE"""),44387.399034490736)</f>
        <v>44387.39903</v>
      </c>
    </row>
    <row r="226">
      <c r="A226" t="str">
        <f>IFERROR(__xludf.DUMMYFUNCTION("""COMPUTED_VALUE"""),"nova")</f>
        <v>nova</v>
      </c>
      <c r="B226" t="str">
        <f>IFERROR(__xludf.DUMMYFUNCTION("""COMPUTED_VALUE"""),"Santa Monica")</f>
        <v>Santa Monica</v>
      </c>
      <c r="C226" t="str">
        <f>IFERROR(__xludf.DUMMYFUNCTION("""COMPUTED_VALUE"""),"CA")</f>
        <v>CA</v>
      </c>
      <c r="D226" t="str">
        <f>IFERROR(__xludf.DUMMYFUNCTION("""COMPUTED_VALUE"""),"USA")</f>
        <v>USA</v>
      </c>
      <c r="E226" s="188">
        <f>IFERROR(__xludf.DUMMYFUNCTION("""COMPUTED_VALUE"""),43210.0)</f>
        <v>43210</v>
      </c>
      <c r="F226" s="188">
        <f>IFERROR(__xludf.DUMMYFUNCTION("""COMPUTED_VALUE"""),43278.0)</f>
        <v>43278</v>
      </c>
      <c r="H226">
        <f>IFERROR(__xludf.DUMMYFUNCTION("""COMPUTED_VALUE"""),38765.0)</f>
        <v>38765</v>
      </c>
      <c r="I226" t="str">
        <f>IFERROR(__xludf.DUMMYFUNCTION("""COMPUTED_VALUE"""),"06/18")</f>
        <v>06/18</v>
      </c>
      <c r="J226" s="5">
        <f>IFERROR(__xludf.DUMMYFUNCTION("""COMPUTED_VALUE"""),43281.0)</f>
        <v>43281</v>
      </c>
      <c r="K226">
        <f>IFERROR(__xludf.DUMMYFUNCTION("""COMPUTED_VALUE"""),68.0)</f>
        <v>68</v>
      </c>
      <c r="L226">
        <f>IFERROR(__xludf.DUMMYFUNCTION("""COMPUTED_VALUE"""),3.0)</f>
        <v>3</v>
      </c>
      <c r="M226">
        <f>IFERROR(__xludf.DUMMYFUNCTION("""COMPUTED_VALUE"""),71.0)</f>
        <v>71</v>
      </c>
      <c r="N226" t="str">
        <f>IFERROR(__xludf.DUMMYFUNCTION("""COMPUTED_VALUE"""),"Model 3 LR")</f>
        <v>Model 3 LR</v>
      </c>
      <c r="O226" t="str">
        <f>IFERROR(__xludf.DUMMYFUNCTION("""COMPUTED_VALUE"""),"Pearl White Multi-Coat")</f>
        <v>Pearl White Multi-Coat</v>
      </c>
      <c r="P226" t="str">
        <f>IFERROR(__xludf.DUMMYFUNCTION("""COMPUTED_VALUE"""),"19 inch Sport")</f>
        <v>19 inch Sport</v>
      </c>
      <c r="Q226" t="str">
        <f>IFERROR(__xludf.DUMMYFUNCTION("""COMPUTED_VALUE"""),"Black seats")</f>
        <v>Black seats</v>
      </c>
      <c r="R226" t="str">
        <f>IFERROR(__xludf.DUMMYFUNCTION("""COMPUTED_VALUE"""),"Enhanced Autopilot")</f>
        <v>Enhanced Autopilot</v>
      </c>
      <c r="X226" t="str">
        <f>IFERROR(__xludf.DUMMYFUNCTION("""COMPUTED_VALUE"""),"Excellent")</f>
        <v>Excellent</v>
      </c>
      <c r="Y226" t="str">
        <f>IFERROR(__xludf.DUMMYFUNCTION("""COMPUTED_VALUE"""),"Very Good")</f>
        <v>Very Good</v>
      </c>
      <c r="Z226" t="str">
        <f>IFERROR(__xludf.DUMMYFUNCTION("""COMPUTED_VALUE"""),"Excellent")</f>
        <v>Excellent</v>
      </c>
      <c r="AA226" t="str">
        <f>IFERROR(__xludf.DUMMYFUNCTION("""COMPUTED_VALUE"""),"Excellent")</f>
        <v>Excellent</v>
      </c>
      <c r="AB226" t="str">
        <f>IFERROR(__xludf.DUMMYFUNCTION("""COMPUTED_VALUE"""),"Very Good")</f>
        <v>Very Good</v>
      </c>
      <c r="AH226" s="189">
        <f>IFERROR(__xludf.DUMMYFUNCTION("""COMPUTED_VALUE"""),43281.98676922453)</f>
        <v>43281.98677</v>
      </c>
    </row>
    <row r="227">
      <c r="A227" t="str">
        <f>IFERROR(__xludf.DUMMYFUNCTION("""COMPUTED_VALUE"""),"Tony Loprez")</f>
        <v>Tony Loprez</v>
      </c>
      <c r="B227" t="str">
        <f>IFERROR(__xludf.DUMMYFUNCTION("""COMPUTED_VALUE"""),"California ")</f>
        <v>California </v>
      </c>
      <c r="C227" t="str">
        <f>IFERROR(__xludf.DUMMYFUNCTION("""COMPUTED_VALUE"""),"CA")</f>
        <v>CA</v>
      </c>
      <c r="D227" t="str">
        <f>IFERROR(__xludf.DUMMYFUNCTION("""COMPUTED_VALUE"""),"USA")</f>
        <v>USA</v>
      </c>
      <c r="E227" s="188">
        <f>IFERROR(__xludf.DUMMYFUNCTION("""COMPUTED_VALUE"""),43208.0)</f>
        <v>43208</v>
      </c>
      <c r="F227" s="188">
        <f>IFERROR(__xludf.DUMMYFUNCTION("""COMPUTED_VALUE"""),43248.0)</f>
        <v>43248</v>
      </c>
      <c r="H227">
        <f>IFERROR(__xludf.DUMMYFUNCTION("""COMPUTED_VALUE"""),18755.0)</f>
        <v>18755</v>
      </c>
      <c r="J227" s="5">
        <f>IFERROR(__xludf.DUMMYFUNCTION("""COMPUTED_VALUE"""),43254.0)</f>
        <v>43254</v>
      </c>
      <c r="K227">
        <f>IFERROR(__xludf.DUMMYFUNCTION("""COMPUTED_VALUE"""),40.0)</f>
        <v>40</v>
      </c>
      <c r="L227">
        <f>IFERROR(__xludf.DUMMYFUNCTION("""COMPUTED_VALUE"""),6.0)</f>
        <v>6</v>
      </c>
      <c r="M227">
        <f>IFERROR(__xludf.DUMMYFUNCTION("""COMPUTED_VALUE"""),46.0)</f>
        <v>46</v>
      </c>
      <c r="N227" t="str">
        <f>IFERROR(__xludf.DUMMYFUNCTION("""COMPUTED_VALUE"""),"Model 3 LR")</f>
        <v>Model 3 LR</v>
      </c>
      <c r="O227" t="str">
        <f>IFERROR(__xludf.DUMMYFUNCTION("""COMPUTED_VALUE"""),"Solid Black")</f>
        <v>Solid Black</v>
      </c>
      <c r="P227" t="str">
        <f>IFERROR(__xludf.DUMMYFUNCTION("""COMPUTED_VALUE"""),"18 inch Aero")</f>
        <v>18 inch Aero</v>
      </c>
      <c r="Q227" t="str">
        <f>IFERROR(__xludf.DUMMYFUNCTION("""COMPUTED_VALUE"""),"Black seats")</f>
        <v>Black seats</v>
      </c>
      <c r="R227" t="str">
        <f>IFERROR(__xludf.DUMMYFUNCTION("""COMPUTED_VALUE"""),"Enhanced Autopilot")</f>
        <v>Enhanced Autopilot</v>
      </c>
      <c r="X227" t="str">
        <f>IFERROR(__xludf.DUMMYFUNCTION("""COMPUTED_VALUE"""),"Very Good")</f>
        <v>Very Good</v>
      </c>
      <c r="Y227" t="str">
        <f>IFERROR(__xludf.DUMMYFUNCTION("""COMPUTED_VALUE"""),"Very Good")</f>
        <v>Very Good</v>
      </c>
      <c r="Z227" t="str">
        <f>IFERROR(__xludf.DUMMYFUNCTION("""COMPUTED_VALUE"""),"Good")</f>
        <v>Good</v>
      </c>
      <c r="AA227" t="str">
        <f>IFERROR(__xludf.DUMMYFUNCTION("""COMPUTED_VALUE"""),"Good")</f>
        <v>Good</v>
      </c>
      <c r="AB227" t="str">
        <f>IFERROR(__xludf.DUMMYFUNCTION("""COMPUTED_VALUE"""),"Good")</f>
        <v>Good</v>
      </c>
      <c r="AH227" s="189">
        <f>IFERROR(__xludf.DUMMYFUNCTION("""COMPUTED_VALUE"""),43282.00130068287)</f>
        <v>43282.0013</v>
      </c>
    </row>
    <row r="228">
      <c r="A228" t="str">
        <f>IFERROR(__xludf.DUMMYFUNCTION("""COMPUTED_VALUE"""),"ryantnt")</f>
        <v>ryantnt</v>
      </c>
      <c r="B228" t="str">
        <f>IFERROR(__xludf.DUMMYFUNCTION("""COMPUTED_VALUE"""),"Yorktown")</f>
        <v>Yorktown</v>
      </c>
      <c r="C228" t="str">
        <f>IFERROR(__xludf.DUMMYFUNCTION("""COMPUTED_VALUE"""),"VA")</f>
        <v>VA</v>
      </c>
      <c r="D228" t="str">
        <f>IFERROR(__xludf.DUMMYFUNCTION("""COMPUTED_VALUE"""),"USA")</f>
        <v>USA</v>
      </c>
      <c r="E228" s="188">
        <f>IFERROR(__xludf.DUMMYFUNCTION("""COMPUTED_VALUE"""),43203.0)</f>
        <v>43203</v>
      </c>
      <c r="F228" s="188">
        <f>IFERROR(__xludf.DUMMYFUNCTION("""COMPUTED_VALUE"""),43255.0)</f>
        <v>43255</v>
      </c>
      <c r="H228">
        <f>IFERROR(__xludf.DUMMYFUNCTION("""COMPUTED_VALUE"""),24655.0)</f>
        <v>24655</v>
      </c>
      <c r="I228" t="str">
        <f>IFERROR(__xludf.DUMMYFUNCTION("""COMPUTED_VALUE"""),"06/18")</f>
        <v>06/18</v>
      </c>
      <c r="J228" s="5">
        <f>IFERROR(__xludf.DUMMYFUNCTION("""COMPUTED_VALUE"""),43279.0)</f>
        <v>43279</v>
      </c>
      <c r="K228">
        <f>IFERROR(__xludf.DUMMYFUNCTION("""COMPUTED_VALUE"""),52.0)</f>
        <v>52</v>
      </c>
      <c r="L228">
        <f>IFERROR(__xludf.DUMMYFUNCTION("""COMPUTED_VALUE"""),24.0)</f>
        <v>24</v>
      </c>
      <c r="M228">
        <f>IFERROR(__xludf.DUMMYFUNCTION("""COMPUTED_VALUE"""),76.0)</f>
        <v>76</v>
      </c>
      <c r="N228" t="str">
        <f>IFERROR(__xludf.DUMMYFUNCTION("""COMPUTED_VALUE"""),"Model 3 LR")</f>
        <v>Model 3 LR</v>
      </c>
      <c r="O228" t="str">
        <f>IFERROR(__xludf.DUMMYFUNCTION("""COMPUTED_VALUE"""),"Red Multi-Coat")</f>
        <v>Red Multi-Coat</v>
      </c>
      <c r="P228" t="str">
        <f>IFERROR(__xludf.DUMMYFUNCTION("""COMPUTED_VALUE"""),"19 inch Sport")</f>
        <v>19 inch Sport</v>
      </c>
      <c r="Q228" t="str">
        <f>IFERROR(__xludf.DUMMYFUNCTION("""COMPUTED_VALUE"""),"Black seats")</f>
        <v>Black seats</v>
      </c>
      <c r="R228" t="str">
        <f>IFERROR(__xludf.DUMMYFUNCTION("""COMPUTED_VALUE"""),"Enhanced Autopilot")</f>
        <v>Enhanced Autopilot</v>
      </c>
      <c r="X228" t="str">
        <f>IFERROR(__xludf.DUMMYFUNCTION("""COMPUTED_VALUE"""),"Excellent")</f>
        <v>Excellent</v>
      </c>
      <c r="Y228" t="str">
        <f>IFERROR(__xludf.DUMMYFUNCTION("""COMPUTED_VALUE"""),"Excellent")</f>
        <v>Excellent</v>
      </c>
      <c r="Z228" t="str">
        <f>IFERROR(__xludf.DUMMYFUNCTION("""COMPUTED_VALUE"""),"Excellent")</f>
        <v>Excellent</v>
      </c>
      <c r="AA228" t="str">
        <f>IFERROR(__xludf.DUMMYFUNCTION("""COMPUTED_VALUE"""),"Excellent")</f>
        <v>Excellent</v>
      </c>
      <c r="AB228" t="str">
        <f>IFERROR(__xludf.DUMMYFUNCTION("""COMPUTED_VALUE"""),"Excellent")</f>
        <v>Excellent</v>
      </c>
      <c r="AH228" s="189">
        <f>IFERROR(__xludf.DUMMYFUNCTION("""COMPUTED_VALUE"""),43282.31002121528)</f>
        <v>43282.31002</v>
      </c>
    </row>
    <row r="229">
      <c r="A229" t="str">
        <f>IFERROR(__xludf.DUMMYFUNCTION("""COMPUTED_VALUE"""),"Pobudz")</f>
        <v>Pobudz</v>
      </c>
      <c r="B229" t="str">
        <f>IFERROR(__xludf.DUMMYFUNCTION("""COMPUTED_VALUE"""),"Avondale")</f>
        <v>Avondale</v>
      </c>
      <c r="C229" t="str">
        <f>IFERROR(__xludf.DUMMYFUNCTION("""COMPUTED_VALUE"""),"AZ")</f>
        <v>AZ</v>
      </c>
      <c r="D229" t="str">
        <f>IFERROR(__xludf.DUMMYFUNCTION("""COMPUTED_VALUE"""),"USA")</f>
        <v>USA</v>
      </c>
      <c r="E229" s="188">
        <f>IFERROR(__xludf.DUMMYFUNCTION("""COMPUTED_VALUE"""),43203.0)</f>
        <v>43203</v>
      </c>
      <c r="F229" s="188">
        <f>IFERROR(__xludf.DUMMYFUNCTION("""COMPUTED_VALUE"""),43230.0)</f>
        <v>43230</v>
      </c>
      <c r="H229">
        <f>IFERROR(__xludf.DUMMYFUNCTION("""COMPUTED_VALUE"""),26059.0)</f>
        <v>26059</v>
      </c>
      <c r="I229" t="str">
        <f>IFERROR(__xludf.DUMMYFUNCTION("""COMPUTED_VALUE"""),"05/18")</f>
        <v>05/18</v>
      </c>
      <c r="J229" s="5">
        <f>IFERROR(__xludf.DUMMYFUNCTION("""COMPUTED_VALUE"""),43259.0)</f>
        <v>43259</v>
      </c>
      <c r="K229">
        <f>IFERROR(__xludf.DUMMYFUNCTION("""COMPUTED_VALUE"""),27.0)</f>
        <v>27</v>
      </c>
      <c r="L229">
        <f>IFERROR(__xludf.DUMMYFUNCTION("""COMPUTED_VALUE"""),29.0)</f>
        <v>29</v>
      </c>
      <c r="M229">
        <f>IFERROR(__xludf.DUMMYFUNCTION("""COMPUTED_VALUE"""),56.0)</f>
        <v>56</v>
      </c>
      <c r="N229" t="str">
        <f>IFERROR(__xludf.DUMMYFUNCTION("""COMPUTED_VALUE"""),"Model 3 LR")</f>
        <v>Model 3 LR</v>
      </c>
      <c r="O229" t="str">
        <f>IFERROR(__xludf.DUMMYFUNCTION("""COMPUTED_VALUE"""),"Deep Blue Metallic")</f>
        <v>Deep Blue Metallic</v>
      </c>
      <c r="P229" t="str">
        <f>IFERROR(__xludf.DUMMYFUNCTION("""COMPUTED_VALUE"""),"18 inch Aero")</f>
        <v>18 inch Aero</v>
      </c>
      <c r="Q229" t="str">
        <f>IFERROR(__xludf.DUMMYFUNCTION("""COMPUTED_VALUE"""),"Black seats")</f>
        <v>Black seats</v>
      </c>
      <c r="R229" t="str">
        <f>IFERROR(__xludf.DUMMYFUNCTION("""COMPUTED_VALUE"""),"None")</f>
        <v>None</v>
      </c>
      <c r="X229" t="str">
        <f>IFERROR(__xludf.DUMMYFUNCTION("""COMPUTED_VALUE"""),"Excellent")</f>
        <v>Excellent</v>
      </c>
      <c r="Y229" t="str">
        <f>IFERROR(__xludf.DUMMYFUNCTION("""COMPUTED_VALUE"""),"Excellent")</f>
        <v>Excellent</v>
      </c>
      <c r="Z229" t="str">
        <f>IFERROR(__xludf.DUMMYFUNCTION("""COMPUTED_VALUE"""),"Excellent")</f>
        <v>Excellent</v>
      </c>
      <c r="AA229" t="str">
        <f>IFERROR(__xludf.DUMMYFUNCTION("""COMPUTED_VALUE"""),"Fair")</f>
        <v>Fair</v>
      </c>
      <c r="AB229" t="str">
        <f>IFERROR(__xludf.DUMMYFUNCTION("""COMPUTED_VALUE"""),"Excellent")</f>
        <v>Excellent</v>
      </c>
      <c r="AG229" t="str">
        <f>IFERROR(__xludf.DUMMYFUNCTION("""COMPUTED_VALUE"""),"Tryck logistics delayed delivery twice. Original delivery date was supposed to be 5/26")</f>
        <v>Tryck logistics delayed delivery twice. Original delivery date was supposed to be 5/26</v>
      </c>
      <c r="AH229" s="189">
        <f>IFERROR(__xludf.DUMMYFUNCTION("""COMPUTED_VALUE"""),43282.41688979167)</f>
        <v>43282.41689</v>
      </c>
    </row>
    <row r="230">
      <c r="A230" t="str">
        <f>IFERROR(__xludf.DUMMYFUNCTION("""COMPUTED_VALUE"""),"RichardKJ")</f>
        <v>RichardKJ</v>
      </c>
      <c r="B230" t="str">
        <f>IFERROR(__xludf.DUMMYFUNCTION("""COMPUTED_VALUE"""),"Palo Alto")</f>
        <v>Palo Alto</v>
      </c>
      <c r="C230" t="str">
        <f>IFERROR(__xludf.DUMMYFUNCTION("""COMPUTED_VALUE"""),"CA")</f>
        <v>CA</v>
      </c>
      <c r="D230" t="str">
        <f>IFERROR(__xludf.DUMMYFUNCTION("""COMPUTED_VALUE"""),"USA")</f>
        <v>USA</v>
      </c>
      <c r="E230" s="188">
        <f>IFERROR(__xludf.DUMMYFUNCTION("""COMPUTED_VALUE"""),43225.0)</f>
        <v>43225</v>
      </c>
      <c r="F230" s="188">
        <f>IFERROR(__xludf.DUMMYFUNCTION("""COMPUTED_VALUE"""),43278.0)</f>
        <v>43278</v>
      </c>
      <c r="H230">
        <f>IFERROR(__xludf.DUMMYFUNCTION("""COMPUTED_VALUE"""),40305.0)</f>
        <v>40305</v>
      </c>
      <c r="I230" t="str">
        <f>IFERROR(__xludf.DUMMYFUNCTION("""COMPUTED_VALUE"""),"06/18")</f>
        <v>06/18</v>
      </c>
      <c r="J230" s="5">
        <f>IFERROR(__xludf.DUMMYFUNCTION("""COMPUTED_VALUE"""),43282.0)</f>
        <v>43282</v>
      </c>
      <c r="K230">
        <f>IFERROR(__xludf.DUMMYFUNCTION("""COMPUTED_VALUE"""),53.0)</f>
        <v>53</v>
      </c>
      <c r="L230">
        <f>IFERROR(__xludf.DUMMYFUNCTION("""COMPUTED_VALUE"""),4.0)</f>
        <v>4</v>
      </c>
      <c r="M230">
        <f>IFERROR(__xludf.DUMMYFUNCTION("""COMPUTED_VALUE"""),57.0)</f>
        <v>57</v>
      </c>
      <c r="N230" t="str">
        <f>IFERROR(__xludf.DUMMYFUNCTION("""COMPUTED_VALUE"""),"Model 3 LR")</f>
        <v>Model 3 LR</v>
      </c>
      <c r="O230" t="str">
        <f>IFERROR(__xludf.DUMMYFUNCTION("""COMPUTED_VALUE"""),"Deep Blue Metallic")</f>
        <v>Deep Blue Metallic</v>
      </c>
      <c r="P230" t="str">
        <f>IFERROR(__xludf.DUMMYFUNCTION("""COMPUTED_VALUE"""),"18 inch Aero")</f>
        <v>18 inch Aero</v>
      </c>
      <c r="Q230" t="str">
        <f>IFERROR(__xludf.DUMMYFUNCTION("""COMPUTED_VALUE"""),"Black seats")</f>
        <v>Black seats</v>
      </c>
      <c r="R230" t="str">
        <f>IFERROR(__xludf.DUMMYFUNCTION("""COMPUTED_VALUE"""),"Enhanced Autopilot")</f>
        <v>Enhanced Autopilot</v>
      </c>
      <c r="X230" t="str">
        <f>IFERROR(__xludf.DUMMYFUNCTION("""COMPUTED_VALUE"""),"Very Good")</f>
        <v>Very Good</v>
      </c>
      <c r="Y230" t="str">
        <f>IFERROR(__xludf.DUMMYFUNCTION("""COMPUTED_VALUE"""),"Very Good")</f>
        <v>Very Good</v>
      </c>
      <c r="Z230" t="str">
        <f>IFERROR(__xludf.DUMMYFUNCTION("""COMPUTED_VALUE"""),"Very Good")</f>
        <v>Very Good</v>
      </c>
      <c r="AB230" t="str">
        <f>IFERROR(__xludf.DUMMYFUNCTION("""COMPUTED_VALUE"""),"Good")</f>
        <v>Good</v>
      </c>
      <c r="AH230" s="189">
        <f>IFERROR(__xludf.DUMMYFUNCTION("""COMPUTED_VALUE"""),43282.57958561342)</f>
        <v>43282.57959</v>
      </c>
    </row>
    <row r="231">
      <c r="A231" t="str">
        <f>IFERROR(__xludf.DUMMYFUNCTION("""COMPUTED_VALUE"""),"azul1234")</f>
        <v>azul1234</v>
      </c>
      <c r="B231" t="str">
        <f>IFERROR(__xludf.DUMMYFUNCTION("""COMPUTED_VALUE"""),"Sacramento")</f>
        <v>Sacramento</v>
      </c>
      <c r="C231" t="str">
        <f>IFERROR(__xludf.DUMMYFUNCTION("""COMPUTED_VALUE"""),"CA")</f>
        <v>CA</v>
      </c>
      <c r="D231" t="str">
        <f>IFERROR(__xludf.DUMMYFUNCTION("""COMPUTED_VALUE"""),"USA")</f>
        <v>USA</v>
      </c>
      <c r="E231" s="188">
        <f>IFERROR(__xludf.DUMMYFUNCTION("""COMPUTED_VALUE"""),43217.0)</f>
        <v>43217</v>
      </c>
      <c r="F231" s="188">
        <f>IFERROR(__xludf.DUMMYFUNCTION("""COMPUTED_VALUE"""),43276.0)</f>
        <v>43276</v>
      </c>
      <c r="H231">
        <f>IFERROR(__xludf.DUMMYFUNCTION("""COMPUTED_VALUE"""),38555.0)</f>
        <v>38555</v>
      </c>
      <c r="I231" t="str">
        <f>IFERROR(__xludf.DUMMYFUNCTION("""COMPUTED_VALUE"""),"06/18")</f>
        <v>06/18</v>
      </c>
      <c r="J231" s="5">
        <f>IFERROR(__xludf.DUMMYFUNCTION("""COMPUTED_VALUE"""),43280.0)</f>
        <v>43280</v>
      </c>
      <c r="K231">
        <f>IFERROR(__xludf.DUMMYFUNCTION("""COMPUTED_VALUE"""),59.0)</f>
        <v>59</v>
      </c>
      <c r="L231">
        <f>IFERROR(__xludf.DUMMYFUNCTION("""COMPUTED_VALUE"""),4.0)</f>
        <v>4</v>
      </c>
      <c r="M231">
        <f>IFERROR(__xludf.DUMMYFUNCTION("""COMPUTED_VALUE"""),63.0)</f>
        <v>63</v>
      </c>
      <c r="N231" t="str">
        <f>IFERROR(__xludf.DUMMYFUNCTION("""COMPUTED_VALUE"""),"Model 3 LR")</f>
        <v>Model 3 LR</v>
      </c>
      <c r="O231" t="str">
        <f>IFERROR(__xludf.DUMMYFUNCTION("""COMPUTED_VALUE"""),"Deep Blue Metallic")</f>
        <v>Deep Blue Metallic</v>
      </c>
      <c r="P231" t="str">
        <f>IFERROR(__xludf.DUMMYFUNCTION("""COMPUTED_VALUE"""),"19 inch Sport")</f>
        <v>19 inch Sport</v>
      </c>
      <c r="Q231" t="str">
        <f>IFERROR(__xludf.DUMMYFUNCTION("""COMPUTED_VALUE"""),"Black seats")</f>
        <v>Black seats</v>
      </c>
      <c r="R231" t="str">
        <f>IFERROR(__xludf.DUMMYFUNCTION("""COMPUTED_VALUE"""),"Enhanced Autopilot")</f>
        <v>Enhanced Autopilot</v>
      </c>
      <c r="X231" t="str">
        <f>IFERROR(__xludf.DUMMYFUNCTION("""COMPUTED_VALUE"""),"Excellent")</f>
        <v>Excellent</v>
      </c>
      <c r="Y231" t="str">
        <f>IFERROR(__xludf.DUMMYFUNCTION("""COMPUTED_VALUE"""),"Excellent")</f>
        <v>Excellent</v>
      </c>
      <c r="Z231" t="str">
        <f>IFERROR(__xludf.DUMMYFUNCTION("""COMPUTED_VALUE"""),"Very Good")</f>
        <v>Very Good</v>
      </c>
      <c r="AA231" t="str">
        <f>IFERROR(__xludf.DUMMYFUNCTION("""COMPUTED_VALUE"""),"Very Good")</f>
        <v>Very Good</v>
      </c>
      <c r="AB231" t="str">
        <f>IFERROR(__xludf.DUMMYFUNCTION("""COMPUTED_VALUE"""),"Very Good")</f>
        <v>Very Good</v>
      </c>
      <c r="AH231" s="189">
        <f>IFERROR(__xludf.DUMMYFUNCTION("""COMPUTED_VALUE"""),43282.90776648148)</f>
        <v>43282.90777</v>
      </c>
    </row>
    <row r="232">
      <c r="A232" t="str">
        <f>IFERROR(__xludf.DUMMYFUNCTION("""COMPUTED_VALUE"""),"dl1972")</f>
        <v>dl1972</v>
      </c>
      <c r="B232" t="str">
        <f>IFERROR(__xludf.DUMMYFUNCTION("""COMPUTED_VALUE"""),"Amarillo")</f>
        <v>Amarillo</v>
      </c>
      <c r="C232" t="str">
        <f>IFERROR(__xludf.DUMMYFUNCTION("""COMPUTED_VALUE"""),"TX")</f>
        <v>TX</v>
      </c>
      <c r="D232" t="str">
        <f>IFERROR(__xludf.DUMMYFUNCTION("""COMPUTED_VALUE"""),"USA")</f>
        <v>USA</v>
      </c>
      <c r="E232" s="188">
        <f>IFERROR(__xludf.DUMMYFUNCTION("""COMPUTED_VALUE"""),43203.0)</f>
        <v>43203</v>
      </c>
      <c r="F232" s="188">
        <f>IFERROR(__xludf.DUMMYFUNCTION("""COMPUTED_VALUE"""),43259.0)</f>
        <v>43259</v>
      </c>
      <c r="H232">
        <f>IFERROR(__xludf.DUMMYFUNCTION("""COMPUTED_VALUE"""),24555.0)</f>
        <v>24555</v>
      </c>
      <c r="J232" s="5">
        <f>IFERROR(__xludf.DUMMYFUNCTION("""COMPUTED_VALUE"""),43281.0)</f>
        <v>43281</v>
      </c>
      <c r="K232">
        <f>IFERROR(__xludf.DUMMYFUNCTION("""COMPUTED_VALUE"""),56.0)</f>
        <v>56</v>
      </c>
      <c r="L232">
        <f>IFERROR(__xludf.DUMMYFUNCTION("""COMPUTED_VALUE"""),22.0)</f>
        <v>22</v>
      </c>
      <c r="M232">
        <f>IFERROR(__xludf.DUMMYFUNCTION("""COMPUTED_VALUE"""),78.0)</f>
        <v>78</v>
      </c>
      <c r="N232" t="str">
        <f>IFERROR(__xludf.DUMMYFUNCTION("""COMPUTED_VALUE"""),"Model 3 LR")</f>
        <v>Model 3 LR</v>
      </c>
      <c r="O232" t="str">
        <f>IFERROR(__xludf.DUMMYFUNCTION("""COMPUTED_VALUE"""),"Red Multi-Coat")</f>
        <v>Red Multi-Coat</v>
      </c>
      <c r="P232" t="str">
        <f>IFERROR(__xludf.DUMMYFUNCTION("""COMPUTED_VALUE"""),"19 inch Sport")</f>
        <v>19 inch Sport</v>
      </c>
      <c r="Q232" t="str">
        <f>IFERROR(__xludf.DUMMYFUNCTION("""COMPUTED_VALUE"""),"Black seats")</f>
        <v>Black seats</v>
      </c>
      <c r="R232" t="str">
        <f>IFERROR(__xludf.DUMMYFUNCTION("""COMPUTED_VALUE"""),"Enhanced Autopilot")</f>
        <v>Enhanced Autopilot</v>
      </c>
      <c r="X232" t="str">
        <f>IFERROR(__xludf.DUMMYFUNCTION("""COMPUTED_VALUE"""),"Fair")</f>
        <v>Fair</v>
      </c>
      <c r="Y232" t="str">
        <f>IFERROR(__xludf.DUMMYFUNCTION("""COMPUTED_VALUE"""),"Very Good")</f>
        <v>Very Good</v>
      </c>
      <c r="Z232" t="str">
        <f>IFERROR(__xludf.DUMMYFUNCTION("""COMPUTED_VALUE"""),"Fair")</f>
        <v>Fair</v>
      </c>
      <c r="AA232" t="str">
        <f>IFERROR(__xludf.DUMMYFUNCTION("""COMPUTED_VALUE"""),"Good")</f>
        <v>Good</v>
      </c>
      <c r="AB232" t="str">
        <f>IFERROR(__xludf.DUMMYFUNCTION("""COMPUTED_VALUE"""),"Fair")</f>
        <v>Fair</v>
      </c>
      <c r="AH232" s="189">
        <f>IFERROR(__xludf.DUMMYFUNCTION("""COMPUTED_VALUE"""),43283.26655467592)</f>
        <v>43283.26655</v>
      </c>
    </row>
    <row r="233">
      <c r="A233" t="str">
        <f>IFERROR(__xludf.DUMMYFUNCTION("""COMPUTED_VALUE"""),"DC Rules")</f>
        <v>DC Rules</v>
      </c>
      <c r="B233" t="str">
        <f>IFERROR(__xludf.DUMMYFUNCTION("""COMPUTED_VALUE"""),"Minneapolis")</f>
        <v>Minneapolis</v>
      </c>
      <c r="C233" t="str">
        <f>IFERROR(__xludf.DUMMYFUNCTION("""COMPUTED_VALUE"""),"MN")</f>
        <v>MN</v>
      </c>
      <c r="D233" t="str">
        <f>IFERROR(__xludf.DUMMYFUNCTION("""COMPUTED_VALUE"""),"USA")</f>
        <v>USA</v>
      </c>
      <c r="E233" s="188">
        <f>IFERROR(__xludf.DUMMYFUNCTION("""COMPUTED_VALUE"""),43209.0)</f>
        <v>43209</v>
      </c>
      <c r="F233" s="188">
        <f>IFERROR(__xludf.DUMMYFUNCTION("""COMPUTED_VALUE"""),43244.0)</f>
        <v>43244</v>
      </c>
      <c r="H233">
        <f>IFERROR(__xludf.DUMMYFUNCTION("""COMPUTED_VALUE"""),31655.0)</f>
        <v>31655</v>
      </c>
      <c r="J233" s="5">
        <f>IFERROR(__xludf.DUMMYFUNCTION("""COMPUTED_VALUE"""),43280.0)</f>
        <v>43280</v>
      </c>
      <c r="K233">
        <f>IFERROR(__xludf.DUMMYFUNCTION("""COMPUTED_VALUE"""),35.0)</f>
        <v>35</v>
      </c>
      <c r="L233">
        <f>IFERROR(__xludf.DUMMYFUNCTION("""COMPUTED_VALUE"""),36.0)</f>
        <v>36</v>
      </c>
      <c r="M233">
        <f>IFERROR(__xludf.DUMMYFUNCTION("""COMPUTED_VALUE"""),71.0)</f>
        <v>71</v>
      </c>
      <c r="N233" t="str">
        <f>IFERROR(__xludf.DUMMYFUNCTION("""COMPUTED_VALUE"""),"Model 3 LR")</f>
        <v>Model 3 LR</v>
      </c>
      <c r="O233" t="str">
        <f>IFERROR(__xludf.DUMMYFUNCTION("""COMPUTED_VALUE"""),"Silver Metallic")</f>
        <v>Silver Metallic</v>
      </c>
      <c r="P233" t="str">
        <f>IFERROR(__xludf.DUMMYFUNCTION("""COMPUTED_VALUE"""),"19 inch Sport")</f>
        <v>19 inch Sport</v>
      </c>
      <c r="Q233" t="str">
        <f>IFERROR(__xludf.DUMMYFUNCTION("""COMPUTED_VALUE"""),"Black seats")</f>
        <v>Black seats</v>
      </c>
      <c r="R233" t="str">
        <f>IFERROR(__xludf.DUMMYFUNCTION("""COMPUTED_VALUE"""),"Enhanced Autopilot")</f>
        <v>Enhanced Autopilot</v>
      </c>
      <c r="X233" t="str">
        <f>IFERROR(__xludf.DUMMYFUNCTION("""COMPUTED_VALUE"""),"Fair")</f>
        <v>Fair</v>
      </c>
      <c r="Y233" t="str">
        <f>IFERROR(__xludf.DUMMYFUNCTION("""COMPUTED_VALUE"""),"Very Good")</f>
        <v>Very Good</v>
      </c>
      <c r="Z233" t="str">
        <f>IFERROR(__xludf.DUMMYFUNCTION("""COMPUTED_VALUE"""),"Fair")</f>
        <v>Fair</v>
      </c>
      <c r="AA233" t="str">
        <f>IFERROR(__xludf.DUMMYFUNCTION("""COMPUTED_VALUE"""),"Fair")</f>
        <v>Fair</v>
      </c>
      <c r="AB233" t="str">
        <f>IFERROR(__xludf.DUMMYFUNCTION("""COMPUTED_VALUE"""),"Fair")</f>
        <v>Fair</v>
      </c>
      <c r="AH233" s="189">
        <f>IFERROR(__xludf.DUMMYFUNCTION("""COMPUTED_VALUE"""),43283.37853122685)</f>
        <v>43283.37853</v>
      </c>
    </row>
    <row r="234">
      <c r="A234" t="str">
        <f>IFERROR(__xludf.DUMMYFUNCTION("""COMPUTED_VALUE"""),"robstak")</f>
        <v>robstak</v>
      </c>
      <c r="B234" t="str">
        <f>IFERROR(__xludf.DUMMYFUNCTION("""COMPUTED_VALUE"""),"Upstate New York")</f>
        <v>Upstate New York</v>
      </c>
      <c r="C234" t="str">
        <f>IFERROR(__xludf.DUMMYFUNCTION("""COMPUTED_VALUE"""),"NY")</f>
        <v>NY</v>
      </c>
      <c r="D234" t="str">
        <f>IFERROR(__xludf.DUMMYFUNCTION("""COMPUTED_VALUE"""),"USA")</f>
        <v>USA</v>
      </c>
      <c r="E234" s="188">
        <f>IFERROR(__xludf.DUMMYFUNCTION("""COMPUTED_VALUE"""),43208.0)</f>
        <v>43208</v>
      </c>
      <c r="F234" s="188">
        <f>IFERROR(__xludf.DUMMYFUNCTION("""COMPUTED_VALUE"""),43265.0)</f>
        <v>43265</v>
      </c>
      <c r="H234">
        <f>IFERROR(__xludf.DUMMYFUNCTION("""COMPUTED_VALUE"""),32755.0)</f>
        <v>32755</v>
      </c>
      <c r="J234" s="5">
        <f>IFERROR(__xludf.DUMMYFUNCTION("""COMPUTED_VALUE"""),43283.0)</f>
        <v>43283</v>
      </c>
      <c r="K234">
        <f>IFERROR(__xludf.DUMMYFUNCTION("""COMPUTED_VALUE"""),57.0)</f>
        <v>57</v>
      </c>
      <c r="L234">
        <f>IFERROR(__xludf.DUMMYFUNCTION("""COMPUTED_VALUE"""),18.0)</f>
        <v>18</v>
      </c>
      <c r="M234">
        <f>IFERROR(__xludf.DUMMYFUNCTION("""COMPUTED_VALUE"""),75.0)</f>
        <v>75</v>
      </c>
      <c r="N234" t="str">
        <f>IFERROR(__xludf.DUMMYFUNCTION("""COMPUTED_VALUE"""),"Model 3 LR")</f>
        <v>Model 3 LR</v>
      </c>
      <c r="O234" t="str">
        <f>IFERROR(__xludf.DUMMYFUNCTION("""COMPUTED_VALUE"""),"Midnight Silver Metallic")</f>
        <v>Midnight Silver Metallic</v>
      </c>
      <c r="P234" t="str">
        <f>IFERROR(__xludf.DUMMYFUNCTION("""COMPUTED_VALUE"""),"19 inch Sport")</f>
        <v>19 inch Sport</v>
      </c>
      <c r="Q234" t="str">
        <f>IFERROR(__xludf.DUMMYFUNCTION("""COMPUTED_VALUE"""),"Black seats")</f>
        <v>Black seats</v>
      </c>
      <c r="R234" t="str">
        <f>IFERROR(__xludf.DUMMYFUNCTION("""COMPUTED_VALUE"""),"Enhanced Autopilot")</f>
        <v>Enhanced Autopilot</v>
      </c>
      <c r="X234" t="str">
        <f>IFERROR(__xludf.DUMMYFUNCTION("""COMPUTED_VALUE"""),"Very Good")</f>
        <v>Very Good</v>
      </c>
      <c r="Y234" t="str">
        <f>IFERROR(__xludf.DUMMYFUNCTION("""COMPUTED_VALUE"""),"Excellent")</f>
        <v>Excellent</v>
      </c>
      <c r="Z234" t="str">
        <f>IFERROR(__xludf.DUMMYFUNCTION("""COMPUTED_VALUE"""),"Excellent")</f>
        <v>Excellent</v>
      </c>
      <c r="AA234" t="str">
        <f>IFERROR(__xludf.DUMMYFUNCTION("""COMPUTED_VALUE"""),"Good")</f>
        <v>Good</v>
      </c>
      <c r="AB234" t="str">
        <f>IFERROR(__xludf.DUMMYFUNCTION("""COMPUTED_VALUE"""),"Excellent")</f>
        <v>Excellent</v>
      </c>
      <c r="AH234" s="189">
        <f>IFERROR(__xludf.DUMMYFUNCTION("""COMPUTED_VALUE"""),43283.49016208333)</f>
        <v>43283.49016</v>
      </c>
    </row>
    <row r="235">
      <c r="A235" t="str">
        <f>IFERROR(__xludf.DUMMYFUNCTION("""COMPUTED_VALUE"""),"Brett")</f>
        <v>Brett</v>
      </c>
      <c r="B235" t="str">
        <f>IFERROR(__xludf.DUMMYFUNCTION("""COMPUTED_VALUE"""),"Brentwood")</f>
        <v>Brentwood</v>
      </c>
      <c r="C235" t="str">
        <f>IFERROR(__xludf.DUMMYFUNCTION("""COMPUTED_VALUE"""),"CA")</f>
        <v>CA</v>
      </c>
      <c r="D235" t="str">
        <f>IFERROR(__xludf.DUMMYFUNCTION("""COMPUTED_VALUE"""),"USA")</f>
        <v>USA</v>
      </c>
      <c r="E235" s="188">
        <f>IFERROR(__xludf.DUMMYFUNCTION("""COMPUTED_VALUE"""),43208.0)</f>
        <v>43208</v>
      </c>
      <c r="F235" s="188">
        <f>IFERROR(__xludf.DUMMYFUNCTION("""COMPUTED_VALUE"""),43279.0)</f>
        <v>43279</v>
      </c>
      <c r="H235">
        <f>IFERROR(__xludf.DUMMYFUNCTION("""COMPUTED_VALUE"""),42786.0)</f>
        <v>42786</v>
      </c>
      <c r="I235" t="str">
        <f>IFERROR(__xludf.DUMMYFUNCTION("""COMPUTED_VALUE"""),"06/18")</f>
        <v>06/18</v>
      </c>
      <c r="J235" s="5">
        <f>IFERROR(__xludf.DUMMYFUNCTION("""COMPUTED_VALUE"""),43282.0)</f>
        <v>43282</v>
      </c>
      <c r="K235">
        <f>IFERROR(__xludf.DUMMYFUNCTION("""COMPUTED_VALUE"""),71.0)</f>
        <v>71</v>
      </c>
      <c r="L235">
        <f>IFERROR(__xludf.DUMMYFUNCTION("""COMPUTED_VALUE"""),3.0)</f>
        <v>3</v>
      </c>
      <c r="M235">
        <f>IFERROR(__xludf.DUMMYFUNCTION("""COMPUTED_VALUE"""),74.0)</f>
        <v>74</v>
      </c>
      <c r="N235" t="str">
        <f>IFERROR(__xludf.DUMMYFUNCTION("""COMPUTED_VALUE"""),"Model 3 LR")</f>
        <v>Model 3 LR</v>
      </c>
      <c r="O235" t="str">
        <f>IFERROR(__xludf.DUMMYFUNCTION("""COMPUTED_VALUE"""),"Deep Blue Metallic")</f>
        <v>Deep Blue Metallic</v>
      </c>
      <c r="P235" t="str">
        <f>IFERROR(__xludf.DUMMYFUNCTION("""COMPUTED_VALUE"""),"19 inch Sport")</f>
        <v>19 inch Sport</v>
      </c>
      <c r="Q235" t="str">
        <f>IFERROR(__xludf.DUMMYFUNCTION("""COMPUTED_VALUE"""),"Black seats")</f>
        <v>Black seats</v>
      </c>
      <c r="R235" t="str">
        <f>IFERROR(__xludf.DUMMYFUNCTION("""COMPUTED_VALUE"""),"Enhanced Autopilot")</f>
        <v>Enhanced Autopilot</v>
      </c>
      <c r="X235" t="str">
        <f>IFERROR(__xludf.DUMMYFUNCTION("""COMPUTED_VALUE"""),"Excellent")</f>
        <v>Excellent</v>
      </c>
      <c r="Y235" t="str">
        <f>IFERROR(__xludf.DUMMYFUNCTION("""COMPUTED_VALUE"""),"Excellent")</f>
        <v>Excellent</v>
      </c>
      <c r="Z235" t="str">
        <f>IFERROR(__xludf.DUMMYFUNCTION("""COMPUTED_VALUE"""),"Excellent")</f>
        <v>Excellent</v>
      </c>
      <c r="AA235" t="str">
        <f>IFERROR(__xludf.DUMMYFUNCTION("""COMPUTED_VALUE"""),"Good")</f>
        <v>Good</v>
      </c>
      <c r="AB235" t="str">
        <f>IFERROR(__xludf.DUMMYFUNCTION("""COMPUTED_VALUE"""),"Excellent")</f>
        <v>Excellent</v>
      </c>
      <c r="AH235" s="189">
        <f>IFERROR(__xludf.DUMMYFUNCTION("""COMPUTED_VALUE"""),43283.559801261574)</f>
        <v>43283.5598</v>
      </c>
    </row>
    <row r="236">
      <c r="A236" t="str">
        <f>IFERROR(__xludf.DUMMYFUNCTION("""COMPUTED_VALUE"""),"gorp")</f>
        <v>gorp</v>
      </c>
      <c r="B236" t="str">
        <f>IFERROR(__xludf.DUMMYFUNCTION("""COMPUTED_VALUE"""),"San Jose")</f>
        <v>San Jose</v>
      </c>
      <c r="C236" t="str">
        <f>IFERROR(__xludf.DUMMYFUNCTION("""COMPUTED_VALUE"""),"CA")</f>
        <v>CA</v>
      </c>
      <c r="D236" t="str">
        <f>IFERROR(__xludf.DUMMYFUNCTION("""COMPUTED_VALUE"""),"USA")</f>
        <v>USA</v>
      </c>
      <c r="E236" s="188">
        <f>IFERROR(__xludf.DUMMYFUNCTION("""COMPUTED_VALUE"""),43214.0)</f>
        <v>43214</v>
      </c>
      <c r="F236" s="188">
        <f>IFERROR(__xludf.DUMMYFUNCTION("""COMPUTED_VALUE"""),43273.0)</f>
        <v>43273</v>
      </c>
      <c r="H236">
        <f>IFERROR(__xludf.DUMMYFUNCTION("""COMPUTED_VALUE"""),39264.0)</f>
        <v>39264</v>
      </c>
      <c r="J236" s="5">
        <f>IFERROR(__xludf.DUMMYFUNCTION("""COMPUTED_VALUE"""),43280.0)</f>
        <v>43280</v>
      </c>
      <c r="K236">
        <f>IFERROR(__xludf.DUMMYFUNCTION("""COMPUTED_VALUE"""),59.0)</f>
        <v>59</v>
      </c>
      <c r="L236">
        <f>IFERROR(__xludf.DUMMYFUNCTION("""COMPUTED_VALUE"""),7.0)</f>
        <v>7</v>
      </c>
      <c r="M236">
        <f>IFERROR(__xludf.DUMMYFUNCTION("""COMPUTED_VALUE"""),66.0)</f>
        <v>66</v>
      </c>
      <c r="N236" t="str">
        <f>IFERROR(__xludf.DUMMYFUNCTION("""COMPUTED_VALUE"""),"Model 3 LR")</f>
        <v>Model 3 LR</v>
      </c>
      <c r="O236" t="str">
        <f>IFERROR(__xludf.DUMMYFUNCTION("""COMPUTED_VALUE"""),"Silver Metallic")</f>
        <v>Silver Metallic</v>
      </c>
      <c r="P236" t="str">
        <f>IFERROR(__xludf.DUMMYFUNCTION("""COMPUTED_VALUE"""),"18 inch Aero")</f>
        <v>18 inch Aero</v>
      </c>
      <c r="Q236" t="str">
        <f>IFERROR(__xludf.DUMMYFUNCTION("""COMPUTED_VALUE"""),"Black seats")</f>
        <v>Black seats</v>
      </c>
      <c r="R236" t="str">
        <f>IFERROR(__xludf.DUMMYFUNCTION("""COMPUTED_VALUE"""),"Enhanced Autopilot")</f>
        <v>Enhanced Autopilot</v>
      </c>
      <c r="X236" t="str">
        <f>IFERROR(__xludf.DUMMYFUNCTION("""COMPUTED_VALUE"""),"Excellent")</f>
        <v>Excellent</v>
      </c>
      <c r="Y236" t="str">
        <f>IFERROR(__xludf.DUMMYFUNCTION("""COMPUTED_VALUE"""),"Very Good")</f>
        <v>Very Good</v>
      </c>
      <c r="Z236" t="str">
        <f>IFERROR(__xludf.DUMMYFUNCTION("""COMPUTED_VALUE"""),"Excellent")</f>
        <v>Excellent</v>
      </c>
      <c r="AA236" t="str">
        <f>IFERROR(__xludf.DUMMYFUNCTION("""COMPUTED_VALUE"""),"Excellent")</f>
        <v>Excellent</v>
      </c>
      <c r="AB236" t="str">
        <f>IFERROR(__xludf.DUMMYFUNCTION("""COMPUTED_VALUE"""),"Good")</f>
        <v>Good</v>
      </c>
      <c r="AH236" s="189">
        <f>IFERROR(__xludf.DUMMYFUNCTION("""COMPUTED_VALUE"""),43284.38262351852)</f>
        <v>43284.38262</v>
      </c>
    </row>
    <row r="237">
      <c r="A237" t="str">
        <f>IFERROR(__xludf.DUMMYFUNCTION("""COMPUTED_VALUE"""),"sandyUTTX")</f>
        <v>sandyUTTX</v>
      </c>
      <c r="B237" t="str">
        <f>IFERROR(__xludf.DUMMYFUNCTION("""COMPUTED_VALUE"""),"DFW")</f>
        <v>DFW</v>
      </c>
      <c r="C237" t="str">
        <f>IFERROR(__xludf.DUMMYFUNCTION("""COMPUTED_VALUE"""),"TX")</f>
        <v>TX</v>
      </c>
      <c r="D237" t="str">
        <f>IFERROR(__xludf.DUMMYFUNCTION("""COMPUTED_VALUE"""),"USA")</f>
        <v>USA</v>
      </c>
      <c r="E237" s="188">
        <f>IFERROR(__xludf.DUMMYFUNCTION("""COMPUTED_VALUE"""),43213.0)</f>
        <v>43213</v>
      </c>
      <c r="F237" s="188">
        <f>IFERROR(__xludf.DUMMYFUNCTION("""COMPUTED_VALUE"""),43265.0)</f>
        <v>43265</v>
      </c>
      <c r="H237">
        <f>IFERROR(__xludf.DUMMYFUNCTION("""COMPUTED_VALUE"""),33855.0)</f>
        <v>33855</v>
      </c>
      <c r="J237" s="5">
        <f>IFERROR(__xludf.DUMMYFUNCTION("""COMPUTED_VALUE"""),43279.0)</f>
        <v>43279</v>
      </c>
      <c r="K237">
        <f>IFERROR(__xludf.DUMMYFUNCTION("""COMPUTED_VALUE"""),52.0)</f>
        <v>52</v>
      </c>
      <c r="L237">
        <f>IFERROR(__xludf.DUMMYFUNCTION("""COMPUTED_VALUE"""),14.0)</f>
        <v>14</v>
      </c>
      <c r="M237">
        <f>IFERROR(__xludf.DUMMYFUNCTION("""COMPUTED_VALUE"""),66.0)</f>
        <v>66</v>
      </c>
      <c r="N237" t="str">
        <f>IFERROR(__xludf.DUMMYFUNCTION("""COMPUTED_VALUE"""),"Model 3 LR")</f>
        <v>Model 3 LR</v>
      </c>
      <c r="O237" t="str">
        <f>IFERROR(__xludf.DUMMYFUNCTION("""COMPUTED_VALUE"""),"Midnight Silver Metallic")</f>
        <v>Midnight Silver Metallic</v>
      </c>
      <c r="P237" t="str">
        <f>IFERROR(__xludf.DUMMYFUNCTION("""COMPUTED_VALUE"""),"18 inch Aero")</f>
        <v>18 inch Aero</v>
      </c>
      <c r="Q237" t="str">
        <f>IFERROR(__xludf.DUMMYFUNCTION("""COMPUTED_VALUE"""),"Black seats")</f>
        <v>Black seats</v>
      </c>
      <c r="R237" t="str">
        <f>IFERROR(__xludf.DUMMYFUNCTION("""COMPUTED_VALUE"""),"Enhanced Autopilot")</f>
        <v>Enhanced Autopilot</v>
      </c>
      <c r="X237" t="str">
        <f>IFERROR(__xludf.DUMMYFUNCTION("""COMPUTED_VALUE"""),"Excellent")</f>
        <v>Excellent</v>
      </c>
      <c r="Y237" t="str">
        <f>IFERROR(__xludf.DUMMYFUNCTION("""COMPUTED_VALUE"""),"Excellent")</f>
        <v>Excellent</v>
      </c>
      <c r="Z237" t="str">
        <f>IFERROR(__xludf.DUMMYFUNCTION("""COMPUTED_VALUE"""),"Excellent")</f>
        <v>Excellent</v>
      </c>
      <c r="AA237" t="str">
        <f>IFERROR(__xludf.DUMMYFUNCTION("""COMPUTED_VALUE"""),"Good")</f>
        <v>Good</v>
      </c>
      <c r="AB237" t="str">
        <f>IFERROR(__xludf.DUMMYFUNCTION("""COMPUTED_VALUE"""),"Good")</f>
        <v>Good</v>
      </c>
      <c r="AH237" s="189">
        <f>IFERROR(__xludf.DUMMYFUNCTION("""COMPUTED_VALUE"""),43284.391077418986)</f>
        <v>43284.39108</v>
      </c>
    </row>
    <row r="238">
      <c r="A238" t="str">
        <f>IFERROR(__xludf.DUMMYFUNCTION("""COMPUTED_VALUE"""),"JmpLemur")</f>
        <v>JmpLemur</v>
      </c>
      <c r="B238" t="str">
        <f>IFERROR(__xludf.DUMMYFUNCTION("""COMPUTED_VALUE"""),"Houston")</f>
        <v>Houston</v>
      </c>
      <c r="C238" t="str">
        <f>IFERROR(__xludf.DUMMYFUNCTION("""COMPUTED_VALUE"""),"TX")</f>
        <v>TX</v>
      </c>
      <c r="D238" t="str">
        <f>IFERROR(__xludf.DUMMYFUNCTION("""COMPUTED_VALUE"""),"USA")</f>
        <v>USA</v>
      </c>
      <c r="E238" s="188">
        <f>IFERROR(__xludf.DUMMYFUNCTION("""COMPUTED_VALUE"""),43214.0)</f>
        <v>43214</v>
      </c>
      <c r="F238" s="188">
        <f>IFERROR(__xludf.DUMMYFUNCTION("""COMPUTED_VALUE"""),43269.0)</f>
        <v>43269</v>
      </c>
      <c r="H238">
        <f>IFERROR(__xludf.DUMMYFUNCTION("""COMPUTED_VALUE"""),33755.0)</f>
        <v>33755</v>
      </c>
      <c r="I238" t="str">
        <f>IFERROR(__xludf.DUMMYFUNCTION("""COMPUTED_VALUE"""),"06/18")</f>
        <v>06/18</v>
      </c>
      <c r="J238" s="5">
        <f>IFERROR(__xludf.DUMMYFUNCTION("""COMPUTED_VALUE"""),43284.0)</f>
        <v>43284</v>
      </c>
      <c r="K238">
        <f>IFERROR(__xludf.DUMMYFUNCTION("""COMPUTED_VALUE"""),55.0)</f>
        <v>55</v>
      </c>
      <c r="L238">
        <f>IFERROR(__xludf.DUMMYFUNCTION("""COMPUTED_VALUE"""),15.0)</f>
        <v>15</v>
      </c>
      <c r="M238">
        <f>IFERROR(__xludf.DUMMYFUNCTION("""COMPUTED_VALUE"""),70.0)</f>
        <v>70</v>
      </c>
      <c r="N238" t="str">
        <f>IFERROR(__xludf.DUMMYFUNCTION("""COMPUTED_VALUE"""),"Model 3 LR")</f>
        <v>Model 3 LR</v>
      </c>
      <c r="O238" t="str">
        <f>IFERROR(__xludf.DUMMYFUNCTION("""COMPUTED_VALUE"""),"Midnight Silver Metallic")</f>
        <v>Midnight Silver Metallic</v>
      </c>
      <c r="P238" t="str">
        <f>IFERROR(__xludf.DUMMYFUNCTION("""COMPUTED_VALUE"""),"18 inch Aero")</f>
        <v>18 inch Aero</v>
      </c>
      <c r="Q238" t="str">
        <f>IFERROR(__xludf.DUMMYFUNCTION("""COMPUTED_VALUE"""),"Black seats")</f>
        <v>Black seats</v>
      </c>
      <c r="R238" t="str">
        <f>IFERROR(__xludf.DUMMYFUNCTION("""COMPUTED_VALUE"""),"Enhanced Autopilot")</f>
        <v>Enhanced Autopilot</v>
      </c>
      <c r="X238" t="str">
        <f>IFERROR(__xludf.DUMMYFUNCTION("""COMPUTED_VALUE"""),"Good")</f>
        <v>Good</v>
      </c>
      <c r="Y238" t="str">
        <f>IFERROR(__xludf.DUMMYFUNCTION("""COMPUTED_VALUE"""),"Very Good")</f>
        <v>Very Good</v>
      </c>
      <c r="Z238" t="str">
        <f>IFERROR(__xludf.DUMMYFUNCTION("""COMPUTED_VALUE"""),"Excellent")</f>
        <v>Excellent</v>
      </c>
      <c r="AA238" t="str">
        <f>IFERROR(__xludf.DUMMYFUNCTION("""COMPUTED_VALUE"""),"Excellent")</f>
        <v>Excellent</v>
      </c>
      <c r="AB238" t="str">
        <f>IFERROR(__xludf.DUMMYFUNCTION("""COMPUTED_VALUE"""),"Very Good")</f>
        <v>Very Good</v>
      </c>
      <c r="AG238" t="str">
        <f>IFERROR(__xludf.DUMMYFUNCTION("""COMPUTED_VALUE"""),"Delivered with a few scratches on center console.")</f>
        <v>Delivered with a few scratches on center console.</v>
      </c>
      <c r="AH238" s="189">
        <f>IFERROR(__xludf.DUMMYFUNCTION("""COMPUTED_VALUE"""),43284.53535814815)</f>
        <v>43284.53536</v>
      </c>
    </row>
    <row r="239">
      <c r="A239" t="str">
        <f>IFERROR(__xludf.DUMMYFUNCTION("""COMPUTED_VALUE"""),"bluesteel10")</f>
        <v>bluesteel10</v>
      </c>
      <c r="B239" t="str">
        <f>IFERROR(__xludf.DUMMYFUNCTION("""COMPUTED_VALUE"""),"Mountain View")</f>
        <v>Mountain View</v>
      </c>
      <c r="C239" t="str">
        <f>IFERROR(__xludf.DUMMYFUNCTION("""COMPUTED_VALUE"""),"CA")</f>
        <v>CA</v>
      </c>
      <c r="D239" t="str">
        <f>IFERROR(__xludf.DUMMYFUNCTION("""COMPUTED_VALUE"""),"USA")</f>
        <v>USA</v>
      </c>
      <c r="E239" s="188">
        <f>IFERROR(__xludf.DUMMYFUNCTION("""COMPUTED_VALUE"""),43278.0)</f>
        <v>43278</v>
      </c>
      <c r="F239" s="188">
        <f>IFERROR(__xludf.DUMMYFUNCTION("""COMPUTED_VALUE"""),43280.0)</f>
        <v>43280</v>
      </c>
      <c r="H239">
        <f>IFERROR(__xludf.DUMMYFUNCTION("""COMPUTED_VALUE"""),38355.0)</f>
        <v>38355</v>
      </c>
      <c r="J239" s="5">
        <f>IFERROR(__xludf.DUMMYFUNCTION("""COMPUTED_VALUE"""),43283.0)</f>
        <v>43283</v>
      </c>
      <c r="K239">
        <f>IFERROR(__xludf.DUMMYFUNCTION("""COMPUTED_VALUE"""),2.0)</f>
        <v>2</v>
      </c>
      <c r="L239">
        <f>IFERROR(__xludf.DUMMYFUNCTION("""COMPUTED_VALUE"""),3.0)</f>
        <v>3</v>
      </c>
      <c r="M239">
        <f>IFERROR(__xludf.DUMMYFUNCTION("""COMPUTED_VALUE"""),5.0)</f>
        <v>5</v>
      </c>
      <c r="N239" t="str">
        <f>IFERROR(__xludf.DUMMYFUNCTION("""COMPUTED_VALUE"""),"Model 3 LR")</f>
        <v>Model 3 LR</v>
      </c>
      <c r="O239" t="str">
        <f>IFERROR(__xludf.DUMMYFUNCTION("""COMPUTED_VALUE"""),"Deep Blue Metallic")</f>
        <v>Deep Blue Metallic</v>
      </c>
      <c r="P239" t="str">
        <f>IFERROR(__xludf.DUMMYFUNCTION("""COMPUTED_VALUE"""),"18 inch Aero")</f>
        <v>18 inch Aero</v>
      </c>
      <c r="Q239" t="str">
        <f>IFERROR(__xludf.DUMMYFUNCTION("""COMPUTED_VALUE"""),"Black seats")</f>
        <v>Black seats</v>
      </c>
      <c r="R239" t="str">
        <f>IFERROR(__xludf.DUMMYFUNCTION("""COMPUTED_VALUE"""),"Enhanced Autopilot")</f>
        <v>Enhanced Autopilot</v>
      </c>
      <c r="X239" t="str">
        <f>IFERROR(__xludf.DUMMYFUNCTION("""COMPUTED_VALUE"""),"Excellent")</f>
        <v>Excellent</v>
      </c>
      <c r="Y239" t="str">
        <f>IFERROR(__xludf.DUMMYFUNCTION("""COMPUTED_VALUE"""),"Excellent")</f>
        <v>Excellent</v>
      </c>
      <c r="Z239" t="str">
        <f>IFERROR(__xludf.DUMMYFUNCTION("""COMPUTED_VALUE"""),"Good")</f>
        <v>Good</v>
      </c>
      <c r="AA239" t="str">
        <f>IFERROR(__xludf.DUMMYFUNCTION("""COMPUTED_VALUE"""),"Very Good")</f>
        <v>Very Good</v>
      </c>
      <c r="AB239" t="str">
        <f>IFERROR(__xludf.DUMMYFUNCTION("""COMPUTED_VALUE"""),"Poor")</f>
        <v>Poor</v>
      </c>
      <c r="AG239" t="str">
        <f>IFERROR(__xludf.DUMMYFUNCTION("""COMPUTED_VALUE"""),"Was May - July '18 before configuring. Now Sept - Nov 18.  Home delivery was very rushed.  Her Uber arrived 5 minutes after she got there.")</f>
        <v>Was May - July '18 before configuring. Now Sept - Nov 18.  Home delivery was very rushed.  Her Uber arrived 5 minutes after she got there.</v>
      </c>
      <c r="AH239" s="189">
        <f>IFERROR(__xludf.DUMMYFUNCTION("""COMPUTED_VALUE"""),43284.84356253472)</f>
        <v>43284.84356</v>
      </c>
    </row>
    <row r="240">
      <c r="A240" t="str">
        <f>IFERROR(__xludf.DUMMYFUNCTION("""COMPUTED_VALUE"""),"Joelsnug")</f>
        <v>Joelsnug</v>
      </c>
      <c r="B240" t="str">
        <f>IFERROR(__xludf.DUMMYFUNCTION("""COMPUTED_VALUE"""),"Edmonds")</f>
        <v>Edmonds</v>
      </c>
      <c r="C240" t="str">
        <f>IFERROR(__xludf.DUMMYFUNCTION("""COMPUTED_VALUE"""),"WA")</f>
        <v>WA</v>
      </c>
      <c r="D240" t="str">
        <f>IFERROR(__xludf.DUMMYFUNCTION("""COMPUTED_VALUE"""),"USA")</f>
        <v>USA</v>
      </c>
      <c r="E240" s="188">
        <f>IFERROR(__xludf.DUMMYFUNCTION("""COMPUTED_VALUE"""),43203.0)</f>
        <v>43203</v>
      </c>
      <c r="F240" s="188">
        <f>IFERROR(__xludf.DUMMYFUNCTION("""COMPUTED_VALUE"""),43277.0)</f>
        <v>43277</v>
      </c>
      <c r="H240">
        <f>IFERROR(__xludf.DUMMYFUNCTION("""COMPUTED_VALUE"""),36682.0)</f>
        <v>36682</v>
      </c>
      <c r="I240" t="str">
        <f>IFERROR(__xludf.DUMMYFUNCTION("""COMPUTED_VALUE"""),"06/18")</f>
        <v>06/18</v>
      </c>
      <c r="J240" s="5">
        <f>IFERROR(__xludf.DUMMYFUNCTION("""COMPUTED_VALUE"""),43284.0)</f>
        <v>43284</v>
      </c>
      <c r="K240">
        <f>IFERROR(__xludf.DUMMYFUNCTION("""COMPUTED_VALUE"""),74.0)</f>
        <v>74</v>
      </c>
      <c r="L240">
        <f>IFERROR(__xludf.DUMMYFUNCTION("""COMPUTED_VALUE"""),7.0)</f>
        <v>7</v>
      </c>
      <c r="M240">
        <f>IFERROR(__xludf.DUMMYFUNCTION("""COMPUTED_VALUE"""),81.0)</f>
        <v>81</v>
      </c>
      <c r="N240" t="str">
        <f>IFERROR(__xludf.DUMMYFUNCTION("""COMPUTED_VALUE"""),"Model 3 LR")</f>
        <v>Model 3 LR</v>
      </c>
      <c r="O240" t="str">
        <f>IFERROR(__xludf.DUMMYFUNCTION("""COMPUTED_VALUE"""),"Midnight Silver Metallic")</f>
        <v>Midnight Silver Metallic</v>
      </c>
      <c r="P240" t="str">
        <f>IFERROR(__xludf.DUMMYFUNCTION("""COMPUTED_VALUE"""),"19 inch Sport")</f>
        <v>19 inch Sport</v>
      </c>
      <c r="Q240" t="str">
        <f>IFERROR(__xludf.DUMMYFUNCTION("""COMPUTED_VALUE"""),"Black seats")</f>
        <v>Black seats</v>
      </c>
      <c r="R240" t="str">
        <f>IFERROR(__xludf.DUMMYFUNCTION("""COMPUTED_VALUE"""),"Enhanced Autopilot")</f>
        <v>Enhanced Autopilot</v>
      </c>
      <c r="X240" t="str">
        <f>IFERROR(__xludf.DUMMYFUNCTION("""COMPUTED_VALUE"""),"Very Good")</f>
        <v>Very Good</v>
      </c>
      <c r="Y240" t="str">
        <f>IFERROR(__xludf.DUMMYFUNCTION("""COMPUTED_VALUE"""),"Excellent")</f>
        <v>Excellent</v>
      </c>
      <c r="Z240" t="str">
        <f>IFERROR(__xludf.DUMMYFUNCTION("""COMPUTED_VALUE"""),"Excellent")</f>
        <v>Excellent</v>
      </c>
      <c r="AA240" t="str">
        <f>IFERROR(__xludf.DUMMYFUNCTION("""COMPUTED_VALUE"""),"Good")</f>
        <v>Good</v>
      </c>
      <c r="AB240" t="str">
        <f>IFERROR(__xludf.DUMMYFUNCTION("""COMPUTED_VALUE"""),"Excellent")</f>
        <v>Excellent</v>
      </c>
      <c r="AH240" s="189">
        <f>IFERROR(__xludf.DUMMYFUNCTION("""COMPUTED_VALUE"""),43285.55610965278)</f>
        <v>43285.55611</v>
      </c>
    </row>
    <row r="241">
      <c r="A241" t="str">
        <f>IFERROR(__xludf.DUMMYFUNCTION("""COMPUTED_VALUE"""),"Dana1")</f>
        <v>Dana1</v>
      </c>
      <c r="B241" t="str">
        <f>IFERROR(__xludf.DUMMYFUNCTION("""COMPUTED_VALUE"""),"Houston, Tx")</f>
        <v>Houston, Tx</v>
      </c>
      <c r="C241" t="str">
        <f>IFERROR(__xludf.DUMMYFUNCTION("""COMPUTED_VALUE"""),"TX")</f>
        <v>TX</v>
      </c>
      <c r="D241" t="str">
        <f>IFERROR(__xludf.DUMMYFUNCTION("""COMPUTED_VALUE"""),"USA")</f>
        <v>USA</v>
      </c>
      <c r="E241" s="188">
        <f>IFERROR(__xludf.DUMMYFUNCTION("""COMPUTED_VALUE"""),43244.0)</f>
        <v>43244</v>
      </c>
      <c r="F241" s="188">
        <f>IFERROR(__xludf.DUMMYFUNCTION("""COMPUTED_VALUE"""),43272.0)</f>
        <v>43272</v>
      </c>
      <c r="H241">
        <f>IFERROR(__xludf.DUMMYFUNCTION("""COMPUTED_VALUE"""),33355.0)</f>
        <v>33355</v>
      </c>
      <c r="I241" t="str">
        <f>IFERROR(__xludf.DUMMYFUNCTION("""COMPUTED_VALUE"""),"06/18")</f>
        <v>06/18</v>
      </c>
      <c r="J241" s="5">
        <f>IFERROR(__xludf.DUMMYFUNCTION("""COMPUTED_VALUE"""),43284.0)</f>
        <v>43284</v>
      </c>
      <c r="K241">
        <f>IFERROR(__xludf.DUMMYFUNCTION("""COMPUTED_VALUE"""),28.0)</f>
        <v>28</v>
      </c>
      <c r="L241">
        <f>IFERROR(__xludf.DUMMYFUNCTION("""COMPUTED_VALUE"""),12.0)</f>
        <v>12</v>
      </c>
      <c r="M241">
        <f>IFERROR(__xludf.DUMMYFUNCTION("""COMPUTED_VALUE"""),40.0)</f>
        <v>40</v>
      </c>
      <c r="N241" t="str">
        <f>IFERROR(__xludf.DUMMYFUNCTION("""COMPUTED_VALUE"""),"Model 3 LR")</f>
        <v>Model 3 LR</v>
      </c>
      <c r="O241" t="str">
        <f>IFERROR(__xludf.DUMMYFUNCTION("""COMPUTED_VALUE"""),"Red Multi-Coat")</f>
        <v>Red Multi-Coat</v>
      </c>
      <c r="P241" t="str">
        <f>IFERROR(__xludf.DUMMYFUNCTION("""COMPUTED_VALUE"""),"19 inch Sport")</f>
        <v>19 inch Sport</v>
      </c>
      <c r="Q241" t="str">
        <f>IFERROR(__xludf.DUMMYFUNCTION("""COMPUTED_VALUE"""),"Black seats")</f>
        <v>Black seats</v>
      </c>
      <c r="R241" t="str">
        <f>IFERROR(__xludf.DUMMYFUNCTION("""COMPUTED_VALUE"""),"Full Self-Driving")</f>
        <v>Full Self-Driving</v>
      </c>
      <c r="X241" t="str">
        <f>IFERROR(__xludf.DUMMYFUNCTION("""COMPUTED_VALUE"""),"Excellent")</f>
        <v>Excellent</v>
      </c>
      <c r="Y241" t="str">
        <f>IFERROR(__xludf.DUMMYFUNCTION("""COMPUTED_VALUE"""),"Excellent")</f>
        <v>Excellent</v>
      </c>
      <c r="Z241" t="str">
        <f>IFERROR(__xludf.DUMMYFUNCTION("""COMPUTED_VALUE"""),"Excellent")</f>
        <v>Excellent</v>
      </c>
      <c r="AA241" t="str">
        <f>IFERROR(__xludf.DUMMYFUNCTION("""COMPUTED_VALUE"""),"Excellent")</f>
        <v>Excellent</v>
      </c>
      <c r="AB241" t="str">
        <f>IFERROR(__xludf.DUMMYFUNCTION("""COMPUTED_VALUE"""),"Excellent")</f>
        <v>Excellent</v>
      </c>
      <c r="AG241" t="str">
        <f>IFERROR(__xludf.DUMMYFUNCTION("""COMPUTED_VALUE"""),"Don’t know reservation date. Original delivery date 7/10/18 but delivered early. Edit button disappeared 6/20/2018")</f>
        <v>Don’t know reservation date. Original delivery date 7/10/18 but delivered early. Edit button disappeared 6/20/2018</v>
      </c>
      <c r="AH241" s="189">
        <f>IFERROR(__xludf.DUMMYFUNCTION("""COMPUTED_VALUE"""),43285.72974826389)</f>
        <v>43285.72975</v>
      </c>
    </row>
    <row r="242">
      <c r="A242" t="str">
        <f>IFERROR(__xludf.DUMMYFUNCTION("""COMPUTED_VALUE"""),"dqr930")</f>
        <v>dqr930</v>
      </c>
      <c r="B242" t="str">
        <f>IFERROR(__xludf.DUMMYFUNCTION("""COMPUTED_VALUE"""),"Springfield")</f>
        <v>Springfield</v>
      </c>
      <c r="C242" t="str">
        <f>IFERROR(__xludf.DUMMYFUNCTION("""COMPUTED_VALUE"""),"NJ")</f>
        <v>NJ</v>
      </c>
      <c r="D242" t="str">
        <f>IFERROR(__xludf.DUMMYFUNCTION("""COMPUTED_VALUE"""),"USA")</f>
        <v>USA</v>
      </c>
      <c r="E242" s="188">
        <f>IFERROR(__xludf.DUMMYFUNCTION("""COMPUTED_VALUE"""),43207.0)</f>
        <v>43207</v>
      </c>
      <c r="F242" s="188">
        <f>IFERROR(__xludf.DUMMYFUNCTION("""COMPUTED_VALUE"""),43272.0)</f>
        <v>43272</v>
      </c>
      <c r="H242">
        <f>IFERROR(__xludf.DUMMYFUNCTION("""COMPUTED_VALUE"""),27655.0)</f>
        <v>27655</v>
      </c>
      <c r="I242" t="str">
        <f>IFERROR(__xludf.DUMMYFUNCTION("""COMPUTED_VALUE"""),"06/18")</f>
        <v>06/18</v>
      </c>
      <c r="J242" s="5">
        <f>IFERROR(__xludf.DUMMYFUNCTION("""COMPUTED_VALUE"""),43283.0)</f>
        <v>43283</v>
      </c>
      <c r="K242">
        <f>IFERROR(__xludf.DUMMYFUNCTION("""COMPUTED_VALUE"""),65.0)</f>
        <v>65</v>
      </c>
      <c r="L242">
        <f>IFERROR(__xludf.DUMMYFUNCTION("""COMPUTED_VALUE"""),11.0)</f>
        <v>11</v>
      </c>
      <c r="M242">
        <f>IFERROR(__xludf.DUMMYFUNCTION("""COMPUTED_VALUE"""),76.0)</f>
        <v>76</v>
      </c>
      <c r="N242" t="str">
        <f>IFERROR(__xludf.DUMMYFUNCTION("""COMPUTED_VALUE"""),"Model 3 LR")</f>
        <v>Model 3 LR</v>
      </c>
      <c r="O242" t="str">
        <f>IFERROR(__xludf.DUMMYFUNCTION("""COMPUTED_VALUE"""),"Red Multi-Coat")</f>
        <v>Red Multi-Coat</v>
      </c>
      <c r="P242" t="str">
        <f>IFERROR(__xludf.DUMMYFUNCTION("""COMPUTED_VALUE"""),"18 inch Aero")</f>
        <v>18 inch Aero</v>
      </c>
      <c r="Q242" t="str">
        <f>IFERROR(__xludf.DUMMYFUNCTION("""COMPUTED_VALUE"""),"Black seats")</f>
        <v>Black seats</v>
      </c>
      <c r="R242" t="str">
        <f>IFERROR(__xludf.DUMMYFUNCTION("""COMPUTED_VALUE"""),"Full Self-Driving")</f>
        <v>Full Self-Driving</v>
      </c>
      <c r="X242" t="str">
        <f>IFERROR(__xludf.DUMMYFUNCTION("""COMPUTED_VALUE"""),"Good")</f>
        <v>Good</v>
      </c>
      <c r="Y242" t="str">
        <f>IFERROR(__xludf.DUMMYFUNCTION("""COMPUTED_VALUE"""),"Fair")</f>
        <v>Fair</v>
      </c>
      <c r="Z242" t="str">
        <f>IFERROR(__xludf.DUMMYFUNCTION("""COMPUTED_VALUE"""),"Good")</f>
        <v>Good</v>
      </c>
      <c r="AA242" t="str">
        <f>IFERROR(__xludf.DUMMYFUNCTION("""COMPUTED_VALUE"""),"Excellent")</f>
        <v>Excellent</v>
      </c>
      <c r="AB242" t="str">
        <f>IFERROR(__xludf.DUMMYFUNCTION("""COMPUTED_VALUE"""),"Very Good")</f>
        <v>Very Good</v>
      </c>
      <c r="AH242" s="189">
        <f>IFERROR(__xludf.DUMMYFUNCTION("""COMPUTED_VALUE"""),43287.66397872685)</f>
        <v>43287.66398</v>
      </c>
    </row>
    <row r="243">
      <c r="A243" t="str">
        <f>IFERROR(__xludf.DUMMYFUNCTION("""COMPUTED_VALUE"""),"whitedecoy")</f>
        <v>whitedecoy</v>
      </c>
      <c r="B243" t="str">
        <f>IFERROR(__xludf.DUMMYFUNCTION("""COMPUTED_VALUE"""),"Orange County, CA")</f>
        <v>Orange County, CA</v>
      </c>
      <c r="C243" t="str">
        <f>IFERROR(__xludf.DUMMYFUNCTION("""COMPUTED_VALUE"""),"CA")</f>
        <v>CA</v>
      </c>
      <c r="D243" t="str">
        <f>IFERROR(__xludf.DUMMYFUNCTION("""COMPUTED_VALUE"""),"USA")</f>
        <v>USA</v>
      </c>
      <c r="E243" s="188">
        <f>IFERROR(__xludf.DUMMYFUNCTION("""COMPUTED_VALUE"""),43238.0)</f>
        <v>43238</v>
      </c>
      <c r="F243" s="188">
        <f>IFERROR(__xludf.DUMMYFUNCTION("""COMPUTED_VALUE"""),43276.0)</f>
        <v>43276</v>
      </c>
      <c r="H243">
        <f>IFERROR(__xludf.DUMMYFUNCTION("""COMPUTED_VALUE"""),38755.0)</f>
        <v>38755</v>
      </c>
      <c r="I243" t="str">
        <f>IFERROR(__xludf.DUMMYFUNCTION("""COMPUTED_VALUE"""),"06/18")</f>
        <v>06/18</v>
      </c>
      <c r="J243" s="5">
        <f>IFERROR(__xludf.DUMMYFUNCTION("""COMPUTED_VALUE"""),43283.0)</f>
        <v>43283</v>
      </c>
      <c r="K243">
        <f>IFERROR(__xludf.DUMMYFUNCTION("""COMPUTED_VALUE"""),38.0)</f>
        <v>38</v>
      </c>
      <c r="L243">
        <f>IFERROR(__xludf.DUMMYFUNCTION("""COMPUTED_VALUE"""),7.0)</f>
        <v>7</v>
      </c>
      <c r="M243">
        <f>IFERROR(__xludf.DUMMYFUNCTION("""COMPUTED_VALUE"""),45.0)</f>
        <v>45</v>
      </c>
      <c r="N243" t="str">
        <f>IFERROR(__xludf.DUMMYFUNCTION("""COMPUTED_VALUE"""),"Model 3 LR")</f>
        <v>Model 3 LR</v>
      </c>
      <c r="O243" t="str">
        <f>IFERROR(__xludf.DUMMYFUNCTION("""COMPUTED_VALUE"""),"Pearl White Multi-Coat")</f>
        <v>Pearl White Multi-Coat</v>
      </c>
      <c r="P243" t="str">
        <f>IFERROR(__xludf.DUMMYFUNCTION("""COMPUTED_VALUE"""),"19 inch Sport")</f>
        <v>19 inch Sport</v>
      </c>
      <c r="Q243" t="str">
        <f>IFERROR(__xludf.DUMMYFUNCTION("""COMPUTED_VALUE"""),"Black seats")</f>
        <v>Black seats</v>
      </c>
      <c r="R243" t="str">
        <f>IFERROR(__xludf.DUMMYFUNCTION("""COMPUTED_VALUE"""),"Enhanced Autopilot")</f>
        <v>Enhanced Autopilot</v>
      </c>
      <c r="X243" t="str">
        <f>IFERROR(__xludf.DUMMYFUNCTION("""COMPUTED_VALUE"""),"Excellent")</f>
        <v>Excellent</v>
      </c>
      <c r="Y243" t="str">
        <f>IFERROR(__xludf.DUMMYFUNCTION("""COMPUTED_VALUE"""),"Excellent")</f>
        <v>Excellent</v>
      </c>
      <c r="Z243" t="str">
        <f>IFERROR(__xludf.DUMMYFUNCTION("""COMPUTED_VALUE"""),"Excellent")</f>
        <v>Excellent</v>
      </c>
      <c r="AA243" t="str">
        <f>IFERROR(__xludf.DUMMYFUNCTION("""COMPUTED_VALUE"""),"Very Good")</f>
        <v>Very Good</v>
      </c>
      <c r="AB243" t="str">
        <f>IFERROR(__xludf.DUMMYFUNCTION("""COMPUTED_VALUE"""),"Excellent")</f>
        <v>Excellent</v>
      </c>
      <c r="AH243" s="189">
        <f>IFERROR(__xludf.DUMMYFUNCTION("""COMPUTED_VALUE"""),43287.70073090278)</f>
        <v>43287.70073</v>
      </c>
    </row>
    <row r="244">
      <c r="A244" t="str">
        <f>IFERROR(__xludf.DUMMYFUNCTION("""COMPUTED_VALUE"""),"jwarcd")</f>
        <v>jwarcd</v>
      </c>
      <c r="B244" t="str">
        <f>IFERROR(__xludf.DUMMYFUNCTION("""COMPUTED_VALUE"""),"Boston")</f>
        <v>Boston</v>
      </c>
      <c r="C244" t="str">
        <f>IFERROR(__xludf.DUMMYFUNCTION("""COMPUTED_VALUE"""),"MA")</f>
        <v>MA</v>
      </c>
      <c r="D244" t="str">
        <f>IFERROR(__xludf.DUMMYFUNCTION("""COMPUTED_VALUE"""),"USA")</f>
        <v>USA</v>
      </c>
      <c r="E244" s="188">
        <f>IFERROR(__xludf.DUMMYFUNCTION("""COMPUTED_VALUE"""),43210.0)</f>
        <v>43210</v>
      </c>
      <c r="F244" s="188">
        <f>IFERROR(__xludf.DUMMYFUNCTION("""COMPUTED_VALUE"""),43263.0)</f>
        <v>43263</v>
      </c>
      <c r="H244">
        <f>IFERROR(__xludf.DUMMYFUNCTION("""COMPUTED_VALUE"""),32855.0)</f>
        <v>32855</v>
      </c>
      <c r="I244" t="str">
        <f>IFERROR(__xludf.DUMMYFUNCTION("""COMPUTED_VALUE"""),"06/18")</f>
        <v>06/18</v>
      </c>
      <c r="J244" s="5">
        <f>IFERROR(__xludf.DUMMYFUNCTION("""COMPUTED_VALUE"""),43286.0)</f>
        <v>43286</v>
      </c>
      <c r="K244">
        <f>IFERROR(__xludf.DUMMYFUNCTION("""COMPUTED_VALUE"""),53.0)</f>
        <v>53</v>
      </c>
      <c r="L244">
        <f>IFERROR(__xludf.DUMMYFUNCTION("""COMPUTED_VALUE"""),23.0)</f>
        <v>23</v>
      </c>
      <c r="M244">
        <f>IFERROR(__xludf.DUMMYFUNCTION("""COMPUTED_VALUE"""),76.0)</f>
        <v>76</v>
      </c>
      <c r="N244" t="str">
        <f>IFERROR(__xludf.DUMMYFUNCTION("""COMPUTED_VALUE"""),"Model 3 LR")</f>
        <v>Model 3 LR</v>
      </c>
      <c r="O244" t="str">
        <f>IFERROR(__xludf.DUMMYFUNCTION("""COMPUTED_VALUE"""),"Midnight Silver Metallic")</f>
        <v>Midnight Silver Metallic</v>
      </c>
      <c r="P244" t="str">
        <f>IFERROR(__xludf.DUMMYFUNCTION("""COMPUTED_VALUE"""),"19 inch Sport")</f>
        <v>19 inch Sport</v>
      </c>
      <c r="Q244" t="str">
        <f>IFERROR(__xludf.DUMMYFUNCTION("""COMPUTED_VALUE"""),"Black seats")</f>
        <v>Black seats</v>
      </c>
      <c r="R244" t="str">
        <f>IFERROR(__xludf.DUMMYFUNCTION("""COMPUTED_VALUE"""),"Enhanced Autopilot")</f>
        <v>Enhanced Autopilot</v>
      </c>
      <c r="X244" t="str">
        <f>IFERROR(__xludf.DUMMYFUNCTION("""COMPUTED_VALUE"""),"Excellent")</f>
        <v>Excellent</v>
      </c>
      <c r="Y244" t="str">
        <f>IFERROR(__xludf.DUMMYFUNCTION("""COMPUTED_VALUE"""),"Excellent")</f>
        <v>Excellent</v>
      </c>
      <c r="Z244" t="str">
        <f>IFERROR(__xludf.DUMMYFUNCTION("""COMPUTED_VALUE"""),"Excellent")</f>
        <v>Excellent</v>
      </c>
      <c r="AA244" t="str">
        <f>IFERROR(__xludf.DUMMYFUNCTION("""COMPUTED_VALUE"""),"Excellent")</f>
        <v>Excellent</v>
      </c>
      <c r="AB244" t="str">
        <f>IFERROR(__xludf.DUMMYFUNCTION("""COMPUTED_VALUE"""),"Excellent")</f>
        <v>Excellent</v>
      </c>
      <c r="AC244">
        <f>IFERROR(__xludf.DUMMYFUNCTION("""COMPUTED_VALUE"""),0.0)</f>
        <v>0</v>
      </c>
      <c r="AH244" s="189">
        <f>IFERROR(__xludf.DUMMYFUNCTION("""COMPUTED_VALUE"""),43287.779831168984)</f>
        <v>43287.77983</v>
      </c>
    </row>
    <row r="245">
      <c r="A245" t="str">
        <f>IFERROR(__xludf.DUMMYFUNCTION("""COMPUTED_VALUE"""),"Jim O ")</f>
        <v>Jim O </v>
      </c>
      <c r="B245" t="str">
        <f>IFERROR(__xludf.DUMMYFUNCTION("""COMPUTED_VALUE"""),"Vancouver")</f>
        <v>Vancouver</v>
      </c>
      <c r="C245" t="str">
        <f>IFERROR(__xludf.DUMMYFUNCTION("""COMPUTED_VALUE"""),"WA")</f>
        <v>WA</v>
      </c>
      <c r="D245" t="str">
        <f>IFERROR(__xludf.DUMMYFUNCTION("""COMPUTED_VALUE"""),"USA")</f>
        <v>USA</v>
      </c>
      <c r="E245" s="188">
        <f>IFERROR(__xludf.DUMMYFUNCTION("""COMPUTED_VALUE"""),43208.0)</f>
        <v>43208</v>
      </c>
      <c r="F245" s="188">
        <f>IFERROR(__xludf.DUMMYFUNCTION("""COMPUTED_VALUE"""),43273.0)</f>
        <v>43273</v>
      </c>
      <c r="H245">
        <f>IFERROR(__xludf.DUMMYFUNCTION("""COMPUTED_VALUE"""),30802.0)</f>
        <v>30802</v>
      </c>
      <c r="J245" s="5">
        <f>IFERROR(__xludf.DUMMYFUNCTION("""COMPUTED_VALUE"""),43287.0)</f>
        <v>43287</v>
      </c>
      <c r="K245">
        <f>IFERROR(__xludf.DUMMYFUNCTION("""COMPUTED_VALUE"""),65.0)</f>
        <v>65</v>
      </c>
      <c r="L245">
        <f>IFERROR(__xludf.DUMMYFUNCTION("""COMPUTED_VALUE"""),14.0)</f>
        <v>14</v>
      </c>
      <c r="M245">
        <f>IFERROR(__xludf.DUMMYFUNCTION("""COMPUTED_VALUE"""),79.0)</f>
        <v>79</v>
      </c>
      <c r="N245" t="str">
        <f>IFERROR(__xludf.DUMMYFUNCTION("""COMPUTED_VALUE"""),"Model 3 LR")</f>
        <v>Model 3 LR</v>
      </c>
      <c r="O245" t="str">
        <f>IFERROR(__xludf.DUMMYFUNCTION("""COMPUTED_VALUE"""),"Red Multi-Coat")</f>
        <v>Red Multi-Coat</v>
      </c>
      <c r="P245" t="str">
        <f>IFERROR(__xludf.DUMMYFUNCTION("""COMPUTED_VALUE"""),"18 inch Aero")</f>
        <v>18 inch Aero</v>
      </c>
      <c r="Q245" t="str">
        <f>IFERROR(__xludf.DUMMYFUNCTION("""COMPUTED_VALUE"""),"Black seats")</f>
        <v>Black seats</v>
      </c>
      <c r="R245" t="str">
        <f>IFERROR(__xludf.DUMMYFUNCTION("""COMPUTED_VALUE"""),"Full Self-Driving")</f>
        <v>Full Self-Driving</v>
      </c>
      <c r="X245" t="str">
        <f>IFERROR(__xludf.DUMMYFUNCTION("""COMPUTED_VALUE"""),"Excellent")</f>
        <v>Excellent</v>
      </c>
      <c r="Y245" t="str">
        <f>IFERROR(__xludf.DUMMYFUNCTION("""COMPUTED_VALUE"""),"Excellent")</f>
        <v>Excellent</v>
      </c>
      <c r="Z245" t="str">
        <f>IFERROR(__xludf.DUMMYFUNCTION("""COMPUTED_VALUE"""),"Excellent")</f>
        <v>Excellent</v>
      </c>
      <c r="AA245" t="str">
        <f>IFERROR(__xludf.DUMMYFUNCTION("""COMPUTED_VALUE"""),"Excellent")</f>
        <v>Excellent</v>
      </c>
      <c r="AB245" t="str">
        <f>IFERROR(__xludf.DUMMYFUNCTION("""COMPUTED_VALUE"""),"Excellent")</f>
        <v>Excellent</v>
      </c>
      <c r="AH245" s="189">
        <f>IFERROR(__xludf.DUMMYFUNCTION("""COMPUTED_VALUE"""),43287.8801078588)</f>
        <v>43287.88011</v>
      </c>
    </row>
    <row r="246">
      <c r="A246" t="str">
        <f>IFERROR(__xludf.DUMMYFUNCTION("""COMPUTED_VALUE"""),"shamansanchez")</f>
        <v>shamansanchez</v>
      </c>
      <c r="B246" t="str">
        <f>IFERROR(__xludf.DUMMYFUNCTION("""COMPUTED_VALUE"""),"Raleigh")</f>
        <v>Raleigh</v>
      </c>
      <c r="C246" t="str">
        <f>IFERROR(__xludf.DUMMYFUNCTION("""COMPUTED_VALUE"""),"NC")</f>
        <v>NC</v>
      </c>
      <c r="D246" t="str">
        <f>IFERROR(__xludf.DUMMYFUNCTION("""COMPUTED_VALUE"""),"USA")</f>
        <v>USA</v>
      </c>
      <c r="E246" s="188">
        <f>IFERROR(__xludf.DUMMYFUNCTION("""COMPUTED_VALUE"""),43278.0)</f>
        <v>43278</v>
      </c>
      <c r="F246" s="188">
        <f>IFERROR(__xludf.DUMMYFUNCTION("""COMPUTED_VALUE"""),43279.0)</f>
        <v>43279</v>
      </c>
      <c r="H246">
        <f>IFERROR(__xludf.DUMMYFUNCTION("""COMPUTED_VALUE"""),34055.0)</f>
        <v>34055</v>
      </c>
      <c r="I246" t="str">
        <f>IFERROR(__xludf.DUMMYFUNCTION("""COMPUTED_VALUE"""),"06/18")</f>
        <v>06/18</v>
      </c>
      <c r="J246" s="5">
        <f>IFERROR(__xludf.DUMMYFUNCTION("""COMPUTED_VALUE"""),43287.0)</f>
        <v>43287</v>
      </c>
      <c r="K246">
        <f>IFERROR(__xludf.DUMMYFUNCTION("""COMPUTED_VALUE"""),1.0)</f>
        <v>1</v>
      </c>
      <c r="L246">
        <f>IFERROR(__xludf.DUMMYFUNCTION("""COMPUTED_VALUE"""),8.0)</f>
        <v>8</v>
      </c>
      <c r="M246">
        <f>IFERROR(__xludf.DUMMYFUNCTION("""COMPUTED_VALUE"""),9.0)</f>
        <v>9</v>
      </c>
      <c r="N246" t="str">
        <f>IFERROR(__xludf.DUMMYFUNCTION("""COMPUTED_VALUE"""),"Model 3 LR")</f>
        <v>Model 3 LR</v>
      </c>
      <c r="O246" t="str">
        <f>IFERROR(__xludf.DUMMYFUNCTION("""COMPUTED_VALUE"""),"Red Multi-Coat")</f>
        <v>Red Multi-Coat</v>
      </c>
      <c r="P246" t="str">
        <f>IFERROR(__xludf.DUMMYFUNCTION("""COMPUTED_VALUE"""),"18 inch Aero")</f>
        <v>18 inch Aero</v>
      </c>
      <c r="Q246" t="str">
        <f>IFERROR(__xludf.DUMMYFUNCTION("""COMPUTED_VALUE"""),"Black seats")</f>
        <v>Black seats</v>
      </c>
      <c r="R246" t="str">
        <f>IFERROR(__xludf.DUMMYFUNCTION("""COMPUTED_VALUE"""),"Enhanced Autopilot")</f>
        <v>Enhanced Autopilot</v>
      </c>
      <c r="X246" t="str">
        <f>IFERROR(__xludf.DUMMYFUNCTION("""COMPUTED_VALUE"""),"Very Good")</f>
        <v>Very Good</v>
      </c>
      <c r="Y246" t="str">
        <f>IFERROR(__xludf.DUMMYFUNCTION("""COMPUTED_VALUE"""),"Excellent")</f>
        <v>Excellent</v>
      </c>
      <c r="Z246" t="str">
        <f>IFERROR(__xludf.DUMMYFUNCTION("""COMPUTED_VALUE"""),"Excellent")</f>
        <v>Excellent</v>
      </c>
      <c r="AA246" t="str">
        <f>IFERROR(__xludf.DUMMYFUNCTION("""COMPUTED_VALUE"""),"Excellent")</f>
        <v>Excellent</v>
      </c>
      <c r="AB246" t="str">
        <f>IFERROR(__xludf.DUMMYFUNCTION("""COMPUTED_VALUE"""),"Excellent")</f>
        <v>Excellent</v>
      </c>
      <c r="AH246" s="189">
        <f>IFERROR(__xludf.DUMMYFUNCTION("""COMPUTED_VALUE"""),43287.90233619213)</f>
        <v>43287.90234</v>
      </c>
    </row>
    <row r="247">
      <c r="A247" t="str">
        <f>IFERROR(__xludf.DUMMYFUNCTION("""COMPUTED_VALUE"""),"r__01")</f>
        <v>r__01</v>
      </c>
      <c r="B247" t="str">
        <f>IFERROR(__xludf.DUMMYFUNCTION("""COMPUTED_VALUE"""),"Brooklyn")</f>
        <v>Brooklyn</v>
      </c>
      <c r="C247" t="str">
        <f>IFERROR(__xludf.DUMMYFUNCTION("""COMPUTED_VALUE"""),"NY")</f>
        <v>NY</v>
      </c>
      <c r="D247" t="str">
        <f>IFERROR(__xludf.DUMMYFUNCTION("""COMPUTED_VALUE"""),"USA")</f>
        <v>USA</v>
      </c>
      <c r="E247" s="188">
        <f>IFERROR(__xludf.DUMMYFUNCTION("""COMPUTED_VALUE"""),43278.0)</f>
        <v>43278</v>
      </c>
      <c r="F247" s="188">
        <f>IFERROR(__xludf.DUMMYFUNCTION("""COMPUTED_VALUE"""),43280.0)</f>
        <v>43280</v>
      </c>
      <c r="H247">
        <f>IFERROR(__xludf.DUMMYFUNCTION("""COMPUTED_VALUE"""),19755.0)</f>
        <v>19755</v>
      </c>
      <c r="J247" s="5">
        <f>IFERROR(__xludf.DUMMYFUNCTION("""COMPUTED_VALUE"""),43288.0)</f>
        <v>43288</v>
      </c>
      <c r="K247">
        <f>IFERROR(__xludf.DUMMYFUNCTION("""COMPUTED_VALUE"""),2.0)</f>
        <v>2</v>
      </c>
      <c r="L247">
        <f>IFERROR(__xludf.DUMMYFUNCTION("""COMPUTED_VALUE"""),8.0)</f>
        <v>8</v>
      </c>
      <c r="M247">
        <f>IFERROR(__xludf.DUMMYFUNCTION("""COMPUTED_VALUE"""),10.0)</f>
        <v>10</v>
      </c>
      <c r="N247" t="str">
        <f>IFERROR(__xludf.DUMMYFUNCTION("""COMPUTED_VALUE"""),"Model 3 LR")</f>
        <v>Model 3 LR</v>
      </c>
      <c r="O247" t="str">
        <f>IFERROR(__xludf.DUMMYFUNCTION("""COMPUTED_VALUE"""),"Pearl White Multi-Coat")</f>
        <v>Pearl White Multi-Coat</v>
      </c>
      <c r="P247" t="str">
        <f>IFERROR(__xludf.DUMMYFUNCTION("""COMPUTED_VALUE"""),"18 inch Aero")</f>
        <v>18 inch Aero</v>
      </c>
      <c r="Q247" t="str">
        <f>IFERROR(__xludf.DUMMYFUNCTION("""COMPUTED_VALUE"""),"Black seats")</f>
        <v>Black seats</v>
      </c>
      <c r="R247" t="str">
        <f>IFERROR(__xludf.DUMMYFUNCTION("""COMPUTED_VALUE"""),"Enhanced Autopilot")</f>
        <v>Enhanced Autopilot</v>
      </c>
      <c r="X247" t="str">
        <f>IFERROR(__xludf.DUMMYFUNCTION("""COMPUTED_VALUE"""),"Very Good")</f>
        <v>Very Good</v>
      </c>
      <c r="Y247" t="str">
        <f>IFERROR(__xludf.DUMMYFUNCTION("""COMPUTED_VALUE"""),"Excellent")</f>
        <v>Excellent</v>
      </c>
      <c r="Z247" t="str">
        <f>IFERROR(__xludf.DUMMYFUNCTION("""COMPUTED_VALUE"""),"Very Good")</f>
        <v>Very Good</v>
      </c>
      <c r="AA247" t="str">
        <f>IFERROR(__xludf.DUMMYFUNCTION("""COMPUTED_VALUE"""),"Excellent")</f>
        <v>Excellent</v>
      </c>
      <c r="AB247" t="str">
        <f>IFERROR(__xludf.DUMMYFUNCTION("""COMPUTED_VALUE"""),"Excellent")</f>
        <v>Excellent</v>
      </c>
      <c r="AC247">
        <f>IFERROR(__xludf.DUMMYFUNCTION("""COMPUTED_VALUE"""),3.0)</f>
        <v>3</v>
      </c>
      <c r="AH247" s="189">
        <f>IFERROR(__xludf.DUMMYFUNCTION("""COMPUTED_VALUE"""),43288.13764626157)</f>
        <v>43288.13765</v>
      </c>
    </row>
    <row r="248">
      <c r="A248" t="str">
        <f>IFERROR(__xludf.DUMMYFUNCTION("""COMPUTED_VALUE"""),"GalenAlda")</f>
        <v>GalenAlda</v>
      </c>
      <c r="B248" t="str">
        <f>IFERROR(__xludf.DUMMYFUNCTION("""COMPUTED_VALUE"""),"Ste-Marthe-sur-le-Lac")</f>
        <v>Ste-Marthe-sur-le-Lac</v>
      </c>
      <c r="C248" t="str">
        <f>IFERROR(__xludf.DUMMYFUNCTION("""COMPUTED_VALUE"""),"QC")</f>
        <v>QC</v>
      </c>
      <c r="D248" t="str">
        <f>IFERROR(__xludf.DUMMYFUNCTION("""COMPUTED_VALUE"""),"Canada")</f>
        <v>Canada</v>
      </c>
      <c r="E248" s="188">
        <f>IFERROR(__xludf.DUMMYFUNCTION("""COMPUTED_VALUE"""),43189.0)</f>
        <v>43189</v>
      </c>
      <c r="F248" s="188">
        <f>IFERROR(__xludf.DUMMYFUNCTION("""COMPUTED_VALUE"""),43263.0)</f>
        <v>43263</v>
      </c>
      <c r="H248">
        <f>IFERROR(__xludf.DUMMYFUNCTION("""COMPUTED_VALUE"""),29455.0)</f>
        <v>29455</v>
      </c>
      <c r="I248" t="str">
        <f>IFERROR(__xludf.DUMMYFUNCTION("""COMPUTED_VALUE"""),"05/18")</f>
        <v>05/18</v>
      </c>
      <c r="J248" s="5">
        <f>IFERROR(__xludf.DUMMYFUNCTION("""COMPUTED_VALUE"""),43273.0)</f>
        <v>43273</v>
      </c>
      <c r="K248">
        <f>IFERROR(__xludf.DUMMYFUNCTION("""COMPUTED_VALUE"""),74.0)</f>
        <v>74</v>
      </c>
      <c r="L248">
        <f>IFERROR(__xludf.DUMMYFUNCTION("""COMPUTED_VALUE"""),10.0)</f>
        <v>10</v>
      </c>
      <c r="M248">
        <f>IFERROR(__xludf.DUMMYFUNCTION("""COMPUTED_VALUE"""),84.0)</f>
        <v>84</v>
      </c>
      <c r="N248" t="str">
        <f>IFERROR(__xludf.DUMMYFUNCTION("""COMPUTED_VALUE"""),"Model 3 LR")</f>
        <v>Model 3 LR</v>
      </c>
      <c r="O248" t="str">
        <f>IFERROR(__xludf.DUMMYFUNCTION("""COMPUTED_VALUE"""),"Deep Blue Metallic")</f>
        <v>Deep Blue Metallic</v>
      </c>
      <c r="P248" t="str">
        <f>IFERROR(__xludf.DUMMYFUNCTION("""COMPUTED_VALUE"""),"18 inch Aero")</f>
        <v>18 inch Aero</v>
      </c>
      <c r="Q248" t="str">
        <f>IFERROR(__xludf.DUMMYFUNCTION("""COMPUTED_VALUE"""),"Black seats")</f>
        <v>Black seats</v>
      </c>
      <c r="R248" t="str">
        <f>IFERROR(__xludf.DUMMYFUNCTION("""COMPUTED_VALUE"""),"None")</f>
        <v>None</v>
      </c>
      <c r="X248" t="str">
        <f>IFERROR(__xludf.DUMMYFUNCTION("""COMPUTED_VALUE"""),"Good")</f>
        <v>Good</v>
      </c>
      <c r="Y248" t="str">
        <f>IFERROR(__xludf.DUMMYFUNCTION("""COMPUTED_VALUE"""),"Excellent")</f>
        <v>Excellent</v>
      </c>
      <c r="Z248" t="str">
        <f>IFERROR(__xludf.DUMMYFUNCTION("""COMPUTED_VALUE"""),"Good")</f>
        <v>Good</v>
      </c>
      <c r="AA248" t="str">
        <f>IFERROR(__xludf.DUMMYFUNCTION("""COMPUTED_VALUE"""),"Poor")</f>
        <v>Poor</v>
      </c>
      <c r="AB248" t="str">
        <f>IFERROR(__xludf.DUMMYFUNCTION("""COMPUTED_VALUE"""),"Excellent")</f>
        <v>Excellent</v>
      </c>
      <c r="AC248">
        <f>IFERROR(__xludf.DUMMYFUNCTION("""COMPUTED_VALUE"""),3.0)</f>
        <v>3</v>
      </c>
      <c r="AD248">
        <f>IFERROR(__xludf.DUMMYFUNCTION("""COMPUTED_VALUE"""),1.0)</f>
        <v>1</v>
      </c>
      <c r="AH248" s="189">
        <f>IFERROR(__xludf.DUMMYFUNCTION("""COMPUTED_VALUE"""),43288.54648502315)</f>
        <v>43288.54649</v>
      </c>
    </row>
    <row r="249">
      <c r="A249" t="str">
        <f>IFERROR(__xludf.DUMMYFUNCTION("""COMPUTED_VALUE"""),"birdybird")</f>
        <v>birdybird</v>
      </c>
      <c r="B249" t="str">
        <f>IFERROR(__xludf.DUMMYFUNCTION("""COMPUTED_VALUE"""),"Melbourne")</f>
        <v>Melbourne</v>
      </c>
      <c r="C249" t="str">
        <f>IFERROR(__xludf.DUMMYFUNCTION("""COMPUTED_VALUE"""),"FL")</f>
        <v>FL</v>
      </c>
      <c r="D249" t="str">
        <f>IFERROR(__xludf.DUMMYFUNCTION("""COMPUTED_VALUE"""),"USA")</f>
        <v>USA</v>
      </c>
      <c r="E249" s="188">
        <f>IFERROR(__xludf.DUMMYFUNCTION("""COMPUTED_VALUE"""),43279.0)</f>
        <v>43279</v>
      </c>
      <c r="F249" s="188">
        <f>IFERROR(__xludf.DUMMYFUNCTION("""COMPUTED_VALUE"""),43286.0)</f>
        <v>43286</v>
      </c>
      <c r="H249">
        <f>IFERROR(__xludf.DUMMYFUNCTION("""COMPUTED_VALUE"""),32355.0)</f>
        <v>32355</v>
      </c>
      <c r="I249" t="str">
        <f>IFERROR(__xludf.DUMMYFUNCTION("""COMPUTED_VALUE"""),"06/18")</f>
        <v>06/18</v>
      </c>
      <c r="J249" s="5">
        <f>IFERROR(__xludf.DUMMYFUNCTION("""COMPUTED_VALUE"""),43288.0)</f>
        <v>43288</v>
      </c>
      <c r="K249">
        <f>IFERROR(__xludf.DUMMYFUNCTION("""COMPUTED_VALUE"""),7.0)</f>
        <v>7</v>
      </c>
      <c r="L249">
        <f>IFERROR(__xludf.DUMMYFUNCTION("""COMPUTED_VALUE"""),2.0)</f>
        <v>2</v>
      </c>
      <c r="M249">
        <f>IFERROR(__xludf.DUMMYFUNCTION("""COMPUTED_VALUE"""),9.0)</f>
        <v>9</v>
      </c>
      <c r="N249" t="str">
        <f>IFERROR(__xludf.DUMMYFUNCTION("""COMPUTED_VALUE"""),"Model 3 LR")</f>
        <v>Model 3 LR</v>
      </c>
      <c r="O249" t="str">
        <f>IFERROR(__xludf.DUMMYFUNCTION("""COMPUTED_VALUE"""),"Solid Black")</f>
        <v>Solid Black</v>
      </c>
      <c r="P249" t="str">
        <f>IFERROR(__xludf.DUMMYFUNCTION("""COMPUTED_VALUE"""),"18 inch Aero")</f>
        <v>18 inch Aero</v>
      </c>
      <c r="Q249" t="str">
        <f>IFERROR(__xludf.DUMMYFUNCTION("""COMPUTED_VALUE"""),"Black seats")</f>
        <v>Black seats</v>
      </c>
      <c r="R249" t="str">
        <f>IFERROR(__xludf.DUMMYFUNCTION("""COMPUTED_VALUE"""),"Full Self-Driving")</f>
        <v>Full Self-Driving</v>
      </c>
      <c r="X249" t="str">
        <f>IFERROR(__xludf.DUMMYFUNCTION("""COMPUTED_VALUE"""),"Very Good")</f>
        <v>Very Good</v>
      </c>
      <c r="Y249" t="str">
        <f>IFERROR(__xludf.DUMMYFUNCTION("""COMPUTED_VALUE"""),"Excellent")</f>
        <v>Excellent</v>
      </c>
      <c r="Z249" t="str">
        <f>IFERROR(__xludf.DUMMYFUNCTION("""COMPUTED_VALUE"""),"Excellent")</f>
        <v>Excellent</v>
      </c>
      <c r="AA249" t="str">
        <f>IFERROR(__xludf.DUMMYFUNCTION("""COMPUTED_VALUE"""),"Fair")</f>
        <v>Fair</v>
      </c>
      <c r="AB249" t="str">
        <f>IFERROR(__xludf.DUMMYFUNCTION("""COMPUTED_VALUE"""),"Excellent")</f>
        <v>Excellent</v>
      </c>
      <c r="AC249">
        <f>IFERROR(__xludf.DUMMYFUNCTION("""COMPUTED_VALUE"""),0.0)</f>
        <v>0</v>
      </c>
      <c r="AH249" s="189">
        <f>IFERROR(__xludf.DUMMYFUNCTION("""COMPUTED_VALUE"""),43288.66257680555)</f>
        <v>43288.66258</v>
      </c>
    </row>
    <row r="250">
      <c r="A250" t="str">
        <f>IFERROR(__xludf.DUMMYFUNCTION("""COMPUTED_VALUE"""),"Lantec")</f>
        <v>Lantec</v>
      </c>
      <c r="B250" t="str">
        <f>IFERROR(__xludf.DUMMYFUNCTION("""COMPUTED_VALUE"""),"Vancouver")</f>
        <v>Vancouver</v>
      </c>
      <c r="C250" t="str">
        <f>IFERROR(__xludf.DUMMYFUNCTION("""COMPUTED_VALUE"""),"BC")</f>
        <v>BC</v>
      </c>
      <c r="D250" t="str">
        <f>IFERROR(__xludf.DUMMYFUNCTION("""COMPUTED_VALUE"""),"Canada")</f>
        <v>Canada</v>
      </c>
      <c r="E250" s="188">
        <f>IFERROR(__xludf.DUMMYFUNCTION("""COMPUTED_VALUE"""),43279.0)</f>
        <v>43279</v>
      </c>
      <c r="F250" s="188">
        <f>IFERROR(__xludf.DUMMYFUNCTION("""COMPUTED_VALUE"""),43287.0)</f>
        <v>43287</v>
      </c>
      <c r="H250">
        <f>IFERROR(__xludf.DUMMYFUNCTION("""COMPUTED_VALUE"""),27801.0)</f>
        <v>27801</v>
      </c>
      <c r="I250" t="str">
        <f>IFERROR(__xludf.DUMMYFUNCTION("""COMPUTED_VALUE"""),"05/18")</f>
        <v>05/18</v>
      </c>
      <c r="J250" s="5">
        <f>IFERROR(__xludf.DUMMYFUNCTION("""COMPUTED_VALUE"""),43288.0)</f>
        <v>43288</v>
      </c>
      <c r="K250">
        <f>IFERROR(__xludf.DUMMYFUNCTION("""COMPUTED_VALUE"""),8.0)</f>
        <v>8</v>
      </c>
      <c r="L250">
        <f>IFERROR(__xludf.DUMMYFUNCTION("""COMPUTED_VALUE"""),1.0)</f>
        <v>1</v>
      </c>
      <c r="M250">
        <f>IFERROR(__xludf.DUMMYFUNCTION("""COMPUTED_VALUE"""),9.0)</f>
        <v>9</v>
      </c>
      <c r="N250" t="str">
        <f>IFERROR(__xludf.DUMMYFUNCTION("""COMPUTED_VALUE"""),"Model 3 LR")</f>
        <v>Model 3 LR</v>
      </c>
      <c r="O250" t="str">
        <f>IFERROR(__xludf.DUMMYFUNCTION("""COMPUTED_VALUE"""),"Pearl White Multi-Coat")</f>
        <v>Pearl White Multi-Coat</v>
      </c>
      <c r="P250" t="str">
        <f>IFERROR(__xludf.DUMMYFUNCTION("""COMPUTED_VALUE"""),"19 inch Sport")</f>
        <v>19 inch Sport</v>
      </c>
      <c r="Q250" t="str">
        <f>IFERROR(__xludf.DUMMYFUNCTION("""COMPUTED_VALUE"""),"Black seats")</f>
        <v>Black seats</v>
      </c>
      <c r="R250" t="str">
        <f>IFERROR(__xludf.DUMMYFUNCTION("""COMPUTED_VALUE"""),"Enhanced Autopilot")</f>
        <v>Enhanced Autopilot</v>
      </c>
      <c r="X250" t="str">
        <f>IFERROR(__xludf.DUMMYFUNCTION("""COMPUTED_VALUE"""),"Very Good")</f>
        <v>Very Good</v>
      </c>
      <c r="Y250" t="str">
        <f>IFERROR(__xludf.DUMMYFUNCTION("""COMPUTED_VALUE"""),"Very Good")</f>
        <v>Very Good</v>
      </c>
      <c r="Z250" t="str">
        <f>IFERROR(__xludf.DUMMYFUNCTION("""COMPUTED_VALUE"""),"Excellent")</f>
        <v>Excellent</v>
      </c>
      <c r="AA250" t="str">
        <f>IFERROR(__xludf.DUMMYFUNCTION("""COMPUTED_VALUE"""),"Excellent")</f>
        <v>Excellent</v>
      </c>
      <c r="AB250" t="str">
        <f>IFERROR(__xludf.DUMMYFUNCTION("""COMPUTED_VALUE"""),"Excellent")</f>
        <v>Excellent</v>
      </c>
      <c r="AC250">
        <f>IFERROR(__xludf.DUMMYFUNCTION("""COMPUTED_VALUE"""),0.0)</f>
        <v>0</v>
      </c>
      <c r="AH250" s="189">
        <f>IFERROR(__xludf.DUMMYFUNCTION("""COMPUTED_VALUE"""),43288.74068565972)</f>
        <v>43288.74069</v>
      </c>
    </row>
    <row r="251">
      <c r="A251" t="str">
        <f>IFERROR(__xludf.DUMMYFUNCTION("""COMPUTED_VALUE"""),"Faustic")</f>
        <v>Faustic</v>
      </c>
      <c r="B251" t="str">
        <f>IFERROR(__xludf.DUMMYFUNCTION("""COMPUTED_VALUE"""),"Orlando")</f>
        <v>Orlando</v>
      </c>
      <c r="C251" t="str">
        <f>IFERROR(__xludf.DUMMYFUNCTION("""COMPUTED_VALUE"""),"FL")</f>
        <v>FL</v>
      </c>
      <c r="D251" t="str">
        <f>IFERROR(__xludf.DUMMYFUNCTION("""COMPUTED_VALUE"""),"USA")</f>
        <v>USA</v>
      </c>
      <c r="E251" s="188">
        <f>IFERROR(__xludf.DUMMYFUNCTION("""COMPUTED_VALUE"""),43196.0)</f>
        <v>43196</v>
      </c>
      <c r="F251" s="188">
        <f>IFERROR(__xludf.DUMMYFUNCTION("""COMPUTED_VALUE"""),43220.0)</f>
        <v>43220</v>
      </c>
      <c r="H251">
        <f>IFERROR(__xludf.DUMMYFUNCTION("""COMPUTED_VALUE"""),17455.0)</f>
        <v>17455</v>
      </c>
      <c r="I251" t="str">
        <f>IFERROR(__xludf.DUMMYFUNCTION("""COMPUTED_VALUE"""),"04/18")</f>
        <v>04/18</v>
      </c>
      <c r="J251" s="5">
        <f>IFERROR(__xludf.DUMMYFUNCTION("""COMPUTED_VALUE"""),43288.0)</f>
        <v>43288</v>
      </c>
      <c r="K251">
        <f>IFERROR(__xludf.DUMMYFUNCTION("""COMPUTED_VALUE"""),24.0)</f>
        <v>24</v>
      </c>
      <c r="L251">
        <f>IFERROR(__xludf.DUMMYFUNCTION("""COMPUTED_VALUE"""),68.0)</f>
        <v>68</v>
      </c>
      <c r="M251">
        <f>IFERROR(__xludf.DUMMYFUNCTION("""COMPUTED_VALUE"""),92.0)</f>
        <v>92</v>
      </c>
      <c r="N251" t="str">
        <f>IFERROR(__xludf.DUMMYFUNCTION("""COMPUTED_VALUE"""),"Model 3 LR")</f>
        <v>Model 3 LR</v>
      </c>
      <c r="O251" t="str">
        <f>IFERROR(__xludf.DUMMYFUNCTION("""COMPUTED_VALUE"""),"Pearl White Multi-Coat")</f>
        <v>Pearl White Multi-Coat</v>
      </c>
      <c r="P251" t="str">
        <f>IFERROR(__xludf.DUMMYFUNCTION("""COMPUTED_VALUE"""),"18 inch Aero")</f>
        <v>18 inch Aero</v>
      </c>
      <c r="Q251" t="str">
        <f>IFERROR(__xludf.DUMMYFUNCTION("""COMPUTED_VALUE"""),"Black seats")</f>
        <v>Black seats</v>
      </c>
      <c r="R251" t="str">
        <f>IFERROR(__xludf.DUMMYFUNCTION("""COMPUTED_VALUE"""),"Enhanced Autopilot")</f>
        <v>Enhanced Autopilot</v>
      </c>
      <c r="X251" t="str">
        <f>IFERROR(__xludf.DUMMYFUNCTION("""COMPUTED_VALUE"""),"Excellent")</f>
        <v>Excellent</v>
      </c>
      <c r="Y251" t="str">
        <f>IFERROR(__xludf.DUMMYFUNCTION("""COMPUTED_VALUE"""),"Good")</f>
        <v>Good</v>
      </c>
      <c r="Z251" t="str">
        <f>IFERROR(__xludf.DUMMYFUNCTION("""COMPUTED_VALUE"""),"Excellent")</f>
        <v>Excellent</v>
      </c>
      <c r="AA251" t="str">
        <f>IFERROR(__xludf.DUMMYFUNCTION("""COMPUTED_VALUE"""),"Excellent")</f>
        <v>Excellent</v>
      </c>
      <c r="AB251" t="str">
        <f>IFERROR(__xludf.DUMMYFUNCTION("""COMPUTED_VALUE"""),"Good")</f>
        <v>Good</v>
      </c>
      <c r="AC251">
        <f>IFERROR(__xludf.DUMMYFUNCTION("""COMPUTED_VALUE"""),2.0)</f>
        <v>2</v>
      </c>
      <c r="AH251" s="189">
        <f>IFERROR(__xludf.DUMMYFUNCTION("""COMPUTED_VALUE"""),43289.364303124996)</f>
        <v>43289.3643</v>
      </c>
    </row>
    <row r="252">
      <c r="A252" t="str">
        <f>IFERROR(__xludf.DUMMYFUNCTION("""COMPUTED_VALUE"""),"Apeweek")</f>
        <v>Apeweek</v>
      </c>
      <c r="B252" t="str">
        <f>IFERROR(__xludf.DUMMYFUNCTION("""COMPUTED_VALUE"""),"Dearborn")</f>
        <v>Dearborn</v>
      </c>
      <c r="C252" t="str">
        <f>IFERROR(__xludf.DUMMYFUNCTION("""COMPUTED_VALUE"""),"MI")</f>
        <v>MI</v>
      </c>
      <c r="D252" t="str">
        <f>IFERROR(__xludf.DUMMYFUNCTION("""COMPUTED_VALUE"""),"USA")</f>
        <v>USA</v>
      </c>
      <c r="E252" s="188">
        <f>IFERROR(__xludf.DUMMYFUNCTION("""COMPUTED_VALUE"""),43208.0)</f>
        <v>43208</v>
      </c>
      <c r="F252" s="188">
        <f>IFERROR(__xludf.DUMMYFUNCTION("""COMPUTED_VALUE"""),43255.0)</f>
        <v>43255</v>
      </c>
      <c r="H252">
        <f>IFERROR(__xludf.DUMMYFUNCTION("""COMPUTED_VALUE"""),18784.0)</f>
        <v>18784</v>
      </c>
      <c r="I252" t="str">
        <f>IFERROR(__xludf.DUMMYFUNCTION("""COMPUTED_VALUE"""),"06/18")</f>
        <v>06/18</v>
      </c>
      <c r="J252" s="5">
        <f>IFERROR(__xludf.DUMMYFUNCTION("""COMPUTED_VALUE"""),43280.0)</f>
        <v>43280</v>
      </c>
      <c r="K252">
        <f>IFERROR(__xludf.DUMMYFUNCTION("""COMPUTED_VALUE"""),47.0)</f>
        <v>47</v>
      </c>
      <c r="L252">
        <f>IFERROR(__xludf.DUMMYFUNCTION("""COMPUTED_VALUE"""),25.0)</f>
        <v>25</v>
      </c>
      <c r="M252">
        <f>IFERROR(__xludf.DUMMYFUNCTION("""COMPUTED_VALUE"""),72.0)</f>
        <v>72</v>
      </c>
      <c r="N252" t="str">
        <f>IFERROR(__xludf.DUMMYFUNCTION("""COMPUTED_VALUE"""),"Model 3 LR")</f>
        <v>Model 3 LR</v>
      </c>
      <c r="O252" t="str">
        <f>IFERROR(__xludf.DUMMYFUNCTION("""COMPUTED_VALUE"""),"Solid Black")</f>
        <v>Solid Black</v>
      </c>
      <c r="P252" t="str">
        <f>IFERROR(__xludf.DUMMYFUNCTION("""COMPUTED_VALUE"""),"18 inch Aero")</f>
        <v>18 inch Aero</v>
      </c>
      <c r="Q252" t="str">
        <f>IFERROR(__xludf.DUMMYFUNCTION("""COMPUTED_VALUE"""),"Black seats")</f>
        <v>Black seats</v>
      </c>
      <c r="R252" t="str">
        <f>IFERROR(__xludf.DUMMYFUNCTION("""COMPUTED_VALUE"""),"Enhanced Autopilot")</f>
        <v>Enhanced Autopilot</v>
      </c>
      <c r="X252" t="str">
        <f>IFERROR(__xludf.DUMMYFUNCTION("""COMPUTED_VALUE"""),"Excellent")</f>
        <v>Excellent</v>
      </c>
      <c r="Y252" t="str">
        <f>IFERROR(__xludf.DUMMYFUNCTION("""COMPUTED_VALUE"""),"Excellent")</f>
        <v>Excellent</v>
      </c>
      <c r="Z252" t="str">
        <f>IFERROR(__xludf.DUMMYFUNCTION("""COMPUTED_VALUE"""),"Excellent")</f>
        <v>Excellent</v>
      </c>
      <c r="AA252" t="str">
        <f>IFERROR(__xludf.DUMMYFUNCTION("""COMPUTED_VALUE"""),"Very Good")</f>
        <v>Very Good</v>
      </c>
      <c r="AB252" t="str">
        <f>IFERROR(__xludf.DUMMYFUNCTION("""COMPUTED_VALUE"""),"Very Good")</f>
        <v>Very Good</v>
      </c>
      <c r="AC252">
        <f>IFERROR(__xludf.DUMMYFUNCTION("""COMPUTED_VALUE"""),0.0)</f>
        <v>0</v>
      </c>
      <c r="AH252" s="189">
        <f>IFERROR(__xludf.DUMMYFUNCTION("""COMPUTED_VALUE"""),43289.383591481484)</f>
        <v>43289.38359</v>
      </c>
    </row>
    <row r="253">
      <c r="A253" t="str">
        <f>IFERROR(__xludf.DUMMYFUNCTION("""COMPUTED_VALUE"""),"inktomi")</f>
        <v>inktomi</v>
      </c>
      <c r="B253" t="str">
        <f>IFERROR(__xludf.DUMMYFUNCTION("""COMPUTED_VALUE"""),"Los Angeles")</f>
        <v>Los Angeles</v>
      </c>
      <c r="C253" t="str">
        <f>IFERROR(__xludf.DUMMYFUNCTION("""COMPUTED_VALUE"""),"CA")</f>
        <v>CA</v>
      </c>
      <c r="D253" t="str">
        <f>IFERROR(__xludf.DUMMYFUNCTION("""COMPUTED_VALUE"""),"USA")</f>
        <v>USA</v>
      </c>
      <c r="E253" s="188">
        <f>IFERROR(__xludf.DUMMYFUNCTION("""COMPUTED_VALUE"""),43278.0)</f>
        <v>43278</v>
      </c>
      <c r="F253" s="188">
        <f>IFERROR(__xludf.DUMMYFUNCTION("""COMPUTED_VALUE"""),43279.0)</f>
        <v>43279</v>
      </c>
      <c r="H253">
        <f>IFERROR(__xludf.DUMMYFUNCTION("""COMPUTED_VALUE"""),34643.0)</f>
        <v>34643</v>
      </c>
      <c r="I253" t="str">
        <f>IFERROR(__xludf.DUMMYFUNCTION("""COMPUTED_VALUE"""),"06/18")</f>
        <v>06/18</v>
      </c>
      <c r="J253" s="5">
        <f>IFERROR(__xludf.DUMMYFUNCTION("""COMPUTED_VALUE"""),43288.0)</f>
        <v>43288</v>
      </c>
      <c r="K253">
        <f>IFERROR(__xludf.DUMMYFUNCTION("""COMPUTED_VALUE"""),1.0)</f>
        <v>1</v>
      </c>
      <c r="L253">
        <f>IFERROR(__xludf.DUMMYFUNCTION("""COMPUTED_VALUE"""),9.0)</f>
        <v>9</v>
      </c>
      <c r="M253">
        <f>IFERROR(__xludf.DUMMYFUNCTION("""COMPUTED_VALUE"""),10.0)</f>
        <v>10</v>
      </c>
      <c r="N253" t="str">
        <f>IFERROR(__xludf.DUMMYFUNCTION("""COMPUTED_VALUE"""),"Model 3 LR")</f>
        <v>Model 3 LR</v>
      </c>
      <c r="O253" t="str">
        <f>IFERROR(__xludf.DUMMYFUNCTION("""COMPUTED_VALUE"""),"Midnight Silver Metallic")</f>
        <v>Midnight Silver Metallic</v>
      </c>
      <c r="P253" t="str">
        <f>IFERROR(__xludf.DUMMYFUNCTION("""COMPUTED_VALUE"""),"19 inch Sport")</f>
        <v>19 inch Sport</v>
      </c>
      <c r="Q253" t="str">
        <f>IFERROR(__xludf.DUMMYFUNCTION("""COMPUTED_VALUE"""),"Black seats")</f>
        <v>Black seats</v>
      </c>
      <c r="R253" t="str">
        <f>IFERROR(__xludf.DUMMYFUNCTION("""COMPUTED_VALUE"""),"Enhanced Autopilot")</f>
        <v>Enhanced Autopilot</v>
      </c>
      <c r="X253" t="str">
        <f>IFERROR(__xludf.DUMMYFUNCTION("""COMPUTED_VALUE"""),"Very Good")</f>
        <v>Very Good</v>
      </c>
      <c r="Y253" t="str">
        <f>IFERROR(__xludf.DUMMYFUNCTION("""COMPUTED_VALUE"""),"Good")</f>
        <v>Good</v>
      </c>
      <c r="Z253" t="str">
        <f>IFERROR(__xludf.DUMMYFUNCTION("""COMPUTED_VALUE"""),"Good")</f>
        <v>Good</v>
      </c>
      <c r="AA253" t="str">
        <f>IFERROR(__xludf.DUMMYFUNCTION("""COMPUTED_VALUE"""),"Excellent")</f>
        <v>Excellent</v>
      </c>
      <c r="AB253" t="str">
        <f>IFERROR(__xludf.DUMMYFUNCTION("""COMPUTED_VALUE"""),"Fair")</f>
        <v>Fair</v>
      </c>
      <c r="AH253" s="189">
        <f>IFERROR(__xludf.DUMMYFUNCTION("""COMPUTED_VALUE"""),43289.48608697917)</f>
        <v>43289.48609</v>
      </c>
    </row>
    <row r="254">
      <c r="A254" t="str">
        <f>IFERROR(__xludf.DUMMYFUNCTION("""COMPUTED_VALUE"""),"Waitin4M3")</f>
        <v>Waitin4M3</v>
      </c>
      <c r="B254" t="str">
        <f>IFERROR(__xludf.DUMMYFUNCTION("""COMPUTED_VALUE"""),"San Jose")</f>
        <v>San Jose</v>
      </c>
      <c r="C254" t="str">
        <f>IFERROR(__xludf.DUMMYFUNCTION("""COMPUTED_VALUE"""),"CA")</f>
        <v>CA</v>
      </c>
      <c r="D254" t="str">
        <f>IFERROR(__xludf.DUMMYFUNCTION("""COMPUTED_VALUE"""),"USA")</f>
        <v>USA</v>
      </c>
      <c r="E254" s="188">
        <f>IFERROR(__xludf.DUMMYFUNCTION("""COMPUTED_VALUE"""),43266.0)</f>
        <v>43266</v>
      </c>
      <c r="F254" s="188">
        <f>IFERROR(__xludf.DUMMYFUNCTION("""COMPUTED_VALUE"""),43283.0)</f>
        <v>43283</v>
      </c>
      <c r="H254">
        <f>IFERROR(__xludf.DUMMYFUNCTION("""COMPUTED_VALUE"""),37755.0)</f>
        <v>37755</v>
      </c>
      <c r="I254" t="str">
        <f>IFERROR(__xludf.DUMMYFUNCTION("""COMPUTED_VALUE"""),"06/18")</f>
        <v>06/18</v>
      </c>
      <c r="J254" s="5">
        <f>IFERROR(__xludf.DUMMYFUNCTION("""COMPUTED_VALUE"""),43286.0)</f>
        <v>43286</v>
      </c>
      <c r="K254">
        <f>IFERROR(__xludf.DUMMYFUNCTION("""COMPUTED_VALUE"""),17.0)</f>
        <v>17</v>
      </c>
      <c r="L254">
        <f>IFERROR(__xludf.DUMMYFUNCTION("""COMPUTED_VALUE"""),3.0)</f>
        <v>3</v>
      </c>
      <c r="M254">
        <f>IFERROR(__xludf.DUMMYFUNCTION("""COMPUTED_VALUE"""),20.0)</f>
        <v>20</v>
      </c>
      <c r="N254" t="str">
        <f>IFERROR(__xludf.DUMMYFUNCTION("""COMPUTED_VALUE"""),"Model 3 LR")</f>
        <v>Model 3 LR</v>
      </c>
      <c r="O254" t="str">
        <f>IFERROR(__xludf.DUMMYFUNCTION("""COMPUTED_VALUE"""),"Deep Blue Metallic")</f>
        <v>Deep Blue Metallic</v>
      </c>
      <c r="P254" t="str">
        <f>IFERROR(__xludf.DUMMYFUNCTION("""COMPUTED_VALUE"""),"18 inch Aero")</f>
        <v>18 inch Aero</v>
      </c>
      <c r="Q254" t="str">
        <f>IFERROR(__xludf.DUMMYFUNCTION("""COMPUTED_VALUE"""),"Black seats")</f>
        <v>Black seats</v>
      </c>
      <c r="R254" t="str">
        <f>IFERROR(__xludf.DUMMYFUNCTION("""COMPUTED_VALUE"""),"Enhanced Autopilot")</f>
        <v>Enhanced Autopilot</v>
      </c>
      <c r="X254" t="str">
        <f>IFERROR(__xludf.DUMMYFUNCTION("""COMPUTED_VALUE"""),"Very Good")</f>
        <v>Very Good</v>
      </c>
      <c r="Y254" t="str">
        <f>IFERROR(__xludf.DUMMYFUNCTION("""COMPUTED_VALUE"""),"Very Good")</f>
        <v>Very Good</v>
      </c>
      <c r="Z254" t="str">
        <f>IFERROR(__xludf.DUMMYFUNCTION("""COMPUTED_VALUE"""),"Excellent")</f>
        <v>Excellent</v>
      </c>
      <c r="AA254" t="str">
        <f>IFERROR(__xludf.DUMMYFUNCTION("""COMPUTED_VALUE"""),"Very Good")</f>
        <v>Very Good</v>
      </c>
      <c r="AB254" t="str">
        <f>IFERROR(__xludf.DUMMYFUNCTION("""COMPUTED_VALUE"""),"Excellent")</f>
        <v>Excellent</v>
      </c>
      <c r="AC254">
        <f>IFERROR(__xludf.DUMMYFUNCTION("""COMPUTED_VALUE"""),0.0)</f>
        <v>0</v>
      </c>
      <c r="AH254" s="189">
        <f>IFERROR(__xludf.DUMMYFUNCTION("""COMPUTED_VALUE"""),43289.5151253125)</f>
        <v>43289.51513</v>
      </c>
    </row>
    <row r="255">
      <c r="A255" t="str">
        <f>IFERROR(__xludf.DUMMYFUNCTION("""COMPUTED_VALUE"""),"TahitiChris")</f>
        <v>TahitiChris</v>
      </c>
      <c r="B255" t="str">
        <f>IFERROR(__xludf.DUMMYFUNCTION("""COMPUTED_VALUE"""),"San Luis Obispo")</f>
        <v>San Luis Obispo</v>
      </c>
      <c r="C255" t="str">
        <f>IFERROR(__xludf.DUMMYFUNCTION("""COMPUTED_VALUE"""),"CA")</f>
        <v>CA</v>
      </c>
      <c r="D255" t="str">
        <f>IFERROR(__xludf.DUMMYFUNCTION("""COMPUTED_VALUE"""),"USA")</f>
        <v>USA</v>
      </c>
      <c r="E255" s="188">
        <f>IFERROR(__xludf.DUMMYFUNCTION("""COMPUTED_VALUE"""),43278.0)</f>
        <v>43278</v>
      </c>
      <c r="F255" s="188">
        <f>IFERROR(__xludf.DUMMYFUNCTION("""COMPUTED_VALUE"""),43280.0)</f>
        <v>43280</v>
      </c>
      <c r="H255">
        <f>IFERROR(__xludf.DUMMYFUNCTION("""COMPUTED_VALUE"""),36555.0)</f>
        <v>36555</v>
      </c>
      <c r="J255" s="5">
        <f>IFERROR(__xludf.DUMMYFUNCTION("""COMPUTED_VALUE"""),43288.0)</f>
        <v>43288</v>
      </c>
      <c r="K255">
        <f>IFERROR(__xludf.DUMMYFUNCTION("""COMPUTED_VALUE"""),2.0)</f>
        <v>2</v>
      </c>
      <c r="L255">
        <f>IFERROR(__xludf.DUMMYFUNCTION("""COMPUTED_VALUE"""),8.0)</f>
        <v>8</v>
      </c>
      <c r="M255">
        <f>IFERROR(__xludf.DUMMYFUNCTION("""COMPUTED_VALUE"""),10.0)</f>
        <v>10</v>
      </c>
      <c r="N255" t="str">
        <f>IFERROR(__xludf.DUMMYFUNCTION("""COMPUTED_VALUE"""),"Model 3 LR")</f>
        <v>Model 3 LR</v>
      </c>
      <c r="O255" t="str">
        <f>IFERROR(__xludf.DUMMYFUNCTION("""COMPUTED_VALUE"""),"Midnight Silver Metallic")</f>
        <v>Midnight Silver Metallic</v>
      </c>
      <c r="P255" t="str">
        <f>IFERROR(__xludf.DUMMYFUNCTION("""COMPUTED_VALUE"""),"18 inch Aero")</f>
        <v>18 inch Aero</v>
      </c>
      <c r="Q255" t="str">
        <f>IFERROR(__xludf.DUMMYFUNCTION("""COMPUTED_VALUE"""),"Black seats")</f>
        <v>Black seats</v>
      </c>
      <c r="R255" t="str">
        <f>IFERROR(__xludf.DUMMYFUNCTION("""COMPUTED_VALUE"""),"None")</f>
        <v>None</v>
      </c>
      <c r="X255" t="str">
        <f>IFERROR(__xludf.DUMMYFUNCTION("""COMPUTED_VALUE"""),"Excellent")</f>
        <v>Excellent</v>
      </c>
      <c r="Y255" t="str">
        <f>IFERROR(__xludf.DUMMYFUNCTION("""COMPUTED_VALUE"""),"Excellent")</f>
        <v>Excellent</v>
      </c>
      <c r="Z255" t="str">
        <f>IFERROR(__xludf.DUMMYFUNCTION("""COMPUTED_VALUE"""),"Very Good")</f>
        <v>Very Good</v>
      </c>
      <c r="AA255" t="str">
        <f>IFERROR(__xludf.DUMMYFUNCTION("""COMPUTED_VALUE"""),"Excellent")</f>
        <v>Excellent</v>
      </c>
      <c r="AB255" t="str">
        <f>IFERROR(__xludf.DUMMYFUNCTION("""COMPUTED_VALUE"""),"Excellent")</f>
        <v>Excellent</v>
      </c>
      <c r="AC255">
        <f>IFERROR(__xludf.DUMMYFUNCTION("""COMPUTED_VALUE"""),0.0)</f>
        <v>0</v>
      </c>
      <c r="AD255">
        <f>IFERROR(__xludf.DUMMYFUNCTION("""COMPUTED_VALUE"""),0.0)</f>
        <v>0</v>
      </c>
      <c r="AE255">
        <f>IFERROR(__xludf.DUMMYFUNCTION("""COMPUTED_VALUE"""),0.0)</f>
        <v>0</v>
      </c>
      <c r="AH255" s="189">
        <f>IFERROR(__xludf.DUMMYFUNCTION("""COMPUTED_VALUE"""),43289.582975474535)</f>
        <v>43289.58298</v>
      </c>
    </row>
    <row r="256">
      <c r="A256" t="str">
        <f>IFERROR(__xludf.DUMMYFUNCTION("""COMPUTED_VALUE"""),"bluefalconwing")</f>
        <v>bluefalconwing</v>
      </c>
      <c r="B256" t="str">
        <f>IFERROR(__xludf.DUMMYFUNCTION("""COMPUTED_VALUE"""),"Walnut Creek")</f>
        <v>Walnut Creek</v>
      </c>
      <c r="C256" t="str">
        <f>IFERROR(__xludf.DUMMYFUNCTION("""COMPUTED_VALUE"""),"CA")</f>
        <v>CA</v>
      </c>
      <c r="D256" t="str">
        <f>IFERROR(__xludf.DUMMYFUNCTION("""COMPUTED_VALUE"""),"USA")</f>
        <v>USA</v>
      </c>
      <c r="E256" s="188">
        <f>IFERROR(__xludf.DUMMYFUNCTION("""COMPUTED_VALUE"""),43213.0)</f>
        <v>43213</v>
      </c>
      <c r="F256" s="188">
        <f>IFERROR(__xludf.DUMMYFUNCTION("""COMPUTED_VALUE"""),43280.0)</f>
        <v>43280</v>
      </c>
      <c r="H256">
        <f>IFERROR(__xludf.DUMMYFUNCTION("""COMPUTED_VALUE"""),36495.0)</f>
        <v>36495</v>
      </c>
      <c r="J256" s="5">
        <f>IFERROR(__xludf.DUMMYFUNCTION("""COMPUTED_VALUE"""),43282.0)</f>
        <v>43282</v>
      </c>
      <c r="K256">
        <f>IFERROR(__xludf.DUMMYFUNCTION("""COMPUTED_VALUE"""),67.0)</f>
        <v>67</v>
      </c>
      <c r="L256">
        <f>IFERROR(__xludf.DUMMYFUNCTION("""COMPUTED_VALUE"""),2.0)</f>
        <v>2</v>
      </c>
      <c r="M256">
        <f>IFERROR(__xludf.DUMMYFUNCTION("""COMPUTED_VALUE"""),69.0)</f>
        <v>69</v>
      </c>
      <c r="N256" t="str">
        <f>IFERROR(__xludf.DUMMYFUNCTION("""COMPUTED_VALUE"""),"Model 3 LR")</f>
        <v>Model 3 LR</v>
      </c>
      <c r="O256" t="str">
        <f>IFERROR(__xludf.DUMMYFUNCTION("""COMPUTED_VALUE"""),"Solid Black")</f>
        <v>Solid Black</v>
      </c>
      <c r="P256" t="str">
        <f>IFERROR(__xludf.DUMMYFUNCTION("""COMPUTED_VALUE"""),"18 inch Aero")</f>
        <v>18 inch Aero</v>
      </c>
      <c r="Q256" t="str">
        <f>IFERROR(__xludf.DUMMYFUNCTION("""COMPUTED_VALUE"""),"Black seats")</f>
        <v>Black seats</v>
      </c>
      <c r="R256" t="str">
        <f>IFERROR(__xludf.DUMMYFUNCTION("""COMPUTED_VALUE"""),"None")</f>
        <v>None</v>
      </c>
      <c r="X256" t="str">
        <f>IFERROR(__xludf.DUMMYFUNCTION("""COMPUTED_VALUE"""),"Very Good")</f>
        <v>Very Good</v>
      </c>
      <c r="Y256" t="str">
        <f>IFERROR(__xludf.DUMMYFUNCTION("""COMPUTED_VALUE"""),"Very Good")</f>
        <v>Very Good</v>
      </c>
      <c r="Z256" t="str">
        <f>IFERROR(__xludf.DUMMYFUNCTION("""COMPUTED_VALUE"""),"Very Good")</f>
        <v>Very Good</v>
      </c>
      <c r="AA256" t="str">
        <f>IFERROR(__xludf.DUMMYFUNCTION("""COMPUTED_VALUE"""),"Excellent")</f>
        <v>Excellent</v>
      </c>
      <c r="AB256" t="str">
        <f>IFERROR(__xludf.DUMMYFUNCTION("""COMPUTED_VALUE"""),"Poor")</f>
        <v>Poor</v>
      </c>
      <c r="AH256" s="189">
        <f>IFERROR(__xludf.DUMMYFUNCTION("""COMPUTED_VALUE"""),43289.97005567129)</f>
        <v>43289.97006</v>
      </c>
    </row>
    <row r="257">
      <c r="A257" t="str">
        <f>IFERROR(__xludf.DUMMYFUNCTION("""COMPUTED_VALUE"""),"JGriffith")</f>
        <v>JGriffith</v>
      </c>
      <c r="B257" t="str">
        <f>IFERROR(__xludf.DUMMYFUNCTION("""COMPUTED_VALUE"""),"Tampa")</f>
        <v>Tampa</v>
      </c>
      <c r="C257" t="str">
        <f>IFERROR(__xludf.DUMMYFUNCTION("""COMPUTED_VALUE"""),"FL")</f>
        <v>FL</v>
      </c>
      <c r="D257" t="str">
        <f>IFERROR(__xludf.DUMMYFUNCTION("""COMPUTED_VALUE"""),"USA")</f>
        <v>USA</v>
      </c>
      <c r="E257" s="188">
        <f>IFERROR(__xludf.DUMMYFUNCTION("""COMPUTED_VALUE"""),43276.0)</f>
        <v>43276</v>
      </c>
      <c r="F257" s="188">
        <f>IFERROR(__xludf.DUMMYFUNCTION("""COMPUTED_VALUE"""),43283.0)</f>
        <v>43283</v>
      </c>
      <c r="H257">
        <f>IFERROR(__xludf.DUMMYFUNCTION("""COMPUTED_VALUE"""),32455.0)</f>
        <v>32455</v>
      </c>
      <c r="I257" t="str">
        <f>IFERROR(__xludf.DUMMYFUNCTION("""COMPUTED_VALUE"""),"06/18")</f>
        <v>06/18</v>
      </c>
      <c r="J257" s="5">
        <f>IFERROR(__xludf.DUMMYFUNCTION("""COMPUTED_VALUE"""),43288.0)</f>
        <v>43288</v>
      </c>
      <c r="K257">
        <f>IFERROR(__xludf.DUMMYFUNCTION("""COMPUTED_VALUE"""),7.0)</f>
        <v>7</v>
      </c>
      <c r="L257">
        <f>IFERROR(__xludf.DUMMYFUNCTION("""COMPUTED_VALUE"""),5.0)</f>
        <v>5</v>
      </c>
      <c r="M257">
        <f>IFERROR(__xludf.DUMMYFUNCTION("""COMPUTED_VALUE"""),12.0)</f>
        <v>12</v>
      </c>
      <c r="N257" t="str">
        <f>IFERROR(__xludf.DUMMYFUNCTION("""COMPUTED_VALUE"""),"Model 3 LR")</f>
        <v>Model 3 LR</v>
      </c>
      <c r="O257" t="str">
        <f>IFERROR(__xludf.DUMMYFUNCTION("""COMPUTED_VALUE"""),"Red Multi-Coat")</f>
        <v>Red Multi-Coat</v>
      </c>
      <c r="P257" t="str">
        <f>IFERROR(__xludf.DUMMYFUNCTION("""COMPUTED_VALUE"""),"18 inch Aero")</f>
        <v>18 inch Aero</v>
      </c>
      <c r="Q257" t="str">
        <f>IFERROR(__xludf.DUMMYFUNCTION("""COMPUTED_VALUE"""),"Black seats")</f>
        <v>Black seats</v>
      </c>
      <c r="R257" t="str">
        <f>IFERROR(__xludf.DUMMYFUNCTION("""COMPUTED_VALUE"""),"None")</f>
        <v>None</v>
      </c>
      <c r="X257" t="str">
        <f>IFERROR(__xludf.DUMMYFUNCTION("""COMPUTED_VALUE"""),"Very Good")</f>
        <v>Very Good</v>
      </c>
      <c r="Y257" t="str">
        <f>IFERROR(__xludf.DUMMYFUNCTION("""COMPUTED_VALUE"""),"Very Good")</f>
        <v>Very Good</v>
      </c>
      <c r="Z257" t="str">
        <f>IFERROR(__xludf.DUMMYFUNCTION("""COMPUTED_VALUE"""),"Very Good")</f>
        <v>Very Good</v>
      </c>
      <c r="AA257" t="str">
        <f>IFERROR(__xludf.DUMMYFUNCTION("""COMPUTED_VALUE"""),"Fair")</f>
        <v>Fair</v>
      </c>
      <c r="AB257" t="str">
        <f>IFERROR(__xludf.DUMMYFUNCTION("""COMPUTED_VALUE"""),"Fair")</f>
        <v>Fair</v>
      </c>
      <c r="AH257" s="189">
        <f>IFERROR(__xludf.DUMMYFUNCTION("""COMPUTED_VALUE"""),43290.40679331019)</f>
        <v>43290.40679</v>
      </c>
    </row>
    <row r="258">
      <c r="A258" t="str">
        <f>IFERROR(__xludf.DUMMYFUNCTION("""COMPUTED_VALUE"""),"oc3068")</f>
        <v>oc3068</v>
      </c>
      <c r="B258" t="str">
        <f>IFERROR(__xludf.DUMMYFUNCTION("""COMPUTED_VALUE"""),"Los Angeles")</f>
        <v>Los Angeles</v>
      </c>
      <c r="C258" t="str">
        <f>IFERROR(__xludf.DUMMYFUNCTION("""COMPUTED_VALUE"""),"CA")</f>
        <v>CA</v>
      </c>
      <c r="D258" t="str">
        <f>IFERROR(__xludf.DUMMYFUNCTION("""COMPUTED_VALUE"""),"USA")</f>
        <v>USA</v>
      </c>
      <c r="E258" s="188">
        <f>IFERROR(__xludf.DUMMYFUNCTION("""COMPUTED_VALUE"""),43245.0)</f>
        <v>43245</v>
      </c>
      <c r="F258" s="188">
        <f>IFERROR(__xludf.DUMMYFUNCTION("""COMPUTED_VALUE"""),43278.0)</f>
        <v>43278</v>
      </c>
      <c r="H258">
        <f>IFERROR(__xludf.DUMMYFUNCTION("""COMPUTED_VALUE"""),31830.0)</f>
        <v>31830</v>
      </c>
      <c r="I258" t="str">
        <f>IFERROR(__xludf.DUMMYFUNCTION("""COMPUTED_VALUE"""),"06/18")</f>
        <v>06/18</v>
      </c>
      <c r="J258" s="5">
        <f>IFERROR(__xludf.DUMMYFUNCTION("""COMPUTED_VALUE"""),43287.0)</f>
        <v>43287</v>
      </c>
      <c r="K258">
        <f>IFERROR(__xludf.DUMMYFUNCTION("""COMPUTED_VALUE"""),33.0)</f>
        <v>33</v>
      </c>
      <c r="L258">
        <f>IFERROR(__xludf.DUMMYFUNCTION("""COMPUTED_VALUE"""),9.0)</f>
        <v>9</v>
      </c>
      <c r="M258">
        <f>IFERROR(__xludf.DUMMYFUNCTION("""COMPUTED_VALUE"""),42.0)</f>
        <v>42</v>
      </c>
      <c r="N258" t="str">
        <f>IFERROR(__xludf.DUMMYFUNCTION("""COMPUTED_VALUE"""),"Model 3 LR")</f>
        <v>Model 3 LR</v>
      </c>
      <c r="O258" t="str">
        <f>IFERROR(__xludf.DUMMYFUNCTION("""COMPUTED_VALUE"""),"Deep Blue Metallic")</f>
        <v>Deep Blue Metallic</v>
      </c>
      <c r="P258" t="str">
        <f>IFERROR(__xludf.DUMMYFUNCTION("""COMPUTED_VALUE"""),"18 inch Aero")</f>
        <v>18 inch Aero</v>
      </c>
      <c r="Q258" t="str">
        <f>IFERROR(__xludf.DUMMYFUNCTION("""COMPUTED_VALUE"""),"Black seats")</f>
        <v>Black seats</v>
      </c>
      <c r="R258" t="str">
        <f>IFERROR(__xludf.DUMMYFUNCTION("""COMPUTED_VALUE"""),"Enhanced Autopilot")</f>
        <v>Enhanced Autopilot</v>
      </c>
      <c r="X258" t="str">
        <f>IFERROR(__xludf.DUMMYFUNCTION("""COMPUTED_VALUE"""),"Excellent")</f>
        <v>Excellent</v>
      </c>
      <c r="Y258" t="str">
        <f>IFERROR(__xludf.DUMMYFUNCTION("""COMPUTED_VALUE"""),"Excellent")</f>
        <v>Excellent</v>
      </c>
      <c r="Z258" t="str">
        <f>IFERROR(__xludf.DUMMYFUNCTION("""COMPUTED_VALUE"""),"Very Good")</f>
        <v>Very Good</v>
      </c>
      <c r="AA258" t="str">
        <f>IFERROR(__xludf.DUMMYFUNCTION("""COMPUTED_VALUE"""),"Poor")</f>
        <v>Poor</v>
      </c>
      <c r="AB258" t="str">
        <f>IFERROR(__xludf.DUMMYFUNCTION("""COMPUTED_VALUE"""),"Poor")</f>
        <v>Poor</v>
      </c>
      <c r="AC258">
        <f>IFERROR(__xludf.DUMMYFUNCTION("""COMPUTED_VALUE"""),2.0)</f>
        <v>2</v>
      </c>
      <c r="AH258" s="189">
        <f>IFERROR(__xludf.DUMMYFUNCTION("""COMPUTED_VALUE"""),43290.49953086805)</f>
        <v>43290.49953</v>
      </c>
    </row>
    <row r="259">
      <c r="A259" t="str">
        <f>IFERROR(__xludf.DUMMYFUNCTION("""COMPUTED_VALUE"""),"hobbz")</f>
        <v>hobbz</v>
      </c>
      <c r="C259" t="str">
        <f>IFERROR(__xludf.DUMMYFUNCTION("""COMPUTED_VALUE"""),"WA")</f>
        <v>WA</v>
      </c>
      <c r="D259" t="str">
        <f>IFERROR(__xludf.DUMMYFUNCTION("""COMPUTED_VALUE"""),"USA")</f>
        <v>USA</v>
      </c>
      <c r="E259" s="188">
        <f>IFERROR(__xludf.DUMMYFUNCTION("""COMPUTED_VALUE"""),43205.0)</f>
        <v>43205</v>
      </c>
      <c r="F259" s="188">
        <f>IFERROR(__xludf.DUMMYFUNCTION("""COMPUTED_VALUE"""),43230.0)</f>
        <v>43230</v>
      </c>
      <c r="H259">
        <f>IFERROR(__xludf.DUMMYFUNCTION("""COMPUTED_VALUE"""),21155.0)</f>
        <v>21155</v>
      </c>
      <c r="J259" s="5">
        <f>IFERROR(__xludf.DUMMYFUNCTION("""COMPUTED_VALUE"""),43249.0)</f>
        <v>43249</v>
      </c>
      <c r="K259">
        <f>IFERROR(__xludf.DUMMYFUNCTION("""COMPUTED_VALUE"""),25.0)</f>
        <v>25</v>
      </c>
      <c r="L259">
        <f>IFERROR(__xludf.DUMMYFUNCTION("""COMPUTED_VALUE"""),19.0)</f>
        <v>19</v>
      </c>
      <c r="M259">
        <f>IFERROR(__xludf.DUMMYFUNCTION("""COMPUTED_VALUE"""),44.0)</f>
        <v>44</v>
      </c>
      <c r="N259" t="str">
        <f>IFERROR(__xludf.DUMMYFUNCTION("""COMPUTED_VALUE"""),"Model 3 LR")</f>
        <v>Model 3 LR</v>
      </c>
      <c r="O259" t="str">
        <f>IFERROR(__xludf.DUMMYFUNCTION("""COMPUTED_VALUE"""),"Midnight Silver Metallic")</f>
        <v>Midnight Silver Metallic</v>
      </c>
      <c r="P259" t="str">
        <f>IFERROR(__xludf.DUMMYFUNCTION("""COMPUTED_VALUE"""),"18 inch Aero")</f>
        <v>18 inch Aero</v>
      </c>
      <c r="Q259" t="str">
        <f>IFERROR(__xludf.DUMMYFUNCTION("""COMPUTED_VALUE"""),"Black seats")</f>
        <v>Black seats</v>
      </c>
      <c r="R259" t="str">
        <f>IFERROR(__xludf.DUMMYFUNCTION("""COMPUTED_VALUE"""),"Full Self-Driving")</f>
        <v>Full Self-Driving</v>
      </c>
      <c r="X259" t="str">
        <f>IFERROR(__xludf.DUMMYFUNCTION("""COMPUTED_VALUE"""),"Excellent")</f>
        <v>Excellent</v>
      </c>
      <c r="Y259" t="str">
        <f>IFERROR(__xludf.DUMMYFUNCTION("""COMPUTED_VALUE"""),"Excellent")</f>
        <v>Excellent</v>
      </c>
      <c r="Z259" t="str">
        <f>IFERROR(__xludf.DUMMYFUNCTION("""COMPUTED_VALUE"""),"Excellent")</f>
        <v>Excellent</v>
      </c>
      <c r="AA259" t="str">
        <f>IFERROR(__xludf.DUMMYFUNCTION("""COMPUTED_VALUE"""),"Fair")</f>
        <v>Fair</v>
      </c>
      <c r="AB259" t="str">
        <f>IFERROR(__xludf.DUMMYFUNCTION("""COMPUTED_VALUE"""),"Excellent")</f>
        <v>Excellent</v>
      </c>
      <c r="AC259">
        <f>IFERROR(__xludf.DUMMYFUNCTION("""COMPUTED_VALUE"""),0.0)</f>
        <v>0</v>
      </c>
      <c r="AD259">
        <f>IFERROR(__xludf.DUMMYFUNCTION("""COMPUTED_VALUE"""),0.0)</f>
        <v>0</v>
      </c>
      <c r="AE259">
        <f>IFERROR(__xludf.DUMMYFUNCTION("""COMPUTED_VALUE"""),0.0)</f>
        <v>0</v>
      </c>
      <c r="AH259" s="189">
        <f>IFERROR(__xludf.DUMMYFUNCTION("""COMPUTED_VALUE"""),43290.59970752315)</f>
        <v>43290.59971</v>
      </c>
    </row>
    <row r="260">
      <c r="A260" t="str">
        <f>IFERROR(__xludf.DUMMYFUNCTION("""COMPUTED_VALUE"""),"pr0927")</f>
        <v>pr0927</v>
      </c>
      <c r="B260" t="str">
        <f>IFERROR(__xludf.DUMMYFUNCTION("""COMPUTED_VALUE"""),"Santa Ana")</f>
        <v>Santa Ana</v>
      </c>
      <c r="C260" t="str">
        <f>IFERROR(__xludf.DUMMYFUNCTION("""COMPUTED_VALUE"""),"CA")</f>
        <v>CA</v>
      </c>
      <c r="D260" t="str">
        <f>IFERROR(__xludf.DUMMYFUNCTION("""COMPUTED_VALUE"""),"USA")</f>
        <v>USA</v>
      </c>
      <c r="E260" s="188">
        <f>IFERROR(__xludf.DUMMYFUNCTION("""COMPUTED_VALUE"""),43278.0)</f>
        <v>43278</v>
      </c>
      <c r="F260" s="188">
        <f>IFERROR(__xludf.DUMMYFUNCTION("""COMPUTED_VALUE"""),43284.0)</f>
        <v>43284</v>
      </c>
      <c r="H260">
        <f>IFERROR(__xludf.DUMMYFUNCTION("""COMPUTED_VALUE"""),34645.0)</f>
        <v>34645</v>
      </c>
      <c r="I260" t="str">
        <f>IFERROR(__xludf.DUMMYFUNCTION("""COMPUTED_VALUE"""),"06/18")</f>
        <v>06/18</v>
      </c>
      <c r="J260" s="5">
        <f>IFERROR(__xludf.DUMMYFUNCTION("""COMPUTED_VALUE"""),43290.0)</f>
        <v>43290</v>
      </c>
      <c r="K260">
        <f>IFERROR(__xludf.DUMMYFUNCTION("""COMPUTED_VALUE"""),6.0)</f>
        <v>6</v>
      </c>
      <c r="L260">
        <f>IFERROR(__xludf.DUMMYFUNCTION("""COMPUTED_VALUE"""),6.0)</f>
        <v>6</v>
      </c>
      <c r="M260">
        <f>IFERROR(__xludf.DUMMYFUNCTION("""COMPUTED_VALUE"""),12.0)</f>
        <v>12</v>
      </c>
      <c r="N260" t="str">
        <f>IFERROR(__xludf.DUMMYFUNCTION("""COMPUTED_VALUE"""),"Model 3 LR")</f>
        <v>Model 3 LR</v>
      </c>
      <c r="O260" t="str">
        <f>IFERROR(__xludf.DUMMYFUNCTION("""COMPUTED_VALUE"""),"Midnight Silver Metallic")</f>
        <v>Midnight Silver Metallic</v>
      </c>
      <c r="P260" t="str">
        <f>IFERROR(__xludf.DUMMYFUNCTION("""COMPUTED_VALUE"""),"18 inch Aero")</f>
        <v>18 inch Aero</v>
      </c>
      <c r="Q260" t="str">
        <f>IFERROR(__xludf.DUMMYFUNCTION("""COMPUTED_VALUE"""),"Black seats")</f>
        <v>Black seats</v>
      </c>
      <c r="R260" t="str">
        <f>IFERROR(__xludf.DUMMYFUNCTION("""COMPUTED_VALUE"""),"Enhanced Autopilot")</f>
        <v>Enhanced Autopilot</v>
      </c>
      <c r="X260" t="str">
        <f>IFERROR(__xludf.DUMMYFUNCTION("""COMPUTED_VALUE"""),"Excellent")</f>
        <v>Excellent</v>
      </c>
      <c r="Y260" t="str">
        <f>IFERROR(__xludf.DUMMYFUNCTION("""COMPUTED_VALUE"""),"Excellent")</f>
        <v>Excellent</v>
      </c>
      <c r="Z260" t="str">
        <f>IFERROR(__xludf.DUMMYFUNCTION("""COMPUTED_VALUE"""),"Excellent")</f>
        <v>Excellent</v>
      </c>
      <c r="AA260" t="str">
        <f>IFERROR(__xludf.DUMMYFUNCTION("""COMPUTED_VALUE"""),"Excellent")</f>
        <v>Excellent</v>
      </c>
      <c r="AB260" t="str">
        <f>IFERROR(__xludf.DUMMYFUNCTION("""COMPUTED_VALUE"""),"Excellent")</f>
        <v>Excellent</v>
      </c>
      <c r="AH260" s="189">
        <f>IFERROR(__xludf.DUMMYFUNCTION("""COMPUTED_VALUE"""),43290.64258063657)</f>
        <v>43290.64258</v>
      </c>
    </row>
    <row r="261">
      <c r="A261" t="str">
        <f>IFERROR(__xludf.DUMMYFUNCTION("""COMPUTED_VALUE"""),"dfang")</f>
        <v>dfang</v>
      </c>
      <c r="B261" t="str">
        <f>IFERROR(__xludf.DUMMYFUNCTION("""COMPUTED_VALUE"""),"SF Bay Area")</f>
        <v>SF Bay Area</v>
      </c>
      <c r="C261" t="str">
        <f>IFERROR(__xludf.DUMMYFUNCTION("""COMPUTED_VALUE"""),"CA")</f>
        <v>CA</v>
      </c>
      <c r="D261" t="str">
        <f>IFERROR(__xludf.DUMMYFUNCTION("""COMPUTED_VALUE"""),"USA")</f>
        <v>USA</v>
      </c>
      <c r="E261" s="188">
        <f>IFERROR(__xludf.DUMMYFUNCTION("""COMPUTED_VALUE"""),43277.0)</f>
        <v>43277</v>
      </c>
      <c r="F261" s="188">
        <f>IFERROR(__xludf.DUMMYFUNCTION("""COMPUTED_VALUE"""),43279.0)</f>
        <v>43279</v>
      </c>
      <c r="H261">
        <f>IFERROR(__xludf.DUMMYFUNCTION("""COMPUTED_VALUE"""),33655.0)</f>
        <v>33655</v>
      </c>
      <c r="J261" s="5">
        <f>IFERROR(__xludf.DUMMYFUNCTION("""COMPUTED_VALUE"""),43288.0)</f>
        <v>43288</v>
      </c>
      <c r="K261">
        <f>IFERROR(__xludf.DUMMYFUNCTION("""COMPUTED_VALUE"""),2.0)</f>
        <v>2</v>
      </c>
      <c r="L261">
        <f>IFERROR(__xludf.DUMMYFUNCTION("""COMPUTED_VALUE"""),9.0)</f>
        <v>9</v>
      </c>
      <c r="M261">
        <f>IFERROR(__xludf.DUMMYFUNCTION("""COMPUTED_VALUE"""),11.0)</f>
        <v>11</v>
      </c>
      <c r="N261" t="str">
        <f>IFERROR(__xludf.DUMMYFUNCTION("""COMPUTED_VALUE"""),"Model 3 LR")</f>
        <v>Model 3 LR</v>
      </c>
      <c r="O261" t="str">
        <f>IFERROR(__xludf.DUMMYFUNCTION("""COMPUTED_VALUE"""),"Silver Metallic")</f>
        <v>Silver Metallic</v>
      </c>
      <c r="P261" t="str">
        <f>IFERROR(__xludf.DUMMYFUNCTION("""COMPUTED_VALUE"""),"18 inch Aero")</f>
        <v>18 inch Aero</v>
      </c>
      <c r="Q261" t="str">
        <f>IFERROR(__xludf.DUMMYFUNCTION("""COMPUTED_VALUE"""),"Black seats")</f>
        <v>Black seats</v>
      </c>
      <c r="R261" t="str">
        <f>IFERROR(__xludf.DUMMYFUNCTION("""COMPUTED_VALUE"""),"Enhanced Autopilot")</f>
        <v>Enhanced Autopilot</v>
      </c>
      <c r="X261" t="str">
        <f>IFERROR(__xludf.DUMMYFUNCTION("""COMPUTED_VALUE"""),"Fair")</f>
        <v>Fair</v>
      </c>
      <c r="Y261" t="str">
        <f>IFERROR(__xludf.DUMMYFUNCTION("""COMPUTED_VALUE"""),"Very Good")</f>
        <v>Very Good</v>
      </c>
      <c r="Z261" t="str">
        <f>IFERROR(__xludf.DUMMYFUNCTION("""COMPUTED_VALUE"""),"Fair")</f>
        <v>Fair</v>
      </c>
      <c r="AA261" t="str">
        <f>IFERROR(__xludf.DUMMYFUNCTION("""COMPUTED_VALUE"""),"Excellent")</f>
        <v>Excellent</v>
      </c>
      <c r="AB261" t="str">
        <f>IFERROR(__xludf.DUMMYFUNCTION("""COMPUTED_VALUE"""),"Poor")</f>
        <v>Poor</v>
      </c>
      <c r="AC261">
        <f>IFERROR(__xludf.DUMMYFUNCTION("""COMPUTED_VALUE"""),3.0)</f>
        <v>3</v>
      </c>
      <c r="AH261" s="189">
        <f>IFERROR(__xludf.DUMMYFUNCTION("""COMPUTED_VALUE"""),43290.70865784722)</f>
        <v>43290.70866</v>
      </c>
    </row>
    <row r="262">
      <c r="A262" t="str">
        <f>IFERROR(__xludf.DUMMYFUNCTION("""COMPUTED_VALUE"""),"titan0801")</f>
        <v>titan0801</v>
      </c>
      <c r="B262" t="str">
        <f>IFERROR(__xludf.DUMMYFUNCTION("""COMPUTED_VALUE"""),"Dallas")</f>
        <v>Dallas</v>
      </c>
      <c r="C262" t="str">
        <f>IFERROR(__xludf.DUMMYFUNCTION("""COMPUTED_VALUE"""),"TX")</f>
        <v>TX</v>
      </c>
      <c r="D262" t="str">
        <f>IFERROR(__xludf.DUMMYFUNCTION("""COMPUTED_VALUE"""),"USA")</f>
        <v>USA</v>
      </c>
      <c r="E262" s="188">
        <f>IFERROR(__xludf.DUMMYFUNCTION("""COMPUTED_VALUE"""),43208.0)</f>
        <v>43208</v>
      </c>
      <c r="F262" s="188">
        <f>IFERROR(__xludf.DUMMYFUNCTION("""COMPUTED_VALUE"""),43269.0)</f>
        <v>43269</v>
      </c>
      <c r="H262">
        <f>IFERROR(__xludf.DUMMYFUNCTION("""COMPUTED_VALUE"""),38455.0)</f>
        <v>38455</v>
      </c>
      <c r="I262" t="str">
        <f>IFERROR(__xludf.DUMMYFUNCTION("""COMPUTED_VALUE"""),"06/18")</f>
        <v>06/18</v>
      </c>
      <c r="J262" s="5">
        <f>IFERROR(__xludf.DUMMYFUNCTION("""COMPUTED_VALUE"""),43288.0)</f>
        <v>43288</v>
      </c>
      <c r="K262">
        <f>IFERROR(__xludf.DUMMYFUNCTION("""COMPUTED_VALUE"""),61.0)</f>
        <v>61</v>
      </c>
      <c r="L262">
        <f>IFERROR(__xludf.DUMMYFUNCTION("""COMPUTED_VALUE"""),19.0)</f>
        <v>19</v>
      </c>
      <c r="M262">
        <f>IFERROR(__xludf.DUMMYFUNCTION("""COMPUTED_VALUE"""),80.0)</f>
        <v>80</v>
      </c>
      <c r="N262" t="str">
        <f>IFERROR(__xludf.DUMMYFUNCTION("""COMPUTED_VALUE"""),"Model 3 LR")</f>
        <v>Model 3 LR</v>
      </c>
      <c r="O262" t="str">
        <f>IFERROR(__xludf.DUMMYFUNCTION("""COMPUTED_VALUE"""),"Deep Blue Metallic")</f>
        <v>Deep Blue Metallic</v>
      </c>
      <c r="P262" t="str">
        <f>IFERROR(__xludf.DUMMYFUNCTION("""COMPUTED_VALUE"""),"18 inch Aero")</f>
        <v>18 inch Aero</v>
      </c>
      <c r="Q262" t="str">
        <f>IFERROR(__xludf.DUMMYFUNCTION("""COMPUTED_VALUE"""),"Black seats")</f>
        <v>Black seats</v>
      </c>
      <c r="R262" t="str">
        <f>IFERROR(__xludf.DUMMYFUNCTION("""COMPUTED_VALUE"""),"Enhanced Autopilot")</f>
        <v>Enhanced Autopilot</v>
      </c>
      <c r="X262" t="str">
        <f>IFERROR(__xludf.DUMMYFUNCTION("""COMPUTED_VALUE"""),"Good")</f>
        <v>Good</v>
      </c>
      <c r="Y262" t="str">
        <f>IFERROR(__xludf.DUMMYFUNCTION("""COMPUTED_VALUE"""),"Good")</f>
        <v>Good</v>
      </c>
      <c r="Z262" t="str">
        <f>IFERROR(__xludf.DUMMYFUNCTION("""COMPUTED_VALUE"""),"Good")</f>
        <v>Good</v>
      </c>
      <c r="AA262" t="str">
        <f>IFERROR(__xludf.DUMMYFUNCTION("""COMPUTED_VALUE"""),"Poor")</f>
        <v>Poor</v>
      </c>
      <c r="AB262" t="str">
        <f>IFERROR(__xludf.DUMMYFUNCTION("""COMPUTED_VALUE"""),"Poor")</f>
        <v>Poor</v>
      </c>
      <c r="AH262" s="189">
        <f>IFERROR(__xludf.DUMMYFUNCTION("""COMPUTED_VALUE"""),43290.70945952546)</f>
        <v>43290.70946</v>
      </c>
    </row>
    <row r="263">
      <c r="A263" t="str">
        <f>IFERROR(__xludf.DUMMYFUNCTION("""COMPUTED_VALUE"""),"hjelmn")</f>
        <v>hjelmn</v>
      </c>
      <c r="B263" t="str">
        <f>IFERROR(__xludf.DUMMYFUNCTION("""COMPUTED_VALUE"""),"Los Alamos")</f>
        <v>Los Alamos</v>
      </c>
      <c r="C263" t="str">
        <f>IFERROR(__xludf.DUMMYFUNCTION("""COMPUTED_VALUE"""),"NM")</f>
        <v>NM</v>
      </c>
      <c r="D263" t="str">
        <f>IFERROR(__xludf.DUMMYFUNCTION("""COMPUTED_VALUE"""),"USA")</f>
        <v>USA</v>
      </c>
      <c r="E263" s="188">
        <f>IFERROR(__xludf.DUMMYFUNCTION("""COMPUTED_VALUE"""),43255.0)</f>
        <v>43255</v>
      </c>
      <c r="F263" s="188">
        <f>IFERROR(__xludf.DUMMYFUNCTION("""COMPUTED_VALUE"""),43275.0)</f>
        <v>43275</v>
      </c>
      <c r="H263">
        <f>IFERROR(__xludf.DUMMYFUNCTION("""COMPUTED_VALUE"""),40555.0)</f>
        <v>40555</v>
      </c>
      <c r="I263" t="str">
        <f>IFERROR(__xludf.DUMMYFUNCTION("""COMPUTED_VALUE"""),"06/18")</f>
        <v>06/18</v>
      </c>
      <c r="J263" s="5">
        <f>IFERROR(__xludf.DUMMYFUNCTION("""COMPUTED_VALUE"""),43288.0)</f>
        <v>43288</v>
      </c>
      <c r="K263">
        <f>IFERROR(__xludf.DUMMYFUNCTION("""COMPUTED_VALUE"""),20.0)</f>
        <v>20</v>
      </c>
      <c r="L263">
        <f>IFERROR(__xludf.DUMMYFUNCTION("""COMPUTED_VALUE"""),13.0)</f>
        <v>13</v>
      </c>
      <c r="M263">
        <f>IFERROR(__xludf.DUMMYFUNCTION("""COMPUTED_VALUE"""),33.0)</f>
        <v>33</v>
      </c>
      <c r="N263" t="str">
        <f>IFERROR(__xludf.DUMMYFUNCTION("""COMPUTED_VALUE"""),"Model 3 LR")</f>
        <v>Model 3 LR</v>
      </c>
      <c r="O263" t="str">
        <f>IFERROR(__xludf.DUMMYFUNCTION("""COMPUTED_VALUE"""),"Red Multi-Coat")</f>
        <v>Red Multi-Coat</v>
      </c>
      <c r="P263" t="str">
        <f>IFERROR(__xludf.DUMMYFUNCTION("""COMPUTED_VALUE"""),"18 inch Aero")</f>
        <v>18 inch Aero</v>
      </c>
      <c r="Q263" t="str">
        <f>IFERROR(__xludf.DUMMYFUNCTION("""COMPUTED_VALUE"""),"Black seats")</f>
        <v>Black seats</v>
      </c>
      <c r="R263" t="str">
        <f>IFERROR(__xludf.DUMMYFUNCTION("""COMPUTED_VALUE"""),"Enhanced Autopilot")</f>
        <v>Enhanced Autopilot</v>
      </c>
      <c r="X263" t="str">
        <f>IFERROR(__xludf.DUMMYFUNCTION("""COMPUTED_VALUE"""),"Very Good")</f>
        <v>Very Good</v>
      </c>
      <c r="Y263" t="str">
        <f>IFERROR(__xludf.DUMMYFUNCTION("""COMPUTED_VALUE"""),"Excellent")</f>
        <v>Excellent</v>
      </c>
      <c r="Z263" t="str">
        <f>IFERROR(__xludf.DUMMYFUNCTION("""COMPUTED_VALUE"""),"Good")</f>
        <v>Good</v>
      </c>
      <c r="AA263" t="str">
        <f>IFERROR(__xludf.DUMMYFUNCTION("""COMPUTED_VALUE"""),"Very Good")</f>
        <v>Very Good</v>
      </c>
      <c r="AB263" t="str">
        <f>IFERROR(__xludf.DUMMYFUNCTION("""COMPUTED_VALUE"""),"Excellent")</f>
        <v>Excellent</v>
      </c>
      <c r="AC263">
        <f>IFERROR(__xludf.DUMMYFUNCTION("""COMPUTED_VALUE"""),1.0)</f>
        <v>1</v>
      </c>
      <c r="AH263" s="189">
        <f>IFERROR(__xludf.DUMMYFUNCTION("""COMPUTED_VALUE"""),43291.40458628473)</f>
        <v>43291.40459</v>
      </c>
    </row>
    <row r="264">
      <c r="A264" t="str">
        <f>IFERROR(__xludf.DUMMYFUNCTION("""COMPUTED_VALUE"""),"Oogiechaka")</f>
        <v>Oogiechaka</v>
      </c>
      <c r="B264" t="str">
        <f>IFERROR(__xludf.DUMMYFUNCTION("""COMPUTED_VALUE"""),"Bay Area")</f>
        <v>Bay Area</v>
      </c>
      <c r="C264" t="str">
        <f>IFERROR(__xludf.DUMMYFUNCTION("""COMPUTED_VALUE"""),"CA")</f>
        <v>CA</v>
      </c>
      <c r="D264" t="str">
        <f>IFERROR(__xludf.DUMMYFUNCTION("""COMPUTED_VALUE"""),"USA")</f>
        <v>USA</v>
      </c>
      <c r="E264" s="188">
        <f>IFERROR(__xludf.DUMMYFUNCTION("""COMPUTED_VALUE"""),43278.0)</f>
        <v>43278</v>
      </c>
      <c r="F264" s="188">
        <f>IFERROR(__xludf.DUMMYFUNCTION("""COMPUTED_VALUE"""),43284.0)</f>
        <v>43284</v>
      </c>
      <c r="H264">
        <f>IFERROR(__xludf.DUMMYFUNCTION("""COMPUTED_VALUE"""),44185.0)</f>
        <v>44185</v>
      </c>
      <c r="I264" t="str">
        <f>IFERROR(__xludf.DUMMYFUNCTION("""COMPUTED_VALUE"""),"06/18")</f>
        <v>06/18</v>
      </c>
      <c r="J264" s="5">
        <f>IFERROR(__xludf.DUMMYFUNCTION("""COMPUTED_VALUE"""),43289.0)</f>
        <v>43289</v>
      </c>
      <c r="K264">
        <f>IFERROR(__xludf.DUMMYFUNCTION("""COMPUTED_VALUE"""),6.0)</f>
        <v>6</v>
      </c>
      <c r="L264">
        <f>IFERROR(__xludf.DUMMYFUNCTION("""COMPUTED_VALUE"""),5.0)</f>
        <v>5</v>
      </c>
      <c r="M264">
        <f>IFERROR(__xludf.DUMMYFUNCTION("""COMPUTED_VALUE"""),11.0)</f>
        <v>11</v>
      </c>
      <c r="N264" t="str">
        <f>IFERROR(__xludf.DUMMYFUNCTION("""COMPUTED_VALUE"""),"Model 3 LR")</f>
        <v>Model 3 LR</v>
      </c>
      <c r="O264" t="str">
        <f>IFERROR(__xludf.DUMMYFUNCTION("""COMPUTED_VALUE"""),"Silver Metallic")</f>
        <v>Silver Metallic</v>
      </c>
      <c r="P264" t="str">
        <f>IFERROR(__xludf.DUMMYFUNCTION("""COMPUTED_VALUE"""),"18 inch Aero")</f>
        <v>18 inch Aero</v>
      </c>
      <c r="Q264" t="str">
        <f>IFERROR(__xludf.DUMMYFUNCTION("""COMPUTED_VALUE"""),"Black seats")</f>
        <v>Black seats</v>
      </c>
      <c r="R264" t="str">
        <f>IFERROR(__xludf.DUMMYFUNCTION("""COMPUTED_VALUE"""),"Full Self-Driving")</f>
        <v>Full Self-Driving</v>
      </c>
      <c r="X264" t="str">
        <f>IFERROR(__xludf.DUMMYFUNCTION("""COMPUTED_VALUE"""),"Excellent")</f>
        <v>Excellent</v>
      </c>
      <c r="Y264" t="str">
        <f>IFERROR(__xludf.DUMMYFUNCTION("""COMPUTED_VALUE"""),"Excellent")</f>
        <v>Excellent</v>
      </c>
      <c r="Z264" t="str">
        <f>IFERROR(__xludf.DUMMYFUNCTION("""COMPUTED_VALUE"""),"Excellent")</f>
        <v>Excellent</v>
      </c>
      <c r="AA264" t="str">
        <f>IFERROR(__xludf.DUMMYFUNCTION("""COMPUTED_VALUE"""),"Excellent")</f>
        <v>Excellent</v>
      </c>
      <c r="AB264" t="str">
        <f>IFERROR(__xludf.DUMMYFUNCTION("""COMPUTED_VALUE"""),"Excellent")</f>
        <v>Excellent</v>
      </c>
      <c r="AH264" s="189">
        <f>IFERROR(__xludf.DUMMYFUNCTION("""COMPUTED_VALUE"""),43291.55672824074)</f>
        <v>43291.55673</v>
      </c>
    </row>
    <row r="265">
      <c r="A265" t="str">
        <f>IFERROR(__xludf.DUMMYFUNCTION("""COMPUTED_VALUE"""),"kevinob11")</f>
        <v>kevinob11</v>
      </c>
      <c r="C265" t="str">
        <f>IFERROR(__xludf.DUMMYFUNCTION("""COMPUTED_VALUE"""),"WA")</f>
        <v>WA</v>
      </c>
      <c r="D265" t="str">
        <f>IFERROR(__xludf.DUMMYFUNCTION("""COMPUTED_VALUE"""),"USA")</f>
        <v>USA</v>
      </c>
      <c r="E265" s="188">
        <f>IFERROR(__xludf.DUMMYFUNCTION("""COMPUTED_VALUE"""),43205.0)</f>
        <v>43205</v>
      </c>
      <c r="F265" s="188">
        <f>IFERROR(__xludf.DUMMYFUNCTION("""COMPUTED_VALUE"""),43272.0)</f>
        <v>43272</v>
      </c>
      <c r="H265">
        <f>IFERROR(__xludf.DUMMYFUNCTION("""COMPUTED_VALUE"""),33255.0)</f>
        <v>33255</v>
      </c>
      <c r="I265" t="str">
        <f>IFERROR(__xludf.DUMMYFUNCTION("""COMPUTED_VALUE"""),"05/18")</f>
        <v>05/18</v>
      </c>
      <c r="J265" s="5">
        <f>IFERROR(__xludf.DUMMYFUNCTION("""COMPUTED_VALUE"""),43284.0)</f>
        <v>43284</v>
      </c>
      <c r="K265">
        <f>IFERROR(__xludf.DUMMYFUNCTION("""COMPUTED_VALUE"""),67.0)</f>
        <v>67</v>
      </c>
      <c r="L265">
        <f>IFERROR(__xludf.DUMMYFUNCTION("""COMPUTED_VALUE"""),12.0)</f>
        <v>12</v>
      </c>
      <c r="M265">
        <f>IFERROR(__xludf.DUMMYFUNCTION("""COMPUTED_VALUE"""),79.0)</f>
        <v>79</v>
      </c>
      <c r="N265" t="str">
        <f>IFERROR(__xludf.DUMMYFUNCTION("""COMPUTED_VALUE"""),"Model 3 LR")</f>
        <v>Model 3 LR</v>
      </c>
      <c r="O265" t="str">
        <f>IFERROR(__xludf.DUMMYFUNCTION("""COMPUTED_VALUE"""),"Midnight Silver Metallic")</f>
        <v>Midnight Silver Metallic</v>
      </c>
      <c r="P265" t="str">
        <f>IFERROR(__xludf.DUMMYFUNCTION("""COMPUTED_VALUE"""),"19 inch Sport")</f>
        <v>19 inch Sport</v>
      </c>
      <c r="Q265" t="str">
        <f>IFERROR(__xludf.DUMMYFUNCTION("""COMPUTED_VALUE"""),"Black seats")</f>
        <v>Black seats</v>
      </c>
      <c r="R265" t="str">
        <f>IFERROR(__xludf.DUMMYFUNCTION("""COMPUTED_VALUE"""),"Enhanced Autopilot")</f>
        <v>Enhanced Autopilot</v>
      </c>
      <c r="X265" t="str">
        <f>IFERROR(__xludf.DUMMYFUNCTION("""COMPUTED_VALUE"""),"Excellent")</f>
        <v>Excellent</v>
      </c>
      <c r="Y265" t="str">
        <f>IFERROR(__xludf.DUMMYFUNCTION("""COMPUTED_VALUE"""),"Excellent")</f>
        <v>Excellent</v>
      </c>
      <c r="Z265" t="str">
        <f>IFERROR(__xludf.DUMMYFUNCTION("""COMPUTED_VALUE"""),"Excellent")</f>
        <v>Excellent</v>
      </c>
      <c r="AA265" t="str">
        <f>IFERROR(__xludf.DUMMYFUNCTION("""COMPUTED_VALUE"""),"Excellent")</f>
        <v>Excellent</v>
      </c>
      <c r="AB265" t="str">
        <f>IFERROR(__xludf.DUMMYFUNCTION("""COMPUTED_VALUE"""),"Excellent")</f>
        <v>Excellent</v>
      </c>
      <c r="AC265">
        <f>IFERROR(__xludf.DUMMYFUNCTION("""COMPUTED_VALUE"""),0.0)</f>
        <v>0</v>
      </c>
      <c r="AD265">
        <f>IFERROR(__xludf.DUMMYFUNCTION("""COMPUTED_VALUE"""),0.0)</f>
        <v>0</v>
      </c>
      <c r="AE265">
        <f>IFERROR(__xludf.DUMMYFUNCTION("""COMPUTED_VALUE"""),0.0)</f>
        <v>0</v>
      </c>
      <c r="AH265" s="189">
        <f>IFERROR(__xludf.DUMMYFUNCTION("""COMPUTED_VALUE"""),43291.67859862269)</f>
        <v>43291.6786</v>
      </c>
    </row>
    <row r="266">
      <c r="A266" t="str">
        <f>IFERROR(__xludf.DUMMYFUNCTION("""COMPUTED_VALUE"""),"bkgbrett")</f>
        <v>bkgbrett</v>
      </c>
      <c r="B266" t="str">
        <f>IFERROR(__xludf.DUMMYFUNCTION("""COMPUTED_VALUE"""),"Salt Lake City")</f>
        <v>Salt Lake City</v>
      </c>
      <c r="C266" t="str">
        <f>IFERROR(__xludf.DUMMYFUNCTION("""COMPUTED_VALUE"""),"UT")</f>
        <v>UT</v>
      </c>
      <c r="D266" t="str">
        <f>IFERROR(__xludf.DUMMYFUNCTION("""COMPUTED_VALUE"""),"USA")</f>
        <v>USA</v>
      </c>
      <c r="E266" s="188">
        <f>IFERROR(__xludf.DUMMYFUNCTION("""COMPUTED_VALUE"""),43278.0)</f>
        <v>43278</v>
      </c>
      <c r="F266" s="188">
        <f>IFERROR(__xludf.DUMMYFUNCTION("""COMPUTED_VALUE"""),43280.0)</f>
        <v>43280</v>
      </c>
      <c r="H266">
        <f>IFERROR(__xludf.DUMMYFUNCTION("""COMPUTED_VALUE"""),30545.0)</f>
        <v>30545</v>
      </c>
      <c r="J266" s="5">
        <f>IFERROR(__xludf.DUMMYFUNCTION("""COMPUTED_VALUE"""),43291.0)</f>
        <v>43291</v>
      </c>
      <c r="K266">
        <f>IFERROR(__xludf.DUMMYFUNCTION("""COMPUTED_VALUE"""),2.0)</f>
        <v>2</v>
      </c>
      <c r="L266">
        <f>IFERROR(__xludf.DUMMYFUNCTION("""COMPUTED_VALUE"""),11.0)</f>
        <v>11</v>
      </c>
      <c r="M266">
        <f>IFERROR(__xludf.DUMMYFUNCTION("""COMPUTED_VALUE"""),13.0)</f>
        <v>13</v>
      </c>
      <c r="N266" t="str">
        <f>IFERROR(__xludf.DUMMYFUNCTION("""COMPUTED_VALUE"""),"Model 3 LR")</f>
        <v>Model 3 LR</v>
      </c>
      <c r="O266" t="str">
        <f>IFERROR(__xludf.DUMMYFUNCTION("""COMPUTED_VALUE"""),"Midnight Silver Metallic")</f>
        <v>Midnight Silver Metallic</v>
      </c>
      <c r="P266" t="str">
        <f>IFERROR(__xludf.DUMMYFUNCTION("""COMPUTED_VALUE"""),"18 inch Aero")</f>
        <v>18 inch Aero</v>
      </c>
      <c r="Q266" t="str">
        <f>IFERROR(__xludf.DUMMYFUNCTION("""COMPUTED_VALUE"""),"Black seats")</f>
        <v>Black seats</v>
      </c>
      <c r="R266" t="str">
        <f>IFERROR(__xludf.DUMMYFUNCTION("""COMPUTED_VALUE"""),"Enhanced Autopilot")</f>
        <v>Enhanced Autopilot</v>
      </c>
      <c r="X266" t="str">
        <f>IFERROR(__xludf.DUMMYFUNCTION("""COMPUTED_VALUE"""),"Excellent")</f>
        <v>Excellent</v>
      </c>
      <c r="Y266" t="str">
        <f>IFERROR(__xludf.DUMMYFUNCTION("""COMPUTED_VALUE"""),"Excellent")</f>
        <v>Excellent</v>
      </c>
      <c r="Z266" t="str">
        <f>IFERROR(__xludf.DUMMYFUNCTION("""COMPUTED_VALUE"""),"Excellent")</f>
        <v>Excellent</v>
      </c>
      <c r="AA266" t="str">
        <f>IFERROR(__xludf.DUMMYFUNCTION("""COMPUTED_VALUE"""),"Fair")</f>
        <v>Fair</v>
      </c>
      <c r="AB266" t="str">
        <f>IFERROR(__xludf.DUMMYFUNCTION("""COMPUTED_VALUE"""),"Very Good")</f>
        <v>Very Good</v>
      </c>
      <c r="AH266" s="189">
        <f>IFERROR(__xludf.DUMMYFUNCTION("""COMPUTED_VALUE"""),43291.75326978009)</f>
        <v>43291.75327</v>
      </c>
    </row>
    <row r="267">
      <c r="A267" t="str">
        <f>IFERROR(__xludf.DUMMYFUNCTION("""COMPUTED_VALUE"""),"JustMe")</f>
        <v>JustMe</v>
      </c>
      <c r="C267" t="str">
        <f>IFERROR(__xludf.DUMMYFUNCTION("""COMPUTED_VALUE"""),"FL")</f>
        <v>FL</v>
      </c>
      <c r="D267" t="str">
        <f>IFERROR(__xludf.DUMMYFUNCTION("""COMPUTED_VALUE"""),"USA")</f>
        <v>USA</v>
      </c>
      <c r="E267" s="188">
        <f>IFERROR(__xludf.DUMMYFUNCTION("""COMPUTED_VALUE"""),43280.0)</f>
        <v>43280</v>
      </c>
      <c r="F267" s="188">
        <f>IFERROR(__xludf.DUMMYFUNCTION("""COMPUTED_VALUE"""),43284.0)</f>
        <v>43284</v>
      </c>
      <c r="H267">
        <f>IFERROR(__xludf.DUMMYFUNCTION("""COMPUTED_VALUE"""),32655.0)</f>
        <v>32655</v>
      </c>
      <c r="J267" s="5">
        <f>IFERROR(__xludf.DUMMYFUNCTION("""COMPUTED_VALUE"""),43288.0)</f>
        <v>43288</v>
      </c>
      <c r="K267">
        <f>IFERROR(__xludf.DUMMYFUNCTION("""COMPUTED_VALUE"""),4.0)</f>
        <v>4</v>
      </c>
      <c r="L267">
        <f>IFERROR(__xludf.DUMMYFUNCTION("""COMPUTED_VALUE"""),4.0)</f>
        <v>4</v>
      </c>
      <c r="M267">
        <f>IFERROR(__xludf.DUMMYFUNCTION("""COMPUTED_VALUE"""),8.0)</f>
        <v>8</v>
      </c>
      <c r="N267" t="str">
        <f>IFERROR(__xludf.DUMMYFUNCTION("""COMPUTED_VALUE"""),"Model 3 LR")</f>
        <v>Model 3 LR</v>
      </c>
      <c r="O267" t="str">
        <f>IFERROR(__xludf.DUMMYFUNCTION("""COMPUTED_VALUE"""),"Deep Blue Metallic")</f>
        <v>Deep Blue Metallic</v>
      </c>
      <c r="P267" t="str">
        <f>IFERROR(__xludf.DUMMYFUNCTION("""COMPUTED_VALUE"""),"18 inch Aero")</f>
        <v>18 inch Aero</v>
      </c>
      <c r="Q267" t="str">
        <f>IFERROR(__xludf.DUMMYFUNCTION("""COMPUTED_VALUE"""),"Black seats")</f>
        <v>Black seats</v>
      </c>
      <c r="R267" t="str">
        <f>IFERROR(__xludf.DUMMYFUNCTION("""COMPUTED_VALUE"""),"Full Self-Driving")</f>
        <v>Full Self-Driving</v>
      </c>
      <c r="X267" t="str">
        <f>IFERROR(__xludf.DUMMYFUNCTION("""COMPUTED_VALUE"""),"Very Good")</f>
        <v>Very Good</v>
      </c>
      <c r="Y267" t="str">
        <f>IFERROR(__xludf.DUMMYFUNCTION("""COMPUTED_VALUE"""),"Fair")</f>
        <v>Fair</v>
      </c>
      <c r="Z267" t="str">
        <f>IFERROR(__xludf.DUMMYFUNCTION("""COMPUTED_VALUE"""),"Very Good")</f>
        <v>Very Good</v>
      </c>
      <c r="AA267" t="str">
        <f>IFERROR(__xludf.DUMMYFUNCTION("""COMPUTED_VALUE"""),"Poor")</f>
        <v>Poor</v>
      </c>
      <c r="AB267" t="str">
        <f>IFERROR(__xludf.DUMMYFUNCTION("""COMPUTED_VALUE"""),"Excellent")</f>
        <v>Excellent</v>
      </c>
      <c r="AH267" s="189">
        <f>IFERROR(__xludf.DUMMYFUNCTION("""COMPUTED_VALUE"""),43291.753919826384)</f>
        <v>43291.75392</v>
      </c>
    </row>
    <row r="268">
      <c r="A268" t="str">
        <f>IFERROR(__xludf.DUMMYFUNCTION("""COMPUTED_VALUE"""),"theonphan")</f>
        <v>theonphan</v>
      </c>
      <c r="B268" t="str">
        <f>IFERROR(__xludf.DUMMYFUNCTION("""COMPUTED_VALUE"""),"Atlanta")</f>
        <v>Atlanta</v>
      </c>
      <c r="C268" t="str">
        <f>IFERROR(__xludf.DUMMYFUNCTION("""COMPUTED_VALUE"""),"GA")</f>
        <v>GA</v>
      </c>
      <c r="D268" t="str">
        <f>IFERROR(__xludf.DUMMYFUNCTION("""COMPUTED_VALUE"""),"USA")</f>
        <v>USA</v>
      </c>
      <c r="E268" s="188">
        <f>IFERROR(__xludf.DUMMYFUNCTION("""COMPUTED_VALUE"""),43260.0)</f>
        <v>43260</v>
      </c>
      <c r="F268" s="188">
        <f>IFERROR(__xludf.DUMMYFUNCTION("""COMPUTED_VALUE"""),43278.0)</f>
        <v>43278</v>
      </c>
      <c r="H268">
        <f>IFERROR(__xludf.DUMMYFUNCTION("""COMPUTED_VALUE"""),39655.0)</f>
        <v>39655</v>
      </c>
      <c r="I268" t="str">
        <f>IFERROR(__xludf.DUMMYFUNCTION("""COMPUTED_VALUE"""),"06/18")</f>
        <v>06/18</v>
      </c>
      <c r="J268" s="5">
        <f>IFERROR(__xludf.DUMMYFUNCTION("""COMPUTED_VALUE"""),43292.0)</f>
        <v>43292</v>
      </c>
      <c r="K268">
        <f>IFERROR(__xludf.DUMMYFUNCTION("""COMPUTED_VALUE"""),18.0)</f>
        <v>18</v>
      </c>
      <c r="L268">
        <f>IFERROR(__xludf.DUMMYFUNCTION("""COMPUTED_VALUE"""),14.0)</f>
        <v>14</v>
      </c>
      <c r="M268">
        <f>IFERROR(__xludf.DUMMYFUNCTION("""COMPUTED_VALUE"""),32.0)</f>
        <v>32</v>
      </c>
      <c r="N268" t="str">
        <f>IFERROR(__xludf.DUMMYFUNCTION("""COMPUTED_VALUE"""),"Model 3 LR")</f>
        <v>Model 3 LR</v>
      </c>
      <c r="O268" t="str">
        <f>IFERROR(__xludf.DUMMYFUNCTION("""COMPUTED_VALUE"""),"Midnight Silver Metallic")</f>
        <v>Midnight Silver Metallic</v>
      </c>
      <c r="P268" t="str">
        <f>IFERROR(__xludf.DUMMYFUNCTION("""COMPUTED_VALUE"""),"18 inch Aero")</f>
        <v>18 inch Aero</v>
      </c>
      <c r="Q268" t="str">
        <f>IFERROR(__xludf.DUMMYFUNCTION("""COMPUTED_VALUE"""),"Black seats")</f>
        <v>Black seats</v>
      </c>
      <c r="R268" t="str">
        <f>IFERROR(__xludf.DUMMYFUNCTION("""COMPUTED_VALUE"""),"Enhanced Autopilot")</f>
        <v>Enhanced Autopilot</v>
      </c>
      <c r="X268" t="str">
        <f>IFERROR(__xludf.DUMMYFUNCTION("""COMPUTED_VALUE"""),"Good")</f>
        <v>Good</v>
      </c>
      <c r="Y268" t="str">
        <f>IFERROR(__xludf.DUMMYFUNCTION("""COMPUTED_VALUE"""),"Fair")</f>
        <v>Fair</v>
      </c>
      <c r="Z268" t="str">
        <f>IFERROR(__xludf.DUMMYFUNCTION("""COMPUTED_VALUE"""),"Fair")</f>
        <v>Fair</v>
      </c>
      <c r="AA268" t="str">
        <f>IFERROR(__xludf.DUMMYFUNCTION("""COMPUTED_VALUE"""),"Poor")</f>
        <v>Poor</v>
      </c>
      <c r="AB268" t="str">
        <f>IFERROR(__xludf.DUMMYFUNCTION("""COMPUTED_VALUE"""),"Good")</f>
        <v>Good</v>
      </c>
      <c r="AH268" s="189">
        <f>IFERROR(__xludf.DUMMYFUNCTION("""COMPUTED_VALUE"""),43292.656864687495)</f>
        <v>43292.65686</v>
      </c>
    </row>
    <row r="269">
      <c r="A269" t="str">
        <f>IFERROR(__xludf.DUMMYFUNCTION("""COMPUTED_VALUE"""),"e-money")</f>
        <v>e-money</v>
      </c>
      <c r="B269" t="str">
        <f>IFERROR(__xludf.DUMMYFUNCTION("""COMPUTED_VALUE"""),"Denver")</f>
        <v>Denver</v>
      </c>
      <c r="C269" t="str">
        <f>IFERROR(__xludf.DUMMYFUNCTION("""COMPUTED_VALUE"""),"CO")</f>
        <v>CO</v>
      </c>
      <c r="D269" t="str">
        <f>IFERROR(__xludf.DUMMYFUNCTION("""COMPUTED_VALUE"""),"USA")</f>
        <v>USA</v>
      </c>
      <c r="E269" s="188">
        <f>IFERROR(__xludf.DUMMYFUNCTION("""COMPUTED_VALUE"""),43278.0)</f>
        <v>43278</v>
      </c>
      <c r="F269" s="188">
        <f>IFERROR(__xludf.DUMMYFUNCTION("""COMPUTED_VALUE"""),43284.0)</f>
        <v>43284</v>
      </c>
      <c r="H269">
        <f>IFERROR(__xludf.DUMMYFUNCTION("""COMPUTED_VALUE"""),36655.0)</f>
        <v>36655</v>
      </c>
      <c r="I269" t="str">
        <f>IFERROR(__xludf.DUMMYFUNCTION("""COMPUTED_VALUE"""),"06/18")</f>
        <v>06/18</v>
      </c>
      <c r="J269" s="5">
        <f>IFERROR(__xludf.DUMMYFUNCTION("""COMPUTED_VALUE"""),43292.0)</f>
        <v>43292</v>
      </c>
      <c r="K269">
        <f>IFERROR(__xludf.DUMMYFUNCTION("""COMPUTED_VALUE"""),6.0)</f>
        <v>6</v>
      </c>
      <c r="L269">
        <f>IFERROR(__xludf.DUMMYFUNCTION("""COMPUTED_VALUE"""),8.0)</f>
        <v>8</v>
      </c>
      <c r="M269">
        <f>IFERROR(__xludf.DUMMYFUNCTION("""COMPUTED_VALUE"""),14.0)</f>
        <v>14</v>
      </c>
      <c r="N269" t="str">
        <f>IFERROR(__xludf.DUMMYFUNCTION("""COMPUTED_VALUE"""),"Model 3 LR")</f>
        <v>Model 3 LR</v>
      </c>
      <c r="O269" t="str">
        <f>IFERROR(__xludf.DUMMYFUNCTION("""COMPUTED_VALUE"""),"Deep Blue Metallic")</f>
        <v>Deep Blue Metallic</v>
      </c>
      <c r="P269" t="str">
        <f>IFERROR(__xludf.DUMMYFUNCTION("""COMPUTED_VALUE"""),"18 inch Aero")</f>
        <v>18 inch Aero</v>
      </c>
      <c r="Q269" t="str">
        <f>IFERROR(__xludf.DUMMYFUNCTION("""COMPUTED_VALUE"""),"Black seats")</f>
        <v>Black seats</v>
      </c>
      <c r="R269" t="str">
        <f>IFERROR(__xludf.DUMMYFUNCTION("""COMPUTED_VALUE"""),"None")</f>
        <v>None</v>
      </c>
      <c r="X269" t="str">
        <f>IFERROR(__xludf.DUMMYFUNCTION("""COMPUTED_VALUE"""),"Excellent")</f>
        <v>Excellent</v>
      </c>
      <c r="Y269" t="str">
        <f>IFERROR(__xludf.DUMMYFUNCTION("""COMPUTED_VALUE"""),"Excellent")</f>
        <v>Excellent</v>
      </c>
      <c r="Z269" t="str">
        <f>IFERROR(__xludf.DUMMYFUNCTION("""COMPUTED_VALUE"""),"Excellent")</f>
        <v>Excellent</v>
      </c>
      <c r="AA269" t="str">
        <f>IFERROR(__xludf.DUMMYFUNCTION("""COMPUTED_VALUE"""),"Excellent")</f>
        <v>Excellent</v>
      </c>
      <c r="AB269" t="str">
        <f>IFERROR(__xludf.DUMMYFUNCTION("""COMPUTED_VALUE"""),"Excellent")</f>
        <v>Excellent</v>
      </c>
      <c r="AH269" s="189">
        <f>IFERROR(__xludf.DUMMYFUNCTION("""COMPUTED_VALUE"""),43292.70757358796)</f>
        <v>43292.70757</v>
      </c>
    </row>
    <row r="270">
      <c r="A270" t="str">
        <f>IFERROR(__xludf.DUMMYFUNCTION("""COMPUTED_VALUE"""),"Longshot")</f>
        <v>Longshot</v>
      </c>
      <c r="B270" t="str">
        <f>IFERROR(__xludf.DUMMYFUNCTION("""COMPUTED_VALUE"""),"Montreal")</f>
        <v>Montreal</v>
      </c>
      <c r="C270" t="str">
        <f>IFERROR(__xludf.DUMMYFUNCTION("""COMPUTED_VALUE"""),"QC")</f>
        <v>QC</v>
      </c>
      <c r="D270" t="str">
        <f>IFERROR(__xludf.DUMMYFUNCTION("""COMPUTED_VALUE"""),"Canada")</f>
        <v>Canada</v>
      </c>
      <c r="E270" s="188">
        <f>IFERROR(__xludf.DUMMYFUNCTION("""COMPUTED_VALUE"""),43186.0)</f>
        <v>43186</v>
      </c>
      <c r="F270" s="188">
        <f>IFERROR(__xludf.DUMMYFUNCTION("""COMPUTED_VALUE"""),43257.0)</f>
        <v>43257</v>
      </c>
      <c r="H270">
        <f>IFERROR(__xludf.DUMMYFUNCTION("""COMPUTED_VALUE"""),28655.0)</f>
        <v>28655</v>
      </c>
      <c r="J270" s="5">
        <f>IFERROR(__xludf.DUMMYFUNCTION("""COMPUTED_VALUE"""),43291.0)</f>
        <v>43291</v>
      </c>
      <c r="K270">
        <f>IFERROR(__xludf.DUMMYFUNCTION("""COMPUTED_VALUE"""),71.0)</f>
        <v>71</v>
      </c>
      <c r="L270">
        <f>IFERROR(__xludf.DUMMYFUNCTION("""COMPUTED_VALUE"""),34.0)</f>
        <v>34</v>
      </c>
      <c r="M270">
        <f>IFERROR(__xludf.DUMMYFUNCTION("""COMPUTED_VALUE"""),105.0)</f>
        <v>105</v>
      </c>
      <c r="N270" t="str">
        <f>IFERROR(__xludf.DUMMYFUNCTION("""COMPUTED_VALUE"""),"Model 3 LR")</f>
        <v>Model 3 LR</v>
      </c>
      <c r="O270" t="str">
        <f>IFERROR(__xludf.DUMMYFUNCTION("""COMPUTED_VALUE"""),"Solid Black")</f>
        <v>Solid Black</v>
      </c>
      <c r="P270" t="str">
        <f>IFERROR(__xludf.DUMMYFUNCTION("""COMPUTED_VALUE"""),"18 inch Aero")</f>
        <v>18 inch Aero</v>
      </c>
      <c r="Q270" t="str">
        <f>IFERROR(__xludf.DUMMYFUNCTION("""COMPUTED_VALUE"""),"Black seats")</f>
        <v>Black seats</v>
      </c>
      <c r="R270" t="str">
        <f>IFERROR(__xludf.DUMMYFUNCTION("""COMPUTED_VALUE"""),"Enhanced Autopilot")</f>
        <v>Enhanced Autopilot</v>
      </c>
      <c r="AC270">
        <f>IFERROR(__xludf.DUMMYFUNCTION("""COMPUTED_VALUE"""),1.0)</f>
        <v>1</v>
      </c>
      <c r="AH270" s="189">
        <f>IFERROR(__xludf.DUMMYFUNCTION("""COMPUTED_VALUE"""),43292.91233386574)</f>
        <v>43292.91233</v>
      </c>
    </row>
    <row r="271">
      <c r="A271" t="str">
        <f>IFERROR(__xludf.DUMMYFUNCTION("""COMPUTED_VALUE"""),"avalanch00")</f>
        <v>avalanch00</v>
      </c>
      <c r="B271" t="str">
        <f>IFERROR(__xludf.DUMMYFUNCTION("""COMPUTED_VALUE"""),"Denver")</f>
        <v>Denver</v>
      </c>
      <c r="C271" t="str">
        <f>IFERROR(__xludf.DUMMYFUNCTION("""COMPUTED_VALUE"""),"CO")</f>
        <v>CO</v>
      </c>
      <c r="D271" t="str">
        <f>IFERROR(__xludf.DUMMYFUNCTION("""COMPUTED_VALUE"""),"USA")</f>
        <v>USA</v>
      </c>
      <c r="E271" s="188">
        <f>IFERROR(__xludf.DUMMYFUNCTION("""COMPUTED_VALUE"""),43208.0)</f>
        <v>43208</v>
      </c>
      <c r="F271" s="188">
        <f>IFERROR(__xludf.DUMMYFUNCTION("""COMPUTED_VALUE"""),43257.0)</f>
        <v>43257</v>
      </c>
      <c r="H271">
        <f>IFERROR(__xludf.DUMMYFUNCTION("""COMPUTED_VALUE"""),32455.0)</f>
        <v>32455</v>
      </c>
      <c r="I271" t="str">
        <f>IFERROR(__xludf.DUMMYFUNCTION("""COMPUTED_VALUE"""),"06/18")</f>
        <v>06/18</v>
      </c>
      <c r="J271" s="5">
        <f>IFERROR(__xludf.DUMMYFUNCTION("""COMPUTED_VALUE"""),43287.0)</f>
        <v>43287</v>
      </c>
      <c r="K271">
        <f>IFERROR(__xludf.DUMMYFUNCTION("""COMPUTED_VALUE"""),49.0)</f>
        <v>49</v>
      </c>
      <c r="L271">
        <f>IFERROR(__xludf.DUMMYFUNCTION("""COMPUTED_VALUE"""),30.0)</f>
        <v>30</v>
      </c>
      <c r="M271">
        <f>IFERROR(__xludf.DUMMYFUNCTION("""COMPUTED_VALUE"""),79.0)</f>
        <v>79</v>
      </c>
      <c r="N271" t="str">
        <f>IFERROR(__xludf.DUMMYFUNCTION("""COMPUTED_VALUE"""),"Model 3 LR")</f>
        <v>Model 3 LR</v>
      </c>
      <c r="O271" t="str">
        <f>IFERROR(__xludf.DUMMYFUNCTION("""COMPUTED_VALUE"""),"Red Multi-Coat")</f>
        <v>Red Multi-Coat</v>
      </c>
      <c r="P271" t="str">
        <f>IFERROR(__xludf.DUMMYFUNCTION("""COMPUTED_VALUE"""),"18 inch Aero")</f>
        <v>18 inch Aero</v>
      </c>
      <c r="Q271" t="str">
        <f>IFERROR(__xludf.DUMMYFUNCTION("""COMPUTED_VALUE"""),"Black seats")</f>
        <v>Black seats</v>
      </c>
      <c r="R271" t="str">
        <f>IFERROR(__xludf.DUMMYFUNCTION("""COMPUTED_VALUE"""),"Enhanced Autopilot")</f>
        <v>Enhanced Autopilot</v>
      </c>
      <c r="X271" t="str">
        <f>IFERROR(__xludf.DUMMYFUNCTION("""COMPUTED_VALUE"""),"Excellent")</f>
        <v>Excellent</v>
      </c>
      <c r="Y271" t="str">
        <f>IFERROR(__xludf.DUMMYFUNCTION("""COMPUTED_VALUE"""),"Excellent")</f>
        <v>Excellent</v>
      </c>
      <c r="Z271" t="str">
        <f>IFERROR(__xludf.DUMMYFUNCTION("""COMPUTED_VALUE"""),"Very Good")</f>
        <v>Very Good</v>
      </c>
      <c r="AA271" t="str">
        <f>IFERROR(__xludf.DUMMYFUNCTION("""COMPUTED_VALUE"""),"Excellent")</f>
        <v>Excellent</v>
      </c>
      <c r="AB271" t="str">
        <f>IFERROR(__xludf.DUMMYFUNCTION("""COMPUTED_VALUE"""),"Excellent")</f>
        <v>Excellent</v>
      </c>
      <c r="AC271">
        <f>IFERROR(__xludf.DUMMYFUNCTION("""COMPUTED_VALUE"""),1.0)</f>
        <v>1</v>
      </c>
      <c r="AD271">
        <f>IFERROR(__xludf.DUMMYFUNCTION("""COMPUTED_VALUE"""),1.0)</f>
        <v>1</v>
      </c>
      <c r="AG271" t="str">
        <f>IFERROR(__xludf.DUMMYFUNCTION("""COMPUTED_VALUE"""),"Rock chip from delivery")</f>
        <v>Rock chip from delivery</v>
      </c>
      <c r="AH271" s="189">
        <f>IFERROR(__xludf.DUMMYFUNCTION("""COMPUTED_VALUE"""),43293.21508087963)</f>
        <v>43293.21508</v>
      </c>
    </row>
    <row r="272">
      <c r="A272" t="str">
        <f>IFERROR(__xludf.DUMMYFUNCTION("""COMPUTED_VALUE"""),"Ballantyne")</f>
        <v>Ballantyne</v>
      </c>
      <c r="B272" t="str">
        <f>IFERROR(__xludf.DUMMYFUNCTION("""COMPUTED_VALUE"""),"Littleton")</f>
        <v>Littleton</v>
      </c>
      <c r="C272" t="str">
        <f>IFERROR(__xludf.DUMMYFUNCTION("""COMPUTED_VALUE"""),"CO")</f>
        <v>CO</v>
      </c>
      <c r="D272" t="str">
        <f>IFERROR(__xludf.DUMMYFUNCTION("""COMPUTED_VALUE"""),"USA")</f>
        <v>USA</v>
      </c>
      <c r="E272" s="188">
        <f>IFERROR(__xludf.DUMMYFUNCTION("""COMPUTED_VALUE"""),43278.0)</f>
        <v>43278</v>
      </c>
      <c r="F272" s="188">
        <f>IFERROR(__xludf.DUMMYFUNCTION("""COMPUTED_VALUE"""),43283.0)</f>
        <v>43283</v>
      </c>
      <c r="H272">
        <f>IFERROR(__xludf.DUMMYFUNCTION("""COMPUTED_VALUE"""),41955.0)</f>
        <v>41955</v>
      </c>
      <c r="I272" t="str">
        <f>IFERROR(__xludf.DUMMYFUNCTION("""COMPUTED_VALUE"""),"06/18")</f>
        <v>06/18</v>
      </c>
      <c r="J272" s="5">
        <f>IFERROR(__xludf.DUMMYFUNCTION("""COMPUTED_VALUE"""),43291.0)</f>
        <v>43291</v>
      </c>
      <c r="K272">
        <f>IFERROR(__xludf.DUMMYFUNCTION("""COMPUTED_VALUE"""),5.0)</f>
        <v>5</v>
      </c>
      <c r="L272">
        <f>IFERROR(__xludf.DUMMYFUNCTION("""COMPUTED_VALUE"""),8.0)</f>
        <v>8</v>
      </c>
      <c r="M272">
        <f>IFERROR(__xludf.DUMMYFUNCTION("""COMPUTED_VALUE"""),13.0)</f>
        <v>13</v>
      </c>
      <c r="N272" t="str">
        <f>IFERROR(__xludf.DUMMYFUNCTION("""COMPUTED_VALUE"""),"Model 3 LR")</f>
        <v>Model 3 LR</v>
      </c>
      <c r="O272" t="str">
        <f>IFERROR(__xludf.DUMMYFUNCTION("""COMPUTED_VALUE"""),"Deep Blue Metallic")</f>
        <v>Deep Blue Metallic</v>
      </c>
      <c r="P272" t="str">
        <f>IFERROR(__xludf.DUMMYFUNCTION("""COMPUTED_VALUE"""),"18 inch Aero")</f>
        <v>18 inch Aero</v>
      </c>
      <c r="Q272" t="str">
        <f>IFERROR(__xludf.DUMMYFUNCTION("""COMPUTED_VALUE"""),"Black seats")</f>
        <v>Black seats</v>
      </c>
      <c r="R272" t="str">
        <f>IFERROR(__xludf.DUMMYFUNCTION("""COMPUTED_VALUE"""),"Enhanced Autopilot")</f>
        <v>Enhanced Autopilot</v>
      </c>
      <c r="X272" t="str">
        <f>IFERROR(__xludf.DUMMYFUNCTION("""COMPUTED_VALUE"""),"Excellent")</f>
        <v>Excellent</v>
      </c>
      <c r="Y272" t="str">
        <f>IFERROR(__xludf.DUMMYFUNCTION("""COMPUTED_VALUE"""),"Excellent")</f>
        <v>Excellent</v>
      </c>
      <c r="Z272" t="str">
        <f>IFERROR(__xludf.DUMMYFUNCTION("""COMPUTED_VALUE"""),"Good")</f>
        <v>Good</v>
      </c>
      <c r="AA272" t="str">
        <f>IFERROR(__xludf.DUMMYFUNCTION("""COMPUTED_VALUE"""),"Good")</f>
        <v>Good</v>
      </c>
      <c r="AB272" t="str">
        <f>IFERROR(__xludf.DUMMYFUNCTION("""COMPUTED_VALUE"""),"Very Good")</f>
        <v>Very Good</v>
      </c>
      <c r="AC272">
        <f>IFERROR(__xludf.DUMMYFUNCTION("""COMPUTED_VALUE"""),3.0)</f>
        <v>3</v>
      </c>
      <c r="AD272">
        <f>IFERROR(__xludf.DUMMYFUNCTION("""COMPUTED_VALUE"""),1.0)</f>
        <v>1</v>
      </c>
      <c r="AE272">
        <f>IFERROR(__xludf.DUMMYFUNCTION("""COMPUTED_VALUE"""),0.0)</f>
        <v>0</v>
      </c>
      <c r="AH272" s="189">
        <f>IFERROR(__xludf.DUMMYFUNCTION("""COMPUTED_VALUE"""),43293.27122841435)</f>
        <v>43293.27123</v>
      </c>
    </row>
    <row r="273">
      <c r="A273" t="str">
        <f>IFERROR(__xludf.DUMMYFUNCTION("""COMPUTED_VALUE"""),"generalization_guy")</f>
        <v>generalization_guy</v>
      </c>
      <c r="B273" t="str">
        <f>IFERROR(__xludf.DUMMYFUNCTION("""COMPUTED_VALUE"""),"South Jersey")</f>
        <v>South Jersey</v>
      </c>
      <c r="C273" t="str">
        <f>IFERROR(__xludf.DUMMYFUNCTION("""COMPUTED_VALUE"""),"NJ")</f>
        <v>NJ</v>
      </c>
      <c r="D273" t="str">
        <f>IFERROR(__xludf.DUMMYFUNCTION("""COMPUTED_VALUE"""),"USA")</f>
        <v>USA</v>
      </c>
      <c r="E273" s="188">
        <f>IFERROR(__xludf.DUMMYFUNCTION("""COMPUTED_VALUE"""),43278.0)</f>
        <v>43278</v>
      </c>
      <c r="F273" s="188">
        <f>IFERROR(__xludf.DUMMYFUNCTION("""COMPUTED_VALUE"""),43280.0)</f>
        <v>43280</v>
      </c>
      <c r="H273">
        <f>IFERROR(__xludf.DUMMYFUNCTION("""COMPUTED_VALUE"""),25755.0)</f>
        <v>25755</v>
      </c>
      <c r="J273" s="5">
        <f>IFERROR(__xludf.DUMMYFUNCTION("""COMPUTED_VALUE"""),43287.0)</f>
        <v>43287</v>
      </c>
      <c r="K273">
        <f>IFERROR(__xludf.DUMMYFUNCTION("""COMPUTED_VALUE"""),2.0)</f>
        <v>2</v>
      </c>
      <c r="L273">
        <f>IFERROR(__xludf.DUMMYFUNCTION("""COMPUTED_VALUE"""),7.0)</f>
        <v>7</v>
      </c>
      <c r="M273">
        <f>IFERROR(__xludf.DUMMYFUNCTION("""COMPUTED_VALUE"""),9.0)</f>
        <v>9</v>
      </c>
      <c r="N273" t="str">
        <f>IFERROR(__xludf.DUMMYFUNCTION("""COMPUTED_VALUE"""),"Model 3 LR")</f>
        <v>Model 3 LR</v>
      </c>
      <c r="O273" t="str">
        <f>IFERROR(__xludf.DUMMYFUNCTION("""COMPUTED_VALUE"""),"Midnight Silver Metallic")</f>
        <v>Midnight Silver Metallic</v>
      </c>
      <c r="P273" t="str">
        <f>IFERROR(__xludf.DUMMYFUNCTION("""COMPUTED_VALUE"""),"18 inch Aero")</f>
        <v>18 inch Aero</v>
      </c>
      <c r="Q273" t="str">
        <f>IFERROR(__xludf.DUMMYFUNCTION("""COMPUTED_VALUE"""),"Black seats")</f>
        <v>Black seats</v>
      </c>
      <c r="R273" t="str">
        <f>IFERROR(__xludf.DUMMYFUNCTION("""COMPUTED_VALUE"""),"Full Self-Driving")</f>
        <v>Full Self-Driving</v>
      </c>
      <c r="X273" t="str">
        <f>IFERROR(__xludf.DUMMYFUNCTION("""COMPUTED_VALUE"""),"Excellent")</f>
        <v>Excellent</v>
      </c>
      <c r="Y273" t="str">
        <f>IFERROR(__xludf.DUMMYFUNCTION("""COMPUTED_VALUE"""),"Excellent")</f>
        <v>Excellent</v>
      </c>
      <c r="Z273" t="str">
        <f>IFERROR(__xludf.DUMMYFUNCTION("""COMPUTED_VALUE"""),"Excellent")</f>
        <v>Excellent</v>
      </c>
      <c r="AA273" t="str">
        <f>IFERROR(__xludf.DUMMYFUNCTION("""COMPUTED_VALUE"""),"Excellent")</f>
        <v>Excellent</v>
      </c>
      <c r="AB273" t="str">
        <f>IFERROR(__xludf.DUMMYFUNCTION("""COMPUTED_VALUE"""),"Excellent")</f>
        <v>Excellent</v>
      </c>
      <c r="AH273" s="189">
        <f>IFERROR(__xludf.DUMMYFUNCTION("""COMPUTED_VALUE"""),43293.307157256946)</f>
        <v>43293.30716</v>
      </c>
    </row>
    <row r="274">
      <c r="A274" t="str">
        <f>IFERROR(__xludf.DUMMYFUNCTION("""COMPUTED_VALUE"""),"runny_yolk")</f>
        <v>runny_yolk</v>
      </c>
      <c r="C274" t="str">
        <f>IFERROR(__xludf.DUMMYFUNCTION("""COMPUTED_VALUE"""),"TX")</f>
        <v>TX</v>
      </c>
      <c r="D274" t="str">
        <f>IFERROR(__xludf.DUMMYFUNCTION("""COMPUTED_VALUE"""),"USA")</f>
        <v>USA</v>
      </c>
      <c r="E274" s="188">
        <f>IFERROR(__xludf.DUMMYFUNCTION("""COMPUTED_VALUE"""),43208.0)</f>
        <v>43208</v>
      </c>
      <c r="F274" s="188">
        <f>IFERROR(__xludf.DUMMYFUNCTION("""COMPUTED_VALUE"""),43277.0)</f>
        <v>43277</v>
      </c>
      <c r="H274">
        <f>IFERROR(__xludf.DUMMYFUNCTION("""COMPUTED_VALUE"""),34455.0)</f>
        <v>34455</v>
      </c>
      <c r="J274" s="5">
        <f>IFERROR(__xludf.DUMMYFUNCTION("""COMPUTED_VALUE"""),43291.0)</f>
        <v>43291</v>
      </c>
      <c r="K274">
        <f>IFERROR(__xludf.DUMMYFUNCTION("""COMPUTED_VALUE"""),69.0)</f>
        <v>69</v>
      </c>
      <c r="L274">
        <f>IFERROR(__xludf.DUMMYFUNCTION("""COMPUTED_VALUE"""),14.0)</f>
        <v>14</v>
      </c>
      <c r="M274">
        <f>IFERROR(__xludf.DUMMYFUNCTION("""COMPUTED_VALUE"""),83.0)</f>
        <v>83</v>
      </c>
      <c r="N274" t="str">
        <f>IFERROR(__xludf.DUMMYFUNCTION("""COMPUTED_VALUE"""),"Model 3 LR")</f>
        <v>Model 3 LR</v>
      </c>
      <c r="O274" t="str">
        <f>IFERROR(__xludf.DUMMYFUNCTION("""COMPUTED_VALUE"""),"Solid Black")</f>
        <v>Solid Black</v>
      </c>
      <c r="P274" t="str">
        <f>IFERROR(__xludf.DUMMYFUNCTION("""COMPUTED_VALUE"""),"18 inch Aero")</f>
        <v>18 inch Aero</v>
      </c>
      <c r="Q274" t="str">
        <f>IFERROR(__xludf.DUMMYFUNCTION("""COMPUTED_VALUE"""),"Black seats")</f>
        <v>Black seats</v>
      </c>
      <c r="R274" t="str">
        <f>IFERROR(__xludf.DUMMYFUNCTION("""COMPUTED_VALUE"""),"Enhanced Autopilot")</f>
        <v>Enhanced Autopilot</v>
      </c>
      <c r="X274" t="str">
        <f>IFERROR(__xludf.DUMMYFUNCTION("""COMPUTED_VALUE"""),"Excellent")</f>
        <v>Excellent</v>
      </c>
      <c r="Y274" t="str">
        <f>IFERROR(__xludf.DUMMYFUNCTION("""COMPUTED_VALUE"""),"Excellent")</f>
        <v>Excellent</v>
      </c>
      <c r="Z274" t="str">
        <f>IFERROR(__xludf.DUMMYFUNCTION("""COMPUTED_VALUE"""),"Excellent")</f>
        <v>Excellent</v>
      </c>
      <c r="AA274" t="str">
        <f>IFERROR(__xludf.DUMMYFUNCTION("""COMPUTED_VALUE"""),"Excellent")</f>
        <v>Excellent</v>
      </c>
      <c r="AB274" t="str">
        <f>IFERROR(__xludf.DUMMYFUNCTION("""COMPUTED_VALUE"""),"Excellent")</f>
        <v>Excellent</v>
      </c>
      <c r="AH274" s="189">
        <f>IFERROR(__xludf.DUMMYFUNCTION("""COMPUTED_VALUE"""),43293.375477685186)</f>
        <v>43293.37548</v>
      </c>
    </row>
    <row r="275">
      <c r="A275" t="str">
        <f>IFERROR(__xludf.DUMMYFUNCTION("""COMPUTED_VALUE"""),"a_mcg")</f>
        <v>a_mcg</v>
      </c>
      <c r="B275" t="str">
        <f>IFERROR(__xludf.DUMMYFUNCTION("""COMPUTED_VALUE"""),"San Carlos")</f>
        <v>San Carlos</v>
      </c>
      <c r="C275" t="str">
        <f>IFERROR(__xludf.DUMMYFUNCTION("""COMPUTED_VALUE"""),"CA")</f>
        <v>CA</v>
      </c>
      <c r="D275" t="str">
        <f>IFERROR(__xludf.DUMMYFUNCTION("""COMPUTED_VALUE"""),"USA")</f>
        <v>USA</v>
      </c>
      <c r="E275" s="188">
        <f>IFERROR(__xludf.DUMMYFUNCTION("""COMPUTED_VALUE"""),43216.0)</f>
        <v>43216</v>
      </c>
      <c r="F275" s="188">
        <f>IFERROR(__xludf.DUMMYFUNCTION("""COMPUTED_VALUE"""),43279.0)</f>
        <v>43279</v>
      </c>
      <c r="H275">
        <f>IFERROR(__xludf.DUMMYFUNCTION("""COMPUTED_VALUE"""),40255.0)</f>
        <v>40255</v>
      </c>
      <c r="I275" t="str">
        <f>IFERROR(__xludf.DUMMYFUNCTION("""COMPUTED_VALUE"""),"06/18")</f>
        <v>06/18</v>
      </c>
      <c r="J275" s="5">
        <f>IFERROR(__xludf.DUMMYFUNCTION("""COMPUTED_VALUE"""),43287.0)</f>
        <v>43287</v>
      </c>
      <c r="K275">
        <f>IFERROR(__xludf.DUMMYFUNCTION("""COMPUTED_VALUE"""),63.0)</f>
        <v>63</v>
      </c>
      <c r="L275">
        <f>IFERROR(__xludf.DUMMYFUNCTION("""COMPUTED_VALUE"""),8.0)</f>
        <v>8</v>
      </c>
      <c r="M275">
        <f>IFERROR(__xludf.DUMMYFUNCTION("""COMPUTED_VALUE"""),71.0)</f>
        <v>71</v>
      </c>
      <c r="N275" t="str">
        <f>IFERROR(__xludf.DUMMYFUNCTION("""COMPUTED_VALUE"""),"Model 3 LR")</f>
        <v>Model 3 LR</v>
      </c>
      <c r="O275" t="str">
        <f>IFERROR(__xludf.DUMMYFUNCTION("""COMPUTED_VALUE"""),"Deep Blue Metallic")</f>
        <v>Deep Blue Metallic</v>
      </c>
      <c r="P275" t="str">
        <f>IFERROR(__xludf.DUMMYFUNCTION("""COMPUTED_VALUE"""),"18 inch Aero")</f>
        <v>18 inch Aero</v>
      </c>
      <c r="Q275" t="str">
        <f>IFERROR(__xludf.DUMMYFUNCTION("""COMPUTED_VALUE"""),"Black seats")</f>
        <v>Black seats</v>
      </c>
      <c r="R275" t="str">
        <f>IFERROR(__xludf.DUMMYFUNCTION("""COMPUTED_VALUE"""),"Enhanced Autopilot")</f>
        <v>Enhanced Autopilot</v>
      </c>
      <c r="X275" t="str">
        <f>IFERROR(__xludf.DUMMYFUNCTION("""COMPUTED_VALUE"""),"Excellent")</f>
        <v>Excellent</v>
      </c>
      <c r="Y275" t="str">
        <f>IFERROR(__xludf.DUMMYFUNCTION("""COMPUTED_VALUE"""),"Excellent")</f>
        <v>Excellent</v>
      </c>
      <c r="Z275" t="str">
        <f>IFERROR(__xludf.DUMMYFUNCTION("""COMPUTED_VALUE"""),"Very Good")</f>
        <v>Very Good</v>
      </c>
      <c r="AA275" t="str">
        <f>IFERROR(__xludf.DUMMYFUNCTION("""COMPUTED_VALUE"""),"Very Good")</f>
        <v>Very Good</v>
      </c>
      <c r="AB275" t="str">
        <f>IFERROR(__xludf.DUMMYFUNCTION("""COMPUTED_VALUE"""),"Good")</f>
        <v>Good</v>
      </c>
      <c r="AG275" t="str">
        <f>IFERROR(__xludf.DUMMYFUNCTION("""COMPUTED_VALUE"""),"Delivery experience was rushed, no tutorial, and the car could have been washed/detailed a bit better.")</f>
        <v>Delivery experience was rushed, no tutorial, and the car could have been washed/detailed a bit better.</v>
      </c>
      <c r="AH275" s="189">
        <f>IFERROR(__xludf.DUMMYFUNCTION("""COMPUTED_VALUE"""),43293.43315736111)</f>
        <v>43293.43316</v>
      </c>
    </row>
    <row r="276">
      <c r="A276" t="str">
        <f>IFERROR(__xludf.DUMMYFUNCTION("""COMPUTED_VALUE"""),"HuiFam")</f>
        <v>HuiFam</v>
      </c>
      <c r="B276" t="str">
        <f>IFERROR(__xludf.DUMMYFUNCTION("""COMPUTED_VALUE"""),"Los Angeles")</f>
        <v>Los Angeles</v>
      </c>
      <c r="C276" t="str">
        <f>IFERROR(__xludf.DUMMYFUNCTION("""COMPUTED_VALUE"""),"CA")</f>
        <v>CA</v>
      </c>
      <c r="D276" t="str">
        <f>IFERROR(__xludf.DUMMYFUNCTION("""COMPUTED_VALUE"""),"USA")</f>
        <v>USA</v>
      </c>
      <c r="E276" s="188">
        <f>IFERROR(__xludf.DUMMYFUNCTION("""COMPUTED_VALUE"""),43222.0)</f>
        <v>43222</v>
      </c>
      <c r="F276" s="188">
        <f>IFERROR(__xludf.DUMMYFUNCTION("""COMPUTED_VALUE"""),43273.0)</f>
        <v>43273</v>
      </c>
      <c r="H276">
        <f>IFERROR(__xludf.DUMMYFUNCTION("""COMPUTED_VALUE"""),36145.0)</f>
        <v>36145</v>
      </c>
      <c r="J276" s="5">
        <f>IFERROR(__xludf.DUMMYFUNCTION("""COMPUTED_VALUE"""),43288.0)</f>
        <v>43288</v>
      </c>
      <c r="K276">
        <f>IFERROR(__xludf.DUMMYFUNCTION("""COMPUTED_VALUE"""),51.0)</f>
        <v>51</v>
      </c>
      <c r="L276">
        <f>IFERROR(__xludf.DUMMYFUNCTION("""COMPUTED_VALUE"""),15.0)</f>
        <v>15</v>
      </c>
      <c r="M276">
        <f>IFERROR(__xludf.DUMMYFUNCTION("""COMPUTED_VALUE"""),66.0)</f>
        <v>66</v>
      </c>
      <c r="N276" t="str">
        <f>IFERROR(__xludf.DUMMYFUNCTION("""COMPUTED_VALUE"""),"Model 3 LR")</f>
        <v>Model 3 LR</v>
      </c>
      <c r="O276" t="str">
        <f>IFERROR(__xludf.DUMMYFUNCTION("""COMPUTED_VALUE"""),"Solid Black")</f>
        <v>Solid Black</v>
      </c>
      <c r="P276" t="str">
        <f>IFERROR(__xludf.DUMMYFUNCTION("""COMPUTED_VALUE"""),"18 inch Aero")</f>
        <v>18 inch Aero</v>
      </c>
      <c r="Q276" t="str">
        <f>IFERROR(__xludf.DUMMYFUNCTION("""COMPUTED_VALUE"""),"Black seats")</f>
        <v>Black seats</v>
      </c>
      <c r="R276" t="str">
        <f>IFERROR(__xludf.DUMMYFUNCTION("""COMPUTED_VALUE"""),"Enhanced Autopilot")</f>
        <v>Enhanced Autopilot</v>
      </c>
      <c r="X276" t="str">
        <f>IFERROR(__xludf.DUMMYFUNCTION("""COMPUTED_VALUE"""),"Very Good")</f>
        <v>Very Good</v>
      </c>
      <c r="Y276" t="str">
        <f>IFERROR(__xludf.DUMMYFUNCTION("""COMPUTED_VALUE"""),"Excellent")</f>
        <v>Excellent</v>
      </c>
      <c r="Z276" t="str">
        <f>IFERROR(__xludf.DUMMYFUNCTION("""COMPUTED_VALUE"""),"Very Good")</f>
        <v>Very Good</v>
      </c>
      <c r="AA276" t="str">
        <f>IFERROR(__xludf.DUMMYFUNCTION("""COMPUTED_VALUE"""),"Excellent")</f>
        <v>Excellent</v>
      </c>
      <c r="AB276" t="str">
        <f>IFERROR(__xludf.DUMMYFUNCTION("""COMPUTED_VALUE"""),"Fair")</f>
        <v>Fair</v>
      </c>
      <c r="AC276">
        <f>IFERROR(__xludf.DUMMYFUNCTION("""COMPUTED_VALUE"""),0.0)</f>
        <v>0</v>
      </c>
      <c r="AD276">
        <f>IFERROR(__xludf.DUMMYFUNCTION("""COMPUTED_VALUE"""),0.0)</f>
        <v>0</v>
      </c>
      <c r="AE276">
        <f>IFERROR(__xludf.DUMMYFUNCTION("""COMPUTED_VALUE"""),0.0)</f>
        <v>0</v>
      </c>
      <c r="AG276" t="str">
        <f>IFERROR(__xludf.DUMMYFUNCTION("""COMPUTED_VALUE"""),"delivery associate didnt know details of car. urged to learn yourself. LAME! didnt know what emergency latch was on doors. idiot. did not confirm payment check from credit union even though i called days earlier to confirm payment method. notes in system "&amp;"are meaningless. ")</f>
        <v>delivery associate didnt know details of car. urged to learn yourself. LAME! didnt know what emergency latch was on doors. idiot. did not confirm payment check from credit union even though i called days earlier to confirm payment method. notes in system are meaningless. </v>
      </c>
      <c r="AH276" s="189">
        <f>IFERROR(__xludf.DUMMYFUNCTION("""COMPUTED_VALUE"""),43293.43476506944)</f>
        <v>43293.43477</v>
      </c>
    </row>
    <row r="277">
      <c r="A277" t="str">
        <f>IFERROR(__xludf.DUMMYFUNCTION("""COMPUTED_VALUE"""),"hockeyscott")</f>
        <v>hockeyscott</v>
      </c>
      <c r="B277" t="str">
        <f>IFERROR(__xludf.DUMMYFUNCTION("""COMPUTED_VALUE"""),"New Hampshire")</f>
        <v>New Hampshire</v>
      </c>
      <c r="C277" t="str">
        <f>IFERROR(__xludf.DUMMYFUNCTION("""COMPUTED_VALUE"""),"NH")</f>
        <v>NH</v>
      </c>
      <c r="D277" t="str">
        <f>IFERROR(__xludf.DUMMYFUNCTION("""COMPUTED_VALUE"""),"USA")</f>
        <v>USA</v>
      </c>
      <c r="E277" s="188">
        <f>IFERROR(__xludf.DUMMYFUNCTION("""COMPUTED_VALUE"""),43206.0)</f>
        <v>43206</v>
      </c>
      <c r="F277" s="188">
        <f>IFERROR(__xludf.DUMMYFUNCTION("""COMPUTED_VALUE"""),43234.0)</f>
        <v>43234</v>
      </c>
      <c r="H277">
        <f>IFERROR(__xludf.DUMMYFUNCTION("""COMPUTED_VALUE"""),22355.0)</f>
        <v>22355</v>
      </c>
      <c r="J277" s="5">
        <f>IFERROR(__xludf.DUMMYFUNCTION("""COMPUTED_VALUE"""),43264.0)</f>
        <v>43264</v>
      </c>
      <c r="K277">
        <f>IFERROR(__xludf.DUMMYFUNCTION("""COMPUTED_VALUE"""),28.0)</f>
        <v>28</v>
      </c>
      <c r="L277">
        <f>IFERROR(__xludf.DUMMYFUNCTION("""COMPUTED_VALUE"""),30.0)</f>
        <v>30</v>
      </c>
      <c r="M277">
        <f>IFERROR(__xludf.DUMMYFUNCTION("""COMPUTED_VALUE"""),58.0)</f>
        <v>58</v>
      </c>
      <c r="N277" t="str">
        <f>IFERROR(__xludf.DUMMYFUNCTION("""COMPUTED_VALUE"""),"Model 3 LR")</f>
        <v>Model 3 LR</v>
      </c>
      <c r="O277" t="str">
        <f>IFERROR(__xludf.DUMMYFUNCTION("""COMPUTED_VALUE"""),"Red Multi-Coat")</f>
        <v>Red Multi-Coat</v>
      </c>
      <c r="P277" t="str">
        <f>IFERROR(__xludf.DUMMYFUNCTION("""COMPUTED_VALUE"""),"18 inch Aero")</f>
        <v>18 inch Aero</v>
      </c>
      <c r="Q277" t="str">
        <f>IFERROR(__xludf.DUMMYFUNCTION("""COMPUTED_VALUE"""),"Black seats")</f>
        <v>Black seats</v>
      </c>
      <c r="R277" t="str">
        <f>IFERROR(__xludf.DUMMYFUNCTION("""COMPUTED_VALUE"""),"Enhanced Autopilot")</f>
        <v>Enhanced Autopilot</v>
      </c>
      <c r="X277" t="str">
        <f>IFERROR(__xludf.DUMMYFUNCTION("""COMPUTED_VALUE"""),"Excellent")</f>
        <v>Excellent</v>
      </c>
      <c r="Y277" t="str">
        <f>IFERROR(__xludf.DUMMYFUNCTION("""COMPUTED_VALUE"""),"Excellent")</f>
        <v>Excellent</v>
      </c>
      <c r="Z277" t="str">
        <f>IFERROR(__xludf.DUMMYFUNCTION("""COMPUTED_VALUE"""),"Excellent")</f>
        <v>Excellent</v>
      </c>
      <c r="AA277" t="str">
        <f>IFERROR(__xludf.DUMMYFUNCTION("""COMPUTED_VALUE"""),"Excellent")</f>
        <v>Excellent</v>
      </c>
      <c r="AB277" t="str">
        <f>IFERROR(__xludf.DUMMYFUNCTION("""COMPUTED_VALUE"""),"Excellent")</f>
        <v>Excellent</v>
      </c>
      <c r="AC277">
        <f>IFERROR(__xludf.DUMMYFUNCTION("""COMPUTED_VALUE"""),0.0)</f>
        <v>0</v>
      </c>
      <c r="AD277">
        <f>IFERROR(__xludf.DUMMYFUNCTION("""COMPUTED_VALUE"""),0.0)</f>
        <v>0</v>
      </c>
      <c r="AE277">
        <f>IFERROR(__xludf.DUMMYFUNCTION("""COMPUTED_VALUE"""),0.0)</f>
        <v>0</v>
      </c>
      <c r="AH277" s="189">
        <f>IFERROR(__xludf.DUMMYFUNCTION("""COMPUTED_VALUE"""),43293.51453530093)</f>
        <v>43293.51454</v>
      </c>
    </row>
    <row r="278">
      <c r="A278" t="str">
        <f>IFERROR(__xludf.DUMMYFUNCTION("""COMPUTED_VALUE"""),"cdugger350")</f>
        <v>cdugger350</v>
      </c>
      <c r="B278" t="str">
        <f>IFERROR(__xludf.DUMMYFUNCTION("""COMPUTED_VALUE"""),"West Palm Beach")</f>
        <v>West Palm Beach</v>
      </c>
      <c r="C278" t="str">
        <f>IFERROR(__xludf.DUMMYFUNCTION("""COMPUTED_VALUE"""),"FL")</f>
        <v>FL</v>
      </c>
      <c r="D278" t="str">
        <f>IFERROR(__xludf.DUMMYFUNCTION("""COMPUTED_VALUE"""),"USA")</f>
        <v>USA</v>
      </c>
      <c r="E278" s="188">
        <f>IFERROR(__xludf.DUMMYFUNCTION("""COMPUTED_VALUE"""),43278.0)</f>
        <v>43278</v>
      </c>
      <c r="F278" s="188">
        <f>IFERROR(__xludf.DUMMYFUNCTION("""COMPUTED_VALUE"""),43280.0)</f>
        <v>43280</v>
      </c>
      <c r="H278">
        <f>IFERROR(__xludf.DUMMYFUNCTION("""COMPUTED_VALUE"""),25855.0)</f>
        <v>25855</v>
      </c>
      <c r="I278" t="str">
        <f>IFERROR(__xludf.DUMMYFUNCTION("""COMPUTED_VALUE"""),"06/18")</f>
        <v>06/18</v>
      </c>
      <c r="J278" s="5">
        <f>IFERROR(__xludf.DUMMYFUNCTION("""COMPUTED_VALUE"""),43293.0)</f>
        <v>43293</v>
      </c>
      <c r="K278">
        <f>IFERROR(__xludf.DUMMYFUNCTION("""COMPUTED_VALUE"""),2.0)</f>
        <v>2</v>
      </c>
      <c r="L278">
        <f>IFERROR(__xludf.DUMMYFUNCTION("""COMPUTED_VALUE"""),13.0)</f>
        <v>13</v>
      </c>
      <c r="M278">
        <f>IFERROR(__xludf.DUMMYFUNCTION("""COMPUTED_VALUE"""),15.0)</f>
        <v>15</v>
      </c>
      <c r="N278" t="str">
        <f>IFERROR(__xludf.DUMMYFUNCTION("""COMPUTED_VALUE"""),"Model 3 LR")</f>
        <v>Model 3 LR</v>
      </c>
      <c r="O278" t="str">
        <f>IFERROR(__xludf.DUMMYFUNCTION("""COMPUTED_VALUE"""),"Midnight Silver Metallic")</f>
        <v>Midnight Silver Metallic</v>
      </c>
      <c r="P278" t="str">
        <f>IFERROR(__xludf.DUMMYFUNCTION("""COMPUTED_VALUE"""),"18 inch Aero")</f>
        <v>18 inch Aero</v>
      </c>
      <c r="Q278" t="str">
        <f>IFERROR(__xludf.DUMMYFUNCTION("""COMPUTED_VALUE"""),"Black seats")</f>
        <v>Black seats</v>
      </c>
      <c r="R278" t="str">
        <f>IFERROR(__xludf.DUMMYFUNCTION("""COMPUTED_VALUE"""),"Full Self-Driving")</f>
        <v>Full Self-Driving</v>
      </c>
      <c r="X278" t="str">
        <f>IFERROR(__xludf.DUMMYFUNCTION("""COMPUTED_VALUE"""),"Excellent")</f>
        <v>Excellent</v>
      </c>
      <c r="Y278" t="str">
        <f>IFERROR(__xludf.DUMMYFUNCTION("""COMPUTED_VALUE"""),"Very Good")</f>
        <v>Very Good</v>
      </c>
      <c r="Z278" t="str">
        <f>IFERROR(__xludf.DUMMYFUNCTION("""COMPUTED_VALUE"""),"Very Good")</f>
        <v>Very Good</v>
      </c>
      <c r="AA278" t="str">
        <f>IFERROR(__xludf.DUMMYFUNCTION("""COMPUTED_VALUE"""),"Excellent")</f>
        <v>Excellent</v>
      </c>
      <c r="AB278" t="str">
        <f>IFERROR(__xludf.DUMMYFUNCTION("""COMPUTED_VALUE"""),"Good")</f>
        <v>Good</v>
      </c>
      <c r="AC278">
        <f>IFERROR(__xludf.DUMMYFUNCTION("""COMPUTED_VALUE"""),4.0)</f>
        <v>4</v>
      </c>
      <c r="AH278" s="189">
        <f>IFERROR(__xludf.DUMMYFUNCTION("""COMPUTED_VALUE"""),43293.52198597223)</f>
        <v>43293.52199</v>
      </c>
    </row>
    <row r="279">
      <c r="A279" t="str">
        <f>IFERROR(__xludf.DUMMYFUNCTION("""COMPUTED_VALUE"""),"dimsum")</f>
        <v>dimsum</v>
      </c>
      <c r="B279" t="str">
        <f>IFERROR(__xludf.DUMMYFUNCTION("""COMPUTED_VALUE"""),"San Diego")</f>
        <v>San Diego</v>
      </c>
      <c r="C279" t="str">
        <f>IFERROR(__xludf.DUMMYFUNCTION("""COMPUTED_VALUE"""),"CA")</f>
        <v>CA</v>
      </c>
      <c r="D279" t="str">
        <f>IFERROR(__xludf.DUMMYFUNCTION("""COMPUTED_VALUE"""),"USA")</f>
        <v>USA</v>
      </c>
      <c r="E279" s="188">
        <f>IFERROR(__xludf.DUMMYFUNCTION("""COMPUTED_VALUE"""),43153.0)</f>
        <v>43153</v>
      </c>
      <c r="F279" s="188">
        <f>IFERROR(__xludf.DUMMYFUNCTION("""COMPUTED_VALUE"""),43175.0)</f>
        <v>43175</v>
      </c>
      <c r="H279">
        <f>IFERROR(__xludf.DUMMYFUNCTION("""COMPUTED_VALUE"""),9055.0)</f>
        <v>9055</v>
      </c>
      <c r="J279" s="5">
        <f>IFERROR(__xludf.DUMMYFUNCTION("""COMPUTED_VALUE"""),43186.0)</f>
        <v>43186</v>
      </c>
      <c r="K279">
        <f>IFERROR(__xludf.DUMMYFUNCTION("""COMPUTED_VALUE"""),22.0)</f>
        <v>22</v>
      </c>
      <c r="L279">
        <f>IFERROR(__xludf.DUMMYFUNCTION("""COMPUTED_VALUE"""),11.0)</f>
        <v>11</v>
      </c>
      <c r="M279">
        <f>IFERROR(__xludf.DUMMYFUNCTION("""COMPUTED_VALUE"""),33.0)</f>
        <v>33</v>
      </c>
      <c r="N279" t="str">
        <f>IFERROR(__xludf.DUMMYFUNCTION("""COMPUTED_VALUE"""),"Model 3 LR")</f>
        <v>Model 3 LR</v>
      </c>
      <c r="O279" t="str">
        <f>IFERROR(__xludf.DUMMYFUNCTION("""COMPUTED_VALUE"""),"Deep Blue Metallic")</f>
        <v>Deep Blue Metallic</v>
      </c>
      <c r="P279" t="str">
        <f>IFERROR(__xludf.DUMMYFUNCTION("""COMPUTED_VALUE"""),"18 inch Aero")</f>
        <v>18 inch Aero</v>
      </c>
      <c r="Q279" t="str">
        <f>IFERROR(__xludf.DUMMYFUNCTION("""COMPUTED_VALUE"""),"Black seats")</f>
        <v>Black seats</v>
      </c>
      <c r="R279" t="str">
        <f>IFERROR(__xludf.DUMMYFUNCTION("""COMPUTED_VALUE"""),"Enhanced Autopilot")</f>
        <v>Enhanced Autopilot</v>
      </c>
      <c r="X279" t="str">
        <f>IFERROR(__xludf.DUMMYFUNCTION("""COMPUTED_VALUE"""),"Good")</f>
        <v>Good</v>
      </c>
      <c r="Y279" t="str">
        <f>IFERROR(__xludf.DUMMYFUNCTION("""COMPUTED_VALUE"""),"Good")</f>
        <v>Good</v>
      </c>
      <c r="Z279" t="str">
        <f>IFERROR(__xludf.DUMMYFUNCTION("""COMPUTED_VALUE"""),"Very Good")</f>
        <v>Very Good</v>
      </c>
      <c r="AB279" t="str">
        <f>IFERROR(__xludf.DUMMYFUNCTION("""COMPUTED_VALUE"""),"Good")</f>
        <v>Good</v>
      </c>
      <c r="AH279" s="189">
        <f>IFERROR(__xludf.DUMMYFUNCTION("""COMPUTED_VALUE"""),43293.58851516204)</f>
        <v>43293.58852</v>
      </c>
    </row>
    <row r="280">
      <c r="A280" t="str">
        <f>IFERROR(__xludf.DUMMYFUNCTION("""COMPUTED_VALUE"""),"takashi3")</f>
        <v>takashi3</v>
      </c>
      <c r="B280" t="str">
        <f>IFERROR(__xludf.DUMMYFUNCTION("""COMPUTED_VALUE"""),"Los Angeles")</f>
        <v>Los Angeles</v>
      </c>
      <c r="C280" t="str">
        <f>IFERROR(__xludf.DUMMYFUNCTION("""COMPUTED_VALUE"""),"CA")</f>
        <v>CA</v>
      </c>
      <c r="D280" t="str">
        <f>IFERROR(__xludf.DUMMYFUNCTION("""COMPUTED_VALUE"""),"USA")</f>
        <v>USA</v>
      </c>
      <c r="E280" s="188">
        <f>IFERROR(__xludf.DUMMYFUNCTION("""COMPUTED_VALUE"""),43219.0)</f>
        <v>43219</v>
      </c>
      <c r="F280" s="188">
        <f>IFERROR(__xludf.DUMMYFUNCTION("""COMPUTED_VALUE"""),43273.0)</f>
        <v>43273</v>
      </c>
      <c r="H280">
        <f>IFERROR(__xludf.DUMMYFUNCTION("""COMPUTED_VALUE"""),34355.0)</f>
        <v>34355</v>
      </c>
      <c r="J280" s="5">
        <f>IFERROR(__xludf.DUMMYFUNCTION("""COMPUTED_VALUE"""),43288.0)</f>
        <v>43288</v>
      </c>
      <c r="K280">
        <f>IFERROR(__xludf.DUMMYFUNCTION("""COMPUTED_VALUE"""),54.0)</f>
        <v>54</v>
      </c>
      <c r="L280">
        <f>IFERROR(__xludf.DUMMYFUNCTION("""COMPUTED_VALUE"""),15.0)</f>
        <v>15</v>
      </c>
      <c r="M280">
        <f>IFERROR(__xludf.DUMMYFUNCTION("""COMPUTED_VALUE"""),69.0)</f>
        <v>69</v>
      </c>
      <c r="N280" t="str">
        <f>IFERROR(__xludf.DUMMYFUNCTION("""COMPUTED_VALUE"""),"Model 3 LR")</f>
        <v>Model 3 LR</v>
      </c>
      <c r="O280" t="str">
        <f>IFERROR(__xludf.DUMMYFUNCTION("""COMPUTED_VALUE"""),"Solid Black")</f>
        <v>Solid Black</v>
      </c>
      <c r="P280" t="str">
        <f>IFERROR(__xludf.DUMMYFUNCTION("""COMPUTED_VALUE"""),"18 inch Aero")</f>
        <v>18 inch Aero</v>
      </c>
      <c r="Q280" t="str">
        <f>IFERROR(__xludf.DUMMYFUNCTION("""COMPUTED_VALUE"""),"Black seats")</f>
        <v>Black seats</v>
      </c>
      <c r="R280" t="str">
        <f>IFERROR(__xludf.DUMMYFUNCTION("""COMPUTED_VALUE"""),"Enhanced Autopilot")</f>
        <v>Enhanced Autopilot</v>
      </c>
      <c r="X280" t="str">
        <f>IFERROR(__xludf.DUMMYFUNCTION("""COMPUTED_VALUE"""),"Excellent")</f>
        <v>Excellent</v>
      </c>
      <c r="Y280" t="str">
        <f>IFERROR(__xludf.DUMMYFUNCTION("""COMPUTED_VALUE"""),"Excellent")</f>
        <v>Excellent</v>
      </c>
      <c r="Z280" t="str">
        <f>IFERROR(__xludf.DUMMYFUNCTION("""COMPUTED_VALUE"""),"Excellent")</f>
        <v>Excellent</v>
      </c>
      <c r="AA280" t="str">
        <f>IFERROR(__xludf.DUMMYFUNCTION("""COMPUTED_VALUE"""),"Fair")</f>
        <v>Fair</v>
      </c>
      <c r="AB280" t="str">
        <f>IFERROR(__xludf.DUMMYFUNCTION("""COMPUTED_VALUE"""),"Fair")</f>
        <v>Fair</v>
      </c>
      <c r="AC280">
        <f>IFERROR(__xludf.DUMMYFUNCTION("""COMPUTED_VALUE"""),0.0)</f>
        <v>0</v>
      </c>
      <c r="AD280">
        <f>IFERROR(__xludf.DUMMYFUNCTION("""COMPUTED_VALUE"""),0.0)</f>
        <v>0</v>
      </c>
      <c r="AE280">
        <f>IFERROR(__xludf.DUMMYFUNCTION("""COMPUTED_VALUE"""),0.0)</f>
        <v>0</v>
      </c>
      <c r="AG280" t="str">
        <f>IFERROR(__xludf.DUMMYFUNCTION("""COMPUTED_VALUE"""),"Used my friend's reservation so getting the purchase order the day before delivery was nerve wrecking since I needed to sign the loan contract")</f>
        <v>Used my friend's reservation so getting the purchase order the day before delivery was nerve wrecking since I needed to sign the loan contract</v>
      </c>
      <c r="AH280" s="189">
        <f>IFERROR(__xludf.DUMMYFUNCTION("""COMPUTED_VALUE"""),43293.660278090276)</f>
        <v>43293.66028</v>
      </c>
    </row>
    <row r="281">
      <c r="A281" t="str">
        <f>IFERROR(__xludf.DUMMYFUNCTION("""COMPUTED_VALUE"""),"montypython")</f>
        <v>montypython</v>
      </c>
      <c r="B281" t="str">
        <f>IFERROR(__xludf.DUMMYFUNCTION("""COMPUTED_VALUE"""),"Enfield")</f>
        <v>Enfield</v>
      </c>
      <c r="C281" t="str">
        <f>IFERROR(__xludf.DUMMYFUNCTION("""COMPUTED_VALUE"""),"CT")</f>
        <v>CT</v>
      </c>
      <c r="D281" t="str">
        <f>IFERROR(__xludf.DUMMYFUNCTION("""COMPUTED_VALUE"""),"USA")</f>
        <v>USA</v>
      </c>
      <c r="E281" s="188">
        <f>IFERROR(__xludf.DUMMYFUNCTION("""COMPUTED_VALUE"""),43278.0)</f>
        <v>43278</v>
      </c>
      <c r="F281" s="188">
        <f>IFERROR(__xludf.DUMMYFUNCTION("""COMPUTED_VALUE"""),43280.0)</f>
        <v>43280</v>
      </c>
      <c r="H281">
        <f>IFERROR(__xludf.DUMMYFUNCTION("""COMPUTED_VALUE"""),26955.0)</f>
        <v>26955</v>
      </c>
      <c r="I281" t="str">
        <f>IFERROR(__xludf.DUMMYFUNCTION("""COMPUTED_VALUE"""),"06/18")</f>
        <v>06/18</v>
      </c>
      <c r="J281" s="5">
        <f>IFERROR(__xludf.DUMMYFUNCTION("""COMPUTED_VALUE"""),43292.0)</f>
        <v>43292</v>
      </c>
      <c r="K281">
        <f>IFERROR(__xludf.DUMMYFUNCTION("""COMPUTED_VALUE"""),2.0)</f>
        <v>2</v>
      </c>
      <c r="L281">
        <f>IFERROR(__xludf.DUMMYFUNCTION("""COMPUTED_VALUE"""),12.0)</f>
        <v>12</v>
      </c>
      <c r="M281">
        <f>IFERROR(__xludf.DUMMYFUNCTION("""COMPUTED_VALUE"""),14.0)</f>
        <v>14</v>
      </c>
      <c r="N281" t="str">
        <f>IFERROR(__xludf.DUMMYFUNCTION("""COMPUTED_VALUE"""),"Model 3 LR")</f>
        <v>Model 3 LR</v>
      </c>
      <c r="O281" t="str">
        <f>IFERROR(__xludf.DUMMYFUNCTION("""COMPUTED_VALUE"""),"Red Multi-Coat")</f>
        <v>Red Multi-Coat</v>
      </c>
      <c r="P281" t="str">
        <f>IFERROR(__xludf.DUMMYFUNCTION("""COMPUTED_VALUE"""),"18 inch Aero")</f>
        <v>18 inch Aero</v>
      </c>
      <c r="Q281" t="str">
        <f>IFERROR(__xludf.DUMMYFUNCTION("""COMPUTED_VALUE"""),"Black seats")</f>
        <v>Black seats</v>
      </c>
      <c r="R281" t="str">
        <f>IFERROR(__xludf.DUMMYFUNCTION("""COMPUTED_VALUE"""),"Enhanced Autopilot")</f>
        <v>Enhanced Autopilot</v>
      </c>
      <c r="X281" t="str">
        <f>IFERROR(__xludf.DUMMYFUNCTION("""COMPUTED_VALUE"""),"Excellent")</f>
        <v>Excellent</v>
      </c>
      <c r="Y281" t="str">
        <f>IFERROR(__xludf.DUMMYFUNCTION("""COMPUTED_VALUE"""),"Excellent")</f>
        <v>Excellent</v>
      </c>
      <c r="Z281" t="str">
        <f>IFERROR(__xludf.DUMMYFUNCTION("""COMPUTED_VALUE"""),"Excellent")</f>
        <v>Excellent</v>
      </c>
      <c r="AA281" t="str">
        <f>IFERROR(__xludf.DUMMYFUNCTION("""COMPUTED_VALUE"""),"Excellent")</f>
        <v>Excellent</v>
      </c>
      <c r="AB281" t="str">
        <f>IFERROR(__xludf.DUMMYFUNCTION("""COMPUTED_VALUE"""),"Excellent")</f>
        <v>Excellent</v>
      </c>
      <c r="AH281" s="189">
        <f>IFERROR(__xludf.DUMMYFUNCTION("""COMPUTED_VALUE"""),43293.67844708334)</f>
        <v>43293.67845</v>
      </c>
    </row>
    <row r="282">
      <c r="A282" t="str">
        <f>IFERROR(__xludf.DUMMYFUNCTION("""COMPUTED_VALUE"""),"blue42")</f>
        <v>blue42</v>
      </c>
      <c r="C282" t="str">
        <f>IFERROR(__xludf.DUMMYFUNCTION("""COMPUTED_VALUE"""),"MA")</f>
        <v>MA</v>
      </c>
      <c r="D282" t="str">
        <f>IFERROR(__xludf.DUMMYFUNCTION("""COMPUTED_VALUE"""),"USA")</f>
        <v>USA</v>
      </c>
      <c r="E282" s="188">
        <f>IFERROR(__xludf.DUMMYFUNCTION("""COMPUTED_VALUE"""),43218.0)</f>
        <v>43218</v>
      </c>
      <c r="F282" s="188">
        <f>IFERROR(__xludf.DUMMYFUNCTION("""COMPUTED_VALUE"""),43271.0)</f>
        <v>43271</v>
      </c>
      <c r="H282">
        <f>IFERROR(__xludf.DUMMYFUNCTION("""COMPUTED_VALUE"""),27055.0)</f>
        <v>27055</v>
      </c>
      <c r="I282" t="str">
        <f>IFERROR(__xludf.DUMMYFUNCTION("""COMPUTED_VALUE"""),"06/18")</f>
        <v>06/18</v>
      </c>
      <c r="J282" s="5">
        <f>IFERROR(__xludf.DUMMYFUNCTION("""COMPUTED_VALUE"""),43290.0)</f>
        <v>43290</v>
      </c>
      <c r="K282">
        <f>IFERROR(__xludf.DUMMYFUNCTION("""COMPUTED_VALUE"""),53.0)</f>
        <v>53</v>
      </c>
      <c r="L282">
        <f>IFERROR(__xludf.DUMMYFUNCTION("""COMPUTED_VALUE"""),19.0)</f>
        <v>19</v>
      </c>
      <c r="M282">
        <f>IFERROR(__xludf.DUMMYFUNCTION("""COMPUTED_VALUE"""),72.0)</f>
        <v>72</v>
      </c>
      <c r="N282" t="str">
        <f>IFERROR(__xludf.DUMMYFUNCTION("""COMPUTED_VALUE"""),"Model 3 LR")</f>
        <v>Model 3 LR</v>
      </c>
      <c r="O282" t="str">
        <f>IFERROR(__xludf.DUMMYFUNCTION("""COMPUTED_VALUE"""),"Deep Blue Metallic")</f>
        <v>Deep Blue Metallic</v>
      </c>
      <c r="P282" t="str">
        <f>IFERROR(__xludf.DUMMYFUNCTION("""COMPUTED_VALUE"""),"18 inch Aero")</f>
        <v>18 inch Aero</v>
      </c>
      <c r="Q282" t="str">
        <f>IFERROR(__xludf.DUMMYFUNCTION("""COMPUTED_VALUE"""),"Black seats")</f>
        <v>Black seats</v>
      </c>
      <c r="R282" t="str">
        <f>IFERROR(__xludf.DUMMYFUNCTION("""COMPUTED_VALUE"""),"Enhanced Autopilot")</f>
        <v>Enhanced Autopilot</v>
      </c>
      <c r="X282" t="str">
        <f>IFERROR(__xludf.DUMMYFUNCTION("""COMPUTED_VALUE"""),"Excellent")</f>
        <v>Excellent</v>
      </c>
      <c r="Y282" t="str">
        <f>IFERROR(__xludf.DUMMYFUNCTION("""COMPUTED_VALUE"""),"Excellent")</f>
        <v>Excellent</v>
      </c>
      <c r="Z282" t="str">
        <f>IFERROR(__xludf.DUMMYFUNCTION("""COMPUTED_VALUE"""),"Excellent")</f>
        <v>Excellent</v>
      </c>
      <c r="AA282" t="str">
        <f>IFERROR(__xludf.DUMMYFUNCTION("""COMPUTED_VALUE"""),"Fair")</f>
        <v>Fair</v>
      </c>
      <c r="AB282" t="str">
        <f>IFERROR(__xludf.DUMMYFUNCTION("""COMPUTED_VALUE"""),"Good")</f>
        <v>Good</v>
      </c>
      <c r="AH282" s="189">
        <f>IFERROR(__xludf.DUMMYFUNCTION("""COMPUTED_VALUE"""),43293.78100928241)</f>
        <v>43293.78101</v>
      </c>
    </row>
    <row r="283">
      <c r="A283" t="str">
        <f>IFERROR(__xludf.DUMMYFUNCTION("""COMPUTED_VALUE"""),"jdaigle")</f>
        <v>jdaigle</v>
      </c>
      <c r="B283" t="str">
        <f>IFERROR(__xludf.DUMMYFUNCTION("""COMPUTED_VALUE"""),"Boston")</f>
        <v>Boston</v>
      </c>
      <c r="C283" t="str">
        <f>IFERROR(__xludf.DUMMYFUNCTION("""COMPUTED_VALUE"""),"MA")</f>
        <v>MA</v>
      </c>
      <c r="D283" t="str">
        <f>IFERROR(__xludf.DUMMYFUNCTION("""COMPUTED_VALUE"""),"USA")</f>
        <v>USA</v>
      </c>
      <c r="E283" s="188">
        <f>IFERROR(__xludf.DUMMYFUNCTION("""COMPUTED_VALUE"""),43278.0)</f>
        <v>43278</v>
      </c>
      <c r="F283" s="188">
        <f>IFERROR(__xludf.DUMMYFUNCTION("""COMPUTED_VALUE"""),43283.0)</f>
        <v>43283</v>
      </c>
      <c r="H283">
        <f>IFERROR(__xludf.DUMMYFUNCTION("""COMPUTED_VALUE"""),26150.0)</f>
        <v>26150</v>
      </c>
      <c r="J283" s="5">
        <f>IFERROR(__xludf.DUMMYFUNCTION("""COMPUTED_VALUE"""),43293.0)</f>
        <v>43293</v>
      </c>
      <c r="K283">
        <f>IFERROR(__xludf.DUMMYFUNCTION("""COMPUTED_VALUE"""),5.0)</f>
        <v>5</v>
      </c>
      <c r="L283">
        <f>IFERROR(__xludf.DUMMYFUNCTION("""COMPUTED_VALUE"""),10.0)</f>
        <v>10</v>
      </c>
      <c r="M283">
        <f>IFERROR(__xludf.DUMMYFUNCTION("""COMPUTED_VALUE"""),15.0)</f>
        <v>15</v>
      </c>
      <c r="N283" t="str">
        <f>IFERROR(__xludf.DUMMYFUNCTION("""COMPUTED_VALUE"""),"Model 3 LR")</f>
        <v>Model 3 LR</v>
      </c>
      <c r="O283" t="str">
        <f>IFERROR(__xludf.DUMMYFUNCTION("""COMPUTED_VALUE"""),"Deep Blue Metallic")</f>
        <v>Deep Blue Metallic</v>
      </c>
      <c r="P283" t="str">
        <f>IFERROR(__xludf.DUMMYFUNCTION("""COMPUTED_VALUE"""),"18 inch Aero")</f>
        <v>18 inch Aero</v>
      </c>
      <c r="Q283" t="str">
        <f>IFERROR(__xludf.DUMMYFUNCTION("""COMPUTED_VALUE"""),"Black seats")</f>
        <v>Black seats</v>
      </c>
      <c r="R283" t="str">
        <f>IFERROR(__xludf.DUMMYFUNCTION("""COMPUTED_VALUE"""),"Enhanced Autopilot")</f>
        <v>Enhanced Autopilot</v>
      </c>
      <c r="X283" t="str">
        <f>IFERROR(__xludf.DUMMYFUNCTION("""COMPUTED_VALUE"""),"Excellent")</f>
        <v>Excellent</v>
      </c>
      <c r="Y283" t="str">
        <f>IFERROR(__xludf.DUMMYFUNCTION("""COMPUTED_VALUE"""),"Excellent")</f>
        <v>Excellent</v>
      </c>
      <c r="Z283" t="str">
        <f>IFERROR(__xludf.DUMMYFUNCTION("""COMPUTED_VALUE"""),"Very Good")</f>
        <v>Very Good</v>
      </c>
      <c r="AA283" t="str">
        <f>IFERROR(__xludf.DUMMYFUNCTION("""COMPUTED_VALUE"""),"Good")</f>
        <v>Good</v>
      </c>
      <c r="AB283" t="str">
        <f>IFERROR(__xludf.DUMMYFUNCTION("""COMPUTED_VALUE"""),"Excellent")</f>
        <v>Excellent</v>
      </c>
      <c r="AH283" s="189">
        <f>IFERROR(__xludf.DUMMYFUNCTION("""COMPUTED_VALUE"""),43294.22818233796)</f>
        <v>43294.22818</v>
      </c>
    </row>
    <row r="284">
      <c r="A284" t="str">
        <f>IFERROR(__xludf.DUMMYFUNCTION("""COMPUTED_VALUE"""),"quirkylikthat")</f>
        <v>quirkylikthat</v>
      </c>
      <c r="B284" t="str">
        <f>IFERROR(__xludf.DUMMYFUNCTION("""COMPUTED_VALUE"""),"Chicago")</f>
        <v>Chicago</v>
      </c>
      <c r="C284" t="str">
        <f>IFERROR(__xludf.DUMMYFUNCTION("""COMPUTED_VALUE"""),"IL")</f>
        <v>IL</v>
      </c>
      <c r="D284" t="str">
        <f>IFERROR(__xludf.DUMMYFUNCTION("""COMPUTED_VALUE"""),"USA")</f>
        <v>USA</v>
      </c>
      <c r="E284" s="188">
        <f>IFERROR(__xludf.DUMMYFUNCTION("""COMPUTED_VALUE"""),43278.0)</f>
        <v>43278</v>
      </c>
      <c r="F284" s="188">
        <f>IFERROR(__xludf.DUMMYFUNCTION("""COMPUTED_VALUE"""),43286.0)</f>
        <v>43286</v>
      </c>
      <c r="H284">
        <f>IFERROR(__xludf.DUMMYFUNCTION("""COMPUTED_VALUE"""),31415.0)</f>
        <v>31415</v>
      </c>
      <c r="J284" s="5">
        <f>IFERROR(__xludf.DUMMYFUNCTION("""COMPUTED_VALUE"""),43291.0)</f>
        <v>43291</v>
      </c>
      <c r="K284">
        <f>IFERROR(__xludf.DUMMYFUNCTION("""COMPUTED_VALUE"""),8.0)</f>
        <v>8</v>
      </c>
      <c r="L284">
        <f>IFERROR(__xludf.DUMMYFUNCTION("""COMPUTED_VALUE"""),5.0)</f>
        <v>5</v>
      </c>
      <c r="M284">
        <f>IFERROR(__xludf.DUMMYFUNCTION("""COMPUTED_VALUE"""),13.0)</f>
        <v>13</v>
      </c>
      <c r="N284" t="str">
        <f>IFERROR(__xludf.DUMMYFUNCTION("""COMPUTED_VALUE"""),"Model 3 LR")</f>
        <v>Model 3 LR</v>
      </c>
      <c r="O284" t="str">
        <f>IFERROR(__xludf.DUMMYFUNCTION("""COMPUTED_VALUE"""),"Pearl White Multi-Coat")</f>
        <v>Pearl White Multi-Coat</v>
      </c>
      <c r="P284" t="str">
        <f>IFERROR(__xludf.DUMMYFUNCTION("""COMPUTED_VALUE"""),"18 inch Aero")</f>
        <v>18 inch Aero</v>
      </c>
      <c r="Q284" t="str">
        <f>IFERROR(__xludf.DUMMYFUNCTION("""COMPUTED_VALUE"""),"Black seats")</f>
        <v>Black seats</v>
      </c>
      <c r="R284" t="str">
        <f>IFERROR(__xludf.DUMMYFUNCTION("""COMPUTED_VALUE"""),"Enhanced Autopilot")</f>
        <v>Enhanced Autopilot</v>
      </c>
      <c r="X284" t="str">
        <f>IFERROR(__xludf.DUMMYFUNCTION("""COMPUTED_VALUE"""),"Excellent")</f>
        <v>Excellent</v>
      </c>
      <c r="Y284" t="str">
        <f>IFERROR(__xludf.DUMMYFUNCTION("""COMPUTED_VALUE"""),"Excellent")</f>
        <v>Excellent</v>
      </c>
      <c r="Z284" t="str">
        <f>IFERROR(__xludf.DUMMYFUNCTION("""COMPUTED_VALUE"""),"Excellent")</f>
        <v>Excellent</v>
      </c>
      <c r="AA284" t="str">
        <f>IFERROR(__xludf.DUMMYFUNCTION("""COMPUTED_VALUE"""),"Excellent")</f>
        <v>Excellent</v>
      </c>
      <c r="AB284" t="str">
        <f>IFERROR(__xludf.DUMMYFUNCTION("""COMPUTED_VALUE"""),"Poor")</f>
        <v>Poor</v>
      </c>
      <c r="AC284">
        <f>IFERROR(__xludf.DUMMYFUNCTION("""COMPUTED_VALUE"""),1.0)</f>
        <v>1</v>
      </c>
      <c r="AD284">
        <f>IFERROR(__xludf.DUMMYFUNCTION("""COMPUTED_VALUE"""),1.0)</f>
        <v>1</v>
      </c>
      <c r="AE284">
        <f>IFERROR(__xludf.DUMMYFUNCTION("""COMPUTED_VALUE"""),0.0)</f>
        <v>0</v>
      </c>
      <c r="AH284" s="189">
        <f>IFERROR(__xludf.DUMMYFUNCTION("""COMPUTED_VALUE"""),43294.26516119213)</f>
        <v>43294.26516</v>
      </c>
    </row>
    <row r="285">
      <c r="A285" t="str">
        <f>IFERROR(__xludf.DUMMYFUNCTION("""COMPUTED_VALUE"""),"jarmenia")</f>
        <v>jarmenia</v>
      </c>
      <c r="B285" t="str">
        <f>IFERROR(__xludf.DUMMYFUNCTION("""COMPUTED_VALUE"""),"Tampa")</f>
        <v>Tampa</v>
      </c>
      <c r="C285" t="str">
        <f>IFERROR(__xludf.DUMMYFUNCTION("""COMPUTED_VALUE"""),"FL")</f>
        <v>FL</v>
      </c>
      <c r="D285" t="str">
        <f>IFERROR(__xludf.DUMMYFUNCTION("""COMPUTED_VALUE"""),"USA")</f>
        <v>USA</v>
      </c>
      <c r="E285" s="188">
        <f>IFERROR(__xludf.DUMMYFUNCTION("""COMPUTED_VALUE"""),43278.0)</f>
        <v>43278</v>
      </c>
      <c r="F285" s="188">
        <f>IFERROR(__xludf.DUMMYFUNCTION("""COMPUTED_VALUE"""),43283.0)</f>
        <v>43283</v>
      </c>
      <c r="H285">
        <f>IFERROR(__xludf.DUMMYFUNCTION("""COMPUTED_VALUE"""),28155.0)</f>
        <v>28155</v>
      </c>
      <c r="J285" s="5">
        <f>IFERROR(__xludf.DUMMYFUNCTION("""COMPUTED_VALUE"""),43293.0)</f>
        <v>43293</v>
      </c>
      <c r="K285">
        <f>IFERROR(__xludf.DUMMYFUNCTION("""COMPUTED_VALUE"""),5.0)</f>
        <v>5</v>
      </c>
      <c r="L285">
        <f>IFERROR(__xludf.DUMMYFUNCTION("""COMPUTED_VALUE"""),10.0)</f>
        <v>10</v>
      </c>
      <c r="M285">
        <f>IFERROR(__xludf.DUMMYFUNCTION("""COMPUTED_VALUE"""),15.0)</f>
        <v>15</v>
      </c>
      <c r="N285" t="str">
        <f>IFERROR(__xludf.DUMMYFUNCTION("""COMPUTED_VALUE"""),"Model 3 LR")</f>
        <v>Model 3 LR</v>
      </c>
      <c r="O285" t="str">
        <f>IFERROR(__xludf.DUMMYFUNCTION("""COMPUTED_VALUE"""),"Midnight Silver Metallic")</f>
        <v>Midnight Silver Metallic</v>
      </c>
      <c r="P285" t="str">
        <f>IFERROR(__xludf.DUMMYFUNCTION("""COMPUTED_VALUE"""),"18 inch Aero")</f>
        <v>18 inch Aero</v>
      </c>
      <c r="Q285" t="str">
        <f>IFERROR(__xludf.DUMMYFUNCTION("""COMPUTED_VALUE"""),"Black seats")</f>
        <v>Black seats</v>
      </c>
      <c r="R285" t="str">
        <f>IFERROR(__xludf.DUMMYFUNCTION("""COMPUTED_VALUE"""),"Full Self-Driving")</f>
        <v>Full Self-Driving</v>
      </c>
      <c r="X285" t="str">
        <f>IFERROR(__xludf.DUMMYFUNCTION("""COMPUTED_VALUE"""),"Excellent")</f>
        <v>Excellent</v>
      </c>
      <c r="Y285" t="str">
        <f>IFERROR(__xludf.DUMMYFUNCTION("""COMPUTED_VALUE"""),"Excellent")</f>
        <v>Excellent</v>
      </c>
      <c r="Z285" t="str">
        <f>IFERROR(__xludf.DUMMYFUNCTION("""COMPUTED_VALUE"""),"Excellent")</f>
        <v>Excellent</v>
      </c>
      <c r="AA285" t="str">
        <f>IFERROR(__xludf.DUMMYFUNCTION("""COMPUTED_VALUE"""),"Excellent")</f>
        <v>Excellent</v>
      </c>
      <c r="AB285" t="str">
        <f>IFERROR(__xludf.DUMMYFUNCTION("""COMPUTED_VALUE"""),"Very Good")</f>
        <v>Very Good</v>
      </c>
      <c r="AH285" s="189">
        <f>IFERROR(__xludf.DUMMYFUNCTION("""COMPUTED_VALUE"""),43294.29932634259)</f>
        <v>43294.29933</v>
      </c>
    </row>
    <row r="286">
      <c r="A286" t="str">
        <f>IFERROR(__xludf.DUMMYFUNCTION("""COMPUTED_VALUE"""),"ATL_Gator")</f>
        <v>ATL_Gator</v>
      </c>
      <c r="B286" t="str">
        <f>IFERROR(__xludf.DUMMYFUNCTION("""COMPUTED_VALUE"""),"Atlanta")</f>
        <v>Atlanta</v>
      </c>
      <c r="C286" t="str">
        <f>IFERROR(__xludf.DUMMYFUNCTION("""COMPUTED_VALUE"""),"GA")</f>
        <v>GA</v>
      </c>
      <c r="D286" t="str">
        <f>IFERROR(__xludf.DUMMYFUNCTION("""COMPUTED_VALUE"""),"USA")</f>
        <v>USA</v>
      </c>
      <c r="E286" s="188">
        <f>IFERROR(__xludf.DUMMYFUNCTION("""COMPUTED_VALUE"""),43242.0)</f>
        <v>43242</v>
      </c>
      <c r="H286">
        <f>IFERROR(__xludf.DUMMYFUNCTION("""COMPUTED_VALUE"""),30478.0)</f>
        <v>30478</v>
      </c>
      <c r="J286" s="5">
        <f>IFERROR(__xludf.DUMMYFUNCTION("""COMPUTED_VALUE"""),43292.0)</f>
        <v>43292</v>
      </c>
      <c r="M286">
        <f>IFERROR(__xludf.DUMMYFUNCTION("""COMPUTED_VALUE"""),50.0)</f>
        <v>50</v>
      </c>
      <c r="N286" t="str">
        <f>IFERROR(__xludf.DUMMYFUNCTION("""COMPUTED_VALUE"""),"Model 3 LR")</f>
        <v>Model 3 LR</v>
      </c>
      <c r="O286" t="str">
        <f>IFERROR(__xludf.DUMMYFUNCTION("""COMPUTED_VALUE"""),"Midnight Silver Metallic")</f>
        <v>Midnight Silver Metallic</v>
      </c>
      <c r="P286" t="str">
        <f>IFERROR(__xludf.DUMMYFUNCTION("""COMPUTED_VALUE"""),"18 inch Aero")</f>
        <v>18 inch Aero</v>
      </c>
      <c r="Q286" t="str">
        <f>IFERROR(__xludf.DUMMYFUNCTION("""COMPUTED_VALUE"""),"Black seats")</f>
        <v>Black seats</v>
      </c>
      <c r="R286" t="str">
        <f>IFERROR(__xludf.DUMMYFUNCTION("""COMPUTED_VALUE"""),"Enhanced Autopilot")</f>
        <v>Enhanced Autopilot</v>
      </c>
      <c r="X286" t="str">
        <f>IFERROR(__xludf.DUMMYFUNCTION("""COMPUTED_VALUE"""),"Very Good")</f>
        <v>Very Good</v>
      </c>
      <c r="Y286" t="str">
        <f>IFERROR(__xludf.DUMMYFUNCTION("""COMPUTED_VALUE"""),"Excellent")</f>
        <v>Excellent</v>
      </c>
      <c r="Z286" t="str">
        <f>IFERROR(__xludf.DUMMYFUNCTION("""COMPUTED_VALUE"""),"Excellent")</f>
        <v>Excellent</v>
      </c>
      <c r="AA286" t="str">
        <f>IFERROR(__xludf.DUMMYFUNCTION("""COMPUTED_VALUE"""),"Very Good")</f>
        <v>Very Good</v>
      </c>
      <c r="AB286" t="str">
        <f>IFERROR(__xludf.DUMMYFUNCTION("""COMPUTED_VALUE"""),"Excellent")</f>
        <v>Excellent</v>
      </c>
      <c r="AC286">
        <f>IFERROR(__xludf.DUMMYFUNCTION("""COMPUTED_VALUE"""),1.0)</f>
        <v>1</v>
      </c>
      <c r="AD286">
        <f>IFERROR(__xludf.DUMMYFUNCTION("""COMPUTED_VALUE"""),1.0)</f>
        <v>1</v>
      </c>
      <c r="AE286">
        <f>IFERROR(__xludf.DUMMYFUNCTION("""COMPUTED_VALUE"""),0.0)</f>
        <v>0</v>
      </c>
      <c r="AH286" s="189">
        <f>IFERROR(__xludf.DUMMYFUNCTION("""COMPUTED_VALUE"""),43294.33265768518)</f>
        <v>43294.33266</v>
      </c>
    </row>
    <row r="287">
      <c r="A287" t="str">
        <f>IFERROR(__xludf.DUMMYFUNCTION("""COMPUTED_VALUE"""),"neutrino82")</f>
        <v>neutrino82</v>
      </c>
      <c r="B287" t="str">
        <f>IFERROR(__xludf.DUMMYFUNCTION("""COMPUTED_VALUE"""),"San Diego")</f>
        <v>San Diego</v>
      </c>
      <c r="C287" t="str">
        <f>IFERROR(__xludf.DUMMYFUNCTION("""COMPUTED_VALUE"""),"CA")</f>
        <v>CA</v>
      </c>
      <c r="D287" t="str">
        <f>IFERROR(__xludf.DUMMYFUNCTION("""COMPUTED_VALUE"""),"USA")</f>
        <v>USA</v>
      </c>
      <c r="E287" s="188">
        <f>IFERROR(__xludf.DUMMYFUNCTION("""COMPUTED_VALUE"""),43278.0)</f>
        <v>43278</v>
      </c>
      <c r="F287" s="188">
        <f>IFERROR(__xludf.DUMMYFUNCTION("""COMPUTED_VALUE"""),43291.0)</f>
        <v>43291</v>
      </c>
      <c r="H287">
        <f>IFERROR(__xludf.DUMMYFUNCTION("""COMPUTED_VALUE"""),36961.0)</f>
        <v>36961</v>
      </c>
      <c r="I287" t="str">
        <f>IFERROR(__xludf.DUMMYFUNCTION("""COMPUTED_VALUE"""),"06/18")</f>
        <v>06/18</v>
      </c>
      <c r="J287" s="5">
        <f>IFERROR(__xludf.DUMMYFUNCTION("""COMPUTED_VALUE"""),43294.0)</f>
        <v>43294</v>
      </c>
      <c r="K287">
        <f>IFERROR(__xludf.DUMMYFUNCTION("""COMPUTED_VALUE"""),13.0)</f>
        <v>13</v>
      </c>
      <c r="L287">
        <f>IFERROR(__xludf.DUMMYFUNCTION("""COMPUTED_VALUE"""),3.0)</f>
        <v>3</v>
      </c>
      <c r="M287">
        <f>IFERROR(__xludf.DUMMYFUNCTION("""COMPUTED_VALUE"""),16.0)</f>
        <v>16</v>
      </c>
      <c r="N287" t="str">
        <f>IFERROR(__xludf.DUMMYFUNCTION("""COMPUTED_VALUE"""),"Model 3 LR")</f>
        <v>Model 3 LR</v>
      </c>
      <c r="O287" t="str">
        <f>IFERROR(__xludf.DUMMYFUNCTION("""COMPUTED_VALUE"""),"Midnight Silver Metallic")</f>
        <v>Midnight Silver Metallic</v>
      </c>
      <c r="P287" t="str">
        <f>IFERROR(__xludf.DUMMYFUNCTION("""COMPUTED_VALUE"""),"18 inch Aero")</f>
        <v>18 inch Aero</v>
      </c>
      <c r="Q287" t="str">
        <f>IFERROR(__xludf.DUMMYFUNCTION("""COMPUTED_VALUE"""),"Black seats")</f>
        <v>Black seats</v>
      </c>
      <c r="R287" t="str">
        <f>IFERROR(__xludf.DUMMYFUNCTION("""COMPUTED_VALUE"""),"Enhanced Autopilot")</f>
        <v>Enhanced Autopilot</v>
      </c>
      <c r="X287" t="str">
        <f>IFERROR(__xludf.DUMMYFUNCTION("""COMPUTED_VALUE"""),"Excellent")</f>
        <v>Excellent</v>
      </c>
      <c r="Y287" t="str">
        <f>IFERROR(__xludf.DUMMYFUNCTION("""COMPUTED_VALUE"""),"Very Good")</f>
        <v>Very Good</v>
      </c>
      <c r="Z287" t="str">
        <f>IFERROR(__xludf.DUMMYFUNCTION("""COMPUTED_VALUE"""),"Excellent")</f>
        <v>Excellent</v>
      </c>
      <c r="AA287" t="str">
        <f>IFERROR(__xludf.DUMMYFUNCTION("""COMPUTED_VALUE"""),"Excellent")</f>
        <v>Excellent</v>
      </c>
      <c r="AB287" t="str">
        <f>IFERROR(__xludf.DUMMYFUNCTION("""COMPUTED_VALUE"""),"Excellent")</f>
        <v>Excellent</v>
      </c>
      <c r="AH287" s="189">
        <f>IFERROR(__xludf.DUMMYFUNCTION("""COMPUTED_VALUE"""),43294.54361613426)</f>
        <v>43294.54362</v>
      </c>
    </row>
    <row r="288">
      <c r="A288" t="str">
        <f>IFERROR(__xludf.DUMMYFUNCTION("""COMPUTED_VALUE"""),"katio")</f>
        <v>katio</v>
      </c>
      <c r="B288" t="str">
        <f>IFERROR(__xludf.DUMMYFUNCTION("""COMPUTED_VALUE"""),"Los Angeles")</f>
        <v>Los Angeles</v>
      </c>
      <c r="C288" t="str">
        <f>IFERROR(__xludf.DUMMYFUNCTION("""COMPUTED_VALUE"""),"CA")</f>
        <v>CA</v>
      </c>
      <c r="D288" t="str">
        <f>IFERROR(__xludf.DUMMYFUNCTION("""COMPUTED_VALUE"""),"USA")</f>
        <v>USA</v>
      </c>
      <c r="E288" s="188">
        <f>IFERROR(__xludf.DUMMYFUNCTION("""COMPUTED_VALUE"""),43278.0)</f>
        <v>43278</v>
      </c>
      <c r="F288" s="188">
        <f>IFERROR(__xludf.DUMMYFUNCTION("""COMPUTED_VALUE"""),43280.0)</f>
        <v>43280</v>
      </c>
      <c r="H288">
        <f>IFERROR(__xludf.DUMMYFUNCTION("""COMPUTED_VALUE"""),35055.0)</f>
        <v>35055</v>
      </c>
      <c r="I288" t="str">
        <f>IFERROR(__xludf.DUMMYFUNCTION("""COMPUTED_VALUE"""),"06/18")</f>
        <v>06/18</v>
      </c>
      <c r="J288" s="5">
        <f>IFERROR(__xludf.DUMMYFUNCTION("""COMPUTED_VALUE"""),43290.0)</f>
        <v>43290</v>
      </c>
      <c r="K288">
        <f>IFERROR(__xludf.DUMMYFUNCTION("""COMPUTED_VALUE"""),2.0)</f>
        <v>2</v>
      </c>
      <c r="L288">
        <f>IFERROR(__xludf.DUMMYFUNCTION("""COMPUTED_VALUE"""),10.0)</f>
        <v>10</v>
      </c>
      <c r="M288">
        <f>IFERROR(__xludf.DUMMYFUNCTION("""COMPUTED_VALUE"""),12.0)</f>
        <v>12</v>
      </c>
      <c r="N288" t="str">
        <f>IFERROR(__xludf.DUMMYFUNCTION("""COMPUTED_VALUE"""),"Model 3 LR")</f>
        <v>Model 3 LR</v>
      </c>
      <c r="O288" t="str">
        <f>IFERROR(__xludf.DUMMYFUNCTION("""COMPUTED_VALUE"""),"Deep Blue Metallic")</f>
        <v>Deep Blue Metallic</v>
      </c>
      <c r="P288" t="str">
        <f>IFERROR(__xludf.DUMMYFUNCTION("""COMPUTED_VALUE"""),"19 inch Sport")</f>
        <v>19 inch Sport</v>
      </c>
      <c r="Q288" t="str">
        <f>IFERROR(__xludf.DUMMYFUNCTION("""COMPUTED_VALUE"""),"Black seats")</f>
        <v>Black seats</v>
      </c>
      <c r="R288" t="str">
        <f>IFERROR(__xludf.DUMMYFUNCTION("""COMPUTED_VALUE"""),"Enhanced Autopilot")</f>
        <v>Enhanced Autopilot</v>
      </c>
      <c r="X288" t="str">
        <f>IFERROR(__xludf.DUMMYFUNCTION("""COMPUTED_VALUE"""),"Very Good")</f>
        <v>Very Good</v>
      </c>
      <c r="Y288" t="str">
        <f>IFERROR(__xludf.DUMMYFUNCTION("""COMPUTED_VALUE"""),"Very Good")</f>
        <v>Very Good</v>
      </c>
      <c r="Z288" t="str">
        <f>IFERROR(__xludf.DUMMYFUNCTION("""COMPUTED_VALUE"""),"Good")</f>
        <v>Good</v>
      </c>
      <c r="AA288" t="str">
        <f>IFERROR(__xludf.DUMMYFUNCTION("""COMPUTED_VALUE"""),"Fair")</f>
        <v>Fair</v>
      </c>
      <c r="AB288" t="str">
        <f>IFERROR(__xludf.DUMMYFUNCTION("""COMPUTED_VALUE"""),"Good")</f>
        <v>Good</v>
      </c>
      <c r="AC288">
        <f>IFERROR(__xludf.DUMMYFUNCTION("""COMPUTED_VALUE"""),3.0)</f>
        <v>3</v>
      </c>
      <c r="AH288" s="189">
        <f>IFERROR(__xludf.DUMMYFUNCTION("""COMPUTED_VALUE"""),43294.64520226852)</f>
        <v>43294.6452</v>
      </c>
    </row>
    <row r="289">
      <c r="A289" t="str">
        <f>IFERROR(__xludf.DUMMYFUNCTION("""COMPUTED_VALUE"""),"ac737")</f>
        <v>ac737</v>
      </c>
      <c r="C289" t="str">
        <f>IFERROR(__xludf.DUMMYFUNCTION("""COMPUTED_VALUE"""),"CA")</f>
        <v>CA</v>
      </c>
      <c r="D289" t="str">
        <f>IFERROR(__xludf.DUMMYFUNCTION("""COMPUTED_VALUE"""),"USA")</f>
        <v>USA</v>
      </c>
      <c r="E289" s="188">
        <f>IFERROR(__xludf.DUMMYFUNCTION("""COMPUTED_VALUE"""),43278.0)</f>
        <v>43278</v>
      </c>
      <c r="H289">
        <f>IFERROR(__xludf.DUMMYFUNCTION("""COMPUTED_VALUE"""),22760.0)</f>
        <v>22760</v>
      </c>
      <c r="J289" s="5">
        <f>IFERROR(__xludf.DUMMYFUNCTION("""COMPUTED_VALUE"""),43292.0)</f>
        <v>43292</v>
      </c>
      <c r="M289">
        <f>IFERROR(__xludf.DUMMYFUNCTION("""COMPUTED_VALUE"""),14.0)</f>
        <v>14</v>
      </c>
      <c r="N289" t="str">
        <f>IFERROR(__xludf.DUMMYFUNCTION("""COMPUTED_VALUE"""),"Model 3 LR")</f>
        <v>Model 3 LR</v>
      </c>
      <c r="O289" t="str">
        <f>IFERROR(__xludf.DUMMYFUNCTION("""COMPUTED_VALUE"""),"Deep Blue Metallic")</f>
        <v>Deep Blue Metallic</v>
      </c>
      <c r="P289" t="str">
        <f>IFERROR(__xludf.DUMMYFUNCTION("""COMPUTED_VALUE"""),"18 inch Aero")</f>
        <v>18 inch Aero</v>
      </c>
      <c r="Q289" t="str">
        <f>IFERROR(__xludf.DUMMYFUNCTION("""COMPUTED_VALUE"""),"Black seats")</f>
        <v>Black seats</v>
      </c>
      <c r="R289" t="str">
        <f>IFERROR(__xludf.DUMMYFUNCTION("""COMPUTED_VALUE"""),"Enhanced Autopilot")</f>
        <v>Enhanced Autopilot</v>
      </c>
      <c r="X289" t="str">
        <f>IFERROR(__xludf.DUMMYFUNCTION("""COMPUTED_VALUE"""),"Excellent")</f>
        <v>Excellent</v>
      </c>
      <c r="Y289" t="str">
        <f>IFERROR(__xludf.DUMMYFUNCTION("""COMPUTED_VALUE"""),"Very Good")</f>
        <v>Very Good</v>
      </c>
      <c r="Z289" t="str">
        <f>IFERROR(__xludf.DUMMYFUNCTION("""COMPUTED_VALUE"""),"Very Good")</f>
        <v>Very Good</v>
      </c>
      <c r="AA289" t="str">
        <f>IFERROR(__xludf.DUMMYFUNCTION("""COMPUTED_VALUE"""),"Very Good")</f>
        <v>Very Good</v>
      </c>
      <c r="AB289" t="str">
        <f>IFERROR(__xludf.DUMMYFUNCTION("""COMPUTED_VALUE"""),"Very Good")</f>
        <v>Very Good</v>
      </c>
      <c r="AC289">
        <f>IFERROR(__xludf.DUMMYFUNCTION("""COMPUTED_VALUE"""),6.0)</f>
        <v>6</v>
      </c>
      <c r="AH289" s="189">
        <f>IFERROR(__xludf.DUMMYFUNCTION("""COMPUTED_VALUE"""),43294.76542513889)</f>
        <v>43294.76543</v>
      </c>
    </row>
    <row r="290">
      <c r="A290" t="str">
        <f>IFERROR(__xludf.DUMMYFUNCTION("""COMPUTED_VALUE"""),"Nicholb")</f>
        <v>Nicholb</v>
      </c>
      <c r="C290" t="str">
        <f>IFERROR(__xludf.DUMMYFUNCTION("""COMPUTED_VALUE"""),"MN")</f>
        <v>MN</v>
      </c>
      <c r="D290" t="str">
        <f>IFERROR(__xludf.DUMMYFUNCTION("""COMPUTED_VALUE"""),"USA")</f>
        <v>USA</v>
      </c>
      <c r="E290" s="188">
        <f>IFERROR(__xludf.DUMMYFUNCTION("""COMPUTED_VALUE"""),43279.0)</f>
        <v>43279</v>
      </c>
      <c r="F290" s="188">
        <f>IFERROR(__xludf.DUMMYFUNCTION("""COMPUTED_VALUE"""),43281.0)</f>
        <v>43281</v>
      </c>
      <c r="H290">
        <f>IFERROR(__xludf.DUMMYFUNCTION("""COMPUTED_VALUE"""),34255.0)</f>
        <v>34255</v>
      </c>
      <c r="J290" s="5">
        <f>IFERROR(__xludf.DUMMYFUNCTION("""COMPUTED_VALUE"""),43293.0)</f>
        <v>43293</v>
      </c>
      <c r="K290">
        <f>IFERROR(__xludf.DUMMYFUNCTION("""COMPUTED_VALUE"""),2.0)</f>
        <v>2</v>
      </c>
      <c r="L290">
        <f>IFERROR(__xludf.DUMMYFUNCTION("""COMPUTED_VALUE"""),12.0)</f>
        <v>12</v>
      </c>
      <c r="M290">
        <f>IFERROR(__xludf.DUMMYFUNCTION("""COMPUTED_VALUE"""),14.0)</f>
        <v>14</v>
      </c>
      <c r="N290" t="str">
        <f>IFERROR(__xludf.DUMMYFUNCTION("""COMPUTED_VALUE"""),"Model 3 LR")</f>
        <v>Model 3 LR</v>
      </c>
      <c r="O290" t="str">
        <f>IFERROR(__xludf.DUMMYFUNCTION("""COMPUTED_VALUE"""),"Deep Blue Metallic")</f>
        <v>Deep Blue Metallic</v>
      </c>
      <c r="P290" t="str">
        <f>IFERROR(__xludf.DUMMYFUNCTION("""COMPUTED_VALUE"""),"18 inch Aero")</f>
        <v>18 inch Aero</v>
      </c>
      <c r="Q290" t="str">
        <f>IFERROR(__xludf.DUMMYFUNCTION("""COMPUTED_VALUE"""),"Black seats")</f>
        <v>Black seats</v>
      </c>
      <c r="R290" t="str">
        <f>IFERROR(__xludf.DUMMYFUNCTION("""COMPUTED_VALUE"""),"Full Self-Driving")</f>
        <v>Full Self-Driving</v>
      </c>
      <c r="X290" t="str">
        <f>IFERROR(__xludf.DUMMYFUNCTION("""COMPUTED_VALUE"""),"Excellent")</f>
        <v>Excellent</v>
      </c>
      <c r="Y290" t="str">
        <f>IFERROR(__xludf.DUMMYFUNCTION("""COMPUTED_VALUE"""),"Excellent")</f>
        <v>Excellent</v>
      </c>
      <c r="Z290" t="str">
        <f>IFERROR(__xludf.DUMMYFUNCTION("""COMPUTED_VALUE"""),"Excellent")</f>
        <v>Excellent</v>
      </c>
      <c r="AA290" t="str">
        <f>IFERROR(__xludf.DUMMYFUNCTION("""COMPUTED_VALUE"""),"Very Good")</f>
        <v>Very Good</v>
      </c>
      <c r="AB290" t="str">
        <f>IFERROR(__xludf.DUMMYFUNCTION("""COMPUTED_VALUE"""),"Very Good")</f>
        <v>Very Good</v>
      </c>
      <c r="AC290">
        <f>IFERROR(__xludf.DUMMYFUNCTION("""COMPUTED_VALUE"""),1.0)</f>
        <v>1</v>
      </c>
      <c r="AH290" s="189">
        <f>IFERROR(__xludf.DUMMYFUNCTION("""COMPUTED_VALUE"""),43294.90581304398)</f>
        <v>43294.90581</v>
      </c>
    </row>
    <row r="291">
      <c r="A291" t="str">
        <f>IFERROR(__xludf.DUMMYFUNCTION("""COMPUTED_VALUE"""),"nil0lab")</f>
        <v>nil0lab</v>
      </c>
      <c r="B291" t="str">
        <f>IFERROR(__xludf.DUMMYFUNCTION("""COMPUTED_VALUE"""),"san francisco")</f>
        <v>san francisco</v>
      </c>
      <c r="C291" t="str">
        <f>IFERROR(__xludf.DUMMYFUNCTION("""COMPUTED_VALUE"""),"CA")</f>
        <v>CA</v>
      </c>
      <c r="D291" t="str">
        <f>IFERROR(__xludf.DUMMYFUNCTION("""COMPUTED_VALUE"""),"USA")</f>
        <v>USA</v>
      </c>
      <c r="E291" s="188">
        <f>IFERROR(__xludf.DUMMYFUNCTION("""COMPUTED_VALUE"""),43209.0)</f>
        <v>43209</v>
      </c>
      <c r="F291" s="188">
        <f>IFERROR(__xludf.DUMMYFUNCTION("""COMPUTED_VALUE"""),43277.0)</f>
        <v>43277</v>
      </c>
      <c r="H291">
        <f>IFERROR(__xludf.DUMMYFUNCTION("""COMPUTED_VALUE"""),31755.0)</f>
        <v>31755</v>
      </c>
      <c r="J291" s="5">
        <f>IFERROR(__xludf.DUMMYFUNCTION("""COMPUTED_VALUE"""),43281.0)</f>
        <v>43281</v>
      </c>
      <c r="K291">
        <f>IFERROR(__xludf.DUMMYFUNCTION("""COMPUTED_VALUE"""),68.0)</f>
        <v>68</v>
      </c>
      <c r="L291">
        <f>IFERROR(__xludf.DUMMYFUNCTION("""COMPUTED_VALUE"""),4.0)</f>
        <v>4</v>
      </c>
      <c r="M291">
        <f>IFERROR(__xludf.DUMMYFUNCTION("""COMPUTED_VALUE"""),72.0)</f>
        <v>72</v>
      </c>
      <c r="N291" t="str">
        <f>IFERROR(__xludf.DUMMYFUNCTION("""COMPUTED_VALUE"""),"Model 3 LR")</f>
        <v>Model 3 LR</v>
      </c>
      <c r="O291" t="str">
        <f>IFERROR(__xludf.DUMMYFUNCTION("""COMPUTED_VALUE"""),"Red Multi-Coat")</f>
        <v>Red Multi-Coat</v>
      </c>
      <c r="P291" t="str">
        <f>IFERROR(__xludf.DUMMYFUNCTION("""COMPUTED_VALUE"""),"18 inch Aero")</f>
        <v>18 inch Aero</v>
      </c>
      <c r="R291" t="str">
        <f>IFERROR(__xludf.DUMMYFUNCTION("""COMPUTED_VALUE"""),"None")</f>
        <v>None</v>
      </c>
      <c r="X291" t="str">
        <f>IFERROR(__xludf.DUMMYFUNCTION("""COMPUTED_VALUE"""),"Excellent")</f>
        <v>Excellent</v>
      </c>
      <c r="Y291" t="str">
        <f>IFERROR(__xludf.DUMMYFUNCTION("""COMPUTED_VALUE"""),"Excellent")</f>
        <v>Excellent</v>
      </c>
      <c r="Z291" t="str">
        <f>IFERROR(__xludf.DUMMYFUNCTION("""COMPUTED_VALUE"""),"Excellent")</f>
        <v>Excellent</v>
      </c>
      <c r="AA291" t="str">
        <f>IFERROR(__xludf.DUMMYFUNCTION("""COMPUTED_VALUE"""),"Good")</f>
        <v>Good</v>
      </c>
      <c r="AB291" t="str">
        <f>IFERROR(__xludf.DUMMYFUNCTION("""COMPUTED_VALUE"""),"Excellent")</f>
        <v>Excellent</v>
      </c>
      <c r="AC291">
        <f>IFERROR(__xludf.DUMMYFUNCTION("""COMPUTED_VALUE"""),1.0)</f>
        <v>1</v>
      </c>
      <c r="AD291">
        <f>IFERROR(__xludf.DUMMYFUNCTION("""COMPUTED_VALUE"""),0.0)</f>
        <v>0</v>
      </c>
      <c r="AE291">
        <f>IFERROR(__xludf.DUMMYFUNCTION("""COMPUTED_VALUE"""),0.0)</f>
        <v>0</v>
      </c>
      <c r="AH291" s="189">
        <f>IFERROR(__xludf.DUMMYFUNCTION("""COMPUTED_VALUE"""),43295.63407410879)</f>
        <v>43295.63407</v>
      </c>
    </row>
    <row r="292">
      <c r="A292" t="str">
        <f>IFERROR(__xludf.DUMMYFUNCTION("""COMPUTED_VALUE"""),"twfarley")</f>
        <v>twfarley</v>
      </c>
      <c r="B292" t="str">
        <f>IFERROR(__xludf.DUMMYFUNCTION("""COMPUTED_VALUE"""),"San Jose")</f>
        <v>San Jose</v>
      </c>
      <c r="C292" t="str">
        <f>IFERROR(__xludf.DUMMYFUNCTION("""COMPUTED_VALUE"""),"CA")</f>
        <v>CA</v>
      </c>
      <c r="D292" t="str">
        <f>IFERROR(__xludf.DUMMYFUNCTION("""COMPUTED_VALUE"""),"USA")</f>
        <v>USA</v>
      </c>
      <c r="E292" s="188">
        <f>IFERROR(__xludf.DUMMYFUNCTION("""COMPUTED_VALUE"""),43278.0)</f>
        <v>43278</v>
      </c>
      <c r="F292" s="188">
        <f>IFERROR(__xludf.DUMMYFUNCTION("""COMPUTED_VALUE"""),43293.0)</f>
        <v>43293</v>
      </c>
      <c r="H292">
        <f>IFERROR(__xludf.DUMMYFUNCTION("""COMPUTED_VALUE"""),41529.0)</f>
        <v>41529</v>
      </c>
      <c r="J292" s="5">
        <f>IFERROR(__xludf.DUMMYFUNCTION("""COMPUTED_VALUE"""),43294.0)</f>
        <v>43294</v>
      </c>
      <c r="K292">
        <f>IFERROR(__xludf.DUMMYFUNCTION("""COMPUTED_VALUE"""),15.0)</f>
        <v>15</v>
      </c>
      <c r="L292">
        <f>IFERROR(__xludf.DUMMYFUNCTION("""COMPUTED_VALUE"""),1.0)</f>
        <v>1</v>
      </c>
      <c r="M292">
        <f>IFERROR(__xludf.DUMMYFUNCTION("""COMPUTED_VALUE"""),16.0)</f>
        <v>16</v>
      </c>
      <c r="N292" t="str">
        <f>IFERROR(__xludf.DUMMYFUNCTION("""COMPUTED_VALUE"""),"Model 3 LR")</f>
        <v>Model 3 LR</v>
      </c>
      <c r="O292" t="str">
        <f>IFERROR(__xludf.DUMMYFUNCTION("""COMPUTED_VALUE"""),"Deep Blue Metallic")</f>
        <v>Deep Blue Metallic</v>
      </c>
      <c r="P292" t="str">
        <f>IFERROR(__xludf.DUMMYFUNCTION("""COMPUTED_VALUE"""),"18 inch Aero")</f>
        <v>18 inch Aero</v>
      </c>
      <c r="Q292" t="str">
        <f>IFERROR(__xludf.DUMMYFUNCTION("""COMPUTED_VALUE"""),"Black seats")</f>
        <v>Black seats</v>
      </c>
      <c r="R292" t="str">
        <f>IFERROR(__xludf.DUMMYFUNCTION("""COMPUTED_VALUE"""),"None")</f>
        <v>None</v>
      </c>
      <c r="X292" t="str">
        <f>IFERROR(__xludf.DUMMYFUNCTION("""COMPUTED_VALUE"""),"Excellent")</f>
        <v>Excellent</v>
      </c>
      <c r="Y292" t="str">
        <f>IFERROR(__xludf.DUMMYFUNCTION("""COMPUTED_VALUE"""),"Very Good")</f>
        <v>Very Good</v>
      </c>
      <c r="Z292" t="str">
        <f>IFERROR(__xludf.DUMMYFUNCTION("""COMPUTED_VALUE"""),"Excellent")</f>
        <v>Excellent</v>
      </c>
      <c r="AA292" t="str">
        <f>IFERROR(__xludf.DUMMYFUNCTION("""COMPUTED_VALUE"""),"Excellent")</f>
        <v>Excellent</v>
      </c>
      <c r="AB292" t="str">
        <f>IFERROR(__xludf.DUMMYFUNCTION("""COMPUTED_VALUE"""),"Excellent")</f>
        <v>Excellent</v>
      </c>
      <c r="AC292">
        <f>IFERROR(__xludf.DUMMYFUNCTION("""COMPUTED_VALUE"""),0.0)</f>
        <v>0</v>
      </c>
      <c r="AD292">
        <f>IFERROR(__xludf.DUMMYFUNCTION("""COMPUTED_VALUE"""),0.0)</f>
        <v>0</v>
      </c>
      <c r="AH292" s="189">
        <f>IFERROR(__xludf.DUMMYFUNCTION("""COMPUTED_VALUE"""),43295.9592869676)</f>
        <v>43295.95929</v>
      </c>
    </row>
    <row r="293">
      <c r="A293" t="str">
        <f>IFERROR(__xludf.DUMMYFUNCTION("""COMPUTED_VALUE"""),"Yoda101")</f>
        <v>Yoda101</v>
      </c>
      <c r="C293" t="str">
        <f>IFERROR(__xludf.DUMMYFUNCTION("""COMPUTED_VALUE"""),"CA")</f>
        <v>CA</v>
      </c>
      <c r="D293" t="str">
        <f>IFERROR(__xludf.DUMMYFUNCTION("""COMPUTED_VALUE"""),"USA")</f>
        <v>USA</v>
      </c>
      <c r="E293" s="188">
        <f>IFERROR(__xludf.DUMMYFUNCTION("""COMPUTED_VALUE"""),43279.0)</f>
        <v>43279</v>
      </c>
      <c r="F293" s="188">
        <f>IFERROR(__xludf.DUMMYFUNCTION("""COMPUTED_VALUE"""),43101.0)</f>
        <v>43101</v>
      </c>
      <c r="I293" t="str">
        <f>IFERROR(__xludf.DUMMYFUNCTION("""COMPUTED_VALUE"""),"07/18")</f>
        <v>07/18</v>
      </c>
      <c r="J293" s="5">
        <f>IFERROR(__xludf.DUMMYFUNCTION("""COMPUTED_VALUE"""),43829.0)</f>
        <v>43829</v>
      </c>
      <c r="M293">
        <f>IFERROR(__xludf.DUMMYFUNCTION("""COMPUTED_VALUE"""),550.0)</f>
        <v>550</v>
      </c>
      <c r="N293" t="str">
        <f>IFERROR(__xludf.DUMMYFUNCTION("""COMPUTED_VALUE"""),"Model 3 SR")</f>
        <v>Model 3 SR</v>
      </c>
      <c r="O293" t="str">
        <f>IFERROR(__xludf.DUMMYFUNCTION("""COMPUTED_VALUE"""),"Red Multi-Coat")</f>
        <v>Red Multi-Coat</v>
      </c>
      <c r="P293" t="str">
        <f>IFERROR(__xludf.DUMMYFUNCTION("""COMPUTED_VALUE"""),"18 inch Aero")</f>
        <v>18 inch Aero</v>
      </c>
      <c r="Q293" t="str">
        <f>IFERROR(__xludf.DUMMYFUNCTION("""COMPUTED_VALUE"""),"White seats")</f>
        <v>White seats</v>
      </c>
      <c r="R293" t="str">
        <f>IFERROR(__xludf.DUMMYFUNCTION("""COMPUTED_VALUE"""),"None")</f>
        <v>None</v>
      </c>
      <c r="X293" t="str">
        <f>IFERROR(__xludf.DUMMYFUNCTION("""COMPUTED_VALUE"""),"Excellent")</f>
        <v>Excellent</v>
      </c>
      <c r="Y293" t="str">
        <f>IFERROR(__xludf.DUMMYFUNCTION("""COMPUTED_VALUE"""),"Excellent")</f>
        <v>Excellent</v>
      </c>
      <c r="Z293" t="str">
        <f>IFERROR(__xludf.DUMMYFUNCTION("""COMPUTED_VALUE"""),"Excellent")</f>
        <v>Excellent</v>
      </c>
      <c r="AA293" t="str">
        <f>IFERROR(__xludf.DUMMYFUNCTION("""COMPUTED_VALUE"""),"Excellent")</f>
        <v>Excellent</v>
      </c>
      <c r="AB293" t="str">
        <f>IFERROR(__xludf.DUMMYFUNCTION("""COMPUTED_VALUE"""),"Excellent")</f>
        <v>Excellent</v>
      </c>
      <c r="AH293" s="189">
        <f>IFERROR(__xludf.DUMMYFUNCTION("""COMPUTED_VALUE"""),43295.99405178241)</f>
        <v>43295.99405</v>
      </c>
    </row>
    <row r="294">
      <c r="A294" t="str">
        <f>IFERROR(__xludf.DUMMYFUNCTION("""COMPUTED_VALUE"""),"DavidClark")</f>
        <v>DavidClark</v>
      </c>
      <c r="B294" t="str">
        <f>IFERROR(__xludf.DUMMYFUNCTION("""COMPUTED_VALUE"""),"Madison, AL")</f>
        <v>Madison, AL</v>
      </c>
      <c r="C294" t="str">
        <f>IFERROR(__xludf.DUMMYFUNCTION("""COMPUTED_VALUE"""),"AL")</f>
        <v>AL</v>
      </c>
      <c r="D294" t="str">
        <f>IFERROR(__xludf.DUMMYFUNCTION("""COMPUTED_VALUE"""),"USA")</f>
        <v>USA</v>
      </c>
      <c r="E294" s="188">
        <f>IFERROR(__xludf.DUMMYFUNCTION("""COMPUTED_VALUE"""),43278.0)</f>
        <v>43278</v>
      </c>
      <c r="F294" s="188">
        <f>IFERROR(__xludf.DUMMYFUNCTION("""COMPUTED_VALUE"""),43279.0)</f>
        <v>43279</v>
      </c>
      <c r="H294">
        <f>IFERROR(__xludf.DUMMYFUNCTION("""COMPUTED_VALUE"""),26655.0)</f>
        <v>26655</v>
      </c>
      <c r="I294" t="str">
        <f>IFERROR(__xludf.DUMMYFUNCTION("""COMPUTED_VALUE"""),"06/18")</f>
        <v>06/18</v>
      </c>
      <c r="J294" s="5">
        <f>IFERROR(__xludf.DUMMYFUNCTION("""COMPUTED_VALUE"""),43292.0)</f>
        <v>43292</v>
      </c>
      <c r="K294">
        <f>IFERROR(__xludf.DUMMYFUNCTION("""COMPUTED_VALUE"""),1.0)</f>
        <v>1</v>
      </c>
      <c r="L294">
        <f>IFERROR(__xludf.DUMMYFUNCTION("""COMPUTED_VALUE"""),13.0)</f>
        <v>13</v>
      </c>
      <c r="M294">
        <f>IFERROR(__xludf.DUMMYFUNCTION("""COMPUTED_VALUE"""),14.0)</f>
        <v>14</v>
      </c>
      <c r="N294" t="str">
        <f>IFERROR(__xludf.DUMMYFUNCTION("""COMPUTED_VALUE"""),"Model 3 LR")</f>
        <v>Model 3 LR</v>
      </c>
      <c r="O294" t="str">
        <f>IFERROR(__xludf.DUMMYFUNCTION("""COMPUTED_VALUE"""),"Midnight Silver Metallic")</f>
        <v>Midnight Silver Metallic</v>
      </c>
      <c r="P294" t="str">
        <f>IFERROR(__xludf.DUMMYFUNCTION("""COMPUTED_VALUE"""),"18 inch Aero")</f>
        <v>18 inch Aero</v>
      </c>
      <c r="Q294" t="str">
        <f>IFERROR(__xludf.DUMMYFUNCTION("""COMPUTED_VALUE"""),"Black seats")</f>
        <v>Black seats</v>
      </c>
      <c r="R294" t="str">
        <f>IFERROR(__xludf.DUMMYFUNCTION("""COMPUTED_VALUE"""),"Enhanced Autopilot")</f>
        <v>Enhanced Autopilot</v>
      </c>
      <c r="X294" t="str">
        <f>IFERROR(__xludf.DUMMYFUNCTION("""COMPUTED_VALUE"""),"Excellent")</f>
        <v>Excellent</v>
      </c>
      <c r="Y294" t="str">
        <f>IFERROR(__xludf.DUMMYFUNCTION("""COMPUTED_VALUE"""),"Very Good")</f>
        <v>Very Good</v>
      </c>
      <c r="Z294" t="str">
        <f>IFERROR(__xludf.DUMMYFUNCTION("""COMPUTED_VALUE"""),"Excellent")</f>
        <v>Excellent</v>
      </c>
      <c r="AA294" t="str">
        <f>IFERROR(__xludf.DUMMYFUNCTION("""COMPUTED_VALUE"""),"Good")</f>
        <v>Good</v>
      </c>
      <c r="AB294" t="str">
        <f>IFERROR(__xludf.DUMMYFUNCTION("""COMPUTED_VALUE"""),"Fair")</f>
        <v>Fair</v>
      </c>
      <c r="AC294">
        <f>IFERROR(__xludf.DUMMYFUNCTION("""COMPUTED_VALUE"""),0.0)</f>
        <v>0</v>
      </c>
      <c r="AD294">
        <f>IFERROR(__xludf.DUMMYFUNCTION("""COMPUTED_VALUE"""),0.0)</f>
        <v>0</v>
      </c>
      <c r="AE294">
        <f>IFERROR(__xludf.DUMMYFUNCTION("""COMPUTED_VALUE"""),0.0)</f>
        <v>0</v>
      </c>
      <c r="AG294" t="str">
        <f>IFERROR(__xludf.DUMMYFUNCTION("""COMPUTED_VALUE"""),"Home delivery")</f>
        <v>Home delivery</v>
      </c>
      <c r="AH294" s="189">
        <f>IFERROR(__xludf.DUMMYFUNCTION("""COMPUTED_VALUE"""),43296.27429806713)</f>
        <v>43296.2743</v>
      </c>
    </row>
    <row r="295">
      <c r="A295" t="str">
        <f>IFERROR(__xludf.DUMMYFUNCTION("""COMPUTED_VALUE"""),"jvc26")</f>
        <v>jvc26</v>
      </c>
      <c r="B295" t="str">
        <f>IFERROR(__xludf.DUMMYFUNCTION("""COMPUTED_VALUE"""),"Newark")</f>
        <v>Newark</v>
      </c>
      <c r="C295" t="str">
        <f>IFERROR(__xludf.DUMMYFUNCTION("""COMPUTED_VALUE"""),"DE")</f>
        <v>DE</v>
      </c>
      <c r="D295" t="str">
        <f>IFERROR(__xludf.DUMMYFUNCTION("""COMPUTED_VALUE"""),"USA")</f>
        <v>USA</v>
      </c>
      <c r="E295" s="188">
        <f>IFERROR(__xludf.DUMMYFUNCTION("""COMPUTED_VALUE"""),43218.0)</f>
        <v>43218</v>
      </c>
      <c r="F295" s="188">
        <f>IFERROR(__xludf.DUMMYFUNCTION("""COMPUTED_VALUE"""),43263.0)</f>
        <v>43263</v>
      </c>
      <c r="H295">
        <f>IFERROR(__xludf.DUMMYFUNCTION("""COMPUTED_VALUE"""),25823.0)</f>
        <v>25823</v>
      </c>
      <c r="I295" t="str">
        <f>IFERROR(__xludf.DUMMYFUNCTION("""COMPUTED_VALUE"""),"06/18")</f>
        <v>06/18</v>
      </c>
      <c r="J295" s="5">
        <f>IFERROR(__xludf.DUMMYFUNCTION("""COMPUTED_VALUE"""),43295.0)</f>
        <v>43295</v>
      </c>
      <c r="K295">
        <f>IFERROR(__xludf.DUMMYFUNCTION("""COMPUTED_VALUE"""),45.0)</f>
        <v>45</v>
      </c>
      <c r="L295">
        <f>IFERROR(__xludf.DUMMYFUNCTION("""COMPUTED_VALUE"""),32.0)</f>
        <v>32</v>
      </c>
      <c r="M295">
        <f>IFERROR(__xludf.DUMMYFUNCTION("""COMPUTED_VALUE"""),77.0)</f>
        <v>77</v>
      </c>
      <c r="N295" t="str">
        <f>IFERROR(__xludf.DUMMYFUNCTION("""COMPUTED_VALUE"""),"Model 3 LR")</f>
        <v>Model 3 LR</v>
      </c>
      <c r="O295" t="str">
        <f>IFERROR(__xludf.DUMMYFUNCTION("""COMPUTED_VALUE"""),"Midnight Silver Metallic")</f>
        <v>Midnight Silver Metallic</v>
      </c>
      <c r="P295" t="str">
        <f>IFERROR(__xludf.DUMMYFUNCTION("""COMPUTED_VALUE"""),"18 inch Aero")</f>
        <v>18 inch Aero</v>
      </c>
      <c r="Q295" t="str">
        <f>IFERROR(__xludf.DUMMYFUNCTION("""COMPUTED_VALUE"""),"Black seats")</f>
        <v>Black seats</v>
      </c>
      <c r="R295" t="str">
        <f>IFERROR(__xludf.DUMMYFUNCTION("""COMPUTED_VALUE"""),"Enhanced Autopilot")</f>
        <v>Enhanced Autopilot</v>
      </c>
      <c r="X295" t="str">
        <f>IFERROR(__xludf.DUMMYFUNCTION("""COMPUTED_VALUE"""),"Excellent")</f>
        <v>Excellent</v>
      </c>
      <c r="Y295" t="str">
        <f>IFERROR(__xludf.DUMMYFUNCTION("""COMPUTED_VALUE"""),"Excellent")</f>
        <v>Excellent</v>
      </c>
      <c r="Z295" t="str">
        <f>IFERROR(__xludf.DUMMYFUNCTION("""COMPUTED_VALUE"""),"Excellent")</f>
        <v>Excellent</v>
      </c>
      <c r="AA295" t="str">
        <f>IFERROR(__xludf.DUMMYFUNCTION("""COMPUTED_VALUE"""),"Excellent")</f>
        <v>Excellent</v>
      </c>
      <c r="AB295" t="str">
        <f>IFERROR(__xludf.DUMMYFUNCTION("""COMPUTED_VALUE"""),"Excellent")</f>
        <v>Excellent</v>
      </c>
      <c r="AH295" s="189">
        <f>IFERROR(__xludf.DUMMYFUNCTION("""COMPUTED_VALUE"""),43296.4722281713)</f>
        <v>43296.47223</v>
      </c>
    </row>
    <row r="296">
      <c r="A296" t="str">
        <f>IFERROR(__xludf.DUMMYFUNCTION("""COMPUTED_VALUE"""),"gmoses")</f>
        <v>gmoses</v>
      </c>
      <c r="B296" t="str">
        <f>IFERROR(__xludf.DUMMYFUNCTION("""COMPUTED_VALUE"""),"Ft. Worth")</f>
        <v>Ft. Worth</v>
      </c>
      <c r="C296" t="str">
        <f>IFERROR(__xludf.DUMMYFUNCTION("""COMPUTED_VALUE"""),"TX")</f>
        <v>TX</v>
      </c>
      <c r="D296" t="str">
        <f>IFERROR(__xludf.DUMMYFUNCTION("""COMPUTED_VALUE"""),"USA")</f>
        <v>USA</v>
      </c>
      <c r="E296" s="188">
        <f>IFERROR(__xludf.DUMMYFUNCTION("""COMPUTED_VALUE"""),43216.0)</f>
        <v>43216</v>
      </c>
      <c r="F296" s="188">
        <f>IFERROR(__xludf.DUMMYFUNCTION("""COMPUTED_VALUE"""),43266.0)</f>
        <v>43266</v>
      </c>
      <c r="H296">
        <f>IFERROR(__xludf.DUMMYFUNCTION("""COMPUTED_VALUE"""),37255.0)</f>
        <v>37255</v>
      </c>
      <c r="J296" s="5">
        <f>IFERROR(__xludf.DUMMYFUNCTION("""COMPUTED_VALUE"""),43287.0)</f>
        <v>43287</v>
      </c>
      <c r="K296">
        <f>IFERROR(__xludf.DUMMYFUNCTION("""COMPUTED_VALUE"""),50.0)</f>
        <v>50</v>
      </c>
      <c r="L296">
        <f>IFERROR(__xludf.DUMMYFUNCTION("""COMPUTED_VALUE"""),21.0)</f>
        <v>21</v>
      </c>
      <c r="M296">
        <f>IFERROR(__xludf.DUMMYFUNCTION("""COMPUTED_VALUE"""),71.0)</f>
        <v>71</v>
      </c>
      <c r="N296" t="str">
        <f>IFERROR(__xludf.DUMMYFUNCTION("""COMPUTED_VALUE"""),"Model 3 LR")</f>
        <v>Model 3 LR</v>
      </c>
      <c r="O296" t="str">
        <f>IFERROR(__xludf.DUMMYFUNCTION("""COMPUTED_VALUE"""),"Silver Metallic")</f>
        <v>Silver Metallic</v>
      </c>
      <c r="P296" t="str">
        <f>IFERROR(__xludf.DUMMYFUNCTION("""COMPUTED_VALUE"""),"18 inch Aero")</f>
        <v>18 inch Aero</v>
      </c>
      <c r="Q296" t="str">
        <f>IFERROR(__xludf.DUMMYFUNCTION("""COMPUTED_VALUE"""),"Black seats")</f>
        <v>Black seats</v>
      </c>
      <c r="R296" t="str">
        <f>IFERROR(__xludf.DUMMYFUNCTION("""COMPUTED_VALUE"""),"Enhanced Autopilot")</f>
        <v>Enhanced Autopilot</v>
      </c>
      <c r="X296" t="str">
        <f>IFERROR(__xludf.DUMMYFUNCTION("""COMPUTED_VALUE"""),"Excellent")</f>
        <v>Excellent</v>
      </c>
      <c r="Y296" t="str">
        <f>IFERROR(__xludf.DUMMYFUNCTION("""COMPUTED_VALUE"""),"Very Good")</f>
        <v>Very Good</v>
      </c>
      <c r="Z296" t="str">
        <f>IFERROR(__xludf.DUMMYFUNCTION("""COMPUTED_VALUE"""),"Good")</f>
        <v>Good</v>
      </c>
      <c r="AA296" t="str">
        <f>IFERROR(__xludf.DUMMYFUNCTION("""COMPUTED_VALUE"""),"Poor")</f>
        <v>Poor</v>
      </c>
      <c r="AB296" t="str">
        <f>IFERROR(__xludf.DUMMYFUNCTION("""COMPUTED_VALUE"""),"Good")</f>
        <v>Good</v>
      </c>
      <c r="AC296">
        <f>IFERROR(__xludf.DUMMYFUNCTION("""COMPUTED_VALUE"""),2.0)</f>
        <v>2</v>
      </c>
      <c r="AG296" t="str">
        <f>IFERROR(__xludf.DUMMYFUNCTION("""COMPUTED_VALUE"""),"Configured 3/23, then changed color on 4/26")</f>
        <v>Configured 3/23, then changed color on 4/26</v>
      </c>
      <c r="AH296" s="189">
        <f>IFERROR(__xludf.DUMMYFUNCTION("""COMPUTED_VALUE"""),43296.613768298615)</f>
        <v>43296.61377</v>
      </c>
    </row>
    <row r="297">
      <c r="A297" t="str">
        <f>IFERROR(__xludf.DUMMYFUNCTION("""COMPUTED_VALUE"""),"EvFanatic")</f>
        <v>EvFanatic</v>
      </c>
      <c r="B297" t="str">
        <f>IFERROR(__xludf.DUMMYFUNCTION("""COMPUTED_VALUE"""),"Dallas")</f>
        <v>Dallas</v>
      </c>
      <c r="C297" t="str">
        <f>IFERROR(__xludf.DUMMYFUNCTION("""COMPUTED_VALUE"""),"TX")</f>
        <v>TX</v>
      </c>
      <c r="D297" t="str">
        <f>IFERROR(__xludf.DUMMYFUNCTION("""COMPUTED_VALUE"""),"USA")</f>
        <v>USA</v>
      </c>
      <c r="E297" s="188">
        <f>IFERROR(__xludf.DUMMYFUNCTION("""COMPUTED_VALUE"""),43202.0)</f>
        <v>43202</v>
      </c>
      <c r="F297" s="188">
        <f>IFERROR(__xludf.DUMMYFUNCTION("""COMPUTED_VALUE"""),43241.0)</f>
        <v>43241</v>
      </c>
      <c r="H297">
        <f>IFERROR(__xludf.DUMMYFUNCTION("""COMPUTED_VALUE"""),19355.0)</f>
        <v>19355</v>
      </c>
      <c r="I297" t="str">
        <f>IFERROR(__xludf.DUMMYFUNCTION("""COMPUTED_VALUE"""),"05/18")</f>
        <v>05/18</v>
      </c>
      <c r="J297" s="5">
        <f>IFERROR(__xludf.DUMMYFUNCTION("""COMPUTED_VALUE"""),43295.0)</f>
        <v>43295</v>
      </c>
      <c r="K297">
        <f>IFERROR(__xludf.DUMMYFUNCTION("""COMPUTED_VALUE"""),39.0)</f>
        <v>39</v>
      </c>
      <c r="L297">
        <f>IFERROR(__xludf.DUMMYFUNCTION("""COMPUTED_VALUE"""),54.0)</f>
        <v>54</v>
      </c>
      <c r="M297">
        <f>IFERROR(__xludf.DUMMYFUNCTION("""COMPUTED_VALUE"""),93.0)</f>
        <v>93</v>
      </c>
      <c r="N297" t="str">
        <f>IFERROR(__xludf.DUMMYFUNCTION("""COMPUTED_VALUE"""),"Model 3 LR")</f>
        <v>Model 3 LR</v>
      </c>
      <c r="O297" t="str">
        <f>IFERROR(__xludf.DUMMYFUNCTION("""COMPUTED_VALUE"""),"Red Multi-Coat")</f>
        <v>Red Multi-Coat</v>
      </c>
      <c r="P297" t="str">
        <f>IFERROR(__xludf.DUMMYFUNCTION("""COMPUTED_VALUE"""),"18 inch Aero")</f>
        <v>18 inch Aero</v>
      </c>
      <c r="Q297" t="str">
        <f>IFERROR(__xludf.DUMMYFUNCTION("""COMPUTED_VALUE"""),"Black seats")</f>
        <v>Black seats</v>
      </c>
      <c r="R297" t="str">
        <f>IFERROR(__xludf.DUMMYFUNCTION("""COMPUTED_VALUE"""),"Enhanced Autopilot")</f>
        <v>Enhanced Autopilot</v>
      </c>
      <c r="X297" t="str">
        <f>IFERROR(__xludf.DUMMYFUNCTION("""COMPUTED_VALUE"""),"Very Good")</f>
        <v>Very Good</v>
      </c>
      <c r="Y297" t="str">
        <f>IFERROR(__xludf.DUMMYFUNCTION("""COMPUTED_VALUE"""),"Excellent")</f>
        <v>Excellent</v>
      </c>
      <c r="Z297" t="str">
        <f>IFERROR(__xludf.DUMMYFUNCTION("""COMPUTED_VALUE"""),"Excellent")</f>
        <v>Excellent</v>
      </c>
      <c r="AA297" t="str">
        <f>IFERROR(__xludf.DUMMYFUNCTION("""COMPUTED_VALUE"""),"Good")</f>
        <v>Good</v>
      </c>
      <c r="AB297" t="str">
        <f>IFERROR(__xludf.DUMMYFUNCTION("""COMPUTED_VALUE"""),"Good")</f>
        <v>Good</v>
      </c>
      <c r="AG297" t="str">
        <f>IFERROR(__xludf.DUMMYFUNCTION("""COMPUTED_VALUE"""),"SR and Tax credit")</f>
        <v>SR and Tax credit</v>
      </c>
      <c r="AH297" s="189">
        <f>IFERROR(__xludf.DUMMYFUNCTION("""COMPUTED_VALUE"""),43296.85560722223)</f>
        <v>43296.85561</v>
      </c>
    </row>
    <row r="298">
      <c r="A298" t="str">
        <f>IFERROR(__xludf.DUMMYFUNCTION("""COMPUTED_VALUE"""),"DennisT")</f>
        <v>DennisT</v>
      </c>
      <c r="B298" t="str">
        <f>IFERROR(__xludf.DUMMYFUNCTION("""COMPUTED_VALUE"""),"Bay Area")</f>
        <v>Bay Area</v>
      </c>
      <c r="C298" t="str">
        <f>IFERROR(__xludf.DUMMYFUNCTION("""COMPUTED_VALUE"""),"CA")</f>
        <v>CA</v>
      </c>
      <c r="D298" t="str">
        <f>IFERROR(__xludf.DUMMYFUNCTION("""COMPUTED_VALUE"""),"USA")</f>
        <v>USA</v>
      </c>
      <c r="E298" s="188">
        <f>IFERROR(__xludf.DUMMYFUNCTION("""COMPUTED_VALUE"""),43278.0)</f>
        <v>43278</v>
      </c>
      <c r="F298" s="188">
        <f>IFERROR(__xludf.DUMMYFUNCTION("""COMPUTED_VALUE"""),43289.0)</f>
        <v>43289</v>
      </c>
      <c r="H298">
        <f>IFERROR(__xludf.DUMMYFUNCTION("""COMPUTED_VALUE"""),33955.0)</f>
        <v>33955</v>
      </c>
      <c r="J298" s="5">
        <f>IFERROR(__xludf.DUMMYFUNCTION("""COMPUTED_VALUE"""),43296.0)</f>
        <v>43296</v>
      </c>
      <c r="K298">
        <f>IFERROR(__xludf.DUMMYFUNCTION("""COMPUTED_VALUE"""),11.0)</f>
        <v>11</v>
      </c>
      <c r="L298">
        <f>IFERROR(__xludf.DUMMYFUNCTION("""COMPUTED_VALUE"""),7.0)</f>
        <v>7</v>
      </c>
      <c r="M298">
        <f>IFERROR(__xludf.DUMMYFUNCTION("""COMPUTED_VALUE"""),18.0)</f>
        <v>18</v>
      </c>
      <c r="N298" t="str">
        <f>IFERROR(__xludf.DUMMYFUNCTION("""COMPUTED_VALUE"""),"Model 3 LR")</f>
        <v>Model 3 LR</v>
      </c>
      <c r="O298" t="str">
        <f>IFERROR(__xludf.DUMMYFUNCTION("""COMPUTED_VALUE"""),"Midnight Silver Metallic")</f>
        <v>Midnight Silver Metallic</v>
      </c>
      <c r="P298" t="str">
        <f>IFERROR(__xludf.DUMMYFUNCTION("""COMPUTED_VALUE"""),"18 inch Aero")</f>
        <v>18 inch Aero</v>
      </c>
      <c r="Q298" t="str">
        <f>IFERROR(__xludf.DUMMYFUNCTION("""COMPUTED_VALUE"""),"Black seats")</f>
        <v>Black seats</v>
      </c>
      <c r="R298" t="str">
        <f>IFERROR(__xludf.DUMMYFUNCTION("""COMPUTED_VALUE"""),"Enhanced Autopilot")</f>
        <v>Enhanced Autopilot</v>
      </c>
      <c r="X298" t="str">
        <f>IFERROR(__xludf.DUMMYFUNCTION("""COMPUTED_VALUE"""),"Very Good")</f>
        <v>Very Good</v>
      </c>
      <c r="Y298" t="str">
        <f>IFERROR(__xludf.DUMMYFUNCTION("""COMPUTED_VALUE"""),"Very Good")</f>
        <v>Very Good</v>
      </c>
      <c r="Z298" t="str">
        <f>IFERROR(__xludf.DUMMYFUNCTION("""COMPUTED_VALUE"""),"Very Good")</f>
        <v>Very Good</v>
      </c>
      <c r="AA298" t="str">
        <f>IFERROR(__xludf.DUMMYFUNCTION("""COMPUTED_VALUE"""),"Fair")</f>
        <v>Fair</v>
      </c>
      <c r="AB298" t="str">
        <f>IFERROR(__xludf.DUMMYFUNCTION("""COMPUTED_VALUE"""),"Fair")</f>
        <v>Fair</v>
      </c>
      <c r="AH298" s="189">
        <f>IFERROR(__xludf.DUMMYFUNCTION("""COMPUTED_VALUE"""),43296.90960665509)</f>
        <v>43296.90961</v>
      </c>
    </row>
    <row r="299">
      <c r="A299" t="str">
        <f>IFERROR(__xludf.DUMMYFUNCTION("""COMPUTED_VALUE"""),"FloridaJohn")</f>
        <v>FloridaJohn</v>
      </c>
      <c r="B299" t="str">
        <f>IFERROR(__xludf.DUMMYFUNCTION("""COMPUTED_VALUE"""),"Palm Beach Gardens, FL")</f>
        <v>Palm Beach Gardens, FL</v>
      </c>
      <c r="C299" t="str">
        <f>IFERROR(__xludf.DUMMYFUNCTION("""COMPUTED_VALUE"""),"FL")</f>
        <v>FL</v>
      </c>
      <c r="D299" t="str">
        <f>IFERROR(__xludf.DUMMYFUNCTION("""COMPUTED_VALUE"""),"USA")</f>
        <v>USA</v>
      </c>
      <c r="E299" s="188">
        <f>IFERROR(__xludf.DUMMYFUNCTION("""COMPUTED_VALUE"""),43278.0)</f>
        <v>43278</v>
      </c>
      <c r="F299" s="188">
        <f>IFERROR(__xludf.DUMMYFUNCTION("""COMPUTED_VALUE"""),43283.0)</f>
        <v>43283</v>
      </c>
      <c r="H299">
        <f>IFERROR(__xludf.DUMMYFUNCTION("""COMPUTED_VALUE"""),30555.0)</f>
        <v>30555</v>
      </c>
      <c r="I299" t="str">
        <f>IFERROR(__xludf.DUMMYFUNCTION("""COMPUTED_VALUE"""),"06/18")</f>
        <v>06/18</v>
      </c>
      <c r="J299" s="5">
        <f>IFERROR(__xludf.DUMMYFUNCTION("""COMPUTED_VALUE"""),43295.0)</f>
        <v>43295</v>
      </c>
      <c r="K299">
        <f>IFERROR(__xludf.DUMMYFUNCTION("""COMPUTED_VALUE"""),5.0)</f>
        <v>5</v>
      </c>
      <c r="L299">
        <f>IFERROR(__xludf.DUMMYFUNCTION("""COMPUTED_VALUE"""),12.0)</f>
        <v>12</v>
      </c>
      <c r="M299">
        <f>IFERROR(__xludf.DUMMYFUNCTION("""COMPUTED_VALUE"""),17.0)</f>
        <v>17</v>
      </c>
      <c r="N299" t="str">
        <f>IFERROR(__xludf.DUMMYFUNCTION("""COMPUTED_VALUE"""),"Model 3 LR")</f>
        <v>Model 3 LR</v>
      </c>
      <c r="O299" t="str">
        <f>IFERROR(__xludf.DUMMYFUNCTION("""COMPUTED_VALUE"""),"Midnight Silver Metallic")</f>
        <v>Midnight Silver Metallic</v>
      </c>
      <c r="P299" t="str">
        <f>IFERROR(__xludf.DUMMYFUNCTION("""COMPUTED_VALUE"""),"18 inch Aero")</f>
        <v>18 inch Aero</v>
      </c>
      <c r="Q299" t="str">
        <f>IFERROR(__xludf.DUMMYFUNCTION("""COMPUTED_VALUE"""),"Black seats")</f>
        <v>Black seats</v>
      </c>
      <c r="R299" t="str">
        <f>IFERROR(__xludf.DUMMYFUNCTION("""COMPUTED_VALUE"""),"Full Self-Driving")</f>
        <v>Full Self-Driving</v>
      </c>
      <c r="X299" t="str">
        <f>IFERROR(__xludf.DUMMYFUNCTION("""COMPUTED_VALUE"""),"Excellent")</f>
        <v>Excellent</v>
      </c>
      <c r="Y299" t="str">
        <f>IFERROR(__xludf.DUMMYFUNCTION("""COMPUTED_VALUE"""),"Excellent")</f>
        <v>Excellent</v>
      </c>
      <c r="Z299" t="str">
        <f>IFERROR(__xludf.DUMMYFUNCTION("""COMPUTED_VALUE"""),"Excellent")</f>
        <v>Excellent</v>
      </c>
      <c r="AA299" t="str">
        <f>IFERROR(__xludf.DUMMYFUNCTION("""COMPUTED_VALUE"""),"Good")</f>
        <v>Good</v>
      </c>
      <c r="AB299" t="str">
        <f>IFERROR(__xludf.DUMMYFUNCTION("""COMPUTED_VALUE"""),"Very Good")</f>
        <v>Very Good</v>
      </c>
      <c r="AH299" s="189">
        <f>IFERROR(__xludf.DUMMYFUNCTION("""COMPUTED_VALUE"""),43297.287235625)</f>
        <v>43297.28724</v>
      </c>
    </row>
    <row r="300">
      <c r="A300" t="str">
        <f>IFERROR(__xludf.DUMMYFUNCTION("""COMPUTED_VALUE"""),"NJturtlePower")</f>
        <v>NJturtlePower</v>
      </c>
      <c r="B300" t="str">
        <f>IFERROR(__xludf.DUMMYFUNCTION("""COMPUTED_VALUE"""),"Flemington")</f>
        <v>Flemington</v>
      </c>
      <c r="C300" t="str">
        <f>IFERROR(__xludf.DUMMYFUNCTION("""COMPUTED_VALUE"""),"NJ")</f>
        <v>NJ</v>
      </c>
      <c r="D300" t="str">
        <f>IFERROR(__xludf.DUMMYFUNCTION("""COMPUTED_VALUE"""),"USA")</f>
        <v>USA</v>
      </c>
      <c r="E300" s="188">
        <f>IFERROR(__xludf.DUMMYFUNCTION("""COMPUTED_VALUE"""),43257.0)</f>
        <v>43257</v>
      </c>
      <c r="F300" s="188">
        <f>IFERROR(__xludf.DUMMYFUNCTION("""COMPUTED_VALUE"""),43278.0)</f>
        <v>43278</v>
      </c>
      <c r="H300">
        <f>IFERROR(__xludf.DUMMYFUNCTION("""COMPUTED_VALUE"""),37310.0)</f>
        <v>37310</v>
      </c>
      <c r="I300" t="str">
        <f>IFERROR(__xludf.DUMMYFUNCTION("""COMPUTED_VALUE"""),"06/18")</f>
        <v>06/18</v>
      </c>
      <c r="J300" s="5">
        <f>IFERROR(__xludf.DUMMYFUNCTION("""COMPUTED_VALUE"""),43294.0)</f>
        <v>43294</v>
      </c>
      <c r="K300">
        <f>IFERROR(__xludf.DUMMYFUNCTION("""COMPUTED_VALUE"""),21.0)</f>
        <v>21</v>
      </c>
      <c r="L300">
        <f>IFERROR(__xludf.DUMMYFUNCTION("""COMPUTED_VALUE"""),16.0)</f>
        <v>16</v>
      </c>
      <c r="M300">
        <f>IFERROR(__xludf.DUMMYFUNCTION("""COMPUTED_VALUE"""),37.0)</f>
        <v>37</v>
      </c>
      <c r="N300" t="str">
        <f>IFERROR(__xludf.DUMMYFUNCTION("""COMPUTED_VALUE"""),"Model 3 LR")</f>
        <v>Model 3 LR</v>
      </c>
      <c r="O300" t="str">
        <f>IFERROR(__xludf.DUMMYFUNCTION("""COMPUTED_VALUE"""),"Silver Metallic")</f>
        <v>Silver Metallic</v>
      </c>
      <c r="P300" t="str">
        <f>IFERROR(__xludf.DUMMYFUNCTION("""COMPUTED_VALUE"""),"18 inch Aero")</f>
        <v>18 inch Aero</v>
      </c>
      <c r="Q300" t="str">
        <f>IFERROR(__xludf.DUMMYFUNCTION("""COMPUTED_VALUE"""),"Black seats")</f>
        <v>Black seats</v>
      </c>
      <c r="R300" t="str">
        <f>IFERROR(__xludf.DUMMYFUNCTION("""COMPUTED_VALUE"""),"None")</f>
        <v>None</v>
      </c>
      <c r="X300" t="str">
        <f>IFERROR(__xludf.DUMMYFUNCTION("""COMPUTED_VALUE"""),"Excellent")</f>
        <v>Excellent</v>
      </c>
      <c r="Y300" t="str">
        <f>IFERROR(__xludf.DUMMYFUNCTION("""COMPUTED_VALUE"""),"Very Good")</f>
        <v>Very Good</v>
      </c>
      <c r="Z300" t="str">
        <f>IFERROR(__xludf.DUMMYFUNCTION("""COMPUTED_VALUE"""),"Very Good")</f>
        <v>Very Good</v>
      </c>
      <c r="AA300" t="str">
        <f>IFERROR(__xludf.DUMMYFUNCTION("""COMPUTED_VALUE"""),"Excellent")</f>
        <v>Excellent</v>
      </c>
      <c r="AB300" t="str">
        <f>IFERROR(__xludf.DUMMYFUNCTION("""COMPUTED_VALUE"""),"Excellent")</f>
        <v>Excellent</v>
      </c>
      <c r="AC300">
        <f>IFERROR(__xludf.DUMMYFUNCTION("""COMPUTED_VALUE"""),2.0)</f>
        <v>2</v>
      </c>
      <c r="AH300" s="189">
        <f>IFERROR(__xludf.DUMMYFUNCTION("""COMPUTED_VALUE"""),43297.48429305556)</f>
        <v>43297.48429</v>
      </c>
    </row>
    <row r="301">
      <c r="A301" t="str">
        <f>IFERROR(__xludf.DUMMYFUNCTION("""COMPUTED_VALUE"""),"Jjarmoc")</f>
        <v>Jjarmoc</v>
      </c>
      <c r="B301" t="str">
        <f>IFERROR(__xludf.DUMMYFUNCTION("""COMPUTED_VALUE"""),"chicago")</f>
        <v>chicago</v>
      </c>
      <c r="C301" t="str">
        <f>IFERROR(__xludf.DUMMYFUNCTION("""COMPUTED_VALUE"""),"IL")</f>
        <v>IL</v>
      </c>
      <c r="D301" t="str">
        <f>IFERROR(__xludf.DUMMYFUNCTION("""COMPUTED_VALUE"""),"USA")</f>
        <v>USA</v>
      </c>
      <c r="E301" s="188">
        <f>IFERROR(__xludf.DUMMYFUNCTION("""COMPUTED_VALUE"""),43278.0)</f>
        <v>43278</v>
      </c>
      <c r="F301" s="188">
        <f>IFERROR(__xludf.DUMMYFUNCTION("""COMPUTED_VALUE"""),43286.0)</f>
        <v>43286</v>
      </c>
      <c r="H301">
        <f>IFERROR(__xludf.DUMMYFUNCTION("""COMPUTED_VALUE"""),27855.0)</f>
        <v>27855</v>
      </c>
      <c r="I301" t="str">
        <f>IFERROR(__xludf.DUMMYFUNCTION("""COMPUTED_VALUE"""),"06/18")</f>
        <v>06/18</v>
      </c>
      <c r="J301" s="5">
        <f>IFERROR(__xludf.DUMMYFUNCTION("""COMPUTED_VALUE"""),43292.0)</f>
        <v>43292</v>
      </c>
      <c r="K301">
        <f>IFERROR(__xludf.DUMMYFUNCTION("""COMPUTED_VALUE"""),8.0)</f>
        <v>8</v>
      </c>
      <c r="L301">
        <f>IFERROR(__xludf.DUMMYFUNCTION("""COMPUTED_VALUE"""),6.0)</f>
        <v>6</v>
      </c>
      <c r="M301">
        <f>IFERROR(__xludf.DUMMYFUNCTION("""COMPUTED_VALUE"""),14.0)</f>
        <v>14</v>
      </c>
      <c r="N301" t="str">
        <f>IFERROR(__xludf.DUMMYFUNCTION("""COMPUTED_VALUE"""),"Model 3 LR")</f>
        <v>Model 3 LR</v>
      </c>
      <c r="O301" t="str">
        <f>IFERROR(__xludf.DUMMYFUNCTION("""COMPUTED_VALUE"""),"Midnight Silver Metallic")</f>
        <v>Midnight Silver Metallic</v>
      </c>
      <c r="P301" t="str">
        <f>IFERROR(__xludf.DUMMYFUNCTION("""COMPUTED_VALUE"""),"19 inch Sport")</f>
        <v>19 inch Sport</v>
      </c>
      <c r="Q301" t="str">
        <f>IFERROR(__xludf.DUMMYFUNCTION("""COMPUTED_VALUE"""),"Black seats")</f>
        <v>Black seats</v>
      </c>
      <c r="R301" t="str">
        <f>IFERROR(__xludf.DUMMYFUNCTION("""COMPUTED_VALUE"""),"Enhanced Autopilot")</f>
        <v>Enhanced Autopilot</v>
      </c>
      <c r="X301" t="str">
        <f>IFERROR(__xludf.DUMMYFUNCTION("""COMPUTED_VALUE"""),"Excellent")</f>
        <v>Excellent</v>
      </c>
      <c r="Y301" t="str">
        <f>IFERROR(__xludf.DUMMYFUNCTION("""COMPUTED_VALUE"""),"Excellent")</f>
        <v>Excellent</v>
      </c>
      <c r="Z301" t="str">
        <f>IFERROR(__xludf.DUMMYFUNCTION("""COMPUTED_VALUE"""),"Excellent")</f>
        <v>Excellent</v>
      </c>
      <c r="AA301" t="str">
        <f>IFERROR(__xludf.DUMMYFUNCTION("""COMPUTED_VALUE"""),"Very Good")</f>
        <v>Very Good</v>
      </c>
      <c r="AB301" t="str">
        <f>IFERROR(__xludf.DUMMYFUNCTION("""COMPUTED_VALUE"""),"Very Good")</f>
        <v>Very Good</v>
      </c>
      <c r="AH301" s="189">
        <f>IFERROR(__xludf.DUMMYFUNCTION("""COMPUTED_VALUE"""),43297.60599087963)</f>
        <v>43297.60599</v>
      </c>
    </row>
    <row r="302">
      <c r="A302" t="str">
        <f>IFERROR(__xludf.DUMMYFUNCTION("""COMPUTED_VALUE"""),"akidesir")</f>
        <v>akidesir</v>
      </c>
      <c r="B302" t="str">
        <f>IFERROR(__xludf.DUMMYFUNCTION("""COMPUTED_VALUE"""),"Toronto")</f>
        <v>Toronto</v>
      </c>
      <c r="C302" t="str">
        <f>IFERROR(__xludf.DUMMYFUNCTION("""COMPUTED_VALUE"""),"ON")</f>
        <v>ON</v>
      </c>
      <c r="D302" t="str">
        <f>IFERROR(__xludf.DUMMYFUNCTION("""COMPUTED_VALUE"""),"Canada")</f>
        <v>Canada</v>
      </c>
      <c r="E302" s="188">
        <f>IFERROR(__xludf.DUMMYFUNCTION("""COMPUTED_VALUE"""),43187.0)</f>
        <v>43187</v>
      </c>
      <c r="F302" s="188">
        <f>IFERROR(__xludf.DUMMYFUNCTION("""COMPUTED_VALUE"""),43224.0)</f>
        <v>43224</v>
      </c>
      <c r="H302">
        <f>IFERROR(__xludf.DUMMYFUNCTION("""COMPUTED_VALUE"""),29355.0)</f>
        <v>29355</v>
      </c>
      <c r="I302" t="str">
        <f>IFERROR(__xludf.DUMMYFUNCTION("""COMPUTED_VALUE"""),"05/18")</f>
        <v>05/18</v>
      </c>
      <c r="J302" s="5">
        <f>IFERROR(__xludf.DUMMYFUNCTION("""COMPUTED_VALUE"""),43251.0)</f>
        <v>43251</v>
      </c>
      <c r="K302">
        <f>IFERROR(__xludf.DUMMYFUNCTION("""COMPUTED_VALUE"""),37.0)</f>
        <v>37</v>
      </c>
      <c r="L302">
        <f>IFERROR(__xludf.DUMMYFUNCTION("""COMPUTED_VALUE"""),27.0)</f>
        <v>27</v>
      </c>
      <c r="M302">
        <f>IFERROR(__xludf.DUMMYFUNCTION("""COMPUTED_VALUE"""),64.0)</f>
        <v>64</v>
      </c>
      <c r="N302" t="str">
        <f>IFERROR(__xludf.DUMMYFUNCTION("""COMPUTED_VALUE"""),"Model 3 LR")</f>
        <v>Model 3 LR</v>
      </c>
      <c r="O302" t="str">
        <f>IFERROR(__xludf.DUMMYFUNCTION("""COMPUTED_VALUE"""),"Deep Blue Metallic")</f>
        <v>Deep Blue Metallic</v>
      </c>
      <c r="P302" t="str">
        <f>IFERROR(__xludf.DUMMYFUNCTION("""COMPUTED_VALUE"""),"18 inch Aero")</f>
        <v>18 inch Aero</v>
      </c>
      <c r="Q302" t="str">
        <f>IFERROR(__xludf.DUMMYFUNCTION("""COMPUTED_VALUE"""),"Black seats")</f>
        <v>Black seats</v>
      </c>
      <c r="R302" t="str">
        <f>IFERROR(__xludf.DUMMYFUNCTION("""COMPUTED_VALUE"""),"Enhanced Autopilot")</f>
        <v>Enhanced Autopilot</v>
      </c>
      <c r="X302" t="str">
        <f>IFERROR(__xludf.DUMMYFUNCTION("""COMPUTED_VALUE"""),"Very Good")</f>
        <v>Very Good</v>
      </c>
      <c r="Y302" t="str">
        <f>IFERROR(__xludf.DUMMYFUNCTION("""COMPUTED_VALUE"""),"Excellent")</f>
        <v>Excellent</v>
      </c>
      <c r="Z302" t="str">
        <f>IFERROR(__xludf.DUMMYFUNCTION("""COMPUTED_VALUE"""),"Very Good")</f>
        <v>Very Good</v>
      </c>
      <c r="AA302" t="str">
        <f>IFERROR(__xludf.DUMMYFUNCTION("""COMPUTED_VALUE"""),"Good")</f>
        <v>Good</v>
      </c>
      <c r="AB302" t="str">
        <f>IFERROR(__xludf.DUMMYFUNCTION("""COMPUTED_VALUE"""),"Poor")</f>
        <v>Poor</v>
      </c>
      <c r="AC302">
        <f>IFERROR(__xludf.DUMMYFUNCTION("""COMPUTED_VALUE"""),3.0)</f>
        <v>3</v>
      </c>
      <c r="AD302">
        <f>IFERROR(__xludf.DUMMYFUNCTION("""COMPUTED_VALUE"""),0.0)</f>
        <v>0</v>
      </c>
      <c r="AH302" s="189">
        <f>IFERROR(__xludf.DUMMYFUNCTION("""COMPUTED_VALUE"""),43297.644738194445)</f>
        <v>43297.64474</v>
      </c>
    </row>
    <row r="303">
      <c r="A303" t="str">
        <f>IFERROR(__xludf.DUMMYFUNCTION("""COMPUTED_VALUE"""),"gtloyal")</f>
        <v>gtloyal</v>
      </c>
      <c r="B303" t="str">
        <f>IFERROR(__xludf.DUMMYFUNCTION("""COMPUTED_VALUE"""),"Atlanta")</f>
        <v>Atlanta</v>
      </c>
      <c r="C303" t="str">
        <f>IFERROR(__xludf.DUMMYFUNCTION("""COMPUTED_VALUE"""),"GA")</f>
        <v>GA</v>
      </c>
      <c r="D303" t="str">
        <f>IFERROR(__xludf.DUMMYFUNCTION("""COMPUTED_VALUE"""),"USA")</f>
        <v>USA</v>
      </c>
      <c r="E303" s="188">
        <f>IFERROR(__xludf.DUMMYFUNCTION("""COMPUTED_VALUE"""),43206.0)</f>
        <v>43206</v>
      </c>
      <c r="F303" s="188">
        <f>IFERROR(__xludf.DUMMYFUNCTION("""COMPUTED_VALUE"""),43265.0)</f>
        <v>43265</v>
      </c>
      <c r="H303">
        <f>IFERROR(__xludf.DUMMYFUNCTION("""COMPUTED_VALUE"""),36155.0)</f>
        <v>36155</v>
      </c>
      <c r="I303" t="str">
        <f>IFERROR(__xludf.DUMMYFUNCTION("""COMPUTED_VALUE"""),"06/18")</f>
        <v>06/18</v>
      </c>
      <c r="J303" s="5">
        <f>IFERROR(__xludf.DUMMYFUNCTION("""COMPUTED_VALUE"""),43297.0)</f>
        <v>43297</v>
      </c>
      <c r="K303">
        <f>IFERROR(__xludf.DUMMYFUNCTION("""COMPUTED_VALUE"""),59.0)</f>
        <v>59</v>
      </c>
      <c r="L303">
        <f>IFERROR(__xludf.DUMMYFUNCTION("""COMPUTED_VALUE"""),32.0)</f>
        <v>32</v>
      </c>
      <c r="M303">
        <f>IFERROR(__xludf.DUMMYFUNCTION("""COMPUTED_VALUE"""),91.0)</f>
        <v>91</v>
      </c>
      <c r="N303" t="str">
        <f>IFERROR(__xludf.DUMMYFUNCTION("""COMPUTED_VALUE"""),"Model 3 LR")</f>
        <v>Model 3 LR</v>
      </c>
      <c r="O303" t="str">
        <f>IFERROR(__xludf.DUMMYFUNCTION("""COMPUTED_VALUE"""),"Solid Black")</f>
        <v>Solid Black</v>
      </c>
      <c r="P303" t="str">
        <f>IFERROR(__xludf.DUMMYFUNCTION("""COMPUTED_VALUE"""),"18 inch Aero")</f>
        <v>18 inch Aero</v>
      </c>
      <c r="Q303" t="str">
        <f>IFERROR(__xludf.DUMMYFUNCTION("""COMPUTED_VALUE"""),"Black seats")</f>
        <v>Black seats</v>
      </c>
      <c r="R303" t="str">
        <f>IFERROR(__xludf.DUMMYFUNCTION("""COMPUTED_VALUE"""),"Enhanced Autopilot")</f>
        <v>Enhanced Autopilot</v>
      </c>
      <c r="X303" t="str">
        <f>IFERROR(__xludf.DUMMYFUNCTION("""COMPUTED_VALUE"""),"Excellent")</f>
        <v>Excellent</v>
      </c>
      <c r="Y303" t="str">
        <f>IFERROR(__xludf.DUMMYFUNCTION("""COMPUTED_VALUE"""),"Excellent")</f>
        <v>Excellent</v>
      </c>
      <c r="Z303" t="str">
        <f>IFERROR(__xludf.DUMMYFUNCTION("""COMPUTED_VALUE"""),"Very Good")</f>
        <v>Very Good</v>
      </c>
      <c r="AA303" t="str">
        <f>IFERROR(__xludf.DUMMYFUNCTION("""COMPUTED_VALUE"""),"Good")</f>
        <v>Good</v>
      </c>
      <c r="AB303" t="str">
        <f>IFERROR(__xludf.DUMMYFUNCTION("""COMPUTED_VALUE"""),"Excellent")</f>
        <v>Excellent</v>
      </c>
      <c r="AH303" s="189">
        <f>IFERROR(__xludf.DUMMYFUNCTION("""COMPUTED_VALUE"""),43297.65801099537)</f>
        <v>43297.65801</v>
      </c>
    </row>
    <row r="304">
      <c r="A304" t="str">
        <f>IFERROR(__xludf.DUMMYFUNCTION("""COMPUTED_VALUE"""),"abbeymonkey")</f>
        <v>abbeymonkey</v>
      </c>
      <c r="C304" t="str">
        <f>IFERROR(__xludf.DUMMYFUNCTION("""COMPUTED_VALUE"""),"NC")</f>
        <v>NC</v>
      </c>
      <c r="D304" t="str">
        <f>IFERROR(__xludf.DUMMYFUNCTION("""COMPUTED_VALUE"""),"USA")</f>
        <v>USA</v>
      </c>
      <c r="E304" s="188">
        <f>IFERROR(__xludf.DUMMYFUNCTION("""COMPUTED_VALUE"""),43228.0)</f>
        <v>43228</v>
      </c>
      <c r="F304" s="188">
        <f>IFERROR(__xludf.DUMMYFUNCTION("""COMPUTED_VALUE"""),43262.0)</f>
        <v>43262</v>
      </c>
      <c r="H304">
        <f>IFERROR(__xludf.DUMMYFUNCTION("""COMPUTED_VALUE"""),26755.0)</f>
        <v>26755</v>
      </c>
      <c r="J304" s="5">
        <f>IFERROR(__xludf.DUMMYFUNCTION("""COMPUTED_VALUE"""),43297.0)</f>
        <v>43297</v>
      </c>
      <c r="K304">
        <f>IFERROR(__xludf.DUMMYFUNCTION("""COMPUTED_VALUE"""),34.0)</f>
        <v>34</v>
      </c>
      <c r="L304">
        <f>IFERROR(__xludf.DUMMYFUNCTION("""COMPUTED_VALUE"""),35.0)</f>
        <v>35</v>
      </c>
      <c r="M304">
        <f>IFERROR(__xludf.DUMMYFUNCTION("""COMPUTED_VALUE"""),69.0)</f>
        <v>69</v>
      </c>
      <c r="N304" t="str">
        <f>IFERROR(__xludf.DUMMYFUNCTION("""COMPUTED_VALUE"""),"Model 3 LR")</f>
        <v>Model 3 LR</v>
      </c>
      <c r="O304" t="str">
        <f>IFERROR(__xludf.DUMMYFUNCTION("""COMPUTED_VALUE"""),"Midnight Silver Metallic")</f>
        <v>Midnight Silver Metallic</v>
      </c>
      <c r="P304" t="str">
        <f>IFERROR(__xludf.DUMMYFUNCTION("""COMPUTED_VALUE"""),"18 inch Aero")</f>
        <v>18 inch Aero</v>
      </c>
      <c r="Q304" t="str">
        <f>IFERROR(__xludf.DUMMYFUNCTION("""COMPUTED_VALUE"""),"Black seats")</f>
        <v>Black seats</v>
      </c>
      <c r="R304" t="str">
        <f>IFERROR(__xludf.DUMMYFUNCTION("""COMPUTED_VALUE"""),"Enhanced Autopilot")</f>
        <v>Enhanced Autopilot</v>
      </c>
      <c r="X304" t="str">
        <f>IFERROR(__xludf.DUMMYFUNCTION("""COMPUTED_VALUE"""),"Good")</f>
        <v>Good</v>
      </c>
      <c r="Y304" t="str">
        <f>IFERROR(__xludf.DUMMYFUNCTION("""COMPUTED_VALUE"""),"Very Good")</f>
        <v>Very Good</v>
      </c>
      <c r="Z304" t="str">
        <f>IFERROR(__xludf.DUMMYFUNCTION("""COMPUTED_VALUE"""),"Very Good")</f>
        <v>Very Good</v>
      </c>
      <c r="AA304" t="str">
        <f>IFERROR(__xludf.DUMMYFUNCTION("""COMPUTED_VALUE"""),"Good")</f>
        <v>Good</v>
      </c>
      <c r="AB304" t="str">
        <f>IFERROR(__xludf.DUMMYFUNCTION("""COMPUTED_VALUE"""),"Good")</f>
        <v>Good</v>
      </c>
      <c r="AH304" s="189">
        <f>IFERROR(__xludf.DUMMYFUNCTION("""COMPUTED_VALUE"""),43297.8977153125)</f>
        <v>43297.89772</v>
      </c>
    </row>
    <row r="305">
      <c r="A305" t="str">
        <f>IFERROR(__xludf.DUMMYFUNCTION("""COMPUTED_VALUE"""),"bubblysheep")</f>
        <v>bubblysheep</v>
      </c>
      <c r="B305" t="str">
        <f>IFERROR(__xludf.DUMMYFUNCTION("""COMPUTED_VALUE"""),"Los Angeles")</f>
        <v>Los Angeles</v>
      </c>
      <c r="C305" t="str">
        <f>IFERROR(__xludf.DUMMYFUNCTION("""COMPUTED_VALUE"""),"CA")</f>
        <v>CA</v>
      </c>
      <c r="D305" t="str">
        <f>IFERROR(__xludf.DUMMYFUNCTION("""COMPUTED_VALUE"""),"USA")</f>
        <v>USA</v>
      </c>
      <c r="E305" s="188">
        <f>IFERROR(__xludf.DUMMYFUNCTION("""COMPUTED_VALUE"""),43278.0)</f>
        <v>43278</v>
      </c>
      <c r="F305" s="188">
        <f>IFERROR(__xludf.DUMMYFUNCTION("""COMPUTED_VALUE"""),43283.0)</f>
        <v>43283</v>
      </c>
      <c r="H305">
        <f>IFERROR(__xludf.DUMMYFUNCTION("""COMPUTED_VALUE"""),41947.0)</f>
        <v>41947</v>
      </c>
      <c r="I305" t="str">
        <f>IFERROR(__xludf.DUMMYFUNCTION("""COMPUTED_VALUE"""),"06/18")</f>
        <v>06/18</v>
      </c>
      <c r="J305" s="5">
        <f>IFERROR(__xludf.DUMMYFUNCTION("""COMPUTED_VALUE"""),43297.0)</f>
        <v>43297</v>
      </c>
      <c r="K305">
        <f>IFERROR(__xludf.DUMMYFUNCTION("""COMPUTED_VALUE"""),5.0)</f>
        <v>5</v>
      </c>
      <c r="L305">
        <f>IFERROR(__xludf.DUMMYFUNCTION("""COMPUTED_VALUE"""),14.0)</f>
        <v>14</v>
      </c>
      <c r="M305">
        <f>IFERROR(__xludf.DUMMYFUNCTION("""COMPUTED_VALUE"""),19.0)</f>
        <v>19</v>
      </c>
      <c r="N305" t="str">
        <f>IFERROR(__xludf.DUMMYFUNCTION("""COMPUTED_VALUE"""),"Model 3 LR")</f>
        <v>Model 3 LR</v>
      </c>
      <c r="O305" t="str">
        <f>IFERROR(__xludf.DUMMYFUNCTION("""COMPUTED_VALUE"""),"Deep Blue Metallic")</f>
        <v>Deep Blue Metallic</v>
      </c>
      <c r="P305" t="str">
        <f>IFERROR(__xludf.DUMMYFUNCTION("""COMPUTED_VALUE"""),"18 inch Aero")</f>
        <v>18 inch Aero</v>
      </c>
      <c r="Q305" t="str">
        <f>IFERROR(__xludf.DUMMYFUNCTION("""COMPUTED_VALUE"""),"Black seats")</f>
        <v>Black seats</v>
      </c>
      <c r="R305" t="str">
        <f>IFERROR(__xludf.DUMMYFUNCTION("""COMPUTED_VALUE"""),"Enhanced Autopilot")</f>
        <v>Enhanced Autopilot</v>
      </c>
      <c r="X305" t="str">
        <f>IFERROR(__xludf.DUMMYFUNCTION("""COMPUTED_VALUE"""),"Excellent")</f>
        <v>Excellent</v>
      </c>
      <c r="Y305" t="str">
        <f>IFERROR(__xludf.DUMMYFUNCTION("""COMPUTED_VALUE"""),"Excellent")</f>
        <v>Excellent</v>
      </c>
      <c r="Z305" t="str">
        <f>IFERROR(__xludf.DUMMYFUNCTION("""COMPUTED_VALUE"""),"Excellent")</f>
        <v>Excellent</v>
      </c>
      <c r="AA305" t="str">
        <f>IFERROR(__xludf.DUMMYFUNCTION("""COMPUTED_VALUE"""),"Excellent")</f>
        <v>Excellent</v>
      </c>
      <c r="AB305" t="str">
        <f>IFERROR(__xludf.DUMMYFUNCTION("""COMPUTED_VALUE"""),"Very Good")</f>
        <v>Very Good</v>
      </c>
      <c r="AH305" s="189">
        <f>IFERROR(__xludf.DUMMYFUNCTION("""COMPUTED_VALUE"""),43297.990043935184)</f>
        <v>43297.99004</v>
      </c>
    </row>
    <row r="306">
      <c r="A306" t="str">
        <f>IFERROR(__xludf.DUMMYFUNCTION("""COMPUTED_VALUE"""),"ajwong168")</f>
        <v>ajwong168</v>
      </c>
      <c r="B306" t="str">
        <f>IFERROR(__xludf.DUMMYFUNCTION("""COMPUTED_VALUE"""),"San Jose")</f>
        <v>San Jose</v>
      </c>
      <c r="C306" t="str">
        <f>IFERROR(__xludf.DUMMYFUNCTION("""COMPUTED_VALUE"""),"CA")</f>
        <v>CA</v>
      </c>
      <c r="D306" t="str">
        <f>IFERROR(__xludf.DUMMYFUNCTION("""COMPUTED_VALUE"""),"USA")</f>
        <v>USA</v>
      </c>
      <c r="E306" s="188">
        <f>IFERROR(__xludf.DUMMYFUNCTION("""COMPUTED_VALUE"""),43211.0)</f>
        <v>43211</v>
      </c>
      <c r="F306" s="188">
        <f>IFERROR(__xludf.DUMMYFUNCTION("""COMPUTED_VALUE"""),43287.0)</f>
        <v>43287</v>
      </c>
      <c r="H306">
        <f>IFERROR(__xludf.DUMMYFUNCTION("""COMPUTED_VALUE"""),37055.0)</f>
        <v>37055</v>
      </c>
      <c r="I306" t="str">
        <f>IFERROR(__xludf.DUMMYFUNCTION("""COMPUTED_VALUE"""),"06/18")</f>
        <v>06/18</v>
      </c>
      <c r="J306" s="5">
        <f>IFERROR(__xludf.DUMMYFUNCTION("""COMPUTED_VALUE"""),43295.0)</f>
        <v>43295</v>
      </c>
      <c r="K306">
        <f>IFERROR(__xludf.DUMMYFUNCTION("""COMPUTED_VALUE"""),76.0)</f>
        <v>76</v>
      </c>
      <c r="L306">
        <f>IFERROR(__xludf.DUMMYFUNCTION("""COMPUTED_VALUE"""),8.0)</f>
        <v>8</v>
      </c>
      <c r="M306">
        <f>IFERROR(__xludf.DUMMYFUNCTION("""COMPUTED_VALUE"""),84.0)</f>
        <v>84</v>
      </c>
      <c r="N306" t="str">
        <f>IFERROR(__xludf.DUMMYFUNCTION("""COMPUTED_VALUE"""),"Model 3 LR")</f>
        <v>Model 3 LR</v>
      </c>
      <c r="O306" t="str">
        <f>IFERROR(__xludf.DUMMYFUNCTION("""COMPUTED_VALUE"""),"Midnight Silver Metallic")</f>
        <v>Midnight Silver Metallic</v>
      </c>
      <c r="P306" t="str">
        <f>IFERROR(__xludf.DUMMYFUNCTION("""COMPUTED_VALUE"""),"19 inch Sport")</f>
        <v>19 inch Sport</v>
      </c>
      <c r="Q306" t="str">
        <f>IFERROR(__xludf.DUMMYFUNCTION("""COMPUTED_VALUE"""),"Black seats")</f>
        <v>Black seats</v>
      </c>
      <c r="R306" t="str">
        <f>IFERROR(__xludf.DUMMYFUNCTION("""COMPUTED_VALUE"""),"None")</f>
        <v>None</v>
      </c>
      <c r="X306" t="str">
        <f>IFERROR(__xludf.DUMMYFUNCTION("""COMPUTED_VALUE"""),"Very Good")</f>
        <v>Very Good</v>
      </c>
      <c r="Y306" t="str">
        <f>IFERROR(__xludf.DUMMYFUNCTION("""COMPUTED_VALUE"""),"Excellent")</f>
        <v>Excellent</v>
      </c>
      <c r="Z306" t="str">
        <f>IFERROR(__xludf.DUMMYFUNCTION("""COMPUTED_VALUE"""),"Very Good")</f>
        <v>Very Good</v>
      </c>
      <c r="AA306" t="str">
        <f>IFERROR(__xludf.DUMMYFUNCTION("""COMPUTED_VALUE"""),"Very Good")</f>
        <v>Very Good</v>
      </c>
      <c r="AB306" t="str">
        <f>IFERROR(__xludf.DUMMYFUNCTION("""COMPUTED_VALUE"""),"Good")</f>
        <v>Good</v>
      </c>
      <c r="AC306">
        <f>IFERROR(__xludf.DUMMYFUNCTION("""COMPUTED_VALUE"""),2.0)</f>
        <v>2</v>
      </c>
      <c r="AG306" t="str">
        <f>IFERROR(__xludf.DUMMYFUNCTION("""COMPUTED_VALUE"""),"Modified order to Midnight Silver Metallic from Pearl White on 6/11/2018")</f>
        <v>Modified order to Midnight Silver Metallic from Pearl White on 6/11/2018</v>
      </c>
      <c r="AH306" s="189">
        <f>IFERROR(__xludf.DUMMYFUNCTION("""COMPUTED_VALUE"""),43298.00159597222)</f>
        <v>43298.0016</v>
      </c>
    </row>
    <row r="307">
      <c r="A307" t="str">
        <f>IFERROR(__xludf.DUMMYFUNCTION("""COMPUTED_VALUE"""),"TomHudson")</f>
        <v>TomHudson</v>
      </c>
      <c r="B307" t="str">
        <f>IFERROR(__xludf.DUMMYFUNCTION("""COMPUTED_VALUE"""),"Port Washington")</f>
        <v>Port Washington</v>
      </c>
      <c r="C307" t="str">
        <f>IFERROR(__xludf.DUMMYFUNCTION("""COMPUTED_VALUE"""),"WI")</f>
        <v>WI</v>
      </c>
      <c r="D307" t="str">
        <f>IFERROR(__xludf.DUMMYFUNCTION("""COMPUTED_VALUE"""),"USA")</f>
        <v>USA</v>
      </c>
      <c r="E307" s="188">
        <f>IFERROR(__xludf.DUMMYFUNCTION("""COMPUTED_VALUE"""),43278.0)</f>
        <v>43278</v>
      </c>
      <c r="F307" s="188">
        <f>IFERROR(__xludf.DUMMYFUNCTION("""COMPUTED_VALUE"""),43280.0)</f>
        <v>43280</v>
      </c>
      <c r="H307">
        <f>IFERROR(__xludf.DUMMYFUNCTION("""COMPUTED_VALUE"""),37355.0)</f>
        <v>37355</v>
      </c>
      <c r="I307" t="str">
        <f>IFERROR(__xludf.DUMMYFUNCTION("""COMPUTED_VALUE"""),"06/18")</f>
        <v>06/18</v>
      </c>
      <c r="J307" s="5">
        <f>IFERROR(__xludf.DUMMYFUNCTION("""COMPUTED_VALUE"""),43292.0)</f>
        <v>43292</v>
      </c>
      <c r="K307">
        <f>IFERROR(__xludf.DUMMYFUNCTION("""COMPUTED_VALUE"""),2.0)</f>
        <v>2</v>
      </c>
      <c r="L307">
        <f>IFERROR(__xludf.DUMMYFUNCTION("""COMPUTED_VALUE"""),12.0)</f>
        <v>12</v>
      </c>
      <c r="M307">
        <f>IFERROR(__xludf.DUMMYFUNCTION("""COMPUTED_VALUE"""),14.0)</f>
        <v>14</v>
      </c>
      <c r="N307" t="str">
        <f>IFERROR(__xludf.DUMMYFUNCTION("""COMPUTED_VALUE"""),"Model 3 LR")</f>
        <v>Model 3 LR</v>
      </c>
      <c r="O307" t="str">
        <f>IFERROR(__xludf.DUMMYFUNCTION("""COMPUTED_VALUE"""),"Silver Metallic")</f>
        <v>Silver Metallic</v>
      </c>
      <c r="P307" t="str">
        <f>IFERROR(__xludf.DUMMYFUNCTION("""COMPUTED_VALUE"""),"18 inch Aero")</f>
        <v>18 inch Aero</v>
      </c>
      <c r="Q307" t="str">
        <f>IFERROR(__xludf.DUMMYFUNCTION("""COMPUTED_VALUE"""),"Black seats")</f>
        <v>Black seats</v>
      </c>
      <c r="R307" t="str">
        <f>IFERROR(__xludf.DUMMYFUNCTION("""COMPUTED_VALUE"""),"None")</f>
        <v>None</v>
      </c>
      <c r="X307" t="str">
        <f>IFERROR(__xludf.DUMMYFUNCTION("""COMPUTED_VALUE"""),"Excellent")</f>
        <v>Excellent</v>
      </c>
      <c r="Y307" t="str">
        <f>IFERROR(__xludf.DUMMYFUNCTION("""COMPUTED_VALUE"""),"Excellent")</f>
        <v>Excellent</v>
      </c>
      <c r="Z307" t="str">
        <f>IFERROR(__xludf.DUMMYFUNCTION("""COMPUTED_VALUE"""),"Excellent")</f>
        <v>Excellent</v>
      </c>
      <c r="AA307" t="str">
        <f>IFERROR(__xludf.DUMMYFUNCTION("""COMPUTED_VALUE"""),"Very Good")</f>
        <v>Very Good</v>
      </c>
      <c r="AB307" t="str">
        <f>IFERROR(__xludf.DUMMYFUNCTION("""COMPUTED_VALUE"""),"Excellent")</f>
        <v>Excellent</v>
      </c>
      <c r="AH307" s="189">
        <f>IFERROR(__xludf.DUMMYFUNCTION("""COMPUTED_VALUE"""),43298.430729907406)</f>
        <v>43298.43073</v>
      </c>
    </row>
    <row r="308">
      <c r="A308" t="str">
        <f>IFERROR(__xludf.DUMMYFUNCTION("""COMPUTED_VALUE"""),"RyRy")</f>
        <v>RyRy</v>
      </c>
      <c r="B308" t="str">
        <f>IFERROR(__xludf.DUMMYFUNCTION("""COMPUTED_VALUE"""),"GTA")</f>
        <v>GTA</v>
      </c>
      <c r="C308" t="str">
        <f>IFERROR(__xludf.DUMMYFUNCTION("""COMPUTED_VALUE"""),"ON")</f>
        <v>ON</v>
      </c>
      <c r="D308" t="str">
        <f>IFERROR(__xludf.DUMMYFUNCTION("""COMPUTED_VALUE"""),"Canada")</f>
        <v>Canada</v>
      </c>
      <c r="E308" s="188">
        <f>IFERROR(__xludf.DUMMYFUNCTION("""COMPUTED_VALUE"""),43216.0)</f>
        <v>43216</v>
      </c>
      <c r="F308" s="188">
        <f>IFERROR(__xludf.DUMMYFUNCTION("""COMPUTED_VALUE"""),43225.0)</f>
        <v>43225</v>
      </c>
      <c r="H308">
        <f>IFERROR(__xludf.DUMMYFUNCTION("""COMPUTED_VALUE"""),28655.0)</f>
        <v>28655</v>
      </c>
      <c r="J308" s="5">
        <f>IFERROR(__xludf.DUMMYFUNCTION("""COMPUTED_VALUE"""),43259.0)</f>
        <v>43259</v>
      </c>
      <c r="K308">
        <f>IFERROR(__xludf.DUMMYFUNCTION("""COMPUTED_VALUE"""),9.0)</f>
        <v>9</v>
      </c>
      <c r="L308">
        <f>IFERROR(__xludf.DUMMYFUNCTION("""COMPUTED_VALUE"""),34.0)</f>
        <v>34</v>
      </c>
      <c r="M308">
        <f>IFERROR(__xludf.DUMMYFUNCTION("""COMPUTED_VALUE"""),43.0)</f>
        <v>43</v>
      </c>
      <c r="N308" t="str">
        <f>IFERROR(__xludf.DUMMYFUNCTION("""COMPUTED_VALUE"""),"Model 3 LR")</f>
        <v>Model 3 LR</v>
      </c>
      <c r="O308" t="str">
        <f>IFERROR(__xludf.DUMMYFUNCTION("""COMPUTED_VALUE"""),"Midnight Silver Metallic")</f>
        <v>Midnight Silver Metallic</v>
      </c>
      <c r="P308" t="str">
        <f>IFERROR(__xludf.DUMMYFUNCTION("""COMPUTED_VALUE"""),"18 inch Aero")</f>
        <v>18 inch Aero</v>
      </c>
      <c r="Q308" t="str">
        <f>IFERROR(__xludf.DUMMYFUNCTION("""COMPUTED_VALUE"""),"Black seats")</f>
        <v>Black seats</v>
      </c>
      <c r="R308" t="str">
        <f>IFERROR(__xludf.DUMMYFUNCTION("""COMPUTED_VALUE"""),"Enhanced Autopilot")</f>
        <v>Enhanced Autopilot</v>
      </c>
      <c r="X308" t="str">
        <f>IFERROR(__xludf.DUMMYFUNCTION("""COMPUTED_VALUE"""),"Excellent")</f>
        <v>Excellent</v>
      </c>
      <c r="Y308" t="str">
        <f>IFERROR(__xludf.DUMMYFUNCTION("""COMPUTED_VALUE"""),"Excellent")</f>
        <v>Excellent</v>
      </c>
      <c r="Z308" t="str">
        <f>IFERROR(__xludf.DUMMYFUNCTION("""COMPUTED_VALUE"""),"Good")</f>
        <v>Good</v>
      </c>
      <c r="AA308" t="str">
        <f>IFERROR(__xludf.DUMMYFUNCTION("""COMPUTED_VALUE"""),"Fair")</f>
        <v>Fair</v>
      </c>
      <c r="AB308" t="str">
        <f>IFERROR(__xludf.DUMMYFUNCTION("""COMPUTED_VALUE"""),"Very Good")</f>
        <v>Very Good</v>
      </c>
      <c r="AC308">
        <f>IFERROR(__xludf.DUMMYFUNCTION("""COMPUTED_VALUE"""),1.0)</f>
        <v>1</v>
      </c>
      <c r="AD308">
        <f>IFERROR(__xludf.DUMMYFUNCTION("""COMPUTED_VALUE"""),1.0)</f>
        <v>1</v>
      </c>
      <c r="AE308">
        <f>IFERROR(__xludf.DUMMYFUNCTION("""COMPUTED_VALUE"""),5.0)</f>
        <v>5</v>
      </c>
      <c r="AH308" s="189">
        <f>IFERROR(__xludf.DUMMYFUNCTION("""COMPUTED_VALUE"""),43298.439464386574)</f>
        <v>43298.43946</v>
      </c>
    </row>
    <row r="309">
      <c r="A309" t="str">
        <f>IFERROR(__xludf.DUMMYFUNCTION("""COMPUTED_VALUE"""),"TheDoctor")</f>
        <v>TheDoctor</v>
      </c>
      <c r="B309" t="str">
        <f>IFERROR(__xludf.DUMMYFUNCTION("""COMPUTED_VALUE"""),"San Francisco")</f>
        <v>San Francisco</v>
      </c>
      <c r="C309" t="str">
        <f>IFERROR(__xludf.DUMMYFUNCTION("""COMPUTED_VALUE"""),"CA")</f>
        <v>CA</v>
      </c>
      <c r="D309" t="str">
        <f>IFERROR(__xludf.DUMMYFUNCTION("""COMPUTED_VALUE"""),"USA")</f>
        <v>USA</v>
      </c>
      <c r="E309" s="188">
        <f>IFERROR(__xludf.DUMMYFUNCTION("""COMPUTED_VALUE"""),43208.0)</f>
        <v>43208</v>
      </c>
      <c r="F309" s="188">
        <f>IFERROR(__xludf.DUMMYFUNCTION("""COMPUTED_VALUE"""),43291.0)</f>
        <v>43291</v>
      </c>
      <c r="H309">
        <f>IFERROR(__xludf.DUMMYFUNCTION("""COMPUTED_VALUE"""),31855.0)</f>
        <v>31855</v>
      </c>
      <c r="I309" t="str">
        <f>IFERROR(__xludf.DUMMYFUNCTION("""COMPUTED_VALUE"""),"06/18")</f>
        <v>06/18</v>
      </c>
      <c r="J309" s="5">
        <f>IFERROR(__xludf.DUMMYFUNCTION("""COMPUTED_VALUE"""),43296.0)</f>
        <v>43296</v>
      </c>
      <c r="K309">
        <f>IFERROR(__xludf.DUMMYFUNCTION("""COMPUTED_VALUE"""),83.0)</f>
        <v>83</v>
      </c>
      <c r="L309">
        <f>IFERROR(__xludf.DUMMYFUNCTION("""COMPUTED_VALUE"""),5.0)</f>
        <v>5</v>
      </c>
      <c r="M309">
        <f>IFERROR(__xludf.DUMMYFUNCTION("""COMPUTED_VALUE"""),88.0)</f>
        <v>88</v>
      </c>
      <c r="N309" t="str">
        <f>IFERROR(__xludf.DUMMYFUNCTION("""COMPUTED_VALUE"""),"Model 3 LR")</f>
        <v>Model 3 LR</v>
      </c>
      <c r="O309" t="str">
        <f>IFERROR(__xludf.DUMMYFUNCTION("""COMPUTED_VALUE"""),"Deep Blue Metallic")</f>
        <v>Deep Blue Metallic</v>
      </c>
      <c r="P309" t="str">
        <f>IFERROR(__xludf.DUMMYFUNCTION("""COMPUTED_VALUE"""),"18 inch Aero")</f>
        <v>18 inch Aero</v>
      </c>
      <c r="Q309" t="str">
        <f>IFERROR(__xludf.DUMMYFUNCTION("""COMPUTED_VALUE"""),"Black seats")</f>
        <v>Black seats</v>
      </c>
      <c r="R309" t="str">
        <f>IFERROR(__xludf.DUMMYFUNCTION("""COMPUTED_VALUE"""),"Enhanced Autopilot")</f>
        <v>Enhanced Autopilot</v>
      </c>
      <c r="X309" t="str">
        <f>IFERROR(__xludf.DUMMYFUNCTION("""COMPUTED_VALUE"""),"Excellent")</f>
        <v>Excellent</v>
      </c>
      <c r="Y309" t="str">
        <f>IFERROR(__xludf.DUMMYFUNCTION("""COMPUTED_VALUE"""),"Very Good")</f>
        <v>Very Good</v>
      </c>
      <c r="Z309" t="str">
        <f>IFERROR(__xludf.DUMMYFUNCTION("""COMPUTED_VALUE"""),"Good")</f>
        <v>Good</v>
      </c>
      <c r="AA309" t="str">
        <f>IFERROR(__xludf.DUMMYFUNCTION("""COMPUTED_VALUE"""),"Good")</f>
        <v>Good</v>
      </c>
      <c r="AB309" t="str">
        <f>IFERROR(__xludf.DUMMYFUNCTION("""COMPUTED_VALUE"""),"Excellent")</f>
        <v>Excellent</v>
      </c>
      <c r="AC309">
        <f>IFERROR(__xludf.DUMMYFUNCTION("""COMPUTED_VALUE"""),1.0)</f>
        <v>1</v>
      </c>
      <c r="AG309" t="str">
        <f>IFERROR(__xludf.DUMMYFUNCTION("""COMPUTED_VALUE"""),"Had to delay delivery until this month.  Previous car (VIN) given away.  New VIN entered.")</f>
        <v>Had to delay delivery until this month.  Previous car (VIN) given away.  New VIN entered.</v>
      </c>
      <c r="AH309" s="189">
        <f>IFERROR(__xludf.DUMMYFUNCTION("""COMPUTED_VALUE"""),43298.469914270834)</f>
        <v>43298.46991</v>
      </c>
    </row>
    <row r="310">
      <c r="A310" t="str">
        <f>IFERROR(__xludf.DUMMYFUNCTION("""COMPUTED_VALUE"""),"alephone")</f>
        <v>alephone</v>
      </c>
      <c r="C310" t="str">
        <f>IFERROR(__xludf.DUMMYFUNCTION("""COMPUTED_VALUE"""),"MA")</f>
        <v>MA</v>
      </c>
      <c r="D310" t="str">
        <f>IFERROR(__xludf.DUMMYFUNCTION("""COMPUTED_VALUE"""),"USA")</f>
        <v>USA</v>
      </c>
      <c r="E310" s="188">
        <f>IFERROR(__xludf.DUMMYFUNCTION("""COMPUTED_VALUE"""),43266.0)</f>
        <v>43266</v>
      </c>
      <c r="F310" s="188">
        <f>IFERROR(__xludf.DUMMYFUNCTION("""COMPUTED_VALUE"""),43283.0)</f>
        <v>43283</v>
      </c>
      <c r="H310">
        <f>IFERROR(__xludf.DUMMYFUNCTION("""COMPUTED_VALUE"""),27055.0)</f>
        <v>27055</v>
      </c>
      <c r="I310" t="str">
        <f>IFERROR(__xludf.DUMMYFUNCTION("""COMPUTED_VALUE"""),"06/18")</f>
        <v>06/18</v>
      </c>
      <c r="J310" s="5">
        <f>IFERROR(__xludf.DUMMYFUNCTION("""COMPUTED_VALUE"""),43298.0)</f>
        <v>43298</v>
      </c>
      <c r="K310">
        <f>IFERROR(__xludf.DUMMYFUNCTION("""COMPUTED_VALUE"""),17.0)</f>
        <v>17</v>
      </c>
      <c r="L310">
        <f>IFERROR(__xludf.DUMMYFUNCTION("""COMPUTED_VALUE"""),15.0)</f>
        <v>15</v>
      </c>
      <c r="M310">
        <f>IFERROR(__xludf.DUMMYFUNCTION("""COMPUTED_VALUE"""),32.0)</f>
        <v>32</v>
      </c>
      <c r="N310" t="str">
        <f>IFERROR(__xludf.DUMMYFUNCTION("""COMPUTED_VALUE"""),"Model 3 LR")</f>
        <v>Model 3 LR</v>
      </c>
      <c r="O310" t="str">
        <f>IFERROR(__xludf.DUMMYFUNCTION("""COMPUTED_VALUE"""),"Deep Blue Metallic")</f>
        <v>Deep Blue Metallic</v>
      </c>
      <c r="P310" t="str">
        <f>IFERROR(__xludf.DUMMYFUNCTION("""COMPUTED_VALUE"""),"18 inch Aero")</f>
        <v>18 inch Aero</v>
      </c>
      <c r="Q310" t="str">
        <f>IFERROR(__xludf.DUMMYFUNCTION("""COMPUTED_VALUE"""),"Black seats")</f>
        <v>Black seats</v>
      </c>
      <c r="R310" t="str">
        <f>IFERROR(__xludf.DUMMYFUNCTION("""COMPUTED_VALUE"""),"Enhanced Autopilot")</f>
        <v>Enhanced Autopilot</v>
      </c>
      <c r="X310" t="str">
        <f>IFERROR(__xludf.DUMMYFUNCTION("""COMPUTED_VALUE"""),"Very Good")</f>
        <v>Very Good</v>
      </c>
      <c r="Y310" t="str">
        <f>IFERROR(__xludf.DUMMYFUNCTION("""COMPUTED_VALUE"""),"Very Good")</f>
        <v>Very Good</v>
      </c>
      <c r="Z310" t="str">
        <f>IFERROR(__xludf.DUMMYFUNCTION("""COMPUTED_VALUE"""),"Very Good")</f>
        <v>Very Good</v>
      </c>
      <c r="AA310" t="str">
        <f>IFERROR(__xludf.DUMMYFUNCTION("""COMPUTED_VALUE"""),"Very Good")</f>
        <v>Very Good</v>
      </c>
      <c r="AB310" t="str">
        <f>IFERROR(__xludf.DUMMYFUNCTION("""COMPUTED_VALUE"""),"Very Good")</f>
        <v>Very Good</v>
      </c>
      <c r="AH310" s="189">
        <f>IFERROR(__xludf.DUMMYFUNCTION("""COMPUTED_VALUE"""),43298.49017355324)</f>
        <v>43298.49017</v>
      </c>
    </row>
    <row r="311">
      <c r="A311" t="str">
        <f>IFERROR(__xludf.DUMMYFUNCTION("""COMPUTED_VALUE"""),"Mpalmieri1203")</f>
        <v>Mpalmieri1203</v>
      </c>
      <c r="B311" t="str">
        <f>IFERROR(__xludf.DUMMYFUNCTION("""COMPUTED_VALUE"""),"Poughkeepsie")</f>
        <v>Poughkeepsie</v>
      </c>
      <c r="C311" t="str">
        <f>IFERROR(__xludf.DUMMYFUNCTION("""COMPUTED_VALUE"""),"NY")</f>
        <v>NY</v>
      </c>
      <c r="D311" t="str">
        <f>IFERROR(__xludf.DUMMYFUNCTION("""COMPUTED_VALUE"""),"USA")</f>
        <v>USA</v>
      </c>
      <c r="E311" s="188">
        <f>IFERROR(__xludf.DUMMYFUNCTION("""COMPUTED_VALUE"""),43280.0)</f>
        <v>43280</v>
      </c>
      <c r="F311" s="188">
        <f>IFERROR(__xludf.DUMMYFUNCTION("""COMPUTED_VALUE"""),43295.0)</f>
        <v>43295</v>
      </c>
      <c r="H311">
        <f>IFERROR(__xludf.DUMMYFUNCTION("""COMPUTED_VALUE"""),30494.0)</f>
        <v>30494</v>
      </c>
      <c r="I311" t="str">
        <f>IFERROR(__xludf.DUMMYFUNCTION("""COMPUTED_VALUE"""),"06/18")</f>
        <v>06/18</v>
      </c>
      <c r="J311" s="5">
        <f>IFERROR(__xludf.DUMMYFUNCTION("""COMPUTED_VALUE"""),43298.0)</f>
        <v>43298</v>
      </c>
      <c r="K311">
        <f>IFERROR(__xludf.DUMMYFUNCTION("""COMPUTED_VALUE"""),15.0)</f>
        <v>15</v>
      </c>
      <c r="L311">
        <f>IFERROR(__xludf.DUMMYFUNCTION("""COMPUTED_VALUE"""),3.0)</f>
        <v>3</v>
      </c>
      <c r="M311">
        <f>IFERROR(__xludf.DUMMYFUNCTION("""COMPUTED_VALUE"""),18.0)</f>
        <v>18</v>
      </c>
      <c r="N311" t="str">
        <f>IFERROR(__xludf.DUMMYFUNCTION("""COMPUTED_VALUE"""),"Model 3 LR")</f>
        <v>Model 3 LR</v>
      </c>
      <c r="O311" t="str">
        <f>IFERROR(__xludf.DUMMYFUNCTION("""COMPUTED_VALUE"""),"Midnight Silver Metallic")</f>
        <v>Midnight Silver Metallic</v>
      </c>
      <c r="P311" t="str">
        <f>IFERROR(__xludf.DUMMYFUNCTION("""COMPUTED_VALUE"""),"18 inch Aero")</f>
        <v>18 inch Aero</v>
      </c>
      <c r="Q311" t="str">
        <f>IFERROR(__xludf.DUMMYFUNCTION("""COMPUTED_VALUE"""),"Black seats")</f>
        <v>Black seats</v>
      </c>
      <c r="R311" t="str">
        <f>IFERROR(__xludf.DUMMYFUNCTION("""COMPUTED_VALUE"""),"None")</f>
        <v>None</v>
      </c>
      <c r="X311" t="str">
        <f>IFERROR(__xludf.DUMMYFUNCTION("""COMPUTED_VALUE"""),"Excellent")</f>
        <v>Excellent</v>
      </c>
      <c r="Y311" t="str">
        <f>IFERROR(__xludf.DUMMYFUNCTION("""COMPUTED_VALUE"""),"Excellent")</f>
        <v>Excellent</v>
      </c>
      <c r="Z311" t="str">
        <f>IFERROR(__xludf.DUMMYFUNCTION("""COMPUTED_VALUE"""),"Excellent")</f>
        <v>Excellent</v>
      </c>
      <c r="AA311" t="str">
        <f>IFERROR(__xludf.DUMMYFUNCTION("""COMPUTED_VALUE"""),"Good")</f>
        <v>Good</v>
      </c>
      <c r="AB311" t="str">
        <f>IFERROR(__xludf.DUMMYFUNCTION("""COMPUTED_VALUE"""),"Excellent")</f>
        <v>Excellent</v>
      </c>
      <c r="AC311">
        <f>IFERROR(__xludf.DUMMYFUNCTION("""COMPUTED_VALUE"""),0.0)</f>
        <v>0</v>
      </c>
      <c r="AH311" s="189">
        <f>IFERROR(__xludf.DUMMYFUNCTION("""COMPUTED_VALUE"""),43298.64545832176)</f>
        <v>43298.64546</v>
      </c>
    </row>
    <row r="312">
      <c r="A312" t="str">
        <f>IFERROR(__xludf.DUMMYFUNCTION("""COMPUTED_VALUE"""),"riyadc")</f>
        <v>riyadc</v>
      </c>
      <c r="B312" t="str">
        <f>IFERROR(__xludf.DUMMYFUNCTION("""COMPUTED_VALUE"""),"Atlanta")</f>
        <v>Atlanta</v>
      </c>
      <c r="C312" t="str">
        <f>IFERROR(__xludf.DUMMYFUNCTION("""COMPUTED_VALUE"""),"GA")</f>
        <v>GA</v>
      </c>
      <c r="D312" t="str">
        <f>IFERROR(__xludf.DUMMYFUNCTION("""COMPUTED_VALUE"""),"USA")</f>
        <v>USA</v>
      </c>
      <c r="E312" s="188">
        <f>IFERROR(__xludf.DUMMYFUNCTION("""COMPUTED_VALUE"""),43278.0)</f>
        <v>43278</v>
      </c>
      <c r="F312" s="188">
        <f>IFERROR(__xludf.DUMMYFUNCTION("""COMPUTED_VALUE"""),43280.0)</f>
        <v>43280</v>
      </c>
      <c r="H312">
        <f>IFERROR(__xludf.DUMMYFUNCTION("""COMPUTED_VALUE"""),37775.0)</f>
        <v>37775</v>
      </c>
      <c r="I312" t="str">
        <f>IFERROR(__xludf.DUMMYFUNCTION("""COMPUTED_VALUE"""),"06/18")</f>
        <v>06/18</v>
      </c>
      <c r="J312" s="5">
        <f>IFERROR(__xludf.DUMMYFUNCTION("""COMPUTED_VALUE"""),43292.0)</f>
        <v>43292</v>
      </c>
      <c r="K312">
        <f>IFERROR(__xludf.DUMMYFUNCTION("""COMPUTED_VALUE"""),2.0)</f>
        <v>2</v>
      </c>
      <c r="L312">
        <f>IFERROR(__xludf.DUMMYFUNCTION("""COMPUTED_VALUE"""),12.0)</f>
        <v>12</v>
      </c>
      <c r="M312">
        <f>IFERROR(__xludf.DUMMYFUNCTION("""COMPUTED_VALUE"""),14.0)</f>
        <v>14</v>
      </c>
      <c r="N312" t="str">
        <f>IFERROR(__xludf.DUMMYFUNCTION("""COMPUTED_VALUE"""),"Model 3 LR")</f>
        <v>Model 3 LR</v>
      </c>
      <c r="O312" t="str">
        <f>IFERROR(__xludf.DUMMYFUNCTION("""COMPUTED_VALUE"""),"Red Multi-Coat")</f>
        <v>Red Multi-Coat</v>
      </c>
      <c r="P312" t="str">
        <f>IFERROR(__xludf.DUMMYFUNCTION("""COMPUTED_VALUE"""),"18 inch Aero")</f>
        <v>18 inch Aero</v>
      </c>
      <c r="Q312" t="str">
        <f>IFERROR(__xludf.DUMMYFUNCTION("""COMPUTED_VALUE"""),"Black seats")</f>
        <v>Black seats</v>
      </c>
      <c r="R312" t="str">
        <f>IFERROR(__xludf.DUMMYFUNCTION("""COMPUTED_VALUE"""),"Enhanced Autopilot")</f>
        <v>Enhanced Autopilot</v>
      </c>
      <c r="X312" t="str">
        <f>IFERROR(__xludf.DUMMYFUNCTION("""COMPUTED_VALUE"""),"Excellent")</f>
        <v>Excellent</v>
      </c>
      <c r="Y312" t="str">
        <f>IFERROR(__xludf.DUMMYFUNCTION("""COMPUTED_VALUE"""),"Very Good")</f>
        <v>Very Good</v>
      </c>
      <c r="Z312" t="str">
        <f>IFERROR(__xludf.DUMMYFUNCTION("""COMPUTED_VALUE"""),"Excellent")</f>
        <v>Excellent</v>
      </c>
      <c r="AA312" t="str">
        <f>IFERROR(__xludf.DUMMYFUNCTION("""COMPUTED_VALUE"""),"Good")</f>
        <v>Good</v>
      </c>
      <c r="AB312" t="str">
        <f>IFERROR(__xludf.DUMMYFUNCTION("""COMPUTED_VALUE"""),"Very Good")</f>
        <v>Very Good</v>
      </c>
      <c r="AC312">
        <f>IFERROR(__xludf.DUMMYFUNCTION("""COMPUTED_VALUE"""),0.0)</f>
        <v>0</v>
      </c>
      <c r="AD312">
        <f>IFERROR(__xludf.DUMMYFUNCTION("""COMPUTED_VALUE"""),0.0)</f>
        <v>0</v>
      </c>
      <c r="AE312">
        <f>IFERROR(__xludf.DUMMYFUNCTION("""COMPUTED_VALUE"""),0.0)</f>
        <v>0</v>
      </c>
      <c r="AH312" s="189">
        <f>IFERROR(__xludf.DUMMYFUNCTION("""COMPUTED_VALUE"""),43298.72809152778)</f>
        <v>43298.72809</v>
      </c>
    </row>
    <row r="313">
      <c r="A313" t="str">
        <f>IFERROR(__xludf.DUMMYFUNCTION("""COMPUTED_VALUE"""),"mdrummer88")</f>
        <v>mdrummer88</v>
      </c>
      <c r="B313" t="str">
        <f>IFERROR(__xludf.DUMMYFUNCTION("""COMPUTED_VALUE"""),"Los Angeles")</f>
        <v>Los Angeles</v>
      </c>
      <c r="C313" t="str">
        <f>IFERROR(__xludf.DUMMYFUNCTION("""COMPUTED_VALUE"""),"CA")</f>
        <v>CA</v>
      </c>
      <c r="D313" t="str">
        <f>IFERROR(__xludf.DUMMYFUNCTION("""COMPUTED_VALUE"""),"USA")</f>
        <v>USA</v>
      </c>
      <c r="E313" s="188">
        <f>IFERROR(__xludf.DUMMYFUNCTION("""COMPUTED_VALUE"""),43277.0)</f>
        <v>43277</v>
      </c>
      <c r="F313" s="188">
        <f>IFERROR(__xludf.DUMMYFUNCTION("""COMPUTED_VALUE"""),43279.0)</f>
        <v>43279</v>
      </c>
      <c r="H313">
        <f>IFERROR(__xludf.DUMMYFUNCTION("""COMPUTED_VALUE"""),43955.0)</f>
        <v>43955</v>
      </c>
      <c r="J313" s="5">
        <f>IFERROR(__xludf.DUMMYFUNCTION("""COMPUTED_VALUE"""),43295.0)</f>
        <v>43295</v>
      </c>
      <c r="K313">
        <f>IFERROR(__xludf.DUMMYFUNCTION("""COMPUTED_VALUE"""),2.0)</f>
        <v>2</v>
      </c>
      <c r="L313">
        <f>IFERROR(__xludf.DUMMYFUNCTION("""COMPUTED_VALUE"""),16.0)</f>
        <v>16</v>
      </c>
      <c r="M313">
        <f>IFERROR(__xludf.DUMMYFUNCTION("""COMPUTED_VALUE"""),18.0)</f>
        <v>18</v>
      </c>
      <c r="N313" t="str">
        <f>IFERROR(__xludf.DUMMYFUNCTION("""COMPUTED_VALUE"""),"Model 3 LR")</f>
        <v>Model 3 LR</v>
      </c>
      <c r="O313" t="str">
        <f>IFERROR(__xludf.DUMMYFUNCTION("""COMPUTED_VALUE"""),"Silver Metallic")</f>
        <v>Silver Metallic</v>
      </c>
      <c r="P313" t="str">
        <f>IFERROR(__xludf.DUMMYFUNCTION("""COMPUTED_VALUE"""),"18 inch Aero")</f>
        <v>18 inch Aero</v>
      </c>
      <c r="Q313" t="str">
        <f>IFERROR(__xludf.DUMMYFUNCTION("""COMPUTED_VALUE"""),"Black seats")</f>
        <v>Black seats</v>
      </c>
      <c r="R313" t="str">
        <f>IFERROR(__xludf.DUMMYFUNCTION("""COMPUTED_VALUE"""),"Full Self-Driving")</f>
        <v>Full Self-Driving</v>
      </c>
      <c r="X313" t="str">
        <f>IFERROR(__xludf.DUMMYFUNCTION("""COMPUTED_VALUE"""),"Excellent")</f>
        <v>Excellent</v>
      </c>
      <c r="Y313" t="str">
        <f>IFERROR(__xludf.DUMMYFUNCTION("""COMPUTED_VALUE"""),"Excellent")</f>
        <v>Excellent</v>
      </c>
      <c r="Z313" t="str">
        <f>IFERROR(__xludf.DUMMYFUNCTION("""COMPUTED_VALUE"""),"Excellent")</f>
        <v>Excellent</v>
      </c>
      <c r="AA313" t="str">
        <f>IFERROR(__xludf.DUMMYFUNCTION("""COMPUTED_VALUE"""),"Very Good")</f>
        <v>Very Good</v>
      </c>
      <c r="AB313" t="str">
        <f>IFERROR(__xludf.DUMMYFUNCTION("""COMPUTED_VALUE"""),"Excellent")</f>
        <v>Excellent</v>
      </c>
      <c r="AC313">
        <f>IFERROR(__xludf.DUMMYFUNCTION("""COMPUTED_VALUE"""),0.0)</f>
        <v>0</v>
      </c>
      <c r="AH313" s="189">
        <f>IFERROR(__xludf.DUMMYFUNCTION("""COMPUTED_VALUE"""),43298.83724202546)</f>
        <v>43298.83724</v>
      </c>
    </row>
    <row r="314">
      <c r="A314" t="str">
        <f>IFERROR(__xludf.DUMMYFUNCTION("""COMPUTED_VALUE"""),"jwardell")</f>
        <v>jwardell</v>
      </c>
      <c r="B314" t="str">
        <f>IFERROR(__xludf.DUMMYFUNCTION("""COMPUTED_VALUE"""),"Boston")</f>
        <v>Boston</v>
      </c>
      <c r="C314" t="str">
        <f>IFERROR(__xludf.DUMMYFUNCTION("""COMPUTED_VALUE"""),"MA")</f>
        <v>MA</v>
      </c>
      <c r="D314" t="str">
        <f>IFERROR(__xludf.DUMMYFUNCTION("""COMPUTED_VALUE"""),"USA")</f>
        <v>USA</v>
      </c>
      <c r="E314" s="188">
        <f>IFERROR(__xludf.DUMMYFUNCTION("""COMPUTED_VALUE"""),43278.0)</f>
        <v>43278</v>
      </c>
      <c r="F314" s="188">
        <f>IFERROR(__xludf.DUMMYFUNCTION("""COMPUTED_VALUE"""),43283.0)</f>
        <v>43283</v>
      </c>
      <c r="H314">
        <f>IFERROR(__xludf.DUMMYFUNCTION("""COMPUTED_VALUE"""),22910.0)</f>
        <v>22910</v>
      </c>
      <c r="I314" t="str">
        <f>IFERROR(__xludf.DUMMYFUNCTION("""COMPUTED_VALUE"""),"06/18")</f>
        <v>06/18</v>
      </c>
      <c r="J314" s="5">
        <f>IFERROR(__xludf.DUMMYFUNCTION("""COMPUTED_VALUE"""),43298.0)</f>
        <v>43298</v>
      </c>
      <c r="K314">
        <f>IFERROR(__xludf.DUMMYFUNCTION("""COMPUTED_VALUE"""),5.0)</f>
        <v>5</v>
      </c>
      <c r="L314">
        <f>IFERROR(__xludf.DUMMYFUNCTION("""COMPUTED_VALUE"""),15.0)</f>
        <v>15</v>
      </c>
      <c r="M314">
        <f>IFERROR(__xludf.DUMMYFUNCTION("""COMPUTED_VALUE"""),20.0)</f>
        <v>20</v>
      </c>
      <c r="N314" t="str">
        <f>IFERROR(__xludf.DUMMYFUNCTION("""COMPUTED_VALUE"""),"Model 3 LR")</f>
        <v>Model 3 LR</v>
      </c>
      <c r="O314" t="str">
        <f>IFERROR(__xludf.DUMMYFUNCTION("""COMPUTED_VALUE"""),"Deep Blue Metallic")</f>
        <v>Deep Blue Metallic</v>
      </c>
      <c r="P314" t="str">
        <f>IFERROR(__xludf.DUMMYFUNCTION("""COMPUTED_VALUE"""),"18 inch Aero")</f>
        <v>18 inch Aero</v>
      </c>
      <c r="Q314" t="str">
        <f>IFERROR(__xludf.DUMMYFUNCTION("""COMPUTED_VALUE"""),"Black seats")</f>
        <v>Black seats</v>
      </c>
      <c r="R314" t="str">
        <f>IFERROR(__xludf.DUMMYFUNCTION("""COMPUTED_VALUE"""),"Enhanced Autopilot")</f>
        <v>Enhanced Autopilot</v>
      </c>
      <c r="X314" t="str">
        <f>IFERROR(__xludf.DUMMYFUNCTION("""COMPUTED_VALUE"""),"Excellent")</f>
        <v>Excellent</v>
      </c>
      <c r="Y314" t="str">
        <f>IFERROR(__xludf.DUMMYFUNCTION("""COMPUTED_VALUE"""),"Excellent")</f>
        <v>Excellent</v>
      </c>
      <c r="Z314" t="str">
        <f>IFERROR(__xludf.DUMMYFUNCTION("""COMPUTED_VALUE"""),"Excellent")</f>
        <v>Excellent</v>
      </c>
      <c r="AA314" t="str">
        <f>IFERROR(__xludf.DUMMYFUNCTION("""COMPUTED_VALUE"""),"Good")</f>
        <v>Good</v>
      </c>
      <c r="AB314" t="str">
        <f>IFERROR(__xludf.DUMMYFUNCTION("""COMPUTED_VALUE"""),"Excellent")</f>
        <v>Excellent</v>
      </c>
      <c r="AC314">
        <f>IFERROR(__xludf.DUMMYFUNCTION("""COMPUTED_VALUE"""),0.0)</f>
        <v>0</v>
      </c>
      <c r="AD314">
        <f>IFERROR(__xludf.DUMMYFUNCTION("""COMPUTED_VALUE"""),0.0)</f>
        <v>0</v>
      </c>
      <c r="AE314">
        <f>IFERROR(__xludf.DUMMYFUNCTION("""COMPUTED_VALUE"""),3.0)</f>
        <v>3</v>
      </c>
      <c r="AH314" s="189">
        <f>IFERROR(__xludf.DUMMYFUNCTION("""COMPUTED_VALUE"""),43298.84062318287)</f>
        <v>43298.84062</v>
      </c>
    </row>
    <row r="315">
      <c r="A315" t="str">
        <f>IFERROR(__xludf.DUMMYFUNCTION("""COMPUTED_VALUE"""),"DS42")</f>
        <v>DS42</v>
      </c>
      <c r="B315" t="str">
        <f>IFERROR(__xludf.DUMMYFUNCTION("""COMPUTED_VALUE"""),"Aurora")</f>
        <v>Aurora</v>
      </c>
      <c r="C315" t="str">
        <f>IFERROR(__xludf.DUMMYFUNCTION("""COMPUTED_VALUE"""),"IL")</f>
        <v>IL</v>
      </c>
      <c r="D315" t="str">
        <f>IFERROR(__xludf.DUMMYFUNCTION("""COMPUTED_VALUE"""),"USA")</f>
        <v>USA</v>
      </c>
      <c r="E315" s="188">
        <f>IFERROR(__xludf.DUMMYFUNCTION("""COMPUTED_VALUE"""),43207.0)</f>
        <v>43207</v>
      </c>
      <c r="F315" s="188">
        <f>IFERROR(__xludf.DUMMYFUNCTION("""COMPUTED_VALUE"""),43275.0)</f>
        <v>43275</v>
      </c>
      <c r="H315">
        <f>IFERROR(__xludf.DUMMYFUNCTION("""COMPUTED_VALUE"""),33755.0)</f>
        <v>33755</v>
      </c>
      <c r="I315" t="str">
        <f>IFERROR(__xludf.DUMMYFUNCTION("""COMPUTED_VALUE"""),"06/18")</f>
        <v>06/18</v>
      </c>
      <c r="J315" s="5">
        <f>IFERROR(__xludf.DUMMYFUNCTION("""COMPUTED_VALUE"""),43295.0)</f>
        <v>43295</v>
      </c>
      <c r="K315">
        <f>IFERROR(__xludf.DUMMYFUNCTION("""COMPUTED_VALUE"""),68.0)</f>
        <v>68</v>
      </c>
      <c r="L315">
        <f>IFERROR(__xludf.DUMMYFUNCTION("""COMPUTED_VALUE"""),20.0)</f>
        <v>20</v>
      </c>
      <c r="M315">
        <f>IFERROR(__xludf.DUMMYFUNCTION("""COMPUTED_VALUE"""),88.0)</f>
        <v>88</v>
      </c>
      <c r="N315" t="str">
        <f>IFERROR(__xludf.DUMMYFUNCTION("""COMPUTED_VALUE"""),"Model 3 LR")</f>
        <v>Model 3 LR</v>
      </c>
      <c r="O315" t="str">
        <f>IFERROR(__xludf.DUMMYFUNCTION("""COMPUTED_VALUE"""),"Red Multi-Coat")</f>
        <v>Red Multi-Coat</v>
      </c>
      <c r="P315" t="str">
        <f>IFERROR(__xludf.DUMMYFUNCTION("""COMPUTED_VALUE"""),"19 inch Sport")</f>
        <v>19 inch Sport</v>
      </c>
      <c r="Q315" t="str">
        <f>IFERROR(__xludf.DUMMYFUNCTION("""COMPUTED_VALUE"""),"Black seats")</f>
        <v>Black seats</v>
      </c>
      <c r="R315" t="str">
        <f>IFERROR(__xludf.DUMMYFUNCTION("""COMPUTED_VALUE"""),"Enhanced Autopilot")</f>
        <v>Enhanced Autopilot</v>
      </c>
      <c r="X315" t="str">
        <f>IFERROR(__xludf.DUMMYFUNCTION("""COMPUTED_VALUE"""),"Excellent")</f>
        <v>Excellent</v>
      </c>
      <c r="Y315" t="str">
        <f>IFERROR(__xludf.DUMMYFUNCTION("""COMPUTED_VALUE"""),"Excellent")</f>
        <v>Excellent</v>
      </c>
      <c r="Z315" t="str">
        <f>IFERROR(__xludf.DUMMYFUNCTION("""COMPUTED_VALUE"""),"Excellent")</f>
        <v>Excellent</v>
      </c>
      <c r="AA315" t="str">
        <f>IFERROR(__xludf.DUMMYFUNCTION("""COMPUTED_VALUE"""),"Excellent")</f>
        <v>Excellent</v>
      </c>
      <c r="AB315" t="str">
        <f>IFERROR(__xludf.DUMMYFUNCTION("""COMPUTED_VALUE"""),"Very Good")</f>
        <v>Very Good</v>
      </c>
      <c r="AC315">
        <f>IFERROR(__xludf.DUMMYFUNCTION("""COMPUTED_VALUE"""),1.0)</f>
        <v>1</v>
      </c>
      <c r="AH315" s="189">
        <f>IFERROR(__xludf.DUMMYFUNCTION("""COMPUTED_VALUE"""),43298.92741923611)</f>
        <v>43298.92742</v>
      </c>
    </row>
    <row r="316">
      <c r="A316" t="str">
        <f>IFERROR(__xludf.DUMMYFUNCTION("""COMPUTED_VALUE"""),"mrkymarc")</f>
        <v>mrkymarc</v>
      </c>
      <c r="B316" t="str">
        <f>IFERROR(__xludf.DUMMYFUNCTION("""COMPUTED_VALUE"""),"Milwaukee")</f>
        <v>Milwaukee</v>
      </c>
      <c r="C316" t="str">
        <f>IFERROR(__xludf.DUMMYFUNCTION("""COMPUTED_VALUE"""),"WI")</f>
        <v>WI</v>
      </c>
      <c r="D316" t="str">
        <f>IFERROR(__xludf.DUMMYFUNCTION("""COMPUTED_VALUE"""),"USA")</f>
        <v>USA</v>
      </c>
      <c r="E316" s="188">
        <f>IFERROR(__xludf.DUMMYFUNCTION("""COMPUTED_VALUE"""),43277.0)</f>
        <v>43277</v>
      </c>
      <c r="F316" s="188">
        <f>IFERROR(__xludf.DUMMYFUNCTION("""COMPUTED_VALUE"""),43283.0)</f>
        <v>43283</v>
      </c>
      <c r="H316">
        <f>IFERROR(__xludf.DUMMYFUNCTION("""COMPUTED_VALUE"""),37655.0)</f>
        <v>37655</v>
      </c>
      <c r="J316" s="5">
        <f>IFERROR(__xludf.DUMMYFUNCTION("""COMPUTED_VALUE"""),43298.0)</f>
        <v>43298</v>
      </c>
      <c r="K316">
        <f>IFERROR(__xludf.DUMMYFUNCTION("""COMPUTED_VALUE"""),6.0)</f>
        <v>6</v>
      </c>
      <c r="L316">
        <f>IFERROR(__xludf.DUMMYFUNCTION("""COMPUTED_VALUE"""),15.0)</f>
        <v>15</v>
      </c>
      <c r="M316">
        <f>IFERROR(__xludf.DUMMYFUNCTION("""COMPUTED_VALUE"""),21.0)</f>
        <v>21</v>
      </c>
      <c r="N316" t="str">
        <f>IFERROR(__xludf.DUMMYFUNCTION("""COMPUTED_VALUE"""),"Model 3 LR")</f>
        <v>Model 3 LR</v>
      </c>
      <c r="O316" t="str">
        <f>IFERROR(__xludf.DUMMYFUNCTION("""COMPUTED_VALUE"""),"Red Multi-Coat")</f>
        <v>Red Multi-Coat</v>
      </c>
      <c r="P316" t="str">
        <f>IFERROR(__xludf.DUMMYFUNCTION("""COMPUTED_VALUE"""),"18 inch Aero")</f>
        <v>18 inch Aero</v>
      </c>
      <c r="Q316" t="str">
        <f>IFERROR(__xludf.DUMMYFUNCTION("""COMPUTED_VALUE"""),"Black seats")</f>
        <v>Black seats</v>
      </c>
      <c r="R316" t="str">
        <f>IFERROR(__xludf.DUMMYFUNCTION("""COMPUTED_VALUE"""),"Enhanced Autopilot")</f>
        <v>Enhanced Autopilot</v>
      </c>
      <c r="X316" t="str">
        <f>IFERROR(__xludf.DUMMYFUNCTION("""COMPUTED_VALUE"""),"Very Good")</f>
        <v>Very Good</v>
      </c>
      <c r="Y316" t="str">
        <f>IFERROR(__xludf.DUMMYFUNCTION("""COMPUTED_VALUE"""),"Very Good")</f>
        <v>Very Good</v>
      </c>
      <c r="Z316" t="str">
        <f>IFERROR(__xludf.DUMMYFUNCTION("""COMPUTED_VALUE"""),"Excellent")</f>
        <v>Excellent</v>
      </c>
      <c r="AA316" t="str">
        <f>IFERROR(__xludf.DUMMYFUNCTION("""COMPUTED_VALUE"""),"Very Good")</f>
        <v>Very Good</v>
      </c>
      <c r="AB316" t="str">
        <f>IFERROR(__xludf.DUMMYFUNCTION("""COMPUTED_VALUE"""),"Excellent")</f>
        <v>Excellent</v>
      </c>
      <c r="AH316" s="189">
        <f>IFERROR(__xludf.DUMMYFUNCTION("""COMPUTED_VALUE"""),43299.33898488426)</f>
        <v>43299.33898</v>
      </c>
    </row>
    <row r="317">
      <c r="A317" t="str">
        <f>IFERROR(__xludf.DUMMYFUNCTION("""COMPUTED_VALUE"""),"kxnhra")</f>
        <v>kxnhra</v>
      </c>
      <c r="B317" t="str">
        <f>IFERROR(__xludf.DUMMYFUNCTION("""COMPUTED_VALUE"""),"Houston")</f>
        <v>Houston</v>
      </c>
      <c r="C317" t="str">
        <f>IFERROR(__xludf.DUMMYFUNCTION("""COMPUTED_VALUE"""),"TX")</f>
        <v>TX</v>
      </c>
      <c r="D317" t="str">
        <f>IFERROR(__xludf.DUMMYFUNCTION("""COMPUTED_VALUE"""),"USA")</f>
        <v>USA</v>
      </c>
      <c r="E317" s="188">
        <f>IFERROR(__xludf.DUMMYFUNCTION("""COMPUTED_VALUE"""),43216.0)</f>
        <v>43216</v>
      </c>
      <c r="F317" s="188">
        <f>IFERROR(__xludf.DUMMYFUNCTION("""COMPUTED_VALUE"""),43272.0)</f>
        <v>43272</v>
      </c>
      <c r="H317">
        <f>IFERROR(__xludf.DUMMYFUNCTION("""COMPUTED_VALUE"""),36855.0)</f>
        <v>36855</v>
      </c>
      <c r="I317" t="str">
        <f>IFERROR(__xludf.DUMMYFUNCTION("""COMPUTED_VALUE"""),"06/18")</f>
        <v>06/18</v>
      </c>
      <c r="J317" s="5">
        <f>IFERROR(__xludf.DUMMYFUNCTION("""COMPUTED_VALUE"""),43299.0)</f>
        <v>43299</v>
      </c>
      <c r="K317">
        <f>IFERROR(__xludf.DUMMYFUNCTION("""COMPUTED_VALUE"""),56.0)</f>
        <v>56</v>
      </c>
      <c r="L317">
        <f>IFERROR(__xludf.DUMMYFUNCTION("""COMPUTED_VALUE"""),27.0)</f>
        <v>27</v>
      </c>
      <c r="M317">
        <f>IFERROR(__xludf.DUMMYFUNCTION("""COMPUTED_VALUE"""),83.0)</f>
        <v>83</v>
      </c>
      <c r="N317" t="str">
        <f>IFERROR(__xludf.DUMMYFUNCTION("""COMPUTED_VALUE"""),"Model 3 LR")</f>
        <v>Model 3 LR</v>
      </c>
      <c r="O317" t="str">
        <f>IFERROR(__xludf.DUMMYFUNCTION("""COMPUTED_VALUE"""),"Midnight Silver Metallic")</f>
        <v>Midnight Silver Metallic</v>
      </c>
      <c r="P317" t="str">
        <f>IFERROR(__xludf.DUMMYFUNCTION("""COMPUTED_VALUE"""),"19 inch Sport")</f>
        <v>19 inch Sport</v>
      </c>
      <c r="Q317" t="str">
        <f>IFERROR(__xludf.DUMMYFUNCTION("""COMPUTED_VALUE"""),"Black seats")</f>
        <v>Black seats</v>
      </c>
      <c r="R317" t="str">
        <f>IFERROR(__xludf.DUMMYFUNCTION("""COMPUTED_VALUE"""),"Enhanced Autopilot")</f>
        <v>Enhanced Autopilot</v>
      </c>
      <c r="X317" t="str">
        <f>IFERROR(__xludf.DUMMYFUNCTION("""COMPUTED_VALUE"""),"Excellent")</f>
        <v>Excellent</v>
      </c>
      <c r="Y317" t="str">
        <f>IFERROR(__xludf.DUMMYFUNCTION("""COMPUTED_VALUE"""),"Excellent")</f>
        <v>Excellent</v>
      </c>
      <c r="Z317" t="str">
        <f>IFERROR(__xludf.DUMMYFUNCTION("""COMPUTED_VALUE"""),"Very Good")</f>
        <v>Very Good</v>
      </c>
      <c r="AA317" t="str">
        <f>IFERROR(__xludf.DUMMYFUNCTION("""COMPUTED_VALUE"""),"Excellent")</f>
        <v>Excellent</v>
      </c>
      <c r="AB317" t="str">
        <f>IFERROR(__xludf.DUMMYFUNCTION("""COMPUTED_VALUE"""),"Excellent")</f>
        <v>Excellent</v>
      </c>
      <c r="AH317" s="189">
        <f>IFERROR(__xludf.DUMMYFUNCTION("""COMPUTED_VALUE"""),43299.48432232639)</f>
        <v>43299.48432</v>
      </c>
    </row>
    <row r="318">
      <c r="A318" t="str">
        <f>IFERROR(__xludf.DUMMYFUNCTION("""COMPUTED_VALUE"""),"CarmenV")</f>
        <v>CarmenV</v>
      </c>
      <c r="B318" t="str">
        <f>IFERROR(__xludf.DUMMYFUNCTION("""COMPUTED_VALUE"""),"Boston")</f>
        <v>Boston</v>
      </c>
      <c r="C318" t="str">
        <f>IFERROR(__xludf.DUMMYFUNCTION("""COMPUTED_VALUE"""),"MA")</f>
        <v>MA</v>
      </c>
      <c r="D318" t="str">
        <f>IFERROR(__xludf.DUMMYFUNCTION("""COMPUTED_VALUE"""),"USA")</f>
        <v>USA</v>
      </c>
      <c r="E318" s="188">
        <f>IFERROR(__xludf.DUMMYFUNCTION("""COMPUTED_VALUE"""),43278.0)</f>
        <v>43278</v>
      </c>
      <c r="F318" s="188">
        <f>IFERROR(__xludf.DUMMYFUNCTION("""COMPUTED_VALUE"""),43284.0)</f>
        <v>43284</v>
      </c>
      <c r="H318">
        <f>IFERROR(__xludf.DUMMYFUNCTION("""COMPUTED_VALUE"""),35955.0)</f>
        <v>35955</v>
      </c>
      <c r="I318" t="str">
        <f>IFERROR(__xludf.DUMMYFUNCTION("""COMPUTED_VALUE"""),"06/18")</f>
        <v>06/18</v>
      </c>
      <c r="J318" s="5">
        <f>IFERROR(__xludf.DUMMYFUNCTION("""COMPUTED_VALUE"""),43291.0)</f>
        <v>43291</v>
      </c>
      <c r="K318">
        <f>IFERROR(__xludf.DUMMYFUNCTION("""COMPUTED_VALUE"""),6.0)</f>
        <v>6</v>
      </c>
      <c r="L318">
        <f>IFERROR(__xludf.DUMMYFUNCTION("""COMPUTED_VALUE"""),7.0)</f>
        <v>7</v>
      </c>
      <c r="M318">
        <f>IFERROR(__xludf.DUMMYFUNCTION("""COMPUTED_VALUE"""),13.0)</f>
        <v>13</v>
      </c>
      <c r="N318" t="str">
        <f>IFERROR(__xludf.DUMMYFUNCTION("""COMPUTED_VALUE"""),"Model 3 LR")</f>
        <v>Model 3 LR</v>
      </c>
      <c r="O318" t="str">
        <f>IFERROR(__xludf.DUMMYFUNCTION("""COMPUTED_VALUE"""),"Pearl White Multi-Coat")</f>
        <v>Pearl White Multi-Coat</v>
      </c>
      <c r="P318" t="str">
        <f>IFERROR(__xludf.DUMMYFUNCTION("""COMPUTED_VALUE"""),"19 inch Sport")</f>
        <v>19 inch Sport</v>
      </c>
      <c r="Q318" t="str">
        <f>IFERROR(__xludf.DUMMYFUNCTION("""COMPUTED_VALUE"""),"Black seats")</f>
        <v>Black seats</v>
      </c>
      <c r="R318" t="str">
        <f>IFERROR(__xludf.DUMMYFUNCTION("""COMPUTED_VALUE"""),"Enhanced Autopilot")</f>
        <v>Enhanced Autopilot</v>
      </c>
      <c r="X318" t="str">
        <f>IFERROR(__xludf.DUMMYFUNCTION("""COMPUTED_VALUE"""),"Excellent")</f>
        <v>Excellent</v>
      </c>
      <c r="Y318" t="str">
        <f>IFERROR(__xludf.DUMMYFUNCTION("""COMPUTED_VALUE"""),"Very Good")</f>
        <v>Very Good</v>
      </c>
      <c r="Z318" t="str">
        <f>IFERROR(__xludf.DUMMYFUNCTION("""COMPUTED_VALUE"""),"Very Good")</f>
        <v>Very Good</v>
      </c>
      <c r="AA318" t="str">
        <f>IFERROR(__xludf.DUMMYFUNCTION("""COMPUTED_VALUE"""),"Good")</f>
        <v>Good</v>
      </c>
      <c r="AB318" t="str">
        <f>IFERROR(__xludf.DUMMYFUNCTION("""COMPUTED_VALUE"""),"Very Good")</f>
        <v>Very Good</v>
      </c>
      <c r="AC318">
        <f>IFERROR(__xludf.DUMMYFUNCTION("""COMPUTED_VALUE"""),2.0)</f>
        <v>2</v>
      </c>
      <c r="AH318" s="189">
        <f>IFERROR(__xludf.DUMMYFUNCTION("""COMPUTED_VALUE"""),43299.54025659722)</f>
        <v>43299.54026</v>
      </c>
    </row>
    <row r="319">
      <c r="A319" t="str">
        <f>IFERROR(__xludf.DUMMYFUNCTION("""COMPUTED_VALUE"""),"this")</f>
        <v>this</v>
      </c>
      <c r="B319" t="str">
        <f>IFERROR(__xludf.DUMMYFUNCTION("""COMPUTED_VALUE"""),"Chicago")</f>
        <v>Chicago</v>
      </c>
      <c r="C319" t="str">
        <f>IFERROR(__xludf.DUMMYFUNCTION("""COMPUTED_VALUE"""),"IL")</f>
        <v>IL</v>
      </c>
      <c r="D319" t="str">
        <f>IFERROR(__xludf.DUMMYFUNCTION("""COMPUTED_VALUE"""),"USA")</f>
        <v>USA</v>
      </c>
      <c r="E319" s="188">
        <f>IFERROR(__xludf.DUMMYFUNCTION("""COMPUTED_VALUE"""),43208.0)</f>
        <v>43208</v>
      </c>
      <c r="F319" s="188">
        <f>IFERROR(__xludf.DUMMYFUNCTION("""COMPUTED_VALUE"""),43234.0)</f>
        <v>43234</v>
      </c>
      <c r="H319">
        <f>IFERROR(__xludf.DUMMYFUNCTION("""COMPUTED_VALUE"""),20635.0)</f>
        <v>20635</v>
      </c>
      <c r="I319" t="str">
        <f>IFERROR(__xludf.DUMMYFUNCTION("""COMPUTED_VALUE"""),"05/18")</f>
        <v>05/18</v>
      </c>
      <c r="J319" s="5">
        <f>IFERROR(__xludf.DUMMYFUNCTION("""COMPUTED_VALUE"""),43255.0)</f>
        <v>43255</v>
      </c>
      <c r="K319">
        <f>IFERROR(__xludf.DUMMYFUNCTION("""COMPUTED_VALUE"""),26.0)</f>
        <v>26</v>
      </c>
      <c r="L319">
        <f>IFERROR(__xludf.DUMMYFUNCTION("""COMPUTED_VALUE"""),21.0)</f>
        <v>21</v>
      </c>
      <c r="M319">
        <f>IFERROR(__xludf.DUMMYFUNCTION("""COMPUTED_VALUE"""),47.0)</f>
        <v>47</v>
      </c>
      <c r="N319" t="str">
        <f>IFERROR(__xludf.DUMMYFUNCTION("""COMPUTED_VALUE"""),"Model 3 LR")</f>
        <v>Model 3 LR</v>
      </c>
      <c r="O319" t="str">
        <f>IFERROR(__xludf.DUMMYFUNCTION("""COMPUTED_VALUE"""),"Solid Black")</f>
        <v>Solid Black</v>
      </c>
      <c r="P319" t="str">
        <f>IFERROR(__xludf.DUMMYFUNCTION("""COMPUTED_VALUE"""),"18 inch Aero")</f>
        <v>18 inch Aero</v>
      </c>
      <c r="Q319" t="str">
        <f>IFERROR(__xludf.DUMMYFUNCTION("""COMPUTED_VALUE"""),"Black seats")</f>
        <v>Black seats</v>
      </c>
      <c r="R319" t="str">
        <f>IFERROR(__xludf.DUMMYFUNCTION("""COMPUTED_VALUE"""),"Enhanced Autopilot")</f>
        <v>Enhanced Autopilot</v>
      </c>
      <c r="X319" t="str">
        <f>IFERROR(__xludf.DUMMYFUNCTION("""COMPUTED_VALUE"""),"Very Good")</f>
        <v>Very Good</v>
      </c>
      <c r="Y319" t="str">
        <f>IFERROR(__xludf.DUMMYFUNCTION("""COMPUTED_VALUE"""),"Fair")</f>
        <v>Fair</v>
      </c>
      <c r="Z319" t="str">
        <f>IFERROR(__xludf.DUMMYFUNCTION("""COMPUTED_VALUE"""),"Good")</f>
        <v>Good</v>
      </c>
      <c r="AA319" t="str">
        <f>IFERROR(__xludf.DUMMYFUNCTION("""COMPUTED_VALUE"""),"Very Good")</f>
        <v>Very Good</v>
      </c>
      <c r="AB319" t="str">
        <f>IFERROR(__xludf.DUMMYFUNCTION("""COMPUTED_VALUE"""),"Excellent")</f>
        <v>Excellent</v>
      </c>
      <c r="AC319">
        <f>IFERROR(__xludf.DUMMYFUNCTION("""COMPUTED_VALUE"""),1.0)</f>
        <v>1</v>
      </c>
      <c r="AD319">
        <f>IFERROR(__xludf.DUMMYFUNCTION("""COMPUTED_VALUE"""),1.0)</f>
        <v>1</v>
      </c>
      <c r="AE319">
        <f>IFERROR(__xludf.DUMMYFUNCTION("""COMPUTED_VALUE"""),12.0)</f>
        <v>12</v>
      </c>
      <c r="AH319" s="189">
        <f>IFERROR(__xludf.DUMMYFUNCTION("""COMPUTED_VALUE"""),43299.587125763894)</f>
        <v>43299.58713</v>
      </c>
    </row>
    <row r="320">
      <c r="A320" t="str">
        <f>IFERROR(__xludf.DUMMYFUNCTION("""COMPUTED_VALUE"""),"baselsalam")</f>
        <v>baselsalam</v>
      </c>
      <c r="B320" t="str">
        <f>IFERROR(__xludf.DUMMYFUNCTION("""COMPUTED_VALUE"""),"Bellevue")</f>
        <v>Bellevue</v>
      </c>
      <c r="C320" t="str">
        <f>IFERROR(__xludf.DUMMYFUNCTION("""COMPUTED_VALUE"""),"WA")</f>
        <v>WA</v>
      </c>
      <c r="D320" t="str">
        <f>IFERROR(__xludf.DUMMYFUNCTION("""COMPUTED_VALUE"""),"USA")</f>
        <v>USA</v>
      </c>
      <c r="E320" s="188">
        <f>IFERROR(__xludf.DUMMYFUNCTION("""COMPUTED_VALUE"""),43215.0)</f>
        <v>43215</v>
      </c>
      <c r="F320" s="188">
        <f>IFERROR(__xludf.DUMMYFUNCTION("""COMPUTED_VALUE"""),43276.0)</f>
        <v>43276</v>
      </c>
      <c r="H320">
        <f>IFERROR(__xludf.DUMMYFUNCTION("""COMPUTED_VALUE"""),43055.0)</f>
        <v>43055</v>
      </c>
      <c r="I320" t="str">
        <f>IFERROR(__xludf.DUMMYFUNCTION("""COMPUTED_VALUE"""),"06/18")</f>
        <v>06/18</v>
      </c>
      <c r="J320" s="5">
        <f>IFERROR(__xludf.DUMMYFUNCTION("""COMPUTED_VALUE"""),43300.0)</f>
        <v>43300</v>
      </c>
      <c r="K320">
        <f>IFERROR(__xludf.DUMMYFUNCTION("""COMPUTED_VALUE"""),61.0)</f>
        <v>61</v>
      </c>
      <c r="L320">
        <f>IFERROR(__xludf.DUMMYFUNCTION("""COMPUTED_VALUE"""),24.0)</f>
        <v>24</v>
      </c>
      <c r="M320">
        <f>IFERROR(__xludf.DUMMYFUNCTION("""COMPUTED_VALUE"""),85.0)</f>
        <v>85</v>
      </c>
      <c r="N320" t="str">
        <f>IFERROR(__xludf.DUMMYFUNCTION("""COMPUTED_VALUE"""),"Model 3 LR")</f>
        <v>Model 3 LR</v>
      </c>
      <c r="O320" t="str">
        <f>IFERROR(__xludf.DUMMYFUNCTION("""COMPUTED_VALUE"""),"Silver Metallic")</f>
        <v>Silver Metallic</v>
      </c>
      <c r="P320" t="str">
        <f>IFERROR(__xludf.DUMMYFUNCTION("""COMPUTED_VALUE"""),"18 inch Aero")</f>
        <v>18 inch Aero</v>
      </c>
      <c r="Q320" t="str">
        <f>IFERROR(__xludf.DUMMYFUNCTION("""COMPUTED_VALUE"""),"Black seats")</f>
        <v>Black seats</v>
      </c>
      <c r="R320" t="str">
        <f>IFERROR(__xludf.DUMMYFUNCTION("""COMPUTED_VALUE"""),"Full Self-Driving")</f>
        <v>Full Self-Driving</v>
      </c>
      <c r="X320" t="str">
        <f>IFERROR(__xludf.DUMMYFUNCTION("""COMPUTED_VALUE"""),"Excellent")</f>
        <v>Excellent</v>
      </c>
      <c r="Y320" t="str">
        <f>IFERROR(__xludf.DUMMYFUNCTION("""COMPUTED_VALUE"""),"Very Good")</f>
        <v>Very Good</v>
      </c>
      <c r="Z320" t="str">
        <f>IFERROR(__xludf.DUMMYFUNCTION("""COMPUTED_VALUE"""),"Fair")</f>
        <v>Fair</v>
      </c>
      <c r="AA320" t="str">
        <f>IFERROR(__xludf.DUMMYFUNCTION("""COMPUTED_VALUE"""),"Good")</f>
        <v>Good</v>
      </c>
      <c r="AB320" t="str">
        <f>IFERROR(__xludf.DUMMYFUNCTION("""COMPUTED_VALUE"""),"Very Good")</f>
        <v>Very Good</v>
      </c>
      <c r="AC320">
        <f>IFERROR(__xludf.DUMMYFUNCTION("""COMPUTED_VALUE"""),13.0)</f>
        <v>13</v>
      </c>
      <c r="AG320" t="str">
        <f>IFERROR(__xludf.DUMMYFUNCTION("""COMPUTED_VALUE"""),"Needed to change color, hence the delay between VIN assigned and delivery.")</f>
        <v>Needed to change color, hence the delay between VIN assigned and delivery.</v>
      </c>
      <c r="AH320" s="189">
        <f>IFERROR(__xludf.DUMMYFUNCTION("""COMPUTED_VALUE"""),43300.005266203705)</f>
        <v>43300.00527</v>
      </c>
    </row>
    <row r="321">
      <c r="A321" t="str">
        <f>IFERROR(__xludf.DUMMYFUNCTION("""COMPUTED_VALUE"""),"ocmetz")</f>
        <v>ocmetz</v>
      </c>
      <c r="B321" t="str">
        <f>IFERROR(__xludf.DUMMYFUNCTION("""COMPUTED_VALUE"""),"Oregon City")</f>
        <v>Oregon City</v>
      </c>
      <c r="C321" t="str">
        <f>IFERROR(__xludf.DUMMYFUNCTION("""COMPUTED_VALUE"""),"OR")</f>
        <v>OR</v>
      </c>
      <c r="D321" t="str">
        <f>IFERROR(__xludf.DUMMYFUNCTION("""COMPUTED_VALUE"""),"USA")</f>
        <v>USA</v>
      </c>
      <c r="E321" s="188">
        <f>IFERROR(__xludf.DUMMYFUNCTION("""COMPUTED_VALUE"""),43278.0)</f>
        <v>43278</v>
      </c>
      <c r="F321" s="188">
        <f>IFERROR(__xludf.DUMMYFUNCTION("""COMPUTED_VALUE"""),43297.0)</f>
        <v>43297</v>
      </c>
      <c r="H321">
        <f>IFERROR(__xludf.DUMMYFUNCTION("""COMPUTED_VALUE"""),46960.0)</f>
        <v>46960</v>
      </c>
      <c r="I321" t="str">
        <f>IFERROR(__xludf.DUMMYFUNCTION("""COMPUTED_VALUE"""),"07/18")</f>
        <v>07/18</v>
      </c>
      <c r="J321" s="5">
        <f>IFERROR(__xludf.DUMMYFUNCTION("""COMPUTED_VALUE"""),43299.0)</f>
        <v>43299</v>
      </c>
      <c r="K321">
        <f>IFERROR(__xludf.DUMMYFUNCTION("""COMPUTED_VALUE"""),19.0)</f>
        <v>19</v>
      </c>
      <c r="L321">
        <f>IFERROR(__xludf.DUMMYFUNCTION("""COMPUTED_VALUE"""),2.0)</f>
        <v>2</v>
      </c>
      <c r="M321">
        <f>IFERROR(__xludf.DUMMYFUNCTION("""COMPUTED_VALUE"""),21.0)</f>
        <v>21</v>
      </c>
      <c r="N321" t="str">
        <f>IFERROR(__xludf.DUMMYFUNCTION("""COMPUTED_VALUE"""),"Model 3 LR")</f>
        <v>Model 3 LR</v>
      </c>
      <c r="O321" t="str">
        <f>IFERROR(__xludf.DUMMYFUNCTION("""COMPUTED_VALUE"""),"Red Multi-Coat")</f>
        <v>Red Multi-Coat</v>
      </c>
      <c r="P321" t="str">
        <f>IFERROR(__xludf.DUMMYFUNCTION("""COMPUTED_VALUE"""),"19 inch Sport")</f>
        <v>19 inch Sport</v>
      </c>
      <c r="Q321" t="str">
        <f>IFERROR(__xludf.DUMMYFUNCTION("""COMPUTED_VALUE"""),"Black seats")</f>
        <v>Black seats</v>
      </c>
      <c r="R321" t="str">
        <f>IFERROR(__xludf.DUMMYFUNCTION("""COMPUTED_VALUE"""),"Enhanced Autopilot")</f>
        <v>Enhanced Autopilot</v>
      </c>
      <c r="X321" t="str">
        <f>IFERROR(__xludf.DUMMYFUNCTION("""COMPUTED_VALUE"""),"Very Good")</f>
        <v>Very Good</v>
      </c>
      <c r="Y321" t="str">
        <f>IFERROR(__xludf.DUMMYFUNCTION("""COMPUTED_VALUE"""),"Excellent")</f>
        <v>Excellent</v>
      </c>
      <c r="Z321" t="str">
        <f>IFERROR(__xludf.DUMMYFUNCTION("""COMPUTED_VALUE"""),"Excellent")</f>
        <v>Excellent</v>
      </c>
      <c r="AA321" t="str">
        <f>IFERROR(__xludf.DUMMYFUNCTION("""COMPUTED_VALUE"""),"Very Good")</f>
        <v>Very Good</v>
      </c>
      <c r="AB321" t="str">
        <f>IFERROR(__xludf.DUMMYFUNCTION("""COMPUTED_VALUE"""),"Excellent")</f>
        <v>Excellent</v>
      </c>
      <c r="AC321">
        <f>IFERROR(__xludf.DUMMYFUNCTION("""COMPUTED_VALUE"""),0.0)</f>
        <v>0</v>
      </c>
      <c r="AH321" s="189">
        <f>IFERROR(__xludf.DUMMYFUNCTION("""COMPUTED_VALUE"""),43300.34943125)</f>
        <v>43300.34943</v>
      </c>
    </row>
    <row r="322">
      <c r="A322" t="str">
        <f>IFERROR(__xludf.DUMMYFUNCTION("""COMPUTED_VALUE"""),"Redboot")</f>
        <v>Redboot</v>
      </c>
      <c r="B322" t="str">
        <f>IFERROR(__xludf.DUMMYFUNCTION("""COMPUTED_VALUE"""),"Newport, KY")</f>
        <v>Newport, KY</v>
      </c>
      <c r="C322" t="str">
        <f>IFERROR(__xludf.DUMMYFUNCTION("""COMPUTED_VALUE"""),"KY")</f>
        <v>KY</v>
      </c>
      <c r="D322" t="str">
        <f>IFERROR(__xludf.DUMMYFUNCTION("""COMPUTED_VALUE"""),"USA")</f>
        <v>USA</v>
      </c>
      <c r="E322" s="188">
        <f>IFERROR(__xludf.DUMMYFUNCTION("""COMPUTED_VALUE"""),43278.0)</f>
        <v>43278</v>
      </c>
      <c r="F322" s="188">
        <f>IFERROR(__xludf.DUMMYFUNCTION("""COMPUTED_VALUE"""),43280.0)</f>
        <v>43280</v>
      </c>
      <c r="H322">
        <f>IFERROR(__xludf.DUMMYFUNCTION("""COMPUTED_VALUE"""),30745.0)</f>
        <v>30745</v>
      </c>
      <c r="I322" t="str">
        <f>IFERROR(__xludf.DUMMYFUNCTION("""COMPUTED_VALUE"""),"06/18")</f>
        <v>06/18</v>
      </c>
      <c r="J322" s="5">
        <f>IFERROR(__xludf.DUMMYFUNCTION("""COMPUTED_VALUE"""),43293.0)</f>
        <v>43293</v>
      </c>
      <c r="K322">
        <f>IFERROR(__xludf.DUMMYFUNCTION("""COMPUTED_VALUE"""),2.0)</f>
        <v>2</v>
      </c>
      <c r="L322">
        <f>IFERROR(__xludf.DUMMYFUNCTION("""COMPUTED_VALUE"""),13.0)</f>
        <v>13</v>
      </c>
      <c r="M322">
        <f>IFERROR(__xludf.DUMMYFUNCTION("""COMPUTED_VALUE"""),15.0)</f>
        <v>15</v>
      </c>
      <c r="N322" t="str">
        <f>IFERROR(__xludf.DUMMYFUNCTION("""COMPUTED_VALUE"""),"Model 3 LR")</f>
        <v>Model 3 LR</v>
      </c>
      <c r="O322" t="str">
        <f>IFERROR(__xludf.DUMMYFUNCTION("""COMPUTED_VALUE"""),"Red Multi-Coat")</f>
        <v>Red Multi-Coat</v>
      </c>
      <c r="P322" t="str">
        <f>IFERROR(__xludf.DUMMYFUNCTION("""COMPUTED_VALUE"""),"18 inch Aero")</f>
        <v>18 inch Aero</v>
      </c>
      <c r="Q322" t="str">
        <f>IFERROR(__xludf.DUMMYFUNCTION("""COMPUTED_VALUE"""),"Black seats")</f>
        <v>Black seats</v>
      </c>
      <c r="R322" t="str">
        <f>IFERROR(__xludf.DUMMYFUNCTION("""COMPUTED_VALUE"""),"Full Self-Driving")</f>
        <v>Full Self-Driving</v>
      </c>
      <c r="X322" t="str">
        <f>IFERROR(__xludf.DUMMYFUNCTION("""COMPUTED_VALUE"""),"Excellent")</f>
        <v>Excellent</v>
      </c>
      <c r="Y322" t="str">
        <f>IFERROR(__xludf.DUMMYFUNCTION("""COMPUTED_VALUE"""),"Excellent")</f>
        <v>Excellent</v>
      </c>
      <c r="Z322" t="str">
        <f>IFERROR(__xludf.DUMMYFUNCTION("""COMPUTED_VALUE"""),"Excellent")</f>
        <v>Excellent</v>
      </c>
      <c r="AA322" t="str">
        <f>IFERROR(__xludf.DUMMYFUNCTION("""COMPUTED_VALUE"""),"Poor")</f>
        <v>Poor</v>
      </c>
      <c r="AB322" t="str">
        <f>IFERROR(__xludf.DUMMYFUNCTION("""COMPUTED_VALUE"""),"Good")</f>
        <v>Good</v>
      </c>
      <c r="AH322" s="189">
        <f>IFERROR(__xludf.DUMMYFUNCTION("""COMPUTED_VALUE"""),43300.5300728125)</f>
        <v>43300.53007</v>
      </c>
    </row>
    <row r="323">
      <c r="A323" t="str">
        <f>IFERROR(__xludf.DUMMYFUNCTION("""COMPUTED_VALUE"""),"bsf29")</f>
        <v>bsf29</v>
      </c>
      <c r="B323" t="str">
        <f>IFERROR(__xludf.DUMMYFUNCTION("""COMPUTED_VALUE"""),"Durham")</f>
        <v>Durham</v>
      </c>
      <c r="C323" t="str">
        <f>IFERROR(__xludf.DUMMYFUNCTION("""COMPUTED_VALUE"""),"NC")</f>
        <v>NC</v>
      </c>
      <c r="D323" t="str">
        <f>IFERROR(__xludf.DUMMYFUNCTION("""COMPUTED_VALUE"""),"USA")</f>
        <v>USA</v>
      </c>
      <c r="E323" s="188">
        <f>IFERROR(__xludf.DUMMYFUNCTION("""COMPUTED_VALUE"""),43223.0)</f>
        <v>43223</v>
      </c>
      <c r="F323" s="188">
        <f>IFERROR(__xludf.DUMMYFUNCTION("""COMPUTED_VALUE"""),43271.0)</f>
        <v>43271</v>
      </c>
      <c r="H323">
        <f>IFERROR(__xludf.DUMMYFUNCTION("""COMPUTED_VALUE"""),27755.0)</f>
        <v>27755</v>
      </c>
      <c r="I323" t="str">
        <f>IFERROR(__xludf.DUMMYFUNCTION("""COMPUTED_VALUE"""),"06/18")</f>
        <v>06/18</v>
      </c>
      <c r="J323" s="5">
        <f>IFERROR(__xludf.DUMMYFUNCTION("""COMPUTED_VALUE"""),43295.0)</f>
        <v>43295</v>
      </c>
      <c r="K323">
        <f>IFERROR(__xludf.DUMMYFUNCTION("""COMPUTED_VALUE"""),48.0)</f>
        <v>48</v>
      </c>
      <c r="L323">
        <f>IFERROR(__xludf.DUMMYFUNCTION("""COMPUTED_VALUE"""),24.0)</f>
        <v>24</v>
      </c>
      <c r="M323">
        <f>IFERROR(__xludf.DUMMYFUNCTION("""COMPUTED_VALUE"""),72.0)</f>
        <v>72</v>
      </c>
      <c r="N323" t="str">
        <f>IFERROR(__xludf.DUMMYFUNCTION("""COMPUTED_VALUE"""),"Model 3 LR")</f>
        <v>Model 3 LR</v>
      </c>
      <c r="O323" t="str">
        <f>IFERROR(__xludf.DUMMYFUNCTION("""COMPUTED_VALUE"""),"Deep Blue Metallic")</f>
        <v>Deep Blue Metallic</v>
      </c>
      <c r="P323" t="str">
        <f>IFERROR(__xludf.DUMMYFUNCTION("""COMPUTED_VALUE"""),"18 inch Aero")</f>
        <v>18 inch Aero</v>
      </c>
      <c r="Q323" t="str">
        <f>IFERROR(__xludf.DUMMYFUNCTION("""COMPUTED_VALUE"""),"Black seats")</f>
        <v>Black seats</v>
      </c>
      <c r="R323" t="str">
        <f>IFERROR(__xludf.DUMMYFUNCTION("""COMPUTED_VALUE"""),"Enhanced Autopilot")</f>
        <v>Enhanced Autopilot</v>
      </c>
      <c r="X323" t="str">
        <f>IFERROR(__xludf.DUMMYFUNCTION("""COMPUTED_VALUE"""),"Excellent")</f>
        <v>Excellent</v>
      </c>
      <c r="Y323" t="str">
        <f>IFERROR(__xludf.DUMMYFUNCTION("""COMPUTED_VALUE"""),"Excellent")</f>
        <v>Excellent</v>
      </c>
      <c r="Z323" t="str">
        <f>IFERROR(__xludf.DUMMYFUNCTION("""COMPUTED_VALUE"""),"Very Good")</f>
        <v>Very Good</v>
      </c>
      <c r="AA323" t="str">
        <f>IFERROR(__xludf.DUMMYFUNCTION("""COMPUTED_VALUE"""),"Good")</f>
        <v>Good</v>
      </c>
      <c r="AB323" t="str">
        <f>IFERROR(__xludf.DUMMYFUNCTION("""COMPUTED_VALUE"""),"Very Good")</f>
        <v>Very Good</v>
      </c>
      <c r="AH323" s="189">
        <f>IFERROR(__xludf.DUMMYFUNCTION("""COMPUTED_VALUE"""),43300.62422133102)</f>
        <v>43300.62422</v>
      </c>
    </row>
    <row r="324">
      <c r="A324" t="str">
        <f>IFERROR(__xludf.DUMMYFUNCTION("""COMPUTED_VALUE"""),"Thunder7ga")</f>
        <v>Thunder7ga</v>
      </c>
      <c r="B324" t="str">
        <f>IFERROR(__xludf.DUMMYFUNCTION("""COMPUTED_VALUE"""),"Johns Creek")</f>
        <v>Johns Creek</v>
      </c>
      <c r="C324" t="str">
        <f>IFERROR(__xludf.DUMMYFUNCTION("""COMPUTED_VALUE"""),"GA")</f>
        <v>GA</v>
      </c>
      <c r="D324" t="str">
        <f>IFERROR(__xludf.DUMMYFUNCTION("""COMPUTED_VALUE"""),"USA")</f>
        <v>USA</v>
      </c>
      <c r="E324" s="188">
        <f>IFERROR(__xludf.DUMMYFUNCTION("""COMPUTED_VALUE"""),43278.0)</f>
        <v>43278</v>
      </c>
      <c r="F324" s="188">
        <f>IFERROR(__xludf.DUMMYFUNCTION("""COMPUTED_VALUE"""),43280.0)</f>
        <v>43280</v>
      </c>
      <c r="H324">
        <f>IFERROR(__xludf.DUMMYFUNCTION("""COMPUTED_VALUE"""),43955.0)</f>
        <v>43955</v>
      </c>
      <c r="I324" t="str">
        <f>IFERROR(__xludf.DUMMYFUNCTION("""COMPUTED_VALUE"""),"06/18")</f>
        <v>06/18</v>
      </c>
      <c r="J324" s="5">
        <f>IFERROR(__xludf.DUMMYFUNCTION("""COMPUTED_VALUE"""),43300.0)</f>
        <v>43300</v>
      </c>
      <c r="K324">
        <f>IFERROR(__xludf.DUMMYFUNCTION("""COMPUTED_VALUE"""),2.0)</f>
        <v>2</v>
      </c>
      <c r="L324">
        <f>IFERROR(__xludf.DUMMYFUNCTION("""COMPUTED_VALUE"""),20.0)</f>
        <v>20</v>
      </c>
      <c r="M324">
        <f>IFERROR(__xludf.DUMMYFUNCTION("""COMPUTED_VALUE"""),22.0)</f>
        <v>22</v>
      </c>
      <c r="N324" t="str">
        <f>IFERROR(__xludf.DUMMYFUNCTION("""COMPUTED_VALUE"""),"Model 3 LR")</f>
        <v>Model 3 LR</v>
      </c>
      <c r="O324" t="str">
        <f>IFERROR(__xludf.DUMMYFUNCTION("""COMPUTED_VALUE"""),"Silver Metallic")</f>
        <v>Silver Metallic</v>
      </c>
      <c r="P324" t="str">
        <f>IFERROR(__xludf.DUMMYFUNCTION("""COMPUTED_VALUE"""),"18 inch Aero")</f>
        <v>18 inch Aero</v>
      </c>
      <c r="Q324" t="str">
        <f>IFERROR(__xludf.DUMMYFUNCTION("""COMPUTED_VALUE"""),"Black seats")</f>
        <v>Black seats</v>
      </c>
      <c r="R324" t="str">
        <f>IFERROR(__xludf.DUMMYFUNCTION("""COMPUTED_VALUE"""),"Enhanced Autopilot")</f>
        <v>Enhanced Autopilot</v>
      </c>
      <c r="X324" t="str">
        <f>IFERROR(__xludf.DUMMYFUNCTION("""COMPUTED_VALUE"""),"Excellent")</f>
        <v>Excellent</v>
      </c>
      <c r="Y324" t="str">
        <f>IFERROR(__xludf.DUMMYFUNCTION("""COMPUTED_VALUE"""),"Excellent")</f>
        <v>Excellent</v>
      </c>
      <c r="Z324" t="str">
        <f>IFERROR(__xludf.DUMMYFUNCTION("""COMPUTED_VALUE"""),"Excellent")</f>
        <v>Excellent</v>
      </c>
      <c r="AA324" t="str">
        <f>IFERROR(__xludf.DUMMYFUNCTION("""COMPUTED_VALUE"""),"Good")</f>
        <v>Good</v>
      </c>
      <c r="AB324" t="str">
        <f>IFERROR(__xludf.DUMMYFUNCTION("""COMPUTED_VALUE"""),"Excellent")</f>
        <v>Excellent</v>
      </c>
      <c r="AC324">
        <f>IFERROR(__xludf.DUMMYFUNCTION("""COMPUTED_VALUE"""),2.0)</f>
        <v>2</v>
      </c>
      <c r="AH324" s="189">
        <f>IFERROR(__xludf.DUMMYFUNCTION("""COMPUTED_VALUE"""),43301.233715636576)</f>
        <v>43301.23372</v>
      </c>
    </row>
    <row r="325">
      <c r="A325" t="str">
        <f>IFERROR(__xludf.DUMMYFUNCTION("""COMPUTED_VALUE"""),"mingdizzle")</f>
        <v>mingdizzle</v>
      </c>
      <c r="B325" t="str">
        <f>IFERROR(__xludf.DUMMYFUNCTION("""COMPUTED_VALUE"""),"Little Rock")</f>
        <v>Little Rock</v>
      </c>
      <c r="C325" t="str">
        <f>IFERROR(__xludf.DUMMYFUNCTION("""COMPUTED_VALUE"""),"AR")</f>
        <v>AR</v>
      </c>
      <c r="D325" t="str">
        <f>IFERROR(__xludf.DUMMYFUNCTION("""COMPUTED_VALUE"""),"USA")</f>
        <v>USA</v>
      </c>
      <c r="E325" s="188">
        <f>IFERROR(__xludf.DUMMYFUNCTION("""COMPUTED_VALUE"""),43214.0)</f>
        <v>43214</v>
      </c>
      <c r="F325" s="188">
        <f>IFERROR(__xludf.DUMMYFUNCTION("""COMPUTED_VALUE"""),43271.0)</f>
        <v>43271</v>
      </c>
      <c r="H325">
        <f>IFERROR(__xludf.DUMMYFUNCTION("""COMPUTED_VALUE"""),35255.0)</f>
        <v>35255</v>
      </c>
      <c r="I325" t="str">
        <f>IFERROR(__xludf.DUMMYFUNCTION("""COMPUTED_VALUE"""),"06/18")</f>
        <v>06/18</v>
      </c>
      <c r="J325" s="5">
        <f>IFERROR(__xludf.DUMMYFUNCTION("""COMPUTED_VALUE"""),43287.0)</f>
        <v>43287</v>
      </c>
      <c r="K325">
        <f>IFERROR(__xludf.DUMMYFUNCTION("""COMPUTED_VALUE"""),57.0)</f>
        <v>57</v>
      </c>
      <c r="L325">
        <f>IFERROR(__xludf.DUMMYFUNCTION("""COMPUTED_VALUE"""),16.0)</f>
        <v>16</v>
      </c>
      <c r="M325">
        <f>IFERROR(__xludf.DUMMYFUNCTION("""COMPUTED_VALUE"""),73.0)</f>
        <v>73</v>
      </c>
      <c r="N325" t="str">
        <f>IFERROR(__xludf.DUMMYFUNCTION("""COMPUTED_VALUE"""),"Model 3 LR")</f>
        <v>Model 3 LR</v>
      </c>
      <c r="O325" t="str">
        <f>IFERROR(__xludf.DUMMYFUNCTION("""COMPUTED_VALUE"""),"Pearl White Multi-Coat")</f>
        <v>Pearl White Multi-Coat</v>
      </c>
      <c r="P325" t="str">
        <f>IFERROR(__xludf.DUMMYFUNCTION("""COMPUTED_VALUE"""),"18 inch Aero")</f>
        <v>18 inch Aero</v>
      </c>
      <c r="Q325" t="str">
        <f>IFERROR(__xludf.DUMMYFUNCTION("""COMPUTED_VALUE"""),"Black seats")</f>
        <v>Black seats</v>
      </c>
      <c r="R325" t="str">
        <f>IFERROR(__xludf.DUMMYFUNCTION("""COMPUTED_VALUE"""),"Enhanced Autopilot")</f>
        <v>Enhanced Autopilot</v>
      </c>
      <c r="X325" t="str">
        <f>IFERROR(__xludf.DUMMYFUNCTION("""COMPUTED_VALUE"""),"Fair")</f>
        <v>Fair</v>
      </c>
      <c r="Y325" t="str">
        <f>IFERROR(__xludf.DUMMYFUNCTION("""COMPUTED_VALUE"""),"Good")</f>
        <v>Good</v>
      </c>
      <c r="Z325" t="str">
        <f>IFERROR(__xludf.DUMMYFUNCTION("""COMPUTED_VALUE"""),"Very Good")</f>
        <v>Very Good</v>
      </c>
      <c r="AA325" t="str">
        <f>IFERROR(__xludf.DUMMYFUNCTION("""COMPUTED_VALUE"""),"Fair")</f>
        <v>Fair</v>
      </c>
      <c r="AB325" t="str">
        <f>IFERROR(__xludf.DUMMYFUNCTION("""COMPUTED_VALUE"""),"Good")</f>
        <v>Good</v>
      </c>
      <c r="AC325">
        <f>IFERROR(__xludf.DUMMYFUNCTION("""COMPUTED_VALUE"""),5.0)</f>
        <v>5</v>
      </c>
      <c r="AD325">
        <f>IFERROR(__xludf.DUMMYFUNCTION("""COMPUTED_VALUE"""),2.0)</f>
        <v>2</v>
      </c>
      <c r="AE325">
        <f>IFERROR(__xludf.DUMMYFUNCTION("""COMPUTED_VALUE"""),0.0)</f>
        <v>0</v>
      </c>
      <c r="AH325" s="189">
        <f>IFERROR(__xludf.DUMMYFUNCTION("""COMPUTED_VALUE"""),43301.54805564815)</f>
        <v>43301.54806</v>
      </c>
    </row>
    <row r="326">
      <c r="A326" t="str">
        <f>IFERROR(__xludf.DUMMYFUNCTION("""COMPUTED_VALUE"""),"Car-la")</f>
        <v>Car-la</v>
      </c>
      <c r="B326" t="str">
        <f>IFERROR(__xludf.DUMMYFUNCTION("""COMPUTED_VALUE"""),"Roseville")</f>
        <v>Roseville</v>
      </c>
      <c r="C326" t="str">
        <f>IFERROR(__xludf.DUMMYFUNCTION("""COMPUTED_VALUE"""),"CA")</f>
        <v>CA</v>
      </c>
      <c r="D326" t="str">
        <f>IFERROR(__xludf.DUMMYFUNCTION("""COMPUTED_VALUE"""),"USA")</f>
        <v>USA</v>
      </c>
      <c r="E326" s="188">
        <f>IFERROR(__xludf.DUMMYFUNCTION("""COMPUTED_VALUE"""),43278.0)</f>
        <v>43278</v>
      </c>
      <c r="F326" s="188">
        <f>IFERROR(__xludf.DUMMYFUNCTION("""COMPUTED_VALUE"""),43290.0)</f>
        <v>43290</v>
      </c>
      <c r="H326">
        <f>IFERROR(__xludf.DUMMYFUNCTION("""COMPUTED_VALUE"""),46855.0)</f>
        <v>46855</v>
      </c>
      <c r="J326" s="5">
        <f>IFERROR(__xludf.DUMMYFUNCTION("""COMPUTED_VALUE"""),43294.0)</f>
        <v>43294</v>
      </c>
      <c r="K326">
        <f>IFERROR(__xludf.DUMMYFUNCTION("""COMPUTED_VALUE"""),12.0)</f>
        <v>12</v>
      </c>
      <c r="L326">
        <f>IFERROR(__xludf.DUMMYFUNCTION("""COMPUTED_VALUE"""),4.0)</f>
        <v>4</v>
      </c>
      <c r="M326">
        <f>IFERROR(__xludf.DUMMYFUNCTION("""COMPUTED_VALUE"""),16.0)</f>
        <v>16</v>
      </c>
      <c r="N326" t="str">
        <f>IFERROR(__xludf.DUMMYFUNCTION("""COMPUTED_VALUE"""),"Model 3 LR")</f>
        <v>Model 3 LR</v>
      </c>
      <c r="O326" t="str">
        <f>IFERROR(__xludf.DUMMYFUNCTION("""COMPUTED_VALUE"""),"Pearl White Multi-Coat")</f>
        <v>Pearl White Multi-Coat</v>
      </c>
      <c r="P326" t="str">
        <f>IFERROR(__xludf.DUMMYFUNCTION("""COMPUTED_VALUE"""),"19 inch Sport")</f>
        <v>19 inch Sport</v>
      </c>
      <c r="Q326" t="str">
        <f>IFERROR(__xludf.DUMMYFUNCTION("""COMPUTED_VALUE"""),"Black seats")</f>
        <v>Black seats</v>
      </c>
      <c r="R326" t="str">
        <f>IFERROR(__xludf.DUMMYFUNCTION("""COMPUTED_VALUE"""),"None")</f>
        <v>None</v>
      </c>
      <c r="X326" t="str">
        <f>IFERROR(__xludf.DUMMYFUNCTION("""COMPUTED_VALUE"""),"Excellent")</f>
        <v>Excellent</v>
      </c>
      <c r="Y326" t="str">
        <f>IFERROR(__xludf.DUMMYFUNCTION("""COMPUTED_VALUE"""),"Excellent")</f>
        <v>Excellent</v>
      </c>
      <c r="Z326" t="str">
        <f>IFERROR(__xludf.DUMMYFUNCTION("""COMPUTED_VALUE"""),"Excellent")</f>
        <v>Excellent</v>
      </c>
      <c r="AA326" t="str">
        <f>IFERROR(__xludf.DUMMYFUNCTION("""COMPUTED_VALUE"""),"Very Good")</f>
        <v>Very Good</v>
      </c>
      <c r="AB326" t="str">
        <f>IFERROR(__xludf.DUMMYFUNCTION("""COMPUTED_VALUE"""),"Excellent")</f>
        <v>Excellent</v>
      </c>
      <c r="AC326">
        <f>IFERROR(__xludf.DUMMYFUNCTION("""COMPUTED_VALUE"""),1.0)</f>
        <v>1</v>
      </c>
      <c r="AD326">
        <f>IFERROR(__xludf.DUMMYFUNCTION("""COMPUTED_VALUE"""),1.0)</f>
        <v>1</v>
      </c>
      <c r="AE326">
        <f>IFERROR(__xludf.DUMMYFUNCTION("""COMPUTED_VALUE"""),0.0)</f>
        <v>0</v>
      </c>
      <c r="AH326" s="189">
        <f>IFERROR(__xludf.DUMMYFUNCTION("""COMPUTED_VALUE"""),43301.662035057874)</f>
        <v>43301.66204</v>
      </c>
    </row>
    <row r="327">
      <c r="A327" t="str">
        <f>IFERROR(__xludf.DUMMYFUNCTION("""COMPUTED_VALUE"""),"zibefy")</f>
        <v>zibefy</v>
      </c>
      <c r="B327" t="str">
        <f>IFERROR(__xludf.DUMMYFUNCTION("""COMPUTED_VALUE"""),"Herriman")</f>
        <v>Herriman</v>
      </c>
      <c r="C327" t="str">
        <f>IFERROR(__xludf.DUMMYFUNCTION("""COMPUTED_VALUE"""),"UT")</f>
        <v>UT</v>
      </c>
      <c r="D327" t="str">
        <f>IFERROR(__xludf.DUMMYFUNCTION("""COMPUTED_VALUE"""),"USA")</f>
        <v>USA</v>
      </c>
      <c r="E327" s="188">
        <f>IFERROR(__xludf.DUMMYFUNCTION("""COMPUTED_VALUE"""),43299.0)</f>
        <v>43299</v>
      </c>
      <c r="F327" s="188">
        <f>IFERROR(__xludf.DUMMYFUNCTION("""COMPUTED_VALUE"""),43300.0)</f>
        <v>43300</v>
      </c>
      <c r="H327">
        <f>IFERROR(__xludf.DUMMYFUNCTION("""COMPUTED_VALUE"""),45755.0)</f>
        <v>45755</v>
      </c>
      <c r="I327" t="str">
        <f>IFERROR(__xludf.DUMMYFUNCTION("""COMPUTED_VALUE"""),"07/18")</f>
        <v>07/18</v>
      </c>
      <c r="J327" s="5">
        <f>IFERROR(__xludf.DUMMYFUNCTION("""COMPUTED_VALUE"""),43301.0)</f>
        <v>43301</v>
      </c>
      <c r="K327">
        <f>IFERROR(__xludf.DUMMYFUNCTION("""COMPUTED_VALUE"""),1.0)</f>
        <v>1</v>
      </c>
      <c r="L327">
        <f>IFERROR(__xludf.DUMMYFUNCTION("""COMPUTED_VALUE"""),1.0)</f>
        <v>1</v>
      </c>
      <c r="M327">
        <f>IFERROR(__xludf.DUMMYFUNCTION("""COMPUTED_VALUE"""),2.0)</f>
        <v>2</v>
      </c>
      <c r="N327" t="str">
        <f>IFERROR(__xludf.DUMMYFUNCTION("""COMPUTED_VALUE"""),"Model 3 LR")</f>
        <v>Model 3 LR</v>
      </c>
      <c r="O327" t="str">
        <f>IFERROR(__xludf.DUMMYFUNCTION("""COMPUTED_VALUE"""),"Red Multi-Coat")</f>
        <v>Red Multi-Coat</v>
      </c>
      <c r="P327" t="str">
        <f>IFERROR(__xludf.DUMMYFUNCTION("""COMPUTED_VALUE"""),"18 inch Aero")</f>
        <v>18 inch Aero</v>
      </c>
      <c r="Q327" t="str">
        <f>IFERROR(__xludf.DUMMYFUNCTION("""COMPUTED_VALUE"""),"Black seats")</f>
        <v>Black seats</v>
      </c>
      <c r="R327" t="str">
        <f>IFERROR(__xludf.DUMMYFUNCTION("""COMPUTED_VALUE"""),"Enhanced Autopilot")</f>
        <v>Enhanced Autopilot</v>
      </c>
      <c r="X327" t="str">
        <f>IFERROR(__xludf.DUMMYFUNCTION("""COMPUTED_VALUE"""),"Excellent")</f>
        <v>Excellent</v>
      </c>
      <c r="Y327" t="str">
        <f>IFERROR(__xludf.DUMMYFUNCTION("""COMPUTED_VALUE"""),"Excellent")</f>
        <v>Excellent</v>
      </c>
      <c r="Z327" t="str">
        <f>IFERROR(__xludf.DUMMYFUNCTION("""COMPUTED_VALUE"""),"Excellent")</f>
        <v>Excellent</v>
      </c>
      <c r="AA327" t="str">
        <f>IFERROR(__xludf.DUMMYFUNCTION("""COMPUTED_VALUE"""),"Excellent")</f>
        <v>Excellent</v>
      </c>
      <c r="AB327" t="str">
        <f>IFERROR(__xludf.DUMMYFUNCTION("""COMPUTED_VALUE"""),"Excellent")</f>
        <v>Excellent</v>
      </c>
      <c r="AC327">
        <f>IFERROR(__xludf.DUMMYFUNCTION("""COMPUTED_VALUE"""),0.0)</f>
        <v>0</v>
      </c>
      <c r="AD327">
        <f>IFERROR(__xludf.DUMMYFUNCTION("""COMPUTED_VALUE"""),0.0)</f>
        <v>0</v>
      </c>
      <c r="AE327">
        <f>IFERROR(__xludf.DUMMYFUNCTION("""COMPUTED_VALUE"""),0.0)</f>
        <v>0</v>
      </c>
      <c r="AG327" t="str">
        <f>IFERROR(__xludf.DUMMYFUNCTION("""COMPUTED_VALUE"""),"Was going to wait for short range and white interior. Then just went for it :)")</f>
        <v>Was going to wait for short range and white interior. Then just went for it :)</v>
      </c>
      <c r="AH327" s="189">
        <f>IFERROR(__xludf.DUMMYFUNCTION("""COMPUTED_VALUE"""),43301.85266280093)</f>
        <v>43301.85266</v>
      </c>
    </row>
    <row r="328">
      <c r="A328" t="str">
        <f>IFERROR(__xludf.DUMMYFUNCTION("""COMPUTED_VALUE"""),"bawwsa")</f>
        <v>bawwsa</v>
      </c>
      <c r="B328" t="str">
        <f>IFERROR(__xludf.DUMMYFUNCTION("""COMPUTED_VALUE"""),"Sacramento")</f>
        <v>Sacramento</v>
      </c>
      <c r="C328" t="str">
        <f>IFERROR(__xludf.DUMMYFUNCTION("""COMPUTED_VALUE"""),"CA")</f>
        <v>CA</v>
      </c>
      <c r="D328" t="str">
        <f>IFERROR(__xludf.DUMMYFUNCTION("""COMPUTED_VALUE"""),"USA")</f>
        <v>USA</v>
      </c>
      <c r="E328" s="188">
        <f>IFERROR(__xludf.DUMMYFUNCTION("""COMPUTED_VALUE"""),43279.0)</f>
        <v>43279</v>
      </c>
      <c r="F328" s="188">
        <f>IFERROR(__xludf.DUMMYFUNCTION("""COMPUTED_VALUE"""),43290.0)</f>
        <v>43290</v>
      </c>
      <c r="H328">
        <f>IFERROR(__xludf.DUMMYFUNCTION("""COMPUTED_VALUE"""),41855.0)</f>
        <v>41855</v>
      </c>
      <c r="J328" s="5">
        <f>IFERROR(__xludf.DUMMYFUNCTION("""COMPUTED_VALUE"""),43300.0)</f>
        <v>43300</v>
      </c>
      <c r="K328">
        <f>IFERROR(__xludf.DUMMYFUNCTION("""COMPUTED_VALUE"""),11.0)</f>
        <v>11</v>
      </c>
      <c r="L328">
        <f>IFERROR(__xludf.DUMMYFUNCTION("""COMPUTED_VALUE"""),10.0)</f>
        <v>10</v>
      </c>
      <c r="M328">
        <f>IFERROR(__xludf.DUMMYFUNCTION("""COMPUTED_VALUE"""),21.0)</f>
        <v>21</v>
      </c>
      <c r="N328" t="str">
        <f>IFERROR(__xludf.DUMMYFUNCTION("""COMPUTED_VALUE"""),"Model 3 LR")</f>
        <v>Model 3 LR</v>
      </c>
      <c r="O328" t="str">
        <f>IFERROR(__xludf.DUMMYFUNCTION("""COMPUTED_VALUE"""),"Pearl White Multi-Coat")</f>
        <v>Pearl White Multi-Coat</v>
      </c>
      <c r="P328" t="str">
        <f>IFERROR(__xludf.DUMMYFUNCTION("""COMPUTED_VALUE"""),"18 inch Aero")</f>
        <v>18 inch Aero</v>
      </c>
      <c r="Q328" t="str">
        <f>IFERROR(__xludf.DUMMYFUNCTION("""COMPUTED_VALUE"""),"Black seats")</f>
        <v>Black seats</v>
      </c>
      <c r="R328" t="str">
        <f>IFERROR(__xludf.DUMMYFUNCTION("""COMPUTED_VALUE"""),"Enhanced Autopilot")</f>
        <v>Enhanced Autopilot</v>
      </c>
      <c r="X328" t="str">
        <f>IFERROR(__xludf.DUMMYFUNCTION("""COMPUTED_VALUE"""),"Very Good")</f>
        <v>Very Good</v>
      </c>
      <c r="Y328" t="str">
        <f>IFERROR(__xludf.DUMMYFUNCTION("""COMPUTED_VALUE"""),"Excellent")</f>
        <v>Excellent</v>
      </c>
      <c r="Z328" t="str">
        <f>IFERROR(__xludf.DUMMYFUNCTION("""COMPUTED_VALUE"""),"Excellent")</f>
        <v>Excellent</v>
      </c>
      <c r="AA328" t="str">
        <f>IFERROR(__xludf.DUMMYFUNCTION("""COMPUTED_VALUE"""),"Good")</f>
        <v>Good</v>
      </c>
      <c r="AB328" t="str">
        <f>IFERROR(__xludf.DUMMYFUNCTION("""COMPUTED_VALUE"""),"Very Good")</f>
        <v>Very Good</v>
      </c>
      <c r="AC328">
        <f>IFERROR(__xludf.DUMMYFUNCTION("""COMPUTED_VALUE"""),2.0)</f>
        <v>2</v>
      </c>
      <c r="AD328">
        <f>IFERROR(__xludf.DUMMYFUNCTION("""COMPUTED_VALUE"""),1.0)</f>
        <v>1</v>
      </c>
      <c r="AG328" t="str">
        <f>IFERROR(__xludf.DUMMYFUNCTION("""COMPUTED_VALUE"""),"Reserved Dec. 2017")</f>
        <v>Reserved Dec. 2017</v>
      </c>
      <c r="AH328" s="189">
        <f>IFERROR(__xludf.DUMMYFUNCTION("""COMPUTED_VALUE"""),43301.884490509256)</f>
        <v>43301.88449</v>
      </c>
    </row>
    <row r="329">
      <c r="A329" t="str">
        <f>IFERROR(__xludf.DUMMYFUNCTION("""COMPUTED_VALUE"""),"tonyk23")</f>
        <v>tonyk23</v>
      </c>
      <c r="B329" t="str">
        <f>IFERROR(__xludf.DUMMYFUNCTION("""COMPUTED_VALUE"""),"Alpharetta")</f>
        <v>Alpharetta</v>
      </c>
      <c r="C329" t="str">
        <f>IFERROR(__xludf.DUMMYFUNCTION("""COMPUTED_VALUE"""),"GA")</f>
        <v>GA</v>
      </c>
      <c r="D329" t="str">
        <f>IFERROR(__xludf.DUMMYFUNCTION("""COMPUTED_VALUE"""),"USA")</f>
        <v>USA</v>
      </c>
      <c r="E329" s="188">
        <f>IFERROR(__xludf.DUMMYFUNCTION("""COMPUTED_VALUE"""),43278.0)</f>
        <v>43278</v>
      </c>
      <c r="F329" s="188">
        <f>IFERROR(__xludf.DUMMYFUNCTION("""COMPUTED_VALUE"""),43287.0)</f>
        <v>43287</v>
      </c>
      <c r="H329">
        <f>IFERROR(__xludf.DUMMYFUNCTION("""COMPUTED_VALUE"""),28240.0)</f>
        <v>28240</v>
      </c>
      <c r="I329" t="str">
        <f>IFERROR(__xludf.DUMMYFUNCTION("""COMPUTED_VALUE"""),"06/18")</f>
        <v>06/18</v>
      </c>
      <c r="J329" s="5">
        <f>IFERROR(__xludf.DUMMYFUNCTION("""COMPUTED_VALUE"""),43301.0)</f>
        <v>43301</v>
      </c>
      <c r="K329">
        <f>IFERROR(__xludf.DUMMYFUNCTION("""COMPUTED_VALUE"""),9.0)</f>
        <v>9</v>
      </c>
      <c r="L329">
        <f>IFERROR(__xludf.DUMMYFUNCTION("""COMPUTED_VALUE"""),14.0)</f>
        <v>14</v>
      </c>
      <c r="M329">
        <f>IFERROR(__xludf.DUMMYFUNCTION("""COMPUTED_VALUE"""),23.0)</f>
        <v>23</v>
      </c>
      <c r="N329" t="str">
        <f>IFERROR(__xludf.DUMMYFUNCTION("""COMPUTED_VALUE"""),"Model 3 LR")</f>
        <v>Model 3 LR</v>
      </c>
      <c r="O329" t="str">
        <f>IFERROR(__xludf.DUMMYFUNCTION("""COMPUTED_VALUE"""),"Midnight Silver Metallic")</f>
        <v>Midnight Silver Metallic</v>
      </c>
      <c r="P329" t="str">
        <f>IFERROR(__xludf.DUMMYFUNCTION("""COMPUTED_VALUE"""),"19 inch Sport")</f>
        <v>19 inch Sport</v>
      </c>
      <c r="Q329" t="str">
        <f>IFERROR(__xludf.DUMMYFUNCTION("""COMPUTED_VALUE"""),"Black seats")</f>
        <v>Black seats</v>
      </c>
      <c r="R329" t="str">
        <f>IFERROR(__xludf.DUMMYFUNCTION("""COMPUTED_VALUE"""),"Enhanced Autopilot")</f>
        <v>Enhanced Autopilot</v>
      </c>
      <c r="X329" t="str">
        <f>IFERROR(__xludf.DUMMYFUNCTION("""COMPUTED_VALUE"""),"Very Good")</f>
        <v>Very Good</v>
      </c>
      <c r="Y329" t="str">
        <f>IFERROR(__xludf.DUMMYFUNCTION("""COMPUTED_VALUE"""),"Excellent")</f>
        <v>Excellent</v>
      </c>
      <c r="Z329" t="str">
        <f>IFERROR(__xludf.DUMMYFUNCTION("""COMPUTED_VALUE"""),"Excellent")</f>
        <v>Excellent</v>
      </c>
      <c r="AA329" t="str">
        <f>IFERROR(__xludf.DUMMYFUNCTION("""COMPUTED_VALUE"""),"Fair")</f>
        <v>Fair</v>
      </c>
      <c r="AB329" t="str">
        <f>IFERROR(__xludf.DUMMYFUNCTION("""COMPUTED_VALUE"""),"Excellent")</f>
        <v>Excellent</v>
      </c>
      <c r="AC329">
        <f>IFERROR(__xludf.DUMMYFUNCTION("""COMPUTED_VALUE"""),0.0)</f>
        <v>0</v>
      </c>
      <c r="AH329" s="189">
        <f>IFERROR(__xludf.DUMMYFUNCTION("""COMPUTED_VALUE"""),43302.23424767361)</f>
        <v>43302.23425</v>
      </c>
    </row>
    <row r="330">
      <c r="A330" t="str">
        <f>IFERROR(__xludf.DUMMYFUNCTION("""COMPUTED_VALUE"""),"4EAXFM")</f>
        <v>4EAXFM</v>
      </c>
      <c r="C330" t="str">
        <f>IFERROR(__xludf.DUMMYFUNCTION("""COMPUTED_VALUE"""),"CO")</f>
        <v>CO</v>
      </c>
      <c r="D330" t="str">
        <f>IFERROR(__xludf.DUMMYFUNCTION("""COMPUTED_VALUE"""),"USA")</f>
        <v>USA</v>
      </c>
      <c r="E330" s="188">
        <f>IFERROR(__xludf.DUMMYFUNCTION("""COMPUTED_VALUE"""),43280.0)</f>
        <v>43280</v>
      </c>
      <c r="F330" s="188">
        <f>IFERROR(__xludf.DUMMYFUNCTION("""COMPUTED_VALUE"""),43293.0)</f>
        <v>43293</v>
      </c>
      <c r="H330">
        <f>IFERROR(__xludf.DUMMYFUNCTION("""COMPUTED_VALUE"""),51755.0)</f>
        <v>51755</v>
      </c>
      <c r="J330" s="5">
        <f>IFERROR(__xludf.DUMMYFUNCTION("""COMPUTED_VALUE"""),43298.0)</f>
        <v>43298</v>
      </c>
      <c r="K330">
        <f>IFERROR(__xludf.DUMMYFUNCTION("""COMPUTED_VALUE"""),13.0)</f>
        <v>13</v>
      </c>
      <c r="L330">
        <f>IFERROR(__xludf.DUMMYFUNCTION("""COMPUTED_VALUE"""),5.0)</f>
        <v>5</v>
      </c>
      <c r="M330">
        <f>IFERROR(__xludf.DUMMYFUNCTION("""COMPUTED_VALUE"""),18.0)</f>
        <v>18</v>
      </c>
      <c r="N330" t="str">
        <f>IFERROR(__xludf.DUMMYFUNCTION("""COMPUTED_VALUE"""),"Model 3 LR")</f>
        <v>Model 3 LR</v>
      </c>
      <c r="O330" t="str">
        <f>IFERROR(__xludf.DUMMYFUNCTION("""COMPUTED_VALUE"""),"Solid Black")</f>
        <v>Solid Black</v>
      </c>
      <c r="P330" t="str">
        <f>IFERROR(__xludf.DUMMYFUNCTION("""COMPUTED_VALUE"""),"18 inch Aero")</f>
        <v>18 inch Aero</v>
      </c>
      <c r="Q330" t="str">
        <f>IFERROR(__xludf.DUMMYFUNCTION("""COMPUTED_VALUE"""),"Black seats")</f>
        <v>Black seats</v>
      </c>
      <c r="R330" t="str">
        <f>IFERROR(__xludf.DUMMYFUNCTION("""COMPUTED_VALUE"""),"None")</f>
        <v>None</v>
      </c>
      <c r="X330" t="str">
        <f>IFERROR(__xludf.DUMMYFUNCTION("""COMPUTED_VALUE"""),"Excellent")</f>
        <v>Excellent</v>
      </c>
      <c r="Y330" t="str">
        <f>IFERROR(__xludf.DUMMYFUNCTION("""COMPUTED_VALUE"""),"Excellent")</f>
        <v>Excellent</v>
      </c>
      <c r="Z330" t="str">
        <f>IFERROR(__xludf.DUMMYFUNCTION("""COMPUTED_VALUE"""),"Excellent")</f>
        <v>Excellent</v>
      </c>
      <c r="AA330" t="str">
        <f>IFERROR(__xludf.DUMMYFUNCTION("""COMPUTED_VALUE"""),"Excellent")</f>
        <v>Excellent</v>
      </c>
      <c r="AB330" t="str">
        <f>IFERROR(__xludf.DUMMYFUNCTION("""COMPUTED_VALUE"""),"Excellent")</f>
        <v>Excellent</v>
      </c>
      <c r="AC330">
        <f>IFERROR(__xludf.DUMMYFUNCTION("""COMPUTED_VALUE"""),0.0)</f>
        <v>0</v>
      </c>
      <c r="AD330">
        <f>IFERROR(__xludf.DUMMYFUNCTION("""COMPUTED_VALUE"""),0.0)</f>
        <v>0</v>
      </c>
      <c r="AE330">
        <f>IFERROR(__xludf.DUMMYFUNCTION("""COMPUTED_VALUE"""),0.0)</f>
        <v>0</v>
      </c>
      <c r="AH330" s="189">
        <f>IFERROR(__xludf.DUMMYFUNCTION("""COMPUTED_VALUE"""),43302.46306538195)</f>
        <v>43302.46307</v>
      </c>
    </row>
    <row r="331">
      <c r="A331" t="str">
        <f>IFERROR(__xludf.DUMMYFUNCTION("""COMPUTED_VALUE"""),"RichardC")</f>
        <v>RichardC</v>
      </c>
      <c r="B331" t="str">
        <f>IFERROR(__xludf.DUMMYFUNCTION("""COMPUTED_VALUE"""),"Elk Grove")</f>
        <v>Elk Grove</v>
      </c>
      <c r="C331" t="str">
        <f>IFERROR(__xludf.DUMMYFUNCTION("""COMPUTED_VALUE"""),"CA")</f>
        <v>CA</v>
      </c>
      <c r="D331" t="str">
        <f>IFERROR(__xludf.DUMMYFUNCTION("""COMPUTED_VALUE"""),"USA")</f>
        <v>USA</v>
      </c>
      <c r="E331" s="188">
        <f>IFERROR(__xludf.DUMMYFUNCTION("""COMPUTED_VALUE"""),43277.0)</f>
        <v>43277</v>
      </c>
      <c r="F331" s="188">
        <f>IFERROR(__xludf.DUMMYFUNCTION("""COMPUTED_VALUE"""),43294.0)</f>
        <v>43294</v>
      </c>
      <c r="H331">
        <f>IFERROR(__xludf.DUMMYFUNCTION("""COMPUTED_VALUE"""),48955.0)</f>
        <v>48955</v>
      </c>
      <c r="I331" t="str">
        <f>IFERROR(__xludf.DUMMYFUNCTION("""COMPUTED_VALUE"""),"07/18")</f>
        <v>07/18</v>
      </c>
      <c r="J331" s="5">
        <f>IFERROR(__xludf.DUMMYFUNCTION("""COMPUTED_VALUE"""),43302.0)</f>
        <v>43302</v>
      </c>
      <c r="K331">
        <f>IFERROR(__xludf.DUMMYFUNCTION("""COMPUTED_VALUE"""),17.0)</f>
        <v>17</v>
      </c>
      <c r="L331">
        <f>IFERROR(__xludf.DUMMYFUNCTION("""COMPUTED_VALUE"""),8.0)</f>
        <v>8</v>
      </c>
      <c r="M331">
        <f>IFERROR(__xludf.DUMMYFUNCTION("""COMPUTED_VALUE"""),25.0)</f>
        <v>25</v>
      </c>
      <c r="N331" t="str">
        <f>IFERROR(__xludf.DUMMYFUNCTION("""COMPUTED_VALUE"""),"Model 3 LR")</f>
        <v>Model 3 LR</v>
      </c>
      <c r="O331" t="str">
        <f>IFERROR(__xludf.DUMMYFUNCTION("""COMPUTED_VALUE"""),"Red Multi-Coat")</f>
        <v>Red Multi-Coat</v>
      </c>
      <c r="P331" t="str">
        <f>IFERROR(__xludf.DUMMYFUNCTION("""COMPUTED_VALUE"""),"19 inch Sport")</f>
        <v>19 inch Sport</v>
      </c>
      <c r="Q331" t="str">
        <f>IFERROR(__xludf.DUMMYFUNCTION("""COMPUTED_VALUE"""),"Black seats")</f>
        <v>Black seats</v>
      </c>
      <c r="R331" t="str">
        <f>IFERROR(__xludf.DUMMYFUNCTION("""COMPUTED_VALUE"""),"None")</f>
        <v>None</v>
      </c>
      <c r="X331" t="str">
        <f>IFERROR(__xludf.DUMMYFUNCTION("""COMPUTED_VALUE"""),"Excellent")</f>
        <v>Excellent</v>
      </c>
      <c r="Y331" t="str">
        <f>IFERROR(__xludf.DUMMYFUNCTION("""COMPUTED_VALUE"""),"Very Good")</f>
        <v>Very Good</v>
      </c>
      <c r="Z331" t="str">
        <f>IFERROR(__xludf.DUMMYFUNCTION("""COMPUTED_VALUE"""),"Excellent")</f>
        <v>Excellent</v>
      </c>
      <c r="AA331" t="str">
        <f>IFERROR(__xludf.DUMMYFUNCTION("""COMPUTED_VALUE"""),"Poor")</f>
        <v>Poor</v>
      </c>
      <c r="AB331" t="str">
        <f>IFERROR(__xludf.DUMMYFUNCTION("""COMPUTED_VALUE"""),"Fair")</f>
        <v>Fair</v>
      </c>
      <c r="AH331" s="189">
        <f>IFERROR(__xludf.DUMMYFUNCTION("""COMPUTED_VALUE"""),43302.87580443287)</f>
        <v>43302.8758</v>
      </c>
    </row>
    <row r="332">
      <c r="A332" t="str">
        <f>IFERROR(__xludf.DUMMYFUNCTION("""COMPUTED_VALUE"""),"WhiterRIce")</f>
        <v>WhiterRIce</v>
      </c>
      <c r="C332" t="str">
        <f>IFERROR(__xludf.DUMMYFUNCTION("""COMPUTED_VALUE"""),"NJ")</f>
        <v>NJ</v>
      </c>
      <c r="D332" t="str">
        <f>IFERROR(__xludf.DUMMYFUNCTION("""COMPUTED_VALUE"""),"USA")</f>
        <v>USA</v>
      </c>
      <c r="E332" s="188">
        <f>IFERROR(__xludf.DUMMYFUNCTION("""COMPUTED_VALUE"""),43279.0)</f>
        <v>43279</v>
      </c>
      <c r="F332" s="188">
        <f>IFERROR(__xludf.DUMMYFUNCTION("""COMPUTED_VALUE"""),43284.0)</f>
        <v>43284</v>
      </c>
      <c r="H332">
        <f>IFERROR(__xludf.DUMMYFUNCTION("""COMPUTED_VALUE"""),31155.0)</f>
        <v>31155</v>
      </c>
      <c r="J332" s="5">
        <f>IFERROR(__xludf.DUMMYFUNCTION("""COMPUTED_VALUE"""),43301.0)</f>
        <v>43301</v>
      </c>
      <c r="K332">
        <f>IFERROR(__xludf.DUMMYFUNCTION("""COMPUTED_VALUE"""),5.0)</f>
        <v>5</v>
      </c>
      <c r="L332">
        <f>IFERROR(__xludf.DUMMYFUNCTION("""COMPUTED_VALUE"""),17.0)</f>
        <v>17</v>
      </c>
      <c r="M332">
        <f>IFERROR(__xludf.DUMMYFUNCTION("""COMPUTED_VALUE"""),22.0)</f>
        <v>22</v>
      </c>
      <c r="N332" t="str">
        <f>IFERROR(__xludf.DUMMYFUNCTION("""COMPUTED_VALUE"""),"Model 3 LR")</f>
        <v>Model 3 LR</v>
      </c>
      <c r="O332" t="str">
        <f>IFERROR(__xludf.DUMMYFUNCTION("""COMPUTED_VALUE"""),"Red Multi-Coat")</f>
        <v>Red Multi-Coat</v>
      </c>
      <c r="P332" t="str">
        <f>IFERROR(__xludf.DUMMYFUNCTION("""COMPUTED_VALUE"""),"19 inch Sport")</f>
        <v>19 inch Sport</v>
      </c>
      <c r="Q332" t="str">
        <f>IFERROR(__xludf.DUMMYFUNCTION("""COMPUTED_VALUE"""),"Black seats")</f>
        <v>Black seats</v>
      </c>
      <c r="R332" t="str">
        <f>IFERROR(__xludf.DUMMYFUNCTION("""COMPUTED_VALUE"""),"Full Self-Driving")</f>
        <v>Full Self-Driving</v>
      </c>
      <c r="X332" t="str">
        <f>IFERROR(__xludf.DUMMYFUNCTION("""COMPUTED_VALUE"""),"Excellent")</f>
        <v>Excellent</v>
      </c>
      <c r="Y332" t="str">
        <f>IFERROR(__xludf.DUMMYFUNCTION("""COMPUTED_VALUE"""),"Very Good")</f>
        <v>Very Good</v>
      </c>
      <c r="Z332" t="str">
        <f>IFERROR(__xludf.DUMMYFUNCTION("""COMPUTED_VALUE"""),"Very Good")</f>
        <v>Very Good</v>
      </c>
      <c r="AA332" t="str">
        <f>IFERROR(__xludf.DUMMYFUNCTION("""COMPUTED_VALUE"""),"Fair")</f>
        <v>Fair</v>
      </c>
      <c r="AB332" t="str">
        <f>IFERROR(__xludf.DUMMYFUNCTION("""COMPUTED_VALUE"""),"Very Good")</f>
        <v>Very Good</v>
      </c>
      <c r="AC332">
        <f>IFERROR(__xludf.DUMMYFUNCTION("""COMPUTED_VALUE"""),3.0)</f>
        <v>3</v>
      </c>
      <c r="AH332" s="189">
        <f>IFERROR(__xludf.DUMMYFUNCTION("""COMPUTED_VALUE"""),43303.63613594907)</f>
        <v>43303.63614</v>
      </c>
    </row>
    <row r="333">
      <c r="A333" t="str">
        <f>IFERROR(__xludf.DUMMYFUNCTION("""COMPUTED_VALUE"""),"tkamb60")</f>
        <v>tkamb60</v>
      </c>
      <c r="B333" t="str">
        <f>IFERROR(__xludf.DUMMYFUNCTION("""COMPUTED_VALUE"""),"Toronto")</f>
        <v>Toronto</v>
      </c>
      <c r="C333" t="str">
        <f>IFERROR(__xludf.DUMMYFUNCTION("""COMPUTED_VALUE"""),"ON")</f>
        <v>ON</v>
      </c>
      <c r="D333" t="str">
        <f>IFERROR(__xludf.DUMMYFUNCTION("""COMPUTED_VALUE"""),"Canada")</f>
        <v>Canada</v>
      </c>
      <c r="E333" s="188">
        <f>IFERROR(__xludf.DUMMYFUNCTION("""COMPUTED_VALUE"""),43271.0)</f>
        <v>43271</v>
      </c>
      <c r="F333" s="188">
        <f>IFERROR(__xludf.DUMMYFUNCTION("""COMPUTED_VALUE"""),43272.0)</f>
        <v>43272</v>
      </c>
      <c r="H333">
        <f>IFERROR(__xludf.DUMMYFUNCTION("""COMPUTED_VALUE"""),28755.0)</f>
        <v>28755</v>
      </c>
      <c r="J333" s="5">
        <f>IFERROR(__xludf.DUMMYFUNCTION("""COMPUTED_VALUE"""),43301.0)</f>
        <v>43301</v>
      </c>
      <c r="K333">
        <f>IFERROR(__xludf.DUMMYFUNCTION("""COMPUTED_VALUE"""),1.0)</f>
        <v>1</v>
      </c>
      <c r="L333">
        <f>IFERROR(__xludf.DUMMYFUNCTION("""COMPUTED_VALUE"""),29.0)</f>
        <v>29</v>
      </c>
      <c r="M333">
        <f>IFERROR(__xludf.DUMMYFUNCTION("""COMPUTED_VALUE"""),30.0)</f>
        <v>30</v>
      </c>
      <c r="N333" t="str">
        <f>IFERROR(__xludf.DUMMYFUNCTION("""COMPUTED_VALUE"""),"Model 3 LR")</f>
        <v>Model 3 LR</v>
      </c>
      <c r="O333" t="str">
        <f>IFERROR(__xludf.DUMMYFUNCTION("""COMPUTED_VALUE"""),"Midnight Silver Metallic")</f>
        <v>Midnight Silver Metallic</v>
      </c>
      <c r="P333" t="str">
        <f>IFERROR(__xludf.DUMMYFUNCTION("""COMPUTED_VALUE"""),"18 inch Aero")</f>
        <v>18 inch Aero</v>
      </c>
      <c r="Q333" t="str">
        <f>IFERROR(__xludf.DUMMYFUNCTION("""COMPUTED_VALUE"""),"Black seats")</f>
        <v>Black seats</v>
      </c>
      <c r="R333" t="str">
        <f>IFERROR(__xludf.DUMMYFUNCTION("""COMPUTED_VALUE"""),"Enhanced Autopilot")</f>
        <v>Enhanced Autopilot</v>
      </c>
      <c r="X333" t="str">
        <f>IFERROR(__xludf.DUMMYFUNCTION("""COMPUTED_VALUE"""),"Excellent")</f>
        <v>Excellent</v>
      </c>
      <c r="Y333" t="str">
        <f>IFERROR(__xludf.DUMMYFUNCTION("""COMPUTED_VALUE"""),"Very Good")</f>
        <v>Very Good</v>
      </c>
      <c r="Z333" t="str">
        <f>IFERROR(__xludf.DUMMYFUNCTION("""COMPUTED_VALUE"""),"Excellent")</f>
        <v>Excellent</v>
      </c>
      <c r="AA333" t="str">
        <f>IFERROR(__xludf.DUMMYFUNCTION("""COMPUTED_VALUE"""),"Very Good")</f>
        <v>Very Good</v>
      </c>
      <c r="AB333" t="str">
        <f>IFERROR(__xludf.DUMMYFUNCTION("""COMPUTED_VALUE"""),"Excellent")</f>
        <v>Excellent</v>
      </c>
      <c r="AH333" s="189">
        <f>IFERROR(__xludf.DUMMYFUNCTION("""COMPUTED_VALUE"""),43303.65968715277)</f>
        <v>43303.65969</v>
      </c>
    </row>
    <row r="334">
      <c r="A334" t="str">
        <f>IFERROR(__xludf.DUMMYFUNCTION("""COMPUTED_VALUE"""),"slacker775")</f>
        <v>slacker775</v>
      </c>
      <c r="B334" t="str">
        <f>IFERROR(__xludf.DUMMYFUNCTION("""COMPUTED_VALUE"""),"Tampa")</f>
        <v>Tampa</v>
      </c>
      <c r="C334" t="str">
        <f>IFERROR(__xludf.DUMMYFUNCTION("""COMPUTED_VALUE"""),"FL")</f>
        <v>FL</v>
      </c>
      <c r="D334" t="str">
        <f>IFERROR(__xludf.DUMMYFUNCTION("""COMPUTED_VALUE"""),"USA")</f>
        <v>USA</v>
      </c>
      <c r="E334" s="188">
        <f>IFERROR(__xludf.DUMMYFUNCTION("""COMPUTED_VALUE"""),43278.0)</f>
        <v>43278</v>
      </c>
      <c r="F334" s="188">
        <f>IFERROR(__xludf.DUMMYFUNCTION("""COMPUTED_VALUE"""),43283.0)</f>
        <v>43283</v>
      </c>
      <c r="H334">
        <f>IFERROR(__xludf.DUMMYFUNCTION("""COMPUTED_VALUE"""),36617.0)</f>
        <v>36617</v>
      </c>
      <c r="I334" t="str">
        <f>IFERROR(__xludf.DUMMYFUNCTION("""COMPUTED_VALUE"""),"06/18")</f>
        <v>06/18</v>
      </c>
      <c r="J334" s="5">
        <f>IFERROR(__xludf.DUMMYFUNCTION("""COMPUTED_VALUE"""),43302.0)</f>
        <v>43302</v>
      </c>
      <c r="K334">
        <f>IFERROR(__xludf.DUMMYFUNCTION("""COMPUTED_VALUE"""),5.0)</f>
        <v>5</v>
      </c>
      <c r="L334">
        <f>IFERROR(__xludf.DUMMYFUNCTION("""COMPUTED_VALUE"""),19.0)</f>
        <v>19</v>
      </c>
      <c r="M334">
        <f>IFERROR(__xludf.DUMMYFUNCTION("""COMPUTED_VALUE"""),24.0)</f>
        <v>24</v>
      </c>
      <c r="N334" t="str">
        <f>IFERROR(__xludf.DUMMYFUNCTION("""COMPUTED_VALUE"""),"Model 3 LR")</f>
        <v>Model 3 LR</v>
      </c>
      <c r="O334" t="str">
        <f>IFERROR(__xludf.DUMMYFUNCTION("""COMPUTED_VALUE"""),"Midnight Silver Metallic")</f>
        <v>Midnight Silver Metallic</v>
      </c>
      <c r="P334" t="str">
        <f>IFERROR(__xludf.DUMMYFUNCTION("""COMPUTED_VALUE"""),"18 inch Aero")</f>
        <v>18 inch Aero</v>
      </c>
      <c r="Q334" t="str">
        <f>IFERROR(__xludf.DUMMYFUNCTION("""COMPUTED_VALUE"""),"Black seats")</f>
        <v>Black seats</v>
      </c>
      <c r="R334" t="str">
        <f>IFERROR(__xludf.DUMMYFUNCTION("""COMPUTED_VALUE"""),"Full Self-Driving")</f>
        <v>Full Self-Driving</v>
      </c>
      <c r="X334" t="str">
        <f>IFERROR(__xludf.DUMMYFUNCTION("""COMPUTED_VALUE"""),"Excellent")</f>
        <v>Excellent</v>
      </c>
      <c r="Y334" t="str">
        <f>IFERROR(__xludf.DUMMYFUNCTION("""COMPUTED_VALUE"""),"Excellent")</f>
        <v>Excellent</v>
      </c>
      <c r="Z334" t="str">
        <f>IFERROR(__xludf.DUMMYFUNCTION("""COMPUTED_VALUE"""),"Excellent")</f>
        <v>Excellent</v>
      </c>
      <c r="AA334" t="str">
        <f>IFERROR(__xludf.DUMMYFUNCTION("""COMPUTED_VALUE"""),"Excellent")</f>
        <v>Excellent</v>
      </c>
      <c r="AB334" t="str">
        <f>IFERROR(__xludf.DUMMYFUNCTION("""COMPUTED_VALUE"""),"Excellent")</f>
        <v>Excellent</v>
      </c>
      <c r="AH334" s="189">
        <f>IFERROR(__xludf.DUMMYFUNCTION("""COMPUTED_VALUE"""),43303.69721949074)</f>
        <v>43303.69722</v>
      </c>
    </row>
    <row r="335">
      <c r="A335" t="str">
        <f>IFERROR(__xludf.DUMMYFUNCTION("""COMPUTED_VALUE"""),"mysteriousfist")</f>
        <v>mysteriousfist</v>
      </c>
      <c r="B335" t="str">
        <f>IFERROR(__xludf.DUMMYFUNCTION("""COMPUTED_VALUE"""),"San Jose")</f>
        <v>San Jose</v>
      </c>
      <c r="C335" t="str">
        <f>IFERROR(__xludf.DUMMYFUNCTION("""COMPUTED_VALUE"""),"CA")</f>
        <v>CA</v>
      </c>
      <c r="D335" t="str">
        <f>IFERROR(__xludf.DUMMYFUNCTION("""COMPUTED_VALUE"""),"USA")</f>
        <v>USA</v>
      </c>
      <c r="E335" s="188">
        <f>IFERROR(__xludf.DUMMYFUNCTION("""COMPUTED_VALUE"""),43275.0)</f>
        <v>43275</v>
      </c>
      <c r="F335" s="188">
        <f>IFERROR(__xludf.DUMMYFUNCTION("""COMPUTED_VALUE"""),43298.0)</f>
        <v>43298</v>
      </c>
      <c r="H335">
        <f>IFERROR(__xludf.DUMMYFUNCTION("""COMPUTED_VALUE"""),49055.0)</f>
        <v>49055</v>
      </c>
      <c r="J335" s="5">
        <f>IFERROR(__xludf.DUMMYFUNCTION("""COMPUTED_VALUE"""),43303.0)</f>
        <v>43303</v>
      </c>
      <c r="K335">
        <f>IFERROR(__xludf.DUMMYFUNCTION("""COMPUTED_VALUE"""),23.0)</f>
        <v>23</v>
      </c>
      <c r="L335">
        <f>IFERROR(__xludf.DUMMYFUNCTION("""COMPUTED_VALUE"""),5.0)</f>
        <v>5</v>
      </c>
      <c r="M335">
        <f>IFERROR(__xludf.DUMMYFUNCTION("""COMPUTED_VALUE"""),28.0)</f>
        <v>28</v>
      </c>
      <c r="N335" t="str">
        <f>IFERROR(__xludf.DUMMYFUNCTION("""COMPUTED_VALUE"""),"Model 3 LR")</f>
        <v>Model 3 LR</v>
      </c>
      <c r="O335" t="str">
        <f>IFERROR(__xludf.DUMMYFUNCTION("""COMPUTED_VALUE"""),"Pearl White Multi-Coat")</f>
        <v>Pearl White Multi-Coat</v>
      </c>
      <c r="P335" t="str">
        <f>IFERROR(__xludf.DUMMYFUNCTION("""COMPUTED_VALUE"""),"19 inch Sport")</f>
        <v>19 inch Sport</v>
      </c>
      <c r="Q335" t="str">
        <f>IFERROR(__xludf.DUMMYFUNCTION("""COMPUTED_VALUE"""),"Black seats")</f>
        <v>Black seats</v>
      </c>
      <c r="R335" t="str">
        <f>IFERROR(__xludf.DUMMYFUNCTION("""COMPUTED_VALUE"""),"Enhanced Autopilot")</f>
        <v>Enhanced Autopilot</v>
      </c>
      <c r="X335" t="str">
        <f>IFERROR(__xludf.DUMMYFUNCTION("""COMPUTED_VALUE"""),"Very Good")</f>
        <v>Very Good</v>
      </c>
      <c r="Y335" t="str">
        <f>IFERROR(__xludf.DUMMYFUNCTION("""COMPUTED_VALUE"""),"Very Good")</f>
        <v>Very Good</v>
      </c>
      <c r="Z335" t="str">
        <f>IFERROR(__xludf.DUMMYFUNCTION("""COMPUTED_VALUE"""),"Very Good")</f>
        <v>Very Good</v>
      </c>
      <c r="AA335" t="str">
        <f>IFERROR(__xludf.DUMMYFUNCTION("""COMPUTED_VALUE"""),"Good")</f>
        <v>Good</v>
      </c>
      <c r="AB335" t="str">
        <f>IFERROR(__xludf.DUMMYFUNCTION("""COMPUTED_VALUE"""),"Very Good")</f>
        <v>Very Good</v>
      </c>
      <c r="AH335" s="189">
        <f>IFERROR(__xludf.DUMMYFUNCTION("""COMPUTED_VALUE"""),43303.7493903588)</f>
        <v>43303.74939</v>
      </c>
    </row>
    <row r="336">
      <c r="A336" t="str">
        <f>IFERROR(__xludf.DUMMYFUNCTION("""COMPUTED_VALUE"""),"mdfraz")</f>
        <v>mdfraz</v>
      </c>
      <c r="B336" t="str">
        <f>IFERROR(__xludf.DUMMYFUNCTION("""COMPUTED_VALUE"""),"Lenexa")</f>
        <v>Lenexa</v>
      </c>
      <c r="C336" t="str">
        <f>IFERROR(__xludf.DUMMYFUNCTION("""COMPUTED_VALUE"""),"KS")</f>
        <v>KS</v>
      </c>
      <c r="D336" t="str">
        <f>IFERROR(__xludf.DUMMYFUNCTION("""COMPUTED_VALUE"""),"USA")</f>
        <v>USA</v>
      </c>
      <c r="E336" s="188">
        <f>IFERROR(__xludf.DUMMYFUNCTION("""COMPUTED_VALUE"""),43280.0)</f>
        <v>43280</v>
      </c>
      <c r="F336" s="188">
        <f>IFERROR(__xludf.DUMMYFUNCTION("""COMPUTED_VALUE"""),43285.0)</f>
        <v>43285</v>
      </c>
      <c r="H336">
        <f>IFERROR(__xludf.DUMMYFUNCTION("""COMPUTED_VALUE"""),28155.0)</f>
        <v>28155</v>
      </c>
      <c r="I336" t="str">
        <f>IFERROR(__xludf.DUMMYFUNCTION("""COMPUTED_VALUE"""),"06/18")</f>
        <v>06/18</v>
      </c>
      <c r="J336" s="5">
        <f>IFERROR(__xludf.DUMMYFUNCTION("""COMPUTED_VALUE"""),43302.0)</f>
        <v>43302</v>
      </c>
      <c r="K336">
        <f>IFERROR(__xludf.DUMMYFUNCTION("""COMPUTED_VALUE"""),5.0)</f>
        <v>5</v>
      </c>
      <c r="L336">
        <f>IFERROR(__xludf.DUMMYFUNCTION("""COMPUTED_VALUE"""),17.0)</f>
        <v>17</v>
      </c>
      <c r="M336">
        <f>IFERROR(__xludf.DUMMYFUNCTION("""COMPUTED_VALUE"""),22.0)</f>
        <v>22</v>
      </c>
      <c r="N336" t="str">
        <f>IFERROR(__xludf.DUMMYFUNCTION("""COMPUTED_VALUE"""),"Model 3 SR")</f>
        <v>Model 3 SR</v>
      </c>
      <c r="O336" t="str">
        <f>IFERROR(__xludf.DUMMYFUNCTION("""COMPUTED_VALUE"""),"Midnight Silver Metallic")</f>
        <v>Midnight Silver Metallic</v>
      </c>
      <c r="P336" t="str">
        <f>IFERROR(__xludf.DUMMYFUNCTION("""COMPUTED_VALUE"""),"18 inch Aero")</f>
        <v>18 inch Aero</v>
      </c>
      <c r="Q336" t="str">
        <f>IFERROR(__xludf.DUMMYFUNCTION("""COMPUTED_VALUE"""),"Black seats")</f>
        <v>Black seats</v>
      </c>
      <c r="R336" t="str">
        <f>IFERROR(__xludf.DUMMYFUNCTION("""COMPUTED_VALUE"""),"None")</f>
        <v>None</v>
      </c>
      <c r="X336" t="str">
        <f>IFERROR(__xludf.DUMMYFUNCTION("""COMPUTED_VALUE"""),"Very Good")</f>
        <v>Very Good</v>
      </c>
      <c r="Y336" t="str">
        <f>IFERROR(__xludf.DUMMYFUNCTION("""COMPUTED_VALUE"""),"Excellent")</f>
        <v>Excellent</v>
      </c>
      <c r="Z336" t="str">
        <f>IFERROR(__xludf.DUMMYFUNCTION("""COMPUTED_VALUE"""),"Excellent")</f>
        <v>Excellent</v>
      </c>
      <c r="AA336" t="str">
        <f>IFERROR(__xludf.DUMMYFUNCTION("""COMPUTED_VALUE"""),"Excellent")</f>
        <v>Excellent</v>
      </c>
      <c r="AB336" t="str">
        <f>IFERROR(__xludf.DUMMYFUNCTION("""COMPUTED_VALUE"""),"Excellent")</f>
        <v>Excellent</v>
      </c>
      <c r="AH336" s="189">
        <f>IFERROR(__xludf.DUMMYFUNCTION("""COMPUTED_VALUE"""),43303.92069112269)</f>
        <v>43303.92069</v>
      </c>
    </row>
    <row r="337">
      <c r="A337" t="str">
        <f>IFERROR(__xludf.DUMMYFUNCTION("""COMPUTED_VALUE"""),"floccinau")</f>
        <v>floccinau</v>
      </c>
      <c r="B337" t="str">
        <f>IFERROR(__xludf.DUMMYFUNCTION("""COMPUTED_VALUE"""),"USA")</f>
        <v>USA</v>
      </c>
      <c r="C337" t="str">
        <f>IFERROR(__xludf.DUMMYFUNCTION("""COMPUTED_VALUE"""),"GA")</f>
        <v>GA</v>
      </c>
      <c r="D337" t="str">
        <f>IFERROR(__xludf.DUMMYFUNCTION("""COMPUTED_VALUE"""),"USA")</f>
        <v>USA</v>
      </c>
      <c r="E337" s="188">
        <f>IFERROR(__xludf.DUMMYFUNCTION("""COMPUTED_VALUE"""),43280.0)</f>
        <v>43280</v>
      </c>
      <c r="F337" s="188">
        <f>IFERROR(__xludf.DUMMYFUNCTION("""COMPUTED_VALUE"""),43291.0)</f>
        <v>43291</v>
      </c>
      <c r="H337">
        <f>IFERROR(__xludf.DUMMYFUNCTION("""COMPUTED_VALUE"""),41955.0)</f>
        <v>41955</v>
      </c>
      <c r="I337" t="str">
        <f>IFERROR(__xludf.DUMMYFUNCTION("""COMPUTED_VALUE"""),"07/18")</f>
        <v>07/18</v>
      </c>
      <c r="J337" s="5">
        <f>IFERROR(__xludf.DUMMYFUNCTION("""COMPUTED_VALUE"""),43302.0)</f>
        <v>43302</v>
      </c>
      <c r="K337">
        <f>IFERROR(__xludf.DUMMYFUNCTION("""COMPUTED_VALUE"""),11.0)</f>
        <v>11</v>
      </c>
      <c r="L337">
        <f>IFERROR(__xludf.DUMMYFUNCTION("""COMPUTED_VALUE"""),11.0)</f>
        <v>11</v>
      </c>
      <c r="M337">
        <f>IFERROR(__xludf.DUMMYFUNCTION("""COMPUTED_VALUE"""),22.0)</f>
        <v>22</v>
      </c>
      <c r="N337" t="str">
        <f>IFERROR(__xludf.DUMMYFUNCTION("""COMPUTED_VALUE"""),"Model 3 LR")</f>
        <v>Model 3 LR</v>
      </c>
      <c r="O337" t="str">
        <f>IFERROR(__xludf.DUMMYFUNCTION("""COMPUTED_VALUE"""),"Deep Blue Metallic")</f>
        <v>Deep Blue Metallic</v>
      </c>
      <c r="P337" t="str">
        <f>IFERROR(__xludf.DUMMYFUNCTION("""COMPUTED_VALUE"""),"18 inch Aero")</f>
        <v>18 inch Aero</v>
      </c>
      <c r="Q337" t="str">
        <f>IFERROR(__xludf.DUMMYFUNCTION("""COMPUTED_VALUE"""),"Black seats")</f>
        <v>Black seats</v>
      </c>
      <c r="R337" t="str">
        <f>IFERROR(__xludf.DUMMYFUNCTION("""COMPUTED_VALUE"""),"Enhanced Autopilot")</f>
        <v>Enhanced Autopilot</v>
      </c>
      <c r="X337" t="str">
        <f>IFERROR(__xludf.DUMMYFUNCTION("""COMPUTED_VALUE"""),"Very Good")</f>
        <v>Very Good</v>
      </c>
      <c r="Y337" t="str">
        <f>IFERROR(__xludf.DUMMYFUNCTION("""COMPUTED_VALUE"""),"Very Good")</f>
        <v>Very Good</v>
      </c>
      <c r="Z337" t="str">
        <f>IFERROR(__xludf.DUMMYFUNCTION("""COMPUTED_VALUE"""),"Excellent")</f>
        <v>Excellent</v>
      </c>
      <c r="AA337" t="str">
        <f>IFERROR(__xludf.DUMMYFUNCTION("""COMPUTED_VALUE"""),"Excellent")</f>
        <v>Excellent</v>
      </c>
      <c r="AB337" t="str">
        <f>IFERROR(__xludf.DUMMYFUNCTION("""COMPUTED_VALUE"""),"Good")</f>
        <v>Good</v>
      </c>
      <c r="AH337" s="189">
        <f>IFERROR(__xludf.DUMMYFUNCTION("""COMPUTED_VALUE"""),43304.13738118055)</f>
        <v>43304.13738</v>
      </c>
    </row>
    <row r="338">
      <c r="A338" t="str">
        <f>IFERROR(__xludf.DUMMYFUNCTION("""COMPUTED_VALUE"""),"bradbomb")</f>
        <v>bradbomb</v>
      </c>
      <c r="B338" t="str">
        <f>IFERROR(__xludf.DUMMYFUNCTION("""COMPUTED_VALUE"""),"Los Angeles, CA")</f>
        <v>Los Angeles, CA</v>
      </c>
      <c r="C338" t="str">
        <f>IFERROR(__xludf.DUMMYFUNCTION("""COMPUTED_VALUE"""),"CA")</f>
        <v>CA</v>
      </c>
      <c r="D338" t="str">
        <f>IFERROR(__xludf.DUMMYFUNCTION("""COMPUTED_VALUE"""),"USA")</f>
        <v>USA</v>
      </c>
      <c r="E338" s="188">
        <f>IFERROR(__xludf.DUMMYFUNCTION("""COMPUTED_VALUE"""),43280.0)</f>
        <v>43280</v>
      </c>
      <c r="F338" s="188">
        <f>IFERROR(__xludf.DUMMYFUNCTION("""COMPUTED_VALUE"""),43292.0)</f>
        <v>43292</v>
      </c>
      <c r="H338">
        <f>IFERROR(__xludf.DUMMYFUNCTION("""COMPUTED_VALUE"""),39715.0)</f>
        <v>39715</v>
      </c>
      <c r="I338" t="str">
        <f>IFERROR(__xludf.DUMMYFUNCTION("""COMPUTED_VALUE"""),"07/18")</f>
        <v>07/18</v>
      </c>
      <c r="J338" s="5">
        <f>IFERROR(__xludf.DUMMYFUNCTION("""COMPUTED_VALUE"""),43302.0)</f>
        <v>43302</v>
      </c>
      <c r="K338">
        <f>IFERROR(__xludf.DUMMYFUNCTION("""COMPUTED_VALUE"""),12.0)</f>
        <v>12</v>
      </c>
      <c r="L338">
        <f>IFERROR(__xludf.DUMMYFUNCTION("""COMPUTED_VALUE"""),10.0)</f>
        <v>10</v>
      </c>
      <c r="M338">
        <f>IFERROR(__xludf.DUMMYFUNCTION("""COMPUTED_VALUE"""),22.0)</f>
        <v>22</v>
      </c>
      <c r="N338" t="str">
        <f>IFERROR(__xludf.DUMMYFUNCTION("""COMPUTED_VALUE"""),"Model 3 LR")</f>
        <v>Model 3 LR</v>
      </c>
      <c r="O338" t="str">
        <f>IFERROR(__xludf.DUMMYFUNCTION("""COMPUTED_VALUE"""),"Solid Black")</f>
        <v>Solid Black</v>
      </c>
      <c r="P338" t="str">
        <f>IFERROR(__xludf.DUMMYFUNCTION("""COMPUTED_VALUE"""),"18 inch Aero")</f>
        <v>18 inch Aero</v>
      </c>
      <c r="Q338" t="str">
        <f>IFERROR(__xludf.DUMMYFUNCTION("""COMPUTED_VALUE"""),"Black seats")</f>
        <v>Black seats</v>
      </c>
      <c r="R338" t="str">
        <f>IFERROR(__xludf.DUMMYFUNCTION("""COMPUTED_VALUE"""),"Enhanced Autopilot")</f>
        <v>Enhanced Autopilot</v>
      </c>
      <c r="X338" t="str">
        <f>IFERROR(__xludf.DUMMYFUNCTION("""COMPUTED_VALUE"""),"Very Good")</f>
        <v>Very Good</v>
      </c>
      <c r="Y338" t="str">
        <f>IFERROR(__xludf.DUMMYFUNCTION("""COMPUTED_VALUE"""),"Excellent")</f>
        <v>Excellent</v>
      </c>
      <c r="Z338" t="str">
        <f>IFERROR(__xludf.DUMMYFUNCTION("""COMPUTED_VALUE"""),"Very Good")</f>
        <v>Very Good</v>
      </c>
      <c r="AA338" t="str">
        <f>IFERROR(__xludf.DUMMYFUNCTION("""COMPUTED_VALUE"""),"Good")</f>
        <v>Good</v>
      </c>
      <c r="AB338" t="str">
        <f>IFERROR(__xludf.DUMMYFUNCTION("""COMPUTED_VALUE"""),"Very Good")</f>
        <v>Very Good</v>
      </c>
      <c r="AH338" s="189">
        <f>IFERROR(__xludf.DUMMYFUNCTION("""COMPUTED_VALUE"""),43304.62611572917)</f>
        <v>43304.62612</v>
      </c>
    </row>
    <row r="339">
      <c r="A339" t="str">
        <f>IFERROR(__xludf.DUMMYFUNCTION("""COMPUTED_VALUE"""),"Troy916")</f>
        <v>Troy916</v>
      </c>
      <c r="B339" t="str">
        <f>IFERROR(__xludf.DUMMYFUNCTION("""COMPUTED_VALUE"""),"Sacramento")</f>
        <v>Sacramento</v>
      </c>
      <c r="C339" t="str">
        <f>IFERROR(__xludf.DUMMYFUNCTION("""COMPUTED_VALUE"""),"CA")</f>
        <v>CA</v>
      </c>
      <c r="D339" t="str">
        <f>IFERROR(__xludf.DUMMYFUNCTION("""COMPUTED_VALUE"""),"USA")</f>
        <v>USA</v>
      </c>
      <c r="E339" s="188">
        <f>IFERROR(__xludf.DUMMYFUNCTION("""COMPUTED_VALUE"""),43280.0)</f>
        <v>43280</v>
      </c>
      <c r="F339" s="188">
        <f>IFERROR(__xludf.DUMMYFUNCTION("""COMPUTED_VALUE"""),43284.0)</f>
        <v>43284</v>
      </c>
      <c r="H339">
        <f>IFERROR(__xludf.DUMMYFUNCTION("""COMPUTED_VALUE"""),43855.0)</f>
        <v>43855</v>
      </c>
      <c r="I339" t="str">
        <f>IFERROR(__xludf.DUMMYFUNCTION("""COMPUTED_VALUE"""),"06/18")</f>
        <v>06/18</v>
      </c>
      <c r="J339" s="5">
        <f>IFERROR(__xludf.DUMMYFUNCTION("""COMPUTED_VALUE"""),43304.0)</f>
        <v>43304</v>
      </c>
      <c r="K339">
        <f>IFERROR(__xludf.DUMMYFUNCTION("""COMPUTED_VALUE"""),4.0)</f>
        <v>4</v>
      </c>
      <c r="L339">
        <f>IFERROR(__xludf.DUMMYFUNCTION("""COMPUTED_VALUE"""),20.0)</f>
        <v>20</v>
      </c>
      <c r="M339">
        <f>IFERROR(__xludf.DUMMYFUNCTION("""COMPUTED_VALUE"""),24.0)</f>
        <v>24</v>
      </c>
      <c r="N339" t="str">
        <f>IFERROR(__xludf.DUMMYFUNCTION("""COMPUTED_VALUE"""),"Model 3 LR")</f>
        <v>Model 3 LR</v>
      </c>
      <c r="O339" t="str">
        <f>IFERROR(__xludf.DUMMYFUNCTION("""COMPUTED_VALUE"""),"Silver Metallic")</f>
        <v>Silver Metallic</v>
      </c>
      <c r="P339" t="str">
        <f>IFERROR(__xludf.DUMMYFUNCTION("""COMPUTED_VALUE"""),"18 inch Aero")</f>
        <v>18 inch Aero</v>
      </c>
      <c r="Q339" t="str">
        <f>IFERROR(__xludf.DUMMYFUNCTION("""COMPUTED_VALUE"""),"Black seats")</f>
        <v>Black seats</v>
      </c>
      <c r="R339" t="str">
        <f>IFERROR(__xludf.DUMMYFUNCTION("""COMPUTED_VALUE"""),"Full Self-Driving")</f>
        <v>Full Self-Driving</v>
      </c>
      <c r="X339" t="str">
        <f>IFERROR(__xludf.DUMMYFUNCTION("""COMPUTED_VALUE"""),"Excellent")</f>
        <v>Excellent</v>
      </c>
      <c r="Y339" t="str">
        <f>IFERROR(__xludf.DUMMYFUNCTION("""COMPUTED_VALUE"""),"Excellent")</f>
        <v>Excellent</v>
      </c>
      <c r="Z339" t="str">
        <f>IFERROR(__xludf.DUMMYFUNCTION("""COMPUTED_VALUE"""),"Excellent")</f>
        <v>Excellent</v>
      </c>
      <c r="AA339" t="str">
        <f>IFERROR(__xludf.DUMMYFUNCTION("""COMPUTED_VALUE"""),"Excellent")</f>
        <v>Excellent</v>
      </c>
      <c r="AB339" t="str">
        <f>IFERROR(__xludf.DUMMYFUNCTION("""COMPUTED_VALUE"""),"Very Good")</f>
        <v>Very Good</v>
      </c>
      <c r="AH339" s="189">
        <f>IFERROR(__xludf.DUMMYFUNCTION("""COMPUTED_VALUE"""),43304.78335550926)</f>
        <v>43304.78336</v>
      </c>
    </row>
    <row r="340">
      <c r="A340" t="str">
        <f>IFERROR(__xludf.DUMMYFUNCTION("""COMPUTED_VALUE"""),"jasonrdi")</f>
        <v>jasonrdi</v>
      </c>
      <c r="C340" t="str">
        <f>IFERROR(__xludf.DUMMYFUNCTION("""COMPUTED_VALUE"""),"CA")</f>
        <v>CA</v>
      </c>
      <c r="D340" t="str">
        <f>IFERROR(__xludf.DUMMYFUNCTION("""COMPUTED_VALUE"""),"USA")</f>
        <v>USA</v>
      </c>
      <c r="E340" s="188">
        <f>IFERROR(__xludf.DUMMYFUNCTION("""COMPUTED_VALUE"""),43281.0)</f>
        <v>43281</v>
      </c>
      <c r="F340" s="188">
        <f>IFERROR(__xludf.DUMMYFUNCTION("""COMPUTED_VALUE"""),43293.0)</f>
        <v>43293</v>
      </c>
      <c r="H340">
        <f>IFERROR(__xludf.DUMMYFUNCTION("""COMPUTED_VALUE"""),48855.0)</f>
        <v>48855</v>
      </c>
      <c r="J340" s="5">
        <f>IFERROR(__xludf.DUMMYFUNCTION("""COMPUTED_VALUE"""),43302.0)</f>
        <v>43302</v>
      </c>
      <c r="K340">
        <f>IFERROR(__xludf.DUMMYFUNCTION("""COMPUTED_VALUE"""),12.0)</f>
        <v>12</v>
      </c>
      <c r="L340">
        <f>IFERROR(__xludf.DUMMYFUNCTION("""COMPUTED_VALUE"""),9.0)</f>
        <v>9</v>
      </c>
      <c r="M340">
        <f>IFERROR(__xludf.DUMMYFUNCTION("""COMPUTED_VALUE"""),21.0)</f>
        <v>21</v>
      </c>
      <c r="N340" t="str">
        <f>IFERROR(__xludf.DUMMYFUNCTION("""COMPUTED_VALUE"""),"Model 3 LR")</f>
        <v>Model 3 LR</v>
      </c>
      <c r="O340" t="str">
        <f>IFERROR(__xludf.DUMMYFUNCTION("""COMPUTED_VALUE"""),"Red Multi-Coat")</f>
        <v>Red Multi-Coat</v>
      </c>
      <c r="P340" t="str">
        <f>IFERROR(__xludf.DUMMYFUNCTION("""COMPUTED_VALUE"""),"19 inch Sport")</f>
        <v>19 inch Sport</v>
      </c>
      <c r="Q340" t="str">
        <f>IFERROR(__xludf.DUMMYFUNCTION("""COMPUTED_VALUE"""),"Black seats")</f>
        <v>Black seats</v>
      </c>
      <c r="R340" t="str">
        <f>IFERROR(__xludf.DUMMYFUNCTION("""COMPUTED_VALUE"""),"Enhanced Autopilot")</f>
        <v>Enhanced Autopilot</v>
      </c>
      <c r="X340" t="str">
        <f>IFERROR(__xludf.DUMMYFUNCTION("""COMPUTED_VALUE"""),"Excellent")</f>
        <v>Excellent</v>
      </c>
      <c r="Y340" t="str">
        <f>IFERROR(__xludf.DUMMYFUNCTION("""COMPUTED_VALUE"""),"Excellent")</f>
        <v>Excellent</v>
      </c>
      <c r="Z340" t="str">
        <f>IFERROR(__xludf.DUMMYFUNCTION("""COMPUTED_VALUE"""),"Good")</f>
        <v>Good</v>
      </c>
      <c r="AA340" t="str">
        <f>IFERROR(__xludf.DUMMYFUNCTION("""COMPUTED_VALUE"""),"Very Good")</f>
        <v>Very Good</v>
      </c>
      <c r="AB340" t="str">
        <f>IFERROR(__xludf.DUMMYFUNCTION("""COMPUTED_VALUE"""),"Very Good")</f>
        <v>Very Good</v>
      </c>
      <c r="AC340">
        <f>IFERROR(__xludf.DUMMYFUNCTION("""COMPUTED_VALUE"""),2.0)</f>
        <v>2</v>
      </c>
      <c r="AH340" s="189">
        <f>IFERROR(__xludf.DUMMYFUNCTION("""COMPUTED_VALUE"""),43304.96042045139)</f>
        <v>43304.96042</v>
      </c>
    </row>
    <row r="341">
      <c r="A341" t="str">
        <f>IFERROR(__xludf.DUMMYFUNCTION("""COMPUTED_VALUE"""),"TomBot9000")</f>
        <v>TomBot9000</v>
      </c>
      <c r="B341" t="str">
        <f>IFERROR(__xludf.DUMMYFUNCTION("""COMPUTED_VALUE"""),"Foster City")</f>
        <v>Foster City</v>
      </c>
      <c r="C341" t="str">
        <f>IFERROR(__xludf.DUMMYFUNCTION("""COMPUTED_VALUE"""),"CA")</f>
        <v>CA</v>
      </c>
      <c r="D341" t="str">
        <f>IFERROR(__xludf.DUMMYFUNCTION("""COMPUTED_VALUE"""),"USA")</f>
        <v>USA</v>
      </c>
      <c r="E341" s="188">
        <f>IFERROR(__xludf.DUMMYFUNCTION("""COMPUTED_VALUE"""),43229.0)</f>
        <v>43229</v>
      </c>
      <c r="F341" s="188">
        <f>IFERROR(__xludf.DUMMYFUNCTION("""COMPUTED_VALUE"""),43292.0)</f>
        <v>43292</v>
      </c>
      <c r="H341">
        <f>IFERROR(__xludf.DUMMYFUNCTION("""COMPUTED_VALUE"""),22390.0)</f>
        <v>22390</v>
      </c>
      <c r="I341" t="str">
        <f>IFERROR(__xludf.DUMMYFUNCTION("""COMPUTED_VALUE"""),"06/18")</f>
        <v>06/18</v>
      </c>
      <c r="J341" s="5">
        <f>IFERROR(__xludf.DUMMYFUNCTION("""COMPUTED_VALUE"""),43299.0)</f>
        <v>43299</v>
      </c>
      <c r="K341">
        <f>IFERROR(__xludf.DUMMYFUNCTION("""COMPUTED_VALUE"""),63.0)</f>
        <v>63</v>
      </c>
      <c r="L341">
        <f>IFERROR(__xludf.DUMMYFUNCTION("""COMPUTED_VALUE"""),7.0)</f>
        <v>7</v>
      </c>
      <c r="M341">
        <f>IFERROR(__xludf.DUMMYFUNCTION("""COMPUTED_VALUE"""),70.0)</f>
        <v>70</v>
      </c>
      <c r="N341" t="str">
        <f>IFERROR(__xludf.DUMMYFUNCTION("""COMPUTED_VALUE"""),"Model 3 LR")</f>
        <v>Model 3 LR</v>
      </c>
      <c r="O341" t="str">
        <f>IFERROR(__xludf.DUMMYFUNCTION("""COMPUTED_VALUE"""),"Red Multi-Coat")</f>
        <v>Red Multi-Coat</v>
      </c>
      <c r="P341" t="str">
        <f>IFERROR(__xludf.DUMMYFUNCTION("""COMPUTED_VALUE"""),"18 inch Aero")</f>
        <v>18 inch Aero</v>
      </c>
      <c r="Q341" t="str">
        <f>IFERROR(__xludf.DUMMYFUNCTION("""COMPUTED_VALUE"""),"Black seats")</f>
        <v>Black seats</v>
      </c>
      <c r="R341" t="str">
        <f>IFERROR(__xludf.DUMMYFUNCTION("""COMPUTED_VALUE"""),"Enhanced Autopilot")</f>
        <v>Enhanced Autopilot</v>
      </c>
      <c r="X341" t="str">
        <f>IFERROR(__xludf.DUMMYFUNCTION("""COMPUTED_VALUE"""),"Excellent")</f>
        <v>Excellent</v>
      </c>
      <c r="Y341" t="str">
        <f>IFERROR(__xludf.DUMMYFUNCTION("""COMPUTED_VALUE"""),"Very Good")</f>
        <v>Very Good</v>
      </c>
      <c r="Z341" t="str">
        <f>IFERROR(__xludf.DUMMYFUNCTION("""COMPUTED_VALUE"""),"Very Good")</f>
        <v>Very Good</v>
      </c>
      <c r="AA341" t="str">
        <f>IFERROR(__xludf.DUMMYFUNCTION("""COMPUTED_VALUE"""),"Excellent")</f>
        <v>Excellent</v>
      </c>
      <c r="AB341" t="str">
        <f>IFERROR(__xludf.DUMMYFUNCTION("""COMPUTED_VALUE"""),"Very Good")</f>
        <v>Very Good</v>
      </c>
      <c r="AC341">
        <f>IFERROR(__xludf.DUMMYFUNCTION("""COMPUTED_VALUE"""),0.0)</f>
        <v>0</v>
      </c>
      <c r="AD341">
        <f>IFERROR(__xludf.DUMMYFUNCTION("""COMPUTED_VALUE"""),0.0)</f>
        <v>0</v>
      </c>
      <c r="AE341">
        <f>IFERROR(__xludf.DUMMYFUNCTION("""COMPUTED_VALUE"""),0.0)</f>
        <v>0</v>
      </c>
      <c r="AH341" s="189">
        <f>IFERROR(__xludf.DUMMYFUNCTION("""COMPUTED_VALUE"""),43304.9814612037)</f>
        <v>43304.98146</v>
      </c>
    </row>
    <row r="342">
      <c r="A342" t="str">
        <f>IFERROR(__xludf.DUMMYFUNCTION("""COMPUTED_VALUE"""),"windwater")</f>
        <v>windwater</v>
      </c>
      <c r="B342" t="str">
        <f>IFERROR(__xludf.DUMMYFUNCTION("""COMPUTED_VALUE"""),"SF Bay Area")</f>
        <v>SF Bay Area</v>
      </c>
      <c r="C342" t="str">
        <f>IFERROR(__xludf.DUMMYFUNCTION("""COMPUTED_VALUE"""),"CA")</f>
        <v>CA</v>
      </c>
      <c r="D342" t="str">
        <f>IFERROR(__xludf.DUMMYFUNCTION("""COMPUTED_VALUE"""),"USA")</f>
        <v>USA</v>
      </c>
      <c r="E342" s="188">
        <f>IFERROR(__xludf.DUMMYFUNCTION("""COMPUTED_VALUE"""),43259.0)</f>
        <v>43259</v>
      </c>
      <c r="F342" s="188">
        <f>IFERROR(__xludf.DUMMYFUNCTION("""COMPUTED_VALUE"""),43293.0)</f>
        <v>43293</v>
      </c>
      <c r="H342">
        <f>IFERROR(__xludf.DUMMYFUNCTION("""COMPUTED_VALUE"""),41455.0)</f>
        <v>41455</v>
      </c>
      <c r="J342" s="5">
        <f>IFERROR(__xludf.DUMMYFUNCTION("""COMPUTED_VALUE"""),43302.0)</f>
        <v>43302</v>
      </c>
      <c r="K342">
        <f>IFERROR(__xludf.DUMMYFUNCTION("""COMPUTED_VALUE"""),34.0)</f>
        <v>34</v>
      </c>
      <c r="L342">
        <f>IFERROR(__xludf.DUMMYFUNCTION("""COMPUTED_VALUE"""),9.0)</f>
        <v>9</v>
      </c>
      <c r="M342">
        <f>IFERROR(__xludf.DUMMYFUNCTION("""COMPUTED_VALUE"""),43.0)</f>
        <v>43</v>
      </c>
      <c r="N342" t="str">
        <f>IFERROR(__xludf.DUMMYFUNCTION("""COMPUTED_VALUE"""),"Model 3 LR")</f>
        <v>Model 3 LR</v>
      </c>
      <c r="O342" t="str">
        <f>IFERROR(__xludf.DUMMYFUNCTION("""COMPUTED_VALUE"""),"Pearl White Multi-Coat")</f>
        <v>Pearl White Multi-Coat</v>
      </c>
      <c r="P342" t="str">
        <f>IFERROR(__xludf.DUMMYFUNCTION("""COMPUTED_VALUE"""),"18 inch Aero")</f>
        <v>18 inch Aero</v>
      </c>
      <c r="Q342" t="str">
        <f>IFERROR(__xludf.DUMMYFUNCTION("""COMPUTED_VALUE"""),"Black seats")</f>
        <v>Black seats</v>
      </c>
      <c r="R342" t="str">
        <f>IFERROR(__xludf.DUMMYFUNCTION("""COMPUTED_VALUE"""),"Enhanced Autopilot")</f>
        <v>Enhanced Autopilot</v>
      </c>
      <c r="X342" t="str">
        <f>IFERROR(__xludf.DUMMYFUNCTION("""COMPUTED_VALUE"""),"Excellent")</f>
        <v>Excellent</v>
      </c>
      <c r="Y342" t="str">
        <f>IFERROR(__xludf.DUMMYFUNCTION("""COMPUTED_VALUE"""),"Excellent")</f>
        <v>Excellent</v>
      </c>
      <c r="Z342" t="str">
        <f>IFERROR(__xludf.DUMMYFUNCTION("""COMPUTED_VALUE"""),"Good")</f>
        <v>Good</v>
      </c>
      <c r="AA342" t="str">
        <f>IFERROR(__xludf.DUMMYFUNCTION("""COMPUTED_VALUE"""),"Poor")</f>
        <v>Poor</v>
      </c>
      <c r="AB342" t="str">
        <f>IFERROR(__xludf.DUMMYFUNCTION("""COMPUTED_VALUE"""),"Fair")</f>
        <v>Fair</v>
      </c>
      <c r="AC342">
        <f>IFERROR(__xludf.DUMMYFUNCTION("""COMPUTED_VALUE"""),3.0)</f>
        <v>3</v>
      </c>
      <c r="AH342" s="189">
        <f>IFERROR(__xludf.DUMMYFUNCTION("""COMPUTED_VALUE"""),43305.010870555554)</f>
        <v>43305.01087</v>
      </c>
    </row>
    <row r="343">
      <c r="A343" t="str">
        <f>IFERROR(__xludf.DUMMYFUNCTION("""COMPUTED_VALUE"""),"KG M3")</f>
        <v>KG M3</v>
      </c>
      <c r="B343" t="str">
        <f>IFERROR(__xludf.DUMMYFUNCTION("""COMPUTED_VALUE"""),"Pasadena ")</f>
        <v>Pasadena </v>
      </c>
      <c r="C343" t="str">
        <f>IFERROR(__xludf.DUMMYFUNCTION("""COMPUTED_VALUE"""),"CA")</f>
        <v>CA</v>
      </c>
      <c r="D343" t="str">
        <f>IFERROR(__xludf.DUMMYFUNCTION("""COMPUTED_VALUE"""),"USA")</f>
        <v>USA</v>
      </c>
      <c r="E343" s="188">
        <f>IFERROR(__xludf.DUMMYFUNCTION("""COMPUTED_VALUE"""),43278.0)</f>
        <v>43278</v>
      </c>
      <c r="F343" s="188">
        <f>IFERROR(__xludf.DUMMYFUNCTION("""COMPUTED_VALUE"""),43283.0)</f>
        <v>43283</v>
      </c>
      <c r="H343">
        <f>IFERROR(__xludf.DUMMYFUNCTION("""COMPUTED_VALUE"""),37070.0)</f>
        <v>37070</v>
      </c>
      <c r="I343" t="str">
        <f>IFERROR(__xludf.DUMMYFUNCTION("""COMPUTED_VALUE"""),"07/18")</f>
        <v>07/18</v>
      </c>
      <c r="J343" s="5">
        <f>IFERROR(__xludf.DUMMYFUNCTION("""COMPUTED_VALUE"""),43289.0)</f>
        <v>43289</v>
      </c>
      <c r="K343">
        <f>IFERROR(__xludf.DUMMYFUNCTION("""COMPUTED_VALUE"""),5.0)</f>
        <v>5</v>
      </c>
      <c r="L343">
        <f>IFERROR(__xludf.DUMMYFUNCTION("""COMPUTED_VALUE"""),6.0)</f>
        <v>6</v>
      </c>
      <c r="M343">
        <f>IFERROR(__xludf.DUMMYFUNCTION("""COMPUTED_VALUE"""),11.0)</f>
        <v>11</v>
      </c>
      <c r="N343" t="str">
        <f>IFERROR(__xludf.DUMMYFUNCTION("""COMPUTED_VALUE"""),"Model 3 LR")</f>
        <v>Model 3 LR</v>
      </c>
      <c r="O343" t="str">
        <f>IFERROR(__xludf.DUMMYFUNCTION("""COMPUTED_VALUE"""),"Midnight Silver Metallic")</f>
        <v>Midnight Silver Metallic</v>
      </c>
      <c r="P343" t="str">
        <f>IFERROR(__xludf.DUMMYFUNCTION("""COMPUTED_VALUE"""),"18 inch Aero")</f>
        <v>18 inch Aero</v>
      </c>
      <c r="Q343" t="str">
        <f>IFERROR(__xludf.DUMMYFUNCTION("""COMPUTED_VALUE"""),"Black seats")</f>
        <v>Black seats</v>
      </c>
      <c r="R343" t="str">
        <f>IFERROR(__xludf.DUMMYFUNCTION("""COMPUTED_VALUE"""),"Full Self-Driving")</f>
        <v>Full Self-Driving</v>
      </c>
      <c r="X343" t="str">
        <f>IFERROR(__xludf.DUMMYFUNCTION("""COMPUTED_VALUE"""),"Excellent")</f>
        <v>Excellent</v>
      </c>
      <c r="Y343" t="str">
        <f>IFERROR(__xludf.DUMMYFUNCTION("""COMPUTED_VALUE"""),"Excellent")</f>
        <v>Excellent</v>
      </c>
      <c r="Z343" t="str">
        <f>IFERROR(__xludf.DUMMYFUNCTION("""COMPUTED_VALUE"""),"Excellent")</f>
        <v>Excellent</v>
      </c>
      <c r="AA343" t="str">
        <f>IFERROR(__xludf.DUMMYFUNCTION("""COMPUTED_VALUE"""),"Very Good")</f>
        <v>Very Good</v>
      </c>
      <c r="AB343" t="str">
        <f>IFERROR(__xludf.DUMMYFUNCTION("""COMPUTED_VALUE"""),"Poor")</f>
        <v>Poor</v>
      </c>
      <c r="AC343">
        <f>IFERROR(__xludf.DUMMYFUNCTION("""COMPUTED_VALUE"""),2.0)</f>
        <v>2</v>
      </c>
      <c r="AG343" t="str">
        <f>IFERROR(__xludf.DUMMYFUNCTION("""COMPUTED_VALUE"""),"5 minute delivery is terrible.  ")</f>
        <v>5 minute delivery is terrible.  </v>
      </c>
      <c r="AH343" s="189">
        <f>IFERROR(__xludf.DUMMYFUNCTION("""COMPUTED_VALUE"""),43305.247547175924)</f>
        <v>43305.24755</v>
      </c>
    </row>
    <row r="344">
      <c r="A344" t="str">
        <f>IFERROR(__xludf.DUMMYFUNCTION("""COMPUTED_VALUE"""),"mtnview747")</f>
        <v>mtnview747</v>
      </c>
      <c r="B344" t="str">
        <f>IFERROR(__xludf.DUMMYFUNCTION("""COMPUTED_VALUE"""),"Mountain View, CA")</f>
        <v>Mountain View, CA</v>
      </c>
      <c r="C344" t="str">
        <f>IFERROR(__xludf.DUMMYFUNCTION("""COMPUTED_VALUE"""),"CA")</f>
        <v>CA</v>
      </c>
      <c r="D344" t="str">
        <f>IFERROR(__xludf.DUMMYFUNCTION("""COMPUTED_VALUE"""),"USA")</f>
        <v>USA</v>
      </c>
      <c r="E344" s="188">
        <f>IFERROR(__xludf.DUMMYFUNCTION("""COMPUTED_VALUE"""),43214.0)</f>
        <v>43214</v>
      </c>
      <c r="F344" s="188">
        <f>IFERROR(__xludf.DUMMYFUNCTION("""COMPUTED_VALUE"""),43292.0)</f>
        <v>43292</v>
      </c>
      <c r="H344">
        <f>IFERROR(__xludf.DUMMYFUNCTION("""COMPUTED_VALUE"""),40655.0)</f>
        <v>40655</v>
      </c>
      <c r="J344" s="5">
        <f>IFERROR(__xludf.DUMMYFUNCTION("""COMPUTED_VALUE"""),43298.0)</f>
        <v>43298</v>
      </c>
      <c r="K344">
        <f>IFERROR(__xludf.DUMMYFUNCTION("""COMPUTED_VALUE"""),78.0)</f>
        <v>78</v>
      </c>
      <c r="L344">
        <f>IFERROR(__xludf.DUMMYFUNCTION("""COMPUTED_VALUE"""),6.0)</f>
        <v>6</v>
      </c>
      <c r="M344">
        <f>IFERROR(__xludf.DUMMYFUNCTION("""COMPUTED_VALUE"""),84.0)</f>
        <v>84</v>
      </c>
      <c r="N344" t="str">
        <f>IFERROR(__xludf.DUMMYFUNCTION("""COMPUTED_VALUE"""),"Model 3 LR")</f>
        <v>Model 3 LR</v>
      </c>
      <c r="O344" t="str">
        <f>IFERROR(__xludf.DUMMYFUNCTION("""COMPUTED_VALUE"""),"Pearl White Multi-Coat")</f>
        <v>Pearl White Multi-Coat</v>
      </c>
      <c r="P344" t="str">
        <f>IFERROR(__xludf.DUMMYFUNCTION("""COMPUTED_VALUE"""),"18 inch Aero")</f>
        <v>18 inch Aero</v>
      </c>
      <c r="Q344" t="str">
        <f>IFERROR(__xludf.DUMMYFUNCTION("""COMPUTED_VALUE"""),"Black seats")</f>
        <v>Black seats</v>
      </c>
      <c r="R344" t="str">
        <f>IFERROR(__xludf.DUMMYFUNCTION("""COMPUTED_VALUE"""),"Full Self-Driving")</f>
        <v>Full Self-Driving</v>
      </c>
      <c r="X344" t="str">
        <f>IFERROR(__xludf.DUMMYFUNCTION("""COMPUTED_VALUE"""),"Very Good")</f>
        <v>Very Good</v>
      </c>
      <c r="Y344" t="str">
        <f>IFERROR(__xludf.DUMMYFUNCTION("""COMPUTED_VALUE"""),"Excellent")</f>
        <v>Excellent</v>
      </c>
      <c r="Z344" t="str">
        <f>IFERROR(__xludf.DUMMYFUNCTION("""COMPUTED_VALUE"""),"Excellent")</f>
        <v>Excellent</v>
      </c>
      <c r="AA344" t="str">
        <f>IFERROR(__xludf.DUMMYFUNCTION("""COMPUTED_VALUE"""),"Very Good")</f>
        <v>Very Good</v>
      </c>
      <c r="AB344" t="str">
        <f>IFERROR(__xludf.DUMMYFUNCTION("""COMPUTED_VALUE"""),"Excellent")</f>
        <v>Excellent</v>
      </c>
      <c r="AC344">
        <f>IFERROR(__xludf.DUMMYFUNCTION("""COMPUTED_VALUE"""),1.0)</f>
        <v>1</v>
      </c>
      <c r="AD344">
        <f>IFERROR(__xludf.DUMMYFUNCTION("""COMPUTED_VALUE"""),1.0)</f>
        <v>1</v>
      </c>
      <c r="AE344">
        <f>IFERROR(__xludf.DUMMYFUNCTION("""COMPUTED_VALUE"""),0.0)</f>
        <v>0</v>
      </c>
      <c r="AH344" s="189">
        <f>IFERROR(__xludf.DUMMYFUNCTION("""COMPUTED_VALUE"""),43305.945937303244)</f>
        <v>43305.94594</v>
      </c>
    </row>
    <row r="345">
      <c r="A345" t="str">
        <f>IFERROR(__xludf.DUMMYFUNCTION("""COMPUTED_VALUE"""),"krodri")</f>
        <v>krodri</v>
      </c>
      <c r="B345" t="str">
        <f>IFERROR(__xludf.DUMMYFUNCTION("""COMPUTED_VALUE"""),"Los Angeles")</f>
        <v>Los Angeles</v>
      </c>
      <c r="C345" t="str">
        <f>IFERROR(__xludf.DUMMYFUNCTION("""COMPUTED_VALUE"""),"CA")</f>
        <v>CA</v>
      </c>
      <c r="D345" t="str">
        <f>IFERROR(__xludf.DUMMYFUNCTION("""COMPUTED_VALUE"""),"USA")</f>
        <v>USA</v>
      </c>
      <c r="E345" s="188">
        <f>IFERROR(__xludf.DUMMYFUNCTION("""COMPUTED_VALUE"""),43278.0)</f>
        <v>43278</v>
      </c>
      <c r="F345" s="188">
        <f>IFERROR(__xludf.DUMMYFUNCTION("""COMPUTED_VALUE"""),43299.0)</f>
        <v>43299</v>
      </c>
      <c r="H345">
        <f>IFERROR(__xludf.DUMMYFUNCTION("""COMPUTED_VALUE"""),50655.0)</f>
        <v>50655</v>
      </c>
      <c r="J345" s="5">
        <f>IFERROR(__xludf.DUMMYFUNCTION("""COMPUTED_VALUE"""),43305.0)</f>
        <v>43305</v>
      </c>
      <c r="K345">
        <f>IFERROR(__xludf.DUMMYFUNCTION("""COMPUTED_VALUE"""),21.0)</f>
        <v>21</v>
      </c>
      <c r="L345">
        <f>IFERROR(__xludf.DUMMYFUNCTION("""COMPUTED_VALUE"""),6.0)</f>
        <v>6</v>
      </c>
      <c r="M345">
        <f>IFERROR(__xludf.DUMMYFUNCTION("""COMPUTED_VALUE"""),27.0)</f>
        <v>27</v>
      </c>
      <c r="N345" t="str">
        <f>IFERROR(__xludf.DUMMYFUNCTION("""COMPUTED_VALUE"""),"Model 3 LR")</f>
        <v>Model 3 LR</v>
      </c>
      <c r="O345" t="str">
        <f>IFERROR(__xludf.DUMMYFUNCTION("""COMPUTED_VALUE"""),"Red Multi-Coat")</f>
        <v>Red Multi-Coat</v>
      </c>
      <c r="P345" t="str">
        <f>IFERROR(__xludf.DUMMYFUNCTION("""COMPUTED_VALUE"""),"19 inch Sport")</f>
        <v>19 inch Sport</v>
      </c>
      <c r="Q345" t="str">
        <f>IFERROR(__xludf.DUMMYFUNCTION("""COMPUTED_VALUE"""),"Black seats")</f>
        <v>Black seats</v>
      </c>
      <c r="R345" t="str">
        <f>IFERROR(__xludf.DUMMYFUNCTION("""COMPUTED_VALUE"""),"Enhanced Autopilot")</f>
        <v>Enhanced Autopilot</v>
      </c>
      <c r="X345" t="str">
        <f>IFERROR(__xludf.DUMMYFUNCTION("""COMPUTED_VALUE"""),"Very Good")</f>
        <v>Very Good</v>
      </c>
      <c r="Y345" t="str">
        <f>IFERROR(__xludf.DUMMYFUNCTION("""COMPUTED_VALUE"""),"Very Good")</f>
        <v>Very Good</v>
      </c>
      <c r="Z345" t="str">
        <f>IFERROR(__xludf.DUMMYFUNCTION("""COMPUTED_VALUE"""),"Very Good")</f>
        <v>Very Good</v>
      </c>
      <c r="AA345" t="str">
        <f>IFERROR(__xludf.DUMMYFUNCTION("""COMPUTED_VALUE"""),"Very Good")</f>
        <v>Very Good</v>
      </c>
      <c r="AB345" t="str">
        <f>IFERROR(__xludf.DUMMYFUNCTION("""COMPUTED_VALUE"""),"Very Good")</f>
        <v>Very Good</v>
      </c>
      <c r="AH345" s="189">
        <f>IFERROR(__xludf.DUMMYFUNCTION("""COMPUTED_VALUE"""),43305.97912539352)</f>
        <v>43305.97913</v>
      </c>
    </row>
    <row r="346">
      <c r="A346" t="str">
        <f>IFERROR(__xludf.DUMMYFUNCTION("""COMPUTED_VALUE"""),"biosehnsucht")</f>
        <v>biosehnsucht</v>
      </c>
      <c r="B346" t="str">
        <f>IFERROR(__xludf.DUMMYFUNCTION("""COMPUTED_VALUE"""),"DFW")</f>
        <v>DFW</v>
      </c>
      <c r="C346" t="str">
        <f>IFERROR(__xludf.DUMMYFUNCTION("""COMPUTED_VALUE"""),"TX")</f>
        <v>TX</v>
      </c>
      <c r="D346" t="str">
        <f>IFERROR(__xludf.DUMMYFUNCTION("""COMPUTED_VALUE"""),"USA")</f>
        <v>USA</v>
      </c>
      <c r="E346" s="188">
        <f>IFERROR(__xludf.DUMMYFUNCTION("""COMPUTED_VALUE"""),43278.0)</f>
        <v>43278</v>
      </c>
      <c r="F346" s="188">
        <f>IFERROR(__xludf.DUMMYFUNCTION("""COMPUTED_VALUE"""),43279.0)</f>
        <v>43279</v>
      </c>
      <c r="H346">
        <f>IFERROR(__xludf.DUMMYFUNCTION("""COMPUTED_VALUE"""),40255.0)</f>
        <v>40255</v>
      </c>
      <c r="J346" s="5">
        <f>IFERROR(__xludf.DUMMYFUNCTION("""COMPUTED_VALUE"""),43305.0)</f>
        <v>43305</v>
      </c>
      <c r="K346">
        <f>IFERROR(__xludf.DUMMYFUNCTION("""COMPUTED_VALUE"""),1.0)</f>
        <v>1</v>
      </c>
      <c r="L346">
        <f>IFERROR(__xludf.DUMMYFUNCTION("""COMPUTED_VALUE"""),26.0)</f>
        <v>26</v>
      </c>
      <c r="M346">
        <f>IFERROR(__xludf.DUMMYFUNCTION("""COMPUTED_VALUE"""),27.0)</f>
        <v>27</v>
      </c>
      <c r="N346" t="str">
        <f>IFERROR(__xludf.DUMMYFUNCTION("""COMPUTED_VALUE"""),"Model 3 LR")</f>
        <v>Model 3 LR</v>
      </c>
      <c r="O346" t="str">
        <f>IFERROR(__xludf.DUMMYFUNCTION("""COMPUTED_VALUE"""),"Midnight Silver Metallic")</f>
        <v>Midnight Silver Metallic</v>
      </c>
      <c r="P346" t="str">
        <f>IFERROR(__xludf.DUMMYFUNCTION("""COMPUTED_VALUE"""),"18 inch Aero")</f>
        <v>18 inch Aero</v>
      </c>
      <c r="Q346" t="str">
        <f>IFERROR(__xludf.DUMMYFUNCTION("""COMPUTED_VALUE"""),"Black seats")</f>
        <v>Black seats</v>
      </c>
      <c r="R346" t="str">
        <f>IFERROR(__xludf.DUMMYFUNCTION("""COMPUTED_VALUE"""),"Enhanced Autopilot")</f>
        <v>Enhanced Autopilot</v>
      </c>
      <c r="X346" t="str">
        <f>IFERROR(__xludf.DUMMYFUNCTION("""COMPUTED_VALUE"""),"Good")</f>
        <v>Good</v>
      </c>
      <c r="Y346" t="str">
        <f>IFERROR(__xludf.DUMMYFUNCTION("""COMPUTED_VALUE"""),"Very Good")</f>
        <v>Very Good</v>
      </c>
      <c r="Z346" t="str">
        <f>IFERROR(__xludf.DUMMYFUNCTION("""COMPUTED_VALUE"""),"Excellent")</f>
        <v>Excellent</v>
      </c>
      <c r="AA346" t="str">
        <f>IFERROR(__xludf.DUMMYFUNCTION("""COMPUTED_VALUE"""),"Good")</f>
        <v>Good</v>
      </c>
      <c r="AB346" t="str">
        <f>IFERROR(__xludf.DUMMYFUNCTION("""COMPUTED_VALUE"""),"Very Good")</f>
        <v>Very Good</v>
      </c>
      <c r="AG346" t="str">
        <f>IFERROR(__xludf.DUMMYFUNCTION("""COMPUTED_VALUE"""),"Was undecided AWD vs RWD, SR vs LR")</f>
        <v>Was undecided AWD vs RWD, SR vs LR</v>
      </c>
      <c r="AH346" s="189">
        <f>IFERROR(__xludf.DUMMYFUNCTION("""COMPUTED_VALUE"""),43306.036279004635)</f>
        <v>43306.03628</v>
      </c>
    </row>
    <row r="347">
      <c r="A347" t="str">
        <f>IFERROR(__xludf.DUMMYFUNCTION("""COMPUTED_VALUE"""),"Grandbear")</f>
        <v>Grandbear</v>
      </c>
      <c r="B347" t="str">
        <f>IFERROR(__xludf.DUMMYFUNCTION("""COMPUTED_VALUE"""),"Camp Hill")</f>
        <v>Camp Hill</v>
      </c>
      <c r="C347" t="str">
        <f>IFERROR(__xludf.DUMMYFUNCTION("""COMPUTED_VALUE"""),"PA")</f>
        <v>PA</v>
      </c>
      <c r="D347" t="str">
        <f>IFERROR(__xludf.DUMMYFUNCTION("""COMPUTED_VALUE"""),"USA")</f>
        <v>USA</v>
      </c>
      <c r="E347" s="188">
        <f>IFERROR(__xludf.DUMMYFUNCTION("""COMPUTED_VALUE"""),43279.0)</f>
        <v>43279</v>
      </c>
      <c r="F347" s="188">
        <f>IFERROR(__xludf.DUMMYFUNCTION("""COMPUTED_VALUE"""),43284.0)</f>
        <v>43284</v>
      </c>
      <c r="H347">
        <f>IFERROR(__xludf.DUMMYFUNCTION("""COMPUTED_VALUE"""),34755.0)</f>
        <v>34755</v>
      </c>
      <c r="I347" t="str">
        <f>IFERROR(__xludf.DUMMYFUNCTION("""COMPUTED_VALUE"""),"06/18")</f>
        <v>06/18</v>
      </c>
      <c r="J347" s="5">
        <f>IFERROR(__xludf.DUMMYFUNCTION("""COMPUTED_VALUE"""),43300.0)</f>
        <v>43300</v>
      </c>
      <c r="K347">
        <f>IFERROR(__xludf.DUMMYFUNCTION("""COMPUTED_VALUE"""),5.0)</f>
        <v>5</v>
      </c>
      <c r="L347">
        <f>IFERROR(__xludf.DUMMYFUNCTION("""COMPUTED_VALUE"""),16.0)</f>
        <v>16</v>
      </c>
      <c r="M347">
        <f>IFERROR(__xludf.DUMMYFUNCTION("""COMPUTED_VALUE"""),21.0)</f>
        <v>21</v>
      </c>
      <c r="N347" t="str">
        <f>IFERROR(__xludf.DUMMYFUNCTION("""COMPUTED_VALUE"""),"Model 3 LR")</f>
        <v>Model 3 LR</v>
      </c>
      <c r="O347" t="str">
        <f>IFERROR(__xludf.DUMMYFUNCTION("""COMPUTED_VALUE"""),"Red Multi-Coat")</f>
        <v>Red Multi-Coat</v>
      </c>
      <c r="P347" t="str">
        <f>IFERROR(__xludf.DUMMYFUNCTION("""COMPUTED_VALUE"""),"18 inch Aero")</f>
        <v>18 inch Aero</v>
      </c>
      <c r="Q347" t="str">
        <f>IFERROR(__xludf.DUMMYFUNCTION("""COMPUTED_VALUE"""),"Black seats")</f>
        <v>Black seats</v>
      </c>
      <c r="R347" t="str">
        <f>IFERROR(__xludf.DUMMYFUNCTION("""COMPUTED_VALUE"""),"Enhanced Autopilot")</f>
        <v>Enhanced Autopilot</v>
      </c>
      <c r="X347" t="str">
        <f>IFERROR(__xludf.DUMMYFUNCTION("""COMPUTED_VALUE"""),"Excellent")</f>
        <v>Excellent</v>
      </c>
      <c r="Y347" t="str">
        <f>IFERROR(__xludf.DUMMYFUNCTION("""COMPUTED_VALUE"""),"Excellent")</f>
        <v>Excellent</v>
      </c>
      <c r="Z347" t="str">
        <f>IFERROR(__xludf.DUMMYFUNCTION("""COMPUTED_VALUE"""),"Excellent")</f>
        <v>Excellent</v>
      </c>
      <c r="AA347" t="str">
        <f>IFERROR(__xludf.DUMMYFUNCTION("""COMPUTED_VALUE"""),"Good")</f>
        <v>Good</v>
      </c>
      <c r="AB347" t="str">
        <f>IFERROR(__xludf.DUMMYFUNCTION("""COMPUTED_VALUE"""),"Very Good")</f>
        <v>Very Good</v>
      </c>
      <c r="AH347" s="189">
        <f>IFERROR(__xludf.DUMMYFUNCTION("""COMPUTED_VALUE"""),43306.32603415509)</f>
        <v>43306.32603</v>
      </c>
    </row>
    <row r="348">
      <c r="A348" t="str">
        <f>IFERROR(__xludf.DUMMYFUNCTION("""COMPUTED_VALUE"""),"thebrux")</f>
        <v>thebrux</v>
      </c>
      <c r="B348" t="str">
        <f>IFERROR(__xludf.DUMMYFUNCTION("""COMPUTED_VALUE"""),"Austin")</f>
        <v>Austin</v>
      </c>
      <c r="C348" t="str">
        <f>IFERROR(__xludf.DUMMYFUNCTION("""COMPUTED_VALUE"""),"TX")</f>
        <v>TX</v>
      </c>
      <c r="D348" t="str">
        <f>IFERROR(__xludf.DUMMYFUNCTION("""COMPUTED_VALUE"""),"USA")</f>
        <v>USA</v>
      </c>
      <c r="E348" s="188">
        <f>IFERROR(__xludf.DUMMYFUNCTION("""COMPUTED_VALUE"""),43278.0)</f>
        <v>43278</v>
      </c>
      <c r="F348" s="188">
        <f>IFERROR(__xludf.DUMMYFUNCTION("""COMPUTED_VALUE"""),43280.0)</f>
        <v>43280</v>
      </c>
      <c r="H348">
        <f>IFERROR(__xludf.DUMMYFUNCTION("""COMPUTED_VALUE"""),39098.0)</f>
        <v>39098</v>
      </c>
      <c r="I348" t="str">
        <f>IFERROR(__xludf.DUMMYFUNCTION("""COMPUTED_VALUE"""),"06/18")</f>
        <v>06/18</v>
      </c>
      <c r="J348" s="5">
        <f>IFERROR(__xludf.DUMMYFUNCTION("""COMPUTED_VALUE"""),43294.0)</f>
        <v>43294</v>
      </c>
      <c r="K348">
        <f>IFERROR(__xludf.DUMMYFUNCTION("""COMPUTED_VALUE"""),2.0)</f>
        <v>2</v>
      </c>
      <c r="L348">
        <f>IFERROR(__xludf.DUMMYFUNCTION("""COMPUTED_VALUE"""),14.0)</f>
        <v>14</v>
      </c>
      <c r="M348">
        <f>IFERROR(__xludf.DUMMYFUNCTION("""COMPUTED_VALUE"""),16.0)</f>
        <v>16</v>
      </c>
      <c r="N348" t="str">
        <f>IFERROR(__xludf.DUMMYFUNCTION("""COMPUTED_VALUE"""),"Model 3 LR")</f>
        <v>Model 3 LR</v>
      </c>
      <c r="O348" t="str">
        <f>IFERROR(__xludf.DUMMYFUNCTION("""COMPUTED_VALUE"""),"Pearl White Multi-Coat")</f>
        <v>Pearl White Multi-Coat</v>
      </c>
      <c r="P348" t="str">
        <f>IFERROR(__xludf.DUMMYFUNCTION("""COMPUTED_VALUE"""),"19 inch Sport")</f>
        <v>19 inch Sport</v>
      </c>
      <c r="Q348" t="str">
        <f>IFERROR(__xludf.DUMMYFUNCTION("""COMPUTED_VALUE"""),"Black seats")</f>
        <v>Black seats</v>
      </c>
      <c r="R348" t="str">
        <f>IFERROR(__xludf.DUMMYFUNCTION("""COMPUTED_VALUE"""),"Enhanced Autopilot")</f>
        <v>Enhanced Autopilot</v>
      </c>
      <c r="X348" t="str">
        <f>IFERROR(__xludf.DUMMYFUNCTION("""COMPUTED_VALUE"""),"Good")</f>
        <v>Good</v>
      </c>
      <c r="Y348" t="str">
        <f>IFERROR(__xludf.DUMMYFUNCTION("""COMPUTED_VALUE"""),"Very Good")</f>
        <v>Very Good</v>
      </c>
      <c r="Z348" t="str">
        <f>IFERROR(__xludf.DUMMYFUNCTION("""COMPUTED_VALUE"""),"Very Good")</f>
        <v>Very Good</v>
      </c>
      <c r="AA348" t="str">
        <f>IFERROR(__xludf.DUMMYFUNCTION("""COMPUTED_VALUE"""),"Very Good")</f>
        <v>Very Good</v>
      </c>
      <c r="AB348" t="str">
        <f>IFERROR(__xludf.DUMMYFUNCTION("""COMPUTED_VALUE"""),"Good")</f>
        <v>Good</v>
      </c>
      <c r="AH348" s="189">
        <f>IFERROR(__xludf.DUMMYFUNCTION("""COMPUTED_VALUE"""),43306.38800136574)</f>
        <v>43306.388</v>
      </c>
    </row>
    <row r="349">
      <c r="A349" t="str">
        <f>IFERROR(__xludf.DUMMYFUNCTION("""COMPUTED_VALUE"""),"chazel")</f>
        <v>chazel</v>
      </c>
      <c r="B349" t="str">
        <f>IFERROR(__xludf.DUMMYFUNCTION("""COMPUTED_VALUE"""),"Petaluma")</f>
        <v>Petaluma</v>
      </c>
      <c r="C349" t="str">
        <f>IFERROR(__xludf.DUMMYFUNCTION("""COMPUTED_VALUE"""),"CA")</f>
        <v>CA</v>
      </c>
      <c r="D349" t="str">
        <f>IFERROR(__xludf.DUMMYFUNCTION("""COMPUTED_VALUE"""),"USA")</f>
        <v>USA</v>
      </c>
      <c r="E349" s="188">
        <f>IFERROR(__xludf.DUMMYFUNCTION("""COMPUTED_VALUE"""),43218.0)</f>
        <v>43218</v>
      </c>
      <c r="F349" s="188">
        <f>IFERROR(__xludf.DUMMYFUNCTION("""COMPUTED_VALUE"""),43293.0)</f>
        <v>43293</v>
      </c>
      <c r="H349">
        <f>IFERROR(__xludf.DUMMYFUNCTION("""COMPUTED_VALUE"""),48828.0)</f>
        <v>48828</v>
      </c>
      <c r="I349" t="str">
        <f>IFERROR(__xludf.DUMMYFUNCTION("""COMPUTED_VALUE"""),"07/18")</f>
        <v>07/18</v>
      </c>
      <c r="J349" s="5">
        <f>IFERROR(__xludf.DUMMYFUNCTION("""COMPUTED_VALUE"""),43305.0)</f>
        <v>43305</v>
      </c>
      <c r="K349">
        <f>IFERROR(__xludf.DUMMYFUNCTION("""COMPUTED_VALUE"""),75.0)</f>
        <v>75</v>
      </c>
      <c r="L349">
        <f>IFERROR(__xludf.DUMMYFUNCTION("""COMPUTED_VALUE"""),12.0)</f>
        <v>12</v>
      </c>
      <c r="M349">
        <f>IFERROR(__xludf.DUMMYFUNCTION("""COMPUTED_VALUE"""),87.0)</f>
        <v>87</v>
      </c>
      <c r="N349" t="str">
        <f>IFERROR(__xludf.DUMMYFUNCTION("""COMPUTED_VALUE"""),"Model 3 LR")</f>
        <v>Model 3 LR</v>
      </c>
      <c r="O349" t="str">
        <f>IFERROR(__xludf.DUMMYFUNCTION("""COMPUTED_VALUE"""),"Red Multi-Coat")</f>
        <v>Red Multi-Coat</v>
      </c>
      <c r="P349" t="str">
        <f>IFERROR(__xludf.DUMMYFUNCTION("""COMPUTED_VALUE"""),"19 inch Sport")</f>
        <v>19 inch Sport</v>
      </c>
      <c r="Q349" t="str">
        <f>IFERROR(__xludf.DUMMYFUNCTION("""COMPUTED_VALUE"""),"Black seats")</f>
        <v>Black seats</v>
      </c>
      <c r="R349" t="str">
        <f>IFERROR(__xludf.DUMMYFUNCTION("""COMPUTED_VALUE"""),"Enhanced Autopilot")</f>
        <v>Enhanced Autopilot</v>
      </c>
      <c r="X349" t="str">
        <f>IFERROR(__xludf.DUMMYFUNCTION("""COMPUTED_VALUE"""),"Very Good")</f>
        <v>Very Good</v>
      </c>
      <c r="Y349" t="str">
        <f>IFERROR(__xludf.DUMMYFUNCTION("""COMPUTED_VALUE"""),"Excellent")</f>
        <v>Excellent</v>
      </c>
      <c r="Z349" t="str">
        <f>IFERROR(__xludf.DUMMYFUNCTION("""COMPUTED_VALUE"""),"Very Good")</f>
        <v>Very Good</v>
      </c>
      <c r="AA349" t="str">
        <f>IFERROR(__xludf.DUMMYFUNCTION("""COMPUTED_VALUE"""),"Fair")</f>
        <v>Fair</v>
      </c>
      <c r="AB349" t="str">
        <f>IFERROR(__xludf.DUMMYFUNCTION("""COMPUTED_VALUE"""),"Good")</f>
        <v>Good</v>
      </c>
      <c r="AG349" t="str">
        <f>IFERROR(__xludf.DUMMYFUNCTION("""COMPUTED_VALUE"""),"Tesla tried to potpone my delivery date less than 48 hours prior to delivery due to a ""paperwork delay"" but I pushed back and still got car on promised delivery date.")</f>
        <v>Tesla tried to potpone my delivery date less than 48 hours prior to delivery due to a "paperwork delay" but I pushed back and still got car on promised delivery date.</v>
      </c>
      <c r="AH349" s="189">
        <f>IFERROR(__xludf.DUMMYFUNCTION("""COMPUTED_VALUE"""),43306.46525978009)</f>
        <v>43306.46526</v>
      </c>
    </row>
    <row r="350">
      <c r="A350" t="str">
        <f>IFERROR(__xludf.DUMMYFUNCTION("""COMPUTED_VALUE"""),"mdc")</f>
        <v>mdc</v>
      </c>
      <c r="B350" t="str">
        <f>IFERROR(__xludf.DUMMYFUNCTION("""COMPUTED_VALUE"""),"Sacramento")</f>
        <v>Sacramento</v>
      </c>
      <c r="C350" t="str">
        <f>IFERROR(__xludf.DUMMYFUNCTION("""COMPUTED_VALUE"""),"CA")</f>
        <v>CA</v>
      </c>
      <c r="D350" t="str">
        <f>IFERROR(__xludf.DUMMYFUNCTION("""COMPUTED_VALUE"""),"USA")</f>
        <v>USA</v>
      </c>
      <c r="E350" s="188">
        <f>IFERROR(__xludf.DUMMYFUNCTION("""COMPUTED_VALUE"""),43278.0)</f>
        <v>43278</v>
      </c>
      <c r="F350" s="188">
        <f>IFERROR(__xludf.DUMMYFUNCTION("""COMPUTED_VALUE"""),43287.0)</f>
        <v>43287</v>
      </c>
      <c r="H350">
        <f>IFERROR(__xludf.DUMMYFUNCTION("""COMPUTED_VALUE"""),38285.0)</f>
        <v>38285</v>
      </c>
      <c r="I350" t="str">
        <f>IFERROR(__xludf.DUMMYFUNCTION("""COMPUTED_VALUE"""),"06/18")</f>
        <v>06/18</v>
      </c>
      <c r="J350" s="5">
        <f>IFERROR(__xludf.DUMMYFUNCTION("""COMPUTED_VALUE"""),43302.0)</f>
        <v>43302</v>
      </c>
      <c r="K350">
        <f>IFERROR(__xludf.DUMMYFUNCTION("""COMPUTED_VALUE"""),9.0)</f>
        <v>9</v>
      </c>
      <c r="L350">
        <f>IFERROR(__xludf.DUMMYFUNCTION("""COMPUTED_VALUE"""),15.0)</f>
        <v>15</v>
      </c>
      <c r="M350">
        <f>IFERROR(__xludf.DUMMYFUNCTION("""COMPUTED_VALUE"""),24.0)</f>
        <v>24</v>
      </c>
      <c r="N350" t="str">
        <f>IFERROR(__xludf.DUMMYFUNCTION("""COMPUTED_VALUE"""),"Model 3 LR")</f>
        <v>Model 3 LR</v>
      </c>
      <c r="O350" t="str">
        <f>IFERROR(__xludf.DUMMYFUNCTION("""COMPUTED_VALUE"""),"Midnight Silver Metallic")</f>
        <v>Midnight Silver Metallic</v>
      </c>
      <c r="P350" t="str">
        <f>IFERROR(__xludf.DUMMYFUNCTION("""COMPUTED_VALUE"""),"18 inch Aero")</f>
        <v>18 inch Aero</v>
      </c>
      <c r="Q350" t="str">
        <f>IFERROR(__xludf.DUMMYFUNCTION("""COMPUTED_VALUE"""),"Black seats")</f>
        <v>Black seats</v>
      </c>
      <c r="R350" t="str">
        <f>IFERROR(__xludf.DUMMYFUNCTION("""COMPUTED_VALUE"""),"None")</f>
        <v>None</v>
      </c>
      <c r="X350" t="str">
        <f>IFERROR(__xludf.DUMMYFUNCTION("""COMPUTED_VALUE"""),"Excellent")</f>
        <v>Excellent</v>
      </c>
      <c r="Y350" t="str">
        <f>IFERROR(__xludf.DUMMYFUNCTION("""COMPUTED_VALUE"""),"Excellent")</f>
        <v>Excellent</v>
      </c>
      <c r="Z350" t="str">
        <f>IFERROR(__xludf.DUMMYFUNCTION("""COMPUTED_VALUE"""),"Very Good")</f>
        <v>Very Good</v>
      </c>
      <c r="AA350" t="str">
        <f>IFERROR(__xludf.DUMMYFUNCTION("""COMPUTED_VALUE"""),"Good")</f>
        <v>Good</v>
      </c>
      <c r="AB350" t="str">
        <f>IFERROR(__xludf.DUMMYFUNCTION("""COMPUTED_VALUE"""),"Very Good")</f>
        <v>Very Good</v>
      </c>
      <c r="AH350" s="189">
        <f>IFERROR(__xludf.DUMMYFUNCTION("""COMPUTED_VALUE"""),43306.64586427083)</f>
        <v>43306.64586</v>
      </c>
    </row>
    <row r="351">
      <c r="A351" t="str">
        <f>IFERROR(__xludf.DUMMYFUNCTION("""COMPUTED_VALUE"""),"superdullboy")</f>
        <v>superdullboy</v>
      </c>
      <c r="B351" t="str">
        <f>IFERROR(__xludf.DUMMYFUNCTION("""COMPUTED_VALUE"""),"Phoenix")</f>
        <v>Phoenix</v>
      </c>
      <c r="C351" t="str">
        <f>IFERROR(__xludf.DUMMYFUNCTION("""COMPUTED_VALUE"""),"AZ")</f>
        <v>AZ</v>
      </c>
      <c r="D351" t="str">
        <f>IFERROR(__xludf.DUMMYFUNCTION("""COMPUTED_VALUE"""),"USA")</f>
        <v>USA</v>
      </c>
      <c r="E351" s="188">
        <f>IFERROR(__xludf.DUMMYFUNCTION("""COMPUTED_VALUE"""),43301.0)</f>
        <v>43301</v>
      </c>
      <c r="F351" s="188">
        <f>IFERROR(__xludf.DUMMYFUNCTION("""COMPUTED_VALUE"""),43304.0)</f>
        <v>43304</v>
      </c>
      <c r="H351">
        <f>IFERROR(__xludf.DUMMYFUNCTION("""COMPUTED_VALUE"""),50908.0)</f>
        <v>50908</v>
      </c>
      <c r="I351" t="str">
        <f>IFERROR(__xludf.DUMMYFUNCTION("""COMPUTED_VALUE"""),"07/18")</f>
        <v>07/18</v>
      </c>
      <c r="J351" s="5">
        <f>IFERROR(__xludf.DUMMYFUNCTION("""COMPUTED_VALUE"""),43306.0)</f>
        <v>43306</v>
      </c>
      <c r="K351">
        <f>IFERROR(__xludf.DUMMYFUNCTION("""COMPUTED_VALUE"""),3.0)</f>
        <v>3</v>
      </c>
      <c r="L351">
        <f>IFERROR(__xludf.DUMMYFUNCTION("""COMPUTED_VALUE"""),2.0)</f>
        <v>2</v>
      </c>
      <c r="M351">
        <f>IFERROR(__xludf.DUMMYFUNCTION("""COMPUTED_VALUE"""),5.0)</f>
        <v>5</v>
      </c>
      <c r="N351" t="str">
        <f>IFERROR(__xludf.DUMMYFUNCTION("""COMPUTED_VALUE"""),"Model 3 LR")</f>
        <v>Model 3 LR</v>
      </c>
      <c r="O351" t="str">
        <f>IFERROR(__xludf.DUMMYFUNCTION("""COMPUTED_VALUE"""),"Silver Metallic")</f>
        <v>Silver Metallic</v>
      </c>
      <c r="P351" t="str">
        <f>IFERROR(__xludf.DUMMYFUNCTION("""COMPUTED_VALUE"""),"19 inch Sport")</f>
        <v>19 inch Sport</v>
      </c>
      <c r="Q351" t="str">
        <f>IFERROR(__xludf.DUMMYFUNCTION("""COMPUTED_VALUE"""),"Black seats")</f>
        <v>Black seats</v>
      </c>
      <c r="R351" t="str">
        <f>IFERROR(__xludf.DUMMYFUNCTION("""COMPUTED_VALUE"""),"Full Self-Driving")</f>
        <v>Full Self-Driving</v>
      </c>
      <c r="X351" t="str">
        <f>IFERROR(__xludf.DUMMYFUNCTION("""COMPUTED_VALUE"""),"Excellent")</f>
        <v>Excellent</v>
      </c>
      <c r="Y351" t="str">
        <f>IFERROR(__xludf.DUMMYFUNCTION("""COMPUTED_VALUE"""),"Excellent")</f>
        <v>Excellent</v>
      </c>
      <c r="Z351" t="str">
        <f>IFERROR(__xludf.DUMMYFUNCTION("""COMPUTED_VALUE"""),"Excellent")</f>
        <v>Excellent</v>
      </c>
      <c r="AA351" t="str">
        <f>IFERROR(__xludf.DUMMYFUNCTION("""COMPUTED_VALUE"""),"Good")</f>
        <v>Good</v>
      </c>
      <c r="AB351" t="str">
        <f>IFERROR(__xludf.DUMMYFUNCTION("""COMPUTED_VALUE"""),"Fair")</f>
        <v>Fair</v>
      </c>
      <c r="AH351" s="189">
        <f>IFERROR(__xludf.DUMMYFUNCTION("""COMPUTED_VALUE"""),43306.669378402774)</f>
        <v>43306.66938</v>
      </c>
    </row>
    <row r="352">
      <c r="A352" t="str">
        <f>IFERROR(__xludf.DUMMYFUNCTION("""COMPUTED_VALUE"""),"malaea")</f>
        <v>malaea</v>
      </c>
      <c r="C352" t="str">
        <f>IFERROR(__xludf.DUMMYFUNCTION("""COMPUTED_VALUE"""),"CA")</f>
        <v>CA</v>
      </c>
      <c r="D352" t="str">
        <f>IFERROR(__xludf.DUMMYFUNCTION("""COMPUTED_VALUE"""),"USA")</f>
        <v>USA</v>
      </c>
      <c r="E352" s="188">
        <f>IFERROR(__xludf.DUMMYFUNCTION("""COMPUTED_VALUE"""),43279.0)</f>
        <v>43279</v>
      </c>
      <c r="F352" s="188">
        <f>IFERROR(__xludf.DUMMYFUNCTION("""COMPUTED_VALUE"""),43298.0)</f>
        <v>43298</v>
      </c>
      <c r="H352">
        <f>IFERROR(__xludf.DUMMYFUNCTION("""COMPUTED_VALUE"""),51955.0)</f>
        <v>51955</v>
      </c>
      <c r="I352" t="str">
        <f>IFERROR(__xludf.DUMMYFUNCTION("""COMPUTED_VALUE"""),"07/18")</f>
        <v>07/18</v>
      </c>
      <c r="J352" s="5">
        <f>IFERROR(__xludf.DUMMYFUNCTION("""COMPUTED_VALUE"""),43305.0)</f>
        <v>43305</v>
      </c>
      <c r="K352">
        <f>IFERROR(__xludf.DUMMYFUNCTION("""COMPUTED_VALUE"""),19.0)</f>
        <v>19</v>
      </c>
      <c r="L352">
        <f>IFERROR(__xludf.DUMMYFUNCTION("""COMPUTED_VALUE"""),7.0)</f>
        <v>7</v>
      </c>
      <c r="M352">
        <f>IFERROR(__xludf.DUMMYFUNCTION("""COMPUTED_VALUE"""),26.0)</f>
        <v>26</v>
      </c>
      <c r="N352" t="str">
        <f>IFERROR(__xludf.DUMMYFUNCTION("""COMPUTED_VALUE"""),"Model 3 LR")</f>
        <v>Model 3 LR</v>
      </c>
      <c r="O352" t="str">
        <f>IFERROR(__xludf.DUMMYFUNCTION("""COMPUTED_VALUE"""),"Midnight Silver Metallic")</f>
        <v>Midnight Silver Metallic</v>
      </c>
      <c r="P352" t="str">
        <f>IFERROR(__xludf.DUMMYFUNCTION("""COMPUTED_VALUE"""),"18 inch Aero")</f>
        <v>18 inch Aero</v>
      </c>
      <c r="Q352" t="str">
        <f>IFERROR(__xludf.DUMMYFUNCTION("""COMPUTED_VALUE"""),"Black seats")</f>
        <v>Black seats</v>
      </c>
      <c r="R352" t="str">
        <f>IFERROR(__xludf.DUMMYFUNCTION("""COMPUTED_VALUE"""),"Enhanced Autopilot")</f>
        <v>Enhanced Autopilot</v>
      </c>
      <c r="X352" t="str">
        <f>IFERROR(__xludf.DUMMYFUNCTION("""COMPUTED_VALUE"""),"Excellent")</f>
        <v>Excellent</v>
      </c>
      <c r="Y352" t="str">
        <f>IFERROR(__xludf.DUMMYFUNCTION("""COMPUTED_VALUE"""),"Excellent")</f>
        <v>Excellent</v>
      </c>
      <c r="Z352" t="str">
        <f>IFERROR(__xludf.DUMMYFUNCTION("""COMPUTED_VALUE"""),"Fair")</f>
        <v>Fair</v>
      </c>
      <c r="AA352" t="str">
        <f>IFERROR(__xludf.DUMMYFUNCTION("""COMPUTED_VALUE"""),"Excellent")</f>
        <v>Excellent</v>
      </c>
      <c r="AB352" t="str">
        <f>IFERROR(__xludf.DUMMYFUNCTION("""COMPUTED_VALUE"""),"Excellent")</f>
        <v>Excellent</v>
      </c>
      <c r="AC352">
        <f>IFERROR(__xludf.DUMMYFUNCTION("""COMPUTED_VALUE"""),2.0)</f>
        <v>2</v>
      </c>
      <c r="AH352" s="189">
        <f>IFERROR(__xludf.DUMMYFUNCTION("""COMPUTED_VALUE"""),43306.8153112963)</f>
        <v>43306.81531</v>
      </c>
    </row>
    <row r="353">
      <c r="A353" t="str">
        <f>IFERROR(__xludf.DUMMYFUNCTION("""COMPUTED_VALUE"""),"Christophe")</f>
        <v>Christophe</v>
      </c>
      <c r="B353" t="str">
        <f>IFERROR(__xludf.DUMMYFUNCTION("""COMPUTED_VALUE"""),"Atlanta")</f>
        <v>Atlanta</v>
      </c>
      <c r="C353" t="str">
        <f>IFERROR(__xludf.DUMMYFUNCTION("""COMPUTED_VALUE"""),"GA")</f>
        <v>GA</v>
      </c>
      <c r="D353" t="str">
        <f>IFERROR(__xludf.DUMMYFUNCTION("""COMPUTED_VALUE"""),"USA")</f>
        <v>USA</v>
      </c>
      <c r="E353" s="188">
        <f>IFERROR(__xludf.DUMMYFUNCTION("""COMPUTED_VALUE"""),43290.0)</f>
        <v>43290</v>
      </c>
      <c r="F353" s="188">
        <f>IFERROR(__xludf.DUMMYFUNCTION("""COMPUTED_VALUE"""),43304.0)</f>
        <v>43304</v>
      </c>
      <c r="H353">
        <f>IFERROR(__xludf.DUMMYFUNCTION("""COMPUTED_VALUE"""),33558.0)</f>
        <v>33558</v>
      </c>
      <c r="I353" t="str">
        <f>IFERROR(__xludf.DUMMYFUNCTION("""COMPUTED_VALUE"""),"06/18")</f>
        <v>06/18</v>
      </c>
      <c r="J353" s="5">
        <f>IFERROR(__xludf.DUMMYFUNCTION("""COMPUTED_VALUE"""),43306.0)</f>
        <v>43306</v>
      </c>
      <c r="K353">
        <f>IFERROR(__xludf.DUMMYFUNCTION("""COMPUTED_VALUE"""),14.0)</f>
        <v>14</v>
      </c>
      <c r="L353">
        <f>IFERROR(__xludf.DUMMYFUNCTION("""COMPUTED_VALUE"""),2.0)</f>
        <v>2</v>
      </c>
      <c r="M353">
        <f>IFERROR(__xludf.DUMMYFUNCTION("""COMPUTED_VALUE"""),16.0)</f>
        <v>16</v>
      </c>
      <c r="N353" t="str">
        <f>IFERROR(__xludf.DUMMYFUNCTION("""COMPUTED_VALUE"""),"Model 3 LR")</f>
        <v>Model 3 LR</v>
      </c>
      <c r="O353" t="str">
        <f>IFERROR(__xludf.DUMMYFUNCTION("""COMPUTED_VALUE"""),"Midnight Silver Metallic")</f>
        <v>Midnight Silver Metallic</v>
      </c>
      <c r="P353" t="str">
        <f>IFERROR(__xludf.DUMMYFUNCTION("""COMPUTED_VALUE"""),"18 inch Aero")</f>
        <v>18 inch Aero</v>
      </c>
      <c r="Q353" t="str">
        <f>IFERROR(__xludf.DUMMYFUNCTION("""COMPUTED_VALUE"""),"Black seats")</f>
        <v>Black seats</v>
      </c>
      <c r="R353" t="str">
        <f>IFERROR(__xludf.DUMMYFUNCTION("""COMPUTED_VALUE"""),"Enhanced Autopilot")</f>
        <v>Enhanced Autopilot</v>
      </c>
      <c r="X353" t="str">
        <f>IFERROR(__xludf.DUMMYFUNCTION("""COMPUTED_VALUE"""),"Very Good")</f>
        <v>Very Good</v>
      </c>
      <c r="Y353" t="str">
        <f>IFERROR(__xludf.DUMMYFUNCTION("""COMPUTED_VALUE"""),"Very Good")</f>
        <v>Very Good</v>
      </c>
      <c r="Z353" t="str">
        <f>IFERROR(__xludf.DUMMYFUNCTION("""COMPUTED_VALUE"""),"Very Good")</f>
        <v>Very Good</v>
      </c>
      <c r="AA353" t="str">
        <f>IFERROR(__xludf.DUMMYFUNCTION("""COMPUTED_VALUE"""),"Good")</f>
        <v>Good</v>
      </c>
      <c r="AB353" t="str">
        <f>IFERROR(__xludf.DUMMYFUNCTION("""COMPUTED_VALUE"""),"Poor")</f>
        <v>Poor</v>
      </c>
      <c r="AH353" s="189">
        <f>IFERROR(__xludf.DUMMYFUNCTION("""COMPUTED_VALUE"""),43306.834304143515)</f>
        <v>43306.8343</v>
      </c>
    </row>
    <row r="354">
      <c r="A354" t="str">
        <f>IFERROR(__xludf.DUMMYFUNCTION("""COMPUTED_VALUE"""),"everman")</f>
        <v>everman</v>
      </c>
      <c r="B354" t="str">
        <f>IFERROR(__xludf.DUMMYFUNCTION("""COMPUTED_VALUE"""),"Colorado Springs")</f>
        <v>Colorado Springs</v>
      </c>
      <c r="C354" t="str">
        <f>IFERROR(__xludf.DUMMYFUNCTION("""COMPUTED_VALUE"""),"CO")</f>
        <v>CO</v>
      </c>
      <c r="D354" t="str">
        <f>IFERROR(__xludf.DUMMYFUNCTION("""COMPUTED_VALUE"""),"USA")</f>
        <v>USA</v>
      </c>
      <c r="E354" s="188">
        <f>IFERROR(__xludf.DUMMYFUNCTION("""COMPUTED_VALUE"""),43153.0)</f>
        <v>43153</v>
      </c>
      <c r="F354" s="188">
        <f>IFERROR(__xludf.DUMMYFUNCTION("""COMPUTED_VALUE"""),43188.0)</f>
        <v>43188</v>
      </c>
      <c r="H354">
        <f>IFERROR(__xludf.DUMMYFUNCTION("""COMPUTED_VALUE"""),8652.0)</f>
        <v>8652</v>
      </c>
      <c r="I354" t="str">
        <f>IFERROR(__xludf.DUMMYFUNCTION("""COMPUTED_VALUE"""),"03/18")</f>
        <v>03/18</v>
      </c>
      <c r="J354" s="5">
        <f>IFERROR(__xludf.DUMMYFUNCTION("""COMPUTED_VALUE"""),43196.0)</f>
        <v>43196</v>
      </c>
      <c r="K354">
        <f>IFERROR(__xludf.DUMMYFUNCTION("""COMPUTED_VALUE"""),35.0)</f>
        <v>35</v>
      </c>
      <c r="L354">
        <f>IFERROR(__xludf.DUMMYFUNCTION("""COMPUTED_VALUE"""),8.0)</f>
        <v>8</v>
      </c>
      <c r="M354">
        <f>IFERROR(__xludf.DUMMYFUNCTION("""COMPUTED_VALUE"""),43.0)</f>
        <v>43</v>
      </c>
      <c r="N354" t="str">
        <f>IFERROR(__xludf.DUMMYFUNCTION("""COMPUTED_VALUE"""),"Model 3 LR")</f>
        <v>Model 3 LR</v>
      </c>
      <c r="O354" t="str">
        <f>IFERROR(__xludf.DUMMYFUNCTION("""COMPUTED_VALUE"""),"Midnight Silver Metallic")</f>
        <v>Midnight Silver Metallic</v>
      </c>
      <c r="P354" t="str">
        <f>IFERROR(__xludf.DUMMYFUNCTION("""COMPUTED_VALUE"""),"18 inch Aero")</f>
        <v>18 inch Aero</v>
      </c>
      <c r="Q354" t="str">
        <f>IFERROR(__xludf.DUMMYFUNCTION("""COMPUTED_VALUE"""),"Black seats")</f>
        <v>Black seats</v>
      </c>
      <c r="R354" t="str">
        <f>IFERROR(__xludf.DUMMYFUNCTION("""COMPUTED_VALUE"""),"Full Self-Driving")</f>
        <v>Full Self-Driving</v>
      </c>
      <c r="X354" t="str">
        <f>IFERROR(__xludf.DUMMYFUNCTION("""COMPUTED_VALUE"""),"Very Good")</f>
        <v>Very Good</v>
      </c>
      <c r="Y354" t="str">
        <f>IFERROR(__xludf.DUMMYFUNCTION("""COMPUTED_VALUE"""),"Very Good")</f>
        <v>Very Good</v>
      </c>
      <c r="Z354" t="str">
        <f>IFERROR(__xludf.DUMMYFUNCTION("""COMPUTED_VALUE"""),"Excellent")</f>
        <v>Excellent</v>
      </c>
      <c r="AA354" t="str">
        <f>IFERROR(__xludf.DUMMYFUNCTION("""COMPUTED_VALUE"""),"Excellent")</f>
        <v>Excellent</v>
      </c>
      <c r="AB354" t="str">
        <f>IFERROR(__xludf.DUMMYFUNCTION("""COMPUTED_VALUE"""),"Very Good")</f>
        <v>Very Good</v>
      </c>
      <c r="AC354">
        <f>IFERROR(__xludf.DUMMYFUNCTION("""COMPUTED_VALUE"""),2.0)</f>
        <v>2</v>
      </c>
      <c r="AD354">
        <f>IFERROR(__xludf.DUMMYFUNCTION("""COMPUTED_VALUE"""),1.0)</f>
        <v>1</v>
      </c>
      <c r="AE354">
        <f>IFERROR(__xludf.DUMMYFUNCTION("""COMPUTED_VALUE"""),0.0)</f>
        <v>0</v>
      </c>
      <c r="AH354" s="189">
        <f>IFERROR(__xludf.DUMMYFUNCTION("""COMPUTED_VALUE"""),43307.0067834375)</f>
        <v>43307.00678</v>
      </c>
    </row>
    <row r="355">
      <c r="A355" t="str">
        <f>IFERROR(__xludf.DUMMYFUNCTION("""COMPUTED_VALUE"""),"wjming")</f>
        <v>wjming</v>
      </c>
      <c r="C355" t="str">
        <f>IFERROR(__xludf.DUMMYFUNCTION("""COMPUTED_VALUE"""),"CA")</f>
        <v>CA</v>
      </c>
      <c r="D355" t="str">
        <f>IFERROR(__xludf.DUMMYFUNCTION("""COMPUTED_VALUE"""),"USA")</f>
        <v>USA</v>
      </c>
      <c r="E355" s="188">
        <f>IFERROR(__xludf.DUMMYFUNCTION("""COMPUTED_VALUE"""),43278.0)</f>
        <v>43278</v>
      </c>
      <c r="F355" s="188">
        <f>IFERROR(__xludf.DUMMYFUNCTION("""COMPUTED_VALUE"""),43294.0)</f>
        <v>43294</v>
      </c>
      <c r="H355">
        <f>IFERROR(__xludf.DUMMYFUNCTION("""COMPUTED_VALUE"""),41455.0)</f>
        <v>41455</v>
      </c>
      <c r="J355" s="5">
        <f>IFERROR(__xludf.DUMMYFUNCTION("""COMPUTED_VALUE"""),43301.0)</f>
        <v>43301</v>
      </c>
      <c r="K355">
        <f>IFERROR(__xludf.DUMMYFUNCTION("""COMPUTED_VALUE"""),16.0)</f>
        <v>16</v>
      </c>
      <c r="L355">
        <f>IFERROR(__xludf.DUMMYFUNCTION("""COMPUTED_VALUE"""),7.0)</f>
        <v>7</v>
      </c>
      <c r="M355">
        <f>IFERROR(__xludf.DUMMYFUNCTION("""COMPUTED_VALUE"""),23.0)</f>
        <v>23</v>
      </c>
      <c r="N355" t="str">
        <f>IFERROR(__xludf.DUMMYFUNCTION("""COMPUTED_VALUE"""),"Model 3 LR")</f>
        <v>Model 3 LR</v>
      </c>
      <c r="O355" t="str">
        <f>IFERROR(__xludf.DUMMYFUNCTION("""COMPUTED_VALUE"""),"Solid Black")</f>
        <v>Solid Black</v>
      </c>
      <c r="P355" t="str">
        <f>IFERROR(__xludf.DUMMYFUNCTION("""COMPUTED_VALUE"""),"18 inch Aero")</f>
        <v>18 inch Aero</v>
      </c>
      <c r="Q355" t="str">
        <f>IFERROR(__xludf.DUMMYFUNCTION("""COMPUTED_VALUE"""),"Black seats")</f>
        <v>Black seats</v>
      </c>
      <c r="R355" t="str">
        <f>IFERROR(__xludf.DUMMYFUNCTION("""COMPUTED_VALUE"""),"None")</f>
        <v>None</v>
      </c>
      <c r="X355" t="str">
        <f>IFERROR(__xludf.DUMMYFUNCTION("""COMPUTED_VALUE"""),"Very Good")</f>
        <v>Very Good</v>
      </c>
      <c r="Y355" t="str">
        <f>IFERROR(__xludf.DUMMYFUNCTION("""COMPUTED_VALUE"""),"Very Good")</f>
        <v>Very Good</v>
      </c>
      <c r="Z355" t="str">
        <f>IFERROR(__xludf.DUMMYFUNCTION("""COMPUTED_VALUE"""),"Good")</f>
        <v>Good</v>
      </c>
      <c r="AA355" t="str">
        <f>IFERROR(__xludf.DUMMYFUNCTION("""COMPUTED_VALUE"""),"Very Good")</f>
        <v>Very Good</v>
      </c>
      <c r="AB355" t="str">
        <f>IFERROR(__xludf.DUMMYFUNCTION("""COMPUTED_VALUE"""),"Very Good")</f>
        <v>Very Good</v>
      </c>
      <c r="AH355" s="189">
        <f>IFERROR(__xludf.DUMMYFUNCTION("""COMPUTED_VALUE"""),43307.489445370375)</f>
        <v>43307.48945</v>
      </c>
    </row>
    <row r="356">
      <c r="A356" t="str">
        <f>IFERROR(__xludf.DUMMYFUNCTION("""COMPUTED_VALUE"""),"Cmonyouknowme")</f>
        <v>Cmonyouknowme</v>
      </c>
      <c r="B356" t="str">
        <f>IFERROR(__xludf.DUMMYFUNCTION("""COMPUTED_VALUE"""),"Carrollton")</f>
        <v>Carrollton</v>
      </c>
      <c r="C356" t="str">
        <f>IFERROR(__xludf.DUMMYFUNCTION("""COMPUTED_VALUE"""),"TX")</f>
        <v>TX</v>
      </c>
      <c r="D356" t="str">
        <f>IFERROR(__xludf.DUMMYFUNCTION("""COMPUTED_VALUE"""),"USA")</f>
        <v>USA</v>
      </c>
      <c r="E356" s="188">
        <f>IFERROR(__xludf.DUMMYFUNCTION("""COMPUTED_VALUE"""),43258.0)</f>
        <v>43258</v>
      </c>
      <c r="F356" s="188">
        <f>IFERROR(__xludf.DUMMYFUNCTION("""COMPUTED_VALUE"""),43277.0)</f>
        <v>43277</v>
      </c>
      <c r="H356">
        <f>IFERROR(__xludf.DUMMYFUNCTION("""COMPUTED_VALUE"""),31455.0)</f>
        <v>31455</v>
      </c>
      <c r="I356" t="str">
        <f>IFERROR(__xludf.DUMMYFUNCTION("""COMPUTED_VALUE"""),"06/18")</f>
        <v>06/18</v>
      </c>
      <c r="J356" s="5">
        <f>IFERROR(__xludf.DUMMYFUNCTION("""COMPUTED_VALUE"""),43301.0)</f>
        <v>43301</v>
      </c>
      <c r="K356">
        <f>IFERROR(__xludf.DUMMYFUNCTION("""COMPUTED_VALUE"""),19.0)</f>
        <v>19</v>
      </c>
      <c r="L356">
        <f>IFERROR(__xludf.DUMMYFUNCTION("""COMPUTED_VALUE"""),24.0)</f>
        <v>24</v>
      </c>
      <c r="M356">
        <f>IFERROR(__xludf.DUMMYFUNCTION("""COMPUTED_VALUE"""),43.0)</f>
        <v>43</v>
      </c>
      <c r="N356" t="str">
        <f>IFERROR(__xludf.DUMMYFUNCTION("""COMPUTED_VALUE"""),"Model 3 LR")</f>
        <v>Model 3 LR</v>
      </c>
      <c r="O356" t="str">
        <f>IFERROR(__xludf.DUMMYFUNCTION("""COMPUTED_VALUE"""),"Midnight Silver Metallic")</f>
        <v>Midnight Silver Metallic</v>
      </c>
      <c r="P356" t="str">
        <f>IFERROR(__xludf.DUMMYFUNCTION("""COMPUTED_VALUE"""),"18 inch Aero")</f>
        <v>18 inch Aero</v>
      </c>
      <c r="Q356" t="str">
        <f>IFERROR(__xludf.DUMMYFUNCTION("""COMPUTED_VALUE"""),"Black seats")</f>
        <v>Black seats</v>
      </c>
      <c r="R356" t="str">
        <f>IFERROR(__xludf.DUMMYFUNCTION("""COMPUTED_VALUE"""),"None")</f>
        <v>None</v>
      </c>
      <c r="X356" t="str">
        <f>IFERROR(__xludf.DUMMYFUNCTION("""COMPUTED_VALUE"""),"Excellent")</f>
        <v>Excellent</v>
      </c>
      <c r="Y356" t="str">
        <f>IFERROR(__xludf.DUMMYFUNCTION("""COMPUTED_VALUE"""),"Excellent")</f>
        <v>Excellent</v>
      </c>
      <c r="Z356" t="str">
        <f>IFERROR(__xludf.DUMMYFUNCTION("""COMPUTED_VALUE"""),"Excellent")</f>
        <v>Excellent</v>
      </c>
      <c r="AA356" t="str">
        <f>IFERROR(__xludf.DUMMYFUNCTION("""COMPUTED_VALUE"""),"Excellent")</f>
        <v>Excellent</v>
      </c>
      <c r="AB356" t="str">
        <f>IFERROR(__xludf.DUMMYFUNCTION("""COMPUTED_VALUE"""),"Excellent")</f>
        <v>Excellent</v>
      </c>
      <c r="AH356" s="189">
        <f>IFERROR(__xludf.DUMMYFUNCTION("""COMPUTED_VALUE"""),43307.49488189815)</f>
        <v>43307.49488</v>
      </c>
    </row>
    <row r="357">
      <c r="A357" t="str">
        <f>IFERROR(__xludf.DUMMYFUNCTION("""COMPUTED_VALUE"""),"dysruptor")</f>
        <v>dysruptor</v>
      </c>
      <c r="B357" t="str">
        <f>IFERROR(__xludf.DUMMYFUNCTION("""COMPUTED_VALUE"""),"Greenville")</f>
        <v>Greenville</v>
      </c>
      <c r="C357" t="str">
        <f>IFERROR(__xludf.DUMMYFUNCTION("""COMPUTED_VALUE"""),"SC")</f>
        <v>SC</v>
      </c>
      <c r="D357" t="str">
        <f>IFERROR(__xludf.DUMMYFUNCTION("""COMPUTED_VALUE"""),"USA")</f>
        <v>USA</v>
      </c>
      <c r="E357" s="188">
        <f>IFERROR(__xludf.DUMMYFUNCTION("""COMPUTED_VALUE"""),43280.0)</f>
        <v>43280</v>
      </c>
      <c r="F357" s="188">
        <f>IFERROR(__xludf.DUMMYFUNCTION("""COMPUTED_VALUE"""),43290.0)</f>
        <v>43290</v>
      </c>
      <c r="H357">
        <f>IFERROR(__xludf.DUMMYFUNCTION("""COMPUTED_VALUE"""),24215.0)</f>
        <v>24215</v>
      </c>
      <c r="I357" t="str">
        <f>IFERROR(__xludf.DUMMYFUNCTION("""COMPUTED_VALUE"""),"06/18")</f>
        <v>06/18</v>
      </c>
      <c r="J357" s="5">
        <f>IFERROR(__xludf.DUMMYFUNCTION("""COMPUTED_VALUE"""),43305.0)</f>
        <v>43305</v>
      </c>
      <c r="K357">
        <f>IFERROR(__xludf.DUMMYFUNCTION("""COMPUTED_VALUE"""),10.0)</f>
        <v>10</v>
      </c>
      <c r="L357">
        <f>IFERROR(__xludf.DUMMYFUNCTION("""COMPUTED_VALUE"""),15.0)</f>
        <v>15</v>
      </c>
      <c r="M357">
        <f>IFERROR(__xludf.DUMMYFUNCTION("""COMPUTED_VALUE"""),25.0)</f>
        <v>25</v>
      </c>
      <c r="N357" t="str">
        <f>IFERROR(__xludf.DUMMYFUNCTION("""COMPUTED_VALUE"""),"Model 3 LR")</f>
        <v>Model 3 LR</v>
      </c>
      <c r="O357" t="str">
        <f>IFERROR(__xludf.DUMMYFUNCTION("""COMPUTED_VALUE"""),"Midnight Silver Metallic")</f>
        <v>Midnight Silver Metallic</v>
      </c>
      <c r="P357" t="str">
        <f>IFERROR(__xludf.DUMMYFUNCTION("""COMPUTED_VALUE"""),"19 inch Sport")</f>
        <v>19 inch Sport</v>
      </c>
      <c r="Q357" t="str">
        <f>IFERROR(__xludf.DUMMYFUNCTION("""COMPUTED_VALUE"""),"Black seats")</f>
        <v>Black seats</v>
      </c>
      <c r="R357" t="str">
        <f>IFERROR(__xludf.DUMMYFUNCTION("""COMPUTED_VALUE"""),"Enhanced Autopilot")</f>
        <v>Enhanced Autopilot</v>
      </c>
      <c r="X357" t="str">
        <f>IFERROR(__xludf.DUMMYFUNCTION("""COMPUTED_VALUE"""),"Good")</f>
        <v>Good</v>
      </c>
      <c r="Y357" t="str">
        <f>IFERROR(__xludf.DUMMYFUNCTION("""COMPUTED_VALUE"""),"Excellent")</f>
        <v>Excellent</v>
      </c>
      <c r="Z357" t="str">
        <f>IFERROR(__xludf.DUMMYFUNCTION("""COMPUTED_VALUE"""),"Fair")</f>
        <v>Fair</v>
      </c>
      <c r="AA357" t="str">
        <f>IFERROR(__xludf.DUMMYFUNCTION("""COMPUTED_VALUE"""),"Fair")</f>
        <v>Fair</v>
      </c>
      <c r="AB357" t="str">
        <f>IFERROR(__xludf.DUMMYFUNCTION("""COMPUTED_VALUE"""),"Very Good")</f>
        <v>Very Good</v>
      </c>
      <c r="AC357">
        <f>IFERROR(__xludf.DUMMYFUNCTION("""COMPUTED_VALUE"""),3.0)</f>
        <v>3</v>
      </c>
      <c r="AD357">
        <f>IFERROR(__xludf.DUMMYFUNCTION("""COMPUTED_VALUE"""),1.0)</f>
        <v>1</v>
      </c>
      <c r="AH357" s="189">
        <f>IFERROR(__xludf.DUMMYFUNCTION("""COMPUTED_VALUE"""),43307.649099409726)</f>
        <v>43307.6491</v>
      </c>
    </row>
    <row r="358">
      <c r="A358" t="str">
        <f>IFERROR(__xludf.DUMMYFUNCTION("""COMPUTED_VALUE"""),"Darkrevo")</f>
        <v>Darkrevo</v>
      </c>
      <c r="B358" t="str">
        <f>IFERROR(__xludf.DUMMYFUNCTION("""COMPUTED_VALUE"""),"Orange County")</f>
        <v>Orange County</v>
      </c>
      <c r="C358" t="str">
        <f>IFERROR(__xludf.DUMMYFUNCTION("""COMPUTED_VALUE"""),"CA")</f>
        <v>CA</v>
      </c>
      <c r="D358" t="str">
        <f>IFERROR(__xludf.DUMMYFUNCTION("""COMPUTED_VALUE"""),"USA")</f>
        <v>USA</v>
      </c>
      <c r="E358" s="188">
        <f>IFERROR(__xludf.DUMMYFUNCTION("""COMPUTED_VALUE"""),43278.0)</f>
        <v>43278</v>
      </c>
      <c r="F358" s="188">
        <f>IFERROR(__xludf.DUMMYFUNCTION("""COMPUTED_VALUE"""),43283.0)</f>
        <v>43283</v>
      </c>
      <c r="H358">
        <f>IFERROR(__xludf.DUMMYFUNCTION("""COMPUTED_VALUE"""),36955.0)</f>
        <v>36955</v>
      </c>
      <c r="I358" t="str">
        <f>IFERROR(__xludf.DUMMYFUNCTION("""COMPUTED_VALUE"""),"06/18")</f>
        <v>06/18</v>
      </c>
      <c r="J358" s="5">
        <f>IFERROR(__xludf.DUMMYFUNCTION("""COMPUTED_VALUE"""),43295.0)</f>
        <v>43295</v>
      </c>
      <c r="K358">
        <f>IFERROR(__xludf.DUMMYFUNCTION("""COMPUTED_VALUE"""),5.0)</f>
        <v>5</v>
      </c>
      <c r="L358">
        <f>IFERROR(__xludf.DUMMYFUNCTION("""COMPUTED_VALUE"""),12.0)</f>
        <v>12</v>
      </c>
      <c r="M358">
        <f>IFERROR(__xludf.DUMMYFUNCTION("""COMPUTED_VALUE"""),17.0)</f>
        <v>17</v>
      </c>
      <c r="N358" t="str">
        <f>IFERROR(__xludf.DUMMYFUNCTION("""COMPUTED_VALUE"""),"Model 3 LR")</f>
        <v>Model 3 LR</v>
      </c>
      <c r="O358" t="str">
        <f>IFERROR(__xludf.DUMMYFUNCTION("""COMPUTED_VALUE"""),"Deep Blue Metallic")</f>
        <v>Deep Blue Metallic</v>
      </c>
      <c r="P358" t="str">
        <f>IFERROR(__xludf.DUMMYFUNCTION("""COMPUTED_VALUE"""),"18 inch Aero")</f>
        <v>18 inch Aero</v>
      </c>
      <c r="Q358" t="str">
        <f>IFERROR(__xludf.DUMMYFUNCTION("""COMPUTED_VALUE"""),"Black seats")</f>
        <v>Black seats</v>
      </c>
      <c r="R358" t="str">
        <f>IFERROR(__xludf.DUMMYFUNCTION("""COMPUTED_VALUE"""),"Enhanced Autopilot")</f>
        <v>Enhanced Autopilot</v>
      </c>
      <c r="X358" t="str">
        <f>IFERROR(__xludf.DUMMYFUNCTION("""COMPUTED_VALUE"""),"Excellent")</f>
        <v>Excellent</v>
      </c>
      <c r="Y358" t="str">
        <f>IFERROR(__xludf.DUMMYFUNCTION("""COMPUTED_VALUE"""),"Excellent")</f>
        <v>Excellent</v>
      </c>
      <c r="Z358" t="str">
        <f>IFERROR(__xludf.DUMMYFUNCTION("""COMPUTED_VALUE"""),"Excellent")</f>
        <v>Excellent</v>
      </c>
      <c r="AA358" t="str">
        <f>IFERROR(__xludf.DUMMYFUNCTION("""COMPUTED_VALUE"""),"Good")</f>
        <v>Good</v>
      </c>
      <c r="AB358" t="str">
        <f>IFERROR(__xludf.DUMMYFUNCTION("""COMPUTED_VALUE"""),"Very Good")</f>
        <v>Very Good</v>
      </c>
      <c r="AC358">
        <f>IFERROR(__xludf.DUMMYFUNCTION("""COMPUTED_VALUE"""),0.0)</f>
        <v>0</v>
      </c>
      <c r="AD358">
        <f>IFERROR(__xludf.DUMMYFUNCTION("""COMPUTED_VALUE"""),0.0)</f>
        <v>0</v>
      </c>
      <c r="AE358">
        <f>IFERROR(__xludf.DUMMYFUNCTION("""COMPUTED_VALUE"""),0.0)</f>
        <v>0</v>
      </c>
      <c r="AH358" s="189">
        <f>IFERROR(__xludf.DUMMYFUNCTION("""COMPUTED_VALUE"""),43307.68822333333)</f>
        <v>43307.68822</v>
      </c>
    </row>
    <row r="359">
      <c r="A359" t="str">
        <f>IFERROR(__xludf.DUMMYFUNCTION("""COMPUTED_VALUE"""),"Dani")</f>
        <v>Dani</v>
      </c>
      <c r="B359" t="str">
        <f>IFERROR(__xludf.DUMMYFUNCTION("""COMPUTED_VALUE"""),"Toronto")</f>
        <v>Toronto</v>
      </c>
      <c r="C359" t="str">
        <f>IFERROR(__xludf.DUMMYFUNCTION("""COMPUTED_VALUE"""),"ON")</f>
        <v>ON</v>
      </c>
      <c r="D359" t="str">
        <f>IFERROR(__xludf.DUMMYFUNCTION("""COMPUTED_VALUE"""),"Canada")</f>
        <v>Canada</v>
      </c>
      <c r="E359" s="188">
        <f>IFERROR(__xludf.DUMMYFUNCTION("""COMPUTED_VALUE"""),43278.0)</f>
        <v>43278</v>
      </c>
      <c r="F359" s="188">
        <f>IFERROR(__xludf.DUMMYFUNCTION("""COMPUTED_VALUE"""),43278.0)</f>
        <v>43278</v>
      </c>
      <c r="H359">
        <f>IFERROR(__xludf.DUMMYFUNCTION("""COMPUTED_VALUE"""),35555.0)</f>
        <v>35555</v>
      </c>
      <c r="I359" t="str">
        <f>IFERROR(__xludf.DUMMYFUNCTION("""COMPUTED_VALUE"""),"05/18")</f>
        <v>05/18</v>
      </c>
      <c r="J359" s="5">
        <f>IFERROR(__xludf.DUMMYFUNCTION("""COMPUTED_VALUE"""),43302.0)</f>
        <v>43302</v>
      </c>
      <c r="K359">
        <f>IFERROR(__xludf.DUMMYFUNCTION("""COMPUTED_VALUE"""),0.0)</f>
        <v>0</v>
      </c>
      <c r="L359">
        <f>IFERROR(__xludf.DUMMYFUNCTION("""COMPUTED_VALUE"""),24.0)</f>
        <v>24</v>
      </c>
      <c r="M359">
        <f>IFERROR(__xludf.DUMMYFUNCTION("""COMPUTED_VALUE"""),24.0)</f>
        <v>24</v>
      </c>
      <c r="N359" t="str">
        <f>IFERROR(__xludf.DUMMYFUNCTION("""COMPUTED_VALUE"""),"Model 3 LR")</f>
        <v>Model 3 LR</v>
      </c>
      <c r="O359" t="str">
        <f>IFERROR(__xludf.DUMMYFUNCTION("""COMPUTED_VALUE"""),"Solid Black")</f>
        <v>Solid Black</v>
      </c>
      <c r="P359" t="str">
        <f>IFERROR(__xludf.DUMMYFUNCTION("""COMPUTED_VALUE"""),"19 inch Sport")</f>
        <v>19 inch Sport</v>
      </c>
      <c r="Q359" t="str">
        <f>IFERROR(__xludf.DUMMYFUNCTION("""COMPUTED_VALUE"""),"Black seats")</f>
        <v>Black seats</v>
      </c>
      <c r="R359" t="str">
        <f>IFERROR(__xludf.DUMMYFUNCTION("""COMPUTED_VALUE"""),"None")</f>
        <v>None</v>
      </c>
      <c r="X359" t="str">
        <f>IFERROR(__xludf.DUMMYFUNCTION("""COMPUTED_VALUE"""),"Excellent")</f>
        <v>Excellent</v>
      </c>
      <c r="Y359" t="str">
        <f>IFERROR(__xludf.DUMMYFUNCTION("""COMPUTED_VALUE"""),"Excellent")</f>
        <v>Excellent</v>
      </c>
      <c r="Z359" t="str">
        <f>IFERROR(__xludf.DUMMYFUNCTION("""COMPUTED_VALUE"""),"Excellent")</f>
        <v>Excellent</v>
      </c>
      <c r="AA359" t="str">
        <f>IFERROR(__xludf.DUMMYFUNCTION("""COMPUTED_VALUE"""),"Excellent")</f>
        <v>Excellent</v>
      </c>
      <c r="AB359" t="str">
        <f>IFERROR(__xludf.DUMMYFUNCTION("""COMPUTED_VALUE"""),"Excellent")</f>
        <v>Excellent</v>
      </c>
      <c r="AC359">
        <f>IFERROR(__xludf.DUMMYFUNCTION("""COMPUTED_VALUE"""),2.0)</f>
        <v>2</v>
      </c>
      <c r="AD359">
        <f>IFERROR(__xludf.DUMMYFUNCTION("""COMPUTED_VALUE"""),1.0)</f>
        <v>1</v>
      </c>
      <c r="AE359">
        <f>IFERROR(__xludf.DUMMYFUNCTION("""COMPUTED_VALUE"""),0.0)</f>
        <v>0</v>
      </c>
      <c r="AH359" s="189">
        <f>IFERROR(__xludf.DUMMYFUNCTION("""COMPUTED_VALUE"""),43307.84491731481)</f>
        <v>43307.84492</v>
      </c>
    </row>
    <row r="360">
      <c r="A360" t="str">
        <f>IFERROR(__xludf.DUMMYFUNCTION("""COMPUTED_VALUE"""),"Sealander")</f>
        <v>Sealander</v>
      </c>
      <c r="B360" t="str">
        <f>IFERROR(__xludf.DUMMYFUNCTION("""COMPUTED_VALUE"""),"Houston")</f>
        <v>Houston</v>
      </c>
      <c r="C360" t="str">
        <f>IFERROR(__xludf.DUMMYFUNCTION("""COMPUTED_VALUE"""),"TX")</f>
        <v>TX</v>
      </c>
      <c r="D360" t="str">
        <f>IFERROR(__xludf.DUMMYFUNCTION("""COMPUTED_VALUE"""),"USA")</f>
        <v>USA</v>
      </c>
      <c r="E360" s="188">
        <f>IFERROR(__xludf.DUMMYFUNCTION("""COMPUTED_VALUE"""),43278.0)</f>
        <v>43278</v>
      </c>
      <c r="F360" s="188">
        <f>IFERROR(__xludf.DUMMYFUNCTION("""COMPUTED_VALUE"""),43284.0)</f>
        <v>43284</v>
      </c>
      <c r="H360">
        <f>IFERROR(__xludf.DUMMYFUNCTION("""COMPUTED_VALUE"""),30723.0)</f>
        <v>30723</v>
      </c>
      <c r="I360" t="str">
        <f>IFERROR(__xludf.DUMMYFUNCTION("""COMPUTED_VALUE"""),"06/18")</f>
        <v>06/18</v>
      </c>
      <c r="J360" s="5">
        <f>IFERROR(__xludf.DUMMYFUNCTION("""COMPUTED_VALUE"""),43305.0)</f>
        <v>43305</v>
      </c>
      <c r="K360">
        <f>IFERROR(__xludf.DUMMYFUNCTION("""COMPUTED_VALUE"""),6.0)</f>
        <v>6</v>
      </c>
      <c r="L360">
        <f>IFERROR(__xludf.DUMMYFUNCTION("""COMPUTED_VALUE"""),21.0)</f>
        <v>21</v>
      </c>
      <c r="M360">
        <f>IFERROR(__xludf.DUMMYFUNCTION("""COMPUTED_VALUE"""),27.0)</f>
        <v>27</v>
      </c>
      <c r="N360" t="str">
        <f>IFERROR(__xludf.DUMMYFUNCTION("""COMPUTED_VALUE"""),"Model 3 LR")</f>
        <v>Model 3 LR</v>
      </c>
      <c r="O360" t="str">
        <f>IFERROR(__xludf.DUMMYFUNCTION("""COMPUTED_VALUE"""),"Red Multi-Coat")</f>
        <v>Red Multi-Coat</v>
      </c>
      <c r="P360" t="str">
        <f>IFERROR(__xludf.DUMMYFUNCTION("""COMPUTED_VALUE"""),"18 inch Aero")</f>
        <v>18 inch Aero</v>
      </c>
      <c r="Q360" t="str">
        <f>IFERROR(__xludf.DUMMYFUNCTION("""COMPUTED_VALUE"""),"Black seats")</f>
        <v>Black seats</v>
      </c>
      <c r="R360" t="str">
        <f>IFERROR(__xludf.DUMMYFUNCTION("""COMPUTED_VALUE"""),"Enhanced Autopilot")</f>
        <v>Enhanced Autopilot</v>
      </c>
      <c r="X360" t="str">
        <f>IFERROR(__xludf.DUMMYFUNCTION("""COMPUTED_VALUE"""),"Very Good")</f>
        <v>Very Good</v>
      </c>
      <c r="Y360" t="str">
        <f>IFERROR(__xludf.DUMMYFUNCTION("""COMPUTED_VALUE"""),"Very Good")</f>
        <v>Very Good</v>
      </c>
      <c r="Z360" t="str">
        <f>IFERROR(__xludf.DUMMYFUNCTION("""COMPUTED_VALUE"""),"Very Good")</f>
        <v>Very Good</v>
      </c>
      <c r="AA360" t="str">
        <f>IFERROR(__xludf.DUMMYFUNCTION("""COMPUTED_VALUE"""),"Fair")</f>
        <v>Fair</v>
      </c>
      <c r="AB360" t="str">
        <f>IFERROR(__xludf.DUMMYFUNCTION("""COMPUTED_VALUE"""),"Fair")</f>
        <v>Fair</v>
      </c>
      <c r="AH360" s="189">
        <f>IFERROR(__xludf.DUMMYFUNCTION("""COMPUTED_VALUE"""),43308.36844582176)</f>
        <v>43308.36845</v>
      </c>
    </row>
    <row r="361">
      <c r="A361" t="str">
        <f>IFERROR(__xludf.DUMMYFUNCTION("""COMPUTED_VALUE"""),"TKearns119")</f>
        <v>TKearns119</v>
      </c>
      <c r="B361" t="str">
        <f>IFERROR(__xludf.DUMMYFUNCTION("""COMPUTED_VALUE"""),"Cincinnati")</f>
        <v>Cincinnati</v>
      </c>
      <c r="C361" t="str">
        <f>IFERROR(__xludf.DUMMYFUNCTION("""COMPUTED_VALUE"""),"OH")</f>
        <v>OH</v>
      </c>
      <c r="D361" t="str">
        <f>IFERROR(__xludf.DUMMYFUNCTION("""COMPUTED_VALUE"""),"USA")</f>
        <v>USA</v>
      </c>
      <c r="E361" s="188">
        <f>IFERROR(__xludf.DUMMYFUNCTION("""COMPUTED_VALUE"""),43278.0)</f>
        <v>43278</v>
      </c>
      <c r="F361" s="188">
        <f>IFERROR(__xludf.DUMMYFUNCTION("""COMPUTED_VALUE"""),43297.0)</f>
        <v>43297</v>
      </c>
      <c r="H361">
        <f>IFERROR(__xludf.DUMMYFUNCTION("""COMPUTED_VALUE"""),33955.0)</f>
        <v>33955</v>
      </c>
      <c r="J361" s="5">
        <f>IFERROR(__xludf.DUMMYFUNCTION("""COMPUTED_VALUE"""),43307.0)</f>
        <v>43307</v>
      </c>
      <c r="K361">
        <f>IFERROR(__xludf.DUMMYFUNCTION("""COMPUTED_VALUE"""),19.0)</f>
        <v>19</v>
      </c>
      <c r="L361">
        <f>IFERROR(__xludf.DUMMYFUNCTION("""COMPUTED_VALUE"""),10.0)</f>
        <v>10</v>
      </c>
      <c r="M361">
        <f>IFERROR(__xludf.DUMMYFUNCTION("""COMPUTED_VALUE"""),29.0)</f>
        <v>29</v>
      </c>
      <c r="N361" t="str">
        <f>IFERROR(__xludf.DUMMYFUNCTION("""COMPUTED_VALUE"""),"Model 3 LR")</f>
        <v>Model 3 LR</v>
      </c>
      <c r="O361" t="str">
        <f>IFERROR(__xludf.DUMMYFUNCTION("""COMPUTED_VALUE"""),"Midnight Silver Metallic")</f>
        <v>Midnight Silver Metallic</v>
      </c>
      <c r="P361" t="str">
        <f>IFERROR(__xludf.DUMMYFUNCTION("""COMPUTED_VALUE"""),"18 inch Aero")</f>
        <v>18 inch Aero</v>
      </c>
      <c r="Q361" t="str">
        <f>IFERROR(__xludf.DUMMYFUNCTION("""COMPUTED_VALUE"""),"Black seats")</f>
        <v>Black seats</v>
      </c>
      <c r="R361" t="str">
        <f>IFERROR(__xludf.DUMMYFUNCTION("""COMPUTED_VALUE"""),"None")</f>
        <v>None</v>
      </c>
      <c r="X361" t="str">
        <f>IFERROR(__xludf.DUMMYFUNCTION("""COMPUTED_VALUE"""),"Excellent")</f>
        <v>Excellent</v>
      </c>
      <c r="Y361" t="str">
        <f>IFERROR(__xludf.DUMMYFUNCTION("""COMPUTED_VALUE"""),"Excellent")</f>
        <v>Excellent</v>
      </c>
      <c r="Z361" t="str">
        <f>IFERROR(__xludf.DUMMYFUNCTION("""COMPUTED_VALUE"""),"Very Good")</f>
        <v>Very Good</v>
      </c>
      <c r="AA361" t="str">
        <f>IFERROR(__xludf.DUMMYFUNCTION("""COMPUTED_VALUE"""),"Very Good")</f>
        <v>Very Good</v>
      </c>
      <c r="AB361" t="str">
        <f>IFERROR(__xludf.DUMMYFUNCTION("""COMPUTED_VALUE"""),"Excellent")</f>
        <v>Excellent</v>
      </c>
      <c r="AC361">
        <f>IFERROR(__xludf.DUMMYFUNCTION("""COMPUTED_VALUE"""),1.0)</f>
        <v>1</v>
      </c>
      <c r="AD361">
        <f>IFERROR(__xludf.DUMMYFUNCTION("""COMPUTED_VALUE"""),1.0)</f>
        <v>1</v>
      </c>
      <c r="AH361" s="189">
        <f>IFERROR(__xludf.DUMMYFUNCTION("""COMPUTED_VALUE"""),43308.51771662037)</f>
        <v>43308.51772</v>
      </c>
    </row>
    <row r="362">
      <c r="A362" t="str">
        <f>IFERROR(__xludf.DUMMYFUNCTION("""COMPUTED_VALUE"""),"GG")</f>
        <v>GG</v>
      </c>
      <c r="B362" t="str">
        <f>IFERROR(__xludf.DUMMYFUNCTION("""COMPUTED_VALUE"""),"Vancouver")</f>
        <v>Vancouver</v>
      </c>
      <c r="C362" t="str">
        <f>IFERROR(__xludf.DUMMYFUNCTION("""COMPUTED_VALUE"""),"BC")</f>
        <v>BC</v>
      </c>
      <c r="D362" t="str">
        <f>IFERROR(__xludf.DUMMYFUNCTION("""COMPUTED_VALUE"""),"Canada")</f>
        <v>Canada</v>
      </c>
      <c r="E362" s="188">
        <f>IFERROR(__xludf.DUMMYFUNCTION("""COMPUTED_VALUE"""),43188.0)</f>
        <v>43188</v>
      </c>
      <c r="F362" s="188">
        <f>IFERROR(__xludf.DUMMYFUNCTION("""COMPUTED_VALUE"""),43257.0)</f>
        <v>43257</v>
      </c>
      <c r="H362">
        <f>IFERROR(__xludf.DUMMYFUNCTION("""COMPUTED_VALUE"""),29455.0)</f>
        <v>29455</v>
      </c>
      <c r="J362" s="5">
        <f>IFERROR(__xludf.DUMMYFUNCTION("""COMPUTED_VALUE"""),43259.0)</f>
        <v>43259</v>
      </c>
      <c r="K362">
        <f>IFERROR(__xludf.DUMMYFUNCTION("""COMPUTED_VALUE"""),69.0)</f>
        <v>69</v>
      </c>
      <c r="L362">
        <f>IFERROR(__xludf.DUMMYFUNCTION("""COMPUTED_VALUE"""),2.0)</f>
        <v>2</v>
      </c>
      <c r="M362">
        <f>IFERROR(__xludf.DUMMYFUNCTION("""COMPUTED_VALUE"""),71.0)</f>
        <v>71</v>
      </c>
      <c r="N362" t="str">
        <f>IFERROR(__xludf.DUMMYFUNCTION("""COMPUTED_VALUE"""),"Model 3 LR")</f>
        <v>Model 3 LR</v>
      </c>
      <c r="O362" t="str">
        <f>IFERROR(__xludf.DUMMYFUNCTION("""COMPUTED_VALUE"""),"Deep Blue Metallic")</f>
        <v>Deep Blue Metallic</v>
      </c>
      <c r="P362" t="str">
        <f>IFERROR(__xludf.DUMMYFUNCTION("""COMPUTED_VALUE"""),"18 inch Aero")</f>
        <v>18 inch Aero</v>
      </c>
      <c r="Q362" t="str">
        <f>IFERROR(__xludf.DUMMYFUNCTION("""COMPUTED_VALUE"""),"Black seats")</f>
        <v>Black seats</v>
      </c>
      <c r="R362" t="str">
        <f>IFERROR(__xludf.DUMMYFUNCTION("""COMPUTED_VALUE"""),"None")</f>
        <v>None</v>
      </c>
      <c r="X362" t="str">
        <f>IFERROR(__xludf.DUMMYFUNCTION("""COMPUTED_VALUE"""),"Good")</f>
        <v>Good</v>
      </c>
      <c r="Y362" t="str">
        <f>IFERROR(__xludf.DUMMYFUNCTION("""COMPUTED_VALUE"""),"Very Good")</f>
        <v>Very Good</v>
      </c>
      <c r="Z362" t="str">
        <f>IFERROR(__xludf.DUMMYFUNCTION("""COMPUTED_VALUE"""),"Poor")</f>
        <v>Poor</v>
      </c>
      <c r="AA362" t="str">
        <f>IFERROR(__xludf.DUMMYFUNCTION("""COMPUTED_VALUE"""),"Fair")</f>
        <v>Fair</v>
      </c>
      <c r="AB362" t="str">
        <f>IFERROR(__xludf.DUMMYFUNCTION("""COMPUTED_VALUE"""),"Very Good")</f>
        <v>Very Good</v>
      </c>
      <c r="AC362">
        <f>IFERROR(__xludf.DUMMYFUNCTION("""COMPUTED_VALUE"""),2.0)</f>
        <v>2</v>
      </c>
      <c r="AD362">
        <f>IFERROR(__xludf.DUMMYFUNCTION("""COMPUTED_VALUE"""),3.0)</f>
        <v>3</v>
      </c>
      <c r="AE362">
        <f>IFERROR(__xludf.DUMMYFUNCTION("""COMPUTED_VALUE"""),4.0)</f>
        <v>4</v>
      </c>
      <c r="AG362" t="str">
        <f>IFERROR(__xludf.DUMMYFUNCTION("""COMPUTED_VALUE"""),"Paint ")</f>
        <v>Paint </v>
      </c>
      <c r="AH362" s="189">
        <f>IFERROR(__xludf.DUMMYFUNCTION("""COMPUTED_VALUE"""),43308.57623356482)</f>
        <v>43308.57623</v>
      </c>
    </row>
    <row r="363">
      <c r="A363" t="str">
        <f>IFERROR(__xludf.DUMMYFUNCTION("""COMPUTED_VALUE"""),"MasterG")</f>
        <v>MasterG</v>
      </c>
      <c r="C363" t="str">
        <f>IFERROR(__xludf.DUMMYFUNCTION("""COMPUTED_VALUE"""),"VA")</f>
        <v>VA</v>
      </c>
      <c r="D363" t="str">
        <f>IFERROR(__xludf.DUMMYFUNCTION("""COMPUTED_VALUE"""),"USA")</f>
        <v>USA</v>
      </c>
      <c r="E363" s="188">
        <f>IFERROR(__xludf.DUMMYFUNCTION("""COMPUTED_VALUE"""),43205.0)</f>
        <v>43205</v>
      </c>
      <c r="H363">
        <f>IFERROR(__xludf.DUMMYFUNCTION("""COMPUTED_VALUE"""),27555.0)</f>
        <v>27555</v>
      </c>
      <c r="J363" s="5">
        <f>IFERROR(__xludf.DUMMYFUNCTION("""COMPUTED_VALUE"""),43288.0)</f>
        <v>43288</v>
      </c>
      <c r="M363">
        <f>IFERROR(__xludf.DUMMYFUNCTION("""COMPUTED_VALUE"""),83.0)</f>
        <v>83</v>
      </c>
      <c r="N363" t="str">
        <f>IFERROR(__xludf.DUMMYFUNCTION("""COMPUTED_VALUE"""),"Model 3 LR")</f>
        <v>Model 3 LR</v>
      </c>
      <c r="O363" t="str">
        <f>IFERROR(__xludf.DUMMYFUNCTION("""COMPUTED_VALUE"""),"Red Multi-Coat")</f>
        <v>Red Multi-Coat</v>
      </c>
      <c r="P363" t="str">
        <f>IFERROR(__xludf.DUMMYFUNCTION("""COMPUTED_VALUE"""),"18 inch Aero")</f>
        <v>18 inch Aero</v>
      </c>
      <c r="R363" t="str">
        <f>IFERROR(__xludf.DUMMYFUNCTION("""COMPUTED_VALUE"""),"Enhanced Autopilot")</f>
        <v>Enhanced Autopilot</v>
      </c>
      <c r="X363" t="str">
        <f>IFERROR(__xludf.DUMMYFUNCTION("""COMPUTED_VALUE"""),"Excellent")</f>
        <v>Excellent</v>
      </c>
      <c r="Y363" t="str">
        <f>IFERROR(__xludf.DUMMYFUNCTION("""COMPUTED_VALUE"""),"Excellent")</f>
        <v>Excellent</v>
      </c>
      <c r="Z363" t="str">
        <f>IFERROR(__xludf.DUMMYFUNCTION("""COMPUTED_VALUE"""),"Excellent")</f>
        <v>Excellent</v>
      </c>
      <c r="AA363" t="str">
        <f>IFERROR(__xludf.DUMMYFUNCTION("""COMPUTED_VALUE"""),"Very Good")</f>
        <v>Very Good</v>
      </c>
      <c r="AB363" t="str">
        <f>IFERROR(__xludf.DUMMYFUNCTION("""COMPUTED_VALUE"""),"Good")</f>
        <v>Good</v>
      </c>
      <c r="AC363">
        <f>IFERROR(__xludf.DUMMYFUNCTION("""COMPUTED_VALUE"""),1.0)</f>
        <v>1</v>
      </c>
      <c r="AD363">
        <f>IFERROR(__xludf.DUMMYFUNCTION("""COMPUTED_VALUE"""),1.0)</f>
        <v>1</v>
      </c>
      <c r="AE363">
        <f>IFERROR(__xludf.DUMMYFUNCTION("""COMPUTED_VALUE"""),0.0)</f>
        <v>0</v>
      </c>
      <c r="AG363" t="str">
        <f>IFERROR(__xludf.DUMMYFUNCTION("""COMPUTED_VALUE"""),"Brake Pad replaced for noise.")</f>
        <v>Brake Pad replaced for noise.</v>
      </c>
      <c r="AH363" s="189">
        <f>IFERROR(__xludf.DUMMYFUNCTION("""COMPUTED_VALUE"""),43308.66808728009)</f>
        <v>43308.66809</v>
      </c>
    </row>
    <row r="364">
      <c r="A364" t="str">
        <f>IFERROR(__xludf.DUMMYFUNCTION("""COMPUTED_VALUE"""),"Umbral")</f>
        <v>Umbral</v>
      </c>
      <c r="B364" t="str">
        <f>IFERROR(__xludf.DUMMYFUNCTION("""COMPUTED_VALUE"""),"Phoenix")</f>
        <v>Phoenix</v>
      </c>
      <c r="C364" t="str">
        <f>IFERROR(__xludf.DUMMYFUNCTION("""COMPUTED_VALUE"""),"AZ")</f>
        <v>AZ</v>
      </c>
      <c r="D364" t="str">
        <f>IFERROR(__xludf.DUMMYFUNCTION("""COMPUTED_VALUE"""),"USA")</f>
        <v>USA</v>
      </c>
      <c r="E364" s="188">
        <f>IFERROR(__xludf.DUMMYFUNCTION("""COMPUTED_VALUE"""),43278.0)</f>
        <v>43278</v>
      </c>
      <c r="F364" s="188">
        <f>IFERROR(__xludf.DUMMYFUNCTION("""COMPUTED_VALUE"""),43293.0)</f>
        <v>43293</v>
      </c>
      <c r="H364">
        <f>IFERROR(__xludf.DUMMYFUNCTION("""COMPUTED_VALUE"""),31555.0)</f>
        <v>31555</v>
      </c>
      <c r="I364" t="str">
        <f>IFERROR(__xludf.DUMMYFUNCTION("""COMPUTED_VALUE"""),"06/18")</f>
        <v>06/18</v>
      </c>
      <c r="J364" s="5">
        <f>IFERROR(__xludf.DUMMYFUNCTION("""COMPUTED_VALUE"""),43308.0)</f>
        <v>43308</v>
      </c>
      <c r="K364">
        <f>IFERROR(__xludf.DUMMYFUNCTION("""COMPUTED_VALUE"""),15.0)</f>
        <v>15</v>
      </c>
      <c r="L364">
        <f>IFERROR(__xludf.DUMMYFUNCTION("""COMPUTED_VALUE"""),15.0)</f>
        <v>15</v>
      </c>
      <c r="M364">
        <f>IFERROR(__xludf.DUMMYFUNCTION("""COMPUTED_VALUE"""),30.0)</f>
        <v>30</v>
      </c>
      <c r="N364" t="str">
        <f>IFERROR(__xludf.DUMMYFUNCTION("""COMPUTED_VALUE"""),"Model 3 LR")</f>
        <v>Model 3 LR</v>
      </c>
      <c r="O364" t="str">
        <f>IFERROR(__xludf.DUMMYFUNCTION("""COMPUTED_VALUE"""),"Midnight Silver Metallic")</f>
        <v>Midnight Silver Metallic</v>
      </c>
      <c r="P364" t="str">
        <f>IFERROR(__xludf.DUMMYFUNCTION("""COMPUTED_VALUE"""),"18 inch Aero")</f>
        <v>18 inch Aero</v>
      </c>
      <c r="Q364" t="str">
        <f>IFERROR(__xludf.DUMMYFUNCTION("""COMPUTED_VALUE"""),"Black seats")</f>
        <v>Black seats</v>
      </c>
      <c r="R364" t="str">
        <f>IFERROR(__xludf.DUMMYFUNCTION("""COMPUTED_VALUE"""),"Enhanced Autopilot")</f>
        <v>Enhanced Autopilot</v>
      </c>
      <c r="X364" t="str">
        <f>IFERROR(__xludf.DUMMYFUNCTION("""COMPUTED_VALUE"""),"Excellent")</f>
        <v>Excellent</v>
      </c>
      <c r="Y364" t="str">
        <f>IFERROR(__xludf.DUMMYFUNCTION("""COMPUTED_VALUE"""),"Excellent")</f>
        <v>Excellent</v>
      </c>
      <c r="Z364" t="str">
        <f>IFERROR(__xludf.DUMMYFUNCTION("""COMPUTED_VALUE"""),"Excellent")</f>
        <v>Excellent</v>
      </c>
      <c r="AA364" t="str">
        <f>IFERROR(__xludf.DUMMYFUNCTION("""COMPUTED_VALUE"""),"Good")</f>
        <v>Good</v>
      </c>
      <c r="AB364" t="str">
        <f>IFERROR(__xludf.DUMMYFUNCTION("""COMPUTED_VALUE"""),"Very Good")</f>
        <v>Very Good</v>
      </c>
      <c r="AH364" s="189">
        <f>IFERROR(__xludf.DUMMYFUNCTION("""COMPUTED_VALUE"""),43308.669672476855)</f>
        <v>43308.66967</v>
      </c>
    </row>
    <row r="365">
      <c r="A365" t="str">
        <f>IFERROR(__xludf.DUMMYFUNCTION("""COMPUTED_VALUE"""),"tagyrit")</f>
        <v>tagyrit</v>
      </c>
      <c r="C365" t="str">
        <f>IFERROR(__xludf.DUMMYFUNCTION("""COMPUTED_VALUE"""),"GA")</f>
        <v>GA</v>
      </c>
      <c r="D365" t="str">
        <f>IFERROR(__xludf.DUMMYFUNCTION("""COMPUTED_VALUE"""),"USA")</f>
        <v>USA</v>
      </c>
      <c r="E365" s="188">
        <f>IFERROR(__xludf.DUMMYFUNCTION("""COMPUTED_VALUE"""),43280.0)</f>
        <v>43280</v>
      </c>
      <c r="F365" s="188">
        <f>IFERROR(__xludf.DUMMYFUNCTION("""COMPUTED_VALUE"""),43282.0)</f>
        <v>43282</v>
      </c>
      <c r="H365">
        <f>IFERROR(__xludf.DUMMYFUNCTION("""COMPUTED_VALUE"""),25255.0)</f>
        <v>25255</v>
      </c>
      <c r="I365" t="str">
        <f>IFERROR(__xludf.DUMMYFUNCTION("""COMPUTED_VALUE"""),"06/18")</f>
        <v>06/18</v>
      </c>
      <c r="J365" s="5">
        <f>IFERROR(__xludf.DUMMYFUNCTION("""COMPUTED_VALUE"""),43299.0)</f>
        <v>43299</v>
      </c>
      <c r="K365">
        <f>IFERROR(__xludf.DUMMYFUNCTION("""COMPUTED_VALUE"""),2.0)</f>
        <v>2</v>
      </c>
      <c r="L365">
        <f>IFERROR(__xludf.DUMMYFUNCTION("""COMPUTED_VALUE"""),17.0)</f>
        <v>17</v>
      </c>
      <c r="M365">
        <f>IFERROR(__xludf.DUMMYFUNCTION("""COMPUTED_VALUE"""),19.0)</f>
        <v>19</v>
      </c>
      <c r="N365" t="str">
        <f>IFERROR(__xludf.DUMMYFUNCTION("""COMPUTED_VALUE"""),"Model 3 LR")</f>
        <v>Model 3 LR</v>
      </c>
      <c r="O365" t="str">
        <f>IFERROR(__xludf.DUMMYFUNCTION("""COMPUTED_VALUE"""),"Pearl White Multi-Coat")</f>
        <v>Pearl White Multi-Coat</v>
      </c>
      <c r="P365" t="str">
        <f>IFERROR(__xludf.DUMMYFUNCTION("""COMPUTED_VALUE"""),"19 inch Sport")</f>
        <v>19 inch Sport</v>
      </c>
      <c r="Q365" t="str">
        <f>IFERROR(__xludf.DUMMYFUNCTION("""COMPUTED_VALUE"""),"Black seats")</f>
        <v>Black seats</v>
      </c>
      <c r="R365" t="str">
        <f>IFERROR(__xludf.DUMMYFUNCTION("""COMPUTED_VALUE"""),"None")</f>
        <v>None</v>
      </c>
      <c r="X365" t="str">
        <f>IFERROR(__xludf.DUMMYFUNCTION("""COMPUTED_VALUE"""),"Fair")</f>
        <v>Fair</v>
      </c>
      <c r="Y365" t="str">
        <f>IFERROR(__xludf.DUMMYFUNCTION("""COMPUTED_VALUE"""),"Fair")</f>
        <v>Fair</v>
      </c>
      <c r="Z365" t="str">
        <f>IFERROR(__xludf.DUMMYFUNCTION("""COMPUTED_VALUE"""),"Very Good")</f>
        <v>Very Good</v>
      </c>
      <c r="AA365" t="str">
        <f>IFERROR(__xludf.DUMMYFUNCTION("""COMPUTED_VALUE"""),"Very Good")</f>
        <v>Very Good</v>
      </c>
      <c r="AB365" t="str">
        <f>IFERROR(__xludf.DUMMYFUNCTION("""COMPUTED_VALUE"""),"Very Good")</f>
        <v>Very Good</v>
      </c>
      <c r="AC365">
        <f>IFERROR(__xludf.DUMMYFUNCTION("""COMPUTED_VALUE"""),2.0)</f>
        <v>2</v>
      </c>
      <c r="AH365" s="189">
        <f>IFERROR(__xludf.DUMMYFUNCTION("""COMPUTED_VALUE"""),43308.80720650463)</f>
        <v>43308.80721</v>
      </c>
    </row>
    <row r="366">
      <c r="A366" t="str">
        <f>IFERROR(__xludf.DUMMYFUNCTION("""COMPUTED_VALUE"""),"TomP")</f>
        <v>TomP</v>
      </c>
      <c r="B366" t="str">
        <f>IFERROR(__xludf.DUMMYFUNCTION("""COMPUTED_VALUE"""),"Woodbridge")</f>
        <v>Woodbridge</v>
      </c>
      <c r="C366" t="str">
        <f>IFERROR(__xludf.DUMMYFUNCTION("""COMPUTED_VALUE"""),"VA")</f>
        <v>VA</v>
      </c>
      <c r="D366" t="str">
        <f>IFERROR(__xludf.DUMMYFUNCTION("""COMPUTED_VALUE"""),"USA")</f>
        <v>USA</v>
      </c>
      <c r="E366" s="188">
        <f>IFERROR(__xludf.DUMMYFUNCTION("""COMPUTED_VALUE"""),43207.0)</f>
        <v>43207</v>
      </c>
      <c r="F366" s="188">
        <f>IFERROR(__xludf.DUMMYFUNCTION("""COMPUTED_VALUE"""),43258.0)</f>
        <v>43258</v>
      </c>
      <c r="H366">
        <f>IFERROR(__xludf.DUMMYFUNCTION("""COMPUTED_VALUE"""),27144.0)</f>
        <v>27144</v>
      </c>
      <c r="I366" t="str">
        <f>IFERROR(__xludf.DUMMYFUNCTION("""COMPUTED_VALUE"""),"06/18")</f>
        <v>06/18</v>
      </c>
      <c r="J366" s="5">
        <f>IFERROR(__xludf.DUMMYFUNCTION("""COMPUTED_VALUE"""),43280.0)</f>
        <v>43280</v>
      </c>
      <c r="K366">
        <f>IFERROR(__xludf.DUMMYFUNCTION("""COMPUTED_VALUE"""),51.0)</f>
        <v>51</v>
      </c>
      <c r="L366">
        <f>IFERROR(__xludf.DUMMYFUNCTION("""COMPUTED_VALUE"""),22.0)</f>
        <v>22</v>
      </c>
      <c r="M366">
        <f>IFERROR(__xludf.DUMMYFUNCTION("""COMPUTED_VALUE"""),73.0)</f>
        <v>73</v>
      </c>
      <c r="N366" t="str">
        <f>IFERROR(__xludf.DUMMYFUNCTION("""COMPUTED_VALUE"""),"Model 3 LR")</f>
        <v>Model 3 LR</v>
      </c>
      <c r="O366" t="str">
        <f>IFERROR(__xludf.DUMMYFUNCTION("""COMPUTED_VALUE"""),"Pearl White Multi-Coat")</f>
        <v>Pearl White Multi-Coat</v>
      </c>
      <c r="P366" t="str">
        <f>IFERROR(__xludf.DUMMYFUNCTION("""COMPUTED_VALUE"""),"18 inch Aero")</f>
        <v>18 inch Aero</v>
      </c>
      <c r="Q366" t="str">
        <f>IFERROR(__xludf.DUMMYFUNCTION("""COMPUTED_VALUE"""),"Black seats")</f>
        <v>Black seats</v>
      </c>
      <c r="R366" t="str">
        <f>IFERROR(__xludf.DUMMYFUNCTION("""COMPUTED_VALUE"""),"Enhanced Autopilot")</f>
        <v>Enhanced Autopilot</v>
      </c>
      <c r="X366" t="str">
        <f>IFERROR(__xludf.DUMMYFUNCTION("""COMPUTED_VALUE"""),"Excellent")</f>
        <v>Excellent</v>
      </c>
      <c r="Y366" t="str">
        <f>IFERROR(__xludf.DUMMYFUNCTION("""COMPUTED_VALUE"""),"Excellent")</f>
        <v>Excellent</v>
      </c>
      <c r="Z366" t="str">
        <f>IFERROR(__xludf.DUMMYFUNCTION("""COMPUTED_VALUE"""),"Excellent")</f>
        <v>Excellent</v>
      </c>
      <c r="AA366" t="str">
        <f>IFERROR(__xludf.DUMMYFUNCTION("""COMPUTED_VALUE"""),"Excellent")</f>
        <v>Excellent</v>
      </c>
      <c r="AB366" t="str">
        <f>IFERROR(__xludf.DUMMYFUNCTION("""COMPUTED_VALUE"""),"Excellent")</f>
        <v>Excellent</v>
      </c>
      <c r="AC366">
        <f>IFERROR(__xludf.DUMMYFUNCTION("""COMPUTED_VALUE"""),0.0)</f>
        <v>0</v>
      </c>
      <c r="AD366">
        <f>IFERROR(__xludf.DUMMYFUNCTION("""COMPUTED_VALUE"""),0.0)</f>
        <v>0</v>
      </c>
      <c r="AH366" s="189">
        <f>IFERROR(__xludf.DUMMYFUNCTION("""COMPUTED_VALUE"""),43308.890771990744)</f>
        <v>43308.89077</v>
      </c>
    </row>
    <row r="367">
      <c r="A367" t="str">
        <f>IFERROR(__xludf.DUMMYFUNCTION("""COMPUTED_VALUE"""),"Jclark")</f>
        <v>Jclark</v>
      </c>
      <c r="B367" t="str">
        <f>IFERROR(__xludf.DUMMYFUNCTION("""COMPUTED_VALUE"""),"Austin")</f>
        <v>Austin</v>
      </c>
      <c r="C367" t="str">
        <f>IFERROR(__xludf.DUMMYFUNCTION("""COMPUTED_VALUE"""),"TX")</f>
        <v>TX</v>
      </c>
      <c r="D367" t="str">
        <f>IFERROR(__xludf.DUMMYFUNCTION("""COMPUTED_VALUE"""),"USA")</f>
        <v>USA</v>
      </c>
      <c r="E367" s="188">
        <f>IFERROR(__xludf.DUMMYFUNCTION("""COMPUTED_VALUE"""),43278.0)</f>
        <v>43278</v>
      </c>
      <c r="F367" s="188">
        <f>IFERROR(__xludf.DUMMYFUNCTION("""COMPUTED_VALUE"""),43286.0)</f>
        <v>43286</v>
      </c>
      <c r="H367">
        <f>IFERROR(__xludf.DUMMYFUNCTION("""COMPUTED_VALUE"""),48355.0)</f>
        <v>48355</v>
      </c>
      <c r="J367" s="5">
        <f>IFERROR(__xludf.DUMMYFUNCTION("""COMPUTED_VALUE"""),43307.0)</f>
        <v>43307</v>
      </c>
      <c r="K367">
        <f>IFERROR(__xludf.DUMMYFUNCTION("""COMPUTED_VALUE"""),8.0)</f>
        <v>8</v>
      </c>
      <c r="L367">
        <f>IFERROR(__xludf.DUMMYFUNCTION("""COMPUTED_VALUE"""),21.0)</f>
        <v>21</v>
      </c>
      <c r="M367">
        <f>IFERROR(__xludf.DUMMYFUNCTION("""COMPUTED_VALUE"""),29.0)</f>
        <v>29</v>
      </c>
      <c r="N367" t="str">
        <f>IFERROR(__xludf.DUMMYFUNCTION("""COMPUTED_VALUE"""),"Model 3 LR")</f>
        <v>Model 3 LR</v>
      </c>
      <c r="O367" t="str">
        <f>IFERROR(__xludf.DUMMYFUNCTION("""COMPUTED_VALUE"""),"Silver Metallic")</f>
        <v>Silver Metallic</v>
      </c>
      <c r="P367" t="str">
        <f>IFERROR(__xludf.DUMMYFUNCTION("""COMPUTED_VALUE"""),"19 inch Sport")</f>
        <v>19 inch Sport</v>
      </c>
      <c r="Q367" t="str">
        <f>IFERROR(__xludf.DUMMYFUNCTION("""COMPUTED_VALUE"""),"Black seats")</f>
        <v>Black seats</v>
      </c>
      <c r="R367" t="str">
        <f>IFERROR(__xludf.DUMMYFUNCTION("""COMPUTED_VALUE"""),"Full Self-Driving")</f>
        <v>Full Self-Driving</v>
      </c>
      <c r="X367" t="str">
        <f>IFERROR(__xludf.DUMMYFUNCTION("""COMPUTED_VALUE"""),"Excellent")</f>
        <v>Excellent</v>
      </c>
      <c r="Y367" t="str">
        <f>IFERROR(__xludf.DUMMYFUNCTION("""COMPUTED_VALUE"""),"Very Good")</f>
        <v>Very Good</v>
      </c>
      <c r="Z367" t="str">
        <f>IFERROR(__xludf.DUMMYFUNCTION("""COMPUTED_VALUE"""),"Good")</f>
        <v>Good</v>
      </c>
      <c r="AA367" t="str">
        <f>IFERROR(__xludf.DUMMYFUNCTION("""COMPUTED_VALUE"""),"Very Good")</f>
        <v>Very Good</v>
      </c>
      <c r="AB367" t="str">
        <f>IFERROR(__xludf.DUMMYFUNCTION("""COMPUTED_VALUE"""),"Very Good")</f>
        <v>Very Good</v>
      </c>
      <c r="AH367" s="189">
        <f>IFERROR(__xludf.DUMMYFUNCTION("""COMPUTED_VALUE"""),43309.182426342595)</f>
        <v>43309.18243</v>
      </c>
    </row>
    <row r="368">
      <c r="A368" t="str">
        <f>IFERROR(__xludf.DUMMYFUNCTION("""COMPUTED_VALUE"""),"hughbie")</f>
        <v>hughbie</v>
      </c>
      <c r="B368" t="str">
        <f>IFERROR(__xludf.DUMMYFUNCTION("""COMPUTED_VALUE"""),"Arcata")</f>
        <v>Arcata</v>
      </c>
      <c r="C368" t="str">
        <f>IFERROR(__xludf.DUMMYFUNCTION("""COMPUTED_VALUE"""),"CA")</f>
        <v>CA</v>
      </c>
      <c r="D368" t="str">
        <f>IFERROR(__xludf.DUMMYFUNCTION("""COMPUTED_VALUE"""),"USA")</f>
        <v>USA</v>
      </c>
      <c r="E368" s="188">
        <f>IFERROR(__xludf.DUMMYFUNCTION("""COMPUTED_VALUE"""),43278.0)</f>
        <v>43278</v>
      </c>
      <c r="F368" s="188">
        <f>IFERROR(__xludf.DUMMYFUNCTION("""COMPUTED_VALUE"""),43295.0)</f>
        <v>43295</v>
      </c>
      <c r="H368">
        <f>IFERROR(__xludf.DUMMYFUNCTION("""COMPUTED_VALUE"""),39865.0)</f>
        <v>39865</v>
      </c>
      <c r="I368" t="str">
        <f>IFERROR(__xludf.DUMMYFUNCTION("""COMPUTED_VALUE"""),"07/18")</f>
        <v>07/18</v>
      </c>
      <c r="J368" s="5">
        <f>IFERROR(__xludf.DUMMYFUNCTION("""COMPUTED_VALUE"""),43308.0)</f>
        <v>43308</v>
      </c>
      <c r="K368">
        <f>IFERROR(__xludf.DUMMYFUNCTION("""COMPUTED_VALUE"""),17.0)</f>
        <v>17</v>
      </c>
      <c r="L368">
        <f>IFERROR(__xludf.DUMMYFUNCTION("""COMPUTED_VALUE"""),13.0)</f>
        <v>13</v>
      </c>
      <c r="M368">
        <f>IFERROR(__xludf.DUMMYFUNCTION("""COMPUTED_VALUE"""),30.0)</f>
        <v>30</v>
      </c>
      <c r="N368" t="str">
        <f>IFERROR(__xludf.DUMMYFUNCTION("""COMPUTED_VALUE"""),"Model 3 LR")</f>
        <v>Model 3 LR</v>
      </c>
      <c r="O368" t="str">
        <f>IFERROR(__xludf.DUMMYFUNCTION("""COMPUTED_VALUE"""),"Pearl White Multi-Coat")</f>
        <v>Pearl White Multi-Coat</v>
      </c>
      <c r="P368" t="str">
        <f>IFERROR(__xludf.DUMMYFUNCTION("""COMPUTED_VALUE"""),"18 inch Aero")</f>
        <v>18 inch Aero</v>
      </c>
      <c r="Q368" t="str">
        <f>IFERROR(__xludf.DUMMYFUNCTION("""COMPUTED_VALUE"""),"Black seats")</f>
        <v>Black seats</v>
      </c>
      <c r="R368" t="str">
        <f>IFERROR(__xludf.DUMMYFUNCTION("""COMPUTED_VALUE"""),"Enhanced Autopilot")</f>
        <v>Enhanced Autopilot</v>
      </c>
      <c r="X368" t="str">
        <f>IFERROR(__xludf.DUMMYFUNCTION("""COMPUTED_VALUE"""),"Excellent")</f>
        <v>Excellent</v>
      </c>
      <c r="Y368" t="str">
        <f>IFERROR(__xludf.DUMMYFUNCTION("""COMPUTED_VALUE"""),"Excellent")</f>
        <v>Excellent</v>
      </c>
      <c r="Z368" t="str">
        <f>IFERROR(__xludf.DUMMYFUNCTION("""COMPUTED_VALUE"""),"Very Good")</f>
        <v>Very Good</v>
      </c>
      <c r="AA368" t="str">
        <f>IFERROR(__xludf.DUMMYFUNCTION("""COMPUTED_VALUE"""),"Fair")</f>
        <v>Fair</v>
      </c>
      <c r="AB368" t="str">
        <f>IFERROR(__xludf.DUMMYFUNCTION("""COMPUTED_VALUE"""),"Fair")</f>
        <v>Fair</v>
      </c>
      <c r="AH368" s="189">
        <f>IFERROR(__xludf.DUMMYFUNCTION("""COMPUTED_VALUE"""),43309.67517652777)</f>
        <v>43309.67518</v>
      </c>
    </row>
    <row r="369">
      <c r="A369" t="str">
        <f>IFERROR(__xludf.DUMMYFUNCTION("""COMPUTED_VALUE"""),"nreker")</f>
        <v>nreker</v>
      </c>
      <c r="B369">
        <f>IFERROR(__xludf.DUMMYFUNCTION("""COMPUTED_VALUE"""),93401.0)</f>
        <v>93401</v>
      </c>
      <c r="C369" t="str">
        <f>IFERROR(__xludf.DUMMYFUNCTION("""COMPUTED_VALUE"""),"CA")</f>
        <v>CA</v>
      </c>
      <c r="D369" t="str">
        <f>IFERROR(__xludf.DUMMYFUNCTION("""COMPUTED_VALUE"""),"USA")</f>
        <v>USA</v>
      </c>
      <c r="E369" s="188">
        <f>IFERROR(__xludf.DUMMYFUNCTION("""COMPUTED_VALUE"""),43278.0)</f>
        <v>43278</v>
      </c>
      <c r="F369" s="188">
        <f>IFERROR(__xludf.DUMMYFUNCTION("""COMPUTED_VALUE"""),43291.0)</f>
        <v>43291</v>
      </c>
      <c r="H369">
        <f>IFERROR(__xludf.DUMMYFUNCTION("""COMPUTED_VALUE"""),38661.0)</f>
        <v>38661</v>
      </c>
      <c r="I369" t="str">
        <f>IFERROR(__xludf.DUMMYFUNCTION("""COMPUTED_VALUE"""),"06/18")</f>
        <v>06/18</v>
      </c>
      <c r="J369" s="5">
        <f>IFERROR(__xludf.DUMMYFUNCTION("""COMPUTED_VALUE"""),43309.0)</f>
        <v>43309</v>
      </c>
      <c r="K369">
        <f>IFERROR(__xludf.DUMMYFUNCTION("""COMPUTED_VALUE"""),13.0)</f>
        <v>13</v>
      </c>
      <c r="L369">
        <f>IFERROR(__xludf.DUMMYFUNCTION("""COMPUTED_VALUE"""),18.0)</f>
        <v>18</v>
      </c>
      <c r="M369">
        <f>IFERROR(__xludf.DUMMYFUNCTION("""COMPUTED_VALUE"""),31.0)</f>
        <v>31</v>
      </c>
      <c r="N369" t="str">
        <f>IFERROR(__xludf.DUMMYFUNCTION("""COMPUTED_VALUE"""),"Model 3 LR")</f>
        <v>Model 3 LR</v>
      </c>
      <c r="O369" t="str">
        <f>IFERROR(__xludf.DUMMYFUNCTION("""COMPUTED_VALUE"""),"Deep Blue Metallic")</f>
        <v>Deep Blue Metallic</v>
      </c>
      <c r="P369" t="str">
        <f>IFERROR(__xludf.DUMMYFUNCTION("""COMPUTED_VALUE"""),"18 inch Aero")</f>
        <v>18 inch Aero</v>
      </c>
      <c r="Q369" t="str">
        <f>IFERROR(__xludf.DUMMYFUNCTION("""COMPUTED_VALUE"""),"Black seats")</f>
        <v>Black seats</v>
      </c>
      <c r="R369" t="str">
        <f>IFERROR(__xludf.DUMMYFUNCTION("""COMPUTED_VALUE"""),"Full Self-Driving")</f>
        <v>Full Self-Driving</v>
      </c>
      <c r="X369" t="str">
        <f>IFERROR(__xludf.DUMMYFUNCTION("""COMPUTED_VALUE"""),"Excellent")</f>
        <v>Excellent</v>
      </c>
      <c r="Y369" t="str">
        <f>IFERROR(__xludf.DUMMYFUNCTION("""COMPUTED_VALUE"""),"Excellent")</f>
        <v>Excellent</v>
      </c>
      <c r="Z369" t="str">
        <f>IFERROR(__xludf.DUMMYFUNCTION("""COMPUTED_VALUE"""),"Very Good")</f>
        <v>Very Good</v>
      </c>
      <c r="AA369" t="str">
        <f>IFERROR(__xludf.DUMMYFUNCTION("""COMPUTED_VALUE"""),"Excellent")</f>
        <v>Excellent</v>
      </c>
      <c r="AB369" t="str">
        <f>IFERROR(__xludf.DUMMYFUNCTION("""COMPUTED_VALUE"""),"Excellent")</f>
        <v>Excellent</v>
      </c>
      <c r="AC369">
        <f>IFERROR(__xludf.DUMMYFUNCTION("""COMPUTED_VALUE"""),0.0)</f>
        <v>0</v>
      </c>
      <c r="AH369" s="189">
        <f>IFERROR(__xludf.DUMMYFUNCTION("""COMPUTED_VALUE"""),43309.93049966435)</f>
        <v>43309.9305</v>
      </c>
    </row>
    <row r="370">
      <c r="A370" t="str">
        <f>IFERROR(__xludf.DUMMYFUNCTION("""COMPUTED_VALUE"""),"jon330cic")</f>
        <v>jon330cic</v>
      </c>
      <c r="C370" t="str">
        <f>IFERROR(__xludf.DUMMYFUNCTION("""COMPUTED_VALUE"""),"FL")</f>
        <v>FL</v>
      </c>
      <c r="D370" t="str">
        <f>IFERROR(__xludf.DUMMYFUNCTION("""COMPUTED_VALUE"""),"USA")</f>
        <v>USA</v>
      </c>
      <c r="E370" s="188">
        <f>IFERROR(__xludf.DUMMYFUNCTION("""COMPUTED_VALUE"""),43278.0)</f>
        <v>43278</v>
      </c>
      <c r="F370" s="188">
        <f>IFERROR(__xludf.DUMMYFUNCTION("""COMPUTED_VALUE"""),43280.0)</f>
        <v>43280</v>
      </c>
      <c r="H370">
        <f>IFERROR(__xludf.DUMMYFUNCTION("""COMPUTED_VALUE"""),32855.0)</f>
        <v>32855</v>
      </c>
      <c r="I370" t="str">
        <f>IFERROR(__xludf.DUMMYFUNCTION("""COMPUTED_VALUE"""),"06/18")</f>
        <v>06/18</v>
      </c>
      <c r="J370" s="5">
        <f>IFERROR(__xludf.DUMMYFUNCTION("""COMPUTED_VALUE"""),43292.0)</f>
        <v>43292</v>
      </c>
      <c r="K370">
        <f>IFERROR(__xludf.DUMMYFUNCTION("""COMPUTED_VALUE"""),2.0)</f>
        <v>2</v>
      </c>
      <c r="L370">
        <f>IFERROR(__xludf.DUMMYFUNCTION("""COMPUTED_VALUE"""),12.0)</f>
        <v>12</v>
      </c>
      <c r="M370">
        <f>IFERROR(__xludf.DUMMYFUNCTION("""COMPUTED_VALUE"""),14.0)</f>
        <v>14</v>
      </c>
      <c r="N370" t="str">
        <f>IFERROR(__xludf.DUMMYFUNCTION("""COMPUTED_VALUE"""),"Model 3 LR")</f>
        <v>Model 3 LR</v>
      </c>
      <c r="O370" t="str">
        <f>IFERROR(__xludf.DUMMYFUNCTION("""COMPUTED_VALUE"""),"Midnight Silver Metallic")</f>
        <v>Midnight Silver Metallic</v>
      </c>
      <c r="P370" t="str">
        <f>IFERROR(__xludf.DUMMYFUNCTION("""COMPUTED_VALUE"""),"19 inch Sport")</f>
        <v>19 inch Sport</v>
      </c>
      <c r="Q370" t="str">
        <f>IFERROR(__xludf.DUMMYFUNCTION("""COMPUTED_VALUE"""),"Black seats")</f>
        <v>Black seats</v>
      </c>
      <c r="R370" t="str">
        <f>IFERROR(__xludf.DUMMYFUNCTION("""COMPUTED_VALUE"""),"Enhanced Autopilot")</f>
        <v>Enhanced Autopilot</v>
      </c>
      <c r="X370" t="str">
        <f>IFERROR(__xludf.DUMMYFUNCTION("""COMPUTED_VALUE"""),"Excellent")</f>
        <v>Excellent</v>
      </c>
      <c r="Y370" t="str">
        <f>IFERROR(__xludf.DUMMYFUNCTION("""COMPUTED_VALUE"""),"Excellent")</f>
        <v>Excellent</v>
      </c>
      <c r="Z370" t="str">
        <f>IFERROR(__xludf.DUMMYFUNCTION("""COMPUTED_VALUE"""),"Excellent")</f>
        <v>Excellent</v>
      </c>
      <c r="AA370" t="str">
        <f>IFERROR(__xludf.DUMMYFUNCTION("""COMPUTED_VALUE"""),"Very Good")</f>
        <v>Very Good</v>
      </c>
      <c r="AB370" t="str">
        <f>IFERROR(__xludf.DUMMYFUNCTION("""COMPUTED_VALUE"""),"Excellent")</f>
        <v>Excellent</v>
      </c>
      <c r="AC370">
        <f>IFERROR(__xludf.DUMMYFUNCTION("""COMPUTED_VALUE"""),0.0)</f>
        <v>0</v>
      </c>
      <c r="AD370">
        <f>IFERROR(__xludf.DUMMYFUNCTION("""COMPUTED_VALUE"""),0.0)</f>
        <v>0</v>
      </c>
      <c r="AE370">
        <f>IFERROR(__xludf.DUMMYFUNCTION("""COMPUTED_VALUE"""),0.0)</f>
        <v>0</v>
      </c>
      <c r="AH370" s="189">
        <f>IFERROR(__xludf.DUMMYFUNCTION("""COMPUTED_VALUE"""),43310.446071631945)</f>
        <v>43310.44607</v>
      </c>
    </row>
    <row r="371">
      <c r="A371" t="str">
        <f>IFERROR(__xludf.DUMMYFUNCTION("""COMPUTED_VALUE"""),"JamO")</f>
        <v>JamO</v>
      </c>
      <c r="B371" t="str">
        <f>IFERROR(__xludf.DUMMYFUNCTION("""COMPUTED_VALUE"""),"Chicago")</f>
        <v>Chicago</v>
      </c>
      <c r="C371" t="str">
        <f>IFERROR(__xludf.DUMMYFUNCTION("""COMPUTED_VALUE"""),"IL")</f>
        <v>IL</v>
      </c>
      <c r="D371" t="str">
        <f>IFERROR(__xludf.DUMMYFUNCTION("""COMPUTED_VALUE"""),"USA")</f>
        <v>USA</v>
      </c>
      <c r="E371" s="188">
        <f>IFERROR(__xludf.DUMMYFUNCTION("""COMPUTED_VALUE"""),43277.0)</f>
        <v>43277</v>
      </c>
      <c r="F371" s="188">
        <f>IFERROR(__xludf.DUMMYFUNCTION("""COMPUTED_VALUE"""),43281.0)</f>
        <v>43281</v>
      </c>
      <c r="H371">
        <f>IFERROR(__xludf.DUMMYFUNCTION("""COMPUTED_VALUE"""),38245.0)</f>
        <v>38245</v>
      </c>
      <c r="J371" s="5">
        <f>IFERROR(__xludf.DUMMYFUNCTION("""COMPUTED_VALUE"""),43293.0)</f>
        <v>43293</v>
      </c>
      <c r="K371">
        <f>IFERROR(__xludf.DUMMYFUNCTION("""COMPUTED_VALUE"""),4.0)</f>
        <v>4</v>
      </c>
      <c r="L371">
        <f>IFERROR(__xludf.DUMMYFUNCTION("""COMPUTED_VALUE"""),12.0)</f>
        <v>12</v>
      </c>
      <c r="M371">
        <f>IFERROR(__xludf.DUMMYFUNCTION("""COMPUTED_VALUE"""),16.0)</f>
        <v>16</v>
      </c>
      <c r="N371" t="str">
        <f>IFERROR(__xludf.DUMMYFUNCTION("""COMPUTED_VALUE"""),"Model 3 LR")</f>
        <v>Model 3 LR</v>
      </c>
      <c r="O371" t="str">
        <f>IFERROR(__xludf.DUMMYFUNCTION("""COMPUTED_VALUE"""),"Deep Blue Metallic")</f>
        <v>Deep Blue Metallic</v>
      </c>
      <c r="P371" t="str">
        <f>IFERROR(__xludf.DUMMYFUNCTION("""COMPUTED_VALUE"""),"18 inch Aero")</f>
        <v>18 inch Aero</v>
      </c>
      <c r="Q371" t="str">
        <f>IFERROR(__xludf.DUMMYFUNCTION("""COMPUTED_VALUE"""),"Black seats")</f>
        <v>Black seats</v>
      </c>
      <c r="R371" t="str">
        <f>IFERROR(__xludf.DUMMYFUNCTION("""COMPUTED_VALUE"""),"Full Self-Driving")</f>
        <v>Full Self-Driving</v>
      </c>
      <c r="X371" t="str">
        <f>IFERROR(__xludf.DUMMYFUNCTION("""COMPUTED_VALUE"""),"Excellent")</f>
        <v>Excellent</v>
      </c>
      <c r="Y371" t="str">
        <f>IFERROR(__xludf.DUMMYFUNCTION("""COMPUTED_VALUE"""),"Excellent")</f>
        <v>Excellent</v>
      </c>
      <c r="Z371" t="str">
        <f>IFERROR(__xludf.DUMMYFUNCTION("""COMPUTED_VALUE"""),"Excellent")</f>
        <v>Excellent</v>
      </c>
      <c r="AA371" t="str">
        <f>IFERROR(__xludf.DUMMYFUNCTION("""COMPUTED_VALUE"""),"Excellent")</f>
        <v>Excellent</v>
      </c>
      <c r="AB371" t="str">
        <f>IFERROR(__xludf.DUMMYFUNCTION("""COMPUTED_VALUE"""),"Excellent")</f>
        <v>Excellent</v>
      </c>
      <c r="AC371">
        <f>IFERROR(__xludf.DUMMYFUNCTION("""COMPUTED_VALUE"""),0.0)</f>
        <v>0</v>
      </c>
      <c r="AD371">
        <f>IFERROR(__xludf.DUMMYFUNCTION("""COMPUTED_VALUE"""),0.0)</f>
        <v>0</v>
      </c>
      <c r="AE371">
        <f>IFERROR(__xludf.DUMMYFUNCTION("""COMPUTED_VALUE"""),0.0)</f>
        <v>0</v>
      </c>
      <c r="AG371" t="str">
        <f>IFERROR(__xludf.DUMMYFUNCTION("""COMPUTED_VALUE"""),"Non LR - gave in and ordered he LR - was invited on 4/18/18")</f>
        <v>Non LR - gave in and ordered he LR - was invited on 4/18/18</v>
      </c>
      <c r="AH371" s="189">
        <f>IFERROR(__xludf.DUMMYFUNCTION("""COMPUTED_VALUE"""),43310.84199020833)</f>
        <v>43310.84199</v>
      </c>
    </row>
    <row r="372">
      <c r="A372" t="str">
        <f>IFERROR(__xludf.DUMMYFUNCTION("""COMPUTED_VALUE"""),"kenypowa")</f>
        <v>kenypowa</v>
      </c>
      <c r="B372" t="str">
        <f>IFERROR(__xludf.DUMMYFUNCTION("""COMPUTED_VALUE"""),"Calgary")</f>
        <v>Calgary</v>
      </c>
      <c r="C372" t="str">
        <f>IFERROR(__xludf.DUMMYFUNCTION("""COMPUTED_VALUE"""),"AB")</f>
        <v>AB</v>
      </c>
      <c r="D372" t="str">
        <f>IFERROR(__xludf.DUMMYFUNCTION("""COMPUTED_VALUE"""),"Canada")</f>
        <v>Canada</v>
      </c>
      <c r="E372" s="188">
        <f>IFERROR(__xludf.DUMMYFUNCTION("""COMPUTED_VALUE"""),43244.0)</f>
        <v>43244</v>
      </c>
      <c r="F372" s="188">
        <f>IFERROR(__xludf.DUMMYFUNCTION("""COMPUTED_VALUE"""),43249.0)</f>
        <v>43249</v>
      </c>
      <c r="H372">
        <f>IFERROR(__xludf.DUMMYFUNCTION("""COMPUTED_VALUE"""),18755.0)</f>
        <v>18755</v>
      </c>
      <c r="I372" t="str">
        <f>IFERROR(__xludf.DUMMYFUNCTION("""COMPUTED_VALUE"""),"05/18")</f>
        <v>05/18</v>
      </c>
      <c r="J372" s="5">
        <f>IFERROR(__xludf.DUMMYFUNCTION("""COMPUTED_VALUE"""),43272.0)</f>
        <v>43272</v>
      </c>
      <c r="K372">
        <f>IFERROR(__xludf.DUMMYFUNCTION("""COMPUTED_VALUE"""),5.0)</f>
        <v>5</v>
      </c>
      <c r="L372">
        <f>IFERROR(__xludf.DUMMYFUNCTION("""COMPUTED_VALUE"""),23.0)</f>
        <v>23</v>
      </c>
      <c r="M372">
        <f>IFERROR(__xludf.DUMMYFUNCTION("""COMPUTED_VALUE"""),28.0)</f>
        <v>28</v>
      </c>
      <c r="N372" t="str">
        <f>IFERROR(__xludf.DUMMYFUNCTION("""COMPUTED_VALUE"""),"Model 3 LR")</f>
        <v>Model 3 LR</v>
      </c>
      <c r="O372" t="str">
        <f>IFERROR(__xludf.DUMMYFUNCTION("""COMPUTED_VALUE"""),"Silver Metallic")</f>
        <v>Silver Metallic</v>
      </c>
      <c r="P372" t="str">
        <f>IFERROR(__xludf.DUMMYFUNCTION("""COMPUTED_VALUE"""),"18 inch Aero")</f>
        <v>18 inch Aero</v>
      </c>
      <c r="Q372" t="str">
        <f>IFERROR(__xludf.DUMMYFUNCTION("""COMPUTED_VALUE"""),"Black seats")</f>
        <v>Black seats</v>
      </c>
      <c r="R372" t="str">
        <f>IFERROR(__xludf.DUMMYFUNCTION("""COMPUTED_VALUE"""),"Enhanced Autopilot")</f>
        <v>Enhanced Autopilot</v>
      </c>
      <c r="X372" t="str">
        <f>IFERROR(__xludf.DUMMYFUNCTION("""COMPUTED_VALUE"""),"Excellent")</f>
        <v>Excellent</v>
      </c>
      <c r="Y372" t="str">
        <f>IFERROR(__xludf.DUMMYFUNCTION("""COMPUTED_VALUE"""),"Excellent")</f>
        <v>Excellent</v>
      </c>
      <c r="Z372" t="str">
        <f>IFERROR(__xludf.DUMMYFUNCTION("""COMPUTED_VALUE"""),"Excellent")</f>
        <v>Excellent</v>
      </c>
      <c r="AA372" t="str">
        <f>IFERROR(__xludf.DUMMYFUNCTION("""COMPUTED_VALUE"""),"Excellent")</f>
        <v>Excellent</v>
      </c>
      <c r="AB372" t="str">
        <f>IFERROR(__xludf.DUMMYFUNCTION("""COMPUTED_VALUE"""),"Excellent")</f>
        <v>Excellent</v>
      </c>
      <c r="AC372">
        <f>IFERROR(__xludf.DUMMYFUNCTION("""COMPUTED_VALUE"""),0.0)</f>
        <v>0</v>
      </c>
      <c r="AD372">
        <f>IFERROR(__xludf.DUMMYFUNCTION("""COMPUTED_VALUE"""),1.0)</f>
        <v>1</v>
      </c>
      <c r="AE372">
        <f>IFERROR(__xludf.DUMMYFUNCTION("""COMPUTED_VALUE"""),0.0)</f>
        <v>0</v>
      </c>
      <c r="AH372" s="189">
        <f>IFERROR(__xludf.DUMMYFUNCTION("""COMPUTED_VALUE"""),43312.33526478009)</f>
        <v>43312.33526</v>
      </c>
    </row>
    <row r="373">
      <c r="A373" t="str">
        <f>IFERROR(__xludf.DUMMYFUNCTION("""COMPUTED_VALUE"""),"Wingles")</f>
        <v>Wingles</v>
      </c>
      <c r="B373" t="str">
        <f>IFERROR(__xludf.DUMMYFUNCTION("""COMPUTED_VALUE"""),"Scotts Valley")</f>
        <v>Scotts Valley</v>
      </c>
      <c r="C373" t="str">
        <f>IFERROR(__xludf.DUMMYFUNCTION("""COMPUTED_VALUE"""),"CA")</f>
        <v>CA</v>
      </c>
      <c r="D373" t="str">
        <f>IFERROR(__xludf.DUMMYFUNCTION("""COMPUTED_VALUE"""),"USA")</f>
        <v>USA</v>
      </c>
      <c r="E373" s="188">
        <f>IFERROR(__xludf.DUMMYFUNCTION("""COMPUTED_VALUE"""),43212.0)</f>
        <v>43212</v>
      </c>
      <c r="F373" s="188">
        <f>IFERROR(__xludf.DUMMYFUNCTION("""COMPUTED_VALUE"""),43293.0)</f>
        <v>43293</v>
      </c>
      <c r="H373">
        <f>IFERROR(__xludf.DUMMYFUNCTION("""COMPUTED_VALUE"""),48755.0)</f>
        <v>48755</v>
      </c>
      <c r="J373" s="5">
        <f>IFERROR(__xludf.DUMMYFUNCTION("""COMPUTED_VALUE"""),43296.0)</f>
        <v>43296</v>
      </c>
      <c r="K373">
        <f>IFERROR(__xludf.DUMMYFUNCTION("""COMPUTED_VALUE"""),81.0)</f>
        <v>81</v>
      </c>
      <c r="L373">
        <f>IFERROR(__xludf.DUMMYFUNCTION("""COMPUTED_VALUE"""),3.0)</f>
        <v>3</v>
      </c>
      <c r="M373">
        <f>IFERROR(__xludf.DUMMYFUNCTION("""COMPUTED_VALUE"""),84.0)</f>
        <v>84</v>
      </c>
      <c r="N373" t="str">
        <f>IFERROR(__xludf.DUMMYFUNCTION("""COMPUTED_VALUE"""),"Model 3 LR")</f>
        <v>Model 3 LR</v>
      </c>
      <c r="O373" t="str">
        <f>IFERROR(__xludf.DUMMYFUNCTION("""COMPUTED_VALUE"""),"Red Multi-Coat")</f>
        <v>Red Multi-Coat</v>
      </c>
      <c r="P373" t="str">
        <f>IFERROR(__xludf.DUMMYFUNCTION("""COMPUTED_VALUE"""),"19 inch Sport")</f>
        <v>19 inch Sport</v>
      </c>
      <c r="Q373" t="str">
        <f>IFERROR(__xludf.DUMMYFUNCTION("""COMPUTED_VALUE"""),"Black seats")</f>
        <v>Black seats</v>
      </c>
      <c r="R373" t="str">
        <f>IFERROR(__xludf.DUMMYFUNCTION("""COMPUTED_VALUE"""),"Full Self-Driving")</f>
        <v>Full Self-Driving</v>
      </c>
      <c r="X373" t="str">
        <f>IFERROR(__xludf.DUMMYFUNCTION("""COMPUTED_VALUE"""),"Excellent")</f>
        <v>Excellent</v>
      </c>
      <c r="Y373" t="str">
        <f>IFERROR(__xludf.DUMMYFUNCTION("""COMPUTED_VALUE"""),"Excellent")</f>
        <v>Excellent</v>
      </c>
      <c r="Z373" t="str">
        <f>IFERROR(__xludf.DUMMYFUNCTION("""COMPUTED_VALUE"""),"Good")</f>
        <v>Good</v>
      </c>
      <c r="AA373" t="str">
        <f>IFERROR(__xludf.DUMMYFUNCTION("""COMPUTED_VALUE"""),"Poor")</f>
        <v>Poor</v>
      </c>
      <c r="AB373" t="str">
        <f>IFERROR(__xludf.DUMMYFUNCTION("""COMPUTED_VALUE"""),"Good")</f>
        <v>Good</v>
      </c>
      <c r="AC373">
        <f>IFERROR(__xludf.DUMMYFUNCTION("""COMPUTED_VALUE"""),1.0)</f>
        <v>1</v>
      </c>
      <c r="AD373">
        <f>IFERROR(__xludf.DUMMYFUNCTION("""COMPUTED_VALUE"""),1.0)</f>
        <v>1</v>
      </c>
      <c r="AH373" s="189">
        <f>IFERROR(__xludf.DUMMYFUNCTION("""COMPUTED_VALUE"""),43312.538237256944)</f>
        <v>43312.53824</v>
      </c>
    </row>
    <row r="374">
      <c r="A374" t="str">
        <f>IFERROR(__xludf.DUMMYFUNCTION("""COMPUTED_VALUE"""),"kallis")</f>
        <v>kallis</v>
      </c>
      <c r="C374" t="str">
        <f>IFERROR(__xludf.DUMMYFUNCTION("""COMPUTED_VALUE"""),"GA")</f>
        <v>GA</v>
      </c>
      <c r="D374" t="str">
        <f>IFERROR(__xludf.DUMMYFUNCTION("""COMPUTED_VALUE"""),"USA")</f>
        <v>USA</v>
      </c>
      <c r="E374" s="188">
        <f>IFERROR(__xludf.DUMMYFUNCTION("""COMPUTED_VALUE"""),43279.0)</f>
        <v>43279</v>
      </c>
      <c r="F374" s="188">
        <f>IFERROR(__xludf.DUMMYFUNCTION("""COMPUTED_VALUE"""),43304.0)</f>
        <v>43304</v>
      </c>
      <c r="H374">
        <f>IFERROR(__xludf.DUMMYFUNCTION("""COMPUTED_VALUE"""),48655.0)</f>
        <v>48655</v>
      </c>
      <c r="J374" s="5">
        <f>IFERROR(__xludf.DUMMYFUNCTION("""COMPUTED_VALUE"""),43309.0)</f>
        <v>43309</v>
      </c>
      <c r="K374">
        <f>IFERROR(__xludf.DUMMYFUNCTION("""COMPUTED_VALUE"""),25.0)</f>
        <v>25</v>
      </c>
      <c r="L374">
        <f>IFERROR(__xludf.DUMMYFUNCTION("""COMPUTED_VALUE"""),5.0)</f>
        <v>5</v>
      </c>
      <c r="M374">
        <f>IFERROR(__xludf.DUMMYFUNCTION("""COMPUTED_VALUE"""),30.0)</f>
        <v>30</v>
      </c>
      <c r="N374" t="str">
        <f>IFERROR(__xludf.DUMMYFUNCTION("""COMPUTED_VALUE"""),"Model 3 LR")</f>
        <v>Model 3 LR</v>
      </c>
      <c r="O374" t="str">
        <f>IFERROR(__xludf.DUMMYFUNCTION("""COMPUTED_VALUE"""),"Silver Metallic")</f>
        <v>Silver Metallic</v>
      </c>
      <c r="P374" t="str">
        <f>IFERROR(__xludf.DUMMYFUNCTION("""COMPUTED_VALUE"""),"19 inch Sport")</f>
        <v>19 inch Sport</v>
      </c>
      <c r="Q374" t="str">
        <f>IFERROR(__xludf.DUMMYFUNCTION("""COMPUTED_VALUE"""),"Black seats")</f>
        <v>Black seats</v>
      </c>
      <c r="R374" t="str">
        <f>IFERROR(__xludf.DUMMYFUNCTION("""COMPUTED_VALUE"""),"Enhanced Autopilot")</f>
        <v>Enhanced Autopilot</v>
      </c>
      <c r="X374" t="str">
        <f>IFERROR(__xludf.DUMMYFUNCTION("""COMPUTED_VALUE"""),"Excellent")</f>
        <v>Excellent</v>
      </c>
      <c r="Y374" t="str">
        <f>IFERROR(__xludf.DUMMYFUNCTION("""COMPUTED_VALUE"""),"Excellent")</f>
        <v>Excellent</v>
      </c>
      <c r="Z374" t="str">
        <f>IFERROR(__xludf.DUMMYFUNCTION("""COMPUTED_VALUE"""),"Excellent")</f>
        <v>Excellent</v>
      </c>
      <c r="AA374" t="str">
        <f>IFERROR(__xludf.DUMMYFUNCTION("""COMPUTED_VALUE"""),"Excellent")</f>
        <v>Excellent</v>
      </c>
      <c r="AB374" t="str">
        <f>IFERROR(__xludf.DUMMYFUNCTION("""COMPUTED_VALUE"""),"Fair")</f>
        <v>Fair</v>
      </c>
      <c r="AC374">
        <f>IFERROR(__xludf.DUMMYFUNCTION("""COMPUTED_VALUE"""),0.0)</f>
        <v>0</v>
      </c>
      <c r="AH374" s="189">
        <f>IFERROR(__xludf.DUMMYFUNCTION("""COMPUTED_VALUE"""),43312.631886550924)</f>
        <v>43312.63189</v>
      </c>
    </row>
    <row r="375">
      <c r="A375" t="str">
        <f>IFERROR(__xludf.DUMMYFUNCTION("""COMPUTED_VALUE"""),"omo")</f>
        <v>omo</v>
      </c>
      <c r="C375" t="str">
        <f>IFERROR(__xludf.DUMMYFUNCTION("""COMPUTED_VALUE"""),"NJ")</f>
        <v>NJ</v>
      </c>
      <c r="D375" t="str">
        <f>IFERROR(__xludf.DUMMYFUNCTION("""COMPUTED_VALUE"""),"USA")</f>
        <v>USA</v>
      </c>
      <c r="E375" s="188">
        <f>IFERROR(__xludf.DUMMYFUNCTION("""COMPUTED_VALUE"""),43298.0)</f>
        <v>43298</v>
      </c>
      <c r="F375" s="188">
        <f>IFERROR(__xludf.DUMMYFUNCTION("""COMPUTED_VALUE"""),43299.0)</f>
        <v>43299</v>
      </c>
      <c r="H375">
        <f>IFERROR(__xludf.DUMMYFUNCTION("""COMPUTED_VALUE"""),42555.0)</f>
        <v>42555</v>
      </c>
      <c r="J375" s="5">
        <f>IFERROR(__xludf.DUMMYFUNCTION("""COMPUTED_VALUE"""),43312.0)</f>
        <v>43312</v>
      </c>
      <c r="K375">
        <f>IFERROR(__xludf.DUMMYFUNCTION("""COMPUTED_VALUE"""),1.0)</f>
        <v>1</v>
      </c>
      <c r="L375">
        <f>IFERROR(__xludf.DUMMYFUNCTION("""COMPUTED_VALUE"""),13.0)</f>
        <v>13</v>
      </c>
      <c r="M375">
        <f>IFERROR(__xludf.DUMMYFUNCTION("""COMPUTED_VALUE"""),14.0)</f>
        <v>14</v>
      </c>
      <c r="N375" t="str">
        <f>IFERROR(__xludf.DUMMYFUNCTION("""COMPUTED_VALUE"""),"Model 3 LR")</f>
        <v>Model 3 LR</v>
      </c>
      <c r="O375" t="str">
        <f>IFERROR(__xludf.DUMMYFUNCTION("""COMPUTED_VALUE"""),"Solid Black")</f>
        <v>Solid Black</v>
      </c>
      <c r="P375" t="str">
        <f>IFERROR(__xludf.DUMMYFUNCTION("""COMPUTED_VALUE"""),"19 inch Sport")</f>
        <v>19 inch Sport</v>
      </c>
      <c r="Q375" t="str">
        <f>IFERROR(__xludf.DUMMYFUNCTION("""COMPUTED_VALUE"""),"Black seats")</f>
        <v>Black seats</v>
      </c>
      <c r="R375" t="str">
        <f>IFERROR(__xludf.DUMMYFUNCTION("""COMPUTED_VALUE"""),"Enhanced Autopilot")</f>
        <v>Enhanced Autopilot</v>
      </c>
      <c r="X375" t="str">
        <f>IFERROR(__xludf.DUMMYFUNCTION("""COMPUTED_VALUE"""),"Very Good")</f>
        <v>Very Good</v>
      </c>
      <c r="Y375" t="str">
        <f>IFERROR(__xludf.DUMMYFUNCTION("""COMPUTED_VALUE"""),"Very Good")</f>
        <v>Very Good</v>
      </c>
      <c r="Z375" t="str">
        <f>IFERROR(__xludf.DUMMYFUNCTION("""COMPUTED_VALUE"""),"Excellent")</f>
        <v>Excellent</v>
      </c>
      <c r="AA375" t="str">
        <f>IFERROR(__xludf.DUMMYFUNCTION("""COMPUTED_VALUE"""),"Excellent")</f>
        <v>Excellent</v>
      </c>
      <c r="AB375" t="str">
        <f>IFERROR(__xludf.DUMMYFUNCTION("""COMPUTED_VALUE"""),"Very Good")</f>
        <v>Very Good</v>
      </c>
      <c r="AH375" s="189">
        <f>IFERROR(__xludf.DUMMYFUNCTION("""COMPUTED_VALUE"""),43312.657276655096)</f>
        <v>43312.65728</v>
      </c>
    </row>
    <row r="376">
      <c r="A376" t="str">
        <f>IFERROR(__xludf.DUMMYFUNCTION("""COMPUTED_VALUE"""),"VBRaj66")</f>
        <v>VBRaj66</v>
      </c>
      <c r="B376" t="str">
        <f>IFERROR(__xludf.DUMMYFUNCTION("""COMPUTED_VALUE"""),"San Diego")</f>
        <v>San Diego</v>
      </c>
      <c r="C376" t="str">
        <f>IFERROR(__xludf.DUMMYFUNCTION("""COMPUTED_VALUE"""),"CA")</f>
        <v>CA</v>
      </c>
      <c r="D376" t="str">
        <f>IFERROR(__xludf.DUMMYFUNCTION("""COMPUTED_VALUE"""),"USA")</f>
        <v>USA</v>
      </c>
      <c r="E376" s="188">
        <f>IFERROR(__xludf.DUMMYFUNCTION("""COMPUTED_VALUE"""),43182.0)</f>
        <v>43182</v>
      </c>
      <c r="F376" s="188">
        <f>IFERROR(__xludf.DUMMYFUNCTION("""COMPUTED_VALUE"""),43202.0)</f>
        <v>43202</v>
      </c>
      <c r="H376">
        <f>IFERROR(__xludf.DUMMYFUNCTION("""COMPUTED_VALUE"""),14655.0)</f>
        <v>14655</v>
      </c>
      <c r="I376" t="str">
        <f>IFERROR(__xludf.DUMMYFUNCTION("""COMPUTED_VALUE"""),"04/18")</f>
        <v>04/18</v>
      </c>
      <c r="J376" s="5">
        <f>IFERROR(__xludf.DUMMYFUNCTION("""COMPUTED_VALUE"""),43214.0)</f>
        <v>43214</v>
      </c>
      <c r="K376">
        <f>IFERROR(__xludf.DUMMYFUNCTION("""COMPUTED_VALUE"""),20.0)</f>
        <v>20</v>
      </c>
      <c r="L376">
        <f>IFERROR(__xludf.DUMMYFUNCTION("""COMPUTED_VALUE"""),12.0)</f>
        <v>12</v>
      </c>
      <c r="M376">
        <f>IFERROR(__xludf.DUMMYFUNCTION("""COMPUTED_VALUE"""),32.0)</f>
        <v>32</v>
      </c>
      <c r="N376" t="str">
        <f>IFERROR(__xludf.DUMMYFUNCTION("""COMPUTED_VALUE"""),"Model 3 LR")</f>
        <v>Model 3 LR</v>
      </c>
      <c r="O376" t="str">
        <f>IFERROR(__xludf.DUMMYFUNCTION("""COMPUTED_VALUE"""),"Deep Blue Metallic")</f>
        <v>Deep Blue Metallic</v>
      </c>
      <c r="P376" t="str">
        <f>IFERROR(__xludf.DUMMYFUNCTION("""COMPUTED_VALUE"""),"18 inch Aero")</f>
        <v>18 inch Aero</v>
      </c>
      <c r="Q376" t="str">
        <f>IFERROR(__xludf.DUMMYFUNCTION("""COMPUTED_VALUE"""),"Black seats")</f>
        <v>Black seats</v>
      </c>
      <c r="R376" t="str">
        <f>IFERROR(__xludf.DUMMYFUNCTION("""COMPUTED_VALUE"""),"Full Self-Driving")</f>
        <v>Full Self-Driving</v>
      </c>
      <c r="X376" t="str">
        <f>IFERROR(__xludf.DUMMYFUNCTION("""COMPUTED_VALUE"""),"Excellent")</f>
        <v>Excellent</v>
      </c>
      <c r="Y376" t="str">
        <f>IFERROR(__xludf.DUMMYFUNCTION("""COMPUTED_VALUE"""),"Excellent")</f>
        <v>Excellent</v>
      </c>
      <c r="Z376" t="str">
        <f>IFERROR(__xludf.DUMMYFUNCTION("""COMPUTED_VALUE"""),"Very Good")</f>
        <v>Very Good</v>
      </c>
      <c r="AA376" t="str">
        <f>IFERROR(__xludf.DUMMYFUNCTION("""COMPUTED_VALUE"""),"Very Good")</f>
        <v>Very Good</v>
      </c>
      <c r="AB376" t="str">
        <f>IFERROR(__xludf.DUMMYFUNCTION("""COMPUTED_VALUE"""),"Excellent")</f>
        <v>Excellent</v>
      </c>
      <c r="AC376">
        <f>IFERROR(__xludf.DUMMYFUNCTION("""COMPUTED_VALUE"""),1.0)</f>
        <v>1</v>
      </c>
      <c r="AD376">
        <f>IFERROR(__xludf.DUMMYFUNCTION("""COMPUTED_VALUE"""),1.0)</f>
        <v>1</v>
      </c>
      <c r="AE376">
        <f>IFERROR(__xludf.DUMMYFUNCTION("""COMPUTED_VALUE"""),3.0)</f>
        <v>3</v>
      </c>
      <c r="AG376" t="str">
        <f>IFERROR(__xludf.DUMMYFUNCTION("""COMPUTED_VALUE"""),"Replaced steering control module")</f>
        <v>Replaced steering control module</v>
      </c>
      <c r="AH376" s="189">
        <f>IFERROR(__xludf.DUMMYFUNCTION("""COMPUTED_VALUE"""),43312.7069471412)</f>
        <v>43312.70695</v>
      </c>
    </row>
    <row r="377">
      <c r="A377" t="str">
        <f>IFERROR(__xludf.DUMMYFUNCTION("""COMPUTED_VALUE"""),"evannole")</f>
        <v>evannole</v>
      </c>
      <c r="B377" t="str">
        <f>IFERROR(__xludf.DUMMYFUNCTION("""COMPUTED_VALUE"""),"Marietta")</f>
        <v>Marietta</v>
      </c>
      <c r="C377" t="str">
        <f>IFERROR(__xludf.DUMMYFUNCTION("""COMPUTED_VALUE"""),"GA")</f>
        <v>GA</v>
      </c>
      <c r="D377" t="str">
        <f>IFERROR(__xludf.DUMMYFUNCTION("""COMPUTED_VALUE"""),"USA")</f>
        <v>USA</v>
      </c>
      <c r="E377" s="188">
        <f>IFERROR(__xludf.DUMMYFUNCTION("""COMPUTED_VALUE"""),43280.0)</f>
        <v>43280</v>
      </c>
      <c r="F377" s="188">
        <f>IFERROR(__xludf.DUMMYFUNCTION("""COMPUTED_VALUE"""),43287.0)</f>
        <v>43287</v>
      </c>
      <c r="H377">
        <f>IFERROR(__xludf.DUMMYFUNCTION("""COMPUTED_VALUE"""),33855.0)</f>
        <v>33855</v>
      </c>
      <c r="I377" t="str">
        <f>IFERROR(__xludf.DUMMYFUNCTION("""COMPUTED_VALUE"""),"06/18")</f>
        <v>06/18</v>
      </c>
      <c r="J377" s="5">
        <f>IFERROR(__xludf.DUMMYFUNCTION("""COMPUTED_VALUE"""),43294.0)</f>
        <v>43294</v>
      </c>
      <c r="K377">
        <f>IFERROR(__xludf.DUMMYFUNCTION("""COMPUTED_VALUE"""),7.0)</f>
        <v>7</v>
      </c>
      <c r="L377">
        <f>IFERROR(__xludf.DUMMYFUNCTION("""COMPUTED_VALUE"""),7.0)</f>
        <v>7</v>
      </c>
      <c r="M377">
        <f>IFERROR(__xludf.DUMMYFUNCTION("""COMPUTED_VALUE"""),14.0)</f>
        <v>14</v>
      </c>
      <c r="N377" t="str">
        <f>IFERROR(__xludf.DUMMYFUNCTION("""COMPUTED_VALUE"""),"Model 3 LR")</f>
        <v>Model 3 LR</v>
      </c>
      <c r="O377" t="str">
        <f>IFERROR(__xludf.DUMMYFUNCTION("""COMPUTED_VALUE"""),"Midnight Silver Metallic")</f>
        <v>Midnight Silver Metallic</v>
      </c>
      <c r="P377" t="str">
        <f>IFERROR(__xludf.DUMMYFUNCTION("""COMPUTED_VALUE"""),"18 inch Aero")</f>
        <v>18 inch Aero</v>
      </c>
      <c r="Q377" t="str">
        <f>IFERROR(__xludf.DUMMYFUNCTION("""COMPUTED_VALUE"""),"Black seats")</f>
        <v>Black seats</v>
      </c>
      <c r="R377" t="str">
        <f>IFERROR(__xludf.DUMMYFUNCTION("""COMPUTED_VALUE"""),"Enhanced Autopilot")</f>
        <v>Enhanced Autopilot</v>
      </c>
      <c r="X377" t="str">
        <f>IFERROR(__xludf.DUMMYFUNCTION("""COMPUTED_VALUE"""),"Excellent")</f>
        <v>Excellent</v>
      </c>
      <c r="Y377" t="str">
        <f>IFERROR(__xludf.DUMMYFUNCTION("""COMPUTED_VALUE"""),"Excellent")</f>
        <v>Excellent</v>
      </c>
      <c r="Z377" t="str">
        <f>IFERROR(__xludf.DUMMYFUNCTION("""COMPUTED_VALUE"""),"Excellent")</f>
        <v>Excellent</v>
      </c>
      <c r="AA377" t="str">
        <f>IFERROR(__xludf.DUMMYFUNCTION("""COMPUTED_VALUE"""),"Very Good")</f>
        <v>Very Good</v>
      </c>
      <c r="AB377" t="str">
        <f>IFERROR(__xludf.DUMMYFUNCTION("""COMPUTED_VALUE"""),"Very Good")</f>
        <v>Very Good</v>
      </c>
      <c r="AH377" s="189">
        <f>IFERROR(__xludf.DUMMYFUNCTION("""COMPUTED_VALUE"""),43312.71838466435)</f>
        <v>43312.71838</v>
      </c>
    </row>
    <row r="378">
      <c r="A378" t="str">
        <f>IFERROR(__xludf.DUMMYFUNCTION("""COMPUTED_VALUE"""),"BenR")</f>
        <v>BenR</v>
      </c>
      <c r="B378" t="str">
        <f>IFERROR(__xludf.DUMMYFUNCTION("""COMPUTED_VALUE"""),"Murfreesboro")</f>
        <v>Murfreesboro</v>
      </c>
      <c r="C378" t="str">
        <f>IFERROR(__xludf.DUMMYFUNCTION("""COMPUTED_VALUE"""),"TN")</f>
        <v>TN</v>
      </c>
      <c r="D378" t="str">
        <f>IFERROR(__xludf.DUMMYFUNCTION("""COMPUTED_VALUE"""),"USA")</f>
        <v>USA</v>
      </c>
      <c r="E378" s="188">
        <f>IFERROR(__xludf.DUMMYFUNCTION("""COMPUTED_VALUE"""),43278.0)</f>
        <v>43278</v>
      </c>
      <c r="F378" s="188">
        <f>IFERROR(__xludf.DUMMYFUNCTION("""COMPUTED_VALUE"""),43283.0)</f>
        <v>43283</v>
      </c>
      <c r="H378">
        <f>IFERROR(__xludf.DUMMYFUNCTION("""COMPUTED_VALUE"""),22955.0)</f>
        <v>22955</v>
      </c>
      <c r="I378" t="str">
        <f>IFERROR(__xludf.DUMMYFUNCTION("""COMPUTED_VALUE"""),"06/18")</f>
        <v>06/18</v>
      </c>
      <c r="J378" s="5">
        <f>IFERROR(__xludf.DUMMYFUNCTION("""COMPUTED_VALUE"""),43291.0)</f>
        <v>43291</v>
      </c>
      <c r="K378">
        <f>IFERROR(__xludf.DUMMYFUNCTION("""COMPUTED_VALUE"""),5.0)</f>
        <v>5</v>
      </c>
      <c r="L378">
        <f>IFERROR(__xludf.DUMMYFUNCTION("""COMPUTED_VALUE"""),8.0)</f>
        <v>8</v>
      </c>
      <c r="M378">
        <f>IFERROR(__xludf.DUMMYFUNCTION("""COMPUTED_VALUE"""),13.0)</f>
        <v>13</v>
      </c>
      <c r="N378" t="str">
        <f>IFERROR(__xludf.DUMMYFUNCTION("""COMPUTED_VALUE"""),"Model 3 LR")</f>
        <v>Model 3 LR</v>
      </c>
      <c r="O378" t="str">
        <f>IFERROR(__xludf.DUMMYFUNCTION("""COMPUTED_VALUE"""),"Deep Blue Metallic")</f>
        <v>Deep Blue Metallic</v>
      </c>
      <c r="P378" t="str">
        <f>IFERROR(__xludf.DUMMYFUNCTION("""COMPUTED_VALUE"""),"18 inch Aero")</f>
        <v>18 inch Aero</v>
      </c>
      <c r="Q378" t="str">
        <f>IFERROR(__xludf.DUMMYFUNCTION("""COMPUTED_VALUE"""),"Black seats")</f>
        <v>Black seats</v>
      </c>
      <c r="R378" t="str">
        <f>IFERROR(__xludf.DUMMYFUNCTION("""COMPUTED_VALUE"""),"None")</f>
        <v>None</v>
      </c>
      <c r="X378" t="str">
        <f>IFERROR(__xludf.DUMMYFUNCTION("""COMPUTED_VALUE"""),"Excellent")</f>
        <v>Excellent</v>
      </c>
      <c r="Y378" t="str">
        <f>IFERROR(__xludf.DUMMYFUNCTION("""COMPUTED_VALUE"""),"Excellent")</f>
        <v>Excellent</v>
      </c>
      <c r="Z378" t="str">
        <f>IFERROR(__xludf.DUMMYFUNCTION("""COMPUTED_VALUE"""),"Excellent")</f>
        <v>Excellent</v>
      </c>
      <c r="AA378" t="str">
        <f>IFERROR(__xludf.DUMMYFUNCTION("""COMPUTED_VALUE"""),"Good")</f>
        <v>Good</v>
      </c>
      <c r="AB378" t="str">
        <f>IFERROR(__xludf.DUMMYFUNCTION("""COMPUTED_VALUE"""),"Very Good")</f>
        <v>Very Good</v>
      </c>
      <c r="AC378">
        <f>IFERROR(__xludf.DUMMYFUNCTION("""COMPUTED_VALUE"""),1.0)</f>
        <v>1</v>
      </c>
      <c r="AD378">
        <f>IFERROR(__xludf.DUMMYFUNCTION("""COMPUTED_VALUE"""),1.0)</f>
        <v>1</v>
      </c>
      <c r="AE378">
        <f>IFERROR(__xludf.DUMMYFUNCTION("""COMPUTED_VALUE"""),0.0)</f>
        <v>0</v>
      </c>
      <c r="AG378" t="str">
        <f>IFERROR(__xludf.DUMMYFUNCTION("""COMPUTED_VALUE"""),"Delivery delayed 4 days for trunk seals replacement")</f>
        <v>Delivery delayed 4 days for trunk seals replacement</v>
      </c>
      <c r="AH378" s="189">
        <f>IFERROR(__xludf.DUMMYFUNCTION("""COMPUTED_VALUE"""),43312.92504299768)</f>
        <v>43312.92504</v>
      </c>
    </row>
    <row r="379">
      <c r="A379" t="str">
        <f>IFERROR(__xludf.DUMMYFUNCTION("""COMPUTED_VALUE"""),"titanmiller")</f>
        <v>titanmiller</v>
      </c>
      <c r="B379" t="str">
        <f>IFERROR(__xludf.DUMMYFUNCTION("""COMPUTED_VALUE"""),"O'Fallon")</f>
        <v>O'Fallon</v>
      </c>
      <c r="C379" t="str">
        <f>IFERROR(__xludf.DUMMYFUNCTION("""COMPUTED_VALUE"""),"IL")</f>
        <v>IL</v>
      </c>
      <c r="D379" t="str">
        <f>IFERROR(__xludf.DUMMYFUNCTION("""COMPUTED_VALUE"""),"USA")</f>
        <v>USA</v>
      </c>
      <c r="E379" s="188">
        <f>IFERROR(__xludf.DUMMYFUNCTION("""COMPUTED_VALUE"""),43230.0)</f>
        <v>43230</v>
      </c>
      <c r="F379" s="188">
        <f>IFERROR(__xludf.DUMMYFUNCTION("""COMPUTED_VALUE"""),43266.0)</f>
        <v>43266</v>
      </c>
      <c r="H379">
        <f>IFERROR(__xludf.DUMMYFUNCTION("""COMPUTED_VALUE"""),34855.0)</f>
        <v>34855</v>
      </c>
      <c r="I379" t="str">
        <f>IFERROR(__xludf.DUMMYFUNCTION("""COMPUTED_VALUE"""),"06/18")</f>
        <v>06/18</v>
      </c>
      <c r="J379" s="5">
        <f>IFERROR(__xludf.DUMMYFUNCTION("""COMPUTED_VALUE"""),43297.0)</f>
        <v>43297</v>
      </c>
      <c r="K379">
        <f>IFERROR(__xludf.DUMMYFUNCTION("""COMPUTED_VALUE"""),36.0)</f>
        <v>36</v>
      </c>
      <c r="L379">
        <f>IFERROR(__xludf.DUMMYFUNCTION("""COMPUTED_VALUE"""),31.0)</f>
        <v>31</v>
      </c>
      <c r="M379">
        <f>IFERROR(__xludf.DUMMYFUNCTION("""COMPUTED_VALUE"""),67.0)</f>
        <v>67</v>
      </c>
      <c r="N379" t="str">
        <f>IFERROR(__xludf.DUMMYFUNCTION("""COMPUTED_VALUE"""),"Model 3 LR")</f>
        <v>Model 3 LR</v>
      </c>
      <c r="O379" t="str">
        <f>IFERROR(__xludf.DUMMYFUNCTION("""COMPUTED_VALUE"""),"Silver Metallic")</f>
        <v>Silver Metallic</v>
      </c>
      <c r="P379" t="str">
        <f>IFERROR(__xludf.DUMMYFUNCTION("""COMPUTED_VALUE"""),"18 inch Aero")</f>
        <v>18 inch Aero</v>
      </c>
      <c r="Q379" t="str">
        <f>IFERROR(__xludf.DUMMYFUNCTION("""COMPUTED_VALUE"""),"Black seats")</f>
        <v>Black seats</v>
      </c>
      <c r="R379" t="str">
        <f>IFERROR(__xludf.DUMMYFUNCTION("""COMPUTED_VALUE"""),"Enhanced Autopilot")</f>
        <v>Enhanced Autopilot</v>
      </c>
      <c r="X379" t="str">
        <f>IFERROR(__xludf.DUMMYFUNCTION("""COMPUTED_VALUE"""),"Excellent")</f>
        <v>Excellent</v>
      </c>
      <c r="Y379" t="str">
        <f>IFERROR(__xludf.DUMMYFUNCTION("""COMPUTED_VALUE"""),"Excellent")</f>
        <v>Excellent</v>
      </c>
      <c r="Z379" t="str">
        <f>IFERROR(__xludf.DUMMYFUNCTION("""COMPUTED_VALUE"""),"Excellent")</f>
        <v>Excellent</v>
      </c>
      <c r="AA379" t="str">
        <f>IFERROR(__xludf.DUMMYFUNCTION("""COMPUTED_VALUE"""),"Very Good")</f>
        <v>Very Good</v>
      </c>
      <c r="AB379" t="str">
        <f>IFERROR(__xludf.DUMMYFUNCTION("""COMPUTED_VALUE"""),"Very Good")</f>
        <v>Very Good</v>
      </c>
      <c r="AC379">
        <f>IFERROR(__xludf.DUMMYFUNCTION("""COMPUTED_VALUE"""),2.0)</f>
        <v>2</v>
      </c>
      <c r="AD379">
        <f>IFERROR(__xludf.DUMMYFUNCTION("""COMPUTED_VALUE"""),1.0)</f>
        <v>1</v>
      </c>
      <c r="AH379" s="189">
        <f>IFERROR(__xludf.DUMMYFUNCTION("""COMPUTED_VALUE"""),43313.45525704861)</f>
        <v>43313.45526</v>
      </c>
    </row>
    <row r="380">
      <c r="A380" t="str">
        <f>IFERROR(__xludf.DUMMYFUNCTION("""COMPUTED_VALUE"""),"Araex")</f>
        <v>Araex</v>
      </c>
      <c r="B380" t="str">
        <f>IFERROR(__xludf.DUMMYFUNCTION("""COMPUTED_VALUE"""),"Irvine")</f>
        <v>Irvine</v>
      </c>
      <c r="C380" t="str">
        <f>IFERROR(__xludf.DUMMYFUNCTION("""COMPUTED_VALUE"""),"CA")</f>
        <v>CA</v>
      </c>
      <c r="D380" t="str">
        <f>IFERROR(__xludf.DUMMYFUNCTION("""COMPUTED_VALUE"""),"USA")</f>
        <v>USA</v>
      </c>
      <c r="E380" s="188">
        <f>IFERROR(__xludf.DUMMYFUNCTION("""COMPUTED_VALUE"""),43278.0)</f>
        <v>43278</v>
      </c>
      <c r="F380" s="188">
        <f>IFERROR(__xludf.DUMMYFUNCTION("""COMPUTED_VALUE"""),43297.0)</f>
        <v>43297</v>
      </c>
      <c r="H380">
        <f>IFERROR(__xludf.DUMMYFUNCTION("""COMPUTED_VALUE"""),58655.0)</f>
        <v>58655</v>
      </c>
      <c r="I380" t="str">
        <f>IFERROR(__xludf.DUMMYFUNCTION("""COMPUTED_VALUE"""),"07/18")</f>
        <v>07/18</v>
      </c>
      <c r="J380" s="5">
        <f>IFERROR(__xludf.DUMMYFUNCTION("""COMPUTED_VALUE"""),43305.0)</f>
        <v>43305</v>
      </c>
      <c r="K380">
        <f>IFERROR(__xludf.DUMMYFUNCTION("""COMPUTED_VALUE"""),19.0)</f>
        <v>19</v>
      </c>
      <c r="L380">
        <f>IFERROR(__xludf.DUMMYFUNCTION("""COMPUTED_VALUE"""),8.0)</f>
        <v>8</v>
      </c>
      <c r="M380">
        <f>IFERROR(__xludf.DUMMYFUNCTION("""COMPUTED_VALUE"""),27.0)</f>
        <v>27</v>
      </c>
      <c r="N380" t="str">
        <f>IFERROR(__xludf.DUMMYFUNCTION("""COMPUTED_VALUE"""),"Model 3 LR")</f>
        <v>Model 3 LR</v>
      </c>
      <c r="O380" t="str">
        <f>IFERROR(__xludf.DUMMYFUNCTION("""COMPUTED_VALUE"""),"Pearl White Multi-Coat")</f>
        <v>Pearl White Multi-Coat</v>
      </c>
      <c r="P380" t="str">
        <f>IFERROR(__xludf.DUMMYFUNCTION("""COMPUTED_VALUE"""),"18 inch Aero")</f>
        <v>18 inch Aero</v>
      </c>
      <c r="Q380" t="str">
        <f>IFERROR(__xludf.DUMMYFUNCTION("""COMPUTED_VALUE"""),"Black seats")</f>
        <v>Black seats</v>
      </c>
      <c r="R380" t="str">
        <f>IFERROR(__xludf.DUMMYFUNCTION("""COMPUTED_VALUE"""),"None")</f>
        <v>None</v>
      </c>
      <c r="X380" t="str">
        <f>IFERROR(__xludf.DUMMYFUNCTION("""COMPUTED_VALUE"""),"Poor")</f>
        <v>Poor</v>
      </c>
      <c r="Y380" t="str">
        <f>IFERROR(__xludf.DUMMYFUNCTION("""COMPUTED_VALUE"""),"Fair")</f>
        <v>Fair</v>
      </c>
      <c r="Z380" t="str">
        <f>IFERROR(__xludf.DUMMYFUNCTION("""COMPUTED_VALUE"""),"Fair")</f>
        <v>Fair</v>
      </c>
      <c r="AA380" t="str">
        <f>IFERROR(__xludf.DUMMYFUNCTION("""COMPUTED_VALUE"""),"Poor")</f>
        <v>Poor</v>
      </c>
      <c r="AB380" t="str">
        <f>IFERROR(__xludf.DUMMYFUNCTION("""COMPUTED_VALUE"""),"Fair")</f>
        <v>Fair</v>
      </c>
      <c r="AC380">
        <f>IFERROR(__xludf.DUMMYFUNCTION("""COMPUTED_VALUE"""),5.0)</f>
        <v>5</v>
      </c>
      <c r="AD380">
        <f>IFERROR(__xludf.DUMMYFUNCTION("""COMPUTED_VALUE"""),1.0)</f>
        <v>1</v>
      </c>
      <c r="AH380" s="189">
        <f>IFERROR(__xludf.DUMMYFUNCTION("""COMPUTED_VALUE"""),43313.54882872685)</f>
        <v>43313.54883</v>
      </c>
    </row>
    <row r="381">
      <c r="A381" t="str">
        <f>IFERROR(__xludf.DUMMYFUNCTION("""COMPUTED_VALUE"""),"sfdhb")</f>
        <v>sfdhb</v>
      </c>
      <c r="C381" t="str">
        <f>IFERROR(__xludf.DUMMYFUNCTION("""COMPUTED_VALUE"""),"MN")</f>
        <v>MN</v>
      </c>
      <c r="D381" t="str">
        <f>IFERROR(__xludf.DUMMYFUNCTION("""COMPUTED_VALUE"""),"USA")</f>
        <v>USA</v>
      </c>
      <c r="E381" s="188">
        <f>IFERROR(__xludf.DUMMYFUNCTION("""COMPUTED_VALUE"""),43252.0)</f>
        <v>43252</v>
      </c>
      <c r="H381">
        <f>IFERROR(__xludf.DUMMYFUNCTION("""COMPUTED_VALUE"""),41517.0)</f>
        <v>41517</v>
      </c>
      <c r="J381" s="5">
        <f>IFERROR(__xludf.DUMMYFUNCTION("""COMPUTED_VALUE"""),43330.0)</f>
        <v>43330</v>
      </c>
      <c r="M381">
        <f>IFERROR(__xludf.DUMMYFUNCTION("""COMPUTED_VALUE"""),78.0)</f>
        <v>78</v>
      </c>
      <c r="N381" t="str">
        <f>IFERROR(__xludf.DUMMYFUNCTION("""COMPUTED_VALUE"""),"Model 3 Performance")</f>
        <v>Model 3 Performance</v>
      </c>
      <c r="O381" t="str">
        <f>IFERROR(__xludf.DUMMYFUNCTION("""COMPUTED_VALUE"""),"Red Multi-Coat")</f>
        <v>Red Multi-Coat</v>
      </c>
      <c r="P381" t="str">
        <f>IFERROR(__xludf.DUMMYFUNCTION("""COMPUTED_VALUE"""),"20 inch Sport")</f>
        <v>20 inch Sport</v>
      </c>
      <c r="Q381" t="str">
        <f>IFERROR(__xludf.DUMMYFUNCTION("""COMPUTED_VALUE"""),"White seats")</f>
        <v>White seats</v>
      </c>
      <c r="R381" t="str">
        <f>IFERROR(__xludf.DUMMYFUNCTION("""COMPUTED_VALUE"""),"Full Self-Driving")</f>
        <v>Full Self-Driving</v>
      </c>
      <c r="X381" t="str">
        <f>IFERROR(__xludf.DUMMYFUNCTION("""COMPUTED_VALUE"""),"Excellent")</f>
        <v>Excellent</v>
      </c>
      <c r="Y381" t="str">
        <f>IFERROR(__xludf.DUMMYFUNCTION("""COMPUTED_VALUE"""),"Excellent")</f>
        <v>Excellent</v>
      </c>
      <c r="Z381" t="str">
        <f>IFERROR(__xludf.DUMMYFUNCTION("""COMPUTED_VALUE"""),"Excellent")</f>
        <v>Excellent</v>
      </c>
      <c r="AA381" t="str">
        <f>IFERROR(__xludf.DUMMYFUNCTION("""COMPUTED_VALUE"""),"Excellent")</f>
        <v>Excellent</v>
      </c>
      <c r="AB381" t="str">
        <f>IFERROR(__xludf.DUMMYFUNCTION("""COMPUTED_VALUE"""),"Excellent")</f>
        <v>Excellent</v>
      </c>
      <c r="AC381">
        <f>IFERROR(__xludf.DUMMYFUNCTION("""COMPUTED_VALUE"""),0.0)</f>
        <v>0</v>
      </c>
      <c r="AD381">
        <f>IFERROR(__xludf.DUMMYFUNCTION("""COMPUTED_VALUE"""),0.0)</f>
        <v>0</v>
      </c>
      <c r="AE381">
        <f>IFERROR(__xludf.DUMMYFUNCTION("""COMPUTED_VALUE"""),0.0)</f>
        <v>0</v>
      </c>
      <c r="AH381" s="189">
        <f>IFERROR(__xludf.DUMMYFUNCTION("""COMPUTED_VALUE"""),43313.93921520833)</f>
        <v>43313.93922</v>
      </c>
    </row>
    <row r="382">
      <c r="A382" t="str">
        <f>IFERROR(__xludf.DUMMYFUNCTION("""COMPUTED_VALUE"""),"berthelson")</f>
        <v>berthelson</v>
      </c>
      <c r="B382" t="str">
        <f>IFERROR(__xludf.DUMMYFUNCTION("""COMPUTED_VALUE"""),"Monroe")</f>
        <v>Monroe</v>
      </c>
      <c r="C382" t="str">
        <f>IFERROR(__xludf.DUMMYFUNCTION("""COMPUTED_VALUE"""),"WA")</f>
        <v>WA</v>
      </c>
      <c r="D382" t="str">
        <f>IFERROR(__xludf.DUMMYFUNCTION("""COMPUTED_VALUE"""),"USA")</f>
        <v>USA</v>
      </c>
      <c r="E382" s="188">
        <f>IFERROR(__xludf.DUMMYFUNCTION("""COMPUTED_VALUE"""),43279.0)</f>
        <v>43279</v>
      </c>
      <c r="F382" s="188">
        <f>IFERROR(__xludf.DUMMYFUNCTION("""COMPUTED_VALUE"""),43305.0)</f>
        <v>43305</v>
      </c>
      <c r="H382">
        <f>IFERROR(__xludf.DUMMYFUNCTION("""COMPUTED_VALUE"""),42185.0)</f>
        <v>42185</v>
      </c>
      <c r="J382" s="5">
        <f>IFERROR(__xludf.DUMMYFUNCTION("""COMPUTED_VALUE"""),43312.0)</f>
        <v>43312</v>
      </c>
      <c r="K382">
        <f>IFERROR(__xludf.DUMMYFUNCTION("""COMPUTED_VALUE"""),26.0)</f>
        <v>26</v>
      </c>
      <c r="L382">
        <f>IFERROR(__xludf.DUMMYFUNCTION("""COMPUTED_VALUE"""),7.0)</f>
        <v>7</v>
      </c>
      <c r="M382">
        <f>IFERROR(__xludf.DUMMYFUNCTION("""COMPUTED_VALUE"""),33.0)</f>
        <v>33</v>
      </c>
      <c r="N382" t="str">
        <f>IFERROR(__xludf.DUMMYFUNCTION("""COMPUTED_VALUE"""),"Model 3 LR")</f>
        <v>Model 3 LR</v>
      </c>
      <c r="O382" t="str">
        <f>IFERROR(__xludf.DUMMYFUNCTION("""COMPUTED_VALUE"""),"Pearl White Multi-Coat")</f>
        <v>Pearl White Multi-Coat</v>
      </c>
      <c r="P382" t="str">
        <f>IFERROR(__xludf.DUMMYFUNCTION("""COMPUTED_VALUE"""),"18 inch Aero")</f>
        <v>18 inch Aero</v>
      </c>
      <c r="Q382" t="str">
        <f>IFERROR(__xludf.DUMMYFUNCTION("""COMPUTED_VALUE"""),"Black seats")</f>
        <v>Black seats</v>
      </c>
      <c r="R382" t="str">
        <f>IFERROR(__xludf.DUMMYFUNCTION("""COMPUTED_VALUE"""),"Enhanced Autopilot")</f>
        <v>Enhanced Autopilot</v>
      </c>
      <c r="X382" t="str">
        <f>IFERROR(__xludf.DUMMYFUNCTION("""COMPUTED_VALUE"""),"Good")</f>
        <v>Good</v>
      </c>
      <c r="Y382" t="str">
        <f>IFERROR(__xludf.DUMMYFUNCTION("""COMPUTED_VALUE"""),"Excellent")</f>
        <v>Excellent</v>
      </c>
      <c r="Z382" t="str">
        <f>IFERROR(__xludf.DUMMYFUNCTION("""COMPUTED_VALUE"""),"Excellent")</f>
        <v>Excellent</v>
      </c>
      <c r="AA382" t="str">
        <f>IFERROR(__xludf.DUMMYFUNCTION("""COMPUTED_VALUE"""),"Fair")</f>
        <v>Fair</v>
      </c>
      <c r="AB382" t="str">
        <f>IFERROR(__xludf.DUMMYFUNCTION("""COMPUTED_VALUE"""),"Excellent")</f>
        <v>Excellent</v>
      </c>
      <c r="AH382" s="189">
        <f>IFERROR(__xludf.DUMMYFUNCTION("""COMPUTED_VALUE"""),43314.240398379625)</f>
        <v>43314.2404</v>
      </c>
    </row>
    <row r="383">
      <c r="A383" t="str">
        <f>IFERROR(__xludf.DUMMYFUNCTION("""COMPUTED_VALUE"""),"SandysTesla")</f>
        <v>SandysTesla</v>
      </c>
      <c r="B383" t="str">
        <f>IFERROR(__xludf.DUMMYFUNCTION("""COMPUTED_VALUE"""),"Ontario")</f>
        <v>Ontario</v>
      </c>
      <c r="C383" t="str">
        <f>IFERROR(__xludf.DUMMYFUNCTION("""COMPUTED_VALUE"""),"ON")</f>
        <v>ON</v>
      </c>
      <c r="D383" t="str">
        <f>IFERROR(__xludf.DUMMYFUNCTION("""COMPUTED_VALUE"""),"Canada")</f>
        <v>Canada</v>
      </c>
      <c r="E383" s="188">
        <f>IFERROR(__xludf.DUMMYFUNCTION("""COMPUTED_VALUE"""),43186.0)</f>
        <v>43186</v>
      </c>
      <c r="F383" s="188">
        <f>IFERROR(__xludf.DUMMYFUNCTION("""COMPUTED_VALUE"""),43235.0)</f>
        <v>43235</v>
      </c>
      <c r="H383">
        <f>IFERROR(__xludf.DUMMYFUNCTION("""COMPUTED_VALUE"""),30230.0)</f>
        <v>30230</v>
      </c>
      <c r="I383" t="str">
        <f>IFERROR(__xludf.DUMMYFUNCTION("""COMPUTED_VALUE"""),"05/18")</f>
        <v>05/18</v>
      </c>
      <c r="J383" s="5">
        <f>IFERROR(__xludf.DUMMYFUNCTION("""COMPUTED_VALUE"""),43256.0)</f>
        <v>43256</v>
      </c>
      <c r="K383">
        <f>IFERROR(__xludf.DUMMYFUNCTION("""COMPUTED_VALUE"""),49.0)</f>
        <v>49</v>
      </c>
      <c r="L383">
        <f>IFERROR(__xludf.DUMMYFUNCTION("""COMPUTED_VALUE"""),21.0)</f>
        <v>21</v>
      </c>
      <c r="M383">
        <f>IFERROR(__xludf.DUMMYFUNCTION("""COMPUTED_VALUE"""),70.0)</f>
        <v>70</v>
      </c>
      <c r="N383" t="str">
        <f>IFERROR(__xludf.DUMMYFUNCTION("""COMPUTED_VALUE"""),"Model 3 LR")</f>
        <v>Model 3 LR</v>
      </c>
      <c r="O383" t="str">
        <f>IFERROR(__xludf.DUMMYFUNCTION("""COMPUTED_VALUE"""),"Pearl White Multi-Coat")</f>
        <v>Pearl White Multi-Coat</v>
      </c>
      <c r="P383" t="str">
        <f>IFERROR(__xludf.DUMMYFUNCTION("""COMPUTED_VALUE"""),"19 inch Sport")</f>
        <v>19 inch Sport</v>
      </c>
      <c r="Q383" t="str">
        <f>IFERROR(__xludf.DUMMYFUNCTION("""COMPUTED_VALUE"""),"Black seats")</f>
        <v>Black seats</v>
      </c>
      <c r="R383" t="str">
        <f>IFERROR(__xludf.DUMMYFUNCTION("""COMPUTED_VALUE"""),"Enhanced Autopilot")</f>
        <v>Enhanced Autopilot</v>
      </c>
      <c r="X383" t="str">
        <f>IFERROR(__xludf.DUMMYFUNCTION("""COMPUTED_VALUE"""),"Very Good")</f>
        <v>Very Good</v>
      </c>
      <c r="Y383" t="str">
        <f>IFERROR(__xludf.DUMMYFUNCTION("""COMPUTED_VALUE"""),"Excellent")</f>
        <v>Excellent</v>
      </c>
      <c r="Z383" t="str">
        <f>IFERROR(__xludf.DUMMYFUNCTION("""COMPUTED_VALUE"""),"Excellent")</f>
        <v>Excellent</v>
      </c>
      <c r="AA383" t="str">
        <f>IFERROR(__xludf.DUMMYFUNCTION("""COMPUTED_VALUE"""),"Good")</f>
        <v>Good</v>
      </c>
      <c r="AB383" t="str">
        <f>IFERROR(__xludf.DUMMYFUNCTION("""COMPUTED_VALUE"""),"Very Good")</f>
        <v>Very Good</v>
      </c>
      <c r="AC383">
        <f>IFERROR(__xludf.DUMMYFUNCTION("""COMPUTED_VALUE"""),0.0)</f>
        <v>0</v>
      </c>
      <c r="AD383">
        <f>IFERROR(__xludf.DUMMYFUNCTION("""COMPUTED_VALUE"""),0.0)</f>
        <v>0</v>
      </c>
      <c r="AE383">
        <f>IFERROR(__xludf.DUMMYFUNCTION("""COMPUTED_VALUE"""),0.0)</f>
        <v>0</v>
      </c>
      <c r="AH383" s="189">
        <f>IFERROR(__xludf.DUMMYFUNCTION("""COMPUTED_VALUE"""),43314.34348033565)</f>
        <v>43314.34348</v>
      </c>
    </row>
    <row r="384">
      <c r="A384" t="str">
        <f>IFERROR(__xludf.DUMMYFUNCTION("""COMPUTED_VALUE"""),"woodisgood")</f>
        <v>woodisgood</v>
      </c>
      <c r="B384" t="str">
        <f>IFERROR(__xludf.DUMMYFUNCTION("""COMPUTED_VALUE"""),"SF Bay Area")</f>
        <v>SF Bay Area</v>
      </c>
      <c r="C384" t="str">
        <f>IFERROR(__xludf.DUMMYFUNCTION("""COMPUTED_VALUE"""),"CA")</f>
        <v>CA</v>
      </c>
      <c r="D384" t="str">
        <f>IFERROR(__xludf.DUMMYFUNCTION("""COMPUTED_VALUE"""),"USA")</f>
        <v>USA</v>
      </c>
      <c r="E384" s="188">
        <f>IFERROR(__xludf.DUMMYFUNCTION("""COMPUTED_VALUE"""),43303.0)</f>
        <v>43303</v>
      </c>
      <c r="F384" s="188">
        <f>IFERROR(__xludf.DUMMYFUNCTION("""COMPUTED_VALUE"""),43304.0)</f>
        <v>43304</v>
      </c>
      <c r="H384">
        <f>IFERROR(__xludf.DUMMYFUNCTION("""COMPUTED_VALUE"""),26755.0)</f>
        <v>26755</v>
      </c>
      <c r="I384" t="str">
        <f>IFERROR(__xludf.DUMMYFUNCTION("""COMPUTED_VALUE"""),"06/18")</f>
        <v>06/18</v>
      </c>
      <c r="J384" s="5">
        <f>IFERROR(__xludf.DUMMYFUNCTION("""COMPUTED_VALUE"""),43313.0)</f>
        <v>43313</v>
      </c>
      <c r="K384">
        <f>IFERROR(__xludf.DUMMYFUNCTION("""COMPUTED_VALUE"""),1.0)</f>
        <v>1</v>
      </c>
      <c r="L384">
        <f>IFERROR(__xludf.DUMMYFUNCTION("""COMPUTED_VALUE"""),9.0)</f>
        <v>9</v>
      </c>
      <c r="M384">
        <f>IFERROR(__xludf.DUMMYFUNCTION("""COMPUTED_VALUE"""),10.0)</f>
        <v>10</v>
      </c>
      <c r="N384" t="str">
        <f>IFERROR(__xludf.DUMMYFUNCTION("""COMPUTED_VALUE"""),"Model 3 LR")</f>
        <v>Model 3 LR</v>
      </c>
      <c r="O384" t="str">
        <f>IFERROR(__xludf.DUMMYFUNCTION("""COMPUTED_VALUE"""),"Midnight Silver Metallic")</f>
        <v>Midnight Silver Metallic</v>
      </c>
      <c r="P384" t="str">
        <f>IFERROR(__xludf.DUMMYFUNCTION("""COMPUTED_VALUE"""),"18 inch Aero")</f>
        <v>18 inch Aero</v>
      </c>
      <c r="Q384" t="str">
        <f>IFERROR(__xludf.DUMMYFUNCTION("""COMPUTED_VALUE"""),"Black seats")</f>
        <v>Black seats</v>
      </c>
      <c r="R384" t="str">
        <f>IFERROR(__xludf.DUMMYFUNCTION("""COMPUTED_VALUE"""),"Enhanced Autopilot")</f>
        <v>Enhanced Autopilot</v>
      </c>
      <c r="X384" t="str">
        <f>IFERROR(__xludf.DUMMYFUNCTION("""COMPUTED_VALUE"""),"Good")</f>
        <v>Good</v>
      </c>
      <c r="Y384" t="str">
        <f>IFERROR(__xludf.DUMMYFUNCTION("""COMPUTED_VALUE"""),"Good")</f>
        <v>Good</v>
      </c>
      <c r="Z384" t="str">
        <f>IFERROR(__xludf.DUMMYFUNCTION("""COMPUTED_VALUE"""),"Very Good")</f>
        <v>Very Good</v>
      </c>
      <c r="AA384" t="str">
        <f>IFERROR(__xludf.DUMMYFUNCTION("""COMPUTED_VALUE"""),"Good")</f>
        <v>Good</v>
      </c>
      <c r="AB384" t="str">
        <f>IFERROR(__xludf.DUMMYFUNCTION("""COMPUTED_VALUE"""),"Good")</f>
        <v>Good</v>
      </c>
      <c r="AH384" s="189">
        <f>IFERROR(__xludf.DUMMYFUNCTION("""COMPUTED_VALUE"""),43314.51879744213)</f>
        <v>43314.5188</v>
      </c>
    </row>
    <row r="385">
      <c r="A385" t="str">
        <f>IFERROR(__xludf.DUMMYFUNCTION("""COMPUTED_VALUE"""),"tsdobbs")</f>
        <v>tsdobbs</v>
      </c>
      <c r="B385" t="str">
        <f>IFERROR(__xludf.DUMMYFUNCTION("""COMPUTED_VALUE"""),"LaMirada")</f>
        <v>LaMirada</v>
      </c>
      <c r="C385" t="str">
        <f>IFERROR(__xludf.DUMMYFUNCTION("""COMPUTED_VALUE"""),"CA")</f>
        <v>CA</v>
      </c>
      <c r="D385" t="str">
        <f>IFERROR(__xludf.DUMMYFUNCTION("""COMPUTED_VALUE"""),"USA")</f>
        <v>USA</v>
      </c>
      <c r="E385" s="188">
        <f>IFERROR(__xludf.DUMMYFUNCTION("""COMPUTED_VALUE"""),43281.0)</f>
        <v>43281</v>
      </c>
      <c r="F385" s="188">
        <f>IFERROR(__xludf.DUMMYFUNCTION("""COMPUTED_VALUE"""),43302.0)</f>
        <v>43302</v>
      </c>
      <c r="H385">
        <f>IFERROR(__xludf.DUMMYFUNCTION("""COMPUTED_VALUE"""),50755.0)</f>
        <v>50755</v>
      </c>
      <c r="J385" s="5">
        <f>IFERROR(__xludf.DUMMYFUNCTION("""COMPUTED_VALUE"""),43311.0)</f>
        <v>43311</v>
      </c>
      <c r="K385">
        <f>IFERROR(__xludf.DUMMYFUNCTION("""COMPUTED_VALUE"""),21.0)</f>
        <v>21</v>
      </c>
      <c r="L385">
        <f>IFERROR(__xludf.DUMMYFUNCTION("""COMPUTED_VALUE"""),9.0)</f>
        <v>9</v>
      </c>
      <c r="M385">
        <f>IFERROR(__xludf.DUMMYFUNCTION("""COMPUTED_VALUE"""),30.0)</f>
        <v>30</v>
      </c>
      <c r="N385" t="str">
        <f>IFERROR(__xludf.DUMMYFUNCTION("""COMPUTED_VALUE"""),"Model 3 LR")</f>
        <v>Model 3 LR</v>
      </c>
      <c r="O385" t="str">
        <f>IFERROR(__xludf.DUMMYFUNCTION("""COMPUTED_VALUE"""),"Red Multi-Coat")</f>
        <v>Red Multi-Coat</v>
      </c>
      <c r="P385" t="str">
        <f>IFERROR(__xludf.DUMMYFUNCTION("""COMPUTED_VALUE"""),"19 inch Sport")</f>
        <v>19 inch Sport</v>
      </c>
      <c r="Q385" t="str">
        <f>IFERROR(__xludf.DUMMYFUNCTION("""COMPUTED_VALUE"""),"Black seats")</f>
        <v>Black seats</v>
      </c>
      <c r="R385" t="str">
        <f>IFERROR(__xludf.DUMMYFUNCTION("""COMPUTED_VALUE"""),"Enhanced Autopilot")</f>
        <v>Enhanced Autopilot</v>
      </c>
      <c r="X385" t="str">
        <f>IFERROR(__xludf.DUMMYFUNCTION("""COMPUTED_VALUE"""),"Excellent")</f>
        <v>Excellent</v>
      </c>
      <c r="Y385" t="str">
        <f>IFERROR(__xludf.DUMMYFUNCTION("""COMPUTED_VALUE"""),"Excellent")</f>
        <v>Excellent</v>
      </c>
      <c r="Z385" t="str">
        <f>IFERROR(__xludf.DUMMYFUNCTION("""COMPUTED_VALUE"""),"Very Good")</f>
        <v>Very Good</v>
      </c>
      <c r="AA385" t="str">
        <f>IFERROR(__xludf.DUMMYFUNCTION("""COMPUTED_VALUE"""),"Good")</f>
        <v>Good</v>
      </c>
      <c r="AB385" t="str">
        <f>IFERROR(__xludf.DUMMYFUNCTION("""COMPUTED_VALUE"""),"Very Good")</f>
        <v>Very Good</v>
      </c>
      <c r="AC385">
        <f>IFERROR(__xludf.DUMMYFUNCTION("""COMPUTED_VALUE"""),3.0)</f>
        <v>3</v>
      </c>
      <c r="AH385" s="189">
        <f>IFERROR(__xludf.DUMMYFUNCTION("""COMPUTED_VALUE"""),43314.86901903935)</f>
        <v>43314.86902</v>
      </c>
    </row>
    <row r="386">
      <c r="A386" t="str">
        <f>IFERROR(__xludf.DUMMYFUNCTION("""COMPUTED_VALUE"""),"antrel")</f>
        <v>antrel</v>
      </c>
      <c r="B386" t="str">
        <f>IFERROR(__xludf.DUMMYFUNCTION("""COMPUTED_VALUE"""),"Roseville")</f>
        <v>Roseville</v>
      </c>
      <c r="C386" t="str">
        <f>IFERROR(__xludf.DUMMYFUNCTION("""COMPUTED_VALUE"""),"CA")</f>
        <v>CA</v>
      </c>
      <c r="D386" t="str">
        <f>IFERROR(__xludf.DUMMYFUNCTION("""COMPUTED_VALUE"""),"USA")</f>
        <v>USA</v>
      </c>
      <c r="E386" s="188">
        <f>IFERROR(__xludf.DUMMYFUNCTION("""COMPUTED_VALUE"""),43281.0)</f>
        <v>43281</v>
      </c>
      <c r="F386" s="188">
        <f>IFERROR(__xludf.DUMMYFUNCTION("""COMPUTED_VALUE"""),43297.0)</f>
        <v>43297</v>
      </c>
      <c r="H386">
        <f>IFERROR(__xludf.DUMMYFUNCTION("""COMPUTED_VALUE"""),28262.0)</f>
        <v>28262</v>
      </c>
      <c r="I386" t="str">
        <f>IFERROR(__xludf.DUMMYFUNCTION("""COMPUTED_VALUE"""),"06/18")</f>
        <v>06/18</v>
      </c>
      <c r="J386" s="5">
        <f>IFERROR(__xludf.DUMMYFUNCTION("""COMPUTED_VALUE"""),43314.0)</f>
        <v>43314</v>
      </c>
      <c r="K386">
        <f>IFERROR(__xludf.DUMMYFUNCTION("""COMPUTED_VALUE"""),16.0)</f>
        <v>16</v>
      </c>
      <c r="L386">
        <f>IFERROR(__xludf.DUMMYFUNCTION("""COMPUTED_VALUE"""),17.0)</f>
        <v>17</v>
      </c>
      <c r="M386">
        <f>IFERROR(__xludf.DUMMYFUNCTION("""COMPUTED_VALUE"""),33.0)</f>
        <v>33</v>
      </c>
      <c r="N386" t="str">
        <f>IFERROR(__xludf.DUMMYFUNCTION("""COMPUTED_VALUE"""),"Model 3 LR")</f>
        <v>Model 3 LR</v>
      </c>
      <c r="O386" t="str">
        <f>IFERROR(__xludf.DUMMYFUNCTION("""COMPUTED_VALUE"""),"Midnight Silver Metallic")</f>
        <v>Midnight Silver Metallic</v>
      </c>
      <c r="P386" t="str">
        <f>IFERROR(__xludf.DUMMYFUNCTION("""COMPUTED_VALUE"""),"18 inch Aero")</f>
        <v>18 inch Aero</v>
      </c>
      <c r="Q386" t="str">
        <f>IFERROR(__xludf.DUMMYFUNCTION("""COMPUTED_VALUE"""),"Black seats")</f>
        <v>Black seats</v>
      </c>
      <c r="R386" t="str">
        <f>IFERROR(__xludf.DUMMYFUNCTION("""COMPUTED_VALUE"""),"Enhanced Autopilot")</f>
        <v>Enhanced Autopilot</v>
      </c>
      <c r="X386" t="str">
        <f>IFERROR(__xludf.DUMMYFUNCTION("""COMPUTED_VALUE"""),"Excellent")</f>
        <v>Excellent</v>
      </c>
      <c r="Y386" t="str">
        <f>IFERROR(__xludf.DUMMYFUNCTION("""COMPUTED_VALUE"""),"Excellent")</f>
        <v>Excellent</v>
      </c>
      <c r="Z386" t="str">
        <f>IFERROR(__xludf.DUMMYFUNCTION("""COMPUTED_VALUE"""),"Excellent")</f>
        <v>Excellent</v>
      </c>
      <c r="AA386" t="str">
        <f>IFERROR(__xludf.DUMMYFUNCTION("""COMPUTED_VALUE"""),"Very Good")</f>
        <v>Very Good</v>
      </c>
      <c r="AB386" t="str">
        <f>IFERROR(__xludf.DUMMYFUNCTION("""COMPUTED_VALUE"""),"Good")</f>
        <v>Good</v>
      </c>
      <c r="AH386" s="189">
        <f>IFERROR(__xludf.DUMMYFUNCTION("""COMPUTED_VALUE"""),43314.9617596875)</f>
        <v>43314.96176</v>
      </c>
    </row>
    <row r="387">
      <c r="A387" t="str">
        <f>IFERROR(__xludf.DUMMYFUNCTION("""COMPUTED_VALUE"""),"darthvad3ric")</f>
        <v>darthvad3ric</v>
      </c>
      <c r="B387" t="str">
        <f>IFERROR(__xludf.DUMMYFUNCTION("""COMPUTED_VALUE"""),"Bay Area")</f>
        <v>Bay Area</v>
      </c>
      <c r="C387" t="str">
        <f>IFERROR(__xludf.DUMMYFUNCTION("""COMPUTED_VALUE"""),"CA")</f>
        <v>CA</v>
      </c>
      <c r="D387" t="str">
        <f>IFERROR(__xludf.DUMMYFUNCTION("""COMPUTED_VALUE"""),"USA")</f>
        <v>USA</v>
      </c>
      <c r="E387" s="188">
        <f>IFERROR(__xludf.DUMMYFUNCTION("""COMPUTED_VALUE"""),43300.0)</f>
        <v>43300</v>
      </c>
      <c r="F387" s="188">
        <f>IFERROR(__xludf.DUMMYFUNCTION("""COMPUTED_VALUE"""),43310.0)</f>
        <v>43310</v>
      </c>
      <c r="H387">
        <f>IFERROR(__xludf.DUMMYFUNCTION("""COMPUTED_VALUE"""),63055.0)</f>
        <v>63055</v>
      </c>
      <c r="I387" t="str">
        <f>IFERROR(__xludf.DUMMYFUNCTION("""COMPUTED_VALUE"""),"07/18")</f>
        <v>07/18</v>
      </c>
      <c r="J387" s="5">
        <f>IFERROR(__xludf.DUMMYFUNCTION("""COMPUTED_VALUE"""),43315.0)</f>
        <v>43315</v>
      </c>
      <c r="K387">
        <f>IFERROR(__xludf.DUMMYFUNCTION("""COMPUTED_VALUE"""),10.0)</f>
        <v>10</v>
      </c>
      <c r="L387">
        <f>IFERROR(__xludf.DUMMYFUNCTION("""COMPUTED_VALUE"""),5.0)</f>
        <v>5</v>
      </c>
      <c r="M387">
        <f>IFERROR(__xludf.DUMMYFUNCTION("""COMPUTED_VALUE"""),15.0)</f>
        <v>15</v>
      </c>
      <c r="N387" t="str">
        <f>IFERROR(__xludf.DUMMYFUNCTION("""COMPUTED_VALUE"""),"Model 3 Performance")</f>
        <v>Model 3 Performance</v>
      </c>
      <c r="O387" t="str">
        <f>IFERROR(__xludf.DUMMYFUNCTION("""COMPUTED_VALUE"""),"Pearl White Multi-Coat")</f>
        <v>Pearl White Multi-Coat</v>
      </c>
      <c r="P387" t="str">
        <f>IFERROR(__xludf.DUMMYFUNCTION("""COMPUTED_VALUE"""),"18 inch Aero")</f>
        <v>18 inch Aero</v>
      </c>
      <c r="Q387" t="str">
        <f>IFERROR(__xludf.DUMMYFUNCTION("""COMPUTED_VALUE"""),"Black seats")</f>
        <v>Black seats</v>
      </c>
      <c r="R387" t="str">
        <f>IFERROR(__xludf.DUMMYFUNCTION("""COMPUTED_VALUE"""),"Full Self-Driving")</f>
        <v>Full Self-Driving</v>
      </c>
      <c r="X387" t="str">
        <f>IFERROR(__xludf.DUMMYFUNCTION("""COMPUTED_VALUE"""),"Excellent")</f>
        <v>Excellent</v>
      </c>
      <c r="Y387" t="str">
        <f>IFERROR(__xludf.DUMMYFUNCTION("""COMPUTED_VALUE"""),"Excellent")</f>
        <v>Excellent</v>
      </c>
      <c r="Z387" t="str">
        <f>IFERROR(__xludf.DUMMYFUNCTION("""COMPUTED_VALUE"""),"Fair")</f>
        <v>Fair</v>
      </c>
      <c r="AA387" t="str">
        <f>IFERROR(__xludf.DUMMYFUNCTION("""COMPUTED_VALUE"""),"Very Good")</f>
        <v>Very Good</v>
      </c>
      <c r="AB387" t="str">
        <f>IFERROR(__xludf.DUMMYFUNCTION("""COMPUTED_VALUE"""),"Poor")</f>
        <v>Poor</v>
      </c>
      <c r="AC387">
        <f>IFERROR(__xludf.DUMMYFUNCTION("""COMPUTED_VALUE"""),2.0)</f>
        <v>2</v>
      </c>
      <c r="AH387" s="189">
        <f>IFERROR(__xludf.DUMMYFUNCTION("""COMPUTED_VALUE"""),43315.97495251158)</f>
        <v>43315.97495</v>
      </c>
    </row>
    <row r="388">
      <c r="A388" t="str">
        <f>IFERROR(__xludf.DUMMYFUNCTION("""COMPUTED_VALUE"""),"HammerTime")</f>
        <v>HammerTime</v>
      </c>
      <c r="C388" t="str">
        <f>IFERROR(__xludf.DUMMYFUNCTION("""COMPUTED_VALUE"""),"ON")</f>
        <v>ON</v>
      </c>
      <c r="D388" t="str">
        <f>IFERROR(__xludf.DUMMYFUNCTION("""COMPUTED_VALUE"""),"Canada")</f>
        <v>Canada</v>
      </c>
      <c r="E388" s="188">
        <f>IFERROR(__xludf.DUMMYFUNCTION("""COMPUTED_VALUE"""),43189.0)</f>
        <v>43189</v>
      </c>
      <c r="F388" s="188">
        <f>IFERROR(__xludf.DUMMYFUNCTION("""COMPUTED_VALUE"""),43224.0)</f>
        <v>43224</v>
      </c>
      <c r="H388">
        <f>IFERROR(__xludf.DUMMYFUNCTION("""COMPUTED_VALUE"""),21355.0)</f>
        <v>21355</v>
      </c>
      <c r="I388" t="str">
        <f>IFERROR(__xludf.DUMMYFUNCTION("""COMPUTED_VALUE"""),"05/18")</f>
        <v>05/18</v>
      </c>
      <c r="J388" s="5">
        <f>IFERROR(__xludf.DUMMYFUNCTION("""COMPUTED_VALUE"""),43252.0)</f>
        <v>43252</v>
      </c>
      <c r="K388">
        <f>IFERROR(__xludf.DUMMYFUNCTION("""COMPUTED_VALUE"""),35.0)</f>
        <v>35</v>
      </c>
      <c r="L388">
        <f>IFERROR(__xludf.DUMMYFUNCTION("""COMPUTED_VALUE"""),28.0)</f>
        <v>28</v>
      </c>
      <c r="M388">
        <f>IFERROR(__xludf.DUMMYFUNCTION("""COMPUTED_VALUE"""),63.0)</f>
        <v>63</v>
      </c>
      <c r="N388" t="str">
        <f>IFERROR(__xludf.DUMMYFUNCTION("""COMPUTED_VALUE"""),"Model 3 LR")</f>
        <v>Model 3 LR</v>
      </c>
      <c r="O388" t="str">
        <f>IFERROR(__xludf.DUMMYFUNCTION("""COMPUTED_VALUE"""),"Midnight Silver Metallic")</f>
        <v>Midnight Silver Metallic</v>
      </c>
      <c r="P388" t="str">
        <f>IFERROR(__xludf.DUMMYFUNCTION("""COMPUTED_VALUE"""),"18 inch Aero")</f>
        <v>18 inch Aero</v>
      </c>
      <c r="Q388" t="str">
        <f>IFERROR(__xludf.DUMMYFUNCTION("""COMPUTED_VALUE"""),"Black seats")</f>
        <v>Black seats</v>
      </c>
      <c r="R388" t="str">
        <f>IFERROR(__xludf.DUMMYFUNCTION("""COMPUTED_VALUE"""),"Enhanced Autopilot")</f>
        <v>Enhanced Autopilot</v>
      </c>
      <c r="X388" t="str">
        <f>IFERROR(__xludf.DUMMYFUNCTION("""COMPUTED_VALUE"""),"Fair")</f>
        <v>Fair</v>
      </c>
      <c r="Y388" t="str">
        <f>IFERROR(__xludf.DUMMYFUNCTION("""COMPUTED_VALUE"""),"Very Good")</f>
        <v>Very Good</v>
      </c>
      <c r="Z388" t="str">
        <f>IFERROR(__xludf.DUMMYFUNCTION("""COMPUTED_VALUE"""),"Good")</f>
        <v>Good</v>
      </c>
      <c r="AA388" t="str">
        <f>IFERROR(__xludf.DUMMYFUNCTION("""COMPUTED_VALUE"""),"Fair")</f>
        <v>Fair</v>
      </c>
      <c r="AB388" t="str">
        <f>IFERROR(__xludf.DUMMYFUNCTION("""COMPUTED_VALUE"""),"Fair")</f>
        <v>Fair</v>
      </c>
      <c r="AC388">
        <f>IFERROR(__xludf.DUMMYFUNCTION("""COMPUTED_VALUE"""),0.0)</f>
        <v>0</v>
      </c>
      <c r="AD388">
        <f>IFERROR(__xludf.DUMMYFUNCTION("""COMPUTED_VALUE"""),0.0)</f>
        <v>0</v>
      </c>
      <c r="AE388">
        <f>IFERROR(__xludf.DUMMYFUNCTION("""COMPUTED_VALUE"""),0.0)</f>
        <v>0</v>
      </c>
      <c r="AH388" s="189">
        <f>IFERROR(__xludf.DUMMYFUNCTION("""COMPUTED_VALUE"""),43316.26220719908)</f>
        <v>43316.26221</v>
      </c>
    </row>
    <row r="389">
      <c r="A389" t="str">
        <f>IFERROR(__xludf.DUMMYFUNCTION("""COMPUTED_VALUE"""),"Bham")</f>
        <v>Bham</v>
      </c>
      <c r="B389" t="str">
        <f>IFERROR(__xludf.DUMMYFUNCTION("""COMPUTED_VALUE"""),"Thousand Oaks")</f>
        <v>Thousand Oaks</v>
      </c>
      <c r="C389" t="str">
        <f>IFERROR(__xludf.DUMMYFUNCTION("""COMPUTED_VALUE"""),"CA")</f>
        <v>CA</v>
      </c>
      <c r="D389" t="str">
        <f>IFERROR(__xludf.DUMMYFUNCTION("""COMPUTED_VALUE"""),"USA")</f>
        <v>USA</v>
      </c>
      <c r="E389" s="188">
        <f>IFERROR(__xludf.DUMMYFUNCTION("""COMPUTED_VALUE"""),43297.0)</f>
        <v>43297</v>
      </c>
      <c r="F389" s="188">
        <f>IFERROR(__xludf.DUMMYFUNCTION("""COMPUTED_VALUE"""),43298.0)</f>
        <v>43298</v>
      </c>
      <c r="H389">
        <f>IFERROR(__xludf.DUMMYFUNCTION("""COMPUTED_VALUE"""),41183.0)</f>
        <v>41183</v>
      </c>
      <c r="I389" t="str">
        <f>IFERROR(__xludf.DUMMYFUNCTION("""COMPUTED_VALUE"""),"07/18")</f>
        <v>07/18</v>
      </c>
      <c r="J389" s="5">
        <f>IFERROR(__xludf.DUMMYFUNCTION("""COMPUTED_VALUE"""),43308.0)</f>
        <v>43308</v>
      </c>
      <c r="K389">
        <f>IFERROR(__xludf.DUMMYFUNCTION("""COMPUTED_VALUE"""),1.0)</f>
        <v>1</v>
      </c>
      <c r="L389">
        <f>IFERROR(__xludf.DUMMYFUNCTION("""COMPUTED_VALUE"""),10.0)</f>
        <v>10</v>
      </c>
      <c r="M389">
        <f>IFERROR(__xludf.DUMMYFUNCTION("""COMPUTED_VALUE"""),11.0)</f>
        <v>11</v>
      </c>
      <c r="N389" t="str">
        <f>IFERROR(__xludf.DUMMYFUNCTION("""COMPUTED_VALUE"""),"Model 3 LR")</f>
        <v>Model 3 LR</v>
      </c>
      <c r="O389" t="str">
        <f>IFERROR(__xludf.DUMMYFUNCTION("""COMPUTED_VALUE"""),"Pearl White Multi-Coat")</f>
        <v>Pearl White Multi-Coat</v>
      </c>
      <c r="P389" t="str">
        <f>IFERROR(__xludf.DUMMYFUNCTION("""COMPUTED_VALUE"""),"18 inch Aero")</f>
        <v>18 inch Aero</v>
      </c>
      <c r="Q389" t="str">
        <f>IFERROR(__xludf.DUMMYFUNCTION("""COMPUTED_VALUE"""),"Black seats")</f>
        <v>Black seats</v>
      </c>
      <c r="R389" t="str">
        <f>IFERROR(__xludf.DUMMYFUNCTION("""COMPUTED_VALUE"""),"Enhanced Autopilot")</f>
        <v>Enhanced Autopilot</v>
      </c>
      <c r="X389" t="str">
        <f>IFERROR(__xludf.DUMMYFUNCTION("""COMPUTED_VALUE"""),"Excellent")</f>
        <v>Excellent</v>
      </c>
      <c r="Y389" t="str">
        <f>IFERROR(__xludf.DUMMYFUNCTION("""COMPUTED_VALUE"""),"Excellent")</f>
        <v>Excellent</v>
      </c>
      <c r="Z389" t="str">
        <f>IFERROR(__xludf.DUMMYFUNCTION("""COMPUTED_VALUE"""),"Excellent")</f>
        <v>Excellent</v>
      </c>
      <c r="AA389" t="str">
        <f>IFERROR(__xludf.DUMMYFUNCTION("""COMPUTED_VALUE"""),"Very Good")</f>
        <v>Very Good</v>
      </c>
      <c r="AB389" t="str">
        <f>IFERROR(__xludf.DUMMYFUNCTION("""COMPUTED_VALUE"""),"Very Good")</f>
        <v>Very Good</v>
      </c>
      <c r="AH389" s="189">
        <f>IFERROR(__xludf.DUMMYFUNCTION("""COMPUTED_VALUE"""),43316.68662375)</f>
        <v>43316.68662</v>
      </c>
    </row>
    <row r="390">
      <c r="A390" t="str">
        <f>IFERROR(__xludf.DUMMYFUNCTION("""COMPUTED_VALUE"""),"Teslaticles")</f>
        <v>Teslaticles</v>
      </c>
      <c r="C390" t="str">
        <f>IFERROR(__xludf.DUMMYFUNCTION("""COMPUTED_VALUE"""),"CT")</f>
        <v>CT</v>
      </c>
      <c r="D390" t="str">
        <f>IFERROR(__xludf.DUMMYFUNCTION("""COMPUTED_VALUE"""),"USA")</f>
        <v>USA</v>
      </c>
      <c r="E390" s="188">
        <f>IFERROR(__xludf.DUMMYFUNCTION("""COMPUTED_VALUE"""),43204.0)</f>
        <v>43204</v>
      </c>
      <c r="F390" s="188">
        <f>IFERROR(__xludf.DUMMYFUNCTION("""COMPUTED_VALUE"""),43265.0)</f>
        <v>43265</v>
      </c>
      <c r="H390">
        <f>IFERROR(__xludf.DUMMYFUNCTION("""COMPUTED_VALUE"""),31100.0)</f>
        <v>31100</v>
      </c>
      <c r="I390" t="str">
        <f>IFERROR(__xludf.DUMMYFUNCTION("""COMPUTED_VALUE"""),"06/18")</f>
        <v>06/18</v>
      </c>
      <c r="J390" s="5">
        <f>IFERROR(__xludf.DUMMYFUNCTION("""COMPUTED_VALUE"""),43307.0)</f>
        <v>43307</v>
      </c>
      <c r="K390">
        <f>IFERROR(__xludf.DUMMYFUNCTION("""COMPUTED_VALUE"""),61.0)</f>
        <v>61</v>
      </c>
      <c r="L390">
        <f>IFERROR(__xludf.DUMMYFUNCTION("""COMPUTED_VALUE"""),42.0)</f>
        <v>42</v>
      </c>
      <c r="M390">
        <f>IFERROR(__xludf.DUMMYFUNCTION("""COMPUTED_VALUE"""),103.0)</f>
        <v>103</v>
      </c>
      <c r="N390" t="str">
        <f>IFERROR(__xludf.DUMMYFUNCTION("""COMPUTED_VALUE"""),"Model 3 LR")</f>
        <v>Model 3 LR</v>
      </c>
      <c r="O390" t="str">
        <f>IFERROR(__xludf.DUMMYFUNCTION("""COMPUTED_VALUE"""),"Midnight Silver Metallic")</f>
        <v>Midnight Silver Metallic</v>
      </c>
      <c r="P390" t="str">
        <f>IFERROR(__xludf.DUMMYFUNCTION("""COMPUTED_VALUE"""),"19 inch Sport")</f>
        <v>19 inch Sport</v>
      </c>
      <c r="Q390" t="str">
        <f>IFERROR(__xludf.DUMMYFUNCTION("""COMPUTED_VALUE"""),"Black seats")</f>
        <v>Black seats</v>
      </c>
      <c r="R390" t="str">
        <f>IFERROR(__xludf.DUMMYFUNCTION("""COMPUTED_VALUE"""),"Enhanced Autopilot")</f>
        <v>Enhanced Autopilot</v>
      </c>
      <c r="X390" t="str">
        <f>IFERROR(__xludf.DUMMYFUNCTION("""COMPUTED_VALUE"""),"Very Good")</f>
        <v>Very Good</v>
      </c>
      <c r="Y390" t="str">
        <f>IFERROR(__xludf.DUMMYFUNCTION("""COMPUTED_VALUE"""),"Excellent")</f>
        <v>Excellent</v>
      </c>
      <c r="Z390" t="str">
        <f>IFERROR(__xludf.DUMMYFUNCTION("""COMPUTED_VALUE"""),"Very Good")</f>
        <v>Very Good</v>
      </c>
      <c r="AA390" t="str">
        <f>IFERROR(__xludf.DUMMYFUNCTION("""COMPUTED_VALUE"""),"Excellent")</f>
        <v>Excellent</v>
      </c>
      <c r="AB390" t="str">
        <f>IFERROR(__xludf.DUMMYFUNCTION("""COMPUTED_VALUE"""),"Good")</f>
        <v>Good</v>
      </c>
      <c r="AH390" s="189">
        <f>IFERROR(__xludf.DUMMYFUNCTION("""COMPUTED_VALUE"""),43317.2254094213)</f>
        <v>43317.22541</v>
      </c>
    </row>
    <row r="391">
      <c r="A391" t="str">
        <f>IFERROR(__xludf.DUMMYFUNCTION("""COMPUTED_VALUE"""),"dgstan")</f>
        <v>dgstan</v>
      </c>
      <c r="B391" t="str">
        <f>IFERROR(__xludf.DUMMYFUNCTION("""COMPUTED_VALUE"""),"Campbell, CA")</f>
        <v>Campbell, CA</v>
      </c>
      <c r="C391" t="str">
        <f>IFERROR(__xludf.DUMMYFUNCTION("""COMPUTED_VALUE"""),"CA")</f>
        <v>CA</v>
      </c>
      <c r="D391" t="str">
        <f>IFERROR(__xludf.DUMMYFUNCTION("""COMPUTED_VALUE"""),"USA")</f>
        <v>USA</v>
      </c>
      <c r="E391" s="188">
        <f>IFERROR(__xludf.DUMMYFUNCTION("""COMPUTED_VALUE"""),43278.0)</f>
        <v>43278</v>
      </c>
      <c r="F391" s="188">
        <f>IFERROR(__xludf.DUMMYFUNCTION("""COMPUTED_VALUE"""),43302.0)</f>
        <v>43302</v>
      </c>
      <c r="H391">
        <f>IFERROR(__xludf.DUMMYFUNCTION("""COMPUTED_VALUE"""),50655.0)</f>
        <v>50655</v>
      </c>
      <c r="I391" t="str">
        <f>IFERROR(__xludf.DUMMYFUNCTION("""COMPUTED_VALUE"""),"07/18")</f>
        <v>07/18</v>
      </c>
      <c r="J391" s="5">
        <f>IFERROR(__xludf.DUMMYFUNCTION("""COMPUTED_VALUE"""),43312.0)</f>
        <v>43312</v>
      </c>
      <c r="K391">
        <f>IFERROR(__xludf.DUMMYFUNCTION("""COMPUTED_VALUE"""),24.0)</f>
        <v>24</v>
      </c>
      <c r="L391">
        <f>IFERROR(__xludf.DUMMYFUNCTION("""COMPUTED_VALUE"""),10.0)</f>
        <v>10</v>
      </c>
      <c r="M391">
        <f>IFERROR(__xludf.DUMMYFUNCTION("""COMPUTED_VALUE"""),34.0)</f>
        <v>34</v>
      </c>
      <c r="N391" t="str">
        <f>IFERROR(__xludf.DUMMYFUNCTION("""COMPUTED_VALUE"""),"Model 3 LR")</f>
        <v>Model 3 LR</v>
      </c>
      <c r="O391" t="str">
        <f>IFERROR(__xludf.DUMMYFUNCTION("""COMPUTED_VALUE"""),"Pearl White Multi-Coat")</f>
        <v>Pearl White Multi-Coat</v>
      </c>
      <c r="P391" t="str">
        <f>IFERROR(__xludf.DUMMYFUNCTION("""COMPUTED_VALUE"""),"19 inch Sport")</f>
        <v>19 inch Sport</v>
      </c>
      <c r="Q391" t="str">
        <f>IFERROR(__xludf.DUMMYFUNCTION("""COMPUTED_VALUE"""),"Black seats")</f>
        <v>Black seats</v>
      </c>
      <c r="R391" t="str">
        <f>IFERROR(__xludf.DUMMYFUNCTION("""COMPUTED_VALUE"""),"None")</f>
        <v>None</v>
      </c>
      <c r="X391" t="str">
        <f>IFERROR(__xludf.DUMMYFUNCTION("""COMPUTED_VALUE"""),"Fair")</f>
        <v>Fair</v>
      </c>
      <c r="Y391" t="str">
        <f>IFERROR(__xludf.DUMMYFUNCTION("""COMPUTED_VALUE"""),"Very Good")</f>
        <v>Very Good</v>
      </c>
      <c r="Z391" t="str">
        <f>IFERROR(__xludf.DUMMYFUNCTION("""COMPUTED_VALUE"""),"Good")</f>
        <v>Good</v>
      </c>
      <c r="AA391" t="str">
        <f>IFERROR(__xludf.DUMMYFUNCTION("""COMPUTED_VALUE"""),"Fair")</f>
        <v>Fair</v>
      </c>
      <c r="AB391" t="str">
        <f>IFERROR(__xludf.DUMMYFUNCTION("""COMPUTED_VALUE"""),"Good")</f>
        <v>Good</v>
      </c>
      <c r="AC391">
        <f>IFERROR(__xludf.DUMMYFUNCTION("""COMPUTED_VALUE"""),2.0)</f>
        <v>2</v>
      </c>
      <c r="AG391" t="str">
        <f>IFERROR(__xludf.DUMMYFUNCTION("""COMPUTED_VALUE"""),"Delivery delayed one time - 4 days")</f>
        <v>Delivery delayed one time - 4 days</v>
      </c>
      <c r="AH391" s="189">
        <f>IFERROR(__xludf.DUMMYFUNCTION("""COMPUTED_VALUE"""),43317.55918109954)</f>
        <v>43317.55918</v>
      </c>
    </row>
    <row r="392">
      <c r="A392" t="str">
        <f>IFERROR(__xludf.DUMMYFUNCTION("""COMPUTED_VALUE"""),"SPIKE09")</f>
        <v>SPIKE09</v>
      </c>
      <c r="B392" t="str">
        <f>IFERROR(__xludf.DUMMYFUNCTION("""COMPUTED_VALUE"""),"Miami")</f>
        <v>Miami</v>
      </c>
      <c r="C392" t="str">
        <f>IFERROR(__xludf.DUMMYFUNCTION("""COMPUTED_VALUE"""),"FL")</f>
        <v>FL</v>
      </c>
      <c r="D392" t="str">
        <f>IFERROR(__xludf.DUMMYFUNCTION("""COMPUTED_VALUE"""),"USA")</f>
        <v>USA</v>
      </c>
      <c r="E392" s="188">
        <f>IFERROR(__xludf.DUMMYFUNCTION("""COMPUTED_VALUE"""),43243.0)</f>
        <v>43243</v>
      </c>
      <c r="F392" s="188">
        <f>IFERROR(__xludf.DUMMYFUNCTION("""COMPUTED_VALUE"""),43314.0)</f>
        <v>43314</v>
      </c>
      <c r="H392">
        <f>IFERROR(__xludf.DUMMYFUNCTION("""COMPUTED_VALUE"""),54655.0)</f>
        <v>54655</v>
      </c>
      <c r="I392" t="str">
        <f>IFERROR(__xludf.DUMMYFUNCTION("""COMPUTED_VALUE"""),"07/18")</f>
        <v>07/18</v>
      </c>
      <c r="J392" s="5">
        <f>IFERROR(__xludf.DUMMYFUNCTION("""COMPUTED_VALUE"""),43316.0)</f>
        <v>43316</v>
      </c>
      <c r="K392">
        <f>IFERROR(__xludf.DUMMYFUNCTION("""COMPUTED_VALUE"""),71.0)</f>
        <v>71</v>
      </c>
      <c r="L392">
        <f>IFERROR(__xludf.DUMMYFUNCTION("""COMPUTED_VALUE"""),2.0)</f>
        <v>2</v>
      </c>
      <c r="M392">
        <f>IFERROR(__xludf.DUMMYFUNCTION("""COMPUTED_VALUE"""),73.0)</f>
        <v>73</v>
      </c>
      <c r="N392" t="str">
        <f>IFERROR(__xludf.DUMMYFUNCTION("""COMPUTED_VALUE"""),"Model 3 LR AWD")</f>
        <v>Model 3 LR AWD</v>
      </c>
      <c r="O392" t="str">
        <f>IFERROR(__xludf.DUMMYFUNCTION("""COMPUTED_VALUE"""),"Pearl White Multi-Coat")</f>
        <v>Pearl White Multi-Coat</v>
      </c>
      <c r="P392" t="str">
        <f>IFERROR(__xludf.DUMMYFUNCTION("""COMPUTED_VALUE"""),"18 inch Aero")</f>
        <v>18 inch Aero</v>
      </c>
      <c r="Q392" t="str">
        <f>IFERROR(__xludf.DUMMYFUNCTION("""COMPUTED_VALUE"""),"Black seats")</f>
        <v>Black seats</v>
      </c>
      <c r="R392" t="str">
        <f>IFERROR(__xludf.DUMMYFUNCTION("""COMPUTED_VALUE"""),"Enhanced Autopilot")</f>
        <v>Enhanced Autopilot</v>
      </c>
      <c r="X392" t="str">
        <f>IFERROR(__xludf.DUMMYFUNCTION("""COMPUTED_VALUE"""),"Excellent")</f>
        <v>Excellent</v>
      </c>
      <c r="Y392" t="str">
        <f>IFERROR(__xludf.DUMMYFUNCTION("""COMPUTED_VALUE"""),"Excellent")</f>
        <v>Excellent</v>
      </c>
      <c r="Z392" t="str">
        <f>IFERROR(__xludf.DUMMYFUNCTION("""COMPUTED_VALUE"""),"Excellent")</f>
        <v>Excellent</v>
      </c>
      <c r="AA392" t="str">
        <f>IFERROR(__xludf.DUMMYFUNCTION("""COMPUTED_VALUE"""),"Excellent")</f>
        <v>Excellent</v>
      </c>
      <c r="AB392" t="str">
        <f>IFERROR(__xludf.DUMMYFUNCTION("""COMPUTED_VALUE"""),"Excellent")</f>
        <v>Excellent</v>
      </c>
      <c r="AH392" s="189">
        <f>IFERROR(__xludf.DUMMYFUNCTION("""COMPUTED_VALUE"""),43317.99457981481)</f>
        <v>43317.99458</v>
      </c>
    </row>
    <row r="393">
      <c r="A393" t="str">
        <f>IFERROR(__xludf.DUMMYFUNCTION("""COMPUTED_VALUE"""),"Jussta")</f>
        <v>Jussta</v>
      </c>
      <c r="B393" t="str">
        <f>IFERROR(__xludf.DUMMYFUNCTION("""COMPUTED_VALUE"""),"St. Louis")</f>
        <v>St. Louis</v>
      </c>
      <c r="C393" t="str">
        <f>IFERROR(__xludf.DUMMYFUNCTION("""COMPUTED_VALUE"""),"MO")</f>
        <v>MO</v>
      </c>
      <c r="D393" t="str">
        <f>IFERROR(__xludf.DUMMYFUNCTION("""COMPUTED_VALUE"""),"USA")</f>
        <v>USA</v>
      </c>
      <c r="E393" s="188">
        <f>IFERROR(__xludf.DUMMYFUNCTION("""COMPUTED_VALUE"""),43278.0)</f>
        <v>43278</v>
      </c>
      <c r="F393" s="188">
        <f>IFERROR(__xludf.DUMMYFUNCTION("""COMPUTED_VALUE"""),43298.0)</f>
        <v>43298</v>
      </c>
      <c r="H393">
        <f>IFERROR(__xludf.DUMMYFUNCTION("""COMPUTED_VALUE"""),39755.0)</f>
        <v>39755</v>
      </c>
      <c r="I393" t="str">
        <f>IFERROR(__xludf.DUMMYFUNCTION("""COMPUTED_VALUE"""),"07/18")</f>
        <v>07/18</v>
      </c>
      <c r="J393" s="5">
        <f>IFERROR(__xludf.DUMMYFUNCTION("""COMPUTED_VALUE"""),43314.0)</f>
        <v>43314</v>
      </c>
      <c r="K393">
        <f>IFERROR(__xludf.DUMMYFUNCTION("""COMPUTED_VALUE"""),20.0)</f>
        <v>20</v>
      </c>
      <c r="L393">
        <f>IFERROR(__xludf.DUMMYFUNCTION("""COMPUTED_VALUE"""),16.0)</f>
        <v>16</v>
      </c>
      <c r="M393">
        <f>IFERROR(__xludf.DUMMYFUNCTION("""COMPUTED_VALUE"""),36.0)</f>
        <v>36</v>
      </c>
      <c r="N393" t="str">
        <f>IFERROR(__xludf.DUMMYFUNCTION("""COMPUTED_VALUE"""),"Model 3 LR")</f>
        <v>Model 3 LR</v>
      </c>
      <c r="O393" t="str">
        <f>IFERROR(__xludf.DUMMYFUNCTION("""COMPUTED_VALUE"""),"Silver Metallic")</f>
        <v>Silver Metallic</v>
      </c>
      <c r="P393" t="str">
        <f>IFERROR(__xludf.DUMMYFUNCTION("""COMPUTED_VALUE"""),"18 inch Aero")</f>
        <v>18 inch Aero</v>
      </c>
      <c r="Q393" t="str">
        <f>IFERROR(__xludf.DUMMYFUNCTION("""COMPUTED_VALUE"""),"Black seats")</f>
        <v>Black seats</v>
      </c>
      <c r="R393" t="str">
        <f>IFERROR(__xludf.DUMMYFUNCTION("""COMPUTED_VALUE"""),"Enhanced Autopilot")</f>
        <v>Enhanced Autopilot</v>
      </c>
      <c r="X393" t="str">
        <f>IFERROR(__xludf.DUMMYFUNCTION("""COMPUTED_VALUE"""),"Very Good")</f>
        <v>Very Good</v>
      </c>
      <c r="Y393" t="str">
        <f>IFERROR(__xludf.DUMMYFUNCTION("""COMPUTED_VALUE"""),"Excellent")</f>
        <v>Excellent</v>
      </c>
      <c r="Z393" t="str">
        <f>IFERROR(__xludf.DUMMYFUNCTION("""COMPUTED_VALUE"""),"Good")</f>
        <v>Good</v>
      </c>
      <c r="AA393" t="str">
        <f>IFERROR(__xludf.DUMMYFUNCTION("""COMPUTED_VALUE"""),"Good")</f>
        <v>Good</v>
      </c>
      <c r="AB393" t="str">
        <f>IFERROR(__xludf.DUMMYFUNCTION("""COMPUTED_VALUE"""),"Poor")</f>
        <v>Poor</v>
      </c>
      <c r="AC393">
        <f>IFERROR(__xludf.DUMMYFUNCTION("""COMPUTED_VALUE"""),4.0)</f>
        <v>4</v>
      </c>
      <c r="AH393" s="189">
        <f>IFERROR(__xludf.DUMMYFUNCTION("""COMPUTED_VALUE"""),43318.44276398148)</f>
        <v>43318.44276</v>
      </c>
    </row>
    <row r="394">
      <c r="A394" t="str">
        <f>IFERROR(__xludf.DUMMYFUNCTION("""COMPUTED_VALUE"""),"Zanziabar")</f>
        <v>Zanziabar</v>
      </c>
      <c r="B394" t="str">
        <f>IFERROR(__xludf.DUMMYFUNCTION("""COMPUTED_VALUE"""),"Redlands")</f>
        <v>Redlands</v>
      </c>
      <c r="C394" t="str">
        <f>IFERROR(__xludf.DUMMYFUNCTION("""COMPUTED_VALUE"""),"CA")</f>
        <v>CA</v>
      </c>
      <c r="D394" t="str">
        <f>IFERROR(__xludf.DUMMYFUNCTION("""COMPUTED_VALUE"""),"USA")</f>
        <v>USA</v>
      </c>
      <c r="E394" s="188">
        <f>IFERROR(__xludf.DUMMYFUNCTION("""COMPUTED_VALUE"""),42958.0)</f>
        <v>42958</v>
      </c>
      <c r="F394" s="188">
        <f>IFERROR(__xludf.DUMMYFUNCTION("""COMPUTED_VALUE"""),43312.0)</f>
        <v>43312</v>
      </c>
      <c r="H394">
        <f>IFERROR(__xludf.DUMMYFUNCTION("""COMPUTED_VALUE"""),45317.0)</f>
        <v>45317</v>
      </c>
      <c r="I394" t="str">
        <f>IFERROR(__xludf.DUMMYFUNCTION("""COMPUTED_VALUE"""),"07/18")</f>
        <v>07/18</v>
      </c>
      <c r="J394" s="5">
        <f>IFERROR(__xludf.DUMMYFUNCTION("""COMPUTED_VALUE"""),43317.0)</f>
        <v>43317</v>
      </c>
      <c r="K394">
        <f>IFERROR(__xludf.DUMMYFUNCTION("""COMPUTED_VALUE"""),354.0)</f>
        <v>354</v>
      </c>
      <c r="L394">
        <f>IFERROR(__xludf.DUMMYFUNCTION("""COMPUTED_VALUE"""),5.0)</f>
        <v>5</v>
      </c>
      <c r="M394">
        <f>IFERROR(__xludf.DUMMYFUNCTION("""COMPUTED_VALUE"""),359.0)</f>
        <v>359</v>
      </c>
      <c r="N394" t="str">
        <f>IFERROR(__xludf.DUMMYFUNCTION("""COMPUTED_VALUE"""),"Model 3 LR")</f>
        <v>Model 3 LR</v>
      </c>
      <c r="O394" t="str">
        <f>IFERROR(__xludf.DUMMYFUNCTION("""COMPUTED_VALUE"""),"Midnight Silver Metallic")</f>
        <v>Midnight Silver Metallic</v>
      </c>
      <c r="P394" t="str">
        <f>IFERROR(__xludf.DUMMYFUNCTION("""COMPUTED_VALUE"""),"18 inch Aero")</f>
        <v>18 inch Aero</v>
      </c>
      <c r="Q394" t="str">
        <f>IFERROR(__xludf.DUMMYFUNCTION("""COMPUTED_VALUE"""),"Black seats")</f>
        <v>Black seats</v>
      </c>
      <c r="R394" t="str">
        <f>IFERROR(__xludf.DUMMYFUNCTION("""COMPUTED_VALUE"""),"None")</f>
        <v>None</v>
      </c>
      <c r="X394" t="str">
        <f>IFERROR(__xludf.DUMMYFUNCTION("""COMPUTED_VALUE"""),"Excellent")</f>
        <v>Excellent</v>
      </c>
      <c r="Y394" t="str">
        <f>IFERROR(__xludf.DUMMYFUNCTION("""COMPUTED_VALUE"""),"Excellent")</f>
        <v>Excellent</v>
      </c>
      <c r="Z394" t="str">
        <f>IFERROR(__xludf.DUMMYFUNCTION("""COMPUTED_VALUE"""),"Excellent")</f>
        <v>Excellent</v>
      </c>
      <c r="AA394" t="str">
        <f>IFERROR(__xludf.DUMMYFUNCTION("""COMPUTED_VALUE"""),"Excellent")</f>
        <v>Excellent</v>
      </c>
      <c r="AB394" t="str">
        <f>IFERROR(__xludf.DUMMYFUNCTION("""COMPUTED_VALUE"""),"Excellent")</f>
        <v>Excellent</v>
      </c>
      <c r="AC394">
        <f>IFERROR(__xludf.DUMMYFUNCTION("""COMPUTED_VALUE"""),0.0)</f>
        <v>0</v>
      </c>
      <c r="AD394">
        <f>IFERROR(__xludf.DUMMYFUNCTION("""COMPUTED_VALUE"""),0.0)</f>
        <v>0</v>
      </c>
      <c r="AE394">
        <f>IFERROR(__xludf.DUMMYFUNCTION("""COMPUTED_VALUE"""),0.0)</f>
        <v>0</v>
      </c>
      <c r="AH394" s="189">
        <f>IFERROR(__xludf.DUMMYFUNCTION("""COMPUTED_VALUE"""),43318.46150892361)</f>
        <v>43318.46151</v>
      </c>
    </row>
    <row r="395">
      <c r="A395" t="str">
        <f>IFERROR(__xludf.DUMMYFUNCTION("""COMPUTED_VALUE"""),"Ctracy13")</f>
        <v>Ctracy13</v>
      </c>
      <c r="B395" t="str">
        <f>IFERROR(__xludf.DUMMYFUNCTION("""COMPUTED_VALUE"""),"Los Angeles")</f>
        <v>Los Angeles</v>
      </c>
      <c r="C395" t="str">
        <f>IFERROR(__xludf.DUMMYFUNCTION("""COMPUTED_VALUE"""),"CA")</f>
        <v>CA</v>
      </c>
      <c r="D395" t="str">
        <f>IFERROR(__xludf.DUMMYFUNCTION("""COMPUTED_VALUE"""),"USA")</f>
        <v>USA</v>
      </c>
      <c r="E395" s="188">
        <f>IFERROR(__xludf.DUMMYFUNCTION("""COMPUTED_VALUE"""),43279.0)</f>
        <v>43279</v>
      </c>
      <c r="F395" s="188">
        <f>IFERROR(__xludf.DUMMYFUNCTION("""COMPUTED_VALUE"""),43307.0)</f>
        <v>43307</v>
      </c>
      <c r="H395">
        <f>IFERROR(__xludf.DUMMYFUNCTION("""COMPUTED_VALUE"""),53455.0)</f>
        <v>53455</v>
      </c>
      <c r="J395" s="5">
        <f>IFERROR(__xludf.DUMMYFUNCTION("""COMPUTED_VALUE"""),43312.0)</f>
        <v>43312</v>
      </c>
      <c r="K395">
        <f>IFERROR(__xludf.DUMMYFUNCTION("""COMPUTED_VALUE"""),28.0)</f>
        <v>28</v>
      </c>
      <c r="L395">
        <f>IFERROR(__xludf.DUMMYFUNCTION("""COMPUTED_VALUE"""),5.0)</f>
        <v>5</v>
      </c>
      <c r="M395">
        <f>IFERROR(__xludf.DUMMYFUNCTION("""COMPUTED_VALUE"""),33.0)</f>
        <v>33</v>
      </c>
      <c r="N395" t="str">
        <f>IFERROR(__xludf.DUMMYFUNCTION("""COMPUTED_VALUE"""),"Model 3 LR")</f>
        <v>Model 3 LR</v>
      </c>
      <c r="O395" t="str">
        <f>IFERROR(__xludf.DUMMYFUNCTION("""COMPUTED_VALUE"""),"Pearl White Multi-Coat")</f>
        <v>Pearl White Multi-Coat</v>
      </c>
      <c r="P395" t="str">
        <f>IFERROR(__xludf.DUMMYFUNCTION("""COMPUTED_VALUE"""),"20 inch Sport")</f>
        <v>20 inch Sport</v>
      </c>
      <c r="Q395" t="str">
        <f>IFERROR(__xludf.DUMMYFUNCTION("""COMPUTED_VALUE"""),"Black seats")</f>
        <v>Black seats</v>
      </c>
      <c r="R395" t="str">
        <f>IFERROR(__xludf.DUMMYFUNCTION("""COMPUTED_VALUE"""),"Full Self-Driving")</f>
        <v>Full Self-Driving</v>
      </c>
      <c r="X395" t="str">
        <f>IFERROR(__xludf.DUMMYFUNCTION("""COMPUTED_VALUE"""),"Excellent")</f>
        <v>Excellent</v>
      </c>
      <c r="Y395" t="str">
        <f>IFERROR(__xludf.DUMMYFUNCTION("""COMPUTED_VALUE"""),"Excellent")</f>
        <v>Excellent</v>
      </c>
      <c r="Z395" t="str">
        <f>IFERROR(__xludf.DUMMYFUNCTION("""COMPUTED_VALUE"""),"Excellent")</f>
        <v>Excellent</v>
      </c>
      <c r="AA395" t="str">
        <f>IFERROR(__xludf.DUMMYFUNCTION("""COMPUTED_VALUE"""),"Good")</f>
        <v>Good</v>
      </c>
      <c r="AB395" t="str">
        <f>IFERROR(__xludf.DUMMYFUNCTION("""COMPUTED_VALUE"""),"Good")</f>
        <v>Good</v>
      </c>
      <c r="AC395">
        <f>IFERROR(__xludf.DUMMYFUNCTION("""COMPUTED_VALUE"""),1.0)</f>
        <v>1</v>
      </c>
      <c r="AD395">
        <f>IFERROR(__xludf.DUMMYFUNCTION("""COMPUTED_VALUE"""),0.0)</f>
        <v>0</v>
      </c>
      <c r="AE395">
        <f>IFERROR(__xludf.DUMMYFUNCTION("""COMPUTED_VALUE"""),0.0)</f>
        <v>0</v>
      </c>
      <c r="AG395" t="str">
        <f>IFERROR(__xludf.DUMMYFUNCTION("""COMPUTED_VALUE"""),"Took delivery without the activation of Autopilot")</f>
        <v>Took delivery without the activation of Autopilot</v>
      </c>
      <c r="AH395" s="189">
        <f>IFERROR(__xludf.DUMMYFUNCTION("""COMPUTED_VALUE"""),43318.46607642361)</f>
        <v>43318.46608</v>
      </c>
    </row>
    <row r="396">
      <c r="A396" t="str">
        <f>IFERROR(__xludf.DUMMYFUNCTION("""COMPUTED_VALUE"""),"SpeedfishDave_")</f>
        <v>SpeedfishDave_</v>
      </c>
      <c r="B396" t="str">
        <f>IFERROR(__xludf.DUMMYFUNCTION("""COMPUTED_VALUE"""),"Montclair _")</f>
        <v>Montclair _</v>
      </c>
      <c r="C396" t="str">
        <f>IFERROR(__xludf.DUMMYFUNCTION("""COMPUTED_VALUE"""),"NJ")</f>
        <v>NJ</v>
      </c>
      <c r="D396" t="str">
        <f>IFERROR(__xludf.DUMMYFUNCTION("""COMPUTED_VALUE"""),"USA")</f>
        <v>USA</v>
      </c>
      <c r="E396" s="188">
        <f>IFERROR(__xludf.DUMMYFUNCTION("""COMPUTED_VALUE"""),43207.0)</f>
        <v>43207</v>
      </c>
      <c r="F396" s="188">
        <f>IFERROR(__xludf.DUMMYFUNCTION("""COMPUTED_VALUE"""),43266.0)</f>
        <v>43266</v>
      </c>
      <c r="H396">
        <f>IFERROR(__xludf.DUMMYFUNCTION("""COMPUTED_VALUE"""),26755.0)</f>
        <v>26755</v>
      </c>
      <c r="I396" t="str">
        <f>IFERROR(__xludf.DUMMYFUNCTION("""COMPUTED_VALUE"""),"06/18")</f>
        <v>06/18</v>
      </c>
      <c r="J396" s="5">
        <f>IFERROR(__xludf.DUMMYFUNCTION("""COMPUTED_VALUE"""),43300.0)</f>
        <v>43300</v>
      </c>
      <c r="K396">
        <f>IFERROR(__xludf.DUMMYFUNCTION("""COMPUTED_VALUE"""),59.0)</f>
        <v>59</v>
      </c>
      <c r="L396">
        <f>IFERROR(__xludf.DUMMYFUNCTION("""COMPUTED_VALUE"""),34.0)</f>
        <v>34</v>
      </c>
      <c r="M396">
        <f>IFERROR(__xludf.DUMMYFUNCTION("""COMPUTED_VALUE"""),93.0)</f>
        <v>93</v>
      </c>
      <c r="N396" t="str">
        <f>IFERROR(__xludf.DUMMYFUNCTION("""COMPUTED_VALUE"""),"Model 3 LR")</f>
        <v>Model 3 LR</v>
      </c>
      <c r="O396" t="str">
        <f>IFERROR(__xludf.DUMMYFUNCTION("""COMPUTED_VALUE"""),"Midnight Silver Metallic")</f>
        <v>Midnight Silver Metallic</v>
      </c>
      <c r="P396" t="str">
        <f>IFERROR(__xludf.DUMMYFUNCTION("""COMPUTED_VALUE"""),"18 inch Aero")</f>
        <v>18 inch Aero</v>
      </c>
      <c r="Q396" t="str">
        <f>IFERROR(__xludf.DUMMYFUNCTION("""COMPUTED_VALUE"""),"Black seats")</f>
        <v>Black seats</v>
      </c>
      <c r="R396" t="str">
        <f>IFERROR(__xludf.DUMMYFUNCTION("""COMPUTED_VALUE"""),"Enhanced Autopilot")</f>
        <v>Enhanced Autopilot</v>
      </c>
      <c r="X396" t="str">
        <f>IFERROR(__xludf.DUMMYFUNCTION("""COMPUTED_VALUE"""),"Good")</f>
        <v>Good</v>
      </c>
      <c r="Y396" t="str">
        <f>IFERROR(__xludf.DUMMYFUNCTION("""COMPUTED_VALUE"""),"Excellent")</f>
        <v>Excellent</v>
      </c>
      <c r="Z396" t="str">
        <f>IFERROR(__xludf.DUMMYFUNCTION("""COMPUTED_VALUE"""),"Very Good")</f>
        <v>Very Good</v>
      </c>
      <c r="AA396" t="str">
        <f>IFERROR(__xludf.DUMMYFUNCTION("""COMPUTED_VALUE"""),"Fair")</f>
        <v>Fair</v>
      </c>
      <c r="AB396" t="str">
        <f>IFERROR(__xludf.DUMMYFUNCTION("""COMPUTED_VALUE"""),"Excellent")</f>
        <v>Excellent</v>
      </c>
      <c r="AC396">
        <f>IFERROR(__xludf.DUMMYFUNCTION("""COMPUTED_VALUE"""),4.0)</f>
        <v>4</v>
      </c>
      <c r="AD396">
        <f>IFERROR(__xludf.DUMMYFUNCTION("""COMPUTED_VALUE"""),1.0)</f>
        <v>1</v>
      </c>
      <c r="AG396" t="str">
        <f>IFERROR(__xludf.DUMMYFUNCTION("""COMPUTED_VALUE"""),"_")</f>
        <v>_</v>
      </c>
      <c r="AH396" s="189">
        <f>IFERROR(__xludf.DUMMYFUNCTION("""COMPUTED_VALUE"""),43318.48011243055)</f>
        <v>43318.48011</v>
      </c>
    </row>
    <row r="397">
      <c r="A397" t="str">
        <f>IFERROR(__xludf.DUMMYFUNCTION("""COMPUTED_VALUE"""),"zahmbie")</f>
        <v>zahmbie</v>
      </c>
      <c r="B397" t="str">
        <f>IFERROR(__xludf.DUMMYFUNCTION("""COMPUTED_VALUE"""),"Atlanta, GA")</f>
        <v>Atlanta, GA</v>
      </c>
      <c r="C397" t="str">
        <f>IFERROR(__xludf.DUMMYFUNCTION("""COMPUTED_VALUE"""),"GA")</f>
        <v>GA</v>
      </c>
      <c r="D397" t="str">
        <f>IFERROR(__xludf.DUMMYFUNCTION("""COMPUTED_VALUE"""),"USA")</f>
        <v>USA</v>
      </c>
      <c r="E397" s="188">
        <f>IFERROR(__xludf.DUMMYFUNCTION("""COMPUTED_VALUE"""),43304.0)</f>
        <v>43304</v>
      </c>
      <c r="F397" s="188">
        <f>IFERROR(__xludf.DUMMYFUNCTION("""COMPUTED_VALUE"""),43312.0)</f>
        <v>43312</v>
      </c>
      <c r="H397">
        <f>IFERROR(__xludf.DUMMYFUNCTION("""COMPUTED_VALUE"""),46255.0)</f>
        <v>46255</v>
      </c>
      <c r="J397" s="5">
        <f>IFERROR(__xludf.DUMMYFUNCTION("""COMPUTED_VALUE"""),43318.0)</f>
        <v>43318</v>
      </c>
      <c r="K397">
        <f>IFERROR(__xludf.DUMMYFUNCTION("""COMPUTED_VALUE"""),8.0)</f>
        <v>8</v>
      </c>
      <c r="L397">
        <f>IFERROR(__xludf.DUMMYFUNCTION("""COMPUTED_VALUE"""),6.0)</f>
        <v>6</v>
      </c>
      <c r="M397">
        <f>IFERROR(__xludf.DUMMYFUNCTION("""COMPUTED_VALUE"""),14.0)</f>
        <v>14</v>
      </c>
      <c r="N397" t="str">
        <f>IFERROR(__xludf.DUMMYFUNCTION("""COMPUTED_VALUE"""),"Model 3 LR")</f>
        <v>Model 3 LR</v>
      </c>
      <c r="O397" t="str">
        <f>IFERROR(__xludf.DUMMYFUNCTION("""COMPUTED_VALUE"""),"Midnight Silver Metallic")</f>
        <v>Midnight Silver Metallic</v>
      </c>
      <c r="P397" t="str">
        <f>IFERROR(__xludf.DUMMYFUNCTION("""COMPUTED_VALUE"""),"18 inch Aero")</f>
        <v>18 inch Aero</v>
      </c>
      <c r="Q397" t="str">
        <f>IFERROR(__xludf.DUMMYFUNCTION("""COMPUTED_VALUE"""),"Black seats")</f>
        <v>Black seats</v>
      </c>
      <c r="R397" t="str">
        <f>IFERROR(__xludf.DUMMYFUNCTION("""COMPUTED_VALUE"""),"Enhanced Autopilot")</f>
        <v>Enhanced Autopilot</v>
      </c>
      <c r="X397" t="str">
        <f>IFERROR(__xludf.DUMMYFUNCTION("""COMPUTED_VALUE"""),"Excellent")</f>
        <v>Excellent</v>
      </c>
      <c r="Y397" t="str">
        <f>IFERROR(__xludf.DUMMYFUNCTION("""COMPUTED_VALUE"""),"Excellent")</f>
        <v>Excellent</v>
      </c>
      <c r="Z397" t="str">
        <f>IFERROR(__xludf.DUMMYFUNCTION("""COMPUTED_VALUE"""),"Excellent")</f>
        <v>Excellent</v>
      </c>
      <c r="AA397" t="str">
        <f>IFERROR(__xludf.DUMMYFUNCTION("""COMPUTED_VALUE"""),"Fair")</f>
        <v>Fair</v>
      </c>
      <c r="AB397" t="str">
        <f>IFERROR(__xludf.DUMMYFUNCTION("""COMPUTED_VALUE"""),"Very Good")</f>
        <v>Very Good</v>
      </c>
      <c r="AH397" s="189">
        <f>IFERROR(__xludf.DUMMYFUNCTION("""COMPUTED_VALUE"""),43318.52092686342)</f>
        <v>43318.52093</v>
      </c>
    </row>
    <row r="398">
      <c r="A398" t="str">
        <f>IFERROR(__xludf.DUMMYFUNCTION("""COMPUTED_VALUE"""),"steveybaby")</f>
        <v>steveybaby</v>
      </c>
      <c r="B398" t="str">
        <f>IFERROR(__xludf.DUMMYFUNCTION("""COMPUTED_VALUE"""),"Oakland")</f>
        <v>Oakland</v>
      </c>
      <c r="C398" t="str">
        <f>IFERROR(__xludf.DUMMYFUNCTION("""COMPUTED_VALUE"""),"CA")</f>
        <v>CA</v>
      </c>
      <c r="D398" t="str">
        <f>IFERROR(__xludf.DUMMYFUNCTION("""COMPUTED_VALUE"""),"USA")</f>
        <v>USA</v>
      </c>
      <c r="E398" s="188">
        <f>IFERROR(__xludf.DUMMYFUNCTION("""COMPUTED_VALUE"""),43281.0)</f>
        <v>43281</v>
      </c>
      <c r="F398" s="188">
        <f>IFERROR(__xludf.DUMMYFUNCTION("""COMPUTED_VALUE"""),43308.0)</f>
        <v>43308</v>
      </c>
      <c r="H398">
        <f>IFERROR(__xludf.DUMMYFUNCTION("""COMPUTED_VALUE"""),53255.0)</f>
        <v>53255</v>
      </c>
      <c r="J398" s="5">
        <f>IFERROR(__xludf.DUMMYFUNCTION("""COMPUTED_VALUE"""),43315.0)</f>
        <v>43315</v>
      </c>
      <c r="K398">
        <f>IFERROR(__xludf.DUMMYFUNCTION("""COMPUTED_VALUE"""),27.0)</f>
        <v>27</v>
      </c>
      <c r="L398">
        <f>IFERROR(__xludf.DUMMYFUNCTION("""COMPUTED_VALUE"""),7.0)</f>
        <v>7</v>
      </c>
      <c r="M398">
        <f>IFERROR(__xludf.DUMMYFUNCTION("""COMPUTED_VALUE"""),34.0)</f>
        <v>34</v>
      </c>
      <c r="N398" t="str">
        <f>IFERROR(__xludf.DUMMYFUNCTION("""COMPUTED_VALUE"""),"Model 3 LR")</f>
        <v>Model 3 LR</v>
      </c>
      <c r="O398" t="str">
        <f>IFERROR(__xludf.DUMMYFUNCTION("""COMPUTED_VALUE"""),"Red Multi-Coat")</f>
        <v>Red Multi-Coat</v>
      </c>
      <c r="P398" t="str">
        <f>IFERROR(__xludf.DUMMYFUNCTION("""COMPUTED_VALUE"""),"18 inch Aero")</f>
        <v>18 inch Aero</v>
      </c>
      <c r="Q398" t="str">
        <f>IFERROR(__xludf.DUMMYFUNCTION("""COMPUTED_VALUE"""),"Black seats")</f>
        <v>Black seats</v>
      </c>
      <c r="R398" t="str">
        <f>IFERROR(__xludf.DUMMYFUNCTION("""COMPUTED_VALUE"""),"Enhanced Autopilot")</f>
        <v>Enhanced Autopilot</v>
      </c>
      <c r="X398" t="str">
        <f>IFERROR(__xludf.DUMMYFUNCTION("""COMPUTED_VALUE"""),"Excellent")</f>
        <v>Excellent</v>
      </c>
      <c r="Y398" t="str">
        <f>IFERROR(__xludf.DUMMYFUNCTION("""COMPUTED_VALUE"""),"Excellent")</f>
        <v>Excellent</v>
      </c>
      <c r="Z398" t="str">
        <f>IFERROR(__xludf.DUMMYFUNCTION("""COMPUTED_VALUE"""),"Very Good")</f>
        <v>Very Good</v>
      </c>
      <c r="AA398" t="str">
        <f>IFERROR(__xludf.DUMMYFUNCTION("""COMPUTED_VALUE"""),"Good")</f>
        <v>Good</v>
      </c>
      <c r="AB398" t="str">
        <f>IFERROR(__xludf.DUMMYFUNCTION("""COMPUTED_VALUE"""),"Good")</f>
        <v>Good</v>
      </c>
      <c r="AC398">
        <f>IFERROR(__xludf.DUMMYFUNCTION("""COMPUTED_VALUE"""),1.0)</f>
        <v>1</v>
      </c>
      <c r="AD398">
        <f>IFERROR(__xludf.DUMMYFUNCTION("""COMPUTED_VALUE"""),0.0)</f>
        <v>0</v>
      </c>
      <c r="AE398">
        <f>IFERROR(__xludf.DUMMYFUNCTION("""COMPUTED_VALUE"""),0.0)</f>
        <v>0</v>
      </c>
      <c r="AG398" t="str">
        <f>IFERROR(__xludf.DUMMYFUNCTION("""COMPUTED_VALUE"""),"EAP not enabled correctly.")</f>
        <v>EAP not enabled correctly.</v>
      </c>
      <c r="AH398" s="189">
        <f>IFERROR(__xludf.DUMMYFUNCTION("""COMPUTED_VALUE"""),43318.541958194444)</f>
        <v>43318.54196</v>
      </c>
    </row>
    <row r="399">
      <c r="A399" t="str">
        <f>IFERROR(__xludf.DUMMYFUNCTION("""COMPUTED_VALUE"""),"bobbybeats")</f>
        <v>bobbybeats</v>
      </c>
      <c r="B399" t="str">
        <f>IFERROR(__xludf.DUMMYFUNCTION("""COMPUTED_VALUE"""),"Houston")</f>
        <v>Houston</v>
      </c>
      <c r="C399" t="str">
        <f>IFERROR(__xludf.DUMMYFUNCTION("""COMPUTED_VALUE"""),"TX")</f>
        <v>TX</v>
      </c>
      <c r="D399" t="str">
        <f>IFERROR(__xludf.DUMMYFUNCTION("""COMPUTED_VALUE"""),"USA")</f>
        <v>USA</v>
      </c>
      <c r="E399" s="188">
        <f>IFERROR(__xludf.DUMMYFUNCTION("""COMPUTED_VALUE"""),43278.0)</f>
        <v>43278</v>
      </c>
      <c r="F399" s="188">
        <f>IFERROR(__xludf.DUMMYFUNCTION("""COMPUTED_VALUE"""),43292.0)</f>
        <v>43292</v>
      </c>
      <c r="H399">
        <f>IFERROR(__xludf.DUMMYFUNCTION("""COMPUTED_VALUE"""),47190.0)</f>
        <v>47190</v>
      </c>
      <c r="I399" t="str">
        <f>IFERROR(__xludf.DUMMYFUNCTION("""COMPUTED_VALUE"""),"07/18")</f>
        <v>07/18</v>
      </c>
      <c r="J399" s="5">
        <f>IFERROR(__xludf.DUMMYFUNCTION("""COMPUTED_VALUE"""),43309.0)</f>
        <v>43309</v>
      </c>
      <c r="K399">
        <f>IFERROR(__xludf.DUMMYFUNCTION("""COMPUTED_VALUE"""),14.0)</f>
        <v>14</v>
      </c>
      <c r="L399">
        <f>IFERROR(__xludf.DUMMYFUNCTION("""COMPUTED_VALUE"""),17.0)</f>
        <v>17</v>
      </c>
      <c r="M399">
        <f>IFERROR(__xludf.DUMMYFUNCTION("""COMPUTED_VALUE"""),31.0)</f>
        <v>31</v>
      </c>
      <c r="N399" t="str">
        <f>IFERROR(__xludf.DUMMYFUNCTION("""COMPUTED_VALUE"""),"Model 3 LR")</f>
        <v>Model 3 LR</v>
      </c>
      <c r="O399" t="str">
        <f>IFERROR(__xludf.DUMMYFUNCTION("""COMPUTED_VALUE"""),"Midnight Silver Metallic")</f>
        <v>Midnight Silver Metallic</v>
      </c>
      <c r="P399" t="str">
        <f>IFERROR(__xludf.DUMMYFUNCTION("""COMPUTED_VALUE"""),"19 inch Sport")</f>
        <v>19 inch Sport</v>
      </c>
      <c r="Q399" t="str">
        <f>IFERROR(__xludf.DUMMYFUNCTION("""COMPUTED_VALUE"""),"Black seats")</f>
        <v>Black seats</v>
      </c>
      <c r="R399" t="str">
        <f>IFERROR(__xludf.DUMMYFUNCTION("""COMPUTED_VALUE"""),"Enhanced Autopilot")</f>
        <v>Enhanced Autopilot</v>
      </c>
      <c r="X399" t="str">
        <f>IFERROR(__xludf.DUMMYFUNCTION("""COMPUTED_VALUE"""),"Excellent")</f>
        <v>Excellent</v>
      </c>
      <c r="Y399" t="str">
        <f>IFERROR(__xludf.DUMMYFUNCTION("""COMPUTED_VALUE"""),"Excellent")</f>
        <v>Excellent</v>
      </c>
      <c r="Z399" t="str">
        <f>IFERROR(__xludf.DUMMYFUNCTION("""COMPUTED_VALUE"""),"Very Good")</f>
        <v>Very Good</v>
      </c>
      <c r="AA399" t="str">
        <f>IFERROR(__xludf.DUMMYFUNCTION("""COMPUTED_VALUE"""),"Very Good")</f>
        <v>Very Good</v>
      </c>
      <c r="AB399" t="str">
        <f>IFERROR(__xludf.DUMMYFUNCTION("""COMPUTED_VALUE"""),"Very Good")</f>
        <v>Very Good</v>
      </c>
      <c r="AC399">
        <f>IFERROR(__xludf.DUMMYFUNCTION("""COMPUTED_VALUE"""),1.0)</f>
        <v>1</v>
      </c>
      <c r="AD399">
        <f>IFERROR(__xludf.DUMMYFUNCTION("""COMPUTED_VALUE"""),0.0)</f>
        <v>0</v>
      </c>
      <c r="AE399">
        <f>IFERROR(__xludf.DUMMYFUNCTION("""COMPUTED_VALUE"""),0.0)</f>
        <v>0</v>
      </c>
      <c r="AG399" t="str">
        <f>IFERROR(__xludf.DUMMYFUNCTION("""COMPUTED_VALUE"""),"Cosmetic issue with camera housing replaced on delivery day")</f>
        <v>Cosmetic issue with camera housing replaced on delivery day</v>
      </c>
      <c r="AH399" s="189">
        <f>IFERROR(__xludf.DUMMYFUNCTION("""COMPUTED_VALUE"""),43318.65448428241)</f>
        <v>43318.65448</v>
      </c>
    </row>
    <row r="400">
      <c r="A400" t="str">
        <f>IFERROR(__xludf.DUMMYFUNCTION("""COMPUTED_VALUE"""),"SteveD")</f>
        <v>SteveD</v>
      </c>
      <c r="B400" t="str">
        <f>IFERROR(__xludf.DUMMYFUNCTION("""COMPUTED_VALUE"""),"Tacoma ")</f>
        <v>Tacoma </v>
      </c>
      <c r="C400" t="str">
        <f>IFERROR(__xludf.DUMMYFUNCTION("""COMPUTED_VALUE"""),"WA")</f>
        <v>WA</v>
      </c>
      <c r="D400" t="str">
        <f>IFERROR(__xludf.DUMMYFUNCTION("""COMPUTED_VALUE"""),"USA")</f>
        <v>USA</v>
      </c>
      <c r="E400" s="188">
        <f>IFERROR(__xludf.DUMMYFUNCTION("""COMPUTED_VALUE"""),43261.0)</f>
        <v>43261</v>
      </c>
      <c r="H400">
        <f>IFERROR(__xludf.DUMMYFUNCTION("""COMPUTED_VALUE"""),35045.0)</f>
        <v>35045</v>
      </c>
      <c r="J400" s="5">
        <f>IFERROR(__xludf.DUMMYFUNCTION("""COMPUTED_VALUE"""),44783.0)</f>
        <v>44783</v>
      </c>
      <c r="N400" t="str">
        <f>IFERROR(__xludf.DUMMYFUNCTION("""COMPUTED_VALUE"""),"Model 3 LR")</f>
        <v>Model 3 LR</v>
      </c>
      <c r="O400" t="str">
        <f>IFERROR(__xludf.DUMMYFUNCTION("""COMPUTED_VALUE"""),"Red Multi-Coat")</f>
        <v>Red Multi-Coat</v>
      </c>
      <c r="P400" t="str">
        <f>IFERROR(__xludf.DUMMYFUNCTION("""COMPUTED_VALUE"""),"19 inch Sport")</f>
        <v>19 inch Sport</v>
      </c>
      <c r="Q400" t="str">
        <f>IFERROR(__xludf.DUMMYFUNCTION("""COMPUTED_VALUE"""),"Black seats")</f>
        <v>Black seats</v>
      </c>
      <c r="R400" t="str">
        <f>IFERROR(__xludf.DUMMYFUNCTION("""COMPUTED_VALUE"""),"Enhanced Autopilot")</f>
        <v>Enhanced Autopilot</v>
      </c>
      <c r="AH400" s="189">
        <f>IFERROR(__xludf.DUMMYFUNCTION("""COMPUTED_VALUE"""),43318.73121210648)</f>
        <v>43318.73121</v>
      </c>
    </row>
    <row r="401">
      <c r="A401" t="str">
        <f>IFERROR(__xludf.DUMMYFUNCTION("""COMPUTED_VALUE"""),"LoboMesa")</f>
        <v>LoboMesa</v>
      </c>
      <c r="B401" t="str">
        <f>IFERROR(__xludf.DUMMYFUNCTION("""COMPUTED_VALUE"""),"Jacksonville ")</f>
        <v>Jacksonville </v>
      </c>
      <c r="C401" t="str">
        <f>IFERROR(__xludf.DUMMYFUNCTION("""COMPUTED_VALUE"""),"FL")</f>
        <v>FL</v>
      </c>
      <c r="D401" t="str">
        <f>IFERROR(__xludf.DUMMYFUNCTION("""COMPUTED_VALUE"""),"USA")</f>
        <v>USA</v>
      </c>
      <c r="E401" s="188">
        <f>IFERROR(__xludf.DUMMYFUNCTION("""COMPUTED_VALUE"""),43243.0)</f>
        <v>43243</v>
      </c>
      <c r="F401" s="188">
        <f>IFERROR(__xludf.DUMMYFUNCTION("""COMPUTED_VALUE"""),43303.0)</f>
        <v>43303</v>
      </c>
      <c r="H401">
        <f>IFERROR(__xludf.DUMMYFUNCTION("""COMPUTED_VALUE"""),55834.0)</f>
        <v>55834</v>
      </c>
      <c r="I401" t="str">
        <f>IFERROR(__xludf.DUMMYFUNCTION("""COMPUTED_VALUE"""),"07/18")</f>
        <v>07/18</v>
      </c>
      <c r="J401" s="5">
        <f>IFERROR(__xludf.DUMMYFUNCTION("""COMPUTED_VALUE"""),43318.0)</f>
        <v>43318</v>
      </c>
      <c r="K401">
        <f>IFERROR(__xludf.DUMMYFUNCTION("""COMPUTED_VALUE"""),60.0)</f>
        <v>60</v>
      </c>
      <c r="L401">
        <f>IFERROR(__xludf.DUMMYFUNCTION("""COMPUTED_VALUE"""),15.0)</f>
        <v>15</v>
      </c>
      <c r="M401">
        <f>IFERROR(__xludf.DUMMYFUNCTION("""COMPUTED_VALUE"""),75.0)</f>
        <v>75</v>
      </c>
      <c r="N401" t="str">
        <f>IFERROR(__xludf.DUMMYFUNCTION("""COMPUTED_VALUE"""),"Model 3 Performance")</f>
        <v>Model 3 Performance</v>
      </c>
      <c r="O401" t="str">
        <f>IFERROR(__xludf.DUMMYFUNCTION("""COMPUTED_VALUE"""),"Pearl White Multi-Coat")</f>
        <v>Pearl White Multi-Coat</v>
      </c>
      <c r="P401" t="str">
        <f>IFERROR(__xludf.DUMMYFUNCTION("""COMPUTED_VALUE"""),"20 inch Sport")</f>
        <v>20 inch Sport</v>
      </c>
      <c r="Q401" t="str">
        <f>IFERROR(__xludf.DUMMYFUNCTION("""COMPUTED_VALUE"""),"White seats")</f>
        <v>White seats</v>
      </c>
      <c r="R401" t="str">
        <f>IFERROR(__xludf.DUMMYFUNCTION("""COMPUTED_VALUE"""),"Enhanced Autopilot")</f>
        <v>Enhanced Autopilot</v>
      </c>
      <c r="X401" t="str">
        <f>IFERROR(__xludf.DUMMYFUNCTION("""COMPUTED_VALUE"""),"Excellent")</f>
        <v>Excellent</v>
      </c>
      <c r="Y401" t="str">
        <f>IFERROR(__xludf.DUMMYFUNCTION("""COMPUTED_VALUE"""),"Excellent")</f>
        <v>Excellent</v>
      </c>
      <c r="Z401" t="str">
        <f>IFERROR(__xludf.DUMMYFUNCTION("""COMPUTED_VALUE"""),"Excellent")</f>
        <v>Excellent</v>
      </c>
      <c r="AA401" t="str">
        <f>IFERROR(__xludf.DUMMYFUNCTION("""COMPUTED_VALUE"""),"Good")</f>
        <v>Good</v>
      </c>
      <c r="AB401" t="str">
        <f>IFERROR(__xludf.DUMMYFUNCTION("""COMPUTED_VALUE"""),"Very Good")</f>
        <v>Very Good</v>
      </c>
      <c r="AH401" s="189">
        <f>IFERROR(__xludf.DUMMYFUNCTION("""COMPUTED_VALUE"""),43318.74619070602)</f>
        <v>43318.74619</v>
      </c>
    </row>
    <row r="402">
      <c r="A402" t="str">
        <f>IFERROR(__xludf.DUMMYFUNCTION("""COMPUTED_VALUE"""),"austin_goldenoak")</f>
        <v>austin_goldenoak</v>
      </c>
      <c r="B402" t="str">
        <f>IFERROR(__xludf.DUMMYFUNCTION("""COMPUTED_VALUE"""),"Austin")</f>
        <v>Austin</v>
      </c>
      <c r="C402" t="str">
        <f>IFERROR(__xludf.DUMMYFUNCTION("""COMPUTED_VALUE"""),"TX")</f>
        <v>TX</v>
      </c>
      <c r="D402" t="str">
        <f>IFERROR(__xludf.DUMMYFUNCTION("""COMPUTED_VALUE"""),"USA")</f>
        <v>USA</v>
      </c>
      <c r="E402" s="188">
        <f>IFERROR(__xludf.DUMMYFUNCTION("""COMPUTED_VALUE"""),43213.0)</f>
        <v>43213</v>
      </c>
      <c r="F402" s="188">
        <f>IFERROR(__xludf.DUMMYFUNCTION("""COMPUTED_VALUE"""),43265.0)</f>
        <v>43265</v>
      </c>
      <c r="H402">
        <f>IFERROR(__xludf.DUMMYFUNCTION("""COMPUTED_VALUE"""),38355.0)</f>
        <v>38355</v>
      </c>
      <c r="J402" s="5">
        <f>IFERROR(__xludf.DUMMYFUNCTION("""COMPUTED_VALUE"""),43290.0)</f>
        <v>43290</v>
      </c>
      <c r="K402">
        <f>IFERROR(__xludf.DUMMYFUNCTION("""COMPUTED_VALUE"""),52.0)</f>
        <v>52</v>
      </c>
      <c r="L402">
        <f>IFERROR(__xludf.DUMMYFUNCTION("""COMPUTED_VALUE"""),25.0)</f>
        <v>25</v>
      </c>
      <c r="M402">
        <f>IFERROR(__xludf.DUMMYFUNCTION("""COMPUTED_VALUE"""),77.0)</f>
        <v>77</v>
      </c>
      <c r="N402" t="str">
        <f>IFERROR(__xludf.DUMMYFUNCTION("""COMPUTED_VALUE"""),"Model 3 LR")</f>
        <v>Model 3 LR</v>
      </c>
      <c r="O402" t="str">
        <f>IFERROR(__xludf.DUMMYFUNCTION("""COMPUTED_VALUE"""),"Deep Blue Metallic")</f>
        <v>Deep Blue Metallic</v>
      </c>
      <c r="P402" t="str">
        <f>IFERROR(__xludf.DUMMYFUNCTION("""COMPUTED_VALUE"""),"18 inch Aero")</f>
        <v>18 inch Aero</v>
      </c>
      <c r="Q402" t="str">
        <f>IFERROR(__xludf.DUMMYFUNCTION("""COMPUTED_VALUE"""),"Black seats")</f>
        <v>Black seats</v>
      </c>
      <c r="R402" t="str">
        <f>IFERROR(__xludf.DUMMYFUNCTION("""COMPUTED_VALUE"""),"Enhanced Autopilot")</f>
        <v>Enhanced Autopilot</v>
      </c>
      <c r="X402" t="str">
        <f>IFERROR(__xludf.DUMMYFUNCTION("""COMPUTED_VALUE"""),"Good")</f>
        <v>Good</v>
      </c>
      <c r="Y402" t="str">
        <f>IFERROR(__xludf.DUMMYFUNCTION("""COMPUTED_VALUE"""),"Very Good")</f>
        <v>Very Good</v>
      </c>
      <c r="Z402" t="str">
        <f>IFERROR(__xludf.DUMMYFUNCTION("""COMPUTED_VALUE"""),"Fair")</f>
        <v>Fair</v>
      </c>
      <c r="AA402" t="str">
        <f>IFERROR(__xludf.DUMMYFUNCTION("""COMPUTED_VALUE"""),"Fair")</f>
        <v>Fair</v>
      </c>
      <c r="AB402" t="str">
        <f>IFERROR(__xludf.DUMMYFUNCTION("""COMPUTED_VALUE"""),"Fair")</f>
        <v>Fair</v>
      </c>
      <c r="AC402">
        <f>IFERROR(__xludf.DUMMYFUNCTION("""COMPUTED_VALUE"""),1.0)</f>
        <v>1</v>
      </c>
      <c r="AD402">
        <f>IFERROR(__xludf.DUMMYFUNCTION("""COMPUTED_VALUE"""),1.0)</f>
        <v>1</v>
      </c>
      <c r="AE402">
        <f>IFERROR(__xludf.DUMMYFUNCTION("""COMPUTED_VALUE"""),6.0)</f>
        <v>6</v>
      </c>
      <c r="AH402" s="189">
        <f>IFERROR(__xludf.DUMMYFUNCTION("""COMPUTED_VALUE"""),43318.78723952547)</f>
        <v>43318.78724</v>
      </c>
    </row>
    <row r="403">
      <c r="A403" t="str">
        <f>IFERROR(__xludf.DUMMYFUNCTION("""COMPUTED_VALUE"""),"ShutUpandBeHappy")</f>
        <v>ShutUpandBeHappy</v>
      </c>
      <c r="B403" t="str">
        <f>IFERROR(__xludf.DUMMYFUNCTION("""COMPUTED_VALUE"""),"Portland")</f>
        <v>Portland</v>
      </c>
      <c r="C403" t="str">
        <f>IFERROR(__xludf.DUMMYFUNCTION("""COMPUTED_VALUE"""),"OR")</f>
        <v>OR</v>
      </c>
      <c r="D403" t="str">
        <f>IFERROR(__xludf.DUMMYFUNCTION("""COMPUTED_VALUE"""),"USA")</f>
        <v>USA</v>
      </c>
      <c r="E403" s="188">
        <f>IFERROR(__xludf.DUMMYFUNCTION("""COMPUTED_VALUE"""),43277.0)</f>
        <v>43277</v>
      </c>
      <c r="F403" s="188">
        <f>IFERROR(__xludf.DUMMYFUNCTION("""COMPUTED_VALUE"""),43313.0)</f>
        <v>43313</v>
      </c>
      <c r="H403">
        <f>IFERROR(__xludf.DUMMYFUNCTION("""COMPUTED_VALUE"""),73354.0)</f>
        <v>73354</v>
      </c>
      <c r="I403" t="str">
        <f>IFERROR(__xludf.DUMMYFUNCTION("""COMPUTED_VALUE"""),"07/18")</f>
        <v>07/18</v>
      </c>
      <c r="J403" s="5">
        <f>IFERROR(__xludf.DUMMYFUNCTION("""COMPUTED_VALUE"""),43315.0)</f>
        <v>43315</v>
      </c>
      <c r="K403">
        <f>IFERROR(__xludf.DUMMYFUNCTION("""COMPUTED_VALUE"""),36.0)</f>
        <v>36</v>
      </c>
      <c r="L403">
        <f>IFERROR(__xludf.DUMMYFUNCTION("""COMPUTED_VALUE"""),2.0)</f>
        <v>2</v>
      </c>
      <c r="M403">
        <f>IFERROR(__xludf.DUMMYFUNCTION("""COMPUTED_VALUE"""),38.0)</f>
        <v>38</v>
      </c>
      <c r="N403" t="str">
        <f>IFERROR(__xludf.DUMMYFUNCTION("""COMPUTED_VALUE"""),"Model 3 Performance")</f>
        <v>Model 3 Performance</v>
      </c>
      <c r="O403" t="str">
        <f>IFERROR(__xludf.DUMMYFUNCTION("""COMPUTED_VALUE"""),"Red Multi-Coat")</f>
        <v>Red Multi-Coat</v>
      </c>
      <c r="P403" t="str">
        <f>IFERROR(__xludf.DUMMYFUNCTION("""COMPUTED_VALUE"""),"18 inch Aero")</f>
        <v>18 inch Aero</v>
      </c>
      <c r="Q403" t="str">
        <f>IFERROR(__xludf.DUMMYFUNCTION("""COMPUTED_VALUE"""),"Black seats")</f>
        <v>Black seats</v>
      </c>
      <c r="R403" t="str">
        <f>IFERROR(__xludf.DUMMYFUNCTION("""COMPUTED_VALUE"""),"None")</f>
        <v>None</v>
      </c>
      <c r="X403" t="str">
        <f>IFERROR(__xludf.DUMMYFUNCTION("""COMPUTED_VALUE"""),"Very Good")</f>
        <v>Very Good</v>
      </c>
      <c r="Y403" t="str">
        <f>IFERROR(__xludf.DUMMYFUNCTION("""COMPUTED_VALUE"""),"Excellent")</f>
        <v>Excellent</v>
      </c>
      <c r="Z403" t="str">
        <f>IFERROR(__xludf.DUMMYFUNCTION("""COMPUTED_VALUE"""),"Excellent")</f>
        <v>Excellent</v>
      </c>
      <c r="AA403" t="str">
        <f>IFERROR(__xludf.DUMMYFUNCTION("""COMPUTED_VALUE"""),"Very Good")</f>
        <v>Very Good</v>
      </c>
      <c r="AB403" t="str">
        <f>IFERROR(__xludf.DUMMYFUNCTION("""COMPUTED_VALUE"""),"Excellent")</f>
        <v>Excellent</v>
      </c>
      <c r="AH403" s="189">
        <f>IFERROR(__xludf.DUMMYFUNCTION("""COMPUTED_VALUE"""),43318.87354954861)</f>
        <v>43318.87355</v>
      </c>
    </row>
    <row r="404">
      <c r="A404" t="str">
        <f>IFERROR(__xludf.DUMMYFUNCTION("""COMPUTED_VALUE"""),"Cuba_Steve")</f>
        <v>Cuba_Steve</v>
      </c>
      <c r="B404" t="str">
        <f>IFERROR(__xludf.DUMMYFUNCTION("""COMPUTED_VALUE"""),"Orlando")</f>
        <v>Orlando</v>
      </c>
      <c r="C404" t="str">
        <f>IFERROR(__xludf.DUMMYFUNCTION("""COMPUTED_VALUE"""),"FL")</f>
        <v>FL</v>
      </c>
      <c r="D404" t="str">
        <f>IFERROR(__xludf.DUMMYFUNCTION("""COMPUTED_VALUE"""),"USA")</f>
        <v>USA</v>
      </c>
      <c r="E404" s="188">
        <f>IFERROR(__xludf.DUMMYFUNCTION("""COMPUTED_VALUE"""),43196.0)</f>
        <v>43196</v>
      </c>
      <c r="F404" s="188">
        <f>IFERROR(__xludf.DUMMYFUNCTION("""COMPUTED_VALUE"""),43228.0)</f>
        <v>43228</v>
      </c>
      <c r="H404">
        <f>IFERROR(__xludf.DUMMYFUNCTION("""COMPUTED_VALUE"""),18555.0)</f>
        <v>18555</v>
      </c>
      <c r="I404" t="str">
        <f>IFERROR(__xludf.DUMMYFUNCTION("""COMPUTED_VALUE"""),"04/18")</f>
        <v>04/18</v>
      </c>
      <c r="J404" s="5">
        <f>IFERROR(__xludf.DUMMYFUNCTION("""COMPUTED_VALUE"""),43241.0)</f>
        <v>43241</v>
      </c>
      <c r="K404">
        <f>IFERROR(__xludf.DUMMYFUNCTION("""COMPUTED_VALUE"""),32.0)</f>
        <v>32</v>
      </c>
      <c r="L404">
        <f>IFERROR(__xludf.DUMMYFUNCTION("""COMPUTED_VALUE"""),13.0)</f>
        <v>13</v>
      </c>
      <c r="M404">
        <f>IFERROR(__xludf.DUMMYFUNCTION("""COMPUTED_VALUE"""),45.0)</f>
        <v>45</v>
      </c>
      <c r="N404" t="str">
        <f>IFERROR(__xludf.DUMMYFUNCTION("""COMPUTED_VALUE"""),"Model 3 LR")</f>
        <v>Model 3 LR</v>
      </c>
      <c r="O404" t="str">
        <f>IFERROR(__xludf.DUMMYFUNCTION("""COMPUTED_VALUE"""),"Solid Black")</f>
        <v>Solid Black</v>
      </c>
      <c r="P404" t="str">
        <f>IFERROR(__xludf.DUMMYFUNCTION("""COMPUTED_VALUE"""),"18 inch Aero")</f>
        <v>18 inch Aero</v>
      </c>
      <c r="Q404" t="str">
        <f>IFERROR(__xludf.DUMMYFUNCTION("""COMPUTED_VALUE"""),"Black seats")</f>
        <v>Black seats</v>
      </c>
      <c r="R404" t="str">
        <f>IFERROR(__xludf.DUMMYFUNCTION("""COMPUTED_VALUE"""),"Enhanced Autopilot")</f>
        <v>Enhanced Autopilot</v>
      </c>
      <c r="Y404" t="str">
        <f>IFERROR(__xludf.DUMMYFUNCTION("""COMPUTED_VALUE"""),"Very Good")</f>
        <v>Very Good</v>
      </c>
      <c r="Z404" t="str">
        <f>IFERROR(__xludf.DUMMYFUNCTION("""COMPUTED_VALUE"""),"Good")</f>
        <v>Good</v>
      </c>
      <c r="AA404" t="str">
        <f>IFERROR(__xludf.DUMMYFUNCTION("""COMPUTED_VALUE"""),"Excellent")</f>
        <v>Excellent</v>
      </c>
      <c r="AB404" t="str">
        <f>IFERROR(__xludf.DUMMYFUNCTION("""COMPUTED_VALUE"""),"Very Good")</f>
        <v>Very Good</v>
      </c>
      <c r="AC404">
        <f>IFERROR(__xludf.DUMMYFUNCTION("""COMPUTED_VALUE"""),2.0)</f>
        <v>2</v>
      </c>
      <c r="AD404">
        <f>IFERROR(__xludf.DUMMYFUNCTION("""COMPUTED_VALUE"""),0.0)</f>
        <v>0</v>
      </c>
      <c r="AE404">
        <f>IFERROR(__xludf.DUMMYFUNCTION("""COMPUTED_VALUE"""),0.0)</f>
        <v>0</v>
      </c>
      <c r="AH404" s="189">
        <f>IFERROR(__xludf.DUMMYFUNCTION("""COMPUTED_VALUE"""),43319.295682881944)</f>
        <v>43319.29568</v>
      </c>
    </row>
    <row r="405">
      <c r="A405" t="str">
        <f>IFERROR(__xludf.DUMMYFUNCTION("""COMPUTED_VALUE"""),"puppy7505")</f>
        <v>puppy7505</v>
      </c>
      <c r="B405" t="str">
        <f>IFERROR(__xludf.DUMMYFUNCTION("""COMPUTED_VALUE"""),"Monterey Park")</f>
        <v>Monterey Park</v>
      </c>
      <c r="C405" t="str">
        <f>IFERROR(__xludf.DUMMYFUNCTION("""COMPUTED_VALUE"""),"CA")</f>
        <v>CA</v>
      </c>
      <c r="D405" t="str">
        <f>IFERROR(__xludf.DUMMYFUNCTION("""COMPUTED_VALUE"""),"USA")</f>
        <v>USA</v>
      </c>
      <c r="E405" s="188">
        <f>IFERROR(__xludf.DUMMYFUNCTION("""COMPUTED_VALUE"""),43278.0)</f>
        <v>43278</v>
      </c>
      <c r="F405" s="188">
        <f>IFERROR(__xludf.DUMMYFUNCTION("""COMPUTED_VALUE"""),43307.0)</f>
        <v>43307</v>
      </c>
      <c r="H405">
        <f>IFERROR(__xludf.DUMMYFUNCTION("""COMPUTED_VALUE"""),47682.0)</f>
        <v>47682</v>
      </c>
      <c r="I405" t="str">
        <f>IFERROR(__xludf.DUMMYFUNCTION("""COMPUTED_VALUE"""),"07/18")</f>
        <v>07/18</v>
      </c>
      <c r="J405" s="5">
        <f>IFERROR(__xludf.DUMMYFUNCTION("""COMPUTED_VALUE"""),43313.0)</f>
        <v>43313</v>
      </c>
      <c r="K405">
        <f>IFERROR(__xludf.DUMMYFUNCTION("""COMPUTED_VALUE"""),29.0)</f>
        <v>29</v>
      </c>
      <c r="L405">
        <f>IFERROR(__xludf.DUMMYFUNCTION("""COMPUTED_VALUE"""),6.0)</f>
        <v>6</v>
      </c>
      <c r="M405">
        <f>IFERROR(__xludf.DUMMYFUNCTION("""COMPUTED_VALUE"""),35.0)</f>
        <v>35</v>
      </c>
      <c r="N405" t="str">
        <f>IFERROR(__xludf.DUMMYFUNCTION("""COMPUTED_VALUE"""),"Model 3 LR")</f>
        <v>Model 3 LR</v>
      </c>
      <c r="O405" t="str">
        <f>IFERROR(__xludf.DUMMYFUNCTION("""COMPUTED_VALUE"""),"Red Multi-Coat")</f>
        <v>Red Multi-Coat</v>
      </c>
      <c r="P405" t="str">
        <f>IFERROR(__xludf.DUMMYFUNCTION("""COMPUTED_VALUE"""),"19 inch Sport")</f>
        <v>19 inch Sport</v>
      </c>
      <c r="Q405" t="str">
        <f>IFERROR(__xludf.DUMMYFUNCTION("""COMPUTED_VALUE"""),"Black seats")</f>
        <v>Black seats</v>
      </c>
      <c r="R405" t="str">
        <f>IFERROR(__xludf.DUMMYFUNCTION("""COMPUTED_VALUE"""),"Enhanced Autopilot")</f>
        <v>Enhanced Autopilot</v>
      </c>
      <c r="X405" t="str">
        <f>IFERROR(__xludf.DUMMYFUNCTION("""COMPUTED_VALUE"""),"Very Good")</f>
        <v>Very Good</v>
      </c>
      <c r="Y405" t="str">
        <f>IFERROR(__xludf.DUMMYFUNCTION("""COMPUTED_VALUE"""),"Excellent")</f>
        <v>Excellent</v>
      </c>
      <c r="Z405" t="str">
        <f>IFERROR(__xludf.DUMMYFUNCTION("""COMPUTED_VALUE"""),"Excellent")</f>
        <v>Excellent</v>
      </c>
      <c r="AA405" t="str">
        <f>IFERROR(__xludf.DUMMYFUNCTION("""COMPUTED_VALUE"""),"Very Good")</f>
        <v>Very Good</v>
      </c>
      <c r="AB405" t="str">
        <f>IFERROR(__xludf.DUMMYFUNCTION("""COMPUTED_VALUE"""),"Excellent")</f>
        <v>Excellent</v>
      </c>
      <c r="AC405">
        <f>IFERROR(__xludf.DUMMYFUNCTION("""COMPUTED_VALUE"""),1.0)</f>
        <v>1</v>
      </c>
      <c r="AD405">
        <f>IFERROR(__xludf.DUMMYFUNCTION("""COMPUTED_VALUE"""),1.0)</f>
        <v>1</v>
      </c>
      <c r="AH405" s="189">
        <f>IFERROR(__xludf.DUMMYFUNCTION("""COMPUTED_VALUE"""),43319.30529722222)</f>
        <v>43319.3053</v>
      </c>
    </row>
    <row r="406">
      <c r="A406" t="str">
        <f>IFERROR(__xludf.DUMMYFUNCTION("""COMPUTED_VALUE"""),"tedtvo")</f>
        <v>tedtvo</v>
      </c>
      <c r="B406" t="str">
        <f>IFERROR(__xludf.DUMMYFUNCTION("""COMPUTED_VALUE"""),"Sacramento")</f>
        <v>Sacramento</v>
      </c>
      <c r="C406" t="str">
        <f>IFERROR(__xludf.DUMMYFUNCTION("""COMPUTED_VALUE"""),"CA")</f>
        <v>CA</v>
      </c>
      <c r="D406" t="str">
        <f>IFERROR(__xludf.DUMMYFUNCTION("""COMPUTED_VALUE"""),"USA")</f>
        <v>USA</v>
      </c>
      <c r="E406" s="188">
        <f>IFERROR(__xludf.DUMMYFUNCTION("""COMPUTED_VALUE"""),43278.0)</f>
        <v>43278</v>
      </c>
      <c r="F406" s="188">
        <f>IFERROR(__xludf.DUMMYFUNCTION("""COMPUTED_VALUE"""),43300.0)</f>
        <v>43300</v>
      </c>
      <c r="H406">
        <f>IFERROR(__xludf.DUMMYFUNCTION("""COMPUTED_VALUE"""),46155.0)</f>
        <v>46155</v>
      </c>
      <c r="J406" s="5">
        <f>IFERROR(__xludf.DUMMYFUNCTION("""COMPUTED_VALUE"""),43315.0)</f>
        <v>43315</v>
      </c>
      <c r="K406">
        <f>IFERROR(__xludf.DUMMYFUNCTION("""COMPUTED_VALUE"""),22.0)</f>
        <v>22</v>
      </c>
      <c r="L406">
        <f>IFERROR(__xludf.DUMMYFUNCTION("""COMPUTED_VALUE"""),15.0)</f>
        <v>15</v>
      </c>
      <c r="M406">
        <f>IFERROR(__xludf.DUMMYFUNCTION("""COMPUTED_VALUE"""),37.0)</f>
        <v>37</v>
      </c>
      <c r="N406" t="str">
        <f>IFERROR(__xludf.DUMMYFUNCTION("""COMPUTED_VALUE"""),"Model 3 LR AWD")</f>
        <v>Model 3 LR AWD</v>
      </c>
      <c r="O406" t="str">
        <f>IFERROR(__xludf.DUMMYFUNCTION("""COMPUTED_VALUE"""),"Midnight Silver Metallic")</f>
        <v>Midnight Silver Metallic</v>
      </c>
      <c r="P406" t="str">
        <f>IFERROR(__xludf.DUMMYFUNCTION("""COMPUTED_VALUE"""),"18 inch Aero")</f>
        <v>18 inch Aero</v>
      </c>
      <c r="Q406" t="str">
        <f>IFERROR(__xludf.DUMMYFUNCTION("""COMPUTED_VALUE"""),"Black seats")</f>
        <v>Black seats</v>
      </c>
      <c r="R406" t="str">
        <f>IFERROR(__xludf.DUMMYFUNCTION("""COMPUTED_VALUE"""),"Enhanced Autopilot")</f>
        <v>Enhanced Autopilot</v>
      </c>
      <c r="X406" t="str">
        <f>IFERROR(__xludf.DUMMYFUNCTION("""COMPUTED_VALUE"""),"Excellent")</f>
        <v>Excellent</v>
      </c>
      <c r="Y406" t="str">
        <f>IFERROR(__xludf.DUMMYFUNCTION("""COMPUTED_VALUE"""),"Excellent")</f>
        <v>Excellent</v>
      </c>
      <c r="Z406" t="str">
        <f>IFERROR(__xludf.DUMMYFUNCTION("""COMPUTED_VALUE"""),"Excellent")</f>
        <v>Excellent</v>
      </c>
      <c r="AA406" t="str">
        <f>IFERROR(__xludf.DUMMYFUNCTION("""COMPUTED_VALUE"""),"Excellent")</f>
        <v>Excellent</v>
      </c>
      <c r="AB406" t="str">
        <f>IFERROR(__xludf.DUMMYFUNCTION("""COMPUTED_VALUE"""),"Excellent")</f>
        <v>Excellent</v>
      </c>
      <c r="AH406" s="189">
        <f>IFERROR(__xludf.DUMMYFUNCTION("""COMPUTED_VALUE"""),43319.70592152778)</f>
        <v>43319.70592</v>
      </c>
    </row>
    <row r="407">
      <c r="A407" t="str">
        <f>IFERROR(__xludf.DUMMYFUNCTION("""COMPUTED_VALUE"""),"yul sam1")</f>
        <v>yul sam1</v>
      </c>
      <c r="B407" t="str">
        <f>IFERROR(__xludf.DUMMYFUNCTION("""COMPUTED_VALUE"""),"montreal")</f>
        <v>montreal</v>
      </c>
      <c r="C407" t="str">
        <f>IFERROR(__xludf.DUMMYFUNCTION("""COMPUTED_VALUE"""),"QC")</f>
        <v>QC</v>
      </c>
      <c r="D407" t="str">
        <f>IFERROR(__xludf.DUMMYFUNCTION("""COMPUTED_VALUE"""),"Canada")</f>
        <v>Canada</v>
      </c>
      <c r="E407" s="188">
        <f>IFERROR(__xludf.DUMMYFUNCTION("""COMPUTED_VALUE"""),43227.0)</f>
        <v>43227</v>
      </c>
      <c r="F407" s="188">
        <f>IFERROR(__xludf.DUMMYFUNCTION("""COMPUTED_VALUE"""),43258.0)</f>
        <v>43258</v>
      </c>
      <c r="H407">
        <f>IFERROR(__xludf.DUMMYFUNCTION("""COMPUTED_VALUE"""),28718.0)</f>
        <v>28718</v>
      </c>
      <c r="I407" t="str">
        <f>IFERROR(__xludf.DUMMYFUNCTION("""COMPUTED_VALUE"""),"05/18")</f>
        <v>05/18</v>
      </c>
      <c r="J407" s="5">
        <f>IFERROR(__xludf.DUMMYFUNCTION("""COMPUTED_VALUE"""),43259.0)</f>
        <v>43259</v>
      </c>
      <c r="K407">
        <f>IFERROR(__xludf.DUMMYFUNCTION("""COMPUTED_VALUE"""),31.0)</f>
        <v>31</v>
      </c>
      <c r="L407">
        <f>IFERROR(__xludf.DUMMYFUNCTION("""COMPUTED_VALUE"""),1.0)</f>
        <v>1</v>
      </c>
      <c r="M407">
        <f>IFERROR(__xludf.DUMMYFUNCTION("""COMPUTED_VALUE"""),32.0)</f>
        <v>32</v>
      </c>
      <c r="N407" t="str">
        <f>IFERROR(__xludf.DUMMYFUNCTION("""COMPUTED_VALUE"""),"Model 3 LR")</f>
        <v>Model 3 LR</v>
      </c>
      <c r="O407" t="str">
        <f>IFERROR(__xludf.DUMMYFUNCTION("""COMPUTED_VALUE"""),"Midnight Silver Metallic")</f>
        <v>Midnight Silver Metallic</v>
      </c>
      <c r="P407" t="str">
        <f>IFERROR(__xludf.DUMMYFUNCTION("""COMPUTED_VALUE"""),"18 inch Aero")</f>
        <v>18 inch Aero</v>
      </c>
      <c r="Q407" t="str">
        <f>IFERROR(__xludf.DUMMYFUNCTION("""COMPUTED_VALUE"""),"Black seats")</f>
        <v>Black seats</v>
      </c>
      <c r="R407" t="str">
        <f>IFERROR(__xludf.DUMMYFUNCTION("""COMPUTED_VALUE"""),"Enhanced Autopilot")</f>
        <v>Enhanced Autopilot</v>
      </c>
      <c r="X407" t="str">
        <f>IFERROR(__xludf.DUMMYFUNCTION("""COMPUTED_VALUE"""),"Excellent")</f>
        <v>Excellent</v>
      </c>
      <c r="Y407" t="str">
        <f>IFERROR(__xludf.DUMMYFUNCTION("""COMPUTED_VALUE"""),"Excellent")</f>
        <v>Excellent</v>
      </c>
      <c r="Z407" t="str">
        <f>IFERROR(__xludf.DUMMYFUNCTION("""COMPUTED_VALUE"""),"Excellent")</f>
        <v>Excellent</v>
      </c>
      <c r="AA407" t="str">
        <f>IFERROR(__xludf.DUMMYFUNCTION("""COMPUTED_VALUE"""),"Excellent")</f>
        <v>Excellent</v>
      </c>
      <c r="AB407" t="str">
        <f>IFERROR(__xludf.DUMMYFUNCTION("""COMPUTED_VALUE"""),"Very Good")</f>
        <v>Very Good</v>
      </c>
      <c r="AC407">
        <f>IFERROR(__xludf.DUMMYFUNCTION("""COMPUTED_VALUE"""),0.0)</f>
        <v>0</v>
      </c>
      <c r="AD407">
        <f>IFERROR(__xludf.DUMMYFUNCTION("""COMPUTED_VALUE"""),1.0)</f>
        <v>1</v>
      </c>
      <c r="AE407">
        <f>IFERROR(__xludf.DUMMYFUNCTION("""COMPUTED_VALUE"""),0.0)</f>
        <v>0</v>
      </c>
      <c r="AH407" s="189">
        <f>IFERROR(__xludf.DUMMYFUNCTION("""COMPUTED_VALUE"""),43319.734344675926)</f>
        <v>43319.73434</v>
      </c>
    </row>
    <row r="408">
      <c r="A408" t="str">
        <f>IFERROR(__xludf.DUMMYFUNCTION("""COMPUTED_VALUE"""),"gassole")</f>
        <v>gassole</v>
      </c>
      <c r="B408" t="str">
        <f>IFERROR(__xludf.DUMMYFUNCTION("""COMPUTED_VALUE"""),"Houston")</f>
        <v>Houston</v>
      </c>
      <c r="C408" t="str">
        <f>IFERROR(__xludf.DUMMYFUNCTION("""COMPUTED_VALUE"""),"TX")</f>
        <v>TX</v>
      </c>
      <c r="D408" t="str">
        <f>IFERROR(__xludf.DUMMYFUNCTION("""COMPUTED_VALUE"""),"USA")</f>
        <v>USA</v>
      </c>
      <c r="E408" s="188">
        <f>IFERROR(__xludf.DUMMYFUNCTION("""COMPUTED_VALUE"""),43119.0)</f>
        <v>43119</v>
      </c>
      <c r="F408" s="188">
        <f>IFERROR(__xludf.DUMMYFUNCTION("""COMPUTED_VALUE"""),43144.0)</f>
        <v>43144</v>
      </c>
      <c r="H408">
        <f>IFERROR(__xludf.DUMMYFUNCTION("""COMPUTED_VALUE"""),4555.0)</f>
        <v>4555</v>
      </c>
      <c r="I408" t="str">
        <f>IFERROR(__xludf.DUMMYFUNCTION("""COMPUTED_VALUE"""),"01/18")</f>
        <v>01/18</v>
      </c>
      <c r="J408" s="5">
        <f>IFERROR(__xludf.DUMMYFUNCTION("""COMPUTED_VALUE"""),43173.0)</f>
        <v>43173</v>
      </c>
      <c r="K408">
        <f>IFERROR(__xludf.DUMMYFUNCTION("""COMPUTED_VALUE"""),25.0)</f>
        <v>25</v>
      </c>
      <c r="L408">
        <f>IFERROR(__xludf.DUMMYFUNCTION("""COMPUTED_VALUE"""),29.0)</f>
        <v>29</v>
      </c>
      <c r="M408">
        <f>IFERROR(__xludf.DUMMYFUNCTION("""COMPUTED_VALUE"""),54.0)</f>
        <v>54</v>
      </c>
      <c r="N408" t="str">
        <f>IFERROR(__xludf.DUMMYFUNCTION("""COMPUTED_VALUE"""),"Model 3 LR")</f>
        <v>Model 3 LR</v>
      </c>
      <c r="O408" t="str">
        <f>IFERROR(__xludf.DUMMYFUNCTION("""COMPUTED_VALUE"""),"Midnight Silver Metallic")</f>
        <v>Midnight Silver Metallic</v>
      </c>
      <c r="P408" t="str">
        <f>IFERROR(__xludf.DUMMYFUNCTION("""COMPUTED_VALUE"""),"19 inch Sport")</f>
        <v>19 inch Sport</v>
      </c>
      <c r="Q408" t="str">
        <f>IFERROR(__xludf.DUMMYFUNCTION("""COMPUTED_VALUE"""),"Black seats")</f>
        <v>Black seats</v>
      </c>
      <c r="R408" t="str">
        <f>IFERROR(__xludf.DUMMYFUNCTION("""COMPUTED_VALUE"""),"Enhanced Autopilot")</f>
        <v>Enhanced Autopilot</v>
      </c>
      <c r="X408" t="str">
        <f>IFERROR(__xludf.DUMMYFUNCTION("""COMPUTED_VALUE"""),"Excellent")</f>
        <v>Excellent</v>
      </c>
      <c r="Y408" t="str">
        <f>IFERROR(__xludf.DUMMYFUNCTION("""COMPUTED_VALUE"""),"Excellent")</f>
        <v>Excellent</v>
      </c>
      <c r="Z408" t="str">
        <f>IFERROR(__xludf.DUMMYFUNCTION("""COMPUTED_VALUE"""),"Excellent")</f>
        <v>Excellent</v>
      </c>
      <c r="AA408" t="str">
        <f>IFERROR(__xludf.DUMMYFUNCTION("""COMPUTED_VALUE"""),"Poor")</f>
        <v>Poor</v>
      </c>
      <c r="AB408" t="str">
        <f>IFERROR(__xludf.DUMMYFUNCTION("""COMPUTED_VALUE"""),"Excellent")</f>
        <v>Excellent</v>
      </c>
      <c r="AC408">
        <f>IFERROR(__xludf.DUMMYFUNCTION("""COMPUTED_VALUE"""),1.0)</f>
        <v>1</v>
      </c>
      <c r="AD408">
        <f>IFERROR(__xludf.DUMMYFUNCTION("""COMPUTED_VALUE"""),1.0)</f>
        <v>1</v>
      </c>
      <c r="AE408">
        <f>IFERROR(__xludf.DUMMYFUNCTION("""COMPUTED_VALUE"""),1.0)</f>
        <v>1</v>
      </c>
      <c r="AH408" s="189">
        <f>IFERROR(__xludf.DUMMYFUNCTION("""COMPUTED_VALUE"""),43320.221882962964)</f>
        <v>43320.22188</v>
      </c>
    </row>
    <row r="409">
      <c r="A409" t="str">
        <f>IFERROR(__xludf.DUMMYFUNCTION("""COMPUTED_VALUE"""),"rgrtes")</f>
        <v>rgrtes</v>
      </c>
      <c r="B409" t="str">
        <f>IFERROR(__xludf.DUMMYFUNCTION("""COMPUTED_VALUE"""),"springfield")</f>
        <v>springfield</v>
      </c>
      <c r="C409" t="str">
        <f>IFERROR(__xludf.DUMMYFUNCTION("""COMPUTED_VALUE"""),"NJ")</f>
        <v>NJ</v>
      </c>
      <c r="D409" t="str">
        <f>IFERROR(__xludf.DUMMYFUNCTION("""COMPUTED_VALUE"""),"USA")</f>
        <v>USA</v>
      </c>
      <c r="E409" s="188">
        <f>IFERROR(__xludf.DUMMYFUNCTION("""COMPUTED_VALUE"""),43281.0)</f>
        <v>43281</v>
      </c>
      <c r="F409" s="188">
        <f>IFERROR(__xludf.DUMMYFUNCTION("""COMPUTED_VALUE"""),43296.0)</f>
        <v>43296</v>
      </c>
      <c r="H409">
        <f>IFERROR(__xludf.DUMMYFUNCTION("""COMPUTED_VALUE"""),39855.0)</f>
        <v>39855</v>
      </c>
      <c r="J409" s="5">
        <f>IFERROR(__xludf.DUMMYFUNCTION("""COMPUTED_VALUE"""),43311.0)</f>
        <v>43311</v>
      </c>
      <c r="K409">
        <f>IFERROR(__xludf.DUMMYFUNCTION("""COMPUTED_VALUE"""),15.0)</f>
        <v>15</v>
      </c>
      <c r="L409">
        <f>IFERROR(__xludf.DUMMYFUNCTION("""COMPUTED_VALUE"""),15.0)</f>
        <v>15</v>
      </c>
      <c r="M409">
        <f>IFERROR(__xludf.DUMMYFUNCTION("""COMPUTED_VALUE"""),30.0)</f>
        <v>30</v>
      </c>
      <c r="N409" t="str">
        <f>IFERROR(__xludf.DUMMYFUNCTION("""COMPUTED_VALUE"""),"Model 3 LR")</f>
        <v>Model 3 LR</v>
      </c>
      <c r="O409" t="str">
        <f>IFERROR(__xludf.DUMMYFUNCTION("""COMPUTED_VALUE"""),"Red Multi-Coat")</f>
        <v>Red Multi-Coat</v>
      </c>
      <c r="P409" t="str">
        <f>IFERROR(__xludf.DUMMYFUNCTION("""COMPUTED_VALUE"""),"18 inch Aero")</f>
        <v>18 inch Aero</v>
      </c>
      <c r="Q409" t="str">
        <f>IFERROR(__xludf.DUMMYFUNCTION("""COMPUTED_VALUE"""),"Black seats")</f>
        <v>Black seats</v>
      </c>
      <c r="R409" t="str">
        <f>IFERROR(__xludf.DUMMYFUNCTION("""COMPUTED_VALUE"""),"None")</f>
        <v>None</v>
      </c>
      <c r="X409" t="str">
        <f>IFERROR(__xludf.DUMMYFUNCTION("""COMPUTED_VALUE"""),"Excellent")</f>
        <v>Excellent</v>
      </c>
      <c r="Y409" t="str">
        <f>IFERROR(__xludf.DUMMYFUNCTION("""COMPUTED_VALUE"""),"Excellent")</f>
        <v>Excellent</v>
      </c>
      <c r="Z409" t="str">
        <f>IFERROR(__xludf.DUMMYFUNCTION("""COMPUTED_VALUE"""),"Excellent")</f>
        <v>Excellent</v>
      </c>
      <c r="AA409" t="str">
        <f>IFERROR(__xludf.DUMMYFUNCTION("""COMPUTED_VALUE"""),"Excellent")</f>
        <v>Excellent</v>
      </c>
      <c r="AB409" t="str">
        <f>IFERROR(__xludf.DUMMYFUNCTION("""COMPUTED_VALUE"""),"Excellent")</f>
        <v>Excellent</v>
      </c>
      <c r="AG409" t="str">
        <f>IFERROR(__xludf.DUMMYFUNCTION("""COMPUTED_VALUE"""),"Love it everyday!")</f>
        <v>Love it everyday!</v>
      </c>
      <c r="AH409" s="189">
        <f>IFERROR(__xludf.DUMMYFUNCTION("""COMPUTED_VALUE"""),43320.27868820602)</f>
        <v>43320.27869</v>
      </c>
    </row>
    <row r="410">
      <c r="A410" t="str">
        <f>IFERROR(__xludf.DUMMYFUNCTION("""COMPUTED_VALUE"""),"Bullet")</f>
        <v>Bullet</v>
      </c>
      <c r="B410" t="str">
        <f>IFERROR(__xludf.DUMMYFUNCTION("""COMPUTED_VALUE"""),"San Diego")</f>
        <v>San Diego</v>
      </c>
      <c r="C410" t="str">
        <f>IFERROR(__xludf.DUMMYFUNCTION("""COMPUTED_VALUE"""),"CA")</f>
        <v>CA</v>
      </c>
      <c r="D410" t="str">
        <f>IFERROR(__xludf.DUMMYFUNCTION("""COMPUTED_VALUE"""),"USA")</f>
        <v>USA</v>
      </c>
      <c r="E410" s="188">
        <f>IFERROR(__xludf.DUMMYFUNCTION("""COMPUTED_VALUE"""),43278.0)</f>
        <v>43278</v>
      </c>
      <c r="F410" s="188">
        <f>IFERROR(__xludf.DUMMYFUNCTION("""COMPUTED_VALUE"""),43298.0)</f>
        <v>43298</v>
      </c>
      <c r="H410">
        <f>IFERROR(__xludf.DUMMYFUNCTION("""COMPUTED_VALUE"""),50255.0)</f>
        <v>50255</v>
      </c>
      <c r="I410" t="str">
        <f>IFERROR(__xludf.DUMMYFUNCTION("""COMPUTED_VALUE"""),"07/18")</f>
        <v>07/18</v>
      </c>
      <c r="J410" s="5">
        <f>IFERROR(__xludf.DUMMYFUNCTION("""COMPUTED_VALUE"""),43308.0)</f>
        <v>43308</v>
      </c>
      <c r="K410">
        <f>IFERROR(__xludf.DUMMYFUNCTION("""COMPUTED_VALUE"""),20.0)</f>
        <v>20</v>
      </c>
      <c r="L410">
        <f>IFERROR(__xludf.DUMMYFUNCTION("""COMPUTED_VALUE"""),10.0)</f>
        <v>10</v>
      </c>
      <c r="M410">
        <f>IFERROR(__xludf.DUMMYFUNCTION("""COMPUTED_VALUE"""),30.0)</f>
        <v>30</v>
      </c>
      <c r="N410" t="str">
        <f>IFERROR(__xludf.DUMMYFUNCTION("""COMPUTED_VALUE"""),"Model 3 LR")</f>
        <v>Model 3 LR</v>
      </c>
      <c r="O410" t="str">
        <f>IFERROR(__xludf.DUMMYFUNCTION("""COMPUTED_VALUE"""),"Red Multi-Coat")</f>
        <v>Red Multi-Coat</v>
      </c>
      <c r="P410" t="str">
        <f>IFERROR(__xludf.DUMMYFUNCTION("""COMPUTED_VALUE"""),"19 inch Sport")</f>
        <v>19 inch Sport</v>
      </c>
      <c r="Q410" t="str">
        <f>IFERROR(__xludf.DUMMYFUNCTION("""COMPUTED_VALUE"""),"Black seats")</f>
        <v>Black seats</v>
      </c>
      <c r="R410" t="str">
        <f>IFERROR(__xludf.DUMMYFUNCTION("""COMPUTED_VALUE"""),"Full Self-Driving")</f>
        <v>Full Self-Driving</v>
      </c>
      <c r="X410" t="str">
        <f>IFERROR(__xludf.DUMMYFUNCTION("""COMPUTED_VALUE"""),"Very Good")</f>
        <v>Very Good</v>
      </c>
      <c r="Y410" t="str">
        <f>IFERROR(__xludf.DUMMYFUNCTION("""COMPUTED_VALUE"""),"Excellent")</f>
        <v>Excellent</v>
      </c>
      <c r="Z410" t="str">
        <f>IFERROR(__xludf.DUMMYFUNCTION("""COMPUTED_VALUE"""),"Very Good")</f>
        <v>Very Good</v>
      </c>
      <c r="AA410" t="str">
        <f>IFERROR(__xludf.DUMMYFUNCTION("""COMPUTED_VALUE"""),"Good")</f>
        <v>Good</v>
      </c>
      <c r="AB410" t="str">
        <f>IFERROR(__xludf.DUMMYFUNCTION("""COMPUTED_VALUE"""),"Very Good")</f>
        <v>Very Good</v>
      </c>
      <c r="AC410">
        <f>IFERROR(__xludf.DUMMYFUNCTION("""COMPUTED_VALUE"""),2.0)</f>
        <v>2</v>
      </c>
      <c r="AD410">
        <f>IFERROR(__xludf.DUMMYFUNCTION("""COMPUTED_VALUE"""),0.0)</f>
        <v>0</v>
      </c>
      <c r="AE410">
        <f>IFERROR(__xludf.DUMMYFUNCTION("""COMPUTED_VALUE"""),0.0)</f>
        <v>0</v>
      </c>
      <c r="AH410" s="189">
        <f>IFERROR(__xludf.DUMMYFUNCTION("""COMPUTED_VALUE"""),43320.281643009264)</f>
        <v>43320.28164</v>
      </c>
    </row>
    <row r="411">
      <c r="A411" t="str">
        <f>IFERROR(__xludf.DUMMYFUNCTION("""COMPUTED_VALUE"""),"ehem3")</f>
        <v>ehem3</v>
      </c>
      <c r="B411" t="str">
        <f>IFERROR(__xludf.DUMMYFUNCTION("""COMPUTED_VALUE"""),"Somerset county")</f>
        <v>Somerset county</v>
      </c>
      <c r="C411" t="str">
        <f>IFERROR(__xludf.DUMMYFUNCTION("""COMPUTED_VALUE"""),"NJ")</f>
        <v>NJ</v>
      </c>
      <c r="D411" t="str">
        <f>IFERROR(__xludf.DUMMYFUNCTION("""COMPUTED_VALUE"""),"USA")</f>
        <v>USA</v>
      </c>
      <c r="E411" s="188">
        <f>IFERROR(__xludf.DUMMYFUNCTION("""COMPUTED_VALUE"""),43181.0)</f>
        <v>43181</v>
      </c>
      <c r="F411" s="188">
        <f>IFERROR(__xludf.DUMMYFUNCTION("""COMPUTED_VALUE"""),43205.0)</f>
        <v>43205</v>
      </c>
      <c r="H411">
        <f>IFERROR(__xludf.DUMMYFUNCTION("""COMPUTED_VALUE"""),12600.0)</f>
        <v>12600</v>
      </c>
      <c r="I411" t="str">
        <f>IFERROR(__xludf.DUMMYFUNCTION("""COMPUTED_VALUE"""),"04/18")</f>
        <v>04/18</v>
      </c>
      <c r="J411" s="5">
        <f>IFERROR(__xludf.DUMMYFUNCTION("""COMPUTED_VALUE"""),43227.0)</f>
        <v>43227</v>
      </c>
      <c r="K411">
        <f>IFERROR(__xludf.DUMMYFUNCTION("""COMPUTED_VALUE"""),24.0)</f>
        <v>24</v>
      </c>
      <c r="L411">
        <f>IFERROR(__xludf.DUMMYFUNCTION("""COMPUTED_VALUE"""),22.0)</f>
        <v>22</v>
      </c>
      <c r="M411">
        <f>IFERROR(__xludf.DUMMYFUNCTION("""COMPUTED_VALUE"""),46.0)</f>
        <v>46</v>
      </c>
      <c r="N411" t="str">
        <f>IFERROR(__xludf.DUMMYFUNCTION("""COMPUTED_VALUE"""),"Model 3 LR")</f>
        <v>Model 3 LR</v>
      </c>
      <c r="O411" t="str">
        <f>IFERROR(__xludf.DUMMYFUNCTION("""COMPUTED_VALUE"""),"Solid Black")</f>
        <v>Solid Black</v>
      </c>
      <c r="P411" t="str">
        <f>IFERROR(__xludf.DUMMYFUNCTION("""COMPUTED_VALUE"""),"18 inch Aero")</f>
        <v>18 inch Aero</v>
      </c>
      <c r="Q411" t="str">
        <f>IFERROR(__xludf.DUMMYFUNCTION("""COMPUTED_VALUE"""),"Black seats")</f>
        <v>Black seats</v>
      </c>
      <c r="R411" t="str">
        <f>IFERROR(__xludf.DUMMYFUNCTION("""COMPUTED_VALUE"""),"Full Self-Driving")</f>
        <v>Full Self-Driving</v>
      </c>
      <c r="X411" t="str">
        <f>IFERROR(__xludf.DUMMYFUNCTION("""COMPUTED_VALUE"""),"Excellent")</f>
        <v>Excellent</v>
      </c>
      <c r="Y411" t="str">
        <f>IFERROR(__xludf.DUMMYFUNCTION("""COMPUTED_VALUE"""),"Excellent")</f>
        <v>Excellent</v>
      </c>
      <c r="Z411" t="str">
        <f>IFERROR(__xludf.DUMMYFUNCTION("""COMPUTED_VALUE"""),"Excellent")</f>
        <v>Excellent</v>
      </c>
      <c r="AA411" t="str">
        <f>IFERROR(__xludf.DUMMYFUNCTION("""COMPUTED_VALUE"""),"Fair")</f>
        <v>Fair</v>
      </c>
      <c r="AB411" t="str">
        <f>IFERROR(__xludf.DUMMYFUNCTION("""COMPUTED_VALUE"""),"Fair")</f>
        <v>Fair</v>
      </c>
      <c r="AC411">
        <f>IFERROR(__xludf.DUMMYFUNCTION("""COMPUTED_VALUE"""),0.0)</f>
        <v>0</v>
      </c>
      <c r="AD411">
        <f>IFERROR(__xludf.DUMMYFUNCTION("""COMPUTED_VALUE"""),1.0)</f>
        <v>1</v>
      </c>
      <c r="AE411">
        <f>IFERROR(__xludf.DUMMYFUNCTION("""COMPUTED_VALUE"""),0.0)</f>
        <v>0</v>
      </c>
      <c r="AH411" s="189">
        <f>IFERROR(__xludf.DUMMYFUNCTION("""COMPUTED_VALUE"""),43320.33940005787)</f>
        <v>43320.3394</v>
      </c>
    </row>
    <row r="412">
      <c r="A412" t="str">
        <f>IFERROR(__xludf.DUMMYFUNCTION("""COMPUTED_VALUE"""),"jfrick")</f>
        <v>jfrick</v>
      </c>
      <c r="B412" t="str">
        <f>IFERROR(__xludf.DUMMYFUNCTION("""COMPUTED_VALUE"""),"Bellevue")</f>
        <v>Bellevue</v>
      </c>
      <c r="C412" t="str">
        <f>IFERROR(__xludf.DUMMYFUNCTION("""COMPUTED_VALUE"""),"WA")</f>
        <v>WA</v>
      </c>
      <c r="D412" t="str">
        <f>IFERROR(__xludf.DUMMYFUNCTION("""COMPUTED_VALUE"""),"USA")</f>
        <v>USA</v>
      </c>
      <c r="E412" s="188">
        <f>IFERROR(__xludf.DUMMYFUNCTION("""COMPUTED_VALUE"""),43203.0)</f>
        <v>43203</v>
      </c>
      <c r="F412" s="188">
        <f>IFERROR(__xludf.DUMMYFUNCTION("""COMPUTED_VALUE"""),43204.0)</f>
        <v>43204</v>
      </c>
      <c r="H412">
        <f>IFERROR(__xludf.DUMMYFUNCTION("""COMPUTED_VALUE"""),17955.0)</f>
        <v>17955</v>
      </c>
      <c r="I412" t="str">
        <f>IFERROR(__xludf.DUMMYFUNCTION("""COMPUTED_VALUE"""),"04/18")</f>
        <v>04/18</v>
      </c>
      <c r="J412" s="5">
        <f>IFERROR(__xludf.DUMMYFUNCTION("""COMPUTED_VALUE"""),43217.0)</f>
        <v>43217</v>
      </c>
      <c r="K412">
        <f>IFERROR(__xludf.DUMMYFUNCTION("""COMPUTED_VALUE"""),1.0)</f>
        <v>1</v>
      </c>
      <c r="L412">
        <f>IFERROR(__xludf.DUMMYFUNCTION("""COMPUTED_VALUE"""),13.0)</f>
        <v>13</v>
      </c>
      <c r="M412">
        <f>IFERROR(__xludf.DUMMYFUNCTION("""COMPUTED_VALUE"""),14.0)</f>
        <v>14</v>
      </c>
      <c r="N412" t="str">
        <f>IFERROR(__xludf.DUMMYFUNCTION("""COMPUTED_VALUE"""),"Model 3 LR")</f>
        <v>Model 3 LR</v>
      </c>
      <c r="O412" t="str">
        <f>IFERROR(__xludf.DUMMYFUNCTION("""COMPUTED_VALUE"""),"Silver Metallic")</f>
        <v>Silver Metallic</v>
      </c>
      <c r="P412" t="str">
        <f>IFERROR(__xludf.DUMMYFUNCTION("""COMPUTED_VALUE"""),"19 inch Sport")</f>
        <v>19 inch Sport</v>
      </c>
      <c r="Q412" t="str">
        <f>IFERROR(__xludf.DUMMYFUNCTION("""COMPUTED_VALUE"""),"Black seats")</f>
        <v>Black seats</v>
      </c>
      <c r="R412" t="str">
        <f>IFERROR(__xludf.DUMMYFUNCTION("""COMPUTED_VALUE"""),"None")</f>
        <v>None</v>
      </c>
      <c r="X412" t="str">
        <f>IFERROR(__xludf.DUMMYFUNCTION("""COMPUTED_VALUE"""),"Very Good")</f>
        <v>Very Good</v>
      </c>
      <c r="Y412" t="str">
        <f>IFERROR(__xludf.DUMMYFUNCTION("""COMPUTED_VALUE"""),"Very Good")</f>
        <v>Very Good</v>
      </c>
      <c r="Z412" t="str">
        <f>IFERROR(__xludf.DUMMYFUNCTION("""COMPUTED_VALUE"""),"Fair")</f>
        <v>Fair</v>
      </c>
      <c r="AA412" t="str">
        <f>IFERROR(__xludf.DUMMYFUNCTION("""COMPUTED_VALUE"""),"Excellent")</f>
        <v>Excellent</v>
      </c>
      <c r="AB412" t="str">
        <f>IFERROR(__xludf.DUMMYFUNCTION("""COMPUTED_VALUE"""),"Excellent")</f>
        <v>Excellent</v>
      </c>
      <c r="AC412">
        <f>IFERROR(__xludf.DUMMYFUNCTION("""COMPUTED_VALUE"""),0.0)</f>
        <v>0</v>
      </c>
      <c r="AD412">
        <f>IFERROR(__xludf.DUMMYFUNCTION("""COMPUTED_VALUE"""),0.0)</f>
        <v>0</v>
      </c>
      <c r="AE412">
        <f>IFERROR(__xludf.DUMMYFUNCTION("""COMPUTED_VALUE"""),0.0)</f>
        <v>0</v>
      </c>
      <c r="AH412" s="189">
        <f>IFERROR(__xludf.DUMMYFUNCTION("""COMPUTED_VALUE"""),43320.58567053241)</f>
        <v>43320.58567</v>
      </c>
    </row>
    <row r="413">
      <c r="A413" t="str">
        <f>IFERROR(__xludf.DUMMYFUNCTION("""COMPUTED_VALUE"""),"bltsndwch")</f>
        <v>bltsndwch</v>
      </c>
      <c r="B413" t="str">
        <f>IFERROR(__xludf.DUMMYFUNCTION("""COMPUTED_VALUE"""),"Pensacola")</f>
        <v>Pensacola</v>
      </c>
      <c r="C413" t="str">
        <f>IFERROR(__xludf.DUMMYFUNCTION("""COMPUTED_VALUE"""),"FL")</f>
        <v>FL</v>
      </c>
      <c r="D413" t="str">
        <f>IFERROR(__xludf.DUMMYFUNCTION("""COMPUTED_VALUE"""),"USA")</f>
        <v>USA</v>
      </c>
      <c r="E413" s="188">
        <f>IFERROR(__xludf.DUMMYFUNCTION("""COMPUTED_VALUE"""),43212.0)</f>
        <v>43212</v>
      </c>
      <c r="F413" s="188">
        <f>IFERROR(__xludf.DUMMYFUNCTION("""COMPUTED_VALUE"""),43287.0)</f>
        <v>43287</v>
      </c>
      <c r="H413">
        <f>IFERROR(__xludf.DUMMYFUNCTION("""COMPUTED_VALUE"""),30555.0)</f>
        <v>30555</v>
      </c>
      <c r="J413" s="5">
        <f>IFERROR(__xludf.DUMMYFUNCTION("""COMPUTED_VALUE"""),43311.0)</f>
        <v>43311</v>
      </c>
      <c r="K413">
        <f>IFERROR(__xludf.DUMMYFUNCTION("""COMPUTED_VALUE"""),75.0)</f>
        <v>75</v>
      </c>
      <c r="L413">
        <f>IFERROR(__xludf.DUMMYFUNCTION("""COMPUTED_VALUE"""),24.0)</f>
        <v>24</v>
      </c>
      <c r="M413">
        <f>IFERROR(__xludf.DUMMYFUNCTION("""COMPUTED_VALUE"""),99.0)</f>
        <v>99</v>
      </c>
      <c r="N413" t="str">
        <f>IFERROR(__xludf.DUMMYFUNCTION("""COMPUTED_VALUE"""),"Model 3 LR")</f>
        <v>Model 3 LR</v>
      </c>
      <c r="O413" t="str">
        <f>IFERROR(__xludf.DUMMYFUNCTION("""COMPUTED_VALUE"""),"Midnight Silver Metallic")</f>
        <v>Midnight Silver Metallic</v>
      </c>
      <c r="P413" t="str">
        <f>IFERROR(__xludf.DUMMYFUNCTION("""COMPUTED_VALUE"""),"19 inch Sport")</f>
        <v>19 inch Sport</v>
      </c>
      <c r="Q413" t="str">
        <f>IFERROR(__xludf.DUMMYFUNCTION("""COMPUTED_VALUE"""),"Black seats")</f>
        <v>Black seats</v>
      </c>
      <c r="R413" t="str">
        <f>IFERROR(__xludf.DUMMYFUNCTION("""COMPUTED_VALUE"""),"Enhanced Autopilot")</f>
        <v>Enhanced Autopilot</v>
      </c>
      <c r="X413" t="str">
        <f>IFERROR(__xludf.DUMMYFUNCTION("""COMPUTED_VALUE"""),"Excellent")</f>
        <v>Excellent</v>
      </c>
      <c r="Y413" t="str">
        <f>IFERROR(__xludf.DUMMYFUNCTION("""COMPUTED_VALUE"""),"Excellent")</f>
        <v>Excellent</v>
      </c>
      <c r="Z413" t="str">
        <f>IFERROR(__xludf.DUMMYFUNCTION("""COMPUTED_VALUE"""),"Excellent")</f>
        <v>Excellent</v>
      </c>
      <c r="AA413" t="str">
        <f>IFERROR(__xludf.DUMMYFUNCTION("""COMPUTED_VALUE"""),"Very Good")</f>
        <v>Very Good</v>
      </c>
      <c r="AB413" t="str">
        <f>IFERROR(__xludf.DUMMYFUNCTION("""COMPUTED_VALUE"""),"Good")</f>
        <v>Good</v>
      </c>
      <c r="AC413">
        <f>IFERROR(__xludf.DUMMYFUNCTION("""COMPUTED_VALUE"""),1.0)</f>
        <v>1</v>
      </c>
      <c r="AD413">
        <f>IFERROR(__xludf.DUMMYFUNCTION("""COMPUTED_VALUE"""),0.0)</f>
        <v>0</v>
      </c>
      <c r="AE413">
        <f>IFERROR(__xludf.DUMMYFUNCTION("""COMPUTED_VALUE"""),0.0)</f>
        <v>0</v>
      </c>
      <c r="AH413" s="189">
        <f>IFERROR(__xludf.DUMMYFUNCTION("""COMPUTED_VALUE"""),43321.41185229167)</f>
        <v>43321.41185</v>
      </c>
    </row>
    <row r="414">
      <c r="A414" t="str">
        <f>IFERROR(__xludf.DUMMYFUNCTION("""COMPUTED_VALUE"""),"chihuahua")</f>
        <v>chihuahua</v>
      </c>
      <c r="B414" t="str">
        <f>IFERROR(__xludf.DUMMYFUNCTION("""COMPUTED_VALUE"""),"Annapolis")</f>
        <v>Annapolis</v>
      </c>
      <c r="C414" t="str">
        <f>IFERROR(__xludf.DUMMYFUNCTION("""COMPUTED_VALUE"""),"MD")</f>
        <v>MD</v>
      </c>
      <c r="D414" t="str">
        <f>IFERROR(__xludf.DUMMYFUNCTION("""COMPUTED_VALUE"""),"USA")</f>
        <v>USA</v>
      </c>
      <c r="E414" s="188">
        <f>IFERROR(__xludf.DUMMYFUNCTION("""COMPUTED_VALUE"""),43278.0)</f>
        <v>43278</v>
      </c>
      <c r="F414" s="188">
        <f>IFERROR(__xludf.DUMMYFUNCTION("""COMPUTED_VALUE"""),43280.0)</f>
        <v>43280</v>
      </c>
      <c r="H414">
        <f>IFERROR(__xludf.DUMMYFUNCTION("""COMPUTED_VALUE"""),27755.0)</f>
        <v>27755</v>
      </c>
      <c r="J414" s="5">
        <f>IFERROR(__xludf.DUMMYFUNCTION("""COMPUTED_VALUE"""),43320.0)</f>
        <v>43320</v>
      </c>
      <c r="K414">
        <f>IFERROR(__xludf.DUMMYFUNCTION("""COMPUTED_VALUE"""),2.0)</f>
        <v>2</v>
      </c>
      <c r="L414">
        <f>IFERROR(__xludf.DUMMYFUNCTION("""COMPUTED_VALUE"""),40.0)</f>
        <v>40</v>
      </c>
      <c r="M414">
        <f>IFERROR(__xludf.DUMMYFUNCTION("""COMPUTED_VALUE"""),42.0)</f>
        <v>42</v>
      </c>
      <c r="N414" t="str">
        <f>IFERROR(__xludf.DUMMYFUNCTION("""COMPUTED_VALUE"""),"Model 3 LR")</f>
        <v>Model 3 LR</v>
      </c>
      <c r="O414" t="str">
        <f>IFERROR(__xludf.DUMMYFUNCTION("""COMPUTED_VALUE"""),"Deep Blue Metallic")</f>
        <v>Deep Blue Metallic</v>
      </c>
      <c r="P414" t="str">
        <f>IFERROR(__xludf.DUMMYFUNCTION("""COMPUTED_VALUE"""),"18 inch Aero")</f>
        <v>18 inch Aero</v>
      </c>
      <c r="Q414" t="str">
        <f>IFERROR(__xludf.DUMMYFUNCTION("""COMPUTED_VALUE"""),"Black seats")</f>
        <v>Black seats</v>
      </c>
      <c r="R414" t="str">
        <f>IFERROR(__xludf.DUMMYFUNCTION("""COMPUTED_VALUE"""),"Enhanced Autopilot")</f>
        <v>Enhanced Autopilot</v>
      </c>
      <c r="X414" t="str">
        <f>IFERROR(__xludf.DUMMYFUNCTION("""COMPUTED_VALUE"""),"Good")</f>
        <v>Good</v>
      </c>
      <c r="Y414" t="str">
        <f>IFERROR(__xludf.DUMMYFUNCTION("""COMPUTED_VALUE"""),"Excellent")</f>
        <v>Excellent</v>
      </c>
      <c r="Z414" t="str">
        <f>IFERROR(__xludf.DUMMYFUNCTION("""COMPUTED_VALUE"""),"Fair")</f>
        <v>Fair</v>
      </c>
      <c r="AA414" t="str">
        <f>IFERROR(__xludf.DUMMYFUNCTION("""COMPUTED_VALUE"""),"Poor")</f>
        <v>Poor</v>
      </c>
      <c r="AB414" t="str">
        <f>IFERROR(__xludf.DUMMYFUNCTION("""COMPUTED_VALUE"""),"Good")</f>
        <v>Good</v>
      </c>
      <c r="AC414">
        <f>IFERROR(__xludf.DUMMYFUNCTION("""COMPUTED_VALUE"""),5.0)</f>
        <v>5</v>
      </c>
      <c r="AH414" s="189">
        <f>IFERROR(__xludf.DUMMYFUNCTION("""COMPUTED_VALUE"""),43321.46422966435)</f>
        <v>43321.46423</v>
      </c>
    </row>
    <row r="415">
      <c r="A415" t="str">
        <f>IFERROR(__xludf.DUMMYFUNCTION("""COMPUTED_VALUE"""),"vltwggn")</f>
        <v>vltwggn</v>
      </c>
      <c r="B415" t="str">
        <f>IFERROR(__xludf.DUMMYFUNCTION("""COMPUTED_VALUE"""),"Sunnyvale")</f>
        <v>Sunnyvale</v>
      </c>
      <c r="C415" t="str">
        <f>IFERROR(__xludf.DUMMYFUNCTION("""COMPUTED_VALUE"""),"CA")</f>
        <v>CA</v>
      </c>
      <c r="D415" t="str">
        <f>IFERROR(__xludf.DUMMYFUNCTION("""COMPUTED_VALUE"""),"USA")</f>
        <v>USA</v>
      </c>
      <c r="E415" s="188">
        <f>IFERROR(__xludf.DUMMYFUNCTION("""COMPUTED_VALUE"""),43307.0)</f>
        <v>43307</v>
      </c>
      <c r="F415" s="188">
        <f>IFERROR(__xludf.DUMMYFUNCTION("""COMPUTED_VALUE"""),43311.0)</f>
        <v>43311</v>
      </c>
      <c r="H415">
        <f>IFERROR(__xludf.DUMMYFUNCTION("""COMPUTED_VALUE"""),74051.0)</f>
        <v>74051</v>
      </c>
      <c r="I415" t="str">
        <f>IFERROR(__xludf.DUMMYFUNCTION("""COMPUTED_VALUE"""),"07/18")</f>
        <v>07/18</v>
      </c>
      <c r="J415" s="5">
        <f>IFERROR(__xludf.DUMMYFUNCTION("""COMPUTED_VALUE"""),43316.0)</f>
        <v>43316</v>
      </c>
      <c r="K415">
        <f>IFERROR(__xludf.DUMMYFUNCTION("""COMPUTED_VALUE"""),4.0)</f>
        <v>4</v>
      </c>
      <c r="L415">
        <f>IFERROR(__xludf.DUMMYFUNCTION("""COMPUTED_VALUE"""),5.0)</f>
        <v>5</v>
      </c>
      <c r="M415">
        <f>IFERROR(__xludf.DUMMYFUNCTION("""COMPUTED_VALUE"""),9.0)</f>
        <v>9</v>
      </c>
      <c r="N415" t="str">
        <f>IFERROR(__xludf.DUMMYFUNCTION("""COMPUTED_VALUE"""),"Model 3 Performance")</f>
        <v>Model 3 Performance</v>
      </c>
      <c r="O415" t="str">
        <f>IFERROR(__xludf.DUMMYFUNCTION("""COMPUTED_VALUE"""),"Solid Black")</f>
        <v>Solid Black</v>
      </c>
      <c r="P415" t="str">
        <f>IFERROR(__xludf.DUMMYFUNCTION("""COMPUTED_VALUE"""),"20 inch Sport")</f>
        <v>20 inch Sport</v>
      </c>
      <c r="Q415" t="str">
        <f>IFERROR(__xludf.DUMMYFUNCTION("""COMPUTED_VALUE"""),"White seats")</f>
        <v>White seats</v>
      </c>
      <c r="R415" t="str">
        <f>IFERROR(__xludf.DUMMYFUNCTION("""COMPUTED_VALUE"""),"None")</f>
        <v>None</v>
      </c>
      <c r="X415" t="str">
        <f>IFERROR(__xludf.DUMMYFUNCTION("""COMPUTED_VALUE"""),"Very Good")</f>
        <v>Very Good</v>
      </c>
      <c r="Y415" t="str">
        <f>IFERROR(__xludf.DUMMYFUNCTION("""COMPUTED_VALUE"""),"Excellent")</f>
        <v>Excellent</v>
      </c>
      <c r="Z415" t="str">
        <f>IFERROR(__xludf.DUMMYFUNCTION("""COMPUTED_VALUE"""),"Very Good")</f>
        <v>Very Good</v>
      </c>
      <c r="AA415" t="str">
        <f>IFERROR(__xludf.DUMMYFUNCTION("""COMPUTED_VALUE"""),"Very Good")</f>
        <v>Very Good</v>
      </c>
      <c r="AB415" t="str">
        <f>IFERROR(__xludf.DUMMYFUNCTION("""COMPUTED_VALUE"""),"Very Good")</f>
        <v>Very Good</v>
      </c>
      <c r="AC415">
        <f>IFERROR(__xludf.DUMMYFUNCTION("""COMPUTED_VALUE"""),3.0)</f>
        <v>3</v>
      </c>
      <c r="AD415">
        <f>IFERROR(__xludf.DUMMYFUNCTION("""COMPUTED_VALUE"""),1.0)</f>
        <v>1</v>
      </c>
      <c r="AH415" s="189">
        <f>IFERROR(__xludf.DUMMYFUNCTION("""COMPUTED_VALUE"""),43321.58261590278)</f>
        <v>43321.58262</v>
      </c>
    </row>
    <row r="416">
      <c r="A416" t="str">
        <f>IFERROR(__xludf.DUMMYFUNCTION("""COMPUTED_VALUE"""),"Passim")</f>
        <v>Passim</v>
      </c>
      <c r="B416" t="str">
        <f>IFERROR(__xludf.DUMMYFUNCTION("""COMPUTED_VALUE"""),"Outside Philly ")</f>
        <v>Outside Philly </v>
      </c>
      <c r="C416" t="str">
        <f>IFERROR(__xludf.DUMMYFUNCTION("""COMPUTED_VALUE"""),"PA")</f>
        <v>PA</v>
      </c>
      <c r="D416" t="str">
        <f>IFERROR(__xludf.DUMMYFUNCTION("""COMPUTED_VALUE"""),"USA")</f>
        <v>USA</v>
      </c>
      <c r="E416" s="188">
        <f>IFERROR(__xludf.DUMMYFUNCTION("""COMPUTED_VALUE"""),43305.0)</f>
        <v>43305</v>
      </c>
      <c r="F416" s="188">
        <f>IFERROR(__xludf.DUMMYFUNCTION("""COMPUTED_VALUE"""),43311.0)</f>
        <v>43311</v>
      </c>
      <c r="H416">
        <f>IFERROR(__xludf.DUMMYFUNCTION("""COMPUTED_VALUE"""),45004.0)</f>
        <v>45004</v>
      </c>
      <c r="I416" t="str">
        <f>IFERROR(__xludf.DUMMYFUNCTION("""COMPUTED_VALUE"""),"07/18")</f>
        <v>07/18</v>
      </c>
      <c r="J416" s="5">
        <f>IFERROR(__xludf.DUMMYFUNCTION("""COMPUTED_VALUE"""),43321.0)</f>
        <v>43321</v>
      </c>
      <c r="K416">
        <f>IFERROR(__xludf.DUMMYFUNCTION("""COMPUTED_VALUE"""),6.0)</f>
        <v>6</v>
      </c>
      <c r="L416">
        <f>IFERROR(__xludf.DUMMYFUNCTION("""COMPUTED_VALUE"""),10.0)</f>
        <v>10</v>
      </c>
      <c r="M416">
        <f>IFERROR(__xludf.DUMMYFUNCTION("""COMPUTED_VALUE"""),16.0)</f>
        <v>16</v>
      </c>
      <c r="N416" t="str">
        <f>IFERROR(__xludf.DUMMYFUNCTION("""COMPUTED_VALUE"""),"Model 3 LR")</f>
        <v>Model 3 LR</v>
      </c>
      <c r="O416" t="str">
        <f>IFERROR(__xludf.DUMMYFUNCTION("""COMPUTED_VALUE"""),"Deep Blue Metallic")</f>
        <v>Deep Blue Metallic</v>
      </c>
      <c r="P416" t="str">
        <f>IFERROR(__xludf.DUMMYFUNCTION("""COMPUTED_VALUE"""),"18 inch Aero")</f>
        <v>18 inch Aero</v>
      </c>
      <c r="Q416" t="str">
        <f>IFERROR(__xludf.DUMMYFUNCTION("""COMPUTED_VALUE"""),"Black seats")</f>
        <v>Black seats</v>
      </c>
      <c r="R416" t="str">
        <f>IFERROR(__xludf.DUMMYFUNCTION("""COMPUTED_VALUE"""),"Enhanced Autopilot")</f>
        <v>Enhanced Autopilot</v>
      </c>
      <c r="X416" t="str">
        <f>IFERROR(__xludf.DUMMYFUNCTION("""COMPUTED_VALUE"""),"Excellent")</f>
        <v>Excellent</v>
      </c>
      <c r="Y416" t="str">
        <f>IFERROR(__xludf.DUMMYFUNCTION("""COMPUTED_VALUE"""),"Excellent")</f>
        <v>Excellent</v>
      </c>
      <c r="Z416" t="str">
        <f>IFERROR(__xludf.DUMMYFUNCTION("""COMPUTED_VALUE"""),"Excellent")</f>
        <v>Excellent</v>
      </c>
      <c r="AA416" t="str">
        <f>IFERROR(__xludf.DUMMYFUNCTION("""COMPUTED_VALUE"""),"Excellent")</f>
        <v>Excellent</v>
      </c>
      <c r="AB416" t="str">
        <f>IFERROR(__xludf.DUMMYFUNCTION("""COMPUTED_VALUE"""),"Excellent")</f>
        <v>Excellent</v>
      </c>
      <c r="AG416" t="str">
        <f>IFERROR(__xludf.DUMMYFUNCTION("""COMPUTED_VALUE"""),"EAP not configured! Unknown ETA to fix.")</f>
        <v>EAP not configured! Unknown ETA to fix.</v>
      </c>
      <c r="AH416" s="189">
        <f>IFERROR(__xludf.DUMMYFUNCTION("""COMPUTED_VALUE"""),43321.76044334491)</f>
        <v>43321.76044</v>
      </c>
    </row>
    <row r="417">
      <c r="A417" t="str">
        <f>IFERROR(__xludf.DUMMYFUNCTION("""COMPUTED_VALUE"""),"stonelance")</f>
        <v>stonelance</v>
      </c>
      <c r="B417" t="str">
        <f>IFERROR(__xludf.DUMMYFUNCTION("""COMPUTED_VALUE"""),"Seattle")</f>
        <v>Seattle</v>
      </c>
      <c r="C417" t="str">
        <f>IFERROR(__xludf.DUMMYFUNCTION("""COMPUTED_VALUE"""),"WA")</f>
        <v>WA</v>
      </c>
      <c r="D417" t="str">
        <f>IFERROR(__xludf.DUMMYFUNCTION("""COMPUTED_VALUE"""),"USA")</f>
        <v>USA</v>
      </c>
      <c r="E417" s="188">
        <f>IFERROR(__xludf.DUMMYFUNCTION("""COMPUTED_VALUE"""),43278.0)</f>
        <v>43278</v>
      </c>
      <c r="F417" s="188">
        <f>IFERROR(__xludf.DUMMYFUNCTION("""COMPUTED_VALUE"""),43307.0)</f>
        <v>43307</v>
      </c>
      <c r="H417">
        <f>IFERROR(__xludf.DUMMYFUNCTION("""COMPUTED_VALUE"""),73355.0)</f>
        <v>73355</v>
      </c>
      <c r="I417" t="str">
        <f>IFERROR(__xludf.DUMMYFUNCTION("""COMPUTED_VALUE"""),"07/18")</f>
        <v>07/18</v>
      </c>
      <c r="J417" s="5">
        <f>IFERROR(__xludf.DUMMYFUNCTION("""COMPUTED_VALUE"""),43321.0)</f>
        <v>43321</v>
      </c>
      <c r="K417">
        <f>IFERROR(__xludf.DUMMYFUNCTION("""COMPUTED_VALUE"""),29.0)</f>
        <v>29</v>
      </c>
      <c r="L417">
        <f>IFERROR(__xludf.DUMMYFUNCTION("""COMPUTED_VALUE"""),14.0)</f>
        <v>14</v>
      </c>
      <c r="M417">
        <f>IFERROR(__xludf.DUMMYFUNCTION("""COMPUTED_VALUE"""),43.0)</f>
        <v>43</v>
      </c>
      <c r="N417" t="str">
        <f>IFERROR(__xludf.DUMMYFUNCTION("""COMPUTED_VALUE"""),"Model 3 Performance")</f>
        <v>Model 3 Performance</v>
      </c>
      <c r="O417" t="str">
        <f>IFERROR(__xludf.DUMMYFUNCTION("""COMPUTED_VALUE"""),"Red Multi-Coat")</f>
        <v>Red Multi-Coat</v>
      </c>
      <c r="P417" t="str">
        <f>IFERROR(__xludf.DUMMYFUNCTION("""COMPUTED_VALUE"""),"18 inch Aero")</f>
        <v>18 inch Aero</v>
      </c>
      <c r="Q417" t="str">
        <f>IFERROR(__xludf.DUMMYFUNCTION("""COMPUTED_VALUE"""),"Black seats")</f>
        <v>Black seats</v>
      </c>
      <c r="R417" t="str">
        <f>IFERROR(__xludf.DUMMYFUNCTION("""COMPUTED_VALUE"""),"Full Self-Driving")</f>
        <v>Full Self-Driving</v>
      </c>
      <c r="X417" t="str">
        <f>IFERROR(__xludf.DUMMYFUNCTION("""COMPUTED_VALUE"""),"Very Good")</f>
        <v>Very Good</v>
      </c>
      <c r="Y417" t="str">
        <f>IFERROR(__xludf.DUMMYFUNCTION("""COMPUTED_VALUE"""),"Excellent")</f>
        <v>Excellent</v>
      </c>
      <c r="Z417" t="str">
        <f>IFERROR(__xludf.DUMMYFUNCTION("""COMPUTED_VALUE"""),"Very Good")</f>
        <v>Very Good</v>
      </c>
      <c r="AA417" t="str">
        <f>IFERROR(__xludf.DUMMYFUNCTION("""COMPUTED_VALUE"""),"Fair")</f>
        <v>Fair</v>
      </c>
      <c r="AB417" t="str">
        <f>IFERROR(__xludf.DUMMYFUNCTION("""COMPUTED_VALUE"""),"Very Good")</f>
        <v>Very Good</v>
      </c>
      <c r="AH417" s="189">
        <f>IFERROR(__xludf.DUMMYFUNCTION("""COMPUTED_VALUE"""),43322.31047574074)</f>
        <v>43322.31048</v>
      </c>
    </row>
    <row r="418">
      <c r="A418" t="str">
        <f>IFERROR(__xludf.DUMMYFUNCTION("""COMPUTED_VALUE"""),"allanak")</f>
        <v>allanak</v>
      </c>
      <c r="B418" t="str">
        <f>IFERROR(__xludf.DUMMYFUNCTION("""COMPUTED_VALUE"""),"Las Vegas")</f>
        <v>Las Vegas</v>
      </c>
      <c r="C418" t="str">
        <f>IFERROR(__xludf.DUMMYFUNCTION("""COMPUTED_VALUE"""),"NV")</f>
        <v>NV</v>
      </c>
      <c r="D418" t="str">
        <f>IFERROR(__xludf.DUMMYFUNCTION("""COMPUTED_VALUE"""),"USA")</f>
        <v>USA</v>
      </c>
      <c r="E418" s="188">
        <f>IFERROR(__xludf.DUMMYFUNCTION("""COMPUTED_VALUE"""),43311.0)</f>
        <v>43311</v>
      </c>
      <c r="F418" s="188">
        <f>IFERROR(__xludf.DUMMYFUNCTION("""COMPUTED_VALUE"""),43312.0)</f>
        <v>43312</v>
      </c>
      <c r="H418">
        <f>IFERROR(__xludf.DUMMYFUNCTION("""COMPUTED_VALUE"""),55255.0)</f>
        <v>55255</v>
      </c>
      <c r="J418" s="5">
        <f>IFERROR(__xludf.DUMMYFUNCTION("""COMPUTED_VALUE"""),43319.0)</f>
        <v>43319</v>
      </c>
      <c r="K418">
        <f>IFERROR(__xludf.DUMMYFUNCTION("""COMPUTED_VALUE"""),1.0)</f>
        <v>1</v>
      </c>
      <c r="L418">
        <f>IFERROR(__xludf.DUMMYFUNCTION("""COMPUTED_VALUE"""),7.0)</f>
        <v>7</v>
      </c>
      <c r="M418">
        <f>IFERROR(__xludf.DUMMYFUNCTION("""COMPUTED_VALUE"""),8.0)</f>
        <v>8</v>
      </c>
      <c r="N418" t="str">
        <f>IFERROR(__xludf.DUMMYFUNCTION("""COMPUTED_VALUE"""),"Model 3 Performance")</f>
        <v>Model 3 Performance</v>
      </c>
      <c r="O418" t="str">
        <f>IFERROR(__xludf.DUMMYFUNCTION("""COMPUTED_VALUE"""),"Midnight Silver Metallic")</f>
        <v>Midnight Silver Metallic</v>
      </c>
      <c r="P418" t="str">
        <f>IFERROR(__xludf.DUMMYFUNCTION("""COMPUTED_VALUE"""),"20 inch Sport")</f>
        <v>20 inch Sport</v>
      </c>
      <c r="Q418" t="str">
        <f>IFERROR(__xludf.DUMMYFUNCTION("""COMPUTED_VALUE"""),"White seats")</f>
        <v>White seats</v>
      </c>
      <c r="R418" t="str">
        <f>IFERROR(__xludf.DUMMYFUNCTION("""COMPUTED_VALUE"""),"Enhanced Autopilot")</f>
        <v>Enhanced Autopilot</v>
      </c>
      <c r="X418" t="str">
        <f>IFERROR(__xludf.DUMMYFUNCTION("""COMPUTED_VALUE"""),"Excellent")</f>
        <v>Excellent</v>
      </c>
      <c r="Y418" t="str">
        <f>IFERROR(__xludf.DUMMYFUNCTION("""COMPUTED_VALUE"""),"Excellent")</f>
        <v>Excellent</v>
      </c>
      <c r="Z418" t="str">
        <f>IFERROR(__xludf.DUMMYFUNCTION("""COMPUTED_VALUE"""),"Very Good")</f>
        <v>Very Good</v>
      </c>
      <c r="AA418" t="str">
        <f>IFERROR(__xludf.DUMMYFUNCTION("""COMPUTED_VALUE"""),"Very Good")</f>
        <v>Very Good</v>
      </c>
      <c r="AB418" t="str">
        <f>IFERROR(__xludf.DUMMYFUNCTION("""COMPUTED_VALUE"""),"Excellent")</f>
        <v>Excellent</v>
      </c>
      <c r="AC418">
        <f>IFERROR(__xludf.DUMMYFUNCTION("""COMPUTED_VALUE"""),1.0)</f>
        <v>1</v>
      </c>
      <c r="AH418" s="189">
        <f>IFERROR(__xludf.DUMMYFUNCTION("""COMPUTED_VALUE"""),43322.49458140046)</f>
        <v>43322.49458</v>
      </c>
    </row>
    <row r="419">
      <c r="A419" t="str">
        <f>IFERROR(__xludf.DUMMYFUNCTION("""COMPUTED_VALUE"""),"kapplebaum")</f>
        <v>kapplebaum</v>
      </c>
      <c r="B419" t="str">
        <f>IFERROR(__xludf.DUMMYFUNCTION("""COMPUTED_VALUE"""),"Sacramento")</f>
        <v>Sacramento</v>
      </c>
      <c r="C419" t="str">
        <f>IFERROR(__xludf.DUMMYFUNCTION("""COMPUTED_VALUE"""),"CA")</f>
        <v>CA</v>
      </c>
      <c r="D419" t="str">
        <f>IFERROR(__xludf.DUMMYFUNCTION("""COMPUTED_VALUE"""),"USA")</f>
        <v>USA</v>
      </c>
      <c r="E419" s="188">
        <f>IFERROR(__xludf.DUMMYFUNCTION("""COMPUTED_VALUE"""),43160.0)</f>
        <v>43160</v>
      </c>
      <c r="F419" s="188">
        <f>IFERROR(__xludf.DUMMYFUNCTION("""COMPUTED_VALUE"""),43189.0)</f>
        <v>43189</v>
      </c>
      <c r="H419">
        <f>IFERROR(__xludf.DUMMYFUNCTION("""COMPUTED_VALUE"""),9157.0)</f>
        <v>9157</v>
      </c>
      <c r="J419" s="5">
        <f>IFERROR(__xludf.DUMMYFUNCTION("""COMPUTED_VALUE"""),43201.0)</f>
        <v>43201</v>
      </c>
      <c r="K419">
        <f>IFERROR(__xludf.DUMMYFUNCTION("""COMPUTED_VALUE"""),29.0)</f>
        <v>29</v>
      </c>
      <c r="L419">
        <f>IFERROR(__xludf.DUMMYFUNCTION("""COMPUTED_VALUE"""),12.0)</f>
        <v>12</v>
      </c>
      <c r="M419">
        <f>IFERROR(__xludf.DUMMYFUNCTION("""COMPUTED_VALUE"""),41.0)</f>
        <v>41</v>
      </c>
      <c r="N419" t="str">
        <f>IFERROR(__xludf.DUMMYFUNCTION("""COMPUTED_VALUE"""),"Model 3 LR")</f>
        <v>Model 3 LR</v>
      </c>
      <c r="O419" t="str">
        <f>IFERROR(__xludf.DUMMYFUNCTION("""COMPUTED_VALUE"""),"Pearl White Multi-Coat")</f>
        <v>Pearl White Multi-Coat</v>
      </c>
      <c r="P419" t="str">
        <f>IFERROR(__xludf.DUMMYFUNCTION("""COMPUTED_VALUE"""),"18 inch Aero")</f>
        <v>18 inch Aero</v>
      </c>
      <c r="Q419" t="str">
        <f>IFERROR(__xludf.DUMMYFUNCTION("""COMPUTED_VALUE"""),"Black seats")</f>
        <v>Black seats</v>
      </c>
      <c r="R419" t="str">
        <f>IFERROR(__xludf.DUMMYFUNCTION("""COMPUTED_VALUE"""),"Full Self-Driving")</f>
        <v>Full Self-Driving</v>
      </c>
      <c r="X419" t="str">
        <f>IFERROR(__xludf.DUMMYFUNCTION("""COMPUTED_VALUE"""),"Fair")</f>
        <v>Fair</v>
      </c>
      <c r="Y419" t="str">
        <f>IFERROR(__xludf.DUMMYFUNCTION("""COMPUTED_VALUE"""),"Excellent")</f>
        <v>Excellent</v>
      </c>
      <c r="Z419" t="str">
        <f>IFERROR(__xludf.DUMMYFUNCTION("""COMPUTED_VALUE"""),"Excellent")</f>
        <v>Excellent</v>
      </c>
      <c r="AA419" t="str">
        <f>IFERROR(__xludf.DUMMYFUNCTION("""COMPUTED_VALUE"""),"Good")</f>
        <v>Good</v>
      </c>
      <c r="AB419" t="str">
        <f>IFERROR(__xludf.DUMMYFUNCTION("""COMPUTED_VALUE"""),"Excellent")</f>
        <v>Excellent</v>
      </c>
      <c r="AC419">
        <f>IFERROR(__xludf.DUMMYFUNCTION("""COMPUTED_VALUE"""),3.0)</f>
        <v>3</v>
      </c>
      <c r="AD419">
        <f>IFERROR(__xludf.DUMMYFUNCTION("""COMPUTED_VALUE"""),3.0)</f>
        <v>3</v>
      </c>
      <c r="AE419">
        <f>IFERROR(__xludf.DUMMYFUNCTION("""COMPUTED_VALUE"""),1.0)</f>
        <v>1</v>
      </c>
      <c r="AH419" s="189">
        <f>IFERROR(__xludf.DUMMYFUNCTION("""COMPUTED_VALUE"""),43322.70898675926)</f>
        <v>43322.70899</v>
      </c>
    </row>
    <row r="420">
      <c r="A420" t="str">
        <f>IFERROR(__xludf.DUMMYFUNCTION("""COMPUTED_VALUE"""),"Milkkng")</f>
        <v>Milkkng</v>
      </c>
      <c r="B420" t="str">
        <f>IFERROR(__xludf.DUMMYFUNCTION("""COMPUTED_VALUE"""),"Bay area")</f>
        <v>Bay area</v>
      </c>
      <c r="C420" t="str">
        <f>IFERROR(__xludf.DUMMYFUNCTION("""COMPUTED_VALUE"""),"CA")</f>
        <v>CA</v>
      </c>
      <c r="D420" t="str">
        <f>IFERROR(__xludf.DUMMYFUNCTION("""COMPUTED_VALUE"""),"USA")</f>
        <v>USA</v>
      </c>
      <c r="E420" s="188">
        <f>IFERROR(__xludf.DUMMYFUNCTION("""COMPUTED_VALUE"""),43278.0)</f>
        <v>43278</v>
      </c>
      <c r="F420" s="188">
        <f>IFERROR(__xludf.DUMMYFUNCTION("""COMPUTED_VALUE"""),43315.0)</f>
        <v>43315</v>
      </c>
      <c r="H420">
        <f>IFERROR(__xludf.DUMMYFUNCTION("""COMPUTED_VALUE"""),60655.0)</f>
        <v>60655</v>
      </c>
      <c r="I420" t="str">
        <f>IFERROR(__xludf.DUMMYFUNCTION("""COMPUTED_VALUE"""),"07/18")</f>
        <v>07/18</v>
      </c>
      <c r="J420" s="5">
        <f>IFERROR(__xludf.DUMMYFUNCTION("""COMPUTED_VALUE"""),43322.0)</f>
        <v>43322</v>
      </c>
      <c r="K420">
        <f>IFERROR(__xludf.DUMMYFUNCTION("""COMPUTED_VALUE"""),37.0)</f>
        <v>37</v>
      </c>
      <c r="L420">
        <f>IFERROR(__xludf.DUMMYFUNCTION("""COMPUTED_VALUE"""),7.0)</f>
        <v>7</v>
      </c>
      <c r="M420">
        <f>IFERROR(__xludf.DUMMYFUNCTION("""COMPUTED_VALUE"""),44.0)</f>
        <v>44</v>
      </c>
      <c r="N420" t="str">
        <f>IFERROR(__xludf.DUMMYFUNCTION("""COMPUTED_VALUE"""),"Model 3 LR")</f>
        <v>Model 3 LR</v>
      </c>
      <c r="O420" t="str">
        <f>IFERROR(__xludf.DUMMYFUNCTION("""COMPUTED_VALUE"""),"Pearl White Multi-Coat")</f>
        <v>Pearl White Multi-Coat</v>
      </c>
      <c r="P420" t="str">
        <f>IFERROR(__xludf.DUMMYFUNCTION("""COMPUTED_VALUE"""),"18 inch Aero")</f>
        <v>18 inch Aero</v>
      </c>
      <c r="Q420" t="str">
        <f>IFERROR(__xludf.DUMMYFUNCTION("""COMPUTED_VALUE"""),"Black seats")</f>
        <v>Black seats</v>
      </c>
      <c r="R420" t="str">
        <f>IFERROR(__xludf.DUMMYFUNCTION("""COMPUTED_VALUE"""),"None")</f>
        <v>None</v>
      </c>
      <c r="X420" t="str">
        <f>IFERROR(__xludf.DUMMYFUNCTION("""COMPUTED_VALUE"""),"Good")</f>
        <v>Good</v>
      </c>
      <c r="Y420" t="str">
        <f>IFERROR(__xludf.DUMMYFUNCTION("""COMPUTED_VALUE"""),"Very Good")</f>
        <v>Very Good</v>
      </c>
      <c r="Z420" t="str">
        <f>IFERROR(__xludf.DUMMYFUNCTION("""COMPUTED_VALUE"""),"Excellent")</f>
        <v>Excellent</v>
      </c>
      <c r="AA420" t="str">
        <f>IFERROR(__xludf.DUMMYFUNCTION("""COMPUTED_VALUE"""),"Fair")</f>
        <v>Fair</v>
      </c>
      <c r="AB420" t="str">
        <f>IFERROR(__xludf.DUMMYFUNCTION("""COMPUTED_VALUE"""),"Very Good")</f>
        <v>Very Good</v>
      </c>
      <c r="AH420" s="189">
        <f>IFERROR(__xludf.DUMMYFUNCTION("""COMPUTED_VALUE"""),43322.980459004626)</f>
        <v>43322.98046</v>
      </c>
    </row>
    <row r="421">
      <c r="A421" t="str">
        <f>IFERROR(__xludf.DUMMYFUNCTION("""COMPUTED_VALUE"""),"RFyCt")</f>
        <v>RFyCt</v>
      </c>
      <c r="B421" t="str">
        <f>IFERROR(__xludf.DUMMYFUNCTION("""COMPUTED_VALUE"""),"Bay Area")</f>
        <v>Bay Area</v>
      </c>
      <c r="C421" t="str">
        <f>IFERROR(__xludf.DUMMYFUNCTION("""COMPUTED_VALUE"""),"CA")</f>
        <v>CA</v>
      </c>
      <c r="D421" t="str">
        <f>IFERROR(__xludf.DUMMYFUNCTION("""COMPUTED_VALUE"""),"USA")</f>
        <v>USA</v>
      </c>
      <c r="E421" s="188">
        <f>IFERROR(__xludf.DUMMYFUNCTION("""COMPUTED_VALUE"""),43279.0)</f>
        <v>43279</v>
      </c>
      <c r="F421" s="188">
        <f>IFERROR(__xludf.DUMMYFUNCTION("""COMPUTED_VALUE"""),43293.0)</f>
        <v>43293</v>
      </c>
      <c r="H421">
        <f>IFERROR(__xludf.DUMMYFUNCTION("""COMPUTED_VALUE"""),43655.0)</f>
        <v>43655</v>
      </c>
      <c r="I421" t="str">
        <f>IFERROR(__xludf.DUMMYFUNCTION("""COMPUTED_VALUE"""),"06/18")</f>
        <v>06/18</v>
      </c>
      <c r="J421" s="5">
        <f>IFERROR(__xludf.DUMMYFUNCTION("""COMPUTED_VALUE"""),43301.0)</f>
        <v>43301</v>
      </c>
      <c r="K421">
        <f>IFERROR(__xludf.DUMMYFUNCTION("""COMPUTED_VALUE"""),14.0)</f>
        <v>14</v>
      </c>
      <c r="L421">
        <f>IFERROR(__xludf.DUMMYFUNCTION("""COMPUTED_VALUE"""),8.0)</f>
        <v>8</v>
      </c>
      <c r="M421">
        <f>IFERROR(__xludf.DUMMYFUNCTION("""COMPUTED_VALUE"""),22.0)</f>
        <v>22</v>
      </c>
      <c r="N421" t="str">
        <f>IFERROR(__xludf.DUMMYFUNCTION("""COMPUTED_VALUE"""),"Model 3 LR")</f>
        <v>Model 3 LR</v>
      </c>
      <c r="O421" t="str">
        <f>IFERROR(__xludf.DUMMYFUNCTION("""COMPUTED_VALUE"""),"Pearl White Multi-Coat")</f>
        <v>Pearl White Multi-Coat</v>
      </c>
      <c r="P421" t="str">
        <f>IFERROR(__xludf.DUMMYFUNCTION("""COMPUTED_VALUE"""),"18 inch Aero")</f>
        <v>18 inch Aero</v>
      </c>
      <c r="Q421" t="str">
        <f>IFERROR(__xludf.DUMMYFUNCTION("""COMPUTED_VALUE"""),"Black seats")</f>
        <v>Black seats</v>
      </c>
      <c r="R421" t="str">
        <f>IFERROR(__xludf.DUMMYFUNCTION("""COMPUTED_VALUE"""),"Enhanced Autopilot")</f>
        <v>Enhanced Autopilot</v>
      </c>
      <c r="X421" t="str">
        <f>IFERROR(__xludf.DUMMYFUNCTION("""COMPUTED_VALUE"""),"Excellent")</f>
        <v>Excellent</v>
      </c>
      <c r="Y421" t="str">
        <f>IFERROR(__xludf.DUMMYFUNCTION("""COMPUTED_VALUE"""),"Very Good")</f>
        <v>Very Good</v>
      </c>
      <c r="Z421" t="str">
        <f>IFERROR(__xludf.DUMMYFUNCTION("""COMPUTED_VALUE"""),"Very Good")</f>
        <v>Very Good</v>
      </c>
      <c r="AA421" t="str">
        <f>IFERROR(__xludf.DUMMYFUNCTION("""COMPUTED_VALUE"""),"Fair")</f>
        <v>Fair</v>
      </c>
      <c r="AB421" t="str">
        <f>IFERROR(__xludf.DUMMYFUNCTION("""COMPUTED_VALUE"""),"Very Good")</f>
        <v>Very Good</v>
      </c>
      <c r="AC421">
        <f>IFERROR(__xludf.DUMMYFUNCTION("""COMPUTED_VALUE"""),1.0)</f>
        <v>1</v>
      </c>
      <c r="AD421">
        <f>IFERROR(__xludf.DUMMYFUNCTION("""COMPUTED_VALUE"""),1.0)</f>
        <v>1</v>
      </c>
      <c r="AE421">
        <f>IFERROR(__xludf.DUMMYFUNCTION("""COMPUTED_VALUE"""),0.0)</f>
        <v>0</v>
      </c>
      <c r="AG421" t="str">
        <f>IFERROR(__xludf.DUMMYFUNCTION("""COMPUTED_VALUE"""),"Delivery delayed from 7/18 to 7/20")</f>
        <v>Delivery delayed from 7/18 to 7/20</v>
      </c>
      <c r="AH421" s="189">
        <f>IFERROR(__xludf.DUMMYFUNCTION("""COMPUTED_VALUE"""),43323.009915891205)</f>
        <v>43323.00992</v>
      </c>
    </row>
    <row r="422">
      <c r="A422" t="str">
        <f>IFERROR(__xludf.DUMMYFUNCTION("""COMPUTED_VALUE"""),"atobrandon")</f>
        <v>atobrandon</v>
      </c>
      <c r="B422" t="str">
        <f>IFERROR(__xludf.DUMMYFUNCTION("""COMPUTED_VALUE"""),"Enterprise, AL")</f>
        <v>Enterprise, AL</v>
      </c>
      <c r="C422" t="str">
        <f>IFERROR(__xludf.DUMMYFUNCTION("""COMPUTED_VALUE"""),"AL")</f>
        <v>AL</v>
      </c>
      <c r="D422" t="str">
        <f>IFERROR(__xludf.DUMMYFUNCTION("""COMPUTED_VALUE"""),"USA")</f>
        <v>USA</v>
      </c>
      <c r="E422" s="188">
        <f>IFERROR(__xludf.DUMMYFUNCTION("""COMPUTED_VALUE"""),43279.0)</f>
        <v>43279</v>
      </c>
      <c r="F422" s="188">
        <f>IFERROR(__xludf.DUMMYFUNCTION("""COMPUTED_VALUE"""),43287.0)</f>
        <v>43287</v>
      </c>
      <c r="H422">
        <f>IFERROR(__xludf.DUMMYFUNCTION("""COMPUTED_VALUE"""),38643.0)</f>
        <v>38643</v>
      </c>
      <c r="I422" t="str">
        <f>IFERROR(__xludf.DUMMYFUNCTION("""COMPUTED_VALUE"""),"06/18")</f>
        <v>06/18</v>
      </c>
      <c r="J422" s="5">
        <f>IFERROR(__xludf.DUMMYFUNCTION("""COMPUTED_VALUE"""),43306.0)</f>
        <v>43306</v>
      </c>
      <c r="K422">
        <f>IFERROR(__xludf.DUMMYFUNCTION("""COMPUTED_VALUE"""),8.0)</f>
        <v>8</v>
      </c>
      <c r="L422">
        <f>IFERROR(__xludf.DUMMYFUNCTION("""COMPUTED_VALUE"""),19.0)</f>
        <v>19</v>
      </c>
      <c r="M422">
        <f>IFERROR(__xludf.DUMMYFUNCTION("""COMPUTED_VALUE"""),27.0)</f>
        <v>27</v>
      </c>
      <c r="N422" t="str">
        <f>IFERROR(__xludf.DUMMYFUNCTION("""COMPUTED_VALUE"""),"Model 3 LR")</f>
        <v>Model 3 LR</v>
      </c>
      <c r="O422" t="str">
        <f>IFERROR(__xludf.DUMMYFUNCTION("""COMPUTED_VALUE"""),"Deep Blue Metallic")</f>
        <v>Deep Blue Metallic</v>
      </c>
      <c r="P422" t="str">
        <f>IFERROR(__xludf.DUMMYFUNCTION("""COMPUTED_VALUE"""),"18 inch Aero")</f>
        <v>18 inch Aero</v>
      </c>
      <c r="Q422" t="str">
        <f>IFERROR(__xludf.DUMMYFUNCTION("""COMPUTED_VALUE"""),"Black seats")</f>
        <v>Black seats</v>
      </c>
      <c r="R422" t="str">
        <f>IFERROR(__xludf.DUMMYFUNCTION("""COMPUTED_VALUE"""),"Full Self-Driving")</f>
        <v>Full Self-Driving</v>
      </c>
      <c r="X422" t="str">
        <f>IFERROR(__xludf.DUMMYFUNCTION("""COMPUTED_VALUE"""),"Excellent")</f>
        <v>Excellent</v>
      </c>
      <c r="Y422" t="str">
        <f>IFERROR(__xludf.DUMMYFUNCTION("""COMPUTED_VALUE"""),"Excellent")</f>
        <v>Excellent</v>
      </c>
      <c r="Z422" t="str">
        <f>IFERROR(__xludf.DUMMYFUNCTION("""COMPUTED_VALUE"""),"Very Good")</f>
        <v>Very Good</v>
      </c>
      <c r="AA422" t="str">
        <f>IFERROR(__xludf.DUMMYFUNCTION("""COMPUTED_VALUE"""),"Fair")</f>
        <v>Fair</v>
      </c>
      <c r="AB422" t="str">
        <f>IFERROR(__xludf.DUMMYFUNCTION("""COMPUTED_VALUE"""),"Poor")</f>
        <v>Poor</v>
      </c>
      <c r="AC422">
        <f>IFERROR(__xludf.DUMMYFUNCTION("""COMPUTED_VALUE"""),2.0)</f>
        <v>2</v>
      </c>
      <c r="AD422">
        <f>IFERROR(__xludf.DUMMYFUNCTION("""COMPUTED_VALUE"""),0.0)</f>
        <v>0</v>
      </c>
      <c r="AE422">
        <f>IFERROR(__xludf.DUMMYFUNCTION("""COMPUTED_VALUE"""),0.0)</f>
        <v>0</v>
      </c>
      <c r="AG422" t="str">
        <f>IFERROR(__xludf.DUMMYFUNCTION("""COMPUTED_VALUE"""),"My issues have not been fixed yet.")</f>
        <v>My issues have not been fixed yet.</v>
      </c>
      <c r="AH422" s="189">
        <f>IFERROR(__xludf.DUMMYFUNCTION("""COMPUTED_VALUE"""),43323.37144207176)</f>
        <v>43323.37144</v>
      </c>
    </row>
    <row r="423">
      <c r="A423" t="str">
        <f>IFERROR(__xludf.DUMMYFUNCTION("""COMPUTED_VALUE"""),"mickeymouse123")</f>
        <v>mickeymouse123</v>
      </c>
      <c r="B423" t="str">
        <f>IFERROR(__xludf.DUMMYFUNCTION("""COMPUTED_VALUE"""),"Mt Laurel")</f>
        <v>Mt Laurel</v>
      </c>
      <c r="C423" t="str">
        <f>IFERROR(__xludf.DUMMYFUNCTION("""COMPUTED_VALUE"""),"NJ")</f>
        <v>NJ</v>
      </c>
      <c r="D423" t="str">
        <f>IFERROR(__xludf.DUMMYFUNCTION("""COMPUTED_VALUE"""),"USA")</f>
        <v>USA</v>
      </c>
      <c r="E423" s="188">
        <f>IFERROR(__xludf.DUMMYFUNCTION("""COMPUTED_VALUE"""),43222.0)</f>
        <v>43222</v>
      </c>
      <c r="F423" s="188">
        <f>IFERROR(__xludf.DUMMYFUNCTION("""COMPUTED_VALUE"""),43262.0)</f>
        <v>43262</v>
      </c>
      <c r="H423">
        <f>IFERROR(__xludf.DUMMYFUNCTION("""COMPUTED_VALUE"""),32855.0)</f>
        <v>32855</v>
      </c>
      <c r="I423" t="str">
        <f>IFERROR(__xludf.DUMMYFUNCTION("""COMPUTED_VALUE"""),"06/18")</f>
        <v>06/18</v>
      </c>
      <c r="J423" s="5">
        <f>IFERROR(__xludf.DUMMYFUNCTION("""COMPUTED_VALUE"""),43299.0)</f>
        <v>43299</v>
      </c>
      <c r="K423">
        <f>IFERROR(__xludf.DUMMYFUNCTION("""COMPUTED_VALUE"""),40.0)</f>
        <v>40</v>
      </c>
      <c r="L423">
        <f>IFERROR(__xludf.DUMMYFUNCTION("""COMPUTED_VALUE"""),37.0)</f>
        <v>37</v>
      </c>
      <c r="M423">
        <f>IFERROR(__xludf.DUMMYFUNCTION("""COMPUTED_VALUE"""),77.0)</f>
        <v>77</v>
      </c>
      <c r="N423" t="str">
        <f>IFERROR(__xludf.DUMMYFUNCTION("""COMPUTED_VALUE"""),"Model 3 LR")</f>
        <v>Model 3 LR</v>
      </c>
      <c r="O423" t="str">
        <f>IFERROR(__xludf.DUMMYFUNCTION("""COMPUTED_VALUE"""),"Red Multi-Coat")</f>
        <v>Red Multi-Coat</v>
      </c>
      <c r="P423" t="str">
        <f>IFERROR(__xludf.DUMMYFUNCTION("""COMPUTED_VALUE"""),"19 inch Sport")</f>
        <v>19 inch Sport</v>
      </c>
      <c r="Q423" t="str">
        <f>IFERROR(__xludf.DUMMYFUNCTION("""COMPUTED_VALUE"""),"Black seats")</f>
        <v>Black seats</v>
      </c>
      <c r="R423" t="str">
        <f>IFERROR(__xludf.DUMMYFUNCTION("""COMPUTED_VALUE"""),"Full Self-Driving")</f>
        <v>Full Self-Driving</v>
      </c>
      <c r="X423" t="str">
        <f>IFERROR(__xludf.DUMMYFUNCTION("""COMPUTED_VALUE"""),"Excellent")</f>
        <v>Excellent</v>
      </c>
      <c r="Y423" t="str">
        <f>IFERROR(__xludf.DUMMYFUNCTION("""COMPUTED_VALUE"""),"Excellent")</f>
        <v>Excellent</v>
      </c>
      <c r="Z423" t="str">
        <f>IFERROR(__xludf.DUMMYFUNCTION("""COMPUTED_VALUE"""),"Excellent")</f>
        <v>Excellent</v>
      </c>
      <c r="AA423" t="str">
        <f>IFERROR(__xludf.DUMMYFUNCTION("""COMPUTED_VALUE"""),"Excellent")</f>
        <v>Excellent</v>
      </c>
      <c r="AB423" t="str">
        <f>IFERROR(__xludf.DUMMYFUNCTION("""COMPUTED_VALUE"""),"Excellent")</f>
        <v>Excellent</v>
      </c>
      <c r="AC423">
        <f>IFERROR(__xludf.DUMMYFUNCTION("""COMPUTED_VALUE"""),0.0)</f>
        <v>0</v>
      </c>
      <c r="AD423">
        <f>IFERROR(__xludf.DUMMYFUNCTION("""COMPUTED_VALUE"""),0.0)</f>
        <v>0</v>
      </c>
      <c r="AE423">
        <f>IFERROR(__xludf.DUMMYFUNCTION("""COMPUTED_VALUE"""),0.0)</f>
        <v>0</v>
      </c>
      <c r="AH423" s="189">
        <f>IFERROR(__xludf.DUMMYFUNCTION("""COMPUTED_VALUE"""),43323.514369537035)</f>
        <v>43323.51437</v>
      </c>
    </row>
    <row r="424">
      <c r="A424" t="str">
        <f>IFERROR(__xludf.DUMMYFUNCTION("""COMPUTED_VALUE"""),"StarLightBreaker")</f>
        <v>StarLightBreaker</v>
      </c>
      <c r="B424" t="str">
        <f>IFERROR(__xludf.DUMMYFUNCTION("""COMPUTED_VALUE"""),"St Paul")</f>
        <v>St Paul</v>
      </c>
      <c r="C424" t="str">
        <f>IFERROR(__xludf.DUMMYFUNCTION("""COMPUTED_VALUE"""),"MN")</f>
        <v>MN</v>
      </c>
      <c r="D424" t="str">
        <f>IFERROR(__xludf.DUMMYFUNCTION("""COMPUTED_VALUE"""),"USA")</f>
        <v>USA</v>
      </c>
      <c r="E424" s="188">
        <f>IFERROR(__xludf.DUMMYFUNCTION("""COMPUTED_VALUE"""),43279.0)</f>
        <v>43279</v>
      </c>
      <c r="F424" s="188">
        <f>IFERROR(__xludf.DUMMYFUNCTION("""COMPUTED_VALUE"""),43286.0)</f>
        <v>43286</v>
      </c>
      <c r="H424">
        <f>IFERROR(__xludf.DUMMYFUNCTION("""COMPUTED_VALUE"""),34815.0)</f>
        <v>34815</v>
      </c>
      <c r="J424" s="5">
        <f>IFERROR(__xludf.DUMMYFUNCTION("""COMPUTED_VALUE"""),43308.0)</f>
        <v>43308</v>
      </c>
      <c r="K424">
        <f>IFERROR(__xludf.DUMMYFUNCTION("""COMPUTED_VALUE"""),7.0)</f>
        <v>7</v>
      </c>
      <c r="L424">
        <f>IFERROR(__xludf.DUMMYFUNCTION("""COMPUTED_VALUE"""),22.0)</f>
        <v>22</v>
      </c>
      <c r="M424">
        <f>IFERROR(__xludf.DUMMYFUNCTION("""COMPUTED_VALUE"""),29.0)</f>
        <v>29</v>
      </c>
      <c r="N424" t="str">
        <f>IFERROR(__xludf.DUMMYFUNCTION("""COMPUTED_VALUE"""),"Model 3 LR")</f>
        <v>Model 3 LR</v>
      </c>
      <c r="O424" t="str">
        <f>IFERROR(__xludf.DUMMYFUNCTION("""COMPUTED_VALUE"""),"Silver Metallic")</f>
        <v>Silver Metallic</v>
      </c>
      <c r="P424" t="str">
        <f>IFERROR(__xludf.DUMMYFUNCTION("""COMPUTED_VALUE"""),"18 inch Aero")</f>
        <v>18 inch Aero</v>
      </c>
      <c r="Q424" t="str">
        <f>IFERROR(__xludf.DUMMYFUNCTION("""COMPUTED_VALUE"""),"Black seats")</f>
        <v>Black seats</v>
      </c>
      <c r="R424" t="str">
        <f>IFERROR(__xludf.DUMMYFUNCTION("""COMPUTED_VALUE"""),"Enhanced Autopilot")</f>
        <v>Enhanced Autopilot</v>
      </c>
      <c r="X424" t="str">
        <f>IFERROR(__xludf.DUMMYFUNCTION("""COMPUTED_VALUE"""),"Excellent")</f>
        <v>Excellent</v>
      </c>
      <c r="Y424" t="str">
        <f>IFERROR(__xludf.DUMMYFUNCTION("""COMPUTED_VALUE"""),"Excellent")</f>
        <v>Excellent</v>
      </c>
      <c r="Z424" t="str">
        <f>IFERROR(__xludf.DUMMYFUNCTION("""COMPUTED_VALUE"""),"Very Good")</f>
        <v>Very Good</v>
      </c>
      <c r="AA424" t="str">
        <f>IFERROR(__xludf.DUMMYFUNCTION("""COMPUTED_VALUE"""),"Good")</f>
        <v>Good</v>
      </c>
      <c r="AB424" t="str">
        <f>IFERROR(__xludf.DUMMYFUNCTION("""COMPUTED_VALUE"""),"Excellent")</f>
        <v>Excellent</v>
      </c>
      <c r="AC424">
        <f>IFERROR(__xludf.DUMMYFUNCTION("""COMPUTED_VALUE"""),1.0)</f>
        <v>1</v>
      </c>
      <c r="AD424">
        <f>IFERROR(__xludf.DUMMYFUNCTION("""COMPUTED_VALUE"""),0.0)</f>
        <v>0</v>
      </c>
      <c r="AE424">
        <f>IFERROR(__xludf.DUMMYFUNCTION("""COMPUTED_VALUE"""),0.0)</f>
        <v>0</v>
      </c>
      <c r="AH424" s="189">
        <f>IFERROR(__xludf.DUMMYFUNCTION("""COMPUTED_VALUE"""),43323.87663239583)</f>
        <v>43323.87663</v>
      </c>
    </row>
    <row r="425">
      <c r="A425" t="str">
        <f>IFERROR(__xludf.DUMMYFUNCTION("""COMPUTED_VALUE"""),"rnee")</f>
        <v>rnee</v>
      </c>
      <c r="B425" t="str">
        <f>IFERROR(__xludf.DUMMYFUNCTION("""COMPUTED_VALUE"""),"West  Friendship")</f>
        <v>West  Friendship</v>
      </c>
      <c r="C425" t="str">
        <f>IFERROR(__xludf.DUMMYFUNCTION("""COMPUTED_VALUE"""),"MD")</f>
        <v>MD</v>
      </c>
      <c r="D425" t="str">
        <f>IFERROR(__xludf.DUMMYFUNCTION("""COMPUTED_VALUE"""),"USA")</f>
        <v>USA</v>
      </c>
      <c r="E425" s="188">
        <f>IFERROR(__xludf.DUMMYFUNCTION("""COMPUTED_VALUE"""),43205.0)</f>
        <v>43205</v>
      </c>
      <c r="F425" s="188">
        <f>IFERROR(__xludf.DUMMYFUNCTION("""COMPUTED_VALUE"""),43241.0)</f>
        <v>43241</v>
      </c>
      <c r="H425">
        <f>IFERROR(__xludf.DUMMYFUNCTION("""COMPUTED_VALUE"""),22255.0)</f>
        <v>22255</v>
      </c>
      <c r="J425" s="5">
        <f>IFERROR(__xludf.DUMMYFUNCTION("""COMPUTED_VALUE"""),43262.0)</f>
        <v>43262</v>
      </c>
      <c r="K425">
        <f>IFERROR(__xludf.DUMMYFUNCTION("""COMPUTED_VALUE"""),36.0)</f>
        <v>36</v>
      </c>
      <c r="L425">
        <f>IFERROR(__xludf.DUMMYFUNCTION("""COMPUTED_VALUE"""),21.0)</f>
        <v>21</v>
      </c>
      <c r="M425">
        <f>IFERROR(__xludf.DUMMYFUNCTION("""COMPUTED_VALUE"""),57.0)</f>
        <v>57</v>
      </c>
      <c r="N425" t="str">
        <f>IFERROR(__xludf.DUMMYFUNCTION("""COMPUTED_VALUE"""),"Model 3 LR")</f>
        <v>Model 3 LR</v>
      </c>
      <c r="O425" t="str">
        <f>IFERROR(__xludf.DUMMYFUNCTION("""COMPUTED_VALUE"""),"Red Multi-Coat")</f>
        <v>Red Multi-Coat</v>
      </c>
      <c r="P425" t="str">
        <f>IFERROR(__xludf.DUMMYFUNCTION("""COMPUTED_VALUE"""),"18 inch Aero")</f>
        <v>18 inch Aero</v>
      </c>
      <c r="Q425" t="str">
        <f>IFERROR(__xludf.DUMMYFUNCTION("""COMPUTED_VALUE"""),"Black seats")</f>
        <v>Black seats</v>
      </c>
      <c r="R425" t="str">
        <f>IFERROR(__xludf.DUMMYFUNCTION("""COMPUTED_VALUE"""),"Enhanced Autopilot")</f>
        <v>Enhanced Autopilot</v>
      </c>
      <c r="AC425">
        <f>IFERROR(__xludf.DUMMYFUNCTION("""COMPUTED_VALUE"""),2.0)</f>
        <v>2</v>
      </c>
      <c r="AD425">
        <f>IFERROR(__xludf.DUMMYFUNCTION("""COMPUTED_VALUE"""),1.0)</f>
        <v>1</v>
      </c>
      <c r="AE425">
        <f>IFERROR(__xludf.DUMMYFUNCTION("""COMPUTED_VALUE"""),0.0)</f>
        <v>0</v>
      </c>
      <c r="AH425" s="189">
        <f>IFERROR(__xludf.DUMMYFUNCTION("""COMPUTED_VALUE"""),43324.28034834491)</f>
        <v>43324.28035</v>
      </c>
    </row>
    <row r="426">
      <c r="A426" t="str">
        <f>IFERROR(__xludf.DUMMYFUNCTION("""COMPUTED_VALUE"""),"Taxmandan")</f>
        <v>Taxmandan</v>
      </c>
      <c r="B426" t="str">
        <f>IFERROR(__xludf.DUMMYFUNCTION("""COMPUTED_VALUE"""),"Scottsdale")</f>
        <v>Scottsdale</v>
      </c>
      <c r="C426" t="str">
        <f>IFERROR(__xludf.DUMMYFUNCTION("""COMPUTED_VALUE"""),"AZ")</f>
        <v>AZ</v>
      </c>
      <c r="D426" t="str">
        <f>IFERROR(__xludf.DUMMYFUNCTION("""COMPUTED_VALUE"""),"USA")</f>
        <v>USA</v>
      </c>
      <c r="E426" s="188">
        <f>IFERROR(__xludf.DUMMYFUNCTION("""COMPUTED_VALUE"""),43317.0)</f>
        <v>43317</v>
      </c>
      <c r="F426" s="188">
        <f>IFERROR(__xludf.DUMMYFUNCTION("""COMPUTED_VALUE"""),43320.0)</f>
        <v>43320</v>
      </c>
      <c r="H426">
        <f>IFERROR(__xludf.DUMMYFUNCTION("""COMPUTED_VALUE"""),58035.0)</f>
        <v>58035</v>
      </c>
      <c r="I426" t="str">
        <f>IFERROR(__xludf.DUMMYFUNCTION("""COMPUTED_VALUE"""),"07/18")</f>
        <v>07/18</v>
      </c>
      <c r="J426" s="5">
        <f>IFERROR(__xludf.DUMMYFUNCTION("""COMPUTED_VALUE"""),43323.0)</f>
        <v>43323</v>
      </c>
      <c r="K426">
        <f>IFERROR(__xludf.DUMMYFUNCTION("""COMPUTED_VALUE"""),3.0)</f>
        <v>3</v>
      </c>
      <c r="L426">
        <f>IFERROR(__xludf.DUMMYFUNCTION("""COMPUTED_VALUE"""),3.0)</f>
        <v>3</v>
      </c>
      <c r="M426">
        <f>IFERROR(__xludf.DUMMYFUNCTION("""COMPUTED_VALUE"""),6.0)</f>
        <v>6</v>
      </c>
      <c r="N426" t="str">
        <f>IFERROR(__xludf.DUMMYFUNCTION("""COMPUTED_VALUE"""),"Model 3 LR")</f>
        <v>Model 3 LR</v>
      </c>
      <c r="O426" t="str">
        <f>IFERROR(__xludf.DUMMYFUNCTION("""COMPUTED_VALUE"""),"Deep Blue Metallic")</f>
        <v>Deep Blue Metallic</v>
      </c>
      <c r="P426" t="str">
        <f>IFERROR(__xludf.DUMMYFUNCTION("""COMPUTED_VALUE"""),"19 inch Sport")</f>
        <v>19 inch Sport</v>
      </c>
      <c r="Q426" t="str">
        <f>IFERROR(__xludf.DUMMYFUNCTION("""COMPUTED_VALUE"""),"Black seats")</f>
        <v>Black seats</v>
      </c>
      <c r="R426" t="str">
        <f>IFERROR(__xludf.DUMMYFUNCTION("""COMPUTED_VALUE"""),"Enhanced Autopilot")</f>
        <v>Enhanced Autopilot</v>
      </c>
      <c r="X426" t="str">
        <f>IFERROR(__xludf.DUMMYFUNCTION("""COMPUTED_VALUE"""),"Very Good")</f>
        <v>Very Good</v>
      </c>
      <c r="Y426" t="str">
        <f>IFERROR(__xludf.DUMMYFUNCTION("""COMPUTED_VALUE"""),"Very Good")</f>
        <v>Very Good</v>
      </c>
      <c r="Z426" t="str">
        <f>IFERROR(__xludf.DUMMYFUNCTION("""COMPUTED_VALUE"""),"Very Good")</f>
        <v>Very Good</v>
      </c>
      <c r="AA426" t="str">
        <f>IFERROR(__xludf.DUMMYFUNCTION("""COMPUTED_VALUE"""),"Good")</f>
        <v>Good</v>
      </c>
      <c r="AB426" t="str">
        <f>IFERROR(__xludf.DUMMYFUNCTION("""COMPUTED_VALUE"""),"Fair")</f>
        <v>Fair</v>
      </c>
      <c r="AH426" s="189">
        <f>IFERROR(__xludf.DUMMYFUNCTION("""COMPUTED_VALUE"""),43324.32798965278)</f>
        <v>43324.32799</v>
      </c>
    </row>
    <row r="427">
      <c r="A427" t="str">
        <f>IFERROR(__xludf.DUMMYFUNCTION("""COMPUTED_VALUE"""),"cmog")</f>
        <v>cmog</v>
      </c>
      <c r="C427" t="str">
        <f>IFERROR(__xludf.DUMMYFUNCTION("""COMPUTED_VALUE"""),"GA")</f>
        <v>GA</v>
      </c>
      <c r="D427" t="str">
        <f>IFERROR(__xludf.DUMMYFUNCTION("""COMPUTED_VALUE"""),"USA")</f>
        <v>USA</v>
      </c>
      <c r="E427" s="188">
        <f>IFERROR(__xludf.DUMMYFUNCTION("""COMPUTED_VALUE"""),43291.0)</f>
        <v>43291</v>
      </c>
      <c r="F427" s="188">
        <f>IFERROR(__xludf.DUMMYFUNCTION("""COMPUTED_VALUE"""),43312.0)</f>
        <v>43312</v>
      </c>
      <c r="H427">
        <f>IFERROR(__xludf.DUMMYFUNCTION("""COMPUTED_VALUE"""),59855.0)</f>
        <v>59855</v>
      </c>
      <c r="I427" t="str">
        <f>IFERROR(__xludf.DUMMYFUNCTION("""COMPUTED_VALUE"""),"07/18")</f>
        <v>07/18</v>
      </c>
      <c r="J427" s="5">
        <f>IFERROR(__xludf.DUMMYFUNCTION("""COMPUTED_VALUE"""),43323.0)</f>
        <v>43323</v>
      </c>
      <c r="K427">
        <f>IFERROR(__xludf.DUMMYFUNCTION("""COMPUTED_VALUE"""),21.0)</f>
        <v>21</v>
      </c>
      <c r="L427">
        <f>IFERROR(__xludf.DUMMYFUNCTION("""COMPUTED_VALUE"""),11.0)</f>
        <v>11</v>
      </c>
      <c r="M427">
        <f>IFERROR(__xludf.DUMMYFUNCTION("""COMPUTED_VALUE"""),32.0)</f>
        <v>32</v>
      </c>
      <c r="N427" t="str">
        <f>IFERROR(__xludf.DUMMYFUNCTION("""COMPUTED_VALUE"""),"Model 3 LR")</f>
        <v>Model 3 LR</v>
      </c>
      <c r="O427" t="str">
        <f>IFERROR(__xludf.DUMMYFUNCTION("""COMPUTED_VALUE"""),"Deep Blue Metallic")</f>
        <v>Deep Blue Metallic</v>
      </c>
      <c r="P427" t="str">
        <f>IFERROR(__xludf.DUMMYFUNCTION("""COMPUTED_VALUE"""),"18 inch Aero")</f>
        <v>18 inch Aero</v>
      </c>
      <c r="Q427" t="str">
        <f>IFERROR(__xludf.DUMMYFUNCTION("""COMPUTED_VALUE"""),"Black seats")</f>
        <v>Black seats</v>
      </c>
      <c r="R427" t="str">
        <f>IFERROR(__xludf.DUMMYFUNCTION("""COMPUTED_VALUE"""),"Enhanced Autopilot")</f>
        <v>Enhanced Autopilot</v>
      </c>
      <c r="X427" t="str">
        <f>IFERROR(__xludf.DUMMYFUNCTION("""COMPUTED_VALUE"""),"Very Good")</f>
        <v>Very Good</v>
      </c>
      <c r="Y427" t="str">
        <f>IFERROR(__xludf.DUMMYFUNCTION("""COMPUTED_VALUE"""),"Excellent")</f>
        <v>Excellent</v>
      </c>
      <c r="Z427" t="str">
        <f>IFERROR(__xludf.DUMMYFUNCTION("""COMPUTED_VALUE"""),"Good")</f>
        <v>Good</v>
      </c>
      <c r="AA427" t="str">
        <f>IFERROR(__xludf.DUMMYFUNCTION("""COMPUTED_VALUE"""),"Very Good")</f>
        <v>Very Good</v>
      </c>
      <c r="AB427" t="str">
        <f>IFERROR(__xludf.DUMMYFUNCTION("""COMPUTED_VALUE"""),"Very Good")</f>
        <v>Very Good</v>
      </c>
      <c r="AH427" s="189">
        <f>IFERROR(__xludf.DUMMYFUNCTION("""COMPUTED_VALUE"""),43324.36595493056)</f>
        <v>43324.36595</v>
      </c>
    </row>
    <row r="428">
      <c r="A428" t="str">
        <f>IFERROR(__xludf.DUMMYFUNCTION("""COMPUTED_VALUE"""),"tslablublz")</f>
        <v>tslablublz</v>
      </c>
      <c r="B428" t="str">
        <f>IFERROR(__xludf.DUMMYFUNCTION("""COMPUTED_VALUE"""),"Sacramento")</f>
        <v>Sacramento</v>
      </c>
      <c r="C428" t="str">
        <f>IFERROR(__xludf.DUMMYFUNCTION("""COMPUTED_VALUE"""),"CA")</f>
        <v>CA</v>
      </c>
      <c r="D428" t="str">
        <f>IFERROR(__xludf.DUMMYFUNCTION("""COMPUTED_VALUE"""),"USA")</f>
        <v>USA</v>
      </c>
      <c r="E428" s="188">
        <f>IFERROR(__xludf.DUMMYFUNCTION("""COMPUTED_VALUE"""),43276.0)</f>
        <v>43276</v>
      </c>
      <c r="F428" s="188">
        <f>IFERROR(__xludf.DUMMYFUNCTION("""COMPUTED_VALUE"""),43293.0)</f>
        <v>43293</v>
      </c>
      <c r="H428">
        <f>IFERROR(__xludf.DUMMYFUNCTION("""COMPUTED_VALUE"""),37852.0)</f>
        <v>37852</v>
      </c>
      <c r="J428" s="5">
        <f>IFERROR(__xludf.DUMMYFUNCTION("""COMPUTED_VALUE"""),43316.0)</f>
        <v>43316</v>
      </c>
      <c r="K428">
        <f>IFERROR(__xludf.DUMMYFUNCTION("""COMPUTED_VALUE"""),17.0)</f>
        <v>17</v>
      </c>
      <c r="L428">
        <f>IFERROR(__xludf.DUMMYFUNCTION("""COMPUTED_VALUE"""),23.0)</f>
        <v>23</v>
      </c>
      <c r="M428">
        <f>IFERROR(__xludf.DUMMYFUNCTION("""COMPUTED_VALUE"""),40.0)</f>
        <v>40</v>
      </c>
      <c r="N428" t="str">
        <f>IFERROR(__xludf.DUMMYFUNCTION("""COMPUTED_VALUE"""),"Model 3 LR")</f>
        <v>Model 3 LR</v>
      </c>
      <c r="O428" t="str">
        <f>IFERROR(__xludf.DUMMYFUNCTION("""COMPUTED_VALUE"""),"Midnight Silver Metallic")</f>
        <v>Midnight Silver Metallic</v>
      </c>
      <c r="P428" t="str">
        <f>IFERROR(__xludf.DUMMYFUNCTION("""COMPUTED_VALUE"""),"19 inch Sport")</f>
        <v>19 inch Sport</v>
      </c>
      <c r="Q428" t="str">
        <f>IFERROR(__xludf.DUMMYFUNCTION("""COMPUTED_VALUE"""),"Black seats")</f>
        <v>Black seats</v>
      </c>
      <c r="R428" t="str">
        <f>IFERROR(__xludf.DUMMYFUNCTION("""COMPUTED_VALUE"""),"None")</f>
        <v>None</v>
      </c>
      <c r="X428" t="str">
        <f>IFERROR(__xludf.DUMMYFUNCTION("""COMPUTED_VALUE"""),"Very Good")</f>
        <v>Very Good</v>
      </c>
      <c r="Y428" t="str">
        <f>IFERROR(__xludf.DUMMYFUNCTION("""COMPUTED_VALUE"""),"Very Good")</f>
        <v>Very Good</v>
      </c>
      <c r="Z428" t="str">
        <f>IFERROR(__xludf.DUMMYFUNCTION("""COMPUTED_VALUE"""),"Good")</f>
        <v>Good</v>
      </c>
      <c r="AA428" t="str">
        <f>IFERROR(__xludf.DUMMYFUNCTION("""COMPUTED_VALUE"""),"Very Good")</f>
        <v>Very Good</v>
      </c>
      <c r="AB428" t="str">
        <f>IFERROR(__xludf.DUMMYFUNCTION("""COMPUTED_VALUE"""),"Good")</f>
        <v>Good</v>
      </c>
      <c r="AH428" s="189">
        <f>IFERROR(__xludf.DUMMYFUNCTION("""COMPUTED_VALUE"""),43324.400007337965)</f>
        <v>43324.40001</v>
      </c>
    </row>
    <row r="429">
      <c r="A429" t="str">
        <f>IFERROR(__xludf.DUMMYFUNCTION("""COMPUTED_VALUE"""),"imagine")</f>
        <v>imagine</v>
      </c>
      <c r="B429" t="str">
        <f>IFERROR(__xludf.DUMMYFUNCTION("""COMPUTED_VALUE"""),"Titus")</f>
        <v>Titus</v>
      </c>
      <c r="C429" t="str">
        <f>IFERROR(__xludf.DUMMYFUNCTION("""COMPUTED_VALUE"""),"AL")</f>
        <v>AL</v>
      </c>
      <c r="D429" t="str">
        <f>IFERROR(__xludf.DUMMYFUNCTION("""COMPUTED_VALUE"""),"USA")</f>
        <v>USA</v>
      </c>
      <c r="E429" s="188">
        <f>IFERROR(__xludf.DUMMYFUNCTION("""COMPUTED_VALUE"""),43226.0)</f>
        <v>43226</v>
      </c>
      <c r="H429">
        <f>IFERROR(__xludf.DUMMYFUNCTION("""COMPUTED_VALUE"""),33009.0)</f>
        <v>33009</v>
      </c>
      <c r="I429" t="str">
        <f>IFERROR(__xludf.DUMMYFUNCTION("""COMPUTED_VALUE"""),"06/18")</f>
        <v>06/18</v>
      </c>
      <c r="J429" s="5">
        <f>IFERROR(__xludf.DUMMYFUNCTION("""COMPUTED_VALUE"""),43319.0)</f>
        <v>43319</v>
      </c>
      <c r="M429">
        <f>IFERROR(__xludf.DUMMYFUNCTION("""COMPUTED_VALUE"""),93.0)</f>
        <v>93</v>
      </c>
      <c r="N429" t="str">
        <f>IFERROR(__xludf.DUMMYFUNCTION("""COMPUTED_VALUE"""),"Model 3 LR")</f>
        <v>Model 3 LR</v>
      </c>
      <c r="O429" t="str">
        <f>IFERROR(__xludf.DUMMYFUNCTION("""COMPUTED_VALUE"""),"Pearl White Multi-Coat")</f>
        <v>Pearl White Multi-Coat</v>
      </c>
      <c r="P429" t="str">
        <f>IFERROR(__xludf.DUMMYFUNCTION("""COMPUTED_VALUE"""),"19 inch Sport")</f>
        <v>19 inch Sport</v>
      </c>
      <c r="Q429" t="str">
        <f>IFERROR(__xludf.DUMMYFUNCTION("""COMPUTED_VALUE"""),"Black seats")</f>
        <v>Black seats</v>
      </c>
      <c r="R429" t="str">
        <f>IFERROR(__xludf.DUMMYFUNCTION("""COMPUTED_VALUE"""),"Enhanced Autopilot")</f>
        <v>Enhanced Autopilot</v>
      </c>
      <c r="X429" t="str">
        <f>IFERROR(__xludf.DUMMYFUNCTION("""COMPUTED_VALUE"""),"Very Good")</f>
        <v>Very Good</v>
      </c>
      <c r="Y429" t="str">
        <f>IFERROR(__xludf.DUMMYFUNCTION("""COMPUTED_VALUE"""),"Very Good")</f>
        <v>Very Good</v>
      </c>
      <c r="Z429" t="str">
        <f>IFERROR(__xludf.DUMMYFUNCTION("""COMPUTED_VALUE"""),"Very Good")</f>
        <v>Very Good</v>
      </c>
      <c r="AA429" t="str">
        <f>IFERROR(__xludf.DUMMYFUNCTION("""COMPUTED_VALUE"""),"Good")</f>
        <v>Good</v>
      </c>
      <c r="AB429" t="str">
        <f>IFERROR(__xludf.DUMMYFUNCTION("""COMPUTED_VALUE"""),"Very Good")</f>
        <v>Very Good</v>
      </c>
      <c r="AH429" s="189">
        <f>IFERROR(__xludf.DUMMYFUNCTION("""COMPUTED_VALUE"""),43324.43552125)</f>
        <v>43324.43552</v>
      </c>
    </row>
    <row r="430">
      <c r="A430" t="str">
        <f>IFERROR(__xludf.DUMMYFUNCTION("""COMPUTED_VALUE"""),"ZaphodB")</f>
        <v>ZaphodB</v>
      </c>
      <c r="C430" t="str">
        <f>IFERROR(__xludf.DUMMYFUNCTION("""COMPUTED_VALUE"""),"CA")</f>
        <v>CA</v>
      </c>
      <c r="D430" t="str">
        <f>IFERROR(__xludf.DUMMYFUNCTION("""COMPUTED_VALUE"""),"USA")</f>
        <v>USA</v>
      </c>
      <c r="E430" s="188">
        <f>IFERROR(__xludf.DUMMYFUNCTION("""COMPUTED_VALUE"""),43281.0)</f>
        <v>43281</v>
      </c>
      <c r="F430" s="188">
        <f>IFERROR(__xludf.DUMMYFUNCTION("""COMPUTED_VALUE"""),43320.0)</f>
        <v>43320</v>
      </c>
      <c r="H430">
        <f>IFERROR(__xludf.DUMMYFUNCTION("""COMPUTED_VALUE"""),67555.0)</f>
        <v>67555</v>
      </c>
      <c r="I430" t="str">
        <f>IFERROR(__xludf.DUMMYFUNCTION("""COMPUTED_VALUE"""),"08/18")</f>
        <v>08/18</v>
      </c>
      <c r="J430" s="5">
        <f>IFERROR(__xludf.DUMMYFUNCTION("""COMPUTED_VALUE"""),43323.0)</f>
        <v>43323</v>
      </c>
      <c r="K430">
        <f>IFERROR(__xludf.DUMMYFUNCTION("""COMPUTED_VALUE"""),39.0)</f>
        <v>39</v>
      </c>
      <c r="L430">
        <f>IFERROR(__xludf.DUMMYFUNCTION("""COMPUTED_VALUE"""),3.0)</f>
        <v>3</v>
      </c>
      <c r="M430">
        <f>IFERROR(__xludf.DUMMYFUNCTION("""COMPUTED_VALUE"""),42.0)</f>
        <v>42</v>
      </c>
      <c r="N430" t="str">
        <f>IFERROR(__xludf.DUMMYFUNCTION("""COMPUTED_VALUE"""),"Model 3 LR AWD")</f>
        <v>Model 3 LR AWD</v>
      </c>
      <c r="O430" t="str">
        <f>IFERROR(__xludf.DUMMYFUNCTION("""COMPUTED_VALUE"""),"Pearl White Multi-Coat")</f>
        <v>Pearl White Multi-Coat</v>
      </c>
      <c r="P430" t="str">
        <f>IFERROR(__xludf.DUMMYFUNCTION("""COMPUTED_VALUE"""),"19 inch Sport")</f>
        <v>19 inch Sport</v>
      </c>
      <c r="Q430" t="str">
        <f>IFERROR(__xludf.DUMMYFUNCTION("""COMPUTED_VALUE"""),"Black seats")</f>
        <v>Black seats</v>
      </c>
      <c r="R430" t="str">
        <f>IFERROR(__xludf.DUMMYFUNCTION("""COMPUTED_VALUE"""),"Full Self-Driving")</f>
        <v>Full Self-Driving</v>
      </c>
      <c r="X430" t="str">
        <f>IFERROR(__xludf.DUMMYFUNCTION("""COMPUTED_VALUE"""),"Excellent")</f>
        <v>Excellent</v>
      </c>
      <c r="Y430" t="str">
        <f>IFERROR(__xludf.DUMMYFUNCTION("""COMPUTED_VALUE"""),"Very Good")</f>
        <v>Very Good</v>
      </c>
      <c r="Z430" t="str">
        <f>IFERROR(__xludf.DUMMYFUNCTION("""COMPUTED_VALUE"""),"Excellent")</f>
        <v>Excellent</v>
      </c>
      <c r="AA430" t="str">
        <f>IFERROR(__xludf.DUMMYFUNCTION("""COMPUTED_VALUE"""),"Fair")</f>
        <v>Fair</v>
      </c>
      <c r="AB430" t="str">
        <f>IFERROR(__xludf.DUMMYFUNCTION("""COMPUTED_VALUE"""),"Fair")</f>
        <v>Fair</v>
      </c>
      <c r="AH430" s="189">
        <f>IFERROR(__xludf.DUMMYFUNCTION("""COMPUTED_VALUE"""),43324.51851666666)</f>
        <v>43324.51852</v>
      </c>
    </row>
    <row r="431">
      <c r="A431" t="str">
        <f>IFERROR(__xludf.DUMMYFUNCTION("""COMPUTED_VALUE"""),"oh_noes")</f>
        <v>oh_noes</v>
      </c>
      <c r="B431" t="str">
        <f>IFERROR(__xludf.DUMMYFUNCTION("""COMPUTED_VALUE"""),"Ft. Lauderdale")</f>
        <v>Ft. Lauderdale</v>
      </c>
      <c r="C431" t="str">
        <f>IFERROR(__xludf.DUMMYFUNCTION("""COMPUTED_VALUE"""),"FL")</f>
        <v>FL</v>
      </c>
      <c r="D431" t="str">
        <f>IFERROR(__xludf.DUMMYFUNCTION("""COMPUTED_VALUE"""),"USA")</f>
        <v>USA</v>
      </c>
      <c r="E431" s="188">
        <f>IFERROR(__xludf.DUMMYFUNCTION("""COMPUTED_VALUE"""),43253.0)</f>
        <v>43253</v>
      </c>
      <c r="F431" s="188">
        <f>IFERROR(__xludf.DUMMYFUNCTION("""COMPUTED_VALUE"""),43307.0)</f>
        <v>43307</v>
      </c>
      <c r="H431">
        <f>IFERROR(__xludf.DUMMYFUNCTION("""COMPUTED_VALUE"""),54668.0)</f>
        <v>54668</v>
      </c>
      <c r="J431" s="5">
        <f>IFERROR(__xludf.DUMMYFUNCTION("""COMPUTED_VALUE"""),43323.0)</f>
        <v>43323</v>
      </c>
      <c r="K431">
        <f>IFERROR(__xludf.DUMMYFUNCTION("""COMPUTED_VALUE"""),54.0)</f>
        <v>54</v>
      </c>
      <c r="L431">
        <f>IFERROR(__xludf.DUMMYFUNCTION("""COMPUTED_VALUE"""),16.0)</f>
        <v>16</v>
      </c>
      <c r="M431">
        <f>IFERROR(__xludf.DUMMYFUNCTION("""COMPUTED_VALUE"""),70.0)</f>
        <v>70</v>
      </c>
      <c r="N431" t="str">
        <f>IFERROR(__xludf.DUMMYFUNCTION("""COMPUTED_VALUE"""),"Model 3 LR AWD")</f>
        <v>Model 3 LR AWD</v>
      </c>
      <c r="O431" t="str">
        <f>IFERROR(__xludf.DUMMYFUNCTION("""COMPUTED_VALUE"""),"Pearl White Multi-Coat")</f>
        <v>Pearl White Multi-Coat</v>
      </c>
      <c r="P431" t="str">
        <f>IFERROR(__xludf.DUMMYFUNCTION("""COMPUTED_VALUE"""),"18 inch Aero")</f>
        <v>18 inch Aero</v>
      </c>
      <c r="Q431" t="str">
        <f>IFERROR(__xludf.DUMMYFUNCTION("""COMPUTED_VALUE"""),"Black seats")</f>
        <v>Black seats</v>
      </c>
      <c r="R431" t="str">
        <f>IFERROR(__xludf.DUMMYFUNCTION("""COMPUTED_VALUE"""),"Enhanced Autopilot")</f>
        <v>Enhanced Autopilot</v>
      </c>
      <c r="X431" t="str">
        <f>IFERROR(__xludf.DUMMYFUNCTION("""COMPUTED_VALUE"""),"Excellent")</f>
        <v>Excellent</v>
      </c>
      <c r="Y431" t="str">
        <f>IFERROR(__xludf.DUMMYFUNCTION("""COMPUTED_VALUE"""),"Excellent")</f>
        <v>Excellent</v>
      </c>
      <c r="Z431" t="str">
        <f>IFERROR(__xludf.DUMMYFUNCTION("""COMPUTED_VALUE"""),"Excellent")</f>
        <v>Excellent</v>
      </c>
      <c r="AA431" t="str">
        <f>IFERROR(__xludf.DUMMYFUNCTION("""COMPUTED_VALUE"""),"Good")</f>
        <v>Good</v>
      </c>
      <c r="AB431" t="str">
        <f>IFERROR(__xludf.DUMMYFUNCTION("""COMPUTED_VALUE"""),"Excellent")</f>
        <v>Excellent</v>
      </c>
      <c r="AH431" s="189">
        <f>IFERROR(__xludf.DUMMYFUNCTION("""COMPUTED_VALUE"""),43324.59933597222)</f>
        <v>43324.59934</v>
      </c>
    </row>
    <row r="432">
      <c r="A432" t="str">
        <f>IFERROR(__xludf.DUMMYFUNCTION("""COMPUTED_VALUE"""),"ModelNforNerd")</f>
        <v>ModelNforNerd</v>
      </c>
      <c r="B432" t="str">
        <f>IFERROR(__xludf.DUMMYFUNCTION("""COMPUTED_VALUE"""),"Ayer")</f>
        <v>Ayer</v>
      </c>
      <c r="C432" t="str">
        <f>IFERROR(__xludf.DUMMYFUNCTION("""COMPUTED_VALUE"""),"MA")</f>
        <v>MA</v>
      </c>
      <c r="D432" t="str">
        <f>IFERROR(__xludf.DUMMYFUNCTION("""COMPUTED_VALUE"""),"USA")</f>
        <v>USA</v>
      </c>
      <c r="E432" s="188">
        <f>IFERROR(__xludf.DUMMYFUNCTION("""COMPUTED_VALUE"""),43297.0)</f>
        <v>43297</v>
      </c>
      <c r="F432" s="188">
        <f>IFERROR(__xludf.DUMMYFUNCTION("""COMPUTED_VALUE"""),43301.0)</f>
        <v>43301</v>
      </c>
      <c r="H432">
        <f>IFERROR(__xludf.DUMMYFUNCTION("""COMPUTED_VALUE"""),62955.0)</f>
        <v>62955</v>
      </c>
      <c r="I432" t="str">
        <f>IFERROR(__xludf.DUMMYFUNCTION("""COMPUTED_VALUE"""),"07/18")</f>
        <v>07/18</v>
      </c>
      <c r="J432" s="5">
        <f>IFERROR(__xludf.DUMMYFUNCTION("""COMPUTED_VALUE"""),43322.0)</f>
        <v>43322</v>
      </c>
      <c r="K432">
        <f>IFERROR(__xludf.DUMMYFUNCTION("""COMPUTED_VALUE"""),4.0)</f>
        <v>4</v>
      </c>
      <c r="L432">
        <f>IFERROR(__xludf.DUMMYFUNCTION("""COMPUTED_VALUE"""),21.0)</f>
        <v>21</v>
      </c>
      <c r="M432">
        <f>IFERROR(__xludf.DUMMYFUNCTION("""COMPUTED_VALUE"""),25.0)</f>
        <v>25</v>
      </c>
      <c r="N432" t="str">
        <f>IFERROR(__xludf.DUMMYFUNCTION("""COMPUTED_VALUE"""),"Model 3 Performance")</f>
        <v>Model 3 Performance</v>
      </c>
      <c r="O432" t="str">
        <f>IFERROR(__xludf.DUMMYFUNCTION("""COMPUTED_VALUE"""),"Midnight Silver Metallic")</f>
        <v>Midnight Silver Metallic</v>
      </c>
      <c r="P432" t="str">
        <f>IFERROR(__xludf.DUMMYFUNCTION("""COMPUTED_VALUE"""),"18 inch Aero")</f>
        <v>18 inch Aero</v>
      </c>
      <c r="Q432" t="str">
        <f>IFERROR(__xludf.DUMMYFUNCTION("""COMPUTED_VALUE"""),"Black seats")</f>
        <v>Black seats</v>
      </c>
      <c r="R432" t="str">
        <f>IFERROR(__xludf.DUMMYFUNCTION("""COMPUTED_VALUE"""),"Enhanced Autopilot")</f>
        <v>Enhanced Autopilot</v>
      </c>
      <c r="X432" t="str">
        <f>IFERROR(__xludf.DUMMYFUNCTION("""COMPUTED_VALUE"""),"Excellent")</f>
        <v>Excellent</v>
      </c>
      <c r="Y432" t="str">
        <f>IFERROR(__xludf.DUMMYFUNCTION("""COMPUTED_VALUE"""),"Excellent")</f>
        <v>Excellent</v>
      </c>
      <c r="Z432" t="str">
        <f>IFERROR(__xludf.DUMMYFUNCTION("""COMPUTED_VALUE"""),"Excellent")</f>
        <v>Excellent</v>
      </c>
      <c r="AA432" t="str">
        <f>IFERROR(__xludf.DUMMYFUNCTION("""COMPUTED_VALUE"""),"Very Good")</f>
        <v>Very Good</v>
      </c>
      <c r="AB432" t="str">
        <f>IFERROR(__xludf.DUMMYFUNCTION("""COMPUTED_VALUE"""),"Excellent")</f>
        <v>Excellent</v>
      </c>
      <c r="AG432" t="str">
        <f>IFERROR(__xludf.DUMMYFUNCTION("""COMPUTED_VALUE"""),"OMG....P3D is an AMAZING MACHINE!!!!")</f>
        <v>OMG....P3D is an AMAZING MACHINE!!!!</v>
      </c>
      <c r="AH432" s="189">
        <f>IFERROR(__xludf.DUMMYFUNCTION("""COMPUTED_VALUE"""),43324.79038075231)</f>
        <v>43324.79038</v>
      </c>
    </row>
    <row r="433">
      <c r="A433" t="str">
        <f>IFERROR(__xludf.DUMMYFUNCTION("""COMPUTED_VALUE"""),"edrlee")</f>
        <v>edrlee</v>
      </c>
      <c r="B433" t="str">
        <f>IFERROR(__xludf.DUMMYFUNCTION("""COMPUTED_VALUE"""),"Sacramento")</f>
        <v>Sacramento</v>
      </c>
      <c r="C433" t="str">
        <f>IFERROR(__xludf.DUMMYFUNCTION("""COMPUTED_VALUE"""),"CA")</f>
        <v>CA</v>
      </c>
      <c r="D433" t="str">
        <f>IFERROR(__xludf.DUMMYFUNCTION("""COMPUTED_VALUE"""),"USA")</f>
        <v>USA</v>
      </c>
      <c r="E433" s="188">
        <f>IFERROR(__xludf.DUMMYFUNCTION("""COMPUTED_VALUE"""),43306.0)</f>
        <v>43306</v>
      </c>
      <c r="F433" s="188">
        <f>IFERROR(__xludf.DUMMYFUNCTION("""COMPUTED_VALUE"""),43312.0)</f>
        <v>43312</v>
      </c>
      <c r="J433" s="5">
        <f>IFERROR(__xludf.DUMMYFUNCTION("""COMPUTED_VALUE"""),43323.0)</f>
        <v>43323</v>
      </c>
      <c r="K433">
        <f>IFERROR(__xludf.DUMMYFUNCTION("""COMPUTED_VALUE"""),6.0)</f>
        <v>6</v>
      </c>
      <c r="L433">
        <f>IFERROR(__xludf.DUMMYFUNCTION("""COMPUTED_VALUE"""),11.0)</f>
        <v>11</v>
      </c>
      <c r="M433">
        <f>IFERROR(__xludf.DUMMYFUNCTION("""COMPUTED_VALUE"""),17.0)</f>
        <v>17</v>
      </c>
      <c r="N433" t="str">
        <f>IFERROR(__xludf.DUMMYFUNCTION("""COMPUTED_VALUE"""),"Model 3 LR")</f>
        <v>Model 3 LR</v>
      </c>
      <c r="O433" t="str">
        <f>IFERROR(__xludf.DUMMYFUNCTION("""COMPUTED_VALUE"""),"Midnight Silver Metallic")</f>
        <v>Midnight Silver Metallic</v>
      </c>
      <c r="P433" t="str">
        <f>IFERROR(__xludf.DUMMYFUNCTION("""COMPUTED_VALUE"""),"18 inch Aero")</f>
        <v>18 inch Aero</v>
      </c>
      <c r="Q433" t="str">
        <f>IFERROR(__xludf.DUMMYFUNCTION("""COMPUTED_VALUE"""),"Black seats")</f>
        <v>Black seats</v>
      </c>
      <c r="R433" t="str">
        <f>IFERROR(__xludf.DUMMYFUNCTION("""COMPUTED_VALUE"""),"Enhanced Autopilot")</f>
        <v>Enhanced Autopilot</v>
      </c>
      <c r="X433" t="str">
        <f>IFERROR(__xludf.DUMMYFUNCTION("""COMPUTED_VALUE"""),"Excellent")</f>
        <v>Excellent</v>
      </c>
      <c r="Y433" t="str">
        <f>IFERROR(__xludf.DUMMYFUNCTION("""COMPUTED_VALUE"""),"Very Good")</f>
        <v>Very Good</v>
      </c>
      <c r="Z433" t="str">
        <f>IFERROR(__xludf.DUMMYFUNCTION("""COMPUTED_VALUE"""),"Excellent")</f>
        <v>Excellent</v>
      </c>
      <c r="AA433" t="str">
        <f>IFERROR(__xludf.DUMMYFUNCTION("""COMPUTED_VALUE"""),"Excellent")</f>
        <v>Excellent</v>
      </c>
      <c r="AB433" t="str">
        <f>IFERROR(__xludf.DUMMYFUNCTION("""COMPUTED_VALUE"""),"Excellent")</f>
        <v>Excellent</v>
      </c>
      <c r="AC433">
        <f>IFERROR(__xludf.DUMMYFUNCTION("""COMPUTED_VALUE"""),2.0)</f>
        <v>2</v>
      </c>
      <c r="AG433" t="str">
        <f>IFERROR(__xludf.DUMMYFUNCTION("""COMPUTED_VALUE"""),"EncodedVIN showed up 7/31/18")</f>
        <v>EncodedVIN showed up 7/31/18</v>
      </c>
      <c r="AH433" s="189">
        <f>IFERROR(__xludf.DUMMYFUNCTION("""COMPUTED_VALUE"""),43324.916136631946)</f>
        <v>43324.91614</v>
      </c>
    </row>
    <row r="434">
      <c r="A434" t="str">
        <f>IFERROR(__xludf.DUMMYFUNCTION("""COMPUTED_VALUE"""),"ReneeV")</f>
        <v>ReneeV</v>
      </c>
      <c r="B434" t="str">
        <f>IFERROR(__xludf.DUMMYFUNCTION("""COMPUTED_VALUE"""),"Minneapolis")</f>
        <v>Minneapolis</v>
      </c>
      <c r="C434" t="str">
        <f>IFERROR(__xludf.DUMMYFUNCTION("""COMPUTED_VALUE"""),"MN")</f>
        <v>MN</v>
      </c>
      <c r="D434" t="str">
        <f>IFERROR(__xludf.DUMMYFUNCTION("""COMPUTED_VALUE"""),"USA")</f>
        <v>USA</v>
      </c>
      <c r="E434" s="188">
        <f>IFERROR(__xludf.DUMMYFUNCTION("""COMPUTED_VALUE"""),43287.0)</f>
        <v>43287</v>
      </c>
      <c r="F434" s="188">
        <f>IFERROR(__xludf.DUMMYFUNCTION("""COMPUTED_VALUE"""),43312.0)</f>
        <v>43312</v>
      </c>
      <c r="H434">
        <f>IFERROR(__xludf.DUMMYFUNCTION("""COMPUTED_VALUE"""),46155.0)</f>
        <v>46155</v>
      </c>
      <c r="J434" s="5">
        <f>IFERROR(__xludf.DUMMYFUNCTION("""COMPUTED_VALUE"""),43323.0)</f>
        <v>43323</v>
      </c>
      <c r="K434">
        <f>IFERROR(__xludf.DUMMYFUNCTION("""COMPUTED_VALUE"""),25.0)</f>
        <v>25</v>
      </c>
      <c r="L434">
        <f>IFERROR(__xludf.DUMMYFUNCTION("""COMPUTED_VALUE"""),11.0)</f>
        <v>11</v>
      </c>
      <c r="M434">
        <f>IFERROR(__xludf.DUMMYFUNCTION("""COMPUTED_VALUE"""),36.0)</f>
        <v>36</v>
      </c>
      <c r="N434" t="str">
        <f>IFERROR(__xludf.DUMMYFUNCTION("""COMPUTED_VALUE"""),"Model 3 LR")</f>
        <v>Model 3 LR</v>
      </c>
      <c r="O434" t="str">
        <f>IFERROR(__xludf.DUMMYFUNCTION("""COMPUTED_VALUE"""),"Solid Black")</f>
        <v>Solid Black</v>
      </c>
      <c r="P434" t="str">
        <f>IFERROR(__xludf.DUMMYFUNCTION("""COMPUTED_VALUE"""),"18 inch Aero")</f>
        <v>18 inch Aero</v>
      </c>
      <c r="Q434" t="str">
        <f>IFERROR(__xludf.DUMMYFUNCTION("""COMPUTED_VALUE"""),"Black seats")</f>
        <v>Black seats</v>
      </c>
      <c r="R434" t="str">
        <f>IFERROR(__xludf.DUMMYFUNCTION("""COMPUTED_VALUE"""),"Enhanced Autopilot")</f>
        <v>Enhanced Autopilot</v>
      </c>
      <c r="X434" t="str">
        <f>IFERROR(__xludf.DUMMYFUNCTION("""COMPUTED_VALUE"""),"Excellent")</f>
        <v>Excellent</v>
      </c>
      <c r="Y434" t="str">
        <f>IFERROR(__xludf.DUMMYFUNCTION("""COMPUTED_VALUE"""),"Excellent")</f>
        <v>Excellent</v>
      </c>
      <c r="Z434" t="str">
        <f>IFERROR(__xludf.DUMMYFUNCTION("""COMPUTED_VALUE"""),"Fair")</f>
        <v>Fair</v>
      </c>
      <c r="AA434" t="str">
        <f>IFERROR(__xludf.DUMMYFUNCTION("""COMPUTED_VALUE"""),"Poor")</f>
        <v>Poor</v>
      </c>
      <c r="AB434" t="str">
        <f>IFERROR(__xludf.DUMMYFUNCTION("""COMPUTED_VALUE"""),"Poor")</f>
        <v>Poor</v>
      </c>
      <c r="AC434">
        <f>IFERROR(__xludf.DUMMYFUNCTION("""COMPUTED_VALUE"""),3.0)</f>
        <v>3</v>
      </c>
      <c r="AD434">
        <f>IFERROR(__xludf.DUMMYFUNCTION("""COMPUTED_VALUE"""),0.0)</f>
        <v>0</v>
      </c>
      <c r="AE434">
        <f>IFERROR(__xludf.DUMMYFUNCTION("""COMPUTED_VALUE"""),0.0)</f>
        <v>0</v>
      </c>
      <c r="AG434" t="str">
        <f>IFERROR(__xludf.DUMMYFUNCTION("""COMPUTED_VALUE"""),"Mirror had a paint defect. Windows don't roll down properly. Charger has a ground fault defect.")</f>
        <v>Mirror had a paint defect. Windows don't roll down properly. Charger has a ground fault defect.</v>
      </c>
      <c r="AH434" s="189">
        <f>IFERROR(__xludf.DUMMYFUNCTION("""COMPUTED_VALUE"""),43325.31991799768)</f>
        <v>43325.31992</v>
      </c>
    </row>
    <row r="435">
      <c r="A435" t="str">
        <f>IFERROR(__xludf.DUMMYFUNCTION("""COMPUTED_VALUE"""),"tommyboy")</f>
        <v>tommyboy</v>
      </c>
      <c r="B435" t="str">
        <f>IFERROR(__xludf.DUMMYFUNCTION("""COMPUTED_VALUE"""),"Omaha")</f>
        <v>Omaha</v>
      </c>
      <c r="C435" t="str">
        <f>IFERROR(__xludf.DUMMYFUNCTION("""COMPUTED_VALUE"""),"NE")</f>
        <v>NE</v>
      </c>
      <c r="D435" t="str">
        <f>IFERROR(__xludf.DUMMYFUNCTION("""COMPUTED_VALUE"""),"USA")</f>
        <v>USA</v>
      </c>
      <c r="E435" s="188">
        <f>IFERROR(__xludf.DUMMYFUNCTION("""COMPUTED_VALUE"""),43243.0)</f>
        <v>43243</v>
      </c>
      <c r="F435" s="188">
        <f>IFERROR(__xludf.DUMMYFUNCTION("""COMPUTED_VALUE"""),43319.0)</f>
        <v>43319</v>
      </c>
      <c r="J435" s="5">
        <f>IFERROR(__xludf.DUMMYFUNCTION("""COMPUTED_VALUE"""),43323.0)</f>
        <v>43323</v>
      </c>
      <c r="K435">
        <f>IFERROR(__xludf.DUMMYFUNCTION("""COMPUTED_VALUE"""),76.0)</f>
        <v>76</v>
      </c>
      <c r="L435">
        <f>IFERROR(__xludf.DUMMYFUNCTION("""COMPUTED_VALUE"""),4.0)</f>
        <v>4</v>
      </c>
      <c r="M435">
        <f>IFERROR(__xludf.DUMMYFUNCTION("""COMPUTED_VALUE"""),80.0)</f>
        <v>80</v>
      </c>
      <c r="N435" t="str">
        <f>IFERROR(__xludf.DUMMYFUNCTION("""COMPUTED_VALUE"""),"Model 3 LR AWD")</f>
        <v>Model 3 LR AWD</v>
      </c>
      <c r="O435" t="str">
        <f>IFERROR(__xludf.DUMMYFUNCTION("""COMPUTED_VALUE"""),"Midnight Silver Metallic")</f>
        <v>Midnight Silver Metallic</v>
      </c>
      <c r="P435" t="str">
        <f>IFERROR(__xludf.DUMMYFUNCTION("""COMPUTED_VALUE"""),"18 inch Aero")</f>
        <v>18 inch Aero</v>
      </c>
      <c r="Q435" t="str">
        <f>IFERROR(__xludf.DUMMYFUNCTION("""COMPUTED_VALUE"""),"Black seats")</f>
        <v>Black seats</v>
      </c>
      <c r="R435" t="str">
        <f>IFERROR(__xludf.DUMMYFUNCTION("""COMPUTED_VALUE"""),"Enhanced Autopilot")</f>
        <v>Enhanced Autopilot</v>
      </c>
      <c r="X435" t="str">
        <f>IFERROR(__xludf.DUMMYFUNCTION("""COMPUTED_VALUE"""),"Very Good")</f>
        <v>Very Good</v>
      </c>
      <c r="Y435" t="str">
        <f>IFERROR(__xludf.DUMMYFUNCTION("""COMPUTED_VALUE"""),"Very Good")</f>
        <v>Very Good</v>
      </c>
      <c r="Z435" t="str">
        <f>IFERROR(__xludf.DUMMYFUNCTION("""COMPUTED_VALUE"""),"Very Good")</f>
        <v>Very Good</v>
      </c>
      <c r="AA435" t="str">
        <f>IFERROR(__xludf.DUMMYFUNCTION("""COMPUTED_VALUE"""),"Poor")</f>
        <v>Poor</v>
      </c>
      <c r="AB435" t="str">
        <f>IFERROR(__xludf.DUMMYFUNCTION("""COMPUTED_VALUE"""),"Very Good")</f>
        <v>Very Good</v>
      </c>
      <c r="AC435">
        <f>IFERROR(__xludf.DUMMYFUNCTION("""COMPUTED_VALUE"""),4.0)</f>
        <v>4</v>
      </c>
      <c r="AG435" t="str">
        <f>IFERROR(__xludf.DUMMYFUNCTION("""COMPUTED_VALUE"""),"AWD")</f>
        <v>AWD</v>
      </c>
      <c r="AH435" s="189">
        <f>IFERROR(__xludf.DUMMYFUNCTION("""COMPUTED_VALUE"""),43325.36218748843)</f>
        <v>43325.36219</v>
      </c>
    </row>
    <row r="436">
      <c r="A436" t="str">
        <f>IFERROR(__xludf.DUMMYFUNCTION("""COMPUTED_VALUE"""),"Donnenberg")</f>
        <v>Donnenberg</v>
      </c>
      <c r="B436" t="str">
        <f>IFERROR(__xludf.DUMMYFUNCTION("""COMPUTED_VALUE"""),"Baltimore")</f>
        <v>Baltimore</v>
      </c>
      <c r="C436" t="str">
        <f>IFERROR(__xludf.DUMMYFUNCTION("""COMPUTED_VALUE"""),"MD")</f>
        <v>MD</v>
      </c>
      <c r="D436" t="str">
        <f>IFERROR(__xludf.DUMMYFUNCTION("""COMPUTED_VALUE"""),"USA")</f>
        <v>USA</v>
      </c>
      <c r="E436" s="188">
        <f>IFERROR(__xludf.DUMMYFUNCTION("""COMPUTED_VALUE"""),43279.0)</f>
        <v>43279</v>
      </c>
      <c r="F436" s="188">
        <f>IFERROR(__xludf.DUMMYFUNCTION("""COMPUTED_VALUE"""),43283.0)</f>
        <v>43283</v>
      </c>
      <c r="H436">
        <f>IFERROR(__xludf.DUMMYFUNCTION("""COMPUTED_VALUE"""),30892.0)</f>
        <v>30892</v>
      </c>
      <c r="I436" t="str">
        <f>IFERROR(__xludf.DUMMYFUNCTION("""COMPUTED_VALUE"""),"06/18")</f>
        <v>06/18</v>
      </c>
      <c r="J436" s="5">
        <f>IFERROR(__xludf.DUMMYFUNCTION("""COMPUTED_VALUE"""),43295.0)</f>
        <v>43295</v>
      </c>
      <c r="K436">
        <f>IFERROR(__xludf.DUMMYFUNCTION("""COMPUTED_VALUE"""),4.0)</f>
        <v>4</v>
      </c>
      <c r="L436">
        <f>IFERROR(__xludf.DUMMYFUNCTION("""COMPUTED_VALUE"""),12.0)</f>
        <v>12</v>
      </c>
      <c r="M436">
        <f>IFERROR(__xludf.DUMMYFUNCTION("""COMPUTED_VALUE"""),16.0)</f>
        <v>16</v>
      </c>
      <c r="N436" t="str">
        <f>IFERROR(__xludf.DUMMYFUNCTION("""COMPUTED_VALUE"""),"Model 3 LR")</f>
        <v>Model 3 LR</v>
      </c>
      <c r="O436" t="str">
        <f>IFERROR(__xludf.DUMMYFUNCTION("""COMPUTED_VALUE"""),"Deep Blue Metallic")</f>
        <v>Deep Blue Metallic</v>
      </c>
      <c r="P436" t="str">
        <f>IFERROR(__xludf.DUMMYFUNCTION("""COMPUTED_VALUE"""),"18 inch Aero")</f>
        <v>18 inch Aero</v>
      </c>
      <c r="Q436" t="str">
        <f>IFERROR(__xludf.DUMMYFUNCTION("""COMPUTED_VALUE"""),"Black seats")</f>
        <v>Black seats</v>
      </c>
      <c r="R436" t="str">
        <f>IFERROR(__xludf.DUMMYFUNCTION("""COMPUTED_VALUE"""),"Enhanced Autopilot")</f>
        <v>Enhanced Autopilot</v>
      </c>
      <c r="X436" t="str">
        <f>IFERROR(__xludf.DUMMYFUNCTION("""COMPUTED_VALUE"""),"Excellent")</f>
        <v>Excellent</v>
      </c>
      <c r="Y436" t="str">
        <f>IFERROR(__xludf.DUMMYFUNCTION("""COMPUTED_VALUE"""),"Excellent")</f>
        <v>Excellent</v>
      </c>
      <c r="Z436" t="str">
        <f>IFERROR(__xludf.DUMMYFUNCTION("""COMPUTED_VALUE"""),"Excellent")</f>
        <v>Excellent</v>
      </c>
      <c r="AA436" t="str">
        <f>IFERROR(__xludf.DUMMYFUNCTION("""COMPUTED_VALUE"""),"Poor")</f>
        <v>Poor</v>
      </c>
      <c r="AB436" t="str">
        <f>IFERROR(__xludf.DUMMYFUNCTION("""COMPUTED_VALUE"""),"Poor")</f>
        <v>Poor</v>
      </c>
      <c r="AC436">
        <f>IFERROR(__xludf.DUMMYFUNCTION("""COMPUTED_VALUE"""),2.0)</f>
        <v>2</v>
      </c>
      <c r="AD436">
        <f>IFERROR(__xludf.DUMMYFUNCTION("""COMPUTED_VALUE"""),1.0)</f>
        <v>1</v>
      </c>
      <c r="AE436">
        <f>IFERROR(__xludf.DUMMYFUNCTION("""COMPUTED_VALUE"""),28.0)</f>
        <v>28</v>
      </c>
      <c r="AG436" t="str">
        <f>IFERROR(__xludf.DUMMYFUNCTION("""COMPUTED_VALUE"""),"The car needed body work because of damage during transit. Then, after it was back, they noticed it was missing a VIN sticker. They had it 28 days after I had paid for it before I received it. Communication was terrible, unanswered emails and unreturned p"&amp;"hone calls, misinformation. ")</f>
        <v>The car needed body work because of damage during transit. Then, after it was back, they noticed it was missing a VIN sticker. They had it 28 days after I had paid for it before I received it. Communication was terrible, unanswered emails and unreturned phone calls, misinformation. </v>
      </c>
      <c r="AH436" s="189">
        <f>IFERROR(__xludf.DUMMYFUNCTION("""COMPUTED_VALUE"""),43325.38711347222)</f>
        <v>43325.38711</v>
      </c>
    </row>
    <row r="437">
      <c r="A437" t="str">
        <f>IFERROR(__xludf.DUMMYFUNCTION("""COMPUTED_VALUE"""),"njchillie")</f>
        <v>njchillie</v>
      </c>
      <c r="B437" t="str">
        <f>IFERROR(__xludf.DUMMYFUNCTION("""COMPUTED_VALUE"""),"Devon")</f>
        <v>Devon</v>
      </c>
      <c r="C437" t="str">
        <f>IFERROR(__xludf.DUMMYFUNCTION("""COMPUTED_VALUE"""),"PA")</f>
        <v>PA</v>
      </c>
      <c r="D437" t="str">
        <f>IFERROR(__xludf.DUMMYFUNCTION("""COMPUTED_VALUE"""),"USA")</f>
        <v>USA</v>
      </c>
      <c r="E437" s="188">
        <f>IFERROR(__xludf.DUMMYFUNCTION("""COMPUTED_VALUE"""),43240.0)</f>
        <v>43240</v>
      </c>
      <c r="F437" s="188">
        <f>IFERROR(__xludf.DUMMYFUNCTION("""COMPUTED_VALUE"""),43300.0)</f>
        <v>43300</v>
      </c>
      <c r="H437">
        <f>IFERROR(__xludf.DUMMYFUNCTION("""COMPUTED_VALUE"""),54555.0)</f>
        <v>54555</v>
      </c>
      <c r="I437" t="str">
        <f>IFERROR(__xludf.DUMMYFUNCTION("""COMPUTED_VALUE"""),"07/18")</f>
        <v>07/18</v>
      </c>
      <c r="J437" s="5">
        <f>IFERROR(__xludf.DUMMYFUNCTION("""COMPUTED_VALUE"""),43322.0)</f>
        <v>43322</v>
      </c>
      <c r="K437">
        <f>IFERROR(__xludf.DUMMYFUNCTION("""COMPUTED_VALUE"""),60.0)</f>
        <v>60</v>
      </c>
      <c r="L437">
        <f>IFERROR(__xludf.DUMMYFUNCTION("""COMPUTED_VALUE"""),22.0)</f>
        <v>22</v>
      </c>
      <c r="M437">
        <f>IFERROR(__xludf.DUMMYFUNCTION("""COMPUTED_VALUE"""),82.0)</f>
        <v>82</v>
      </c>
      <c r="N437" t="str">
        <f>IFERROR(__xludf.DUMMYFUNCTION("""COMPUTED_VALUE"""),"Model 3 LR AWD")</f>
        <v>Model 3 LR AWD</v>
      </c>
      <c r="O437" t="str">
        <f>IFERROR(__xludf.DUMMYFUNCTION("""COMPUTED_VALUE"""),"Red Multi-Coat")</f>
        <v>Red Multi-Coat</v>
      </c>
      <c r="P437" t="str">
        <f>IFERROR(__xludf.DUMMYFUNCTION("""COMPUTED_VALUE"""),"18 inch Aero")</f>
        <v>18 inch Aero</v>
      </c>
      <c r="Q437" t="str">
        <f>IFERROR(__xludf.DUMMYFUNCTION("""COMPUTED_VALUE"""),"Black seats")</f>
        <v>Black seats</v>
      </c>
      <c r="R437" t="str">
        <f>IFERROR(__xludf.DUMMYFUNCTION("""COMPUTED_VALUE"""),"None")</f>
        <v>None</v>
      </c>
      <c r="X437" t="str">
        <f>IFERROR(__xludf.DUMMYFUNCTION("""COMPUTED_VALUE"""),"Fair")</f>
        <v>Fair</v>
      </c>
      <c r="Y437" t="str">
        <f>IFERROR(__xludf.DUMMYFUNCTION("""COMPUTED_VALUE"""),"Very Good")</f>
        <v>Very Good</v>
      </c>
      <c r="Z437" t="str">
        <f>IFERROR(__xludf.DUMMYFUNCTION("""COMPUTED_VALUE"""),"Fair")</f>
        <v>Fair</v>
      </c>
      <c r="AA437" t="str">
        <f>IFERROR(__xludf.DUMMYFUNCTION("""COMPUTED_VALUE"""),"Excellent")</f>
        <v>Excellent</v>
      </c>
      <c r="AB437" t="str">
        <f>IFERROR(__xludf.DUMMYFUNCTION("""COMPUTED_VALUE"""),"Fair")</f>
        <v>Fair</v>
      </c>
      <c r="AG437" t="str">
        <f>IFERROR(__xludf.DUMMYFUNCTION("""COMPUTED_VALUE"""),"Gave up on white interior option when AWD became orderable")</f>
        <v>Gave up on white interior option when AWD became orderable</v>
      </c>
      <c r="AH437" s="189">
        <f>IFERROR(__xludf.DUMMYFUNCTION("""COMPUTED_VALUE"""),43325.489639907406)</f>
        <v>43325.48964</v>
      </c>
    </row>
    <row r="438">
      <c r="A438" t="str">
        <f>IFERROR(__xludf.DUMMYFUNCTION("""COMPUTED_VALUE"""),"tmlowe")</f>
        <v>tmlowe</v>
      </c>
      <c r="B438" t="str">
        <f>IFERROR(__xludf.DUMMYFUNCTION("""COMPUTED_VALUE"""),"San Jose")</f>
        <v>San Jose</v>
      </c>
      <c r="C438" t="str">
        <f>IFERROR(__xludf.DUMMYFUNCTION("""COMPUTED_VALUE"""),"CA")</f>
        <v>CA</v>
      </c>
      <c r="D438" t="str">
        <f>IFERROR(__xludf.DUMMYFUNCTION("""COMPUTED_VALUE"""),"USA")</f>
        <v>USA</v>
      </c>
      <c r="E438" s="188">
        <f>IFERROR(__xludf.DUMMYFUNCTION("""COMPUTED_VALUE"""),43301.0)</f>
        <v>43301</v>
      </c>
      <c r="F438" s="188">
        <f>IFERROR(__xludf.DUMMYFUNCTION("""COMPUTED_VALUE"""),43311.0)</f>
        <v>43311</v>
      </c>
      <c r="H438">
        <f>IFERROR(__xludf.DUMMYFUNCTION("""COMPUTED_VALUE"""),41455.0)</f>
        <v>41455</v>
      </c>
      <c r="I438" t="str">
        <f>IFERROR(__xludf.DUMMYFUNCTION("""COMPUTED_VALUE"""),"06/18")</f>
        <v>06/18</v>
      </c>
      <c r="J438" s="5">
        <f>IFERROR(__xludf.DUMMYFUNCTION("""COMPUTED_VALUE"""),43315.0)</f>
        <v>43315</v>
      </c>
      <c r="K438">
        <f>IFERROR(__xludf.DUMMYFUNCTION("""COMPUTED_VALUE"""),10.0)</f>
        <v>10</v>
      </c>
      <c r="L438">
        <f>IFERROR(__xludf.DUMMYFUNCTION("""COMPUTED_VALUE"""),4.0)</f>
        <v>4</v>
      </c>
      <c r="M438">
        <f>IFERROR(__xludf.DUMMYFUNCTION("""COMPUTED_VALUE"""),14.0)</f>
        <v>14</v>
      </c>
      <c r="N438" t="str">
        <f>IFERROR(__xludf.DUMMYFUNCTION("""COMPUTED_VALUE"""),"Model 3 LR")</f>
        <v>Model 3 LR</v>
      </c>
      <c r="O438" t="str">
        <f>IFERROR(__xludf.DUMMYFUNCTION("""COMPUTED_VALUE"""),"Deep Blue Metallic")</f>
        <v>Deep Blue Metallic</v>
      </c>
      <c r="P438" t="str">
        <f>IFERROR(__xludf.DUMMYFUNCTION("""COMPUTED_VALUE"""),"18 inch Aero")</f>
        <v>18 inch Aero</v>
      </c>
      <c r="Q438" t="str">
        <f>IFERROR(__xludf.DUMMYFUNCTION("""COMPUTED_VALUE"""),"Black seats")</f>
        <v>Black seats</v>
      </c>
      <c r="R438" t="str">
        <f>IFERROR(__xludf.DUMMYFUNCTION("""COMPUTED_VALUE"""),"Enhanced Autopilot")</f>
        <v>Enhanced Autopilot</v>
      </c>
      <c r="X438" t="str">
        <f>IFERROR(__xludf.DUMMYFUNCTION("""COMPUTED_VALUE"""),"Excellent")</f>
        <v>Excellent</v>
      </c>
      <c r="Y438" t="str">
        <f>IFERROR(__xludf.DUMMYFUNCTION("""COMPUTED_VALUE"""),"Excellent")</f>
        <v>Excellent</v>
      </c>
      <c r="Z438" t="str">
        <f>IFERROR(__xludf.DUMMYFUNCTION("""COMPUTED_VALUE"""),"Excellent")</f>
        <v>Excellent</v>
      </c>
      <c r="AA438" t="str">
        <f>IFERROR(__xludf.DUMMYFUNCTION("""COMPUTED_VALUE"""),"Excellent")</f>
        <v>Excellent</v>
      </c>
      <c r="AB438" t="str">
        <f>IFERROR(__xludf.DUMMYFUNCTION("""COMPUTED_VALUE"""),"Excellent")</f>
        <v>Excellent</v>
      </c>
      <c r="AC438">
        <f>IFERROR(__xludf.DUMMYFUNCTION("""COMPUTED_VALUE"""),0.0)</f>
        <v>0</v>
      </c>
      <c r="AG438" t="str">
        <f>IFERROR(__xludf.DUMMYFUNCTION("""COMPUTED_VALUE"""),"Great experience!  Jumped in line, only waited one week after reserving car to get notice it was ready (lucky?)")</f>
        <v>Great experience!  Jumped in line, only waited one week after reserving car to get notice it was ready (lucky?)</v>
      </c>
      <c r="AH438" s="189">
        <f>IFERROR(__xludf.DUMMYFUNCTION("""COMPUTED_VALUE"""),43325.571524074076)</f>
        <v>43325.57152</v>
      </c>
    </row>
    <row r="439">
      <c r="A439" t="str">
        <f>IFERROR(__xludf.DUMMYFUNCTION("""COMPUTED_VALUE"""),"oniichansugoi")</f>
        <v>oniichansugoi</v>
      </c>
      <c r="C439" t="str">
        <f>IFERROR(__xludf.DUMMYFUNCTION("""COMPUTED_VALUE"""),"WA")</f>
        <v>WA</v>
      </c>
      <c r="D439" t="str">
        <f>IFERROR(__xludf.DUMMYFUNCTION("""COMPUTED_VALUE"""),"USA")</f>
        <v>USA</v>
      </c>
      <c r="E439" s="188">
        <f>IFERROR(__xludf.DUMMYFUNCTION("""COMPUTED_VALUE"""),43281.0)</f>
        <v>43281</v>
      </c>
      <c r="F439" s="188">
        <f>IFERROR(__xludf.DUMMYFUNCTION("""COMPUTED_VALUE"""),43298.0)</f>
        <v>43298</v>
      </c>
      <c r="H439">
        <f>IFERROR(__xludf.DUMMYFUNCTION("""COMPUTED_VALUE"""),35425.0)</f>
        <v>35425</v>
      </c>
      <c r="J439" s="5">
        <f>IFERROR(__xludf.DUMMYFUNCTION("""COMPUTED_VALUE"""),43312.0)</f>
        <v>43312</v>
      </c>
      <c r="K439">
        <f>IFERROR(__xludf.DUMMYFUNCTION("""COMPUTED_VALUE"""),17.0)</f>
        <v>17</v>
      </c>
      <c r="L439">
        <f>IFERROR(__xludf.DUMMYFUNCTION("""COMPUTED_VALUE"""),14.0)</f>
        <v>14</v>
      </c>
      <c r="M439">
        <f>IFERROR(__xludf.DUMMYFUNCTION("""COMPUTED_VALUE"""),31.0)</f>
        <v>31</v>
      </c>
      <c r="N439" t="str">
        <f>IFERROR(__xludf.DUMMYFUNCTION("""COMPUTED_VALUE"""),"Model 3 LR")</f>
        <v>Model 3 LR</v>
      </c>
      <c r="O439" t="str">
        <f>IFERROR(__xludf.DUMMYFUNCTION("""COMPUTED_VALUE"""),"Solid Black")</f>
        <v>Solid Black</v>
      </c>
      <c r="P439" t="str">
        <f>IFERROR(__xludf.DUMMYFUNCTION("""COMPUTED_VALUE"""),"18 inch Aero")</f>
        <v>18 inch Aero</v>
      </c>
      <c r="Q439" t="str">
        <f>IFERROR(__xludf.DUMMYFUNCTION("""COMPUTED_VALUE"""),"Black seats")</f>
        <v>Black seats</v>
      </c>
      <c r="R439" t="str">
        <f>IFERROR(__xludf.DUMMYFUNCTION("""COMPUTED_VALUE"""),"None")</f>
        <v>None</v>
      </c>
      <c r="X439" t="str">
        <f>IFERROR(__xludf.DUMMYFUNCTION("""COMPUTED_VALUE"""),"Excellent")</f>
        <v>Excellent</v>
      </c>
      <c r="Y439" t="str">
        <f>IFERROR(__xludf.DUMMYFUNCTION("""COMPUTED_VALUE"""),"Very Good")</f>
        <v>Very Good</v>
      </c>
      <c r="Z439" t="str">
        <f>IFERROR(__xludf.DUMMYFUNCTION("""COMPUTED_VALUE"""),"Very Good")</f>
        <v>Very Good</v>
      </c>
      <c r="AA439" t="str">
        <f>IFERROR(__xludf.DUMMYFUNCTION("""COMPUTED_VALUE"""),"Very Good")</f>
        <v>Very Good</v>
      </c>
      <c r="AB439" t="str">
        <f>IFERROR(__xludf.DUMMYFUNCTION("""COMPUTED_VALUE"""),"Very Good")</f>
        <v>Very Good</v>
      </c>
      <c r="AC439">
        <f>IFERROR(__xludf.DUMMYFUNCTION("""COMPUTED_VALUE"""),0.0)</f>
        <v>0</v>
      </c>
      <c r="AH439" s="189">
        <f>IFERROR(__xludf.DUMMYFUNCTION("""COMPUTED_VALUE"""),43325.73519900463)</f>
        <v>43325.7352</v>
      </c>
    </row>
    <row r="440">
      <c r="A440" t="str">
        <f>IFERROR(__xludf.DUMMYFUNCTION("""COMPUTED_VALUE"""),"JeffJ")</f>
        <v>JeffJ</v>
      </c>
      <c r="B440" t="str">
        <f>IFERROR(__xludf.DUMMYFUNCTION("""COMPUTED_VALUE"""),"Nashville, TN")</f>
        <v>Nashville, TN</v>
      </c>
      <c r="C440" t="str">
        <f>IFERROR(__xludf.DUMMYFUNCTION("""COMPUTED_VALUE"""),"TN")</f>
        <v>TN</v>
      </c>
      <c r="D440" t="str">
        <f>IFERROR(__xludf.DUMMYFUNCTION("""COMPUTED_VALUE"""),"USA")</f>
        <v>USA</v>
      </c>
      <c r="E440" s="188">
        <f>IFERROR(__xludf.DUMMYFUNCTION("""COMPUTED_VALUE"""),43300.0)</f>
        <v>43300</v>
      </c>
      <c r="F440" s="188">
        <f>IFERROR(__xludf.DUMMYFUNCTION("""COMPUTED_VALUE"""),43303.0)</f>
        <v>43303</v>
      </c>
      <c r="H440">
        <f>IFERROR(__xludf.DUMMYFUNCTION("""COMPUTED_VALUE"""),52355.0)</f>
        <v>52355</v>
      </c>
      <c r="J440" s="5">
        <f>IFERROR(__xludf.DUMMYFUNCTION("""COMPUTED_VALUE"""),43319.0)</f>
        <v>43319</v>
      </c>
      <c r="K440">
        <f>IFERROR(__xludf.DUMMYFUNCTION("""COMPUTED_VALUE"""),3.0)</f>
        <v>3</v>
      </c>
      <c r="L440">
        <f>IFERROR(__xludf.DUMMYFUNCTION("""COMPUTED_VALUE"""),16.0)</f>
        <v>16</v>
      </c>
      <c r="M440">
        <f>IFERROR(__xludf.DUMMYFUNCTION("""COMPUTED_VALUE"""),19.0)</f>
        <v>19</v>
      </c>
      <c r="N440" t="str">
        <f>IFERROR(__xludf.DUMMYFUNCTION("""COMPUTED_VALUE"""),"Model 3 LR")</f>
        <v>Model 3 LR</v>
      </c>
      <c r="O440" t="str">
        <f>IFERROR(__xludf.DUMMYFUNCTION("""COMPUTED_VALUE"""),"Red Multi-Coat")</f>
        <v>Red Multi-Coat</v>
      </c>
      <c r="P440" t="str">
        <f>IFERROR(__xludf.DUMMYFUNCTION("""COMPUTED_VALUE"""),"18 inch Aero")</f>
        <v>18 inch Aero</v>
      </c>
      <c r="Q440" t="str">
        <f>IFERROR(__xludf.DUMMYFUNCTION("""COMPUTED_VALUE"""),"Black seats")</f>
        <v>Black seats</v>
      </c>
      <c r="R440" t="str">
        <f>IFERROR(__xludf.DUMMYFUNCTION("""COMPUTED_VALUE"""),"Enhanced Autopilot")</f>
        <v>Enhanced Autopilot</v>
      </c>
      <c r="X440" t="str">
        <f>IFERROR(__xludf.DUMMYFUNCTION("""COMPUTED_VALUE"""),"Excellent")</f>
        <v>Excellent</v>
      </c>
      <c r="Y440" t="str">
        <f>IFERROR(__xludf.DUMMYFUNCTION("""COMPUTED_VALUE"""),"Excellent")</f>
        <v>Excellent</v>
      </c>
      <c r="Z440" t="str">
        <f>IFERROR(__xludf.DUMMYFUNCTION("""COMPUTED_VALUE"""),"Excellent")</f>
        <v>Excellent</v>
      </c>
      <c r="AA440" t="str">
        <f>IFERROR(__xludf.DUMMYFUNCTION("""COMPUTED_VALUE"""),"Very Good")</f>
        <v>Very Good</v>
      </c>
      <c r="AB440" t="str">
        <f>IFERROR(__xludf.DUMMYFUNCTION("""COMPUTED_VALUE"""),"Very Good")</f>
        <v>Very Good</v>
      </c>
      <c r="AH440" s="189">
        <f>IFERROR(__xludf.DUMMYFUNCTION("""COMPUTED_VALUE"""),43325.7872909838)</f>
        <v>43325.78729</v>
      </c>
    </row>
    <row r="441">
      <c r="A441" t="str">
        <f>IFERROR(__xludf.DUMMYFUNCTION("""COMPUTED_VALUE"""),"brobison")</f>
        <v>brobison</v>
      </c>
      <c r="B441" t="str">
        <f>IFERROR(__xludf.DUMMYFUNCTION("""COMPUTED_VALUE"""),"San Antonio")</f>
        <v>San Antonio</v>
      </c>
      <c r="C441" t="str">
        <f>IFERROR(__xludf.DUMMYFUNCTION("""COMPUTED_VALUE"""),"TX")</f>
        <v>TX</v>
      </c>
      <c r="D441" t="str">
        <f>IFERROR(__xludf.DUMMYFUNCTION("""COMPUTED_VALUE"""),"USA")</f>
        <v>USA</v>
      </c>
      <c r="E441" s="188">
        <f>IFERROR(__xludf.DUMMYFUNCTION("""COMPUTED_VALUE"""),43280.0)</f>
        <v>43280</v>
      </c>
      <c r="F441" s="188">
        <f>IFERROR(__xludf.DUMMYFUNCTION("""COMPUTED_VALUE"""),43301.0)</f>
        <v>43301</v>
      </c>
      <c r="H441">
        <f>IFERROR(__xludf.DUMMYFUNCTION("""COMPUTED_VALUE"""),30832.0)</f>
        <v>30832</v>
      </c>
      <c r="I441" t="str">
        <f>IFERROR(__xludf.DUMMYFUNCTION("""COMPUTED_VALUE"""),"06/18")</f>
        <v>06/18</v>
      </c>
      <c r="J441" s="5">
        <f>IFERROR(__xludf.DUMMYFUNCTION("""COMPUTED_VALUE"""),43323.0)</f>
        <v>43323</v>
      </c>
      <c r="K441">
        <f>IFERROR(__xludf.DUMMYFUNCTION("""COMPUTED_VALUE"""),21.0)</f>
        <v>21</v>
      </c>
      <c r="L441">
        <f>IFERROR(__xludf.DUMMYFUNCTION("""COMPUTED_VALUE"""),22.0)</f>
        <v>22</v>
      </c>
      <c r="M441">
        <f>IFERROR(__xludf.DUMMYFUNCTION("""COMPUTED_VALUE"""),43.0)</f>
        <v>43</v>
      </c>
      <c r="N441" t="str">
        <f>IFERROR(__xludf.DUMMYFUNCTION("""COMPUTED_VALUE"""),"Model 3 LR")</f>
        <v>Model 3 LR</v>
      </c>
      <c r="O441" t="str">
        <f>IFERROR(__xludf.DUMMYFUNCTION("""COMPUTED_VALUE"""),"Deep Blue Metallic")</f>
        <v>Deep Blue Metallic</v>
      </c>
      <c r="P441" t="str">
        <f>IFERROR(__xludf.DUMMYFUNCTION("""COMPUTED_VALUE"""),"18 inch Aero")</f>
        <v>18 inch Aero</v>
      </c>
      <c r="Q441" t="str">
        <f>IFERROR(__xludf.DUMMYFUNCTION("""COMPUTED_VALUE"""),"Black seats")</f>
        <v>Black seats</v>
      </c>
      <c r="R441" t="str">
        <f>IFERROR(__xludf.DUMMYFUNCTION("""COMPUTED_VALUE"""),"None")</f>
        <v>None</v>
      </c>
      <c r="X441" t="str">
        <f>IFERROR(__xludf.DUMMYFUNCTION("""COMPUTED_VALUE"""),"Excellent")</f>
        <v>Excellent</v>
      </c>
      <c r="Y441" t="str">
        <f>IFERROR(__xludf.DUMMYFUNCTION("""COMPUTED_VALUE"""),"Excellent")</f>
        <v>Excellent</v>
      </c>
      <c r="Z441" t="str">
        <f>IFERROR(__xludf.DUMMYFUNCTION("""COMPUTED_VALUE"""),"Excellent")</f>
        <v>Excellent</v>
      </c>
      <c r="AA441" t="str">
        <f>IFERROR(__xludf.DUMMYFUNCTION("""COMPUTED_VALUE"""),"Good")</f>
        <v>Good</v>
      </c>
      <c r="AB441" t="str">
        <f>IFERROR(__xludf.DUMMYFUNCTION("""COMPUTED_VALUE"""),"Good")</f>
        <v>Good</v>
      </c>
      <c r="AH441" s="189">
        <f>IFERROR(__xludf.DUMMYFUNCTION("""COMPUTED_VALUE"""),43326.21263083333)</f>
        <v>43326.21263</v>
      </c>
    </row>
    <row r="442">
      <c r="A442" t="str">
        <f>IFERROR(__xludf.DUMMYFUNCTION("""COMPUTED_VALUE"""),"snheckel")</f>
        <v>snheckel</v>
      </c>
      <c r="C442" t="str">
        <f>IFERROR(__xludf.DUMMYFUNCTION("""COMPUTED_VALUE"""),"MD")</f>
        <v>MD</v>
      </c>
      <c r="D442" t="str">
        <f>IFERROR(__xludf.DUMMYFUNCTION("""COMPUTED_VALUE"""),"USA")</f>
        <v>USA</v>
      </c>
      <c r="E442" s="188">
        <f>IFERROR(__xludf.DUMMYFUNCTION("""COMPUTED_VALUE"""),43246.0)</f>
        <v>43246</v>
      </c>
      <c r="F442" s="188">
        <f>IFERROR(__xludf.DUMMYFUNCTION("""COMPUTED_VALUE"""),43298.0)</f>
        <v>43298</v>
      </c>
      <c r="H442">
        <f>IFERROR(__xludf.DUMMYFUNCTION("""COMPUTED_VALUE"""),54655.0)</f>
        <v>54655</v>
      </c>
      <c r="J442" s="5">
        <f>IFERROR(__xludf.DUMMYFUNCTION("""COMPUTED_VALUE"""),43320.0)</f>
        <v>43320</v>
      </c>
      <c r="K442">
        <f>IFERROR(__xludf.DUMMYFUNCTION("""COMPUTED_VALUE"""),52.0)</f>
        <v>52</v>
      </c>
      <c r="L442">
        <f>IFERROR(__xludf.DUMMYFUNCTION("""COMPUTED_VALUE"""),22.0)</f>
        <v>22</v>
      </c>
      <c r="M442">
        <f>IFERROR(__xludf.DUMMYFUNCTION("""COMPUTED_VALUE"""),74.0)</f>
        <v>74</v>
      </c>
      <c r="N442" t="str">
        <f>IFERROR(__xludf.DUMMYFUNCTION("""COMPUTED_VALUE"""),"Model 3 LR AWD")</f>
        <v>Model 3 LR AWD</v>
      </c>
      <c r="O442" t="str">
        <f>IFERROR(__xludf.DUMMYFUNCTION("""COMPUTED_VALUE"""),"Pearl White Multi-Coat")</f>
        <v>Pearl White Multi-Coat</v>
      </c>
      <c r="P442" t="str">
        <f>IFERROR(__xludf.DUMMYFUNCTION("""COMPUTED_VALUE"""),"18 inch Aero")</f>
        <v>18 inch Aero</v>
      </c>
      <c r="Q442" t="str">
        <f>IFERROR(__xludf.DUMMYFUNCTION("""COMPUTED_VALUE"""),"Black seats")</f>
        <v>Black seats</v>
      </c>
      <c r="R442" t="str">
        <f>IFERROR(__xludf.DUMMYFUNCTION("""COMPUTED_VALUE"""),"Enhanced Autopilot")</f>
        <v>Enhanced Autopilot</v>
      </c>
      <c r="X442" t="str">
        <f>IFERROR(__xludf.DUMMYFUNCTION("""COMPUTED_VALUE"""),"Excellent")</f>
        <v>Excellent</v>
      </c>
      <c r="Y442" t="str">
        <f>IFERROR(__xludf.DUMMYFUNCTION("""COMPUTED_VALUE"""),"Excellent")</f>
        <v>Excellent</v>
      </c>
      <c r="Z442" t="str">
        <f>IFERROR(__xludf.DUMMYFUNCTION("""COMPUTED_VALUE"""),"Good")</f>
        <v>Good</v>
      </c>
      <c r="AA442" t="str">
        <f>IFERROR(__xludf.DUMMYFUNCTION("""COMPUTED_VALUE"""),"Excellent")</f>
        <v>Excellent</v>
      </c>
      <c r="AB442" t="str">
        <f>IFERROR(__xludf.DUMMYFUNCTION("""COMPUTED_VALUE"""),"Poor")</f>
        <v>Poor</v>
      </c>
      <c r="AC442">
        <f>IFERROR(__xludf.DUMMYFUNCTION("""COMPUTED_VALUE"""),2.0)</f>
        <v>2</v>
      </c>
      <c r="AH442" s="189">
        <f>IFERROR(__xludf.DUMMYFUNCTION("""COMPUTED_VALUE"""),43326.44175479167)</f>
        <v>43326.44175</v>
      </c>
    </row>
    <row r="443">
      <c r="A443" t="str">
        <f>IFERROR(__xludf.DUMMYFUNCTION("""COMPUTED_VALUE"""),"iChris93")</f>
        <v>iChris93</v>
      </c>
      <c r="B443" t="str">
        <f>IFERROR(__xludf.DUMMYFUNCTION("""COMPUTED_VALUE"""),"Ann Arbor")</f>
        <v>Ann Arbor</v>
      </c>
      <c r="C443" t="str">
        <f>IFERROR(__xludf.DUMMYFUNCTION("""COMPUTED_VALUE"""),"MI")</f>
        <v>MI</v>
      </c>
      <c r="D443" t="str">
        <f>IFERROR(__xludf.DUMMYFUNCTION("""COMPUTED_VALUE"""),"USA")</f>
        <v>USA</v>
      </c>
      <c r="E443" s="188">
        <f>IFERROR(__xludf.DUMMYFUNCTION("""COMPUTED_VALUE"""),43278.0)</f>
        <v>43278</v>
      </c>
      <c r="F443" s="188">
        <f>IFERROR(__xludf.DUMMYFUNCTION("""COMPUTED_VALUE"""),43284.0)</f>
        <v>43284</v>
      </c>
      <c r="H443">
        <f>IFERROR(__xludf.DUMMYFUNCTION("""COMPUTED_VALUE"""),37455.0)</f>
        <v>37455</v>
      </c>
      <c r="I443" t="str">
        <f>IFERROR(__xludf.DUMMYFUNCTION("""COMPUTED_VALUE"""),"06/18")</f>
        <v>06/18</v>
      </c>
      <c r="J443" s="5">
        <f>IFERROR(__xludf.DUMMYFUNCTION("""COMPUTED_VALUE"""),43306.0)</f>
        <v>43306</v>
      </c>
      <c r="K443">
        <f>IFERROR(__xludf.DUMMYFUNCTION("""COMPUTED_VALUE"""),6.0)</f>
        <v>6</v>
      </c>
      <c r="L443">
        <f>IFERROR(__xludf.DUMMYFUNCTION("""COMPUTED_VALUE"""),22.0)</f>
        <v>22</v>
      </c>
      <c r="M443">
        <f>IFERROR(__xludf.DUMMYFUNCTION("""COMPUTED_VALUE"""),28.0)</f>
        <v>28</v>
      </c>
      <c r="N443" t="str">
        <f>IFERROR(__xludf.DUMMYFUNCTION("""COMPUTED_VALUE"""),"Model 3 LR")</f>
        <v>Model 3 LR</v>
      </c>
      <c r="O443" t="str">
        <f>IFERROR(__xludf.DUMMYFUNCTION("""COMPUTED_VALUE"""),"Midnight Silver Metallic")</f>
        <v>Midnight Silver Metallic</v>
      </c>
      <c r="P443" t="str">
        <f>IFERROR(__xludf.DUMMYFUNCTION("""COMPUTED_VALUE"""),"18 inch Aero")</f>
        <v>18 inch Aero</v>
      </c>
      <c r="Q443" t="str">
        <f>IFERROR(__xludf.DUMMYFUNCTION("""COMPUTED_VALUE"""),"Black seats")</f>
        <v>Black seats</v>
      </c>
      <c r="R443" t="str">
        <f>IFERROR(__xludf.DUMMYFUNCTION("""COMPUTED_VALUE"""),"Full Self-Driving")</f>
        <v>Full Self-Driving</v>
      </c>
      <c r="X443" t="str">
        <f>IFERROR(__xludf.DUMMYFUNCTION("""COMPUTED_VALUE"""),"Very Good")</f>
        <v>Very Good</v>
      </c>
      <c r="Y443" t="str">
        <f>IFERROR(__xludf.DUMMYFUNCTION("""COMPUTED_VALUE"""),"Very Good")</f>
        <v>Very Good</v>
      </c>
      <c r="Z443" t="str">
        <f>IFERROR(__xludf.DUMMYFUNCTION("""COMPUTED_VALUE"""),"Excellent")</f>
        <v>Excellent</v>
      </c>
      <c r="AA443" t="str">
        <f>IFERROR(__xludf.DUMMYFUNCTION("""COMPUTED_VALUE"""),"Good")</f>
        <v>Good</v>
      </c>
      <c r="AB443" t="str">
        <f>IFERROR(__xludf.DUMMYFUNCTION("""COMPUTED_VALUE"""),"Good")</f>
        <v>Good</v>
      </c>
      <c r="AC443">
        <f>IFERROR(__xludf.DUMMYFUNCTION("""COMPUTED_VALUE"""),2.0)</f>
        <v>2</v>
      </c>
      <c r="AD443">
        <f>IFERROR(__xludf.DUMMYFUNCTION("""COMPUTED_VALUE"""),1.0)</f>
        <v>1</v>
      </c>
      <c r="AE443">
        <f>IFERROR(__xludf.DUMMYFUNCTION("""COMPUTED_VALUE"""),0.0)</f>
        <v>0</v>
      </c>
      <c r="AG443" t="str">
        <f>IFERROR(__xludf.DUMMYFUNCTION("""COMPUTED_VALUE"""),"Originally scheduled for delivery on 7/16 but pushed back due to transit issues.  ")</f>
        <v>Originally scheduled for delivery on 7/16 but pushed back due to transit issues.  </v>
      </c>
      <c r="AH443" s="189">
        <f>IFERROR(__xludf.DUMMYFUNCTION("""COMPUTED_VALUE"""),43326.48975059028)</f>
        <v>43326.48975</v>
      </c>
    </row>
    <row r="444">
      <c r="A444" t="str">
        <f>IFERROR(__xludf.DUMMYFUNCTION("""COMPUTED_VALUE"""),"Treborn")</f>
        <v>Treborn</v>
      </c>
      <c r="B444" t="str">
        <f>IFERROR(__xludf.DUMMYFUNCTION("""COMPUTED_VALUE"""),"Los Angeles")</f>
        <v>Los Angeles</v>
      </c>
      <c r="C444" t="str">
        <f>IFERROR(__xludf.DUMMYFUNCTION("""COMPUTED_VALUE"""),"CA")</f>
        <v>CA</v>
      </c>
      <c r="D444" t="str">
        <f>IFERROR(__xludf.DUMMYFUNCTION("""COMPUTED_VALUE"""),"USA")</f>
        <v>USA</v>
      </c>
      <c r="E444" s="188">
        <f>IFERROR(__xludf.DUMMYFUNCTION("""COMPUTED_VALUE"""),43208.0)</f>
        <v>43208</v>
      </c>
      <c r="F444" s="188">
        <f>IFERROR(__xludf.DUMMYFUNCTION("""COMPUTED_VALUE"""),43242.0)</f>
        <v>43242</v>
      </c>
      <c r="H444">
        <f>IFERROR(__xludf.DUMMYFUNCTION("""COMPUTED_VALUE"""),23255.0)</f>
        <v>23255</v>
      </c>
      <c r="J444" s="5">
        <f>IFERROR(__xludf.DUMMYFUNCTION("""COMPUTED_VALUE"""),43250.0)</f>
        <v>43250</v>
      </c>
      <c r="K444">
        <f>IFERROR(__xludf.DUMMYFUNCTION("""COMPUTED_VALUE"""),34.0)</f>
        <v>34</v>
      </c>
      <c r="L444">
        <f>IFERROR(__xludf.DUMMYFUNCTION("""COMPUTED_VALUE"""),8.0)</f>
        <v>8</v>
      </c>
      <c r="M444">
        <f>IFERROR(__xludf.DUMMYFUNCTION("""COMPUTED_VALUE"""),42.0)</f>
        <v>42</v>
      </c>
      <c r="N444" t="str">
        <f>IFERROR(__xludf.DUMMYFUNCTION("""COMPUTED_VALUE"""),"Model 3 LR")</f>
        <v>Model 3 LR</v>
      </c>
      <c r="O444" t="str">
        <f>IFERROR(__xludf.DUMMYFUNCTION("""COMPUTED_VALUE"""),"Pearl White Multi-Coat")</f>
        <v>Pearl White Multi-Coat</v>
      </c>
      <c r="P444" t="str">
        <f>IFERROR(__xludf.DUMMYFUNCTION("""COMPUTED_VALUE"""),"18 inch Aero")</f>
        <v>18 inch Aero</v>
      </c>
      <c r="Q444" t="str">
        <f>IFERROR(__xludf.DUMMYFUNCTION("""COMPUTED_VALUE"""),"Black seats")</f>
        <v>Black seats</v>
      </c>
      <c r="R444" t="str">
        <f>IFERROR(__xludf.DUMMYFUNCTION("""COMPUTED_VALUE"""),"Full Self-Driving")</f>
        <v>Full Self-Driving</v>
      </c>
      <c r="X444" t="str">
        <f>IFERROR(__xludf.DUMMYFUNCTION("""COMPUTED_VALUE"""),"Excellent")</f>
        <v>Excellent</v>
      </c>
      <c r="Y444" t="str">
        <f>IFERROR(__xludf.DUMMYFUNCTION("""COMPUTED_VALUE"""),"Excellent")</f>
        <v>Excellent</v>
      </c>
      <c r="Z444" t="str">
        <f>IFERROR(__xludf.DUMMYFUNCTION("""COMPUTED_VALUE"""),"Excellent")</f>
        <v>Excellent</v>
      </c>
      <c r="AA444" t="str">
        <f>IFERROR(__xludf.DUMMYFUNCTION("""COMPUTED_VALUE"""),"Excellent")</f>
        <v>Excellent</v>
      </c>
      <c r="AB444" t="str">
        <f>IFERROR(__xludf.DUMMYFUNCTION("""COMPUTED_VALUE"""),"Fair")</f>
        <v>Fair</v>
      </c>
      <c r="AC444">
        <f>IFERROR(__xludf.DUMMYFUNCTION("""COMPUTED_VALUE"""),0.0)</f>
        <v>0</v>
      </c>
      <c r="AD444">
        <f>IFERROR(__xludf.DUMMYFUNCTION("""COMPUTED_VALUE"""),1.0)</f>
        <v>1</v>
      </c>
      <c r="AE444">
        <f>IFERROR(__xludf.DUMMYFUNCTION("""COMPUTED_VALUE"""),2.0)</f>
        <v>2</v>
      </c>
      <c r="AH444" s="189">
        <f>IFERROR(__xludf.DUMMYFUNCTION("""COMPUTED_VALUE"""),43326.494447743054)</f>
        <v>43326.49445</v>
      </c>
    </row>
    <row r="445">
      <c r="A445" t="str">
        <f>IFERROR(__xludf.DUMMYFUNCTION("""COMPUTED_VALUE"""),"boriszima")</f>
        <v>boriszima</v>
      </c>
      <c r="B445" t="str">
        <f>IFERROR(__xludf.DUMMYFUNCTION("""COMPUTED_VALUE"""),"San Fernando Valley,")</f>
        <v>San Fernando Valley,</v>
      </c>
      <c r="C445" t="str">
        <f>IFERROR(__xludf.DUMMYFUNCTION("""COMPUTED_VALUE"""),"CA")</f>
        <v>CA</v>
      </c>
      <c r="D445" t="str">
        <f>IFERROR(__xludf.DUMMYFUNCTION("""COMPUTED_VALUE"""),"USA")</f>
        <v>USA</v>
      </c>
      <c r="E445" s="188">
        <f>IFERROR(__xludf.DUMMYFUNCTION("""COMPUTED_VALUE"""),43280.0)</f>
        <v>43280</v>
      </c>
      <c r="F445" s="188">
        <f>IFERROR(__xludf.DUMMYFUNCTION("""COMPUTED_VALUE"""),43317.0)</f>
        <v>43317</v>
      </c>
      <c r="H445">
        <f>IFERROR(__xludf.DUMMYFUNCTION("""COMPUTED_VALUE"""),67555.0)</f>
        <v>67555</v>
      </c>
      <c r="J445" s="5">
        <f>IFERROR(__xludf.DUMMYFUNCTION("""COMPUTED_VALUE"""),43326.0)</f>
        <v>43326</v>
      </c>
      <c r="K445">
        <f>IFERROR(__xludf.DUMMYFUNCTION("""COMPUTED_VALUE"""),37.0)</f>
        <v>37</v>
      </c>
      <c r="L445">
        <f>IFERROR(__xludf.DUMMYFUNCTION("""COMPUTED_VALUE"""),9.0)</f>
        <v>9</v>
      </c>
      <c r="M445">
        <f>IFERROR(__xludf.DUMMYFUNCTION("""COMPUTED_VALUE"""),46.0)</f>
        <v>46</v>
      </c>
      <c r="N445" t="str">
        <f>IFERROR(__xludf.DUMMYFUNCTION("""COMPUTED_VALUE"""),"Model 3 LR AWD")</f>
        <v>Model 3 LR AWD</v>
      </c>
      <c r="O445" t="str">
        <f>IFERROR(__xludf.DUMMYFUNCTION("""COMPUTED_VALUE"""),"Pearl White Multi-Coat")</f>
        <v>Pearl White Multi-Coat</v>
      </c>
      <c r="P445" t="str">
        <f>IFERROR(__xludf.DUMMYFUNCTION("""COMPUTED_VALUE"""),"19 inch Sport")</f>
        <v>19 inch Sport</v>
      </c>
      <c r="Q445" t="str">
        <f>IFERROR(__xludf.DUMMYFUNCTION("""COMPUTED_VALUE"""),"Black seats")</f>
        <v>Black seats</v>
      </c>
      <c r="R445" t="str">
        <f>IFERROR(__xludf.DUMMYFUNCTION("""COMPUTED_VALUE"""),"Enhanced Autopilot")</f>
        <v>Enhanced Autopilot</v>
      </c>
      <c r="X445" t="str">
        <f>IFERROR(__xludf.DUMMYFUNCTION("""COMPUTED_VALUE"""),"Excellent")</f>
        <v>Excellent</v>
      </c>
      <c r="Y445" t="str">
        <f>IFERROR(__xludf.DUMMYFUNCTION("""COMPUTED_VALUE"""),"Excellent")</f>
        <v>Excellent</v>
      </c>
      <c r="Z445" t="str">
        <f>IFERROR(__xludf.DUMMYFUNCTION("""COMPUTED_VALUE"""),"Excellent")</f>
        <v>Excellent</v>
      </c>
      <c r="AA445" t="str">
        <f>IFERROR(__xludf.DUMMYFUNCTION("""COMPUTED_VALUE"""),"Very Good")</f>
        <v>Very Good</v>
      </c>
      <c r="AB445" t="str">
        <f>IFERROR(__xludf.DUMMYFUNCTION("""COMPUTED_VALUE"""),"Excellent")</f>
        <v>Excellent</v>
      </c>
      <c r="AH445" s="189">
        <f>IFERROR(__xludf.DUMMYFUNCTION("""COMPUTED_VALUE"""),43326.946564872684)</f>
        <v>43326.94656</v>
      </c>
    </row>
    <row r="446">
      <c r="A446" t="str">
        <f>IFERROR(__xludf.DUMMYFUNCTION("""COMPUTED_VALUE"""),"alpacadom")</f>
        <v>alpacadom</v>
      </c>
      <c r="B446" t="str">
        <f>IFERROR(__xludf.DUMMYFUNCTION("""COMPUTED_VALUE"""),"Seattle")</f>
        <v>Seattle</v>
      </c>
      <c r="C446" t="str">
        <f>IFERROR(__xludf.DUMMYFUNCTION("""COMPUTED_VALUE"""),"WA")</f>
        <v>WA</v>
      </c>
      <c r="D446" t="str">
        <f>IFERROR(__xludf.DUMMYFUNCTION("""COMPUTED_VALUE"""),"USA")</f>
        <v>USA</v>
      </c>
      <c r="E446" s="188">
        <f>IFERROR(__xludf.DUMMYFUNCTION("""COMPUTED_VALUE"""),43289.0)</f>
        <v>43289</v>
      </c>
      <c r="F446" s="188">
        <f>IFERROR(__xludf.DUMMYFUNCTION("""COMPUTED_VALUE"""),43322.0)</f>
        <v>43322</v>
      </c>
      <c r="H446">
        <f>IFERROR(__xludf.DUMMYFUNCTION("""COMPUTED_VALUE"""),73455.0)</f>
        <v>73455</v>
      </c>
      <c r="J446" s="5">
        <f>IFERROR(__xludf.DUMMYFUNCTION("""COMPUTED_VALUE"""),43327.0)</f>
        <v>43327</v>
      </c>
      <c r="K446">
        <f>IFERROR(__xludf.DUMMYFUNCTION("""COMPUTED_VALUE"""),33.0)</f>
        <v>33</v>
      </c>
      <c r="L446">
        <f>IFERROR(__xludf.DUMMYFUNCTION("""COMPUTED_VALUE"""),5.0)</f>
        <v>5</v>
      </c>
      <c r="M446">
        <f>IFERROR(__xludf.DUMMYFUNCTION("""COMPUTED_VALUE"""),38.0)</f>
        <v>38</v>
      </c>
      <c r="N446" t="str">
        <f>IFERROR(__xludf.DUMMYFUNCTION("""COMPUTED_VALUE"""),"Model 3 Performance")</f>
        <v>Model 3 Performance</v>
      </c>
      <c r="O446" t="str">
        <f>IFERROR(__xludf.DUMMYFUNCTION("""COMPUTED_VALUE"""),"Red Multi-Coat")</f>
        <v>Red Multi-Coat</v>
      </c>
      <c r="P446" t="str">
        <f>IFERROR(__xludf.DUMMYFUNCTION("""COMPUTED_VALUE"""),"18 inch Aero")</f>
        <v>18 inch Aero</v>
      </c>
      <c r="Q446" t="str">
        <f>IFERROR(__xludf.DUMMYFUNCTION("""COMPUTED_VALUE"""),"Black seats")</f>
        <v>Black seats</v>
      </c>
      <c r="R446" t="str">
        <f>IFERROR(__xludf.DUMMYFUNCTION("""COMPUTED_VALUE"""),"Enhanced Autopilot")</f>
        <v>Enhanced Autopilot</v>
      </c>
      <c r="X446" t="str">
        <f>IFERROR(__xludf.DUMMYFUNCTION("""COMPUTED_VALUE"""),"Good")</f>
        <v>Good</v>
      </c>
      <c r="Y446" t="str">
        <f>IFERROR(__xludf.DUMMYFUNCTION("""COMPUTED_VALUE"""),"Very Good")</f>
        <v>Very Good</v>
      </c>
      <c r="Z446" t="str">
        <f>IFERROR(__xludf.DUMMYFUNCTION("""COMPUTED_VALUE"""),"Very Good")</f>
        <v>Very Good</v>
      </c>
      <c r="AA446" t="str">
        <f>IFERROR(__xludf.DUMMYFUNCTION("""COMPUTED_VALUE"""),"Good")</f>
        <v>Good</v>
      </c>
      <c r="AB446" t="str">
        <f>IFERROR(__xludf.DUMMYFUNCTION("""COMPUTED_VALUE"""),"Very Good")</f>
        <v>Very Good</v>
      </c>
      <c r="AH446" s="189">
        <f>IFERROR(__xludf.DUMMYFUNCTION("""COMPUTED_VALUE"""),43327.71370118056)</f>
        <v>43327.7137</v>
      </c>
    </row>
    <row r="447">
      <c r="A447" t="str">
        <f>IFERROR(__xludf.DUMMYFUNCTION("""COMPUTED_VALUE"""),"MassUser")</f>
        <v>MassUser</v>
      </c>
      <c r="B447" t="str">
        <f>IFERROR(__xludf.DUMMYFUNCTION("""COMPUTED_VALUE"""),"Boston metro")</f>
        <v>Boston metro</v>
      </c>
      <c r="C447" t="str">
        <f>IFERROR(__xludf.DUMMYFUNCTION("""COMPUTED_VALUE"""),"MA")</f>
        <v>MA</v>
      </c>
      <c r="D447" t="str">
        <f>IFERROR(__xludf.DUMMYFUNCTION("""COMPUTED_VALUE"""),"USA")</f>
        <v>USA</v>
      </c>
      <c r="E447" s="188">
        <f>IFERROR(__xludf.DUMMYFUNCTION("""COMPUTED_VALUE"""),43297.0)</f>
        <v>43297</v>
      </c>
      <c r="F447" s="188">
        <f>IFERROR(__xludf.DUMMYFUNCTION("""COMPUTED_VALUE"""),43307.0)</f>
        <v>43307</v>
      </c>
      <c r="H447">
        <f>IFERROR(__xludf.DUMMYFUNCTION("""COMPUTED_VALUE"""),45263.0)</f>
        <v>45263</v>
      </c>
      <c r="J447" s="5">
        <f>IFERROR(__xludf.DUMMYFUNCTION("""COMPUTED_VALUE"""),43327.0)</f>
        <v>43327</v>
      </c>
      <c r="K447">
        <f>IFERROR(__xludf.DUMMYFUNCTION("""COMPUTED_VALUE"""),10.0)</f>
        <v>10</v>
      </c>
      <c r="L447">
        <f>IFERROR(__xludf.DUMMYFUNCTION("""COMPUTED_VALUE"""),20.0)</f>
        <v>20</v>
      </c>
      <c r="M447">
        <f>IFERROR(__xludf.DUMMYFUNCTION("""COMPUTED_VALUE"""),30.0)</f>
        <v>30</v>
      </c>
      <c r="N447" t="str">
        <f>IFERROR(__xludf.DUMMYFUNCTION("""COMPUTED_VALUE"""),"Model 3 LR")</f>
        <v>Model 3 LR</v>
      </c>
      <c r="O447" t="str">
        <f>IFERROR(__xludf.DUMMYFUNCTION("""COMPUTED_VALUE"""),"Midnight Silver Metallic")</f>
        <v>Midnight Silver Metallic</v>
      </c>
      <c r="P447" t="str">
        <f>IFERROR(__xludf.DUMMYFUNCTION("""COMPUTED_VALUE"""),"18 inch Aero")</f>
        <v>18 inch Aero</v>
      </c>
      <c r="Q447" t="str">
        <f>IFERROR(__xludf.DUMMYFUNCTION("""COMPUTED_VALUE"""),"Black seats")</f>
        <v>Black seats</v>
      </c>
      <c r="R447" t="str">
        <f>IFERROR(__xludf.DUMMYFUNCTION("""COMPUTED_VALUE"""),"Enhanced Autopilot")</f>
        <v>Enhanced Autopilot</v>
      </c>
      <c r="X447" t="str">
        <f>IFERROR(__xludf.DUMMYFUNCTION("""COMPUTED_VALUE"""),"Very Good")</f>
        <v>Very Good</v>
      </c>
      <c r="Y447" t="str">
        <f>IFERROR(__xludf.DUMMYFUNCTION("""COMPUTED_VALUE"""),"Good")</f>
        <v>Good</v>
      </c>
      <c r="Z447" t="str">
        <f>IFERROR(__xludf.DUMMYFUNCTION("""COMPUTED_VALUE"""),"Very Good")</f>
        <v>Very Good</v>
      </c>
      <c r="AA447" t="str">
        <f>IFERROR(__xludf.DUMMYFUNCTION("""COMPUTED_VALUE"""),"Very Good")</f>
        <v>Very Good</v>
      </c>
      <c r="AB447" t="str">
        <f>IFERROR(__xludf.DUMMYFUNCTION("""COMPUTED_VALUE"""),"Fair")</f>
        <v>Fair</v>
      </c>
      <c r="AH447" s="189">
        <f>IFERROR(__xludf.DUMMYFUNCTION("""COMPUTED_VALUE"""),43327.72625207176)</f>
        <v>43327.72625</v>
      </c>
    </row>
    <row r="448">
      <c r="A448" t="str">
        <f>IFERROR(__xludf.DUMMYFUNCTION("""COMPUTED_VALUE"""),"KIKNGAS")</f>
        <v>KIKNGAS</v>
      </c>
      <c r="B448" t="str">
        <f>IFERROR(__xludf.DUMMYFUNCTION("""COMPUTED_VALUE"""),"Parker")</f>
        <v>Parker</v>
      </c>
      <c r="C448" t="str">
        <f>IFERROR(__xludf.DUMMYFUNCTION("""COMPUTED_VALUE"""),"CO")</f>
        <v>CO</v>
      </c>
      <c r="D448" t="str">
        <f>IFERROR(__xludf.DUMMYFUNCTION("""COMPUTED_VALUE"""),"USA")</f>
        <v>USA</v>
      </c>
      <c r="E448" s="188">
        <f>IFERROR(__xludf.DUMMYFUNCTION("""COMPUTED_VALUE"""),43277.0)</f>
        <v>43277</v>
      </c>
      <c r="F448" s="188">
        <f>IFERROR(__xludf.DUMMYFUNCTION("""COMPUTED_VALUE"""),43320.0)</f>
        <v>43320</v>
      </c>
      <c r="H448">
        <f>IFERROR(__xludf.DUMMYFUNCTION("""COMPUTED_VALUE"""),75055.0)</f>
        <v>75055</v>
      </c>
      <c r="I448" t="str">
        <f>IFERROR(__xludf.DUMMYFUNCTION("""COMPUTED_VALUE"""),"08/18")</f>
        <v>08/18</v>
      </c>
      <c r="J448" s="5">
        <f>IFERROR(__xludf.DUMMYFUNCTION("""COMPUTED_VALUE"""),43327.0)</f>
        <v>43327</v>
      </c>
      <c r="K448">
        <f>IFERROR(__xludf.DUMMYFUNCTION("""COMPUTED_VALUE"""),43.0)</f>
        <v>43</v>
      </c>
      <c r="L448">
        <f>IFERROR(__xludf.DUMMYFUNCTION("""COMPUTED_VALUE"""),7.0)</f>
        <v>7</v>
      </c>
      <c r="M448">
        <f>IFERROR(__xludf.DUMMYFUNCTION("""COMPUTED_VALUE"""),50.0)</f>
        <v>50</v>
      </c>
      <c r="N448" t="str">
        <f>IFERROR(__xludf.DUMMYFUNCTION("""COMPUTED_VALUE"""),"Model 3 LR AWD")</f>
        <v>Model 3 LR AWD</v>
      </c>
      <c r="O448" t="str">
        <f>IFERROR(__xludf.DUMMYFUNCTION("""COMPUTED_VALUE"""),"Red Multi-Coat")</f>
        <v>Red Multi-Coat</v>
      </c>
      <c r="P448" t="str">
        <f>IFERROR(__xludf.DUMMYFUNCTION("""COMPUTED_VALUE"""),"18 inch Aero")</f>
        <v>18 inch Aero</v>
      </c>
      <c r="Q448" t="str">
        <f>IFERROR(__xludf.DUMMYFUNCTION("""COMPUTED_VALUE"""),"White seats")</f>
        <v>White seats</v>
      </c>
      <c r="R448" t="str">
        <f>IFERROR(__xludf.DUMMYFUNCTION("""COMPUTED_VALUE"""),"None")</f>
        <v>None</v>
      </c>
      <c r="X448" t="str">
        <f>IFERROR(__xludf.DUMMYFUNCTION("""COMPUTED_VALUE"""),"Excellent")</f>
        <v>Excellent</v>
      </c>
      <c r="Y448" t="str">
        <f>IFERROR(__xludf.DUMMYFUNCTION("""COMPUTED_VALUE"""),"Excellent")</f>
        <v>Excellent</v>
      </c>
      <c r="Z448" t="str">
        <f>IFERROR(__xludf.DUMMYFUNCTION("""COMPUTED_VALUE"""),"Very Good")</f>
        <v>Very Good</v>
      </c>
      <c r="AA448" t="str">
        <f>IFERROR(__xludf.DUMMYFUNCTION("""COMPUTED_VALUE"""),"Good")</f>
        <v>Good</v>
      </c>
      <c r="AB448" t="str">
        <f>IFERROR(__xludf.DUMMYFUNCTION("""COMPUTED_VALUE"""),"Very Good")</f>
        <v>Very Good</v>
      </c>
      <c r="AH448" s="189">
        <f>IFERROR(__xludf.DUMMYFUNCTION("""COMPUTED_VALUE"""),43327.81244155092)</f>
        <v>43327.81244</v>
      </c>
    </row>
    <row r="449">
      <c r="A449" t="str">
        <f>IFERROR(__xludf.DUMMYFUNCTION("""COMPUTED_VALUE"""),"JohnM")</f>
        <v>JohnM</v>
      </c>
      <c r="B449" t="str">
        <f>IFERROR(__xludf.DUMMYFUNCTION("""COMPUTED_VALUE"""),"Auburn")</f>
        <v>Auburn</v>
      </c>
      <c r="C449" t="str">
        <f>IFERROR(__xludf.DUMMYFUNCTION("""COMPUTED_VALUE"""),"CA")</f>
        <v>CA</v>
      </c>
      <c r="D449" t="str">
        <f>IFERROR(__xludf.DUMMYFUNCTION("""COMPUTED_VALUE"""),"USA")</f>
        <v>USA</v>
      </c>
      <c r="E449" s="188">
        <f>IFERROR(__xludf.DUMMYFUNCTION("""COMPUTED_VALUE"""),43278.0)</f>
        <v>43278</v>
      </c>
      <c r="F449" s="188">
        <f>IFERROR(__xludf.DUMMYFUNCTION("""COMPUTED_VALUE"""),43322.0)</f>
        <v>43322</v>
      </c>
      <c r="H449">
        <f>IFERROR(__xludf.DUMMYFUNCTION("""COMPUTED_VALUE"""),53655.0)</f>
        <v>53655</v>
      </c>
      <c r="J449" s="5">
        <f>IFERROR(__xludf.DUMMYFUNCTION("""COMPUTED_VALUE"""),43327.0)</f>
        <v>43327</v>
      </c>
      <c r="K449">
        <f>IFERROR(__xludf.DUMMYFUNCTION("""COMPUTED_VALUE"""),44.0)</f>
        <v>44</v>
      </c>
      <c r="L449">
        <f>IFERROR(__xludf.DUMMYFUNCTION("""COMPUTED_VALUE"""),5.0)</f>
        <v>5</v>
      </c>
      <c r="M449">
        <f>IFERROR(__xludf.DUMMYFUNCTION("""COMPUTED_VALUE"""),49.0)</f>
        <v>49</v>
      </c>
      <c r="N449" t="str">
        <f>IFERROR(__xludf.DUMMYFUNCTION("""COMPUTED_VALUE"""),"Model 3 LR")</f>
        <v>Model 3 LR</v>
      </c>
      <c r="O449" t="str">
        <f>IFERROR(__xludf.DUMMYFUNCTION("""COMPUTED_VALUE"""),"Obsidian Black Metallic")</f>
        <v>Obsidian Black Metallic</v>
      </c>
      <c r="P449" t="str">
        <f>IFERROR(__xludf.DUMMYFUNCTION("""COMPUTED_VALUE"""),"19 inch Sport")</f>
        <v>19 inch Sport</v>
      </c>
      <c r="Q449" t="str">
        <f>IFERROR(__xludf.DUMMYFUNCTION("""COMPUTED_VALUE"""),"Black seats")</f>
        <v>Black seats</v>
      </c>
      <c r="R449" t="str">
        <f>IFERROR(__xludf.DUMMYFUNCTION("""COMPUTED_VALUE"""),"Enhanced Autopilot")</f>
        <v>Enhanced Autopilot</v>
      </c>
      <c r="X449" t="str">
        <f>IFERROR(__xludf.DUMMYFUNCTION("""COMPUTED_VALUE"""),"Excellent")</f>
        <v>Excellent</v>
      </c>
      <c r="Y449" t="str">
        <f>IFERROR(__xludf.DUMMYFUNCTION("""COMPUTED_VALUE"""),"Excellent")</f>
        <v>Excellent</v>
      </c>
      <c r="Z449" t="str">
        <f>IFERROR(__xludf.DUMMYFUNCTION("""COMPUTED_VALUE"""),"Excellent")</f>
        <v>Excellent</v>
      </c>
      <c r="AA449" t="str">
        <f>IFERROR(__xludf.DUMMYFUNCTION("""COMPUTED_VALUE"""),"Excellent")</f>
        <v>Excellent</v>
      </c>
      <c r="AB449" t="str">
        <f>IFERROR(__xludf.DUMMYFUNCTION("""COMPUTED_VALUE"""),"Excellent")</f>
        <v>Excellent</v>
      </c>
      <c r="AC449">
        <f>IFERROR(__xludf.DUMMYFUNCTION("""COMPUTED_VALUE"""),0.0)</f>
        <v>0</v>
      </c>
      <c r="AD449">
        <f>IFERROR(__xludf.DUMMYFUNCTION("""COMPUTED_VALUE"""),0.0)</f>
        <v>0</v>
      </c>
      <c r="AE449">
        <f>IFERROR(__xludf.DUMMYFUNCTION("""COMPUTED_VALUE"""),0.0)</f>
        <v>0</v>
      </c>
      <c r="AH449" s="189">
        <f>IFERROR(__xludf.DUMMYFUNCTION("""COMPUTED_VALUE"""),43327.879723645834)</f>
        <v>43327.87972</v>
      </c>
    </row>
    <row r="450">
      <c r="A450" t="str">
        <f>IFERROR(__xludf.DUMMYFUNCTION("""COMPUTED_VALUE"""),"Holmern")</f>
        <v>Holmern</v>
      </c>
      <c r="B450" t="str">
        <f>IFERROR(__xludf.DUMMYFUNCTION("""COMPUTED_VALUE"""),"Austin")</f>
        <v>Austin</v>
      </c>
      <c r="C450" t="str">
        <f>IFERROR(__xludf.DUMMYFUNCTION("""COMPUTED_VALUE"""),"TX")</f>
        <v>TX</v>
      </c>
      <c r="D450" t="str">
        <f>IFERROR(__xludf.DUMMYFUNCTION("""COMPUTED_VALUE"""),"USA")</f>
        <v>USA</v>
      </c>
      <c r="E450" s="188">
        <f>IFERROR(__xludf.DUMMYFUNCTION("""COMPUTED_VALUE"""),43281.0)</f>
        <v>43281</v>
      </c>
      <c r="F450" s="188">
        <f>IFERROR(__xludf.DUMMYFUNCTION("""COMPUTED_VALUE"""),43312.0)</f>
        <v>43312</v>
      </c>
      <c r="H450">
        <f>IFERROR(__xludf.DUMMYFUNCTION("""COMPUTED_VALUE"""),73855.0)</f>
        <v>73855</v>
      </c>
      <c r="I450" t="str">
        <f>IFERROR(__xludf.DUMMYFUNCTION("""COMPUTED_VALUE"""),"07/18")</f>
        <v>07/18</v>
      </c>
      <c r="J450" s="5">
        <f>IFERROR(__xludf.DUMMYFUNCTION("""COMPUTED_VALUE"""),43326.0)</f>
        <v>43326</v>
      </c>
      <c r="K450">
        <f>IFERROR(__xludf.DUMMYFUNCTION("""COMPUTED_VALUE"""),31.0)</f>
        <v>31</v>
      </c>
      <c r="L450">
        <f>IFERROR(__xludf.DUMMYFUNCTION("""COMPUTED_VALUE"""),14.0)</f>
        <v>14</v>
      </c>
      <c r="M450">
        <f>IFERROR(__xludf.DUMMYFUNCTION("""COMPUTED_VALUE"""),45.0)</f>
        <v>45</v>
      </c>
      <c r="N450" t="str">
        <f>IFERROR(__xludf.DUMMYFUNCTION("""COMPUTED_VALUE"""),"Model 3 Performance")</f>
        <v>Model 3 Performance</v>
      </c>
      <c r="O450" t="str">
        <f>IFERROR(__xludf.DUMMYFUNCTION("""COMPUTED_VALUE"""),"Pearl White Multi-Coat")</f>
        <v>Pearl White Multi-Coat</v>
      </c>
      <c r="P450" t="str">
        <f>IFERROR(__xludf.DUMMYFUNCTION("""COMPUTED_VALUE"""),"18 inch Aero")</f>
        <v>18 inch Aero</v>
      </c>
      <c r="Q450" t="str">
        <f>IFERROR(__xludf.DUMMYFUNCTION("""COMPUTED_VALUE"""),"Black seats")</f>
        <v>Black seats</v>
      </c>
      <c r="R450" t="str">
        <f>IFERROR(__xludf.DUMMYFUNCTION("""COMPUTED_VALUE"""),"Enhanced Autopilot")</f>
        <v>Enhanced Autopilot</v>
      </c>
      <c r="X450" t="str">
        <f>IFERROR(__xludf.DUMMYFUNCTION("""COMPUTED_VALUE"""),"Excellent")</f>
        <v>Excellent</v>
      </c>
      <c r="Y450" t="str">
        <f>IFERROR(__xludf.DUMMYFUNCTION("""COMPUTED_VALUE"""),"Excellent")</f>
        <v>Excellent</v>
      </c>
      <c r="Z450" t="str">
        <f>IFERROR(__xludf.DUMMYFUNCTION("""COMPUTED_VALUE"""),"Very Good")</f>
        <v>Very Good</v>
      </c>
      <c r="AA450" t="str">
        <f>IFERROR(__xludf.DUMMYFUNCTION("""COMPUTED_VALUE"""),"Excellent")</f>
        <v>Excellent</v>
      </c>
      <c r="AB450" t="str">
        <f>IFERROR(__xludf.DUMMYFUNCTION("""COMPUTED_VALUE"""),"Excellent")</f>
        <v>Excellent</v>
      </c>
      <c r="AH450" s="189">
        <f>IFERROR(__xludf.DUMMYFUNCTION("""COMPUTED_VALUE"""),43327.916775509264)</f>
        <v>43327.91678</v>
      </c>
    </row>
    <row r="451">
      <c r="A451" t="str">
        <f>IFERROR(__xludf.DUMMYFUNCTION("""COMPUTED_VALUE"""),"LonestarV")</f>
        <v>LonestarV</v>
      </c>
      <c r="B451" t="str">
        <f>IFERROR(__xludf.DUMMYFUNCTION("""COMPUTED_VALUE"""),"Central")</f>
        <v>Central</v>
      </c>
      <c r="C451" t="str">
        <f>IFERROR(__xludf.DUMMYFUNCTION("""COMPUTED_VALUE"""),"TX")</f>
        <v>TX</v>
      </c>
      <c r="D451" t="str">
        <f>IFERROR(__xludf.DUMMYFUNCTION("""COMPUTED_VALUE"""),"USA")</f>
        <v>USA</v>
      </c>
      <c r="E451" s="188">
        <f>IFERROR(__xludf.DUMMYFUNCTION("""COMPUTED_VALUE"""),43279.0)</f>
        <v>43279</v>
      </c>
      <c r="F451" s="188">
        <f>IFERROR(__xludf.DUMMYFUNCTION("""COMPUTED_VALUE"""),43295.0)</f>
        <v>43295</v>
      </c>
      <c r="H451">
        <f>IFERROR(__xludf.DUMMYFUNCTION("""COMPUTED_VALUE"""),32755.0)</f>
        <v>32755</v>
      </c>
      <c r="I451" t="str">
        <f>IFERROR(__xludf.DUMMYFUNCTION("""COMPUTED_VALUE"""),"06/18")</f>
        <v>06/18</v>
      </c>
      <c r="J451" s="5">
        <f>IFERROR(__xludf.DUMMYFUNCTION("""COMPUTED_VALUE"""),43327.0)</f>
        <v>43327</v>
      </c>
      <c r="K451">
        <f>IFERROR(__xludf.DUMMYFUNCTION("""COMPUTED_VALUE"""),16.0)</f>
        <v>16</v>
      </c>
      <c r="L451">
        <f>IFERROR(__xludf.DUMMYFUNCTION("""COMPUTED_VALUE"""),32.0)</f>
        <v>32</v>
      </c>
      <c r="M451">
        <f>IFERROR(__xludf.DUMMYFUNCTION("""COMPUTED_VALUE"""),48.0)</f>
        <v>48</v>
      </c>
      <c r="N451" t="str">
        <f>IFERROR(__xludf.DUMMYFUNCTION("""COMPUTED_VALUE"""),"Model 3 LR")</f>
        <v>Model 3 LR</v>
      </c>
      <c r="O451" t="str">
        <f>IFERROR(__xludf.DUMMYFUNCTION("""COMPUTED_VALUE"""),"Pearl White Multi-Coat")</f>
        <v>Pearl White Multi-Coat</v>
      </c>
      <c r="P451" t="str">
        <f>IFERROR(__xludf.DUMMYFUNCTION("""COMPUTED_VALUE"""),"19 inch Sport")</f>
        <v>19 inch Sport</v>
      </c>
      <c r="Q451" t="str">
        <f>IFERROR(__xludf.DUMMYFUNCTION("""COMPUTED_VALUE"""),"Black seats")</f>
        <v>Black seats</v>
      </c>
      <c r="R451" t="str">
        <f>IFERROR(__xludf.DUMMYFUNCTION("""COMPUTED_VALUE"""),"Enhanced Autopilot")</f>
        <v>Enhanced Autopilot</v>
      </c>
      <c r="X451" t="str">
        <f>IFERROR(__xludf.DUMMYFUNCTION("""COMPUTED_VALUE"""),"Very Good")</f>
        <v>Very Good</v>
      </c>
      <c r="Y451" t="str">
        <f>IFERROR(__xludf.DUMMYFUNCTION("""COMPUTED_VALUE"""),"Excellent")</f>
        <v>Excellent</v>
      </c>
      <c r="Z451" t="str">
        <f>IFERROR(__xludf.DUMMYFUNCTION("""COMPUTED_VALUE"""),"Excellent")</f>
        <v>Excellent</v>
      </c>
      <c r="AA451" t="str">
        <f>IFERROR(__xludf.DUMMYFUNCTION("""COMPUTED_VALUE"""),"Fair")</f>
        <v>Fair</v>
      </c>
      <c r="AB451" t="str">
        <f>IFERROR(__xludf.DUMMYFUNCTION("""COMPUTED_VALUE"""),"Excellent")</f>
        <v>Excellent</v>
      </c>
      <c r="AH451" s="189">
        <f>IFERROR(__xludf.DUMMYFUNCTION("""COMPUTED_VALUE"""),43328.307236203706)</f>
        <v>43328.30724</v>
      </c>
    </row>
    <row r="452">
      <c r="A452" t="str">
        <f>IFERROR(__xludf.DUMMYFUNCTION("""COMPUTED_VALUE"""),"Young")</f>
        <v>Young</v>
      </c>
      <c r="B452" t="str">
        <f>IFERROR(__xludf.DUMMYFUNCTION("""COMPUTED_VALUE"""),"Palo Alto")</f>
        <v>Palo Alto</v>
      </c>
      <c r="C452" t="str">
        <f>IFERROR(__xludf.DUMMYFUNCTION("""COMPUTED_VALUE"""),"CA")</f>
        <v>CA</v>
      </c>
      <c r="D452" t="str">
        <f>IFERROR(__xludf.DUMMYFUNCTION("""COMPUTED_VALUE"""),"USA")</f>
        <v>USA</v>
      </c>
      <c r="E452" s="188">
        <f>IFERROR(__xludf.DUMMYFUNCTION("""COMPUTED_VALUE"""),43278.0)</f>
        <v>43278</v>
      </c>
      <c r="F452" s="188">
        <f>IFERROR(__xludf.DUMMYFUNCTION("""COMPUTED_VALUE"""),43304.0)</f>
        <v>43304</v>
      </c>
      <c r="H452">
        <f>IFERROR(__xludf.DUMMYFUNCTION("""COMPUTED_VALUE"""),50445.0)</f>
        <v>50445</v>
      </c>
      <c r="J452" s="5">
        <f>IFERROR(__xludf.DUMMYFUNCTION("""COMPUTED_VALUE"""),43305.0)</f>
        <v>43305</v>
      </c>
      <c r="K452">
        <f>IFERROR(__xludf.DUMMYFUNCTION("""COMPUTED_VALUE"""),26.0)</f>
        <v>26</v>
      </c>
      <c r="L452">
        <f>IFERROR(__xludf.DUMMYFUNCTION("""COMPUTED_VALUE"""),1.0)</f>
        <v>1</v>
      </c>
      <c r="M452">
        <f>IFERROR(__xludf.DUMMYFUNCTION("""COMPUTED_VALUE"""),27.0)</f>
        <v>27</v>
      </c>
      <c r="N452" t="str">
        <f>IFERROR(__xludf.DUMMYFUNCTION("""COMPUTED_VALUE"""),"Model 3 LR")</f>
        <v>Model 3 LR</v>
      </c>
      <c r="O452" t="str">
        <f>IFERROR(__xludf.DUMMYFUNCTION("""COMPUTED_VALUE"""),"Red Multi-Coat")</f>
        <v>Red Multi-Coat</v>
      </c>
      <c r="P452" t="str">
        <f>IFERROR(__xludf.DUMMYFUNCTION("""COMPUTED_VALUE"""),"19 inch Sport")</f>
        <v>19 inch Sport</v>
      </c>
      <c r="Q452" t="str">
        <f>IFERROR(__xludf.DUMMYFUNCTION("""COMPUTED_VALUE"""),"Black seats")</f>
        <v>Black seats</v>
      </c>
      <c r="R452" t="str">
        <f>IFERROR(__xludf.DUMMYFUNCTION("""COMPUTED_VALUE"""),"Enhanced Autopilot")</f>
        <v>Enhanced Autopilot</v>
      </c>
      <c r="X452" t="str">
        <f>IFERROR(__xludf.DUMMYFUNCTION("""COMPUTED_VALUE"""),"Excellent")</f>
        <v>Excellent</v>
      </c>
      <c r="Y452" t="str">
        <f>IFERROR(__xludf.DUMMYFUNCTION("""COMPUTED_VALUE"""),"Excellent")</f>
        <v>Excellent</v>
      </c>
      <c r="Z452" t="str">
        <f>IFERROR(__xludf.DUMMYFUNCTION("""COMPUTED_VALUE"""),"Excellent")</f>
        <v>Excellent</v>
      </c>
      <c r="AA452" t="str">
        <f>IFERROR(__xludf.DUMMYFUNCTION("""COMPUTED_VALUE"""),"Excellent")</f>
        <v>Excellent</v>
      </c>
      <c r="AB452" t="str">
        <f>IFERROR(__xludf.DUMMYFUNCTION("""COMPUTED_VALUE"""),"Excellent")</f>
        <v>Excellent</v>
      </c>
      <c r="AC452">
        <f>IFERROR(__xludf.DUMMYFUNCTION("""COMPUTED_VALUE"""),0.0)</f>
        <v>0</v>
      </c>
      <c r="AD452">
        <f>IFERROR(__xludf.DUMMYFUNCTION("""COMPUTED_VALUE"""),0.0)</f>
        <v>0</v>
      </c>
      <c r="AE452">
        <f>IFERROR(__xludf.DUMMYFUNCTION("""COMPUTED_VALUE"""),0.0)</f>
        <v>0</v>
      </c>
      <c r="AH452" s="189">
        <f>IFERROR(__xludf.DUMMYFUNCTION("""COMPUTED_VALUE"""),43328.82421824074)</f>
        <v>43328.82422</v>
      </c>
    </row>
    <row r="453">
      <c r="A453" t="str">
        <f>IFERROR(__xludf.DUMMYFUNCTION("""COMPUTED_VALUE"""),"X509v3")</f>
        <v>X509v3</v>
      </c>
      <c r="B453" t="str">
        <f>IFERROR(__xludf.DUMMYFUNCTION("""COMPUTED_VALUE"""),"Silicon valley")</f>
        <v>Silicon valley</v>
      </c>
      <c r="C453" t="str">
        <f>IFERROR(__xludf.DUMMYFUNCTION("""COMPUTED_VALUE"""),"CA")</f>
        <v>CA</v>
      </c>
      <c r="D453" t="str">
        <f>IFERROR(__xludf.DUMMYFUNCTION("""COMPUTED_VALUE"""),"USA")</f>
        <v>USA</v>
      </c>
      <c r="E453" s="188">
        <f>IFERROR(__xludf.DUMMYFUNCTION("""COMPUTED_VALUE"""),43277.0)</f>
        <v>43277</v>
      </c>
      <c r="F453" s="188">
        <f>IFERROR(__xludf.DUMMYFUNCTION("""COMPUTED_VALUE"""),43325.0)</f>
        <v>43325</v>
      </c>
      <c r="H453">
        <f>IFERROR(__xludf.DUMMYFUNCTION("""COMPUTED_VALUE"""),64050.0)</f>
        <v>64050</v>
      </c>
      <c r="J453" s="5">
        <f>IFERROR(__xludf.DUMMYFUNCTION("""COMPUTED_VALUE"""),43328.0)</f>
        <v>43328</v>
      </c>
      <c r="K453">
        <f>IFERROR(__xludf.DUMMYFUNCTION("""COMPUTED_VALUE"""),48.0)</f>
        <v>48</v>
      </c>
      <c r="L453">
        <f>IFERROR(__xludf.DUMMYFUNCTION("""COMPUTED_VALUE"""),3.0)</f>
        <v>3</v>
      </c>
      <c r="M453">
        <f>IFERROR(__xludf.DUMMYFUNCTION("""COMPUTED_VALUE"""),51.0)</f>
        <v>51</v>
      </c>
      <c r="N453" t="str">
        <f>IFERROR(__xludf.DUMMYFUNCTION("""COMPUTED_VALUE"""),"Model 3 LR AWD")</f>
        <v>Model 3 LR AWD</v>
      </c>
      <c r="O453" t="str">
        <f>IFERROR(__xludf.DUMMYFUNCTION("""COMPUTED_VALUE"""),"Red Multi-Coat")</f>
        <v>Red Multi-Coat</v>
      </c>
      <c r="P453" t="str">
        <f>IFERROR(__xludf.DUMMYFUNCTION("""COMPUTED_VALUE"""),"18 inch Aero")</f>
        <v>18 inch Aero</v>
      </c>
      <c r="Q453" t="str">
        <f>IFERROR(__xludf.DUMMYFUNCTION("""COMPUTED_VALUE"""),"Black seats")</f>
        <v>Black seats</v>
      </c>
      <c r="R453" t="str">
        <f>IFERROR(__xludf.DUMMYFUNCTION("""COMPUTED_VALUE"""),"Full Self-Driving")</f>
        <v>Full Self-Driving</v>
      </c>
      <c r="X453" t="str">
        <f>IFERROR(__xludf.DUMMYFUNCTION("""COMPUTED_VALUE"""),"Excellent")</f>
        <v>Excellent</v>
      </c>
      <c r="Y453" t="str">
        <f>IFERROR(__xludf.DUMMYFUNCTION("""COMPUTED_VALUE"""),"Excellent")</f>
        <v>Excellent</v>
      </c>
      <c r="Z453" t="str">
        <f>IFERROR(__xludf.DUMMYFUNCTION("""COMPUTED_VALUE"""),"Excellent")</f>
        <v>Excellent</v>
      </c>
      <c r="AA453" t="str">
        <f>IFERROR(__xludf.DUMMYFUNCTION("""COMPUTED_VALUE"""),"Excellent")</f>
        <v>Excellent</v>
      </c>
      <c r="AB453" t="str">
        <f>IFERROR(__xludf.DUMMYFUNCTION("""COMPUTED_VALUE"""),"Very Good")</f>
        <v>Very Good</v>
      </c>
      <c r="AH453" s="189">
        <f>IFERROR(__xludf.DUMMYFUNCTION("""COMPUTED_VALUE"""),43328.93623439815)</f>
        <v>43328.93623</v>
      </c>
    </row>
    <row r="454">
      <c r="A454" t="str">
        <f>IFERROR(__xludf.DUMMYFUNCTION("""COMPUTED_VALUE"""),"relidtm")</f>
        <v>relidtm</v>
      </c>
      <c r="B454" t="str">
        <f>IFERROR(__xludf.DUMMYFUNCTION("""COMPUTED_VALUE"""),"Orlando")</f>
        <v>Orlando</v>
      </c>
      <c r="C454" t="str">
        <f>IFERROR(__xludf.DUMMYFUNCTION("""COMPUTED_VALUE"""),"FL")</f>
        <v>FL</v>
      </c>
      <c r="D454" t="str">
        <f>IFERROR(__xludf.DUMMYFUNCTION("""COMPUTED_VALUE"""),"USA")</f>
        <v>USA</v>
      </c>
      <c r="E454" s="188">
        <f>IFERROR(__xludf.DUMMYFUNCTION("""COMPUTED_VALUE"""),43153.0)</f>
        <v>43153</v>
      </c>
      <c r="F454" s="188">
        <f>IFERROR(__xludf.DUMMYFUNCTION("""COMPUTED_VALUE"""),43161.0)</f>
        <v>43161</v>
      </c>
      <c r="I454" t="str">
        <f>IFERROR(__xludf.DUMMYFUNCTION("""COMPUTED_VALUE"""),"03/18")</f>
        <v>03/18</v>
      </c>
      <c r="J454" s="5">
        <f>IFERROR(__xludf.DUMMYFUNCTION("""COMPUTED_VALUE"""),43190.0)</f>
        <v>43190</v>
      </c>
      <c r="K454">
        <f>IFERROR(__xludf.DUMMYFUNCTION("""COMPUTED_VALUE"""),8.0)</f>
        <v>8</v>
      </c>
      <c r="L454">
        <f>IFERROR(__xludf.DUMMYFUNCTION("""COMPUTED_VALUE"""),29.0)</f>
        <v>29</v>
      </c>
      <c r="M454">
        <f>IFERROR(__xludf.DUMMYFUNCTION("""COMPUTED_VALUE"""),37.0)</f>
        <v>37</v>
      </c>
      <c r="N454" t="str">
        <f>IFERROR(__xludf.DUMMYFUNCTION("""COMPUTED_VALUE"""),"Model 3 LR")</f>
        <v>Model 3 LR</v>
      </c>
      <c r="O454" t="str">
        <f>IFERROR(__xludf.DUMMYFUNCTION("""COMPUTED_VALUE"""),"Deep Blue Metallic")</f>
        <v>Deep Blue Metallic</v>
      </c>
      <c r="P454" t="str">
        <f>IFERROR(__xludf.DUMMYFUNCTION("""COMPUTED_VALUE"""),"18 inch Aero")</f>
        <v>18 inch Aero</v>
      </c>
      <c r="Q454" t="str">
        <f>IFERROR(__xludf.DUMMYFUNCTION("""COMPUTED_VALUE"""),"Black seats")</f>
        <v>Black seats</v>
      </c>
      <c r="R454" t="str">
        <f>IFERROR(__xludf.DUMMYFUNCTION("""COMPUTED_VALUE"""),"Enhanced Autopilot")</f>
        <v>Enhanced Autopilot</v>
      </c>
      <c r="X454" t="str">
        <f>IFERROR(__xludf.DUMMYFUNCTION("""COMPUTED_VALUE"""),"Excellent")</f>
        <v>Excellent</v>
      </c>
      <c r="Y454" t="str">
        <f>IFERROR(__xludf.DUMMYFUNCTION("""COMPUTED_VALUE"""),"Very Good")</f>
        <v>Very Good</v>
      </c>
      <c r="Z454" t="str">
        <f>IFERROR(__xludf.DUMMYFUNCTION("""COMPUTED_VALUE"""),"Excellent")</f>
        <v>Excellent</v>
      </c>
      <c r="AA454" t="str">
        <f>IFERROR(__xludf.DUMMYFUNCTION("""COMPUTED_VALUE"""),"Poor")</f>
        <v>Poor</v>
      </c>
      <c r="AB454" t="str">
        <f>IFERROR(__xludf.DUMMYFUNCTION("""COMPUTED_VALUE"""),"Excellent")</f>
        <v>Excellent</v>
      </c>
      <c r="AC454">
        <f>IFERROR(__xludf.DUMMYFUNCTION("""COMPUTED_VALUE"""),1.0)</f>
        <v>1</v>
      </c>
      <c r="AD454">
        <f>IFERROR(__xludf.DUMMYFUNCTION("""COMPUTED_VALUE"""),1.0)</f>
        <v>1</v>
      </c>
      <c r="AE454">
        <f>IFERROR(__xludf.DUMMYFUNCTION("""COMPUTED_VALUE"""),0.0)</f>
        <v>0</v>
      </c>
      <c r="AH454" s="189">
        <f>IFERROR(__xludf.DUMMYFUNCTION("""COMPUTED_VALUE"""),43329.43964215278)</f>
        <v>43329.43964</v>
      </c>
    </row>
    <row r="455">
      <c r="A455" t="str">
        <f>IFERROR(__xludf.DUMMYFUNCTION("""COMPUTED_VALUE"""),"JMP3000")</f>
        <v>JMP3000</v>
      </c>
      <c r="B455" t="str">
        <f>IFERROR(__xludf.DUMMYFUNCTION("""COMPUTED_VALUE"""),"Austin")</f>
        <v>Austin</v>
      </c>
      <c r="C455" t="str">
        <f>IFERROR(__xludf.DUMMYFUNCTION("""COMPUTED_VALUE"""),"TX")</f>
        <v>TX</v>
      </c>
      <c r="D455" t="str">
        <f>IFERROR(__xludf.DUMMYFUNCTION("""COMPUTED_VALUE"""),"USA")</f>
        <v>USA</v>
      </c>
      <c r="E455" s="188">
        <f>IFERROR(__xludf.DUMMYFUNCTION("""COMPUTED_VALUE"""),43204.0)</f>
        <v>43204</v>
      </c>
      <c r="F455" s="188">
        <f>IFERROR(__xludf.DUMMYFUNCTION("""COMPUTED_VALUE"""),43208.0)</f>
        <v>43208</v>
      </c>
      <c r="H455">
        <f>IFERROR(__xludf.DUMMYFUNCTION("""COMPUTED_VALUE"""),14355.0)</f>
        <v>14355</v>
      </c>
      <c r="J455" s="5">
        <f>IFERROR(__xludf.DUMMYFUNCTION("""COMPUTED_VALUE"""),43230.0)</f>
        <v>43230</v>
      </c>
      <c r="K455">
        <f>IFERROR(__xludf.DUMMYFUNCTION("""COMPUTED_VALUE"""),4.0)</f>
        <v>4</v>
      </c>
      <c r="L455">
        <f>IFERROR(__xludf.DUMMYFUNCTION("""COMPUTED_VALUE"""),22.0)</f>
        <v>22</v>
      </c>
      <c r="M455">
        <f>IFERROR(__xludf.DUMMYFUNCTION("""COMPUTED_VALUE"""),26.0)</f>
        <v>26</v>
      </c>
      <c r="N455" t="str">
        <f>IFERROR(__xludf.DUMMYFUNCTION("""COMPUTED_VALUE"""),"Model 3 LR")</f>
        <v>Model 3 LR</v>
      </c>
      <c r="O455" t="str">
        <f>IFERROR(__xludf.DUMMYFUNCTION("""COMPUTED_VALUE"""),"Silver Metallic")</f>
        <v>Silver Metallic</v>
      </c>
      <c r="P455" t="str">
        <f>IFERROR(__xludf.DUMMYFUNCTION("""COMPUTED_VALUE"""),"18 inch Aero")</f>
        <v>18 inch Aero</v>
      </c>
      <c r="Q455" t="str">
        <f>IFERROR(__xludf.DUMMYFUNCTION("""COMPUTED_VALUE"""),"Black seats")</f>
        <v>Black seats</v>
      </c>
      <c r="R455" t="str">
        <f>IFERROR(__xludf.DUMMYFUNCTION("""COMPUTED_VALUE"""),"Enhanced Autopilot")</f>
        <v>Enhanced Autopilot</v>
      </c>
      <c r="X455" t="str">
        <f>IFERROR(__xludf.DUMMYFUNCTION("""COMPUTED_VALUE"""),"Very Good")</f>
        <v>Very Good</v>
      </c>
      <c r="Y455" t="str">
        <f>IFERROR(__xludf.DUMMYFUNCTION("""COMPUTED_VALUE"""),"Excellent")</f>
        <v>Excellent</v>
      </c>
      <c r="Z455" t="str">
        <f>IFERROR(__xludf.DUMMYFUNCTION("""COMPUTED_VALUE"""),"Excellent")</f>
        <v>Excellent</v>
      </c>
      <c r="AA455" t="str">
        <f>IFERROR(__xludf.DUMMYFUNCTION("""COMPUTED_VALUE"""),"Excellent")</f>
        <v>Excellent</v>
      </c>
      <c r="AB455" t="str">
        <f>IFERROR(__xludf.DUMMYFUNCTION("""COMPUTED_VALUE"""),"Excellent")</f>
        <v>Excellent</v>
      </c>
      <c r="AC455">
        <f>IFERROR(__xludf.DUMMYFUNCTION("""COMPUTED_VALUE"""),0.0)</f>
        <v>0</v>
      </c>
      <c r="AD455">
        <f>IFERROR(__xludf.DUMMYFUNCTION("""COMPUTED_VALUE"""),0.0)</f>
        <v>0</v>
      </c>
      <c r="AH455" s="189">
        <f>IFERROR(__xludf.DUMMYFUNCTION("""COMPUTED_VALUE"""),43329.7121609375)</f>
        <v>43329.71216</v>
      </c>
    </row>
    <row r="456">
      <c r="A456" t="str">
        <f>IFERROR(__xludf.DUMMYFUNCTION("""COMPUTED_VALUE"""),"zzz")</f>
        <v>zzz</v>
      </c>
      <c r="C456" t="str">
        <f>IFERROR(__xludf.DUMMYFUNCTION("""COMPUTED_VALUE"""),"CA")</f>
        <v>CA</v>
      </c>
      <c r="D456" t="str">
        <f>IFERROR(__xludf.DUMMYFUNCTION("""COMPUTED_VALUE"""),"USA")</f>
        <v>USA</v>
      </c>
      <c r="E456" s="188">
        <f>IFERROR(__xludf.DUMMYFUNCTION("""COMPUTED_VALUE"""),43282.0)</f>
        <v>43282</v>
      </c>
      <c r="F456" s="188">
        <f>IFERROR(__xludf.DUMMYFUNCTION("""COMPUTED_VALUE"""),43286.0)</f>
        <v>43286</v>
      </c>
      <c r="H456">
        <f>IFERROR(__xludf.DUMMYFUNCTION("""COMPUTED_VALUE"""),40655.0)</f>
        <v>40655</v>
      </c>
      <c r="I456" t="str">
        <f>IFERROR(__xludf.DUMMYFUNCTION("""COMPUTED_VALUE"""),"05/18")</f>
        <v>05/18</v>
      </c>
      <c r="J456" s="5">
        <f>IFERROR(__xludf.DUMMYFUNCTION("""COMPUTED_VALUE"""),43297.0)</f>
        <v>43297</v>
      </c>
      <c r="K456">
        <f>IFERROR(__xludf.DUMMYFUNCTION("""COMPUTED_VALUE"""),4.0)</f>
        <v>4</v>
      </c>
      <c r="L456">
        <f>IFERROR(__xludf.DUMMYFUNCTION("""COMPUTED_VALUE"""),11.0)</f>
        <v>11</v>
      </c>
      <c r="M456">
        <f>IFERROR(__xludf.DUMMYFUNCTION("""COMPUTED_VALUE"""),15.0)</f>
        <v>15</v>
      </c>
      <c r="N456" t="str">
        <f>IFERROR(__xludf.DUMMYFUNCTION("""COMPUTED_VALUE"""),"Model 3 LR")</f>
        <v>Model 3 LR</v>
      </c>
      <c r="O456" t="str">
        <f>IFERROR(__xludf.DUMMYFUNCTION("""COMPUTED_VALUE"""),"Solid Black")</f>
        <v>Solid Black</v>
      </c>
      <c r="P456" t="str">
        <f>IFERROR(__xludf.DUMMYFUNCTION("""COMPUTED_VALUE"""),"18 inch Aero")</f>
        <v>18 inch Aero</v>
      </c>
      <c r="Q456" t="str">
        <f>IFERROR(__xludf.DUMMYFUNCTION("""COMPUTED_VALUE"""),"Black seats")</f>
        <v>Black seats</v>
      </c>
      <c r="R456" t="str">
        <f>IFERROR(__xludf.DUMMYFUNCTION("""COMPUTED_VALUE"""),"Enhanced Autopilot")</f>
        <v>Enhanced Autopilot</v>
      </c>
      <c r="X456" t="str">
        <f>IFERROR(__xludf.DUMMYFUNCTION("""COMPUTED_VALUE"""),"Excellent")</f>
        <v>Excellent</v>
      </c>
      <c r="Y456" t="str">
        <f>IFERROR(__xludf.DUMMYFUNCTION("""COMPUTED_VALUE"""),"Excellent")</f>
        <v>Excellent</v>
      </c>
      <c r="Z456" t="str">
        <f>IFERROR(__xludf.DUMMYFUNCTION("""COMPUTED_VALUE"""),"Excellent")</f>
        <v>Excellent</v>
      </c>
      <c r="AA456" t="str">
        <f>IFERROR(__xludf.DUMMYFUNCTION("""COMPUTED_VALUE"""),"Excellent")</f>
        <v>Excellent</v>
      </c>
      <c r="AB456" t="str">
        <f>IFERROR(__xludf.DUMMYFUNCTION("""COMPUTED_VALUE"""),"Excellent")</f>
        <v>Excellent</v>
      </c>
      <c r="AC456">
        <f>IFERROR(__xludf.DUMMYFUNCTION("""COMPUTED_VALUE"""),0.0)</f>
        <v>0</v>
      </c>
      <c r="AD456">
        <f>IFERROR(__xludf.DUMMYFUNCTION("""COMPUTED_VALUE"""),0.0)</f>
        <v>0</v>
      </c>
      <c r="AE456">
        <f>IFERROR(__xludf.DUMMYFUNCTION("""COMPUTED_VALUE"""),0.0)</f>
        <v>0</v>
      </c>
      <c r="AH456" s="189">
        <f>IFERROR(__xludf.DUMMYFUNCTION("""COMPUTED_VALUE"""),43329.88235493055)</f>
        <v>43329.88235</v>
      </c>
    </row>
    <row r="457">
      <c r="A457" t="str">
        <f>IFERROR(__xludf.DUMMYFUNCTION("""COMPUTED_VALUE"""),"PatrickM")</f>
        <v>PatrickM</v>
      </c>
      <c r="B457" t="str">
        <f>IFERROR(__xludf.DUMMYFUNCTION("""COMPUTED_VALUE"""),"Fort Collins")</f>
        <v>Fort Collins</v>
      </c>
      <c r="C457" t="str">
        <f>IFERROR(__xludf.DUMMYFUNCTION("""COMPUTED_VALUE"""),"CO")</f>
        <v>CO</v>
      </c>
      <c r="D457" t="str">
        <f>IFERROR(__xludf.DUMMYFUNCTION("""COMPUTED_VALUE"""),"USA")</f>
        <v>USA</v>
      </c>
      <c r="E457" s="188">
        <f>IFERROR(__xludf.DUMMYFUNCTION("""COMPUTED_VALUE"""),43117.0)</f>
        <v>43117</v>
      </c>
      <c r="F457" s="188">
        <f>IFERROR(__xludf.DUMMYFUNCTION("""COMPUTED_VALUE"""),43123.0)</f>
        <v>43123</v>
      </c>
      <c r="H457">
        <f>IFERROR(__xludf.DUMMYFUNCTION("""COMPUTED_VALUE"""),5475.0)</f>
        <v>5475</v>
      </c>
      <c r="I457" t="str">
        <f>IFERROR(__xludf.DUMMYFUNCTION("""COMPUTED_VALUE"""),"01/18")</f>
        <v>01/18</v>
      </c>
      <c r="J457" s="5">
        <f>IFERROR(__xludf.DUMMYFUNCTION("""COMPUTED_VALUE"""),43133.0)</f>
        <v>43133</v>
      </c>
      <c r="K457">
        <f>IFERROR(__xludf.DUMMYFUNCTION("""COMPUTED_VALUE"""),6.0)</f>
        <v>6</v>
      </c>
      <c r="L457">
        <f>IFERROR(__xludf.DUMMYFUNCTION("""COMPUTED_VALUE"""),10.0)</f>
        <v>10</v>
      </c>
      <c r="M457">
        <f>IFERROR(__xludf.DUMMYFUNCTION("""COMPUTED_VALUE"""),16.0)</f>
        <v>16</v>
      </c>
      <c r="N457" t="str">
        <f>IFERROR(__xludf.DUMMYFUNCTION("""COMPUTED_VALUE"""),"Model 3 LR")</f>
        <v>Model 3 LR</v>
      </c>
      <c r="O457" t="str">
        <f>IFERROR(__xludf.DUMMYFUNCTION("""COMPUTED_VALUE"""),"Deep Blue Metallic")</f>
        <v>Deep Blue Metallic</v>
      </c>
      <c r="P457" t="str">
        <f>IFERROR(__xludf.DUMMYFUNCTION("""COMPUTED_VALUE"""),"18 inch Aero")</f>
        <v>18 inch Aero</v>
      </c>
      <c r="Q457" t="str">
        <f>IFERROR(__xludf.DUMMYFUNCTION("""COMPUTED_VALUE"""),"Black seats")</f>
        <v>Black seats</v>
      </c>
      <c r="R457" t="str">
        <f>IFERROR(__xludf.DUMMYFUNCTION("""COMPUTED_VALUE"""),"Enhanced Autopilot")</f>
        <v>Enhanced Autopilot</v>
      </c>
      <c r="X457" t="str">
        <f>IFERROR(__xludf.DUMMYFUNCTION("""COMPUTED_VALUE"""),"Excellent")</f>
        <v>Excellent</v>
      </c>
      <c r="Y457" t="str">
        <f>IFERROR(__xludf.DUMMYFUNCTION("""COMPUTED_VALUE"""),"Excellent")</f>
        <v>Excellent</v>
      </c>
      <c r="Z457" t="str">
        <f>IFERROR(__xludf.DUMMYFUNCTION("""COMPUTED_VALUE"""),"Excellent")</f>
        <v>Excellent</v>
      </c>
      <c r="AA457" t="str">
        <f>IFERROR(__xludf.DUMMYFUNCTION("""COMPUTED_VALUE"""),"Good")</f>
        <v>Good</v>
      </c>
      <c r="AB457" t="str">
        <f>IFERROR(__xludf.DUMMYFUNCTION("""COMPUTED_VALUE"""),"Excellent")</f>
        <v>Excellent</v>
      </c>
      <c r="AC457">
        <f>IFERROR(__xludf.DUMMYFUNCTION("""COMPUTED_VALUE"""),0.0)</f>
        <v>0</v>
      </c>
      <c r="AD457">
        <f>IFERROR(__xludf.DUMMYFUNCTION("""COMPUTED_VALUE"""),0.0)</f>
        <v>0</v>
      </c>
      <c r="AE457">
        <f>IFERROR(__xludf.DUMMYFUNCTION("""COMPUTED_VALUE"""),0.0)</f>
        <v>0</v>
      </c>
      <c r="AG457" t="str">
        <f>IFERROR(__xludf.DUMMYFUNCTION("""COMPUTED_VALUE"""),"Absolutely no issues so far at 6 months, 7500 miles")</f>
        <v>Absolutely no issues so far at 6 months, 7500 miles</v>
      </c>
      <c r="AH457" s="189">
        <f>IFERROR(__xludf.DUMMYFUNCTION("""COMPUTED_VALUE"""),43329.96164340278)</f>
        <v>43329.96164</v>
      </c>
    </row>
    <row r="458">
      <c r="A458" t="str">
        <f>IFERROR(__xludf.DUMMYFUNCTION("""COMPUTED_VALUE"""),"Model3ForMe")</f>
        <v>Model3ForMe</v>
      </c>
      <c r="B458" t="str">
        <f>IFERROR(__xludf.DUMMYFUNCTION("""COMPUTED_VALUE"""),"San Mateo")</f>
        <v>San Mateo</v>
      </c>
      <c r="C458" t="str">
        <f>IFERROR(__xludf.DUMMYFUNCTION("""COMPUTED_VALUE"""),"CA")</f>
        <v>CA</v>
      </c>
      <c r="D458" t="str">
        <f>IFERROR(__xludf.DUMMYFUNCTION("""COMPUTED_VALUE"""),"USA")</f>
        <v>USA</v>
      </c>
      <c r="E458" s="188">
        <f>IFERROR(__xludf.DUMMYFUNCTION("""COMPUTED_VALUE"""),43278.0)</f>
        <v>43278</v>
      </c>
      <c r="F458" s="188">
        <f>IFERROR(__xludf.DUMMYFUNCTION("""COMPUTED_VALUE"""),43325.0)</f>
        <v>43325</v>
      </c>
      <c r="H458">
        <f>IFERROR(__xludf.DUMMYFUNCTION("""COMPUTED_VALUE"""),55555.0)</f>
        <v>55555</v>
      </c>
      <c r="I458" t="str">
        <f>IFERROR(__xludf.DUMMYFUNCTION("""COMPUTED_VALUE"""),"08/18")</f>
        <v>08/18</v>
      </c>
      <c r="J458" s="5">
        <f>IFERROR(__xludf.DUMMYFUNCTION("""COMPUTED_VALUE"""),43329.0)</f>
        <v>43329</v>
      </c>
      <c r="K458">
        <f>IFERROR(__xludf.DUMMYFUNCTION("""COMPUTED_VALUE"""),47.0)</f>
        <v>47</v>
      </c>
      <c r="L458">
        <f>IFERROR(__xludf.DUMMYFUNCTION("""COMPUTED_VALUE"""),4.0)</f>
        <v>4</v>
      </c>
      <c r="M458">
        <f>IFERROR(__xludf.DUMMYFUNCTION("""COMPUTED_VALUE"""),51.0)</f>
        <v>51</v>
      </c>
      <c r="N458" t="str">
        <f>IFERROR(__xludf.DUMMYFUNCTION("""COMPUTED_VALUE"""),"Model 3 Performance")</f>
        <v>Model 3 Performance</v>
      </c>
      <c r="O458" t="str">
        <f>IFERROR(__xludf.DUMMYFUNCTION("""COMPUTED_VALUE"""),"Red Multi-Coat")</f>
        <v>Red Multi-Coat</v>
      </c>
      <c r="P458" t="str">
        <f>IFERROR(__xludf.DUMMYFUNCTION("""COMPUTED_VALUE"""),"20 inch Sport")</f>
        <v>20 inch Sport</v>
      </c>
      <c r="Q458" t="str">
        <f>IFERROR(__xludf.DUMMYFUNCTION("""COMPUTED_VALUE"""),"White seats")</f>
        <v>White seats</v>
      </c>
      <c r="R458" t="str">
        <f>IFERROR(__xludf.DUMMYFUNCTION("""COMPUTED_VALUE"""),"Full Self-Driving")</f>
        <v>Full Self-Driving</v>
      </c>
      <c r="X458" t="str">
        <f>IFERROR(__xludf.DUMMYFUNCTION("""COMPUTED_VALUE"""),"Excellent")</f>
        <v>Excellent</v>
      </c>
      <c r="Y458" t="str">
        <f>IFERROR(__xludf.DUMMYFUNCTION("""COMPUTED_VALUE"""),"Very Good")</f>
        <v>Very Good</v>
      </c>
      <c r="Z458" t="str">
        <f>IFERROR(__xludf.DUMMYFUNCTION("""COMPUTED_VALUE"""),"Good")</f>
        <v>Good</v>
      </c>
      <c r="AA458" t="str">
        <f>IFERROR(__xludf.DUMMYFUNCTION("""COMPUTED_VALUE"""),"Very Good")</f>
        <v>Very Good</v>
      </c>
      <c r="AB458" t="str">
        <f>IFERROR(__xludf.DUMMYFUNCTION("""COMPUTED_VALUE"""),"Good")</f>
        <v>Good</v>
      </c>
      <c r="AH458" s="189">
        <f>IFERROR(__xludf.DUMMYFUNCTION("""COMPUTED_VALUE"""),43330.13334569444)</f>
        <v>43330.13335</v>
      </c>
    </row>
    <row r="459">
      <c r="A459" t="str">
        <f>IFERROR(__xludf.DUMMYFUNCTION("""COMPUTED_VALUE"""),"akn")</f>
        <v>akn</v>
      </c>
      <c r="C459" t="str">
        <f>IFERROR(__xludf.DUMMYFUNCTION("""COMPUTED_VALUE"""),"FL")</f>
        <v>FL</v>
      </c>
      <c r="D459" t="str">
        <f>IFERROR(__xludf.DUMMYFUNCTION("""COMPUTED_VALUE"""),"USA")</f>
        <v>USA</v>
      </c>
      <c r="E459" s="188">
        <f>IFERROR(__xludf.DUMMYFUNCTION("""COMPUTED_VALUE"""),43189.0)</f>
        <v>43189</v>
      </c>
      <c r="F459" s="188">
        <f>IFERROR(__xludf.DUMMYFUNCTION("""COMPUTED_VALUE"""),43214.0)</f>
        <v>43214</v>
      </c>
      <c r="H459">
        <f>IFERROR(__xludf.DUMMYFUNCTION("""COMPUTED_VALUE"""),16785.0)</f>
        <v>16785</v>
      </c>
      <c r="I459" t="str">
        <f>IFERROR(__xludf.DUMMYFUNCTION("""COMPUTED_VALUE"""),"04/18")</f>
        <v>04/18</v>
      </c>
      <c r="J459" s="5">
        <f>IFERROR(__xludf.DUMMYFUNCTION("""COMPUTED_VALUE"""),43238.0)</f>
        <v>43238</v>
      </c>
      <c r="K459">
        <f>IFERROR(__xludf.DUMMYFUNCTION("""COMPUTED_VALUE"""),25.0)</f>
        <v>25</v>
      </c>
      <c r="L459">
        <f>IFERROR(__xludf.DUMMYFUNCTION("""COMPUTED_VALUE"""),24.0)</f>
        <v>24</v>
      </c>
      <c r="M459">
        <f>IFERROR(__xludf.DUMMYFUNCTION("""COMPUTED_VALUE"""),49.0)</f>
        <v>49</v>
      </c>
      <c r="N459" t="str">
        <f>IFERROR(__xludf.DUMMYFUNCTION("""COMPUTED_VALUE"""),"Model 3 LR")</f>
        <v>Model 3 LR</v>
      </c>
      <c r="O459" t="str">
        <f>IFERROR(__xludf.DUMMYFUNCTION("""COMPUTED_VALUE"""),"Red Multi-Coat")</f>
        <v>Red Multi-Coat</v>
      </c>
      <c r="P459" t="str">
        <f>IFERROR(__xludf.DUMMYFUNCTION("""COMPUTED_VALUE"""),"18 inch Aero")</f>
        <v>18 inch Aero</v>
      </c>
      <c r="Q459" t="str">
        <f>IFERROR(__xludf.DUMMYFUNCTION("""COMPUTED_VALUE"""),"Black seats")</f>
        <v>Black seats</v>
      </c>
      <c r="R459" t="str">
        <f>IFERROR(__xludf.DUMMYFUNCTION("""COMPUTED_VALUE"""),"Enhanced Autopilot")</f>
        <v>Enhanced Autopilot</v>
      </c>
      <c r="X459" t="str">
        <f>IFERROR(__xludf.DUMMYFUNCTION("""COMPUTED_VALUE"""),"Very Good")</f>
        <v>Very Good</v>
      </c>
      <c r="Y459" t="str">
        <f>IFERROR(__xludf.DUMMYFUNCTION("""COMPUTED_VALUE"""),"Excellent")</f>
        <v>Excellent</v>
      </c>
      <c r="Z459" t="str">
        <f>IFERROR(__xludf.DUMMYFUNCTION("""COMPUTED_VALUE"""),"Very Good")</f>
        <v>Very Good</v>
      </c>
      <c r="AA459" t="str">
        <f>IFERROR(__xludf.DUMMYFUNCTION("""COMPUTED_VALUE"""),"Excellent")</f>
        <v>Excellent</v>
      </c>
      <c r="AB459" t="str">
        <f>IFERROR(__xludf.DUMMYFUNCTION("""COMPUTED_VALUE"""),"Excellent")</f>
        <v>Excellent</v>
      </c>
      <c r="AC459">
        <f>IFERROR(__xludf.DUMMYFUNCTION("""COMPUTED_VALUE"""),2.0)</f>
        <v>2</v>
      </c>
      <c r="AD459">
        <f>IFERROR(__xludf.DUMMYFUNCTION("""COMPUTED_VALUE"""),0.0)</f>
        <v>0</v>
      </c>
      <c r="AE459">
        <f>IFERROR(__xludf.DUMMYFUNCTION("""COMPUTED_VALUE"""),0.0)</f>
        <v>0</v>
      </c>
      <c r="AH459" s="189">
        <f>IFERROR(__xludf.DUMMYFUNCTION("""COMPUTED_VALUE"""),43330.25767678241)</f>
        <v>43330.25768</v>
      </c>
    </row>
    <row r="460">
      <c r="A460" t="str">
        <f>IFERROR(__xludf.DUMMYFUNCTION("""COMPUTED_VALUE"""),"Jeff L")</f>
        <v>Jeff L</v>
      </c>
      <c r="B460" t="str">
        <f>IFERROR(__xludf.DUMMYFUNCTION("""COMPUTED_VALUE"""),"Tucson")</f>
        <v>Tucson</v>
      </c>
      <c r="C460" t="str">
        <f>IFERROR(__xludf.DUMMYFUNCTION("""COMPUTED_VALUE"""),"AZ")</f>
        <v>AZ</v>
      </c>
      <c r="D460" t="str">
        <f>IFERROR(__xludf.DUMMYFUNCTION("""COMPUTED_VALUE"""),"USA")</f>
        <v>USA</v>
      </c>
      <c r="E460" s="188">
        <f>IFERROR(__xludf.DUMMYFUNCTION("""COMPUTED_VALUE"""),43208.0)</f>
        <v>43208</v>
      </c>
      <c r="F460" s="188">
        <f>IFERROR(__xludf.DUMMYFUNCTION("""COMPUTED_VALUE"""),43276.0)</f>
        <v>43276</v>
      </c>
      <c r="H460">
        <f>IFERROR(__xludf.DUMMYFUNCTION("""COMPUTED_VALUE"""),36041.0)</f>
        <v>36041</v>
      </c>
      <c r="I460" t="str">
        <f>IFERROR(__xludf.DUMMYFUNCTION("""COMPUTED_VALUE"""),"06/18")</f>
        <v>06/18</v>
      </c>
      <c r="J460" s="5">
        <f>IFERROR(__xludf.DUMMYFUNCTION("""COMPUTED_VALUE"""),43295.0)</f>
        <v>43295</v>
      </c>
      <c r="K460">
        <f>IFERROR(__xludf.DUMMYFUNCTION("""COMPUTED_VALUE"""),68.0)</f>
        <v>68</v>
      </c>
      <c r="L460">
        <f>IFERROR(__xludf.DUMMYFUNCTION("""COMPUTED_VALUE"""),19.0)</f>
        <v>19</v>
      </c>
      <c r="M460">
        <f>IFERROR(__xludf.DUMMYFUNCTION("""COMPUTED_VALUE"""),87.0)</f>
        <v>87</v>
      </c>
      <c r="N460" t="str">
        <f>IFERROR(__xludf.DUMMYFUNCTION("""COMPUTED_VALUE"""),"Model 3 LR")</f>
        <v>Model 3 LR</v>
      </c>
      <c r="O460" t="str">
        <f>IFERROR(__xludf.DUMMYFUNCTION("""COMPUTED_VALUE"""),"Pearl White Multi-Coat")</f>
        <v>Pearl White Multi-Coat</v>
      </c>
      <c r="P460" t="str">
        <f>IFERROR(__xludf.DUMMYFUNCTION("""COMPUTED_VALUE"""),"19 inch Sport")</f>
        <v>19 inch Sport</v>
      </c>
      <c r="Q460" t="str">
        <f>IFERROR(__xludf.DUMMYFUNCTION("""COMPUTED_VALUE"""),"Black seats")</f>
        <v>Black seats</v>
      </c>
      <c r="R460" t="str">
        <f>IFERROR(__xludf.DUMMYFUNCTION("""COMPUTED_VALUE"""),"Enhanced Autopilot")</f>
        <v>Enhanced Autopilot</v>
      </c>
      <c r="X460" t="str">
        <f>IFERROR(__xludf.DUMMYFUNCTION("""COMPUTED_VALUE"""),"Excellent")</f>
        <v>Excellent</v>
      </c>
      <c r="Y460" t="str">
        <f>IFERROR(__xludf.DUMMYFUNCTION("""COMPUTED_VALUE"""),"Very Good")</f>
        <v>Very Good</v>
      </c>
      <c r="Z460" t="str">
        <f>IFERROR(__xludf.DUMMYFUNCTION("""COMPUTED_VALUE"""),"Very Good")</f>
        <v>Very Good</v>
      </c>
      <c r="AA460" t="str">
        <f>IFERROR(__xludf.DUMMYFUNCTION("""COMPUTED_VALUE"""),"Excellent")</f>
        <v>Excellent</v>
      </c>
      <c r="AB460" t="str">
        <f>IFERROR(__xludf.DUMMYFUNCTION("""COMPUTED_VALUE"""),"Excellent")</f>
        <v>Excellent</v>
      </c>
      <c r="AC460">
        <f>IFERROR(__xludf.DUMMYFUNCTION("""COMPUTED_VALUE"""),1.0)</f>
        <v>1</v>
      </c>
      <c r="AD460">
        <f>IFERROR(__xludf.DUMMYFUNCTION("""COMPUTED_VALUE"""),1.0)</f>
        <v>1</v>
      </c>
      <c r="AE460">
        <f>IFERROR(__xludf.DUMMYFUNCTION("""COMPUTED_VALUE"""),0.0)</f>
        <v>0</v>
      </c>
      <c r="AH460" s="189">
        <f>IFERROR(__xludf.DUMMYFUNCTION("""COMPUTED_VALUE"""),43330.33339165509)</f>
        <v>43330.33339</v>
      </c>
    </row>
    <row r="461">
      <c r="A461" t="str">
        <f>IFERROR(__xludf.DUMMYFUNCTION("""COMPUTED_VALUE"""),"WhyBuyGas")</f>
        <v>WhyBuyGas</v>
      </c>
      <c r="C461" t="str">
        <f>IFERROR(__xludf.DUMMYFUNCTION("""COMPUTED_VALUE"""),"FL")</f>
        <v>FL</v>
      </c>
      <c r="D461" t="str">
        <f>IFERROR(__xludf.DUMMYFUNCTION("""COMPUTED_VALUE"""),"USA")</f>
        <v>USA</v>
      </c>
      <c r="E461" s="188">
        <f>IFERROR(__xludf.DUMMYFUNCTION("""COMPUTED_VALUE"""),43278.0)</f>
        <v>43278</v>
      </c>
      <c r="F461" s="188">
        <f>IFERROR(__xludf.DUMMYFUNCTION("""COMPUTED_VALUE"""),43281.0)</f>
        <v>43281</v>
      </c>
      <c r="H461">
        <f>IFERROR(__xludf.DUMMYFUNCTION("""COMPUTED_VALUE"""),30855.0)</f>
        <v>30855</v>
      </c>
      <c r="I461" t="str">
        <f>IFERROR(__xludf.DUMMYFUNCTION("""COMPUTED_VALUE"""),"06/18")</f>
        <v>06/18</v>
      </c>
      <c r="J461" s="5">
        <f>IFERROR(__xludf.DUMMYFUNCTION("""COMPUTED_VALUE"""),43293.0)</f>
        <v>43293</v>
      </c>
      <c r="K461">
        <f>IFERROR(__xludf.DUMMYFUNCTION("""COMPUTED_VALUE"""),3.0)</f>
        <v>3</v>
      </c>
      <c r="L461">
        <f>IFERROR(__xludf.DUMMYFUNCTION("""COMPUTED_VALUE"""),12.0)</f>
        <v>12</v>
      </c>
      <c r="M461">
        <f>IFERROR(__xludf.DUMMYFUNCTION("""COMPUTED_VALUE"""),15.0)</f>
        <v>15</v>
      </c>
      <c r="N461" t="str">
        <f>IFERROR(__xludf.DUMMYFUNCTION("""COMPUTED_VALUE"""),"Model 3 LR")</f>
        <v>Model 3 LR</v>
      </c>
      <c r="O461" t="str">
        <f>IFERROR(__xludf.DUMMYFUNCTION("""COMPUTED_VALUE"""),"Deep Blue Metallic")</f>
        <v>Deep Blue Metallic</v>
      </c>
      <c r="P461" t="str">
        <f>IFERROR(__xludf.DUMMYFUNCTION("""COMPUTED_VALUE"""),"18 inch Aero")</f>
        <v>18 inch Aero</v>
      </c>
      <c r="Q461" t="str">
        <f>IFERROR(__xludf.DUMMYFUNCTION("""COMPUTED_VALUE"""),"Black seats")</f>
        <v>Black seats</v>
      </c>
      <c r="R461" t="str">
        <f>IFERROR(__xludf.DUMMYFUNCTION("""COMPUTED_VALUE"""),"Enhanced Autopilot")</f>
        <v>Enhanced Autopilot</v>
      </c>
      <c r="X461" t="str">
        <f>IFERROR(__xludf.DUMMYFUNCTION("""COMPUTED_VALUE"""),"Excellent")</f>
        <v>Excellent</v>
      </c>
      <c r="Y461" t="str">
        <f>IFERROR(__xludf.DUMMYFUNCTION("""COMPUTED_VALUE"""),"Excellent")</f>
        <v>Excellent</v>
      </c>
      <c r="Z461" t="str">
        <f>IFERROR(__xludf.DUMMYFUNCTION("""COMPUTED_VALUE"""),"Excellent")</f>
        <v>Excellent</v>
      </c>
      <c r="AA461" t="str">
        <f>IFERROR(__xludf.DUMMYFUNCTION("""COMPUTED_VALUE"""),"Very Good")</f>
        <v>Very Good</v>
      </c>
      <c r="AB461" t="str">
        <f>IFERROR(__xludf.DUMMYFUNCTION("""COMPUTED_VALUE"""),"Very Good")</f>
        <v>Very Good</v>
      </c>
      <c r="AC461">
        <f>IFERROR(__xludf.DUMMYFUNCTION("""COMPUTED_VALUE"""),3.0)</f>
        <v>3</v>
      </c>
      <c r="AD461">
        <f>IFERROR(__xludf.DUMMYFUNCTION("""COMPUTED_VALUE"""),2.0)</f>
        <v>2</v>
      </c>
      <c r="AE461">
        <f>IFERROR(__xludf.DUMMYFUNCTION("""COMPUTED_VALUE"""),4.0)</f>
        <v>4</v>
      </c>
      <c r="AH461" s="189">
        <f>IFERROR(__xludf.DUMMYFUNCTION("""COMPUTED_VALUE"""),43330.34554980324)</f>
        <v>43330.34555</v>
      </c>
    </row>
    <row r="462">
      <c r="A462" t="str">
        <f>IFERROR(__xludf.DUMMYFUNCTION("""COMPUTED_VALUE"""),"ynguldyn")</f>
        <v>ynguldyn</v>
      </c>
      <c r="C462" t="str">
        <f>IFERROR(__xludf.DUMMYFUNCTION("""COMPUTED_VALUE"""),"MA")</f>
        <v>MA</v>
      </c>
      <c r="D462" t="str">
        <f>IFERROR(__xludf.DUMMYFUNCTION("""COMPUTED_VALUE"""),"USA")</f>
        <v>USA</v>
      </c>
      <c r="E462" s="188">
        <f>IFERROR(__xludf.DUMMYFUNCTION("""COMPUTED_VALUE"""),43278.0)</f>
        <v>43278</v>
      </c>
      <c r="F462" s="188">
        <f>IFERROR(__xludf.DUMMYFUNCTION("""COMPUTED_VALUE"""),43314.0)</f>
        <v>43314</v>
      </c>
      <c r="H462">
        <f>IFERROR(__xludf.DUMMYFUNCTION("""COMPUTED_VALUE"""),64385.0)</f>
        <v>64385</v>
      </c>
      <c r="J462" s="5">
        <f>IFERROR(__xludf.DUMMYFUNCTION("""COMPUTED_VALUE"""),43330.0)</f>
        <v>43330</v>
      </c>
      <c r="K462">
        <f>IFERROR(__xludf.DUMMYFUNCTION("""COMPUTED_VALUE"""),36.0)</f>
        <v>36</v>
      </c>
      <c r="L462">
        <f>IFERROR(__xludf.DUMMYFUNCTION("""COMPUTED_VALUE"""),16.0)</f>
        <v>16</v>
      </c>
      <c r="M462">
        <f>IFERROR(__xludf.DUMMYFUNCTION("""COMPUTED_VALUE"""),52.0)</f>
        <v>52</v>
      </c>
      <c r="N462" t="str">
        <f>IFERROR(__xludf.DUMMYFUNCTION("""COMPUTED_VALUE"""),"Model 3 LR AWD")</f>
        <v>Model 3 LR AWD</v>
      </c>
      <c r="O462" t="str">
        <f>IFERROR(__xludf.DUMMYFUNCTION("""COMPUTED_VALUE"""),"Deep Blue Metallic")</f>
        <v>Deep Blue Metallic</v>
      </c>
      <c r="P462" t="str">
        <f>IFERROR(__xludf.DUMMYFUNCTION("""COMPUTED_VALUE"""),"18 inch Aero")</f>
        <v>18 inch Aero</v>
      </c>
      <c r="Q462" t="str">
        <f>IFERROR(__xludf.DUMMYFUNCTION("""COMPUTED_VALUE"""),"Black seats")</f>
        <v>Black seats</v>
      </c>
      <c r="R462" t="str">
        <f>IFERROR(__xludf.DUMMYFUNCTION("""COMPUTED_VALUE"""),"None")</f>
        <v>None</v>
      </c>
      <c r="X462" t="str">
        <f>IFERROR(__xludf.DUMMYFUNCTION("""COMPUTED_VALUE"""),"Very Good")</f>
        <v>Very Good</v>
      </c>
      <c r="Y462" t="str">
        <f>IFERROR(__xludf.DUMMYFUNCTION("""COMPUTED_VALUE"""),"Excellent")</f>
        <v>Excellent</v>
      </c>
      <c r="Z462" t="str">
        <f>IFERROR(__xludf.DUMMYFUNCTION("""COMPUTED_VALUE"""),"Very Good")</f>
        <v>Very Good</v>
      </c>
      <c r="AA462" t="str">
        <f>IFERROR(__xludf.DUMMYFUNCTION("""COMPUTED_VALUE"""),"Fair")</f>
        <v>Fair</v>
      </c>
      <c r="AB462" t="str">
        <f>IFERROR(__xludf.DUMMYFUNCTION("""COMPUTED_VALUE"""),"Excellent")</f>
        <v>Excellent</v>
      </c>
      <c r="AC462">
        <f>IFERROR(__xludf.DUMMYFUNCTION("""COMPUTED_VALUE"""),2.0)</f>
        <v>2</v>
      </c>
      <c r="AH462" s="189">
        <f>IFERROR(__xludf.DUMMYFUNCTION("""COMPUTED_VALUE"""),43330.54420800926)</f>
        <v>43330.54421</v>
      </c>
    </row>
    <row r="463">
      <c r="A463" t="str">
        <f>IFERROR(__xludf.DUMMYFUNCTION("""COMPUTED_VALUE"""),"JudyofYorktown")</f>
        <v>JudyofYorktown</v>
      </c>
      <c r="B463" t="str">
        <f>IFERROR(__xludf.DUMMYFUNCTION("""COMPUTED_VALUE"""),"Yorktown")</f>
        <v>Yorktown</v>
      </c>
      <c r="C463" t="str">
        <f>IFERROR(__xludf.DUMMYFUNCTION("""COMPUTED_VALUE"""),"VA")</f>
        <v>VA</v>
      </c>
      <c r="D463" t="str">
        <f>IFERROR(__xludf.DUMMYFUNCTION("""COMPUTED_VALUE"""),"USA")</f>
        <v>USA</v>
      </c>
      <c r="E463" s="188">
        <f>IFERROR(__xludf.DUMMYFUNCTION("""COMPUTED_VALUE"""),43279.0)</f>
        <v>43279</v>
      </c>
      <c r="F463" s="188">
        <f>IFERROR(__xludf.DUMMYFUNCTION("""COMPUTED_VALUE"""),43312.0)</f>
        <v>43312</v>
      </c>
      <c r="H463">
        <f>IFERROR(__xludf.DUMMYFUNCTION("""COMPUTED_VALUE"""),40755.0)</f>
        <v>40755</v>
      </c>
      <c r="I463" t="str">
        <f>IFERROR(__xludf.DUMMYFUNCTION("""COMPUTED_VALUE"""),"07/18")</f>
        <v>07/18</v>
      </c>
      <c r="J463" s="5">
        <f>IFERROR(__xludf.DUMMYFUNCTION("""COMPUTED_VALUE"""),43321.0)</f>
        <v>43321</v>
      </c>
      <c r="K463">
        <f>IFERROR(__xludf.DUMMYFUNCTION("""COMPUTED_VALUE"""),33.0)</f>
        <v>33</v>
      </c>
      <c r="L463">
        <f>IFERROR(__xludf.DUMMYFUNCTION("""COMPUTED_VALUE"""),9.0)</f>
        <v>9</v>
      </c>
      <c r="M463">
        <f>IFERROR(__xludf.DUMMYFUNCTION("""COMPUTED_VALUE"""),42.0)</f>
        <v>42</v>
      </c>
      <c r="N463" t="str">
        <f>IFERROR(__xludf.DUMMYFUNCTION("""COMPUTED_VALUE"""),"Model 3 LR")</f>
        <v>Model 3 LR</v>
      </c>
      <c r="O463" t="str">
        <f>IFERROR(__xludf.DUMMYFUNCTION("""COMPUTED_VALUE"""),"Red Multi-Coat")</f>
        <v>Red Multi-Coat</v>
      </c>
      <c r="P463" t="str">
        <f>IFERROR(__xludf.DUMMYFUNCTION("""COMPUTED_VALUE"""),"18 inch Aero")</f>
        <v>18 inch Aero</v>
      </c>
      <c r="Q463" t="str">
        <f>IFERROR(__xludf.DUMMYFUNCTION("""COMPUTED_VALUE"""),"Black seats")</f>
        <v>Black seats</v>
      </c>
      <c r="R463" t="str">
        <f>IFERROR(__xludf.DUMMYFUNCTION("""COMPUTED_VALUE"""),"Enhanced Autopilot")</f>
        <v>Enhanced Autopilot</v>
      </c>
      <c r="X463" t="str">
        <f>IFERROR(__xludf.DUMMYFUNCTION("""COMPUTED_VALUE"""),"Excellent")</f>
        <v>Excellent</v>
      </c>
      <c r="Y463" t="str">
        <f>IFERROR(__xludf.DUMMYFUNCTION("""COMPUTED_VALUE"""),"Excellent")</f>
        <v>Excellent</v>
      </c>
      <c r="Z463" t="str">
        <f>IFERROR(__xludf.DUMMYFUNCTION("""COMPUTED_VALUE"""),"Excellent")</f>
        <v>Excellent</v>
      </c>
      <c r="AA463" t="str">
        <f>IFERROR(__xludf.DUMMYFUNCTION("""COMPUTED_VALUE"""),"Fair")</f>
        <v>Fair</v>
      </c>
      <c r="AB463" t="str">
        <f>IFERROR(__xludf.DUMMYFUNCTION("""COMPUTED_VALUE"""),"Excellent")</f>
        <v>Excellent</v>
      </c>
      <c r="AC463">
        <f>IFERROR(__xludf.DUMMYFUNCTION("""COMPUTED_VALUE"""),1.0)</f>
        <v>1</v>
      </c>
      <c r="AD463">
        <f>IFERROR(__xludf.DUMMYFUNCTION("""COMPUTED_VALUE"""),1.0)</f>
        <v>1</v>
      </c>
      <c r="AG463" t="str">
        <f>IFERROR(__xludf.DUMMYFUNCTION("""COMPUTED_VALUE"""),"Change from AWD to RWD on July 28 and color from Metalic Blue to Multicoat Red")</f>
        <v>Change from AWD to RWD on July 28 and color from Metalic Blue to Multicoat Red</v>
      </c>
      <c r="AH463" s="189">
        <f>IFERROR(__xludf.DUMMYFUNCTION("""COMPUTED_VALUE"""),43330.56941443287)</f>
        <v>43330.56941</v>
      </c>
    </row>
    <row r="464">
      <c r="A464" t="str">
        <f>IFERROR(__xludf.DUMMYFUNCTION("""COMPUTED_VALUE"""),"cself")</f>
        <v>cself</v>
      </c>
      <c r="B464" t="str">
        <f>IFERROR(__xludf.DUMMYFUNCTION("""COMPUTED_VALUE"""),"Houston")</f>
        <v>Houston</v>
      </c>
      <c r="C464" t="str">
        <f>IFERROR(__xludf.DUMMYFUNCTION("""COMPUTED_VALUE"""),"TX")</f>
        <v>TX</v>
      </c>
      <c r="D464" t="str">
        <f>IFERROR(__xludf.DUMMYFUNCTION("""COMPUTED_VALUE"""),"USA")</f>
        <v>USA</v>
      </c>
      <c r="E464" s="188">
        <f>IFERROR(__xludf.DUMMYFUNCTION("""COMPUTED_VALUE"""),43344.0)</f>
        <v>43344</v>
      </c>
      <c r="F464" s="188">
        <f>IFERROR(__xludf.DUMMYFUNCTION("""COMPUTED_VALUE"""),43314.0)</f>
        <v>43314</v>
      </c>
      <c r="H464">
        <f>IFERROR(__xludf.DUMMYFUNCTION("""COMPUTED_VALUE"""),43855.0)</f>
        <v>43855</v>
      </c>
      <c r="J464" s="5">
        <f>IFERROR(__xludf.DUMMYFUNCTION("""COMPUTED_VALUE"""),43339.0)</f>
        <v>43339</v>
      </c>
      <c r="L464">
        <f>IFERROR(__xludf.DUMMYFUNCTION("""COMPUTED_VALUE"""),25.0)</f>
        <v>25</v>
      </c>
      <c r="N464" t="str">
        <f>IFERROR(__xludf.DUMMYFUNCTION("""COMPUTED_VALUE"""),"Model 3 LR")</f>
        <v>Model 3 LR</v>
      </c>
      <c r="O464" t="str">
        <f>IFERROR(__xludf.DUMMYFUNCTION("""COMPUTED_VALUE"""),"Pearl White Multi-Coat")</f>
        <v>Pearl White Multi-Coat</v>
      </c>
      <c r="P464" t="str">
        <f>IFERROR(__xludf.DUMMYFUNCTION("""COMPUTED_VALUE"""),"18 inch Aero")</f>
        <v>18 inch Aero</v>
      </c>
      <c r="Q464" t="str">
        <f>IFERROR(__xludf.DUMMYFUNCTION("""COMPUTED_VALUE"""),"Black seats")</f>
        <v>Black seats</v>
      </c>
      <c r="R464" t="str">
        <f>IFERROR(__xludf.DUMMYFUNCTION("""COMPUTED_VALUE"""),"Enhanced Autopilot")</f>
        <v>Enhanced Autopilot</v>
      </c>
      <c r="AA464" t="str">
        <f>IFERROR(__xludf.DUMMYFUNCTION("""COMPUTED_VALUE"""),"Poor")</f>
        <v>Poor</v>
      </c>
      <c r="AG464" t="str">
        <f>IFERROR(__xludf.DUMMYFUNCTION("""COMPUTED_VALUE"""),"My ISA has been barely any help. I'm basically doing her job for her.")</f>
        <v>My ISA has been barely any help. I'm basically doing her job for her.</v>
      </c>
      <c r="AH464" s="189">
        <f>IFERROR(__xludf.DUMMYFUNCTION("""COMPUTED_VALUE"""),43330.815055706014)</f>
        <v>43330.81506</v>
      </c>
    </row>
    <row r="465">
      <c r="A465" t="str">
        <f>IFERROR(__xludf.DUMMYFUNCTION("""COMPUTED_VALUE"""),"Steven")</f>
        <v>Steven</v>
      </c>
      <c r="B465" t="str">
        <f>IFERROR(__xludf.DUMMYFUNCTION("""COMPUTED_VALUE"""),"Warner Robins")</f>
        <v>Warner Robins</v>
      </c>
      <c r="C465" t="str">
        <f>IFERROR(__xludf.DUMMYFUNCTION("""COMPUTED_VALUE"""),"GA")</f>
        <v>GA</v>
      </c>
      <c r="D465" t="str">
        <f>IFERROR(__xludf.DUMMYFUNCTION("""COMPUTED_VALUE"""),"USA")</f>
        <v>USA</v>
      </c>
      <c r="E465" s="188">
        <f>IFERROR(__xludf.DUMMYFUNCTION("""COMPUTED_VALUE"""),43281.0)</f>
        <v>43281</v>
      </c>
      <c r="F465" s="188">
        <f>IFERROR(__xludf.DUMMYFUNCTION("""COMPUTED_VALUE"""),43313.0)</f>
        <v>43313</v>
      </c>
      <c r="H465">
        <f>IFERROR(__xludf.DUMMYFUNCTION("""COMPUTED_VALUE"""),51265.0)</f>
        <v>51265</v>
      </c>
      <c r="I465" t="str">
        <f>IFERROR(__xludf.DUMMYFUNCTION("""COMPUTED_VALUE"""),"08/18")</f>
        <v>08/18</v>
      </c>
      <c r="J465" s="5">
        <f>IFERROR(__xludf.DUMMYFUNCTION("""COMPUTED_VALUE"""),43331.0)</f>
        <v>43331</v>
      </c>
      <c r="K465">
        <f>IFERROR(__xludf.DUMMYFUNCTION("""COMPUTED_VALUE"""),32.0)</f>
        <v>32</v>
      </c>
      <c r="L465">
        <f>IFERROR(__xludf.DUMMYFUNCTION("""COMPUTED_VALUE"""),18.0)</f>
        <v>18</v>
      </c>
      <c r="M465">
        <f>IFERROR(__xludf.DUMMYFUNCTION("""COMPUTED_VALUE"""),50.0)</f>
        <v>50</v>
      </c>
      <c r="N465" t="str">
        <f>IFERROR(__xludf.DUMMYFUNCTION("""COMPUTED_VALUE"""),"Model 3 LR")</f>
        <v>Model 3 LR</v>
      </c>
      <c r="O465" t="str">
        <f>IFERROR(__xludf.DUMMYFUNCTION("""COMPUTED_VALUE"""),"Pearl White Multi-Coat")</f>
        <v>Pearl White Multi-Coat</v>
      </c>
      <c r="P465" t="str">
        <f>IFERROR(__xludf.DUMMYFUNCTION("""COMPUTED_VALUE"""),"18 inch Aero")</f>
        <v>18 inch Aero</v>
      </c>
      <c r="Q465" t="str">
        <f>IFERROR(__xludf.DUMMYFUNCTION("""COMPUTED_VALUE"""),"Black seats")</f>
        <v>Black seats</v>
      </c>
      <c r="R465" t="str">
        <f>IFERROR(__xludf.DUMMYFUNCTION("""COMPUTED_VALUE"""),"Enhanced Autopilot")</f>
        <v>Enhanced Autopilot</v>
      </c>
      <c r="X465" t="str">
        <f>IFERROR(__xludf.DUMMYFUNCTION("""COMPUTED_VALUE"""),"Excellent")</f>
        <v>Excellent</v>
      </c>
      <c r="Y465" t="str">
        <f>IFERROR(__xludf.DUMMYFUNCTION("""COMPUTED_VALUE"""),"Excellent")</f>
        <v>Excellent</v>
      </c>
      <c r="Z465" t="str">
        <f>IFERROR(__xludf.DUMMYFUNCTION("""COMPUTED_VALUE"""),"Very Good")</f>
        <v>Very Good</v>
      </c>
      <c r="AA465" t="str">
        <f>IFERROR(__xludf.DUMMYFUNCTION("""COMPUTED_VALUE"""),"Excellent")</f>
        <v>Excellent</v>
      </c>
      <c r="AB465" t="str">
        <f>IFERROR(__xludf.DUMMYFUNCTION("""COMPUTED_VALUE"""),"Excellent")</f>
        <v>Excellent</v>
      </c>
      <c r="AH465" s="189">
        <f>IFERROR(__xludf.DUMMYFUNCTION("""COMPUTED_VALUE"""),43331.70806319444)</f>
        <v>43331.70806</v>
      </c>
    </row>
    <row r="466">
      <c r="A466" t="str">
        <f>IFERROR(__xludf.DUMMYFUNCTION("""COMPUTED_VALUE"""),"UTC")</f>
        <v>UTC</v>
      </c>
      <c r="B466" t="str">
        <f>IFERROR(__xludf.DUMMYFUNCTION("""COMPUTED_VALUE"""),"Baltimore")</f>
        <v>Baltimore</v>
      </c>
      <c r="C466" t="str">
        <f>IFERROR(__xludf.DUMMYFUNCTION("""COMPUTED_VALUE"""),"MD")</f>
        <v>MD</v>
      </c>
      <c r="D466" t="str">
        <f>IFERROR(__xludf.DUMMYFUNCTION("""COMPUTED_VALUE"""),"USA")</f>
        <v>USA</v>
      </c>
      <c r="E466" s="188">
        <f>IFERROR(__xludf.DUMMYFUNCTION("""COMPUTED_VALUE"""),43304.0)</f>
        <v>43304</v>
      </c>
      <c r="F466" s="188">
        <f>IFERROR(__xludf.DUMMYFUNCTION("""COMPUTED_VALUE"""),43311.0)</f>
        <v>43311</v>
      </c>
      <c r="H466">
        <f>IFERROR(__xludf.DUMMYFUNCTION("""COMPUTED_VALUE"""),54655.0)</f>
        <v>54655</v>
      </c>
      <c r="J466" s="5">
        <f>IFERROR(__xludf.DUMMYFUNCTION("""COMPUTED_VALUE"""),43323.0)</f>
        <v>43323</v>
      </c>
      <c r="K466">
        <f>IFERROR(__xludf.DUMMYFUNCTION("""COMPUTED_VALUE"""),7.0)</f>
        <v>7</v>
      </c>
      <c r="L466">
        <f>IFERROR(__xludf.DUMMYFUNCTION("""COMPUTED_VALUE"""),12.0)</f>
        <v>12</v>
      </c>
      <c r="M466">
        <f>IFERROR(__xludf.DUMMYFUNCTION("""COMPUTED_VALUE"""),19.0)</f>
        <v>19</v>
      </c>
      <c r="N466" t="str">
        <f>IFERROR(__xludf.DUMMYFUNCTION("""COMPUTED_VALUE"""),"Model 3 LR AWD")</f>
        <v>Model 3 LR AWD</v>
      </c>
      <c r="O466" t="str">
        <f>IFERROR(__xludf.DUMMYFUNCTION("""COMPUTED_VALUE"""),"Pearl White Multi-Coat")</f>
        <v>Pearl White Multi-Coat</v>
      </c>
      <c r="P466" t="str">
        <f>IFERROR(__xludf.DUMMYFUNCTION("""COMPUTED_VALUE"""),"18 inch Aero")</f>
        <v>18 inch Aero</v>
      </c>
      <c r="Q466" t="str">
        <f>IFERROR(__xludf.DUMMYFUNCTION("""COMPUTED_VALUE"""),"Black seats")</f>
        <v>Black seats</v>
      </c>
      <c r="R466" t="str">
        <f>IFERROR(__xludf.DUMMYFUNCTION("""COMPUTED_VALUE"""),"None")</f>
        <v>None</v>
      </c>
      <c r="X466" t="str">
        <f>IFERROR(__xludf.DUMMYFUNCTION("""COMPUTED_VALUE"""),"Very Good")</f>
        <v>Very Good</v>
      </c>
      <c r="Y466" t="str">
        <f>IFERROR(__xludf.DUMMYFUNCTION("""COMPUTED_VALUE"""),"Excellent")</f>
        <v>Excellent</v>
      </c>
      <c r="Z466" t="str">
        <f>IFERROR(__xludf.DUMMYFUNCTION("""COMPUTED_VALUE"""),"Fair")</f>
        <v>Fair</v>
      </c>
      <c r="AA466" t="str">
        <f>IFERROR(__xludf.DUMMYFUNCTION("""COMPUTED_VALUE"""),"Fair")</f>
        <v>Fair</v>
      </c>
      <c r="AB466" t="str">
        <f>IFERROR(__xludf.DUMMYFUNCTION("""COMPUTED_VALUE"""),"Very Good")</f>
        <v>Very Good</v>
      </c>
      <c r="AC466">
        <f>IFERROR(__xludf.DUMMYFUNCTION("""COMPUTED_VALUE"""),4.0)</f>
        <v>4</v>
      </c>
      <c r="AH466" s="189">
        <f>IFERROR(__xludf.DUMMYFUNCTION("""COMPUTED_VALUE"""),43331.8242537037)</f>
        <v>43331.82425</v>
      </c>
    </row>
    <row r="467">
      <c r="A467" t="str">
        <f>IFERROR(__xludf.DUMMYFUNCTION("""COMPUTED_VALUE"""),"changsteer")</f>
        <v>changsteer</v>
      </c>
      <c r="B467" t="str">
        <f>IFERROR(__xludf.DUMMYFUNCTION("""COMPUTED_VALUE"""),"North Potomac")</f>
        <v>North Potomac</v>
      </c>
      <c r="C467" t="str">
        <f>IFERROR(__xludf.DUMMYFUNCTION("""COMPUTED_VALUE"""),"MD")</f>
        <v>MD</v>
      </c>
      <c r="D467" t="str">
        <f>IFERROR(__xludf.DUMMYFUNCTION("""COMPUTED_VALUE"""),"USA")</f>
        <v>USA</v>
      </c>
      <c r="E467" s="188">
        <f>IFERROR(__xludf.DUMMYFUNCTION("""COMPUTED_VALUE"""),43280.0)</f>
        <v>43280</v>
      </c>
      <c r="F467" s="188">
        <f>IFERROR(__xludf.DUMMYFUNCTION("""COMPUTED_VALUE"""),43284.0)</f>
        <v>43284</v>
      </c>
      <c r="H467">
        <f>IFERROR(__xludf.DUMMYFUNCTION("""COMPUTED_VALUE"""),34455.0)</f>
        <v>34455</v>
      </c>
      <c r="I467" t="str">
        <f>IFERROR(__xludf.DUMMYFUNCTION("""COMPUTED_VALUE"""),"06/18")</f>
        <v>06/18</v>
      </c>
      <c r="J467" s="5">
        <f>IFERROR(__xludf.DUMMYFUNCTION("""COMPUTED_VALUE"""),43297.0)</f>
        <v>43297</v>
      </c>
      <c r="K467">
        <f>IFERROR(__xludf.DUMMYFUNCTION("""COMPUTED_VALUE"""),4.0)</f>
        <v>4</v>
      </c>
      <c r="L467">
        <f>IFERROR(__xludf.DUMMYFUNCTION("""COMPUTED_VALUE"""),13.0)</f>
        <v>13</v>
      </c>
      <c r="M467">
        <f>IFERROR(__xludf.DUMMYFUNCTION("""COMPUTED_VALUE"""),17.0)</f>
        <v>17</v>
      </c>
      <c r="N467" t="str">
        <f>IFERROR(__xludf.DUMMYFUNCTION("""COMPUTED_VALUE"""),"Model 3 LR")</f>
        <v>Model 3 LR</v>
      </c>
      <c r="O467" t="str">
        <f>IFERROR(__xludf.DUMMYFUNCTION("""COMPUTED_VALUE"""),"Midnight Silver Metallic")</f>
        <v>Midnight Silver Metallic</v>
      </c>
      <c r="P467" t="str">
        <f>IFERROR(__xludf.DUMMYFUNCTION("""COMPUTED_VALUE"""),"18 inch Aero")</f>
        <v>18 inch Aero</v>
      </c>
      <c r="Q467" t="str">
        <f>IFERROR(__xludf.DUMMYFUNCTION("""COMPUTED_VALUE"""),"Black seats")</f>
        <v>Black seats</v>
      </c>
      <c r="R467" t="str">
        <f>IFERROR(__xludf.DUMMYFUNCTION("""COMPUTED_VALUE"""),"Enhanced Autopilot")</f>
        <v>Enhanced Autopilot</v>
      </c>
      <c r="X467" t="str">
        <f>IFERROR(__xludf.DUMMYFUNCTION("""COMPUTED_VALUE"""),"Very Good")</f>
        <v>Very Good</v>
      </c>
      <c r="Y467" t="str">
        <f>IFERROR(__xludf.DUMMYFUNCTION("""COMPUTED_VALUE"""),"Excellent")</f>
        <v>Excellent</v>
      </c>
      <c r="Z467" t="str">
        <f>IFERROR(__xludf.DUMMYFUNCTION("""COMPUTED_VALUE"""),"Very Good")</f>
        <v>Very Good</v>
      </c>
      <c r="AA467" t="str">
        <f>IFERROR(__xludf.DUMMYFUNCTION("""COMPUTED_VALUE"""),"Very Good")</f>
        <v>Very Good</v>
      </c>
      <c r="AB467" t="str">
        <f>IFERROR(__xludf.DUMMYFUNCTION("""COMPUTED_VALUE"""),"Very Good")</f>
        <v>Very Good</v>
      </c>
      <c r="AC467">
        <f>IFERROR(__xludf.DUMMYFUNCTION("""COMPUTED_VALUE"""),1.0)</f>
        <v>1</v>
      </c>
      <c r="AD467">
        <f>IFERROR(__xludf.DUMMYFUNCTION("""COMPUTED_VALUE"""),1.0)</f>
        <v>1</v>
      </c>
      <c r="AE467">
        <f>IFERROR(__xludf.DUMMYFUNCTION("""COMPUTED_VALUE"""),0.0)</f>
        <v>0</v>
      </c>
      <c r="AH467" s="189">
        <f>IFERROR(__xludf.DUMMYFUNCTION("""COMPUTED_VALUE"""),43332.20777113426)</f>
        <v>43332.20777</v>
      </c>
    </row>
    <row r="468">
      <c r="A468" t="str">
        <f>IFERROR(__xludf.DUMMYFUNCTION("""COMPUTED_VALUE"""),"jdanielsonstl")</f>
        <v>jdanielsonstl</v>
      </c>
      <c r="B468" t="str">
        <f>IFERROR(__xludf.DUMMYFUNCTION("""COMPUTED_VALUE"""),"Orlando")</f>
        <v>Orlando</v>
      </c>
      <c r="C468" t="str">
        <f>IFERROR(__xludf.DUMMYFUNCTION("""COMPUTED_VALUE"""),"FL")</f>
        <v>FL</v>
      </c>
      <c r="D468" t="str">
        <f>IFERROR(__xludf.DUMMYFUNCTION("""COMPUTED_VALUE"""),"USA")</f>
        <v>USA</v>
      </c>
      <c r="E468" s="188">
        <f>IFERROR(__xludf.DUMMYFUNCTION("""COMPUTED_VALUE"""),43277.0)</f>
        <v>43277</v>
      </c>
      <c r="F468" s="188">
        <f>IFERROR(__xludf.DUMMYFUNCTION("""COMPUTED_VALUE"""),43313.0)</f>
        <v>43313</v>
      </c>
      <c r="H468">
        <f>IFERROR(__xludf.DUMMYFUNCTION("""COMPUTED_VALUE"""),55055.0)</f>
        <v>55055</v>
      </c>
      <c r="I468" t="str">
        <f>IFERROR(__xludf.DUMMYFUNCTION("""COMPUTED_VALUE"""),"07/18")</f>
        <v>07/18</v>
      </c>
      <c r="J468" s="5">
        <f>IFERROR(__xludf.DUMMYFUNCTION("""COMPUTED_VALUE"""),43329.0)</f>
        <v>43329</v>
      </c>
      <c r="K468">
        <f>IFERROR(__xludf.DUMMYFUNCTION("""COMPUTED_VALUE"""),36.0)</f>
        <v>36</v>
      </c>
      <c r="L468">
        <f>IFERROR(__xludf.DUMMYFUNCTION("""COMPUTED_VALUE"""),16.0)</f>
        <v>16</v>
      </c>
      <c r="M468">
        <f>IFERROR(__xludf.DUMMYFUNCTION("""COMPUTED_VALUE"""),52.0)</f>
        <v>52</v>
      </c>
      <c r="N468" t="str">
        <f>IFERROR(__xludf.DUMMYFUNCTION("""COMPUTED_VALUE"""),"Model 3 LR AWD")</f>
        <v>Model 3 LR AWD</v>
      </c>
      <c r="O468" t="str">
        <f>IFERROR(__xludf.DUMMYFUNCTION("""COMPUTED_VALUE"""),"Pearl White Multi-Coat")</f>
        <v>Pearl White Multi-Coat</v>
      </c>
      <c r="P468" t="str">
        <f>IFERROR(__xludf.DUMMYFUNCTION("""COMPUTED_VALUE"""),"19 inch Sport")</f>
        <v>19 inch Sport</v>
      </c>
      <c r="Q468" t="str">
        <f>IFERROR(__xludf.DUMMYFUNCTION("""COMPUTED_VALUE"""),"Black seats")</f>
        <v>Black seats</v>
      </c>
      <c r="R468" t="str">
        <f>IFERROR(__xludf.DUMMYFUNCTION("""COMPUTED_VALUE"""),"Enhanced Autopilot")</f>
        <v>Enhanced Autopilot</v>
      </c>
      <c r="X468" t="str">
        <f>IFERROR(__xludf.DUMMYFUNCTION("""COMPUTED_VALUE"""),"Excellent")</f>
        <v>Excellent</v>
      </c>
      <c r="Y468" t="str">
        <f>IFERROR(__xludf.DUMMYFUNCTION("""COMPUTED_VALUE"""),"Very Good")</f>
        <v>Very Good</v>
      </c>
      <c r="Z468" t="str">
        <f>IFERROR(__xludf.DUMMYFUNCTION("""COMPUTED_VALUE"""),"Excellent")</f>
        <v>Excellent</v>
      </c>
      <c r="AA468" t="str">
        <f>IFERROR(__xludf.DUMMYFUNCTION("""COMPUTED_VALUE"""),"Fair")</f>
        <v>Fair</v>
      </c>
      <c r="AB468" t="str">
        <f>IFERROR(__xludf.DUMMYFUNCTION("""COMPUTED_VALUE"""),"Excellent")</f>
        <v>Excellent</v>
      </c>
      <c r="AC468">
        <f>IFERROR(__xludf.DUMMYFUNCTION("""COMPUTED_VALUE"""),0.0)</f>
        <v>0</v>
      </c>
      <c r="AD468">
        <f>IFERROR(__xludf.DUMMYFUNCTION("""COMPUTED_VALUE"""),0.0)</f>
        <v>0</v>
      </c>
      <c r="AE468">
        <f>IFERROR(__xludf.DUMMYFUNCTION("""COMPUTED_VALUE"""),0.0)</f>
        <v>0</v>
      </c>
      <c r="AH468" s="189">
        <f>IFERROR(__xludf.DUMMYFUNCTION("""COMPUTED_VALUE"""),43332.32849555556)</f>
        <v>43332.3285</v>
      </c>
    </row>
    <row r="469">
      <c r="A469" t="str">
        <f>IFERROR(__xludf.DUMMYFUNCTION("""COMPUTED_VALUE"""),"FieldGuide")</f>
        <v>FieldGuide</v>
      </c>
      <c r="B469" t="str">
        <f>IFERROR(__xludf.DUMMYFUNCTION("""COMPUTED_VALUE"""),"Chicago")</f>
        <v>Chicago</v>
      </c>
      <c r="C469" t="str">
        <f>IFERROR(__xludf.DUMMYFUNCTION("""COMPUTED_VALUE"""),"IL")</f>
        <v>IL</v>
      </c>
      <c r="D469" t="str">
        <f>IFERROR(__xludf.DUMMYFUNCTION("""COMPUTED_VALUE"""),"USA")</f>
        <v>USA</v>
      </c>
      <c r="E469" s="188">
        <f>IFERROR(__xludf.DUMMYFUNCTION("""COMPUTED_VALUE"""),43297.0)</f>
        <v>43297</v>
      </c>
      <c r="F469" s="188">
        <f>IFERROR(__xludf.DUMMYFUNCTION("""COMPUTED_VALUE"""),43319.0)</f>
        <v>43319</v>
      </c>
      <c r="H469">
        <f>IFERROR(__xludf.DUMMYFUNCTION("""COMPUTED_VALUE"""),55155.0)</f>
        <v>55155</v>
      </c>
      <c r="I469" t="str">
        <f>IFERROR(__xludf.DUMMYFUNCTION("""COMPUTED_VALUE"""),"07/18")</f>
        <v>07/18</v>
      </c>
      <c r="J469" s="5">
        <f>IFERROR(__xludf.DUMMYFUNCTION("""COMPUTED_VALUE"""),43326.0)</f>
        <v>43326</v>
      </c>
      <c r="K469">
        <f>IFERROR(__xludf.DUMMYFUNCTION("""COMPUTED_VALUE"""),22.0)</f>
        <v>22</v>
      </c>
      <c r="L469">
        <f>IFERROR(__xludf.DUMMYFUNCTION("""COMPUTED_VALUE"""),7.0)</f>
        <v>7</v>
      </c>
      <c r="M469">
        <f>IFERROR(__xludf.DUMMYFUNCTION("""COMPUTED_VALUE"""),29.0)</f>
        <v>29</v>
      </c>
      <c r="N469" t="str">
        <f>IFERROR(__xludf.DUMMYFUNCTION("""COMPUTED_VALUE"""),"Model 3 Performance")</f>
        <v>Model 3 Performance</v>
      </c>
      <c r="O469" t="str">
        <f>IFERROR(__xludf.DUMMYFUNCTION("""COMPUTED_VALUE"""),"Midnight Silver Metallic")</f>
        <v>Midnight Silver Metallic</v>
      </c>
      <c r="P469" t="str">
        <f>IFERROR(__xludf.DUMMYFUNCTION("""COMPUTED_VALUE"""),"20 inch Sport")</f>
        <v>20 inch Sport</v>
      </c>
      <c r="Q469" t="str">
        <f>IFERROR(__xludf.DUMMYFUNCTION("""COMPUTED_VALUE"""),"White seats")</f>
        <v>White seats</v>
      </c>
      <c r="R469" t="str">
        <f>IFERROR(__xludf.DUMMYFUNCTION("""COMPUTED_VALUE"""),"Enhanced Autopilot")</f>
        <v>Enhanced Autopilot</v>
      </c>
      <c r="X469" t="str">
        <f>IFERROR(__xludf.DUMMYFUNCTION("""COMPUTED_VALUE"""),"Very Good")</f>
        <v>Very Good</v>
      </c>
      <c r="Y469" t="str">
        <f>IFERROR(__xludf.DUMMYFUNCTION("""COMPUTED_VALUE"""),"Excellent")</f>
        <v>Excellent</v>
      </c>
      <c r="Z469" t="str">
        <f>IFERROR(__xludf.DUMMYFUNCTION("""COMPUTED_VALUE"""),"Very Good")</f>
        <v>Very Good</v>
      </c>
      <c r="AA469" t="str">
        <f>IFERROR(__xludf.DUMMYFUNCTION("""COMPUTED_VALUE"""),"Poor")</f>
        <v>Poor</v>
      </c>
      <c r="AB469" t="str">
        <f>IFERROR(__xludf.DUMMYFUNCTION("""COMPUTED_VALUE"""),"Poor")</f>
        <v>Poor</v>
      </c>
      <c r="AC469">
        <f>IFERROR(__xludf.DUMMYFUNCTION("""COMPUTED_VALUE"""),10.0)</f>
        <v>10</v>
      </c>
      <c r="AH469" s="189">
        <f>IFERROR(__xludf.DUMMYFUNCTION("""COMPUTED_VALUE"""),43332.5398485301)</f>
        <v>43332.53985</v>
      </c>
    </row>
    <row r="470">
      <c r="A470" t="str">
        <f>IFERROR(__xludf.DUMMYFUNCTION("""COMPUTED_VALUE"""),"diamond.g")</f>
        <v>diamond.g</v>
      </c>
      <c r="B470" t="str">
        <f>IFERROR(__xludf.DUMMYFUNCTION("""COMPUTED_VALUE"""),"Moyock")</f>
        <v>Moyock</v>
      </c>
      <c r="C470" t="str">
        <f>IFERROR(__xludf.DUMMYFUNCTION("""COMPUTED_VALUE"""),"NC")</f>
        <v>NC</v>
      </c>
      <c r="D470" t="str">
        <f>IFERROR(__xludf.DUMMYFUNCTION("""COMPUTED_VALUE"""),"USA")</f>
        <v>USA</v>
      </c>
      <c r="E470" s="188">
        <f>IFERROR(__xludf.DUMMYFUNCTION("""COMPUTED_VALUE"""),43243.0)</f>
        <v>43243</v>
      </c>
      <c r="F470" s="188">
        <f>IFERROR(__xludf.DUMMYFUNCTION("""COMPUTED_VALUE"""),43306.0)</f>
        <v>43306</v>
      </c>
      <c r="H470">
        <f>IFERROR(__xludf.DUMMYFUNCTION("""COMPUTED_VALUE"""),54255.0)</f>
        <v>54255</v>
      </c>
      <c r="I470" t="str">
        <f>IFERROR(__xludf.DUMMYFUNCTION("""COMPUTED_VALUE"""),"07/18")</f>
        <v>07/18</v>
      </c>
      <c r="J470" s="5">
        <f>IFERROR(__xludf.DUMMYFUNCTION("""COMPUTED_VALUE"""),43327.0)</f>
        <v>43327</v>
      </c>
      <c r="K470">
        <f>IFERROR(__xludf.DUMMYFUNCTION("""COMPUTED_VALUE"""),63.0)</f>
        <v>63</v>
      </c>
      <c r="L470">
        <f>IFERROR(__xludf.DUMMYFUNCTION("""COMPUTED_VALUE"""),21.0)</f>
        <v>21</v>
      </c>
      <c r="M470">
        <f>IFERROR(__xludf.DUMMYFUNCTION("""COMPUTED_VALUE"""),84.0)</f>
        <v>84</v>
      </c>
      <c r="N470" t="str">
        <f>IFERROR(__xludf.DUMMYFUNCTION("""COMPUTED_VALUE"""),"Model 3 LR AWD")</f>
        <v>Model 3 LR AWD</v>
      </c>
      <c r="O470" t="str">
        <f>IFERROR(__xludf.DUMMYFUNCTION("""COMPUTED_VALUE"""),"Midnight Silver Metallic")</f>
        <v>Midnight Silver Metallic</v>
      </c>
      <c r="P470" t="str">
        <f>IFERROR(__xludf.DUMMYFUNCTION("""COMPUTED_VALUE"""),"18 inch Aero")</f>
        <v>18 inch Aero</v>
      </c>
      <c r="Q470" t="str">
        <f>IFERROR(__xludf.DUMMYFUNCTION("""COMPUTED_VALUE"""),"Black seats")</f>
        <v>Black seats</v>
      </c>
      <c r="R470" t="str">
        <f>IFERROR(__xludf.DUMMYFUNCTION("""COMPUTED_VALUE"""),"Enhanced Autopilot")</f>
        <v>Enhanced Autopilot</v>
      </c>
      <c r="X470" t="str">
        <f>IFERROR(__xludf.DUMMYFUNCTION("""COMPUTED_VALUE"""),"Good")</f>
        <v>Good</v>
      </c>
      <c r="Y470" t="str">
        <f>IFERROR(__xludf.DUMMYFUNCTION("""COMPUTED_VALUE"""),"Very Good")</f>
        <v>Very Good</v>
      </c>
      <c r="Z470" t="str">
        <f>IFERROR(__xludf.DUMMYFUNCTION("""COMPUTED_VALUE"""),"Very Good")</f>
        <v>Very Good</v>
      </c>
      <c r="AA470" t="str">
        <f>IFERROR(__xludf.DUMMYFUNCTION("""COMPUTED_VALUE"""),"Fair")</f>
        <v>Fair</v>
      </c>
      <c r="AB470" t="str">
        <f>IFERROR(__xludf.DUMMYFUNCTION("""COMPUTED_VALUE"""),"Very Good")</f>
        <v>Very Good</v>
      </c>
      <c r="AH470" s="189">
        <f>IFERROR(__xludf.DUMMYFUNCTION("""COMPUTED_VALUE"""),43332.64374342593)</f>
        <v>43332.64374</v>
      </c>
    </row>
    <row r="471">
      <c r="A471" t="str">
        <f>IFERROR(__xludf.DUMMYFUNCTION("""COMPUTED_VALUE"""),"DLM270")</f>
        <v>DLM270</v>
      </c>
      <c r="B471" t="str">
        <f>IFERROR(__xludf.DUMMYFUNCTION("""COMPUTED_VALUE"""),"Fremont")</f>
        <v>Fremont</v>
      </c>
      <c r="C471" t="str">
        <f>IFERROR(__xludf.DUMMYFUNCTION("""COMPUTED_VALUE"""),"CA")</f>
        <v>CA</v>
      </c>
      <c r="D471" t="str">
        <f>IFERROR(__xludf.DUMMYFUNCTION("""COMPUTED_VALUE"""),"USA")</f>
        <v>USA</v>
      </c>
      <c r="E471" s="188">
        <f>IFERROR(__xludf.DUMMYFUNCTION("""COMPUTED_VALUE"""),43278.0)</f>
        <v>43278</v>
      </c>
      <c r="F471" s="188">
        <f>IFERROR(__xludf.DUMMYFUNCTION("""COMPUTED_VALUE"""),43325.0)</f>
        <v>43325</v>
      </c>
      <c r="H471">
        <f>IFERROR(__xludf.DUMMYFUNCTION("""COMPUTED_VALUE"""),63855.0)</f>
        <v>63855</v>
      </c>
      <c r="I471" t="str">
        <f>IFERROR(__xludf.DUMMYFUNCTION("""COMPUTED_VALUE"""),"08/18")</f>
        <v>08/18</v>
      </c>
      <c r="J471" s="5">
        <f>IFERROR(__xludf.DUMMYFUNCTION("""COMPUTED_VALUE"""),43332.0)</f>
        <v>43332</v>
      </c>
      <c r="K471">
        <f>IFERROR(__xludf.DUMMYFUNCTION("""COMPUTED_VALUE"""),47.0)</f>
        <v>47</v>
      </c>
      <c r="L471">
        <f>IFERROR(__xludf.DUMMYFUNCTION("""COMPUTED_VALUE"""),7.0)</f>
        <v>7</v>
      </c>
      <c r="M471">
        <f>IFERROR(__xludf.DUMMYFUNCTION("""COMPUTED_VALUE"""),54.0)</f>
        <v>54</v>
      </c>
      <c r="N471" t="str">
        <f>IFERROR(__xludf.DUMMYFUNCTION("""COMPUTED_VALUE"""),"Model 3 LR AWD")</f>
        <v>Model 3 LR AWD</v>
      </c>
      <c r="O471" t="str">
        <f>IFERROR(__xludf.DUMMYFUNCTION("""COMPUTED_VALUE"""),"Deep Blue Metallic")</f>
        <v>Deep Blue Metallic</v>
      </c>
      <c r="P471" t="str">
        <f>IFERROR(__xludf.DUMMYFUNCTION("""COMPUTED_VALUE"""),"19 inch Sport")</f>
        <v>19 inch Sport</v>
      </c>
      <c r="Q471" t="str">
        <f>IFERROR(__xludf.DUMMYFUNCTION("""COMPUTED_VALUE"""),"Black seats")</f>
        <v>Black seats</v>
      </c>
      <c r="R471" t="str">
        <f>IFERROR(__xludf.DUMMYFUNCTION("""COMPUTED_VALUE"""),"Enhanced Autopilot")</f>
        <v>Enhanced Autopilot</v>
      </c>
      <c r="X471" t="str">
        <f>IFERROR(__xludf.DUMMYFUNCTION("""COMPUTED_VALUE"""),"Very Good")</f>
        <v>Very Good</v>
      </c>
      <c r="Y471" t="str">
        <f>IFERROR(__xludf.DUMMYFUNCTION("""COMPUTED_VALUE"""),"Very Good")</f>
        <v>Very Good</v>
      </c>
      <c r="Z471" t="str">
        <f>IFERROR(__xludf.DUMMYFUNCTION("""COMPUTED_VALUE"""),"Excellent")</f>
        <v>Excellent</v>
      </c>
      <c r="AA471" t="str">
        <f>IFERROR(__xludf.DUMMYFUNCTION("""COMPUTED_VALUE"""),"Excellent")</f>
        <v>Excellent</v>
      </c>
      <c r="AB471" t="str">
        <f>IFERROR(__xludf.DUMMYFUNCTION("""COMPUTED_VALUE"""),"Excellent")</f>
        <v>Excellent</v>
      </c>
      <c r="AC471">
        <f>IFERROR(__xludf.DUMMYFUNCTION("""COMPUTED_VALUE"""),0.0)</f>
        <v>0</v>
      </c>
      <c r="AH471" s="189">
        <f>IFERROR(__xludf.DUMMYFUNCTION("""COMPUTED_VALUE"""),43332.65062616898)</f>
        <v>43332.65063</v>
      </c>
    </row>
    <row r="472">
      <c r="A472" t="str">
        <f>IFERROR(__xludf.DUMMYFUNCTION("""COMPUTED_VALUE"""),"TGA")</f>
        <v>TGA</v>
      </c>
      <c r="C472" t="str">
        <f>IFERROR(__xludf.DUMMYFUNCTION("""COMPUTED_VALUE"""),"CA")</f>
        <v>CA</v>
      </c>
      <c r="D472" t="str">
        <f>IFERROR(__xludf.DUMMYFUNCTION("""COMPUTED_VALUE"""),"USA")</f>
        <v>USA</v>
      </c>
      <c r="E472" s="188">
        <f>IFERROR(__xludf.DUMMYFUNCTION("""COMPUTED_VALUE"""),43316.0)</f>
        <v>43316</v>
      </c>
      <c r="F472" s="188">
        <f>IFERROR(__xludf.DUMMYFUNCTION("""COMPUTED_VALUE"""),43321.0)</f>
        <v>43321</v>
      </c>
      <c r="H472">
        <f>IFERROR(__xludf.DUMMYFUNCTION("""COMPUTED_VALUE"""),63927.0)</f>
        <v>63927</v>
      </c>
      <c r="I472" t="str">
        <f>IFERROR(__xludf.DUMMYFUNCTION("""COMPUTED_VALUE"""),"03/18")</f>
        <v>03/18</v>
      </c>
      <c r="J472" s="5">
        <f>IFERROR(__xludf.DUMMYFUNCTION("""COMPUTED_VALUE"""),43331.0)</f>
        <v>43331</v>
      </c>
      <c r="K472">
        <f>IFERROR(__xludf.DUMMYFUNCTION("""COMPUTED_VALUE"""),5.0)</f>
        <v>5</v>
      </c>
      <c r="L472">
        <f>IFERROR(__xludf.DUMMYFUNCTION("""COMPUTED_VALUE"""),10.0)</f>
        <v>10</v>
      </c>
      <c r="M472">
        <f>IFERROR(__xludf.DUMMYFUNCTION("""COMPUTED_VALUE"""),15.0)</f>
        <v>15</v>
      </c>
      <c r="N472" t="str">
        <f>IFERROR(__xludf.DUMMYFUNCTION("""COMPUTED_VALUE"""),"Model 3 LR AWD")</f>
        <v>Model 3 LR AWD</v>
      </c>
      <c r="O472" t="str">
        <f>IFERROR(__xludf.DUMMYFUNCTION("""COMPUTED_VALUE"""),"Deep Blue Metallic")</f>
        <v>Deep Blue Metallic</v>
      </c>
      <c r="P472" t="str">
        <f>IFERROR(__xludf.DUMMYFUNCTION("""COMPUTED_VALUE"""),"19 inch Sport")</f>
        <v>19 inch Sport</v>
      </c>
      <c r="Q472" t="str">
        <f>IFERROR(__xludf.DUMMYFUNCTION("""COMPUTED_VALUE"""),"Black seats")</f>
        <v>Black seats</v>
      </c>
      <c r="R472" t="str">
        <f>IFERROR(__xludf.DUMMYFUNCTION("""COMPUTED_VALUE"""),"Enhanced Autopilot")</f>
        <v>Enhanced Autopilot</v>
      </c>
      <c r="X472" t="str">
        <f>IFERROR(__xludf.DUMMYFUNCTION("""COMPUTED_VALUE"""),"Excellent")</f>
        <v>Excellent</v>
      </c>
      <c r="Y472" t="str">
        <f>IFERROR(__xludf.DUMMYFUNCTION("""COMPUTED_VALUE"""),"Excellent")</f>
        <v>Excellent</v>
      </c>
      <c r="Z472" t="str">
        <f>IFERROR(__xludf.DUMMYFUNCTION("""COMPUTED_VALUE"""),"Fair")</f>
        <v>Fair</v>
      </c>
      <c r="AA472" t="str">
        <f>IFERROR(__xludf.DUMMYFUNCTION("""COMPUTED_VALUE"""),"Very Good")</f>
        <v>Very Good</v>
      </c>
      <c r="AB472" t="str">
        <f>IFERROR(__xludf.DUMMYFUNCTION("""COMPUTED_VALUE"""),"Good")</f>
        <v>Good</v>
      </c>
      <c r="AC472">
        <f>IFERROR(__xludf.DUMMYFUNCTION("""COMPUTED_VALUE"""),2.0)</f>
        <v>2</v>
      </c>
      <c r="AH472" s="189">
        <f>IFERROR(__xludf.DUMMYFUNCTION("""COMPUTED_VALUE"""),43332.74413765046)</f>
        <v>43332.74414</v>
      </c>
    </row>
    <row r="473">
      <c r="A473" t="str">
        <f>IFERROR(__xludf.DUMMYFUNCTION("""COMPUTED_VALUE"""),"kevincupp")</f>
        <v>kevincupp</v>
      </c>
      <c r="B473" t="str">
        <f>IFERROR(__xludf.DUMMYFUNCTION("""COMPUTED_VALUE"""),"Blacksburg")</f>
        <v>Blacksburg</v>
      </c>
      <c r="C473" t="str">
        <f>IFERROR(__xludf.DUMMYFUNCTION("""COMPUTED_VALUE"""),"VA")</f>
        <v>VA</v>
      </c>
      <c r="D473" t="str">
        <f>IFERROR(__xludf.DUMMYFUNCTION("""COMPUTED_VALUE"""),"USA")</f>
        <v>USA</v>
      </c>
      <c r="E473" s="188">
        <f>IFERROR(__xludf.DUMMYFUNCTION("""COMPUTED_VALUE"""),43278.0)</f>
        <v>43278</v>
      </c>
      <c r="F473" s="188">
        <f>IFERROR(__xludf.DUMMYFUNCTION("""COMPUTED_VALUE"""),43306.0)</f>
        <v>43306</v>
      </c>
      <c r="H473">
        <f>IFERROR(__xludf.DUMMYFUNCTION("""COMPUTED_VALUE"""),54355.0)</f>
        <v>54355</v>
      </c>
      <c r="I473" t="str">
        <f>IFERROR(__xludf.DUMMYFUNCTION("""COMPUTED_VALUE"""),"07/18")</f>
        <v>07/18</v>
      </c>
      <c r="J473" s="5">
        <f>IFERROR(__xludf.DUMMYFUNCTION("""COMPUTED_VALUE"""),43328.0)</f>
        <v>43328</v>
      </c>
      <c r="K473">
        <f>IFERROR(__xludf.DUMMYFUNCTION("""COMPUTED_VALUE"""),28.0)</f>
        <v>28</v>
      </c>
      <c r="L473">
        <f>IFERROR(__xludf.DUMMYFUNCTION("""COMPUTED_VALUE"""),22.0)</f>
        <v>22</v>
      </c>
      <c r="M473">
        <f>IFERROR(__xludf.DUMMYFUNCTION("""COMPUTED_VALUE"""),50.0)</f>
        <v>50</v>
      </c>
      <c r="N473" t="str">
        <f>IFERROR(__xludf.DUMMYFUNCTION("""COMPUTED_VALUE"""),"Model 3 LR AWD")</f>
        <v>Model 3 LR AWD</v>
      </c>
      <c r="O473" t="str">
        <f>IFERROR(__xludf.DUMMYFUNCTION("""COMPUTED_VALUE"""),"Midnight Silver Metallic")</f>
        <v>Midnight Silver Metallic</v>
      </c>
      <c r="P473" t="str">
        <f>IFERROR(__xludf.DUMMYFUNCTION("""COMPUTED_VALUE"""),"18 inch Aero")</f>
        <v>18 inch Aero</v>
      </c>
      <c r="Q473" t="str">
        <f>IFERROR(__xludf.DUMMYFUNCTION("""COMPUTED_VALUE"""),"Black seats")</f>
        <v>Black seats</v>
      </c>
      <c r="R473" t="str">
        <f>IFERROR(__xludf.DUMMYFUNCTION("""COMPUTED_VALUE"""),"Enhanced Autopilot")</f>
        <v>Enhanced Autopilot</v>
      </c>
      <c r="X473" t="str">
        <f>IFERROR(__xludf.DUMMYFUNCTION("""COMPUTED_VALUE"""),"Excellent")</f>
        <v>Excellent</v>
      </c>
      <c r="Y473" t="str">
        <f>IFERROR(__xludf.DUMMYFUNCTION("""COMPUTED_VALUE"""),"Excellent")</f>
        <v>Excellent</v>
      </c>
      <c r="Z473" t="str">
        <f>IFERROR(__xludf.DUMMYFUNCTION("""COMPUTED_VALUE"""),"Excellent")</f>
        <v>Excellent</v>
      </c>
      <c r="AA473" t="str">
        <f>IFERROR(__xludf.DUMMYFUNCTION("""COMPUTED_VALUE"""),"Fair")</f>
        <v>Fair</v>
      </c>
      <c r="AB473" t="str">
        <f>IFERROR(__xludf.DUMMYFUNCTION("""COMPUTED_VALUE"""),"Good")</f>
        <v>Good</v>
      </c>
      <c r="AC473">
        <f>IFERROR(__xludf.DUMMYFUNCTION("""COMPUTED_VALUE"""),0.0)</f>
        <v>0</v>
      </c>
      <c r="AD473">
        <f>IFERROR(__xludf.DUMMYFUNCTION("""COMPUTED_VALUE"""),0.0)</f>
        <v>0</v>
      </c>
      <c r="AE473">
        <f>IFERROR(__xludf.DUMMYFUNCTION("""COMPUTED_VALUE"""),0.0)</f>
        <v>0</v>
      </c>
      <c r="AH473" s="189">
        <f>IFERROR(__xludf.DUMMYFUNCTION("""COMPUTED_VALUE"""),43333.386239907406)</f>
        <v>43333.38624</v>
      </c>
    </row>
    <row r="474">
      <c r="A474" t="str">
        <f>IFERROR(__xludf.DUMMYFUNCTION("""COMPUTED_VALUE"""),"boiler81")</f>
        <v>boiler81</v>
      </c>
      <c r="B474" t="str">
        <f>IFERROR(__xludf.DUMMYFUNCTION("""COMPUTED_VALUE"""),"Manson")</f>
        <v>Manson</v>
      </c>
      <c r="C474" t="str">
        <f>IFERROR(__xludf.DUMMYFUNCTION("""COMPUTED_VALUE"""),"WA")</f>
        <v>WA</v>
      </c>
      <c r="D474" t="str">
        <f>IFERROR(__xludf.DUMMYFUNCTION("""COMPUTED_VALUE"""),"USA")</f>
        <v>USA</v>
      </c>
      <c r="E474" s="188">
        <f>IFERROR(__xludf.DUMMYFUNCTION("""COMPUTED_VALUE"""),43279.0)</f>
        <v>43279</v>
      </c>
      <c r="F474" s="188">
        <f>IFERROR(__xludf.DUMMYFUNCTION("""COMPUTED_VALUE"""),43322.0)</f>
        <v>43322</v>
      </c>
      <c r="H474">
        <f>IFERROR(__xludf.DUMMYFUNCTION("""COMPUTED_VALUE"""),56155.0)</f>
        <v>56155</v>
      </c>
      <c r="I474" t="str">
        <f>IFERROR(__xludf.DUMMYFUNCTION("""COMPUTED_VALUE"""),"08/18")</f>
        <v>08/18</v>
      </c>
      <c r="J474" s="5">
        <f>IFERROR(__xludf.DUMMYFUNCTION("""COMPUTED_VALUE"""),43332.0)</f>
        <v>43332</v>
      </c>
      <c r="K474">
        <f>IFERROR(__xludf.DUMMYFUNCTION("""COMPUTED_VALUE"""),43.0)</f>
        <v>43</v>
      </c>
      <c r="L474">
        <f>IFERROR(__xludf.DUMMYFUNCTION("""COMPUTED_VALUE"""),10.0)</f>
        <v>10</v>
      </c>
      <c r="M474">
        <f>IFERROR(__xludf.DUMMYFUNCTION("""COMPUTED_VALUE"""),53.0)</f>
        <v>53</v>
      </c>
      <c r="N474" t="str">
        <f>IFERROR(__xludf.DUMMYFUNCTION("""COMPUTED_VALUE"""),"Model 3 LR AWD")</f>
        <v>Model 3 LR AWD</v>
      </c>
      <c r="O474" t="str">
        <f>IFERROR(__xludf.DUMMYFUNCTION("""COMPUTED_VALUE"""),"Red Multi-Coat")</f>
        <v>Red Multi-Coat</v>
      </c>
      <c r="P474" t="str">
        <f>IFERROR(__xludf.DUMMYFUNCTION("""COMPUTED_VALUE"""),"18 inch Aero")</f>
        <v>18 inch Aero</v>
      </c>
      <c r="Q474" t="str">
        <f>IFERROR(__xludf.DUMMYFUNCTION("""COMPUTED_VALUE"""),"White seats")</f>
        <v>White seats</v>
      </c>
      <c r="R474" t="str">
        <f>IFERROR(__xludf.DUMMYFUNCTION("""COMPUTED_VALUE"""),"Enhanced Autopilot")</f>
        <v>Enhanced Autopilot</v>
      </c>
      <c r="X474" t="str">
        <f>IFERROR(__xludf.DUMMYFUNCTION("""COMPUTED_VALUE"""),"Very Good")</f>
        <v>Very Good</v>
      </c>
      <c r="Y474" t="str">
        <f>IFERROR(__xludf.DUMMYFUNCTION("""COMPUTED_VALUE"""),"Excellent")</f>
        <v>Excellent</v>
      </c>
      <c r="Z474" t="str">
        <f>IFERROR(__xludf.DUMMYFUNCTION("""COMPUTED_VALUE"""),"Good")</f>
        <v>Good</v>
      </c>
      <c r="AA474" t="str">
        <f>IFERROR(__xludf.DUMMYFUNCTION("""COMPUTED_VALUE"""),"Very Good")</f>
        <v>Very Good</v>
      </c>
      <c r="AB474" t="str">
        <f>IFERROR(__xludf.DUMMYFUNCTION("""COMPUTED_VALUE"""),"Excellent")</f>
        <v>Excellent</v>
      </c>
      <c r="AH474" s="189">
        <f>IFERROR(__xludf.DUMMYFUNCTION("""COMPUTED_VALUE"""),43333.39058525463)</f>
        <v>43333.39059</v>
      </c>
    </row>
    <row r="475">
      <c r="A475" t="str">
        <f>IFERROR(__xludf.DUMMYFUNCTION("""COMPUTED_VALUE"""),"ConMan")</f>
        <v>ConMan</v>
      </c>
      <c r="B475" t="str">
        <f>IFERROR(__xludf.DUMMYFUNCTION("""COMPUTED_VALUE"""),"Denver")</f>
        <v>Denver</v>
      </c>
      <c r="C475" t="str">
        <f>IFERROR(__xludf.DUMMYFUNCTION("""COMPUTED_VALUE"""),"CO")</f>
        <v>CO</v>
      </c>
      <c r="D475" t="str">
        <f>IFERROR(__xludf.DUMMYFUNCTION("""COMPUTED_VALUE"""),"USA")</f>
        <v>USA</v>
      </c>
      <c r="E475" s="188">
        <f>IFERROR(__xludf.DUMMYFUNCTION("""COMPUTED_VALUE"""),43278.0)</f>
        <v>43278</v>
      </c>
      <c r="F475" s="188">
        <f>IFERROR(__xludf.DUMMYFUNCTION("""COMPUTED_VALUE"""),43325.0)</f>
        <v>43325</v>
      </c>
      <c r="H475">
        <f>IFERROR(__xludf.DUMMYFUNCTION("""COMPUTED_VALUE"""),70055.0)</f>
        <v>70055</v>
      </c>
      <c r="J475" s="5">
        <f>IFERROR(__xludf.DUMMYFUNCTION("""COMPUTED_VALUE"""),43333.0)</f>
        <v>43333</v>
      </c>
      <c r="K475">
        <f>IFERROR(__xludf.DUMMYFUNCTION("""COMPUTED_VALUE"""),47.0)</f>
        <v>47</v>
      </c>
      <c r="L475">
        <f>IFERROR(__xludf.DUMMYFUNCTION("""COMPUTED_VALUE"""),8.0)</f>
        <v>8</v>
      </c>
      <c r="M475">
        <f>IFERROR(__xludf.DUMMYFUNCTION("""COMPUTED_VALUE"""),55.0)</f>
        <v>55</v>
      </c>
      <c r="N475" t="str">
        <f>IFERROR(__xludf.DUMMYFUNCTION("""COMPUTED_VALUE"""),"Model 3 Performance")</f>
        <v>Model 3 Performance</v>
      </c>
      <c r="O475" t="str">
        <f>IFERROR(__xludf.DUMMYFUNCTION("""COMPUTED_VALUE"""),"Obsidian Black Metallic")</f>
        <v>Obsidian Black Metallic</v>
      </c>
      <c r="P475" t="str">
        <f>IFERROR(__xludf.DUMMYFUNCTION("""COMPUTED_VALUE"""),"20 inch Sport")</f>
        <v>20 inch Sport</v>
      </c>
      <c r="Q475" t="str">
        <f>IFERROR(__xludf.DUMMYFUNCTION("""COMPUTED_VALUE"""),"White seats")</f>
        <v>White seats</v>
      </c>
      <c r="R475" t="str">
        <f>IFERROR(__xludf.DUMMYFUNCTION("""COMPUTED_VALUE"""),"Enhanced Autopilot")</f>
        <v>Enhanced Autopilot</v>
      </c>
      <c r="X475" t="str">
        <f>IFERROR(__xludf.DUMMYFUNCTION("""COMPUTED_VALUE"""),"Excellent")</f>
        <v>Excellent</v>
      </c>
      <c r="Y475" t="str">
        <f>IFERROR(__xludf.DUMMYFUNCTION("""COMPUTED_VALUE"""),"Excellent")</f>
        <v>Excellent</v>
      </c>
      <c r="Z475" t="str">
        <f>IFERROR(__xludf.DUMMYFUNCTION("""COMPUTED_VALUE"""),"Excellent")</f>
        <v>Excellent</v>
      </c>
      <c r="AA475" t="str">
        <f>IFERROR(__xludf.DUMMYFUNCTION("""COMPUTED_VALUE"""),"Excellent")</f>
        <v>Excellent</v>
      </c>
      <c r="AB475" t="str">
        <f>IFERROR(__xludf.DUMMYFUNCTION("""COMPUTED_VALUE"""),"Very Good")</f>
        <v>Very Good</v>
      </c>
      <c r="AC475">
        <f>IFERROR(__xludf.DUMMYFUNCTION("""COMPUTED_VALUE"""),0.0)</f>
        <v>0</v>
      </c>
      <c r="AD475">
        <f>IFERROR(__xludf.DUMMYFUNCTION("""COMPUTED_VALUE"""),0.0)</f>
        <v>0</v>
      </c>
      <c r="AE475">
        <f>IFERROR(__xludf.DUMMYFUNCTION("""COMPUTED_VALUE"""),0.0)</f>
        <v>0</v>
      </c>
      <c r="AH475" s="189">
        <f>IFERROR(__xludf.DUMMYFUNCTION("""COMPUTED_VALUE"""),43333.54197572917)</f>
        <v>43333.54198</v>
      </c>
    </row>
    <row r="476">
      <c r="A476" t="str">
        <f>IFERROR(__xludf.DUMMYFUNCTION("""COMPUTED_VALUE"""),"likelyasquid")</f>
        <v>likelyasquid</v>
      </c>
      <c r="C476" t="str">
        <f>IFERROR(__xludf.DUMMYFUNCTION("""COMPUTED_VALUE"""),"FL")</f>
        <v>FL</v>
      </c>
      <c r="D476" t="str">
        <f>IFERROR(__xludf.DUMMYFUNCTION("""COMPUTED_VALUE"""),"USA")</f>
        <v>USA</v>
      </c>
      <c r="E476" s="188">
        <f>IFERROR(__xludf.DUMMYFUNCTION("""COMPUTED_VALUE"""),43283.0)</f>
        <v>43283</v>
      </c>
      <c r="F476" s="188">
        <f>IFERROR(__xludf.DUMMYFUNCTION("""COMPUTED_VALUE"""),43314.0)</f>
        <v>43314</v>
      </c>
      <c r="H476">
        <f>IFERROR(__xludf.DUMMYFUNCTION("""COMPUTED_VALUE"""),51202.0)</f>
        <v>51202</v>
      </c>
      <c r="I476" t="str">
        <f>IFERROR(__xludf.DUMMYFUNCTION("""COMPUTED_VALUE"""),"07/18")</f>
        <v>07/18</v>
      </c>
      <c r="J476" s="5">
        <f>IFERROR(__xludf.DUMMYFUNCTION("""COMPUTED_VALUE"""),43330.0)</f>
        <v>43330</v>
      </c>
      <c r="K476">
        <f>IFERROR(__xludf.DUMMYFUNCTION("""COMPUTED_VALUE"""),31.0)</f>
        <v>31</v>
      </c>
      <c r="L476">
        <f>IFERROR(__xludf.DUMMYFUNCTION("""COMPUTED_VALUE"""),16.0)</f>
        <v>16</v>
      </c>
      <c r="M476">
        <f>IFERROR(__xludf.DUMMYFUNCTION("""COMPUTED_VALUE"""),47.0)</f>
        <v>47</v>
      </c>
      <c r="N476" t="str">
        <f>IFERROR(__xludf.DUMMYFUNCTION("""COMPUTED_VALUE"""),"Model 3 LR")</f>
        <v>Model 3 LR</v>
      </c>
      <c r="O476" t="str">
        <f>IFERROR(__xludf.DUMMYFUNCTION("""COMPUTED_VALUE"""),"Pearl White Multi-Coat")</f>
        <v>Pearl White Multi-Coat</v>
      </c>
      <c r="P476" t="str">
        <f>IFERROR(__xludf.DUMMYFUNCTION("""COMPUTED_VALUE"""),"18 inch Aero")</f>
        <v>18 inch Aero</v>
      </c>
      <c r="Q476" t="str">
        <f>IFERROR(__xludf.DUMMYFUNCTION("""COMPUTED_VALUE"""),"Black seats")</f>
        <v>Black seats</v>
      </c>
      <c r="R476" t="str">
        <f>IFERROR(__xludf.DUMMYFUNCTION("""COMPUTED_VALUE"""),"Enhanced Autopilot")</f>
        <v>Enhanced Autopilot</v>
      </c>
      <c r="X476" t="str">
        <f>IFERROR(__xludf.DUMMYFUNCTION("""COMPUTED_VALUE"""),"Excellent")</f>
        <v>Excellent</v>
      </c>
      <c r="Y476" t="str">
        <f>IFERROR(__xludf.DUMMYFUNCTION("""COMPUTED_VALUE"""),"Very Good")</f>
        <v>Very Good</v>
      </c>
      <c r="Z476" t="str">
        <f>IFERROR(__xludf.DUMMYFUNCTION("""COMPUTED_VALUE"""),"Good")</f>
        <v>Good</v>
      </c>
      <c r="AA476" t="str">
        <f>IFERROR(__xludf.DUMMYFUNCTION("""COMPUTED_VALUE"""),"Very Good")</f>
        <v>Very Good</v>
      </c>
      <c r="AB476" t="str">
        <f>IFERROR(__xludf.DUMMYFUNCTION("""COMPUTED_VALUE"""),"Good")</f>
        <v>Good</v>
      </c>
      <c r="AC476">
        <f>IFERROR(__xludf.DUMMYFUNCTION("""COMPUTED_VALUE"""),2.0)</f>
        <v>2</v>
      </c>
      <c r="AH476" s="189">
        <f>IFERROR(__xludf.DUMMYFUNCTION("""COMPUTED_VALUE"""),43333.688277002315)</f>
        <v>43333.68828</v>
      </c>
    </row>
    <row r="477">
      <c r="A477" t="str">
        <f>IFERROR(__xludf.DUMMYFUNCTION("""COMPUTED_VALUE"""),"Ozone")</f>
        <v>Ozone</v>
      </c>
      <c r="B477" t="str">
        <f>IFERROR(__xludf.DUMMYFUNCTION("""COMPUTED_VALUE"""),"Louisville")</f>
        <v>Louisville</v>
      </c>
      <c r="C477" t="str">
        <f>IFERROR(__xludf.DUMMYFUNCTION("""COMPUTED_VALUE"""),"CO")</f>
        <v>CO</v>
      </c>
      <c r="D477" t="str">
        <f>IFERROR(__xludf.DUMMYFUNCTION("""COMPUTED_VALUE"""),"USA")</f>
        <v>USA</v>
      </c>
      <c r="E477" s="188">
        <f>IFERROR(__xludf.DUMMYFUNCTION("""COMPUTED_VALUE"""),43278.0)</f>
        <v>43278</v>
      </c>
      <c r="F477" s="188">
        <f>IFERROR(__xludf.DUMMYFUNCTION("""COMPUTED_VALUE"""),43321.0)</f>
        <v>43321</v>
      </c>
      <c r="H477">
        <f>IFERROR(__xludf.DUMMYFUNCTION("""COMPUTED_VALUE"""),67355.0)</f>
        <v>67355</v>
      </c>
      <c r="I477" t="str">
        <f>IFERROR(__xludf.DUMMYFUNCTION("""COMPUTED_VALUE"""),"08/18")</f>
        <v>08/18</v>
      </c>
      <c r="J477" s="5">
        <f>IFERROR(__xludf.DUMMYFUNCTION("""COMPUTED_VALUE"""),43329.0)</f>
        <v>43329</v>
      </c>
      <c r="K477">
        <f>IFERROR(__xludf.DUMMYFUNCTION("""COMPUTED_VALUE"""),43.0)</f>
        <v>43</v>
      </c>
      <c r="L477">
        <f>IFERROR(__xludf.DUMMYFUNCTION("""COMPUTED_VALUE"""),8.0)</f>
        <v>8</v>
      </c>
      <c r="M477">
        <f>IFERROR(__xludf.DUMMYFUNCTION("""COMPUTED_VALUE"""),51.0)</f>
        <v>51</v>
      </c>
      <c r="N477" t="str">
        <f>IFERROR(__xludf.DUMMYFUNCTION("""COMPUTED_VALUE"""),"Model 3 LR AWD")</f>
        <v>Model 3 LR AWD</v>
      </c>
      <c r="O477" t="str">
        <f>IFERROR(__xludf.DUMMYFUNCTION("""COMPUTED_VALUE"""),"Solid Black")</f>
        <v>Solid Black</v>
      </c>
      <c r="P477" t="str">
        <f>IFERROR(__xludf.DUMMYFUNCTION("""COMPUTED_VALUE"""),"19 inch Sport")</f>
        <v>19 inch Sport</v>
      </c>
      <c r="Q477" t="str">
        <f>IFERROR(__xludf.DUMMYFUNCTION("""COMPUTED_VALUE"""),"Black seats")</f>
        <v>Black seats</v>
      </c>
      <c r="R477" t="str">
        <f>IFERROR(__xludf.DUMMYFUNCTION("""COMPUTED_VALUE"""),"Full Self-Driving")</f>
        <v>Full Self-Driving</v>
      </c>
      <c r="X477" t="str">
        <f>IFERROR(__xludf.DUMMYFUNCTION("""COMPUTED_VALUE"""),"Very Good")</f>
        <v>Very Good</v>
      </c>
      <c r="Y477" t="str">
        <f>IFERROR(__xludf.DUMMYFUNCTION("""COMPUTED_VALUE"""),"Excellent")</f>
        <v>Excellent</v>
      </c>
      <c r="Z477" t="str">
        <f>IFERROR(__xludf.DUMMYFUNCTION("""COMPUTED_VALUE"""),"Excellent")</f>
        <v>Excellent</v>
      </c>
      <c r="AA477" t="str">
        <f>IFERROR(__xludf.DUMMYFUNCTION("""COMPUTED_VALUE"""),"Very Good")</f>
        <v>Very Good</v>
      </c>
      <c r="AB477" t="str">
        <f>IFERROR(__xludf.DUMMYFUNCTION("""COMPUTED_VALUE"""),"Very Good")</f>
        <v>Very Good</v>
      </c>
      <c r="AC477">
        <f>IFERROR(__xludf.DUMMYFUNCTION("""COMPUTED_VALUE"""),0.0)</f>
        <v>0</v>
      </c>
      <c r="AD477">
        <f>IFERROR(__xludf.DUMMYFUNCTION("""COMPUTED_VALUE"""),0.0)</f>
        <v>0</v>
      </c>
      <c r="AE477">
        <f>IFERROR(__xludf.DUMMYFUNCTION("""COMPUTED_VALUE"""),0.0)</f>
        <v>0</v>
      </c>
      <c r="AH477" s="189">
        <f>IFERROR(__xludf.DUMMYFUNCTION("""COMPUTED_VALUE"""),43333.71454359953)</f>
        <v>43333.71454</v>
      </c>
    </row>
    <row r="478">
      <c r="A478" t="str">
        <f>IFERROR(__xludf.DUMMYFUNCTION("""COMPUTED_VALUE"""),"bwrpeters")</f>
        <v>bwrpeters</v>
      </c>
      <c r="B478" t="str">
        <f>IFERROR(__xludf.DUMMYFUNCTION("""COMPUTED_VALUE"""),"Charlottesville")</f>
        <v>Charlottesville</v>
      </c>
      <c r="C478" t="str">
        <f>IFERROR(__xludf.DUMMYFUNCTION("""COMPUTED_VALUE"""),"VA")</f>
        <v>VA</v>
      </c>
      <c r="D478" t="str">
        <f>IFERROR(__xludf.DUMMYFUNCTION("""COMPUTED_VALUE"""),"USA")</f>
        <v>USA</v>
      </c>
      <c r="E478" s="188">
        <f>IFERROR(__xludf.DUMMYFUNCTION("""COMPUTED_VALUE"""),43279.0)</f>
        <v>43279</v>
      </c>
      <c r="F478" s="188">
        <f>IFERROR(__xludf.DUMMYFUNCTION("""COMPUTED_VALUE"""),43333.0)</f>
        <v>43333</v>
      </c>
      <c r="H478">
        <f>IFERROR(__xludf.DUMMYFUNCTION("""COMPUTED_VALUE"""),69155.0)</f>
        <v>69155</v>
      </c>
      <c r="J478" s="5">
        <f>IFERROR(__xludf.DUMMYFUNCTION("""COMPUTED_VALUE"""),43360.0)</f>
        <v>43360</v>
      </c>
      <c r="K478">
        <f>IFERROR(__xludf.DUMMYFUNCTION("""COMPUTED_VALUE"""),54.0)</f>
        <v>54</v>
      </c>
      <c r="L478">
        <f>IFERROR(__xludf.DUMMYFUNCTION("""COMPUTED_VALUE"""),27.0)</f>
        <v>27</v>
      </c>
      <c r="M478">
        <f>IFERROR(__xludf.DUMMYFUNCTION("""COMPUTED_VALUE"""),81.0)</f>
        <v>81</v>
      </c>
      <c r="N478" t="str">
        <f>IFERROR(__xludf.DUMMYFUNCTION("""COMPUTED_VALUE"""),"Model 3 LR AWD")</f>
        <v>Model 3 LR AWD</v>
      </c>
      <c r="O478" t="str">
        <f>IFERROR(__xludf.DUMMYFUNCTION("""COMPUTED_VALUE"""),"Midnight Silver Metallic")</f>
        <v>Midnight Silver Metallic</v>
      </c>
      <c r="P478" t="str">
        <f>IFERROR(__xludf.DUMMYFUNCTION("""COMPUTED_VALUE"""),"19 inch Sport")</f>
        <v>19 inch Sport</v>
      </c>
      <c r="Q478" t="str">
        <f>IFERROR(__xludf.DUMMYFUNCTION("""COMPUTED_VALUE"""),"Black seats")</f>
        <v>Black seats</v>
      </c>
      <c r="R478" t="str">
        <f>IFERROR(__xludf.DUMMYFUNCTION("""COMPUTED_VALUE"""),"Full Self-Driving")</f>
        <v>Full Self-Driving</v>
      </c>
      <c r="AA478" t="str">
        <f>IFERROR(__xludf.DUMMYFUNCTION("""COMPUTED_VALUE"""),"Good")</f>
        <v>Good</v>
      </c>
      <c r="AH478" s="189">
        <f>IFERROR(__xludf.DUMMYFUNCTION("""COMPUTED_VALUE"""),43333.81409804398)</f>
        <v>43333.8141</v>
      </c>
    </row>
    <row r="479">
      <c r="A479" t="str">
        <f>IFERROR(__xludf.DUMMYFUNCTION("""COMPUTED_VALUE"""),"Sperkin")</f>
        <v>Sperkin</v>
      </c>
      <c r="B479" t="str">
        <f>IFERROR(__xludf.DUMMYFUNCTION("""COMPUTED_VALUE"""),"Santa Monica")</f>
        <v>Santa Monica</v>
      </c>
      <c r="C479" t="str">
        <f>IFERROR(__xludf.DUMMYFUNCTION("""COMPUTED_VALUE"""),"CA")</f>
        <v>CA</v>
      </c>
      <c r="D479" t="str">
        <f>IFERROR(__xludf.DUMMYFUNCTION("""COMPUTED_VALUE"""),"USA")</f>
        <v>USA</v>
      </c>
      <c r="E479" s="188">
        <f>IFERROR(__xludf.DUMMYFUNCTION("""COMPUTED_VALUE"""),43174.0)</f>
        <v>43174</v>
      </c>
      <c r="F479" s="188">
        <f>IFERROR(__xludf.DUMMYFUNCTION("""COMPUTED_VALUE"""),43205.0)</f>
        <v>43205</v>
      </c>
      <c r="H479">
        <f>IFERROR(__xludf.DUMMYFUNCTION("""COMPUTED_VALUE"""),12755.0)</f>
        <v>12755</v>
      </c>
      <c r="I479" t="str">
        <f>IFERROR(__xludf.DUMMYFUNCTION("""COMPUTED_VALUE"""),"04/18")</f>
        <v>04/18</v>
      </c>
      <c r="J479" s="5">
        <f>IFERROR(__xludf.DUMMYFUNCTION("""COMPUTED_VALUE"""),43218.0)</f>
        <v>43218</v>
      </c>
      <c r="K479">
        <f>IFERROR(__xludf.DUMMYFUNCTION("""COMPUTED_VALUE"""),31.0)</f>
        <v>31</v>
      </c>
      <c r="L479">
        <f>IFERROR(__xludf.DUMMYFUNCTION("""COMPUTED_VALUE"""),13.0)</f>
        <v>13</v>
      </c>
      <c r="M479">
        <f>IFERROR(__xludf.DUMMYFUNCTION("""COMPUTED_VALUE"""),44.0)</f>
        <v>44</v>
      </c>
      <c r="N479" t="str">
        <f>IFERROR(__xludf.DUMMYFUNCTION("""COMPUTED_VALUE"""),"Model 3 LR")</f>
        <v>Model 3 LR</v>
      </c>
      <c r="O479" t="str">
        <f>IFERROR(__xludf.DUMMYFUNCTION("""COMPUTED_VALUE"""),"Midnight Silver Metallic")</f>
        <v>Midnight Silver Metallic</v>
      </c>
      <c r="P479" t="str">
        <f>IFERROR(__xludf.DUMMYFUNCTION("""COMPUTED_VALUE"""),"18 inch Aero")</f>
        <v>18 inch Aero</v>
      </c>
      <c r="Q479" t="str">
        <f>IFERROR(__xludf.DUMMYFUNCTION("""COMPUTED_VALUE"""),"Black seats")</f>
        <v>Black seats</v>
      </c>
      <c r="R479" t="str">
        <f>IFERROR(__xludf.DUMMYFUNCTION("""COMPUTED_VALUE"""),"Enhanced Autopilot")</f>
        <v>Enhanced Autopilot</v>
      </c>
      <c r="X479" t="str">
        <f>IFERROR(__xludf.DUMMYFUNCTION("""COMPUTED_VALUE"""),"Very Good")</f>
        <v>Very Good</v>
      </c>
      <c r="Y479" t="str">
        <f>IFERROR(__xludf.DUMMYFUNCTION("""COMPUTED_VALUE"""),"Excellent")</f>
        <v>Excellent</v>
      </c>
      <c r="Z479" t="str">
        <f>IFERROR(__xludf.DUMMYFUNCTION("""COMPUTED_VALUE"""),"Excellent")</f>
        <v>Excellent</v>
      </c>
      <c r="AA479" t="str">
        <f>IFERROR(__xludf.DUMMYFUNCTION("""COMPUTED_VALUE"""),"Fair")</f>
        <v>Fair</v>
      </c>
      <c r="AB479" t="str">
        <f>IFERROR(__xludf.DUMMYFUNCTION("""COMPUTED_VALUE"""),"Poor")</f>
        <v>Poor</v>
      </c>
      <c r="AC479">
        <f>IFERROR(__xludf.DUMMYFUNCTION("""COMPUTED_VALUE"""),2.0)</f>
        <v>2</v>
      </c>
      <c r="AD479">
        <f>IFERROR(__xludf.DUMMYFUNCTION("""COMPUTED_VALUE"""),2.0)</f>
        <v>2</v>
      </c>
      <c r="AE479">
        <f>IFERROR(__xludf.DUMMYFUNCTION("""COMPUTED_VALUE"""),21.0)</f>
        <v>21</v>
      </c>
      <c r="AG479" t="str">
        <f>IFERROR(__xludf.DUMMYFUNCTION("""COMPUTED_VALUE"""),"Very Good Service Center due to awesome loaner cars!")</f>
        <v>Very Good Service Center due to awesome loaner cars!</v>
      </c>
      <c r="AH479" s="189">
        <f>IFERROR(__xludf.DUMMYFUNCTION("""COMPUTED_VALUE"""),43333.820633310184)</f>
        <v>43333.82063</v>
      </c>
    </row>
    <row r="480">
      <c r="A480" t="str">
        <f>IFERROR(__xludf.DUMMYFUNCTION("""COMPUTED_VALUE"""),"randominseattle")</f>
        <v>randominseattle</v>
      </c>
      <c r="B480" t="str">
        <f>IFERROR(__xludf.DUMMYFUNCTION("""COMPUTED_VALUE"""),"Seattle")</f>
        <v>Seattle</v>
      </c>
      <c r="C480" t="str">
        <f>IFERROR(__xludf.DUMMYFUNCTION("""COMPUTED_VALUE"""),"WA")</f>
        <v>WA</v>
      </c>
      <c r="D480" t="str">
        <f>IFERROR(__xludf.DUMMYFUNCTION("""COMPUTED_VALUE"""),"USA")</f>
        <v>USA</v>
      </c>
      <c r="E480" s="188">
        <f>IFERROR(__xludf.DUMMYFUNCTION("""COMPUTED_VALUE"""),43277.0)</f>
        <v>43277</v>
      </c>
      <c r="F480" s="188">
        <f>IFERROR(__xludf.DUMMYFUNCTION("""COMPUTED_VALUE"""),43320.0)</f>
        <v>43320</v>
      </c>
      <c r="H480">
        <f>IFERROR(__xludf.DUMMYFUNCTION("""COMPUTED_VALUE"""),65355.0)</f>
        <v>65355</v>
      </c>
      <c r="I480" t="str">
        <f>IFERROR(__xludf.DUMMYFUNCTION("""COMPUTED_VALUE"""),"08/18")</f>
        <v>08/18</v>
      </c>
      <c r="J480" s="5">
        <f>IFERROR(__xludf.DUMMYFUNCTION("""COMPUTED_VALUE"""),43326.0)</f>
        <v>43326</v>
      </c>
      <c r="K480">
        <f>IFERROR(__xludf.DUMMYFUNCTION("""COMPUTED_VALUE"""),43.0)</f>
        <v>43</v>
      </c>
      <c r="L480">
        <f>IFERROR(__xludf.DUMMYFUNCTION("""COMPUTED_VALUE"""),6.0)</f>
        <v>6</v>
      </c>
      <c r="M480">
        <f>IFERROR(__xludf.DUMMYFUNCTION("""COMPUTED_VALUE"""),49.0)</f>
        <v>49</v>
      </c>
      <c r="N480" t="str">
        <f>IFERROR(__xludf.DUMMYFUNCTION("""COMPUTED_VALUE"""),"Model 3 LR AWD")</f>
        <v>Model 3 LR AWD</v>
      </c>
      <c r="O480" t="str">
        <f>IFERROR(__xludf.DUMMYFUNCTION("""COMPUTED_VALUE"""),"Red Multi-Coat")</f>
        <v>Red Multi-Coat</v>
      </c>
      <c r="P480" t="str">
        <f>IFERROR(__xludf.DUMMYFUNCTION("""COMPUTED_VALUE"""),"19 inch Sport")</f>
        <v>19 inch Sport</v>
      </c>
      <c r="Q480" t="str">
        <f>IFERROR(__xludf.DUMMYFUNCTION("""COMPUTED_VALUE"""),"Black seats")</f>
        <v>Black seats</v>
      </c>
      <c r="R480" t="str">
        <f>IFERROR(__xludf.DUMMYFUNCTION("""COMPUTED_VALUE"""),"Full Self-Driving")</f>
        <v>Full Self-Driving</v>
      </c>
      <c r="X480" t="str">
        <f>IFERROR(__xludf.DUMMYFUNCTION("""COMPUTED_VALUE"""),"Excellent")</f>
        <v>Excellent</v>
      </c>
      <c r="Y480" t="str">
        <f>IFERROR(__xludf.DUMMYFUNCTION("""COMPUTED_VALUE"""),"Excellent")</f>
        <v>Excellent</v>
      </c>
      <c r="Z480" t="str">
        <f>IFERROR(__xludf.DUMMYFUNCTION("""COMPUTED_VALUE"""),"Very Good")</f>
        <v>Very Good</v>
      </c>
      <c r="AA480" t="str">
        <f>IFERROR(__xludf.DUMMYFUNCTION("""COMPUTED_VALUE"""),"Very Good")</f>
        <v>Very Good</v>
      </c>
      <c r="AB480" t="str">
        <f>IFERROR(__xludf.DUMMYFUNCTION("""COMPUTED_VALUE"""),"Very Good")</f>
        <v>Very Good</v>
      </c>
      <c r="AH480" s="189">
        <f>IFERROR(__xludf.DUMMYFUNCTION("""COMPUTED_VALUE"""),43333.90521182871)</f>
        <v>43333.90521</v>
      </c>
    </row>
    <row r="481">
      <c r="A481" t="str">
        <f>IFERROR(__xludf.DUMMYFUNCTION("""COMPUTED_VALUE"""),"thatguy142")</f>
        <v>thatguy142</v>
      </c>
      <c r="C481" t="str">
        <f>IFERROR(__xludf.DUMMYFUNCTION("""COMPUTED_VALUE"""),"CT")</f>
        <v>CT</v>
      </c>
      <c r="D481" t="str">
        <f>IFERROR(__xludf.DUMMYFUNCTION("""COMPUTED_VALUE"""),"USA")</f>
        <v>USA</v>
      </c>
      <c r="E481" s="188">
        <f>IFERROR(__xludf.DUMMYFUNCTION("""COMPUTED_VALUE"""),43243.0)</f>
        <v>43243</v>
      </c>
      <c r="F481" s="188">
        <f>IFERROR(__xludf.DUMMYFUNCTION("""COMPUTED_VALUE"""),43311.0)</f>
        <v>43311</v>
      </c>
      <c r="H481">
        <f>IFERROR(__xludf.DUMMYFUNCTION("""COMPUTED_VALUE"""),64155.0)</f>
        <v>64155</v>
      </c>
      <c r="J481" s="5">
        <f>IFERROR(__xludf.DUMMYFUNCTION("""COMPUTED_VALUE"""),43337.0)</f>
        <v>43337</v>
      </c>
      <c r="K481">
        <f>IFERROR(__xludf.DUMMYFUNCTION("""COMPUTED_VALUE"""),68.0)</f>
        <v>68</v>
      </c>
      <c r="L481">
        <f>IFERROR(__xludf.DUMMYFUNCTION("""COMPUTED_VALUE"""),26.0)</f>
        <v>26</v>
      </c>
      <c r="M481">
        <f>IFERROR(__xludf.DUMMYFUNCTION("""COMPUTED_VALUE"""),94.0)</f>
        <v>94</v>
      </c>
      <c r="N481" t="str">
        <f>IFERROR(__xludf.DUMMYFUNCTION("""COMPUTED_VALUE"""),"Model 3 LR AWD")</f>
        <v>Model 3 LR AWD</v>
      </c>
      <c r="O481" t="str">
        <f>IFERROR(__xludf.DUMMYFUNCTION("""COMPUTED_VALUE"""),"Midnight Silver Metallic")</f>
        <v>Midnight Silver Metallic</v>
      </c>
      <c r="P481" t="str">
        <f>IFERROR(__xludf.DUMMYFUNCTION("""COMPUTED_VALUE"""),"18 inch Aero")</f>
        <v>18 inch Aero</v>
      </c>
      <c r="Q481" t="str">
        <f>IFERROR(__xludf.DUMMYFUNCTION("""COMPUTED_VALUE"""),"Black seats")</f>
        <v>Black seats</v>
      </c>
      <c r="R481" t="str">
        <f>IFERROR(__xludf.DUMMYFUNCTION("""COMPUTED_VALUE"""),"Enhanced Autopilot")</f>
        <v>Enhanced Autopilot</v>
      </c>
      <c r="X481" t="str">
        <f>IFERROR(__xludf.DUMMYFUNCTION("""COMPUTED_VALUE"""),"Excellent")</f>
        <v>Excellent</v>
      </c>
      <c r="Y481" t="str">
        <f>IFERROR(__xludf.DUMMYFUNCTION("""COMPUTED_VALUE"""),"Excellent")</f>
        <v>Excellent</v>
      </c>
      <c r="Z481" t="str">
        <f>IFERROR(__xludf.DUMMYFUNCTION("""COMPUTED_VALUE"""),"Very Good")</f>
        <v>Very Good</v>
      </c>
      <c r="AA481" t="str">
        <f>IFERROR(__xludf.DUMMYFUNCTION("""COMPUTED_VALUE"""),"Excellent")</f>
        <v>Excellent</v>
      </c>
      <c r="AB481" t="str">
        <f>IFERROR(__xludf.DUMMYFUNCTION("""COMPUTED_VALUE"""),"Excellent")</f>
        <v>Excellent</v>
      </c>
      <c r="AC481">
        <f>IFERROR(__xludf.DUMMYFUNCTION("""COMPUTED_VALUE"""),2.0)</f>
        <v>2</v>
      </c>
      <c r="AD481">
        <f>IFERROR(__xludf.DUMMYFUNCTION("""COMPUTED_VALUE"""),1.0)</f>
        <v>1</v>
      </c>
      <c r="AH481" s="189">
        <f>IFERROR(__xludf.DUMMYFUNCTION("""COMPUTED_VALUE"""),43334.24601002315)</f>
        <v>43334.24601</v>
      </c>
    </row>
    <row r="482">
      <c r="A482" t="str">
        <f>IFERROR(__xludf.DUMMYFUNCTION("""COMPUTED_VALUE"""),"Marozhina ")</f>
        <v>Marozhina </v>
      </c>
      <c r="B482" t="str">
        <f>IFERROR(__xludf.DUMMYFUNCTION("""COMPUTED_VALUE"""),"Dallas")</f>
        <v>Dallas</v>
      </c>
      <c r="C482" t="str">
        <f>IFERROR(__xludf.DUMMYFUNCTION("""COMPUTED_VALUE"""),"TX")</f>
        <v>TX</v>
      </c>
      <c r="D482" t="str">
        <f>IFERROR(__xludf.DUMMYFUNCTION("""COMPUTED_VALUE"""),"USA")</f>
        <v>USA</v>
      </c>
      <c r="E482" s="188">
        <f>IFERROR(__xludf.DUMMYFUNCTION("""COMPUTED_VALUE"""),43203.0)</f>
        <v>43203</v>
      </c>
      <c r="F482" s="188">
        <f>IFERROR(__xludf.DUMMYFUNCTION("""COMPUTED_VALUE"""),43259.0)</f>
        <v>43259</v>
      </c>
      <c r="H482">
        <f>IFERROR(__xludf.DUMMYFUNCTION("""COMPUTED_VALUE"""),23055.0)</f>
        <v>23055</v>
      </c>
      <c r="I482" t="str">
        <f>IFERROR(__xludf.DUMMYFUNCTION("""COMPUTED_VALUE"""),"06/18")</f>
        <v>06/18</v>
      </c>
      <c r="J482" s="5">
        <f>IFERROR(__xludf.DUMMYFUNCTION("""COMPUTED_VALUE"""),43295.0)</f>
        <v>43295</v>
      </c>
      <c r="K482">
        <f>IFERROR(__xludf.DUMMYFUNCTION("""COMPUTED_VALUE"""),56.0)</f>
        <v>56</v>
      </c>
      <c r="L482">
        <f>IFERROR(__xludf.DUMMYFUNCTION("""COMPUTED_VALUE"""),36.0)</f>
        <v>36</v>
      </c>
      <c r="M482">
        <f>IFERROR(__xludf.DUMMYFUNCTION("""COMPUTED_VALUE"""),92.0)</f>
        <v>92</v>
      </c>
      <c r="N482" t="str">
        <f>IFERROR(__xludf.DUMMYFUNCTION("""COMPUTED_VALUE"""),"Model 3 LR")</f>
        <v>Model 3 LR</v>
      </c>
      <c r="O482" t="str">
        <f>IFERROR(__xludf.DUMMYFUNCTION("""COMPUTED_VALUE"""),"Solid Black")</f>
        <v>Solid Black</v>
      </c>
      <c r="P482" t="str">
        <f>IFERROR(__xludf.DUMMYFUNCTION("""COMPUTED_VALUE"""),"18 inch Aero")</f>
        <v>18 inch Aero</v>
      </c>
      <c r="Q482" t="str">
        <f>IFERROR(__xludf.DUMMYFUNCTION("""COMPUTED_VALUE"""),"Black seats")</f>
        <v>Black seats</v>
      </c>
      <c r="R482" t="str">
        <f>IFERROR(__xludf.DUMMYFUNCTION("""COMPUTED_VALUE"""),"None")</f>
        <v>None</v>
      </c>
      <c r="X482" t="str">
        <f>IFERROR(__xludf.DUMMYFUNCTION("""COMPUTED_VALUE"""),"Good")</f>
        <v>Good</v>
      </c>
      <c r="Y482" t="str">
        <f>IFERROR(__xludf.DUMMYFUNCTION("""COMPUTED_VALUE"""),"Very Good")</f>
        <v>Very Good</v>
      </c>
      <c r="Z482" t="str">
        <f>IFERROR(__xludf.DUMMYFUNCTION("""COMPUTED_VALUE"""),"Very Good")</f>
        <v>Very Good</v>
      </c>
      <c r="AA482" t="str">
        <f>IFERROR(__xludf.DUMMYFUNCTION("""COMPUTED_VALUE"""),"Poor")</f>
        <v>Poor</v>
      </c>
      <c r="AB482" t="str">
        <f>IFERROR(__xludf.DUMMYFUNCTION("""COMPUTED_VALUE"""),"Good")</f>
        <v>Good</v>
      </c>
      <c r="AC482">
        <f>IFERROR(__xludf.DUMMYFUNCTION("""COMPUTED_VALUE"""),1.0)</f>
        <v>1</v>
      </c>
      <c r="AD482">
        <f>IFERROR(__xludf.DUMMYFUNCTION("""COMPUTED_VALUE"""),2.0)</f>
        <v>2</v>
      </c>
      <c r="AE482">
        <f>IFERROR(__xludf.DUMMYFUNCTION("""COMPUTED_VALUE"""),1.0)</f>
        <v>1</v>
      </c>
      <c r="AH482" s="189">
        <f>IFERROR(__xludf.DUMMYFUNCTION("""COMPUTED_VALUE"""),43334.26505202547)</f>
        <v>43334.26505</v>
      </c>
    </row>
    <row r="483">
      <c r="A483" t="str">
        <f>IFERROR(__xludf.DUMMYFUNCTION("""COMPUTED_VALUE"""),"ck867")</f>
        <v>ck867</v>
      </c>
      <c r="C483" t="str">
        <f>IFERROR(__xludf.DUMMYFUNCTION("""COMPUTED_VALUE"""),"CA")</f>
        <v>CA</v>
      </c>
      <c r="D483" t="str">
        <f>IFERROR(__xludf.DUMMYFUNCTION("""COMPUTED_VALUE"""),"USA")</f>
        <v>USA</v>
      </c>
      <c r="E483" s="188">
        <f>IFERROR(__xludf.DUMMYFUNCTION("""COMPUTED_VALUE"""),43322.0)</f>
        <v>43322</v>
      </c>
      <c r="F483" s="188">
        <f>IFERROR(__xludf.DUMMYFUNCTION("""COMPUTED_VALUE"""),43326.0)</f>
        <v>43326</v>
      </c>
      <c r="H483">
        <f>IFERROR(__xludf.DUMMYFUNCTION("""COMPUTED_VALUE"""),44455.0)</f>
        <v>44455</v>
      </c>
      <c r="I483" t="str">
        <f>IFERROR(__xludf.DUMMYFUNCTION("""COMPUTED_VALUE"""),"07/18")</f>
        <v>07/18</v>
      </c>
      <c r="J483" s="5">
        <f>IFERROR(__xludf.DUMMYFUNCTION("""COMPUTED_VALUE"""),43330.0)</f>
        <v>43330</v>
      </c>
      <c r="K483">
        <f>IFERROR(__xludf.DUMMYFUNCTION("""COMPUTED_VALUE"""),4.0)</f>
        <v>4</v>
      </c>
      <c r="L483">
        <f>IFERROR(__xludf.DUMMYFUNCTION("""COMPUTED_VALUE"""),4.0)</f>
        <v>4</v>
      </c>
      <c r="M483">
        <f>IFERROR(__xludf.DUMMYFUNCTION("""COMPUTED_VALUE"""),8.0)</f>
        <v>8</v>
      </c>
      <c r="N483" t="str">
        <f>IFERROR(__xludf.DUMMYFUNCTION("""COMPUTED_VALUE"""),"Model 3 LR")</f>
        <v>Model 3 LR</v>
      </c>
      <c r="O483" t="str">
        <f>IFERROR(__xludf.DUMMYFUNCTION("""COMPUTED_VALUE"""),"Pearl White Multi-Coat")</f>
        <v>Pearl White Multi-Coat</v>
      </c>
      <c r="P483" t="str">
        <f>IFERROR(__xludf.DUMMYFUNCTION("""COMPUTED_VALUE"""),"18 inch Aero")</f>
        <v>18 inch Aero</v>
      </c>
      <c r="Q483" t="str">
        <f>IFERROR(__xludf.DUMMYFUNCTION("""COMPUTED_VALUE"""),"Black seats")</f>
        <v>Black seats</v>
      </c>
      <c r="R483" t="str">
        <f>IFERROR(__xludf.DUMMYFUNCTION("""COMPUTED_VALUE"""),"Enhanced Autopilot")</f>
        <v>Enhanced Autopilot</v>
      </c>
      <c r="X483" t="str">
        <f>IFERROR(__xludf.DUMMYFUNCTION("""COMPUTED_VALUE"""),"Very Good")</f>
        <v>Very Good</v>
      </c>
      <c r="Y483" t="str">
        <f>IFERROR(__xludf.DUMMYFUNCTION("""COMPUTED_VALUE"""),"Very Good")</f>
        <v>Very Good</v>
      </c>
      <c r="Z483" t="str">
        <f>IFERROR(__xludf.DUMMYFUNCTION("""COMPUTED_VALUE"""),"Very Good")</f>
        <v>Very Good</v>
      </c>
      <c r="AA483" t="str">
        <f>IFERROR(__xludf.DUMMYFUNCTION("""COMPUTED_VALUE"""),"Fair")</f>
        <v>Fair</v>
      </c>
      <c r="AB483" t="str">
        <f>IFERROR(__xludf.DUMMYFUNCTION("""COMPUTED_VALUE"""),"Excellent")</f>
        <v>Excellent</v>
      </c>
      <c r="AC483">
        <f>IFERROR(__xludf.DUMMYFUNCTION("""COMPUTED_VALUE"""),0.0)</f>
        <v>0</v>
      </c>
      <c r="AD483">
        <f>IFERROR(__xludf.DUMMYFUNCTION("""COMPUTED_VALUE"""),0.0)</f>
        <v>0</v>
      </c>
      <c r="AE483">
        <f>IFERROR(__xludf.DUMMYFUNCTION("""COMPUTED_VALUE"""),0.0)</f>
        <v>0</v>
      </c>
      <c r="AH483" s="189">
        <f>IFERROR(__xludf.DUMMYFUNCTION("""COMPUTED_VALUE"""),43334.2834358449)</f>
        <v>43334.28344</v>
      </c>
    </row>
    <row r="484">
      <c r="A484" t="str">
        <f>IFERROR(__xludf.DUMMYFUNCTION("""COMPUTED_VALUE"""),"BLAU")</f>
        <v>BLAU</v>
      </c>
      <c r="B484" t="str">
        <f>IFERROR(__xludf.DUMMYFUNCTION("""COMPUTED_VALUE"""),"Alameda")</f>
        <v>Alameda</v>
      </c>
      <c r="C484" t="str">
        <f>IFERROR(__xludf.DUMMYFUNCTION("""COMPUTED_VALUE"""),"CA")</f>
        <v>CA</v>
      </c>
      <c r="D484" t="str">
        <f>IFERROR(__xludf.DUMMYFUNCTION("""COMPUTED_VALUE"""),"USA")</f>
        <v>USA</v>
      </c>
      <c r="E484" s="188">
        <f>IFERROR(__xludf.DUMMYFUNCTION("""COMPUTED_VALUE"""),43278.0)</f>
        <v>43278</v>
      </c>
      <c r="H484">
        <f>IFERROR(__xludf.DUMMYFUNCTION("""COMPUTED_VALUE"""),42155.0)</f>
        <v>42155</v>
      </c>
      <c r="J484" s="5">
        <f>IFERROR(__xludf.DUMMYFUNCTION("""COMPUTED_VALUE"""),43315.0)</f>
        <v>43315</v>
      </c>
      <c r="M484">
        <f>IFERROR(__xludf.DUMMYFUNCTION("""COMPUTED_VALUE"""),37.0)</f>
        <v>37</v>
      </c>
      <c r="N484" t="str">
        <f>IFERROR(__xludf.DUMMYFUNCTION("""COMPUTED_VALUE"""),"Model 3 LR")</f>
        <v>Model 3 LR</v>
      </c>
      <c r="O484" t="str">
        <f>IFERROR(__xludf.DUMMYFUNCTION("""COMPUTED_VALUE"""),"Red Multi-Coat")</f>
        <v>Red Multi-Coat</v>
      </c>
      <c r="P484" t="str">
        <f>IFERROR(__xludf.DUMMYFUNCTION("""COMPUTED_VALUE"""),"18 inch Aero")</f>
        <v>18 inch Aero</v>
      </c>
      <c r="Q484" t="str">
        <f>IFERROR(__xludf.DUMMYFUNCTION("""COMPUTED_VALUE"""),"Black seats")</f>
        <v>Black seats</v>
      </c>
      <c r="R484" t="str">
        <f>IFERROR(__xludf.DUMMYFUNCTION("""COMPUTED_VALUE"""),"Enhanced Autopilot")</f>
        <v>Enhanced Autopilot</v>
      </c>
      <c r="X484" t="str">
        <f>IFERROR(__xludf.DUMMYFUNCTION("""COMPUTED_VALUE"""),"Very Good")</f>
        <v>Very Good</v>
      </c>
      <c r="Y484" t="str">
        <f>IFERROR(__xludf.DUMMYFUNCTION("""COMPUTED_VALUE"""),"Very Good")</f>
        <v>Very Good</v>
      </c>
      <c r="Z484" t="str">
        <f>IFERROR(__xludf.DUMMYFUNCTION("""COMPUTED_VALUE"""),"Poor")</f>
        <v>Poor</v>
      </c>
      <c r="AA484" t="str">
        <f>IFERROR(__xludf.DUMMYFUNCTION("""COMPUTED_VALUE"""),"Very Good")</f>
        <v>Very Good</v>
      </c>
      <c r="AB484" t="str">
        <f>IFERROR(__xludf.DUMMYFUNCTION("""COMPUTED_VALUE"""),"Good")</f>
        <v>Good</v>
      </c>
      <c r="AC484">
        <f>IFERROR(__xludf.DUMMYFUNCTION("""COMPUTED_VALUE"""),5.0)</f>
        <v>5</v>
      </c>
      <c r="AD484">
        <f>IFERROR(__xludf.DUMMYFUNCTION("""COMPUTED_VALUE"""),2.0)</f>
        <v>2</v>
      </c>
      <c r="AE484">
        <f>IFERROR(__xludf.DUMMYFUNCTION("""COMPUTED_VALUE"""),0.0)</f>
        <v>0</v>
      </c>
      <c r="AH484" s="189">
        <f>IFERROR(__xludf.DUMMYFUNCTION("""COMPUTED_VALUE"""),43334.45744648148)</f>
        <v>43334.45745</v>
      </c>
    </row>
    <row r="485">
      <c r="A485" t="str">
        <f>IFERROR(__xludf.DUMMYFUNCTION("""COMPUTED_VALUE"""),"gtg529s")</f>
        <v>gtg529s</v>
      </c>
      <c r="B485" t="str">
        <f>IFERROR(__xludf.DUMMYFUNCTION("""COMPUTED_VALUE"""),"Atlanta")</f>
        <v>Atlanta</v>
      </c>
      <c r="C485" t="str">
        <f>IFERROR(__xludf.DUMMYFUNCTION("""COMPUTED_VALUE"""),"GA")</f>
        <v>GA</v>
      </c>
      <c r="D485" t="str">
        <f>IFERROR(__xludf.DUMMYFUNCTION("""COMPUTED_VALUE"""),"USA")</f>
        <v>USA</v>
      </c>
      <c r="E485" s="188">
        <f>IFERROR(__xludf.DUMMYFUNCTION("""COMPUTED_VALUE"""),43306.0)</f>
        <v>43306</v>
      </c>
      <c r="F485" s="188">
        <f>IFERROR(__xludf.DUMMYFUNCTION("""COMPUTED_VALUE"""),43314.0)</f>
        <v>43314</v>
      </c>
      <c r="H485">
        <f>IFERROR(__xludf.DUMMYFUNCTION("""COMPUTED_VALUE"""),53405.0)</f>
        <v>53405</v>
      </c>
      <c r="I485" t="str">
        <f>IFERROR(__xludf.DUMMYFUNCTION("""COMPUTED_VALUE"""),"08/18")</f>
        <v>08/18</v>
      </c>
      <c r="J485" s="5">
        <f>IFERROR(__xludf.DUMMYFUNCTION("""COMPUTED_VALUE"""),43332.0)</f>
        <v>43332</v>
      </c>
      <c r="K485">
        <f>IFERROR(__xludf.DUMMYFUNCTION("""COMPUTED_VALUE"""),8.0)</f>
        <v>8</v>
      </c>
      <c r="L485">
        <f>IFERROR(__xludf.DUMMYFUNCTION("""COMPUTED_VALUE"""),18.0)</f>
        <v>18</v>
      </c>
      <c r="M485">
        <f>IFERROR(__xludf.DUMMYFUNCTION("""COMPUTED_VALUE"""),26.0)</f>
        <v>26</v>
      </c>
      <c r="N485" t="str">
        <f>IFERROR(__xludf.DUMMYFUNCTION("""COMPUTED_VALUE"""),"Model 3 LR")</f>
        <v>Model 3 LR</v>
      </c>
      <c r="O485" t="str">
        <f>IFERROR(__xludf.DUMMYFUNCTION("""COMPUTED_VALUE"""),"Midnight Silver Metallic")</f>
        <v>Midnight Silver Metallic</v>
      </c>
      <c r="P485" t="str">
        <f>IFERROR(__xludf.DUMMYFUNCTION("""COMPUTED_VALUE"""),"18 inch Aero")</f>
        <v>18 inch Aero</v>
      </c>
      <c r="Q485" t="str">
        <f>IFERROR(__xludf.DUMMYFUNCTION("""COMPUTED_VALUE"""),"Black seats")</f>
        <v>Black seats</v>
      </c>
      <c r="R485" t="str">
        <f>IFERROR(__xludf.DUMMYFUNCTION("""COMPUTED_VALUE"""),"None")</f>
        <v>None</v>
      </c>
      <c r="X485" t="str">
        <f>IFERROR(__xludf.DUMMYFUNCTION("""COMPUTED_VALUE"""),"Excellent")</f>
        <v>Excellent</v>
      </c>
      <c r="Y485" t="str">
        <f>IFERROR(__xludf.DUMMYFUNCTION("""COMPUTED_VALUE"""),"Excellent")</f>
        <v>Excellent</v>
      </c>
      <c r="Z485" t="str">
        <f>IFERROR(__xludf.DUMMYFUNCTION("""COMPUTED_VALUE"""),"Excellent")</f>
        <v>Excellent</v>
      </c>
      <c r="AA485" t="str">
        <f>IFERROR(__xludf.DUMMYFUNCTION("""COMPUTED_VALUE"""),"Good")</f>
        <v>Good</v>
      </c>
      <c r="AB485" t="str">
        <f>IFERROR(__xludf.DUMMYFUNCTION("""COMPUTED_VALUE"""),"Good")</f>
        <v>Good</v>
      </c>
      <c r="AC485">
        <f>IFERROR(__xludf.DUMMYFUNCTION("""COMPUTED_VALUE"""),0.0)</f>
        <v>0</v>
      </c>
      <c r="AD485">
        <f>IFERROR(__xludf.DUMMYFUNCTION("""COMPUTED_VALUE"""),0.0)</f>
        <v>0</v>
      </c>
      <c r="AE485">
        <f>IFERROR(__xludf.DUMMYFUNCTION("""COMPUTED_VALUE"""),0.0)</f>
        <v>0</v>
      </c>
      <c r="AH485" s="189">
        <f>IFERROR(__xludf.DUMMYFUNCTION("""COMPUTED_VALUE"""),43334.46985158564)</f>
        <v>43334.46985</v>
      </c>
    </row>
    <row r="486">
      <c r="A486" t="str">
        <f>IFERROR(__xludf.DUMMYFUNCTION("""COMPUTED_VALUE"""),"bob davis")</f>
        <v>bob davis</v>
      </c>
      <c r="B486" t="str">
        <f>IFERROR(__xludf.DUMMYFUNCTION("""COMPUTED_VALUE"""),"exeter ")</f>
        <v>exeter </v>
      </c>
      <c r="C486" t="str">
        <f>IFERROR(__xludf.DUMMYFUNCTION("""COMPUTED_VALUE"""),"NH")</f>
        <v>NH</v>
      </c>
      <c r="D486" t="str">
        <f>IFERROR(__xludf.DUMMYFUNCTION("""COMPUTED_VALUE"""),"USA")</f>
        <v>USA</v>
      </c>
      <c r="E486" s="188">
        <f>IFERROR(__xludf.DUMMYFUNCTION("""COMPUTED_VALUE"""),43281.0)</f>
        <v>43281</v>
      </c>
      <c r="F486" s="188">
        <f>IFERROR(__xludf.DUMMYFUNCTION("""COMPUTED_VALUE"""),43252.0)</f>
        <v>43252</v>
      </c>
      <c r="H486">
        <f>IFERROR(__xludf.DUMMYFUNCTION("""COMPUTED_VALUE"""),35255.0)</f>
        <v>35255</v>
      </c>
      <c r="J486" s="5">
        <f>IFERROR(__xludf.DUMMYFUNCTION("""COMPUTED_VALUE"""),43299.0)</f>
        <v>43299</v>
      </c>
      <c r="L486">
        <f>IFERROR(__xludf.DUMMYFUNCTION("""COMPUTED_VALUE"""),47.0)</f>
        <v>47</v>
      </c>
      <c r="M486">
        <f>IFERROR(__xludf.DUMMYFUNCTION("""COMPUTED_VALUE"""),18.0)</f>
        <v>18</v>
      </c>
      <c r="N486" t="str">
        <f>IFERROR(__xludf.DUMMYFUNCTION("""COMPUTED_VALUE"""),"Model 3 LR")</f>
        <v>Model 3 LR</v>
      </c>
      <c r="O486" t="str">
        <f>IFERROR(__xludf.DUMMYFUNCTION("""COMPUTED_VALUE"""),"Pearl White Multi-Coat")</f>
        <v>Pearl White Multi-Coat</v>
      </c>
      <c r="P486" t="str">
        <f>IFERROR(__xludf.DUMMYFUNCTION("""COMPUTED_VALUE"""),"18 inch Aero")</f>
        <v>18 inch Aero</v>
      </c>
      <c r="R486" t="str">
        <f>IFERROR(__xludf.DUMMYFUNCTION("""COMPUTED_VALUE"""),"Enhanced Autopilot")</f>
        <v>Enhanced Autopilot</v>
      </c>
      <c r="X486" t="str">
        <f>IFERROR(__xludf.DUMMYFUNCTION("""COMPUTED_VALUE"""),"Very Good")</f>
        <v>Very Good</v>
      </c>
      <c r="Y486" t="str">
        <f>IFERROR(__xludf.DUMMYFUNCTION("""COMPUTED_VALUE"""),"Excellent")</f>
        <v>Excellent</v>
      </c>
      <c r="Z486" t="str">
        <f>IFERROR(__xludf.DUMMYFUNCTION("""COMPUTED_VALUE"""),"Excellent")</f>
        <v>Excellent</v>
      </c>
      <c r="AA486" t="str">
        <f>IFERROR(__xludf.DUMMYFUNCTION("""COMPUTED_VALUE"""),"Excellent")</f>
        <v>Excellent</v>
      </c>
      <c r="AB486" t="str">
        <f>IFERROR(__xludf.DUMMYFUNCTION("""COMPUTED_VALUE"""),"Excellent")</f>
        <v>Excellent</v>
      </c>
      <c r="AC486">
        <f>IFERROR(__xludf.DUMMYFUNCTION("""COMPUTED_VALUE"""),0.0)</f>
        <v>0</v>
      </c>
      <c r="AD486">
        <f>IFERROR(__xludf.DUMMYFUNCTION("""COMPUTED_VALUE"""),0.0)</f>
        <v>0</v>
      </c>
      <c r="AE486">
        <f>IFERROR(__xludf.DUMMYFUNCTION("""COMPUTED_VALUE"""),0.0)</f>
        <v>0</v>
      </c>
      <c r="AG486" t="str">
        <f>IFERROR(__xludf.DUMMYFUNCTION("""COMPUTED_VALUE"""),"might get a slight mismatch on height of frunk on each side. Maybe a 1/16"" difference between left and right. ")</f>
        <v>might get a slight mismatch on height of frunk on each side. Maybe a 1/16" difference between left and right. </v>
      </c>
      <c r="AH486" s="189">
        <f>IFERROR(__xludf.DUMMYFUNCTION("""COMPUTED_VALUE"""),43334.578705821754)</f>
        <v>43334.57871</v>
      </c>
    </row>
    <row r="487">
      <c r="A487" t="str">
        <f>IFERROR(__xludf.DUMMYFUNCTION("""COMPUTED_VALUE"""),"WhiteFang")</f>
        <v>WhiteFang</v>
      </c>
      <c r="B487" t="str">
        <f>IFERROR(__xludf.DUMMYFUNCTION("""COMPUTED_VALUE"""),"CT")</f>
        <v>CT</v>
      </c>
      <c r="C487" t="str">
        <f>IFERROR(__xludf.DUMMYFUNCTION("""COMPUTED_VALUE"""),"CT")</f>
        <v>CT</v>
      </c>
      <c r="D487" t="str">
        <f>IFERROR(__xludf.DUMMYFUNCTION("""COMPUTED_VALUE"""),"USA")</f>
        <v>USA</v>
      </c>
      <c r="E487" s="188">
        <f>IFERROR(__xludf.DUMMYFUNCTION("""COMPUTED_VALUE"""),43240.0)</f>
        <v>43240</v>
      </c>
      <c r="F487" s="188">
        <f>IFERROR(__xludf.DUMMYFUNCTION("""COMPUTED_VALUE"""),43300.0)</f>
        <v>43300</v>
      </c>
      <c r="H487">
        <f>IFERROR(__xludf.DUMMYFUNCTION("""COMPUTED_VALUE"""),62966.0)</f>
        <v>62966</v>
      </c>
      <c r="I487" t="str">
        <f>IFERROR(__xludf.DUMMYFUNCTION("""COMPUTED_VALUE"""),"07/18")</f>
        <v>07/18</v>
      </c>
      <c r="J487" s="5">
        <f>IFERROR(__xludf.DUMMYFUNCTION("""COMPUTED_VALUE"""),43316.0)</f>
        <v>43316</v>
      </c>
      <c r="K487">
        <f>IFERROR(__xludf.DUMMYFUNCTION("""COMPUTED_VALUE"""),60.0)</f>
        <v>60</v>
      </c>
      <c r="L487">
        <f>IFERROR(__xludf.DUMMYFUNCTION("""COMPUTED_VALUE"""),16.0)</f>
        <v>16</v>
      </c>
      <c r="M487">
        <f>IFERROR(__xludf.DUMMYFUNCTION("""COMPUTED_VALUE"""),76.0)</f>
        <v>76</v>
      </c>
      <c r="N487" t="str">
        <f>IFERROR(__xludf.DUMMYFUNCTION("""COMPUTED_VALUE"""),"Model 3 Performance")</f>
        <v>Model 3 Performance</v>
      </c>
      <c r="O487" t="str">
        <f>IFERROR(__xludf.DUMMYFUNCTION("""COMPUTED_VALUE"""),"Deep Blue Metallic")</f>
        <v>Deep Blue Metallic</v>
      </c>
      <c r="P487" t="str">
        <f>IFERROR(__xludf.DUMMYFUNCTION("""COMPUTED_VALUE"""),"18 inch Aero")</f>
        <v>18 inch Aero</v>
      </c>
      <c r="Q487" t="str">
        <f>IFERROR(__xludf.DUMMYFUNCTION("""COMPUTED_VALUE"""),"Black seats")</f>
        <v>Black seats</v>
      </c>
      <c r="R487" t="str">
        <f>IFERROR(__xludf.DUMMYFUNCTION("""COMPUTED_VALUE"""),"None")</f>
        <v>None</v>
      </c>
      <c r="X487" t="str">
        <f>IFERROR(__xludf.DUMMYFUNCTION("""COMPUTED_VALUE"""),"Very Good")</f>
        <v>Very Good</v>
      </c>
      <c r="Y487" t="str">
        <f>IFERROR(__xludf.DUMMYFUNCTION("""COMPUTED_VALUE"""),"Very Good")</f>
        <v>Very Good</v>
      </c>
      <c r="Z487" t="str">
        <f>IFERROR(__xludf.DUMMYFUNCTION("""COMPUTED_VALUE"""),"Good")</f>
        <v>Good</v>
      </c>
      <c r="AA487" t="str">
        <f>IFERROR(__xludf.DUMMYFUNCTION("""COMPUTED_VALUE"""),"Very Good")</f>
        <v>Very Good</v>
      </c>
      <c r="AB487" t="str">
        <f>IFERROR(__xludf.DUMMYFUNCTION("""COMPUTED_VALUE"""),"Very Good")</f>
        <v>Very Good</v>
      </c>
      <c r="AC487">
        <f>IFERROR(__xludf.DUMMYFUNCTION("""COMPUTED_VALUE"""),0.0)</f>
        <v>0</v>
      </c>
      <c r="AD487">
        <f>IFERROR(__xludf.DUMMYFUNCTION("""COMPUTED_VALUE"""),0.0)</f>
        <v>0</v>
      </c>
      <c r="AG487" t="str">
        <f>IFERROR(__xludf.DUMMYFUNCTION("""COMPUTED_VALUE"""),"A couple of dirt nibs trapped in the paint, finish damage during “dealer detailing”: circular polishing damage, pigtail twirls etc. ")</f>
        <v>A couple of dirt nibs trapped in the paint, finish damage during “dealer detailing”: circular polishing damage, pigtail twirls etc. </v>
      </c>
      <c r="AH487" s="189">
        <f>IFERROR(__xludf.DUMMYFUNCTION("""COMPUTED_VALUE"""),43334.604389479166)</f>
        <v>43334.60439</v>
      </c>
    </row>
    <row r="488">
      <c r="A488" t="str">
        <f>IFERROR(__xludf.DUMMYFUNCTION("""COMPUTED_VALUE"""),"JMeezee")</f>
        <v>JMeezee</v>
      </c>
      <c r="B488" t="str">
        <f>IFERROR(__xludf.DUMMYFUNCTION("""COMPUTED_VALUE"""),"Escondido")</f>
        <v>Escondido</v>
      </c>
      <c r="C488" t="str">
        <f>IFERROR(__xludf.DUMMYFUNCTION("""COMPUTED_VALUE"""),"CA")</f>
        <v>CA</v>
      </c>
      <c r="D488" t="str">
        <f>IFERROR(__xludf.DUMMYFUNCTION("""COMPUTED_VALUE"""),"USA")</f>
        <v>USA</v>
      </c>
      <c r="E488" s="188">
        <f>IFERROR(__xludf.DUMMYFUNCTION("""COMPUTED_VALUE"""),43277.0)</f>
        <v>43277</v>
      </c>
      <c r="F488" s="188">
        <f>IFERROR(__xludf.DUMMYFUNCTION("""COMPUTED_VALUE"""),43318.0)</f>
        <v>43318</v>
      </c>
      <c r="H488">
        <f>IFERROR(__xludf.DUMMYFUNCTION("""COMPUTED_VALUE"""),68762.0)</f>
        <v>68762</v>
      </c>
      <c r="J488" s="5">
        <f>IFERROR(__xludf.DUMMYFUNCTION("""COMPUTED_VALUE"""),43333.0)</f>
        <v>43333</v>
      </c>
      <c r="K488">
        <f>IFERROR(__xludf.DUMMYFUNCTION("""COMPUTED_VALUE"""),41.0)</f>
        <v>41</v>
      </c>
      <c r="L488">
        <f>IFERROR(__xludf.DUMMYFUNCTION("""COMPUTED_VALUE"""),15.0)</f>
        <v>15</v>
      </c>
      <c r="M488">
        <f>IFERROR(__xludf.DUMMYFUNCTION("""COMPUTED_VALUE"""),56.0)</f>
        <v>56</v>
      </c>
      <c r="N488" t="str">
        <f>IFERROR(__xludf.DUMMYFUNCTION("""COMPUTED_VALUE"""),"Model 3 LR AWD")</f>
        <v>Model 3 LR AWD</v>
      </c>
      <c r="O488" t="str">
        <f>IFERROR(__xludf.DUMMYFUNCTION("""COMPUTED_VALUE"""),"Midnight Silver Metallic")</f>
        <v>Midnight Silver Metallic</v>
      </c>
      <c r="P488" t="str">
        <f>IFERROR(__xludf.DUMMYFUNCTION("""COMPUTED_VALUE"""),"19 inch Sport")</f>
        <v>19 inch Sport</v>
      </c>
      <c r="Q488" t="str">
        <f>IFERROR(__xludf.DUMMYFUNCTION("""COMPUTED_VALUE"""),"Black seats")</f>
        <v>Black seats</v>
      </c>
      <c r="R488" t="str">
        <f>IFERROR(__xludf.DUMMYFUNCTION("""COMPUTED_VALUE"""),"Full Self-Driving")</f>
        <v>Full Self-Driving</v>
      </c>
      <c r="X488" t="str">
        <f>IFERROR(__xludf.DUMMYFUNCTION("""COMPUTED_VALUE"""),"Good")</f>
        <v>Good</v>
      </c>
      <c r="Y488" t="str">
        <f>IFERROR(__xludf.DUMMYFUNCTION("""COMPUTED_VALUE"""),"Good")</f>
        <v>Good</v>
      </c>
      <c r="Z488" t="str">
        <f>IFERROR(__xludf.DUMMYFUNCTION("""COMPUTED_VALUE"""),"Very Good")</f>
        <v>Very Good</v>
      </c>
      <c r="AA488" t="str">
        <f>IFERROR(__xludf.DUMMYFUNCTION("""COMPUTED_VALUE"""),"Good")</f>
        <v>Good</v>
      </c>
      <c r="AB488" t="str">
        <f>IFERROR(__xludf.DUMMYFUNCTION("""COMPUTED_VALUE"""),"Very Good")</f>
        <v>Very Good</v>
      </c>
      <c r="AH488" s="189">
        <f>IFERROR(__xludf.DUMMYFUNCTION("""COMPUTED_VALUE"""),43334.65587322917)</f>
        <v>43334.65587</v>
      </c>
    </row>
    <row r="489">
      <c r="A489" t="str">
        <f>IFERROR(__xludf.DUMMYFUNCTION("""COMPUTED_VALUE"""),"pbtesla")</f>
        <v>pbtesla</v>
      </c>
      <c r="B489" t="str">
        <f>IFERROR(__xludf.DUMMYFUNCTION("""COMPUTED_VALUE"""),"Portland")</f>
        <v>Portland</v>
      </c>
      <c r="C489" t="str">
        <f>IFERROR(__xludf.DUMMYFUNCTION("""COMPUTED_VALUE"""),"OR")</f>
        <v>OR</v>
      </c>
      <c r="D489" t="str">
        <f>IFERROR(__xludf.DUMMYFUNCTION("""COMPUTED_VALUE"""),"USA")</f>
        <v>USA</v>
      </c>
      <c r="E489" s="188">
        <f>IFERROR(__xludf.DUMMYFUNCTION("""COMPUTED_VALUE"""),43278.0)</f>
        <v>43278</v>
      </c>
      <c r="F489" s="188">
        <f>IFERROR(__xludf.DUMMYFUNCTION("""COMPUTED_VALUE"""),43329.0)</f>
        <v>43329</v>
      </c>
      <c r="H489">
        <f>IFERROR(__xludf.DUMMYFUNCTION("""COMPUTED_VALUE"""),64355.0)</f>
        <v>64355</v>
      </c>
      <c r="I489" t="str">
        <f>IFERROR(__xludf.DUMMYFUNCTION("""COMPUTED_VALUE"""),"08/18")</f>
        <v>08/18</v>
      </c>
      <c r="J489" s="5">
        <f>IFERROR(__xludf.DUMMYFUNCTION("""COMPUTED_VALUE"""),43334.0)</f>
        <v>43334</v>
      </c>
      <c r="K489">
        <f>IFERROR(__xludf.DUMMYFUNCTION("""COMPUTED_VALUE"""),51.0)</f>
        <v>51</v>
      </c>
      <c r="L489">
        <f>IFERROR(__xludf.DUMMYFUNCTION("""COMPUTED_VALUE"""),5.0)</f>
        <v>5</v>
      </c>
      <c r="M489">
        <f>IFERROR(__xludf.DUMMYFUNCTION("""COMPUTED_VALUE"""),56.0)</f>
        <v>56</v>
      </c>
      <c r="N489" t="str">
        <f>IFERROR(__xludf.DUMMYFUNCTION("""COMPUTED_VALUE"""),"Model 3 LR AWD")</f>
        <v>Model 3 LR AWD</v>
      </c>
      <c r="O489" t="str">
        <f>IFERROR(__xludf.DUMMYFUNCTION("""COMPUTED_VALUE"""),"Deep Blue Metallic")</f>
        <v>Deep Blue Metallic</v>
      </c>
      <c r="P489" t="str">
        <f>IFERROR(__xludf.DUMMYFUNCTION("""COMPUTED_VALUE"""),"18 inch Aero")</f>
        <v>18 inch Aero</v>
      </c>
      <c r="Q489" t="str">
        <f>IFERROR(__xludf.DUMMYFUNCTION("""COMPUTED_VALUE"""),"Black seats")</f>
        <v>Black seats</v>
      </c>
      <c r="R489" t="str">
        <f>IFERROR(__xludf.DUMMYFUNCTION("""COMPUTED_VALUE"""),"Enhanced Autopilot")</f>
        <v>Enhanced Autopilot</v>
      </c>
      <c r="AA489" t="str">
        <f>IFERROR(__xludf.DUMMYFUNCTION("""COMPUTED_VALUE"""),"Good")</f>
        <v>Good</v>
      </c>
      <c r="AB489" t="str">
        <f>IFERROR(__xludf.DUMMYFUNCTION("""COMPUTED_VALUE"""),"Very Good")</f>
        <v>Very Good</v>
      </c>
      <c r="AH489" s="189">
        <f>IFERROR(__xludf.DUMMYFUNCTION("""COMPUTED_VALUE"""),43334.72868494213)</f>
        <v>43334.72868</v>
      </c>
    </row>
    <row r="490">
      <c r="A490" t="str">
        <f>IFERROR(__xludf.DUMMYFUNCTION("""COMPUTED_VALUE"""),"bcotesla3")</f>
        <v>bcotesla3</v>
      </c>
      <c r="B490" t="str">
        <f>IFERROR(__xludf.DUMMYFUNCTION("""COMPUTED_VALUE"""),"Torrance")</f>
        <v>Torrance</v>
      </c>
      <c r="C490" t="str">
        <f>IFERROR(__xludf.DUMMYFUNCTION("""COMPUTED_VALUE"""),"CA")</f>
        <v>CA</v>
      </c>
      <c r="D490" t="str">
        <f>IFERROR(__xludf.DUMMYFUNCTION("""COMPUTED_VALUE"""),"USA")</f>
        <v>USA</v>
      </c>
      <c r="E490" s="188">
        <f>IFERROR(__xludf.DUMMYFUNCTION("""COMPUTED_VALUE"""),43281.0)</f>
        <v>43281</v>
      </c>
      <c r="F490" s="188">
        <f>IFERROR(__xludf.DUMMYFUNCTION("""COMPUTED_VALUE"""),43329.0)</f>
        <v>43329</v>
      </c>
      <c r="H490">
        <f>IFERROR(__xludf.DUMMYFUNCTION("""COMPUTED_VALUE"""),70155.0)</f>
        <v>70155</v>
      </c>
      <c r="J490" s="5">
        <f>IFERROR(__xludf.DUMMYFUNCTION("""COMPUTED_VALUE"""),43331.0)</f>
        <v>43331</v>
      </c>
      <c r="K490">
        <f>IFERROR(__xludf.DUMMYFUNCTION("""COMPUTED_VALUE"""),48.0)</f>
        <v>48</v>
      </c>
      <c r="L490">
        <f>IFERROR(__xludf.DUMMYFUNCTION("""COMPUTED_VALUE"""),2.0)</f>
        <v>2</v>
      </c>
      <c r="M490">
        <f>IFERROR(__xludf.DUMMYFUNCTION("""COMPUTED_VALUE"""),50.0)</f>
        <v>50</v>
      </c>
      <c r="N490" t="str">
        <f>IFERROR(__xludf.DUMMYFUNCTION("""COMPUTED_VALUE"""),"Model 3 LR")</f>
        <v>Model 3 LR</v>
      </c>
      <c r="O490" t="str">
        <f>IFERROR(__xludf.DUMMYFUNCTION("""COMPUTED_VALUE"""),"Obsidian Black Metallic")</f>
        <v>Obsidian Black Metallic</v>
      </c>
      <c r="P490" t="str">
        <f>IFERROR(__xludf.DUMMYFUNCTION("""COMPUTED_VALUE"""),"18 inch Aero")</f>
        <v>18 inch Aero</v>
      </c>
      <c r="Q490" t="str">
        <f>IFERROR(__xludf.DUMMYFUNCTION("""COMPUTED_VALUE"""),"Black seats")</f>
        <v>Black seats</v>
      </c>
      <c r="R490" t="str">
        <f>IFERROR(__xludf.DUMMYFUNCTION("""COMPUTED_VALUE"""),"Enhanced Autopilot")</f>
        <v>Enhanced Autopilot</v>
      </c>
      <c r="X490" t="str">
        <f>IFERROR(__xludf.DUMMYFUNCTION("""COMPUTED_VALUE"""),"Excellent")</f>
        <v>Excellent</v>
      </c>
      <c r="Y490" t="str">
        <f>IFERROR(__xludf.DUMMYFUNCTION("""COMPUTED_VALUE"""),"Excellent")</f>
        <v>Excellent</v>
      </c>
      <c r="Z490" t="str">
        <f>IFERROR(__xludf.DUMMYFUNCTION("""COMPUTED_VALUE"""),"Excellent")</f>
        <v>Excellent</v>
      </c>
      <c r="AA490" t="str">
        <f>IFERROR(__xludf.DUMMYFUNCTION("""COMPUTED_VALUE"""),"Excellent")</f>
        <v>Excellent</v>
      </c>
      <c r="AB490" t="str">
        <f>IFERROR(__xludf.DUMMYFUNCTION("""COMPUTED_VALUE"""),"Very Good")</f>
        <v>Very Good</v>
      </c>
      <c r="AC490">
        <f>IFERROR(__xludf.DUMMYFUNCTION("""COMPUTED_VALUE"""),0.0)</f>
        <v>0</v>
      </c>
      <c r="AD490">
        <f>IFERROR(__xludf.DUMMYFUNCTION("""COMPUTED_VALUE"""),0.0)</f>
        <v>0</v>
      </c>
      <c r="AE490">
        <f>IFERROR(__xludf.DUMMYFUNCTION("""COMPUTED_VALUE"""),0.0)</f>
        <v>0</v>
      </c>
      <c r="AH490" s="189">
        <f>IFERROR(__xludf.DUMMYFUNCTION("""COMPUTED_VALUE"""),43334.736818101854)</f>
        <v>43334.73682</v>
      </c>
    </row>
    <row r="491">
      <c r="A491" t="str">
        <f>IFERROR(__xludf.DUMMYFUNCTION("""COMPUTED_VALUE"""),"Bear")</f>
        <v>Bear</v>
      </c>
      <c r="B491" t="str">
        <f>IFERROR(__xludf.DUMMYFUNCTION("""COMPUTED_VALUE"""),"Annapolis")</f>
        <v>Annapolis</v>
      </c>
      <c r="C491" t="str">
        <f>IFERROR(__xludf.DUMMYFUNCTION("""COMPUTED_VALUE"""),"MD")</f>
        <v>MD</v>
      </c>
      <c r="D491" t="str">
        <f>IFERROR(__xludf.DUMMYFUNCTION("""COMPUTED_VALUE"""),"USA")</f>
        <v>USA</v>
      </c>
      <c r="E491" s="188">
        <f>IFERROR(__xludf.DUMMYFUNCTION("""COMPUTED_VALUE"""),43216.0)</f>
        <v>43216</v>
      </c>
      <c r="F491" s="188">
        <f>IFERROR(__xludf.DUMMYFUNCTION("""COMPUTED_VALUE"""),43254.0)</f>
        <v>43254</v>
      </c>
      <c r="H491">
        <f>IFERROR(__xludf.DUMMYFUNCTION("""COMPUTED_VALUE"""),33155.0)</f>
        <v>33155</v>
      </c>
      <c r="J491" s="5">
        <f>IFERROR(__xludf.DUMMYFUNCTION("""COMPUTED_VALUE"""),43273.0)</f>
        <v>43273</v>
      </c>
      <c r="K491">
        <f>IFERROR(__xludf.DUMMYFUNCTION("""COMPUTED_VALUE"""),38.0)</f>
        <v>38</v>
      </c>
      <c r="L491">
        <f>IFERROR(__xludf.DUMMYFUNCTION("""COMPUTED_VALUE"""),19.0)</f>
        <v>19</v>
      </c>
      <c r="M491">
        <f>IFERROR(__xludf.DUMMYFUNCTION("""COMPUTED_VALUE"""),57.0)</f>
        <v>57</v>
      </c>
      <c r="N491" t="str">
        <f>IFERROR(__xludf.DUMMYFUNCTION("""COMPUTED_VALUE"""),"Model 3 LR")</f>
        <v>Model 3 LR</v>
      </c>
      <c r="O491" t="str">
        <f>IFERROR(__xludf.DUMMYFUNCTION("""COMPUTED_VALUE"""),"Solid Black")</f>
        <v>Solid Black</v>
      </c>
      <c r="P491" t="str">
        <f>IFERROR(__xludf.DUMMYFUNCTION("""COMPUTED_VALUE"""),"19 inch Sport")</f>
        <v>19 inch Sport</v>
      </c>
      <c r="Q491" t="str">
        <f>IFERROR(__xludf.DUMMYFUNCTION("""COMPUTED_VALUE"""),"Black seats")</f>
        <v>Black seats</v>
      </c>
      <c r="R491" t="str">
        <f>IFERROR(__xludf.DUMMYFUNCTION("""COMPUTED_VALUE"""),"Enhanced Autopilot")</f>
        <v>Enhanced Autopilot</v>
      </c>
      <c r="X491" t="str">
        <f>IFERROR(__xludf.DUMMYFUNCTION("""COMPUTED_VALUE"""),"Very Good")</f>
        <v>Very Good</v>
      </c>
      <c r="Y491" t="str">
        <f>IFERROR(__xludf.DUMMYFUNCTION("""COMPUTED_VALUE"""),"Very Good")</f>
        <v>Very Good</v>
      </c>
      <c r="Z491" t="str">
        <f>IFERROR(__xludf.DUMMYFUNCTION("""COMPUTED_VALUE"""),"Very Good")</f>
        <v>Very Good</v>
      </c>
      <c r="AA491" t="str">
        <f>IFERROR(__xludf.DUMMYFUNCTION("""COMPUTED_VALUE"""),"Good")</f>
        <v>Good</v>
      </c>
      <c r="AB491" t="str">
        <f>IFERROR(__xludf.DUMMYFUNCTION("""COMPUTED_VALUE"""),"Very Good")</f>
        <v>Very Good</v>
      </c>
      <c r="AC491">
        <f>IFERROR(__xludf.DUMMYFUNCTION("""COMPUTED_VALUE"""),3.0)</f>
        <v>3</v>
      </c>
      <c r="AD491">
        <f>IFERROR(__xludf.DUMMYFUNCTION("""COMPUTED_VALUE"""),0.0)</f>
        <v>0</v>
      </c>
      <c r="AE491">
        <f>IFERROR(__xludf.DUMMYFUNCTION("""COMPUTED_VALUE"""),0.0)</f>
        <v>0</v>
      </c>
      <c r="AH491" s="189">
        <f>IFERROR(__xludf.DUMMYFUNCTION("""COMPUTED_VALUE"""),43334.7564875463)</f>
        <v>43334.75649</v>
      </c>
    </row>
    <row r="492">
      <c r="A492" t="str">
        <f>IFERROR(__xludf.DUMMYFUNCTION("""COMPUTED_VALUE"""),"Se210")</f>
        <v>Se210</v>
      </c>
      <c r="B492" t="str">
        <f>IFERROR(__xludf.DUMMYFUNCTION("""COMPUTED_VALUE"""),"Richmond ")</f>
        <v>Richmond </v>
      </c>
      <c r="C492" t="str">
        <f>IFERROR(__xludf.DUMMYFUNCTION("""COMPUTED_VALUE"""),"VA")</f>
        <v>VA</v>
      </c>
      <c r="D492" t="str">
        <f>IFERROR(__xludf.DUMMYFUNCTION("""COMPUTED_VALUE"""),"USA")</f>
        <v>USA</v>
      </c>
      <c r="E492" s="188">
        <f>IFERROR(__xludf.DUMMYFUNCTION("""COMPUTED_VALUE"""),43279.0)</f>
        <v>43279</v>
      </c>
      <c r="F492" s="188">
        <f>IFERROR(__xludf.DUMMYFUNCTION("""COMPUTED_VALUE"""),43296.0)</f>
        <v>43296</v>
      </c>
      <c r="H492">
        <f>IFERROR(__xludf.DUMMYFUNCTION("""COMPUTED_VALUE"""),54762.0)</f>
        <v>54762</v>
      </c>
      <c r="J492" s="5">
        <f>IFERROR(__xludf.DUMMYFUNCTION("""COMPUTED_VALUE"""),43334.0)</f>
        <v>43334</v>
      </c>
      <c r="K492">
        <f>IFERROR(__xludf.DUMMYFUNCTION("""COMPUTED_VALUE"""),17.0)</f>
        <v>17</v>
      </c>
      <c r="L492">
        <f>IFERROR(__xludf.DUMMYFUNCTION("""COMPUTED_VALUE"""),38.0)</f>
        <v>38</v>
      </c>
      <c r="M492">
        <f>IFERROR(__xludf.DUMMYFUNCTION("""COMPUTED_VALUE"""),55.0)</f>
        <v>55</v>
      </c>
      <c r="N492" t="str">
        <f>IFERROR(__xludf.DUMMYFUNCTION("""COMPUTED_VALUE"""),"Model 3 LR AWD")</f>
        <v>Model 3 LR AWD</v>
      </c>
      <c r="O492" t="str">
        <f>IFERROR(__xludf.DUMMYFUNCTION("""COMPUTED_VALUE"""),"Deep Blue Metallic")</f>
        <v>Deep Blue Metallic</v>
      </c>
      <c r="P492" t="str">
        <f>IFERROR(__xludf.DUMMYFUNCTION("""COMPUTED_VALUE"""),"19 inch Sport")</f>
        <v>19 inch Sport</v>
      </c>
      <c r="Q492" t="str">
        <f>IFERROR(__xludf.DUMMYFUNCTION("""COMPUTED_VALUE"""),"Black seats")</f>
        <v>Black seats</v>
      </c>
      <c r="R492" t="str">
        <f>IFERROR(__xludf.DUMMYFUNCTION("""COMPUTED_VALUE"""),"Enhanced Autopilot")</f>
        <v>Enhanced Autopilot</v>
      </c>
      <c r="X492" t="str">
        <f>IFERROR(__xludf.DUMMYFUNCTION("""COMPUTED_VALUE"""),"Excellent")</f>
        <v>Excellent</v>
      </c>
      <c r="Y492" t="str">
        <f>IFERROR(__xludf.DUMMYFUNCTION("""COMPUTED_VALUE"""),"Excellent")</f>
        <v>Excellent</v>
      </c>
      <c r="Z492" t="str">
        <f>IFERROR(__xludf.DUMMYFUNCTION("""COMPUTED_VALUE"""),"Excellent")</f>
        <v>Excellent</v>
      </c>
      <c r="AA492" t="str">
        <f>IFERROR(__xludf.DUMMYFUNCTION("""COMPUTED_VALUE"""),"Excellent")</f>
        <v>Excellent</v>
      </c>
      <c r="AB492" t="str">
        <f>IFERROR(__xludf.DUMMYFUNCTION("""COMPUTED_VALUE"""),"Excellent")</f>
        <v>Excellent</v>
      </c>
      <c r="AH492" s="189">
        <f>IFERROR(__xludf.DUMMYFUNCTION("""COMPUTED_VALUE"""),43334.842044282406)</f>
        <v>43334.84204</v>
      </c>
    </row>
    <row r="493">
      <c r="A493" t="str">
        <f>IFERROR(__xludf.DUMMYFUNCTION("""COMPUTED_VALUE"""),"domo")</f>
        <v>domo</v>
      </c>
      <c r="B493" t="str">
        <f>IFERROR(__xludf.DUMMYFUNCTION("""COMPUTED_VALUE"""),"San Diego")</f>
        <v>San Diego</v>
      </c>
      <c r="C493" t="str">
        <f>IFERROR(__xludf.DUMMYFUNCTION("""COMPUTED_VALUE"""),"CA")</f>
        <v>CA</v>
      </c>
      <c r="D493" t="str">
        <f>IFERROR(__xludf.DUMMYFUNCTION("""COMPUTED_VALUE"""),"USA")</f>
        <v>USA</v>
      </c>
      <c r="E493" s="188">
        <f>IFERROR(__xludf.DUMMYFUNCTION("""COMPUTED_VALUE"""),43323.0)</f>
        <v>43323</v>
      </c>
      <c r="F493" s="188">
        <f>IFERROR(__xludf.DUMMYFUNCTION("""COMPUTED_VALUE"""),43327.0)</f>
        <v>43327</v>
      </c>
      <c r="H493">
        <f>IFERROR(__xludf.DUMMYFUNCTION("""COMPUTED_VALUE"""),57255.0)</f>
        <v>57255</v>
      </c>
      <c r="I493" t="str">
        <f>IFERROR(__xludf.DUMMYFUNCTION("""COMPUTED_VALUE"""),"08/18")</f>
        <v>08/18</v>
      </c>
      <c r="J493" s="5">
        <f>IFERROR(__xludf.DUMMYFUNCTION("""COMPUTED_VALUE"""),43333.0)</f>
        <v>43333</v>
      </c>
      <c r="K493">
        <f>IFERROR(__xludf.DUMMYFUNCTION("""COMPUTED_VALUE"""),4.0)</f>
        <v>4</v>
      </c>
      <c r="L493">
        <f>IFERROR(__xludf.DUMMYFUNCTION("""COMPUTED_VALUE"""),6.0)</f>
        <v>6</v>
      </c>
      <c r="M493">
        <f>IFERROR(__xludf.DUMMYFUNCTION("""COMPUTED_VALUE"""),10.0)</f>
        <v>10</v>
      </c>
      <c r="N493" t="str">
        <f>IFERROR(__xludf.DUMMYFUNCTION("""COMPUTED_VALUE"""),"Model 3 LR")</f>
        <v>Model 3 LR</v>
      </c>
      <c r="O493" t="str">
        <f>IFERROR(__xludf.DUMMYFUNCTION("""COMPUTED_VALUE"""),"Pearl White Multi-Coat")</f>
        <v>Pearl White Multi-Coat</v>
      </c>
      <c r="P493" t="str">
        <f>IFERROR(__xludf.DUMMYFUNCTION("""COMPUTED_VALUE"""),"18 inch Aero")</f>
        <v>18 inch Aero</v>
      </c>
      <c r="Q493" t="str">
        <f>IFERROR(__xludf.DUMMYFUNCTION("""COMPUTED_VALUE"""),"Black seats")</f>
        <v>Black seats</v>
      </c>
      <c r="R493" t="str">
        <f>IFERROR(__xludf.DUMMYFUNCTION("""COMPUTED_VALUE"""),"Enhanced Autopilot")</f>
        <v>Enhanced Autopilot</v>
      </c>
      <c r="X493" t="str">
        <f>IFERROR(__xludf.DUMMYFUNCTION("""COMPUTED_VALUE"""),"Excellent")</f>
        <v>Excellent</v>
      </c>
      <c r="Y493" t="str">
        <f>IFERROR(__xludf.DUMMYFUNCTION("""COMPUTED_VALUE"""),"Very Good")</f>
        <v>Very Good</v>
      </c>
      <c r="Z493" t="str">
        <f>IFERROR(__xludf.DUMMYFUNCTION("""COMPUTED_VALUE"""),"Excellent")</f>
        <v>Excellent</v>
      </c>
      <c r="AA493" t="str">
        <f>IFERROR(__xludf.DUMMYFUNCTION("""COMPUTED_VALUE"""),"Excellent")</f>
        <v>Excellent</v>
      </c>
      <c r="AB493" t="str">
        <f>IFERROR(__xludf.DUMMYFUNCTION("""COMPUTED_VALUE"""),"Good")</f>
        <v>Good</v>
      </c>
      <c r="AH493" s="189">
        <f>IFERROR(__xludf.DUMMYFUNCTION("""COMPUTED_VALUE"""),43334.91590541667)</f>
        <v>43334.91591</v>
      </c>
    </row>
    <row r="494">
      <c r="A494" t="str">
        <f>IFERROR(__xludf.DUMMYFUNCTION("""COMPUTED_VALUE"""),"normr")</f>
        <v>normr</v>
      </c>
      <c r="B494" t="str">
        <f>IFERROR(__xludf.DUMMYFUNCTION("""COMPUTED_VALUE"""),"Fort Lauderdale")</f>
        <v>Fort Lauderdale</v>
      </c>
      <c r="C494" t="str">
        <f>IFERROR(__xludf.DUMMYFUNCTION("""COMPUTED_VALUE"""),"FL")</f>
        <v>FL</v>
      </c>
      <c r="D494" t="str">
        <f>IFERROR(__xludf.DUMMYFUNCTION("""COMPUTED_VALUE"""),"USA")</f>
        <v>USA</v>
      </c>
      <c r="E494" s="188">
        <f>IFERROR(__xludf.DUMMYFUNCTION("""COMPUTED_VALUE"""),43281.0)</f>
        <v>43281</v>
      </c>
      <c r="F494" s="188">
        <f>IFERROR(__xludf.DUMMYFUNCTION("""COMPUTED_VALUE"""),43293.0)</f>
        <v>43293</v>
      </c>
      <c r="H494">
        <f>IFERROR(__xludf.DUMMYFUNCTION("""COMPUTED_VALUE"""),39974.0)</f>
        <v>39974</v>
      </c>
      <c r="J494" s="5">
        <f>IFERROR(__xludf.DUMMYFUNCTION("""COMPUTED_VALUE"""),43315.0)</f>
        <v>43315</v>
      </c>
      <c r="K494">
        <f>IFERROR(__xludf.DUMMYFUNCTION("""COMPUTED_VALUE"""),12.0)</f>
        <v>12</v>
      </c>
      <c r="L494">
        <f>IFERROR(__xludf.DUMMYFUNCTION("""COMPUTED_VALUE"""),22.0)</f>
        <v>22</v>
      </c>
      <c r="M494">
        <f>IFERROR(__xludf.DUMMYFUNCTION("""COMPUTED_VALUE"""),34.0)</f>
        <v>34</v>
      </c>
      <c r="N494" t="str">
        <f>IFERROR(__xludf.DUMMYFUNCTION("""COMPUTED_VALUE"""),"Model 3 LR")</f>
        <v>Model 3 LR</v>
      </c>
      <c r="O494" t="str">
        <f>IFERROR(__xludf.DUMMYFUNCTION("""COMPUTED_VALUE"""),"Deep Blue Metallic")</f>
        <v>Deep Blue Metallic</v>
      </c>
      <c r="P494" t="str">
        <f>IFERROR(__xludf.DUMMYFUNCTION("""COMPUTED_VALUE"""),"18 inch Aero")</f>
        <v>18 inch Aero</v>
      </c>
      <c r="Q494" t="str">
        <f>IFERROR(__xludf.DUMMYFUNCTION("""COMPUTED_VALUE"""),"Black seats")</f>
        <v>Black seats</v>
      </c>
      <c r="R494" t="str">
        <f>IFERROR(__xludf.DUMMYFUNCTION("""COMPUTED_VALUE"""),"Full Self-Driving")</f>
        <v>Full Self-Driving</v>
      </c>
      <c r="X494" t="str">
        <f>IFERROR(__xludf.DUMMYFUNCTION("""COMPUTED_VALUE"""),"Excellent")</f>
        <v>Excellent</v>
      </c>
      <c r="Y494" t="str">
        <f>IFERROR(__xludf.DUMMYFUNCTION("""COMPUTED_VALUE"""),"Excellent")</f>
        <v>Excellent</v>
      </c>
      <c r="Z494" t="str">
        <f>IFERROR(__xludf.DUMMYFUNCTION("""COMPUTED_VALUE"""),"Very Good")</f>
        <v>Very Good</v>
      </c>
      <c r="AA494" t="str">
        <f>IFERROR(__xludf.DUMMYFUNCTION("""COMPUTED_VALUE"""),"Fair")</f>
        <v>Fair</v>
      </c>
      <c r="AB494" t="str">
        <f>IFERROR(__xludf.DUMMYFUNCTION("""COMPUTED_VALUE"""),"Very Good")</f>
        <v>Very Good</v>
      </c>
      <c r="AC494">
        <f>IFERROR(__xludf.DUMMYFUNCTION("""COMPUTED_VALUE"""),0.0)</f>
        <v>0</v>
      </c>
      <c r="AD494">
        <f>IFERROR(__xludf.DUMMYFUNCTION("""COMPUTED_VALUE"""),0.0)</f>
        <v>0</v>
      </c>
      <c r="AH494" s="189">
        <f>IFERROR(__xludf.DUMMYFUNCTION("""COMPUTED_VALUE"""),43335.22645059028)</f>
        <v>43335.22645</v>
      </c>
    </row>
    <row r="495">
      <c r="A495" t="str">
        <f>IFERROR(__xludf.DUMMYFUNCTION("""COMPUTED_VALUE"""),"ajaydons")</f>
        <v>ajaydons</v>
      </c>
      <c r="B495" t="str">
        <f>IFERROR(__xludf.DUMMYFUNCTION("""COMPUTED_VALUE"""),"Dallas")</f>
        <v>Dallas</v>
      </c>
      <c r="C495" t="str">
        <f>IFERROR(__xludf.DUMMYFUNCTION("""COMPUTED_VALUE"""),"TX")</f>
        <v>TX</v>
      </c>
      <c r="D495" t="str">
        <f>IFERROR(__xludf.DUMMYFUNCTION("""COMPUTED_VALUE"""),"USA")</f>
        <v>USA</v>
      </c>
      <c r="E495" s="188">
        <f>IFERROR(__xludf.DUMMYFUNCTION("""COMPUTED_VALUE"""),43278.0)</f>
        <v>43278</v>
      </c>
      <c r="F495" s="188">
        <f>IFERROR(__xludf.DUMMYFUNCTION("""COMPUTED_VALUE"""),43314.0)</f>
        <v>43314</v>
      </c>
      <c r="H495">
        <f>IFERROR(__xludf.DUMMYFUNCTION("""COMPUTED_VALUE"""),40655.0)</f>
        <v>40655</v>
      </c>
      <c r="J495" s="5">
        <f>IFERROR(__xludf.DUMMYFUNCTION("""COMPUTED_VALUE"""),43329.0)</f>
        <v>43329</v>
      </c>
      <c r="K495">
        <f>IFERROR(__xludf.DUMMYFUNCTION("""COMPUTED_VALUE"""),36.0)</f>
        <v>36</v>
      </c>
      <c r="L495">
        <f>IFERROR(__xludf.DUMMYFUNCTION("""COMPUTED_VALUE"""),15.0)</f>
        <v>15</v>
      </c>
      <c r="M495">
        <f>IFERROR(__xludf.DUMMYFUNCTION("""COMPUTED_VALUE"""),51.0)</f>
        <v>51</v>
      </c>
      <c r="N495" t="str">
        <f>IFERROR(__xludf.DUMMYFUNCTION("""COMPUTED_VALUE"""),"Model 3 LR")</f>
        <v>Model 3 LR</v>
      </c>
      <c r="O495" t="str">
        <f>IFERROR(__xludf.DUMMYFUNCTION("""COMPUTED_VALUE"""),"Silver Metallic")</f>
        <v>Silver Metallic</v>
      </c>
      <c r="P495" t="str">
        <f>IFERROR(__xludf.DUMMYFUNCTION("""COMPUTED_VALUE"""),"18 inch Aero")</f>
        <v>18 inch Aero</v>
      </c>
      <c r="Q495" t="str">
        <f>IFERROR(__xludf.DUMMYFUNCTION("""COMPUTED_VALUE"""),"Black seats")</f>
        <v>Black seats</v>
      </c>
      <c r="R495" t="str">
        <f>IFERROR(__xludf.DUMMYFUNCTION("""COMPUTED_VALUE"""),"Enhanced Autopilot")</f>
        <v>Enhanced Autopilot</v>
      </c>
      <c r="X495" t="str">
        <f>IFERROR(__xludf.DUMMYFUNCTION("""COMPUTED_VALUE"""),"Very Good")</f>
        <v>Very Good</v>
      </c>
      <c r="Y495" t="str">
        <f>IFERROR(__xludf.DUMMYFUNCTION("""COMPUTED_VALUE"""),"Very Good")</f>
        <v>Very Good</v>
      </c>
      <c r="Z495" t="str">
        <f>IFERROR(__xludf.DUMMYFUNCTION("""COMPUTED_VALUE"""),"Very Good")</f>
        <v>Very Good</v>
      </c>
      <c r="AA495" t="str">
        <f>IFERROR(__xludf.DUMMYFUNCTION("""COMPUTED_VALUE"""),"Very Good")</f>
        <v>Very Good</v>
      </c>
      <c r="AB495" t="str">
        <f>IFERROR(__xludf.DUMMYFUNCTION("""COMPUTED_VALUE"""),"Good")</f>
        <v>Good</v>
      </c>
      <c r="AC495">
        <f>IFERROR(__xludf.DUMMYFUNCTION("""COMPUTED_VALUE"""),2.0)</f>
        <v>2</v>
      </c>
      <c r="AD495">
        <f>IFERROR(__xludf.DUMMYFUNCTION("""COMPUTED_VALUE"""),1.0)</f>
        <v>1</v>
      </c>
      <c r="AH495" s="189">
        <f>IFERROR(__xludf.DUMMYFUNCTION("""COMPUTED_VALUE"""),43335.283458715276)</f>
        <v>43335.28346</v>
      </c>
    </row>
    <row r="496">
      <c r="A496" t="str">
        <f>IFERROR(__xludf.DUMMYFUNCTION("""COMPUTED_VALUE"""),"hokieian")</f>
        <v>hokieian</v>
      </c>
      <c r="B496" t="str">
        <f>IFERROR(__xludf.DUMMYFUNCTION("""COMPUTED_VALUE"""),"upstate NY")</f>
        <v>upstate NY</v>
      </c>
      <c r="C496" t="str">
        <f>IFERROR(__xludf.DUMMYFUNCTION("""COMPUTED_VALUE"""),"NY")</f>
        <v>NY</v>
      </c>
      <c r="D496" t="str">
        <f>IFERROR(__xludf.DUMMYFUNCTION("""COMPUTED_VALUE"""),"USA")</f>
        <v>USA</v>
      </c>
      <c r="E496" s="188">
        <f>IFERROR(__xludf.DUMMYFUNCTION("""COMPUTED_VALUE"""),43212.0)</f>
        <v>43212</v>
      </c>
      <c r="F496" s="188">
        <f>IFERROR(__xludf.DUMMYFUNCTION("""COMPUTED_VALUE"""),43271.0)</f>
        <v>43271</v>
      </c>
      <c r="H496">
        <f>IFERROR(__xludf.DUMMYFUNCTION("""COMPUTED_VALUE"""),25631.0)</f>
        <v>25631</v>
      </c>
      <c r="I496" t="str">
        <f>IFERROR(__xludf.DUMMYFUNCTION("""COMPUTED_VALUE"""),"06/18")</f>
        <v>06/18</v>
      </c>
      <c r="J496" s="5">
        <f>IFERROR(__xludf.DUMMYFUNCTION("""COMPUTED_VALUE"""),43301.0)</f>
        <v>43301</v>
      </c>
      <c r="K496">
        <f>IFERROR(__xludf.DUMMYFUNCTION("""COMPUTED_VALUE"""),59.0)</f>
        <v>59</v>
      </c>
      <c r="L496">
        <f>IFERROR(__xludf.DUMMYFUNCTION("""COMPUTED_VALUE"""),30.0)</f>
        <v>30</v>
      </c>
      <c r="M496">
        <f>IFERROR(__xludf.DUMMYFUNCTION("""COMPUTED_VALUE"""),89.0)</f>
        <v>89</v>
      </c>
      <c r="N496" t="str">
        <f>IFERROR(__xludf.DUMMYFUNCTION("""COMPUTED_VALUE"""),"Model 3 LR")</f>
        <v>Model 3 LR</v>
      </c>
      <c r="O496" t="str">
        <f>IFERROR(__xludf.DUMMYFUNCTION("""COMPUTED_VALUE"""),"Midnight Silver Metallic")</f>
        <v>Midnight Silver Metallic</v>
      </c>
      <c r="P496" t="str">
        <f>IFERROR(__xludf.DUMMYFUNCTION("""COMPUTED_VALUE"""),"18 inch Aero")</f>
        <v>18 inch Aero</v>
      </c>
      <c r="Q496" t="str">
        <f>IFERROR(__xludf.DUMMYFUNCTION("""COMPUTED_VALUE"""),"Black seats")</f>
        <v>Black seats</v>
      </c>
      <c r="R496" t="str">
        <f>IFERROR(__xludf.DUMMYFUNCTION("""COMPUTED_VALUE"""),"None")</f>
        <v>None</v>
      </c>
      <c r="X496" t="str">
        <f>IFERROR(__xludf.DUMMYFUNCTION("""COMPUTED_VALUE"""),"Very Good")</f>
        <v>Very Good</v>
      </c>
      <c r="Y496" t="str">
        <f>IFERROR(__xludf.DUMMYFUNCTION("""COMPUTED_VALUE"""),"Good")</f>
        <v>Good</v>
      </c>
      <c r="Z496" t="str">
        <f>IFERROR(__xludf.DUMMYFUNCTION("""COMPUTED_VALUE"""),"Very Good")</f>
        <v>Very Good</v>
      </c>
      <c r="AA496" t="str">
        <f>IFERROR(__xludf.DUMMYFUNCTION("""COMPUTED_VALUE"""),"Very Good")</f>
        <v>Very Good</v>
      </c>
      <c r="AB496" t="str">
        <f>IFERROR(__xludf.DUMMYFUNCTION("""COMPUTED_VALUE"""),"Excellent")</f>
        <v>Excellent</v>
      </c>
      <c r="AC496">
        <f>IFERROR(__xludf.DUMMYFUNCTION("""COMPUTED_VALUE"""),3.0)</f>
        <v>3</v>
      </c>
      <c r="AD496">
        <f>IFERROR(__xludf.DUMMYFUNCTION("""COMPUTED_VALUE"""),1.0)</f>
        <v>1</v>
      </c>
      <c r="AE496">
        <f>IFERROR(__xludf.DUMMYFUNCTION("""COMPUTED_VALUE"""),0.0)</f>
        <v>0</v>
      </c>
      <c r="AH496" s="189">
        <f>IFERROR(__xludf.DUMMYFUNCTION("""COMPUTED_VALUE"""),43335.29189467593)</f>
        <v>43335.29189</v>
      </c>
    </row>
    <row r="497">
      <c r="A497" t="str">
        <f>IFERROR(__xludf.DUMMYFUNCTION("""COMPUTED_VALUE"""),"Sam-Bam")</f>
        <v>Sam-Bam</v>
      </c>
      <c r="B497" t="str">
        <f>IFERROR(__xludf.DUMMYFUNCTION("""COMPUTED_VALUE"""),"Alameda")</f>
        <v>Alameda</v>
      </c>
      <c r="C497" t="str">
        <f>IFERROR(__xludf.DUMMYFUNCTION("""COMPUTED_VALUE"""),"CA")</f>
        <v>CA</v>
      </c>
      <c r="D497" t="str">
        <f>IFERROR(__xludf.DUMMYFUNCTION("""COMPUTED_VALUE"""),"USA")</f>
        <v>USA</v>
      </c>
      <c r="E497" s="188">
        <f>IFERROR(__xludf.DUMMYFUNCTION("""COMPUTED_VALUE"""),42567.0)</f>
        <v>42567</v>
      </c>
      <c r="F497" s="188">
        <f>IFERROR(__xludf.DUMMYFUNCTION("""COMPUTED_VALUE"""),43319.0)</f>
        <v>43319</v>
      </c>
      <c r="H497">
        <f>IFERROR(__xludf.DUMMYFUNCTION("""COMPUTED_VALUE"""),45365.0)</f>
        <v>45365</v>
      </c>
      <c r="I497" t="str">
        <f>IFERROR(__xludf.DUMMYFUNCTION("""COMPUTED_VALUE"""),"07/18")</f>
        <v>07/18</v>
      </c>
      <c r="J497" s="5">
        <f>IFERROR(__xludf.DUMMYFUNCTION("""COMPUTED_VALUE"""),43328.0)</f>
        <v>43328</v>
      </c>
      <c r="L497">
        <f>IFERROR(__xludf.DUMMYFUNCTION("""COMPUTED_VALUE"""),9.0)</f>
        <v>9</v>
      </c>
      <c r="N497" t="str">
        <f>IFERROR(__xludf.DUMMYFUNCTION("""COMPUTED_VALUE"""),"Model 3 LR")</f>
        <v>Model 3 LR</v>
      </c>
      <c r="O497" t="str">
        <f>IFERROR(__xludf.DUMMYFUNCTION("""COMPUTED_VALUE"""),"Midnight Silver Metallic")</f>
        <v>Midnight Silver Metallic</v>
      </c>
      <c r="P497" t="str">
        <f>IFERROR(__xludf.DUMMYFUNCTION("""COMPUTED_VALUE"""),"18 inch Aero")</f>
        <v>18 inch Aero</v>
      </c>
      <c r="Q497" t="str">
        <f>IFERROR(__xludf.DUMMYFUNCTION("""COMPUTED_VALUE"""),"Black seats")</f>
        <v>Black seats</v>
      </c>
      <c r="R497" t="str">
        <f>IFERROR(__xludf.DUMMYFUNCTION("""COMPUTED_VALUE"""),"None")</f>
        <v>None</v>
      </c>
      <c r="X497" t="str">
        <f>IFERROR(__xludf.DUMMYFUNCTION("""COMPUTED_VALUE"""),"Very Good")</f>
        <v>Very Good</v>
      </c>
      <c r="Y497" t="str">
        <f>IFERROR(__xludf.DUMMYFUNCTION("""COMPUTED_VALUE"""),"Very Good")</f>
        <v>Very Good</v>
      </c>
      <c r="Z497" t="str">
        <f>IFERROR(__xludf.DUMMYFUNCTION("""COMPUTED_VALUE"""),"Excellent")</f>
        <v>Excellent</v>
      </c>
      <c r="AA497" t="str">
        <f>IFERROR(__xludf.DUMMYFUNCTION("""COMPUTED_VALUE"""),"Excellent")</f>
        <v>Excellent</v>
      </c>
      <c r="AB497" t="str">
        <f>IFERROR(__xludf.DUMMYFUNCTION("""COMPUTED_VALUE"""),"Very Good")</f>
        <v>Very Good</v>
      </c>
      <c r="AH497" s="189">
        <f>IFERROR(__xludf.DUMMYFUNCTION("""COMPUTED_VALUE"""),43335.34951806713)</f>
        <v>43335.34952</v>
      </c>
    </row>
    <row r="498">
      <c r="A498" t="str">
        <f>IFERROR(__xludf.DUMMYFUNCTION("""COMPUTED_VALUE"""),"BarryRG")</f>
        <v>BarryRG</v>
      </c>
      <c r="B498" t="str">
        <f>IFERROR(__xludf.DUMMYFUNCTION("""COMPUTED_VALUE"""),"Sacramento")</f>
        <v>Sacramento</v>
      </c>
      <c r="C498" t="str">
        <f>IFERROR(__xludf.DUMMYFUNCTION("""COMPUTED_VALUE"""),"CA")</f>
        <v>CA</v>
      </c>
      <c r="D498" t="str">
        <f>IFERROR(__xludf.DUMMYFUNCTION("""COMPUTED_VALUE"""),"USA")</f>
        <v>USA</v>
      </c>
      <c r="E498" s="188">
        <f>IFERROR(__xludf.DUMMYFUNCTION("""COMPUTED_VALUE"""),43279.0)</f>
        <v>43279</v>
      </c>
      <c r="F498" s="188">
        <f>IFERROR(__xludf.DUMMYFUNCTION("""COMPUTED_VALUE"""),43301.0)</f>
        <v>43301</v>
      </c>
      <c r="H498">
        <f>IFERROR(__xludf.DUMMYFUNCTION("""COMPUTED_VALUE"""),45755.0)</f>
        <v>45755</v>
      </c>
      <c r="J498" s="5">
        <f>IFERROR(__xludf.DUMMYFUNCTION("""COMPUTED_VALUE"""),43301.0)</f>
        <v>43301</v>
      </c>
      <c r="K498">
        <f>IFERROR(__xludf.DUMMYFUNCTION("""COMPUTED_VALUE"""),22.0)</f>
        <v>22</v>
      </c>
      <c r="L498">
        <f>IFERROR(__xludf.DUMMYFUNCTION("""COMPUTED_VALUE"""),0.0)</f>
        <v>0</v>
      </c>
      <c r="M498">
        <f>IFERROR(__xludf.DUMMYFUNCTION("""COMPUTED_VALUE"""),22.0)</f>
        <v>22</v>
      </c>
      <c r="N498" t="str">
        <f>IFERROR(__xludf.DUMMYFUNCTION("""COMPUTED_VALUE"""),"Model 3 LR")</f>
        <v>Model 3 LR</v>
      </c>
      <c r="O498" t="str">
        <f>IFERROR(__xludf.DUMMYFUNCTION("""COMPUTED_VALUE"""),"Red Multi-Coat")</f>
        <v>Red Multi-Coat</v>
      </c>
      <c r="P498" t="str">
        <f>IFERROR(__xludf.DUMMYFUNCTION("""COMPUTED_VALUE"""),"18 inch Aero")</f>
        <v>18 inch Aero</v>
      </c>
      <c r="Q498" t="str">
        <f>IFERROR(__xludf.DUMMYFUNCTION("""COMPUTED_VALUE"""),"Black seats")</f>
        <v>Black seats</v>
      </c>
      <c r="R498" t="str">
        <f>IFERROR(__xludf.DUMMYFUNCTION("""COMPUTED_VALUE"""),"Enhanced Autopilot")</f>
        <v>Enhanced Autopilot</v>
      </c>
      <c r="X498" t="str">
        <f>IFERROR(__xludf.DUMMYFUNCTION("""COMPUTED_VALUE"""),"Good")</f>
        <v>Good</v>
      </c>
      <c r="Y498" t="str">
        <f>IFERROR(__xludf.DUMMYFUNCTION("""COMPUTED_VALUE"""),"Good")</f>
        <v>Good</v>
      </c>
      <c r="Z498" t="str">
        <f>IFERROR(__xludf.DUMMYFUNCTION("""COMPUTED_VALUE"""),"Poor")</f>
        <v>Poor</v>
      </c>
      <c r="AA498" t="str">
        <f>IFERROR(__xludf.DUMMYFUNCTION("""COMPUTED_VALUE"""),"Good")</f>
        <v>Good</v>
      </c>
      <c r="AB498" t="str">
        <f>IFERROR(__xludf.DUMMYFUNCTION("""COMPUTED_VALUE"""),"Poor")</f>
        <v>Poor</v>
      </c>
      <c r="AC498">
        <f>IFERROR(__xludf.DUMMYFUNCTION("""COMPUTED_VALUE"""),10.0)</f>
        <v>10</v>
      </c>
      <c r="AD498">
        <f>IFERROR(__xludf.DUMMYFUNCTION("""COMPUTED_VALUE"""),2.0)</f>
        <v>2</v>
      </c>
      <c r="AE498">
        <f>IFERROR(__xludf.DUMMYFUNCTION("""COMPUTED_VALUE"""),10.0)</f>
        <v>10</v>
      </c>
      <c r="AH498" s="189">
        <f>IFERROR(__xludf.DUMMYFUNCTION("""COMPUTED_VALUE"""),43335.39399304398)</f>
        <v>43335.39399</v>
      </c>
    </row>
    <row r="499">
      <c r="A499" t="str">
        <f>IFERROR(__xludf.DUMMYFUNCTION("""COMPUTED_VALUE"""),"OldNSlo92083")</f>
        <v>OldNSlo92083</v>
      </c>
      <c r="B499" t="str">
        <f>IFERROR(__xludf.DUMMYFUNCTION("""COMPUTED_VALUE"""),"San Diego")</f>
        <v>San Diego</v>
      </c>
      <c r="C499" t="str">
        <f>IFERROR(__xludf.DUMMYFUNCTION("""COMPUTED_VALUE"""),"CA")</f>
        <v>CA</v>
      </c>
      <c r="D499" t="str">
        <f>IFERROR(__xludf.DUMMYFUNCTION("""COMPUTED_VALUE"""),"USA")</f>
        <v>USA</v>
      </c>
      <c r="E499" s="188">
        <f>IFERROR(__xludf.DUMMYFUNCTION("""COMPUTED_VALUE"""),43278.0)</f>
        <v>43278</v>
      </c>
      <c r="F499" s="188">
        <f>IFERROR(__xludf.DUMMYFUNCTION("""COMPUTED_VALUE"""),43321.0)</f>
        <v>43321</v>
      </c>
      <c r="H499">
        <f>IFERROR(__xludf.DUMMYFUNCTION("""COMPUTED_VALUE"""),74855.0)</f>
        <v>74855</v>
      </c>
      <c r="J499" s="5">
        <f>IFERROR(__xludf.DUMMYFUNCTION("""COMPUTED_VALUE"""),43331.0)</f>
        <v>43331</v>
      </c>
      <c r="K499">
        <f>IFERROR(__xludf.DUMMYFUNCTION("""COMPUTED_VALUE"""),43.0)</f>
        <v>43</v>
      </c>
      <c r="L499">
        <f>IFERROR(__xludf.DUMMYFUNCTION("""COMPUTED_VALUE"""),10.0)</f>
        <v>10</v>
      </c>
      <c r="M499">
        <f>IFERROR(__xludf.DUMMYFUNCTION("""COMPUTED_VALUE"""),53.0)</f>
        <v>53</v>
      </c>
      <c r="N499" t="str">
        <f>IFERROR(__xludf.DUMMYFUNCTION("""COMPUTED_VALUE"""),"Model 3 Performance")</f>
        <v>Model 3 Performance</v>
      </c>
      <c r="O499" t="str">
        <f>IFERROR(__xludf.DUMMYFUNCTION("""COMPUTED_VALUE"""),"Silver Metallic")</f>
        <v>Silver Metallic</v>
      </c>
      <c r="P499" t="str">
        <f>IFERROR(__xludf.DUMMYFUNCTION("""COMPUTED_VALUE"""),"18 inch Aero")</f>
        <v>18 inch Aero</v>
      </c>
      <c r="Q499" t="str">
        <f>IFERROR(__xludf.DUMMYFUNCTION("""COMPUTED_VALUE"""),"White seats")</f>
        <v>White seats</v>
      </c>
      <c r="R499" t="str">
        <f>IFERROR(__xludf.DUMMYFUNCTION("""COMPUTED_VALUE"""),"Enhanced Autopilot")</f>
        <v>Enhanced Autopilot</v>
      </c>
      <c r="X499" t="str">
        <f>IFERROR(__xludf.DUMMYFUNCTION("""COMPUTED_VALUE"""),"Excellent")</f>
        <v>Excellent</v>
      </c>
      <c r="Y499" t="str">
        <f>IFERROR(__xludf.DUMMYFUNCTION("""COMPUTED_VALUE"""),"Excellent")</f>
        <v>Excellent</v>
      </c>
      <c r="Z499" t="str">
        <f>IFERROR(__xludf.DUMMYFUNCTION("""COMPUTED_VALUE"""),"Excellent")</f>
        <v>Excellent</v>
      </c>
      <c r="AA499" t="str">
        <f>IFERROR(__xludf.DUMMYFUNCTION("""COMPUTED_VALUE"""),"Very Good")</f>
        <v>Very Good</v>
      </c>
      <c r="AB499" t="str">
        <f>IFERROR(__xludf.DUMMYFUNCTION("""COMPUTED_VALUE"""),"Excellent")</f>
        <v>Excellent</v>
      </c>
      <c r="AH499" s="189">
        <f>IFERROR(__xludf.DUMMYFUNCTION("""COMPUTED_VALUE"""),43335.41189846065)</f>
        <v>43335.4119</v>
      </c>
    </row>
    <row r="500">
      <c r="A500" t="str">
        <f>IFERROR(__xludf.DUMMYFUNCTION("""COMPUTED_VALUE"""),"erock")</f>
        <v>erock</v>
      </c>
      <c r="B500" t="str">
        <f>IFERROR(__xludf.DUMMYFUNCTION("""COMPUTED_VALUE"""),"Durham")</f>
        <v>Durham</v>
      </c>
      <c r="C500" t="str">
        <f>IFERROR(__xludf.DUMMYFUNCTION("""COMPUTED_VALUE"""),"NC")</f>
        <v>NC</v>
      </c>
      <c r="D500" t="str">
        <f>IFERROR(__xludf.DUMMYFUNCTION("""COMPUTED_VALUE"""),"USA")</f>
        <v>USA</v>
      </c>
      <c r="E500" s="188">
        <f>IFERROR(__xludf.DUMMYFUNCTION("""COMPUTED_VALUE"""),43279.0)</f>
        <v>43279</v>
      </c>
      <c r="F500" s="188">
        <f>IFERROR(__xludf.DUMMYFUNCTION("""COMPUTED_VALUE"""),43288.0)</f>
        <v>43288</v>
      </c>
      <c r="H500">
        <f>IFERROR(__xludf.DUMMYFUNCTION("""COMPUTED_VALUE"""),37141.0)</f>
        <v>37141</v>
      </c>
      <c r="J500" s="5">
        <f>IFERROR(__xludf.DUMMYFUNCTION("""COMPUTED_VALUE"""),43292.0)</f>
        <v>43292</v>
      </c>
      <c r="K500">
        <f>IFERROR(__xludf.DUMMYFUNCTION("""COMPUTED_VALUE"""),9.0)</f>
        <v>9</v>
      </c>
      <c r="L500">
        <f>IFERROR(__xludf.DUMMYFUNCTION("""COMPUTED_VALUE"""),4.0)</f>
        <v>4</v>
      </c>
      <c r="M500">
        <f>IFERROR(__xludf.DUMMYFUNCTION("""COMPUTED_VALUE"""),13.0)</f>
        <v>13</v>
      </c>
      <c r="N500" t="str">
        <f>IFERROR(__xludf.DUMMYFUNCTION("""COMPUTED_VALUE"""),"Model 3 LR")</f>
        <v>Model 3 LR</v>
      </c>
      <c r="O500" t="str">
        <f>IFERROR(__xludf.DUMMYFUNCTION("""COMPUTED_VALUE"""),"Midnight Silver Metallic")</f>
        <v>Midnight Silver Metallic</v>
      </c>
      <c r="P500" t="str">
        <f>IFERROR(__xludf.DUMMYFUNCTION("""COMPUTED_VALUE"""),"18 inch Aero")</f>
        <v>18 inch Aero</v>
      </c>
      <c r="Q500" t="str">
        <f>IFERROR(__xludf.DUMMYFUNCTION("""COMPUTED_VALUE"""),"Black seats")</f>
        <v>Black seats</v>
      </c>
      <c r="R500" t="str">
        <f>IFERROR(__xludf.DUMMYFUNCTION("""COMPUTED_VALUE"""),"Enhanced Autopilot")</f>
        <v>Enhanced Autopilot</v>
      </c>
      <c r="X500" t="str">
        <f>IFERROR(__xludf.DUMMYFUNCTION("""COMPUTED_VALUE"""),"Very Good")</f>
        <v>Very Good</v>
      </c>
      <c r="Y500" t="str">
        <f>IFERROR(__xludf.DUMMYFUNCTION("""COMPUTED_VALUE"""),"Very Good")</f>
        <v>Very Good</v>
      </c>
      <c r="Z500" t="str">
        <f>IFERROR(__xludf.DUMMYFUNCTION("""COMPUTED_VALUE"""),"Excellent")</f>
        <v>Excellent</v>
      </c>
      <c r="AA500" t="str">
        <f>IFERROR(__xludf.DUMMYFUNCTION("""COMPUTED_VALUE"""),"Excellent")</f>
        <v>Excellent</v>
      </c>
      <c r="AB500" t="str">
        <f>IFERROR(__xludf.DUMMYFUNCTION("""COMPUTED_VALUE"""),"Good")</f>
        <v>Good</v>
      </c>
      <c r="AC500">
        <f>IFERROR(__xludf.DUMMYFUNCTION("""COMPUTED_VALUE"""),2.0)</f>
        <v>2</v>
      </c>
      <c r="AD500">
        <f>IFERROR(__xludf.DUMMYFUNCTION("""COMPUTED_VALUE"""),1.0)</f>
        <v>1</v>
      </c>
      <c r="AE500">
        <f>IFERROR(__xludf.DUMMYFUNCTION("""COMPUTED_VALUE"""),5.0)</f>
        <v>5</v>
      </c>
      <c r="AH500" s="189">
        <f>IFERROR(__xludf.DUMMYFUNCTION("""COMPUTED_VALUE"""),43335.55098768519)</f>
        <v>43335.55099</v>
      </c>
    </row>
    <row r="501">
      <c r="A501" t="str">
        <f>IFERROR(__xludf.DUMMYFUNCTION("""COMPUTED_VALUE"""),"tslafuture2020")</f>
        <v>tslafuture2020</v>
      </c>
      <c r="B501" t="str">
        <f>IFERROR(__xludf.DUMMYFUNCTION("""COMPUTED_VALUE"""),"Austin")</f>
        <v>Austin</v>
      </c>
      <c r="C501" t="str">
        <f>IFERROR(__xludf.DUMMYFUNCTION("""COMPUTED_VALUE"""),"TX")</f>
        <v>TX</v>
      </c>
      <c r="D501" t="str">
        <f>IFERROR(__xludf.DUMMYFUNCTION("""COMPUTED_VALUE"""),"USA")</f>
        <v>USA</v>
      </c>
      <c r="E501" s="188">
        <f>IFERROR(__xludf.DUMMYFUNCTION("""COMPUTED_VALUE"""),43278.0)</f>
        <v>43278</v>
      </c>
      <c r="F501" s="188">
        <f>IFERROR(__xludf.DUMMYFUNCTION("""COMPUTED_VALUE"""),43299.0)</f>
        <v>43299</v>
      </c>
      <c r="H501">
        <f>IFERROR(__xludf.DUMMYFUNCTION("""COMPUTED_VALUE"""),38055.0)</f>
        <v>38055</v>
      </c>
      <c r="I501" t="str">
        <f>IFERROR(__xludf.DUMMYFUNCTION("""COMPUTED_VALUE"""),"06/18")</f>
        <v>06/18</v>
      </c>
      <c r="J501" s="5">
        <f>IFERROR(__xludf.DUMMYFUNCTION("""COMPUTED_VALUE"""),43329.0)</f>
        <v>43329</v>
      </c>
      <c r="K501">
        <f>IFERROR(__xludf.DUMMYFUNCTION("""COMPUTED_VALUE"""),21.0)</f>
        <v>21</v>
      </c>
      <c r="L501">
        <f>IFERROR(__xludf.DUMMYFUNCTION("""COMPUTED_VALUE"""),30.0)</f>
        <v>30</v>
      </c>
      <c r="M501">
        <f>IFERROR(__xludf.DUMMYFUNCTION("""COMPUTED_VALUE"""),51.0)</f>
        <v>51</v>
      </c>
      <c r="N501" t="str">
        <f>IFERROR(__xludf.DUMMYFUNCTION("""COMPUTED_VALUE"""),"Model 3 LR")</f>
        <v>Model 3 LR</v>
      </c>
      <c r="O501" t="str">
        <f>IFERROR(__xludf.DUMMYFUNCTION("""COMPUTED_VALUE"""),"Red Multi-Coat")</f>
        <v>Red Multi-Coat</v>
      </c>
      <c r="P501" t="str">
        <f>IFERROR(__xludf.DUMMYFUNCTION("""COMPUTED_VALUE"""),"18 inch Aero")</f>
        <v>18 inch Aero</v>
      </c>
      <c r="Q501" t="str">
        <f>IFERROR(__xludf.DUMMYFUNCTION("""COMPUTED_VALUE"""),"Black seats")</f>
        <v>Black seats</v>
      </c>
      <c r="R501" t="str">
        <f>IFERROR(__xludf.DUMMYFUNCTION("""COMPUTED_VALUE"""),"Enhanced Autopilot")</f>
        <v>Enhanced Autopilot</v>
      </c>
      <c r="X501" t="str">
        <f>IFERROR(__xludf.DUMMYFUNCTION("""COMPUTED_VALUE"""),"Excellent")</f>
        <v>Excellent</v>
      </c>
      <c r="Y501" t="str">
        <f>IFERROR(__xludf.DUMMYFUNCTION("""COMPUTED_VALUE"""),"Excellent")</f>
        <v>Excellent</v>
      </c>
      <c r="Z501" t="str">
        <f>IFERROR(__xludf.DUMMYFUNCTION("""COMPUTED_VALUE"""),"Excellent")</f>
        <v>Excellent</v>
      </c>
      <c r="AA501" t="str">
        <f>IFERROR(__xludf.DUMMYFUNCTION("""COMPUTED_VALUE"""),"Good")</f>
        <v>Good</v>
      </c>
      <c r="AB501" t="str">
        <f>IFERROR(__xludf.DUMMYFUNCTION("""COMPUTED_VALUE"""),"Excellent")</f>
        <v>Excellent</v>
      </c>
      <c r="AH501" s="189">
        <f>IFERROR(__xludf.DUMMYFUNCTION("""COMPUTED_VALUE"""),43335.57698517361)</f>
        <v>43335.57699</v>
      </c>
    </row>
    <row r="502">
      <c r="A502" t="str">
        <f>IFERROR(__xludf.DUMMYFUNCTION("""COMPUTED_VALUE"""),"mike7801")</f>
        <v>mike7801</v>
      </c>
      <c r="B502" t="str">
        <f>IFERROR(__xludf.DUMMYFUNCTION("""COMPUTED_VALUE"""),"Cincinnati")</f>
        <v>Cincinnati</v>
      </c>
      <c r="C502" t="str">
        <f>IFERROR(__xludf.DUMMYFUNCTION("""COMPUTED_VALUE"""),"OH")</f>
        <v>OH</v>
      </c>
      <c r="D502" t="str">
        <f>IFERROR(__xludf.DUMMYFUNCTION("""COMPUTED_VALUE"""),"USA")</f>
        <v>USA</v>
      </c>
      <c r="E502" s="188">
        <f>IFERROR(__xludf.DUMMYFUNCTION("""COMPUTED_VALUE"""),43293.0)</f>
        <v>43293</v>
      </c>
      <c r="F502" s="188">
        <f>IFERROR(__xludf.DUMMYFUNCTION("""COMPUTED_VALUE"""),43318.0)</f>
        <v>43318</v>
      </c>
      <c r="H502">
        <f>IFERROR(__xludf.DUMMYFUNCTION("""COMPUTED_VALUE"""),68655.0)</f>
        <v>68655</v>
      </c>
      <c r="I502" t="str">
        <f>IFERROR(__xludf.DUMMYFUNCTION("""COMPUTED_VALUE"""),"08/18")</f>
        <v>08/18</v>
      </c>
      <c r="J502" s="5">
        <f>IFERROR(__xludf.DUMMYFUNCTION("""COMPUTED_VALUE"""),43335.0)</f>
        <v>43335</v>
      </c>
      <c r="K502">
        <f>IFERROR(__xludf.DUMMYFUNCTION("""COMPUTED_VALUE"""),25.0)</f>
        <v>25</v>
      </c>
      <c r="L502">
        <f>IFERROR(__xludf.DUMMYFUNCTION("""COMPUTED_VALUE"""),17.0)</f>
        <v>17</v>
      </c>
      <c r="M502">
        <f>IFERROR(__xludf.DUMMYFUNCTION("""COMPUTED_VALUE"""),42.0)</f>
        <v>42</v>
      </c>
      <c r="N502" t="str">
        <f>IFERROR(__xludf.DUMMYFUNCTION("""COMPUTED_VALUE"""),"Model 3 LR AWD")</f>
        <v>Model 3 LR AWD</v>
      </c>
      <c r="O502" t="str">
        <f>IFERROR(__xludf.DUMMYFUNCTION("""COMPUTED_VALUE"""),"Midnight Silver Metallic")</f>
        <v>Midnight Silver Metallic</v>
      </c>
      <c r="P502" t="str">
        <f>IFERROR(__xludf.DUMMYFUNCTION("""COMPUTED_VALUE"""),"19 inch Sport")</f>
        <v>19 inch Sport</v>
      </c>
      <c r="Q502" t="str">
        <f>IFERROR(__xludf.DUMMYFUNCTION("""COMPUTED_VALUE"""),"Black seats")</f>
        <v>Black seats</v>
      </c>
      <c r="R502" t="str">
        <f>IFERROR(__xludf.DUMMYFUNCTION("""COMPUTED_VALUE"""),"Enhanced Autopilot")</f>
        <v>Enhanced Autopilot</v>
      </c>
      <c r="X502" t="str">
        <f>IFERROR(__xludf.DUMMYFUNCTION("""COMPUTED_VALUE"""),"Excellent")</f>
        <v>Excellent</v>
      </c>
      <c r="Y502" t="str">
        <f>IFERROR(__xludf.DUMMYFUNCTION("""COMPUTED_VALUE"""),"Excellent")</f>
        <v>Excellent</v>
      </c>
      <c r="Z502" t="str">
        <f>IFERROR(__xludf.DUMMYFUNCTION("""COMPUTED_VALUE"""),"Excellent")</f>
        <v>Excellent</v>
      </c>
      <c r="AA502" t="str">
        <f>IFERROR(__xludf.DUMMYFUNCTION("""COMPUTED_VALUE"""),"Fair")</f>
        <v>Fair</v>
      </c>
      <c r="AB502" t="str">
        <f>IFERROR(__xludf.DUMMYFUNCTION("""COMPUTED_VALUE"""),"Very Good")</f>
        <v>Very Good</v>
      </c>
      <c r="AH502" s="189">
        <f>IFERROR(__xludf.DUMMYFUNCTION("""COMPUTED_VALUE"""),43335.60115905093)</f>
        <v>43335.60116</v>
      </c>
    </row>
    <row r="503">
      <c r="A503" t="str">
        <f>IFERROR(__xludf.DUMMYFUNCTION("""COMPUTED_VALUE"""),"camsqu")</f>
        <v>camsqu</v>
      </c>
      <c r="B503" t="str">
        <f>IFERROR(__xludf.DUMMYFUNCTION("""COMPUTED_VALUE"""),"Santa Barbara")</f>
        <v>Santa Barbara</v>
      </c>
      <c r="C503" t="str">
        <f>IFERROR(__xludf.DUMMYFUNCTION("""COMPUTED_VALUE"""),"CA")</f>
        <v>CA</v>
      </c>
      <c r="D503" t="str">
        <f>IFERROR(__xludf.DUMMYFUNCTION("""COMPUTED_VALUE"""),"USA")</f>
        <v>USA</v>
      </c>
      <c r="E503" s="188">
        <f>IFERROR(__xludf.DUMMYFUNCTION("""COMPUTED_VALUE"""),43294.0)</f>
        <v>43294</v>
      </c>
      <c r="F503" s="188">
        <f>IFERROR(__xludf.DUMMYFUNCTION("""COMPUTED_VALUE"""),43311.0)</f>
        <v>43311</v>
      </c>
      <c r="H503">
        <f>IFERROR(__xludf.DUMMYFUNCTION("""COMPUTED_VALUE"""),19434.0)</f>
        <v>19434</v>
      </c>
      <c r="I503" t="str">
        <f>IFERROR(__xludf.DUMMYFUNCTION("""COMPUTED_VALUE"""),"06/18")</f>
        <v>06/18</v>
      </c>
      <c r="J503" s="5">
        <f>IFERROR(__xludf.DUMMYFUNCTION("""COMPUTED_VALUE"""),43313.0)</f>
        <v>43313</v>
      </c>
      <c r="K503">
        <f>IFERROR(__xludf.DUMMYFUNCTION("""COMPUTED_VALUE"""),17.0)</f>
        <v>17</v>
      </c>
      <c r="L503">
        <f>IFERROR(__xludf.DUMMYFUNCTION("""COMPUTED_VALUE"""),2.0)</f>
        <v>2</v>
      </c>
      <c r="M503">
        <f>IFERROR(__xludf.DUMMYFUNCTION("""COMPUTED_VALUE"""),19.0)</f>
        <v>19</v>
      </c>
      <c r="N503" t="str">
        <f>IFERROR(__xludf.DUMMYFUNCTION("""COMPUTED_VALUE"""),"Model 3 LR")</f>
        <v>Model 3 LR</v>
      </c>
      <c r="O503" t="str">
        <f>IFERROR(__xludf.DUMMYFUNCTION("""COMPUTED_VALUE"""),"Deep Blue Metallic")</f>
        <v>Deep Blue Metallic</v>
      </c>
      <c r="P503" t="str">
        <f>IFERROR(__xludf.DUMMYFUNCTION("""COMPUTED_VALUE"""),"18 inch Aero")</f>
        <v>18 inch Aero</v>
      </c>
      <c r="Q503" t="str">
        <f>IFERROR(__xludf.DUMMYFUNCTION("""COMPUTED_VALUE"""),"Black seats")</f>
        <v>Black seats</v>
      </c>
      <c r="R503" t="str">
        <f>IFERROR(__xludf.DUMMYFUNCTION("""COMPUTED_VALUE"""),"Enhanced Autopilot")</f>
        <v>Enhanced Autopilot</v>
      </c>
      <c r="X503" t="str">
        <f>IFERROR(__xludf.DUMMYFUNCTION("""COMPUTED_VALUE"""),"Excellent")</f>
        <v>Excellent</v>
      </c>
      <c r="Y503" t="str">
        <f>IFERROR(__xludf.DUMMYFUNCTION("""COMPUTED_VALUE"""),"Excellent")</f>
        <v>Excellent</v>
      </c>
      <c r="Z503" t="str">
        <f>IFERROR(__xludf.DUMMYFUNCTION("""COMPUTED_VALUE"""),"Excellent")</f>
        <v>Excellent</v>
      </c>
      <c r="AA503" t="str">
        <f>IFERROR(__xludf.DUMMYFUNCTION("""COMPUTED_VALUE"""),"Fair")</f>
        <v>Fair</v>
      </c>
      <c r="AB503" t="str">
        <f>IFERROR(__xludf.DUMMYFUNCTION("""COMPUTED_VALUE"""),"Very Good")</f>
        <v>Very Good</v>
      </c>
      <c r="AC503">
        <f>IFERROR(__xludf.DUMMYFUNCTION("""COMPUTED_VALUE"""),2.0)</f>
        <v>2</v>
      </c>
      <c r="AD503">
        <f>IFERROR(__xludf.DUMMYFUNCTION("""COMPUTED_VALUE"""),0.0)</f>
        <v>0</v>
      </c>
      <c r="AG503" t="str">
        <f>IFERROR(__xludf.DUMMYFUNCTION("""COMPUTED_VALUE"""),"Glovebox won't open since delivery, still waiting for service")</f>
        <v>Glovebox won't open since delivery, still waiting for service</v>
      </c>
      <c r="AH503" s="189">
        <f>IFERROR(__xludf.DUMMYFUNCTION("""COMPUTED_VALUE"""),43335.72988934028)</f>
        <v>43335.72989</v>
      </c>
    </row>
    <row r="504">
      <c r="A504" t="str">
        <f>IFERROR(__xludf.DUMMYFUNCTION("""COMPUTED_VALUE"""),"Jjr")</f>
        <v>Jjr</v>
      </c>
      <c r="B504" t="str">
        <f>IFERROR(__xludf.DUMMYFUNCTION("""COMPUTED_VALUE"""),"Indianapolis")</f>
        <v>Indianapolis</v>
      </c>
      <c r="C504" t="str">
        <f>IFERROR(__xludf.DUMMYFUNCTION("""COMPUTED_VALUE"""),"IN")</f>
        <v>IN</v>
      </c>
      <c r="D504" t="str">
        <f>IFERROR(__xludf.DUMMYFUNCTION("""COMPUTED_VALUE"""),"USA")</f>
        <v>USA</v>
      </c>
      <c r="E504" s="188">
        <f>IFERROR(__xludf.DUMMYFUNCTION("""COMPUTED_VALUE"""),43293.0)</f>
        <v>43293</v>
      </c>
      <c r="F504" s="188">
        <f>IFERROR(__xludf.DUMMYFUNCTION("""COMPUTED_VALUE"""),43312.0)</f>
        <v>43312</v>
      </c>
      <c r="H504">
        <f>IFERROR(__xludf.DUMMYFUNCTION("""COMPUTED_VALUE"""),54255.0)</f>
        <v>54255</v>
      </c>
      <c r="I504" t="str">
        <f>IFERROR(__xludf.DUMMYFUNCTION("""COMPUTED_VALUE"""),"07/18")</f>
        <v>07/18</v>
      </c>
      <c r="J504" s="5">
        <f>IFERROR(__xludf.DUMMYFUNCTION("""COMPUTED_VALUE"""),43333.0)</f>
        <v>43333</v>
      </c>
      <c r="K504">
        <f>IFERROR(__xludf.DUMMYFUNCTION("""COMPUTED_VALUE"""),19.0)</f>
        <v>19</v>
      </c>
      <c r="L504">
        <f>IFERROR(__xludf.DUMMYFUNCTION("""COMPUTED_VALUE"""),21.0)</f>
        <v>21</v>
      </c>
      <c r="M504">
        <f>IFERROR(__xludf.DUMMYFUNCTION("""COMPUTED_VALUE"""),40.0)</f>
        <v>40</v>
      </c>
      <c r="N504" t="str">
        <f>IFERROR(__xludf.DUMMYFUNCTION("""COMPUTED_VALUE"""),"Model 3 LR AWD")</f>
        <v>Model 3 LR AWD</v>
      </c>
      <c r="O504" t="str">
        <f>IFERROR(__xludf.DUMMYFUNCTION("""COMPUTED_VALUE"""),"Midnight Silver Metallic")</f>
        <v>Midnight Silver Metallic</v>
      </c>
      <c r="P504" t="str">
        <f>IFERROR(__xludf.DUMMYFUNCTION("""COMPUTED_VALUE"""),"18 inch Aero")</f>
        <v>18 inch Aero</v>
      </c>
      <c r="Q504" t="str">
        <f>IFERROR(__xludf.DUMMYFUNCTION("""COMPUTED_VALUE"""),"Black seats")</f>
        <v>Black seats</v>
      </c>
      <c r="R504" t="str">
        <f>IFERROR(__xludf.DUMMYFUNCTION("""COMPUTED_VALUE"""),"Enhanced Autopilot")</f>
        <v>Enhanced Autopilot</v>
      </c>
      <c r="X504" t="str">
        <f>IFERROR(__xludf.DUMMYFUNCTION("""COMPUTED_VALUE"""),"Very Good")</f>
        <v>Very Good</v>
      </c>
      <c r="Y504" t="str">
        <f>IFERROR(__xludf.DUMMYFUNCTION("""COMPUTED_VALUE"""),"Excellent")</f>
        <v>Excellent</v>
      </c>
      <c r="Z504" t="str">
        <f>IFERROR(__xludf.DUMMYFUNCTION("""COMPUTED_VALUE"""),"Excellent")</f>
        <v>Excellent</v>
      </c>
      <c r="AA504" t="str">
        <f>IFERROR(__xludf.DUMMYFUNCTION("""COMPUTED_VALUE"""),"Very Good")</f>
        <v>Very Good</v>
      </c>
      <c r="AB504" t="str">
        <f>IFERROR(__xludf.DUMMYFUNCTION("""COMPUTED_VALUE"""),"Very Good")</f>
        <v>Very Good</v>
      </c>
      <c r="AC504">
        <f>IFERROR(__xludf.DUMMYFUNCTION("""COMPUTED_VALUE"""),0.0)</f>
        <v>0</v>
      </c>
      <c r="AD504">
        <f>IFERROR(__xludf.DUMMYFUNCTION("""COMPUTED_VALUE"""),0.0)</f>
        <v>0</v>
      </c>
      <c r="AE504">
        <f>IFERROR(__xludf.DUMMYFUNCTION("""COMPUTED_VALUE"""),0.0)</f>
        <v>0</v>
      </c>
      <c r="AG504" t="str">
        <f>IFERROR(__xludf.DUMMYFUNCTION("""COMPUTED_VALUE"""),"Day 1 linewaiter. Waited to configure for personal reasons (changing jobs) in summer 2018")</f>
        <v>Day 1 linewaiter. Waited to configure for personal reasons (changing jobs) in summer 2018</v>
      </c>
      <c r="AH504" s="189">
        <f>IFERROR(__xludf.DUMMYFUNCTION("""COMPUTED_VALUE"""),43335.75960609954)</f>
        <v>43335.75961</v>
      </c>
    </row>
    <row r="505">
      <c r="A505" t="str">
        <f>IFERROR(__xludf.DUMMYFUNCTION("""COMPUTED_VALUE"""),"mt-wizard")</f>
        <v>mt-wizard</v>
      </c>
      <c r="B505" t="str">
        <f>IFERROR(__xludf.DUMMYFUNCTION("""COMPUTED_VALUE"""),"Redmond")</f>
        <v>Redmond</v>
      </c>
      <c r="C505" t="str">
        <f>IFERROR(__xludf.DUMMYFUNCTION("""COMPUTED_VALUE"""),"WA")</f>
        <v>WA</v>
      </c>
      <c r="D505" t="str">
        <f>IFERROR(__xludf.DUMMYFUNCTION("""COMPUTED_VALUE"""),"USA")</f>
        <v>USA</v>
      </c>
      <c r="E505" s="188">
        <f>IFERROR(__xludf.DUMMYFUNCTION("""COMPUTED_VALUE"""),43278.0)</f>
        <v>43278</v>
      </c>
      <c r="F505" s="188">
        <f>IFERROR(__xludf.DUMMYFUNCTION("""COMPUTED_VALUE"""),43315.0)</f>
        <v>43315</v>
      </c>
      <c r="I505" t="str">
        <f>IFERROR(__xludf.DUMMYFUNCTION("""COMPUTED_VALUE"""),"08/18")</f>
        <v>08/18</v>
      </c>
      <c r="J505" s="5">
        <f>IFERROR(__xludf.DUMMYFUNCTION("""COMPUTED_VALUE"""),43333.0)</f>
        <v>43333</v>
      </c>
      <c r="K505">
        <f>IFERROR(__xludf.DUMMYFUNCTION("""COMPUTED_VALUE"""),37.0)</f>
        <v>37</v>
      </c>
      <c r="L505">
        <f>IFERROR(__xludf.DUMMYFUNCTION("""COMPUTED_VALUE"""),18.0)</f>
        <v>18</v>
      </c>
      <c r="M505">
        <f>IFERROR(__xludf.DUMMYFUNCTION("""COMPUTED_VALUE"""),55.0)</f>
        <v>55</v>
      </c>
      <c r="N505" t="str">
        <f>IFERROR(__xludf.DUMMYFUNCTION("""COMPUTED_VALUE"""),"Model 3 LR AWD")</f>
        <v>Model 3 LR AWD</v>
      </c>
      <c r="O505" t="str">
        <f>IFERROR(__xludf.DUMMYFUNCTION("""COMPUTED_VALUE"""),"Pearl White Multi-Coat")</f>
        <v>Pearl White Multi-Coat</v>
      </c>
      <c r="P505" t="str">
        <f>IFERROR(__xludf.DUMMYFUNCTION("""COMPUTED_VALUE"""),"18 inch Aero")</f>
        <v>18 inch Aero</v>
      </c>
      <c r="Q505" t="str">
        <f>IFERROR(__xludf.DUMMYFUNCTION("""COMPUTED_VALUE"""),"White seats")</f>
        <v>White seats</v>
      </c>
      <c r="R505" t="str">
        <f>IFERROR(__xludf.DUMMYFUNCTION("""COMPUTED_VALUE"""),"Enhanced Autopilot")</f>
        <v>Enhanced Autopilot</v>
      </c>
      <c r="X505" t="str">
        <f>IFERROR(__xludf.DUMMYFUNCTION("""COMPUTED_VALUE"""),"Very Good")</f>
        <v>Very Good</v>
      </c>
      <c r="Y505" t="str">
        <f>IFERROR(__xludf.DUMMYFUNCTION("""COMPUTED_VALUE"""),"Excellent")</f>
        <v>Excellent</v>
      </c>
      <c r="Z505" t="str">
        <f>IFERROR(__xludf.DUMMYFUNCTION("""COMPUTED_VALUE"""),"Excellent")</f>
        <v>Excellent</v>
      </c>
      <c r="AA505" t="str">
        <f>IFERROR(__xludf.DUMMYFUNCTION("""COMPUTED_VALUE"""),"Good")</f>
        <v>Good</v>
      </c>
      <c r="AB505" t="str">
        <f>IFERROR(__xludf.DUMMYFUNCTION("""COMPUTED_VALUE"""),"Excellent")</f>
        <v>Excellent</v>
      </c>
      <c r="AH505" s="189">
        <f>IFERROR(__xludf.DUMMYFUNCTION("""COMPUTED_VALUE"""),43335.874655381944)</f>
        <v>43335.87466</v>
      </c>
    </row>
    <row r="506">
      <c r="A506" t="str">
        <f>IFERROR(__xludf.DUMMYFUNCTION("""COMPUTED_VALUE"""),"wakachamo")</f>
        <v>wakachamo</v>
      </c>
      <c r="C506" t="str">
        <f>IFERROR(__xludf.DUMMYFUNCTION("""COMPUTED_VALUE"""),"CA")</f>
        <v>CA</v>
      </c>
      <c r="D506" t="str">
        <f>IFERROR(__xludf.DUMMYFUNCTION("""COMPUTED_VALUE"""),"USA")</f>
        <v>USA</v>
      </c>
      <c r="E506" s="188">
        <f>IFERROR(__xludf.DUMMYFUNCTION("""COMPUTED_VALUE"""),43313.0)</f>
        <v>43313</v>
      </c>
      <c r="F506" s="188">
        <f>IFERROR(__xludf.DUMMYFUNCTION("""COMPUTED_VALUE"""),43319.0)</f>
        <v>43319</v>
      </c>
      <c r="H506">
        <f>IFERROR(__xludf.DUMMYFUNCTION("""COMPUTED_VALUE"""),42655.0)</f>
        <v>42655</v>
      </c>
      <c r="I506" t="str">
        <f>IFERROR(__xludf.DUMMYFUNCTION("""COMPUTED_VALUE"""),"06/18")</f>
        <v>06/18</v>
      </c>
      <c r="J506" s="5">
        <f>IFERROR(__xludf.DUMMYFUNCTION("""COMPUTED_VALUE"""),43325.0)</f>
        <v>43325</v>
      </c>
      <c r="K506">
        <f>IFERROR(__xludf.DUMMYFUNCTION("""COMPUTED_VALUE"""),6.0)</f>
        <v>6</v>
      </c>
      <c r="L506">
        <f>IFERROR(__xludf.DUMMYFUNCTION("""COMPUTED_VALUE"""),6.0)</f>
        <v>6</v>
      </c>
      <c r="M506">
        <f>IFERROR(__xludf.DUMMYFUNCTION("""COMPUTED_VALUE"""),12.0)</f>
        <v>12</v>
      </c>
      <c r="N506" t="str">
        <f>IFERROR(__xludf.DUMMYFUNCTION("""COMPUTED_VALUE"""),"Model 3 LR")</f>
        <v>Model 3 LR</v>
      </c>
      <c r="O506" t="str">
        <f>IFERROR(__xludf.DUMMYFUNCTION("""COMPUTED_VALUE"""),"Deep Blue Metallic")</f>
        <v>Deep Blue Metallic</v>
      </c>
      <c r="P506" t="str">
        <f>IFERROR(__xludf.DUMMYFUNCTION("""COMPUTED_VALUE"""),"19 inch Sport")</f>
        <v>19 inch Sport</v>
      </c>
      <c r="Q506" t="str">
        <f>IFERROR(__xludf.DUMMYFUNCTION("""COMPUTED_VALUE"""),"Black seats")</f>
        <v>Black seats</v>
      </c>
      <c r="R506" t="str">
        <f>IFERROR(__xludf.DUMMYFUNCTION("""COMPUTED_VALUE"""),"Enhanced Autopilot")</f>
        <v>Enhanced Autopilot</v>
      </c>
      <c r="X506" t="str">
        <f>IFERROR(__xludf.DUMMYFUNCTION("""COMPUTED_VALUE"""),"Excellent")</f>
        <v>Excellent</v>
      </c>
      <c r="Y506" t="str">
        <f>IFERROR(__xludf.DUMMYFUNCTION("""COMPUTED_VALUE"""),"Good")</f>
        <v>Good</v>
      </c>
      <c r="Z506" t="str">
        <f>IFERROR(__xludf.DUMMYFUNCTION("""COMPUTED_VALUE"""),"Excellent")</f>
        <v>Excellent</v>
      </c>
      <c r="AA506" t="str">
        <f>IFERROR(__xludf.DUMMYFUNCTION("""COMPUTED_VALUE"""),"Good")</f>
        <v>Good</v>
      </c>
      <c r="AB506" t="str">
        <f>IFERROR(__xludf.DUMMYFUNCTION("""COMPUTED_VALUE"""),"Very Good")</f>
        <v>Very Good</v>
      </c>
      <c r="AC506">
        <f>IFERROR(__xludf.DUMMYFUNCTION("""COMPUTED_VALUE"""),0.0)</f>
        <v>0</v>
      </c>
      <c r="AD506">
        <f>IFERROR(__xludf.DUMMYFUNCTION("""COMPUTED_VALUE"""),0.0)</f>
        <v>0</v>
      </c>
      <c r="AE506">
        <f>IFERROR(__xludf.DUMMYFUNCTION("""COMPUTED_VALUE"""),0.0)</f>
        <v>0</v>
      </c>
      <c r="AH506" s="189">
        <f>IFERROR(__xludf.DUMMYFUNCTION("""COMPUTED_VALUE"""),43335.92710148148)</f>
        <v>43335.9271</v>
      </c>
    </row>
    <row r="507">
      <c r="A507" t="str">
        <f>IFERROR(__xludf.DUMMYFUNCTION("""COMPUTED_VALUE"""),"captain")</f>
        <v>captain</v>
      </c>
      <c r="B507" t="str">
        <f>IFERROR(__xludf.DUMMYFUNCTION("""COMPUTED_VALUE"""),"Pasadena")</f>
        <v>Pasadena</v>
      </c>
      <c r="C507" t="str">
        <f>IFERROR(__xludf.DUMMYFUNCTION("""COMPUTED_VALUE"""),"CA")</f>
        <v>CA</v>
      </c>
      <c r="D507" t="str">
        <f>IFERROR(__xludf.DUMMYFUNCTION("""COMPUTED_VALUE"""),"USA")</f>
        <v>USA</v>
      </c>
      <c r="E507" s="188">
        <f>IFERROR(__xludf.DUMMYFUNCTION("""COMPUTED_VALUE"""),43279.0)</f>
        <v>43279</v>
      </c>
      <c r="F507" s="188">
        <f>IFERROR(__xludf.DUMMYFUNCTION("""COMPUTED_VALUE"""),43294.0)</f>
        <v>43294</v>
      </c>
      <c r="H507">
        <f>IFERROR(__xludf.DUMMYFUNCTION("""COMPUTED_VALUE"""),39655.0)</f>
        <v>39655</v>
      </c>
      <c r="J507" s="5">
        <f>IFERROR(__xludf.DUMMYFUNCTION("""COMPUTED_VALUE"""),43308.0)</f>
        <v>43308</v>
      </c>
      <c r="K507">
        <f>IFERROR(__xludf.DUMMYFUNCTION("""COMPUTED_VALUE"""),15.0)</f>
        <v>15</v>
      </c>
      <c r="L507">
        <f>IFERROR(__xludf.DUMMYFUNCTION("""COMPUTED_VALUE"""),14.0)</f>
        <v>14</v>
      </c>
      <c r="M507">
        <f>IFERROR(__xludf.DUMMYFUNCTION("""COMPUTED_VALUE"""),29.0)</f>
        <v>29</v>
      </c>
      <c r="N507" t="str">
        <f>IFERROR(__xludf.DUMMYFUNCTION("""COMPUTED_VALUE"""),"Model 3 LR")</f>
        <v>Model 3 LR</v>
      </c>
      <c r="O507" t="str">
        <f>IFERROR(__xludf.DUMMYFUNCTION("""COMPUTED_VALUE"""),"Solid Black")</f>
        <v>Solid Black</v>
      </c>
      <c r="P507" t="str">
        <f>IFERROR(__xludf.DUMMYFUNCTION("""COMPUTED_VALUE"""),"18 inch Aero")</f>
        <v>18 inch Aero</v>
      </c>
      <c r="Q507" t="str">
        <f>IFERROR(__xludf.DUMMYFUNCTION("""COMPUTED_VALUE"""),"Black seats")</f>
        <v>Black seats</v>
      </c>
      <c r="R507" t="str">
        <f>IFERROR(__xludf.DUMMYFUNCTION("""COMPUTED_VALUE"""),"None")</f>
        <v>None</v>
      </c>
      <c r="X507" t="str">
        <f>IFERROR(__xludf.DUMMYFUNCTION("""COMPUTED_VALUE"""),"Good")</f>
        <v>Good</v>
      </c>
      <c r="Y507" t="str">
        <f>IFERROR(__xludf.DUMMYFUNCTION("""COMPUTED_VALUE"""),"Excellent")</f>
        <v>Excellent</v>
      </c>
      <c r="Z507" t="str">
        <f>IFERROR(__xludf.DUMMYFUNCTION("""COMPUTED_VALUE"""),"Excellent")</f>
        <v>Excellent</v>
      </c>
      <c r="AA507" t="str">
        <f>IFERROR(__xludf.DUMMYFUNCTION("""COMPUTED_VALUE"""),"Good")</f>
        <v>Good</v>
      </c>
      <c r="AB507" t="str">
        <f>IFERROR(__xludf.DUMMYFUNCTION("""COMPUTED_VALUE"""),"Excellent")</f>
        <v>Excellent</v>
      </c>
      <c r="AC507">
        <f>IFERROR(__xludf.DUMMYFUNCTION("""COMPUTED_VALUE"""),0.0)</f>
        <v>0</v>
      </c>
      <c r="AD507">
        <f>IFERROR(__xludf.DUMMYFUNCTION("""COMPUTED_VALUE"""),0.0)</f>
        <v>0</v>
      </c>
      <c r="AE507">
        <f>IFERROR(__xludf.DUMMYFUNCTION("""COMPUTED_VALUE"""),0.0)</f>
        <v>0</v>
      </c>
      <c r="AH507" s="189">
        <f>IFERROR(__xludf.DUMMYFUNCTION("""COMPUTED_VALUE"""),43335.99428341435)</f>
        <v>43335.99428</v>
      </c>
    </row>
    <row r="508">
      <c r="A508" t="str">
        <f>IFERROR(__xludf.DUMMYFUNCTION("""COMPUTED_VALUE"""),"khraiv")</f>
        <v>khraiv</v>
      </c>
      <c r="C508" t="str">
        <f>IFERROR(__xludf.DUMMYFUNCTION("""COMPUTED_VALUE"""),"AZ")</f>
        <v>AZ</v>
      </c>
      <c r="D508" t="str">
        <f>IFERROR(__xludf.DUMMYFUNCTION("""COMPUTED_VALUE"""),"USA")</f>
        <v>USA</v>
      </c>
      <c r="E508" s="188">
        <f>IFERROR(__xludf.DUMMYFUNCTION("""COMPUTED_VALUE"""),43280.0)</f>
        <v>43280</v>
      </c>
      <c r="F508" s="188">
        <f>IFERROR(__xludf.DUMMYFUNCTION("""COMPUTED_VALUE"""),43328.0)</f>
        <v>43328</v>
      </c>
      <c r="H508">
        <f>IFERROR(__xludf.DUMMYFUNCTION("""COMPUTED_VALUE"""),55455.0)</f>
        <v>55455</v>
      </c>
      <c r="I508" t="str">
        <f>IFERROR(__xludf.DUMMYFUNCTION("""COMPUTED_VALUE"""),"08/18")</f>
        <v>08/18</v>
      </c>
      <c r="J508" s="5">
        <f>IFERROR(__xludf.DUMMYFUNCTION("""COMPUTED_VALUE"""),43335.0)</f>
        <v>43335</v>
      </c>
      <c r="K508">
        <f>IFERROR(__xludf.DUMMYFUNCTION("""COMPUTED_VALUE"""),48.0)</f>
        <v>48</v>
      </c>
      <c r="L508">
        <f>IFERROR(__xludf.DUMMYFUNCTION("""COMPUTED_VALUE"""),7.0)</f>
        <v>7</v>
      </c>
      <c r="M508">
        <f>IFERROR(__xludf.DUMMYFUNCTION("""COMPUTED_VALUE"""),55.0)</f>
        <v>55</v>
      </c>
      <c r="N508" t="str">
        <f>IFERROR(__xludf.DUMMYFUNCTION("""COMPUTED_VALUE"""),"Model 3 Performance")</f>
        <v>Model 3 Performance</v>
      </c>
      <c r="O508" t="str">
        <f>IFERROR(__xludf.DUMMYFUNCTION("""COMPUTED_VALUE"""),"Red Multi-Coat")</f>
        <v>Red Multi-Coat</v>
      </c>
      <c r="P508" t="str">
        <f>IFERROR(__xludf.DUMMYFUNCTION("""COMPUTED_VALUE"""),"20 inch Sport")</f>
        <v>20 inch Sport</v>
      </c>
      <c r="Q508" t="str">
        <f>IFERROR(__xludf.DUMMYFUNCTION("""COMPUTED_VALUE"""),"White seats")</f>
        <v>White seats</v>
      </c>
      <c r="R508" t="str">
        <f>IFERROR(__xludf.DUMMYFUNCTION("""COMPUTED_VALUE"""),"Full Self-Driving")</f>
        <v>Full Self-Driving</v>
      </c>
      <c r="X508" t="str">
        <f>IFERROR(__xludf.DUMMYFUNCTION("""COMPUTED_VALUE"""),"Poor")</f>
        <v>Poor</v>
      </c>
      <c r="Y508" t="str">
        <f>IFERROR(__xludf.DUMMYFUNCTION("""COMPUTED_VALUE"""),"Excellent")</f>
        <v>Excellent</v>
      </c>
      <c r="Z508" t="str">
        <f>IFERROR(__xludf.DUMMYFUNCTION("""COMPUTED_VALUE"""),"Very Good")</f>
        <v>Very Good</v>
      </c>
      <c r="AA508" t="str">
        <f>IFERROR(__xludf.DUMMYFUNCTION("""COMPUTED_VALUE"""),"Very Good")</f>
        <v>Very Good</v>
      </c>
      <c r="AB508" t="str">
        <f>IFERROR(__xludf.DUMMYFUNCTION("""COMPUTED_VALUE"""),"Excellent")</f>
        <v>Excellent</v>
      </c>
      <c r="AC508">
        <f>IFERROR(__xludf.DUMMYFUNCTION("""COMPUTED_VALUE"""),2.0)</f>
        <v>2</v>
      </c>
      <c r="AD508">
        <f>IFERROR(__xludf.DUMMYFUNCTION("""COMPUTED_VALUE"""),1.0)</f>
        <v>1</v>
      </c>
      <c r="AH508" s="189">
        <f>IFERROR(__xludf.DUMMYFUNCTION("""COMPUTED_VALUE"""),43336.383959618055)</f>
        <v>43336.38396</v>
      </c>
    </row>
    <row r="509">
      <c r="A509" t="str">
        <f>IFERROR(__xludf.DUMMYFUNCTION("""COMPUTED_VALUE"""),"Everman (2)")</f>
        <v>Everman (2)</v>
      </c>
      <c r="B509" t="str">
        <f>IFERROR(__xludf.DUMMYFUNCTION("""COMPUTED_VALUE"""),"Colorado")</f>
        <v>Colorado</v>
      </c>
      <c r="C509" t="str">
        <f>IFERROR(__xludf.DUMMYFUNCTION("""COMPUTED_VALUE"""),"CO")</f>
        <v>CO</v>
      </c>
      <c r="D509" t="str">
        <f>IFERROR(__xludf.DUMMYFUNCTION("""COMPUTED_VALUE"""),"USA")</f>
        <v>USA</v>
      </c>
      <c r="E509" s="188">
        <f>IFERROR(__xludf.DUMMYFUNCTION("""COMPUTED_VALUE"""),43244.0)</f>
        <v>43244</v>
      </c>
      <c r="F509" s="188">
        <f>IFERROR(__xludf.DUMMYFUNCTION("""COMPUTED_VALUE"""),43306.0)</f>
        <v>43306</v>
      </c>
      <c r="H509">
        <f>IFERROR(__xludf.DUMMYFUNCTION("""COMPUTED_VALUE"""),55355.0)</f>
        <v>55355</v>
      </c>
      <c r="I509" t="str">
        <f>IFERROR(__xludf.DUMMYFUNCTION("""COMPUTED_VALUE"""),"07/18")</f>
        <v>07/18</v>
      </c>
      <c r="J509" s="5">
        <f>IFERROR(__xludf.DUMMYFUNCTION("""COMPUTED_VALUE"""),43312.0)</f>
        <v>43312</v>
      </c>
      <c r="K509">
        <f>IFERROR(__xludf.DUMMYFUNCTION("""COMPUTED_VALUE"""),62.0)</f>
        <v>62</v>
      </c>
      <c r="L509">
        <f>IFERROR(__xludf.DUMMYFUNCTION("""COMPUTED_VALUE"""),6.0)</f>
        <v>6</v>
      </c>
      <c r="M509">
        <f>IFERROR(__xludf.DUMMYFUNCTION("""COMPUTED_VALUE"""),68.0)</f>
        <v>68</v>
      </c>
      <c r="N509" t="str">
        <f>IFERROR(__xludf.DUMMYFUNCTION("""COMPUTED_VALUE"""),"Model 3 Performance")</f>
        <v>Model 3 Performance</v>
      </c>
      <c r="O509" t="str">
        <f>IFERROR(__xludf.DUMMYFUNCTION("""COMPUTED_VALUE"""),"Red Multi-Coat")</f>
        <v>Red Multi-Coat</v>
      </c>
      <c r="P509" t="str">
        <f>IFERROR(__xludf.DUMMYFUNCTION("""COMPUTED_VALUE"""),"20 inch Sport")</f>
        <v>20 inch Sport</v>
      </c>
      <c r="Q509" t="str">
        <f>IFERROR(__xludf.DUMMYFUNCTION("""COMPUTED_VALUE"""),"White seats")</f>
        <v>White seats</v>
      </c>
      <c r="R509" t="str">
        <f>IFERROR(__xludf.DUMMYFUNCTION("""COMPUTED_VALUE"""),"Full Self-Driving")</f>
        <v>Full Self-Driving</v>
      </c>
      <c r="X509" t="str">
        <f>IFERROR(__xludf.DUMMYFUNCTION("""COMPUTED_VALUE"""),"Very Good")</f>
        <v>Very Good</v>
      </c>
      <c r="Y509" t="str">
        <f>IFERROR(__xludf.DUMMYFUNCTION("""COMPUTED_VALUE"""),"Excellent")</f>
        <v>Excellent</v>
      </c>
      <c r="Z509" t="str">
        <f>IFERROR(__xludf.DUMMYFUNCTION("""COMPUTED_VALUE"""),"Fair")</f>
        <v>Fair</v>
      </c>
      <c r="AA509" t="str">
        <f>IFERROR(__xludf.DUMMYFUNCTION("""COMPUTED_VALUE"""),"Very Good")</f>
        <v>Very Good</v>
      </c>
      <c r="AB509" t="str">
        <f>IFERROR(__xludf.DUMMYFUNCTION("""COMPUTED_VALUE"""),"Very Good")</f>
        <v>Very Good</v>
      </c>
      <c r="AC509">
        <f>IFERROR(__xludf.DUMMYFUNCTION("""COMPUTED_VALUE"""),3.0)</f>
        <v>3</v>
      </c>
      <c r="AD509">
        <f>IFERROR(__xludf.DUMMYFUNCTION("""COMPUTED_VALUE"""),0.0)</f>
        <v>0</v>
      </c>
      <c r="AE509">
        <f>IFERROR(__xludf.DUMMYFUNCTION("""COMPUTED_VALUE"""),0.0)</f>
        <v>0</v>
      </c>
      <c r="AH509" s="189">
        <f>IFERROR(__xludf.DUMMYFUNCTION("""COMPUTED_VALUE"""),43336.59014453704)</f>
        <v>43336.59014</v>
      </c>
    </row>
    <row r="510">
      <c r="A510" t="str">
        <f>IFERROR(__xludf.DUMMYFUNCTION("""COMPUTED_VALUE"""),"Chan B")</f>
        <v>Chan B</v>
      </c>
      <c r="B510" t="str">
        <f>IFERROR(__xludf.DUMMYFUNCTION("""COMPUTED_VALUE"""),"Winter Garden")</f>
        <v>Winter Garden</v>
      </c>
      <c r="C510" t="str">
        <f>IFERROR(__xludf.DUMMYFUNCTION("""COMPUTED_VALUE"""),"FL")</f>
        <v>FL</v>
      </c>
      <c r="D510" t="str">
        <f>IFERROR(__xludf.DUMMYFUNCTION("""COMPUTED_VALUE"""),"USA")</f>
        <v>USA</v>
      </c>
      <c r="E510" s="188">
        <f>IFERROR(__xludf.DUMMYFUNCTION("""COMPUTED_VALUE"""),43278.0)</f>
        <v>43278</v>
      </c>
      <c r="F510" s="188">
        <f>IFERROR(__xludf.DUMMYFUNCTION("""COMPUTED_VALUE"""),43284.0)</f>
        <v>43284</v>
      </c>
      <c r="H510">
        <f>IFERROR(__xludf.DUMMYFUNCTION("""COMPUTED_VALUE"""),34060.0)</f>
        <v>34060</v>
      </c>
      <c r="I510" t="str">
        <f>IFERROR(__xludf.DUMMYFUNCTION("""COMPUTED_VALUE"""),"06/18")</f>
        <v>06/18</v>
      </c>
      <c r="J510" s="5">
        <f>IFERROR(__xludf.DUMMYFUNCTION("""COMPUTED_VALUE"""),43292.0)</f>
        <v>43292</v>
      </c>
      <c r="K510">
        <f>IFERROR(__xludf.DUMMYFUNCTION("""COMPUTED_VALUE"""),6.0)</f>
        <v>6</v>
      </c>
      <c r="L510">
        <f>IFERROR(__xludf.DUMMYFUNCTION("""COMPUTED_VALUE"""),8.0)</f>
        <v>8</v>
      </c>
      <c r="M510">
        <f>IFERROR(__xludf.DUMMYFUNCTION("""COMPUTED_VALUE"""),14.0)</f>
        <v>14</v>
      </c>
      <c r="N510" t="str">
        <f>IFERROR(__xludf.DUMMYFUNCTION("""COMPUTED_VALUE"""),"Model 3 LR")</f>
        <v>Model 3 LR</v>
      </c>
      <c r="O510" t="str">
        <f>IFERROR(__xludf.DUMMYFUNCTION("""COMPUTED_VALUE"""),"Red Multi-Coat")</f>
        <v>Red Multi-Coat</v>
      </c>
      <c r="P510" t="str">
        <f>IFERROR(__xludf.DUMMYFUNCTION("""COMPUTED_VALUE"""),"18 inch Aero")</f>
        <v>18 inch Aero</v>
      </c>
      <c r="Q510" t="str">
        <f>IFERROR(__xludf.DUMMYFUNCTION("""COMPUTED_VALUE"""),"Black seats")</f>
        <v>Black seats</v>
      </c>
      <c r="R510" t="str">
        <f>IFERROR(__xludf.DUMMYFUNCTION("""COMPUTED_VALUE"""),"Full Self-Driving")</f>
        <v>Full Self-Driving</v>
      </c>
      <c r="X510" t="str">
        <f>IFERROR(__xludf.DUMMYFUNCTION("""COMPUTED_VALUE"""),"Excellent")</f>
        <v>Excellent</v>
      </c>
      <c r="Y510" t="str">
        <f>IFERROR(__xludf.DUMMYFUNCTION("""COMPUTED_VALUE"""),"Excellent")</f>
        <v>Excellent</v>
      </c>
      <c r="Z510" t="str">
        <f>IFERROR(__xludf.DUMMYFUNCTION("""COMPUTED_VALUE"""),"Excellent")</f>
        <v>Excellent</v>
      </c>
      <c r="AA510" t="str">
        <f>IFERROR(__xludf.DUMMYFUNCTION("""COMPUTED_VALUE"""),"Good")</f>
        <v>Good</v>
      </c>
      <c r="AB510" t="str">
        <f>IFERROR(__xludf.DUMMYFUNCTION("""COMPUTED_VALUE"""),"Good")</f>
        <v>Good</v>
      </c>
      <c r="AC510">
        <f>IFERROR(__xludf.DUMMYFUNCTION("""COMPUTED_VALUE"""),2.0)</f>
        <v>2</v>
      </c>
      <c r="AH510" s="189">
        <f>IFERROR(__xludf.DUMMYFUNCTION("""COMPUTED_VALUE"""),43336.619706956015)</f>
        <v>43336.61971</v>
      </c>
    </row>
    <row r="511">
      <c r="A511" t="str">
        <f>IFERROR(__xludf.DUMMYFUNCTION("""COMPUTED_VALUE"""),"r8rjon")</f>
        <v>r8rjon</v>
      </c>
      <c r="B511" t="str">
        <f>IFERROR(__xludf.DUMMYFUNCTION("""COMPUTED_VALUE"""),"Mira Loma")</f>
        <v>Mira Loma</v>
      </c>
      <c r="C511" t="str">
        <f>IFERROR(__xludf.DUMMYFUNCTION("""COMPUTED_VALUE"""),"CA")</f>
        <v>CA</v>
      </c>
      <c r="D511" t="str">
        <f>IFERROR(__xludf.DUMMYFUNCTION("""COMPUTED_VALUE"""),"USA")</f>
        <v>USA</v>
      </c>
      <c r="E511" s="188">
        <f>IFERROR(__xludf.DUMMYFUNCTION("""COMPUTED_VALUE"""),43279.0)</f>
        <v>43279</v>
      </c>
      <c r="F511" s="188">
        <f>IFERROR(__xludf.DUMMYFUNCTION("""COMPUTED_VALUE"""),43320.0)</f>
        <v>43320</v>
      </c>
      <c r="H511">
        <f>IFERROR(__xludf.DUMMYFUNCTION("""COMPUTED_VALUE"""),70155.0)</f>
        <v>70155</v>
      </c>
      <c r="I511" t="str">
        <f>IFERROR(__xludf.DUMMYFUNCTION("""COMPUTED_VALUE"""),"08/18")</f>
        <v>08/18</v>
      </c>
      <c r="J511" s="5">
        <f>IFERROR(__xludf.DUMMYFUNCTION("""COMPUTED_VALUE"""),43335.0)</f>
        <v>43335</v>
      </c>
      <c r="K511">
        <f>IFERROR(__xludf.DUMMYFUNCTION("""COMPUTED_VALUE"""),41.0)</f>
        <v>41</v>
      </c>
      <c r="L511">
        <f>IFERROR(__xludf.DUMMYFUNCTION("""COMPUTED_VALUE"""),15.0)</f>
        <v>15</v>
      </c>
      <c r="M511">
        <f>IFERROR(__xludf.DUMMYFUNCTION("""COMPUTED_VALUE"""),56.0)</f>
        <v>56</v>
      </c>
      <c r="N511" t="str">
        <f>IFERROR(__xludf.DUMMYFUNCTION("""COMPUTED_VALUE"""),"Model 3 LR")</f>
        <v>Model 3 LR</v>
      </c>
      <c r="O511" t="str">
        <f>IFERROR(__xludf.DUMMYFUNCTION("""COMPUTED_VALUE"""),"Obsidian Black Metallic")</f>
        <v>Obsidian Black Metallic</v>
      </c>
      <c r="P511" t="str">
        <f>IFERROR(__xludf.DUMMYFUNCTION("""COMPUTED_VALUE"""),"18 inch Aero")</f>
        <v>18 inch Aero</v>
      </c>
      <c r="Q511" t="str">
        <f>IFERROR(__xludf.DUMMYFUNCTION("""COMPUTED_VALUE"""),"Black seats")</f>
        <v>Black seats</v>
      </c>
      <c r="R511" t="str">
        <f>IFERROR(__xludf.DUMMYFUNCTION("""COMPUTED_VALUE"""),"None")</f>
        <v>None</v>
      </c>
      <c r="X511" t="str">
        <f>IFERROR(__xludf.DUMMYFUNCTION("""COMPUTED_VALUE"""),"Excellent")</f>
        <v>Excellent</v>
      </c>
      <c r="Y511" t="str">
        <f>IFERROR(__xludf.DUMMYFUNCTION("""COMPUTED_VALUE"""),"Excellent")</f>
        <v>Excellent</v>
      </c>
      <c r="Z511" t="str">
        <f>IFERROR(__xludf.DUMMYFUNCTION("""COMPUTED_VALUE"""),"Excellent")</f>
        <v>Excellent</v>
      </c>
      <c r="AA511" t="str">
        <f>IFERROR(__xludf.DUMMYFUNCTION("""COMPUTED_VALUE"""),"Poor")</f>
        <v>Poor</v>
      </c>
      <c r="AB511" t="str">
        <f>IFERROR(__xludf.DUMMYFUNCTION("""COMPUTED_VALUE"""),"Good")</f>
        <v>Good</v>
      </c>
      <c r="AC511">
        <f>IFERROR(__xludf.DUMMYFUNCTION("""COMPUTED_VALUE"""),0.0)</f>
        <v>0</v>
      </c>
      <c r="AD511">
        <f>IFERROR(__xludf.DUMMYFUNCTION("""COMPUTED_VALUE"""),0.0)</f>
        <v>0</v>
      </c>
      <c r="AE511">
        <f>IFERROR(__xludf.DUMMYFUNCTION("""COMPUTED_VALUE"""),0.0)</f>
        <v>0</v>
      </c>
      <c r="AG511" t="str">
        <f>IFERROR(__xludf.DUMMYFUNCTION("""COMPUTED_VALUE"""),"Delivery was scheduled, then never rescheduled.  I called for 8 days straight until I was given a delivery date/time.")</f>
        <v>Delivery was scheduled, then never rescheduled.  I called for 8 days straight until I was given a delivery date/time.</v>
      </c>
      <c r="AH511" s="189">
        <f>IFERROR(__xludf.DUMMYFUNCTION("""COMPUTED_VALUE"""),43336.93198142361)</f>
        <v>43336.93198</v>
      </c>
    </row>
    <row r="512">
      <c r="A512" t="str">
        <f>IFERROR(__xludf.DUMMYFUNCTION("""COMPUTED_VALUE"""),"WuZiching")</f>
        <v>WuZiching</v>
      </c>
      <c r="B512" t="str">
        <f>IFERROR(__xludf.DUMMYFUNCTION("""COMPUTED_VALUE"""),"California")</f>
        <v>California</v>
      </c>
      <c r="C512" t="str">
        <f>IFERROR(__xludf.DUMMYFUNCTION("""COMPUTED_VALUE"""),"CA")</f>
        <v>CA</v>
      </c>
      <c r="D512" t="str">
        <f>IFERROR(__xludf.DUMMYFUNCTION("""COMPUTED_VALUE"""),"USA")</f>
        <v>USA</v>
      </c>
      <c r="E512" s="188">
        <f>IFERROR(__xludf.DUMMYFUNCTION("""COMPUTED_VALUE"""),43279.0)</f>
        <v>43279</v>
      </c>
      <c r="F512" s="188">
        <f>IFERROR(__xludf.DUMMYFUNCTION("""COMPUTED_VALUE"""),43332.0)</f>
        <v>43332</v>
      </c>
      <c r="H512">
        <f>IFERROR(__xludf.DUMMYFUNCTION("""COMPUTED_VALUE"""),96755.0)</f>
        <v>96755</v>
      </c>
      <c r="J512" s="5">
        <f>IFERROR(__xludf.DUMMYFUNCTION("""COMPUTED_VALUE"""),43335.0)</f>
        <v>43335</v>
      </c>
      <c r="K512">
        <f>IFERROR(__xludf.DUMMYFUNCTION("""COMPUTED_VALUE"""),53.0)</f>
        <v>53</v>
      </c>
      <c r="L512">
        <f>IFERROR(__xludf.DUMMYFUNCTION("""COMPUTED_VALUE"""),3.0)</f>
        <v>3</v>
      </c>
      <c r="M512">
        <f>IFERROR(__xludf.DUMMYFUNCTION("""COMPUTED_VALUE"""),56.0)</f>
        <v>56</v>
      </c>
      <c r="N512" t="str">
        <f>IFERROR(__xludf.DUMMYFUNCTION("""COMPUTED_VALUE"""),"Model 3 LR AWD")</f>
        <v>Model 3 LR AWD</v>
      </c>
      <c r="O512" t="str">
        <f>IFERROR(__xludf.DUMMYFUNCTION("""COMPUTED_VALUE"""),"Red Multi-Coat")</f>
        <v>Red Multi-Coat</v>
      </c>
      <c r="P512" t="str">
        <f>IFERROR(__xludf.DUMMYFUNCTION("""COMPUTED_VALUE"""),"18 inch Aero")</f>
        <v>18 inch Aero</v>
      </c>
      <c r="Q512" t="str">
        <f>IFERROR(__xludf.DUMMYFUNCTION("""COMPUTED_VALUE"""),"White seats")</f>
        <v>White seats</v>
      </c>
      <c r="R512" t="str">
        <f>IFERROR(__xludf.DUMMYFUNCTION("""COMPUTED_VALUE"""),"None")</f>
        <v>None</v>
      </c>
      <c r="X512" t="str">
        <f>IFERROR(__xludf.DUMMYFUNCTION("""COMPUTED_VALUE"""),"Very Good")</f>
        <v>Very Good</v>
      </c>
      <c r="Y512" t="str">
        <f>IFERROR(__xludf.DUMMYFUNCTION("""COMPUTED_VALUE"""),"Excellent")</f>
        <v>Excellent</v>
      </c>
      <c r="Z512" t="str">
        <f>IFERROR(__xludf.DUMMYFUNCTION("""COMPUTED_VALUE"""),"Very Good")</f>
        <v>Very Good</v>
      </c>
      <c r="AA512" t="str">
        <f>IFERROR(__xludf.DUMMYFUNCTION("""COMPUTED_VALUE"""),"Very Good")</f>
        <v>Very Good</v>
      </c>
      <c r="AB512" t="str">
        <f>IFERROR(__xludf.DUMMYFUNCTION("""COMPUTED_VALUE"""),"Fair")</f>
        <v>Fair</v>
      </c>
      <c r="AH512" s="189">
        <f>IFERROR(__xludf.DUMMYFUNCTION("""COMPUTED_VALUE"""),43337.05711199074)</f>
        <v>43337.05711</v>
      </c>
    </row>
    <row r="513">
      <c r="A513" t="str">
        <f>IFERROR(__xludf.DUMMYFUNCTION("""COMPUTED_VALUE"""),"eddie.geisler")</f>
        <v>eddie.geisler</v>
      </c>
      <c r="B513" t="str">
        <f>IFERROR(__xludf.DUMMYFUNCTION("""COMPUTED_VALUE"""),"washington, dc")</f>
        <v>washington, dc</v>
      </c>
      <c r="C513" t="str">
        <f>IFERROR(__xludf.DUMMYFUNCTION("""COMPUTED_VALUE"""),"VA")</f>
        <v>VA</v>
      </c>
      <c r="D513" t="str">
        <f>IFERROR(__xludf.DUMMYFUNCTION("""COMPUTED_VALUE"""),"USA")</f>
        <v>USA</v>
      </c>
      <c r="E513" s="188">
        <f>IFERROR(__xludf.DUMMYFUNCTION("""COMPUTED_VALUE"""),43279.0)</f>
        <v>43279</v>
      </c>
      <c r="F513" s="188">
        <f>IFERROR(__xludf.DUMMYFUNCTION("""COMPUTED_VALUE"""),43312.0)</f>
        <v>43312</v>
      </c>
      <c r="H513">
        <f>IFERROR(__xludf.DUMMYFUNCTION("""COMPUTED_VALUE"""),57934.0)</f>
        <v>57934</v>
      </c>
      <c r="J513" s="5">
        <f>IFERROR(__xludf.DUMMYFUNCTION("""COMPUTED_VALUE"""),43336.0)</f>
        <v>43336</v>
      </c>
      <c r="K513">
        <f>IFERROR(__xludf.DUMMYFUNCTION("""COMPUTED_VALUE"""),33.0)</f>
        <v>33</v>
      </c>
      <c r="L513">
        <f>IFERROR(__xludf.DUMMYFUNCTION("""COMPUTED_VALUE"""),24.0)</f>
        <v>24</v>
      </c>
      <c r="M513">
        <f>IFERROR(__xludf.DUMMYFUNCTION("""COMPUTED_VALUE"""),57.0)</f>
        <v>57</v>
      </c>
      <c r="N513" t="str">
        <f>IFERROR(__xludf.DUMMYFUNCTION("""COMPUTED_VALUE"""),"Model 3 LR")</f>
        <v>Model 3 LR</v>
      </c>
      <c r="O513" t="str">
        <f>IFERROR(__xludf.DUMMYFUNCTION("""COMPUTED_VALUE"""),"Midnight Silver Metallic")</f>
        <v>Midnight Silver Metallic</v>
      </c>
      <c r="P513" t="str">
        <f>IFERROR(__xludf.DUMMYFUNCTION("""COMPUTED_VALUE"""),"18 inch Aero")</f>
        <v>18 inch Aero</v>
      </c>
      <c r="Q513" t="str">
        <f>IFERROR(__xludf.DUMMYFUNCTION("""COMPUTED_VALUE"""),"Black seats")</f>
        <v>Black seats</v>
      </c>
      <c r="R513" t="str">
        <f>IFERROR(__xludf.DUMMYFUNCTION("""COMPUTED_VALUE"""),"Enhanced Autopilot")</f>
        <v>Enhanced Autopilot</v>
      </c>
      <c r="X513" t="str">
        <f>IFERROR(__xludf.DUMMYFUNCTION("""COMPUTED_VALUE"""),"Excellent")</f>
        <v>Excellent</v>
      </c>
      <c r="Y513" t="str">
        <f>IFERROR(__xludf.DUMMYFUNCTION("""COMPUTED_VALUE"""),"Excellent")</f>
        <v>Excellent</v>
      </c>
      <c r="Z513" t="str">
        <f>IFERROR(__xludf.DUMMYFUNCTION("""COMPUTED_VALUE"""),"Excellent")</f>
        <v>Excellent</v>
      </c>
      <c r="AA513" t="str">
        <f>IFERROR(__xludf.DUMMYFUNCTION("""COMPUTED_VALUE"""),"Good")</f>
        <v>Good</v>
      </c>
      <c r="AB513" t="str">
        <f>IFERROR(__xludf.DUMMYFUNCTION("""COMPUTED_VALUE"""),"Excellent")</f>
        <v>Excellent</v>
      </c>
      <c r="AC513">
        <f>IFERROR(__xludf.DUMMYFUNCTION("""COMPUTED_VALUE"""),0.0)</f>
        <v>0</v>
      </c>
      <c r="AG513" t="str">
        <f>IFERROR(__xludf.DUMMYFUNCTION("""COMPUTED_VALUE"""),"The car didnt have EAP installed, but they will push through as an update.")</f>
        <v>The car didnt have EAP installed, but they will push through as an update.</v>
      </c>
      <c r="AH513" s="189">
        <f>IFERROR(__xludf.DUMMYFUNCTION("""COMPUTED_VALUE"""),43337.297944826394)</f>
        <v>43337.29794</v>
      </c>
    </row>
    <row r="514">
      <c r="A514" t="str">
        <f>IFERROR(__xludf.DUMMYFUNCTION("""COMPUTED_VALUE"""),"shotgun_jake")</f>
        <v>shotgun_jake</v>
      </c>
      <c r="C514" t="str">
        <f>IFERROR(__xludf.DUMMYFUNCTION("""COMPUTED_VALUE"""),"IN")</f>
        <v>IN</v>
      </c>
      <c r="D514" t="str">
        <f>IFERROR(__xludf.DUMMYFUNCTION("""COMPUTED_VALUE"""),"USA")</f>
        <v>USA</v>
      </c>
      <c r="E514" s="188">
        <f>IFERROR(__xludf.DUMMYFUNCTION("""COMPUTED_VALUE"""),43251.0)</f>
        <v>43251</v>
      </c>
      <c r="F514" s="188">
        <f>IFERROR(__xludf.DUMMYFUNCTION("""COMPUTED_VALUE"""),43327.0)</f>
        <v>43327</v>
      </c>
      <c r="H514">
        <f>IFERROR(__xludf.DUMMYFUNCTION("""COMPUTED_VALUE"""),63755.0)</f>
        <v>63755</v>
      </c>
      <c r="J514" s="5">
        <f>IFERROR(__xludf.DUMMYFUNCTION("""COMPUTED_VALUE"""),43334.0)</f>
        <v>43334</v>
      </c>
      <c r="K514">
        <f>IFERROR(__xludf.DUMMYFUNCTION("""COMPUTED_VALUE"""),76.0)</f>
        <v>76</v>
      </c>
      <c r="L514">
        <f>IFERROR(__xludf.DUMMYFUNCTION("""COMPUTED_VALUE"""),7.0)</f>
        <v>7</v>
      </c>
      <c r="M514">
        <f>IFERROR(__xludf.DUMMYFUNCTION("""COMPUTED_VALUE"""),83.0)</f>
        <v>83</v>
      </c>
      <c r="N514" t="str">
        <f>IFERROR(__xludf.DUMMYFUNCTION("""COMPUTED_VALUE"""),"Model 3 LR AWD")</f>
        <v>Model 3 LR AWD</v>
      </c>
      <c r="O514" t="str">
        <f>IFERROR(__xludf.DUMMYFUNCTION("""COMPUTED_VALUE"""),"Deep Blue Metallic")</f>
        <v>Deep Blue Metallic</v>
      </c>
      <c r="P514" t="str">
        <f>IFERROR(__xludf.DUMMYFUNCTION("""COMPUTED_VALUE"""),"19 inch Sport")</f>
        <v>19 inch Sport</v>
      </c>
      <c r="Q514" t="str">
        <f>IFERROR(__xludf.DUMMYFUNCTION("""COMPUTED_VALUE"""),"Black seats")</f>
        <v>Black seats</v>
      </c>
      <c r="R514" t="str">
        <f>IFERROR(__xludf.DUMMYFUNCTION("""COMPUTED_VALUE"""),"Enhanced Autopilot")</f>
        <v>Enhanced Autopilot</v>
      </c>
      <c r="X514" t="str">
        <f>IFERROR(__xludf.DUMMYFUNCTION("""COMPUTED_VALUE"""),"Excellent")</f>
        <v>Excellent</v>
      </c>
      <c r="Y514" t="str">
        <f>IFERROR(__xludf.DUMMYFUNCTION("""COMPUTED_VALUE"""),"Excellent")</f>
        <v>Excellent</v>
      </c>
      <c r="Z514" t="str">
        <f>IFERROR(__xludf.DUMMYFUNCTION("""COMPUTED_VALUE"""),"Excellent")</f>
        <v>Excellent</v>
      </c>
      <c r="AA514" t="str">
        <f>IFERROR(__xludf.DUMMYFUNCTION("""COMPUTED_VALUE"""),"Good")</f>
        <v>Good</v>
      </c>
      <c r="AB514" t="str">
        <f>IFERROR(__xludf.DUMMYFUNCTION("""COMPUTED_VALUE"""),"Excellent")</f>
        <v>Excellent</v>
      </c>
      <c r="AC514">
        <f>IFERROR(__xludf.DUMMYFUNCTION("""COMPUTED_VALUE"""),0.0)</f>
        <v>0</v>
      </c>
      <c r="AD514">
        <f>IFERROR(__xludf.DUMMYFUNCTION("""COMPUTED_VALUE"""),1.0)</f>
        <v>1</v>
      </c>
      <c r="AE514">
        <f>IFERROR(__xludf.DUMMYFUNCTION("""COMPUTED_VALUE"""),0.0)</f>
        <v>0</v>
      </c>
      <c r="AH514" s="189">
        <f>IFERROR(__xludf.DUMMYFUNCTION("""COMPUTED_VALUE"""),43337.322750798616)</f>
        <v>43337.32275</v>
      </c>
    </row>
    <row r="515">
      <c r="A515" t="str">
        <f>IFERROR(__xludf.DUMMYFUNCTION("""COMPUTED_VALUE"""),"CavsIndiansBrowns")</f>
        <v>CavsIndiansBrowns</v>
      </c>
      <c r="C515" t="str">
        <f>IFERROR(__xludf.DUMMYFUNCTION("""COMPUTED_VALUE"""),"MD")</f>
        <v>MD</v>
      </c>
      <c r="D515" t="str">
        <f>IFERROR(__xludf.DUMMYFUNCTION("""COMPUTED_VALUE"""),"USA")</f>
        <v>USA</v>
      </c>
      <c r="E515" s="188">
        <f>IFERROR(__xludf.DUMMYFUNCTION("""COMPUTED_VALUE"""),43278.0)</f>
        <v>43278</v>
      </c>
      <c r="F515" s="188">
        <f>IFERROR(__xludf.DUMMYFUNCTION("""COMPUTED_VALUE"""),43312.0)</f>
        <v>43312</v>
      </c>
      <c r="H515">
        <f>IFERROR(__xludf.DUMMYFUNCTION("""COMPUTED_VALUE"""),64455.0)</f>
        <v>64455</v>
      </c>
      <c r="J515" s="5">
        <f>IFERROR(__xludf.DUMMYFUNCTION("""COMPUTED_VALUE"""),43337.0)</f>
        <v>43337</v>
      </c>
      <c r="K515">
        <f>IFERROR(__xludf.DUMMYFUNCTION("""COMPUTED_VALUE"""),34.0)</f>
        <v>34</v>
      </c>
      <c r="L515">
        <f>IFERROR(__xludf.DUMMYFUNCTION("""COMPUTED_VALUE"""),25.0)</f>
        <v>25</v>
      </c>
      <c r="M515">
        <f>IFERROR(__xludf.DUMMYFUNCTION("""COMPUTED_VALUE"""),59.0)</f>
        <v>59</v>
      </c>
      <c r="N515" t="str">
        <f>IFERROR(__xludf.DUMMYFUNCTION("""COMPUTED_VALUE"""),"Model 3 LR AWD")</f>
        <v>Model 3 LR AWD</v>
      </c>
      <c r="O515" t="str">
        <f>IFERROR(__xludf.DUMMYFUNCTION("""COMPUTED_VALUE"""),"Deep Blue Metallic")</f>
        <v>Deep Blue Metallic</v>
      </c>
      <c r="P515" t="str">
        <f>IFERROR(__xludf.DUMMYFUNCTION("""COMPUTED_VALUE"""),"18 inch Aero")</f>
        <v>18 inch Aero</v>
      </c>
      <c r="Q515" t="str">
        <f>IFERROR(__xludf.DUMMYFUNCTION("""COMPUTED_VALUE"""),"Black seats")</f>
        <v>Black seats</v>
      </c>
      <c r="R515" t="str">
        <f>IFERROR(__xludf.DUMMYFUNCTION("""COMPUTED_VALUE"""),"Enhanced Autopilot")</f>
        <v>Enhanced Autopilot</v>
      </c>
      <c r="X515" t="str">
        <f>IFERROR(__xludf.DUMMYFUNCTION("""COMPUTED_VALUE"""),"Very Good")</f>
        <v>Very Good</v>
      </c>
      <c r="Y515" t="str">
        <f>IFERROR(__xludf.DUMMYFUNCTION("""COMPUTED_VALUE"""),"Excellent")</f>
        <v>Excellent</v>
      </c>
      <c r="Z515" t="str">
        <f>IFERROR(__xludf.DUMMYFUNCTION("""COMPUTED_VALUE"""),"Good")</f>
        <v>Good</v>
      </c>
      <c r="AA515" t="str">
        <f>IFERROR(__xludf.DUMMYFUNCTION("""COMPUTED_VALUE"""),"Fair")</f>
        <v>Fair</v>
      </c>
      <c r="AB515" t="str">
        <f>IFERROR(__xludf.DUMMYFUNCTION("""COMPUTED_VALUE"""),"Fair")</f>
        <v>Fair</v>
      </c>
      <c r="AC515">
        <f>IFERROR(__xludf.DUMMYFUNCTION("""COMPUTED_VALUE"""),4.0)</f>
        <v>4</v>
      </c>
      <c r="AG515" t="str">
        <f>IFERROR(__xludf.DUMMYFUNCTION("""COMPUTED_VALUE"""),"Some paint swirls and door frame imperfections, but perfect otherwise!")</f>
        <v>Some paint swirls and door frame imperfections, but perfect otherwise!</v>
      </c>
      <c r="AH515" s="189">
        <f>IFERROR(__xludf.DUMMYFUNCTION("""COMPUTED_VALUE"""),43337.67434506945)</f>
        <v>43337.67435</v>
      </c>
    </row>
    <row r="516">
      <c r="A516" t="str">
        <f>IFERROR(__xludf.DUMMYFUNCTION("""COMPUTED_VALUE"""),"ASnowLion")</f>
        <v>ASnowLion</v>
      </c>
      <c r="C516" t="str">
        <f>IFERROR(__xludf.DUMMYFUNCTION("""COMPUTED_VALUE"""),"TN")</f>
        <v>TN</v>
      </c>
      <c r="D516" t="str">
        <f>IFERROR(__xludf.DUMMYFUNCTION("""COMPUTED_VALUE"""),"USA")</f>
        <v>USA</v>
      </c>
      <c r="E516" s="188">
        <f>IFERROR(__xludf.DUMMYFUNCTION("""COMPUTED_VALUE"""),43277.0)</f>
        <v>43277</v>
      </c>
      <c r="F516" s="188">
        <f>IFERROR(__xludf.DUMMYFUNCTION("""COMPUTED_VALUE"""),43317.0)</f>
        <v>43317</v>
      </c>
      <c r="H516">
        <f>IFERROR(__xludf.DUMMYFUNCTION("""COMPUTED_VALUE"""),67455.0)</f>
        <v>67455</v>
      </c>
      <c r="I516" t="str">
        <f>IFERROR(__xludf.DUMMYFUNCTION("""COMPUTED_VALUE"""),"08/18")</f>
        <v>08/18</v>
      </c>
      <c r="J516" s="5">
        <f>IFERROR(__xludf.DUMMYFUNCTION("""COMPUTED_VALUE"""),43337.0)</f>
        <v>43337</v>
      </c>
      <c r="K516">
        <f>IFERROR(__xludf.DUMMYFUNCTION("""COMPUTED_VALUE"""),40.0)</f>
        <v>40</v>
      </c>
      <c r="L516">
        <f>IFERROR(__xludf.DUMMYFUNCTION("""COMPUTED_VALUE"""),20.0)</f>
        <v>20</v>
      </c>
      <c r="M516">
        <f>IFERROR(__xludf.DUMMYFUNCTION("""COMPUTED_VALUE"""),60.0)</f>
        <v>60</v>
      </c>
      <c r="N516" t="str">
        <f>IFERROR(__xludf.DUMMYFUNCTION("""COMPUTED_VALUE"""),"Model 3 LR AWD")</f>
        <v>Model 3 LR AWD</v>
      </c>
      <c r="O516" t="str">
        <f>IFERROR(__xludf.DUMMYFUNCTION("""COMPUTED_VALUE"""),"Solid Black")</f>
        <v>Solid Black</v>
      </c>
      <c r="P516" t="str">
        <f>IFERROR(__xludf.DUMMYFUNCTION("""COMPUTED_VALUE"""),"19 inch Sport")</f>
        <v>19 inch Sport</v>
      </c>
      <c r="Q516" t="str">
        <f>IFERROR(__xludf.DUMMYFUNCTION("""COMPUTED_VALUE"""),"Black seats")</f>
        <v>Black seats</v>
      </c>
      <c r="R516" t="str">
        <f>IFERROR(__xludf.DUMMYFUNCTION("""COMPUTED_VALUE"""),"Enhanced Autopilot")</f>
        <v>Enhanced Autopilot</v>
      </c>
      <c r="X516" t="str">
        <f>IFERROR(__xludf.DUMMYFUNCTION("""COMPUTED_VALUE"""),"Excellent")</f>
        <v>Excellent</v>
      </c>
      <c r="Y516" t="str">
        <f>IFERROR(__xludf.DUMMYFUNCTION("""COMPUTED_VALUE"""),"Excellent")</f>
        <v>Excellent</v>
      </c>
      <c r="Z516" t="str">
        <f>IFERROR(__xludf.DUMMYFUNCTION("""COMPUTED_VALUE"""),"Excellent")</f>
        <v>Excellent</v>
      </c>
      <c r="AA516" t="str">
        <f>IFERROR(__xludf.DUMMYFUNCTION("""COMPUTED_VALUE"""),"Excellent")</f>
        <v>Excellent</v>
      </c>
      <c r="AB516" t="str">
        <f>IFERROR(__xludf.DUMMYFUNCTION("""COMPUTED_VALUE"""),"Excellent")</f>
        <v>Excellent</v>
      </c>
      <c r="AH516" s="189">
        <f>IFERROR(__xludf.DUMMYFUNCTION("""COMPUTED_VALUE"""),43337.68331091435)</f>
        <v>43337.68331</v>
      </c>
    </row>
    <row r="517">
      <c r="A517" t="str">
        <f>IFERROR(__xludf.DUMMYFUNCTION("""COMPUTED_VALUE"""),"zero_divide_1")</f>
        <v>zero_divide_1</v>
      </c>
      <c r="B517" t="str">
        <f>IFERROR(__xludf.DUMMYFUNCTION("""COMPUTED_VALUE"""),"Murrieta")</f>
        <v>Murrieta</v>
      </c>
      <c r="C517" t="str">
        <f>IFERROR(__xludf.DUMMYFUNCTION("""COMPUTED_VALUE"""),"CA")</f>
        <v>CA</v>
      </c>
      <c r="D517" t="str">
        <f>IFERROR(__xludf.DUMMYFUNCTION("""COMPUTED_VALUE"""),"USA")</f>
        <v>USA</v>
      </c>
      <c r="E517" s="188">
        <f>IFERROR(__xludf.DUMMYFUNCTION("""COMPUTED_VALUE"""),43293.0)</f>
        <v>43293</v>
      </c>
      <c r="F517" s="188">
        <f>IFERROR(__xludf.DUMMYFUNCTION("""COMPUTED_VALUE"""),43316.0)</f>
        <v>43316</v>
      </c>
      <c r="H517">
        <f>IFERROR(__xludf.DUMMYFUNCTION("""COMPUTED_VALUE"""),51355.0)</f>
        <v>51355</v>
      </c>
      <c r="I517" t="str">
        <f>IFERROR(__xludf.DUMMYFUNCTION("""COMPUTED_VALUE"""),"08/18")</f>
        <v>08/18</v>
      </c>
      <c r="J517" s="5">
        <f>IFERROR(__xludf.DUMMYFUNCTION("""COMPUTED_VALUE"""),43327.0)</f>
        <v>43327</v>
      </c>
      <c r="K517">
        <f>IFERROR(__xludf.DUMMYFUNCTION("""COMPUTED_VALUE"""),23.0)</f>
        <v>23</v>
      </c>
      <c r="L517">
        <f>IFERROR(__xludf.DUMMYFUNCTION("""COMPUTED_VALUE"""),11.0)</f>
        <v>11</v>
      </c>
      <c r="M517">
        <f>IFERROR(__xludf.DUMMYFUNCTION("""COMPUTED_VALUE"""),34.0)</f>
        <v>34</v>
      </c>
      <c r="N517" t="str">
        <f>IFERROR(__xludf.DUMMYFUNCTION("""COMPUTED_VALUE"""),"Model 3 LR")</f>
        <v>Model 3 LR</v>
      </c>
      <c r="O517" t="str">
        <f>IFERROR(__xludf.DUMMYFUNCTION("""COMPUTED_VALUE"""),"Red Multi-Coat")</f>
        <v>Red Multi-Coat</v>
      </c>
      <c r="P517" t="str">
        <f>IFERROR(__xludf.DUMMYFUNCTION("""COMPUTED_VALUE"""),"18 inch Aero")</f>
        <v>18 inch Aero</v>
      </c>
      <c r="Q517" t="str">
        <f>IFERROR(__xludf.DUMMYFUNCTION("""COMPUTED_VALUE"""),"Black seats")</f>
        <v>Black seats</v>
      </c>
      <c r="R517" t="str">
        <f>IFERROR(__xludf.DUMMYFUNCTION("""COMPUTED_VALUE"""),"Enhanced Autopilot")</f>
        <v>Enhanced Autopilot</v>
      </c>
      <c r="X517" t="str">
        <f>IFERROR(__xludf.DUMMYFUNCTION("""COMPUTED_VALUE"""),"Very Good")</f>
        <v>Very Good</v>
      </c>
      <c r="Y517" t="str">
        <f>IFERROR(__xludf.DUMMYFUNCTION("""COMPUTED_VALUE"""),"Excellent")</f>
        <v>Excellent</v>
      </c>
      <c r="Z517" t="str">
        <f>IFERROR(__xludf.DUMMYFUNCTION("""COMPUTED_VALUE"""),"Excellent")</f>
        <v>Excellent</v>
      </c>
      <c r="AA517" t="str">
        <f>IFERROR(__xludf.DUMMYFUNCTION("""COMPUTED_VALUE"""),"Excellent")</f>
        <v>Excellent</v>
      </c>
      <c r="AB517" t="str">
        <f>IFERROR(__xludf.DUMMYFUNCTION("""COMPUTED_VALUE"""),"Excellent")</f>
        <v>Excellent</v>
      </c>
      <c r="AC517">
        <f>IFERROR(__xludf.DUMMYFUNCTION("""COMPUTED_VALUE"""),1.0)</f>
        <v>1</v>
      </c>
      <c r="AD517">
        <f>IFERROR(__xludf.DUMMYFUNCTION("""COMPUTED_VALUE"""),1.0)</f>
        <v>1</v>
      </c>
      <c r="AE517">
        <f>IFERROR(__xludf.DUMMYFUNCTION("""COMPUTED_VALUE"""),1.0)</f>
        <v>1</v>
      </c>
      <c r="AH517" s="189">
        <f>IFERROR(__xludf.DUMMYFUNCTION("""COMPUTED_VALUE"""),43337.79717533565)</f>
        <v>43337.79718</v>
      </c>
    </row>
    <row r="518">
      <c r="A518" t="str">
        <f>IFERROR(__xludf.DUMMYFUNCTION("""COMPUTED_VALUE"""),"epheterson")</f>
        <v>epheterson</v>
      </c>
      <c r="B518" t="str">
        <f>IFERROR(__xludf.DUMMYFUNCTION("""COMPUTED_VALUE"""),"San Francisco")</f>
        <v>San Francisco</v>
      </c>
      <c r="C518" t="str">
        <f>IFERROR(__xludf.DUMMYFUNCTION("""COMPUTED_VALUE"""),"CA")</f>
        <v>CA</v>
      </c>
      <c r="D518" t="str">
        <f>IFERROR(__xludf.DUMMYFUNCTION("""COMPUTED_VALUE"""),"USA")</f>
        <v>USA</v>
      </c>
      <c r="E518" s="188">
        <f>IFERROR(__xludf.DUMMYFUNCTION("""COMPUTED_VALUE"""),43278.0)</f>
        <v>43278</v>
      </c>
      <c r="F518" s="188">
        <f>IFERROR(__xludf.DUMMYFUNCTION("""COMPUTED_VALUE"""),43332.0)</f>
        <v>43332</v>
      </c>
      <c r="H518">
        <f>IFERROR(__xludf.DUMMYFUNCTION("""COMPUTED_VALUE"""),64605.0)</f>
        <v>64605</v>
      </c>
      <c r="I518" t="str">
        <f>IFERROR(__xludf.DUMMYFUNCTION("""COMPUTED_VALUE"""),"08/18")</f>
        <v>08/18</v>
      </c>
      <c r="J518" s="5">
        <f>IFERROR(__xludf.DUMMYFUNCTION("""COMPUTED_VALUE"""),43337.0)</f>
        <v>43337</v>
      </c>
      <c r="K518">
        <f>IFERROR(__xludf.DUMMYFUNCTION("""COMPUTED_VALUE"""),54.0)</f>
        <v>54</v>
      </c>
      <c r="L518">
        <f>IFERROR(__xludf.DUMMYFUNCTION("""COMPUTED_VALUE"""),5.0)</f>
        <v>5</v>
      </c>
      <c r="M518">
        <f>IFERROR(__xludf.DUMMYFUNCTION("""COMPUTED_VALUE"""),59.0)</f>
        <v>59</v>
      </c>
      <c r="N518" t="str">
        <f>IFERROR(__xludf.DUMMYFUNCTION("""COMPUTED_VALUE"""),"Model 3 LR AWD")</f>
        <v>Model 3 LR AWD</v>
      </c>
      <c r="O518" t="str">
        <f>IFERROR(__xludf.DUMMYFUNCTION("""COMPUTED_VALUE"""),"Deep Blue Metallic")</f>
        <v>Deep Blue Metallic</v>
      </c>
      <c r="P518" t="str">
        <f>IFERROR(__xludf.DUMMYFUNCTION("""COMPUTED_VALUE"""),"18 inch Aero")</f>
        <v>18 inch Aero</v>
      </c>
      <c r="Q518" t="str">
        <f>IFERROR(__xludf.DUMMYFUNCTION("""COMPUTED_VALUE"""),"Black seats")</f>
        <v>Black seats</v>
      </c>
      <c r="R518" t="str">
        <f>IFERROR(__xludf.DUMMYFUNCTION("""COMPUTED_VALUE"""),"Full Self-Driving")</f>
        <v>Full Self-Driving</v>
      </c>
      <c r="X518" t="str">
        <f>IFERROR(__xludf.DUMMYFUNCTION("""COMPUTED_VALUE"""),"Very Good")</f>
        <v>Very Good</v>
      </c>
      <c r="Y518" t="str">
        <f>IFERROR(__xludf.DUMMYFUNCTION("""COMPUTED_VALUE"""),"Very Good")</f>
        <v>Very Good</v>
      </c>
      <c r="Z518" t="str">
        <f>IFERROR(__xludf.DUMMYFUNCTION("""COMPUTED_VALUE"""),"Very Good")</f>
        <v>Very Good</v>
      </c>
      <c r="AA518" t="str">
        <f>IFERROR(__xludf.DUMMYFUNCTION("""COMPUTED_VALUE"""),"Very Good")</f>
        <v>Very Good</v>
      </c>
      <c r="AB518" t="str">
        <f>IFERROR(__xludf.DUMMYFUNCTION("""COMPUTED_VALUE"""),"Very Good")</f>
        <v>Very Good</v>
      </c>
      <c r="AC518">
        <f>IFERROR(__xludf.DUMMYFUNCTION("""COMPUTED_VALUE"""),0.0)</f>
        <v>0</v>
      </c>
      <c r="AD518">
        <f>IFERROR(__xludf.DUMMYFUNCTION("""COMPUTED_VALUE"""),0.0)</f>
        <v>0</v>
      </c>
      <c r="AE518">
        <f>IFERROR(__xludf.DUMMYFUNCTION("""COMPUTED_VALUE"""),0.0)</f>
        <v>0</v>
      </c>
      <c r="AH518" s="189">
        <f>IFERROR(__xludf.DUMMYFUNCTION("""COMPUTED_VALUE"""),43337.841392476854)</f>
        <v>43337.84139</v>
      </c>
    </row>
    <row r="519">
      <c r="A519" t="str">
        <f>IFERROR(__xludf.DUMMYFUNCTION("""COMPUTED_VALUE"""),"Regenshire")</f>
        <v>Regenshire</v>
      </c>
      <c r="B519" t="str">
        <f>IFERROR(__xludf.DUMMYFUNCTION("""COMPUTED_VALUE"""),"Spokane")</f>
        <v>Spokane</v>
      </c>
      <c r="C519" t="str">
        <f>IFERROR(__xludf.DUMMYFUNCTION("""COMPUTED_VALUE"""),"WA")</f>
        <v>WA</v>
      </c>
      <c r="D519" t="str">
        <f>IFERROR(__xludf.DUMMYFUNCTION("""COMPUTED_VALUE"""),"USA")</f>
        <v>USA</v>
      </c>
      <c r="E519" s="188">
        <f>IFERROR(__xludf.DUMMYFUNCTION("""COMPUTED_VALUE"""),43278.0)</f>
        <v>43278</v>
      </c>
      <c r="F519" s="188">
        <f>IFERROR(__xludf.DUMMYFUNCTION("""COMPUTED_VALUE"""),43292.0)</f>
        <v>43292</v>
      </c>
      <c r="H519">
        <f>IFERROR(__xludf.DUMMYFUNCTION("""COMPUTED_VALUE"""),39555.0)</f>
        <v>39555</v>
      </c>
      <c r="I519" t="str">
        <f>IFERROR(__xludf.DUMMYFUNCTION("""COMPUTED_VALUE"""),"07/18")</f>
        <v>07/18</v>
      </c>
      <c r="J519" s="5">
        <f>IFERROR(__xludf.DUMMYFUNCTION("""COMPUTED_VALUE"""),43302.0)</f>
        <v>43302</v>
      </c>
      <c r="K519">
        <f>IFERROR(__xludf.DUMMYFUNCTION("""COMPUTED_VALUE"""),14.0)</f>
        <v>14</v>
      </c>
      <c r="L519">
        <f>IFERROR(__xludf.DUMMYFUNCTION("""COMPUTED_VALUE"""),10.0)</f>
        <v>10</v>
      </c>
      <c r="M519">
        <f>IFERROR(__xludf.DUMMYFUNCTION("""COMPUTED_VALUE"""),24.0)</f>
        <v>24</v>
      </c>
      <c r="N519" t="str">
        <f>IFERROR(__xludf.DUMMYFUNCTION("""COMPUTED_VALUE"""),"Model 3 LR")</f>
        <v>Model 3 LR</v>
      </c>
      <c r="O519" t="str">
        <f>IFERROR(__xludf.DUMMYFUNCTION("""COMPUTED_VALUE"""),"Pearl White Multi-Coat")</f>
        <v>Pearl White Multi-Coat</v>
      </c>
      <c r="P519" t="str">
        <f>IFERROR(__xludf.DUMMYFUNCTION("""COMPUTED_VALUE"""),"18 inch Aero")</f>
        <v>18 inch Aero</v>
      </c>
      <c r="Q519" t="str">
        <f>IFERROR(__xludf.DUMMYFUNCTION("""COMPUTED_VALUE"""),"Black seats")</f>
        <v>Black seats</v>
      </c>
      <c r="R519" t="str">
        <f>IFERROR(__xludf.DUMMYFUNCTION("""COMPUTED_VALUE"""),"None")</f>
        <v>None</v>
      </c>
      <c r="X519" t="str">
        <f>IFERROR(__xludf.DUMMYFUNCTION("""COMPUTED_VALUE"""),"Excellent")</f>
        <v>Excellent</v>
      </c>
      <c r="Y519" t="str">
        <f>IFERROR(__xludf.DUMMYFUNCTION("""COMPUTED_VALUE"""),"Excellent")</f>
        <v>Excellent</v>
      </c>
      <c r="Z519" t="str">
        <f>IFERROR(__xludf.DUMMYFUNCTION("""COMPUTED_VALUE"""),"Excellent")</f>
        <v>Excellent</v>
      </c>
      <c r="AA519" t="str">
        <f>IFERROR(__xludf.DUMMYFUNCTION("""COMPUTED_VALUE"""),"Good")</f>
        <v>Good</v>
      </c>
      <c r="AB519" t="str">
        <f>IFERROR(__xludf.DUMMYFUNCTION("""COMPUTED_VALUE"""),"Good")</f>
        <v>Good</v>
      </c>
      <c r="AC519">
        <f>IFERROR(__xludf.DUMMYFUNCTION("""COMPUTED_VALUE"""),0.0)</f>
        <v>0</v>
      </c>
      <c r="AD519">
        <f>IFERROR(__xludf.DUMMYFUNCTION("""COMPUTED_VALUE"""),0.0)</f>
        <v>0</v>
      </c>
      <c r="AE519">
        <f>IFERROR(__xludf.DUMMYFUNCTION("""COMPUTED_VALUE"""),0.0)</f>
        <v>0</v>
      </c>
      <c r="AH519" s="189">
        <f>IFERROR(__xludf.DUMMYFUNCTION("""COMPUTED_VALUE"""),43337.868807673614)</f>
        <v>43337.86881</v>
      </c>
    </row>
    <row r="520">
      <c r="A520" t="str">
        <f>IFERROR(__xludf.DUMMYFUNCTION("""COMPUTED_VALUE"""),"HulkThinks")</f>
        <v>HulkThinks</v>
      </c>
      <c r="B520" t="str">
        <f>IFERROR(__xludf.DUMMYFUNCTION("""COMPUTED_VALUE"""),"Phoenix")</f>
        <v>Phoenix</v>
      </c>
      <c r="C520" t="str">
        <f>IFERROR(__xludf.DUMMYFUNCTION("""COMPUTED_VALUE"""),"AZ")</f>
        <v>AZ</v>
      </c>
      <c r="D520" t="str">
        <f>IFERROR(__xludf.DUMMYFUNCTION("""COMPUTED_VALUE"""),"USA")</f>
        <v>USA</v>
      </c>
      <c r="E520" s="188">
        <f>IFERROR(__xludf.DUMMYFUNCTION("""COMPUTED_VALUE"""),43221.0)</f>
        <v>43221</v>
      </c>
      <c r="F520" s="188">
        <f>IFERROR(__xludf.DUMMYFUNCTION("""COMPUTED_VALUE"""),43301.0)</f>
        <v>43301</v>
      </c>
      <c r="H520">
        <f>IFERROR(__xludf.DUMMYFUNCTION("""COMPUTED_VALUE"""),45455.0)</f>
        <v>45455</v>
      </c>
      <c r="I520" t="str">
        <f>IFERROR(__xludf.DUMMYFUNCTION("""COMPUTED_VALUE"""),"07/18")</f>
        <v>07/18</v>
      </c>
      <c r="J520" s="5">
        <f>IFERROR(__xludf.DUMMYFUNCTION("""COMPUTED_VALUE"""),43313.0)</f>
        <v>43313</v>
      </c>
      <c r="K520">
        <f>IFERROR(__xludf.DUMMYFUNCTION("""COMPUTED_VALUE"""),80.0)</f>
        <v>80</v>
      </c>
      <c r="L520">
        <f>IFERROR(__xludf.DUMMYFUNCTION("""COMPUTED_VALUE"""),12.0)</f>
        <v>12</v>
      </c>
      <c r="M520">
        <f>IFERROR(__xludf.DUMMYFUNCTION("""COMPUTED_VALUE"""),92.0)</f>
        <v>92</v>
      </c>
      <c r="N520" t="str">
        <f>IFERROR(__xludf.DUMMYFUNCTION("""COMPUTED_VALUE"""),"Model 3 LR")</f>
        <v>Model 3 LR</v>
      </c>
      <c r="O520" t="str">
        <f>IFERROR(__xludf.DUMMYFUNCTION("""COMPUTED_VALUE"""),"Solid Black")</f>
        <v>Solid Black</v>
      </c>
      <c r="P520" t="str">
        <f>IFERROR(__xludf.DUMMYFUNCTION("""COMPUTED_VALUE"""),"18 inch Aero")</f>
        <v>18 inch Aero</v>
      </c>
      <c r="Q520" t="str">
        <f>IFERROR(__xludf.DUMMYFUNCTION("""COMPUTED_VALUE"""),"Black seats")</f>
        <v>Black seats</v>
      </c>
      <c r="R520" t="str">
        <f>IFERROR(__xludf.DUMMYFUNCTION("""COMPUTED_VALUE"""),"Enhanced Autopilot")</f>
        <v>Enhanced Autopilot</v>
      </c>
      <c r="X520" t="str">
        <f>IFERROR(__xludf.DUMMYFUNCTION("""COMPUTED_VALUE"""),"Excellent")</f>
        <v>Excellent</v>
      </c>
      <c r="Y520" t="str">
        <f>IFERROR(__xludf.DUMMYFUNCTION("""COMPUTED_VALUE"""),"Excellent")</f>
        <v>Excellent</v>
      </c>
      <c r="Z520" t="str">
        <f>IFERROR(__xludf.DUMMYFUNCTION("""COMPUTED_VALUE"""),"Excellent")</f>
        <v>Excellent</v>
      </c>
      <c r="AA520" t="str">
        <f>IFERROR(__xludf.DUMMYFUNCTION("""COMPUTED_VALUE"""),"Excellent")</f>
        <v>Excellent</v>
      </c>
      <c r="AB520" t="str">
        <f>IFERROR(__xludf.DUMMYFUNCTION("""COMPUTED_VALUE"""),"Excellent")</f>
        <v>Excellent</v>
      </c>
      <c r="AC520">
        <f>IFERROR(__xludf.DUMMYFUNCTION("""COMPUTED_VALUE"""),0.0)</f>
        <v>0</v>
      </c>
      <c r="AD520">
        <f>IFERROR(__xludf.DUMMYFUNCTION("""COMPUTED_VALUE"""),0.0)</f>
        <v>0</v>
      </c>
      <c r="AH520" s="189">
        <f>IFERROR(__xludf.DUMMYFUNCTION("""COMPUTED_VALUE"""),43337.945455416666)</f>
        <v>43337.94546</v>
      </c>
    </row>
    <row r="521">
      <c r="A521" t="str">
        <f>IFERROR(__xludf.DUMMYFUNCTION("""COMPUTED_VALUE"""),"djolesd ")</f>
        <v>djolesd </v>
      </c>
      <c r="B521" t="str">
        <f>IFERROR(__xludf.DUMMYFUNCTION("""COMPUTED_VALUE"""),"San Diego")</f>
        <v>San Diego</v>
      </c>
      <c r="C521" t="str">
        <f>IFERROR(__xludf.DUMMYFUNCTION("""COMPUTED_VALUE"""),"CA")</f>
        <v>CA</v>
      </c>
      <c r="D521" t="str">
        <f>IFERROR(__xludf.DUMMYFUNCTION("""COMPUTED_VALUE"""),"USA")</f>
        <v>USA</v>
      </c>
      <c r="E521" s="188">
        <f>IFERROR(__xludf.DUMMYFUNCTION("""COMPUTED_VALUE"""),43238.0)</f>
        <v>43238</v>
      </c>
      <c r="F521" s="188">
        <f>IFERROR(__xludf.DUMMYFUNCTION("""COMPUTED_VALUE"""),43240.0)</f>
        <v>43240</v>
      </c>
      <c r="H521">
        <f>IFERROR(__xludf.DUMMYFUNCTION("""COMPUTED_VALUE"""),19255.0)</f>
        <v>19255</v>
      </c>
      <c r="I521" t="str">
        <f>IFERROR(__xludf.DUMMYFUNCTION("""COMPUTED_VALUE"""),"05/18")</f>
        <v>05/18</v>
      </c>
      <c r="J521" s="5">
        <f>IFERROR(__xludf.DUMMYFUNCTION("""COMPUTED_VALUE"""),43246.0)</f>
        <v>43246</v>
      </c>
      <c r="K521">
        <f>IFERROR(__xludf.DUMMYFUNCTION("""COMPUTED_VALUE"""),2.0)</f>
        <v>2</v>
      </c>
      <c r="L521">
        <f>IFERROR(__xludf.DUMMYFUNCTION("""COMPUTED_VALUE"""),6.0)</f>
        <v>6</v>
      </c>
      <c r="M521">
        <f>IFERROR(__xludf.DUMMYFUNCTION("""COMPUTED_VALUE"""),8.0)</f>
        <v>8</v>
      </c>
      <c r="N521" t="str">
        <f>IFERROR(__xludf.DUMMYFUNCTION("""COMPUTED_VALUE"""),"Model 3 LR")</f>
        <v>Model 3 LR</v>
      </c>
      <c r="O521" t="str">
        <f>IFERROR(__xludf.DUMMYFUNCTION("""COMPUTED_VALUE"""),"Red Multi-Coat")</f>
        <v>Red Multi-Coat</v>
      </c>
      <c r="P521" t="str">
        <f>IFERROR(__xludf.DUMMYFUNCTION("""COMPUTED_VALUE"""),"18 inch Aero")</f>
        <v>18 inch Aero</v>
      </c>
      <c r="Q521" t="str">
        <f>IFERROR(__xludf.DUMMYFUNCTION("""COMPUTED_VALUE"""),"Black seats")</f>
        <v>Black seats</v>
      </c>
      <c r="R521" t="str">
        <f>IFERROR(__xludf.DUMMYFUNCTION("""COMPUTED_VALUE"""),"Enhanced Autopilot")</f>
        <v>Enhanced Autopilot</v>
      </c>
      <c r="X521" t="str">
        <f>IFERROR(__xludf.DUMMYFUNCTION("""COMPUTED_VALUE"""),"Good")</f>
        <v>Good</v>
      </c>
      <c r="Y521" t="str">
        <f>IFERROR(__xludf.DUMMYFUNCTION("""COMPUTED_VALUE"""),"Very Good")</f>
        <v>Very Good</v>
      </c>
      <c r="Z521" t="str">
        <f>IFERROR(__xludf.DUMMYFUNCTION("""COMPUTED_VALUE"""),"Very Good")</f>
        <v>Very Good</v>
      </c>
      <c r="AA521" t="str">
        <f>IFERROR(__xludf.DUMMYFUNCTION("""COMPUTED_VALUE"""),"Very Good")</f>
        <v>Very Good</v>
      </c>
      <c r="AB521" t="str">
        <f>IFERROR(__xludf.DUMMYFUNCTION("""COMPUTED_VALUE"""),"Excellent")</f>
        <v>Excellent</v>
      </c>
      <c r="AC521">
        <f>IFERROR(__xludf.DUMMYFUNCTION("""COMPUTED_VALUE"""),1.0)</f>
        <v>1</v>
      </c>
      <c r="AD521">
        <f>IFERROR(__xludf.DUMMYFUNCTION("""COMPUTED_VALUE"""),1.0)</f>
        <v>1</v>
      </c>
      <c r="AE521">
        <f>IFERROR(__xludf.DUMMYFUNCTION("""COMPUTED_VALUE"""),0.0)</f>
        <v>0</v>
      </c>
      <c r="AH521" s="189">
        <f>IFERROR(__xludf.DUMMYFUNCTION("""COMPUTED_VALUE"""),43338.3847230324)</f>
        <v>43338.38472</v>
      </c>
    </row>
    <row r="522">
      <c r="A522" t="str">
        <f>IFERROR(__xludf.DUMMYFUNCTION("""COMPUTED_VALUE"""),"Ender3204")</f>
        <v>Ender3204</v>
      </c>
      <c r="B522" t="str">
        <f>IFERROR(__xludf.DUMMYFUNCTION("""COMPUTED_VALUE"""),"Austin")</f>
        <v>Austin</v>
      </c>
      <c r="C522" t="str">
        <f>IFERROR(__xludf.DUMMYFUNCTION("""COMPUTED_VALUE"""),"TX")</f>
        <v>TX</v>
      </c>
      <c r="D522" t="str">
        <f>IFERROR(__xludf.DUMMYFUNCTION("""COMPUTED_VALUE"""),"USA")</f>
        <v>USA</v>
      </c>
      <c r="E522" s="188">
        <f>IFERROR(__xludf.DUMMYFUNCTION("""COMPUTED_VALUE"""),43281.0)</f>
        <v>43281</v>
      </c>
      <c r="F522" s="188">
        <f>IFERROR(__xludf.DUMMYFUNCTION("""COMPUTED_VALUE"""),43314.0)</f>
        <v>43314</v>
      </c>
      <c r="H522">
        <f>IFERROR(__xludf.DUMMYFUNCTION("""COMPUTED_VALUE"""),33955.0)</f>
        <v>33955</v>
      </c>
      <c r="I522" t="str">
        <f>IFERROR(__xludf.DUMMYFUNCTION("""COMPUTED_VALUE"""),"06/18")</f>
        <v>06/18</v>
      </c>
      <c r="J522" s="5">
        <f>IFERROR(__xludf.DUMMYFUNCTION("""COMPUTED_VALUE"""),43335.0)</f>
        <v>43335</v>
      </c>
      <c r="K522">
        <f>IFERROR(__xludf.DUMMYFUNCTION("""COMPUTED_VALUE"""),33.0)</f>
        <v>33</v>
      </c>
      <c r="L522">
        <f>IFERROR(__xludf.DUMMYFUNCTION("""COMPUTED_VALUE"""),21.0)</f>
        <v>21</v>
      </c>
      <c r="M522">
        <f>IFERROR(__xludf.DUMMYFUNCTION("""COMPUTED_VALUE"""),54.0)</f>
        <v>54</v>
      </c>
      <c r="N522" t="str">
        <f>IFERROR(__xludf.DUMMYFUNCTION("""COMPUTED_VALUE"""),"Model 3 LR")</f>
        <v>Model 3 LR</v>
      </c>
      <c r="O522" t="str">
        <f>IFERROR(__xludf.DUMMYFUNCTION("""COMPUTED_VALUE"""),"Midnight Silver Metallic")</f>
        <v>Midnight Silver Metallic</v>
      </c>
      <c r="P522" t="str">
        <f>IFERROR(__xludf.DUMMYFUNCTION("""COMPUTED_VALUE"""),"18 inch Aero")</f>
        <v>18 inch Aero</v>
      </c>
      <c r="Q522" t="str">
        <f>IFERROR(__xludf.DUMMYFUNCTION("""COMPUTED_VALUE"""),"Black seats")</f>
        <v>Black seats</v>
      </c>
      <c r="R522" t="str">
        <f>IFERROR(__xludf.DUMMYFUNCTION("""COMPUTED_VALUE"""),"Enhanced Autopilot")</f>
        <v>Enhanced Autopilot</v>
      </c>
      <c r="X522" t="str">
        <f>IFERROR(__xludf.DUMMYFUNCTION("""COMPUTED_VALUE"""),"Excellent")</f>
        <v>Excellent</v>
      </c>
      <c r="Y522" t="str">
        <f>IFERROR(__xludf.DUMMYFUNCTION("""COMPUTED_VALUE"""),"Excellent")</f>
        <v>Excellent</v>
      </c>
      <c r="Z522" t="str">
        <f>IFERROR(__xludf.DUMMYFUNCTION("""COMPUTED_VALUE"""),"Excellent")</f>
        <v>Excellent</v>
      </c>
      <c r="AA522" t="str">
        <f>IFERROR(__xludf.DUMMYFUNCTION("""COMPUTED_VALUE"""),"Excellent")</f>
        <v>Excellent</v>
      </c>
      <c r="AB522" t="str">
        <f>IFERROR(__xludf.DUMMYFUNCTION("""COMPUTED_VALUE"""),"Excellent")</f>
        <v>Excellent</v>
      </c>
      <c r="AC522">
        <f>IFERROR(__xludf.DUMMYFUNCTION("""COMPUTED_VALUE"""),0.0)</f>
        <v>0</v>
      </c>
      <c r="AD522">
        <f>IFERROR(__xludf.DUMMYFUNCTION("""COMPUTED_VALUE"""),0.0)</f>
        <v>0</v>
      </c>
      <c r="AE522">
        <f>IFERROR(__xludf.DUMMYFUNCTION("""COMPUTED_VALUE"""),0.0)</f>
        <v>0</v>
      </c>
      <c r="AH522" s="189">
        <f>IFERROR(__xludf.DUMMYFUNCTION("""COMPUTED_VALUE"""),43338.5910246875)</f>
        <v>43338.59102</v>
      </c>
    </row>
    <row r="523">
      <c r="A523" t="str">
        <f>IFERROR(__xludf.DUMMYFUNCTION("""COMPUTED_VALUE"""),"larsocam")</f>
        <v>larsocam</v>
      </c>
      <c r="B523" t="str">
        <f>IFERROR(__xludf.DUMMYFUNCTION("""COMPUTED_VALUE"""),"Portland")</f>
        <v>Portland</v>
      </c>
      <c r="C523" t="str">
        <f>IFERROR(__xludf.DUMMYFUNCTION("""COMPUTED_VALUE"""),"OR")</f>
        <v>OR</v>
      </c>
      <c r="D523" t="str">
        <f>IFERROR(__xludf.DUMMYFUNCTION("""COMPUTED_VALUE"""),"USA")</f>
        <v>USA</v>
      </c>
      <c r="E523" s="188">
        <f>IFERROR(__xludf.DUMMYFUNCTION("""COMPUTED_VALUE"""),43277.0)</f>
        <v>43277</v>
      </c>
      <c r="F523" s="188">
        <f>IFERROR(__xludf.DUMMYFUNCTION("""COMPUTED_VALUE"""),43330.0)</f>
        <v>43330</v>
      </c>
      <c r="H523">
        <f>IFERROR(__xludf.DUMMYFUNCTION("""COMPUTED_VALUE"""),64455.0)</f>
        <v>64455</v>
      </c>
      <c r="J523" s="5">
        <f>IFERROR(__xludf.DUMMYFUNCTION("""COMPUTED_VALUE"""),43338.0)</f>
        <v>43338</v>
      </c>
      <c r="K523">
        <f>IFERROR(__xludf.DUMMYFUNCTION("""COMPUTED_VALUE"""),53.0)</f>
        <v>53</v>
      </c>
      <c r="L523">
        <f>IFERROR(__xludf.DUMMYFUNCTION("""COMPUTED_VALUE"""),8.0)</f>
        <v>8</v>
      </c>
      <c r="M523">
        <f>IFERROR(__xludf.DUMMYFUNCTION("""COMPUTED_VALUE"""),61.0)</f>
        <v>61</v>
      </c>
      <c r="N523" t="str">
        <f>IFERROR(__xludf.DUMMYFUNCTION("""COMPUTED_VALUE"""),"Model 3 LR AWD")</f>
        <v>Model 3 LR AWD</v>
      </c>
      <c r="O523" t="str">
        <f>IFERROR(__xludf.DUMMYFUNCTION("""COMPUTED_VALUE"""),"Deep Blue Metallic")</f>
        <v>Deep Blue Metallic</v>
      </c>
      <c r="P523" t="str">
        <f>IFERROR(__xludf.DUMMYFUNCTION("""COMPUTED_VALUE"""),"18 inch Aero")</f>
        <v>18 inch Aero</v>
      </c>
      <c r="Q523" t="str">
        <f>IFERROR(__xludf.DUMMYFUNCTION("""COMPUTED_VALUE"""),"Black seats")</f>
        <v>Black seats</v>
      </c>
      <c r="R523" t="str">
        <f>IFERROR(__xludf.DUMMYFUNCTION("""COMPUTED_VALUE"""),"None")</f>
        <v>None</v>
      </c>
      <c r="X523" t="str">
        <f>IFERROR(__xludf.DUMMYFUNCTION("""COMPUTED_VALUE"""),"Excellent")</f>
        <v>Excellent</v>
      </c>
      <c r="Y523" t="str">
        <f>IFERROR(__xludf.DUMMYFUNCTION("""COMPUTED_VALUE"""),"Excellent")</f>
        <v>Excellent</v>
      </c>
      <c r="Z523" t="str">
        <f>IFERROR(__xludf.DUMMYFUNCTION("""COMPUTED_VALUE"""),"Excellent")</f>
        <v>Excellent</v>
      </c>
      <c r="AA523" t="str">
        <f>IFERROR(__xludf.DUMMYFUNCTION("""COMPUTED_VALUE"""),"Very Good")</f>
        <v>Very Good</v>
      </c>
      <c r="AB523" t="str">
        <f>IFERROR(__xludf.DUMMYFUNCTION("""COMPUTED_VALUE"""),"Good")</f>
        <v>Good</v>
      </c>
      <c r="AC523">
        <f>IFERROR(__xludf.DUMMYFUNCTION("""COMPUTED_VALUE"""),0.0)</f>
        <v>0</v>
      </c>
      <c r="AD523">
        <f>IFERROR(__xludf.DUMMYFUNCTION("""COMPUTED_VALUE"""),0.0)</f>
        <v>0</v>
      </c>
      <c r="AE523">
        <f>IFERROR(__xludf.DUMMYFUNCTION("""COMPUTED_VALUE"""),0.0)</f>
        <v>0</v>
      </c>
      <c r="AH523" s="189">
        <f>IFERROR(__xludf.DUMMYFUNCTION("""COMPUTED_VALUE"""),43338.81042591435)</f>
        <v>43338.81043</v>
      </c>
    </row>
    <row r="524">
      <c r="A524" t="str">
        <f>IFERROR(__xludf.DUMMYFUNCTION("""COMPUTED_VALUE"""),"Trinit3")</f>
        <v>Trinit3</v>
      </c>
      <c r="B524" t="str">
        <f>IFERROR(__xludf.DUMMYFUNCTION("""COMPUTED_VALUE"""),"So CAl")</f>
        <v>So CAl</v>
      </c>
      <c r="C524" t="str">
        <f>IFERROR(__xludf.DUMMYFUNCTION("""COMPUTED_VALUE"""),"CA")</f>
        <v>CA</v>
      </c>
      <c r="D524" t="str">
        <f>IFERROR(__xludf.DUMMYFUNCTION("""COMPUTED_VALUE"""),"USA")</f>
        <v>USA</v>
      </c>
      <c r="E524" s="188">
        <f>IFERROR(__xludf.DUMMYFUNCTION("""COMPUTED_VALUE"""),43295.0)</f>
        <v>43295</v>
      </c>
      <c r="F524" s="188">
        <f>IFERROR(__xludf.DUMMYFUNCTION("""COMPUTED_VALUE"""),43318.0)</f>
        <v>43318</v>
      </c>
      <c r="H524">
        <f>IFERROR(__xludf.DUMMYFUNCTION("""COMPUTED_VALUE"""),67455.0)</f>
        <v>67455</v>
      </c>
      <c r="I524" t="str">
        <f>IFERROR(__xludf.DUMMYFUNCTION("""COMPUTED_VALUE"""),"08/18")</f>
        <v>08/18</v>
      </c>
      <c r="J524" s="5">
        <f>IFERROR(__xludf.DUMMYFUNCTION("""COMPUTED_VALUE"""),43338.0)</f>
        <v>43338</v>
      </c>
      <c r="K524">
        <f>IFERROR(__xludf.DUMMYFUNCTION("""COMPUTED_VALUE"""),23.0)</f>
        <v>23</v>
      </c>
      <c r="L524">
        <f>IFERROR(__xludf.DUMMYFUNCTION("""COMPUTED_VALUE"""),20.0)</f>
        <v>20</v>
      </c>
      <c r="M524">
        <f>IFERROR(__xludf.DUMMYFUNCTION("""COMPUTED_VALUE"""),43.0)</f>
        <v>43</v>
      </c>
      <c r="N524" t="str">
        <f>IFERROR(__xludf.DUMMYFUNCTION("""COMPUTED_VALUE"""),"Model 3 LR AWD")</f>
        <v>Model 3 LR AWD</v>
      </c>
      <c r="O524" t="str">
        <f>IFERROR(__xludf.DUMMYFUNCTION("""COMPUTED_VALUE"""),"Pearl White Multi-Coat")</f>
        <v>Pearl White Multi-Coat</v>
      </c>
      <c r="P524" t="str">
        <f>IFERROR(__xludf.DUMMYFUNCTION("""COMPUTED_VALUE"""),"19 inch Sport")</f>
        <v>19 inch Sport</v>
      </c>
      <c r="Q524" t="str">
        <f>IFERROR(__xludf.DUMMYFUNCTION("""COMPUTED_VALUE"""),"Black seats")</f>
        <v>Black seats</v>
      </c>
      <c r="R524" t="str">
        <f>IFERROR(__xludf.DUMMYFUNCTION("""COMPUTED_VALUE"""),"Enhanced Autopilot")</f>
        <v>Enhanced Autopilot</v>
      </c>
      <c r="X524" t="str">
        <f>IFERROR(__xludf.DUMMYFUNCTION("""COMPUTED_VALUE"""),"Excellent")</f>
        <v>Excellent</v>
      </c>
      <c r="Y524" t="str">
        <f>IFERROR(__xludf.DUMMYFUNCTION("""COMPUTED_VALUE"""),"Excellent")</f>
        <v>Excellent</v>
      </c>
      <c r="Z524" t="str">
        <f>IFERROR(__xludf.DUMMYFUNCTION("""COMPUTED_VALUE"""),"Excellent")</f>
        <v>Excellent</v>
      </c>
      <c r="AA524" t="str">
        <f>IFERROR(__xludf.DUMMYFUNCTION("""COMPUTED_VALUE"""),"Good")</f>
        <v>Good</v>
      </c>
      <c r="AB524" t="str">
        <f>IFERROR(__xludf.DUMMYFUNCTION("""COMPUTED_VALUE"""),"Excellent")</f>
        <v>Excellent</v>
      </c>
      <c r="AC524">
        <f>IFERROR(__xludf.DUMMYFUNCTION("""COMPUTED_VALUE"""),0.0)</f>
        <v>0</v>
      </c>
      <c r="AD524">
        <f>IFERROR(__xludf.DUMMYFUNCTION("""COMPUTED_VALUE"""),0.0)</f>
        <v>0</v>
      </c>
      <c r="AE524">
        <f>IFERROR(__xludf.DUMMYFUNCTION("""COMPUTED_VALUE"""),0.0)</f>
        <v>0</v>
      </c>
      <c r="AH524" s="189">
        <f>IFERROR(__xludf.DUMMYFUNCTION("""COMPUTED_VALUE"""),43338.835821307875)</f>
        <v>43338.83582</v>
      </c>
    </row>
    <row r="525">
      <c r="A525" t="str">
        <f>IFERROR(__xludf.DUMMYFUNCTION("""COMPUTED_VALUE"""),"Toadmanor")</f>
        <v>Toadmanor</v>
      </c>
      <c r="B525" t="str">
        <f>IFERROR(__xludf.DUMMYFUNCTION("""COMPUTED_VALUE"""),"Twin City Area")</f>
        <v>Twin City Area</v>
      </c>
      <c r="C525" t="str">
        <f>IFERROR(__xludf.DUMMYFUNCTION("""COMPUTED_VALUE"""),"MN")</f>
        <v>MN</v>
      </c>
      <c r="D525" t="str">
        <f>IFERROR(__xludf.DUMMYFUNCTION("""COMPUTED_VALUE"""),"USA")</f>
        <v>USA</v>
      </c>
      <c r="E525" s="188">
        <f>IFERROR(__xludf.DUMMYFUNCTION("""COMPUTED_VALUE"""),43326.0)</f>
        <v>43326</v>
      </c>
      <c r="F525" s="188">
        <f>IFERROR(__xludf.DUMMYFUNCTION("""COMPUTED_VALUE"""),43329.0)</f>
        <v>43329</v>
      </c>
      <c r="H525">
        <f>IFERROR(__xludf.DUMMYFUNCTION("""COMPUTED_VALUE"""),58755.0)</f>
        <v>58755</v>
      </c>
      <c r="I525" t="str">
        <f>IFERROR(__xludf.DUMMYFUNCTION("""COMPUTED_VALUE"""),"07/18")</f>
        <v>07/18</v>
      </c>
      <c r="J525" s="5">
        <f>IFERROR(__xludf.DUMMYFUNCTION("""COMPUTED_VALUE"""),43336.0)</f>
        <v>43336</v>
      </c>
      <c r="K525">
        <f>IFERROR(__xludf.DUMMYFUNCTION("""COMPUTED_VALUE"""),3.0)</f>
        <v>3</v>
      </c>
      <c r="L525">
        <f>IFERROR(__xludf.DUMMYFUNCTION("""COMPUTED_VALUE"""),7.0)</f>
        <v>7</v>
      </c>
      <c r="M525">
        <f>IFERROR(__xludf.DUMMYFUNCTION("""COMPUTED_VALUE"""),10.0)</f>
        <v>10</v>
      </c>
      <c r="N525" t="str">
        <f>IFERROR(__xludf.DUMMYFUNCTION("""COMPUTED_VALUE"""),"Model 3 LR")</f>
        <v>Model 3 LR</v>
      </c>
      <c r="O525" t="str">
        <f>IFERROR(__xludf.DUMMYFUNCTION("""COMPUTED_VALUE"""),"Silver Metallic")</f>
        <v>Silver Metallic</v>
      </c>
      <c r="P525" t="str">
        <f>IFERROR(__xludf.DUMMYFUNCTION("""COMPUTED_VALUE"""),"18 inch Aero")</f>
        <v>18 inch Aero</v>
      </c>
      <c r="Q525" t="str">
        <f>IFERROR(__xludf.DUMMYFUNCTION("""COMPUTED_VALUE"""),"Black seats")</f>
        <v>Black seats</v>
      </c>
      <c r="R525" t="str">
        <f>IFERROR(__xludf.DUMMYFUNCTION("""COMPUTED_VALUE"""),"Enhanced Autopilot")</f>
        <v>Enhanced Autopilot</v>
      </c>
      <c r="X525" t="str">
        <f>IFERROR(__xludf.DUMMYFUNCTION("""COMPUTED_VALUE"""),"Very Good")</f>
        <v>Very Good</v>
      </c>
      <c r="Y525" t="str">
        <f>IFERROR(__xludf.DUMMYFUNCTION("""COMPUTED_VALUE"""),"Excellent")</f>
        <v>Excellent</v>
      </c>
      <c r="Z525" t="str">
        <f>IFERROR(__xludf.DUMMYFUNCTION("""COMPUTED_VALUE"""),"Excellent")</f>
        <v>Excellent</v>
      </c>
      <c r="AA525" t="str">
        <f>IFERROR(__xludf.DUMMYFUNCTION("""COMPUTED_VALUE"""),"Good")</f>
        <v>Good</v>
      </c>
      <c r="AB525" t="str">
        <f>IFERROR(__xludf.DUMMYFUNCTION("""COMPUTED_VALUE"""),"Good")</f>
        <v>Good</v>
      </c>
      <c r="AH525" s="189">
        <f>IFERROR(__xludf.DUMMYFUNCTION("""COMPUTED_VALUE"""),43339.16288125)</f>
        <v>43339.16288</v>
      </c>
    </row>
    <row r="526">
      <c r="A526" t="str">
        <f>IFERROR(__xludf.DUMMYFUNCTION("""COMPUTED_VALUE"""),"Blaroux")</f>
        <v>Blaroux</v>
      </c>
      <c r="B526" t="str">
        <f>IFERROR(__xludf.DUMMYFUNCTION("""COMPUTED_VALUE"""),"Union")</f>
        <v>Union</v>
      </c>
      <c r="C526" t="str">
        <f>IFERROR(__xludf.DUMMYFUNCTION("""COMPUTED_VALUE"""),"CT")</f>
        <v>CT</v>
      </c>
      <c r="D526" t="str">
        <f>IFERROR(__xludf.DUMMYFUNCTION("""COMPUTED_VALUE"""),"USA")</f>
        <v>USA</v>
      </c>
      <c r="E526" s="188">
        <f>IFERROR(__xludf.DUMMYFUNCTION("""COMPUTED_VALUE"""),43203.0)</f>
        <v>43203</v>
      </c>
      <c r="F526" s="188">
        <f>IFERROR(__xludf.DUMMYFUNCTION("""COMPUTED_VALUE"""),43278.0)</f>
        <v>43278</v>
      </c>
      <c r="H526">
        <f>IFERROR(__xludf.DUMMYFUNCTION("""COMPUTED_VALUE"""),73655.0)</f>
        <v>73655</v>
      </c>
      <c r="J526" s="5">
        <f>IFERROR(__xludf.DUMMYFUNCTION("""COMPUTED_VALUE"""),43320.0)</f>
        <v>43320</v>
      </c>
      <c r="K526">
        <f>IFERROR(__xludf.DUMMYFUNCTION("""COMPUTED_VALUE"""),75.0)</f>
        <v>75</v>
      </c>
      <c r="L526">
        <f>IFERROR(__xludf.DUMMYFUNCTION("""COMPUTED_VALUE"""),42.0)</f>
        <v>42</v>
      </c>
      <c r="M526">
        <f>IFERROR(__xludf.DUMMYFUNCTION("""COMPUTED_VALUE"""),117.0)</f>
        <v>117</v>
      </c>
      <c r="N526" t="str">
        <f>IFERROR(__xludf.DUMMYFUNCTION("""COMPUTED_VALUE"""),"Model 3 Performance")</f>
        <v>Model 3 Performance</v>
      </c>
      <c r="O526" t="str">
        <f>IFERROR(__xludf.DUMMYFUNCTION("""COMPUTED_VALUE"""),"Midnight Silver Metallic")</f>
        <v>Midnight Silver Metallic</v>
      </c>
      <c r="P526" t="str">
        <f>IFERROR(__xludf.DUMMYFUNCTION("""COMPUTED_VALUE"""),"18 inch Aero")</f>
        <v>18 inch Aero</v>
      </c>
      <c r="Q526" t="str">
        <f>IFERROR(__xludf.DUMMYFUNCTION("""COMPUTED_VALUE"""),"Black seats")</f>
        <v>Black seats</v>
      </c>
      <c r="R526" t="str">
        <f>IFERROR(__xludf.DUMMYFUNCTION("""COMPUTED_VALUE"""),"None")</f>
        <v>None</v>
      </c>
      <c r="X526" t="str">
        <f>IFERROR(__xludf.DUMMYFUNCTION("""COMPUTED_VALUE"""),"Very Good")</f>
        <v>Very Good</v>
      </c>
      <c r="Y526" t="str">
        <f>IFERROR(__xludf.DUMMYFUNCTION("""COMPUTED_VALUE"""),"Excellent")</f>
        <v>Excellent</v>
      </c>
      <c r="Z526" t="str">
        <f>IFERROR(__xludf.DUMMYFUNCTION("""COMPUTED_VALUE"""),"Fair")</f>
        <v>Fair</v>
      </c>
      <c r="AA526" t="str">
        <f>IFERROR(__xludf.DUMMYFUNCTION("""COMPUTED_VALUE"""),"Fair")</f>
        <v>Fair</v>
      </c>
      <c r="AB526" t="str">
        <f>IFERROR(__xludf.DUMMYFUNCTION("""COMPUTED_VALUE"""),"Very Good")</f>
        <v>Very Good</v>
      </c>
      <c r="AC526">
        <f>IFERROR(__xludf.DUMMYFUNCTION("""COMPUTED_VALUE"""),3.0)</f>
        <v>3</v>
      </c>
      <c r="AE526">
        <f>IFERROR(__xludf.DUMMYFUNCTION("""COMPUTED_VALUE"""),17.0)</f>
        <v>17</v>
      </c>
      <c r="AG526" t="str">
        <f>IFERROR(__xludf.DUMMYFUNCTION("""COMPUTED_VALUE"""),"Small paint bubbles on trunk lid, gouges in underbody fairings from truck unloading")</f>
        <v>Small paint bubbles on trunk lid, gouges in underbody fairings from truck unloading</v>
      </c>
      <c r="AH526" s="189">
        <f>IFERROR(__xludf.DUMMYFUNCTION("""COMPUTED_VALUE"""),43339.29466341435)</f>
        <v>43339.29466</v>
      </c>
    </row>
    <row r="527">
      <c r="A527" t="str">
        <f>IFERROR(__xludf.DUMMYFUNCTION("""COMPUTED_VALUE"""),"madeaccountforthee")</f>
        <v>madeaccountforthee</v>
      </c>
      <c r="B527" t="str">
        <f>IFERROR(__xludf.DUMMYFUNCTION("""COMPUTED_VALUE"""),"palo alto")</f>
        <v>palo alto</v>
      </c>
      <c r="C527" t="str">
        <f>IFERROR(__xludf.DUMMYFUNCTION("""COMPUTED_VALUE"""),"CA")</f>
        <v>CA</v>
      </c>
      <c r="D527" t="str">
        <f>IFERROR(__xludf.DUMMYFUNCTION("""COMPUTED_VALUE"""),"USA")</f>
        <v>USA</v>
      </c>
      <c r="E527" s="188">
        <f>IFERROR(__xludf.DUMMYFUNCTION("""COMPUTED_VALUE"""),43277.0)</f>
        <v>43277</v>
      </c>
      <c r="F527" s="188">
        <f>IFERROR(__xludf.DUMMYFUNCTION("""COMPUTED_VALUE"""),43316.0)</f>
        <v>43316</v>
      </c>
      <c r="H527">
        <f>IFERROR(__xludf.DUMMYFUNCTION("""COMPUTED_VALUE"""),74155.0)</f>
        <v>74155</v>
      </c>
      <c r="I527" t="str">
        <f>IFERROR(__xludf.DUMMYFUNCTION("""COMPUTED_VALUE"""),"08/18")</f>
        <v>08/18</v>
      </c>
      <c r="J527" s="5">
        <f>IFERROR(__xludf.DUMMYFUNCTION("""COMPUTED_VALUE"""),43323.0)</f>
        <v>43323</v>
      </c>
      <c r="K527">
        <f>IFERROR(__xludf.DUMMYFUNCTION("""COMPUTED_VALUE"""),39.0)</f>
        <v>39</v>
      </c>
      <c r="L527">
        <f>IFERROR(__xludf.DUMMYFUNCTION("""COMPUTED_VALUE"""),7.0)</f>
        <v>7</v>
      </c>
      <c r="M527">
        <f>IFERROR(__xludf.DUMMYFUNCTION("""COMPUTED_VALUE"""),46.0)</f>
        <v>46</v>
      </c>
      <c r="N527" t="str">
        <f>IFERROR(__xludf.DUMMYFUNCTION("""COMPUTED_VALUE"""),"Model 3 Performance")</f>
        <v>Model 3 Performance</v>
      </c>
      <c r="O527" t="str">
        <f>IFERROR(__xludf.DUMMYFUNCTION("""COMPUTED_VALUE"""),"Deep Blue Metallic")</f>
        <v>Deep Blue Metallic</v>
      </c>
      <c r="P527" t="str">
        <f>IFERROR(__xludf.DUMMYFUNCTION("""COMPUTED_VALUE"""),"20 inch Sport")</f>
        <v>20 inch Sport</v>
      </c>
      <c r="Q527" t="str">
        <f>IFERROR(__xludf.DUMMYFUNCTION("""COMPUTED_VALUE"""),"White seats")</f>
        <v>White seats</v>
      </c>
      <c r="R527" t="str">
        <f>IFERROR(__xludf.DUMMYFUNCTION("""COMPUTED_VALUE"""),"Enhanced Autopilot")</f>
        <v>Enhanced Autopilot</v>
      </c>
      <c r="X527" t="str">
        <f>IFERROR(__xludf.DUMMYFUNCTION("""COMPUTED_VALUE"""),"Excellent")</f>
        <v>Excellent</v>
      </c>
      <c r="Y527" t="str">
        <f>IFERROR(__xludf.DUMMYFUNCTION("""COMPUTED_VALUE"""),"Excellent")</f>
        <v>Excellent</v>
      </c>
      <c r="Z527" t="str">
        <f>IFERROR(__xludf.DUMMYFUNCTION("""COMPUTED_VALUE"""),"Very Good")</f>
        <v>Very Good</v>
      </c>
      <c r="AA527" t="str">
        <f>IFERROR(__xludf.DUMMYFUNCTION("""COMPUTED_VALUE"""),"Excellent")</f>
        <v>Excellent</v>
      </c>
      <c r="AB527" t="str">
        <f>IFERROR(__xludf.DUMMYFUNCTION("""COMPUTED_VALUE"""),"Very Good")</f>
        <v>Very Good</v>
      </c>
      <c r="AC527">
        <f>IFERROR(__xludf.DUMMYFUNCTION("""COMPUTED_VALUE"""),0.0)</f>
        <v>0</v>
      </c>
      <c r="AD527">
        <f>IFERROR(__xludf.DUMMYFUNCTION("""COMPUTED_VALUE"""),1.0)</f>
        <v>1</v>
      </c>
      <c r="AH527" s="189">
        <f>IFERROR(__xludf.DUMMYFUNCTION("""COMPUTED_VALUE"""),43339.487143356484)</f>
        <v>43339.48714</v>
      </c>
    </row>
    <row r="528">
      <c r="A528" t="str">
        <f>IFERROR(__xludf.DUMMYFUNCTION("""COMPUTED_VALUE"""),"marusan")</f>
        <v>marusan</v>
      </c>
      <c r="B528" t="str">
        <f>IFERROR(__xludf.DUMMYFUNCTION("""COMPUTED_VALUE"""),"Silicon Valley, CA")</f>
        <v>Silicon Valley, CA</v>
      </c>
      <c r="C528" t="str">
        <f>IFERROR(__xludf.DUMMYFUNCTION("""COMPUTED_VALUE"""),"CA")</f>
        <v>CA</v>
      </c>
      <c r="D528" t="str">
        <f>IFERROR(__xludf.DUMMYFUNCTION("""COMPUTED_VALUE"""),"USA")</f>
        <v>USA</v>
      </c>
      <c r="E528" s="188">
        <f>IFERROR(__xludf.DUMMYFUNCTION("""COMPUTED_VALUE"""),43277.0)</f>
        <v>43277</v>
      </c>
      <c r="F528" s="188">
        <f>IFERROR(__xludf.DUMMYFUNCTION("""COMPUTED_VALUE"""),43337.0)</f>
        <v>43337</v>
      </c>
      <c r="H528">
        <f>IFERROR(__xludf.DUMMYFUNCTION("""COMPUTED_VALUE"""),63155.0)</f>
        <v>63155</v>
      </c>
      <c r="J528" s="5">
        <f>IFERROR(__xludf.DUMMYFUNCTION("""COMPUTED_VALUE"""),43339.0)</f>
        <v>43339</v>
      </c>
      <c r="K528">
        <f>IFERROR(__xludf.DUMMYFUNCTION("""COMPUTED_VALUE"""),60.0)</f>
        <v>60</v>
      </c>
      <c r="L528">
        <f>IFERROR(__xludf.DUMMYFUNCTION("""COMPUTED_VALUE"""),2.0)</f>
        <v>2</v>
      </c>
      <c r="M528">
        <f>IFERROR(__xludf.DUMMYFUNCTION("""COMPUTED_VALUE"""),62.0)</f>
        <v>62</v>
      </c>
      <c r="N528" t="str">
        <f>IFERROR(__xludf.DUMMYFUNCTION("""COMPUTED_VALUE"""),"Model 3 Performance")</f>
        <v>Model 3 Performance</v>
      </c>
      <c r="O528" t="str">
        <f>IFERROR(__xludf.DUMMYFUNCTION("""COMPUTED_VALUE"""),"Red Multi-Coat")</f>
        <v>Red Multi-Coat</v>
      </c>
      <c r="P528" t="str">
        <f>IFERROR(__xludf.DUMMYFUNCTION("""COMPUTED_VALUE"""),"20 inch Sport")</f>
        <v>20 inch Sport</v>
      </c>
      <c r="Q528" t="str">
        <f>IFERROR(__xludf.DUMMYFUNCTION("""COMPUTED_VALUE"""),"Black seats")</f>
        <v>Black seats</v>
      </c>
      <c r="R528" t="str">
        <f>IFERROR(__xludf.DUMMYFUNCTION("""COMPUTED_VALUE"""),"Full Self-Driving")</f>
        <v>Full Self-Driving</v>
      </c>
      <c r="X528" t="str">
        <f>IFERROR(__xludf.DUMMYFUNCTION("""COMPUTED_VALUE"""),"Very Good")</f>
        <v>Very Good</v>
      </c>
      <c r="Y528" t="str">
        <f>IFERROR(__xludf.DUMMYFUNCTION("""COMPUTED_VALUE"""),"Very Good")</f>
        <v>Very Good</v>
      </c>
      <c r="Z528" t="str">
        <f>IFERROR(__xludf.DUMMYFUNCTION("""COMPUTED_VALUE"""),"Excellent")</f>
        <v>Excellent</v>
      </c>
      <c r="AA528" t="str">
        <f>IFERROR(__xludf.DUMMYFUNCTION("""COMPUTED_VALUE"""),"Good")</f>
        <v>Good</v>
      </c>
      <c r="AB528" t="str">
        <f>IFERROR(__xludf.DUMMYFUNCTION("""COMPUTED_VALUE"""),"Excellent")</f>
        <v>Excellent</v>
      </c>
      <c r="AC528">
        <f>IFERROR(__xludf.DUMMYFUNCTION("""COMPUTED_VALUE"""),2.0)</f>
        <v>2</v>
      </c>
      <c r="AH528" s="189">
        <f>IFERROR(__xludf.DUMMYFUNCTION("""COMPUTED_VALUE"""),43339.55850190972)</f>
        <v>43339.5585</v>
      </c>
    </row>
    <row r="529">
      <c r="A529" t="str">
        <f>IFERROR(__xludf.DUMMYFUNCTION("""COMPUTED_VALUE"""),"nmm34")</f>
        <v>nmm34</v>
      </c>
      <c r="B529" t="str">
        <f>IFERROR(__xludf.DUMMYFUNCTION("""COMPUTED_VALUE"""),"Houston")</f>
        <v>Houston</v>
      </c>
      <c r="C529" t="str">
        <f>IFERROR(__xludf.DUMMYFUNCTION("""COMPUTED_VALUE"""),"TX")</f>
        <v>TX</v>
      </c>
      <c r="D529" t="str">
        <f>IFERROR(__xludf.DUMMYFUNCTION("""COMPUTED_VALUE"""),"USA")</f>
        <v>USA</v>
      </c>
      <c r="E529" s="188">
        <f>IFERROR(__xludf.DUMMYFUNCTION("""COMPUTED_VALUE"""),43281.0)</f>
        <v>43281</v>
      </c>
      <c r="F529" s="188">
        <f>IFERROR(__xludf.DUMMYFUNCTION("""COMPUTED_VALUE"""),43300.0)</f>
        <v>43300</v>
      </c>
      <c r="H529">
        <f>IFERROR(__xludf.DUMMYFUNCTION("""COMPUTED_VALUE"""),57855.0)</f>
        <v>57855</v>
      </c>
      <c r="J529" s="5">
        <f>IFERROR(__xludf.DUMMYFUNCTION("""COMPUTED_VALUE"""),43335.0)</f>
        <v>43335</v>
      </c>
      <c r="K529">
        <f>IFERROR(__xludf.DUMMYFUNCTION("""COMPUTED_VALUE"""),19.0)</f>
        <v>19</v>
      </c>
      <c r="L529">
        <f>IFERROR(__xludf.DUMMYFUNCTION("""COMPUTED_VALUE"""),35.0)</f>
        <v>35</v>
      </c>
      <c r="M529">
        <f>IFERROR(__xludf.DUMMYFUNCTION("""COMPUTED_VALUE"""),54.0)</f>
        <v>54</v>
      </c>
      <c r="N529" t="str">
        <f>IFERROR(__xludf.DUMMYFUNCTION("""COMPUTED_VALUE"""),"Model 3 LR")</f>
        <v>Model 3 LR</v>
      </c>
      <c r="O529" t="str">
        <f>IFERROR(__xludf.DUMMYFUNCTION("""COMPUTED_VALUE"""),"Pearl White Multi-Coat")</f>
        <v>Pearl White Multi-Coat</v>
      </c>
      <c r="P529" t="str">
        <f>IFERROR(__xludf.DUMMYFUNCTION("""COMPUTED_VALUE"""),"19 inch Sport")</f>
        <v>19 inch Sport</v>
      </c>
      <c r="Q529" t="str">
        <f>IFERROR(__xludf.DUMMYFUNCTION("""COMPUTED_VALUE"""),"Black seats")</f>
        <v>Black seats</v>
      </c>
      <c r="R529" t="str">
        <f>IFERROR(__xludf.DUMMYFUNCTION("""COMPUTED_VALUE"""),"Enhanced Autopilot")</f>
        <v>Enhanced Autopilot</v>
      </c>
      <c r="X529" t="str">
        <f>IFERROR(__xludf.DUMMYFUNCTION("""COMPUTED_VALUE"""),"Excellent")</f>
        <v>Excellent</v>
      </c>
      <c r="Y529" t="str">
        <f>IFERROR(__xludf.DUMMYFUNCTION("""COMPUTED_VALUE"""),"Excellent")</f>
        <v>Excellent</v>
      </c>
      <c r="Z529" t="str">
        <f>IFERROR(__xludf.DUMMYFUNCTION("""COMPUTED_VALUE"""),"Excellent")</f>
        <v>Excellent</v>
      </c>
      <c r="AA529" t="str">
        <f>IFERROR(__xludf.DUMMYFUNCTION("""COMPUTED_VALUE"""),"Fair")</f>
        <v>Fair</v>
      </c>
      <c r="AB529" t="str">
        <f>IFERROR(__xludf.DUMMYFUNCTION("""COMPUTED_VALUE"""),"Excellent")</f>
        <v>Excellent</v>
      </c>
      <c r="AH529" s="189">
        <f>IFERROR(__xludf.DUMMYFUNCTION("""COMPUTED_VALUE"""),43339.68209834491)</f>
        <v>43339.6821</v>
      </c>
    </row>
    <row r="530">
      <c r="A530" t="str">
        <f>IFERROR(__xludf.DUMMYFUNCTION("""COMPUTED_VALUE"""),"navinsiri")</f>
        <v>navinsiri</v>
      </c>
      <c r="B530" t="str">
        <f>IFERROR(__xludf.DUMMYFUNCTION("""COMPUTED_VALUE"""),"Central NJ")</f>
        <v>Central NJ</v>
      </c>
      <c r="C530" t="str">
        <f>IFERROR(__xludf.DUMMYFUNCTION("""COMPUTED_VALUE"""),"NJ")</f>
        <v>NJ</v>
      </c>
      <c r="D530" t="str">
        <f>IFERROR(__xludf.DUMMYFUNCTION("""COMPUTED_VALUE"""),"USA")</f>
        <v>USA</v>
      </c>
      <c r="E530" s="188">
        <f>IFERROR(__xludf.DUMMYFUNCTION("""COMPUTED_VALUE"""),43325.0)</f>
        <v>43325</v>
      </c>
      <c r="F530" s="188">
        <f>IFERROR(__xludf.DUMMYFUNCTION("""COMPUTED_VALUE"""),43326.0)</f>
        <v>43326</v>
      </c>
      <c r="H530">
        <f>IFERROR(__xludf.DUMMYFUNCTION("""COMPUTED_VALUE"""),55220.0)</f>
        <v>55220</v>
      </c>
      <c r="J530" s="5">
        <f>IFERROR(__xludf.DUMMYFUNCTION("""COMPUTED_VALUE"""),43339.0)</f>
        <v>43339</v>
      </c>
      <c r="K530">
        <f>IFERROR(__xludf.DUMMYFUNCTION("""COMPUTED_VALUE"""),1.0)</f>
        <v>1</v>
      </c>
      <c r="L530">
        <f>IFERROR(__xludf.DUMMYFUNCTION("""COMPUTED_VALUE"""),13.0)</f>
        <v>13</v>
      </c>
      <c r="M530">
        <f>IFERROR(__xludf.DUMMYFUNCTION("""COMPUTED_VALUE"""),14.0)</f>
        <v>14</v>
      </c>
      <c r="N530" t="str">
        <f>IFERROR(__xludf.DUMMYFUNCTION("""COMPUTED_VALUE"""),"Model 3 Performance")</f>
        <v>Model 3 Performance</v>
      </c>
      <c r="O530" t="str">
        <f>IFERROR(__xludf.DUMMYFUNCTION("""COMPUTED_VALUE"""),"Midnight Silver Metallic")</f>
        <v>Midnight Silver Metallic</v>
      </c>
      <c r="P530" t="str">
        <f>IFERROR(__xludf.DUMMYFUNCTION("""COMPUTED_VALUE"""),"20 inch Sport")</f>
        <v>20 inch Sport</v>
      </c>
      <c r="Q530" t="str">
        <f>IFERROR(__xludf.DUMMYFUNCTION("""COMPUTED_VALUE"""),"White seats")</f>
        <v>White seats</v>
      </c>
      <c r="R530" t="str">
        <f>IFERROR(__xludf.DUMMYFUNCTION("""COMPUTED_VALUE"""),"Enhanced Autopilot")</f>
        <v>Enhanced Autopilot</v>
      </c>
      <c r="X530" t="str">
        <f>IFERROR(__xludf.DUMMYFUNCTION("""COMPUTED_VALUE"""),"Excellent")</f>
        <v>Excellent</v>
      </c>
      <c r="Y530" t="str">
        <f>IFERROR(__xludf.DUMMYFUNCTION("""COMPUTED_VALUE"""),"Excellent")</f>
        <v>Excellent</v>
      </c>
      <c r="Z530" t="str">
        <f>IFERROR(__xludf.DUMMYFUNCTION("""COMPUTED_VALUE"""),"Fair")</f>
        <v>Fair</v>
      </c>
      <c r="AA530" t="str">
        <f>IFERROR(__xludf.DUMMYFUNCTION("""COMPUTED_VALUE"""),"Excellent")</f>
        <v>Excellent</v>
      </c>
      <c r="AB530" t="str">
        <f>IFERROR(__xludf.DUMMYFUNCTION("""COMPUTED_VALUE"""),"Very Good")</f>
        <v>Very Good</v>
      </c>
      <c r="AH530" s="189">
        <f>IFERROR(__xludf.DUMMYFUNCTION("""COMPUTED_VALUE"""),43339.73103784722)</f>
        <v>43339.73104</v>
      </c>
    </row>
    <row r="531">
      <c r="A531" t="str">
        <f>IFERROR(__xludf.DUMMYFUNCTION("""COMPUTED_VALUE"""),"Imfallible")</f>
        <v>Imfallible</v>
      </c>
      <c r="B531" t="str">
        <f>IFERROR(__xludf.DUMMYFUNCTION("""COMPUTED_VALUE"""),"Los Angeles")</f>
        <v>Los Angeles</v>
      </c>
      <c r="C531" t="str">
        <f>IFERROR(__xludf.DUMMYFUNCTION("""COMPUTED_VALUE"""),"CA")</f>
        <v>CA</v>
      </c>
      <c r="D531" t="str">
        <f>IFERROR(__xludf.DUMMYFUNCTION("""COMPUTED_VALUE"""),"USA")</f>
        <v>USA</v>
      </c>
      <c r="E531" s="188">
        <f>IFERROR(__xludf.DUMMYFUNCTION("""COMPUTED_VALUE"""),43311.0)</f>
        <v>43311</v>
      </c>
      <c r="H531">
        <f>IFERROR(__xludf.DUMMYFUNCTION("""COMPUTED_VALUE"""),43255.0)</f>
        <v>43255</v>
      </c>
      <c r="I531" t="str">
        <f>IFERROR(__xludf.DUMMYFUNCTION("""COMPUTED_VALUE"""),"07/18")</f>
        <v>07/18</v>
      </c>
      <c r="J531" s="5">
        <f>IFERROR(__xludf.DUMMYFUNCTION("""COMPUTED_VALUE"""),43317.0)</f>
        <v>43317</v>
      </c>
      <c r="M531">
        <f>IFERROR(__xludf.DUMMYFUNCTION("""COMPUTED_VALUE"""),6.0)</f>
        <v>6</v>
      </c>
      <c r="N531" t="str">
        <f>IFERROR(__xludf.DUMMYFUNCTION("""COMPUTED_VALUE"""),"Model 3 LR")</f>
        <v>Model 3 LR</v>
      </c>
      <c r="O531" t="str">
        <f>IFERROR(__xludf.DUMMYFUNCTION("""COMPUTED_VALUE"""),"Deep Blue Metallic")</f>
        <v>Deep Blue Metallic</v>
      </c>
      <c r="P531" t="str">
        <f>IFERROR(__xludf.DUMMYFUNCTION("""COMPUTED_VALUE"""),"18 inch Aero")</f>
        <v>18 inch Aero</v>
      </c>
      <c r="Q531" t="str">
        <f>IFERROR(__xludf.DUMMYFUNCTION("""COMPUTED_VALUE"""),"Black seats")</f>
        <v>Black seats</v>
      </c>
      <c r="R531" t="str">
        <f>IFERROR(__xludf.DUMMYFUNCTION("""COMPUTED_VALUE"""),"Enhanced Autopilot")</f>
        <v>Enhanced Autopilot</v>
      </c>
      <c r="X531" t="str">
        <f>IFERROR(__xludf.DUMMYFUNCTION("""COMPUTED_VALUE"""),"Excellent")</f>
        <v>Excellent</v>
      </c>
      <c r="Y531" t="str">
        <f>IFERROR(__xludf.DUMMYFUNCTION("""COMPUTED_VALUE"""),"Excellent")</f>
        <v>Excellent</v>
      </c>
      <c r="Z531" t="str">
        <f>IFERROR(__xludf.DUMMYFUNCTION("""COMPUTED_VALUE"""),"Excellent")</f>
        <v>Excellent</v>
      </c>
      <c r="AA531" t="str">
        <f>IFERROR(__xludf.DUMMYFUNCTION("""COMPUTED_VALUE"""),"Good")</f>
        <v>Good</v>
      </c>
      <c r="AB531" t="str">
        <f>IFERROR(__xludf.DUMMYFUNCTION("""COMPUTED_VALUE"""),"Excellent")</f>
        <v>Excellent</v>
      </c>
      <c r="AC531">
        <f>IFERROR(__xludf.DUMMYFUNCTION("""COMPUTED_VALUE"""),0.0)</f>
        <v>0</v>
      </c>
      <c r="AD531">
        <f>IFERROR(__xludf.DUMMYFUNCTION("""COMPUTED_VALUE"""),0.0)</f>
        <v>0</v>
      </c>
      <c r="AE531">
        <f>IFERROR(__xludf.DUMMYFUNCTION("""COMPUTED_VALUE"""),0.0)</f>
        <v>0</v>
      </c>
      <c r="AH531" s="189">
        <f>IFERROR(__xludf.DUMMYFUNCTION("""COMPUTED_VALUE"""),43339.75827630787)</f>
        <v>43339.75828</v>
      </c>
    </row>
    <row r="532">
      <c r="A532" t="str">
        <f>IFERROR(__xludf.DUMMYFUNCTION("""COMPUTED_VALUE"""),"Scottman71")</f>
        <v>Scottman71</v>
      </c>
      <c r="B532" t="str">
        <f>IFERROR(__xludf.DUMMYFUNCTION("""COMPUTED_VALUE"""),"Los Angeles")</f>
        <v>Los Angeles</v>
      </c>
      <c r="C532" t="str">
        <f>IFERROR(__xludf.DUMMYFUNCTION("""COMPUTED_VALUE"""),"CA")</f>
        <v>CA</v>
      </c>
      <c r="D532" t="str">
        <f>IFERROR(__xludf.DUMMYFUNCTION("""COMPUTED_VALUE"""),"USA")</f>
        <v>USA</v>
      </c>
      <c r="E532" s="188">
        <f>IFERROR(__xludf.DUMMYFUNCTION("""COMPUTED_VALUE"""),43308.0)</f>
        <v>43308</v>
      </c>
      <c r="F532" s="188">
        <f>IFERROR(__xludf.DUMMYFUNCTION("""COMPUTED_VALUE"""),43313.0)</f>
        <v>43313</v>
      </c>
      <c r="H532">
        <f>IFERROR(__xludf.DUMMYFUNCTION("""COMPUTED_VALUE"""),57955.0)</f>
        <v>57955</v>
      </c>
      <c r="I532" t="str">
        <f>IFERROR(__xludf.DUMMYFUNCTION("""COMPUTED_VALUE"""),"08/18")</f>
        <v>08/18</v>
      </c>
      <c r="J532" s="5">
        <f>IFERROR(__xludf.DUMMYFUNCTION("""COMPUTED_VALUE"""),43324.0)</f>
        <v>43324</v>
      </c>
      <c r="K532">
        <f>IFERROR(__xludf.DUMMYFUNCTION("""COMPUTED_VALUE"""),5.0)</f>
        <v>5</v>
      </c>
      <c r="L532">
        <f>IFERROR(__xludf.DUMMYFUNCTION("""COMPUTED_VALUE"""),11.0)</f>
        <v>11</v>
      </c>
      <c r="M532">
        <f>IFERROR(__xludf.DUMMYFUNCTION("""COMPUTED_VALUE"""),16.0)</f>
        <v>16</v>
      </c>
      <c r="N532" t="str">
        <f>IFERROR(__xludf.DUMMYFUNCTION("""COMPUTED_VALUE"""),"Model 3 LR")</f>
        <v>Model 3 LR</v>
      </c>
      <c r="O532" t="str">
        <f>IFERROR(__xludf.DUMMYFUNCTION("""COMPUTED_VALUE"""),"Midnight Silver Metallic")</f>
        <v>Midnight Silver Metallic</v>
      </c>
      <c r="P532" t="str">
        <f>IFERROR(__xludf.DUMMYFUNCTION("""COMPUTED_VALUE"""),"18 inch Aero")</f>
        <v>18 inch Aero</v>
      </c>
      <c r="Q532" t="str">
        <f>IFERROR(__xludf.DUMMYFUNCTION("""COMPUTED_VALUE"""),"Black seats")</f>
        <v>Black seats</v>
      </c>
      <c r="R532" t="str">
        <f>IFERROR(__xludf.DUMMYFUNCTION("""COMPUTED_VALUE"""),"Enhanced Autopilot")</f>
        <v>Enhanced Autopilot</v>
      </c>
      <c r="X532" t="str">
        <f>IFERROR(__xludf.DUMMYFUNCTION("""COMPUTED_VALUE"""),"Excellent")</f>
        <v>Excellent</v>
      </c>
      <c r="Y532" t="str">
        <f>IFERROR(__xludf.DUMMYFUNCTION("""COMPUTED_VALUE"""),"Very Good")</f>
        <v>Very Good</v>
      </c>
      <c r="Z532" t="str">
        <f>IFERROR(__xludf.DUMMYFUNCTION("""COMPUTED_VALUE"""),"Very Good")</f>
        <v>Very Good</v>
      </c>
      <c r="AA532" t="str">
        <f>IFERROR(__xludf.DUMMYFUNCTION("""COMPUTED_VALUE"""),"Excellent")</f>
        <v>Excellent</v>
      </c>
      <c r="AB532" t="str">
        <f>IFERROR(__xludf.DUMMYFUNCTION("""COMPUTED_VALUE"""),"Excellent")</f>
        <v>Excellent</v>
      </c>
      <c r="AC532">
        <f>IFERROR(__xludf.DUMMYFUNCTION("""COMPUTED_VALUE"""),2.0)</f>
        <v>2</v>
      </c>
      <c r="AD532">
        <f>IFERROR(__xludf.DUMMYFUNCTION("""COMPUTED_VALUE"""),1.0)</f>
        <v>1</v>
      </c>
      <c r="AH532" s="189">
        <f>IFERROR(__xludf.DUMMYFUNCTION("""COMPUTED_VALUE"""),43339.83101365741)</f>
        <v>43339.83101</v>
      </c>
    </row>
    <row r="533">
      <c r="A533" t="str">
        <f>IFERROR(__xludf.DUMMYFUNCTION("""COMPUTED_VALUE"""),"gdwsk")</f>
        <v>gdwsk</v>
      </c>
      <c r="B533" t="str">
        <f>IFERROR(__xludf.DUMMYFUNCTION("""COMPUTED_VALUE"""),"Redondo Beach")</f>
        <v>Redondo Beach</v>
      </c>
      <c r="C533" t="str">
        <f>IFERROR(__xludf.DUMMYFUNCTION("""COMPUTED_VALUE"""),"CA")</f>
        <v>CA</v>
      </c>
      <c r="D533" t="str">
        <f>IFERROR(__xludf.DUMMYFUNCTION("""COMPUTED_VALUE"""),"USA")</f>
        <v>USA</v>
      </c>
      <c r="E533" s="188">
        <f>IFERROR(__xludf.DUMMYFUNCTION("""COMPUTED_VALUE"""),43200.0)</f>
        <v>43200</v>
      </c>
      <c r="F533" s="188">
        <f>IFERROR(__xludf.DUMMYFUNCTION("""COMPUTED_VALUE"""),43230.0)</f>
        <v>43230</v>
      </c>
      <c r="H533">
        <f>IFERROR(__xludf.DUMMYFUNCTION("""COMPUTED_VALUE"""),25925.0)</f>
        <v>25925</v>
      </c>
      <c r="I533" t="str">
        <f>IFERROR(__xludf.DUMMYFUNCTION("""COMPUTED_VALUE"""),"05/18")</f>
        <v>05/18</v>
      </c>
      <c r="J533" s="5">
        <f>IFERROR(__xludf.DUMMYFUNCTION("""COMPUTED_VALUE"""),43239.0)</f>
        <v>43239</v>
      </c>
      <c r="K533">
        <f>IFERROR(__xludf.DUMMYFUNCTION("""COMPUTED_VALUE"""),30.0)</f>
        <v>30</v>
      </c>
      <c r="L533">
        <f>IFERROR(__xludf.DUMMYFUNCTION("""COMPUTED_VALUE"""),9.0)</f>
        <v>9</v>
      </c>
      <c r="M533">
        <f>IFERROR(__xludf.DUMMYFUNCTION("""COMPUTED_VALUE"""),39.0)</f>
        <v>39</v>
      </c>
      <c r="N533" t="str">
        <f>IFERROR(__xludf.DUMMYFUNCTION("""COMPUTED_VALUE"""),"Model 3 LR")</f>
        <v>Model 3 LR</v>
      </c>
      <c r="O533" t="str">
        <f>IFERROR(__xludf.DUMMYFUNCTION("""COMPUTED_VALUE"""),"Red Multi-Coat")</f>
        <v>Red Multi-Coat</v>
      </c>
      <c r="P533" t="str">
        <f>IFERROR(__xludf.DUMMYFUNCTION("""COMPUTED_VALUE"""),"18 inch Aero")</f>
        <v>18 inch Aero</v>
      </c>
      <c r="Q533" t="str">
        <f>IFERROR(__xludf.DUMMYFUNCTION("""COMPUTED_VALUE"""),"Black seats")</f>
        <v>Black seats</v>
      </c>
      <c r="R533" t="str">
        <f>IFERROR(__xludf.DUMMYFUNCTION("""COMPUTED_VALUE"""),"Enhanced Autopilot")</f>
        <v>Enhanced Autopilot</v>
      </c>
      <c r="X533" t="str">
        <f>IFERROR(__xludf.DUMMYFUNCTION("""COMPUTED_VALUE"""),"Excellent")</f>
        <v>Excellent</v>
      </c>
      <c r="Y533" t="str">
        <f>IFERROR(__xludf.DUMMYFUNCTION("""COMPUTED_VALUE"""),"Excellent")</f>
        <v>Excellent</v>
      </c>
      <c r="Z533" t="str">
        <f>IFERROR(__xludf.DUMMYFUNCTION("""COMPUTED_VALUE"""),"Excellent")</f>
        <v>Excellent</v>
      </c>
      <c r="AA533" t="str">
        <f>IFERROR(__xludf.DUMMYFUNCTION("""COMPUTED_VALUE"""),"Poor")</f>
        <v>Poor</v>
      </c>
      <c r="AB533" t="str">
        <f>IFERROR(__xludf.DUMMYFUNCTION("""COMPUTED_VALUE"""),"Excellent")</f>
        <v>Excellent</v>
      </c>
      <c r="AC533">
        <f>IFERROR(__xludf.DUMMYFUNCTION("""COMPUTED_VALUE"""),0.0)</f>
        <v>0</v>
      </c>
      <c r="AD533">
        <f>IFERROR(__xludf.DUMMYFUNCTION("""COMPUTED_VALUE"""),1.0)</f>
        <v>1</v>
      </c>
      <c r="AE533">
        <f>IFERROR(__xludf.DUMMYFUNCTION("""COMPUTED_VALUE"""),1.0)</f>
        <v>1</v>
      </c>
      <c r="AH533" s="189">
        <f>IFERROR(__xludf.DUMMYFUNCTION("""COMPUTED_VALUE"""),43339.87591474537)</f>
        <v>43339.87591</v>
      </c>
    </row>
    <row r="534">
      <c r="A534" t="str">
        <f>IFERROR(__xludf.DUMMYFUNCTION("""COMPUTED_VALUE"""),"markdavisford")</f>
        <v>markdavisford</v>
      </c>
      <c r="B534" t="str">
        <f>IFERROR(__xludf.DUMMYFUNCTION("""COMPUTED_VALUE"""),"Denver")</f>
        <v>Denver</v>
      </c>
      <c r="C534" t="str">
        <f>IFERROR(__xludf.DUMMYFUNCTION("""COMPUTED_VALUE"""),"CO")</f>
        <v>CO</v>
      </c>
      <c r="D534" t="str">
        <f>IFERROR(__xludf.DUMMYFUNCTION("""COMPUTED_VALUE"""),"USA")</f>
        <v>USA</v>
      </c>
      <c r="E534" s="188">
        <f>IFERROR(__xludf.DUMMYFUNCTION("""COMPUTED_VALUE"""),43278.0)</f>
        <v>43278</v>
      </c>
      <c r="F534" s="188">
        <f>IFERROR(__xludf.DUMMYFUNCTION("""COMPUTED_VALUE"""),43332.0)</f>
        <v>43332</v>
      </c>
      <c r="H534">
        <f>IFERROR(__xludf.DUMMYFUNCTION("""COMPUTED_VALUE"""),64602.0)</f>
        <v>64602</v>
      </c>
      <c r="I534" t="str">
        <f>IFERROR(__xludf.DUMMYFUNCTION("""COMPUTED_VALUE"""),"08/18")</f>
        <v>08/18</v>
      </c>
      <c r="J534" s="5">
        <f>IFERROR(__xludf.DUMMYFUNCTION("""COMPUTED_VALUE"""),43339.0)</f>
        <v>43339</v>
      </c>
      <c r="K534">
        <f>IFERROR(__xludf.DUMMYFUNCTION("""COMPUTED_VALUE"""),54.0)</f>
        <v>54</v>
      </c>
      <c r="L534">
        <f>IFERROR(__xludf.DUMMYFUNCTION("""COMPUTED_VALUE"""),7.0)</f>
        <v>7</v>
      </c>
      <c r="M534">
        <f>IFERROR(__xludf.DUMMYFUNCTION("""COMPUTED_VALUE"""),61.0)</f>
        <v>61</v>
      </c>
      <c r="N534" t="str">
        <f>IFERROR(__xludf.DUMMYFUNCTION("""COMPUTED_VALUE"""),"Model 3 LR AWD")</f>
        <v>Model 3 LR AWD</v>
      </c>
      <c r="O534" t="str">
        <f>IFERROR(__xludf.DUMMYFUNCTION("""COMPUTED_VALUE"""),"Deep Blue Metallic")</f>
        <v>Deep Blue Metallic</v>
      </c>
      <c r="P534" t="str">
        <f>IFERROR(__xludf.DUMMYFUNCTION("""COMPUTED_VALUE"""),"18 inch Aero")</f>
        <v>18 inch Aero</v>
      </c>
      <c r="Q534" t="str">
        <f>IFERROR(__xludf.DUMMYFUNCTION("""COMPUTED_VALUE"""),"Black seats")</f>
        <v>Black seats</v>
      </c>
      <c r="R534" t="str">
        <f>IFERROR(__xludf.DUMMYFUNCTION("""COMPUTED_VALUE"""),"None")</f>
        <v>None</v>
      </c>
      <c r="X534" t="str">
        <f>IFERROR(__xludf.DUMMYFUNCTION("""COMPUTED_VALUE"""),"Very Good")</f>
        <v>Very Good</v>
      </c>
      <c r="Y534" t="str">
        <f>IFERROR(__xludf.DUMMYFUNCTION("""COMPUTED_VALUE"""),"Very Good")</f>
        <v>Very Good</v>
      </c>
      <c r="Z534" t="str">
        <f>IFERROR(__xludf.DUMMYFUNCTION("""COMPUTED_VALUE"""),"Excellent")</f>
        <v>Excellent</v>
      </c>
      <c r="AA534" t="str">
        <f>IFERROR(__xludf.DUMMYFUNCTION("""COMPUTED_VALUE"""),"Very Good")</f>
        <v>Very Good</v>
      </c>
      <c r="AB534" t="str">
        <f>IFERROR(__xludf.DUMMYFUNCTION("""COMPUTED_VALUE"""),"Very Good")</f>
        <v>Very Good</v>
      </c>
      <c r="AG534" t="str">
        <f>IFERROR(__xludf.DUMMYFUNCTION("""COMPUTED_VALUE"""),"AWD")</f>
        <v>AWD</v>
      </c>
      <c r="AH534" s="189">
        <f>IFERROR(__xludf.DUMMYFUNCTION("""COMPUTED_VALUE"""),43340.56008267361)</f>
        <v>43340.56008</v>
      </c>
    </row>
    <row r="535">
      <c r="A535" t="str">
        <f>IFERROR(__xludf.DUMMYFUNCTION("""COMPUTED_VALUE"""),"duc748")</f>
        <v>duc748</v>
      </c>
      <c r="B535" t="str">
        <f>IFERROR(__xludf.DUMMYFUNCTION("""COMPUTED_VALUE"""),"SF Bay Area")</f>
        <v>SF Bay Area</v>
      </c>
      <c r="C535" t="str">
        <f>IFERROR(__xludf.DUMMYFUNCTION("""COMPUTED_VALUE"""),"CA")</f>
        <v>CA</v>
      </c>
      <c r="D535" t="str">
        <f>IFERROR(__xludf.DUMMYFUNCTION("""COMPUTED_VALUE"""),"USA")</f>
        <v>USA</v>
      </c>
      <c r="E535" s="188">
        <f>IFERROR(__xludf.DUMMYFUNCTION("""COMPUTED_VALUE"""),43318.0)</f>
        <v>43318</v>
      </c>
      <c r="F535" s="188">
        <f>IFERROR(__xludf.DUMMYFUNCTION("""COMPUTED_VALUE"""),43337.0)</f>
        <v>43337</v>
      </c>
      <c r="I535" t="str">
        <f>IFERROR(__xludf.DUMMYFUNCTION("""COMPUTED_VALUE"""),"08/18")</f>
        <v>08/18</v>
      </c>
      <c r="J535" s="5">
        <f>IFERROR(__xludf.DUMMYFUNCTION("""COMPUTED_VALUE"""),43339.0)</f>
        <v>43339</v>
      </c>
      <c r="K535">
        <f>IFERROR(__xludf.DUMMYFUNCTION("""COMPUTED_VALUE"""),19.0)</f>
        <v>19</v>
      </c>
      <c r="L535">
        <f>IFERROR(__xludf.DUMMYFUNCTION("""COMPUTED_VALUE"""),2.0)</f>
        <v>2</v>
      </c>
      <c r="M535">
        <f>IFERROR(__xludf.DUMMYFUNCTION("""COMPUTED_VALUE"""),21.0)</f>
        <v>21</v>
      </c>
      <c r="N535" t="str">
        <f>IFERROR(__xludf.DUMMYFUNCTION("""COMPUTED_VALUE"""),"Model 3 Performance")</f>
        <v>Model 3 Performance</v>
      </c>
      <c r="O535" t="str">
        <f>IFERROR(__xludf.DUMMYFUNCTION("""COMPUTED_VALUE"""),"Midnight Silver Metallic")</f>
        <v>Midnight Silver Metallic</v>
      </c>
      <c r="P535" t="str">
        <f>IFERROR(__xludf.DUMMYFUNCTION("""COMPUTED_VALUE"""),"20 inch Sport")</f>
        <v>20 inch Sport</v>
      </c>
      <c r="Q535" t="str">
        <f>IFERROR(__xludf.DUMMYFUNCTION("""COMPUTED_VALUE"""),"Black seats")</f>
        <v>Black seats</v>
      </c>
      <c r="R535" t="str">
        <f>IFERROR(__xludf.DUMMYFUNCTION("""COMPUTED_VALUE"""),"Full Self-Driving")</f>
        <v>Full Self-Driving</v>
      </c>
      <c r="X535" t="str">
        <f>IFERROR(__xludf.DUMMYFUNCTION("""COMPUTED_VALUE"""),"Very Good")</f>
        <v>Very Good</v>
      </c>
      <c r="Y535" t="str">
        <f>IFERROR(__xludf.DUMMYFUNCTION("""COMPUTED_VALUE"""),"Excellent")</f>
        <v>Excellent</v>
      </c>
      <c r="Z535" t="str">
        <f>IFERROR(__xludf.DUMMYFUNCTION("""COMPUTED_VALUE"""),"Very Good")</f>
        <v>Very Good</v>
      </c>
      <c r="AA535" t="str">
        <f>IFERROR(__xludf.DUMMYFUNCTION("""COMPUTED_VALUE"""),"Excellent")</f>
        <v>Excellent</v>
      </c>
      <c r="AB535" t="str">
        <f>IFERROR(__xludf.DUMMYFUNCTION("""COMPUTED_VALUE"""),"Very Good")</f>
        <v>Very Good</v>
      </c>
      <c r="AC535">
        <f>IFERROR(__xludf.DUMMYFUNCTION("""COMPUTED_VALUE"""),2.0)</f>
        <v>2</v>
      </c>
      <c r="AH535" s="189">
        <f>IFERROR(__xludf.DUMMYFUNCTION("""COMPUTED_VALUE"""),43340.607242314814)</f>
        <v>43340.60724</v>
      </c>
    </row>
    <row r="536">
      <c r="A536" t="str">
        <f>IFERROR(__xludf.DUMMYFUNCTION("""COMPUTED_VALUE"""),"notatypicalengineer")</f>
        <v>notatypicalengineer</v>
      </c>
      <c r="C536" t="str">
        <f>IFERROR(__xludf.DUMMYFUNCTION("""COMPUTED_VALUE"""),"IN")</f>
        <v>IN</v>
      </c>
      <c r="D536" t="str">
        <f>IFERROR(__xludf.DUMMYFUNCTION("""COMPUTED_VALUE"""),"USA")</f>
        <v>USA</v>
      </c>
      <c r="E536" s="188">
        <f>IFERROR(__xludf.DUMMYFUNCTION("""COMPUTED_VALUE"""),43277.0)</f>
        <v>43277</v>
      </c>
      <c r="F536" s="188">
        <f>IFERROR(__xludf.DUMMYFUNCTION("""COMPUTED_VALUE"""),43291.0)</f>
        <v>43291</v>
      </c>
      <c r="H536">
        <f>IFERROR(__xludf.DUMMYFUNCTION("""COMPUTED_VALUE"""),32455.0)</f>
        <v>32455</v>
      </c>
      <c r="I536" t="str">
        <f>IFERROR(__xludf.DUMMYFUNCTION("""COMPUTED_VALUE"""),"06/18")</f>
        <v>06/18</v>
      </c>
      <c r="J536" s="5">
        <f>IFERROR(__xludf.DUMMYFUNCTION("""COMPUTED_VALUE"""),43329.0)</f>
        <v>43329</v>
      </c>
      <c r="K536">
        <f>IFERROR(__xludf.DUMMYFUNCTION("""COMPUTED_VALUE"""),14.0)</f>
        <v>14</v>
      </c>
      <c r="L536">
        <f>IFERROR(__xludf.DUMMYFUNCTION("""COMPUTED_VALUE"""),38.0)</f>
        <v>38</v>
      </c>
      <c r="M536">
        <f>IFERROR(__xludf.DUMMYFUNCTION("""COMPUTED_VALUE"""),52.0)</f>
        <v>52</v>
      </c>
      <c r="N536" t="str">
        <f>IFERROR(__xludf.DUMMYFUNCTION("""COMPUTED_VALUE"""),"Model 3 LR")</f>
        <v>Model 3 LR</v>
      </c>
      <c r="O536" t="str">
        <f>IFERROR(__xludf.DUMMYFUNCTION("""COMPUTED_VALUE"""),"Red Multi-Coat")</f>
        <v>Red Multi-Coat</v>
      </c>
      <c r="P536" t="str">
        <f>IFERROR(__xludf.DUMMYFUNCTION("""COMPUTED_VALUE"""),"18 inch Aero")</f>
        <v>18 inch Aero</v>
      </c>
      <c r="Q536" t="str">
        <f>IFERROR(__xludf.DUMMYFUNCTION("""COMPUTED_VALUE"""),"Black seats")</f>
        <v>Black seats</v>
      </c>
      <c r="R536" t="str">
        <f>IFERROR(__xludf.DUMMYFUNCTION("""COMPUTED_VALUE"""),"Enhanced Autopilot")</f>
        <v>Enhanced Autopilot</v>
      </c>
      <c r="X536" t="str">
        <f>IFERROR(__xludf.DUMMYFUNCTION("""COMPUTED_VALUE"""),"Excellent")</f>
        <v>Excellent</v>
      </c>
      <c r="Y536" t="str">
        <f>IFERROR(__xludf.DUMMYFUNCTION("""COMPUTED_VALUE"""),"Excellent")</f>
        <v>Excellent</v>
      </c>
      <c r="Z536" t="str">
        <f>IFERROR(__xludf.DUMMYFUNCTION("""COMPUTED_VALUE"""),"Excellent")</f>
        <v>Excellent</v>
      </c>
      <c r="AA536" t="str">
        <f>IFERROR(__xludf.DUMMYFUNCTION("""COMPUTED_VALUE"""),"Good")</f>
        <v>Good</v>
      </c>
      <c r="AB536" t="str">
        <f>IFERROR(__xludf.DUMMYFUNCTION("""COMPUTED_VALUE"""),"Fair")</f>
        <v>Fair</v>
      </c>
      <c r="AH536" s="189">
        <f>IFERROR(__xludf.DUMMYFUNCTION("""COMPUTED_VALUE"""),43340.65856003472)</f>
        <v>43340.65856</v>
      </c>
    </row>
    <row r="537">
      <c r="A537" t="str">
        <f>IFERROR(__xludf.DUMMYFUNCTION("""COMPUTED_VALUE"""),"Stream3")</f>
        <v>Stream3</v>
      </c>
      <c r="C537" t="str">
        <f>IFERROR(__xludf.DUMMYFUNCTION("""COMPUTED_VALUE"""),"OH")</f>
        <v>OH</v>
      </c>
      <c r="D537" t="str">
        <f>IFERROR(__xludf.DUMMYFUNCTION("""COMPUTED_VALUE"""),"USA")</f>
        <v>USA</v>
      </c>
      <c r="E537" s="188">
        <f>IFERROR(__xludf.DUMMYFUNCTION("""COMPUTED_VALUE"""),43280.0)</f>
        <v>43280</v>
      </c>
      <c r="F537" s="188">
        <f>IFERROR(__xludf.DUMMYFUNCTION("""COMPUTED_VALUE"""),43318.0)</f>
        <v>43318</v>
      </c>
      <c r="H537">
        <f>IFERROR(__xludf.DUMMYFUNCTION("""COMPUTED_VALUE"""),68555.0)</f>
        <v>68555</v>
      </c>
      <c r="J537" s="5">
        <f>IFERROR(__xludf.DUMMYFUNCTION("""COMPUTED_VALUE"""),43336.0)</f>
        <v>43336</v>
      </c>
      <c r="K537">
        <f>IFERROR(__xludf.DUMMYFUNCTION("""COMPUTED_VALUE"""),38.0)</f>
        <v>38</v>
      </c>
      <c r="L537">
        <f>IFERROR(__xludf.DUMMYFUNCTION("""COMPUTED_VALUE"""),18.0)</f>
        <v>18</v>
      </c>
      <c r="M537">
        <f>IFERROR(__xludf.DUMMYFUNCTION("""COMPUTED_VALUE"""),56.0)</f>
        <v>56</v>
      </c>
      <c r="N537" t="str">
        <f>IFERROR(__xludf.DUMMYFUNCTION("""COMPUTED_VALUE"""),"Model 3 LR AWD")</f>
        <v>Model 3 LR AWD</v>
      </c>
      <c r="O537" t="str">
        <f>IFERROR(__xludf.DUMMYFUNCTION("""COMPUTED_VALUE"""),"Midnight Silver Metallic")</f>
        <v>Midnight Silver Metallic</v>
      </c>
      <c r="P537" t="str">
        <f>IFERROR(__xludf.DUMMYFUNCTION("""COMPUTED_VALUE"""),"19 inch Sport")</f>
        <v>19 inch Sport</v>
      </c>
      <c r="Q537" t="str">
        <f>IFERROR(__xludf.DUMMYFUNCTION("""COMPUTED_VALUE"""),"Black seats")</f>
        <v>Black seats</v>
      </c>
      <c r="R537" t="str">
        <f>IFERROR(__xludf.DUMMYFUNCTION("""COMPUTED_VALUE"""),"None")</f>
        <v>None</v>
      </c>
      <c r="X537" t="str">
        <f>IFERROR(__xludf.DUMMYFUNCTION("""COMPUTED_VALUE"""),"Excellent")</f>
        <v>Excellent</v>
      </c>
      <c r="Y537" t="str">
        <f>IFERROR(__xludf.DUMMYFUNCTION("""COMPUTED_VALUE"""),"Excellent")</f>
        <v>Excellent</v>
      </c>
      <c r="Z537" t="str">
        <f>IFERROR(__xludf.DUMMYFUNCTION("""COMPUTED_VALUE"""),"Excellent")</f>
        <v>Excellent</v>
      </c>
      <c r="AA537" t="str">
        <f>IFERROR(__xludf.DUMMYFUNCTION("""COMPUTED_VALUE"""),"Excellent")</f>
        <v>Excellent</v>
      </c>
      <c r="AB537" t="str">
        <f>IFERROR(__xludf.DUMMYFUNCTION("""COMPUTED_VALUE"""),"Excellent")</f>
        <v>Excellent</v>
      </c>
      <c r="AH537" s="189">
        <f>IFERROR(__xludf.DUMMYFUNCTION("""COMPUTED_VALUE"""),43340.82168925926)</f>
        <v>43340.82169</v>
      </c>
    </row>
    <row r="538">
      <c r="A538" t="str">
        <f>IFERROR(__xludf.DUMMYFUNCTION("""COMPUTED_VALUE"""),"senaloyd")</f>
        <v>senaloyd</v>
      </c>
      <c r="B538" t="str">
        <f>IFERROR(__xludf.DUMMYFUNCTION("""COMPUTED_VALUE"""),"Carson City, NV")</f>
        <v>Carson City, NV</v>
      </c>
      <c r="C538" t="str">
        <f>IFERROR(__xludf.DUMMYFUNCTION("""COMPUTED_VALUE"""),"NV")</f>
        <v>NV</v>
      </c>
      <c r="D538" t="str">
        <f>IFERROR(__xludf.DUMMYFUNCTION("""COMPUTED_VALUE"""),"USA")</f>
        <v>USA</v>
      </c>
      <c r="E538" s="188">
        <f>IFERROR(__xludf.DUMMYFUNCTION("""COMPUTED_VALUE"""),43279.0)</f>
        <v>43279</v>
      </c>
      <c r="F538" s="188">
        <f>IFERROR(__xludf.DUMMYFUNCTION("""COMPUTED_VALUE"""),43334.0)</f>
        <v>43334</v>
      </c>
      <c r="H538">
        <f>IFERROR(__xludf.DUMMYFUNCTION("""COMPUTED_VALUE"""),64685.0)</f>
        <v>64685</v>
      </c>
      <c r="I538" t="str">
        <f>IFERROR(__xludf.DUMMYFUNCTION("""COMPUTED_VALUE"""),"08/18")</f>
        <v>08/18</v>
      </c>
      <c r="J538" s="5">
        <f>IFERROR(__xludf.DUMMYFUNCTION("""COMPUTED_VALUE"""),43340.0)</f>
        <v>43340</v>
      </c>
      <c r="K538">
        <f>IFERROR(__xludf.DUMMYFUNCTION("""COMPUTED_VALUE"""),55.0)</f>
        <v>55</v>
      </c>
      <c r="L538">
        <f>IFERROR(__xludf.DUMMYFUNCTION("""COMPUTED_VALUE"""),6.0)</f>
        <v>6</v>
      </c>
      <c r="M538">
        <f>IFERROR(__xludf.DUMMYFUNCTION("""COMPUTED_VALUE"""),61.0)</f>
        <v>61</v>
      </c>
      <c r="N538" t="str">
        <f>IFERROR(__xludf.DUMMYFUNCTION("""COMPUTED_VALUE"""),"Model 3 LR AWD")</f>
        <v>Model 3 LR AWD</v>
      </c>
      <c r="O538" t="str">
        <f>IFERROR(__xludf.DUMMYFUNCTION("""COMPUTED_VALUE"""),"Deep Blue Metallic")</f>
        <v>Deep Blue Metallic</v>
      </c>
      <c r="P538" t="str">
        <f>IFERROR(__xludf.DUMMYFUNCTION("""COMPUTED_VALUE"""),"18 inch Aero")</f>
        <v>18 inch Aero</v>
      </c>
      <c r="Q538" t="str">
        <f>IFERROR(__xludf.DUMMYFUNCTION("""COMPUTED_VALUE"""),"Black seats")</f>
        <v>Black seats</v>
      </c>
      <c r="R538" t="str">
        <f>IFERROR(__xludf.DUMMYFUNCTION("""COMPUTED_VALUE"""),"Full Self-Driving")</f>
        <v>Full Self-Driving</v>
      </c>
      <c r="X538" t="str">
        <f>IFERROR(__xludf.DUMMYFUNCTION("""COMPUTED_VALUE"""),"Very Good")</f>
        <v>Very Good</v>
      </c>
      <c r="Y538" t="str">
        <f>IFERROR(__xludf.DUMMYFUNCTION("""COMPUTED_VALUE"""),"Excellent")</f>
        <v>Excellent</v>
      </c>
      <c r="Z538" t="str">
        <f>IFERROR(__xludf.DUMMYFUNCTION("""COMPUTED_VALUE"""),"Very Good")</f>
        <v>Very Good</v>
      </c>
      <c r="AA538" t="str">
        <f>IFERROR(__xludf.DUMMYFUNCTION("""COMPUTED_VALUE"""),"Good")</f>
        <v>Good</v>
      </c>
      <c r="AB538" t="str">
        <f>IFERROR(__xludf.DUMMYFUNCTION("""COMPUTED_VALUE"""),"Very Good")</f>
        <v>Very Good</v>
      </c>
      <c r="AH538" s="189">
        <f>IFERROR(__xludf.DUMMYFUNCTION("""COMPUTED_VALUE"""),43340.84035746528)</f>
        <v>43340.84036</v>
      </c>
    </row>
    <row r="539">
      <c r="A539" t="str">
        <f>IFERROR(__xludf.DUMMYFUNCTION("""COMPUTED_VALUE"""),"RJKnees")</f>
        <v>RJKnees</v>
      </c>
      <c r="B539" t="str">
        <f>IFERROR(__xludf.DUMMYFUNCTION("""COMPUTED_VALUE"""),"Reno")</f>
        <v>Reno</v>
      </c>
      <c r="C539" t="str">
        <f>IFERROR(__xludf.DUMMYFUNCTION("""COMPUTED_VALUE"""),"NV")</f>
        <v>NV</v>
      </c>
      <c r="D539" t="str">
        <f>IFERROR(__xludf.DUMMYFUNCTION("""COMPUTED_VALUE"""),"USA")</f>
        <v>USA</v>
      </c>
      <c r="E539" s="188">
        <f>IFERROR(__xludf.DUMMYFUNCTION("""COMPUTED_VALUE"""),43279.0)</f>
        <v>43279</v>
      </c>
      <c r="F539" s="188">
        <f>IFERROR(__xludf.DUMMYFUNCTION("""COMPUTED_VALUE"""),43334.0)</f>
        <v>43334</v>
      </c>
      <c r="H539">
        <f>IFERROR(__xludf.DUMMYFUNCTION("""COMPUTED_VALUE"""),96506.0)</f>
        <v>96506</v>
      </c>
      <c r="J539" s="5">
        <f>IFERROR(__xludf.DUMMYFUNCTION("""COMPUTED_VALUE"""),43340.0)</f>
        <v>43340</v>
      </c>
      <c r="K539">
        <f>IFERROR(__xludf.DUMMYFUNCTION("""COMPUTED_VALUE"""),55.0)</f>
        <v>55</v>
      </c>
      <c r="L539">
        <f>IFERROR(__xludf.DUMMYFUNCTION("""COMPUTED_VALUE"""),6.0)</f>
        <v>6</v>
      </c>
      <c r="M539">
        <f>IFERROR(__xludf.DUMMYFUNCTION("""COMPUTED_VALUE"""),61.0)</f>
        <v>61</v>
      </c>
      <c r="N539" t="str">
        <f>IFERROR(__xludf.DUMMYFUNCTION("""COMPUTED_VALUE"""),"Model 3 LR AWD")</f>
        <v>Model 3 LR AWD</v>
      </c>
      <c r="O539" t="str">
        <f>IFERROR(__xludf.DUMMYFUNCTION("""COMPUTED_VALUE"""),"Deep Blue Metallic")</f>
        <v>Deep Blue Metallic</v>
      </c>
      <c r="P539" t="str">
        <f>IFERROR(__xludf.DUMMYFUNCTION("""COMPUTED_VALUE"""),"18 inch Aero")</f>
        <v>18 inch Aero</v>
      </c>
      <c r="Q539" t="str">
        <f>IFERROR(__xludf.DUMMYFUNCTION("""COMPUTED_VALUE"""),"White seats")</f>
        <v>White seats</v>
      </c>
      <c r="R539" t="str">
        <f>IFERROR(__xludf.DUMMYFUNCTION("""COMPUTED_VALUE"""),"Enhanced Autopilot")</f>
        <v>Enhanced Autopilot</v>
      </c>
      <c r="X539" t="str">
        <f>IFERROR(__xludf.DUMMYFUNCTION("""COMPUTED_VALUE"""),"Excellent")</f>
        <v>Excellent</v>
      </c>
      <c r="Y539" t="str">
        <f>IFERROR(__xludf.DUMMYFUNCTION("""COMPUTED_VALUE"""),"Excellent")</f>
        <v>Excellent</v>
      </c>
      <c r="Z539" t="str">
        <f>IFERROR(__xludf.DUMMYFUNCTION("""COMPUTED_VALUE"""),"Excellent")</f>
        <v>Excellent</v>
      </c>
      <c r="AA539" t="str">
        <f>IFERROR(__xludf.DUMMYFUNCTION("""COMPUTED_VALUE"""),"Good")</f>
        <v>Good</v>
      </c>
      <c r="AB539" t="str">
        <f>IFERROR(__xludf.DUMMYFUNCTION("""COMPUTED_VALUE"""),"Very Good")</f>
        <v>Very Good</v>
      </c>
      <c r="AH539" s="189">
        <f>IFERROR(__xludf.DUMMYFUNCTION("""COMPUTED_VALUE"""),43340.91970565972)</f>
        <v>43340.91971</v>
      </c>
    </row>
    <row r="540">
      <c r="A540" t="str">
        <f>IFERROR(__xludf.DUMMYFUNCTION("""COMPUTED_VALUE"""),"santxo")</f>
        <v>santxo</v>
      </c>
      <c r="B540" t="str">
        <f>IFERROR(__xludf.DUMMYFUNCTION("""COMPUTED_VALUE"""),"Redwood City")</f>
        <v>Redwood City</v>
      </c>
      <c r="C540" t="str">
        <f>IFERROR(__xludf.DUMMYFUNCTION("""COMPUTED_VALUE"""),"CA")</f>
        <v>CA</v>
      </c>
      <c r="D540" t="str">
        <f>IFERROR(__xludf.DUMMYFUNCTION("""COMPUTED_VALUE"""),"USA")</f>
        <v>USA</v>
      </c>
      <c r="E540" s="188">
        <f>IFERROR(__xludf.DUMMYFUNCTION("""COMPUTED_VALUE"""),43329.0)</f>
        <v>43329</v>
      </c>
      <c r="F540" s="188">
        <f>IFERROR(__xludf.DUMMYFUNCTION("""COMPUTED_VALUE"""),43335.0)</f>
        <v>43335</v>
      </c>
      <c r="H540">
        <f>IFERROR(__xludf.DUMMYFUNCTION("""COMPUTED_VALUE"""),50955.0)</f>
        <v>50955</v>
      </c>
      <c r="J540" s="5">
        <f>IFERROR(__xludf.DUMMYFUNCTION("""COMPUTED_VALUE"""),43340.0)</f>
        <v>43340</v>
      </c>
      <c r="K540">
        <f>IFERROR(__xludf.DUMMYFUNCTION("""COMPUTED_VALUE"""),6.0)</f>
        <v>6</v>
      </c>
      <c r="L540">
        <f>IFERROR(__xludf.DUMMYFUNCTION("""COMPUTED_VALUE"""),5.0)</f>
        <v>5</v>
      </c>
      <c r="M540">
        <f>IFERROR(__xludf.DUMMYFUNCTION("""COMPUTED_VALUE"""),11.0)</f>
        <v>11</v>
      </c>
      <c r="N540" t="str">
        <f>IFERROR(__xludf.DUMMYFUNCTION("""COMPUTED_VALUE"""),"Model 3 LR")</f>
        <v>Model 3 LR</v>
      </c>
      <c r="O540" t="str">
        <f>IFERROR(__xludf.DUMMYFUNCTION("""COMPUTED_VALUE"""),"Midnight Silver Metallic")</f>
        <v>Midnight Silver Metallic</v>
      </c>
      <c r="P540" t="str">
        <f>IFERROR(__xludf.DUMMYFUNCTION("""COMPUTED_VALUE"""),"18 inch Aero")</f>
        <v>18 inch Aero</v>
      </c>
      <c r="Q540" t="str">
        <f>IFERROR(__xludf.DUMMYFUNCTION("""COMPUTED_VALUE"""),"Black seats")</f>
        <v>Black seats</v>
      </c>
      <c r="R540" t="str">
        <f>IFERROR(__xludf.DUMMYFUNCTION("""COMPUTED_VALUE"""),"Enhanced Autopilot")</f>
        <v>Enhanced Autopilot</v>
      </c>
      <c r="X540" t="str">
        <f>IFERROR(__xludf.DUMMYFUNCTION("""COMPUTED_VALUE"""),"Excellent")</f>
        <v>Excellent</v>
      </c>
      <c r="Y540" t="str">
        <f>IFERROR(__xludf.DUMMYFUNCTION("""COMPUTED_VALUE"""),"Excellent")</f>
        <v>Excellent</v>
      </c>
      <c r="Z540" t="str">
        <f>IFERROR(__xludf.DUMMYFUNCTION("""COMPUTED_VALUE"""),"Excellent")</f>
        <v>Excellent</v>
      </c>
      <c r="AA540" t="str">
        <f>IFERROR(__xludf.DUMMYFUNCTION("""COMPUTED_VALUE"""),"Very Good")</f>
        <v>Very Good</v>
      </c>
      <c r="AB540" t="str">
        <f>IFERROR(__xludf.DUMMYFUNCTION("""COMPUTED_VALUE"""),"Excellent")</f>
        <v>Excellent</v>
      </c>
      <c r="AH540" s="189">
        <f>IFERROR(__xludf.DUMMYFUNCTION("""COMPUTED_VALUE"""),43340.96631236111)</f>
        <v>43340.96631</v>
      </c>
    </row>
    <row r="541">
      <c r="A541" t="str">
        <f>IFERROR(__xludf.DUMMYFUNCTION("""COMPUTED_VALUE"""),"Golfpilot")</f>
        <v>Golfpilot</v>
      </c>
      <c r="B541" t="str">
        <f>IFERROR(__xludf.DUMMYFUNCTION("""COMPUTED_VALUE"""),"Bay Area ")</f>
        <v>Bay Area </v>
      </c>
      <c r="C541" t="str">
        <f>IFERROR(__xludf.DUMMYFUNCTION("""COMPUTED_VALUE"""),"CA")</f>
        <v>CA</v>
      </c>
      <c r="D541" t="str">
        <f>IFERROR(__xludf.DUMMYFUNCTION("""COMPUTED_VALUE"""),"USA")</f>
        <v>USA</v>
      </c>
      <c r="E541" s="188">
        <f>IFERROR(__xludf.DUMMYFUNCTION("""COMPUTED_VALUE"""),43258.0)</f>
        <v>43258</v>
      </c>
      <c r="F541" s="188">
        <f>IFERROR(__xludf.DUMMYFUNCTION("""COMPUTED_VALUE"""),43338.0)</f>
        <v>43338</v>
      </c>
      <c r="H541">
        <f>IFERROR(__xludf.DUMMYFUNCTION("""COMPUTED_VALUE"""),67117.0)</f>
        <v>67117</v>
      </c>
      <c r="J541" s="5">
        <f>IFERROR(__xludf.DUMMYFUNCTION("""COMPUTED_VALUE"""),43340.0)</f>
        <v>43340</v>
      </c>
      <c r="K541">
        <f>IFERROR(__xludf.DUMMYFUNCTION("""COMPUTED_VALUE"""),80.0)</f>
        <v>80</v>
      </c>
      <c r="L541">
        <f>IFERROR(__xludf.DUMMYFUNCTION("""COMPUTED_VALUE"""),2.0)</f>
        <v>2</v>
      </c>
      <c r="M541">
        <f>IFERROR(__xludf.DUMMYFUNCTION("""COMPUTED_VALUE"""),82.0)</f>
        <v>82</v>
      </c>
      <c r="N541" t="str">
        <f>IFERROR(__xludf.DUMMYFUNCTION("""COMPUTED_VALUE"""),"Model 3 LR AWD")</f>
        <v>Model 3 LR AWD</v>
      </c>
      <c r="O541" t="str">
        <f>IFERROR(__xludf.DUMMYFUNCTION("""COMPUTED_VALUE"""),"Pearl White Multi-Coat")</f>
        <v>Pearl White Multi-Coat</v>
      </c>
      <c r="P541" t="str">
        <f>IFERROR(__xludf.DUMMYFUNCTION("""COMPUTED_VALUE"""),"18 inch Aero")</f>
        <v>18 inch Aero</v>
      </c>
      <c r="Q541" t="str">
        <f>IFERROR(__xludf.DUMMYFUNCTION("""COMPUTED_VALUE"""),"Black seats")</f>
        <v>Black seats</v>
      </c>
      <c r="R541" t="str">
        <f>IFERROR(__xludf.DUMMYFUNCTION("""COMPUTED_VALUE"""),"Enhanced Autopilot")</f>
        <v>Enhanced Autopilot</v>
      </c>
      <c r="X541" t="str">
        <f>IFERROR(__xludf.DUMMYFUNCTION("""COMPUTED_VALUE"""),"Very Good")</f>
        <v>Very Good</v>
      </c>
      <c r="Y541" t="str">
        <f>IFERROR(__xludf.DUMMYFUNCTION("""COMPUTED_VALUE"""),"Excellent")</f>
        <v>Excellent</v>
      </c>
      <c r="Z541" t="str">
        <f>IFERROR(__xludf.DUMMYFUNCTION("""COMPUTED_VALUE"""),"Very Good")</f>
        <v>Very Good</v>
      </c>
      <c r="AA541" t="str">
        <f>IFERROR(__xludf.DUMMYFUNCTION("""COMPUTED_VALUE"""),"Excellent")</f>
        <v>Excellent</v>
      </c>
      <c r="AB541" t="str">
        <f>IFERROR(__xludf.DUMMYFUNCTION("""COMPUTED_VALUE"""),"Good")</f>
        <v>Good</v>
      </c>
      <c r="AC541">
        <f>IFERROR(__xludf.DUMMYFUNCTION("""COMPUTED_VALUE"""),2.0)</f>
        <v>2</v>
      </c>
      <c r="AD541">
        <f>IFERROR(__xludf.DUMMYFUNCTION("""COMPUTED_VALUE"""),0.0)</f>
        <v>0</v>
      </c>
      <c r="AE541">
        <f>IFERROR(__xludf.DUMMYFUNCTION("""COMPUTED_VALUE"""),0.0)</f>
        <v>0</v>
      </c>
      <c r="AG541" t="str">
        <f>IFERROR(__xludf.DUMMYFUNCTION("""COMPUTED_VALUE"""),"Drove off lot with wrong car... lmao")</f>
        <v>Drove off lot with wrong car... lmao</v>
      </c>
      <c r="AH541" s="189">
        <f>IFERROR(__xludf.DUMMYFUNCTION("""COMPUTED_VALUE"""),43341.33905195602)</f>
        <v>43341.33905</v>
      </c>
    </row>
    <row r="542">
      <c r="A542" t="str">
        <f>IFERROR(__xludf.DUMMYFUNCTION("""COMPUTED_VALUE"""),"HughManatee")</f>
        <v>HughManatee</v>
      </c>
      <c r="B542" t="str">
        <f>IFERROR(__xludf.DUMMYFUNCTION("""COMPUTED_VALUE"""),"Saint Paul")</f>
        <v>Saint Paul</v>
      </c>
      <c r="C542" t="str">
        <f>IFERROR(__xludf.DUMMYFUNCTION("""COMPUTED_VALUE"""),"MN")</f>
        <v>MN</v>
      </c>
      <c r="D542" t="str">
        <f>IFERROR(__xludf.DUMMYFUNCTION("""COMPUTED_VALUE"""),"USA")</f>
        <v>USA</v>
      </c>
      <c r="E542" s="188">
        <f>IFERROR(__xludf.DUMMYFUNCTION("""COMPUTED_VALUE"""),43277.0)</f>
        <v>43277</v>
      </c>
      <c r="F542" s="188">
        <f>IFERROR(__xludf.DUMMYFUNCTION("""COMPUTED_VALUE"""),43320.0)</f>
        <v>43320</v>
      </c>
      <c r="H542">
        <f>IFERROR(__xludf.DUMMYFUNCTION("""COMPUTED_VALUE"""),70855.0)</f>
        <v>70855</v>
      </c>
      <c r="J542" s="5">
        <f>IFERROR(__xludf.DUMMYFUNCTION("""COMPUTED_VALUE"""),43340.0)</f>
        <v>43340</v>
      </c>
      <c r="K542">
        <f>IFERROR(__xludf.DUMMYFUNCTION("""COMPUTED_VALUE"""),43.0)</f>
        <v>43</v>
      </c>
      <c r="L542">
        <f>IFERROR(__xludf.DUMMYFUNCTION("""COMPUTED_VALUE"""),20.0)</f>
        <v>20</v>
      </c>
      <c r="M542">
        <f>IFERROR(__xludf.DUMMYFUNCTION("""COMPUTED_VALUE"""),63.0)</f>
        <v>63</v>
      </c>
      <c r="N542" t="str">
        <f>IFERROR(__xludf.DUMMYFUNCTION("""COMPUTED_VALUE"""),"Model 3 LR AWD")</f>
        <v>Model 3 LR AWD</v>
      </c>
      <c r="O542" t="str">
        <f>IFERROR(__xludf.DUMMYFUNCTION("""COMPUTED_VALUE"""),"Obsidian Black Metallic")</f>
        <v>Obsidian Black Metallic</v>
      </c>
      <c r="P542" t="str">
        <f>IFERROR(__xludf.DUMMYFUNCTION("""COMPUTED_VALUE"""),"18 inch Aero")</f>
        <v>18 inch Aero</v>
      </c>
      <c r="Q542" t="str">
        <f>IFERROR(__xludf.DUMMYFUNCTION("""COMPUTED_VALUE"""),"White seats")</f>
        <v>White seats</v>
      </c>
      <c r="R542" t="str">
        <f>IFERROR(__xludf.DUMMYFUNCTION("""COMPUTED_VALUE"""),"None")</f>
        <v>None</v>
      </c>
      <c r="X542" t="str">
        <f>IFERROR(__xludf.DUMMYFUNCTION("""COMPUTED_VALUE"""),"Excellent")</f>
        <v>Excellent</v>
      </c>
      <c r="Y542" t="str">
        <f>IFERROR(__xludf.DUMMYFUNCTION("""COMPUTED_VALUE"""),"Excellent")</f>
        <v>Excellent</v>
      </c>
      <c r="Z542" t="str">
        <f>IFERROR(__xludf.DUMMYFUNCTION("""COMPUTED_VALUE"""),"Excellent")</f>
        <v>Excellent</v>
      </c>
      <c r="AA542" t="str">
        <f>IFERROR(__xludf.DUMMYFUNCTION("""COMPUTED_VALUE"""),"Very Good")</f>
        <v>Very Good</v>
      </c>
      <c r="AB542" t="str">
        <f>IFERROR(__xludf.DUMMYFUNCTION("""COMPUTED_VALUE"""),"Excellent")</f>
        <v>Excellent</v>
      </c>
      <c r="AC542">
        <f>IFERROR(__xludf.DUMMYFUNCTION("""COMPUTED_VALUE"""),0.0)</f>
        <v>0</v>
      </c>
      <c r="AH542" s="189">
        <f>IFERROR(__xludf.DUMMYFUNCTION("""COMPUTED_VALUE"""),43341.35193396991)</f>
        <v>43341.35193</v>
      </c>
    </row>
    <row r="543">
      <c r="A543" t="str">
        <f>IFERROR(__xludf.DUMMYFUNCTION("""COMPUTED_VALUE"""),"bunhuns")</f>
        <v>bunhuns</v>
      </c>
      <c r="B543" t="str">
        <f>IFERROR(__xludf.DUMMYFUNCTION("""COMPUTED_VALUE"""),"Sandy Spring")</f>
        <v>Sandy Spring</v>
      </c>
      <c r="C543" t="str">
        <f>IFERROR(__xludf.DUMMYFUNCTION("""COMPUTED_VALUE"""),"MD")</f>
        <v>MD</v>
      </c>
      <c r="D543" t="str">
        <f>IFERROR(__xludf.DUMMYFUNCTION("""COMPUTED_VALUE"""),"USA")</f>
        <v>USA</v>
      </c>
      <c r="E543" s="188">
        <f>IFERROR(__xludf.DUMMYFUNCTION("""COMPUTED_VALUE"""),43322.0)</f>
        <v>43322</v>
      </c>
      <c r="F543" s="188">
        <f>IFERROR(__xludf.DUMMYFUNCTION("""COMPUTED_VALUE"""),43334.0)</f>
        <v>43334</v>
      </c>
      <c r="H543">
        <f>IFERROR(__xludf.DUMMYFUNCTION("""COMPUTED_VALUE"""),24955.0)</f>
        <v>24955</v>
      </c>
      <c r="I543" t="str">
        <f>IFERROR(__xludf.DUMMYFUNCTION("""COMPUTED_VALUE"""),"06/18")</f>
        <v>06/18</v>
      </c>
      <c r="J543" s="5">
        <f>IFERROR(__xludf.DUMMYFUNCTION("""COMPUTED_VALUE"""),43336.0)</f>
        <v>43336</v>
      </c>
      <c r="K543">
        <f>IFERROR(__xludf.DUMMYFUNCTION("""COMPUTED_VALUE"""),12.0)</f>
        <v>12</v>
      </c>
      <c r="L543">
        <f>IFERROR(__xludf.DUMMYFUNCTION("""COMPUTED_VALUE"""),2.0)</f>
        <v>2</v>
      </c>
      <c r="M543">
        <f>IFERROR(__xludf.DUMMYFUNCTION("""COMPUTED_VALUE"""),14.0)</f>
        <v>14</v>
      </c>
      <c r="N543" t="str">
        <f>IFERROR(__xludf.DUMMYFUNCTION("""COMPUTED_VALUE"""),"Model 3 LR")</f>
        <v>Model 3 LR</v>
      </c>
      <c r="O543" t="str">
        <f>IFERROR(__xludf.DUMMYFUNCTION("""COMPUTED_VALUE"""),"Deep Blue Metallic")</f>
        <v>Deep Blue Metallic</v>
      </c>
      <c r="P543" t="str">
        <f>IFERROR(__xludf.DUMMYFUNCTION("""COMPUTED_VALUE"""),"19 inch Sport")</f>
        <v>19 inch Sport</v>
      </c>
      <c r="Q543" t="str">
        <f>IFERROR(__xludf.DUMMYFUNCTION("""COMPUTED_VALUE"""),"Black seats")</f>
        <v>Black seats</v>
      </c>
      <c r="R543" t="str">
        <f>IFERROR(__xludf.DUMMYFUNCTION("""COMPUTED_VALUE"""),"Enhanced Autopilot")</f>
        <v>Enhanced Autopilot</v>
      </c>
      <c r="X543" t="str">
        <f>IFERROR(__xludf.DUMMYFUNCTION("""COMPUTED_VALUE"""),"Excellent")</f>
        <v>Excellent</v>
      </c>
      <c r="Y543" t="str">
        <f>IFERROR(__xludf.DUMMYFUNCTION("""COMPUTED_VALUE"""),"Excellent")</f>
        <v>Excellent</v>
      </c>
      <c r="Z543" t="str">
        <f>IFERROR(__xludf.DUMMYFUNCTION("""COMPUTED_VALUE"""),"Excellent")</f>
        <v>Excellent</v>
      </c>
      <c r="AA543" t="str">
        <f>IFERROR(__xludf.DUMMYFUNCTION("""COMPUTED_VALUE"""),"Good")</f>
        <v>Good</v>
      </c>
      <c r="AB543" t="str">
        <f>IFERROR(__xludf.DUMMYFUNCTION("""COMPUTED_VALUE"""),"Excellent")</f>
        <v>Excellent</v>
      </c>
      <c r="AH543" s="189">
        <f>IFERROR(__xludf.DUMMYFUNCTION("""COMPUTED_VALUE"""),43341.41858802083)</f>
        <v>43341.41859</v>
      </c>
    </row>
    <row r="544">
      <c r="A544" t="str">
        <f>IFERROR(__xludf.DUMMYFUNCTION("""COMPUTED_VALUE"""),"gurtburns")</f>
        <v>gurtburns</v>
      </c>
      <c r="B544" t="str">
        <f>IFERROR(__xludf.DUMMYFUNCTION("""COMPUTED_VALUE"""),"Pittsburgh")</f>
        <v>Pittsburgh</v>
      </c>
      <c r="C544" t="str">
        <f>IFERROR(__xludf.DUMMYFUNCTION("""COMPUTED_VALUE"""),"PA")</f>
        <v>PA</v>
      </c>
      <c r="D544" t="str">
        <f>IFERROR(__xludf.DUMMYFUNCTION("""COMPUTED_VALUE"""),"USA")</f>
        <v>USA</v>
      </c>
      <c r="E544" s="188">
        <f>IFERROR(__xludf.DUMMYFUNCTION("""COMPUTED_VALUE"""),43281.0)</f>
        <v>43281</v>
      </c>
      <c r="H544">
        <f>IFERROR(__xludf.DUMMYFUNCTION("""COMPUTED_VALUE"""),74455.0)</f>
        <v>74455</v>
      </c>
      <c r="I544" t="str">
        <f>IFERROR(__xludf.DUMMYFUNCTION("""COMPUTED_VALUE"""),"07/18")</f>
        <v>07/18</v>
      </c>
      <c r="J544" s="5">
        <f>IFERROR(__xludf.DUMMYFUNCTION("""COMPUTED_VALUE"""),43326.0)</f>
        <v>43326</v>
      </c>
      <c r="M544">
        <f>IFERROR(__xludf.DUMMYFUNCTION("""COMPUTED_VALUE"""),45.0)</f>
        <v>45</v>
      </c>
      <c r="N544" t="str">
        <f>IFERROR(__xludf.DUMMYFUNCTION("""COMPUTED_VALUE"""),"Model 3 Performance")</f>
        <v>Model 3 Performance</v>
      </c>
      <c r="O544" t="str">
        <f>IFERROR(__xludf.DUMMYFUNCTION("""COMPUTED_VALUE"""),"Midnight Silver Metallic")</f>
        <v>Midnight Silver Metallic</v>
      </c>
      <c r="P544" t="str">
        <f>IFERROR(__xludf.DUMMYFUNCTION("""COMPUTED_VALUE"""),"20 inch Sport")</f>
        <v>20 inch Sport</v>
      </c>
      <c r="Q544" t="str">
        <f>IFERROR(__xludf.DUMMYFUNCTION("""COMPUTED_VALUE"""),"White seats")</f>
        <v>White seats</v>
      </c>
      <c r="R544" t="str">
        <f>IFERROR(__xludf.DUMMYFUNCTION("""COMPUTED_VALUE"""),"Full Self-Driving")</f>
        <v>Full Self-Driving</v>
      </c>
      <c r="X544" t="str">
        <f>IFERROR(__xludf.DUMMYFUNCTION("""COMPUTED_VALUE"""),"Excellent")</f>
        <v>Excellent</v>
      </c>
      <c r="Y544" t="str">
        <f>IFERROR(__xludf.DUMMYFUNCTION("""COMPUTED_VALUE"""),"Excellent")</f>
        <v>Excellent</v>
      </c>
      <c r="Z544" t="str">
        <f>IFERROR(__xludf.DUMMYFUNCTION("""COMPUTED_VALUE"""),"Excellent")</f>
        <v>Excellent</v>
      </c>
      <c r="AA544" t="str">
        <f>IFERROR(__xludf.DUMMYFUNCTION("""COMPUTED_VALUE"""),"Excellent")</f>
        <v>Excellent</v>
      </c>
      <c r="AB544" t="str">
        <f>IFERROR(__xludf.DUMMYFUNCTION("""COMPUTED_VALUE"""),"Excellent")</f>
        <v>Excellent</v>
      </c>
      <c r="AC544">
        <f>IFERROR(__xludf.DUMMYFUNCTION("""COMPUTED_VALUE"""),3.0)</f>
        <v>3</v>
      </c>
      <c r="AD544">
        <f>IFERROR(__xludf.DUMMYFUNCTION("""COMPUTED_VALUE"""),2.0)</f>
        <v>2</v>
      </c>
      <c r="AE544">
        <f>IFERROR(__xludf.DUMMYFUNCTION("""COMPUTED_VALUE"""),2.0)</f>
        <v>2</v>
      </c>
      <c r="AH544" s="189">
        <f>IFERROR(__xludf.DUMMYFUNCTION("""COMPUTED_VALUE"""),43341.42738527778)</f>
        <v>43341.42739</v>
      </c>
    </row>
    <row r="545">
      <c r="A545" t="str">
        <f>IFERROR(__xludf.DUMMYFUNCTION("""COMPUTED_VALUE"""),"kristyOK")</f>
        <v>kristyOK</v>
      </c>
      <c r="B545" t="str">
        <f>IFERROR(__xludf.DUMMYFUNCTION("""COMPUTED_VALUE"""),"Oklahoma City")</f>
        <v>Oklahoma City</v>
      </c>
      <c r="C545" t="str">
        <f>IFERROR(__xludf.DUMMYFUNCTION("""COMPUTED_VALUE"""),"OK")</f>
        <v>OK</v>
      </c>
      <c r="D545" t="str">
        <f>IFERROR(__xludf.DUMMYFUNCTION("""COMPUTED_VALUE"""),"USA")</f>
        <v>USA</v>
      </c>
      <c r="E545" s="188">
        <f>IFERROR(__xludf.DUMMYFUNCTION("""COMPUTED_VALUE"""),43279.0)</f>
        <v>43279</v>
      </c>
      <c r="F545" s="188">
        <f>IFERROR(__xludf.DUMMYFUNCTION("""COMPUTED_VALUE"""),43333.0)</f>
        <v>43333</v>
      </c>
      <c r="H545">
        <f>IFERROR(__xludf.DUMMYFUNCTION("""COMPUTED_VALUE"""),96055.0)</f>
        <v>96055</v>
      </c>
      <c r="J545" s="5">
        <f>IFERROR(__xludf.DUMMYFUNCTION("""COMPUTED_VALUE"""),43354.0)</f>
        <v>43354</v>
      </c>
      <c r="K545">
        <f>IFERROR(__xludf.DUMMYFUNCTION("""COMPUTED_VALUE"""),54.0)</f>
        <v>54</v>
      </c>
      <c r="L545">
        <f>IFERROR(__xludf.DUMMYFUNCTION("""COMPUTED_VALUE"""),21.0)</f>
        <v>21</v>
      </c>
      <c r="M545">
        <f>IFERROR(__xludf.DUMMYFUNCTION("""COMPUTED_VALUE"""),75.0)</f>
        <v>75</v>
      </c>
      <c r="N545" t="str">
        <f>IFERROR(__xludf.DUMMYFUNCTION("""COMPUTED_VALUE"""),"Model 3 LR AWD")</f>
        <v>Model 3 LR AWD</v>
      </c>
      <c r="O545" t="str">
        <f>IFERROR(__xludf.DUMMYFUNCTION("""COMPUTED_VALUE"""),"Midnight Silver Metallic")</f>
        <v>Midnight Silver Metallic</v>
      </c>
      <c r="P545" t="str">
        <f>IFERROR(__xludf.DUMMYFUNCTION("""COMPUTED_VALUE"""),"18 inch Aero")</f>
        <v>18 inch Aero</v>
      </c>
      <c r="Q545" t="str">
        <f>IFERROR(__xludf.DUMMYFUNCTION("""COMPUTED_VALUE"""),"White seats")</f>
        <v>White seats</v>
      </c>
      <c r="R545" t="str">
        <f>IFERROR(__xludf.DUMMYFUNCTION("""COMPUTED_VALUE"""),"Enhanced Autopilot")</f>
        <v>Enhanced Autopilot</v>
      </c>
      <c r="AA545" t="str">
        <f>IFERROR(__xludf.DUMMYFUNCTION("""COMPUTED_VALUE"""),"Excellent")</f>
        <v>Excellent</v>
      </c>
      <c r="AH545" s="189">
        <f>IFERROR(__xludf.DUMMYFUNCTION("""COMPUTED_VALUE"""),43341.4639755324)</f>
        <v>43341.46398</v>
      </c>
    </row>
    <row r="546">
      <c r="A546" t="str">
        <f>IFERROR(__xludf.DUMMYFUNCTION("""COMPUTED_VALUE"""),"Fredbob711")</f>
        <v>Fredbob711</v>
      </c>
      <c r="B546" t="str">
        <f>IFERROR(__xludf.DUMMYFUNCTION("""COMPUTED_VALUE"""),"St. Louis")</f>
        <v>St. Louis</v>
      </c>
      <c r="C546" t="str">
        <f>IFERROR(__xludf.DUMMYFUNCTION("""COMPUTED_VALUE"""),"MO")</f>
        <v>MO</v>
      </c>
      <c r="D546" t="str">
        <f>IFERROR(__xludf.DUMMYFUNCTION("""COMPUTED_VALUE"""),"USA")</f>
        <v>USA</v>
      </c>
      <c r="E546" s="188">
        <f>IFERROR(__xludf.DUMMYFUNCTION("""COMPUTED_VALUE"""),43252.0)</f>
        <v>43252</v>
      </c>
      <c r="F546" s="188">
        <f>IFERROR(__xludf.DUMMYFUNCTION("""COMPUTED_VALUE"""),43307.0)</f>
        <v>43307</v>
      </c>
      <c r="H546">
        <f>IFERROR(__xludf.DUMMYFUNCTION("""COMPUTED_VALUE"""),65955.0)</f>
        <v>65955</v>
      </c>
      <c r="J546" s="5">
        <f>IFERROR(__xludf.DUMMYFUNCTION("""COMPUTED_VALUE"""),43333.0)</f>
        <v>43333</v>
      </c>
      <c r="K546">
        <f>IFERROR(__xludf.DUMMYFUNCTION("""COMPUTED_VALUE"""),55.0)</f>
        <v>55</v>
      </c>
      <c r="L546">
        <f>IFERROR(__xludf.DUMMYFUNCTION("""COMPUTED_VALUE"""),26.0)</f>
        <v>26</v>
      </c>
      <c r="M546">
        <f>IFERROR(__xludf.DUMMYFUNCTION("""COMPUTED_VALUE"""),81.0)</f>
        <v>81</v>
      </c>
      <c r="N546" t="str">
        <f>IFERROR(__xludf.DUMMYFUNCTION("""COMPUTED_VALUE"""),"Model 3 LR AWD")</f>
        <v>Model 3 LR AWD</v>
      </c>
      <c r="O546" t="str">
        <f>IFERROR(__xludf.DUMMYFUNCTION("""COMPUTED_VALUE"""),"Midnight Silver Metallic")</f>
        <v>Midnight Silver Metallic</v>
      </c>
      <c r="P546" t="str">
        <f>IFERROR(__xludf.DUMMYFUNCTION("""COMPUTED_VALUE"""),"18 inch Aero")</f>
        <v>18 inch Aero</v>
      </c>
      <c r="Q546" t="str">
        <f>IFERROR(__xludf.DUMMYFUNCTION("""COMPUTED_VALUE"""),"Black seats")</f>
        <v>Black seats</v>
      </c>
      <c r="R546" t="str">
        <f>IFERROR(__xludf.DUMMYFUNCTION("""COMPUTED_VALUE"""),"None")</f>
        <v>None</v>
      </c>
      <c r="X546" t="str">
        <f>IFERROR(__xludf.DUMMYFUNCTION("""COMPUTED_VALUE"""),"Excellent")</f>
        <v>Excellent</v>
      </c>
      <c r="Y546" t="str">
        <f>IFERROR(__xludf.DUMMYFUNCTION("""COMPUTED_VALUE"""),"Excellent")</f>
        <v>Excellent</v>
      </c>
      <c r="Z546" t="str">
        <f>IFERROR(__xludf.DUMMYFUNCTION("""COMPUTED_VALUE"""),"Excellent")</f>
        <v>Excellent</v>
      </c>
      <c r="AA546" t="str">
        <f>IFERROR(__xludf.DUMMYFUNCTION("""COMPUTED_VALUE"""),"Very Good")</f>
        <v>Very Good</v>
      </c>
      <c r="AB546" t="str">
        <f>IFERROR(__xludf.DUMMYFUNCTION("""COMPUTED_VALUE"""),"Very Good")</f>
        <v>Very Good</v>
      </c>
      <c r="AH546" s="189">
        <f>IFERROR(__xludf.DUMMYFUNCTION("""COMPUTED_VALUE"""),43341.51813752315)</f>
        <v>43341.51814</v>
      </c>
    </row>
    <row r="547">
      <c r="A547" t="str">
        <f>IFERROR(__xludf.DUMMYFUNCTION("""COMPUTED_VALUE"""),"Jmmdownhil")</f>
        <v>Jmmdownhil</v>
      </c>
      <c r="B547" t="str">
        <f>IFERROR(__xludf.DUMMYFUNCTION("""COMPUTED_VALUE"""),"Chapel Hill")</f>
        <v>Chapel Hill</v>
      </c>
      <c r="C547" t="str">
        <f>IFERROR(__xludf.DUMMYFUNCTION("""COMPUTED_VALUE"""),"NC")</f>
        <v>NC</v>
      </c>
      <c r="D547" t="str">
        <f>IFERROR(__xludf.DUMMYFUNCTION("""COMPUTED_VALUE"""),"USA")</f>
        <v>USA</v>
      </c>
      <c r="E547" s="188">
        <f>IFERROR(__xludf.DUMMYFUNCTION("""COMPUTED_VALUE"""),43279.0)</f>
        <v>43279</v>
      </c>
      <c r="F547" s="188">
        <f>IFERROR(__xludf.DUMMYFUNCTION("""COMPUTED_VALUE"""),43283.0)</f>
        <v>43283</v>
      </c>
      <c r="H547">
        <f>IFERROR(__xludf.DUMMYFUNCTION("""COMPUTED_VALUE"""),42787.0)</f>
        <v>42787</v>
      </c>
      <c r="I547" t="str">
        <f>IFERROR(__xludf.DUMMYFUNCTION("""COMPUTED_VALUE"""),"06/18")</f>
        <v>06/18</v>
      </c>
      <c r="J547" s="5">
        <f>IFERROR(__xludf.DUMMYFUNCTION("""COMPUTED_VALUE"""),43337.0)</f>
        <v>43337</v>
      </c>
      <c r="K547">
        <f>IFERROR(__xludf.DUMMYFUNCTION("""COMPUTED_VALUE"""),4.0)</f>
        <v>4</v>
      </c>
      <c r="L547">
        <f>IFERROR(__xludf.DUMMYFUNCTION("""COMPUTED_VALUE"""),54.0)</f>
        <v>54</v>
      </c>
      <c r="M547">
        <f>IFERROR(__xludf.DUMMYFUNCTION("""COMPUTED_VALUE"""),58.0)</f>
        <v>58</v>
      </c>
      <c r="N547" t="str">
        <f>IFERROR(__xludf.DUMMYFUNCTION("""COMPUTED_VALUE"""),"Model 3 LR")</f>
        <v>Model 3 LR</v>
      </c>
      <c r="O547" t="str">
        <f>IFERROR(__xludf.DUMMYFUNCTION("""COMPUTED_VALUE"""),"Deep Blue Metallic")</f>
        <v>Deep Blue Metallic</v>
      </c>
      <c r="P547" t="str">
        <f>IFERROR(__xludf.DUMMYFUNCTION("""COMPUTED_VALUE"""),"19 inch Sport")</f>
        <v>19 inch Sport</v>
      </c>
      <c r="Q547" t="str">
        <f>IFERROR(__xludf.DUMMYFUNCTION("""COMPUTED_VALUE"""),"Black seats")</f>
        <v>Black seats</v>
      </c>
      <c r="R547" t="str">
        <f>IFERROR(__xludf.DUMMYFUNCTION("""COMPUTED_VALUE"""),"None")</f>
        <v>None</v>
      </c>
      <c r="X547" t="str">
        <f>IFERROR(__xludf.DUMMYFUNCTION("""COMPUTED_VALUE"""),"Excellent")</f>
        <v>Excellent</v>
      </c>
      <c r="Y547" t="str">
        <f>IFERROR(__xludf.DUMMYFUNCTION("""COMPUTED_VALUE"""),"Excellent")</f>
        <v>Excellent</v>
      </c>
      <c r="Z547" t="str">
        <f>IFERROR(__xludf.DUMMYFUNCTION("""COMPUTED_VALUE"""),"Excellent")</f>
        <v>Excellent</v>
      </c>
      <c r="AA547" t="str">
        <f>IFERROR(__xludf.DUMMYFUNCTION("""COMPUTED_VALUE"""),"Fair")</f>
        <v>Fair</v>
      </c>
      <c r="AB547" t="str">
        <f>IFERROR(__xludf.DUMMYFUNCTION("""COMPUTED_VALUE"""),"Excellent")</f>
        <v>Excellent</v>
      </c>
      <c r="AC547">
        <f>IFERROR(__xludf.DUMMYFUNCTION("""COMPUTED_VALUE"""),0.0)</f>
        <v>0</v>
      </c>
      <c r="AD547">
        <f>IFERROR(__xludf.DUMMYFUNCTION("""COMPUTED_VALUE"""),0.0)</f>
        <v>0</v>
      </c>
      <c r="AE547">
        <f>IFERROR(__xludf.DUMMYFUNCTION("""COMPUTED_VALUE"""),0.0)</f>
        <v>0</v>
      </c>
      <c r="AG547" t="str">
        <f>IFERROR(__xludf.DUMMYFUNCTION("""COMPUTED_VALUE"""),"Raleigh storage issues resulted in 2 cancelled delivery appointments.  Cars were diverted to Charlotte and had to then be transported to Raleigh when space (limited) was available. Many customers were, and still are, affected.")</f>
        <v>Raleigh storage issues resulted in 2 cancelled delivery appointments.  Cars were diverted to Charlotte and had to then be transported to Raleigh when space (limited) was available. Many customers were, and still are, affected.</v>
      </c>
      <c r="AH547" s="189">
        <f>IFERROR(__xludf.DUMMYFUNCTION("""COMPUTED_VALUE"""),43341.52577620371)</f>
        <v>43341.52578</v>
      </c>
    </row>
    <row r="548">
      <c r="A548" t="str">
        <f>IFERROR(__xludf.DUMMYFUNCTION("""COMPUTED_VALUE"""),"goochct")</f>
        <v>goochct</v>
      </c>
      <c r="B548" t="str">
        <f>IFERROR(__xludf.DUMMYFUNCTION("""COMPUTED_VALUE"""),"Calgary")</f>
        <v>Calgary</v>
      </c>
      <c r="C548" t="str">
        <f>IFERROR(__xludf.DUMMYFUNCTION("""COMPUTED_VALUE"""),"AB")</f>
        <v>AB</v>
      </c>
      <c r="D548" t="str">
        <f>IFERROR(__xludf.DUMMYFUNCTION("""COMPUTED_VALUE"""),"Canada")</f>
        <v>Canada</v>
      </c>
      <c r="E548" s="188">
        <f>IFERROR(__xludf.DUMMYFUNCTION("""COMPUTED_VALUE"""),43303.0)</f>
        <v>43303</v>
      </c>
      <c r="F548" s="188">
        <f>IFERROR(__xludf.DUMMYFUNCTION("""COMPUTED_VALUE"""),43334.0)</f>
        <v>43334</v>
      </c>
      <c r="H548">
        <f>IFERROR(__xludf.DUMMYFUNCTION("""COMPUTED_VALUE"""),95855.0)</f>
        <v>95855</v>
      </c>
      <c r="J548" s="5">
        <f>IFERROR(__xludf.DUMMYFUNCTION("""COMPUTED_VALUE"""),43341.0)</f>
        <v>43341</v>
      </c>
      <c r="K548">
        <f>IFERROR(__xludf.DUMMYFUNCTION("""COMPUTED_VALUE"""),31.0)</f>
        <v>31</v>
      </c>
      <c r="L548">
        <f>IFERROR(__xludf.DUMMYFUNCTION("""COMPUTED_VALUE"""),7.0)</f>
        <v>7</v>
      </c>
      <c r="M548">
        <f>IFERROR(__xludf.DUMMYFUNCTION("""COMPUTED_VALUE"""),38.0)</f>
        <v>38</v>
      </c>
      <c r="N548" t="str">
        <f>IFERROR(__xludf.DUMMYFUNCTION("""COMPUTED_VALUE"""),"Model 3 LR")</f>
        <v>Model 3 LR</v>
      </c>
      <c r="O548" t="str">
        <f>IFERROR(__xludf.DUMMYFUNCTION("""COMPUTED_VALUE"""),"Deep Blue Metallic")</f>
        <v>Deep Blue Metallic</v>
      </c>
      <c r="P548" t="str">
        <f>IFERROR(__xludf.DUMMYFUNCTION("""COMPUTED_VALUE"""),"19 inch Sport")</f>
        <v>19 inch Sport</v>
      </c>
      <c r="Q548" t="str">
        <f>IFERROR(__xludf.DUMMYFUNCTION("""COMPUTED_VALUE"""),"Black seats")</f>
        <v>Black seats</v>
      </c>
      <c r="R548" t="str">
        <f>IFERROR(__xludf.DUMMYFUNCTION("""COMPUTED_VALUE"""),"Enhanced Autopilot")</f>
        <v>Enhanced Autopilot</v>
      </c>
      <c r="X548" t="str">
        <f>IFERROR(__xludf.DUMMYFUNCTION("""COMPUTED_VALUE"""),"Very Good")</f>
        <v>Very Good</v>
      </c>
      <c r="Y548" t="str">
        <f>IFERROR(__xludf.DUMMYFUNCTION("""COMPUTED_VALUE"""),"Excellent")</f>
        <v>Excellent</v>
      </c>
      <c r="Z548" t="str">
        <f>IFERROR(__xludf.DUMMYFUNCTION("""COMPUTED_VALUE"""),"Good")</f>
        <v>Good</v>
      </c>
      <c r="AA548" t="str">
        <f>IFERROR(__xludf.DUMMYFUNCTION("""COMPUTED_VALUE"""),"Very Good")</f>
        <v>Very Good</v>
      </c>
      <c r="AB548" t="str">
        <f>IFERROR(__xludf.DUMMYFUNCTION("""COMPUTED_VALUE"""),"Excellent")</f>
        <v>Excellent</v>
      </c>
      <c r="AC548">
        <f>IFERROR(__xludf.DUMMYFUNCTION("""COMPUTED_VALUE"""),2.0)</f>
        <v>2</v>
      </c>
      <c r="AD548">
        <f>IFERROR(__xludf.DUMMYFUNCTION("""COMPUTED_VALUE"""),0.0)</f>
        <v>0</v>
      </c>
      <c r="AH548" s="189">
        <f>IFERROR(__xludf.DUMMYFUNCTION("""COMPUTED_VALUE"""),43341.56372751157)</f>
        <v>43341.56373</v>
      </c>
    </row>
    <row r="549">
      <c r="A549" t="str">
        <f>IFERROR(__xludf.DUMMYFUNCTION("""COMPUTED_VALUE"""),"rducpl (2)")</f>
        <v>rducpl (2)</v>
      </c>
      <c r="B549" t="str">
        <f>IFERROR(__xludf.DUMMYFUNCTION("""COMPUTED_VALUE"""),"Durham")</f>
        <v>Durham</v>
      </c>
      <c r="C549" t="str">
        <f>IFERROR(__xludf.DUMMYFUNCTION("""COMPUTED_VALUE"""),"NC")</f>
        <v>NC</v>
      </c>
      <c r="D549" t="str">
        <f>IFERROR(__xludf.DUMMYFUNCTION("""COMPUTED_VALUE"""),"USA")</f>
        <v>USA</v>
      </c>
      <c r="E549" s="188">
        <f>IFERROR(__xludf.DUMMYFUNCTION("""COMPUTED_VALUE"""),43309.0)</f>
        <v>43309</v>
      </c>
      <c r="F549" s="188">
        <f>IFERROR(__xludf.DUMMYFUNCTION("""COMPUTED_VALUE"""),43320.0)</f>
        <v>43320</v>
      </c>
      <c r="H549">
        <f>IFERROR(__xludf.DUMMYFUNCTION("""COMPUTED_VALUE"""),55755.0)</f>
        <v>55755</v>
      </c>
      <c r="I549" t="str">
        <f>IFERROR(__xludf.DUMMYFUNCTION("""COMPUTED_VALUE"""),"07/18")</f>
        <v>07/18</v>
      </c>
      <c r="J549" s="5">
        <f>IFERROR(__xludf.DUMMYFUNCTION("""COMPUTED_VALUE"""),43341.0)</f>
        <v>43341</v>
      </c>
      <c r="K549">
        <f>IFERROR(__xludf.DUMMYFUNCTION("""COMPUTED_VALUE"""),11.0)</f>
        <v>11</v>
      </c>
      <c r="L549">
        <f>IFERROR(__xludf.DUMMYFUNCTION("""COMPUTED_VALUE"""),21.0)</f>
        <v>21</v>
      </c>
      <c r="M549">
        <f>IFERROR(__xludf.DUMMYFUNCTION("""COMPUTED_VALUE"""),32.0)</f>
        <v>32</v>
      </c>
      <c r="N549" t="str">
        <f>IFERROR(__xludf.DUMMYFUNCTION("""COMPUTED_VALUE"""),"Model 3 Performance")</f>
        <v>Model 3 Performance</v>
      </c>
      <c r="O549" t="str">
        <f>IFERROR(__xludf.DUMMYFUNCTION("""COMPUTED_VALUE"""),"Pearl White Multi-Coat")</f>
        <v>Pearl White Multi-Coat</v>
      </c>
      <c r="P549" t="str">
        <f>IFERROR(__xludf.DUMMYFUNCTION("""COMPUTED_VALUE"""),"20 inch Sport")</f>
        <v>20 inch Sport</v>
      </c>
      <c r="Q549" t="str">
        <f>IFERROR(__xludf.DUMMYFUNCTION("""COMPUTED_VALUE"""),"White seats")</f>
        <v>White seats</v>
      </c>
      <c r="R549" t="str">
        <f>IFERROR(__xludf.DUMMYFUNCTION("""COMPUTED_VALUE"""),"Full Self-Driving")</f>
        <v>Full Self-Driving</v>
      </c>
      <c r="X549" t="str">
        <f>IFERROR(__xludf.DUMMYFUNCTION("""COMPUTED_VALUE"""),"Very Good")</f>
        <v>Very Good</v>
      </c>
      <c r="Y549" t="str">
        <f>IFERROR(__xludf.DUMMYFUNCTION("""COMPUTED_VALUE"""),"Excellent")</f>
        <v>Excellent</v>
      </c>
      <c r="Z549" t="str">
        <f>IFERROR(__xludf.DUMMYFUNCTION("""COMPUTED_VALUE"""),"Poor")</f>
        <v>Poor</v>
      </c>
      <c r="AA549" t="str">
        <f>IFERROR(__xludf.DUMMYFUNCTION("""COMPUTED_VALUE"""),"Fair")</f>
        <v>Fair</v>
      </c>
      <c r="AB549" t="str">
        <f>IFERROR(__xludf.DUMMYFUNCTION("""COMPUTED_VALUE"""),"Excellent")</f>
        <v>Excellent</v>
      </c>
      <c r="AH549" s="189">
        <f>IFERROR(__xludf.DUMMYFUNCTION("""COMPUTED_VALUE"""),43341.56968246528)</f>
        <v>43341.56968</v>
      </c>
    </row>
    <row r="550">
      <c r="A550" t="str">
        <f>IFERROR(__xludf.DUMMYFUNCTION("""COMPUTED_VALUE"""),"fourteenfour")</f>
        <v>fourteenfour</v>
      </c>
      <c r="B550" t="str">
        <f>IFERROR(__xludf.DUMMYFUNCTION("""COMPUTED_VALUE"""),"Dallas")</f>
        <v>Dallas</v>
      </c>
      <c r="C550" t="str">
        <f>IFERROR(__xludf.DUMMYFUNCTION("""COMPUTED_VALUE"""),"GA")</f>
        <v>GA</v>
      </c>
      <c r="D550" t="str">
        <f>IFERROR(__xludf.DUMMYFUNCTION("""COMPUTED_VALUE"""),"USA")</f>
        <v>USA</v>
      </c>
      <c r="E550" s="188">
        <f>IFERROR(__xludf.DUMMYFUNCTION("""COMPUTED_VALUE"""),43317.0)</f>
        <v>43317</v>
      </c>
      <c r="F550" s="188">
        <f>IFERROR(__xludf.DUMMYFUNCTION("""COMPUTED_VALUE"""),43313.0)</f>
        <v>43313</v>
      </c>
      <c r="H550" s="4">
        <f>IFERROR(__xludf.DUMMYFUNCTION("""COMPUTED_VALUE"""),59004.0)</f>
        <v>59004</v>
      </c>
      <c r="J550" s="5">
        <f>IFERROR(__xludf.DUMMYFUNCTION("""COMPUTED_VALUE"""),43341.0)</f>
        <v>43341</v>
      </c>
      <c r="L550">
        <f>IFERROR(__xludf.DUMMYFUNCTION("""COMPUTED_VALUE"""),28.0)</f>
        <v>28</v>
      </c>
      <c r="M550">
        <f>IFERROR(__xludf.DUMMYFUNCTION("""COMPUTED_VALUE"""),24.0)</f>
        <v>24</v>
      </c>
      <c r="N550" t="str">
        <f>IFERROR(__xludf.DUMMYFUNCTION("""COMPUTED_VALUE"""),"Model 3 LR")</f>
        <v>Model 3 LR</v>
      </c>
      <c r="O550" t="str">
        <f>IFERROR(__xludf.DUMMYFUNCTION("""COMPUTED_VALUE"""),"Deep Blue Metallic")</f>
        <v>Deep Blue Metallic</v>
      </c>
      <c r="P550" t="str">
        <f>IFERROR(__xludf.DUMMYFUNCTION("""COMPUTED_VALUE"""),"18 inch Aero")</f>
        <v>18 inch Aero</v>
      </c>
      <c r="Q550" t="str">
        <f>IFERROR(__xludf.DUMMYFUNCTION("""COMPUTED_VALUE"""),"Black seats")</f>
        <v>Black seats</v>
      </c>
      <c r="R550" t="str">
        <f>IFERROR(__xludf.DUMMYFUNCTION("""COMPUTED_VALUE"""),"Enhanced Autopilot")</f>
        <v>Enhanced Autopilot</v>
      </c>
      <c r="X550" t="str">
        <f>IFERROR(__xludf.DUMMYFUNCTION("""COMPUTED_VALUE"""),"Excellent")</f>
        <v>Excellent</v>
      </c>
      <c r="Y550" t="str">
        <f>IFERROR(__xludf.DUMMYFUNCTION("""COMPUTED_VALUE"""),"Excellent")</f>
        <v>Excellent</v>
      </c>
      <c r="Z550" t="str">
        <f>IFERROR(__xludf.DUMMYFUNCTION("""COMPUTED_VALUE"""),"Excellent")</f>
        <v>Excellent</v>
      </c>
      <c r="AA550" t="str">
        <f>IFERROR(__xludf.DUMMYFUNCTION("""COMPUTED_VALUE"""),"Very Good")</f>
        <v>Very Good</v>
      </c>
      <c r="AB550" t="str">
        <f>IFERROR(__xludf.DUMMYFUNCTION("""COMPUTED_VALUE"""),"Fair")</f>
        <v>Fair</v>
      </c>
      <c r="AC550">
        <f>IFERROR(__xludf.DUMMYFUNCTION("""COMPUTED_VALUE"""),0.0)</f>
        <v>0</v>
      </c>
      <c r="AD550">
        <f>IFERROR(__xludf.DUMMYFUNCTION("""COMPUTED_VALUE"""),0.0)</f>
        <v>0</v>
      </c>
      <c r="AE550">
        <f>IFERROR(__xludf.DUMMYFUNCTION("""COMPUTED_VALUE"""),0.0)</f>
        <v>0</v>
      </c>
      <c r="AG550" t="str">
        <f>IFERROR(__xludf.DUMMYFUNCTION("""COMPUTED_VALUE"""),"MVPA had wrong total, almost ended deal")</f>
        <v>MVPA had wrong total, almost ended deal</v>
      </c>
      <c r="AH550" s="189">
        <f>IFERROR(__xludf.DUMMYFUNCTION("""COMPUTED_VALUE"""),43341.66943722223)</f>
        <v>43341.66944</v>
      </c>
    </row>
    <row r="551">
      <c r="A551" t="str">
        <f>IFERROR(__xludf.DUMMYFUNCTION("""COMPUTED_VALUE"""),"rainbowsparklespeed")</f>
        <v>rainbowsparklespeed</v>
      </c>
      <c r="B551" t="str">
        <f>IFERROR(__xludf.DUMMYFUNCTION("""COMPUTED_VALUE"""),"denver")</f>
        <v>denver</v>
      </c>
      <c r="C551" t="str">
        <f>IFERROR(__xludf.DUMMYFUNCTION("""COMPUTED_VALUE"""),"CO")</f>
        <v>CO</v>
      </c>
      <c r="D551" t="str">
        <f>IFERROR(__xludf.DUMMYFUNCTION("""COMPUTED_VALUE"""),"USA")</f>
        <v>USA</v>
      </c>
      <c r="E551" s="188">
        <f>IFERROR(__xludf.DUMMYFUNCTION("""COMPUTED_VALUE"""),43277.0)</f>
        <v>43277</v>
      </c>
      <c r="F551" s="188">
        <f>IFERROR(__xludf.DUMMYFUNCTION("""COMPUTED_VALUE"""),43334.0)</f>
        <v>43334</v>
      </c>
      <c r="H551">
        <f>IFERROR(__xludf.DUMMYFUNCTION("""COMPUTED_VALUE"""),73455.0)</f>
        <v>73455</v>
      </c>
      <c r="J551" s="5">
        <f>IFERROR(__xludf.DUMMYFUNCTION("""COMPUTED_VALUE"""),43339.0)</f>
        <v>43339</v>
      </c>
      <c r="K551">
        <f>IFERROR(__xludf.DUMMYFUNCTION("""COMPUTED_VALUE"""),57.0)</f>
        <v>57</v>
      </c>
      <c r="L551">
        <f>IFERROR(__xludf.DUMMYFUNCTION("""COMPUTED_VALUE"""),5.0)</f>
        <v>5</v>
      </c>
      <c r="M551">
        <f>IFERROR(__xludf.DUMMYFUNCTION("""COMPUTED_VALUE"""),62.0)</f>
        <v>62</v>
      </c>
      <c r="N551" t="str">
        <f>IFERROR(__xludf.DUMMYFUNCTION("""COMPUTED_VALUE"""),"Model 3 Performance")</f>
        <v>Model 3 Performance</v>
      </c>
      <c r="O551" t="str">
        <f>IFERROR(__xludf.DUMMYFUNCTION("""COMPUTED_VALUE"""),"Deep Blue Metallic")</f>
        <v>Deep Blue Metallic</v>
      </c>
      <c r="P551" t="str">
        <f>IFERROR(__xludf.DUMMYFUNCTION("""COMPUTED_VALUE"""),"18 inch Aero")</f>
        <v>18 inch Aero</v>
      </c>
      <c r="Q551" t="str">
        <f>IFERROR(__xludf.DUMMYFUNCTION("""COMPUTED_VALUE"""),"Black seats")</f>
        <v>Black seats</v>
      </c>
      <c r="R551" t="str">
        <f>IFERROR(__xludf.DUMMYFUNCTION("""COMPUTED_VALUE"""),"Enhanced Autopilot")</f>
        <v>Enhanced Autopilot</v>
      </c>
      <c r="X551" t="str">
        <f>IFERROR(__xludf.DUMMYFUNCTION("""COMPUTED_VALUE"""),"Excellent")</f>
        <v>Excellent</v>
      </c>
      <c r="Y551" t="str">
        <f>IFERROR(__xludf.DUMMYFUNCTION("""COMPUTED_VALUE"""),"Excellent")</f>
        <v>Excellent</v>
      </c>
      <c r="Z551" t="str">
        <f>IFERROR(__xludf.DUMMYFUNCTION("""COMPUTED_VALUE"""),"Excellent")</f>
        <v>Excellent</v>
      </c>
      <c r="AA551" t="str">
        <f>IFERROR(__xludf.DUMMYFUNCTION("""COMPUTED_VALUE"""),"Very Good")</f>
        <v>Very Good</v>
      </c>
      <c r="AB551" t="str">
        <f>IFERROR(__xludf.DUMMYFUNCTION("""COMPUTED_VALUE"""),"Excellent")</f>
        <v>Excellent</v>
      </c>
      <c r="AC551">
        <f>IFERROR(__xludf.DUMMYFUNCTION("""COMPUTED_VALUE"""),0.0)</f>
        <v>0</v>
      </c>
      <c r="AD551">
        <f>IFERROR(__xludf.DUMMYFUNCTION("""COMPUTED_VALUE"""),0.0)</f>
        <v>0</v>
      </c>
      <c r="AE551">
        <f>IFERROR(__xludf.DUMMYFUNCTION("""COMPUTED_VALUE"""),0.0)</f>
        <v>0</v>
      </c>
      <c r="AH551" s="189">
        <f>IFERROR(__xludf.DUMMYFUNCTION("""COMPUTED_VALUE"""),43341.823563831014)</f>
        <v>43341.82356</v>
      </c>
    </row>
    <row r="552">
      <c r="A552" t="str">
        <f>IFERROR(__xludf.DUMMYFUNCTION("""COMPUTED_VALUE"""),"tp1996")</f>
        <v>tp1996</v>
      </c>
      <c r="B552" t="str">
        <f>IFERROR(__xludf.DUMMYFUNCTION("""COMPUTED_VALUE"""),"Cherry Hill")</f>
        <v>Cherry Hill</v>
      </c>
      <c r="C552" t="str">
        <f>IFERROR(__xludf.DUMMYFUNCTION("""COMPUTED_VALUE"""),"NJ")</f>
        <v>NJ</v>
      </c>
      <c r="D552" t="str">
        <f>IFERROR(__xludf.DUMMYFUNCTION("""COMPUTED_VALUE"""),"USA")</f>
        <v>USA</v>
      </c>
      <c r="E552" s="188">
        <f>IFERROR(__xludf.DUMMYFUNCTION("""COMPUTED_VALUE"""),43304.0)</f>
        <v>43304</v>
      </c>
      <c r="F552" s="188">
        <f>IFERROR(__xludf.DUMMYFUNCTION("""COMPUTED_VALUE"""),43322.0)</f>
        <v>43322</v>
      </c>
      <c r="H552">
        <f>IFERROR(__xludf.DUMMYFUNCTION("""COMPUTED_VALUE"""),66955.0)</f>
        <v>66955</v>
      </c>
      <c r="J552" s="5">
        <f>IFERROR(__xludf.DUMMYFUNCTION("""COMPUTED_VALUE"""),43341.0)</f>
        <v>43341</v>
      </c>
      <c r="K552">
        <f>IFERROR(__xludf.DUMMYFUNCTION("""COMPUTED_VALUE"""),18.0)</f>
        <v>18</v>
      </c>
      <c r="L552">
        <f>IFERROR(__xludf.DUMMYFUNCTION("""COMPUTED_VALUE"""),19.0)</f>
        <v>19</v>
      </c>
      <c r="M552">
        <f>IFERROR(__xludf.DUMMYFUNCTION("""COMPUTED_VALUE"""),37.0)</f>
        <v>37</v>
      </c>
      <c r="N552" t="str">
        <f>IFERROR(__xludf.DUMMYFUNCTION("""COMPUTED_VALUE"""),"Model 3 LR AWD")</f>
        <v>Model 3 LR AWD</v>
      </c>
      <c r="O552" t="str">
        <f>IFERROR(__xludf.DUMMYFUNCTION("""COMPUTED_VALUE"""),"Pearl White Multi-Coat")</f>
        <v>Pearl White Multi-Coat</v>
      </c>
      <c r="P552" t="str">
        <f>IFERROR(__xludf.DUMMYFUNCTION("""COMPUTED_VALUE"""),"18 inch Aero")</f>
        <v>18 inch Aero</v>
      </c>
      <c r="Q552" t="str">
        <f>IFERROR(__xludf.DUMMYFUNCTION("""COMPUTED_VALUE"""),"Black seats")</f>
        <v>Black seats</v>
      </c>
      <c r="R552" t="str">
        <f>IFERROR(__xludf.DUMMYFUNCTION("""COMPUTED_VALUE"""),"Enhanced Autopilot")</f>
        <v>Enhanced Autopilot</v>
      </c>
      <c r="X552" t="str">
        <f>IFERROR(__xludf.DUMMYFUNCTION("""COMPUTED_VALUE"""),"Excellent")</f>
        <v>Excellent</v>
      </c>
      <c r="Y552" t="str">
        <f>IFERROR(__xludf.DUMMYFUNCTION("""COMPUTED_VALUE"""),"Excellent")</f>
        <v>Excellent</v>
      </c>
      <c r="Z552" t="str">
        <f>IFERROR(__xludf.DUMMYFUNCTION("""COMPUTED_VALUE"""),"Good")</f>
        <v>Good</v>
      </c>
      <c r="AA552" t="str">
        <f>IFERROR(__xludf.DUMMYFUNCTION("""COMPUTED_VALUE"""),"Very Good")</f>
        <v>Very Good</v>
      </c>
      <c r="AB552" t="str">
        <f>IFERROR(__xludf.DUMMYFUNCTION("""COMPUTED_VALUE"""),"Excellent")</f>
        <v>Excellent</v>
      </c>
      <c r="AH552" s="189">
        <f>IFERROR(__xludf.DUMMYFUNCTION("""COMPUTED_VALUE"""),43341.86755542824)</f>
        <v>43341.86756</v>
      </c>
    </row>
    <row r="553">
      <c r="A553" t="str">
        <f>IFERROR(__xludf.DUMMYFUNCTION("""COMPUTED_VALUE"""),"Anonymous")</f>
        <v>Anonymous</v>
      </c>
      <c r="B553" t="str">
        <f>IFERROR(__xludf.DUMMYFUNCTION("""COMPUTED_VALUE"""),"Sunrise")</f>
        <v>Sunrise</v>
      </c>
      <c r="C553" t="str">
        <f>IFERROR(__xludf.DUMMYFUNCTION("""COMPUTED_VALUE"""),"FL")</f>
        <v>FL</v>
      </c>
      <c r="D553" t="str">
        <f>IFERROR(__xludf.DUMMYFUNCTION("""COMPUTED_VALUE"""),"USA")</f>
        <v>USA</v>
      </c>
      <c r="E553" s="188">
        <f>IFERROR(__xludf.DUMMYFUNCTION("""COMPUTED_VALUE"""),43279.0)</f>
        <v>43279</v>
      </c>
      <c r="F553" s="188">
        <f>IFERROR(__xludf.DUMMYFUNCTION("""COMPUTED_VALUE"""),43321.0)</f>
        <v>43321</v>
      </c>
      <c r="H553">
        <f>IFERROR(__xludf.DUMMYFUNCTION("""COMPUTED_VALUE"""),67555.0)</f>
        <v>67555</v>
      </c>
      <c r="J553" s="5">
        <f>IFERROR(__xludf.DUMMYFUNCTION("""COMPUTED_VALUE"""),43335.0)</f>
        <v>43335</v>
      </c>
      <c r="K553">
        <f>IFERROR(__xludf.DUMMYFUNCTION("""COMPUTED_VALUE"""),42.0)</f>
        <v>42</v>
      </c>
      <c r="L553">
        <f>IFERROR(__xludf.DUMMYFUNCTION("""COMPUTED_VALUE"""),14.0)</f>
        <v>14</v>
      </c>
      <c r="M553">
        <f>IFERROR(__xludf.DUMMYFUNCTION("""COMPUTED_VALUE"""),56.0)</f>
        <v>56</v>
      </c>
      <c r="N553" t="str">
        <f>IFERROR(__xludf.DUMMYFUNCTION("""COMPUTED_VALUE"""),"Model 3 LR AWD")</f>
        <v>Model 3 LR AWD</v>
      </c>
      <c r="O553" t="str">
        <f>IFERROR(__xludf.DUMMYFUNCTION("""COMPUTED_VALUE"""),"Pearl White Multi-Coat")</f>
        <v>Pearl White Multi-Coat</v>
      </c>
      <c r="P553" t="str">
        <f>IFERROR(__xludf.DUMMYFUNCTION("""COMPUTED_VALUE"""),"19 inch Sport")</f>
        <v>19 inch Sport</v>
      </c>
      <c r="Q553" t="str">
        <f>IFERROR(__xludf.DUMMYFUNCTION("""COMPUTED_VALUE"""),"Black seats")</f>
        <v>Black seats</v>
      </c>
      <c r="R553" t="str">
        <f>IFERROR(__xludf.DUMMYFUNCTION("""COMPUTED_VALUE"""),"None")</f>
        <v>None</v>
      </c>
      <c r="X553" t="str">
        <f>IFERROR(__xludf.DUMMYFUNCTION("""COMPUTED_VALUE"""),"Very Good")</f>
        <v>Very Good</v>
      </c>
      <c r="Y553" t="str">
        <f>IFERROR(__xludf.DUMMYFUNCTION("""COMPUTED_VALUE"""),"Excellent")</f>
        <v>Excellent</v>
      </c>
      <c r="Z553" t="str">
        <f>IFERROR(__xludf.DUMMYFUNCTION("""COMPUTED_VALUE"""),"Excellent")</f>
        <v>Excellent</v>
      </c>
      <c r="AA553" t="str">
        <f>IFERROR(__xludf.DUMMYFUNCTION("""COMPUTED_VALUE"""),"Good")</f>
        <v>Good</v>
      </c>
      <c r="AB553" t="str">
        <f>IFERROR(__xludf.DUMMYFUNCTION("""COMPUTED_VALUE"""),"Excellent")</f>
        <v>Excellent</v>
      </c>
      <c r="AC553">
        <f>IFERROR(__xludf.DUMMYFUNCTION("""COMPUTED_VALUE"""),1.0)</f>
        <v>1</v>
      </c>
      <c r="AD553">
        <f>IFERROR(__xludf.DUMMYFUNCTION("""COMPUTED_VALUE"""),0.0)</f>
        <v>0</v>
      </c>
      <c r="AE553">
        <f>IFERROR(__xludf.DUMMYFUNCTION("""COMPUTED_VALUE"""),0.0)</f>
        <v>0</v>
      </c>
      <c r="AG553" t="str">
        <f>IFERROR(__xludf.DUMMYFUNCTION("""COMPUTED_VALUE"""),"This car (spaceship?) is a dream!")</f>
        <v>This car (spaceship?) is a dream!</v>
      </c>
      <c r="AH553" s="189">
        <f>IFERROR(__xludf.DUMMYFUNCTION("""COMPUTED_VALUE"""),43341.87614295139)</f>
        <v>43341.87614</v>
      </c>
    </row>
    <row r="554">
      <c r="A554" t="str">
        <f>IFERROR(__xludf.DUMMYFUNCTION("""COMPUTED_VALUE"""),"Dunati")</f>
        <v>Dunati</v>
      </c>
      <c r="B554" t="str">
        <f>IFERROR(__xludf.DUMMYFUNCTION("""COMPUTED_VALUE"""),"Bellevue")</f>
        <v>Bellevue</v>
      </c>
      <c r="C554" t="str">
        <f>IFERROR(__xludf.DUMMYFUNCTION("""COMPUTED_VALUE"""),"WA")</f>
        <v>WA</v>
      </c>
      <c r="D554" t="str">
        <f>IFERROR(__xludf.DUMMYFUNCTION("""COMPUTED_VALUE"""),"USA")</f>
        <v>USA</v>
      </c>
      <c r="E554" s="188">
        <f>IFERROR(__xludf.DUMMYFUNCTION("""COMPUTED_VALUE"""),43289.0)</f>
        <v>43289</v>
      </c>
      <c r="F554" s="188">
        <f>IFERROR(__xludf.DUMMYFUNCTION("""COMPUTED_VALUE"""),43332.0)</f>
        <v>43332</v>
      </c>
      <c r="H554">
        <f>IFERROR(__xludf.DUMMYFUNCTION("""COMPUTED_VALUE"""),72455.0)</f>
        <v>72455</v>
      </c>
      <c r="J554" s="5">
        <f>IFERROR(__xludf.DUMMYFUNCTION("""COMPUTED_VALUE"""),43340.0)</f>
        <v>43340</v>
      </c>
      <c r="K554">
        <f>IFERROR(__xludf.DUMMYFUNCTION("""COMPUTED_VALUE"""),43.0)</f>
        <v>43</v>
      </c>
      <c r="L554">
        <f>IFERROR(__xludf.DUMMYFUNCTION("""COMPUTED_VALUE"""),8.0)</f>
        <v>8</v>
      </c>
      <c r="M554">
        <f>IFERROR(__xludf.DUMMYFUNCTION("""COMPUTED_VALUE"""),51.0)</f>
        <v>51</v>
      </c>
      <c r="N554" t="str">
        <f>IFERROR(__xludf.DUMMYFUNCTION("""COMPUTED_VALUE"""),"Model 3 Performance")</f>
        <v>Model 3 Performance</v>
      </c>
      <c r="O554" t="str">
        <f>IFERROR(__xludf.DUMMYFUNCTION("""COMPUTED_VALUE"""),"Solid Black")</f>
        <v>Solid Black</v>
      </c>
      <c r="P554" t="str">
        <f>IFERROR(__xludf.DUMMYFUNCTION("""COMPUTED_VALUE"""),"20 inch Sport")</f>
        <v>20 inch Sport</v>
      </c>
      <c r="Q554" t="str">
        <f>IFERROR(__xludf.DUMMYFUNCTION("""COMPUTED_VALUE"""),"Black seats")</f>
        <v>Black seats</v>
      </c>
      <c r="R554" t="str">
        <f>IFERROR(__xludf.DUMMYFUNCTION("""COMPUTED_VALUE"""),"Enhanced Autopilot")</f>
        <v>Enhanced Autopilot</v>
      </c>
      <c r="X554" t="str">
        <f>IFERROR(__xludf.DUMMYFUNCTION("""COMPUTED_VALUE"""),"Very Good")</f>
        <v>Very Good</v>
      </c>
      <c r="Y554" t="str">
        <f>IFERROR(__xludf.DUMMYFUNCTION("""COMPUTED_VALUE"""),"Very Good")</f>
        <v>Very Good</v>
      </c>
      <c r="Z554" t="str">
        <f>IFERROR(__xludf.DUMMYFUNCTION("""COMPUTED_VALUE"""),"Very Good")</f>
        <v>Very Good</v>
      </c>
      <c r="AA554" t="str">
        <f>IFERROR(__xludf.DUMMYFUNCTION("""COMPUTED_VALUE"""),"Fair")</f>
        <v>Fair</v>
      </c>
      <c r="AB554" t="str">
        <f>IFERROR(__xludf.DUMMYFUNCTION("""COMPUTED_VALUE"""),"Very Good")</f>
        <v>Very Good</v>
      </c>
      <c r="AH554" s="189">
        <f>IFERROR(__xludf.DUMMYFUNCTION("""COMPUTED_VALUE"""),43341.97071972222)</f>
        <v>43341.97072</v>
      </c>
    </row>
    <row r="555">
      <c r="A555" t="str">
        <f>IFERROR(__xludf.DUMMYFUNCTION("""COMPUTED_VALUE"""),"goodkol")</f>
        <v>goodkol</v>
      </c>
      <c r="B555" t="str">
        <f>IFERROR(__xludf.DUMMYFUNCTION("""COMPUTED_VALUE"""),"Indio")</f>
        <v>Indio</v>
      </c>
      <c r="C555" t="str">
        <f>IFERROR(__xludf.DUMMYFUNCTION("""COMPUTED_VALUE"""),"CA")</f>
        <v>CA</v>
      </c>
      <c r="D555" t="str">
        <f>IFERROR(__xludf.DUMMYFUNCTION("""COMPUTED_VALUE"""),"USA")</f>
        <v>USA</v>
      </c>
      <c r="E555" s="188">
        <f>IFERROR(__xludf.DUMMYFUNCTION("""COMPUTED_VALUE"""),43328.0)</f>
        <v>43328</v>
      </c>
      <c r="F555" s="188">
        <f>IFERROR(__xludf.DUMMYFUNCTION("""COMPUTED_VALUE"""),43329.0)</f>
        <v>43329</v>
      </c>
      <c r="H555">
        <f>IFERROR(__xludf.DUMMYFUNCTION("""COMPUTED_VALUE"""),79155.0)</f>
        <v>79155</v>
      </c>
      <c r="I555" t="str">
        <f>IFERROR(__xludf.DUMMYFUNCTION("""COMPUTED_VALUE"""),"08/18")</f>
        <v>08/18</v>
      </c>
      <c r="J555" s="5">
        <f>IFERROR(__xludf.DUMMYFUNCTION("""COMPUTED_VALUE"""),43341.0)</f>
        <v>43341</v>
      </c>
      <c r="K555">
        <f>IFERROR(__xludf.DUMMYFUNCTION("""COMPUTED_VALUE"""),1.0)</f>
        <v>1</v>
      </c>
      <c r="L555">
        <f>IFERROR(__xludf.DUMMYFUNCTION("""COMPUTED_VALUE"""),12.0)</f>
        <v>12</v>
      </c>
      <c r="M555">
        <f>IFERROR(__xludf.DUMMYFUNCTION("""COMPUTED_VALUE"""),13.0)</f>
        <v>13</v>
      </c>
      <c r="N555" t="str">
        <f>IFERROR(__xludf.DUMMYFUNCTION("""COMPUTED_VALUE"""),"Model 3 Performance")</f>
        <v>Model 3 Performance</v>
      </c>
      <c r="O555" t="str">
        <f>IFERROR(__xludf.DUMMYFUNCTION("""COMPUTED_VALUE"""),"Midnight Silver Metallic")</f>
        <v>Midnight Silver Metallic</v>
      </c>
      <c r="P555" t="str">
        <f>IFERROR(__xludf.DUMMYFUNCTION("""COMPUTED_VALUE"""),"20 inch Sport")</f>
        <v>20 inch Sport</v>
      </c>
      <c r="Q555" t="str">
        <f>IFERROR(__xludf.DUMMYFUNCTION("""COMPUTED_VALUE"""),"White seats")</f>
        <v>White seats</v>
      </c>
      <c r="R555" t="str">
        <f>IFERROR(__xludf.DUMMYFUNCTION("""COMPUTED_VALUE"""),"Full Self-Driving")</f>
        <v>Full Self-Driving</v>
      </c>
      <c r="X555" t="str">
        <f>IFERROR(__xludf.DUMMYFUNCTION("""COMPUTED_VALUE"""),"Excellent")</f>
        <v>Excellent</v>
      </c>
      <c r="Y555" t="str">
        <f>IFERROR(__xludf.DUMMYFUNCTION("""COMPUTED_VALUE"""),"Very Good")</f>
        <v>Very Good</v>
      </c>
      <c r="Z555" t="str">
        <f>IFERROR(__xludf.DUMMYFUNCTION("""COMPUTED_VALUE"""),"Very Good")</f>
        <v>Very Good</v>
      </c>
      <c r="AA555" t="str">
        <f>IFERROR(__xludf.DUMMYFUNCTION("""COMPUTED_VALUE"""),"Very Good")</f>
        <v>Very Good</v>
      </c>
      <c r="AB555" t="str">
        <f>IFERROR(__xludf.DUMMYFUNCTION("""COMPUTED_VALUE"""),"Very Good")</f>
        <v>Very Good</v>
      </c>
      <c r="AC555">
        <f>IFERROR(__xludf.DUMMYFUNCTION("""COMPUTED_VALUE"""),1.0)</f>
        <v>1</v>
      </c>
      <c r="AG555" t="str">
        <f>IFERROR(__xludf.DUMMYFUNCTION("""COMPUTED_VALUE"""),"Delivery called 8/23 to tell me there was some cosmetic issues with the charge port and they needed to keep it an extra day to fix.")</f>
        <v>Delivery called 8/23 to tell me there was some cosmetic issues with the charge port and they needed to keep it an extra day to fix.</v>
      </c>
      <c r="AH555" s="189">
        <f>IFERROR(__xludf.DUMMYFUNCTION("""COMPUTED_VALUE"""),43341.97611555556)</f>
        <v>43341.97612</v>
      </c>
    </row>
    <row r="556">
      <c r="A556" t="str">
        <f>IFERROR(__xludf.DUMMYFUNCTION("""COMPUTED_VALUE"""),"Arrewar")</f>
        <v>Arrewar</v>
      </c>
      <c r="B556" t="str">
        <f>IFERROR(__xludf.DUMMYFUNCTION("""COMPUTED_VALUE"""),"Los Angeles")</f>
        <v>Los Angeles</v>
      </c>
      <c r="C556" t="str">
        <f>IFERROR(__xludf.DUMMYFUNCTION("""COMPUTED_VALUE"""),"CA")</f>
        <v>CA</v>
      </c>
      <c r="D556" t="str">
        <f>IFERROR(__xludf.DUMMYFUNCTION("""COMPUTED_VALUE"""),"USA")</f>
        <v>USA</v>
      </c>
      <c r="E556" s="188">
        <f>IFERROR(__xludf.DUMMYFUNCTION("""COMPUTED_VALUE"""),43295.0)</f>
        <v>43295</v>
      </c>
      <c r="H556">
        <f>IFERROR(__xludf.DUMMYFUNCTION("""COMPUTED_VALUE"""),55025.0)</f>
        <v>55025</v>
      </c>
      <c r="J556" s="5">
        <f>IFERROR(__xludf.DUMMYFUNCTION("""COMPUTED_VALUE"""),43341.0)</f>
        <v>43341</v>
      </c>
      <c r="M556">
        <f>IFERROR(__xludf.DUMMYFUNCTION("""COMPUTED_VALUE"""),46.0)</f>
        <v>46</v>
      </c>
      <c r="N556" t="str">
        <f>IFERROR(__xludf.DUMMYFUNCTION("""COMPUTED_VALUE"""),"Model 3 LR AWD")</f>
        <v>Model 3 LR AWD</v>
      </c>
      <c r="O556" t="str">
        <f>IFERROR(__xludf.DUMMYFUNCTION("""COMPUTED_VALUE"""),"Red Multi-Coat")</f>
        <v>Red Multi-Coat</v>
      </c>
      <c r="P556" t="str">
        <f>IFERROR(__xludf.DUMMYFUNCTION("""COMPUTED_VALUE"""),"19 inch Sport")</f>
        <v>19 inch Sport</v>
      </c>
      <c r="Q556" t="str">
        <f>IFERROR(__xludf.DUMMYFUNCTION("""COMPUTED_VALUE"""),"Black seats")</f>
        <v>Black seats</v>
      </c>
      <c r="R556" t="str">
        <f>IFERROR(__xludf.DUMMYFUNCTION("""COMPUTED_VALUE"""),"Enhanced Autopilot")</f>
        <v>Enhanced Autopilot</v>
      </c>
      <c r="X556" t="str">
        <f>IFERROR(__xludf.DUMMYFUNCTION("""COMPUTED_VALUE"""),"Excellent")</f>
        <v>Excellent</v>
      </c>
      <c r="Y556" t="str">
        <f>IFERROR(__xludf.DUMMYFUNCTION("""COMPUTED_VALUE"""),"Excellent")</f>
        <v>Excellent</v>
      </c>
      <c r="Z556" t="str">
        <f>IFERROR(__xludf.DUMMYFUNCTION("""COMPUTED_VALUE"""),"Very Good")</f>
        <v>Very Good</v>
      </c>
      <c r="AA556" t="str">
        <f>IFERROR(__xludf.DUMMYFUNCTION("""COMPUTED_VALUE"""),"Excellent")</f>
        <v>Excellent</v>
      </c>
      <c r="AB556" t="str">
        <f>IFERROR(__xludf.DUMMYFUNCTION("""COMPUTED_VALUE"""),"Very Good")</f>
        <v>Very Good</v>
      </c>
      <c r="AH556" s="189">
        <f>IFERROR(__xludf.DUMMYFUNCTION("""COMPUTED_VALUE"""),43342.0637175)</f>
        <v>43342.06372</v>
      </c>
    </row>
    <row r="557">
      <c r="A557" t="str">
        <f>IFERROR(__xludf.DUMMYFUNCTION("""COMPUTED_VALUE"""),"Doley")</f>
        <v>Doley</v>
      </c>
      <c r="C557" t="str">
        <f>IFERROR(__xludf.DUMMYFUNCTION("""COMPUTED_VALUE"""),"MA")</f>
        <v>MA</v>
      </c>
      <c r="D557" t="str">
        <f>IFERROR(__xludf.DUMMYFUNCTION("""COMPUTED_VALUE"""),"USA")</f>
        <v>USA</v>
      </c>
      <c r="E557" s="188">
        <f>IFERROR(__xludf.DUMMYFUNCTION("""COMPUTED_VALUE"""),43277.0)</f>
        <v>43277</v>
      </c>
      <c r="F557" s="188">
        <f>IFERROR(__xludf.DUMMYFUNCTION("""COMPUTED_VALUE"""),43318.0)</f>
        <v>43318</v>
      </c>
      <c r="H557">
        <f>IFERROR(__xludf.DUMMYFUNCTION("""COMPUTED_VALUE"""),65455.0)</f>
        <v>65455</v>
      </c>
      <c r="J557" s="5">
        <f>IFERROR(__xludf.DUMMYFUNCTION("""COMPUTED_VALUE"""),43342.0)</f>
        <v>43342</v>
      </c>
      <c r="K557">
        <f>IFERROR(__xludf.DUMMYFUNCTION("""COMPUTED_VALUE"""),41.0)</f>
        <v>41</v>
      </c>
      <c r="L557">
        <f>IFERROR(__xludf.DUMMYFUNCTION("""COMPUTED_VALUE"""),24.0)</f>
        <v>24</v>
      </c>
      <c r="M557">
        <f>IFERROR(__xludf.DUMMYFUNCTION("""COMPUTED_VALUE"""),65.0)</f>
        <v>65</v>
      </c>
      <c r="N557" t="str">
        <f>IFERROR(__xludf.DUMMYFUNCTION("""COMPUTED_VALUE"""),"Model 3 LR AWD")</f>
        <v>Model 3 LR AWD</v>
      </c>
      <c r="O557" t="str">
        <f>IFERROR(__xludf.DUMMYFUNCTION("""COMPUTED_VALUE"""),"Red Multi-Coat")</f>
        <v>Red Multi-Coat</v>
      </c>
      <c r="P557" t="str">
        <f>IFERROR(__xludf.DUMMYFUNCTION("""COMPUTED_VALUE"""),"19 inch Sport")</f>
        <v>19 inch Sport</v>
      </c>
      <c r="Q557" t="str">
        <f>IFERROR(__xludf.DUMMYFUNCTION("""COMPUTED_VALUE"""),"Black seats")</f>
        <v>Black seats</v>
      </c>
      <c r="R557" t="str">
        <f>IFERROR(__xludf.DUMMYFUNCTION("""COMPUTED_VALUE"""),"Enhanced Autopilot")</f>
        <v>Enhanced Autopilot</v>
      </c>
      <c r="X557" t="str">
        <f>IFERROR(__xludf.DUMMYFUNCTION("""COMPUTED_VALUE"""),"Excellent")</f>
        <v>Excellent</v>
      </c>
      <c r="Y557" t="str">
        <f>IFERROR(__xludf.DUMMYFUNCTION("""COMPUTED_VALUE"""),"Excellent")</f>
        <v>Excellent</v>
      </c>
      <c r="Z557" t="str">
        <f>IFERROR(__xludf.DUMMYFUNCTION("""COMPUTED_VALUE"""),"Excellent")</f>
        <v>Excellent</v>
      </c>
      <c r="AA557" t="str">
        <f>IFERROR(__xludf.DUMMYFUNCTION("""COMPUTED_VALUE"""),"Fair")</f>
        <v>Fair</v>
      </c>
      <c r="AB557" t="str">
        <f>IFERROR(__xludf.DUMMYFUNCTION("""COMPUTED_VALUE"""),"Very Good")</f>
        <v>Very Good</v>
      </c>
      <c r="AH557" s="189">
        <f>IFERROR(__xludf.DUMMYFUNCTION("""COMPUTED_VALUE"""),43343.153201249996)</f>
        <v>43343.1532</v>
      </c>
    </row>
    <row r="558">
      <c r="A558" t="str">
        <f>IFERROR(__xludf.DUMMYFUNCTION("""COMPUTED_VALUE"""),"CarlSagan")</f>
        <v>CarlSagan</v>
      </c>
      <c r="B558" t="str">
        <f>IFERROR(__xludf.DUMMYFUNCTION("""COMPUTED_VALUE"""),"Boston")</f>
        <v>Boston</v>
      </c>
      <c r="C558" t="str">
        <f>IFERROR(__xludf.DUMMYFUNCTION("""COMPUTED_VALUE"""),"MA")</f>
        <v>MA</v>
      </c>
      <c r="D558" t="str">
        <f>IFERROR(__xludf.DUMMYFUNCTION("""COMPUTED_VALUE"""),"USA")</f>
        <v>USA</v>
      </c>
      <c r="E558" s="188">
        <f>IFERROR(__xludf.DUMMYFUNCTION("""COMPUTED_VALUE"""),43305.0)</f>
        <v>43305</v>
      </c>
      <c r="F558" s="188">
        <f>IFERROR(__xludf.DUMMYFUNCTION("""COMPUTED_VALUE"""),43320.0)</f>
        <v>43320</v>
      </c>
      <c r="H558">
        <f>IFERROR(__xludf.DUMMYFUNCTION("""COMPUTED_VALUE"""),56055.0)</f>
        <v>56055</v>
      </c>
      <c r="J558" s="5">
        <f>IFERROR(__xludf.DUMMYFUNCTION("""COMPUTED_VALUE"""),43341.0)</f>
        <v>43341</v>
      </c>
      <c r="K558">
        <f>IFERROR(__xludf.DUMMYFUNCTION("""COMPUTED_VALUE"""),15.0)</f>
        <v>15</v>
      </c>
      <c r="L558">
        <f>IFERROR(__xludf.DUMMYFUNCTION("""COMPUTED_VALUE"""),21.0)</f>
        <v>21</v>
      </c>
      <c r="M558">
        <f>IFERROR(__xludf.DUMMYFUNCTION("""COMPUTED_VALUE"""),36.0)</f>
        <v>36</v>
      </c>
      <c r="N558" t="str">
        <f>IFERROR(__xludf.DUMMYFUNCTION("""COMPUTED_VALUE"""),"Model 3 LR AWD")</f>
        <v>Model 3 LR AWD</v>
      </c>
      <c r="O558" t="str">
        <f>IFERROR(__xludf.DUMMYFUNCTION("""COMPUTED_VALUE"""),"Red Multi-Coat")</f>
        <v>Red Multi-Coat</v>
      </c>
      <c r="P558" t="str">
        <f>IFERROR(__xludf.DUMMYFUNCTION("""COMPUTED_VALUE"""),"18 inch Aero")</f>
        <v>18 inch Aero</v>
      </c>
      <c r="Q558" t="str">
        <f>IFERROR(__xludf.DUMMYFUNCTION("""COMPUTED_VALUE"""),"White seats")</f>
        <v>White seats</v>
      </c>
      <c r="R558" t="str">
        <f>IFERROR(__xludf.DUMMYFUNCTION("""COMPUTED_VALUE"""),"Enhanced Autopilot")</f>
        <v>Enhanced Autopilot</v>
      </c>
      <c r="X558" t="str">
        <f>IFERROR(__xludf.DUMMYFUNCTION("""COMPUTED_VALUE"""),"Excellent")</f>
        <v>Excellent</v>
      </c>
      <c r="Y558" t="str">
        <f>IFERROR(__xludf.DUMMYFUNCTION("""COMPUTED_VALUE"""),"Very Good")</f>
        <v>Very Good</v>
      </c>
      <c r="Z558" t="str">
        <f>IFERROR(__xludf.DUMMYFUNCTION("""COMPUTED_VALUE"""),"Good")</f>
        <v>Good</v>
      </c>
      <c r="AA558" t="str">
        <f>IFERROR(__xludf.DUMMYFUNCTION("""COMPUTED_VALUE"""),"Poor")</f>
        <v>Poor</v>
      </c>
      <c r="AB558" t="str">
        <f>IFERROR(__xludf.DUMMYFUNCTION("""COMPUTED_VALUE"""),"Excellent")</f>
        <v>Excellent</v>
      </c>
      <c r="AC558">
        <f>IFERROR(__xludf.DUMMYFUNCTION("""COMPUTED_VALUE"""),3.0)</f>
        <v>3</v>
      </c>
      <c r="AH558" s="189">
        <f>IFERROR(__xludf.DUMMYFUNCTION("""COMPUTED_VALUE"""),43343.23878568287)</f>
        <v>43343.23879</v>
      </c>
    </row>
    <row r="559">
      <c r="A559" t="str">
        <f>IFERROR(__xludf.DUMMYFUNCTION("""COMPUTED_VALUE"""),"gmtom1")</f>
        <v>gmtom1</v>
      </c>
      <c r="B559" t="str">
        <f>IFERROR(__xludf.DUMMYFUNCTION("""COMPUTED_VALUE"""),"Honolulu")</f>
        <v>Honolulu</v>
      </c>
      <c r="C559" t="str">
        <f>IFERROR(__xludf.DUMMYFUNCTION("""COMPUTED_VALUE"""),"HI")</f>
        <v>HI</v>
      </c>
      <c r="D559" t="str">
        <f>IFERROR(__xludf.DUMMYFUNCTION("""COMPUTED_VALUE"""),"USA")</f>
        <v>USA</v>
      </c>
      <c r="E559" s="188">
        <f>IFERROR(__xludf.DUMMYFUNCTION("""COMPUTED_VALUE"""),43277.0)</f>
        <v>43277</v>
      </c>
      <c r="F559" s="188">
        <f>IFERROR(__xludf.DUMMYFUNCTION("""COMPUTED_VALUE"""),43318.0)</f>
        <v>43318</v>
      </c>
      <c r="H559">
        <f>IFERROR(__xludf.DUMMYFUNCTION("""COMPUTED_VALUE"""),69255.0)</f>
        <v>69255</v>
      </c>
      <c r="I559" t="str">
        <f>IFERROR(__xludf.DUMMYFUNCTION("""COMPUTED_VALUE"""),"08/18")</f>
        <v>08/18</v>
      </c>
      <c r="J559" s="5">
        <f>IFERROR(__xludf.DUMMYFUNCTION("""COMPUTED_VALUE"""),43342.0)</f>
        <v>43342</v>
      </c>
      <c r="K559">
        <f>IFERROR(__xludf.DUMMYFUNCTION("""COMPUTED_VALUE"""),41.0)</f>
        <v>41</v>
      </c>
      <c r="L559">
        <f>IFERROR(__xludf.DUMMYFUNCTION("""COMPUTED_VALUE"""),24.0)</f>
        <v>24</v>
      </c>
      <c r="M559">
        <f>IFERROR(__xludf.DUMMYFUNCTION("""COMPUTED_VALUE"""),65.0)</f>
        <v>65</v>
      </c>
      <c r="N559" t="str">
        <f>IFERROR(__xludf.DUMMYFUNCTION("""COMPUTED_VALUE"""),"Model 3 LR AWD")</f>
        <v>Model 3 LR AWD</v>
      </c>
      <c r="O559" t="str">
        <f>IFERROR(__xludf.DUMMYFUNCTION("""COMPUTED_VALUE"""),"Silver Metallic")</f>
        <v>Silver Metallic</v>
      </c>
      <c r="P559" t="str">
        <f>IFERROR(__xludf.DUMMYFUNCTION("""COMPUTED_VALUE"""),"19 inch Sport")</f>
        <v>19 inch Sport</v>
      </c>
      <c r="Q559" t="str">
        <f>IFERROR(__xludf.DUMMYFUNCTION("""COMPUTED_VALUE"""),"Black seats")</f>
        <v>Black seats</v>
      </c>
      <c r="R559" t="str">
        <f>IFERROR(__xludf.DUMMYFUNCTION("""COMPUTED_VALUE"""),"Enhanced Autopilot")</f>
        <v>Enhanced Autopilot</v>
      </c>
      <c r="X559" t="str">
        <f>IFERROR(__xludf.DUMMYFUNCTION("""COMPUTED_VALUE"""),"Excellent")</f>
        <v>Excellent</v>
      </c>
      <c r="Y559" t="str">
        <f>IFERROR(__xludf.DUMMYFUNCTION("""COMPUTED_VALUE"""),"Excellent")</f>
        <v>Excellent</v>
      </c>
      <c r="Z559" t="str">
        <f>IFERROR(__xludf.DUMMYFUNCTION("""COMPUTED_VALUE"""),"Excellent")</f>
        <v>Excellent</v>
      </c>
      <c r="AA559" t="str">
        <f>IFERROR(__xludf.DUMMYFUNCTION("""COMPUTED_VALUE"""),"Good")</f>
        <v>Good</v>
      </c>
      <c r="AB559" t="str">
        <f>IFERROR(__xludf.DUMMYFUNCTION("""COMPUTED_VALUE"""),"Fair")</f>
        <v>Fair</v>
      </c>
      <c r="AC559">
        <f>IFERROR(__xludf.DUMMYFUNCTION("""COMPUTED_VALUE"""),2.0)</f>
        <v>2</v>
      </c>
      <c r="AH559" s="189">
        <f>IFERROR(__xludf.DUMMYFUNCTION("""COMPUTED_VALUE"""),43343.323073541666)</f>
        <v>43343.32307</v>
      </c>
    </row>
    <row r="560">
      <c r="A560" t="str">
        <f>IFERROR(__xludf.DUMMYFUNCTION("""COMPUTED_VALUE"""),"henrytsla")</f>
        <v>henrytsla</v>
      </c>
      <c r="C560" t="str">
        <f>IFERROR(__xludf.DUMMYFUNCTION("""COMPUTED_VALUE"""),"GA")</f>
        <v>GA</v>
      </c>
      <c r="D560" t="str">
        <f>IFERROR(__xludf.DUMMYFUNCTION("""COMPUTED_VALUE"""),"USA")</f>
        <v>USA</v>
      </c>
      <c r="E560" s="188">
        <f>IFERROR(__xludf.DUMMYFUNCTION("""COMPUTED_VALUE"""),43304.0)</f>
        <v>43304</v>
      </c>
      <c r="F560" s="188">
        <f>IFERROR(__xludf.DUMMYFUNCTION("""COMPUTED_VALUE"""),43306.0)</f>
        <v>43306</v>
      </c>
      <c r="H560">
        <f>IFERROR(__xludf.DUMMYFUNCTION("""COMPUTED_VALUE"""),45355.0)</f>
        <v>45355</v>
      </c>
      <c r="I560" t="str">
        <f>IFERROR(__xludf.DUMMYFUNCTION("""COMPUTED_VALUE"""),"07/18")</f>
        <v>07/18</v>
      </c>
      <c r="J560" s="5">
        <f>IFERROR(__xludf.DUMMYFUNCTION("""COMPUTED_VALUE"""),43332.0)</f>
        <v>43332</v>
      </c>
      <c r="K560">
        <f>IFERROR(__xludf.DUMMYFUNCTION("""COMPUTED_VALUE"""),2.0)</f>
        <v>2</v>
      </c>
      <c r="L560">
        <f>IFERROR(__xludf.DUMMYFUNCTION("""COMPUTED_VALUE"""),26.0)</f>
        <v>26</v>
      </c>
      <c r="M560">
        <f>IFERROR(__xludf.DUMMYFUNCTION("""COMPUTED_VALUE"""),28.0)</f>
        <v>28</v>
      </c>
      <c r="N560" t="str">
        <f>IFERROR(__xludf.DUMMYFUNCTION("""COMPUTED_VALUE"""),"Model 3 LR")</f>
        <v>Model 3 LR</v>
      </c>
      <c r="O560" t="str">
        <f>IFERROR(__xludf.DUMMYFUNCTION("""COMPUTED_VALUE"""),"Midnight Silver Metallic")</f>
        <v>Midnight Silver Metallic</v>
      </c>
      <c r="P560" t="str">
        <f>IFERROR(__xludf.DUMMYFUNCTION("""COMPUTED_VALUE"""),"18 inch Aero")</f>
        <v>18 inch Aero</v>
      </c>
      <c r="Q560" t="str">
        <f>IFERROR(__xludf.DUMMYFUNCTION("""COMPUTED_VALUE"""),"Black seats")</f>
        <v>Black seats</v>
      </c>
      <c r="R560" t="str">
        <f>IFERROR(__xludf.DUMMYFUNCTION("""COMPUTED_VALUE"""),"Enhanced Autopilot")</f>
        <v>Enhanced Autopilot</v>
      </c>
      <c r="X560" t="str">
        <f>IFERROR(__xludf.DUMMYFUNCTION("""COMPUTED_VALUE"""),"Good")</f>
        <v>Good</v>
      </c>
      <c r="Y560" t="str">
        <f>IFERROR(__xludf.DUMMYFUNCTION("""COMPUTED_VALUE"""),"Very Good")</f>
        <v>Very Good</v>
      </c>
      <c r="Z560" t="str">
        <f>IFERROR(__xludf.DUMMYFUNCTION("""COMPUTED_VALUE"""),"Very Good")</f>
        <v>Very Good</v>
      </c>
      <c r="AA560" t="str">
        <f>IFERROR(__xludf.DUMMYFUNCTION("""COMPUTED_VALUE"""),"Poor")</f>
        <v>Poor</v>
      </c>
      <c r="AB560" t="str">
        <f>IFERROR(__xludf.DUMMYFUNCTION("""COMPUTED_VALUE"""),"Good")</f>
        <v>Good</v>
      </c>
      <c r="AH560" s="189">
        <f>IFERROR(__xludf.DUMMYFUNCTION("""COMPUTED_VALUE"""),43343.33621704861)</f>
        <v>43343.33622</v>
      </c>
    </row>
    <row r="561">
      <c r="A561" t="str">
        <f>IFERROR(__xludf.DUMMYFUNCTION("""COMPUTED_VALUE"""),"gravedee")</f>
        <v>gravedee</v>
      </c>
      <c r="B561" t="str">
        <f>IFERROR(__xludf.DUMMYFUNCTION("""COMPUTED_VALUE"""),"Southern California")</f>
        <v>Southern California</v>
      </c>
      <c r="C561" t="str">
        <f>IFERROR(__xludf.DUMMYFUNCTION("""COMPUTED_VALUE"""),"CA")</f>
        <v>CA</v>
      </c>
      <c r="D561" t="str">
        <f>IFERROR(__xludf.DUMMYFUNCTION("""COMPUTED_VALUE"""),"USA")</f>
        <v>USA</v>
      </c>
      <c r="E561" s="188">
        <f>IFERROR(__xludf.DUMMYFUNCTION("""COMPUTED_VALUE"""),43305.0)</f>
        <v>43305</v>
      </c>
      <c r="F561" s="188">
        <f>IFERROR(__xludf.DUMMYFUNCTION("""COMPUTED_VALUE"""),43336.0)</f>
        <v>43336</v>
      </c>
      <c r="H561">
        <f>IFERROR(__xludf.DUMMYFUNCTION("""COMPUTED_VALUE"""),96655.0)</f>
        <v>96655</v>
      </c>
      <c r="I561" t="str">
        <f>IFERROR(__xludf.DUMMYFUNCTION("""COMPUTED_VALUE"""),"08/18")</f>
        <v>08/18</v>
      </c>
      <c r="J561" s="5">
        <f>IFERROR(__xludf.DUMMYFUNCTION("""COMPUTED_VALUE"""),43342.0)</f>
        <v>43342</v>
      </c>
      <c r="K561">
        <f>IFERROR(__xludf.DUMMYFUNCTION("""COMPUTED_VALUE"""),31.0)</f>
        <v>31</v>
      </c>
      <c r="L561">
        <f>IFERROR(__xludf.DUMMYFUNCTION("""COMPUTED_VALUE"""),6.0)</f>
        <v>6</v>
      </c>
      <c r="M561">
        <f>IFERROR(__xludf.DUMMYFUNCTION("""COMPUTED_VALUE"""),37.0)</f>
        <v>37</v>
      </c>
      <c r="N561" t="str">
        <f>IFERROR(__xludf.DUMMYFUNCTION("""COMPUTED_VALUE"""),"Model 3 LR AWD")</f>
        <v>Model 3 LR AWD</v>
      </c>
      <c r="O561" t="str">
        <f>IFERROR(__xludf.DUMMYFUNCTION("""COMPUTED_VALUE"""),"Pearl White Multi-Coat")</f>
        <v>Pearl White Multi-Coat</v>
      </c>
      <c r="P561" t="str">
        <f>IFERROR(__xludf.DUMMYFUNCTION("""COMPUTED_VALUE"""),"18 inch Aero")</f>
        <v>18 inch Aero</v>
      </c>
      <c r="Q561" t="str">
        <f>IFERROR(__xludf.DUMMYFUNCTION("""COMPUTED_VALUE"""),"White seats")</f>
        <v>White seats</v>
      </c>
      <c r="R561" t="str">
        <f>IFERROR(__xludf.DUMMYFUNCTION("""COMPUTED_VALUE"""),"Full Self-Driving")</f>
        <v>Full Self-Driving</v>
      </c>
      <c r="X561" t="str">
        <f>IFERROR(__xludf.DUMMYFUNCTION("""COMPUTED_VALUE"""),"Excellent")</f>
        <v>Excellent</v>
      </c>
      <c r="Y561" t="str">
        <f>IFERROR(__xludf.DUMMYFUNCTION("""COMPUTED_VALUE"""),"Excellent")</f>
        <v>Excellent</v>
      </c>
      <c r="Z561" t="str">
        <f>IFERROR(__xludf.DUMMYFUNCTION("""COMPUTED_VALUE"""),"Excellent")</f>
        <v>Excellent</v>
      </c>
      <c r="AA561" t="str">
        <f>IFERROR(__xludf.DUMMYFUNCTION("""COMPUTED_VALUE"""),"Poor")</f>
        <v>Poor</v>
      </c>
      <c r="AB561" t="str">
        <f>IFERROR(__xludf.DUMMYFUNCTION("""COMPUTED_VALUE"""),"Fair")</f>
        <v>Fair</v>
      </c>
      <c r="AH561" s="189">
        <f>IFERROR(__xludf.DUMMYFUNCTION("""COMPUTED_VALUE"""),43343.438805682876)</f>
        <v>43343.43881</v>
      </c>
    </row>
    <row r="562">
      <c r="A562" t="str">
        <f>IFERROR(__xludf.DUMMYFUNCTION("""COMPUTED_VALUE"""),"Mobius20")</f>
        <v>Mobius20</v>
      </c>
      <c r="B562" t="str">
        <f>IFERROR(__xludf.DUMMYFUNCTION("""COMPUTED_VALUE"""),"Seattle, WA")</f>
        <v>Seattle, WA</v>
      </c>
      <c r="C562" t="str">
        <f>IFERROR(__xludf.DUMMYFUNCTION("""COMPUTED_VALUE"""),"WA")</f>
        <v>WA</v>
      </c>
      <c r="D562" t="str">
        <f>IFERROR(__xludf.DUMMYFUNCTION("""COMPUTED_VALUE"""),"USA")</f>
        <v>USA</v>
      </c>
      <c r="E562" s="188">
        <f>IFERROR(__xludf.DUMMYFUNCTION("""COMPUTED_VALUE"""),43205.0)</f>
        <v>43205</v>
      </c>
      <c r="F562" s="188">
        <f>IFERROR(__xludf.DUMMYFUNCTION("""COMPUTED_VALUE"""),43256.0)</f>
        <v>43256</v>
      </c>
      <c r="H562">
        <f>IFERROR(__xludf.DUMMYFUNCTION("""COMPUTED_VALUE"""),33155.0)</f>
        <v>33155</v>
      </c>
      <c r="J562" s="5">
        <f>IFERROR(__xludf.DUMMYFUNCTION("""COMPUTED_VALUE"""),43270.0)</f>
        <v>43270</v>
      </c>
      <c r="K562">
        <f>IFERROR(__xludf.DUMMYFUNCTION("""COMPUTED_VALUE"""),51.0)</f>
        <v>51</v>
      </c>
      <c r="L562">
        <f>IFERROR(__xludf.DUMMYFUNCTION("""COMPUTED_VALUE"""),14.0)</f>
        <v>14</v>
      </c>
      <c r="M562">
        <f>IFERROR(__xludf.DUMMYFUNCTION("""COMPUTED_VALUE"""),65.0)</f>
        <v>65</v>
      </c>
      <c r="N562" t="str">
        <f>IFERROR(__xludf.DUMMYFUNCTION("""COMPUTED_VALUE"""),"Model 3 LR")</f>
        <v>Model 3 LR</v>
      </c>
      <c r="O562" t="str">
        <f>IFERROR(__xludf.DUMMYFUNCTION("""COMPUTED_VALUE"""),"Solid Black")</f>
        <v>Solid Black</v>
      </c>
      <c r="P562" t="str">
        <f>IFERROR(__xludf.DUMMYFUNCTION("""COMPUTED_VALUE"""),"19 inch Sport")</f>
        <v>19 inch Sport</v>
      </c>
      <c r="Q562" t="str">
        <f>IFERROR(__xludf.DUMMYFUNCTION("""COMPUTED_VALUE"""),"Black seats")</f>
        <v>Black seats</v>
      </c>
      <c r="R562" t="str">
        <f>IFERROR(__xludf.DUMMYFUNCTION("""COMPUTED_VALUE"""),"Enhanced Autopilot")</f>
        <v>Enhanced Autopilot</v>
      </c>
      <c r="X562" t="str">
        <f>IFERROR(__xludf.DUMMYFUNCTION("""COMPUTED_VALUE"""),"Excellent")</f>
        <v>Excellent</v>
      </c>
      <c r="Y562" t="str">
        <f>IFERROR(__xludf.DUMMYFUNCTION("""COMPUTED_VALUE"""),"Excellent")</f>
        <v>Excellent</v>
      </c>
      <c r="Z562" t="str">
        <f>IFERROR(__xludf.DUMMYFUNCTION("""COMPUTED_VALUE"""),"Very Good")</f>
        <v>Very Good</v>
      </c>
      <c r="AA562" t="str">
        <f>IFERROR(__xludf.DUMMYFUNCTION("""COMPUTED_VALUE"""),"Very Good")</f>
        <v>Very Good</v>
      </c>
      <c r="AB562" t="str">
        <f>IFERROR(__xludf.DUMMYFUNCTION("""COMPUTED_VALUE"""),"Excellent")</f>
        <v>Excellent</v>
      </c>
      <c r="AC562">
        <f>IFERROR(__xludf.DUMMYFUNCTION("""COMPUTED_VALUE"""),1.0)</f>
        <v>1</v>
      </c>
      <c r="AD562">
        <f>IFERROR(__xludf.DUMMYFUNCTION("""COMPUTED_VALUE"""),0.0)</f>
        <v>0</v>
      </c>
      <c r="AE562">
        <f>IFERROR(__xludf.DUMMYFUNCTION("""COMPUTED_VALUE"""),0.0)</f>
        <v>0</v>
      </c>
      <c r="AG562" t="str">
        <f>IFERROR(__xludf.DUMMYFUNCTION("""COMPUTED_VALUE"""),"Do not know accurate VIN assign date (no longer posted to website)")</f>
        <v>Do not know accurate VIN assign date (no longer posted to website)</v>
      </c>
      <c r="AH562" s="189">
        <f>IFERROR(__xludf.DUMMYFUNCTION("""COMPUTED_VALUE"""),43343.57741109954)</f>
        <v>43343.57741</v>
      </c>
    </row>
    <row r="563">
      <c r="A563" t="str">
        <f>IFERROR(__xludf.DUMMYFUNCTION("""COMPUTED_VALUE"""),"Slessie")</f>
        <v>Slessie</v>
      </c>
      <c r="B563" t="str">
        <f>IFERROR(__xludf.DUMMYFUNCTION("""COMPUTED_VALUE"""),"SoCal")</f>
        <v>SoCal</v>
      </c>
      <c r="C563" t="str">
        <f>IFERROR(__xludf.DUMMYFUNCTION("""COMPUTED_VALUE"""),"CA")</f>
        <v>CA</v>
      </c>
      <c r="D563" t="str">
        <f>IFERROR(__xludf.DUMMYFUNCTION("""COMPUTED_VALUE"""),"USA")</f>
        <v>USA</v>
      </c>
      <c r="E563" s="188">
        <f>IFERROR(__xludf.DUMMYFUNCTION("""COMPUTED_VALUE"""),43281.0)</f>
        <v>43281</v>
      </c>
      <c r="F563" s="188">
        <f>IFERROR(__xludf.DUMMYFUNCTION("""COMPUTED_VALUE"""),43329.0)</f>
        <v>43329</v>
      </c>
      <c r="H563">
        <f>IFERROR(__xludf.DUMMYFUNCTION("""COMPUTED_VALUE"""),57855.0)</f>
        <v>57855</v>
      </c>
      <c r="I563" t="str">
        <f>IFERROR(__xludf.DUMMYFUNCTION("""COMPUTED_VALUE"""),"08/18")</f>
        <v>08/18</v>
      </c>
      <c r="J563" s="5">
        <f>IFERROR(__xludf.DUMMYFUNCTION("""COMPUTED_VALUE"""),43337.0)</f>
        <v>43337</v>
      </c>
      <c r="K563">
        <f>IFERROR(__xludf.DUMMYFUNCTION("""COMPUTED_VALUE"""),48.0)</f>
        <v>48</v>
      </c>
      <c r="L563">
        <f>IFERROR(__xludf.DUMMYFUNCTION("""COMPUTED_VALUE"""),8.0)</f>
        <v>8</v>
      </c>
      <c r="M563">
        <f>IFERROR(__xludf.DUMMYFUNCTION("""COMPUTED_VALUE"""),56.0)</f>
        <v>56</v>
      </c>
      <c r="N563" t="str">
        <f>IFERROR(__xludf.DUMMYFUNCTION("""COMPUTED_VALUE"""),"Model 3 LR")</f>
        <v>Model 3 LR</v>
      </c>
      <c r="O563" t="str">
        <f>IFERROR(__xludf.DUMMYFUNCTION("""COMPUTED_VALUE"""),"Solid Black")</f>
        <v>Solid Black</v>
      </c>
      <c r="P563" t="str">
        <f>IFERROR(__xludf.DUMMYFUNCTION("""COMPUTED_VALUE"""),"18 inch Aero")</f>
        <v>18 inch Aero</v>
      </c>
      <c r="Q563" t="str">
        <f>IFERROR(__xludf.DUMMYFUNCTION("""COMPUTED_VALUE"""),"Black seats")</f>
        <v>Black seats</v>
      </c>
      <c r="R563" t="str">
        <f>IFERROR(__xludf.DUMMYFUNCTION("""COMPUTED_VALUE"""),"Full Self-Driving")</f>
        <v>Full Self-Driving</v>
      </c>
      <c r="X563" t="str">
        <f>IFERROR(__xludf.DUMMYFUNCTION("""COMPUTED_VALUE"""),"Very Good")</f>
        <v>Very Good</v>
      </c>
      <c r="Y563" t="str">
        <f>IFERROR(__xludf.DUMMYFUNCTION("""COMPUTED_VALUE"""),"Very Good")</f>
        <v>Very Good</v>
      </c>
      <c r="Z563" t="str">
        <f>IFERROR(__xludf.DUMMYFUNCTION("""COMPUTED_VALUE"""),"Good")</f>
        <v>Good</v>
      </c>
      <c r="AA563" t="str">
        <f>IFERROR(__xludf.DUMMYFUNCTION("""COMPUTED_VALUE"""),"Good")</f>
        <v>Good</v>
      </c>
      <c r="AB563" t="str">
        <f>IFERROR(__xludf.DUMMYFUNCTION("""COMPUTED_VALUE"""),"Good")</f>
        <v>Good</v>
      </c>
      <c r="AC563">
        <f>IFERROR(__xludf.DUMMYFUNCTION("""COMPUTED_VALUE"""),0.0)</f>
        <v>0</v>
      </c>
      <c r="AH563" s="189">
        <f>IFERROR(__xludf.DUMMYFUNCTION("""COMPUTED_VALUE"""),43343.63377921296)</f>
        <v>43343.63378</v>
      </c>
    </row>
    <row r="564">
      <c r="A564" t="str">
        <f>IFERROR(__xludf.DUMMYFUNCTION("""COMPUTED_VALUE"""),"Standroid")</f>
        <v>Standroid</v>
      </c>
      <c r="B564" t="str">
        <f>IFERROR(__xludf.DUMMYFUNCTION("""COMPUTED_VALUE"""),"Boulder")</f>
        <v>Boulder</v>
      </c>
      <c r="C564" t="str">
        <f>IFERROR(__xludf.DUMMYFUNCTION("""COMPUTED_VALUE"""),"CO")</f>
        <v>CO</v>
      </c>
      <c r="D564" t="str">
        <f>IFERROR(__xludf.DUMMYFUNCTION("""COMPUTED_VALUE"""),"USA")</f>
        <v>USA</v>
      </c>
      <c r="E564" s="188">
        <f>IFERROR(__xludf.DUMMYFUNCTION("""COMPUTED_VALUE"""),43279.0)</f>
        <v>43279</v>
      </c>
      <c r="F564" s="188">
        <f>IFERROR(__xludf.DUMMYFUNCTION("""COMPUTED_VALUE"""),43333.0)</f>
        <v>43333</v>
      </c>
      <c r="H564">
        <f>IFERROR(__xludf.DUMMYFUNCTION("""COMPUTED_VALUE"""),96655.0)</f>
        <v>96655</v>
      </c>
      <c r="I564" t="str">
        <f>IFERROR(__xludf.DUMMYFUNCTION("""COMPUTED_VALUE"""),"08/18")</f>
        <v>08/18</v>
      </c>
      <c r="J564" s="5">
        <f>IFERROR(__xludf.DUMMYFUNCTION("""COMPUTED_VALUE"""),43341.0)</f>
        <v>43341</v>
      </c>
      <c r="K564">
        <f>IFERROR(__xludf.DUMMYFUNCTION("""COMPUTED_VALUE"""),54.0)</f>
        <v>54</v>
      </c>
      <c r="L564">
        <f>IFERROR(__xludf.DUMMYFUNCTION("""COMPUTED_VALUE"""),8.0)</f>
        <v>8</v>
      </c>
      <c r="M564">
        <f>IFERROR(__xludf.DUMMYFUNCTION("""COMPUTED_VALUE"""),62.0)</f>
        <v>62</v>
      </c>
      <c r="N564" t="str">
        <f>IFERROR(__xludf.DUMMYFUNCTION("""COMPUTED_VALUE"""),"Model 3 LR AWD")</f>
        <v>Model 3 LR AWD</v>
      </c>
      <c r="O564" t="str">
        <f>IFERROR(__xludf.DUMMYFUNCTION("""COMPUTED_VALUE"""),"Pearl White Multi-Coat")</f>
        <v>Pearl White Multi-Coat</v>
      </c>
      <c r="P564" t="str">
        <f>IFERROR(__xludf.DUMMYFUNCTION("""COMPUTED_VALUE"""),"18 inch Aero")</f>
        <v>18 inch Aero</v>
      </c>
      <c r="Q564" t="str">
        <f>IFERROR(__xludf.DUMMYFUNCTION("""COMPUTED_VALUE"""),"White seats")</f>
        <v>White seats</v>
      </c>
      <c r="R564" t="str">
        <f>IFERROR(__xludf.DUMMYFUNCTION("""COMPUTED_VALUE"""),"Full Self-Driving")</f>
        <v>Full Self-Driving</v>
      </c>
      <c r="X564" t="str">
        <f>IFERROR(__xludf.DUMMYFUNCTION("""COMPUTED_VALUE"""),"Excellent")</f>
        <v>Excellent</v>
      </c>
      <c r="Y564" t="str">
        <f>IFERROR(__xludf.DUMMYFUNCTION("""COMPUTED_VALUE"""),"Excellent")</f>
        <v>Excellent</v>
      </c>
      <c r="Z564" t="str">
        <f>IFERROR(__xludf.DUMMYFUNCTION("""COMPUTED_VALUE"""),"Excellent")</f>
        <v>Excellent</v>
      </c>
      <c r="AA564" t="str">
        <f>IFERROR(__xludf.DUMMYFUNCTION("""COMPUTED_VALUE"""),"Excellent")</f>
        <v>Excellent</v>
      </c>
      <c r="AB564" t="str">
        <f>IFERROR(__xludf.DUMMYFUNCTION("""COMPUTED_VALUE"""),"Excellent")</f>
        <v>Excellent</v>
      </c>
      <c r="AC564">
        <f>IFERROR(__xludf.DUMMYFUNCTION("""COMPUTED_VALUE"""),3.0)</f>
        <v>3</v>
      </c>
      <c r="AH564" s="189">
        <f>IFERROR(__xludf.DUMMYFUNCTION("""COMPUTED_VALUE"""),43343.67572903935)</f>
        <v>43343.67573</v>
      </c>
    </row>
    <row r="565">
      <c r="A565" t="str">
        <f>IFERROR(__xludf.DUMMYFUNCTION("""COMPUTED_VALUE"""),"Mars Mission")</f>
        <v>Mars Mission</v>
      </c>
      <c r="B565" t="str">
        <f>IFERROR(__xludf.DUMMYFUNCTION("""COMPUTED_VALUE"""),"Brooklyn")</f>
        <v>Brooklyn</v>
      </c>
      <c r="C565" t="str">
        <f>IFERROR(__xludf.DUMMYFUNCTION("""COMPUTED_VALUE"""),"NY")</f>
        <v>NY</v>
      </c>
      <c r="D565" t="str">
        <f>IFERROR(__xludf.DUMMYFUNCTION("""COMPUTED_VALUE"""),"USA")</f>
        <v>USA</v>
      </c>
      <c r="E565" s="188">
        <f>IFERROR(__xludf.DUMMYFUNCTION("""COMPUTED_VALUE"""),43278.0)</f>
        <v>43278</v>
      </c>
      <c r="F565" s="188">
        <f>IFERROR(__xludf.DUMMYFUNCTION("""COMPUTED_VALUE"""),43336.0)</f>
        <v>43336</v>
      </c>
      <c r="H565" s="4">
        <f>IFERROR(__xludf.DUMMYFUNCTION("""COMPUTED_VALUE"""),54573.0)</f>
        <v>54573</v>
      </c>
      <c r="J565" s="5">
        <f>IFERROR(__xludf.DUMMYFUNCTION("""COMPUTED_VALUE"""),43343.0)</f>
        <v>43343</v>
      </c>
      <c r="K565">
        <f>IFERROR(__xludf.DUMMYFUNCTION("""COMPUTED_VALUE"""),58.0)</f>
        <v>58</v>
      </c>
      <c r="L565">
        <f>IFERROR(__xludf.DUMMYFUNCTION("""COMPUTED_VALUE"""),7.0)</f>
        <v>7</v>
      </c>
      <c r="M565">
        <f>IFERROR(__xludf.DUMMYFUNCTION("""COMPUTED_VALUE"""),65.0)</f>
        <v>65</v>
      </c>
      <c r="N565" t="str">
        <f>IFERROR(__xludf.DUMMYFUNCTION("""COMPUTED_VALUE"""),"Model 3 LR AWD")</f>
        <v>Model 3 LR AWD</v>
      </c>
      <c r="O565" t="str">
        <f>IFERROR(__xludf.DUMMYFUNCTION("""COMPUTED_VALUE"""),"Red Multi-Coat")</f>
        <v>Red Multi-Coat</v>
      </c>
      <c r="P565" t="str">
        <f>IFERROR(__xludf.DUMMYFUNCTION("""COMPUTED_VALUE"""),"18 inch Aero")</f>
        <v>18 inch Aero</v>
      </c>
      <c r="Q565" t="str">
        <f>IFERROR(__xludf.DUMMYFUNCTION("""COMPUTED_VALUE"""),"Black seats")</f>
        <v>Black seats</v>
      </c>
      <c r="R565" t="str">
        <f>IFERROR(__xludf.DUMMYFUNCTION("""COMPUTED_VALUE"""),"Enhanced Autopilot")</f>
        <v>Enhanced Autopilot</v>
      </c>
      <c r="X565" t="str">
        <f>IFERROR(__xludf.DUMMYFUNCTION("""COMPUTED_VALUE"""),"Very Good")</f>
        <v>Very Good</v>
      </c>
      <c r="Y565" t="str">
        <f>IFERROR(__xludf.DUMMYFUNCTION("""COMPUTED_VALUE"""),"Very Good")</f>
        <v>Very Good</v>
      </c>
      <c r="Z565" t="str">
        <f>IFERROR(__xludf.DUMMYFUNCTION("""COMPUTED_VALUE"""),"Good")</f>
        <v>Good</v>
      </c>
      <c r="AA565" t="str">
        <f>IFERROR(__xludf.DUMMYFUNCTION("""COMPUTED_VALUE"""),"Very Good")</f>
        <v>Very Good</v>
      </c>
      <c r="AB565" t="str">
        <f>IFERROR(__xludf.DUMMYFUNCTION("""COMPUTED_VALUE"""),"Excellent")</f>
        <v>Excellent</v>
      </c>
      <c r="AH565" s="189">
        <f>IFERROR(__xludf.DUMMYFUNCTION("""COMPUTED_VALUE"""),43343.857734687495)</f>
        <v>43343.85773</v>
      </c>
    </row>
    <row r="566">
      <c r="A566" t="str">
        <f>IFERROR(__xludf.DUMMYFUNCTION("""COMPUTED_VALUE"""),"donnakt")</f>
        <v>donnakt</v>
      </c>
      <c r="B566" t="str">
        <f>IFERROR(__xludf.DUMMYFUNCTION("""COMPUTED_VALUE"""),"Orange County")</f>
        <v>Orange County</v>
      </c>
      <c r="C566" t="str">
        <f>IFERROR(__xludf.DUMMYFUNCTION("""COMPUTED_VALUE"""),"CA")</f>
        <v>CA</v>
      </c>
      <c r="D566" t="str">
        <f>IFERROR(__xludf.DUMMYFUNCTION("""COMPUTED_VALUE"""),"USA")</f>
        <v>USA</v>
      </c>
      <c r="E566" s="188">
        <f>IFERROR(__xludf.DUMMYFUNCTION("""COMPUTED_VALUE"""),43301.0)</f>
        <v>43301</v>
      </c>
      <c r="F566" s="188">
        <f>IFERROR(__xludf.DUMMYFUNCTION("""COMPUTED_VALUE"""),43313.0)</f>
        <v>43313</v>
      </c>
      <c r="H566">
        <f>IFERROR(__xludf.DUMMYFUNCTION("""COMPUTED_VALUE"""),53225.0)</f>
        <v>53225</v>
      </c>
      <c r="J566" s="5">
        <f>IFERROR(__xludf.DUMMYFUNCTION("""COMPUTED_VALUE"""),43343.0)</f>
        <v>43343</v>
      </c>
      <c r="K566">
        <f>IFERROR(__xludf.DUMMYFUNCTION("""COMPUTED_VALUE"""),12.0)</f>
        <v>12</v>
      </c>
      <c r="L566">
        <f>IFERROR(__xludf.DUMMYFUNCTION("""COMPUTED_VALUE"""),30.0)</f>
        <v>30</v>
      </c>
      <c r="M566">
        <f>IFERROR(__xludf.DUMMYFUNCTION("""COMPUTED_VALUE"""),42.0)</f>
        <v>42</v>
      </c>
      <c r="N566" t="str">
        <f>IFERROR(__xludf.DUMMYFUNCTION("""COMPUTED_VALUE"""),"Model 3 LR")</f>
        <v>Model 3 LR</v>
      </c>
      <c r="O566" t="str">
        <f>IFERROR(__xludf.DUMMYFUNCTION("""COMPUTED_VALUE"""),"Pearl White Multi-Coat")</f>
        <v>Pearl White Multi-Coat</v>
      </c>
      <c r="P566" t="str">
        <f>IFERROR(__xludf.DUMMYFUNCTION("""COMPUTED_VALUE"""),"18 inch Aero")</f>
        <v>18 inch Aero</v>
      </c>
      <c r="Q566" t="str">
        <f>IFERROR(__xludf.DUMMYFUNCTION("""COMPUTED_VALUE"""),"Black seats")</f>
        <v>Black seats</v>
      </c>
      <c r="R566" t="str">
        <f>IFERROR(__xludf.DUMMYFUNCTION("""COMPUTED_VALUE"""),"Enhanced Autopilot")</f>
        <v>Enhanced Autopilot</v>
      </c>
      <c r="X566" t="str">
        <f>IFERROR(__xludf.DUMMYFUNCTION("""COMPUTED_VALUE"""),"Very Good")</f>
        <v>Very Good</v>
      </c>
      <c r="Y566" t="str">
        <f>IFERROR(__xludf.DUMMYFUNCTION("""COMPUTED_VALUE"""),"Good")</f>
        <v>Good</v>
      </c>
      <c r="Z566" t="str">
        <f>IFERROR(__xludf.DUMMYFUNCTION("""COMPUTED_VALUE"""),"Good")</f>
        <v>Good</v>
      </c>
      <c r="AA566" t="str">
        <f>IFERROR(__xludf.DUMMYFUNCTION("""COMPUTED_VALUE"""),"Poor")</f>
        <v>Poor</v>
      </c>
      <c r="AB566" t="str">
        <f>IFERROR(__xludf.DUMMYFUNCTION("""COMPUTED_VALUE"""),"Good")</f>
        <v>Good</v>
      </c>
      <c r="AC566">
        <f>IFERROR(__xludf.DUMMYFUNCTION("""COMPUTED_VALUE"""),3.0)</f>
        <v>3</v>
      </c>
      <c r="AG566" t="str">
        <f>IFERROR(__xludf.DUMMYFUNCTION("""COMPUTED_VALUE"""),"Cancelled delivery 8/7/18, new VIN assigned 8/27")</f>
        <v>Cancelled delivery 8/7/18, new VIN assigned 8/27</v>
      </c>
      <c r="AH566" s="189">
        <f>IFERROR(__xludf.DUMMYFUNCTION("""COMPUTED_VALUE"""),43344.299175416665)</f>
        <v>43344.29918</v>
      </c>
    </row>
    <row r="567">
      <c r="A567" t="str">
        <f>IFERROR(__xludf.DUMMYFUNCTION("""COMPUTED_VALUE"""),"Sytus")</f>
        <v>Sytus</v>
      </c>
      <c r="B567" t="str">
        <f>IFERROR(__xludf.DUMMYFUNCTION("""COMPUTED_VALUE"""),"Austin")</f>
        <v>Austin</v>
      </c>
      <c r="C567" t="str">
        <f>IFERROR(__xludf.DUMMYFUNCTION("""COMPUTED_VALUE"""),"TX")</f>
        <v>TX</v>
      </c>
      <c r="D567" t="str">
        <f>IFERROR(__xludf.DUMMYFUNCTION("""COMPUTED_VALUE"""),"USA")</f>
        <v>USA</v>
      </c>
      <c r="E567" s="188">
        <f>IFERROR(__xludf.DUMMYFUNCTION("""COMPUTED_VALUE"""),43321.0)</f>
        <v>43321</v>
      </c>
      <c r="F567" s="188">
        <f>IFERROR(__xludf.DUMMYFUNCTION("""COMPUTED_VALUE"""),43325.0)</f>
        <v>43325</v>
      </c>
      <c r="H567">
        <f>IFERROR(__xludf.DUMMYFUNCTION("""COMPUTED_VALUE"""),60855.0)</f>
        <v>60855</v>
      </c>
      <c r="J567" s="5">
        <f>IFERROR(__xludf.DUMMYFUNCTION("""COMPUTED_VALUE"""),43343.0)</f>
        <v>43343</v>
      </c>
      <c r="K567">
        <f>IFERROR(__xludf.DUMMYFUNCTION("""COMPUTED_VALUE"""),4.0)</f>
        <v>4</v>
      </c>
      <c r="L567">
        <f>IFERROR(__xludf.DUMMYFUNCTION("""COMPUTED_VALUE"""),18.0)</f>
        <v>18</v>
      </c>
      <c r="M567">
        <f>IFERROR(__xludf.DUMMYFUNCTION("""COMPUTED_VALUE"""),22.0)</f>
        <v>22</v>
      </c>
      <c r="N567" t="str">
        <f>IFERROR(__xludf.DUMMYFUNCTION("""COMPUTED_VALUE"""),"Model 3 LR")</f>
        <v>Model 3 LR</v>
      </c>
      <c r="O567" t="str">
        <f>IFERROR(__xludf.DUMMYFUNCTION("""COMPUTED_VALUE"""),"Silver Metallic")</f>
        <v>Silver Metallic</v>
      </c>
      <c r="P567" t="str">
        <f>IFERROR(__xludf.DUMMYFUNCTION("""COMPUTED_VALUE"""),"19 inch Sport")</f>
        <v>19 inch Sport</v>
      </c>
      <c r="Q567" t="str">
        <f>IFERROR(__xludf.DUMMYFUNCTION("""COMPUTED_VALUE"""),"Black seats")</f>
        <v>Black seats</v>
      </c>
      <c r="R567" t="str">
        <f>IFERROR(__xludf.DUMMYFUNCTION("""COMPUTED_VALUE"""),"Enhanced Autopilot")</f>
        <v>Enhanced Autopilot</v>
      </c>
      <c r="X567" t="str">
        <f>IFERROR(__xludf.DUMMYFUNCTION("""COMPUTED_VALUE"""),"Excellent")</f>
        <v>Excellent</v>
      </c>
      <c r="Y567" t="str">
        <f>IFERROR(__xludf.DUMMYFUNCTION("""COMPUTED_VALUE"""),"Excellent")</f>
        <v>Excellent</v>
      </c>
      <c r="Z567" t="str">
        <f>IFERROR(__xludf.DUMMYFUNCTION("""COMPUTED_VALUE"""),"Fair")</f>
        <v>Fair</v>
      </c>
      <c r="AA567" t="str">
        <f>IFERROR(__xludf.DUMMYFUNCTION("""COMPUTED_VALUE"""),"Good")</f>
        <v>Good</v>
      </c>
      <c r="AB567" t="str">
        <f>IFERROR(__xludf.DUMMYFUNCTION("""COMPUTED_VALUE"""),"Good")</f>
        <v>Good</v>
      </c>
      <c r="AH567" s="189">
        <f>IFERROR(__xludf.DUMMYFUNCTION("""COMPUTED_VALUE"""),43344.383095196754)</f>
        <v>43344.3831</v>
      </c>
    </row>
    <row r="568">
      <c r="A568" t="str">
        <f>IFERROR(__xludf.DUMMYFUNCTION("""COMPUTED_VALUE"""),"bradhs")</f>
        <v>bradhs</v>
      </c>
      <c r="B568" t="str">
        <f>IFERROR(__xludf.DUMMYFUNCTION("""COMPUTED_VALUE"""),"San Diego, CA")</f>
        <v>San Diego, CA</v>
      </c>
      <c r="C568" t="str">
        <f>IFERROR(__xludf.DUMMYFUNCTION("""COMPUTED_VALUE"""),"CA")</f>
        <v>CA</v>
      </c>
      <c r="D568" t="str">
        <f>IFERROR(__xludf.DUMMYFUNCTION("""COMPUTED_VALUE"""),"USA")</f>
        <v>USA</v>
      </c>
      <c r="E568" s="188">
        <f>IFERROR(__xludf.DUMMYFUNCTION("""COMPUTED_VALUE"""),43277.0)</f>
        <v>43277</v>
      </c>
      <c r="F568" s="188">
        <f>IFERROR(__xludf.DUMMYFUNCTION("""COMPUTED_VALUE"""),43340.0)</f>
        <v>43340</v>
      </c>
      <c r="H568">
        <f>IFERROR(__xludf.DUMMYFUNCTION("""COMPUTED_VALUE"""),73055.0)</f>
        <v>73055</v>
      </c>
      <c r="I568" t="str">
        <f>IFERROR(__xludf.DUMMYFUNCTION("""COMPUTED_VALUE"""),"08/18")</f>
        <v>08/18</v>
      </c>
      <c r="J568" s="5">
        <f>IFERROR(__xludf.DUMMYFUNCTION("""COMPUTED_VALUE"""),43343.0)</f>
        <v>43343</v>
      </c>
      <c r="K568">
        <f>IFERROR(__xludf.DUMMYFUNCTION("""COMPUTED_VALUE"""),63.0)</f>
        <v>63</v>
      </c>
      <c r="L568">
        <f>IFERROR(__xludf.DUMMYFUNCTION("""COMPUTED_VALUE"""),3.0)</f>
        <v>3</v>
      </c>
      <c r="M568">
        <f>IFERROR(__xludf.DUMMYFUNCTION("""COMPUTED_VALUE"""),66.0)</f>
        <v>66</v>
      </c>
      <c r="N568" t="str">
        <f>IFERROR(__xludf.DUMMYFUNCTION("""COMPUTED_VALUE"""),"Model 3 Performance")</f>
        <v>Model 3 Performance</v>
      </c>
      <c r="O568" t="str">
        <f>IFERROR(__xludf.DUMMYFUNCTION("""COMPUTED_VALUE"""),"Midnight Silver Metallic")</f>
        <v>Midnight Silver Metallic</v>
      </c>
      <c r="P568" t="str">
        <f>IFERROR(__xludf.DUMMYFUNCTION("""COMPUTED_VALUE"""),"20 inch Sport")</f>
        <v>20 inch Sport</v>
      </c>
      <c r="Q568" t="str">
        <f>IFERROR(__xludf.DUMMYFUNCTION("""COMPUTED_VALUE"""),"Black seats")</f>
        <v>Black seats</v>
      </c>
      <c r="R568" t="str">
        <f>IFERROR(__xludf.DUMMYFUNCTION("""COMPUTED_VALUE"""),"Full Self-Driving")</f>
        <v>Full Self-Driving</v>
      </c>
      <c r="X568" t="str">
        <f>IFERROR(__xludf.DUMMYFUNCTION("""COMPUTED_VALUE"""),"Excellent")</f>
        <v>Excellent</v>
      </c>
      <c r="Y568" t="str">
        <f>IFERROR(__xludf.DUMMYFUNCTION("""COMPUTED_VALUE"""),"Excellent")</f>
        <v>Excellent</v>
      </c>
      <c r="Z568" t="str">
        <f>IFERROR(__xludf.DUMMYFUNCTION("""COMPUTED_VALUE"""),"Excellent")</f>
        <v>Excellent</v>
      </c>
      <c r="AA568" t="str">
        <f>IFERROR(__xludf.DUMMYFUNCTION("""COMPUTED_VALUE"""),"Excellent")</f>
        <v>Excellent</v>
      </c>
      <c r="AB568" t="str">
        <f>IFERROR(__xludf.DUMMYFUNCTION("""COMPUTED_VALUE"""),"Excellent")</f>
        <v>Excellent</v>
      </c>
      <c r="AH568" s="189">
        <f>IFERROR(__xludf.DUMMYFUNCTION("""COMPUTED_VALUE"""),43344.417738310185)</f>
        <v>43344.41774</v>
      </c>
    </row>
    <row r="569">
      <c r="A569" t="str">
        <f>IFERROR(__xludf.DUMMYFUNCTION("""COMPUTED_VALUE"""),"human608")</f>
        <v>human608</v>
      </c>
      <c r="B569" t="str">
        <f>IFERROR(__xludf.DUMMYFUNCTION("""COMPUTED_VALUE"""),"Madison")</f>
        <v>Madison</v>
      </c>
      <c r="C569" t="str">
        <f>IFERROR(__xludf.DUMMYFUNCTION("""COMPUTED_VALUE"""),"WI")</f>
        <v>WI</v>
      </c>
      <c r="D569" t="str">
        <f>IFERROR(__xludf.DUMMYFUNCTION("""COMPUTED_VALUE"""),"USA")</f>
        <v>USA</v>
      </c>
      <c r="E569" s="188">
        <f>IFERROR(__xludf.DUMMYFUNCTION("""COMPUTED_VALUE"""),43243.0)</f>
        <v>43243</v>
      </c>
      <c r="F569" s="188">
        <f>IFERROR(__xludf.DUMMYFUNCTION("""COMPUTED_VALUE"""),43313.0)</f>
        <v>43313</v>
      </c>
      <c r="H569">
        <f>IFERROR(__xludf.DUMMYFUNCTION("""COMPUTED_VALUE"""),65955.0)</f>
        <v>65955</v>
      </c>
      <c r="I569" t="str">
        <f>IFERROR(__xludf.DUMMYFUNCTION("""COMPUTED_VALUE"""),"07/18")</f>
        <v>07/18</v>
      </c>
      <c r="J569" s="5">
        <f>IFERROR(__xludf.DUMMYFUNCTION("""COMPUTED_VALUE"""),43343.0)</f>
        <v>43343</v>
      </c>
      <c r="K569">
        <f>IFERROR(__xludf.DUMMYFUNCTION("""COMPUTED_VALUE"""),70.0)</f>
        <v>70</v>
      </c>
      <c r="L569">
        <f>IFERROR(__xludf.DUMMYFUNCTION("""COMPUTED_VALUE"""),30.0)</f>
        <v>30</v>
      </c>
      <c r="M569">
        <f>IFERROR(__xludf.DUMMYFUNCTION("""COMPUTED_VALUE"""),100.0)</f>
        <v>100</v>
      </c>
      <c r="N569" t="str">
        <f>IFERROR(__xludf.DUMMYFUNCTION("""COMPUTED_VALUE"""),"Model 3 LR AWD")</f>
        <v>Model 3 LR AWD</v>
      </c>
      <c r="O569" t="str">
        <f>IFERROR(__xludf.DUMMYFUNCTION("""COMPUTED_VALUE"""),"Midnight Silver Metallic")</f>
        <v>Midnight Silver Metallic</v>
      </c>
      <c r="P569" t="str">
        <f>IFERROR(__xludf.DUMMYFUNCTION("""COMPUTED_VALUE"""),"18 inch Aero")</f>
        <v>18 inch Aero</v>
      </c>
      <c r="Q569" t="str">
        <f>IFERROR(__xludf.DUMMYFUNCTION("""COMPUTED_VALUE"""),"Black seats")</f>
        <v>Black seats</v>
      </c>
      <c r="R569" t="str">
        <f>IFERROR(__xludf.DUMMYFUNCTION("""COMPUTED_VALUE"""),"None")</f>
        <v>None</v>
      </c>
      <c r="X569" t="str">
        <f>IFERROR(__xludf.DUMMYFUNCTION("""COMPUTED_VALUE"""),"Very Good")</f>
        <v>Very Good</v>
      </c>
      <c r="Y569" t="str">
        <f>IFERROR(__xludf.DUMMYFUNCTION("""COMPUTED_VALUE"""),"Very Good")</f>
        <v>Very Good</v>
      </c>
      <c r="Z569" t="str">
        <f>IFERROR(__xludf.DUMMYFUNCTION("""COMPUTED_VALUE"""),"Good")</f>
        <v>Good</v>
      </c>
      <c r="AA569" t="str">
        <f>IFERROR(__xludf.DUMMYFUNCTION("""COMPUTED_VALUE"""),"Very Good")</f>
        <v>Very Good</v>
      </c>
      <c r="AB569" t="str">
        <f>IFERROR(__xludf.DUMMYFUNCTION("""COMPUTED_VALUE"""),"Excellent")</f>
        <v>Excellent</v>
      </c>
      <c r="AC569">
        <f>IFERROR(__xludf.DUMMYFUNCTION("""COMPUTED_VALUE"""),0.0)</f>
        <v>0</v>
      </c>
      <c r="AD569">
        <f>IFERROR(__xludf.DUMMYFUNCTION("""COMPUTED_VALUE"""),0.0)</f>
        <v>0</v>
      </c>
      <c r="AE569">
        <f>IFERROR(__xludf.DUMMYFUNCTION("""COMPUTED_VALUE"""),0.0)</f>
        <v>0</v>
      </c>
      <c r="AG569" t="str">
        <f>IFERROR(__xludf.DUMMYFUNCTION("""COMPUTED_VALUE"""),"Original delivery date delayed by 6 days")</f>
        <v>Original delivery date delayed by 6 days</v>
      </c>
      <c r="AH569" s="189">
        <f>IFERROR(__xludf.DUMMYFUNCTION("""COMPUTED_VALUE"""),43344.483125949075)</f>
        <v>43344.48313</v>
      </c>
    </row>
    <row r="570">
      <c r="A570" t="str">
        <f>IFERROR(__xludf.DUMMYFUNCTION("""COMPUTED_VALUE"""),"reengne")</f>
        <v>reengne</v>
      </c>
      <c r="B570" t="str">
        <f>IFERROR(__xludf.DUMMYFUNCTION("""COMPUTED_VALUE"""),"Columbia")</f>
        <v>Columbia</v>
      </c>
      <c r="C570" t="str">
        <f>IFERROR(__xludf.DUMMYFUNCTION("""COMPUTED_VALUE"""),"MD")</f>
        <v>MD</v>
      </c>
      <c r="D570" t="str">
        <f>IFERROR(__xludf.DUMMYFUNCTION("""COMPUTED_VALUE"""),"USA")</f>
        <v>USA</v>
      </c>
      <c r="E570" s="188">
        <f>IFERROR(__xludf.DUMMYFUNCTION("""COMPUTED_VALUE"""),43295.0)</f>
        <v>43295</v>
      </c>
      <c r="F570" s="188">
        <f>IFERROR(__xludf.DUMMYFUNCTION("""COMPUTED_VALUE"""),43327.0)</f>
        <v>43327</v>
      </c>
      <c r="H570">
        <f>IFERROR(__xludf.DUMMYFUNCTION("""COMPUTED_VALUE"""),64106.0)</f>
        <v>64106</v>
      </c>
      <c r="I570" t="str">
        <f>IFERROR(__xludf.DUMMYFUNCTION("""COMPUTED_VALUE"""),"08/18")</f>
        <v>08/18</v>
      </c>
      <c r="J570" s="5">
        <f>IFERROR(__xludf.DUMMYFUNCTION("""COMPUTED_VALUE"""),43343.0)</f>
        <v>43343</v>
      </c>
      <c r="K570">
        <f>IFERROR(__xludf.DUMMYFUNCTION("""COMPUTED_VALUE"""),32.0)</f>
        <v>32</v>
      </c>
      <c r="L570">
        <f>IFERROR(__xludf.DUMMYFUNCTION("""COMPUTED_VALUE"""),16.0)</f>
        <v>16</v>
      </c>
      <c r="M570">
        <f>IFERROR(__xludf.DUMMYFUNCTION("""COMPUTED_VALUE"""),48.0)</f>
        <v>48</v>
      </c>
      <c r="N570" t="str">
        <f>IFERROR(__xludf.DUMMYFUNCTION("""COMPUTED_VALUE"""),"Model 3 LR AWD")</f>
        <v>Model 3 LR AWD</v>
      </c>
      <c r="O570" t="str">
        <f>IFERROR(__xludf.DUMMYFUNCTION("""COMPUTED_VALUE"""),"Red Multi-Coat")</f>
        <v>Red Multi-Coat</v>
      </c>
      <c r="P570" t="str">
        <f>IFERROR(__xludf.DUMMYFUNCTION("""COMPUTED_VALUE"""),"18 inch Aero")</f>
        <v>18 inch Aero</v>
      </c>
      <c r="Q570" t="str">
        <f>IFERROR(__xludf.DUMMYFUNCTION("""COMPUTED_VALUE"""),"Black seats")</f>
        <v>Black seats</v>
      </c>
      <c r="R570" t="str">
        <f>IFERROR(__xludf.DUMMYFUNCTION("""COMPUTED_VALUE"""),"None")</f>
        <v>None</v>
      </c>
      <c r="X570" t="str">
        <f>IFERROR(__xludf.DUMMYFUNCTION("""COMPUTED_VALUE"""),"Very Good")</f>
        <v>Very Good</v>
      </c>
      <c r="Y570" t="str">
        <f>IFERROR(__xludf.DUMMYFUNCTION("""COMPUTED_VALUE"""),"Very Good")</f>
        <v>Very Good</v>
      </c>
      <c r="Z570" t="str">
        <f>IFERROR(__xludf.DUMMYFUNCTION("""COMPUTED_VALUE"""),"Very Good")</f>
        <v>Very Good</v>
      </c>
      <c r="AA570" t="str">
        <f>IFERROR(__xludf.DUMMYFUNCTION("""COMPUTED_VALUE"""),"Fair")</f>
        <v>Fair</v>
      </c>
      <c r="AB570" t="str">
        <f>IFERROR(__xludf.DUMMYFUNCTION("""COMPUTED_VALUE"""),"Very Good")</f>
        <v>Very Good</v>
      </c>
      <c r="AH570" s="189">
        <f>IFERROR(__xludf.DUMMYFUNCTION("""COMPUTED_VALUE"""),43344.52411979166)</f>
        <v>43344.52412</v>
      </c>
    </row>
    <row r="571">
      <c r="A571" t="str">
        <f>IFERROR(__xludf.DUMMYFUNCTION("""COMPUTED_VALUE"""),"__telsa_model_3_awd__")</f>
        <v>__telsa_model_3_awd__</v>
      </c>
      <c r="B571">
        <f>IFERROR(__xludf.DUMMYFUNCTION("""COMPUTED_VALUE"""),90094.0)</f>
        <v>90094</v>
      </c>
      <c r="C571" t="str">
        <f>IFERROR(__xludf.DUMMYFUNCTION("""COMPUTED_VALUE"""),"CA")</f>
        <v>CA</v>
      </c>
      <c r="D571" t="str">
        <f>IFERROR(__xludf.DUMMYFUNCTION("""COMPUTED_VALUE"""),"USA")</f>
        <v>USA</v>
      </c>
      <c r="E571" s="188">
        <f>IFERROR(__xludf.DUMMYFUNCTION("""COMPUTED_VALUE"""),43278.0)</f>
        <v>43278</v>
      </c>
      <c r="F571" s="188">
        <f>IFERROR(__xludf.DUMMYFUNCTION("""COMPUTED_VALUE"""),43336.0)</f>
        <v>43336</v>
      </c>
      <c r="H571">
        <f>IFERROR(__xludf.DUMMYFUNCTION("""COMPUTED_VALUE"""),96198.0)</f>
        <v>96198</v>
      </c>
      <c r="I571" t="str">
        <f>IFERROR(__xludf.DUMMYFUNCTION("""COMPUTED_VALUE"""),"08/18")</f>
        <v>08/18</v>
      </c>
      <c r="J571" s="5">
        <f>IFERROR(__xludf.DUMMYFUNCTION("""COMPUTED_VALUE"""),43344.0)</f>
        <v>43344</v>
      </c>
      <c r="K571">
        <f>IFERROR(__xludf.DUMMYFUNCTION("""COMPUTED_VALUE"""),58.0)</f>
        <v>58</v>
      </c>
      <c r="L571">
        <f>IFERROR(__xludf.DUMMYFUNCTION("""COMPUTED_VALUE"""),8.0)</f>
        <v>8</v>
      </c>
      <c r="M571">
        <f>IFERROR(__xludf.DUMMYFUNCTION("""COMPUTED_VALUE"""),66.0)</f>
        <v>66</v>
      </c>
      <c r="N571" t="str">
        <f>IFERROR(__xludf.DUMMYFUNCTION("""COMPUTED_VALUE"""),"Model 3 LR AWD")</f>
        <v>Model 3 LR AWD</v>
      </c>
      <c r="O571" t="str">
        <f>IFERROR(__xludf.DUMMYFUNCTION("""COMPUTED_VALUE"""),"Silver Metallic")</f>
        <v>Silver Metallic</v>
      </c>
      <c r="P571" t="str">
        <f>IFERROR(__xludf.DUMMYFUNCTION("""COMPUTED_VALUE"""),"18 inch Aero")</f>
        <v>18 inch Aero</v>
      </c>
      <c r="Q571" t="str">
        <f>IFERROR(__xludf.DUMMYFUNCTION("""COMPUTED_VALUE"""),"White seats")</f>
        <v>White seats</v>
      </c>
      <c r="R571" t="str">
        <f>IFERROR(__xludf.DUMMYFUNCTION("""COMPUTED_VALUE"""),"Full Self-Driving")</f>
        <v>Full Self-Driving</v>
      </c>
      <c r="X571" t="str">
        <f>IFERROR(__xludf.DUMMYFUNCTION("""COMPUTED_VALUE"""),"Excellent")</f>
        <v>Excellent</v>
      </c>
      <c r="Y571" t="str">
        <f>IFERROR(__xludf.DUMMYFUNCTION("""COMPUTED_VALUE"""),"Excellent")</f>
        <v>Excellent</v>
      </c>
      <c r="Z571" t="str">
        <f>IFERROR(__xludf.DUMMYFUNCTION("""COMPUTED_VALUE"""),"Very Good")</f>
        <v>Very Good</v>
      </c>
      <c r="AA571" t="str">
        <f>IFERROR(__xludf.DUMMYFUNCTION("""COMPUTED_VALUE"""),"Fair")</f>
        <v>Fair</v>
      </c>
      <c r="AB571" t="str">
        <f>IFERROR(__xludf.DUMMYFUNCTION("""COMPUTED_VALUE"""),"Excellent")</f>
        <v>Excellent</v>
      </c>
      <c r="AC571">
        <f>IFERROR(__xludf.DUMMYFUNCTION("""COMPUTED_VALUE"""),0.0)</f>
        <v>0</v>
      </c>
      <c r="AD571">
        <f>IFERROR(__xludf.DUMMYFUNCTION("""COMPUTED_VALUE"""),0.0)</f>
        <v>0</v>
      </c>
      <c r="AE571">
        <f>IFERROR(__xludf.DUMMYFUNCTION("""COMPUTED_VALUE"""),0.0)</f>
        <v>0</v>
      </c>
      <c r="AH571" s="189">
        <f>IFERROR(__xludf.DUMMYFUNCTION("""COMPUTED_VALUE"""),43344.66028788194)</f>
        <v>43344.66029</v>
      </c>
    </row>
    <row r="572">
      <c r="A572" t="str">
        <f>IFERROR(__xludf.DUMMYFUNCTION("""COMPUTED_VALUE"""),"splob")</f>
        <v>splob</v>
      </c>
      <c r="B572" t="str">
        <f>IFERROR(__xludf.DUMMYFUNCTION("""COMPUTED_VALUE"""),"Chicago")</f>
        <v>Chicago</v>
      </c>
      <c r="C572" t="str">
        <f>IFERROR(__xludf.DUMMYFUNCTION("""COMPUTED_VALUE"""),"IL")</f>
        <v>IL</v>
      </c>
      <c r="D572" t="str">
        <f>IFERROR(__xludf.DUMMYFUNCTION("""COMPUTED_VALUE"""),"USA")</f>
        <v>USA</v>
      </c>
      <c r="E572" s="188">
        <f>IFERROR(__xludf.DUMMYFUNCTION("""COMPUTED_VALUE"""),43278.0)</f>
        <v>43278</v>
      </c>
      <c r="F572" s="188">
        <f>IFERROR(__xludf.DUMMYFUNCTION("""COMPUTED_VALUE"""),43318.0)</f>
        <v>43318</v>
      </c>
      <c r="H572">
        <f>IFERROR(__xludf.DUMMYFUNCTION("""COMPUTED_VALUE"""),74149.0)</f>
        <v>74149</v>
      </c>
      <c r="I572" t="str">
        <f>IFERROR(__xludf.DUMMYFUNCTION("""COMPUTED_VALUE"""),"08/18")</f>
        <v>08/18</v>
      </c>
      <c r="J572" s="5">
        <f>IFERROR(__xludf.DUMMYFUNCTION("""COMPUTED_VALUE"""),43342.0)</f>
        <v>43342</v>
      </c>
      <c r="K572">
        <f>IFERROR(__xludf.DUMMYFUNCTION("""COMPUTED_VALUE"""),40.0)</f>
        <v>40</v>
      </c>
      <c r="L572">
        <f>IFERROR(__xludf.DUMMYFUNCTION("""COMPUTED_VALUE"""),24.0)</f>
        <v>24</v>
      </c>
      <c r="M572">
        <f>IFERROR(__xludf.DUMMYFUNCTION("""COMPUTED_VALUE"""),64.0)</f>
        <v>64</v>
      </c>
      <c r="N572" t="str">
        <f>IFERROR(__xludf.DUMMYFUNCTION("""COMPUTED_VALUE"""),"Model 3 Performance")</f>
        <v>Model 3 Performance</v>
      </c>
      <c r="O572" t="str">
        <f>IFERROR(__xludf.DUMMYFUNCTION("""COMPUTED_VALUE"""),"Deep Blue Metallic")</f>
        <v>Deep Blue Metallic</v>
      </c>
      <c r="P572" t="str">
        <f>IFERROR(__xludf.DUMMYFUNCTION("""COMPUTED_VALUE"""),"20 inch Sport")</f>
        <v>20 inch Sport</v>
      </c>
      <c r="Q572" t="str">
        <f>IFERROR(__xludf.DUMMYFUNCTION("""COMPUTED_VALUE"""),"White seats")</f>
        <v>White seats</v>
      </c>
      <c r="R572" t="str">
        <f>IFERROR(__xludf.DUMMYFUNCTION("""COMPUTED_VALUE"""),"Full Self-Driving")</f>
        <v>Full Self-Driving</v>
      </c>
      <c r="X572" t="str">
        <f>IFERROR(__xludf.DUMMYFUNCTION("""COMPUTED_VALUE"""),"Excellent")</f>
        <v>Excellent</v>
      </c>
      <c r="Y572" t="str">
        <f>IFERROR(__xludf.DUMMYFUNCTION("""COMPUTED_VALUE"""),"Excellent")</f>
        <v>Excellent</v>
      </c>
      <c r="Z572" t="str">
        <f>IFERROR(__xludf.DUMMYFUNCTION("""COMPUTED_VALUE"""),"Excellent")</f>
        <v>Excellent</v>
      </c>
      <c r="AA572" t="str">
        <f>IFERROR(__xludf.DUMMYFUNCTION("""COMPUTED_VALUE"""),"Poor")</f>
        <v>Poor</v>
      </c>
      <c r="AB572" t="str">
        <f>IFERROR(__xludf.DUMMYFUNCTION("""COMPUTED_VALUE"""),"Fair")</f>
        <v>Fair</v>
      </c>
      <c r="AC572">
        <f>IFERROR(__xludf.DUMMYFUNCTION("""COMPUTED_VALUE"""),0.0)</f>
        <v>0</v>
      </c>
      <c r="AD572">
        <f>IFERROR(__xludf.DUMMYFUNCTION("""COMPUTED_VALUE"""),0.0)</f>
        <v>0</v>
      </c>
      <c r="AE572">
        <f>IFERROR(__xludf.DUMMYFUNCTION("""COMPUTED_VALUE"""),0.0)</f>
        <v>0</v>
      </c>
      <c r="AG572" t="str">
        <f>IFERROR(__xludf.DUMMYFUNCTION("""COMPUTED_VALUE"""),"Reserved 3/31/2016. Ordered Performance 6/27/2018. Edited order from Performance to LR AWD on 7/24/2018. Reverted to Performance on 8/1/2018. Upgraded to Performance Upgrade Package on 8/2/2018. Asked to confirm trade-in and payment details on 8/4/2018. C"&amp;"alled support and received VIN on 8/6/2018. Delivery Advisor called on 8/11/2018 to schedule delivery for 8/20/2018. Delivery postponed on 8/20/2018 due to late arrival of delivery truck. Delivery Specialist called on 8/22/2018 to reschedule delivery for "&amp;"8/24/2018 due to paint issues. Delivery Specialist called again on 8/23/2018 to postpone delivery due to paint issues not being fixable on site. Delivery Specialist texted on 8/29/2018 that vehicle was ready for pickup. Scheduled delivery on 8/30/2018 for"&amp;" that day at 5pm.")</f>
        <v>Reserved 3/31/2016. Ordered Performance 6/27/2018. Edited order from Performance to LR AWD on 7/24/2018. Reverted to Performance on 8/1/2018. Upgraded to Performance Upgrade Package on 8/2/2018. Asked to confirm trade-in and payment details on 8/4/2018. Called support and received VIN on 8/6/2018. Delivery Advisor called on 8/11/2018 to schedule delivery for 8/20/2018. Delivery postponed on 8/20/2018 due to late arrival of delivery truck. Delivery Specialist called on 8/22/2018 to reschedule delivery for 8/24/2018 due to paint issues. Delivery Specialist called again on 8/23/2018 to postpone delivery due to paint issues not being fixable on site. Delivery Specialist texted on 8/29/2018 that vehicle was ready for pickup. Scheduled delivery on 8/30/2018 for that day at 5pm.</v>
      </c>
      <c r="AH572" s="189">
        <f>IFERROR(__xludf.DUMMYFUNCTION("""COMPUTED_VALUE"""),43344.66604247685)</f>
        <v>43344.66604</v>
      </c>
    </row>
    <row r="573">
      <c r="A573" t="str">
        <f>IFERROR(__xludf.DUMMYFUNCTION("""COMPUTED_VALUE"""),"drgoks")</f>
        <v>drgoks</v>
      </c>
      <c r="B573" t="str">
        <f>IFERROR(__xludf.DUMMYFUNCTION("""COMPUTED_VALUE"""),"Greensboro")</f>
        <v>Greensboro</v>
      </c>
      <c r="C573" t="str">
        <f>IFERROR(__xludf.DUMMYFUNCTION("""COMPUTED_VALUE"""),"NC")</f>
        <v>NC</v>
      </c>
      <c r="D573" t="str">
        <f>IFERROR(__xludf.DUMMYFUNCTION("""COMPUTED_VALUE"""),"USA")</f>
        <v>USA</v>
      </c>
      <c r="E573" s="188">
        <f>IFERROR(__xludf.DUMMYFUNCTION("""COMPUTED_VALUE"""),43280.0)</f>
        <v>43280</v>
      </c>
      <c r="F573" s="188">
        <f>IFERROR(__xludf.DUMMYFUNCTION("""COMPUTED_VALUE"""),43332.0)</f>
        <v>43332</v>
      </c>
      <c r="H573">
        <f>IFERROR(__xludf.DUMMYFUNCTION("""COMPUTED_VALUE"""),66255.0)</f>
        <v>66255</v>
      </c>
      <c r="I573" t="str">
        <f>IFERROR(__xludf.DUMMYFUNCTION("""COMPUTED_VALUE"""),"08/18")</f>
        <v>08/18</v>
      </c>
      <c r="J573" s="5">
        <f>IFERROR(__xludf.DUMMYFUNCTION("""COMPUTED_VALUE"""),43344.0)</f>
        <v>43344</v>
      </c>
      <c r="K573">
        <f>IFERROR(__xludf.DUMMYFUNCTION("""COMPUTED_VALUE"""),52.0)</f>
        <v>52</v>
      </c>
      <c r="L573">
        <f>IFERROR(__xludf.DUMMYFUNCTION("""COMPUTED_VALUE"""),12.0)</f>
        <v>12</v>
      </c>
      <c r="M573">
        <f>IFERROR(__xludf.DUMMYFUNCTION("""COMPUTED_VALUE"""),64.0)</f>
        <v>64</v>
      </c>
      <c r="N573" t="str">
        <f>IFERROR(__xludf.DUMMYFUNCTION("""COMPUTED_VALUE"""),"Model 3 LR AWD")</f>
        <v>Model 3 LR AWD</v>
      </c>
      <c r="O573" t="str">
        <f>IFERROR(__xludf.DUMMYFUNCTION("""COMPUTED_VALUE"""),"Midnight Silver Metallic")</f>
        <v>Midnight Silver Metallic</v>
      </c>
      <c r="P573" t="str">
        <f>IFERROR(__xludf.DUMMYFUNCTION("""COMPUTED_VALUE"""),"18 inch Aero")</f>
        <v>18 inch Aero</v>
      </c>
      <c r="Q573" t="str">
        <f>IFERROR(__xludf.DUMMYFUNCTION("""COMPUTED_VALUE"""),"Black seats")</f>
        <v>Black seats</v>
      </c>
      <c r="R573" t="str">
        <f>IFERROR(__xludf.DUMMYFUNCTION("""COMPUTED_VALUE"""),"Enhanced Autopilot")</f>
        <v>Enhanced Autopilot</v>
      </c>
      <c r="X573" t="str">
        <f>IFERROR(__xludf.DUMMYFUNCTION("""COMPUTED_VALUE"""),"Excellent")</f>
        <v>Excellent</v>
      </c>
      <c r="Y573" t="str">
        <f>IFERROR(__xludf.DUMMYFUNCTION("""COMPUTED_VALUE"""),"Excellent")</f>
        <v>Excellent</v>
      </c>
      <c r="Z573" t="str">
        <f>IFERROR(__xludf.DUMMYFUNCTION("""COMPUTED_VALUE"""),"Very Good")</f>
        <v>Very Good</v>
      </c>
      <c r="AA573" t="str">
        <f>IFERROR(__xludf.DUMMYFUNCTION("""COMPUTED_VALUE"""),"Excellent")</f>
        <v>Excellent</v>
      </c>
      <c r="AB573" t="str">
        <f>IFERROR(__xludf.DUMMYFUNCTION("""COMPUTED_VALUE"""),"Very Good")</f>
        <v>Very Good</v>
      </c>
      <c r="AH573" s="189">
        <f>IFERROR(__xludf.DUMMYFUNCTION("""COMPUTED_VALUE"""),43344.698985243056)</f>
        <v>43344.69899</v>
      </c>
    </row>
    <row r="574">
      <c r="A574" t="str">
        <f>IFERROR(__xludf.DUMMYFUNCTION("""COMPUTED_VALUE"""),"Airtower")</f>
        <v>Airtower</v>
      </c>
      <c r="B574" t="str">
        <f>IFERROR(__xludf.DUMMYFUNCTION("""COMPUTED_VALUE"""),"Los Angeles")</f>
        <v>Los Angeles</v>
      </c>
      <c r="C574" t="str">
        <f>IFERROR(__xludf.DUMMYFUNCTION("""COMPUTED_VALUE"""),"CA")</f>
        <v>CA</v>
      </c>
      <c r="D574" t="str">
        <f>IFERROR(__xludf.DUMMYFUNCTION("""COMPUTED_VALUE"""),"USA")</f>
        <v>USA</v>
      </c>
      <c r="E574" s="188">
        <f>IFERROR(__xludf.DUMMYFUNCTION("""COMPUTED_VALUE"""),43330.0)</f>
        <v>43330</v>
      </c>
      <c r="F574" s="188">
        <f>IFERROR(__xludf.DUMMYFUNCTION("""COMPUTED_VALUE"""),43335.0)</f>
        <v>43335</v>
      </c>
      <c r="H574">
        <f>IFERROR(__xludf.DUMMYFUNCTION("""COMPUTED_VALUE"""),51855.0)</f>
        <v>51855</v>
      </c>
      <c r="J574" s="5">
        <f>IFERROR(__xludf.DUMMYFUNCTION("""COMPUTED_VALUE"""),43342.0)</f>
        <v>43342</v>
      </c>
      <c r="K574">
        <f>IFERROR(__xludf.DUMMYFUNCTION("""COMPUTED_VALUE"""),5.0)</f>
        <v>5</v>
      </c>
      <c r="L574">
        <f>IFERROR(__xludf.DUMMYFUNCTION("""COMPUTED_VALUE"""),7.0)</f>
        <v>7</v>
      </c>
      <c r="M574">
        <f>IFERROR(__xludf.DUMMYFUNCTION("""COMPUTED_VALUE"""),12.0)</f>
        <v>12</v>
      </c>
      <c r="N574" t="str">
        <f>IFERROR(__xludf.DUMMYFUNCTION("""COMPUTED_VALUE"""),"Model 3 LR")</f>
        <v>Model 3 LR</v>
      </c>
      <c r="O574" t="str">
        <f>IFERROR(__xludf.DUMMYFUNCTION("""COMPUTED_VALUE"""),"Solid Black")</f>
        <v>Solid Black</v>
      </c>
      <c r="P574" t="str">
        <f>IFERROR(__xludf.DUMMYFUNCTION("""COMPUTED_VALUE"""),"18 inch Aero")</f>
        <v>18 inch Aero</v>
      </c>
      <c r="Q574" t="str">
        <f>IFERROR(__xludf.DUMMYFUNCTION("""COMPUTED_VALUE"""),"Black seats")</f>
        <v>Black seats</v>
      </c>
      <c r="R574" t="str">
        <f>IFERROR(__xludf.DUMMYFUNCTION("""COMPUTED_VALUE"""),"None")</f>
        <v>None</v>
      </c>
      <c r="X574" t="str">
        <f>IFERROR(__xludf.DUMMYFUNCTION("""COMPUTED_VALUE"""),"Excellent")</f>
        <v>Excellent</v>
      </c>
      <c r="Y574" t="str">
        <f>IFERROR(__xludf.DUMMYFUNCTION("""COMPUTED_VALUE"""),"Very Good")</f>
        <v>Very Good</v>
      </c>
      <c r="Z574" t="str">
        <f>IFERROR(__xludf.DUMMYFUNCTION("""COMPUTED_VALUE"""),"Good")</f>
        <v>Good</v>
      </c>
      <c r="AA574" t="str">
        <f>IFERROR(__xludf.DUMMYFUNCTION("""COMPUTED_VALUE"""),"Very Good")</f>
        <v>Very Good</v>
      </c>
      <c r="AB574" t="str">
        <f>IFERROR(__xludf.DUMMYFUNCTION("""COMPUTED_VALUE"""),"Excellent")</f>
        <v>Excellent</v>
      </c>
      <c r="AC574">
        <f>IFERROR(__xludf.DUMMYFUNCTION("""COMPUTED_VALUE"""),1.0)</f>
        <v>1</v>
      </c>
      <c r="AD574">
        <f>IFERROR(__xludf.DUMMYFUNCTION("""COMPUTED_VALUE"""),1.0)</f>
        <v>1</v>
      </c>
      <c r="AE574">
        <f>IFERROR(__xludf.DUMMYFUNCTION("""COMPUTED_VALUE"""),0.0)</f>
        <v>0</v>
      </c>
      <c r="AH574" s="189">
        <f>IFERROR(__xludf.DUMMYFUNCTION("""COMPUTED_VALUE"""),43344.72644079861)</f>
        <v>43344.72644</v>
      </c>
    </row>
    <row r="575">
      <c r="A575" t="str">
        <f>IFERROR(__xludf.DUMMYFUNCTION("""COMPUTED_VALUE"""),"model3finalleee")</f>
        <v>model3finalleee</v>
      </c>
      <c r="B575" t="str">
        <f>IFERROR(__xludf.DUMMYFUNCTION("""COMPUTED_VALUE"""),"Sparks")</f>
        <v>Sparks</v>
      </c>
      <c r="C575" t="str">
        <f>IFERROR(__xludf.DUMMYFUNCTION("""COMPUTED_VALUE"""),"NV")</f>
        <v>NV</v>
      </c>
      <c r="D575" t="str">
        <f>IFERROR(__xludf.DUMMYFUNCTION("""COMPUTED_VALUE"""),"USA")</f>
        <v>USA</v>
      </c>
      <c r="E575" s="188">
        <f>IFERROR(__xludf.DUMMYFUNCTION("""COMPUTED_VALUE"""),43279.0)</f>
        <v>43279</v>
      </c>
      <c r="F575" s="188">
        <f>IFERROR(__xludf.DUMMYFUNCTION("""COMPUTED_VALUE"""),43337.0)</f>
        <v>43337</v>
      </c>
      <c r="H575" s="4">
        <f>IFERROR(__xludf.DUMMYFUNCTION("""COMPUTED_VALUE"""),66685.0)</f>
        <v>66685</v>
      </c>
      <c r="I575" t="str">
        <f>IFERROR(__xludf.DUMMYFUNCTION("""COMPUTED_VALUE"""),"08/18")</f>
        <v>08/18</v>
      </c>
      <c r="J575" s="5">
        <f>IFERROR(__xludf.DUMMYFUNCTION("""COMPUTED_VALUE"""),42614.0)</f>
        <v>42614</v>
      </c>
      <c r="K575">
        <f>IFERROR(__xludf.DUMMYFUNCTION("""COMPUTED_VALUE"""),58.0)</f>
        <v>58</v>
      </c>
      <c r="N575" t="str">
        <f>IFERROR(__xludf.DUMMYFUNCTION("""COMPUTED_VALUE"""),"Model 3 LR AWD")</f>
        <v>Model 3 LR AWD</v>
      </c>
      <c r="O575" t="str">
        <f>IFERROR(__xludf.DUMMYFUNCTION("""COMPUTED_VALUE"""),"Midnight Silver Metallic")</f>
        <v>Midnight Silver Metallic</v>
      </c>
      <c r="P575" t="str">
        <f>IFERROR(__xludf.DUMMYFUNCTION("""COMPUTED_VALUE"""),"18 inch Aero")</f>
        <v>18 inch Aero</v>
      </c>
      <c r="Q575" t="str">
        <f>IFERROR(__xludf.DUMMYFUNCTION("""COMPUTED_VALUE"""),"Black seats")</f>
        <v>Black seats</v>
      </c>
      <c r="R575" t="str">
        <f>IFERROR(__xludf.DUMMYFUNCTION("""COMPUTED_VALUE"""),"Enhanced Autopilot")</f>
        <v>Enhanced Autopilot</v>
      </c>
      <c r="X575" t="str">
        <f>IFERROR(__xludf.DUMMYFUNCTION("""COMPUTED_VALUE"""),"Very Good")</f>
        <v>Very Good</v>
      </c>
      <c r="Y575" t="str">
        <f>IFERROR(__xludf.DUMMYFUNCTION("""COMPUTED_VALUE"""),"Excellent")</f>
        <v>Excellent</v>
      </c>
      <c r="Z575" t="str">
        <f>IFERROR(__xludf.DUMMYFUNCTION("""COMPUTED_VALUE"""),"Excellent")</f>
        <v>Excellent</v>
      </c>
      <c r="AA575" t="str">
        <f>IFERROR(__xludf.DUMMYFUNCTION("""COMPUTED_VALUE"""),"Poor")</f>
        <v>Poor</v>
      </c>
      <c r="AB575" t="str">
        <f>IFERROR(__xludf.DUMMYFUNCTION("""COMPUTED_VALUE"""),"Fair")</f>
        <v>Fair</v>
      </c>
      <c r="AH575" s="189">
        <f>IFERROR(__xludf.DUMMYFUNCTION("""COMPUTED_VALUE"""),43344.805005462964)</f>
        <v>43344.80501</v>
      </c>
    </row>
    <row r="576">
      <c r="A576" t="str">
        <f>IFERROR(__xludf.DUMMYFUNCTION("""COMPUTED_VALUE"""),"xboxslacker")</f>
        <v>xboxslacker</v>
      </c>
      <c r="B576" t="str">
        <f>IFERROR(__xludf.DUMMYFUNCTION("""COMPUTED_VALUE"""),"Seattle")</f>
        <v>Seattle</v>
      </c>
      <c r="C576" t="str">
        <f>IFERROR(__xludf.DUMMYFUNCTION("""COMPUTED_VALUE"""),"WA")</f>
        <v>WA</v>
      </c>
      <c r="D576" t="str">
        <f>IFERROR(__xludf.DUMMYFUNCTION("""COMPUTED_VALUE"""),"USA")</f>
        <v>USA</v>
      </c>
      <c r="E576" s="188">
        <f>IFERROR(__xludf.DUMMYFUNCTION("""COMPUTED_VALUE"""),43277.0)</f>
        <v>43277</v>
      </c>
      <c r="F576" s="188">
        <f>IFERROR(__xludf.DUMMYFUNCTION("""COMPUTED_VALUE"""),43332.0)</f>
        <v>43332</v>
      </c>
      <c r="H576">
        <f>IFERROR(__xludf.DUMMYFUNCTION("""COMPUTED_VALUE"""),72255.0)</f>
        <v>72255</v>
      </c>
      <c r="I576" t="str">
        <f>IFERROR(__xludf.DUMMYFUNCTION("""COMPUTED_VALUE"""),"08/18")</f>
        <v>08/18</v>
      </c>
      <c r="J576" s="5">
        <f>IFERROR(__xludf.DUMMYFUNCTION("""COMPUTED_VALUE"""),43342.0)</f>
        <v>43342</v>
      </c>
      <c r="K576">
        <f>IFERROR(__xludf.DUMMYFUNCTION("""COMPUTED_VALUE"""),55.0)</f>
        <v>55</v>
      </c>
      <c r="L576">
        <f>IFERROR(__xludf.DUMMYFUNCTION("""COMPUTED_VALUE"""),10.0)</f>
        <v>10</v>
      </c>
      <c r="M576">
        <f>IFERROR(__xludf.DUMMYFUNCTION("""COMPUTED_VALUE"""),65.0)</f>
        <v>65</v>
      </c>
      <c r="N576" t="str">
        <f>IFERROR(__xludf.DUMMYFUNCTION("""COMPUTED_VALUE"""),"Model 3 Performance")</f>
        <v>Model 3 Performance</v>
      </c>
      <c r="O576" t="str">
        <f>IFERROR(__xludf.DUMMYFUNCTION("""COMPUTED_VALUE"""),"Deep Blue Metallic")</f>
        <v>Deep Blue Metallic</v>
      </c>
      <c r="P576" t="str">
        <f>IFERROR(__xludf.DUMMYFUNCTION("""COMPUTED_VALUE"""),"20 inch Sport")</f>
        <v>20 inch Sport</v>
      </c>
      <c r="Q576" t="str">
        <f>IFERROR(__xludf.DUMMYFUNCTION("""COMPUTED_VALUE"""),"Black seats")</f>
        <v>Black seats</v>
      </c>
      <c r="R576" t="str">
        <f>IFERROR(__xludf.DUMMYFUNCTION("""COMPUTED_VALUE"""),"Enhanced Autopilot")</f>
        <v>Enhanced Autopilot</v>
      </c>
      <c r="X576" t="str">
        <f>IFERROR(__xludf.DUMMYFUNCTION("""COMPUTED_VALUE"""),"Excellent")</f>
        <v>Excellent</v>
      </c>
      <c r="Y576" t="str">
        <f>IFERROR(__xludf.DUMMYFUNCTION("""COMPUTED_VALUE"""),"Excellent")</f>
        <v>Excellent</v>
      </c>
      <c r="Z576" t="str">
        <f>IFERROR(__xludf.DUMMYFUNCTION("""COMPUTED_VALUE"""),"Excellent")</f>
        <v>Excellent</v>
      </c>
      <c r="AA576" t="str">
        <f>IFERROR(__xludf.DUMMYFUNCTION("""COMPUTED_VALUE"""),"Very Good")</f>
        <v>Very Good</v>
      </c>
      <c r="AB576" t="str">
        <f>IFERROR(__xludf.DUMMYFUNCTION("""COMPUTED_VALUE"""),"Very Good")</f>
        <v>Very Good</v>
      </c>
      <c r="AH576" s="189">
        <f>IFERROR(__xludf.DUMMYFUNCTION("""COMPUTED_VALUE"""),43344.91305768519)</f>
        <v>43344.91306</v>
      </c>
    </row>
    <row r="577">
      <c r="A577" t="str">
        <f>IFERROR(__xludf.DUMMYFUNCTION("""COMPUTED_VALUE"""),"Bokonon")</f>
        <v>Bokonon</v>
      </c>
      <c r="B577" t="str">
        <f>IFERROR(__xludf.DUMMYFUNCTION("""COMPUTED_VALUE"""),"Newton")</f>
        <v>Newton</v>
      </c>
      <c r="C577" t="str">
        <f>IFERROR(__xludf.DUMMYFUNCTION("""COMPUTED_VALUE"""),"MA")</f>
        <v>MA</v>
      </c>
      <c r="D577" t="str">
        <f>IFERROR(__xludf.DUMMYFUNCTION("""COMPUTED_VALUE"""),"USA")</f>
        <v>USA</v>
      </c>
      <c r="E577" s="188">
        <f>IFERROR(__xludf.DUMMYFUNCTION("""COMPUTED_VALUE"""),43243.0)</f>
        <v>43243</v>
      </c>
      <c r="F577" s="188">
        <f>IFERROR(__xludf.DUMMYFUNCTION("""COMPUTED_VALUE"""),43317.0)</f>
        <v>43317</v>
      </c>
      <c r="H577">
        <f>IFERROR(__xludf.DUMMYFUNCTION("""COMPUTED_VALUE"""),63755.0)</f>
        <v>63755</v>
      </c>
      <c r="I577" t="str">
        <f>IFERROR(__xludf.DUMMYFUNCTION("""COMPUTED_VALUE"""),"08/18")</f>
        <v>08/18</v>
      </c>
      <c r="J577" s="5">
        <f>IFERROR(__xludf.DUMMYFUNCTION("""COMPUTED_VALUE"""),43343.0)</f>
        <v>43343</v>
      </c>
      <c r="K577">
        <f>IFERROR(__xludf.DUMMYFUNCTION("""COMPUTED_VALUE"""),74.0)</f>
        <v>74</v>
      </c>
      <c r="L577">
        <f>IFERROR(__xludf.DUMMYFUNCTION("""COMPUTED_VALUE"""),26.0)</f>
        <v>26</v>
      </c>
      <c r="M577">
        <f>IFERROR(__xludf.DUMMYFUNCTION("""COMPUTED_VALUE"""),100.0)</f>
        <v>100</v>
      </c>
      <c r="N577" t="str">
        <f>IFERROR(__xludf.DUMMYFUNCTION("""COMPUTED_VALUE"""),"Model 3 LR AWD")</f>
        <v>Model 3 LR AWD</v>
      </c>
      <c r="O577" t="str">
        <f>IFERROR(__xludf.DUMMYFUNCTION("""COMPUTED_VALUE"""),"Deep Blue Metallic")</f>
        <v>Deep Blue Metallic</v>
      </c>
      <c r="P577" t="str">
        <f>IFERROR(__xludf.DUMMYFUNCTION("""COMPUTED_VALUE"""),"19 inch Sport")</f>
        <v>19 inch Sport</v>
      </c>
      <c r="Q577" t="str">
        <f>IFERROR(__xludf.DUMMYFUNCTION("""COMPUTED_VALUE"""),"Black seats")</f>
        <v>Black seats</v>
      </c>
      <c r="R577" t="str">
        <f>IFERROR(__xludf.DUMMYFUNCTION("""COMPUTED_VALUE"""),"Enhanced Autopilot")</f>
        <v>Enhanced Autopilot</v>
      </c>
      <c r="X577" t="str">
        <f>IFERROR(__xludf.DUMMYFUNCTION("""COMPUTED_VALUE"""),"Excellent")</f>
        <v>Excellent</v>
      </c>
      <c r="Y577" t="str">
        <f>IFERROR(__xludf.DUMMYFUNCTION("""COMPUTED_VALUE"""),"Excellent")</f>
        <v>Excellent</v>
      </c>
      <c r="Z577" t="str">
        <f>IFERROR(__xludf.DUMMYFUNCTION("""COMPUTED_VALUE"""),"Good")</f>
        <v>Good</v>
      </c>
      <c r="AA577" t="str">
        <f>IFERROR(__xludf.DUMMYFUNCTION("""COMPUTED_VALUE"""),"Good")</f>
        <v>Good</v>
      </c>
      <c r="AB577" t="str">
        <f>IFERROR(__xludf.DUMMYFUNCTION("""COMPUTED_VALUE"""),"Very Good")</f>
        <v>Very Good</v>
      </c>
      <c r="AH577" s="189">
        <f>IFERROR(__xludf.DUMMYFUNCTION("""COMPUTED_VALUE"""),43344.935612719906)</f>
        <v>43344.93561</v>
      </c>
    </row>
    <row r="578">
      <c r="A578" t="str">
        <f>IFERROR(__xludf.DUMMYFUNCTION("""COMPUTED_VALUE"""),"cosmotherobot")</f>
        <v>cosmotherobot</v>
      </c>
      <c r="B578" t="str">
        <f>IFERROR(__xludf.DUMMYFUNCTION("""COMPUTED_VALUE"""),"salem")</f>
        <v>salem</v>
      </c>
      <c r="C578" t="str">
        <f>IFERROR(__xludf.DUMMYFUNCTION("""COMPUTED_VALUE"""),"OR")</f>
        <v>OR</v>
      </c>
      <c r="D578" t="str">
        <f>IFERROR(__xludf.DUMMYFUNCTION("""COMPUTED_VALUE"""),"USA")</f>
        <v>USA</v>
      </c>
      <c r="E578" s="188">
        <f>IFERROR(__xludf.DUMMYFUNCTION("""COMPUTED_VALUE"""),43279.0)</f>
        <v>43279</v>
      </c>
      <c r="F578" s="188">
        <f>IFERROR(__xludf.DUMMYFUNCTION("""COMPUTED_VALUE"""),43338.0)</f>
        <v>43338</v>
      </c>
      <c r="H578">
        <f>IFERROR(__xludf.DUMMYFUNCTION("""COMPUTED_VALUE"""),69455.0)</f>
        <v>69455</v>
      </c>
      <c r="J578" s="5">
        <f>IFERROR(__xludf.DUMMYFUNCTION("""COMPUTED_VALUE"""),43344.0)</f>
        <v>43344</v>
      </c>
      <c r="K578">
        <f>IFERROR(__xludf.DUMMYFUNCTION("""COMPUTED_VALUE"""),59.0)</f>
        <v>59</v>
      </c>
      <c r="L578">
        <f>IFERROR(__xludf.DUMMYFUNCTION("""COMPUTED_VALUE"""),6.0)</f>
        <v>6</v>
      </c>
      <c r="M578">
        <f>IFERROR(__xludf.DUMMYFUNCTION("""COMPUTED_VALUE"""),65.0)</f>
        <v>65</v>
      </c>
      <c r="N578" t="str">
        <f>IFERROR(__xludf.DUMMYFUNCTION("""COMPUTED_VALUE"""),"Model 3 LR AWD")</f>
        <v>Model 3 LR AWD</v>
      </c>
      <c r="O578" t="str">
        <f>IFERROR(__xludf.DUMMYFUNCTION("""COMPUTED_VALUE"""),"Red Multi-Coat")</f>
        <v>Red Multi-Coat</v>
      </c>
      <c r="P578" t="str">
        <f>IFERROR(__xludf.DUMMYFUNCTION("""COMPUTED_VALUE"""),"18 inch Aero")</f>
        <v>18 inch Aero</v>
      </c>
      <c r="Q578" t="str">
        <f>IFERROR(__xludf.DUMMYFUNCTION("""COMPUTED_VALUE"""),"Black seats")</f>
        <v>Black seats</v>
      </c>
      <c r="R578" t="str">
        <f>IFERROR(__xludf.DUMMYFUNCTION("""COMPUTED_VALUE"""),"Full Self-Driving")</f>
        <v>Full Self-Driving</v>
      </c>
      <c r="X578" t="str">
        <f>IFERROR(__xludf.DUMMYFUNCTION("""COMPUTED_VALUE"""),"Very Good")</f>
        <v>Very Good</v>
      </c>
      <c r="Y578" t="str">
        <f>IFERROR(__xludf.DUMMYFUNCTION("""COMPUTED_VALUE"""),"Very Good")</f>
        <v>Very Good</v>
      </c>
      <c r="Z578" t="str">
        <f>IFERROR(__xludf.DUMMYFUNCTION("""COMPUTED_VALUE"""),"Good")</f>
        <v>Good</v>
      </c>
      <c r="AA578" t="str">
        <f>IFERROR(__xludf.DUMMYFUNCTION("""COMPUTED_VALUE"""),"Poor")</f>
        <v>Poor</v>
      </c>
      <c r="AB578" t="str">
        <f>IFERROR(__xludf.DUMMYFUNCTION("""COMPUTED_VALUE"""),"Very Good")</f>
        <v>Very Good</v>
      </c>
      <c r="AH578" s="189">
        <f>IFERROR(__xludf.DUMMYFUNCTION("""COMPUTED_VALUE"""),43344.97534938657)</f>
        <v>43344.97535</v>
      </c>
    </row>
    <row r="579">
      <c r="A579" t="str">
        <f>IFERROR(__xludf.DUMMYFUNCTION("""COMPUTED_VALUE"""),"Dutchie")</f>
        <v>Dutchie</v>
      </c>
      <c r="B579" t="str">
        <f>IFERROR(__xludf.DUMMYFUNCTION("""COMPUTED_VALUE"""),"Guelph")</f>
        <v>Guelph</v>
      </c>
      <c r="C579" t="str">
        <f>IFERROR(__xludf.DUMMYFUNCTION("""COMPUTED_VALUE"""),"ON")</f>
        <v>ON</v>
      </c>
      <c r="D579" t="str">
        <f>IFERROR(__xludf.DUMMYFUNCTION("""COMPUTED_VALUE"""),"Canada")</f>
        <v>Canada</v>
      </c>
      <c r="E579" s="188">
        <f>IFERROR(__xludf.DUMMYFUNCTION("""COMPUTED_VALUE"""),43279.0)</f>
        <v>43279</v>
      </c>
      <c r="F579" s="188">
        <f>IFERROR(__xludf.DUMMYFUNCTION("""COMPUTED_VALUE"""),43336.0)</f>
        <v>43336</v>
      </c>
      <c r="H579">
        <f>IFERROR(__xludf.DUMMYFUNCTION("""COMPUTED_VALUE"""),96655.0)</f>
        <v>96655</v>
      </c>
      <c r="I579" t="str">
        <f>IFERROR(__xludf.DUMMYFUNCTION("""COMPUTED_VALUE"""),"08/18")</f>
        <v>08/18</v>
      </c>
      <c r="J579" s="5">
        <f>IFERROR(__xludf.DUMMYFUNCTION("""COMPUTED_VALUE"""),43344.0)</f>
        <v>43344</v>
      </c>
      <c r="K579">
        <f>IFERROR(__xludf.DUMMYFUNCTION("""COMPUTED_VALUE"""),57.0)</f>
        <v>57</v>
      </c>
      <c r="L579">
        <f>IFERROR(__xludf.DUMMYFUNCTION("""COMPUTED_VALUE"""),8.0)</f>
        <v>8</v>
      </c>
      <c r="M579">
        <f>IFERROR(__xludf.DUMMYFUNCTION("""COMPUTED_VALUE"""),65.0)</f>
        <v>65</v>
      </c>
      <c r="N579" t="str">
        <f>IFERROR(__xludf.DUMMYFUNCTION("""COMPUTED_VALUE"""),"Model 3 LR")</f>
        <v>Model 3 LR</v>
      </c>
      <c r="O579" t="str">
        <f>IFERROR(__xludf.DUMMYFUNCTION("""COMPUTED_VALUE"""),"Solid Black")</f>
        <v>Solid Black</v>
      </c>
      <c r="P579" t="str">
        <f>IFERROR(__xludf.DUMMYFUNCTION("""COMPUTED_VALUE"""),"18 inch Aero")</f>
        <v>18 inch Aero</v>
      </c>
      <c r="Q579" t="str">
        <f>IFERROR(__xludf.DUMMYFUNCTION("""COMPUTED_VALUE"""),"Black seats")</f>
        <v>Black seats</v>
      </c>
      <c r="R579" t="str">
        <f>IFERROR(__xludf.DUMMYFUNCTION("""COMPUTED_VALUE"""),"None")</f>
        <v>None</v>
      </c>
      <c r="X579" t="str">
        <f>IFERROR(__xludf.DUMMYFUNCTION("""COMPUTED_VALUE"""),"Excellent")</f>
        <v>Excellent</v>
      </c>
      <c r="Y579" t="str">
        <f>IFERROR(__xludf.DUMMYFUNCTION("""COMPUTED_VALUE"""),"Excellent")</f>
        <v>Excellent</v>
      </c>
      <c r="Z579" t="str">
        <f>IFERROR(__xludf.DUMMYFUNCTION("""COMPUTED_VALUE"""),"Excellent")</f>
        <v>Excellent</v>
      </c>
      <c r="AA579" t="str">
        <f>IFERROR(__xludf.DUMMYFUNCTION("""COMPUTED_VALUE"""),"Excellent")</f>
        <v>Excellent</v>
      </c>
      <c r="AB579" t="str">
        <f>IFERROR(__xludf.DUMMYFUNCTION("""COMPUTED_VALUE"""),"Excellent")</f>
        <v>Excellent</v>
      </c>
      <c r="AH579" s="189">
        <f>IFERROR(__xludf.DUMMYFUNCTION("""COMPUTED_VALUE"""),43345.19500611111)</f>
        <v>43345.19501</v>
      </c>
    </row>
    <row r="580">
      <c r="A580" t="str">
        <f>IFERROR(__xludf.DUMMYFUNCTION("""COMPUTED_VALUE"""),"duvall348")</f>
        <v>duvall348</v>
      </c>
      <c r="B580" t="str">
        <f>IFERROR(__xludf.DUMMYFUNCTION("""COMPUTED_VALUE"""),"York")</f>
        <v>York</v>
      </c>
      <c r="C580" t="str">
        <f>IFERROR(__xludf.DUMMYFUNCTION("""COMPUTED_VALUE"""),"PA")</f>
        <v>PA</v>
      </c>
      <c r="D580" t="str">
        <f>IFERROR(__xludf.DUMMYFUNCTION("""COMPUTED_VALUE"""),"USA")</f>
        <v>USA</v>
      </c>
      <c r="E580" s="188">
        <f>IFERROR(__xludf.DUMMYFUNCTION("""COMPUTED_VALUE"""),43284.0)</f>
        <v>43284</v>
      </c>
      <c r="F580" s="188">
        <f>IFERROR(__xludf.DUMMYFUNCTION("""COMPUTED_VALUE"""),43311.0)</f>
        <v>43311</v>
      </c>
      <c r="H580">
        <f>IFERROR(__xludf.DUMMYFUNCTION("""COMPUTED_VALUE"""),45815.0)</f>
        <v>45815</v>
      </c>
      <c r="I580" t="str">
        <f>IFERROR(__xludf.DUMMYFUNCTION("""COMPUTED_VALUE"""),"07/18")</f>
        <v>07/18</v>
      </c>
      <c r="J580" s="5">
        <f>IFERROR(__xludf.DUMMYFUNCTION("""COMPUTED_VALUE"""),43326.0)</f>
        <v>43326</v>
      </c>
      <c r="K580">
        <f>IFERROR(__xludf.DUMMYFUNCTION("""COMPUTED_VALUE"""),27.0)</f>
        <v>27</v>
      </c>
      <c r="L580">
        <f>IFERROR(__xludf.DUMMYFUNCTION("""COMPUTED_VALUE"""),15.0)</f>
        <v>15</v>
      </c>
      <c r="M580">
        <f>IFERROR(__xludf.DUMMYFUNCTION("""COMPUTED_VALUE"""),42.0)</f>
        <v>42</v>
      </c>
      <c r="N580" t="str">
        <f>IFERROR(__xludf.DUMMYFUNCTION("""COMPUTED_VALUE"""),"Model 3 LR")</f>
        <v>Model 3 LR</v>
      </c>
      <c r="O580" t="str">
        <f>IFERROR(__xludf.DUMMYFUNCTION("""COMPUTED_VALUE"""),"Midnight Silver Metallic")</f>
        <v>Midnight Silver Metallic</v>
      </c>
      <c r="P580" t="str">
        <f>IFERROR(__xludf.DUMMYFUNCTION("""COMPUTED_VALUE"""),"18 inch Aero")</f>
        <v>18 inch Aero</v>
      </c>
      <c r="Q580" t="str">
        <f>IFERROR(__xludf.DUMMYFUNCTION("""COMPUTED_VALUE"""),"Black seats")</f>
        <v>Black seats</v>
      </c>
      <c r="R580" t="str">
        <f>IFERROR(__xludf.DUMMYFUNCTION("""COMPUTED_VALUE"""),"Enhanced Autopilot")</f>
        <v>Enhanced Autopilot</v>
      </c>
      <c r="X580" t="str">
        <f>IFERROR(__xludf.DUMMYFUNCTION("""COMPUTED_VALUE"""),"Excellent")</f>
        <v>Excellent</v>
      </c>
      <c r="Y580" t="str">
        <f>IFERROR(__xludf.DUMMYFUNCTION("""COMPUTED_VALUE"""),"Excellent")</f>
        <v>Excellent</v>
      </c>
      <c r="Z580" t="str">
        <f>IFERROR(__xludf.DUMMYFUNCTION("""COMPUTED_VALUE"""),"Very Good")</f>
        <v>Very Good</v>
      </c>
      <c r="AA580" t="str">
        <f>IFERROR(__xludf.DUMMYFUNCTION("""COMPUTED_VALUE"""),"Excellent")</f>
        <v>Excellent</v>
      </c>
      <c r="AB580" t="str">
        <f>IFERROR(__xludf.DUMMYFUNCTION("""COMPUTED_VALUE"""),"Excellent")</f>
        <v>Excellent</v>
      </c>
      <c r="AC580">
        <f>IFERROR(__xludf.DUMMYFUNCTION("""COMPUTED_VALUE"""),1.0)</f>
        <v>1</v>
      </c>
      <c r="AD580">
        <f>IFERROR(__xludf.DUMMYFUNCTION("""COMPUTED_VALUE"""),1.0)</f>
        <v>1</v>
      </c>
      <c r="AE580">
        <f>IFERROR(__xludf.DUMMYFUNCTION("""COMPUTED_VALUE"""),7.0)</f>
        <v>7</v>
      </c>
      <c r="AH580" s="189">
        <f>IFERROR(__xludf.DUMMYFUNCTION("""COMPUTED_VALUE"""),43345.35139969907)</f>
        <v>43345.3514</v>
      </c>
    </row>
    <row r="581">
      <c r="A581" t="str">
        <f>IFERROR(__xludf.DUMMYFUNCTION("""COMPUTED_VALUE"""),"Koflach")</f>
        <v>Koflach</v>
      </c>
      <c r="B581" t="str">
        <f>IFERROR(__xludf.DUMMYFUNCTION("""COMPUTED_VALUE"""),"Langley")</f>
        <v>Langley</v>
      </c>
      <c r="C581" t="str">
        <f>IFERROR(__xludf.DUMMYFUNCTION("""COMPUTED_VALUE"""),"BC")</f>
        <v>BC</v>
      </c>
      <c r="D581" t="str">
        <f>IFERROR(__xludf.DUMMYFUNCTION("""COMPUTED_VALUE"""),"Canada")</f>
        <v>Canada</v>
      </c>
      <c r="E581" s="188">
        <f>IFERROR(__xludf.DUMMYFUNCTION("""COMPUTED_VALUE"""),43279.0)</f>
        <v>43279</v>
      </c>
      <c r="F581" s="188">
        <f>IFERROR(__xludf.DUMMYFUNCTION("""COMPUTED_VALUE"""),43329.0)</f>
        <v>43329</v>
      </c>
      <c r="H581">
        <f>IFERROR(__xludf.DUMMYFUNCTION("""COMPUTED_VALUE"""),75705.0)</f>
        <v>75705</v>
      </c>
      <c r="J581" s="5">
        <f>IFERROR(__xludf.DUMMYFUNCTION("""COMPUTED_VALUE"""),43339.0)</f>
        <v>43339</v>
      </c>
      <c r="K581">
        <f>IFERROR(__xludf.DUMMYFUNCTION("""COMPUTED_VALUE"""),50.0)</f>
        <v>50</v>
      </c>
      <c r="L581">
        <f>IFERROR(__xludf.DUMMYFUNCTION("""COMPUTED_VALUE"""),10.0)</f>
        <v>10</v>
      </c>
      <c r="M581">
        <f>IFERROR(__xludf.DUMMYFUNCTION("""COMPUTED_VALUE"""),60.0)</f>
        <v>60</v>
      </c>
      <c r="N581" t="str">
        <f>IFERROR(__xludf.DUMMYFUNCTION("""COMPUTED_VALUE"""),"Model 3 LR")</f>
        <v>Model 3 LR</v>
      </c>
      <c r="O581" t="str">
        <f>IFERROR(__xludf.DUMMYFUNCTION("""COMPUTED_VALUE"""),"Red Multi-Coat")</f>
        <v>Red Multi-Coat</v>
      </c>
      <c r="P581" t="str">
        <f>IFERROR(__xludf.DUMMYFUNCTION("""COMPUTED_VALUE"""),"18 inch Aero")</f>
        <v>18 inch Aero</v>
      </c>
      <c r="Q581" t="str">
        <f>IFERROR(__xludf.DUMMYFUNCTION("""COMPUTED_VALUE"""),"Black seats")</f>
        <v>Black seats</v>
      </c>
      <c r="R581" t="str">
        <f>IFERROR(__xludf.DUMMYFUNCTION("""COMPUTED_VALUE"""),"None")</f>
        <v>None</v>
      </c>
      <c r="X581" t="str">
        <f>IFERROR(__xludf.DUMMYFUNCTION("""COMPUTED_VALUE"""),"Very Good")</f>
        <v>Very Good</v>
      </c>
      <c r="Y581" t="str">
        <f>IFERROR(__xludf.DUMMYFUNCTION("""COMPUTED_VALUE"""),"Excellent")</f>
        <v>Excellent</v>
      </c>
      <c r="Z581" t="str">
        <f>IFERROR(__xludf.DUMMYFUNCTION("""COMPUTED_VALUE"""),"Excellent")</f>
        <v>Excellent</v>
      </c>
      <c r="AA581" t="str">
        <f>IFERROR(__xludf.DUMMYFUNCTION("""COMPUTED_VALUE"""),"Very Good")</f>
        <v>Very Good</v>
      </c>
      <c r="AB581" t="str">
        <f>IFERROR(__xludf.DUMMYFUNCTION("""COMPUTED_VALUE"""),"Very Good")</f>
        <v>Very Good</v>
      </c>
      <c r="AC581">
        <f>IFERROR(__xludf.DUMMYFUNCTION("""COMPUTED_VALUE"""),2.0)</f>
        <v>2</v>
      </c>
      <c r="AD581">
        <f>IFERROR(__xludf.DUMMYFUNCTION("""COMPUTED_VALUE"""),1.0)</f>
        <v>1</v>
      </c>
      <c r="AE581">
        <f>IFERROR(__xludf.DUMMYFUNCTION("""COMPUTED_VALUE"""),0.0)</f>
        <v>0</v>
      </c>
      <c r="AH581" s="189">
        <f>IFERROR(__xludf.DUMMYFUNCTION("""COMPUTED_VALUE"""),43345.37697010417)</f>
        <v>43345.37697</v>
      </c>
    </row>
    <row r="582">
      <c r="A582" t="str">
        <f>IFERROR(__xludf.DUMMYFUNCTION("""COMPUTED_VALUE"""),"onesleepyshadow")</f>
        <v>onesleepyshadow</v>
      </c>
      <c r="B582" t="str">
        <f>IFERROR(__xludf.DUMMYFUNCTION("""COMPUTED_VALUE"""),"Atlanta")</f>
        <v>Atlanta</v>
      </c>
      <c r="C582" t="str">
        <f>IFERROR(__xludf.DUMMYFUNCTION("""COMPUTED_VALUE"""),"GA")</f>
        <v>GA</v>
      </c>
      <c r="D582" t="str">
        <f>IFERROR(__xludf.DUMMYFUNCTION("""COMPUTED_VALUE"""),"USA")</f>
        <v>USA</v>
      </c>
      <c r="E582" s="188">
        <f>IFERROR(__xludf.DUMMYFUNCTION("""COMPUTED_VALUE"""),43281.0)</f>
        <v>43281</v>
      </c>
      <c r="F582" s="188">
        <f>IFERROR(__xludf.DUMMYFUNCTION("""COMPUTED_VALUE"""),43340.0)</f>
        <v>43340</v>
      </c>
      <c r="H582">
        <f>IFERROR(__xludf.DUMMYFUNCTION("""COMPUTED_VALUE"""),64555.0)</f>
        <v>64555</v>
      </c>
      <c r="I582" t="str">
        <f>IFERROR(__xludf.DUMMYFUNCTION("""COMPUTED_VALUE"""),"08/18")</f>
        <v>08/18</v>
      </c>
      <c r="J582" s="5">
        <f>IFERROR(__xludf.DUMMYFUNCTION("""COMPUTED_VALUE"""),43344.0)</f>
        <v>43344</v>
      </c>
      <c r="K582">
        <f>IFERROR(__xludf.DUMMYFUNCTION("""COMPUTED_VALUE"""),59.0)</f>
        <v>59</v>
      </c>
      <c r="L582">
        <f>IFERROR(__xludf.DUMMYFUNCTION("""COMPUTED_VALUE"""),4.0)</f>
        <v>4</v>
      </c>
      <c r="M582">
        <f>IFERROR(__xludf.DUMMYFUNCTION("""COMPUTED_VALUE"""),63.0)</f>
        <v>63</v>
      </c>
      <c r="N582" t="str">
        <f>IFERROR(__xludf.DUMMYFUNCTION("""COMPUTED_VALUE"""),"Model 3 LR AWD")</f>
        <v>Model 3 LR AWD</v>
      </c>
      <c r="O582" t="str">
        <f>IFERROR(__xludf.DUMMYFUNCTION("""COMPUTED_VALUE"""),"Deep Blue Metallic")</f>
        <v>Deep Blue Metallic</v>
      </c>
      <c r="P582" t="str">
        <f>IFERROR(__xludf.DUMMYFUNCTION("""COMPUTED_VALUE"""),"18 inch Aero")</f>
        <v>18 inch Aero</v>
      </c>
      <c r="Q582" t="str">
        <f>IFERROR(__xludf.DUMMYFUNCTION("""COMPUTED_VALUE"""),"Black seats")</f>
        <v>Black seats</v>
      </c>
      <c r="R582" t="str">
        <f>IFERROR(__xludf.DUMMYFUNCTION("""COMPUTED_VALUE"""),"Enhanced Autopilot")</f>
        <v>Enhanced Autopilot</v>
      </c>
      <c r="X582" t="str">
        <f>IFERROR(__xludf.DUMMYFUNCTION("""COMPUTED_VALUE"""),"Excellent")</f>
        <v>Excellent</v>
      </c>
      <c r="Y582" t="str">
        <f>IFERROR(__xludf.DUMMYFUNCTION("""COMPUTED_VALUE"""),"Excellent")</f>
        <v>Excellent</v>
      </c>
      <c r="Z582" t="str">
        <f>IFERROR(__xludf.DUMMYFUNCTION("""COMPUTED_VALUE"""),"Good")</f>
        <v>Good</v>
      </c>
      <c r="AA582" t="str">
        <f>IFERROR(__xludf.DUMMYFUNCTION("""COMPUTED_VALUE"""),"Poor")</f>
        <v>Poor</v>
      </c>
      <c r="AB582" t="str">
        <f>IFERROR(__xludf.DUMMYFUNCTION("""COMPUTED_VALUE"""),"Poor")</f>
        <v>Poor</v>
      </c>
      <c r="AC582">
        <f>IFERROR(__xludf.DUMMYFUNCTION("""COMPUTED_VALUE"""),4.0)</f>
        <v>4</v>
      </c>
      <c r="AG582" t="str">
        <f>IFERROR(__xludf.DUMMYFUNCTION("""COMPUTED_VALUE"""),"Day 1 Holder. I really wanted SR + Premium but given the timeline and the tax credit I'm going with LR. I removed auto pilot to make up the difference")</f>
        <v>Day 1 Holder. I really wanted SR + Premium but given the timeline and the tax credit I'm going with LR. I removed auto pilot to make up the difference</v>
      </c>
      <c r="AH582" s="189">
        <f>IFERROR(__xludf.DUMMYFUNCTION("""COMPUTED_VALUE"""),43345.496997662034)</f>
        <v>43345.497</v>
      </c>
    </row>
    <row r="583">
      <c r="A583" t="str">
        <f>IFERROR(__xludf.DUMMYFUNCTION("""COMPUTED_VALUE"""),"puglet")</f>
        <v>puglet</v>
      </c>
      <c r="B583" t="str">
        <f>IFERROR(__xludf.DUMMYFUNCTION("""COMPUTED_VALUE"""),"Tempe")</f>
        <v>Tempe</v>
      </c>
      <c r="C583" t="str">
        <f>IFERROR(__xludf.DUMMYFUNCTION("""COMPUTED_VALUE"""),"AZ")</f>
        <v>AZ</v>
      </c>
      <c r="D583" t="str">
        <f>IFERROR(__xludf.DUMMYFUNCTION("""COMPUTED_VALUE"""),"USA")</f>
        <v>USA</v>
      </c>
      <c r="E583" s="188">
        <f>IFERROR(__xludf.DUMMYFUNCTION("""COMPUTED_VALUE"""),43294.0)</f>
        <v>43294</v>
      </c>
      <c r="F583" s="188">
        <f>IFERROR(__xludf.DUMMYFUNCTION("""COMPUTED_VALUE"""),43334.0)</f>
        <v>43334</v>
      </c>
      <c r="H583">
        <f>IFERROR(__xludf.DUMMYFUNCTION("""COMPUTED_VALUE"""),96455.0)</f>
        <v>96455</v>
      </c>
      <c r="I583" t="str">
        <f>IFERROR(__xludf.DUMMYFUNCTION("""COMPUTED_VALUE"""),"08/18")</f>
        <v>08/18</v>
      </c>
      <c r="J583" s="5">
        <f>IFERROR(__xludf.DUMMYFUNCTION("""COMPUTED_VALUE"""),43341.0)</f>
        <v>43341</v>
      </c>
      <c r="K583">
        <f>IFERROR(__xludf.DUMMYFUNCTION("""COMPUTED_VALUE"""),40.0)</f>
        <v>40</v>
      </c>
      <c r="L583">
        <f>IFERROR(__xludf.DUMMYFUNCTION("""COMPUTED_VALUE"""),7.0)</f>
        <v>7</v>
      </c>
      <c r="M583">
        <f>IFERROR(__xludf.DUMMYFUNCTION("""COMPUTED_VALUE"""),47.0)</f>
        <v>47</v>
      </c>
      <c r="N583" t="str">
        <f>IFERROR(__xludf.DUMMYFUNCTION("""COMPUTED_VALUE"""),"Model 3 LR AWD")</f>
        <v>Model 3 LR AWD</v>
      </c>
      <c r="O583" t="str">
        <f>IFERROR(__xludf.DUMMYFUNCTION("""COMPUTED_VALUE"""),"Deep Blue Metallic")</f>
        <v>Deep Blue Metallic</v>
      </c>
      <c r="P583" t="str">
        <f>IFERROR(__xludf.DUMMYFUNCTION("""COMPUTED_VALUE"""),"18 inch Aero")</f>
        <v>18 inch Aero</v>
      </c>
      <c r="Q583" t="str">
        <f>IFERROR(__xludf.DUMMYFUNCTION("""COMPUTED_VALUE"""),"White seats")</f>
        <v>White seats</v>
      </c>
      <c r="R583" t="str">
        <f>IFERROR(__xludf.DUMMYFUNCTION("""COMPUTED_VALUE"""),"Enhanced Autopilot")</f>
        <v>Enhanced Autopilot</v>
      </c>
      <c r="X583" t="str">
        <f>IFERROR(__xludf.DUMMYFUNCTION("""COMPUTED_VALUE"""),"Excellent")</f>
        <v>Excellent</v>
      </c>
      <c r="Y583" t="str">
        <f>IFERROR(__xludf.DUMMYFUNCTION("""COMPUTED_VALUE"""),"Excellent")</f>
        <v>Excellent</v>
      </c>
      <c r="Z583" t="str">
        <f>IFERROR(__xludf.DUMMYFUNCTION("""COMPUTED_VALUE"""),"Good")</f>
        <v>Good</v>
      </c>
      <c r="AA583" t="str">
        <f>IFERROR(__xludf.DUMMYFUNCTION("""COMPUTED_VALUE"""),"Good")</f>
        <v>Good</v>
      </c>
      <c r="AB583" t="str">
        <f>IFERROR(__xludf.DUMMYFUNCTION("""COMPUTED_VALUE"""),"Good")</f>
        <v>Good</v>
      </c>
      <c r="AC583">
        <f>IFERROR(__xludf.DUMMYFUNCTION("""COMPUTED_VALUE"""),0.0)</f>
        <v>0</v>
      </c>
      <c r="AG583" t="str">
        <f>IFERROR(__xludf.DUMMYFUNCTION("""COMPUTED_VALUE"""),"Edit button went away on 19 August 2018")</f>
        <v>Edit button went away on 19 August 2018</v>
      </c>
      <c r="AH583" s="189">
        <f>IFERROR(__xludf.DUMMYFUNCTION("""COMPUTED_VALUE"""),43345.64212318287)</f>
        <v>43345.64212</v>
      </c>
    </row>
    <row r="584">
      <c r="A584" t="str">
        <f>IFERROR(__xludf.DUMMYFUNCTION("""COMPUTED_VALUE"""),"LentilMcBean")</f>
        <v>LentilMcBean</v>
      </c>
      <c r="B584" t="str">
        <f>IFERROR(__xludf.DUMMYFUNCTION("""COMPUTED_VALUE"""),"Cazenovia")</f>
        <v>Cazenovia</v>
      </c>
      <c r="C584" t="str">
        <f>IFERROR(__xludf.DUMMYFUNCTION("""COMPUTED_VALUE"""),"NY")</f>
        <v>NY</v>
      </c>
      <c r="D584" t="str">
        <f>IFERROR(__xludf.DUMMYFUNCTION("""COMPUTED_VALUE"""),"USA")</f>
        <v>USA</v>
      </c>
      <c r="E584" s="188">
        <f>IFERROR(__xludf.DUMMYFUNCTION("""COMPUTED_VALUE"""),43278.0)</f>
        <v>43278</v>
      </c>
      <c r="F584" s="188">
        <f>IFERROR(__xludf.DUMMYFUNCTION("""COMPUTED_VALUE"""),43328.0)</f>
        <v>43328</v>
      </c>
      <c r="H584">
        <f>IFERROR(__xludf.DUMMYFUNCTION("""COMPUTED_VALUE"""),64455.0)</f>
        <v>64455</v>
      </c>
      <c r="I584" t="str">
        <f>IFERROR(__xludf.DUMMYFUNCTION("""COMPUTED_VALUE"""),"07/18")</f>
        <v>07/18</v>
      </c>
      <c r="J584" s="5">
        <f>IFERROR(__xludf.DUMMYFUNCTION("""COMPUTED_VALUE"""),43344.0)</f>
        <v>43344</v>
      </c>
      <c r="K584">
        <f>IFERROR(__xludf.DUMMYFUNCTION("""COMPUTED_VALUE"""),50.0)</f>
        <v>50</v>
      </c>
      <c r="L584">
        <f>IFERROR(__xludf.DUMMYFUNCTION("""COMPUTED_VALUE"""),16.0)</f>
        <v>16</v>
      </c>
      <c r="M584">
        <f>IFERROR(__xludf.DUMMYFUNCTION("""COMPUTED_VALUE"""),66.0)</f>
        <v>66</v>
      </c>
      <c r="N584" t="str">
        <f>IFERROR(__xludf.DUMMYFUNCTION("""COMPUTED_VALUE"""),"Model 3 LR AWD")</f>
        <v>Model 3 LR AWD</v>
      </c>
      <c r="O584" t="str">
        <f>IFERROR(__xludf.DUMMYFUNCTION("""COMPUTED_VALUE"""),"Deep Blue Metallic")</f>
        <v>Deep Blue Metallic</v>
      </c>
      <c r="P584" t="str">
        <f>IFERROR(__xludf.DUMMYFUNCTION("""COMPUTED_VALUE"""),"18 inch Aero")</f>
        <v>18 inch Aero</v>
      </c>
      <c r="Q584" t="str">
        <f>IFERROR(__xludf.DUMMYFUNCTION("""COMPUTED_VALUE"""),"Black seats")</f>
        <v>Black seats</v>
      </c>
      <c r="R584" t="str">
        <f>IFERROR(__xludf.DUMMYFUNCTION("""COMPUTED_VALUE"""),"Full Self-Driving")</f>
        <v>Full Self-Driving</v>
      </c>
      <c r="X584" t="str">
        <f>IFERROR(__xludf.DUMMYFUNCTION("""COMPUTED_VALUE"""),"Very Good")</f>
        <v>Very Good</v>
      </c>
      <c r="Y584" t="str">
        <f>IFERROR(__xludf.DUMMYFUNCTION("""COMPUTED_VALUE"""),"Excellent")</f>
        <v>Excellent</v>
      </c>
      <c r="Z584" t="str">
        <f>IFERROR(__xludf.DUMMYFUNCTION("""COMPUTED_VALUE"""),"Good")</f>
        <v>Good</v>
      </c>
      <c r="AA584" t="str">
        <f>IFERROR(__xludf.DUMMYFUNCTION("""COMPUTED_VALUE"""),"Good")</f>
        <v>Good</v>
      </c>
      <c r="AB584" t="str">
        <f>IFERROR(__xludf.DUMMYFUNCTION("""COMPUTED_VALUE"""),"Fair")</f>
        <v>Fair</v>
      </c>
      <c r="AC584">
        <f>IFERROR(__xludf.DUMMYFUNCTION("""COMPUTED_VALUE"""),2.0)</f>
        <v>2</v>
      </c>
      <c r="AD584">
        <f>IFERROR(__xludf.DUMMYFUNCTION("""COMPUTED_VALUE"""),0.0)</f>
        <v>0</v>
      </c>
      <c r="AE584">
        <f>IFERROR(__xludf.DUMMYFUNCTION("""COMPUTED_VALUE"""),0.0)</f>
        <v>0</v>
      </c>
      <c r="AH584" s="189">
        <f>IFERROR(__xludf.DUMMYFUNCTION("""COMPUTED_VALUE"""),43345.668857083336)</f>
        <v>43345.66886</v>
      </c>
    </row>
    <row r="585">
      <c r="A585" t="str">
        <f>IFERROR(__xludf.DUMMYFUNCTION("""COMPUTED_VALUE"""),"AP")</f>
        <v>AP</v>
      </c>
      <c r="B585" t="str">
        <f>IFERROR(__xludf.DUMMYFUNCTION("""COMPUTED_VALUE"""),"El Cerrito")</f>
        <v>El Cerrito</v>
      </c>
      <c r="C585" t="str">
        <f>IFERROR(__xludf.DUMMYFUNCTION("""COMPUTED_VALUE"""),"CA")</f>
        <v>CA</v>
      </c>
      <c r="D585" t="str">
        <f>IFERROR(__xludf.DUMMYFUNCTION("""COMPUTED_VALUE"""),"USA")</f>
        <v>USA</v>
      </c>
      <c r="E585" s="188">
        <f>IFERROR(__xludf.DUMMYFUNCTION("""COMPUTED_VALUE"""),43279.0)</f>
        <v>43279</v>
      </c>
      <c r="H585">
        <f>IFERROR(__xludf.DUMMYFUNCTION("""COMPUTED_VALUE"""),63119.0)</f>
        <v>63119</v>
      </c>
      <c r="J585" s="5">
        <f>IFERROR(__xludf.DUMMYFUNCTION("""COMPUTED_VALUE"""),43345.0)</f>
        <v>43345</v>
      </c>
      <c r="M585">
        <f>IFERROR(__xludf.DUMMYFUNCTION("""COMPUTED_VALUE"""),66.0)</f>
        <v>66</v>
      </c>
      <c r="N585" t="str">
        <f>IFERROR(__xludf.DUMMYFUNCTION("""COMPUTED_VALUE"""),"Model 3 Performance")</f>
        <v>Model 3 Performance</v>
      </c>
      <c r="O585" t="str">
        <f>IFERROR(__xludf.DUMMYFUNCTION("""COMPUTED_VALUE"""),"Red Multi-Coat")</f>
        <v>Red Multi-Coat</v>
      </c>
      <c r="P585" t="str">
        <f>IFERROR(__xludf.DUMMYFUNCTION("""COMPUTED_VALUE"""),"20 inch Sport")</f>
        <v>20 inch Sport</v>
      </c>
      <c r="Q585" t="str">
        <f>IFERROR(__xludf.DUMMYFUNCTION("""COMPUTED_VALUE"""),"Black seats")</f>
        <v>Black seats</v>
      </c>
      <c r="R585" t="str">
        <f>IFERROR(__xludf.DUMMYFUNCTION("""COMPUTED_VALUE"""),"Enhanced Autopilot")</f>
        <v>Enhanced Autopilot</v>
      </c>
      <c r="X585" t="str">
        <f>IFERROR(__xludf.DUMMYFUNCTION("""COMPUTED_VALUE"""),"Excellent")</f>
        <v>Excellent</v>
      </c>
      <c r="Y585" t="str">
        <f>IFERROR(__xludf.DUMMYFUNCTION("""COMPUTED_VALUE"""),"Excellent")</f>
        <v>Excellent</v>
      </c>
      <c r="Z585" t="str">
        <f>IFERROR(__xludf.DUMMYFUNCTION("""COMPUTED_VALUE"""),"Excellent")</f>
        <v>Excellent</v>
      </c>
      <c r="AA585" t="str">
        <f>IFERROR(__xludf.DUMMYFUNCTION("""COMPUTED_VALUE"""),"Excellent")</f>
        <v>Excellent</v>
      </c>
      <c r="AB585" t="str">
        <f>IFERROR(__xludf.DUMMYFUNCTION("""COMPUTED_VALUE"""),"Excellent")</f>
        <v>Excellent</v>
      </c>
      <c r="AH585" s="189">
        <f>IFERROR(__xludf.DUMMYFUNCTION("""COMPUTED_VALUE"""),43345.71087116898)</f>
        <v>43345.71087</v>
      </c>
    </row>
    <row r="586">
      <c r="A586" t="str">
        <f>IFERROR(__xludf.DUMMYFUNCTION("""COMPUTED_VALUE"""),"Batman99")</f>
        <v>Batman99</v>
      </c>
      <c r="B586" t="str">
        <f>IFERROR(__xludf.DUMMYFUNCTION("""COMPUTED_VALUE"""),"Loma Linda")</f>
        <v>Loma Linda</v>
      </c>
      <c r="C586" t="str">
        <f>IFERROR(__xludf.DUMMYFUNCTION("""COMPUTED_VALUE"""),"CA")</f>
        <v>CA</v>
      </c>
      <c r="D586" t="str">
        <f>IFERROR(__xludf.DUMMYFUNCTION("""COMPUTED_VALUE"""),"USA")</f>
        <v>USA</v>
      </c>
      <c r="E586" s="188">
        <f>IFERROR(__xludf.DUMMYFUNCTION("""COMPUTED_VALUE"""),43277.0)</f>
        <v>43277</v>
      </c>
      <c r="F586" s="188">
        <f>IFERROR(__xludf.DUMMYFUNCTION("""COMPUTED_VALUE"""),43339.0)</f>
        <v>43339</v>
      </c>
      <c r="H586">
        <f>IFERROR(__xludf.DUMMYFUNCTION("""COMPUTED_VALUE"""),69255.0)</f>
        <v>69255</v>
      </c>
      <c r="I586" t="str">
        <f>IFERROR(__xludf.DUMMYFUNCTION("""COMPUTED_VALUE"""),"08/18")</f>
        <v>08/18</v>
      </c>
      <c r="J586" s="5">
        <f>IFERROR(__xludf.DUMMYFUNCTION("""COMPUTED_VALUE"""),43344.0)</f>
        <v>43344</v>
      </c>
      <c r="K586">
        <f>IFERROR(__xludf.DUMMYFUNCTION("""COMPUTED_VALUE"""),62.0)</f>
        <v>62</v>
      </c>
      <c r="L586">
        <f>IFERROR(__xludf.DUMMYFUNCTION("""COMPUTED_VALUE"""),5.0)</f>
        <v>5</v>
      </c>
      <c r="M586">
        <f>IFERROR(__xludf.DUMMYFUNCTION("""COMPUTED_VALUE"""),67.0)</f>
        <v>67</v>
      </c>
      <c r="N586" t="str">
        <f>IFERROR(__xludf.DUMMYFUNCTION("""COMPUTED_VALUE"""),"Model 3 LR AWD")</f>
        <v>Model 3 LR AWD</v>
      </c>
      <c r="O586" t="str">
        <f>IFERROR(__xludf.DUMMYFUNCTION("""COMPUTED_VALUE"""),"Silver Metallic")</f>
        <v>Silver Metallic</v>
      </c>
      <c r="P586" t="str">
        <f>IFERROR(__xludf.DUMMYFUNCTION("""COMPUTED_VALUE"""),"19 inch Sport")</f>
        <v>19 inch Sport</v>
      </c>
      <c r="Q586" t="str">
        <f>IFERROR(__xludf.DUMMYFUNCTION("""COMPUTED_VALUE"""),"Black seats")</f>
        <v>Black seats</v>
      </c>
      <c r="R586" t="str">
        <f>IFERROR(__xludf.DUMMYFUNCTION("""COMPUTED_VALUE"""),"Full Self-Driving")</f>
        <v>Full Self-Driving</v>
      </c>
      <c r="X586" t="str">
        <f>IFERROR(__xludf.DUMMYFUNCTION("""COMPUTED_VALUE"""),"Good")</f>
        <v>Good</v>
      </c>
      <c r="Y586" t="str">
        <f>IFERROR(__xludf.DUMMYFUNCTION("""COMPUTED_VALUE"""),"Excellent")</f>
        <v>Excellent</v>
      </c>
      <c r="Z586" t="str">
        <f>IFERROR(__xludf.DUMMYFUNCTION("""COMPUTED_VALUE"""),"Fair")</f>
        <v>Fair</v>
      </c>
      <c r="AA586" t="str">
        <f>IFERROR(__xludf.DUMMYFUNCTION("""COMPUTED_VALUE"""),"Fair")</f>
        <v>Fair</v>
      </c>
      <c r="AB586" t="str">
        <f>IFERROR(__xludf.DUMMYFUNCTION("""COMPUTED_VALUE"""),"Poor")</f>
        <v>Poor</v>
      </c>
      <c r="AC586">
        <f>IFERROR(__xludf.DUMMYFUNCTION("""COMPUTED_VALUE"""),2.0)</f>
        <v>2</v>
      </c>
      <c r="AH586" s="189">
        <f>IFERROR(__xludf.DUMMYFUNCTION("""COMPUTED_VALUE"""),43346.35899166667)</f>
        <v>43346.35899</v>
      </c>
    </row>
    <row r="587">
      <c r="A587" t="str">
        <f>IFERROR(__xludf.DUMMYFUNCTION("""COMPUTED_VALUE"""),"bman")</f>
        <v>bman</v>
      </c>
      <c r="C587" t="str">
        <f>IFERROR(__xludf.DUMMYFUNCTION("""COMPUTED_VALUE"""),"MI")</f>
        <v>MI</v>
      </c>
      <c r="D587" t="str">
        <f>IFERROR(__xludf.DUMMYFUNCTION("""COMPUTED_VALUE"""),"USA")</f>
        <v>USA</v>
      </c>
      <c r="E587" s="188">
        <f>IFERROR(__xludf.DUMMYFUNCTION("""COMPUTED_VALUE"""),43299.0)</f>
        <v>43299</v>
      </c>
      <c r="F587" s="188">
        <f>IFERROR(__xludf.DUMMYFUNCTION("""COMPUTED_VALUE"""),43318.0)</f>
        <v>43318</v>
      </c>
      <c r="H587">
        <f>IFERROR(__xludf.DUMMYFUNCTION("""COMPUTED_VALUE"""),68855.0)</f>
        <v>68855</v>
      </c>
      <c r="I587" t="str">
        <f>IFERROR(__xludf.DUMMYFUNCTION("""COMPUTED_VALUE"""),"07/18")</f>
        <v>07/18</v>
      </c>
      <c r="J587" s="5">
        <f>IFERROR(__xludf.DUMMYFUNCTION("""COMPUTED_VALUE"""),43333.0)</f>
        <v>43333</v>
      </c>
      <c r="K587">
        <f>IFERROR(__xludf.DUMMYFUNCTION("""COMPUTED_VALUE"""),19.0)</f>
        <v>19</v>
      </c>
      <c r="L587">
        <f>IFERROR(__xludf.DUMMYFUNCTION("""COMPUTED_VALUE"""),15.0)</f>
        <v>15</v>
      </c>
      <c r="M587">
        <f>IFERROR(__xludf.DUMMYFUNCTION("""COMPUTED_VALUE"""),34.0)</f>
        <v>34</v>
      </c>
      <c r="N587" t="str">
        <f>IFERROR(__xludf.DUMMYFUNCTION("""COMPUTED_VALUE"""),"Model 3 LR AWD")</f>
        <v>Model 3 LR AWD</v>
      </c>
      <c r="O587" t="str">
        <f>IFERROR(__xludf.DUMMYFUNCTION("""COMPUTED_VALUE"""),"Midnight Silver Metallic")</f>
        <v>Midnight Silver Metallic</v>
      </c>
      <c r="P587" t="str">
        <f>IFERROR(__xludf.DUMMYFUNCTION("""COMPUTED_VALUE"""),"19 inch Sport")</f>
        <v>19 inch Sport</v>
      </c>
      <c r="Q587" t="str">
        <f>IFERROR(__xludf.DUMMYFUNCTION("""COMPUTED_VALUE"""),"Black seats")</f>
        <v>Black seats</v>
      </c>
      <c r="R587" t="str">
        <f>IFERROR(__xludf.DUMMYFUNCTION("""COMPUTED_VALUE"""),"Enhanced Autopilot")</f>
        <v>Enhanced Autopilot</v>
      </c>
      <c r="X587" t="str">
        <f>IFERROR(__xludf.DUMMYFUNCTION("""COMPUTED_VALUE"""),"Very Good")</f>
        <v>Very Good</v>
      </c>
      <c r="Y587" t="str">
        <f>IFERROR(__xludf.DUMMYFUNCTION("""COMPUTED_VALUE"""),"Very Good")</f>
        <v>Very Good</v>
      </c>
      <c r="Z587" t="str">
        <f>IFERROR(__xludf.DUMMYFUNCTION("""COMPUTED_VALUE"""),"Very Good")</f>
        <v>Very Good</v>
      </c>
      <c r="AA587" t="str">
        <f>IFERROR(__xludf.DUMMYFUNCTION("""COMPUTED_VALUE"""),"Very Good")</f>
        <v>Very Good</v>
      </c>
      <c r="AB587" t="str">
        <f>IFERROR(__xludf.DUMMYFUNCTION("""COMPUTED_VALUE"""),"Very Good")</f>
        <v>Very Good</v>
      </c>
      <c r="AH587" s="189">
        <f>IFERROR(__xludf.DUMMYFUNCTION("""COMPUTED_VALUE"""),43346.64759069444)</f>
        <v>43346.64759</v>
      </c>
    </row>
    <row r="588">
      <c r="A588" t="str">
        <f>IFERROR(__xludf.DUMMYFUNCTION("""COMPUTED_VALUE"""),"renomd")</f>
        <v>renomd</v>
      </c>
      <c r="B588" t="str">
        <f>IFERROR(__xludf.DUMMYFUNCTION("""COMPUTED_VALUE"""),"Reno")</f>
        <v>Reno</v>
      </c>
      <c r="C588" t="str">
        <f>IFERROR(__xludf.DUMMYFUNCTION("""COMPUTED_VALUE"""),"NV")</f>
        <v>NV</v>
      </c>
      <c r="D588" t="str">
        <f>IFERROR(__xludf.DUMMYFUNCTION("""COMPUTED_VALUE"""),"USA")</f>
        <v>USA</v>
      </c>
      <c r="E588" s="188">
        <f>IFERROR(__xludf.DUMMYFUNCTION("""COMPUTED_VALUE"""),43277.0)</f>
        <v>43277</v>
      </c>
      <c r="F588" s="188">
        <f>IFERROR(__xludf.DUMMYFUNCTION("""COMPUTED_VALUE"""),43336.0)</f>
        <v>43336</v>
      </c>
      <c r="H588">
        <f>IFERROR(__xludf.DUMMYFUNCTION("""COMPUTED_VALUE"""),66355.0)</f>
        <v>66355</v>
      </c>
      <c r="I588" t="str">
        <f>IFERROR(__xludf.DUMMYFUNCTION("""COMPUTED_VALUE"""),"08/18")</f>
        <v>08/18</v>
      </c>
      <c r="J588" s="5">
        <f>IFERROR(__xludf.DUMMYFUNCTION("""COMPUTED_VALUE"""),43344.0)</f>
        <v>43344</v>
      </c>
      <c r="K588">
        <f>IFERROR(__xludf.DUMMYFUNCTION("""COMPUTED_VALUE"""),59.0)</f>
        <v>59</v>
      </c>
      <c r="L588">
        <f>IFERROR(__xludf.DUMMYFUNCTION("""COMPUTED_VALUE"""),8.0)</f>
        <v>8</v>
      </c>
      <c r="M588">
        <f>IFERROR(__xludf.DUMMYFUNCTION("""COMPUTED_VALUE"""),67.0)</f>
        <v>67</v>
      </c>
      <c r="N588" t="str">
        <f>IFERROR(__xludf.DUMMYFUNCTION("""COMPUTED_VALUE"""),"Model 3 LR AWD")</f>
        <v>Model 3 LR AWD</v>
      </c>
      <c r="O588" t="str">
        <f>IFERROR(__xludf.DUMMYFUNCTION("""COMPUTED_VALUE"""),"Midnight Silver Metallic")</f>
        <v>Midnight Silver Metallic</v>
      </c>
      <c r="P588" t="str">
        <f>IFERROR(__xludf.DUMMYFUNCTION("""COMPUTED_VALUE"""),"18 inch Aero")</f>
        <v>18 inch Aero</v>
      </c>
      <c r="Q588" t="str">
        <f>IFERROR(__xludf.DUMMYFUNCTION("""COMPUTED_VALUE"""),"Black seats")</f>
        <v>Black seats</v>
      </c>
      <c r="R588" t="str">
        <f>IFERROR(__xludf.DUMMYFUNCTION("""COMPUTED_VALUE"""),"Full Self-Driving")</f>
        <v>Full Self-Driving</v>
      </c>
      <c r="X588" t="str">
        <f>IFERROR(__xludf.DUMMYFUNCTION("""COMPUTED_VALUE"""),"Excellent")</f>
        <v>Excellent</v>
      </c>
      <c r="Y588" t="str">
        <f>IFERROR(__xludf.DUMMYFUNCTION("""COMPUTED_VALUE"""),"Very Good")</f>
        <v>Very Good</v>
      </c>
      <c r="Z588" t="str">
        <f>IFERROR(__xludf.DUMMYFUNCTION("""COMPUTED_VALUE"""),"Excellent")</f>
        <v>Excellent</v>
      </c>
      <c r="AA588" t="str">
        <f>IFERROR(__xludf.DUMMYFUNCTION("""COMPUTED_VALUE"""),"Poor")</f>
        <v>Poor</v>
      </c>
      <c r="AB588" t="str">
        <f>IFERROR(__xludf.DUMMYFUNCTION("""COMPUTED_VALUE"""),"Good")</f>
        <v>Good</v>
      </c>
      <c r="AC588">
        <f>IFERROR(__xludf.DUMMYFUNCTION("""COMPUTED_VALUE"""),0.0)</f>
        <v>0</v>
      </c>
      <c r="AD588">
        <f>IFERROR(__xludf.DUMMYFUNCTION("""COMPUTED_VALUE"""),0.0)</f>
        <v>0</v>
      </c>
      <c r="AE588">
        <f>IFERROR(__xludf.DUMMYFUNCTION("""COMPUTED_VALUE"""),0.0)</f>
        <v>0</v>
      </c>
      <c r="AH588" s="189">
        <f>IFERROR(__xludf.DUMMYFUNCTION("""COMPUTED_VALUE"""),43346.72247184028)</f>
        <v>43346.72247</v>
      </c>
    </row>
    <row r="589">
      <c r="A589" t="str">
        <f>IFERROR(__xludf.DUMMYFUNCTION("""COMPUTED_VALUE"""),"terry1white")</f>
        <v>terry1white</v>
      </c>
      <c r="B589" t="str">
        <f>IFERROR(__xludf.DUMMYFUNCTION("""COMPUTED_VALUE"""),"Atlanta")</f>
        <v>Atlanta</v>
      </c>
      <c r="C589" t="str">
        <f>IFERROR(__xludf.DUMMYFUNCTION("""COMPUTED_VALUE"""),"GA")</f>
        <v>GA</v>
      </c>
      <c r="D589" t="str">
        <f>IFERROR(__xludf.DUMMYFUNCTION("""COMPUTED_VALUE"""),"USA")</f>
        <v>USA</v>
      </c>
      <c r="E589" s="188">
        <f>IFERROR(__xludf.DUMMYFUNCTION("""COMPUTED_VALUE"""),43310.0)</f>
        <v>43310</v>
      </c>
      <c r="F589" s="188">
        <f>IFERROR(__xludf.DUMMYFUNCTION("""COMPUTED_VALUE"""),43333.0)</f>
        <v>43333</v>
      </c>
      <c r="H589">
        <f>IFERROR(__xludf.DUMMYFUNCTION("""COMPUTED_VALUE"""),70355.0)</f>
        <v>70355</v>
      </c>
      <c r="I589" t="str">
        <f>IFERROR(__xludf.DUMMYFUNCTION("""COMPUTED_VALUE"""),"08/18")</f>
        <v>08/18</v>
      </c>
      <c r="J589" s="5">
        <f>IFERROR(__xludf.DUMMYFUNCTION("""COMPUTED_VALUE"""),43345.0)</f>
        <v>43345</v>
      </c>
      <c r="K589">
        <f>IFERROR(__xludf.DUMMYFUNCTION("""COMPUTED_VALUE"""),23.0)</f>
        <v>23</v>
      </c>
      <c r="L589">
        <f>IFERROR(__xludf.DUMMYFUNCTION("""COMPUTED_VALUE"""),12.0)</f>
        <v>12</v>
      </c>
      <c r="M589">
        <f>IFERROR(__xludf.DUMMYFUNCTION("""COMPUTED_VALUE"""),35.0)</f>
        <v>35</v>
      </c>
      <c r="N589" t="str">
        <f>IFERROR(__xludf.DUMMYFUNCTION("""COMPUTED_VALUE"""),"Model 3 LR")</f>
        <v>Model 3 LR</v>
      </c>
      <c r="O589" t="str">
        <f>IFERROR(__xludf.DUMMYFUNCTION("""COMPUTED_VALUE"""),"Obsidian Black Metallic")</f>
        <v>Obsidian Black Metallic</v>
      </c>
      <c r="P589" t="str">
        <f>IFERROR(__xludf.DUMMYFUNCTION("""COMPUTED_VALUE"""),"18 inch Aero")</f>
        <v>18 inch Aero</v>
      </c>
      <c r="Q589" t="str">
        <f>IFERROR(__xludf.DUMMYFUNCTION("""COMPUTED_VALUE"""),"Black seats")</f>
        <v>Black seats</v>
      </c>
      <c r="R589" t="str">
        <f>IFERROR(__xludf.DUMMYFUNCTION("""COMPUTED_VALUE"""),"Enhanced Autopilot")</f>
        <v>Enhanced Autopilot</v>
      </c>
      <c r="X589" t="str">
        <f>IFERROR(__xludf.DUMMYFUNCTION("""COMPUTED_VALUE"""),"Excellent")</f>
        <v>Excellent</v>
      </c>
      <c r="Y589" t="str">
        <f>IFERROR(__xludf.DUMMYFUNCTION("""COMPUTED_VALUE"""),"Excellent")</f>
        <v>Excellent</v>
      </c>
      <c r="Z589" t="str">
        <f>IFERROR(__xludf.DUMMYFUNCTION("""COMPUTED_VALUE"""),"Good")</f>
        <v>Good</v>
      </c>
      <c r="AA589" t="str">
        <f>IFERROR(__xludf.DUMMYFUNCTION("""COMPUTED_VALUE"""),"Very Good")</f>
        <v>Very Good</v>
      </c>
      <c r="AB589" t="str">
        <f>IFERROR(__xludf.DUMMYFUNCTION("""COMPUTED_VALUE"""),"Very Good")</f>
        <v>Very Good</v>
      </c>
      <c r="AC589">
        <f>IFERROR(__xludf.DUMMYFUNCTION("""COMPUTED_VALUE"""),1.0)</f>
        <v>1</v>
      </c>
      <c r="AH589" s="189">
        <f>IFERROR(__xludf.DUMMYFUNCTION("""COMPUTED_VALUE"""),43346.743795057875)</f>
        <v>43346.7438</v>
      </c>
    </row>
    <row r="590">
      <c r="A590" t="str">
        <f>IFERROR(__xludf.DUMMYFUNCTION("""COMPUTED_VALUE"""),"soccerik")</f>
        <v>soccerik</v>
      </c>
      <c r="B590" t="str">
        <f>IFERROR(__xludf.DUMMYFUNCTION("""COMPUTED_VALUE"""),"San Francisco")</f>
        <v>San Francisco</v>
      </c>
      <c r="C590" t="str">
        <f>IFERROR(__xludf.DUMMYFUNCTION("""COMPUTED_VALUE"""),"CA")</f>
        <v>CA</v>
      </c>
      <c r="D590" t="str">
        <f>IFERROR(__xludf.DUMMYFUNCTION("""COMPUTED_VALUE"""),"USA")</f>
        <v>USA</v>
      </c>
      <c r="E590" s="188">
        <f>IFERROR(__xludf.DUMMYFUNCTION("""COMPUTED_VALUE"""),43281.0)</f>
        <v>43281</v>
      </c>
      <c r="F590" s="188">
        <f>IFERROR(__xludf.DUMMYFUNCTION("""COMPUTED_VALUE"""),43325.0)</f>
        <v>43325</v>
      </c>
      <c r="H590">
        <f>IFERROR(__xludf.DUMMYFUNCTION("""COMPUTED_VALUE"""),66955.0)</f>
        <v>66955</v>
      </c>
      <c r="I590" t="str">
        <f>IFERROR(__xludf.DUMMYFUNCTION("""COMPUTED_VALUE"""),"08/18")</f>
        <v>08/18</v>
      </c>
      <c r="J590" s="5">
        <f>IFERROR(__xludf.DUMMYFUNCTION("""COMPUTED_VALUE"""),43330.0)</f>
        <v>43330</v>
      </c>
      <c r="K590">
        <f>IFERROR(__xludf.DUMMYFUNCTION("""COMPUTED_VALUE"""),44.0)</f>
        <v>44</v>
      </c>
      <c r="L590">
        <f>IFERROR(__xludf.DUMMYFUNCTION("""COMPUTED_VALUE"""),5.0)</f>
        <v>5</v>
      </c>
      <c r="M590">
        <f>IFERROR(__xludf.DUMMYFUNCTION("""COMPUTED_VALUE"""),49.0)</f>
        <v>49</v>
      </c>
      <c r="N590" t="str">
        <f>IFERROR(__xludf.DUMMYFUNCTION("""COMPUTED_VALUE"""),"Model 3 LR AWD")</f>
        <v>Model 3 LR AWD</v>
      </c>
      <c r="O590" t="str">
        <f>IFERROR(__xludf.DUMMYFUNCTION("""COMPUTED_VALUE"""),"Pearl White Multi-Coat")</f>
        <v>Pearl White Multi-Coat</v>
      </c>
      <c r="P590" t="str">
        <f>IFERROR(__xludf.DUMMYFUNCTION("""COMPUTED_VALUE"""),"18 inch Aero")</f>
        <v>18 inch Aero</v>
      </c>
      <c r="Q590" t="str">
        <f>IFERROR(__xludf.DUMMYFUNCTION("""COMPUTED_VALUE"""),"Black seats")</f>
        <v>Black seats</v>
      </c>
      <c r="R590" t="str">
        <f>IFERROR(__xludf.DUMMYFUNCTION("""COMPUTED_VALUE"""),"Full Self-Driving")</f>
        <v>Full Self-Driving</v>
      </c>
      <c r="X590" t="str">
        <f>IFERROR(__xludf.DUMMYFUNCTION("""COMPUTED_VALUE"""),"Excellent")</f>
        <v>Excellent</v>
      </c>
      <c r="Y590" t="str">
        <f>IFERROR(__xludf.DUMMYFUNCTION("""COMPUTED_VALUE"""),"Excellent")</f>
        <v>Excellent</v>
      </c>
      <c r="Z590" t="str">
        <f>IFERROR(__xludf.DUMMYFUNCTION("""COMPUTED_VALUE"""),"Very Good")</f>
        <v>Very Good</v>
      </c>
      <c r="AA590" t="str">
        <f>IFERROR(__xludf.DUMMYFUNCTION("""COMPUTED_VALUE"""),"Excellent")</f>
        <v>Excellent</v>
      </c>
      <c r="AB590" t="str">
        <f>IFERROR(__xludf.DUMMYFUNCTION("""COMPUTED_VALUE"""),"Excellent")</f>
        <v>Excellent</v>
      </c>
      <c r="AC590">
        <f>IFERROR(__xludf.DUMMYFUNCTION("""COMPUTED_VALUE"""),1.0)</f>
        <v>1</v>
      </c>
      <c r="AD590">
        <f>IFERROR(__xludf.DUMMYFUNCTION("""COMPUTED_VALUE"""),0.0)</f>
        <v>0</v>
      </c>
      <c r="AE590">
        <f>IFERROR(__xludf.DUMMYFUNCTION("""COMPUTED_VALUE"""),0.0)</f>
        <v>0</v>
      </c>
      <c r="AH590" s="189">
        <f>IFERROR(__xludf.DUMMYFUNCTION("""COMPUTED_VALUE"""),43346.9125665625)</f>
        <v>43346.91257</v>
      </c>
    </row>
    <row r="591">
      <c r="A591" t="str">
        <f>IFERROR(__xludf.DUMMYFUNCTION("""COMPUTED_VALUE"""),"nberardi")</f>
        <v>nberardi</v>
      </c>
      <c r="B591" t="str">
        <f>IFERROR(__xludf.DUMMYFUNCTION("""COMPUTED_VALUE"""),"Seattle")</f>
        <v>Seattle</v>
      </c>
      <c r="C591" t="str">
        <f>IFERROR(__xludf.DUMMYFUNCTION("""COMPUTED_VALUE"""),"WA")</f>
        <v>WA</v>
      </c>
      <c r="D591" t="str">
        <f>IFERROR(__xludf.DUMMYFUNCTION("""COMPUTED_VALUE"""),"USA")</f>
        <v>USA</v>
      </c>
      <c r="E591" s="188">
        <f>IFERROR(__xludf.DUMMYFUNCTION("""COMPUTED_VALUE"""),43277.0)</f>
        <v>43277</v>
      </c>
      <c r="F591" s="188">
        <f>IFERROR(__xludf.DUMMYFUNCTION("""COMPUTED_VALUE"""),43313.0)</f>
        <v>43313</v>
      </c>
      <c r="H591">
        <f>IFERROR(__xludf.DUMMYFUNCTION("""COMPUTED_VALUE"""),65555.0)</f>
        <v>65555</v>
      </c>
      <c r="I591" t="str">
        <f>IFERROR(__xludf.DUMMYFUNCTION("""COMPUTED_VALUE"""),"08/18")</f>
        <v>08/18</v>
      </c>
      <c r="J591" s="5">
        <f>IFERROR(__xludf.DUMMYFUNCTION("""COMPUTED_VALUE"""),43332.0)</f>
        <v>43332</v>
      </c>
      <c r="K591">
        <f>IFERROR(__xludf.DUMMYFUNCTION("""COMPUTED_VALUE"""),36.0)</f>
        <v>36</v>
      </c>
      <c r="L591">
        <f>IFERROR(__xludf.DUMMYFUNCTION("""COMPUTED_VALUE"""),19.0)</f>
        <v>19</v>
      </c>
      <c r="M591">
        <f>IFERROR(__xludf.DUMMYFUNCTION("""COMPUTED_VALUE"""),55.0)</f>
        <v>55</v>
      </c>
      <c r="N591" t="str">
        <f>IFERROR(__xludf.DUMMYFUNCTION("""COMPUTED_VALUE"""),"Model 3 LR AWD")</f>
        <v>Model 3 LR AWD</v>
      </c>
      <c r="O591" t="str">
        <f>IFERROR(__xludf.DUMMYFUNCTION("""COMPUTED_VALUE"""),"Red Multi-Coat")</f>
        <v>Red Multi-Coat</v>
      </c>
      <c r="P591" t="str">
        <f>IFERROR(__xludf.DUMMYFUNCTION("""COMPUTED_VALUE"""),"19 inch Sport")</f>
        <v>19 inch Sport</v>
      </c>
      <c r="Q591" t="str">
        <f>IFERROR(__xludf.DUMMYFUNCTION("""COMPUTED_VALUE"""),"Black seats")</f>
        <v>Black seats</v>
      </c>
      <c r="R591" t="str">
        <f>IFERROR(__xludf.DUMMYFUNCTION("""COMPUTED_VALUE"""),"Full Self-Driving")</f>
        <v>Full Self-Driving</v>
      </c>
      <c r="X591" t="str">
        <f>IFERROR(__xludf.DUMMYFUNCTION("""COMPUTED_VALUE"""),"Very Good")</f>
        <v>Very Good</v>
      </c>
      <c r="Y591" t="str">
        <f>IFERROR(__xludf.DUMMYFUNCTION("""COMPUTED_VALUE"""),"Very Good")</f>
        <v>Very Good</v>
      </c>
      <c r="Z591" t="str">
        <f>IFERROR(__xludf.DUMMYFUNCTION("""COMPUTED_VALUE"""),"Very Good")</f>
        <v>Very Good</v>
      </c>
      <c r="AA591" t="str">
        <f>IFERROR(__xludf.DUMMYFUNCTION("""COMPUTED_VALUE"""),"Fair")</f>
        <v>Fair</v>
      </c>
      <c r="AB591" t="str">
        <f>IFERROR(__xludf.DUMMYFUNCTION("""COMPUTED_VALUE"""),"Good")</f>
        <v>Good</v>
      </c>
      <c r="AC591">
        <f>IFERROR(__xludf.DUMMYFUNCTION("""COMPUTED_VALUE"""),1.0)</f>
        <v>1</v>
      </c>
      <c r="AD591">
        <f>IFERROR(__xludf.DUMMYFUNCTION("""COMPUTED_VALUE"""),1.0)</f>
        <v>1</v>
      </c>
      <c r="AE591">
        <f>IFERROR(__xludf.DUMMYFUNCTION("""COMPUTED_VALUE"""),0.0)</f>
        <v>0</v>
      </c>
      <c r="AH591" s="189">
        <f>IFERROR(__xludf.DUMMYFUNCTION("""COMPUTED_VALUE"""),43346.95450125)</f>
        <v>43346.9545</v>
      </c>
    </row>
    <row r="592">
      <c r="A592" t="str">
        <f>IFERROR(__xludf.DUMMYFUNCTION("""COMPUTED_VALUE"""),"BruceLawton")</f>
        <v>BruceLawton</v>
      </c>
      <c r="B592" t="str">
        <f>IFERROR(__xludf.DUMMYFUNCTION("""COMPUTED_VALUE"""),"Hillsboro")</f>
        <v>Hillsboro</v>
      </c>
      <c r="C592" t="str">
        <f>IFERROR(__xludf.DUMMYFUNCTION("""COMPUTED_VALUE"""),"VA")</f>
        <v>VA</v>
      </c>
      <c r="D592" t="str">
        <f>IFERROR(__xludf.DUMMYFUNCTION("""COMPUTED_VALUE"""),"USA")</f>
        <v>USA</v>
      </c>
      <c r="E592" s="188">
        <f>IFERROR(__xludf.DUMMYFUNCTION("""COMPUTED_VALUE"""),43243.0)</f>
        <v>43243</v>
      </c>
      <c r="H592" s="4">
        <f>IFERROR(__xludf.DUMMYFUNCTION("""COMPUTED_VALUE"""),54587.0)</f>
        <v>54587</v>
      </c>
      <c r="J592" s="5">
        <f>IFERROR(__xludf.DUMMYFUNCTION("""COMPUTED_VALUE"""),43339.0)</f>
        <v>43339</v>
      </c>
      <c r="M592">
        <f>IFERROR(__xludf.DUMMYFUNCTION("""COMPUTED_VALUE"""),96.0)</f>
        <v>96</v>
      </c>
      <c r="N592" t="str">
        <f>IFERROR(__xludf.DUMMYFUNCTION("""COMPUTED_VALUE"""),"Model 3 LR AWD")</f>
        <v>Model 3 LR AWD</v>
      </c>
      <c r="O592" t="str">
        <f>IFERROR(__xludf.DUMMYFUNCTION("""COMPUTED_VALUE"""),"Red Multi-Coat")</f>
        <v>Red Multi-Coat</v>
      </c>
      <c r="P592" t="str">
        <f>IFERROR(__xludf.DUMMYFUNCTION("""COMPUTED_VALUE"""),"18 inch Aero")</f>
        <v>18 inch Aero</v>
      </c>
      <c r="Q592" t="str">
        <f>IFERROR(__xludf.DUMMYFUNCTION("""COMPUTED_VALUE"""),"Black seats")</f>
        <v>Black seats</v>
      </c>
      <c r="R592" t="str">
        <f>IFERROR(__xludf.DUMMYFUNCTION("""COMPUTED_VALUE"""),"None")</f>
        <v>None</v>
      </c>
      <c r="X592" t="str">
        <f>IFERROR(__xludf.DUMMYFUNCTION("""COMPUTED_VALUE"""),"Excellent")</f>
        <v>Excellent</v>
      </c>
      <c r="Y592" t="str">
        <f>IFERROR(__xludf.DUMMYFUNCTION("""COMPUTED_VALUE"""),"Excellent")</f>
        <v>Excellent</v>
      </c>
      <c r="Z592" t="str">
        <f>IFERROR(__xludf.DUMMYFUNCTION("""COMPUTED_VALUE"""),"Excellent")</f>
        <v>Excellent</v>
      </c>
      <c r="AA592" t="str">
        <f>IFERROR(__xludf.DUMMYFUNCTION("""COMPUTED_VALUE"""),"Very Good")</f>
        <v>Very Good</v>
      </c>
      <c r="AB592" t="str">
        <f>IFERROR(__xludf.DUMMYFUNCTION("""COMPUTED_VALUE"""),"Very Good")</f>
        <v>Very Good</v>
      </c>
      <c r="AC592">
        <f>IFERROR(__xludf.DUMMYFUNCTION("""COMPUTED_VALUE"""),0.0)</f>
        <v>0</v>
      </c>
      <c r="AE592">
        <f>IFERROR(__xludf.DUMMYFUNCTION("""COMPUTED_VALUE"""),0.0)</f>
        <v>0</v>
      </c>
      <c r="AH592" s="189">
        <f>IFERROR(__xludf.DUMMYFUNCTION("""COMPUTED_VALUE"""),43347.214729907406)</f>
        <v>43347.21473</v>
      </c>
    </row>
    <row r="593">
      <c r="A593" t="str">
        <f>IFERROR(__xludf.DUMMYFUNCTION("""COMPUTED_VALUE"""),"mike8472")</f>
        <v>mike8472</v>
      </c>
      <c r="B593" t="str">
        <f>IFERROR(__xludf.DUMMYFUNCTION("""COMPUTED_VALUE"""),"Chicago")</f>
        <v>Chicago</v>
      </c>
      <c r="C593" t="str">
        <f>IFERROR(__xludf.DUMMYFUNCTION("""COMPUTED_VALUE"""),"IL")</f>
        <v>IL</v>
      </c>
      <c r="D593" t="str">
        <f>IFERROR(__xludf.DUMMYFUNCTION("""COMPUTED_VALUE"""),"USA")</f>
        <v>USA</v>
      </c>
      <c r="E593" s="188">
        <f>IFERROR(__xludf.DUMMYFUNCTION("""COMPUTED_VALUE"""),43253.0)</f>
        <v>43253</v>
      </c>
      <c r="F593" s="188">
        <f>IFERROR(__xludf.DUMMYFUNCTION("""COMPUTED_VALUE"""),43328.0)</f>
        <v>43328</v>
      </c>
      <c r="J593" s="5">
        <f>IFERROR(__xludf.DUMMYFUNCTION("""COMPUTED_VALUE"""),43341.0)</f>
        <v>43341</v>
      </c>
      <c r="K593">
        <f>IFERROR(__xludf.DUMMYFUNCTION("""COMPUTED_VALUE"""),75.0)</f>
        <v>75</v>
      </c>
      <c r="L593">
        <f>IFERROR(__xludf.DUMMYFUNCTION("""COMPUTED_VALUE"""),13.0)</f>
        <v>13</v>
      </c>
      <c r="M593">
        <f>IFERROR(__xludf.DUMMYFUNCTION("""COMPUTED_VALUE"""),88.0)</f>
        <v>88</v>
      </c>
      <c r="N593" t="str">
        <f>IFERROR(__xludf.DUMMYFUNCTION("""COMPUTED_VALUE"""),"Model 3 LR AWD")</f>
        <v>Model 3 LR AWD</v>
      </c>
      <c r="O593" t="str">
        <f>IFERROR(__xludf.DUMMYFUNCTION("""COMPUTED_VALUE"""),"Solid Black")</f>
        <v>Solid Black</v>
      </c>
      <c r="P593" t="str">
        <f>IFERROR(__xludf.DUMMYFUNCTION("""COMPUTED_VALUE"""),"19 inch Sport")</f>
        <v>19 inch Sport</v>
      </c>
      <c r="Q593" t="str">
        <f>IFERROR(__xludf.DUMMYFUNCTION("""COMPUTED_VALUE"""),"Black seats")</f>
        <v>Black seats</v>
      </c>
      <c r="R593" t="str">
        <f>IFERROR(__xludf.DUMMYFUNCTION("""COMPUTED_VALUE"""),"Enhanced Autopilot")</f>
        <v>Enhanced Autopilot</v>
      </c>
      <c r="X593" t="str">
        <f>IFERROR(__xludf.DUMMYFUNCTION("""COMPUTED_VALUE"""),"Very Good")</f>
        <v>Very Good</v>
      </c>
      <c r="Y593" t="str">
        <f>IFERROR(__xludf.DUMMYFUNCTION("""COMPUTED_VALUE"""),"Very Good")</f>
        <v>Very Good</v>
      </c>
      <c r="Z593" t="str">
        <f>IFERROR(__xludf.DUMMYFUNCTION("""COMPUTED_VALUE"""),"Poor")</f>
        <v>Poor</v>
      </c>
      <c r="AA593" t="str">
        <f>IFERROR(__xludf.DUMMYFUNCTION("""COMPUTED_VALUE"""),"Good")</f>
        <v>Good</v>
      </c>
      <c r="AB593" t="str">
        <f>IFERROR(__xludf.DUMMYFUNCTION("""COMPUTED_VALUE"""),"Poor")</f>
        <v>Poor</v>
      </c>
      <c r="AG593" t="str">
        <f>IFERROR(__xludf.DUMMYFUNCTION("""COMPUTED_VALUE"""),"Rejected car on delivery...too many issues.   Awaiting new VIN #")</f>
        <v>Rejected car on delivery...too many issues.   Awaiting new VIN #</v>
      </c>
      <c r="AH593" s="189">
        <f>IFERROR(__xludf.DUMMYFUNCTION("""COMPUTED_VALUE"""),43347.23995540509)</f>
        <v>43347.23996</v>
      </c>
    </row>
    <row r="594">
      <c r="A594" t="str">
        <f>IFERROR(__xludf.DUMMYFUNCTION("""COMPUTED_VALUE"""),"twm01")</f>
        <v>twm01</v>
      </c>
      <c r="B594" t="str">
        <f>IFERROR(__xludf.DUMMYFUNCTION("""COMPUTED_VALUE"""),"Tampa")</f>
        <v>Tampa</v>
      </c>
      <c r="C594" t="str">
        <f>IFERROR(__xludf.DUMMYFUNCTION("""COMPUTED_VALUE"""),"FL")</f>
        <v>FL</v>
      </c>
      <c r="D594" t="str">
        <f>IFERROR(__xludf.DUMMYFUNCTION("""COMPUTED_VALUE"""),"USA")</f>
        <v>USA</v>
      </c>
      <c r="E594" s="188">
        <f>IFERROR(__xludf.DUMMYFUNCTION("""COMPUTED_VALUE"""),43309.0)</f>
        <v>43309</v>
      </c>
      <c r="F594" s="188">
        <f>IFERROR(__xludf.DUMMYFUNCTION("""COMPUTED_VALUE"""),43318.0)</f>
        <v>43318</v>
      </c>
      <c r="H594">
        <f>IFERROR(__xludf.DUMMYFUNCTION("""COMPUTED_VALUE"""),59055.0)</f>
        <v>59055</v>
      </c>
      <c r="I594" t="str">
        <f>IFERROR(__xludf.DUMMYFUNCTION("""COMPUTED_VALUE"""),"08/18")</f>
        <v>08/18</v>
      </c>
      <c r="J594" s="5">
        <f>IFERROR(__xludf.DUMMYFUNCTION("""COMPUTED_VALUE"""),43332.0)</f>
        <v>43332</v>
      </c>
      <c r="K594">
        <f>IFERROR(__xludf.DUMMYFUNCTION("""COMPUTED_VALUE"""),9.0)</f>
        <v>9</v>
      </c>
      <c r="L594">
        <f>IFERROR(__xludf.DUMMYFUNCTION("""COMPUTED_VALUE"""),14.0)</f>
        <v>14</v>
      </c>
      <c r="M594">
        <f>IFERROR(__xludf.DUMMYFUNCTION("""COMPUTED_VALUE"""),23.0)</f>
        <v>23</v>
      </c>
      <c r="N594" t="str">
        <f>IFERROR(__xludf.DUMMYFUNCTION("""COMPUTED_VALUE"""),"Model 3 LR")</f>
        <v>Model 3 LR</v>
      </c>
      <c r="O594" t="str">
        <f>IFERROR(__xludf.DUMMYFUNCTION("""COMPUTED_VALUE"""),"Deep Blue Metallic")</f>
        <v>Deep Blue Metallic</v>
      </c>
      <c r="P594" t="str">
        <f>IFERROR(__xludf.DUMMYFUNCTION("""COMPUTED_VALUE"""),"18 inch Aero")</f>
        <v>18 inch Aero</v>
      </c>
      <c r="Q594" t="str">
        <f>IFERROR(__xludf.DUMMYFUNCTION("""COMPUTED_VALUE"""),"Black seats")</f>
        <v>Black seats</v>
      </c>
      <c r="R594" t="str">
        <f>IFERROR(__xludf.DUMMYFUNCTION("""COMPUTED_VALUE"""),"Full Self-Driving")</f>
        <v>Full Self-Driving</v>
      </c>
      <c r="X594" t="str">
        <f>IFERROR(__xludf.DUMMYFUNCTION("""COMPUTED_VALUE"""),"Fair")</f>
        <v>Fair</v>
      </c>
      <c r="Y594" t="str">
        <f>IFERROR(__xludf.DUMMYFUNCTION("""COMPUTED_VALUE"""),"Very Good")</f>
        <v>Very Good</v>
      </c>
      <c r="Z594" t="str">
        <f>IFERROR(__xludf.DUMMYFUNCTION("""COMPUTED_VALUE"""),"Poor")</f>
        <v>Poor</v>
      </c>
      <c r="AA594" t="str">
        <f>IFERROR(__xludf.DUMMYFUNCTION("""COMPUTED_VALUE"""),"Very Good")</f>
        <v>Very Good</v>
      </c>
      <c r="AB594" t="str">
        <f>IFERROR(__xludf.DUMMYFUNCTION("""COMPUTED_VALUE"""),"Fair")</f>
        <v>Fair</v>
      </c>
      <c r="AC594">
        <f>IFERROR(__xludf.DUMMYFUNCTION("""COMPUTED_VALUE"""),5.0)</f>
        <v>5</v>
      </c>
      <c r="AD594">
        <f>IFERROR(__xludf.DUMMYFUNCTION("""COMPUTED_VALUE"""),1.0)</f>
        <v>1</v>
      </c>
      <c r="AE594">
        <f>IFERROR(__xludf.DUMMYFUNCTION("""COMPUTED_VALUE"""),5.0)</f>
        <v>5</v>
      </c>
      <c r="AG594" t="str">
        <f>IFERROR(__xludf.DUMMYFUNCTION("""COMPUTED_VALUE"""),"Original delivery date 8/24/18")</f>
        <v>Original delivery date 8/24/18</v>
      </c>
      <c r="AH594" s="189">
        <f>IFERROR(__xludf.DUMMYFUNCTION("""COMPUTED_VALUE"""),43347.319272465276)</f>
        <v>43347.31927</v>
      </c>
    </row>
    <row r="595">
      <c r="A595" t="str">
        <f>IFERROR(__xludf.DUMMYFUNCTION("""COMPUTED_VALUE"""),"psi")</f>
        <v>psi</v>
      </c>
      <c r="B595" t="str">
        <f>IFERROR(__xludf.DUMMYFUNCTION("""COMPUTED_VALUE"""),"Sacramento")</f>
        <v>Sacramento</v>
      </c>
      <c r="C595" t="str">
        <f>IFERROR(__xludf.DUMMYFUNCTION("""COMPUTED_VALUE"""),"CA")</f>
        <v>CA</v>
      </c>
      <c r="D595" t="str">
        <f>IFERROR(__xludf.DUMMYFUNCTION("""COMPUTED_VALUE"""),"USA")</f>
        <v>USA</v>
      </c>
      <c r="E595" s="188">
        <f>IFERROR(__xludf.DUMMYFUNCTION("""COMPUTED_VALUE"""),43280.0)</f>
        <v>43280</v>
      </c>
      <c r="F595" s="188">
        <f>IFERROR(__xludf.DUMMYFUNCTION("""COMPUTED_VALUE"""),43334.0)</f>
        <v>43334</v>
      </c>
      <c r="H595">
        <f>IFERROR(__xludf.DUMMYFUNCTION("""COMPUTED_VALUE"""),96655.0)</f>
        <v>96655</v>
      </c>
      <c r="I595" t="str">
        <f>IFERROR(__xludf.DUMMYFUNCTION("""COMPUTED_VALUE"""),"08/18")</f>
        <v>08/18</v>
      </c>
      <c r="J595" s="5">
        <f>IFERROR(__xludf.DUMMYFUNCTION("""COMPUTED_VALUE"""),43340.0)</f>
        <v>43340</v>
      </c>
      <c r="K595">
        <f>IFERROR(__xludf.DUMMYFUNCTION("""COMPUTED_VALUE"""),54.0)</f>
        <v>54</v>
      </c>
      <c r="L595">
        <f>IFERROR(__xludf.DUMMYFUNCTION("""COMPUTED_VALUE"""),6.0)</f>
        <v>6</v>
      </c>
      <c r="M595">
        <f>IFERROR(__xludf.DUMMYFUNCTION("""COMPUTED_VALUE"""),60.0)</f>
        <v>60</v>
      </c>
      <c r="N595" t="str">
        <f>IFERROR(__xludf.DUMMYFUNCTION("""COMPUTED_VALUE"""),"Model 3 LR AWD")</f>
        <v>Model 3 LR AWD</v>
      </c>
      <c r="O595" t="str">
        <f>IFERROR(__xludf.DUMMYFUNCTION("""COMPUTED_VALUE"""),"Deep Blue Metallic")</f>
        <v>Deep Blue Metallic</v>
      </c>
      <c r="P595" t="str">
        <f>IFERROR(__xludf.DUMMYFUNCTION("""COMPUTED_VALUE"""),"18 inch Aero")</f>
        <v>18 inch Aero</v>
      </c>
      <c r="Q595" t="str">
        <f>IFERROR(__xludf.DUMMYFUNCTION("""COMPUTED_VALUE"""),"White seats")</f>
        <v>White seats</v>
      </c>
      <c r="R595" t="str">
        <f>IFERROR(__xludf.DUMMYFUNCTION("""COMPUTED_VALUE"""),"Full Self-Driving")</f>
        <v>Full Self-Driving</v>
      </c>
      <c r="X595" t="str">
        <f>IFERROR(__xludf.DUMMYFUNCTION("""COMPUTED_VALUE"""),"Good")</f>
        <v>Good</v>
      </c>
      <c r="Y595" t="str">
        <f>IFERROR(__xludf.DUMMYFUNCTION("""COMPUTED_VALUE"""),"Very Good")</f>
        <v>Very Good</v>
      </c>
      <c r="Z595" t="str">
        <f>IFERROR(__xludf.DUMMYFUNCTION("""COMPUTED_VALUE"""),"Good")</f>
        <v>Good</v>
      </c>
      <c r="AA595" t="str">
        <f>IFERROR(__xludf.DUMMYFUNCTION("""COMPUTED_VALUE"""),"Excellent")</f>
        <v>Excellent</v>
      </c>
      <c r="AB595" t="str">
        <f>IFERROR(__xludf.DUMMYFUNCTION("""COMPUTED_VALUE"""),"Fair")</f>
        <v>Fair</v>
      </c>
      <c r="AC595">
        <f>IFERROR(__xludf.DUMMYFUNCTION("""COMPUTED_VALUE"""),2.0)</f>
        <v>2</v>
      </c>
      <c r="AG595" t="str">
        <f>IFERROR(__xludf.DUMMYFUNCTION("""COMPUTED_VALUE"""),"6/29/18 - Config'd, 7/10/18 - Change to FSD, 7/24/18 - Changed to white seats &amp; blue exterior, Est Delivery Oct-Dec, 8/28/18 - DELIVERED!")</f>
        <v>6/29/18 - Config'd, 7/10/18 - Change to FSD, 7/24/18 - Changed to white seats &amp; blue exterior, Est Delivery Oct-Dec, 8/28/18 - DELIVERED!</v>
      </c>
      <c r="AH595" s="189">
        <f>IFERROR(__xludf.DUMMYFUNCTION("""COMPUTED_VALUE"""),43347.35493685185)</f>
        <v>43347.35494</v>
      </c>
    </row>
    <row r="596">
      <c r="A596" t="str">
        <f>IFERROR(__xludf.DUMMYFUNCTION("""COMPUTED_VALUE"""),"Justintime")</f>
        <v>Justintime</v>
      </c>
      <c r="B596" t="str">
        <f>IFERROR(__xludf.DUMMYFUNCTION("""COMPUTED_VALUE"""),"San Francisco")</f>
        <v>San Francisco</v>
      </c>
      <c r="C596" t="str">
        <f>IFERROR(__xludf.DUMMYFUNCTION("""COMPUTED_VALUE"""),"CA")</f>
        <v>CA</v>
      </c>
      <c r="D596" t="str">
        <f>IFERROR(__xludf.DUMMYFUNCTION("""COMPUTED_VALUE"""),"USA")</f>
        <v>USA</v>
      </c>
      <c r="E596" s="188">
        <f>IFERROR(__xludf.DUMMYFUNCTION("""COMPUTED_VALUE"""),43280.0)</f>
        <v>43280</v>
      </c>
      <c r="F596" s="188">
        <f>IFERROR(__xludf.DUMMYFUNCTION("""COMPUTED_VALUE"""),43313.0)</f>
        <v>43313</v>
      </c>
      <c r="H596">
        <f>IFERROR(__xludf.DUMMYFUNCTION("""COMPUTED_VALUE"""),96055.0)</f>
        <v>96055</v>
      </c>
      <c r="I596" t="str">
        <f>IFERROR(__xludf.DUMMYFUNCTION("""COMPUTED_VALUE"""),"08/18")</f>
        <v>08/18</v>
      </c>
      <c r="J596" s="5">
        <f>IFERROR(__xludf.DUMMYFUNCTION("""COMPUTED_VALUE"""),43343.0)</f>
        <v>43343</v>
      </c>
      <c r="K596">
        <f>IFERROR(__xludf.DUMMYFUNCTION("""COMPUTED_VALUE"""),33.0)</f>
        <v>33</v>
      </c>
      <c r="L596">
        <f>IFERROR(__xludf.DUMMYFUNCTION("""COMPUTED_VALUE"""),30.0)</f>
        <v>30</v>
      </c>
      <c r="M596">
        <f>IFERROR(__xludf.DUMMYFUNCTION("""COMPUTED_VALUE"""),63.0)</f>
        <v>63</v>
      </c>
      <c r="N596" t="str">
        <f>IFERROR(__xludf.DUMMYFUNCTION("""COMPUTED_VALUE"""),"Model 3 LR AWD")</f>
        <v>Model 3 LR AWD</v>
      </c>
      <c r="O596" t="str">
        <f>IFERROR(__xludf.DUMMYFUNCTION("""COMPUTED_VALUE"""),"Midnight Silver Metallic")</f>
        <v>Midnight Silver Metallic</v>
      </c>
      <c r="P596" t="str">
        <f>IFERROR(__xludf.DUMMYFUNCTION("""COMPUTED_VALUE"""),"18 inch Aero")</f>
        <v>18 inch Aero</v>
      </c>
      <c r="Q596" t="str">
        <f>IFERROR(__xludf.DUMMYFUNCTION("""COMPUTED_VALUE"""),"White seats")</f>
        <v>White seats</v>
      </c>
      <c r="R596" t="str">
        <f>IFERROR(__xludf.DUMMYFUNCTION("""COMPUTED_VALUE"""),"None")</f>
        <v>None</v>
      </c>
      <c r="X596" t="str">
        <f>IFERROR(__xludf.DUMMYFUNCTION("""COMPUTED_VALUE"""),"Fair")</f>
        <v>Fair</v>
      </c>
      <c r="Y596" t="str">
        <f>IFERROR(__xludf.DUMMYFUNCTION("""COMPUTED_VALUE"""),"Very Good")</f>
        <v>Very Good</v>
      </c>
      <c r="Z596" t="str">
        <f>IFERROR(__xludf.DUMMYFUNCTION("""COMPUTED_VALUE"""),"Very Good")</f>
        <v>Very Good</v>
      </c>
      <c r="AA596" t="str">
        <f>IFERROR(__xludf.DUMMYFUNCTION("""COMPUTED_VALUE"""),"Excellent")</f>
        <v>Excellent</v>
      </c>
      <c r="AB596" t="str">
        <f>IFERROR(__xludf.DUMMYFUNCTION("""COMPUTED_VALUE"""),"Good")</f>
        <v>Good</v>
      </c>
      <c r="AC596">
        <f>IFERROR(__xludf.DUMMYFUNCTION("""COMPUTED_VALUE"""),4.0)</f>
        <v>4</v>
      </c>
      <c r="AH596" s="189">
        <f>IFERROR(__xludf.DUMMYFUNCTION("""COMPUTED_VALUE"""),43347.367422048614)</f>
        <v>43347.36742</v>
      </c>
    </row>
    <row r="597">
      <c r="A597" t="str">
        <f>IFERROR(__xludf.DUMMYFUNCTION("""COMPUTED_VALUE"""),"ddgdl")</f>
        <v>ddgdl</v>
      </c>
      <c r="B597" t="str">
        <f>IFERROR(__xludf.DUMMYFUNCTION("""COMPUTED_VALUE"""),"Boulder")</f>
        <v>Boulder</v>
      </c>
      <c r="C597" t="str">
        <f>IFERROR(__xludf.DUMMYFUNCTION("""COMPUTED_VALUE"""),"CO")</f>
        <v>CO</v>
      </c>
      <c r="D597" t="str">
        <f>IFERROR(__xludf.DUMMYFUNCTION("""COMPUTED_VALUE"""),"USA")</f>
        <v>USA</v>
      </c>
      <c r="E597" s="188">
        <f>IFERROR(__xludf.DUMMYFUNCTION("""COMPUTED_VALUE"""),43279.0)</f>
        <v>43279</v>
      </c>
      <c r="F597" s="188">
        <f>IFERROR(__xludf.DUMMYFUNCTION("""COMPUTED_VALUE"""),43340.0)</f>
        <v>43340</v>
      </c>
      <c r="H597">
        <f>IFERROR(__xludf.DUMMYFUNCTION("""COMPUTED_VALUE"""),99995.0)</f>
        <v>99995</v>
      </c>
      <c r="I597" t="str">
        <f>IFERROR(__xludf.DUMMYFUNCTION("""COMPUTED_VALUE"""),"08/18")</f>
        <v>08/18</v>
      </c>
      <c r="J597" s="5">
        <f>IFERROR(__xludf.DUMMYFUNCTION("""COMPUTED_VALUE"""),43347.0)</f>
        <v>43347</v>
      </c>
      <c r="K597">
        <f>IFERROR(__xludf.DUMMYFUNCTION("""COMPUTED_VALUE"""),61.0)</f>
        <v>61</v>
      </c>
      <c r="L597">
        <f>IFERROR(__xludf.DUMMYFUNCTION("""COMPUTED_VALUE"""),7.0)</f>
        <v>7</v>
      </c>
      <c r="M597">
        <f>IFERROR(__xludf.DUMMYFUNCTION("""COMPUTED_VALUE"""),68.0)</f>
        <v>68</v>
      </c>
      <c r="N597" t="str">
        <f>IFERROR(__xludf.DUMMYFUNCTION("""COMPUTED_VALUE"""),"Model 3 LR AWD")</f>
        <v>Model 3 LR AWD</v>
      </c>
      <c r="O597" t="str">
        <f>IFERROR(__xludf.DUMMYFUNCTION("""COMPUTED_VALUE"""),"Pearl White Multi-Coat")</f>
        <v>Pearl White Multi-Coat</v>
      </c>
      <c r="P597" t="str">
        <f>IFERROR(__xludf.DUMMYFUNCTION("""COMPUTED_VALUE"""),"18 inch Aero")</f>
        <v>18 inch Aero</v>
      </c>
      <c r="Q597" t="str">
        <f>IFERROR(__xludf.DUMMYFUNCTION("""COMPUTED_VALUE"""),"White seats")</f>
        <v>White seats</v>
      </c>
      <c r="R597" t="str">
        <f>IFERROR(__xludf.DUMMYFUNCTION("""COMPUTED_VALUE"""),"None")</f>
        <v>None</v>
      </c>
      <c r="X597" t="str">
        <f>IFERROR(__xludf.DUMMYFUNCTION("""COMPUTED_VALUE"""),"Very Good")</f>
        <v>Very Good</v>
      </c>
      <c r="Y597" t="str">
        <f>IFERROR(__xludf.DUMMYFUNCTION("""COMPUTED_VALUE"""),"Excellent")</f>
        <v>Excellent</v>
      </c>
      <c r="Z597" t="str">
        <f>IFERROR(__xludf.DUMMYFUNCTION("""COMPUTED_VALUE"""),"Excellent")</f>
        <v>Excellent</v>
      </c>
      <c r="AA597" t="str">
        <f>IFERROR(__xludf.DUMMYFUNCTION("""COMPUTED_VALUE"""),"Excellent")</f>
        <v>Excellent</v>
      </c>
      <c r="AB597" t="str">
        <f>IFERROR(__xludf.DUMMYFUNCTION("""COMPUTED_VALUE"""),"Excellent")</f>
        <v>Excellent</v>
      </c>
      <c r="AH597" s="189">
        <f>IFERROR(__xludf.DUMMYFUNCTION("""COMPUTED_VALUE"""),43347.52889340278)</f>
        <v>43347.52889</v>
      </c>
    </row>
    <row r="598">
      <c r="A598" t="str">
        <f>IFERROR(__xludf.DUMMYFUNCTION("""COMPUTED_VALUE"""),"JTC_LA")</f>
        <v>JTC_LA</v>
      </c>
      <c r="B598" t="str">
        <f>IFERROR(__xludf.DUMMYFUNCTION("""COMPUTED_VALUE"""),"Los Angeles")</f>
        <v>Los Angeles</v>
      </c>
      <c r="C598" t="str">
        <f>IFERROR(__xludf.DUMMYFUNCTION("""COMPUTED_VALUE"""),"CA")</f>
        <v>CA</v>
      </c>
      <c r="D598" t="str">
        <f>IFERROR(__xludf.DUMMYFUNCTION("""COMPUTED_VALUE"""),"USA")</f>
        <v>USA</v>
      </c>
      <c r="E598" s="188">
        <f>IFERROR(__xludf.DUMMYFUNCTION("""COMPUTED_VALUE"""),43340.0)</f>
        <v>43340</v>
      </c>
      <c r="F598" s="188">
        <f>IFERROR(__xludf.DUMMYFUNCTION("""COMPUTED_VALUE"""),43342.0)</f>
        <v>43342</v>
      </c>
      <c r="H598">
        <f>IFERROR(__xludf.DUMMYFUNCTION("""COMPUTED_VALUE"""),61356.0)</f>
        <v>61356</v>
      </c>
      <c r="I598" t="str">
        <f>IFERROR(__xludf.DUMMYFUNCTION("""COMPUTED_VALUE"""),"08/18")</f>
        <v>08/18</v>
      </c>
      <c r="J598" s="5">
        <f>IFERROR(__xludf.DUMMYFUNCTION("""COMPUTED_VALUE"""),43345.0)</f>
        <v>43345</v>
      </c>
      <c r="K598">
        <f>IFERROR(__xludf.DUMMYFUNCTION("""COMPUTED_VALUE"""),2.0)</f>
        <v>2</v>
      </c>
      <c r="L598">
        <f>IFERROR(__xludf.DUMMYFUNCTION("""COMPUTED_VALUE"""),3.0)</f>
        <v>3</v>
      </c>
      <c r="M598">
        <f>IFERROR(__xludf.DUMMYFUNCTION("""COMPUTED_VALUE"""),5.0)</f>
        <v>5</v>
      </c>
      <c r="N598" t="str">
        <f>IFERROR(__xludf.DUMMYFUNCTION("""COMPUTED_VALUE"""),"Model 3 LR")</f>
        <v>Model 3 LR</v>
      </c>
      <c r="O598" t="str">
        <f>IFERROR(__xludf.DUMMYFUNCTION("""COMPUTED_VALUE"""),"Silver Metallic")</f>
        <v>Silver Metallic</v>
      </c>
      <c r="P598" t="str">
        <f>IFERROR(__xludf.DUMMYFUNCTION("""COMPUTED_VALUE"""),"18 inch Aero")</f>
        <v>18 inch Aero</v>
      </c>
      <c r="Q598" t="str">
        <f>IFERROR(__xludf.DUMMYFUNCTION("""COMPUTED_VALUE"""),"Black seats")</f>
        <v>Black seats</v>
      </c>
      <c r="R598" t="str">
        <f>IFERROR(__xludf.DUMMYFUNCTION("""COMPUTED_VALUE"""),"None")</f>
        <v>None</v>
      </c>
      <c r="X598" t="str">
        <f>IFERROR(__xludf.DUMMYFUNCTION("""COMPUTED_VALUE"""),"Fair")</f>
        <v>Fair</v>
      </c>
      <c r="Y598" t="str">
        <f>IFERROR(__xludf.DUMMYFUNCTION("""COMPUTED_VALUE"""),"Very Good")</f>
        <v>Very Good</v>
      </c>
      <c r="Z598" t="str">
        <f>IFERROR(__xludf.DUMMYFUNCTION("""COMPUTED_VALUE"""),"Fair")</f>
        <v>Fair</v>
      </c>
      <c r="AA598" t="str">
        <f>IFERROR(__xludf.DUMMYFUNCTION("""COMPUTED_VALUE"""),"Poor")</f>
        <v>Poor</v>
      </c>
      <c r="AB598" t="str">
        <f>IFERROR(__xludf.DUMMYFUNCTION("""COMPUTED_VALUE"""),"Poor")</f>
        <v>Poor</v>
      </c>
      <c r="AC598">
        <f>IFERROR(__xludf.DUMMYFUNCTION("""COMPUTED_VALUE"""),4.0)</f>
        <v>4</v>
      </c>
      <c r="AH598" s="189">
        <f>IFERROR(__xludf.DUMMYFUNCTION("""COMPUTED_VALUE"""),43347.67212012732)</f>
        <v>43347.67212</v>
      </c>
    </row>
    <row r="599">
      <c r="A599" t="str">
        <f>IFERROR(__xludf.DUMMYFUNCTION("""COMPUTED_VALUE"""),"webfootguy")</f>
        <v>webfootguy</v>
      </c>
      <c r="B599" t="str">
        <f>IFERROR(__xludf.DUMMYFUNCTION("""COMPUTED_VALUE"""),"Portland")</f>
        <v>Portland</v>
      </c>
      <c r="C599" t="str">
        <f>IFERROR(__xludf.DUMMYFUNCTION("""COMPUTED_VALUE"""),"OR")</f>
        <v>OR</v>
      </c>
      <c r="D599" t="str">
        <f>IFERROR(__xludf.DUMMYFUNCTION("""COMPUTED_VALUE"""),"USA")</f>
        <v>USA</v>
      </c>
      <c r="E599" s="188">
        <f>IFERROR(__xludf.DUMMYFUNCTION("""COMPUTED_VALUE"""),43159.0)</f>
        <v>43159</v>
      </c>
      <c r="F599" s="188">
        <f>IFERROR(__xludf.DUMMYFUNCTION("""COMPUTED_VALUE"""),43327.0)</f>
        <v>43327</v>
      </c>
      <c r="H599">
        <f>IFERROR(__xludf.DUMMYFUNCTION("""COMPUTED_VALUE"""),56155.0)</f>
        <v>56155</v>
      </c>
      <c r="I599" t="str">
        <f>IFERROR(__xludf.DUMMYFUNCTION("""COMPUTED_VALUE"""),"08/18")</f>
        <v>08/18</v>
      </c>
      <c r="J599" s="5">
        <f>IFERROR(__xludf.DUMMYFUNCTION("""COMPUTED_VALUE"""),43334.0)</f>
        <v>43334</v>
      </c>
      <c r="K599">
        <f>IFERROR(__xludf.DUMMYFUNCTION("""COMPUTED_VALUE"""),168.0)</f>
        <v>168</v>
      </c>
      <c r="L599">
        <f>IFERROR(__xludf.DUMMYFUNCTION("""COMPUTED_VALUE"""),7.0)</f>
        <v>7</v>
      </c>
      <c r="M599">
        <f>IFERROR(__xludf.DUMMYFUNCTION("""COMPUTED_VALUE"""),175.0)</f>
        <v>175</v>
      </c>
      <c r="N599" t="str">
        <f>IFERROR(__xludf.DUMMYFUNCTION("""COMPUTED_VALUE"""),"Model 3 Performance")</f>
        <v>Model 3 Performance</v>
      </c>
      <c r="O599" t="str">
        <f>IFERROR(__xludf.DUMMYFUNCTION("""COMPUTED_VALUE"""),"Red Multi-Coat")</f>
        <v>Red Multi-Coat</v>
      </c>
      <c r="P599" t="str">
        <f>IFERROR(__xludf.DUMMYFUNCTION("""COMPUTED_VALUE"""),"18 inch Aero")</f>
        <v>18 inch Aero</v>
      </c>
      <c r="Q599" t="str">
        <f>IFERROR(__xludf.DUMMYFUNCTION("""COMPUTED_VALUE"""),"White seats")</f>
        <v>White seats</v>
      </c>
      <c r="R599" t="str">
        <f>IFERROR(__xludf.DUMMYFUNCTION("""COMPUTED_VALUE"""),"Full Self-Driving")</f>
        <v>Full Self-Driving</v>
      </c>
      <c r="X599" t="str">
        <f>IFERROR(__xludf.DUMMYFUNCTION("""COMPUTED_VALUE"""),"Excellent")</f>
        <v>Excellent</v>
      </c>
      <c r="Y599" t="str">
        <f>IFERROR(__xludf.DUMMYFUNCTION("""COMPUTED_VALUE"""),"Excellent")</f>
        <v>Excellent</v>
      </c>
      <c r="Z599" t="str">
        <f>IFERROR(__xludf.DUMMYFUNCTION("""COMPUTED_VALUE"""),"Excellent")</f>
        <v>Excellent</v>
      </c>
      <c r="AA599" t="str">
        <f>IFERROR(__xludf.DUMMYFUNCTION("""COMPUTED_VALUE"""),"Excellent")</f>
        <v>Excellent</v>
      </c>
      <c r="AB599" t="str">
        <f>IFERROR(__xludf.DUMMYFUNCTION("""COMPUTED_VALUE"""),"Excellent")</f>
        <v>Excellent</v>
      </c>
      <c r="AH599" s="189">
        <f>IFERROR(__xludf.DUMMYFUNCTION("""COMPUTED_VALUE"""),43347.72253126158)</f>
        <v>43347.72253</v>
      </c>
    </row>
    <row r="600">
      <c r="A600" t="str">
        <f>IFERROR(__xludf.DUMMYFUNCTION("""COMPUTED_VALUE"""),"jlbs")</f>
        <v>jlbs</v>
      </c>
      <c r="B600" t="str">
        <f>IFERROR(__xludf.DUMMYFUNCTION("""COMPUTED_VALUE"""),"Annapolis")</f>
        <v>Annapolis</v>
      </c>
      <c r="C600" t="str">
        <f>IFERROR(__xludf.DUMMYFUNCTION("""COMPUTED_VALUE"""),"MD")</f>
        <v>MD</v>
      </c>
      <c r="D600" t="str">
        <f>IFERROR(__xludf.DUMMYFUNCTION("""COMPUTED_VALUE"""),"USA")</f>
        <v>USA</v>
      </c>
      <c r="E600" s="188">
        <f>IFERROR(__xludf.DUMMYFUNCTION("""COMPUTED_VALUE"""),43280.0)</f>
        <v>43280</v>
      </c>
      <c r="F600" s="188">
        <f>IFERROR(__xludf.DUMMYFUNCTION("""COMPUTED_VALUE"""),43326.0)</f>
        <v>43326</v>
      </c>
      <c r="H600">
        <f>IFERROR(__xludf.DUMMYFUNCTION("""COMPUTED_VALUE"""),68155.0)</f>
        <v>68155</v>
      </c>
      <c r="I600" t="str">
        <f>IFERROR(__xludf.DUMMYFUNCTION("""COMPUTED_VALUE"""),"08/18")</f>
        <v>08/18</v>
      </c>
      <c r="J600" s="5">
        <f>IFERROR(__xludf.DUMMYFUNCTION("""COMPUTED_VALUE"""),43344.0)</f>
        <v>43344</v>
      </c>
      <c r="K600">
        <f>IFERROR(__xludf.DUMMYFUNCTION("""COMPUTED_VALUE"""),46.0)</f>
        <v>46</v>
      </c>
      <c r="L600">
        <f>IFERROR(__xludf.DUMMYFUNCTION("""COMPUTED_VALUE"""),18.0)</f>
        <v>18</v>
      </c>
      <c r="M600">
        <f>IFERROR(__xludf.DUMMYFUNCTION("""COMPUTED_VALUE"""),64.0)</f>
        <v>64</v>
      </c>
      <c r="N600" t="str">
        <f>IFERROR(__xludf.DUMMYFUNCTION("""COMPUTED_VALUE"""),"Model 3 LR AWD")</f>
        <v>Model 3 LR AWD</v>
      </c>
      <c r="O600" t="str">
        <f>IFERROR(__xludf.DUMMYFUNCTION("""COMPUTED_VALUE"""),"Solid Black")</f>
        <v>Solid Black</v>
      </c>
      <c r="P600" t="str">
        <f>IFERROR(__xludf.DUMMYFUNCTION("""COMPUTED_VALUE"""),"18 inch Aero")</f>
        <v>18 inch Aero</v>
      </c>
      <c r="Q600" t="str">
        <f>IFERROR(__xludf.DUMMYFUNCTION("""COMPUTED_VALUE"""),"Black seats")</f>
        <v>Black seats</v>
      </c>
      <c r="R600" t="str">
        <f>IFERROR(__xludf.DUMMYFUNCTION("""COMPUTED_VALUE"""),"None")</f>
        <v>None</v>
      </c>
      <c r="X600" t="str">
        <f>IFERROR(__xludf.DUMMYFUNCTION("""COMPUTED_VALUE"""),"Excellent")</f>
        <v>Excellent</v>
      </c>
      <c r="Y600" t="str">
        <f>IFERROR(__xludf.DUMMYFUNCTION("""COMPUTED_VALUE"""),"Excellent")</f>
        <v>Excellent</v>
      </c>
      <c r="Z600" t="str">
        <f>IFERROR(__xludf.DUMMYFUNCTION("""COMPUTED_VALUE"""),"Excellent")</f>
        <v>Excellent</v>
      </c>
      <c r="AA600" t="str">
        <f>IFERROR(__xludf.DUMMYFUNCTION("""COMPUTED_VALUE"""),"Excellent")</f>
        <v>Excellent</v>
      </c>
      <c r="AB600" t="str">
        <f>IFERROR(__xludf.DUMMYFUNCTION("""COMPUTED_VALUE"""),"Excellent")</f>
        <v>Excellent</v>
      </c>
      <c r="AH600" s="189">
        <f>IFERROR(__xludf.DUMMYFUNCTION("""COMPUTED_VALUE"""),43347.77432711805)</f>
        <v>43347.77433</v>
      </c>
    </row>
    <row r="601">
      <c r="A601" t="str">
        <f>IFERROR(__xludf.DUMMYFUNCTION("""COMPUTED_VALUE"""),"Big Ern")</f>
        <v>Big Ern</v>
      </c>
      <c r="B601" t="str">
        <f>IFERROR(__xludf.DUMMYFUNCTION("""COMPUTED_VALUE"""),"Pittsburgh")</f>
        <v>Pittsburgh</v>
      </c>
      <c r="C601" t="str">
        <f>IFERROR(__xludf.DUMMYFUNCTION("""COMPUTED_VALUE"""),"PA")</f>
        <v>PA</v>
      </c>
      <c r="D601" t="str">
        <f>IFERROR(__xludf.DUMMYFUNCTION("""COMPUTED_VALUE"""),"USA")</f>
        <v>USA</v>
      </c>
      <c r="E601" s="188">
        <f>IFERROR(__xludf.DUMMYFUNCTION("""COMPUTED_VALUE"""),43243.0)</f>
        <v>43243</v>
      </c>
      <c r="F601" s="188">
        <f>IFERROR(__xludf.DUMMYFUNCTION("""COMPUTED_VALUE"""),43329.0)</f>
        <v>43329</v>
      </c>
      <c r="H601">
        <f>IFERROR(__xludf.DUMMYFUNCTION("""COMPUTED_VALUE"""),72455.0)</f>
        <v>72455</v>
      </c>
      <c r="I601" t="str">
        <f>IFERROR(__xludf.DUMMYFUNCTION("""COMPUTED_VALUE"""),"08/18")</f>
        <v>08/18</v>
      </c>
      <c r="J601" s="5">
        <f>IFERROR(__xludf.DUMMYFUNCTION("""COMPUTED_VALUE"""),43347.0)</f>
        <v>43347</v>
      </c>
      <c r="K601">
        <f>IFERROR(__xludf.DUMMYFUNCTION("""COMPUTED_VALUE"""),86.0)</f>
        <v>86</v>
      </c>
      <c r="L601">
        <f>IFERROR(__xludf.DUMMYFUNCTION("""COMPUTED_VALUE"""),18.0)</f>
        <v>18</v>
      </c>
      <c r="M601">
        <f>IFERROR(__xludf.DUMMYFUNCTION("""COMPUTED_VALUE"""),104.0)</f>
        <v>104</v>
      </c>
      <c r="N601" t="str">
        <f>IFERROR(__xludf.DUMMYFUNCTION("""COMPUTED_VALUE"""),"Model 3 Performance")</f>
        <v>Model 3 Performance</v>
      </c>
      <c r="O601" t="str">
        <f>IFERROR(__xludf.DUMMYFUNCTION("""COMPUTED_VALUE"""),"Solid Black")</f>
        <v>Solid Black</v>
      </c>
      <c r="P601" t="str">
        <f>IFERROR(__xludf.DUMMYFUNCTION("""COMPUTED_VALUE"""),"20 inch Sport")</f>
        <v>20 inch Sport</v>
      </c>
      <c r="Q601" t="str">
        <f>IFERROR(__xludf.DUMMYFUNCTION("""COMPUTED_VALUE"""),"Black seats")</f>
        <v>Black seats</v>
      </c>
      <c r="R601" t="str">
        <f>IFERROR(__xludf.DUMMYFUNCTION("""COMPUTED_VALUE"""),"Full Self-Driving")</f>
        <v>Full Self-Driving</v>
      </c>
      <c r="X601" t="str">
        <f>IFERROR(__xludf.DUMMYFUNCTION("""COMPUTED_VALUE"""),"Excellent")</f>
        <v>Excellent</v>
      </c>
      <c r="Y601" t="str">
        <f>IFERROR(__xludf.DUMMYFUNCTION("""COMPUTED_VALUE"""),"Excellent")</f>
        <v>Excellent</v>
      </c>
      <c r="Z601" t="str">
        <f>IFERROR(__xludf.DUMMYFUNCTION("""COMPUTED_VALUE"""),"Very Good")</f>
        <v>Very Good</v>
      </c>
      <c r="AA601" t="str">
        <f>IFERROR(__xludf.DUMMYFUNCTION("""COMPUTED_VALUE"""),"Fair")</f>
        <v>Fair</v>
      </c>
      <c r="AB601" t="str">
        <f>IFERROR(__xludf.DUMMYFUNCTION("""COMPUTED_VALUE"""),"Very Good")</f>
        <v>Very Good</v>
      </c>
      <c r="AH601" s="189">
        <f>IFERROR(__xludf.DUMMYFUNCTION("""COMPUTED_VALUE"""),43347.78655585648)</f>
        <v>43347.78656</v>
      </c>
    </row>
    <row r="602">
      <c r="A602" t="str">
        <f>IFERROR(__xludf.DUMMYFUNCTION("""COMPUTED_VALUE"""),"savvypatches")</f>
        <v>savvypatches</v>
      </c>
      <c r="C602" t="str">
        <f>IFERROR(__xludf.DUMMYFUNCTION("""COMPUTED_VALUE"""),"MA")</f>
        <v>MA</v>
      </c>
      <c r="D602" t="str">
        <f>IFERROR(__xludf.DUMMYFUNCTION("""COMPUTED_VALUE"""),"USA")</f>
        <v>USA</v>
      </c>
      <c r="E602" s="188">
        <f>IFERROR(__xludf.DUMMYFUNCTION("""COMPUTED_VALUE"""),43277.0)</f>
        <v>43277</v>
      </c>
      <c r="F602" s="188">
        <f>IFERROR(__xludf.DUMMYFUNCTION("""COMPUTED_VALUE"""),43318.0)</f>
        <v>43318</v>
      </c>
      <c r="H602">
        <f>IFERROR(__xludf.DUMMYFUNCTION("""COMPUTED_VALUE"""),68755.0)</f>
        <v>68755</v>
      </c>
      <c r="I602" t="str">
        <f>IFERROR(__xludf.DUMMYFUNCTION("""COMPUTED_VALUE"""),"08/18")</f>
        <v>08/18</v>
      </c>
      <c r="J602" s="5">
        <f>IFERROR(__xludf.DUMMYFUNCTION("""COMPUTED_VALUE"""),43347.0)</f>
        <v>43347</v>
      </c>
      <c r="K602">
        <f>IFERROR(__xludf.DUMMYFUNCTION("""COMPUTED_VALUE"""),41.0)</f>
        <v>41</v>
      </c>
      <c r="L602">
        <f>IFERROR(__xludf.DUMMYFUNCTION("""COMPUTED_VALUE"""),29.0)</f>
        <v>29</v>
      </c>
      <c r="M602">
        <f>IFERROR(__xludf.DUMMYFUNCTION("""COMPUTED_VALUE"""),70.0)</f>
        <v>70</v>
      </c>
      <c r="N602" t="str">
        <f>IFERROR(__xludf.DUMMYFUNCTION("""COMPUTED_VALUE"""),"Model 3 LR AWD")</f>
        <v>Model 3 LR AWD</v>
      </c>
      <c r="O602" t="str">
        <f>IFERROR(__xludf.DUMMYFUNCTION("""COMPUTED_VALUE"""),"Midnight Silver Metallic")</f>
        <v>Midnight Silver Metallic</v>
      </c>
      <c r="P602" t="str">
        <f>IFERROR(__xludf.DUMMYFUNCTION("""COMPUTED_VALUE"""),"19 inch Sport")</f>
        <v>19 inch Sport</v>
      </c>
      <c r="Q602" t="str">
        <f>IFERROR(__xludf.DUMMYFUNCTION("""COMPUTED_VALUE"""),"Black seats")</f>
        <v>Black seats</v>
      </c>
      <c r="R602" t="str">
        <f>IFERROR(__xludf.DUMMYFUNCTION("""COMPUTED_VALUE"""),"None")</f>
        <v>None</v>
      </c>
      <c r="X602" t="str">
        <f>IFERROR(__xludf.DUMMYFUNCTION("""COMPUTED_VALUE"""),"Excellent")</f>
        <v>Excellent</v>
      </c>
      <c r="Y602" t="str">
        <f>IFERROR(__xludf.DUMMYFUNCTION("""COMPUTED_VALUE"""),"Excellent")</f>
        <v>Excellent</v>
      </c>
      <c r="Z602" t="str">
        <f>IFERROR(__xludf.DUMMYFUNCTION("""COMPUTED_VALUE"""),"Excellent")</f>
        <v>Excellent</v>
      </c>
      <c r="AA602" t="str">
        <f>IFERROR(__xludf.DUMMYFUNCTION("""COMPUTED_VALUE"""),"Fair")</f>
        <v>Fair</v>
      </c>
      <c r="AB602" t="str">
        <f>IFERROR(__xludf.DUMMYFUNCTION("""COMPUTED_VALUE"""),"Excellent")</f>
        <v>Excellent</v>
      </c>
      <c r="AH602" s="189">
        <f>IFERROR(__xludf.DUMMYFUNCTION("""COMPUTED_VALUE"""),43347.86419545139)</f>
        <v>43347.8642</v>
      </c>
    </row>
    <row r="603">
      <c r="A603" t="str">
        <f>IFERROR(__xludf.DUMMYFUNCTION("""COMPUTED_VALUE"""),"pele34")</f>
        <v>pele34</v>
      </c>
      <c r="B603" t="str">
        <f>IFERROR(__xludf.DUMMYFUNCTION("""COMPUTED_VALUE"""),"Seattle")</f>
        <v>Seattle</v>
      </c>
      <c r="C603" t="str">
        <f>IFERROR(__xludf.DUMMYFUNCTION("""COMPUTED_VALUE"""),"WA")</f>
        <v>WA</v>
      </c>
      <c r="D603" t="str">
        <f>IFERROR(__xludf.DUMMYFUNCTION("""COMPUTED_VALUE"""),"USA")</f>
        <v>USA</v>
      </c>
      <c r="E603" s="188">
        <f>IFERROR(__xludf.DUMMYFUNCTION("""COMPUTED_VALUE"""),43281.0)</f>
        <v>43281</v>
      </c>
      <c r="F603" s="188">
        <f>IFERROR(__xludf.DUMMYFUNCTION("""COMPUTED_VALUE"""),43336.0)</f>
        <v>43336</v>
      </c>
      <c r="H603">
        <f>IFERROR(__xludf.DUMMYFUNCTION("""COMPUTED_VALUE"""),66495.0)</f>
        <v>66495</v>
      </c>
      <c r="J603" s="5">
        <f>IFERROR(__xludf.DUMMYFUNCTION("""COMPUTED_VALUE"""),43347.0)</f>
        <v>43347</v>
      </c>
      <c r="K603">
        <f>IFERROR(__xludf.DUMMYFUNCTION("""COMPUTED_VALUE"""),55.0)</f>
        <v>55</v>
      </c>
      <c r="L603">
        <f>IFERROR(__xludf.DUMMYFUNCTION("""COMPUTED_VALUE"""),11.0)</f>
        <v>11</v>
      </c>
      <c r="M603">
        <f>IFERROR(__xludf.DUMMYFUNCTION("""COMPUTED_VALUE"""),66.0)</f>
        <v>66</v>
      </c>
      <c r="N603" t="str">
        <f>IFERROR(__xludf.DUMMYFUNCTION("""COMPUTED_VALUE"""),"Model 3 LR AWD")</f>
        <v>Model 3 LR AWD</v>
      </c>
      <c r="O603" t="str">
        <f>IFERROR(__xludf.DUMMYFUNCTION("""COMPUTED_VALUE"""),"Midnight Silver Metallic")</f>
        <v>Midnight Silver Metallic</v>
      </c>
      <c r="P603" t="str">
        <f>IFERROR(__xludf.DUMMYFUNCTION("""COMPUTED_VALUE"""),"18 inch Aero")</f>
        <v>18 inch Aero</v>
      </c>
      <c r="Q603" t="str">
        <f>IFERROR(__xludf.DUMMYFUNCTION("""COMPUTED_VALUE"""),"Black seats")</f>
        <v>Black seats</v>
      </c>
      <c r="R603" t="str">
        <f>IFERROR(__xludf.DUMMYFUNCTION("""COMPUTED_VALUE"""),"Enhanced Autopilot")</f>
        <v>Enhanced Autopilot</v>
      </c>
      <c r="X603" t="str">
        <f>IFERROR(__xludf.DUMMYFUNCTION("""COMPUTED_VALUE"""),"Good")</f>
        <v>Good</v>
      </c>
      <c r="Y603" t="str">
        <f>IFERROR(__xludf.DUMMYFUNCTION("""COMPUTED_VALUE"""),"Very Good")</f>
        <v>Very Good</v>
      </c>
      <c r="Z603" t="str">
        <f>IFERROR(__xludf.DUMMYFUNCTION("""COMPUTED_VALUE"""),"Very Good")</f>
        <v>Very Good</v>
      </c>
      <c r="AA603" t="str">
        <f>IFERROR(__xludf.DUMMYFUNCTION("""COMPUTED_VALUE"""),"Good")</f>
        <v>Good</v>
      </c>
      <c r="AB603" t="str">
        <f>IFERROR(__xludf.DUMMYFUNCTION("""COMPUTED_VALUE"""),"Fair")</f>
        <v>Fair</v>
      </c>
      <c r="AH603" s="189">
        <f>IFERROR(__xludf.DUMMYFUNCTION("""COMPUTED_VALUE"""),43347.87974145834)</f>
        <v>43347.87974</v>
      </c>
    </row>
    <row r="604">
      <c r="A604" t="str">
        <f>IFERROR(__xludf.DUMMYFUNCTION("""COMPUTED_VALUE"""),"JML")</f>
        <v>JML</v>
      </c>
      <c r="B604" t="str">
        <f>IFERROR(__xludf.DUMMYFUNCTION("""COMPUTED_VALUE"""),"Boulder")</f>
        <v>Boulder</v>
      </c>
      <c r="C604" t="str">
        <f>IFERROR(__xludf.DUMMYFUNCTION("""COMPUTED_VALUE"""),"CO")</f>
        <v>CO</v>
      </c>
      <c r="D604" t="str">
        <f>IFERROR(__xludf.DUMMYFUNCTION("""COMPUTED_VALUE"""),"USA")</f>
        <v>USA</v>
      </c>
      <c r="E604" s="188">
        <f>IFERROR(__xludf.DUMMYFUNCTION("""COMPUTED_VALUE"""),43279.0)</f>
        <v>43279</v>
      </c>
      <c r="F604" s="188">
        <f>IFERROR(__xludf.DUMMYFUNCTION("""COMPUTED_VALUE"""),43333.0)</f>
        <v>43333</v>
      </c>
      <c r="H604">
        <f>IFERROR(__xludf.DUMMYFUNCTION("""COMPUTED_VALUE"""),68455.0)</f>
        <v>68455</v>
      </c>
      <c r="I604" t="str">
        <f>IFERROR(__xludf.DUMMYFUNCTION("""COMPUTED_VALUE"""),"08/18")</f>
        <v>08/18</v>
      </c>
      <c r="J604" s="5">
        <f>IFERROR(__xludf.DUMMYFUNCTION("""COMPUTED_VALUE"""),43346.0)</f>
        <v>43346</v>
      </c>
      <c r="K604">
        <f>IFERROR(__xludf.DUMMYFUNCTION("""COMPUTED_VALUE"""),54.0)</f>
        <v>54</v>
      </c>
      <c r="L604">
        <f>IFERROR(__xludf.DUMMYFUNCTION("""COMPUTED_VALUE"""),13.0)</f>
        <v>13</v>
      </c>
      <c r="M604">
        <f>IFERROR(__xludf.DUMMYFUNCTION("""COMPUTED_VALUE"""),67.0)</f>
        <v>67</v>
      </c>
      <c r="N604" t="str">
        <f>IFERROR(__xludf.DUMMYFUNCTION("""COMPUTED_VALUE"""),"Model 3 LR AWD")</f>
        <v>Model 3 LR AWD</v>
      </c>
      <c r="O604" t="str">
        <f>IFERROR(__xludf.DUMMYFUNCTION("""COMPUTED_VALUE"""),"Solid Black")</f>
        <v>Solid Black</v>
      </c>
      <c r="P604" t="str">
        <f>IFERROR(__xludf.DUMMYFUNCTION("""COMPUTED_VALUE"""),"18 inch Aero")</f>
        <v>18 inch Aero</v>
      </c>
      <c r="Q604" t="str">
        <f>IFERROR(__xludf.DUMMYFUNCTION("""COMPUTED_VALUE"""),"Black seats")</f>
        <v>Black seats</v>
      </c>
      <c r="R604" t="str">
        <f>IFERROR(__xludf.DUMMYFUNCTION("""COMPUTED_VALUE"""),"Enhanced Autopilot")</f>
        <v>Enhanced Autopilot</v>
      </c>
      <c r="X604" t="str">
        <f>IFERROR(__xludf.DUMMYFUNCTION("""COMPUTED_VALUE"""),"Very Good")</f>
        <v>Very Good</v>
      </c>
      <c r="Y604" t="str">
        <f>IFERROR(__xludf.DUMMYFUNCTION("""COMPUTED_VALUE"""),"Very Good")</f>
        <v>Very Good</v>
      </c>
      <c r="Z604" t="str">
        <f>IFERROR(__xludf.DUMMYFUNCTION("""COMPUTED_VALUE"""),"Good")</f>
        <v>Good</v>
      </c>
      <c r="AA604" t="str">
        <f>IFERROR(__xludf.DUMMYFUNCTION("""COMPUTED_VALUE"""),"Fair")</f>
        <v>Fair</v>
      </c>
      <c r="AB604" t="str">
        <f>IFERROR(__xludf.DUMMYFUNCTION("""COMPUTED_VALUE"""),"Excellent")</f>
        <v>Excellent</v>
      </c>
      <c r="AH604" s="189">
        <f>IFERROR(__xludf.DUMMYFUNCTION("""COMPUTED_VALUE"""),43347.91166008102)</f>
        <v>43347.91166</v>
      </c>
    </row>
    <row r="605">
      <c r="A605" t="str">
        <f>IFERROR(__xludf.DUMMYFUNCTION("""COMPUTED_VALUE"""),"NEOTesla")</f>
        <v>NEOTesla</v>
      </c>
      <c r="B605" t="str">
        <f>IFERROR(__xludf.DUMMYFUNCTION("""COMPUTED_VALUE"""),"Cleveland")</f>
        <v>Cleveland</v>
      </c>
      <c r="C605" t="str">
        <f>IFERROR(__xludf.DUMMYFUNCTION("""COMPUTED_VALUE"""),"OH")</f>
        <v>OH</v>
      </c>
      <c r="D605" t="str">
        <f>IFERROR(__xludf.DUMMYFUNCTION("""COMPUTED_VALUE"""),"USA")</f>
        <v>USA</v>
      </c>
      <c r="E605" s="188">
        <f>IFERROR(__xludf.DUMMYFUNCTION("""COMPUTED_VALUE"""),43278.0)</f>
        <v>43278</v>
      </c>
      <c r="F605" s="188">
        <f>IFERROR(__xludf.DUMMYFUNCTION("""COMPUTED_VALUE"""),43325.0)</f>
        <v>43325</v>
      </c>
      <c r="H605">
        <f>IFERROR(__xludf.DUMMYFUNCTION("""COMPUTED_VALUE"""),78255.0)</f>
        <v>78255</v>
      </c>
      <c r="I605" t="str">
        <f>IFERROR(__xludf.DUMMYFUNCTION("""COMPUTED_VALUE"""),"08/18")</f>
        <v>08/18</v>
      </c>
      <c r="J605" s="5">
        <f>IFERROR(__xludf.DUMMYFUNCTION("""COMPUTED_VALUE"""),43343.0)</f>
        <v>43343</v>
      </c>
      <c r="K605">
        <f>IFERROR(__xludf.DUMMYFUNCTION("""COMPUTED_VALUE"""),47.0)</f>
        <v>47</v>
      </c>
      <c r="L605">
        <f>IFERROR(__xludf.DUMMYFUNCTION("""COMPUTED_VALUE"""),18.0)</f>
        <v>18</v>
      </c>
      <c r="M605">
        <f>IFERROR(__xludf.DUMMYFUNCTION("""COMPUTED_VALUE"""),65.0)</f>
        <v>65</v>
      </c>
      <c r="N605" t="str">
        <f>IFERROR(__xludf.DUMMYFUNCTION("""COMPUTED_VALUE"""),"Model 3 LR")</f>
        <v>Model 3 LR</v>
      </c>
      <c r="O605" t="str">
        <f>IFERROR(__xludf.DUMMYFUNCTION("""COMPUTED_VALUE"""),"Obsidian Black Metallic")</f>
        <v>Obsidian Black Metallic</v>
      </c>
      <c r="P605" t="str">
        <f>IFERROR(__xludf.DUMMYFUNCTION("""COMPUTED_VALUE"""),"18 inch Aero")</f>
        <v>18 inch Aero</v>
      </c>
      <c r="Q605" t="str">
        <f>IFERROR(__xludf.DUMMYFUNCTION("""COMPUTED_VALUE"""),"Black seats")</f>
        <v>Black seats</v>
      </c>
      <c r="R605" t="str">
        <f>IFERROR(__xludf.DUMMYFUNCTION("""COMPUTED_VALUE"""),"Enhanced Autopilot")</f>
        <v>Enhanced Autopilot</v>
      </c>
      <c r="X605" t="str">
        <f>IFERROR(__xludf.DUMMYFUNCTION("""COMPUTED_VALUE"""),"Very Good")</f>
        <v>Very Good</v>
      </c>
      <c r="Y605" t="str">
        <f>IFERROR(__xludf.DUMMYFUNCTION("""COMPUTED_VALUE"""),"Excellent")</f>
        <v>Excellent</v>
      </c>
      <c r="Z605" t="str">
        <f>IFERROR(__xludf.DUMMYFUNCTION("""COMPUTED_VALUE"""),"Very Good")</f>
        <v>Very Good</v>
      </c>
      <c r="AA605" t="str">
        <f>IFERROR(__xludf.DUMMYFUNCTION("""COMPUTED_VALUE"""),"Excellent")</f>
        <v>Excellent</v>
      </c>
      <c r="AB605" t="str">
        <f>IFERROR(__xludf.DUMMYFUNCTION("""COMPUTED_VALUE"""),"Excellent")</f>
        <v>Excellent</v>
      </c>
      <c r="AC605">
        <f>IFERROR(__xludf.DUMMYFUNCTION("""COMPUTED_VALUE"""),0.0)</f>
        <v>0</v>
      </c>
      <c r="AD605">
        <f>IFERROR(__xludf.DUMMYFUNCTION("""COMPUTED_VALUE"""),0.0)</f>
        <v>0</v>
      </c>
      <c r="AE605">
        <f>IFERROR(__xludf.DUMMYFUNCTION("""COMPUTED_VALUE"""),0.0)</f>
        <v>0</v>
      </c>
      <c r="AH605" s="189">
        <f>IFERROR(__xludf.DUMMYFUNCTION("""COMPUTED_VALUE"""),43348.23353449074)</f>
        <v>43348.23353</v>
      </c>
    </row>
    <row r="606">
      <c r="A606" t="str">
        <f>IFERROR(__xludf.DUMMYFUNCTION("""COMPUTED_VALUE"""),"frodrick")</f>
        <v>frodrick</v>
      </c>
      <c r="B606" t="str">
        <f>IFERROR(__xludf.DUMMYFUNCTION("""COMPUTED_VALUE"""),"Chattanooga")</f>
        <v>Chattanooga</v>
      </c>
      <c r="C606" t="str">
        <f>IFERROR(__xludf.DUMMYFUNCTION("""COMPUTED_VALUE"""),"TN")</f>
        <v>TN</v>
      </c>
      <c r="D606" t="str">
        <f>IFERROR(__xludf.DUMMYFUNCTION("""COMPUTED_VALUE"""),"USA")</f>
        <v>USA</v>
      </c>
      <c r="E606" s="188">
        <f>IFERROR(__xludf.DUMMYFUNCTION("""COMPUTED_VALUE"""),43278.0)</f>
        <v>43278</v>
      </c>
      <c r="F606" s="188">
        <f>IFERROR(__xludf.DUMMYFUNCTION("""COMPUTED_VALUE"""),43283.0)</f>
        <v>43283</v>
      </c>
      <c r="H606">
        <f>IFERROR(__xludf.DUMMYFUNCTION("""COMPUTED_VALUE"""),25855.0)</f>
        <v>25855</v>
      </c>
      <c r="I606" t="str">
        <f>IFERROR(__xludf.DUMMYFUNCTION("""COMPUTED_VALUE"""),"06/18")</f>
        <v>06/18</v>
      </c>
      <c r="J606" s="5">
        <f>IFERROR(__xludf.DUMMYFUNCTION("""COMPUTED_VALUE"""),43288.0)</f>
        <v>43288</v>
      </c>
      <c r="K606">
        <f>IFERROR(__xludf.DUMMYFUNCTION("""COMPUTED_VALUE"""),5.0)</f>
        <v>5</v>
      </c>
      <c r="L606">
        <f>IFERROR(__xludf.DUMMYFUNCTION("""COMPUTED_VALUE"""),5.0)</f>
        <v>5</v>
      </c>
      <c r="M606">
        <f>IFERROR(__xludf.DUMMYFUNCTION("""COMPUTED_VALUE"""),10.0)</f>
        <v>10</v>
      </c>
      <c r="N606" t="str">
        <f>IFERROR(__xludf.DUMMYFUNCTION("""COMPUTED_VALUE"""),"Model 3 LR")</f>
        <v>Model 3 LR</v>
      </c>
      <c r="O606" t="str">
        <f>IFERROR(__xludf.DUMMYFUNCTION("""COMPUTED_VALUE"""),"Midnight Silver Metallic")</f>
        <v>Midnight Silver Metallic</v>
      </c>
      <c r="P606" t="str">
        <f>IFERROR(__xludf.DUMMYFUNCTION("""COMPUTED_VALUE"""),"18 inch Aero")</f>
        <v>18 inch Aero</v>
      </c>
      <c r="Q606" t="str">
        <f>IFERROR(__xludf.DUMMYFUNCTION("""COMPUTED_VALUE"""),"Black seats")</f>
        <v>Black seats</v>
      </c>
      <c r="R606" t="str">
        <f>IFERROR(__xludf.DUMMYFUNCTION("""COMPUTED_VALUE"""),"Enhanced Autopilot")</f>
        <v>Enhanced Autopilot</v>
      </c>
      <c r="X606" t="str">
        <f>IFERROR(__xludf.DUMMYFUNCTION("""COMPUTED_VALUE"""),"Excellent")</f>
        <v>Excellent</v>
      </c>
      <c r="Y606" t="str">
        <f>IFERROR(__xludf.DUMMYFUNCTION("""COMPUTED_VALUE"""),"Excellent")</f>
        <v>Excellent</v>
      </c>
      <c r="Z606" t="str">
        <f>IFERROR(__xludf.DUMMYFUNCTION("""COMPUTED_VALUE"""),"Very Good")</f>
        <v>Very Good</v>
      </c>
      <c r="AA606" t="str">
        <f>IFERROR(__xludf.DUMMYFUNCTION("""COMPUTED_VALUE"""),"Good")</f>
        <v>Good</v>
      </c>
      <c r="AB606" t="str">
        <f>IFERROR(__xludf.DUMMYFUNCTION("""COMPUTED_VALUE"""),"Good")</f>
        <v>Good</v>
      </c>
      <c r="AC606">
        <f>IFERROR(__xludf.DUMMYFUNCTION("""COMPUTED_VALUE"""),0.0)</f>
        <v>0</v>
      </c>
      <c r="AD606">
        <f>IFERROR(__xludf.DUMMYFUNCTION("""COMPUTED_VALUE"""),0.0)</f>
        <v>0</v>
      </c>
      <c r="AE606">
        <f>IFERROR(__xludf.DUMMYFUNCTION("""COMPUTED_VALUE"""),0.0)</f>
        <v>0</v>
      </c>
      <c r="AH606" s="189">
        <f>IFERROR(__xludf.DUMMYFUNCTION("""COMPUTED_VALUE"""),43348.46981625)</f>
        <v>43348.46982</v>
      </c>
    </row>
    <row r="607">
      <c r="A607" t="str">
        <f>IFERROR(__xludf.DUMMYFUNCTION("""COMPUTED_VALUE"""),"WormtownKris")</f>
        <v>WormtownKris</v>
      </c>
      <c r="B607" t="str">
        <f>IFERROR(__xludf.DUMMYFUNCTION("""COMPUTED_VALUE"""),"Metro Worcester")</f>
        <v>Metro Worcester</v>
      </c>
      <c r="C607" t="str">
        <f>IFERROR(__xludf.DUMMYFUNCTION("""COMPUTED_VALUE"""),"MA")</f>
        <v>MA</v>
      </c>
      <c r="D607" t="str">
        <f>IFERROR(__xludf.DUMMYFUNCTION("""COMPUTED_VALUE"""),"USA")</f>
        <v>USA</v>
      </c>
      <c r="E607" s="188">
        <f>IFERROR(__xludf.DUMMYFUNCTION("""COMPUTED_VALUE"""),43278.0)</f>
        <v>43278</v>
      </c>
      <c r="F607" s="188">
        <f>IFERROR(__xludf.DUMMYFUNCTION("""COMPUTED_VALUE"""),43319.0)</f>
        <v>43319</v>
      </c>
      <c r="H607">
        <f>IFERROR(__xludf.DUMMYFUNCTION("""COMPUTED_VALUE"""),70155.0)</f>
        <v>70155</v>
      </c>
      <c r="I607" t="str">
        <f>IFERROR(__xludf.DUMMYFUNCTION("""COMPUTED_VALUE"""),"08/18")</f>
        <v>08/18</v>
      </c>
      <c r="J607" s="5">
        <f>IFERROR(__xludf.DUMMYFUNCTION("""COMPUTED_VALUE"""),43343.0)</f>
        <v>43343</v>
      </c>
      <c r="K607">
        <f>IFERROR(__xludf.DUMMYFUNCTION("""COMPUTED_VALUE"""),41.0)</f>
        <v>41</v>
      </c>
      <c r="L607">
        <f>IFERROR(__xludf.DUMMYFUNCTION("""COMPUTED_VALUE"""),24.0)</f>
        <v>24</v>
      </c>
      <c r="M607">
        <f>IFERROR(__xludf.DUMMYFUNCTION("""COMPUTED_VALUE"""),65.0)</f>
        <v>65</v>
      </c>
      <c r="N607" t="str">
        <f>IFERROR(__xludf.DUMMYFUNCTION("""COMPUTED_VALUE"""),"Model 3 LR")</f>
        <v>Model 3 LR</v>
      </c>
      <c r="O607" t="str">
        <f>IFERROR(__xludf.DUMMYFUNCTION("""COMPUTED_VALUE"""),"Obsidian Black Metallic")</f>
        <v>Obsidian Black Metallic</v>
      </c>
      <c r="P607" t="str">
        <f>IFERROR(__xludf.DUMMYFUNCTION("""COMPUTED_VALUE"""),"18 inch Aero")</f>
        <v>18 inch Aero</v>
      </c>
      <c r="Q607" t="str">
        <f>IFERROR(__xludf.DUMMYFUNCTION("""COMPUTED_VALUE"""),"Black seats")</f>
        <v>Black seats</v>
      </c>
      <c r="R607" t="str">
        <f>IFERROR(__xludf.DUMMYFUNCTION("""COMPUTED_VALUE"""),"Enhanced Autopilot")</f>
        <v>Enhanced Autopilot</v>
      </c>
      <c r="X607" t="str">
        <f>IFERROR(__xludf.DUMMYFUNCTION("""COMPUTED_VALUE"""),"Excellent")</f>
        <v>Excellent</v>
      </c>
      <c r="Y607" t="str">
        <f>IFERROR(__xludf.DUMMYFUNCTION("""COMPUTED_VALUE"""),"Excellent")</f>
        <v>Excellent</v>
      </c>
      <c r="Z607" t="str">
        <f>IFERROR(__xludf.DUMMYFUNCTION("""COMPUTED_VALUE"""),"Excellent")</f>
        <v>Excellent</v>
      </c>
      <c r="AA607" t="str">
        <f>IFERROR(__xludf.DUMMYFUNCTION("""COMPUTED_VALUE"""),"Very Good")</f>
        <v>Very Good</v>
      </c>
      <c r="AB607" t="str">
        <f>IFERROR(__xludf.DUMMYFUNCTION("""COMPUTED_VALUE"""),"Excellent")</f>
        <v>Excellent</v>
      </c>
      <c r="AC607">
        <f>IFERROR(__xludf.DUMMYFUNCTION("""COMPUTED_VALUE"""),0.0)</f>
        <v>0</v>
      </c>
      <c r="AD607">
        <f>IFERROR(__xludf.DUMMYFUNCTION("""COMPUTED_VALUE"""),0.0)</f>
        <v>0</v>
      </c>
      <c r="AE607">
        <f>IFERROR(__xludf.DUMMYFUNCTION("""COMPUTED_VALUE"""),0.0)</f>
        <v>0</v>
      </c>
      <c r="AG607" t="str">
        <f>IFERROR(__xludf.DUMMYFUNCTION("""COMPUTED_VALUE"""),"Delivery in Dedham, MA was phenominal!")</f>
        <v>Delivery in Dedham, MA was phenominal!</v>
      </c>
      <c r="AH607" s="189">
        <f>IFERROR(__xludf.DUMMYFUNCTION("""COMPUTED_VALUE"""),43348.78053506944)</f>
        <v>43348.78054</v>
      </c>
    </row>
    <row r="608">
      <c r="A608" t="str">
        <f>IFERROR(__xludf.DUMMYFUNCTION("""COMPUTED_VALUE"""),"SuperFreq")</f>
        <v>SuperFreq</v>
      </c>
      <c r="B608" t="str">
        <f>IFERROR(__xludf.DUMMYFUNCTION("""COMPUTED_VALUE"""),"Denver")</f>
        <v>Denver</v>
      </c>
      <c r="C608" t="str">
        <f>IFERROR(__xludf.DUMMYFUNCTION("""COMPUTED_VALUE"""),"CO")</f>
        <v>CO</v>
      </c>
      <c r="D608" t="str">
        <f>IFERROR(__xludf.DUMMYFUNCTION("""COMPUTED_VALUE"""),"USA")</f>
        <v>USA</v>
      </c>
      <c r="E608" s="188">
        <f>IFERROR(__xludf.DUMMYFUNCTION("""COMPUTED_VALUE"""),43280.0)</f>
        <v>43280</v>
      </c>
      <c r="F608" s="188">
        <f>IFERROR(__xludf.DUMMYFUNCTION("""COMPUTED_VALUE"""),43341.0)</f>
        <v>43341</v>
      </c>
      <c r="H608">
        <f>IFERROR(__xludf.DUMMYFUNCTION("""COMPUTED_VALUE"""),63055.0)</f>
        <v>63055</v>
      </c>
      <c r="J608" s="5">
        <f>IFERROR(__xludf.DUMMYFUNCTION("""COMPUTED_VALUE"""),43348.0)</f>
        <v>43348</v>
      </c>
      <c r="K608">
        <f>IFERROR(__xludf.DUMMYFUNCTION("""COMPUTED_VALUE"""),61.0)</f>
        <v>61</v>
      </c>
      <c r="L608">
        <f>IFERROR(__xludf.DUMMYFUNCTION("""COMPUTED_VALUE"""),7.0)</f>
        <v>7</v>
      </c>
      <c r="M608">
        <f>IFERROR(__xludf.DUMMYFUNCTION("""COMPUTED_VALUE"""),68.0)</f>
        <v>68</v>
      </c>
      <c r="N608" t="str">
        <f>IFERROR(__xludf.DUMMYFUNCTION("""COMPUTED_VALUE"""),"Model 3 Performance")</f>
        <v>Model 3 Performance</v>
      </c>
      <c r="O608" t="str">
        <f>IFERROR(__xludf.DUMMYFUNCTION("""COMPUTED_VALUE"""),"Midnight Silver Metallic")</f>
        <v>Midnight Silver Metallic</v>
      </c>
      <c r="P608" t="str">
        <f>IFERROR(__xludf.DUMMYFUNCTION("""COMPUTED_VALUE"""),"20 inch Sport")</f>
        <v>20 inch Sport</v>
      </c>
      <c r="Q608" t="str">
        <f>IFERROR(__xludf.DUMMYFUNCTION("""COMPUTED_VALUE"""),"Black seats")</f>
        <v>Black seats</v>
      </c>
      <c r="R608" t="str">
        <f>IFERROR(__xludf.DUMMYFUNCTION("""COMPUTED_VALUE"""),"Full Self-Driving")</f>
        <v>Full Self-Driving</v>
      </c>
      <c r="X608" t="str">
        <f>IFERROR(__xludf.DUMMYFUNCTION("""COMPUTED_VALUE"""),"Very Good")</f>
        <v>Very Good</v>
      </c>
      <c r="Y608" t="str">
        <f>IFERROR(__xludf.DUMMYFUNCTION("""COMPUTED_VALUE"""),"Very Good")</f>
        <v>Very Good</v>
      </c>
      <c r="Z608" t="str">
        <f>IFERROR(__xludf.DUMMYFUNCTION("""COMPUTED_VALUE"""),"Very Good")</f>
        <v>Very Good</v>
      </c>
      <c r="AA608" t="str">
        <f>IFERROR(__xludf.DUMMYFUNCTION("""COMPUTED_VALUE"""),"Very Good")</f>
        <v>Very Good</v>
      </c>
      <c r="AB608" t="str">
        <f>IFERROR(__xludf.DUMMYFUNCTION("""COMPUTED_VALUE"""),"Very Good")</f>
        <v>Very Good</v>
      </c>
      <c r="AH608" s="189">
        <f>IFERROR(__xludf.DUMMYFUNCTION("""COMPUTED_VALUE"""),43348.808524594904)</f>
        <v>43348.80852</v>
      </c>
    </row>
    <row r="609">
      <c r="A609" t="str">
        <f>IFERROR(__xludf.DUMMYFUNCTION("""COMPUTED_VALUE"""),"mithrandr12345")</f>
        <v>mithrandr12345</v>
      </c>
      <c r="B609" t="str">
        <f>IFERROR(__xludf.DUMMYFUNCTION("""COMPUTED_VALUE"""),"Boulder")</f>
        <v>Boulder</v>
      </c>
      <c r="C609" t="str">
        <f>IFERROR(__xludf.DUMMYFUNCTION("""COMPUTED_VALUE"""),"CO")</f>
        <v>CO</v>
      </c>
      <c r="D609" t="str">
        <f>IFERROR(__xludf.DUMMYFUNCTION("""COMPUTED_VALUE"""),"USA")</f>
        <v>USA</v>
      </c>
      <c r="E609" s="188">
        <f>IFERROR(__xludf.DUMMYFUNCTION("""COMPUTED_VALUE"""),43281.0)</f>
        <v>43281</v>
      </c>
      <c r="F609" s="188">
        <f>IFERROR(__xludf.DUMMYFUNCTION("""COMPUTED_VALUE"""),43336.0)</f>
        <v>43336</v>
      </c>
      <c r="H609">
        <f>IFERROR(__xludf.DUMMYFUNCTION("""COMPUTED_VALUE"""),96313.0)</f>
        <v>96313</v>
      </c>
      <c r="J609" s="5">
        <f>IFERROR(__xludf.DUMMYFUNCTION("""COMPUTED_VALUE"""),43347.0)</f>
        <v>43347</v>
      </c>
      <c r="K609">
        <f>IFERROR(__xludf.DUMMYFUNCTION("""COMPUTED_VALUE"""),55.0)</f>
        <v>55</v>
      </c>
      <c r="L609">
        <f>IFERROR(__xludf.DUMMYFUNCTION("""COMPUTED_VALUE"""),11.0)</f>
        <v>11</v>
      </c>
      <c r="M609">
        <f>IFERROR(__xludf.DUMMYFUNCTION("""COMPUTED_VALUE"""),66.0)</f>
        <v>66</v>
      </c>
      <c r="N609" t="str">
        <f>IFERROR(__xludf.DUMMYFUNCTION("""COMPUTED_VALUE"""),"Model 3 LR AWD")</f>
        <v>Model 3 LR AWD</v>
      </c>
      <c r="O609" t="str">
        <f>IFERROR(__xludf.DUMMYFUNCTION("""COMPUTED_VALUE"""),"Red Multi-Coat")</f>
        <v>Red Multi-Coat</v>
      </c>
      <c r="P609" t="str">
        <f>IFERROR(__xludf.DUMMYFUNCTION("""COMPUTED_VALUE"""),"18 inch Aero")</f>
        <v>18 inch Aero</v>
      </c>
      <c r="Q609" t="str">
        <f>IFERROR(__xludf.DUMMYFUNCTION("""COMPUTED_VALUE"""),"White seats")</f>
        <v>White seats</v>
      </c>
      <c r="R609" t="str">
        <f>IFERROR(__xludf.DUMMYFUNCTION("""COMPUTED_VALUE"""),"Enhanced Autopilot")</f>
        <v>Enhanced Autopilot</v>
      </c>
      <c r="X609" t="str">
        <f>IFERROR(__xludf.DUMMYFUNCTION("""COMPUTED_VALUE"""),"Excellent")</f>
        <v>Excellent</v>
      </c>
      <c r="Y609" t="str">
        <f>IFERROR(__xludf.DUMMYFUNCTION("""COMPUTED_VALUE"""),"Excellent")</f>
        <v>Excellent</v>
      </c>
      <c r="Z609" t="str">
        <f>IFERROR(__xludf.DUMMYFUNCTION("""COMPUTED_VALUE"""),"Excellent")</f>
        <v>Excellent</v>
      </c>
      <c r="AA609" t="str">
        <f>IFERROR(__xludf.DUMMYFUNCTION("""COMPUTED_VALUE"""),"Good")</f>
        <v>Good</v>
      </c>
      <c r="AB609" t="str">
        <f>IFERROR(__xludf.DUMMYFUNCTION("""COMPUTED_VALUE"""),"Fair")</f>
        <v>Fair</v>
      </c>
      <c r="AH609" s="189">
        <f>IFERROR(__xludf.DUMMYFUNCTION("""COMPUTED_VALUE"""),43348.85076209491)</f>
        <v>43348.85076</v>
      </c>
    </row>
    <row r="610">
      <c r="A610" t="str">
        <f>IFERROR(__xludf.DUMMYFUNCTION("""COMPUTED_VALUE"""),"museic1")</f>
        <v>museic1</v>
      </c>
      <c r="B610" t="str">
        <f>IFERROR(__xludf.DUMMYFUNCTION("""COMPUTED_VALUE"""),"Chicago")</f>
        <v>Chicago</v>
      </c>
      <c r="C610" t="str">
        <f>IFERROR(__xludf.DUMMYFUNCTION("""COMPUTED_VALUE"""),"IL")</f>
        <v>IL</v>
      </c>
      <c r="D610" t="str">
        <f>IFERROR(__xludf.DUMMYFUNCTION("""COMPUTED_VALUE"""),"USA")</f>
        <v>USA</v>
      </c>
      <c r="E610" s="188">
        <f>IFERROR(__xludf.DUMMYFUNCTION("""COMPUTED_VALUE"""),43279.0)</f>
        <v>43279</v>
      </c>
      <c r="F610" s="188">
        <f>IFERROR(__xludf.DUMMYFUNCTION("""COMPUTED_VALUE"""),43332.0)</f>
        <v>43332</v>
      </c>
      <c r="H610">
        <f>IFERROR(__xludf.DUMMYFUNCTION("""COMPUTED_VALUE"""),72455.0)</f>
        <v>72455</v>
      </c>
      <c r="I610" t="str">
        <f>IFERROR(__xludf.DUMMYFUNCTION("""COMPUTED_VALUE"""),"08/18")</f>
        <v>08/18</v>
      </c>
      <c r="J610" s="5">
        <f>IFERROR(__xludf.DUMMYFUNCTION("""COMPUTED_VALUE"""),43348.0)</f>
        <v>43348</v>
      </c>
      <c r="K610">
        <f>IFERROR(__xludf.DUMMYFUNCTION("""COMPUTED_VALUE"""),53.0)</f>
        <v>53</v>
      </c>
      <c r="L610">
        <f>IFERROR(__xludf.DUMMYFUNCTION("""COMPUTED_VALUE"""),16.0)</f>
        <v>16</v>
      </c>
      <c r="M610">
        <f>IFERROR(__xludf.DUMMYFUNCTION("""COMPUTED_VALUE"""),69.0)</f>
        <v>69</v>
      </c>
      <c r="N610" t="str">
        <f>IFERROR(__xludf.DUMMYFUNCTION("""COMPUTED_VALUE"""),"Model 3 Performance")</f>
        <v>Model 3 Performance</v>
      </c>
      <c r="O610" t="str">
        <f>IFERROR(__xludf.DUMMYFUNCTION("""COMPUTED_VALUE"""),"Solid Black")</f>
        <v>Solid Black</v>
      </c>
      <c r="P610" t="str">
        <f>IFERROR(__xludf.DUMMYFUNCTION("""COMPUTED_VALUE"""),"20 inch Sport")</f>
        <v>20 inch Sport</v>
      </c>
      <c r="Q610" t="str">
        <f>IFERROR(__xludf.DUMMYFUNCTION("""COMPUTED_VALUE"""),"Black seats")</f>
        <v>Black seats</v>
      </c>
      <c r="R610" t="str">
        <f>IFERROR(__xludf.DUMMYFUNCTION("""COMPUTED_VALUE"""),"Full Self-Driving")</f>
        <v>Full Self-Driving</v>
      </c>
      <c r="X610" t="str">
        <f>IFERROR(__xludf.DUMMYFUNCTION("""COMPUTED_VALUE"""),"Excellent")</f>
        <v>Excellent</v>
      </c>
      <c r="Y610" t="str">
        <f>IFERROR(__xludf.DUMMYFUNCTION("""COMPUTED_VALUE"""),"Excellent")</f>
        <v>Excellent</v>
      </c>
      <c r="Z610" t="str">
        <f>IFERROR(__xludf.DUMMYFUNCTION("""COMPUTED_VALUE"""),"Excellent")</f>
        <v>Excellent</v>
      </c>
      <c r="AA610" t="str">
        <f>IFERROR(__xludf.DUMMYFUNCTION("""COMPUTED_VALUE"""),"Good")</f>
        <v>Good</v>
      </c>
      <c r="AB610" t="str">
        <f>IFERROR(__xludf.DUMMYFUNCTION("""COMPUTED_VALUE"""),"Excellent")</f>
        <v>Excellent</v>
      </c>
      <c r="AH610" s="189">
        <f>IFERROR(__xludf.DUMMYFUNCTION("""COMPUTED_VALUE"""),43349.43237760417)</f>
        <v>43349.43238</v>
      </c>
    </row>
    <row r="611">
      <c r="A611" t="str">
        <f>IFERROR(__xludf.DUMMYFUNCTION("""COMPUTED_VALUE"""),"SoFlaJul31")</f>
        <v>SoFlaJul31</v>
      </c>
      <c r="B611" t="str">
        <f>IFERROR(__xludf.DUMMYFUNCTION("""COMPUTED_VALUE"""),"West Palm Beach")</f>
        <v>West Palm Beach</v>
      </c>
      <c r="C611" t="str">
        <f>IFERROR(__xludf.DUMMYFUNCTION("""COMPUTED_VALUE"""),"FL")</f>
        <v>FL</v>
      </c>
      <c r="D611" t="str">
        <f>IFERROR(__xludf.DUMMYFUNCTION("""COMPUTED_VALUE"""),"USA")</f>
        <v>USA</v>
      </c>
      <c r="E611" s="188">
        <f>IFERROR(__xludf.DUMMYFUNCTION("""COMPUTED_VALUE"""),43312.0)</f>
        <v>43312</v>
      </c>
      <c r="F611" s="188">
        <f>IFERROR(__xludf.DUMMYFUNCTION("""COMPUTED_VALUE"""),43327.0)</f>
        <v>43327</v>
      </c>
      <c r="H611">
        <f>IFERROR(__xludf.DUMMYFUNCTION("""COMPUTED_VALUE"""),47564.0)</f>
        <v>47564</v>
      </c>
      <c r="I611" t="str">
        <f>IFERROR(__xludf.DUMMYFUNCTION("""COMPUTED_VALUE"""),"07/18")</f>
        <v>07/18</v>
      </c>
      <c r="J611" s="5">
        <f>IFERROR(__xludf.DUMMYFUNCTION("""COMPUTED_VALUE"""),43339.0)</f>
        <v>43339</v>
      </c>
      <c r="K611">
        <f>IFERROR(__xludf.DUMMYFUNCTION("""COMPUTED_VALUE"""),15.0)</f>
        <v>15</v>
      </c>
      <c r="L611">
        <f>IFERROR(__xludf.DUMMYFUNCTION("""COMPUTED_VALUE"""),12.0)</f>
        <v>12</v>
      </c>
      <c r="M611">
        <f>IFERROR(__xludf.DUMMYFUNCTION("""COMPUTED_VALUE"""),27.0)</f>
        <v>27</v>
      </c>
      <c r="N611" t="str">
        <f>IFERROR(__xludf.DUMMYFUNCTION("""COMPUTED_VALUE"""),"Model 3 LR")</f>
        <v>Model 3 LR</v>
      </c>
      <c r="O611" t="str">
        <f>IFERROR(__xludf.DUMMYFUNCTION("""COMPUTED_VALUE"""),"Midnight Silver Metallic")</f>
        <v>Midnight Silver Metallic</v>
      </c>
      <c r="P611" t="str">
        <f>IFERROR(__xludf.DUMMYFUNCTION("""COMPUTED_VALUE"""),"18 inch Aero")</f>
        <v>18 inch Aero</v>
      </c>
      <c r="Q611" t="str">
        <f>IFERROR(__xludf.DUMMYFUNCTION("""COMPUTED_VALUE"""),"Black seats")</f>
        <v>Black seats</v>
      </c>
      <c r="R611" t="str">
        <f>IFERROR(__xludf.DUMMYFUNCTION("""COMPUTED_VALUE"""),"Full Self-Driving")</f>
        <v>Full Self-Driving</v>
      </c>
      <c r="X611" t="str">
        <f>IFERROR(__xludf.DUMMYFUNCTION("""COMPUTED_VALUE"""),"Fair")</f>
        <v>Fair</v>
      </c>
      <c r="Y611" t="str">
        <f>IFERROR(__xludf.DUMMYFUNCTION("""COMPUTED_VALUE"""),"Very Good")</f>
        <v>Very Good</v>
      </c>
      <c r="Z611" t="str">
        <f>IFERROR(__xludf.DUMMYFUNCTION("""COMPUTED_VALUE"""),"Very Good")</f>
        <v>Very Good</v>
      </c>
      <c r="AA611" t="str">
        <f>IFERROR(__xludf.DUMMYFUNCTION("""COMPUTED_VALUE"""),"Poor")</f>
        <v>Poor</v>
      </c>
      <c r="AB611" t="str">
        <f>IFERROR(__xludf.DUMMYFUNCTION("""COMPUTED_VALUE"""),"Very Good")</f>
        <v>Very Good</v>
      </c>
      <c r="AC611">
        <f>IFERROR(__xludf.DUMMYFUNCTION("""COMPUTED_VALUE"""),0.0)</f>
        <v>0</v>
      </c>
      <c r="AD611">
        <f>IFERROR(__xludf.DUMMYFUNCTION("""COMPUTED_VALUE"""),2.0)</f>
        <v>2</v>
      </c>
      <c r="AE611">
        <f>IFERROR(__xludf.DUMMYFUNCTION("""COMPUTED_VALUE"""),3.0)</f>
        <v>3</v>
      </c>
      <c r="AH611" s="189">
        <f>IFERROR(__xludf.DUMMYFUNCTION("""COMPUTED_VALUE"""),43349.484655266206)</f>
        <v>43349.48466</v>
      </c>
    </row>
    <row r="612">
      <c r="A612" t="str">
        <f>IFERROR(__xludf.DUMMYFUNCTION("""COMPUTED_VALUE"""),"TaiwanNo1")</f>
        <v>TaiwanNo1</v>
      </c>
      <c r="B612" t="str">
        <f>IFERROR(__xludf.DUMMYFUNCTION("""COMPUTED_VALUE"""),"San Francisco")</f>
        <v>San Francisco</v>
      </c>
      <c r="C612" t="str">
        <f>IFERROR(__xludf.DUMMYFUNCTION("""COMPUTED_VALUE"""),"CA")</f>
        <v>CA</v>
      </c>
      <c r="D612" t="str">
        <f>IFERROR(__xludf.DUMMYFUNCTION("""COMPUTED_VALUE"""),"USA")</f>
        <v>USA</v>
      </c>
      <c r="E612" s="188">
        <f>IFERROR(__xludf.DUMMYFUNCTION("""COMPUTED_VALUE"""),43278.0)</f>
        <v>43278</v>
      </c>
      <c r="F612" s="188">
        <f>IFERROR(__xludf.DUMMYFUNCTION("""COMPUTED_VALUE"""),43346.0)</f>
        <v>43346</v>
      </c>
      <c r="H612">
        <f>IFERROR(__xludf.DUMMYFUNCTION("""COMPUTED_VALUE"""),56255.0)</f>
        <v>56255</v>
      </c>
      <c r="I612" t="str">
        <f>IFERROR(__xludf.DUMMYFUNCTION("""COMPUTED_VALUE"""),"08/18")</f>
        <v>08/18</v>
      </c>
      <c r="J612" s="5">
        <f>IFERROR(__xludf.DUMMYFUNCTION("""COMPUTED_VALUE"""),43348.0)</f>
        <v>43348</v>
      </c>
      <c r="K612">
        <f>IFERROR(__xludf.DUMMYFUNCTION("""COMPUTED_VALUE"""),68.0)</f>
        <v>68</v>
      </c>
      <c r="L612">
        <f>IFERROR(__xludf.DUMMYFUNCTION("""COMPUTED_VALUE"""),2.0)</f>
        <v>2</v>
      </c>
      <c r="M612">
        <f>IFERROR(__xludf.DUMMYFUNCTION("""COMPUTED_VALUE"""),70.0)</f>
        <v>70</v>
      </c>
      <c r="N612" t="str">
        <f>IFERROR(__xludf.DUMMYFUNCTION("""COMPUTED_VALUE"""),"Model 3 Performance")</f>
        <v>Model 3 Performance</v>
      </c>
      <c r="O612" t="str">
        <f>IFERROR(__xludf.DUMMYFUNCTION("""COMPUTED_VALUE"""),"Red Multi-Coat")</f>
        <v>Red Multi-Coat</v>
      </c>
      <c r="P612" t="str">
        <f>IFERROR(__xludf.DUMMYFUNCTION("""COMPUTED_VALUE"""),"20 inch Sport")</f>
        <v>20 inch Sport</v>
      </c>
      <c r="Q612" t="str">
        <f>IFERROR(__xludf.DUMMYFUNCTION("""COMPUTED_VALUE"""),"White seats")</f>
        <v>White seats</v>
      </c>
      <c r="R612" t="str">
        <f>IFERROR(__xludf.DUMMYFUNCTION("""COMPUTED_VALUE"""),"Full Self-Driving")</f>
        <v>Full Self-Driving</v>
      </c>
      <c r="X612" t="str">
        <f>IFERROR(__xludf.DUMMYFUNCTION("""COMPUTED_VALUE"""),"Excellent")</f>
        <v>Excellent</v>
      </c>
      <c r="Y612" t="str">
        <f>IFERROR(__xludf.DUMMYFUNCTION("""COMPUTED_VALUE"""),"Excellent")</f>
        <v>Excellent</v>
      </c>
      <c r="Z612" t="str">
        <f>IFERROR(__xludf.DUMMYFUNCTION("""COMPUTED_VALUE"""),"Excellent")</f>
        <v>Excellent</v>
      </c>
      <c r="AA612" t="str">
        <f>IFERROR(__xludf.DUMMYFUNCTION("""COMPUTED_VALUE"""),"Excellent")</f>
        <v>Excellent</v>
      </c>
      <c r="AB612" t="str">
        <f>IFERROR(__xludf.DUMMYFUNCTION("""COMPUTED_VALUE"""),"Excellent")</f>
        <v>Excellent</v>
      </c>
      <c r="AH612" s="189">
        <f>IFERROR(__xludf.DUMMYFUNCTION("""COMPUTED_VALUE"""),43349.49946571759)</f>
        <v>43349.49947</v>
      </c>
    </row>
    <row r="613">
      <c r="A613" t="str">
        <f>IFERROR(__xludf.DUMMYFUNCTION("""COMPUTED_VALUE"""),"derelicte")</f>
        <v>derelicte</v>
      </c>
      <c r="B613" t="str">
        <f>IFERROR(__xludf.DUMMYFUNCTION("""COMPUTED_VALUE"""),"Los Angeles")</f>
        <v>Los Angeles</v>
      </c>
      <c r="C613" t="str">
        <f>IFERROR(__xludf.DUMMYFUNCTION("""COMPUTED_VALUE"""),"CA")</f>
        <v>CA</v>
      </c>
      <c r="D613" t="str">
        <f>IFERROR(__xludf.DUMMYFUNCTION("""COMPUTED_VALUE"""),"USA")</f>
        <v>USA</v>
      </c>
      <c r="E613" s="188">
        <f>IFERROR(__xludf.DUMMYFUNCTION("""COMPUTED_VALUE"""),43284.0)</f>
        <v>43284</v>
      </c>
      <c r="F613" s="188">
        <f>IFERROR(__xludf.DUMMYFUNCTION("""COMPUTED_VALUE"""),43343.0)</f>
        <v>43343</v>
      </c>
      <c r="H613">
        <f>IFERROR(__xludf.DUMMYFUNCTION("""COMPUTED_VALUE"""),56253.0)</f>
        <v>56253</v>
      </c>
      <c r="J613" s="5">
        <f>IFERROR(__xludf.DUMMYFUNCTION("""COMPUTED_VALUE"""),43349.0)</f>
        <v>43349</v>
      </c>
      <c r="K613">
        <f>IFERROR(__xludf.DUMMYFUNCTION("""COMPUTED_VALUE"""),59.0)</f>
        <v>59</v>
      </c>
      <c r="L613">
        <f>IFERROR(__xludf.DUMMYFUNCTION("""COMPUTED_VALUE"""),6.0)</f>
        <v>6</v>
      </c>
      <c r="M613">
        <f>IFERROR(__xludf.DUMMYFUNCTION("""COMPUTED_VALUE"""),65.0)</f>
        <v>65</v>
      </c>
      <c r="N613" t="str">
        <f>IFERROR(__xludf.DUMMYFUNCTION("""COMPUTED_VALUE"""),"Model 3 Performance")</f>
        <v>Model 3 Performance</v>
      </c>
      <c r="O613" t="str">
        <f>IFERROR(__xludf.DUMMYFUNCTION("""COMPUTED_VALUE"""),"Red Multi-Coat")</f>
        <v>Red Multi-Coat</v>
      </c>
      <c r="P613" t="str">
        <f>IFERROR(__xludf.DUMMYFUNCTION("""COMPUTED_VALUE"""),"20 inch Sport")</f>
        <v>20 inch Sport</v>
      </c>
      <c r="Q613" t="str">
        <f>IFERROR(__xludf.DUMMYFUNCTION("""COMPUTED_VALUE"""),"White seats")</f>
        <v>White seats</v>
      </c>
      <c r="R613" t="str">
        <f>IFERROR(__xludf.DUMMYFUNCTION("""COMPUTED_VALUE"""),"Full Self-Driving")</f>
        <v>Full Self-Driving</v>
      </c>
      <c r="X613" t="str">
        <f>IFERROR(__xludf.DUMMYFUNCTION("""COMPUTED_VALUE"""),"Excellent")</f>
        <v>Excellent</v>
      </c>
      <c r="Y613" t="str">
        <f>IFERROR(__xludf.DUMMYFUNCTION("""COMPUTED_VALUE"""),"Excellent")</f>
        <v>Excellent</v>
      </c>
      <c r="Z613" t="str">
        <f>IFERROR(__xludf.DUMMYFUNCTION("""COMPUTED_VALUE"""),"Excellent")</f>
        <v>Excellent</v>
      </c>
      <c r="AA613" t="str">
        <f>IFERROR(__xludf.DUMMYFUNCTION("""COMPUTED_VALUE"""),"Very Good")</f>
        <v>Very Good</v>
      </c>
      <c r="AB613" t="str">
        <f>IFERROR(__xludf.DUMMYFUNCTION("""COMPUTED_VALUE"""),"Very Good")</f>
        <v>Very Good</v>
      </c>
      <c r="AC613">
        <f>IFERROR(__xludf.DUMMYFUNCTION("""COMPUTED_VALUE"""),3.0)</f>
        <v>3</v>
      </c>
      <c r="AH613" s="189">
        <f>IFERROR(__xludf.DUMMYFUNCTION("""COMPUTED_VALUE"""),43349.55655893519)</f>
        <v>43349.55656</v>
      </c>
    </row>
    <row r="614">
      <c r="A614" t="str">
        <f>IFERROR(__xludf.DUMMYFUNCTION("""COMPUTED_VALUE"""),"skidisk")</f>
        <v>skidisk</v>
      </c>
      <c r="B614" t="str">
        <f>IFERROR(__xludf.DUMMYFUNCTION("""COMPUTED_VALUE"""),"Mountain View")</f>
        <v>Mountain View</v>
      </c>
      <c r="C614" t="str">
        <f>IFERROR(__xludf.DUMMYFUNCTION("""COMPUTED_VALUE"""),"CA")</f>
        <v>CA</v>
      </c>
      <c r="D614" t="str">
        <f>IFERROR(__xludf.DUMMYFUNCTION("""COMPUTED_VALUE"""),"USA")</f>
        <v>USA</v>
      </c>
      <c r="E614" s="188">
        <f>IFERROR(__xludf.DUMMYFUNCTION("""COMPUTED_VALUE"""),43286.0)</f>
        <v>43286</v>
      </c>
      <c r="F614" s="188">
        <f>IFERROR(__xludf.DUMMYFUNCTION("""COMPUTED_VALUE"""),43307.0)</f>
        <v>43307</v>
      </c>
      <c r="H614">
        <f>IFERROR(__xludf.DUMMYFUNCTION("""COMPUTED_VALUE"""),76376.0)</f>
        <v>76376</v>
      </c>
      <c r="I614" t="str">
        <f>IFERROR(__xludf.DUMMYFUNCTION("""COMPUTED_VALUE"""),"08/18")</f>
        <v>08/18</v>
      </c>
      <c r="J614" s="5">
        <f>IFERROR(__xludf.DUMMYFUNCTION("""COMPUTED_VALUE"""),43315.0)</f>
        <v>43315</v>
      </c>
      <c r="K614">
        <f>IFERROR(__xludf.DUMMYFUNCTION("""COMPUTED_VALUE"""),21.0)</f>
        <v>21</v>
      </c>
      <c r="L614">
        <f>IFERROR(__xludf.DUMMYFUNCTION("""COMPUTED_VALUE"""),8.0)</f>
        <v>8</v>
      </c>
      <c r="M614">
        <f>IFERROR(__xludf.DUMMYFUNCTION("""COMPUTED_VALUE"""),29.0)</f>
        <v>29</v>
      </c>
      <c r="N614" t="str">
        <f>IFERROR(__xludf.DUMMYFUNCTION("""COMPUTED_VALUE"""),"Model 3 LR")</f>
        <v>Model 3 LR</v>
      </c>
      <c r="O614" t="str">
        <f>IFERROR(__xludf.DUMMYFUNCTION("""COMPUTED_VALUE"""),"Deep Blue Metallic")</f>
        <v>Deep Blue Metallic</v>
      </c>
      <c r="P614" t="str">
        <f>IFERROR(__xludf.DUMMYFUNCTION("""COMPUTED_VALUE"""),"18 inch Aero")</f>
        <v>18 inch Aero</v>
      </c>
      <c r="Q614" t="str">
        <f>IFERROR(__xludf.DUMMYFUNCTION("""COMPUTED_VALUE"""),"Black seats")</f>
        <v>Black seats</v>
      </c>
      <c r="R614" t="str">
        <f>IFERROR(__xludf.DUMMYFUNCTION("""COMPUTED_VALUE"""),"Enhanced Autopilot")</f>
        <v>Enhanced Autopilot</v>
      </c>
      <c r="X614" t="str">
        <f>IFERROR(__xludf.DUMMYFUNCTION("""COMPUTED_VALUE"""),"Excellent")</f>
        <v>Excellent</v>
      </c>
      <c r="Y614" t="str">
        <f>IFERROR(__xludf.DUMMYFUNCTION("""COMPUTED_VALUE"""),"Excellent")</f>
        <v>Excellent</v>
      </c>
      <c r="Z614" t="str">
        <f>IFERROR(__xludf.DUMMYFUNCTION("""COMPUTED_VALUE"""),"Excellent")</f>
        <v>Excellent</v>
      </c>
      <c r="AA614" t="str">
        <f>IFERROR(__xludf.DUMMYFUNCTION("""COMPUTED_VALUE"""),"Excellent")</f>
        <v>Excellent</v>
      </c>
      <c r="AB614" t="str">
        <f>IFERROR(__xludf.DUMMYFUNCTION("""COMPUTED_VALUE"""),"Excellent")</f>
        <v>Excellent</v>
      </c>
      <c r="AC614">
        <f>IFERROR(__xludf.DUMMYFUNCTION("""COMPUTED_VALUE"""),1.0)</f>
        <v>1</v>
      </c>
      <c r="AD614">
        <f>IFERROR(__xludf.DUMMYFUNCTION("""COMPUTED_VALUE"""),2.0)</f>
        <v>2</v>
      </c>
      <c r="AE614">
        <f>IFERROR(__xludf.DUMMYFUNCTION("""COMPUTED_VALUE"""),0.0)</f>
        <v>0</v>
      </c>
      <c r="AG614" t="str">
        <f>IFERROR(__xludf.DUMMYFUNCTION("""COMPUTED_VALUE"""),"First car ""could not be revived"" from Lathrop lot so new car provided at last minute")</f>
        <v>First car "could not be revived" from Lathrop lot so new car provided at last minute</v>
      </c>
      <c r="AH614" s="189">
        <f>IFERROR(__xludf.DUMMYFUNCTION("""COMPUTED_VALUE"""),43349.65564994213)</f>
        <v>43349.65565</v>
      </c>
    </row>
    <row r="615">
      <c r="A615" t="str">
        <f>IFERROR(__xludf.DUMMYFUNCTION("""COMPUTED_VALUE"""),"jeffer")</f>
        <v>jeffer</v>
      </c>
      <c r="B615" t="str">
        <f>IFERROR(__xludf.DUMMYFUNCTION("""COMPUTED_VALUE"""),"SoCal")</f>
        <v>SoCal</v>
      </c>
      <c r="C615" t="str">
        <f>IFERROR(__xludf.DUMMYFUNCTION("""COMPUTED_VALUE"""),"CA")</f>
        <v>CA</v>
      </c>
      <c r="D615" t="str">
        <f>IFERROR(__xludf.DUMMYFUNCTION("""COMPUTED_VALUE"""),"USA")</f>
        <v>USA</v>
      </c>
      <c r="E615" s="188">
        <f>IFERROR(__xludf.DUMMYFUNCTION("""COMPUTED_VALUE"""),43278.0)</f>
        <v>43278</v>
      </c>
      <c r="F615" s="188">
        <f>IFERROR(__xludf.DUMMYFUNCTION("""COMPUTED_VALUE"""),43341.0)</f>
        <v>43341</v>
      </c>
      <c r="H615">
        <f>IFERROR(__xludf.DUMMYFUNCTION("""COMPUTED_VALUE"""),72255.0)</f>
        <v>72255</v>
      </c>
      <c r="J615" s="5">
        <f>IFERROR(__xludf.DUMMYFUNCTION("""COMPUTED_VALUE"""),43345.0)</f>
        <v>43345</v>
      </c>
      <c r="K615">
        <f>IFERROR(__xludf.DUMMYFUNCTION("""COMPUTED_VALUE"""),63.0)</f>
        <v>63</v>
      </c>
      <c r="L615">
        <f>IFERROR(__xludf.DUMMYFUNCTION("""COMPUTED_VALUE"""),4.0)</f>
        <v>4</v>
      </c>
      <c r="M615">
        <f>IFERROR(__xludf.DUMMYFUNCTION("""COMPUTED_VALUE"""),67.0)</f>
        <v>67</v>
      </c>
      <c r="N615" t="str">
        <f>IFERROR(__xludf.DUMMYFUNCTION("""COMPUTED_VALUE"""),"Model 3 Performance")</f>
        <v>Model 3 Performance</v>
      </c>
      <c r="O615" t="str">
        <f>IFERROR(__xludf.DUMMYFUNCTION("""COMPUTED_VALUE"""),"Deep Blue Metallic")</f>
        <v>Deep Blue Metallic</v>
      </c>
      <c r="P615" t="str">
        <f>IFERROR(__xludf.DUMMYFUNCTION("""COMPUTED_VALUE"""),"20 inch Sport")</f>
        <v>20 inch Sport</v>
      </c>
      <c r="Q615" t="str">
        <f>IFERROR(__xludf.DUMMYFUNCTION("""COMPUTED_VALUE"""),"Black seats")</f>
        <v>Black seats</v>
      </c>
      <c r="R615" t="str">
        <f>IFERROR(__xludf.DUMMYFUNCTION("""COMPUTED_VALUE"""),"Full Self-Driving")</f>
        <v>Full Self-Driving</v>
      </c>
      <c r="X615" t="str">
        <f>IFERROR(__xludf.DUMMYFUNCTION("""COMPUTED_VALUE"""),"Excellent")</f>
        <v>Excellent</v>
      </c>
      <c r="Y615" t="str">
        <f>IFERROR(__xludf.DUMMYFUNCTION("""COMPUTED_VALUE"""),"Excellent")</f>
        <v>Excellent</v>
      </c>
      <c r="Z615" t="str">
        <f>IFERROR(__xludf.DUMMYFUNCTION("""COMPUTED_VALUE"""),"Very Good")</f>
        <v>Very Good</v>
      </c>
      <c r="AA615" t="str">
        <f>IFERROR(__xludf.DUMMYFUNCTION("""COMPUTED_VALUE"""),"Excellent")</f>
        <v>Excellent</v>
      </c>
      <c r="AB615" t="str">
        <f>IFERROR(__xludf.DUMMYFUNCTION("""COMPUTED_VALUE"""),"Excellent")</f>
        <v>Excellent</v>
      </c>
      <c r="AC615">
        <f>IFERROR(__xludf.DUMMYFUNCTION("""COMPUTED_VALUE"""),1.0)</f>
        <v>1</v>
      </c>
      <c r="AD615">
        <f>IFERROR(__xludf.DUMMYFUNCTION("""COMPUTED_VALUE"""),1.0)</f>
        <v>1</v>
      </c>
      <c r="AH615" s="189">
        <f>IFERROR(__xludf.DUMMYFUNCTION("""COMPUTED_VALUE"""),43349.666086875004)</f>
        <v>43349.66609</v>
      </c>
    </row>
    <row r="616">
      <c r="A616" t="str">
        <f>IFERROR(__xludf.DUMMYFUNCTION("""COMPUTED_VALUE"""),"back51")</f>
        <v>back51</v>
      </c>
      <c r="B616" t="str">
        <f>IFERROR(__xludf.DUMMYFUNCTION("""COMPUTED_VALUE"""),"Columbus")</f>
        <v>Columbus</v>
      </c>
      <c r="C616" t="str">
        <f>IFERROR(__xludf.DUMMYFUNCTION("""COMPUTED_VALUE"""),"OH")</f>
        <v>OH</v>
      </c>
      <c r="D616" t="str">
        <f>IFERROR(__xludf.DUMMYFUNCTION("""COMPUTED_VALUE"""),"USA")</f>
        <v>USA</v>
      </c>
      <c r="E616" s="188">
        <f>IFERROR(__xludf.DUMMYFUNCTION("""COMPUTED_VALUE"""),43278.0)</f>
        <v>43278</v>
      </c>
      <c r="F616" s="188">
        <f>IFERROR(__xludf.DUMMYFUNCTION("""COMPUTED_VALUE"""),43328.0)</f>
        <v>43328</v>
      </c>
      <c r="H616">
        <f>IFERROR(__xludf.DUMMYFUNCTION("""COMPUTED_VALUE"""),54555.0)</f>
        <v>54555</v>
      </c>
      <c r="I616" t="str">
        <f>IFERROR(__xludf.DUMMYFUNCTION("""COMPUTED_VALUE"""),"07/18")</f>
        <v>07/18</v>
      </c>
      <c r="J616" s="5">
        <f>IFERROR(__xludf.DUMMYFUNCTION("""COMPUTED_VALUE"""),43339.0)</f>
        <v>43339</v>
      </c>
      <c r="K616">
        <f>IFERROR(__xludf.DUMMYFUNCTION("""COMPUTED_VALUE"""),50.0)</f>
        <v>50</v>
      </c>
      <c r="L616">
        <f>IFERROR(__xludf.DUMMYFUNCTION("""COMPUTED_VALUE"""),11.0)</f>
        <v>11</v>
      </c>
      <c r="M616">
        <f>IFERROR(__xludf.DUMMYFUNCTION("""COMPUTED_VALUE"""),61.0)</f>
        <v>61</v>
      </c>
      <c r="N616" t="str">
        <f>IFERROR(__xludf.DUMMYFUNCTION("""COMPUTED_VALUE"""),"Model 3 LR AWD")</f>
        <v>Model 3 LR AWD</v>
      </c>
      <c r="O616" t="str">
        <f>IFERROR(__xludf.DUMMYFUNCTION("""COMPUTED_VALUE"""),"Pearl White Multi-Coat")</f>
        <v>Pearl White Multi-Coat</v>
      </c>
      <c r="P616" t="str">
        <f>IFERROR(__xludf.DUMMYFUNCTION("""COMPUTED_VALUE"""),"18 inch Aero")</f>
        <v>18 inch Aero</v>
      </c>
      <c r="Q616" t="str">
        <f>IFERROR(__xludf.DUMMYFUNCTION("""COMPUTED_VALUE"""),"Black seats")</f>
        <v>Black seats</v>
      </c>
      <c r="R616" t="str">
        <f>IFERROR(__xludf.DUMMYFUNCTION("""COMPUTED_VALUE"""),"Enhanced Autopilot")</f>
        <v>Enhanced Autopilot</v>
      </c>
      <c r="X616" t="str">
        <f>IFERROR(__xludf.DUMMYFUNCTION("""COMPUTED_VALUE"""),"Excellent")</f>
        <v>Excellent</v>
      </c>
      <c r="Y616" t="str">
        <f>IFERROR(__xludf.DUMMYFUNCTION("""COMPUTED_VALUE"""),"Excellent")</f>
        <v>Excellent</v>
      </c>
      <c r="Z616" t="str">
        <f>IFERROR(__xludf.DUMMYFUNCTION("""COMPUTED_VALUE"""),"Very Good")</f>
        <v>Very Good</v>
      </c>
      <c r="AA616" t="str">
        <f>IFERROR(__xludf.DUMMYFUNCTION("""COMPUTED_VALUE"""),"Excellent")</f>
        <v>Excellent</v>
      </c>
      <c r="AB616" t="str">
        <f>IFERROR(__xludf.DUMMYFUNCTION("""COMPUTED_VALUE"""),"Very Good")</f>
        <v>Very Good</v>
      </c>
      <c r="AC616">
        <f>IFERROR(__xludf.DUMMYFUNCTION("""COMPUTED_VALUE"""),3.0)</f>
        <v>3</v>
      </c>
      <c r="AD616">
        <f>IFERROR(__xludf.DUMMYFUNCTION("""COMPUTED_VALUE"""),0.0)</f>
        <v>0</v>
      </c>
      <c r="AE616">
        <f>IFERROR(__xludf.DUMMYFUNCTION("""COMPUTED_VALUE"""),0.0)</f>
        <v>0</v>
      </c>
      <c r="AG616" t="str">
        <f>IFERROR(__xludf.DUMMYFUNCTION("""COMPUTED_VALUE"""),"Service Center visit was because they forgot to provide phone cords.  Other than that, no problems to bring car back to service center")</f>
        <v>Service Center visit was because they forgot to provide phone cords.  Other than that, no problems to bring car back to service center</v>
      </c>
      <c r="AH616" s="189">
        <f>IFERROR(__xludf.DUMMYFUNCTION("""COMPUTED_VALUE"""),43349.773133229166)</f>
        <v>43349.77313</v>
      </c>
    </row>
    <row r="617">
      <c r="A617" t="str">
        <f>IFERROR(__xludf.DUMMYFUNCTION("""COMPUTED_VALUE"""),"AdamJWang")</f>
        <v>AdamJWang</v>
      </c>
      <c r="B617" t="str">
        <f>IFERROR(__xludf.DUMMYFUNCTION("""COMPUTED_VALUE"""),"California")</f>
        <v>California</v>
      </c>
      <c r="C617" t="str">
        <f>IFERROR(__xludf.DUMMYFUNCTION("""COMPUTED_VALUE"""),"CA")</f>
        <v>CA</v>
      </c>
      <c r="D617" t="str">
        <f>IFERROR(__xludf.DUMMYFUNCTION("""COMPUTED_VALUE"""),"USA")</f>
        <v>USA</v>
      </c>
      <c r="E617" s="188">
        <f>IFERROR(__xludf.DUMMYFUNCTION("""COMPUTED_VALUE"""),43281.0)</f>
        <v>43281</v>
      </c>
      <c r="F617" s="188">
        <f>IFERROR(__xludf.DUMMYFUNCTION("""COMPUTED_VALUE"""),43342.0)</f>
        <v>43342</v>
      </c>
      <c r="H617">
        <f>IFERROR(__xludf.DUMMYFUNCTION("""COMPUTED_VALUE"""),66655.0)</f>
        <v>66655</v>
      </c>
      <c r="J617" s="5">
        <f>IFERROR(__xludf.DUMMYFUNCTION("""COMPUTED_VALUE"""),43348.0)</f>
        <v>43348</v>
      </c>
      <c r="K617">
        <f>IFERROR(__xludf.DUMMYFUNCTION("""COMPUTED_VALUE"""),61.0)</f>
        <v>61</v>
      </c>
      <c r="L617">
        <f>IFERROR(__xludf.DUMMYFUNCTION("""COMPUTED_VALUE"""),6.0)</f>
        <v>6</v>
      </c>
      <c r="M617">
        <f>IFERROR(__xludf.DUMMYFUNCTION("""COMPUTED_VALUE"""),67.0)</f>
        <v>67</v>
      </c>
      <c r="N617" t="str">
        <f>IFERROR(__xludf.DUMMYFUNCTION("""COMPUTED_VALUE"""),"Model 3 LR AWD")</f>
        <v>Model 3 LR AWD</v>
      </c>
      <c r="O617" t="str">
        <f>IFERROR(__xludf.DUMMYFUNCTION("""COMPUTED_VALUE"""),"Midnight Silver Metallic")</f>
        <v>Midnight Silver Metallic</v>
      </c>
      <c r="P617" t="str">
        <f>IFERROR(__xludf.DUMMYFUNCTION("""COMPUTED_VALUE"""),"18 inch Aero")</f>
        <v>18 inch Aero</v>
      </c>
      <c r="Q617" t="str">
        <f>IFERROR(__xludf.DUMMYFUNCTION("""COMPUTED_VALUE"""),"Black seats")</f>
        <v>Black seats</v>
      </c>
      <c r="R617" t="str">
        <f>IFERROR(__xludf.DUMMYFUNCTION("""COMPUTED_VALUE"""),"Enhanced Autopilot")</f>
        <v>Enhanced Autopilot</v>
      </c>
      <c r="X617" t="str">
        <f>IFERROR(__xludf.DUMMYFUNCTION("""COMPUTED_VALUE"""),"Excellent")</f>
        <v>Excellent</v>
      </c>
      <c r="Y617" t="str">
        <f>IFERROR(__xludf.DUMMYFUNCTION("""COMPUTED_VALUE"""),"Very Good")</f>
        <v>Very Good</v>
      </c>
      <c r="Z617" t="str">
        <f>IFERROR(__xludf.DUMMYFUNCTION("""COMPUTED_VALUE"""),"Excellent")</f>
        <v>Excellent</v>
      </c>
      <c r="AA617" t="str">
        <f>IFERROR(__xludf.DUMMYFUNCTION("""COMPUTED_VALUE"""),"Very Good")</f>
        <v>Very Good</v>
      </c>
      <c r="AB617" t="str">
        <f>IFERROR(__xludf.DUMMYFUNCTION("""COMPUTED_VALUE"""),"Excellent")</f>
        <v>Excellent</v>
      </c>
      <c r="AH617" s="189">
        <f>IFERROR(__xludf.DUMMYFUNCTION("""COMPUTED_VALUE"""),43349.85807295139)</f>
        <v>43349.85807</v>
      </c>
    </row>
    <row r="618">
      <c r="A618" t="str">
        <f>IFERROR(__xludf.DUMMYFUNCTION("""COMPUTED_VALUE"""),"iamec")</f>
        <v>iamec</v>
      </c>
      <c r="B618" t="str">
        <f>IFERROR(__xludf.DUMMYFUNCTION("""COMPUTED_VALUE"""),"Bellevue")</f>
        <v>Bellevue</v>
      </c>
      <c r="C618" t="str">
        <f>IFERROR(__xludf.DUMMYFUNCTION("""COMPUTED_VALUE"""),"WA")</f>
        <v>WA</v>
      </c>
      <c r="D618" t="str">
        <f>IFERROR(__xludf.DUMMYFUNCTION("""COMPUTED_VALUE"""),"USA")</f>
        <v>USA</v>
      </c>
      <c r="E618" s="188">
        <f>IFERROR(__xludf.DUMMYFUNCTION("""COMPUTED_VALUE"""),43322.0)</f>
        <v>43322</v>
      </c>
      <c r="F618" s="188">
        <f>IFERROR(__xludf.DUMMYFUNCTION("""COMPUTED_VALUE"""),43332.0)</f>
        <v>43332</v>
      </c>
      <c r="H618">
        <f>IFERROR(__xludf.DUMMYFUNCTION("""COMPUTED_VALUE"""),66455.0)</f>
        <v>66455</v>
      </c>
      <c r="I618" t="str">
        <f>IFERROR(__xludf.DUMMYFUNCTION("""COMPUTED_VALUE"""),"08/18")</f>
        <v>08/18</v>
      </c>
      <c r="J618" s="5">
        <f>IFERROR(__xludf.DUMMYFUNCTION("""COMPUTED_VALUE"""),43344.0)</f>
        <v>43344</v>
      </c>
      <c r="K618">
        <f>IFERROR(__xludf.DUMMYFUNCTION("""COMPUTED_VALUE"""),10.0)</f>
        <v>10</v>
      </c>
      <c r="L618">
        <f>IFERROR(__xludf.DUMMYFUNCTION("""COMPUTED_VALUE"""),12.0)</f>
        <v>12</v>
      </c>
      <c r="M618">
        <f>IFERROR(__xludf.DUMMYFUNCTION("""COMPUTED_VALUE"""),22.0)</f>
        <v>22</v>
      </c>
      <c r="N618" t="str">
        <f>IFERROR(__xludf.DUMMYFUNCTION("""COMPUTED_VALUE"""),"Model 3 LR AWD")</f>
        <v>Model 3 LR AWD</v>
      </c>
      <c r="O618" t="str">
        <f>IFERROR(__xludf.DUMMYFUNCTION("""COMPUTED_VALUE"""),"Midnight Silver Metallic")</f>
        <v>Midnight Silver Metallic</v>
      </c>
      <c r="P618" t="str">
        <f>IFERROR(__xludf.DUMMYFUNCTION("""COMPUTED_VALUE"""),"18 inch Aero")</f>
        <v>18 inch Aero</v>
      </c>
      <c r="Q618" t="str">
        <f>IFERROR(__xludf.DUMMYFUNCTION("""COMPUTED_VALUE"""),"Black seats")</f>
        <v>Black seats</v>
      </c>
      <c r="R618" t="str">
        <f>IFERROR(__xludf.DUMMYFUNCTION("""COMPUTED_VALUE"""),"Enhanced Autopilot")</f>
        <v>Enhanced Autopilot</v>
      </c>
      <c r="X618" t="str">
        <f>IFERROR(__xludf.DUMMYFUNCTION("""COMPUTED_VALUE"""),"Very Good")</f>
        <v>Very Good</v>
      </c>
      <c r="Y618" t="str">
        <f>IFERROR(__xludf.DUMMYFUNCTION("""COMPUTED_VALUE"""),"Very Good")</f>
        <v>Very Good</v>
      </c>
      <c r="Z618" t="str">
        <f>IFERROR(__xludf.DUMMYFUNCTION("""COMPUTED_VALUE"""),"Very Good")</f>
        <v>Very Good</v>
      </c>
      <c r="AA618" t="str">
        <f>IFERROR(__xludf.DUMMYFUNCTION("""COMPUTED_VALUE"""),"Good")</f>
        <v>Good</v>
      </c>
      <c r="AB618" t="str">
        <f>IFERROR(__xludf.DUMMYFUNCTION("""COMPUTED_VALUE"""),"Fair")</f>
        <v>Fair</v>
      </c>
      <c r="AC618">
        <f>IFERROR(__xludf.DUMMYFUNCTION("""COMPUTED_VALUE"""),5.0)</f>
        <v>5</v>
      </c>
      <c r="AD618">
        <f>IFERROR(__xludf.DUMMYFUNCTION("""COMPUTED_VALUE"""),1.0)</f>
        <v>1</v>
      </c>
      <c r="AH618" s="189">
        <f>IFERROR(__xludf.DUMMYFUNCTION("""COMPUTED_VALUE"""),43350.005639386574)</f>
        <v>43350.00564</v>
      </c>
    </row>
    <row r="619">
      <c r="A619" t="str">
        <f>IFERROR(__xludf.DUMMYFUNCTION("""COMPUTED_VALUE"""),"joe93021_")</f>
        <v>joe93021_</v>
      </c>
      <c r="B619" t="str">
        <f>IFERROR(__xludf.DUMMYFUNCTION("""COMPUTED_VALUE"""),"_")</f>
        <v>_</v>
      </c>
      <c r="C619" t="str">
        <f>IFERROR(__xludf.DUMMYFUNCTION("""COMPUTED_VALUE"""),"CA")</f>
        <v>CA</v>
      </c>
      <c r="D619" t="str">
        <f>IFERROR(__xludf.DUMMYFUNCTION("""COMPUTED_VALUE"""),"USA")</f>
        <v>USA</v>
      </c>
      <c r="E619" s="188">
        <f>IFERROR(__xludf.DUMMYFUNCTION("""COMPUTED_VALUE"""),43281.0)</f>
        <v>43281</v>
      </c>
      <c r="F619" s="188">
        <f>IFERROR(__xludf.DUMMYFUNCTION("""COMPUTED_VALUE"""),43326.0)</f>
        <v>43326</v>
      </c>
      <c r="H619">
        <f>IFERROR(__xludf.DUMMYFUNCTION("""COMPUTED_VALUE"""),61656.0)</f>
        <v>61656</v>
      </c>
      <c r="I619" t="str">
        <f>IFERROR(__xludf.DUMMYFUNCTION("""COMPUTED_VALUE"""),"08/18")</f>
        <v>08/18</v>
      </c>
      <c r="J619" s="5">
        <f>IFERROR(__xludf.DUMMYFUNCTION("""COMPUTED_VALUE"""),43339.0)</f>
        <v>43339</v>
      </c>
      <c r="K619">
        <f>IFERROR(__xludf.DUMMYFUNCTION("""COMPUTED_VALUE"""),45.0)</f>
        <v>45</v>
      </c>
      <c r="L619">
        <f>IFERROR(__xludf.DUMMYFUNCTION("""COMPUTED_VALUE"""),13.0)</f>
        <v>13</v>
      </c>
      <c r="M619">
        <f>IFERROR(__xludf.DUMMYFUNCTION("""COMPUTED_VALUE"""),58.0)</f>
        <v>58</v>
      </c>
      <c r="N619" t="str">
        <f>IFERROR(__xludf.DUMMYFUNCTION("""COMPUTED_VALUE"""),"Model 3 LR")</f>
        <v>Model 3 LR</v>
      </c>
      <c r="O619" t="str">
        <f>IFERROR(__xludf.DUMMYFUNCTION("""COMPUTED_VALUE"""),"Red Multi-Coat")</f>
        <v>Red Multi-Coat</v>
      </c>
      <c r="P619" t="str">
        <f>IFERROR(__xludf.DUMMYFUNCTION("""COMPUTED_VALUE"""),"19 inch Sport")</f>
        <v>19 inch Sport</v>
      </c>
      <c r="Q619" t="str">
        <f>IFERROR(__xludf.DUMMYFUNCTION("""COMPUTED_VALUE"""),"Black seats")</f>
        <v>Black seats</v>
      </c>
      <c r="R619" t="str">
        <f>IFERROR(__xludf.DUMMYFUNCTION("""COMPUTED_VALUE"""),"None")</f>
        <v>None</v>
      </c>
      <c r="X619" t="str">
        <f>IFERROR(__xludf.DUMMYFUNCTION("""COMPUTED_VALUE"""),"Excellent")</f>
        <v>Excellent</v>
      </c>
      <c r="Y619" t="str">
        <f>IFERROR(__xludf.DUMMYFUNCTION("""COMPUTED_VALUE"""),"Excellent")</f>
        <v>Excellent</v>
      </c>
      <c r="Z619" t="str">
        <f>IFERROR(__xludf.DUMMYFUNCTION("""COMPUTED_VALUE"""),"Excellent")</f>
        <v>Excellent</v>
      </c>
      <c r="AA619" t="str">
        <f>IFERROR(__xludf.DUMMYFUNCTION("""COMPUTED_VALUE"""),"Very Good")</f>
        <v>Very Good</v>
      </c>
      <c r="AB619" t="str">
        <f>IFERROR(__xludf.DUMMYFUNCTION("""COMPUTED_VALUE"""),"Excellent")</f>
        <v>Excellent</v>
      </c>
      <c r="AG619" t="str">
        <f>IFERROR(__xludf.DUMMYFUNCTION("""COMPUTED_VALUE"""),"_")</f>
        <v>_</v>
      </c>
      <c r="AH619" s="189">
        <f>IFERROR(__xludf.DUMMYFUNCTION("""COMPUTED_VALUE"""),43350.31771293981)</f>
        <v>43350.31771</v>
      </c>
    </row>
    <row r="620">
      <c r="A620" t="str">
        <f>IFERROR(__xludf.DUMMYFUNCTION("""COMPUTED_VALUE"""),"tentimesodds")</f>
        <v>tentimesodds</v>
      </c>
      <c r="C620" t="str">
        <f>IFERROR(__xludf.DUMMYFUNCTION("""COMPUTED_VALUE"""),"VA")</f>
        <v>VA</v>
      </c>
      <c r="D620" t="str">
        <f>IFERROR(__xludf.DUMMYFUNCTION("""COMPUTED_VALUE"""),"USA")</f>
        <v>USA</v>
      </c>
      <c r="E620" s="188">
        <f>IFERROR(__xludf.DUMMYFUNCTION("""COMPUTED_VALUE"""),43280.0)</f>
        <v>43280</v>
      </c>
      <c r="F620" s="188">
        <f>IFERROR(__xludf.DUMMYFUNCTION("""COMPUTED_VALUE"""),43329.0)</f>
        <v>43329</v>
      </c>
      <c r="H620">
        <f>IFERROR(__xludf.DUMMYFUNCTION("""COMPUTED_VALUE"""),64555.0)</f>
        <v>64555</v>
      </c>
      <c r="I620" t="str">
        <f>IFERROR(__xludf.DUMMYFUNCTION("""COMPUTED_VALUE"""),"08/18")</f>
        <v>08/18</v>
      </c>
      <c r="J620" s="5">
        <f>IFERROR(__xludf.DUMMYFUNCTION("""COMPUTED_VALUE"""),43349.0)</f>
        <v>43349</v>
      </c>
      <c r="K620">
        <f>IFERROR(__xludf.DUMMYFUNCTION("""COMPUTED_VALUE"""),49.0)</f>
        <v>49</v>
      </c>
      <c r="L620">
        <f>IFERROR(__xludf.DUMMYFUNCTION("""COMPUTED_VALUE"""),20.0)</f>
        <v>20</v>
      </c>
      <c r="M620">
        <f>IFERROR(__xludf.DUMMYFUNCTION("""COMPUTED_VALUE"""),69.0)</f>
        <v>69</v>
      </c>
      <c r="N620" t="str">
        <f>IFERROR(__xludf.DUMMYFUNCTION("""COMPUTED_VALUE"""),"Model 3 LR AWD")</f>
        <v>Model 3 LR AWD</v>
      </c>
      <c r="O620" t="str">
        <f>IFERROR(__xludf.DUMMYFUNCTION("""COMPUTED_VALUE"""),"Deep Blue Metallic")</f>
        <v>Deep Blue Metallic</v>
      </c>
      <c r="P620" t="str">
        <f>IFERROR(__xludf.DUMMYFUNCTION("""COMPUTED_VALUE"""),"18 inch Aero")</f>
        <v>18 inch Aero</v>
      </c>
      <c r="Q620" t="str">
        <f>IFERROR(__xludf.DUMMYFUNCTION("""COMPUTED_VALUE"""),"Black seats")</f>
        <v>Black seats</v>
      </c>
      <c r="R620" t="str">
        <f>IFERROR(__xludf.DUMMYFUNCTION("""COMPUTED_VALUE"""),"Enhanced Autopilot")</f>
        <v>Enhanced Autopilot</v>
      </c>
      <c r="X620" t="str">
        <f>IFERROR(__xludf.DUMMYFUNCTION("""COMPUTED_VALUE"""),"Very Good")</f>
        <v>Very Good</v>
      </c>
      <c r="Y620" t="str">
        <f>IFERROR(__xludf.DUMMYFUNCTION("""COMPUTED_VALUE"""),"Excellent")</f>
        <v>Excellent</v>
      </c>
      <c r="Z620" t="str">
        <f>IFERROR(__xludf.DUMMYFUNCTION("""COMPUTED_VALUE"""),"Good")</f>
        <v>Good</v>
      </c>
      <c r="AA620" t="str">
        <f>IFERROR(__xludf.DUMMYFUNCTION("""COMPUTED_VALUE"""),"Very Good")</f>
        <v>Very Good</v>
      </c>
      <c r="AB620" t="str">
        <f>IFERROR(__xludf.DUMMYFUNCTION("""COMPUTED_VALUE"""),"Very Good")</f>
        <v>Very Good</v>
      </c>
      <c r="AH620" s="189">
        <f>IFERROR(__xludf.DUMMYFUNCTION("""COMPUTED_VALUE"""),43350.356604456014)</f>
        <v>43350.3566</v>
      </c>
    </row>
    <row r="621">
      <c r="A621" t="str">
        <f>IFERROR(__xludf.DUMMYFUNCTION("""COMPUTED_VALUE"""),"GreenFreaK")</f>
        <v>GreenFreaK</v>
      </c>
      <c r="B621" t="str">
        <f>IFERROR(__xludf.DUMMYFUNCTION("""COMPUTED_VALUE"""),"Pittsburgh")</f>
        <v>Pittsburgh</v>
      </c>
      <c r="C621" t="str">
        <f>IFERROR(__xludf.DUMMYFUNCTION("""COMPUTED_VALUE"""),"PA")</f>
        <v>PA</v>
      </c>
      <c r="D621" t="str">
        <f>IFERROR(__xludf.DUMMYFUNCTION("""COMPUTED_VALUE"""),"USA")</f>
        <v>USA</v>
      </c>
      <c r="E621" s="188">
        <f>IFERROR(__xludf.DUMMYFUNCTION("""COMPUTED_VALUE"""),43278.0)</f>
        <v>43278</v>
      </c>
      <c r="F621" s="188">
        <f>IFERROR(__xludf.DUMMYFUNCTION("""COMPUTED_VALUE"""),43327.0)</f>
        <v>43327</v>
      </c>
      <c r="H621">
        <f>IFERROR(__xludf.DUMMYFUNCTION("""COMPUTED_VALUE"""),68108.0)</f>
        <v>68108</v>
      </c>
      <c r="J621" s="5">
        <f>IFERROR(__xludf.DUMMYFUNCTION("""COMPUTED_VALUE"""),43343.0)</f>
        <v>43343</v>
      </c>
      <c r="K621">
        <f>IFERROR(__xludf.DUMMYFUNCTION("""COMPUTED_VALUE"""),49.0)</f>
        <v>49</v>
      </c>
      <c r="L621">
        <f>IFERROR(__xludf.DUMMYFUNCTION("""COMPUTED_VALUE"""),16.0)</f>
        <v>16</v>
      </c>
      <c r="M621">
        <f>IFERROR(__xludf.DUMMYFUNCTION("""COMPUTED_VALUE"""),65.0)</f>
        <v>65</v>
      </c>
      <c r="N621" t="str">
        <f>IFERROR(__xludf.DUMMYFUNCTION("""COMPUTED_VALUE"""),"Model 3 LR AWD")</f>
        <v>Model 3 LR AWD</v>
      </c>
      <c r="O621" t="str">
        <f>IFERROR(__xludf.DUMMYFUNCTION("""COMPUTED_VALUE"""),"Solid Black")</f>
        <v>Solid Black</v>
      </c>
      <c r="P621" t="str">
        <f>IFERROR(__xludf.DUMMYFUNCTION("""COMPUTED_VALUE"""),"18 inch Aero")</f>
        <v>18 inch Aero</v>
      </c>
      <c r="Q621" t="str">
        <f>IFERROR(__xludf.DUMMYFUNCTION("""COMPUTED_VALUE"""),"Black seats")</f>
        <v>Black seats</v>
      </c>
      <c r="R621" t="str">
        <f>IFERROR(__xludf.DUMMYFUNCTION("""COMPUTED_VALUE"""),"None")</f>
        <v>None</v>
      </c>
      <c r="X621" t="str">
        <f>IFERROR(__xludf.DUMMYFUNCTION("""COMPUTED_VALUE"""),"Excellent")</f>
        <v>Excellent</v>
      </c>
      <c r="Y621" t="str">
        <f>IFERROR(__xludf.DUMMYFUNCTION("""COMPUTED_VALUE"""),"Excellent")</f>
        <v>Excellent</v>
      </c>
      <c r="Z621" t="str">
        <f>IFERROR(__xludf.DUMMYFUNCTION("""COMPUTED_VALUE"""),"Very Good")</f>
        <v>Very Good</v>
      </c>
      <c r="AA621" t="str">
        <f>IFERROR(__xludf.DUMMYFUNCTION("""COMPUTED_VALUE"""),"Good")</f>
        <v>Good</v>
      </c>
      <c r="AB621" t="str">
        <f>IFERROR(__xludf.DUMMYFUNCTION("""COMPUTED_VALUE"""),"Excellent")</f>
        <v>Excellent</v>
      </c>
      <c r="AC621">
        <f>IFERROR(__xludf.DUMMYFUNCTION("""COMPUTED_VALUE"""),1.0)</f>
        <v>1</v>
      </c>
      <c r="AD621">
        <f>IFERROR(__xludf.DUMMYFUNCTION("""COMPUTED_VALUE"""),0.0)</f>
        <v>0</v>
      </c>
      <c r="AE621">
        <f>IFERROR(__xludf.DUMMYFUNCTION("""COMPUTED_VALUE"""),0.0)</f>
        <v>0</v>
      </c>
      <c r="AH621" s="189">
        <f>IFERROR(__xludf.DUMMYFUNCTION("""COMPUTED_VALUE"""),43350.35890603009)</f>
        <v>43350.35891</v>
      </c>
    </row>
    <row r="622">
      <c r="A622" t="str">
        <f>IFERROR(__xludf.DUMMYFUNCTION("""COMPUTED_VALUE"""),"cchowe")</f>
        <v>cchowe</v>
      </c>
      <c r="B622" t="str">
        <f>IFERROR(__xludf.DUMMYFUNCTION("""COMPUTED_VALUE"""),"Stow")</f>
        <v>Stow</v>
      </c>
      <c r="C622" t="str">
        <f>IFERROR(__xludf.DUMMYFUNCTION("""COMPUTED_VALUE"""),"MA")</f>
        <v>MA</v>
      </c>
      <c r="D622" t="str">
        <f>IFERROR(__xludf.DUMMYFUNCTION("""COMPUTED_VALUE"""),"USA")</f>
        <v>USA</v>
      </c>
      <c r="E622" s="188">
        <f>IFERROR(__xludf.DUMMYFUNCTION("""COMPUTED_VALUE"""),43256.0)</f>
        <v>43256</v>
      </c>
      <c r="F622" s="188">
        <f>IFERROR(__xludf.DUMMYFUNCTION("""COMPUTED_VALUE"""),43322.0)</f>
        <v>43322</v>
      </c>
      <c r="H622">
        <f>IFERROR(__xludf.DUMMYFUNCTION("""COMPUTED_VALUE"""),64055.0)</f>
        <v>64055</v>
      </c>
      <c r="I622" t="str">
        <f>IFERROR(__xludf.DUMMYFUNCTION("""COMPUTED_VALUE"""),"08/18")</f>
        <v>08/18</v>
      </c>
      <c r="J622" s="5">
        <f>IFERROR(__xludf.DUMMYFUNCTION("""COMPUTED_VALUE"""),43350.0)</f>
        <v>43350</v>
      </c>
      <c r="K622">
        <f>IFERROR(__xludf.DUMMYFUNCTION("""COMPUTED_VALUE"""),66.0)</f>
        <v>66</v>
      </c>
      <c r="L622">
        <f>IFERROR(__xludf.DUMMYFUNCTION("""COMPUTED_VALUE"""),28.0)</f>
        <v>28</v>
      </c>
      <c r="M622">
        <f>IFERROR(__xludf.DUMMYFUNCTION("""COMPUTED_VALUE"""),94.0)</f>
        <v>94</v>
      </c>
      <c r="N622" t="str">
        <f>IFERROR(__xludf.DUMMYFUNCTION("""COMPUTED_VALUE"""),"Model 3 LR AWD")</f>
        <v>Model 3 LR AWD</v>
      </c>
      <c r="O622" t="str">
        <f>IFERROR(__xludf.DUMMYFUNCTION("""COMPUTED_VALUE"""),"Red Multi-Coat")</f>
        <v>Red Multi-Coat</v>
      </c>
      <c r="P622" t="str">
        <f>IFERROR(__xludf.DUMMYFUNCTION("""COMPUTED_VALUE"""),"18 inch Aero")</f>
        <v>18 inch Aero</v>
      </c>
      <c r="Q622" t="str">
        <f>IFERROR(__xludf.DUMMYFUNCTION("""COMPUTED_VALUE"""),"Black seats")</f>
        <v>Black seats</v>
      </c>
      <c r="R622" t="str">
        <f>IFERROR(__xludf.DUMMYFUNCTION("""COMPUTED_VALUE"""),"Enhanced Autopilot")</f>
        <v>Enhanced Autopilot</v>
      </c>
      <c r="X622" t="str">
        <f>IFERROR(__xludf.DUMMYFUNCTION("""COMPUTED_VALUE"""),"Excellent")</f>
        <v>Excellent</v>
      </c>
      <c r="Y622" t="str">
        <f>IFERROR(__xludf.DUMMYFUNCTION("""COMPUTED_VALUE"""),"Excellent")</f>
        <v>Excellent</v>
      </c>
      <c r="Z622" t="str">
        <f>IFERROR(__xludf.DUMMYFUNCTION("""COMPUTED_VALUE"""),"Excellent")</f>
        <v>Excellent</v>
      </c>
      <c r="AA622" t="str">
        <f>IFERROR(__xludf.DUMMYFUNCTION("""COMPUTED_VALUE"""),"Very Good")</f>
        <v>Very Good</v>
      </c>
      <c r="AB622" t="str">
        <f>IFERROR(__xludf.DUMMYFUNCTION("""COMPUTED_VALUE"""),"Excellent")</f>
        <v>Excellent</v>
      </c>
      <c r="AC622">
        <f>IFERROR(__xludf.DUMMYFUNCTION("""COMPUTED_VALUE"""),0.0)</f>
        <v>0</v>
      </c>
      <c r="AG622" t="str">
        <f>IFERROR(__xludf.DUMMYFUNCTION("""COMPUTED_VALUE"""),"We do hear quiet beeping/whining from front motor. Unsure as of yet if we'll have service look at it; it's not terribly loud, but it is noticeable because the rest of the car is so quiet.")</f>
        <v>We do hear quiet beeping/whining from front motor. Unsure as of yet if we'll have service look at it; it's not terribly loud, but it is noticeable because the rest of the car is so quiet.</v>
      </c>
      <c r="AH622" s="189">
        <f>IFERROR(__xludf.DUMMYFUNCTION("""COMPUTED_VALUE"""),43350.42502200231)</f>
        <v>43350.42502</v>
      </c>
    </row>
    <row r="623">
      <c r="A623" t="str">
        <f>IFERROR(__xludf.DUMMYFUNCTION("""COMPUTED_VALUE"""),"meringoff")</f>
        <v>meringoff</v>
      </c>
      <c r="B623" t="str">
        <f>IFERROR(__xludf.DUMMYFUNCTION("""COMPUTED_VALUE"""),"Rockville")</f>
        <v>Rockville</v>
      </c>
      <c r="C623" t="str">
        <f>IFERROR(__xludf.DUMMYFUNCTION("""COMPUTED_VALUE"""),"MD")</f>
        <v>MD</v>
      </c>
      <c r="D623" t="str">
        <f>IFERROR(__xludf.DUMMYFUNCTION("""COMPUTED_VALUE"""),"USA")</f>
        <v>USA</v>
      </c>
      <c r="E623" s="188">
        <f>IFERROR(__xludf.DUMMYFUNCTION("""COMPUTED_VALUE"""),43327.0)</f>
        <v>43327</v>
      </c>
      <c r="F623" s="188">
        <f>IFERROR(__xludf.DUMMYFUNCTION("""COMPUTED_VALUE"""),43346.0)</f>
        <v>43346</v>
      </c>
      <c r="H623">
        <f>IFERROR(__xludf.DUMMYFUNCTION("""COMPUTED_VALUE"""),96780.0)</f>
        <v>96780</v>
      </c>
      <c r="J623" s="5">
        <f>IFERROR(__xludf.DUMMYFUNCTION("""COMPUTED_VALUE"""),43349.0)</f>
        <v>43349</v>
      </c>
      <c r="K623">
        <f>IFERROR(__xludf.DUMMYFUNCTION("""COMPUTED_VALUE"""),19.0)</f>
        <v>19</v>
      </c>
      <c r="L623">
        <f>IFERROR(__xludf.DUMMYFUNCTION("""COMPUTED_VALUE"""),3.0)</f>
        <v>3</v>
      </c>
      <c r="M623">
        <f>IFERROR(__xludf.DUMMYFUNCTION("""COMPUTED_VALUE"""),22.0)</f>
        <v>22</v>
      </c>
      <c r="N623" t="str">
        <f>IFERROR(__xludf.DUMMYFUNCTION("""COMPUTED_VALUE"""),"Model 3 LR AWD")</f>
        <v>Model 3 LR AWD</v>
      </c>
      <c r="O623" t="str">
        <f>IFERROR(__xludf.DUMMYFUNCTION("""COMPUTED_VALUE"""),"Pearl White Multi-Coat")</f>
        <v>Pearl White Multi-Coat</v>
      </c>
      <c r="P623" t="str">
        <f>IFERROR(__xludf.DUMMYFUNCTION("""COMPUTED_VALUE"""),"18 inch Aero")</f>
        <v>18 inch Aero</v>
      </c>
      <c r="Q623" t="str">
        <f>IFERROR(__xludf.DUMMYFUNCTION("""COMPUTED_VALUE"""),"White seats")</f>
        <v>White seats</v>
      </c>
      <c r="R623" t="str">
        <f>IFERROR(__xludf.DUMMYFUNCTION("""COMPUTED_VALUE"""),"Full Self-Driving")</f>
        <v>Full Self-Driving</v>
      </c>
      <c r="X623" t="str">
        <f>IFERROR(__xludf.DUMMYFUNCTION("""COMPUTED_VALUE"""),"Fair")</f>
        <v>Fair</v>
      </c>
      <c r="Y623" t="str">
        <f>IFERROR(__xludf.DUMMYFUNCTION("""COMPUTED_VALUE"""),"Good")</f>
        <v>Good</v>
      </c>
      <c r="Z623" t="str">
        <f>IFERROR(__xludf.DUMMYFUNCTION("""COMPUTED_VALUE"""),"Very Good")</f>
        <v>Very Good</v>
      </c>
      <c r="AA623" t="str">
        <f>IFERROR(__xludf.DUMMYFUNCTION("""COMPUTED_VALUE"""),"Very Good")</f>
        <v>Very Good</v>
      </c>
      <c r="AB623" t="str">
        <f>IFERROR(__xludf.DUMMYFUNCTION("""COMPUTED_VALUE"""),"Very Good")</f>
        <v>Very Good</v>
      </c>
      <c r="AC623">
        <f>IFERROR(__xludf.DUMMYFUNCTION("""COMPUTED_VALUE"""),2.0)</f>
        <v>2</v>
      </c>
      <c r="AD623">
        <f>IFERROR(__xludf.DUMMYFUNCTION("""COMPUTED_VALUE"""),1.0)</f>
        <v>1</v>
      </c>
      <c r="AG623" t="str">
        <f>IFERROR(__xludf.DUMMYFUNCTION("""COMPUTED_VALUE"""),"found 7 small things. 3 gap issues and one interior panal issue above passager door. The hood is sort bent in more on left then right. Set up app for thursday to fix 7 issues. Also, had creaking sound opening and closing center console. They said they fix"&amp;" all of it. Will see. Getting wrapped and ceramic till wednesday then taking to tesla SC on thurdsay. ")</f>
        <v>found 7 small things. 3 gap issues and one interior panal issue above passager door. The hood is sort bent in more on left then right. Set up app for thursday to fix 7 issues. Also, had creaking sound opening and closing center console. They said they fix all of it. Will see. Getting wrapped and ceramic till wednesday then taking to tesla SC on thurdsay. </v>
      </c>
      <c r="AH623" s="189">
        <f>IFERROR(__xludf.DUMMYFUNCTION("""COMPUTED_VALUE"""),43350.47217256944)</f>
        <v>43350.47217</v>
      </c>
    </row>
    <row r="624">
      <c r="A624" t="str">
        <f>IFERROR(__xludf.DUMMYFUNCTION("""COMPUTED_VALUE"""),"pubcheese")</f>
        <v>pubcheese</v>
      </c>
      <c r="B624" t="str">
        <f>IFERROR(__xludf.DUMMYFUNCTION("""COMPUTED_VALUE"""),"Austin")</f>
        <v>Austin</v>
      </c>
      <c r="C624" t="str">
        <f>IFERROR(__xludf.DUMMYFUNCTION("""COMPUTED_VALUE"""),"TX")</f>
        <v>TX</v>
      </c>
      <c r="D624" t="str">
        <f>IFERROR(__xludf.DUMMYFUNCTION("""COMPUTED_VALUE"""),"USA")</f>
        <v>USA</v>
      </c>
      <c r="E624" s="188">
        <f>IFERROR(__xludf.DUMMYFUNCTION("""COMPUTED_VALUE"""),43279.0)</f>
        <v>43279</v>
      </c>
      <c r="F624" s="188">
        <f>IFERROR(__xludf.DUMMYFUNCTION("""COMPUTED_VALUE"""),43252.0)</f>
        <v>43252</v>
      </c>
      <c r="H624">
        <f>IFERROR(__xludf.DUMMYFUNCTION("""COMPUTED_VALUE"""),28255.0)</f>
        <v>28255</v>
      </c>
      <c r="I624" t="str">
        <f>IFERROR(__xludf.DUMMYFUNCTION("""COMPUTED_VALUE"""),"06/18")</f>
        <v>06/18</v>
      </c>
      <c r="J624" s="5">
        <f>IFERROR(__xludf.DUMMYFUNCTION("""COMPUTED_VALUE"""),43348.0)</f>
        <v>43348</v>
      </c>
      <c r="L624">
        <f>IFERROR(__xludf.DUMMYFUNCTION("""COMPUTED_VALUE"""),96.0)</f>
        <v>96</v>
      </c>
      <c r="M624">
        <f>IFERROR(__xludf.DUMMYFUNCTION("""COMPUTED_VALUE"""),69.0)</f>
        <v>69</v>
      </c>
      <c r="N624" t="str">
        <f>IFERROR(__xludf.DUMMYFUNCTION("""COMPUTED_VALUE"""),"Model 3 LR")</f>
        <v>Model 3 LR</v>
      </c>
      <c r="O624" t="str">
        <f>IFERROR(__xludf.DUMMYFUNCTION("""COMPUTED_VALUE"""),"Midnight Silver Metallic")</f>
        <v>Midnight Silver Metallic</v>
      </c>
      <c r="P624" t="str">
        <f>IFERROR(__xludf.DUMMYFUNCTION("""COMPUTED_VALUE"""),"18 inch Aero")</f>
        <v>18 inch Aero</v>
      </c>
      <c r="Q624" t="str">
        <f>IFERROR(__xludf.DUMMYFUNCTION("""COMPUTED_VALUE"""),"Black seats")</f>
        <v>Black seats</v>
      </c>
      <c r="R624" t="str">
        <f>IFERROR(__xludf.DUMMYFUNCTION("""COMPUTED_VALUE"""),"Enhanced Autopilot")</f>
        <v>Enhanced Autopilot</v>
      </c>
      <c r="X624" t="str">
        <f>IFERROR(__xludf.DUMMYFUNCTION("""COMPUTED_VALUE"""),"Fair")</f>
        <v>Fair</v>
      </c>
      <c r="Y624" t="str">
        <f>IFERROR(__xludf.DUMMYFUNCTION("""COMPUTED_VALUE"""),"Excellent")</f>
        <v>Excellent</v>
      </c>
      <c r="Z624" t="str">
        <f>IFERROR(__xludf.DUMMYFUNCTION("""COMPUTED_VALUE"""),"Very Good")</f>
        <v>Very Good</v>
      </c>
      <c r="AA624" t="str">
        <f>IFERROR(__xludf.DUMMYFUNCTION("""COMPUTED_VALUE"""),"Poor")</f>
        <v>Poor</v>
      </c>
      <c r="AB624" t="str">
        <f>IFERROR(__xludf.DUMMYFUNCTION("""COMPUTED_VALUE"""),"Good")</f>
        <v>Good</v>
      </c>
      <c r="AC624">
        <f>IFERROR(__xludf.DUMMYFUNCTION("""COMPUTED_VALUE"""),0.0)</f>
        <v>0</v>
      </c>
      <c r="AD624">
        <f>IFERROR(__xludf.DUMMYFUNCTION("""COMPUTED_VALUE"""),0.0)</f>
        <v>0</v>
      </c>
      <c r="AE624">
        <f>IFERROR(__xludf.DUMMYFUNCTION("""COMPUTED_VALUE"""),0.0)</f>
        <v>0</v>
      </c>
      <c r="AH624" s="189">
        <f>IFERROR(__xludf.DUMMYFUNCTION("""COMPUTED_VALUE"""),43350.5013620949)</f>
        <v>43350.50136</v>
      </c>
    </row>
    <row r="625">
      <c r="A625" t="str">
        <f>IFERROR(__xludf.DUMMYFUNCTION("""COMPUTED_VALUE"""),"jbcarioca")</f>
        <v>jbcarioca</v>
      </c>
      <c r="C625" t="str">
        <f>IFERROR(__xludf.DUMMYFUNCTION("""COMPUTED_VALUE"""),"FL")</f>
        <v>FL</v>
      </c>
      <c r="D625" t="str">
        <f>IFERROR(__xludf.DUMMYFUNCTION("""COMPUTED_VALUE"""),"USA")</f>
        <v>USA</v>
      </c>
      <c r="E625" s="188">
        <f>IFERROR(__xludf.DUMMYFUNCTION("""COMPUTED_VALUE"""),43241.0)</f>
        <v>43241</v>
      </c>
      <c r="F625" s="188">
        <f>IFERROR(__xludf.DUMMYFUNCTION("""COMPUTED_VALUE"""),43332.0)</f>
        <v>43332</v>
      </c>
      <c r="H625">
        <f>IFERROR(__xludf.DUMMYFUNCTION("""COMPUTED_VALUE"""),63255.0)</f>
        <v>63255</v>
      </c>
      <c r="I625" t="str">
        <f>IFERROR(__xludf.DUMMYFUNCTION("""COMPUTED_VALUE"""),"08/18")</f>
        <v>08/18</v>
      </c>
      <c r="J625" s="5">
        <f>IFERROR(__xludf.DUMMYFUNCTION("""COMPUTED_VALUE"""),43348.0)</f>
        <v>43348</v>
      </c>
      <c r="K625">
        <f>IFERROR(__xludf.DUMMYFUNCTION("""COMPUTED_VALUE"""),91.0)</f>
        <v>91</v>
      </c>
      <c r="L625">
        <f>IFERROR(__xludf.DUMMYFUNCTION("""COMPUTED_VALUE"""),16.0)</f>
        <v>16</v>
      </c>
      <c r="M625">
        <f>IFERROR(__xludf.DUMMYFUNCTION("""COMPUTED_VALUE"""),107.0)</f>
        <v>107</v>
      </c>
      <c r="N625" t="str">
        <f>IFERROR(__xludf.DUMMYFUNCTION("""COMPUTED_VALUE"""),"Model 3 Performance")</f>
        <v>Model 3 Performance</v>
      </c>
      <c r="O625" t="str">
        <f>IFERROR(__xludf.DUMMYFUNCTION("""COMPUTED_VALUE"""),"Red Multi-Coat")</f>
        <v>Red Multi-Coat</v>
      </c>
      <c r="P625" t="str">
        <f>IFERROR(__xludf.DUMMYFUNCTION("""COMPUTED_VALUE"""),"20 inch Sport")</f>
        <v>20 inch Sport</v>
      </c>
      <c r="Q625" t="str">
        <f>IFERROR(__xludf.DUMMYFUNCTION("""COMPUTED_VALUE"""),"Black seats")</f>
        <v>Black seats</v>
      </c>
      <c r="R625" t="str">
        <f>IFERROR(__xludf.DUMMYFUNCTION("""COMPUTED_VALUE"""),"Full Self-Driving")</f>
        <v>Full Self-Driving</v>
      </c>
      <c r="X625" t="str">
        <f>IFERROR(__xludf.DUMMYFUNCTION("""COMPUTED_VALUE"""),"Excellent")</f>
        <v>Excellent</v>
      </c>
      <c r="Y625" t="str">
        <f>IFERROR(__xludf.DUMMYFUNCTION("""COMPUTED_VALUE"""),"Excellent")</f>
        <v>Excellent</v>
      </c>
      <c r="Z625" t="str">
        <f>IFERROR(__xludf.DUMMYFUNCTION("""COMPUTED_VALUE"""),"Excellent")</f>
        <v>Excellent</v>
      </c>
      <c r="AA625" t="str">
        <f>IFERROR(__xludf.DUMMYFUNCTION("""COMPUTED_VALUE"""),"Poor")</f>
        <v>Poor</v>
      </c>
      <c r="AB625" t="str">
        <f>IFERROR(__xludf.DUMMYFUNCTION("""COMPUTED_VALUE"""),"Poor")</f>
        <v>Poor</v>
      </c>
      <c r="AH625" s="189">
        <f>IFERROR(__xludf.DUMMYFUNCTION("""COMPUTED_VALUE"""),43350.52570753472)</f>
        <v>43350.52571</v>
      </c>
    </row>
    <row r="626">
      <c r="A626" t="str">
        <f>IFERROR(__xludf.DUMMYFUNCTION("""COMPUTED_VALUE"""),"QMax3")</f>
        <v>QMax3</v>
      </c>
      <c r="B626" t="str">
        <f>IFERROR(__xludf.DUMMYFUNCTION("""COMPUTED_VALUE"""),"Tampa")</f>
        <v>Tampa</v>
      </c>
      <c r="C626" t="str">
        <f>IFERROR(__xludf.DUMMYFUNCTION("""COMPUTED_VALUE"""),"FL")</f>
        <v>FL</v>
      </c>
      <c r="D626" t="str">
        <f>IFERROR(__xludf.DUMMYFUNCTION("""COMPUTED_VALUE"""),"USA")</f>
        <v>USA</v>
      </c>
      <c r="E626" s="188">
        <f>IFERROR(__xludf.DUMMYFUNCTION("""COMPUTED_VALUE"""),43331.0)</f>
        <v>43331</v>
      </c>
      <c r="F626" s="188">
        <f>IFERROR(__xludf.DUMMYFUNCTION("""COMPUTED_VALUE"""),43333.0)</f>
        <v>43333</v>
      </c>
      <c r="H626">
        <f>IFERROR(__xludf.DUMMYFUNCTION("""COMPUTED_VALUE"""),46755.0)</f>
        <v>46755</v>
      </c>
      <c r="I626" t="str">
        <f>IFERROR(__xludf.DUMMYFUNCTION("""COMPUTED_VALUE"""),"06/18")</f>
        <v>06/18</v>
      </c>
      <c r="J626" s="5">
        <f>IFERROR(__xludf.DUMMYFUNCTION("""COMPUTED_VALUE"""),43343.0)</f>
        <v>43343</v>
      </c>
      <c r="K626">
        <f>IFERROR(__xludf.DUMMYFUNCTION("""COMPUTED_VALUE"""),2.0)</f>
        <v>2</v>
      </c>
      <c r="L626">
        <f>IFERROR(__xludf.DUMMYFUNCTION("""COMPUTED_VALUE"""),10.0)</f>
        <v>10</v>
      </c>
      <c r="M626">
        <f>IFERROR(__xludf.DUMMYFUNCTION("""COMPUTED_VALUE"""),12.0)</f>
        <v>12</v>
      </c>
      <c r="N626" t="str">
        <f>IFERROR(__xludf.DUMMYFUNCTION("""COMPUTED_VALUE"""),"Model 3 LR")</f>
        <v>Model 3 LR</v>
      </c>
      <c r="O626" t="str">
        <f>IFERROR(__xludf.DUMMYFUNCTION("""COMPUTED_VALUE"""),"Silver Metallic")</f>
        <v>Silver Metallic</v>
      </c>
      <c r="P626" t="str">
        <f>IFERROR(__xludf.DUMMYFUNCTION("""COMPUTED_VALUE"""),"19 inch Sport")</f>
        <v>19 inch Sport</v>
      </c>
      <c r="Q626" t="str">
        <f>IFERROR(__xludf.DUMMYFUNCTION("""COMPUTED_VALUE"""),"Black seats")</f>
        <v>Black seats</v>
      </c>
      <c r="R626" t="str">
        <f>IFERROR(__xludf.DUMMYFUNCTION("""COMPUTED_VALUE"""),"Enhanced Autopilot")</f>
        <v>Enhanced Autopilot</v>
      </c>
      <c r="X626" t="str">
        <f>IFERROR(__xludf.DUMMYFUNCTION("""COMPUTED_VALUE"""),"Very Good")</f>
        <v>Very Good</v>
      </c>
      <c r="Y626" t="str">
        <f>IFERROR(__xludf.DUMMYFUNCTION("""COMPUTED_VALUE"""),"Very Good")</f>
        <v>Very Good</v>
      </c>
      <c r="Z626" t="str">
        <f>IFERROR(__xludf.DUMMYFUNCTION("""COMPUTED_VALUE"""),"Very Good")</f>
        <v>Very Good</v>
      </c>
      <c r="AA626" t="str">
        <f>IFERROR(__xludf.DUMMYFUNCTION("""COMPUTED_VALUE"""),"Poor")</f>
        <v>Poor</v>
      </c>
      <c r="AB626" t="str">
        <f>IFERROR(__xludf.DUMMYFUNCTION("""COMPUTED_VALUE"""),"Good")</f>
        <v>Good</v>
      </c>
      <c r="AC626">
        <f>IFERROR(__xludf.DUMMYFUNCTION("""COMPUTED_VALUE"""),1.0)</f>
        <v>1</v>
      </c>
      <c r="AD626">
        <f>IFERROR(__xludf.DUMMYFUNCTION("""COMPUTED_VALUE"""),1.0)</f>
        <v>1</v>
      </c>
      <c r="AE626">
        <f>IFERROR(__xludf.DUMMYFUNCTION("""COMPUTED_VALUE"""),7.0)</f>
        <v>7</v>
      </c>
      <c r="AG626" t="str">
        <f>IFERROR(__xludf.DUMMYFUNCTION("""COMPUTED_VALUE"""),"Delivery date pushed back from 8-28 to 8-31 by CS")</f>
        <v>Delivery date pushed back from 8-28 to 8-31 by CS</v>
      </c>
      <c r="AH626" s="189">
        <f>IFERROR(__xludf.DUMMYFUNCTION("""COMPUTED_VALUE"""),43350.57218243055)</f>
        <v>43350.57218</v>
      </c>
    </row>
    <row r="627">
      <c r="A627" t="str">
        <f>IFERROR(__xludf.DUMMYFUNCTION("""COMPUTED_VALUE"""),"JWalton314")</f>
        <v>JWalton314</v>
      </c>
      <c r="B627" t="str">
        <f>IFERROR(__xludf.DUMMYFUNCTION("""COMPUTED_VALUE"""),"Los Angeles")</f>
        <v>Los Angeles</v>
      </c>
      <c r="C627" t="str">
        <f>IFERROR(__xludf.DUMMYFUNCTION("""COMPUTED_VALUE"""),"CA")</f>
        <v>CA</v>
      </c>
      <c r="D627" t="str">
        <f>IFERROR(__xludf.DUMMYFUNCTION("""COMPUTED_VALUE"""),"USA")</f>
        <v>USA</v>
      </c>
      <c r="E627" s="188">
        <f>IFERROR(__xludf.DUMMYFUNCTION("""COMPUTED_VALUE"""),43279.0)</f>
        <v>43279</v>
      </c>
      <c r="F627" s="188">
        <f>IFERROR(__xludf.DUMMYFUNCTION("""COMPUTED_VALUE"""),43318.0)</f>
        <v>43318</v>
      </c>
      <c r="H627">
        <f>IFERROR(__xludf.DUMMYFUNCTION("""COMPUTED_VALUE"""),71155.0)</f>
        <v>71155</v>
      </c>
      <c r="J627" s="5">
        <f>IFERROR(__xludf.DUMMYFUNCTION("""COMPUTED_VALUE"""),43350.0)</f>
        <v>43350</v>
      </c>
      <c r="K627">
        <f>IFERROR(__xludf.DUMMYFUNCTION("""COMPUTED_VALUE"""),39.0)</f>
        <v>39</v>
      </c>
      <c r="L627">
        <f>IFERROR(__xludf.DUMMYFUNCTION("""COMPUTED_VALUE"""),32.0)</f>
        <v>32</v>
      </c>
      <c r="M627">
        <f>IFERROR(__xludf.DUMMYFUNCTION("""COMPUTED_VALUE"""),71.0)</f>
        <v>71</v>
      </c>
      <c r="N627" t="str">
        <f>IFERROR(__xludf.DUMMYFUNCTION("""COMPUTED_VALUE"""),"Model 3 LR")</f>
        <v>Model 3 LR</v>
      </c>
      <c r="O627" t="str">
        <f>IFERROR(__xludf.DUMMYFUNCTION("""COMPUTED_VALUE"""),"Obsidian Black Metallic")</f>
        <v>Obsidian Black Metallic</v>
      </c>
      <c r="P627" t="str">
        <f>IFERROR(__xludf.DUMMYFUNCTION("""COMPUTED_VALUE"""),"19 inch Sport")</f>
        <v>19 inch Sport</v>
      </c>
      <c r="Q627" t="str">
        <f>IFERROR(__xludf.DUMMYFUNCTION("""COMPUTED_VALUE"""),"Black seats")</f>
        <v>Black seats</v>
      </c>
      <c r="R627" t="str">
        <f>IFERROR(__xludf.DUMMYFUNCTION("""COMPUTED_VALUE"""),"Enhanced Autopilot")</f>
        <v>Enhanced Autopilot</v>
      </c>
      <c r="X627" t="str">
        <f>IFERROR(__xludf.DUMMYFUNCTION("""COMPUTED_VALUE"""),"Excellent")</f>
        <v>Excellent</v>
      </c>
      <c r="Y627" t="str">
        <f>IFERROR(__xludf.DUMMYFUNCTION("""COMPUTED_VALUE"""),"Very Good")</f>
        <v>Very Good</v>
      </c>
      <c r="Z627" t="str">
        <f>IFERROR(__xludf.DUMMYFUNCTION("""COMPUTED_VALUE"""),"Excellent")</f>
        <v>Excellent</v>
      </c>
      <c r="AA627" t="str">
        <f>IFERROR(__xludf.DUMMYFUNCTION("""COMPUTED_VALUE"""),"Very Good")</f>
        <v>Very Good</v>
      </c>
      <c r="AB627" t="str">
        <f>IFERROR(__xludf.DUMMYFUNCTION("""COMPUTED_VALUE"""),"Very Good")</f>
        <v>Very Good</v>
      </c>
      <c r="AC627">
        <f>IFERROR(__xludf.DUMMYFUNCTION("""COMPUTED_VALUE"""),1.0)</f>
        <v>1</v>
      </c>
      <c r="AD627">
        <f>IFERROR(__xludf.DUMMYFUNCTION("""COMPUTED_VALUE"""),1.0)</f>
        <v>1</v>
      </c>
      <c r="AE627">
        <f>IFERROR(__xludf.DUMMYFUNCTION("""COMPUTED_VALUE"""),0.0)</f>
        <v>0</v>
      </c>
      <c r="AG627" t="str">
        <f>IFERROR(__xludf.DUMMYFUNCTION("""COMPUTED_VALUE"""),"Original Delivery Date AUG 13.")</f>
        <v>Original Delivery Date AUG 13.</v>
      </c>
      <c r="AH627" s="189">
        <f>IFERROR(__xludf.DUMMYFUNCTION("""COMPUTED_VALUE"""),43350.581644872684)</f>
        <v>43350.58164</v>
      </c>
    </row>
    <row r="628">
      <c r="A628" t="str">
        <f>IFERROR(__xludf.DUMMYFUNCTION("""COMPUTED_VALUE"""),"dark-stormy")</f>
        <v>dark-stormy</v>
      </c>
      <c r="B628" t="str">
        <f>IFERROR(__xludf.DUMMYFUNCTION("""COMPUTED_VALUE"""),"Bay Area")</f>
        <v>Bay Area</v>
      </c>
      <c r="C628" t="str">
        <f>IFERROR(__xludf.DUMMYFUNCTION("""COMPUTED_VALUE"""),"CA")</f>
        <v>CA</v>
      </c>
      <c r="D628" t="str">
        <f>IFERROR(__xludf.DUMMYFUNCTION("""COMPUTED_VALUE"""),"USA")</f>
        <v>USA</v>
      </c>
      <c r="E628" s="188">
        <f>IFERROR(__xludf.DUMMYFUNCTION("""COMPUTED_VALUE"""),43280.0)</f>
        <v>43280</v>
      </c>
      <c r="F628" s="188">
        <f>IFERROR(__xludf.DUMMYFUNCTION("""COMPUTED_VALUE"""),43343.0)</f>
        <v>43343</v>
      </c>
      <c r="H628">
        <f>IFERROR(__xludf.DUMMYFUNCTION("""COMPUTED_VALUE"""),68555.0)</f>
        <v>68555</v>
      </c>
      <c r="J628" s="5">
        <f>IFERROR(__xludf.DUMMYFUNCTION("""COMPUTED_VALUE"""),43348.0)</f>
        <v>43348</v>
      </c>
      <c r="K628">
        <f>IFERROR(__xludf.DUMMYFUNCTION("""COMPUTED_VALUE"""),63.0)</f>
        <v>63</v>
      </c>
      <c r="L628">
        <f>IFERROR(__xludf.DUMMYFUNCTION("""COMPUTED_VALUE"""),5.0)</f>
        <v>5</v>
      </c>
      <c r="M628">
        <f>IFERROR(__xludf.DUMMYFUNCTION("""COMPUTED_VALUE"""),68.0)</f>
        <v>68</v>
      </c>
      <c r="N628" t="str">
        <f>IFERROR(__xludf.DUMMYFUNCTION("""COMPUTED_VALUE"""),"Model 3 LR AWD")</f>
        <v>Model 3 LR AWD</v>
      </c>
      <c r="O628" t="str">
        <f>IFERROR(__xludf.DUMMYFUNCTION("""COMPUTED_VALUE"""),"Solid Black")</f>
        <v>Solid Black</v>
      </c>
      <c r="P628" t="str">
        <f>IFERROR(__xludf.DUMMYFUNCTION("""COMPUTED_VALUE"""),"18 inch Aero")</f>
        <v>18 inch Aero</v>
      </c>
      <c r="Q628" t="str">
        <f>IFERROR(__xludf.DUMMYFUNCTION("""COMPUTED_VALUE"""),"Black seats")</f>
        <v>Black seats</v>
      </c>
      <c r="R628" t="str">
        <f>IFERROR(__xludf.DUMMYFUNCTION("""COMPUTED_VALUE"""),"Enhanced Autopilot")</f>
        <v>Enhanced Autopilot</v>
      </c>
      <c r="X628" t="str">
        <f>IFERROR(__xludf.DUMMYFUNCTION("""COMPUTED_VALUE"""),"Excellent")</f>
        <v>Excellent</v>
      </c>
      <c r="Y628" t="str">
        <f>IFERROR(__xludf.DUMMYFUNCTION("""COMPUTED_VALUE"""),"Excellent")</f>
        <v>Excellent</v>
      </c>
      <c r="Z628" t="str">
        <f>IFERROR(__xludf.DUMMYFUNCTION("""COMPUTED_VALUE"""),"Very Good")</f>
        <v>Very Good</v>
      </c>
      <c r="AA628" t="str">
        <f>IFERROR(__xludf.DUMMYFUNCTION("""COMPUTED_VALUE"""),"Very Good")</f>
        <v>Very Good</v>
      </c>
      <c r="AB628" t="str">
        <f>IFERROR(__xludf.DUMMYFUNCTION("""COMPUTED_VALUE"""),"Excellent")</f>
        <v>Excellent</v>
      </c>
      <c r="AG628" t="str">
        <f>IFERROR(__xludf.DUMMYFUNCTION("""COMPUTED_VALUE"""),"EAP was ordered at configuration but still not enabled at delivery +2 days")</f>
        <v>EAP was ordered at configuration but still not enabled at delivery +2 days</v>
      </c>
      <c r="AH628" s="189">
        <f>IFERROR(__xludf.DUMMYFUNCTION("""COMPUTED_VALUE"""),43350.60806175926)</f>
        <v>43350.60806</v>
      </c>
    </row>
    <row r="629">
      <c r="A629" t="str">
        <f>IFERROR(__xludf.DUMMYFUNCTION("""COMPUTED_VALUE"""),"D-Chord")</f>
        <v>D-Chord</v>
      </c>
      <c r="B629" t="str">
        <f>IFERROR(__xludf.DUMMYFUNCTION("""COMPUTED_VALUE"""),"Valmeyer")</f>
        <v>Valmeyer</v>
      </c>
      <c r="C629" t="str">
        <f>IFERROR(__xludf.DUMMYFUNCTION("""COMPUTED_VALUE"""),"IL")</f>
        <v>IL</v>
      </c>
      <c r="D629" t="str">
        <f>IFERROR(__xludf.DUMMYFUNCTION("""COMPUTED_VALUE"""),"USA")</f>
        <v>USA</v>
      </c>
      <c r="E629" s="188">
        <f>IFERROR(__xludf.DUMMYFUNCTION("""COMPUTED_VALUE"""),43278.0)</f>
        <v>43278</v>
      </c>
      <c r="F629" s="188">
        <f>IFERROR(__xludf.DUMMYFUNCTION("""COMPUTED_VALUE"""),43327.0)</f>
        <v>43327</v>
      </c>
      <c r="H629">
        <f>IFERROR(__xludf.DUMMYFUNCTION("""COMPUTED_VALUE"""),64613.0)</f>
        <v>64613</v>
      </c>
      <c r="J629" s="5">
        <f>IFERROR(__xludf.DUMMYFUNCTION("""COMPUTED_VALUE"""),43348.0)</f>
        <v>43348</v>
      </c>
      <c r="K629">
        <f>IFERROR(__xludf.DUMMYFUNCTION("""COMPUTED_VALUE"""),49.0)</f>
        <v>49</v>
      </c>
      <c r="L629">
        <f>IFERROR(__xludf.DUMMYFUNCTION("""COMPUTED_VALUE"""),21.0)</f>
        <v>21</v>
      </c>
      <c r="M629">
        <f>IFERROR(__xludf.DUMMYFUNCTION("""COMPUTED_VALUE"""),70.0)</f>
        <v>70</v>
      </c>
      <c r="N629" t="str">
        <f>IFERROR(__xludf.DUMMYFUNCTION("""COMPUTED_VALUE"""),"Model 3 LR AWD")</f>
        <v>Model 3 LR AWD</v>
      </c>
      <c r="O629" t="str">
        <f>IFERROR(__xludf.DUMMYFUNCTION("""COMPUTED_VALUE"""),"Deep Blue Metallic")</f>
        <v>Deep Blue Metallic</v>
      </c>
      <c r="P629" t="str">
        <f>IFERROR(__xludf.DUMMYFUNCTION("""COMPUTED_VALUE"""),"18 inch Aero")</f>
        <v>18 inch Aero</v>
      </c>
      <c r="Q629" t="str">
        <f>IFERROR(__xludf.DUMMYFUNCTION("""COMPUTED_VALUE"""),"Black seats")</f>
        <v>Black seats</v>
      </c>
      <c r="R629" t="str">
        <f>IFERROR(__xludf.DUMMYFUNCTION("""COMPUTED_VALUE"""),"Enhanced Autopilot")</f>
        <v>Enhanced Autopilot</v>
      </c>
      <c r="X629" t="str">
        <f>IFERROR(__xludf.DUMMYFUNCTION("""COMPUTED_VALUE"""),"Very Good")</f>
        <v>Very Good</v>
      </c>
      <c r="Y629" t="str">
        <f>IFERROR(__xludf.DUMMYFUNCTION("""COMPUTED_VALUE"""),"Excellent")</f>
        <v>Excellent</v>
      </c>
      <c r="Z629" t="str">
        <f>IFERROR(__xludf.DUMMYFUNCTION("""COMPUTED_VALUE"""),"Excellent")</f>
        <v>Excellent</v>
      </c>
      <c r="AA629" t="str">
        <f>IFERROR(__xludf.DUMMYFUNCTION("""COMPUTED_VALUE"""),"Excellent")</f>
        <v>Excellent</v>
      </c>
      <c r="AB629" t="str">
        <f>IFERROR(__xludf.DUMMYFUNCTION("""COMPUTED_VALUE"""),"Excellent")</f>
        <v>Excellent</v>
      </c>
      <c r="AH629" s="189">
        <f>IFERROR(__xludf.DUMMYFUNCTION("""COMPUTED_VALUE"""),43350.620338356486)</f>
        <v>43350.62034</v>
      </c>
    </row>
    <row r="630">
      <c r="A630" t="str">
        <f>IFERROR(__xludf.DUMMYFUNCTION("""COMPUTED_VALUE"""),"poorelephant")</f>
        <v>poorelephant</v>
      </c>
      <c r="B630" t="str">
        <f>IFERROR(__xludf.DUMMYFUNCTION("""COMPUTED_VALUE"""),"West Orange")</f>
        <v>West Orange</v>
      </c>
      <c r="C630" t="str">
        <f>IFERROR(__xludf.DUMMYFUNCTION("""COMPUTED_VALUE"""),"NJ")</f>
        <v>NJ</v>
      </c>
      <c r="D630" t="str">
        <f>IFERROR(__xludf.DUMMYFUNCTION("""COMPUTED_VALUE"""),"USA")</f>
        <v>USA</v>
      </c>
      <c r="E630" s="188">
        <f>IFERROR(__xludf.DUMMYFUNCTION("""COMPUTED_VALUE"""),43336.0)</f>
        <v>43336</v>
      </c>
      <c r="F630" s="188">
        <f>IFERROR(__xludf.DUMMYFUNCTION("""COMPUTED_VALUE"""),43347.0)</f>
        <v>43347</v>
      </c>
      <c r="H630">
        <f>IFERROR(__xludf.DUMMYFUNCTION("""COMPUTED_VALUE"""),25855.0)</f>
        <v>25855</v>
      </c>
      <c r="I630" t="str">
        <f>IFERROR(__xludf.DUMMYFUNCTION("""COMPUTED_VALUE"""),"06/18")</f>
        <v>06/18</v>
      </c>
      <c r="J630" s="5">
        <f>IFERROR(__xludf.DUMMYFUNCTION("""COMPUTED_VALUE"""),43349.0)</f>
        <v>43349</v>
      </c>
      <c r="K630">
        <f>IFERROR(__xludf.DUMMYFUNCTION("""COMPUTED_VALUE"""),11.0)</f>
        <v>11</v>
      </c>
      <c r="L630">
        <f>IFERROR(__xludf.DUMMYFUNCTION("""COMPUTED_VALUE"""),2.0)</f>
        <v>2</v>
      </c>
      <c r="M630">
        <f>IFERROR(__xludf.DUMMYFUNCTION("""COMPUTED_VALUE"""),13.0)</f>
        <v>13</v>
      </c>
      <c r="N630" t="str">
        <f>IFERROR(__xludf.DUMMYFUNCTION("""COMPUTED_VALUE"""),"Model 3 LR")</f>
        <v>Model 3 LR</v>
      </c>
      <c r="O630" t="str">
        <f>IFERROR(__xludf.DUMMYFUNCTION("""COMPUTED_VALUE"""),"Midnight Silver Metallic")</f>
        <v>Midnight Silver Metallic</v>
      </c>
      <c r="P630" t="str">
        <f>IFERROR(__xludf.DUMMYFUNCTION("""COMPUTED_VALUE"""),"18 inch Aero")</f>
        <v>18 inch Aero</v>
      </c>
      <c r="Q630" t="str">
        <f>IFERROR(__xludf.DUMMYFUNCTION("""COMPUTED_VALUE"""),"Black seats")</f>
        <v>Black seats</v>
      </c>
      <c r="R630" t="str">
        <f>IFERROR(__xludf.DUMMYFUNCTION("""COMPUTED_VALUE"""),"Enhanced Autopilot")</f>
        <v>Enhanced Autopilot</v>
      </c>
      <c r="X630" t="str">
        <f>IFERROR(__xludf.DUMMYFUNCTION("""COMPUTED_VALUE"""),"Excellent")</f>
        <v>Excellent</v>
      </c>
      <c r="Y630" t="str">
        <f>IFERROR(__xludf.DUMMYFUNCTION("""COMPUTED_VALUE"""),"Excellent")</f>
        <v>Excellent</v>
      </c>
      <c r="Z630" t="str">
        <f>IFERROR(__xludf.DUMMYFUNCTION("""COMPUTED_VALUE"""),"Excellent")</f>
        <v>Excellent</v>
      </c>
      <c r="AA630" t="str">
        <f>IFERROR(__xludf.DUMMYFUNCTION("""COMPUTED_VALUE"""),"Excellent")</f>
        <v>Excellent</v>
      </c>
      <c r="AB630" t="str">
        <f>IFERROR(__xludf.DUMMYFUNCTION("""COMPUTED_VALUE"""),"Excellent")</f>
        <v>Excellent</v>
      </c>
      <c r="AH630" s="189">
        <f>IFERROR(__xludf.DUMMYFUNCTION("""COMPUTED_VALUE"""),43350.622888576385)</f>
        <v>43350.62289</v>
      </c>
    </row>
    <row r="631">
      <c r="A631" t="str">
        <f>IFERROR(__xludf.DUMMYFUNCTION("""COMPUTED_VALUE"""),"DeaneG")</f>
        <v>DeaneG</v>
      </c>
      <c r="B631" t="str">
        <f>IFERROR(__xludf.DUMMYFUNCTION("""COMPUTED_VALUE"""),"Cupertino")</f>
        <v>Cupertino</v>
      </c>
      <c r="C631" t="str">
        <f>IFERROR(__xludf.DUMMYFUNCTION("""COMPUTED_VALUE"""),"CA")</f>
        <v>CA</v>
      </c>
      <c r="D631" t="str">
        <f>IFERROR(__xludf.DUMMYFUNCTION("""COMPUTED_VALUE"""),"USA")</f>
        <v>USA</v>
      </c>
      <c r="E631" s="188">
        <f>IFERROR(__xludf.DUMMYFUNCTION("""COMPUTED_VALUE"""),43283.0)</f>
        <v>43283</v>
      </c>
      <c r="F631" s="188">
        <f>IFERROR(__xludf.DUMMYFUNCTION("""COMPUTED_VALUE"""),43350.0)</f>
        <v>43350</v>
      </c>
      <c r="H631">
        <f>IFERROR(__xludf.DUMMYFUNCTION("""COMPUTED_VALUE"""),96855.0)</f>
        <v>96855</v>
      </c>
      <c r="I631" t="str">
        <f>IFERROR(__xludf.DUMMYFUNCTION("""COMPUTED_VALUE"""),"09/18")</f>
        <v>09/18</v>
      </c>
      <c r="J631" s="5">
        <f>IFERROR(__xludf.DUMMYFUNCTION("""COMPUTED_VALUE"""),43350.0)</f>
        <v>43350</v>
      </c>
      <c r="K631">
        <f>IFERROR(__xludf.DUMMYFUNCTION("""COMPUTED_VALUE"""),67.0)</f>
        <v>67</v>
      </c>
      <c r="L631">
        <f>IFERROR(__xludf.DUMMYFUNCTION("""COMPUTED_VALUE"""),0.0)</f>
        <v>0</v>
      </c>
      <c r="M631">
        <f>IFERROR(__xludf.DUMMYFUNCTION("""COMPUTED_VALUE"""),67.0)</f>
        <v>67</v>
      </c>
      <c r="N631" t="str">
        <f>IFERROR(__xludf.DUMMYFUNCTION("""COMPUTED_VALUE"""),"Model 3 Performance")</f>
        <v>Model 3 Performance</v>
      </c>
      <c r="O631" t="str">
        <f>IFERROR(__xludf.DUMMYFUNCTION("""COMPUTED_VALUE"""),"Pearl White Multi-Coat")</f>
        <v>Pearl White Multi-Coat</v>
      </c>
      <c r="P631" t="str">
        <f>IFERROR(__xludf.DUMMYFUNCTION("""COMPUTED_VALUE"""),"18 inch Aero")</f>
        <v>18 inch Aero</v>
      </c>
      <c r="Q631" t="str">
        <f>IFERROR(__xludf.DUMMYFUNCTION("""COMPUTED_VALUE"""),"White seats")</f>
        <v>White seats</v>
      </c>
      <c r="R631" t="str">
        <f>IFERROR(__xludf.DUMMYFUNCTION("""COMPUTED_VALUE"""),"Enhanced Autopilot")</f>
        <v>Enhanced Autopilot</v>
      </c>
      <c r="X631" t="str">
        <f>IFERROR(__xludf.DUMMYFUNCTION("""COMPUTED_VALUE"""),"Excellent")</f>
        <v>Excellent</v>
      </c>
      <c r="Y631" t="str">
        <f>IFERROR(__xludf.DUMMYFUNCTION("""COMPUTED_VALUE"""),"Excellent")</f>
        <v>Excellent</v>
      </c>
      <c r="Z631" t="str">
        <f>IFERROR(__xludf.DUMMYFUNCTION("""COMPUTED_VALUE"""),"Excellent")</f>
        <v>Excellent</v>
      </c>
      <c r="AA631" t="str">
        <f>IFERROR(__xludf.DUMMYFUNCTION("""COMPUTED_VALUE"""),"Fair")</f>
        <v>Fair</v>
      </c>
      <c r="AB631" t="str">
        <f>IFERROR(__xludf.DUMMYFUNCTION("""COMPUTED_VALUE"""),"Excellent")</f>
        <v>Excellent</v>
      </c>
      <c r="AH631" s="189">
        <f>IFERROR(__xludf.DUMMYFUNCTION("""COMPUTED_VALUE"""),43350.66752688657)</f>
        <v>43350.66753</v>
      </c>
    </row>
    <row r="632">
      <c r="A632" t="str">
        <f>IFERROR(__xludf.DUMMYFUNCTION("""COMPUTED_VALUE"""),"Mulmur")</f>
        <v>Mulmur</v>
      </c>
      <c r="B632" t="str">
        <f>IFERROR(__xludf.DUMMYFUNCTION("""COMPUTED_VALUE"""),"Toronto")</f>
        <v>Toronto</v>
      </c>
      <c r="C632" t="str">
        <f>IFERROR(__xludf.DUMMYFUNCTION("""COMPUTED_VALUE"""),"ON")</f>
        <v>ON</v>
      </c>
      <c r="D632" t="str">
        <f>IFERROR(__xludf.DUMMYFUNCTION("""COMPUTED_VALUE"""),"Canada")</f>
        <v>Canada</v>
      </c>
      <c r="E632" s="188">
        <f>IFERROR(__xludf.DUMMYFUNCTION("""COMPUTED_VALUE"""),43266.0)</f>
        <v>43266</v>
      </c>
      <c r="F632" s="188">
        <f>IFERROR(__xludf.DUMMYFUNCTION("""COMPUTED_VALUE"""),43343.0)</f>
        <v>43343</v>
      </c>
      <c r="H632">
        <f>IFERROR(__xludf.DUMMYFUNCTION("""COMPUTED_VALUE"""),95655.0)</f>
        <v>95655</v>
      </c>
      <c r="I632" t="str">
        <f>IFERROR(__xludf.DUMMYFUNCTION("""COMPUTED_VALUE"""),"08/18")</f>
        <v>08/18</v>
      </c>
      <c r="J632" s="5">
        <f>IFERROR(__xludf.DUMMYFUNCTION("""COMPUTED_VALUE"""),43348.0)</f>
        <v>43348</v>
      </c>
      <c r="K632">
        <f>IFERROR(__xludf.DUMMYFUNCTION("""COMPUTED_VALUE"""),77.0)</f>
        <v>77</v>
      </c>
      <c r="L632">
        <f>IFERROR(__xludf.DUMMYFUNCTION("""COMPUTED_VALUE"""),5.0)</f>
        <v>5</v>
      </c>
      <c r="M632">
        <f>IFERROR(__xludf.DUMMYFUNCTION("""COMPUTED_VALUE"""),82.0)</f>
        <v>82</v>
      </c>
      <c r="N632" t="str">
        <f>IFERROR(__xludf.DUMMYFUNCTION("""COMPUTED_VALUE"""),"Model 3 LR")</f>
        <v>Model 3 LR</v>
      </c>
      <c r="O632" t="str">
        <f>IFERROR(__xludf.DUMMYFUNCTION("""COMPUTED_VALUE"""),"Solid Black")</f>
        <v>Solid Black</v>
      </c>
      <c r="P632" t="str">
        <f>IFERROR(__xludf.DUMMYFUNCTION("""COMPUTED_VALUE"""),"18 inch Aero")</f>
        <v>18 inch Aero</v>
      </c>
      <c r="Q632" t="str">
        <f>IFERROR(__xludf.DUMMYFUNCTION("""COMPUTED_VALUE"""),"Black seats")</f>
        <v>Black seats</v>
      </c>
      <c r="R632" t="str">
        <f>IFERROR(__xludf.DUMMYFUNCTION("""COMPUTED_VALUE"""),"None")</f>
        <v>None</v>
      </c>
      <c r="X632" t="str">
        <f>IFERROR(__xludf.DUMMYFUNCTION("""COMPUTED_VALUE"""),"Very Good")</f>
        <v>Very Good</v>
      </c>
      <c r="Y632" t="str">
        <f>IFERROR(__xludf.DUMMYFUNCTION("""COMPUTED_VALUE"""),"Very Good")</f>
        <v>Very Good</v>
      </c>
      <c r="Z632" t="str">
        <f>IFERROR(__xludf.DUMMYFUNCTION("""COMPUTED_VALUE"""),"Very Good")</f>
        <v>Very Good</v>
      </c>
      <c r="AA632" t="str">
        <f>IFERROR(__xludf.DUMMYFUNCTION("""COMPUTED_VALUE"""),"Very Good")</f>
        <v>Very Good</v>
      </c>
      <c r="AB632" t="str">
        <f>IFERROR(__xludf.DUMMYFUNCTION("""COMPUTED_VALUE"""),"Fair")</f>
        <v>Fair</v>
      </c>
      <c r="AH632" s="189">
        <f>IFERROR(__xludf.DUMMYFUNCTION("""COMPUTED_VALUE"""),43350.68131152778)</f>
        <v>43350.68131</v>
      </c>
    </row>
    <row r="633">
      <c r="A633" t="str">
        <f>IFERROR(__xludf.DUMMYFUNCTION("""COMPUTED_VALUE"""),"tocunvt")</f>
        <v>tocunvt</v>
      </c>
      <c r="B633" t="str">
        <f>IFERROR(__xludf.DUMMYFUNCTION("""COMPUTED_VALUE"""),"Arlington")</f>
        <v>Arlington</v>
      </c>
      <c r="C633" t="str">
        <f>IFERROR(__xludf.DUMMYFUNCTION("""COMPUTED_VALUE"""),"VA")</f>
        <v>VA</v>
      </c>
      <c r="D633" t="str">
        <f>IFERROR(__xludf.DUMMYFUNCTION("""COMPUTED_VALUE"""),"USA")</f>
        <v>USA</v>
      </c>
      <c r="E633" s="188">
        <f>IFERROR(__xludf.DUMMYFUNCTION("""COMPUTED_VALUE"""),43279.0)</f>
        <v>43279</v>
      </c>
      <c r="F633" s="188">
        <f>IFERROR(__xludf.DUMMYFUNCTION("""COMPUTED_VALUE"""),43320.0)</f>
        <v>43320</v>
      </c>
      <c r="H633">
        <f>IFERROR(__xludf.DUMMYFUNCTION("""COMPUTED_VALUE"""),71055.0)</f>
        <v>71055</v>
      </c>
      <c r="J633" s="5">
        <f>IFERROR(__xludf.DUMMYFUNCTION("""COMPUTED_VALUE"""),43347.0)</f>
        <v>43347</v>
      </c>
      <c r="K633">
        <f>IFERROR(__xludf.DUMMYFUNCTION("""COMPUTED_VALUE"""),41.0)</f>
        <v>41</v>
      </c>
      <c r="L633">
        <f>IFERROR(__xludf.DUMMYFUNCTION("""COMPUTED_VALUE"""),27.0)</f>
        <v>27</v>
      </c>
      <c r="M633">
        <f>IFERROR(__xludf.DUMMYFUNCTION("""COMPUTED_VALUE"""),68.0)</f>
        <v>68</v>
      </c>
      <c r="N633" t="str">
        <f>IFERROR(__xludf.DUMMYFUNCTION("""COMPUTED_VALUE"""),"Model 3 LR")</f>
        <v>Model 3 LR</v>
      </c>
      <c r="O633" t="str">
        <f>IFERROR(__xludf.DUMMYFUNCTION("""COMPUTED_VALUE"""),"Obsidian Black Metallic")</f>
        <v>Obsidian Black Metallic</v>
      </c>
      <c r="P633" t="str">
        <f>IFERROR(__xludf.DUMMYFUNCTION("""COMPUTED_VALUE"""),"19 inch Sport")</f>
        <v>19 inch Sport</v>
      </c>
      <c r="Q633" t="str">
        <f>IFERROR(__xludf.DUMMYFUNCTION("""COMPUTED_VALUE"""),"Black seats")</f>
        <v>Black seats</v>
      </c>
      <c r="R633" t="str">
        <f>IFERROR(__xludf.DUMMYFUNCTION("""COMPUTED_VALUE"""),"Enhanced Autopilot")</f>
        <v>Enhanced Autopilot</v>
      </c>
      <c r="X633" t="str">
        <f>IFERROR(__xludf.DUMMYFUNCTION("""COMPUTED_VALUE"""),"Very Good")</f>
        <v>Very Good</v>
      </c>
      <c r="Y633" t="str">
        <f>IFERROR(__xludf.DUMMYFUNCTION("""COMPUTED_VALUE"""),"Excellent")</f>
        <v>Excellent</v>
      </c>
      <c r="Z633" t="str">
        <f>IFERROR(__xludf.DUMMYFUNCTION("""COMPUTED_VALUE"""),"Excellent")</f>
        <v>Excellent</v>
      </c>
      <c r="AA633" t="str">
        <f>IFERROR(__xludf.DUMMYFUNCTION("""COMPUTED_VALUE"""),"Excellent")</f>
        <v>Excellent</v>
      </c>
      <c r="AB633" t="str">
        <f>IFERROR(__xludf.DUMMYFUNCTION("""COMPUTED_VALUE"""),"Excellent")</f>
        <v>Excellent</v>
      </c>
      <c r="AC633">
        <f>IFERROR(__xludf.DUMMYFUNCTION("""COMPUTED_VALUE"""),0.0)</f>
        <v>0</v>
      </c>
      <c r="AD633">
        <f>IFERROR(__xludf.DUMMYFUNCTION("""COMPUTED_VALUE"""),0.0)</f>
        <v>0</v>
      </c>
      <c r="AE633">
        <f>IFERROR(__xludf.DUMMYFUNCTION("""COMPUTED_VALUE"""),0.0)</f>
        <v>0</v>
      </c>
      <c r="AH633" s="189">
        <f>IFERROR(__xludf.DUMMYFUNCTION("""COMPUTED_VALUE"""),43350.897095196764)</f>
        <v>43350.8971</v>
      </c>
    </row>
    <row r="634">
      <c r="A634" t="str">
        <f>IFERROR(__xludf.DUMMYFUNCTION("""COMPUTED_VALUE"""),"Beavis")</f>
        <v>Beavis</v>
      </c>
      <c r="B634" t="str">
        <f>IFERROR(__xludf.DUMMYFUNCTION("""COMPUTED_VALUE"""),"Parker")</f>
        <v>Parker</v>
      </c>
      <c r="C634" t="str">
        <f>IFERROR(__xludf.DUMMYFUNCTION("""COMPUTED_VALUE"""),"CO")</f>
        <v>CO</v>
      </c>
      <c r="D634" t="str">
        <f>IFERROR(__xludf.DUMMYFUNCTION("""COMPUTED_VALUE"""),"USA")</f>
        <v>USA</v>
      </c>
      <c r="E634" s="188">
        <f>IFERROR(__xludf.DUMMYFUNCTION("""COMPUTED_VALUE"""),43275.0)</f>
        <v>43275</v>
      </c>
      <c r="F634" s="188">
        <f>IFERROR(__xludf.DUMMYFUNCTION("""COMPUTED_VALUE"""),43343.0)</f>
        <v>43343</v>
      </c>
      <c r="H634">
        <f>IFERROR(__xludf.DUMMYFUNCTION("""COMPUTED_VALUE"""),69590.0)</f>
        <v>69590</v>
      </c>
      <c r="J634" s="5">
        <f>IFERROR(__xludf.DUMMYFUNCTION("""COMPUTED_VALUE"""),43351.0)</f>
        <v>43351</v>
      </c>
      <c r="K634">
        <f>IFERROR(__xludf.DUMMYFUNCTION("""COMPUTED_VALUE"""),68.0)</f>
        <v>68</v>
      </c>
      <c r="L634">
        <f>IFERROR(__xludf.DUMMYFUNCTION("""COMPUTED_VALUE"""),8.0)</f>
        <v>8</v>
      </c>
      <c r="M634">
        <f>IFERROR(__xludf.DUMMYFUNCTION("""COMPUTED_VALUE"""),76.0)</f>
        <v>76</v>
      </c>
      <c r="N634" t="str">
        <f>IFERROR(__xludf.DUMMYFUNCTION("""COMPUTED_VALUE"""),"Model 3 LR AWD")</f>
        <v>Model 3 LR AWD</v>
      </c>
      <c r="O634" t="str">
        <f>IFERROR(__xludf.DUMMYFUNCTION("""COMPUTED_VALUE"""),"Red Multi-Coat")</f>
        <v>Red Multi-Coat</v>
      </c>
      <c r="P634" t="str">
        <f>IFERROR(__xludf.DUMMYFUNCTION("""COMPUTED_VALUE"""),"18 inch Aero")</f>
        <v>18 inch Aero</v>
      </c>
      <c r="Q634" t="str">
        <f>IFERROR(__xludf.DUMMYFUNCTION("""COMPUTED_VALUE"""),"Black seats")</f>
        <v>Black seats</v>
      </c>
      <c r="R634" t="str">
        <f>IFERROR(__xludf.DUMMYFUNCTION("""COMPUTED_VALUE"""),"Enhanced Autopilot")</f>
        <v>Enhanced Autopilot</v>
      </c>
      <c r="X634" t="str">
        <f>IFERROR(__xludf.DUMMYFUNCTION("""COMPUTED_VALUE"""),"Very Good")</f>
        <v>Very Good</v>
      </c>
      <c r="Y634" t="str">
        <f>IFERROR(__xludf.DUMMYFUNCTION("""COMPUTED_VALUE"""),"Excellent")</f>
        <v>Excellent</v>
      </c>
      <c r="Z634" t="str">
        <f>IFERROR(__xludf.DUMMYFUNCTION("""COMPUTED_VALUE"""),"Excellent")</f>
        <v>Excellent</v>
      </c>
      <c r="AA634" t="str">
        <f>IFERROR(__xludf.DUMMYFUNCTION("""COMPUTED_VALUE"""),"Very Good")</f>
        <v>Very Good</v>
      </c>
      <c r="AB634" t="str">
        <f>IFERROR(__xludf.DUMMYFUNCTION("""COMPUTED_VALUE"""),"Very Good")</f>
        <v>Very Good</v>
      </c>
      <c r="AC634">
        <f>IFERROR(__xludf.DUMMYFUNCTION("""COMPUTED_VALUE"""),1.0)</f>
        <v>1</v>
      </c>
      <c r="AD634">
        <f>IFERROR(__xludf.DUMMYFUNCTION("""COMPUTED_VALUE"""),0.0)</f>
        <v>0</v>
      </c>
      <c r="AE634">
        <f>IFERROR(__xludf.DUMMYFUNCTION("""COMPUTED_VALUE"""),0.0)</f>
        <v>0</v>
      </c>
      <c r="AG634" t="str">
        <f>IFERROR(__xludf.DUMMYFUNCTION("""COMPUTED_VALUE"""),"A little bit of paint transfer on the rear bumper. Will rub off.")</f>
        <v>A little bit of paint transfer on the rear bumper. Will rub off.</v>
      </c>
      <c r="AH634" s="189">
        <f>IFERROR(__xludf.DUMMYFUNCTION("""COMPUTED_VALUE"""),43351.51083650463)</f>
        <v>43351.51084</v>
      </c>
    </row>
    <row r="635">
      <c r="A635" t="str">
        <f>IFERROR(__xludf.DUMMYFUNCTION("""COMPUTED_VALUE"""),"Annual")</f>
        <v>Annual</v>
      </c>
      <c r="C635" t="str">
        <f>IFERROR(__xludf.DUMMYFUNCTION("""COMPUTED_VALUE"""),"MA")</f>
        <v>MA</v>
      </c>
      <c r="D635" t="str">
        <f>IFERROR(__xludf.DUMMYFUNCTION("""COMPUTED_VALUE"""),"USA")</f>
        <v>USA</v>
      </c>
      <c r="E635" s="188">
        <f>IFERROR(__xludf.DUMMYFUNCTION("""COMPUTED_VALUE"""),43243.0)</f>
        <v>43243</v>
      </c>
      <c r="F635" s="188">
        <f>IFERROR(__xludf.DUMMYFUNCTION("""COMPUTED_VALUE"""),43322.0)</f>
        <v>43322</v>
      </c>
      <c r="H635">
        <f>IFERROR(__xludf.DUMMYFUNCTION("""COMPUTED_VALUE"""),54555.0)</f>
        <v>54555</v>
      </c>
      <c r="I635" t="str">
        <f>IFERROR(__xludf.DUMMYFUNCTION("""COMPUTED_VALUE"""),"08/18")</f>
        <v>08/18</v>
      </c>
      <c r="J635" s="5">
        <f>IFERROR(__xludf.DUMMYFUNCTION("""COMPUTED_VALUE"""),43350.0)</f>
        <v>43350</v>
      </c>
      <c r="K635">
        <f>IFERROR(__xludf.DUMMYFUNCTION("""COMPUTED_VALUE"""),79.0)</f>
        <v>79</v>
      </c>
      <c r="L635">
        <f>IFERROR(__xludf.DUMMYFUNCTION("""COMPUTED_VALUE"""),28.0)</f>
        <v>28</v>
      </c>
      <c r="M635">
        <f>IFERROR(__xludf.DUMMYFUNCTION("""COMPUTED_VALUE"""),107.0)</f>
        <v>107</v>
      </c>
      <c r="N635" t="str">
        <f>IFERROR(__xludf.DUMMYFUNCTION("""COMPUTED_VALUE"""),"Model 3 LR AWD")</f>
        <v>Model 3 LR AWD</v>
      </c>
      <c r="O635" t="str">
        <f>IFERROR(__xludf.DUMMYFUNCTION("""COMPUTED_VALUE"""),"Red Multi-Coat")</f>
        <v>Red Multi-Coat</v>
      </c>
      <c r="P635" t="str">
        <f>IFERROR(__xludf.DUMMYFUNCTION("""COMPUTED_VALUE"""),"18 inch Aero")</f>
        <v>18 inch Aero</v>
      </c>
      <c r="Q635" t="str">
        <f>IFERROR(__xludf.DUMMYFUNCTION("""COMPUTED_VALUE"""),"Black seats")</f>
        <v>Black seats</v>
      </c>
      <c r="R635" t="str">
        <f>IFERROR(__xludf.DUMMYFUNCTION("""COMPUTED_VALUE"""),"Full Self-Driving")</f>
        <v>Full Self-Driving</v>
      </c>
      <c r="X635" t="str">
        <f>IFERROR(__xludf.DUMMYFUNCTION("""COMPUTED_VALUE"""),"Excellent")</f>
        <v>Excellent</v>
      </c>
      <c r="Y635" t="str">
        <f>IFERROR(__xludf.DUMMYFUNCTION("""COMPUTED_VALUE"""),"Excellent")</f>
        <v>Excellent</v>
      </c>
      <c r="Z635" t="str">
        <f>IFERROR(__xludf.DUMMYFUNCTION("""COMPUTED_VALUE"""),"Excellent")</f>
        <v>Excellent</v>
      </c>
      <c r="AA635" t="str">
        <f>IFERROR(__xludf.DUMMYFUNCTION("""COMPUTED_VALUE"""),"Very Good")</f>
        <v>Very Good</v>
      </c>
      <c r="AB635" t="str">
        <f>IFERROR(__xludf.DUMMYFUNCTION("""COMPUTED_VALUE"""),"Excellent")</f>
        <v>Excellent</v>
      </c>
      <c r="AC635">
        <f>IFERROR(__xludf.DUMMYFUNCTION("""COMPUTED_VALUE"""),1.0)</f>
        <v>1</v>
      </c>
      <c r="AG635" t="str">
        <f>IFERROR(__xludf.DUMMYFUNCTION("""COMPUTED_VALUE"""),"Mold in trunk")</f>
        <v>Mold in trunk</v>
      </c>
      <c r="AH635" s="189">
        <f>IFERROR(__xludf.DUMMYFUNCTION("""COMPUTED_VALUE"""),43351.543810462965)</f>
        <v>43351.54381</v>
      </c>
    </row>
    <row r="636">
      <c r="A636" t="str">
        <f>IFERROR(__xludf.DUMMYFUNCTION("""COMPUTED_VALUE"""),"ejl80")</f>
        <v>ejl80</v>
      </c>
      <c r="B636" t="str">
        <f>IFERROR(__xludf.DUMMYFUNCTION("""COMPUTED_VALUE"""),"NJ")</f>
        <v>NJ</v>
      </c>
      <c r="C636" t="str">
        <f>IFERROR(__xludf.DUMMYFUNCTION("""COMPUTED_VALUE"""),"NJ")</f>
        <v>NJ</v>
      </c>
      <c r="D636" t="str">
        <f>IFERROR(__xludf.DUMMYFUNCTION("""COMPUTED_VALUE"""),"USA")</f>
        <v>USA</v>
      </c>
      <c r="E636" s="188">
        <f>IFERROR(__xludf.DUMMYFUNCTION("""COMPUTED_VALUE"""),43278.0)</f>
        <v>43278</v>
      </c>
      <c r="F636" s="188">
        <f>IFERROR(__xludf.DUMMYFUNCTION("""COMPUTED_VALUE"""),43327.0)</f>
        <v>43327</v>
      </c>
      <c r="H636">
        <f>IFERROR(__xludf.DUMMYFUNCTION("""COMPUTED_VALUE"""),54255.0)</f>
        <v>54255</v>
      </c>
      <c r="I636" t="str">
        <f>IFERROR(__xludf.DUMMYFUNCTION("""COMPUTED_VALUE"""),"08/18")</f>
        <v>08/18</v>
      </c>
      <c r="J636" s="5">
        <f>IFERROR(__xludf.DUMMYFUNCTION("""COMPUTED_VALUE"""),43348.0)</f>
        <v>43348</v>
      </c>
      <c r="K636">
        <f>IFERROR(__xludf.DUMMYFUNCTION("""COMPUTED_VALUE"""),49.0)</f>
        <v>49</v>
      </c>
      <c r="L636">
        <f>IFERROR(__xludf.DUMMYFUNCTION("""COMPUTED_VALUE"""),21.0)</f>
        <v>21</v>
      </c>
      <c r="M636">
        <f>IFERROR(__xludf.DUMMYFUNCTION("""COMPUTED_VALUE"""),70.0)</f>
        <v>70</v>
      </c>
      <c r="N636" t="str">
        <f>IFERROR(__xludf.DUMMYFUNCTION("""COMPUTED_VALUE"""),"Model 3 LR AWD")</f>
        <v>Model 3 LR AWD</v>
      </c>
      <c r="O636" t="str">
        <f>IFERROR(__xludf.DUMMYFUNCTION("""COMPUTED_VALUE"""),"Deep Blue Metallic")</f>
        <v>Deep Blue Metallic</v>
      </c>
      <c r="P636" t="str">
        <f>IFERROR(__xludf.DUMMYFUNCTION("""COMPUTED_VALUE"""),"18 inch Aero")</f>
        <v>18 inch Aero</v>
      </c>
      <c r="Q636" t="str">
        <f>IFERROR(__xludf.DUMMYFUNCTION("""COMPUTED_VALUE"""),"Black seats")</f>
        <v>Black seats</v>
      </c>
      <c r="R636" t="str">
        <f>IFERROR(__xludf.DUMMYFUNCTION("""COMPUTED_VALUE"""),"Enhanced Autopilot")</f>
        <v>Enhanced Autopilot</v>
      </c>
      <c r="X636" t="str">
        <f>IFERROR(__xludf.DUMMYFUNCTION("""COMPUTED_VALUE"""),"Excellent")</f>
        <v>Excellent</v>
      </c>
      <c r="Y636" t="str">
        <f>IFERROR(__xludf.DUMMYFUNCTION("""COMPUTED_VALUE"""),"Excellent")</f>
        <v>Excellent</v>
      </c>
      <c r="Z636" t="str">
        <f>IFERROR(__xludf.DUMMYFUNCTION("""COMPUTED_VALUE"""),"Good")</f>
        <v>Good</v>
      </c>
      <c r="AA636" t="str">
        <f>IFERROR(__xludf.DUMMYFUNCTION("""COMPUTED_VALUE"""),"Good")</f>
        <v>Good</v>
      </c>
      <c r="AB636" t="str">
        <f>IFERROR(__xludf.DUMMYFUNCTION("""COMPUTED_VALUE"""),"Excellent")</f>
        <v>Excellent</v>
      </c>
      <c r="AC636">
        <f>IFERROR(__xludf.DUMMYFUNCTION("""COMPUTED_VALUE"""),2.0)</f>
        <v>2</v>
      </c>
      <c r="AH636" s="189">
        <f>IFERROR(__xludf.DUMMYFUNCTION("""COMPUTED_VALUE"""),43351.663263055554)</f>
        <v>43351.66326</v>
      </c>
    </row>
    <row r="637">
      <c r="A637" t="str">
        <f>IFERROR(__xludf.DUMMYFUNCTION("""COMPUTED_VALUE"""),"Joe.lynn.atp")</f>
        <v>Joe.lynn.atp</v>
      </c>
      <c r="B637" t="str">
        <f>IFERROR(__xludf.DUMMYFUNCTION("""COMPUTED_VALUE"""),"Devon")</f>
        <v>Devon</v>
      </c>
      <c r="C637" t="str">
        <f>IFERROR(__xludf.DUMMYFUNCTION("""COMPUTED_VALUE"""),"PA")</f>
        <v>PA</v>
      </c>
      <c r="D637" t="str">
        <f>IFERROR(__xludf.DUMMYFUNCTION("""COMPUTED_VALUE"""),"USA")</f>
        <v>USA</v>
      </c>
      <c r="E637" s="188">
        <f>IFERROR(__xludf.DUMMYFUNCTION("""COMPUTED_VALUE"""),43278.0)</f>
        <v>43278</v>
      </c>
      <c r="F637" s="188">
        <f>IFERROR(__xludf.DUMMYFUNCTION("""COMPUTED_VALUE"""),43343.0)</f>
        <v>43343</v>
      </c>
      <c r="H637">
        <f>IFERROR(__xludf.DUMMYFUNCTION("""COMPUTED_VALUE"""),65095.0)</f>
        <v>65095</v>
      </c>
      <c r="I637" t="str">
        <f>IFERROR(__xludf.DUMMYFUNCTION("""COMPUTED_VALUE"""),"08/18")</f>
        <v>08/18</v>
      </c>
      <c r="J637" s="5">
        <f>IFERROR(__xludf.DUMMYFUNCTION("""COMPUTED_VALUE"""),43349.0)</f>
        <v>43349</v>
      </c>
      <c r="K637">
        <f>IFERROR(__xludf.DUMMYFUNCTION("""COMPUTED_VALUE"""),65.0)</f>
        <v>65</v>
      </c>
      <c r="L637">
        <f>IFERROR(__xludf.DUMMYFUNCTION("""COMPUTED_VALUE"""),6.0)</f>
        <v>6</v>
      </c>
      <c r="M637">
        <f>IFERROR(__xludf.DUMMYFUNCTION("""COMPUTED_VALUE"""),71.0)</f>
        <v>71</v>
      </c>
      <c r="N637" t="str">
        <f>IFERROR(__xludf.DUMMYFUNCTION("""COMPUTED_VALUE"""),"Model 3 LR AWD")</f>
        <v>Model 3 LR AWD</v>
      </c>
      <c r="O637" t="str">
        <f>IFERROR(__xludf.DUMMYFUNCTION("""COMPUTED_VALUE"""),"Silver Metallic")</f>
        <v>Silver Metallic</v>
      </c>
      <c r="P637" t="str">
        <f>IFERROR(__xludf.DUMMYFUNCTION("""COMPUTED_VALUE"""),"18 inch Aero")</f>
        <v>18 inch Aero</v>
      </c>
      <c r="Q637" t="str">
        <f>IFERROR(__xludf.DUMMYFUNCTION("""COMPUTED_VALUE"""),"Black seats")</f>
        <v>Black seats</v>
      </c>
      <c r="R637" t="str">
        <f>IFERROR(__xludf.DUMMYFUNCTION("""COMPUTED_VALUE"""),"Full Self-Driving")</f>
        <v>Full Self-Driving</v>
      </c>
      <c r="X637" t="str">
        <f>IFERROR(__xludf.DUMMYFUNCTION("""COMPUTED_VALUE"""),"Excellent")</f>
        <v>Excellent</v>
      </c>
      <c r="Y637" t="str">
        <f>IFERROR(__xludf.DUMMYFUNCTION("""COMPUTED_VALUE"""),"Excellent")</f>
        <v>Excellent</v>
      </c>
      <c r="Z637" t="str">
        <f>IFERROR(__xludf.DUMMYFUNCTION("""COMPUTED_VALUE"""),"Very Good")</f>
        <v>Very Good</v>
      </c>
      <c r="AA637" t="str">
        <f>IFERROR(__xludf.DUMMYFUNCTION("""COMPUTED_VALUE"""),"Excellent")</f>
        <v>Excellent</v>
      </c>
      <c r="AB637" t="str">
        <f>IFERROR(__xludf.DUMMYFUNCTION("""COMPUTED_VALUE"""),"Excellent")</f>
        <v>Excellent</v>
      </c>
      <c r="AH637" s="189">
        <f>IFERROR(__xludf.DUMMYFUNCTION("""COMPUTED_VALUE"""),43351.7010416088)</f>
        <v>43351.70104</v>
      </c>
    </row>
    <row r="638">
      <c r="A638" t="str">
        <f>IFERROR(__xludf.DUMMYFUNCTION("""COMPUTED_VALUE"""),"mod3co")</f>
        <v>mod3co</v>
      </c>
      <c r="C638" t="str">
        <f>IFERROR(__xludf.DUMMYFUNCTION("""COMPUTED_VALUE"""),"CO")</f>
        <v>CO</v>
      </c>
      <c r="D638" t="str">
        <f>IFERROR(__xludf.DUMMYFUNCTION("""COMPUTED_VALUE"""),"USA")</f>
        <v>USA</v>
      </c>
      <c r="E638" s="188">
        <f>IFERROR(__xludf.DUMMYFUNCTION("""COMPUTED_VALUE"""),43308.0)</f>
        <v>43308</v>
      </c>
      <c r="F638" s="188">
        <f>IFERROR(__xludf.DUMMYFUNCTION("""COMPUTED_VALUE"""),43340.0)</f>
        <v>43340</v>
      </c>
      <c r="H638">
        <f>IFERROR(__xludf.DUMMYFUNCTION("""COMPUTED_VALUE"""),55255.0)</f>
        <v>55255</v>
      </c>
      <c r="I638" t="str">
        <f>IFERROR(__xludf.DUMMYFUNCTION("""COMPUTED_VALUE"""),"08/18")</f>
        <v>08/18</v>
      </c>
      <c r="J638" s="5">
        <f>IFERROR(__xludf.DUMMYFUNCTION("""COMPUTED_VALUE"""),43351.0)</f>
        <v>43351</v>
      </c>
      <c r="K638">
        <f>IFERROR(__xludf.DUMMYFUNCTION("""COMPUTED_VALUE"""),32.0)</f>
        <v>32</v>
      </c>
      <c r="L638">
        <f>IFERROR(__xludf.DUMMYFUNCTION("""COMPUTED_VALUE"""),11.0)</f>
        <v>11</v>
      </c>
      <c r="M638">
        <f>IFERROR(__xludf.DUMMYFUNCTION("""COMPUTED_VALUE"""),43.0)</f>
        <v>43</v>
      </c>
      <c r="N638" t="str">
        <f>IFERROR(__xludf.DUMMYFUNCTION("""COMPUTED_VALUE"""),"Model 3 Performance")</f>
        <v>Model 3 Performance</v>
      </c>
      <c r="O638" t="str">
        <f>IFERROR(__xludf.DUMMYFUNCTION("""COMPUTED_VALUE"""),"Silver Metallic")</f>
        <v>Silver Metallic</v>
      </c>
      <c r="P638" t="str">
        <f>IFERROR(__xludf.DUMMYFUNCTION("""COMPUTED_VALUE"""),"20 inch Sport")</f>
        <v>20 inch Sport</v>
      </c>
      <c r="Q638" t="str">
        <f>IFERROR(__xludf.DUMMYFUNCTION("""COMPUTED_VALUE"""),"White seats")</f>
        <v>White seats</v>
      </c>
      <c r="R638" t="str">
        <f>IFERROR(__xludf.DUMMYFUNCTION("""COMPUTED_VALUE"""),"Enhanced Autopilot")</f>
        <v>Enhanced Autopilot</v>
      </c>
      <c r="X638" t="str">
        <f>IFERROR(__xludf.DUMMYFUNCTION("""COMPUTED_VALUE"""),"Very Good")</f>
        <v>Very Good</v>
      </c>
      <c r="Y638" t="str">
        <f>IFERROR(__xludf.DUMMYFUNCTION("""COMPUTED_VALUE"""),"Very Good")</f>
        <v>Very Good</v>
      </c>
      <c r="Z638" t="str">
        <f>IFERROR(__xludf.DUMMYFUNCTION("""COMPUTED_VALUE"""),"Very Good")</f>
        <v>Very Good</v>
      </c>
      <c r="AA638" t="str">
        <f>IFERROR(__xludf.DUMMYFUNCTION("""COMPUTED_VALUE"""),"Fair")</f>
        <v>Fair</v>
      </c>
      <c r="AB638" t="str">
        <f>IFERROR(__xludf.DUMMYFUNCTION("""COMPUTED_VALUE"""),"Good")</f>
        <v>Good</v>
      </c>
      <c r="AH638" s="189">
        <f>IFERROR(__xludf.DUMMYFUNCTION("""COMPUTED_VALUE"""),43351.713094872684)</f>
        <v>43351.71309</v>
      </c>
    </row>
    <row r="639">
      <c r="A639" t="str">
        <f>IFERROR(__xludf.DUMMYFUNCTION("""COMPUTED_VALUE"""),"sprak")</f>
        <v>sprak</v>
      </c>
      <c r="B639" t="str">
        <f>IFERROR(__xludf.DUMMYFUNCTION("""COMPUTED_VALUE"""),"Arlington")</f>
        <v>Arlington</v>
      </c>
      <c r="C639" t="str">
        <f>IFERROR(__xludf.DUMMYFUNCTION("""COMPUTED_VALUE"""),"VA")</f>
        <v>VA</v>
      </c>
      <c r="D639" t="str">
        <f>IFERROR(__xludf.DUMMYFUNCTION("""COMPUTED_VALUE"""),"USA")</f>
        <v>USA</v>
      </c>
      <c r="E639" s="188">
        <f>IFERROR(__xludf.DUMMYFUNCTION("""COMPUTED_VALUE"""),43341.0)</f>
        <v>43341</v>
      </c>
      <c r="F639" s="188">
        <f>IFERROR(__xludf.DUMMYFUNCTION("""COMPUTED_VALUE"""),43347.0)</f>
        <v>43347</v>
      </c>
      <c r="H639">
        <f>IFERROR(__xludf.DUMMYFUNCTION("""COMPUTED_VALUE"""),34555.0)</f>
        <v>34555</v>
      </c>
      <c r="J639" s="5">
        <f>IFERROR(__xludf.DUMMYFUNCTION("""COMPUTED_VALUE"""),43351.0)</f>
        <v>43351</v>
      </c>
      <c r="K639">
        <f>IFERROR(__xludf.DUMMYFUNCTION("""COMPUTED_VALUE"""),6.0)</f>
        <v>6</v>
      </c>
      <c r="L639">
        <f>IFERROR(__xludf.DUMMYFUNCTION("""COMPUTED_VALUE"""),4.0)</f>
        <v>4</v>
      </c>
      <c r="M639">
        <f>IFERROR(__xludf.DUMMYFUNCTION("""COMPUTED_VALUE"""),10.0)</f>
        <v>10</v>
      </c>
      <c r="N639" t="str">
        <f>IFERROR(__xludf.DUMMYFUNCTION("""COMPUTED_VALUE"""),"Model 3 LR")</f>
        <v>Model 3 LR</v>
      </c>
      <c r="O639" t="str">
        <f>IFERROR(__xludf.DUMMYFUNCTION("""COMPUTED_VALUE"""),"Solid Black")</f>
        <v>Solid Black</v>
      </c>
      <c r="P639" t="str">
        <f>IFERROR(__xludf.DUMMYFUNCTION("""COMPUTED_VALUE"""),"18 inch Aero")</f>
        <v>18 inch Aero</v>
      </c>
      <c r="Q639" t="str">
        <f>IFERROR(__xludf.DUMMYFUNCTION("""COMPUTED_VALUE"""),"Black seats")</f>
        <v>Black seats</v>
      </c>
      <c r="R639" t="str">
        <f>IFERROR(__xludf.DUMMYFUNCTION("""COMPUTED_VALUE"""),"None")</f>
        <v>None</v>
      </c>
      <c r="X639" t="str">
        <f>IFERROR(__xludf.DUMMYFUNCTION("""COMPUTED_VALUE"""),"Excellent")</f>
        <v>Excellent</v>
      </c>
      <c r="Y639" t="str">
        <f>IFERROR(__xludf.DUMMYFUNCTION("""COMPUTED_VALUE"""),"Good")</f>
        <v>Good</v>
      </c>
      <c r="Z639" t="str">
        <f>IFERROR(__xludf.DUMMYFUNCTION("""COMPUTED_VALUE"""),"Excellent")</f>
        <v>Excellent</v>
      </c>
      <c r="AA639" t="str">
        <f>IFERROR(__xludf.DUMMYFUNCTION("""COMPUTED_VALUE"""),"Excellent")</f>
        <v>Excellent</v>
      </c>
      <c r="AB639" t="str">
        <f>IFERROR(__xludf.DUMMYFUNCTION("""COMPUTED_VALUE"""),"Very Good")</f>
        <v>Very Good</v>
      </c>
      <c r="AH639" s="189">
        <f>IFERROR(__xludf.DUMMYFUNCTION("""COMPUTED_VALUE"""),43351.746622465274)</f>
        <v>43351.74662</v>
      </c>
    </row>
    <row r="640">
      <c r="A640" t="str">
        <f>IFERROR(__xludf.DUMMYFUNCTION("""COMPUTED_VALUE"""),"jbhill")</f>
        <v>jbhill</v>
      </c>
      <c r="B640" t="str">
        <f>IFERROR(__xludf.DUMMYFUNCTION("""COMPUTED_VALUE"""),"Idaho Falls")</f>
        <v>Idaho Falls</v>
      </c>
      <c r="C640" t="str">
        <f>IFERROR(__xludf.DUMMYFUNCTION("""COMPUTED_VALUE"""),"ID")</f>
        <v>ID</v>
      </c>
      <c r="D640" t="str">
        <f>IFERROR(__xludf.DUMMYFUNCTION("""COMPUTED_VALUE"""),"USA")</f>
        <v>USA</v>
      </c>
      <c r="E640" s="188">
        <f>IFERROR(__xludf.DUMMYFUNCTION("""COMPUTED_VALUE"""),43277.0)</f>
        <v>43277</v>
      </c>
      <c r="F640" s="188">
        <f>IFERROR(__xludf.DUMMYFUNCTION("""COMPUTED_VALUE"""),43338.0)</f>
        <v>43338</v>
      </c>
      <c r="H640">
        <f>IFERROR(__xludf.DUMMYFUNCTION("""COMPUTED_VALUE"""),69655.0)</f>
        <v>69655</v>
      </c>
      <c r="I640" t="str">
        <f>IFERROR(__xludf.DUMMYFUNCTION("""COMPUTED_VALUE"""),"08/18")</f>
        <v>08/18</v>
      </c>
      <c r="J640" s="5">
        <f>IFERROR(__xludf.DUMMYFUNCTION("""COMPUTED_VALUE"""),43350.0)</f>
        <v>43350</v>
      </c>
      <c r="K640">
        <f>IFERROR(__xludf.DUMMYFUNCTION("""COMPUTED_VALUE"""),61.0)</f>
        <v>61</v>
      </c>
      <c r="L640">
        <f>IFERROR(__xludf.DUMMYFUNCTION("""COMPUTED_VALUE"""),12.0)</f>
        <v>12</v>
      </c>
      <c r="M640">
        <f>IFERROR(__xludf.DUMMYFUNCTION("""COMPUTED_VALUE"""),73.0)</f>
        <v>73</v>
      </c>
      <c r="N640" t="str">
        <f>IFERROR(__xludf.DUMMYFUNCTION("""COMPUTED_VALUE"""),"Model 3 LR AWD")</f>
        <v>Model 3 LR AWD</v>
      </c>
      <c r="O640" t="str">
        <f>IFERROR(__xludf.DUMMYFUNCTION("""COMPUTED_VALUE"""),"Red Multi-Coat")</f>
        <v>Red Multi-Coat</v>
      </c>
      <c r="P640" t="str">
        <f>IFERROR(__xludf.DUMMYFUNCTION("""COMPUTED_VALUE"""),"18 inch Aero")</f>
        <v>18 inch Aero</v>
      </c>
      <c r="Q640" t="str">
        <f>IFERROR(__xludf.DUMMYFUNCTION("""COMPUTED_VALUE"""),"Black seats")</f>
        <v>Black seats</v>
      </c>
      <c r="R640" t="str">
        <f>IFERROR(__xludf.DUMMYFUNCTION("""COMPUTED_VALUE"""),"Full Self-Driving")</f>
        <v>Full Self-Driving</v>
      </c>
      <c r="X640" t="str">
        <f>IFERROR(__xludf.DUMMYFUNCTION("""COMPUTED_VALUE"""),"Excellent")</f>
        <v>Excellent</v>
      </c>
      <c r="Y640" t="str">
        <f>IFERROR(__xludf.DUMMYFUNCTION("""COMPUTED_VALUE"""),"Excellent")</f>
        <v>Excellent</v>
      </c>
      <c r="Z640" t="str">
        <f>IFERROR(__xludf.DUMMYFUNCTION("""COMPUTED_VALUE"""),"Excellent")</f>
        <v>Excellent</v>
      </c>
      <c r="AA640" t="str">
        <f>IFERROR(__xludf.DUMMYFUNCTION("""COMPUTED_VALUE"""),"Very Good")</f>
        <v>Very Good</v>
      </c>
      <c r="AB640" t="str">
        <f>IFERROR(__xludf.DUMMYFUNCTION("""COMPUTED_VALUE"""),"Excellent")</f>
        <v>Excellent</v>
      </c>
      <c r="AC640">
        <f>IFERROR(__xludf.DUMMYFUNCTION("""COMPUTED_VALUE"""),1.0)</f>
        <v>1</v>
      </c>
      <c r="AD640">
        <f>IFERROR(__xludf.DUMMYFUNCTION("""COMPUTED_VALUE"""),1.0)</f>
        <v>1</v>
      </c>
      <c r="AE640">
        <f>IFERROR(__xludf.DUMMYFUNCTION("""COMPUTED_VALUE"""),0.0)</f>
        <v>0</v>
      </c>
      <c r="AH640" s="189">
        <f>IFERROR(__xludf.DUMMYFUNCTION("""COMPUTED_VALUE"""),43351.772291030094)</f>
        <v>43351.77229</v>
      </c>
    </row>
    <row r="641">
      <c r="A641" t="str">
        <f>IFERROR(__xludf.DUMMYFUNCTION("""COMPUTED_VALUE"""),"gadevrie")</f>
        <v>gadevrie</v>
      </c>
      <c r="B641" t="str">
        <f>IFERROR(__xludf.DUMMYFUNCTION("""COMPUTED_VALUE"""),"Indianapolis")</f>
        <v>Indianapolis</v>
      </c>
      <c r="C641" t="str">
        <f>IFERROR(__xludf.DUMMYFUNCTION("""COMPUTED_VALUE"""),"IN")</f>
        <v>IN</v>
      </c>
      <c r="D641" t="str">
        <f>IFERROR(__xludf.DUMMYFUNCTION("""COMPUTED_VALUE"""),"USA")</f>
        <v>USA</v>
      </c>
      <c r="E641" s="188">
        <f>IFERROR(__xludf.DUMMYFUNCTION("""COMPUTED_VALUE"""),43322.0)</f>
        <v>43322</v>
      </c>
      <c r="F641" s="188">
        <f>IFERROR(__xludf.DUMMYFUNCTION("""COMPUTED_VALUE"""),43328.0)</f>
        <v>43328</v>
      </c>
      <c r="H641">
        <f>IFERROR(__xludf.DUMMYFUNCTION("""COMPUTED_VALUE"""),56723.0)</f>
        <v>56723</v>
      </c>
      <c r="I641" t="str">
        <f>IFERROR(__xludf.DUMMYFUNCTION("""COMPUTED_VALUE"""),"07/18")</f>
        <v>07/18</v>
      </c>
      <c r="J641" s="5">
        <f>IFERROR(__xludf.DUMMYFUNCTION("""COMPUTED_VALUE"""),43350.0)</f>
        <v>43350</v>
      </c>
      <c r="K641">
        <f>IFERROR(__xludf.DUMMYFUNCTION("""COMPUTED_VALUE"""),6.0)</f>
        <v>6</v>
      </c>
      <c r="L641">
        <f>IFERROR(__xludf.DUMMYFUNCTION("""COMPUTED_VALUE"""),22.0)</f>
        <v>22</v>
      </c>
      <c r="M641">
        <f>IFERROR(__xludf.DUMMYFUNCTION("""COMPUTED_VALUE"""),28.0)</f>
        <v>28</v>
      </c>
      <c r="N641" t="str">
        <f>IFERROR(__xludf.DUMMYFUNCTION("""COMPUTED_VALUE"""),"Model 3 LR")</f>
        <v>Model 3 LR</v>
      </c>
      <c r="O641" t="str">
        <f>IFERROR(__xludf.DUMMYFUNCTION("""COMPUTED_VALUE"""),"Solid Black")</f>
        <v>Solid Black</v>
      </c>
      <c r="P641" t="str">
        <f>IFERROR(__xludf.DUMMYFUNCTION("""COMPUTED_VALUE"""),"18 inch Aero")</f>
        <v>18 inch Aero</v>
      </c>
      <c r="Q641" t="str">
        <f>IFERROR(__xludf.DUMMYFUNCTION("""COMPUTED_VALUE"""),"Black seats")</f>
        <v>Black seats</v>
      </c>
      <c r="R641" t="str">
        <f>IFERROR(__xludf.DUMMYFUNCTION("""COMPUTED_VALUE"""),"None")</f>
        <v>None</v>
      </c>
      <c r="X641" t="str">
        <f>IFERROR(__xludf.DUMMYFUNCTION("""COMPUTED_VALUE"""),"Good")</f>
        <v>Good</v>
      </c>
      <c r="Y641" t="str">
        <f>IFERROR(__xludf.DUMMYFUNCTION("""COMPUTED_VALUE"""),"Very Good")</f>
        <v>Very Good</v>
      </c>
      <c r="Z641" t="str">
        <f>IFERROR(__xludf.DUMMYFUNCTION("""COMPUTED_VALUE"""),"Excellent")</f>
        <v>Excellent</v>
      </c>
      <c r="AA641" t="str">
        <f>IFERROR(__xludf.DUMMYFUNCTION("""COMPUTED_VALUE"""),"Excellent")</f>
        <v>Excellent</v>
      </c>
      <c r="AB641" t="str">
        <f>IFERROR(__xludf.DUMMYFUNCTION("""COMPUTED_VALUE"""),"Excellent")</f>
        <v>Excellent</v>
      </c>
      <c r="AG641" t="str">
        <f>IFERROR(__xludf.DUMMYFUNCTION("""COMPUTED_VALUE"""),"ISA Says out of production and ""in transit"" in San Francisco now.")</f>
        <v>ISA Says out of production and "in transit" in San Francisco now.</v>
      </c>
      <c r="AH641" s="189">
        <f>IFERROR(__xludf.DUMMYFUNCTION("""COMPUTED_VALUE"""),43351.82088076389)</f>
        <v>43351.82088</v>
      </c>
    </row>
    <row r="642">
      <c r="A642" t="str">
        <f>IFERROR(__xludf.DUMMYFUNCTION("""COMPUTED_VALUE"""),"Thumper")</f>
        <v>Thumper</v>
      </c>
      <c r="B642" t="str">
        <f>IFERROR(__xludf.DUMMYFUNCTION("""COMPUTED_VALUE"""),"Oregon")</f>
        <v>Oregon</v>
      </c>
      <c r="C642" t="str">
        <f>IFERROR(__xludf.DUMMYFUNCTION("""COMPUTED_VALUE"""),"OR")</f>
        <v>OR</v>
      </c>
      <c r="D642" t="str">
        <f>IFERROR(__xludf.DUMMYFUNCTION("""COMPUTED_VALUE"""),"USA")</f>
        <v>USA</v>
      </c>
      <c r="E642" s="188">
        <f>IFERROR(__xludf.DUMMYFUNCTION("""COMPUTED_VALUE"""),43277.0)</f>
        <v>43277</v>
      </c>
      <c r="F642" s="188">
        <f>IFERROR(__xludf.DUMMYFUNCTION("""COMPUTED_VALUE"""),43339.0)</f>
        <v>43339</v>
      </c>
      <c r="H642">
        <f>IFERROR(__xludf.DUMMYFUNCTION("""COMPUTED_VALUE"""),96355.0)</f>
        <v>96355</v>
      </c>
      <c r="I642" t="str">
        <f>IFERROR(__xludf.DUMMYFUNCTION("""COMPUTED_VALUE"""),"08/18")</f>
        <v>08/18</v>
      </c>
      <c r="J642" s="5">
        <f>IFERROR(__xludf.DUMMYFUNCTION("""COMPUTED_VALUE"""),43348.0)</f>
        <v>43348</v>
      </c>
      <c r="K642">
        <f>IFERROR(__xludf.DUMMYFUNCTION("""COMPUTED_VALUE"""),62.0)</f>
        <v>62</v>
      </c>
      <c r="L642">
        <f>IFERROR(__xludf.DUMMYFUNCTION("""COMPUTED_VALUE"""),9.0)</f>
        <v>9</v>
      </c>
      <c r="M642">
        <f>IFERROR(__xludf.DUMMYFUNCTION("""COMPUTED_VALUE"""),71.0)</f>
        <v>71</v>
      </c>
      <c r="N642" t="str">
        <f>IFERROR(__xludf.DUMMYFUNCTION("""COMPUTED_VALUE"""),"Model 3 LR AWD")</f>
        <v>Model 3 LR AWD</v>
      </c>
      <c r="O642" t="str">
        <f>IFERROR(__xludf.DUMMYFUNCTION("""COMPUTED_VALUE"""),"Red Multi-Coat")</f>
        <v>Red Multi-Coat</v>
      </c>
      <c r="P642" t="str">
        <f>IFERROR(__xludf.DUMMYFUNCTION("""COMPUTED_VALUE"""),"18 inch Aero")</f>
        <v>18 inch Aero</v>
      </c>
      <c r="Q642" t="str">
        <f>IFERROR(__xludf.DUMMYFUNCTION("""COMPUTED_VALUE"""),"White seats")</f>
        <v>White seats</v>
      </c>
      <c r="R642" t="str">
        <f>IFERROR(__xludf.DUMMYFUNCTION("""COMPUTED_VALUE"""),"Enhanced Autopilot")</f>
        <v>Enhanced Autopilot</v>
      </c>
      <c r="X642" t="str">
        <f>IFERROR(__xludf.DUMMYFUNCTION("""COMPUTED_VALUE"""),"Excellent")</f>
        <v>Excellent</v>
      </c>
      <c r="Y642" t="str">
        <f>IFERROR(__xludf.DUMMYFUNCTION("""COMPUTED_VALUE"""),"Excellent")</f>
        <v>Excellent</v>
      </c>
      <c r="Z642" t="str">
        <f>IFERROR(__xludf.DUMMYFUNCTION("""COMPUTED_VALUE"""),"Excellent")</f>
        <v>Excellent</v>
      </c>
      <c r="AA642" t="str">
        <f>IFERROR(__xludf.DUMMYFUNCTION("""COMPUTED_VALUE"""),"Good")</f>
        <v>Good</v>
      </c>
      <c r="AB642" t="str">
        <f>IFERROR(__xludf.DUMMYFUNCTION("""COMPUTED_VALUE"""),"Fair")</f>
        <v>Fair</v>
      </c>
      <c r="AC642">
        <f>IFERROR(__xludf.DUMMYFUNCTION("""COMPUTED_VALUE"""),0.0)</f>
        <v>0</v>
      </c>
      <c r="AH642" s="189">
        <f>IFERROR(__xludf.DUMMYFUNCTION("""COMPUTED_VALUE"""),43351.850813321755)</f>
        <v>43351.85081</v>
      </c>
    </row>
    <row r="643">
      <c r="A643" t="str">
        <f>IFERROR(__xludf.DUMMYFUNCTION("""COMPUTED_VALUE"""),"evpulse")</f>
        <v>evpulse</v>
      </c>
      <c r="B643" t="str">
        <f>IFERROR(__xludf.DUMMYFUNCTION("""COMPUTED_VALUE"""),"San Diego")</f>
        <v>San Diego</v>
      </c>
      <c r="C643" t="str">
        <f>IFERROR(__xludf.DUMMYFUNCTION("""COMPUTED_VALUE"""),"CA")</f>
        <v>CA</v>
      </c>
      <c r="D643" t="str">
        <f>IFERROR(__xludf.DUMMYFUNCTION("""COMPUTED_VALUE"""),"USA")</f>
        <v>USA</v>
      </c>
      <c r="E643" s="188">
        <f>IFERROR(__xludf.DUMMYFUNCTION("""COMPUTED_VALUE"""),43313.0)</f>
        <v>43313</v>
      </c>
      <c r="F643" s="188">
        <f>IFERROR(__xludf.DUMMYFUNCTION("""COMPUTED_VALUE"""),43347.0)</f>
        <v>43347</v>
      </c>
      <c r="H643">
        <f>IFERROR(__xludf.DUMMYFUNCTION("""COMPUTED_VALUE"""),73117.0)</f>
        <v>73117</v>
      </c>
      <c r="I643" t="str">
        <f>IFERROR(__xludf.DUMMYFUNCTION("""COMPUTED_VALUE"""),"08/18")</f>
        <v>08/18</v>
      </c>
      <c r="J643" s="5">
        <f>IFERROR(__xludf.DUMMYFUNCTION("""COMPUTED_VALUE"""),43351.0)</f>
        <v>43351</v>
      </c>
      <c r="K643">
        <f>IFERROR(__xludf.DUMMYFUNCTION("""COMPUTED_VALUE"""),34.0)</f>
        <v>34</v>
      </c>
      <c r="L643">
        <f>IFERROR(__xludf.DUMMYFUNCTION("""COMPUTED_VALUE"""),4.0)</f>
        <v>4</v>
      </c>
      <c r="M643">
        <f>IFERROR(__xludf.DUMMYFUNCTION("""COMPUTED_VALUE"""),38.0)</f>
        <v>38</v>
      </c>
      <c r="N643" t="str">
        <f>IFERROR(__xludf.DUMMYFUNCTION("""COMPUTED_VALUE"""),"Model 3 Performance")</f>
        <v>Model 3 Performance</v>
      </c>
      <c r="O643" t="str">
        <f>IFERROR(__xludf.DUMMYFUNCTION("""COMPUTED_VALUE"""),"Midnight Silver Metallic")</f>
        <v>Midnight Silver Metallic</v>
      </c>
      <c r="P643" t="str">
        <f>IFERROR(__xludf.DUMMYFUNCTION("""COMPUTED_VALUE"""),"20 inch Sport")</f>
        <v>20 inch Sport</v>
      </c>
      <c r="Q643" t="str">
        <f>IFERROR(__xludf.DUMMYFUNCTION("""COMPUTED_VALUE"""),"Black seats")</f>
        <v>Black seats</v>
      </c>
      <c r="R643" t="str">
        <f>IFERROR(__xludf.DUMMYFUNCTION("""COMPUTED_VALUE"""),"Full Self-Driving")</f>
        <v>Full Self-Driving</v>
      </c>
      <c r="X643" t="str">
        <f>IFERROR(__xludf.DUMMYFUNCTION("""COMPUTED_VALUE"""),"Very Good")</f>
        <v>Very Good</v>
      </c>
      <c r="Y643" t="str">
        <f>IFERROR(__xludf.DUMMYFUNCTION("""COMPUTED_VALUE"""),"Excellent")</f>
        <v>Excellent</v>
      </c>
      <c r="Z643" t="str">
        <f>IFERROR(__xludf.DUMMYFUNCTION("""COMPUTED_VALUE"""),"Excellent")</f>
        <v>Excellent</v>
      </c>
      <c r="AA643" t="str">
        <f>IFERROR(__xludf.DUMMYFUNCTION("""COMPUTED_VALUE"""),"Excellent")</f>
        <v>Excellent</v>
      </c>
      <c r="AB643" t="str">
        <f>IFERROR(__xludf.DUMMYFUNCTION("""COMPUTED_VALUE"""),"Excellent")</f>
        <v>Excellent</v>
      </c>
      <c r="AH643" s="189">
        <f>IFERROR(__xludf.DUMMYFUNCTION("""COMPUTED_VALUE"""),43351.88789327546)</f>
        <v>43351.88789</v>
      </c>
    </row>
    <row r="644">
      <c r="A644" t="str">
        <f>IFERROR(__xludf.DUMMYFUNCTION("""COMPUTED_VALUE"""),"KamChiChris")</f>
        <v>KamChiChris</v>
      </c>
      <c r="B644" t="str">
        <f>IFERROR(__xludf.DUMMYFUNCTION("""COMPUTED_VALUE"""),"Cupertino")</f>
        <v>Cupertino</v>
      </c>
      <c r="C644" t="str">
        <f>IFERROR(__xludf.DUMMYFUNCTION("""COMPUTED_VALUE"""),"CA")</f>
        <v>CA</v>
      </c>
      <c r="D644" t="str">
        <f>IFERROR(__xludf.DUMMYFUNCTION("""COMPUTED_VALUE"""),"USA")</f>
        <v>USA</v>
      </c>
      <c r="E644" s="188">
        <f>IFERROR(__xludf.DUMMYFUNCTION("""COMPUTED_VALUE"""),43306.0)</f>
        <v>43306</v>
      </c>
      <c r="F644" s="188">
        <f>IFERROR(__xludf.DUMMYFUNCTION("""COMPUTED_VALUE"""),43341.0)</f>
        <v>43341</v>
      </c>
      <c r="H644">
        <f>IFERROR(__xludf.DUMMYFUNCTION("""COMPUTED_VALUE"""),72955.0)</f>
        <v>72955</v>
      </c>
      <c r="I644" t="str">
        <f>IFERROR(__xludf.DUMMYFUNCTION("""COMPUTED_VALUE"""),"08/18")</f>
        <v>08/18</v>
      </c>
      <c r="J644" s="5">
        <f>IFERROR(__xludf.DUMMYFUNCTION("""COMPUTED_VALUE"""),43346.0)</f>
        <v>43346</v>
      </c>
      <c r="K644">
        <f>IFERROR(__xludf.DUMMYFUNCTION("""COMPUTED_VALUE"""),35.0)</f>
        <v>35</v>
      </c>
      <c r="L644">
        <f>IFERROR(__xludf.DUMMYFUNCTION("""COMPUTED_VALUE"""),5.0)</f>
        <v>5</v>
      </c>
      <c r="M644">
        <f>IFERROR(__xludf.DUMMYFUNCTION("""COMPUTED_VALUE"""),40.0)</f>
        <v>40</v>
      </c>
      <c r="N644" t="str">
        <f>IFERROR(__xludf.DUMMYFUNCTION("""COMPUTED_VALUE"""),"Model 3 Performance")</f>
        <v>Model 3 Performance</v>
      </c>
      <c r="O644" t="str">
        <f>IFERROR(__xludf.DUMMYFUNCTION("""COMPUTED_VALUE"""),"Midnight Silver Metallic")</f>
        <v>Midnight Silver Metallic</v>
      </c>
      <c r="P644" t="str">
        <f>IFERROR(__xludf.DUMMYFUNCTION("""COMPUTED_VALUE"""),"20 inch Sport")</f>
        <v>20 inch Sport</v>
      </c>
      <c r="Q644" t="str">
        <f>IFERROR(__xludf.DUMMYFUNCTION("""COMPUTED_VALUE"""),"Black seats")</f>
        <v>Black seats</v>
      </c>
      <c r="R644" t="str">
        <f>IFERROR(__xludf.DUMMYFUNCTION("""COMPUTED_VALUE"""),"Full Self-Driving")</f>
        <v>Full Self-Driving</v>
      </c>
      <c r="X644" t="str">
        <f>IFERROR(__xludf.DUMMYFUNCTION("""COMPUTED_VALUE"""),"Very Good")</f>
        <v>Very Good</v>
      </c>
      <c r="Y644" t="str">
        <f>IFERROR(__xludf.DUMMYFUNCTION("""COMPUTED_VALUE"""),"Good")</f>
        <v>Good</v>
      </c>
      <c r="Z644" t="str">
        <f>IFERROR(__xludf.DUMMYFUNCTION("""COMPUTED_VALUE"""),"Fair")</f>
        <v>Fair</v>
      </c>
      <c r="AA644" t="str">
        <f>IFERROR(__xludf.DUMMYFUNCTION("""COMPUTED_VALUE"""),"Poor")</f>
        <v>Poor</v>
      </c>
      <c r="AB644" t="str">
        <f>IFERROR(__xludf.DUMMYFUNCTION("""COMPUTED_VALUE"""),"Good")</f>
        <v>Good</v>
      </c>
      <c r="AH644" s="189">
        <f>IFERROR(__xludf.DUMMYFUNCTION("""COMPUTED_VALUE"""),43351.91869547454)</f>
        <v>43351.9187</v>
      </c>
    </row>
    <row r="645">
      <c r="A645" t="str">
        <f>IFERROR(__xludf.DUMMYFUNCTION("""COMPUTED_VALUE"""),"CalOkie")</f>
        <v>CalOkie</v>
      </c>
      <c r="B645" t="str">
        <f>IFERROR(__xludf.DUMMYFUNCTION("""COMPUTED_VALUE"""),"Los Angeles")</f>
        <v>Los Angeles</v>
      </c>
      <c r="C645" t="str">
        <f>IFERROR(__xludf.DUMMYFUNCTION("""COMPUTED_VALUE"""),"CA")</f>
        <v>CA</v>
      </c>
      <c r="D645" t="str">
        <f>IFERROR(__xludf.DUMMYFUNCTION("""COMPUTED_VALUE"""),"USA")</f>
        <v>USA</v>
      </c>
      <c r="E645" s="188">
        <f>IFERROR(__xludf.DUMMYFUNCTION("""COMPUTED_VALUE"""),43299.0)</f>
        <v>43299</v>
      </c>
      <c r="H645">
        <f>IFERROR(__xludf.DUMMYFUNCTION("""COMPUTED_VALUE"""),77275.0)</f>
        <v>77275</v>
      </c>
      <c r="J645" s="5">
        <f>IFERROR(__xludf.DUMMYFUNCTION("""COMPUTED_VALUE"""),43351.0)</f>
        <v>43351</v>
      </c>
      <c r="M645">
        <f>IFERROR(__xludf.DUMMYFUNCTION("""COMPUTED_VALUE"""),52.0)</f>
        <v>52</v>
      </c>
      <c r="N645" t="str">
        <f>IFERROR(__xludf.DUMMYFUNCTION("""COMPUTED_VALUE"""),"Model 3 LR")</f>
        <v>Model 3 LR</v>
      </c>
      <c r="O645" t="str">
        <f>IFERROR(__xludf.DUMMYFUNCTION("""COMPUTED_VALUE"""),"Silver Metallic")</f>
        <v>Silver Metallic</v>
      </c>
      <c r="P645" t="str">
        <f>IFERROR(__xludf.DUMMYFUNCTION("""COMPUTED_VALUE"""),"18 inch Aero")</f>
        <v>18 inch Aero</v>
      </c>
      <c r="Q645" t="str">
        <f>IFERROR(__xludf.DUMMYFUNCTION("""COMPUTED_VALUE"""),"Black seats")</f>
        <v>Black seats</v>
      </c>
      <c r="R645" t="str">
        <f>IFERROR(__xludf.DUMMYFUNCTION("""COMPUTED_VALUE"""),"None")</f>
        <v>None</v>
      </c>
      <c r="X645" t="str">
        <f>IFERROR(__xludf.DUMMYFUNCTION("""COMPUTED_VALUE"""),"Excellent")</f>
        <v>Excellent</v>
      </c>
      <c r="Y645" t="str">
        <f>IFERROR(__xludf.DUMMYFUNCTION("""COMPUTED_VALUE"""),"Excellent")</f>
        <v>Excellent</v>
      </c>
      <c r="Z645" t="str">
        <f>IFERROR(__xludf.DUMMYFUNCTION("""COMPUTED_VALUE"""),"Excellent")</f>
        <v>Excellent</v>
      </c>
      <c r="AA645" t="str">
        <f>IFERROR(__xludf.DUMMYFUNCTION("""COMPUTED_VALUE"""),"Excellent")</f>
        <v>Excellent</v>
      </c>
      <c r="AB645" t="str">
        <f>IFERROR(__xludf.DUMMYFUNCTION("""COMPUTED_VALUE"""),"Excellent")</f>
        <v>Excellent</v>
      </c>
      <c r="AH645" s="189">
        <f>IFERROR(__xludf.DUMMYFUNCTION("""COMPUTED_VALUE"""),43351.977111875)</f>
        <v>43351.97711</v>
      </c>
    </row>
    <row r="646">
      <c r="A646" t="str">
        <f>IFERROR(__xludf.DUMMYFUNCTION("""COMPUTED_VALUE"""),"Pneumos")</f>
        <v>Pneumos</v>
      </c>
      <c r="C646" t="str">
        <f>IFERROR(__xludf.DUMMYFUNCTION("""COMPUTED_VALUE"""),"TX")</f>
        <v>TX</v>
      </c>
      <c r="D646" t="str">
        <f>IFERROR(__xludf.DUMMYFUNCTION("""COMPUTED_VALUE"""),"USA")</f>
        <v>USA</v>
      </c>
      <c r="E646" s="188">
        <f>IFERROR(__xludf.DUMMYFUNCTION("""COMPUTED_VALUE"""),43278.0)</f>
        <v>43278</v>
      </c>
      <c r="F646" s="188">
        <f>IFERROR(__xludf.DUMMYFUNCTION("""COMPUTED_VALUE"""),43324.0)</f>
        <v>43324</v>
      </c>
      <c r="H646">
        <f>IFERROR(__xludf.DUMMYFUNCTION("""COMPUTED_VALUE"""),59239.0)</f>
        <v>59239</v>
      </c>
      <c r="J646" s="5">
        <f>IFERROR(__xludf.DUMMYFUNCTION("""COMPUTED_VALUE"""),43348.0)</f>
        <v>43348</v>
      </c>
      <c r="K646">
        <f>IFERROR(__xludf.DUMMYFUNCTION("""COMPUTED_VALUE"""),46.0)</f>
        <v>46</v>
      </c>
      <c r="L646">
        <f>IFERROR(__xludf.DUMMYFUNCTION("""COMPUTED_VALUE"""),24.0)</f>
        <v>24</v>
      </c>
      <c r="M646">
        <f>IFERROR(__xludf.DUMMYFUNCTION("""COMPUTED_VALUE"""),70.0)</f>
        <v>70</v>
      </c>
      <c r="N646" t="str">
        <f>IFERROR(__xludf.DUMMYFUNCTION("""COMPUTED_VALUE"""),"Model 3 LR")</f>
        <v>Model 3 LR</v>
      </c>
      <c r="O646" t="str">
        <f>IFERROR(__xludf.DUMMYFUNCTION("""COMPUTED_VALUE"""),"Deep Blue Metallic")</f>
        <v>Deep Blue Metallic</v>
      </c>
      <c r="P646" t="str">
        <f>IFERROR(__xludf.DUMMYFUNCTION("""COMPUTED_VALUE"""),"18 inch Aero")</f>
        <v>18 inch Aero</v>
      </c>
      <c r="Q646" t="str">
        <f>IFERROR(__xludf.DUMMYFUNCTION("""COMPUTED_VALUE"""),"Black seats")</f>
        <v>Black seats</v>
      </c>
      <c r="R646" t="str">
        <f>IFERROR(__xludf.DUMMYFUNCTION("""COMPUTED_VALUE"""),"Full Self-Driving")</f>
        <v>Full Self-Driving</v>
      </c>
      <c r="X646" t="str">
        <f>IFERROR(__xludf.DUMMYFUNCTION("""COMPUTED_VALUE"""),"Very Good")</f>
        <v>Very Good</v>
      </c>
      <c r="Y646" t="str">
        <f>IFERROR(__xludf.DUMMYFUNCTION("""COMPUTED_VALUE"""),"Very Good")</f>
        <v>Very Good</v>
      </c>
      <c r="Z646" t="str">
        <f>IFERROR(__xludf.DUMMYFUNCTION("""COMPUTED_VALUE"""),"Fair")</f>
        <v>Fair</v>
      </c>
      <c r="AA646" t="str">
        <f>IFERROR(__xludf.DUMMYFUNCTION("""COMPUTED_VALUE"""),"Poor")</f>
        <v>Poor</v>
      </c>
      <c r="AB646" t="str">
        <f>IFERROR(__xludf.DUMMYFUNCTION("""COMPUTED_VALUE"""),"Good")</f>
        <v>Good</v>
      </c>
      <c r="AC646">
        <f>IFERROR(__xludf.DUMMYFUNCTION("""COMPUTED_VALUE"""),0.0)</f>
        <v>0</v>
      </c>
      <c r="AD646">
        <f>IFERROR(__xludf.DUMMYFUNCTION("""COMPUTED_VALUE"""),0.0)</f>
        <v>0</v>
      </c>
      <c r="AE646">
        <f>IFERROR(__xludf.DUMMYFUNCTION("""COMPUTED_VALUE"""),0.0)</f>
        <v>0</v>
      </c>
      <c r="AH646" s="189">
        <f>IFERROR(__xludf.DUMMYFUNCTION("""COMPUTED_VALUE"""),43352.21785770833)</f>
        <v>43352.21786</v>
      </c>
    </row>
    <row r="647">
      <c r="A647" t="str">
        <f>IFERROR(__xludf.DUMMYFUNCTION("""COMPUTED_VALUE"""),"jrc0yne")</f>
        <v>jrc0yne</v>
      </c>
      <c r="B647" t="str">
        <f>IFERROR(__xludf.DUMMYFUNCTION("""COMPUTED_VALUE"""),"Jacksonville, FL")</f>
        <v>Jacksonville, FL</v>
      </c>
      <c r="C647" t="str">
        <f>IFERROR(__xludf.DUMMYFUNCTION("""COMPUTED_VALUE"""),"FL")</f>
        <v>FL</v>
      </c>
      <c r="D647" t="str">
        <f>IFERROR(__xludf.DUMMYFUNCTION("""COMPUTED_VALUE"""),"USA")</f>
        <v>USA</v>
      </c>
      <c r="E647" s="188">
        <f>IFERROR(__xludf.DUMMYFUNCTION("""COMPUTED_VALUE"""),43280.0)</f>
        <v>43280</v>
      </c>
      <c r="F647" s="188">
        <f>IFERROR(__xludf.DUMMYFUNCTION("""COMPUTED_VALUE"""),43327.0)</f>
        <v>43327</v>
      </c>
      <c r="H647">
        <f>IFERROR(__xludf.DUMMYFUNCTION("""COMPUTED_VALUE"""),68255.0)</f>
        <v>68255</v>
      </c>
      <c r="I647" t="str">
        <f>IFERROR(__xludf.DUMMYFUNCTION("""COMPUTED_VALUE"""),"08/18")</f>
        <v>08/18</v>
      </c>
      <c r="J647" s="5">
        <f>IFERROR(__xludf.DUMMYFUNCTION("""COMPUTED_VALUE"""),43351.0)</f>
        <v>43351</v>
      </c>
      <c r="K647">
        <f>IFERROR(__xludf.DUMMYFUNCTION("""COMPUTED_VALUE"""),47.0)</f>
        <v>47</v>
      </c>
      <c r="L647">
        <f>IFERROR(__xludf.DUMMYFUNCTION("""COMPUTED_VALUE"""),24.0)</f>
        <v>24</v>
      </c>
      <c r="M647">
        <f>IFERROR(__xludf.DUMMYFUNCTION("""COMPUTED_VALUE"""),71.0)</f>
        <v>71</v>
      </c>
      <c r="N647" t="str">
        <f>IFERROR(__xludf.DUMMYFUNCTION("""COMPUTED_VALUE"""),"Model 3 LR AWD")</f>
        <v>Model 3 LR AWD</v>
      </c>
      <c r="O647" t="str">
        <f>IFERROR(__xludf.DUMMYFUNCTION("""COMPUTED_VALUE"""),"Solid Black")</f>
        <v>Solid Black</v>
      </c>
      <c r="P647" t="str">
        <f>IFERROR(__xludf.DUMMYFUNCTION("""COMPUTED_VALUE"""),"18 inch Aero")</f>
        <v>18 inch Aero</v>
      </c>
      <c r="Q647" t="str">
        <f>IFERROR(__xludf.DUMMYFUNCTION("""COMPUTED_VALUE"""),"Black seats")</f>
        <v>Black seats</v>
      </c>
      <c r="R647" t="str">
        <f>IFERROR(__xludf.DUMMYFUNCTION("""COMPUTED_VALUE"""),"Enhanced Autopilot")</f>
        <v>Enhanced Autopilot</v>
      </c>
      <c r="X647" t="str">
        <f>IFERROR(__xludf.DUMMYFUNCTION("""COMPUTED_VALUE"""),"Excellent")</f>
        <v>Excellent</v>
      </c>
      <c r="Y647" t="str">
        <f>IFERROR(__xludf.DUMMYFUNCTION("""COMPUTED_VALUE"""),"Excellent")</f>
        <v>Excellent</v>
      </c>
      <c r="Z647" t="str">
        <f>IFERROR(__xludf.DUMMYFUNCTION("""COMPUTED_VALUE"""),"Very Good")</f>
        <v>Very Good</v>
      </c>
      <c r="AA647" t="str">
        <f>IFERROR(__xludf.DUMMYFUNCTION("""COMPUTED_VALUE"""),"Fair")</f>
        <v>Fair</v>
      </c>
      <c r="AB647" t="str">
        <f>IFERROR(__xludf.DUMMYFUNCTION("""COMPUTED_VALUE"""),"Good")</f>
        <v>Good</v>
      </c>
      <c r="AC647">
        <f>IFERROR(__xludf.DUMMYFUNCTION("""COMPUTED_VALUE"""),3.0)</f>
        <v>3</v>
      </c>
      <c r="AH647" s="189">
        <f>IFERROR(__xludf.DUMMYFUNCTION("""COMPUTED_VALUE"""),43352.30491574074)</f>
        <v>43352.30492</v>
      </c>
    </row>
    <row r="648">
      <c r="A648" t="str">
        <f>IFERROR(__xludf.DUMMYFUNCTION("""COMPUTED_VALUE"""),"quantumslip")</f>
        <v>quantumslip</v>
      </c>
      <c r="B648" t="str">
        <f>IFERROR(__xludf.DUMMYFUNCTION("""COMPUTED_VALUE"""),"Houston")</f>
        <v>Houston</v>
      </c>
      <c r="C648" t="str">
        <f>IFERROR(__xludf.DUMMYFUNCTION("""COMPUTED_VALUE"""),"TX")</f>
        <v>TX</v>
      </c>
      <c r="D648" t="str">
        <f>IFERROR(__xludf.DUMMYFUNCTION("""COMPUTED_VALUE"""),"USA")</f>
        <v>USA</v>
      </c>
      <c r="E648" s="188">
        <f>IFERROR(__xludf.DUMMYFUNCTION("""COMPUTED_VALUE"""),43243.0)</f>
        <v>43243</v>
      </c>
      <c r="F648" s="188">
        <f>IFERROR(__xludf.DUMMYFUNCTION("""COMPUTED_VALUE"""),43328.0)</f>
        <v>43328</v>
      </c>
      <c r="H648">
        <f>IFERROR(__xludf.DUMMYFUNCTION("""COMPUTED_VALUE"""),64555.0)</f>
        <v>64555</v>
      </c>
      <c r="I648" t="str">
        <f>IFERROR(__xludf.DUMMYFUNCTION("""COMPUTED_VALUE"""),"08/18")</f>
        <v>08/18</v>
      </c>
      <c r="J648" s="5">
        <f>IFERROR(__xludf.DUMMYFUNCTION("""COMPUTED_VALUE"""),43340.0)</f>
        <v>43340</v>
      </c>
      <c r="K648">
        <f>IFERROR(__xludf.DUMMYFUNCTION("""COMPUTED_VALUE"""),85.0)</f>
        <v>85</v>
      </c>
      <c r="L648">
        <f>IFERROR(__xludf.DUMMYFUNCTION("""COMPUTED_VALUE"""),12.0)</f>
        <v>12</v>
      </c>
      <c r="M648">
        <f>IFERROR(__xludf.DUMMYFUNCTION("""COMPUTED_VALUE"""),97.0)</f>
        <v>97</v>
      </c>
      <c r="N648" t="str">
        <f>IFERROR(__xludf.DUMMYFUNCTION("""COMPUTED_VALUE"""),"Model 3 LR AWD")</f>
        <v>Model 3 LR AWD</v>
      </c>
      <c r="O648" t="str">
        <f>IFERROR(__xludf.DUMMYFUNCTION("""COMPUTED_VALUE"""),"Deep Blue Metallic")</f>
        <v>Deep Blue Metallic</v>
      </c>
      <c r="P648" t="str">
        <f>IFERROR(__xludf.DUMMYFUNCTION("""COMPUTED_VALUE"""),"18 inch Aero")</f>
        <v>18 inch Aero</v>
      </c>
      <c r="Q648" t="str">
        <f>IFERROR(__xludf.DUMMYFUNCTION("""COMPUTED_VALUE"""),"Black seats")</f>
        <v>Black seats</v>
      </c>
      <c r="R648" t="str">
        <f>IFERROR(__xludf.DUMMYFUNCTION("""COMPUTED_VALUE"""),"Full Self-Driving")</f>
        <v>Full Self-Driving</v>
      </c>
      <c r="X648" t="str">
        <f>IFERROR(__xludf.DUMMYFUNCTION("""COMPUTED_VALUE"""),"Excellent")</f>
        <v>Excellent</v>
      </c>
      <c r="Y648" t="str">
        <f>IFERROR(__xludf.DUMMYFUNCTION("""COMPUTED_VALUE"""),"Excellent")</f>
        <v>Excellent</v>
      </c>
      <c r="Z648" t="str">
        <f>IFERROR(__xludf.DUMMYFUNCTION("""COMPUTED_VALUE"""),"Excellent")</f>
        <v>Excellent</v>
      </c>
      <c r="AA648" t="str">
        <f>IFERROR(__xludf.DUMMYFUNCTION("""COMPUTED_VALUE"""),"Excellent")</f>
        <v>Excellent</v>
      </c>
      <c r="AB648" t="str">
        <f>IFERROR(__xludf.DUMMYFUNCTION("""COMPUTED_VALUE"""),"Good")</f>
        <v>Good</v>
      </c>
      <c r="AH648" s="189">
        <f>IFERROR(__xludf.DUMMYFUNCTION("""COMPUTED_VALUE"""),43352.638421875)</f>
        <v>43352.63842</v>
      </c>
    </row>
    <row r="649">
      <c r="A649" t="str">
        <f>IFERROR(__xludf.DUMMYFUNCTION("""COMPUTED_VALUE"""),"xOrionx")</f>
        <v>xOrionx</v>
      </c>
      <c r="B649" t="str">
        <f>IFERROR(__xludf.DUMMYFUNCTION("""COMPUTED_VALUE"""),"Melbourne")</f>
        <v>Melbourne</v>
      </c>
      <c r="C649" t="str">
        <f>IFERROR(__xludf.DUMMYFUNCTION("""COMPUTED_VALUE"""),"FL")</f>
        <v>FL</v>
      </c>
      <c r="D649" t="str">
        <f>IFERROR(__xludf.DUMMYFUNCTION("""COMPUTED_VALUE"""),"USA")</f>
        <v>USA</v>
      </c>
      <c r="E649" s="188">
        <f>IFERROR(__xludf.DUMMYFUNCTION("""COMPUTED_VALUE"""),43279.0)</f>
        <v>43279</v>
      </c>
      <c r="F649" s="188">
        <f>IFERROR(__xludf.DUMMYFUNCTION("""COMPUTED_VALUE"""),43337.0)</f>
        <v>43337</v>
      </c>
      <c r="H649">
        <f>IFERROR(__xludf.DUMMYFUNCTION("""COMPUTED_VALUE"""),67055.0)</f>
        <v>67055</v>
      </c>
      <c r="I649" t="str">
        <f>IFERROR(__xludf.DUMMYFUNCTION("""COMPUTED_VALUE"""),"08/18")</f>
        <v>08/18</v>
      </c>
      <c r="J649" s="5">
        <f>IFERROR(__xludf.DUMMYFUNCTION("""COMPUTED_VALUE"""),43350.0)</f>
        <v>43350</v>
      </c>
      <c r="K649">
        <f>IFERROR(__xludf.DUMMYFUNCTION("""COMPUTED_VALUE"""),58.0)</f>
        <v>58</v>
      </c>
      <c r="L649">
        <f>IFERROR(__xludf.DUMMYFUNCTION("""COMPUTED_VALUE"""),13.0)</f>
        <v>13</v>
      </c>
      <c r="M649">
        <f>IFERROR(__xludf.DUMMYFUNCTION("""COMPUTED_VALUE"""),71.0)</f>
        <v>71</v>
      </c>
      <c r="N649" t="str">
        <f>IFERROR(__xludf.DUMMYFUNCTION("""COMPUTED_VALUE"""),"Model 3 LR AWD")</f>
        <v>Model 3 LR AWD</v>
      </c>
      <c r="O649" t="str">
        <f>IFERROR(__xludf.DUMMYFUNCTION("""COMPUTED_VALUE"""),"Pearl White Multi-Coat")</f>
        <v>Pearl White Multi-Coat</v>
      </c>
      <c r="P649" t="str">
        <f>IFERROR(__xludf.DUMMYFUNCTION("""COMPUTED_VALUE"""),"18 inch Aero")</f>
        <v>18 inch Aero</v>
      </c>
      <c r="Q649" t="str">
        <f>IFERROR(__xludf.DUMMYFUNCTION("""COMPUTED_VALUE"""),"Black seats")</f>
        <v>Black seats</v>
      </c>
      <c r="R649" t="str">
        <f>IFERROR(__xludf.DUMMYFUNCTION("""COMPUTED_VALUE"""),"Enhanced Autopilot")</f>
        <v>Enhanced Autopilot</v>
      </c>
      <c r="X649" t="str">
        <f>IFERROR(__xludf.DUMMYFUNCTION("""COMPUTED_VALUE"""),"Excellent")</f>
        <v>Excellent</v>
      </c>
      <c r="Y649" t="str">
        <f>IFERROR(__xludf.DUMMYFUNCTION("""COMPUTED_VALUE"""),"Excellent")</f>
        <v>Excellent</v>
      </c>
      <c r="Z649" t="str">
        <f>IFERROR(__xludf.DUMMYFUNCTION("""COMPUTED_VALUE"""),"Excellent")</f>
        <v>Excellent</v>
      </c>
      <c r="AA649" t="str">
        <f>IFERROR(__xludf.DUMMYFUNCTION("""COMPUTED_VALUE"""),"Excellent")</f>
        <v>Excellent</v>
      </c>
      <c r="AB649" t="str">
        <f>IFERROR(__xludf.DUMMYFUNCTION("""COMPUTED_VALUE"""),"Very Good")</f>
        <v>Very Good</v>
      </c>
      <c r="AC649">
        <f>IFERROR(__xludf.DUMMYFUNCTION("""COMPUTED_VALUE"""),0.0)</f>
        <v>0</v>
      </c>
      <c r="AH649" s="189">
        <f>IFERROR(__xludf.DUMMYFUNCTION("""COMPUTED_VALUE"""),43352.79818917824)</f>
        <v>43352.79819</v>
      </c>
    </row>
    <row r="650">
      <c r="A650" t="str">
        <f>IFERROR(__xludf.DUMMYFUNCTION("""COMPUTED_VALUE"""),"smartwaterer")</f>
        <v>smartwaterer</v>
      </c>
      <c r="B650" t="str">
        <f>IFERROR(__xludf.DUMMYFUNCTION("""COMPUTED_VALUE"""),"Norfolk")</f>
        <v>Norfolk</v>
      </c>
      <c r="C650" t="str">
        <f>IFERROR(__xludf.DUMMYFUNCTION("""COMPUTED_VALUE"""),"VA")</f>
        <v>VA</v>
      </c>
      <c r="D650" t="str">
        <f>IFERROR(__xludf.DUMMYFUNCTION("""COMPUTED_VALUE"""),"USA")</f>
        <v>USA</v>
      </c>
      <c r="E650" s="188">
        <f>IFERROR(__xludf.DUMMYFUNCTION("""COMPUTED_VALUE"""),43298.0)</f>
        <v>43298</v>
      </c>
      <c r="F650" s="188">
        <f>IFERROR(__xludf.DUMMYFUNCTION("""COMPUTED_VALUE"""),43339.0)</f>
        <v>43339</v>
      </c>
      <c r="H650">
        <f>IFERROR(__xludf.DUMMYFUNCTION("""COMPUTED_VALUE"""),66755.0)</f>
        <v>66755</v>
      </c>
      <c r="J650" s="5">
        <f>IFERROR(__xludf.DUMMYFUNCTION("""COMPUTED_VALUE"""),43349.0)</f>
        <v>43349</v>
      </c>
      <c r="K650">
        <f>IFERROR(__xludf.DUMMYFUNCTION("""COMPUTED_VALUE"""),41.0)</f>
        <v>41</v>
      </c>
      <c r="L650">
        <f>IFERROR(__xludf.DUMMYFUNCTION("""COMPUTED_VALUE"""),10.0)</f>
        <v>10</v>
      </c>
      <c r="M650">
        <f>IFERROR(__xludf.DUMMYFUNCTION("""COMPUTED_VALUE"""),51.0)</f>
        <v>51</v>
      </c>
      <c r="N650" t="str">
        <f>IFERROR(__xludf.DUMMYFUNCTION("""COMPUTED_VALUE"""),"Model 3 LR AWD")</f>
        <v>Model 3 LR AWD</v>
      </c>
      <c r="O650" t="str">
        <f>IFERROR(__xludf.DUMMYFUNCTION("""COMPUTED_VALUE"""),"Pearl White Multi-Coat")</f>
        <v>Pearl White Multi-Coat</v>
      </c>
      <c r="P650" t="str">
        <f>IFERROR(__xludf.DUMMYFUNCTION("""COMPUTED_VALUE"""),"18 inch Aero")</f>
        <v>18 inch Aero</v>
      </c>
      <c r="Q650" t="str">
        <f>IFERROR(__xludf.DUMMYFUNCTION("""COMPUTED_VALUE"""),"Black seats")</f>
        <v>Black seats</v>
      </c>
      <c r="R650" t="str">
        <f>IFERROR(__xludf.DUMMYFUNCTION("""COMPUTED_VALUE"""),"Enhanced Autopilot")</f>
        <v>Enhanced Autopilot</v>
      </c>
      <c r="X650" t="str">
        <f>IFERROR(__xludf.DUMMYFUNCTION("""COMPUTED_VALUE"""),"Excellent")</f>
        <v>Excellent</v>
      </c>
      <c r="Y650" t="str">
        <f>IFERROR(__xludf.DUMMYFUNCTION("""COMPUTED_VALUE"""),"Excellent")</f>
        <v>Excellent</v>
      </c>
      <c r="Z650" t="str">
        <f>IFERROR(__xludf.DUMMYFUNCTION("""COMPUTED_VALUE"""),"Very Good")</f>
        <v>Very Good</v>
      </c>
      <c r="AA650" t="str">
        <f>IFERROR(__xludf.DUMMYFUNCTION("""COMPUTED_VALUE"""),"Excellent")</f>
        <v>Excellent</v>
      </c>
      <c r="AB650" t="str">
        <f>IFERROR(__xludf.DUMMYFUNCTION("""COMPUTED_VALUE"""),"Very Good")</f>
        <v>Very Good</v>
      </c>
      <c r="AC650">
        <f>IFERROR(__xludf.DUMMYFUNCTION("""COMPUTED_VALUE"""),2.0)</f>
        <v>2</v>
      </c>
      <c r="AH650" s="189">
        <f>IFERROR(__xludf.DUMMYFUNCTION("""COMPUTED_VALUE"""),43352.816354571754)</f>
        <v>43352.81635</v>
      </c>
    </row>
    <row r="651">
      <c r="A651" t="str">
        <f>IFERROR(__xludf.DUMMYFUNCTION("""COMPUTED_VALUE"""),"KeithF1138")</f>
        <v>KeithF1138</v>
      </c>
      <c r="B651" t="str">
        <f>IFERROR(__xludf.DUMMYFUNCTION("""COMPUTED_VALUE"""),"Lemont")</f>
        <v>Lemont</v>
      </c>
      <c r="C651" t="str">
        <f>IFERROR(__xludf.DUMMYFUNCTION("""COMPUTED_VALUE"""),"IL")</f>
        <v>IL</v>
      </c>
      <c r="D651" t="str">
        <f>IFERROR(__xludf.DUMMYFUNCTION("""COMPUTED_VALUE"""),"USA")</f>
        <v>USA</v>
      </c>
      <c r="E651" s="188">
        <f>IFERROR(__xludf.DUMMYFUNCTION("""COMPUTED_VALUE"""),43282.0)</f>
        <v>43282</v>
      </c>
      <c r="F651" s="188">
        <f>IFERROR(__xludf.DUMMYFUNCTION("""COMPUTED_VALUE"""),43325.0)</f>
        <v>43325</v>
      </c>
      <c r="H651" s="4">
        <f>IFERROR(__xludf.DUMMYFUNCTION("""COMPUTED_VALUE"""),63628.0)</f>
        <v>63628</v>
      </c>
      <c r="J651" s="5">
        <f>IFERROR(__xludf.DUMMYFUNCTION("""COMPUTED_VALUE"""),43350.0)</f>
        <v>43350</v>
      </c>
      <c r="K651">
        <f>IFERROR(__xludf.DUMMYFUNCTION("""COMPUTED_VALUE"""),43.0)</f>
        <v>43</v>
      </c>
      <c r="L651">
        <f>IFERROR(__xludf.DUMMYFUNCTION("""COMPUTED_VALUE"""),25.0)</f>
        <v>25</v>
      </c>
      <c r="M651">
        <f>IFERROR(__xludf.DUMMYFUNCTION("""COMPUTED_VALUE"""),68.0)</f>
        <v>68</v>
      </c>
      <c r="N651" t="str">
        <f>IFERROR(__xludf.DUMMYFUNCTION("""COMPUTED_VALUE"""),"Model 3 LR AWD")</f>
        <v>Model 3 LR AWD</v>
      </c>
      <c r="O651" t="str">
        <f>IFERROR(__xludf.DUMMYFUNCTION("""COMPUTED_VALUE"""),"Deep Blue Metallic")</f>
        <v>Deep Blue Metallic</v>
      </c>
      <c r="P651" t="str">
        <f>IFERROR(__xludf.DUMMYFUNCTION("""COMPUTED_VALUE"""),"19 inch Sport")</f>
        <v>19 inch Sport</v>
      </c>
      <c r="Q651" t="str">
        <f>IFERROR(__xludf.DUMMYFUNCTION("""COMPUTED_VALUE"""),"Black seats")</f>
        <v>Black seats</v>
      </c>
      <c r="R651" t="str">
        <f>IFERROR(__xludf.DUMMYFUNCTION("""COMPUTED_VALUE"""),"Enhanced Autopilot")</f>
        <v>Enhanced Autopilot</v>
      </c>
      <c r="X651" t="str">
        <f>IFERROR(__xludf.DUMMYFUNCTION("""COMPUTED_VALUE"""),"Excellent")</f>
        <v>Excellent</v>
      </c>
      <c r="Y651" t="str">
        <f>IFERROR(__xludf.DUMMYFUNCTION("""COMPUTED_VALUE"""),"Excellent")</f>
        <v>Excellent</v>
      </c>
      <c r="Z651" t="str">
        <f>IFERROR(__xludf.DUMMYFUNCTION("""COMPUTED_VALUE"""),"Very Good")</f>
        <v>Very Good</v>
      </c>
      <c r="AA651" t="str">
        <f>IFERROR(__xludf.DUMMYFUNCTION("""COMPUTED_VALUE"""),"Fair")</f>
        <v>Fair</v>
      </c>
      <c r="AB651" t="str">
        <f>IFERROR(__xludf.DUMMYFUNCTION("""COMPUTED_VALUE"""),"Good")</f>
        <v>Good</v>
      </c>
      <c r="AH651" s="189">
        <f>IFERROR(__xludf.DUMMYFUNCTION("""COMPUTED_VALUE"""),43353.23293265046)</f>
        <v>43353.23293</v>
      </c>
    </row>
    <row r="652">
      <c r="A652" t="str">
        <f>IFERROR(__xludf.DUMMYFUNCTION("""COMPUTED_VALUE"""),"sberna2")</f>
        <v>sberna2</v>
      </c>
      <c r="B652" t="str">
        <f>IFERROR(__xludf.DUMMYFUNCTION("""COMPUTED_VALUE"""),"Alexandria")</f>
        <v>Alexandria</v>
      </c>
      <c r="C652" t="str">
        <f>IFERROR(__xludf.DUMMYFUNCTION("""COMPUTED_VALUE"""),"VA")</f>
        <v>VA</v>
      </c>
      <c r="D652" t="str">
        <f>IFERROR(__xludf.DUMMYFUNCTION("""COMPUTED_VALUE"""),"USA")</f>
        <v>USA</v>
      </c>
      <c r="E652" s="188">
        <f>IFERROR(__xludf.DUMMYFUNCTION("""COMPUTED_VALUE"""),43278.0)</f>
        <v>43278</v>
      </c>
      <c r="F652" s="188">
        <f>IFERROR(__xludf.DUMMYFUNCTION("""COMPUTED_VALUE"""),43341.0)</f>
        <v>43341</v>
      </c>
      <c r="H652">
        <f>IFERROR(__xludf.DUMMYFUNCTION("""COMPUTED_VALUE"""),72060.0)</f>
        <v>72060</v>
      </c>
      <c r="I652" t="str">
        <f>IFERROR(__xludf.DUMMYFUNCTION("""COMPUTED_VALUE"""),"08/18")</f>
        <v>08/18</v>
      </c>
      <c r="J652" s="5">
        <f>IFERROR(__xludf.DUMMYFUNCTION("""COMPUTED_VALUE"""),43349.0)</f>
        <v>43349</v>
      </c>
      <c r="K652">
        <f>IFERROR(__xludf.DUMMYFUNCTION("""COMPUTED_VALUE"""),63.0)</f>
        <v>63</v>
      </c>
      <c r="L652">
        <f>IFERROR(__xludf.DUMMYFUNCTION("""COMPUTED_VALUE"""),8.0)</f>
        <v>8</v>
      </c>
      <c r="M652">
        <f>IFERROR(__xludf.DUMMYFUNCTION("""COMPUTED_VALUE"""),71.0)</f>
        <v>71</v>
      </c>
      <c r="N652" t="str">
        <f>IFERROR(__xludf.DUMMYFUNCTION("""COMPUTED_VALUE"""),"Model 3 Performance")</f>
        <v>Model 3 Performance</v>
      </c>
      <c r="O652" t="str">
        <f>IFERROR(__xludf.DUMMYFUNCTION("""COMPUTED_VALUE"""),"Silver Metallic")</f>
        <v>Silver Metallic</v>
      </c>
      <c r="P652" t="str">
        <f>IFERROR(__xludf.DUMMYFUNCTION("""COMPUTED_VALUE"""),"20 inch Sport")</f>
        <v>20 inch Sport</v>
      </c>
      <c r="Q652" t="str">
        <f>IFERROR(__xludf.DUMMYFUNCTION("""COMPUTED_VALUE"""),"Black seats")</f>
        <v>Black seats</v>
      </c>
      <c r="R652" t="str">
        <f>IFERROR(__xludf.DUMMYFUNCTION("""COMPUTED_VALUE"""),"Enhanced Autopilot")</f>
        <v>Enhanced Autopilot</v>
      </c>
      <c r="X652" t="str">
        <f>IFERROR(__xludf.DUMMYFUNCTION("""COMPUTED_VALUE"""),"Excellent")</f>
        <v>Excellent</v>
      </c>
      <c r="Y652" t="str">
        <f>IFERROR(__xludf.DUMMYFUNCTION("""COMPUTED_VALUE"""),"Excellent")</f>
        <v>Excellent</v>
      </c>
      <c r="Z652" t="str">
        <f>IFERROR(__xludf.DUMMYFUNCTION("""COMPUTED_VALUE"""),"Excellent")</f>
        <v>Excellent</v>
      </c>
      <c r="AA652" t="str">
        <f>IFERROR(__xludf.DUMMYFUNCTION("""COMPUTED_VALUE"""),"Fair")</f>
        <v>Fair</v>
      </c>
      <c r="AB652" t="str">
        <f>IFERROR(__xludf.DUMMYFUNCTION("""COMPUTED_VALUE"""),"Good")</f>
        <v>Good</v>
      </c>
      <c r="AH652" s="189">
        <f>IFERROR(__xludf.DUMMYFUNCTION("""COMPUTED_VALUE"""),43353.25272689815)</f>
        <v>43353.25273</v>
      </c>
    </row>
    <row r="653">
      <c r="A653" t="str">
        <f>IFERROR(__xludf.DUMMYFUNCTION("""COMPUTED_VALUE"""),"ffwdtime")</f>
        <v>ffwdtime</v>
      </c>
      <c r="B653" t="str">
        <f>IFERROR(__xludf.DUMMYFUNCTION("""COMPUTED_VALUE"""),"Portland")</f>
        <v>Portland</v>
      </c>
      <c r="C653" t="str">
        <f>IFERROR(__xludf.DUMMYFUNCTION("""COMPUTED_VALUE"""),"OR")</f>
        <v>OR</v>
      </c>
      <c r="D653" t="str">
        <f>IFERROR(__xludf.DUMMYFUNCTION("""COMPUTED_VALUE"""),"USA")</f>
        <v>USA</v>
      </c>
      <c r="E653" s="188">
        <f>IFERROR(__xludf.DUMMYFUNCTION("""COMPUTED_VALUE"""),43333.0)</f>
        <v>43333</v>
      </c>
      <c r="F653" s="188">
        <f>IFERROR(__xludf.DUMMYFUNCTION("""COMPUTED_VALUE"""),43344.0)</f>
        <v>43344</v>
      </c>
      <c r="H653">
        <f>IFERROR(__xludf.DUMMYFUNCTION("""COMPUTED_VALUE"""),59155.0)</f>
        <v>59155</v>
      </c>
      <c r="I653" t="str">
        <f>IFERROR(__xludf.DUMMYFUNCTION("""COMPUTED_VALUE"""),"07/18")</f>
        <v>07/18</v>
      </c>
      <c r="J653" s="5">
        <f>IFERROR(__xludf.DUMMYFUNCTION("""COMPUTED_VALUE"""),43350.0)</f>
        <v>43350</v>
      </c>
      <c r="K653">
        <f>IFERROR(__xludf.DUMMYFUNCTION("""COMPUTED_VALUE"""),11.0)</f>
        <v>11</v>
      </c>
      <c r="L653">
        <f>IFERROR(__xludf.DUMMYFUNCTION("""COMPUTED_VALUE"""),6.0)</f>
        <v>6</v>
      </c>
      <c r="M653">
        <f>IFERROR(__xludf.DUMMYFUNCTION("""COMPUTED_VALUE"""),17.0)</f>
        <v>17</v>
      </c>
      <c r="N653" t="str">
        <f>IFERROR(__xludf.DUMMYFUNCTION("""COMPUTED_VALUE"""),"Model 3 LR")</f>
        <v>Model 3 LR</v>
      </c>
      <c r="O653" t="str">
        <f>IFERROR(__xludf.DUMMYFUNCTION("""COMPUTED_VALUE"""),"Midnight Silver Metallic")</f>
        <v>Midnight Silver Metallic</v>
      </c>
      <c r="P653" t="str">
        <f>IFERROR(__xludf.DUMMYFUNCTION("""COMPUTED_VALUE"""),"18 inch Aero")</f>
        <v>18 inch Aero</v>
      </c>
      <c r="Q653" t="str">
        <f>IFERROR(__xludf.DUMMYFUNCTION("""COMPUTED_VALUE"""),"Black seats")</f>
        <v>Black seats</v>
      </c>
      <c r="R653" t="str">
        <f>IFERROR(__xludf.DUMMYFUNCTION("""COMPUTED_VALUE"""),"None")</f>
        <v>None</v>
      </c>
      <c r="X653" t="str">
        <f>IFERROR(__xludf.DUMMYFUNCTION("""COMPUTED_VALUE"""),"Excellent")</f>
        <v>Excellent</v>
      </c>
      <c r="Y653" t="str">
        <f>IFERROR(__xludf.DUMMYFUNCTION("""COMPUTED_VALUE"""),"Excellent")</f>
        <v>Excellent</v>
      </c>
      <c r="Z653" t="str">
        <f>IFERROR(__xludf.DUMMYFUNCTION("""COMPUTED_VALUE"""),"Excellent")</f>
        <v>Excellent</v>
      </c>
      <c r="AA653" t="str">
        <f>IFERROR(__xludf.DUMMYFUNCTION("""COMPUTED_VALUE"""),"Excellent")</f>
        <v>Excellent</v>
      </c>
      <c r="AB653" t="str">
        <f>IFERROR(__xludf.DUMMYFUNCTION("""COMPUTED_VALUE"""),"Excellent")</f>
        <v>Excellent</v>
      </c>
      <c r="AH653" s="189">
        <f>IFERROR(__xludf.DUMMYFUNCTION("""COMPUTED_VALUE"""),43353.262327951394)</f>
        <v>43353.26233</v>
      </c>
    </row>
    <row r="654">
      <c r="A654" t="str">
        <f>IFERROR(__xludf.DUMMYFUNCTION("""COMPUTED_VALUE"""),"loki")</f>
        <v>loki</v>
      </c>
      <c r="C654" t="str">
        <f>IFERROR(__xludf.DUMMYFUNCTION("""COMPUTED_VALUE"""),"CA")</f>
        <v>CA</v>
      </c>
      <c r="D654" t="str">
        <f>IFERROR(__xludf.DUMMYFUNCTION("""COMPUTED_VALUE"""),"USA")</f>
        <v>USA</v>
      </c>
      <c r="E654" s="188">
        <f>IFERROR(__xludf.DUMMYFUNCTION("""COMPUTED_VALUE"""),43278.0)</f>
        <v>43278</v>
      </c>
      <c r="F654" s="188">
        <f>IFERROR(__xludf.DUMMYFUNCTION("""COMPUTED_VALUE"""),43351.0)</f>
        <v>43351</v>
      </c>
      <c r="J654" s="5">
        <f>IFERROR(__xludf.DUMMYFUNCTION("""COMPUTED_VALUE"""),43351.0)</f>
        <v>43351</v>
      </c>
      <c r="K654">
        <f>IFERROR(__xludf.DUMMYFUNCTION("""COMPUTED_VALUE"""),73.0)</f>
        <v>73</v>
      </c>
      <c r="L654">
        <f>IFERROR(__xludf.DUMMYFUNCTION("""COMPUTED_VALUE"""),0.0)</f>
        <v>0</v>
      </c>
      <c r="M654">
        <f>IFERROR(__xludf.DUMMYFUNCTION("""COMPUTED_VALUE"""),73.0)</f>
        <v>73</v>
      </c>
      <c r="N654" t="str">
        <f>IFERROR(__xludf.DUMMYFUNCTION("""COMPUTED_VALUE"""),"Model 3 LR AWD")</f>
        <v>Model 3 LR AWD</v>
      </c>
      <c r="O654" t="str">
        <f>IFERROR(__xludf.DUMMYFUNCTION("""COMPUTED_VALUE"""),"Midnight Silver Metallic")</f>
        <v>Midnight Silver Metallic</v>
      </c>
      <c r="P654" t="str">
        <f>IFERROR(__xludf.DUMMYFUNCTION("""COMPUTED_VALUE"""),"19 inch Sport")</f>
        <v>19 inch Sport</v>
      </c>
      <c r="Q654" t="str">
        <f>IFERROR(__xludf.DUMMYFUNCTION("""COMPUTED_VALUE"""),"White seats")</f>
        <v>White seats</v>
      </c>
      <c r="R654" t="str">
        <f>IFERROR(__xludf.DUMMYFUNCTION("""COMPUTED_VALUE"""),"Enhanced Autopilot")</f>
        <v>Enhanced Autopilot</v>
      </c>
      <c r="X654" t="str">
        <f>IFERROR(__xludf.DUMMYFUNCTION("""COMPUTED_VALUE"""),"Excellent")</f>
        <v>Excellent</v>
      </c>
      <c r="Y654" t="str">
        <f>IFERROR(__xludf.DUMMYFUNCTION("""COMPUTED_VALUE"""),"Excellent")</f>
        <v>Excellent</v>
      </c>
      <c r="Z654" t="str">
        <f>IFERROR(__xludf.DUMMYFUNCTION("""COMPUTED_VALUE"""),"Excellent")</f>
        <v>Excellent</v>
      </c>
      <c r="AA654" t="str">
        <f>IFERROR(__xludf.DUMMYFUNCTION("""COMPUTED_VALUE"""),"Fair")</f>
        <v>Fair</v>
      </c>
      <c r="AB654" t="str">
        <f>IFERROR(__xludf.DUMMYFUNCTION("""COMPUTED_VALUE"""),"Very Good")</f>
        <v>Very Good</v>
      </c>
      <c r="AH654" s="189">
        <f>IFERROR(__xludf.DUMMYFUNCTION("""COMPUTED_VALUE"""),43353.290549930556)</f>
        <v>43353.29055</v>
      </c>
    </row>
    <row r="655">
      <c r="A655" t="str">
        <f>IFERROR(__xludf.DUMMYFUNCTION("""COMPUTED_VALUE"""),"Svetlin")</f>
        <v>Svetlin</v>
      </c>
      <c r="B655" t="str">
        <f>IFERROR(__xludf.DUMMYFUNCTION("""COMPUTED_VALUE"""),"Boston")</f>
        <v>Boston</v>
      </c>
      <c r="C655" t="str">
        <f>IFERROR(__xludf.DUMMYFUNCTION("""COMPUTED_VALUE"""),"MA")</f>
        <v>MA</v>
      </c>
      <c r="D655" t="str">
        <f>IFERROR(__xludf.DUMMYFUNCTION("""COMPUTED_VALUE"""),"USA")</f>
        <v>USA</v>
      </c>
      <c r="E655" s="188">
        <f>IFERROR(__xludf.DUMMYFUNCTION("""COMPUTED_VALUE"""),43281.0)</f>
        <v>43281</v>
      </c>
      <c r="F655" s="188">
        <f>IFERROR(__xludf.DUMMYFUNCTION("""COMPUTED_VALUE"""),43339.0)</f>
        <v>43339</v>
      </c>
      <c r="H655">
        <f>IFERROR(__xludf.DUMMYFUNCTION("""COMPUTED_VALUE"""),54155.0)</f>
        <v>54155</v>
      </c>
      <c r="I655" t="str">
        <f>IFERROR(__xludf.DUMMYFUNCTION("""COMPUTED_VALUE"""),"07/18")</f>
        <v>07/18</v>
      </c>
      <c r="J655" s="5">
        <f>IFERROR(__xludf.DUMMYFUNCTION("""COMPUTED_VALUE"""),43350.0)</f>
        <v>43350</v>
      </c>
      <c r="K655">
        <f>IFERROR(__xludf.DUMMYFUNCTION("""COMPUTED_VALUE"""),58.0)</f>
        <v>58</v>
      </c>
      <c r="L655">
        <f>IFERROR(__xludf.DUMMYFUNCTION("""COMPUTED_VALUE"""),11.0)</f>
        <v>11</v>
      </c>
      <c r="M655">
        <f>IFERROR(__xludf.DUMMYFUNCTION("""COMPUTED_VALUE"""),69.0)</f>
        <v>69</v>
      </c>
      <c r="N655" t="str">
        <f>IFERROR(__xludf.DUMMYFUNCTION("""COMPUTED_VALUE"""),"Model 3 LR AWD")</f>
        <v>Model 3 LR AWD</v>
      </c>
      <c r="O655" t="str">
        <f>IFERROR(__xludf.DUMMYFUNCTION("""COMPUTED_VALUE"""),"Pearl White Multi-Coat")</f>
        <v>Pearl White Multi-Coat</v>
      </c>
      <c r="P655" t="str">
        <f>IFERROR(__xludf.DUMMYFUNCTION("""COMPUTED_VALUE"""),"18 inch Aero")</f>
        <v>18 inch Aero</v>
      </c>
      <c r="Q655" t="str">
        <f>IFERROR(__xludf.DUMMYFUNCTION("""COMPUTED_VALUE"""),"Black seats")</f>
        <v>Black seats</v>
      </c>
      <c r="R655" t="str">
        <f>IFERROR(__xludf.DUMMYFUNCTION("""COMPUTED_VALUE"""),"None")</f>
        <v>None</v>
      </c>
      <c r="X655" t="str">
        <f>IFERROR(__xludf.DUMMYFUNCTION("""COMPUTED_VALUE"""),"Very Good")</f>
        <v>Very Good</v>
      </c>
      <c r="Y655" t="str">
        <f>IFERROR(__xludf.DUMMYFUNCTION("""COMPUTED_VALUE"""),"Excellent")</f>
        <v>Excellent</v>
      </c>
      <c r="Z655" t="str">
        <f>IFERROR(__xludf.DUMMYFUNCTION("""COMPUTED_VALUE"""),"Excellent")</f>
        <v>Excellent</v>
      </c>
      <c r="AA655" t="str">
        <f>IFERROR(__xludf.DUMMYFUNCTION("""COMPUTED_VALUE"""),"Excellent")</f>
        <v>Excellent</v>
      </c>
      <c r="AB655" t="str">
        <f>IFERROR(__xludf.DUMMYFUNCTION("""COMPUTED_VALUE"""),"Excellent")</f>
        <v>Excellent</v>
      </c>
      <c r="AC655">
        <f>IFERROR(__xludf.DUMMYFUNCTION("""COMPUTED_VALUE"""),0.0)</f>
        <v>0</v>
      </c>
      <c r="AD655">
        <f>IFERROR(__xludf.DUMMYFUNCTION("""COMPUTED_VALUE"""),0.0)</f>
        <v>0</v>
      </c>
      <c r="AE655">
        <f>IFERROR(__xludf.DUMMYFUNCTION("""COMPUTED_VALUE"""),0.0)</f>
        <v>0</v>
      </c>
      <c r="AH655" s="189">
        <f>IFERROR(__xludf.DUMMYFUNCTION("""COMPUTED_VALUE"""),43353.36790320602)</f>
        <v>43353.3679</v>
      </c>
    </row>
    <row r="656">
      <c r="A656" t="str">
        <f>IFERROR(__xludf.DUMMYFUNCTION("""COMPUTED_VALUE"""),"ThomasStrange")</f>
        <v>ThomasStrange</v>
      </c>
      <c r="B656" t="str">
        <f>IFERROR(__xludf.DUMMYFUNCTION("""COMPUTED_VALUE"""),"Roseville")</f>
        <v>Roseville</v>
      </c>
      <c r="C656" t="str">
        <f>IFERROR(__xludf.DUMMYFUNCTION("""COMPUTED_VALUE"""),"CA")</f>
        <v>CA</v>
      </c>
      <c r="D656" t="str">
        <f>IFERROR(__xludf.DUMMYFUNCTION("""COMPUTED_VALUE"""),"USA")</f>
        <v>USA</v>
      </c>
      <c r="E656" s="188">
        <f>IFERROR(__xludf.DUMMYFUNCTION("""COMPUTED_VALUE"""),43281.0)</f>
        <v>43281</v>
      </c>
      <c r="F656" s="188">
        <f>IFERROR(__xludf.DUMMYFUNCTION("""COMPUTED_VALUE"""),43342.0)</f>
        <v>43342</v>
      </c>
      <c r="H656">
        <f>IFERROR(__xludf.DUMMYFUNCTION("""COMPUTED_VALUE"""),65255.0)</f>
        <v>65255</v>
      </c>
      <c r="I656" t="str">
        <f>IFERROR(__xludf.DUMMYFUNCTION("""COMPUTED_VALUE"""),"08/18")</f>
        <v>08/18</v>
      </c>
      <c r="J656" s="5">
        <f>IFERROR(__xludf.DUMMYFUNCTION("""COMPUTED_VALUE"""),43351.0)</f>
        <v>43351</v>
      </c>
      <c r="K656">
        <f>IFERROR(__xludf.DUMMYFUNCTION("""COMPUTED_VALUE"""),61.0)</f>
        <v>61</v>
      </c>
      <c r="L656">
        <f>IFERROR(__xludf.DUMMYFUNCTION("""COMPUTED_VALUE"""),9.0)</f>
        <v>9</v>
      </c>
      <c r="M656">
        <f>IFERROR(__xludf.DUMMYFUNCTION("""COMPUTED_VALUE"""),70.0)</f>
        <v>70</v>
      </c>
      <c r="N656" t="str">
        <f>IFERROR(__xludf.DUMMYFUNCTION("""COMPUTED_VALUE"""),"Model 3 LR AWD")</f>
        <v>Model 3 LR AWD</v>
      </c>
      <c r="O656" t="str">
        <f>IFERROR(__xludf.DUMMYFUNCTION("""COMPUTED_VALUE"""),"Silver Metallic")</f>
        <v>Silver Metallic</v>
      </c>
      <c r="P656" t="str">
        <f>IFERROR(__xludf.DUMMYFUNCTION("""COMPUTED_VALUE"""),"18 inch Aero")</f>
        <v>18 inch Aero</v>
      </c>
      <c r="Q656" t="str">
        <f>IFERROR(__xludf.DUMMYFUNCTION("""COMPUTED_VALUE"""),"Black seats")</f>
        <v>Black seats</v>
      </c>
      <c r="R656" t="str">
        <f>IFERROR(__xludf.DUMMYFUNCTION("""COMPUTED_VALUE"""),"Enhanced Autopilot")</f>
        <v>Enhanced Autopilot</v>
      </c>
      <c r="X656" t="str">
        <f>IFERROR(__xludf.DUMMYFUNCTION("""COMPUTED_VALUE"""),"Excellent")</f>
        <v>Excellent</v>
      </c>
      <c r="Y656" t="str">
        <f>IFERROR(__xludf.DUMMYFUNCTION("""COMPUTED_VALUE"""),"Excellent")</f>
        <v>Excellent</v>
      </c>
      <c r="Z656" t="str">
        <f>IFERROR(__xludf.DUMMYFUNCTION("""COMPUTED_VALUE"""),"Excellent")</f>
        <v>Excellent</v>
      </c>
      <c r="AA656" t="str">
        <f>IFERROR(__xludf.DUMMYFUNCTION("""COMPUTED_VALUE"""),"Poor")</f>
        <v>Poor</v>
      </c>
      <c r="AB656" t="str">
        <f>IFERROR(__xludf.DUMMYFUNCTION("""COMPUTED_VALUE"""),"Excellent")</f>
        <v>Excellent</v>
      </c>
      <c r="AC656">
        <f>IFERROR(__xludf.DUMMYFUNCTION("""COMPUTED_VALUE"""),2.0)</f>
        <v>2</v>
      </c>
      <c r="AD656">
        <f>IFERROR(__xludf.DUMMYFUNCTION("""COMPUTED_VALUE"""),0.0)</f>
        <v>0</v>
      </c>
      <c r="AE656">
        <f>IFERROR(__xludf.DUMMYFUNCTION("""COMPUTED_VALUE"""),0.0)</f>
        <v>0</v>
      </c>
      <c r="AG656" t="str">
        <f>IFERROR(__xludf.DUMMYFUNCTION("""COMPUTED_VALUE"""),"Paint defects were extremely minor (only issues)")</f>
        <v>Paint defects were extremely minor (only issues)</v>
      </c>
      <c r="AH656" s="189">
        <f>IFERROR(__xludf.DUMMYFUNCTION("""COMPUTED_VALUE"""),43353.38540533565)</f>
        <v>43353.38541</v>
      </c>
    </row>
    <row r="657">
      <c r="A657" t="str">
        <f>IFERROR(__xludf.DUMMYFUNCTION("""COMPUTED_VALUE"""),"MSpikah")</f>
        <v>MSpikah</v>
      </c>
      <c r="B657" t="str">
        <f>IFERROR(__xludf.DUMMYFUNCTION("""COMPUTED_VALUE"""),"Grand Rapids")</f>
        <v>Grand Rapids</v>
      </c>
      <c r="C657" t="str">
        <f>IFERROR(__xludf.DUMMYFUNCTION("""COMPUTED_VALUE"""),"MI")</f>
        <v>MI</v>
      </c>
      <c r="D657" t="str">
        <f>IFERROR(__xludf.DUMMYFUNCTION("""COMPUTED_VALUE"""),"USA")</f>
        <v>USA</v>
      </c>
      <c r="E657" s="188">
        <f>IFERROR(__xludf.DUMMYFUNCTION("""COMPUTED_VALUE"""),43316.0)</f>
        <v>43316</v>
      </c>
      <c r="F657" s="188">
        <f>IFERROR(__xludf.DUMMYFUNCTION("""COMPUTED_VALUE"""),43330.0)</f>
        <v>43330</v>
      </c>
      <c r="H657">
        <f>IFERROR(__xludf.DUMMYFUNCTION("""COMPUTED_VALUE"""),66055.0)</f>
        <v>66055</v>
      </c>
      <c r="I657" t="str">
        <f>IFERROR(__xludf.DUMMYFUNCTION("""COMPUTED_VALUE"""),"08/18")</f>
        <v>08/18</v>
      </c>
      <c r="J657" s="5">
        <f>IFERROR(__xludf.DUMMYFUNCTION("""COMPUTED_VALUE"""),43344.0)</f>
        <v>43344</v>
      </c>
      <c r="K657">
        <f>IFERROR(__xludf.DUMMYFUNCTION("""COMPUTED_VALUE"""),14.0)</f>
        <v>14</v>
      </c>
      <c r="L657">
        <f>IFERROR(__xludf.DUMMYFUNCTION("""COMPUTED_VALUE"""),14.0)</f>
        <v>14</v>
      </c>
      <c r="M657">
        <f>IFERROR(__xludf.DUMMYFUNCTION("""COMPUTED_VALUE"""),28.0)</f>
        <v>28</v>
      </c>
      <c r="N657" t="str">
        <f>IFERROR(__xludf.DUMMYFUNCTION("""COMPUTED_VALUE"""),"Model 3 LR AWD")</f>
        <v>Model 3 LR AWD</v>
      </c>
      <c r="O657" t="str">
        <f>IFERROR(__xludf.DUMMYFUNCTION("""COMPUTED_VALUE"""),"Midnight Silver Metallic")</f>
        <v>Midnight Silver Metallic</v>
      </c>
      <c r="P657" t="str">
        <f>IFERROR(__xludf.DUMMYFUNCTION("""COMPUTED_VALUE"""),"18 inch Aero")</f>
        <v>18 inch Aero</v>
      </c>
      <c r="Q657" t="str">
        <f>IFERROR(__xludf.DUMMYFUNCTION("""COMPUTED_VALUE"""),"Black seats")</f>
        <v>Black seats</v>
      </c>
      <c r="R657" t="str">
        <f>IFERROR(__xludf.DUMMYFUNCTION("""COMPUTED_VALUE"""),"Enhanced Autopilot")</f>
        <v>Enhanced Autopilot</v>
      </c>
      <c r="X657" t="str">
        <f>IFERROR(__xludf.DUMMYFUNCTION("""COMPUTED_VALUE"""),"Very Good")</f>
        <v>Very Good</v>
      </c>
      <c r="Y657" t="str">
        <f>IFERROR(__xludf.DUMMYFUNCTION("""COMPUTED_VALUE"""),"Excellent")</f>
        <v>Excellent</v>
      </c>
      <c r="Z657" t="str">
        <f>IFERROR(__xludf.DUMMYFUNCTION("""COMPUTED_VALUE"""),"Excellent")</f>
        <v>Excellent</v>
      </c>
      <c r="AA657" t="str">
        <f>IFERROR(__xludf.DUMMYFUNCTION("""COMPUTED_VALUE"""),"Poor")</f>
        <v>Poor</v>
      </c>
      <c r="AB657" t="str">
        <f>IFERROR(__xludf.DUMMYFUNCTION("""COMPUTED_VALUE"""),"Poor")</f>
        <v>Poor</v>
      </c>
      <c r="AG657" t="str">
        <f>IFERROR(__xludf.DUMMYFUNCTION("""COMPUTED_VALUE"""),"First Tesla contact 8/13, delivery date scheduled 8/15. Delivery date was 8/25, then postponed one week")</f>
        <v>First Tesla contact 8/13, delivery date scheduled 8/15. Delivery date was 8/25, then postponed one week</v>
      </c>
      <c r="AH657" s="189">
        <f>IFERROR(__xludf.DUMMYFUNCTION("""COMPUTED_VALUE"""),43353.426461041665)</f>
        <v>43353.42646</v>
      </c>
    </row>
    <row r="658">
      <c r="A658" t="str">
        <f>IFERROR(__xludf.DUMMYFUNCTION("""COMPUTED_VALUE"""),"Andrew Sinclair")</f>
        <v>Andrew Sinclair</v>
      </c>
      <c r="B658" t="str">
        <f>IFERROR(__xludf.DUMMYFUNCTION("""COMPUTED_VALUE"""),"Cambridge")</f>
        <v>Cambridge</v>
      </c>
      <c r="C658" t="str">
        <f>IFERROR(__xludf.DUMMYFUNCTION("""COMPUTED_VALUE"""),"MA")</f>
        <v>MA</v>
      </c>
      <c r="D658" t="str">
        <f>IFERROR(__xludf.DUMMYFUNCTION("""COMPUTED_VALUE"""),"USA")</f>
        <v>USA</v>
      </c>
      <c r="E658" s="188">
        <f>IFERROR(__xludf.DUMMYFUNCTION("""COMPUTED_VALUE"""),43278.0)</f>
        <v>43278</v>
      </c>
      <c r="F658" s="188">
        <f>IFERROR(__xludf.DUMMYFUNCTION("""COMPUTED_VALUE"""),43326.0)</f>
        <v>43326</v>
      </c>
      <c r="H658">
        <f>IFERROR(__xludf.DUMMYFUNCTION("""COMPUTED_VALUE"""),68155.0)</f>
        <v>68155</v>
      </c>
      <c r="I658" t="str">
        <f>IFERROR(__xludf.DUMMYFUNCTION("""COMPUTED_VALUE"""),"08/18")</f>
        <v>08/18</v>
      </c>
      <c r="J658" s="5">
        <f>IFERROR(__xludf.DUMMYFUNCTION("""COMPUTED_VALUE"""),43343.0)</f>
        <v>43343</v>
      </c>
      <c r="K658">
        <f>IFERROR(__xludf.DUMMYFUNCTION("""COMPUTED_VALUE"""),48.0)</f>
        <v>48</v>
      </c>
      <c r="L658">
        <f>IFERROR(__xludf.DUMMYFUNCTION("""COMPUTED_VALUE"""),17.0)</f>
        <v>17</v>
      </c>
      <c r="M658">
        <f>IFERROR(__xludf.DUMMYFUNCTION("""COMPUTED_VALUE"""),65.0)</f>
        <v>65</v>
      </c>
      <c r="N658" t="str">
        <f>IFERROR(__xludf.DUMMYFUNCTION("""COMPUTED_VALUE"""),"Model 3 LR AWD")</f>
        <v>Model 3 LR AWD</v>
      </c>
      <c r="O658" t="str">
        <f>IFERROR(__xludf.DUMMYFUNCTION("""COMPUTED_VALUE"""),"Solid Black")</f>
        <v>Solid Black</v>
      </c>
      <c r="P658" t="str">
        <f>IFERROR(__xludf.DUMMYFUNCTION("""COMPUTED_VALUE"""),"18 inch Aero")</f>
        <v>18 inch Aero</v>
      </c>
      <c r="Q658" t="str">
        <f>IFERROR(__xludf.DUMMYFUNCTION("""COMPUTED_VALUE"""),"Black seats")</f>
        <v>Black seats</v>
      </c>
      <c r="R658" t="str">
        <f>IFERROR(__xludf.DUMMYFUNCTION("""COMPUTED_VALUE"""),"Enhanced Autopilot")</f>
        <v>Enhanced Autopilot</v>
      </c>
      <c r="X658" t="str">
        <f>IFERROR(__xludf.DUMMYFUNCTION("""COMPUTED_VALUE"""),"Very Good")</f>
        <v>Very Good</v>
      </c>
      <c r="Y658" t="str">
        <f>IFERROR(__xludf.DUMMYFUNCTION("""COMPUTED_VALUE"""),"Good")</f>
        <v>Good</v>
      </c>
      <c r="Z658" t="str">
        <f>IFERROR(__xludf.DUMMYFUNCTION("""COMPUTED_VALUE"""),"Good")</f>
        <v>Good</v>
      </c>
      <c r="AA658" t="str">
        <f>IFERROR(__xludf.DUMMYFUNCTION("""COMPUTED_VALUE"""),"Good")</f>
        <v>Good</v>
      </c>
      <c r="AB658" t="str">
        <f>IFERROR(__xludf.DUMMYFUNCTION("""COMPUTED_VALUE"""),"Excellent")</f>
        <v>Excellent</v>
      </c>
      <c r="AH658" s="189">
        <f>IFERROR(__xludf.DUMMYFUNCTION("""COMPUTED_VALUE"""),43353.44558303241)</f>
        <v>43353.44558</v>
      </c>
    </row>
    <row r="659">
      <c r="A659" t="str">
        <f>IFERROR(__xludf.DUMMYFUNCTION("""COMPUTED_VALUE"""),"Ludatik")</f>
        <v>Ludatik</v>
      </c>
      <c r="B659" t="str">
        <f>IFERROR(__xludf.DUMMYFUNCTION("""COMPUTED_VALUE"""),"Toronto")</f>
        <v>Toronto</v>
      </c>
      <c r="C659" t="str">
        <f>IFERROR(__xludf.DUMMYFUNCTION("""COMPUTED_VALUE"""),"ON")</f>
        <v>ON</v>
      </c>
      <c r="D659" t="str">
        <f>IFERROR(__xludf.DUMMYFUNCTION("""COMPUTED_VALUE"""),"Canada")</f>
        <v>Canada</v>
      </c>
      <c r="E659" s="188">
        <f>IFERROR(__xludf.DUMMYFUNCTION("""COMPUTED_VALUE"""),43270.0)</f>
        <v>43270</v>
      </c>
      <c r="F659" s="188">
        <f>IFERROR(__xludf.DUMMYFUNCTION("""COMPUTED_VALUE"""),43329.0)</f>
        <v>43329</v>
      </c>
      <c r="H659">
        <f>IFERROR(__xludf.DUMMYFUNCTION("""COMPUTED_VALUE"""),75755.0)</f>
        <v>75755</v>
      </c>
      <c r="I659" t="str">
        <f>IFERROR(__xludf.DUMMYFUNCTION("""COMPUTED_VALUE"""),"08/18")</f>
        <v>08/18</v>
      </c>
      <c r="J659" s="5">
        <f>IFERROR(__xludf.DUMMYFUNCTION("""COMPUTED_VALUE"""),43350.0)</f>
        <v>43350</v>
      </c>
      <c r="K659">
        <f>IFERROR(__xludf.DUMMYFUNCTION("""COMPUTED_VALUE"""),59.0)</f>
        <v>59</v>
      </c>
      <c r="L659">
        <f>IFERROR(__xludf.DUMMYFUNCTION("""COMPUTED_VALUE"""),21.0)</f>
        <v>21</v>
      </c>
      <c r="M659">
        <f>IFERROR(__xludf.DUMMYFUNCTION("""COMPUTED_VALUE"""),80.0)</f>
        <v>80</v>
      </c>
      <c r="N659" t="str">
        <f>IFERROR(__xludf.DUMMYFUNCTION("""COMPUTED_VALUE"""),"Model 3 LR")</f>
        <v>Model 3 LR</v>
      </c>
      <c r="O659" t="str">
        <f>IFERROR(__xludf.DUMMYFUNCTION("""COMPUTED_VALUE"""),"Pearl White Multi-Coat")</f>
        <v>Pearl White Multi-Coat</v>
      </c>
      <c r="P659" t="str">
        <f>IFERROR(__xludf.DUMMYFUNCTION("""COMPUTED_VALUE"""),"18 inch Aero")</f>
        <v>18 inch Aero</v>
      </c>
      <c r="Q659" t="str">
        <f>IFERROR(__xludf.DUMMYFUNCTION("""COMPUTED_VALUE"""),"Black seats")</f>
        <v>Black seats</v>
      </c>
      <c r="R659" t="str">
        <f>IFERROR(__xludf.DUMMYFUNCTION("""COMPUTED_VALUE"""),"Enhanced Autopilot")</f>
        <v>Enhanced Autopilot</v>
      </c>
      <c r="X659" t="str">
        <f>IFERROR(__xludf.DUMMYFUNCTION("""COMPUTED_VALUE"""),"Good")</f>
        <v>Good</v>
      </c>
      <c r="Y659" t="str">
        <f>IFERROR(__xludf.DUMMYFUNCTION("""COMPUTED_VALUE"""),"Excellent")</f>
        <v>Excellent</v>
      </c>
      <c r="Z659" t="str">
        <f>IFERROR(__xludf.DUMMYFUNCTION("""COMPUTED_VALUE"""),"Fair")</f>
        <v>Fair</v>
      </c>
      <c r="AA659" t="str">
        <f>IFERROR(__xludf.DUMMYFUNCTION("""COMPUTED_VALUE"""),"Poor")</f>
        <v>Poor</v>
      </c>
      <c r="AB659" t="str">
        <f>IFERROR(__xludf.DUMMYFUNCTION("""COMPUTED_VALUE"""),"Good")</f>
        <v>Good</v>
      </c>
      <c r="AC659">
        <f>IFERROR(__xludf.DUMMYFUNCTION("""COMPUTED_VALUE"""),3.0)</f>
        <v>3</v>
      </c>
      <c r="AH659" s="189">
        <f>IFERROR(__xludf.DUMMYFUNCTION("""COMPUTED_VALUE"""),43353.44890729166)</f>
        <v>43353.44891</v>
      </c>
    </row>
    <row r="660">
      <c r="A660" t="str">
        <f>IFERROR(__xludf.DUMMYFUNCTION("""COMPUTED_VALUE"""),"invalid")</f>
        <v>invalid</v>
      </c>
      <c r="C660" t="str">
        <f>IFERROR(__xludf.DUMMYFUNCTION("""COMPUTED_VALUE"""),"CA")</f>
        <v>CA</v>
      </c>
      <c r="D660" t="str">
        <f>IFERROR(__xludf.DUMMYFUNCTION("""COMPUTED_VALUE"""),"USA")</f>
        <v>USA</v>
      </c>
      <c r="E660" s="188">
        <f>IFERROR(__xludf.DUMMYFUNCTION("""COMPUTED_VALUE"""),43336.0)</f>
        <v>43336</v>
      </c>
      <c r="F660" s="188">
        <f>IFERROR(__xludf.DUMMYFUNCTION("""COMPUTED_VALUE"""),43349.0)</f>
        <v>43349</v>
      </c>
      <c r="H660">
        <f>IFERROR(__xludf.DUMMYFUNCTION("""COMPUTED_VALUE"""),84155.0)</f>
        <v>84155</v>
      </c>
      <c r="I660" t="str">
        <f>IFERROR(__xludf.DUMMYFUNCTION("""COMPUTED_VALUE"""),"08/18")</f>
        <v>08/18</v>
      </c>
      <c r="J660" s="5">
        <f>IFERROR(__xludf.DUMMYFUNCTION("""COMPUTED_VALUE"""),43351.0)</f>
        <v>43351</v>
      </c>
      <c r="K660">
        <f>IFERROR(__xludf.DUMMYFUNCTION("""COMPUTED_VALUE"""),13.0)</f>
        <v>13</v>
      </c>
      <c r="L660">
        <f>IFERROR(__xludf.DUMMYFUNCTION("""COMPUTED_VALUE"""),2.0)</f>
        <v>2</v>
      </c>
      <c r="M660">
        <f>IFERROR(__xludf.DUMMYFUNCTION("""COMPUTED_VALUE"""),15.0)</f>
        <v>15</v>
      </c>
      <c r="N660" t="str">
        <f>IFERROR(__xludf.DUMMYFUNCTION("""COMPUTED_VALUE"""),"Model 3 Performance")</f>
        <v>Model 3 Performance</v>
      </c>
      <c r="O660" t="str">
        <f>IFERROR(__xludf.DUMMYFUNCTION("""COMPUTED_VALUE"""),"Pearl White Multi-Coat")</f>
        <v>Pearl White Multi-Coat</v>
      </c>
      <c r="P660" t="str">
        <f>IFERROR(__xludf.DUMMYFUNCTION("""COMPUTED_VALUE"""),"20 inch Sport")</f>
        <v>20 inch Sport</v>
      </c>
      <c r="Q660" t="str">
        <f>IFERROR(__xludf.DUMMYFUNCTION("""COMPUTED_VALUE"""),"Black seats")</f>
        <v>Black seats</v>
      </c>
      <c r="R660" t="str">
        <f>IFERROR(__xludf.DUMMYFUNCTION("""COMPUTED_VALUE"""),"Enhanced Autopilot")</f>
        <v>Enhanced Autopilot</v>
      </c>
      <c r="X660" t="str">
        <f>IFERROR(__xludf.DUMMYFUNCTION("""COMPUTED_VALUE"""),"Very Good")</f>
        <v>Very Good</v>
      </c>
      <c r="Y660" t="str">
        <f>IFERROR(__xludf.DUMMYFUNCTION("""COMPUTED_VALUE"""),"Very Good")</f>
        <v>Very Good</v>
      </c>
      <c r="Z660" t="str">
        <f>IFERROR(__xludf.DUMMYFUNCTION("""COMPUTED_VALUE"""),"Excellent")</f>
        <v>Excellent</v>
      </c>
      <c r="AA660" t="str">
        <f>IFERROR(__xludf.DUMMYFUNCTION("""COMPUTED_VALUE"""),"Good")</f>
        <v>Good</v>
      </c>
      <c r="AB660" t="str">
        <f>IFERROR(__xludf.DUMMYFUNCTION("""COMPUTED_VALUE"""),"Good")</f>
        <v>Good</v>
      </c>
      <c r="AH660" s="189">
        <f>IFERROR(__xludf.DUMMYFUNCTION("""COMPUTED_VALUE"""),43353.450307384264)</f>
        <v>43353.45031</v>
      </c>
    </row>
    <row r="661">
      <c r="A661" t="str">
        <f>IFERROR(__xludf.DUMMYFUNCTION("""COMPUTED_VALUE"""),"pi314")</f>
        <v>pi314</v>
      </c>
      <c r="B661" t="str">
        <f>IFERROR(__xludf.DUMMYFUNCTION("""COMPUTED_VALUE"""),"Burlington")</f>
        <v>Burlington</v>
      </c>
      <c r="C661" t="str">
        <f>IFERROR(__xludf.DUMMYFUNCTION("""COMPUTED_VALUE"""),"MA")</f>
        <v>MA</v>
      </c>
      <c r="D661" t="str">
        <f>IFERROR(__xludf.DUMMYFUNCTION("""COMPUTED_VALUE"""),"USA")</f>
        <v>USA</v>
      </c>
      <c r="E661" s="188">
        <f>IFERROR(__xludf.DUMMYFUNCTION("""COMPUTED_VALUE"""),43278.0)</f>
        <v>43278</v>
      </c>
      <c r="H661">
        <f>IFERROR(__xludf.DUMMYFUNCTION("""COMPUTED_VALUE"""),63555.0)</f>
        <v>63555</v>
      </c>
      <c r="J661" s="5">
        <f>IFERROR(__xludf.DUMMYFUNCTION("""COMPUTED_VALUE"""),43353.0)</f>
        <v>43353</v>
      </c>
      <c r="M661">
        <f>IFERROR(__xludf.DUMMYFUNCTION("""COMPUTED_VALUE"""),75.0)</f>
        <v>75</v>
      </c>
      <c r="N661" t="str">
        <f>IFERROR(__xludf.DUMMYFUNCTION("""COMPUTED_VALUE"""),"Model 3 LR AWD")</f>
        <v>Model 3 LR AWD</v>
      </c>
      <c r="O661" t="str">
        <f>IFERROR(__xludf.DUMMYFUNCTION("""COMPUTED_VALUE"""),"Deep Blue Metallic")</f>
        <v>Deep Blue Metallic</v>
      </c>
      <c r="P661" t="str">
        <f>IFERROR(__xludf.DUMMYFUNCTION("""COMPUTED_VALUE"""),"18 inch Aero")</f>
        <v>18 inch Aero</v>
      </c>
      <c r="Q661" t="str">
        <f>IFERROR(__xludf.DUMMYFUNCTION("""COMPUTED_VALUE"""),"Black seats")</f>
        <v>Black seats</v>
      </c>
      <c r="R661" t="str">
        <f>IFERROR(__xludf.DUMMYFUNCTION("""COMPUTED_VALUE"""),"Enhanced Autopilot")</f>
        <v>Enhanced Autopilot</v>
      </c>
      <c r="X661" t="str">
        <f>IFERROR(__xludf.DUMMYFUNCTION("""COMPUTED_VALUE"""),"Very Good")</f>
        <v>Very Good</v>
      </c>
      <c r="Y661" t="str">
        <f>IFERROR(__xludf.DUMMYFUNCTION("""COMPUTED_VALUE"""),"Very Good")</f>
        <v>Very Good</v>
      </c>
      <c r="Z661" t="str">
        <f>IFERROR(__xludf.DUMMYFUNCTION("""COMPUTED_VALUE"""),"Excellent")</f>
        <v>Excellent</v>
      </c>
      <c r="AA661" t="str">
        <f>IFERROR(__xludf.DUMMYFUNCTION("""COMPUTED_VALUE"""),"Good")</f>
        <v>Good</v>
      </c>
      <c r="AB661" t="str">
        <f>IFERROR(__xludf.DUMMYFUNCTION("""COMPUTED_VALUE"""),"Very Good")</f>
        <v>Very Good</v>
      </c>
      <c r="AH661" s="189">
        <f>IFERROR(__xludf.DUMMYFUNCTION("""COMPUTED_VALUE"""),43353.462439537034)</f>
        <v>43353.46244</v>
      </c>
    </row>
    <row r="662">
      <c r="A662" t="str">
        <f>IFERROR(__xludf.DUMMYFUNCTION("""COMPUTED_VALUE"""),"palon")</f>
        <v>palon</v>
      </c>
      <c r="B662" t="str">
        <f>IFERROR(__xludf.DUMMYFUNCTION("""COMPUTED_VALUE"""),"Vancouver, BC")</f>
        <v>Vancouver, BC</v>
      </c>
      <c r="C662" t="str">
        <f>IFERROR(__xludf.DUMMYFUNCTION("""COMPUTED_VALUE"""),"BC")</f>
        <v>BC</v>
      </c>
      <c r="D662" t="str">
        <f>IFERROR(__xludf.DUMMYFUNCTION("""COMPUTED_VALUE"""),"Canada")</f>
        <v>Canada</v>
      </c>
      <c r="E662" s="188">
        <f>IFERROR(__xludf.DUMMYFUNCTION("""COMPUTED_VALUE"""),43277.0)</f>
        <v>43277</v>
      </c>
      <c r="F662" s="188">
        <f>IFERROR(__xludf.DUMMYFUNCTION("""COMPUTED_VALUE"""),43347.0)</f>
        <v>43347</v>
      </c>
      <c r="H662">
        <f>IFERROR(__xludf.DUMMYFUNCTION("""COMPUTED_VALUE"""),107055.0)</f>
        <v>107055</v>
      </c>
      <c r="J662" s="5">
        <f>IFERROR(__xludf.DUMMYFUNCTION("""COMPUTED_VALUE"""),43352.0)</f>
        <v>43352</v>
      </c>
      <c r="K662">
        <f>IFERROR(__xludf.DUMMYFUNCTION("""COMPUTED_VALUE"""),70.0)</f>
        <v>70</v>
      </c>
      <c r="L662">
        <f>IFERROR(__xludf.DUMMYFUNCTION("""COMPUTED_VALUE"""),5.0)</f>
        <v>5</v>
      </c>
      <c r="M662">
        <f>IFERROR(__xludf.DUMMYFUNCTION("""COMPUTED_VALUE"""),75.0)</f>
        <v>75</v>
      </c>
      <c r="N662" t="str">
        <f>IFERROR(__xludf.DUMMYFUNCTION("""COMPUTED_VALUE"""),"Model 3 LR AWD")</f>
        <v>Model 3 LR AWD</v>
      </c>
      <c r="O662" t="str">
        <f>IFERROR(__xludf.DUMMYFUNCTION("""COMPUTED_VALUE"""),"Red Multi-Coat")</f>
        <v>Red Multi-Coat</v>
      </c>
      <c r="P662" t="str">
        <f>IFERROR(__xludf.DUMMYFUNCTION("""COMPUTED_VALUE"""),"18 inch Aero")</f>
        <v>18 inch Aero</v>
      </c>
      <c r="Q662" t="str">
        <f>IFERROR(__xludf.DUMMYFUNCTION("""COMPUTED_VALUE"""),"Black seats")</f>
        <v>Black seats</v>
      </c>
      <c r="R662" t="str">
        <f>IFERROR(__xludf.DUMMYFUNCTION("""COMPUTED_VALUE"""),"Enhanced Autopilot")</f>
        <v>Enhanced Autopilot</v>
      </c>
      <c r="X662" t="str">
        <f>IFERROR(__xludf.DUMMYFUNCTION("""COMPUTED_VALUE"""),"Excellent")</f>
        <v>Excellent</v>
      </c>
      <c r="Y662" t="str">
        <f>IFERROR(__xludf.DUMMYFUNCTION("""COMPUTED_VALUE"""),"Very Good")</f>
        <v>Very Good</v>
      </c>
      <c r="Z662" t="str">
        <f>IFERROR(__xludf.DUMMYFUNCTION("""COMPUTED_VALUE"""),"Fair")</f>
        <v>Fair</v>
      </c>
      <c r="AA662" t="str">
        <f>IFERROR(__xludf.DUMMYFUNCTION("""COMPUTED_VALUE"""),"Good")</f>
        <v>Good</v>
      </c>
      <c r="AB662" t="str">
        <f>IFERROR(__xludf.DUMMYFUNCTION("""COMPUTED_VALUE"""),"Very Good")</f>
        <v>Very Good</v>
      </c>
      <c r="AC662">
        <f>IFERROR(__xludf.DUMMYFUNCTION("""COMPUTED_VALUE"""),3.0)</f>
        <v>3</v>
      </c>
      <c r="AH662" s="189">
        <f>IFERROR(__xludf.DUMMYFUNCTION("""COMPUTED_VALUE"""),43353.517294791665)</f>
        <v>43353.51729</v>
      </c>
    </row>
    <row r="663">
      <c r="A663" t="str">
        <f>IFERROR(__xludf.DUMMYFUNCTION("""COMPUTED_VALUE"""),"Chak")</f>
        <v>Chak</v>
      </c>
      <c r="B663" t="str">
        <f>IFERROR(__xludf.DUMMYFUNCTION("""COMPUTED_VALUE"""),"Richmond")</f>
        <v>Richmond</v>
      </c>
      <c r="C663" t="str">
        <f>IFERROR(__xludf.DUMMYFUNCTION("""COMPUTED_VALUE"""),"VA")</f>
        <v>VA</v>
      </c>
      <c r="D663" t="str">
        <f>IFERROR(__xludf.DUMMYFUNCTION("""COMPUTED_VALUE"""),"USA")</f>
        <v>USA</v>
      </c>
      <c r="E663" s="188">
        <f>IFERROR(__xludf.DUMMYFUNCTION("""COMPUTED_VALUE"""),43281.0)</f>
        <v>43281</v>
      </c>
      <c r="F663" s="188">
        <f>IFERROR(__xludf.DUMMYFUNCTION("""COMPUTED_VALUE"""),43332.0)</f>
        <v>43332</v>
      </c>
      <c r="H663">
        <f>IFERROR(__xludf.DUMMYFUNCTION("""COMPUTED_VALUE"""),54555.0)</f>
        <v>54555</v>
      </c>
      <c r="I663" t="str">
        <f>IFERROR(__xludf.DUMMYFUNCTION("""COMPUTED_VALUE"""),"08/18")</f>
        <v>08/18</v>
      </c>
      <c r="J663" s="5">
        <f>IFERROR(__xludf.DUMMYFUNCTION("""COMPUTED_VALUE"""),43353.0)</f>
        <v>43353</v>
      </c>
      <c r="K663">
        <f>IFERROR(__xludf.DUMMYFUNCTION("""COMPUTED_VALUE"""),51.0)</f>
        <v>51</v>
      </c>
      <c r="L663">
        <f>IFERROR(__xludf.DUMMYFUNCTION("""COMPUTED_VALUE"""),21.0)</f>
        <v>21</v>
      </c>
      <c r="M663">
        <f>IFERROR(__xludf.DUMMYFUNCTION("""COMPUTED_VALUE"""),72.0)</f>
        <v>72</v>
      </c>
      <c r="N663" t="str">
        <f>IFERROR(__xludf.DUMMYFUNCTION("""COMPUTED_VALUE"""),"Model 3 LR AWD")</f>
        <v>Model 3 LR AWD</v>
      </c>
      <c r="O663" t="str">
        <f>IFERROR(__xludf.DUMMYFUNCTION("""COMPUTED_VALUE"""),"Red Multi-Coat")</f>
        <v>Red Multi-Coat</v>
      </c>
      <c r="P663" t="str">
        <f>IFERROR(__xludf.DUMMYFUNCTION("""COMPUTED_VALUE"""),"18 inch Aero")</f>
        <v>18 inch Aero</v>
      </c>
      <c r="Q663" t="str">
        <f>IFERROR(__xludf.DUMMYFUNCTION("""COMPUTED_VALUE"""),"Black seats")</f>
        <v>Black seats</v>
      </c>
      <c r="R663" t="str">
        <f>IFERROR(__xludf.DUMMYFUNCTION("""COMPUTED_VALUE"""),"Enhanced Autopilot")</f>
        <v>Enhanced Autopilot</v>
      </c>
      <c r="X663" t="str">
        <f>IFERROR(__xludf.DUMMYFUNCTION("""COMPUTED_VALUE"""),"Very Good")</f>
        <v>Very Good</v>
      </c>
      <c r="Y663" t="str">
        <f>IFERROR(__xludf.DUMMYFUNCTION("""COMPUTED_VALUE"""),"Excellent")</f>
        <v>Excellent</v>
      </c>
      <c r="Z663" t="str">
        <f>IFERROR(__xludf.DUMMYFUNCTION("""COMPUTED_VALUE"""),"Excellent")</f>
        <v>Excellent</v>
      </c>
      <c r="AA663" t="str">
        <f>IFERROR(__xludf.DUMMYFUNCTION("""COMPUTED_VALUE"""),"Very Good")</f>
        <v>Very Good</v>
      </c>
      <c r="AB663" t="str">
        <f>IFERROR(__xludf.DUMMYFUNCTION("""COMPUTED_VALUE"""),"Very Good")</f>
        <v>Very Good</v>
      </c>
      <c r="AC663">
        <f>IFERROR(__xludf.DUMMYFUNCTION("""COMPUTED_VALUE"""),3.0)</f>
        <v>3</v>
      </c>
      <c r="AH663" s="189">
        <f>IFERROR(__xludf.DUMMYFUNCTION("""COMPUTED_VALUE"""),43353.550744039356)</f>
        <v>43353.55074</v>
      </c>
    </row>
    <row r="664">
      <c r="A664" t="str">
        <f>IFERROR(__xludf.DUMMYFUNCTION("""COMPUTED_VALUE"""),"jmalojhu")</f>
        <v>jmalojhu</v>
      </c>
      <c r="B664" t="str">
        <f>IFERROR(__xludf.DUMMYFUNCTION("""COMPUTED_VALUE"""),"Arizona")</f>
        <v>Arizona</v>
      </c>
      <c r="C664" t="str">
        <f>IFERROR(__xludf.DUMMYFUNCTION("""COMPUTED_VALUE"""),"AZ")</f>
        <v>AZ</v>
      </c>
      <c r="D664" t="str">
        <f>IFERROR(__xludf.DUMMYFUNCTION("""COMPUTED_VALUE"""),"USA")</f>
        <v>USA</v>
      </c>
      <c r="E664" s="188">
        <f>IFERROR(__xludf.DUMMYFUNCTION("""COMPUTED_VALUE"""),43279.0)</f>
        <v>43279</v>
      </c>
      <c r="F664" s="188">
        <f>IFERROR(__xludf.DUMMYFUNCTION("""COMPUTED_VALUE"""),43346.0)</f>
        <v>43346</v>
      </c>
      <c r="H664">
        <f>IFERROR(__xludf.DUMMYFUNCTION("""COMPUTED_VALUE"""),67055.0)</f>
        <v>67055</v>
      </c>
      <c r="J664" s="5">
        <f>IFERROR(__xludf.DUMMYFUNCTION("""COMPUTED_VALUE"""),43352.0)</f>
        <v>43352</v>
      </c>
      <c r="K664">
        <f>IFERROR(__xludf.DUMMYFUNCTION("""COMPUTED_VALUE"""),67.0)</f>
        <v>67</v>
      </c>
      <c r="L664">
        <f>IFERROR(__xludf.DUMMYFUNCTION("""COMPUTED_VALUE"""),6.0)</f>
        <v>6</v>
      </c>
      <c r="M664">
        <f>IFERROR(__xludf.DUMMYFUNCTION("""COMPUTED_VALUE"""),73.0)</f>
        <v>73</v>
      </c>
      <c r="N664" t="str">
        <f>IFERROR(__xludf.DUMMYFUNCTION("""COMPUTED_VALUE"""),"Model 3 LR AWD")</f>
        <v>Model 3 LR AWD</v>
      </c>
      <c r="O664" t="str">
        <f>IFERROR(__xludf.DUMMYFUNCTION("""COMPUTED_VALUE"""),"Pearl White Multi-Coat")</f>
        <v>Pearl White Multi-Coat</v>
      </c>
      <c r="P664" t="str">
        <f>IFERROR(__xludf.DUMMYFUNCTION("""COMPUTED_VALUE"""),"18 inch Aero")</f>
        <v>18 inch Aero</v>
      </c>
      <c r="Q664" t="str">
        <f>IFERROR(__xludf.DUMMYFUNCTION("""COMPUTED_VALUE"""),"Black seats")</f>
        <v>Black seats</v>
      </c>
      <c r="R664" t="str">
        <f>IFERROR(__xludf.DUMMYFUNCTION("""COMPUTED_VALUE"""),"Enhanced Autopilot")</f>
        <v>Enhanced Autopilot</v>
      </c>
      <c r="X664" t="str">
        <f>IFERROR(__xludf.DUMMYFUNCTION("""COMPUTED_VALUE"""),"Good")</f>
        <v>Good</v>
      </c>
      <c r="Y664" t="str">
        <f>IFERROR(__xludf.DUMMYFUNCTION("""COMPUTED_VALUE"""),"Very Good")</f>
        <v>Very Good</v>
      </c>
      <c r="Z664" t="str">
        <f>IFERROR(__xludf.DUMMYFUNCTION("""COMPUTED_VALUE"""),"Very Good")</f>
        <v>Very Good</v>
      </c>
      <c r="AA664" t="str">
        <f>IFERROR(__xludf.DUMMYFUNCTION("""COMPUTED_VALUE"""),"Fair")</f>
        <v>Fair</v>
      </c>
      <c r="AB664" t="str">
        <f>IFERROR(__xludf.DUMMYFUNCTION("""COMPUTED_VALUE"""),"Good")</f>
        <v>Good</v>
      </c>
      <c r="AH664" s="189">
        <f>IFERROR(__xludf.DUMMYFUNCTION("""COMPUTED_VALUE"""),43353.59879065972)</f>
        <v>43353.59879</v>
      </c>
    </row>
    <row r="665">
      <c r="A665" t="str">
        <f>IFERROR(__xludf.DUMMYFUNCTION("""COMPUTED_VALUE"""),"ajla")</f>
        <v>ajla</v>
      </c>
      <c r="B665" t="str">
        <f>IFERROR(__xludf.DUMMYFUNCTION("""COMPUTED_VALUE"""),"Denver")</f>
        <v>Denver</v>
      </c>
      <c r="C665" t="str">
        <f>IFERROR(__xludf.DUMMYFUNCTION("""COMPUTED_VALUE"""),"CO")</f>
        <v>CO</v>
      </c>
      <c r="D665" t="str">
        <f>IFERROR(__xludf.DUMMYFUNCTION("""COMPUTED_VALUE"""),"USA")</f>
        <v>USA</v>
      </c>
      <c r="E665" s="188">
        <f>IFERROR(__xludf.DUMMYFUNCTION("""COMPUTED_VALUE"""),43277.0)</f>
        <v>43277</v>
      </c>
      <c r="F665" s="188">
        <f>IFERROR(__xludf.DUMMYFUNCTION("""COMPUTED_VALUE"""),43342.0)</f>
        <v>43342</v>
      </c>
      <c r="H665">
        <f>IFERROR(__xludf.DUMMYFUNCTION("""COMPUTED_VALUE"""),70555.0)</f>
        <v>70555</v>
      </c>
      <c r="J665" s="5">
        <f>IFERROR(__xludf.DUMMYFUNCTION("""COMPUTED_VALUE"""),43367.0)</f>
        <v>43367</v>
      </c>
      <c r="K665">
        <f>IFERROR(__xludf.DUMMYFUNCTION("""COMPUTED_VALUE"""),65.0)</f>
        <v>65</v>
      </c>
      <c r="L665">
        <f>IFERROR(__xludf.DUMMYFUNCTION("""COMPUTED_VALUE"""),25.0)</f>
        <v>25</v>
      </c>
      <c r="M665">
        <f>IFERROR(__xludf.DUMMYFUNCTION("""COMPUTED_VALUE"""),90.0)</f>
        <v>90</v>
      </c>
      <c r="N665" t="str">
        <f>IFERROR(__xludf.DUMMYFUNCTION("""COMPUTED_VALUE"""),"Model 3 LR AWD")</f>
        <v>Model 3 LR AWD</v>
      </c>
      <c r="O665" t="str">
        <f>IFERROR(__xludf.DUMMYFUNCTION("""COMPUTED_VALUE"""),"Obsidian Black Metallic")</f>
        <v>Obsidian Black Metallic</v>
      </c>
      <c r="P665" t="str">
        <f>IFERROR(__xludf.DUMMYFUNCTION("""COMPUTED_VALUE"""),"18 inch Aero")</f>
        <v>18 inch Aero</v>
      </c>
      <c r="Q665" t="str">
        <f>IFERROR(__xludf.DUMMYFUNCTION("""COMPUTED_VALUE"""),"Black seats")</f>
        <v>Black seats</v>
      </c>
      <c r="R665" t="str">
        <f>IFERROR(__xludf.DUMMYFUNCTION("""COMPUTED_VALUE"""),"Enhanced Autopilot")</f>
        <v>Enhanced Autopilot</v>
      </c>
      <c r="AA665" t="str">
        <f>IFERROR(__xludf.DUMMYFUNCTION("""COMPUTED_VALUE"""),"Very Good")</f>
        <v>Very Good</v>
      </c>
      <c r="AG665" t="str">
        <f>IFERROR(__xludf.DUMMYFUNCTION("""COMPUTED_VALUE"""),"Want AWD for CO driving conditions")</f>
        <v>Want AWD for CO driving conditions</v>
      </c>
      <c r="AH665" s="189">
        <f>IFERROR(__xludf.DUMMYFUNCTION("""COMPUTED_VALUE"""),43353.76111057871)</f>
        <v>43353.76111</v>
      </c>
    </row>
    <row r="666">
      <c r="A666" t="str">
        <f>IFERROR(__xludf.DUMMYFUNCTION("""COMPUTED_VALUE"""),"btp125")</f>
        <v>btp125</v>
      </c>
      <c r="B666" t="str">
        <f>IFERROR(__xludf.DUMMYFUNCTION("""COMPUTED_VALUE"""),"Saratoga")</f>
        <v>Saratoga</v>
      </c>
      <c r="C666" t="str">
        <f>IFERROR(__xludf.DUMMYFUNCTION("""COMPUTED_VALUE"""),"CA")</f>
        <v>CA</v>
      </c>
      <c r="D666" t="str">
        <f>IFERROR(__xludf.DUMMYFUNCTION("""COMPUTED_VALUE"""),"USA")</f>
        <v>USA</v>
      </c>
      <c r="E666" s="188">
        <f>IFERROR(__xludf.DUMMYFUNCTION("""COMPUTED_VALUE"""),43281.0)</f>
        <v>43281</v>
      </c>
      <c r="F666" s="188">
        <f>IFERROR(__xludf.DUMMYFUNCTION("""COMPUTED_VALUE"""),43351.0)</f>
        <v>43351</v>
      </c>
      <c r="H666">
        <f>IFERROR(__xludf.DUMMYFUNCTION("""COMPUTED_VALUE"""),66955.0)</f>
        <v>66955</v>
      </c>
      <c r="I666" t="str">
        <f>IFERROR(__xludf.DUMMYFUNCTION("""COMPUTED_VALUE"""),"08/18")</f>
        <v>08/18</v>
      </c>
      <c r="J666" s="5">
        <f>IFERROR(__xludf.DUMMYFUNCTION("""COMPUTED_VALUE"""),43351.0)</f>
        <v>43351</v>
      </c>
      <c r="K666">
        <f>IFERROR(__xludf.DUMMYFUNCTION("""COMPUTED_VALUE"""),70.0)</f>
        <v>70</v>
      </c>
      <c r="L666">
        <f>IFERROR(__xludf.DUMMYFUNCTION("""COMPUTED_VALUE"""),0.0)</f>
        <v>0</v>
      </c>
      <c r="M666">
        <f>IFERROR(__xludf.DUMMYFUNCTION("""COMPUTED_VALUE"""),70.0)</f>
        <v>70</v>
      </c>
      <c r="N666" t="str">
        <f>IFERROR(__xludf.DUMMYFUNCTION("""COMPUTED_VALUE"""),"Model 3 LR AWD")</f>
        <v>Model 3 LR AWD</v>
      </c>
      <c r="O666" t="str">
        <f>IFERROR(__xludf.DUMMYFUNCTION("""COMPUTED_VALUE"""),"Pearl White Multi-Coat")</f>
        <v>Pearl White Multi-Coat</v>
      </c>
      <c r="P666" t="str">
        <f>IFERROR(__xludf.DUMMYFUNCTION("""COMPUTED_VALUE"""),"18 inch Aero")</f>
        <v>18 inch Aero</v>
      </c>
      <c r="Q666" t="str">
        <f>IFERROR(__xludf.DUMMYFUNCTION("""COMPUTED_VALUE"""),"Black seats")</f>
        <v>Black seats</v>
      </c>
      <c r="R666" t="str">
        <f>IFERROR(__xludf.DUMMYFUNCTION("""COMPUTED_VALUE"""),"Full Self-Driving")</f>
        <v>Full Self-Driving</v>
      </c>
      <c r="X666" t="str">
        <f>IFERROR(__xludf.DUMMYFUNCTION("""COMPUTED_VALUE"""),"Good")</f>
        <v>Good</v>
      </c>
      <c r="Y666" t="str">
        <f>IFERROR(__xludf.DUMMYFUNCTION("""COMPUTED_VALUE"""),"Very Good")</f>
        <v>Very Good</v>
      </c>
      <c r="Z666" t="str">
        <f>IFERROR(__xludf.DUMMYFUNCTION("""COMPUTED_VALUE"""),"Very Good")</f>
        <v>Very Good</v>
      </c>
      <c r="AA666" t="str">
        <f>IFERROR(__xludf.DUMMYFUNCTION("""COMPUTED_VALUE"""),"Poor")</f>
        <v>Poor</v>
      </c>
      <c r="AB666" t="str">
        <f>IFERROR(__xludf.DUMMYFUNCTION("""COMPUTED_VALUE"""),"Poor")</f>
        <v>Poor</v>
      </c>
      <c r="AH666" s="189">
        <f>IFERROR(__xludf.DUMMYFUNCTION("""COMPUTED_VALUE"""),43353.78563722222)</f>
        <v>43353.78564</v>
      </c>
    </row>
    <row r="667">
      <c r="A667" t="str">
        <f>IFERROR(__xludf.DUMMYFUNCTION("""COMPUTED_VALUE"""),"reddy")</f>
        <v>reddy</v>
      </c>
      <c r="B667" t="str">
        <f>IFERROR(__xludf.DUMMYFUNCTION("""COMPUTED_VALUE"""),"Texas")</f>
        <v>Texas</v>
      </c>
      <c r="C667" t="str">
        <f>IFERROR(__xludf.DUMMYFUNCTION("""COMPUTED_VALUE"""),"TX")</f>
        <v>TX</v>
      </c>
      <c r="D667" t="str">
        <f>IFERROR(__xludf.DUMMYFUNCTION("""COMPUTED_VALUE"""),"USA")</f>
        <v>USA</v>
      </c>
      <c r="E667" s="188">
        <f>IFERROR(__xludf.DUMMYFUNCTION("""COMPUTED_VALUE"""),43331.0)</f>
        <v>43331</v>
      </c>
      <c r="F667" s="188">
        <f>IFERROR(__xludf.DUMMYFUNCTION("""COMPUTED_VALUE"""),43342.0)</f>
        <v>43342</v>
      </c>
      <c r="H667">
        <f>IFERROR(__xludf.DUMMYFUNCTION("""COMPUTED_VALUE"""),99755.0)</f>
        <v>99755</v>
      </c>
      <c r="J667" s="5">
        <f>IFERROR(__xludf.DUMMYFUNCTION("""COMPUTED_VALUE"""),43353.0)</f>
        <v>43353</v>
      </c>
      <c r="K667">
        <f>IFERROR(__xludf.DUMMYFUNCTION("""COMPUTED_VALUE"""),11.0)</f>
        <v>11</v>
      </c>
      <c r="L667">
        <f>IFERROR(__xludf.DUMMYFUNCTION("""COMPUTED_VALUE"""),11.0)</f>
        <v>11</v>
      </c>
      <c r="M667">
        <f>IFERROR(__xludf.DUMMYFUNCTION("""COMPUTED_VALUE"""),22.0)</f>
        <v>22</v>
      </c>
      <c r="N667" t="str">
        <f>IFERROR(__xludf.DUMMYFUNCTION("""COMPUTED_VALUE"""),"Model 3 LR AWD")</f>
        <v>Model 3 LR AWD</v>
      </c>
      <c r="O667" t="str">
        <f>IFERROR(__xludf.DUMMYFUNCTION("""COMPUTED_VALUE"""),"Deep Blue Metallic")</f>
        <v>Deep Blue Metallic</v>
      </c>
      <c r="P667" t="str">
        <f>IFERROR(__xludf.DUMMYFUNCTION("""COMPUTED_VALUE"""),"18 inch Aero")</f>
        <v>18 inch Aero</v>
      </c>
      <c r="Q667" t="str">
        <f>IFERROR(__xludf.DUMMYFUNCTION("""COMPUTED_VALUE"""),"White seats")</f>
        <v>White seats</v>
      </c>
      <c r="R667" t="str">
        <f>IFERROR(__xludf.DUMMYFUNCTION("""COMPUTED_VALUE"""),"None")</f>
        <v>None</v>
      </c>
      <c r="X667" t="str">
        <f>IFERROR(__xludf.DUMMYFUNCTION("""COMPUTED_VALUE"""),"Excellent")</f>
        <v>Excellent</v>
      </c>
      <c r="Y667" t="str">
        <f>IFERROR(__xludf.DUMMYFUNCTION("""COMPUTED_VALUE"""),"Excellent")</f>
        <v>Excellent</v>
      </c>
      <c r="Z667" t="str">
        <f>IFERROR(__xludf.DUMMYFUNCTION("""COMPUTED_VALUE"""),"Excellent")</f>
        <v>Excellent</v>
      </c>
      <c r="AA667" t="str">
        <f>IFERROR(__xludf.DUMMYFUNCTION("""COMPUTED_VALUE"""),"Excellent")</f>
        <v>Excellent</v>
      </c>
      <c r="AB667" t="str">
        <f>IFERROR(__xludf.DUMMYFUNCTION("""COMPUTED_VALUE"""),"Excellent")</f>
        <v>Excellent</v>
      </c>
      <c r="AC667">
        <f>IFERROR(__xludf.DUMMYFUNCTION("""COMPUTED_VALUE"""),0.0)</f>
        <v>0</v>
      </c>
      <c r="AD667">
        <f>IFERROR(__xludf.DUMMYFUNCTION("""COMPUTED_VALUE"""),0.0)</f>
        <v>0</v>
      </c>
      <c r="AE667">
        <f>IFERROR(__xludf.DUMMYFUNCTION("""COMPUTED_VALUE"""),0.0)</f>
        <v>0</v>
      </c>
      <c r="AH667" s="189">
        <f>IFERROR(__xludf.DUMMYFUNCTION("""COMPUTED_VALUE"""),43353.86421472223)</f>
        <v>43353.86421</v>
      </c>
    </row>
    <row r="668">
      <c r="A668" t="str">
        <f>IFERROR(__xludf.DUMMYFUNCTION("""COMPUTED_VALUE"""),"Tommy Bahama")</f>
        <v>Tommy Bahama</v>
      </c>
      <c r="C668" t="str">
        <f>IFERROR(__xludf.DUMMYFUNCTION("""COMPUTED_VALUE"""),"OK")</f>
        <v>OK</v>
      </c>
      <c r="D668" t="str">
        <f>IFERROR(__xludf.DUMMYFUNCTION("""COMPUTED_VALUE"""),"USA")</f>
        <v>USA</v>
      </c>
      <c r="E668" s="188">
        <f>IFERROR(__xludf.DUMMYFUNCTION("""COMPUTED_VALUE"""),43313.0)</f>
        <v>43313</v>
      </c>
      <c r="F668" s="188">
        <f>IFERROR(__xludf.DUMMYFUNCTION("""COMPUTED_VALUE"""),43342.0)</f>
        <v>43342</v>
      </c>
      <c r="H668">
        <f>IFERROR(__xludf.DUMMYFUNCTION("""COMPUTED_VALUE"""),69655.0)</f>
        <v>69655</v>
      </c>
      <c r="I668" t="str">
        <f>IFERROR(__xludf.DUMMYFUNCTION("""COMPUTED_VALUE"""),"08/18")</f>
        <v>08/18</v>
      </c>
      <c r="J668" s="5">
        <f>IFERROR(__xludf.DUMMYFUNCTION("""COMPUTED_VALUE"""),43353.0)</f>
        <v>43353</v>
      </c>
      <c r="K668">
        <f>IFERROR(__xludf.DUMMYFUNCTION("""COMPUTED_VALUE"""),29.0)</f>
        <v>29</v>
      </c>
      <c r="L668">
        <f>IFERROR(__xludf.DUMMYFUNCTION("""COMPUTED_VALUE"""),11.0)</f>
        <v>11</v>
      </c>
      <c r="M668">
        <f>IFERROR(__xludf.DUMMYFUNCTION("""COMPUTED_VALUE"""),40.0)</f>
        <v>40</v>
      </c>
      <c r="N668" t="str">
        <f>IFERROR(__xludf.DUMMYFUNCTION("""COMPUTED_VALUE"""),"Model 3 Performance")</f>
        <v>Model 3 Performance</v>
      </c>
      <c r="O668" t="str">
        <f>IFERROR(__xludf.DUMMYFUNCTION("""COMPUTED_VALUE"""),"Obsidian Black Metallic")</f>
        <v>Obsidian Black Metallic</v>
      </c>
      <c r="P668" t="str">
        <f>IFERROR(__xludf.DUMMYFUNCTION("""COMPUTED_VALUE"""),"20 inch Sport")</f>
        <v>20 inch Sport</v>
      </c>
      <c r="Q668" t="str">
        <f>IFERROR(__xludf.DUMMYFUNCTION("""COMPUTED_VALUE"""),"Black seats")</f>
        <v>Black seats</v>
      </c>
      <c r="R668" t="str">
        <f>IFERROR(__xludf.DUMMYFUNCTION("""COMPUTED_VALUE"""),"Enhanced Autopilot")</f>
        <v>Enhanced Autopilot</v>
      </c>
      <c r="X668" t="str">
        <f>IFERROR(__xludf.DUMMYFUNCTION("""COMPUTED_VALUE"""),"Excellent")</f>
        <v>Excellent</v>
      </c>
      <c r="Y668" t="str">
        <f>IFERROR(__xludf.DUMMYFUNCTION("""COMPUTED_VALUE"""),"Excellent")</f>
        <v>Excellent</v>
      </c>
      <c r="Z668" t="str">
        <f>IFERROR(__xludf.DUMMYFUNCTION("""COMPUTED_VALUE"""),"Fair")</f>
        <v>Fair</v>
      </c>
      <c r="AA668" t="str">
        <f>IFERROR(__xludf.DUMMYFUNCTION("""COMPUTED_VALUE"""),"Good")</f>
        <v>Good</v>
      </c>
      <c r="AB668" t="str">
        <f>IFERROR(__xludf.DUMMYFUNCTION("""COMPUTED_VALUE"""),"Good")</f>
        <v>Good</v>
      </c>
      <c r="AH668" s="189">
        <f>IFERROR(__xludf.DUMMYFUNCTION("""COMPUTED_VALUE"""),43354.30999540509)</f>
        <v>43354.31</v>
      </c>
    </row>
    <row r="669">
      <c r="A669" t="str">
        <f>IFERROR(__xludf.DUMMYFUNCTION("""COMPUTED_VALUE"""),"TeslaDallas")</f>
        <v>TeslaDallas</v>
      </c>
      <c r="C669" t="str">
        <f>IFERROR(__xludf.DUMMYFUNCTION("""COMPUTED_VALUE"""),"TX")</f>
        <v>TX</v>
      </c>
      <c r="D669" t="str">
        <f>IFERROR(__xludf.DUMMYFUNCTION("""COMPUTED_VALUE"""),"USA")</f>
        <v>USA</v>
      </c>
      <c r="E669" s="188">
        <f>IFERROR(__xludf.DUMMYFUNCTION("""COMPUTED_VALUE"""),43298.0)</f>
        <v>43298</v>
      </c>
      <c r="F669" s="188">
        <f>IFERROR(__xludf.DUMMYFUNCTION("""COMPUTED_VALUE"""),43326.0)</f>
        <v>43326</v>
      </c>
      <c r="H669">
        <f>IFERROR(__xludf.DUMMYFUNCTION("""COMPUTED_VALUE"""),38905.0)</f>
        <v>38905</v>
      </c>
      <c r="J669" s="5">
        <f>IFERROR(__xludf.DUMMYFUNCTION("""COMPUTED_VALUE"""),43342.0)</f>
        <v>43342</v>
      </c>
      <c r="K669">
        <f>IFERROR(__xludf.DUMMYFUNCTION("""COMPUTED_VALUE"""),28.0)</f>
        <v>28</v>
      </c>
      <c r="L669">
        <f>IFERROR(__xludf.DUMMYFUNCTION("""COMPUTED_VALUE"""),16.0)</f>
        <v>16</v>
      </c>
      <c r="M669">
        <f>IFERROR(__xludf.DUMMYFUNCTION("""COMPUTED_VALUE"""),44.0)</f>
        <v>44</v>
      </c>
      <c r="N669" t="str">
        <f>IFERROR(__xludf.DUMMYFUNCTION("""COMPUTED_VALUE"""),"Model 3 LR")</f>
        <v>Model 3 LR</v>
      </c>
      <c r="O669" t="str">
        <f>IFERROR(__xludf.DUMMYFUNCTION("""COMPUTED_VALUE"""),"Pearl White Multi-Coat")</f>
        <v>Pearl White Multi-Coat</v>
      </c>
      <c r="P669" t="str">
        <f>IFERROR(__xludf.DUMMYFUNCTION("""COMPUTED_VALUE"""),"19 inch Sport")</f>
        <v>19 inch Sport</v>
      </c>
      <c r="Q669" t="str">
        <f>IFERROR(__xludf.DUMMYFUNCTION("""COMPUTED_VALUE"""),"Black seats")</f>
        <v>Black seats</v>
      </c>
      <c r="R669" t="str">
        <f>IFERROR(__xludf.DUMMYFUNCTION("""COMPUTED_VALUE"""),"Enhanced Autopilot")</f>
        <v>Enhanced Autopilot</v>
      </c>
      <c r="X669" t="str">
        <f>IFERROR(__xludf.DUMMYFUNCTION("""COMPUTED_VALUE"""),"Excellent")</f>
        <v>Excellent</v>
      </c>
      <c r="Y669" t="str">
        <f>IFERROR(__xludf.DUMMYFUNCTION("""COMPUTED_VALUE"""),"Excellent")</f>
        <v>Excellent</v>
      </c>
      <c r="Z669" t="str">
        <f>IFERROR(__xludf.DUMMYFUNCTION("""COMPUTED_VALUE"""),"Excellent")</f>
        <v>Excellent</v>
      </c>
      <c r="AA669" t="str">
        <f>IFERROR(__xludf.DUMMYFUNCTION("""COMPUTED_VALUE"""),"Fair")</f>
        <v>Fair</v>
      </c>
      <c r="AB669" t="str">
        <f>IFERROR(__xludf.DUMMYFUNCTION("""COMPUTED_VALUE"""),"Very Good")</f>
        <v>Very Good</v>
      </c>
      <c r="AC669">
        <f>IFERROR(__xludf.DUMMYFUNCTION("""COMPUTED_VALUE"""),0.0)</f>
        <v>0</v>
      </c>
      <c r="AD669">
        <f>IFERROR(__xludf.DUMMYFUNCTION("""COMPUTED_VALUE"""),0.0)</f>
        <v>0</v>
      </c>
      <c r="AE669">
        <f>IFERROR(__xludf.DUMMYFUNCTION("""COMPUTED_VALUE"""),0.0)</f>
        <v>0</v>
      </c>
      <c r="AH669" s="189">
        <f>IFERROR(__xludf.DUMMYFUNCTION("""COMPUTED_VALUE"""),43354.36253067129)</f>
        <v>43354.36253</v>
      </c>
    </row>
    <row r="670">
      <c r="A670" t="str">
        <f>IFERROR(__xludf.DUMMYFUNCTION("""COMPUTED_VALUE"""),"passswordistaco")</f>
        <v>passswordistaco</v>
      </c>
      <c r="B670" t="str">
        <f>IFERROR(__xludf.DUMMYFUNCTION("""COMPUTED_VALUE"""),"SoCal")</f>
        <v>SoCal</v>
      </c>
      <c r="C670" t="str">
        <f>IFERROR(__xludf.DUMMYFUNCTION("""COMPUTED_VALUE"""),"CA")</f>
        <v>CA</v>
      </c>
      <c r="D670" t="str">
        <f>IFERROR(__xludf.DUMMYFUNCTION("""COMPUTED_VALUE"""),"USA")</f>
        <v>USA</v>
      </c>
      <c r="E670" s="188">
        <f>IFERROR(__xludf.DUMMYFUNCTION("""COMPUTED_VALUE"""),43367.0)</f>
        <v>43367</v>
      </c>
      <c r="H670">
        <f>IFERROR(__xludf.DUMMYFUNCTION("""COMPUTED_VALUE"""),96755.0)</f>
        <v>96755</v>
      </c>
      <c r="J670" s="5">
        <f>IFERROR(__xludf.DUMMYFUNCTION("""COMPUTED_VALUE"""),43345.0)</f>
        <v>43345</v>
      </c>
      <c r="N670" t="str">
        <f>IFERROR(__xludf.DUMMYFUNCTION("""COMPUTED_VALUE"""),"Model 3 LR AWD")</f>
        <v>Model 3 LR AWD</v>
      </c>
      <c r="O670" t="str">
        <f>IFERROR(__xludf.DUMMYFUNCTION("""COMPUTED_VALUE"""),"Pearl White Multi-Coat")</f>
        <v>Pearl White Multi-Coat</v>
      </c>
      <c r="P670" t="str">
        <f>IFERROR(__xludf.DUMMYFUNCTION("""COMPUTED_VALUE"""),"18 inch Aero")</f>
        <v>18 inch Aero</v>
      </c>
      <c r="Q670" t="str">
        <f>IFERROR(__xludf.DUMMYFUNCTION("""COMPUTED_VALUE"""),"White seats")</f>
        <v>White seats</v>
      </c>
      <c r="R670" t="str">
        <f>IFERROR(__xludf.DUMMYFUNCTION("""COMPUTED_VALUE"""),"Enhanced Autopilot")</f>
        <v>Enhanced Autopilot</v>
      </c>
      <c r="X670" t="str">
        <f>IFERROR(__xludf.DUMMYFUNCTION("""COMPUTED_VALUE"""),"Good")</f>
        <v>Good</v>
      </c>
      <c r="Y670" t="str">
        <f>IFERROR(__xludf.DUMMYFUNCTION("""COMPUTED_VALUE"""),"Excellent")</f>
        <v>Excellent</v>
      </c>
      <c r="Z670" t="str">
        <f>IFERROR(__xludf.DUMMYFUNCTION("""COMPUTED_VALUE"""),"Excellent")</f>
        <v>Excellent</v>
      </c>
      <c r="AA670" t="str">
        <f>IFERROR(__xludf.DUMMYFUNCTION("""COMPUTED_VALUE"""),"Excellent")</f>
        <v>Excellent</v>
      </c>
      <c r="AB670" t="str">
        <f>IFERROR(__xludf.DUMMYFUNCTION("""COMPUTED_VALUE"""),"Very Good")</f>
        <v>Very Good</v>
      </c>
      <c r="AC670">
        <f>IFERROR(__xludf.DUMMYFUNCTION("""COMPUTED_VALUE"""),1.0)</f>
        <v>1</v>
      </c>
      <c r="AD670">
        <f>IFERROR(__xludf.DUMMYFUNCTION("""COMPUTED_VALUE"""),0.0)</f>
        <v>0</v>
      </c>
      <c r="AE670">
        <f>IFERROR(__xludf.DUMMYFUNCTION("""COMPUTED_VALUE"""),0.0)</f>
        <v>0</v>
      </c>
      <c r="AH670" s="189">
        <f>IFERROR(__xludf.DUMMYFUNCTION("""COMPUTED_VALUE"""),43354.363368136575)</f>
        <v>43354.36337</v>
      </c>
    </row>
    <row r="671">
      <c r="A671" t="str">
        <f>IFERROR(__xludf.DUMMYFUNCTION("""COMPUTED_VALUE"""),"roarkrd")</f>
        <v>roarkrd</v>
      </c>
      <c r="B671" t="str">
        <f>IFERROR(__xludf.DUMMYFUNCTION("""COMPUTED_VALUE"""),"Columbia")</f>
        <v>Columbia</v>
      </c>
      <c r="C671" t="str">
        <f>IFERROR(__xludf.DUMMYFUNCTION("""COMPUTED_VALUE"""),"MO")</f>
        <v>MO</v>
      </c>
      <c r="D671" t="str">
        <f>IFERROR(__xludf.DUMMYFUNCTION("""COMPUTED_VALUE"""),"USA")</f>
        <v>USA</v>
      </c>
      <c r="E671" s="188">
        <f>IFERROR(__xludf.DUMMYFUNCTION("""COMPUTED_VALUE"""),43326.0)</f>
        <v>43326</v>
      </c>
      <c r="F671" s="188">
        <f>IFERROR(__xludf.DUMMYFUNCTION("""COMPUTED_VALUE"""),43339.0)</f>
        <v>43339</v>
      </c>
      <c r="H671">
        <f>IFERROR(__xludf.DUMMYFUNCTION("""COMPUTED_VALUE"""),78202.0)</f>
        <v>78202</v>
      </c>
      <c r="I671" t="str">
        <f>IFERROR(__xludf.DUMMYFUNCTION("""COMPUTED_VALUE"""),"08/18")</f>
        <v>08/18</v>
      </c>
      <c r="J671" s="5">
        <f>IFERROR(__xludf.DUMMYFUNCTION("""COMPUTED_VALUE"""),43350.0)</f>
        <v>43350</v>
      </c>
      <c r="K671">
        <f>IFERROR(__xludf.DUMMYFUNCTION("""COMPUTED_VALUE"""),13.0)</f>
        <v>13</v>
      </c>
      <c r="L671">
        <f>IFERROR(__xludf.DUMMYFUNCTION("""COMPUTED_VALUE"""),11.0)</f>
        <v>11</v>
      </c>
      <c r="M671">
        <f>IFERROR(__xludf.DUMMYFUNCTION("""COMPUTED_VALUE"""),24.0)</f>
        <v>24</v>
      </c>
      <c r="N671" t="str">
        <f>IFERROR(__xludf.DUMMYFUNCTION("""COMPUTED_VALUE"""),"Model 3 LR")</f>
        <v>Model 3 LR</v>
      </c>
      <c r="O671" t="str">
        <f>IFERROR(__xludf.DUMMYFUNCTION("""COMPUTED_VALUE"""),"Solid Black")</f>
        <v>Solid Black</v>
      </c>
      <c r="P671" t="str">
        <f>IFERROR(__xludf.DUMMYFUNCTION("""COMPUTED_VALUE"""),"18 inch Aero")</f>
        <v>18 inch Aero</v>
      </c>
      <c r="Q671" t="str">
        <f>IFERROR(__xludf.DUMMYFUNCTION("""COMPUTED_VALUE"""),"Black seats")</f>
        <v>Black seats</v>
      </c>
      <c r="R671" t="str">
        <f>IFERROR(__xludf.DUMMYFUNCTION("""COMPUTED_VALUE"""),"None")</f>
        <v>None</v>
      </c>
      <c r="X671" t="str">
        <f>IFERROR(__xludf.DUMMYFUNCTION("""COMPUTED_VALUE"""),"Excellent")</f>
        <v>Excellent</v>
      </c>
      <c r="Y671" t="str">
        <f>IFERROR(__xludf.DUMMYFUNCTION("""COMPUTED_VALUE"""),"Excellent")</f>
        <v>Excellent</v>
      </c>
      <c r="Z671" t="str">
        <f>IFERROR(__xludf.DUMMYFUNCTION("""COMPUTED_VALUE"""),"Very Good")</f>
        <v>Very Good</v>
      </c>
      <c r="AA671" t="str">
        <f>IFERROR(__xludf.DUMMYFUNCTION("""COMPUTED_VALUE"""),"Good")</f>
        <v>Good</v>
      </c>
      <c r="AB671" t="str">
        <f>IFERROR(__xludf.DUMMYFUNCTION("""COMPUTED_VALUE"""),"Very Good")</f>
        <v>Very Good</v>
      </c>
      <c r="AC671">
        <f>IFERROR(__xludf.DUMMYFUNCTION("""COMPUTED_VALUE"""),3.0)</f>
        <v>3</v>
      </c>
      <c r="AD671">
        <f>IFERROR(__xludf.DUMMYFUNCTION("""COMPUTED_VALUE"""),1.0)</f>
        <v>1</v>
      </c>
      <c r="AE671">
        <f>IFERROR(__xludf.DUMMYFUNCTION("""COMPUTED_VALUE"""),0.0)</f>
        <v>0</v>
      </c>
      <c r="AG671" t="str">
        <f>IFERROR(__xludf.DUMMYFUNCTION("""COMPUTED_VALUE"""),"UMC button will not open charge port, front passenger window doesn't roll down all the way, left turn signal does not function properly (no 3 signal option, gets stuck on)")</f>
        <v>UMC button will not open charge port, front passenger window doesn't roll down all the way, left turn signal does not function properly (no 3 signal option, gets stuck on)</v>
      </c>
      <c r="AH671" s="189">
        <f>IFERROR(__xludf.DUMMYFUNCTION("""COMPUTED_VALUE"""),43354.573483796295)</f>
        <v>43354.57348</v>
      </c>
    </row>
    <row r="672">
      <c r="A672" t="str">
        <f>IFERROR(__xludf.DUMMYFUNCTION("""COMPUTED_VALUE"""),"okitsugu")</f>
        <v>okitsugu</v>
      </c>
      <c r="B672" t="str">
        <f>IFERROR(__xludf.DUMMYFUNCTION("""COMPUTED_VALUE"""),"Provo")</f>
        <v>Provo</v>
      </c>
      <c r="C672" t="str">
        <f>IFERROR(__xludf.DUMMYFUNCTION("""COMPUTED_VALUE"""),"UT")</f>
        <v>UT</v>
      </c>
      <c r="D672" t="str">
        <f>IFERROR(__xludf.DUMMYFUNCTION("""COMPUTED_VALUE"""),"USA")</f>
        <v>USA</v>
      </c>
      <c r="E672" s="188">
        <f>IFERROR(__xludf.DUMMYFUNCTION("""COMPUTED_VALUE"""),43278.0)</f>
        <v>43278</v>
      </c>
      <c r="F672" s="188">
        <f>IFERROR(__xludf.DUMMYFUNCTION("""COMPUTED_VALUE"""),43340.0)</f>
        <v>43340</v>
      </c>
      <c r="H672">
        <f>IFERROR(__xludf.DUMMYFUNCTION("""COMPUTED_VALUE"""),100135.0)</f>
        <v>100135</v>
      </c>
      <c r="J672" s="5">
        <f>IFERROR(__xludf.DUMMYFUNCTION("""COMPUTED_VALUE"""),43354.0)</f>
        <v>43354</v>
      </c>
      <c r="K672">
        <f>IFERROR(__xludf.DUMMYFUNCTION("""COMPUTED_VALUE"""),62.0)</f>
        <v>62</v>
      </c>
      <c r="L672">
        <f>IFERROR(__xludf.DUMMYFUNCTION("""COMPUTED_VALUE"""),14.0)</f>
        <v>14</v>
      </c>
      <c r="M672">
        <f>IFERROR(__xludf.DUMMYFUNCTION("""COMPUTED_VALUE"""),76.0)</f>
        <v>76</v>
      </c>
      <c r="N672" t="str">
        <f>IFERROR(__xludf.DUMMYFUNCTION("""COMPUTED_VALUE"""),"Model 3 Performance")</f>
        <v>Model 3 Performance</v>
      </c>
      <c r="O672" t="str">
        <f>IFERROR(__xludf.DUMMYFUNCTION("""COMPUTED_VALUE"""),"Pearl White Multi-Coat")</f>
        <v>Pearl White Multi-Coat</v>
      </c>
      <c r="P672" t="str">
        <f>IFERROR(__xludf.DUMMYFUNCTION("""COMPUTED_VALUE"""),"18 inch Aero")</f>
        <v>18 inch Aero</v>
      </c>
      <c r="Q672" t="str">
        <f>IFERROR(__xludf.DUMMYFUNCTION("""COMPUTED_VALUE"""),"White seats")</f>
        <v>White seats</v>
      </c>
      <c r="R672" t="str">
        <f>IFERROR(__xludf.DUMMYFUNCTION("""COMPUTED_VALUE"""),"None")</f>
        <v>None</v>
      </c>
      <c r="X672" t="str">
        <f>IFERROR(__xludf.DUMMYFUNCTION("""COMPUTED_VALUE"""),"Good")</f>
        <v>Good</v>
      </c>
      <c r="Y672" t="str">
        <f>IFERROR(__xludf.DUMMYFUNCTION("""COMPUTED_VALUE"""),"Good")</f>
        <v>Good</v>
      </c>
      <c r="Z672" t="str">
        <f>IFERROR(__xludf.DUMMYFUNCTION("""COMPUTED_VALUE"""),"Good")</f>
        <v>Good</v>
      </c>
      <c r="AA672" t="str">
        <f>IFERROR(__xludf.DUMMYFUNCTION("""COMPUTED_VALUE"""),"Excellent")</f>
        <v>Excellent</v>
      </c>
      <c r="AB672" t="str">
        <f>IFERROR(__xludf.DUMMYFUNCTION("""COMPUTED_VALUE"""),"Poor")</f>
        <v>Poor</v>
      </c>
      <c r="AC672">
        <f>IFERROR(__xludf.DUMMYFUNCTION("""COMPUTED_VALUE"""),1.0)</f>
        <v>1</v>
      </c>
      <c r="AH672" s="189">
        <f>IFERROR(__xludf.DUMMYFUNCTION("""COMPUTED_VALUE"""),43354.60230525463)</f>
        <v>43354.60231</v>
      </c>
    </row>
    <row r="673">
      <c r="A673" t="str">
        <f>IFERROR(__xludf.DUMMYFUNCTION("""COMPUTED_VALUE"""),"awall")</f>
        <v>awall</v>
      </c>
      <c r="C673" t="str">
        <f>IFERROR(__xludf.DUMMYFUNCTION("""COMPUTED_VALUE"""),"MA")</f>
        <v>MA</v>
      </c>
      <c r="D673" t="str">
        <f>IFERROR(__xludf.DUMMYFUNCTION("""COMPUTED_VALUE"""),"USA")</f>
        <v>USA</v>
      </c>
      <c r="E673" s="188">
        <f>IFERROR(__xludf.DUMMYFUNCTION("""COMPUTED_VALUE"""),43284.0)</f>
        <v>43284</v>
      </c>
      <c r="F673" s="188">
        <f>IFERROR(__xludf.DUMMYFUNCTION("""COMPUTED_VALUE"""),43327.0)</f>
        <v>43327</v>
      </c>
      <c r="H673">
        <f>IFERROR(__xludf.DUMMYFUNCTION("""COMPUTED_VALUE"""),70501.0)</f>
        <v>70501</v>
      </c>
      <c r="J673" s="5">
        <f>IFERROR(__xludf.DUMMYFUNCTION("""COMPUTED_VALUE"""),43351.0)</f>
        <v>43351</v>
      </c>
      <c r="K673">
        <f>IFERROR(__xludf.DUMMYFUNCTION("""COMPUTED_VALUE"""),43.0)</f>
        <v>43</v>
      </c>
      <c r="L673">
        <f>IFERROR(__xludf.DUMMYFUNCTION("""COMPUTED_VALUE"""),24.0)</f>
        <v>24</v>
      </c>
      <c r="M673">
        <f>IFERROR(__xludf.DUMMYFUNCTION("""COMPUTED_VALUE"""),67.0)</f>
        <v>67</v>
      </c>
      <c r="N673" t="str">
        <f>IFERROR(__xludf.DUMMYFUNCTION("""COMPUTED_VALUE"""),"Model 3 LR AWD")</f>
        <v>Model 3 LR AWD</v>
      </c>
      <c r="O673" t="str">
        <f>IFERROR(__xludf.DUMMYFUNCTION("""COMPUTED_VALUE"""),"Obsidian Black Metallic")</f>
        <v>Obsidian Black Metallic</v>
      </c>
      <c r="P673" t="str">
        <f>IFERROR(__xludf.DUMMYFUNCTION("""COMPUTED_VALUE"""),"18 inch Aero")</f>
        <v>18 inch Aero</v>
      </c>
      <c r="Q673" t="str">
        <f>IFERROR(__xludf.DUMMYFUNCTION("""COMPUTED_VALUE"""),"Black seats")</f>
        <v>Black seats</v>
      </c>
      <c r="R673" t="str">
        <f>IFERROR(__xludf.DUMMYFUNCTION("""COMPUTED_VALUE"""),"Full Self-Driving")</f>
        <v>Full Self-Driving</v>
      </c>
      <c r="X673" t="str">
        <f>IFERROR(__xludf.DUMMYFUNCTION("""COMPUTED_VALUE"""),"Excellent")</f>
        <v>Excellent</v>
      </c>
      <c r="Y673" t="str">
        <f>IFERROR(__xludf.DUMMYFUNCTION("""COMPUTED_VALUE"""),"Excellent")</f>
        <v>Excellent</v>
      </c>
      <c r="Z673" t="str">
        <f>IFERROR(__xludf.DUMMYFUNCTION("""COMPUTED_VALUE"""),"Good")</f>
        <v>Good</v>
      </c>
      <c r="AA673" t="str">
        <f>IFERROR(__xludf.DUMMYFUNCTION("""COMPUTED_VALUE"""),"Fair")</f>
        <v>Fair</v>
      </c>
      <c r="AB673" t="str">
        <f>IFERROR(__xludf.DUMMYFUNCTION("""COMPUTED_VALUE"""),"Very Good")</f>
        <v>Very Good</v>
      </c>
      <c r="AC673">
        <f>IFERROR(__xludf.DUMMYFUNCTION("""COMPUTED_VALUE"""),0.0)</f>
        <v>0</v>
      </c>
      <c r="AD673">
        <f>IFERROR(__xludf.DUMMYFUNCTION("""COMPUTED_VALUE"""),0.0)</f>
        <v>0</v>
      </c>
      <c r="AG673" t="str">
        <f>IFERROR(__xludf.DUMMYFUNCTION("""COMPUTED_VALUE"""),"I was concerned when I went to pick up the car as I had not heard from anyone at Tesla since initially scheduling my appointment with the central delivery office.   I was surprised there was not even an email the night before.")</f>
        <v>I was concerned when I went to pick up the car as I had not heard from anyone at Tesla since initially scheduling my appointment with the central delivery office.   I was surprised there was not even an email the night before.</v>
      </c>
      <c r="AH673" s="189">
        <f>IFERROR(__xludf.DUMMYFUNCTION("""COMPUTED_VALUE"""),43354.75290303241)</f>
        <v>43354.7529</v>
      </c>
    </row>
    <row r="674">
      <c r="A674" t="str">
        <f>IFERROR(__xludf.DUMMYFUNCTION("""COMPUTED_VALUE"""),"Wise1919")</f>
        <v>Wise1919</v>
      </c>
      <c r="C674" t="str">
        <f>IFERROR(__xludf.DUMMYFUNCTION("""COMPUTED_VALUE"""),"PA")</f>
        <v>PA</v>
      </c>
      <c r="D674" t="str">
        <f>IFERROR(__xludf.DUMMYFUNCTION("""COMPUTED_VALUE"""),"USA")</f>
        <v>USA</v>
      </c>
      <c r="E674" s="188">
        <f>IFERROR(__xludf.DUMMYFUNCTION("""COMPUTED_VALUE"""),43277.0)</f>
        <v>43277</v>
      </c>
      <c r="F674" s="188">
        <f>IFERROR(__xludf.DUMMYFUNCTION("""COMPUTED_VALUE"""),43320.0)</f>
        <v>43320</v>
      </c>
      <c r="H674">
        <f>IFERROR(__xludf.DUMMYFUNCTION("""COMPUTED_VALUE"""),63355.0)</f>
        <v>63355</v>
      </c>
      <c r="I674" t="str">
        <f>IFERROR(__xludf.DUMMYFUNCTION("""COMPUTED_VALUE"""),"08/18")</f>
        <v>08/18</v>
      </c>
      <c r="J674" s="5">
        <f>IFERROR(__xludf.DUMMYFUNCTION("""COMPUTED_VALUE"""),43340.0)</f>
        <v>43340</v>
      </c>
      <c r="K674">
        <f>IFERROR(__xludf.DUMMYFUNCTION("""COMPUTED_VALUE"""),43.0)</f>
        <v>43</v>
      </c>
      <c r="L674">
        <f>IFERROR(__xludf.DUMMYFUNCTION("""COMPUTED_VALUE"""),20.0)</f>
        <v>20</v>
      </c>
      <c r="M674">
        <f>IFERROR(__xludf.DUMMYFUNCTION("""COMPUTED_VALUE"""),63.0)</f>
        <v>63</v>
      </c>
      <c r="N674" t="str">
        <f>IFERROR(__xludf.DUMMYFUNCTION("""COMPUTED_VALUE"""),"Model 3 Performance")</f>
        <v>Model 3 Performance</v>
      </c>
      <c r="O674" t="str">
        <f>IFERROR(__xludf.DUMMYFUNCTION("""COMPUTED_VALUE"""),"Red Multi-Coat")</f>
        <v>Red Multi-Coat</v>
      </c>
      <c r="P674" t="str">
        <f>IFERROR(__xludf.DUMMYFUNCTION("""COMPUTED_VALUE"""),"20 inch Sport")</f>
        <v>20 inch Sport</v>
      </c>
      <c r="Q674" t="str">
        <f>IFERROR(__xludf.DUMMYFUNCTION("""COMPUTED_VALUE"""),"White seats")</f>
        <v>White seats</v>
      </c>
      <c r="R674" t="str">
        <f>IFERROR(__xludf.DUMMYFUNCTION("""COMPUTED_VALUE"""),"Full Self-Driving")</f>
        <v>Full Self-Driving</v>
      </c>
      <c r="X674" t="str">
        <f>IFERROR(__xludf.DUMMYFUNCTION("""COMPUTED_VALUE"""),"Good")</f>
        <v>Good</v>
      </c>
      <c r="Y674" t="str">
        <f>IFERROR(__xludf.DUMMYFUNCTION("""COMPUTED_VALUE"""),"Excellent")</f>
        <v>Excellent</v>
      </c>
      <c r="Z674" t="str">
        <f>IFERROR(__xludf.DUMMYFUNCTION("""COMPUTED_VALUE"""),"Poor")</f>
        <v>Poor</v>
      </c>
      <c r="AA674" t="str">
        <f>IFERROR(__xludf.DUMMYFUNCTION("""COMPUTED_VALUE"""),"Fair")</f>
        <v>Fair</v>
      </c>
      <c r="AB674" t="str">
        <f>IFERROR(__xludf.DUMMYFUNCTION("""COMPUTED_VALUE"""),"Poor")</f>
        <v>Poor</v>
      </c>
      <c r="AC674">
        <f>IFERROR(__xludf.DUMMYFUNCTION("""COMPUTED_VALUE"""),9.0)</f>
        <v>9</v>
      </c>
      <c r="AH674" s="189">
        <f>IFERROR(__xludf.DUMMYFUNCTION("""COMPUTED_VALUE"""),43354.76136548611)</f>
        <v>43354.76137</v>
      </c>
    </row>
    <row r="675">
      <c r="A675" t="str">
        <f>IFERROR(__xludf.DUMMYFUNCTION("""COMPUTED_VALUE"""),"PessimiStick")</f>
        <v>PessimiStick</v>
      </c>
      <c r="C675" t="str">
        <f>IFERROR(__xludf.DUMMYFUNCTION("""COMPUTED_VALUE"""),"OH")</f>
        <v>OH</v>
      </c>
      <c r="D675" t="str">
        <f>IFERROR(__xludf.DUMMYFUNCTION("""COMPUTED_VALUE"""),"USA")</f>
        <v>USA</v>
      </c>
      <c r="E675" s="188">
        <f>IFERROR(__xludf.DUMMYFUNCTION("""COMPUTED_VALUE"""),43243.0)</f>
        <v>43243</v>
      </c>
      <c r="F675" s="188">
        <f>IFERROR(__xludf.DUMMYFUNCTION("""COMPUTED_VALUE"""),43348.0)</f>
        <v>43348</v>
      </c>
      <c r="H675">
        <f>IFERROR(__xludf.DUMMYFUNCTION("""COMPUTED_VALUE"""),72955.0)</f>
        <v>72955</v>
      </c>
      <c r="I675" t="str">
        <f>IFERROR(__xludf.DUMMYFUNCTION("""COMPUTED_VALUE"""),"08/18")</f>
        <v>08/18</v>
      </c>
      <c r="J675" s="5">
        <f>IFERROR(__xludf.DUMMYFUNCTION("""COMPUTED_VALUE"""),43354.0)</f>
        <v>43354</v>
      </c>
      <c r="K675">
        <f>IFERROR(__xludf.DUMMYFUNCTION("""COMPUTED_VALUE"""),105.0)</f>
        <v>105</v>
      </c>
      <c r="L675">
        <f>IFERROR(__xludf.DUMMYFUNCTION("""COMPUTED_VALUE"""),6.0)</f>
        <v>6</v>
      </c>
      <c r="M675">
        <f>IFERROR(__xludf.DUMMYFUNCTION("""COMPUTED_VALUE"""),111.0)</f>
        <v>111</v>
      </c>
      <c r="N675" t="str">
        <f>IFERROR(__xludf.DUMMYFUNCTION("""COMPUTED_VALUE"""),"Model 3 Performance")</f>
        <v>Model 3 Performance</v>
      </c>
      <c r="O675" t="str">
        <f>IFERROR(__xludf.DUMMYFUNCTION("""COMPUTED_VALUE"""),"Midnight Silver Metallic")</f>
        <v>Midnight Silver Metallic</v>
      </c>
      <c r="P675" t="str">
        <f>IFERROR(__xludf.DUMMYFUNCTION("""COMPUTED_VALUE"""),"20 inch Sport")</f>
        <v>20 inch Sport</v>
      </c>
      <c r="Q675" t="str">
        <f>IFERROR(__xludf.DUMMYFUNCTION("""COMPUTED_VALUE"""),"Black seats")</f>
        <v>Black seats</v>
      </c>
      <c r="R675" t="str">
        <f>IFERROR(__xludf.DUMMYFUNCTION("""COMPUTED_VALUE"""),"Enhanced Autopilot")</f>
        <v>Enhanced Autopilot</v>
      </c>
      <c r="X675" t="str">
        <f>IFERROR(__xludf.DUMMYFUNCTION("""COMPUTED_VALUE"""),"Excellent")</f>
        <v>Excellent</v>
      </c>
      <c r="Y675" t="str">
        <f>IFERROR(__xludf.DUMMYFUNCTION("""COMPUTED_VALUE"""),"Excellent")</f>
        <v>Excellent</v>
      </c>
      <c r="Z675" t="str">
        <f>IFERROR(__xludf.DUMMYFUNCTION("""COMPUTED_VALUE"""),"Very Good")</f>
        <v>Very Good</v>
      </c>
      <c r="AA675" t="str">
        <f>IFERROR(__xludf.DUMMYFUNCTION("""COMPUTED_VALUE"""),"Fair")</f>
        <v>Fair</v>
      </c>
      <c r="AB675" t="str">
        <f>IFERROR(__xludf.DUMMYFUNCTION("""COMPUTED_VALUE"""),"Good")</f>
        <v>Good</v>
      </c>
      <c r="AH675" s="189">
        <f>IFERROR(__xludf.DUMMYFUNCTION("""COMPUTED_VALUE"""),43354.80559452546)</f>
        <v>43354.80559</v>
      </c>
    </row>
    <row r="676">
      <c r="A676" t="str">
        <f>IFERROR(__xludf.DUMMYFUNCTION("""COMPUTED_VALUE"""),"cfscott78")</f>
        <v>cfscott78</v>
      </c>
      <c r="B676" t="str">
        <f>IFERROR(__xludf.DUMMYFUNCTION("""COMPUTED_VALUE"""),"Houston")</f>
        <v>Houston</v>
      </c>
      <c r="C676" t="str">
        <f>IFERROR(__xludf.DUMMYFUNCTION("""COMPUTED_VALUE"""),"TX")</f>
        <v>TX</v>
      </c>
      <c r="D676" t="str">
        <f>IFERROR(__xludf.DUMMYFUNCTION("""COMPUTED_VALUE"""),"USA")</f>
        <v>USA</v>
      </c>
      <c r="E676" s="188">
        <f>IFERROR(__xludf.DUMMYFUNCTION("""COMPUTED_VALUE"""),43278.0)</f>
        <v>43278</v>
      </c>
      <c r="F676" s="188">
        <f>IFERROR(__xludf.DUMMYFUNCTION("""COMPUTED_VALUE"""),43290.0)</f>
        <v>43290</v>
      </c>
      <c r="H676">
        <f>IFERROR(__xludf.DUMMYFUNCTION("""COMPUTED_VALUE"""),31890.0)</f>
        <v>31890</v>
      </c>
      <c r="I676" t="str">
        <f>IFERROR(__xludf.DUMMYFUNCTION("""COMPUTED_VALUE"""),"06/18")</f>
        <v>06/18</v>
      </c>
      <c r="J676" s="5">
        <f>IFERROR(__xludf.DUMMYFUNCTION("""COMPUTED_VALUE"""),43334.0)</f>
        <v>43334</v>
      </c>
      <c r="K676">
        <f>IFERROR(__xludf.DUMMYFUNCTION("""COMPUTED_VALUE"""),12.0)</f>
        <v>12</v>
      </c>
      <c r="L676">
        <f>IFERROR(__xludf.DUMMYFUNCTION("""COMPUTED_VALUE"""),44.0)</f>
        <v>44</v>
      </c>
      <c r="M676">
        <f>IFERROR(__xludf.DUMMYFUNCTION("""COMPUTED_VALUE"""),56.0)</f>
        <v>56</v>
      </c>
      <c r="N676" t="str">
        <f>IFERROR(__xludf.DUMMYFUNCTION("""COMPUTED_VALUE"""),"Model 3 LR")</f>
        <v>Model 3 LR</v>
      </c>
      <c r="O676" t="str">
        <f>IFERROR(__xludf.DUMMYFUNCTION("""COMPUTED_VALUE"""),"Deep Blue Metallic")</f>
        <v>Deep Blue Metallic</v>
      </c>
      <c r="P676" t="str">
        <f>IFERROR(__xludf.DUMMYFUNCTION("""COMPUTED_VALUE"""),"18 inch Aero")</f>
        <v>18 inch Aero</v>
      </c>
      <c r="Q676" t="str">
        <f>IFERROR(__xludf.DUMMYFUNCTION("""COMPUTED_VALUE"""),"Black seats")</f>
        <v>Black seats</v>
      </c>
      <c r="R676" t="str">
        <f>IFERROR(__xludf.DUMMYFUNCTION("""COMPUTED_VALUE"""),"Full Self-Driving")</f>
        <v>Full Self-Driving</v>
      </c>
      <c r="X676" t="str">
        <f>IFERROR(__xludf.DUMMYFUNCTION("""COMPUTED_VALUE"""),"Excellent")</f>
        <v>Excellent</v>
      </c>
      <c r="Y676" t="str">
        <f>IFERROR(__xludf.DUMMYFUNCTION("""COMPUTED_VALUE"""),"Excellent")</f>
        <v>Excellent</v>
      </c>
      <c r="Z676" t="str">
        <f>IFERROR(__xludf.DUMMYFUNCTION("""COMPUTED_VALUE"""),"Excellent")</f>
        <v>Excellent</v>
      </c>
      <c r="AA676" t="str">
        <f>IFERROR(__xludf.DUMMYFUNCTION("""COMPUTED_VALUE"""),"Very Good")</f>
        <v>Very Good</v>
      </c>
      <c r="AB676" t="str">
        <f>IFERROR(__xludf.DUMMYFUNCTION("""COMPUTED_VALUE"""),"Excellent")</f>
        <v>Excellent</v>
      </c>
      <c r="AC676">
        <f>IFERROR(__xludf.DUMMYFUNCTION("""COMPUTED_VALUE"""),0.0)</f>
        <v>0</v>
      </c>
      <c r="AD676">
        <f>IFERROR(__xludf.DUMMYFUNCTION("""COMPUTED_VALUE"""),0.0)</f>
        <v>0</v>
      </c>
      <c r="AE676">
        <f>IFERROR(__xludf.DUMMYFUNCTION("""COMPUTED_VALUE"""),0.0)</f>
        <v>0</v>
      </c>
      <c r="AG676" t="str">
        <f>IFERROR(__xludf.DUMMYFUNCTION("""COMPUTED_VALUE"""),"Late to the party - but car is just compelling")</f>
        <v>Late to the party - but car is just compelling</v>
      </c>
      <c r="AH676" s="189">
        <f>IFERROR(__xludf.DUMMYFUNCTION("""COMPUTED_VALUE"""),43354.823249803245)</f>
        <v>43354.82325</v>
      </c>
    </row>
    <row r="677">
      <c r="A677" t="str">
        <f>IFERROR(__xludf.DUMMYFUNCTION("""COMPUTED_VALUE"""),"smf")</f>
        <v>smf</v>
      </c>
      <c r="B677" t="str">
        <f>IFERROR(__xludf.DUMMYFUNCTION("""COMPUTED_VALUE"""),"Seattle")</f>
        <v>Seattle</v>
      </c>
      <c r="C677" t="str">
        <f>IFERROR(__xludf.DUMMYFUNCTION("""COMPUTED_VALUE"""),"WA")</f>
        <v>WA</v>
      </c>
      <c r="D677" t="str">
        <f>IFERROR(__xludf.DUMMYFUNCTION("""COMPUTED_VALUE"""),"USA")</f>
        <v>USA</v>
      </c>
      <c r="E677" s="188">
        <f>IFERROR(__xludf.DUMMYFUNCTION("""COMPUTED_VALUE"""),43279.0)</f>
        <v>43279</v>
      </c>
      <c r="F677" s="188">
        <f>IFERROR(__xludf.DUMMYFUNCTION("""COMPUTED_VALUE"""),43348.0)</f>
        <v>43348</v>
      </c>
      <c r="H677" s="4">
        <f>IFERROR(__xludf.DUMMYFUNCTION("""COMPUTED_VALUE"""),65352.0)</f>
        <v>65352</v>
      </c>
      <c r="I677" t="str">
        <f>IFERROR(__xludf.DUMMYFUNCTION("""COMPUTED_VALUE"""),"09/18")</f>
        <v>09/18</v>
      </c>
      <c r="J677" s="5">
        <f>IFERROR(__xludf.DUMMYFUNCTION("""COMPUTED_VALUE"""),43354.0)</f>
        <v>43354</v>
      </c>
      <c r="K677">
        <f>IFERROR(__xludf.DUMMYFUNCTION("""COMPUTED_VALUE"""),69.0)</f>
        <v>69</v>
      </c>
      <c r="L677">
        <f>IFERROR(__xludf.DUMMYFUNCTION("""COMPUTED_VALUE"""),6.0)</f>
        <v>6</v>
      </c>
      <c r="M677">
        <f>IFERROR(__xludf.DUMMYFUNCTION("""COMPUTED_VALUE"""),75.0)</f>
        <v>75</v>
      </c>
      <c r="N677" t="str">
        <f>IFERROR(__xludf.DUMMYFUNCTION("""COMPUTED_VALUE"""),"Model 3 LR AWD")</f>
        <v>Model 3 LR AWD</v>
      </c>
      <c r="O677" t="str">
        <f>IFERROR(__xludf.DUMMYFUNCTION("""COMPUTED_VALUE"""),"Silver Metallic")</f>
        <v>Silver Metallic</v>
      </c>
      <c r="P677" t="str">
        <f>IFERROR(__xludf.DUMMYFUNCTION("""COMPUTED_VALUE"""),"18 inch Aero")</f>
        <v>18 inch Aero</v>
      </c>
      <c r="Q677" t="str">
        <f>IFERROR(__xludf.DUMMYFUNCTION("""COMPUTED_VALUE"""),"Black seats")</f>
        <v>Black seats</v>
      </c>
      <c r="R677" t="str">
        <f>IFERROR(__xludf.DUMMYFUNCTION("""COMPUTED_VALUE"""),"Enhanced Autopilot")</f>
        <v>Enhanced Autopilot</v>
      </c>
      <c r="X677" t="str">
        <f>IFERROR(__xludf.DUMMYFUNCTION("""COMPUTED_VALUE"""),"Excellent")</f>
        <v>Excellent</v>
      </c>
      <c r="Y677" t="str">
        <f>IFERROR(__xludf.DUMMYFUNCTION("""COMPUTED_VALUE"""),"Excellent")</f>
        <v>Excellent</v>
      </c>
      <c r="Z677" t="str">
        <f>IFERROR(__xludf.DUMMYFUNCTION("""COMPUTED_VALUE"""),"Very Good")</f>
        <v>Very Good</v>
      </c>
      <c r="AA677" t="str">
        <f>IFERROR(__xludf.DUMMYFUNCTION("""COMPUTED_VALUE"""),"Fair")</f>
        <v>Fair</v>
      </c>
      <c r="AB677" t="str">
        <f>IFERROR(__xludf.DUMMYFUNCTION("""COMPUTED_VALUE"""),"Very Good")</f>
        <v>Very Good</v>
      </c>
      <c r="AH677" s="189">
        <f>IFERROR(__xludf.DUMMYFUNCTION("""COMPUTED_VALUE"""),43354.825192986114)</f>
        <v>43354.82519</v>
      </c>
    </row>
    <row r="678">
      <c r="A678" t="str">
        <f>IFERROR(__xludf.DUMMYFUNCTION("""COMPUTED_VALUE"""),"thecakeisalie")</f>
        <v>thecakeisalie</v>
      </c>
      <c r="C678" t="str">
        <f>IFERROR(__xludf.DUMMYFUNCTION("""COMPUTED_VALUE"""),"CA")</f>
        <v>CA</v>
      </c>
      <c r="D678" t="str">
        <f>IFERROR(__xludf.DUMMYFUNCTION("""COMPUTED_VALUE"""),"USA")</f>
        <v>USA</v>
      </c>
      <c r="E678" s="188">
        <f>IFERROR(__xludf.DUMMYFUNCTION("""COMPUTED_VALUE"""),43279.0)</f>
        <v>43279</v>
      </c>
      <c r="H678">
        <f>IFERROR(__xludf.DUMMYFUNCTION("""COMPUTED_VALUE"""),72555.0)</f>
        <v>72555</v>
      </c>
      <c r="J678" s="5">
        <f>IFERROR(__xludf.DUMMYFUNCTION("""COMPUTED_VALUE"""),43353.0)</f>
        <v>43353</v>
      </c>
      <c r="M678">
        <f>IFERROR(__xludf.DUMMYFUNCTION("""COMPUTED_VALUE"""),74.0)</f>
        <v>74</v>
      </c>
      <c r="N678" t="str">
        <f>IFERROR(__xludf.DUMMYFUNCTION("""COMPUTED_VALUE"""),"Model 3 Performance")</f>
        <v>Model 3 Performance</v>
      </c>
      <c r="O678" t="str">
        <f>IFERROR(__xludf.DUMMYFUNCTION("""COMPUTED_VALUE"""),"Pearl White Multi-Coat")</f>
        <v>Pearl White Multi-Coat</v>
      </c>
      <c r="P678" t="str">
        <f>IFERROR(__xludf.DUMMYFUNCTION("""COMPUTED_VALUE"""),"20 inch Sport")</f>
        <v>20 inch Sport</v>
      </c>
      <c r="Q678" t="str">
        <f>IFERROR(__xludf.DUMMYFUNCTION("""COMPUTED_VALUE"""),"Black seats")</f>
        <v>Black seats</v>
      </c>
      <c r="R678" t="str">
        <f>IFERROR(__xludf.DUMMYFUNCTION("""COMPUTED_VALUE"""),"Full Self-Driving")</f>
        <v>Full Self-Driving</v>
      </c>
      <c r="X678" t="str">
        <f>IFERROR(__xludf.DUMMYFUNCTION("""COMPUTED_VALUE"""),"Excellent")</f>
        <v>Excellent</v>
      </c>
      <c r="Y678" t="str">
        <f>IFERROR(__xludf.DUMMYFUNCTION("""COMPUTED_VALUE"""),"Very Good")</f>
        <v>Very Good</v>
      </c>
      <c r="Z678" t="str">
        <f>IFERROR(__xludf.DUMMYFUNCTION("""COMPUTED_VALUE"""),"Excellent")</f>
        <v>Excellent</v>
      </c>
      <c r="AA678" t="str">
        <f>IFERROR(__xludf.DUMMYFUNCTION("""COMPUTED_VALUE"""),"Very Good")</f>
        <v>Very Good</v>
      </c>
      <c r="AB678" t="str">
        <f>IFERROR(__xludf.DUMMYFUNCTION("""COMPUTED_VALUE"""),"Excellent")</f>
        <v>Excellent</v>
      </c>
      <c r="AC678">
        <f>IFERROR(__xludf.DUMMYFUNCTION("""COMPUTED_VALUE"""),2.0)</f>
        <v>2</v>
      </c>
      <c r="AH678" s="189">
        <f>IFERROR(__xludf.DUMMYFUNCTION("""COMPUTED_VALUE"""),43354.84945497685)</f>
        <v>43354.84945</v>
      </c>
    </row>
    <row r="679">
      <c r="A679" t="str">
        <f>IFERROR(__xludf.DUMMYFUNCTION("""COMPUTED_VALUE"""),"SpartacusMaximus")</f>
        <v>SpartacusMaximus</v>
      </c>
      <c r="C679" t="str">
        <f>IFERROR(__xludf.DUMMYFUNCTION("""COMPUTED_VALUE"""),"CA")</f>
        <v>CA</v>
      </c>
      <c r="D679" t="str">
        <f>IFERROR(__xludf.DUMMYFUNCTION("""COMPUTED_VALUE"""),"USA")</f>
        <v>USA</v>
      </c>
      <c r="E679" s="188">
        <f>IFERROR(__xludf.DUMMYFUNCTION("""COMPUTED_VALUE"""),43304.0)</f>
        <v>43304</v>
      </c>
      <c r="F679" s="188">
        <f>IFERROR(__xludf.DUMMYFUNCTION("""COMPUTED_VALUE"""),43349.0)</f>
        <v>43349</v>
      </c>
      <c r="H679">
        <f>IFERROR(__xludf.DUMMYFUNCTION("""COMPUTED_VALUE"""),97155.0)</f>
        <v>97155</v>
      </c>
      <c r="I679" t="str">
        <f>IFERROR(__xludf.DUMMYFUNCTION("""COMPUTED_VALUE"""),"08/18")</f>
        <v>08/18</v>
      </c>
      <c r="J679" s="5">
        <f>IFERROR(__xludf.DUMMYFUNCTION("""COMPUTED_VALUE"""),43352.0)</f>
        <v>43352</v>
      </c>
      <c r="K679">
        <f>IFERROR(__xludf.DUMMYFUNCTION("""COMPUTED_VALUE"""),45.0)</f>
        <v>45</v>
      </c>
      <c r="L679">
        <f>IFERROR(__xludf.DUMMYFUNCTION("""COMPUTED_VALUE"""),3.0)</f>
        <v>3</v>
      </c>
      <c r="M679">
        <f>IFERROR(__xludf.DUMMYFUNCTION("""COMPUTED_VALUE"""),48.0)</f>
        <v>48</v>
      </c>
      <c r="N679" t="str">
        <f>IFERROR(__xludf.DUMMYFUNCTION("""COMPUTED_VALUE"""),"Model 3 LR AWD")</f>
        <v>Model 3 LR AWD</v>
      </c>
      <c r="O679" t="str">
        <f>IFERROR(__xludf.DUMMYFUNCTION("""COMPUTED_VALUE"""),"Midnight Silver Metallic")</f>
        <v>Midnight Silver Metallic</v>
      </c>
      <c r="P679" t="str">
        <f>IFERROR(__xludf.DUMMYFUNCTION("""COMPUTED_VALUE"""),"19 inch Sport")</f>
        <v>19 inch Sport</v>
      </c>
      <c r="Q679" t="str">
        <f>IFERROR(__xludf.DUMMYFUNCTION("""COMPUTED_VALUE"""),"White seats")</f>
        <v>White seats</v>
      </c>
      <c r="R679" t="str">
        <f>IFERROR(__xludf.DUMMYFUNCTION("""COMPUTED_VALUE"""),"Enhanced Autopilot")</f>
        <v>Enhanced Autopilot</v>
      </c>
      <c r="X679" t="str">
        <f>IFERROR(__xludf.DUMMYFUNCTION("""COMPUTED_VALUE"""),"Excellent")</f>
        <v>Excellent</v>
      </c>
      <c r="Y679" t="str">
        <f>IFERROR(__xludf.DUMMYFUNCTION("""COMPUTED_VALUE"""),"Excellent")</f>
        <v>Excellent</v>
      </c>
      <c r="Z679" t="str">
        <f>IFERROR(__xludf.DUMMYFUNCTION("""COMPUTED_VALUE"""),"Excellent")</f>
        <v>Excellent</v>
      </c>
      <c r="AA679" t="str">
        <f>IFERROR(__xludf.DUMMYFUNCTION("""COMPUTED_VALUE"""),"Good")</f>
        <v>Good</v>
      </c>
      <c r="AB679" t="str">
        <f>IFERROR(__xludf.DUMMYFUNCTION("""COMPUTED_VALUE"""),"Very Good")</f>
        <v>Very Good</v>
      </c>
      <c r="AH679" s="189">
        <f>IFERROR(__xludf.DUMMYFUNCTION("""COMPUTED_VALUE"""),43354.871158449074)</f>
        <v>43354.87116</v>
      </c>
    </row>
    <row r="680">
      <c r="A680" t="str">
        <f>IFERROR(__xludf.DUMMYFUNCTION("""COMPUTED_VALUE"""),"Bravedog")</f>
        <v>Bravedog</v>
      </c>
      <c r="B680" t="str">
        <f>IFERROR(__xludf.DUMMYFUNCTION("""COMPUTED_VALUE"""),"Austin")</f>
        <v>Austin</v>
      </c>
      <c r="C680" t="str">
        <f>IFERROR(__xludf.DUMMYFUNCTION("""COMPUTED_VALUE"""),"TX")</f>
        <v>TX</v>
      </c>
      <c r="D680" t="str">
        <f>IFERROR(__xludf.DUMMYFUNCTION("""COMPUTED_VALUE"""),"USA")</f>
        <v>USA</v>
      </c>
      <c r="E680" s="188">
        <f>IFERROR(__xludf.DUMMYFUNCTION("""COMPUTED_VALUE"""),43205.0)</f>
        <v>43205</v>
      </c>
      <c r="F680" s="188">
        <f>IFERROR(__xludf.DUMMYFUNCTION("""COMPUTED_VALUE"""),43266.0)</f>
        <v>43266</v>
      </c>
      <c r="H680">
        <f>IFERROR(__xludf.DUMMYFUNCTION("""COMPUTED_VALUE"""),31380.0)</f>
        <v>31380</v>
      </c>
      <c r="J680" s="5">
        <f>IFERROR(__xludf.DUMMYFUNCTION("""COMPUTED_VALUE"""),43294.0)</f>
        <v>43294</v>
      </c>
      <c r="K680">
        <f>IFERROR(__xludf.DUMMYFUNCTION("""COMPUTED_VALUE"""),61.0)</f>
        <v>61</v>
      </c>
      <c r="L680">
        <f>IFERROR(__xludf.DUMMYFUNCTION("""COMPUTED_VALUE"""),28.0)</f>
        <v>28</v>
      </c>
      <c r="M680">
        <f>IFERROR(__xludf.DUMMYFUNCTION("""COMPUTED_VALUE"""),89.0)</f>
        <v>89</v>
      </c>
      <c r="N680" t="str">
        <f>IFERROR(__xludf.DUMMYFUNCTION("""COMPUTED_VALUE"""),"Model 3 LR")</f>
        <v>Model 3 LR</v>
      </c>
      <c r="O680" t="str">
        <f>IFERROR(__xludf.DUMMYFUNCTION("""COMPUTED_VALUE"""),"Solid Black")</f>
        <v>Solid Black</v>
      </c>
      <c r="P680" t="str">
        <f>IFERROR(__xludf.DUMMYFUNCTION("""COMPUTED_VALUE"""),"18 inch Aero")</f>
        <v>18 inch Aero</v>
      </c>
      <c r="Q680" t="str">
        <f>IFERROR(__xludf.DUMMYFUNCTION("""COMPUTED_VALUE"""),"Black seats")</f>
        <v>Black seats</v>
      </c>
      <c r="R680" t="str">
        <f>IFERROR(__xludf.DUMMYFUNCTION("""COMPUTED_VALUE"""),"Full Self-Driving")</f>
        <v>Full Self-Driving</v>
      </c>
      <c r="X680" t="str">
        <f>IFERROR(__xludf.DUMMYFUNCTION("""COMPUTED_VALUE"""),"Very Good")</f>
        <v>Very Good</v>
      </c>
      <c r="Y680" t="str">
        <f>IFERROR(__xludf.DUMMYFUNCTION("""COMPUTED_VALUE"""),"Good")</f>
        <v>Good</v>
      </c>
      <c r="Z680" t="str">
        <f>IFERROR(__xludf.DUMMYFUNCTION("""COMPUTED_VALUE"""),"Fair")</f>
        <v>Fair</v>
      </c>
      <c r="AA680" t="str">
        <f>IFERROR(__xludf.DUMMYFUNCTION("""COMPUTED_VALUE"""),"Good")</f>
        <v>Good</v>
      </c>
      <c r="AB680" t="str">
        <f>IFERROR(__xludf.DUMMYFUNCTION("""COMPUTED_VALUE"""),"Very Good")</f>
        <v>Very Good</v>
      </c>
      <c r="AC680">
        <f>IFERROR(__xludf.DUMMYFUNCTION("""COMPUTED_VALUE"""),3.0)</f>
        <v>3</v>
      </c>
      <c r="AD680">
        <f>IFERROR(__xludf.DUMMYFUNCTION("""COMPUTED_VALUE"""),1.0)</f>
        <v>1</v>
      </c>
      <c r="AE680">
        <f>IFERROR(__xludf.DUMMYFUNCTION("""COMPUTED_VALUE"""),19.0)</f>
        <v>19</v>
      </c>
      <c r="AH680" s="189">
        <f>IFERROR(__xludf.DUMMYFUNCTION("""COMPUTED_VALUE"""),43354.88820792824)</f>
        <v>43354.88821</v>
      </c>
    </row>
    <row r="681">
      <c r="A681" t="str">
        <f>IFERROR(__xludf.DUMMYFUNCTION("""COMPUTED_VALUE"""),"Len")</f>
        <v>Len</v>
      </c>
      <c r="B681" t="str">
        <f>IFERROR(__xludf.DUMMYFUNCTION("""COMPUTED_VALUE"""),"San Francisco Bay Area")</f>
        <v>San Francisco Bay Area</v>
      </c>
      <c r="C681" t="str">
        <f>IFERROR(__xludf.DUMMYFUNCTION("""COMPUTED_VALUE"""),"CA")</f>
        <v>CA</v>
      </c>
      <c r="D681" t="str">
        <f>IFERROR(__xludf.DUMMYFUNCTION("""COMPUTED_VALUE"""),"USA")</f>
        <v>USA</v>
      </c>
      <c r="E681" s="188">
        <f>IFERROR(__xludf.DUMMYFUNCTION("""COMPUTED_VALUE"""),43279.0)</f>
        <v>43279</v>
      </c>
      <c r="F681" s="188">
        <f>IFERROR(__xludf.DUMMYFUNCTION("""COMPUTED_VALUE"""),43332.0)</f>
        <v>43332</v>
      </c>
      <c r="H681">
        <f>IFERROR(__xludf.DUMMYFUNCTION("""COMPUTED_VALUE"""),66077.0)</f>
        <v>66077</v>
      </c>
      <c r="I681" t="str">
        <f>IFERROR(__xludf.DUMMYFUNCTION("""COMPUTED_VALUE"""),"08/18")</f>
        <v>08/18</v>
      </c>
      <c r="J681" s="5">
        <f>IFERROR(__xludf.DUMMYFUNCTION("""COMPUTED_VALUE"""),43335.0)</f>
        <v>43335</v>
      </c>
      <c r="K681">
        <f>IFERROR(__xludf.DUMMYFUNCTION("""COMPUTED_VALUE"""),53.0)</f>
        <v>53</v>
      </c>
      <c r="L681">
        <f>IFERROR(__xludf.DUMMYFUNCTION("""COMPUTED_VALUE"""),3.0)</f>
        <v>3</v>
      </c>
      <c r="M681">
        <f>IFERROR(__xludf.DUMMYFUNCTION("""COMPUTED_VALUE"""),56.0)</f>
        <v>56</v>
      </c>
      <c r="N681" t="str">
        <f>IFERROR(__xludf.DUMMYFUNCTION("""COMPUTED_VALUE"""),"Model 3 LR AWD")</f>
        <v>Model 3 LR AWD</v>
      </c>
      <c r="O681" t="str">
        <f>IFERROR(__xludf.DUMMYFUNCTION("""COMPUTED_VALUE"""),"Midnight Silver Metallic")</f>
        <v>Midnight Silver Metallic</v>
      </c>
      <c r="P681" t="str">
        <f>IFERROR(__xludf.DUMMYFUNCTION("""COMPUTED_VALUE"""),"18 inch Aero")</f>
        <v>18 inch Aero</v>
      </c>
      <c r="Q681" t="str">
        <f>IFERROR(__xludf.DUMMYFUNCTION("""COMPUTED_VALUE"""),"Black seats")</f>
        <v>Black seats</v>
      </c>
      <c r="R681" t="str">
        <f>IFERROR(__xludf.DUMMYFUNCTION("""COMPUTED_VALUE"""),"Enhanced Autopilot")</f>
        <v>Enhanced Autopilot</v>
      </c>
      <c r="X681" t="str">
        <f>IFERROR(__xludf.DUMMYFUNCTION("""COMPUTED_VALUE"""),"Good")</f>
        <v>Good</v>
      </c>
      <c r="Y681" t="str">
        <f>IFERROR(__xludf.DUMMYFUNCTION("""COMPUTED_VALUE"""),"Very Good")</f>
        <v>Very Good</v>
      </c>
      <c r="Z681" t="str">
        <f>IFERROR(__xludf.DUMMYFUNCTION("""COMPUTED_VALUE"""),"Very Good")</f>
        <v>Very Good</v>
      </c>
      <c r="AA681" t="str">
        <f>IFERROR(__xludf.DUMMYFUNCTION("""COMPUTED_VALUE"""),"Very Good")</f>
        <v>Very Good</v>
      </c>
      <c r="AB681" t="str">
        <f>IFERROR(__xludf.DUMMYFUNCTION("""COMPUTED_VALUE"""),"Good")</f>
        <v>Good</v>
      </c>
      <c r="AC681">
        <f>IFERROR(__xludf.DUMMYFUNCTION("""COMPUTED_VALUE"""),3.0)</f>
        <v>3</v>
      </c>
      <c r="AD681">
        <f>IFERROR(__xludf.DUMMYFUNCTION("""COMPUTED_VALUE"""),1.0)</f>
        <v>1</v>
      </c>
      <c r="AE681">
        <f>IFERROR(__xludf.DUMMYFUNCTION("""COMPUTED_VALUE"""),5.0)</f>
        <v>5</v>
      </c>
      <c r="AH681" s="189">
        <f>IFERROR(__xludf.DUMMYFUNCTION("""COMPUTED_VALUE"""),43354.89045146991)</f>
        <v>43354.89045</v>
      </c>
    </row>
    <row r="682">
      <c r="A682" t="str">
        <f>IFERROR(__xludf.DUMMYFUNCTION("""COMPUTED_VALUE"""),"KLS")</f>
        <v>KLS</v>
      </c>
      <c r="B682" t="str">
        <f>IFERROR(__xludf.DUMMYFUNCTION("""COMPUTED_VALUE"""),"Seattle")</f>
        <v>Seattle</v>
      </c>
      <c r="C682" t="str">
        <f>IFERROR(__xludf.DUMMYFUNCTION("""COMPUTED_VALUE"""),"WA")</f>
        <v>WA</v>
      </c>
      <c r="D682" t="str">
        <f>IFERROR(__xludf.DUMMYFUNCTION("""COMPUTED_VALUE"""),"USA")</f>
        <v>USA</v>
      </c>
      <c r="E682" s="188">
        <f>IFERROR(__xludf.DUMMYFUNCTION("""COMPUTED_VALUE"""),43280.0)</f>
        <v>43280</v>
      </c>
      <c r="F682" s="188">
        <f>IFERROR(__xludf.DUMMYFUNCTION("""COMPUTED_VALUE"""),43325.0)</f>
        <v>43325</v>
      </c>
      <c r="H682">
        <f>IFERROR(__xludf.DUMMYFUNCTION("""COMPUTED_VALUE"""),70555.0)</f>
        <v>70555</v>
      </c>
      <c r="I682" t="str">
        <f>IFERROR(__xludf.DUMMYFUNCTION("""COMPUTED_VALUE"""),"08/18")</f>
        <v>08/18</v>
      </c>
      <c r="J682" s="5">
        <f>IFERROR(__xludf.DUMMYFUNCTION("""COMPUTED_VALUE"""),43335.0)</f>
        <v>43335</v>
      </c>
      <c r="K682">
        <f>IFERROR(__xludf.DUMMYFUNCTION("""COMPUTED_VALUE"""),45.0)</f>
        <v>45</v>
      </c>
      <c r="L682">
        <f>IFERROR(__xludf.DUMMYFUNCTION("""COMPUTED_VALUE"""),10.0)</f>
        <v>10</v>
      </c>
      <c r="M682">
        <f>IFERROR(__xludf.DUMMYFUNCTION("""COMPUTED_VALUE"""),55.0)</f>
        <v>55</v>
      </c>
      <c r="N682" t="str">
        <f>IFERROR(__xludf.DUMMYFUNCTION("""COMPUTED_VALUE"""),"Model 3 LR AWD")</f>
        <v>Model 3 LR AWD</v>
      </c>
      <c r="O682" t="str">
        <f>IFERROR(__xludf.DUMMYFUNCTION("""COMPUTED_VALUE"""),"Obsidian Black Metallic")</f>
        <v>Obsidian Black Metallic</v>
      </c>
      <c r="P682" t="str">
        <f>IFERROR(__xludf.DUMMYFUNCTION("""COMPUTED_VALUE"""),"18 inch Aero")</f>
        <v>18 inch Aero</v>
      </c>
      <c r="Q682" t="str">
        <f>IFERROR(__xludf.DUMMYFUNCTION("""COMPUTED_VALUE"""),"Black seats")</f>
        <v>Black seats</v>
      </c>
      <c r="R682" t="str">
        <f>IFERROR(__xludf.DUMMYFUNCTION("""COMPUTED_VALUE"""),"Enhanced Autopilot")</f>
        <v>Enhanced Autopilot</v>
      </c>
      <c r="X682" t="str">
        <f>IFERROR(__xludf.DUMMYFUNCTION("""COMPUTED_VALUE"""),"Very Good")</f>
        <v>Very Good</v>
      </c>
      <c r="Y682" t="str">
        <f>IFERROR(__xludf.DUMMYFUNCTION("""COMPUTED_VALUE"""),"Very Good")</f>
        <v>Very Good</v>
      </c>
      <c r="Z682" t="str">
        <f>IFERROR(__xludf.DUMMYFUNCTION("""COMPUTED_VALUE"""),"Very Good")</f>
        <v>Very Good</v>
      </c>
      <c r="AA682" t="str">
        <f>IFERROR(__xludf.DUMMYFUNCTION("""COMPUTED_VALUE"""),"Very Good")</f>
        <v>Very Good</v>
      </c>
      <c r="AB682" t="str">
        <f>IFERROR(__xludf.DUMMYFUNCTION("""COMPUTED_VALUE"""),"Very Good")</f>
        <v>Very Good</v>
      </c>
      <c r="AC682">
        <f>IFERROR(__xludf.DUMMYFUNCTION("""COMPUTED_VALUE"""),1.0)</f>
        <v>1</v>
      </c>
      <c r="AD682">
        <f>IFERROR(__xludf.DUMMYFUNCTION("""COMPUTED_VALUE"""),1.0)</f>
        <v>1</v>
      </c>
      <c r="AE682">
        <f>IFERROR(__xludf.DUMMYFUNCTION("""COMPUTED_VALUE"""),0.0)</f>
        <v>0</v>
      </c>
      <c r="AG682" t="str">
        <f>IFERROR(__xludf.DUMMYFUNCTION("""COMPUTED_VALUE"""),"I love my car!")</f>
        <v>I love my car!</v>
      </c>
      <c r="AH682" s="189">
        <f>IFERROR(__xludf.DUMMYFUNCTION("""COMPUTED_VALUE"""),43354.89519357639)</f>
        <v>43354.89519</v>
      </c>
    </row>
    <row r="683">
      <c r="A683" t="str">
        <f>IFERROR(__xludf.DUMMYFUNCTION("""COMPUTED_VALUE"""),"KevinK")</f>
        <v>KevinK</v>
      </c>
      <c r="B683" t="str">
        <f>IFERROR(__xludf.DUMMYFUNCTION("""COMPUTED_VALUE"""),"San Diego")</f>
        <v>San Diego</v>
      </c>
      <c r="C683" t="str">
        <f>IFERROR(__xludf.DUMMYFUNCTION("""COMPUTED_VALUE"""),"CA")</f>
        <v>CA</v>
      </c>
      <c r="D683" t="str">
        <f>IFERROR(__xludf.DUMMYFUNCTION("""COMPUTED_VALUE"""),"USA")</f>
        <v>USA</v>
      </c>
      <c r="E683" s="188">
        <f>IFERROR(__xludf.DUMMYFUNCTION("""COMPUTED_VALUE"""),43277.0)</f>
        <v>43277</v>
      </c>
      <c r="F683" s="188">
        <f>IFERROR(__xludf.DUMMYFUNCTION("""COMPUTED_VALUE"""),43350.0)</f>
        <v>43350</v>
      </c>
      <c r="H683" s="4">
        <f>IFERROR(__xludf.DUMMYFUNCTION("""COMPUTED_VALUE"""),87684.0)</f>
        <v>87684</v>
      </c>
      <c r="I683" t="str">
        <f>IFERROR(__xludf.DUMMYFUNCTION("""COMPUTED_VALUE"""),"09/18")</f>
        <v>09/18</v>
      </c>
      <c r="J683" s="5">
        <f>IFERROR(__xludf.DUMMYFUNCTION("""COMPUTED_VALUE"""),43354.0)</f>
        <v>43354</v>
      </c>
      <c r="K683">
        <f>IFERROR(__xludf.DUMMYFUNCTION("""COMPUTED_VALUE"""),73.0)</f>
        <v>73</v>
      </c>
      <c r="L683">
        <f>IFERROR(__xludf.DUMMYFUNCTION("""COMPUTED_VALUE"""),4.0)</f>
        <v>4</v>
      </c>
      <c r="M683">
        <f>IFERROR(__xludf.DUMMYFUNCTION("""COMPUTED_VALUE"""),77.0)</f>
        <v>77</v>
      </c>
      <c r="N683" t="str">
        <f>IFERROR(__xludf.DUMMYFUNCTION("""COMPUTED_VALUE"""),"Model 3 LR AWD")</f>
        <v>Model 3 LR AWD</v>
      </c>
      <c r="O683" t="str">
        <f>IFERROR(__xludf.DUMMYFUNCTION("""COMPUTED_VALUE"""),"Red Multi-Coat")</f>
        <v>Red Multi-Coat</v>
      </c>
      <c r="P683" t="str">
        <f>IFERROR(__xludf.DUMMYFUNCTION("""COMPUTED_VALUE"""),"18 inch Aero")</f>
        <v>18 inch Aero</v>
      </c>
      <c r="Q683" t="str">
        <f>IFERROR(__xludf.DUMMYFUNCTION("""COMPUTED_VALUE"""),"Black seats")</f>
        <v>Black seats</v>
      </c>
      <c r="R683" t="str">
        <f>IFERROR(__xludf.DUMMYFUNCTION("""COMPUTED_VALUE"""),"Enhanced Autopilot")</f>
        <v>Enhanced Autopilot</v>
      </c>
      <c r="X683" t="str">
        <f>IFERROR(__xludf.DUMMYFUNCTION("""COMPUTED_VALUE"""),"Excellent")</f>
        <v>Excellent</v>
      </c>
      <c r="Y683" t="str">
        <f>IFERROR(__xludf.DUMMYFUNCTION("""COMPUTED_VALUE"""),"Excellent")</f>
        <v>Excellent</v>
      </c>
      <c r="Z683" t="str">
        <f>IFERROR(__xludf.DUMMYFUNCTION("""COMPUTED_VALUE"""),"Excellent")</f>
        <v>Excellent</v>
      </c>
      <c r="AA683" t="str">
        <f>IFERROR(__xludf.DUMMYFUNCTION("""COMPUTED_VALUE"""),"Very Good")</f>
        <v>Very Good</v>
      </c>
      <c r="AB683" t="str">
        <f>IFERROR(__xludf.DUMMYFUNCTION("""COMPUTED_VALUE"""),"Excellent")</f>
        <v>Excellent</v>
      </c>
      <c r="AH683" s="189">
        <f>IFERROR(__xludf.DUMMYFUNCTION("""COMPUTED_VALUE"""),43354.933302453705)</f>
        <v>43354.9333</v>
      </c>
    </row>
    <row r="684">
      <c r="A684" t="str">
        <f>IFERROR(__xludf.DUMMYFUNCTION("""COMPUTED_VALUE"""),"Phatman113")</f>
        <v>Phatman113</v>
      </c>
      <c r="B684" t="str">
        <f>IFERROR(__xludf.DUMMYFUNCTION("""COMPUTED_VALUE"""),"Seattle")</f>
        <v>Seattle</v>
      </c>
      <c r="C684" t="str">
        <f>IFERROR(__xludf.DUMMYFUNCTION("""COMPUTED_VALUE"""),"WA")</f>
        <v>WA</v>
      </c>
      <c r="D684" t="str">
        <f>IFERROR(__xludf.DUMMYFUNCTION("""COMPUTED_VALUE"""),"USA")</f>
        <v>USA</v>
      </c>
      <c r="E684" s="188">
        <f>IFERROR(__xludf.DUMMYFUNCTION("""COMPUTED_VALUE"""),43282.0)</f>
        <v>43282</v>
      </c>
      <c r="F684" s="188">
        <f>IFERROR(__xludf.DUMMYFUNCTION("""COMPUTED_VALUE"""),43329.0)</f>
        <v>43329</v>
      </c>
      <c r="H684">
        <f>IFERROR(__xludf.DUMMYFUNCTION("""COMPUTED_VALUE"""),64595.0)</f>
        <v>64595</v>
      </c>
      <c r="I684" t="str">
        <f>IFERROR(__xludf.DUMMYFUNCTION("""COMPUTED_VALUE"""),"08/18")</f>
        <v>08/18</v>
      </c>
      <c r="J684" s="5">
        <f>IFERROR(__xludf.DUMMYFUNCTION("""COMPUTED_VALUE"""),43335.0)</f>
        <v>43335</v>
      </c>
      <c r="K684">
        <f>IFERROR(__xludf.DUMMYFUNCTION("""COMPUTED_VALUE"""),47.0)</f>
        <v>47</v>
      </c>
      <c r="L684">
        <f>IFERROR(__xludf.DUMMYFUNCTION("""COMPUTED_VALUE"""),6.0)</f>
        <v>6</v>
      </c>
      <c r="M684">
        <f>IFERROR(__xludf.DUMMYFUNCTION("""COMPUTED_VALUE"""),53.0)</f>
        <v>53</v>
      </c>
      <c r="N684" t="str">
        <f>IFERROR(__xludf.DUMMYFUNCTION("""COMPUTED_VALUE"""),"Model 3 LR AWD")</f>
        <v>Model 3 LR AWD</v>
      </c>
      <c r="O684" t="str">
        <f>IFERROR(__xludf.DUMMYFUNCTION("""COMPUTED_VALUE"""),"Deep Blue Metallic")</f>
        <v>Deep Blue Metallic</v>
      </c>
      <c r="P684" t="str">
        <f>IFERROR(__xludf.DUMMYFUNCTION("""COMPUTED_VALUE"""),"18 inch Aero")</f>
        <v>18 inch Aero</v>
      </c>
      <c r="Q684" t="str">
        <f>IFERROR(__xludf.DUMMYFUNCTION("""COMPUTED_VALUE"""),"Black seats")</f>
        <v>Black seats</v>
      </c>
      <c r="R684" t="str">
        <f>IFERROR(__xludf.DUMMYFUNCTION("""COMPUTED_VALUE"""),"Enhanced Autopilot")</f>
        <v>Enhanced Autopilot</v>
      </c>
      <c r="X684" t="str">
        <f>IFERROR(__xludf.DUMMYFUNCTION("""COMPUTED_VALUE"""),"Very Good")</f>
        <v>Very Good</v>
      </c>
      <c r="Y684" t="str">
        <f>IFERROR(__xludf.DUMMYFUNCTION("""COMPUTED_VALUE"""),"Very Good")</f>
        <v>Very Good</v>
      </c>
      <c r="Z684" t="str">
        <f>IFERROR(__xludf.DUMMYFUNCTION("""COMPUTED_VALUE"""),"Good")</f>
        <v>Good</v>
      </c>
      <c r="AA684" t="str">
        <f>IFERROR(__xludf.DUMMYFUNCTION("""COMPUTED_VALUE"""),"Good")</f>
        <v>Good</v>
      </c>
      <c r="AB684" t="str">
        <f>IFERROR(__xludf.DUMMYFUNCTION("""COMPUTED_VALUE"""),"Poor")</f>
        <v>Poor</v>
      </c>
      <c r="AC684">
        <f>IFERROR(__xludf.DUMMYFUNCTION("""COMPUTED_VALUE"""),2.0)</f>
        <v>2</v>
      </c>
      <c r="AD684">
        <f>IFERROR(__xludf.DUMMYFUNCTION("""COMPUTED_VALUE"""),0.0)</f>
        <v>0</v>
      </c>
      <c r="AE684">
        <f>IFERROR(__xludf.DUMMYFUNCTION("""COMPUTED_VALUE"""),0.0)</f>
        <v>0</v>
      </c>
      <c r="AH684" s="189">
        <f>IFERROR(__xludf.DUMMYFUNCTION("""COMPUTED_VALUE"""),43355.382376747686)</f>
        <v>43355.38238</v>
      </c>
    </row>
    <row r="685">
      <c r="A685" t="str">
        <f>IFERROR(__xludf.DUMMYFUNCTION("""COMPUTED_VALUE"""),"bcyyztcu")</f>
        <v>bcyyztcu</v>
      </c>
      <c r="B685" t="str">
        <f>IFERROR(__xludf.DUMMYFUNCTION("""COMPUTED_VALUE"""),"guelph")</f>
        <v>guelph</v>
      </c>
      <c r="C685" t="str">
        <f>IFERROR(__xludf.DUMMYFUNCTION("""COMPUTED_VALUE"""),"ON")</f>
        <v>ON</v>
      </c>
      <c r="D685" t="str">
        <f>IFERROR(__xludf.DUMMYFUNCTION("""COMPUTED_VALUE"""),"Canada")</f>
        <v>Canada</v>
      </c>
      <c r="E685" s="188">
        <f>IFERROR(__xludf.DUMMYFUNCTION("""COMPUTED_VALUE"""),43260.0)</f>
        <v>43260</v>
      </c>
      <c r="F685" s="188">
        <f>IFERROR(__xludf.DUMMYFUNCTION("""COMPUTED_VALUE"""),43343.0)</f>
        <v>43343</v>
      </c>
      <c r="H685">
        <f>IFERROR(__xludf.DUMMYFUNCTION("""COMPUTED_VALUE"""),95772.0)</f>
        <v>95772</v>
      </c>
      <c r="I685" t="str">
        <f>IFERROR(__xludf.DUMMYFUNCTION("""COMPUTED_VALUE"""),"08/18")</f>
        <v>08/18</v>
      </c>
      <c r="J685" s="5">
        <f>IFERROR(__xludf.DUMMYFUNCTION("""COMPUTED_VALUE"""),43350.0)</f>
        <v>43350</v>
      </c>
      <c r="K685">
        <f>IFERROR(__xludf.DUMMYFUNCTION("""COMPUTED_VALUE"""),83.0)</f>
        <v>83</v>
      </c>
      <c r="L685">
        <f>IFERROR(__xludf.DUMMYFUNCTION("""COMPUTED_VALUE"""),7.0)</f>
        <v>7</v>
      </c>
      <c r="M685">
        <f>IFERROR(__xludf.DUMMYFUNCTION("""COMPUTED_VALUE"""),90.0)</f>
        <v>90</v>
      </c>
      <c r="N685" t="str">
        <f>IFERROR(__xludf.DUMMYFUNCTION("""COMPUTED_VALUE"""),"Model 3 LR")</f>
        <v>Model 3 LR</v>
      </c>
      <c r="O685" t="str">
        <f>IFERROR(__xludf.DUMMYFUNCTION("""COMPUTED_VALUE"""),"Solid Black")</f>
        <v>Solid Black</v>
      </c>
      <c r="P685" t="str">
        <f>IFERROR(__xludf.DUMMYFUNCTION("""COMPUTED_VALUE"""),"18 inch Aero")</f>
        <v>18 inch Aero</v>
      </c>
      <c r="Q685" t="str">
        <f>IFERROR(__xludf.DUMMYFUNCTION("""COMPUTED_VALUE"""),"Black seats")</f>
        <v>Black seats</v>
      </c>
      <c r="R685" t="str">
        <f>IFERROR(__xludf.DUMMYFUNCTION("""COMPUTED_VALUE"""),"Enhanced Autopilot")</f>
        <v>Enhanced Autopilot</v>
      </c>
      <c r="X685" t="str">
        <f>IFERROR(__xludf.DUMMYFUNCTION("""COMPUTED_VALUE"""),"Excellent")</f>
        <v>Excellent</v>
      </c>
      <c r="Y685" t="str">
        <f>IFERROR(__xludf.DUMMYFUNCTION("""COMPUTED_VALUE"""),"Excellent")</f>
        <v>Excellent</v>
      </c>
      <c r="Z685" t="str">
        <f>IFERROR(__xludf.DUMMYFUNCTION("""COMPUTED_VALUE"""),"Excellent")</f>
        <v>Excellent</v>
      </c>
      <c r="AA685" t="str">
        <f>IFERROR(__xludf.DUMMYFUNCTION("""COMPUTED_VALUE"""),"Excellent")</f>
        <v>Excellent</v>
      </c>
      <c r="AB685" t="str">
        <f>IFERROR(__xludf.DUMMYFUNCTION("""COMPUTED_VALUE"""),"Excellent")</f>
        <v>Excellent</v>
      </c>
      <c r="AC685">
        <f>IFERROR(__xludf.DUMMYFUNCTION("""COMPUTED_VALUE"""),1.0)</f>
        <v>1</v>
      </c>
      <c r="AD685">
        <f>IFERROR(__xludf.DUMMYFUNCTION("""COMPUTED_VALUE"""),1.0)</f>
        <v>1</v>
      </c>
      <c r="AE685">
        <f>IFERROR(__xludf.DUMMYFUNCTION("""COMPUTED_VALUE"""),0.0)</f>
        <v>0</v>
      </c>
      <c r="AH685" s="189">
        <f>IFERROR(__xludf.DUMMYFUNCTION("""COMPUTED_VALUE"""),43355.539873182875)</f>
        <v>43355.53987</v>
      </c>
    </row>
    <row r="686">
      <c r="A686" t="str">
        <f>IFERROR(__xludf.DUMMYFUNCTION("""COMPUTED_VALUE"""),"Qzic")</f>
        <v>Qzic</v>
      </c>
      <c r="B686" t="str">
        <f>IFERROR(__xludf.DUMMYFUNCTION("""COMPUTED_VALUE"""),"Seattle")</f>
        <v>Seattle</v>
      </c>
      <c r="C686" t="str">
        <f>IFERROR(__xludf.DUMMYFUNCTION("""COMPUTED_VALUE"""),"WA")</f>
        <v>WA</v>
      </c>
      <c r="D686" t="str">
        <f>IFERROR(__xludf.DUMMYFUNCTION("""COMPUTED_VALUE"""),"USA")</f>
        <v>USA</v>
      </c>
      <c r="E686" s="188">
        <f>IFERROR(__xludf.DUMMYFUNCTION("""COMPUTED_VALUE"""),43278.0)</f>
        <v>43278</v>
      </c>
      <c r="F686" s="188">
        <f>IFERROR(__xludf.DUMMYFUNCTION("""COMPUTED_VALUE"""),43349.0)</f>
        <v>43349</v>
      </c>
      <c r="H686">
        <f>IFERROR(__xludf.DUMMYFUNCTION("""COMPUTED_VALUE"""),70655.0)</f>
        <v>70655</v>
      </c>
      <c r="I686" t="str">
        <f>IFERROR(__xludf.DUMMYFUNCTION("""COMPUTED_VALUE"""),"08/18")</f>
        <v>08/18</v>
      </c>
      <c r="J686" s="5">
        <f>IFERROR(__xludf.DUMMYFUNCTION("""COMPUTED_VALUE"""),43353.0)</f>
        <v>43353</v>
      </c>
      <c r="K686">
        <f>IFERROR(__xludf.DUMMYFUNCTION("""COMPUTED_VALUE"""),71.0)</f>
        <v>71</v>
      </c>
      <c r="L686">
        <f>IFERROR(__xludf.DUMMYFUNCTION("""COMPUTED_VALUE"""),4.0)</f>
        <v>4</v>
      </c>
      <c r="M686">
        <f>IFERROR(__xludf.DUMMYFUNCTION("""COMPUTED_VALUE"""),75.0)</f>
        <v>75</v>
      </c>
      <c r="N686" t="str">
        <f>IFERROR(__xludf.DUMMYFUNCTION("""COMPUTED_VALUE"""),"Model 3 LR AWD")</f>
        <v>Model 3 LR AWD</v>
      </c>
      <c r="O686" t="str">
        <f>IFERROR(__xludf.DUMMYFUNCTION("""COMPUTED_VALUE"""),"Obsidian Black Metallic")</f>
        <v>Obsidian Black Metallic</v>
      </c>
      <c r="P686" t="str">
        <f>IFERROR(__xludf.DUMMYFUNCTION("""COMPUTED_VALUE"""),"18 inch Aero")</f>
        <v>18 inch Aero</v>
      </c>
      <c r="Q686" t="str">
        <f>IFERROR(__xludf.DUMMYFUNCTION("""COMPUTED_VALUE"""),"Black seats")</f>
        <v>Black seats</v>
      </c>
      <c r="R686" t="str">
        <f>IFERROR(__xludf.DUMMYFUNCTION("""COMPUTED_VALUE"""),"Full Self-Driving")</f>
        <v>Full Self-Driving</v>
      </c>
      <c r="X686" t="str">
        <f>IFERROR(__xludf.DUMMYFUNCTION("""COMPUTED_VALUE"""),"Very Good")</f>
        <v>Very Good</v>
      </c>
      <c r="Y686" t="str">
        <f>IFERROR(__xludf.DUMMYFUNCTION("""COMPUTED_VALUE"""),"Excellent")</f>
        <v>Excellent</v>
      </c>
      <c r="Z686" t="str">
        <f>IFERROR(__xludf.DUMMYFUNCTION("""COMPUTED_VALUE"""),"Good")</f>
        <v>Good</v>
      </c>
      <c r="AA686" t="str">
        <f>IFERROR(__xludf.DUMMYFUNCTION("""COMPUTED_VALUE"""),"Very Good")</f>
        <v>Very Good</v>
      </c>
      <c r="AB686" t="str">
        <f>IFERROR(__xludf.DUMMYFUNCTION("""COMPUTED_VALUE"""),"Excellent")</f>
        <v>Excellent</v>
      </c>
      <c r="AC686">
        <f>IFERROR(__xludf.DUMMYFUNCTION("""COMPUTED_VALUE"""),6.0)</f>
        <v>6</v>
      </c>
      <c r="AG686" t="str">
        <f>IFERROR(__xludf.DUMMYFUNCTION("""COMPUTED_VALUE"""),"Reserved 4/2/2016")</f>
        <v>Reserved 4/2/2016</v>
      </c>
      <c r="AH686" s="189">
        <f>IFERROR(__xludf.DUMMYFUNCTION("""COMPUTED_VALUE"""),43355.55780005787)</f>
        <v>43355.5578</v>
      </c>
    </row>
    <row r="687">
      <c r="A687" t="str">
        <f>IFERROR(__xludf.DUMMYFUNCTION("""COMPUTED_VALUE"""),"Brunurb")</f>
        <v>Brunurb</v>
      </c>
      <c r="B687" t="str">
        <f>IFERROR(__xludf.DUMMYFUNCTION("""COMPUTED_VALUE"""),"Stoughton")</f>
        <v>Stoughton</v>
      </c>
      <c r="C687" t="str">
        <f>IFERROR(__xludf.DUMMYFUNCTION("""COMPUTED_VALUE"""),"MA")</f>
        <v>MA</v>
      </c>
      <c r="D687" t="str">
        <f>IFERROR(__xludf.DUMMYFUNCTION("""COMPUTED_VALUE"""),"USA")</f>
        <v>USA</v>
      </c>
      <c r="E687" s="188">
        <f>IFERROR(__xludf.DUMMYFUNCTION("""COMPUTED_VALUE"""),43278.0)</f>
        <v>43278</v>
      </c>
      <c r="F687" s="188">
        <f>IFERROR(__xludf.DUMMYFUNCTION("""COMPUTED_VALUE"""),43327.0)</f>
        <v>43327</v>
      </c>
      <c r="H687">
        <f>IFERROR(__xludf.DUMMYFUNCTION("""COMPUTED_VALUE"""),54255.0)</f>
        <v>54255</v>
      </c>
      <c r="I687" t="str">
        <f>IFERROR(__xludf.DUMMYFUNCTION("""COMPUTED_VALUE"""),"08/18")</f>
        <v>08/18</v>
      </c>
      <c r="J687" s="5">
        <f>IFERROR(__xludf.DUMMYFUNCTION("""COMPUTED_VALUE"""),43349.0)</f>
        <v>43349</v>
      </c>
      <c r="K687">
        <f>IFERROR(__xludf.DUMMYFUNCTION("""COMPUTED_VALUE"""),49.0)</f>
        <v>49</v>
      </c>
      <c r="L687">
        <f>IFERROR(__xludf.DUMMYFUNCTION("""COMPUTED_VALUE"""),22.0)</f>
        <v>22</v>
      </c>
      <c r="M687">
        <f>IFERROR(__xludf.DUMMYFUNCTION("""COMPUTED_VALUE"""),71.0)</f>
        <v>71</v>
      </c>
      <c r="N687" t="str">
        <f>IFERROR(__xludf.DUMMYFUNCTION("""COMPUTED_VALUE"""),"Model 3 LR AWD")</f>
        <v>Model 3 LR AWD</v>
      </c>
      <c r="O687" t="str">
        <f>IFERROR(__xludf.DUMMYFUNCTION("""COMPUTED_VALUE"""),"Deep Blue Metallic")</f>
        <v>Deep Blue Metallic</v>
      </c>
      <c r="P687" t="str">
        <f>IFERROR(__xludf.DUMMYFUNCTION("""COMPUTED_VALUE"""),"18 inch Aero")</f>
        <v>18 inch Aero</v>
      </c>
      <c r="Q687" t="str">
        <f>IFERROR(__xludf.DUMMYFUNCTION("""COMPUTED_VALUE"""),"Black seats")</f>
        <v>Black seats</v>
      </c>
      <c r="R687" t="str">
        <f>IFERROR(__xludf.DUMMYFUNCTION("""COMPUTED_VALUE"""),"None")</f>
        <v>None</v>
      </c>
      <c r="X687" t="str">
        <f>IFERROR(__xludf.DUMMYFUNCTION("""COMPUTED_VALUE"""),"Very Good")</f>
        <v>Very Good</v>
      </c>
      <c r="Y687" t="str">
        <f>IFERROR(__xludf.DUMMYFUNCTION("""COMPUTED_VALUE"""),"Excellent")</f>
        <v>Excellent</v>
      </c>
      <c r="Z687" t="str">
        <f>IFERROR(__xludf.DUMMYFUNCTION("""COMPUTED_VALUE"""),"Excellent")</f>
        <v>Excellent</v>
      </c>
      <c r="AA687" t="str">
        <f>IFERROR(__xludf.DUMMYFUNCTION("""COMPUTED_VALUE"""),"Excellent")</f>
        <v>Excellent</v>
      </c>
      <c r="AB687" t="str">
        <f>IFERROR(__xludf.DUMMYFUNCTION("""COMPUTED_VALUE"""),"Excellent")</f>
        <v>Excellent</v>
      </c>
      <c r="AC687">
        <f>IFERROR(__xludf.DUMMYFUNCTION("""COMPUTED_VALUE"""),0.0)</f>
        <v>0</v>
      </c>
      <c r="AD687">
        <f>IFERROR(__xludf.DUMMYFUNCTION("""COMPUTED_VALUE"""),0.0)</f>
        <v>0</v>
      </c>
      <c r="AE687">
        <f>IFERROR(__xludf.DUMMYFUNCTION("""COMPUTED_VALUE"""),0.0)</f>
        <v>0</v>
      </c>
      <c r="AH687" s="189">
        <f>IFERROR(__xludf.DUMMYFUNCTION("""COMPUTED_VALUE"""),43355.55844327546)</f>
        <v>43355.55844</v>
      </c>
    </row>
    <row r="688">
      <c r="A688" t="str">
        <f>IFERROR(__xludf.DUMMYFUNCTION("""COMPUTED_VALUE"""),"quark")</f>
        <v>quark</v>
      </c>
      <c r="C688" t="str">
        <f>IFERROR(__xludf.DUMMYFUNCTION("""COMPUTED_VALUE"""),"UT")</f>
        <v>UT</v>
      </c>
      <c r="D688" t="str">
        <f>IFERROR(__xludf.DUMMYFUNCTION("""COMPUTED_VALUE"""),"USA")</f>
        <v>USA</v>
      </c>
      <c r="E688" s="188">
        <f>IFERROR(__xludf.DUMMYFUNCTION("""COMPUTED_VALUE"""),43278.0)</f>
        <v>43278</v>
      </c>
      <c r="F688" s="188">
        <f>IFERROR(__xludf.DUMMYFUNCTION("""COMPUTED_VALUE"""),43348.0)</f>
        <v>43348</v>
      </c>
      <c r="H688">
        <f>IFERROR(__xludf.DUMMYFUNCTION("""COMPUTED_VALUE"""),100155.0)</f>
        <v>100155</v>
      </c>
      <c r="J688" s="5">
        <f>IFERROR(__xludf.DUMMYFUNCTION("""COMPUTED_VALUE"""),43354.0)</f>
        <v>43354</v>
      </c>
      <c r="K688">
        <f>IFERROR(__xludf.DUMMYFUNCTION("""COMPUTED_VALUE"""),70.0)</f>
        <v>70</v>
      </c>
      <c r="L688">
        <f>IFERROR(__xludf.DUMMYFUNCTION("""COMPUTED_VALUE"""),6.0)</f>
        <v>6</v>
      </c>
      <c r="M688">
        <f>IFERROR(__xludf.DUMMYFUNCTION("""COMPUTED_VALUE"""),76.0)</f>
        <v>76</v>
      </c>
      <c r="N688" t="str">
        <f>IFERROR(__xludf.DUMMYFUNCTION("""COMPUTED_VALUE"""),"Model 3 Performance")</f>
        <v>Model 3 Performance</v>
      </c>
      <c r="O688" t="str">
        <f>IFERROR(__xludf.DUMMYFUNCTION("""COMPUTED_VALUE"""),"Pearl White Multi-Coat")</f>
        <v>Pearl White Multi-Coat</v>
      </c>
      <c r="P688" t="str">
        <f>IFERROR(__xludf.DUMMYFUNCTION("""COMPUTED_VALUE"""),"18 inch Aero")</f>
        <v>18 inch Aero</v>
      </c>
      <c r="Q688" t="str">
        <f>IFERROR(__xludf.DUMMYFUNCTION("""COMPUTED_VALUE"""),"White seats")</f>
        <v>White seats</v>
      </c>
      <c r="R688" t="str">
        <f>IFERROR(__xludf.DUMMYFUNCTION("""COMPUTED_VALUE"""),"Enhanced Autopilot")</f>
        <v>Enhanced Autopilot</v>
      </c>
      <c r="X688" t="str">
        <f>IFERROR(__xludf.DUMMYFUNCTION("""COMPUTED_VALUE"""),"Very Good")</f>
        <v>Very Good</v>
      </c>
      <c r="Y688" t="str">
        <f>IFERROR(__xludf.DUMMYFUNCTION("""COMPUTED_VALUE"""),"Excellent")</f>
        <v>Excellent</v>
      </c>
      <c r="Z688" t="str">
        <f>IFERROR(__xludf.DUMMYFUNCTION("""COMPUTED_VALUE"""),"Excellent")</f>
        <v>Excellent</v>
      </c>
      <c r="AA688" t="str">
        <f>IFERROR(__xludf.DUMMYFUNCTION("""COMPUTED_VALUE"""),"Good")</f>
        <v>Good</v>
      </c>
      <c r="AB688" t="str">
        <f>IFERROR(__xludf.DUMMYFUNCTION("""COMPUTED_VALUE"""),"Fair")</f>
        <v>Fair</v>
      </c>
      <c r="AH688" s="189">
        <f>IFERROR(__xludf.DUMMYFUNCTION("""COMPUTED_VALUE"""),43355.566284953704)</f>
        <v>43355.56628</v>
      </c>
    </row>
    <row r="689">
      <c r="A689" t="str">
        <f>IFERROR(__xludf.DUMMYFUNCTION("""COMPUTED_VALUE"""),"altimas")</f>
        <v>altimas</v>
      </c>
      <c r="B689" t="str">
        <f>IFERROR(__xludf.DUMMYFUNCTION("""COMPUTED_VALUE"""),"Calgary")</f>
        <v>Calgary</v>
      </c>
      <c r="C689" t="str">
        <f>IFERROR(__xludf.DUMMYFUNCTION("""COMPUTED_VALUE"""),"AB")</f>
        <v>AB</v>
      </c>
      <c r="D689" t="str">
        <f>IFERROR(__xludf.DUMMYFUNCTION("""COMPUTED_VALUE"""),"Canada")</f>
        <v>Canada</v>
      </c>
      <c r="E689" s="188">
        <f>IFERROR(__xludf.DUMMYFUNCTION("""COMPUTED_VALUE"""),43277.0)</f>
        <v>43277</v>
      </c>
      <c r="F689" s="188">
        <f>IFERROR(__xludf.DUMMYFUNCTION("""COMPUTED_VALUE"""),43353.0)</f>
        <v>43353</v>
      </c>
      <c r="H689">
        <f>IFERROR(__xludf.DUMMYFUNCTION("""COMPUTED_VALUE"""),106955.0)</f>
        <v>106955</v>
      </c>
      <c r="J689" s="5">
        <f>IFERROR(__xludf.DUMMYFUNCTION("""COMPUTED_VALUE"""),43355.0)</f>
        <v>43355</v>
      </c>
      <c r="K689">
        <f>IFERROR(__xludf.DUMMYFUNCTION("""COMPUTED_VALUE"""),76.0)</f>
        <v>76</v>
      </c>
      <c r="L689">
        <f>IFERROR(__xludf.DUMMYFUNCTION("""COMPUTED_VALUE"""),2.0)</f>
        <v>2</v>
      </c>
      <c r="M689">
        <f>IFERROR(__xludf.DUMMYFUNCTION("""COMPUTED_VALUE"""),78.0)</f>
        <v>78</v>
      </c>
      <c r="N689" t="str">
        <f>IFERROR(__xludf.DUMMYFUNCTION("""COMPUTED_VALUE"""),"Model 3 LR AWD")</f>
        <v>Model 3 LR AWD</v>
      </c>
      <c r="O689" t="str">
        <f>IFERROR(__xludf.DUMMYFUNCTION("""COMPUTED_VALUE"""),"Silver Metallic")</f>
        <v>Silver Metallic</v>
      </c>
      <c r="P689" t="str">
        <f>IFERROR(__xludf.DUMMYFUNCTION("""COMPUTED_VALUE"""),"18 inch Aero")</f>
        <v>18 inch Aero</v>
      </c>
      <c r="Q689" t="str">
        <f>IFERROR(__xludf.DUMMYFUNCTION("""COMPUTED_VALUE"""),"Black seats")</f>
        <v>Black seats</v>
      </c>
      <c r="R689" t="str">
        <f>IFERROR(__xludf.DUMMYFUNCTION("""COMPUTED_VALUE"""),"Full Self-Driving")</f>
        <v>Full Self-Driving</v>
      </c>
      <c r="X689" t="str">
        <f>IFERROR(__xludf.DUMMYFUNCTION("""COMPUTED_VALUE"""),"Excellent")</f>
        <v>Excellent</v>
      </c>
      <c r="Y689" t="str">
        <f>IFERROR(__xludf.DUMMYFUNCTION("""COMPUTED_VALUE"""),"Excellent")</f>
        <v>Excellent</v>
      </c>
      <c r="Z689" t="str">
        <f>IFERROR(__xludf.DUMMYFUNCTION("""COMPUTED_VALUE"""),"Excellent")</f>
        <v>Excellent</v>
      </c>
      <c r="AA689" t="str">
        <f>IFERROR(__xludf.DUMMYFUNCTION("""COMPUTED_VALUE"""),"Excellent")</f>
        <v>Excellent</v>
      </c>
      <c r="AB689" t="str">
        <f>IFERROR(__xludf.DUMMYFUNCTION("""COMPUTED_VALUE"""),"Excellent")</f>
        <v>Excellent</v>
      </c>
      <c r="AH689" s="189">
        <f>IFERROR(__xludf.DUMMYFUNCTION("""COMPUTED_VALUE"""),43355.603267025464)</f>
        <v>43355.60327</v>
      </c>
    </row>
    <row r="690">
      <c r="A690" t="str">
        <f>IFERROR(__xludf.DUMMYFUNCTION("""COMPUTED_VALUE"""),"Nick")</f>
        <v>Nick</v>
      </c>
      <c r="B690" t="str">
        <f>IFERROR(__xludf.DUMMYFUNCTION("""COMPUTED_VALUE"""),"Columbus")</f>
        <v>Columbus</v>
      </c>
      <c r="C690" t="str">
        <f>IFERROR(__xludf.DUMMYFUNCTION("""COMPUTED_VALUE"""),"OH")</f>
        <v>OH</v>
      </c>
      <c r="D690" t="str">
        <f>IFERROR(__xludf.DUMMYFUNCTION("""COMPUTED_VALUE"""),"USA")</f>
        <v>USA</v>
      </c>
      <c r="E690" s="188">
        <f>IFERROR(__xludf.DUMMYFUNCTION("""COMPUTED_VALUE"""),43240.0)</f>
        <v>43240</v>
      </c>
      <c r="F690" s="188">
        <f>IFERROR(__xludf.DUMMYFUNCTION("""COMPUTED_VALUE"""),43330.0)</f>
        <v>43330</v>
      </c>
      <c r="H690">
        <f>IFERROR(__xludf.DUMMYFUNCTION("""COMPUTED_VALUE"""),63255.0)</f>
        <v>63255</v>
      </c>
      <c r="I690" t="str">
        <f>IFERROR(__xludf.DUMMYFUNCTION("""COMPUTED_VALUE"""),"08/18")</f>
        <v>08/18</v>
      </c>
      <c r="J690" s="5">
        <f>IFERROR(__xludf.DUMMYFUNCTION("""COMPUTED_VALUE"""),43351.0)</f>
        <v>43351</v>
      </c>
      <c r="K690">
        <f>IFERROR(__xludf.DUMMYFUNCTION("""COMPUTED_VALUE"""),90.0)</f>
        <v>90</v>
      </c>
      <c r="L690">
        <f>IFERROR(__xludf.DUMMYFUNCTION("""COMPUTED_VALUE"""),21.0)</f>
        <v>21</v>
      </c>
      <c r="M690">
        <f>IFERROR(__xludf.DUMMYFUNCTION("""COMPUTED_VALUE"""),111.0)</f>
        <v>111</v>
      </c>
      <c r="N690" t="str">
        <f>IFERROR(__xludf.DUMMYFUNCTION("""COMPUTED_VALUE"""),"Model 3 Performance")</f>
        <v>Model 3 Performance</v>
      </c>
      <c r="O690" t="str">
        <f>IFERROR(__xludf.DUMMYFUNCTION("""COMPUTED_VALUE"""),"Red Multi-Coat")</f>
        <v>Red Multi-Coat</v>
      </c>
      <c r="P690" t="str">
        <f>IFERROR(__xludf.DUMMYFUNCTION("""COMPUTED_VALUE"""),"20 inch Sport")</f>
        <v>20 inch Sport</v>
      </c>
      <c r="Q690" t="str">
        <f>IFERROR(__xludf.DUMMYFUNCTION("""COMPUTED_VALUE"""),"Black seats")</f>
        <v>Black seats</v>
      </c>
      <c r="R690" t="str">
        <f>IFERROR(__xludf.DUMMYFUNCTION("""COMPUTED_VALUE"""),"Full Self-Driving")</f>
        <v>Full Self-Driving</v>
      </c>
      <c r="X690" t="str">
        <f>IFERROR(__xludf.DUMMYFUNCTION("""COMPUTED_VALUE"""),"Excellent")</f>
        <v>Excellent</v>
      </c>
      <c r="Y690" t="str">
        <f>IFERROR(__xludf.DUMMYFUNCTION("""COMPUTED_VALUE"""),"Excellent")</f>
        <v>Excellent</v>
      </c>
      <c r="Z690" t="str">
        <f>IFERROR(__xludf.DUMMYFUNCTION("""COMPUTED_VALUE"""),"Poor")</f>
        <v>Poor</v>
      </c>
      <c r="AA690" t="str">
        <f>IFERROR(__xludf.DUMMYFUNCTION("""COMPUTED_VALUE"""),"Fair")</f>
        <v>Fair</v>
      </c>
      <c r="AB690" t="str">
        <f>IFERROR(__xludf.DUMMYFUNCTION("""COMPUTED_VALUE"""),"Excellent")</f>
        <v>Excellent</v>
      </c>
      <c r="AC690">
        <f>IFERROR(__xludf.DUMMYFUNCTION("""COMPUTED_VALUE"""),1.0)</f>
        <v>1</v>
      </c>
      <c r="AD690">
        <f>IFERROR(__xludf.DUMMYFUNCTION("""COMPUTED_VALUE"""),0.0)</f>
        <v>0</v>
      </c>
      <c r="AE690">
        <f>IFERROR(__xludf.DUMMYFUNCTION("""COMPUTED_VALUE"""),1.0)</f>
        <v>1</v>
      </c>
      <c r="AH690" s="189">
        <f>IFERROR(__xludf.DUMMYFUNCTION("""COMPUTED_VALUE"""),43355.76809637732)</f>
        <v>43355.7681</v>
      </c>
    </row>
    <row r="691">
      <c r="A691" t="str">
        <f>IFERROR(__xludf.DUMMYFUNCTION("""COMPUTED_VALUE"""),"Nvbob")</f>
        <v>Nvbob</v>
      </c>
      <c r="C691" t="str">
        <f>IFERROR(__xludf.DUMMYFUNCTION("""COMPUTED_VALUE"""),"NV")</f>
        <v>NV</v>
      </c>
      <c r="D691" t="str">
        <f>IFERROR(__xludf.DUMMYFUNCTION("""COMPUTED_VALUE"""),"USA")</f>
        <v>USA</v>
      </c>
      <c r="E691" s="188">
        <f>IFERROR(__xludf.DUMMYFUNCTION("""COMPUTED_VALUE"""),43277.0)</f>
        <v>43277</v>
      </c>
      <c r="F691" s="188">
        <f>IFERROR(__xludf.DUMMYFUNCTION("""COMPUTED_VALUE"""),43339.0)</f>
        <v>43339</v>
      </c>
      <c r="H691">
        <f>IFERROR(__xludf.DUMMYFUNCTION("""COMPUTED_VALUE"""),65202.0)</f>
        <v>65202</v>
      </c>
      <c r="J691" s="5">
        <f>IFERROR(__xludf.DUMMYFUNCTION("""COMPUTED_VALUE"""),43355.0)</f>
        <v>43355</v>
      </c>
      <c r="K691">
        <f>IFERROR(__xludf.DUMMYFUNCTION("""COMPUTED_VALUE"""),62.0)</f>
        <v>62</v>
      </c>
      <c r="L691">
        <f>IFERROR(__xludf.DUMMYFUNCTION("""COMPUTED_VALUE"""),16.0)</f>
        <v>16</v>
      </c>
      <c r="M691">
        <f>IFERROR(__xludf.DUMMYFUNCTION("""COMPUTED_VALUE"""),78.0)</f>
        <v>78</v>
      </c>
      <c r="N691" t="str">
        <f>IFERROR(__xludf.DUMMYFUNCTION("""COMPUTED_VALUE"""),"Model 3 LR AWD")</f>
        <v>Model 3 LR AWD</v>
      </c>
      <c r="O691" t="str">
        <f>IFERROR(__xludf.DUMMYFUNCTION("""COMPUTED_VALUE"""),"Silver Metallic")</f>
        <v>Silver Metallic</v>
      </c>
      <c r="P691" t="str">
        <f>IFERROR(__xludf.DUMMYFUNCTION("""COMPUTED_VALUE"""),"18 inch Aero")</f>
        <v>18 inch Aero</v>
      </c>
      <c r="Q691" t="str">
        <f>IFERROR(__xludf.DUMMYFUNCTION("""COMPUTED_VALUE"""),"Black seats")</f>
        <v>Black seats</v>
      </c>
      <c r="R691" t="str">
        <f>IFERROR(__xludf.DUMMYFUNCTION("""COMPUTED_VALUE"""),"Full Self-Driving")</f>
        <v>Full Self-Driving</v>
      </c>
      <c r="X691" t="str">
        <f>IFERROR(__xludf.DUMMYFUNCTION("""COMPUTED_VALUE"""),"Excellent")</f>
        <v>Excellent</v>
      </c>
      <c r="Y691" t="str">
        <f>IFERROR(__xludf.DUMMYFUNCTION("""COMPUTED_VALUE"""),"Very Good")</f>
        <v>Very Good</v>
      </c>
      <c r="Z691" t="str">
        <f>IFERROR(__xludf.DUMMYFUNCTION("""COMPUTED_VALUE"""),"Excellent")</f>
        <v>Excellent</v>
      </c>
      <c r="AA691" t="str">
        <f>IFERROR(__xludf.DUMMYFUNCTION("""COMPUTED_VALUE"""),"Good")</f>
        <v>Good</v>
      </c>
      <c r="AB691" t="str">
        <f>IFERROR(__xludf.DUMMYFUNCTION("""COMPUTED_VALUE"""),"Excellent")</f>
        <v>Excellent</v>
      </c>
      <c r="AC691">
        <f>IFERROR(__xludf.DUMMYFUNCTION("""COMPUTED_VALUE"""),8.0)</f>
        <v>8</v>
      </c>
      <c r="AE691">
        <f>IFERROR(__xludf.DUMMYFUNCTION("""COMPUTED_VALUE"""),7.0)</f>
        <v>7</v>
      </c>
      <c r="AG691" t="str">
        <f>IFERROR(__xludf.DUMMYFUNCTION("""COMPUTED_VALUE"""),"Wait for LR &amp; AWD Delivered 9/12/18")</f>
        <v>Wait for LR &amp; AWD Delivered 9/12/18</v>
      </c>
      <c r="AH691" s="189">
        <f>IFERROR(__xludf.DUMMYFUNCTION("""COMPUTED_VALUE"""),43355.770248125)</f>
        <v>43355.77025</v>
      </c>
    </row>
    <row r="692">
      <c r="A692" t="str">
        <f>IFERROR(__xludf.DUMMYFUNCTION("""COMPUTED_VALUE"""),"crashd0g")</f>
        <v>crashd0g</v>
      </c>
      <c r="C692" t="str">
        <f>IFERROR(__xludf.DUMMYFUNCTION("""COMPUTED_VALUE"""),"FL")</f>
        <v>FL</v>
      </c>
      <c r="D692" t="str">
        <f>IFERROR(__xludf.DUMMYFUNCTION("""COMPUTED_VALUE"""),"USA")</f>
        <v>USA</v>
      </c>
      <c r="E692" s="188">
        <f>IFERROR(__xludf.DUMMYFUNCTION("""COMPUTED_VALUE"""),43317.0)</f>
        <v>43317</v>
      </c>
      <c r="F692" s="188">
        <f>IFERROR(__xludf.DUMMYFUNCTION("""COMPUTED_VALUE"""),43339.0)</f>
        <v>43339</v>
      </c>
      <c r="H692">
        <f>IFERROR(__xludf.DUMMYFUNCTION("""COMPUTED_VALUE"""),56620.0)</f>
        <v>56620</v>
      </c>
      <c r="I692" t="str">
        <f>IFERROR(__xludf.DUMMYFUNCTION("""COMPUTED_VALUE"""),"08/18")</f>
        <v>08/18</v>
      </c>
      <c r="J692" s="5">
        <f>IFERROR(__xludf.DUMMYFUNCTION("""COMPUTED_VALUE"""),43351.0)</f>
        <v>43351</v>
      </c>
      <c r="K692">
        <f>IFERROR(__xludf.DUMMYFUNCTION("""COMPUTED_VALUE"""),22.0)</f>
        <v>22</v>
      </c>
      <c r="L692">
        <f>IFERROR(__xludf.DUMMYFUNCTION("""COMPUTED_VALUE"""),12.0)</f>
        <v>12</v>
      </c>
      <c r="M692">
        <f>IFERROR(__xludf.DUMMYFUNCTION("""COMPUTED_VALUE"""),34.0)</f>
        <v>34</v>
      </c>
      <c r="N692" t="str">
        <f>IFERROR(__xludf.DUMMYFUNCTION("""COMPUTED_VALUE"""),"Model 3 LR")</f>
        <v>Model 3 LR</v>
      </c>
      <c r="O692" t="str">
        <f>IFERROR(__xludf.DUMMYFUNCTION("""COMPUTED_VALUE"""),"Solid Black")</f>
        <v>Solid Black</v>
      </c>
      <c r="P692" t="str">
        <f>IFERROR(__xludf.DUMMYFUNCTION("""COMPUTED_VALUE"""),"18 inch Aero")</f>
        <v>18 inch Aero</v>
      </c>
      <c r="Q692" t="str">
        <f>IFERROR(__xludf.DUMMYFUNCTION("""COMPUTED_VALUE"""),"Black seats")</f>
        <v>Black seats</v>
      </c>
      <c r="R692" t="str">
        <f>IFERROR(__xludf.DUMMYFUNCTION("""COMPUTED_VALUE"""),"None")</f>
        <v>None</v>
      </c>
      <c r="X692" t="str">
        <f>IFERROR(__xludf.DUMMYFUNCTION("""COMPUTED_VALUE"""),"Excellent")</f>
        <v>Excellent</v>
      </c>
      <c r="Y692" t="str">
        <f>IFERROR(__xludf.DUMMYFUNCTION("""COMPUTED_VALUE"""),"Excellent")</f>
        <v>Excellent</v>
      </c>
      <c r="Z692" t="str">
        <f>IFERROR(__xludf.DUMMYFUNCTION("""COMPUTED_VALUE"""),"Excellent")</f>
        <v>Excellent</v>
      </c>
      <c r="AA692" t="str">
        <f>IFERROR(__xludf.DUMMYFUNCTION("""COMPUTED_VALUE"""),"Excellent")</f>
        <v>Excellent</v>
      </c>
      <c r="AB692" t="str">
        <f>IFERROR(__xludf.DUMMYFUNCTION("""COMPUTED_VALUE"""),"Excellent")</f>
        <v>Excellent</v>
      </c>
      <c r="AC692">
        <f>IFERROR(__xludf.DUMMYFUNCTION("""COMPUTED_VALUE"""),0.0)</f>
        <v>0</v>
      </c>
      <c r="AD692">
        <f>IFERROR(__xludf.DUMMYFUNCTION("""COMPUTED_VALUE"""),0.0)</f>
        <v>0</v>
      </c>
      <c r="AH692" s="189">
        <f>IFERROR(__xludf.DUMMYFUNCTION("""COMPUTED_VALUE"""),43356.35673675926)</f>
        <v>43356.35674</v>
      </c>
    </row>
    <row r="693">
      <c r="A693" t="str">
        <f>IFERROR(__xludf.DUMMYFUNCTION("""COMPUTED_VALUE"""),"hmerrill3")</f>
        <v>hmerrill3</v>
      </c>
      <c r="B693" t="str">
        <f>IFERROR(__xludf.DUMMYFUNCTION("""COMPUTED_VALUE"""),"Houston")</f>
        <v>Houston</v>
      </c>
      <c r="C693" t="str">
        <f>IFERROR(__xludf.DUMMYFUNCTION("""COMPUTED_VALUE"""),"TX")</f>
        <v>TX</v>
      </c>
      <c r="D693" t="str">
        <f>IFERROR(__xludf.DUMMYFUNCTION("""COMPUTED_VALUE"""),"USA")</f>
        <v>USA</v>
      </c>
      <c r="E693" s="188">
        <f>IFERROR(__xludf.DUMMYFUNCTION("""COMPUTED_VALUE"""),43278.0)</f>
        <v>43278</v>
      </c>
      <c r="F693" s="188">
        <f>IFERROR(__xludf.DUMMYFUNCTION("""COMPUTED_VALUE"""),43299.0)</f>
        <v>43299</v>
      </c>
      <c r="H693">
        <f>IFERROR(__xludf.DUMMYFUNCTION("""COMPUTED_VALUE"""),51944.0)</f>
        <v>51944</v>
      </c>
      <c r="I693" t="str">
        <f>IFERROR(__xludf.DUMMYFUNCTION("""COMPUTED_VALUE"""),"07/18")</f>
        <v>07/18</v>
      </c>
      <c r="J693" s="5">
        <f>IFERROR(__xludf.DUMMYFUNCTION("""COMPUTED_VALUE"""),43344.0)</f>
        <v>43344</v>
      </c>
      <c r="K693">
        <f>IFERROR(__xludf.DUMMYFUNCTION("""COMPUTED_VALUE"""),21.0)</f>
        <v>21</v>
      </c>
      <c r="L693">
        <f>IFERROR(__xludf.DUMMYFUNCTION("""COMPUTED_VALUE"""),45.0)</f>
        <v>45</v>
      </c>
      <c r="M693">
        <f>IFERROR(__xludf.DUMMYFUNCTION("""COMPUTED_VALUE"""),66.0)</f>
        <v>66</v>
      </c>
      <c r="N693" t="str">
        <f>IFERROR(__xludf.DUMMYFUNCTION("""COMPUTED_VALUE"""),"Model 3 LR")</f>
        <v>Model 3 LR</v>
      </c>
      <c r="O693" t="str">
        <f>IFERROR(__xludf.DUMMYFUNCTION("""COMPUTED_VALUE"""),"Pearl White Multi-Coat")</f>
        <v>Pearl White Multi-Coat</v>
      </c>
      <c r="P693" t="str">
        <f>IFERROR(__xludf.DUMMYFUNCTION("""COMPUTED_VALUE"""),"18 inch Aero")</f>
        <v>18 inch Aero</v>
      </c>
      <c r="Q693" t="str">
        <f>IFERROR(__xludf.DUMMYFUNCTION("""COMPUTED_VALUE"""),"Black seats")</f>
        <v>Black seats</v>
      </c>
      <c r="R693" t="str">
        <f>IFERROR(__xludf.DUMMYFUNCTION("""COMPUTED_VALUE"""),"Enhanced Autopilot")</f>
        <v>Enhanced Autopilot</v>
      </c>
      <c r="X693" t="str">
        <f>IFERROR(__xludf.DUMMYFUNCTION("""COMPUTED_VALUE"""),"Very Good")</f>
        <v>Very Good</v>
      </c>
      <c r="Y693" t="str">
        <f>IFERROR(__xludf.DUMMYFUNCTION("""COMPUTED_VALUE"""),"Very Good")</f>
        <v>Very Good</v>
      </c>
      <c r="Z693" t="str">
        <f>IFERROR(__xludf.DUMMYFUNCTION("""COMPUTED_VALUE"""),"Excellent")</f>
        <v>Excellent</v>
      </c>
      <c r="AA693" t="str">
        <f>IFERROR(__xludf.DUMMYFUNCTION("""COMPUTED_VALUE"""),"Poor")</f>
        <v>Poor</v>
      </c>
      <c r="AB693" t="str">
        <f>IFERROR(__xludf.DUMMYFUNCTION("""COMPUTED_VALUE"""),"Good")</f>
        <v>Good</v>
      </c>
      <c r="AC693">
        <f>IFERROR(__xludf.DUMMYFUNCTION("""COMPUTED_VALUE"""),1.0)</f>
        <v>1</v>
      </c>
      <c r="AD693">
        <f>IFERROR(__xludf.DUMMYFUNCTION("""COMPUTED_VALUE"""),1.0)</f>
        <v>1</v>
      </c>
      <c r="AE693">
        <f>IFERROR(__xludf.DUMMYFUNCTION("""COMPUTED_VALUE"""),0.0)</f>
        <v>0</v>
      </c>
      <c r="AG693" t="str">
        <f>IFERROR(__xludf.DUMMYFUNCTION("""COMPUTED_VALUE"""),"VIN replaced 8/7/18")</f>
        <v>VIN replaced 8/7/18</v>
      </c>
      <c r="AH693" s="189">
        <f>IFERROR(__xludf.DUMMYFUNCTION("""COMPUTED_VALUE"""),43356.442352812504)</f>
        <v>43356.44235</v>
      </c>
    </row>
    <row r="694">
      <c r="A694" t="str">
        <f>IFERROR(__xludf.DUMMYFUNCTION("""COMPUTED_VALUE"""),"T3slaModelE")</f>
        <v>T3slaModelE</v>
      </c>
      <c r="B694" t="str">
        <f>IFERROR(__xludf.DUMMYFUNCTION("""COMPUTED_VALUE"""),"SF Bay Area")</f>
        <v>SF Bay Area</v>
      </c>
      <c r="C694" t="str">
        <f>IFERROR(__xludf.DUMMYFUNCTION("""COMPUTED_VALUE"""),"CA")</f>
        <v>CA</v>
      </c>
      <c r="D694" t="str">
        <f>IFERROR(__xludf.DUMMYFUNCTION("""COMPUTED_VALUE"""),"USA")</f>
        <v>USA</v>
      </c>
      <c r="E694" s="188">
        <f>IFERROR(__xludf.DUMMYFUNCTION("""COMPUTED_VALUE"""),43278.0)</f>
        <v>43278</v>
      </c>
      <c r="F694" s="188">
        <f>IFERROR(__xludf.DUMMYFUNCTION("""COMPUTED_VALUE"""),43349.0)</f>
        <v>43349</v>
      </c>
      <c r="H694">
        <f>IFERROR(__xludf.DUMMYFUNCTION("""COMPUTED_VALUE"""),69655.0)</f>
        <v>69655</v>
      </c>
      <c r="I694" t="str">
        <f>IFERROR(__xludf.DUMMYFUNCTION("""COMPUTED_VALUE"""),"09/18")</f>
        <v>09/18</v>
      </c>
      <c r="J694" s="5">
        <f>IFERROR(__xludf.DUMMYFUNCTION("""COMPUTED_VALUE"""),43356.0)</f>
        <v>43356</v>
      </c>
      <c r="K694">
        <f>IFERROR(__xludf.DUMMYFUNCTION("""COMPUTED_VALUE"""),71.0)</f>
        <v>71</v>
      </c>
      <c r="L694">
        <f>IFERROR(__xludf.DUMMYFUNCTION("""COMPUTED_VALUE"""),7.0)</f>
        <v>7</v>
      </c>
      <c r="M694">
        <f>IFERROR(__xludf.DUMMYFUNCTION("""COMPUTED_VALUE"""),78.0)</f>
        <v>78</v>
      </c>
      <c r="N694" t="str">
        <f>IFERROR(__xludf.DUMMYFUNCTION("""COMPUTED_VALUE"""),"Model 3 LR AWD")</f>
        <v>Model 3 LR AWD</v>
      </c>
      <c r="O694" t="str">
        <f>IFERROR(__xludf.DUMMYFUNCTION("""COMPUTED_VALUE"""),"Red Multi-Coat")</f>
        <v>Red Multi-Coat</v>
      </c>
      <c r="P694" t="str">
        <f>IFERROR(__xludf.DUMMYFUNCTION("""COMPUTED_VALUE"""),"18 inch Aero")</f>
        <v>18 inch Aero</v>
      </c>
      <c r="Q694" t="str">
        <f>IFERROR(__xludf.DUMMYFUNCTION("""COMPUTED_VALUE"""),"Black seats")</f>
        <v>Black seats</v>
      </c>
      <c r="R694" t="str">
        <f>IFERROR(__xludf.DUMMYFUNCTION("""COMPUTED_VALUE"""),"Enhanced Autopilot")</f>
        <v>Enhanced Autopilot</v>
      </c>
      <c r="X694" t="str">
        <f>IFERROR(__xludf.DUMMYFUNCTION("""COMPUTED_VALUE"""),"Very Good")</f>
        <v>Very Good</v>
      </c>
      <c r="AA694" t="str">
        <f>IFERROR(__xludf.DUMMYFUNCTION("""COMPUTED_VALUE"""),"Very Good")</f>
        <v>Very Good</v>
      </c>
      <c r="AB694" t="str">
        <f>IFERROR(__xludf.DUMMYFUNCTION("""COMPUTED_VALUE"""),"Excellent")</f>
        <v>Excellent</v>
      </c>
      <c r="AG694" t="str">
        <f>IFERROR(__xludf.DUMMYFUNCTION("""COMPUTED_VALUE"""),"Day 1 reservation. Waited for ModelS lease to end.")</f>
        <v>Day 1 reservation. Waited for ModelS lease to end.</v>
      </c>
      <c r="AH694" s="189">
        <f>IFERROR(__xludf.DUMMYFUNCTION("""COMPUTED_VALUE"""),43356.470404155094)</f>
        <v>43356.4704</v>
      </c>
    </row>
    <row r="695">
      <c r="A695" t="str">
        <f>IFERROR(__xludf.DUMMYFUNCTION("""COMPUTED_VALUE"""),"Petra")</f>
        <v>Petra</v>
      </c>
      <c r="B695" t="str">
        <f>IFERROR(__xludf.DUMMYFUNCTION("""COMPUTED_VALUE"""),"Palmdale")</f>
        <v>Palmdale</v>
      </c>
      <c r="C695" t="str">
        <f>IFERROR(__xludf.DUMMYFUNCTION("""COMPUTED_VALUE"""),"CA")</f>
        <v>CA</v>
      </c>
      <c r="D695" t="str">
        <f>IFERROR(__xludf.DUMMYFUNCTION("""COMPUTED_VALUE"""),"USA")</f>
        <v>USA</v>
      </c>
      <c r="E695" s="188">
        <f>IFERROR(__xludf.DUMMYFUNCTION("""COMPUTED_VALUE"""),43277.0)</f>
        <v>43277</v>
      </c>
      <c r="F695" s="188">
        <f>IFERROR(__xludf.DUMMYFUNCTION("""COMPUTED_VALUE"""),43346.0)</f>
        <v>43346</v>
      </c>
      <c r="H695">
        <f>IFERROR(__xludf.DUMMYFUNCTION("""COMPUTED_VALUE"""),100155.0)</f>
        <v>100155</v>
      </c>
      <c r="I695" t="str">
        <f>IFERROR(__xludf.DUMMYFUNCTION("""COMPUTED_VALUE"""),"08/18")</f>
        <v>08/18</v>
      </c>
      <c r="J695" s="5">
        <f>IFERROR(__xludf.DUMMYFUNCTION("""COMPUTED_VALUE"""),43349.0)</f>
        <v>43349</v>
      </c>
      <c r="K695">
        <f>IFERROR(__xludf.DUMMYFUNCTION("""COMPUTED_VALUE"""),69.0)</f>
        <v>69</v>
      </c>
      <c r="L695">
        <f>IFERROR(__xludf.DUMMYFUNCTION("""COMPUTED_VALUE"""),3.0)</f>
        <v>3</v>
      </c>
      <c r="M695">
        <f>IFERROR(__xludf.DUMMYFUNCTION("""COMPUTED_VALUE"""),72.0)</f>
        <v>72</v>
      </c>
      <c r="N695" t="str">
        <f>IFERROR(__xludf.DUMMYFUNCTION("""COMPUTED_VALUE"""),"Model 3 Performance")</f>
        <v>Model 3 Performance</v>
      </c>
      <c r="O695" t="str">
        <f>IFERROR(__xludf.DUMMYFUNCTION("""COMPUTED_VALUE"""),"Pearl White Multi-Coat")</f>
        <v>Pearl White Multi-Coat</v>
      </c>
      <c r="P695" t="str">
        <f>IFERROR(__xludf.DUMMYFUNCTION("""COMPUTED_VALUE"""),"18 inch Aero")</f>
        <v>18 inch Aero</v>
      </c>
      <c r="Q695" t="str">
        <f>IFERROR(__xludf.DUMMYFUNCTION("""COMPUTED_VALUE"""),"White seats")</f>
        <v>White seats</v>
      </c>
      <c r="R695" t="str">
        <f>IFERROR(__xludf.DUMMYFUNCTION("""COMPUTED_VALUE"""),"Full Self-Driving")</f>
        <v>Full Self-Driving</v>
      </c>
      <c r="X695" t="str">
        <f>IFERROR(__xludf.DUMMYFUNCTION("""COMPUTED_VALUE"""),"Fair")</f>
        <v>Fair</v>
      </c>
      <c r="Y695" t="str">
        <f>IFERROR(__xludf.DUMMYFUNCTION("""COMPUTED_VALUE"""),"Good")</f>
        <v>Good</v>
      </c>
      <c r="Z695" t="str">
        <f>IFERROR(__xludf.DUMMYFUNCTION("""COMPUTED_VALUE"""),"Poor")</f>
        <v>Poor</v>
      </c>
      <c r="AA695" t="str">
        <f>IFERROR(__xludf.DUMMYFUNCTION("""COMPUTED_VALUE"""),"Poor")</f>
        <v>Poor</v>
      </c>
      <c r="AB695" t="str">
        <f>IFERROR(__xludf.DUMMYFUNCTION("""COMPUTED_VALUE"""),"Good")</f>
        <v>Good</v>
      </c>
      <c r="AC695">
        <f>IFERROR(__xludf.DUMMYFUNCTION("""COMPUTED_VALUE"""),4.0)</f>
        <v>4</v>
      </c>
      <c r="AD695">
        <f>IFERROR(__xludf.DUMMYFUNCTION("""COMPUTED_VALUE"""),4.0)</f>
        <v>4</v>
      </c>
      <c r="AE695">
        <f>IFERROR(__xludf.DUMMYFUNCTION("""COMPUTED_VALUE"""),0.0)</f>
        <v>0</v>
      </c>
      <c r="AH695" s="189">
        <f>IFERROR(__xludf.DUMMYFUNCTION("""COMPUTED_VALUE"""),43356.54403503472)</f>
        <v>43356.54404</v>
      </c>
    </row>
    <row r="696">
      <c r="A696" t="str">
        <f>IFERROR(__xludf.DUMMYFUNCTION("""COMPUTED_VALUE"""),"madreag")</f>
        <v>madreag</v>
      </c>
      <c r="B696" t="str">
        <f>IFERROR(__xludf.DUMMYFUNCTION("""COMPUTED_VALUE"""),"Scottsdale")</f>
        <v>Scottsdale</v>
      </c>
      <c r="C696" t="str">
        <f>IFERROR(__xludf.DUMMYFUNCTION("""COMPUTED_VALUE"""),"AZ")</f>
        <v>AZ</v>
      </c>
      <c r="D696" t="str">
        <f>IFERROR(__xludf.DUMMYFUNCTION("""COMPUTED_VALUE"""),"USA")</f>
        <v>USA</v>
      </c>
      <c r="E696" s="188">
        <f>IFERROR(__xludf.DUMMYFUNCTION("""COMPUTED_VALUE"""),43278.0)</f>
        <v>43278</v>
      </c>
      <c r="F696" s="188">
        <f>IFERROR(__xludf.DUMMYFUNCTION("""COMPUTED_VALUE"""),43342.0)</f>
        <v>43342</v>
      </c>
      <c r="H696">
        <f>IFERROR(__xludf.DUMMYFUNCTION("""COMPUTED_VALUE"""),66555.0)</f>
        <v>66555</v>
      </c>
      <c r="I696" t="str">
        <f>IFERROR(__xludf.DUMMYFUNCTION("""COMPUTED_VALUE"""),"08/18")</f>
        <v>08/18</v>
      </c>
      <c r="J696" s="5">
        <f>IFERROR(__xludf.DUMMYFUNCTION("""COMPUTED_VALUE"""),43351.0)</f>
        <v>43351</v>
      </c>
      <c r="K696">
        <f>IFERROR(__xludf.DUMMYFUNCTION("""COMPUTED_VALUE"""),64.0)</f>
        <v>64</v>
      </c>
      <c r="L696">
        <f>IFERROR(__xludf.DUMMYFUNCTION("""COMPUTED_VALUE"""),9.0)</f>
        <v>9</v>
      </c>
      <c r="M696">
        <f>IFERROR(__xludf.DUMMYFUNCTION("""COMPUTED_VALUE"""),73.0)</f>
        <v>73</v>
      </c>
      <c r="N696" t="str">
        <f>IFERROR(__xludf.DUMMYFUNCTION("""COMPUTED_VALUE"""),"Model 3 LR AWD")</f>
        <v>Model 3 LR AWD</v>
      </c>
      <c r="O696" t="str">
        <f>IFERROR(__xludf.DUMMYFUNCTION("""COMPUTED_VALUE"""),"Midnight Silver Metallic")</f>
        <v>Midnight Silver Metallic</v>
      </c>
      <c r="P696" t="str">
        <f>IFERROR(__xludf.DUMMYFUNCTION("""COMPUTED_VALUE"""),"18 inch Aero")</f>
        <v>18 inch Aero</v>
      </c>
      <c r="Q696" t="str">
        <f>IFERROR(__xludf.DUMMYFUNCTION("""COMPUTED_VALUE"""),"Black seats")</f>
        <v>Black seats</v>
      </c>
      <c r="R696" t="str">
        <f>IFERROR(__xludf.DUMMYFUNCTION("""COMPUTED_VALUE"""),"Full Self-Driving")</f>
        <v>Full Self-Driving</v>
      </c>
      <c r="X696" t="str">
        <f>IFERROR(__xludf.DUMMYFUNCTION("""COMPUTED_VALUE"""),"Poor")</f>
        <v>Poor</v>
      </c>
      <c r="Y696" t="str">
        <f>IFERROR(__xludf.DUMMYFUNCTION("""COMPUTED_VALUE"""),"Fair")</f>
        <v>Fair</v>
      </c>
      <c r="Z696" t="str">
        <f>IFERROR(__xludf.DUMMYFUNCTION("""COMPUTED_VALUE"""),"Fair")</f>
        <v>Fair</v>
      </c>
      <c r="AA696" t="str">
        <f>IFERROR(__xludf.DUMMYFUNCTION("""COMPUTED_VALUE"""),"Good")</f>
        <v>Good</v>
      </c>
      <c r="AB696" t="str">
        <f>IFERROR(__xludf.DUMMYFUNCTION("""COMPUTED_VALUE"""),"Good")</f>
        <v>Good</v>
      </c>
      <c r="AC696">
        <f>IFERROR(__xludf.DUMMYFUNCTION("""COMPUTED_VALUE"""),8.0)</f>
        <v>8</v>
      </c>
      <c r="AH696" s="189">
        <f>IFERROR(__xludf.DUMMYFUNCTION("""COMPUTED_VALUE"""),43356.784317337966)</f>
        <v>43356.78432</v>
      </c>
    </row>
    <row r="697">
      <c r="A697" t="str">
        <f>IFERROR(__xludf.DUMMYFUNCTION("""COMPUTED_VALUE"""),"JTW77")</f>
        <v>JTW77</v>
      </c>
      <c r="B697" t="str">
        <f>IFERROR(__xludf.DUMMYFUNCTION("""COMPUTED_VALUE"""),"Green Bay")</f>
        <v>Green Bay</v>
      </c>
      <c r="C697" t="str">
        <f>IFERROR(__xludf.DUMMYFUNCTION("""COMPUTED_VALUE"""),"WI")</f>
        <v>WI</v>
      </c>
      <c r="D697" t="str">
        <f>IFERROR(__xludf.DUMMYFUNCTION("""COMPUTED_VALUE"""),"USA")</f>
        <v>USA</v>
      </c>
      <c r="E697" s="188">
        <f>IFERROR(__xludf.DUMMYFUNCTION("""COMPUTED_VALUE"""),43316.0)</f>
        <v>43316</v>
      </c>
      <c r="F697" s="188">
        <f>IFERROR(__xludf.DUMMYFUNCTION("""COMPUTED_VALUE"""),43335.0)</f>
        <v>43335</v>
      </c>
      <c r="H697">
        <f>IFERROR(__xludf.DUMMYFUNCTION("""COMPUTED_VALUE"""),64888.0)</f>
        <v>64888</v>
      </c>
      <c r="I697" t="str">
        <f>IFERROR(__xludf.DUMMYFUNCTION("""COMPUTED_VALUE"""),"08/18")</f>
        <v>08/18</v>
      </c>
      <c r="J697" s="5">
        <f>IFERROR(__xludf.DUMMYFUNCTION("""COMPUTED_VALUE"""),43356.0)</f>
        <v>43356</v>
      </c>
      <c r="K697">
        <f>IFERROR(__xludf.DUMMYFUNCTION("""COMPUTED_VALUE"""),19.0)</f>
        <v>19</v>
      </c>
      <c r="L697">
        <f>IFERROR(__xludf.DUMMYFUNCTION("""COMPUTED_VALUE"""),21.0)</f>
        <v>21</v>
      </c>
      <c r="M697">
        <f>IFERROR(__xludf.DUMMYFUNCTION("""COMPUTED_VALUE"""),40.0)</f>
        <v>40</v>
      </c>
      <c r="N697" t="str">
        <f>IFERROR(__xludf.DUMMYFUNCTION("""COMPUTED_VALUE"""),"Model 3 LR AWD")</f>
        <v>Model 3 LR AWD</v>
      </c>
      <c r="O697" t="str">
        <f>IFERROR(__xludf.DUMMYFUNCTION("""COMPUTED_VALUE"""),"Deep Blue Metallic")</f>
        <v>Deep Blue Metallic</v>
      </c>
      <c r="P697" t="str">
        <f>IFERROR(__xludf.DUMMYFUNCTION("""COMPUTED_VALUE"""),"18 inch Aero")</f>
        <v>18 inch Aero</v>
      </c>
      <c r="Q697" t="str">
        <f>IFERROR(__xludf.DUMMYFUNCTION("""COMPUTED_VALUE"""),"Black seats")</f>
        <v>Black seats</v>
      </c>
      <c r="R697" t="str">
        <f>IFERROR(__xludf.DUMMYFUNCTION("""COMPUTED_VALUE"""),"Enhanced Autopilot")</f>
        <v>Enhanced Autopilot</v>
      </c>
      <c r="X697" t="str">
        <f>IFERROR(__xludf.DUMMYFUNCTION("""COMPUTED_VALUE"""),"Excellent")</f>
        <v>Excellent</v>
      </c>
      <c r="Y697" t="str">
        <f>IFERROR(__xludf.DUMMYFUNCTION("""COMPUTED_VALUE"""),"Excellent")</f>
        <v>Excellent</v>
      </c>
      <c r="Z697" t="str">
        <f>IFERROR(__xludf.DUMMYFUNCTION("""COMPUTED_VALUE"""),"Excellent")</f>
        <v>Excellent</v>
      </c>
      <c r="AA697" t="str">
        <f>IFERROR(__xludf.DUMMYFUNCTION("""COMPUTED_VALUE"""),"Excellent")</f>
        <v>Excellent</v>
      </c>
      <c r="AB697" t="str">
        <f>IFERROR(__xludf.DUMMYFUNCTION("""COMPUTED_VALUE"""),"Excellent")</f>
        <v>Excellent</v>
      </c>
      <c r="AH697" s="189">
        <f>IFERROR(__xludf.DUMMYFUNCTION("""COMPUTED_VALUE"""),43356.81257883101)</f>
        <v>43356.81258</v>
      </c>
    </row>
    <row r="698">
      <c r="A698" t="str">
        <f>IFERROR(__xludf.DUMMYFUNCTION("""COMPUTED_VALUE"""),"libra89")</f>
        <v>libra89</v>
      </c>
      <c r="B698" t="str">
        <f>IFERROR(__xludf.DUMMYFUNCTION("""COMPUTED_VALUE"""),"Fort Worth")</f>
        <v>Fort Worth</v>
      </c>
      <c r="C698" t="str">
        <f>IFERROR(__xludf.DUMMYFUNCTION("""COMPUTED_VALUE"""),"TX")</f>
        <v>TX</v>
      </c>
      <c r="D698" t="str">
        <f>IFERROR(__xludf.DUMMYFUNCTION("""COMPUTED_VALUE"""),"USA")</f>
        <v>USA</v>
      </c>
      <c r="E698" s="188">
        <f>IFERROR(__xludf.DUMMYFUNCTION("""COMPUTED_VALUE"""),43279.0)</f>
        <v>43279</v>
      </c>
      <c r="F698" s="188">
        <f>IFERROR(__xludf.DUMMYFUNCTION("""COMPUTED_VALUE"""),43320.0)</f>
        <v>43320</v>
      </c>
      <c r="H698">
        <f>IFERROR(__xludf.DUMMYFUNCTION("""COMPUTED_VALUE"""),70255.0)</f>
        <v>70255</v>
      </c>
      <c r="I698" t="str">
        <f>IFERROR(__xludf.DUMMYFUNCTION("""COMPUTED_VALUE"""),"08/18")</f>
        <v>08/18</v>
      </c>
      <c r="J698" s="5">
        <f>IFERROR(__xludf.DUMMYFUNCTION("""COMPUTED_VALUE"""),43351.0)</f>
        <v>43351</v>
      </c>
      <c r="K698">
        <f>IFERROR(__xludf.DUMMYFUNCTION("""COMPUTED_VALUE"""),41.0)</f>
        <v>41</v>
      </c>
      <c r="L698">
        <f>IFERROR(__xludf.DUMMYFUNCTION("""COMPUTED_VALUE"""),31.0)</f>
        <v>31</v>
      </c>
      <c r="M698">
        <f>IFERROR(__xludf.DUMMYFUNCTION("""COMPUTED_VALUE"""),72.0)</f>
        <v>72</v>
      </c>
      <c r="N698" t="str">
        <f>IFERROR(__xludf.DUMMYFUNCTION("""COMPUTED_VALUE"""),"Model 3 LR")</f>
        <v>Model 3 LR</v>
      </c>
      <c r="O698" t="str">
        <f>IFERROR(__xludf.DUMMYFUNCTION("""COMPUTED_VALUE"""),"Obsidian Black Metallic")</f>
        <v>Obsidian Black Metallic</v>
      </c>
      <c r="P698" t="str">
        <f>IFERROR(__xludf.DUMMYFUNCTION("""COMPUTED_VALUE"""),"18 inch Aero")</f>
        <v>18 inch Aero</v>
      </c>
      <c r="Q698" t="str">
        <f>IFERROR(__xludf.DUMMYFUNCTION("""COMPUTED_VALUE"""),"Black seats")</f>
        <v>Black seats</v>
      </c>
      <c r="R698" t="str">
        <f>IFERROR(__xludf.DUMMYFUNCTION("""COMPUTED_VALUE"""),"Enhanced Autopilot")</f>
        <v>Enhanced Autopilot</v>
      </c>
      <c r="X698" t="str">
        <f>IFERROR(__xludf.DUMMYFUNCTION("""COMPUTED_VALUE"""),"Excellent")</f>
        <v>Excellent</v>
      </c>
      <c r="Y698" t="str">
        <f>IFERROR(__xludf.DUMMYFUNCTION("""COMPUTED_VALUE"""),"Excellent")</f>
        <v>Excellent</v>
      </c>
      <c r="Z698" t="str">
        <f>IFERROR(__xludf.DUMMYFUNCTION("""COMPUTED_VALUE"""),"Excellent")</f>
        <v>Excellent</v>
      </c>
      <c r="AA698" t="str">
        <f>IFERROR(__xludf.DUMMYFUNCTION("""COMPUTED_VALUE"""),"Good")</f>
        <v>Good</v>
      </c>
      <c r="AB698" t="str">
        <f>IFERROR(__xludf.DUMMYFUNCTION("""COMPUTED_VALUE"""),"Very Good")</f>
        <v>Very Good</v>
      </c>
      <c r="AH698" s="189">
        <f>IFERROR(__xludf.DUMMYFUNCTION("""COMPUTED_VALUE"""),43356.86875010417)</f>
        <v>43356.86875</v>
      </c>
    </row>
    <row r="699">
      <c r="A699" t="str">
        <f>IFERROR(__xludf.DUMMYFUNCTION("""COMPUTED_VALUE"""),"Timscholefield")</f>
        <v>Timscholefield</v>
      </c>
      <c r="B699" t="str">
        <f>IFERROR(__xludf.DUMMYFUNCTION("""COMPUTED_VALUE"""),"Los Angeles")</f>
        <v>Los Angeles</v>
      </c>
      <c r="C699" t="str">
        <f>IFERROR(__xludf.DUMMYFUNCTION("""COMPUTED_VALUE"""),"CA")</f>
        <v>CA</v>
      </c>
      <c r="D699" t="str">
        <f>IFERROR(__xludf.DUMMYFUNCTION("""COMPUTED_VALUE"""),"USA")</f>
        <v>USA</v>
      </c>
      <c r="E699" s="188">
        <f>IFERROR(__xludf.DUMMYFUNCTION("""COMPUTED_VALUE"""),43345.0)</f>
        <v>43345</v>
      </c>
      <c r="F699" s="188">
        <f>IFERROR(__xludf.DUMMYFUNCTION("""COMPUTED_VALUE"""),43349.0)</f>
        <v>43349</v>
      </c>
      <c r="H699" s="4">
        <f>IFERROR(__xludf.DUMMYFUNCTION("""COMPUTED_VALUE"""),80665.0)</f>
        <v>80665</v>
      </c>
      <c r="J699" s="5">
        <f>IFERROR(__xludf.DUMMYFUNCTION("""COMPUTED_VALUE"""),43361.0)</f>
        <v>43361</v>
      </c>
      <c r="K699">
        <f>IFERROR(__xludf.DUMMYFUNCTION("""COMPUTED_VALUE"""),4.0)</f>
        <v>4</v>
      </c>
      <c r="L699">
        <f>IFERROR(__xludf.DUMMYFUNCTION("""COMPUTED_VALUE"""),12.0)</f>
        <v>12</v>
      </c>
      <c r="M699">
        <f>IFERROR(__xludf.DUMMYFUNCTION("""COMPUTED_VALUE"""),16.0)</f>
        <v>16</v>
      </c>
      <c r="N699" t="str">
        <f>IFERROR(__xludf.DUMMYFUNCTION("""COMPUTED_VALUE"""),"Model 3 Performance")</f>
        <v>Model 3 Performance</v>
      </c>
      <c r="O699" t="str">
        <f>IFERROR(__xludf.DUMMYFUNCTION("""COMPUTED_VALUE"""),"Deep Blue Metallic")</f>
        <v>Deep Blue Metallic</v>
      </c>
      <c r="P699" t="str">
        <f>IFERROR(__xludf.DUMMYFUNCTION("""COMPUTED_VALUE"""),"20 inch Sport")</f>
        <v>20 inch Sport</v>
      </c>
      <c r="Q699" t="str">
        <f>IFERROR(__xludf.DUMMYFUNCTION("""COMPUTED_VALUE"""),"White seats")</f>
        <v>White seats</v>
      </c>
      <c r="R699" t="str">
        <f>IFERROR(__xludf.DUMMYFUNCTION("""COMPUTED_VALUE"""),"Enhanced Autopilot")</f>
        <v>Enhanced Autopilot</v>
      </c>
      <c r="AA699" t="str">
        <f>IFERROR(__xludf.DUMMYFUNCTION("""COMPUTED_VALUE"""),"Fair")</f>
        <v>Fair</v>
      </c>
      <c r="AH699" s="189">
        <f>IFERROR(__xludf.DUMMYFUNCTION("""COMPUTED_VALUE"""),43356.99538930556)</f>
        <v>43356.99539</v>
      </c>
    </row>
    <row r="700">
      <c r="A700" t="str">
        <f>IFERROR(__xludf.DUMMYFUNCTION("""COMPUTED_VALUE"""),"psohl14")</f>
        <v>psohl14</v>
      </c>
      <c r="B700" t="str">
        <f>IFERROR(__xludf.DUMMYFUNCTION("""COMPUTED_VALUE"""),"Atlanta")</f>
        <v>Atlanta</v>
      </c>
      <c r="C700" t="str">
        <f>IFERROR(__xludf.DUMMYFUNCTION("""COMPUTED_VALUE"""),"GA")</f>
        <v>GA</v>
      </c>
      <c r="D700" t="str">
        <f>IFERROR(__xludf.DUMMYFUNCTION("""COMPUTED_VALUE"""),"USA")</f>
        <v>USA</v>
      </c>
      <c r="E700" s="188">
        <f>IFERROR(__xludf.DUMMYFUNCTION("""COMPUTED_VALUE"""),43278.0)</f>
        <v>43278</v>
      </c>
      <c r="F700" s="188">
        <f>IFERROR(__xludf.DUMMYFUNCTION("""COMPUTED_VALUE"""),43347.0)</f>
        <v>43347</v>
      </c>
      <c r="H700">
        <f>IFERROR(__xludf.DUMMYFUNCTION("""COMPUTED_VALUE"""),63355.0)</f>
        <v>63355</v>
      </c>
      <c r="J700" s="5">
        <f>IFERROR(__xludf.DUMMYFUNCTION("""COMPUTED_VALUE"""),43356.0)</f>
        <v>43356</v>
      </c>
      <c r="K700">
        <f>IFERROR(__xludf.DUMMYFUNCTION("""COMPUTED_VALUE"""),69.0)</f>
        <v>69</v>
      </c>
      <c r="L700">
        <f>IFERROR(__xludf.DUMMYFUNCTION("""COMPUTED_VALUE"""),9.0)</f>
        <v>9</v>
      </c>
      <c r="M700">
        <f>IFERROR(__xludf.DUMMYFUNCTION("""COMPUTED_VALUE"""),78.0)</f>
        <v>78</v>
      </c>
      <c r="N700" t="str">
        <f>IFERROR(__xludf.DUMMYFUNCTION("""COMPUTED_VALUE"""),"Model 3 Performance")</f>
        <v>Model 3 Performance</v>
      </c>
      <c r="O700" t="str">
        <f>IFERROR(__xludf.DUMMYFUNCTION("""COMPUTED_VALUE"""),"Red Multi-Coat")</f>
        <v>Red Multi-Coat</v>
      </c>
      <c r="P700" t="str">
        <f>IFERROR(__xludf.DUMMYFUNCTION("""COMPUTED_VALUE"""),"20 inch Sport")</f>
        <v>20 inch Sport</v>
      </c>
      <c r="Q700" t="str">
        <f>IFERROR(__xludf.DUMMYFUNCTION("""COMPUTED_VALUE"""),"White seats")</f>
        <v>White seats</v>
      </c>
      <c r="R700" t="str">
        <f>IFERROR(__xludf.DUMMYFUNCTION("""COMPUTED_VALUE"""),"Full Self-Driving")</f>
        <v>Full Self-Driving</v>
      </c>
      <c r="X700" t="str">
        <f>IFERROR(__xludf.DUMMYFUNCTION("""COMPUTED_VALUE"""),"Very Good")</f>
        <v>Very Good</v>
      </c>
      <c r="Y700" t="str">
        <f>IFERROR(__xludf.DUMMYFUNCTION("""COMPUTED_VALUE"""),"Very Good")</f>
        <v>Very Good</v>
      </c>
      <c r="Z700" t="str">
        <f>IFERROR(__xludf.DUMMYFUNCTION("""COMPUTED_VALUE"""),"Very Good")</f>
        <v>Very Good</v>
      </c>
      <c r="AA700" t="str">
        <f>IFERROR(__xludf.DUMMYFUNCTION("""COMPUTED_VALUE"""),"Excellent")</f>
        <v>Excellent</v>
      </c>
      <c r="AB700" t="str">
        <f>IFERROR(__xludf.DUMMYFUNCTION("""COMPUTED_VALUE"""),"Excellent")</f>
        <v>Excellent</v>
      </c>
      <c r="AC700">
        <f>IFERROR(__xludf.DUMMYFUNCTION("""COMPUTED_VALUE"""),2.0)</f>
        <v>2</v>
      </c>
      <c r="AD700">
        <f>IFERROR(__xludf.DUMMYFUNCTION("""COMPUTED_VALUE"""),1.0)</f>
        <v>1</v>
      </c>
      <c r="AH700" s="189">
        <f>IFERROR(__xludf.DUMMYFUNCTION("""COMPUTED_VALUE"""),43357.21380311342)</f>
        <v>43357.2138</v>
      </c>
    </row>
    <row r="701">
      <c r="A701" t="str">
        <f>IFERROR(__xludf.DUMMYFUNCTION("""COMPUTED_VALUE"""),"Slartiblartfast")</f>
        <v>Slartiblartfast</v>
      </c>
      <c r="B701" t="str">
        <f>IFERROR(__xludf.DUMMYFUNCTION("""COMPUTED_VALUE"""),"Chantilly")</f>
        <v>Chantilly</v>
      </c>
      <c r="C701" t="str">
        <f>IFERROR(__xludf.DUMMYFUNCTION("""COMPUTED_VALUE"""),"VA")</f>
        <v>VA</v>
      </c>
      <c r="D701" t="str">
        <f>IFERROR(__xludf.DUMMYFUNCTION("""COMPUTED_VALUE"""),"USA")</f>
        <v>USA</v>
      </c>
      <c r="E701" s="188">
        <f>IFERROR(__xludf.DUMMYFUNCTION("""COMPUTED_VALUE"""),43278.0)</f>
        <v>43278</v>
      </c>
      <c r="F701" s="188">
        <f>IFERROR(__xludf.DUMMYFUNCTION("""COMPUTED_VALUE"""),43353.0)</f>
        <v>43353</v>
      </c>
      <c r="H701">
        <f>IFERROR(__xludf.DUMMYFUNCTION("""COMPUTED_VALUE"""),68555.0)</f>
        <v>68555</v>
      </c>
      <c r="I701" t="str">
        <f>IFERROR(__xludf.DUMMYFUNCTION("""COMPUTED_VALUE"""),"08/18")</f>
        <v>08/18</v>
      </c>
      <c r="J701" s="5">
        <f>IFERROR(__xludf.DUMMYFUNCTION("""COMPUTED_VALUE"""),43356.0)</f>
        <v>43356</v>
      </c>
      <c r="K701">
        <f>IFERROR(__xludf.DUMMYFUNCTION("""COMPUTED_VALUE"""),75.0)</f>
        <v>75</v>
      </c>
      <c r="L701">
        <f>IFERROR(__xludf.DUMMYFUNCTION("""COMPUTED_VALUE"""),3.0)</f>
        <v>3</v>
      </c>
      <c r="M701">
        <f>IFERROR(__xludf.DUMMYFUNCTION("""COMPUTED_VALUE"""),78.0)</f>
        <v>78</v>
      </c>
      <c r="N701" t="str">
        <f>IFERROR(__xludf.DUMMYFUNCTION("""COMPUTED_VALUE"""),"Model 3 LR AWD")</f>
        <v>Model 3 LR AWD</v>
      </c>
      <c r="O701" t="str">
        <f>IFERROR(__xludf.DUMMYFUNCTION("""COMPUTED_VALUE"""),"Solid Black")</f>
        <v>Solid Black</v>
      </c>
      <c r="P701" t="str">
        <f>IFERROR(__xludf.DUMMYFUNCTION("""COMPUTED_VALUE"""),"18 inch Aero")</f>
        <v>18 inch Aero</v>
      </c>
      <c r="Q701" t="str">
        <f>IFERROR(__xludf.DUMMYFUNCTION("""COMPUTED_VALUE"""),"Black seats")</f>
        <v>Black seats</v>
      </c>
      <c r="R701" t="str">
        <f>IFERROR(__xludf.DUMMYFUNCTION("""COMPUTED_VALUE"""),"Enhanced Autopilot")</f>
        <v>Enhanced Autopilot</v>
      </c>
      <c r="X701" t="str">
        <f>IFERROR(__xludf.DUMMYFUNCTION("""COMPUTED_VALUE"""),"Excellent")</f>
        <v>Excellent</v>
      </c>
      <c r="Y701" t="str">
        <f>IFERROR(__xludf.DUMMYFUNCTION("""COMPUTED_VALUE"""),"Excellent")</f>
        <v>Excellent</v>
      </c>
      <c r="Z701" t="str">
        <f>IFERROR(__xludf.DUMMYFUNCTION("""COMPUTED_VALUE"""),"Excellent")</f>
        <v>Excellent</v>
      </c>
      <c r="AA701" t="str">
        <f>IFERROR(__xludf.DUMMYFUNCTION("""COMPUTED_VALUE"""),"Very Good")</f>
        <v>Very Good</v>
      </c>
      <c r="AB701" t="str">
        <f>IFERROR(__xludf.DUMMYFUNCTION("""COMPUTED_VALUE"""),"Very Good")</f>
        <v>Very Good</v>
      </c>
      <c r="AH701" s="189">
        <f>IFERROR(__xludf.DUMMYFUNCTION("""COMPUTED_VALUE"""),43357.225253055556)</f>
        <v>43357.22525</v>
      </c>
    </row>
    <row r="702">
      <c r="A702" t="str">
        <f>IFERROR(__xludf.DUMMYFUNCTION("""COMPUTED_VALUE"""),"clundh")</f>
        <v>clundh</v>
      </c>
      <c r="C702" t="str">
        <f>IFERROR(__xludf.DUMMYFUNCTION("""COMPUTED_VALUE"""),"WI")</f>
        <v>WI</v>
      </c>
      <c r="D702" t="str">
        <f>IFERROR(__xludf.DUMMYFUNCTION("""COMPUTED_VALUE"""),"USA")</f>
        <v>USA</v>
      </c>
      <c r="E702" s="188">
        <f>IFERROR(__xludf.DUMMYFUNCTION("""COMPUTED_VALUE"""),43279.0)</f>
        <v>43279</v>
      </c>
      <c r="F702" s="188">
        <f>IFERROR(__xludf.DUMMYFUNCTION("""COMPUTED_VALUE"""),43346.0)</f>
        <v>43346</v>
      </c>
      <c r="H702">
        <f>IFERROR(__xludf.DUMMYFUNCTION("""COMPUTED_VALUE"""),66355.0)</f>
        <v>66355</v>
      </c>
      <c r="J702" s="5">
        <f>IFERROR(__xludf.DUMMYFUNCTION("""COMPUTED_VALUE"""),43354.0)</f>
        <v>43354</v>
      </c>
      <c r="K702">
        <f>IFERROR(__xludf.DUMMYFUNCTION("""COMPUTED_VALUE"""),67.0)</f>
        <v>67</v>
      </c>
      <c r="L702">
        <f>IFERROR(__xludf.DUMMYFUNCTION("""COMPUTED_VALUE"""),8.0)</f>
        <v>8</v>
      </c>
      <c r="M702">
        <f>IFERROR(__xludf.DUMMYFUNCTION("""COMPUTED_VALUE"""),75.0)</f>
        <v>75</v>
      </c>
      <c r="N702" t="str">
        <f>IFERROR(__xludf.DUMMYFUNCTION("""COMPUTED_VALUE"""),"Model 3 LR AWD")</f>
        <v>Model 3 LR AWD</v>
      </c>
      <c r="O702" t="str">
        <f>IFERROR(__xludf.DUMMYFUNCTION("""COMPUTED_VALUE"""),"Midnight Silver Metallic")</f>
        <v>Midnight Silver Metallic</v>
      </c>
      <c r="P702" t="str">
        <f>IFERROR(__xludf.DUMMYFUNCTION("""COMPUTED_VALUE"""),"18 inch Aero")</f>
        <v>18 inch Aero</v>
      </c>
      <c r="Q702" t="str">
        <f>IFERROR(__xludf.DUMMYFUNCTION("""COMPUTED_VALUE"""),"Black seats")</f>
        <v>Black seats</v>
      </c>
      <c r="R702" t="str">
        <f>IFERROR(__xludf.DUMMYFUNCTION("""COMPUTED_VALUE"""),"Full Self-Driving")</f>
        <v>Full Self-Driving</v>
      </c>
      <c r="X702" t="str">
        <f>IFERROR(__xludf.DUMMYFUNCTION("""COMPUTED_VALUE"""),"Excellent")</f>
        <v>Excellent</v>
      </c>
      <c r="Y702" t="str">
        <f>IFERROR(__xludf.DUMMYFUNCTION("""COMPUTED_VALUE"""),"Excellent")</f>
        <v>Excellent</v>
      </c>
      <c r="Z702" t="str">
        <f>IFERROR(__xludf.DUMMYFUNCTION("""COMPUTED_VALUE"""),"Excellent")</f>
        <v>Excellent</v>
      </c>
      <c r="AA702" t="str">
        <f>IFERROR(__xludf.DUMMYFUNCTION("""COMPUTED_VALUE"""),"Excellent")</f>
        <v>Excellent</v>
      </c>
      <c r="AB702" t="str">
        <f>IFERROR(__xludf.DUMMYFUNCTION("""COMPUTED_VALUE"""),"Excellent")</f>
        <v>Excellent</v>
      </c>
      <c r="AH702" s="189">
        <f>IFERROR(__xludf.DUMMYFUNCTION("""COMPUTED_VALUE"""),43357.33684743056)</f>
        <v>43357.33685</v>
      </c>
    </row>
    <row r="703">
      <c r="A703" t="str">
        <f>IFERROR(__xludf.DUMMYFUNCTION("""COMPUTED_VALUE"""),"jathanm7")</f>
        <v>jathanm7</v>
      </c>
      <c r="B703" t="str">
        <f>IFERROR(__xludf.DUMMYFUNCTION("""COMPUTED_VALUE"""),"Los Angeles")</f>
        <v>Los Angeles</v>
      </c>
      <c r="C703" t="str">
        <f>IFERROR(__xludf.DUMMYFUNCTION("""COMPUTED_VALUE"""),"CA")</f>
        <v>CA</v>
      </c>
      <c r="D703" t="str">
        <f>IFERROR(__xludf.DUMMYFUNCTION("""COMPUTED_VALUE"""),"USA")</f>
        <v>USA</v>
      </c>
      <c r="E703" s="188">
        <f>IFERROR(__xludf.DUMMYFUNCTION("""COMPUTED_VALUE"""),43306.0)</f>
        <v>43306</v>
      </c>
      <c r="F703" s="188">
        <f>IFERROR(__xludf.DUMMYFUNCTION("""COMPUTED_VALUE"""),43342.0)</f>
        <v>43342</v>
      </c>
      <c r="H703">
        <f>IFERROR(__xludf.DUMMYFUNCTION("""COMPUTED_VALUE"""),74610.0)</f>
        <v>74610</v>
      </c>
      <c r="J703" s="5">
        <f>IFERROR(__xludf.DUMMYFUNCTION("""COMPUTED_VALUE"""),43356.0)</f>
        <v>43356</v>
      </c>
      <c r="K703">
        <f>IFERROR(__xludf.DUMMYFUNCTION("""COMPUTED_VALUE"""),36.0)</f>
        <v>36</v>
      </c>
      <c r="L703">
        <f>IFERROR(__xludf.DUMMYFUNCTION("""COMPUTED_VALUE"""),14.0)</f>
        <v>14</v>
      </c>
      <c r="M703">
        <f>IFERROR(__xludf.DUMMYFUNCTION("""COMPUTED_VALUE"""),50.0)</f>
        <v>50</v>
      </c>
      <c r="N703" t="str">
        <f>IFERROR(__xludf.DUMMYFUNCTION("""COMPUTED_VALUE"""),"Model 3 Performance")</f>
        <v>Model 3 Performance</v>
      </c>
      <c r="O703" t="str">
        <f>IFERROR(__xludf.DUMMYFUNCTION("""COMPUTED_VALUE"""),"Pearl White Multi-Coat")</f>
        <v>Pearl White Multi-Coat</v>
      </c>
      <c r="P703" t="str">
        <f>IFERROR(__xludf.DUMMYFUNCTION("""COMPUTED_VALUE"""),"20 inch Sport")</f>
        <v>20 inch Sport</v>
      </c>
      <c r="Q703" t="str">
        <f>IFERROR(__xludf.DUMMYFUNCTION("""COMPUTED_VALUE"""),"White seats")</f>
        <v>White seats</v>
      </c>
      <c r="R703" t="str">
        <f>IFERROR(__xludf.DUMMYFUNCTION("""COMPUTED_VALUE"""),"Full Self-Driving")</f>
        <v>Full Self-Driving</v>
      </c>
      <c r="X703" t="str">
        <f>IFERROR(__xludf.DUMMYFUNCTION("""COMPUTED_VALUE"""),"Excellent")</f>
        <v>Excellent</v>
      </c>
      <c r="Y703" t="str">
        <f>IFERROR(__xludf.DUMMYFUNCTION("""COMPUTED_VALUE"""),"Excellent")</f>
        <v>Excellent</v>
      </c>
      <c r="Z703" t="str">
        <f>IFERROR(__xludf.DUMMYFUNCTION("""COMPUTED_VALUE"""),"Excellent")</f>
        <v>Excellent</v>
      </c>
      <c r="AA703" t="str">
        <f>IFERROR(__xludf.DUMMYFUNCTION("""COMPUTED_VALUE"""),"Poor")</f>
        <v>Poor</v>
      </c>
      <c r="AB703" t="str">
        <f>IFERROR(__xludf.DUMMYFUNCTION("""COMPUTED_VALUE"""),"Good")</f>
        <v>Good</v>
      </c>
      <c r="AC703">
        <f>IFERROR(__xludf.DUMMYFUNCTION("""COMPUTED_VALUE"""),1.0)</f>
        <v>1</v>
      </c>
      <c r="AH703" s="189">
        <f>IFERROR(__xludf.DUMMYFUNCTION("""COMPUTED_VALUE"""),43357.34326920139)</f>
        <v>43357.34327</v>
      </c>
    </row>
    <row r="704">
      <c r="A704" t="str">
        <f>IFERROR(__xludf.DUMMYFUNCTION("""COMPUTED_VALUE"""),"NOLA_Mike")</f>
        <v>NOLA_Mike</v>
      </c>
      <c r="B704" t="str">
        <f>IFERROR(__xludf.DUMMYFUNCTION("""COMPUTED_VALUE"""),"Hammond")</f>
        <v>Hammond</v>
      </c>
      <c r="C704" t="str">
        <f>IFERROR(__xludf.DUMMYFUNCTION("""COMPUTED_VALUE"""),"LA")</f>
        <v>LA</v>
      </c>
      <c r="D704" t="str">
        <f>IFERROR(__xludf.DUMMYFUNCTION("""COMPUTED_VALUE"""),"USA")</f>
        <v>USA</v>
      </c>
      <c r="E704" s="188">
        <f>IFERROR(__xludf.DUMMYFUNCTION("""COMPUTED_VALUE"""),43278.0)</f>
        <v>43278</v>
      </c>
      <c r="F704" s="188">
        <f>IFERROR(__xludf.DUMMYFUNCTION("""COMPUTED_VALUE"""),43332.0)</f>
        <v>43332</v>
      </c>
      <c r="H704">
        <f>IFERROR(__xludf.DUMMYFUNCTION("""COMPUTED_VALUE"""),56263.0)</f>
        <v>56263</v>
      </c>
      <c r="I704" t="str">
        <f>IFERROR(__xludf.DUMMYFUNCTION("""COMPUTED_VALUE"""),"08/18")</f>
        <v>08/18</v>
      </c>
      <c r="J704" s="5">
        <f>IFERROR(__xludf.DUMMYFUNCTION("""COMPUTED_VALUE"""),43356.0)</f>
        <v>43356</v>
      </c>
      <c r="K704">
        <f>IFERROR(__xludf.DUMMYFUNCTION("""COMPUTED_VALUE"""),54.0)</f>
        <v>54</v>
      </c>
      <c r="L704">
        <f>IFERROR(__xludf.DUMMYFUNCTION("""COMPUTED_VALUE"""),24.0)</f>
        <v>24</v>
      </c>
      <c r="M704">
        <f>IFERROR(__xludf.DUMMYFUNCTION("""COMPUTED_VALUE"""),78.0)</f>
        <v>78</v>
      </c>
      <c r="N704" t="str">
        <f>IFERROR(__xludf.DUMMYFUNCTION("""COMPUTED_VALUE"""),"Model 3 Performance")</f>
        <v>Model 3 Performance</v>
      </c>
      <c r="O704" t="str">
        <f>IFERROR(__xludf.DUMMYFUNCTION("""COMPUTED_VALUE"""),"Midnight Silver Metallic")</f>
        <v>Midnight Silver Metallic</v>
      </c>
      <c r="P704" t="str">
        <f>IFERROR(__xludf.DUMMYFUNCTION("""COMPUTED_VALUE"""),"20 inch Sport")</f>
        <v>20 inch Sport</v>
      </c>
      <c r="Q704" t="str">
        <f>IFERROR(__xludf.DUMMYFUNCTION("""COMPUTED_VALUE"""),"White seats")</f>
        <v>White seats</v>
      </c>
      <c r="R704" t="str">
        <f>IFERROR(__xludf.DUMMYFUNCTION("""COMPUTED_VALUE"""),"Full Self-Driving")</f>
        <v>Full Self-Driving</v>
      </c>
      <c r="X704" t="str">
        <f>IFERROR(__xludf.DUMMYFUNCTION("""COMPUTED_VALUE"""),"Very Good")</f>
        <v>Very Good</v>
      </c>
      <c r="Y704" t="str">
        <f>IFERROR(__xludf.DUMMYFUNCTION("""COMPUTED_VALUE"""),"Very Good")</f>
        <v>Very Good</v>
      </c>
      <c r="Z704" t="str">
        <f>IFERROR(__xludf.DUMMYFUNCTION("""COMPUTED_VALUE"""),"Very Good")</f>
        <v>Very Good</v>
      </c>
      <c r="AA704" t="str">
        <f>IFERROR(__xludf.DUMMYFUNCTION("""COMPUTED_VALUE"""),"Fair")</f>
        <v>Fair</v>
      </c>
      <c r="AB704" t="str">
        <f>IFERROR(__xludf.DUMMYFUNCTION("""COMPUTED_VALUE"""),"Good")</f>
        <v>Good</v>
      </c>
      <c r="AH704" s="189">
        <f>IFERROR(__xludf.DUMMYFUNCTION("""COMPUTED_VALUE"""),43357.378396134256)</f>
        <v>43357.3784</v>
      </c>
    </row>
    <row r="705">
      <c r="A705" t="str">
        <f>IFERROR(__xludf.DUMMYFUNCTION("""COMPUTED_VALUE"""),"jasonhi")</f>
        <v>jasonhi</v>
      </c>
      <c r="B705" t="str">
        <f>IFERROR(__xludf.DUMMYFUNCTION("""COMPUTED_VALUE"""),"Seattle")</f>
        <v>Seattle</v>
      </c>
      <c r="C705" t="str">
        <f>IFERROR(__xludf.DUMMYFUNCTION("""COMPUTED_VALUE"""),"WA")</f>
        <v>WA</v>
      </c>
      <c r="D705" t="str">
        <f>IFERROR(__xludf.DUMMYFUNCTION("""COMPUTED_VALUE"""),"USA")</f>
        <v>USA</v>
      </c>
      <c r="E705" s="188">
        <f>IFERROR(__xludf.DUMMYFUNCTION("""COMPUTED_VALUE"""),43277.0)</f>
        <v>43277</v>
      </c>
      <c r="H705">
        <f>IFERROR(__xludf.DUMMYFUNCTION("""COMPUTED_VALUE"""),72155.0)</f>
        <v>72155</v>
      </c>
      <c r="J705" s="5">
        <f>IFERROR(__xludf.DUMMYFUNCTION("""COMPUTED_VALUE"""),43351.0)</f>
        <v>43351</v>
      </c>
      <c r="M705">
        <f>IFERROR(__xludf.DUMMYFUNCTION("""COMPUTED_VALUE"""),74.0)</f>
        <v>74</v>
      </c>
      <c r="N705" t="str">
        <f>IFERROR(__xludf.DUMMYFUNCTION("""COMPUTED_VALUE"""),"Model 3 Performance")</f>
        <v>Model 3 Performance</v>
      </c>
      <c r="O705" t="str">
        <f>IFERROR(__xludf.DUMMYFUNCTION("""COMPUTED_VALUE"""),"Silver Metallic")</f>
        <v>Silver Metallic</v>
      </c>
      <c r="P705" t="str">
        <f>IFERROR(__xludf.DUMMYFUNCTION("""COMPUTED_VALUE"""),"20 inch Sport")</f>
        <v>20 inch Sport</v>
      </c>
      <c r="Q705" t="str">
        <f>IFERROR(__xludf.DUMMYFUNCTION("""COMPUTED_VALUE"""),"Black seats")</f>
        <v>Black seats</v>
      </c>
      <c r="R705" t="str">
        <f>IFERROR(__xludf.DUMMYFUNCTION("""COMPUTED_VALUE"""),"Enhanced Autopilot")</f>
        <v>Enhanced Autopilot</v>
      </c>
      <c r="X705" t="str">
        <f>IFERROR(__xludf.DUMMYFUNCTION("""COMPUTED_VALUE"""),"Excellent")</f>
        <v>Excellent</v>
      </c>
      <c r="Y705" t="str">
        <f>IFERROR(__xludf.DUMMYFUNCTION("""COMPUTED_VALUE"""),"Excellent")</f>
        <v>Excellent</v>
      </c>
      <c r="Z705" t="str">
        <f>IFERROR(__xludf.DUMMYFUNCTION("""COMPUTED_VALUE"""),"Excellent")</f>
        <v>Excellent</v>
      </c>
      <c r="AA705" t="str">
        <f>IFERROR(__xludf.DUMMYFUNCTION("""COMPUTED_VALUE"""),"Good")</f>
        <v>Good</v>
      </c>
      <c r="AB705" t="str">
        <f>IFERROR(__xludf.DUMMYFUNCTION("""COMPUTED_VALUE"""),"Excellent")</f>
        <v>Excellent</v>
      </c>
      <c r="AH705" s="189">
        <f>IFERROR(__xludf.DUMMYFUNCTION("""COMPUTED_VALUE"""),43357.396313414356)</f>
        <v>43357.39631</v>
      </c>
    </row>
    <row r="706">
      <c r="A706" t="str">
        <f>IFERROR(__xludf.DUMMYFUNCTION("""COMPUTED_VALUE"""),"jbenamy")</f>
        <v>jbenamy</v>
      </c>
      <c r="B706" t="str">
        <f>IFERROR(__xludf.DUMMYFUNCTION("""COMPUTED_VALUE"""),"Atlanta, GA")</f>
        <v>Atlanta, GA</v>
      </c>
      <c r="C706" t="str">
        <f>IFERROR(__xludf.DUMMYFUNCTION("""COMPUTED_VALUE"""),"GA")</f>
        <v>GA</v>
      </c>
      <c r="D706" t="str">
        <f>IFERROR(__xludf.DUMMYFUNCTION("""COMPUTED_VALUE"""),"USA")</f>
        <v>USA</v>
      </c>
      <c r="E706" s="188">
        <f>IFERROR(__xludf.DUMMYFUNCTION("""COMPUTED_VALUE"""),43325.0)</f>
        <v>43325</v>
      </c>
      <c r="F706" s="188">
        <f>IFERROR(__xludf.DUMMYFUNCTION("""COMPUTED_VALUE"""),43332.0)</f>
        <v>43332</v>
      </c>
      <c r="H706">
        <f>IFERROR(__xludf.DUMMYFUNCTION("""COMPUTED_VALUE"""),79155.0)</f>
        <v>79155</v>
      </c>
      <c r="I706" t="str">
        <f>IFERROR(__xludf.DUMMYFUNCTION("""COMPUTED_VALUE"""),"08/18")</f>
        <v>08/18</v>
      </c>
      <c r="J706" s="5">
        <f>IFERROR(__xludf.DUMMYFUNCTION("""COMPUTED_VALUE"""),43344.0)</f>
        <v>43344</v>
      </c>
      <c r="K706">
        <f>IFERROR(__xludf.DUMMYFUNCTION("""COMPUTED_VALUE"""),7.0)</f>
        <v>7</v>
      </c>
      <c r="L706">
        <f>IFERROR(__xludf.DUMMYFUNCTION("""COMPUTED_VALUE"""),12.0)</f>
        <v>12</v>
      </c>
      <c r="M706">
        <f>IFERROR(__xludf.DUMMYFUNCTION("""COMPUTED_VALUE"""),19.0)</f>
        <v>19</v>
      </c>
      <c r="N706" t="str">
        <f>IFERROR(__xludf.DUMMYFUNCTION("""COMPUTED_VALUE"""),"Model 3 Performance")</f>
        <v>Model 3 Performance</v>
      </c>
      <c r="O706" t="str">
        <f>IFERROR(__xludf.DUMMYFUNCTION("""COMPUTED_VALUE"""),"Midnight Silver Metallic")</f>
        <v>Midnight Silver Metallic</v>
      </c>
      <c r="P706" t="str">
        <f>IFERROR(__xludf.DUMMYFUNCTION("""COMPUTED_VALUE"""),"20 inch Sport")</f>
        <v>20 inch Sport</v>
      </c>
      <c r="Q706" t="str">
        <f>IFERROR(__xludf.DUMMYFUNCTION("""COMPUTED_VALUE"""),"White seats")</f>
        <v>White seats</v>
      </c>
      <c r="R706" t="str">
        <f>IFERROR(__xludf.DUMMYFUNCTION("""COMPUTED_VALUE"""),"Full Self-Driving")</f>
        <v>Full Self-Driving</v>
      </c>
      <c r="X706" t="str">
        <f>IFERROR(__xludf.DUMMYFUNCTION("""COMPUTED_VALUE"""),"Fair")</f>
        <v>Fair</v>
      </c>
      <c r="Y706" t="str">
        <f>IFERROR(__xludf.DUMMYFUNCTION("""COMPUTED_VALUE"""),"Very Good")</f>
        <v>Very Good</v>
      </c>
      <c r="Z706" t="str">
        <f>IFERROR(__xludf.DUMMYFUNCTION("""COMPUTED_VALUE"""),"Fair")</f>
        <v>Fair</v>
      </c>
      <c r="AA706" t="str">
        <f>IFERROR(__xludf.DUMMYFUNCTION("""COMPUTED_VALUE"""),"Good")</f>
        <v>Good</v>
      </c>
      <c r="AB706" t="str">
        <f>IFERROR(__xludf.DUMMYFUNCTION("""COMPUTED_VALUE"""),"Poor")</f>
        <v>Poor</v>
      </c>
      <c r="AC706">
        <f>IFERROR(__xludf.DUMMYFUNCTION("""COMPUTED_VALUE"""),4.0)</f>
        <v>4</v>
      </c>
      <c r="AD706">
        <f>IFERROR(__xludf.DUMMYFUNCTION("""COMPUTED_VALUE"""),1.0)</f>
        <v>1</v>
      </c>
      <c r="AE706">
        <f>IFERROR(__xludf.DUMMYFUNCTION("""COMPUTED_VALUE"""),2.0)</f>
        <v>2</v>
      </c>
      <c r="AG706" t="str">
        <f>IFERROR(__xludf.DUMMYFUNCTION("""COMPUTED_VALUE"""),"Read about my delivery experience at https://forums.tesla.com/forum/forums/terrible-delivery-experience-defective-model-3-atlanta-decatur-store")</f>
        <v>Read about my delivery experience at https://forums.tesla.com/forum/forums/terrible-delivery-experience-defective-model-3-atlanta-decatur-store</v>
      </c>
      <c r="AH706" s="189">
        <f>IFERROR(__xludf.DUMMYFUNCTION("""COMPUTED_VALUE"""),43357.437701319446)</f>
        <v>43357.4377</v>
      </c>
    </row>
    <row r="707">
      <c r="A707" t="str">
        <f>IFERROR(__xludf.DUMMYFUNCTION("""COMPUTED_VALUE"""),"mudit234")</f>
        <v>mudit234</v>
      </c>
      <c r="B707" t="str">
        <f>IFERROR(__xludf.DUMMYFUNCTION("""COMPUTED_VALUE"""),"San Francisco Bay Area")</f>
        <v>San Francisco Bay Area</v>
      </c>
      <c r="C707" t="str">
        <f>IFERROR(__xludf.DUMMYFUNCTION("""COMPUTED_VALUE"""),"CA")</f>
        <v>CA</v>
      </c>
      <c r="D707" t="str">
        <f>IFERROR(__xludf.DUMMYFUNCTION("""COMPUTED_VALUE"""),"USA")</f>
        <v>USA</v>
      </c>
      <c r="E707" s="188">
        <f>IFERROR(__xludf.DUMMYFUNCTION("""COMPUTED_VALUE"""),43281.0)</f>
        <v>43281</v>
      </c>
      <c r="F707" s="188">
        <f>IFERROR(__xludf.DUMMYFUNCTION("""COMPUTED_VALUE"""),43350.0)</f>
        <v>43350</v>
      </c>
      <c r="H707" s="4">
        <f>IFERROR(__xludf.DUMMYFUNCTION("""COMPUTED_VALUE"""),64319.0)</f>
        <v>64319</v>
      </c>
      <c r="J707" s="5">
        <f>IFERROR(__xludf.DUMMYFUNCTION("""COMPUTED_VALUE"""),43356.0)</f>
        <v>43356</v>
      </c>
      <c r="K707">
        <f>IFERROR(__xludf.DUMMYFUNCTION("""COMPUTED_VALUE"""),69.0)</f>
        <v>69</v>
      </c>
      <c r="L707">
        <f>IFERROR(__xludf.DUMMYFUNCTION("""COMPUTED_VALUE"""),6.0)</f>
        <v>6</v>
      </c>
      <c r="M707">
        <f>IFERROR(__xludf.DUMMYFUNCTION("""COMPUTED_VALUE"""),75.0)</f>
        <v>75</v>
      </c>
      <c r="N707" t="str">
        <f>IFERROR(__xludf.DUMMYFUNCTION("""COMPUTED_VALUE"""),"Model 3 LR AWD")</f>
        <v>Model 3 LR AWD</v>
      </c>
      <c r="O707" t="str">
        <f>IFERROR(__xludf.DUMMYFUNCTION("""COMPUTED_VALUE"""),"Red Multi-Coat")</f>
        <v>Red Multi-Coat</v>
      </c>
      <c r="P707" t="str">
        <f>IFERROR(__xludf.DUMMYFUNCTION("""COMPUTED_VALUE"""),"18 inch Aero")</f>
        <v>18 inch Aero</v>
      </c>
      <c r="Q707" t="str">
        <f>IFERROR(__xludf.DUMMYFUNCTION("""COMPUTED_VALUE"""),"Black seats")</f>
        <v>Black seats</v>
      </c>
      <c r="R707" t="str">
        <f>IFERROR(__xludf.DUMMYFUNCTION("""COMPUTED_VALUE"""),"Enhanced Autopilot")</f>
        <v>Enhanced Autopilot</v>
      </c>
      <c r="X707" t="str">
        <f>IFERROR(__xludf.DUMMYFUNCTION("""COMPUTED_VALUE"""),"Good")</f>
        <v>Good</v>
      </c>
      <c r="Y707" t="str">
        <f>IFERROR(__xludf.DUMMYFUNCTION("""COMPUTED_VALUE"""),"Very Good")</f>
        <v>Very Good</v>
      </c>
      <c r="Z707" t="str">
        <f>IFERROR(__xludf.DUMMYFUNCTION("""COMPUTED_VALUE"""),"Excellent")</f>
        <v>Excellent</v>
      </c>
      <c r="AA707" t="str">
        <f>IFERROR(__xludf.DUMMYFUNCTION("""COMPUTED_VALUE"""),"Fair")</f>
        <v>Fair</v>
      </c>
      <c r="AB707" t="str">
        <f>IFERROR(__xludf.DUMMYFUNCTION("""COMPUTED_VALUE"""),"Fair")</f>
        <v>Fair</v>
      </c>
      <c r="AH707" s="189">
        <f>IFERROR(__xludf.DUMMYFUNCTION("""COMPUTED_VALUE"""),43357.47332733797)</f>
        <v>43357.47333</v>
      </c>
    </row>
    <row r="708">
      <c r="A708" t="str">
        <f>IFERROR(__xludf.DUMMYFUNCTION("""COMPUTED_VALUE"""),"GMIAMI78")</f>
        <v>GMIAMI78</v>
      </c>
      <c r="B708" t="str">
        <f>IFERROR(__xludf.DUMMYFUNCTION("""COMPUTED_VALUE"""),"Miami")</f>
        <v>Miami</v>
      </c>
      <c r="C708" t="str">
        <f>IFERROR(__xludf.DUMMYFUNCTION("""COMPUTED_VALUE"""),"FL")</f>
        <v>FL</v>
      </c>
      <c r="D708" t="str">
        <f>IFERROR(__xludf.DUMMYFUNCTION("""COMPUTED_VALUE"""),"USA")</f>
        <v>USA</v>
      </c>
      <c r="E708" s="188">
        <f>IFERROR(__xludf.DUMMYFUNCTION("""COMPUTED_VALUE"""),43294.0)</f>
        <v>43294</v>
      </c>
      <c r="F708" s="188">
        <f>IFERROR(__xludf.DUMMYFUNCTION("""COMPUTED_VALUE"""),43302.0)</f>
        <v>43302</v>
      </c>
      <c r="H708">
        <f>IFERROR(__xludf.DUMMYFUNCTION("""COMPUTED_VALUE"""),44555.0)</f>
        <v>44555</v>
      </c>
      <c r="J708" s="5">
        <f>IFERROR(__xludf.DUMMYFUNCTION("""COMPUTED_VALUE"""),43314.0)</f>
        <v>43314</v>
      </c>
      <c r="K708">
        <f>IFERROR(__xludf.DUMMYFUNCTION("""COMPUTED_VALUE"""),8.0)</f>
        <v>8</v>
      </c>
      <c r="L708">
        <f>IFERROR(__xludf.DUMMYFUNCTION("""COMPUTED_VALUE"""),12.0)</f>
        <v>12</v>
      </c>
      <c r="M708">
        <f>IFERROR(__xludf.DUMMYFUNCTION("""COMPUTED_VALUE"""),20.0)</f>
        <v>20</v>
      </c>
      <c r="N708" t="str">
        <f>IFERROR(__xludf.DUMMYFUNCTION("""COMPUTED_VALUE"""),"Model 3 LR")</f>
        <v>Model 3 LR</v>
      </c>
      <c r="O708" t="str">
        <f>IFERROR(__xludf.DUMMYFUNCTION("""COMPUTED_VALUE"""),"Midnight Silver Metallic")</f>
        <v>Midnight Silver Metallic</v>
      </c>
      <c r="P708" t="str">
        <f>IFERROR(__xludf.DUMMYFUNCTION("""COMPUTED_VALUE"""),"18 inch Aero")</f>
        <v>18 inch Aero</v>
      </c>
      <c r="Q708" t="str">
        <f>IFERROR(__xludf.DUMMYFUNCTION("""COMPUTED_VALUE"""),"Black seats")</f>
        <v>Black seats</v>
      </c>
      <c r="R708" t="str">
        <f>IFERROR(__xludf.DUMMYFUNCTION("""COMPUTED_VALUE"""),"Enhanced Autopilot")</f>
        <v>Enhanced Autopilot</v>
      </c>
      <c r="X708" t="str">
        <f>IFERROR(__xludf.DUMMYFUNCTION("""COMPUTED_VALUE"""),"Excellent")</f>
        <v>Excellent</v>
      </c>
      <c r="Y708" t="str">
        <f>IFERROR(__xludf.DUMMYFUNCTION("""COMPUTED_VALUE"""),"Very Good")</f>
        <v>Very Good</v>
      </c>
      <c r="Z708" t="str">
        <f>IFERROR(__xludf.DUMMYFUNCTION("""COMPUTED_VALUE"""),"Very Good")</f>
        <v>Very Good</v>
      </c>
      <c r="AA708" t="str">
        <f>IFERROR(__xludf.DUMMYFUNCTION("""COMPUTED_VALUE"""),"Excellent")</f>
        <v>Excellent</v>
      </c>
      <c r="AB708" t="str">
        <f>IFERROR(__xludf.DUMMYFUNCTION("""COMPUTED_VALUE"""),"Excellent")</f>
        <v>Excellent</v>
      </c>
      <c r="AC708">
        <f>IFERROR(__xludf.DUMMYFUNCTION("""COMPUTED_VALUE"""),3.0)</f>
        <v>3</v>
      </c>
      <c r="AD708">
        <f>IFERROR(__xludf.DUMMYFUNCTION("""COMPUTED_VALUE"""),1.0)</f>
        <v>1</v>
      </c>
      <c r="AE708">
        <f>IFERROR(__xludf.DUMMYFUNCTION("""COMPUTED_VALUE"""),2.0)</f>
        <v>2</v>
      </c>
      <c r="AH708" s="189">
        <f>IFERROR(__xludf.DUMMYFUNCTION("""COMPUTED_VALUE"""),43357.50833104167)</f>
        <v>43357.50833</v>
      </c>
    </row>
    <row r="709">
      <c r="A709" t="str">
        <f>IFERROR(__xludf.DUMMYFUNCTION("""COMPUTED_VALUE"""),"FlyGuy")</f>
        <v>FlyGuy</v>
      </c>
      <c r="C709" t="str">
        <f>IFERROR(__xludf.DUMMYFUNCTION("""COMPUTED_VALUE"""),"WI")</f>
        <v>WI</v>
      </c>
      <c r="D709" t="str">
        <f>IFERROR(__xludf.DUMMYFUNCTION("""COMPUTED_VALUE"""),"USA")</f>
        <v>USA</v>
      </c>
      <c r="E709" s="188">
        <f>IFERROR(__xludf.DUMMYFUNCTION("""COMPUTED_VALUE"""),43280.0)</f>
        <v>43280</v>
      </c>
      <c r="F709" s="188">
        <f>IFERROR(__xludf.DUMMYFUNCTION("""COMPUTED_VALUE"""),43319.0)</f>
        <v>43319</v>
      </c>
      <c r="H709">
        <f>IFERROR(__xludf.DUMMYFUNCTION("""COMPUTED_VALUE"""),32655.0)</f>
        <v>32655</v>
      </c>
      <c r="I709" t="str">
        <f>IFERROR(__xludf.DUMMYFUNCTION("""COMPUTED_VALUE"""),"06/18")</f>
        <v>06/18</v>
      </c>
      <c r="J709" s="5">
        <f>IFERROR(__xludf.DUMMYFUNCTION("""COMPUTED_VALUE"""),43327.0)</f>
        <v>43327</v>
      </c>
      <c r="K709">
        <f>IFERROR(__xludf.DUMMYFUNCTION("""COMPUTED_VALUE"""),39.0)</f>
        <v>39</v>
      </c>
      <c r="L709">
        <f>IFERROR(__xludf.DUMMYFUNCTION("""COMPUTED_VALUE"""),8.0)</f>
        <v>8</v>
      </c>
      <c r="M709">
        <f>IFERROR(__xludf.DUMMYFUNCTION("""COMPUTED_VALUE"""),47.0)</f>
        <v>47</v>
      </c>
      <c r="N709" t="str">
        <f>IFERROR(__xludf.DUMMYFUNCTION("""COMPUTED_VALUE"""),"Model 3 LR")</f>
        <v>Model 3 LR</v>
      </c>
      <c r="O709" t="str">
        <f>IFERROR(__xludf.DUMMYFUNCTION("""COMPUTED_VALUE"""),"Deep Blue Metallic")</f>
        <v>Deep Blue Metallic</v>
      </c>
      <c r="P709" t="str">
        <f>IFERROR(__xludf.DUMMYFUNCTION("""COMPUTED_VALUE"""),"18 inch Aero")</f>
        <v>18 inch Aero</v>
      </c>
      <c r="Q709" t="str">
        <f>IFERROR(__xludf.DUMMYFUNCTION("""COMPUTED_VALUE"""),"Black seats")</f>
        <v>Black seats</v>
      </c>
      <c r="R709" t="str">
        <f>IFERROR(__xludf.DUMMYFUNCTION("""COMPUTED_VALUE"""),"Enhanced Autopilot")</f>
        <v>Enhanced Autopilot</v>
      </c>
      <c r="X709" t="str">
        <f>IFERROR(__xludf.DUMMYFUNCTION("""COMPUTED_VALUE"""),"Excellent")</f>
        <v>Excellent</v>
      </c>
      <c r="Y709" t="str">
        <f>IFERROR(__xludf.DUMMYFUNCTION("""COMPUTED_VALUE"""),"Excellent")</f>
        <v>Excellent</v>
      </c>
      <c r="Z709" t="str">
        <f>IFERROR(__xludf.DUMMYFUNCTION("""COMPUTED_VALUE"""),"Excellent")</f>
        <v>Excellent</v>
      </c>
      <c r="AA709" t="str">
        <f>IFERROR(__xludf.DUMMYFUNCTION("""COMPUTED_VALUE"""),"Poor")</f>
        <v>Poor</v>
      </c>
      <c r="AB709" t="str">
        <f>IFERROR(__xludf.DUMMYFUNCTION("""COMPUTED_VALUE"""),"Poor")</f>
        <v>Poor</v>
      </c>
      <c r="AD709">
        <f>IFERROR(__xludf.DUMMYFUNCTION("""COMPUTED_VALUE"""),1.0)</f>
        <v>1</v>
      </c>
      <c r="AE709">
        <f>IFERROR(__xludf.DUMMYFUNCTION("""COMPUTED_VALUE"""),0.0)</f>
        <v>0</v>
      </c>
      <c r="AG709" t="str">
        <f>IFERROR(__xludf.DUMMYFUNCTION("""COMPUTED_VALUE"""),"28 days - ranger replaced 12 V battery")</f>
        <v>28 days - ranger replaced 12 V battery</v>
      </c>
      <c r="AH709" s="189">
        <f>IFERROR(__xludf.DUMMYFUNCTION("""COMPUTED_VALUE"""),43357.51350876158)</f>
        <v>43357.51351</v>
      </c>
    </row>
    <row r="710">
      <c r="A710" t="str">
        <f>IFERROR(__xludf.DUMMYFUNCTION("""COMPUTED_VALUE"""),"tarrant222")</f>
        <v>tarrant222</v>
      </c>
      <c r="C710" t="str">
        <f>IFERROR(__xludf.DUMMYFUNCTION("""COMPUTED_VALUE"""),"NJ")</f>
        <v>NJ</v>
      </c>
      <c r="D710" t="str">
        <f>IFERROR(__xludf.DUMMYFUNCTION("""COMPUTED_VALUE"""),"USA")</f>
        <v>USA</v>
      </c>
      <c r="E710" s="188">
        <f>IFERROR(__xludf.DUMMYFUNCTION("""COMPUTED_VALUE"""),43277.0)</f>
        <v>43277</v>
      </c>
      <c r="F710" s="188">
        <f>IFERROR(__xludf.DUMMYFUNCTION("""COMPUTED_VALUE"""),43308.0)</f>
        <v>43308</v>
      </c>
      <c r="H710">
        <f>IFERROR(__xludf.DUMMYFUNCTION("""COMPUTED_VALUE"""),54755.0)</f>
        <v>54755</v>
      </c>
      <c r="I710" t="str">
        <f>IFERROR(__xludf.DUMMYFUNCTION("""COMPUTED_VALUE"""),"07/18")</f>
        <v>07/18</v>
      </c>
      <c r="J710" s="5">
        <f>IFERROR(__xludf.DUMMYFUNCTION("""COMPUTED_VALUE"""),43327.0)</f>
        <v>43327</v>
      </c>
      <c r="K710">
        <f>IFERROR(__xludf.DUMMYFUNCTION("""COMPUTED_VALUE"""),31.0)</f>
        <v>31</v>
      </c>
      <c r="L710">
        <f>IFERROR(__xludf.DUMMYFUNCTION("""COMPUTED_VALUE"""),19.0)</f>
        <v>19</v>
      </c>
      <c r="M710">
        <f>IFERROR(__xludf.DUMMYFUNCTION("""COMPUTED_VALUE"""),50.0)</f>
        <v>50</v>
      </c>
      <c r="N710" t="str">
        <f>IFERROR(__xludf.DUMMYFUNCTION("""COMPUTED_VALUE"""),"Model 3 LR AWD")</f>
        <v>Model 3 LR AWD</v>
      </c>
      <c r="O710" t="str">
        <f>IFERROR(__xludf.DUMMYFUNCTION("""COMPUTED_VALUE"""),"Deep Blue Metallic")</f>
        <v>Deep Blue Metallic</v>
      </c>
      <c r="P710" t="str">
        <f>IFERROR(__xludf.DUMMYFUNCTION("""COMPUTED_VALUE"""),"19 inch Sport")</f>
        <v>19 inch Sport</v>
      </c>
      <c r="Q710" t="str">
        <f>IFERROR(__xludf.DUMMYFUNCTION("""COMPUTED_VALUE"""),"Black seats")</f>
        <v>Black seats</v>
      </c>
      <c r="R710" t="str">
        <f>IFERROR(__xludf.DUMMYFUNCTION("""COMPUTED_VALUE"""),"Enhanced Autopilot")</f>
        <v>Enhanced Autopilot</v>
      </c>
      <c r="X710" t="str">
        <f>IFERROR(__xludf.DUMMYFUNCTION("""COMPUTED_VALUE"""),"Excellent")</f>
        <v>Excellent</v>
      </c>
      <c r="Y710" t="str">
        <f>IFERROR(__xludf.DUMMYFUNCTION("""COMPUTED_VALUE"""),"Very Good")</f>
        <v>Very Good</v>
      </c>
      <c r="Z710" t="str">
        <f>IFERROR(__xludf.DUMMYFUNCTION("""COMPUTED_VALUE"""),"Good")</f>
        <v>Good</v>
      </c>
      <c r="AA710" t="str">
        <f>IFERROR(__xludf.DUMMYFUNCTION("""COMPUTED_VALUE"""),"Excellent")</f>
        <v>Excellent</v>
      </c>
      <c r="AB710" t="str">
        <f>IFERROR(__xludf.DUMMYFUNCTION("""COMPUTED_VALUE"""),"Good")</f>
        <v>Good</v>
      </c>
      <c r="AC710">
        <f>IFERROR(__xludf.DUMMYFUNCTION("""COMPUTED_VALUE"""),7.0)</f>
        <v>7</v>
      </c>
      <c r="AD710">
        <f>IFERROR(__xludf.DUMMYFUNCTION("""COMPUTED_VALUE"""),2.0)</f>
        <v>2</v>
      </c>
      <c r="AE710">
        <f>IFERROR(__xludf.DUMMYFUNCTION("""COMPUTED_VALUE"""),14.0)</f>
        <v>14</v>
      </c>
      <c r="AH710" s="189">
        <f>IFERROR(__xludf.DUMMYFUNCTION("""COMPUTED_VALUE"""),43357.540451747685)</f>
        <v>43357.54045</v>
      </c>
    </row>
    <row r="711">
      <c r="A711" t="str">
        <f>IFERROR(__xludf.DUMMYFUNCTION("""COMPUTED_VALUE"""),"favo")</f>
        <v>favo</v>
      </c>
      <c r="B711" t="str">
        <f>IFERROR(__xludf.DUMMYFUNCTION("""COMPUTED_VALUE"""),"Durham")</f>
        <v>Durham</v>
      </c>
      <c r="C711" t="str">
        <f>IFERROR(__xludf.DUMMYFUNCTION("""COMPUTED_VALUE"""),"NC")</f>
        <v>NC</v>
      </c>
      <c r="D711" t="str">
        <f>IFERROR(__xludf.DUMMYFUNCTION("""COMPUTED_VALUE"""),"USA")</f>
        <v>USA</v>
      </c>
      <c r="E711" s="188">
        <f>IFERROR(__xludf.DUMMYFUNCTION("""COMPUTED_VALUE"""),43256.0)</f>
        <v>43256</v>
      </c>
      <c r="F711" s="188">
        <f>IFERROR(__xludf.DUMMYFUNCTION("""COMPUTED_VALUE"""),43302.0)</f>
        <v>43302</v>
      </c>
      <c r="H711">
        <f>IFERROR(__xludf.DUMMYFUNCTION("""COMPUTED_VALUE"""),55455.0)</f>
        <v>55455</v>
      </c>
      <c r="I711" t="str">
        <f>IFERROR(__xludf.DUMMYFUNCTION("""COMPUTED_VALUE"""),"07/18")</f>
        <v>07/18</v>
      </c>
      <c r="J711" s="5">
        <f>IFERROR(__xludf.DUMMYFUNCTION("""COMPUTED_VALUE"""),43340.0)</f>
        <v>43340</v>
      </c>
      <c r="K711">
        <f>IFERROR(__xludf.DUMMYFUNCTION("""COMPUTED_VALUE"""),46.0)</f>
        <v>46</v>
      </c>
      <c r="L711">
        <f>IFERROR(__xludf.DUMMYFUNCTION("""COMPUTED_VALUE"""),38.0)</f>
        <v>38</v>
      </c>
      <c r="M711">
        <f>IFERROR(__xludf.DUMMYFUNCTION("""COMPUTED_VALUE"""),84.0)</f>
        <v>84</v>
      </c>
      <c r="N711" t="str">
        <f>IFERROR(__xludf.DUMMYFUNCTION("""COMPUTED_VALUE"""),"Model 3 Performance")</f>
        <v>Model 3 Performance</v>
      </c>
      <c r="O711" t="str">
        <f>IFERROR(__xludf.DUMMYFUNCTION("""COMPUTED_VALUE"""),"Red Multi-Coat")</f>
        <v>Red Multi-Coat</v>
      </c>
      <c r="P711" t="str">
        <f>IFERROR(__xludf.DUMMYFUNCTION("""COMPUTED_VALUE"""),"20 inch Sport")</f>
        <v>20 inch Sport</v>
      </c>
      <c r="Q711" t="str">
        <f>IFERROR(__xludf.DUMMYFUNCTION("""COMPUTED_VALUE"""),"White seats")</f>
        <v>White seats</v>
      </c>
      <c r="R711" t="str">
        <f>IFERROR(__xludf.DUMMYFUNCTION("""COMPUTED_VALUE"""),"Enhanced Autopilot")</f>
        <v>Enhanced Autopilot</v>
      </c>
      <c r="X711" t="str">
        <f>IFERROR(__xludf.DUMMYFUNCTION("""COMPUTED_VALUE"""),"Excellent")</f>
        <v>Excellent</v>
      </c>
      <c r="Y711" t="str">
        <f>IFERROR(__xludf.DUMMYFUNCTION("""COMPUTED_VALUE"""),"Excellent")</f>
        <v>Excellent</v>
      </c>
      <c r="Z711" t="str">
        <f>IFERROR(__xludf.DUMMYFUNCTION("""COMPUTED_VALUE"""),"Very Good")</f>
        <v>Very Good</v>
      </c>
      <c r="AA711" t="str">
        <f>IFERROR(__xludf.DUMMYFUNCTION("""COMPUTED_VALUE"""),"Excellent")</f>
        <v>Excellent</v>
      </c>
      <c r="AB711" t="str">
        <f>IFERROR(__xludf.DUMMYFUNCTION("""COMPUTED_VALUE"""),"Excellent")</f>
        <v>Excellent</v>
      </c>
      <c r="AC711">
        <f>IFERROR(__xludf.DUMMYFUNCTION("""COMPUTED_VALUE"""),3.0)</f>
        <v>3</v>
      </c>
      <c r="AD711">
        <f>IFERROR(__xludf.DUMMYFUNCTION("""COMPUTED_VALUE"""),1.0)</f>
        <v>1</v>
      </c>
      <c r="AE711">
        <f>IFERROR(__xludf.DUMMYFUNCTION("""COMPUTED_VALUE"""),0.0)</f>
        <v>0</v>
      </c>
      <c r="AG711" t="str">
        <f>IFERROR(__xludf.DUMMYFUNCTION("""COMPUTED_VALUE"""),"5/31 P/D invite")</f>
        <v>5/31 P/D invite</v>
      </c>
      <c r="AH711" s="189">
        <f>IFERROR(__xludf.DUMMYFUNCTION("""COMPUTED_VALUE"""),43357.55289537037)</f>
        <v>43357.5529</v>
      </c>
    </row>
    <row r="712">
      <c r="A712" t="str">
        <f>IFERROR(__xludf.DUMMYFUNCTION("""COMPUTED_VALUE"""),"Eventhurizon")</f>
        <v>Eventhurizon</v>
      </c>
      <c r="C712" t="str">
        <f>IFERROR(__xludf.DUMMYFUNCTION("""COMPUTED_VALUE"""),"CA")</f>
        <v>CA</v>
      </c>
      <c r="D712" t="str">
        <f>IFERROR(__xludf.DUMMYFUNCTION("""COMPUTED_VALUE"""),"USA")</f>
        <v>USA</v>
      </c>
      <c r="E712" s="188">
        <f>IFERROR(__xludf.DUMMYFUNCTION("""COMPUTED_VALUE"""),43278.0)</f>
        <v>43278</v>
      </c>
      <c r="F712" s="188">
        <f>IFERROR(__xludf.DUMMYFUNCTION("""COMPUTED_VALUE"""),43350.0)</f>
        <v>43350</v>
      </c>
      <c r="H712" s="4">
        <f>IFERROR(__xludf.DUMMYFUNCTION("""COMPUTED_VALUE"""),84555.0)</f>
        <v>84555</v>
      </c>
      <c r="J712" s="5">
        <f>IFERROR(__xludf.DUMMYFUNCTION("""COMPUTED_VALUE"""),43354.0)</f>
        <v>43354</v>
      </c>
      <c r="K712">
        <f>IFERROR(__xludf.DUMMYFUNCTION("""COMPUTED_VALUE"""),72.0)</f>
        <v>72</v>
      </c>
      <c r="L712">
        <f>IFERROR(__xludf.DUMMYFUNCTION("""COMPUTED_VALUE"""),4.0)</f>
        <v>4</v>
      </c>
      <c r="M712">
        <f>IFERROR(__xludf.DUMMYFUNCTION("""COMPUTED_VALUE"""),76.0)</f>
        <v>76</v>
      </c>
      <c r="N712" t="str">
        <f>IFERROR(__xludf.DUMMYFUNCTION("""COMPUTED_VALUE"""),"Model 3 Performance")</f>
        <v>Model 3 Performance</v>
      </c>
      <c r="O712" t="str">
        <f>IFERROR(__xludf.DUMMYFUNCTION("""COMPUTED_VALUE"""),"Deep Blue Metallic")</f>
        <v>Deep Blue Metallic</v>
      </c>
      <c r="P712" t="str">
        <f>IFERROR(__xludf.DUMMYFUNCTION("""COMPUTED_VALUE"""),"20 inch Sport")</f>
        <v>20 inch Sport</v>
      </c>
      <c r="Q712" t="str">
        <f>IFERROR(__xludf.DUMMYFUNCTION("""COMPUTED_VALUE"""),"Black seats")</f>
        <v>Black seats</v>
      </c>
      <c r="R712" t="str">
        <f>IFERROR(__xludf.DUMMYFUNCTION("""COMPUTED_VALUE"""),"Full Self-Driving")</f>
        <v>Full Self-Driving</v>
      </c>
      <c r="X712" t="str">
        <f>IFERROR(__xludf.DUMMYFUNCTION("""COMPUTED_VALUE"""),"Very Good")</f>
        <v>Very Good</v>
      </c>
      <c r="Y712" t="str">
        <f>IFERROR(__xludf.DUMMYFUNCTION("""COMPUTED_VALUE"""),"Excellent")</f>
        <v>Excellent</v>
      </c>
      <c r="Z712" t="str">
        <f>IFERROR(__xludf.DUMMYFUNCTION("""COMPUTED_VALUE"""),"Excellent")</f>
        <v>Excellent</v>
      </c>
      <c r="AA712" t="str">
        <f>IFERROR(__xludf.DUMMYFUNCTION("""COMPUTED_VALUE"""),"Very Good")</f>
        <v>Very Good</v>
      </c>
      <c r="AB712" t="str">
        <f>IFERROR(__xludf.DUMMYFUNCTION("""COMPUTED_VALUE"""),"Excellent")</f>
        <v>Excellent</v>
      </c>
      <c r="AH712" s="189">
        <f>IFERROR(__xludf.DUMMYFUNCTION("""COMPUTED_VALUE"""),43357.71807159722)</f>
        <v>43357.71807</v>
      </c>
    </row>
    <row r="713">
      <c r="A713" t="str">
        <f>IFERROR(__xludf.DUMMYFUNCTION("""COMPUTED_VALUE"""),"jnelson")</f>
        <v>jnelson</v>
      </c>
      <c r="C713" t="str">
        <f>IFERROR(__xludf.DUMMYFUNCTION("""COMPUTED_VALUE"""),"MA")</f>
        <v>MA</v>
      </c>
      <c r="D713" t="str">
        <f>IFERROR(__xludf.DUMMYFUNCTION("""COMPUTED_VALUE"""),"USA")</f>
        <v>USA</v>
      </c>
      <c r="E713" s="188">
        <f>IFERROR(__xludf.DUMMYFUNCTION("""COMPUTED_VALUE"""),43278.0)</f>
        <v>43278</v>
      </c>
      <c r="F713" s="188">
        <f>IFERROR(__xludf.DUMMYFUNCTION("""COMPUTED_VALUE"""),43327.0)</f>
        <v>43327</v>
      </c>
      <c r="H713">
        <f>IFERROR(__xludf.DUMMYFUNCTION("""COMPUTED_VALUE"""),66155.0)</f>
        <v>66155</v>
      </c>
      <c r="I713" t="str">
        <f>IFERROR(__xludf.DUMMYFUNCTION("""COMPUTED_VALUE"""),"08/18")</f>
        <v>08/18</v>
      </c>
      <c r="J713" s="5">
        <f>IFERROR(__xludf.DUMMYFUNCTION("""COMPUTED_VALUE"""),43357.0)</f>
        <v>43357</v>
      </c>
      <c r="K713">
        <f>IFERROR(__xludf.DUMMYFUNCTION("""COMPUTED_VALUE"""),49.0)</f>
        <v>49</v>
      </c>
      <c r="L713">
        <f>IFERROR(__xludf.DUMMYFUNCTION("""COMPUTED_VALUE"""),30.0)</f>
        <v>30</v>
      </c>
      <c r="M713">
        <f>IFERROR(__xludf.DUMMYFUNCTION("""COMPUTED_VALUE"""),79.0)</f>
        <v>79</v>
      </c>
      <c r="N713" t="str">
        <f>IFERROR(__xludf.DUMMYFUNCTION("""COMPUTED_VALUE"""),"Model 3 LR AWD")</f>
        <v>Model 3 LR AWD</v>
      </c>
      <c r="O713" t="str">
        <f>IFERROR(__xludf.DUMMYFUNCTION("""COMPUTED_VALUE"""),"Midnight Silver Metallic")</f>
        <v>Midnight Silver Metallic</v>
      </c>
      <c r="P713" t="str">
        <f>IFERROR(__xludf.DUMMYFUNCTION("""COMPUTED_VALUE"""),"18 inch Aero")</f>
        <v>18 inch Aero</v>
      </c>
      <c r="Q713" t="str">
        <f>IFERROR(__xludf.DUMMYFUNCTION("""COMPUTED_VALUE"""),"Black seats")</f>
        <v>Black seats</v>
      </c>
      <c r="R713" t="str">
        <f>IFERROR(__xludf.DUMMYFUNCTION("""COMPUTED_VALUE"""),"None")</f>
        <v>None</v>
      </c>
      <c r="X713" t="str">
        <f>IFERROR(__xludf.DUMMYFUNCTION("""COMPUTED_VALUE"""),"Excellent")</f>
        <v>Excellent</v>
      </c>
      <c r="Y713" t="str">
        <f>IFERROR(__xludf.DUMMYFUNCTION("""COMPUTED_VALUE"""),"Very Good")</f>
        <v>Very Good</v>
      </c>
      <c r="Z713" t="str">
        <f>IFERROR(__xludf.DUMMYFUNCTION("""COMPUTED_VALUE"""),"Excellent")</f>
        <v>Excellent</v>
      </c>
      <c r="AA713" t="str">
        <f>IFERROR(__xludf.DUMMYFUNCTION("""COMPUTED_VALUE"""),"Fair")</f>
        <v>Fair</v>
      </c>
      <c r="AB713" t="str">
        <f>IFERROR(__xludf.DUMMYFUNCTION("""COMPUTED_VALUE"""),"Poor")</f>
        <v>Poor</v>
      </c>
      <c r="AC713">
        <f>IFERROR(__xludf.DUMMYFUNCTION("""COMPUTED_VALUE"""),1.0)</f>
        <v>1</v>
      </c>
      <c r="AD713">
        <f>IFERROR(__xludf.DUMMYFUNCTION("""COMPUTED_VALUE"""),2.0)</f>
        <v>2</v>
      </c>
      <c r="AE713">
        <f>IFERROR(__xludf.DUMMYFUNCTION("""COMPUTED_VALUE"""),7.0)</f>
        <v>7</v>
      </c>
      <c r="AG713" t="str">
        <f>IFERROR(__xludf.DUMMYFUNCTION("""COMPUTED_VALUE"""),"Tesla canceled first delivery appointment scheduled for 9/8 saying the car's ECU needed to be replaced, they called again and scheduled a pickup 9/12, but when got their car was still not ready, I called each day until 9/14 when they said it was finally r"&amp;"eady and I picked it up")</f>
        <v>Tesla canceled first delivery appointment scheduled for 9/8 saying the car's ECU needed to be replaced, they called again and scheduled a pickup 9/12, but when got their car was still not ready, I called each day until 9/14 when they said it was finally ready and I picked it up</v>
      </c>
      <c r="AH713" s="189">
        <f>IFERROR(__xludf.DUMMYFUNCTION("""COMPUTED_VALUE"""),43357.737871944446)</f>
        <v>43357.73787</v>
      </c>
    </row>
    <row r="714">
      <c r="A714" t="str">
        <f>IFERROR(__xludf.DUMMYFUNCTION("""COMPUTED_VALUE"""),"TK")</f>
        <v>TK</v>
      </c>
      <c r="B714" t="str">
        <f>IFERROR(__xludf.DUMMYFUNCTION("""COMPUTED_VALUE"""),"Bay Area")</f>
        <v>Bay Area</v>
      </c>
      <c r="C714" t="str">
        <f>IFERROR(__xludf.DUMMYFUNCTION("""COMPUTED_VALUE"""),"CA")</f>
        <v>CA</v>
      </c>
      <c r="D714" t="str">
        <f>IFERROR(__xludf.DUMMYFUNCTION("""COMPUTED_VALUE"""),"USA")</f>
        <v>USA</v>
      </c>
      <c r="E714" s="188">
        <f>IFERROR(__xludf.DUMMYFUNCTION("""COMPUTED_VALUE"""),43322.0)</f>
        <v>43322</v>
      </c>
      <c r="F714" s="188">
        <f>IFERROR(__xludf.DUMMYFUNCTION("""COMPUTED_VALUE"""),43350.0)</f>
        <v>43350</v>
      </c>
      <c r="H714">
        <f>IFERROR(__xludf.DUMMYFUNCTION("""COMPUTED_VALUE"""),79255.0)</f>
        <v>79255</v>
      </c>
      <c r="I714" t="str">
        <f>IFERROR(__xludf.DUMMYFUNCTION("""COMPUTED_VALUE"""),"08/18")</f>
        <v>08/18</v>
      </c>
      <c r="J714" s="5">
        <f>IFERROR(__xludf.DUMMYFUNCTION("""COMPUTED_VALUE"""),43357.0)</f>
        <v>43357</v>
      </c>
      <c r="K714">
        <f>IFERROR(__xludf.DUMMYFUNCTION("""COMPUTED_VALUE"""),28.0)</f>
        <v>28</v>
      </c>
      <c r="L714">
        <f>IFERROR(__xludf.DUMMYFUNCTION("""COMPUTED_VALUE"""),7.0)</f>
        <v>7</v>
      </c>
      <c r="M714">
        <f>IFERROR(__xludf.DUMMYFUNCTION("""COMPUTED_VALUE"""),35.0)</f>
        <v>35</v>
      </c>
      <c r="N714" t="str">
        <f>IFERROR(__xludf.DUMMYFUNCTION("""COMPUTED_VALUE"""),"Model 3 Performance")</f>
        <v>Model 3 Performance</v>
      </c>
      <c r="O714" t="str">
        <f>IFERROR(__xludf.DUMMYFUNCTION("""COMPUTED_VALUE"""),"Midnight Silver Metallic")</f>
        <v>Midnight Silver Metallic</v>
      </c>
      <c r="P714" t="str">
        <f>IFERROR(__xludf.DUMMYFUNCTION("""COMPUTED_VALUE"""),"20 inch Sport")</f>
        <v>20 inch Sport</v>
      </c>
      <c r="Q714" t="str">
        <f>IFERROR(__xludf.DUMMYFUNCTION("""COMPUTED_VALUE"""),"White seats")</f>
        <v>White seats</v>
      </c>
      <c r="R714" t="str">
        <f>IFERROR(__xludf.DUMMYFUNCTION("""COMPUTED_VALUE"""),"Enhanced Autopilot")</f>
        <v>Enhanced Autopilot</v>
      </c>
      <c r="X714" t="str">
        <f>IFERROR(__xludf.DUMMYFUNCTION("""COMPUTED_VALUE"""),"Very Good")</f>
        <v>Very Good</v>
      </c>
      <c r="Y714" t="str">
        <f>IFERROR(__xludf.DUMMYFUNCTION("""COMPUTED_VALUE"""),"Excellent")</f>
        <v>Excellent</v>
      </c>
      <c r="Z714" t="str">
        <f>IFERROR(__xludf.DUMMYFUNCTION("""COMPUTED_VALUE"""),"Excellent")</f>
        <v>Excellent</v>
      </c>
      <c r="AA714" t="str">
        <f>IFERROR(__xludf.DUMMYFUNCTION("""COMPUTED_VALUE"""),"Good")</f>
        <v>Good</v>
      </c>
      <c r="AB714" t="str">
        <f>IFERROR(__xludf.DUMMYFUNCTION("""COMPUTED_VALUE"""),"Excellent")</f>
        <v>Excellent</v>
      </c>
      <c r="AG714" t="str">
        <f>IFERROR(__xludf.DUMMYFUNCTION("""COMPUTED_VALUE"""),"Added PUP on 9/6")</f>
        <v>Added PUP on 9/6</v>
      </c>
      <c r="AH714" s="189">
        <f>IFERROR(__xludf.DUMMYFUNCTION("""COMPUTED_VALUE"""),43357.74516853009)</f>
        <v>43357.74517</v>
      </c>
    </row>
    <row r="715">
      <c r="A715" t="str">
        <f>IFERROR(__xludf.DUMMYFUNCTION("""COMPUTED_VALUE"""),"paranoidroid")</f>
        <v>paranoidroid</v>
      </c>
      <c r="B715" t="str">
        <f>IFERROR(__xludf.DUMMYFUNCTION("""COMPUTED_VALUE"""),"San Francisco")</f>
        <v>San Francisco</v>
      </c>
      <c r="C715" t="str">
        <f>IFERROR(__xludf.DUMMYFUNCTION("""COMPUTED_VALUE"""),"CA")</f>
        <v>CA</v>
      </c>
      <c r="D715" t="str">
        <f>IFERROR(__xludf.DUMMYFUNCTION("""COMPUTED_VALUE"""),"USA")</f>
        <v>USA</v>
      </c>
      <c r="E715" s="188">
        <f>IFERROR(__xludf.DUMMYFUNCTION("""COMPUTED_VALUE"""),43330.0)</f>
        <v>43330</v>
      </c>
      <c r="F715" s="188">
        <f>IFERROR(__xludf.DUMMYFUNCTION("""COMPUTED_VALUE"""),43351.0)</f>
        <v>43351</v>
      </c>
      <c r="H715">
        <f>IFERROR(__xludf.DUMMYFUNCTION("""COMPUTED_VALUE"""),84255.0)</f>
        <v>84255</v>
      </c>
      <c r="J715" s="5">
        <f>IFERROR(__xludf.DUMMYFUNCTION("""COMPUTED_VALUE"""),43357.0)</f>
        <v>43357</v>
      </c>
      <c r="K715">
        <f>IFERROR(__xludf.DUMMYFUNCTION("""COMPUTED_VALUE"""),21.0)</f>
        <v>21</v>
      </c>
      <c r="L715">
        <f>IFERROR(__xludf.DUMMYFUNCTION("""COMPUTED_VALUE"""),6.0)</f>
        <v>6</v>
      </c>
      <c r="M715">
        <f>IFERROR(__xludf.DUMMYFUNCTION("""COMPUTED_VALUE"""),27.0)</f>
        <v>27</v>
      </c>
      <c r="N715" t="str">
        <f>IFERROR(__xludf.DUMMYFUNCTION("""COMPUTED_VALUE"""),"Model 3 Performance")</f>
        <v>Model 3 Performance</v>
      </c>
      <c r="O715" t="str">
        <f>IFERROR(__xludf.DUMMYFUNCTION("""COMPUTED_VALUE"""),"Pearl White Multi-Coat")</f>
        <v>Pearl White Multi-Coat</v>
      </c>
      <c r="P715" t="str">
        <f>IFERROR(__xludf.DUMMYFUNCTION("""COMPUTED_VALUE"""),"20 inch Sport")</f>
        <v>20 inch Sport</v>
      </c>
      <c r="Q715" t="str">
        <f>IFERROR(__xludf.DUMMYFUNCTION("""COMPUTED_VALUE"""),"Black seats")</f>
        <v>Black seats</v>
      </c>
      <c r="R715" t="str">
        <f>IFERROR(__xludf.DUMMYFUNCTION("""COMPUTED_VALUE"""),"Full Self-Driving")</f>
        <v>Full Self-Driving</v>
      </c>
      <c r="X715" t="str">
        <f>IFERROR(__xludf.DUMMYFUNCTION("""COMPUTED_VALUE"""),"Good")</f>
        <v>Good</v>
      </c>
      <c r="Y715" t="str">
        <f>IFERROR(__xludf.DUMMYFUNCTION("""COMPUTED_VALUE"""),"Very Good")</f>
        <v>Very Good</v>
      </c>
      <c r="Z715" t="str">
        <f>IFERROR(__xludf.DUMMYFUNCTION("""COMPUTED_VALUE"""),"Very Good")</f>
        <v>Very Good</v>
      </c>
      <c r="AA715" t="str">
        <f>IFERROR(__xludf.DUMMYFUNCTION("""COMPUTED_VALUE"""),"Fair")</f>
        <v>Fair</v>
      </c>
      <c r="AB715" t="str">
        <f>IFERROR(__xludf.DUMMYFUNCTION("""COMPUTED_VALUE"""),"Very Good")</f>
        <v>Very Good</v>
      </c>
      <c r="AH715" s="189">
        <f>IFERROR(__xludf.DUMMYFUNCTION("""COMPUTED_VALUE"""),43357.95419896991)</f>
        <v>43357.9542</v>
      </c>
    </row>
    <row r="716">
      <c r="A716" t="str">
        <f>IFERROR(__xludf.DUMMYFUNCTION("""COMPUTED_VALUE"""),"SnoToxic")</f>
        <v>SnoToxic</v>
      </c>
      <c r="B716" t="str">
        <f>IFERROR(__xludf.DUMMYFUNCTION("""COMPUTED_VALUE"""),"Seattle")</f>
        <v>Seattle</v>
      </c>
      <c r="C716" t="str">
        <f>IFERROR(__xludf.DUMMYFUNCTION("""COMPUTED_VALUE"""),"WA")</f>
        <v>WA</v>
      </c>
      <c r="D716" t="str">
        <f>IFERROR(__xludf.DUMMYFUNCTION("""COMPUTED_VALUE"""),"USA")</f>
        <v>USA</v>
      </c>
      <c r="E716" s="188">
        <f>IFERROR(__xludf.DUMMYFUNCTION("""COMPUTED_VALUE"""),43307.0)</f>
        <v>43307</v>
      </c>
      <c r="F716" s="188">
        <f>IFERROR(__xludf.DUMMYFUNCTION("""COMPUTED_VALUE"""),43322.0)</f>
        <v>43322</v>
      </c>
      <c r="H716">
        <f>IFERROR(__xludf.DUMMYFUNCTION("""COMPUTED_VALUE"""),75055.0)</f>
        <v>75055</v>
      </c>
      <c r="I716" t="str">
        <f>IFERROR(__xludf.DUMMYFUNCTION("""COMPUTED_VALUE"""),"08/18")</f>
        <v>08/18</v>
      </c>
      <c r="J716" s="5">
        <f>IFERROR(__xludf.DUMMYFUNCTION("""COMPUTED_VALUE"""),43347.0)</f>
        <v>43347</v>
      </c>
      <c r="K716">
        <f>IFERROR(__xludf.DUMMYFUNCTION("""COMPUTED_VALUE"""),15.0)</f>
        <v>15</v>
      </c>
      <c r="L716">
        <f>IFERROR(__xludf.DUMMYFUNCTION("""COMPUTED_VALUE"""),25.0)</f>
        <v>25</v>
      </c>
      <c r="M716">
        <f>IFERROR(__xludf.DUMMYFUNCTION("""COMPUTED_VALUE"""),40.0)</f>
        <v>40</v>
      </c>
      <c r="N716" t="str">
        <f>IFERROR(__xludf.DUMMYFUNCTION("""COMPUTED_VALUE"""),"Model 3 LR AWD")</f>
        <v>Model 3 LR AWD</v>
      </c>
      <c r="O716" t="str">
        <f>IFERROR(__xludf.DUMMYFUNCTION("""COMPUTED_VALUE"""),"Red Multi-Coat")</f>
        <v>Red Multi-Coat</v>
      </c>
      <c r="P716" t="str">
        <f>IFERROR(__xludf.DUMMYFUNCTION("""COMPUTED_VALUE"""),"18 inch Aero")</f>
        <v>18 inch Aero</v>
      </c>
      <c r="Q716" t="str">
        <f>IFERROR(__xludf.DUMMYFUNCTION("""COMPUTED_VALUE"""),"White seats")</f>
        <v>White seats</v>
      </c>
      <c r="R716" t="str">
        <f>IFERROR(__xludf.DUMMYFUNCTION("""COMPUTED_VALUE"""),"Full Self-Driving")</f>
        <v>Full Self-Driving</v>
      </c>
      <c r="X716" t="str">
        <f>IFERROR(__xludf.DUMMYFUNCTION("""COMPUTED_VALUE"""),"Very Good")</f>
        <v>Very Good</v>
      </c>
      <c r="Y716" t="str">
        <f>IFERROR(__xludf.DUMMYFUNCTION("""COMPUTED_VALUE"""),"Good")</f>
        <v>Good</v>
      </c>
      <c r="Z716" t="str">
        <f>IFERROR(__xludf.DUMMYFUNCTION("""COMPUTED_VALUE"""),"Good")</f>
        <v>Good</v>
      </c>
      <c r="AA716" t="str">
        <f>IFERROR(__xludf.DUMMYFUNCTION("""COMPUTED_VALUE"""),"Fair")</f>
        <v>Fair</v>
      </c>
      <c r="AB716" t="str">
        <f>IFERROR(__xludf.DUMMYFUNCTION("""COMPUTED_VALUE"""),"Good")</f>
        <v>Good</v>
      </c>
      <c r="AC716">
        <f>IFERROR(__xludf.DUMMYFUNCTION("""COMPUTED_VALUE"""),4.0)</f>
        <v>4</v>
      </c>
      <c r="AD716">
        <f>IFERROR(__xludf.DUMMYFUNCTION("""COMPUTED_VALUE"""),1.0)</f>
        <v>1</v>
      </c>
      <c r="AH716" s="189">
        <f>IFERROR(__xludf.DUMMYFUNCTION("""COMPUTED_VALUE"""),43358.40539494213)</f>
        <v>43358.40539</v>
      </c>
    </row>
    <row r="717">
      <c r="A717" t="str">
        <f>IFERROR(__xludf.DUMMYFUNCTION("""COMPUTED_VALUE"""),"XKWIZIT")</f>
        <v>XKWIZIT</v>
      </c>
      <c r="B717" t="str">
        <f>IFERROR(__xludf.DUMMYFUNCTION("""COMPUTED_VALUE"""),"Folsom, CA")</f>
        <v>Folsom, CA</v>
      </c>
      <c r="C717" t="str">
        <f>IFERROR(__xludf.DUMMYFUNCTION("""COMPUTED_VALUE"""),"CA")</f>
        <v>CA</v>
      </c>
      <c r="D717" t="str">
        <f>IFERROR(__xludf.DUMMYFUNCTION("""COMPUTED_VALUE"""),"USA")</f>
        <v>USA</v>
      </c>
      <c r="E717" s="188">
        <f>IFERROR(__xludf.DUMMYFUNCTION("""COMPUTED_VALUE"""),43337.0)</f>
        <v>43337</v>
      </c>
      <c r="F717" s="188">
        <f>IFERROR(__xludf.DUMMYFUNCTION("""COMPUTED_VALUE"""),43341.0)</f>
        <v>43341</v>
      </c>
      <c r="H717" s="4">
        <f>IFERROR(__xludf.DUMMYFUNCTION("""COMPUTED_VALUE"""),78236.0)</f>
        <v>78236</v>
      </c>
      <c r="J717" s="5">
        <f>IFERROR(__xludf.DUMMYFUNCTION("""COMPUTED_VALUE"""),43354.0)</f>
        <v>43354</v>
      </c>
      <c r="K717">
        <f>IFERROR(__xludf.DUMMYFUNCTION("""COMPUTED_VALUE"""),4.0)</f>
        <v>4</v>
      </c>
      <c r="L717">
        <f>IFERROR(__xludf.DUMMYFUNCTION("""COMPUTED_VALUE"""),13.0)</f>
        <v>13</v>
      </c>
      <c r="M717">
        <f>IFERROR(__xludf.DUMMYFUNCTION("""COMPUTED_VALUE"""),17.0)</f>
        <v>17</v>
      </c>
      <c r="N717" t="str">
        <f>IFERROR(__xludf.DUMMYFUNCTION("""COMPUTED_VALUE"""),"Model 3 LR")</f>
        <v>Model 3 LR</v>
      </c>
      <c r="O717" t="str">
        <f>IFERROR(__xludf.DUMMYFUNCTION("""COMPUTED_VALUE"""),"Obsidian Black Metallic")</f>
        <v>Obsidian Black Metallic</v>
      </c>
      <c r="P717" t="str">
        <f>IFERROR(__xludf.DUMMYFUNCTION("""COMPUTED_VALUE"""),"19 inch Sport")</f>
        <v>19 inch Sport</v>
      </c>
      <c r="Q717" t="str">
        <f>IFERROR(__xludf.DUMMYFUNCTION("""COMPUTED_VALUE"""),"Black seats")</f>
        <v>Black seats</v>
      </c>
      <c r="R717" t="str">
        <f>IFERROR(__xludf.DUMMYFUNCTION("""COMPUTED_VALUE"""),"Full Self-Driving")</f>
        <v>Full Self-Driving</v>
      </c>
      <c r="X717" t="str">
        <f>IFERROR(__xludf.DUMMYFUNCTION("""COMPUTED_VALUE"""),"Excellent")</f>
        <v>Excellent</v>
      </c>
      <c r="Y717" t="str">
        <f>IFERROR(__xludf.DUMMYFUNCTION("""COMPUTED_VALUE"""),"Excellent")</f>
        <v>Excellent</v>
      </c>
      <c r="Z717" t="str">
        <f>IFERROR(__xludf.DUMMYFUNCTION("""COMPUTED_VALUE"""),"Excellent")</f>
        <v>Excellent</v>
      </c>
      <c r="AA717" t="str">
        <f>IFERROR(__xludf.DUMMYFUNCTION("""COMPUTED_VALUE"""),"Excellent")</f>
        <v>Excellent</v>
      </c>
      <c r="AB717" t="str">
        <f>IFERROR(__xludf.DUMMYFUNCTION("""COMPUTED_VALUE"""),"Excellent")</f>
        <v>Excellent</v>
      </c>
      <c r="AC717">
        <f>IFERROR(__xludf.DUMMYFUNCTION("""COMPUTED_VALUE"""),1.0)</f>
        <v>1</v>
      </c>
      <c r="AG717" t="str">
        <f>IFERROR(__xludf.DUMMYFUNCTION("""COMPUTED_VALUE"""),"Came with Aero wheels - got Due Bill to install 19"" Sport")</f>
        <v>Came with Aero wheels - got Due Bill to install 19" Sport</v>
      </c>
      <c r="AH717" s="189">
        <f>IFERROR(__xludf.DUMMYFUNCTION("""COMPUTED_VALUE"""),43358.43105518518)</f>
        <v>43358.43106</v>
      </c>
    </row>
    <row r="718">
      <c r="A718" t="str">
        <f>IFERROR(__xludf.DUMMYFUNCTION("""COMPUTED_VALUE"""),"BillH")</f>
        <v>BillH</v>
      </c>
      <c r="B718" t="str">
        <f>IFERROR(__xludf.DUMMYFUNCTION("""COMPUTED_VALUE"""),"Denville")</f>
        <v>Denville</v>
      </c>
      <c r="C718" t="str">
        <f>IFERROR(__xludf.DUMMYFUNCTION("""COMPUTED_VALUE"""),"NJ")</f>
        <v>NJ</v>
      </c>
      <c r="D718" t="str">
        <f>IFERROR(__xludf.DUMMYFUNCTION("""COMPUTED_VALUE"""),"USA")</f>
        <v>USA</v>
      </c>
      <c r="E718" s="188">
        <f>IFERROR(__xludf.DUMMYFUNCTION("""COMPUTED_VALUE"""),43278.0)</f>
        <v>43278</v>
      </c>
      <c r="F718" s="188">
        <f>IFERROR(__xludf.DUMMYFUNCTION("""COMPUTED_VALUE"""),43338.0)</f>
        <v>43338</v>
      </c>
      <c r="H718">
        <f>IFERROR(__xludf.DUMMYFUNCTION("""COMPUTED_VALUE"""),72975.0)</f>
        <v>72975</v>
      </c>
      <c r="I718" t="str">
        <f>IFERROR(__xludf.DUMMYFUNCTION("""COMPUTED_VALUE"""),"08/18")</f>
        <v>08/18</v>
      </c>
      <c r="J718" s="5">
        <f>IFERROR(__xludf.DUMMYFUNCTION("""COMPUTED_VALUE"""),43356.0)</f>
        <v>43356</v>
      </c>
      <c r="K718">
        <f>IFERROR(__xludf.DUMMYFUNCTION("""COMPUTED_VALUE"""),60.0)</f>
        <v>60</v>
      </c>
      <c r="L718">
        <f>IFERROR(__xludf.DUMMYFUNCTION("""COMPUTED_VALUE"""),18.0)</f>
        <v>18</v>
      </c>
      <c r="M718">
        <f>IFERROR(__xludf.DUMMYFUNCTION("""COMPUTED_VALUE"""),78.0)</f>
        <v>78</v>
      </c>
      <c r="N718" t="str">
        <f>IFERROR(__xludf.DUMMYFUNCTION("""COMPUTED_VALUE"""),"Model 3 Performance")</f>
        <v>Model 3 Performance</v>
      </c>
      <c r="O718" t="str">
        <f>IFERROR(__xludf.DUMMYFUNCTION("""COMPUTED_VALUE"""),"Midnight Silver Metallic")</f>
        <v>Midnight Silver Metallic</v>
      </c>
      <c r="P718" t="str">
        <f>IFERROR(__xludf.DUMMYFUNCTION("""COMPUTED_VALUE"""),"20 inch Sport")</f>
        <v>20 inch Sport</v>
      </c>
      <c r="Q718" t="str">
        <f>IFERROR(__xludf.DUMMYFUNCTION("""COMPUTED_VALUE"""),"Black seats")</f>
        <v>Black seats</v>
      </c>
      <c r="R718" t="str">
        <f>IFERROR(__xludf.DUMMYFUNCTION("""COMPUTED_VALUE"""),"Full Self-Driving")</f>
        <v>Full Self-Driving</v>
      </c>
      <c r="X718" t="str">
        <f>IFERROR(__xludf.DUMMYFUNCTION("""COMPUTED_VALUE"""),"Excellent")</f>
        <v>Excellent</v>
      </c>
      <c r="Y718" t="str">
        <f>IFERROR(__xludf.DUMMYFUNCTION("""COMPUTED_VALUE"""),"Excellent")</f>
        <v>Excellent</v>
      </c>
      <c r="Z718" t="str">
        <f>IFERROR(__xludf.DUMMYFUNCTION("""COMPUTED_VALUE"""),"Excellent")</f>
        <v>Excellent</v>
      </c>
      <c r="AA718" t="str">
        <f>IFERROR(__xludf.DUMMYFUNCTION("""COMPUTED_VALUE"""),"Excellent")</f>
        <v>Excellent</v>
      </c>
      <c r="AB718" t="str">
        <f>IFERROR(__xludf.DUMMYFUNCTION("""COMPUTED_VALUE"""),"Excellent")</f>
        <v>Excellent</v>
      </c>
      <c r="AH718" s="189">
        <f>IFERROR(__xludf.DUMMYFUNCTION("""COMPUTED_VALUE"""),43358.43239447917)</f>
        <v>43358.43239</v>
      </c>
    </row>
    <row r="719">
      <c r="A719" t="str">
        <f>IFERROR(__xludf.DUMMYFUNCTION("""COMPUTED_VALUE"""),"Hiddencamper")</f>
        <v>Hiddencamper</v>
      </c>
      <c r="C719" t="str">
        <f>IFERROR(__xludf.DUMMYFUNCTION("""COMPUTED_VALUE"""),"IL")</f>
        <v>IL</v>
      </c>
      <c r="D719" t="str">
        <f>IFERROR(__xludf.DUMMYFUNCTION("""COMPUTED_VALUE"""),"USA")</f>
        <v>USA</v>
      </c>
      <c r="E719" s="188">
        <f>IFERROR(__xludf.DUMMYFUNCTION("""COMPUTED_VALUE"""),43283.0)</f>
        <v>43283</v>
      </c>
      <c r="F719" s="188">
        <f>IFERROR(__xludf.DUMMYFUNCTION("""COMPUTED_VALUE"""),43334.0)</f>
        <v>43334</v>
      </c>
      <c r="H719">
        <f>IFERROR(__xludf.DUMMYFUNCTION("""COMPUTED_VALUE"""),51955.0)</f>
        <v>51955</v>
      </c>
      <c r="J719" s="5">
        <f>IFERROR(__xludf.DUMMYFUNCTION("""COMPUTED_VALUE"""),43350.0)</f>
        <v>43350</v>
      </c>
      <c r="K719">
        <f>IFERROR(__xludf.DUMMYFUNCTION("""COMPUTED_VALUE"""),51.0)</f>
        <v>51</v>
      </c>
      <c r="L719">
        <f>IFERROR(__xludf.DUMMYFUNCTION("""COMPUTED_VALUE"""),16.0)</f>
        <v>16</v>
      </c>
      <c r="M719">
        <f>IFERROR(__xludf.DUMMYFUNCTION("""COMPUTED_VALUE"""),67.0)</f>
        <v>67</v>
      </c>
      <c r="N719" t="str">
        <f>IFERROR(__xludf.DUMMYFUNCTION("""COMPUTED_VALUE"""),"Model 3 LR")</f>
        <v>Model 3 LR</v>
      </c>
      <c r="O719" t="str">
        <f>IFERROR(__xludf.DUMMYFUNCTION("""COMPUTED_VALUE"""),"Pearl White Multi-Coat")</f>
        <v>Pearl White Multi-Coat</v>
      </c>
      <c r="P719" t="str">
        <f>IFERROR(__xludf.DUMMYFUNCTION("""COMPUTED_VALUE"""),"19 inch Sport")</f>
        <v>19 inch Sport</v>
      </c>
      <c r="Q719" t="str">
        <f>IFERROR(__xludf.DUMMYFUNCTION("""COMPUTED_VALUE"""),"Black seats")</f>
        <v>Black seats</v>
      </c>
      <c r="R719" t="str">
        <f>IFERROR(__xludf.DUMMYFUNCTION("""COMPUTED_VALUE"""),"Enhanced Autopilot")</f>
        <v>Enhanced Autopilot</v>
      </c>
      <c r="X719" t="str">
        <f>IFERROR(__xludf.DUMMYFUNCTION("""COMPUTED_VALUE"""),"Very Good")</f>
        <v>Very Good</v>
      </c>
      <c r="Y719" t="str">
        <f>IFERROR(__xludf.DUMMYFUNCTION("""COMPUTED_VALUE"""),"Excellent")</f>
        <v>Excellent</v>
      </c>
      <c r="Z719" t="str">
        <f>IFERROR(__xludf.DUMMYFUNCTION("""COMPUTED_VALUE"""),"Excellent")</f>
        <v>Excellent</v>
      </c>
      <c r="AA719" t="str">
        <f>IFERROR(__xludf.DUMMYFUNCTION("""COMPUTED_VALUE"""),"Fair")</f>
        <v>Fair</v>
      </c>
      <c r="AB719" t="str">
        <f>IFERROR(__xludf.DUMMYFUNCTION("""COMPUTED_VALUE"""),"Good")</f>
        <v>Good</v>
      </c>
      <c r="AC719">
        <f>IFERROR(__xludf.DUMMYFUNCTION("""COMPUTED_VALUE"""),1.0)</f>
        <v>1</v>
      </c>
      <c r="AD719">
        <f>IFERROR(__xludf.DUMMYFUNCTION("""COMPUTED_VALUE"""),0.0)</f>
        <v>0</v>
      </c>
      <c r="AE719">
        <f>IFERROR(__xludf.DUMMYFUNCTION("""COMPUTED_VALUE"""),0.0)</f>
        <v>0</v>
      </c>
      <c r="AH719" s="189">
        <f>IFERROR(__xludf.DUMMYFUNCTION("""COMPUTED_VALUE"""),43358.56033700232)</f>
        <v>43358.56034</v>
      </c>
    </row>
    <row r="720">
      <c r="A720" t="str">
        <f>IFERROR(__xludf.DUMMYFUNCTION("""COMPUTED_VALUE"""),"ibdb")</f>
        <v>ibdb</v>
      </c>
      <c r="C720" t="str">
        <f>IFERROR(__xludf.DUMMYFUNCTION("""COMPUTED_VALUE"""),"WA")</f>
        <v>WA</v>
      </c>
      <c r="D720" t="str">
        <f>IFERROR(__xludf.DUMMYFUNCTION("""COMPUTED_VALUE"""),"USA")</f>
        <v>USA</v>
      </c>
      <c r="E720" s="188">
        <f>IFERROR(__xludf.DUMMYFUNCTION("""COMPUTED_VALUE"""),43277.0)</f>
        <v>43277</v>
      </c>
      <c r="F720" s="188">
        <f>IFERROR(__xludf.DUMMYFUNCTION("""COMPUTED_VALUE"""),43334.0)</f>
        <v>43334</v>
      </c>
      <c r="H720">
        <f>IFERROR(__xludf.DUMMYFUNCTION("""COMPUTED_VALUE"""),63255.0)</f>
        <v>63255</v>
      </c>
      <c r="I720" t="str">
        <f>IFERROR(__xludf.DUMMYFUNCTION("""COMPUTED_VALUE"""),"09/18")</f>
        <v>09/18</v>
      </c>
      <c r="J720" s="5">
        <f>IFERROR(__xludf.DUMMYFUNCTION("""COMPUTED_VALUE"""),43355.0)</f>
        <v>43355</v>
      </c>
      <c r="K720">
        <f>IFERROR(__xludf.DUMMYFUNCTION("""COMPUTED_VALUE"""),57.0)</f>
        <v>57</v>
      </c>
      <c r="L720">
        <f>IFERROR(__xludf.DUMMYFUNCTION("""COMPUTED_VALUE"""),21.0)</f>
        <v>21</v>
      </c>
      <c r="M720">
        <f>IFERROR(__xludf.DUMMYFUNCTION("""COMPUTED_VALUE"""),78.0)</f>
        <v>78</v>
      </c>
      <c r="N720" t="str">
        <f>IFERROR(__xludf.DUMMYFUNCTION("""COMPUTED_VALUE"""),"Model 3 Performance")</f>
        <v>Model 3 Performance</v>
      </c>
      <c r="O720" t="str">
        <f>IFERROR(__xludf.DUMMYFUNCTION("""COMPUTED_VALUE"""),"Red Multi-Coat")</f>
        <v>Red Multi-Coat</v>
      </c>
      <c r="P720" t="str">
        <f>IFERROR(__xludf.DUMMYFUNCTION("""COMPUTED_VALUE"""),"20 inch Sport")</f>
        <v>20 inch Sport</v>
      </c>
      <c r="Q720" t="str">
        <f>IFERROR(__xludf.DUMMYFUNCTION("""COMPUTED_VALUE"""),"Black seats")</f>
        <v>Black seats</v>
      </c>
      <c r="R720" t="str">
        <f>IFERROR(__xludf.DUMMYFUNCTION("""COMPUTED_VALUE"""),"Enhanced Autopilot")</f>
        <v>Enhanced Autopilot</v>
      </c>
      <c r="X720" t="str">
        <f>IFERROR(__xludf.DUMMYFUNCTION("""COMPUTED_VALUE"""),"Excellent")</f>
        <v>Excellent</v>
      </c>
      <c r="Y720" t="str">
        <f>IFERROR(__xludf.DUMMYFUNCTION("""COMPUTED_VALUE"""),"Excellent")</f>
        <v>Excellent</v>
      </c>
      <c r="Z720" t="str">
        <f>IFERROR(__xludf.DUMMYFUNCTION("""COMPUTED_VALUE"""),"Excellent")</f>
        <v>Excellent</v>
      </c>
      <c r="AA720" t="str">
        <f>IFERROR(__xludf.DUMMYFUNCTION("""COMPUTED_VALUE"""),"Excellent")</f>
        <v>Excellent</v>
      </c>
      <c r="AB720" t="str">
        <f>IFERROR(__xludf.DUMMYFUNCTION("""COMPUTED_VALUE"""),"Good")</f>
        <v>Good</v>
      </c>
      <c r="AC720">
        <f>IFERROR(__xludf.DUMMYFUNCTION("""COMPUTED_VALUE"""),1.0)</f>
        <v>1</v>
      </c>
      <c r="AG720" t="str">
        <f>IFERROR(__xludf.DUMMYFUNCTION("""COMPUTED_VALUE"""),"Waited for AWD and P to configure. Initial delivery canceled after car was damaged at delivery center 15 minutes before delivery.")</f>
        <v>Waited for AWD and P to configure. Initial delivery canceled after car was damaged at delivery center 15 minutes before delivery.</v>
      </c>
      <c r="AH720" s="189">
        <f>IFERROR(__xludf.DUMMYFUNCTION("""COMPUTED_VALUE"""),43358.56815369213)</f>
        <v>43358.56815</v>
      </c>
    </row>
    <row r="721">
      <c r="A721" t="str">
        <f>IFERROR(__xludf.DUMMYFUNCTION("""COMPUTED_VALUE"""),"DiamondDevil")</f>
        <v>DiamondDevil</v>
      </c>
      <c r="B721" t="str">
        <f>IFERROR(__xludf.DUMMYFUNCTION("""COMPUTED_VALUE"""),"Chandler")</f>
        <v>Chandler</v>
      </c>
      <c r="C721" t="str">
        <f>IFERROR(__xludf.DUMMYFUNCTION("""COMPUTED_VALUE"""),"AZ")</f>
        <v>AZ</v>
      </c>
      <c r="D721" t="str">
        <f>IFERROR(__xludf.DUMMYFUNCTION("""COMPUTED_VALUE"""),"USA")</f>
        <v>USA</v>
      </c>
      <c r="E721" s="188">
        <f>IFERROR(__xludf.DUMMYFUNCTION("""COMPUTED_VALUE"""),43281.0)</f>
        <v>43281</v>
      </c>
      <c r="F721" s="188">
        <f>IFERROR(__xludf.DUMMYFUNCTION("""COMPUTED_VALUE"""),43349.0)</f>
        <v>43349</v>
      </c>
      <c r="H721">
        <f>IFERROR(__xludf.DUMMYFUNCTION("""COMPUTED_VALUE"""),83955.0)</f>
        <v>83955</v>
      </c>
      <c r="I721" t="str">
        <f>IFERROR(__xludf.DUMMYFUNCTION("""COMPUTED_VALUE"""),"09/18")</f>
        <v>09/18</v>
      </c>
      <c r="J721" s="5">
        <f>IFERROR(__xludf.DUMMYFUNCTION("""COMPUTED_VALUE"""),43358.0)</f>
        <v>43358</v>
      </c>
      <c r="K721">
        <f>IFERROR(__xludf.DUMMYFUNCTION("""COMPUTED_VALUE"""),68.0)</f>
        <v>68</v>
      </c>
      <c r="L721">
        <f>IFERROR(__xludf.DUMMYFUNCTION("""COMPUTED_VALUE"""),9.0)</f>
        <v>9</v>
      </c>
      <c r="M721">
        <f>IFERROR(__xludf.DUMMYFUNCTION("""COMPUTED_VALUE"""),77.0)</f>
        <v>77</v>
      </c>
      <c r="N721" t="str">
        <f>IFERROR(__xludf.DUMMYFUNCTION("""COMPUTED_VALUE"""),"Model 3 Performance")</f>
        <v>Model 3 Performance</v>
      </c>
      <c r="O721" t="str">
        <f>IFERROR(__xludf.DUMMYFUNCTION("""COMPUTED_VALUE"""),"Deep Blue Metallic")</f>
        <v>Deep Blue Metallic</v>
      </c>
      <c r="P721" t="str">
        <f>IFERROR(__xludf.DUMMYFUNCTION("""COMPUTED_VALUE"""),"20 inch Sport")</f>
        <v>20 inch Sport</v>
      </c>
      <c r="Q721" t="str">
        <f>IFERROR(__xludf.DUMMYFUNCTION("""COMPUTED_VALUE"""),"Black seats")</f>
        <v>Black seats</v>
      </c>
      <c r="R721" t="str">
        <f>IFERROR(__xludf.DUMMYFUNCTION("""COMPUTED_VALUE"""),"Enhanced Autopilot")</f>
        <v>Enhanced Autopilot</v>
      </c>
      <c r="X721" t="str">
        <f>IFERROR(__xludf.DUMMYFUNCTION("""COMPUTED_VALUE"""),"Excellent")</f>
        <v>Excellent</v>
      </c>
      <c r="Y721" t="str">
        <f>IFERROR(__xludf.DUMMYFUNCTION("""COMPUTED_VALUE"""),"Excellent")</f>
        <v>Excellent</v>
      </c>
      <c r="Z721" t="str">
        <f>IFERROR(__xludf.DUMMYFUNCTION("""COMPUTED_VALUE"""),"Excellent")</f>
        <v>Excellent</v>
      </c>
      <c r="AA721" t="str">
        <f>IFERROR(__xludf.DUMMYFUNCTION("""COMPUTED_VALUE"""),"Fair")</f>
        <v>Fair</v>
      </c>
      <c r="AB721" t="str">
        <f>IFERROR(__xludf.DUMMYFUNCTION("""COMPUTED_VALUE"""),"Excellent")</f>
        <v>Excellent</v>
      </c>
      <c r="AH721" s="189">
        <f>IFERROR(__xludf.DUMMYFUNCTION("""COMPUTED_VALUE"""),43358.599058576394)</f>
        <v>43358.59906</v>
      </c>
    </row>
    <row r="722">
      <c r="A722" t="str">
        <f>IFERROR(__xludf.DUMMYFUNCTION("""COMPUTED_VALUE"""),"lxzm")</f>
        <v>lxzm</v>
      </c>
      <c r="B722" t="str">
        <f>IFERROR(__xludf.DUMMYFUNCTION("""COMPUTED_VALUE"""),"Santa Fe")</f>
        <v>Santa Fe</v>
      </c>
      <c r="C722" t="str">
        <f>IFERROR(__xludf.DUMMYFUNCTION("""COMPUTED_VALUE"""),"NM")</f>
        <v>NM</v>
      </c>
      <c r="D722" t="str">
        <f>IFERROR(__xludf.DUMMYFUNCTION("""COMPUTED_VALUE"""),"USA")</f>
        <v>USA</v>
      </c>
      <c r="E722" s="188">
        <f>IFERROR(__xludf.DUMMYFUNCTION("""COMPUTED_VALUE"""),43208.0)</f>
        <v>43208</v>
      </c>
      <c r="F722" s="188">
        <f>IFERROR(__xludf.DUMMYFUNCTION("""COMPUTED_VALUE"""),43243.0)</f>
        <v>43243</v>
      </c>
      <c r="H722">
        <f>IFERROR(__xludf.DUMMYFUNCTION("""COMPUTED_VALUE"""),26155.0)</f>
        <v>26155</v>
      </c>
      <c r="I722" t="str">
        <f>IFERROR(__xludf.DUMMYFUNCTION("""COMPUTED_VALUE"""),"05/18")</f>
        <v>05/18</v>
      </c>
      <c r="J722" s="5">
        <f>IFERROR(__xludf.DUMMYFUNCTION("""COMPUTED_VALUE"""),43260.0)</f>
        <v>43260</v>
      </c>
      <c r="K722">
        <f>IFERROR(__xludf.DUMMYFUNCTION("""COMPUTED_VALUE"""),35.0)</f>
        <v>35</v>
      </c>
      <c r="L722">
        <f>IFERROR(__xludf.DUMMYFUNCTION("""COMPUTED_VALUE"""),17.0)</f>
        <v>17</v>
      </c>
      <c r="M722">
        <f>IFERROR(__xludf.DUMMYFUNCTION("""COMPUTED_VALUE"""),52.0)</f>
        <v>52</v>
      </c>
      <c r="N722" t="str">
        <f>IFERROR(__xludf.DUMMYFUNCTION("""COMPUTED_VALUE"""),"Model 3 LR")</f>
        <v>Model 3 LR</v>
      </c>
      <c r="O722" t="str">
        <f>IFERROR(__xludf.DUMMYFUNCTION("""COMPUTED_VALUE"""),"Pearl White Multi-Coat")</f>
        <v>Pearl White Multi-Coat</v>
      </c>
      <c r="P722" t="str">
        <f>IFERROR(__xludf.DUMMYFUNCTION("""COMPUTED_VALUE"""),"18 inch Aero")</f>
        <v>18 inch Aero</v>
      </c>
      <c r="Q722" t="str">
        <f>IFERROR(__xludf.DUMMYFUNCTION("""COMPUTED_VALUE"""),"Black seats")</f>
        <v>Black seats</v>
      </c>
      <c r="R722" t="str">
        <f>IFERROR(__xludf.DUMMYFUNCTION("""COMPUTED_VALUE"""),"Full Self-Driving")</f>
        <v>Full Self-Driving</v>
      </c>
      <c r="X722" t="str">
        <f>IFERROR(__xludf.DUMMYFUNCTION("""COMPUTED_VALUE"""),"Very Good")</f>
        <v>Very Good</v>
      </c>
      <c r="Y722" t="str">
        <f>IFERROR(__xludf.DUMMYFUNCTION("""COMPUTED_VALUE"""),"Excellent")</f>
        <v>Excellent</v>
      </c>
      <c r="Z722" t="str">
        <f>IFERROR(__xludf.DUMMYFUNCTION("""COMPUTED_VALUE"""),"Excellent")</f>
        <v>Excellent</v>
      </c>
      <c r="AA722" t="str">
        <f>IFERROR(__xludf.DUMMYFUNCTION("""COMPUTED_VALUE"""),"Excellent")</f>
        <v>Excellent</v>
      </c>
      <c r="AB722" t="str">
        <f>IFERROR(__xludf.DUMMYFUNCTION("""COMPUTED_VALUE"""),"Excellent")</f>
        <v>Excellent</v>
      </c>
      <c r="AC722">
        <f>IFERROR(__xludf.DUMMYFUNCTION("""COMPUTED_VALUE"""),1.0)</f>
        <v>1</v>
      </c>
      <c r="AD722">
        <f>IFERROR(__xludf.DUMMYFUNCTION("""COMPUTED_VALUE"""),2.0)</f>
        <v>2</v>
      </c>
      <c r="AE722">
        <f>IFERROR(__xludf.DUMMYFUNCTION("""COMPUTED_VALUE"""),0.0)</f>
        <v>0</v>
      </c>
      <c r="AH722" s="189">
        <f>IFERROR(__xludf.DUMMYFUNCTION("""COMPUTED_VALUE"""),43358.7746587963)</f>
        <v>43358.77466</v>
      </c>
    </row>
    <row r="723">
      <c r="A723" t="str">
        <f>IFERROR(__xludf.DUMMYFUNCTION("""COMPUTED_VALUE"""),"twmmmom")</f>
        <v>twmmmom</v>
      </c>
      <c r="C723" t="str">
        <f>IFERROR(__xludf.DUMMYFUNCTION("""COMPUTED_VALUE"""),"CO")</f>
        <v>CO</v>
      </c>
      <c r="D723" t="str">
        <f>IFERROR(__xludf.DUMMYFUNCTION("""COMPUTED_VALUE"""),"USA")</f>
        <v>USA</v>
      </c>
      <c r="E723" s="188">
        <f>IFERROR(__xludf.DUMMYFUNCTION("""COMPUTED_VALUE"""),43295.0)</f>
        <v>43295</v>
      </c>
      <c r="F723" s="188">
        <f>IFERROR(__xludf.DUMMYFUNCTION("""COMPUTED_VALUE"""),43341.0)</f>
        <v>43341</v>
      </c>
      <c r="H723">
        <f>IFERROR(__xludf.DUMMYFUNCTION("""COMPUTED_VALUE"""),81234.0)</f>
        <v>81234</v>
      </c>
      <c r="I723" t="str">
        <f>IFERROR(__xludf.DUMMYFUNCTION("""COMPUTED_VALUE"""),"08/18")</f>
        <v>08/18</v>
      </c>
      <c r="J723" s="5">
        <f>IFERROR(__xludf.DUMMYFUNCTION("""COMPUTED_VALUE"""),43356.0)</f>
        <v>43356</v>
      </c>
      <c r="K723">
        <f>IFERROR(__xludf.DUMMYFUNCTION("""COMPUTED_VALUE"""),46.0)</f>
        <v>46</v>
      </c>
      <c r="L723">
        <f>IFERROR(__xludf.DUMMYFUNCTION("""COMPUTED_VALUE"""),15.0)</f>
        <v>15</v>
      </c>
      <c r="M723">
        <f>IFERROR(__xludf.DUMMYFUNCTION("""COMPUTED_VALUE"""),61.0)</f>
        <v>61</v>
      </c>
      <c r="N723" t="str">
        <f>IFERROR(__xludf.DUMMYFUNCTION("""COMPUTED_VALUE"""),"Model 3 LR AWD")</f>
        <v>Model 3 LR AWD</v>
      </c>
      <c r="O723" t="str">
        <f>IFERROR(__xludf.DUMMYFUNCTION("""COMPUTED_VALUE"""),"Midnight Silver Metallic")</f>
        <v>Midnight Silver Metallic</v>
      </c>
      <c r="P723" t="str">
        <f>IFERROR(__xludf.DUMMYFUNCTION("""COMPUTED_VALUE"""),"18 inch Aero")</f>
        <v>18 inch Aero</v>
      </c>
      <c r="Q723" t="str">
        <f>IFERROR(__xludf.DUMMYFUNCTION("""COMPUTED_VALUE"""),"Black seats")</f>
        <v>Black seats</v>
      </c>
      <c r="R723" t="str">
        <f>IFERROR(__xludf.DUMMYFUNCTION("""COMPUTED_VALUE"""),"Enhanced Autopilot")</f>
        <v>Enhanced Autopilot</v>
      </c>
      <c r="X723" t="str">
        <f>IFERROR(__xludf.DUMMYFUNCTION("""COMPUTED_VALUE"""),"Very Good")</f>
        <v>Very Good</v>
      </c>
      <c r="Y723" t="str">
        <f>IFERROR(__xludf.DUMMYFUNCTION("""COMPUTED_VALUE"""),"Very Good")</f>
        <v>Very Good</v>
      </c>
      <c r="Z723" t="str">
        <f>IFERROR(__xludf.DUMMYFUNCTION("""COMPUTED_VALUE"""),"Very Good")</f>
        <v>Very Good</v>
      </c>
      <c r="AA723" t="str">
        <f>IFERROR(__xludf.DUMMYFUNCTION("""COMPUTED_VALUE"""),"Fair")</f>
        <v>Fair</v>
      </c>
      <c r="AB723" t="str">
        <f>IFERROR(__xludf.DUMMYFUNCTION("""COMPUTED_VALUE"""),"Good")</f>
        <v>Good</v>
      </c>
      <c r="AH723" s="189">
        <f>IFERROR(__xludf.DUMMYFUNCTION("""COMPUTED_VALUE"""),43358.94820363426)</f>
        <v>43358.9482</v>
      </c>
    </row>
    <row r="724">
      <c r="A724" t="str">
        <f>IFERROR(__xludf.DUMMYFUNCTION("""COMPUTED_VALUE"""),"Little1er")</f>
        <v>Little1er</v>
      </c>
      <c r="B724" t="str">
        <f>IFERROR(__xludf.DUMMYFUNCTION("""COMPUTED_VALUE"""),"SF Bay Area")</f>
        <v>SF Bay Area</v>
      </c>
      <c r="C724" t="str">
        <f>IFERROR(__xludf.DUMMYFUNCTION("""COMPUTED_VALUE"""),"CA")</f>
        <v>CA</v>
      </c>
      <c r="D724" t="str">
        <f>IFERROR(__xludf.DUMMYFUNCTION("""COMPUTED_VALUE"""),"USA")</f>
        <v>USA</v>
      </c>
      <c r="E724" s="188">
        <f>IFERROR(__xludf.DUMMYFUNCTION("""COMPUTED_VALUE"""),43282.0)</f>
        <v>43282</v>
      </c>
      <c r="F724" s="188">
        <f>IFERROR(__xludf.DUMMYFUNCTION("""COMPUTED_VALUE"""),43350.0)</f>
        <v>43350</v>
      </c>
      <c r="H724">
        <f>IFERROR(__xludf.DUMMYFUNCTION("""COMPUTED_VALUE"""),72764.0)</f>
        <v>72764</v>
      </c>
      <c r="J724" s="5">
        <f>IFERROR(__xludf.DUMMYFUNCTION("""COMPUTED_VALUE"""),43358.0)</f>
        <v>43358</v>
      </c>
      <c r="K724">
        <f>IFERROR(__xludf.DUMMYFUNCTION("""COMPUTED_VALUE"""),68.0)</f>
        <v>68</v>
      </c>
      <c r="L724">
        <f>IFERROR(__xludf.DUMMYFUNCTION("""COMPUTED_VALUE"""),8.0)</f>
        <v>8</v>
      </c>
      <c r="M724">
        <f>IFERROR(__xludf.DUMMYFUNCTION("""COMPUTED_VALUE"""),76.0)</f>
        <v>76</v>
      </c>
      <c r="N724" t="str">
        <f>IFERROR(__xludf.DUMMYFUNCTION("""COMPUTED_VALUE"""),"Model 3 Performance")</f>
        <v>Model 3 Performance</v>
      </c>
      <c r="O724" t="str">
        <f>IFERROR(__xludf.DUMMYFUNCTION("""COMPUTED_VALUE"""),"Pearl White Multi-Coat")</f>
        <v>Pearl White Multi-Coat</v>
      </c>
      <c r="P724" t="str">
        <f>IFERROR(__xludf.DUMMYFUNCTION("""COMPUTED_VALUE"""),"20 inch Sport")</f>
        <v>20 inch Sport</v>
      </c>
      <c r="Q724" t="str">
        <f>IFERROR(__xludf.DUMMYFUNCTION("""COMPUTED_VALUE"""),"Black seats")</f>
        <v>Black seats</v>
      </c>
      <c r="R724" t="str">
        <f>IFERROR(__xludf.DUMMYFUNCTION("""COMPUTED_VALUE"""),"Full Self-Driving")</f>
        <v>Full Self-Driving</v>
      </c>
      <c r="X724" t="str">
        <f>IFERROR(__xludf.DUMMYFUNCTION("""COMPUTED_VALUE"""),"Fair")</f>
        <v>Fair</v>
      </c>
      <c r="Y724" t="str">
        <f>IFERROR(__xludf.DUMMYFUNCTION("""COMPUTED_VALUE"""),"Poor")</f>
        <v>Poor</v>
      </c>
      <c r="Z724" t="str">
        <f>IFERROR(__xludf.DUMMYFUNCTION("""COMPUTED_VALUE"""),"Poor")</f>
        <v>Poor</v>
      </c>
      <c r="AA724" t="str">
        <f>IFERROR(__xludf.DUMMYFUNCTION("""COMPUTED_VALUE"""),"Fair")</f>
        <v>Fair</v>
      </c>
      <c r="AB724" t="str">
        <f>IFERROR(__xludf.DUMMYFUNCTION("""COMPUTED_VALUE"""),"Good")</f>
        <v>Good</v>
      </c>
      <c r="AC724">
        <f>IFERROR(__xludf.DUMMYFUNCTION("""COMPUTED_VALUE"""),10.0)</f>
        <v>10</v>
      </c>
      <c r="AH724" s="189">
        <f>IFERROR(__xludf.DUMMYFUNCTION("""COMPUTED_VALUE"""),43359.031221446756)</f>
        <v>43359.03122</v>
      </c>
    </row>
    <row r="725">
      <c r="A725" t="str">
        <f>IFERROR(__xludf.DUMMYFUNCTION("""COMPUTED_VALUE"""),"pmppk")</f>
        <v>pmppk</v>
      </c>
      <c r="B725" t="str">
        <f>IFERROR(__xludf.DUMMYFUNCTION("""COMPUTED_VALUE"""),"Oakland")</f>
        <v>Oakland</v>
      </c>
      <c r="C725" t="str">
        <f>IFERROR(__xludf.DUMMYFUNCTION("""COMPUTED_VALUE"""),"CA")</f>
        <v>CA</v>
      </c>
      <c r="D725" t="str">
        <f>IFERROR(__xludf.DUMMYFUNCTION("""COMPUTED_VALUE"""),"USA")</f>
        <v>USA</v>
      </c>
      <c r="E725" s="188">
        <f>IFERROR(__xludf.DUMMYFUNCTION("""COMPUTED_VALUE"""),43327.0)</f>
        <v>43327</v>
      </c>
      <c r="F725" s="188">
        <f>IFERROR(__xludf.DUMMYFUNCTION("""COMPUTED_VALUE"""),43353.0)</f>
        <v>43353</v>
      </c>
      <c r="H725">
        <f>IFERROR(__xludf.DUMMYFUNCTION("""COMPUTED_VALUE"""),80655.0)</f>
        <v>80655</v>
      </c>
      <c r="I725" t="str">
        <f>IFERROR(__xludf.DUMMYFUNCTION("""COMPUTED_VALUE"""),"09/18")</f>
        <v>09/18</v>
      </c>
      <c r="J725" s="5">
        <f>IFERROR(__xludf.DUMMYFUNCTION("""COMPUTED_VALUE"""),43358.0)</f>
        <v>43358</v>
      </c>
      <c r="K725">
        <f>IFERROR(__xludf.DUMMYFUNCTION("""COMPUTED_VALUE"""),26.0)</f>
        <v>26</v>
      </c>
      <c r="L725">
        <f>IFERROR(__xludf.DUMMYFUNCTION("""COMPUTED_VALUE"""),5.0)</f>
        <v>5</v>
      </c>
      <c r="M725">
        <f>IFERROR(__xludf.DUMMYFUNCTION("""COMPUTED_VALUE"""),31.0)</f>
        <v>31</v>
      </c>
      <c r="N725" t="str">
        <f>IFERROR(__xludf.DUMMYFUNCTION("""COMPUTED_VALUE"""),"Model 3 Performance")</f>
        <v>Model 3 Performance</v>
      </c>
      <c r="O725" t="str">
        <f>IFERROR(__xludf.DUMMYFUNCTION("""COMPUTED_VALUE"""),"Deep Blue Metallic")</f>
        <v>Deep Blue Metallic</v>
      </c>
      <c r="P725" t="str">
        <f>IFERROR(__xludf.DUMMYFUNCTION("""COMPUTED_VALUE"""),"20 inch Sport")</f>
        <v>20 inch Sport</v>
      </c>
      <c r="Q725" t="str">
        <f>IFERROR(__xludf.DUMMYFUNCTION("""COMPUTED_VALUE"""),"White seats")</f>
        <v>White seats</v>
      </c>
      <c r="R725" t="str">
        <f>IFERROR(__xludf.DUMMYFUNCTION("""COMPUTED_VALUE"""),"Full Self-Driving")</f>
        <v>Full Self-Driving</v>
      </c>
      <c r="X725" t="str">
        <f>IFERROR(__xludf.DUMMYFUNCTION("""COMPUTED_VALUE"""),"Very Good")</f>
        <v>Very Good</v>
      </c>
      <c r="Y725" t="str">
        <f>IFERROR(__xludf.DUMMYFUNCTION("""COMPUTED_VALUE"""),"Excellent")</f>
        <v>Excellent</v>
      </c>
      <c r="Z725" t="str">
        <f>IFERROR(__xludf.DUMMYFUNCTION("""COMPUTED_VALUE"""),"Very Good")</f>
        <v>Very Good</v>
      </c>
      <c r="AA725" t="str">
        <f>IFERROR(__xludf.DUMMYFUNCTION("""COMPUTED_VALUE"""),"Good")</f>
        <v>Good</v>
      </c>
      <c r="AB725" t="str">
        <f>IFERROR(__xludf.DUMMYFUNCTION("""COMPUTED_VALUE"""),"Very Good")</f>
        <v>Very Good</v>
      </c>
      <c r="AC725">
        <f>IFERROR(__xludf.DUMMYFUNCTION("""COMPUTED_VALUE"""),2.0)</f>
        <v>2</v>
      </c>
      <c r="AH725" s="189">
        <f>IFERROR(__xludf.DUMMYFUNCTION("""COMPUTED_VALUE"""),43359.08794439815)</f>
        <v>43359.08794</v>
      </c>
    </row>
    <row r="726">
      <c r="A726" t="str">
        <f>IFERROR(__xludf.DUMMYFUNCTION("""COMPUTED_VALUE"""),"Leisurelee")</f>
        <v>Leisurelee</v>
      </c>
      <c r="B726" t="str">
        <f>IFERROR(__xludf.DUMMYFUNCTION("""COMPUTED_VALUE"""),"San Diego")</f>
        <v>San Diego</v>
      </c>
      <c r="C726" t="str">
        <f>IFERROR(__xludf.DUMMYFUNCTION("""COMPUTED_VALUE"""),"CA")</f>
        <v>CA</v>
      </c>
      <c r="D726" t="str">
        <f>IFERROR(__xludf.DUMMYFUNCTION("""COMPUTED_VALUE"""),"USA")</f>
        <v>USA</v>
      </c>
      <c r="E726" s="188">
        <f>IFERROR(__xludf.DUMMYFUNCTION("""COMPUTED_VALUE"""),43305.0)</f>
        <v>43305</v>
      </c>
      <c r="F726" s="188">
        <f>IFERROR(__xludf.DUMMYFUNCTION("""COMPUTED_VALUE"""),43339.0)</f>
        <v>43339</v>
      </c>
      <c r="H726">
        <f>IFERROR(__xludf.DUMMYFUNCTION("""COMPUTED_VALUE"""),99177.0)</f>
        <v>99177</v>
      </c>
      <c r="I726" t="str">
        <f>IFERROR(__xludf.DUMMYFUNCTION("""COMPUTED_VALUE"""),"08/18")</f>
        <v>08/18</v>
      </c>
      <c r="J726" s="5">
        <f>IFERROR(__xludf.DUMMYFUNCTION("""COMPUTED_VALUE"""),43349.0)</f>
        <v>43349</v>
      </c>
      <c r="K726">
        <f>IFERROR(__xludf.DUMMYFUNCTION("""COMPUTED_VALUE"""),34.0)</f>
        <v>34</v>
      </c>
      <c r="L726">
        <f>IFERROR(__xludf.DUMMYFUNCTION("""COMPUTED_VALUE"""),10.0)</f>
        <v>10</v>
      </c>
      <c r="M726">
        <f>IFERROR(__xludf.DUMMYFUNCTION("""COMPUTED_VALUE"""),44.0)</f>
        <v>44</v>
      </c>
      <c r="N726" t="str">
        <f>IFERROR(__xludf.DUMMYFUNCTION("""COMPUTED_VALUE"""),"Model 3 LR AWD")</f>
        <v>Model 3 LR AWD</v>
      </c>
      <c r="O726" t="str">
        <f>IFERROR(__xludf.DUMMYFUNCTION("""COMPUTED_VALUE"""),"Solid Black")</f>
        <v>Solid Black</v>
      </c>
      <c r="P726" t="str">
        <f>IFERROR(__xludf.DUMMYFUNCTION("""COMPUTED_VALUE"""),"18 inch Aero")</f>
        <v>18 inch Aero</v>
      </c>
      <c r="Q726" t="str">
        <f>IFERROR(__xludf.DUMMYFUNCTION("""COMPUTED_VALUE"""),"White seats")</f>
        <v>White seats</v>
      </c>
      <c r="R726" t="str">
        <f>IFERROR(__xludf.DUMMYFUNCTION("""COMPUTED_VALUE"""),"Enhanced Autopilot")</f>
        <v>Enhanced Autopilot</v>
      </c>
      <c r="X726" t="str">
        <f>IFERROR(__xludf.DUMMYFUNCTION("""COMPUTED_VALUE"""),"Excellent")</f>
        <v>Excellent</v>
      </c>
      <c r="Y726" t="str">
        <f>IFERROR(__xludf.DUMMYFUNCTION("""COMPUTED_VALUE"""),"Excellent")</f>
        <v>Excellent</v>
      </c>
      <c r="Z726" t="str">
        <f>IFERROR(__xludf.DUMMYFUNCTION("""COMPUTED_VALUE"""),"Very Good")</f>
        <v>Very Good</v>
      </c>
      <c r="AA726" t="str">
        <f>IFERROR(__xludf.DUMMYFUNCTION("""COMPUTED_VALUE"""),"Excellent")</f>
        <v>Excellent</v>
      </c>
      <c r="AB726" t="str">
        <f>IFERROR(__xludf.DUMMYFUNCTION("""COMPUTED_VALUE"""),"Excellent")</f>
        <v>Excellent</v>
      </c>
      <c r="AC726">
        <f>IFERROR(__xludf.DUMMYFUNCTION("""COMPUTED_VALUE"""),0.0)</f>
        <v>0</v>
      </c>
      <c r="AD726">
        <f>IFERROR(__xludf.DUMMYFUNCTION("""COMPUTED_VALUE"""),0.0)</f>
        <v>0</v>
      </c>
      <c r="AE726">
        <f>IFERROR(__xludf.DUMMYFUNCTION("""COMPUTED_VALUE"""),0.0)</f>
        <v>0</v>
      </c>
      <c r="AH726" s="189">
        <f>IFERROR(__xludf.DUMMYFUNCTION("""COMPUTED_VALUE"""),43359.1807275)</f>
        <v>43359.18073</v>
      </c>
    </row>
    <row r="727">
      <c r="A727" t="str">
        <f>IFERROR(__xludf.DUMMYFUNCTION("""COMPUTED_VALUE"""),"Jesse")</f>
        <v>Jesse</v>
      </c>
      <c r="B727" t="str">
        <f>IFERROR(__xludf.DUMMYFUNCTION("""COMPUTED_VALUE"""),"Saratoga Springs")</f>
        <v>Saratoga Springs</v>
      </c>
      <c r="C727" t="str">
        <f>IFERROR(__xludf.DUMMYFUNCTION("""COMPUTED_VALUE"""),"UT")</f>
        <v>UT</v>
      </c>
      <c r="D727" t="str">
        <f>IFERROR(__xludf.DUMMYFUNCTION("""COMPUTED_VALUE"""),"USA")</f>
        <v>USA</v>
      </c>
      <c r="E727" s="188">
        <f>IFERROR(__xludf.DUMMYFUNCTION("""COMPUTED_VALUE"""),43279.0)</f>
        <v>43279</v>
      </c>
      <c r="F727" s="188">
        <f>IFERROR(__xludf.DUMMYFUNCTION("""COMPUTED_VALUE"""),43351.0)</f>
        <v>43351</v>
      </c>
      <c r="H727">
        <f>IFERROR(__xludf.DUMMYFUNCTION("""COMPUTED_VALUE"""),82972.0)</f>
        <v>82972</v>
      </c>
      <c r="I727" t="str">
        <f>IFERROR(__xludf.DUMMYFUNCTION("""COMPUTED_VALUE"""),"09/18")</f>
        <v>09/18</v>
      </c>
      <c r="J727" s="5">
        <f>IFERROR(__xludf.DUMMYFUNCTION("""COMPUTED_VALUE"""),43358.0)</f>
        <v>43358</v>
      </c>
      <c r="K727">
        <f>IFERROR(__xludf.DUMMYFUNCTION("""COMPUTED_VALUE"""),72.0)</f>
        <v>72</v>
      </c>
      <c r="L727">
        <f>IFERROR(__xludf.DUMMYFUNCTION("""COMPUTED_VALUE"""),7.0)</f>
        <v>7</v>
      </c>
      <c r="M727">
        <f>IFERROR(__xludf.DUMMYFUNCTION("""COMPUTED_VALUE"""),79.0)</f>
        <v>79</v>
      </c>
      <c r="N727" t="str">
        <f>IFERROR(__xludf.DUMMYFUNCTION("""COMPUTED_VALUE"""),"Model 3 Performance")</f>
        <v>Model 3 Performance</v>
      </c>
      <c r="O727" t="str">
        <f>IFERROR(__xludf.DUMMYFUNCTION("""COMPUTED_VALUE"""),"Midnight Silver Metallic")</f>
        <v>Midnight Silver Metallic</v>
      </c>
      <c r="P727" t="str">
        <f>IFERROR(__xludf.DUMMYFUNCTION("""COMPUTED_VALUE"""),"20 inch Sport")</f>
        <v>20 inch Sport</v>
      </c>
      <c r="Q727" t="str">
        <f>IFERROR(__xludf.DUMMYFUNCTION("""COMPUTED_VALUE"""),"Black seats")</f>
        <v>Black seats</v>
      </c>
      <c r="R727" t="str">
        <f>IFERROR(__xludf.DUMMYFUNCTION("""COMPUTED_VALUE"""),"Full Self-Driving")</f>
        <v>Full Self-Driving</v>
      </c>
      <c r="X727" t="str">
        <f>IFERROR(__xludf.DUMMYFUNCTION("""COMPUTED_VALUE"""),"Excellent")</f>
        <v>Excellent</v>
      </c>
      <c r="Y727" t="str">
        <f>IFERROR(__xludf.DUMMYFUNCTION("""COMPUTED_VALUE"""),"Excellent")</f>
        <v>Excellent</v>
      </c>
      <c r="Z727" t="str">
        <f>IFERROR(__xludf.DUMMYFUNCTION("""COMPUTED_VALUE"""),"Excellent")</f>
        <v>Excellent</v>
      </c>
      <c r="AA727" t="str">
        <f>IFERROR(__xludf.DUMMYFUNCTION("""COMPUTED_VALUE"""),"Excellent")</f>
        <v>Excellent</v>
      </c>
      <c r="AB727" t="str">
        <f>IFERROR(__xludf.DUMMYFUNCTION("""COMPUTED_VALUE"""),"Excellent")</f>
        <v>Excellent</v>
      </c>
      <c r="AG727" t="str">
        <f>IFERROR(__xludf.DUMMYFUNCTION("""COMPUTED_VALUE"""),"Received VIN and delviery date on the same day")</f>
        <v>Received VIN and delviery date on the same day</v>
      </c>
      <c r="AH727" s="189">
        <f>IFERROR(__xludf.DUMMYFUNCTION("""COMPUTED_VALUE"""),43359.359282233796)</f>
        <v>43359.35928</v>
      </c>
    </row>
    <row r="728">
      <c r="A728" t="str">
        <f>IFERROR(__xludf.DUMMYFUNCTION("""COMPUTED_VALUE"""),"QS")</f>
        <v>QS</v>
      </c>
      <c r="B728" t="str">
        <f>IFERROR(__xludf.DUMMYFUNCTION("""COMPUTED_VALUE"""),"San Francisco")</f>
        <v>San Francisco</v>
      </c>
      <c r="C728" t="str">
        <f>IFERROR(__xludf.DUMMYFUNCTION("""COMPUTED_VALUE"""),"CA")</f>
        <v>CA</v>
      </c>
      <c r="D728" t="str">
        <f>IFERROR(__xludf.DUMMYFUNCTION("""COMPUTED_VALUE"""),"USA")</f>
        <v>USA</v>
      </c>
      <c r="E728" s="188">
        <f>IFERROR(__xludf.DUMMYFUNCTION("""COMPUTED_VALUE"""),43331.0)</f>
        <v>43331</v>
      </c>
      <c r="F728" s="188">
        <f>IFERROR(__xludf.DUMMYFUNCTION("""COMPUTED_VALUE"""),43356.0)</f>
        <v>43356</v>
      </c>
      <c r="H728">
        <f>IFERROR(__xludf.DUMMYFUNCTION("""COMPUTED_VALUE"""),84335.0)</f>
        <v>84335</v>
      </c>
      <c r="I728" t="str">
        <f>IFERROR(__xludf.DUMMYFUNCTION("""COMPUTED_VALUE"""),"09/18")</f>
        <v>09/18</v>
      </c>
      <c r="J728" s="5">
        <f>IFERROR(__xludf.DUMMYFUNCTION("""COMPUTED_VALUE"""),43358.0)</f>
        <v>43358</v>
      </c>
      <c r="K728">
        <f>IFERROR(__xludf.DUMMYFUNCTION("""COMPUTED_VALUE"""),25.0)</f>
        <v>25</v>
      </c>
      <c r="L728">
        <f>IFERROR(__xludf.DUMMYFUNCTION("""COMPUTED_VALUE"""),2.0)</f>
        <v>2</v>
      </c>
      <c r="M728">
        <f>IFERROR(__xludf.DUMMYFUNCTION("""COMPUTED_VALUE"""),27.0)</f>
        <v>27</v>
      </c>
      <c r="N728" t="str">
        <f>IFERROR(__xludf.DUMMYFUNCTION("""COMPUTED_VALUE"""),"Model 3 Performance")</f>
        <v>Model 3 Performance</v>
      </c>
      <c r="O728" t="str">
        <f>IFERROR(__xludf.DUMMYFUNCTION("""COMPUTED_VALUE"""),"Pearl White Multi-Coat")</f>
        <v>Pearl White Multi-Coat</v>
      </c>
      <c r="P728" t="str">
        <f>IFERROR(__xludf.DUMMYFUNCTION("""COMPUTED_VALUE"""),"20 inch Sport")</f>
        <v>20 inch Sport</v>
      </c>
      <c r="Q728" t="str">
        <f>IFERROR(__xludf.DUMMYFUNCTION("""COMPUTED_VALUE"""),"Black seats")</f>
        <v>Black seats</v>
      </c>
      <c r="R728" t="str">
        <f>IFERROR(__xludf.DUMMYFUNCTION("""COMPUTED_VALUE"""),"Enhanced Autopilot")</f>
        <v>Enhanced Autopilot</v>
      </c>
      <c r="X728" t="str">
        <f>IFERROR(__xludf.DUMMYFUNCTION("""COMPUTED_VALUE"""),"Fair")</f>
        <v>Fair</v>
      </c>
      <c r="Y728" t="str">
        <f>IFERROR(__xludf.DUMMYFUNCTION("""COMPUTED_VALUE"""),"Very Good")</f>
        <v>Very Good</v>
      </c>
      <c r="Z728" t="str">
        <f>IFERROR(__xludf.DUMMYFUNCTION("""COMPUTED_VALUE"""),"Very Good")</f>
        <v>Very Good</v>
      </c>
      <c r="AA728" t="str">
        <f>IFERROR(__xludf.DUMMYFUNCTION("""COMPUTED_VALUE"""),"Excellent")</f>
        <v>Excellent</v>
      </c>
      <c r="AB728" t="str">
        <f>IFERROR(__xludf.DUMMYFUNCTION("""COMPUTED_VALUE"""),"Excellent")</f>
        <v>Excellent</v>
      </c>
      <c r="AH728" s="189">
        <f>IFERROR(__xludf.DUMMYFUNCTION("""COMPUTED_VALUE"""),43359.51086892361)</f>
        <v>43359.51087</v>
      </c>
    </row>
    <row r="729">
      <c r="A729" t="str">
        <f>IFERROR(__xludf.DUMMYFUNCTION("""COMPUTED_VALUE"""),"eppyphotog")</f>
        <v>eppyphotog</v>
      </c>
      <c r="B729" t="str">
        <f>IFERROR(__xludf.DUMMYFUNCTION("""COMPUTED_VALUE"""),"Phoenix")</f>
        <v>Phoenix</v>
      </c>
      <c r="C729" t="str">
        <f>IFERROR(__xludf.DUMMYFUNCTION("""COMPUTED_VALUE"""),"AZ")</f>
        <v>AZ</v>
      </c>
      <c r="D729" t="str">
        <f>IFERROR(__xludf.DUMMYFUNCTION("""COMPUTED_VALUE"""),"USA")</f>
        <v>USA</v>
      </c>
      <c r="E729" s="188">
        <f>IFERROR(__xludf.DUMMYFUNCTION("""COMPUTED_VALUE"""),43281.0)</f>
        <v>43281</v>
      </c>
      <c r="F729" s="188">
        <f>IFERROR(__xludf.DUMMYFUNCTION("""COMPUTED_VALUE"""),43304.0)</f>
        <v>43304</v>
      </c>
      <c r="H729">
        <f>IFERROR(__xludf.DUMMYFUNCTION("""COMPUTED_VALUE"""),40055.0)</f>
        <v>40055</v>
      </c>
      <c r="I729" t="str">
        <f>IFERROR(__xludf.DUMMYFUNCTION("""COMPUTED_VALUE"""),"07/18")</f>
        <v>07/18</v>
      </c>
      <c r="J729" s="5">
        <f>IFERROR(__xludf.DUMMYFUNCTION("""COMPUTED_VALUE"""),43312.0)</f>
        <v>43312</v>
      </c>
      <c r="K729">
        <f>IFERROR(__xludf.DUMMYFUNCTION("""COMPUTED_VALUE"""),23.0)</f>
        <v>23</v>
      </c>
      <c r="L729">
        <f>IFERROR(__xludf.DUMMYFUNCTION("""COMPUTED_VALUE"""),8.0)</f>
        <v>8</v>
      </c>
      <c r="M729">
        <f>IFERROR(__xludf.DUMMYFUNCTION("""COMPUTED_VALUE"""),31.0)</f>
        <v>31</v>
      </c>
      <c r="N729" t="str">
        <f>IFERROR(__xludf.DUMMYFUNCTION("""COMPUTED_VALUE"""),"Model 3 LR")</f>
        <v>Model 3 LR</v>
      </c>
      <c r="O729" t="str">
        <f>IFERROR(__xludf.DUMMYFUNCTION("""COMPUTED_VALUE"""),"Midnight Silver Metallic")</f>
        <v>Midnight Silver Metallic</v>
      </c>
      <c r="P729" t="str">
        <f>IFERROR(__xludf.DUMMYFUNCTION("""COMPUTED_VALUE"""),"18 inch Aero")</f>
        <v>18 inch Aero</v>
      </c>
      <c r="Q729" t="str">
        <f>IFERROR(__xludf.DUMMYFUNCTION("""COMPUTED_VALUE"""),"Black seats")</f>
        <v>Black seats</v>
      </c>
      <c r="R729" t="str">
        <f>IFERROR(__xludf.DUMMYFUNCTION("""COMPUTED_VALUE"""),"None")</f>
        <v>None</v>
      </c>
      <c r="X729" t="str">
        <f>IFERROR(__xludf.DUMMYFUNCTION("""COMPUTED_VALUE"""),"Excellent")</f>
        <v>Excellent</v>
      </c>
      <c r="Y729" t="str">
        <f>IFERROR(__xludf.DUMMYFUNCTION("""COMPUTED_VALUE"""),"Excellent")</f>
        <v>Excellent</v>
      </c>
      <c r="Z729" t="str">
        <f>IFERROR(__xludf.DUMMYFUNCTION("""COMPUTED_VALUE"""),"Excellent")</f>
        <v>Excellent</v>
      </c>
      <c r="AA729" t="str">
        <f>IFERROR(__xludf.DUMMYFUNCTION("""COMPUTED_VALUE"""),"Very Good")</f>
        <v>Very Good</v>
      </c>
      <c r="AB729" t="str">
        <f>IFERROR(__xludf.DUMMYFUNCTION("""COMPUTED_VALUE"""),"Good")</f>
        <v>Good</v>
      </c>
      <c r="AC729">
        <f>IFERROR(__xludf.DUMMYFUNCTION("""COMPUTED_VALUE"""),0.0)</f>
        <v>0</v>
      </c>
      <c r="AD729">
        <f>IFERROR(__xludf.DUMMYFUNCTION("""COMPUTED_VALUE"""),0.0)</f>
        <v>0</v>
      </c>
      <c r="AE729">
        <f>IFERROR(__xludf.DUMMYFUNCTION("""COMPUTED_VALUE"""),0.0)</f>
        <v>0</v>
      </c>
      <c r="AG729" t="str">
        <f>IFERROR(__xludf.DUMMYFUNCTION("""COMPUTED_VALUE"""),"Most amazing car I have ever owned")</f>
        <v>Most amazing car I have ever owned</v>
      </c>
      <c r="AH729" s="189">
        <f>IFERROR(__xludf.DUMMYFUNCTION("""COMPUTED_VALUE"""),43359.78736174769)</f>
        <v>43359.78736</v>
      </c>
    </row>
    <row r="730">
      <c r="A730" t="str">
        <f>IFERROR(__xludf.DUMMYFUNCTION("""COMPUTED_VALUE"""),"mayhem")</f>
        <v>mayhem</v>
      </c>
      <c r="B730" t="str">
        <f>IFERROR(__xludf.DUMMYFUNCTION("""COMPUTED_VALUE"""),"United states")</f>
        <v>United states</v>
      </c>
      <c r="C730" t="str">
        <f>IFERROR(__xludf.DUMMYFUNCTION("""COMPUTED_VALUE"""),"TN")</f>
        <v>TN</v>
      </c>
      <c r="D730" t="str">
        <f>IFERROR(__xludf.DUMMYFUNCTION("""COMPUTED_VALUE"""),"USA")</f>
        <v>USA</v>
      </c>
      <c r="E730" s="188">
        <f>IFERROR(__xludf.DUMMYFUNCTION("""COMPUTED_VALUE"""),43278.0)</f>
        <v>43278</v>
      </c>
      <c r="F730" s="188">
        <f>IFERROR(__xludf.DUMMYFUNCTION("""COMPUTED_VALUE"""),43347.0)</f>
        <v>43347</v>
      </c>
      <c r="H730">
        <f>IFERROR(__xludf.DUMMYFUNCTION("""COMPUTED_VALUE"""),63255.0)</f>
        <v>63255</v>
      </c>
      <c r="I730" t="str">
        <f>IFERROR(__xludf.DUMMYFUNCTION("""COMPUTED_VALUE"""),"08/18")</f>
        <v>08/18</v>
      </c>
      <c r="J730" s="5">
        <f>IFERROR(__xludf.DUMMYFUNCTION("""COMPUTED_VALUE"""),43359.0)</f>
        <v>43359</v>
      </c>
      <c r="K730">
        <f>IFERROR(__xludf.DUMMYFUNCTION("""COMPUTED_VALUE"""),69.0)</f>
        <v>69</v>
      </c>
      <c r="L730">
        <f>IFERROR(__xludf.DUMMYFUNCTION("""COMPUTED_VALUE"""),12.0)</f>
        <v>12</v>
      </c>
      <c r="M730">
        <f>IFERROR(__xludf.DUMMYFUNCTION("""COMPUTED_VALUE"""),81.0)</f>
        <v>81</v>
      </c>
      <c r="N730" t="str">
        <f>IFERROR(__xludf.DUMMYFUNCTION("""COMPUTED_VALUE"""),"Model 3 Performance")</f>
        <v>Model 3 Performance</v>
      </c>
      <c r="O730" t="str">
        <f>IFERROR(__xludf.DUMMYFUNCTION("""COMPUTED_VALUE"""),"Red Multi-Coat")</f>
        <v>Red Multi-Coat</v>
      </c>
      <c r="P730" t="str">
        <f>IFERROR(__xludf.DUMMYFUNCTION("""COMPUTED_VALUE"""),"20 inch Sport")</f>
        <v>20 inch Sport</v>
      </c>
      <c r="Q730" t="str">
        <f>IFERROR(__xludf.DUMMYFUNCTION("""COMPUTED_VALUE"""),"Black seats")</f>
        <v>Black seats</v>
      </c>
      <c r="R730" t="str">
        <f>IFERROR(__xludf.DUMMYFUNCTION("""COMPUTED_VALUE"""),"Full Self-Driving")</f>
        <v>Full Self-Driving</v>
      </c>
      <c r="X730" t="str">
        <f>IFERROR(__xludf.DUMMYFUNCTION("""COMPUTED_VALUE"""),"Excellent")</f>
        <v>Excellent</v>
      </c>
      <c r="Y730" t="str">
        <f>IFERROR(__xludf.DUMMYFUNCTION("""COMPUTED_VALUE"""),"Excellent")</f>
        <v>Excellent</v>
      </c>
      <c r="Z730" t="str">
        <f>IFERROR(__xludf.DUMMYFUNCTION("""COMPUTED_VALUE"""),"Fair")</f>
        <v>Fair</v>
      </c>
      <c r="AA730" t="str">
        <f>IFERROR(__xludf.DUMMYFUNCTION("""COMPUTED_VALUE"""),"Good")</f>
        <v>Good</v>
      </c>
      <c r="AB730" t="str">
        <f>IFERROR(__xludf.DUMMYFUNCTION("""COMPUTED_VALUE"""),"Good")</f>
        <v>Good</v>
      </c>
      <c r="AC730">
        <f>IFERROR(__xludf.DUMMYFUNCTION("""COMPUTED_VALUE"""),3.0)</f>
        <v>3</v>
      </c>
      <c r="AH730" s="189">
        <f>IFERROR(__xludf.DUMMYFUNCTION("""COMPUTED_VALUE"""),43359.80231557871)</f>
        <v>43359.80232</v>
      </c>
    </row>
    <row r="731">
      <c r="A731" t="str">
        <f>IFERROR(__xludf.DUMMYFUNCTION("""COMPUTED_VALUE"""),"kryond")</f>
        <v>kryond</v>
      </c>
      <c r="C731" t="str">
        <f>IFERROR(__xludf.DUMMYFUNCTION("""COMPUTED_VALUE"""),"VA")</f>
        <v>VA</v>
      </c>
      <c r="D731" t="str">
        <f>IFERROR(__xludf.DUMMYFUNCTION("""COMPUTED_VALUE"""),"USA")</f>
        <v>USA</v>
      </c>
      <c r="E731" s="188">
        <f>IFERROR(__xludf.DUMMYFUNCTION("""COMPUTED_VALUE"""),43281.0)</f>
        <v>43281</v>
      </c>
      <c r="F731" s="188">
        <f>IFERROR(__xludf.DUMMYFUNCTION("""COMPUTED_VALUE"""),43330.0)</f>
        <v>43330</v>
      </c>
      <c r="H731">
        <f>IFERROR(__xludf.DUMMYFUNCTION("""COMPUTED_VALUE"""),70253.0)</f>
        <v>70253</v>
      </c>
      <c r="I731" t="str">
        <f>IFERROR(__xludf.DUMMYFUNCTION("""COMPUTED_VALUE"""),"08/18")</f>
        <v>08/18</v>
      </c>
      <c r="J731" s="5">
        <f>IFERROR(__xludf.DUMMYFUNCTION("""COMPUTED_VALUE"""),43337.0)</f>
        <v>43337</v>
      </c>
      <c r="K731">
        <f>IFERROR(__xludf.DUMMYFUNCTION("""COMPUTED_VALUE"""),49.0)</f>
        <v>49</v>
      </c>
      <c r="L731">
        <f>IFERROR(__xludf.DUMMYFUNCTION("""COMPUTED_VALUE"""),7.0)</f>
        <v>7</v>
      </c>
      <c r="M731">
        <f>IFERROR(__xludf.DUMMYFUNCTION("""COMPUTED_VALUE"""),56.0)</f>
        <v>56</v>
      </c>
      <c r="N731" t="str">
        <f>IFERROR(__xludf.DUMMYFUNCTION("""COMPUTED_VALUE"""),"Model 3 LR")</f>
        <v>Model 3 LR</v>
      </c>
      <c r="O731" t="str">
        <f>IFERROR(__xludf.DUMMYFUNCTION("""COMPUTED_VALUE"""),"Obsidian Black Metallic")</f>
        <v>Obsidian Black Metallic</v>
      </c>
      <c r="P731" t="str">
        <f>IFERROR(__xludf.DUMMYFUNCTION("""COMPUTED_VALUE"""),"18 inch Aero")</f>
        <v>18 inch Aero</v>
      </c>
      <c r="Q731" t="str">
        <f>IFERROR(__xludf.DUMMYFUNCTION("""COMPUTED_VALUE"""),"Black seats")</f>
        <v>Black seats</v>
      </c>
      <c r="R731" t="str">
        <f>IFERROR(__xludf.DUMMYFUNCTION("""COMPUTED_VALUE"""),"Enhanced Autopilot")</f>
        <v>Enhanced Autopilot</v>
      </c>
      <c r="X731" t="str">
        <f>IFERROR(__xludf.DUMMYFUNCTION("""COMPUTED_VALUE"""),"Very Good")</f>
        <v>Very Good</v>
      </c>
      <c r="Y731" t="str">
        <f>IFERROR(__xludf.DUMMYFUNCTION("""COMPUTED_VALUE"""),"Excellent")</f>
        <v>Excellent</v>
      </c>
      <c r="Z731" t="str">
        <f>IFERROR(__xludf.DUMMYFUNCTION("""COMPUTED_VALUE"""),"Excellent")</f>
        <v>Excellent</v>
      </c>
      <c r="AA731" t="str">
        <f>IFERROR(__xludf.DUMMYFUNCTION("""COMPUTED_VALUE"""),"Very Good")</f>
        <v>Very Good</v>
      </c>
      <c r="AB731" t="str">
        <f>IFERROR(__xludf.DUMMYFUNCTION("""COMPUTED_VALUE"""),"Excellent")</f>
        <v>Excellent</v>
      </c>
      <c r="AC731">
        <f>IFERROR(__xludf.DUMMYFUNCTION("""COMPUTED_VALUE"""),0.0)</f>
        <v>0</v>
      </c>
      <c r="AD731">
        <f>IFERROR(__xludf.DUMMYFUNCTION("""COMPUTED_VALUE"""),0.0)</f>
        <v>0</v>
      </c>
      <c r="AE731">
        <f>IFERROR(__xludf.DUMMYFUNCTION("""COMPUTED_VALUE"""),0.0)</f>
        <v>0</v>
      </c>
      <c r="AH731" s="189">
        <f>IFERROR(__xludf.DUMMYFUNCTION("""COMPUTED_VALUE"""),43359.807159965276)</f>
        <v>43359.80716</v>
      </c>
    </row>
    <row r="732">
      <c r="A732" t="str">
        <f>IFERROR(__xludf.DUMMYFUNCTION("""COMPUTED_VALUE"""),"disapr")</f>
        <v>disapr</v>
      </c>
      <c r="B732" t="str">
        <f>IFERROR(__xludf.DUMMYFUNCTION("""COMPUTED_VALUE"""),"Houston")</f>
        <v>Houston</v>
      </c>
      <c r="C732" t="str">
        <f>IFERROR(__xludf.DUMMYFUNCTION("""COMPUTED_VALUE"""),"TX")</f>
        <v>TX</v>
      </c>
      <c r="D732" t="str">
        <f>IFERROR(__xludf.DUMMYFUNCTION("""COMPUTED_VALUE"""),"USA")</f>
        <v>USA</v>
      </c>
      <c r="E732" s="188">
        <f>IFERROR(__xludf.DUMMYFUNCTION("""COMPUTED_VALUE"""),43278.0)</f>
        <v>43278</v>
      </c>
      <c r="F732" s="188">
        <f>IFERROR(__xludf.DUMMYFUNCTION("""COMPUTED_VALUE"""),43333.0)</f>
        <v>43333</v>
      </c>
      <c r="H732">
        <f>IFERROR(__xludf.DUMMYFUNCTION("""COMPUTED_VALUE"""),63355.0)</f>
        <v>63355</v>
      </c>
      <c r="I732" t="str">
        <f>IFERROR(__xludf.DUMMYFUNCTION("""COMPUTED_VALUE"""),"08/18")</f>
        <v>08/18</v>
      </c>
      <c r="J732" s="5">
        <f>IFERROR(__xludf.DUMMYFUNCTION("""COMPUTED_VALUE"""),43358.0)</f>
        <v>43358</v>
      </c>
      <c r="K732">
        <f>IFERROR(__xludf.DUMMYFUNCTION("""COMPUTED_VALUE"""),55.0)</f>
        <v>55</v>
      </c>
      <c r="L732">
        <f>IFERROR(__xludf.DUMMYFUNCTION("""COMPUTED_VALUE"""),25.0)</f>
        <v>25</v>
      </c>
      <c r="M732">
        <f>IFERROR(__xludf.DUMMYFUNCTION("""COMPUTED_VALUE"""),80.0)</f>
        <v>80</v>
      </c>
      <c r="N732" t="str">
        <f>IFERROR(__xludf.DUMMYFUNCTION("""COMPUTED_VALUE"""),"Model 3 Performance")</f>
        <v>Model 3 Performance</v>
      </c>
      <c r="O732" t="str">
        <f>IFERROR(__xludf.DUMMYFUNCTION("""COMPUTED_VALUE"""),"Pearl White Multi-Coat")</f>
        <v>Pearl White Multi-Coat</v>
      </c>
      <c r="P732" t="str">
        <f>IFERROR(__xludf.DUMMYFUNCTION("""COMPUTED_VALUE"""),"20 inch Sport")</f>
        <v>20 inch Sport</v>
      </c>
      <c r="Q732" t="str">
        <f>IFERROR(__xludf.DUMMYFUNCTION("""COMPUTED_VALUE"""),"Black seats")</f>
        <v>Black seats</v>
      </c>
      <c r="R732" t="str">
        <f>IFERROR(__xludf.DUMMYFUNCTION("""COMPUTED_VALUE"""),"Full Self-Driving")</f>
        <v>Full Self-Driving</v>
      </c>
      <c r="X732" t="str">
        <f>IFERROR(__xludf.DUMMYFUNCTION("""COMPUTED_VALUE"""),"Very Good")</f>
        <v>Very Good</v>
      </c>
      <c r="Y732" t="str">
        <f>IFERROR(__xludf.DUMMYFUNCTION("""COMPUTED_VALUE"""),"Excellent")</f>
        <v>Excellent</v>
      </c>
      <c r="Z732" t="str">
        <f>IFERROR(__xludf.DUMMYFUNCTION("""COMPUTED_VALUE"""),"Very Good")</f>
        <v>Very Good</v>
      </c>
      <c r="AA732" t="str">
        <f>IFERROR(__xludf.DUMMYFUNCTION("""COMPUTED_VALUE"""),"Poor")</f>
        <v>Poor</v>
      </c>
      <c r="AB732" t="str">
        <f>IFERROR(__xludf.DUMMYFUNCTION("""COMPUTED_VALUE"""),"Very Good")</f>
        <v>Very Good</v>
      </c>
      <c r="AH732" s="189">
        <f>IFERROR(__xludf.DUMMYFUNCTION("""COMPUTED_VALUE"""),43360.28261902778)</f>
        <v>43360.28262</v>
      </c>
    </row>
    <row r="733">
      <c r="A733" t="str">
        <f>IFERROR(__xludf.DUMMYFUNCTION("""COMPUTED_VALUE"""),"thgood")</f>
        <v>thgood</v>
      </c>
      <c r="B733" t="str">
        <f>IFERROR(__xludf.DUMMYFUNCTION("""COMPUTED_VALUE"""),"Minneapolis")</f>
        <v>Minneapolis</v>
      </c>
      <c r="C733" t="str">
        <f>IFERROR(__xludf.DUMMYFUNCTION("""COMPUTED_VALUE"""),"MN")</f>
        <v>MN</v>
      </c>
      <c r="D733" t="str">
        <f>IFERROR(__xludf.DUMMYFUNCTION("""COMPUTED_VALUE"""),"USA")</f>
        <v>USA</v>
      </c>
      <c r="E733" s="188">
        <f>IFERROR(__xludf.DUMMYFUNCTION("""COMPUTED_VALUE"""),43278.0)</f>
        <v>43278</v>
      </c>
      <c r="F733" s="188">
        <f>IFERROR(__xludf.DUMMYFUNCTION("""COMPUTED_VALUE"""),43349.0)</f>
        <v>43349</v>
      </c>
      <c r="H733">
        <f>IFERROR(__xludf.DUMMYFUNCTION("""COMPUTED_VALUE"""),67155.0)</f>
        <v>67155</v>
      </c>
      <c r="I733" t="str">
        <f>IFERROR(__xludf.DUMMYFUNCTION("""COMPUTED_VALUE"""),"08/18")</f>
        <v>08/18</v>
      </c>
      <c r="J733" s="5">
        <f>IFERROR(__xludf.DUMMYFUNCTION("""COMPUTED_VALUE"""),43357.0)</f>
        <v>43357</v>
      </c>
      <c r="K733">
        <f>IFERROR(__xludf.DUMMYFUNCTION("""COMPUTED_VALUE"""),71.0)</f>
        <v>71</v>
      </c>
      <c r="L733">
        <f>IFERROR(__xludf.DUMMYFUNCTION("""COMPUTED_VALUE"""),8.0)</f>
        <v>8</v>
      </c>
      <c r="M733">
        <f>IFERROR(__xludf.DUMMYFUNCTION("""COMPUTED_VALUE"""),79.0)</f>
        <v>79</v>
      </c>
      <c r="N733" t="str">
        <f>IFERROR(__xludf.DUMMYFUNCTION("""COMPUTED_VALUE"""),"Model 3 LR AWD")</f>
        <v>Model 3 LR AWD</v>
      </c>
      <c r="O733" t="str">
        <f>IFERROR(__xludf.DUMMYFUNCTION("""COMPUTED_VALUE"""),"Pearl White Multi-Coat")</f>
        <v>Pearl White Multi-Coat</v>
      </c>
      <c r="P733" t="str">
        <f>IFERROR(__xludf.DUMMYFUNCTION("""COMPUTED_VALUE"""),"18 inch Aero")</f>
        <v>18 inch Aero</v>
      </c>
      <c r="Q733" t="str">
        <f>IFERROR(__xludf.DUMMYFUNCTION("""COMPUTED_VALUE"""),"Black seats")</f>
        <v>Black seats</v>
      </c>
      <c r="R733" t="str">
        <f>IFERROR(__xludf.DUMMYFUNCTION("""COMPUTED_VALUE"""),"Full Self-Driving")</f>
        <v>Full Self-Driving</v>
      </c>
      <c r="X733" t="str">
        <f>IFERROR(__xludf.DUMMYFUNCTION("""COMPUTED_VALUE"""),"Very Good")</f>
        <v>Very Good</v>
      </c>
      <c r="Y733" t="str">
        <f>IFERROR(__xludf.DUMMYFUNCTION("""COMPUTED_VALUE"""),"Very Good")</f>
        <v>Very Good</v>
      </c>
      <c r="Z733" t="str">
        <f>IFERROR(__xludf.DUMMYFUNCTION("""COMPUTED_VALUE"""),"Excellent")</f>
        <v>Excellent</v>
      </c>
      <c r="AA733" t="str">
        <f>IFERROR(__xludf.DUMMYFUNCTION("""COMPUTED_VALUE"""),"Very Good")</f>
        <v>Very Good</v>
      </c>
      <c r="AB733" t="str">
        <f>IFERROR(__xludf.DUMMYFUNCTION("""COMPUTED_VALUE"""),"Excellent")</f>
        <v>Excellent</v>
      </c>
      <c r="AH733" s="189">
        <f>IFERROR(__xludf.DUMMYFUNCTION("""COMPUTED_VALUE"""),43360.33259439815)</f>
        <v>43360.33259</v>
      </c>
    </row>
    <row r="734">
      <c r="A734" t="str">
        <f>IFERROR(__xludf.DUMMYFUNCTION("""COMPUTED_VALUE"""),"flykansas")</f>
        <v>flykansas</v>
      </c>
      <c r="B734" t="str">
        <f>IFERROR(__xludf.DUMMYFUNCTION("""COMPUTED_VALUE"""),"Lawrence")</f>
        <v>Lawrence</v>
      </c>
      <c r="C734" t="str">
        <f>IFERROR(__xludf.DUMMYFUNCTION("""COMPUTED_VALUE"""),"KS")</f>
        <v>KS</v>
      </c>
      <c r="D734" t="str">
        <f>IFERROR(__xludf.DUMMYFUNCTION("""COMPUTED_VALUE"""),"USA")</f>
        <v>USA</v>
      </c>
      <c r="E734" s="188">
        <f>IFERROR(__xludf.DUMMYFUNCTION("""COMPUTED_VALUE"""),43251.0)</f>
        <v>43251</v>
      </c>
      <c r="F734" s="188">
        <f>IFERROR(__xludf.DUMMYFUNCTION("""COMPUTED_VALUE"""),43352.0)</f>
        <v>43352</v>
      </c>
      <c r="H734">
        <f>IFERROR(__xludf.DUMMYFUNCTION("""COMPUTED_VALUE"""),64855.0)</f>
        <v>64855</v>
      </c>
      <c r="J734" s="5">
        <f>IFERROR(__xludf.DUMMYFUNCTION("""COMPUTED_VALUE"""),43358.0)</f>
        <v>43358</v>
      </c>
      <c r="K734">
        <f>IFERROR(__xludf.DUMMYFUNCTION("""COMPUTED_VALUE"""),101.0)</f>
        <v>101</v>
      </c>
      <c r="L734">
        <f>IFERROR(__xludf.DUMMYFUNCTION("""COMPUTED_VALUE"""),6.0)</f>
        <v>6</v>
      </c>
      <c r="M734">
        <f>IFERROR(__xludf.DUMMYFUNCTION("""COMPUTED_VALUE"""),107.0)</f>
        <v>107</v>
      </c>
      <c r="N734" t="str">
        <f>IFERROR(__xludf.DUMMYFUNCTION("""COMPUTED_VALUE"""),"Model 3 LR AWD")</f>
        <v>Model 3 LR AWD</v>
      </c>
      <c r="O734" t="str">
        <f>IFERROR(__xludf.DUMMYFUNCTION("""COMPUTED_VALUE"""),"Deep Blue Metallic")</f>
        <v>Deep Blue Metallic</v>
      </c>
      <c r="P734" t="str">
        <f>IFERROR(__xludf.DUMMYFUNCTION("""COMPUTED_VALUE"""),"18 inch Aero")</f>
        <v>18 inch Aero</v>
      </c>
      <c r="Q734" t="str">
        <f>IFERROR(__xludf.DUMMYFUNCTION("""COMPUTED_VALUE"""),"Black seats")</f>
        <v>Black seats</v>
      </c>
      <c r="R734" t="str">
        <f>IFERROR(__xludf.DUMMYFUNCTION("""COMPUTED_VALUE"""),"Enhanced Autopilot")</f>
        <v>Enhanced Autopilot</v>
      </c>
      <c r="X734" t="str">
        <f>IFERROR(__xludf.DUMMYFUNCTION("""COMPUTED_VALUE"""),"Very Good")</f>
        <v>Very Good</v>
      </c>
      <c r="Y734" t="str">
        <f>IFERROR(__xludf.DUMMYFUNCTION("""COMPUTED_VALUE"""),"Very Good")</f>
        <v>Very Good</v>
      </c>
      <c r="Z734" t="str">
        <f>IFERROR(__xludf.DUMMYFUNCTION("""COMPUTED_VALUE"""),"Good")</f>
        <v>Good</v>
      </c>
      <c r="AA734" t="str">
        <f>IFERROR(__xludf.DUMMYFUNCTION("""COMPUTED_VALUE"""),"Fair")</f>
        <v>Fair</v>
      </c>
      <c r="AB734" t="str">
        <f>IFERROR(__xludf.DUMMYFUNCTION("""COMPUTED_VALUE"""),"Very Good")</f>
        <v>Very Good</v>
      </c>
      <c r="AH734" s="189">
        <f>IFERROR(__xludf.DUMMYFUNCTION("""COMPUTED_VALUE"""),43360.5759234838)</f>
        <v>43360.57592</v>
      </c>
    </row>
    <row r="735">
      <c r="A735" t="str">
        <f>IFERROR(__xludf.DUMMYFUNCTION("""COMPUTED_VALUE"""),"Kermee")</f>
        <v>Kermee</v>
      </c>
      <c r="B735" t="str">
        <f>IFERROR(__xludf.DUMMYFUNCTION("""COMPUTED_VALUE"""),"Bellevue")</f>
        <v>Bellevue</v>
      </c>
      <c r="C735" t="str">
        <f>IFERROR(__xludf.DUMMYFUNCTION("""COMPUTED_VALUE"""),"WA")</f>
        <v>WA</v>
      </c>
      <c r="D735" t="str">
        <f>IFERROR(__xludf.DUMMYFUNCTION("""COMPUTED_VALUE"""),"USA")</f>
        <v>USA</v>
      </c>
      <c r="E735" s="188">
        <f>IFERROR(__xludf.DUMMYFUNCTION("""COMPUTED_VALUE"""),43293.0)</f>
        <v>43293</v>
      </c>
      <c r="F735" s="188">
        <f>IFERROR(__xludf.DUMMYFUNCTION("""COMPUTED_VALUE"""),43328.0)</f>
        <v>43328</v>
      </c>
      <c r="H735">
        <f>IFERROR(__xludf.DUMMYFUNCTION("""COMPUTED_VALUE"""),70555.0)</f>
        <v>70555</v>
      </c>
      <c r="I735" t="str">
        <f>IFERROR(__xludf.DUMMYFUNCTION("""COMPUTED_VALUE"""),"08/18")</f>
        <v>08/18</v>
      </c>
      <c r="J735" s="5">
        <f>IFERROR(__xludf.DUMMYFUNCTION("""COMPUTED_VALUE"""),43339.0)</f>
        <v>43339</v>
      </c>
      <c r="K735">
        <f>IFERROR(__xludf.DUMMYFUNCTION("""COMPUTED_VALUE"""),35.0)</f>
        <v>35</v>
      </c>
      <c r="L735">
        <f>IFERROR(__xludf.DUMMYFUNCTION("""COMPUTED_VALUE"""),11.0)</f>
        <v>11</v>
      </c>
      <c r="M735">
        <f>IFERROR(__xludf.DUMMYFUNCTION("""COMPUTED_VALUE"""),46.0)</f>
        <v>46</v>
      </c>
      <c r="N735" t="str">
        <f>IFERROR(__xludf.DUMMYFUNCTION("""COMPUTED_VALUE"""),"Model 3 LR AWD")</f>
        <v>Model 3 LR AWD</v>
      </c>
      <c r="O735" t="str">
        <f>IFERROR(__xludf.DUMMYFUNCTION("""COMPUTED_VALUE"""),"Obsidian Black Metallic")</f>
        <v>Obsidian Black Metallic</v>
      </c>
      <c r="P735" t="str">
        <f>IFERROR(__xludf.DUMMYFUNCTION("""COMPUTED_VALUE"""),"18 inch Aero")</f>
        <v>18 inch Aero</v>
      </c>
      <c r="Q735" t="str">
        <f>IFERROR(__xludf.DUMMYFUNCTION("""COMPUTED_VALUE"""),"Black seats")</f>
        <v>Black seats</v>
      </c>
      <c r="R735" t="str">
        <f>IFERROR(__xludf.DUMMYFUNCTION("""COMPUTED_VALUE"""),"Enhanced Autopilot")</f>
        <v>Enhanced Autopilot</v>
      </c>
      <c r="X735" t="str">
        <f>IFERROR(__xludf.DUMMYFUNCTION("""COMPUTED_VALUE"""),"Very Good")</f>
        <v>Very Good</v>
      </c>
      <c r="Y735" t="str">
        <f>IFERROR(__xludf.DUMMYFUNCTION("""COMPUTED_VALUE"""),"Very Good")</f>
        <v>Very Good</v>
      </c>
      <c r="Z735" t="str">
        <f>IFERROR(__xludf.DUMMYFUNCTION("""COMPUTED_VALUE"""),"Very Good")</f>
        <v>Very Good</v>
      </c>
      <c r="AA735" t="str">
        <f>IFERROR(__xludf.DUMMYFUNCTION("""COMPUTED_VALUE"""),"Very Good")</f>
        <v>Very Good</v>
      </c>
      <c r="AB735" t="str">
        <f>IFERROR(__xludf.DUMMYFUNCTION("""COMPUTED_VALUE"""),"Very Good")</f>
        <v>Very Good</v>
      </c>
      <c r="AC735">
        <f>IFERROR(__xludf.DUMMYFUNCTION("""COMPUTED_VALUE"""),0.0)</f>
        <v>0</v>
      </c>
      <c r="AD735">
        <f>IFERROR(__xludf.DUMMYFUNCTION("""COMPUTED_VALUE"""),0.0)</f>
        <v>0</v>
      </c>
      <c r="AE735">
        <f>IFERROR(__xludf.DUMMYFUNCTION("""COMPUTED_VALUE"""),0.0)</f>
        <v>0</v>
      </c>
      <c r="AH735" s="189">
        <f>IFERROR(__xludf.DUMMYFUNCTION("""COMPUTED_VALUE"""),43360.75057321759)</f>
        <v>43360.75057</v>
      </c>
    </row>
    <row r="736">
      <c r="A736" t="str">
        <f>IFERROR(__xludf.DUMMYFUNCTION("""COMPUTED_VALUE"""),"circleo12")</f>
        <v>circleo12</v>
      </c>
      <c r="B736" t="str">
        <f>IFERROR(__xludf.DUMMYFUNCTION("""COMPUTED_VALUE"""),"Anderson")</f>
        <v>Anderson</v>
      </c>
      <c r="C736" t="str">
        <f>IFERROR(__xludf.DUMMYFUNCTION("""COMPUTED_VALUE"""),"SC")</f>
        <v>SC</v>
      </c>
      <c r="D736" t="str">
        <f>IFERROR(__xludf.DUMMYFUNCTION("""COMPUTED_VALUE"""),"USA")</f>
        <v>USA</v>
      </c>
      <c r="E736" s="188">
        <f>IFERROR(__xludf.DUMMYFUNCTION("""COMPUTED_VALUE"""),43278.0)</f>
        <v>43278</v>
      </c>
      <c r="F736" s="188">
        <f>IFERROR(__xludf.DUMMYFUNCTION("""COMPUTED_VALUE"""),43348.0)</f>
        <v>43348</v>
      </c>
      <c r="H736">
        <f>IFERROR(__xludf.DUMMYFUNCTION("""COMPUTED_VALUE"""),89155.0)</f>
        <v>89155</v>
      </c>
      <c r="J736" s="5">
        <f>IFERROR(__xludf.DUMMYFUNCTION("""COMPUTED_VALUE"""),43360.0)</f>
        <v>43360</v>
      </c>
      <c r="K736">
        <f>IFERROR(__xludf.DUMMYFUNCTION("""COMPUTED_VALUE"""),70.0)</f>
        <v>70</v>
      </c>
      <c r="L736">
        <f>IFERROR(__xludf.DUMMYFUNCTION("""COMPUTED_VALUE"""),12.0)</f>
        <v>12</v>
      </c>
      <c r="M736">
        <f>IFERROR(__xludf.DUMMYFUNCTION("""COMPUTED_VALUE"""),82.0)</f>
        <v>82</v>
      </c>
      <c r="N736" t="str">
        <f>IFERROR(__xludf.DUMMYFUNCTION("""COMPUTED_VALUE"""),"Model 3 LR")</f>
        <v>Model 3 LR</v>
      </c>
      <c r="O736" t="str">
        <f>IFERROR(__xludf.DUMMYFUNCTION("""COMPUTED_VALUE"""),"Obsidian Black Metallic")</f>
        <v>Obsidian Black Metallic</v>
      </c>
      <c r="P736" t="str">
        <f>IFERROR(__xludf.DUMMYFUNCTION("""COMPUTED_VALUE"""),"18 inch Aero")</f>
        <v>18 inch Aero</v>
      </c>
      <c r="Q736" t="str">
        <f>IFERROR(__xludf.DUMMYFUNCTION("""COMPUTED_VALUE"""),"Black seats")</f>
        <v>Black seats</v>
      </c>
      <c r="R736" t="str">
        <f>IFERROR(__xludf.DUMMYFUNCTION("""COMPUTED_VALUE"""),"Enhanced Autopilot")</f>
        <v>Enhanced Autopilot</v>
      </c>
      <c r="X736" t="str">
        <f>IFERROR(__xludf.DUMMYFUNCTION("""COMPUTED_VALUE"""),"Excellent")</f>
        <v>Excellent</v>
      </c>
      <c r="Y736" t="str">
        <f>IFERROR(__xludf.DUMMYFUNCTION("""COMPUTED_VALUE"""),"Excellent")</f>
        <v>Excellent</v>
      </c>
      <c r="Z736" t="str">
        <f>IFERROR(__xludf.DUMMYFUNCTION("""COMPUTED_VALUE"""),"Excellent")</f>
        <v>Excellent</v>
      </c>
      <c r="AA736" t="str">
        <f>IFERROR(__xludf.DUMMYFUNCTION("""COMPUTED_VALUE"""),"Good")</f>
        <v>Good</v>
      </c>
      <c r="AB736" t="str">
        <f>IFERROR(__xludf.DUMMYFUNCTION("""COMPUTED_VALUE"""),"Excellent")</f>
        <v>Excellent</v>
      </c>
      <c r="AH736" s="189">
        <f>IFERROR(__xludf.DUMMYFUNCTION("""COMPUTED_VALUE"""),43360.77546607639)</f>
        <v>43360.77547</v>
      </c>
    </row>
    <row r="737">
      <c r="A737" t="str">
        <f>IFERROR(__xludf.DUMMYFUNCTION("""COMPUTED_VALUE"""),"benihect")</f>
        <v>benihect</v>
      </c>
      <c r="B737" t="str">
        <f>IFERROR(__xludf.DUMMYFUNCTION("""COMPUTED_VALUE"""),"Chicago")</f>
        <v>Chicago</v>
      </c>
      <c r="C737" t="str">
        <f>IFERROR(__xludf.DUMMYFUNCTION("""COMPUTED_VALUE"""),"IL")</f>
        <v>IL</v>
      </c>
      <c r="D737" t="str">
        <f>IFERROR(__xludf.DUMMYFUNCTION("""COMPUTED_VALUE"""),"USA")</f>
        <v>USA</v>
      </c>
      <c r="E737" s="188">
        <f>IFERROR(__xludf.DUMMYFUNCTION("""COMPUTED_VALUE"""),43287.0)</f>
        <v>43287</v>
      </c>
      <c r="F737" s="188">
        <f>IFERROR(__xludf.DUMMYFUNCTION("""COMPUTED_VALUE"""),43340.0)</f>
        <v>43340</v>
      </c>
      <c r="H737">
        <f>IFERROR(__xludf.DUMMYFUNCTION("""COMPUTED_VALUE"""),79255.0)</f>
        <v>79255</v>
      </c>
      <c r="I737" t="str">
        <f>IFERROR(__xludf.DUMMYFUNCTION("""COMPUTED_VALUE"""),"08/18")</f>
        <v>08/18</v>
      </c>
      <c r="J737" s="5">
        <f>IFERROR(__xludf.DUMMYFUNCTION("""COMPUTED_VALUE"""),43360.0)</f>
        <v>43360</v>
      </c>
      <c r="K737">
        <f>IFERROR(__xludf.DUMMYFUNCTION("""COMPUTED_VALUE"""),53.0)</f>
        <v>53</v>
      </c>
      <c r="L737">
        <f>IFERROR(__xludf.DUMMYFUNCTION("""COMPUTED_VALUE"""),20.0)</f>
        <v>20</v>
      </c>
      <c r="M737">
        <f>IFERROR(__xludf.DUMMYFUNCTION("""COMPUTED_VALUE"""),73.0)</f>
        <v>73</v>
      </c>
      <c r="N737" t="str">
        <f>IFERROR(__xludf.DUMMYFUNCTION("""COMPUTED_VALUE"""),"Model 3 Performance")</f>
        <v>Model 3 Performance</v>
      </c>
      <c r="O737" t="str">
        <f>IFERROR(__xludf.DUMMYFUNCTION("""COMPUTED_VALUE"""),"Midnight Silver Metallic")</f>
        <v>Midnight Silver Metallic</v>
      </c>
      <c r="P737" t="str">
        <f>IFERROR(__xludf.DUMMYFUNCTION("""COMPUTED_VALUE"""),"20 inch Sport")</f>
        <v>20 inch Sport</v>
      </c>
      <c r="Q737" t="str">
        <f>IFERROR(__xludf.DUMMYFUNCTION("""COMPUTED_VALUE"""),"White seats")</f>
        <v>White seats</v>
      </c>
      <c r="R737" t="str">
        <f>IFERROR(__xludf.DUMMYFUNCTION("""COMPUTED_VALUE"""),"Enhanced Autopilot")</f>
        <v>Enhanced Autopilot</v>
      </c>
      <c r="X737" t="str">
        <f>IFERROR(__xludf.DUMMYFUNCTION("""COMPUTED_VALUE"""),"Excellent")</f>
        <v>Excellent</v>
      </c>
      <c r="Y737" t="str">
        <f>IFERROR(__xludf.DUMMYFUNCTION("""COMPUTED_VALUE"""),"Excellent")</f>
        <v>Excellent</v>
      </c>
      <c r="Z737" t="str">
        <f>IFERROR(__xludf.DUMMYFUNCTION("""COMPUTED_VALUE"""),"Excellent")</f>
        <v>Excellent</v>
      </c>
      <c r="AA737" t="str">
        <f>IFERROR(__xludf.DUMMYFUNCTION("""COMPUTED_VALUE"""),"Good")</f>
        <v>Good</v>
      </c>
      <c r="AB737" t="str">
        <f>IFERROR(__xludf.DUMMYFUNCTION("""COMPUTED_VALUE"""),"Fair")</f>
        <v>Fair</v>
      </c>
      <c r="AH737" s="189">
        <f>IFERROR(__xludf.DUMMYFUNCTION("""COMPUTED_VALUE"""),43360.789252256945)</f>
        <v>43360.78925</v>
      </c>
    </row>
    <row r="738">
      <c r="A738" t="str">
        <f>IFERROR(__xludf.DUMMYFUNCTION("""COMPUTED_VALUE"""),"jarensberg")</f>
        <v>jarensberg</v>
      </c>
      <c r="B738" t="str">
        <f>IFERROR(__xludf.DUMMYFUNCTION("""COMPUTED_VALUE"""),"Kansas City")</f>
        <v>Kansas City</v>
      </c>
      <c r="C738" t="str">
        <f>IFERROR(__xludf.DUMMYFUNCTION("""COMPUTED_VALUE"""),"MO")</f>
        <v>MO</v>
      </c>
      <c r="D738" t="str">
        <f>IFERROR(__xludf.DUMMYFUNCTION("""COMPUTED_VALUE"""),"USA")</f>
        <v>USA</v>
      </c>
      <c r="E738" s="188">
        <f>IFERROR(__xludf.DUMMYFUNCTION("""COMPUTED_VALUE"""),43308.0)</f>
        <v>43308</v>
      </c>
      <c r="F738" s="188">
        <f>IFERROR(__xludf.DUMMYFUNCTION("""COMPUTED_VALUE"""),43353.0)</f>
        <v>43353</v>
      </c>
      <c r="H738">
        <f>IFERROR(__xludf.DUMMYFUNCTION("""COMPUTED_VALUE"""),74455.0)</f>
        <v>74455</v>
      </c>
      <c r="J738" s="5">
        <f>IFERROR(__xludf.DUMMYFUNCTION("""COMPUTED_VALUE"""),43359.0)</f>
        <v>43359</v>
      </c>
      <c r="K738">
        <f>IFERROR(__xludf.DUMMYFUNCTION("""COMPUTED_VALUE"""),45.0)</f>
        <v>45</v>
      </c>
      <c r="L738">
        <f>IFERROR(__xludf.DUMMYFUNCTION("""COMPUTED_VALUE"""),6.0)</f>
        <v>6</v>
      </c>
      <c r="M738">
        <f>IFERROR(__xludf.DUMMYFUNCTION("""COMPUTED_VALUE"""),51.0)</f>
        <v>51</v>
      </c>
      <c r="N738" t="str">
        <f>IFERROR(__xludf.DUMMYFUNCTION("""COMPUTED_VALUE"""),"Model 3 Performance")</f>
        <v>Model 3 Performance</v>
      </c>
      <c r="O738" t="str">
        <f>IFERROR(__xludf.DUMMYFUNCTION("""COMPUTED_VALUE"""),"Pearl White Multi-Coat")</f>
        <v>Pearl White Multi-Coat</v>
      </c>
      <c r="P738" t="str">
        <f>IFERROR(__xludf.DUMMYFUNCTION("""COMPUTED_VALUE"""),"20 inch Sport")</f>
        <v>20 inch Sport</v>
      </c>
      <c r="Q738" t="str">
        <f>IFERROR(__xludf.DUMMYFUNCTION("""COMPUTED_VALUE"""),"White seats")</f>
        <v>White seats</v>
      </c>
      <c r="R738" t="str">
        <f>IFERROR(__xludf.DUMMYFUNCTION("""COMPUTED_VALUE"""),"Enhanced Autopilot")</f>
        <v>Enhanced Autopilot</v>
      </c>
      <c r="X738" t="str">
        <f>IFERROR(__xludf.DUMMYFUNCTION("""COMPUTED_VALUE"""),"Excellent")</f>
        <v>Excellent</v>
      </c>
      <c r="Y738" t="str">
        <f>IFERROR(__xludf.DUMMYFUNCTION("""COMPUTED_VALUE"""),"Excellent")</f>
        <v>Excellent</v>
      </c>
      <c r="Z738" t="str">
        <f>IFERROR(__xludf.DUMMYFUNCTION("""COMPUTED_VALUE"""),"Excellent")</f>
        <v>Excellent</v>
      </c>
      <c r="AA738" t="str">
        <f>IFERROR(__xludf.DUMMYFUNCTION("""COMPUTED_VALUE"""),"Fair")</f>
        <v>Fair</v>
      </c>
      <c r="AB738" t="str">
        <f>IFERROR(__xludf.DUMMYFUNCTION("""COMPUTED_VALUE"""),"Excellent")</f>
        <v>Excellent</v>
      </c>
      <c r="AC738">
        <f>IFERROR(__xludf.DUMMYFUNCTION("""COMPUTED_VALUE"""),0.0)</f>
        <v>0</v>
      </c>
      <c r="AD738">
        <f>IFERROR(__xludf.DUMMYFUNCTION("""COMPUTED_VALUE"""),0.0)</f>
        <v>0</v>
      </c>
      <c r="AH738" s="189">
        <f>IFERROR(__xludf.DUMMYFUNCTION("""COMPUTED_VALUE"""),43360.798025613425)</f>
        <v>43360.79803</v>
      </c>
    </row>
    <row r="739">
      <c r="A739" t="str">
        <f>IFERROR(__xludf.DUMMYFUNCTION("""COMPUTED_VALUE"""),"fjs21")</f>
        <v>fjs21</v>
      </c>
      <c r="B739" t="str">
        <f>IFERROR(__xludf.DUMMYFUNCTION("""COMPUTED_VALUE"""),"Buffalo")</f>
        <v>Buffalo</v>
      </c>
      <c r="C739" t="str">
        <f>IFERROR(__xludf.DUMMYFUNCTION("""COMPUTED_VALUE"""),"NY")</f>
        <v>NY</v>
      </c>
      <c r="D739" t="str">
        <f>IFERROR(__xludf.DUMMYFUNCTION("""COMPUTED_VALUE"""),"USA")</f>
        <v>USA</v>
      </c>
      <c r="E739" s="188">
        <f>IFERROR(__xludf.DUMMYFUNCTION("""COMPUTED_VALUE"""),43287.0)</f>
        <v>43287</v>
      </c>
      <c r="F739" s="188">
        <f>IFERROR(__xludf.DUMMYFUNCTION("""COMPUTED_VALUE"""),43341.0)</f>
        <v>43341</v>
      </c>
      <c r="H739">
        <f>IFERROR(__xludf.DUMMYFUNCTION("""COMPUTED_VALUE"""),86755.0)</f>
        <v>86755</v>
      </c>
      <c r="J739" s="5">
        <f>IFERROR(__xludf.DUMMYFUNCTION("""COMPUTED_VALUE"""),43357.0)</f>
        <v>43357</v>
      </c>
      <c r="K739">
        <f>IFERROR(__xludf.DUMMYFUNCTION("""COMPUTED_VALUE"""),54.0)</f>
        <v>54</v>
      </c>
      <c r="L739">
        <f>IFERROR(__xludf.DUMMYFUNCTION("""COMPUTED_VALUE"""),16.0)</f>
        <v>16</v>
      </c>
      <c r="M739">
        <f>IFERROR(__xludf.DUMMYFUNCTION("""COMPUTED_VALUE"""),70.0)</f>
        <v>70</v>
      </c>
      <c r="N739" t="str">
        <f>IFERROR(__xludf.DUMMYFUNCTION("""COMPUTED_VALUE"""),"Model 3 LR AWD")</f>
        <v>Model 3 LR AWD</v>
      </c>
      <c r="O739" t="str">
        <f>IFERROR(__xludf.DUMMYFUNCTION("""COMPUTED_VALUE"""),"Solid Black")</f>
        <v>Solid Black</v>
      </c>
      <c r="P739" t="str">
        <f>IFERROR(__xludf.DUMMYFUNCTION("""COMPUTED_VALUE"""),"19 inch Sport")</f>
        <v>19 inch Sport</v>
      </c>
      <c r="Q739" t="str">
        <f>IFERROR(__xludf.DUMMYFUNCTION("""COMPUTED_VALUE"""),"Black seats")</f>
        <v>Black seats</v>
      </c>
      <c r="R739" t="str">
        <f>IFERROR(__xludf.DUMMYFUNCTION("""COMPUTED_VALUE"""),"Enhanced Autopilot")</f>
        <v>Enhanced Autopilot</v>
      </c>
      <c r="X739" t="str">
        <f>IFERROR(__xludf.DUMMYFUNCTION("""COMPUTED_VALUE"""),"Excellent")</f>
        <v>Excellent</v>
      </c>
      <c r="Y739" t="str">
        <f>IFERROR(__xludf.DUMMYFUNCTION("""COMPUTED_VALUE"""),"Excellent")</f>
        <v>Excellent</v>
      </c>
      <c r="Z739" t="str">
        <f>IFERROR(__xludf.DUMMYFUNCTION("""COMPUTED_VALUE"""),"Excellent")</f>
        <v>Excellent</v>
      </c>
      <c r="AA739" t="str">
        <f>IFERROR(__xludf.DUMMYFUNCTION("""COMPUTED_VALUE"""),"Excellent")</f>
        <v>Excellent</v>
      </c>
      <c r="AB739" t="str">
        <f>IFERROR(__xludf.DUMMYFUNCTION("""COMPUTED_VALUE"""),"Very Good")</f>
        <v>Very Good</v>
      </c>
      <c r="AH739" s="189">
        <f>IFERROR(__xludf.DUMMYFUNCTION("""COMPUTED_VALUE"""),43360.82110101852)</f>
        <v>43360.8211</v>
      </c>
    </row>
    <row r="740">
      <c r="A740" t="str">
        <f>IFERROR(__xludf.DUMMYFUNCTION("""COMPUTED_VALUE"""),"NightStorm")</f>
        <v>NightStorm</v>
      </c>
      <c r="B740" t="str">
        <f>IFERROR(__xludf.DUMMYFUNCTION("""COMPUTED_VALUE"""),"Windham")</f>
        <v>Windham</v>
      </c>
      <c r="C740" t="str">
        <f>IFERROR(__xludf.DUMMYFUNCTION("""COMPUTED_VALUE"""),"NH")</f>
        <v>NH</v>
      </c>
      <c r="D740" t="str">
        <f>IFERROR(__xludf.DUMMYFUNCTION("""COMPUTED_VALUE"""),"USA")</f>
        <v>USA</v>
      </c>
      <c r="E740" s="188">
        <f>IFERROR(__xludf.DUMMYFUNCTION("""COMPUTED_VALUE"""),43280.0)</f>
        <v>43280</v>
      </c>
      <c r="F740" s="188">
        <f>IFERROR(__xludf.DUMMYFUNCTION("""COMPUTED_VALUE"""),43344.0)</f>
        <v>43344</v>
      </c>
      <c r="H740">
        <f>IFERROR(__xludf.DUMMYFUNCTION("""COMPUTED_VALUE"""),96155.0)</f>
        <v>96155</v>
      </c>
      <c r="I740" t="str">
        <f>IFERROR(__xludf.DUMMYFUNCTION("""COMPUTED_VALUE"""),"08/18")</f>
        <v>08/18</v>
      </c>
      <c r="J740" s="5">
        <f>IFERROR(__xludf.DUMMYFUNCTION("""COMPUTED_VALUE"""),43358.0)</f>
        <v>43358</v>
      </c>
      <c r="K740">
        <f>IFERROR(__xludf.DUMMYFUNCTION("""COMPUTED_VALUE"""),64.0)</f>
        <v>64</v>
      </c>
      <c r="L740">
        <f>IFERROR(__xludf.DUMMYFUNCTION("""COMPUTED_VALUE"""),14.0)</f>
        <v>14</v>
      </c>
      <c r="M740">
        <f>IFERROR(__xludf.DUMMYFUNCTION("""COMPUTED_VALUE"""),78.0)</f>
        <v>78</v>
      </c>
      <c r="N740" t="str">
        <f>IFERROR(__xludf.DUMMYFUNCTION("""COMPUTED_VALUE"""),"Model 3 LR AWD")</f>
        <v>Model 3 LR AWD</v>
      </c>
      <c r="O740" t="str">
        <f>IFERROR(__xludf.DUMMYFUNCTION("""COMPUTED_VALUE"""),"Midnight Silver Metallic")</f>
        <v>Midnight Silver Metallic</v>
      </c>
      <c r="P740" t="str">
        <f>IFERROR(__xludf.DUMMYFUNCTION("""COMPUTED_VALUE"""),"18 inch Aero")</f>
        <v>18 inch Aero</v>
      </c>
      <c r="Q740" t="str">
        <f>IFERROR(__xludf.DUMMYFUNCTION("""COMPUTED_VALUE"""),"White seats")</f>
        <v>White seats</v>
      </c>
      <c r="R740" t="str">
        <f>IFERROR(__xludf.DUMMYFUNCTION("""COMPUTED_VALUE"""),"None")</f>
        <v>None</v>
      </c>
      <c r="X740" t="str">
        <f>IFERROR(__xludf.DUMMYFUNCTION("""COMPUTED_VALUE"""),"Excellent")</f>
        <v>Excellent</v>
      </c>
      <c r="Y740" t="str">
        <f>IFERROR(__xludf.DUMMYFUNCTION("""COMPUTED_VALUE"""),"Excellent")</f>
        <v>Excellent</v>
      </c>
      <c r="Z740" t="str">
        <f>IFERROR(__xludf.DUMMYFUNCTION("""COMPUTED_VALUE"""),"Excellent")</f>
        <v>Excellent</v>
      </c>
      <c r="AA740" t="str">
        <f>IFERROR(__xludf.DUMMYFUNCTION("""COMPUTED_VALUE"""),"Good")</f>
        <v>Good</v>
      </c>
      <c r="AB740" t="str">
        <f>IFERROR(__xludf.DUMMYFUNCTION("""COMPUTED_VALUE"""),"Very Good")</f>
        <v>Very Good</v>
      </c>
      <c r="AH740" s="189">
        <f>IFERROR(__xludf.DUMMYFUNCTION("""COMPUTED_VALUE"""),43360.82746645833)</f>
        <v>43360.82747</v>
      </c>
    </row>
    <row r="741">
      <c r="A741" t="str">
        <f>IFERROR(__xludf.DUMMYFUNCTION("""COMPUTED_VALUE"""),"Off Shore")</f>
        <v>Off Shore</v>
      </c>
      <c r="B741" t="str">
        <f>IFERROR(__xludf.DUMMYFUNCTION("""COMPUTED_VALUE"""),"US/Nicaragua")</f>
        <v>US/Nicaragua</v>
      </c>
      <c r="C741" t="str">
        <f>IFERROR(__xludf.DUMMYFUNCTION("""COMPUTED_VALUE"""),"WA")</f>
        <v>WA</v>
      </c>
      <c r="D741" t="str">
        <f>IFERROR(__xludf.DUMMYFUNCTION("""COMPUTED_VALUE"""),"USA")</f>
        <v>USA</v>
      </c>
      <c r="E741" s="188">
        <f>IFERROR(__xludf.DUMMYFUNCTION("""COMPUTED_VALUE"""),43278.0)</f>
        <v>43278</v>
      </c>
      <c r="F741" s="188">
        <f>IFERROR(__xludf.DUMMYFUNCTION("""COMPUTED_VALUE"""),43348.0)</f>
        <v>43348</v>
      </c>
      <c r="H741">
        <f>IFERROR(__xludf.DUMMYFUNCTION("""COMPUTED_VALUE"""),99655.0)</f>
        <v>99655</v>
      </c>
      <c r="I741" t="str">
        <f>IFERROR(__xludf.DUMMYFUNCTION("""COMPUTED_VALUE"""),"08/18")</f>
        <v>08/18</v>
      </c>
      <c r="J741" s="5">
        <f>IFERROR(__xludf.DUMMYFUNCTION("""COMPUTED_VALUE"""),43360.0)</f>
        <v>43360</v>
      </c>
      <c r="K741">
        <f>IFERROR(__xludf.DUMMYFUNCTION("""COMPUTED_VALUE"""),70.0)</f>
        <v>70</v>
      </c>
      <c r="L741">
        <f>IFERROR(__xludf.DUMMYFUNCTION("""COMPUTED_VALUE"""),12.0)</f>
        <v>12</v>
      </c>
      <c r="M741">
        <f>IFERROR(__xludf.DUMMYFUNCTION("""COMPUTED_VALUE"""),82.0)</f>
        <v>82</v>
      </c>
      <c r="N741" t="str">
        <f>IFERROR(__xludf.DUMMYFUNCTION("""COMPUTED_VALUE"""),"Model 3 Performance")</f>
        <v>Model 3 Performance</v>
      </c>
      <c r="O741" t="str">
        <f>IFERROR(__xludf.DUMMYFUNCTION("""COMPUTED_VALUE"""),"Silver Metallic")</f>
        <v>Silver Metallic</v>
      </c>
      <c r="P741" t="str">
        <f>IFERROR(__xludf.DUMMYFUNCTION("""COMPUTED_VALUE"""),"18 inch Aero")</f>
        <v>18 inch Aero</v>
      </c>
      <c r="Q741" t="str">
        <f>IFERROR(__xludf.DUMMYFUNCTION("""COMPUTED_VALUE"""),"White seats")</f>
        <v>White seats</v>
      </c>
      <c r="R741" t="str">
        <f>IFERROR(__xludf.DUMMYFUNCTION("""COMPUTED_VALUE"""),"Full Self-Driving")</f>
        <v>Full Self-Driving</v>
      </c>
      <c r="X741" t="str">
        <f>IFERROR(__xludf.DUMMYFUNCTION("""COMPUTED_VALUE"""),"Very Good")</f>
        <v>Very Good</v>
      </c>
      <c r="Y741" t="str">
        <f>IFERROR(__xludf.DUMMYFUNCTION("""COMPUTED_VALUE"""),"Excellent")</f>
        <v>Excellent</v>
      </c>
      <c r="Z741" t="str">
        <f>IFERROR(__xludf.DUMMYFUNCTION("""COMPUTED_VALUE"""),"Very Good")</f>
        <v>Very Good</v>
      </c>
      <c r="AA741" t="str">
        <f>IFERROR(__xludf.DUMMYFUNCTION("""COMPUTED_VALUE"""),"Poor")</f>
        <v>Poor</v>
      </c>
      <c r="AB741" t="str">
        <f>IFERROR(__xludf.DUMMYFUNCTION("""COMPUTED_VALUE"""),"Excellent")</f>
        <v>Excellent</v>
      </c>
      <c r="AC741">
        <f>IFERROR(__xludf.DUMMYFUNCTION("""COMPUTED_VALUE"""),1.0)</f>
        <v>1</v>
      </c>
      <c r="AH741" s="189">
        <f>IFERROR(__xludf.DUMMYFUNCTION("""COMPUTED_VALUE"""),43360.93893872685)</f>
        <v>43360.93894</v>
      </c>
    </row>
    <row r="742">
      <c r="A742" t="str">
        <f>IFERROR(__xludf.DUMMYFUNCTION("""COMPUTED_VALUE"""),"Leodoc")</f>
        <v>Leodoc</v>
      </c>
      <c r="B742" t="str">
        <f>IFERROR(__xludf.DUMMYFUNCTION("""COMPUTED_VALUE"""),"s florida")</f>
        <v>s florida</v>
      </c>
      <c r="C742" t="str">
        <f>IFERROR(__xludf.DUMMYFUNCTION("""COMPUTED_VALUE"""),"FL")</f>
        <v>FL</v>
      </c>
      <c r="D742" t="str">
        <f>IFERROR(__xludf.DUMMYFUNCTION("""COMPUTED_VALUE"""),"USA")</f>
        <v>USA</v>
      </c>
      <c r="E742" s="188">
        <f>IFERROR(__xludf.DUMMYFUNCTION("""COMPUTED_VALUE"""),43278.0)</f>
        <v>43278</v>
      </c>
      <c r="F742" s="188">
        <f>IFERROR(__xludf.DUMMYFUNCTION("""COMPUTED_VALUE"""),43339.0)</f>
        <v>43339</v>
      </c>
      <c r="H742">
        <f>IFERROR(__xludf.DUMMYFUNCTION("""COMPUTED_VALUE"""),73047.0)</f>
        <v>73047</v>
      </c>
      <c r="J742" s="5">
        <f>IFERROR(__xludf.DUMMYFUNCTION("""COMPUTED_VALUE"""),43357.0)</f>
        <v>43357</v>
      </c>
      <c r="K742">
        <f>IFERROR(__xludf.DUMMYFUNCTION("""COMPUTED_VALUE"""),61.0)</f>
        <v>61</v>
      </c>
      <c r="L742">
        <f>IFERROR(__xludf.DUMMYFUNCTION("""COMPUTED_VALUE"""),18.0)</f>
        <v>18</v>
      </c>
      <c r="M742">
        <f>IFERROR(__xludf.DUMMYFUNCTION("""COMPUTED_VALUE"""),79.0)</f>
        <v>79</v>
      </c>
      <c r="N742" t="str">
        <f>IFERROR(__xludf.DUMMYFUNCTION("""COMPUTED_VALUE"""),"Model 3 Performance")</f>
        <v>Model 3 Performance</v>
      </c>
      <c r="O742" t="str">
        <f>IFERROR(__xludf.DUMMYFUNCTION("""COMPUTED_VALUE"""),"Midnight Silver Metallic")</f>
        <v>Midnight Silver Metallic</v>
      </c>
      <c r="P742" t="str">
        <f>IFERROR(__xludf.DUMMYFUNCTION("""COMPUTED_VALUE"""),"20 inch Sport")</f>
        <v>20 inch Sport</v>
      </c>
      <c r="Q742" t="str">
        <f>IFERROR(__xludf.DUMMYFUNCTION("""COMPUTED_VALUE"""),"Black seats")</f>
        <v>Black seats</v>
      </c>
      <c r="R742" t="str">
        <f>IFERROR(__xludf.DUMMYFUNCTION("""COMPUTED_VALUE"""),"Enhanced Autopilot")</f>
        <v>Enhanced Autopilot</v>
      </c>
      <c r="X742" t="str">
        <f>IFERROR(__xludf.DUMMYFUNCTION("""COMPUTED_VALUE"""),"Very Good")</f>
        <v>Very Good</v>
      </c>
      <c r="Y742" t="str">
        <f>IFERROR(__xludf.DUMMYFUNCTION("""COMPUTED_VALUE"""),"Excellent")</f>
        <v>Excellent</v>
      </c>
      <c r="Z742" t="str">
        <f>IFERROR(__xludf.DUMMYFUNCTION("""COMPUTED_VALUE"""),"Excellent")</f>
        <v>Excellent</v>
      </c>
      <c r="AA742" t="str">
        <f>IFERROR(__xludf.DUMMYFUNCTION("""COMPUTED_VALUE"""),"Excellent")</f>
        <v>Excellent</v>
      </c>
      <c r="AB742" t="str">
        <f>IFERROR(__xludf.DUMMYFUNCTION("""COMPUTED_VALUE"""),"Excellent")</f>
        <v>Excellent</v>
      </c>
      <c r="AH742" s="189">
        <f>IFERROR(__xludf.DUMMYFUNCTION("""COMPUTED_VALUE"""),43361.007436631946)</f>
        <v>43361.00744</v>
      </c>
    </row>
    <row r="743">
      <c r="A743" t="str">
        <f>IFERROR(__xludf.DUMMYFUNCTION("""COMPUTED_VALUE"""),"TK")</f>
        <v>TK</v>
      </c>
      <c r="B743" t="str">
        <f>IFERROR(__xludf.DUMMYFUNCTION("""COMPUTED_VALUE"""),"Col. Springs")</f>
        <v>Col. Springs</v>
      </c>
      <c r="C743" t="str">
        <f>IFERROR(__xludf.DUMMYFUNCTION("""COMPUTED_VALUE"""),"CO")</f>
        <v>CO</v>
      </c>
      <c r="D743" t="str">
        <f>IFERROR(__xludf.DUMMYFUNCTION("""COMPUTED_VALUE"""),"USA")</f>
        <v>USA</v>
      </c>
      <c r="E743" s="188">
        <f>IFERROR(__xludf.DUMMYFUNCTION("""COMPUTED_VALUE"""),43329.0)</f>
        <v>43329</v>
      </c>
      <c r="F743" s="188">
        <f>IFERROR(__xludf.DUMMYFUNCTION("""COMPUTED_VALUE"""),43337.0)</f>
        <v>43337</v>
      </c>
      <c r="H743">
        <f>IFERROR(__xludf.DUMMYFUNCTION("""COMPUTED_VALUE"""),62655.0)</f>
        <v>62655</v>
      </c>
      <c r="I743" t="str">
        <f>IFERROR(__xludf.DUMMYFUNCTION("""COMPUTED_VALUE"""),"08/18")</f>
        <v>08/18</v>
      </c>
      <c r="J743" s="5">
        <f>IFERROR(__xludf.DUMMYFUNCTION("""COMPUTED_VALUE"""),43354.0)</f>
        <v>43354</v>
      </c>
      <c r="K743">
        <f>IFERROR(__xludf.DUMMYFUNCTION("""COMPUTED_VALUE"""),8.0)</f>
        <v>8</v>
      </c>
      <c r="L743">
        <f>IFERROR(__xludf.DUMMYFUNCTION("""COMPUTED_VALUE"""),17.0)</f>
        <v>17</v>
      </c>
      <c r="M743">
        <f>IFERROR(__xludf.DUMMYFUNCTION("""COMPUTED_VALUE"""),25.0)</f>
        <v>25</v>
      </c>
      <c r="N743" t="str">
        <f>IFERROR(__xludf.DUMMYFUNCTION("""COMPUTED_VALUE"""),"Model 3 LR")</f>
        <v>Model 3 LR</v>
      </c>
      <c r="O743" t="str">
        <f>IFERROR(__xludf.DUMMYFUNCTION("""COMPUTED_VALUE"""),"Solid Black")</f>
        <v>Solid Black</v>
      </c>
      <c r="P743" t="str">
        <f>IFERROR(__xludf.DUMMYFUNCTION("""COMPUTED_VALUE"""),"19 inch Sport")</f>
        <v>19 inch Sport</v>
      </c>
      <c r="Q743" t="str">
        <f>IFERROR(__xludf.DUMMYFUNCTION("""COMPUTED_VALUE"""),"Black seats")</f>
        <v>Black seats</v>
      </c>
      <c r="R743" t="str">
        <f>IFERROR(__xludf.DUMMYFUNCTION("""COMPUTED_VALUE"""),"None")</f>
        <v>None</v>
      </c>
      <c r="X743" t="str">
        <f>IFERROR(__xludf.DUMMYFUNCTION("""COMPUTED_VALUE"""),"Excellent")</f>
        <v>Excellent</v>
      </c>
      <c r="Y743" t="str">
        <f>IFERROR(__xludf.DUMMYFUNCTION("""COMPUTED_VALUE"""),"Very Good")</f>
        <v>Very Good</v>
      </c>
      <c r="Z743" t="str">
        <f>IFERROR(__xludf.DUMMYFUNCTION("""COMPUTED_VALUE"""),"Very Good")</f>
        <v>Very Good</v>
      </c>
      <c r="AA743" t="str">
        <f>IFERROR(__xludf.DUMMYFUNCTION("""COMPUTED_VALUE"""),"Fair")</f>
        <v>Fair</v>
      </c>
      <c r="AB743" t="str">
        <f>IFERROR(__xludf.DUMMYFUNCTION("""COMPUTED_VALUE"""),"Fair")</f>
        <v>Fair</v>
      </c>
      <c r="AH743" s="189">
        <f>IFERROR(__xludf.DUMMYFUNCTION("""COMPUTED_VALUE"""),43361.161741979166)</f>
        <v>43361.16174</v>
      </c>
    </row>
    <row r="744">
      <c r="A744" t="str">
        <f>IFERROR(__xludf.DUMMYFUNCTION("""COMPUTED_VALUE"""),"kevini")</f>
        <v>kevini</v>
      </c>
      <c r="B744" t="str">
        <f>IFERROR(__xludf.DUMMYFUNCTION("""COMPUTED_VALUE"""),"San Francisco")</f>
        <v>San Francisco</v>
      </c>
      <c r="C744" t="str">
        <f>IFERROR(__xludf.DUMMYFUNCTION("""COMPUTED_VALUE"""),"CA")</f>
        <v>CA</v>
      </c>
      <c r="D744" t="str">
        <f>IFERROR(__xludf.DUMMYFUNCTION("""COMPUTED_VALUE"""),"USA")</f>
        <v>USA</v>
      </c>
      <c r="E744" s="188">
        <f>IFERROR(__xludf.DUMMYFUNCTION("""COMPUTED_VALUE"""),43278.0)</f>
        <v>43278</v>
      </c>
      <c r="F744" s="188">
        <f>IFERROR(__xludf.DUMMYFUNCTION("""COMPUTED_VALUE"""),43344.0)</f>
        <v>43344</v>
      </c>
      <c r="H744">
        <f>IFERROR(__xludf.DUMMYFUNCTION("""COMPUTED_VALUE"""),83334.0)</f>
        <v>83334</v>
      </c>
      <c r="I744" t="str">
        <f>IFERROR(__xludf.DUMMYFUNCTION("""COMPUTED_VALUE"""),"09/18")</f>
        <v>09/18</v>
      </c>
      <c r="J744" s="5">
        <f>IFERROR(__xludf.DUMMYFUNCTION("""COMPUTED_VALUE"""),43351.0)</f>
        <v>43351</v>
      </c>
      <c r="K744">
        <f>IFERROR(__xludf.DUMMYFUNCTION("""COMPUTED_VALUE"""),66.0)</f>
        <v>66</v>
      </c>
      <c r="L744">
        <f>IFERROR(__xludf.DUMMYFUNCTION("""COMPUTED_VALUE"""),7.0)</f>
        <v>7</v>
      </c>
      <c r="M744">
        <f>IFERROR(__xludf.DUMMYFUNCTION("""COMPUTED_VALUE"""),73.0)</f>
        <v>73</v>
      </c>
      <c r="N744" t="str">
        <f>IFERROR(__xludf.DUMMYFUNCTION("""COMPUTED_VALUE"""),"Model 3 Performance")</f>
        <v>Model 3 Performance</v>
      </c>
      <c r="O744" t="str">
        <f>IFERROR(__xludf.DUMMYFUNCTION("""COMPUTED_VALUE"""),"Silver Metallic")</f>
        <v>Silver Metallic</v>
      </c>
      <c r="P744" t="str">
        <f>IFERROR(__xludf.DUMMYFUNCTION("""COMPUTED_VALUE"""),"20 inch Sport")</f>
        <v>20 inch Sport</v>
      </c>
      <c r="Q744" t="str">
        <f>IFERROR(__xludf.DUMMYFUNCTION("""COMPUTED_VALUE"""),"Black seats")</f>
        <v>Black seats</v>
      </c>
      <c r="R744" t="str">
        <f>IFERROR(__xludf.DUMMYFUNCTION("""COMPUTED_VALUE"""),"Enhanced Autopilot")</f>
        <v>Enhanced Autopilot</v>
      </c>
      <c r="X744" t="str">
        <f>IFERROR(__xludf.DUMMYFUNCTION("""COMPUTED_VALUE"""),"Very Good")</f>
        <v>Very Good</v>
      </c>
      <c r="Y744" t="str">
        <f>IFERROR(__xludf.DUMMYFUNCTION("""COMPUTED_VALUE"""),"Very Good")</f>
        <v>Very Good</v>
      </c>
      <c r="Z744" t="str">
        <f>IFERROR(__xludf.DUMMYFUNCTION("""COMPUTED_VALUE"""),"Very Good")</f>
        <v>Very Good</v>
      </c>
      <c r="AA744" t="str">
        <f>IFERROR(__xludf.DUMMYFUNCTION("""COMPUTED_VALUE"""),"Very Good")</f>
        <v>Very Good</v>
      </c>
      <c r="AB744" t="str">
        <f>IFERROR(__xludf.DUMMYFUNCTION("""COMPUTED_VALUE"""),"Very Good")</f>
        <v>Very Good</v>
      </c>
      <c r="AC744">
        <f>IFERROR(__xludf.DUMMYFUNCTION("""COMPUTED_VALUE"""),5.0)</f>
        <v>5</v>
      </c>
      <c r="AD744">
        <f>IFERROR(__xludf.DUMMYFUNCTION("""COMPUTED_VALUE"""),1.0)</f>
        <v>1</v>
      </c>
      <c r="AH744" s="189">
        <f>IFERROR(__xludf.DUMMYFUNCTION("""COMPUTED_VALUE"""),43361.16740721065)</f>
        <v>43361.16741</v>
      </c>
    </row>
    <row r="745">
      <c r="A745" t="str">
        <f>IFERROR(__xludf.DUMMYFUNCTION("""COMPUTED_VALUE"""),"MagicM")</f>
        <v>MagicM</v>
      </c>
      <c r="B745" t="str">
        <f>IFERROR(__xludf.DUMMYFUNCTION("""COMPUTED_VALUE"""),"Pasadena, CA")</f>
        <v>Pasadena, CA</v>
      </c>
      <c r="C745" t="str">
        <f>IFERROR(__xludf.DUMMYFUNCTION("""COMPUTED_VALUE"""),"CA")</f>
        <v>CA</v>
      </c>
      <c r="D745" t="str">
        <f>IFERROR(__xludf.DUMMYFUNCTION("""COMPUTED_VALUE"""),"USA")</f>
        <v>USA</v>
      </c>
      <c r="E745" s="188">
        <f>IFERROR(__xludf.DUMMYFUNCTION("""COMPUTED_VALUE"""),43344.0)</f>
        <v>43344</v>
      </c>
      <c r="F745" s="188">
        <f>IFERROR(__xludf.DUMMYFUNCTION("""COMPUTED_VALUE"""),43354.0)</f>
        <v>43354</v>
      </c>
      <c r="H745">
        <f>IFERROR(__xludf.DUMMYFUNCTION("""COMPUTED_VALUE"""),76455.0)</f>
        <v>76455</v>
      </c>
      <c r="I745" t="str">
        <f>IFERROR(__xludf.DUMMYFUNCTION("""COMPUTED_VALUE"""),"08/18")</f>
        <v>08/18</v>
      </c>
      <c r="J745" s="5">
        <f>IFERROR(__xludf.DUMMYFUNCTION("""COMPUTED_VALUE"""),43360.0)</f>
        <v>43360</v>
      </c>
      <c r="K745">
        <f>IFERROR(__xludf.DUMMYFUNCTION("""COMPUTED_VALUE"""),10.0)</f>
        <v>10</v>
      </c>
      <c r="L745">
        <f>IFERROR(__xludf.DUMMYFUNCTION("""COMPUTED_VALUE"""),6.0)</f>
        <v>6</v>
      </c>
      <c r="M745">
        <f>IFERROR(__xludf.DUMMYFUNCTION("""COMPUTED_VALUE"""),16.0)</f>
        <v>16</v>
      </c>
      <c r="N745" t="str">
        <f>IFERROR(__xludf.DUMMYFUNCTION("""COMPUTED_VALUE"""),"Model 3 LR")</f>
        <v>Model 3 LR</v>
      </c>
      <c r="O745" t="str">
        <f>IFERROR(__xludf.DUMMYFUNCTION("""COMPUTED_VALUE"""),"Deep Blue Metallic")</f>
        <v>Deep Blue Metallic</v>
      </c>
      <c r="P745" t="str">
        <f>IFERROR(__xludf.DUMMYFUNCTION("""COMPUTED_VALUE"""),"18 inch Aero")</f>
        <v>18 inch Aero</v>
      </c>
      <c r="Q745" t="str">
        <f>IFERROR(__xludf.DUMMYFUNCTION("""COMPUTED_VALUE"""),"Black seats")</f>
        <v>Black seats</v>
      </c>
      <c r="R745" t="str">
        <f>IFERROR(__xludf.DUMMYFUNCTION("""COMPUTED_VALUE"""),"Enhanced Autopilot")</f>
        <v>Enhanced Autopilot</v>
      </c>
      <c r="X745" t="str">
        <f>IFERROR(__xludf.DUMMYFUNCTION("""COMPUTED_VALUE"""),"Excellent")</f>
        <v>Excellent</v>
      </c>
      <c r="Y745" t="str">
        <f>IFERROR(__xludf.DUMMYFUNCTION("""COMPUTED_VALUE"""),"Excellent")</f>
        <v>Excellent</v>
      </c>
      <c r="Z745" t="str">
        <f>IFERROR(__xludf.DUMMYFUNCTION("""COMPUTED_VALUE"""),"Excellent")</f>
        <v>Excellent</v>
      </c>
      <c r="AA745" t="str">
        <f>IFERROR(__xludf.DUMMYFUNCTION("""COMPUTED_VALUE"""),"Fair")</f>
        <v>Fair</v>
      </c>
      <c r="AB745" t="str">
        <f>IFERROR(__xludf.DUMMYFUNCTION("""COMPUTED_VALUE"""),"Good")</f>
        <v>Good</v>
      </c>
      <c r="AH745" s="189">
        <f>IFERROR(__xludf.DUMMYFUNCTION("""COMPUTED_VALUE"""),43361.35231806713)</f>
        <v>43361.35232</v>
      </c>
    </row>
    <row r="746">
      <c r="A746" t="str">
        <f>IFERROR(__xludf.DUMMYFUNCTION("""COMPUTED_VALUE"""),"yakshaving")</f>
        <v>yakshaving</v>
      </c>
      <c r="B746" t="str">
        <f>IFERROR(__xludf.DUMMYFUNCTION("""COMPUTED_VALUE"""),"seattle, wa")</f>
        <v>seattle, wa</v>
      </c>
      <c r="C746" t="str">
        <f>IFERROR(__xludf.DUMMYFUNCTION("""COMPUTED_VALUE"""),"WA")</f>
        <v>WA</v>
      </c>
      <c r="D746" t="str">
        <f>IFERROR(__xludf.DUMMYFUNCTION("""COMPUTED_VALUE"""),"USA")</f>
        <v>USA</v>
      </c>
      <c r="E746" s="188">
        <f>IFERROR(__xludf.DUMMYFUNCTION("""COMPUTED_VALUE"""),43278.0)</f>
        <v>43278</v>
      </c>
      <c r="F746" s="188">
        <f>IFERROR(__xludf.DUMMYFUNCTION("""COMPUTED_VALUE"""),43347.0)</f>
        <v>43347</v>
      </c>
      <c r="H746">
        <f>IFERROR(__xludf.DUMMYFUNCTION("""COMPUTED_VALUE"""),88855.0)</f>
        <v>88855</v>
      </c>
      <c r="J746" s="5">
        <f>IFERROR(__xludf.DUMMYFUNCTION("""COMPUTED_VALUE"""),43357.0)</f>
        <v>43357</v>
      </c>
      <c r="K746">
        <f>IFERROR(__xludf.DUMMYFUNCTION("""COMPUTED_VALUE"""),69.0)</f>
        <v>69</v>
      </c>
      <c r="L746">
        <f>IFERROR(__xludf.DUMMYFUNCTION("""COMPUTED_VALUE"""),10.0)</f>
        <v>10</v>
      </c>
      <c r="M746">
        <f>IFERROR(__xludf.DUMMYFUNCTION("""COMPUTED_VALUE"""),79.0)</f>
        <v>79</v>
      </c>
      <c r="N746" t="str">
        <f>IFERROR(__xludf.DUMMYFUNCTION("""COMPUTED_VALUE"""),"Model 3 LR AWD")</f>
        <v>Model 3 LR AWD</v>
      </c>
      <c r="O746" t="str">
        <f>IFERROR(__xludf.DUMMYFUNCTION("""COMPUTED_VALUE"""),"Pearl White Multi-Coat")</f>
        <v>Pearl White Multi-Coat</v>
      </c>
      <c r="P746" t="str">
        <f>IFERROR(__xludf.DUMMYFUNCTION("""COMPUTED_VALUE"""),"18 inch Aero")</f>
        <v>18 inch Aero</v>
      </c>
      <c r="Q746" t="str">
        <f>IFERROR(__xludf.DUMMYFUNCTION("""COMPUTED_VALUE"""),"Black seats")</f>
        <v>Black seats</v>
      </c>
      <c r="R746" t="str">
        <f>IFERROR(__xludf.DUMMYFUNCTION("""COMPUTED_VALUE"""),"Enhanced Autopilot")</f>
        <v>Enhanced Autopilot</v>
      </c>
      <c r="X746" t="str">
        <f>IFERROR(__xludf.DUMMYFUNCTION("""COMPUTED_VALUE"""),"Good")</f>
        <v>Good</v>
      </c>
      <c r="Y746" t="str">
        <f>IFERROR(__xludf.DUMMYFUNCTION("""COMPUTED_VALUE"""),"Excellent")</f>
        <v>Excellent</v>
      </c>
      <c r="Z746" t="str">
        <f>IFERROR(__xludf.DUMMYFUNCTION("""COMPUTED_VALUE"""),"Very Good")</f>
        <v>Very Good</v>
      </c>
      <c r="AA746" t="str">
        <f>IFERROR(__xludf.DUMMYFUNCTION("""COMPUTED_VALUE"""),"Good")</f>
        <v>Good</v>
      </c>
      <c r="AB746" t="str">
        <f>IFERROR(__xludf.DUMMYFUNCTION("""COMPUTED_VALUE"""),"Excellent")</f>
        <v>Excellent</v>
      </c>
      <c r="AC746">
        <f>IFERROR(__xludf.DUMMYFUNCTION("""COMPUTED_VALUE"""),3.0)</f>
        <v>3</v>
      </c>
      <c r="AG746" t="str">
        <f>IFERROR(__xludf.DUMMYFUNCTION("""COMPUTED_VALUE"""),"Love the car!  Only one rock chip, a few fixable panel gap issues, and some paint stuff with the white bumper but otherwise amazing in every way.")</f>
        <v>Love the car!  Only one rock chip, a few fixable panel gap issues, and some paint stuff with the white bumper but otherwise amazing in every way.</v>
      </c>
      <c r="AH746" s="189">
        <f>IFERROR(__xludf.DUMMYFUNCTION("""COMPUTED_VALUE"""),43361.59053170139)</f>
        <v>43361.59053</v>
      </c>
    </row>
    <row r="747">
      <c r="A747" t="str">
        <f>IFERROR(__xludf.DUMMYFUNCTION("""COMPUTED_VALUE"""),"CEO420")</f>
        <v>CEO420</v>
      </c>
      <c r="B747" t="str">
        <f>IFERROR(__xludf.DUMMYFUNCTION("""COMPUTED_VALUE"""),"Jacksonville")</f>
        <v>Jacksonville</v>
      </c>
      <c r="C747" t="str">
        <f>IFERROR(__xludf.DUMMYFUNCTION("""COMPUTED_VALUE"""),"FL")</f>
        <v>FL</v>
      </c>
      <c r="D747" t="str">
        <f>IFERROR(__xludf.DUMMYFUNCTION("""COMPUTED_VALUE"""),"USA")</f>
        <v>USA</v>
      </c>
      <c r="E747" s="188">
        <f>IFERROR(__xludf.DUMMYFUNCTION("""COMPUTED_VALUE"""),43279.0)</f>
        <v>43279</v>
      </c>
      <c r="H747">
        <f>IFERROR(__xludf.DUMMYFUNCTION("""COMPUTED_VALUE"""),99905.0)</f>
        <v>99905</v>
      </c>
      <c r="I747" t="str">
        <f>IFERROR(__xludf.DUMMYFUNCTION("""COMPUTED_VALUE"""),"08/18")</f>
        <v>08/18</v>
      </c>
      <c r="J747" s="5">
        <f>IFERROR(__xludf.DUMMYFUNCTION("""COMPUTED_VALUE"""),43361.0)</f>
        <v>43361</v>
      </c>
      <c r="M747">
        <f>IFERROR(__xludf.DUMMYFUNCTION("""COMPUTED_VALUE"""),82.0)</f>
        <v>82</v>
      </c>
      <c r="N747" t="str">
        <f>IFERROR(__xludf.DUMMYFUNCTION("""COMPUTED_VALUE"""),"Model 3 Performance")</f>
        <v>Model 3 Performance</v>
      </c>
      <c r="O747" t="str">
        <f>IFERROR(__xludf.DUMMYFUNCTION("""COMPUTED_VALUE"""),"Deep Blue Metallic")</f>
        <v>Deep Blue Metallic</v>
      </c>
      <c r="P747" t="str">
        <f>IFERROR(__xludf.DUMMYFUNCTION("""COMPUTED_VALUE"""),"18 inch Aero")</f>
        <v>18 inch Aero</v>
      </c>
      <c r="Q747" t="str">
        <f>IFERROR(__xludf.DUMMYFUNCTION("""COMPUTED_VALUE"""),"White seats")</f>
        <v>White seats</v>
      </c>
      <c r="R747" t="str">
        <f>IFERROR(__xludf.DUMMYFUNCTION("""COMPUTED_VALUE"""),"Full Self-Driving")</f>
        <v>Full Self-Driving</v>
      </c>
      <c r="X747" t="str">
        <f>IFERROR(__xludf.DUMMYFUNCTION("""COMPUTED_VALUE"""),"Very Good")</f>
        <v>Very Good</v>
      </c>
      <c r="Y747" t="str">
        <f>IFERROR(__xludf.DUMMYFUNCTION("""COMPUTED_VALUE"""),"Very Good")</f>
        <v>Very Good</v>
      </c>
      <c r="Z747" t="str">
        <f>IFERROR(__xludf.DUMMYFUNCTION("""COMPUTED_VALUE"""),"Good")</f>
        <v>Good</v>
      </c>
      <c r="AA747" t="str">
        <f>IFERROR(__xludf.DUMMYFUNCTION("""COMPUTED_VALUE"""),"Excellent")</f>
        <v>Excellent</v>
      </c>
      <c r="AB747" t="str">
        <f>IFERROR(__xludf.DUMMYFUNCTION("""COMPUTED_VALUE"""),"Very Good")</f>
        <v>Very Good</v>
      </c>
      <c r="AH747" s="189">
        <f>IFERROR(__xludf.DUMMYFUNCTION("""COMPUTED_VALUE"""),43361.62943489583)</f>
        <v>43361.62943</v>
      </c>
    </row>
    <row r="748">
      <c r="A748" t="str">
        <f>IFERROR(__xludf.DUMMYFUNCTION("""COMPUTED_VALUE"""),"SJS")</f>
        <v>SJS</v>
      </c>
      <c r="B748" t="str">
        <f>IFERROR(__xludf.DUMMYFUNCTION("""COMPUTED_VALUE"""),"Charlotte")</f>
        <v>Charlotte</v>
      </c>
      <c r="C748" t="str">
        <f>IFERROR(__xludf.DUMMYFUNCTION("""COMPUTED_VALUE"""),"NC")</f>
        <v>NC</v>
      </c>
      <c r="D748" t="str">
        <f>IFERROR(__xludf.DUMMYFUNCTION("""COMPUTED_VALUE"""),"USA")</f>
        <v>USA</v>
      </c>
      <c r="E748" s="188">
        <f>IFERROR(__xludf.DUMMYFUNCTION("""COMPUTED_VALUE"""),43279.0)</f>
        <v>43279</v>
      </c>
      <c r="F748" s="188">
        <f>IFERROR(__xludf.DUMMYFUNCTION("""COMPUTED_VALUE"""),43339.0)</f>
        <v>43339</v>
      </c>
      <c r="H748">
        <f>IFERROR(__xludf.DUMMYFUNCTION("""COMPUTED_VALUE"""),70655.0)</f>
        <v>70655</v>
      </c>
      <c r="I748" t="str">
        <f>IFERROR(__xludf.DUMMYFUNCTION("""COMPUTED_VALUE"""),"08/18")</f>
        <v>08/18</v>
      </c>
      <c r="J748" s="5">
        <f>IFERROR(__xludf.DUMMYFUNCTION("""COMPUTED_VALUE"""),43361.0)</f>
        <v>43361</v>
      </c>
      <c r="K748">
        <f>IFERROR(__xludf.DUMMYFUNCTION("""COMPUTED_VALUE"""),60.0)</f>
        <v>60</v>
      </c>
      <c r="L748">
        <f>IFERROR(__xludf.DUMMYFUNCTION("""COMPUTED_VALUE"""),22.0)</f>
        <v>22</v>
      </c>
      <c r="M748">
        <f>IFERROR(__xludf.DUMMYFUNCTION("""COMPUTED_VALUE"""),82.0)</f>
        <v>82</v>
      </c>
      <c r="N748" t="str">
        <f>IFERROR(__xludf.DUMMYFUNCTION("""COMPUTED_VALUE"""),"Model 3 LR AWD")</f>
        <v>Model 3 LR AWD</v>
      </c>
      <c r="O748" t="str">
        <f>IFERROR(__xludf.DUMMYFUNCTION("""COMPUTED_VALUE"""),"Obsidian Black Metallic")</f>
        <v>Obsidian Black Metallic</v>
      </c>
      <c r="P748" t="str">
        <f>IFERROR(__xludf.DUMMYFUNCTION("""COMPUTED_VALUE"""),"18 inch Aero")</f>
        <v>18 inch Aero</v>
      </c>
      <c r="Q748" t="str">
        <f>IFERROR(__xludf.DUMMYFUNCTION("""COMPUTED_VALUE"""),"Black seats")</f>
        <v>Black seats</v>
      </c>
      <c r="R748" t="str">
        <f>IFERROR(__xludf.DUMMYFUNCTION("""COMPUTED_VALUE"""),"Enhanced Autopilot")</f>
        <v>Enhanced Autopilot</v>
      </c>
      <c r="X748" t="str">
        <f>IFERROR(__xludf.DUMMYFUNCTION("""COMPUTED_VALUE"""),"Excellent")</f>
        <v>Excellent</v>
      </c>
      <c r="Y748" t="str">
        <f>IFERROR(__xludf.DUMMYFUNCTION("""COMPUTED_VALUE"""),"Excellent")</f>
        <v>Excellent</v>
      </c>
      <c r="Z748" t="str">
        <f>IFERROR(__xludf.DUMMYFUNCTION("""COMPUTED_VALUE"""),"Very Good")</f>
        <v>Very Good</v>
      </c>
      <c r="AA748" t="str">
        <f>IFERROR(__xludf.DUMMYFUNCTION("""COMPUTED_VALUE"""),"Excellent")</f>
        <v>Excellent</v>
      </c>
      <c r="AB748" t="str">
        <f>IFERROR(__xludf.DUMMYFUNCTION("""COMPUTED_VALUE"""),"Excellent")</f>
        <v>Excellent</v>
      </c>
      <c r="AH748" s="189">
        <f>IFERROR(__xludf.DUMMYFUNCTION("""COMPUTED_VALUE"""),43361.64912751157)</f>
        <v>43361.64913</v>
      </c>
    </row>
    <row r="749">
      <c r="A749" t="str">
        <f>IFERROR(__xludf.DUMMYFUNCTION("""COMPUTED_VALUE"""),"bergs")</f>
        <v>bergs</v>
      </c>
      <c r="B749" t="str">
        <f>IFERROR(__xludf.DUMMYFUNCTION("""COMPUTED_VALUE"""),"woodside")</f>
        <v>woodside</v>
      </c>
      <c r="C749" t="str">
        <f>IFERROR(__xludf.DUMMYFUNCTION("""COMPUTED_VALUE"""),"CA")</f>
        <v>CA</v>
      </c>
      <c r="D749" t="str">
        <f>IFERROR(__xludf.DUMMYFUNCTION("""COMPUTED_VALUE"""),"USA")</f>
        <v>USA</v>
      </c>
      <c r="E749" s="188">
        <f>IFERROR(__xludf.DUMMYFUNCTION("""COMPUTED_VALUE"""),43279.0)</f>
        <v>43279</v>
      </c>
      <c r="F749" s="188">
        <f>IFERROR(__xludf.DUMMYFUNCTION("""COMPUTED_VALUE"""),43343.0)</f>
        <v>43343</v>
      </c>
      <c r="H749">
        <f>IFERROR(__xludf.DUMMYFUNCTION("""COMPUTED_VALUE"""),67155.0)</f>
        <v>67155</v>
      </c>
      <c r="I749" t="str">
        <f>IFERROR(__xludf.DUMMYFUNCTION("""COMPUTED_VALUE"""),"09/18")</f>
        <v>09/18</v>
      </c>
      <c r="J749" s="5">
        <f>IFERROR(__xludf.DUMMYFUNCTION("""COMPUTED_VALUE"""),43348.0)</f>
        <v>43348</v>
      </c>
      <c r="K749">
        <f>IFERROR(__xludf.DUMMYFUNCTION("""COMPUTED_VALUE"""),64.0)</f>
        <v>64</v>
      </c>
      <c r="L749">
        <f>IFERROR(__xludf.DUMMYFUNCTION("""COMPUTED_VALUE"""),5.0)</f>
        <v>5</v>
      </c>
      <c r="M749">
        <f>IFERROR(__xludf.DUMMYFUNCTION("""COMPUTED_VALUE"""),69.0)</f>
        <v>69</v>
      </c>
      <c r="N749" t="str">
        <f>IFERROR(__xludf.DUMMYFUNCTION("""COMPUTED_VALUE"""),"Model 3 LR AWD")</f>
        <v>Model 3 LR AWD</v>
      </c>
      <c r="O749" t="str">
        <f>IFERROR(__xludf.DUMMYFUNCTION("""COMPUTED_VALUE"""),"Pearl White Multi-Coat")</f>
        <v>Pearl White Multi-Coat</v>
      </c>
      <c r="P749" t="str">
        <f>IFERROR(__xludf.DUMMYFUNCTION("""COMPUTED_VALUE"""),"18 inch Aero")</f>
        <v>18 inch Aero</v>
      </c>
      <c r="Q749" t="str">
        <f>IFERROR(__xludf.DUMMYFUNCTION("""COMPUTED_VALUE"""),"Black seats")</f>
        <v>Black seats</v>
      </c>
      <c r="R749" t="str">
        <f>IFERROR(__xludf.DUMMYFUNCTION("""COMPUTED_VALUE"""),"Full Self-Driving")</f>
        <v>Full Self-Driving</v>
      </c>
      <c r="X749" t="str">
        <f>IFERROR(__xludf.DUMMYFUNCTION("""COMPUTED_VALUE"""),"Fair")</f>
        <v>Fair</v>
      </c>
      <c r="Y749" t="str">
        <f>IFERROR(__xludf.DUMMYFUNCTION("""COMPUTED_VALUE"""),"Good")</f>
        <v>Good</v>
      </c>
      <c r="Z749" t="str">
        <f>IFERROR(__xludf.DUMMYFUNCTION("""COMPUTED_VALUE"""),"Very Good")</f>
        <v>Very Good</v>
      </c>
      <c r="AA749" t="str">
        <f>IFERROR(__xludf.DUMMYFUNCTION("""COMPUTED_VALUE"""),"Poor")</f>
        <v>Poor</v>
      </c>
      <c r="AB749" t="str">
        <f>IFERROR(__xludf.DUMMYFUNCTION("""COMPUTED_VALUE"""),"Fair")</f>
        <v>Fair</v>
      </c>
      <c r="AC749">
        <f>IFERROR(__xludf.DUMMYFUNCTION("""COMPUTED_VALUE"""),10.0)</f>
        <v>10</v>
      </c>
      <c r="AD749">
        <f>IFERROR(__xludf.DUMMYFUNCTION("""COMPUTED_VALUE"""),1.0)</f>
        <v>1</v>
      </c>
      <c r="AE749">
        <f>IFERROR(__xludf.DUMMYFUNCTION("""COMPUTED_VALUE"""),4.0)</f>
        <v>4</v>
      </c>
      <c r="AH749" s="189">
        <f>IFERROR(__xludf.DUMMYFUNCTION("""COMPUTED_VALUE"""),43361.65590143518)</f>
        <v>43361.6559</v>
      </c>
    </row>
    <row r="750">
      <c r="A750" t="str">
        <f>IFERROR(__xludf.DUMMYFUNCTION("""COMPUTED_VALUE"""),"Monroematt")</f>
        <v>Monroematt</v>
      </c>
      <c r="C750" t="str">
        <f>IFERROR(__xludf.DUMMYFUNCTION("""COMPUTED_VALUE"""),"NJ")</f>
        <v>NJ</v>
      </c>
      <c r="D750" t="str">
        <f>IFERROR(__xludf.DUMMYFUNCTION("""COMPUTED_VALUE"""),"USA")</f>
        <v>USA</v>
      </c>
      <c r="E750" s="188">
        <f>IFERROR(__xludf.DUMMYFUNCTION("""COMPUTED_VALUE"""),43281.0)</f>
        <v>43281</v>
      </c>
      <c r="H750">
        <f>IFERROR(__xludf.DUMMYFUNCTION("""COMPUTED_VALUE"""),681855.0)</f>
        <v>681855</v>
      </c>
      <c r="J750" s="5">
        <f>IFERROR(__xludf.DUMMYFUNCTION("""COMPUTED_VALUE"""),43356.0)</f>
        <v>43356</v>
      </c>
      <c r="M750">
        <f>IFERROR(__xludf.DUMMYFUNCTION("""COMPUTED_VALUE"""),75.0)</f>
        <v>75</v>
      </c>
      <c r="N750" t="str">
        <f>IFERROR(__xludf.DUMMYFUNCTION("""COMPUTED_VALUE"""),"Model 3 LR AWD")</f>
        <v>Model 3 LR AWD</v>
      </c>
      <c r="O750" t="str">
        <f>IFERROR(__xludf.DUMMYFUNCTION("""COMPUTED_VALUE"""),"Solid Black")</f>
        <v>Solid Black</v>
      </c>
      <c r="P750" t="str">
        <f>IFERROR(__xludf.DUMMYFUNCTION("""COMPUTED_VALUE"""),"18 inch Aero")</f>
        <v>18 inch Aero</v>
      </c>
      <c r="Q750" t="str">
        <f>IFERROR(__xludf.DUMMYFUNCTION("""COMPUTED_VALUE"""),"Black seats")</f>
        <v>Black seats</v>
      </c>
      <c r="R750" t="str">
        <f>IFERROR(__xludf.DUMMYFUNCTION("""COMPUTED_VALUE"""),"Full Self-Driving")</f>
        <v>Full Self-Driving</v>
      </c>
      <c r="X750" t="str">
        <f>IFERROR(__xludf.DUMMYFUNCTION("""COMPUTED_VALUE"""),"Excellent")</f>
        <v>Excellent</v>
      </c>
      <c r="Y750" t="str">
        <f>IFERROR(__xludf.DUMMYFUNCTION("""COMPUTED_VALUE"""),"Excellent")</f>
        <v>Excellent</v>
      </c>
      <c r="Z750" t="str">
        <f>IFERROR(__xludf.DUMMYFUNCTION("""COMPUTED_VALUE"""),"Excellent")</f>
        <v>Excellent</v>
      </c>
      <c r="AA750" t="str">
        <f>IFERROR(__xludf.DUMMYFUNCTION("""COMPUTED_VALUE"""),"Very Good")</f>
        <v>Very Good</v>
      </c>
      <c r="AB750" t="str">
        <f>IFERROR(__xludf.DUMMYFUNCTION("""COMPUTED_VALUE"""),"Fair")</f>
        <v>Fair</v>
      </c>
      <c r="AH750" s="189">
        <f>IFERROR(__xludf.DUMMYFUNCTION("""COMPUTED_VALUE"""),43361.66679915509)</f>
        <v>43361.6668</v>
      </c>
    </row>
    <row r="751">
      <c r="A751" t="str">
        <f>IFERROR(__xludf.DUMMYFUNCTION("""COMPUTED_VALUE"""),"Tim")</f>
        <v>Tim</v>
      </c>
      <c r="B751" t="str">
        <f>IFERROR(__xludf.DUMMYFUNCTION("""COMPUTED_VALUE"""),"Jacksonville ")</f>
        <v>Jacksonville </v>
      </c>
      <c r="C751" t="str">
        <f>IFERROR(__xludf.DUMMYFUNCTION("""COMPUTED_VALUE"""),"FL")</f>
        <v>FL</v>
      </c>
      <c r="D751" t="str">
        <f>IFERROR(__xludf.DUMMYFUNCTION("""COMPUTED_VALUE"""),"USA")</f>
        <v>USA</v>
      </c>
      <c r="E751" s="188">
        <f>IFERROR(__xludf.DUMMYFUNCTION("""COMPUTED_VALUE"""),43281.0)</f>
        <v>43281</v>
      </c>
      <c r="F751" s="188">
        <f>IFERROR(__xludf.DUMMYFUNCTION("""COMPUTED_VALUE"""),43339.0)</f>
        <v>43339</v>
      </c>
      <c r="H751">
        <f>IFERROR(__xludf.DUMMYFUNCTION("""COMPUTED_VALUE"""),88255.0)</f>
        <v>88255</v>
      </c>
      <c r="I751" t="str">
        <f>IFERROR(__xludf.DUMMYFUNCTION("""COMPUTED_VALUE"""),"08/18")</f>
        <v>08/18</v>
      </c>
      <c r="J751" s="5">
        <f>IFERROR(__xludf.DUMMYFUNCTION("""COMPUTED_VALUE"""),43357.0)</f>
        <v>43357</v>
      </c>
      <c r="K751">
        <f>IFERROR(__xludf.DUMMYFUNCTION("""COMPUTED_VALUE"""),58.0)</f>
        <v>58</v>
      </c>
      <c r="L751">
        <f>IFERROR(__xludf.DUMMYFUNCTION("""COMPUTED_VALUE"""),18.0)</f>
        <v>18</v>
      </c>
      <c r="M751">
        <f>IFERROR(__xludf.DUMMYFUNCTION("""COMPUTED_VALUE"""),76.0)</f>
        <v>76</v>
      </c>
      <c r="N751" t="str">
        <f>IFERROR(__xludf.DUMMYFUNCTION("""COMPUTED_VALUE"""),"Model 3 LR AWD")</f>
        <v>Model 3 LR AWD</v>
      </c>
      <c r="O751" t="str">
        <f>IFERROR(__xludf.DUMMYFUNCTION("""COMPUTED_VALUE"""),"Deep Blue Metallic")</f>
        <v>Deep Blue Metallic</v>
      </c>
      <c r="P751" t="str">
        <f>IFERROR(__xludf.DUMMYFUNCTION("""COMPUTED_VALUE"""),"19 inch Sport")</f>
        <v>19 inch Sport</v>
      </c>
      <c r="Q751" t="str">
        <f>IFERROR(__xludf.DUMMYFUNCTION("""COMPUTED_VALUE"""),"Black seats")</f>
        <v>Black seats</v>
      </c>
      <c r="R751" t="str">
        <f>IFERROR(__xludf.DUMMYFUNCTION("""COMPUTED_VALUE"""),"Full Self-Driving")</f>
        <v>Full Self-Driving</v>
      </c>
      <c r="X751" t="str">
        <f>IFERROR(__xludf.DUMMYFUNCTION("""COMPUTED_VALUE"""),"Excellent")</f>
        <v>Excellent</v>
      </c>
      <c r="Y751" t="str">
        <f>IFERROR(__xludf.DUMMYFUNCTION("""COMPUTED_VALUE"""),"Excellent")</f>
        <v>Excellent</v>
      </c>
      <c r="Z751" t="str">
        <f>IFERROR(__xludf.DUMMYFUNCTION("""COMPUTED_VALUE"""),"Excellent")</f>
        <v>Excellent</v>
      </c>
      <c r="AA751" t="str">
        <f>IFERROR(__xludf.DUMMYFUNCTION("""COMPUTED_VALUE"""),"Good")</f>
        <v>Good</v>
      </c>
      <c r="AB751" t="str">
        <f>IFERROR(__xludf.DUMMYFUNCTION("""COMPUTED_VALUE"""),"Very Good")</f>
        <v>Very Good</v>
      </c>
      <c r="AC751">
        <f>IFERROR(__xludf.DUMMYFUNCTION("""COMPUTED_VALUE"""),2.0)</f>
        <v>2</v>
      </c>
      <c r="AD751">
        <f>IFERROR(__xludf.DUMMYFUNCTION("""COMPUTED_VALUE"""),1.0)</f>
        <v>1</v>
      </c>
      <c r="AH751" s="189">
        <f>IFERROR(__xludf.DUMMYFUNCTION("""COMPUTED_VALUE"""),43361.71710298611)</f>
        <v>43361.7171</v>
      </c>
    </row>
    <row r="752">
      <c r="A752" t="str">
        <f>IFERROR(__xludf.DUMMYFUNCTION("""COMPUTED_VALUE"""),"dnssup")</f>
        <v>dnssup</v>
      </c>
      <c r="B752" t="str">
        <f>IFERROR(__xludf.DUMMYFUNCTION("""COMPUTED_VALUE"""),"Detroit")</f>
        <v>Detroit</v>
      </c>
      <c r="C752" t="str">
        <f>IFERROR(__xludf.DUMMYFUNCTION("""COMPUTED_VALUE"""),"MI")</f>
        <v>MI</v>
      </c>
      <c r="D752" t="str">
        <f>IFERROR(__xludf.DUMMYFUNCTION("""COMPUTED_VALUE"""),"USA")</f>
        <v>USA</v>
      </c>
      <c r="E752" s="188">
        <f>IFERROR(__xludf.DUMMYFUNCTION("""COMPUTED_VALUE"""),43295.0)</f>
        <v>43295</v>
      </c>
      <c r="F752" s="188">
        <f>IFERROR(__xludf.DUMMYFUNCTION("""COMPUTED_VALUE"""),43349.0)</f>
        <v>43349</v>
      </c>
      <c r="H752">
        <f>IFERROR(__xludf.DUMMYFUNCTION("""COMPUTED_VALUE"""),67055.0)</f>
        <v>67055</v>
      </c>
      <c r="J752" s="5">
        <f>IFERROR(__xludf.DUMMYFUNCTION("""COMPUTED_VALUE"""),43358.0)</f>
        <v>43358</v>
      </c>
      <c r="K752">
        <f>IFERROR(__xludf.DUMMYFUNCTION("""COMPUTED_VALUE"""),54.0)</f>
        <v>54</v>
      </c>
      <c r="L752">
        <f>IFERROR(__xludf.DUMMYFUNCTION("""COMPUTED_VALUE"""),9.0)</f>
        <v>9</v>
      </c>
      <c r="M752">
        <f>IFERROR(__xludf.DUMMYFUNCTION("""COMPUTED_VALUE"""),63.0)</f>
        <v>63</v>
      </c>
      <c r="N752" t="str">
        <f>IFERROR(__xludf.DUMMYFUNCTION("""COMPUTED_VALUE"""),"Model 3 LR AWD")</f>
        <v>Model 3 LR AWD</v>
      </c>
      <c r="O752" t="str">
        <f>IFERROR(__xludf.DUMMYFUNCTION("""COMPUTED_VALUE"""),"Pearl White Multi-Coat")</f>
        <v>Pearl White Multi-Coat</v>
      </c>
      <c r="P752" t="str">
        <f>IFERROR(__xludf.DUMMYFUNCTION("""COMPUTED_VALUE"""),"18 inch Aero")</f>
        <v>18 inch Aero</v>
      </c>
      <c r="Q752" t="str">
        <f>IFERROR(__xludf.DUMMYFUNCTION("""COMPUTED_VALUE"""),"Black seats")</f>
        <v>Black seats</v>
      </c>
      <c r="R752" t="str">
        <f>IFERROR(__xludf.DUMMYFUNCTION("""COMPUTED_VALUE"""),"Enhanced Autopilot")</f>
        <v>Enhanced Autopilot</v>
      </c>
      <c r="X752" t="str">
        <f>IFERROR(__xludf.DUMMYFUNCTION("""COMPUTED_VALUE"""),"Very Good")</f>
        <v>Very Good</v>
      </c>
      <c r="Y752" t="str">
        <f>IFERROR(__xludf.DUMMYFUNCTION("""COMPUTED_VALUE"""),"Excellent")</f>
        <v>Excellent</v>
      </c>
      <c r="Z752" t="str">
        <f>IFERROR(__xludf.DUMMYFUNCTION("""COMPUTED_VALUE"""),"Excellent")</f>
        <v>Excellent</v>
      </c>
      <c r="AA752" t="str">
        <f>IFERROR(__xludf.DUMMYFUNCTION("""COMPUTED_VALUE"""),"Fair")</f>
        <v>Fair</v>
      </c>
      <c r="AB752" t="str">
        <f>IFERROR(__xludf.DUMMYFUNCTION("""COMPUTED_VALUE"""),"Excellent")</f>
        <v>Excellent</v>
      </c>
      <c r="AC752">
        <f>IFERROR(__xludf.DUMMYFUNCTION("""COMPUTED_VALUE"""),0.0)</f>
        <v>0</v>
      </c>
      <c r="AD752">
        <f>IFERROR(__xludf.DUMMYFUNCTION("""COMPUTED_VALUE"""),0.0)</f>
        <v>0</v>
      </c>
      <c r="AE752">
        <f>IFERROR(__xludf.DUMMYFUNCTION("""COMPUTED_VALUE"""),0.0)</f>
        <v>0</v>
      </c>
      <c r="AH752" s="189">
        <f>IFERROR(__xludf.DUMMYFUNCTION("""COMPUTED_VALUE"""),43361.7802355787)</f>
        <v>43361.78024</v>
      </c>
    </row>
    <row r="753">
      <c r="A753" t="str">
        <f>IFERROR(__xludf.DUMMYFUNCTION("""COMPUTED_VALUE"""),"Teslunatic")</f>
        <v>Teslunatic</v>
      </c>
      <c r="B753" t="str">
        <f>IFERROR(__xludf.DUMMYFUNCTION("""COMPUTED_VALUE"""),"Knoxville")</f>
        <v>Knoxville</v>
      </c>
      <c r="C753" t="str">
        <f>IFERROR(__xludf.DUMMYFUNCTION("""COMPUTED_VALUE"""),"TN")</f>
        <v>TN</v>
      </c>
      <c r="D753" t="str">
        <f>IFERROR(__xludf.DUMMYFUNCTION("""COMPUTED_VALUE"""),"USA")</f>
        <v>USA</v>
      </c>
      <c r="E753" s="188">
        <f>IFERROR(__xludf.DUMMYFUNCTION("""COMPUTED_VALUE"""),43280.0)</f>
        <v>43280</v>
      </c>
      <c r="H753">
        <f>IFERROR(__xludf.DUMMYFUNCTION("""COMPUTED_VALUE"""),99955.0)</f>
        <v>99955</v>
      </c>
      <c r="J753" s="5">
        <f>IFERROR(__xludf.DUMMYFUNCTION("""COMPUTED_VALUE"""),43359.0)</f>
        <v>43359</v>
      </c>
      <c r="M753">
        <f>IFERROR(__xludf.DUMMYFUNCTION("""COMPUTED_VALUE"""),79.0)</f>
        <v>79</v>
      </c>
      <c r="N753" t="str">
        <f>IFERROR(__xludf.DUMMYFUNCTION("""COMPUTED_VALUE"""),"Model 3 LR AWD")</f>
        <v>Model 3 LR AWD</v>
      </c>
      <c r="O753" t="str">
        <f>IFERROR(__xludf.DUMMYFUNCTION("""COMPUTED_VALUE"""),"Deep Blue Metallic")</f>
        <v>Deep Blue Metallic</v>
      </c>
      <c r="P753" t="str">
        <f>IFERROR(__xludf.DUMMYFUNCTION("""COMPUTED_VALUE"""),"19 inch Sport")</f>
        <v>19 inch Sport</v>
      </c>
      <c r="Q753" t="str">
        <f>IFERROR(__xludf.DUMMYFUNCTION("""COMPUTED_VALUE"""),"White seats")</f>
        <v>White seats</v>
      </c>
      <c r="R753" t="str">
        <f>IFERROR(__xludf.DUMMYFUNCTION("""COMPUTED_VALUE"""),"Enhanced Autopilot")</f>
        <v>Enhanced Autopilot</v>
      </c>
      <c r="X753" t="str">
        <f>IFERROR(__xludf.DUMMYFUNCTION("""COMPUTED_VALUE"""),"Excellent")</f>
        <v>Excellent</v>
      </c>
      <c r="Y753" t="str">
        <f>IFERROR(__xludf.DUMMYFUNCTION("""COMPUTED_VALUE"""),"Excellent")</f>
        <v>Excellent</v>
      </c>
      <c r="Z753" t="str">
        <f>IFERROR(__xludf.DUMMYFUNCTION("""COMPUTED_VALUE"""),"Very Good")</f>
        <v>Very Good</v>
      </c>
      <c r="AA753" t="str">
        <f>IFERROR(__xludf.DUMMYFUNCTION("""COMPUTED_VALUE"""),"Excellent")</f>
        <v>Excellent</v>
      </c>
      <c r="AB753" t="str">
        <f>IFERROR(__xludf.DUMMYFUNCTION("""COMPUTED_VALUE"""),"Excellent")</f>
        <v>Excellent</v>
      </c>
      <c r="AD753">
        <f>IFERROR(__xludf.DUMMYFUNCTION("""COMPUTED_VALUE"""),1.0)</f>
        <v>1</v>
      </c>
      <c r="AH753" s="189">
        <f>IFERROR(__xludf.DUMMYFUNCTION("""COMPUTED_VALUE"""),43361.879655173616)</f>
        <v>43361.87966</v>
      </c>
    </row>
    <row r="754">
      <c r="A754" t="str">
        <f>IFERROR(__xludf.DUMMYFUNCTION("""COMPUTED_VALUE"""),"obryan")</f>
        <v>obryan</v>
      </c>
      <c r="B754" t="str">
        <f>IFERROR(__xludf.DUMMYFUNCTION("""COMPUTED_VALUE"""),"Toronto")</f>
        <v>Toronto</v>
      </c>
      <c r="C754" t="str">
        <f>IFERROR(__xludf.DUMMYFUNCTION("""COMPUTED_VALUE"""),"ON")</f>
        <v>ON</v>
      </c>
      <c r="D754" t="str">
        <f>IFERROR(__xludf.DUMMYFUNCTION("""COMPUTED_VALUE"""),"Canada")</f>
        <v>Canada</v>
      </c>
      <c r="E754" s="188">
        <f>IFERROR(__xludf.DUMMYFUNCTION("""COMPUTED_VALUE"""),43278.0)</f>
        <v>43278</v>
      </c>
      <c r="F754" s="188">
        <f>IFERROR(__xludf.DUMMYFUNCTION("""COMPUTED_VALUE"""),43330.0)</f>
        <v>43330</v>
      </c>
      <c r="H754">
        <f>IFERROR(__xludf.DUMMYFUNCTION("""COMPUTED_VALUE"""),95765.0)</f>
        <v>95765</v>
      </c>
      <c r="I754" t="str">
        <f>IFERROR(__xludf.DUMMYFUNCTION("""COMPUTED_VALUE"""),"08/18")</f>
        <v>08/18</v>
      </c>
      <c r="J754" s="5">
        <f>IFERROR(__xludf.DUMMYFUNCTION("""COMPUTED_VALUE"""),43353.0)</f>
        <v>43353</v>
      </c>
      <c r="K754">
        <f>IFERROR(__xludf.DUMMYFUNCTION("""COMPUTED_VALUE"""),52.0)</f>
        <v>52</v>
      </c>
      <c r="L754">
        <f>IFERROR(__xludf.DUMMYFUNCTION("""COMPUTED_VALUE"""),23.0)</f>
        <v>23</v>
      </c>
      <c r="M754">
        <f>IFERROR(__xludf.DUMMYFUNCTION("""COMPUTED_VALUE"""),75.0)</f>
        <v>75</v>
      </c>
      <c r="N754" t="str">
        <f>IFERROR(__xludf.DUMMYFUNCTION("""COMPUTED_VALUE"""),"Model 3 LR")</f>
        <v>Model 3 LR</v>
      </c>
      <c r="O754" t="str">
        <f>IFERROR(__xludf.DUMMYFUNCTION("""COMPUTED_VALUE"""),"Deep Blue Metallic")</f>
        <v>Deep Blue Metallic</v>
      </c>
      <c r="P754" t="str">
        <f>IFERROR(__xludf.DUMMYFUNCTION("""COMPUTED_VALUE"""),"18 inch Aero")</f>
        <v>18 inch Aero</v>
      </c>
      <c r="Q754" t="str">
        <f>IFERROR(__xludf.DUMMYFUNCTION("""COMPUTED_VALUE"""),"Black seats")</f>
        <v>Black seats</v>
      </c>
      <c r="R754" t="str">
        <f>IFERROR(__xludf.DUMMYFUNCTION("""COMPUTED_VALUE"""),"Enhanced Autopilot")</f>
        <v>Enhanced Autopilot</v>
      </c>
      <c r="X754" t="str">
        <f>IFERROR(__xludf.DUMMYFUNCTION("""COMPUTED_VALUE"""),"Excellent")</f>
        <v>Excellent</v>
      </c>
      <c r="Y754" t="str">
        <f>IFERROR(__xludf.DUMMYFUNCTION("""COMPUTED_VALUE"""),"Excellent")</f>
        <v>Excellent</v>
      </c>
      <c r="Z754" t="str">
        <f>IFERROR(__xludf.DUMMYFUNCTION("""COMPUTED_VALUE"""),"Excellent")</f>
        <v>Excellent</v>
      </c>
      <c r="AA754" t="str">
        <f>IFERROR(__xludf.DUMMYFUNCTION("""COMPUTED_VALUE"""),"Good")</f>
        <v>Good</v>
      </c>
      <c r="AB754" t="str">
        <f>IFERROR(__xludf.DUMMYFUNCTION("""COMPUTED_VALUE"""),"Good")</f>
        <v>Good</v>
      </c>
      <c r="AC754">
        <f>IFERROR(__xludf.DUMMYFUNCTION("""COMPUTED_VALUE"""),1.0)</f>
        <v>1</v>
      </c>
      <c r="AH754" s="189">
        <f>IFERROR(__xludf.DUMMYFUNCTION("""COMPUTED_VALUE"""),43361.90293214121)</f>
        <v>43361.90293</v>
      </c>
    </row>
    <row r="755">
      <c r="A755" t="str">
        <f>IFERROR(__xludf.DUMMYFUNCTION("""COMPUTED_VALUE"""),"Pachena")</f>
        <v>Pachena</v>
      </c>
      <c r="B755" t="str">
        <f>IFERROR(__xludf.DUMMYFUNCTION("""COMPUTED_VALUE"""),"Surrey")</f>
        <v>Surrey</v>
      </c>
      <c r="C755" t="str">
        <f>IFERROR(__xludf.DUMMYFUNCTION("""COMPUTED_VALUE"""),"BC")</f>
        <v>BC</v>
      </c>
      <c r="D755" t="str">
        <f>IFERROR(__xludf.DUMMYFUNCTION("""COMPUTED_VALUE"""),"Canada")</f>
        <v>Canada</v>
      </c>
      <c r="E755" s="188">
        <f>IFERROR(__xludf.DUMMYFUNCTION("""COMPUTED_VALUE"""),43280.0)</f>
        <v>43280</v>
      </c>
      <c r="F755" s="188">
        <f>IFERROR(__xludf.DUMMYFUNCTION("""COMPUTED_VALUE"""),43354.0)</f>
        <v>43354</v>
      </c>
      <c r="H755">
        <f>IFERROR(__xludf.DUMMYFUNCTION("""COMPUTED_VALUE"""),107055.0)</f>
        <v>107055</v>
      </c>
      <c r="I755" t="str">
        <f>IFERROR(__xludf.DUMMYFUNCTION("""COMPUTED_VALUE"""),"09/18")</f>
        <v>09/18</v>
      </c>
      <c r="J755" s="5">
        <f>IFERROR(__xludf.DUMMYFUNCTION("""COMPUTED_VALUE"""),43361.0)</f>
        <v>43361</v>
      </c>
      <c r="K755">
        <f>IFERROR(__xludf.DUMMYFUNCTION("""COMPUTED_VALUE"""),74.0)</f>
        <v>74</v>
      </c>
      <c r="L755">
        <f>IFERROR(__xludf.DUMMYFUNCTION("""COMPUTED_VALUE"""),7.0)</f>
        <v>7</v>
      </c>
      <c r="M755">
        <f>IFERROR(__xludf.DUMMYFUNCTION("""COMPUTED_VALUE"""),81.0)</f>
        <v>81</v>
      </c>
      <c r="N755" t="str">
        <f>IFERROR(__xludf.DUMMYFUNCTION("""COMPUTED_VALUE"""),"Model 3 LR AWD")</f>
        <v>Model 3 LR AWD</v>
      </c>
      <c r="O755" t="str">
        <f>IFERROR(__xludf.DUMMYFUNCTION("""COMPUTED_VALUE"""),"Red Multi-Coat")</f>
        <v>Red Multi-Coat</v>
      </c>
      <c r="P755" t="str">
        <f>IFERROR(__xludf.DUMMYFUNCTION("""COMPUTED_VALUE"""),"18 inch Aero")</f>
        <v>18 inch Aero</v>
      </c>
      <c r="Q755" t="str">
        <f>IFERROR(__xludf.DUMMYFUNCTION("""COMPUTED_VALUE"""),"Black seats")</f>
        <v>Black seats</v>
      </c>
      <c r="R755" t="str">
        <f>IFERROR(__xludf.DUMMYFUNCTION("""COMPUTED_VALUE"""),"Enhanced Autopilot")</f>
        <v>Enhanced Autopilot</v>
      </c>
      <c r="X755" t="str">
        <f>IFERROR(__xludf.DUMMYFUNCTION("""COMPUTED_VALUE"""),"Very Good")</f>
        <v>Very Good</v>
      </c>
      <c r="Y755" t="str">
        <f>IFERROR(__xludf.DUMMYFUNCTION("""COMPUTED_VALUE"""),"Excellent")</f>
        <v>Excellent</v>
      </c>
      <c r="Z755" t="str">
        <f>IFERROR(__xludf.DUMMYFUNCTION("""COMPUTED_VALUE"""),"Excellent")</f>
        <v>Excellent</v>
      </c>
      <c r="AA755" t="str">
        <f>IFERROR(__xludf.DUMMYFUNCTION("""COMPUTED_VALUE"""),"Fair")</f>
        <v>Fair</v>
      </c>
      <c r="AB755" t="str">
        <f>IFERROR(__xludf.DUMMYFUNCTION("""COMPUTED_VALUE"""),"Very Good")</f>
        <v>Very Good</v>
      </c>
      <c r="AH755" s="189">
        <f>IFERROR(__xludf.DUMMYFUNCTION("""COMPUTED_VALUE"""),43361.93043916667)</f>
        <v>43361.93044</v>
      </c>
    </row>
    <row r="756">
      <c r="A756" t="str">
        <f>IFERROR(__xludf.DUMMYFUNCTION("""COMPUTED_VALUE"""),"Djimmy")</f>
        <v>Djimmy</v>
      </c>
      <c r="C756" t="str">
        <f>IFERROR(__xludf.DUMMYFUNCTION("""COMPUTED_VALUE"""),"NJ")</f>
        <v>NJ</v>
      </c>
      <c r="D756" t="str">
        <f>IFERROR(__xludf.DUMMYFUNCTION("""COMPUTED_VALUE"""),"USA")</f>
        <v>USA</v>
      </c>
      <c r="E756" s="188">
        <f>IFERROR(__xludf.DUMMYFUNCTION("""COMPUTED_VALUE"""),43280.0)</f>
        <v>43280</v>
      </c>
      <c r="F756" s="188">
        <f>IFERROR(__xludf.DUMMYFUNCTION("""COMPUTED_VALUE"""),43313.0)</f>
        <v>43313</v>
      </c>
      <c r="H756">
        <f>IFERROR(__xludf.DUMMYFUNCTION("""COMPUTED_VALUE"""),55055.0)</f>
        <v>55055</v>
      </c>
      <c r="I756" t="str">
        <f>IFERROR(__xludf.DUMMYFUNCTION("""COMPUTED_VALUE"""),"08/18")</f>
        <v>08/18</v>
      </c>
      <c r="J756" s="5">
        <f>IFERROR(__xludf.DUMMYFUNCTION("""COMPUTED_VALUE"""),43353.0)</f>
        <v>43353</v>
      </c>
      <c r="K756">
        <f>IFERROR(__xludf.DUMMYFUNCTION("""COMPUTED_VALUE"""),33.0)</f>
        <v>33</v>
      </c>
      <c r="L756">
        <f>IFERROR(__xludf.DUMMYFUNCTION("""COMPUTED_VALUE"""),40.0)</f>
        <v>40</v>
      </c>
      <c r="M756">
        <f>IFERROR(__xludf.DUMMYFUNCTION("""COMPUTED_VALUE"""),73.0)</f>
        <v>73</v>
      </c>
      <c r="N756" t="str">
        <f>IFERROR(__xludf.DUMMYFUNCTION("""COMPUTED_VALUE"""),"Model 3 LR AWD")</f>
        <v>Model 3 LR AWD</v>
      </c>
      <c r="O756" t="str">
        <f>IFERROR(__xludf.DUMMYFUNCTION("""COMPUTED_VALUE"""),"Red Multi-Coat")</f>
        <v>Red Multi-Coat</v>
      </c>
      <c r="P756" t="str">
        <f>IFERROR(__xludf.DUMMYFUNCTION("""COMPUTED_VALUE"""),"18 inch Aero")</f>
        <v>18 inch Aero</v>
      </c>
      <c r="Q756" t="str">
        <f>IFERROR(__xludf.DUMMYFUNCTION("""COMPUTED_VALUE"""),"Black seats")</f>
        <v>Black seats</v>
      </c>
      <c r="R756" t="str">
        <f>IFERROR(__xludf.DUMMYFUNCTION("""COMPUTED_VALUE"""),"Full Self-Driving")</f>
        <v>Full Self-Driving</v>
      </c>
      <c r="X756" t="str">
        <f>IFERROR(__xludf.DUMMYFUNCTION("""COMPUTED_VALUE"""),"Excellent")</f>
        <v>Excellent</v>
      </c>
      <c r="Y756" t="str">
        <f>IFERROR(__xludf.DUMMYFUNCTION("""COMPUTED_VALUE"""),"Very Good")</f>
        <v>Very Good</v>
      </c>
      <c r="Z756" t="str">
        <f>IFERROR(__xludf.DUMMYFUNCTION("""COMPUTED_VALUE"""),"Very Good")</f>
        <v>Very Good</v>
      </c>
      <c r="AA756" t="str">
        <f>IFERROR(__xludf.DUMMYFUNCTION("""COMPUTED_VALUE"""),"Excellent")</f>
        <v>Excellent</v>
      </c>
      <c r="AB756" t="str">
        <f>IFERROR(__xludf.DUMMYFUNCTION("""COMPUTED_VALUE"""),"Very Good")</f>
        <v>Very Good</v>
      </c>
      <c r="AC756">
        <f>IFERROR(__xludf.DUMMYFUNCTION("""COMPUTED_VALUE"""),0.0)</f>
        <v>0</v>
      </c>
      <c r="AD756">
        <f>IFERROR(__xludf.DUMMYFUNCTION("""COMPUTED_VALUE"""),0.0)</f>
        <v>0</v>
      </c>
      <c r="AE756">
        <f>IFERROR(__xludf.DUMMYFUNCTION("""COMPUTED_VALUE"""),0.0)</f>
        <v>0</v>
      </c>
      <c r="AH756" s="189">
        <f>IFERROR(__xludf.DUMMYFUNCTION("""COMPUTED_VALUE"""),43362.13345623843)</f>
        <v>43362.13346</v>
      </c>
    </row>
    <row r="757">
      <c r="A757" t="str">
        <f>IFERROR(__xludf.DUMMYFUNCTION("""COMPUTED_VALUE"""),"GadgetMan")</f>
        <v>GadgetMan</v>
      </c>
      <c r="B757" t="str">
        <f>IFERROR(__xludf.DUMMYFUNCTION("""COMPUTED_VALUE"""),"Cherry Hill")</f>
        <v>Cherry Hill</v>
      </c>
      <c r="C757" t="str">
        <f>IFERROR(__xludf.DUMMYFUNCTION("""COMPUTED_VALUE"""),"NJ")</f>
        <v>NJ</v>
      </c>
      <c r="D757" t="str">
        <f>IFERROR(__xludf.DUMMYFUNCTION("""COMPUTED_VALUE"""),"USA")</f>
        <v>USA</v>
      </c>
      <c r="E757" s="188">
        <f>IFERROR(__xludf.DUMMYFUNCTION("""COMPUTED_VALUE"""),43293.0)</f>
        <v>43293</v>
      </c>
      <c r="F757" s="188">
        <f>IFERROR(__xludf.DUMMYFUNCTION("""COMPUTED_VALUE"""),43348.0)</f>
        <v>43348</v>
      </c>
      <c r="H757">
        <f>IFERROR(__xludf.DUMMYFUNCTION("""COMPUTED_VALUE"""),69255.0)</f>
        <v>69255</v>
      </c>
      <c r="I757" t="str">
        <f>IFERROR(__xludf.DUMMYFUNCTION("""COMPUTED_VALUE"""),"08/18")</f>
        <v>08/18</v>
      </c>
      <c r="J757" s="5">
        <f>IFERROR(__xludf.DUMMYFUNCTION("""COMPUTED_VALUE"""),43362.0)</f>
        <v>43362</v>
      </c>
      <c r="K757">
        <f>IFERROR(__xludf.DUMMYFUNCTION("""COMPUTED_VALUE"""),55.0)</f>
        <v>55</v>
      </c>
      <c r="L757">
        <f>IFERROR(__xludf.DUMMYFUNCTION("""COMPUTED_VALUE"""),14.0)</f>
        <v>14</v>
      </c>
      <c r="M757">
        <f>IFERROR(__xludf.DUMMYFUNCTION("""COMPUTED_VALUE"""),69.0)</f>
        <v>69</v>
      </c>
      <c r="N757" t="str">
        <f>IFERROR(__xludf.DUMMYFUNCTION("""COMPUTED_VALUE"""),"Model 3 LR AWD")</f>
        <v>Model 3 LR AWD</v>
      </c>
      <c r="O757" t="str">
        <f>IFERROR(__xludf.DUMMYFUNCTION("""COMPUTED_VALUE"""),"Silver Metallic")</f>
        <v>Silver Metallic</v>
      </c>
      <c r="P757" t="str">
        <f>IFERROR(__xludf.DUMMYFUNCTION("""COMPUTED_VALUE"""),"19 inch Sport")</f>
        <v>19 inch Sport</v>
      </c>
      <c r="Q757" t="str">
        <f>IFERROR(__xludf.DUMMYFUNCTION("""COMPUTED_VALUE"""),"Black seats")</f>
        <v>Black seats</v>
      </c>
      <c r="R757" t="str">
        <f>IFERROR(__xludf.DUMMYFUNCTION("""COMPUTED_VALUE"""),"Full Self-Driving")</f>
        <v>Full Self-Driving</v>
      </c>
      <c r="X757" t="str">
        <f>IFERROR(__xludf.DUMMYFUNCTION("""COMPUTED_VALUE"""),"Excellent")</f>
        <v>Excellent</v>
      </c>
      <c r="Y757" t="str">
        <f>IFERROR(__xludf.DUMMYFUNCTION("""COMPUTED_VALUE"""),"Excellent")</f>
        <v>Excellent</v>
      </c>
      <c r="Z757" t="str">
        <f>IFERROR(__xludf.DUMMYFUNCTION("""COMPUTED_VALUE"""),"Excellent")</f>
        <v>Excellent</v>
      </c>
      <c r="AA757" t="str">
        <f>IFERROR(__xludf.DUMMYFUNCTION("""COMPUTED_VALUE"""),"Excellent")</f>
        <v>Excellent</v>
      </c>
      <c r="AB757" t="str">
        <f>IFERROR(__xludf.DUMMYFUNCTION("""COMPUTED_VALUE"""),"Excellent")</f>
        <v>Excellent</v>
      </c>
      <c r="AH757" s="189">
        <f>IFERROR(__xludf.DUMMYFUNCTION("""COMPUTED_VALUE"""),43362.45508175926)</f>
        <v>43362.45508</v>
      </c>
    </row>
    <row r="758">
      <c r="A758" t="str">
        <f>IFERROR(__xludf.DUMMYFUNCTION("""COMPUTED_VALUE"""),"MikeN1280")</f>
        <v>MikeN1280</v>
      </c>
      <c r="B758" t="str">
        <f>IFERROR(__xludf.DUMMYFUNCTION("""COMPUTED_VALUE"""),"Las Vegas")</f>
        <v>Las Vegas</v>
      </c>
      <c r="C758" t="str">
        <f>IFERROR(__xludf.DUMMYFUNCTION("""COMPUTED_VALUE"""),"NV")</f>
        <v>NV</v>
      </c>
      <c r="D758" t="str">
        <f>IFERROR(__xludf.DUMMYFUNCTION("""COMPUTED_VALUE"""),"USA")</f>
        <v>USA</v>
      </c>
      <c r="E758" s="188">
        <f>IFERROR(__xludf.DUMMYFUNCTION("""COMPUTED_VALUE"""),43279.0)</f>
        <v>43279</v>
      </c>
      <c r="F758" s="188">
        <f>IFERROR(__xludf.DUMMYFUNCTION("""COMPUTED_VALUE"""),43355.0)</f>
        <v>43355</v>
      </c>
      <c r="H758">
        <f>IFERROR(__xludf.DUMMYFUNCTION("""COMPUTED_VALUE"""),100334.0)</f>
        <v>100334</v>
      </c>
      <c r="I758" t="str">
        <f>IFERROR(__xludf.DUMMYFUNCTION("""COMPUTED_VALUE"""),"09/18")</f>
        <v>09/18</v>
      </c>
      <c r="J758" s="5">
        <f>IFERROR(__xludf.DUMMYFUNCTION("""COMPUTED_VALUE"""),43360.0)</f>
        <v>43360</v>
      </c>
      <c r="K758">
        <f>IFERROR(__xludf.DUMMYFUNCTION("""COMPUTED_VALUE"""),76.0)</f>
        <v>76</v>
      </c>
      <c r="L758">
        <f>IFERROR(__xludf.DUMMYFUNCTION("""COMPUTED_VALUE"""),5.0)</f>
        <v>5</v>
      </c>
      <c r="M758">
        <f>IFERROR(__xludf.DUMMYFUNCTION("""COMPUTED_VALUE"""),81.0)</f>
        <v>81</v>
      </c>
      <c r="N758" t="str">
        <f>IFERROR(__xludf.DUMMYFUNCTION("""COMPUTED_VALUE"""),"Model 3 LR AWD")</f>
        <v>Model 3 LR AWD</v>
      </c>
      <c r="O758" t="str">
        <f>IFERROR(__xludf.DUMMYFUNCTION("""COMPUTED_VALUE"""),"Obsidian Black Metallic")</f>
        <v>Obsidian Black Metallic</v>
      </c>
      <c r="P758" t="str">
        <f>IFERROR(__xludf.DUMMYFUNCTION("""COMPUTED_VALUE"""),"19 inch Sport")</f>
        <v>19 inch Sport</v>
      </c>
      <c r="Q758" t="str">
        <f>IFERROR(__xludf.DUMMYFUNCTION("""COMPUTED_VALUE"""),"White seats")</f>
        <v>White seats</v>
      </c>
      <c r="R758" t="str">
        <f>IFERROR(__xludf.DUMMYFUNCTION("""COMPUTED_VALUE"""),"Enhanced Autopilot")</f>
        <v>Enhanced Autopilot</v>
      </c>
      <c r="X758" t="str">
        <f>IFERROR(__xludf.DUMMYFUNCTION("""COMPUTED_VALUE"""),"Excellent")</f>
        <v>Excellent</v>
      </c>
      <c r="Y758" t="str">
        <f>IFERROR(__xludf.DUMMYFUNCTION("""COMPUTED_VALUE"""),"Excellent")</f>
        <v>Excellent</v>
      </c>
      <c r="Z758" t="str">
        <f>IFERROR(__xludf.DUMMYFUNCTION("""COMPUTED_VALUE"""),"Excellent")</f>
        <v>Excellent</v>
      </c>
      <c r="AA758" t="str">
        <f>IFERROR(__xludf.DUMMYFUNCTION("""COMPUTED_VALUE"""),"Fair")</f>
        <v>Fair</v>
      </c>
      <c r="AB758" t="str">
        <f>IFERROR(__xludf.DUMMYFUNCTION("""COMPUTED_VALUE"""),"Good")</f>
        <v>Good</v>
      </c>
      <c r="AH758" s="189">
        <f>IFERROR(__xludf.DUMMYFUNCTION("""COMPUTED_VALUE"""),43362.47737234954)</f>
        <v>43362.47737</v>
      </c>
    </row>
    <row r="759">
      <c r="A759" t="str">
        <f>IFERROR(__xludf.DUMMYFUNCTION("""COMPUTED_VALUE"""),"Thx44")</f>
        <v>Thx44</v>
      </c>
      <c r="B759" t="str">
        <f>IFERROR(__xludf.DUMMYFUNCTION("""COMPUTED_VALUE"""),"Phoenixville, PA")</f>
        <v>Phoenixville, PA</v>
      </c>
      <c r="C759" t="str">
        <f>IFERROR(__xludf.DUMMYFUNCTION("""COMPUTED_VALUE"""),"PA")</f>
        <v>PA</v>
      </c>
      <c r="D759" t="str">
        <f>IFERROR(__xludf.DUMMYFUNCTION("""COMPUTED_VALUE"""),"USA")</f>
        <v>USA</v>
      </c>
      <c r="E759" s="188">
        <f>IFERROR(__xludf.DUMMYFUNCTION("""COMPUTED_VALUE"""),43335.0)</f>
        <v>43335</v>
      </c>
      <c r="F759" s="188">
        <f>IFERROR(__xludf.DUMMYFUNCTION("""COMPUTED_VALUE"""),43339.0)</f>
        <v>43339</v>
      </c>
      <c r="H759">
        <f>IFERROR(__xludf.DUMMYFUNCTION("""COMPUTED_VALUE"""),77455.0)</f>
        <v>77455</v>
      </c>
      <c r="I759" t="str">
        <f>IFERROR(__xludf.DUMMYFUNCTION("""COMPUTED_VALUE"""),"08/18")</f>
        <v>08/18</v>
      </c>
      <c r="J759" s="5">
        <f>IFERROR(__xludf.DUMMYFUNCTION("""COMPUTED_VALUE"""),43358.0)</f>
        <v>43358</v>
      </c>
      <c r="K759">
        <f>IFERROR(__xludf.DUMMYFUNCTION("""COMPUTED_VALUE"""),4.0)</f>
        <v>4</v>
      </c>
      <c r="L759">
        <f>IFERROR(__xludf.DUMMYFUNCTION("""COMPUTED_VALUE"""),19.0)</f>
        <v>19</v>
      </c>
      <c r="M759">
        <f>IFERROR(__xludf.DUMMYFUNCTION("""COMPUTED_VALUE"""),23.0)</f>
        <v>23</v>
      </c>
      <c r="N759" t="str">
        <f>IFERROR(__xludf.DUMMYFUNCTION("""COMPUTED_VALUE"""),"Model 3 LR")</f>
        <v>Model 3 LR</v>
      </c>
      <c r="O759" t="str">
        <f>IFERROR(__xludf.DUMMYFUNCTION("""COMPUTED_VALUE"""),"Midnight Silver Metallic")</f>
        <v>Midnight Silver Metallic</v>
      </c>
      <c r="P759" t="str">
        <f>IFERROR(__xludf.DUMMYFUNCTION("""COMPUTED_VALUE"""),"18 inch Aero")</f>
        <v>18 inch Aero</v>
      </c>
      <c r="Q759" t="str">
        <f>IFERROR(__xludf.DUMMYFUNCTION("""COMPUTED_VALUE"""),"Black seats")</f>
        <v>Black seats</v>
      </c>
      <c r="R759" t="str">
        <f>IFERROR(__xludf.DUMMYFUNCTION("""COMPUTED_VALUE"""),"None")</f>
        <v>None</v>
      </c>
      <c r="X759" t="str">
        <f>IFERROR(__xludf.DUMMYFUNCTION("""COMPUTED_VALUE"""),"Excellent")</f>
        <v>Excellent</v>
      </c>
      <c r="Y759" t="str">
        <f>IFERROR(__xludf.DUMMYFUNCTION("""COMPUTED_VALUE"""),"Excellent")</f>
        <v>Excellent</v>
      </c>
      <c r="Z759" t="str">
        <f>IFERROR(__xludf.DUMMYFUNCTION("""COMPUTED_VALUE"""),"Excellent")</f>
        <v>Excellent</v>
      </c>
      <c r="AA759" t="str">
        <f>IFERROR(__xludf.DUMMYFUNCTION("""COMPUTED_VALUE"""),"Good")</f>
        <v>Good</v>
      </c>
      <c r="AB759" t="str">
        <f>IFERROR(__xludf.DUMMYFUNCTION("""COMPUTED_VALUE"""),"Excellent")</f>
        <v>Excellent</v>
      </c>
      <c r="AH759" s="189">
        <f>IFERROR(__xludf.DUMMYFUNCTION("""COMPUTED_VALUE"""),43362.517909988426)</f>
        <v>43362.51791</v>
      </c>
    </row>
    <row r="760">
      <c r="A760" t="str">
        <f>IFERROR(__xludf.DUMMYFUNCTION("""COMPUTED_VALUE"""),"pdxt3")</f>
        <v>pdxt3</v>
      </c>
      <c r="B760" t="str">
        <f>IFERROR(__xludf.DUMMYFUNCTION("""COMPUTED_VALUE"""),"Portland")</f>
        <v>Portland</v>
      </c>
      <c r="C760" t="str">
        <f>IFERROR(__xludf.DUMMYFUNCTION("""COMPUTED_VALUE"""),"OR")</f>
        <v>OR</v>
      </c>
      <c r="D760" t="str">
        <f>IFERROR(__xludf.DUMMYFUNCTION("""COMPUTED_VALUE"""),"USA")</f>
        <v>USA</v>
      </c>
      <c r="E760" s="188">
        <f>IFERROR(__xludf.DUMMYFUNCTION("""COMPUTED_VALUE"""),43277.0)</f>
        <v>43277</v>
      </c>
      <c r="J760" s="5">
        <f>IFERROR(__xludf.DUMMYFUNCTION("""COMPUTED_VALUE"""),43316.0)</f>
        <v>43316</v>
      </c>
      <c r="M760">
        <f>IFERROR(__xludf.DUMMYFUNCTION("""COMPUTED_VALUE"""),39.0)</f>
        <v>39</v>
      </c>
      <c r="N760" t="str">
        <f>IFERROR(__xludf.DUMMYFUNCTION("""COMPUTED_VALUE"""),"Model 3 LR AWD")</f>
        <v>Model 3 LR AWD</v>
      </c>
      <c r="O760" t="str">
        <f>IFERROR(__xludf.DUMMYFUNCTION("""COMPUTED_VALUE"""),"Midnight Silver Metallic")</f>
        <v>Midnight Silver Metallic</v>
      </c>
      <c r="P760" t="str">
        <f>IFERROR(__xludf.DUMMYFUNCTION("""COMPUTED_VALUE"""),"18 inch Aero")</f>
        <v>18 inch Aero</v>
      </c>
      <c r="Q760" t="str">
        <f>IFERROR(__xludf.DUMMYFUNCTION("""COMPUTED_VALUE"""),"Black seats")</f>
        <v>Black seats</v>
      </c>
      <c r="R760" t="str">
        <f>IFERROR(__xludf.DUMMYFUNCTION("""COMPUTED_VALUE"""),"None")</f>
        <v>None</v>
      </c>
      <c r="X760" t="str">
        <f>IFERROR(__xludf.DUMMYFUNCTION("""COMPUTED_VALUE"""),"Very Good")</f>
        <v>Very Good</v>
      </c>
      <c r="Y760" t="str">
        <f>IFERROR(__xludf.DUMMYFUNCTION("""COMPUTED_VALUE"""),"Excellent")</f>
        <v>Excellent</v>
      </c>
      <c r="Z760" t="str">
        <f>IFERROR(__xludf.DUMMYFUNCTION("""COMPUTED_VALUE"""),"Excellent")</f>
        <v>Excellent</v>
      </c>
      <c r="AA760" t="str">
        <f>IFERROR(__xludf.DUMMYFUNCTION("""COMPUTED_VALUE"""),"Excellent")</f>
        <v>Excellent</v>
      </c>
      <c r="AB760" t="str">
        <f>IFERROR(__xludf.DUMMYFUNCTION("""COMPUTED_VALUE"""),"Excellent")</f>
        <v>Excellent</v>
      </c>
      <c r="AC760">
        <f>IFERROR(__xludf.DUMMYFUNCTION("""COMPUTED_VALUE"""),1.0)</f>
        <v>1</v>
      </c>
      <c r="AD760">
        <f>IFERROR(__xludf.DUMMYFUNCTION("""COMPUTED_VALUE"""),1.0)</f>
        <v>1</v>
      </c>
      <c r="AE760">
        <f>IFERROR(__xludf.DUMMYFUNCTION("""COMPUTED_VALUE"""),0.0)</f>
        <v>0</v>
      </c>
      <c r="AH760" s="189">
        <f>IFERROR(__xludf.DUMMYFUNCTION("""COMPUTED_VALUE"""),43362.67075020833)</f>
        <v>43362.67075</v>
      </c>
    </row>
    <row r="761">
      <c r="A761" t="str">
        <f>IFERROR(__xludf.DUMMYFUNCTION("""COMPUTED_VALUE"""),"opticalinch")</f>
        <v>opticalinch</v>
      </c>
      <c r="B761" t="str">
        <f>IFERROR(__xludf.DUMMYFUNCTION("""COMPUTED_VALUE"""),"Austin")</f>
        <v>Austin</v>
      </c>
      <c r="C761" t="str">
        <f>IFERROR(__xludf.DUMMYFUNCTION("""COMPUTED_VALUE"""),"TX")</f>
        <v>TX</v>
      </c>
      <c r="D761" t="str">
        <f>IFERROR(__xludf.DUMMYFUNCTION("""COMPUTED_VALUE"""),"USA")</f>
        <v>USA</v>
      </c>
      <c r="E761" s="188">
        <f>IFERROR(__xludf.DUMMYFUNCTION("""COMPUTED_VALUE"""),43279.0)</f>
        <v>43279</v>
      </c>
      <c r="F761" s="188">
        <f>IFERROR(__xludf.DUMMYFUNCTION("""COMPUTED_VALUE"""),43341.0)</f>
        <v>43341</v>
      </c>
      <c r="H761">
        <f>IFERROR(__xludf.DUMMYFUNCTION("""COMPUTED_VALUE"""),96555.0)</f>
        <v>96555</v>
      </c>
      <c r="I761" t="str">
        <f>IFERROR(__xludf.DUMMYFUNCTION("""COMPUTED_VALUE"""),"08/18")</f>
        <v>08/18</v>
      </c>
      <c r="J761" s="5">
        <f>IFERROR(__xludf.DUMMYFUNCTION("""COMPUTED_VALUE"""),43358.0)</f>
        <v>43358</v>
      </c>
      <c r="K761">
        <f>IFERROR(__xludf.DUMMYFUNCTION("""COMPUTED_VALUE"""),62.0)</f>
        <v>62</v>
      </c>
      <c r="L761">
        <f>IFERROR(__xludf.DUMMYFUNCTION("""COMPUTED_VALUE"""),17.0)</f>
        <v>17</v>
      </c>
      <c r="M761">
        <f>IFERROR(__xludf.DUMMYFUNCTION("""COMPUTED_VALUE"""),79.0)</f>
        <v>79</v>
      </c>
      <c r="N761" t="str">
        <f>IFERROR(__xludf.DUMMYFUNCTION("""COMPUTED_VALUE"""),"Model 3 LR AWD")</f>
        <v>Model 3 LR AWD</v>
      </c>
      <c r="O761" t="str">
        <f>IFERROR(__xludf.DUMMYFUNCTION("""COMPUTED_VALUE"""),"Deep Blue Metallic")</f>
        <v>Deep Blue Metallic</v>
      </c>
      <c r="P761" t="str">
        <f>IFERROR(__xludf.DUMMYFUNCTION("""COMPUTED_VALUE"""),"18 inch Aero")</f>
        <v>18 inch Aero</v>
      </c>
      <c r="Q761" t="str">
        <f>IFERROR(__xludf.DUMMYFUNCTION("""COMPUTED_VALUE"""),"White seats")</f>
        <v>White seats</v>
      </c>
      <c r="R761" t="str">
        <f>IFERROR(__xludf.DUMMYFUNCTION("""COMPUTED_VALUE"""),"Enhanced Autopilot")</f>
        <v>Enhanced Autopilot</v>
      </c>
      <c r="X761" t="str">
        <f>IFERROR(__xludf.DUMMYFUNCTION("""COMPUTED_VALUE"""),"Very Good")</f>
        <v>Very Good</v>
      </c>
      <c r="Y761" t="str">
        <f>IFERROR(__xludf.DUMMYFUNCTION("""COMPUTED_VALUE"""),"Good")</f>
        <v>Good</v>
      </c>
      <c r="Z761" t="str">
        <f>IFERROR(__xludf.DUMMYFUNCTION("""COMPUTED_VALUE"""),"Very Good")</f>
        <v>Very Good</v>
      </c>
      <c r="AA761" t="str">
        <f>IFERROR(__xludf.DUMMYFUNCTION("""COMPUTED_VALUE"""),"Good")</f>
        <v>Good</v>
      </c>
      <c r="AB761" t="str">
        <f>IFERROR(__xludf.DUMMYFUNCTION("""COMPUTED_VALUE"""),"Good")</f>
        <v>Good</v>
      </c>
      <c r="AC761">
        <f>IFERROR(__xludf.DUMMYFUNCTION("""COMPUTED_VALUE"""),9.0)</f>
        <v>9</v>
      </c>
      <c r="AH761" s="189">
        <f>IFERROR(__xludf.DUMMYFUNCTION("""COMPUTED_VALUE"""),43362.71176278935)</f>
        <v>43362.71176</v>
      </c>
    </row>
    <row r="762">
      <c r="A762" t="str">
        <f>IFERROR(__xludf.DUMMYFUNCTION("""COMPUTED_VALUE"""),"SamC")</f>
        <v>SamC</v>
      </c>
      <c r="B762" t="str">
        <f>IFERROR(__xludf.DUMMYFUNCTION("""COMPUTED_VALUE"""),"Dallas")</f>
        <v>Dallas</v>
      </c>
      <c r="C762" t="str">
        <f>IFERROR(__xludf.DUMMYFUNCTION("""COMPUTED_VALUE"""),"TX")</f>
        <v>TX</v>
      </c>
      <c r="D762" t="str">
        <f>IFERROR(__xludf.DUMMYFUNCTION("""COMPUTED_VALUE"""),"USA")</f>
        <v>USA</v>
      </c>
      <c r="E762" s="188">
        <f>IFERROR(__xludf.DUMMYFUNCTION("""COMPUTED_VALUE"""),43308.0)</f>
        <v>43308</v>
      </c>
      <c r="F762" s="188">
        <f>IFERROR(__xludf.DUMMYFUNCTION("""COMPUTED_VALUE"""),43322.0)</f>
        <v>43322</v>
      </c>
      <c r="H762">
        <f>IFERROR(__xludf.DUMMYFUNCTION("""COMPUTED_VALUE"""),47161.0)</f>
        <v>47161</v>
      </c>
      <c r="J762" s="5">
        <f>IFERROR(__xludf.DUMMYFUNCTION("""COMPUTED_VALUE"""),43361.0)</f>
        <v>43361</v>
      </c>
      <c r="K762">
        <f>IFERROR(__xludf.DUMMYFUNCTION("""COMPUTED_VALUE"""),14.0)</f>
        <v>14</v>
      </c>
      <c r="L762">
        <f>IFERROR(__xludf.DUMMYFUNCTION("""COMPUTED_VALUE"""),39.0)</f>
        <v>39</v>
      </c>
      <c r="M762">
        <f>IFERROR(__xludf.DUMMYFUNCTION("""COMPUTED_VALUE"""),53.0)</f>
        <v>53</v>
      </c>
      <c r="N762" t="str">
        <f>IFERROR(__xludf.DUMMYFUNCTION("""COMPUTED_VALUE"""),"Model 3 LR")</f>
        <v>Model 3 LR</v>
      </c>
      <c r="O762" t="str">
        <f>IFERROR(__xludf.DUMMYFUNCTION("""COMPUTED_VALUE"""),"Red Multi-Coat")</f>
        <v>Red Multi-Coat</v>
      </c>
      <c r="P762" t="str">
        <f>IFERROR(__xludf.DUMMYFUNCTION("""COMPUTED_VALUE"""),"18 inch Aero")</f>
        <v>18 inch Aero</v>
      </c>
      <c r="Q762" t="str">
        <f>IFERROR(__xludf.DUMMYFUNCTION("""COMPUTED_VALUE"""),"Black seats")</f>
        <v>Black seats</v>
      </c>
      <c r="R762" t="str">
        <f>IFERROR(__xludf.DUMMYFUNCTION("""COMPUTED_VALUE"""),"Enhanced Autopilot")</f>
        <v>Enhanced Autopilot</v>
      </c>
      <c r="X762" t="str">
        <f>IFERROR(__xludf.DUMMYFUNCTION("""COMPUTED_VALUE"""),"Very Good")</f>
        <v>Very Good</v>
      </c>
      <c r="Y762" t="str">
        <f>IFERROR(__xludf.DUMMYFUNCTION("""COMPUTED_VALUE"""),"Good")</f>
        <v>Good</v>
      </c>
      <c r="Z762" t="str">
        <f>IFERROR(__xludf.DUMMYFUNCTION("""COMPUTED_VALUE"""),"Very Good")</f>
        <v>Very Good</v>
      </c>
      <c r="AA762" t="str">
        <f>IFERROR(__xludf.DUMMYFUNCTION("""COMPUTED_VALUE"""),"Poor")</f>
        <v>Poor</v>
      </c>
      <c r="AB762" t="str">
        <f>IFERROR(__xludf.DUMMYFUNCTION("""COMPUTED_VALUE"""),"Good")</f>
        <v>Good</v>
      </c>
      <c r="AH762" s="189">
        <f>IFERROR(__xludf.DUMMYFUNCTION("""COMPUTED_VALUE"""),43362.72398439815)</f>
        <v>43362.72398</v>
      </c>
    </row>
    <row r="763">
      <c r="A763" t="str">
        <f>IFERROR(__xludf.DUMMYFUNCTION("""COMPUTED_VALUE"""),"VishVish")</f>
        <v>VishVish</v>
      </c>
      <c r="B763" t="str">
        <f>IFERROR(__xludf.DUMMYFUNCTION("""COMPUTED_VALUE"""),"Northern VA")</f>
        <v>Northern VA</v>
      </c>
      <c r="C763" t="str">
        <f>IFERROR(__xludf.DUMMYFUNCTION("""COMPUTED_VALUE"""),"VA")</f>
        <v>VA</v>
      </c>
      <c r="D763" t="str">
        <f>IFERROR(__xludf.DUMMYFUNCTION("""COMPUTED_VALUE"""),"USA")</f>
        <v>USA</v>
      </c>
      <c r="E763" s="188">
        <f>IFERROR(__xludf.DUMMYFUNCTION("""COMPUTED_VALUE"""),43319.0)</f>
        <v>43319</v>
      </c>
      <c r="F763" s="188">
        <f>IFERROR(__xludf.DUMMYFUNCTION("""COMPUTED_VALUE"""),43334.0)</f>
        <v>43334</v>
      </c>
      <c r="H763">
        <f>IFERROR(__xludf.DUMMYFUNCTION("""COMPUTED_VALUE"""),24214.0)</f>
        <v>24214</v>
      </c>
      <c r="I763" t="str">
        <f>IFERROR(__xludf.DUMMYFUNCTION("""COMPUTED_VALUE"""),"06/18")</f>
        <v>06/18</v>
      </c>
      <c r="J763" s="5">
        <f>IFERROR(__xludf.DUMMYFUNCTION("""COMPUTED_VALUE"""),43341.0)</f>
        <v>43341</v>
      </c>
      <c r="K763">
        <f>IFERROR(__xludf.DUMMYFUNCTION("""COMPUTED_VALUE"""),15.0)</f>
        <v>15</v>
      </c>
      <c r="L763">
        <f>IFERROR(__xludf.DUMMYFUNCTION("""COMPUTED_VALUE"""),7.0)</f>
        <v>7</v>
      </c>
      <c r="M763">
        <f>IFERROR(__xludf.DUMMYFUNCTION("""COMPUTED_VALUE"""),22.0)</f>
        <v>22</v>
      </c>
      <c r="N763" t="str">
        <f>IFERROR(__xludf.DUMMYFUNCTION("""COMPUTED_VALUE"""),"Model 3 LR")</f>
        <v>Model 3 LR</v>
      </c>
      <c r="O763" t="str">
        <f>IFERROR(__xludf.DUMMYFUNCTION("""COMPUTED_VALUE"""),"Midnight Silver Metallic")</f>
        <v>Midnight Silver Metallic</v>
      </c>
      <c r="P763" t="str">
        <f>IFERROR(__xludf.DUMMYFUNCTION("""COMPUTED_VALUE"""),"19 inch Sport")</f>
        <v>19 inch Sport</v>
      </c>
      <c r="Q763" t="str">
        <f>IFERROR(__xludf.DUMMYFUNCTION("""COMPUTED_VALUE"""),"Black seats")</f>
        <v>Black seats</v>
      </c>
      <c r="R763" t="str">
        <f>IFERROR(__xludf.DUMMYFUNCTION("""COMPUTED_VALUE"""),"None")</f>
        <v>None</v>
      </c>
      <c r="X763" t="str">
        <f>IFERROR(__xludf.DUMMYFUNCTION("""COMPUTED_VALUE"""),"Excellent")</f>
        <v>Excellent</v>
      </c>
      <c r="Y763" t="str">
        <f>IFERROR(__xludf.DUMMYFUNCTION("""COMPUTED_VALUE"""),"Excellent")</f>
        <v>Excellent</v>
      </c>
      <c r="Z763" t="str">
        <f>IFERROR(__xludf.DUMMYFUNCTION("""COMPUTED_VALUE"""),"Excellent")</f>
        <v>Excellent</v>
      </c>
      <c r="AA763" t="str">
        <f>IFERROR(__xludf.DUMMYFUNCTION("""COMPUTED_VALUE"""),"Fair")</f>
        <v>Fair</v>
      </c>
      <c r="AB763" t="str">
        <f>IFERROR(__xludf.DUMMYFUNCTION("""COMPUTED_VALUE"""),"Very Good")</f>
        <v>Very Good</v>
      </c>
      <c r="AH763" s="189">
        <f>IFERROR(__xludf.DUMMYFUNCTION("""COMPUTED_VALUE"""),43362.73646800926)</f>
        <v>43362.73647</v>
      </c>
    </row>
    <row r="764">
      <c r="A764" t="str">
        <f>IFERROR(__xludf.DUMMYFUNCTION("""COMPUTED_VALUE"""),"jimmithy")</f>
        <v>jimmithy</v>
      </c>
      <c r="C764" t="str">
        <f>IFERROR(__xludf.DUMMYFUNCTION("""COMPUTED_VALUE"""),"NJ")</f>
        <v>NJ</v>
      </c>
      <c r="D764" t="str">
        <f>IFERROR(__xludf.DUMMYFUNCTION("""COMPUTED_VALUE"""),"USA")</f>
        <v>USA</v>
      </c>
      <c r="E764" s="188">
        <f>IFERROR(__xludf.DUMMYFUNCTION("""COMPUTED_VALUE"""),43344.0)</f>
        <v>43344</v>
      </c>
      <c r="F764" s="188">
        <f>IFERROR(__xludf.DUMMYFUNCTION("""COMPUTED_VALUE"""),43355.0)</f>
        <v>43355</v>
      </c>
      <c r="H764">
        <f>IFERROR(__xludf.DUMMYFUNCTION("""COMPUTED_VALUE"""),68355.0)</f>
        <v>68355</v>
      </c>
      <c r="J764" s="5">
        <f>IFERROR(__xludf.DUMMYFUNCTION("""COMPUTED_VALUE"""),43362.0)</f>
        <v>43362</v>
      </c>
      <c r="K764">
        <f>IFERROR(__xludf.DUMMYFUNCTION("""COMPUTED_VALUE"""),11.0)</f>
        <v>11</v>
      </c>
      <c r="L764">
        <f>IFERROR(__xludf.DUMMYFUNCTION("""COMPUTED_VALUE"""),7.0)</f>
        <v>7</v>
      </c>
      <c r="M764">
        <f>IFERROR(__xludf.DUMMYFUNCTION("""COMPUTED_VALUE"""),18.0)</f>
        <v>18</v>
      </c>
      <c r="N764" t="str">
        <f>IFERROR(__xludf.DUMMYFUNCTION("""COMPUTED_VALUE"""),"Model 3 LR AWD")</f>
        <v>Model 3 LR AWD</v>
      </c>
      <c r="O764" t="str">
        <f>IFERROR(__xludf.DUMMYFUNCTION("""COMPUTED_VALUE"""),"Solid Black")</f>
        <v>Solid Black</v>
      </c>
      <c r="P764" t="str">
        <f>IFERROR(__xludf.DUMMYFUNCTION("""COMPUTED_VALUE"""),"18 inch Aero")</f>
        <v>18 inch Aero</v>
      </c>
      <c r="Q764" t="str">
        <f>IFERROR(__xludf.DUMMYFUNCTION("""COMPUTED_VALUE"""),"Black seats")</f>
        <v>Black seats</v>
      </c>
      <c r="R764" t="str">
        <f>IFERROR(__xludf.DUMMYFUNCTION("""COMPUTED_VALUE"""),"Enhanced Autopilot")</f>
        <v>Enhanced Autopilot</v>
      </c>
      <c r="X764" t="str">
        <f>IFERROR(__xludf.DUMMYFUNCTION("""COMPUTED_VALUE"""),"Very Good")</f>
        <v>Very Good</v>
      </c>
      <c r="Y764" t="str">
        <f>IFERROR(__xludf.DUMMYFUNCTION("""COMPUTED_VALUE"""),"Very Good")</f>
        <v>Very Good</v>
      </c>
      <c r="Z764" t="str">
        <f>IFERROR(__xludf.DUMMYFUNCTION("""COMPUTED_VALUE"""),"Very Good")</f>
        <v>Very Good</v>
      </c>
      <c r="AA764" t="str">
        <f>IFERROR(__xludf.DUMMYFUNCTION("""COMPUTED_VALUE"""),"Good")</f>
        <v>Good</v>
      </c>
      <c r="AB764" t="str">
        <f>IFERROR(__xludf.DUMMYFUNCTION("""COMPUTED_VALUE"""),"Good")</f>
        <v>Good</v>
      </c>
      <c r="AH764" s="189">
        <f>IFERROR(__xludf.DUMMYFUNCTION("""COMPUTED_VALUE"""),43362.82972949074)</f>
        <v>43362.82973</v>
      </c>
    </row>
    <row r="765">
      <c r="A765" t="str">
        <f>IFERROR(__xludf.DUMMYFUNCTION("""COMPUTED_VALUE"""),"Valiryon")</f>
        <v>Valiryon</v>
      </c>
      <c r="B765" t="str">
        <f>IFERROR(__xludf.DUMMYFUNCTION("""COMPUTED_VALUE"""),"Costa Mesa")</f>
        <v>Costa Mesa</v>
      </c>
      <c r="C765" t="str">
        <f>IFERROR(__xludf.DUMMYFUNCTION("""COMPUTED_VALUE"""),"CA")</f>
        <v>CA</v>
      </c>
      <c r="D765" t="str">
        <f>IFERROR(__xludf.DUMMYFUNCTION("""COMPUTED_VALUE"""),"USA")</f>
        <v>USA</v>
      </c>
      <c r="E765" s="188">
        <f>IFERROR(__xludf.DUMMYFUNCTION("""COMPUTED_VALUE"""),43278.0)</f>
        <v>43278</v>
      </c>
      <c r="F765" s="188">
        <f>IFERROR(__xludf.DUMMYFUNCTION("""COMPUTED_VALUE"""),43356.0)</f>
        <v>43356</v>
      </c>
      <c r="H765">
        <f>IFERROR(__xludf.DUMMYFUNCTION("""COMPUTED_VALUE"""),83455.0)</f>
        <v>83455</v>
      </c>
      <c r="I765" t="str">
        <f>IFERROR(__xludf.DUMMYFUNCTION("""COMPUTED_VALUE"""),"09/18")</f>
        <v>09/18</v>
      </c>
      <c r="J765" s="5">
        <f>IFERROR(__xludf.DUMMYFUNCTION("""COMPUTED_VALUE"""),43358.0)</f>
        <v>43358</v>
      </c>
      <c r="K765">
        <f>IFERROR(__xludf.DUMMYFUNCTION("""COMPUTED_VALUE"""),78.0)</f>
        <v>78</v>
      </c>
      <c r="L765">
        <f>IFERROR(__xludf.DUMMYFUNCTION("""COMPUTED_VALUE"""),2.0)</f>
        <v>2</v>
      </c>
      <c r="M765">
        <f>IFERROR(__xludf.DUMMYFUNCTION("""COMPUTED_VALUE"""),80.0)</f>
        <v>80</v>
      </c>
      <c r="N765" t="str">
        <f>IFERROR(__xludf.DUMMYFUNCTION("""COMPUTED_VALUE"""),"Model 3 Performance")</f>
        <v>Model 3 Performance</v>
      </c>
      <c r="O765" t="str">
        <f>IFERROR(__xludf.DUMMYFUNCTION("""COMPUTED_VALUE"""),"Silver Metallic")</f>
        <v>Silver Metallic</v>
      </c>
      <c r="P765" t="str">
        <f>IFERROR(__xludf.DUMMYFUNCTION("""COMPUTED_VALUE"""),"20 inch Sport")</f>
        <v>20 inch Sport</v>
      </c>
      <c r="Q765" t="str">
        <f>IFERROR(__xludf.DUMMYFUNCTION("""COMPUTED_VALUE"""),"Black seats")</f>
        <v>Black seats</v>
      </c>
      <c r="R765" t="str">
        <f>IFERROR(__xludf.DUMMYFUNCTION("""COMPUTED_VALUE"""),"Full Self-Driving")</f>
        <v>Full Self-Driving</v>
      </c>
      <c r="X765" t="str">
        <f>IFERROR(__xludf.DUMMYFUNCTION("""COMPUTED_VALUE"""),"Very Good")</f>
        <v>Very Good</v>
      </c>
      <c r="Y765" t="str">
        <f>IFERROR(__xludf.DUMMYFUNCTION("""COMPUTED_VALUE"""),"Very Good")</f>
        <v>Very Good</v>
      </c>
      <c r="Z765" t="str">
        <f>IFERROR(__xludf.DUMMYFUNCTION("""COMPUTED_VALUE"""),"Excellent")</f>
        <v>Excellent</v>
      </c>
      <c r="AA765" t="str">
        <f>IFERROR(__xludf.DUMMYFUNCTION("""COMPUTED_VALUE"""),"Excellent")</f>
        <v>Excellent</v>
      </c>
      <c r="AB765" t="str">
        <f>IFERROR(__xludf.DUMMYFUNCTION("""COMPUTED_VALUE"""),"Excellent")</f>
        <v>Excellent</v>
      </c>
      <c r="AH765" s="189">
        <f>IFERROR(__xludf.DUMMYFUNCTION("""COMPUTED_VALUE"""),43362.90885501157)</f>
        <v>43362.90886</v>
      </c>
    </row>
    <row r="766">
      <c r="A766" t="str">
        <f>IFERROR(__xludf.DUMMYFUNCTION("""COMPUTED_VALUE"""),"FranceUSA ")</f>
        <v>FranceUSA </v>
      </c>
      <c r="B766" t="str">
        <f>IFERROR(__xludf.DUMMYFUNCTION("""COMPUTED_VALUE"""),"MN ")</f>
        <v>MN </v>
      </c>
      <c r="C766" t="str">
        <f>IFERROR(__xludf.DUMMYFUNCTION("""COMPUTED_VALUE"""),"MN")</f>
        <v>MN</v>
      </c>
      <c r="D766" t="str">
        <f>IFERROR(__xludf.DUMMYFUNCTION("""COMPUTED_VALUE"""),"USA")</f>
        <v>USA</v>
      </c>
      <c r="E766" s="188">
        <f>IFERROR(__xludf.DUMMYFUNCTION("""COMPUTED_VALUE"""),43308.0)</f>
        <v>43308</v>
      </c>
      <c r="F766" s="188">
        <f>IFERROR(__xludf.DUMMYFUNCTION("""COMPUTED_VALUE"""),43325.0)</f>
        <v>43325</v>
      </c>
      <c r="H766">
        <f>IFERROR(__xludf.DUMMYFUNCTION("""COMPUTED_VALUE"""),55491.0)</f>
        <v>55491</v>
      </c>
      <c r="J766" s="5">
        <f>IFERROR(__xludf.DUMMYFUNCTION("""COMPUTED_VALUE"""),43343.0)</f>
        <v>43343</v>
      </c>
      <c r="K766">
        <f>IFERROR(__xludf.DUMMYFUNCTION("""COMPUTED_VALUE"""),17.0)</f>
        <v>17</v>
      </c>
      <c r="L766">
        <f>IFERROR(__xludf.DUMMYFUNCTION("""COMPUTED_VALUE"""),18.0)</f>
        <v>18</v>
      </c>
      <c r="M766">
        <f>IFERROR(__xludf.DUMMYFUNCTION("""COMPUTED_VALUE"""),35.0)</f>
        <v>35</v>
      </c>
      <c r="N766" t="str">
        <f>IFERROR(__xludf.DUMMYFUNCTION("""COMPUTED_VALUE"""),"Model 3 Performance")</f>
        <v>Model 3 Performance</v>
      </c>
      <c r="O766" t="str">
        <f>IFERROR(__xludf.DUMMYFUNCTION("""COMPUTED_VALUE"""),"Red Multi-Coat")</f>
        <v>Red Multi-Coat</v>
      </c>
      <c r="P766" t="str">
        <f>IFERROR(__xludf.DUMMYFUNCTION("""COMPUTED_VALUE"""),"20 inch Sport")</f>
        <v>20 inch Sport</v>
      </c>
      <c r="Q766" t="str">
        <f>IFERROR(__xludf.DUMMYFUNCTION("""COMPUTED_VALUE"""),"White seats")</f>
        <v>White seats</v>
      </c>
      <c r="R766" t="str">
        <f>IFERROR(__xludf.DUMMYFUNCTION("""COMPUTED_VALUE"""),"Enhanced Autopilot")</f>
        <v>Enhanced Autopilot</v>
      </c>
      <c r="AC766">
        <f>IFERROR(__xludf.DUMMYFUNCTION("""COMPUTED_VALUE"""),1.0)</f>
        <v>1</v>
      </c>
      <c r="AD766">
        <f>IFERROR(__xludf.DUMMYFUNCTION("""COMPUTED_VALUE"""),0.0)</f>
        <v>0</v>
      </c>
      <c r="AH766" s="189">
        <f>IFERROR(__xludf.DUMMYFUNCTION("""COMPUTED_VALUE"""),43363.00694119213)</f>
        <v>43363.00694</v>
      </c>
    </row>
    <row r="767">
      <c r="A767" t="str">
        <f>IFERROR(__xludf.DUMMYFUNCTION("""COMPUTED_VALUE"""),"jhtesla")</f>
        <v>jhtesla</v>
      </c>
      <c r="C767" t="str">
        <f>IFERROR(__xludf.DUMMYFUNCTION("""COMPUTED_VALUE"""),"VA")</f>
        <v>VA</v>
      </c>
      <c r="D767" t="str">
        <f>IFERROR(__xludf.DUMMYFUNCTION("""COMPUTED_VALUE"""),"USA")</f>
        <v>USA</v>
      </c>
      <c r="E767" s="188">
        <f>IFERROR(__xludf.DUMMYFUNCTION("""COMPUTED_VALUE"""),43281.0)</f>
        <v>43281</v>
      </c>
      <c r="F767" s="188">
        <f>IFERROR(__xludf.DUMMYFUNCTION("""COMPUTED_VALUE"""),43341.0)</f>
        <v>43341</v>
      </c>
      <c r="H767">
        <f>IFERROR(__xludf.DUMMYFUNCTION("""COMPUTED_VALUE"""),71455.0)</f>
        <v>71455</v>
      </c>
      <c r="J767" s="5">
        <f>IFERROR(__xludf.DUMMYFUNCTION("""COMPUTED_VALUE"""),43360.0)</f>
        <v>43360</v>
      </c>
      <c r="K767">
        <f>IFERROR(__xludf.DUMMYFUNCTION("""COMPUTED_VALUE"""),60.0)</f>
        <v>60</v>
      </c>
      <c r="L767">
        <f>IFERROR(__xludf.DUMMYFUNCTION("""COMPUTED_VALUE"""),19.0)</f>
        <v>19</v>
      </c>
      <c r="M767">
        <f>IFERROR(__xludf.DUMMYFUNCTION("""COMPUTED_VALUE"""),79.0)</f>
        <v>79</v>
      </c>
      <c r="N767" t="str">
        <f>IFERROR(__xludf.DUMMYFUNCTION("""COMPUTED_VALUE"""),"Model 3 LR AWD")</f>
        <v>Model 3 LR AWD</v>
      </c>
      <c r="O767" t="str">
        <f>IFERROR(__xludf.DUMMYFUNCTION("""COMPUTED_VALUE"""),"Obsidian Black Metallic")</f>
        <v>Obsidian Black Metallic</v>
      </c>
      <c r="P767" t="str">
        <f>IFERROR(__xludf.DUMMYFUNCTION("""COMPUTED_VALUE"""),"19 inch Sport")</f>
        <v>19 inch Sport</v>
      </c>
      <c r="Q767" t="str">
        <f>IFERROR(__xludf.DUMMYFUNCTION("""COMPUTED_VALUE"""),"Black seats")</f>
        <v>Black seats</v>
      </c>
      <c r="R767" t="str">
        <f>IFERROR(__xludf.DUMMYFUNCTION("""COMPUTED_VALUE"""),"Full Self-Driving")</f>
        <v>Full Self-Driving</v>
      </c>
      <c r="X767" t="str">
        <f>IFERROR(__xludf.DUMMYFUNCTION("""COMPUTED_VALUE"""),"Excellent")</f>
        <v>Excellent</v>
      </c>
      <c r="Y767" t="str">
        <f>IFERROR(__xludf.DUMMYFUNCTION("""COMPUTED_VALUE"""),"Excellent")</f>
        <v>Excellent</v>
      </c>
      <c r="Z767" t="str">
        <f>IFERROR(__xludf.DUMMYFUNCTION("""COMPUTED_VALUE"""),"Excellent")</f>
        <v>Excellent</v>
      </c>
      <c r="AA767" t="str">
        <f>IFERROR(__xludf.DUMMYFUNCTION("""COMPUTED_VALUE"""),"Excellent")</f>
        <v>Excellent</v>
      </c>
      <c r="AB767" t="str">
        <f>IFERROR(__xludf.DUMMYFUNCTION("""COMPUTED_VALUE"""),"Very Good")</f>
        <v>Very Good</v>
      </c>
      <c r="AH767" s="189">
        <f>IFERROR(__xludf.DUMMYFUNCTION("""COMPUTED_VALUE"""),43363.27751703704)</f>
        <v>43363.27752</v>
      </c>
    </row>
    <row r="768">
      <c r="A768" t="str">
        <f>IFERROR(__xludf.DUMMYFUNCTION("""COMPUTED_VALUE"""),"Trips")</f>
        <v>Trips</v>
      </c>
      <c r="B768" t="str">
        <f>IFERROR(__xludf.DUMMYFUNCTION("""COMPUTED_VALUE"""),"Omaha")</f>
        <v>Omaha</v>
      </c>
      <c r="C768" t="str">
        <f>IFERROR(__xludf.DUMMYFUNCTION("""COMPUTED_VALUE"""),"NE")</f>
        <v>NE</v>
      </c>
      <c r="D768" t="str">
        <f>IFERROR(__xludf.DUMMYFUNCTION("""COMPUTED_VALUE"""),"USA")</f>
        <v>USA</v>
      </c>
      <c r="E768" s="188">
        <f>IFERROR(__xludf.DUMMYFUNCTION("""COMPUTED_VALUE"""),43243.0)</f>
        <v>43243</v>
      </c>
      <c r="F768" s="188">
        <f>IFERROR(__xludf.DUMMYFUNCTION("""COMPUTED_VALUE"""),43334.0)</f>
        <v>43334</v>
      </c>
      <c r="H768">
        <f>IFERROR(__xludf.DUMMYFUNCTION("""COMPUTED_VALUE"""),75155.0)</f>
        <v>75155</v>
      </c>
      <c r="I768" t="str">
        <f>IFERROR(__xludf.DUMMYFUNCTION("""COMPUTED_VALUE"""),"08/18")</f>
        <v>08/18</v>
      </c>
      <c r="J768" s="5">
        <f>IFERROR(__xludf.DUMMYFUNCTION("""COMPUTED_VALUE"""),43362.0)</f>
        <v>43362</v>
      </c>
      <c r="K768">
        <f>IFERROR(__xludf.DUMMYFUNCTION("""COMPUTED_VALUE"""),91.0)</f>
        <v>91</v>
      </c>
      <c r="L768">
        <f>IFERROR(__xludf.DUMMYFUNCTION("""COMPUTED_VALUE"""),28.0)</f>
        <v>28</v>
      </c>
      <c r="M768">
        <f>IFERROR(__xludf.DUMMYFUNCTION("""COMPUTED_VALUE"""),119.0)</f>
        <v>119</v>
      </c>
      <c r="N768" t="str">
        <f>IFERROR(__xludf.DUMMYFUNCTION("""COMPUTED_VALUE"""),"Model 3 LR AWD")</f>
        <v>Model 3 LR AWD</v>
      </c>
      <c r="O768" t="str">
        <f>IFERROR(__xludf.DUMMYFUNCTION("""COMPUTED_VALUE"""),"Deep Blue Metallic")</f>
        <v>Deep Blue Metallic</v>
      </c>
      <c r="P768" t="str">
        <f>IFERROR(__xludf.DUMMYFUNCTION("""COMPUTED_VALUE"""),"18 inch Aero")</f>
        <v>18 inch Aero</v>
      </c>
      <c r="Q768" t="str">
        <f>IFERROR(__xludf.DUMMYFUNCTION("""COMPUTED_VALUE"""),"White seats")</f>
        <v>White seats</v>
      </c>
      <c r="R768" t="str">
        <f>IFERROR(__xludf.DUMMYFUNCTION("""COMPUTED_VALUE"""),"Enhanced Autopilot")</f>
        <v>Enhanced Autopilot</v>
      </c>
      <c r="X768" t="str">
        <f>IFERROR(__xludf.DUMMYFUNCTION("""COMPUTED_VALUE"""),"Very Good")</f>
        <v>Very Good</v>
      </c>
      <c r="Y768" t="str">
        <f>IFERROR(__xludf.DUMMYFUNCTION("""COMPUTED_VALUE"""),"Very Good")</f>
        <v>Very Good</v>
      </c>
      <c r="Z768" t="str">
        <f>IFERROR(__xludf.DUMMYFUNCTION("""COMPUTED_VALUE"""),"Poor")</f>
        <v>Poor</v>
      </c>
      <c r="AA768" t="str">
        <f>IFERROR(__xludf.DUMMYFUNCTION("""COMPUTED_VALUE"""),"Fair")</f>
        <v>Fair</v>
      </c>
      <c r="AB768" t="str">
        <f>IFERROR(__xludf.DUMMYFUNCTION("""COMPUTED_VALUE"""),"Fair")</f>
        <v>Fair</v>
      </c>
      <c r="AH768" s="189">
        <f>IFERROR(__xludf.DUMMYFUNCTION("""COMPUTED_VALUE"""),43363.29529819444)</f>
        <v>43363.2953</v>
      </c>
    </row>
    <row r="769">
      <c r="A769" t="str">
        <f>IFERROR(__xludf.DUMMYFUNCTION("""COMPUTED_VALUE"""),"M3OH")</f>
        <v>M3OH</v>
      </c>
      <c r="B769" t="str">
        <f>IFERROR(__xludf.DUMMYFUNCTION("""COMPUTED_VALUE"""),"Cincinnati ")</f>
        <v>Cincinnati </v>
      </c>
      <c r="C769" t="str">
        <f>IFERROR(__xludf.DUMMYFUNCTION("""COMPUTED_VALUE"""),"OH")</f>
        <v>OH</v>
      </c>
      <c r="D769" t="str">
        <f>IFERROR(__xludf.DUMMYFUNCTION("""COMPUTED_VALUE"""),"USA")</f>
        <v>USA</v>
      </c>
      <c r="E769" s="188">
        <f>IFERROR(__xludf.DUMMYFUNCTION("""COMPUTED_VALUE"""),43294.0)</f>
        <v>43294</v>
      </c>
      <c r="F769" s="188">
        <f>IFERROR(__xludf.DUMMYFUNCTION("""COMPUTED_VALUE"""),43350.0)</f>
        <v>43350</v>
      </c>
      <c r="H769">
        <f>IFERROR(__xludf.DUMMYFUNCTION("""COMPUTED_VALUE"""),66555.0)</f>
        <v>66555</v>
      </c>
      <c r="J769" s="5">
        <f>IFERROR(__xludf.DUMMYFUNCTION("""COMPUTED_VALUE"""),43355.0)</f>
        <v>43355</v>
      </c>
      <c r="K769">
        <f>IFERROR(__xludf.DUMMYFUNCTION("""COMPUTED_VALUE"""),56.0)</f>
        <v>56</v>
      </c>
      <c r="L769">
        <f>IFERROR(__xludf.DUMMYFUNCTION("""COMPUTED_VALUE"""),5.0)</f>
        <v>5</v>
      </c>
      <c r="M769">
        <f>IFERROR(__xludf.DUMMYFUNCTION("""COMPUTED_VALUE"""),61.0)</f>
        <v>61</v>
      </c>
      <c r="N769" t="str">
        <f>IFERROR(__xludf.DUMMYFUNCTION("""COMPUTED_VALUE"""),"Model 3 LR AWD")</f>
        <v>Model 3 LR AWD</v>
      </c>
      <c r="O769" t="str">
        <f>IFERROR(__xludf.DUMMYFUNCTION("""COMPUTED_VALUE"""),"Midnight Silver Metallic")</f>
        <v>Midnight Silver Metallic</v>
      </c>
      <c r="P769" t="str">
        <f>IFERROR(__xludf.DUMMYFUNCTION("""COMPUTED_VALUE"""),"18 inch Aero")</f>
        <v>18 inch Aero</v>
      </c>
      <c r="Q769" t="str">
        <f>IFERROR(__xludf.DUMMYFUNCTION("""COMPUTED_VALUE"""),"Black seats")</f>
        <v>Black seats</v>
      </c>
      <c r="R769" t="str">
        <f>IFERROR(__xludf.DUMMYFUNCTION("""COMPUTED_VALUE"""),"Enhanced Autopilot")</f>
        <v>Enhanced Autopilot</v>
      </c>
      <c r="X769" t="str">
        <f>IFERROR(__xludf.DUMMYFUNCTION("""COMPUTED_VALUE"""),"Excellent")</f>
        <v>Excellent</v>
      </c>
      <c r="Y769" t="str">
        <f>IFERROR(__xludf.DUMMYFUNCTION("""COMPUTED_VALUE"""),"Excellent")</f>
        <v>Excellent</v>
      </c>
      <c r="Z769" t="str">
        <f>IFERROR(__xludf.DUMMYFUNCTION("""COMPUTED_VALUE"""),"Excellent")</f>
        <v>Excellent</v>
      </c>
      <c r="AA769" t="str">
        <f>IFERROR(__xludf.DUMMYFUNCTION("""COMPUTED_VALUE"""),"Excellent")</f>
        <v>Excellent</v>
      </c>
      <c r="AB769" t="str">
        <f>IFERROR(__xludf.DUMMYFUNCTION("""COMPUTED_VALUE"""),"Excellent")</f>
        <v>Excellent</v>
      </c>
      <c r="AC769">
        <f>IFERROR(__xludf.DUMMYFUNCTION("""COMPUTED_VALUE"""),0.0)</f>
        <v>0</v>
      </c>
      <c r="AG769" t="str">
        <f>IFERROR(__xludf.DUMMYFUNCTION("""COMPUTED_VALUE"""),"Delivery accelerated from Sep 21 to Sep 12")</f>
        <v>Delivery accelerated from Sep 21 to Sep 12</v>
      </c>
      <c r="AH769" s="189">
        <f>IFERROR(__xludf.DUMMYFUNCTION("""COMPUTED_VALUE"""),43363.33383771991)</f>
        <v>43363.33384</v>
      </c>
    </row>
    <row r="770">
      <c r="A770" t="str">
        <f>IFERROR(__xludf.DUMMYFUNCTION("""COMPUTED_VALUE"""),"alpap")</f>
        <v>alpap</v>
      </c>
      <c r="B770" t="str">
        <f>IFERROR(__xludf.DUMMYFUNCTION("""COMPUTED_VALUE"""),"Dallas")</f>
        <v>Dallas</v>
      </c>
      <c r="C770" t="str">
        <f>IFERROR(__xludf.DUMMYFUNCTION("""COMPUTED_VALUE"""),"TX")</f>
        <v>TX</v>
      </c>
      <c r="D770" t="str">
        <f>IFERROR(__xludf.DUMMYFUNCTION("""COMPUTED_VALUE"""),"USA")</f>
        <v>USA</v>
      </c>
      <c r="E770" s="188">
        <f>IFERROR(__xludf.DUMMYFUNCTION("""COMPUTED_VALUE"""),43278.0)</f>
        <v>43278</v>
      </c>
      <c r="H770">
        <f>IFERROR(__xludf.DUMMYFUNCTION("""COMPUTED_VALUE"""),42221.0)</f>
        <v>42221</v>
      </c>
      <c r="I770" t="str">
        <f>IFERROR(__xludf.DUMMYFUNCTION("""COMPUTED_VALUE"""),"06/18")</f>
        <v>06/18</v>
      </c>
      <c r="J770" s="5">
        <f>IFERROR(__xludf.DUMMYFUNCTION("""COMPUTED_VALUE"""),43354.0)</f>
        <v>43354</v>
      </c>
      <c r="M770">
        <f>IFERROR(__xludf.DUMMYFUNCTION("""COMPUTED_VALUE"""),76.0)</f>
        <v>76</v>
      </c>
      <c r="N770" t="str">
        <f>IFERROR(__xludf.DUMMYFUNCTION("""COMPUTED_VALUE"""),"Model 3 LR")</f>
        <v>Model 3 LR</v>
      </c>
      <c r="O770" t="str">
        <f>IFERROR(__xludf.DUMMYFUNCTION("""COMPUTED_VALUE"""),"Pearl White Multi-Coat")</f>
        <v>Pearl White Multi-Coat</v>
      </c>
      <c r="P770" t="str">
        <f>IFERROR(__xludf.DUMMYFUNCTION("""COMPUTED_VALUE"""),"18 inch Aero")</f>
        <v>18 inch Aero</v>
      </c>
      <c r="Q770" t="str">
        <f>IFERROR(__xludf.DUMMYFUNCTION("""COMPUTED_VALUE"""),"Black seats")</f>
        <v>Black seats</v>
      </c>
      <c r="R770" t="str">
        <f>IFERROR(__xludf.DUMMYFUNCTION("""COMPUTED_VALUE"""),"None")</f>
        <v>None</v>
      </c>
      <c r="X770" t="str">
        <f>IFERROR(__xludf.DUMMYFUNCTION("""COMPUTED_VALUE"""),"Excellent")</f>
        <v>Excellent</v>
      </c>
      <c r="Y770" t="str">
        <f>IFERROR(__xludf.DUMMYFUNCTION("""COMPUTED_VALUE"""),"Excellent")</f>
        <v>Excellent</v>
      </c>
      <c r="Z770" t="str">
        <f>IFERROR(__xludf.DUMMYFUNCTION("""COMPUTED_VALUE"""),"Excellent")</f>
        <v>Excellent</v>
      </c>
      <c r="AA770" t="str">
        <f>IFERROR(__xludf.DUMMYFUNCTION("""COMPUTED_VALUE"""),"Very Good")</f>
        <v>Very Good</v>
      </c>
      <c r="AB770" t="str">
        <f>IFERROR(__xludf.DUMMYFUNCTION("""COMPUTED_VALUE"""),"Very Good")</f>
        <v>Very Good</v>
      </c>
      <c r="AH770" s="189">
        <f>IFERROR(__xludf.DUMMYFUNCTION("""COMPUTED_VALUE"""),43363.35527346065)</f>
        <v>43363.35527</v>
      </c>
    </row>
    <row r="771">
      <c r="A771" t="str">
        <f>IFERROR(__xludf.DUMMYFUNCTION("""COMPUTED_VALUE"""),"thealb")</f>
        <v>thealb</v>
      </c>
      <c r="B771" t="str">
        <f>IFERROR(__xludf.DUMMYFUNCTION("""COMPUTED_VALUE"""),"Dallas")</f>
        <v>Dallas</v>
      </c>
      <c r="C771" t="str">
        <f>IFERROR(__xludf.DUMMYFUNCTION("""COMPUTED_VALUE"""),"TX")</f>
        <v>TX</v>
      </c>
      <c r="D771" t="str">
        <f>IFERROR(__xludf.DUMMYFUNCTION("""COMPUTED_VALUE"""),"USA")</f>
        <v>USA</v>
      </c>
      <c r="E771" s="188">
        <f>IFERROR(__xludf.DUMMYFUNCTION("""COMPUTED_VALUE"""),43291.0)</f>
        <v>43291</v>
      </c>
      <c r="F771" s="188">
        <f>IFERROR(__xludf.DUMMYFUNCTION("""COMPUTED_VALUE"""),43320.0)</f>
        <v>43320</v>
      </c>
      <c r="H771">
        <f>IFERROR(__xludf.DUMMYFUNCTION("""COMPUTED_VALUE"""),56955.0)</f>
        <v>56955</v>
      </c>
      <c r="I771" t="str">
        <f>IFERROR(__xludf.DUMMYFUNCTION("""COMPUTED_VALUE"""),"07/18")</f>
        <v>07/18</v>
      </c>
      <c r="J771" s="5">
        <f>IFERROR(__xludf.DUMMYFUNCTION("""COMPUTED_VALUE"""),43354.0)</f>
        <v>43354</v>
      </c>
      <c r="K771">
        <f>IFERROR(__xludf.DUMMYFUNCTION("""COMPUTED_VALUE"""),29.0)</f>
        <v>29</v>
      </c>
      <c r="L771">
        <f>IFERROR(__xludf.DUMMYFUNCTION("""COMPUTED_VALUE"""),34.0)</f>
        <v>34</v>
      </c>
      <c r="M771">
        <f>IFERROR(__xludf.DUMMYFUNCTION("""COMPUTED_VALUE"""),63.0)</f>
        <v>63</v>
      </c>
      <c r="N771" t="str">
        <f>IFERROR(__xludf.DUMMYFUNCTION("""COMPUTED_VALUE"""),"Model 3 LR")</f>
        <v>Model 3 LR</v>
      </c>
      <c r="O771" t="str">
        <f>IFERROR(__xludf.DUMMYFUNCTION("""COMPUTED_VALUE"""),"Solid Black")</f>
        <v>Solid Black</v>
      </c>
      <c r="P771" t="str">
        <f>IFERROR(__xludf.DUMMYFUNCTION("""COMPUTED_VALUE"""),"18 inch Aero")</f>
        <v>18 inch Aero</v>
      </c>
      <c r="Q771" t="str">
        <f>IFERROR(__xludf.DUMMYFUNCTION("""COMPUTED_VALUE"""),"Black seats")</f>
        <v>Black seats</v>
      </c>
      <c r="R771" t="str">
        <f>IFERROR(__xludf.DUMMYFUNCTION("""COMPUTED_VALUE"""),"Enhanced Autopilot")</f>
        <v>Enhanced Autopilot</v>
      </c>
      <c r="X771" t="str">
        <f>IFERROR(__xludf.DUMMYFUNCTION("""COMPUTED_VALUE"""),"Fair")</f>
        <v>Fair</v>
      </c>
      <c r="Y771" t="str">
        <f>IFERROR(__xludf.DUMMYFUNCTION("""COMPUTED_VALUE"""),"Very Good")</f>
        <v>Very Good</v>
      </c>
      <c r="Z771" t="str">
        <f>IFERROR(__xludf.DUMMYFUNCTION("""COMPUTED_VALUE"""),"Very Good")</f>
        <v>Very Good</v>
      </c>
      <c r="AA771" t="str">
        <f>IFERROR(__xludf.DUMMYFUNCTION("""COMPUTED_VALUE"""),"Excellent")</f>
        <v>Excellent</v>
      </c>
      <c r="AB771" t="str">
        <f>IFERROR(__xludf.DUMMYFUNCTION("""COMPUTED_VALUE"""),"Very Good")</f>
        <v>Very Good</v>
      </c>
      <c r="AH771" s="189">
        <f>IFERROR(__xludf.DUMMYFUNCTION("""COMPUTED_VALUE"""),43363.379049282405)</f>
        <v>43363.37905</v>
      </c>
    </row>
    <row r="772">
      <c r="A772" t="str">
        <f>IFERROR(__xludf.DUMMYFUNCTION("""COMPUTED_VALUE"""),"RWA")</f>
        <v>RWA</v>
      </c>
      <c r="B772" t="str">
        <f>IFERROR(__xludf.DUMMYFUNCTION("""COMPUTED_VALUE"""),"Glastonbury")</f>
        <v>Glastonbury</v>
      </c>
      <c r="C772" t="str">
        <f>IFERROR(__xludf.DUMMYFUNCTION("""COMPUTED_VALUE"""),"CT")</f>
        <v>CT</v>
      </c>
      <c r="D772" t="str">
        <f>IFERROR(__xludf.DUMMYFUNCTION("""COMPUTED_VALUE"""),"USA")</f>
        <v>USA</v>
      </c>
      <c r="E772" s="188">
        <f>IFERROR(__xludf.DUMMYFUNCTION("""COMPUTED_VALUE"""),43279.0)</f>
        <v>43279</v>
      </c>
      <c r="F772" s="188">
        <f>IFERROR(__xludf.DUMMYFUNCTION("""COMPUTED_VALUE"""),43331.0)</f>
        <v>43331</v>
      </c>
      <c r="H772">
        <f>IFERROR(__xludf.DUMMYFUNCTION("""COMPUTED_VALUE"""),96255.0)</f>
        <v>96255</v>
      </c>
      <c r="I772" t="str">
        <f>IFERROR(__xludf.DUMMYFUNCTION("""COMPUTED_VALUE"""),"08/18")</f>
        <v>08/18</v>
      </c>
      <c r="J772" s="5">
        <f>IFERROR(__xludf.DUMMYFUNCTION("""COMPUTED_VALUE"""),43363.0)</f>
        <v>43363</v>
      </c>
      <c r="K772">
        <f>IFERROR(__xludf.DUMMYFUNCTION("""COMPUTED_VALUE"""),52.0)</f>
        <v>52</v>
      </c>
      <c r="L772">
        <f>IFERROR(__xludf.DUMMYFUNCTION("""COMPUTED_VALUE"""),32.0)</f>
        <v>32</v>
      </c>
      <c r="M772">
        <f>IFERROR(__xludf.DUMMYFUNCTION("""COMPUTED_VALUE"""),84.0)</f>
        <v>84</v>
      </c>
      <c r="N772" t="str">
        <f>IFERROR(__xludf.DUMMYFUNCTION("""COMPUTED_VALUE"""),"Model 3 LR AWD")</f>
        <v>Model 3 LR AWD</v>
      </c>
      <c r="O772" t="str">
        <f>IFERROR(__xludf.DUMMYFUNCTION("""COMPUTED_VALUE"""),"Red Multi-Coat")</f>
        <v>Red Multi-Coat</v>
      </c>
      <c r="P772" t="str">
        <f>IFERROR(__xludf.DUMMYFUNCTION("""COMPUTED_VALUE"""),"18 inch Aero")</f>
        <v>18 inch Aero</v>
      </c>
      <c r="Q772" t="str">
        <f>IFERROR(__xludf.DUMMYFUNCTION("""COMPUTED_VALUE"""),"White seats")</f>
        <v>White seats</v>
      </c>
      <c r="R772" t="str">
        <f>IFERROR(__xludf.DUMMYFUNCTION("""COMPUTED_VALUE"""),"Enhanced Autopilot")</f>
        <v>Enhanced Autopilot</v>
      </c>
      <c r="X772" t="str">
        <f>IFERROR(__xludf.DUMMYFUNCTION("""COMPUTED_VALUE"""),"Excellent")</f>
        <v>Excellent</v>
      </c>
      <c r="Y772" t="str">
        <f>IFERROR(__xludf.DUMMYFUNCTION("""COMPUTED_VALUE"""),"Excellent")</f>
        <v>Excellent</v>
      </c>
      <c r="Z772" t="str">
        <f>IFERROR(__xludf.DUMMYFUNCTION("""COMPUTED_VALUE"""),"Excellent")</f>
        <v>Excellent</v>
      </c>
      <c r="AA772" t="str">
        <f>IFERROR(__xludf.DUMMYFUNCTION("""COMPUTED_VALUE"""),"Excellent")</f>
        <v>Excellent</v>
      </c>
      <c r="AB772" t="str">
        <f>IFERROR(__xludf.DUMMYFUNCTION("""COMPUTED_VALUE"""),"Excellent")</f>
        <v>Excellent</v>
      </c>
      <c r="AH772" s="189">
        <f>IFERROR(__xludf.DUMMYFUNCTION("""COMPUTED_VALUE"""),43363.78216811342)</f>
        <v>43363.78217</v>
      </c>
    </row>
    <row r="773">
      <c r="A773" t="str">
        <f>IFERROR(__xludf.DUMMYFUNCTION("""COMPUTED_VALUE"""),"kennyboy")</f>
        <v>kennyboy</v>
      </c>
      <c r="B773" t="str">
        <f>IFERROR(__xludf.DUMMYFUNCTION("""COMPUTED_VALUE"""),"Austin")</f>
        <v>Austin</v>
      </c>
      <c r="C773" t="str">
        <f>IFERROR(__xludf.DUMMYFUNCTION("""COMPUTED_VALUE"""),"TX")</f>
        <v>TX</v>
      </c>
      <c r="D773" t="str">
        <f>IFERROR(__xludf.DUMMYFUNCTION("""COMPUTED_VALUE"""),"USA")</f>
        <v>USA</v>
      </c>
      <c r="E773" s="188">
        <f>IFERROR(__xludf.DUMMYFUNCTION("""COMPUTED_VALUE"""),43279.0)</f>
        <v>43279</v>
      </c>
      <c r="F773" s="188">
        <f>IFERROR(__xludf.DUMMYFUNCTION("""COMPUTED_VALUE"""),43350.0)</f>
        <v>43350</v>
      </c>
      <c r="H773">
        <f>IFERROR(__xludf.DUMMYFUNCTION("""COMPUTED_VALUE"""),63255.0)</f>
        <v>63255</v>
      </c>
      <c r="I773" t="str">
        <f>IFERROR(__xludf.DUMMYFUNCTION("""COMPUTED_VALUE"""),"09/18")</f>
        <v>09/18</v>
      </c>
      <c r="J773" s="5">
        <f>IFERROR(__xludf.DUMMYFUNCTION("""COMPUTED_VALUE"""),43363.0)</f>
        <v>43363</v>
      </c>
      <c r="K773">
        <f>IFERROR(__xludf.DUMMYFUNCTION("""COMPUTED_VALUE"""),71.0)</f>
        <v>71</v>
      </c>
      <c r="L773">
        <f>IFERROR(__xludf.DUMMYFUNCTION("""COMPUTED_VALUE"""),13.0)</f>
        <v>13</v>
      </c>
      <c r="M773">
        <f>IFERROR(__xludf.DUMMYFUNCTION("""COMPUTED_VALUE"""),84.0)</f>
        <v>84</v>
      </c>
      <c r="N773" t="str">
        <f>IFERROR(__xludf.DUMMYFUNCTION("""COMPUTED_VALUE"""),"Model 3 Performance")</f>
        <v>Model 3 Performance</v>
      </c>
      <c r="O773" t="str">
        <f>IFERROR(__xludf.DUMMYFUNCTION("""COMPUTED_VALUE"""),"Red Multi-Coat")</f>
        <v>Red Multi-Coat</v>
      </c>
      <c r="P773" t="str">
        <f>IFERROR(__xludf.DUMMYFUNCTION("""COMPUTED_VALUE"""),"20 inch Sport")</f>
        <v>20 inch Sport</v>
      </c>
      <c r="Q773" t="str">
        <f>IFERROR(__xludf.DUMMYFUNCTION("""COMPUTED_VALUE"""),"Black seats")</f>
        <v>Black seats</v>
      </c>
      <c r="R773" t="str">
        <f>IFERROR(__xludf.DUMMYFUNCTION("""COMPUTED_VALUE"""),"Full Self-Driving")</f>
        <v>Full Self-Driving</v>
      </c>
      <c r="X773" t="str">
        <f>IFERROR(__xludf.DUMMYFUNCTION("""COMPUTED_VALUE"""),"Good")</f>
        <v>Good</v>
      </c>
      <c r="Y773" t="str">
        <f>IFERROR(__xludf.DUMMYFUNCTION("""COMPUTED_VALUE"""),"Very Good")</f>
        <v>Very Good</v>
      </c>
      <c r="Z773" t="str">
        <f>IFERROR(__xludf.DUMMYFUNCTION("""COMPUTED_VALUE"""),"Very Good")</f>
        <v>Very Good</v>
      </c>
      <c r="AA773" t="str">
        <f>IFERROR(__xludf.DUMMYFUNCTION("""COMPUTED_VALUE"""),"Very Good")</f>
        <v>Very Good</v>
      </c>
      <c r="AB773" t="str">
        <f>IFERROR(__xludf.DUMMYFUNCTION("""COMPUTED_VALUE"""),"Good")</f>
        <v>Good</v>
      </c>
      <c r="AC773">
        <f>IFERROR(__xludf.DUMMYFUNCTION("""COMPUTED_VALUE"""),2.0)</f>
        <v>2</v>
      </c>
      <c r="AH773" s="189">
        <f>IFERROR(__xludf.DUMMYFUNCTION("""COMPUTED_VALUE"""),43364.203810439816)</f>
        <v>43364.20381</v>
      </c>
    </row>
    <row r="774">
      <c r="A774" t="str">
        <f>IFERROR(__xludf.DUMMYFUNCTION("""COMPUTED_VALUE"""),"tesla_emily")</f>
        <v>tesla_emily</v>
      </c>
      <c r="B774" t="str">
        <f>IFERROR(__xludf.DUMMYFUNCTION("""COMPUTED_VALUE"""),"San Diego, CA")</f>
        <v>San Diego, CA</v>
      </c>
      <c r="C774" t="str">
        <f>IFERROR(__xludf.DUMMYFUNCTION("""COMPUTED_VALUE"""),"CA")</f>
        <v>CA</v>
      </c>
      <c r="D774" t="str">
        <f>IFERROR(__xludf.DUMMYFUNCTION("""COMPUTED_VALUE"""),"USA")</f>
        <v>USA</v>
      </c>
      <c r="E774" s="188">
        <f>IFERROR(__xludf.DUMMYFUNCTION("""COMPUTED_VALUE"""),43339.0)</f>
        <v>43339</v>
      </c>
      <c r="F774" s="188">
        <f>IFERROR(__xludf.DUMMYFUNCTION("""COMPUTED_VALUE"""),43350.0)</f>
        <v>43350</v>
      </c>
      <c r="H774">
        <f>IFERROR(__xludf.DUMMYFUNCTION("""COMPUTED_VALUE"""),77755.0)</f>
        <v>77755</v>
      </c>
      <c r="I774" t="str">
        <f>IFERROR(__xludf.DUMMYFUNCTION("""COMPUTED_VALUE"""),"08/18")</f>
        <v>08/18</v>
      </c>
      <c r="J774" s="5">
        <f>IFERROR(__xludf.DUMMYFUNCTION("""COMPUTED_VALUE"""),43361.0)</f>
        <v>43361</v>
      </c>
      <c r="K774">
        <f>IFERROR(__xludf.DUMMYFUNCTION("""COMPUTED_VALUE"""),11.0)</f>
        <v>11</v>
      </c>
      <c r="L774">
        <f>IFERROR(__xludf.DUMMYFUNCTION("""COMPUTED_VALUE"""),11.0)</f>
        <v>11</v>
      </c>
      <c r="M774">
        <f>IFERROR(__xludf.DUMMYFUNCTION("""COMPUTED_VALUE"""),22.0)</f>
        <v>22</v>
      </c>
      <c r="N774" t="str">
        <f>IFERROR(__xludf.DUMMYFUNCTION("""COMPUTED_VALUE"""),"Model 3 LR")</f>
        <v>Model 3 LR</v>
      </c>
      <c r="O774" t="str">
        <f>IFERROR(__xludf.DUMMYFUNCTION("""COMPUTED_VALUE"""),"Midnight Silver Metallic")</f>
        <v>Midnight Silver Metallic</v>
      </c>
      <c r="P774" t="str">
        <f>IFERROR(__xludf.DUMMYFUNCTION("""COMPUTED_VALUE"""),"18 inch Aero")</f>
        <v>18 inch Aero</v>
      </c>
      <c r="Q774" t="str">
        <f>IFERROR(__xludf.DUMMYFUNCTION("""COMPUTED_VALUE"""),"Black seats")</f>
        <v>Black seats</v>
      </c>
      <c r="R774" t="str">
        <f>IFERROR(__xludf.DUMMYFUNCTION("""COMPUTED_VALUE"""),"Enhanced Autopilot")</f>
        <v>Enhanced Autopilot</v>
      </c>
      <c r="X774" t="str">
        <f>IFERROR(__xludf.DUMMYFUNCTION("""COMPUTED_VALUE"""),"Excellent")</f>
        <v>Excellent</v>
      </c>
      <c r="Y774" t="str">
        <f>IFERROR(__xludf.DUMMYFUNCTION("""COMPUTED_VALUE"""),"Excellent")</f>
        <v>Excellent</v>
      </c>
      <c r="Z774" t="str">
        <f>IFERROR(__xludf.DUMMYFUNCTION("""COMPUTED_VALUE"""),"Excellent")</f>
        <v>Excellent</v>
      </c>
      <c r="AA774" t="str">
        <f>IFERROR(__xludf.DUMMYFUNCTION("""COMPUTED_VALUE"""),"Excellent")</f>
        <v>Excellent</v>
      </c>
      <c r="AB774" t="str">
        <f>IFERROR(__xludf.DUMMYFUNCTION("""COMPUTED_VALUE"""),"Excellent")</f>
        <v>Excellent</v>
      </c>
      <c r="AC774">
        <f>IFERROR(__xludf.DUMMYFUNCTION("""COMPUTED_VALUE"""),0.0)</f>
        <v>0</v>
      </c>
      <c r="AD774">
        <f>IFERROR(__xludf.DUMMYFUNCTION("""COMPUTED_VALUE"""),0.0)</f>
        <v>0</v>
      </c>
      <c r="AE774">
        <f>IFERROR(__xludf.DUMMYFUNCTION("""COMPUTED_VALUE"""),0.0)</f>
        <v>0</v>
      </c>
      <c r="AH774" s="189">
        <f>IFERROR(__xludf.DUMMYFUNCTION("""COMPUTED_VALUE"""),43364.311930462965)</f>
        <v>43364.31193</v>
      </c>
    </row>
    <row r="775">
      <c r="A775" t="str">
        <f>IFERROR(__xludf.DUMMYFUNCTION("""COMPUTED_VALUE"""),"MB")</f>
        <v>MB</v>
      </c>
      <c r="B775" t="str">
        <f>IFERROR(__xludf.DUMMYFUNCTION("""COMPUTED_VALUE"""),"Staten island")</f>
        <v>Staten island</v>
      </c>
      <c r="C775" t="str">
        <f>IFERROR(__xludf.DUMMYFUNCTION("""COMPUTED_VALUE"""),"NY")</f>
        <v>NY</v>
      </c>
      <c r="D775" t="str">
        <f>IFERROR(__xludf.DUMMYFUNCTION("""COMPUTED_VALUE"""),"USA")</f>
        <v>USA</v>
      </c>
      <c r="E775" s="188">
        <f>IFERROR(__xludf.DUMMYFUNCTION("""COMPUTED_VALUE"""),43280.0)</f>
        <v>43280</v>
      </c>
      <c r="H775">
        <f>IFERROR(__xludf.DUMMYFUNCTION("""COMPUTED_VALUE"""),73255.0)</f>
        <v>73255</v>
      </c>
      <c r="I775" t="str">
        <f>IFERROR(__xludf.DUMMYFUNCTION("""COMPUTED_VALUE"""),"08/18")</f>
        <v>08/18</v>
      </c>
      <c r="J775" s="5">
        <f>IFERROR(__xludf.DUMMYFUNCTION("""COMPUTED_VALUE"""),43360.0)</f>
        <v>43360</v>
      </c>
      <c r="M775">
        <f>IFERROR(__xludf.DUMMYFUNCTION("""COMPUTED_VALUE"""),80.0)</f>
        <v>80</v>
      </c>
      <c r="N775" t="str">
        <f>IFERROR(__xludf.DUMMYFUNCTION("""COMPUTED_VALUE"""),"Model 3 LR AWD")</f>
        <v>Model 3 LR AWD</v>
      </c>
      <c r="O775" t="str">
        <f>IFERROR(__xludf.DUMMYFUNCTION("""COMPUTED_VALUE"""),"Solid Black")</f>
        <v>Solid Black</v>
      </c>
      <c r="P775" t="str">
        <f>IFERROR(__xludf.DUMMYFUNCTION("""COMPUTED_VALUE"""),"19 inch Sport")</f>
        <v>19 inch Sport</v>
      </c>
      <c r="Q775" t="str">
        <f>IFERROR(__xludf.DUMMYFUNCTION("""COMPUTED_VALUE"""),"Black seats")</f>
        <v>Black seats</v>
      </c>
      <c r="R775" t="str">
        <f>IFERROR(__xludf.DUMMYFUNCTION("""COMPUTED_VALUE"""),"None")</f>
        <v>None</v>
      </c>
      <c r="X775" t="str">
        <f>IFERROR(__xludf.DUMMYFUNCTION("""COMPUTED_VALUE"""),"Good")</f>
        <v>Good</v>
      </c>
      <c r="Y775" t="str">
        <f>IFERROR(__xludf.DUMMYFUNCTION("""COMPUTED_VALUE"""),"Excellent")</f>
        <v>Excellent</v>
      </c>
      <c r="Z775" t="str">
        <f>IFERROR(__xludf.DUMMYFUNCTION("""COMPUTED_VALUE"""),"Excellent")</f>
        <v>Excellent</v>
      </c>
      <c r="AA775" t="str">
        <f>IFERROR(__xludf.DUMMYFUNCTION("""COMPUTED_VALUE"""),"Fair")</f>
        <v>Fair</v>
      </c>
      <c r="AB775" t="str">
        <f>IFERROR(__xludf.DUMMYFUNCTION("""COMPUTED_VALUE"""),"Excellent")</f>
        <v>Excellent</v>
      </c>
      <c r="AC775">
        <f>IFERROR(__xludf.DUMMYFUNCTION("""COMPUTED_VALUE"""),1.0)</f>
        <v>1</v>
      </c>
      <c r="AH775" s="189">
        <f>IFERROR(__xludf.DUMMYFUNCTION("""COMPUTED_VALUE"""),43364.33507170139)</f>
        <v>43364.33507</v>
      </c>
    </row>
    <row r="776">
      <c r="A776" t="str">
        <f>IFERROR(__xludf.DUMMYFUNCTION("""COMPUTED_VALUE"""),"rakesh")</f>
        <v>rakesh</v>
      </c>
      <c r="B776" t="str">
        <f>IFERROR(__xludf.DUMMYFUNCTION("""COMPUTED_VALUE"""),"Austin")</f>
        <v>Austin</v>
      </c>
      <c r="C776" t="str">
        <f>IFERROR(__xludf.DUMMYFUNCTION("""COMPUTED_VALUE"""),"TX")</f>
        <v>TX</v>
      </c>
      <c r="D776" t="str">
        <f>IFERROR(__xludf.DUMMYFUNCTION("""COMPUTED_VALUE"""),"USA")</f>
        <v>USA</v>
      </c>
      <c r="E776" s="188">
        <f>IFERROR(__xludf.DUMMYFUNCTION("""COMPUTED_VALUE"""),43345.0)</f>
        <v>43345</v>
      </c>
      <c r="F776" s="188">
        <f>IFERROR(__xludf.DUMMYFUNCTION("""COMPUTED_VALUE"""),43353.0)</f>
        <v>43353</v>
      </c>
      <c r="H776">
        <f>IFERROR(__xludf.DUMMYFUNCTION("""COMPUTED_VALUE"""),34955.0)</f>
        <v>34955</v>
      </c>
      <c r="J776" s="5">
        <f>IFERROR(__xludf.DUMMYFUNCTION("""COMPUTED_VALUE"""),43363.0)</f>
        <v>43363</v>
      </c>
      <c r="K776">
        <f>IFERROR(__xludf.DUMMYFUNCTION("""COMPUTED_VALUE"""),8.0)</f>
        <v>8</v>
      </c>
      <c r="L776">
        <f>IFERROR(__xludf.DUMMYFUNCTION("""COMPUTED_VALUE"""),10.0)</f>
        <v>10</v>
      </c>
      <c r="M776">
        <f>IFERROR(__xludf.DUMMYFUNCTION("""COMPUTED_VALUE"""),18.0)</f>
        <v>18</v>
      </c>
      <c r="N776" t="str">
        <f>IFERROR(__xludf.DUMMYFUNCTION("""COMPUTED_VALUE"""),"Model 3 LR")</f>
        <v>Model 3 LR</v>
      </c>
      <c r="O776" t="str">
        <f>IFERROR(__xludf.DUMMYFUNCTION("""COMPUTED_VALUE"""),"Red Multi-Coat")</f>
        <v>Red Multi-Coat</v>
      </c>
      <c r="P776" t="str">
        <f>IFERROR(__xludf.DUMMYFUNCTION("""COMPUTED_VALUE"""),"18 inch Aero")</f>
        <v>18 inch Aero</v>
      </c>
      <c r="Q776" t="str">
        <f>IFERROR(__xludf.DUMMYFUNCTION("""COMPUTED_VALUE"""),"Black seats")</f>
        <v>Black seats</v>
      </c>
      <c r="R776" t="str">
        <f>IFERROR(__xludf.DUMMYFUNCTION("""COMPUTED_VALUE"""),"None")</f>
        <v>None</v>
      </c>
      <c r="X776" t="str">
        <f>IFERROR(__xludf.DUMMYFUNCTION("""COMPUTED_VALUE"""),"Poor")</f>
        <v>Poor</v>
      </c>
      <c r="Y776" t="str">
        <f>IFERROR(__xludf.DUMMYFUNCTION("""COMPUTED_VALUE"""),"Good")</f>
        <v>Good</v>
      </c>
      <c r="Z776" t="str">
        <f>IFERROR(__xludf.DUMMYFUNCTION("""COMPUTED_VALUE"""),"Excellent")</f>
        <v>Excellent</v>
      </c>
      <c r="AA776" t="str">
        <f>IFERROR(__xludf.DUMMYFUNCTION("""COMPUTED_VALUE"""),"Excellent")</f>
        <v>Excellent</v>
      </c>
      <c r="AB776" t="str">
        <f>IFERROR(__xludf.DUMMYFUNCTION("""COMPUTED_VALUE"""),"Excellent")</f>
        <v>Excellent</v>
      </c>
      <c r="AH776" s="189">
        <f>IFERROR(__xludf.DUMMYFUNCTION("""COMPUTED_VALUE"""),43364.3583675463)</f>
        <v>43364.35837</v>
      </c>
    </row>
    <row r="777">
      <c r="A777" t="str">
        <f>IFERROR(__xludf.DUMMYFUNCTION("""COMPUTED_VALUE"""),"bobb721")</f>
        <v>bobb721</v>
      </c>
      <c r="B777" t="str">
        <f>IFERROR(__xludf.DUMMYFUNCTION("""COMPUTED_VALUE"""),"Fresno")</f>
        <v>Fresno</v>
      </c>
      <c r="C777" t="str">
        <f>IFERROR(__xludf.DUMMYFUNCTION("""COMPUTED_VALUE"""),"CA")</f>
        <v>CA</v>
      </c>
      <c r="D777" t="str">
        <f>IFERROR(__xludf.DUMMYFUNCTION("""COMPUTED_VALUE"""),"USA")</f>
        <v>USA</v>
      </c>
      <c r="E777" s="188">
        <f>IFERROR(__xludf.DUMMYFUNCTION("""COMPUTED_VALUE"""),43279.0)</f>
        <v>43279</v>
      </c>
      <c r="F777" s="188">
        <f>IFERROR(__xludf.DUMMYFUNCTION("""COMPUTED_VALUE"""),43360.0)</f>
        <v>43360</v>
      </c>
      <c r="H777">
        <f>IFERROR(__xludf.DUMMYFUNCTION("""COMPUTED_VALUE"""),67555.0)</f>
        <v>67555</v>
      </c>
      <c r="I777" t="str">
        <f>IFERROR(__xludf.DUMMYFUNCTION("""COMPUTED_VALUE"""),"09/18")</f>
        <v>09/18</v>
      </c>
      <c r="J777" s="5">
        <f>IFERROR(__xludf.DUMMYFUNCTION("""COMPUTED_VALUE"""),43363.0)</f>
        <v>43363</v>
      </c>
      <c r="K777">
        <f>IFERROR(__xludf.DUMMYFUNCTION("""COMPUTED_VALUE"""),81.0)</f>
        <v>81</v>
      </c>
      <c r="L777">
        <f>IFERROR(__xludf.DUMMYFUNCTION("""COMPUTED_VALUE"""),3.0)</f>
        <v>3</v>
      </c>
      <c r="M777">
        <f>IFERROR(__xludf.DUMMYFUNCTION("""COMPUTED_VALUE"""),84.0)</f>
        <v>84</v>
      </c>
      <c r="N777" t="str">
        <f>IFERROR(__xludf.DUMMYFUNCTION("""COMPUTED_VALUE"""),"Model 3 LR AWD")</f>
        <v>Model 3 LR AWD</v>
      </c>
      <c r="O777" t="str">
        <f>IFERROR(__xludf.DUMMYFUNCTION("""COMPUTED_VALUE"""),"Pearl White Multi-Coat")</f>
        <v>Pearl White Multi-Coat</v>
      </c>
      <c r="P777" t="str">
        <f>IFERROR(__xludf.DUMMYFUNCTION("""COMPUTED_VALUE"""),"19 inch Sport")</f>
        <v>19 inch Sport</v>
      </c>
      <c r="Q777" t="str">
        <f>IFERROR(__xludf.DUMMYFUNCTION("""COMPUTED_VALUE"""),"Black seats")</f>
        <v>Black seats</v>
      </c>
      <c r="R777" t="str">
        <f>IFERROR(__xludf.DUMMYFUNCTION("""COMPUTED_VALUE"""),"Enhanced Autopilot")</f>
        <v>Enhanced Autopilot</v>
      </c>
      <c r="X777" t="str">
        <f>IFERROR(__xludf.DUMMYFUNCTION("""COMPUTED_VALUE"""),"Excellent")</f>
        <v>Excellent</v>
      </c>
      <c r="Y777" t="str">
        <f>IFERROR(__xludf.DUMMYFUNCTION("""COMPUTED_VALUE"""),"Excellent")</f>
        <v>Excellent</v>
      </c>
      <c r="Z777" t="str">
        <f>IFERROR(__xludf.DUMMYFUNCTION("""COMPUTED_VALUE"""),"Excellent")</f>
        <v>Excellent</v>
      </c>
      <c r="AA777" t="str">
        <f>IFERROR(__xludf.DUMMYFUNCTION("""COMPUTED_VALUE"""),"Excellent")</f>
        <v>Excellent</v>
      </c>
      <c r="AB777" t="str">
        <f>IFERROR(__xludf.DUMMYFUNCTION("""COMPUTED_VALUE"""),"Very Good")</f>
        <v>Very Good</v>
      </c>
      <c r="AC777">
        <f>IFERROR(__xludf.DUMMYFUNCTION("""COMPUTED_VALUE"""),0.0)</f>
        <v>0</v>
      </c>
      <c r="AD777">
        <f>IFERROR(__xludf.DUMMYFUNCTION("""COMPUTED_VALUE"""),0.0)</f>
        <v>0</v>
      </c>
      <c r="AE777">
        <f>IFERROR(__xludf.DUMMYFUNCTION("""COMPUTED_VALUE"""),0.0)</f>
        <v>0</v>
      </c>
      <c r="AH777" s="189">
        <f>IFERROR(__xludf.DUMMYFUNCTION("""COMPUTED_VALUE"""),43364.400495625)</f>
        <v>43364.4005</v>
      </c>
    </row>
    <row r="778">
      <c r="A778" t="str">
        <f>IFERROR(__xludf.DUMMYFUNCTION("""COMPUTED_VALUE"""),"eric1856")</f>
        <v>eric1856</v>
      </c>
      <c r="C778" t="str">
        <f>IFERROR(__xludf.DUMMYFUNCTION("""COMPUTED_VALUE"""),"ON")</f>
        <v>ON</v>
      </c>
      <c r="D778" t="str">
        <f>IFERROR(__xludf.DUMMYFUNCTION("""COMPUTED_VALUE"""),"Canada")</f>
        <v>Canada</v>
      </c>
      <c r="E778" s="188">
        <f>IFERROR(__xludf.DUMMYFUNCTION("""COMPUTED_VALUE"""),43331.0)</f>
        <v>43331</v>
      </c>
      <c r="F778" s="188">
        <f>IFERROR(__xludf.DUMMYFUNCTION("""COMPUTED_VALUE"""),43344.0)</f>
        <v>43344</v>
      </c>
      <c r="H778">
        <f>IFERROR(__xludf.DUMMYFUNCTION("""COMPUTED_VALUE"""),107955.0)</f>
        <v>107955</v>
      </c>
      <c r="J778" s="5">
        <f>IFERROR(__xludf.DUMMYFUNCTION("""COMPUTED_VALUE"""),43363.0)</f>
        <v>43363</v>
      </c>
      <c r="K778">
        <f>IFERROR(__xludf.DUMMYFUNCTION("""COMPUTED_VALUE"""),13.0)</f>
        <v>13</v>
      </c>
      <c r="L778">
        <f>IFERROR(__xludf.DUMMYFUNCTION("""COMPUTED_VALUE"""),19.0)</f>
        <v>19</v>
      </c>
      <c r="M778">
        <f>IFERROR(__xludf.DUMMYFUNCTION("""COMPUTED_VALUE"""),32.0)</f>
        <v>32</v>
      </c>
      <c r="N778" t="str">
        <f>IFERROR(__xludf.DUMMYFUNCTION("""COMPUTED_VALUE"""),"Model 3 LR AWD")</f>
        <v>Model 3 LR AWD</v>
      </c>
      <c r="O778" t="str">
        <f>IFERROR(__xludf.DUMMYFUNCTION("""COMPUTED_VALUE"""),"Midnight Silver Metallic")</f>
        <v>Midnight Silver Metallic</v>
      </c>
      <c r="P778" t="str">
        <f>IFERROR(__xludf.DUMMYFUNCTION("""COMPUTED_VALUE"""),"19 inch Sport")</f>
        <v>19 inch Sport</v>
      </c>
      <c r="Q778" t="str">
        <f>IFERROR(__xludf.DUMMYFUNCTION("""COMPUTED_VALUE"""),"White seats")</f>
        <v>White seats</v>
      </c>
      <c r="R778" t="str">
        <f>IFERROR(__xludf.DUMMYFUNCTION("""COMPUTED_VALUE"""),"Full Self-Driving")</f>
        <v>Full Self-Driving</v>
      </c>
      <c r="X778" t="str">
        <f>IFERROR(__xludf.DUMMYFUNCTION("""COMPUTED_VALUE"""),"Excellent")</f>
        <v>Excellent</v>
      </c>
      <c r="Y778" t="str">
        <f>IFERROR(__xludf.DUMMYFUNCTION("""COMPUTED_VALUE"""),"Excellent")</f>
        <v>Excellent</v>
      </c>
      <c r="Z778" t="str">
        <f>IFERROR(__xludf.DUMMYFUNCTION("""COMPUTED_VALUE"""),"Fair")</f>
        <v>Fair</v>
      </c>
      <c r="AA778" t="str">
        <f>IFERROR(__xludf.DUMMYFUNCTION("""COMPUTED_VALUE"""),"Fair")</f>
        <v>Fair</v>
      </c>
      <c r="AB778" t="str">
        <f>IFERROR(__xludf.DUMMYFUNCTION("""COMPUTED_VALUE"""),"Very Good")</f>
        <v>Very Good</v>
      </c>
      <c r="AC778">
        <f>IFERROR(__xludf.DUMMYFUNCTION("""COMPUTED_VALUE"""),1.0)</f>
        <v>1</v>
      </c>
      <c r="AG778" t="str">
        <f>IFERROR(__xludf.DUMMYFUNCTION("""COMPUTED_VALUE"""),"Entire hood needing repainting due to defects")</f>
        <v>Entire hood needing repainting due to defects</v>
      </c>
      <c r="AH778" s="189">
        <f>IFERROR(__xludf.DUMMYFUNCTION("""COMPUTED_VALUE"""),43364.41235165509)</f>
        <v>43364.41235</v>
      </c>
    </row>
    <row r="779">
      <c r="A779" t="str">
        <f>IFERROR(__xludf.DUMMYFUNCTION("""COMPUTED_VALUE"""),"pxxt")</f>
        <v>pxxt</v>
      </c>
      <c r="B779" t="str">
        <f>IFERROR(__xludf.DUMMYFUNCTION("""COMPUTED_VALUE"""),"Bay Area")</f>
        <v>Bay Area</v>
      </c>
      <c r="C779" t="str">
        <f>IFERROR(__xludf.DUMMYFUNCTION("""COMPUTED_VALUE"""),"CA")</f>
        <v>CA</v>
      </c>
      <c r="D779" t="str">
        <f>IFERROR(__xludf.DUMMYFUNCTION("""COMPUTED_VALUE"""),"USA")</f>
        <v>USA</v>
      </c>
      <c r="E779" s="188">
        <f>IFERROR(__xludf.DUMMYFUNCTION("""COMPUTED_VALUE"""),43279.0)</f>
        <v>43279</v>
      </c>
      <c r="F779" s="188">
        <f>IFERROR(__xludf.DUMMYFUNCTION("""COMPUTED_VALUE"""),43360.0)</f>
        <v>43360</v>
      </c>
      <c r="H779">
        <f>IFERROR(__xludf.DUMMYFUNCTION("""COMPUTED_VALUE"""),76855.0)</f>
        <v>76855</v>
      </c>
      <c r="J779" s="5">
        <f>IFERROR(__xludf.DUMMYFUNCTION("""COMPUTED_VALUE"""),43363.0)</f>
        <v>43363</v>
      </c>
      <c r="K779">
        <f>IFERROR(__xludf.DUMMYFUNCTION("""COMPUTED_VALUE"""),81.0)</f>
        <v>81</v>
      </c>
      <c r="L779">
        <f>IFERROR(__xludf.DUMMYFUNCTION("""COMPUTED_VALUE"""),3.0)</f>
        <v>3</v>
      </c>
      <c r="M779">
        <f>IFERROR(__xludf.DUMMYFUNCTION("""COMPUTED_VALUE"""),84.0)</f>
        <v>84</v>
      </c>
      <c r="N779" t="str">
        <f>IFERROR(__xludf.DUMMYFUNCTION("""COMPUTED_VALUE"""),"Model 3 LR AWD")</f>
        <v>Model 3 LR AWD</v>
      </c>
      <c r="O779" t="str">
        <f>IFERROR(__xludf.DUMMYFUNCTION("""COMPUTED_VALUE"""),"Midnight Silver Metallic")</f>
        <v>Midnight Silver Metallic</v>
      </c>
      <c r="P779" t="str">
        <f>IFERROR(__xludf.DUMMYFUNCTION("""COMPUTED_VALUE"""),"19 inch Sport")</f>
        <v>19 inch Sport</v>
      </c>
      <c r="Q779" t="str">
        <f>IFERROR(__xludf.DUMMYFUNCTION("""COMPUTED_VALUE"""),"Black seats")</f>
        <v>Black seats</v>
      </c>
      <c r="R779" t="str">
        <f>IFERROR(__xludf.DUMMYFUNCTION("""COMPUTED_VALUE"""),"Full Self-Driving")</f>
        <v>Full Self-Driving</v>
      </c>
      <c r="X779" t="str">
        <f>IFERROR(__xludf.DUMMYFUNCTION("""COMPUTED_VALUE"""),"Excellent")</f>
        <v>Excellent</v>
      </c>
      <c r="Y779" t="str">
        <f>IFERROR(__xludf.DUMMYFUNCTION("""COMPUTED_VALUE"""),"Excellent")</f>
        <v>Excellent</v>
      </c>
      <c r="Z779" t="str">
        <f>IFERROR(__xludf.DUMMYFUNCTION("""COMPUTED_VALUE"""),"Excellent")</f>
        <v>Excellent</v>
      </c>
      <c r="AA779" t="str">
        <f>IFERROR(__xludf.DUMMYFUNCTION("""COMPUTED_VALUE"""),"Excellent")</f>
        <v>Excellent</v>
      </c>
      <c r="AB779" t="str">
        <f>IFERROR(__xludf.DUMMYFUNCTION("""COMPUTED_VALUE"""),"Excellent")</f>
        <v>Excellent</v>
      </c>
      <c r="AH779" s="189">
        <f>IFERROR(__xludf.DUMMYFUNCTION("""COMPUTED_VALUE"""),43364.42639153935)</f>
        <v>43364.42639</v>
      </c>
    </row>
    <row r="780">
      <c r="A780" t="str">
        <f>IFERROR(__xludf.DUMMYFUNCTION("""COMPUTED_VALUE"""),"SG")</f>
        <v>SG</v>
      </c>
      <c r="B780" t="str">
        <f>IFERROR(__xludf.DUMMYFUNCTION("""COMPUTED_VALUE"""),"Mt. Pleasant")</f>
        <v>Mt. Pleasant</v>
      </c>
      <c r="C780" t="str">
        <f>IFERROR(__xludf.DUMMYFUNCTION("""COMPUTED_VALUE"""),"SC")</f>
        <v>SC</v>
      </c>
      <c r="D780" t="str">
        <f>IFERROR(__xludf.DUMMYFUNCTION("""COMPUTED_VALUE"""),"USA")</f>
        <v>USA</v>
      </c>
      <c r="E780" s="188">
        <f>IFERROR(__xludf.DUMMYFUNCTION("""COMPUTED_VALUE"""),43318.0)</f>
        <v>43318</v>
      </c>
      <c r="F780" s="188">
        <f>IFERROR(__xludf.DUMMYFUNCTION("""COMPUTED_VALUE"""),43341.0)</f>
        <v>43341</v>
      </c>
      <c r="H780" s="4">
        <f>IFERROR(__xludf.DUMMYFUNCTION("""COMPUTED_VALUE"""),99391.0)</f>
        <v>99391</v>
      </c>
      <c r="J780" s="5">
        <f>IFERROR(__xludf.DUMMYFUNCTION("""COMPUTED_VALUE"""),43363.0)</f>
        <v>43363</v>
      </c>
      <c r="K780">
        <f>IFERROR(__xludf.DUMMYFUNCTION("""COMPUTED_VALUE"""),23.0)</f>
        <v>23</v>
      </c>
      <c r="L780">
        <f>IFERROR(__xludf.DUMMYFUNCTION("""COMPUTED_VALUE"""),22.0)</f>
        <v>22</v>
      </c>
      <c r="M780">
        <f>IFERROR(__xludf.DUMMYFUNCTION("""COMPUTED_VALUE"""),45.0)</f>
        <v>45</v>
      </c>
      <c r="N780" t="str">
        <f>IFERROR(__xludf.DUMMYFUNCTION("""COMPUTED_VALUE"""),"Model 3 LR AWD")</f>
        <v>Model 3 LR AWD</v>
      </c>
      <c r="O780" t="str">
        <f>IFERROR(__xludf.DUMMYFUNCTION("""COMPUTED_VALUE"""),"Midnight Silver Metallic")</f>
        <v>Midnight Silver Metallic</v>
      </c>
      <c r="P780" t="str">
        <f>IFERROR(__xludf.DUMMYFUNCTION("""COMPUTED_VALUE"""),"18 inch Aero")</f>
        <v>18 inch Aero</v>
      </c>
      <c r="Q780" t="str">
        <f>IFERROR(__xludf.DUMMYFUNCTION("""COMPUTED_VALUE"""),"White seats")</f>
        <v>White seats</v>
      </c>
      <c r="R780" t="str">
        <f>IFERROR(__xludf.DUMMYFUNCTION("""COMPUTED_VALUE"""),"Enhanced Autopilot")</f>
        <v>Enhanced Autopilot</v>
      </c>
      <c r="X780" t="str">
        <f>IFERROR(__xludf.DUMMYFUNCTION("""COMPUTED_VALUE"""),"Very Good")</f>
        <v>Very Good</v>
      </c>
      <c r="Y780" t="str">
        <f>IFERROR(__xludf.DUMMYFUNCTION("""COMPUTED_VALUE"""),"Very Good")</f>
        <v>Very Good</v>
      </c>
      <c r="Z780" t="str">
        <f>IFERROR(__xludf.DUMMYFUNCTION("""COMPUTED_VALUE"""),"Very Good")</f>
        <v>Very Good</v>
      </c>
      <c r="AA780" t="str">
        <f>IFERROR(__xludf.DUMMYFUNCTION("""COMPUTED_VALUE"""),"Very Good")</f>
        <v>Very Good</v>
      </c>
      <c r="AB780" t="str">
        <f>IFERROR(__xludf.DUMMYFUNCTION("""COMPUTED_VALUE"""),"Good")</f>
        <v>Good</v>
      </c>
      <c r="AH780" s="189">
        <f>IFERROR(__xludf.DUMMYFUNCTION("""COMPUTED_VALUE"""),43364.45005462963)</f>
        <v>43364.45005</v>
      </c>
    </row>
    <row r="781">
      <c r="A781" t="str">
        <f>IFERROR(__xludf.DUMMYFUNCTION("""COMPUTED_VALUE"""),"Parioca")</f>
        <v>Parioca</v>
      </c>
      <c r="B781" t="str">
        <f>IFERROR(__xludf.DUMMYFUNCTION("""COMPUTED_VALUE"""),"San Francisco")</f>
        <v>San Francisco</v>
      </c>
      <c r="C781" t="str">
        <f>IFERROR(__xludf.DUMMYFUNCTION("""COMPUTED_VALUE"""),"CA")</f>
        <v>CA</v>
      </c>
      <c r="D781" t="str">
        <f>IFERROR(__xludf.DUMMYFUNCTION("""COMPUTED_VALUE"""),"USA")</f>
        <v>USA</v>
      </c>
      <c r="E781" s="188">
        <f>IFERROR(__xludf.DUMMYFUNCTION("""COMPUTED_VALUE"""),43354.0)</f>
        <v>43354</v>
      </c>
      <c r="F781" s="188">
        <f>IFERROR(__xludf.DUMMYFUNCTION("""COMPUTED_VALUE"""),43362.0)</f>
        <v>43362</v>
      </c>
      <c r="H781">
        <f>IFERROR(__xludf.DUMMYFUNCTION("""COMPUTED_VALUE"""),74255.0)</f>
        <v>74255</v>
      </c>
      <c r="J781" s="5">
        <f>IFERROR(__xludf.DUMMYFUNCTION("""COMPUTED_VALUE"""),43362.0)</f>
        <v>43362</v>
      </c>
      <c r="K781">
        <f>IFERROR(__xludf.DUMMYFUNCTION("""COMPUTED_VALUE"""),8.0)</f>
        <v>8</v>
      </c>
      <c r="L781">
        <f>IFERROR(__xludf.DUMMYFUNCTION("""COMPUTED_VALUE"""),0.0)</f>
        <v>0</v>
      </c>
      <c r="M781">
        <f>IFERROR(__xludf.DUMMYFUNCTION("""COMPUTED_VALUE"""),8.0)</f>
        <v>8</v>
      </c>
      <c r="N781" t="str">
        <f>IFERROR(__xludf.DUMMYFUNCTION("""COMPUTED_VALUE"""),"Model 3 Performance")</f>
        <v>Model 3 Performance</v>
      </c>
      <c r="O781" t="str">
        <f>IFERROR(__xludf.DUMMYFUNCTION("""COMPUTED_VALUE"""),"Deep Blue Metallic")</f>
        <v>Deep Blue Metallic</v>
      </c>
      <c r="P781" t="str">
        <f>IFERROR(__xludf.DUMMYFUNCTION("""COMPUTED_VALUE"""),"20 inch Sport")</f>
        <v>20 inch Sport</v>
      </c>
      <c r="Q781" t="str">
        <f>IFERROR(__xludf.DUMMYFUNCTION("""COMPUTED_VALUE"""),"White seats")</f>
        <v>White seats</v>
      </c>
      <c r="R781" t="str">
        <f>IFERROR(__xludf.DUMMYFUNCTION("""COMPUTED_VALUE"""),"Full Self-Driving")</f>
        <v>Full Self-Driving</v>
      </c>
      <c r="X781" t="str">
        <f>IFERROR(__xludf.DUMMYFUNCTION("""COMPUTED_VALUE"""),"Excellent")</f>
        <v>Excellent</v>
      </c>
      <c r="Y781" t="str">
        <f>IFERROR(__xludf.DUMMYFUNCTION("""COMPUTED_VALUE"""),"Excellent")</f>
        <v>Excellent</v>
      </c>
      <c r="Z781" t="str">
        <f>IFERROR(__xludf.DUMMYFUNCTION("""COMPUTED_VALUE"""),"Very Good")</f>
        <v>Very Good</v>
      </c>
      <c r="AA781" t="str">
        <f>IFERROR(__xludf.DUMMYFUNCTION("""COMPUTED_VALUE"""),"Excellent")</f>
        <v>Excellent</v>
      </c>
      <c r="AB781" t="str">
        <f>IFERROR(__xludf.DUMMYFUNCTION("""COMPUTED_VALUE"""),"Excellent")</f>
        <v>Excellent</v>
      </c>
      <c r="AG781" t="str">
        <f>IFERROR(__xludf.DUMMYFUNCTION("""COMPUTED_VALUE"""),"8 day delivery!")</f>
        <v>8 day delivery!</v>
      </c>
      <c r="AH781" s="189">
        <f>IFERROR(__xludf.DUMMYFUNCTION("""COMPUTED_VALUE"""),43364.46754221065)</f>
        <v>43364.46754</v>
      </c>
    </row>
    <row r="782">
      <c r="A782" t="str">
        <f>IFERROR(__xludf.DUMMYFUNCTION("""COMPUTED_VALUE"""),"robarino")</f>
        <v>robarino</v>
      </c>
      <c r="B782" t="str">
        <f>IFERROR(__xludf.DUMMYFUNCTION("""COMPUTED_VALUE"""),"Needham, MA")</f>
        <v>Needham, MA</v>
      </c>
      <c r="C782" t="str">
        <f>IFERROR(__xludf.DUMMYFUNCTION("""COMPUTED_VALUE"""),"MA")</f>
        <v>MA</v>
      </c>
      <c r="D782" t="str">
        <f>IFERROR(__xludf.DUMMYFUNCTION("""COMPUTED_VALUE"""),"USA")</f>
        <v>USA</v>
      </c>
      <c r="E782" s="188">
        <f>IFERROR(__xludf.DUMMYFUNCTION("""COMPUTED_VALUE"""),43278.0)</f>
        <v>43278</v>
      </c>
      <c r="F782" s="188">
        <f>IFERROR(__xludf.DUMMYFUNCTION("""COMPUTED_VALUE"""),43339.0)</f>
        <v>43339</v>
      </c>
      <c r="H782">
        <f>IFERROR(__xludf.DUMMYFUNCTION("""COMPUTED_VALUE"""),77219.0)</f>
        <v>77219</v>
      </c>
      <c r="J782" s="5">
        <f>IFERROR(__xludf.DUMMYFUNCTION("""COMPUTED_VALUE"""),43365.0)</f>
        <v>43365</v>
      </c>
      <c r="K782">
        <f>IFERROR(__xludf.DUMMYFUNCTION("""COMPUTED_VALUE"""),61.0)</f>
        <v>61</v>
      </c>
      <c r="L782">
        <f>IFERROR(__xludf.DUMMYFUNCTION("""COMPUTED_VALUE"""),26.0)</f>
        <v>26</v>
      </c>
      <c r="M782">
        <f>IFERROR(__xludf.DUMMYFUNCTION("""COMPUTED_VALUE"""),87.0)</f>
        <v>87</v>
      </c>
      <c r="N782" t="str">
        <f>IFERROR(__xludf.DUMMYFUNCTION("""COMPUTED_VALUE"""),"Model 3 LR AWD")</f>
        <v>Model 3 LR AWD</v>
      </c>
      <c r="O782" t="str">
        <f>IFERROR(__xludf.DUMMYFUNCTION("""COMPUTED_VALUE"""),"Midnight Silver Metallic")</f>
        <v>Midnight Silver Metallic</v>
      </c>
      <c r="P782" t="str">
        <f>IFERROR(__xludf.DUMMYFUNCTION("""COMPUTED_VALUE"""),"18 inch Aero")</f>
        <v>18 inch Aero</v>
      </c>
      <c r="Q782" t="str">
        <f>IFERROR(__xludf.DUMMYFUNCTION("""COMPUTED_VALUE"""),"Black seats")</f>
        <v>Black seats</v>
      </c>
      <c r="R782" t="str">
        <f>IFERROR(__xludf.DUMMYFUNCTION("""COMPUTED_VALUE"""),"Full Self-Driving")</f>
        <v>Full Self-Driving</v>
      </c>
      <c r="X782" t="str">
        <f>IFERROR(__xludf.DUMMYFUNCTION("""COMPUTED_VALUE"""),"Very Good")</f>
        <v>Very Good</v>
      </c>
      <c r="Y782" t="str">
        <f>IFERROR(__xludf.DUMMYFUNCTION("""COMPUTED_VALUE"""),"Very Good")</f>
        <v>Very Good</v>
      </c>
      <c r="Z782" t="str">
        <f>IFERROR(__xludf.DUMMYFUNCTION("""COMPUTED_VALUE"""),"Very Good")</f>
        <v>Very Good</v>
      </c>
      <c r="AA782" t="str">
        <f>IFERROR(__xludf.DUMMYFUNCTION("""COMPUTED_VALUE"""),"Fair")</f>
        <v>Fair</v>
      </c>
      <c r="AC782">
        <f>IFERROR(__xludf.DUMMYFUNCTION("""COMPUTED_VALUE"""),2.0)</f>
        <v>2</v>
      </c>
      <c r="AH782" s="189">
        <f>IFERROR(__xludf.DUMMYFUNCTION("""COMPUTED_VALUE"""),43364.5624286574)</f>
        <v>43364.56243</v>
      </c>
    </row>
    <row r="783">
      <c r="A783" t="str">
        <f>IFERROR(__xludf.DUMMYFUNCTION("""COMPUTED_VALUE"""),"esp123")</f>
        <v>esp123</v>
      </c>
      <c r="B783" t="str">
        <f>IFERROR(__xludf.DUMMYFUNCTION("""COMPUTED_VALUE"""),"Fresno")</f>
        <v>Fresno</v>
      </c>
      <c r="C783" t="str">
        <f>IFERROR(__xludf.DUMMYFUNCTION("""COMPUTED_VALUE"""),"CA")</f>
        <v>CA</v>
      </c>
      <c r="D783" t="str">
        <f>IFERROR(__xludf.DUMMYFUNCTION("""COMPUTED_VALUE"""),"USA")</f>
        <v>USA</v>
      </c>
      <c r="E783" s="188">
        <f>IFERROR(__xludf.DUMMYFUNCTION("""COMPUTED_VALUE"""),43350.0)</f>
        <v>43350</v>
      </c>
      <c r="H783">
        <f>IFERROR(__xludf.DUMMYFUNCTION("""COMPUTED_VALUE"""),83085.0)</f>
        <v>83085</v>
      </c>
      <c r="I783" t="str">
        <f>IFERROR(__xludf.DUMMYFUNCTION("""COMPUTED_VALUE"""),"09/18")</f>
        <v>09/18</v>
      </c>
      <c r="J783" s="5">
        <f>IFERROR(__xludf.DUMMYFUNCTION("""COMPUTED_VALUE"""),43360.0)</f>
        <v>43360</v>
      </c>
      <c r="M783">
        <f>IFERROR(__xludf.DUMMYFUNCTION("""COMPUTED_VALUE"""),10.0)</f>
        <v>10</v>
      </c>
      <c r="N783" t="str">
        <f>IFERROR(__xludf.DUMMYFUNCTION("""COMPUTED_VALUE"""),"Model 3 Performance")</f>
        <v>Model 3 Performance</v>
      </c>
      <c r="O783" t="str">
        <f>IFERROR(__xludf.DUMMYFUNCTION("""COMPUTED_VALUE"""),"Midnight Silver Metallic")</f>
        <v>Midnight Silver Metallic</v>
      </c>
      <c r="P783" t="str">
        <f>IFERROR(__xludf.DUMMYFUNCTION("""COMPUTED_VALUE"""),"20 inch Sport")</f>
        <v>20 inch Sport</v>
      </c>
      <c r="Q783" t="str">
        <f>IFERROR(__xludf.DUMMYFUNCTION("""COMPUTED_VALUE"""),"Black seats")</f>
        <v>Black seats</v>
      </c>
      <c r="R783" t="str">
        <f>IFERROR(__xludf.DUMMYFUNCTION("""COMPUTED_VALUE"""),"Enhanced Autopilot")</f>
        <v>Enhanced Autopilot</v>
      </c>
      <c r="X783" t="str">
        <f>IFERROR(__xludf.DUMMYFUNCTION("""COMPUTED_VALUE"""),"Excellent")</f>
        <v>Excellent</v>
      </c>
      <c r="Y783" t="str">
        <f>IFERROR(__xludf.DUMMYFUNCTION("""COMPUTED_VALUE"""),"Excellent")</f>
        <v>Excellent</v>
      </c>
      <c r="Z783" t="str">
        <f>IFERROR(__xludf.DUMMYFUNCTION("""COMPUTED_VALUE"""),"Very Good")</f>
        <v>Very Good</v>
      </c>
      <c r="AA783" t="str">
        <f>IFERROR(__xludf.DUMMYFUNCTION("""COMPUTED_VALUE"""),"Excellent")</f>
        <v>Excellent</v>
      </c>
      <c r="AB783" t="str">
        <f>IFERROR(__xludf.DUMMYFUNCTION("""COMPUTED_VALUE"""),"Very Good")</f>
        <v>Very Good</v>
      </c>
      <c r="AC783">
        <f>IFERROR(__xludf.DUMMYFUNCTION("""COMPUTED_VALUE"""),0.0)</f>
        <v>0</v>
      </c>
      <c r="AD783">
        <f>IFERROR(__xludf.DUMMYFUNCTION("""COMPUTED_VALUE"""),0.0)</f>
        <v>0</v>
      </c>
      <c r="AE783">
        <f>IFERROR(__xludf.DUMMYFUNCTION("""COMPUTED_VALUE"""),0.0)</f>
        <v>0</v>
      </c>
      <c r="AG783" t="str">
        <f>IFERROR(__xludf.DUMMYFUNCTION("""COMPUTED_VALUE"""),"10 days from order to pickup ")</f>
        <v>10 days from order to pickup </v>
      </c>
      <c r="AH783" s="189">
        <f>IFERROR(__xludf.DUMMYFUNCTION("""COMPUTED_VALUE"""),43364.60381728009)</f>
        <v>43364.60382</v>
      </c>
    </row>
    <row r="784">
      <c r="A784" t="str">
        <f>IFERROR(__xludf.DUMMYFUNCTION("""COMPUTED_VALUE"""),"pabloaiz")</f>
        <v>pabloaiz</v>
      </c>
      <c r="B784" t="str">
        <f>IFERROR(__xludf.DUMMYFUNCTION("""COMPUTED_VALUE"""),"Spring")</f>
        <v>Spring</v>
      </c>
      <c r="C784" t="str">
        <f>IFERROR(__xludf.DUMMYFUNCTION("""COMPUTED_VALUE"""),"TX")</f>
        <v>TX</v>
      </c>
      <c r="D784" t="str">
        <f>IFERROR(__xludf.DUMMYFUNCTION("""COMPUTED_VALUE"""),"USA")</f>
        <v>USA</v>
      </c>
      <c r="E784" s="188">
        <f>IFERROR(__xludf.DUMMYFUNCTION("""COMPUTED_VALUE"""),43285.0)</f>
        <v>43285</v>
      </c>
      <c r="F784" s="188">
        <f>IFERROR(__xludf.DUMMYFUNCTION("""COMPUTED_VALUE"""),43332.0)</f>
        <v>43332</v>
      </c>
      <c r="H784">
        <f>IFERROR(__xludf.DUMMYFUNCTION("""COMPUTED_VALUE"""),96055.0)</f>
        <v>96055</v>
      </c>
      <c r="J784" s="5">
        <f>IFERROR(__xludf.DUMMYFUNCTION("""COMPUTED_VALUE"""),43361.0)</f>
        <v>43361</v>
      </c>
      <c r="K784">
        <f>IFERROR(__xludf.DUMMYFUNCTION("""COMPUTED_VALUE"""),47.0)</f>
        <v>47</v>
      </c>
      <c r="L784">
        <f>IFERROR(__xludf.DUMMYFUNCTION("""COMPUTED_VALUE"""),29.0)</f>
        <v>29</v>
      </c>
      <c r="M784">
        <f>IFERROR(__xludf.DUMMYFUNCTION("""COMPUTED_VALUE"""),76.0)</f>
        <v>76</v>
      </c>
      <c r="N784" t="str">
        <f>IFERROR(__xludf.DUMMYFUNCTION("""COMPUTED_VALUE"""),"Model 3 LR AWD")</f>
        <v>Model 3 LR AWD</v>
      </c>
      <c r="O784" t="str">
        <f>IFERROR(__xludf.DUMMYFUNCTION("""COMPUTED_VALUE"""),"Midnight Silver Metallic")</f>
        <v>Midnight Silver Metallic</v>
      </c>
      <c r="P784" t="str">
        <f>IFERROR(__xludf.DUMMYFUNCTION("""COMPUTED_VALUE"""),"18 inch Aero")</f>
        <v>18 inch Aero</v>
      </c>
      <c r="Q784" t="str">
        <f>IFERROR(__xludf.DUMMYFUNCTION("""COMPUTED_VALUE"""),"White seats")</f>
        <v>White seats</v>
      </c>
      <c r="R784" t="str">
        <f>IFERROR(__xludf.DUMMYFUNCTION("""COMPUTED_VALUE"""),"Full Self-Driving")</f>
        <v>Full Self-Driving</v>
      </c>
      <c r="X784" t="str">
        <f>IFERROR(__xludf.DUMMYFUNCTION("""COMPUTED_VALUE"""),"Good")</f>
        <v>Good</v>
      </c>
      <c r="Y784" t="str">
        <f>IFERROR(__xludf.DUMMYFUNCTION("""COMPUTED_VALUE"""),"Very Good")</f>
        <v>Very Good</v>
      </c>
      <c r="Z784" t="str">
        <f>IFERROR(__xludf.DUMMYFUNCTION("""COMPUTED_VALUE"""),"Very Good")</f>
        <v>Very Good</v>
      </c>
      <c r="AA784" t="str">
        <f>IFERROR(__xludf.DUMMYFUNCTION("""COMPUTED_VALUE"""),"Excellent")</f>
        <v>Excellent</v>
      </c>
      <c r="AB784" t="str">
        <f>IFERROR(__xludf.DUMMYFUNCTION("""COMPUTED_VALUE"""),"Good")</f>
        <v>Good</v>
      </c>
      <c r="AH784" s="189">
        <f>IFERROR(__xludf.DUMMYFUNCTION("""COMPUTED_VALUE"""),43364.722712523144)</f>
        <v>43364.72271</v>
      </c>
    </row>
    <row r="785">
      <c r="A785" t="str">
        <f>IFERROR(__xludf.DUMMYFUNCTION("""COMPUTED_VALUE"""),"blckholehorizon")</f>
        <v>blckholehorizon</v>
      </c>
      <c r="B785" t="str">
        <f>IFERROR(__xludf.DUMMYFUNCTION("""COMPUTED_VALUE"""),"Chicago")</f>
        <v>Chicago</v>
      </c>
      <c r="C785" t="str">
        <f>IFERROR(__xludf.DUMMYFUNCTION("""COMPUTED_VALUE"""),"IL")</f>
        <v>IL</v>
      </c>
      <c r="D785" t="str">
        <f>IFERROR(__xludf.DUMMYFUNCTION("""COMPUTED_VALUE"""),"USA")</f>
        <v>USA</v>
      </c>
      <c r="E785" s="188">
        <f>IFERROR(__xludf.DUMMYFUNCTION("""COMPUTED_VALUE"""),43332.0)</f>
        <v>43332</v>
      </c>
      <c r="F785" s="188">
        <f>IFERROR(__xludf.DUMMYFUNCTION("""COMPUTED_VALUE"""),43339.0)</f>
        <v>43339</v>
      </c>
      <c r="H785">
        <f>IFERROR(__xludf.DUMMYFUNCTION("""COMPUTED_VALUE"""),60155.0)</f>
        <v>60155</v>
      </c>
      <c r="J785" s="5">
        <f>IFERROR(__xludf.DUMMYFUNCTION("""COMPUTED_VALUE"""),43355.0)</f>
        <v>43355</v>
      </c>
      <c r="K785">
        <f>IFERROR(__xludf.DUMMYFUNCTION("""COMPUTED_VALUE"""),7.0)</f>
        <v>7</v>
      </c>
      <c r="L785">
        <f>IFERROR(__xludf.DUMMYFUNCTION("""COMPUTED_VALUE"""),16.0)</f>
        <v>16</v>
      </c>
      <c r="M785">
        <f>IFERROR(__xludf.DUMMYFUNCTION("""COMPUTED_VALUE"""),23.0)</f>
        <v>23</v>
      </c>
      <c r="N785" t="str">
        <f>IFERROR(__xludf.DUMMYFUNCTION("""COMPUTED_VALUE"""),"Model 3 LR")</f>
        <v>Model 3 LR</v>
      </c>
      <c r="O785" t="str">
        <f>IFERROR(__xludf.DUMMYFUNCTION("""COMPUTED_VALUE"""),"Deep Blue Metallic")</f>
        <v>Deep Blue Metallic</v>
      </c>
      <c r="P785" t="str">
        <f>IFERROR(__xludf.DUMMYFUNCTION("""COMPUTED_VALUE"""),"19 inch Sport")</f>
        <v>19 inch Sport</v>
      </c>
      <c r="Q785" t="str">
        <f>IFERROR(__xludf.DUMMYFUNCTION("""COMPUTED_VALUE"""),"Black seats")</f>
        <v>Black seats</v>
      </c>
      <c r="R785" t="str">
        <f>IFERROR(__xludf.DUMMYFUNCTION("""COMPUTED_VALUE"""),"Enhanced Autopilot")</f>
        <v>Enhanced Autopilot</v>
      </c>
      <c r="X785" t="str">
        <f>IFERROR(__xludf.DUMMYFUNCTION("""COMPUTED_VALUE"""),"Very Good")</f>
        <v>Very Good</v>
      </c>
      <c r="Y785" t="str">
        <f>IFERROR(__xludf.DUMMYFUNCTION("""COMPUTED_VALUE"""),"Very Good")</f>
        <v>Very Good</v>
      </c>
      <c r="Z785" t="str">
        <f>IFERROR(__xludf.DUMMYFUNCTION("""COMPUTED_VALUE"""),"Very Good")</f>
        <v>Very Good</v>
      </c>
      <c r="AA785" t="str">
        <f>IFERROR(__xludf.DUMMYFUNCTION("""COMPUTED_VALUE"""),"Poor")</f>
        <v>Poor</v>
      </c>
      <c r="AB785" t="str">
        <f>IFERROR(__xludf.DUMMYFUNCTION("""COMPUTED_VALUE"""),"Good")</f>
        <v>Good</v>
      </c>
      <c r="AH785" s="189">
        <f>IFERROR(__xludf.DUMMYFUNCTION("""COMPUTED_VALUE"""),43364.822941273145)</f>
        <v>43364.82294</v>
      </c>
    </row>
    <row r="786">
      <c r="A786" t="str">
        <f>IFERROR(__xludf.DUMMYFUNCTION("""COMPUTED_VALUE"""),"jcknight")</f>
        <v>jcknight</v>
      </c>
      <c r="B786" t="str">
        <f>IFERROR(__xludf.DUMMYFUNCTION("""COMPUTED_VALUE"""),"Washington")</f>
        <v>Washington</v>
      </c>
      <c r="C786" t="str">
        <f>IFERROR(__xludf.DUMMYFUNCTION("""COMPUTED_VALUE"""),"WA")</f>
        <v>WA</v>
      </c>
      <c r="D786" t="str">
        <f>IFERROR(__xludf.DUMMYFUNCTION("""COMPUTED_VALUE"""),"USA")</f>
        <v>USA</v>
      </c>
      <c r="E786" s="188">
        <f>IFERROR(__xludf.DUMMYFUNCTION("""COMPUTED_VALUE"""),43341.0)</f>
        <v>43341</v>
      </c>
      <c r="F786" s="188">
        <f>IFERROR(__xludf.DUMMYFUNCTION("""COMPUTED_VALUE"""),43353.0)</f>
        <v>43353</v>
      </c>
      <c r="H786">
        <f>IFERROR(__xludf.DUMMYFUNCTION("""COMPUTED_VALUE"""),66455.0)</f>
        <v>66455</v>
      </c>
      <c r="J786" s="5">
        <f>IFERROR(__xludf.DUMMYFUNCTION("""COMPUTED_VALUE"""),43364.0)</f>
        <v>43364</v>
      </c>
      <c r="K786">
        <f>IFERROR(__xludf.DUMMYFUNCTION("""COMPUTED_VALUE"""),12.0)</f>
        <v>12</v>
      </c>
      <c r="L786">
        <f>IFERROR(__xludf.DUMMYFUNCTION("""COMPUTED_VALUE"""),11.0)</f>
        <v>11</v>
      </c>
      <c r="M786">
        <f>IFERROR(__xludf.DUMMYFUNCTION("""COMPUTED_VALUE"""),23.0)</f>
        <v>23</v>
      </c>
      <c r="N786" t="str">
        <f>IFERROR(__xludf.DUMMYFUNCTION("""COMPUTED_VALUE"""),"Model 3 LR AWD")</f>
        <v>Model 3 LR AWD</v>
      </c>
      <c r="O786" t="str">
        <f>IFERROR(__xludf.DUMMYFUNCTION("""COMPUTED_VALUE"""),"Midnight Silver Metallic")</f>
        <v>Midnight Silver Metallic</v>
      </c>
      <c r="P786" t="str">
        <f>IFERROR(__xludf.DUMMYFUNCTION("""COMPUTED_VALUE"""),"18 inch Aero")</f>
        <v>18 inch Aero</v>
      </c>
      <c r="Q786" t="str">
        <f>IFERROR(__xludf.DUMMYFUNCTION("""COMPUTED_VALUE"""),"Black seats")</f>
        <v>Black seats</v>
      </c>
      <c r="R786" t="str">
        <f>IFERROR(__xludf.DUMMYFUNCTION("""COMPUTED_VALUE"""),"Enhanced Autopilot")</f>
        <v>Enhanced Autopilot</v>
      </c>
      <c r="X786" t="str">
        <f>IFERROR(__xludf.DUMMYFUNCTION("""COMPUTED_VALUE"""),"Excellent")</f>
        <v>Excellent</v>
      </c>
      <c r="Y786" t="str">
        <f>IFERROR(__xludf.DUMMYFUNCTION("""COMPUTED_VALUE"""),"Excellent")</f>
        <v>Excellent</v>
      </c>
      <c r="Z786" t="str">
        <f>IFERROR(__xludf.DUMMYFUNCTION("""COMPUTED_VALUE"""),"Excellent")</f>
        <v>Excellent</v>
      </c>
      <c r="AA786" t="str">
        <f>IFERROR(__xludf.DUMMYFUNCTION("""COMPUTED_VALUE"""),"Excellent")</f>
        <v>Excellent</v>
      </c>
      <c r="AB786" t="str">
        <f>IFERROR(__xludf.DUMMYFUNCTION("""COMPUTED_VALUE"""),"Excellent")</f>
        <v>Excellent</v>
      </c>
      <c r="AC786">
        <f>IFERROR(__xludf.DUMMYFUNCTION("""COMPUTED_VALUE"""),0.0)</f>
        <v>0</v>
      </c>
      <c r="AD786">
        <f>IFERROR(__xludf.DUMMYFUNCTION("""COMPUTED_VALUE"""),0.0)</f>
        <v>0</v>
      </c>
      <c r="AE786">
        <f>IFERROR(__xludf.DUMMYFUNCTION("""COMPUTED_VALUE"""),0.0)</f>
        <v>0</v>
      </c>
      <c r="AH786" s="189">
        <f>IFERROR(__xludf.DUMMYFUNCTION("""COMPUTED_VALUE"""),43364.83295881945)</f>
        <v>43364.83296</v>
      </c>
    </row>
    <row r="787">
      <c r="A787" t="str">
        <f>IFERROR(__xludf.DUMMYFUNCTION("""COMPUTED_VALUE"""),"jpmerriman")</f>
        <v>jpmerriman</v>
      </c>
      <c r="B787" t="str">
        <f>IFERROR(__xludf.DUMMYFUNCTION("""COMPUTED_VALUE"""),"Summit COunty")</f>
        <v>Summit COunty</v>
      </c>
      <c r="C787" t="str">
        <f>IFERROR(__xludf.DUMMYFUNCTION("""COMPUTED_VALUE"""),"CO")</f>
        <v>CO</v>
      </c>
      <c r="D787" t="str">
        <f>IFERROR(__xludf.DUMMYFUNCTION("""COMPUTED_VALUE"""),"USA")</f>
        <v>USA</v>
      </c>
      <c r="E787" s="188">
        <f>IFERROR(__xludf.DUMMYFUNCTION("""COMPUTED_VALUE"""),43281.0)</f>
        <v>43281</v>
      </c>
      <c r="F787" s="188">
        <f>IFERROR(__xludf.DUMMYFUNCTION("""COMPUTED_VALUE"""),43333.0)</f>
        <v>43333</v>
      </c>
      <c r="H787">
        <f>IFERROR(__xludf.DUMMYFUNCTION("""COMPUTED_VALUE"""),64655.0)</f>
        <v>64655</v>
      </c>
      <c r="J787" s="5">
        <f>IFERROR(__xludf.DUMMYFUNCTION("""COMPUTED_VALUE"""),43367.0)</f>
        <v>43367</v>
      </c>
      <c r="K787">
        <f>IFERROR(__xludf.DUMMYFUNCTION("""COMPUTED_VALUE"""),52.0)</f>
        <v>52</v>
      </c>
      <c r="L787">
        <f>IFERROR(__xludf.DUMMYFUNCTION("""COMPUTED_VALUE"""),34.0)</f>
        <v>34</v>
      </c>
      <c r="M787">
        <f>IFERROR(__xludf.DUMMYFUNCTION("""COMPUTED_VALUE"""),86.0)</f>
        <v>86</v>
      </c>
      <c r="N787" t="str">
        <f>IFERROR(__xludf.DUMMYFUNCTION("""COMPUTED_VALUE"""),"Model 3 LR AWD")</f>
        <v>Model 3 LR AWD</v>
      </c>
      <c r="O787" t="str">
        <f>IFERROR(__xludf.DUMMYFUNCTION("""COMPUTED_VALUE"""),"Deep Blue Metallic")</f>
        <v>Deep Blue Metallic</v>
      </c>
      <c r="P787" t="str">
        <f>IFERROR(__xludf.DUMMYFUNCTION("""COMPUTED_VALUE"""),"18 inch Aero")</f>
        <v>18 inch Aero</v>
      </c>
      <c r="Q787" t="str">
        <f>IFERROR(__xludf.DUMMYFUNCTION("""COMPUTED_VALUE"""),"Black seats")</f>
        <v>Black seats</v>
      </c>
      <c r="R787" t="str">
        <f>IFERROR(__xludf.DUMMYFUNCTION("""COMPUTED_VALUE"""),"Enhanced Autopilot")</f>
        <v>Enhanced Autopilot</v>
      </c>
      <c r="X787" t="str">
        <f>IFERROR(__xludf.DUMMYFUNCTION("""COMPUTED_VALUE"""),"Excellent")</f>
        <v>Excellent</v>
      </c>
      <c r="Y787" t="str">
        <f>IFERROR(__xludf.DUMMYFUNCTION("""COMPUTED_VALUE"""),"Excellent")</f>
        <v>Excellent</v>
      </c>
      <c r="Z787" t="str">
        <f>IFERROR(__xludf.DUMMYFUNCTION("""COMPUTED_VALUE"""),"Very Good")</f>
        <v>Very Good</v>
      </c>
      <c r="AA787" t="str">
        <f>IFERROR(__xludf.DUMMYFUNCTION("""COMPUTED_VALUE"""),"Excellent")</f>
        <v>Excellent</v>
      </c>
      <c r="AB787" t="str">
        <f>IFERROR(__xludf.DUMMYFUNCTION("""COMPUTED_VALUE"""),"Poor")</f>
        <v>Poor</v>
      </c>
      <c r="AC787">
        <f>IFERROR(__xludf.DUMMYFUNCTION("""COMPUTED_VALUE"""),1.0)</f>
        <v>1</v>
      </c>
      <c r="AH787" s="189">
        <f>IFERROR(__xludf.DUMMYFUNCTION("""COMPUTED_VALUE"""),43365.27740384259)</f>
        <v>43365.2774</v>
      </c>
    </row>
    <row r="788">
      <c r="A788" t="str">
        <f>IFERROR(__xludf.DUMMYFUNCTION("""COMPUTED_VALUE"""),"secret")</f>
        <v>secret</v>
      </c>
      <c r="B788" t="str">
        <f>IFERROR(__xludf.DUMMYFUNCTION("""COMPUTED_VALUE"""),"Vancouver")</f>
        <v>Vancouver</v>
      </c>
      <c r="C788" t="str">
        <f>IFERROR(__xludf.DUMMYFUNCTION("""COMPUTED_VALUE"""),"BC")</f>
        <v>BC</v>
      </c>
      <c r="D788" t="str">
        <f>IFERROR(__xludf.DUMMYFUNCTION("""COMPUTED_VALUE"""),"Canada")</f>
        <v>Canada</v>
      </c>
      <c r="E788" s="188">
        <f>IFERROR(__xludf.DUMMYFUNCTION("""COMPUTED_VALUE"""),43297.0)</f>
        <v>43297</v>
      </c>
      <c r="H788">
        <f>IFERROR(__xludf.DUMMYFUNCTION("""COMPUTED_VALUE"""),108155.0)</f>
        <v>108155</v>
      </c>
      <c r="J788" s="5">
        <f>IFERROR(__xludf.DUMMYFUNCTION("""COMPUTED_VALUE"""),43365.0)</f>
        <v>43365</v>
      </c>
      <c r="M788">
        <f>IFERROR(__xludf.DUMMYFUNCTION("""COMPUTED_VALUE"""),68.0)</f>
        <v>68</v>
      </c>
      <c r="N788" t="str">
        <f>IFERROR(__xludf.DUMMYFUNCTION("""COMPUTED_VALUE"""),"Model 3 Performance")</f>
        <v>Model 3 Performance</v>
      </c>
      <c r="O788" t="str">
        <f>IFERROR(__xludf.DUMMYFUNCTION("""COMPUTED_VALUE"""),"Pearl White Multi-Coat")</f>
        <v>Pearl White Multi-Coat</v>
      </c>
      <c r="P788" t="str">
        <f>IFERROR(__xludf.DUMMYFUNCTION("""COMPUTED_VALUE"""),"20 inch Sport")</f>
        <v>20 inch Sport</v>
      </c>
      <c r="Q788" t="str">
        <f>IFERROR(__xludf.DUMMYFUNCTION("""COMPUTED_VALUE"""),"White seats")</f>
        <v>White seats</v>
      </c>
      <c r="R788" t="str">
        <f>IFERROR(__xludf.DUMMYFUNCTION("""COMPUTED_VALUE"""),"Full Self-Driving")</f>
        <v>Full Self-Driving</v>
      </c>
      <c r="AA788" t="str">
        <f>IFERROR(__xludf.DUMMYFUNCTION("""COMPUTED_VALUE"""),"Poor")</f>
        <v>Poor</v>
      </c>
      <c r="AH788" s="189">
        <f>IFERROR(__xludf.DUMMYFUNCTION("""COMPUTED_VALUE"""),43365.30409344907)</f>
        <v>43365.30409</v>
      </c>
    </row>
    <row r="789">
      <c r="A789" t="str">
        <f>IFERROR(__xludf.DUMMYFUNCTION("""COMPUTED_VALUE"""),"noone")</f>
        <v>noone</v>
      </c>
      <c r="B789" t="str">
        <f>IFERROR(__xludf.DUMMYFUNCTION("""COMPUTED_VALUE"""),"Los Angeles")</f>
        <v>Los Angeles</v>
      </c>
      <c r="C789" t="str">
        <f>IFERROR(__xludf.DUMMYFUNCTION("""COMPUTED_VALUE"""),"CA")</f>
        <v>CA</v>
      </c>
      <c r="D789" t="str">
        <f>IFERROR(__xludf.DUMMYFUNCTION("""COMPUTED_VALUE"""),"USA")</f>
        <v>USA</v>
      </c>
      <c r="E789" s="188">
        <f>IFERROR(__xludf.DUMMYFUNCTION("""COMPUTED_VALUE"""),43339.0)</f>
        <v>43339</v>
      </c>
      <c r="F789" s="188">
        <f>IFERROR(__xludf.DUMMYFUNCTION("""COMPUTED_VALUE"""),43360.0)</f>
        <v>43360</v>
      </c>
      <c r="H789">
        <f>IFERROR(__xludf.DUMMYFUNCTION("""COMPUTED_VALUE"""),84055.0)</f>
        <v>84055</v>
      </c>
      <c r="I789" t="str">
        <f>IFERROR(__xludf.DUMMYFUNCTION("""COMPUTED_VALUE"""),"09/18")</f>
        <v>09/18</v>
      </c>
      <c r="J789" s="5">
        <f>IFERROR(__xludf.DUMMYFUNCTION("""COMPUTED_VALUE"""),43362.0)</f>
        <v>43362</v>
      </c>
      <c r="K789">
        <f>IFERROR(__xludf.DUMMYFUNCTION("""COMPUTED_VALUE"""),21.0)</f>
        <v>21</v>
      </c>
      <c r="L789">
        <f>IFERROR(__xludf.DUMMYFUNCTION("""COMPUTED_VALUE"""),2.0)</f>
        <v>2</v>
      </c>
      <c r="M789">
        <f>IFERROR(__xludf.DUMMYFUNCTION("""COMPUTED_VALUE"""),23.0)</f>
        <v>23</v>
      </c>
      <c r="N789" t="str">
        <f>IFERROR(__xludf.DUMMYFUNCTION("""COMPUTED_VALUE"""),"Model 3 Performance")</f>
        <v>Model 3 Performance</v>
      </c>
      <c r="O789" t="str">
        <f>IFERROR(__xludf.DUMMYFUNCTION("""COMPUTED_VALUE"""),"Deep Blue Metallic")</f>
        <v>Deep Blue Metallic</v>
      </c>
      <c r="P789" t="str">
        <f>IFERROR(__xludf.DUMMYFUNCTION("""COMPUTED_VALUE"""),"20 inch Sport")</f>
        <v>20 inch Sport</v>
      </c>
      <c r="Q789" t="str">
        <f>IFERROR(__xludf.DUMMYFUNCTION("""COMPUTED_VALUE"""),"Black seats")</f>
        <v>Black seats</v>
      </c>
      <c r="R789" t="str">
        <f>IFERROR(__xludf.DUMMYFUNCTION("""COMPUTED_VALUE"""),"Enhanced Autopilot")</f>
        <v>Enhanced Autopilot</v>
      </c>
      <c r="X789" t="str">
        <f>IFERROR(__xludf.DUMMYFUNCTION("""COMPUTED_VALUE"""),"Excellent")</f>
        <v>Excellent</v>
      </c>
      <c r="Y789" t="str">
        <f>IFERROR(__xludf.DUMMYFUNCTION("""COMPUTED_VALUE"""),"Excellent")</f>
        <v>Excellent</v>
      </c>
      <c r="Z789" t="str">
        <f>IFERROR(__xludf.DUMMYFUNCTION("""COMPUTED_VALUE"""),"Excellent")</f>
        <v>Excellent</v>
      </c>
      <c r="AA789" t="str">
        <f>IFERROR(__xludf.DUMMYFUNCTION("""COMPUTED_VALUE"""),"Excellent")</f>
        <v>Excellent</v>
      </c>
      <c r="AB789" t="str">
        <f>IFERROR(__xludf.DUMMYFUNCTION("""COMPUTED_VALUE"""),"Excellent")</f>
        <v>Excellent</v>
      </c>
      <c r="AH789" s="189">
        <f>IFERROR(__xludf.DUMMYFUNCTION("""COMPUTED_VALUE"""),43365.308960752314)</f>
        <v>43365.30896</v>
      </c>
    </row>
    <row r="790">
      <c r="A790" t="str">
        <f>IFERROR(__xludf.DUMMYFUNCTION("""COMPUTED_VALUE"""),"JBmodel3")</f>
        <v>JBmodel3</v>
      </c>
      <c r="B790" t="str">
        <f>IFERROR(__xludf.DUMMYFUNCTION("""COMPUTED_VALUE"""),"Arlington")</f>
        <v>Arlington</v>
      </c>
      <c r="C790" t="str">
        <f>IFERROR(__xludf.DUMMYFUNCTION("""COMPUTED_VALUE"""),"VA")</f>
        <v>VA</v>
      </c>
      <c r="D790" t="str">
        <f>IFERROR(__xludf.DUMMYFUNCTION("""COMPUTED_VALUE"""),"USA")</f>
        <v>USA</v>
      </c>
      <c r="E790" s="188">
        <f>IFERROR(__xludf.DUMMYFUNCTION("""COMPUTED_VALUE"""),43329.0)</f>
        <v>43329</v>
      </c>
      <c r="F790" s="188">
        <f>IFERROR(__xludf.DUMMYFUNCTION("""COMPUTED_VALUE"""),43358.0)</f>
        <v>43358</v>
      </c>
      <c r="H790">
        <f>IFERROR(__xludf.DUMMYFUNCTION("""COMPUTED_VALUE"""),55485.0)</f>
        <v>55485</v>
      </c>
      <c r="I790" t="str">
        <f>IFERROR(__xludf.DUMMYFUNCTION("""COMPUTED_VALUE"""),"08/18")</f>
        <v>08/18</v>
      </c>
      <c r="J790" s="5">
        <f>IFERROR(__xludf.DUMMYFUNCTION("""COMPUTED_VALUE"""),43365.0)</f>
        <v>43365</v>
      </c>
      <c r="K790">
        <f>IFERROR(__xludf.DUMMYFUNCTION("""COMPUTED_VALUE"""),29.0)</f>
        <v>29</v>
      </c>
      <c r="L790">
        <f>IFERROR(__xludf.DUMMYFUNCTION("""COMPUTED_VALUE"""),7.0)</f>
        <v>7</v>
      </c>
      <c r="M790">
        <f>IFERROR(__xludf.DUMMYFUNCTION("""COMPUTED_VALUE"""),36.0)</f>
        <v>36</v>
      </c>
      <c r="N790" t="str">
        <f>IFERROR(__xludf.DUMMYFUNCTION("""COMPUTED_VALUE"""),"Model 3 Performance")</f>
        <v>Model 3 Performance</v>
      </c>
      <c r="O790" t="str">
        <f>IFERROR(__xludf.DUMMYFUNCTION("""COMPUTED_VALUE"""),"Red Multi-Coat")</f>
        <v>Red Multi-Coat</v>
      </c>
      <c r="P790" t="str">
        <f>IFERROR(__xludf.DUMMYFUNCTION("""COMPUTED_VALUE"""),"20 inch Sport")</f>
        <v>20 inch Sport</v>
      </c>
      <c r="Q790" t="str">
        <f>IFERROR(__xludf.DUMMYFUNCTION("""COMPUTED_VALUE"""),"White seats")</f>
        <v>White seats</v>
      </c>
      <c r="R790" t="str">
        <f>IFERROR(__xludf.DUMMYFUNCTION("""COMPUTED_VALUE"""),"Full Self-Driving")</f>
        <v>Full Self-Driving</v>
      </c>
      <c r="X790" t="str">
        <f>IFERROR(__xludf.DUMMYFUNCTION("""COMPUTED_VALUE"""),"Fair")</f>
        <v>Fair</v>
      </c>
      <c r="Y790" t="str">
        <f>IFERROR(__xludf.DUMMYFUNCTION("""COMPUTED_VALUE"""),"Very Good")</f>
        <v>Very Good</v>
      </c>
      <c r="Z790" t="str">
        <f>IFERROR(__xludf.DUMMYFUNCTION("""COMPUTED_VALUE"""),"Fair")</f>
        <v>Fair</v>
      </c>
      <c r="AA790" t="str">
        <f>IFERROR(__xludf.DUMMYFUNCTION("""COMPUTED_VALUE"""),"Very Good")</f>
        <v>Very Good</v>
      </c>
      <c r="AB790" t="str">
        <f>IFERROR(__xludf.DUMMYFUNCTION("""COMPUTED_VALUE"""),"Poor")</f>
        <v>Poor</v>
      </c>
      <c r="AH790" s="189">
        <f>IFERROR(__xludf.DUMMYFUNCTION("""COMPUTED_VALUE"""),43365.648836504624)</f>
        <v>43365.64884</v>
      </c>
    </row>
    <row r="791">
      <c r="A791" t="str">
        <f>IFERROR(__xludf.DUMMYFUNCTION("""COMPUTED_VALUE"""),"TeslaX2")</f>
        <v>TeslaX2</v>
      </c>
      <c r="B791" t="str">
        <f>IFERROR(__xludf.DUMMYFUNCTION("""COMPUTED_VALUE"""),"Bellevue")</f>
        <v>Bellevue</v>
      </c>
      <c r="C791" t="str">
        <f>IFERROR(__xludf.DUMMYFUNCTION("""COMPUTED_VALUE"""),"WA")</f>
        <v>WA</v>
      </c>
      <c r="D791" t="str">
        <f>IFERROR(__xludf.DUMMYFUNCTION("""COMPUTED_VALUE"""),"USA")</f>
        <v>USA</v>
      </c>
      <c r="E791" s="188">
        <f>IFERROR(__xludf.DUMMYFUNCTION("""COMPUTED_VALUE"""),43278.0)</f>
        <v>43278</v>
      </c>
      <c r="F791" s="188">
        <f>IFERROR(__xludf.DUMMYFUNCTION("""COMPUTED_VALUE"""),43337.0)</f>
        <v>43337</v>
      </c>
      <c r="H791">
        <f>IFERROR(__xludf.DUMMYFUNCTION("""COMPUTED_VALUE"""),72255.0)</f>
        <v>72255</v>
      </c>
      <c r="I791" t="str">
        <f>IFERROR(__xludf.DUMMYFUNCTION("""COMPUTED_VALUE"""),"08/18")</f>
        <v>08/18</v>
      </c>
      <c r="J791" s="5">
        <f>IFERROR(__xludf.DUMMYFUNCTION("""COMPUTED_VALUE"""),43347.0)</f>
        <v>43347</v>
      </c>
      <c r="K791">
        <f>IFERROR(__xludf.DUMMYFUNCTION("""COMPUTED_VALUE"""),59.0)</f>
        <v>59</v>
      </c>
      <c r="L791">
        <f>IFERROR(__xludf.DUMMYFUNCTION("""COMPUTED_VALUE"""),10.0)</f>
        <v>10</v>
      </c>
      <c r="M791">
        <f>IFERROR(__xludf.DUMMYFUNCTION("""COMPUTED_VALUE"""),69.0)</f>
        <v>69</v>
      </c>
      <c r="N791" t="str">
        <f>IFERROR(__xludf.DUMMYFUNCTION("""COMPUTED_VALUE"""),"Model 3 Performance")</f>
        <v>Model 3 Performance</v>
      </c>
      <c r="O791" t="str">
        <f>IFERROR(__xludf.DUMMYFUNCTION("""COMPUTED_VALUE"""),"Deep Blue Metallic")</f>
        <v>Deep Blue Metallic</v>
      </c>
      <c r="P791" t="str">
        <f>IFERROR(__xludf.DUMMYFUNCTION("""COMPUTED_VALUE"""),"20 inch Sport")</f>
        <v>20 inch Sport</v>
      </c>
      <c r="Q791" t="str">
        <f>IFERROR(__xludf.DUMMYFUNCTION("""COMPUTED_VALUE"""),"Black seats")</f>
        <v>Black seats</v>
      </c>
      <c r="R791" t="str">
        <f>IFERROR(__xludf.DUMMYFUNCTION("""COMPUTED_VALUE"""),"Enhanced Autopilot")</f>
        <v>Enhanced Autopilot</v>
      </c>
      <c r="X791" t="str">
        <f>IFERROR(__xludf.DUMMYFUNCTION("""COMPUTED_VALUE"""),"Excellent")</f>
        <v>Excellent</v>
      </c>
      <c r="Y791" t="str">
        <f>IFERROR(__xludf.DUMMYFUNCTION("""COMPUTED_VALUE"""),"Excellent")</f>
        <v>Excellent</v>
      </c>
      <c r="Z791" t="str">
        <f>IFERROR(__xludf.DUMMYFUNCTION("""COMPUTED_VALUE"""),"Excellent")</f>
        <v>Excellent</v>
      </c>
      <c r="AA791" t="str">
        <f>IFERROR(__xludf.DUMMYFUNCTION("""COMPUTED_VALUE"""),"Excellent")</f>
        <v>Excellent</v>
      </c>
      <c r="AB791" t="str">
        <f>IFERROR(__xludf.DUMMYFUNCTION("""COMPUTED_VALUE"""),"Excellent")</f>
        <v>Excellent</v>
      </c>
      <c r="AC791">
        <f>IFERROR(__xludf.DUMMYFUNCTION("""COMPUTED_VALUE"""),0.0)</f>
        <v>0</v>
      </c>
      <c r="AD791">
        <f>IFERROR(__xludf.DUMMYFUNCTION("""COMPUTED_VALUE"""),0.0)</f>
        <v>0</v>
      </c>
      <c r="AE791">
        <f>IFERROR(__xludf.DUMMYFUNCTION("""COMPUTED_VALUE"""),0.0)</f>
        <v>0</v>
      </c>
      <c r="AG791" t="str">
        <f>IFERROR(__xludf.DUMMYFUNCTION("""COMPUTED_VALUE"""),"Day 1 reservation, waited for AWD invite to open up for me.")</f>
        <v>Day 1 reservation, waited for AWD invite to open up for me.</v>
      </c>
      <c r="AH791" s="189">
        <f>IFERROR(__xludf.DUMMYFUNCTION("""COMPUTED_VALUE"""),43365.75697107639)</f>
        <v>43365.75697</v>
      </c>
    </row>
    <row r="792">
      <c r="A792" t="str">
        <f>IFERROR(__xludf.DUMMYFUNCTION("""COMPUTED_VALUE"""),"Schwaldy")</f>
        <v>Schwaldy</v>
      </c>
      <c r="B792" t="str">
        <f>IFERROR(__xludf.DUMMYFUNCTION("""COMPUTED_VALUE"""),"Portland")</f>
        <v>Portland</v>
      </c>
      <c r="C792" t="str">
        <f>IFERROR(__xludf.DUMMYFUNCTION("""COMPUTED_VALUE"""),"OR")</f>
        <v>OR</v>
      </c>
      <c r="D792" t="str">
        <f>IFERROR(__xludf.DUMMYFUNCTION("""COMPUTED_VALUE"""),"USA")</f>
        <v>USA</v>
      </c>
      <c r="E792" s="188">
        <f>IFERROR(__xludf.DUMMYFUNCTION("""COMPUTED_VALUE"""),43278.0)</f>
        <v>43278</v>
      </c>
      <c r="F792" s="188">
        <f>IFERROR(__xludf.DUMMYFUNCTION("""COMPUTED_VALUE"""),43358.0)</f>
        <v>43358</v>
      </c>
      <c r="H792">
        <f>IFERROR(__xludf.DUMMYFUNCTION("""COMPUTED_VALUE"""),98055.0)</f>
        <v>98055</v>
      </c>
      <c r="I792" t="str">
        <f>IFERROR(__xludf.DUMMYFUNCTION("""COMPUTED_VALUE"""),"09/18")</f>
        <v>09/18</v>
      </c>
      <c r="J792" s="5">
        <f>IFERROR(__xludf.DUMMYFUNCTION("""COMPUTED_VALUE"""),43365.0)</f>
        <v>43365</v>
      </c>
      <c r="K792">
        <f>IFERROR(__xludf.DUMMYFUNCTION("""COMPUTED_VALUE"""),80.0)</f>
        <v>80</v>
      </c>
      <c r="L792">
        <f>IFERROR(__xludf.DUMMYFUNCTION("""COMPUTED_VALUE"""),7.0)</f>
        <v>7</v>
      </c>
      <c r="M792">
        <f>IFERROR(__xludf.DUMMYFUNCTION("""COMPUTED_VALUE"""),87.0)</f>
        <v>87</v>
      </c>
      <c r="N792" t="str">
        <f>IFERROR(__xludf.DUMMYFUNCTION("""COMPUTED_VALUE"""),"Model 3 LR AWD")</f>
        <v>Model 3 LR AWD</v>
      </c>
      <c r="O792" t="str">
        <f>IFERROR(__xludf.DUMMYFUNCTION("""COMPUTED_VALUE"""),"Pearl White Multi-Coat")</f>
        <v>Pearl White Multi-Coat</v>
      </c>
      <c r="P792" t="str">
        <f>IFERROR(__xludf.DUMMYFUNCTION("""COMPUTED_VALUE"""),"19 inch Sport")</f>
        <v>19 inch Sport</v>
      </c>
      <c r="Q792" t="str">
        <f>IFERROR(__xludf.DUMMYFUNCTION("""COMPUTED_VALUE"""),"White seats")</f>
        <v>White seats</v>
      </c>
      <c r="R792" t="str">
        <f>IFERROR(__xludf.DUMMYFUNCTION("""COMPUTED_VALUE"""),"None")</f>
        <v>None</v>
      </c>
      <c r="X792" t="str">
        <f>IFERROR(__xludf.DUMMYFUNCTION("""COMPUTED_VALUE"""),"Good")</f>
        <v>Good</v>
      </c>
      <c r="Y792" t="str">
        <f>IFERROR(__xludf.DUMMYFUNCTION("""COMPUTED_VALUE"""),"Very Good")</f>
        <v>Very Good</v>
      </c>
      <c r="Z792" t="str">
        <f>IFERROR(__xludf.DUMMYFUNCTION("""COMPUTED_VALUE"""),"Very Good")</f>
        <v>Very Good</v>
      </c>
      <c r="AA792" t="str">
        <f>IFERROR(__xludf.DUMMYFUNCTION("""COMPUTED_VALUE"""),"Very Good")</f>
        <v>Very Good</v>
      </c>
      <c r="AB792" t="str">
        <f>IFERROR(__xludf.DUMMYFUNCTION("""COMPUTED_VALUE"""),"Very Good")</f>
        <v>Very Good</v>
      </c>
      <c r="AG792" t="str">
        <f>IFERROR(__xludf.DUMMYFUNCTION("""COMPUTED_VALUE"""),"LR AWD")</f>
        <v>LR AWD</v>
      </c>
      <c r="AH792" s="189">
        <f>IFERROR(__xludf.DUMMYFUNCTION("""COMPUTED_VALUE"""),43365.759022812505)</f>
        <v>43365.75902</v>
      </c>
    </row>
    <row r="793">
      <c r="A793" t="str">
        <f>IFERROR(__xludf.DUMMYFUNCTION("""COMPUTED_VALUE"""),"Teslagoat")</f>
        <v>Teslagoat</v>
      </c>
      <c r="C793" t="str">
        <f>IFERROR(__xludf.DUMMYFUNCTION("""COMPUTED_VALUE"""),"FL")</f>
        <v>FL</v>
      </c>
      <c r="D793" t="str">
        <f>IFERROR(__xludf.DUMMYFUNCTION("""COMPUTED_VALUE"""),"USA")</f>
        <v>USA</v>
      </c>
      <c r="E793" s="188">
        <f>IFERROR(__xludf.DUMMYFUNCTION("""COMPUTED_VALUE"""),43332.0)</f>
        <v>43332</v>
      </c>
      <c r="F793" s="188">
        <f>IFERROR(__xludf.DUMMYFUNCTION("""COMPUTED_VALUE"""),43342.0)</f>
        <v>43342</v>
      </c>
      <c r="H793">
        <f>IFERROR(__xludf.DUMMYFUNCTION("""COMPUTED_VALUE"""),74595.0)</f>
        <v>74595</v>
      </c>
      <c r="I793" t="str">
        <f>IFERROR(__xludf.DUMMYFUNCTION("""COMPUTED_VALUE"""),"08/18")</f>
        <v>08/18</v>
      </c>
      <c r="J793" s="5">
        <f>IFERROR(__xludf.DUMMYFUNCTION("""COMPUTED_VALUE"""),43363.0)</f>
        <v>43363</v>
      </c>
      <c r="K793">
        <f>IFERROR(__xludf.DUMMYFUNCTION("""COMPUTED_VALUE"""),10.0)</f>
        <v>10</v>
      </c>
      <c r="L793">
        <f>IFERROR(__xludf.DUMMYFUNCTION("""COMPUTED_VALUE"""),21.0)</f>
        <v>21</v>
      </c>
      <c r="M793">
        <f>IFERROR(__xludf.DUMMYFUNCTION("""COMPUTED_VALUE"""),31.0)</f>
        <v>31</v>
      </c>
      <c r="N793" t="str">
        <f>IFERROR(__xludf.DUMMYFUNCTION("""COMPUTED_VALUE"""),"Model 3 Performance")</f>
        <v>Model 3 Performance</v>
      </c>
      <c r="O793" t="str">
        <f>IFERROR(__xludf.DUMMYFUNCTION("""COMPUTED_VALUE"""),"Pearl White Multi-Coat")</f>
        <v>Pearl White Multi-Coat</v>
      </c>
      <c r="P793" t="str">
        <f>IFERROR(__xludf.DUMMYFUNCTION("""COMPUTED_VALUE"""),"20 inch Sport")</f>
        <v>20 inch Sport</v>
      </c>
      <c r="Q793" t="str">
        <f>IFERROR(__xludf.DUMMYFUNCTION("""COMPUTED_VALUE"""),"White seats")</f>
        <v>White seats</v>
      </c>
      <c r="R793" t="str">
        <f>IFERROR(__xludf.DUMMYFUNCTION("""COMPUTED_VALUE"""),"Enhanced Autopilot")</f>
        <v>Enhanced Autopilot</v>
      </c>
      <c r="X793" t="str">
        <f>IFERROR(__xludf.DUMMYFUNCTION("""COMPUTED_VALUE"""),"Poor")</f>
        <v>Poor</v>
      </c>
      <c r="Y793" t="str">
        <f>IFERROR(__xludf.DUMMYFUNCTION("""COMPUTED_VALUE"""),"Excellent")</f>
        <v>Excellent</v>
      </c>
      <c r="Z793" t="str">
        <f>IFERROR(__xludf.DUMMYFUNCTION("""COMPUTED_VALUE"""),"Fair")</f>
        <v>Fair</v>
      </c>
      <c r="AA793" t="str">
        <f>IFERROR(__xludf.DUMMYFUNCTION("""COMPUTED_VALUE"""),"Fair")</f>
        <v>Fair</v>
      </c>
      <c r="AB793" t="str">
        <f>IFERROR(__xludf.DUMMYFUNCTION("""COMPUTED_VALUE"""),"Fair")</f>
        <v>Fair</v>
      </c>
      <c r="AC793">
        <f>IFERROR(__xludf.DUMMYFUNCTION("""COMPUTED_VALUE"""),3.0)</f>
        <v>3</v>
      </c>
      <c r="AD793">
        <f>IFERROR(__xludf.DUMMYFUNCTION("""COMPUTED_VALUE"""),0.0)</f>
        <v>0</v>
      </c>
      <c r="AG793" t="str">
        <f>IFERROR(__xludf.DUMMYFUNCTION("""COMPUTED_VALUE"""),"Bumper misaligned white color doesn't match the rest of the car color, fronk(hood misaligned), car had 17 miles on it. Notification of tire size change after leaving delivery center. Tesla has not called yet to offer adjustment or explinations of the extr"&amp;"a miles and or wheel size change indication.")</f>
        <v>Bumper misaligned white color doesn't match the rest of the car color, fronk(hood misaligned), car had 17 miles on it. Notification of tire size change after leaving delivery center. Tesla has not called yet to offer adjustment or explinations of the extra miles and or wheel size change indication.</v>
      </c>
      <c r="AH793" s="189">
        <f>IFERROR(__xludf.DUMMYFUNCTION("""COMPUTED_VALUE"""),43365.857719328706)</f>
        <v>43365.85772</v>
      </c>
    </row>
    <row r="794">
      <c r="A794" t="str">
        <f>IFERROR(__xludf.DUMMYFUNCTION("""COMPUTED_VALUE"""),"VD")</f>
        <v>VD</v>
      </c>
      <c r="B794" t="str">
        <f>IFERROR(__xludf.DUMMYFUNCTION("""COMPUTED_VALUE"""),"Seattle")</f>
        <v>Seattle</v>
      </c>
      <c r="C794" t="str">
        <f>IFERROR(__xludf.DUMMYFUNCTION("""COMPUTED_VALUE"""),"WA")</f>
        <v>WA</v>
      </c>
      <c r="D794" t="str">
        <f>IFERROR(__xludf.DUMMYFUNCTION("""COMPUTED_VALUE"""),"USA")</f>
        <v>USA</v>
      </c>
      <c r="E794" s="188">
        <f>IFERROR(__xludf.DUMMYFUNCTION("""COMPUTED_VALUE"""),43344.0)</f>
        <v>43344</v>
      </c>
      <c r="F794" s="188">
        <f>IFERROR(__xludf.DUMMYFUNCTION("""COMPUTED_VALUE"""),43357.0)</f>
        <v>43357</v>
      </c>
      <c r="H794">
        <f>IFERROR(__xludf.DUMMYFUNCTION("""COMPUTED_VALUE"""),80755.0)</f>
        <v>80755</v>
      </c>
      <c r="I794" t="str">
        <f>IFERROR(__xludf.DUMMYFUNCTION("""COMPUTED_VALUE"""),"09/18")</f>
        <v>09/18</v>
      </c>
      <c r="J794" s="5">
        <f>IFERROR(__xludf.DUMMYFUNCTION("""COMPUTED_VALUE"""),43365.0)</f>
        <v>43365</v>
      </c>
      <c r="K794">
        <f>IFERROR(__xludf.DUMMYFUNCTION("""COMPUTED_VALUE"""),13.0)</f>
        <v>13</v>
      </c>
      <c r="L794">
        <f>IFERROR(__xludf.DUMMYFUNCTION("""COMPUTED_VALUE"""),8.0)</f>
        <v>8</v>
      </c>
      <c r="M794">
        <f>IFERROR(__xludf.DUMMYFUNCTION("""COMPUTED_VALUE"""),21.0)</f>
        <v>21</v>
      </c>
      <c r="N794" t="str">
        <f>IFERROR(__xludf.DUMMYFUNCTION("""COMPUTED_VALUE"""),"Model 3 Performance")</f>
        <v>Model 3 Performance</v>
      </c>
      <c r="O794" t="str">
        <f>IFERROR(__xludf.DUMMYFUNCTION("""COMPUTED_VALUE"""),"Deep Blue Metallic")</f>
        <v>Deep Blue Metallic</v>
      </c>
      <c r="P794" t="str">
        <f>IFERROR(__xludf.DUMMYFUNCTION("""COMPUTED_VALUE"""),"20 inch Sport")</f>
        <v>20 inch Sport</v>
      </c>
      <c r="Q794" t="str">
        <f>IFERROR(__xludf.DUMMYFUNCTION("""COMPUTED_VALUE"""),"White seats")</f>
        <v>White seats</v>
      </c>
      <c r="R794" t="str">
        <f>IFERROR(__xludf.DUMMYFUNCTION("""COMPUTED_VALUE"""),"Full Self-Driving")</f>
        <v>Full Self-Driving</v>
      </c>
      <c r="X794" t="str">
        <f>IFERROR(__xludf.DUMMYFUNCTION("""COMPUTED_VALUE"""),"Very Good")</f>
        <v>Very Good</v>
      </c>
      <c r="Y794" t="str">
        <f>IFERROR(__xludf.DUMMYFUNCTION("""COMPUTED_VALUE"""),"Excellent")</f>
        <v>Excellent</v>
      </c>
      <c r="Z794" t="str">
        <f>IFERROR(__xludf.DUMMYFUNCTION("""COMPUTED_VALUE"""),"Very Good")</f>
        <v>Very Good</v>
      </c>
      <c r="AA794" t="str">
        <f>IFERROR(__xludf.DUMMYFUNCTION("""COMPUTED_VALUE"""),"Good")</f>
        <v>Good</v>
      </c>
      <c r="AB794" t="str">
        <f>IFERROR(__xludf.DUMMYFUNCTION("""COMPUTED_VALUE"""),"Poor")</f>
        <v>Poor</v>
      </c>
      <c r="AC794">
        <f>IFERROR(__xludf.DUMMYFUNCTION("""COMPUTED_VALUE"""),1.0)</f>
        <v>1</v>
      </c>
      <c r="AH794" s="189">
        <f>IFERROR(__xludf.DUMMYFUNCTION("""COMPUTED_VALUE"""),43365.88848221065)</f>
        <v>43365.88848</v>
      </c>
    </row>
    <row r="795">
      <c r="A795" t="str">
        <f>IFERROR(__xludf.DUMMYFUNCTION("""COMPUTED_VALUE"""),"3m3s")</f>
        <v>3m3s</v>
      </c>
      <c r="B795" t="str">
        <f>IFERROR(__xludf.DUMMYFUNCTION("""COMPUTED_VALUE"""),"CA")</f>
        <v>CA</v>
      </c>
      <c r="C795" t="str">
        <f>IFERROR(__xludf.DUMMYFUNCTION("""COMPUTED_VALUE"""),"CA")</f>
        <v>CA</v>
      </c>
      <c r="D795" t="str">
        <f>IFERROR(__xludf.DUMMYFUNCTION("""COMPUTED_VALUE"""),"USA")</f>
        <v>USA</v>
      </c>
      <c r="E795" s="188">
        <f>IFERROR(__xludf.DUMMYFUNCTION("""COMPUTED_VALUE"""),43280.0)</f>
        <v>43280</v>
      </c>
      <c r="F795" s="188">
        <f>IFERROR(__xludf.DUMMYFUNCTION("""COMPUTED_VALUE"""),43320.0)</f>
        <v>43320</v>
      </c>
      <c r="H795">
        <f>IFERROR(__xludf.DUMMYFUNCTION("""COMPUTED_VALUE"""),72255.0)</f>
        <v>72255</v>
      </c>
      <c r="I795" t="str">
        <f>IFERROR(__xludf.DUMMYFUNCTION("""COMPUTED_VALUE"""),"08/18")</f>
        <v>08/18</v>
      </c>
      <c r="J795" s="5">
        <f>IFERROR(__xludf.DUMMYFUNCTION("""COMPUTED_VALUE"""),43333.0)</f>
        <v>43333</v>
      </c>
      <c r="K795">
        <f>IFERROR(__xludf.DUMMYFUNCTION("""COMPUTED_VALUE"""),40.0)</f>
        <v>40</v>
      </c>
      <c r="L795">
        <f>IFERROR(__xludf.DUMMYFUNCTION("""COMPUTED_VALUE"""),13.0)</f>
        <v>13</v>
      </c>
      <c r="M795">
        <f>IFERROR(__xludf.DUMMYFUNCTION("""COMPUTED_VALUE"""),53.0)</f>
        <v>53</v>
      </c>
      <c r="N795" t="str">
        <f>IFERROR(__xludf.DUMMYFUNCTION("""COMPUTED_VALUE"""),"Model 3 Performance")</f>
        <v>Model 3 Performance</v>
      </c>
      <c r="O795" t="str">
        <f>IFERROR(__xludf.DUMMYFUNCTION("""COMPUTED_VALUE"""),"Deep Blue Metallic")</f>
        <v>Deep Blue Metallic</v>
      </c>
      <c r="P795" t="str">
        <f>IFERROR(__xludf.DUMMYFUNCTION("""COMPUTED_VALUE"""),"20 inch Sport")</f>
        <v>20 inch Sport</v>
      </c>
      <c r="Q795" t="str">
        <f>IFERROR(__xludf.DUMMYFUNCTION("""COMPUTED_VALUE"""),"Black seats")</f>
        <v>Black seats</v>
      </c>
      <c r="R795" t="str">
        <f>IFERROR(__xludf.DUMMYFUNCTION("""COMPUTED_VALUE"""),"Enhanced Autopilot")</f>
        <v>Enhanced Autopilot</v>
      </c>
      <c r="X795" t="str">
        <f>IFERROR(__xludf.DUMMYFUNCTION("""COMPUTED_VALUE"""),"Excellent")</f>
        <v>Excellent</v>
      </c>
      <c r="Y795" t="str">
        <f>IFERROR(__xludf.DUMMYFUNCTION("""COMPUTED_VALUE"""),"Excellent")</f>
        <v>Excellent</v>
      </c>
      <c r="Z795" t="str">
        <f>IFERROR(__xludf.DUMMYFUNCTION("""COMPUTED_VALUE"""),"Very Good")</f>
        <v>Very Good</v>
      </c>
      <c r="AA795" t="str">
        <f>IFERROR(__xludf.DUMMYFUNCTION("""COMPUTED_VALUE"""),"Poor")</f>
        <v>Poor</v>
      </c>
      <c r="AB795" t="str">
        <f>IFERROR(__xludf.DUMMYFUNCTION("""COMPUTED_VALUE"""),"Fair")</f>
        <v>Fair</v>
      </c>
      <c r="AC795">
        <f>IFERROR(__xludf.DUMMYFUNCTION("""COMPUTED_VALUE"""),0.0)</f>
        <v>0</v>
      </c>
      <c r="AD795">
        <f>IFERROR(__xludf.DUMMYFUNCTION("""COMPUTED_VALUE"""),0.0)</f>
        <v>0</v>
      </c>
      <c r="AH795" s="189">
        <f>IFERROR(__xludf.DUMMYFUNCTION("""COMPUTED_VALUE"""),43365.8896962963)</f>
        <v>43365.8897</v>
      </c>
    </row>
    <row r="796">
      <c r="A796" t="str">
        <f>IFERROR(__xludf.DUMMYFUNCTION("""COMPUTED_VALUE"""),"mbrum")</f>
        <v>mbrum</v>
      </c>
      <c r="B796" t="str">
        <f>IFERROR(__xludf.DUMMYFUNCTION("""COMPUTED_VALUE"""),"San Diego")</f>
        <v>San Diego</v>
      </c>
      <c r="C796" t="str">
        <f>IFERROR(__xludf.DUMMYFUNCTION("""COMPUTED_VALUE"""),"CA")</f>
        <v>CA</v>
      </c>
      <c r="D796" t="str">
        <f>IFERROR(__xludf.DUMMYFUNCTION("""COMPUTED_VALUE"""),"USA")</f>
        <v>USA</v>
      </c>
      <c r="E796" s="188">
        <f>IFERROR(__xludf.DUMMYFUNCTION("""COMPUTED_VALUE"""),43278.0)</f>
        <v>43278</v>
      </c>
      <c r="F796" s="188">
        <f>IFERROR(__xludf.DUMMYFUNCTION("""COMPUTED_VALUE"""),43361.0)</f>
        <v>43361</v>
      </c>
      <c r="H796">
        <f>IFERROR(__xludf.DUMMYFUNCTION("""COMPUTED_VALUE"""),90555.0)</f>
        <v>90555</v>
      </c>
      <c r="I796" t="str">
        <f>IFERROR(__xludf.DUMMYFUNCTION("""COMPUTED_VALUE"""),"09/18")</f>
        <v>09/18</v>
      </c>
      <c r="J796" s="5">
        <f>IFERROR(__xludf.DUMMYFUNCTION("""COMPUTED_VALUE"""),43365.0)</f>
        <v>43365</v>
      </c>
      <c r="K796">
        <f>IFERROR(__xludf.DUMMYFUNCTION("""COMPUTED_VALUE"""),83.0)</f>
        <v>83</v>
      </c>
      <c r="L796">
        <f>IFERROR(__xludf.DUMMYFUNCTION("""COMPUTED_VALUE"""),4.0)</f>
        <v>4</v>
      </c>
      <c r="M796">
        <f>IFERROR(__xludf.DUMMYFUNCTION("""COMPUTED_VALUE"""),87.0)</f>
        <v>87</v>
      </c>
      <c r="N796" t="str">
        <f>IFERROR(__xludf.DUMMYFUNCTION("""COMPUTED_VALUE"""),"Model 3 LR AWD")</f>
        <v>Model 3 LR AWD</v>
      </c>
      <c r="O796" t="str">
        <f>IFERROR(__xludf.DUMMYFUNCTION("""COMPUTED_VALUE"""),"Midnight Silver Metallic")</f>
        <v>Midnight Silver Metallic</v>
      </c>
      <c r="P796" t="str">
        <f>IFERROR(__xludf.DUMMYFUNCTION("""COMPUTED_VALUE"""),"19 inch Sport")</f>
        <v>19 inch Sport</v>
      </c>
      <c r="Q796" t="str">
        <f>IFERROR(__xludf.DUMMYFUNCTION("""COMPUTED_VALUE"""),"Black seats")</f>
        <v>Black seats</v>
      </c>
      <c r="R796" t="str">
        <f>IFERROR(__xludf.DUMMYFUNCTION("""COMPUTED_VALUE"""),"Enhanced Autopilot")</f>
        <v>Enhanced Autopilot</v>
      </c>
      <c r="X796" t="str">
        <f>IFERROR(__xludf.DUMMYFUNCTION("""COMPUTED_VALUE"""),"Excellent")</f>
        <v>Excellent</v>
      </c>
      <c r="Y796" t="str">
        <f>IFERROR(__xludf.DUMMYFUNCTION("""COMPUTED_VALUE"""),"Excellent")</f>
        <v>Excellent</v>
      </c>
      <c r="Z796" t="str">
        <f>IFERROR(__xludf.DUMMYFUNCTION("""COMPUTED_VALUE"""),"Excellent")</f>
        <v>Excellent</v>
      </c>
      <c r="AA796" t="str">
        <f>IFERROR(__xludf.DUMMYFUNCTION("""COMPUTED_VALUE"""),"Excellent")</f>
        <v>Excellent</v>
      </c>
      <c r="AB796" t="str">
        <f>IFERROR(__xludf.DUMMYFUNCTION("""COMPUTED_VALUE"""),"Excellent")</f>
        <v>Excellent</v>
      </c>
      <c r="AH796" s="189">
        <f>IFERROR(__xludf.DUMMYFUNCTION("""COMPUTED_VALUE"""),43365.93050155093)</f>
        <v>43365.9305</v>
      </c>
    </row>
    <row r="797">
      <c r="A797" t="str">
        <f>IFERROR(__xludf.DUMMYFUNCTION("""COMPUTED_VALUE"""),"Mike521")</f>
        <v>Mike521</v>
      </c>
      <c r="B797" t="str">
        <f>IFERROR(__xludf.DUMMYFUNCTION("""COMPUTED_VALUE"""),"Long Island")</f>
        <v>Long Island</v>
      </c>
      <c r="C797" t="str">
        <f>IFERROR(__xludf.DUMMYFUNCTION("""COMPUTED_VALUE"""),"NY")</f>
        <v>NY</v>
      </c>
      <c r="D797" t="str">
        <f>IFERROR(__xludf.DUMMYFUNCTION("""COMPUTED_VALUE"""),"USA")</f>
        <v>USA</v>
      </c>
      <c r="E797" s="188">
        <f>IFERROR(__xludf.DUMMYFUNCTION("""COMPUTED_VALUE"""),43281.0)</f>
        <v>43281</v>
      </c>
      <c r="F797" s="188">
        <f>IFERROR(__xludf.DUMMYFUNCTION("""COMPUTED_VALUE"""),43353.0)</f>
        <v>43353</v>
      </c>
      <c r="H797">
        <f>IFERROR(__xludf.DUMMYFUNCTION("""COMPUTED_VALUE"""),97755.0)</f>
        <v>97755</v>
      </c>
      <c r="I797" t="str">
        <f>IFERROR(__xludf.DUMMYFUNCTION("""COMPUTED_VALUE"""),"08/18")</f>
        <v>08/18</v>
      </c>
      <c r="J797" s="5">
        <f>IFERROR(__xludf.DUMMYFUNCTION("""COMPUTED_VALUE"""),43365.0)</f>
        <v>43365</v>
      </c>
      <c r="K797">
        <f>IFERROR(__xludf.DUMMYFUNCTION("""COMPUTED_VALUE"""),72.0)</f>
        <v>72</v>
      </c>
      <c r="L797">
        <f>IFERROR(__xludf.DUMMYFUNCTION("""COMPUTED_VALUE"""),12.0)</f>
        <v>12</v>
      </c>
      <c r="M797">
        <f>IFERROR(__xludf.DUMMYFUNCTION("""COMPUTED_VALUE"""),84.0)</f>
        <v>84</v>
      </c>
      <c r="N797" t="str">
        <f>IFERROR(__xludf.DUMMYFUNCTION("""COMPUTED_VALUE"""),"Model 3 Performance")</f>
        <v>Model 3 Performance</v>
      </c>
      <c r="O797" t="str">
        <f>IFERROR(__xludf.DUMMYFUNCTION("""COMPUTED_VALUE"""),"Deep Blue Metallic")</f>
        <v>Deep Blue Metallic</v>
      </c>
      <c r="P797" t="str">
        <f>IFERROR(__xludf.DUMMYFUNCTION("""COMPUTED_VALUE"""),"18 inch Aero")</f>
        <v>18 inch Aero</v>
      </c>
      <c r="Q797" t="str">
        <f>IFERROR(__xludf.DUMMYFUNCTION("""COMPUTED_VALUE"""),"White seats")</f>
        <v>White seats</v>
      </c>
      <c r="R797" t="str">
        <f>IFERROR(__xludf.DUMMYFUNCTION("""COMPUTED_VALUE"""),"Full Self-Driving")</f>
        <v>Full Self-Driving</v>
      </c>
      <c r="X797" t="str">
        <f>IFERROR(__xludf.DUMMYFUNCTION("""COMPUTED_VALUE"""),"Excellent")</f>
        <v>Excellent</v>
      </c>
      <c r="Y797" t="str">
        <f>IFERROR(__xludf.DUMMYFUNCTION("""COMPUTED_VALUE"""),"Excellent")</f>
        <v>Excellent</v>
      </c>
      <c r="Z797" t="str">
        <f>IFERROR(__xludf.DUMMYFUNCTION("""COMPUTED_VALUE"""),"Very Good")</f>
        <v>Very Good</v>
      </c>
      <c r="AA797" t="str">
        <f>IFERROR(__xludf.DUMMYFUNCTION("""COMPUTED_VALUE"""),"Excellent")</f>
        <v>Excellent</v>
      </c>
      <c r="AB797" t="str">
        <f>IFERROR(__xludf.DUMMYFUNCTION("""COMPUTED_VALUE"""),"Excellent")</f>
        <v>Excellent</v>
      </c>
      <c r="AH797" s="189">
        <f>IFERROR(__xludf.DUMMYFUNCTION("""COMPUTED_VALUE"""),43366.198518460646)</f>
        <v>43366.19852</v>
      </c>
    </row>
    <row r="798">
      <c r="A798" t="str">
        <f>IFERROR(__xludf.DUMMYFUNCTION("""COMPUTED_VALUE"""),"Macgreiner")</f>
        <v>Macgreiner</v>
      </c>
      <c r="B798" t="str">
        <f>IFERROR(__xludf.DUMMYFUNCTION("""COMPUTED_VALUE"""),"MD")</f>
        <v>MD</v>
      </c>
      <c r="C798" t="str">
        <f>IFERROR(__xludf.DUMMYFUNCTION("""COMPUTED_VALUE"""),"MD")</f>
        <v>MD</v>
      </c>
      <c r="D798" t="str">
        <f>IFERROR(__xludf.DUMMYFUNCTION("""COMPUTED_VALUE"""),"USA")</f>
        <v>USA</v>
      </c>
      <c r="E798" s="188">
        <f>IFERROR(__xludf.DUMMYFUNCTION("""COMPUTED_VALUE"""),43327.0)</f>
        <v>43327</v>
      </c>
      <c r="F798" s="188">
        <f>IFERROR(__xludf.DUMMYFUNCTION("""COMPUTED_VALUE"""),43350.0)</f>
        <v>43350</v>
      </c>
      <c r="H798">
        <f>IFERROR(__xludf.DUMMYFUNCTION("""COMPUTED_VALUE"""),97455.0)</f>
        <v>97455</v>
      </c>
      <c r="I798" t="str">
        <f>IFERROR(__xludf.DUMMYFUNCTION("""COMPUTED_VALUE"""),"08/18")</f>
        <v>08/18</v>
      </c>
      <c r="J798" s="5">
        <f>IFERROR(__xludf.DUMMYFUNCTION("""COMPUTED_VALUE"""),43365.0)</f>
        <v>43365</v>
      </c>
      <c r="K798">
        <f>IFERROR(__xludf.DUMMYFUNCTION("""COMPUTED_VALUE"""),23.0)</f>
        <v>23</v>
      </c>
      <c r="L798">
        <f>IFERROR(__xludf.DUMMYFUNCTION("""COMPUTED_VALUE"""),15.0)</f>
        <v>15</v>
      </c>
      <c r="M798">
        <f>IFERROR(__xludf.DUMMYFUNCTION("""COMPUTED_VALUE"""),38.0)</f>
        <v>38</v>
      </c>
      <c r="N798" t="str">
        <f>IFERROR(__xludf.DUMMYFUNCTION("""COMPUTED_VALUE"""),"Model 3 Performance")</f>
        <v>Model 3 Performance</v>
      </c>
      <c r="O798" t="str">
        <f>IFERROR(__xludf.DUMMYFUNCTION("""COMPUTED_VALUE"""),"Red Multi-Coat")</f>
        <v>Red Multi-Coat</v>
      </c>
      <c r="P798" t="str">
        <f>IFERROR(__xludf.DUMMYFUNCTION("""COMPUTED_VALUE"""),"18 inch Aero")</f>
        <v>18 inch Aero</v>
      </c>
      <c r="Q798" t="str">
        <f>IFERROR(__xludf.DUMMYFUNCTION("""COMPUTED_VALUE"""),"White seats")</f>
        <v>White seats</v>
      </c>
      <c r="R798" t="str">
        <f>IFERROR(__xludf.DUMMYFUNCTION("""COMPUTED_VALUE"""),"Enhanced Autopilot")</f>
        <v>Enhanced Autopilot</v>
      </c>
      <c r="X798" t="str">
        <f>IFERROR(__xludf.DUMMYFUNCTION("""COMPUTED_VALUE"""),"Excellent")</f>
        <v>Excellent</v>
      </c>
      <c r="Y798" t="str">
        <f>IFERROR(__xludf.DUMMYFUNCTION("""COMPUTED_VALUE"""),"Excellent")</f>
        <v>Excellent</v>
      </c>
      <c r="Z798" t="str">
        <f>IFERROR(__xludf.DUMMYFUNCTION("""COMPUTED_VALUE"""),"Excellent")</f>
        <v>Excellent</v>
      </c>
      <c r="AA798" t="str">
        <f>IFERROR(__xludf.DUMMYFUNCTION("""COMPUTED_VALUE"""),"Poor")</f>
        <v>Poor</v>
      </c>
      <c r="AB798" t="str">
        <f>IFERROR(__xludf.DUMMYFUNCTION("""COMPUTED_VALUE"""),"Very Good")</f>
        <v>Very Good</v>
      </c>
      <c r="AC798">
        <f>IFERROR(__xludf.DUMMYFUNCTION("""COMPUTED_VALUE"""),1.0)</f>
        <v>1</v>
      </c>
      <c r="AH798" s="189">
        <f>IFERROR(__xludf.DUMMYFUNCTION("""COMPUTED_VALUE"""),43366.23739060185)</f>
        <v>43366.23739</v>
      </c>
    </row>
    <row r="799">
      <c r="A799" t="str">
        <f>IFERROR(__xludf.DUMMYFUNCTION("""COMPUTED_VALUE"""),"c2w")</f>
        <v>c2w</v>
      </c>
      <c r="C799" t="str">
        <f>IFERROR(__xludf.DUMMYFUNCTION("""COMPUTED_VALUE"""),"CA")</f>
        <v>CA</v>
      </c>
      <c r="D799" t="str">
        <f>IFERROR(__xludf.DUMMYFUNCTION("""COMPUTED_VALUE"""),"USA")</f>
        <v>USA</v>
      </c>
      <c r="E799" s="188">
        <f>IFERROR(__xludf.DUMMYFUNCTION("""COMPUTED_VALUE"""),43321.0)</f>
        <v>43321</v>
      </c>
      <c r="F799" s="188">
        <f>IFERROR(__xludf.DUMMYFUNCTION("""COMPUTED_VALUE"""),43361.0)</f>
        <v>43361</v>
      </c>
      <c r="J799" s="5">
        <f>IFERROR(__xludf.DUMMYFUNCTION("""COMPUTED_VALUE"""),43364.0)</f>
        <v>43364</v>
      </c>
      <c r="K799">
        <f>IFERROR(__xludf.DUMMYFUNCTION("""COMPUTED_VALUE"""),40.0)</f>
        <v>40</v>
      </c>
      <c r="L799">
        <f>IFERROR(__xludf.DUMMYFUNCTION("""COMPUTED_VALUE"""),3.0)</f>
        <v>3</v>
      </c>
      <c r="M799">
        <f>IFERROR(__xludf.DUMMYFUNCTION("""COMPUTED_VALUE"""),43.0)</f>
        <v>43</v>
      </c>
      <c r="N799" t="str">
        <f>IFERROR(__xludf.DUMMYFUNCTION("""COMPUTED_VALUE"""),"Model 3 LR AWD")</f>
        <v>Model 3 LR AWD</v>
      </c>
      <c r="O799" t="str">
        <f>IFERROR(__xludf.DUMMYFUNCTION("""COMPUTED_VALUE"""),"Midnight Silver Metallic")</f>
        <v>Midnight Silver Metallic</v>
      </c>
      <c r="P799" t="str">
        <f>IFERROR(__xludf.DUMMYFUNCTION("""COMPUTED_VALUE"""),"19 inch Sport")</f>
        <v>19 inch Sport</v>
      </c>
      <c r="Q799" t="str">
        <f>IFERROR(__xludf.DUMMYFUNCTION("""COMPUTED_VALUE"""),"Black seats")</f>
        <v>Black seats</v>
      </c>
      <c r="R799" t="str">
        <f>IFERROR(__xludf.DUMMYFUNCTION("""COMPUTED_VALUE"""),"Enhanced Autopilot")</f>
        <v>Enhanced Autopilot</v>
      </c>
      <c r="X799" t="str">
        <f>IFERROR(__xludf.DUMMYFUNCTION("""COMPUTED_VALUE"""),"Excellent")</f>
        <v>Excellent</v>
      </c>
      <c r="Y799" t="str">
        <f>IFERROR(__xludf.DUMMYFUNCTION("""COMPUTED_VALUE"""),"Excellent")</f>
        <v>Excellent</v>
      </c>
      <c r="Z799" t="str">
        <f>IFERROR(__xludf.DUMMYFUNCTION("""COMPUTED_VALUE"""),"Excellent")</f>
        <v>Excellent</v>
      </c>
      <c r="AA799" t="str">
        <f>IFERROR(__xludf.DUMMYFUNCTION("""COMPUTED_VALUE"""),"Fair")</f>
        <v>Fair</v>
      </c>
      <c r="AB799" t="str">
        <f>IFERROR(__xludf.DUMMYFUNCTION("""COMPUTED_VALUE"""),"Good")</f>
        <v>Good</v>
      </c>
      <c r="AH799" s="189">
        <f>IFERROR(__xludf.DUMMYFUNCTION("""COMPUTED_VALUE"""),43366.29646707176)</f>
        <v>43366.29647</v>
      </c>
    </row>
    <row r="800">
      <c r="A800" t="str">
        <f>IFERROR(__xludf.DUMMYFUNCTION("""COMPUTED_VALUE"""),"Xelloss99")</f>
        <v>Xelloss99</v>
      </c>
      <c r="B800" t="str">
        <f>IFERROR(__xludf.DUMMYFUNCTION("""COMPUTED_VALUE"""),"Edmonton")</f>
        <v>Edmonton</v>
      </c>
      <c r="C800" t="str">
        <f>IFERROR(__xludf.DUMMYFUNCTION("""COMPUTED_VALUE"""),"AB")</f>
        <v>AB</v>
      </c>
      <c r="D800" t="str">
        <f>IFERROR(__xludf.DUMMYFUNCTION("""COMPUTED_VALUE"""),"Canada")</f>
        <v>Canada</v>
      </c>
      <c r="E800" s="188">
        <f>IFERROR(__xludf.DUMMYFUNCTION("""COMPUTED_VALUE"""),43277.0)</f>
        <v>43277</v>
      </c>
      <c r="F800" s="188">
        <f>IFERROR(__xludf.DUMMYFUNCTION("""COMPUTED_VALUE"""),43349.0)</f>
        <v>43349</v>
      </c>
      <c r="H800">
        <f>IFERROR(__xludf.DUMMYFUNCTION("""COMPUTED_VALUE"""),107155.0)</f>
        <v>107155</v>
      </c>
      <c r="I800" t="str">
        <f>IFERROR(__xludf.DUMMYFUNCTION("""COMPUTED_VALUE"""),"09/18")</f>
        <v>09/18</v>
      </c>
      <c r="J800" s="5">
        <f>IFERROR(__xludf.DUMMYFUNCTION("""COMPUTED_VALUE"""),43358.0)</f>
        <v>43358</v>
      </c>
      <c r="K800">
        <f>IFERROR(__xludf.DUMMYFUNCTION("""COMPUTED_VALUE"""),72.0)</f>
        <v>72</v>
      </c>
      <c r="L800">
        <f>IFERROR(__xludf.DUMMYFUNCTION("""COMPUTED_VALUE"""),9.0)</f>
        <v>9</v>
      </c>
      <c r="M800">
        <f>IFERROR(__xludf.DUMMYFUNCTION("""COMPUTED_VALUE"""),81.0)</f>
        <v>81</v>
      </c>
      <c r="N800" t="str">
        <f>IFERROR(__xludf.DUMMYFUNCTION("""COMPUTED_VALUE"""),"Model 3 LR AWD")</f>
        <v>Model 3 LR AWD</v>
      </c>
      <c r="O800" t="str">
        <f>IFERROR(__xludf.DUMMYFUNCTION("""COMPUTED_VALUE"""),"Deep Blue Metallic")</f>
        <v>Deep Blue Metallic</v>
      </c>
      <c r="P800" t="str">
        <f>IFERROR(__xludf.DUMMYFUNCTION("""COMPUTED_VALUE"""),"18 inch Aero")</f>
        <v>18 inch Aero</v>
      </c>
      <c r="Q800" t="str">
        <f>IFERROR(__xludf.DUMMYFUNCTION("""COMPUTED_VALUE"""),"Black seats")</f>
        <v>Black seats</v>
      </c>
      <c r="R800" t="str">
        <f>IFERROR(__xludf.DUMMYFUNCTION("""COMPUTED_VALUE"""),"Full Self-Driving")</f>
        <v>Full Self-Driving</v>
      </c>
      <c r="X800" t="str">
        <f>IFERROR(__xludf.DUMMYFUNCTION("""COMPUTED_VALUE"""),"Excellent")</f>
        <v>Excellent</v>
      </c>
      <c r="Y800" t="str">
        <f>IFERROR(__xludf.DUMMYFUNCTION("""COMPUTED_VALUE"""),"Excellent")</f>
        <v>Excellent</v>
      </c>
      <c r="Z800" t="str">
        <f>IFERROR(__xludf.DUMMYFUNCTION("""COMPUTED_VALUE"""),"Very Good")</f>
        <v>Very Good</v>
      </c>
      <c r="AA800" t="str">
        <f>IFERROR(__xludf.DUMMYFUNCTION("""COMPUTED_VALUE"""),"Fair")</f>
        <v>Fair</v>
      </c>
      <c r="AB800" t="str">
        <f>IFERROR(__xludf.DUMMYFUNCTION("""COMPUTED_VALUE"""),"Good")</f>
        <v>Good</v>
      </c>
      <c r="AC800">
        <f>IFERROR(__xludf.DUMMYFUNCTION("""COMPUTED_VALUE"""),1.0)</f>
        <v>1</v>
      </c>
      <c r="AD800">
        <f>IFERROR(__xludf.DUMMYFUNCTION("""COMPUTED_VALUE"""),0.0)</f>
        <v>0</v>
      </c>
      <c r="AE800">
        <f>IFERROR(__xludf.DUMMYFUNCTION("""COMPUTED_VALUE"""),0.0)</f>
        <v>0</v>
      </c>
      <c r="AH800" s="189">
        <f>IFERROR(__xludf.DUMMYFUNCTION("""COMPUTED_VALUE"""),43366.299245277776)</f>
        <v>43366.29925</v>
      </c>
    </row>
    <row r="801">
      <c r="A801" t="str">
        <f>IFERROR(__xludf.DUMMYFUNCTION("""COMPUTED_VALUE"""),"Ales")</f>
        <v>Ales</v>
      </c>
      <c r="B801" t="str">
        <f>IFERROR(__xludf.DUMMYFUNCTION("""COMPUTED_VALUE"""),"La Crescenta")</f>
        <v>La Crescenta</v>
      </c>
      <c r="C801" t="str">
        <f>IFERROR(__xludf.DUMMYFUNCTION("""COMPUTED_VALUE"""),"CA")</f>
        <v>CA</v>
      </c>
      <c r="D801" t="str">
        <f>IFERROR(__xludf.DUMMYFUNCTION("""COMPUTED_VALUE"""),"USA")</f>
        <v>USA</v>
      </c>
      <c r="E801" s="188">
        <f>IFERROR(__xludf.DUMMYFUNCTION("""COMPUTED_VALUE"""),43279.0)</f>
        <v>43279</v>
      </c>
      <c r="F801" s="188">
        <f>IFERROR(__xludf.DUMMYFUNCTION("""COMPUTED_VALUE"""),43358.0)</f>
        <v>43358</v>
      </c>
      <c r="H801">
        <f>IFERROR(__xludf.DUMMYFUNCTION("""COMPUTED_VALUE"""),75355.0)</f>
        <v>75355</v>
      </c>
      <c r="J801" s="5">
        <f>IFERROR(__xludf.DUMMYFUNCTION("""COMPUTED_VALUE"""),43361.0)</f>
        <v>43361</v>
      </c>
      <c r="K801">
        <f>IFERROR(__xludf.DUMMYFUNCTION("""COMPUTED_VALUE"""),79.0)</f>
        <v>79</v>
      </c>
      <c r="L801">
        <f>IFERROR(__xludf.DUMMYFUNCTION("""COMPUTED_VALUE"""),3.0)</f>
        <v>3</v>
      </c>
      <c r="M801">
        <f>IFERROR(__xludf.DUMMYFUNCTION("""COMPUTED_VALUE"""),82.0)</f>
        <v>82</v>
      </c>
      <c r="N801" t="str">
        <f>IFERROR(__xludf.DUMMYFUNCTION("""COMPUTED_VALUE"""),"Model 3 Performance")</f>
        <v>Model 3 Performance</v>
      </c>
      <c r="O801" t="str">
        <f>IFERROR(__xludf.DUMMYFUNCTION("""COMPUTED_VALUE"""),"Red Multi-Coat")</f>
        <v>Red Multi-Coat</v>
      </c>
      <c r="P801" t="str">
        <f>IFERROR(__xludf.DUMMYFUNCTION("""COMPUTED_VALUE"""),"20 inch Sport")</f>
        <v>20 inch Sport</v>
      </c>
      <c r="Q801" t="str">
        <f>IFERROR(__xludf.DUMMYFUNCTION("""COMPUTED_VALUE"""),"Black seats")</f>
        <v>Black seats</v>
      </c>
      <c r="R801" t="str">
        <f>IFERROR(__xludf.DUMMYFUNCTION("""COMPUTED_VALUE"""),"Full Self-Driving")</f>
        <v>Full Self-Driving</v>
      </c>
      <c r="X801" t="str">
        <f>IFERROR(__xludf.DUMMYFUNCTION("""COMPUTED_VALUE"""),"Excellent")</f>
        <v>Excellent</v>
      </c>
      <c r="Y801" t="str">
        <f>IFERROR(__xludf.DUMMYFUNCTION("""COMPUTED_VALUE"""),"Excellent")</f>
        <v>Excellent</v>
      </c>
      <c r="Z801" t="str">
        <f>IFERROR(__xludf.DUMMYFUNCTION("""COMPUTED_VALUE"""),"Excellent")</f>
        <v>Excellent</v>
      </c>
      <c r="AA801" t="str">
        <f>IFERROR(__xludf.DUMMYFUNCTION("""COMPUTED_VALUE"""),"Excellent")</f>
        <v>Excellent</v>
      </c>
      <c r="AB801" t="str">
        <f>IFERROR(__xludf.DUMMYFUNCTION("""COMPUTED_VALUE"""),"Excellent")</f>
        <v>Excellent</v>
      </c>
      <c r="AH801" s="189">
        <f>IFERROR(__xludf.DUMMYFUNCTION("""COMPUTED_VALUE"""),43366.35246033565)</f>
        <v>43366.35246</v>
      </c>
    </row>
    <row r="802">
      <c r="A802" t="str">
        <f>IFERROR(__xludf.DUMMYFUNCTION("""COMPUTED_VALUE"""),"tzchang")</f>
        <v>tzchang</v>
      </c>
      <c r="B802" t="str">
        <f>IFERROR(__xludf.DUMMYFUNCTION("""COMPUTED_VALUE"""),"San Jose, CA")</f>
        <v>San Jose, CA</v>
      </c>
      <c r="C802" t="str">
        <f>IFERROR(__xludf.DUMMYFUNCTION("""COMPUTED_VALUE"""),"CA")</f>
        <v>CA</v>
      </c>
      <c r="D802" t="str">
        <f>IFERROR(__xludf.DUMMYFUNCTION("""COMPUTED_VALUE"""),"USA")</f>
        <v>USA</v>
      </c>
      <c r="E802" s="188">
        <f>IFERROR(__xludf.DUMMYFUNCTION("""COMPUTED_VALUE"""),43353.0)</f>
        <v>43353</v>
      </c>
      <c r="F802" s="188">
        <f>IFERROR(__xludf.DUMMYFUNCTION("""COMPUTED_VALUE"""),43355.0)</f>
        <v>43355</v>
      </c>
      <c r="H802">
        <f>IFERROR(__xludf.DUMMYFUNCTION("""COMPUTED_VALUE"""),57896.0)</f>
        <v>57896</v>
      </c>
      <c r="I802" t="str">
        <f>IFERROR(__xludf.DUMMYFUNCTION("""COMPUTED_VALUE"""),"07/18")</f>
        <v>07/18</v>
      </c>
      <c r="J802" s="5">
        <f>IFERROR(__xludf.DUMMYFUNCTION("""COMPUTED_VALUE"""),43365.0)</f>
        <v>43365</v>
      </c>
      <c r="K802">
        <f>IFERROR(__xludf.DUMMYFUNCTION("""COMPUTED_VALUE"""),2.0)</f>
        <v>2</v>
      </c>
      <c r="L802">
        <f>IFERROR(__xludf.DUMMYFUNCTION("""COMPUTED_VALUE"""),10.0)</f>
        <v>10</v>
      </c>
      <c r="M802">
        <f>IFERROR(__xludf.DUMMYFUNCTION("""COMPUTED_VALUE"""),12.0)</f>
        <v>12</v>
      </c>
      <c r="N802" t="str">
        <f>IFERROR(__xludf.DUMMYFUNCTION("""COMPUTED_VALUE"""),"Model 3 LR")</f>
        <v>Model 3 LR</v>
      </c>
      <c r="O802" t="str">
        <f>IFERROR(__xludf.DUMMYFUNCTION("""COMPUTED_VALUE"""),"Midnight Silver Metallic")</f>
        <v>Midnight Silver Metallic</v>
      </c>
      <c r="P802" t="str">
        <f>IFERROR(__xludf.DUMMYFUNCTION("""COMPUTED_VALUE"""),"18 inch Aero")</f>
        <v>18 inch Aero</v>
      </c>
      <c r="Q802" t="str">
        <f>IFERROR(__xludf.DUMMYFUNCTION("""COMPUTED_VALUE"""),"Black seats")</f>
        <v>Black seats</v>
      </c>
      <c r="R802" t="str">
        <f>IFERROR(__xludf.DUMMYFUNCTION("""COMPUTED_VALUE"""),"Full Self-Driving")</f>
        <v>Full Self-Driving</v>
      </c>
      <c r="X802" t="str">
        <f>IFERROR(__xludf.DUMMYFUNCTION("""COMPUTED_VALUE"""),"Fair")</f>
        <v>Fair</v>
      </c>
      <c r="Y802" t="str">
        <f>IFERROR(__xludf.DUMMYFUNCTION("""COMPUTED_VALUE"""),"Good")</f>
        <v>Good</v>
      </c>
      <c r="Z802" t="str">
        <f>IFERROR(__xludf.DUMMYFUNCTION("""COMPUTED_VALUE"""),"Good")</f>
        <v>Good</v>
      </c>
      <c r="AA802" t="str">
        <f>IFERROR(__xludf.DUMMYFUNCTION("""COMPUTED_VALUE"""),"Poor")</f>
        <v>Poor</v>
      </c>
      <c r="AB802" t="str">
        <f>IFERROR(__xludf.DUMMYFUNCTION("""COMPUTED_VALUE"""),"Fair")</f>
        <v>Fair</v>
      </c>
      <c r="AC802">
        <f>IFERROR(__xludf.DUMMYFUNCTION("""COMPUTED_VALUE"""),7.0)</f>
        <v>7</v>
      </c>
      <c r="AH802" s="189">
        <f>IFERROR(__xludf.DUMMYFUNCTION("""COMPUTED_VALUE"""),43366.46732628472)</f>
        <v>43366.46733</v>
      </c>
    </row>
    <row r="803">
      <c r="A803" t="str">
        <f>IFERROR(__xludf.DUMMYFUNCTION("""COMPUTED_VALUE"""),"Lopaka")</f>
        <v>Lopaka</v>
      </c>
      <c r="C803" t="str">
        <f>IFERROR(__xludf.DUMMYFUNCTION("""COMPUTED_VALUE"""),"VA")</f>
        <v>VA</v>
      </c>
      <c r="D803" t="str">
        <f>IFERROR(__xludf.DUMMYFUNCTION("""COMPUTED_VALUE"""),"USA")</f>
        <v>USA</v>
      </c>
      <c r="E803" s="188">
        <f>IFERROR(__xludf.DUMMYFUNCTION("""COMPUTED_VALUE"""),43302.0)</f>
        <v>43302</v>
      </c>
      <c r="F803" s="188">
        <f>IFERROR(__xludf.DUMMYFUNCTION("""COMPUTED_VALUE"""),43366.0)</f>
        <v>43366</v>
      </c>
      <c r="H803">
        <f>IFERROR(__xludf.DUMMYFUNCTION("""COMPUTED_VALUE"""),82355.0)</f>
        <v>82355</v>
      </c>
      <c r="J803" s="5">
        <f>IFERROR(__xludf.DUMMYFUNCTION("""COMPUTED_VALUE"""),43372.0)</f>
        <v>43372</v>
      </c>
      <c r="K803">
        <f>IFERROR(__xludf.DUMMYFUNCTION("""COMPUTED_VALUE"""),64.0)</f>
        <v>64</v>
      </c>
      <c r="L803">
        <f>IFERROR(__xludf.DUMMYFUNCTION("""COMPUTED_VALUE"""),6.0)</f>
        <v>6</v>
      </c>
      <c r="M803">
        <f>IFERROR(__xludf.DUMMYFUNCTION("""COMPUTED_VALUE"""),70.0)</f>
        <v>70</v>
      </c>
      <c r="N803" t="str">
        <f>IFERROR(__xludf.DUMMYFUNCTION("""COMPUTED_VALUE"""),"Model 3 Performance")</f>
        <v>Model 3 Performance</v>
      </c>
      <c r="O803" t="str">
        <f>IFERROR(__xludf.DUMMYFUNCTION("""COMPUTED_VALUE"""),"Solid Black")</f>
        <v>Solid Black</v>
      </c>
      <c r="P803" t="str">
        <f>IFERROR(__xludf.DUMMYFUNCTION("""COMPUTED_VALUE"""),"20 inch Sport")</f>
        <v>20 inch Sport</v>
      </c>
      <c r="Q803" t="str">
        <f>IFERROR(__xludf.DUMMYFUNCTION("""COMPUTED_VALUE"""),"Black seats")</f>
        <v>Black seats</v>
      </c>
      <c r="R803" t="str">
        <f>IFERROR(__xludf.DUMMYFUNCTION("""COMPUTED_VALUE"""),"Full Self-Driving")</f>
        <v>Full Self-Driving</v>
      </c>
      <c r="AA803" t="str">
        <f>IFERROR(__xludf.DUMMYFUNCTION("""COMPUTED_VALUE"""),"Fair")</f>
        <v>Fair</v>
      </c>
      <c r="AG803" t="str">
        <f>IFERROR(__xludf.DUMMYFUNCTION("""COMPUTED_VALUE"""),"Reconfigured to red/white on 8/12; re-reconfigured to black/black on 8/27")</f>
        <v>Reconfigured to red/white on 8/12; re-reconfigured to black/black on 8/27</v>
      </c>
      <c r="AH803" s="189">
        <f>IFERROR(__xludf.DUMMYFUNCTION("""COMPUTED_VALUE"""),43366.50568760416)</f>
        <v>43366.50569</v>
      </c>
    </row>
    <row r="804">
      <c r="A804" t="str">
        <f>IFERROR(__xludf.DUMMYFUNCTION("""COMPUTED_VALUE"""),"MarkO")</f>
        <v>MarkO</v>
      </c>
      <c r="B804" t="str">
        <f>IFERROR(__xludf.DUMMYFUNCTION("""COMPUTED_VALUE"""),"Dubuque")</f>
        <v>Dubuque</v>
      </c>
      <c r="C804" t="str">
        <f>IFERROR(__xludf.DUMMYFUNCTION("""COMPUTED_VALUE"""),"IA")</f>
        <v>IA</v>
      </c>
      <c r="D804" t="str">
        <f>IFERROR(__xludf.DUMMYFUNCTION("""COMPUTED_VALUE"""),"USA")</f>
        <v>USA</v>
      </c>
      <c r="E804" s="188">
        <f>IFERROR(__xludf.DUMMYFUNCTION("""COMPUTED_VALUE"""),43278.0)</f>
        <v>43278</v>
      </c>
      <c r="F804" s="188">
        <f>IFERROR(__xludf.DUMMYFUNCTION("""COMPUTED_VALUE"""),43333.0)</f>
        <v>43333</v>
      </c>
      <c r="H804">
        <f>IFERROR(__xludf.DUMMYFUNCTION("""COMPUTED_VALUE"""),64055.0)</f>
        <v>64055</v>
      </c>
      <c r="I804" t="str">
        <f>IFERROR(__xludf.DUMMYFUNCTION("""COMPUTED_VALUE"""),"08/18")</f>
        <v>08/18</v>
      </c>
      <c r="J804" s="5">
        <f>IFERROR(__xludf.DUMMYFUNCTION("""COMPUTED_VALUE"""),43340.0)</f>
        <v>43340</v>
      </c>
      <c r="K804">
        <f>IFERROR(__xludf.DUMMYFUNCTION("""COMPUTED_VALUE"""),55.0)</f>
        <v>55</v>
      </c>
      <c r="L804">
        <f>IFERROR(__xludf.DUMMYFUNCTION("""COMPUTED_VALUE"""),7.0)</f>
        <v>7</v>
      </c>
      <c r="M804">
        <f>IFERROR(__xludf.DUMMYFUNCTION("""COMPUTED_VALUE"""),62.0)</f>
        <v>62</v>
      </c>
      <c r="N804" t="str">
        <f>IFERROR(__xludf.DUMMYFUNCTION("""COMPUTED_VALUE"""),"Model 3 LR AWD")</f>
        <v>Model 3 LR AWD</v>
      </c>
      <c r="O804" t="str">
        <f>IFERROR(__xludf.DUMMYFUNCTION("""COMPUTED_VALUE"""),"Deep Blue Metallic")</f>
        <v>Deep Blue Metallic</v>
      </c>
      <c r="P804" t="str">
        <f>IFERROR(__xludf.DUMMYFUNCTION("""COMPUTED_VALUE"""),"19 inch Sport")</f>
        <v>19 inch Sport</v>
      </c>
      <c r="Q804" t="str">
        <f>IFERROR(__xludf.DUMMYFUNCTION("""COMPUTED_VALUE"""),"Black seats")</f>
        <v>Black seats</v>
      </c>
      <c r="R804" t="str">
        <f>IFERROR(__xludf.DUMMYFUNCTION("""COMPUTED_VALUE"""),"Enhanced Autopilot")</f>
        <v>Enhanced Autopilot</v>
      </c>
      <c r="X804" t="str">
        <f>IFERROR(__xludf.DUMMYFUNCTION("""COMPUTED_VALUE"""),"Excellent")</f>
        <v>Excellent</v>
      </c>
      <c r="Y804" t="str">
        <f>IFERROR(__xludf.DUMMYFUNCTION("""COMPUTED_VALUE"""),"Excellent")</f>
        <v>Excellent</v>
      </c>
      <c r="Z804" t="str">
        <f>IFERROR(__xludf.DUMMYFUNCTION("""COMPUTED_VALUE"""),"Excellent")</f>
        <v>Excellent</v>
      </c>
      <c r="AA804" t="str">
        <f>IFERROR(__xludf.DUMMYFUNCTION("""COMPUTED_VALUE"""),"Good")</f>
        <v>Good</v>
      </c>
      <c r="AB804" t="str">
        <f>IFERROR(__xludf.DUMMYFUNCTION("""COMPUTED_VALUE"""),"Very Good")</f>
        <v>Very Good</v>
      </c>
      <c r="AC804">
        <f>IFERROR(__xludf.DUMMYFUNCTION("""COMPUTED_VALUE"""),0.0)</f>
        <v>0</v>
      </c>
      <c r="AD804">
        <f>IFERROR(__xludf.DUMMYFUNCTION("""COMPUTED_VALUE"""),0.0)</f>
        <v>0</v>
      </c>
      <c r="AE804">
        <f>IFERROR(__xludf.DUMMYFUNCTION("""COMPUTED_VALUE"""),0.0)</f>
        <v>0</v>
      </c>
      <c r="AH804" s="189">
        <f>IFERROR(__xludf.DUMMYFUNCTION("""COMPUTED_VALUE"""),43366.53085967593)</f>
        <v>43366.53086</v>
      </c>
    </row>
    <row r="805">
      <c r="A805" t="str">
        <f>IFERROR(__xludf.DUMMYFUNCTION("""COMPUTED_VALUE"""),"newtonkp")</f>
        <v>newtonkp</v>
      </c>
      <c r="B805" t="str">
        <f>IFERROR(__xludf.DUMMYFUNCTION("""COMPUTED_VALUE"""),"Montreal")</f>
        <v>Montreal</v>
      </c>
      <c r="C805" t="str">
        <f>IFERROR(__xludf.DUMMYFUNCTION("""COMPUTED_VALUE"""),"QC")</f>
        <v>QC</v>
      </c>
      <c r="D805" t="str">
        <f>IFERROR(__xludf.DUMMYFUNCTION("""COMPUTED_VALUE"""),"Canada")</f>
        <v>Canada</v>
      </c>
      <c r="E805" s="188">
        <f>IFERROR(__xludf.DUMMYFUNCTION("""COMPUTED_VALUE"""),43324.0)</f>
        <v>43324</v>
      </c>
      <c r="F805" s="188">
        <f>IFERROR(__xludf.DUMMYFUNCTION("""COMPUTED_VALUE"""),43256.0)</f>
        <v>43256</v>
      </c>
      <c r="H805">
        <f>IFERROR(__xludf.DUMMYFUNCTION("""COMPUTED_VALUE"""),108055.0)</f>
        <v>108055</v>
      </c>
      <c r="I805" t="str">
        <f>IFERROR(__xludf.DUMMYFUNCTION("""COMPUTED_VALUE"""),"08/18")</f>
        <v>08/18</v>
      </c>
      <c r="J805" s="5">
        <f>IFERROR(__xludf.DUMMYFUNCTION("""COMPUTED_VALUE"""),43363.0)</f>
        <v>43363</v>
      </c>
      <c r="L805">
        <f>IFERROR(__xludf.DUMMYFUNCTION("""COMPUTED_VALUE"""),107.0)</f>
        <v>107</v>
      </c>
      <c r="M805">
        <f>IFERROR(__xludf.DUMMYFUNCTION("""COMPUTED_VALUE"""),39.0)</f>
        <v>39</v>
      </c>
      <c r="N805" t="str">
        <f>IFERROR(__xludf.DUMMYFUNCTION("""COMPUTED_VALUE"""),"Model 3 Performance")</f>
        <v>Model 3 Performance</v>
      </c>
      <c r="O805" t="str">
        <f>IFERROR(__xludf.DUMMYFUNCTION("""COMPUTED_VALUE"""),"Deep Blue Metallic")</f>
        <v>Deep Blue Metallic</v>
      </c>
      <c r="P805" t="str">
        <f>IFERROR(__xludf.DUMMYFUNCTION("""COMPUTED_VALUE"""),"18 inch Aero")</f>
        <v>18 inch Aero</v>
      </c>
      <c r="Q805" t="str">
        <f>IFERROR(__xludf.DUMMYFUNCTION("""COMPUTED_VALUE"""),"White seats")</f>
        <v>White seats</v>
      </c>
      <c r="R805" t="str">
        <f>IFERROR(__xludf.DUMMYFUNCTION("""COMPUTED_VALUE"""),"Enhanced Autopilot")</f>
        <v>Enhanced Autopilot</v>
      </c>
      <c r="X805" t="str">
        <f>IFERROR(__xludf.DUMMYFUNCTION("""COMPUTED_VALUE"""),"Excellent")</f>
        <v>Excellent</v>
      </c>
      <c r="Y805" t="str">
        <f>IFERROR(__xludf.DUMMYFUNCTION("""COMPUTED_VALUE"""),"Excellent")</f>
        <v>Excellent</v>
      </c>
      <c r="Z805" t="str">
        <f>IFERROR(__xludf.DUMMYFUNCTION("""COMPUTED_VALUE"""),"Very Good")</f>
        <v>Very Good</v>
      </c>
      <c r="AA805" t="str">
        <f>IFERROR(__xludf.DUMMYFUNCTION("""COMPUTED_VALUE"""),"Poor")</f>
        <v>Poor</v>
      </c>
      <c r="AB805" t="str">
        <f>IFERROR(__xludf.DUMMYFUNCTION("""COMPUTED_VALUE"""),"Excellent")</f>
        <v>Excellent</v>
      </c>
      <c r="AG805" t="str">
        <f>IFERROR(__xludf.DUMMYFUNCTION("""COMPUTED_VALUE"""),"Change configuration for Performance August 20 2018")</f>
        <v>Change configuration for Performance August 20 2018</v>
      </c>
      <c r="AH805" s="189">
        <f>IFERROR(__xludf.DUMMYFUNCTION("""COMPUTED_VALUE"""),43366.53166538195)</f>
        <v>43366.53167</v>
      </c>
    </row>
    <row r="806">
      <c r="A806" t="str">
        <f>IFERROR(__xludf.DUMMYFUNCTION("""COMPUTED_VALUE"""),"Grrrreg_")</f>
        <v>Grrrreg_</v>
      </c>
      <c r="B806" t="str">
        <f>IFERROR(__xludf.DUMMYFUNCTION("""COMPUTED_VALUE"""),"Calgary_")</f>
        <v>Calgary_</v>
      </c>
      <c r="C806" t="str">
        <f>IFERROR(__xludf.DUMMYFUNCTION("""COMPUTED_VALUE"""),"AB")</f>
        <v>AB</v>
      </c>
      <c r="D806" t="str">
        <f>IFERROR(__xludf.DUMMYFUNCTION("""COMPUTED_VALUE"""),"Canada")</f>
        <v>Canada</v>
      </c>
      <c r="E806" s="188">
        <f>IFERROR(__xludf.DUMMYFUNCTION("""COMPUTED_VALUE"""),43278.0)</f>
        <v>43278</v>
      </c>
      <c r="F806" s="188">
        <f>IFERROR(__xludf.DUMMYFUNCTION("""COMPUTED_VALUE"""),43353.0)</f>
        <v>43353</v>
      </c>
      <c r="H806">
        <f>IFERROR(__xludf.DUMMYFUNCTION("""COMPUTED_VALUE"""),109752.0)</f>
        <v>109752</v>
      </c>
      <c r="J806" s="5">
        <f>IFERROR(__xludf.DUMMYFUNCTION("""COMPUTED_VALUE"""),43364.0)</f>
        <v>43364</v>
      </c>
      <c r="K806">
        <f>IFERROR(__xludf.DUMMYFUNCTION("""COMPUTED_VALUE"""),75.0)</f>
        <v>75</v>
      </c>
      <c r="L806">
        <f>IFERROR(__xludf.DUMMYFUNCTION("""COMPUTED_VALUE"""),11.0)</f>
        <v>11</v>
      </c>
      <c r="M806">
        <f>IFERROR(__xludf.DUMMYFUNCTION("""COMPUTED_VALUE"""),86.0)</f>
        <v>86</v>
      </c>
      <c r="N806" t="str">
        <f>IFERROR(__xludf.DUMMYFUNCTION("""COMPUTED_VALUE"""),"Model 3 LR AWD")</f>
        <v>Model 3 LR AWD</v>
      </c>
      <c r="O806" t="str">
        <f>IFERROR(__xludf.DUMMYFUNCTION("""COMPUTED_VALUE"""),"Midnight Silver Metallic")</f>
        <v>Midnight Silver Metallic</v>
      </c>
      <c r="P806" t="str">
        <f>IFERROR(__xludf.DUMMYFUNCTION("""COMPUTED_VALUE"""),"18 inch Aero")</f>
        <v>18 inch Aero</v>
      </c>
      <c r="Q806" t="str">
        <f>IFERROR(__xludf.DUMMYFUNCTION("""COMPUTED_VALUE"""),"Black seats")</f>
        <v>Black seats</v>
      </c>
      <c r="R806" t="str">
        <f>IFERROR(__xludf.DUMMYFUNCTION("""COMPUTED_VALUE"""),"Full Self-Driving")</f>
        <v>Full Self-Driving</v>
      </c>
      <c r="X806" t="str">
        <f>IFERROR(__xludf.DUMMYFUNCTION("""COMPUTED_VALUE"""),"Excellent")</f>
        <v>Excellent</v>
      </c>
      <c r="Y806" t="str">
        <f>IFERROR(__xludf.DUMMYFUNCTION("""COMPUTED_VALUE"""),"Excellent")</f>
        <v>Excellent</v>
      </c>
      <c r="Z806" t="str">
        <f>IFERROR(__xludf.DUMMYFUNCTION("""COMPUTED_VALUE"""),"Excellent")</f>
        <v>Excellent</v>
      </c>
      <c r="AA806" t="str">
        <f>IFERROR(__xludf.DUMMYFUNCTION("""COMPUTED_VALUE"""),"Poor")</f>
        <v>Poor</v>
      </c>
      <c r="AB806" t="str">
        <f>IFERROR(__xludf.DUMMYFUNCTION("""COMPUTED_VALUE"""),"Good")</f>
        <v>Good</v>
      </c>
      <c r="AG806" t="str">
        <f>IFERROR(__xludf.DUMMYFUNCTION("""COMPUTED_VALUE"""),"waiting for AWD_")</f>
        <v>waiting for AWD_</v>
      </c>
      <c r="AH806" s="189">
        <f>IFERROR(__xludf.DUMMYFUNCTION("""COMPUTED_VALUE"""),43366.57700875)</f>
        <v>43366.57701</v>
      </c>
    </row>
    <row r="807">
      <c r="A807" t="str">
        <f>IFERROR(__xludf.DUMMYFUNCTION("""COMPUTED_VALUE"""),"CrisL")</f>
        <v>CrisL</v>
      </c>
      <c r="B807" t="str">
        <f>IFERROR(__xludf.DUMMYFUNCTION("""COMPUTED_VALUE"""),"Los Angeles")</f>
        <v>Los Angeles</v>
      </c>
      <c r="C807" t="str">
        <f>IFERROR(__xludf.DUMMYFUNCTION("""COMPUTED_VALUE"""),"CA")</f>
        <v>CA</v>
      </c>
      <c r="D807" t="str">
        <f>IFERROR(__xludf.DUMMYFUNCTION("""COMPUTED_VALUE"""),"USA")</f>
        <v>USA</v>
      </c>
      <c r="E807" s="188">
        <f>IFERROR(__xludf.DUMMYFUNCTION("""COMPUTED_VALUE"""),43280.0)</f>
        <v>43280</v>
      </c>
      <c r="F807" s="188">
        <f>IFERROR(__xludf.DUMMYFUNCTION("""COMPUTED_VALUE"""),43361.0)</f>
        <v>43361</v>
      </c>
      <c r="H807">
        <f>IFERROR(__xludf.DUMMYFUNCTION("""COMPUTED_VALUE"""),77165.0)</f>
        <v>77165</v>
      </c>
      <c r="I807" t="str">
        <f>IFERROR(__xludf.DUMMYFUNCTION("""COMPUTED_VALUE"""),"09/18")</f>
        <v>09/18</v>
      </c>
      <c r="J807" s="5">
        <f>IFERROR(__xludf.DUMMYFUNCTION("""COMPUTED_VALUE"""),43363.0)</f>
        <v>43363</v>
      </c>
      <c r="K807">
        <f>IFERROR(__xludf.DUMMYFUNCTION("""COMPUTED_VALUE"""),81.0)</f>
        <v>81</v>
      </c>
      <c r="L807">
        <f>IFERROR(__xludf.DUMMYFUNCTION("""COMPUTED_VALUE"""),2.0)</f>
        <v>2</v>
      </c>
      <c r="M807">
        <f>IFERROR(__xludf.DUMMYFUNCTION("""COMPUTED_VALUE"""),83.0)</f>
        <v>83</v>
      </c>
      <c r="N807" t="str">
        <f>IFERROR(__xludf.DUMMYFUNCTION("""COMPUTED_VALUE"""),"Model 3 LR AWD")</f>
        <v>Model 3 LR AWD</v>
      </c>
      <c r="O807" t="str">
        <f>IFERROR(__xludf.DUMMYFUNCTION("""COMPUTED_VALUE"""),"Obsidian Black Metallic")</f>
        <v>Obsidian Black Metallic</v>
      </c>
      <c r="P807" t="str">
        <f>IFERROR(__xludf.DUMMYFUNCTION("""COMPUTED_VALUE"""),"18 inch Aero")</f>
        <v>18 inch Aero</v>
      </c>
      <c r="Q807" t="str">
        <f>IFERROR(__xludf.DUMMYFUNCTION("""COMPUTED_VALUE"""),"Black seats")</f>
        <v>Black seats</v>
      </c>
      <c r="R807" t="str">
        <f>IFERROR(__xludf.DUMMYFUNCTION("""COMPUTED_VALUE"""),"Full Self-Driving")</f>
        <v>Full Self-Driving</v>
      </c>
      <c r="X807" t="str">
        <f>IFERROR(__xludf.DUMMYFUNCTION("""COMPUTED_VALUE"""),"Excellent")</f>
        <v>Excellent</v>
      </c>
      <c r="Y807" t="str">
        <f>IFERROR(__xludf.DUMMYFUNCTION("""COMPUTED_VALUE"""),"Excellent")</f>
        <v>Excellent</v>
      </c>
      <c r="Z807" t="str">
        <f>IFERROR(__xludf.DUMMYFUNCTION("""COMPUTED_VALUE"""),"Excellent")</f>
        <v>Excellent</v>
      </c>
      <c r="AA807" t="str">
        <f>IFERROR(__xludf.DUMMYFUNCTION("""COMPUTED_VALUE"""),"Very Good")</f>
        <v>Very Good</v>
      </c>
      <c r="AB807" t="str">
        <f>IFERROR(__xludf.DUMMYFUNCTION("""COMPUTED_VALUE"""),"Very Good")</f>
        <v>Very Good</v>
      </c>
      <c r="AH807" s="189">
        <f>IFERROR(__xludf.DUMMYFUNCTION("""COMPUTED_VALUE"""),43366.67338008102)</f>
        <v>43366.67338</v>
      </c>
    </row>
    <row r="808">
      <c r="A808" t="str">
        <f>IFERROR(__xludf.DUMMYFUNCTION("""COMPUTED_VALUE"""),"jkirkwood001")</f>
        <v>jkirkwood001</v>
      </c>
      <c r="B808" t="str">
        <f>IFERROR(__xludf.DUMMYFUNCTION("""COMPUTED_VALUE"""),"Ottawa")</f>
        <v>Ottawa</v>
      </c>
      <c r="C808" t="str">
        <f>IFERROR(__xludf.DUMMYFUNCTION("""COMPUTED_VALUE"""),"ON")</f>
        <v>ON</v>
      </c>
      <c r="D808" t="str">
        <f>IFERROR(__xludf.DUMMYFUNCTION("""COMPUTED_VALUE"""),"Canada")</f>
        <v>Canada</v>
      </c>
      <c r="E808" s="188">
        <f>IFERROR(__xludf.DUMMYFUNCTION("""COMPUTED_VALUE"""),43279.0)</f>
        <v>43279</v>
      </c>
      <c r="F808" s="188">
        <f>IFERROR(__xludf.DUMMYFUNCTION("""COMPUTED_VALUE"""),43347.0)</f>
        <v>43347</v>
      </c>
      <c r="H808">
        <f>IFERROR(__xludf.DUMMYFUNCTION("""COMPUTED_VALUE"""),107055.0)</f>
        <v>107055</v>
      </c>
      <c r="I808" t="str">
        <f>IFERROR(__xludf.DUMMYFUNCTION("""COMPUTED_VALUE"""),"09/18")</f>
        <v>09/18</v>
      </c>
      <c r="J808" s="5">
        <f>IFERROR(__xludf.DUMMYFUNCTION("""COMPUTED_VALUE"""),43365.0)</f>
        <v>43365</v>
      </c>
      <c r="K808">
        <f>IFERROR(__xludf.DUMMYFUNCTION("""COMPUTED_VALUE"""),68.0)</f>
        <v>68</v>
      </c>
      <c r="L808">
        <f>IFERROR(__xludf.DUMMYFUNCTION("""COMPUTED_VALUE"""),18.0)</f>
        <v>18</v>
      </c>
      <c r="M808">
        <f>IFERROR(__xludf.DUMMYFUNCTION("""COMPUTED_VALUE"""),86.0)</f>
        <v>86</v>
      </c>
      <c r="N808" t="str">
        <f>IFERROR(__xludf.DUMMYFUNCTION("""COMPUTED_VALUE"""),"Model 3 LR AWD")</f>
        <v>Model 3 LR AWD</v>
      </c>
      <c r="O808" t="str">
        <f>IFERROR(__xludf.DUMMYFUNCTION("""COMPUTED_VALUE"""),"Red Multi-Coat")</f>
        <v>Red Multi-Coat</v>
      </c>
      <c r="P808" t="str">
        <f>IFERROR(__xludf.DUMMYFUNCTION("""COMPUTED_VALUE"""),"18 inch Aero")</f>
        <v>18 inch Aero</v>
      </c>
      <c r="Q808" t="str">
        <f>IFERROR(__xludf.DUMMYFUNCTION("""COMPUTED_VALUE"""),"Black seats")</f>
        <v>Black seats</v>
      </c>
      <c r="R808" t="str">
        <f>IFERROR(__xludf.DUMMYFUNCTION("""COMPUTED_VALUE"""),"Enhanced Autopilot")</f>
        <v>Enhanced Autopilot</v>
      </c>
      <c r="X808" t="str">
        <f>IFERROR(__xludf.DUMMYFUNCTION("""COMPUTED_VALUE"""),"Very Good")</f>
        <v>Very Good</v>
      </c>
      <c r="Y808" t="str">
        <f>IFERROR(__xludf.DUMMYFUNCTION("""COMPUTED_VALUE"""),"Good")</f>
        <v>Good</v>
      </c>
      <c r="Z808" t="str">
        <f>IFERROR(__xludf.DUMMYFUNCTION("""COMPUTED_VALUE"""),"Very Good")</f>
        <v>Very Good</v>
      </c>
      <c r="AA808" t="str">
        <f>IFERROR(__xludf.DUMMYFUNCTION("""COMPUTED_VALUE"""),"Very Good")</f>
        <v>Very Good</v>
      </c>
      <c r="AB808" t="str">
        <f>IFERROR(__xludf.DUMMYFUNCTION("""COMPUTED_VALUE"""),"Very Good")</f>
        <v>Very Good</v>
      </c>
      <c r="AH808" s="189">
        <f>IFERROR(__xludf.DUMMYFUNCTION("""COMPUTED_VALUE"""),43366.74252506944)</f>
        <v>43366.74253</v>
      </c>
    </row>
    <row r="809">
      <c r="A809" t="str">
        <f>IFERROR(__xludf.DUMMYFUNCTION("""COMPUTED_VALUE"""),"dancortese")</f>
        <v>dancortese</v>
      </c>
      <c r="B809" t="str">
        <f>IFERROR(__xludf.DUMMYFUNCTION("""COMPUTED_VALUE"""),"Kernersville")</f>
        <v>Kernersville</v>
      </c>
      <c r="C809" t="str">
        <f>IFERROR(__xludf.DUMMYFUNCTION("""COMPUTED_VALUE"""),"NC")</f>
        <v>NC</v>
      </c>
      <c r="D809" t="str">
        <f>IFERROR(__xludf.DUMMYFUNCTION("""COMPUTED_VALUE"""),"USA")</f>
        <v>USA</v>
      </c>
      <c r="E809" s="188">
        <f>IFERROR(__xludf.DUMMYFUNCTION("""COMPUTED_VALUE"""),43279.0)</f>
        <v>43279</v>
      </c>
      <c r="F809" s="188">
        <f>IFERROR(__xludf.DUMMYFUNCTION("""COMPUTED_VALUE"""),43354.0)</f>
        <v>43354</v>
      </c>
      <c r="H809">
        <f>IFERROR(__xludf.DUMMYFUNCTION("""COMPUTED_VALUE"""),97555.0)</f>
        <v>97555</v>
      </c>
      <c r="I809" t="str">
        <f>IFERROR(__xludf.DUMMYFUNCTION("""COMPUTED_VALUE"""),"08/18")</f>
        <v>08/18</v>
      </c>
      <c r="J809" s="5">
        <f>IFERROR(__xludf.DUMMYFUNCTION("""COMPUTED_VALUE"""),43364.0)</f>
        <v>43364</v>
      </c>
      <c r="K809">
        <f>IFERROR(__xludf.DUMMYFUNCTION("""COMPUTED_VALUE"""),75.0)</f>
        <v>75</v>
      </c>
      <c r="L809">
        <f>IFERROR(__xludf.DUMMYFUNCTION("""COMPUTED_VALUE"""),10.0)</f>
        <v>10</v>
      </c>
      <c r="M809">
        <f>IFERROR(__xludf.DUMMYFUNCTION("""COMPUTED_VALUE"""),85.0)</f>
        <v>85</v>
      </c>
      <c r="N809" t="str">
        <f>IFERROR(__xludf.DUMMYFUNCTION("""COMPUTED_VALUE"""),"Model 3 Performance")</f>
        <v>Model 3 Performance</v>
      </c>
      <c r="O809" t="str">
        <f>IFERROR(__xludf.DUMMYFUNCTION("""COMPUTED_VALUE"""),"Red Multi-Coat")</f>
        <v>Red Multi-Coat</v>
      </c>
      <c r="P809" t="str">
        <f>IFERROR(__xludf.DUMMYFUNCTION("""COMPUTED_VALUE"""),"18 inch Aero")</f>
        <v>18 inch Aero</v>
      </c>
      <c r="Q809" t="str">
        <f>IFERROR(__xludf.DUMMYFUNCTION("""COMPUTED_VALUE"""),"White seats")</f>
        <v>White seats</v>
      </c>
      <c r="R809" t="str">
        <f>IFERROR(__xludf.DUMMYFUNCTION("""COMPUTED_VALUE"""),"Enhanced Autopilot")</f>
        <v>Enhanced Autopilot</v>
      </c>
      <c r="X809" t="str">
        <f>IFERROR(__xludf.DUMMYFUNCTION("""COMPUTED_VALUE"""),"Very Good")</f>
        <v>Very Good</v>
      </c>
      <c r="Y809" t="str">
        <f>IFERROR(__xludf.DUMMYFUNCTION("""COMPUTED_VALUE"""),"Very Good")</f>
        <v>Very Good</v>
      </c>
      <c r="Z809" t="str">
        <f>IFERROR(__xludf.DUMMYFUNCTION("""COMPUTED_VALUE"""),"Very Good")</f>
        <v>Very Good</v>
      </c>
      <c r="AA809" t="str">
        <f>IFERROR(__xludf.DUMMYFUNCTION("""COMPUTED_VALUE"""),"Fair")</f>
        <v>Fair</v>
      </c>
      <c r="AB809" t="str">
        <f>IFERROR(__xludf.DUMMYFUNCTION("""COMPUTED_VALUE"""),"Very Good")</f>
        <v>Very Good</v>
      </c>
      <c r="AC809">
        <f>IFERROR(__xludf.DUMMYFUNCTION("""COMPUTED_VALUE"""),1.0)</f>
        <v>1</v>
      </c>
      <c r="AG809" t="str">
        <f>IFERROR(__xludf.DUMMYFUNCTION("""COMPUTED_VALUE"""),"It was missing a door reflector")</f>
        <v>It was missing a door reflector</v>
      </c>
      <c r="AH809" s="189">
        <f>IFERROR(__xludf.DUMMYFUNCTION("""COMPUTED_VALUE"""),43366.80753302084)</f>
        <v>43366.80753</v>
      </c>
    </row>
    <row r="810">
      <c r="A810" t="str">
        <f>IFERROR(__xludf.DUMMYFUNCTION("""COMPUTED_VALUE"""),"Rev-777")</f>
        <v>Rev-777</v>
      </c>
      <c r="B810" t="str">
        <f>IFERROR(__xludf.DUMMYFUNCTION("""COMPUTED_VALUE"""),"Victoria")</f>
        <v>Victoria</v>
      </c>
      <c r="C810" t="str">
        <f>IFERROR(__xludf.DUMMYFUNCTION("""COMPUTED_VALUE"""),"BC")</f>
        <v>BC</v>
      </c>
      <c r="D810" t="str">
        <f>IFERROR(__xludf.DUMMYFUNCTION("""COMPUTED_VALUE"""),"Canada")</f>
        <v>Canada</v>
      </c>
      <c r="E810" s="188">
        <f>IFERROR(__xludf.DUMMYFUNCTION("""COMPUTED_VALUE"""),43277.0)</f>
        <v>43277</v>
      </c>
      <c r="F810" s="188">
        <f>IFERROR(__xludf.DUMMYFUNCTION("""COMPUTED_VALUE"""),43360.0)</f>
        <v>43360</v>
      </c>
      <c r="H810">
        <f>IFERROR(__xludf.DUMMYFUNCTION("""COMPUTED_VALUE"""),107385.0)</f>
        <v>107385</v>
      </c>
      <c r="J810" s="5">
        <f>IFERROR(__xludf.DUMMYFUNCTION("""COMPUTED_VALUE"""),43363.0)</f>
        <v>43363</v>
      </c>
      <c r="K810">
        <f>IFERROR(__xludf.DUMMYFUNCTION("""COMPUTED_VALUE"""),83.0)</f>
        <v>83</v>
      </c>
      <c r="L810">
        <f>IFERROR(__xludf.DUMMYFUNCTION("""COMPUTED_VALUE"""),3.0)</f>
        <v>3</v>
      </c>
      <c r="M810">
        <f>IFERROR(__xludf.DUMMYFUNCTION("""COMPUTED_VALUE"""),86.0)</f>
        <v>86</v>
      </c>
      <c r="N810" t="str">
        <f>IFERROR(__xludf.DUMMYFUNCTION("""COMPUTED_VALUE"""),"Model 3 LR AWD")</f>
        <v>Model 3 LR AWD</v>
      </c>
      <c r="O810" t="str">
        <f>IFERROR(__xludf.DUMMYFUNCTION("""COMPUTED_VALUE"""),"Midnight Silver Metallic")</f>
        <v>Midnight Silver Metallic</v>
      </c>
      <c r="P810" t="str">
        <f>IFERROR(__xludf.DUMMYFUNCTION("""COMPUTED_VALUE"""),"19 inch Sport")</f>
        <v>19 inch Sport</v>
      </c>
      <c r="Q810" t="str">
        <f>IFERROR(__xludf.DUMMYFUNCTION("""COMPUTED_VALUE"""),"Black seats")</f>
        <v>Black seats</v>
      </c>
      <c r="R810" t="str">
        <f>IFERROR(__xludf.DUMMYFUNCTION("""COMPUTED_VALUE"""),"Enhanced Autopilot")</f>
        <v>Enhanced Autopilot</v>
      </c>
      <c r="X810" t="str">
        <f>IFERROR(__xludf.DUMMYFUNCTION("""COMPUTED_VALUE"""),"Excellent")</f>
        <v>Excellent</v>
      </c>
      <c r="Y810" t="str">
        <f>IFERROR(__xludf.DUMMYFUNCTION("""COMPUTED_VALUE"""),"Excellent")</f>
        <v>Excellent</v>
      </c>
      <c r="Z810" t="str">
        <f>IFERROR(__xludf.DUMMYFUNCTION("""COMPUTED_VALUE"""),"Very Good")</f>
        <v>Very Good</v>
      </c>
      <c r="AA810" t="str">
        <f>IFERROR(__xludf.DUMMYFUNCTION("""COMPUTED_VALUE"""),"Poor")</f>
        <v>Poor</v>
      </c>
      <c r="AB810" t="str">
        <f>IFERROR(__xludf.DUMMYFUNCTION("""COMPUTED_VALUE"""),"Poor")</f>
        <v>Poor</v>
      </c>
      <c r="AC810">
        <f>IFERROR(__xludf.DUMMYFUNCTION("""COMPUTED_VALUE"""),7.0)</f>
        <v>7</v>
      </c>
      <c r="AD810">
        <f>IFERROR(__xludf.DUMMYFUNCTION("""COMPUTED_VALUE"""),1.0)</f>
        <v>1</v>
      </c>
      <c r="AG810" t="str">
        <f>IFERROR(__xludf.DUMMYFUNCTION("""COMPUTED_VALUE"""),"LR AWD")</f>
        <v>LR AWD</v>
      </c>
      <c r="AH810" s="189">
        <f>IFERROR(__xludf.DUMMYFUNCTION("""COMPUTED_VALUE"""),43366.897539467594)</f>
        <v>43366.89754</v>
      </c>
    </row>
    <row r="811">
      <c r="A811" t="str">
        <f>IFERROR(__xludf.DUMMYFUNCTION("""COMPUTED_VALUE"""),"ds")</f>
        <v>ds</v>
      </c>
      <c r="B811" t="str">
        <f>IFERROR(__xludf.DUMMYFUNCTION("""COMPUTED_VALUE"""),"Vancouver, BC")</f>
        <v>Vancouver, BC</v>
      </c>
      <c r="C811" t="str">
        <f>IFERROR(__xludf.DUMMYFUNCTION("""COMPUTED_VALUE"""),"BC")</f>
        <v>BC</v>
      </c>
      <c r="D811" t="str">
        <f>IFERROR(__xludf.DUMMYFUNCTION("""COMPUTED_VALUE"""),"Canada")</f>
        <v>Canada</v>
      </c>
      <c r="E811" s="188">
        <f>IFERROR(__xludf.DUMMYFUNCTION("""COMPUTED_VALUE"""),43356.0)</f>
        <v>43356</v>
      </c>
      <c r="F811" s="188">
        <f>IFERROR(__xludf.DUMMYFUNCTION("""COMPUTED_VALUE"""),43364.0)</f>
        <v>43364</v>
      </c>
      <c r="H811">
        <f>IFERROR(__xludf.DUMMYFUNCTION("""COMPUTED_VALUE"""),107655.0)</f>
        <v>107655</v>
      </c>
      <c r="I811" t="str">
        <f>IFERROR(__xludf.DUMMYFUNCTION("""COMPUTED_VALUE"""),"09/18")</f>
        <v>09/18</v>
      </c>
      <c r="J811" s="5">
        <f>IFERROR(__xludf.DUMMYFUNCTION("""COMPUTED_VALUE"""),43366.0)</f>
        <v>43366</v>
      </c>
      <c r="K811">
        <f>IFERROR(__xludf.DUMMYFUNCTION("""COMPUTED_VALUE"""),8.0)</f>
        <v>8</v>
      </c>
      <c r="L811">
        <f>IFERROR(__xludf.DUMMYFUNCTION("""COMPUTED_VALUE"""),2.0)</f>
        <v>2</v>
      </c>
      <c r="M811">
        <f>IFERROR(__xludf.DUMMYFUNCTION("""COMPUTED_VALUE"""),10.0)</f>
        <v>10</v>
      </c>
      <c r="N811" t="str">
        <f>IFERROR(__xludf.DUMMYFUNCTION("""COMPUTED_VALUE"""),"Model 3 LR AWD")</f>
        <v>Model 3 LR AWD</v>
      </c>
      <c r="O811" t="str">
        <f>IFERROR(__xludf.DUMMYFUNCTION("""COMPUTED_VALUE"""),"Pearl White Multi-Coat")</f>
        <v>Pearl White Multi-Coat</v>
      </c>
      <c r="P811" t="str">
        <f>IFERROR(__xludf.DUMMYFUNCTION("""COMPUTED_VALUE"""),"19 inch Sport")</f>
        <v>19 inch Sport</v>
      </c>
      <c r="Q811" t="str">
        <f>IFERROR(__xludf.DUMMYFUNCTION("""COMPUTED_VALUE"""),"Black seats")</f>
        <v>Black seats</v>
      </c>
      <c r="R811" t="str">
        <f>IFERROR(__xludf.DUMMYFUNCTION("""COMPUTED_VALUE"""),"Enhanced Autopilot")</f>
        <v>Enhanced Autopilot</v>
      </c>
      <c r="X811" t="str">
        <f>IFERROR(__xludf.DUMMYFUNCTION("""COMPUTED_VALUE"""),"Good")</f>
        <v>Good</v>
      </c>
      <c r="Y811" t="str">
        <f>IFERROR(__xludf.DUMMYFUNCTION("""COMPUTED_VALUE"""),"Excellent")</f>
        <v>Excellent</v>
      </c>
      <c r="Z811" t="str">
        <f>IFERROR(__xludf.DUMMYFUNCTION("""COMPUTED_VALUE"""),"Excellent")</f>
        <v>Excellent</v>
      </c>
      <c r="AA811" t="str">
        <f>IFERROR(__xludf.DUMMYFUNCTION("""COMPUTED_VALUE"""),"Fair")</f>
        <v>Fair</v>
      </c>
      <c r="AB811" t="str">
        <f>IFERROR(__xludf.DUMMYFUNCTION("""COMPUTED_VALUE"""),"Very Good")</f>
        <v>Very Good</v>
      </c>
      <c r="AC811">
        <f>IFERROR(__xludf.DUMMYFUNCTION("""COMPUTED_VALUE"""),1.0)</f>
        <v>1</v>
      </c>
      <c r="AH811" s="189">
        <f>IFERROR(__xludf.DUMMYFUNCTION("""COMPUTED_VALUE"""),43367.030496203704)</f>
        <v>43367.0305</v>
      </c>
    </row>
    <row r="812">
      <c r="A812" t="str">
        <f>IFERROR(__xludf.DUMMYFUNCTION("""COMPUTED_VALUE"""),"FalconHeavy")</f>
        <v>FalconHeavy</v>
      </c>
      <c r="B812" t="str">
        <f>IFERROR(__xludf.DUMMYFUNCTION("""COMPUTED_VALUE"""),"Omaha")</f>
        <v>Omaha</v>
      </c>
      <c r="C812" t="str">
        <f>IFERROR(__xludf.DUMMYFUNCTION("""COMPUTED_VALUE"""),"NE")</f>
        <v>NE</v>
      </c>
      <c r="D812" t="str">
        <f>IFERROR(__xludf.DUMMYFUNCTION("""COMPUTED_VALUE"""),"USA")</f>
        <v>USA</v>
      </c>
      <c r="E812" s="188">
        <f>IFERROR(__xludf.DUMMYFUNCTION("""COMPUTED_VALUE"""),43312.0)</f>
        <v>43312</v>
      </c>
      <c r="F812" s="188">
        <f>IFERROR(__xludf.DUMMYFUNCTION("""COMPUTED_VALUE"""),43347.0)</f>
        <v>43347</v>
      </c>
      <c r="H812">
        <f>IFERROR(__xludf.DUMMYFUNCTION("""COMPUTED_VALUE"""),61555.0)</f>
        <v>61555</v>
      </c>
      <c r="I812" t="str">
        <f>IFERROR(__xludf.DUMMYFUNCTION("""COMPUTED_VALUE"""),"08/18")</f>
        <v>08/18</v>
      </c>
      <c r="J812" s="5">
        <f>IFERROR(__xludf.DUMMYFUNCTION("""COMPUTED_VALUE"""),43364.0)</f>
        <v>43364</v>
      </c>
      <c r="K812">
        <f>IFERROR(__xludf.DUMMYFUNCTION("""COMPUTED_VALUE"""),35.0)</f>
        <v>35</v>
      </c>
      <c r="L812">
        <f>IFERROR(__xludf.DUMMYFUNCTION("""COMPUTED_VALUE"""),17.0)</f>
        <v>17</v>
      </c>
      <c r="M812">
        <f>IFERROR(__xludf.DUMMYFUNCTION("""COMPUTED_VALUE"""),52.0)</f>
        <v>52</v>
      </c>
      <c r="N812" t="str">
        <f>IFERROR(__xludf.DUMMYFUNCTION("""COMPUTED_VALUE"""),"Model 3 LR")</f>
        <v>Model 3 LR</v>
      </c>
      <c r="O812" t="str">
        <f>IFERROR(__xludf.DUMMYFUNCTION("""COMPUTED_VALUE"""),"Red Multi-Coat")</f>
        <v>Red Multi-Coat</v>
      </c>
      <c r="P812" t="str">
        <f>IFERROR(__xludf.DUMMYFUNCTION("""COMPUTED_VALUE"""),"19 inch Sport")</f>
        <v>19 inch Sport</v>
      </c>
      <c r="Q812" t="str">
        <f>IFERROR(__xludf.DUMMYFUNCTION("""COMPUTED_VALUE"""),"Black seats")</f>
        <v>Black seats</v>
      </c>
      <c r="R812" t="str">
        <f>IFERROR(__xludf.DUMMYFUNCTION("""COMPUTED_VALUE"""),"None")</f>
        <v>None</v>
      </c>
      <c r="X812" t="str">
        <f>IFERROR(__xludf.DUMMYFUNCTION("""COMPUTED_VALUE"""),"Very Good")</f>
        <v>Very Good</v>
      </c>
      <c r="Y812" t="str">
        <f>IFERROR(__xludf.DUMMYFUNCTION("""COMPUTED_VALUE"""),"Very Good")</f>
        <v>Very Good</v>
      </c>
      <c r="Z812" t="str">
        <f>IFERROR(__xludf.DUMMYFUNCTION("""COMPUTED_VALUE"""),"Very Good")</f>
        <v>Very Good</v>
      </c>
      <c r="AA812" t="str">
        <f>IFERROR(__xludf.DUMMYFUNCTION("""COMPUTED_VALUE"""),"Excellent")</f>
        <v>Excellent</v>
      </c>
      <c r="AB812" t="str">
        <f>IFERROR(__xludf.DUMMYFUNCTION("""COMPUTED_VALUE"""),"Very Good")</f>
        <v>Very Good</v>
      </c>
      <c r="AC812">
        <f>IFERROR(__xludf.DUMMYFUNCTION("""COMPUTED_VALUE"""),1.0)</f>
        <v>1</v>
      </c>
      <c r="AD812">
        <f>IFERROR(__xludf.DUMMYFUNCTION("""COMPUTED_VALUE"""),1.0)</f>
        <v>1</v>
      </c>
      <c r="AE812">
        <f>IFERROR(__xludf.DUMMYFUNCTION("""COMPUTED_VALUE"""),0.0)</f>
        <v>0</v>
      </c>
      <c r="AH812" s="189">
        <f>IFERROR(__xludf.DUMMYFUNCTION("""COMPUTED_VALUE"""),43367.2021609838)</f>
        <v>43367.20216</v>
      </c>
    </row>
    <row r="813">
      <c r="A813" t="str">
        <f>IFERROR(__xludf.DUMMYFUNCTION("""COMPUTED_VALUE"""),"Trav")</f>
        <v>Trav</v>
      </c>
      <c r="B813" t="str">
        <f>IFERROR(__xludf.DUMMYFUNCTION("""COMPUTED_VALUE"""),"Asheville")</f>
        <v>Asheville</v>
      </c>
      <c r="C813" t="str">
        <f>IFERROR(__xludf.DUMMYFUNCTION("""COMPUTED_VALUE"""),"NC")</f>
        <v>NC</v>
      </c>
      <c r="D813" t="str">
        <f>IFERROR(__xludf.DUMMYFUNCTION("""COMPUTED_VALUE"""),"USA")</f>
        <v>USA</v>
      </c>
      <c r="E813" s="188">
        <f>IFERROR(__xludf.DUMMYFUNCTION("""COMPUTED_VALUE"""),43316.0)</f>
        <v>43316</v>
      </c>
      <c r="F813" s="188">
        <f>IFERROR(__xludf.DUMMYFUNCTION("""COMPUTED_VALUE"""),43349.0)</f>
        <v>43349</v>
      </c>
      <c r="H813">
        <f>IFERROR(__xludf.DUMMYFUNCTION("""COMPUTED_VALUE"""),72335.0)</f>
        <v>72335</v>
      </c>
      <c r="J813" s="5">
        <f>IFERROR(__xludf.DUMMYFUNCTION("""COMPUTED_VALUE"""),43366.0)</f>
        <v>43366</v>
      </c>
      <c r="K813">
        <f>IFERROR(__xludf.DUMMYFUNCTION("""COMPUTED_VALUE"""),33.0)</f>
        <v>33</v>
      </c>
      <c r="L813">
        <f>IFERROR(__xludf.DUMMYFUNCTION("""COMPUTED_VALUE"""),17.0)</f>
        <v>17</v>
      </c>
      <c r="M813">
        <f>IFERROR(__xludf.DUMMYFUNCTION("""COMPUTED_VALUE"""),50.0)</f>
        <v>50</v>
      </c>
      <c r="N813" t="str">
        <f>IFERROR(__xludf.DUMMYFUNCTION("""COMPUTED_VALUE"""),"Model 3 Performance")</f>
        <v>Model 3 Performance</v>
      </c>
      <c r="O813" t="str">
        <f>IFERROR(__xludf.DUMMYFUNCTION("""COMPUTED_VALUE"""),"Deep Blue Metallic")</f>
        <v>Deep Blue Metallic</v>
      </c>
      <c r="P813" t="str">
        <f>IFERROR(__xludf.DUMMYFUNCTION("""COMPUTED_VALUE"""),"20 inch Sport")</f>
        <v>20 inch Sport</v>
      </c>
      <c r="Q813" t="str">
        <f>IFERROR(__xludf.DUMMYFUNCTION("""COMPUTED_VALUE"""),"Black seats")</f>
        <v>Black seats</v>
      </c>
      <c r="R813" t="str">
        <f>IFERROR(__xludf.DUMMYFUNCTION("""COMPUTED_VALUE"""),"Enhanced Autopilot")</f>
        <v>Enhanced Autopilot</v>
      </c>
      <c r="X813" t="str">
        <f>IFERROR(__xludf.DUMMYFUNCTION("""COMPUTED_VALUE"""),"Excellent")</f>
        <v>Excellent</v>
      </c>
      <c r="Y813" t="str">
        <f>IFERROR(__xludf.DUMMYFUNCTION("""COMPUTED_VALUE"""),"Excellent")</f>
        <v>Excellent</v>
      </c>
      <c r="Z813" t="str">
        <f>IFERROR(__xludf.DUMMYFUNCTION("""COMPUTED_VALUE"""),"Fair")</f>
        <v>Fair</v>
      </c>
      <c r="AA813" t="str">
        <f>IFERROR(__xludf.DUMMYFUNCTION("""COMPUTED_VALUE"""),"Excellent")</f>
        <v>Excellent</v>
      </c>
      <c r="AB813" t="str">
        <f>IFERROR(__xludf.DUMMYFUNCTION("""COMPUTED_VALUE"""),"Excellent")</f>
        <v>Excellent</v>
      </c>
      <c r="AC813">
        <f>IFERROR(__xludf.DUMMYFUNCTION("""COMPUTED_VALUE"""),8.0)</f>
        <v>8</v>
      </c>
      <c r="AG813" t="str">
        <f>IFERROR(__xludf.DUMMYFUNCTION("""COMPUTED_VALUE"""),"Was Oct.-Dec. time frame now says September ")</f>
        <v>Was Oct.-Dec. time frame now says September </v>
      </c>
      <c r="AH813" s="189">
        <f>IFERROR(__xludf.DUMMYFUNCTION("""COMPUTED_VALUE"""),43367.30864497685)</f>
        <v>43367.30864</v>
      </c>
    </row>
    <row r="814">
      <c r="A814" t="str">
        <f>IFERROR(__xludf.DUMMYFUNCTION("""COMPUTED_VALUE"""),"annerajb")</f>
        <v>annerajb</v>
      </c>
      <c r="B814" t="str">
        <f>IFERROR(__xludf.DUMMYFUNCTION("""COMPUTED_VALUE"""),"Fort Lauderdale")</f>
        <v>Fort Lauderdale</v>
      </c>
      <c r="C814" t="str">
        <f>IFERROR(__xludf.DUMMYFUNCTION("""COMPUTED_VALUE"""),"FL")</f>
        <v>FL</v>
      </c>
      <c r="D814" t="str">
        <f>IFERROR(__xludf.DUMMYFUNCTION("""COMPUTED_VALUE"""),"USA")</f>
        <v>USA</v>
      </c>
      <c r="E814" s="188">
        <f>IFERROR(__xludf.DUMMYFUNCTION("""COMPUTED_VALUE"""),43277.0)</f>
        <v>43277</v>
      </c>
      <c r="F814" s="188">
        <f>IFERROR(__xludf.DUMMYFUNCTION("""COMPUTED_VALUE"""),43337.0)</f>
        <v>43337</v>
      </c>
      <c r="H814">
        <f>IFERROR(__xludf.DUMMYFUNCTION("""COMPUTED_VALUE"""),70664.0)</f>
        <v>70664</v>
      </c>
      <c r="I814" t="str">
        <f>IFERROR(__xludf.DUMMYFUNCTION("""COMPUTED_VALUE"""),"08/18")</f>
        <v>08/18</v>
      </c>
      <c r="J814" s="5">
        <f>IFERROR(__xludf.DUMMYFUNCTION("""COMPUTED_VALUE"""),43364.0)</f>
        <v>43364</v>
      </c>
      <c r="K814">
        <f>IFERROR(__xludf.DUMMYFUNCTION("""COMPUTED_VALUE"""),60.0)</f>
        <v>60</v>
      </c>
      <c r="L814">
        <f>IFERROR(__xludf.DUMMYFUNCTION("""COMPUTED_VALUE"""),27.0)</f>
        <v>27</v>
      </c>
      <c r="M814">
        <f>IFERROR(__xludf.DUMMYFUNCTION("""COMPUTED_VALUE"""),87.0)</f>
        <v>87</v>
      </c>
      <c r="N814" t="str">
        <f>IFERROR(__xludf.DUMMYFUNCTION("""COMPUTED_VALUE"""),"Model 3 LR AWD")</f>
        <v>Model 3 LR AWD</v>
      </c>
      <c r="O814" t="str">
        <f>IFERROR(__xludf.DUMMYFUNCTION("""COMPUTED_VALUE"""),"Obsidian Black Metallic")</f>
        <v>Obsidian Black Metallic</v>
      </c>
      <c r="P814" t="str">
        <f>IFERROR(__xludf.DUMMYFUNCTION("""COMPUTED_VALUE"""),"18 inch Aero")</f>
        <v>18 inch Aero</v>
      </c>
      <c r="Q814" t="str">
        <f>IFERROR(__xludf.DUMMYFUNCTION("""COMPUTED_VALUE"""),"Black seats")</f>
        <v>Black seats</v>
      </c>
      <c r="R814" t="str">
        <f>IFERROR(__xludf.DUMMYFUNCTION("""COMPUTED_VALUE"""),"Full Self-Driving")</f>
        <v>Full Self-Driving</v>
      </c>
      <c r="X814" t="str">
        <f>IFERROR(__xludf.DUMMYFUNCTION("""COMPUTED_VALUE"""),"Very Good")</f>
        <v>Very Good</v>
      </c>
      <c r="Y814" t="str">
        <f>IFERROR(__xludf.DUMMYFUNCTION("""COMPUTED_VALUE"""),"Excellent")</f>
        <v>Excellent</v>
      </c>
      <c r="Z814" t="str">
        <f>IFERROR(__xludf.DUMMYFUNCTION("""COMPUTED_VALUE"""),"Good")</f>
        <v>Good</v>
      </c>
      <c r="AA814" t="str">
        <f>IFERROR(__xludf.DUMMYFUNCTION("""COMPUTED_VALUE"""),"Good")</f>
        <v>Good</v>
      </c>
      <c r="AB814" t="str">
        <f>IFERROR(__xludf.DUMMYFUNCTION("""COMPUTED_VALUE"""),"Excellent")</f>
        <v>Excellent</v>
      </c>
      <c r="AC814">
        <f>IFERROR(__xludf.DUMMYFUNCTION("""COMPUTED_VALUE"""),4.0)</f>
        <v>4</v>
      </c>
      <c r="AG814" t="str">
        <f>IFERROR(__xludf.DUMMYFUNCTION("""COMPUTED_VALUE"""),"one scuff on front lower bumper, 3 panels with super tiny scratches/scratch, not sure if gap on tailight prob within spec, piece of insulation tape under the cars body coming out of the battery fender. amazing car thou!")</f>
        <v>one scuff on front lower bumper, 3 panels with super tiny scratches/scratch, not sure if gap on tailight prob within spec, piece of insulation tape under the cars body coming out of the battery fender. amazing car thou!</v>
      </c>
      <c r="AH814" s="189">
        <f>IFERROR(__xludf.DUMMYFUNCTION("""COMPUTED_VALUE"""),43367.38027540509)</f>
        <v>43367.38028</v>
      </c>
    </row>
    <row r="815">
      <c r="A815" t="str">
        <f>IFERROR(__xludf.DUMMYFUNCTION("""COMPUTED_VALUE"""),"daveCO")</f>
        <v>daveCO</v>
      </c>
      <c r="B815" t="str">
        <f>IFERROR(__xludf.DUMMYFUNCTION("""COMPUTED_VALUE"""),"Highlands Ranch")</f>
        <v>Highlands Ranch</v>
      </c>
      <c r="C815" t="str">
        <f>IFERROR(__xludf.DUMMYFUNCTION("""COMPUTED_VALUE"""),"CO")</f>
        <v>CO</v>
      </c>
      <c r="D815" t="str">
        <f>IFERROR(__xludf.DUMMYFUNCTION("""COMPUTED_VALUE"""),"USA")</f>
        <v>USA</v>
      </c>
      <c r="E815" s="188">
        <f>IFERROR(__xludf.DUMMYFUNCTION("""COMPUTED_VALUE"""),43304.0)</f>
        <v>43304</v>
      </c>
      <c r="F815" s="188">
        <f>IFERROR(__xludf.DUMMYFUNCTION("""COMPUTED_VALUE"""),43357.0)</f>
        <v>43357</v>
      </c>
      <c r="H815">
        <f>IFERROR(__xludf.DUMMYFUNCTION("""COMPUTED_VALUE"""),100908.0)</f>
        <v>100908</v>
      </c>
      <c r="I815" t="str">
        <f>IFERROR(__xludf.DUMMYFUNCTION("""COMPUTED_VALUE"""),"09/18")</f>
        <v>09/18</v>
      </c>
      <c r="J815" s="5">
        <f>IFERROR(__xludf.DUMMYFUNCTION("""COMPUTED_VALUE"""),43365.0)</f>
        <v>43365</v>
      </c>
      <c r="K815">
        <f>IFERROR(__xludf.DUMMYFUNCTION("""COMPUTED_VALUE"""),53.0)</f>
        <v>53</v>
      </c>
      <c r="L815">
        <f>IFERROR(__xludf.DUMMYFUNCTION("""COMPUTED_VALUE"""),8.0)</f>
        <v>8</v>
      </c>
      <c r="M815">
        <f>IFERROR(__xludf.DUMMYFUNCTION("""COMPUTED_VALUE"""),61.0)</f>
        <v>61</v>
      </c>
      <c r="N815" t="str">
        <f>IFERROR(__xludf.DUMMYFUNCTION("""COMPUTED_VALUE"""),"Model 3 LR AWD")</f>
        <v>Model 3 LR AWD</v>
      </c>
      <c r="O815" t="str">
        <f>IFERROR(__xludf.DUMMYFUNCTION("""COMPUTED_VALUE"""),"Deep Blue Metallic")</f>
        <v>Deep Blue Metallic</v>
      </c>
      <c r="P815" t="str">
        <f>IFERROR(__xludf.DUMMYFUNCTION("""COMPUTED_VALUE"""),"19 inch Sport")</f>
        <v>19 inch Sport</v>
      </c>
      <c r="Q815" t="str">
        <f>IFERROR(__xludf.DUMMYFUNCTION("""COMPUTED_VALUE"""),"White seats")</f>
        <v>White seats</v>
      </c>
      <c r="R815" t="str">
        <f>IFERROR(__xludf.DUMMYFUNCTION("""COMPUTED_VALUE"""),"Enhanced Autopilot")</f>
        <v>Enhanced Autopilot</v>
      </c>
      <c r="X815" t="str">
        <f>IFERROR(__xludf.DUMMYFUNCTION("""COMPUTED_VALUE"""),"Excellent")</f>
        <v>Excellent</v>
      </c>
      <c r="Y815" t="str">
        <f>IFERROR(__xludf.DUMMYFUNCTION("""COMPUTED_VALUE"""),"Excellent")</f>
        <v>Excellent</v>
      </c>
      <c r="Z815" t="str">
        <f>IFERROR(__xludf.DUMMYFUNCTION("""COMPUTED_VALUE"""),"Excellent")</f>
        <v>Excellent</v>
      </c>
      <c r="AA815" t="str">
        <f>IFERROR(__xludf.DUMMYFUNCTION("""COMPUTED_VALUE"""),"Excellent")</f>
        <v>Excellent</v>
      </c>
      <c r="AB815" t="str">
        <f>IFERROR(__xludf.DUMMYFUNCTION("""COMPUTED_VALUE"""),"Good")</f>
        <v>Good</v>
      </c>
      <c r="AH815" s="189">
        <f>IFERROR(__xludf.DUMMYFUNCTION("""COMPUTED_VALUE"""),43367.402229178246)</f>
        <v>43367.40223</v>
      </c>
    </row>
    <row r="816">
      <c r="A816" t="str">
        <f>IFERROR(__xludf.DUMMYFUNCTION("""COMPUTED_VALUE"""),"ltphoto")</f>
        <v>ltphoto</v>
      </c>
      <c r="B816" t="str">
        <f>IFERROR(__xludf.DUMMYFUNCTION("""COMPUTED_VALUE"""),"Sandy")</f>
        <v>Sandy</v>
      </c>
      <c r="C816" t="str">
        <f>IFERROR(__xludf.DUMMYFUNCTION("""COMPUTED_VALUE"""),"UT")</f>
        <v>UT</v>
      </c>
      <c r="D816" t="str">
        <f>IFERROR(__xludf.DUMMYFUNCTION("""COMPUTED_VALUE"""),"USA")</f>
        <v>USA</v>
      </c>
      <c r="E816" s="188">
        <f>IFERROR(__xludf.DUMMYFUNCTION("""COMPUTED_VALUE"""),43279.0)</f>
        <v>43279</v>
      </c>
      <c r="F816" s="188">
        <f>IFERROR(__xludf.DUMMYFUNCTION("""COMPUTED_VALUE"""),43355.0)</f>
        <v>43355</v>
      </c>
      <c r="H816" s="4">
        <f>IFERROR(__xludf.DUMMYFUNCTION("""COMPUTED_VALUE"""),97584.0)</f>
        <v>97584</v>
      </c>
      <c r="I816" t="str">
        <f>IFERROR(__xludf.DUMMYFUNCTION("""COMPUTED_VALUE"""),"09/18")</f>
        <v>09/18</v>
      </c>
      <c r="J816" s="5">
        <f>IFERROR(__xludf.DUMMYFUNCTION("""COMPUTED_VALUE"""),43362.0)</f>
        <v>43362</v>
      </c>
      <c r="K816">
        <f>IFERROR(__xludf.DUMMYFUNCTION("""COMPUTED_VALUE"""),76.0)</f>
        <v>76</v>
      </c>
      <c r="L816">
        <f>IFERROR(__xludf.DUMMYFUNCTION("""COMPUTED_VALUE"""),7.0)</f>
        <v>7</v>
      </c>
      <c r="M816">
        <f>IFERROR(__xludf.DUMMYFUNCTION("""COMPUTED_VALUE"""),83.0)</f>
        <v>83</v>
      </c>
      <c r="N816" t="str">
        <f>IFERROR(__xludf.DUMMYFUNCTION("""COMPUTED_VALUE"""),"Model 3 LR AWD")</f>
        <v>Model 3 LR AWD</v>
      </c>
      <c r="O816" t="str">
        <f>IFERROR(__xludf.DUMMYFUNCTION("""COMPUTED_VALUE"""),"Red Multi-Coat")</f>
        <v>Red Multi-Coat</v>
      </c>
      <c r="P816" t="str">
        <f>IFERROR(__xludf.DUMMYFUNCTION("""COMPUTED_VALUE"""),"19 inch Sport")</f>
        <v>19 inch Sport</v>
      </c>
      <c r="Q816" t="str">
        <f>IFERROR(__xludf.DUMMYFUNCTION("""COMPUTED_VALUE"""),"White seats")</f>
        <v>White seats</v>
      </c>
      <c r="R816" t="str">
        <f>IFERROR(__xludf.DUMMYFUNCTION("""COMPUTED_VALUE"""),"Enhanced Autopilot")</f>
        <v>Enhanced Autopilot</v>
      </c>
      <c r="X816" t="str">
        <f>IFERROR(__xludf.DUMMYFUNCTION("""COMPUTED_VALUE"""),"Excellent")</f>
        <v>Excellent</v>
      </c>
      <c r="Y816" t="str">
        <f>IFERROR(__xludf.DUMMYFUNCTION("""COMPUTED_VALUE"""),"Excellent")</f>
        <v>Excellent</v>
      </c>
      <c r="Z816" t="str">
        <f>IFERROR(__xludf.DUMMYFUNCTION("""COMPUTED_VALUE"""),"Excellent")</f>
        <v>Excellent</v>
      </c>
      <c r="AA816" t="str">
        <f>IFERROR(__xludf.DUMMYFUNCTION("""COMPUTED_VALUE"""),"Fair")</f>
        <v>Fair</v>
      </c>
      <c r="AB816" t="str">
        <f>IFERROR(__xludf.DUMMYFUNCTION("""COMPUTED_VALUE"""),"Good")</f>
        <v>Good</v>
      </c>
      <c r="AH816" s="189">
        <f>IFERROR(__xludf.DUMMYFUNCTION("""COMPUTED_VALUE"""),43367.41320841435)</f>
        <v>43367.41321</v>
      </c>
    </row>
    <row r="817">
      <c r="A817" t="str">
        <f>IFERROR(__xludf.DUMMYFUNCTION("""COMPUTED_VALUE"""),"rtmd")</f>
        <v>rtmd</v>
      </c>
      <c r="C817" t="str">
        <f>IFERROR(__xludf.DUMMYFUNCTION("""COMPUTED_VALUE"""),"VA")</f>
        <v>VA</v>
      </c>
      <c r="D817" t="str">
        <f>IFERROR(__xludf.DUMMYFUNCTION("""COMPUTED_VALUE"""),"USA")</f>
        <v>USA</v>
      </c>
      <c r="E817" s="188">
        <f>IFERROR(__xludf.DUMMYFUNCTION("""COMPUTED_VALUE"""),43308.0)</f>
        <v>43308</v>
      </c>
      <c r="F817" s="188">
        <f>IFERROR(__xludf.DUMMYFUNCTION("""COMPUTED_VALUE"""),43358.0)</f>
        <v>43358</v>
      </c>
      <c r="H817">
        <f>IFERROR(__xludf.DUMMYFUNCTION("""COMPUTED_VALUE"""),96379.0)</f>
        <v>96379</v>
      </c>
      <c r="J817" s="5">
        <f>IFERROR(__xludf.DUMMYFUNCTION("""COMPUTED_VALUE"""),43365.0)</f>
        <v>43365</v>
      </c>
      <c r="K817">
        <f>IFERROR(__xludf.DUMMYFUNCTION("""COMPUTED_VALUE"""),50.0)</f>
        <v>50</v>
      </c>
      <c r="L817">
        <f>IFERROR(__xludf.DUMMYFUNCTION("""COMPUTED_VALUE"""),7.0)</f>
        <v>7</v>
      </c>
      <c r="M817">
        <f>IFERROR(__xludf.DUMMYFUNCTION("""COMPUTED_VALUE"""),57.0)</f>
        <v>57</v>
      </c>
      <c r="N817" t="str">
        <f>IFERROR(__xludf.DUMMYFUNCTION("""COMPUTED_VALUE"""),"Model 3 LR AWD")</f>
        <v>Model 3 LR AWD</v>
      </c>
      <c r="O817" t="str">
        <f>IFERROR(__xludf.DUMMYFUNCTION("""COMPUTED_VALUE"""),"Red Multi-Coat")</f>
        <v>Red Multi-Coat</v>
      </c>
      <c r="P817" t="str">
        <f>IFERROR(__xludf.DUMMYFUNCTION("""COMPUTED_VALUE"""),"18 inch Aero")</f>
        <v>18 inch Aero</v>
      </c>
      <c r="Q817" t="str">
        <f>IFERROR(__xludf.DUMMYFUNCTION("""COMPUTED_VALUE"""),"White seats")</f>
        <v>White seats</v>
      </c>
      <c r="R817" t="str">
        <f>IFERROR(__xludf.DUMMYFUNCTION("""COMPUTED_VALUE"""),"None")</f>
        <v>None</v>
      </c>
      <c r="X817" t="str">
        <f>IFERROR(__xludf.DUMMYFUNCTION("""COMPUTED_VALUE"""),"Excellent")</f>
        <v>Excellent</v>
      </c>
      <c r="Y817" t="str">
        <f>IFERROR(__xludf.DUMMYFUNCTION("""COMPUTED_VALUE"""),"Excellent")</f>
        <v>Excellent</v>
      </c>
      <c r="Z817" t="str">
        <f>IFERROR(__xludf.DUMMYFUNCTION("""COMPUTED_VALUE"""),"Excellent")</f>
        <v>Excellent</v>
      </c>
      <c r="AA817" t="str">
        <f>IFERROR(__xludf.DUMMYFUNCTION("""COMPUTED_VALUE"""),"Fair")</f>
        <v>Fair</v>
      </c>
      <c r="AB817" t="str">
        <f>IFERROR(__xludf.DUMMYFUNCTION("""COMPUTED_VALUE"""),"Good")</f>
        <v>Good</v>
      </c>
      <c r="AH817" s="189">
        <f>IFERROR(__xludf.DUMMYFUNCTION("""COMPUTED_VALUE"""),43367.42078677083)</f>
        <v>43367.42079</v>
      </c>
    </row>
    <row r="818">
      <c r="A818" t="str">
        <f>IFERROR(__xludf.DUMMYFUNCTION("""COMPUTED_VALUE"""),"jmanzi")</f>
        <v>jmanzi</v>
      </c>
      <c r="B818" t="str">
        <f>IFERROR(__xludf.DUMMYFUNCTION("""COMPUTED_VALUE"""),"Sacramento")</f>
        <v>Sacramento</v>
      </c>
      <c r="C818" t="str">
        <f>IFERROR(__xludf.DUMMYFUNCTION("""COMPUTED_VALUE"""),"CA")</f>
        <v>CA</v>
      </c>
      <c r="D818" t="str">
        <f>IFERROR(__xludf.DUMMYFUNCTION("""COMPUTED_VALUE"""),"USA")</f>
        <v>USA</v>
      </c>
      <c r="E818" s="188">
        <f>IFERROR(__xludf.DUMMYFUNCTION("""COMPUTED_VALUE"""),43280.0)</f>
        <v>43280</v>
      </c>
      <c r="F818" s="188">
        <f>IFERROR(__xludf.DUMMYFUNCTION("""COMPUTED_VALUE"""),43357.0)</f>
        <v>43357</v>
      </c>
      <c r="H818">
        <f>IFERROR(__xludf.DUMMYFUNCTION("""COMPUTED_VALUE"""),96695.0)</f>
        <v>96695</v>
      </c>
      <c r="I818" t="str">
        <f>IFERROR(__xludf.DUMMYFUNCTION("""COMPUTED_VALUE"""),"08/18")</f>
        <v>08/18</v>
      </c>
      <c r="J818" s="5">
        <f>IFERROR(__xludf.DUMMYFUNCTION("""COMPUTED_VALUE"""),43365.0)</f>
        <v>43365</v>
      </c>
      <c r="K818">
        <f>IFERROR(__xludf.DUMMYFUNCTION("""COMPUTED_VALUE"""),77.0)</f>
        <v>77</v>
      </c>
      <c r="L818">
        <f>IFERROR(__xludf.DUMMYFUNCTION("""COMPUTED_VALUE"""),8.0)</f>
        <v>8</v>
      </c>
      <c r="M818">
        <f>IFERROR(__xludf.DUMMYFUNCTION("""COMPUTED_VALUE"""),85.0)</f>
        <v>85</v>
      </c>
      <c r="N818" t="str">
        <f>IFERROR(__xludf.DUMMYFUNCTION("""COMPUTED_VALUE"""),"Model 3 LR AWD")</f>
        <v>Model 3 LR AWD</v>
      </c>
      <c r="O818" t="str">
        <f>IFERROR(__xludf.DUMMYFUNCTION("""COMPUTED_VALUE"""),"Pearl White Multi-Coat")</f>
        <v>Pearl White Multi-Coat</v>
      </c>
      <c r="P818" t="str">
        <f>IFERROR(__xludf.DUMMYFUNCTION("""COMPUTED_VALUE"""),"18 inch Aero")</f>
        <v>18 inch Aero</v>
      </c>
      <c r="Q818" t="str">
        <f>IFERROR(__xludf.DUMMYFUNCTION("""COMPUTED_VALUE"""),"White seats")</f>
        <v>White seats</v>
      </c>
      <c r="R818" t="str">
        <f>IFERROR(__xludf.DUMMYFUNCTION("""COMPUTED_VALUE"""),"Enhanced Autopilot")</f>
        <v>Enhanced Autopilot</v>
      </c>
      <c r="X818" t="str">
        <f>IFERROR(__xludf.DUMMYFUNCTION("""COMPUTED_VALUE"""),"Good")</f>
        <v>Good</v>
      </c>
      <c r="Y818" t="str">
        <f>IFERROR(__xludf.DUMMYFUNCTION("""COMPUTED_VALUE"""),"Excellent")</f>
        <v>Excellent</v>
      </c>
      <c r="Z818" t="str">
        <f>IFERROR(__xludf.DUMMYFUNCTION("""COMPUTED_VALUE"""),"Very Good")</f>
        <v>Very Good</v>
      </c>
      <c r="AA818" t="str">
        <f>IFERROR(__xludf.DUMMYFUNCTION("""COMPUTED_VALUE"""),"Excellent")</f>
        <v>Excellent</v>
      </c>
      <c r="AB818" t="str">
        <f>IFERROR(__xludf.DUMMYFUNCTION("""COMPUTED_VALUE"""),"Good")</f>
        <v>Good</v>
      </c>
      <c r="AC818">
        <f>IFERROR(__xludf.DUMMYFUNCTION("""COMPUTED_VALUE"""),1.0)</f>
        <v>1</v>
      </c>
      <c r="AG818" t="str">
        <f>IFERROR(__xludf.DUMMYFUNCTION("""COMPUTED_VALUE"""),"Changed to white seats 8/17. Changed to Aero's 9/5. Planning on no cap look")</f>
        <v>Changed to white seats 8/17. Changed to Aero's 9/5. Planning on no cap look</v>
      </c>
      <c r="AH818" s="189">
        <f>IFERROR(__xludf.DUMMYFUNCTION("""COMPUTED_VALUE"""),43367.4377016088)</f>
        <v>43367.4377</v>
      </c>
    </row>
    <row r="819">
      <c r="A819" t="str">
        <f>IFERROR(__xludf.DUMMYFUNCTION("""COMPUTED_VALUE"""),"CrazyCoconut")</f>
        <v>CrazyCoconut</v>
      </c>
      <c r="B819" t="str">
        <f>IFERROR(__xludf.DUMMYFUNCTION("""COMPUTED_VALUE"""),"Austin")</f>
        <v>Austin</v>
      </c>
      <c r="C819" t="str">
        <f>IFERROR(__xludf.DUMMYFUNCTION("""COMPUTED_VALUE"""),"TX")</f>
        <v>TX</v>
      </c>
      <c r="D819" t="str">
        <f>IFERROR(__xludf.DUMMYFUNCTION("""COMPUTED_VALUE"""),"USA")</f>
        <v>USA</v>
      </c>
      <c r="E819" s="188">
        <f>IFERROR(__xludf.DUMMYFUNCTION("""COMPUTED_VALUE"""),43291.0)</f>
        <v>43291</v>
      </c>
      <c r="F819" s="188">
        <f>IFERROR(__xludf.DUMMYFUNCTION("""COMPUTED_VALUE"""),43354.0)</f>
        <v>43354</v>
      </c>
      <c r="H819">
        <f>IFERROR(__xludf.DUMMYFUNCTION("""COMPUTED_VALUE"""),84255.0)</f>
        <v>84255</v>
      </c>
      <c r="I819" t="str">
        <f>IFERROR(__xludf.DUMMYFUNCTION("""COMPUTED_VALUE"""),"09/18")</f>
        <v>09/18</v>
      </c>
      <c r="J819" s="5">
        <f>IFERROR(__xludf.DUMMYFUNCTION("""COMPUTED_VALUE"""),43364.0)</f>
        <v>43364</v>
      </c>
      <c r="K819">
        <f>IFERROR(__xludf.DUMMYFUNCTION("""COMPUTED_VALUE"""),63.0)</f>
        <v>63</v>
      </c>
      <c r="L819">
        <f>IFERROR(__xludf.DUMMYFUNCTION("""COMPUTED_VALUE"""),10.0)</f>
        <v>10</v>
      </c>
      <c r="M819">
        <f>IFERROR(__xludf.DUMMYFUNCTION("""COMPUTED_VALUE"""),73.0)</f>
        <v>73</v>
      </c>
      <c r="N819" t="str">
        <f>IFERROR(__xludf.DUMMYFUNCTION("""COMPUTED_VALUE"""),"Model 3 Performance")</f>
        <v>Model 3 Performance</v>
      </c>
      <c r="O819" t="str">
        <f>IFERROR(__xludf.DUMMYFUNCTION("""COMPUTED_VALUE"""),"Pearl White Multi-Coat")</f>
        <v>Pearl White Multi-Coat</v>
      </c>
      <c r="P819" t="str">
        <f>IFERROR(__xludf.DUMMYFUNCTION("""COMPUTED_VALUE"""),"20 inch Sport")</f>
        <v>20 inch Sport</v>
      </c>
      <c r="Q819" t="str">
        <f>IFERROR(__xludf.DUMMYFUNCTION("""COMPUTED_VALUE"""),"Black seats")</f>
        <v>Black seats</v>
      </c>
      <c r="R819" t="str">
        <f>IFERROR(__xludf.DUMMYFUNCTION("""COMPUTED_VALUE"""),"Enhanced Autopilot")</f>
        <v>Enhanced Autopilot</v>
      </c>
      <c r="X819" t="str">
        <f>IFERROR(__xludf.DUMMYFUNCTION("""COMPUTED_VALUE"""),"Excellent")</f>
        <v>Excellent</v>
      </c>
      <c r="Y819" t="str">
        <f>IFERROR(__xludf.DUMMYFUNCTION("""COMPUTED_VALUE"""),"Excellent")</f>
        <v>Excellent</v>
      </c>
      <c r="Z819" t="str">
        <f>IFERROR(__xludf.DUMMYFUNCTION("""COMPUTED_VALUE"""),"Excellent")</f>
        <v>Excellent</v>
      </c>
      <c r="AA819" t="str">
        <f>IFERROR(__xludf.DUMMYFUNCTION("""COMPUTED_VALUE"""),"Excellent")</f>
        <v>Excellent</v>
      </c>
      <c r="AB819" t="str">
        <f>IFERROR(__xludf.DUMMYFUNCTION("""COMPUTED_VALUE"""),"Fair")</f>
        <v>Fair</v>
      </c>
      <c r="AC819">
        <f>IFERROR(__xludf.DUMMYFUNCTION("""COMPUTED_VALUE"""),0.0)</f>
        <v>0</v>
      </c>
      <c r="AD819">
        <f>IFERROR(__xludf.DUMMYFUNCTION("""COMPUTED_VALUE"""),0.0)</f>
        <v>0</v>
      </c>
      <c r="AE819">
        <f>IFERROR(__xludf.DUMMYFUNCTION("""COMPUTED_VALUE"""),0.0)</f>
        <v>0</v>
      </c>
      <c r="AH819" s="189">
        <f>IFERROR(__xludf.DUMMYFUNCTION("""COMPUTED_VALUE"""),43367.53414577546)</f>
        <v>43367.53415</v>
      </c>
    </row>
    <row r="820">
      <c r="A820" t="str">
        <f>IFERROR(__xludf.DUMMYFUNCTION("""COMPUTED_VALUE"""),"row5")</f>
        <v>row5</v>
      </c>
      <c r="C820" t="str">
        <f>IFERROR(__xludf.DUMMYFUNCTION("""COMPUTED_VALUE"""),"PA")</f>
        <v>PA</v>
      </c>
      <c r="D820" t="str">
        <f>IFERROR(__xludf.DUMMYFUNCTION("""COMPUTED_VALUE"""),"USA")</f>
        <v>USA</v>
      </c>
      <c r="E820" s="188">
        <f>IFERROR(__xludf.DUMMYFUNCTION("""COMPUTED_VALUE"""),43278.0)</f>
        <v>43278</v>
      </c>
      <c r="F820" s="188">
        <f>IFERROR(__xludf.DUMMYFUNCTION("""COMPUTED_VALUE"""),43329.0)</f>
        <v>43329</v>
      </c>
      <c r="H820">
        <f>IFERROR(__xludf.DUMMYFUNCTION("""COMPUTED_VALUE"""),67955.0)</f>
        <v>67955</v>
      </c>
      <c r="I820" t="str">
        <f>IFERROR(__xludf.DUMMYFUNCTION("""COMPUTED_VALUE"""),"07/18")</f>
        <v>07/18</v>
      </c>
      <c r="J820" s="5">
        <f>IFERROR(__xludf.DUMMYFUNCTION("""COMPUTED_VALUE"""),43343.0)</f>
        <v>43343</v>
      </c>
      <c r="K820">
        <f>IFERROR(__xludf.DUMMYFUNCTION("""COMPUTED_VALUE"""),51.0)</f>
        <v>51</v>
      </c>
      <c r="L820">
        <f>IFERROR(__xludf.DUMMYFUNCTION("""COMPUTED_VALUE"""),14.0)</f>
        <v>14</v>
      </c>
      <c r="M820">
        <f>IFERROR(__xludf.DUMMYFUNCTION("""COMPUTED_VALUE"""),65.0)</f>
        <v>65</v>
      </c>
      <c r="N820" t="str">
        <f>IFERROR(__xludf.DUMMYFUNCTION("""COMPUTED_VALUE"""),"Model 3 LR AWD")</f>
        <v>Model 3 LR AWD</v>
      </c>
      <c r="O820" t="str">
        <f>IFERROR(__xludf.DUMMYFUNCTION("""COMPUTED_VALUE"""),"Solid Black")</f>
        <v>Solid Black</v>
      </c>
      <c r="P820" t="str">
        <f>IFERROR(__xludf.DUMMYFUNCTION("""COMPUTED_VALUE"""),"18 inch Aero")</f>
        <v>18 inch Aero</v>
      </c>
      <c r="Q820" t="str">
        <f>IFERROR(__xludf.DUMMYFUNCTION("""COMPUTED_VALUE"""),"Black seats")</f>
        <v>Black seats</v>
      </c>
      <c r="R820" t="str">
        <f>IFERROR(__xludf.DUMMYFUNCTION("""COMPUTED_VALUE"""),"None")</f>
        <v>None</v>
      </c>
      <c r="X820" t="str">
        <f>IFERROR(__xludf.DUMMYFUNCTION("""COMPUTED_VALUE"""),"Very Good")</f>
        <v>Very Good</v>
      </c>
      <c r="Y820" t="str">
        <f>IFERROR(__xludf.DUMMYFUNCTION("""COMPUTED_VALUE"""),"Excellent")</f>
        <v>Excellent</v>
      </c>
      <c r="Z820" t="str">
        <f>IFERROR(__xludf.DUMMYFUNCTION("""COMPUTED_VALUE"""),"Very Good")</f>
        <v>Very Good</v>
      </c>
      <c r="AA820" t="str">
        <f>IFERROR(__xludf.DUMMYFUNCTION("""COMPUTED_VALUE"""),"Very Good")</f>
        <v>Very Good</v>
      </c>
      <c r="AB820" t="str">
        <f>IFERROR(__xludf.DUMMYFUNCTION("""COMPUTED_VALUE"""),"Excellent")</f>
        <v>Excellent</v>
      </c>
      <c r="AH820" s="189">
        <f>IFERROR(__xludf.DUMMYFUNCTION("""COMPUTED_VALUE"""),43367.63823188657)</f>
        <v>43367.63823</v>
      </c>
    </row>
    <row r="821">
      <c r="A821" t="str">
        <f>IFERROR(__xludf.DUMMYFUNCTION("""COMPUTED_VALUE"""),"ElJefe")</f>
        <v>ElJefe</v>
      </c>
      <c r="B821" t="str">
        <f>IFERROR(__xludf.DUMMYFUNCTION("""COMPUTED_VALUE"""),"Pasadena, CA")</f>
        <v>Pasadena, CA</v>
      </c>
      <c r="C821" t="str">
        <f>IFERROR(__xludf.DUMMYFUNCTION("""COMPUTED_VALUE"""),"CA")</f>
        <v>CA</v>
      </c>
      <c r="D821" t="str">
        <f>IFERROR(__xludf.DUMMYFUNCTION("""COMPUTED_VALUE"""),"USA")</f>
        <v>USA</v>
      </c>
      <c r="E821" s="188">
        <f>IFERROR(__xludf.DUMMYFUNCTION("""COMPUTED_VALUE"""),43324.0)</f>
        <v>43324</v>
      </c>
      <c r="F821" s="188">
        <f>IFERROR(__xludf.DUMMYFUNCTION("""COMPUTED_VALUE"""),43360.0)</f>
        <v>43360</v>
      </c>
      <c r="H821">
        <f>IFERROR(__xludf.DUMMYFUNCTION("""COMPUTED_VALUE"""),83069.0)</f>
        <v>83069</v>
      </c>
      <c r="J821" s="5">
        <f>IFERROR(__xludf.DUMMYFUNCTION("""COMPUTED_VALUE"""),43365.0)</f>
        <v>43365</v>
      </c>
      <c r="K821">
        <f>IFERROR(__xludf.DUMMYFUNCTION("""COMPUTED_VALUE"""),36.0)</f>
        <v>36</v>
      </c>
      <c r="L821">
        <f>IFERROR(__xludf.DUMMYFUNCTION("""COMPUTED_VALUE"""),5.0)</f>
        <v>5</v>
      </c>
      <c r="M821">
        <f>IFERROR(__xludf.DUMMYFUNCTION("""COMPUTED_VALUE"""),41.0)</f>
        <v>41</v>
      </c>
      <c r="N821" t="str">
        <f>IFERROR(__xludf.DUMMYFUNCTION("""COMPUTED_VALUE"""),"Model 3 Performance")</f>
        <v>Model 3 Performance</v>
      </c>
      <c r="O821" t="str">
        <f>IFERROR(__xludf.DUMMYFUNCTION("""COMPUTED_VALUE"""),"Midnight Silver Metallic")</f>
        <v>Midnight Silver Metallic</v>
      </c>
      <c r="P821" t="str">
        <f>IFERROR(__xludf.DUMMYFUNCTION("""COMPUTED_VALUE"""),"20 inch Sport")</f>
        <v>20 inch Sport</v>
      </c>
      <c r="Q821" t="str">
        <f>IFERROR(__xludf.DUMMYFUNCTION("""COMPUTED_VALUE"""),"Black seats")</f>
        <v>Black seats</v>
      </c>
      <c r="R821" t="str">
        <f>IFERROR(__xludf.DUMMYFUNCTION("""COMPUTED_VALUE"""),"None")</f>
        <v>None</v>
      </c>
      <c r="X821" t="str">
        <f>IFERROR(__xludf.DUMMYFUNCTION("""COMPUTED_VALUE"""),"Excellent")</f>
        <v>Excellent</v>
      </c>
      <c r="Y821" t="str">
        <f>IFERROR(__xludf.DUMMYFUNCTION("""COMPUTED_VALUE"""),"Excellent")</f>
        <v>Excellent</v>
      </c>
      <c r="AA821" t="str">
        <f>IFERROR(__xludf.DUMMYFUNCTION("""COMPUTED_VALUE"""),"Very Good")</f>
        <v>Very Good</v>
      </c>
      <c r="AB821" t="str">
        <f>IFERROR(__xludf.DUMMYFUNCTION("""COMPUTED_VALUE"""),"Excellent")</f>
        <v>Excellent</v>
      </c>
      <c r="AH821" s="189">
        <f>IFERROR(__xludf.DUMMYFUNCTION("""COMPUTED_VALUE"""),43367.90642197916)</f>
        <v>43367.90642</v>
      </c>
    </row>
    <row r="822">
      <c r="A822" t="str">
        <f>IFERROR(__xludf.DUMMYFUNCTION("""COMPUTED_VALUE"""),"jlquinn")</f>
        <v>jlquinn</v>
      </c>
      <c r="B822" t="str">
        <f>IFERROR(__xludf.DUMMYFUNCTION("""COMPUTED_VALUE"""),"North Salem")</f>
        <v>North Salem</v>
      </c>
      <c r="C822" t="str">
        <f>IFERROR(__xludf.DUMMYFUNCTION("""COMPUTED_VALUE"""),"NY")</f>
        <v>NY</v>
      </c>
      <c r="D822" t="str">
        <f>IFERROR(__xludf.DUMMYFUNCTION("""COMPUTED_VALUE"""),"USA")</f>
        <v>USA</v>
      </c>
      <c r="E822" s="188">
        <f>IFERROR(__xludf.DUMMYFUNCTION("""COMPUTED_VALUE"""),43331.0)</f>
        <v>43331</v>
      </c>
      <c r="F822" s="188">
        <f>IFERROR(__xludf.DUMMYFUNCTION("""COMPUTED_VALUE"""),43358.0)</f>
        <v>43358</v>
      </c>
      <c r="H822">
        <f>IFERROR(__xludf.DUMMYFUNCTION("""COMPUTED_VALUE"""),97755.0)</f>
        <v>97755</v>
      </c>
      <c r="J822" s="5">
        <f>IFERROR(__xludf.DUMMYFUNCTION("""COMPUTED_VALUE"""),43367.0)</f>
        <v>43367</v>
      </c>
      <c r="K822">
        <f>IFERROR(__xludf.DUMMYFUNCTION("""COMPUTED_VALUE"""),27.0)</f>
        <v>27</v>
      </c>
      <c r="L822">
        <f>IFERROR(__xludf.DUMMYFUNCTION("""COMPUTED_VALUE"""),9.0)</f>
        <v>9</v>
      </c>
      <c r="M822">
        <f>IFERROR(__xludf.DUMMYFUNCTION("""COMPUTED_VALUE"""),36.0)</f>
        <v>36</v>
      </c>
      <c r="N822" t="str">
        <f>IFERROR(__xludf.DUMMYFUNCTION("""COMPUTED_VALUE"""),"Model 3 Performance")</f>
        <v>Model 3 Performance</v>
      </c>
      <c r="O822" t="str">
        <f>IFERROR(__xludf.DUMMYFUNCTION("""COMPUTED_VALUE"""),"Deep Blue Metallic")</f>
        <v>Deep Blue Metallic</v>
      </c>
      <c r="P822" t="str">
        <f>IFERROR(__xludf.DUMMYFUNCTION("""COMPUTED_VALUE"""),"18 inch Aero")</f>
        <v>18 inch Aero</v>
      </c>
      <c r="Q822" t="str">
        <f>IFERROR(__xludf.DUMMYFUNCTION("""COMPUTED_VALUE"""),"White seats")</f>
        <v>White seats</v>
      </c>
      <c r="R822" t="str">
        <f>IFERROR(__xludf.DUMMYFUNCTION("""COMPUTED_VALUE"""),"None")</f>
        <v>None</v>
      </c>
      <c r="X822" t="str">
        <f>IFERROR(__xludf.DUMMYFUNCTION("""COMPUTED_VALUE"""),"Excellent")</f>
        <v>Excellent</v>
      </c>
      <c r="Y822" t="str">
        <f>IFERROR(__xludf.DUMMYFUNCTION("""COMPUTED_VALUE"""),"Excellent")</f>
        <v>Excellent</v>
      </c>
      <c r="Z822" t="str">
        <f>IFERROR(__xludf.DUMMYFUNCTION("""COMPUTED_VALUE"""),"Excellent")</f>
        <v>Excellent</v>
      </c>
      <c r="AA822" t="str">
        <f>IFERROR(__xludf.DUMMYFUNCTION("""COMPUTED_VALUE"""),"Fair")</f>
        <v>Fair</v>
      </c>
      <c r="AB822" t="str">
        <f>IFERROR(__xludf.DUMMYFUNCTION("""COMPUTED_VALUE"""),"Good")</f>
        <v>Good</v>
      </c>
      <c r="AH822" s="189">
        <f>IFERROR(__xludf.DUMMYFUNCTION("""COMPUTED_VALUE"""),43367.93407829861)</f>
        <v>43367.93408</v>
      </c>
    </row>
    <row r="823">
      <c r="A823" t="str">
        <f>IFERROR(__xludf.DUMMYFUNCTION("""COMPUTED_VALUE"""),"Raptor")</f>
        <v>Raptor</v>
      </c>
      <c r="B823" t="str">
        <f>IFERROR(__xludf.DUMMYFUNCTION("""COMPUTED_VALUE"""),"Irvine")</f>
        <v>Irvine</v>
      </c>
      <c r="C823" t="str">
        <f>IFERROR(__xludf.DUMMYFUNCTION("""COMPUTED_VALUE"""),"CA")</f>
        <v>CA</v>
      </c>
      <c r="D823" t="str">
        <f>IFERROR(__xludf.DUMMYFUNCTION("""COMPUTED_VALUE"""),"USA")</f>
        <v>USA</v>
      </c>
      <c r="E823" s="188">
        <f>IFERROR(__xludf.DUMMYFUNCTION("""COMPUTED_VALUE"""),43277.0)</f>
        <v>43277</v>
      </c>
      <c r="F823" s="188">
        <f>IFERROR(__xludf.DUMMYFUNCTION("""COMPUTED_VALUE"""),43363.0)</f>
        <v>43363</v>
      </c>
      <c r="H823">
        <f>IFERROR(__xludf.DUMMYFUNCTION("""COMPUTED_VALUE"""),70026.0)</f>
        <v>70026</v>
      </c>
      <c r="I823" t="str">
        <f>IFERROR(__xludf.DUMMYFUNCTION("""COMPUTED_VALUE"""),"09/18")</f>
        <v>09/18</v>
      </c>
      <c r="J823" s="5">
        <f>IFERROR(__xludf.DUMMYFUNCTION("""COMPUTED_VALUE"""),43367.0)</f>
        <v>43367</v>
      </c>
      <c r="K823">
        <f>IFERROR(__xludf.DUMMYFUNCTION("""COMPUTED_VALUE"""),86.0)</f>
        <v>86</v>
      </c>
      <c r="L823">
        <f>IFERROR(__xludf.DUMMYFUNCTION("""COMPUTED_VALUE"""),4.0)</f>
        <v>4</v>
      </c>
      <c r="M823">
        <f>IFERROR(__xludf.DUMMYFUNCTION("""COMPUTED_VALUE"""),90.0)</f>
        <v>90</v>
      </c>
      <c r="N823" t="str">
        <f>IFERROR(__xludf.DUMMYFUNCTION("""COMPUTED_VALUE"""),"Model 3 LR AWD")</f>
        <v>Model 3 LR AWD</v>
      </c>
      <c r="O823" t="str">
        <f>IFERROR(__xludf.DUMMYFUNCTION("""COMPUTED_VALUE"""),"Red Multi-Coat")</f>
        <v>Red Multi-Coat</v>
      </c>
      <c r="P823" t="str">
        <f>IFERROR(__xludf.DUMMYFUNCTION("""COMPUTED_VALUE"""),"18 inch Aero")</f>
        <v>18 inch Aero</v>
      </c>
      <c r="Q823" t="str">
        <f>IFERROR(__xludf.DUMMYFUNCTION("""COMPUTED_VALUE"""),"Black seats")</f>
        <v>Black seats</v>
      </c>
      <c r="R823" t="str">
        <f>IFERROR(__xludf.DUMMYFUNCTION("""COMPUTED_VALUE"""),"Enhanced Autopilot")</f>
        <v>Enhanced Autopilot</v>
      </c>
      <c r="X823" t="str">
        <f>IFERROR(__xludf.DUMMYFUNCTION("""COMPUTED_VALUE"""),"Excellent")</f>
        <v>Excellent</v>
      </c>
      <c r="Y823" t="str">
        <f>IFERROR(__xludf.DUMMYFUNCTION("""COMPUTED_VALUE"""),"Excellent")</f>
        <v>Excellent</v>
      </c>
      <c r="Z823" t="str">
        <f>IFERROR(__xludf.DUMMYFUNCTION("""COMPUTED_VALUE"""),"Excellent")</f>
        <v>Excellent</v>
      </c>
      <c r="AA823" t="str">
        <f>IFERROR(__xludf.DUMMYFUNCTION("""COMPUTED_VALUE"""),"Excellent")</f>
        <v>Excellent</v>
      </c>
      <c r="AB823" t="str">
        <f>IFERROR(__xludf.DUMMYFUNCTION("""COMPUTED_VALUE"""),"Excellent")</f>
        <v>Excellent</v>
      </c>
      <c r="AH823" s="189">
        <f>IFERROR(__xludf.DUMMYFUNCTION("""COMPUTED_VALUE"""),43367.984897800925)</f>
        <v>43367.9849</v>
      </c>
    </row>
    <row r="824">
      <c r="A824" t="str">
        <f>IFERROR(__xludf.DUMMYFUNCTION("""COMPUTED_VALUE"""),"Razorback787")</f>
        <v>Razorback787</v>
      </c>
      <c r="B824" t="str">
        <f>IFERROR(__xludf.DUMMYFUNCTION("""COMPUTED_VALUE"""),"Hutchinson")</f>
        <v>Hutchinson</v>
      </c>
      <c r="C824" t="str">
        <f>IFERROR(__xludf.DUMMYFUNCTION("""COMPUTED_VALUE"""),"MN")</f>
        <v>MN</v>
      </c>
      <c r="D824" t="str">
        <f>IFERROR(__xludf.DUMMYFUNCTION("""COMPUTED_VALUE"""),"USA")</f>
        <v>USA</v>
      </c>
      <c r="E824" s="188">
        <f>IFERROR(__xludf.DUMMYFUNCTION("""COMPUTED_VALUE"""),43279.0)</f>
        <v>43279</v>
      </c>
      <c r="F824" s="188">
        <f>IFERROR(__xludf.DUMMYFUNCTION("""COMPUTED_VALUE"""),43349.0)</f>
        <v>43349</v>
      </c>
      <c r="H824">
        <f>IFERROR(__xludf.DUMMYFUNCTION("""COMPUTED_VALUE"""),99888.0)</f>
        <v>99888</v>
      </c>
      <c r="I824" t="str">
        <f>IFERROR(__xludf.DUMMYFUNCTION("""COMPUTED_VALUE"""),"08/18")</f>
        <v>08/18</v>
      </c>
      <c r="J824" s="5">
        <f>IFERROR(__xludf.DUMMYFUNCTION("""COMPUTED_VALUE"""),43358.0)</f>
        <v>43358</v>
      </c>
      <c r="K824">
        <f>IFERROR(__xludf.DUMMYFUNCTION("""COMPUTED_VALUE"""),70.0)</f>
        <v>70</v>
      </c>
      <c r="L824">
        <f>IFERROR(__xludf.DUMMYFUNCTION("""COMPUTED_VALUE"""),9.0)</f>
        <v>9</v>
      </c>
      <c r="M824">
        <f>IFERROR(__xludf.DUMMYFUNCTION("""COMPUTED_VALUE"""),79.0)</f>
        <v>79</v>
      </c>
      <c r="N824" t="str">
        <f>IFERROR(__xludf.DUMMYFUNCTION("""COMPUTED_VALUE"""),"Model 3 Performance")</f>
        <v>Model 3 Performance</v>
      </c>
      <c r="O824" t="str">
        <f>IFERROR(__xludf.DUMMYFUNCTION("""COMPUTED_VALUE"""),"Deep Blue Metallic")</f>
        <v>Deep Blue Metallic</v>
      </c>
      <c r="P824" t="str">
        <f>IFERROR(__xludf.DUMMYFUNCTION("""COMPUTED_VALUE"""),"18 inch Aero")</f>
        <v>18 inch Aero</v>
      </c>
      <c r="Q824" t="str">
        <f>IFERROR(__xludf.DUMMYFUNCTION("""COMPUTED_VALUE"""),"White seats")</f>
        <v>White seats</v>
      </c>
      <c r="R824" t="str">
        <f>IFERROR(__xludf.DUMMYFUNCTION("""COMPUTED_VALUE"""),"Enhanced Autopilot")</f>
        <v>Enhanced Autopilot</v>
      </c>
      <c r="X824" t="str">
        <f>IFERROR(__xludf.DUMMYFUNCTION("""COMPUTED_VALUE"""),"Very Good")</f>
        <v>Very Good</v>
      </c>
      <c r="Y824" t="str">
        <f>IFERROR(__xludf.DUMMYFUNCTION("""COMPUTED_VALUE"""),"Excellent")</f>
        <v>Excellent</v>
      </c>
      <c r="Z824" t="str">
        <f>IFERROR(__xludf.DUMMYFUNCTION("""COMPUTED_VALUE"""),"Very Good")</f>
        <v>Very Good</v>
      </c>
      <c r="AA824" t="str">
        <f>IFERROR(__xludf.DUMMYFUNCTION("""COMPUTED_VALUE"""),"Very Good")</f>
        <v>Very Good</v>
      </c>
      <c r="AB824" t="str">
        <f>IFERROR(__xludf.DUMMYFUNCTION("""COMPUTED_VALUE"""),"Very Good")</f>
        <v>Very Good</v>
      </c>
      <c r="AC824">
        <f>IFERROR(__xludf.DUMMYFUNCTION("""COMPUTED_VALUE"""),0.0)</f>
        <v>0</v>
      </c>
      <c r="AD824">
        <f>IFERROR(__xludf.DUMMYFUNCTION("""COMPUTED_VALUE"""),1.0)</f>
        <v>1</v>
      </c>
      <c r="AH824" s="189">
        <f>IFERROR(__xludf.DUMMYFUNCTION("""COMPUTED_VALUE"""),43368.008790162035)</f>
        <v>43368.00879</v>
      </c>
    </row>
    <row r="825">
      <c r="A825" t="str">
        <f>IFERROR(__xludf.DUMMYFUNCTION("""COMPUTED_VALUE"""),"joey52685")</f>
        <v>joey52685</v>
      </c>
      <c r="B825" t="str">
        <f>IFERROR(__xludf.DUMMYFUNCTION("""COMPUTED_VALUE"""),"Long Island")</f>
        <v>Long Island</v>
      </c>
      <c r="C825" t="str">
        <f>IFERROR(__xludf.DUMMYFUNCTION("""COMPUTED_VALUE"""),"NY")</f>
        <v>NY</v>
      </c>
      <c r="D825" t="str">
        <f>IFERROR(__xludf.DUMMYFUNCTION("""COMPUTED_VALUE"""),"USA")</f>
        <v>USA</v>
      </c>
      <c r="E825" s="188">
        <f>IFERROR(__xludf.DUMMYFUNCTION("""COMPUTED_VALUE"""),43279.0)</f>
        <v>43279</v>
      </c>
      <c r="H825">
        <f>IFERROR(__xludf.DUMMYFUNCTION("""COMPUTED_VALUE"""),54155.0)</f>
        <v>54155</v>
      </c>
      <c r="J825" s="5">
        <f>IFERROR(__xludf.DUMMYFUNCTION("""COMPUTED_VALUE"""),43365.0)</f>
        <v>43365</v>
      </c>
      <c r="M825">
        <f>IFERROR(__xludf.DUMMYFUNCTION("""COMPUTED_VALUE"""),86.0)</f>
        <v>86</v>
      </c>
      <c r="N825" t="str">
        <f>IFERROR(__xludf.DUMMYFUNCTION("""COMPUTED_VALUE"""),"Model 3 LR AWD")</f>
        <v>Model 3 LR AWD</v>
      </c>
      <c r="O825" t="str">
        <f>IFERROR(__xludf.DUMMYFUNCTION("""COMPUTED_VALUE"""),"Deep Blue Metallic")</f>
        <v>Deep Blue Metallic</v>
      </c>
      <c r="P825" t="str">
        <f>IFERROR(__xludf.DUMMYFUNCTION("""COMPUTED_VALUE"""),"18 inch Aero")</f>
        <v>18 inch Aero</v>
      </c>
      <c r="Q825" t="str">
        <f>IFERROR(__xludf.DUMMYFUNCTION("""COMPUTED_VALUE"""),"Black seats")</f>
        <v>Black seats</v>
      </c>
      <c r="R825" t="str">
        <f>IFERROR(__xludf.DUMMYFUNCTION("""COMPUTED_VALUE"""),"Enhanced Autopilot")</f>
        <v>Enhanced Autopilot</v>
      </c>
      <c r="X825" t="str">
        <f>IFERROR(__xludf.DUMMYFUNCTION("""COMPUTED_VALUE"""),"Excellent")</f>
        <v>Excellent</v>
      </c>
      <c r="Y825" t="str">
        <f>IFERROR(__xludf.DUMMYFUNCTION("""COMPUTED_VALUE"""),"Excellent")</f>
        <v>Excellent</v>
      </c>
      <c r="Z825" t="str">
        <f>IFERROR(__xludf.DUMMYFUNCTION("""COMPUTED_VALUE"""),"Very Good")</f>
        <v>Very Good</v>
      </c>
      <c r="AA825" t="str">
        <f>IFERROR(__xludf.DUMMYFUNCTION("""COMPUTED_VALUE"""),"Excellent")</f>
        <v>Excellent</v>
      </c>
      <c r="AB825" t="str">
        <f>IFERROR(__xludf.DUMMYFUNCTION("""COMPUTED_VALUE"""),"Good")</f>
        <v>Good</v>
      </c>
      <c r="AC825">
        <f>IFERROR(__xludf.DUMMYFUNCTION("""COMPUTED_VALUE"""),0.0)</f>
        <v>0</v>
      </c>
      <c r="AD825">
        <f>IFERROR(__xludf.DUMMYFUNCTION("""COMPUTED_VALUE"""),0.0)</f>
        <v>0</v>
      </c>
      <c r="AE825">
        <f>IFERROR(__xludf.DUMMYFUNCTION("""COMPUTED_VALUE"""),0.0)</f>
        <v>0</v>
      </c>
      <c r="AG825" t="str">
        <f>IFERROR(__xludf.DUMMYFUNCTION("""COMPUTED_VALUE"""),"Delivery was pushed to 9/22/18 because they found an issue with the car. ")</f>
        <v>Delivery was pushed to 9/22/18 because they found an issue with the car. </v>
      </c>
      <c r="AH825" s="189">
        <f>IFERROR(__xludf.DUMMYFUNCTION("""COMPUTED_VALUE"""),43368.26795546296)</f>
        <v>43368.26796</v>
      </c>
    </row>
    <row r="826">
      <c r="A826" t="str">
        <f>IFERROR(__xludf.DUMMYFUNCTION("""COMPUTED_VALUE"""),"AMDPower")</f>
        <v>AMDPower</v>
      </c>
      <c r="B826" t="str">
        <f>IFERROR(__xludf.DUMMYFUNCTION("""COMPUTED_VALUE"""),"Columbus")</f>
        <v>Columbus</v>
      </c>
      <c r="C826" t="str">
        <f>IFERROR(__xludf.DUMMYFUNCTION("""COMPUTED_VALUE"""),"OH")</f>
        <v>OH</v>
      </c>
      <c r="D826" t="str">
        <f>IFERROR(__xludf.DUMMYFUNCTION("""COMPUTED_VALUE"""),"USA")</f>
        <v>USA</v>
      </c>
      <c r="E826" s="188">
        <f>IFERROR(__xludf.DUMMYFUNCTION("""COMPUTED_VALUE"""),43278.0)</f>
        <v>43278</v>
      </c>
      <c r="F826" s="188">
        <f>IFERROR(__xludf.DUMMYFUNCTION("""COMPUTED_VALUE"""),43333.0)</f>
        <v>43333</v>
      </c>
      <c r="H826">
        <f>IFERROR(__xludf.DUMMYFUNCTION("""COMPUTED_VALUE"""),99155.0)</f>
        <v>99155</v>
      </c>
      <c r="J826" s="5">
        <f>IFERROR(__xludf.DUMMYFUNCTION("""COMPUTED_VALUE"""),43343.0)</f>
        <v>43343</v>
      </c>
      <c r="K826">
        <f>IFERROR(__xludf.DUMMYFUNCTION("""COMPUTED_VALUE"""),55.0)</f>
        <v>55</v>
      </c>
      <c r="L826">
        <f>IFERROR(__xludf.DUMMYFUNCTION("""COMPUTED_VALUE"""),10.0)</f>
        <v>10</v>
      </c>
      <c r="M826">
        <f>IFERROR(__xludf.DUMMYFUNCTION("""COMPUTED_VALUE"""),65.0)</f>
        <v>65</v>
      </c>
      <c r="N826" t="str">
        <f>IFERROR(__xludf.DUMMYFUNCTION("""COMPUTED_VALUE"""),"Model 3 LR AWD")</f>
        <v>Model 3 LR AWD</v>
      </c>
      <c r="O826" t="str">
        <f>IFERROR(__xludf.DUMMYFUNCTION("""COMPUTED_VALUE"""),"Solid Black")</f>
        <v>Solid Black</v>
      </c>
      <c r="P826" t="str">
        <f>IFERROR(__xludf.DUMMYFUNCTION("""COMPUTED_VALUE"""),"18 inch Aero")</f>
        <v>18 inch Aero</v>
      </c>
      <c r="Q826" t="str">
        <f>IFERROR(__xludf.DUMMYFUNCTION("""COMPUTED_VALUE"""),"White seats")</f>
        <v>White seats</v>
      </c>
      <c r="R826" t="str">
        <f>IFERROR(__xludf.DUMMYFUNCTION("""COMPUTED_VALUE"""),"None")</f>
        <v>None</v>
      </c>
      <c r="X826" t="str">
        <f>IFERROR(__xludf.DUMMYFUNCTION("""COMPUTED_VALUE"""),"Excellent")</f>
        <v>Excellent</v>
      </c>
      <c r="Y826" t="str">
        <f>IFERROR(__xludf.DUMMYFUNCTION("""COMPUTED_VALUE"""),"Excellent")</f>
        <v>Excellent</v>
      </c>
      <c r="Z826" t="str">
        <f>IFERROR(__xludf.DUMMYFUNCTION("""COMPUTED_VALUE"""),"Good")</f>
        <v>Good</v>
      </c>
      <c r="AA826" t="str">
        <f>IFERROR(__xludf.DUMMYFUNCTION("""COMPUTED_VALUE"""),"Excellent")</f>
        <v>Excellent</v>
      </c>
      <c r="AB826" t="str">
        <f>IFERROR(__xludf.DUMMYFUNCTION("""COMPUTED_VALUE"""),"Excellent")</f>
        <v>Excellent</v>
      </c>
      <c r="AC826">
        <f>IFERROR(__xludf.DUMMYFUNCTION("""COMPUTED_VALUE"""),2.0)</f>
        <v>2</v>
      </c>
      <c r="AD826">
        <f>IFERROR(__xludf.DUMMYFUNCTION("""COMPUTED_VALUE"""),1.0)</f>
        <v>1</v>
      </c>
      <c r="AE826">
        <f>IFERROR(__xludf.DUMMYFUNCTION("""COMPUTED_VALUE"""),10.0)</f>
        <v>10</v>
      </c>
      <c r="AH826" s="189">
        <f>IFERROR(__xludf.DUMMYFUNCTION("""COMPUTED_VALUE"""),43368.28531516204)</f>
        <v>43368.28532</v>
      </c>
    </row>
    <row r="827">
      <c r="A827" t="str">
        <f>IFERROR(__xludf.DUMMYFUNCTION("""COMPUTED_VALUE"""),"Six Years And Counting")</f>
        <v>Six Years And Counting</v>
      </c>
      <c r="B827" t="str">
        <f>IFERROR(__xludf.DUMMYFUNCTION("""COMPUTED_VALUE"""),"Boston, MA")</f>
        <v>Boston, MA</v>
      </c>
      <c r="C827" t="str">
        <f>IFERROR(__xludf.DUMMYFUNCTION("""COMPUTED_VALUE"""),"MA")</f>
        <v>MA</v>
      </c>
      <c r="D827" t="str">
        <f>IFERROR(__xludf.DUMMYFUNCTION("""COMPUTED_VALUE"""),"USA")</f>
        <v>USA</v>
      </c>
      <c r="E827" s="188">
        <f>IFERROR(__xludf.DUMMYFUNCTION("""COMPUTED_VALUE"""),43326.0)</f>
        <v>43326</v>
      </c>
      <c r="F827" s="188">
        <f>IFERROR(__xludf.DUMMYFUNCTION("""COMPUTED_VALUE"""),43340.0)</f>
        <v>43340</v>
      </c>
      <c r="H827">
        <f>IFERROR(__xludf.DUMMYFUNCTION("""COMPUTED_VALUE"""),99855.0)</f>
        <v>99855</v>
      </c>
      <c r="J827" s="5">
        <f>IFERROR(__xludf.DUMMYFUNCTION("""COMPUTED_VALUE"""),43368.0)</f>
        <v>43368</v>
      </c>
      <c r="K827">
        <f>IFERROR(__xludf.DUMMYFUNCTION("""COMPUTED_VALUE"""),14.0)</f>
        <v>14</v>
      </c>
      <c r="L827">
        <f>IFERROR(__xludf.DUMMYFUNCTION("""COMPUTED_VALUE"""),28.0)</f>
        <v>28</v>
      </c>
      <c r="M827">
        <f>IFERROR(__xludf.DUMMYFUNCTION("""COMPUTED_VALUE"""),42.0)</f>
        <v>42</v>
      </c>
      <c r="N827" t="str">
        <f>IFERROR(__xludf.DUMMYFUNCTION("""COMPUTED_VALUE"""),"Model 3 LR AWD")</f>
        <v>Model 3 LR AWD</v>
      </c>
      <c r="O827" t="str">
        <f>IFERROR(__xludf.DUMMYFUNCTION("""COMPUTED_VALUE"""),"Deep Blue Metallic")</f>
        <v>Deep Blue Metallic</v>
      </c>
      <c r="P827" t="str">
        <f>IFERROR(__xludf.DUMMYFUNCTION("""COMPUTED_VALUE"""),"18 inch Aero")</f>
        <v>18 inch Aero</v>
      </c>
      <c r="Q827" t="str">
        <f>IFERROR(__xludf.DUMMYFUNCTION("""COMPUTED_VALUE"""),"White seats")</f>
        <v>White seats</v>
      </c>
      <c r="R827" t="str">
        <f>IFERROR(__xludf.DUMMYFUNCTION("""COMPUTED_VALUE"""),"None")</f>
        <v>None</v>
      </c>
      <c r="X827" t="str">
        <f>IFERROR(__xludf.DUMMYFUNCTION("""COMPUTED_VALUE"""),"Excellent")</f>
        <v>Excellent</v>
      </c>
      <c r="Y827" t="str">
        <f>IFERROR(__xludf.DUMMYFUNCTION("""COMPUTED_VALUE"""),"Excellent")</f>
        <v>Excellent</v>
      </c>
      <c r="Z827" t="str">
        <f>IFERROR(__xludf.DUMMYFUNCTION("""COMPUTED_VALUE"""),"Excellent")</f>
        <v>Excellent</v>
      </c>
      <c r="AA827" t="str">
        <f>IFERROR(__xludf.DUMMYFUNCTION("""COMPUTED_VALUE"""),"Very Good")</f>
        <v>Very Good</v>
      </c>
      <c r="AB827" t="str">
        <f>IFERROR(__xludf.DUMMYFUNCTION("""COMPUTED_VALUE"""),"Excellent")</f>
        <v>Excellent</v>
      </c>
      <c r="AC827">
        <f>IFERROR(__xludf.DUMMYFUNCTION("""COMPUTED_VALUE"""),0.0)</f>
        <v>0</v>
      </c>
      <c r="AH827" s="189">
        <f>IFERROR(__xludf.DUMMYFUNCTION("""COMPUTED_VALUE"""),43368.38713444445)</f>
        <v>43368.38713</v>
      </c>
    </row>
    <row r="828">
      <c r="A828" t="str">
        <f>IFERROR(__xludf.DUMMYFUNCTION("""COMPUTED_VALUE"""),"jaredm")</f>
        <v>jaredm</v>
      </c>
      <c r="B828" t="str">
        <f>IFERROR(__xludf.DUMMYFUNCTION("""COMPUTED_VALUE"""),"Pittsburgh")</f>
        <v>Pittsburgh</v>
      </c>
      <c r="C828" t="str">
        <f>IFERROR(__xludf.DUMMYFUNCTION("""COMPUTED_VALUE"""),"PA")</f>
        <v>PA</v>
      </c>
      <c r="D828" t="str">
        <f>IFERROR(__xludf.DUMMYFUNCTION("""COMPUTED_VALUE"""),"USA")</f>
        <v>USA</v>
      </c>
      <c r="E828" s="188">
        <f>IFERROR(__xludf.DUMMYFUNCTION("""COMPUTED_VALUE"""),43243.0)</f>
        <v>43243</v>
      </c>
      <c r="F828" s="188">
        <f>IFERROR(__xludf.DUMMYFUNCTION("""COMPUTED_VALUE"""),43347.0)</f>
        <v>43347</v>
      </c>
      <c r="H828">
        <f>IFERROR(__xludf.DUMMYFUNCTION("""COMPUTED_VALUE"""),97055.0)</f>
        <v>97055</v>
      </c>
      <c r="J828" s="5">
        <f>IFERROR(__xludf.DUMMYFUNCTION("""COMPUTED_VALUE"""),43361.0)</f>
        <v>43361</v>
      </c>
      <c r="K828">
        <f>IFERROR(__xludf.DUMMYFUNCTION("""COMPUTED_VALUE"""),104.0)</f>
        <v>104</v>
      </c>
      <c r="L828">
        <f>IFERROR(__xludf.DUMMYFUNCTION("""COMPUTED_VALUE"""),14.0)</f>
        <v>14</v>
      </c>
      <c r="M828">
        <f>IFERROR(__xludf.DUMMYFUNCTION("""COMPUTED_VALUE"""),118.0)</f>
        <v>118</v>
      </c>
      <c r="N828" t="str">
        <f>IFERROR(__xludf.DUMMYFUNCTION("""COMPUTED_VALUE"""),"Model 3 LR AWD")</f>
        <v>Model 3 LR AWD</v>
      </c>
      <c r="O828" t="str">
        <f>IFERROR(__xludf.DUMMYFUNCTION("""COMPUTED_VALUE"""),"Solid Black")</f>
        <v>Solid Black</v>
      </c>
      <c r="P828" t="str">
        <f>IFERROR(__xludf.DUMMYFUNCTION("""COMPUTED_VALUE"""),"19 inch Sport")</f>
        <v>19 inch Sport</v>
      </c>
      <c r="Q828" t="str">
        <f>IFERROR(__xludf.DUMMYFUNCTION("""COMPUTED_VALUE"""),"White seats")</f>
        <v>White seats</v>
      </c>
      <c r="R828" t="str">
        <f>IFERROR(__xludf.DUMMYFUNCTION("""COMPUTED_VALUE"""),"Enhanced Autopilot")</f>
        <v>Enhanced Autopilot</v>
      </c>
      <c r="X828" t="str">
        <f>IFERROR(__xludf.DUMMYFUNCTION("""COMPUTED_VALUE"""),"Excellent")</f>
        <v>Excellent</v>
      </c>
      <c r="Y828" t="str">
        <f>IFERROR(__xludf.DUMMYFUNCTION("""COMPUTED_VALUE"""),"Excellent")</f>
        <v>Excellent</v>
      </c>
      <c r="Z828" t="str">
        <f>IFERROR(__xludf.DUMMYFUNCTION("""COMPUTED_VALUE"""),"Good")</f>
        <v>Good</v>
      </c>
      <c r="AA828" t="str">
        <f>IFERROR(__xludf.DUMMYFUNCTION("""COMPUTED_VALUE"""),"Fair")</f>
        <v>Fair</v>
      </c>
      <c r="AB828" t="str">
        <f>IFERROR(__xludf.DUMMYFUNCTION("""COMPUTED_VALUE"""),"Good")</f>
        <v>Good</v>
      </c>
      <c r="AC828">
        <f>IFERROR(__xludf.DUMMYFUNCTION("""COMPUTED_VALUE"""),0.0)</f>
        <v>0</v>
      </c>
      <c r="AD828">
        <f>IFERROR(__xludf.DUMMYFUNCTION("""COMPUTED_VALUE"""),0.0)</f>
        <v>0</v>
      </c>
      <c r="AE828">
        <f>IFERROR(__xludf.DUMMYFUNCTION("""COMPUTED_VALUE"""),0.0)</f>
        <v>0</v>
      </c>
      <c r="AH828" s="189">
        <f>IFERROR(__xludf.DUMMYFUNCTION("""COMPUTED_VALUE"""),43368.409728715276)</f>
        <v>43368.40973</v>
      </c>
    </row>
    <row r="829">
      <c r="A829" t="str">
        <f>IFERROR(__xludf.DUMMYFUNCTION("""COMPUTED_VALUE"""),"GRNNRG")</f>
        <v>GRNNRG</v>
      </c>
      <c r="B829" t="str">
        <f>IFERROR(__xludf.DUMMYFUNCTION("""COMPUTED_VALUE"""),"Calgary")</f>
        <v>Calgary</v>
      </c>
      <c r="C829" t="str">
        <f>IFERROR(__xludf.DUMMYFUNCTION("""COMPUTED_VALUE"""),"AB")</f>
        <v>AB</v>
      </c>
      <c r="D829" t="str">
        <f>IFERROR(__xludf.DUMMYFUNCTION("""COMPUTED_VALUE"""),"Canada")</f>
        <v>Canada</v>
      </c>
      <c r="E829" s="188">
        <f>IFERROR(__xludf.DUMMYFUNCTION("""COMPUTED_VALUE"""),43277.0)</f>
        <v>43277</v>
      </c>
      <c r="F829" s="188">
        <f>IFERROR(__xludf.DUMMYFUNCTION("""COMPUTED_VALUE"""),43355.0)</f>
        <v>43355</v>
      </c>
      <c r="H829">
        <f>IFERROR(__xludf.DUMMYFUNCTION("""COMPUTED_VALUE"""),107246.0)</f>
        <v>107246</v>
      </c>
      <c r="I829" t="str">
        <f>IFERROR(__xludf.DUMMYFUNCTION("""COMPUTED_VALUE"""),"09/18")</f>
        <v>09/18</v>
      </c>
      <c r="J829" s="5">
        <f>IFERROR(__xludf.DUMMYFUNCTION("""COMPUTED_VALUE"""),43361.0)</f>
        <v>43361</v>
      </c>
      <c r="K829">
        <f>IFERROR(__xludf.DUMMYFUNCTION("""COMPUTED_VALUE"""),78.0)</f>
        <v>78</v>
      </c>
      <c r="L829">
        <f>IFERROR(__xludf.DUMMYFUNCTION("""COMPUTED_VALUE"""),6.0)</f>
        <v>6</v>
      </c>
      <c r="M829">
        <f>IFERROR(__xludf.DUMMYFUNCTION("""COMPUTED_VALUE"""),84.0)</f>
        <v>84</v>
      </c>
      <c r="N829" t="str">
        <f>IFERROR(__xludf.DUMMYFUNCTION("""COMPUTED_VALUE"""),"Model 3 LR AWD")</f>
        <v>Model 3 LR AWD</v>
      </c>
      <c r="O829" t="str">
        <f>IFERROR(__xludf.DUMMYFUNCTION("""COMPUTED_VALUE"""),"Pearl White Multi-Coat")</f>
        <v>Pearl White Multi-Coat</v>
      </c>
      <c r="P829" t="str">
        <f>IFERROR(__xludf.DUMMYFUNCTION("""COMPUTED_VALUE"""),"18 inch Aero")</f>
        <v>18 inch Aero</v>
      </c>
      <c r="Q829" t="str">
        <f>IFERROR(__xludf.DUMMYFUNCTION("""COMPUTED_VALUE"""),"Black seats")</f>
        <v>Black seats</v>
      </c>
      <c r="R829" t="str">
        <f>IFERROR(__xludf.DUMMYFUNCTION("""COMPUTED_VALUE"""),"Enhanced Autopilot")</f>
        <v>Enhanced Autopilot</v>
      </c>
      <c r="X829" t="str">
        <f>IFERROR(__xludf.DUMMYFUNCTION("""COMPUTED_VALUE"""),"Very Good")</f>
        <v>Very Good</v>
      </c>
      <c r="Y829" t="str">
        <f>IFERROR(__xludf.DUMMYFUNCTION("""COMPUTED_VALUE"""),"Excellent")</f>
        <v>Excellent</v>
      </c>
      <c r="Z829" t="str">
        <f>IFERROR(__xludf.DUMMYFUNCTION("""COMPUTED_VALUE"""),"Excellent")</f>
        <v>Excellent</v>
      </c>
      <c r="AA829" t="str">
        <f>IFERROR(__xludf.DUMMYFUNCTION("""COMPUTED_VALUE"""),"Poor")</f>
        <v>Poor</v>
      </c>
      <c r="AB829" t="str">
        <f>IFERROR(__xludf.DUMMYFUNCTION("""COMPUTED_VALUE"""),"Good")</f>
        <v>Good</v>
      </c>
      <c r="AC829">
        <f>IFERROR(__xludf.DUMMYFUNCTION("""COMPUTED_VALUE"""),0.0)</f>
        <v>0</v>
      </c>
      <c r="AD829">
        <f>IFERROR(__xludf.DUMMYFUNCTION("""COMPUTED_VALUE"""),0.0)</f>
        <v>0</v>
      </c>
      <c r="AE829">
        <f>IFERROR(__xludf.DUMMYFUNCTION("""COMPUTED_VALUE"""),0.0)</f>
        <v>0</v>
      </c>
      <c r="AH829" s="189">
        <f>IFERROR(__xludf.DUMMYFUNCTION("""COMPUTED_VALUE"""),43368.41411049769)</f>
        <v>43368.41411</v>
      </c>
    </row>
    <row r="830">
      <c r="A830" t="str">
        <f>IFERROR(__xludf.DUMMYFUNCTION("""COMPUTED_VALUE"""),"phyzygy")</f>
        <v>phyzygy</v>
      </c>
      <c r="B830" t="str">
        <f>IFERROR(__xludf.DUMMYFUNCTION("""COMPUTED_VALUE"""),"Poconos")</f>
        <v>Poconos</v>
      </c>
      <c r="C830" t="str">
        <f>IFERROR(__xludf.DUMMYFUNCTION("""COMPUTED_VALUE"""),"PA")</f>
        <v>PA</v>
      </c>
      <c r="D830" t="str">
        <f>IFERROR(__xludf.DUMMYFUNCTION("""COMPUTED_VALUE"""),"USA")</f>
        <v>USA</v>
      </c>
      <c r="E830" s="188">
        <f>IFERROR(__xludf.DUMMYFUNCTION("""COMPUTED_VALUE"""),43279.0)</f>
        <v>43279</v>
      </c>
      <c r="F830" s="188">
        <f>IFERROR(__xludf.DUMMYFUNCTION("""COMPUTED_VALUE"""),43353.0)</f>
        <v>43353</v>
      </c>
      <c r="H830">
        <f>IFERROR(__xludf.DUMMYFUNCTION("""COMPUTED_VALUE"""),64555.0)</f>
        <v>64555</v>
      </c>
      <c r="I830" t="str">
        <f>IFERROR(__xludf.DUMMYFUNCTION("""COMPUTED_VALUE"""),"08/18")</f>
        <v>08/18</v>
      </c>
      <c r="J830" s="5">
        <f>IFERROR(__xludf.DUMMYFUNCTION("""COMPUTED_VALUE"""),43365.0)</f>
        <v>43365</v>
      </c>
      <c r="K830">
        <f>IFERROR(__xludf.DUMMYFUNCTION("""COMPUTED_VALUE"""),74.0)</f>
        <v>74</v>
      </c>
      <c r="L830">
        <f>IFERROR(__xludf.DUMMYFUNCTION("""COMPUTED_VALUE"""),12.0)</f>
        <v>12</v>
      </c>
      <c r="M830">
        <f>IFERROR(__xludf.DUMMYFUNCTION("""COMPUTED_VALUE"""),86.0)</f>
        <v>86</v>
      </c>
      <c r="N830" t="str">
        <f>IFERROR(__xludf.DUMMYFUNCTION("""COMPUTED_VALUE"""),"Model 3 LR AWD")</f>
        <v>Model 3 LR AWD</v>
      </c>
      <c r="O830" t="str">
        <f>IFERROR(__xludf.DUMMYFUNCTION("""COMPUTED_VALUE"""),"Silver Metallic")</f>
        <v>Silver Metallic</v>
      </c>
      <c r="P830" t="str">
        <f>IFERROR(__xludf.DUMMYFUNCTION("""COMPUTED_VALUE"""),"18 inch Aero")</f>
        <v>18 inch Aero</v>
      </c>
      <c r="Q830" t="str">
        <f>IFERROR(__xludf.DUMMYFUNCTION("""COMPUTED_VALUE"""),"Black seats")</f>
        <v>Black seats</v>
      </c>
      <c r="R830" t="str">
        <f>IFERROR(__xludf.DUMMYFUNCTION("""COMPUTED_VALUE"""),"Full Self-Driving")</f>
        <v>Full Self-Driving</v>
      </c>
      <c r="X830" t="str">
        <f>IFERROR(__xludf.DUMMYFUNCTION("""COMPUTED_VALUE"""),"Excellent")</f>
        <v>Excellent</v>
      </c>
      <c r="Y830" t="str">
        <f>IFERROR(__xludf.DUMMYFUNCTION("""COMPUTED_VALUE"""),"Excellent")</f>
        <v>Excellent</v>
      </c>
      <c r="Z830" t="str">
        <f>IFERROR(__xludf.DUMMYFUNCTION("""COMPUTED_VALUE"""),"Excellent")</f>
        <v>Excellent</v>
      </c>
      <c r="AA830" t="str">
        <f>IFERROR(__xludf.DUMMYFUNCTION("""COMPUTED_VALUE"""),"Fair")</f>
        <v>Fair</v>
      </c>
      <c r="AB830" t="str">
        <f>IFERROR(__xludf.DUMMYFUNCTION("""COMPUTED_VALUE"""),"Very Good")</f>
        <v>Very Good</v>
      </c>
      <c r="AH830" s="189">
        <f>IFERROR(__xludf.DUMMYFUNCTION("""COMPUTED_VALUE"""),43368.426500393514)</f>
        <v>43368.4265</v>
      </c>
    </row>
    <row r="831">
      <c r="A831" t="str">
        <f>IFERROR(__xludf.DUMMYFUNCTION("""COMPUTED_VALUE"""),"patrikkjonsson")</f>
        <v>patrikkjonsson</v>
      </c>
      <c r="B831">
        <f>IFERROR(__xludf.DUMMYFUNCTION("""COMPUTED_VALUE"""),95139.0)</f>
        <v>95139</v>
      </c>
      <c r="C831" t="str">
        <f>IFERROR(__xludf.DUMMYFUNCTION("""COMPUTED_VALUE"""),"CA")</f>
        <v>CA</v>
      </c>
      <c r="D831" t="str">
        <f>IFERROR(__xludf.DUMMYFUNCTION("""COMPUTED_VALUE"""),"USA")</f>
        <v>USA</v>
      </c>
      <c r="E831" s="188">
        <f>IFERROR(__xludf.DUMMYFUNCTION("""COMPUTED_VALUE"""),43285.0)</f>
        <v>43285</v>
      </c>
      <c r="H831">
        <f>IFERROR(__xludf.DUMMYFUNCTION("""COMPUTED_VALUE"""),65607.0)</f>
        <v>65607</v>
      </c>
      <c r="J831" s="5">
        <f>IFERROR(__xludf.DUMMYFUNCTION("""COMPUTED_VALUE"""),43367.0)</f>
        <v>43367</v>
      </c>
      <c r="M831">
        <f>IFERROR(__xludf.DUMMYFUNCTION("""COMPUTED_VALUE"""),82.0)</f>
        <v>82</v>
      </c>
      <c r="N831" t="str">
        <f>IFERROR(__xludf.DUMMYFUNCTION("""COMPUTED_VALUE"""),"Model 3 LR AWD")</f>
        <v>Model 3 LR AWD</v>
      </c>
      <c r="O831" t="str">
        <f>IFERROR(__xludf.DUMMYFUNCTION("""COMPUTED_VALUE"""),"Red Multi-Coat")</f>
        <v>Red Multi-Coat</v>
      </c>
      <c r="P831" t="str">
        <f>IFERROR(__xludf.DUMMYFUNCTION("""COMPUTED_VALUE"""),"19 inch Sport")</f>
        <v>19 inch Sport</v>
      </c>
      <c r="Q831" t="str">
        <f>IFERROR(__xludf.DUMMYFUNCTION("""COMPUTED_VALUE"""),"Black seats")</f>
        <v>Black seats</v>
      </c>
      <c r="R831" t="str">
        <f>IFERROR(__xludf.DUMMYFUNCTION("""COMPUTED_VALUE"""),"Full Self-Driving")</f>
        <v>Full Self-Driving</v>
      </c>
      <c r="X831" t="str">
        <f>IFERROR(__xludf.DUMMYFUNCTION("""COMPUTED_VALUE"""),"Excellent")</f>
        <v>Excellent</v>
      </c>
      <c r="Y831" t="str">
        <f>IFERROR(__xludf.DUMMYFUNCTION("""COMPUTED_VALUE"""),"Excellent")</f>
        <v>Excellent</v>
      </c>
      <c r="Z831" t="str">
        <f>IFERROR(__xludf.DUMMYFUNCTION("""COMPUTED_VALUE"""),"Excellent")</f>
        <v>Excellent</v>
      </c>
      <c r="AA831" t="str">
        <f>IFERROR(__xludf.DUMMYFUNCTION("""COMPUTED_VALUE"""),"Excellent")</f>
        <v>Excellent</v>
      </c>
      <c r="AB831" t="str">
        <f>IFERROR(__xludf.DUMMYFUNCTION("""COMPUTED_VALUE"""),"Excellent")</f>
        <v>Excellent</v>
      </c>
      <c r="AH831" s="189">
        <f>IFERROR(__xludf.DUMMYFUNCTION("""COMPUTED_VALUE"""),43368.49099508102)</f>
        <v>43368.491</v>
      </c>
    </row>
    <row r="832">
      <c r="A832" t="str">
        <f>IFERROR(__xludf.DUMMYFUNCTION("""COMPUTED_VALUE"""),"Thistledown")</f>
        <v>Thistledown</v>
      </c>
      <c r="B832" t="str">
        <f>IFERROR(__xludf.DUMMYFUNCTION("""COMPUTED_VALUE"""),"Austin")</f>
        <v>Austin</v>
      </c>
      <c r="C832" t="str">
        <f>IFERROR(__xludf.DUMMYFUNCTION("""COMPUTED_VALUE"""),"TX")</f>
        <v>TX</v>
      </c>
      <c r="D832" t="str">
        <f>IFERROR(__xludf.DUMMYFUNCTION("""COMPUTED_VALUE"""),"USA")</f>
        <v>USA</v>
      </c>
      <c r="E832" s="188">
        <f>IFERROR(__xludf.DUMMYFUNCTION("""COMPUTED_VALUE"""),43293.0)</f>
        <v>43293</v>
      </c>
      <c r="F832" s="188">
        <f>IFERROR(__xludf.DUMMYFUNCTION("""COMPUTED_VALUE"""),43345.0)</f>
        <v>43345</v>
      </c>
      <c r="H832">
        <f>IFERROR(__xludf.DUMMYFUNCTION("""COMPUTED_VALUE"""),99555.0)</f>
        <v>99555</v>
      </c>
      <c r="I832" t="str">
        <f>IFERROR(__xludf.DUMMYFUNCTION("""COMPUTED_VALUE"""),"08/18")</f>
        <v>08/18</v>
      </c>
      <c r="J832" s="5">
        <f>IFERROR(__xludf.DUMMYFUNCTION("""COMPUTED_VALUE"""),43368.0)</f>
        <v>43368</v>
      </c>
      <c r="K832">
        <f>IFERROR(__xludf.DUMMYFUNCTION("""COMPUTED_VALUE"""),52.0)</f>
        <v>52</v>
      </c>
      <c r="L832">
        <f>IFERROR(__xludf.DUMMYFUNCTION("""COMPUTED_VALUE"""),23.0)</f>
        <v>23</v>
      </c>
      <c r="M832">
        <f>IFERROR(__xludf.DUMMYFUNCTION("""COMPUTED_VALUE"""),75.0)</f>
        <v>75</v>
      </c>
      <c r="N832" t="str">
        <f>IFERROR(__xludf.DUMMYFUNCTION("""COMPUTED_VALUE"""),"Model 3 Performance")</f>
        <v>Model 3 Performance</v>
      </c>
      <c r="O832" t="str">
        <f>IFERROR(__xludf.DUMMYFUNCTION("""COMPUTED_VALUE"""),"Red Multi-Coat")</f>
        <v>Red Multi-Coat</v>
      </c>
      <c r="P832" t="str">
        <f>IFERROR(__xludf.DUMMYFUNCTION("""COMPUTED_VALUE"""),"18 inch Aero")</f>
        <v>18 inch Aero</v>
      </c>
      <c r="Q832" t="str">
        <f>IFERROR(__xludf.DUMMYFUNCTION("""COMPUTED_VALUE"""),"White seats")</f>
        <v>White seats</v>
      </c>
      <c r="R832" t="str">
        <f>IFERROR(__xludf.DUMMYFUNCTION("""COMPUTED_VALUE"""),"Enhanced Autopilot")</f>
        <v>Enhanced Autopilot</v>
      </c>
      <c r="X832" t="str">
        <f>IFERROR(__xludf.DUMMYFUNCTION("""COMPUTED_VALUE"""),"Excellent")</f>
        <v>Excellent</v>
      </c>
      <c r="Y832" t="str">
        <f>IFERROR(__xludf.DUMMYFUNCTION("""COMPUTED_VALUE"""),"Excellent")</f>
        <v>Excellent</v>
      </c>
      <c r="Z832" t="str">
        <f>IFERROR(__xludf.DUMMYFUNCTION("""COMPUTED_VALUE"""),"Excellent")</f>
        <v>Excellent</v>
      </c>
      <c r="AA832" t="str">
        <f>IFERROR(__xludf.DUMMYFUNCTION("""COMPUTED_VALUE"""),"Excellent")</f>
        <v>Excellent</v>
      </c>
      <c r="AB832" t="str">
        <f>IFERROR(__xludf.DUMMYFUNCTION("""COMPUTED_VALUE"""),"Very Good")</f>
        <v>Very Good</v>
      </c>
      <c r="AH832" s="189">
        <f>IFERROR(__xludf.DUMMYFUNCTION("""COMPUTED_VALUE"""),43368.50529585648)</f>
        <v>43368.5053</v>
      </c>
    </row>
    <row r="833">
      <c r="A833" t="str">
        <f>IFERROR(__xludf.DUMMYFUNCTION("""COMPUTED_VALUE"""),"lairdb")</f>
        <v>lairdb</v>
      </c>
      <c r="C833" t="str">
        <f>IFERROR(__xludf.DUMMYFUNCTION("""COMPUTED_VALUE"""),"CA")</f>
        <v>CA</v>
      </c>
      <c r="D833" t="str">
        <f>IFERROR(__xludf.DUMMYFUNCTION("""COMPUTED_VALUE"""),"USA")</f>
        <v>USA</v>
      </c>
      <c r="E833" s="188">
        <f>IFERROR(__xludf.DUMMYFUNCTION("""COMPUTED_VALUE"""),43277.0)</f>
        <v>43277</v>
      </c>
      <c r="F833" s="188">
        <f>IFERROR(__xludf.DUMMYFUNCTION("""COMPUTED_VALUE"""),43361.0)</f>
        <v>43361</v>
      </c>
      <c r="H833">
        <f>IFERROR(__xludf.DUMMYFUNCTION("""COMPUTED_VALUE"""),63155.0)</f>
        <v>63155</v>
      </c>
      <c r="J833" s="5">
        <f>IFERROR(__xludf.DUMMYFUNCTION("""COMPUTED_VALUE"""),43370.0)</f>
        <v>43370</v>
      </c>
      <c r="K833">
        <f>IFERROR(__xludf.DUMMYFUNCTION("""COMPUTED_VALUE"""),84.0)</f>
        <v>84</v>
      </c>
      <c r="L833">
        <f>IFERROR(__xludf.DUMMYFUNCTION("""COMPUTED_VALUE"""),9.0)</f>
        <v>9</v>
      </c>
      <c r="M833">
        <f>IFERROR(__xludf.DUMMYFUNCTION("""COMPUTED_VALUE"""),93.0)</f>
        <v>93</v>
      </c>
      <c r="N833" t="str">
        <f>IFERROR(__xludf.DUMMYFUNCTION("""COMPUTED_VALUE"""),"Model 3 Performance")</f>
        <v>Model 3 Performance</v>
      </c>
      <c r="O833" t="str">
        <f>IFERROR(__xludf.DUMMYFUNCTION("""COMPUTED_VALUE"""),"Red Multi-Coat")</f>
        <v>Red Multi-Coat</v>
      </c>
      <c r="P833" t="str">
        <f>IFERROR(__xludf.DUMMYFUNCTION("""COMPUTED_VALUE"""),"20 inch Sport")</f>
        <v>20 inch Sport</v>
      </c>
      <c r="Q833" t="str">
        <f>IFERROR(__xludf.DUMMYFUNCTION("""COMPUTED_VALUE"""),"Black seats")</f>
        <v>Black seats</v>
      </c>
      <c r="R833" t="str">
        <f>IFERROR(__xludf.DUMMYFUNCTION("""COMPUTED_VALUE"""),"Enhanced Autopilot")</f>
        <v>Enhanced Autopilot</v>
      </c>
      <c r="X833" t="str">
        <f>IFERROR(__xludf.DUMMYFUNCTION("""COMPUTED_VALUE"""),"Good")</f>
        <v>Good</v>
      </c>
      <c r="Y833" t="str">
        <f>IFERROR(__xludf.DUMMYFUNCTION("""COMPUTED_VALUE"""),"Excellent")</f>
        <v>Excellent</v>
      </c>
      <c r="Z833" t="str">
        <f>IFERROR(__xludf.DUMMYFUNCTION("""COMPUTED_VALUE"""),"Excellent")</f>
        <v>Excellent</v>
      </c>
      <c r="AB833" t="str">
        <f>IFERROR(__xludf.DUMMYFUNCTION("""COMPUTED_VALUE"""),"Fair")</f>
        <v>Fair</v>
      </c>
      <c r="AH833" s="189">
        <f>IFERROR(__xludf.DUMMYFUNCTION("""COMPUTED_VALUE"""),43368.5376133449)</f>
        <v>43368.53761</v>
      </c>
    </row>
    <row r="834">
      <c r="A834" t="str">
        <f>IFERROR(__xludf.DUMMYFUNCTION("""COMPUTED_VALUE"""),"mattk926")</f>
        <v>mattk926</v>
      </c>
      <c r="C834" t="str">
        <f>IFERROR(__xludf.DUMMYFUNCTION("""COMPUTED_VALUE"""),"WI")</f>
        <v>WI</v>
      </c>
      <c r="D834" t="str">
        <f>IFERROR(__xludf.DUMMYFUNCTION("""COMPUTED_VALUE"""),"USA")</f>
        <v>USA</v>
      </c>
      <c r="E834" s="188">
        <f>IFERROR(__xludf.DUMMYFUNCTION("""COMPUTED_VALUE"""),43278.0)</f>
        <v>43278</v>
      </c>
      <c r="F834" s="188">
        <f>IFERROR(__xludf.DUMMYFUNCTION("""COMPUTED_VALUE"""),43339.0)</f>
        <v>43339</v>
      </c>
      <c r="H834" s="4">
        <f>IFERROR(__xludf.DUMMYFUNCTION("""COMPUTED_VALUE"""),64894.0)</f>
        <v>64894</v>
      </c>
      <c r="I834" t="str">
        <f>IFERROR(__xludf.DUMMYFUNCTION("""COMPUTED_VALUE"""),"08/18")</f>
        <v>08/18</v>
      </c>
      <c r="J834" s="5">
        <f>IFERROR(__xludf.DUMMYFUNCTION("""COMPUTED_VALUE"""),43357.0)</f>
        <v>43357</v>
      </c>
      <c r="K834">
        <f>IFERROR(__xludf.DUMMYFUNCTION("""COMPUTED_VALUE"""),61.0)</f>
        <v>61</v>
      </c>
      <c r="L834">
        <f>IFERROR(__xludf.DUMMYFUNCTION("""COMPUTED_VALUE"""),18.0)</f>
        <v>18</v>
      </c>
      <c r="M834">
        <f>IFERROR(__xludf.DUMMYFUNCTION("""COMPUTED_VALUE"""),79.0)</f>
        <v>79</v>
      </c>
      <c r="N834" t="str">
        <f>IFERROR(__xludf.DUMMYFUNCTION("""COMPUTED_VALUE"""),"Model 3 LR AWD")</f>
        <v>Model 3 LR AWD</v>
      </c>
      <c r="O834" t="str">
        <f>IFERROR(__xludf.DUMMYFUNCTION("""COMPUTED_VALUE"""),"Deep Blue Metallic")</f>
        <v>Deep Blue Metallic</v>
      </c>
      <c r="P834" t="str">
        <f>IFERROR(__xludf.DUMMYFUNCTION("""COMPUTED_VALUE"""),"18 inch Aero")</f>
        <v>18 inch Aero</v>
      </c>
      <c r="Q834" t="str">
        <f>IFERROR(__xludf.DUMMYFUNCTION("""COMPUTED_VALUE"""),"Black seats")</f>
        <v>Black seats</v>
      </c>
      <c r="R834" t="str">
        <f>IFERROR(__xludf.DUMMYFUNCTION("""COMPUTED_VALUE"""),"Full Self-Driving")</f>
        <v>Full Self-Driving</v>
      </c>
      <c r="X834" t="str">
        <f>IFERROR(__xludf.DUMMYFUNCTION("""COMPUTED_VALUE"""),"Fair")</f>
        <v>Fair</v>
      </c>
      <c r="Y834" t="str">
        <f>IFERROR(__xludf.DUMMYFUNCTION("""COMPUTED_VALUE"""),"Very Good")</f>
        <v>Very Good</v>
      </c>
      <c r="Z834" t="str">
        <f>IFERROR(__xludf.DUMMYFUNCTION("""COMPUTED_VALUE"""),"Fair")</f>
        <v>Fair</v>
      </c>
      <c r="AA834" t="str">
        <f>IFERROR(__xludf.DUMMYFUNCTION("""COMPUTED_VALUE"""),"Excellent")</f>
        <v>Excellent</v>
      </c>
      <c r="AB834" t="str">
        <f>IFERROR(__xludf.DUMMYFUNCTION("""COMPUTED_VALUE"""),"Fair")</f>
        <v>Fair</v>
      </c>
      <c r="AC834">
        <f>IFERROR(__xludf.DUMMYFUNCTION("""COMPUTED_VALUE"""),4.0)</f>
        <v>4</v>
      </c>
      <c r="AD834">
        <f>IFERROR(__xludf.DUMMYFUNCTION("""COMPUTED_VALUE"""),0.0)</f>
        <v>0</v>
      </c>
      <c r="AE834">
        <f>IFERROR(__xludf.DUMMYFUNCTION("""COMPUTED_VALUE"""),0.0)</f>
        <v>0</v>
      </c>
      <c r="AG834" t="str">
        <f>IFERROR(__xludf.DUMMYFUNCTION("""COMPUTED_VALUE"""),"Damaged door card on delivery, poor frunk to fender/bumper gaps inconsistent. tiny ding on driver a pillar. light scratches in drivers side doors. adhesive on wood grain dash. Driver seat side-bolster foam missing/crumpled. Microphone doesnt work well at "&amp;"speed. Delivery was 45 minutes behind schedule and took much longer than expected due to scratches that needed to be detailed and the door card replacement.")</f>
        <v>Damaged door card on delivery, poor frunk to fender/bumper gaps inconsistent. tiny ding on driver a pillar. light scratches in drivers side doors. adhesive on wood grain dash. Driver seat side-bolster foam missing/crumpled. Microphone doesnt work well at speed. Delivery was 45 minutes behind schedule and took much longer than expected due to scratches that needed to be detailed and the door card replacement.</v>
      </c>
      <c r="AH834" s="189">
        <f>IFERROR(__xludf.DUMMYFUNCTION("""COMPUTED_VALUE"""),43368.540293611106)</f>
        <v>43368.54029</v>
      </c>
    </row>
    <row r="835">
      <c r="A835" t="str">
        <f>IFERROR(__xludf.DUMMYFUNCTION("""COMPUTED_VALUE"""),"mookie33")</f>
        <v>mookie33</v>
      </c>
      <c r="B835" t="str">
        <f>IFERROR(__xludf.DUMMYFUNCTION("""COMPUTED_VALUE"""),"Niskayuna")</f>
        <v>Niskayuna</v>
      </c>
      <c r="C835" t="str">
        <f>IFERROR(__xludf.DUMMYFUNCTION("""COMPUTED_VALUE"""),"NY")</f>
        <v>NY</v>
      </c>
      <c r="D835" t="str">
        <f>IFERROR(__xludf.DUMMYFUNCTION("""COMPUTED_VALUE"""),"USA")</f>
        <v>USA</v>
      </c>
      <c r="E835" s="188">
        <f>IFERROR(__xludf.DUMMYFUNCTION("""COMPUTED_VALUE"""),43278.0)</f>
        <v>43278</v>
      </c>
      <c r="F835" s="188">
        <f>IFERROR(__xludf.DUMMYFUNCTION("""COMPUTED_VALUE"""),43357.0)</f>
        <v>43357</v>
      </c>
      <c r="H835">
        <f>IFERROR(__xludf.DUMMYFUNCTION("""COMPUTED_VALUE"""),103655.0)</f>
        <v>103655</v>
      </c>
      <c r="I835" t="str">
        <f>IFERROR(__xludf.DUMMYFUNCTION("""COMPUTED_VALUE"""),"09/18")</f>
        <v>09/18</v>
      </c>
      <c r="J835" s="5">
        <f>IFERROR(__xludf.DUMMYFUNCTION("""COMPUTED_VALUE"""),43368.0)</f>
        <v>43368</v>
      </c>
      <c r="K835">
        <f>IFERROR(__xludf.DUMMYFUNCTION("""COMPUTED_VALUE"""),79.0)</f>
        <v>79</v>
      </c>
      <c r="L835">
        <f>IFERROR(__xludf.DUMMYFUNCTION("""COMPUTED_VALUE"""),11.0)</f>
        <v>11</v>
      </c>
      <c r="M835">
        <f>IFERROR(__xludf.DUMMYFUNCTION("""COMPUTED_VALUE"""),90.0)</f>
        <v>90</v>
      </c>
      <c r="N835" t="str">
        <f>IFERROR(__xludf.DUMMYFUNCTION("""COMPUTED_VALUE"""),"Model 3 LR AWD")</f>
        <v>Model 3 LR AWD</v>
      </c>
      <c r="O835" t="str">
        <f>IFERROR(__xludf.DUMMYFUNCTION("""COMPUTED_VALUE"""),"Midnight Silver Metallic")</f>
        <v>Midnight Silver Metallic</v>
      </c>
      <c r="P835" t="str">
        <f>IFERROR(__xludf.DUMMYFUNCTION("""COMPUTED_VALUE"""),"18 inch Aero")</f>
        <v>18 inch Aero</v>
      </c>
      <c r="Q835" t="str">
        <f>IFERROR(__xludf.DUMMYFUNCTION("""COMPUTED_VALUE"""),"Black seats")</f>
        <v>Black seats</v>
      </c>
      <c r="R835" t="str">
        <f>IFERROR(__xludf.DUMMYFUNCTION("""COMPUTED_VALUE"""),"Enhanced Autopilot")</f>
        <v>Enhanced Autopilot</v>
      </c>
      <c r="X835" t="str">
        <f>IFERROR(__xludf.DUMMYFUNCTION("""COMPUTED_VALUE"""),"Very Good")</f>
        <v>Very Good</v>
      </c>
      <c r="Y835" t="str">
        <f>IFERROR(__xludf.DUMMYFUNCTION("""COMPUTED_VALUE"""),"Excellent")</f>
        <v>Excellent</v>
      </c>
      <c r="Z835" t="str">
        <f>IFERROR(__xludf.DUMMYFUNCTION("""COMPUTED_VALUE"""),"Excellent")</f>
        <v>Excellent</v>
      </c>
      <c r="AA835" t="str">
        <f>IFERROR(__xludf.DUMMYFUNCTION("""COMPUTED_VALUE"""),"Excellent")</f>
        <v>Excellent</v>
      </c>
      <c r="AB835" t="str">
        <f>IFERROR(__xludf.DUMMYFUNCTION("""COMPUTED_VALUE"""),"Good")</f>
        <v>Good</v>
      </c>
      <c r="AH835" s="189">
        <f>IFERROR(__xludf.DUMMYFUNCTION("""COMPUTED_VALUE"""),43368.57004135416)</f>
        <v>43368.57004</v>
      </c>
    </row>
    <row r="836">
      <c r="A836" t="str">
        <f>IFERROR(__xludf.DUMMYFUNCTION("""COMPUTED_VALUE"""),"deadward2")</f>
        <v>deadward2</v>
      </c>
      <c r="B836" t="str">
        <f>IFERROR(__xludf.DUMMYFUNCTION("""COMPUTED_VALUE"""),"Los Angeles")</f>
        <v>Los Angeles</v>
      </c>
      <c r="C836" t="str">
        <f>IFERROR(__xludf.DUMMYFUNCTION("""COMPUTED_VALUE"""),"CA")</f>
        <v>CA</v>
      </c>
      <c r="D836" t="str">
        <f>IFERROR(__xludf.DUMMYFUNCTION("""COMPUTED_VALUE"""),"USA")</f>
        <v>USA</v>
      </c>
      <c r="E836" s="188">
        <f>IFERROR(__xludf.DUMMYFUNCTION("""COMPUTED_VALUE"""),43318.0)</f>
        <v>43318</v>
      </c>
      <c r="F836" s="188">
        <f>IFERROR(__xludf.DUMMYFUNCTION("""COMPUTED_VALUE"""),43368.0)</f>
        <v>43368</v>
      </c>
      <c r="H836">
        <f>IFERROR(__xludf.DUMMYFUNCTION("""COMPUTED_VALUE"""),44955.0)</f>
        <v>44955</v>
      </c>
      <c r="J836" s="5">
        <f>IFERROR(__xludf.DUMMYFUNCTION("""COMPUTED_VALUE"""),43371.0)</f>
        <v>43371</v>
      </c>
      <c r="K836">
        <f>IFERROR(__xludf.DUMMYFUNCTION("""COMPUTED_VALUE"""),50.0)</f>
        <v>50</v>
      </c>
      <c r="L836">
        <f>IFERROR(__xludf.DUMMYFUNCTION("""COMPUTED_VALUE"""),3.0)</f>
        <v>3</v>
      </c>
      <c r="M836">
        <f>IFERROR(__xludf.DUMMYFUNCTION("""COMPUTED_VALUE"""),53.0)</f>
        <v>53</v>
      </c>
      <c r="N836" t="str">
        <f>IFERROR(__xludf.DUMMYFUNCTION("""COMPUTED_VALUE"""),"Model 3 LR")</f>
        <v>Model 3 LR</v>
      </c>
      <c r="O836" t="str">
        <f>IFERROR(__xludf.DUMMYFUNCTION("""COMPUTED_VALUE"""),"Deep Blue Metallic")</f>
        <v>Deep Blue Metallic</v>
      </c>
      <c r="P836" t="str">
        <f>IFERROR(__xludf.DUMMYFUNCTION("""COMPUTED_VALUE"""),"18 inch Aero")</f>
        <v>18 inch Aero</v>
      </c>
      <c r="Q836" t="str">
        <f>IFERROR(__xludf.DUMMYFUNCTION("""COMPUTED_VALUE"""),"Black seats")</f>
        <v>Black seats</v>
      </c>
      <c r="R836" t="str">
        <f>IFERROR(__xludf.DUMMYFUNCTION("""COMPUTED_VALUE"""),"None")</f>
        <v>None</v>
      </c>
      <c r="AA836" t="str">
        <f>IFERROR(__xludf.DUMMYFUNCTION("""COMPUTED_VALUE"""),"Poor")</f>
        <v>Poor</v>
      </c>
      <c r="AG836" t="str">
        <f>IFERROR(__xludf.DUMMYFUNCTION("""COMPUTED_VALUE"""),"Backend issue prevented delivery from being scheduled. It took me 2+ weeks of calls, emails, and visits to be scheduled.")</f>
        <v>Backend issue prevented delivery from being scheduled. It took me 2+ weeks of calls, emails, and visits to be scheduled.</v>
      </c>
      <c r="AH836" s="189">
        <f>IFERROR(__xludf.DUMMYFUNCTION("""COMPUTED_VALUE"""),43368.66945390047)</f>
        <v>43368.66945</v>
      </c>
    </row>
    <row r="837">
      <c r="A837" t="str">
        <f>IFERROR(__xludf.DUMMYFUNCTION("""COMPUTED_VALUE"""),"skegar")</f>
        <v>skegar</v>
      </c>
      <c r="B837" t="str">
        <f>IFERROR(__xludf.DUMMYFUNCTION("""COMPUTED_VALUE"""),"San Diego")</f>
        <v>San Diego</v>
      </c>
      <c r="C837" t="str">
        <f>IFERROR(__xludf.DUMMYFUNCTION("""COMPUTED_VALUE"""),"CA")</f>
        <v>CA</v>
      </c>
      <c r="D837" t="str">
        <f>IFERROR(__xludf.DUMMYFUNCTION("""COMPUTED_VALUE"""),"USA")</f>
        <v>USA</v>
      </c>
      <c r="E837" s="188">
        <f>IFERROR(__xludf.DUMMYFUNCTION("""COMPUTED_VALUE"""),43279.0)</f>
        <v>43279</v>
      </c>
      <c r="F837" s="188">
        <f>IFERROR(__xludf.DUMMYFUNCTION("""COMPUTED_VALUE"""),43364.0)</f>
        <v>43364</v>
      </c>
      <c r="H837">
        <f>IFERROR(__xludf.DUMMYFUNCTION("""COMPUTED_VALUE"""),75355.0)</f>
        <v>75355</v>
      </c>
      <c r="J837" s="5">
        <f>IFERROR(__xludf.DUMMYFUNCTION("""COMPUTED_VALUE"""),43365.0)</f>
        <v>43365</v>
      </c>
      <c r="K837">
        <f>IFERROR(__xludf.DUMMYFUNCTION("""COMPUTED_VALUE"""),85.0)</f>
        <v>85</v>
      </c>
      <c r="L837">
        <f>IFERROR(__xludf.DUMMYFUNCTION("""COMPUTED_VALUE"""),1.0)</f>
        <v>1</v>
      </c>
      <c r="M837">
        <f>IFERROR(__xludf.DUMMYFUNCTION("""COMPUTED_VALUE"""),86.0)</f>
        <v>86</v>
      </c>
      <c r="N837" t="str">
        <f>IFERROR(__xludf.DUMMYFUNCTION("""COMPUTED_VALUE"""),"Model 3 Performance")</f>
        <v>Model 3 Performance</v>
      </c>
      <c r="O837" t="str">
        <f>IFERROR(__xludf.DUMMYFUNCTION("""COMPUTED_VALUE"""),"Red Multi-Coat")</f>
        <v>Red Multi-Coat</v>
      </c>
      <c r="P837" t="str">
        <f>IFERROR(__xludf.DUMMYFUNCTION("""COMPUTED_VALUE"""),"20 inch Sport")</f>
        <v>20 inch Sport</v>
      </c>
      <c r="Q837" t="str">
        <f>IFERROR(__xludf.DUMMYFUNCTION("""COMPUTED_VALUE"""),"Black seats")</f>
        <v>Black seats</v>
      </c>
      <c r="R837" t="str">
        <f>IFERROR(__xludf.DUMMYFUNCTION("""COMPUTED_VALUE"""),"None")</f>
        <v>None</v>
      </c>
      <c r="X837" t="str">
        <f>IFERROR(__xludf.DUMMYFUNCTION("""COMPUTED_VALUE"""),"Excellent")</f>
        <v>Excellent</v>
      </c>
      <c r="Y837" t="str">
        <f>IFERROR(__xludf.DUMMYFUNCTION("""COMPUTED_VALUE"""),"Excellent")</f>
        <v>Excellent</v>
      </c>
      <c r="Z837" t="str">
        <f>IFERROR(__xludf.DUMMYFUNCTION("""COMPUTED_VALUE"""),"Excellent")</f>
        <v>Excellent</v>
      </c>
      <c r="AA837" t="str">
        <f>IFERROR(__xludf.DUMMYFUNCTION("""COMPUTED_VALUE"""),"Very Good")</f>
        <v>Very Good</v>
      </c>
      <c r="AB837" t="str">
        <f>IFERROR(__xludf.DUMMYFUNCTION("""COMPUTED_VALUE"""),"Very Good")</f>
        <v>Very Good</v>
      </c>
      <c r="AH837" s="189">
        <f>IFERROR(__xludf.DUMMYFUNCTION("""COMPUTED_VALUE"""),43368.75276743056)</f>
        <v>43368.75277</v>
      </c>
    </row>
    <row r="838">
      <c r="A838" t="str">
        <f>IFERROR(__xludf.DUMMYFUNCTION("""COMPUTED_VALUE"""),"KenDThomp")</f>
        <v>KenDThomp</v>
      </c>
      <c r="B838" t="str">
        <f>IFERROR(__xludf.DUMMYFUNCTION("""COMPUTED_VALUE"""),"Aurora")</f>
        <v>Aurora</v>
      </c>
      <c r="C838" t="str">
        <f>IFERROR(__xludf.DUMMYFUNCTION("""COMPUTED_VALUE"""),"CO")</f>
        <v>CO</v>
      </c>
      <c r="D838" t="str">
        <f>IFERROR(__xludf.DUMMYFUNCTION("""COMPUTED_VALUE"""),"USA")</f>
        <v>USA</v>
      </c>
      <c r="E838" s="188">
        <f>IFERROR(__xludf.DUMMYFUNCTION("""COMPUTED_VALUE"""),43278.0)</f>
        <v>43278</v>
      </c>
      <c r="F838" s="188">
        <f>IFERROR(__xludf.DUMMYFUNCTION("""COMPUTED_VALUE"""),43354.0)</f>
        <v>43354</v>
      </c>
      <c r="H838">
        <f>IFERROR(__xludf.DUMMYFUNCTION("""COMPUTED_VALUE"""),100625.0)</f>
        <v>100625</v>
      </c>
      <c r="J838" s="5">
        <f>IFERROR(__xludf.DUMMYFUNCTION("""COMPUTED_VALUE"""),43361.0)</f>
        <v>43361</v>
      </c>
      <c r="K838">
        <f>IFERROR(__xludf.DUMMYFUNCTION("""COMPUTED_VALUE"""),76.0)</f>
        <v>76</v>
      </c>
      <c r="L838">
        <f>IFERROR(__xludf.DUMMYFUNCTION("""COMPUTED_VALUE"""),7.0)</f>
        <v>7</v>
      </c>
      <c r="M838">
        <f>IFERROR(__xludf.DUMMYFUNCTION("""COMPUTED_VALUE"""),83.0)</f>
        <v>83</v>
      </c>
      <c r="N838" t="str">
        <f>IFERROR(__xludf.DUMMYFUNCTION("""COMPUTED_VALUE"""),"Model 3 LR AWD")</f>
        <v>Model 3 LR AWD</v>
      </c>
      <c r="O838" t="str">
        <f>IFERROR(__xludf.DUMMYFUNCTION("""COMPUTED_VALUE"""),"Red Multi-Coat")</f>
        <v>Red Multi-Coat</v>
      </c>
      <c r="P838" t="str">
        <f>IFERROR(__xludf.DUMMYFUNCTION("""COMPUTED_VALUE"""),"19 inch Sport")</f>
        <v>19 inch Sport</v>
      </c>
      <c r="Q838" t="str">
        <f>IFERROR(__xludf.DUMMYFUNCTION("""COMPUTED_VALUE"""),"White seats")</f>
        <v>White seats</v>
      </c>
      <c r="R838" t="str">
        <f>IFERROR(__xludf.DUMMYFUNCTION("""COMPUTED_VALUE"""),"Enhanced Autopilot")</f>
        <v>Enhanced Autopilot</v>
      </c>
      <c r="X838" t="str">
        <f>IFERROR(__xludf.DUMMYFUNCTION("""COMPUTED_VALUE"""),"Very Good")</f>
        <v>Very Good</v>
      </c>
      <c r="Y838" t="str">
        <f>IFERROR(__xludf.DUMMYFUNCTION("""COMPUTED_VALUE"""),"Very Good")</f>
        <v>Very Good</v>
      </c>
      <c r="Z838" t="str">
        <f>IFERROR(__xludf.DUMMYFUNCTION("""COMPUTED_VALUE"""),"Very Good")</f>
        <v>Very Good</v>
      </c>
      <c r="AA838" t="str">
        <f>IFERROR(__xludf.DUMMYFUNCTION("""COMPUTED_VALUE"""),"Fair")</f>
        <v>Fair</v>
      </c>
      <c r="AB838" t="str">
        <f>IFERROR(__xludf.DUMMYFUNCTION("""COMPUTED_VALUE"""),"Good")</f>
        <v>Good</v>
      </c>
      <c r="AH838" s="189">
        <f>IFERROR(__xludf.DUMMYFUNCTION("""COMPUTED_VALUE"""),43368.761222141206)</f>
        <v>43368.76122</v>
      </c>
    </row>
    <row r="839">
      <c r="A839" t="str">
        <f>IFERROR(__xludf.DUMMYFUNCTION("""COMPUTED_VALUE"""),"stupidlazydog")</f>
        <v>stupidlazydog</v>
      </c>
      <c r="C839" t="str">
        <f>IFERROR(__xludf.DUMMYFUNCTION("""COMPUTED_VALUE"""),"CT")</f>
        <v>CT</v>
      </c>
      <c r="D839" t="str">
        <f>IFERROR(__xludf.DUMMYFUNCTION("""COMPUTED_VALUE"""),"USA")</f>
        <v>USA</v>
      </c>
      <c r="E839" s="188">
        <f>IFERROR(__xludf.DUMMYFUNCTION("""COMPUTED_VALUE"""),43284.0)</f>
        <v>43284</v>
      </c>
      <c r="F839" s="188">
        <f>IFERROR(__xludf.DUMMYFUNCTION("""COMPUTED_VALUE"""),43347.0)</f>
        <v>43347</v>
      </c>
      <c r="H839">
        <f>IFERROR(__xludf.DUMMYFUNCTION("""COMPUTED_VALUE"""),99855.0)</f>
        <v>99855</v>
      </c>
      <c r="I839" t="str">
        <f>IFERROR(__xludf.DUMMYFUNCTION("""COMPUTED_VALUE"""),"08/18")</f>
        <v>08/18</v>
      </c>
      <c r="J839" s="5">
        <f>IFERROR(__xludf.DUMMYFUNCTION("""COMPUTED_VALUE"""),43367.0)</f>
        <v>43367</v>
      </c>
      <c r="K839">
        <f>IFERROR(__xludf.DUMMYFUNCTION("""COMPUTED_VALUE"""),63.0)</f>
        <v>63</v>
      </c>
      <c r="L839">
        <f>IFERROR(__xludf.DUMMYFUNCTION("""COMPUTED_VALUE"""),20.0)</f>
        <v>20</v>
      </c>
      <c r="M839">
        <f>IFERROR(__xludf.DUMMYFUNCTION("""COMPUTED_VALUE"""),83.0)</f>
        <v>83</v>
      </c>
      <c r="N839" t="str">
        <f>IFERROR(__xludf.DUMMYFUNCTION("""COMPUTED_VALUE"""),"Model 3 LR AWD")</f>
        <v>Model 3 LR AWD</v>
      </c>
      <c r="O839" t="str">
        <f>IFERROR(__xludf.DUMMYFUNCTION("""COMPUTED_VALUE"""),"Deep Blue Metallic")</f>
        <v>Deep Blue Metallic</v>
      </c>
      <c r="P839" t="str">
        <f>IFERROR(__xludf.DUMMYFUNCTION("""COMPUTED_VALUE"""),"18 inch Aero")</f>
        <v>18 inch Aero</v>
      </c>
      <c r="Q839" t="str">
        <f>IFERROR(__xludf.DUMMYFUNCTION("""COMPUTED_VALUE"""),"White seats")</f>
        <v>White seats</v>
      </c>
      <c r="R839" t="str">
        <f>IFERROR(__xludf.DUMMYFUNCTION("""COMPUTED_VALUE"""),"None")</f>
        <v>None</v>
      </c>
      <c r="X839" t="str">
        <f>IFERROR(__xludf.DUMMYFUNCTION("""COMPUTED_VALUE"""),"Very Good")</f>
        <v>Very Good</v>
      </c>
      <c r="Y839" t="str">
        <f>IFERROR(__xludf.DUMMYFUNCTION("""COMPUTED_VALUE"""),"Excellent")</f>
        <v>Excellent</v>
      </c>
      <c r="Z839" t="str">
        <f>IFERROR(__xludf.DUMMYFUNCTION("""COMPUTED_VALUE"""),"Good")</f>
        <v>Good</v>
      </c>
      <c r="AA839" t="str">
        <f>IFERROR(__xludf.DUMMYFUNCTION("""COMPUTED_VALUE"""),"Very Good")</f>
        <v>Very Good</v>
      </c>
      <c r="AB839" t="str">
        <f>IFERROR(__xludf.DUMMYFUNCTION("""COMPUTED_VALUE"""),"Very Good")</f>
        <v>Very Good</v>
      </c>
      <c r="AC839">
        <f>IFERROR(__xludf.DUMMYFUNCTION("""COMPUTED_VALUE"""),1.0)</f>
        <v>1</v>
      </c>
      <c r="AH839" s="189">
        <f>IFERROR(__xludf.DUMMYFUNCTION("""COMPUTED_VALUE"""),43368.77721340278)</f>
        <v>43368.77721</v>
      </c>
    </row>
    <row r="840">
      <c r="A840" t="str">
        <f>IFERROR(__xludf.DUMMYFUNCTION("""COMPUTED_VALUE"""),"jaman77")</f>
        <v>jaman77</v>
      </c>
      <c r="B840" t="str">
        <f>IFERROR(__xludf.DUMMYFUNCTION("""COMPUTED_VALUE"""),"Denver")</f>
        <v>Denver</v>
      </c>
      <c r="C840" t="str">
        <f>IFERROR(__xludf.DUMMYFUNCTION("""COMPUTED_VALUE"""),"CO")</f>
        <v>CO</v>
      </c>
      <c r="D840" t="str">
        <f>IFERROR(__xludf.DUMMYFUNCTION("""COMPUTED_VALUE"""),"USA")</f>
        <v>USA</v>
      </c>
      <c r="E840" s="188">
        <f>IFERROR(__xludf.DUMMYFUNCTION("""COMPUTED_VALUE"""),43294.0)</f>
        <v>43294</v>
      </c>
      <c r="F840" s="188">
        <f>IFERROR(__xludf.DUMMYFUNCTION("""COMPUTED_VALUE"""),43364.0)</f>
        <v>43364</v>
      </c>
      <c r="H840">
        <f>IFERROR(__xludf.DUMMYFUNCTION("""COMPUTED_VALUE"""),91555.0)</f>
        <v>91555</v>
      </c>
      <c r="I840" t="str">
        <f>IFERROR(__xludf.DUMMYFUNCTION("""COMPUTED_VALUE"""),"08/18")</f>
        <v>08/18</v>
      </c>
      <c r="J840" s="5">
        <f>IFERROR(__xludf.DUMMYFUNCTION("""COMPUTED_VALUE"""),43368.0)</f>
        <v>43368</v>
      </c>
      <c r="K840">
        <f>IFERROR(__xludf.DUMMYFUNCTION("""COMPUTED_VALUE"""),70.0)</f>
        <v>70</v>
      </c>
      <c r="L840">
        <f>IFERROR(__xludf.DUMMYFUNCTION("""COMPUTED_VALUE"""),4.0)</f>
        <v>4</v>
      </c>
      <c r="M840">
        <f>IFERROR(__xludf.DUMMYFUNCTION("""COMPUTED_VALUE"""),74.0)</f>
        <v>74</v>
      </c>
      <c r="N840" t="str">
        <f>IFERROR(__xludf.DUMMYFUNCTION("""COMPUTED_VALUE"""),"Model 3 LR AWD")</f>
        <v>Model 3 LR AWD</v>
      </c>
      <c r="O840" t="str">
        <f>IFERROR(__xludf.DUMMYFUNCTION("""COMPUTED_VALUE"""),"Red Multi-Coat")</f>
        <v>Red Multi-Coat</v>
      </c>
      <c r="P840" t="str">
        <f>IFERROR(__xludf.DUMMYFUNCTION("""COMPUTED_VALUE"""),"19 inch Sport")</f>
        <v>19 inch Sport</v>
      </c>
      <c r="Q840" t="str">
        <f>IFERROR(__xludf.DUMMYFUNCTION("""COMPUTED_VALUE"""),"Black seats")</f>
        <v>Black seats</v>
      </c>
      <c r="R840" t="str">
        <f>IFERROR(__xludf.DUMMYFUNCTION("""COMPUTED_VALUE"""),"Enhanced Autopilot")</f>
        <v>Enhanced Autopilot</v>
      </c>
      <c r="X840" t="str">
        <f>IFERROR(__xludf.DUMMYFUNCTION("""COMPUTED_VALUE"""),"Excellent")</f>
        <v>Excellent</v>
      </c>
      <c r="Y840" t="str">
        <f>IFERROR(__xludf.DUMMYFUNCTION("""COMPUTED_VALUE"""),"Excellent")</f>
        <v>Excellent</v>
      </c>
      <c r="Z840" t="str">
        <f>IFERROR(__xludf.DUMMYFUNCTION("""COMPUTED_VALUE"""),"Excellent")</f>
        <v>Excellent</v>
      </c>
      <c r="AA840" t="str">
        <f>IFERROR(__xludf.DUMMYFUNCTION("""COMPUTED_VALUE"""),"Good")</f>
        <v>Good</v>
      </c>
      <c r="AB840" t="str">
        <f>IFERROR(__xludf.DUMMYFUNCTION("""COMPUTED_VALUE"""),"Excellent")</f>
        <v>Excellent</v>
      </c>
      <c r="AC840">
        <f>IFERROR(__xludf.DUMMYFUNCTION("""COMPUTED_VALUE"""),0.0)</f>
        <v>0</v>
      </c>
      <c r="AE840">
        <f>IFERROR(__xludf.DUMMYFUNCTION("""COMPUTED_VALUE"""),0.0)</f>
        <v>0</v>
      </c>
      <c r="AH840" s="189">
        <f>IFERROR(__xludf.DUMMYFUNCTION("""COMPUTED_VALUE"""),43368.800578124996)</f>
        <v>43368.80058</v>
      </c>
    </row>
    <row r="841">
      <c r="A841" t="str">
        <f>IFERROR(__xludf.DUMMYFUNCTION("""COMPUTED_VALUE"""),"hokiefan")</f>
        <v>hokiefan</v>
      </c>
      <c r="C841" t="str">
        <f>IFERROR(__xludf.DUMMYFUNCTION("""COMPUTED_VALUE"""),"MD")</f>
        <v>MD</v>
      </c>
      <c r="D841" t="str">
        <f>IFERROR(__xludf.DUMMYFUNCTION("""COMPUTED_VALUE"""),"USA")</f>
        <v>USA</v>
      </c>
      <c r="E841" s="188">
        <f>IFERROR(__xludf.DUMMYFUNCTION("""COMPUTED_VALUE"""),43279.0)</f>
        <v>43279</v>
      </c>
      <c r="F841" s="188">
        <f>IFERROR(__xludf.DUMMYFUNCTION("""COMPUTED_VALUE"""),43343.0)</f>
        <v>43343</v>
      </c>
      <c r="H841">
        <f>IFERROR(__xludf.DUMMYFUNCTION("""COMPUTED_VALUE"""),66576.0)</f>
        <v>66576</v>
      </c>
      <c r="J841" s="5">
        <f>IFERROR(__xludf.DUMMYFUNCTION("""COMPUTED_VALUE"""),43368.0)</f>
        <v>43368</v>
      </c>
      <c r="K841">
        <f>IFERROR(__xludf.DUMMYFUNCTION("""COMPUTED_VALUE"""),64.0)</f>
        <v>64</v>
      </c>
      <c r="L841">
        <f>IFERROR(__xludf.DUMMYFUNCTION("""COMPUTED_VALUE"""),25.0)</f>
        <v>25</v>
      </c>
      <c r="M841">
        <f>IFERROR(__xludf.DUMMYFUNCTION("""COMPUTED_VALUE"""),89.0)</f>
        <v>89</v>
      </c>
      <c r="N841" t="str">
        <f>IFERROR(__xludf.DUMMYFUNCTION("""COMPUTED_VALUE"""),"Model 3 LR AWD")</f>
        <v>Model 3 LR AWD</v>
      </c>
      <c r="O841" t="str">
        <f>IFERROR(__xludf.DUMMYFUNCTION("""COMPUTED_VALUE"""),"Midnight Silver Metallic")</f>
        <v>Midnight Silver Metallic</v>
      </c>
      <c r="P841" t="str">
        <f>IFERROR(__xludf.DUMMYFUNCTION("""COMPUTED_VALUE"""),"18 inch Aero")</f>
        <v>18 inch Aero</v>
      </c>
      <c r="Q841" t="str">
        <f>IFERROR(__xludf.DUMMYFUNCTION("""COMPUTED_VALUE"""),"Black seats")</f>
        <v>Black seats</v>
      </c>
      <c r="R841" t="str">
        <f>IFERROR(__xludf.DUMMYFUNCTION("""COMPUTED_VALUE"""),"Enhanced Autopilot")</f>
        <v>Enhanced Autopilot</v>
      </c>
      <c r="X841" t="str">
        <f>IFERROR(__xludf.DUMMYFUNCTION("""COMPUTED_VALUE"""),"Very Good")</f>
        <v>Very Good</v>
      </c>
      <c r="Y841" t="str">
        <f>IFERROR(__xludf.DUMMYFUNCTION("""COMPUTED_VALUE"""),"Excellent")</f>
        <v>Excellent</v>
      </c>
      <c r="Z841" t="str">
        <f>IFERROR(__xludf.DUMMYFUNCTION("""COMPUTED_VALUE"""),"Very Good")</f>
        <v>Very Good</v>
      </c>
      <c r="AA841" t="str">
        <f>IFERROR(__xludf.DUMMYFUNCTION("""COMPUTED_VALUE"""),"Very Good")</f>
        <v>Very Good</v>
      </c>
      <c r="AB841" t="str">
        <f>IFERROR(__xludf.DUMMYFUNCTION("""COMPUTED_VALUE"""),"Very Good")</f>
        <v>Very Good</v>
      </c>
      <c r="AC841">
        <f>IFERROR(__xludf.DUMMYFUNCTION("""COMPUTED_VALUE"""),2.0)</f>
        <v>2</v>
      </c>
      <c r="AH841" s="189">
        <f>IFERROR(__xludf.DUMMYFUNCTION("""COMPUTED_VALUE"""),43368.83278733796)</f>
        <v>43368.83279</v>
      </c>
    </row>
    <row r="842">
      <c r="A842" t="str">
        <f>IFERROR(__xludf.DUMMYFUNCTION("""COMPUTED_VALUE"""),"wee")</f>
        <v>wee</v>
      </c>
      <c r="B842" t="str">
        <f>IFERROR(__xludf.DUMMYFUNCTION("""COMPUTED_VALUE"""),"San Jose")</f>
        <v>San Jose</v>
      </c>
      <c r="C842" t="str">
        <f>IFERROR(__xludf.DUMMYFUNCTION("""COMPUTED_VALUE"""),"CA")</f>
        <v>CA</v>
      </c>
      <c r="D842" t="str">
        <f>IFERROR(__xludf.DUMMYFUNCTION("""COMPUTED_VALUE"""),"USA")</f>
        <v>USA</v>
      </c>
      <c r="E842" s="188">
        <f>IFERROR(__xludf.DUMMYFUNCTION("""COMPUTED_VALUE"""),43312.0)</f>
        <v>43312</v>
      </c>
      <c r="F842" s="188">
        <f>IFERROR(__xludf.DUMMYFUNCTION("""COMPUTED_VALUE"""),43366.0)</f>
        <v>43366</v>
      </c>
      <c r="H842">
        <f>IFERROR(__xludf.DUMMYFUNCTION("""COMPUTED_VALUE"""),112455.0)</f>
        <v>112455</v>
      </c>
      <c r="I842" t="str">
        <f>IFERROR(__xludf.DUMMYFUNCTION("""COMPUTED_VALUE"""),"09/18")</f>
        <v>09/18</v>
      </c>
      <c r="J842" s="5">
        <f>IFERROR(__xludf.DUMMYFUNCTION("""COMPUTED_VALUE"""),43367.0)</f>
        <v>43367</v>
      </c>
      <c r="K842">
        <f>IFERROR(__xludf.DUMMYFUNCTION("""COMPUTED_VALUE"""),54.0)</f>
        <v>54</v>
      </c>
      <c r="L842">
        <f>IFERROR(__xludf.DUMMYFUNCTION("""COMPUTED_VALUE"""),1.0)</f>
        <v>1</v>
      </c>
      <c r="M842">
        <f>IFERROR(__xludf.DUMMYFUNCTION("""COMPUTED_VALUE"""),55.0)</f>
        <v>55</v>
      </c>
      <c r="N842" t="str">
        <f>IFERROR(__xludf.DUMMYFUNCTION("""COMPUTED_VALUE"""),"Model 3 Performance")</f>
        <v>Model 3 Performance</v>
      </c>
      <c r="O842" t="str">
        <f>IFERROR(__xludf.DUMMYFUNCTION("""COMPUTED_VALUE"""),"Midnight Silver Metallic")</f>
        <v>Midnight Silver Metallic</v>
      </c>
      <c r="P842" t="str">
        <f>IFERROR(__xludf.DUMMYFUNCTION("""COMPUTED_VALUE"""),"18 inch Aero")</f>
        <v>18 inch Aero</v>
      </c>
      <c r="Q842" t="str">
        <f>IFERROR(__xludf.DUMMYFUNCTION("""COMPUTED_VALUE"""),"Black seats")</f>
        <v>Black seats</v>
      </c>
      <c r="R842" t="str">
        <f>IFERROR(__xludf.DUMMYFUNCTION("""COMPUTED_VALUE"""),"Enhanced Autopilot")</f>
        <v>Enhanced Autopilot</v>
      </c>
      <c r="X842" t="str">
        <f>IFERROR(__xludf.DUMMYFUNCTION("""COMPUTED_VALUE"""),"Excellent")</f>
        <v>Excellent</v>
      </c>
      <c r="Y842" t="str">
        <f>IFERROR(__xludf.DUMMYFUNCTION("""COMPUTED_VALUE"""),"Excellent")</f>
        <v>Excellent</v>
      </c>
      <c r="Z842" t="str">
        <f>IFERROR(__xludf.DUMMYFUNCTION("""COMPUTED_VALUE"""),"Very Good")</f>
        <v>Very Good</v>
      </c>
      <c r="AA842" t="str">
        <f>IFERROR(__xludf.DUMMYFUNCTION("""COMPUTED_VALUE"""),"Fair")</f>
        <v>Fair</v>
      </c>
      <c r="AB842" t="str">
        <f>IFERROR(__xludf.DUMMYFUNCTION("""COMPUTED_VALUE"""),"Good")</f>
        <v>Good</v>
      </c>
      <c r="AC842">
        <f>IFERROR(__xludf.DUMMYFUNCTION("""COMPUTED_VALUE"""),2.0)</f>
        <v>2</v>
      </c>
      <c r="AH842" s="189">
        <f>IFERROR(__xludf.DUMMYFUNCTION("""COMPUTED_VALUE"""),43368.883496504626)</f>
        <v>43368.8835</v>
      </c>
    </row>
    <row r="843">
      <c r="A843" t="str">
        <f>IFERROR(__xludf.DUMMYFUNCTION("""COMPUTED_VALUE"""),"hd-2")</f>
        <v>hd-2</v>
      </c>
      <c r="B843" t="str">
        <f>IFERROR(__xludf.DUMMYFUNCTION("""COMPUTED_VALUE"""),"Chicago")</f>
        <v>Chicago</v>
      </c>
      <c r="C843" t="str">
        <f>IFERROR(__xludf.DUMMYFUNCTION("""COMPUTED_VALUE"""),"IL")</f>
        <v>IL</v>
      </c>
      <c r="D843" t="str">
        <f>IFERROR(__xludf.DUMMYFUNCTION("""COMPUTED_VALUE"""),"USA")</f>
        <v>USA</v>
      </c>
      <c r="E843" s="188">
        <f>IFERROR(__xludf.DUMMYFUNCTION("""COMPUTED_VALUE"""),43278.0)</f>
        <v>43278</v>
      </c>
      <c r="F843" s="188">
        <f>IFERROR(__xludf.DUMMYFUNCTION("""COMPUTED_VALUE"""),43349.0)</f>
        <v>43349</v>
      </c>
      <c r="H843">
        <f>IFERROR(__xludf.DUMMYFUNCTION("""COMPUTED_VALUE"""),106255.0)</f>
        <v>106255</v>
      </c>
      <c r="J843" s="5">
        <f>IFERROR(__xludf.DUMMYFUNCTION("""COMPUTED_VALUE"""),43368.0)</f>
        <v>43368</v>
      </c>
      <c r="K843">
        <f>IFERROR(__xludf.DUMMYFUNCTION("""COMPUTED_VALUE"""),71.0)</f>
        <v>71</v>
      </c>
      <c r="L843">
        <f>IFERROR(__xludf.DUMMYFUNCTION("""COMPUTED_VALUE"""),19.0)</f>
        <v>19</v>
      </c>
      <c r="M843">
        <f>IFERROR(__xludf.DUMMYFUNCTION("""COMPUTED_VALUE"""),90.0)</f>
        <v>90</v>
      </c>
      <c r="N843" t="str">
        <f>IFERROR(__xludf.DUMMYFUNCTION("""COMPUTED_VALUE"""),"Model 3 Performance")</f>
        <v>Model 3 Performance</v>
      </c>
      <c r="O843" t="str">
        <f>IFERROR(__xludf.DUMMYFUNCTION("""COMPUTED_VALUE"""),"Red Multi-Coat")</f>
        <v>Red Multi-Coat</v>
      </c>
      <c r="P843" t="str">
        <f>IFERROR(__xludf.DUMMYFUNCTION("""COMPUTED_VALUE"""),"20 inch Sport")</f>
        <v>20 inch Sport</v>
      </c>
      <c r="Q843" t="str">
        <f>IFERROR(__xludf.DUMMYFUNCTION("""COMPUTED_VALUE"""),"Black seats")</f>
        <v>Black seats</v>
      </c>
      <c r="R843" t="str">
        <f>IFERROR(__xludf.DUMMYFUNCTION("""COMPUTED_VALUE"""),"Full Self-Driving")</f>
        <v>Full Self-Driving</v>
      </c>
      <c r="X843" t="str">
        <f>IFERROR(__xludf.DUMMYFUNCTION("""COMPUTED_VALUE"""),"Excellent")</f>
        <v>Excellent</v>
      </c>
      <c r="Y843" t="str">
        <f>IFERROR(__xludf.DUMMYFUNCTION("""COMPUTED_VALUE"""),"Very Good")</f>
        <v>Very Good</v>
      </c>
      <c r="Z843" t="str">
        <f>IFERROR(__xludf.DUMMYFUNCTION("""COMPUTED_VALUE"""),"Excellent")</f>
        <v>Excellent</v>
      </c>
      <c r="AA843" t="str">
        <f>IFERROR(__xludf.DUMMYFUNCTION("""COMPUTED_VALUE"""),"Good")</f>
        <v>Good</v>
      </c>
      <c r="AB843" t="str">
        <f>IFERROR(__xludf.DUMMYFUNCTION("""COMPUTED_VALUE"""),"Excellent")</f>
        <v>Excellent</v>
      </c>
      <c r="AG843" t="str">
        <f>IFERROR(__xludf.DUMMYFUNCTION("""COMPUTED_VALUE"""),"Delivery rescheduled from 9/13 to 9/25 by Telsa")</f>
        <v>Delivery rescheduled from 9/13 to 9/25 by Telsa</v>
      </c>
      <c r="AH843" s="189">
        <f>IFERROR(__xludf.DUMMYFUNCTION("""COMPUTED_VALUE"""),43368.9005353588)</f>
        <v>43368.90054</v>
      </c>
    </row>
    <row r="844">
      <c r="A844" t="str">
        <f>IFERROR(__xludf.DUMMYFUNCTION("""COMPUTED_VALUE"""),"aces")</f>
        <v>aces</v>
      </c>
      <c r="B844" t="str">
        <f>IFERROR(__xludf.DUMMYFUNCTION("""COMPUTED_VALUE"""),"Vancouver")</f>
        <v>Vancouver</v>
      </c>
      <c r="C844" t="str">
        <f>IFERROR(__xludf.DUMMYFUNCTION("""COMPUTED_VALUE"""),"BC")</f>
        <v>BC</v>
      </c>
      <c r="D844" t="str">
        <f>IFERROR(__xludf.DUMMYFUNCTION("""COMPUTED_VALUE"""),"Canada")</f>
        <v>Canada</v>
      </c>
      <c r="E844" s="188">
        <f>IFERROR(__xludf.DUMMYFUNCTION("""COMPUTED_VALUE"""),43317.0)</f>
        <v>43317</v>
      </c>
      <c r="F844" s="188">
        <f>IFERROR(__xludf.DUMMYFUNCTION("""COMPUTED_VALUE"""),43362.0)</f>
        <v>43362</v>
      </c>
      <c r="H844">
        <f>IFERROR(__xludf.DUMMYFUNCTION("""COMPUTED_VALUE"""),109755.0)</f>
        <v>109755</v>
      </c>
      <c r="I844" t="str">
        <f>IFERROR(__xludf.DUMMYFUNCTION("""COMPUTED_VALUE"""),"09/18")</f>
        <v>09/18</v>
      </c>
      <c r="J844" s="5">
        <f>IFERROR(__xludf.DUMMYFUNCTION("""COMPUTED_VALUE"""),43368.0)</f>
        <v>43368</v>
      </c>
      <c r="K844">
        <f>IFERROR(__xludf.DUMMYFUNCTION("""COMPUTED_VALUE"""),45.0)</f>
        <v>45</v>
      </c>
      <c r="L844">
        <f>IFERROR(__xludf.DUMMYFUNCTION("""COMPUTED_VALUE"""),6.0)</f>
        <v>6</v>
      </c>
      <c r="M844">
        <f>IFERROR(__xludf.DUMMYFUNCTION("""COMPUTED_VALUE"""),51.0)</f>
        <v>51</v>
      </c>
      <c r="N844" t="str">
        <f>IFERROR(__xludf.DUMMYFUNCTION("""COMPUTED_VALUE"""),"Model 3 LR AWD")</f>
        <v>Model 3 LR AWD</v>
      </c>
      <c r="O844" t="str">
        <f>IFERROR(__xludf.DUMMYFUNCTION("""COMPUTED_VALUE"""),"Deep Blue Metallic")</f>
        <v>Deep Blue Metallic</v>
      </c>
      <c r="P844" t="str">
        <f>IFERROR(__xludf.DUMMYFUNCTION("""COMPUTED_VALUE"""),"18 inch Aero")</f>
        <v>18 inch Aero</v>
      </c>
      <c r="Q844" t="str">
        <f>IFERROR(__xludf.DUMMYFUNCTION("""COMPUTED_VALUE"""),"Black seats")</f>
        <v>Black seats</v>
      </c>
      <c r="R844" t="str">
        <f>IFERROR(__xludf.DUMMYFUNCTION("""COMPUTED_VALUE"""),"None")</f>
        <v>None</v>
      </c>
      <c r="X844" t="str">
        <f>IFERROR(__xludf.DUMMYFUNCTION("""COMPUTED_VALUE"""),"Excellent")</f>
        <v>Excellent</v>
      </c>
      <c r="Y844" t="str">
        <f>IFERROR(__xludf.DUMMYFUNCTION("""COMPUTED_VALUE"""),"Excellent")</f>
        <v>Excellent</v>
      </c>
      <c r="Z844" t="str">
        <f>IFERROR(__xludf.DUMMYFUNCTION("""COMPUTED_VALUE"""),"Excellent")</f>
        <v>Excellent</v>
      </c>
      <c r="AA844" t="str">
        <f>IFERROR(__xludf.DUMMYFUNCTION("""COMPUTED_VALUE"""),"Good")</f>
        <v>Good</v>
      </c>
      <c r="AB844" t="str">
        <f>IFERROR(__xludf.DUMMYFUNCTION("""COMPUTED_VALUE"""),"Very Good")</f>
        <v>Very Good</v>
      </c>
      <c r="AH844" s="189">
        <f>IFERROR(__xludf.DUMMYFUNCTION("""COMPUTED_VALUE"""),43368.906722685184)</f>
        <v>43368.90672</v>
      </c>
    </row>
    <row r="845">
      <c r="A845" t="str">
        <f>IFERROR(__xludf.DUMMYFUNCTION("""COMPUTED_VALUE"""),"drtoothy86")</f>
        <v>drtoothy86</v>
      </c>
      <c r="B845" t="str">
        <f>IFERROR(__xludf.DUMMYFUNCTION("""COMPUTED_VALUE"""),"New York")</f>
        <v>New York</v>
      </c>
      <c r="C845" t="str">
        <f>IFERROR(__xludf.DUMMYFUNCTION("""COMPUTED_VALUE"""),"NY")</f>
        <v>NY</v>
      </c>
      <c r="D845" t="str">
        <f>IFERROR(__xludf.DUMMYFUNCTION("""COMPUTED_VALUE"""),"USA")</f>
        <v>USA</v>
      </c>
      <c r="E845" s="188">
        <f>IFERROR(__xludf.DUMMYFUNCTION("""COMPUTED_VALUE"""),44260.0)</f>
        <v>44260</v>
      </c>
      <c r="F845" s="188">
        <f>IFERROR(__xludf.DUMMYFUNCTION("""COMPUTED_VALUE"""),44268.0)</f>
        <v>44268</v>
      </c>
      <c r="G845" t="str">
        <f>IFERROR(__xludf.DUMMYFUNCTION("""COMPUTED_VALUE"""),"Manage order page (normal text)")</f>
        <v>Manage order page (normal text)</v>
      </c>
      <c r="H845">
        <f>IFERROR(__xludf.DUMMYFUNCTION("""COMPUTED_VALUE"""),924955.0)</f>
        <v>924955</v>
      </c>
      <c r="I845" t="str">
        <f>IFERROR(__xludf.DUMMYFUNCTION("""COMPUTED_VALUE"""),"03/21")</f>
        <v>03/21</v>
      </c>
      <c r="J845" s="188">
        <f>IFERROR(__xludf.DUMMYFUNCTION("""COMPUTED_VALUE"""),44279.0)</f>
        <v>44279</v>
      </c>
      <c r="K845">
        <f>IFERROR(__xludf.DUMMYFUNCTION("""COMPUTED_VALUE"""),8.0)</f>
        <v>8</v>
      </c>
      <c r="L845">
        <f>IFERROR(__xludf.DUMMYFUNCTION("""COMPUTED_VALUE"""),11.0)</f>
        <v>11</v>
      </c>
      <c r="M845">
        <f>IFERROR(__xludf.DUMMYFUNCTION("""COMPUTED_VALUE"""),19.0)</f>
        <v>19</v>
      </c>
      <c r="N845" t="str">
        <f>IFERROR(__xludf.DUMMYFUNCTION("""COMPUTED_VALUE"""),"Model 3 LR AWD")</f>
        <v>Model 3 LR AWD</v>
      </c>
      <c r="O845" t="str">
        <f>IFERROR(__xludf.DUMMYFUNCTION("""COMPUTED_VALUE"""),"Solid Black")</f>
        <v>Solid Black</v>
      </c>
      <c r="P845" t="str">
        <f>IFERROR(__xludf.DUMMYFUNCTION("""COMPUTED_VALUE"""),"18 inch")</f>
        <v>18 inch</v>
      </c>
      <c r="Q845" t="str">
        <f>IFERROR(__xludf.DUMMYFUNCTION("""COMPUTED_VALUE"""),"Black and White")</f>
        <v>Black and White</v>
      </c>
      <c r="R845" t="str">
        <f>IFERROR(__xludf.DUMMYFUNCTION("""COMPUTED_VALUE"""),"Autopilot included")</f>
        <v>Autopilot included</v>
      </c>
      <c r="S845" t="str">
        <f>IFERROR(__xludf.DUMMYFUNCTION("""COMPUTED_VALUE"""),"Loan")</f>
        <v>Loan</v>
      </c>
      <c r="T845" t="str">
        <f>IFERROR(__xludf.DUMMYFUNCTION("""COMPUTED_VALUE"""),"Tesla Model 3")</f>
        <v>Tesla Model 3</v>
      </c>
      <c r="U845" t="str">
        <f>IFERROR(__xludf.DUMMYFUNCTION("""COMPUTED_VALUE"""),"Electric!")</f>
        <v>Electric!</v>
      </c>
      <c r="V845" t="str">
        <f>IFERROR(__xludf.DUMMYFUNCTION("""COMPUTED_VALUE"""),"360° Bird's eye view")</f>
        <v>360° Bird's eye view</v>
      </c>
      <c r="X845" t="str">
        <f>IFERROR(__xludf.DUMMYFUNCTION("""COMPUTED_VALUE"""),"Good")</f>
        <v>Good</v>
      </c>
      <c r="Y845" t="str">
        <f>IFERROR(__xludf.DUMMYFUNCTION("""COMPUTED_VALUE"""),"Very Good")</f>
        <v>Very Good</v>
      </c>
      <c r="Z845" t="str">
        <f>IFERROR(__xludf.DUMMYFUNCTION("""COMPUTED_VALUE"""),"Very Good")</f>
        <v>Very Good</v>
      </c>
      <c r="AA845" t="str">
        <f>IFERROR(__xludf.DUMMYFUNCTION("""COMPUTED_VALUE"""),"Fair")</f>
        <v>Fair</v>
      </c>
      <c r="AB845" t="str">
        <f>IFERROR(__xludf.DUMMYFUNCTION("""COMPUTED_VALUE"""),"Fair")</f>
        <v>Fair</v>
      </c>
      <c r="AF845" t="str">
        <f>IFERROR(__xludf.DUMMYFUNCTION("""COMPUTED_VALUE"""),"No. I took delivery of the first car Tesla was able to deliver.")</f>
        <v>No. I took delivery of the first car Tesla was able to deliver.</v>
      </c>
      <c r="AH845" s="189">
        <f>IFERROR(__xludf.DUMMYFUNCTION("""COMPUTED_VALUE"""),44279.82180259259)</f>
        <v>44279.8218</v>
      </c>
    </row>
    <row r="846">
      <c r="A846" t="str">
        <f>IFERROR(__xludf.DUMMYFUNCTION("""COMPUTED_VALUE"""),"dman2009")</f>
        <v>dman2009</v>
      </c>
      <c r="B846" t="str">
        <f>IFERROR(__xludf.DUMMYFUNCTION("""COMPUTED_VALUE"""),"Philadelphia")</f>
        <v>Philadelphia</v>
      </c>
      <c r="C846" t="str">
        <f>IFERROR(__xludf.DUMMYFUNCTION("""COMPUTED_VALUE"""),"PA")</f>
        <v>PA</v>
      </c>
      <c r="D846" t="str">
        <f>IFERROR(__xludf.DUMMYFUNCTION("""COMPUTED_VALUE"""),"USA")</f>
        <v>USA</v>
      </c>
      <c r="E846" s="188">
        <f>IFERROR(__xludf.DUMMYFUNCTION("""COMPUTED_VALUE"""),43278.0)</f>
        <v>43278</v>
      </c>
      <c r="F846" s="188">
        <f>IFERROR(__xludf.DUMMYFUNCTION("""COMPUTED_VALUE"""),43345.0)</f>
        <v>43345</v>
      </c>
      <c r="H846">
        <f>IFERROR(__xludf.DUMMYFUNCTION("""COMPUTED_VALUE"""),87855.0)</f>
        <v>87855</v>
      </c>
      <c r="I846" t="str">
        <f>IFERROR(__xludf.DUMMYFUNCTION("""COMPUTED_VALUE"""),"09/18")</f>
        <v>09/18</v>
      </c>
      <c r="J846" s="5">
        <f>IFERROR(__xludf.DUMMYFUNCTION("""COMPUTED_VALUE"""),43368.0)</f>
        <v>43368</v>
      </c>
      <c r="K846">
        <f>IFERROR(__xludf.DUMMYFUNCTION("""COMPUTED_VALUE"""),67.0)</f>
        <v>67</v>
      </c>
      <c r="L846">
        <f>IFERROR(__xludf.DUMMYFUNCTION("""COMPUTED_VALUE"""),23.0)</f>
        <v>23</v>
      </c>
      <c r="M846">
        <f>IFERROR(__xludf.DUMMYFUNCTION("""COMPUTED_VALUE"""),90.0)</f>
        <v>90</v>
      </c>
      <c r="N846" t="str">
        <f>IFERROR(__xludf.DUMMYFUNCTION("""COMPUTED_VALUE"""),"Model 3 LR AWD")</f>
        <v>Model 3 LR AWD</v>
      </c>
      <c r="O846" t="str">
        <f>IFERROR(__xludf.DUMMYFUNCTION("""COMPUTED_VALUE"""),"Red Multi-Coat")</f>
        <v>Red Multi-Coat</v>
      </c>
      <c r="P846" t="str">
        <f>IFERROR(__xludf.DUMMYFUNCTION("""COMPUTED_VALUE"""),"18 inch Aero")</f>
        <v>18 inch Aero</v>
      </c>
      <c r="Q846" t="str">
        <f>IFERROR(__xludf.DUMMYFUNCTION("""COMPUTED_VALUE"""),"Black seats")</f>
        <v>Black seats</v>
      </c>
      <c r="R846" t="str">
        <f>IFERROR(__xludf.DUMMYFUNCTION("""COMPUTED_VALUE"""),"Enhanced Autopilot")</f>
        <v>Enhanced Autopilot</v>
      </c>
      <c r="X846" t="str">
        <f>IFERROR(__xludf.DUMMYFUNCTION("""COMPUTED_VALUE"""),"Very Good")</f>
        <v>Very Good</v>
      </c>
      <c r="Y846" t="str">
        <f>IFERROR(__xludf.DUMMYFUNCTION("""COMPUTED_VALUE"""),"Excellent")</f>
        <v>Excellent</v>
      </c>
      <c r="Z846" t="str">
        <f>IFERROR(__xludf.DUMMYFUNCTION("""COMPUTED_VALUE"""),"Very Good")</f>
        <v>Very Good</v>
      </c>
      <c r="AA846" t="str">
        <f>IFERROR(__xludf.DUMMYFUNCTION("""COMPUTED_VALUE"""),"Excellent")</f>
        <v>Excellent</v>
      </c>
      <c r="AB846" t="str">
        <f>IFERROR(__xludf.DUMMYFUNCTION("""COMPUTED_VALUE"""),"Excellent")</f>
        <v>Excellent</v>
      </c>
      <c r="AH846" s="189">
        <f>IFERROR(__xludf.DUMMYFUNCTION("""COMPUTED_VALUE"""),43368.94528861111)</f>
        <v>43368.94529</v>
      </c>
    </row>
    <row r="847">
      <c r="A847" t="str">
        <f>IFERROR(__xludf.DUMMYFUNCTION("""COMPUTED_VALUE"""),"jtb")</f>
        <v>jtb</v>
      </c>
      <c r="B847" t="str">
        <f>IFERROR(__xludf.DUMMYFUNCTION("""COMPUTED_VALUE"""),"Bay area")</f>
        <v>Bay area</v>
      </c>
      <c r="C847" t="str">
        <f>IFERROR(__xludf.DUMMYFUNCTION("""COMPUTED_VALUE"""),"CA")</f>
        <v>CA</v>
      </c>
      <c r="D847" t="str">
        <f>IFERROR(__xludf.DUMMYFUNCTION("""COMPUTED_VALUE"""),"USA")</f>
        <v>USA</v>
      </c>
      <c r="E847" s="188">
        <f>IFERROR(__xludf.DUMMYFUNCTION("""COMPUTED_VALUE"""),43359.0)</f>
        <v>43359</v>
      </c>
      <c r="F847" s="188">
        <f>IFERROR(__xludf.DUMMYFUNCTION("""COMPUTED_VALUE"""),43361.0)</f>
        <v>43361</v>
      </c>
      <c r="H847">
        <f>IFERROR(__xludf.DUMMYFUNCTION("""COMPUTED_VALUE"""),57255.0)</f>
        <v>57255</v>
      </c>
      <c r="I847" t="str">
        <f>IFERROR(__xludf.DUMMYFUNCTION("""COMPUTED_VALUE"""),"08/18")</f>
        <v>08/18</v>
      </c>
      <c r="J847" s="5">
        <f>IFERROR(__xludf.DUMMYFUNCTION("""COMPUTED_VALUE"""),43367.0)</f>
        <v>43367</v>
      </c>
      <c r="K847">
        <f>IFERROR(__xludf.DUMMYFUNCTION("""COMPUTED_VALUE"""),2.0)</f>
        <v>2</v>
      </c>
      <c r="L847">
        <f>IFERROR(__xludf.DUMMYFUNCTION("""COMPUTED_VALUE"""),6.0)</f>
        <v>6</v>
      </c>
      <c r="M847">
        <f>IFERROR(__xludf.DUMMYFUNCTION("""COMPUTED_VALUE"""),8.0)</f>
        <v>8</v>
      </c>
      <c r="N847" t="str">
        <f>IFERROR(__xludf.DUMMYFUNCTION("""COMPUTED_VALUE"""),"Model 3 LR")</f>
        <v>Model 3 LR</v>
      </c>
      <c r="O847" t="str">
        <f>IFERROR(__xludf.DUMMYFUNCTION("""COMPUTED_VALUE"""),"Pearl White Multi-Coat")</f>
        <v>Pearl White Multi-Coat</v>
      </c>
      <c r="P847" t="str">
        <f>IFERROR(__xludf.DUMMYFUNCTION("""COMPUTED_VALUE"""),"18 inch Aero")</f>
        <v>18 inch Aero</v>
      </c>
      <c r="Q847" t="str">
        <f>IFERROR(__xludf.DUMMYFUNCTION("""COMPUTED_VALUE"""),"Black seats")</f>
        <v>Black seats</v>
      </c>
      <c r="R847" t="str">
        <f>IFERROR(__xludf.DUMMYFUNCTION("""COMPUTED_VALUE"""),"None")</f>
        <v>None</v>
      </c>
      <c r="X847" t="str">
        <f>IFERROR(__xludf.DUMMYFUNCTION("""COMPUTED_VALUE"""),"Excellent")</f>
        <v>Excellent</v>
      </c>
      <c r="Y847" t="str">
        <f>IFERROR(__xludf.DUMMYFUNCTION("""COMPUTED_VALUE"""),"Excellent")</f>
        <v>Excellent</v>
      </c>
      <c r="Z847" t="str">
        <f>IFERROR(__xludf.DUMMYFUNCTION("""COMPUTED_VALUE"""),"Excellent")</f>
        <v>Excellent</v>
      </c>
      <c r="AA847" t="str">
        <f>IFERROR(__xludf.DUMMYFUNCTION("""COMPUTED_VALUE"""),"Good")</f>
        <v>Good</v>
      </c>
      <c r="AB847" t="str">
        <f>IFERROR(__xludf.DUMMYFUNCTION("""COMPUTED_VALUE"""),"Excellent")</f>
        <v>Excellent</v>
      </c>
      <c r="AH847" s="189">
        <f>IFERROR(__xludf.DUMMYFUNCTION("""COMPUTED_VALUE"""),43368.966790729166)</f>
        <v>43368.96679</v>
      </c>
    </row>
    <row r="848">
      <c r="A848" t="str">
        <f>IFERROR(__xludf.DUMMYFUNCTION("""COMPUTED_VALUE"""),"knowlan")</f>
        <v>knowlan</v>
      </c>
      <c r="B848" t="str">
        <f>IFERROR(__xludf.DUMMYFUNCTION("""COMPUTED_VALUE"""),"South Surrey, BC")</f>
        <v>South Surrey, BC</v>
      </c>
      <c r="C848" t="str">
        <f>IFERROR(__xludf.DUMMYFUNCTION("""COMPUTED_VALUE"""),"BC")</f>
        <v>BC</v>
      </c>
      <c r="D848" t="str">
        <f>IFERROR(__xludf.DUMMYFUNCTION("""COMPUTED_VALUE"""),"Canada")</f>
        <v>Canada</v>
      </c>
      <c r="E848" s="188">
        <f>IFERROR(__xludf.DUMMYFUNCTION("""COMPUTED_VALUE"""),43311.0)</f>
        <v>43311</v>
      </c>
      <c r="F848" s="188">
        <f>IFERROR(__xludf.DUMMYFUNCTION("""COMPUTED_VALUE"""),43354.0)</f>
        <v>43354</v>
      </c>
      <c r="H848">
        <f>IFERROR(__xludf.DUMMYFUNCTION("""COMPUTED_VALUE"""),107055.0)</f>
        <v>107055</v>
      </c>
      <c r="J848" s="5">
        <f>IFERROR(__xludf.DUMMYFUNCTION("""COMPUTED_VALUE"""),43361.0)</f>
        <v>43361</v>
      </c>
      <c r="K848">
        <f>IFERROR(__xludf.DUMMYFUNCTION("""COMPUTED_VALUE"""),43.0)</f>
        <v>43</v>
      </c>
      <c r="L848">
        <f>IFERROR(__xludf.DUMMYFUNCTION("""COMPUTED_VALUE"""),7.0)</f>
        <v>7</v>
      </c>
      <c r="M848">
        <f>IFERROR(__xludf.DUMMYFUNCTION("""COMPUTED_VALUE"""),50.0)</f>
        <v>50</v>
      </c>
      <c r="N848" t="str">
        <f>IFERROR(__xludf.DUMMYFUNCTION("""COMPUTED_VALUE"""),"Model 3 LR AWD")</f>
        <v>Model 3 LR AWD</v>
      </c>
      <c r="O848" t="str">
        <f>IFERROR(__xludf.DUMMYFUNCTION("""COMPUTED_VALUE"""),"Red Multi-Coat")</f>
        <v>Red Multi-Coat</v>
      </c>
      <c r="P848" t="str">
        <f>IFERROR(__xludf.DUMMYFUNCTION("""COMPUTED_VALUE"""),"18 inch Aero")</f>
        <v>18 inch Aero</v>
      </c>
      <c r="Q848" t="str">
        <f>IFERROR(__xludf.DUMMYFUNCTION("""COMPUTED_VALUE"""),"Black seats")</f>
        <v>Black seats</v>
      </c>
      <c r="R848" t="str">
        <f>IFERROR(__xludf.DUMMYFUNCTION("""COMPUTED_VALUE"""),"Enhanced Autopilot")</f>
        <v>Enhanced Autopilot</v>
      </c>
      <c r="X848" t="str">
        <f>IFERROR(__xludf.DUMMYFUNCTION("""COMPUTED_VALUE"""),"Excellent")</f>
        <v>Excellent</v>
      </c>
      <c r="Y848" t="str">
        <f>IFERROR(__xludf.DUMMYFUNCTION("""COMPUTED_VALUE"""),"Excellent")</f>
        <v>Excellent</v>
      </c>
      <c r="Z848" t="str">
        <f>IFERROR(__xludf.DUMMYFUNCTION("""COMPUTED_VALUE"""),"Very Good")</f>
        <v>Very Good</v>
      </c>
      <c r="AA848" t="str">
        <f>IFERROR(__xludf.DUMMYFUNCTION("""COMPUTED_VALUE"""),"Poor")</f>
        <v>Poor</v>
      </c>
      <c r="AB848" t="str">
        <f>IFERROR(__xludf.DUMMYFUNCTION("""COMPUTED_VALUE"""),"Good")</f>
        <v>Good</v>
      </c>
      <c r="AG848" t="str">
        <f>IFERROR(__xludf.DUMMYFUNCTION("""COMPUTED_VALUE"""),"Tesla changed expected delivery date")</f>
        <v>Tesla changed expected delivery date</v>
      </c>
      <c r="AH848" s="189">
        <f>IFERROR(__xludf.DUMMYFUNCTION("""COMPUTED_VALUE"""),43369.18699560185)</f>
        <v>43369.187</v>
      </c>
    </row>
    <row r="849">
      <c r="A849" t="str">
        <f>IFERROR(__xludf.DUMMYFUNCTION("""COMPUTED_VALUE"""),"Tesla4me!")</f>
        <v>Tesla4me!</v>
      </c>
      <c r="B849" t="str">
        <f>IFERROR(__xludf.DUMMYFUNCTION("""COMPUTED_VALUE"""),"Germantown, MD")</f>
        <v>Germantown, MD</v>
      </c>
      <c r="C849" t="str">
        <f>IFERROR(__xludf.DUMMYFUNCTION("""COMPUTED_VALUE"""),"MD")</f>
        <v>MD</v>
      </c>
      <c r="D849" t="str">
        <f>IFERROR(__xludf.DUMMYFUNCTION("""COMPUTED_VALUE"""),"USA")</f>
        <v>USA</v>
      </c>
      <c r="E849" s="188">
        <f>IFERROR(__xludf.DUMMYFUNCTION("""COMPUTED_VALUE"""),43279.0)</f>
        <v>43279</v>
      </c>
      <c r="F849" s="188">
        <f>IFERROR(__xludf.DUMMYFUNCTION("""COMPUTED_VALUE"""),43365.0)</f>
        <v>43365</v>
      </c>
      <c r="H849">
        <f>IFERROR(__xludf.DUMMYFUNCTION("""COMPUTED_VALUE"""),66455.0)</f>
        <v>66455</v>
      </c>
      <c r="I849" t="str">
        <f>IFERROR(__xludf.DUMMYFUNCTION("""COMPUTED_VALUE"""),"08/18")</f>
        <v>08/18</v>
      </c>
      <c r="J849" s="5">
        <f>IFERROR(__xludf.DUMMYFUNCTION("""COMPUTED_VALUE"""),43367.0)</f>
        <v>43367</v>
      </c>
      <c r="K849">
        <f>IFERROR(__xludf.DUMMYFUNCTION("""COMPUTED_VALUE"""),86.0)</f>
        <v>86</v>
      </c>
      <c r="L849">
        <f>IFERROR(__xludf.DUMMYFUNCTION("""COMPUTED_VALUE"""),2.0)</f>
        <v>2</v>
      </c>
      <c r="M849">
        <f>IFERROR(__xludf.DUMMYFUNCTION("""COMPUTED_VALUE"""),88.0)</f>
        <v>88</v>
      </c>
      <c r="N849" t="str">
        <f>IFERROR(__xludf.DUMMYFUNCTION("""COMPUTED_VALUE"""),"Model 3 LR AWD")</f>
        <v>Model 3 LR AWD</v>
      </c>
      <c r="O849" t="str">
        <f>IFERROR(__xludf.DUMMYFUNCTION("""COMPUTED_VALUE"""),"Midnight Silver Metallic")</f>
        <v>Midnight Silver Metallic</v>
      </c>
      <c r="P849" t="str">
        <f>IFERROR(__xludf.DUMMYFUNCTION("""COMPUTED_VALUE"""),"18 inch Aero")</f>
        <v>18 inch Aero</v>
      </c>
      <c r="Q849" t="str">
        <f>IFERROR(__xludf.DUMMYFUNCTION("""COMPUTED_VALUE"""),"Black seats")</f>
        <v>Black seats</v>
      </c>
      <c r="R849" t="str">
        <f>IFERROR(__xludf.DUMMYFUNCTION("""COMPUTED_VALUE"""),"Full Self-Driving")</f>
        <v>Full Self-Driving</v>
      </c>
      <c r="X849" t="str">
        <f>IFERROR(__xludf.DUMMYFUNCTION("""COMPUTED_VALUE"""),"Excellent")</f>
        <v>Excellent</v>
      </c>
      <c r="Y849" t="str">
        <f>IFERROR(__xludf.DUMMYFUNCTION("""COMPUTED_VALUE"""),"Excellent")</f>
        <v>Excellent</v>
      </c>
      <c r="Z849" t="str">
        <f>IFERROR(__xludf.DUMMYFUNCTION("""COMPUTED_VALUE"""),"Excellent")</f>
        <v>Excellent</v>
      </c>
      <c r="AA849" t="str">
        <f>IFERROR(__xludf.DUMMYFUNCTION("""COMPUTED_VALUE"""),"Excellent")</f>
        <v>Excellent</v>
      </c>
      <c r="AB849" t="str">
        <f>IFERROR(__xludf.DUMMYFUNCTION("""COMPUTED_VALUE"""),"Excellent")</f>
        <v>Excellent</v>
      </c>
      <c r="AC849">
        <f>IFERROR(__xludf.DUMMYFUNCTION("""COMPUTED_VALUE"""),0.0)</f>
        <v>0</v>
      </c>
      <c r="AH849" s="189">
        <f>IFERROR(__xludf.DUMMYFUNCTION("""COMPUTED_VALUE"""),43369.19320451389)</f>
        <v>43369.1932</v>
      </c>
    </row>
    <row r="850">
      <c r="A850" t="str">
        <f>IFERROR(__xludf.DUMMYFUNCTION("""COMPUTED_VALUE"""),"jbwags")</f>
        <v>jbwags</v>
      </c>
      <c r="B850" t="str">
        <f>IFERROR(__xludf.DUMMYFUNCTION("""COMPUTED_VALUE"""),"Alexandria")</f>
        <v>Alexandria</v>
      </c>
      <c r="C850" t="str">
        <f>IFERROR(__xludf.DUMMYFUNCTION("""COMPUTED_VALUE"""),"VA")</f>
        <v>VA</v>
      </c>
      <c r="D850" t="str">
        <f>IFERROR(__xludf.DUMMYFUNCTION("""COMPUTED_VALUE"""),"USA")</f>
        <v>USA</v>
      </c>
      <c r="E850" s="188">
        <f>IFERROR(__xludf.DUMMYFUNCTION("""COMPUTED_VALUE"""),43278.0)</f>
        <v>43278</v>
      </c>
      <c r="F850" s="188">
        <f>IFERROR(__xludf.DUMMYFUNCTION("""COMPUTED_VALUE"""),43358.0)</f>
        <v>43358</v>
      </c>
      <c r="H850">
        <f>IFERROR(__xludf.DUMMYFUNCTION("""COMPUTED_VALUE"""),97355.0)</f>
        <v>97355</v>
      </c>
      <c r="J850" s="5">
        <f>IFERROR(__xludf.DUMMYFUNCTION("""COMPUTED_VALUE"""),43365.0)</f>
        <v>43365</v>
      </c>
      <c r="K850">
        <f>IFERROR(__xludf.DUMMYFUNCTION("""COMPUTED_VALUE"""),80.0)</f>
        <v>80</v>
      </c>
      <c r="L850">
        <f>IFERROR(__xludf.DUMMYFUNCTION("""COMPUTED_VALUE"""),7.0)</f>
        <v>7</v>
      </c>
      <c r="M850">
        <f>IFERROR(__xludf.DUMMYFUNCTION("""COMPUTED_VALUE"""),87.0)</f>
        <v>87</v>
      </c>
      <c r="N850" t="str">
        <f>IFERROR(__xludf.DUMMYFUNCTION("""COMPUTED_VALUE"""),"Model 3 LR AWD")</f>
        <v>Model 3 LR AWD</v>
      </c>
      <c r="O850" t="str">
        <f>IFERROR(__xludf.DUMMYFUNCTION("""COMPUTED_VALUE"""),"Red Multi-Coat")</f>
        <v>Red Multi-Coat</v>
      </c>
      <c r="P850" t="str">
        <f>IFERROR(__xludf.DUMMYFUNCTION("""COMPUTED_VALUE"""),"19 inch Sport")</f>
        <v>19 inch Sport</v>
      </c>
      <c r="Q850" t="str">
        <f>IFERROR(__xludf.DUMMYFUNCTION("""COMPUTED_VALUE"""),"White seats")</f>
        <v>White seats</v>
      </c>
      <c r="R850" t="str">
        <f>IFERROR(__xludf.DUMMYFUNCTION("""COMPUTED_VALUE"""),"Full Self-Driving")</f>
        <v>Full Self-Driving</v>
      </c>
      <c r="X850" t="str">
        <f>IFERROR(__xludf.DUMMYFUNCTION("""COMPUTED_VALUE"""),"Excellent")</f>
        <v>Excellent</v>
      </c>
      <c r="Y850" t="str">
        <f>IFERROR(__xludf.DUMMYFUNCTION("""COMPUTED_VALUE"""),"Excellent")</f>
        <v>Excellent</v>
      </c>
      <c r="Z850" t="str">
        <f>IFERROR(__xludf.DUMMYFUNCTION("""COMPUTED_VALUE"""),"Very Good")</f>
        <v>Very Good</v>
      </c>
      <c r="AA850" t="str">
        <f>IFERROR(__xludf.DUMMYFUNCTION("""COMPUTED_VALUE"""),"Good")</f>
        <v>Good</v>
      </c>
      <c r="AB850" t="str">
        <f>IFERROR(__xludf.DUMMYFUNCTION("""COMPUTED_VALUE"""),"Very Good")</f>
        <v>Very Good</v>
      </c>
      <c r="AC850">
        <f>IFERROR(__xludf.DUMMYFUNCTION("""COMPUTED_VALUE"""),2.0)</f>
        <v>2</v>
      </c>
      <c r="AH850" s="189">
        <f>IFERROR(__xludf.DUMMYFUNCTION("""COMPUTED_VALUE"""),43369.295455914355)</f>
        <v>43369.29546</v>
      </c>
    </row>
    <row r="851">
      <c r="A851" t="str">
        <f>IFERROR(__xludf.DUMMYFUNCTION("""COMPUTED_VALUE"""),"tom8959")</f>
        <v>tom8959</v>
      </c>
      <c r="B851" t="str">
        <f>IFERROR(__xludf.DUMMYFUNCTION("""COMPUTED_VALUE"""),"Los Angeles")</f>
        <v>Los Angeles</v>
      </c>
      <c r="C851" t="str">
        <f>IFERROR(__xludf.DUMMYFUNCTION("""COMPUTED_VALUE"""),"CA")</f>
        <v>CA</v>
      </c>
      <c r="D851" t="str">
        <f>IFERROR(__xludf.DUMMYFUNCTION("""COMPUTED_VALUE"""),"USA")</f>
        <v>USA</v>
      </c>
      <c r="E851" s="188">
        <f>IFERROR(__xludf.DUMMYFUNCTION("""COMPUTED_VALUE"""),43278.0)</f>
        <v>43278</v>
      </c>
      <c r="F851" s="188">
        <f>IFERROR(__xludf.DUMMYFUNCTION("""COMPUTED_VALUE"""),43362.0)</f>
        <v>43362</v>
      </c>
      <c r="H851">
        <f>IFERROR(__xludf.DUMMYFUNCTION("""COMPUTED_VALUE"""),89455.0)</f>
        <v>89455</v>
      </c>
      <c r="I851" t="str">
        <f>IFERROR(__xludf.DUMMYFUNCTION("""COMPUTED_VALUE"""),"09/18")</f>
        <v>09/18</v>
      </c>
      <c r="J851" s="5">
        <f>IFERROR(__xludf.DUMMYFUNCTION("""COMPUTED_VALUE"""),43367.0)</f>
        <v>43367</v>
      </c>
      <c r="K851">
        <f>IFERROR(__xludf.DUMMYFUNCTION("""COMPUTED_VALUE"""),84.0)</f>
        <v>84</v>
      </c>
      <c r="L851">
        <f>IFERROR(__xludf.DUMMYFUNCTION("""COMPUTED_VALUE"""),5.0)</f>
        <v>5</v>
      </c>
      <c r="M851">
        <f>IFERROR(__xludf.DUMMYFUNCTION("""COMPUTED_VALUE"""),89.0)</f>
        <v>89</v>
      </c>
      <c r="N851" t="str">
        <f>IFERROR(__xludf.DUMMYFUNCTION("""COMPUTED_VALUE"""),"Model 3 LR AWD")</f>
        <v>Model 3 LR AWD</v>
      </c>
      <c r="O851" t="str">
        <f>IFERROR(__xludf.DUMMYFUNCTION("""COMPUTED_VALUE"""),"Silver Metallic")</f>
        <v>Silver Metallic</v>
      </c>
      <c r="P851" t="str">
        <f>IFERROR(__xludf.DUMMYFUNCTION("""COMPUTED_VALUE"""),"19 inch Sport")</f>
        <v>19 inch Sport</v>
      </c>
      <c r="Q851" t="str">
        <f>IFERROR(__xludf.DUMMYFUNCTION("""COMPUTED_VALUE"""),"Black seats")</f>
        <v>Black seats</v>
      </c>
      <c r="R851" t="str">
        <f>IFERROR(__xludf.DUMMYFUNCTION("""COMPUTED_VALUE"""),"Full Self-Driving")</f>
        <v>Full Self-Driving</v>
      </c>
      <c r="X851" t="str">
        <f>IFERROR(__xludf.DUMMYFUNCTION("""COMPUTED_VALUE"""),"Excellent")</f>
        <v>Excellent</v>
      </c>
      <c r="Y851" t="str">
        <f>IFERROR(__xludf.DUMMYFUNCTION("""COMPUTED_VALUE"""),"Very Good")</f>
        <v>Very Good</v>
      </c>
      <c r="Z851" t="str">
        <f>IFERROR(__xludf.DUMMYFUNCTION("""COMPUTED_VALUE"""),"Very Good")</f>
        <v>Very Good</v>
      </c>
      <c r="AA851" t="str">
        <f>IFERROR(__xludf.DUMMYFUNCTION("""COMPUTED_VALUE"""),"Excellent")</f>
        <v>Excellent</v>
      </c>
      <c r="AB851" t="str">
        <f>IFERROR(__xludf.DUMMYFUNCTION("""COMPUTED_VALUE"""),"Very Good")</f>
        <v>Very Good</v>
      </c>
      <c r="AH851" s="189">
        <f>IFERROR(__xludf.DUMMYFUNCTION("""COMPUTED_VALUE"""),43369.3316991551)</f>
        <v>43369.3317</v>
      </c>
    </row>
    <row r="852">
      <c r="A852" t="str">
        <f>IFERROR(__xludf.DUMMYFUNCTION("""COMPUTED_VALUE"""),"Hawk13")</f>
        <v>Hawk13</v>
      </c>
      <c r="C852" t="str">
        <f>IFERROR(__xludf.DUMMYFUNCTION("""COMPUTED_VALUE"""),"IL")</f>
        <v>IL</v>
      </c>
      <c r="D852" t="str">
        <f>IFERROR(__xludf.DUMMYFUNCTION("""COMPUTED_VALUE"""),"USA")</f>
        <v>USA</v>
      </c>
      <c r="E852" s="188">
        <f>IFERROR(__xludf.DUMMYFUNCTION("""COMPUTED_VALUE"""),43263.0)</f>
        <v>43263</v>
      </c>
      <c r="F852" s="188">
        <f>IFERROR(__xludf.DUMMYFUNCTION("""COMPUTED_VALUE"""),43312.0)</f>
        <v>43312</v>
      </c>
      <c r="H852">
        <f>IFERROR(__xludf.DUMMYFUNCTION("""COMPUTED_VALUE"""),54855.0)</f>
        <v>54855</v>
      </c>
      <c r="I852" t="str">
        <f>IFERROR(__xludf.DUMMYFUNCTION("""COMPUTED_VALUE"""),"07/18")</f>
        <v>07/18</v>
      </c>
      <c r="J852" s="5">
        <f>IFERROR(__xludf.DUMMYFUNCTION("""COMPUTED_VALUE"""),43342.0)</f>
        <v>43342</v>
      </c>
      <c r="K852">
        <f>IFERROR(__xludf.DUMMYFUNCTION("""COMPUTED_VALUE"""),49.0)</f>
        <v>49</v>
      </c>
      <c r="L852">
        <f>IFERROR(__xludf.DUMMYFUNCTION("""COMPUTED_VALUE"""),30.0)</f>
        <v>30</v>
      </c>
      <c r="M852">
        <f>IFERROR(__xludf.DUMMYFUNCTION("""COMPUTED_VALUE"""),79.0)</f>
        <v>79</v>
      </c>
      <c r="N852" t="str">
        <f>IFERROR(__xludf.DUMMYFUNCTION("""COMPUTED_VALUE"""),"Model 3 LR AWD")</f>
        <v>Model 3 LR AWD</v>
      </c>
      <c r="O852" t="str">
        <f>IFERROR(__xludf.DUMMYFUNCTION("""COMPUTED_VALUE"""),"Midnight Silver Metallic")</f>
        <v>Midnight Silver Metallic</v>
      </c>
      <c r="P852" t="str">
        <f>IFERROR(__xludf.DUMMYFUNCTION("""COMPUTED_VALUE"""),"18 inch Aero")</f>
        <v>18 inch Aero</v>
      </c>
      <c r="Q852" t="str">
        <f>IFERROR(__xludf.DUMMYFUNCTION("""COMPUTED_VALUE"""),"Black seats")</f>
        <v>Black seats</v>
      </c>
      <c r="R852" t="str">
        <f>IFERROR(__xludf.DUMMYFUNCTION("""COMPUTED_VALUE"""),"Enhanced Autopilot")</f>
        <v>Enhanced Autopilot</v>
      </c>
      <c r="X852" t="str">
        <f>IFERROR(__xludf.DUMMYFUNCTION("""COMPUTED_VALUE"""),"Very Good")</f>
        <v>Very Good</v>
      </c>
      <c r="Y852" t="str">
        <f>IFERROR(__xludf.DUMMYFUNCTION("""COMPUTED_VALUE"""),"Good")</f>
        <v>Good</v>
      </c>
      <c r="Z852" t="str">
        <f>IFERROR(__xludf.DUMMYFUNCTION("""COMPUTED_VALUE"""),"Fair")</f>
        <v>Fair</v>
      </c>
      <c r="AA852" t="str">
        <f>IFERROR(__xludf.DUMMYFUNCTION("""COMPUTED_VALUE"""),"Poor")</f>
        <v>Poor</v>
      </c>
      <c r="AB852" t="str">
        <f>IFERROR(__xludf.DUMMYFUNCTION("""COMPUTED_VALUE"""),"Good")</f>
        <v>Good</v>
      </c>
      <c r="AC852">
        <f>IFERROR(__xludf.DUMMYFUNCTION("""COMPUTED_VALUE"""),7.0)</f>
        <v>7</v>
      </c>
      <c r="AD852">
        <f>IFERROR(__xludf.DUMMYFUNCTION("""COMPUTED_VALUE"""),2.0)</f>
        <v>2</v>
      </c>
      <c r="AE852">
        <f>IFERROR(__xludf.DUMMYFUNCTION("""COMPUTED_VALUE"""),3.0)</f>
        <v>3</v>
      </c>
      <c r="AH852" s="189">
        <f>IFERROR(__xludf.DUMMYFUNCTION("""COMPUTED_VALUE"""),43369.34088804398)</f>
        <v>43369.34089</v>
      </c>
    </row>
    <row r="853">
      <c r="A853" t="str">
        <f>IFERROR(__xludf.DUMMYFUNCTION("""COMPUTED_VALUE"""),"pjkad")</f>
        <v>pjkad</v>
      </c>
      <c r="B853" t="str">
        <f>IFERROR(__xludf.DUMMYFUNCTION("""COMPUTED_VALUE"""),"Piermont")</f>
        <v>Piermont</v>
      </c>
      <c r="C853" t="str">
        <f>IFERROR(__xludf.DUMMYFUNCTION("""COMPUTED_VALUE"""),"NY")</f>
        <v>NY</v>
      </c>
      <c r="D853" t="str">
        <f>IFERROR(__xludf.DUMMYFUNCTION("""COMPUTED_VALUE"""),"USA")</f>
        <v>USA</v>
      </c>
      <c r="E853" s="188">
        <f>IFERROR(__xludf.DUMMYFUNCTION("""COMPUTED_VALUE"""),43278.0)</f>
        <v>43278</v>
      </c>
      <c r="F853" s="188">
        <f>IFERROR(__xludf.DUMMYFUNCTION("""COMPUTED_VALUE"""),43361.0)</f>
        <v>43361</v>
      </c>
      <c r="H853">
        <f>IFERROR(__xludf.DUMMYFUNCTION("""COMPUTED_VALUE"""),70685.0)</f>
        <v>70685</v>
      </c>
      <c r="J853" s="5">
        <f>IFERROR(__xludf.DUMMYFUNCTION("""COMPUTED_VALUE"""),43363.0)</f>
        <v>43363</v>
      </c>
      <c r="K853">
        <f>IFERROR(__xludf.DUMMYFUNCTION("""COMPUTED_VALUE"""),83.0)</f>
        <v>83</v>
      </c>
      <c r="L853">
        <f>IFERROR(__xludf.DUMMYFUNCTION("""COMPUTED_VALUE"""),2.0)</f>
        <v>2</v>
      </c>
      <c r="M853">
        <f>IFERROR(__xludf.DUMMYFUNCTION("""COMPUTED_VALUE"""),85.0)</f>
        <v>85</v>
      </c>
      <c r="N853" t="str">
        <f>IFERROR(__xludf.DUMMYFUNCTION("""COMPUTED_VALUE"""),"Model 3 LR AWD")</f>
        <v>Model 3 LR AWD</v>
      </c>
      <c r="O853" t="str">
        <f>IFERROR(__xludf.DUMMYFUNCTION("""COMPUTED_VALUE"""),"Obsidian Black Metallic")</f>
        <v>Obsidian Black Metallic</v>
      </c>
      <c r="P853" t="str">
        <f>IFERROR(__xludf.DUMMYFUNCTION("""COMPUTED_VALUE"""),"18 inch Aero")</f>
        <v>18 inch Aero</v>
      </c>
      <c r="Q853" t="str">
        <f>IFERROR(__xludf.DUMMYFUNCTION("""COMPUTED_VALUE"""),"Black seats")</f>
        <v>Black seats</v>
      </c>
      <c r="R853" t="str">
        <f>IFERROR(__xludf.DUMMYFUNCTION("""COMPUTED_VALUE"""),"Enhanced Autopilot")</f>
        <v>Enhanced Autopilot</v>
      </c>
      <c r="X853" t="str">
        <f>IFERROR(__xludf.DUMMYFUNCTION("""COMPUTED_VALUE"""),"Good")</f>
        <v>Good</v>
      </c>
      <c r="Y853" t="str">
        <f>IFERROR(__xludf.DUMMYFUNCTION("""COMPUTED_VALUE"""),"Very Good")</f>
        <v>Very Good</v>
      </c>
      <c r="Z853" t="str">
        <f>IFERROR(__xludf.DUMMYFUNCTION("""COMPUTED_VALUE"""),"Very Good")</f>
        <v>Very Good</v>
      </c>
      <c r="AA853" t="str">
        <f>IFERROR(__xludf.DUMMYFUNCTION("""COMPUTED_VALUE"""),"Excellent")</f>
        <v>Excellent</v>
      </c>
      <c r="AB853" t="str">
        <f>IFERROR(__xludf.DUMMYFUNCTION("""COMPUTED_VALUE"""),"Excellent")</f>
        <v>Excellent</v>
      </c>
      <c r="AC853">
        <f>IFERROR(__xludf.DUMMYFUNCTION("""COMPUTED_VALUE"""),1.0)</f>
        <v>1</v>
      </c>
      <c r="AH853" s="189">
        <f>IFERROR(__xludf.DUMMYFUNCTION("""COMPUTED_VALUE"""),43369.342548796296)</f>
        <v>43369.34255</v>
      </c>
    </row>
    <row r="854">
      <c r="A854" t="str">
        <f>IFERROR(__xludf.DUMMYFUNCTION("""COMPUTED_VALUE"""),"wstamaria")</f>
        <v>wstamaria</v>
      </c>
      <c r="B854" t="str">
        <f>IFERROR(__xludf.DUMMYFUNCTION("""COMPUTED_VALUE"""),"Los Angeles")</f>
        <v>Los Angeles</v>
      </c>
      <c r="C854" t="str">
        <f>IFERROR(__xludf.DUMMYFUNCTION("""COMPUTED_VALUE"""),"CA")</f>
        <v>CA</v>
      </c>
      <c r="D854" t="str">
        <f>IFERROR(__xludf.DUMMYFUNCTION("""COMPUTED_VALUE"""),"USA")</f>
        <v>USA</v>
      </c>
      <c r="E854" s="188">
        <f>IFERROR(__xludf.DUMMYFUNCTION("""COMPUTED_VALUE"""),43307.0)</f>
        <v>43307</v>
      </c>
      <c r="F854" s="188">
        <f>IFERROR(__xludf.DUMMYFUNCTION("""COMPUTED_VALUE"""),43308.0)</f>
        <v>43308</v>
      </c>
      <c r="H854">
        <f>IFERROR(__xludf.DUMMYFUNCTION("""COMPUTED_VALUE"""),66733.0)</f>
        <v>66733</v>
      </c>
      <c r="I854" t="str">
        <f>IFERROR(__xludf.DUMMYFUNCTION("""COMPUTED_VALUE"""),"07/18")</f>
        <v>07/18</v>
      </c>
      <c r="J854" s="5">
        <f>IFERROR(__xludf.DUMMYFUNCTION("""COMPUTED_VALUE"""),43316.0)</f>
        <v>43316</v>
      </c>
      <c r="K854">
        <f>IFERROR(__xludf.DUMMYFUNCTION("""COMPUTED_VALUE"""),1.0)</f>
        <v>1</v>
      </c>
      <c r="L854">
        <f>IFERROR(__xludf.DUMMYFUNCTION("""COMPUTED_VALUE"""),8.0)</f>
        <v>8</v>
      </c>
      <c r="M854">
        <f>IFERROR(__xludf.DUMMYFUNCTION("""COMPUTED_VALUE"""),9.0)</f>
        <v>9</v>
      </c>
      <c r="N854" t="str">
        <f>IFERROR(__xludf.DUMMYFUNCTION("""COMPUTED_VALUE"""),"Model 3 LR AWD")</f>
        <v>Model 3 LR AWD</v>
      </c>
      <c r="O854" t="str">
        <f>IFERROR(__xludf.DUMMYFUNCTION("""COMPUTED_VALUE"""),"Pearl White Multi-Coat")</f>
        <v>Pearl White Multi-Coat</v>
      </c>
      <c r="P854" t="str">
        <f>IFERROR(__xludf.DUMMYFUNCTION("""COMPUTED_VALUE"""),"18 inch Aero")</f>
        <v>18 inch Aero</v>
      </c>
      <c r="Q854" t="str">
        <f>IFERROR(__xludf.DUMMYFUNCTION("""COMPUTED_VALUE"""),"Black seats")</f>
        <v>Black seats</v>
      </c>
      <c r="R854" t="str">
        <f>IFERROR(__xludf.DUMMYFUNCTION("""COMPUTED_VALUE"""),"None")</f>
        <v>None</v>
      </c>
      <c r="X854" t="str">
        <f>IFERROR(__xludf.DUMMYFUNCTION("""COMPUTED_VALUE"""),"Very Good")</f>
        <v>Very Good</v>
      </c>
      <c r="Y854" t="str">
        <f>IFERROR(__xludf.DUMMYFUNCTION("""COMPUTED_VALUE"""),"Very Good")</f>
        <v>Very Good</v>
      </c>
      <c r="Z854" t="str">
        <f>IFERROR(__xludf.DUMMYFUNCTION("""COMPUTED_VALUE"""),"Very Good")</f>
        <v>Very Good</v>
      </c>
      <c r="AA854" t="str">
        <f>IFERROR(__xludf.DUMMYFUNCTION("""COMPUTED_VALUE"""),"Fair")</f>
        <v>Fair</v>
      </c>
      <c r="AB854" t="str">
        <f>IFERROR(__xludf.DUMMYFUNCTION("""COMPUTED_VALUE"""),"Fair")</f>
        <v>Fair</v>
      </c>
      <c r="AC854">
        <f>IFERROR(__xludf.DUMMYFUNCTION("""COMPUTED_VALUE"""),6.0)</f>
        <v>6</v>
      </c>
      <c r="AD854">
        <f>IFERROR(__xludf.DUMMYFUNCTION("""COMPUTED_VALUE"""),0.0)</f>
        <v>0</v>
      </c>
      <c r="AE854">
        <f>IFERROR(__xludf.DUMMYFUNCTION("""COMPUTED_VALUE"""),23.0)</f>
        <v>23</v>
      </c>
      <c r="AH854" s="189">
        <f>IFERROR(__xludf.DUMMYFUNCTION("""COMPUTED_VALUE"""),43369.43967104166)</f>
        <v>43369.43967</v>
      </c>
    </row>
    <row r="855">
      <c r="A855" t="str">
        <f>IFERROR(__xludf.DUMMYFUNCTION("""COMPUTED_VALUE"""),"rluciano")</f>
        <v>rluciano</v>
      </c>
      <c r="B855" t="str">
        <f>IFERROR(__xludf.DUMMYFUNCTION("""COMPUTED_VALUE"""),"Austin")</f>
        <v>Austin</v>
      </c>
      <c r="C855" t="str">
        <f>IFERROR(__xludf.DUMMYFUNCTION("""COMPUTED_VALUE"""),"TX")</f>
        <v>TX</v>
      </c>
      <c r="D855" t="str">
        <f>IFERROR(__xludf.DUMMYFUNCTION("""COMPUTED_VALUE"""),"USA")</f>
        <v>USA</v>
      </c>
      <c r="E855" s="188">
        <f>IFERROR(__xludf.DUMMYFUNCTION("""COMPUTED_VALUE"""),43278.0)</f>
        <v>43278</v>
      </c>
      <c r="F855" s="188">
        <f>IFERROR(__xludf.DUMMYFUNCTION("""COMPUTED_VALUE"""),43354.0)</f>
        <v>43354</v>
      </c>
      <c r="H855">
        <f>IFERROR(__xludf.DUMMYFUNCTION("""COMPUTED_VALUE"""),63325.0)</f>
        <v>63325</v>
      </c>
      <c r="J855" s="5">
        <f>IFERROR(__xludf.DUMMYFUNCTION("""COMPUTED_VALUE"""),43367.0)</f>
        <v>43367</v>
      </c>
      <c r="K855">
        <f>IFERROR(__xludf.DUMMYFUNCTION("""COMPUTED_VALUE"""),76.0)</f>
        <v>76</v>
      </c>
      <c r="L855">
        <f>IFERROR(__xludf.DUMMYFUNCTION("""COMPUTED_VALUE"""),13.0)</f>
        <v>13</v>
      </c>
      <c r="M855">
        <f>IFERROR(__xludf.DUMMYFUNCTION("""COMPUTED_VALUE"""),89.0)</f>
        <v>89</v>
      </c>
      <c r="N855" t="str">
        <f>IFERROR(__xludf.DUMMYFUNCTION("""COMPUTED_VALUE"""),"Model 3 Performance")</f>
        <v>Model 3 Performance</v>
      </c>
      <c r="O855" t="str">
        <f>IFERROR(__xludf.DUMMYFUNCTION("""COMPUTED_VALUE"""),"Red Multi-Coat")</f>
        <v>Red Multi-Coat</v>
      </c>
      <c r="P855" t="str">
        <f>IFERROR(__xludf.DUMMYFUNCTION("""COMPUTED_VALUE"""),"20 inch Sport")</f>
        <v>20 inch Sport</v>
      </c>
      <c r="Q855" t="str">
        <f>IFERROR(__xludf.DUMMYFUNCTION("""COMPUTED_VALUE"""),"White seats")</f>
        <v>White seats</v>
      </c>
      <c r="R855" t="str">
        <f>IFERROR(__xludf.DUMMYFUNCTION("""COMPUTED_VALUE"""),"Full Self-Driving")</f>
        <v>Full Self-Driving</v>
      </c>
      <c r="X855" t="str">
        <f>IFERROR(__xludf.DUMMYFUNCTION("""COMPUTED_VALUE"""),"Very Good")</f>
        <v>Very Good</v>
      </c>
      <c r="Y855" t="str">
        <f>IFERROR(__xludf.DUMMYFUNCTION("""COMPUTED_VALUE"""),"Fair")</f>
        <v>Fair</v>
      </c>
      <c r="Z855" t="str">
        <f>IFERROR(__xludf.DUMMYFUNCTION("""COMPUTED_VALUE"""),"Fair")</f>
        <v>Fair</v>
      </c>
      <c r="AA855" t="str">
        <f>IFERROR(__xludf.DUMMYFUNCTION("""COMPUTED_VALUE"""),"Poor")</f>
        <v>Poor</v>
      </c>
      <c r="AB855" t="str">
        <f>IFERROR(__xludf.DUMMYFUNCTION("""COMPUTED_VALUE"""),"Poor")</f>
        <v>Poor</v>
      </c>
      <c r="AC855">
        <f>IFERROR(__xludf.DUMMYFUNCTION("""COMPUTED_VALUE"""),5.0)</f>
        <v>5</v>
      </c>
      <c r="AH855" s="189">
        <f>IFERROR(__xludf.DUMMYFUNCTION("""COMPUTED_VALUE"""),43369.47074056713)</f>
        <v>43369.47074</v>
      </c>
    </row>
    <row r="856">
      <c r="A856" t="str">
        <f>IFERROR(__xludf.DUMMYFUNCTION("""COMPUTED_VALUE"""),"hotrodtesla")</f>
        <v>hotrodtesla</v>
      </c>
      <c r="B856" t="str">
        <f>IFERROR(__xludf.DUMMYFUNCTION("""COMPUTED_VALUE"""),"San Diego")</f>
        <v>San Diego</v>
      </c>
      <c r="C856" t="str">
        <f>IFERROR(__xludf.DUMMYFUNCTION("""COMPUTED_VALUE"""),"CA")</f>
        <v>CA</v>
      </c>
      <c r="D856" t="str">
        <f>IFERROR(__xludf.DUMMYFUNCTION("""COMPUTED_VALUE"""),"USA")</f>
        <v>USA</v>
      </c>
      <c r="E856" s="188">
        <f>IFERROR(__xludf.DUMMYFUNCTION("""COMPUTED_VALUE"""),43279.0)</f>
        <v>43279</v>
      </c>
      <c r="F856" s="188">
        <f>IFERROR(__xludf.DUMMYFUNCTION("""COMPUTED_VALUE"""),43365.0)</f>
        <v>43365</v>
      </c>
      <c r="H856">
        <f>IFERROR(__xludf.DUMMYFUNCTION("""COMPUTED_VALUE"""),114855.0)</f>
        <v>114855</v>
      </c>
      <c r="I856" t="str">
        <f>IFERROR(__xludf.DUMMYFUNCTION("""COMPUTED_VALUE"""),"09/18")</f>
        <v>09/18</v>
      </c>
      <c r="J856" s="5">
        <f>IFERROR(__xludf.DUMMYFUNCTION("""COMPUTED_VALUE"""),43368.0)</f>
        <v>43368</v>
      </c>
      <c r="K856">
        <f>IFERROR(__xludf.DUMMYFUNCTION("""COMPUTED_VALUE"""),86.0)</f>
        <v>86</v>
      </c>
      <c r="L856">
        <f>IFERROR(__xludf.DUMMYFUNCTION("""COMPUTED_VALUE"""),3.0)</f>
        <v>3</v>
      </c>
      <c r="M856">
        <f>IFERROR(__xludf.DUMMYFUNCTION("""COMPUTED_VALUE"""),89.0)</f>
        <v>89</v>
      </c>
      <c r="N856" t="str">
        <f>IFERROR(__xludf.DUMMYFUNCTION("""COMPUTED_VALUE"""),"Model 3 Performance")</f>
        <v>Model 3 Performance</v>
      </c>
      <c r="O856" t="str">
        <f>IFERROR(__xludf.DUMMYFUNCTION("""COMPUTED_VALUE"""),"Deep Blue Metallic")</f>
        <v>Deep Blue Metallic</v>
      </c>
      <c r="P856" t="str">
        <f>IFERROR(__xludf.DUMMYFUNCTION("""COMPUTED_VALUE"""),"18 inch Aero")</f>
        <v>18 inch Aero</v>
      </c>
      <c r="Q856" t="str">
        <f>IFERROR(__xludf.DUMMYFUNCTION("""COMPUTED_VALUE"""),"Black seats")</f>
        <v>Black seats</v>
      </c>
      <c r="R856" t="str">
        <f>IFERROR(__xludf.DUMMYFUNCTION("""COMPUTED_VALUE"""),"Full Self-Driving")</f>
        <v>Full Self-Driving</v>
      </c>
      <c r="X856" t="str">
        <f>IFERROR(__xludf.DUMMYFUNCTION("""COMPUTED_VALUE"""),"Excellent")</f>
        <v>Excellent</v>
      </c>
      <c r="Y856" t="str">
        <f>IFERROR(__xludf.DUMMYFUNCTION("""COMPUTED_VALUE"""),"Very Good")</f>
        <v>Very Good</v>
      </c>
      <c r="Z856" t="str">
        <f>IFERROR(__xludf.DUMMYFUNCTION("""COMPUTED_VALUE"""),"Excellent")</f>
        <v>Excellent</v>
      </c>
      <c r="AA856" t="str">
        <f>IFERROR(__xludf.DUMMYFUNCTION("""COMPUTED_VALUE"""),"Good")</f>
        <v>Good</v>
      </c>
      <c r="AB856" t="str">
        <f>IFERROR(__xludf.DUMMYFUNCTION("""COMPUTED_VALUE"""),"Very Good")</f>
        <v>Very Good</v>
      </c>
      <c r="AH856" s="189">
        <f>IFERROR(__xludf.DUMMYFUNCTION("""COMPUTED_VALUE"""),43369.47279770834)</f>
        <v>43369.4728</v>
      </c>
    </row>
    <row r="857">
      <c r="A857" t="str">
        <f>IFERROR(__xludf.DUMMYFUNCTION("""COMPUTED_VALUE"""),"cohnaj")</f>
        <v>cohnaj</v>
      </c>
      <c r="B857" t="str">
        <f>IFERROR(__xludf.DUMMYFUNCTION("""COMPUTED_VALUE"""),"Cincinnati")</f>
        <v>Cincinnati</v>
      </c>
      <c r="C857" t="str">
        <f>IFERROR(__xludf.DUMMYFUNCTION("""COMPUTED_VALUE"""),"OH")</f>
        <v>OH</v>
      </c>
      <c r="D857" t="str">
        <f>IFERROR(__xludf.DUMMYFUNCTION("""COMPUTED_VALUE"""),"USA")</f>
        <v>USA</v>
      </c>
      <c r="E857" s="188">
        <f>IFERROR(__xludf.DUMMYFUNCTION("""COMPUTED_VALUE"""),43281.0)</f>
        <v>43281</v>
      </c>
      <c r="F857" s="188">
        <f>IFERROR(__xludf.DUMMYFUNCTION("""COMPUTED_VALUE"""),43321.0)</f>
        <v>43321</v>
      </c>
      <c r="H857">
        <f>IFERROR(__xludf.DUMMYFUNCTION("""COMPUTED_VALUE"""),89155.0)</f>
        <v>89155</v>
      </c>
      <c r="I857" t="str">
        <f>IFERROR(__xludf.DUMMYFUNCTION("""COMPUTED_VALUE"""),"08/18")</f>
        <v>08/18</v>
      </c>
      <c r="J857" s="5">
        <f>IFERROR(__xludf.DUMMYFUNCTION("""COMPUTED_VALUE"""),43350.0)</f>
        <v>43350</v>
      </c>
      <c r="K857">
        <f>IFERROR(__xludf.DUMMYFUNCTION("""COMPUTED_VALUE"""),40.0)</f>
        <v>40</v>
      </c>
      <c r="L857">
        <f>IFERROR(__xludf.DUMMYFUNCTION("""COMPUTED_VALUE"""),29.0)</f>
        <v>29</v>
      </c>
      <c r="M857">
        <f>IFERROR(__xludf.DUMMYFUNCTION("""COMPUTED_VALUE"""),69.0)</f>
        <v>69</v>
      </c>
      <c r="N857" t="str">
        <f>IFERROR(__xludf.DUMMYFUNCTION("""COMPUTED_VALUE"""),"Model 3 LR")</f>
        <v>Model 3 LR</v>
      </c>
      <c r="O857" t="str">
        <f>IFERROR(__xludf.DUMMYFUNCTION("""COMPUTED_VALUE"""),"Obsidian Black Metallic")</f>
        <v>Obsidian Black Metallic</v>
      </c>
      <c r="P857" t="str">
        <f>IFERROR(__xludf.DUMMYFUNCTION("""COMPUTED_VALUE"""),"18 inch Aero")</f>
        <v>18 inch Aero</v>
      </c>
      <c r="Q857" t="str">
        <f>IFERROR(__xludf.DUMMYFUNCTION("""COMPUTED_VALUE"""),"Black seats")</f>
        <v>Black seats</v>
      </c>
      <c r="R857" t="str">
        <f>IFERROR(__xludf.DUMMYFUNCTION("""COMPUTED_VALUE"""),"Enhanced Autopilot")</f>
        <v>Enhanced Autopilot</v>
      </c>
      <c r="X857" t="str">
        <f>IFERROR(__xludf.DUMMYFUNCTION("""COMPUTED_VALUE"""),"Very Good")</f>
        <v>Very Good</v>
      </c>
      <c r="Y857" t="str">
        <f>IFERROR(__xludf.DUMMYFUNCTION("""COMPUTED_VALUE"""),"Excellent")</f>
        <v>Excellent</v>
      </c>
      <c r="Z857" t="str">
        <f>IFERROR(__xludf.DUMMYFUNCTION("""COMPUTED_VALUE"""),"Very Good")</f>
        <v>Very Good</v>
      </c>
      <c r="AA857" t="str">
        <f>IFERROR(__xludf.DUMMYFUNCTION("""COMPUTED_VALUE"""),"Fair")</f>
        <v>Fair</v>
      </c>
      <c r="AB857" t="str">
        <f>IFERROR(__xludf.DUMMYFUNCTION("""COMPUTED_VALUE"""),"Excellent")</f>
        <v>Excellent</v>
      </c>
      <c r="AC857">
        <f>IFERROR(__xludf.DUMMYFUNCTION("""COMPUTED_VALUE"""),3.0)</f>
        <v>3</v>
      </c>
      <c r="AD857">
        <f>IFERROR(__xludf.DUMMYFUNCTION("""COMPUTED_VALUE"""),2.0)</f>
        <v>2</v>
      </c>
      <c r="AE857">
        <f>IFERROR(__xludf.DUMMYFUNCTION("""COMPUTED_VALUE"""),1.0)</f>
        <v>1</v>
      </c>
      <c r="AG857" t="str">
        <f>IFERROR(__xludf.DUMMYFUNCTION("""COMPUTED_VALUE"""),"1 bad proximity sensor from day 1.  2 minor spots on hood that needed buffed out.  Gap on passenger side between two doors was big at top, very small at bottom.")</f>
        <v>1 bad proximity sensor from day 1.  2 minor spots on hood that needed buffed out.  Gap on passenger side between two doors was big at top, very small at bottom.</v>
      </c>
      <c r="AH857" s="189">
        <f>IFERROR(__xludf.DUMMYFUNCTION("""COMPUTED_VALUE"""),43369.52499452546)</f>
        <v>43369.52499</v>
      </c>
    </row>
    <row r="858">
      <c r="A858" t="str">
        <f>IFERROR(__xludf.DUMMYFUNCTION("""COMPUTED_VALUE"""),"N3RVOUS")</f>
        <v>N3RVOUS</v>
      </c>
      <c r="B858" t="str">
        <f>IFERROR(__xludf.DUMMYFUNCTION("""COMPUTED_VALUE"""),"Spokane")</f>
        <v>Spokane</v>
      </c>
      <c r="C858" t="str">
        <f>IFERROR(__xludf.DUMMYFUNCTION("""COMPUTED_VALUE"""),"WA")</f>
        <v>WA</v>
      </c>
      <c r="D858" t="str">
        <f>IFERROR(__xludf.DUMMYFUNCTION("""COMPUTED_VALUE"""),"USA")</f>
        <v>USA</v>
      </c>
      <c r="E858" s="188">
        <f>IFERROR(__xludf.DUMMYFUNCTION("""COMPUTED_VALUE"""),43341.0)</f>
        <v>43341</v>
      </c>
      <c r="F858" s="188">
        <f>IFERROR(__xludf.DUMMYFUNCTION("""COMPUTED_VALUE"""),43349.0)</f>
        <v>43349</v>
      </c>
      <c r="H858">
        <f>IFERROR(__xludf.DUMMYFUNCTION("""COMPUTED_VALUE"""),53312.0)</f>
        <v>53312</v>
      </c>
      <c r="I858" t="str">
        <f>IFERROR(__xludf.DUMMYFUNCTION("""COMPUTED_VALUE"""),"08/18")</f>
        <v>08/18</v>
      </c>
      <c r="J858" s="5">
        <f>IFERROR(__xludf.DUMMYFUNCTION("""COMPUTED_VALUE"""),43365.0)</f>
        <v>43365</v>
      </c>
      <c r="K858">
        <f>IFERROR(__xludf.DUMMYFUNCTION("""COMPUTED_VALUE"""),8.0)</f>
        <v>8</v>
      </c>
      <c r="L858">
        <f>IFERROR(__xludf.DUMMYFUNCTION("""COMPUTED_VALUE"""),16.0)</f>
        <v>16</v>
      </c>
      <c r="M858">
        <f>IFERROR(__xludf.DUMMYFUNCTION("""COMPUTED_VALUE"""),24.0)</f>
        <v>24</v>
      </c>
      <c r="N858" t="str">
        <f>IFERROR(__xludf.DUMMYFUNCTION("""COMPUTED_VALUE"""),"Model 3 LR")</f>
        <v>Model 3 LR</v>
      </c>
      <c r="O858" t="str">
        <f>IFERROR(__xludf.DUMMYFUNCTION("""COMPUTED_VALUE"""),"Red Multi-Coat")</f>
        <v>Red Multi-Coat</v>
      </c>
      <c r="P858" t="str">
        <f>IFERROR(__xludf.DUMMYFUNCTION("""COMPUTED_VALUE"""),"18 inch Aero")</f>
        <v>18 inch Aero</v>
      </c>
      <c r="Q858" t="str">
        <f>IFERROR(__xludf.DUMMYFUNCTION("""COMPUTED_VALUE"""),"Black seats")</f>
        <v>Black seats</v>
      </c>
      <c r="R858" t="str">
        <f>IFERROR(__xludf.DUMMYFUNCTION("""COMPUTED_VALUE"""),"None")</f>
        <v>None</v>
      </c>
      <c r="X858" t="str">
        <f>IFERROR(__xludf.DUMMYFUNCTION("""COMPUTED_VALUE"""),"Excellent")</f>
        <v>Excellent</v>
      </c>
      <c r="Y858" t="str">
        <f>IFERROR(__xludf.DUMMYFUNCTION("""COMPUTED_VALUE"""),"Excellent")</f>
        <v>Excellent</v>
      </c>
      <c r="Z858" t="str">
        <f>IFERROR(__xludf.DUMMYFUNCTION("""COMPUTED_VALUE"""),"Excellent")</f>
        <v>Excellent</v>
      </c>
      <c r="AA858" t="str">
        <f>IFERROR(__xludf.DUMMYFUNCTION("""COMPUTED_VALUE"""),"Very Good")</f>
        <v>Very Good</v>
      </c>
      <c r="AB858" t="str">
        <f>IFERROR(__xludf.DUMMYFUNCTION("""COMPUTED_VALUE"""),"Good")</f>
        <v>Good</v>
      </c>
      <c r="AC858">
        <f>IFERROR(__xludf.DUMMYFUNCTION("""COMPUTED_VALUE"""),2.0)</f>
        <v>2</v>
      </c>
      <c r="AD858">
        <f>IFERROR(__xludf.DUMMYFUNCTION("""COMPUTED_VALUE"""),1.0)</f>
        <v>1</v>
      </c>
      <c r="AE858">
        <f>IFERROR(__xludf.DUMMYFUNCTION("""COMPUTED_VALUE"""),0.0)</f>
        <v>0</v>
      </c>
      <c r="AG858" t="str">
        <f>IFERROR(__xludf.DUMMYFUNCTION("""COMPUTED_VALUE"""),"I live far enough away from a delivery center that I'm working with a home delivery specialist, but my Tesla account shows a Sept. 9th delivery date at the Bellevue Tesla Delivery Center.")</f>
        <v>I live far enough away from a delivery center that I'm working with a home delivery specialist, but my Tesla account shows a Sept. 9th delivery date at the Bellevue Tesla Delivery Center.</v>
      </c>
      <c r="AH858" s="189">
        <f>IFERROR(__xludf.DUMMYFUNCTION("""COMPUTED_VALUE"""),43369.55760690972)</f>
        <v>43369.55761</v>
      </c>
    </row>
    <row r="859">
      <c r="A859" t="str">
        <f>IFERROR(__xludf.DUMMYFUNCTION("""COMPUTED_VALUE"""),"deesae")</f>
        <v>deesae</v>
      </c>
      <c r="B859" t="str">
        <f>IFERROR(__xludf.DUMMYFUNCTION("""COMPUTED_VALUE"""),"Seattle")</f>
        <v>Seattle</v>
      </c>
      <c r="C859" t="str">
        <f>IFERROR(__xludf.DUMMYFUNCTION("""COMPUTED_VALUE"""),"WA")</f>
        <v>WA</v>
      </c>
      <c r="D859" t="str">
        <f>IFERROR(__xludf.DUMMYFUNCTION("""COMPUTED_VALUE"""),"USA")</f>
        <v>USA</v>
      </c>
      <c r="E859" s="188">
        <f>IFERROR(__xludf.DUMMYFUNCTION("""COMPUTED_VALUE"""),43353.0)</f>
        <v>43353</v>
      </c>
      <c r="F859" s="188">
        <f>IFERROR(__xludf.DUMMYFUNCTION("""COMPUTED_VALUE"""),43355.0)</f>
        <v>43355</v>
      </c>
      <c r="H859">
        <f>IFERROR(__xludf.DUMMYFUNCTION("""COMPUTED_VALUE"""),68555.0)</f>
        <v>68555</v>
      </c>
      <c r="I859" t="str">
        <f>IFERROR(__xludf.DUMMYFUNCTION("""COMPUTED_VALUE"""),"08/18")</f>
        <v>08/18</v>
      </c>
      <c r="J859" s="5">
        <f>IFERROR(__xludf.DUMMYFUNCTION("""COMPUTED_VALUE"""),43371.0)</f>
        <v>43371</v>
      </c>
      <c r="K859">
        <f>IFERROR(__xludf.DUMMYFUNCTION("""COMPUTED_VALUE"""),2.0)</f>
        <v>2</v>
      </c>
      <c r="L859">
        <f>IFERROR(__xludf.DUMMYFUNCTION("""COMPUTED_VALUE"""),16.0)</f>
        <v>16</v>
      </c>
      <c r="M859">
        <f>IFERROR(__xludf.DUMMYFUNCTION("""COMPUTED_VALUE"""),18.0)</f>
        <v>18</v>
      </c>
      <c r="N859" t="str">
        <f>IFERROR(__xludf.DUMMYFUNCTION("""COMPUTED_VALUE"""),"Model 3 LR AWD")</f>
        <v>Model 3 LR AWD</v>
      </c>
      <c r="O859" t="str">
        <f>IFERROR(__xludf.DUMMYFUNCTION("""COMPUTED_VALUE"""),"Solid Black")</f>
        <v>Solid Black</v>
      </c>
      <c r="P859" t="str">
        <f>IFERROR(__xludf.DUMMYFUNCTION("""COMPUTED_VALUE"""),"18 inch Aero")</f>
        <v>18 inch Aero</v>
      </c>
      <c r="Q859" t="str">
        <f>IFERROR(__xludf.DUMMYFUNCTION("""COMPUTED_VALUE"""),"Black seats")</f>
        <v>Black seats</v>
      </c>
      <c r="R859" t="str">
        <f>IFERROR(__xludf.DUMMYFUNCTION("""COMPUTED_VALUE"""),"Enhanced Autopilot")</f>
        <v>Enhanced Autopilot</v>
      </c>
      <c r="X859" t="str">
        <f>IFERROR(__xludf.DUMMYFUNCTION("""COMPUTED_VALUE"""),"Excellent")</f>
        <v>Excellent</v>
      </c>
      <c r="Y859" t="str">
        <f>IFERROR(__xludf.DUMMYFUNCTION("""COMPUTED_VALUE"""),"Excellent")</f>
        <v>Excellent</v>
      </c>
      <c r="Z859" t="str">
        <f>IFERROR(__xludf.DUMMYFUNCTION("""COMPUTED_VALUE"""),"Very Good")</f>
        <v>Very Good</v>
      </c>
      <c r="AA859" t="str">
        <f>IFERROR(__xludf.DUMMYFUNCTION("""COMPUTED_VALUE"""),"Very Good")</f>
        <v>Very Good</v>
      </c>
      <c r="AB859" t="str">
        <f>IFERROR(__xludf.DUMMYFUNCTION("""COMPUTED_VALUE"""),"Fair")</f>
        <v>Fair</v>
      </c>
      <c r="AC859">
        <f>IFERROR(__xludf.DUMMYFUNCTION("""COMPUTED_VALUE"""),4.0)</f>
        <v>4</v>
      </c>
      <c r="AD859">
        <f>IFERROR(__xludf.DUMMYFUNCTION("""COMPUTED_VALUE"""),2.0)</f>
        <v>2</v>
      </c>
      <c r="AE859">
        <f>IFERROR(__xludf.DUMMYFUNCTION("""COMPUTED_VALUE"""),7.0)</f>
        <v>7</v>
      </c>
      <c r="AG859" t="str">
        <f>IFERROR(__xludf.DUMMYFUNCTION("""COMPUTED_VALUE"""),"Delivery guy only spent 10 minutes with me then rush me off.  Found chip on passenger front light, back driver break and turn light did not work, EAP was not activated for me until 3 days later even when I paid for it when I ordered my car.  While replaci"&amp;"ng my lights someone at the service center scape my bumper.")</f>
        <v>Delivery guy only spent 10 minutes with me then rush me off.  Found chip on passenger front light, back driver break and turn light did not work, EAP was not activated for me until 3 days later even when I paid for it when I ordered my car.  While replacing my lights someone at the service center scape my bumper.</v>
      </c>
      <c r="AH859" s="189">
        <f>IFERROR(__xludf.DUMMYFUNCTION("""COMPUTED_VALUE"""),43369.5685287963)</f>
        <v>43369.56853</v>
      </c>
    </row>
    <row r="860">
      <c r="A860" t="str">
        <f>IFERROR(__xludf.DUMMYFUNCTION("""COMPUTED_VALUE"""),"Aquatilis")</f>
        <v>Aquatilis</v>
      </c>
      <c r="C860" t="str">
        <f>IFERROR(__xludf.DUMMYFUNCTION("""COMPUTED_VALUE"""),"MT")</f>
        <v>MT</v>
      </c>
      <c r="D860" t="str">
        <f>IFERROR(__xludf.DUMMYFUNCTION("""COMPUTED_VALUE"""),"USA")</f>
        <v>USA</v>
      </c>
      <c r="E860" s="188">
        <f>IFERROR(__xludf.DUMMYFUNCTION("""COMPUTED_VALUE"""),43278.0)</f>
        <v>43278</v>
      </c>
      <c r="F860" s="188">
        <f>IFERROR(__xludf.DUMMYFUNCTION("""COMPUTED_VALUE"""),43357.0)</f>
        <v>43357</v>
      </c>
      <c r="H860">
        <f>IFERROR(__xludf.DUMMYFUNCTION("""COMPUTED_VALUE"""),84055.0)</f>
        <v>84055</v>
      </c>
      <c r="J860" s="5">
        <f>IFERROR(__xludf.DUMMYFUNCTION("""COMPUTED_VALUE"""),43369.0)</f>
        <v>43369</v>
      </c>
      <c r="K860">
        <f>IFERROR(__xludf.DUMMYFUNCTION("""COMPUTED_VALUE"""),79.0)</f>
        <v>79</v>
      </c>
      <c r="L860">
        <f>IFERROR(__xludf.DUMMYFUNCTION("""COMPUTED_VALUE"""),12.0)</f>
        <v>12</v>
      </c>
      <c r="M860">
        <f>IFERROR(__xludf.DUMMYFUNCTION("""COMPUTED_VALUE"""),91.0)</f>
        <v>91</v>
      </c>
      <c r="N860" t="str">
        <f>IFERROR(__xludf.DUMMYFUNCTION("""COMPUTED_VALUE"""),"Model 3 Performance")</f>
        <v>Model 3 Performance</v>
      </c>
      <c r="O860" t="str">
        <f>IFERROR(__xludf.DUMMYFUNCTION("""COMPUTED_VALUE"""),"Deep Blue Metallic")</f>
        <v>Deep Blue Metallic</v>
      </c>
      <c r="P860" t="str">
        <f>IFERROR(__xludf.DUMMYFUNCTION("""COMPUTED_VALUE"""),"20 inch Sport")</f>
        <v>20 inch Sport</v>
      </c>
      <c r="Q860" t="str">
        <f>IFERROR(__xludf.DUMMYFUNCTION("""COMPUTED_VALUE"""),"Black seats")</f>
        <v>Black seats</v>
      </c>
      <c r="R860" t="str">
        <f>IFERROR(__xludf.DUMMYFUNCTION("""COMPUTED_VALUE"""),"None")</f>
        <v>None</v>
      </c>
      <c r="X860" t="str">
        <f>IFERROR(__xludf.DUMMYFUNCTION("""COMPUTED_VALUE"""),"Very Good")</f>
        <v>Very Good</v>
      </c>
      <c r="Y860" t="str">
        <f>IFERROR(__xludf.DUMMYFUNCTION("""COMPUTED_VALUE"""),"Very Good")</f>
        <v>Very Good</v>
      </c>
      <c r="Z860" t="str">
        <f>IFERROR(__xludf.DUMMYFUNCTION("""COMPUTED_VALUE"""),"Very Good")</f>
        <v>Very Good</v>
      </c>
      <c r="AA860" t="str">
        <f>IFERROR(__xludf.DUMMYFUNCTION("""COMPUTED_VALUE"""),"Good")</f>
        <v>Good</v>
      </c>
      <c r="AB860" t="str">
        <f>IFERROR(__xludf.DUMMYFUNCTION("""COMPUTED_VALUE"""),"Good")</f>
        <v>Good</v>
      </c>
      <c r="AH860" s="189">
        <f>IFERROR(__xludf.DUMMYFUNCTION("""COMPUTED_VALUE"""),43369.63817335648)</f>
        <v>43369.63817</v>
      </c>
    </row>
    <row r="861">
      <c r="A861" t="str">
        <f>IFERROR(__xludf.DUMMYFUNCTION("""COMPUTED_VALUE"""),"natmaster")</f>
        <v>natmaster</v>
      </c>
      <c r="B861" t="str">
        <f>IFERROR(__xludf.DUMMYFUNCTION("""COMPUTED_VALUE"""),"SF Bay Area")</f>
        <v>SF Bay Area</v>
      </c>
      <c r="C861" t="str">
        <f>IFERROR(__xludf.DUMMYFUNCTION("""COMPUTED_VALUE"""),"CA")</f>
        <v>CA</v>
      </c>
      <c r="D861" t="str">
        <f>IFERROR(__xludf.DUMMYFUNCTION("""COMPUTED_VALUE"""),"USA")</f>
        <v>USA</v>
      </c>
      <c r="E861" s="188">
        <f>IFERROR(__xludf.DUMMYFUNCTION("""COMPUTED_VALUE"""),43281.0)</f>
        <v>43281</v>
      </c>
      <c r="F861" s="188">
        <f>IFERROR(__xludf.DUMMYFUNCTION("""COMPUTED_VALUE"""),43365.0)</f>
        <v>43365</v>
      </c>
      <c r="H861">
        <f>IFERROR(__xludf.DUMMYFUNCTION("""COMPUTED_VALUE"""),104755.0)</f>
        <v>104755</v>
      </c>
      <c r="I861" t="str">
        <f>IFERROR(__xludf.DUMMYFUNCTION("""COMPUTED_VALUE"""),"09/18")</f>
        <v>09/18</v>
      </c>
      <c r="J861" s="5">
        <f>IFERROR(__xludf.DUMMYFUNCTION("""COMPUTED_VALUE"""),43369.0)</f>
        <v>43369</v>
      </c>
      <c r="K861">
        <f>IFERROR(__xludf.DUMMYFUNCTION("""COMPUTED_VALUE"""),84.0)</f>
        <v>84</v>
      </c>
      <c r="L861">
        <f>IFERROR(__xludf.DUMMYFUNCTION("""COMPUTED_VALUE"""),4.0)</f>
        <v>4</v>
      </c>
      <c r="M861">
        <f>IFERROR(__xludf.DUMMYFUNCTION("""COMPUTED_VALUE"""),88.0)</f>
        <v>88</v>
      </c>
      <c r="N861" t="str">
        <f>IFERROR(__xludf.DUMMYFUNCTION("""COMPUTED_VALUE"""),"Model 3 LR AWD")</f>
        <v>Model 3 LR AWD</v>
      </c>
      <c r="O861" t="str">
        <f>IFERROR(__xludf.DUMMYFUNCTION("""COMPUTED_VALUE"""),"Red Multi-Coat")</f>
        <v>Red Multi-Coat</v>
      </c>
      <c r="P861" t="str">
        <f>IFERROR(__xludf.DUMMYFUNCTION("""COMPUTED_VALUE"""),"18 inch Aero")</f>
        <v>18 inch Aero</v>
      </c>
      <c r="Q861" t="str">
        <f>IFERROR(__xludf.DUMMYFUNCTION("""COMPUTED_VALUE"""),"Black seats")</f>
        <v>Black seats</v>
      </c>
      <c r="R861" t="str">
        <f>IFERROR(__xludf.DUMMYFUNCTION("""COMPUTED_VALUE"""),"Enhanced Autopilot")</f>
        <v>Enhanced Autopilot</v>
      </c>
      <c r="X861" t="str">
        <f>IFERROR(__xludf.DUMMYFUNCTION("""COMPUTED_VALUE"""),"Excellent")</f>
        <v>Excellent</v>
      </c>
      <c r="Y861" t="str">
        <f>IFERROR(__xludf.DUMMYFUNCTION("""COMPUTED_VALUE"""),"Excellent")</f>
        <v>Excellent</v>
      </c>
      <c r="Z861" t="str">
        <f>IFERROR(__xludf.DUMMYFUNCTION("""COMPUTED_VALUE"""),"Very Good")</f>
        <v>Very Good</v>
      </c>
      <c r="AA861" t="str">
        <f>IFERROR(__xludf.DUMMYFUNCTION("""COMPUTED_VALUE"""),"Fair")</f>
        <v>Fair</v>
      </c>
      <c r="AB861" t="str">
        <f>IFERROR(__xludf.DUMMYFUNCTION("""COMPUTED_VALUE"""),"Good")</f>
        <v>Good</v>
      </c>
      <c r="AC861">
        <f>IFERROR(__xludf.DUMMYFUNCTION("""COMPUTED_VALUE"""),1.0)</f>
        <v>1</v>
      </c>
      <c r="AH861" s="189">
        <f>IFERROR(__xludf.DUMMYFUNCTION("""COMPUTED_VALUE"""),43369.65153872685)</f>
        <v>43369.65154</v>
      </c>
    </row>
    <row r="862">
      <c r="A862" t="str">
        <f>IFERROR(__xludf.DUMMYFUNCTION("""COMPUTED_VALUE"""),"Hoppy")</f>
        <v>Hoppy</v>
      </c>
      <c r="B862" t="str">
        <f>IFERROR(__xludf.DUMMYFUNCTION("""COMPUTED_VALUE"""),"NJ")</f>
        <v>NJ</v>
      </c>
      <c r="C862" t="str">
        <f>IFERROR(__xludf.DUMMYFUNCTION("""COMPUTED_VALUE"""),"NJ")</f>
        <v>NJ</v>
      </c>
      <c r="D862" t="str">
        <f>IFERROR(__xludf.DUMMYFUNCTION("""COMPUTED_VALUE"""),"USA")</f>
        <v>USA</v>
      </c>
      <c r="E862" s="188">
        <f>IFERROR(__xludf.DUMMYFUNCTION("""COMPUTED_VALUE"""),43330.0)</f>
        <v>43330</v>
      </c>
      <c r="F862" s="188">
        <f>IFERROR(__xludf.DUMMYFUNCTION("""COMPUTED_VALUE"""),43360.0)</f>
        <v>43360</v>
      </c>
      <c r="H862">
        <f>IFERROR(__xludf.DUMMYFUNCTION("""COMPUTED_VALUE"""),87355.0)</f>
        <v>87355</v>
      </c>
      <c r="J862" s="5">
        <f>IFERROR(__xludf.DUMMYFUNCTION("""COMPUTED_VALUE"""),43369.0)</f>
        <v>43369</v>
      </c>
      <c r="K862">
        <f>IFERROR(__xludf.DUMMYFUNCTION("""COMPUTED_VALUE"""),30.0)</f>
        <v>30</v>
      </c>
      <c r="L862">
        <f>IFERROR(__xludf.DUMMYFUNCTION("""COMPUTED_VALUE"""),9.0)</f>
        <v>9</v>
      </c>
      <c r="M862">
        <f>IFERROR(__xludf.DUMMYFUNCTION("""COMPUTED_VALUE"""),39.0)</f>
        <v>39</v>
      </c>
      <c r="N862" t="str">
        <f>IFERROR(__xludf.DUMMYFUNCTION("""COMPUTED_VALUE"""),"Model 3 LR AWD")</f>
        <v>Model 3 LR AWD</v>
      </c>
      <c r="O862" t="str">
        <f>IFERROR(__xludf.DUMMYFUNCTION("""COMPUTED_VALUE"""),"Midnight Silver Metallic")</f>
        <v>Midnight Silver Metallic</v>
      </c>
      <c r="P862" t="str">
        <f>IFERROR(__xludf.DUMMYFUNCTION("""COMPUTED_VALUE"""),"18 inch Aero")</f>
        <v>18 inch Aero</v>
      </c>
      <c r="Q862" t="str">
        <f>IFERROR(__xludf.DUMMYFUNCTION("""COMPUTED_VALUE"""),"Black seats")</f>
        <v>Black seats</v>
      </c>
      <c r="R862" t="str">
        <f>IFERROR(__xludf.DUMMYFUNCTION("""COMPUTED_VALUE"""),"Enhanced Autopilot")</f>
        <v>Enhanced Autopilot</v>
      </c>
      <c r="X862" t="str">
        <f>IFERROR(__xludf.DUMMYFUNCTION("""COMPUTED_VALUE"""),"Good")</f>
        <v>Good</v>
      </c>
      <c r="Y862" t="str">
        <f>IFERROR(__xludf.DUMMYFUNCTION("""COMPUTED_VALUE"""),"Good")</f>
        <v>Good</v>
      </c>
      <c r="Z862" t="str">
        <f>IFERROR(__xludf.DUMMYFUNCTION("""COMPUTED_VALUE"""),"Very Good")</f>
        <v>Very Good</v>
      </c>
      <c r="AA862" t="str">
        <f>IFERROR(__xludf.DUMMYFUNCTION("""COMPUTED_VALUE"""),"Very Good")</f>
        <v>Very Good</v>
      </c>
      <c r="AB862" t="str">
        <f>IFERROR(__xludf.DUMMYFUNCTION("""COMPUTED_VALUE"""),"Fair")</f>
        <v>Fair</v>
      </c>
      <c r="AH862" s="189">
        <f>IFERROR(__xludf.DUMMYFUNCTION("""COMPUTED_VALUE"""),43369.67921741898)</f>
        <v>43369.67922</v>
      </c>
    </row>
    <row r="863">
      <c r="A863" t="str">
        <f>IFERROR(__xludf.DUMMYFUNCTION("""COMPUTED_VALUE"""),"pcbrhit")</f>
        <v>pcbrhit</v>
      </c>
      <c r="B863" t="str">
        <f>IFERROR(__xludf.DUMMYFUNCTION("""COMPUTED_VALUE"""),"Richmond")</f>
        <v>Richmond</v>
      </c>
      <c r="C863" t="str">
        <f>IFERROR(__xludf.DUMMYFUNCTION("""COMPUTED_VALUE"""),"VA")</f>
        <v>VA</v>
      </c>
      <c r="D863" t="str">
        <f>IFERROR(__xludf.DUMMYFUNCTION("""COMPUTED_VALUE"""),"USA")</f>
        <v>USA</v>
      </c>
      <c r="E863" s="188">
        <f>IFERROR(__xludf.DUMMYFUNCTION("""COMPUTED_VALUE"""),43323.0)</f>
        <v>43323</v>
      </c>
      <c r="F863" s="188">
        <f>IFERROR(__xludf.DUMMYFUNCTION("""COMPUTED_VALUE"""),43367.0)</f>
        <v>43367</v>
      </c>
      <c r="H863">
        <f>IFERROR(__xludf.DUMMYFUNCTION("""COMPUTED_VALUE"""),42155.0)</f>
        <v>42155</v>
      </c>
      <c r="I863" t="str">
        <f>IFERROR(__xludf.DUMMYFUNCTION("""COMPUTED_VALUE"""),"07/18")</f>
        <v>07/18</v>
      </c>
      <c r="J863" s="5">
        <f>IFERROR(__xludf.DUMMYFUNCTION("""COMPUTED_VALUE"""),43369.0)</f>
        <v>43369</v>
      </c>
      <c r="K863">
        <f>IFERROR(__xludf.DUMMYFUNCTION("""COMPUTED_VALUE"""),44.0)</f>
        <v>44</v>
      </c>
      <c r="L863">
        <f>IFERROR(__xludf.DUMMYFUNCTION("""COMPUTED_VALUE"""),2.0)</f>
        <v>2</v>
      </c>
      <c r="M863">
        <f>IFERROR(__xludf.DUMMYFUNCTION("""COMPUTED_VALUE"""),46.0)</f>
        <v>46</v>
      </c>
      <c r="N863" t="str">
        <f>IFERROR(__xludf.DUMMYFUNCTION("""COMPUTED_VALUE"""),"Model 3 LR")</f>
        <v>Model 3 LR</v>
      </c>
      <c r="O863" t="str">
        <f>IFERROR(__xludf.DUMMYFUNCTION("""COMPUTED_VALUE"""),"Silver Metallic")</f>
        <v>Silver Metallic</v>
      </c>
      <c r="P863" t="str">
        <f>IFERROR(__xludf.DUMMYFUNCTION("""COMPUTED_VALUE"""),"18 inch Aero")</f>
        <v>18 inch Aero</v>
      </c>
      <c r="Q863" t="str">
        <f>IFERROR(__xludf.DUMMYFUNCTION("""COMPUTED_VALUE"""),"Black seats")</f>
        <v>Black seats</v>
      </c>
      <c r="R863" t="str">
        <f>IFERROR(__xludf.DUMMYFUNCTION("""COMPUTED_VALUE"""),"Enhanced Autopilot")</f>
        <v>Enhanced Autopilot</v>
      </c>
      <c r="AA863" t="str">
        <f>IFERROR(__xludf.DUMMYFUNCTION("""COMPUTED_VALUE"""),"Very Good")</f>
        <v>Very Good</v>
      </c>
      <c r="AB863" t="str">
        <f>IFERROR(__xludf.DUMMYFUNCTION("""COMPUTED_VALUE"""),"Excellent")</f>
        <v>Excellent</v>
      </c>
      <c r="AH863" s="189">
        <f>IFERROR(__xludf.DUMMYFUNCTION("""COMPUTED_VALUE"""),43369.72824174768)</f>
        <v>43369.72824</v>
      </c>
    </row>
    <row r="864">
      <c r="A864" t="str">
        <f>IFERROR(__xludf.DUMMYFUNCTION("""COMPUTED_VALUE"""),"zhaddenham")</f>
        <v>zhaddenham</v>
      </c>
      <c r="B864" t="str">
        <f>IFERROR(__xludf.DUMMYFUNCTION("""COMPUTED_VALUE"""),"Salt Lake City")</f>
        <v>Salt Lake City</v>
      </c>
      <c r="C864" t="str">
        <f>IFERROR(__xludf.DUMMYFUNCTION("""COMPUTED_VALUE"""),"UT")</f>
        <v>UT</v>
      </c>
      <c r="D864" t="str">
        <f>IFERROR(__xludf.DUMMYFUNCTION("""COMPUTED_VALUE"""),"USA")</f>
        <v>USA</v>
      </c>
      <c r="E864" s="188">
        <f>IFERROR(__xludf.DUMMYFUNCTION("""COMPUTED_VALUE"""),43278.0)</f>
        <v>43278</v>
      </c>
      <c r="F864" s="188">
        <f>IFERROR(__xludf.DUMMYFUNCTION("""COMPUTED_VALUE"""),43341.0)</f>
        <v>43341</v>
      </c>
      <c r="H864">
        <f>IFERROR(__xludf.DUMMYFUNCTION("""COMPUTED_VALUE"""),68355.0)</f>
        <v>68355</v>
      </c>
      <c r="I864" t="str">
        <f>IFERROR(__xludf.DUMMYFUNCTION("""COMPUTED_VALUE"""),"08/18")</f>
        <v>08/18</v>
      </c>
      <c r="J864" s="5">
        <f>IFERROR(__xludf.DUMMYFUNCTION("""COMPUTED_VALUE"""),43349.0)</f>
        <v>43349</v>
      </c>
      <c r="K864">
        <f>IFERROR(__xludf.DUMMYFUNCTION("""COMPUTED_VALUE"""),63.0)</f>
        <v>63</v>
      </c>
      <c r="L864">
        <f>IFERROR(__xludf.DUMMYFUNCTION("""COMPUTED_VALUE"""),8.0)</f>
        <v>8</v>
      </c>
      <c r="M864">
        <f>IFERROR(__xludf.DUMMYFUNCTION("""COMPUTED_VALUE"""),71.0)</f>
        <v>71</v>
      </c>
      <c r="N864" t="str">
        <f>IFERROR(__xludf.DUMMYFUNCTION("""COMPUTED_VALUE"""),"Model 3 LR AWD")</f>
        <v>Model 3 LR AWD</v>
      </c>
      <c r="O864" t="str">
        <f>IFERROR(__xludf.DUMMYFUNCTION("""COMPUTED_VALUE"""),"Solid Black")</f>
        <v>Solid Black</v>
      </c>
      <c r="P864" t="str">
        <f>IFERROR(__xludf.DUMMYFUNCTION("""COMPUTED_VALUE"""),"18 inch Aero")</f>
        <v>18 inch Aero</v>
      </c>
      <c r="Q864" t="str">
        <f>IFERROR(__xludf.DUMMYFUNCTION("""COMPUTED_VALUE"""),"Black seats")</f>
        <v>Black seats</v>
      </c>
      <c r="R864" t="str">
        <f>IFERROR(__xludf.DUMMYFUNCTION("""COMPUTED_VALUE"""),"Enhanced Autopilot")</f>
        <v>Enhanced Autopilot</v>
      </c>
      <c r="X864" t="str">
        <f>IFERROR(__xludf.DUMMYFUNCTION("""COMPUTED_VALUE"""),"Very Good")</f>
        <v>Very Good</v>
      </c>
      <c r="Y864" t="str">
        <f>IFERROR(__xludf.DUMMYFUNCTION("""COMPUTED_VALUE"""),"Good")</f>
        <v>Good</v>
      </c>
      <c r="Z864" t="str">
        <f>IFERROR(__xludf.DUMMYFUNCTION("""COMPUTED_VALUE"""),"Good")</f>
        <v>Good</v>
      </c>
      <c r="AA864" t="str">
        <f>IFERROR(__xludf.DUMMYFUNCTION("""COMPUTED_VALUE"""),"Excellent")</f>
        <v>Excellent</v>
      </c>
      <c r="AB864" t="str">
        <f>IFERROR(__xludf.DUMMYFUNCTION("""COMPUTED_VALUE"""),"Excellent")</f>
        <v>Excellent</v>
      </c>
      <c r="AC864">
        <f>IFERROR(__xludf.DUMMYFUNCTION("""COMPUTED_VALUE"""),4.0)</f>
        <v>4</v>
      </c>
      <c r="AD864">
        <f>IFERROR(__xludf.DUMMYFUNCTION("""COMPUTED_VALUE"""),1.0)</f>
        <v>1</v>
      </c>
      <c r="AE864">
        <f>IFERROR(__xludf.DUMMYFUNCTION("""COMPUTED_VALUE"""),7.0)</f>
        <v>7</v>
      </c>
      <c r="AG864" t="str">
        <f>IFERROR(__xludf.DUMMYFUNCTION("""COMPUTED_VALUE"""),"The number of days on repairs was waiting for parts to ship. I got a loaner during the time they had it, I love Tesla, everything is fantastic. ")</f>
        <v>The number of days on repairs was waiting for parts to ship. I got a loaner during the time they had it, I love Tesla, everything is fantastic. </v>
      </c>
      <c r="AH864" s="189">
        <f>IFERROR(__xludf.DUMMYFUNCTION("""COMPUTED_VALUE"""),43369.73653751158)</f>
        <v>43369.73654</v>
      </c>
    </row>
    <row r="865">
      <c r="A865" t="str">
        <f>IFERROR(__xludf.DUMMYFUNCTION("""COMPUTED_VALUE"""),"sloper")</f>
        <v>sloper</v>
      </c>
      <c r="B865" t="str">
        <f>IFERROR(__xludf.DUMMYFUNCTION("""COMPUTED_VALUE"""),"Brooklyn")</f>
        <v>Brooklyn</v>
      </c>
      <c r="C865" t="str">
        <f>IFERROR(__xludf.DUMMYFUNCTION("""COMPUTED_VALUE"""),"NY")</f>
        <v>NY</v>
      </c>
      <c r="D865" t="str">
        <f>IFERROR(__xludf.DUMMYFUNCTION("""COMPUTED_VALUE"""),"USA")</f>
        <v>USA</v>
      </c>
      <c r="E865" s="188">
        <f>IFERROR(__xludf.DUMMYFUNCTION("""COMPUTED_VALUE"""),43282.0)</f>
        <v>43282</v>
      </c>
      <c r="F865" s="188">
        <f>IFERROR(__xludf.DUMMYFUNCTION("""COMPUTED_VALUE"""),43336.0)</f>
        <v>43336</v>
      </c>
      <c r="H865">
        <f>IFERROR(__xludf.DUMMYFUNCTION("""COMPUTED_VALUE"""),96075.0)</f>
        <v>96075</v>
      </c>
      <c r="J865" s="5">
        <f>IFERROR(__xludf.DUMMYFUNCTION("""COMPUTED_VALUE"""),43363.0)</f>
        <v>43363</v>
      </c>
      <c r="K865">
        <f>IFERROR(__xludf.DUMMYFUNCTION("""COMPUTED_VALUE"""),54.0)</f>
        <v>54</v>
      </c>
      <c r="L865">
        <f>IFERROR(__xludf.DUMMYFUNCTION("""COMPUTED_VALUE"""),27.0)</f>
        <v>27</v>
      </c>
      <c r="M865">
        <f>IFERROR(__xludf.DUMMYFUNCTION("""COMPUTED_VALUE"""),81.0)</f>
        <v>81</v>
      </c>
      <c r="N865" t="str">
        <f>IFERROR(__xludf.DUMMYFUNCTION("""COMPUTED_VALUE"""),"Model 3 LR AWD")</f>
        <v>Model 3 LR AWD</v>
      </c>
      <c r="O865" t="str">
        <f>IFERROR(__xludf.DUMMYFUNCTION("""COMPUTED_VALUE"""),"Midnight Silver Metallic")</f>
        <v>Midnight Silver Metallic</v>
      </c>
      <c r="P865" t="str">
        <f>IFERROR(__xludf.DUMMYFUNCTION("""COMPUTED_VALUE"""),"18 inch Aero")</f>
        <v>18 inch Aero</v>
      </c>
      <c r="Q865" t="str">
        <f>IFERROR(__xludf.DUMMYFUNCTION("""COMPUTED_VALUE"""),"White seats")</f>
        <v>White seats</v>
      </c>
      <c r="R865" t="str">
        <f>IFERROR(__xludf.DUMMYFUNCTION("""COMPUTED_VALUE"""),"Enhanced Autopilot")</f>
        <v>Enhanced Autopilot</v>
      </c>
      <c r="X865" t="str">
        <f>IFERROR(__xludf.DUMMYFUNCTION("""COMPUTED_VALUE"""),"Very Good")</f>
        <v>Very Good</v>
      </c>
      <c r="Y865" t="str">
        <f>IFERROR(__xludf.DUMMYFUNCTION("""COMPUTED_VALUE"""),"Excellent")</f>
        <v>Excellent</v>
      </c>
      <c r="Z865" t="str">
        <f>IFERROR(__xludf.DUMMYFUNCTION("""COMPUTED_VALUE"""),"Excellent")</f>
        <v>Excellent</v>
      </c>
      <c r="AA865" t="str">
        <f>IFERROR(__xludf.DUMMYFUNCTION("""COMPUTED_VALUE"""),"Fair")</f>
        <v>Fair</v>
      </c>
      <c r="AB865" t="str">
        <f>IFERROR(__xludf.DUMMYFUNCTION("""COMPUTED_VALUE"""),"Excellent")</f>
        <v>Excellent</v>
      </c>
      <c r="AG865" t="str">
        <f>IFERROR(__xludf.DUMMYFUNCTION("""COMPUTED_VALUE"""),"First delivery date was missed by 12 days")</f>
        <v>First delivery date was missed by 12 days</v>
      </c>
      <c r="AH865" s="189">
        <f>IFERROR(__xludf.DUMMYFUNCTION("""COMPUTED_VALUE"""),43369.73791003472)</f>
        <v>43369.73791</v>
      </c>
    </row>
    <row r="866">
      <c r="A866" t="str">
        <f>IFERROR(__xludf.DUMMYFUNCTION("""COMPUTED_VALUE"""),"AQubit")</f>
        <v>AQubit</v>
      </c>
      <c r="C866" t="str">
        <f>IFERROR(__xludf.DUMMYFUNCTION("""COMPUTED_VALUE"""),"MO")</f>
        <v>MO</v>
      </c>
      <c r="D866" t="str">
        <f>IFERROR(__xludf.DUMMYFUNCTION("""COMPUTED_VALUE"""),"USA")</f>
        <v>USA</v>
      </c>
      <c r="E866" s="188">
        <f>IFERROR(__xludf.DUMMYFUNCTION("""COMPUTED_VALUE"""),43316.0)</f>
        <v>43316</v>
      </c>
      <c r="F866" s="188">
        <f>IFERROR(__xludf.DUMMYFUNCTION("""COMPUTED_VALUE"""),43333.0)</f>
        <v>43333</v>
      </c>
      <c r="H866">
        <f>IFERROR(__xludf.DUMMYFUNCTION("""COMPUTED_VALUE"""),96355.0)</f>
        <v>96355</v>
      </c>
      <c r="J866" s="5">
        <f>IFERROR(__xludf.DUMMYFUNCTION("""COMPUTED_VALUE"""),43362.0)</f>
        <v>43362</v>
      </c>
      <c r="K866">
        <f>IFERROR(__xludf.DUMMYFUNCTION("""COMPUTED_VALUE"""),17.0)</f>
        <v>17</v>
      </c>
      <c r="L866">
        <f>IFERROR(__xludf.DUMMYFUNCTION("""COMPUTED_VALUE"""),29.0)</f>
        <v>29</v>
      </c>
      <c r="M866">
        <f>IFERROR(__xludf.DUMMYFUNCTION("""COMPUTED_VALUE"""),46.0)</f>
        <v>46</v>
      </c>
      <c r="N866" t="str">
        <f>IFERROR(__xludf.DUMMYFUNCTION("""COMPUTED_VALUE"""),"Model 3 LR AWD")</f>
        <v>Model 3 LR AWD</v>
      </c>
      <c r="O866" t="str">
        <f>IFERROR(__xludf.DUMMYFUNCTION("""COMPUTED_VALUE"""),"Red Multi-Coat")</f>
        <v>Red Multi-Coat</v>
      </c>
      <c r="P866" t="str">
        <f>IFERROR(__xludf.DUMMYFUNCTION("""COMPUTED_VALUE"""),"18 inch Aero")</f>
        <v>18 inch Aero</v>
      </c>
      <c r="Q866" t="str">
        <f>IFERROR(__xludf.DUMMYFUNCTION("""COMPUTED_VALUE"""),"White seats")</f>
        <v>White seats</v>
      </c>
      <c r="R866" t="str">
        <f>IFERROR(__xludf.DUMMYFUNCTION("""COMPUTED_VALUE"""),"Enhanced Autopilot")</f>
        <v>Enhanced Autopilot</v>
      </c>
      <c r="X866" t="str">
        <f>IFERROR(__xludf.DUMMYFUNCTION("""COMPUTED_VALUE"""),"Very Good")</f>
        <v>Very Good</v>
      </c>
      <c r="Y866" t="str">
        <f>IFERROR(__xludf.DUMMYFUNCTION("""COMPUTED_VALUE"""),"Excellent")</f>
        <v>Excellent</v>
      </c>
      <c r="Z866" t="str">
        <f>IFERROR(__xludf.DUMMYFUNCTION("""COMPUTED_VALUE"""),"Very Good")</f>
        <v>Very Good</v>
      </c>
      <c r="AA866" t="str">
        <f>IFERROR(__xludf.DUMMYFUNCTION("""COMPUTED_VALUE"""),"Good")</f>
        <v>Good</v>
      </c>
      <c r="AB866" t="str">
        <f>IFERROR(__xludf.DUMMYFUNCTION("""COMPUTED_VALUE"""),"Very Good")</f>
        <v>Very Good</v>
      </c>
      <c r="AC866">
        <f>IFERROR(__xludf.DUMMYFUNCTION("""COMPUTED_VALUE"""),2.0)</f>
        <v>2</v>
      </c>
      <c r="AH866" s="189">
        <f>IFERROR(__xludf.DUMMYFUNCTION("""COMPUTED_VALUE"""),43369.738061909724)</f>
        <v>43369.73806</v>
      </c>
    </row>
    <row r="867">
      <c r="A867" t="str">
        <f>IFERROR(__xludf.DUMMYFUNCTION("""COMPUTED_VALUE"""),"systemBuilder")</f>
        <v>systemBuilder</v>
      </c>
      <c r="B867" t="str">
        <f>IFERROR(__xludf.DUMMYFUNCTION("""COMPUTED_VALUE"""),"Palo Alto")</f>
        <v>Palo Alto</v>
      </c>
      <c r="C867" t="str">
        <f>IFERROR(__xludf.DUMMYFUNCTION("""COMPUTED_VALUE"""),"CA")</f>
        <v>CA</v>
      </c>
      <c r="D867" t="str">
        <f>IFERROR(__xludf.DUMMYFUNCTION("""COMPUTED_VALUE"""),"USA")</f>
        <v>USA</v>
      </c>
      <c r="E867" s="188">
        <f>IFERROR(__xludf.DUMMYFUNCTION("""COMPUTED_VALUE"""),43281.0)</f>
        <v>43281</v>
      </c>
      <c r="F867" s="188">
        <f>IFERROR(__xludf.DUMMYFUNCTION("""COMPUTED_VALUE"""),43350.0)</f>
        <v>43350</v>
      </c>
      <c r="H867" s="4">
        <f>IFERROR(__xludf.DUMMYFUNCTION("""COMPUTED_VALUE"""),63057.0)</f>
        <v>63057</v>
      </c>
      <c r="I867" t="str">
        <f>IFERROR(__xludf.DUMMYFUNCTION("""COMPUTED_VALUE"""),"08/18")</f>
        <v>08/18</v>
      </c>
      <c r="J867" s="5">
        <f>IFERROR(__xludf.DUMMYFUNCTION("""COMPUTED_VALUE"""),43355.0)</f>
        <v>43355</v>
      </c>
      <c r="K867">
        <f>IFERROR(__xludf.DUMMYFUNCTION("""COMPUTED_VALUE"""),69.0)</f>
        <v>69</v>
      </c>
      <c r="L867">
        <f>IFERROR(__xludf.DUMMYFUNCTION("""COMPUTED_VALUE"""),5.0)</f>
        <v>5</v>
      </c>
      <c r="M867">
        <f>IFERROR(__xludf.DUMMYFUNCTION("""COMPUTED_VALUE"""),74.0)</f>
        <v>74</v>
      </c>
      <c r="N867" t="str">
        <f>IFERROR(__xludf.DUMMYFUNCTION("""COMPUTED_VALUE"""),"Model 3 Performance")</f>
        <v>Model 3 Performance</v>
      </c>
      <c r="O867" t="str">
        <f>IFERROR(__xludf.DUMMYFUNCTION("""COMPUTED_VALUE"""),"Deep Blue Metallic")</f>
        <v>Deep Blue Metallic</v>
      </c>
      <c r="P867" t="str">
        <f>IFERROR(__xludf.DUMMYFUNCTION("""COMPUTED_VALUE"""),"20 inch Sport")</f>
        <v>20 inch Sport</v>
      </c>
      <c r="Q867" t="str">
        <f>IFERROR(__xludf.DUMMYFUNCTION("""COMPUTED_VALUE"""),"Black seats")</f>
        <v>Black seats</v>
      </c>
      <c r="R867" t="str">
        <f>IFERROR(__xludf.DUMMYFUNCTION("""COMPUTED_VALUE"""),"None")</f>
        <v>None</v>
      </c>
      <c r="X867" t="str">
        <f>IFERROR(__xludf.DUMMYFUNCTION("""COMPUTED_VALUE"""),"Excellent")</f>
        <v>Excellent</v>
      </c>
      <c r="Y867" t="str">
        <f>IFERROR(__xludf.DUMMYFUNCTION("""COMPUTED_VALUE"""),"Excellent")</f>
        <v>Excellent</v>
      </c>
      <c r="Z867" t="str">
        <f>IFERROR(__xludf.DUMMYFUNCTION("""COMPUTED_VALUE"""),"Excellent")</f>
        <v>Excellent</v>
      </c>
      <c r="AA867" t="str">
        <f>IFERROR(__xludf.DUMMYFUNCTION("""COMPUTED_VALUE"""),"Good")</f>
        <v>Good</v>
      </c>
      <c r="AB867" t="str">
        <f>IFERROR(__xludf.DUMMYFUNCTION("""COMPUTED_VALUE"""),"Excellent")</f>
        <v>Excellent</v>
      </c>
      <c r="AC867">
        <f>IFERROR(__xludf.DUMMYFUNCTION("""COMPUTED_VALUE"""),0.0)</f>
        <v>0</v>
      </c>
      <c r="AD867">
        <f>IFERROR(__xludf.DUMMYFUNCTION("""COMPUTED_VALUE"""),1.0)</f>
        <v>1</v>
      </c>
      <c r="AE867">
        <f>IFERROR(__xludf.DUMMYFUNCTION("""COMPUTED_VALUE"""),0.0)</f>
        <v>0</v>
      </c>
      <c r="AG867" t="str">
        <f>IFERROR(__xludf.DUMMYFUNCTION("""COMPUTED_VALUE"""),"Bought 3 extra keycards, hence the ranger visit.")</f>
        <v>Bought 3 extra keycards, hence the ranger visit.</v>
      </c>
      <c r="AH867" s="189">
        <f>IFERROR(__xludf.DUMMYFUNCTION("""COMPUTED_VALUE"""),43369.76865824074)</f>
        <v>43369.76866</v>
      </c>
    </row>
    <row r="868">
      <c r="A868" t="str">
        <f>IFERROR(__xludf.DUMMYFUNCTION("""COMPUTED_VALUE"""),"snowflake")</f>
        <v>snowflake</v>
      </c>
      <c r="C868" t="str">
        <f>IFERROR(__xludf.DUMMYFUNCTION("""COMPUTED_VALUE"""),"MD")</f>
        <v>MD</v>
      </c>
      <c r="D868" t="str">
        <f>IFERROR(__xludf.DUMMYFUNCTION("""COMPUTED_VALUE"""),"USA")</f>
        <v>USA</v>
      </c>
      <c r="E868" s="188">
        <f>IFERROR(__xludf.DUMMYFUNCTION("""COMPUTED_VALUE"""),43279.0)</f>
        <v>43279</v>
      </c>
      <c r="F868" s="188">
        <f>IFERROR(__xludf.DUMMYFUNCTION("""COMPUTED_VALUE"""),43363.0)</f>
        <v>43363</v>
      </c>
      <c r="H868">
        <f>IFERROR(__xludf.DUMMYFUNCTION("""COMPUTED_VALUE"""),63955.0)</f>
        <v>63955</v>
      </c>
      <c r="J868" s="5">
        <f>IFERROR(__xludf.DUMMYFUNCTION("""COMPUTED_VALUE"""),43371.0)</f>
        <v>43371</v>
      </c>
      <c r="K868">
        <f>IFERROR(__xludf.DUMMYFUNCTION("""COMPUTED_VALUE"""),84.0)</f>
        <v>84</v>
      </c>
      <c r="L868">
        <f>IFERROR(__xludf.DUMMYFUNCTION("""COMPUTED_VALUE"""),8.0)</f>
        <v>8</v>
      </c>
      <c r="M868">
        <f>IFERROR(__xludf.DUMMYFUNCTION("""COMPUTED_VALUE"""),92.0)</f>
        <v>92</v>
      </c>
      <c r="N868" t="str">
        <f>IFERROR(__xludf.DUMMYFUNCTION("""COMPUTED_VALUE"""),"Model 3 LR AWD")</f>
        <v>Model 3 LR AWD</v>
      </c>
      <c r="O868" t="str">
        <f>IFERROR(__xludf.DUMMYFUNCTION("""COMPUTED_VALUE"""),"Deep Blue Metallic")</f>
        <v>Deep Blue Metallic</v>
      </c>
      <c r="P868" t="str">
        <f>IFERROR(__xludf.DUMMYFUNCTION("""COMPUTED_VALUE"""),"19 inch Sport")</f>
        <v>19 inch Sport</v>
      </c>
      <c r="Q868" t="str">
        <f>IFERROR(__xludf.DUMMYFUNCTION("""COMPUTED_VALUE"""),"Black seats")</f>
        <v>Black seats</v>
      </c>
      <c r="R868" t="str">
        <f>IFERROR(__xludf.DUMMYFUNCTION("""COMPUTED_VALUE"""),"None")</f>
        <v>None</v>
      </c>
      <c r="X868" t="str">
        <f>IFERROR(__xludf.DUMMYFUNCTION("""COMPUTED_VALUE"""),"Excellent")</f>
        <v>Excellent</v>
      </c>
      <c r="Y868" t="str">
        <f>IFERROR(__xludf.DUMMYFUNCTION("""COMPUTED_VALUE"""),"Excellent")</f>
        <v>Excellent</v>
      </c>
      <c r="Z868" t="str">
        <f>IFERROR(__xludf.DUMMYFUNCTION("""COMPUTED_VALUE"""),"Excellent")</f>
        <v>Excellent</v>
      </c>
      <c r="AA868" t="str">
        <f>IFERROR(__xludf.DUMMYFUNCTION("""COMPUTED_VALUE"""),"Very Good")</f>
        <v>Very Good</v>
      </c>
      <c r="AB868" t="str">
        <f>IFERROR(__xludf.DUMMYFUNCTION("""COMPUTED_VALUE"""),"Excellent")</f>
        <v>Excellent</v>
      </c>
      <c r="AG868" t="str">
        <f>IFERROR(__xludf.DUMMYFUNCTION("""COMPUTED_VALUE"""),"Delivered 2 days earlier than the initial scheduled delivery date.")</f>
        <v>Delivered 2 days earlier than the initial scheduled delivery date.</v>
      </c>
      <c r="AH868" s="189">
        <f>IFERROR(__xludf.DUMMYFUNCTION("""COMPUTED_VALUE"""),43369.77397248843)</f>
        <v>43369.77397</v>
      </c>
    </row>
    <row r="869">
      <c r="A869" t="str">
        <f>IFERROR(__xludf.DUMMYFUNCTION("""COMPUTED_VALUE"""),"Isles22")</f>
        <v>Isles22</v>
      </c>
      <c r="B869" t="str">
        <f>IFERROR(__xludf.DUMMYFUNCTION("""COMPUTED_VALUE"""),"Smithtown")</f>
        <v>Smithtown</v>
      </c>
      <c r="C869" t="str">
        <f>IFERROR(__xludf.DUMMYFUNCTION("""COMPUTED_VALUE"""),"NY")</f>
        <v>NY</v>
      </c>
      <c r="D869" t="str">
        <f>IFERROR(__xludf.DUMMYFUNCTION("""COMPUTED_VALUE"""),"USA")</f>
        <v>USA</v>
      </c>
      <c r="E869" s="188">
        <f>IFERROR(__xludf.DUMMYFUNCTION("""COMPUTED_VALUE"""),43283.0)</f>
        <v>43283</v>
      </c>
      <c r="F869" s="188">
        <f>IFERROR(__xludf.DUMMYFUNCTION("""COMPUTED_VALUE"""),43355.0)</f>
        <v>43355</v>
      </c>
      <c r="H869">
        <f>IFERROR(__xludf.DUMMYFUNCTION("""COMPUTED_VALUE"""),97855.0)</f>
        <v>97855</v>
      </c>
      <c r="J869" s="5">
        <f>IFERROR(__xludf.DUMMYFUNCTION("""COMPUTED_VALUE"""),43368.0)</f>
        <v>43368</v>
      </c>
      <c r="K869">
        <f>IFERROR(__xludf.DUMMYFUNCTION("""COMPUTED_VALUE"""),72.0)</f>
        <v>72</v>
      </c>
      <c r="L869">
        <f>IFERROR(__xludf.DUMMYFUNCTION("""COMPUTED_VALUE"""),13.0)</f>
        <v>13</v>
      </c>
      <c r="M869">
        <f>IFERROR(__xludf.DUMMYFUNCTION("""COMPUTED_VALUE"""),85.0)</f>
        <v>85</v>
      </c>
      <c r="N869" t="str">
        <f>IFERROR(__xludf.DUMMYFUNCTION("""COMPUTED_VALUE"""),"Model 3 LR AWD")</f>
        <v>Model 3 LR AWD</v>
      </c>
      <c r="O869" t="str">
        <f>IFERROR(__xludf.DUMMYFUNCTION("""COMPUTED_VALUE"""),"Deep Blue Metallic")</f>
        <v>Deep Blue Metallic</v>
      </c>
      <c r="P869" t="str">
        <f>IFERROR(__xludf.DUMMYFUNCTION("""COMPUTED_VALUE"""),"19 inch Sport")</f>
        <v>19 inch Sport</v>
      </c>
      <c r="Q869" t="str">
        <f>IFERROR(__xludf.DUMMYFUNCTION("""COMPUTED_VALUE"""),"White seats")</f>
        <v>White seats</v>
      </c>
      <c r="R869" t="str">
        <f>IFERROR(__xludf.DUMMYFUNCTION("""COMPUTED_VALUE"""),"None")</f>
        <v>None</v>
      </c>
      <c r="X869" t="str">
        <f>IFERROR(__xludf.DUMMYFUNCTION("""COMPUTED_VALUE"""),"Very Good")</f>
        <v>Very Good</v>
      </c>
      <c r="Y869" t="str">
        <f>IFERROR(__xludf.DUMMYFUNCTION("""COMPUTED_VALUE"""),"Very Good")</f>
        <v>Very Good</v>
      </c>
      <c r="Z869" t="str">
        <f>IFERROR(__xludf.DUMMYFUNCTION("""COMPUTED_VALUE"""),"Good")</f>
        <v>Good</v>
      </c>
      <c r="AA869" t="str">
        <f>IFERROR(__xludf.DUMMYFUNCTION("""COMPUTED_VALUE"""),"Fair")</f>
        <v>Fair</v>
      </c>
      <c r="AB869" t="str">
        <f>IFERROR(__xludf.DUMMYFUNCTION("""COMPUTED_VALUE"""),"Fair")</f>
        <v>Fair</v>
      </c>
      <c r="AC869">
        <f>IFERROR(__xludf.DUMMYFUNCTION("""COMPUTED_VALUE"""),1.0)</f>
        <v>1</v>
      </c>
      <c r="AH869" s="189">
        <f>IFERROR(__xludf.DUMMYFUNCTION("""COMPUTED_VALUE"""),43369.78607607639)</f>
        <v>43369.78608</v>
      </c>
    </row>
    <row r="870">
      <c r="A870" t="str">
        <f>IFERROR(__xludf.DUMMYFUNCTION("""COMPUTED_VALUE"""),"monsteri")</f>
        <v>monsteri</v>
      </c>
      <c r="B870" t="str">
        <f>IFERROR(__xludf.DUMMYFUNCTION("""COMPUTED_VALUE"""),"Edmonton")</f>
        <v>Edmonton</v>
      </c>
      <c r="C870" t="str">
        <f>IFERROR(__xludf.DUMMYFUNCTION("""COMPUTED_VALUE"""),"AB")</f>
        <v>AB</v>
      </c>
      <c r="D870" t="str">
        <f>IFERROR(__xludf.DUMMYFUNCTION("""COMPUTED_VALUE"""),"Canada")</f>
        <v>Canada</v>
      </c>
      <c r="E870" s="188">
        <f>IFERROR(__xludf.DUMMYFUNCTION("""COMPUTED_VALUE"""),43326.0)</f>
        <v>43326</v>
      </c>
      <c r="F870" s="188">
        <f>IFERROR(__xludf.DUMMYFUNCTION("""COMPUTED_VALUE"""),43353.0)</f>
        <v>43353</v>
      </c>
      <c r="H870">
        <f>IFERROR(__xludf.DUMMYFUNCTION("""COMPUTED_VALUE"""),107055.0)</f>
        <v>107055</v>
      </c>
      <c r="I870" t="str">
        <f>IFERROR(__xludf.DUMMYFUNCTION("""COMPUTED_VALUE"""),"09/18")</f>
        <v>09/18</v>
      </c>
      <c r="J870" s="5">
        <f>IFERROR(__xludf.DUMMYFUNCTION("""COMPUTED_VALUE"""),43365.0)</f>
        <v>43365</v>
      </c>
      <c r="K870">
        <f>IFERROR(__xludf.DUMMYFUNCTION("""COMPUTED_VALUE"""),27.0)</f>
        <v>27</v>
      </c>
      <c r="L870">
        <f>IFERROR(__xludf.DUMMYFUNCTION("""COMPUTED_VALUE"""),12.0)</f>
        <v>12</v>
      </c>
      <c r="M870">
        <f>IFERROR(__xludf.DUMMYFUNCTION("""COMPUTED_VALUE"""),39.0)</f>
        <v>39</v>
      </c>
      <c r="N870" t="str">
        <f>IFERROR(__xludf.DUMMYFUNCTION("""COMPUTED_VALUE"""),"Model 3 LR AWD")</f>
        <v>Model 3 LR AWD</v>
      </c>
      <c r="O870" t="str">
        <f>IFERROR(__xludf.DUMMYFUNCTION("""COMPUTED_VALUE"""),"Deep Blue Metallic")</f>
        <v>Deep Blue Metallic</v>
      </c>
      <c r="P870" t="str">
        <f>IFERROR(__xludf.DUMMYFUNCTION("""COMPUTED_VALUE"""),"18 inch Aero")</f>
        <v>18 inch Aero</v>
      </c>
      <c r="Q870" t="str">
        <f>IFERROR(__xludf.DUMMYFUNCTION("""COMPUTED_VALUE"""),"Black seats")</f>
        <v>Black seats</v>
      </c>
      <c r="R870" t="str">
        <f>IFERROR(__xludf.DUMMYFUNCTION("""COMPUTED_VALUE"""),"Enhanced Autopilot")</f>
        <v>Enhanced Autopilot</v>
      </c>
      <c r="X870" t="str">
        <f>IFERROR(__xludf.DUMMYFUNCTION("""COMPUTED_VALUE"""),"Very Good")</f>
        <v>Very Good</v>
      </c>
      <c r="Y870" t="str">
        <f>IFERROR(__xludf.DUMMYFUNCTION("""COMPUTED_VALUE"""),"Excellent")</f>
        <v>Excellent</v>
      </c>
      <c r="Z870" t="str">
        <f>IFERROR(__xludf.DUMMYFUNCTION("""COMPUTED_VALUE"""),"Excellent")</f>
        <v>Excellent</v>
      </c>
      <c r="AA870" t="str">
        <f>IFERROR(__xludf.DUMMYFUNCTION("""COMPUTED_VALUE"""),"Poor")</f>
        <v>Poor</v>
      </c>
      <c r="AB870" t="str">
        <f>IFERROR(__xludf.DUMMYFUNCTION("""COMPUTED_VALUE"""),"Very Good")</f>
        <v>Very Good</v>
      </c>
      <c r="AC870">
        <f>IFERROR(__xludf.DUMMYFUNCTION("""COMPUTED_VALUE"""),1.0)</f>
        <v>1</v>
      </c>
      <c r="AH870" s="189">
        <f>IFERROR(__xludf.DUMMYFUNCTION("""COMPUTED_VALUE"""),43369.888278287035)</f>
        <v>43369.88828</v>
      </c>
    </row>
    <row r="871">
      <c r="A871" t="str">
        <f>IFERROR(__xludf.DUMMYFUNCTION("""COMPUTED_VALUE"""),"ilv2roam")</f>
        <v>ilv2roam</v>
      </c>
      <c r="B871" t="str">
        <f>IFERROR(__xludf.DUMMYFUNCTION("""COMPUTED_VALUE"""),"Dana Point")</f>
        <v>Dana Point</v>
      </c>
      <c r="C871" t="str">
        <f>IFERROR(__xludf.DUMMYFUNCTION("""COMPUTED_VALUE"""),"CA")</f>
        <v>CA</v>
      </c>
      <c r="D871" t="str">
        <f>IFERROR(__xludf.DUMMYFUNCTION("""COMPUTED_VALUE"""),"USA")</f>
        <v>USA</v>
      </c>
      <c r="E871" s="188">
        <f>IFERROR(__xludf.DUMMYFUNCTION("""COMPUTED_VALUE"""),43284.0)</f>
        <v>43284</v>
      </c>
      <c r="F871" s="188">
        <f>IFERROR(__xludf.DUMMYFUNCTION("""COMPUTED_VALUE"""),43368.0)</f>
        <v>43368</v>
      </c>
      <c r="H871">
        <f>IFERROR(__xludf.DUMMYFUNCTION("""COMPUTED_VALUE"""),69423.0)</f>
        <v>69423</v>
      </c>
      <c r="J871" s="5">
        <f>IFERROR(__xludf.DUMMYFUNCTION("""COMPUTED_VALUE"""),43369.0)</f>
        <v>43369</v>
      </c>
      <c r="K871">
        <f>IFERROR(__xludf.DUMMYFUNCTION("""COMPUTED_VALUE"""),84.0)</f>
        <v>84</v>
      </c>
      <c r="L871">
        <f>IFERROR(__xludf.DUMMYFUNCTION("""COMPUTED_VALUE"""),1.0)</f>
        <v>1</v>
      </c>
      <c r="M871">
        <f>IFERROR(__xludf.DUMMYFUNCTION("""COMPUTED_VALUE"""),85.0)</f>
        <v>85</v>
      </c>
      <c r="N871" t="str">
        <f>IFERROR(__xludf.DUMMYFUNCTION("""COMPUTED_VALUE"""),"Model 3 LR AWD")</f>
        <v>Model 3 LR AWD</v>
      </c>
      <c r="O871" t="str">
        <f>IFERROR(__xludf.DUMMYFUNCTION("""COMPUTED_VALUE"""),"Silver Metallic")</f>
        <v>Silver Metallic</v>
      </c>
      <c r="P871" t="str">
        <f>IFERROR(__xludf.DUMMYFUNCTION("""COMPUTED_VALUE"""),"19 inch Sport")</f>
        <v>19 inch Sport</v>
      </c>
      <c r="Q871" t="str">
        <f>IFERROR(__xludf.DUMMYFUNCTION("""COMPUTED_VALUE"""),"Black seats")</f>
        <v>Black seats</v>
      </c>
      <c r="R871" t="str">
        <f>IFERROR(__xludf.DUMMYFUNCTION("""COMPUTED_VALUE"""),"Full Self-Driving")</f>
        <v>Full Self-Driving</v>
      </c>
      <c r="X871" t="str">
        <f>IFERROR(__xludf.DUMMYFUNCTION("""COMPUTED_VALUE"""),"Very Good")</f>
        <v>Very Good</v>
      </c>
      <c r="Y871" t="str">
        <f>IFERROR(__xludf.DUMMYFUNCTION("""COMPUTED_VALUE"""),"Excellent")</f>
        <v>Excellent</v>
      </c>
      <c r="Z871" t="str">
        <f>IFERROR(__xludf.DUMMYFUNCTION("""COMPUTED_VALUE"""),"Very Good")</f>
        <v>Very Good</v>
      </c>
      <c r="AA871" t="str">
        <f>IFERROR(__xludf.DUMMYFUNCTION("""COMPUTED_VALUE"""),"Very Good")</f>
        <v>Very Good</v>
      </c>
      <c r="AB871" t="str">
        <f>IFERROR(__xludf.DUMMYFUNCTION("""COMPUTED_VALUE"""),"Very Good")</f>
        <v>Very Good</v>
      </c>
      <c r="AH871" s="189">
        <f>IFERROR(__xludf.DUMMYFUNCTION("""COMPUTED_VALUE"""),43369.89720670139)</f>
        <v>43369.89721</v>
      </c>
    </row>
    <row r="872">
      <c r="A872" t="str">
        <f>IFERROR(__xludf.DUMMYFUNCTION("""COMPUTED_VALUE"""),"Zeke")</f>
        <v>Zeke</v>
      </c>
      <c r="B872" t="str">
        <f>IFERROR(__xludf.DUMMYFUNCTION("""COMPUTED_VALUE"""),"Seattle")</f>
        <v>Seattle</v>
      </c>
      <c r="C872" t="str">
        <f>IFERROR(__xludf.DUMMYFUNCTION("""COMPUTED_VALUE"""),"WA")</f>
        <v>WA</v>
      </c>
      <c r="D872" t="str">
        <f>IFERROR(__xludf.DUMMYFUNCTION("""COMPUTED_VALUE"""),"USA")</f>
        <v>USA</v>
      </c>
      <c r="E872" s="188">
        <f>IFERROR(__xludf.DUMMYFUNCTION("""COMPUTED_VALUE"""),43279.0)</f>
        <v>43279</v>
      </c>
      <c r="F872" s="188">
        <f>IFERROR(__xludf.DUMMYFUNCTION("""COMPUTED_VALUE"""),43363.0)</f>
        <v>43363</v>
      </c>
      <c r="H872">
        <f>IFERROR(__xludf.DUMMYFUNCTION("""COMPUTED_VALUE"""),65755.0)</f>
        <v>65755</v>
      </c>
      <c r="J872" s="5">
        <f>IFERROR(__xludf.DUMMYFUNCTION("""COMPUTED_VALUE"""),43369.0)</f>
        <v>43369</v>
      </c>
      <c r="K872">
        <f>IFERROR(__xludf.DUMMYFUNCTION("""COMPUTED_VALUE"""),84.0)</f>
        <v>84</v>
      </c>
      <c r="L872">
        <f>IFERROR(__xludf.DUMMYFUNCTION("""COMPUTED_VALUE"""),6.0)</f>
        <v>6</v>
      </c>
      <c r="M872">
        <f>IFERROR(__xludf.DUMMYFUNCTION("""COMPUTED_VALUE"""),90.0)</f>
        <v>90</v>
      </c>
      <c r="N872" t="str">
        <f>IFERROR(__xludf.DUMMYFUNCTION("""COMPUTED_VALUE"""),"Model 3 LR AWD")</f>
        <v>Model 3 LR AWD</v>
      </c>
      <c r="O872" t="str">
        <f>IFERROR(__xludf.DUMMYFUNCTION("""COMPUTED_VALUE"""),"Red Multi-Coat")</f>
        <v>Red Multi-Coat</v>
      </c>
      <c r="P872" t="str">
        <f>IFERROR(__xludf.DUMMYFUNCTION("""COMPUTED_VALUE"""),"19 inch Sport")</f>
        <v>19 inch Sport</v>
      </c>
      <c r="Q872" t="str">
        <f>IFERROR(__xludf.DUMMYFUNCTION("""COMPUTED_VALUE"""),"Black seats")</f>
        <v>Black seats</v>
      </c>
      <c r="R872" t="str">
        <f>IFERROR(__xludf.DUMMYFUNCTION("""COMPUTED_VALUE"""),"Enhanced Autopilot")</f>
        <v>Enhanced Autopilot</v>
      </c>
      <c r="X872" t="str">
        <f>IFERROR(__xludf.DUMMYFUNCTION("""COMPUTED_VALUE"""),"Excellent")</f>
        <v>Excellent</v>
      </c>
      <c r="Y872" t="str">
        <f>IFERROR(__xludf.DUMMYFUNCTION("""COMPUTED_VALUE"""),"Excellent")</f>
        <v>Excellent</v>
      </c>
      <c r="Z872" t="str">
        <f>IFERROR(__xludf.DUMMYFUNCTION("""COMPUTED_VALUE"""),"Excellent")</f>
        <v>Excellent</v>
      </c>
      <c r="AA872" t="str">
        <f>IFERROR(__xludf.DUMMYFUNCTION("""COMPUTED_VALUE"""),"Fair")</f>
        <v>Fair</v>
      </c>
      <c r="AB872" t="str">
        <f>IFERROR(__xludf.DUMMYFUNCTION("""COMPUTED_VALUE"""),"Very Good")</f>
        <v>Very Good</v>
      </c>
      <c r="AH872" s="189">
        <f>IFERROR(__xludf.DUMMYFUNCTION("""COMPUTED_VALUE"""),43369.91884884259)</f>
        <v>43369.91885</v>
      </c>
    </row>
    <row r="873">
      <c r="A873" t="str">
        <f>IFERROR(__xludf.DUMMYFUNCTION("""COMPUTED_VALUE"""),"Ojaicate")</f>
        <v>Ojaicate</v>
      </c>
      <c r="B873" t="str">
        <f>IFERROR(__xludf.DUMMYFUNCTION("""COMPUTED_VALUE"""),"Ojai")</f>
        <v>Ojai</v>
      </c>
      <c r="C873" t="str">
        <f>IFERROR(__xludf.DUMMYFUNCTION("""COMPUTED_VALUE"""),"CA")</f>
        <v>CA</v>
      </c>
      <c r="D873" t="str">
        <f>IFERROR(__xludf.DUMMYFUNCTION("""COMPUTED_VALUE"""),"USA")</f>
        <v>USA</v>
      </c>
      <c r="E873" s="188">
        <f>IFERROR(__xludf.DUMMYFUNCTION("""COMPUTED_VALUE"""),43294.0)</f>
        <v>43294</v>
      </c>
      <c r="F873" s="188">
        <f>IFERROR(__xludf.DUMMYFUNCTION("""COMPUTED_VALUE"""),43355.0)</f>
        <v>43355</v>
      </c>
      <c r="H873">
        <f>IFERROR(__xludf.DUMMYFUNCTION("""COMPUTED_VALUE"""),79555.0)</f>
        <v>79555</v>
      </c>
      <c r="J873" s="5">
        <f>IFERROR(__xludf.DUMMYFUNCTION("""COMPUTED_VALUE"""),43368.0)</f>
        <v>43368</v>
      </c>
      <c r="K873">
        <f>IFERROR(__xludf.DUMMYFUNCTION("""COMPUTED_VALUE"""),61.0)</f>
        <v>61</v>
      </c>
      <c r="L873">
        <f>IFERROR(__xludf.DUMMYFUNCTION("""COMPUTED_VALUE"""),13.0)</f>
        <v>13</v>
      </c>
      <c r="M873">
        <f>IFERROR(__xludf.DUMMYFUNCTION("""COMPUTED_VALUE"""),74.0)</f>
        <v>74</v>
      </c>
      <c r="N873" t="str">
        <f>IFERROR(__xludf.DUMMYFUNCTION("""COMPUTED_VALUE"""),"Model 3 Performance")</f>
        <v>Model 3 Performance</v>
      </c>
      <c r="O873" t="str">
        <f>IFERROR(__xludf.DUMMYFUNCTION("""COMPUTED_VALUE"""),"Silver Metallic")</f>
        <v>Silver Metallic</v>
      </c>
      <c r="P873" t="str">
        <f>IFERROR(__xludf.DUMMYFUNCTION("""COMPUTED_VALUE"""),"20 inch Sport")</f>
        <v>20 inch Sport</v>
      </c>
      <c r="Q873" t="str">
        <f>IFERROR(__xludf.DUMMYFUNCTION("""COMPUTED_VALUE"""),"White seats")</f>
        <v>White seats</v>
      </c>
      <c r="R873" t="str">
        <f>IFERROR(__xludf.DUMMYFUNCTION("""COMPUTED_VALUE"""),"Enhanced Autopilot")</f>
        <v>Enhanced Autopilot</v>
      </c>
      <c r="X873" t="str">
        <f>IFERROR(__xludf.DUMMYFUNCTION("""COMPUTED_VALUE"""),"Excellent")</f>
        <v>Excellent</v>
      </c>
      <c r="Y873" t="str">
        <f>IFERROR(__xludf.DUMMYFUNCTION("""COMPUTED_VALUE"""),"Excellent")</f>
        <v>Excellent</v>
      </c>
      <c r="Z873" t="str">
        <f>IFERROR(__xludf.DUMMYFUNCTION("""COMPUTED_VALUE"""),"Excellent")</f>
        <v>Excellent</v>
      </c>
      <c r="AA873" t="str">
        <f>IFERROR(__xludf.DUMMYFUNCTION("""COMPUTED_VALUE"""),"Very Good")</f>
        <v>Very Good</v>
      </c>
      <c r="AB873" t="str">
        <f>IFERROR(__xludf.DUMMYFUNCTION("""COMPUTED_VALUE"""),"Very Good")</f>
        <v>Very Good</v>
      </c>
      <c r="AC873">
        <f>IFERROR(__xludf.DUMMYFUNCTION("""COMPUTED_VALUE"""),2.0)</f>
        <v>2</v>
      </c>
      <c r="AD873">
        <f>IFERROR(__xludf.DUMMYFUNCTION("""COMPUTED_VALUE"""),0.0)</f>
        <v>0</v>
      </c>
      <c r="AE873">
        <f>IFERROR(__xludf.DUMMYFUNCTION("""COMPUTED_VALUE"""),0.0)</f>
        <v>0</v>
      </c>
      <c r="AH873" s="189">
        <f>IFERROR(__xludf.DUMMYFUNCTION("""COMPUTED_VALUE"""),43369.94900071759)</f>
        <v>43369.949</v>
      </c>
    </row>
    <row r="874">
      <c r="A874" t="str">
        <f>IFERROR(__xludf.DUMMYFUNCTION("""COMPUTED_VALUE"""),"rk242")</f>
        <v>rk242</v>
      </c>
      <c r="B874" t="str">
        <f>IFERROR(__xludf.DUMMYFUNCTION("""COMPUTED_VALUE"""),"SF Bay Area")</f>
        <v>SF Bay Area</v>
      </c>
      <c r="C874" t="str">
        <f>IFERROR(__xludf.DUMMYFUNCTION("""COMPUTED_VALUE"""),"CA")</f>
        <v>CA</v>
      </c>
      <c r="D874" t="str">
        <f>IFERROR(__xludf.DUMMYFUNCTION("""COMPUTED_VALUE"""),"USA")</f>
        <v>USA</v>
      </c>
      <c r="E874" s="188">
        <f>IFERROR(__xludf.DUMMYFUNCTION("""COMPUTED_VALUE"""),43278.0)</f>
        <v>43278</v>
      </c>
      <c r="F874" s="188">
        <f>IFERROR(__xludf.DUMMYFUNCTION("""COMPUTED_VALUE"""),43363.0)</f>
        <v>43363</v>
      </c>
      <c r="H874">
        <f>IFERROR(__xludf.DUMMYFUNCTION("""COMPUTED_VALUE"""),114855.0)</f>
        <v>114855</v>
      </c>
      <c r="J874" s="5">
        <f>IFERROR(__xludf.DUMMYFUNCTION("""COMPUTED_VALUE"""),43367.0)</f>
        <v>43367</v>
      </c>
      <c r="K874">
        <f>IFERROR(__xludf.DUMMYFUNCTION("""COMPUTED_VALUE"""),85.0)</f>
        <v>85</v>
      </c>
      <c r="L874">
        <f>IFERROR(__xludf.DUMMYFUNCTION("""COMPUTED_VALUE"""),4.0)</f>
        <v>4</v>
      </c>
      <c r="M874">
        <f>IFERROR(__xludf.DUMMYFUNCTION("""COMPUTED_VALUE"""),89.0)</f>
        <v>89</v>
      </c>
      <c r="N874" t="str">
        <f>IFERROR(__xludf.DUMMYFUNCTION("""COMPUTED_VALUE"""),"Model 3 Performance")</f>
        <v>Model 3 Performance</v>
      </c>
      <c r="O874" t="str">
        <f>IFERROR(__xludf.DUMMYFUNCTION("""COMPUTED_VALUE"""),"Deep Blue Metallic")</f>
        <v>Deep Blue Metallic</v>
      </c>
      <c r="P874" t="str">
        <f>IFERROR(__xludf.DUMMYFUNCTION("""COMPUTED_VALUE"""),"18 inch Aero")</f>
        <v>18 inch Aero</v>
      </c>
      <c r="Q874" t="str">
        <f>IFERROR(__xludf.DUMMYFUNCTION("""COMPUTED_VALUE"""),"Black seats")</f>
        <v>Black seats</v>
      </c>
      <c r="R874" t="str">
        <f>IFERROR(__xludf.DUMMYFUNCTION("""COMPUTED_VALUE"""),"Full Self-Driving")</f>
        <v>Full Self-Driving</v>
      </c>
      <c r="X874" t="str">
        <f>IFERROR(__xludf.DUMMYFUNCTION("""COMPUTED_VALUE"""),"Excellent")</f>
        <v>Excellent</v>
      </c>
      <c r="Y874" t="str">
        <f>IFERROR(__xludf.DUMMYFUNCTION("""COMPUTED_VALUE"""),"Excellent")</f>
        <v>Excellent</v>
      </c>
      <c r="Z874" t="str">
        <f>IFERROR(__xludf.DUMMYFUNCTION("""COMPUTED_VALUE"""),"Excellent")</f>
        <v>Excellent</v>
      </c>
      <c r="AA874" t="str">
        <f>IFERROR(__xludf.DUMMYFUNCTION("""COMPUTED_VALUE"""),"Excellent")</f>
        <v>Excellent</v>
      </c>
      <c r="AB874" t="str">
        <f>IFERROR(__xludf.DUMMYFUNCTION("""COMPUTED_VALUE"""),"Excellent")</f>
        <v>Excellent</v>
      </c>
      <c r="AC874">
        <f>IFERROR(__xludf.DUMMYFUNCTION("""COMPUTED_VALUE"""),1.0)</f>
        <v>1</v>
      </c>
      <c r="AD874">
        <f>IFERROR(__xludf.DUMMYFUNCTION("""COMPUTED_VALUE"""),1.0)</f>
        <v>1</v>
      </c>
      <c r="AE874">
        <f>IFERROR(__xludf.DUMMYFUNCTION("""COMPUTED_VALUE"""),0.0)</f>
        <v>0</v>
      </c>
      <c r="AH874" s="189">
        <f>IFERROR(__xludf.DUMMYFUNCTION("""COMPUTED_VALUE"""),43369.97875674769)</f>
        <v>43369.97876</v>
      </c>
    </row>
    <row r="875">
      <c r="A875" t="str">
        <f>IFERROR(__xludf.DUMMYFUNCTION("""COMPUTED_VALUE"""),"Jedi2155")</f>
        <v>Jedi2155</v>
      </c>
      <c r="B875" t="str">
        <f>IFERROR(__xludf.DUMMYFUNCTION("""COMPUTED_VALUE"""),"Diamond Bar")</f>
        <v>Diamond Bar</v>
      </c>
      <c r="C875" t="str">
        <f>IFERROR(__xludf.DUMMYFUNCTION("""COMPUTED_VALUE"""),"CA")</f>
        <v>CA</v>
      </c>
      <c r="D875" t="str">
        <f>IFERROR(__xludf.DUMMYFUNCTION("""COMPUTED_VALUE"""),"USA")</f>
        <v>USA</v>
      </c>
      <c r="E875" s="188">
        <f>IFERROR(__xludf.DUMMYFUNCTION("""COMPUTED_VALUE"""),43281.0)</f>
        <v>43281</v>
      </c>
      <c r="F875" s="188">
        <f>IFERROR(__xludf.DUMMYFUNCTION("""COMPUTED_VALUE"""),43334.0)</f>
        <v>43334</v>
      </c>
      <c r="H875">
        <f>IFERROR(__xludf.DUMMYFUNCTION("""COMPUTED_VALUE"""),74128.0)</f>
        <v>74128</v>
      </c>
      <c r="J875" s="5">
        <f>IFERROR(__xludf.DUMMYFUNCTION("""COMPUTED_VALUE"""),43371.0)</f>
        <v>43371</v>
      </c>
      <c r="K875">
        <f>IFERROR(__xludf.DUMMYFUNCTION("""COMPUTED_VALUE"""),53.0)</f>
        <v>53</v>
      </c>
      <c r="L875">
        <f>IFERROR(__xludf.DUMMYFUNCTION("""COMPUTED_VALUE"""),37.0)</f>
        <v>37</v>
      </c>
      <c r="M875">
        <f>IFERROR(__xludf.DUMMYFUNCTION("""COMPUTED_VALUE"""),90.0)</f>
        <v>90</v>
      </c>
      <c r="N875" t="str">
        <f>IFERROR(__xludf.DUMMYFUNCTION("""COMPUTED_VALUE"""),"Model 3 Performance")</f>
        <v>Model 3 Performance</v>
      </c>
      <c r="O875" t="str">
        <f>IFERROR(__xludf.DUMMYFUNCTION("""COMPUTED_VALUE"""),"Deep Blue Metallic")</f>
        <v>Deep Blue Metallic</v>
      </c>
      <c r="P875" t="str">
        <f>IFERROR(__xludf.DUMMYFUNCTION("""COMPUTED_VALUE"""),"20 inch Sport")</f>
        <v>20 inch Sport</v>
      </c>
      <c r="Q875" t="str">
        <f>IFERROR(__xludf.DUMMYFUNCTION("""COMPUTED_VALUE"""),"White seats")</f>
        <v>White seats</v>
      </c>
      <c r="R875" t="str">
        <f>IFERROR(__xludf.DUMMYFUNCTION("""COMPUTED_VALUE"""),"Full Self-Driving")</f>
        <v>Full Self-Driving</v>
      </c>
      <c r="X875" t="str">
        <f>IFERROR(__xludf.DUMMYFUNCTION("""COMPUTED_VALUE"""),"Excellent")</f>
        <v>Excellent</v>
      </c>
      <c r="Y875" t="str">
        <f>IFERROR(__xludf.DUMMYFUNCTION("""COMPUTED_VALUE"""),"Excellent")</f>
        <v>Excellent</v>
      </c>
      <c r="Z875" t="str">
        <f>IFERROR(__xludf.DUMMYFUNCTION("""COMPUTED_VALUE"""),"Very Good")</f>
        <v>Very Good</v>
      </c>
      <c r="AA875" t="str">
        <f>IFERROR(__xludf.DUMMYFUNCTION("""COMPUTED_VALUE"""),"Poor")</f>
        <v>Poor</v>
      </c>
      <c r="AB875" t="str">
        <f>IFERROR(__xludf.DUMMYFUNCTION("""COMPUTED_VALUE"""),"Poor")</f>
        <v>Poor</v>
      </c>
      <c r="AG875" t="str">
        <f>IFERROR(__xludf.DUMMYFUNCTION("""COMPUTED_VALUE"""),"Reserved 4/10/2018. Ordered AWD 6/30. Edited AWD to RWD on 7/22. RWD VIN assigned 7/26. RWD scheduled 8/8/18 but failed pre-delivery inspection (589xx). 8/10 canceled RWD -&gt; AWD-Performance. 8/15/18 AWD Performance entered system. 8/22 VIN assigned 8/30 d"&amp;"elivery. 8/28 delivery was canceled saying car was not built yet. 9/13 scheduled for 9/28 delivery. 9/28 delivery was delayed to 9/30. Visited Delivery center and switched to demo car w/ 20"" VIN: 741xx with discount.")</f>
        <v>Reserved 4/10/2018. Ordered AWD 6/30. Edited AWD to RWD on 7/22. RWD VIN assigned 7/26. RWD scheduled 8/8/18 but failed pre-delivery inspection (589xx). 8/10 canceled RWD -&gt; AWD-Performance. 8/15/18 AWD Performance entered system. 8/22 VIN assigned 8/30 delivery. 8/28 delivery was canceled saying car was not built yet. 9/13 scheduled for 9/28 delivery. 9/28 delivery was delayed to 9/30. Visited Delivery center and switched to demo car w/ 20" VIN: 741xx with discount.</v>
      </c>
      <c r="AH875" s="189">
        <f>IFERROR(__xludf.DUMMYFUNCTION("""COMPUTED_VALUE"""),43370.03421997685)</f>
        <v>43370.03422</v>
      </c>
    </row>
    <row r="876">
      <c r="A876" t="str">
        <f>IFERROR(__xludf.DUMMYFUNCTION("""COMPUTED_VALUE"""),"xadn")</f>
        <v>xadn</v>
      </c>
      <c r="B876" t="str">
        <f>IFERROR(__xludf.DUMMYFUNCTION("""COMPUTED_VALUE"""),"San Mateo")</f>
        <v>San Mateo</v>
      </c>
      <c r="C876" t="str">
        <f>IFERROR(__xludf.DUMMYFUNCTION("""COMPUTED_VALUE"""),"CA")</f>
        <v>CA</v>
      </c>
      <c r="D876" t="str">
        <f>IFERROR(__xludf.DUMMYFUNCTION("""COMPUTED_VALUE"""),"USA")</f>
        <v>USA</v>
      </c>
      <c r="E876" s="188">
        <f>IFERROR(__xludf.DUMMYFUNCTION("""COMPUTED_VALUE"""),43278.0)</f>
        <v>43278</v>
      </c>
      <c r="F876" s="188">
        <f>IFERROR(__xludf.DUMMYFUNCTION("""COMPUTED_VALUE"""),43362.0)</f>
        <v>43362</v>
      </c>
      <c r="H876">
        <f>IFERROR(__xludf.DUMMYFUNCTION("""COMPUTED_VALUE"""),91355.0)</f>
        <v>91355</v>
      </c>
      <c r="I876" t="str">
        <f>IFERROR(__xludf.DUMMYFUNCTION("""COMPUTED_VALUE"""),"09/18")</f>
        <v>09/18</v>
      </c>
      <c r="J876" s="5">
        <f>IFERROR(__xludf.DUMMYFUNCTION("""COMPUTED_VALUE"""),43367.0)</f>
        <v>43367</v>
      </c>
      <c r="K876">
        <f>IFERROR(__xludf.DUMMYFUNCTION("""COMPUTED_VALUE"""),84.0)</f>
        <v>84</v>
      </c>
      <c r="L876">
        <f>IFERROR(__xludf.DUMMYFUNCTION("""COMPUTED_VALUE"""),5.0)</f>
        <v>5</v>
      </c>
      <c r="M876">
        <f>IFERROR(__xludf.DUMMYFUNCTION("""COMPUTED_VALUE"""),89.0)</f>
        <v>89</v>
      </c>
      <c r="N876" t="str">
        <f>IFERROR(__xludf.DUMMYFUNCTION("""COMPUTED_VALUE"""),"Model 3 LR AWD")</f>
        <v>Model 3 LR AWD</v>
      </c>
      <c r="O876" t="str">
        <f>IFERROR(__xludf.DUMMYFUNCTION("""COMPUTED_VALUE"""),"Red Multi-Coat")</f>
        <v>Red Multi-Coat</v>
      </c>
      <c r="P876" t="str">
        <f>IFERROR(__xludf.DUMMYFUNCTION("""COMPUTED_VALUE"""),"19 inch Sport")</f>
        <v>19 inch Sport</v>
      </c>
      <c r="Q876" t="str">
        <f>IFERROR(__xludf.DUMMYFUNCTION("""COMPUTED_VALUE"""),"Black seats")</f>
        <v>Black seats</v>
      </c>
      <c r="R876" t="str">
        <f>IFERROR(__xludf.DUMMYFUNCTION("""COMPUTED_VALUE"""),"Enhanced Autopilot")</f>
        <v>Enhanced Autopilot</v>
      </c>
      <c r="X876" t="str">
        <f>IFERROR(__xludf.DUMMYFUNCTION("""COMPUTED_VALUE"""),"Excellent")</f>
        <v>Excellent</v>
      </c>
      <c r="Y876" t="str">
        <f>IFERROR(__xludf.DUMMYFUNCTION("""COMPUTED_VALUE"""),"Excellent")</f>
        <v>Excellent</v>
      </c>
      <c r="Z876" t="str">
        <f>IFERROR(__xludf.DUMMYFUNCTION("""COMPUTED_VALUE"""),"Excellent")</f>
        <v>Excellent</v>
      </c>
      <c r="AA876" t="str">
        <f>IFERROR(__xludf.DUMMYFUNCTION("""COMPUTED_VALUE"""),"Fair")</f>
        <v>Fair</v>
      </c>
      <c r="AB876" t="str">
        <f>IFERROR(__xludf.DUMMYFUNCTION("""COMPUTED_VALUE"""),"Good")</f>
        <v>Good</v>
      </c>
      <c r="AC876">
        <f>IFERROR(__xludf.DUMMYFUNCTION("""COMPUTED_VALUE"""),2.0)</f>
        <v>2</v>
      </c>
      <c r="AD876">
        <f>IFERROR(__xludf.DUMMYFUNCTION("""COMPUTED_VALUE"""),1.0)</f>
        <v>1</v>
      </c>
      <c r="AG876" t="str">
        <f>IFERROR(__xludf.DUMMYFUNCTION("""COMPUTED_VALUE"""),"Came in 1 day earlier than expected. Has small issue with turn signal stalk.")</f>
        <v>Came in 1 day earlier than expected. Has small issue with turn signal stalk.</v>
      </c>
      <c r="AH876" s="189">
        <f>IFERROR(__xludf.DUMMYFUNCTION("""COMPUTED_VALUE"""),43370.27367966435)</f>
        <v>43370.27368</v>
      </c>
    </row>
    <row r="877">
      <c r="A877" t="str">
        <f>IFERROR(__xludf.DUMMYFUNCTION("""COMPUTED_VALUE"""),"kjoyce77")</f>
        <v>kjoyce77</v>
      </c>
      <c r="B877" t="str">
        <f>IFERROR(__xludf.DUMMYFUNCTION("""COMPUTED_VALUE"""),"Omaha")</f>
        <v>Omaha</v>
      </c>
      <c r="C877" t="str">
        <f>IFERROR(__xludf.DUMMYFUNCTION("""COMPUTED_VALUE"""),"NE")</f>
        <v>NE</v>
      </c>
      <c r="D877" t="str">
        <f>IFERROR(__xludf.DUMMYFUNCTION("""COMPUTED_VALUE"""),"USA")</f>
        <v>USA</v>
      </c>
      <c r="E877" s="188">
        <f>IFERROR(__xludf.DUMMYFUNCTION("""COMPUTED_VALUE"""),43277.0)</f>
        <v>43277</v>
      </c>
      <c r="F877" s="188">
        <f>IFERROR(__xludf.DUMMYFUNCTION("""COMPUTED_VALUE"""),43349.0)</f>
        <v>43349</v>
      </c>
      <c r="H877" s="4">
        <f>IFERROR(__xludf.DUMMYFUNCTION("""COMPUTED_VALUE"""),64866.0)</f>
        <v>64866</v>
      </c>
      <c r="I877" t="str">
        <f>IFERROR(__xludf.DUMMYFUNCTION("""COMPUTED_VALUE"""),"08/18")</f>
        <v>08/18</v>
      </c>
      <c r="J877" s="5">
        <f>IFERROR(__xludf.DUMMYFUNCTION("""COMPUTED_VALUE"""),43366.0)</f>
        <v>43366</v>
      </c>
      <c r="K877">
        <f>IFERROR(__xludf.DUMMYFUNCTION("""COMPUTED_VALUE"""),72.0)</f>
        <v>72</v>
      </c>
      <c r="L877">
        <f>IFERROR(__xludf.DUMMYFUNCTION("""COMPUTED_VALUE"""),17.0)</f>
        <v>17</v>
      </c>
      <c r="M877">
        <f>IFERROR(__xludf.DUMMYFUNCTION("""COMPUTED_VALUE"""),89.0)</f>
        <v>89</v>
      </c>
      <c r="N877" t="str">
        <f>IFERROR(__xludf.DUMMYFUNCTION("""COMPUTED_VALUE"""),"Model 3 LR AWD")</f>
        <v>Model 3 LR AWD</v>
      </c>
      <c r="O877" t="str">
        <f>IFERROR(__xludf.DUMMYFUNCTION("""COMPUTED_VALUE"""),"Deep Blue Metallic")</f>
        <v>Deep Blue Metallic</v>
      </c>
      <c r="P877" t="str">
        <f>IFERROR(__xludf.DUMMYFUNCTION("""COMPUTED_VALUE"""),"18 inch Aero")</f>
        <v>18 inch Aero</v>
      </c>
      <c r="Q877" t="str">
        <f>IFERROR(__xludf.DUMMYFUNCTION("""COMPUTED_VALUE"""),"Black seats")</f>
        <v>Black seats</v>
      </c>
      <c r="R877" t="str">
        <f>IFERROR(__xludf.DUMMYFUNCTION("""COMPUTED_VALUE"""),"Enhanced Autopilot")</f>
        <v>Enhanced Autopilot</v>
      </c>
      <c r="X877" t="str">
        <f>IFERROR(__xludf.DUMMYFUNCTION("""COMPUTED_VALUE"""),"Very Good")</f>
        <v>Very Good</v>
      </c>
      <c r="Y877" t="str">
        <f>IFERROR(__xludf.DUMMYFUNCTION("""COMPUTED_VALUE"""),"Very Good")</f>
        <v>Very Good</v>
      </c>
      <c r="Z877" t="str">
        <f>IFERROR(__xludf.DUMMYFUNCTION("""COMPUTED_VALUE"""),"Fair")</f>
        <v>Fair</v>
      </c>
      <c r="AA877" t="str">
        <f>IFERROR(__xludf.DUMMYFUNCTION("""COMPUTED_VALUE"""),"Fair")</f>
        <v>Fair</v>
      </c>
      <c r="AB877" t="str">
        <f>IFERROR(__xludf.DUMMYFUNCTION("""COMPUTED_VALUE"""),"Fair")</f>
        <v>Fair</v>
      </c>
      <c r="AC877">
        <f>IFERROR(__xludf.DUMMYFUNCTION("""COMPUTED_VALUE"""),2.0)</f>
        <v>2</v>
      </c>
      <c r="AH877" s="189">
        <f>IFERROR(__xludf.DUMMYFUNCTION("""COMPUTED_VALUE"""),43370.30233980324)</f>
        <v>43370.30234</v>
      </c>
    </row>
    <row r="878">
      <c r="A878" t="str">
        <f>IFERROR(__xludf.DUMMYFUNCTION("""COMPUTED_VALUE"""),"bdudetesla")</f>
        <v>bdudetesla</v>
      </c>
      <c r="B878" t="str">
        <f>IFERROR(__xludf.DUMMYFUNCTION("""COMPUTED_VALUE"""),"Columbia")</f>
        <v>Columbia</v>
      </c>
      <c r="C878" t="str">
        <f>IFERROR(__xludf.DUMMYFUNCTION("""COMPUTED_VALUE"""),"MO")</f>
        <v>MO</v>
      </c>
      <c r="D878" t="str">
        <f>IFERROR(__xludf.DUMMYFUNCTION("""COMPUTED_VALUE"""),"USA")</f>
        <v>USA</v>
      </c>
      <c r="E878" s="188">
        <f>IFERROR(__xludf.DUMMYFUNCTION("""COMPUTED_VALUE"""),43353.0)</f>
        <v>43353</v>
      </c>
      <c r="F878" s="188">
        <f>IFERROR(__xludf.DUMMYFUNCTION("""COMPUTED_VALUE"""),43354.0)</f>
        <v>43354</v>
      </c>
      <c r="H878">
        <f>IFERROR(__xludf.DUMMYFUNCTION("""COMPUTED_VALUE"""),70955.0)</f>
        <v>70955</v>
      </c>
      <c r="J878" s="5">
        <f>IFERROR(__xludf.DUMMYFUNCTION("""COMPUTED_VALUE"""),43364.0)</f>
        <v>43364</v>
      </c>
      <c r="K878">
        <f>IFERROR(__xludf.DUMMYFUNCTION("""COMPUTED_VALUE"""),1.0)</f>
        <v>1</v>
      </c>
      <c r="L878">
        <f>IFERROR(__xludf.DUMMYFUNCTION("""COMPUTED_VALUE"""),10.0)</f>
        <v>10</v>
      </c>
      <c r="M878">
        <f>IFERROR(__xludf.DUMMYFUNCTION("""COMPUTED_VALUE"""),11.0)</f>
        <v>11</v>
      </c>
      <c r="N878" t="str">
        <f>IFERROR(__xludf.DUMMYFUNCTION("""COMPUTED_VALUE"""),"Model 3 LR")</f>
        <v>Model 3 LR</v>
      </c>
      <c r="O878" t="str">
        <f>IFERROR(__xludf.DUMMYFUNCTION("""COMPUTED_VALUE"""),"Obsidian Black Metallic")</f>
        <v>Obsidian Black Metallic</v>
      </c>
      <c r="P878" t="str">
        <f>IFERROR(__xludf.DUMMYFUNCTION("""COMPUTED_VALUE"""),"18 inch Aero")</f>
        <v>18 inch Aero</v>
      </c>
      <c r="Q878" t="str">
        <f>IFERROR(__xludf.DUMMYFUNCTION("""COMPUTED_VALUE"""),"Black seats")</f>
        <v>Black seats</v>
      </c>
      <c r="R878" t="str">
        <f>IFERROR(__xludf.DUMMYFUNCTION("""COMPUTED_VALUE"""),"Enhanced Autopilot")</f>
        <v>Enhanced Autopilot</v>
      </c>
      <c r="X878" t="str">
        <f>IFERROR(__xludf.DUMMYFUNCTION("""COMPUTED_VALUE"""),"Excellent")</f>
        <v>Excellent</v>
      </c>
      <c r="Y878" t="str">
        <f>IFERROR(__xludf.DUMMYFUNCTION("""COMPUTED_VALUE"""),"Excellent")</f>
        <v>Excellent</v>
      </c>
      <c r="Z878" t="str">
        <f>IFERROR(__xludf.DUMMYFUNCTION("""COMPUTED_VALUE"""),"Very Good")</f>
        <v>Very Good</v>
      </c>
      <c r="AA878" t="str">
        <f>IFERROR(__xludf.DUMMYFUNCTION("""COMPUTED_VALUE"""),"Good")</f>
        <v>Good</v>
      </c>
      <c r="AB878" t="str">
        <f>IFERROR(__xludf.DUMMYFUNCTION("""COMPUTED_VALUE"""),"Good")</f>
        <v>Good</v>
      </c>
      <c r="AC878">
        <f>IFERROR(__xludf.DUMMYFUNCTION("""COMPUTED_VALUE"""),0.0)</f>
        <v>0</v>
      </c>
      <c r="AD878">
        <f>IFERROR(__xludf.DUMMYFUNCTION("""COMPUTED_VALUE"""),0.0)</f>
        <v>0</v>
      </c>
      <c r="AE878">
        <f>IFERROR(__xludf.DUMMYFUNCTION("""COMPUTED_VALUE"""),0.0)</f>
        <v>0</v>
      </c>
      <c r="AG878" t="str">
        <f>IFERROR(__xludf.DUMMYFUNCTION("""COMPUTED_VALUE"""),"Only flaws I could see was a tiny 1/8"" hairline scratch on the trunk and one or two very small areas where touch up paint had been used. These were not noticeable unless you had your face up against them and didn't bother me at all.")</f>
        <v>Only flaws I could see was a tiny 1/8" hairline scratch on the trunk and one or two very small areas where touch up paint had been used. These were not noticeable unless you had your face up against them and didn't bother me at all.</v>
      </c>
      <c r="AH878" s="189">
        <f>IFERROR(__xludf.DUMMYFUNCTION("""COMPUTED_VALUE"""),43370.36948061343)</f>
        <v>43370.36948</v>
      </c>
    </row>
    <row r="879">
      <c r="A879" t="str">
        <f>IFERROR(__xludf.DUMMYFUNCTION("""COMPUTED_VALUE"""),"run4life")</f>
        <v>run4life</v>
      </c>
      <c r="B879" t="str">
        <f>IFERROR(__xludf.DUMMYFUNCTION("""COMPUTED_VALUE"""),"Arcadia")</f>
        <v>Arcadia</v>
      </c>
      <c r="C879" t="str">
        <f>IFERROR(__xludf.DUMMYFUNCTION("""COMPUTED_VALUE"""),"CA")</f>
        <v>CA</v>
      </c>
      <c r="D879" t="str">
        <f>IFERROR(__xludf.DUMMYFUNCTION("""COMPUTED_VALUE"""),"USA")</f>
        <v>USA</v>
      </c>
      <c r="E879" s="188">
        <f>IFERROR(__xludf.DUMMYFUNCTION("""COMPUTED_VALUE"""),43278.0)</f>
        <v>43278</v>
      </c>
      <c r="H879">
        <f>IFERROR(__xludf.DUMMYFUNCTION("""COMPUTED_VALUE"""),63655.0)</f>
        <v>63655</v>
      </c>
      <c r="J879" s="5">
        <f>IFERROR(__xludf.DUMMYFUNCTION("""COMPUTED_VALUE"""),43323.0)</f>
        <v>43323</v>
      </c>
      <c r="M879">
        <f>IFERROR(__xludf.DUMMYFUNCTION("""COMPUTED_VALUE"""),45.0)</f>
        <v>45</v>
      </c>
      <c r="N879" t="str">
        <f>IFERROR(__xludf.DUMMYFUNCTION("""COMPUTED_VALUE"""),"Model 3 LR AWD")</f>
        <v>Model 3 LR AWD</v>
      </c>
      <c r="O879" t="str">
        <f>IFERROR(__xludf.DUMMYFUNCTION("""COMPUTED_VALUE"""),"Deep Blue Metallic")</f>
        <v>Deep Blue Metallic</v>
      </c>
      <c r="P879" t="str">
        <f>IFERROR(__xludf.DUMMYFUNCTION("""COMPUTED_VALUE"""),"19 inch Sport")</f>
        <v>19 inch Sport</v>
      </c>
      <c r="Q879" t="str">
        <f>IFERROR(__xludf.DUMMYFUNCTION("""COMPUTED_VALUE"""),"Black seats")</f>
        <v>Black seats</v>
      </c>
      <c r="R879" t="str">
        <f>IFERROR(__xludf.DUMMYFUNCTION("""COMPUTED_VALUE"""),"Enhanced Autopilot")</f>
        <v>Enhanced Autopilot</v>
      </c>
      <c r="X879" t="str">
        <f>IFERROR(__xludf.DUMMYFUNCTION("""COMPUTED_VALUE"""),"Very Good")</f>
        <v>Very Good</v>
      </c>
      <c r="Y879" t="str">
        <f>IFERROR(__xludf.DUMMYFUNCTION("""COMPUTED_VALUE"""),"Very Good")</f>
        <v>Very Good</v>
      </c>
      <c r="Z879" t="str">
        <f>IFERROR(__xludf.DUMMYFUNCTION("""COMPUTED_VALUE"""),"Good")</f>
        <v>Good</v>
      </c>
      <c r="AA879" t="str">
        <f>IFERROR(__xludf.DUMMYFUNCTION("""COMPUTED_VALUE"""),"Good")</f>
        <v>Good</v>
      </c>
      <c r="AB879" t="str">
        <f>IFERROR(__xludf.DUMMYFUNCTION("""COMPUTED_VALUE"""),"Very Good")</f>
        <v>Very Good</v>
      </c>
      <c r="AC879">
        <f>IFERROR(__xludf.DUMMYFUNCTION("""COMPUTED_VALUE"""),0.0)</f>
        <v>0</v>
      </c>
      <c r="AD879">
        <f>IFERROR(__xludf.DUMMYFUNCTION("""COMPUTED_VALUE"""),0.0)</f>
        <v>0</v>
      </c>
      <c r="AG879" t="str">
        <f>IFERROR(__xludf.DUMMYFUNCTION("""COMPUTED_VALUE"""),"I found some paint issues after the 30 days period.   There was a slight dent and it looked like they touched it up.")</f>
        <v>I found some paint issues after the 30 days period.   There was a slight dent and it looked like they touched it up.</v>
      </c>
      <c r="AH879" s="189">
        <f>IFERROR(__xludf.DUMMYFUNCTION("""COMPUTED_VALUE"""),43370.37510539352)</f>
        <v>43370.37511</v>
      </c>
    </row>
    <row r="880">
      <c r="A880" t="str">
        <f>IFERROR(__xludf.DUMMYFUNCTION("""COMPUTED_VALUE"""),"y3ac")</f>
        <v>y3ac</v>
      </c>
      <c r="B880" t="str">
        <f>IFERROR(__xludf.DUMMYFUNCTION("""COMPUTED_VALUE"""),"Lehi")</f>
        <v>Lehi</v>
      </c>
      <c r="C880" t="str">
        <f>IFERROR(__xludf.DUMMYFUNCTION("""COMPUTED_VALUE"""),"UT")</f>
        <v>UT</v>
      </c>
      <c r="D880" t="str">
        <f>IFERROR(__xludf.DUMMYFUNCTION("""COMPUTED_VALUE"""),"USA")</f>
        <v>USA</v>
      </c>
      <c r="E880" s="188">
        <f>IFERROR(__xludf.DUMMYFUNCTION("""COMPUTED_VALUE"""),43293.0)</f>
        <v>43293</v>
      </c>
      <c r="F880" s="188">
        <f>IFERROR(__xludf.DUMMYFUNCTION("""COMPUTED_VALUE"""),43367.0)</f>
        <v>43367</v>
      </c>
      <c r="H880">
        <f>IFERROR(__xludf.DUMMYFUNCTION("""COMPUTED_VALUE"""),104555.0)</f>
        <v>104555</v>
      </c>
      <c r="J880" s="5">
        <f>IFERROR(__xludf.DUMMYFUNCTION("""COMPUTED_VALUE"""),43372.0)</f>
        <v>43372</v>
      </c>
      <c r="K880">
        <f>IFERROR(__xludf.DUMMYFUNCTION("""COMPUTED_VALUE"""),74.0)</f>
        <v>74</v>
      </c>
      <c r="L880">
        <f>IFERROR(__xludf.DUMMYFUNCTION("""COMPUTED_VALUE"""),5.0)</f>
        <v>5</v>
      </c>
      <c r="M880">
        <f>IFERROR(__xludf.DUMMYFUNCTION("""COMPUTED_VALUE"""),79.0)</f>
        <v>79</v>
      </c>
      <c r="N880" t="str">
        <f>IFERROR(__xludf.DUMMYFUNCTION("""COMPUTED_VALUE"""),"Model 3 LR AWD")</f>
        <v>Model 3 LR AWD</v>
      </c>
      <c r="O880" t="str">
        <f>IFERROR(__xludf.DUMMYFUNCTION("""COMPUTED_VALUE"""),"Red Multi-Coat")</f>
        <v>Red Multi-Coat</v>
      </c>
      <c r="P880" t="str">
        <f>IFERROR(__xludf.DUMMYFUNCTION("""COMPUTED_VALUE"""),"18 inch Aero")</f>
        <v>18 inch Aero</v>
      </c>
      <c r="Q880" t="str">
        <f>IFERROR(__xludf.DUMMYFUNCTION("""COMPUTED_VALUE"""),"Black seats")</f>
        <v>Black seats</v>
      </c>
      <c r="R880" t="str">
        <f>IFERROR(__xludf.DUMMYFUNCTION("""COMPUTED_VALUE"""),"Full Self-Driving")</f>
        <v>Full Self-Driving</v>
      </c>
      <c r="X880" t="str">
        <f>IFERROR(__xludf.DUMMYFUNCTION("""COMPUTED_VALUE"""),"Excellent")</f>
        <v>Excellent</v>
      </c>
      <c r="Y880" t="str">
        <f>IFERROR(__xludf.DUMMYFUNCTION("""COMPUTED_VALUE"""),"Excellent")</f>
        <v>Excellent</v>
      </c>
      <c r="Z880" t="str">
        <f>IFERROR(__xludf.DUMMYFUNCTION("""COMPUTED_VALUE"""),"Excellent")</f>
        <v>Excellent</v>
      </c>
      <c r="AA880" t="str">
        <f>IFERROR(__xludf.DUMMYFUNCTION("""COMPUTED_VALUE"""),"Fair")</f>
        <v>Fair</v>
      </c>
      <c r="AB880" t="str">
        <f>IFERROR(__xludf.DUMMYFUNCTION("""COMPUTED_VALUE"""),"Excellent")</f>
        <v>Excellent</v>
      </c>
      <c r="AC880">
        <f>IFERROR(__xludf.DUMMYFUNCTION("""COMPUTED_VALUE"""),1.0)</f>
        <v>1</v>
      </c>
      <c r="AD880">
        <f>IFERROR(__xludf.DUMMYFUNCTION("""COMPUTED_VALUE"""),1.0)</f>
        <v>1</v>
      </c>
      <c r="AG880" t="str">
        <f>IFERROR(__xludf.DUMMYFUNCTION("""COMPUTED_VALUE"""),"Aug 8, added FSD, estimate pushed back")</f>
        <v>Aug 8, added FSD, estimate pushed back</v>
      </c>
      <c r="AH880" s="189">
        <f>IFERROR(__xludf.DUMMYFUNCTION("""COMPUTED_VALUE"""),43370.37625613426)</f>
        <v>43370.37626</v>
      </c>
    </row>
    <row r="881">
      <c r="A881" t="str">
        <f>IFERROR(__xludf.DUMMYFUNCTION("""COMPUTED_VALUE"""),"hw_wiz")</f>
        <v>hw_wiz</v>
      </c>
      <c r="B881" t="str">
        <f>IFERROR(__xludf.DUMMYFUNCTION("""COMPUTED_VALUE"""),"Sunnyvale")</f>
        <v>Sunnyvale</v>
      </c>
      <c r="C881" t="str">
        <f>IFERROR(__xludf.DUMMYFUNCTION("""COMPUTED_VALUE"""),"CA")</f>
        <v>CA</v>
      </c>
      <c r="D881" t="str">
        <f>IFERROR(__xludf.DUMMYFUNCTION("""COMPUTED_VALUE"""),"USA")</f>
        <v>USA</v>
      </c>
      <c r="E881" s="188">
        <f>IFERROR(__xludf.DUMMYFUNCTION("""COMPUTED_VALUE"""),43280.0)</f>
        <v>43280</v>
      </c>
      <c r="H881">
        <f>IFERROR(__xludf.DUMMYFUNCTION("""COMPUTED_VALUE"""),116055.0)</f>
        <v>116055</v>
      </c>
      <c r="I881" t="str">
        <f>IFERROR(__xludf.DUMMYFUNCTION("""COMPUTED_VALUE"""),"09/18")</f>
        <v>09/18</v>
      </c>
      <c r="J881" s="5">
        <f>IFERROR(__xludf.DUMMYFUNCTION("""COMPUTED_VALUE"""),43369.0)</f>
        <v>43369</v>
      </c>
      <c r="M881">
        <f>IFERROR(__xludf.DUMMYFUNCTION("""COMPUTED_VALUE"""),89.0)</f>
        <v>89</v>
      </c>
      <c r="N881" t="str">
        <f>IFERROR(__xludf.DUMMYFUNCTION("""COMPUTED_VALUE"""),"Model 3 LR AWD")</f>
        <v>Model 3 LR AWD</v>
      </c>
      <c r="O881" t="str">
        <f>IFERROR(__xludf.DUMMYFUNCTION("""COMPUTED_VALUE"""),"Deep Blue Metallic")</f>
        <v>Deep Blue Metallic</v>
      </c>
      <c r="P881" t="str">
        <f>IFERROR(__xludf.DUMMYFUNCTION("""COMPUTED_VALUE"""),"19 inch Sport")</f>
        <v>19 inch Sport</v>
      </c>
      <c r="Q881" t="str">
        <f>IFERROR(__xludf.DUMMYFUNCTION("""COMPUTED_VALUE"""),"Black seats")</f>
        <v>Black seats</v>
      </c>
      <c r="R881" t="str">
        <f>IFERROR(__xludf.DUMMYFUNCTION("""COMPUTED_VALUE"""),"None")</f>
        <v>None</v>
      </c>
      <c r="X881" t="str">
        <f>IFERROR(__xludf.DUMMYFUNCTION("""COMPUTED_VALUE"""),"Excellent")</f>
        <v>Excellent</v>
      </c>
      <c r="Y881" t="str">
        <f>IFERROR(__xludf.DUMMYFUNCTION("""COMPUTED_VALUE"""),"Excellent")</f>
        <v>Excellent</v>
      </c>
      <c r="Z881" t="str">
        <f>IFERROR(__xludf.DUMMYFUNCTION("""COMPUTED_VALUE"""),"Excellent")</f>
        <v>Excellent</v>
      </c>
      <c r="AA881" t="str">
        <f>IFERROR(__xludf.DUMMYFUNCTION("""COMPUTED_VALUE"""),"Excellent")</f>
        <v>Excellent</v>
      </c>
      <c r="AB881" t="str">
        <f>IFERROR(__xludf.DUMMYFUNCTION("""COMPUTED_VALUE"""),"Excellent")</f>
        <v>Excellent</v>
      </c>
      <c r="AH881" s="189">
        <f>IFERROR(__xludf.DUMMYFUNCTION("""COMPUTED_VALUE"""),43370.40646366898)</f>
        <v>43370.40646</v>
      </c>
    </row>
    <row r="882">
      <c r="A882" t="str">
        <f>IFERROR(__xludf.DUMMYFUNCTION("""COMPUTED_VALUE"""),"shizza77")</f>
        <v>shizza77</v>
      </c>
      <c r="B882" t="str">
        <f>IFERROR(__xludf.DUMMYFUNCTION("""COMPUTED_VALUE"""),"Bay Area, CA")</f>
        <v>Bay Area, CA</v>
      </c>
      <c r="C882" t="str">
        <f>IFERROR(__xludf.DUMMYFUNCTION("""COMPUTED_VALUE"""),"CA")</f>
        <v>CA</v>
      </c>
      <c r="D882" t="str">
        <f>IFERROR(__xludf.DUMMYFUNCTION("""COMPUTED_VALUE"""),"USA")</f>
        <v>USA</v>
      </c>
      <c r="E882" s="188">
        <f>IFERROR(__xludf.DUMMYFUNCTION("""COMPUTED_VALUE"""),43282.0)</f>
        <v>43282</v>
      </c>
      <c r="F882" s="188">
        <f>IFERROR(__xludf.DUMMYFUNCTION("""COMPUTED_VALUE"""),43364.0)</f>
        <v>43364</v>
      </c>
      <c r="H882" s="4">
        <f>IFERROR(__xludf.DUMMYFUNCTION("""COMPUTED_VALUE"""),92411.0)</f>
        <v>92411</v>
      </c>
      <c r="I882" t="str">
        <f>IFERROR(__xludf.DUMMYFUNCTION("""COMPUTED_VALUE"""),"09/18")</f>
        <v>09/18</v>
      </c>
      <c r="J882" s="5">
        <f>IFERROR(__xludf.DUMMYFUNCTION("""COMPUTED_VALUE"""),43369.0)</f>
        <v>43369</v>
      </c>
      <c r="K882">
        <f>IFERROR(__xludf.DUMMYFUNCTION("""COMPUTED_VALUE"""),82.0)</f>
        <v>82</v>
      </c>
      <c r="L882">
        <f>IFERROR(__xludf.DUMMYFUNCTION("""COMPUTED_VALUE"""),5.0)</f>
        <v>5</v>
      </c>
      <c r="M882">
        <f>IFERROR(__xludf.DUMMYFUNCTION("""COMPUTED_VALUE"""),87.0)</f>
        <v>87</v>
      </c>
      <c r="N882" t="str">
        <f>IFERROR(__xludf.DUMMYFUNCTION("""COMPUTED_VALUE"""),"Model 3 LR AWD")</f>
        <v>Model 3 LR AWD</v>
      </c>
      <c r="O882" t="str">
        <f>IFERROR(__xludf.DUMMYFUNCTION("""COMPUTED_VALUE"""),"Pearl White Multi-Coat")</f>
        <v>Pearl White Multi-Coat</v>
      </c>
      <c r="P882" t="str">
        <f>IFERROR(__xludf.DUMMYFUNCTION("""COMPUTED_VALUE"""),"18 inch Aero")</f>
        <v>18 inch Aero</v>
      </c>
      <c r="Q882" t="str">
        <f>IFERROR(__xludf.DUMMYFUNCTION("""COMPUTED_VALUE"""),"Black seats")</f>
        <v>Black seats</v>
      </c>
      <c r="R882" t="str">
        <f>IFERROR(__xludf.DUMMYFUNCTION("""COMPUTED_VALUE"""),"None")</f>
        <v>None</v>
      </c>
      <c r="X882" t="str">
        <f>IFERROR(__xludf.DUMMYFUNCTION("""COMPUTED_VALUE"""),"Excellent")</f>
        <v>Excellent</v>
      </c>
      <c r="Y882" t="str">
        <f>IFERROR(__xludf.DUMMYFUNCTION("""COMPUTED_VALUE"""),"Excellent")</f>
        <v>Excellent</v>
      </c>
      <c r="Z882" t="str">
        <f>IFERROR(__xludf.DUMMYFUNCTION("""COMPUTED_VALUE"""),"Excellent")</f>
        <v>Excellent</v>
      </c>
      <c r="AA882" t="str">
        <f>IFERROR(__xludf.DUMMYFUNCTION("""COMPUTED_VALUE"""),"Fair")</f>
        <v>Fair</v>
      </c>
      <c r="AB882" t="str">
        <f>IFERROR(__xludf.DUMMYFUNCTION("""COMPUTED_VALUE"""),"Good")</f>
        <v>Good</v>
      </c>
      <c r="AC882">
        <f>IFERROR(__xludf.DUMMYFUNCTION("""COMPUTED_VALUE"""),1.0)</f>
        <v>1</v>
      </c>
      <c r="AH882" s="189">
        <f>IFERROR(__xludf.DUMMYFUNCTION("""COMPUTED_VALUE"""),43370.43903829861)</f>
        <v>43370.43904</v>
      </c>
    </row>
    <row r="883">
      <c r="A883" t="str">
        <f>IFERROR(__xludf.DUMMYFUNCTION("""COMPUTED_VALUE"""),"JonJonReidReid")</f>
        <v>JonJonReidReid</v>
      </c>
      <c r="B883" t="str">
        <f>IFERROR(__xludf.DUMMYFUNCTION("""COMPUTED_VALUE"""),"Los Angeles")</f>
        <v>Los Angeles</v>
      </c>
      <c r="C883" t="str">
        <f>IFERROR(__xludf.DUMMYFUNCTION("""COMPUTED_VALUE"""),"CA")</f>
        <v>CA</v>
      </c>
      <c r="D883" t="str">
        <f>IFERROR(__xludf.DUMMYFUNCTION("""COMPUTED_VALUE"""),"USA")</f>
        <v>USA</v>
      </c>
      <c r="E883" s="188">
        <f>IFERROR(__xludf.DUMMYFUNCTION("""COMPUTED_VALUE"""),43279.0)</f>
        <v>43279</v>
      </c>
      <c r="F883" s="188">
        <f>IFERROR(__xludf.DUMMYFUNCTION("""COMPUTED_VALUE"""),43367.0)</f>
        <v>43367</v>
      </c>
      <c r="H883">
        <f>IFERROR(__xludf.DUMMYFUNCTION("""COMPUTED_VALUE"""),105165.0)</f>
        <v>105165</v>
      </c>
      <c r="J883" s="5">
        <f>IFERROR(__xludf.DUMMYFUNCTION("""COMPUTED_VALUE"""),43370.0)</f>
        <v>43370</v>
      </c>
      <c r="K883">
        <f>IFERROR(__xludf.DUMMYFUNCTION("""COMPUTED_VALUE"""),88.0)</f>
        <v>88</v>
      </c>
      <c r="L883">
        <f>IFERROR(__xludf.DUMMYFUNCTION("""COMPUTED_VALUE"""),3.0)</f>
        <v>3</v>
      </c>
      <c r="M883">
        <f>IFERROR(__xludf.DUMMYFUNCTION("""COMPUTED_VALUE"""),91.0)</f>
        <v>91</v>
      </c>
      <c r="N883" t="str">
        <f>IFERROR(__xludf.DUMMYFUNCTION("""COMPUTED_VALUE"""),"Model 3 LR AWD")</f>
        <v>Model 3 LR AWD</v>
      </c>
      <c r="O883" t="str">
        <f>IFERROR(__xludf.DUMMYFUNCTION("""COMPUTED_VALUE"""),"Deep Blue Metallic")</f>
        <v>Deep Blue Metallic</v>
      </c>
      <c r="P883" t="str">
        <f>IFERROR(__xludf.DUMMYFUNCTION("""COMPUTED_VALUE"""),"18 inch Aero")</f>
        <v>18 inch Aero</v>
      </c>
      <c r="Q883" t="str">
        <f>IFERROR(__xludf.DUMMYFUNCTION("""COMPUTED_VALUE"""),"Black seats")</f>
        <v>Black seats</v>
      </c>
      <c r="R883" t="str">
        <f>IFERROR(__xludf.DUMMYFUNCTION("""COMPUTED_VALUE"""),"Enhanced Autopilot")</f>
        <v>Enhanced Autopilot</v>
      </c>
      <c r="X883" t="str">
        <f>IFERROR(__xludf.DUMMYFUNCTION("""COMPUTED_VALUE"""),"Excellent")</f>
        <v>Excellent</v>
      </c>
      <c r="Y883" t="str">
        <f>IFERROR(__xludf.DUMMYFUNCTION("""COMPUTED_VALUE"""),"Excellent")</f>
        <v>Excellent</v>
      </c>
      <c r="Z883" t="str">
        <f>IFERROR(__xludf.DUMMYFUNCTION("""COMPUTED_VALUE"""),"Excellent")</f>
        <v>Excellent</v>
      </c>
      <c r="AA883" t="str">
        <f>IFERROR(__xludf.DUMMYFUNCTION("""COMPUTED_VALUE"""),"Excellent")</f>
        <v>Excellent</v>
      </c>
      <c r="AB883" t="str">
        <f>IFERROR(__xludf.DUMMYFUNCTION("""COMPUTED_VALUE"""),"Excellent")</f>
        <v>Excellent</v>
      </c>
      <c r="AH883" s="189">
        <f>IFERROR(__xludf.DUMMYFUNCTION("""COMPUTED_VALUE"""),43370.54856181713)</f>
        <v>43370.54856</v>
      </c>
    </row>
    <row r="884">
      <c r="A884" t="str">
        <f>IFERROR(__xludf.DUMMYFUNCTION("""COMPUTED_VALUE"""),"GRTesla")</f>
        <v>GRTesla</v>
      </c>
      <c r="B884" t="str">
        <f>IFERROR(__xludf.DUMMYFUNCTION("""COMPUTED_VALUE"""),"Grand Rapids")</f>
        <v>Grand Rapids</v>
      </c>
      <c r="C884" t="str">
        <f>IFERROR(__xludf.DUMMYFUNCTION("""COMPUTED_VALUE"""),"MI")</f>
        <v>MI</v>
      </c>
      <c r="D884" t="str">
        <f>IFERROR(__xludf.DUMMYFUNCTION("""COMPUTED_VALUE"""),"USA")</f>
        <v>USA</v>
      </c>
      <c r="E884" s="188">
        <f>IFERROR(__xludf.DUMMYFUNCTION("""COMPUTED_VALUE"""),43335.0)</f>
        <v>43335</v>
      </c>
      <c r="F884" s="188">
        <f>IFERROR(__xludf.DUMMYFUNCTION("""COMPUTED_VALUE"""),43366.0)</f>
        <v>43366</v>
      </c>
      <c r="H884">
        <f>IFERROR(__xludf.DUMMYFUNCTION("""COMPUTED_VALUE"""),103849.0)</f>
        <v>103849</v>
      </c>
      <c r="I884" t="str">
        <f>IFERROR(__xludf.DUMMYFUNCTION("""COMPUTED_VALUE"""),"09/18")</f>
        <v>09/18</v>
      </c>
      <c r="J884" s="5">
        <f>IFERROR(__xludf.DUMMYFUNCTION("""COMPUTED_VALUE"""),43369.0)</f>
        <v>43369</v>
      </c>
      <c r="K884">
        <f>IFERROR(__xludf.DUMMYFUNCTION("""COMPUTED_VALUE"""),31.0)</f>
        <v>31</v>
      </c>
      <c r="L884">
        <f>IFERROR(__xludf.DUMMYFUNCTION("""COMPUTED_VALUE"""),3.0)</f>
        <v>3</v>
      </c>
      <c r="M884">
        <f>IFERROR(__xludf.DUMMYFUNCTION("""COMPUTED_VALUE"""),34.0)</f>
        <v>34</v>
      </c>
      <c r="N884" t="str">
        <f>IFERROR(__xludf.DUMMYFUNCTION("""COMPUTED_VALUE"""),"Model 3 LR AWD")</f>
        <v>Model 3 LR AWD</v>
      </c>
      <c r="O884" t="str">
        <f>IFERROR(__xludf.DUMMYFUNCTION("""COMPUTED_VALUE"""),"Midnight Silver Metallic")</f>
        <v>Midnight Silver Metallic</v>
      </c>
      <c r="P884" t="str">
        <f>IFERROR(__xludf.DUMMYFUNCTION("""COMPUTED_VALUE"""),"18 inch Aero")</f>
        <v>18 inch Aero</v>
      </c>
      <c r="Q884" t="str">
        <f>IFERROR(__xludf.DUMMYFUNCTION("""COMPUTED_VALUE"""),"Black seats")</f>
        <v>Black seats</v>
      </c>
      <c r="R884" t="str">
        <f>IFERROR(__xludf.DUMMYFUNCTION("""COMPUTED_VALUE"""),"Enhanced Autopilot")</f>
        <v>Enhanced Autopilot</v>
      </c>
      <c r="X884" t="str">
        <f>IFERROR(__xludf.DUMMYFUNCTION("""COMPUTED_VALUE"""),"Excellent")</f>
        <v>Excellent</v>
      </c>
      <c r="Y884" t="str">
        <f>IFERROR(__xludf.DUMMYFUNCTION("""COMPUTED_VALUE"""),"Excellent")</f>
        <v>Excellent</v>
      </c>
      <c r="Z884" t="str">
        <f>IFERROR(__xludf.DUMMYFUNCTION("""COMPUTED_VALUE"""),"Excellent")</f>
        <v>Excellent</v>
      </c>
      <c r="AA884" t="str">
        <f>IFERROR(__xludf.DUMMYFUNCTION("""COMPUTED_VALUE"""),"Excellent")</f>
        <v>Excellent</v>
      </c>
      <c r="AB884" t="str">
        <f>IFERROR(__xludf.DUMMYFUNCTION("""COMPUTED_VALUE"""),"Excellent")</f>
        <v>Excellent</v>
      </c>
      <c r="AC884">
        <f>IFERROR(__xludf.DUMMYFUNCTION("""COMPUTED_VALUE"""),1.0)</f>
        <v>1</v>
      </c>
      <c r="AH884" s="189">
        <f>IFERROR(__xludf.DUMMYFUNCTION("""COMPUTED_VALUE"""),43370.55132388889)</f>
        <v>43370.55132</v>
      </c>
    </row>
    <row r="885">
      <c r="A885" t="str">
        <f>IFERROR(__xludf.DUMMYFUNCTION("""COMPUTED_VALUE"""),"abdhsc23")</f>
        <v>abdhsc23</v>
      </c>
      <c r="B885" t="str">
        <f>IFERROR(__xludf.DUMMYFUNCTION("""COMPUTED_VALUE"""),"Los Angeles")</f>
        <v>Los Angeles</v>
      </c>
      <c r="C885" t="str">
        <f>IFERROR(__xludf.DUMMYFUNCTION("""COMPUTED_VALUE"""),"CA")</f>
        <v>CA</v>
      </c>
      <c r="D885" t="str">
        <f>IFERROR(__xludf.DUMMYFUNCTION("""COMPUTED_VALUE"""),"USA")</f>
        <v>USA</v>
      </c>
      <c r="E885" s="188">
        <f>IFERROR(__xludf.DUMMYFUNCTION("""COMPUTED_VALUE"""),43292.0)</f>
        <v>43292</v>
      </c>
      <c r="F885" s="188">
        <f>IFERROR(__xludf.DUMMYFUNCTION("""COMPUTED_VALUE"""),43364.0)</f>
        <v>43364</v>
      </c>
      <c r="H885">
        <f>IFERROR(__xludf.DUMMYFUNCTION("""COMPUTED_VALUE"""),71755.0)</f>
        <v>71755</v>
      </c>
      <c r="J885" s="5">
        <f>IFERROR(__xludf.DUMMYFUNCTION("""COMPUTED_VALUE"""),43370.0)</f>
        <v>43370</v>
      </c>
      <c r="K885">
        <f>IFERROR(__xludf.DUMMYFUNCTION("""COMPUTED_VALUE"""),72.0)</f>
        <v>72</v>
      </c>
      <c r="L885">
        <f>IFERROR(__xludf.DUMMYFUNCTION("""COMPUTED_VALUE"""),6.0)</f>
        <v>6</v>
      </c>
      <c r="M885">
        <f>IFERROR(__xludf.DUMMYFUNCTION("""COMPUTED_VALUE"""),78.0)</f>
        <v>78</v>
      </c>
      <c r="N885" t="str">
        <f>IFERROR(__xludf.DUMMYFUNCTION("""COMPUTED_VALUE"""),"Model 3 LR AWD")</f>
        <v>Model 3 LR AWD</v>
      </c>
      <c r="O885" t="str">
        <f>IFERROR(__xludf.DUMMYFUNCTION("""COMPUTED_VALUE"""),"Obsidian Black Metallic")</f>
        <v>Obsidian Black Metallic</v>
      </c>
      <c r="P885" t="str">
        <f>IFERROR(__xludf.DUMMYFUNCTION("""COMPUTED_VALUE"""),"19 inch Sport")</f>
        <v>19 inch Sport</v>
      </c>
      <c r="Q885" t="str">
        <f>IFERROR(__xludf.DUMMYFUNCTION("""COMPUTED_VALUE"""),"Black seats")</f>
        <v>Black seats</v>
      </c>
      <c r="R885" t="str">
        <f>IFERROR(__xludf.DUMMYFUNCTION("""COMPUTED_VALUE"""),"Enhanced Autopilot")</f>
        <v>Enhanced Autopilot</v>
      </c>
      <c r="X885" t="str">
        <f>IFERROR(__xludf.DUMMYFUNCTION("""COMPUTED_VALUE"""),"Excellent")</f>
        <v>Excellent</v>
      </c>
      <c r="Y885" t="str">
        <f>IFERROR(__xludf.DUMMYFUNCTION("""COMPUTED_VALUE"""),"Excellent")</f>
        <v>Excellent</v>
      </c>
      <c r="Z885" t="str">
        <f>IFERROR(__xludf.DUMMYFUNCTION("""COMPUTED_VALUE"""),"Very Good")</f>
        <v>Very Good</v>
      </c>
      <c r="AA885" t="str">
        <f>IFERROR(__xludf.DUMMYFUNCTION("""COMPUTED_VALUE"""),"Good")</f>
        <v>Good</v>
      </c>
      <c r="AB885" t="str">
        <f>IFERROR(__xludf.DUMMYFUNCTION("""COMPUTED_VALUE"""),"Very Good")</f>
        <v>Very Good</v>
      </c>
      <c r="AH885" s="189">
        <f>IFERROR(__xludf.DUMMYFUNCTION("""COMPUTED_VALUE"""),43370.55497916667)</f>
        <v>43370.55498</v>
      </c>
    </row>
    <row r="886">
      <c r="A886" t="str">
        <f>IFERROR(__xludf.DUMMYFUNCTION("""COMPUTED_VALUE"""),"goingcoastal")</f>
        <v>goingcoastal</v>
      </c>
      <c r="C886" t="str">
        <f>IFERROR(__xludf.DUMMYFUNCTION("""COMPUTED_VALUE"""),"CA")</f>
        <v>CA</v>
      </c>
      <c r="D886" t="str">
        <f>IFERROR(__xludf.DUMMYFUNCTION("""COMPUTED_VALUE"""),"USA")</f>
        <v>USA</v>
      </c>
      <c r="E886" s="188">
        <f>IFERROR(__xludf.DUMMYFUNCTION("""COMPUTED_VALUE"""),43332.0)</f>
        <v>43332</v>
      </c>
      <c r="F886" s="188">
        <f>IFERROR(__xludf.DUMMYFUNCTION("""COMPUTED_VALUE"""),43366.0)</f>
        <v>43366</v>
      </c>
      <c r="H886">
        <f>IFERROR(__xludf.DUMMYFUNCTION("""COMPUTED_VALUE"""),92455.0)</f>
        <v>92455</v>
      </c>
      <c r="I886" t="str">
        <f>IFERROR(__xludf.DUMMYFUNCTION("""COMPUTED_VALUE"""),"09/18")</f>
        <v>09/18</v>
      </c>
      <c r="J886" s="5">
        <f>IFERROR(__xludf.DUMMYFUNCTION("""COMPUTED_VALUE"""),43369.0)</f>
        <v>43369</v>
      </c>
      <c r="K886">
        <f>IFERROR(__xludf.DUMMYFUNCTION("""COMPUTED_VALUE"""),34.0)</f>
        <v>34</v>
      </c>
      <c r="L886">
        <f>IFERROR(__xludf.DUMMYFUNCTION("""COMPUTED_VALUE"""),3.0)</f>
        <v>3</v>
      </c>
      <c r="M886">
        <f>IFERROR(__xludf.DUMMYFUNCTION("""COMPUTED_VALUE"""),37.0)</f>
        <v>37</v>
      </c>
      <c r="N886" t="str">
        <f>IFERROR(__xludf.DUMMYFUNCTION("""COMPUTED_VALUE"""),"Model 3 Performance")</f>
        <v>Model 3 Performance</v>
      </c>
      <c r="O886" t="str">
        <f>IFERROR(__xludf.DUMMYFUNCTION("""COMPUTED_VALUE"""),"Pearl White Multi-Coat")</f>
        <v>Pearl White Multi-Coat</v>
      </c>
      <c r="P886" t="str">
        <f>IFERROR(__xludf.DUMMYFUNCTION("""COMPUTED_VALUE"""),"18 inch Aero")</f>
        <v>18 inch Aero</v>
      </c>
      <c r="Q886" t="str">
        <f>IFERROR(__xludf.DUMMYFUNCTION("""COMPUTED_VALUE"""),"Black seats")</f>
        <v>Black seats</v>
      </c>
      <c r="R886" t="str">
        <f>IFERROR(__xludf.DUMMYFUNCTION("""COMPUTED_VALUE"""),"Enhanced Autopilot")</f>
        <v>Enhanced Autopilot</v>
      </c>
      <c r="X886" t="str">
        <f>IFERROR(__xludf.DUMMYFUNCTION("""COMPUTED_VALUE"""),"Very Good")</f>
        <v>Very Good</v>
      </c>
      <c r="Y886" t="str">
        <f>IFERROR(__xludf.DUMMYFUNCTION("""COMPUTED_VALUE"""),"Excellent")</f>
        <v>Excellent</v>
      </c>
      <c r="Z886" t="str">
        <f>IFERROR(__xludf.DUMMYFUNCTION("""COMPUTED_VALUE"""),"Very Good")</f>
        <v>Very Good</v>
      </c>
      <c r="AA886" t="str">
        <f>IFERROR(__xludf.DUMMYFUNCTION("""COMPUTED_VALUE"""),"Good")</f>
        <v>Good</v>
      </c>
      <c r="AB886" t="str">
        <f>IFERROR(__xludf.DUMMYFUNCTION("""COMPUTED_VALUE"""),"Very Good")</f>
        <v>Very Good</v>
      </c>
      <c r="AH886" s="189">
        <f>IFERROR(__xludf.DUMMYFUNCTION("""COMPUTED_VALUE"""),43370.58532212963)</f>
        <v>43370.58532</v>
      </c>
    </row>
    <row r="887">
      <c r="A887" t="str">
        <f>IFERROR(__xludf.DUMMYFUNCTION("""COMPUTED_VALUE"""),"jester2114")</f>
        <v>jester2114</v>
      </c>
      <c r="B887" t="str">
        <f>IFERROR(__xludf.DUMMYFUNCTION("""COMPUTED_VALUE"""),"Santa Clarita")</f>
        <v>Santa Clarita</v>
      </c>
      <c r="C887" t="str">
        <f>IFERROR(__xludf.DUMMYFUNCTION("""COMPUTED_VALUE"""),"CA")</f>
        <v>CA</v>
      </c>
      <c r="D887" t="str">
        <f>IFERROR(__xludf.DUMMYFUNCTION("""COMPUTED_VALUE"""),"USA")</f>
        <v>USA</v>
      </c>
      <c r="E887" s="188">
        <f>IFERROR(__xludf.DUMMYFUNCTION("""COMPUTED_VALUE"""),43334.0)</f>
        <v>43334</v>
      </c>
      <c r="H887">
        <f>IFERROR(__xludf.DUMMYFUNCTION("""COMPUTED_VALUE"""),11155.0)</f>
        <v>11155</v>
      </c>
      <c r="J887" s="5">
        <f>IFERROR(__xludf.DUMMYFUNCTION("""COMPUTED_VALUE"""),43370.0)</f>
        <v>43370</v>
      </c>
      <c r="M887">
        <f>IFERROR(__xludf.DUMMYFUNCTION("""COMPUTED_VALUE"""),36.0)</f>
        <v>36</v>
      </c>
      <c r="N887" t="str">
        <f>IFERROR(__xludf.DUMMYFUNCTION("""COMPUTED_VALUE"""),"Model 3 LR AWD")</f>
        <v>Model 3 LR AWD</v>
      </c>
      <c r="O887" t="str">
        <f>IFERROR(__xludf.DUMMYFUNCTION("""COMPUTED_VALUE"""),"Pearl White Multi-Coat")</f>
        <v>Pearl White Multi-Coat</v>
      </c>
      <c r="P887" t="str">
        <f>IFERROR(__xludf.DUMMYFUNCTION("""COMPUTED_VALUE"""),"19 inch Sport")</f>
        <v>19 inch Sport</v>
      </c>
      <c r="Q887" t="str">
        <f>IFERROR(__xludf.DUMMYFUNCTION("""COMPUTED_VALUE"""),"Black seats")</f>
        <v>Black seats</v>
      </c>
      <c r="R887" t="str">
        <f>IFERROR(__xludf.DUMMYFUNCTION("""COMPUTED_VALUE"""),"Full Self-Driving")</f>
        <v>Full Self-Driving</v>
      </c>
      <c r="X887" t="str">
        <f>IFERROR(__xludf.DUMMYFUNCTION("""COMPUTED_VALUE"""),"Excellent")</f>
        <v>Excellent</v>
      </c>
      <c r="Y887" t="str">
        <f>IFERROR(__xludf.DUMMYFUNCTION("""COMPUTED_VALUE"""),"Excellent")</f>
        <v>Excellent</v>
      </c>
      <c r="Z887" t="str">
        <f>IFERROR(__xludf.DUMMYFUNCTION("""COMPUTED_VALUE"""),"Excellent")</f>
        <v>Excellent</v>
      </c>
      <c r="AA887" t="str">
        <f>IFERROR(__xludf.DUMMYFUNCTION("""COMPUTED_VALUE"""),"Excellent")</f>
        <v>Excellent</v>
      </c>
      <c r="AB887" t="str">
        <f>IFERROR(__xludf.DUMMYFUNCTION("""COMPUTED_VALUE"""),"Very Good")</f>
        <v>Very Good</v>
      </c>
      <c r="AC887">
        <f>IFERROR(__xludf.DUMMYFUNCTION("""COMPUTED_VALUE"""),0.0)</f>
        <v>0</v>
      </c>
      <c r="AH887" s="189">
        <f>IFERROR(__xludf.DUMMYFUNCTION("""COMPUTED_VALUE"""),43370.599824467594)</f>
        <v>43370.59982</v>
      </c>
    </row>
    <row r="888">
      <c r="A888" t="str">
        <f>IFERROR(__xludf.DUMMYFUNCTION("""COMPUTED_VALUE"""),"rwzehner")</f>
        <v>rwzehner</v>
      </c>
      <c r="B888" t="str">
        <f>IFERROR(__xludf.DUMMYFUNCTION("""COMPUTED_VALUE"""),"Bay Area")</f>
        <v>Bay Area</v>
      </c>
      <c r="C888" t="str">
        <f>IFERROR(__xludf.DUMMYFUNCTION("""COMPUTED_VALUE"""),"CA")</f>
        <v>CA</v>
      </c>
      <c r="D888" t="str">
        <f>IFERROR(__xludf.DUMMYFUNCTION("""COMPUTED_VALUE"""),"USA")</f>
        <v>USA</v>
      </c>
      <c r="E888" s="188">
        <f>IFERROR(__xludf.DUMMYFUNCTION("""COMPUTED_VALUE"""),43278.0)</f>
        <v>43278</v>
      </c>
      <c r="F888" s="188">
        <f>IFERROR(__xludf.DUMMYFUNCTION("""COMPUTED_VALUE"""),43366.0)</f>
        <v>43366</v>
      </c>
      <c r="H888">
        <f>IFERROR(__xludf.DUMMYFUNCTION("""COMPUTED_VALUE"""),112655.0)</f>
        <v>112655</v>
      </c>
      <c r="I888" t="str">
        <f>IFERROR(__xludf.DUMMYFUNCTION("""COMPUTED_VALUE"""),"09/18")</f>
        <v>09/18</v>
      </c>
      <c r="J888" s="5">
        <f>IFERROR(__xludf.DUMMYFUNCTION("""COMPUTED_VALUE"""),43368.0)</f>
        <v>43368</v>
      </c>
      <c r="K888">
        <f>IFERROR(__xludf.DUMMYFUNCTION("""COMPUTED_VALUE"""),88.0)</f>
        <v>88</v>
      </c>
      <c r="L888">
        <f>IFERROR(__xludf.DUMMYFUNCTION("""COMPUTED_VALUE"""),2.0)</f>
        <v>2</v>
      </c>
      <c r="M888">
        <f>IFERROR(__xludf.DUMMYFUNCTION("""COMPUTED_VALUE"""),90.0)</f>
        <v>90</v>
      </c>
      <c r="N888" t="str">
        <f>IFERROR(__xludf.DUMMYFUNCTION("""COMPUTED_VALUE"""),"Model 3 Performance")</f>
        <v>Model 3 Performance</v>
      </c>
      <c r="O888" t="str">
        <f>IFERROR(__xludf.DUMMYFUNCTION("""COMPUTED_VALUE"""),"Deep Blue Metallic")</f>
        <v>Deep Blue Metallic</v>
      </c>
      <c r="P888" t="str">
        <f>IFERROR(__xludf.DUMMYFUNCTION("""COMPUTED_VALUE"""),"18 inch Aero")</f>
        <v>18 inch Aero</v>
      </c>
      <c r="Q888" t="str">
        <f>IFERROR(__xludf.DUMMYFUNCTION("""COMPUTED_VALUE"""),"Black seats")</f>
        <v>Black seats</v>
      </c>
      <c r="R888" t="str">
        <f>IFERROR(__xludf.DUMMYFUNCTION("""COMPUTED_VALUE"""),"Enhanced Autopilot")</f>
        <v>Enhanced Autopilot</v>
      </c>
      <c r="X888" t="str">
        <f>IFERROR(__xludf.DUMMYFUNCTION("""COMPUTED_VALUE"""),"Very Good")</f>
        <v>Very Good</v>
      </c>
      <c r="Y888" t="str">
        <f>IFERROR(__xludf.DUMMYFUNCTION("""COMPUTED_VALUE"""),"Very Good")</f>
        <v>Very Good</v>
      </c>
      <c r="Z888" t="str">
        <f>IFERROR(__xludf.DUMMYFUNCTION("""COMPUTED_VALUE"""),"Fair")</f>
        <v>Fair</v>
      </c>
      <c r="AA888" t="str">
        <f>IFERROR(__xludf.DUMMYFUNCTION("""COMPUTED_VALUE"""),"Fair")</f>
        <v>Fair</v>
      </c>
      <c r="AB888" t="str">
        <f>IFERROR(__xludf.DUMMYFUNCTION("""COMPUTED_VALUE"""),"Fair")</f>
        <v>Fair</v>
      </c>
      <c r="AC888">
        <f>IFERROR(__xludf.DUMMYFUNCTION("""COMPUTED_VALUE"""),4.0)</f>
        <v>4</v>
      </c>
      <c r="AH888" s="189">
        <f>IFERROR(__xludf.DUMMYFUNCTION("""COMPUTED_VALUE"""),43370.62126215278)</f>
        <v>43370.62126</v>
      </c>
    </row>
    <row r="889">
      <c r="A889" t="str">
        <f>IFERROR(__xludf.DUMMYFUNCTION("""COMPUTED_VALUE"""),"fatecrew2000")</f>
        <v>fatecrew2000</v>
      </c>
      <c r="B889" t="str">
        <f>IFERROR(__xludf.DUMMYFUNCTION("""COMPUTED_VALUE"""),"Seattle")</f>
        <v>Seattle</v>
      </c>
      <c r="C889" t="str">
        <f>IFERROR(__xludf.DUMMYFUNCTION("""COMPUTED_VALUE"""),"WA")</f>
        <v>WA</v>
      </c>
      <c r="D889" t="str">
        <f>IFERROR(__xludf.DUMMYFUNCTION("""COMPUTED_VALUE"""),"USA")</f>
        <v>USA</v>
      </c>
      <c r="E889" s="188">
        <f>IFERROR(__xludf.DUMMYFUNCTION("""COMPUTED_VALUE"""),43326.0)</f>
        <v>43326</v>
      </c>
      <c r="F889" s="188">
        <f>IFERROR(__xludf.DUMMYFUNCTION("""COMPUTED_VALUE"""),43349.0)</f>
        <v>43349</v>
      </c>
      <c r="H889">
        <f>IFERROR(__xludf.DUMMYFUNCTION("""COMPUTED_VALUE"""),84155.0)</f>
        <v>84155</v>
      </c>
      <c r="I889" t="str">
        <f>IFERROR(__xludf.DUMMYFUNCTION("""COMPUTED_VALUE"""),"08/18")</f>
        <v>08/18</v>
      </c>
      <c r="J889" s="5">
        <f>IFERROR(__xludf.DUMMYFUNCTION("""COMPUTED_VALUE"""),43370.0)</f>
        <v>43370</v>
      </c>
      <c r="K889">
        <f>IFERROR(__xludf.DUMMYFUNCTION("""COMPUTED_VALUE"""),23.0)</f>
        <v>23</v>
      </c>
      <c r="L889">
        <f>IFERROR(__xludf.DUMMYFUNCTION("""COMPUTED_VALUE"""),21.0)</f>
        <v>21</v>
      </c>
      <c r="M889">
        <f>IFERROR(__xludf.DUMMYFUNCTION("""COMPUTED_VALUE"""),44.0)</f>
        <v>44</v>
      </c>
      <c r="N889" t="str">
        <f>IFERROR(__xludf.DUMMYFUNCTION("""COMPUTED_VALUE"""),"Model 3 Performance")</f>
        <v>Model 3 Performance</v>
      </c>
      <c r="O889" t="str">
        <f>IFERROR(__xludf.DUMMYFUNCTION("""COMPUTED_VALUE"""),"Pearl White Multi-Coat")</f>
        <v>Pearl White Multi-Coat</v>
      </c>
      <c r="P889" t="str">
        <f>IFERROR(__xludf.DUMMYFUNCTION("""COMPUTED_VALUE"""),"20 inch Sport")</f>
        <v>20 inch Sport</v>
      </c>
      <c r="Q889" t="str">
        <f>IFERROR(__xludf.DUMMYFUNCTION("""COMPUTED_VALUE"""),"Black seats")</f>
        <v>Black seats</v>
      </c>
      <c r="R889" t="str">
        <f>IFERROR(__xludf.DUMMYFUNCTION("""COMPUTED_VALUE"""),"None")</f>
        <v>None</v>
      </c>
      <c r="X889" t="str">
        <f>IFERROR(__xludf.DUMMYFUNCTION("""COMPUTED_VALUE"""),"Excellent")</f>
        <v>Excellent</v>
      </c>
      <c r="Y889" t="str">
        <f>IFERROR(__xludf.DUMMYFUNCTION("""COMPUTED_VALUE"""),"Excellent")</f>
        <v>Excellent</v>
      </c>
      <c r="Z889" t="str">
        <f>IFERROR(__xludf.DUMMYFUNCTION("""COMPUTED_VALUE"""),"Excellent")</f>
        <v>Excellent</v>
      </c>
      <c r="AA889" t="str">
        <f>IFERROR(__xludf.DUMMYFUNCTION("""COMPUTED_VALUE"""),"Good")</f>
        <v>Good</v>
      </c>
      <c r="AB889" t="str">
        <f>IFERROR(__xludf.DUMMYFUNCTION("""COMPUTED_VALUE"""),"Excellent")</f>
        <v>Excellent</v>
      </c>
      <c r="AC889">
        <f>IFERROR(__xludf.DUMMYFUNCTION("""COMPUTED_VALUE"""),1.0)</f>
        <v>1</v>
      </c>
      <c r="AH889" s="189">
        <f>IFERROR(__xludf.DUMMYFUNCTION("""COMPUTED_VALUE"""),43370.69497869213)</f>
        <v>43370.69498</v>
      </c>
    </row>
    <row r="890">
      <c r="A890" t="str">
        <f>IFERROR(__xludf.DUMMYFUNCTION("""COMPUTED_VALUE"""),"atwerkuser")</f>
        <v>atwerkuser</v>
      </c>
      <c r="B890" t="str">
        <f>IFERROR(__xludf.DUMMYFUNCTION("""COMPUTED_VALUE"""),"Minneapolis ")</f>
        <v>Minneapolis </v>
      </c>
      <c r="C890" t="str">
        <f>IFERROR(__xludf.DUMMYFUNCTION("""COMPUTED_VALUE"""),"MN")</f>
        <v>MN</v>
      </c>
      <c r="D890" t="str">
        <f>IFERROR(__xludf.DUMMYFUNCTION("""COMPUTED_VALUE"""),"USA")</f>
        <v>USA</v>
      </c>
      <c r="E890" s="188">
        <f>IFERROR(__xludf.DUMMYFUNCTION("""COMPUTED_VALUE"""),43337.0)</f>
        <v>43337</v>
      </c>
      <c r="F890" s="188">
        <f>IFERROR(__xludf.DUMMYFUNCTION("""COMPUTED_VALUE"""),43357.0)</f>
        <v>43357</v>
      </c>
      <c r="H890">
        <f>IFERROR(__xludf.DUMMYFUNCTION("""COMPUTED_VALUE"""),62845.0)</f>
        <v>62845</v>
      </c>
      <c r="J890" s="5">
        <f>IFERROR(__xludf.DUMMYFUNCTION("""COMPUTED_VALUE"""),43364.0)</f>
        <v>43364</v>
      </c>
      <c r="K890">
        <f>IFERROR(__xludf.DUMMYFUNCTION("""COMPUTED_VALUE"""),20.0)</f>
        <v>20</v>
      </c>
      <c r="L890">
        <f>IFERROR(__xludf.DUMMYFUNCTION("""COMPUTED_VALUE"""),7.0)</f>
        <v>7</v>
      </c>
      <c r="M890">
        <f>IFERROR(__xludf.DUMMYFUNCTION("""COMPUTED_VALUE"""),27.0)</f>
        <v>27</v>
      </c>
      <c r="N890" t="str">
        <f>IFERROR(__xludf.DUMMYFUNCTION("""COMPUTED_VALUE"""),"Model 3 LR")</f>
        <v>Model 3 LR</v>
      </c>
      <c r="O890" t="str">
        <f>IFERROR(__xludf.DUMMYFUNCTION("""COMPUTED_VALUE"""),"Solid Black")</f>
        <v>Solid Black</v>
      </c>
      <c r="P890" t="str">
        <f>IFERROR(__xludf.DUMMYFUNCTION("""COMPUTED_VALUE"""),"18 inch Aero")</f>
        <v>18 inch Aero</v>
      </c>
      <c r="Q890" t="str">
        <f>IFERROR(__xludf.DUMMYFUNCTION("""COMPUTED_VALUE"""),"Black seats")</f>
        <v>Black seats</v>
      </c>
      <c r="R890" t="str">
        <f>IFERROR(__xludf.DUMMYFUNCTION("""COMPUTED_VALUE"""),"None")</f>
        <v>None</v>
      </c>
      <c r="X890" t="str">
        <f>IFERROR(__xludf.DUMMYFUNCTION("""COMPUTED_VALUE"""),"Excellent")</f>
        <v>Excellent</v>
      </c>
      <c r="Y890" t="str">
        <f>IFERROR(__xludf.DUMMYFUNCTION("""COMPUTED_VALUE"""),"Excellent")</f>
        <v>Excellent</v>
      </c>
      <c r="Z890" t="str">
        <f>IFERROR(__xludf.DUMMYFUNCTION("""COMPUTED_VALUE"""),"Very Good")</f>
        <v>Very Good</v>
      </c>
      <c r="AA890" t="str">
        <f>IFERROR(__xludf.DUMMYFUNCTION("""COMPUTED_VALUE"""),"Very Good")</f>
        <v>Very Good</v>
      </c>
      <c r="AB890" t="str">
        <f>IFERROR(__xludf.DUMMYFUNCTION("""COMPUTED_VALUE"""),"Excellent")</f>
        <v>Excellent</v>
      </c>
      <c r="AC890">
        <f>IFERROR(__xludf.DUMMYFUNCTION("""COMPUTED_VALUE"""),1.0)</f>
        <v>1</v>
      </c>
      <c r="AD890">
        <f>IFERROR(__xludf.DUMMYFUNCTION("""COMPUTED_VALUE"""),0.0)</f>
        <v>0</v>
      </c>
      <c r="AH890" s="189">
        <f>IFERROR(__xludf.DUMMYFUNCTION("""COMPUTED_VALUE"""),43370.899298738426)</f>
        <v>43370.8993</v>
      </c>
    </row>
    <row r="891">
      <c r="A891" t="str">
        <f>IFERROR(__xludf.DUMMYFUNCTION("""COMPUTED_VALUE"""),"ATLBMW")</f>
        <v>ATLBMW</v>
      </c>
      <c r="B891" t="str">
        <f>IFERROR(__xludf.DUMMYFUNCTION("""COMPUTED_VALUE"""),"Atlanta")</f>
        <v>Atlanta</v>
      </c>
      <c r="C891" t="str">
        <f>IFERROR(__xludf.DUMMYFUNCTION("""COMPUTED_VALUE"""),"GA")</f>
        <v>GA</v>
      </c>
      <c r="D891" t="str">
        <f>IFERROR(__xludf.DUMMYFUNCTION("""COMPUTED_VALUE"""),"USA")</f>
        <v>USA</v>
      </c>
      <c r="E891" s="188">
        <f>IFERROR(__xludf.DUMMYFUNCTION("""COMPUTED_VALUE"""),43330.0)</f>
        <v>43330</v>
      </c>
      <c r="F891" s="188">
        <f>IFERROR(__xludf.DUMMYFUNCTION("""COMPUTED_VALUE"""),43336.0)</f>
        <v>43336</v>
      </c>
      <c r="H891">
        <f>IFERROR(__xludf.DUMMYFUNCTION("""COMPUTED_VALUE"""),60055.0)</f>
        <v>60055</v>
      </c>
      <c r="I891" t="str">
        <f>IFERROR(__xludf.DUMMYFUNCTION("""COMPUTED_VALUE"""),"07/18")</f>
        <v>07/18</v>
      </c>
      <c r="J891" s="5">
        <f>IFERROR(__xludf.DUMMYFUNCTION("""COMPUTED_VALUE"""),43358.0)</f>
        <v>43358</v>
      </c>
      <c r="K891">
        <f>IFERROR(__xludf.DUMMYFUNCTION("""COMPUTED_VALUE"""),6.0)</f>
        <v>6</v>
      </c>
      <c r="L891">
        <f>IFERROR(__xludf.DUMMYFUNCTION("""COMPUTED_VALUE"""),22.0)</f>
        <v>22</v>
      </c>
      <c r="M891">
        <f>IFERROR(__xludf.DUMMYFUNCTION("""COMPUTED_VALUE"""),28.0)</f>
        <v>28</v>
      </c>
      <c r="N891" t="str">
        <f>IFERROR(__xludf.DUMMYFUNCTION("""COMPUTED_VALUE"""),"Model 3 LR")</f>
        <v>Model 3 LR</v>
      </c>
      <c r="O891" t="str">
        <f>IFERROR(__xludf.DUMMYFUNCTION("""COMPUTED_VALUE"""),"Deep Blue Metallic")</f>
        <v>Deep Blue Metallic</v>
      </c>
      <c r="P891" t="str">
        <f>IFERROR(__xludf.DUMMYFUNCTION("""COMPUTED_VALUE"""),"19 inch Sport")</f>
        <v>19 inch Sport</v>
      </c>
      <c r="Q891" t="str">
        <f>IFERROR(__xludf.DUMMYFUNCTION("""COMPUTED_VALUE"""),"Black seats")</f>
        <v>Black seats</v>
      </c>
      <c r="R891" t="str">
        <f>IFERROR(__xludf.DUMMYFUNCTION("""COMPUTED_VALUE"""),"Enhanced Autopilot")</f>
        <v>Enhanced Autopilot</v>
      </c>
      <c r="X891" t="str">
        <f>IFERROR(__xludf.DUMMYFUNCTION("""COMPUTED_VALUE"""),"Very Good")</f>
        <v>Very Good</v>
      </c>
      <c r="Y891" t="str">
        <f>IFERROR(__xludf.DUMMYFUNCTION("""COMPUTED_VALUE"""),"Excellent")</f>
        <v>Excellent</v>
      </c>
      <c r="Z891" t="str">
        <f>IFERROR(__xludf.DUMMYFUNCTION("""COMPUTED_VALUE"""),"Excellent")</f>
        <v>Excellent</v>
      </c>
      <c r="AA891" t="str">
        <f>IFERROR(__xludf.DUMMYFUNCTION("""COMPUTED_VALUE"""),"Poor")</f>
        <v>Poor</v>
      </c>
      <c r="AB891" t="str">
        <f>IFERROR(__xludf.DUMMYFUNCTION("""COMPUTED_VALUE"""),"Good")</f>
        <v>Good</v>
      </c>
      <c r="AC891">
        <f>IFERROR(__xludf.DUMMYFUNCTION("""COMPUTED_VALUE"""),4.0)</f>
        <v>4</v>
      </c>
      <c r="AD891">
        <f>IFERROR(__xludf.DUMMYFUNCTION("""COMPUTED_VALUE"""),2.0)</f>
        <v>2</v>
      </c>
      <c r="AE891">
        <f>IFERROR(__xludf.DUMMYFUNCTION("""COMPUTED_VALUE"""),4.0)</f>
        <v>4</v>
      </c>
      <c r="AH891" s="189">
        <f>IFERROR(__xludf.DUMMYFUNCTION("""COMPUTED_VALUE"""),43371.26297355324)</f>
        <v>43371.26297</v>
      </c>
    </row>
    <row r="892">
      <c r="A892" t="str">
        <f>IFERROR(__xludf.DUMMYFUNCTION("""COMPUTED_VALUE"""),"ehuso")</f>
        <v>ehuso</v>
      </c>
      <c r="B892" t="str">
        <f>IFERROR(__xludf.DUMMYFUNCTION("""COMPUTED_VALUE"""),"Phoenix")</f>
        <v>Phoenix</v>
      </c>
      <c r="C892" t="str">
        <f>IFERROR(__xludf.DUMMYFUNCTION("""COMPUTED_VALUE"""),"AZ")</f>
        <v>AZ</v>
      </c>
      <c r="D892" t="str">
        <f>IFERROR(__xludf.DUMMYFUNCTION("""COMPUTED_VALUE"""),"USA")</f>
        <v>USA</v>
      </c>
      <c r="E892" s="188">
        <f>IFERROR(__xludf.DUMMYFUNCTION("""COMPUTED_VALUE"""),43278.0)</f>
        <v>43278</v>
      </c>
      <c r="F892" s="188">
        <f>IFERROR(__xludf.DUMMYFUNCTION("""COMPUTED_VALUE"""),43362.0)</f>
        <v>43362</v>
      </c>
      <c r="H892">
        <f>IFERROR(__xludf.DUMMYFUNCTION("""COMPUTED_VALUE"""),98985.0)</f>
        <v>98985</v>
      </c>
      <c r="J892" s="5">
        <f>IFERROR(__xludf.DUMMYFUNCTION("""COMPUTED_VALUE"""),43369.0)</f>
        <v>43369</v>
      </c>
      <c r="K892">
        <f>IFERROR(__xludf.DUMMYFUNCTION("""COMPUTED_VALUE"""),84.0)</f>
        <v>84</v>
      </c>
      <c r="L892">
        <f>IFERROR(__xludf.DUMMYFUNCTION("""COMPUTED_VALUE"""),7.0)</f>
        <v>7</v>
      </c>
      <c r="M892">
        <f>IFERROR(__xludf.DUMMYFUNCTION("""COMPUTED_VALUE"""),91.0)</f>
        <v>91</v>
      </c>
      <c r="N892" t="str">
        <f>IFERROR(__xludf.DUMMYFUNCTION("""COMPUTED_VALUE"""),"Model 3 LR AWD")</f>
        <v>Model 3 LR AWD</v>
      </c>
      <c r="O892" t="str">
        <f>IFERROR(__xludf.DUMMYFUNCTION("""COMPUTED_VALUE"""),"Pearl White Multi-Coat")</f>
        <v>Pearl White Multi-Coat</v>
      </c>
      <c r="P892" t="str">
        <f>IFERROR(__xludf.DUMMYFUNCTION("""COMPUTED_VALUE"""),"19 inch Sport")</f>
        <v>19 inch Sport</v>
      </c>
      <c r="Q892" t="str">
        <f>IFERROR(__xludf.DUMMYFUNCTION("""COMPUTED_VALUE"""),"White seats")</f>
        <v>White seats</v>
      </c>
      <c r="R892" t="str">
        <f>IFERROR(__xludf.DUMMYFUNCTION("""COMPUTED_VALUE"""),"None")</f>
        <v>None</v>
      </c>
      <c r="X892" t="str">
        <f>IFERROR(__xludf.DUMMYFUNCTION("""COMPUTED_VALUE"""),"Excellent")</f>
        <v>Excellent</v>
      </c>
      <c r="Y892" t="str">
        <f>IFERROR(__xludf.DUMMYFUNCTION("""COMPUTED_VALUE"""),"Very Good")</f>
        <v>Very Good</v>
      </c>
      <c r="Z892" t="str">
        <f>IFERROR(__xludf.DUMMYFUNCTION("""COMPUTED_VALUE"""),"Excellent")</f>
        <v>Excellent</v>
      </c>
      <c r="AA892" t="str">
        <f>IFERROR(__xludf.DUMMYFUNCTION("""COMPUTED_VALUE"""),"Very Good")</f>
        <v>Very Good</v>
      </c>
      <c r="AB892" t="str">
        <f>IFERROR(__xludf.DUMMYFUNCTION("""COMPUTED_VALUE"""),"Excellent")</f>
        <v>Excellent</v>
      </c>
      <c r="AC892">
        <f>IFERROR(__xludf.DUMMYFUNCTION("""COMPUTED_VALUE"""),1.0)</f>
        <v>1</v>
      </c>
      <c r="AH892" s="189">
        <f>IFERROR(__xludf.DUMMYFUNCTION("""COMPUTED_VALUE"""),43371.32261574074)</f>
        <v>43371.32262</v>
      </c>
    </row>
    <row r="893">
      <c r="A893" t="str">
        <f>IFERROR(__xludf.DUMMYFUNCTION("""COMPUTED_VALUE"""),"LoL Rick")</f>
        <v>LoL Rick</v>
      </c>
      <c r="B893" t="str">
        <f>IFERROR(__xludf.DUMMYFUNCTION("""COMPUTED_VALUE"""),"Land O Lakes")</f>
        <v>Land O Lakes</v>
      </c>
      <c r="C893" t="str">
        <f>IFERROR(__xludf.DUMMYFUNCTION("""COMPUTED_VALUE"""),"FL")</f>
        <v>FL</v>
      </c>
      <c r="D893" t="str">
        <f>IFERROR(__xludf.DUMMYFUNCTION("""COMPUTED_VALUE"""),"USA")</f>
        <v>USA</v>
      </c>
      <c r="E893" s="188">
        <f>IFERROR(__xludf.DUMMYFUNCTION("""COMPUTED_VALUE"""),43277.0)</f>
        <v>43277</v>
      </c>
      <c r="F893" s="188">
        <f>IFERROR(__xludf.DUMMYFUNCTION("""COMPUTED_VALUE"""),43340.0)</f>
        <v>43340</v>
      </c>
      <c r="H893">
        <f>IFERROR(__xludf.DUMMYFUNCTION("""COMPUTED_VALUE"""),74255.0)</f>
        <v>74255</v>
      </c>
      <c r="I893" t="str">
        <f>IFERROR(__xludf.DUMMYFUNCTION("""COMPUTED_VALUE"""),"08/18")</f>
        <v>08/18</v>
      </c>
      <c r="J893" s="5">
        <f>IFERROR(__xludf.DUMMYFUNCTION("""COMPUTED_VALUE"""),43367.0)</f>
        <v>43367</v>
      </c>
      <c r="K893">
        <f>IFERROR(__xludf.DUMMYFUNCTION("""COMPUTED_VALUE"""),63.0)</f>
        <v>63</v>
      </c>
      <c r="L893">
        <f>IFERROR(__xludf.DUMMYFUNCTION("""COMPUTED_VALUE"""),27.0)</f>
        <v>27</v>
      </c>
      <c r="M893">
        <f>IFERROR(__xludf.DUMMYFUNCTION("""COMPUTED_VALUE"""),90.0)</f>
        <v>90</v>
      </c>
      <c r="N893" t="str">
        <f>IFERROR(__xludf.DUMMYFUNCTION("""COMPUTED_VALUE"""),"Model 3 Performance")</f>
        <v>Model 3 Performance</v>
      </c>
      <c r="O893" t="str">
        <f>IFERROR(__xludf.DUMMYFUNCTION("""COMPUTED_VALUE"""),"Deep Blue Metallic")</f>
        <v>Deep Blue Metallic</v>
      </c>
      <c r="P893" t="str">
        <f>IFERROR(__xludf.DUMMYFUNCTION("""COMPUTED_VALUE"""),"20 inch Sport")</f>
        <v>20 inch Sport</v>
      </c>
      <c r="Q893" t="str">
        <f>IFERROR(__xludf.DUMMYFUNCTION("""COMPUTED_VALUE"""),"White seats")</f>
        <v>White seats</v>
      </c>
      <c r="R893" t="str">
        <f>IFERROR(__xludf.DUMMYFUNCTION("""COMPUTED_VALUE"""),"Enhanced Autopilot")</f>
        <v>Enhanced Autopilot</v>
      </c>
      <c r="X893" t="str">
        <f>IFERROR(__xludf.DUMMYFUNCTION("""COMPUTED_VALUE"""),"Excellent")</f>
        <v>Excellent</v>
      </c>
      <c r="Y893" t="str">
        <f>IFERROR(__xludf.DUMMYFUNCTION("""COMPUTED_VALUE"""),"Excellent")</f>
        <v>Excellent</v>
      </c>
      <c r="Z893" t="str">
        <f>IFERROR(__xludf.DUMMYFUNCTION("""COMPUTED_VALUE"""),"Very Good")</f>
        <v>Very Good</v>
      </c>
      <c r="AA893" t="str">
        <f>IFERROR(__xludf.DUMMYFUNCTION("""COMPUTED_VALUE"""),"Poor")</f>
        <v>Poor</v>
      </c>
      <c r="AB893" t="str">
        <f>IFERROR(__xludf.DUMMYFUNCTION("""COMPUTED_VALUE"""),"Fair")</f>
        <v>Fair</v>
      </c>
      <c r="AC893">
        <f>IFERROR(__xludf.DUMMYFUNCTION("""COMPUTED_VALUE"""),2.0)</f>
        <v>2</v>
      </c>
      <c r="AH893" s="189">
        <f>IFERROR(__xludf.DUMMYFUNCTION("""COMPUTED_VALUE"""),43371.34476237268)</f>
        <v>43371.34476</v>
      </c>
    </row>
    <row r="894">
      <c r="A894" t="str">
        <f>IFERROR(__xludf.DUMMYFUNCTION("""COMPUTED_VALUE"""),"cush")</f>
        <v>cush</v>
      </c>
      <c r="C894" t="str">
        <f>IFERROR(__xludf.DUMMYFUNCTION("""COMPUTED_VALUE"""),"MA")</f>
        <v>MA</v>
      </c>
      <c r="D894" t="str">
        <f>IFERROR(__xludf.DUMMYFUNCTION("""COMPUTED_VALUE"""),"USA")</f>
        <v>USA</v>
      </c>
      <c r="E894" s="188">
        <f>IFERROR(__xludf.DUMMYFUNCTION("""COMPUTED_VALUE"""),43277.0)</f>
        <v>43277</v>
      </c>
      <c r="F894" s="188">
        <f>IFERROR(__xludf.DUMMYFUNCTION("""COMPUTED_VALUE"""),43347.0)</f>
        <v>43347</v>
      </c>
      <c r="H894">
        <f>IFERROR(__xludf.DUMMYFUNCTION("""COMPUTED_VALUE"""),99855.0)</f>
        <v>99855</v>
      </c>
      <c r="I894" t="str">
        <f>IFERROR(__xludf.DUMMYFUNCTION("""COMPUTED_VALUE"""),"08/18")</f>
        <v>08/18</v>
      </c>
      <c r="J894" s="5">
        <f>IFERROR(__xludf.DUMMYFUNCTION("""COMPUTED_VALUE"""),43370.0)</f>
        <v>43370</v>
      </c>
      <c r="K894">
        <f>IFERROR(__xludf.DUMMYFUNCTION("""COMPUTED_VALUE"""),70.0)</f>
        <v>70</v>
      </c>
      <c r="L894">
        <f>IFERROR(__xludf.DUMMYFUNCTION("""COMPUTED_VALUE"""),23.0)</f>
        <v>23</v>
      </c>
      <c r="M894">
        <f>IFERROR(__xludf.DUMMYFUNCTION("""COMPUTED_VALUE"""),93.0)</f>
        <v>93</v>
      </c>
      <c r="N894" t="str">
        <f>IFERROR(__xludf.DUMMYFUNCTION("""COMPUTED_VALUE"""),"Model 3 Performance")</f>
        <v>Model 3 Performance</v>
      </c>
      <c r="O894" t="str">
        <f>IFERROR(__xludf.DUMMYFUNCTION("""COMPUTED_VALUE"""),"Deep Blue Metallic")</f>
        <v>Deep Blue Metallic</v>
      </c>
      <c r="P894" t="str">
        <f>IFERROR(__xludf.DUMMYFUNCTION("""COMPUTED_VALUE"""),"18 inch Aero")</f>
        <v>18 inch Aero</v>
      </c>
      <c r="Q894" t="str">
        <f>IFERROR(__xludf.DUMMYFUNCTION("""COMPUTED_VALUE"""),"White seats")</f>
        <v>White seats</v>
      </c>
      <c r="R894" t="str">
        <f>IFERROR(__xludf.DUMMYFUNCTION("""COMPUTED_VALUE"""),"Enhanced Autopilot")</f>
        <v>Enhanced Autopilot</v>
      </c>
      <c r="X894" t="str">
        <f>IFERROR(__xludf.DUMMYFUNCTION("""COMPUTED_VALUE"""),"Very Good")</f>
        <v>Very Good</v>
      </c>
      <c r="Y894" t="str">
        <f>IFERROR(__xludf.DUMMYFUNCTION("""COMPUTED_VALUE"""),"Excellent")</f>
        <v>Excellent</v>
      </c>
      <c r="Z894" t="str">
        <f>IFERROR(__xludf.DUMMYFUNCTION("""COMPUTED_VALUE"""),"Excellent")</f>
        <v>Excellent</v>
      </c>
      <c r="AA894" t="str">
        <f>IFERROR(__xludf.DUMMYFUNCTION("""COMPUTED_VALUE"""),"Excellent")</f>
        <v>Excellent</v>
      </c>
      <c r="AB894" t="str">
        <f>IFERROR(__xludf.DUMMYFUNCTION("""COMPUTED_VALUE"""),"Excellent")</f>
        <v>Excellent</v>
      </c>
      <c r="AH894" s="189">
        <f>IFERROR(__xludf.DUMMYFUNCTION("""COMPUTED_VALUE"""),43371.366708807866)</f>
        <v>43371.36671</v>
      </c>
    </row>
    <row r="895">
      <c r="A895" t="str">
        <f>IFERROR(__xludf.DUMMYFUNCTION("""COMPUTED_VALUE"""),"williamwashere")</f>
        <v>williamwashere</v>
      </c>
      <c r="B895" t="str">
        <f>IFERROR(__xludf.DUMMYFUNCTION("""COMPUTED_VALUE"""),"Houston")</f>
        <v>Houston</v>
      </c>
      <c r="C895" t="str">
        <f>IFERROR(__xludf.DUMMYFUNCTION("""COMPUTED_VALUE"""),"TX")</f>
        <v>TX</v>
      </c>
      <c r="D895" t="str">
        <f>IFERROR(__xludf.DUMMYFUNCTION("""COMPUTED_VALUE"""),"USA")</f>
        <v>USA</v>
      </c>
      <c r="E895" s="188">
        <f>IFERROR(__xludf.DUMMYFUNCTION("""COMPUTED_VALUE"""),43298.0)</f>
        <v>43298</v>
      </c>
      <c r="F895" s="188">
        <f>IFERROR(__xludf.DUMMYFUNCTION("""COMPUTED_VALUE"""),43332.0)</f>
        <v>43332</v>
      </c>
      <c r="H895">
        <f>IFERROR(__xludf.DUMMYFUNCTION("""COMPUTED_VALUE"""),95955.0)</f>
        <v>95955</v>
      </c>
      <c r="J895" s="5">
        <f>IFERROR(__xludf.DUMMYFUNCTION("""COMPUTED_VALUE"""),43364.0)</f>
        <v>43364</v>
      </c>
      <c r="K895">
        <f>IFERROR(__xludf.DUMMYFUNCTION("""COMPUTED_VALUE"""),34.0)</f>
        <v>34</v>
      </c>
      <c r="L895">
        <f>IFERROR(__xludf.DUMMYFUNCTION("""COMPUTED_VALUE"""),32.0)</f>
        <v>32</v>
      </c>
      <c r="M895">
        <f>IFERROR(__xludf.DUMMYFUNCTION("""COMPUTED_VALUE"""),66.0)</f>
        <v>66</v>
      </c>
      <c r="N895" t="str">
        <f>IFERROR(__xludf.DUMMYFUNCTION("""COMPUTED_VALUE"""),"Model 3 LR AWD")</f>
        <v>Model 3 LR AWD</v>
      </c>
      <c r="O895" t="str">
        <f>IFERROR(__xludf.DUMMYFUNCTION("""COMPUTED_VALUE"""),"Obsidian Black Metallic")</f>
        <v>Obsidian Black Metallic</v>
      </c>
      <c r="P895" t="str">
        <f>IFERROR(__xludf.DUMMYFUNCTION("""COMPUTED_VALUE"""),"18 inch Aero")</f>
        <v>18 inch Aero</v>
      </c>
      <c r="Q895" t="str">
        <f>IFERROR(__xludf.DUMMYFUNCTION("""COMPUTED_VALUE"""),"White seats")</f>
        <v>White seats</v>
      </c>
      <c r="R895" t="str">
        <f>IFERROR(__xludf.DUMMYFUNCTION("""COMPUTED_VALUE"""),"Full Self-Driving")</f>
        <v>Full Self-Driving</v>
      </c>
      <c r="X895" t="str">
        <f>IFERROR(__xludf.DUMMYFUNCTION("""COMPUTED_VALUE"""),"Excellent")</f>
        <v>Excellent</v>
      </c>
      <c r="Y895" t="str">
        <f>IFERROR(__xludf.DUMMYFUNCTION("""COMPUTED_VALUE"""),"Excellent")</f>
        <v>Excellent</v>
      </c>
      <c r="Z895" t="str">
        <f>IFERROR(__xludf.DUMMYFUNCTION("""COMPUTED_VALUE"""),"Fair")</f>
        <v>Fair</v>
      </c>
      <c r="AA895" t="str">
        <f>IFERROR(__xludf.DUMMYFUNCTION("""COMPUTED_VALUE"""),"Excellent")</f>
        <v>Excellent</v>
      </c>
      <c r="AB895" t="str">
        <f>IFERROR(__xludf.DUMMYFUNCTION("""COMPUTED_VALUE"""),"Excellent")</f>
        <v>Excellent</v>
      </c>
      <c r="AC895">
        <f>IFERROR(__xludf.DUMMYFUNCTION("""COMPUTED_VALUE"""),2.0)</f>
        <v>2</v>
      </c>
      <c r="AD895">
        <f>IFERROR(__xludf.DUMMYFUNCTION("""COMPUTED_VALUE"""),1.0)</f>
        <v>1</v>
      </c>
      <c r="AE895">
        <f>IFERROR(__xludf.DUMMYFUNCTION("""COMPUTED_VALUE"""),2.0)</f>
        <v>2</v>
      </c>
      <c r="AH895" s="189">
        <f>IFERROR(__xludf.DUMMYFUNCTION("""COMPUTED_VALUE"""),43371.44866032407)</f>
        <v>43371.44866</v>
      </c>
    </row>
    <row r="896">
      <c r="A896" t="str">
        <f>IFERROR(__xludf.DUMMYFUNCTION("""COMPUTED_VALUE"""),"HostileHarry")</f>
        <v>HostileHarry</v>
      </c>
      <c r="B896" t="str">
        <f>IFERROR(__xludf.DUMMYFUNCTION("""COMPUTED_VALUE"""),"Chicago")</f>
        <v>Chicago</v>
      </c>
      <c r="C896" t="str">
        <f>IFERROR(__xludf.DUMMYFUNCTION("""COMPUTED_VALUE"""),"IL")</f>
        <v>IL</v>
      </c>
      <c r="D896" t="str">
        <f>IFERROR(__xludf.DUMMYFUNCTION("""COMPUTED_VALUE"""),"USA")</f>
        <v>USA</v>
      </c>
      <c r="E896" s="188">
        <f>IFERROR(__xludf.DUMMYFUNCTION("""COMPUTED_VALUE"""),43345.0)</f>
        <v>43345</v>
      </c>
      <c r="H896">
        <f>IFERROR(__xludf.DUMMYFUNCTION("""COMPUTED_VALUE"""),910055.0)</f>
        <v>910055</v>
      </c>
      <c r="J896" s="5">
        <f>IFERROR(__xludf.DUMMYFUNCTION("""COMPUTED_VALUE"""),43371.0)</f>
        <v>43371</v>
      </c>
      <c r="M896">
        <f>IFERROR(__xludf.DUMMYFUNCTION("""COMPUTED_VALUE"""),26.0)</f>
        <v>26</v>
      </c>
      <c r="N896" t="str">
        <f>IFERROR(__xludf.DUMMYFUNCTION("""COMPUTED_VALUE"""),"Model 3 LR AWD")</f>
        <v>Model 3 LR AWD</v>
      </c>
      <c r="O896" t="str">
        <f>IFERROR(__xludf.DUMMYFUNCTION("""COMPUTED_VALUE"""),"Midnight Silver Metallic")</f>
        <v>Midnight Silver Metallic</v>
      </c>
      <c r="P896" t="str">
        <f>IFERROR(__xludf.DUMMYFUNCTION("""COMPUTED_VALUE"""),"18 inch Aero")</f>
        <v>18 inch Aero</v>
      </c>
      <c r="Q896" t="str">
        <f>IFERROR(__xludf.DUMMYFUNCTION("""COMPUTED_VALUE"""),"Black seats")</f>
        <v>Black seats</v>
      </c>
      <c r="R896" t="str">
        <f>IFERROR(__xludf.DUMMYFUNCTION("""COMPUTED_VALUE"""),"Full Self-Driving")</f>
        <v>Full Self-Driving</v>
      </c>
      <c r="X896" t="str">
        <f>IFERROR(__xludf.DUMMYFUNCTION("""COMPUTED_VALUE"""),"Very Good")</f>
        <v>Very Good</v>
      </c>
      <c r="Y896" t="str">
        <f>IFERROR(__xludf.DUMMYFUNCTION("""COMPUTED_VALUE"""),"Very Good")</f>
        <v>Very Good</v>
      </c>
      <c r="Z896" t="str">
        <f>IFERROR(__xludf.DUMMYFUNCTION("""COMPUTED_VALUE"""),"Very Good")</f>
        <v>Very Good</v>
      </c>
      <c r="AA896" t="str">
        <f>IFERROR(__xludf.DUMMYFUNCTION("""COMPUTED_VALUE"""),"Excellent")</f>
        <v>Excellent</v>
      </c>
      <c r="AB896" t="str">
        <f>IFERROR(__xludf.DUMMYFUNCTION("""COMPUTED_VALUE"""),"Excellent")</f>
        <v>Excellent</v>
      </c>
      <c r="AH896" s="189">
        <f>IFERROR(__xludf.DUMMYFUNCTION("""COMPUTED_VALUE"""),43371.465767037036)</f>
        <v>43371.46577</v>
      </c>
    </row>
    <row r="897">
      <c r="A897" t="str">
        <f>IFERROR(__xludf.DUMMYFUNCTION("""COMPUTED_VALUE"""),"robd")</f>
        <v>robd</v>
      </c>
      <c r="B897" t="str">
        <f>IFERROR(__xludf.DUMMYFUNCTION("""COMPUTED_VALUE"""),"Longmont")</f>
        <v>Longmont</v>
      </c>
      <c r="C897" t="str">
        <f>IFERROR(__xludf.DUMMYFUNCTION("""COMPUTED_VALUE"""),"CO")</f>
        <v>CO</v>
      </c>
      <c r="D897" t="str">
        <f>IFERROR(__xludf.DUMMYFUNCTION("""COMPUTED_VALUE"""),"USA")</f>
        <v>USA</v>
      </c>
      <c r="E897" s="188">
        <f>IFERROR(__xludf.DUMMYFUNCTION("""COMPUTED_VALUE"""),43280.0)</f>
        <v>43280</v>
      </c>
      <c r="F897" s="188">
        <f>IFERROR(__xludf.DUMMYFUNCTION("""COMPUTED_VALUE"""),43365.0)</f>
        <v>43365</v>
      </c>
      <c r="H897">
        <f>IFERROR(__xludf.DUMMYFUNCTION("""COMPUTED_VALUE"""),91655.0)</f>
        <v>91655</v>
      </c>
      <c r="I897" t="str">
        <f>IFERROR(__xludf.DUMMYFUNCTION("""COMPUTED_VALUE"""),"09/18")</f>
        <v>09/18</v>
      </c>
      <c r="J897" s="5">
        <f>IFERROR(__xludf.DUMMYFUNCTION("""COMPUTED_VALUE"""),43371.0)</f>
        <v>43371</v>
      </c>
      <c r="K897">
        <f>IFERROR(__xludf.DUMMYFUNCTION("""COMPUTED_VALUE"""),85.0)</f>
        <v>85</v>
      </c>
      <c r="L897">
        <f>IFERROR(__xludf.DUMMYFUNCTION("""COMPUTED_VALUE"""),6.0)</f>
        <v>6</v>
      </c>
      <c r="M897">
        <f>IFERROR(__xludf.DUMMYFUNCTION("""COMPUTED_VALUE"""),91.0)</f>
        <v>91</v>
      </c>
      <c r="N897" t="str">
        <f>IFERROR(__xludf.DUMMYFUNCTION("""COMPUTED_VALUE"""),"Model 3 LR AWD")</f>
        <v>Model 3 LR AWD</v>
      </c>
      <c r="O897" t="str">
        <f>IFERROR(__xludf.DUMMYFUNCTION("""COMPUTED_VALUE"""),"Red Multi-Coat")</f>
        <v>Red Multi-Coat</v>
      </c>
      <c r="P897" t="str">
        <f>IFERROR(__xludf.DUMMYFUNCTION("""COMPUTED_VALUE"""),"18 inch Aero")</f>
        <v>18 inch Aero</v>
      </c>
      <c r="Q897" t="str">
        <f>IFERROR(__xludf.DUMMYFUNCTION("""COMPUTED_VALUE"""),"Black seats")</f>
        <v>Black seats</v>
      </c>
      <c r="R897" t="str">
        <f>IFERROR(__xludf.DUMMYFUNCTION("""COMPUTED_VALUE"""),"Enhanced Autopilot")</f>
        <v>Enhanced Autopilot</v>
      </c>
      <c r="X897" t="str">
        <f>IFERROR(__xludf.DUMMYFUNCTION("""COMPUTED_VALUE"""),"Excellent")</f>
        <v>Excellent</v>
      </c>
      <c r="Y897" t="str">
        <f>IFERROR(__xludf.DUMMYFUNCTION("""COMPUTED_VALUE"""),"Excellent")</f>
        <v>Excellent</v>
      </c>
      <c r="Z897" t="str">
        <f>IFERROR(__xludf.DUMMYFUNCTION("""COMPUTED_VALUE"""),"Excellent")</f>
        <v>Excellent</v>
      </c>
      <c r="AA897" t="str">
        <f>IFERROR(__xludf.DUMMYFUNCTION("""COMPUTED_VALUE"""),"Very Good")</f>
        <v>Very Good</v>
      </c>
      <c r="AB897" t="str">
        <f>IFERROR(__xludf.DUMMYFUNCTION("""COMPUTED_VALUE"""),"Excellent")</f>
        <v>Excellent</v>
      </c>
      <c r="AH897" s="189">
        <f>IFERROR(__xludf.DUMMYFUNCTION("""COMPUTED_VALUE"""),43371.50473915509)</f>
        <v>43371.50474</v>
      </c>
    </row>
    <row r="898">
      <c r="A898" t="str">
        <f>IFERROR(__xludf.DUMMYFUNCTION("""COMPUTED_VALUE"""),"sjg98")</f>
        <v>sjg98</v>
      </c>
      <c r="B898" t="str">
        <f>IFERROR(__xludf.DUMMYFUNCTION("""COMPUTED_VALUE"""),"Brooklyn")</f>
        <v>Brooklyn</v>
      </c>
      <c r="C898" t="str">
        <f>IFERROR(__xludf.DUMMYFUNCTION("""COMPUTED_VALUE"""),"NY")</f>
        <v>NY</v>
      </c>
      <c r="D898" t="str">
        <f>IFERROR(__xludf.DUMMYFUNCTION("""COMPUTED_VALUE"""),"USA")</f>
        <v>USA</v>
      </c>
      <c r="E898" s="188">
        <f>IFERROR(__xludf.DUMMYFUNCTION("""COMPUTED_VALUE"""),43329.0)</f>
        <v>43329</v>
      </c>
      <c r="F898" s="188">
        <f>IFERROR(__xludf.DUMMYFUNCTION("""COMPUTED_VALUE"""),43353.0)</f>
        <v>43353</v>
      </c>
      <c r="H898">
        <f>IFERROR(__xludf.DUMMYFUNCTION("""COMPUTED_VALUE"""),70655.0)</f>
        <v>70655</v>
      </c>
      <c r="J898" s="5">
        <f>IFERROR(__xludf.DUMMYFUNCTION("""COMPUTED_VALUE"""),43370.0)</f>
        <v>43370</v>
      </c>
      <c r="K898">
        <f>IFERROR(__xludf.DUMMYFUNCTION("""COMPUTED_VALUE"""),24.0)</f>
        <v>24</v>
      </c>
      <c r="L898">
        <f>IFERROR(__xludf.DUMMYFUNCTION("""COMPUTED_VALUE"""),17.0)</f>
        <v>17</v>
      </c>
      <c r="M898">
        <f>IFERROR(__xludf.DUMMYFUNCTION("""COMPUTED_VALUE"""),41.0)</f>
        <v>41</v>
      </c>
      <c r="N898" t="str">
        <f>IFERROR(__xludf.DUMMYFUNCTION("""COMPUTED_VALUE"""),"Model 3 LR AWD")</f>
        <v>Model 3 LR AWD</v>
      </c>
      <c r="O898" t="str">
        <f>IFERROR(__xludf.DUMMYFUNCTION("""COMPUTED_VALUE"""),"Obsidian Black Metallic")</f>
        <v>Obsidian Black Metallic</v>
      </c>
      <c r="P898" t="str">
        <f>IFERROR(__xludf.DUMMYFUNCTION("""COMPUTED_VALUE"""),"18 inch Aero")</f>
        <v>18 inch Aero</v>
      </c>
      <c r="Q898" t="str">
        <f>IFERROR(__xludf.DUMMYFUNCTION("""COMPUTED_VALUE"""),"Black seats")</f>
        <v>Black seats</v>
      </c>
      <c r="R898" t="str">
        <f>IFERROR(__xludf.DUMMYFUNCTION("""COMPUTED_VALUE"""),"Enhanced Autopilot")</f>
        <v>Enhanced Autopilot</v>
      </c>
      <c r="X898" t="str">
        <f>IFERROR(__xludf.DUMMYFUNCTION("""COMPUTED_VALUE"""),"Very Good")</f>
        <v>Very Good</v>
      </c>
      <c r="Y898" t="str">
        <f>IFERROR(__xludf.DUMMYFUNCTION("""COMPUTED_VALUE"""),"Very Good")</f>
        <v>Very Good</v>
      </c>
      <c r="Z898" t="str">
        <f>IFERROR(__xludf.DUMMYFUNCTION("""COMPUTED_VALUE"""),"Excellent")</f>
        <v>Excellent</v>
      </c>
      <c r="AA898" t="str">
        <f>IFERROR(__xludf.DUMMYFUNCTION("""COMPUTED_VALUE"""),"Good")</f>
        <v>Good</v>
      </c>
      <c r="AB898" t="str">
        <f>IFERROR(__xludf.DUMMYFUNCTION("""COMPUTED_VALUE"""),"Very Good")</f>
        <v>Very Good</v>
      </c>
      <c r="AC898">
        <f>IFERROR(__xludf.DUMMYFUNCTION("""COMPUTED_VALUE"""),1.0)</f>
        <v>1</v>
      </c>
      <c r="AH898" s="189">
        <f>IFERROR(__xludf.DUMMYFUNCTION("""COMPUTED_VALUE"""),43371.57500931713)</f>
        <v>43371.57501</v>
      </c>
    </row>
    <row r="899">
      <c r="A899" t="str">
        <f>IFERROR(__xludf.DUMMYFUNCTION("""COMPUTED_VALUE"""),"blecchus_rex")</f>
        <v>blecchus_rex</v>
      </c>
      <c r="B899" t="str">
        <f>IFERROR(__xludf.DUMMYFUNCTION("""COMPUTED_VALUE"""),"Austin")</f>
        <v>Austin</v>
      </c>
      <c r="C899" t="str">
        <f>IFERROR(__xludf.DUMMYFUNCTION("""COMPUTED_VALUE"""),"TX")</f>
        <v>TX</v>
      </c>
      <c r="D899" t="str">
        <f>IFERROR(__xludf.DUMMYFUNCTION("""COMPUTED_VALUE"""),"USA")</f>
        <v>USA</v>
      </c>
      <c r="E899" s="188">
        <f>IFERROR(__xludf.DUMMYFUNCTION("""COMPUTED_VALUE"""),43265.0)</f>
        <v>43265</v>
      </c>
      <c r="F899" s="188">
        <f>IFERROR(__xludf.DUMMYFUNCTION("""COMPUTED_VALUE"""),43353.0)</f>
        <v>43353</v>
      </c>
      <c r="H899">
        <f>IFERROR(__xludf.DUMMYFUNCTION("""COMPUTED_VALUE"""),65675.0)</f>
        <v>65675</v>
      </c>
      <c r="J899" s="5">
        <f>IFERROR(__xludf.DUMMYFUNCTION("""COMPUTED_VALUE"""),43372.0)</f>
        <v>43372</v>
      </c>
      <c r="K899">
        <f>IFERROR(__xludf.DUMMYFUNCTION("""COMPUTED_VALUE"""),88.0)</f>
        <v>88</v>
      </c>
      <c r="L899">
        <f>IFERROR(__xludf.DUMMYFUNCTION("""COMPUTED_VALUE"""),19.0)</f>
        <v>19</v>
      </c>
      <c r="M899">
        <f>IFERROR(__xludf.DUMMYFUNCTION("""COMPUTED_VALUE"""),107.0)</f>
        <v>107</v>
      </c>
      <c r="N899" t="str">
        <f>IFERROR(__xludf.DUMMYFUNCTION("""COMPUTED_VALUE"""),"Model 3 LR AWD")</f>
        <v>Model 3 LR AWD</v>
      </c>
      <c r="O899" t="str">
        <f>IFERROR(__xludf.DUMMYFUNCTION("""COMPUTED_VALUE"""),"Red Multi-Coat")</f>
        <v>Red Multi-Coat</v>
      </c>
      <c r="P899" t="str">
        <f>IFERROR(__xludf.DUMMYFUNCTION("""COMPUTED_VALUE"""),"19 inch Sport")</f>
        <v>19 inch Sport</v>
      </c>
      <c r="Q899" t="str">
        <f>IFERROR(__xludf.DUMMYFUNCTION("""COMPUTED_VALUE"""),"Black seats")</f>
        <v>Black seats</v>
      </c>
      <c r="R899" t="str">
        <f>IFERROR(__xludf.DUMMYFUNCTION("""COMPUTED_VALUE"""),"Enhanced Autopilot")</f>
        <v>Enhanced Autopilot</v>
      </c>
      <c r="X899" t="str">
        <f>IFERROR(__xludf.DUMMYFUNCTION("""COMPUTED_VALUE"""),"Excellent")</f>
        <v>Excellent</v>
      </c>
      <c r="Y899" t="str">
        <f>IFERROR(__xludf.DUMMYFUNCTION("""COMPUTED_VALUE"""),"Excellent")</f>
        <v>Excellent</v>
      </c>
      <c r="Z899" t="str">
        <f>IFERROR(__xludf.DUMMYFUNCTION("""COMPUTED_VALUE"""),"Good")</f>
        <v>Good</v>
      </c>
      <c r="AA899" t="str">
        <f>IFERROR(__xludf.DUMMYFUNCTION("""COMPUTED_VALUE"""),"Good")</f>
        <v>Good</v>
      </c>
      <c r="AB899" t="str">
        <f>IFERROR(__xludf.DUMMYFUNCTION("""COMPUTED_VALUE"""),"Very Good")</f>
        <v>Very Good</v>
      </c>
      <c r="AH899" s="189">
        <f>IFERROR(__xludf.DUMMYFUNCTION("""COMPUTED_VALUE"""),43371.60614546297)</f>
        <v>43371.60615</v>
      </c>
    </row>
    <row r="900">
      <c r="A900" t="str">
        <f>IFERROR(__xludf.DUMMYFUNCTION("""COMPUTED_VALUE"""),"Stretch2727")</f>
        <v>Stretch2727</v>
      </c>
      <c r="C900" t="str">
        <f>IFERROR(__xludf.DUMMYFUNCTION("""COMPUTED_VALUE"""),"NJ")</f>
        <v>NJ</v>
      </c>
      <c r="D900" t="str">
        <f>IFERROR(__xludf.DUMMYFUNCTION("""COMPUTED_VALUE"""),"USA")</f>
        <v>USA</v>
      </c>
      <c r="E900" s="188">
        <f>IFERROR(__xludf.DUMMYFUNCTION("""COMPUTED_VALUE"""),43346.0)</f>
        <v>43346</v>
      </c>
      <c r="F900" s="188">
        <f>IFERROR(__xludf.DUMMYFUNCTION("""COMPUTED_VALUE"""),43363.0)</f>
        <v>43363</v>
      </c>
      <c r="H900">
        <f>IFERROR(__xludf.DUMMYFUNCTION("""COMPUTED_VALUE"""),84215.0)</f>
        <v>84215</v>
      </c>
      <c r="I900" t="str">
        <f>IFERROR(__xludf.DUMMYFUNCTION("""COMPUTED_VALUE"""),"09/18")</f>
        <v>09/18</v>
      </c>
      <c r="J900" s="5">
        <f>IFERROR(__xludf.DUMMYFUNCTION("""COMPUTED_VALUE"""),43370.0)</f>
        <v>43370</v>
      </c>
      <c r="K900">
        <f>IFERROR(__xludf.DUMMYFUNCTION("""COMPUTED_VALUE"""),17.0)</f>
        <v>17</v>
      </c>
      <c r="L900">
        <f>IFERROR(__xludf.DUMMYFUNCTION("""COMPUTED_VALUE"""),7.0)</f>
        <v>7</v>
      </c>
      <c r="M900">
        <f>IFERROR(__xludf.DUMMYFUNCTION("""COMPUTED_VALUE"""),24.0)</f>
        <v>24</v>
      </c>
      <c r="N900" t="str">
        <f>IFERROR(__xludf.DUMMYFUNCTION("""COMPUTED_VALUE"""),"Model 3 Performance")</f>
        <v>Model 3 Performance</v>
      </c>
      <c r="O900" t="str">
        <f>IFERROR(__xludf.DUMMYFUNCTION("""COMPUTED_VALUE"""),"Pearl White Multi-Coat")</f>
        <v>Pearl White Multi-Coat</v>
      </c>
      <c r="P900" t="str">
        <f>IFERROR(__xludf.DUMMYFUNCTION("""COMPUTED_VALUE"""),"20 inch Sport")</f>
        <v>20 inch Sport</v>
      </c>
      <c r="Q900" t="str">
        <f>IFERROR(__xludf.DUMMYFUNCTION("""COMPUTED_VALUE"""),"Black seats")</f>
        <v>Black seats</v>
      </c>
      <c r="R900" t="str">
        <f>IFERROR(__xludf.DUMMYFUNCTION("""COMPUTED_VALUE"""),"None")</f>
        <v>None</v>
      </c>
      <c r="X900" t="str">
        <f>IFERROR(__xludf.DUMMYFUNCTION("""COMPUTED_VALUE"""),"Excellent")</f>
        <v>Excellent</v>
      </c>
      <c r="Y900" t="str">
        <f>IFERROR(__xludf.DUMMYFUNCTION("""COMPUTED_VALUE"""),"Excellent")</f>
        <v>Excellent</v>
      </c>
      <c r="Z900" t="str">
        <f>IFERROR(__xludf.DUMMYFUNCTION("""COMPUTED_VALUE"""),"Very Good")</f>
        <v>Very Good</v>
      </c>
      <c r="AA900" t="str">
        <f>IFERROR(__xludf.DUMMYFUNCTION("""COMPUTED_VALUE"""),"Excellent")</f>
        <v>Excellent</v>
      </c>
      <c r="AB900" t="str">
        <f>IFERROR(__xludf.DUMMYFUNCTION("""COMPUTED_VALUE"""),"Excellent")</f>
        <v>Excellent</v>
      </c>
      <c r="AH900" s="189">
        <f>IFERROR(__xludf.DUMMYFUNCTION("""COMPUTED_VALUE"""),43371.62650508102)</f>
        <v>43371.62651</v>
      </c>
    </row>
    <row r="901">
      <c r="A901" t="str">
        <f>IFERROR(__xludf.DUMMYFUNCTION("""COMPUTED_VALUE"""),"Scuba1815")</f>
        <v>Scuba1815</v>
      </c>
      <c r="B901" t="str">
        <f>IFERROR(__xludf.DUMMYFUNCTION("""COMPUTED_VALUE"""),"Salt Lake")</f>
        <v>Salt Lake</v>
      </c>
      <c r="C901" t="str">
        <f>IFERROR(__xludf.DUMMYFUNCTION("""COMPUTED_VALUE"""),"UT")</f>
        <v>UT</v>
      </c>
      <c r="D901" t="str">
        <f>IFERROR(__xludf.DUMMYFUNCTION("""COMPUTED_VALUE"""),"USA")</f>
        <v>USA</v>
      </c>
      <c r="E901" s="188">
        <f>IFERROR(__xludf.DUMMYFUNCTION("""COMPUTED_VALUE"""),43281.0)</f>
        <v>43281</v>
      </c>
      <c r="F901" s="188">
        <f>IFERROR(__xludf.DUMMYFUNCTION("""COMPUTED_VALUE"""),43364.0)</f>
        <v>43364</v>
      </c>
      <c r="H901">
        <f>IFERROR(__xludf.DUMMYFUNCTION("""COMPUTED_VALUE"""),91255.0)</f>
        <v>91255</v>
      </c>
      <c r="J901" s="5">
        <f>IFERROR(__xludf.DUMMYFUNCTION("""COMPUTED_VALUE"""),43369.0)</f>
        <v>43369</v>
      </c>
      <c r="K901">
        <f>IFERROR(__xludf.DUMMYFUNCTION("""COMPUTED_VALUE"""),83.0)</f>
        <v>83</v>
      </c>
      <c r="L901">
        <f>IFERROR(__xludf.DUMMYFUNCTION("""COMPUTED_VALUE"""),5.0)</f>
        <v>5</v>
      </c>
      <c r="M901">
        <f>IFERROR(__xludf.DUMMYFUNCTION("""COMPUTED_VALUE"""),88.0)</f>
        <v>88</v>
      </c>
      <c r="N901" t="str">
        <f>IFERROR(__xludf.DUMMYFUNCTION("""COMPUTED_VALUE"""),"Model 3 LR AWD")</f>
        <v>Model 3 LR AWD</v>
      </c>
      <c r="O901" t="str">
        <f>IFERROR(__xludf.DUMMYFUNCTION("""COMPUTED_VALUE"""),"Silver Metallic")</f>
        <v>Silver Metallic</v>
      </c>
      <c r="P901" t="str">
        <f>IFERROR(__xludf.DUMMYFUNCTION("""COMPUTED_VALUE"""),"19 inch Sport")</f>
        <v>19 inch Sport</v>
      </c>
      <c r="Q901" t="str">
        <f>IFERROR(__xludf.DUMMYFUNCTION("""COMPUTED_VALUE"""),"Black seats")</f>
        <v>Black seats</v>
      </c>
      <c r="R901" t="str">
        <f>IFERROR(__xludf.DUMMYFUNCTION("""COMPUTED_VALUE"""),"None")</f>
        <v>None</v>
      </c>
      <c r="X901" t="str">
        <f>IFERROR(__xludf.DUMMYFUNCTION("""COMPUTED_VALUE"""),"Excellent")</f>
        <v>Excellent</v>
      </c>
      <c r="Y901" t="str">
        <f>IFERROR(__xludf.DUMMYFUNCTION("""COMPUTED_VALUE"""),"Excellent")</f>
        <v>Excellent</v>
      </c>
      <c r="Z901" t="str">
        <f>IFERROR(__xludf.DUMMYFUNCTION("""COMPUTED_VALUE"""),"Very Good")</f>
        <v>Very Good</v>
      </c>
      <c r="AA901" t="str">
        <f>IFERROR(__xludf.DUMMYFUNCTION("""COMPUTED_VALUE"""),"Fair")</f>
        <v>Fair</v>
      </c>
      <c r="AB901" t="str">
        <f>IFERROR(__xludf.DUMMYFUNCTION("""COMPUTED_VALUE"""),"Excellent")</f>
        <v>Excellent</v>
      </c>
      <c r="AC901">
        <f>IFERROR(__xludf.DUMMYFUNCTION("""COMPUTED_VALUE"""),2.0)</f>
        <v>2</v>
      </c>
      <c r="AH901" s="189">
        <f>IFERROR(__xludf.DUMMYFUNCTION("""COMPUTED_VALUE"""),43371.672967743056)</f>
        <v>43371.67297</v>
      </c>
    </row>
    <row r="902">
      <c r="A902" t="str">
        <f>IFERROR(__xludf.DUMMYFUNCTION("""COMPUTED_VALUE"""),"dl")</f>
        <v>dl</v>
      </c>
      <c r="B902" t="str">
        <f>IFERROR(__xludf.DUMMYFUNCTION("""COMPUTED_VALUE"""),"bay area")</f>
        <v>bay area</v>
      </c>
      <c r="C902" t="str">
        <f>IFERROR(__xludf.DUMMYFUNCTION("""COMPUTED_VALUE"""),"CA")</f>
        <v>CA</v>
      </c>
      <c r="D902" t="str">
        <f>IFERROR(__xludf.DUMMYFUNCTION("""COMPUTED_VALUE"""),"USA")</f>
        <v>USA</v>
      </c>
      <c r="E902" s="188">
        <f>IFERROR(__xludf.DUMMYFUNCTION("""COMPUTED_VALUE"""),43280.0)</f>
        <v>43280</v>
      </c>
      <c r="F902" s="188">
        <f>IFERROR(__xludf.DUMMYFUNCTION("""COMPUTED_VALUE"""),43355.0)</f>
        <v>43355</v>
      </c>
      <c r="H902">
        <f>IFERROR(__xludf.DUMMYFUNCTION("""COMPUTED_VALUE"""),100555.0)</f>
        <v>100555</v>
      </c>
      <c r="I902" t="str">
        <f>IFERROR(__xludf.DUMMYFUNCTION("""COMPUTED_VALUE"""),"09/18")</f>
        <v>09/18</v>
      </c>
      <c r="J902" s="5">
        <f>IFERROR(__xludf.DUMMYFUNCTION("""COMPUTED_VALUE"""),43370.0)</f>
        <v>43370</v>
      </c>
      <c r="K902">
        <f>IFERROR(__xludf.DUMMYFUNCTION("""COMPUTED_VALUE"""),75.0)</f>
        <v>75</v>
      </c>
      <c r="L902">
        <f>IFERROR(__xludf.DUMMYFUNCTION("""COMPUTED_VALUE"""),15.0)</f>
        <v>15</v>
      </c>
      <c r="M902">
        <f>IFERROR(__xludf.DUMMYFUNCTION("""COMPUTED_VALUE"""),90.0)</f>
        <v>90</v>
      </c>
      <c r="N902" t="str">
        <f>IFERROR(__xludf.DUMMYFUNCTION("""COMPUTED_VALUE"""),"Model 3 LR AWD")</f>
        <v>Model 3 LR AWD</v>
      </c>
      <c r="O902" t="str">
        <f>IFERROR(__xludf.DUMMYFUNCTION("""COMPUTED_VALUE"""),"Midnight Silver Metallic")</f>
        <v>Midnight Silver Metallic</v>
      </c>
      <c r="P902" t="str">
        <f>IFERROR(__xludf.DUMMYFUNCTION("""COMPUTED_VALUE"""),"19 inch Sport")</f>
        <v>19 inch Sport</v>
      </c>
      <c r="Q902" t="str">
        <f>IFERROR(__xludf.DUMMYFUNCTION("""COMPUTED_VALUE"""),"White seats")</f>
        <v>White seats</v>
      </c>
      <c r="R902" t="str">
        <f>IFERROR(__xludf.DUMMYFUNCTION("""COMPUTED_VALUE"""),"None")</f>
        <v>None</v>
      </c>
      <c r="X902" t="str">
        <f>IFERROR(__xludf.DUMMYFUNCTION("""COMPUTED_VALUE"""),"Very Good")</f>
        <v>Very Good</v>
      </c>
      <c r="Y902" t="str">
        <f>IFERROR(__xludf.DUMMYFUNCTION("""COMPUTED_VALUE"""),"Good")</f>
        <v>Good</v>
      </c>
      <c r="Z902" t="str">
        <f>IFERROR(__xludf.DUMMYFUNCTION("""COMPUTED_VALUE"""),"Excellent")</f>
        <v>Excellent</v>
      </c>
      <c r="AA902" t="str">
        <f>IFERROR(__xludf.DUMMYFUNCTION("""COMPUTED_VALUE"""),"Poor")</f>
        <v>Poor</v>
      </c>
      <c r="AB902" t="str">
        <f>IFERROR(__xludf.DUMMYFUNCTION("""COMPUTED_VALUE"""),"Excellent")</f>
        <v>Excellent</v>
      </c>
      <c r="AC902">
        <f>IFERROR(__xludf.DUMMYFUNCTION("""COMPUTED_VALUE"""),1.0)</f>
        <v>1</v>
      </c>
      <c r="AD902">
        <f>IFERROR(__xludf.DUMMYFUNCTION("""COMPUTED_VALUE"""),1.0)</f>
        <v>1</v>
      </c>
      <c r="AH902" s="189">
        <f>IFERROR(__xludf.DUMMYFUNCTION("""COMPUTED_VALUE"""),43371.68709525463)</f>
        <v>43371.6871</v>
      </c>
    </row>
    <row r="903">
      <c r="A903" t="str">
        <f>IFERROR(__xludf.DUMMYFUNCTION("""COMPUTED_VALUE"""),"Tifighter")</f>
        <v>Tifighter</v>
      </c>
      <c r="B903" t="str">
        <f>IFERROR(__xludf.DUMMYFUNCTION("""COMPUTED_VALUE"""),"Tacoma ")</f>
        <v>Tacoma </v>
      </c>
      <c r="C903" t="str">
        <f>IFERROR(__xludf.DUMMYFUNCTION("""COMPUTED_VALUE"""),"WA")</f>
        <v>WA</v>
      </c>
      <c r="D903" t="str">
        <f>IFERROR(__xludf.DUMMYFUNCTION("""COMPUTED_VALUE"""),"USA")</f>
        <v>USA</v>
      </c>
      <c r="E903" s="188">
        <f>IFERROR(__xludf.DUMMYFUNCTION("""COMPUTED_VALUE"""),43325.0)</f>
        <v>43325</v>
      </c>
      <c r="H903">
        <f>IFERROR(__xludf.DUMMYFUNCTION("""COMPUTED_VALUE"""),105155.0)</f>
        <v>105155</v>
      </c>
      <c r="J903" s="5">
        <f>IFERROR(__xludf.DUMMYFUNCTION("""COMPUTED_VALUE"""),43372.0)</f>
        <v>43372</v>
      </c>
      <c r="M903">
        <f>IFERROR(__xludf.DUMMYFUNCTION("""COMPUTED_VALUE"""),47.0)</f>
        <v>47</v>
      </c>
      <c r="N903" t="str">
        <f>IFERROR(__xludf.DUMMYFUNCTION("""COMPUTED_VALUE"""),"Model 3 Performance")</f>
        <v>Model 3 Performance</v>
      </c>
      <c r="O903" t="str">
        <f>IFERROR(__xludf.DUMMYFUNCTION("""COMPUTED_VALUE"""),"Deep Blue Metallic")</f>
        <v>Deep Blue Metallic</v>
      </c>
      <c r="P903" t="str">
        <f>IFERROR(__xludf.DUMMYFUNCTION("""COMPUTED_VALUE"""),"18 inch Aero")</f>
        <v>18 inch Aero</v>
      </c>
      <c r="Q903" t="str">
        <f>IFERROR(__xludf.DUMMYFUNCTION("""COMPUTED_VALUE"""),"Black seats")</f>
        <v>Black seats</v>
      </c>
      <c r="R903" t="str">
        <f>IFERROR(__xludf.DUMMYFUNCTION("""COMPUTED_VALUE"""),"Enhanced Autopilot")</f>
        <v>Enhanced Autopilot</v>
      </c>
      <c r="X903" t="str">
        <f>IFERROR(__xludf.DUMMYFUNCTION("""COMPUTED_VALUE"""),"Excellent")</f>
        <v>Excellent</v>
      </c>
      <c r="Y903" t="str">
        <f>IFERROR(__xludf.DUMMYFUNCTION("""COMPUTED_VALUE"""),"Very Good")</f>
        <v>Very Good</v>
      </c>
      <c r="Z903" t="str">
        <f>IFERROR(__xludf.DUMMYFUNCTION("""COMPUTED_VALUE"""),"Very Good")</f>
        <v>Very Good</v>
      </c>
      <c r="AA903" t="str">
        <f>IFERROR(__xludf.DUMMYFUNCTION("""COMPUTED_VALUE"""),"Fair")</f>
        <v>Fair</v>
      </c>
      <c r="AB903" t="str">
        <f>IFERROR(__xludf.DUMMYFUNCTION("""COMPUTED_VALUE"""),"Very Good")</f>
        <v>Very Good</v>
      </c>
      <c r="AH903" s="189">
        <f>IFERROR(__xludf.DUMMYFUNCTION("""COMPUTED_VALUE"""),43371.801591261574)</f>
        <v>43371.80159</v>
      </c>
    </row>
    <row r="904">
      <c r="A904" t="str">
        <f>IFERROR(__xludf.DUMMYFUNCTION("""COMPUTED_VALUE"""),"thescud")</f>
        <v>thescud</v>
      </c>
      <c r="B904" t="str">
        <f>IFERROR(__xludf.DUMMYFUNCTION("""COMPUTED_VALUE"""),"Edmonton")</f>
        <v>Edmonton</v>
      </c>
      <c r="C904" t="str">
        <f>IFERROR(__xludf.DUMMYFUNCTION("""COMPUTED_VALUE"""),"AB")</f>
        <v>AB</v>
      </c>
      <c r="D904" t="str">
        <f>IFERROR(__xludf.DUMMYFUNCTION("""COMPUTED_VALUE"""),"Canada")</f>
        <v>Canada</v>
      </c>
      <c r="E904" s="188">
        <f>IFERROR(__xludf.DUMMYFUNCTION("""COMPUTED_VALUE"""),43277.0)</f>
        <v>43277</v>
      </c>
      <c r="F904" s="188">
        <f>IFERROR(__xludf.DUMMYFUNCTION("""COMPUTED_VALUE"""),43355.0)</f>
        <v>43355</v>
      </c>
      <c r="H904">
        <f>IFERROR(__xludf.DUMMYFUNCTION("""COMPUTED_VALUE"""),108055.0)</f>
        <v>108055</v>
      </c>
      <c r="I904" t="str">
        <f>IFERROR(__xludf.DUMMYFUNCTION("""COMPUTED_VALUE"""),"08/18")</f>
        <v>08/18</v>
      </c>
      <c r="J904" s="5">
        <f>IFERROR(__xludf.DUMMYFUNCTION("""COMPUTED_VALUE"""),43371.0)</f>
        <v>43371</v>
      </c>
      <c r="K904">
        <f>IFERROR(__xludf.DUMMYFUNCTION("""COMPUTED_VALUE"""),78.0)</f>
        <v>78</v>
      </c>
      <c r="L904">
        <f>IFERROR(__xludf.DUMMYFUNCTION("""COMPUTED_VALUE"""),16.0)</f>
        <v>16</v>
      </c>
      <c r="M904">
        <f>IFERROR(__xludf.DUMMYFUNCTION("""COMPUTED_VALUE"""),94.0)</f>
        <v>94</v>
      </c>
      <c r="N904" t="str">
        <f>IFERROR(__xludf.DUMMYFUNCTION("""COMPUTED_VALUE"""),"Model 3 Performance")</f>
        <v>Model 3 Performance</v>
      </c>
      <c r="O904" t="str">
        <f>IFERROR(__xludf.DUMMYFUNCTION("""COMPUTED_VALUE"""),"Solid Black")</f>
        <v>Solid Black</v>
      </c>
      <c r="P904" t="str">
        <f>IFERROR(__xludf.DUMMYFUNCTION("""COMPUTED_VALUE"""),"20 inch Sport")</f>
        <v>20 inch Sport</v>
      </c>
      <c r="Q904" t="str">
        <f>IFERROR(__xludf.DUMMYFUNCTION("""COMPUTED_VALUE"""),"White seats")</f>
        <v>White seats</v>
      </c>
      <c r="R904" t="str">
        <f>IFERROR(__xludf.DUMMYFUNCTION("""COMPUTED_VALUE"""),"Enhanced Autopilot")</f>
        <v>Enhanced Autopilot</v>
      </c>
      <c r="X904" t="str">
        <f>IFERROR(__xludf.DUMMYFUNCTION("""COMPUTED_VALUE"""),"Excellent")</f>
        <v>Excellent</v>
      </c>
      <c r="Y904" t="str">
        <f>IFERROR(__xludf.DUMMYFUNCTION("""COMPUTED_VALUE"""),"Excellent")</f>
        <v>Excellent</v>
      </c>
      <c r="Z904" t="str">
        <f>IFERROR(__xludf.DUMMYFUNCTION("""COMPUTED_VALUE"""),"Excellent")</f>
        <v>Excellent</v>
      </c>
      <c r="AA904" t="str">
        <f>IFERROR(__xludf.DUMMYFUNCTION("""COMPUTED_VALUE"""),"Fair")</f>
        <v>Fair</v>
      </c>
      <c r="AH904" s="189">
        <f>IFERROR(__xludf.DUMMYFUNCTION("""COMPUTED_VALUE"""),43371.8178425463)</f>
        <v>43371.81784</v>
      </c>
    </row>
    <row r="905">
      <c r="A905" t="str">
        <f>IFERROR(__xludf.DUMMYFUNCTION("""COMPUTED_VALUE"""),"TheDom")</f>
        <v>TheDom</v>
      </c>
      <c r="B905" t="str">
        <f>IFERROR(__xludf.DUMMYFUNCTION("""COMPUTED_VALUE"""),"Fort Myers")</f>
        <v>Fort Myers</v>
      </c>
      <c r="C905" t="str">
        <f>IFERROR(__xludf.DUMMYFUNCTION("""COMPUTED_VALUE"""),"FL")</f>
        <v>FL</v>
      </c>
      <c r="D905" t="str">
        <f>IFERROR(__xludf.DUMMYFUNCTION("""COMPUTED_VALUE"""),"USA")</f>
        <v>USA</v>
      </c>
      <c r="E905" s="188">
        <f>IFERROR(__xludf.DUMMYFUNCTION("""COMPUTED_VALUE"""),43279.0)</f>
        <v>43279</v>
      </c>
      <c r="F905" s="188">
        <f>IFERROR(__xludf.DUMMYFUNCTION("""COMPUTED_VALUE"""),43341.0)</f>
        <v>43341</v>
      </c>
      <c r="H905">
        <f>IFERROR(__xludf.DUMMYFUNCTION("""COMPUTED_VALUE"""),64655.0)</f>
        <v>64655</v>
      </c>
      <c r="I905" t="str">
        <f>IFERROR(__xludf.DUMMYFUNCTION("""COMPUTED_VALUE"""),"08/18")</f>
        <v>08/18</v>
      </c>
      <c r="J905" s="5">
        <f>IFERROR(__xludf.DUMMYFUNCTION("""COMPUTED_VALUE"""),43369.0)</f>
        <v>43369</v>
      </c>
      <c r="K905">
        <f>IFERROR(__xludf.DUMMYFUNCTION("""COMPUTED_VALUE"""),62.0)</f>
        <v>62</v>
      </c>
      <c r="L905">
        <f>IFERROR(__xludf.DUMMYFUNCTION("""COMPUTED_VALUE"""),28.0)</f>
        <v>28</v>
      </c>
      <c r="M905">
        <f>IFERROR(__xludf.DUMMYFUNCTION("""COMPUTED_VALUE"""),90.0)</f>
        <v>90</v>
      </c>
      <c r="N905" t="str">
        <f>IFERROR(__xludf.DUMMYFUNCTION("""COMPUTED_VALUE"""),"Model 3 LR AWD")</f>
        <v>Model 3 LR AWD</v>
      </c>
      <c r="O905" t="str">
        <f>IFERROR(__xludf.DUMMYFUNCTION("""COMPUTED_VALUE"""),"Deep Blue Metallic")</f>
        <v>Deep Blue Metallic</v>
      </c>
      <c r="P905" t="str">
        <f>IFERROR(__xludf.DUMMYFUNCTION("""COMPUTED_VALUE"""),"18 inch Aero")</f>
        <v>18 inch Aero</v>
      </c>
      <c r="Q905" t="str">
        <f>IFERROR(__xludf.DUMMYFUNCTION("""COMPUTED_VALUE"""),"Black seats")</f>
        <v>Black seats</v>
      </c>
      <c r="R905" t="str">
        <f>IFERROR(__xludf.DUMMYFUNCTION("""COMPUTED_VALUE"""),"Full Self-Driving")</f>
        <v>Full Self-Driving</v>
      </c>
      <c r="X905" t="str">
        <f>IFERROR(__xludf.DUMMYFUNCTION("""COMPUTED_VALUE"""),"Excellent")</f>
        <v>Excellent</v>
      </c>
      <c r="Y905" t="str">
        <f>IFERROR(__xludf.DUMMYFUNCTION("""COMPUTED_VALUE"""),"Excellent")</f>
        <v>Excellent</v>
      </c>
      <c r="Z905" t="str">
        <f>IFERROR(__xludf.DUMMYFUNCTION("""COMPUTED_VALUE"""),"Excellent")</f>
        <v>Excellent</v>
      </c>
      <c r="AA905" t="str">
        <f>IFERROR(__xludf.DUMMYFUNCTION("""COMPUTED_VALUE"""),"Excellent")</f>
        <v>Excellent</v>
      </c>
      <c r="AB905" t="str">
        <f>IFERROR(__xludf.DUMMYFUNCTION("""COMPUTED_VALUE"""),"Excellent")</f>
        <v>Excellent</v>
      </c>
      <c r="AH905" s="189">
        <f>IFERROR(__xludf.DUMMYFUNCTION("""COMPUTED_VALUE"""),43371.89160321759)</f>
        <v>43371.8916</v>
      </c>
    </row>
    <row r="906">
      <c r="A906" t="str">
        <f>IFERROR(__xludf.DUMMYFUNCTION("""COMPUTED_VALUE"""),"snowy")</f>
        <v>snowy</v>
      </c>
      <c r="B906" t="str">
        <f>IFERROR(__xludf.DUMMYFUNCTION("""COMPUTED_VALUE"""),"Vancouver")</f>
        <v>Vancouver</v>
      </c>
      <c r="C906" t="str">
        <f>IFERROR(__xludf.DUMMYFUNCTION("""COMPUTED_VALUE"""),"BC")</f>
        <v>BC</v>
      </c>
      <c r="D906" t="str">
        <f>IFERROR(__xludf.DUMMYFUNCTION("""COMPUTED_VALUE"""),"Canada")</f>
        <v>Canada</v>
      </c>
      <c r="E906" s="188">
        <f>IFERROR(__xludf.DUMMYFUNCTION("""COMPUTED_VALUE"""),43278.0)</f>
        <v>43278</v>
      </c>
      <c r="F906" s="188">
        <f>IFERROR(__xludf.DUMMYFUNCTION("""COMPUTED_VALUE"""),43343.0)</f>
        <v>43343</v>
      </c>
      <c r="H906">
        <f>IFERROR(__xludf.DUMMYFUNCTION("""COMPUTED_VALUE"""),107155.0)</f>
        <v>107155</v>
      </c>
      <c r="I906" t="str">
        <f>IFERROR(__xludf.DUMMYFUNCTION("""COMPUTED_VALUE"""),"08/18")</f>
        <v>08/18</v>
      </c>
      <c r="J906" s="5">
        <f>IFERROR(__xludf.DUMMYFUNCTION("""COMPUTED_VALUE"""),43350.0)</f>
        <v>43350</v>
      </c>
      <c r="K906">
        <f>IFERROR(__xludf.DUMMYFUNCTION("""COMPUTED_VALUE"""),65.0)</f>
        <v>65</v>
      </c>
      <c r="L906">
        <f>IFERROR(__xludf.DUMMYFUNCTION("""COMPUTED_VALUE"""),7.0)</f>
        <v>7</v>
      </c>
      <c r="M906">
        <f>IFERROR(__xludf.DUMMYFUNCTION("""COMPUTED_VALUE"""),72.0)</f>
        <v>72</v>
      </c>
      <c r="N906" t="str">
        <f>IFERROR(__xludf.DUMMYFUNCTION("""COMPUTED_VALUE"""),"Model 3 LR AWD")</f>
        <v>Model 3 LR AWD</v>
      </c>
      <c r="O906" t="str">
        <f>IFERROR(__xludf.DUMMYFUNCTION("""COMPUTED_VALUE"""),"Pearl White Multi-Coat")</f>
        <v>Pearl White Multi-Coat</v>
      </c>
      <c r="P906" t="str">
        <f>IFERROR(__xludf.DUMMYFUNCTION("""COMPUTED_VALUE"""),"18 inch Aero")</f>
        <v>18 inch Aero</v>
      </c>
      <c r="Q906" t="str">
        <f>IFERROR(__xludf.DUMMYFUNCTION("""COMPUTED_VALUE"""),"Black seats")</f>
        <v>Black seats</v>
      </c>
      <c r="R906" t="str">
        <f>IFERROR(__xludf.DUMMYFUNCTION("""COMPUTED_VALUE"""),"Enhanced Autopilot")</f>
        <v>Enhanced Autopilot</v>
      </c>
      <c r="X906" t="str">
        <f>IFERROR(__xludf.DUMMYFUNCTION("""COMPUTED_VALUE"""),"Excellent")</f>
        <v>Excellent</v>
      </c>
      <c r="Y906" t="str">
        <f>IFERROR(__xludf.DUMMYFUNCTION("""COMPUTED_VALUE"""),"Excellent")</f>
        <v>Excellent</v>
      </c>
      <c r="Z906" t="str">
        <f>IFERROR(__xludf.DUMMYFUNCTION("""COMPUTED_VALUE"""),"Good")</f>
        <v>Good</v>
      </c>
      <c r="AA906" t="str">
        <f>IFERROR(__xludf.DUMMYFUNCTION("""COMPUTED_VALUE"""),"Fair")</f>
        <v>Fair</v>
      </c>
      <c r="AB906" t="str">
        <f>IFERROR(__xludf.DUMMYFUNCTION("""COMPUTED_VALUE"""),"Fair")</f>
        <v>Fair</v>
      </c>
      <c r="AC906">
        <f>IFERROR(__xludf.DUMMYFUNCTION("""COMPUTED_VALUE"""),12.0)</f>
        <v>12</v>
      </c>
      <c r="AD906">
        <f>IFERROR(__xludf.DUMMYFUNCTION("""COMPUTED_VALUE"""),1.0)</f>
        <v>1</v>
      </c>
      <c r="AH906" s="189">
        <f>IFERROR(__xludf.DUMMYFUNCTION("""COMPUTED_VALUE"""),43371.92875167824)</f>
        <v>43371.92875</v>
      </c>
    </row>
    <row r="907">
      <c r="A907" t="str">
        <f>IFERROR(__xludf.DUMMYFUNCTION("""COMPUTED_VALUE"""),"ipmasq")</f>
        <v>ipmasq</v>
      </c>
      <c r="C907" t="str">
        <f>IFERROR(__xludf.DUMMYFUNCTION("""COMPUTED_VALUE"""),"WA")</f>
        <v>WA</v>
      </c>
      <c r="D907" t="str">
        <f>IFERROR(__xludf.DUMMYFUNCTION("""COMPUTED_VALUE"""),"USA")</f>
        <v>USA</v>
      </c>
      <c r="E907" s="188">
        <f>IFERROR(__xludf.DUMMYFUNCTION("""COMPUTED_VALUE"""),43352.0)</f>
        <v>43352</v>
      </c>
      <c r="F907" s="188">
        <f>IFERROR(__xludf.DUMMYFUNCTION("""COMPUTED_VALUE"""),43366.0)</f>
        <v>43366</v>
      </c>
      <c r="H907">
        <f>IFERROR(__xludf.DUMMYFUNCTION("""COMPUTED_VALUE"""),105355.0)</f>
        <v>105355</v>
      </c>
      <c r="I907" t="str">
        <f>IFERROR(__xludf.DUMMYFUNCTION("""COMPUTED_VALUE"""),"09/18")</f>
        <v>09/18</v>
      </c>
      <c r="J907" s="5">
        <f>IFERROR(__xludf.DUMMYFUNCTION("""COMPUTED_VALUE"""),43371.0)</f>
        <v>43371</v>
      </c>
      <c r="K907">
        <f>IFERROR(__xludf.DUMMYFUNCTION("""COMPUTED_VALUE"""),14.0)</f>
        <v>14</v>
      </c>
      <c r="L907">
        <f>IFERROR(__xludf.DUMMYFUNCTION("""COMPUTED_VALUE"""),5.0)</f>
        <v>5</v>
      </c>
      <c r="M907">
        <f>IFERROR(__xludf.DUMMYFUNCTION("""COMPUTED_VALUE"""),19.0)</f>
        <v>19</v>
      </c>
      <c r="N907" t="str">
        <f>IFERROR(__xludf.DUMMYFUNCTION("""COMPUTED_VALUE"""),"Model 3 LR AWD")</f>
        <v>Model 3 LR AWD</v>
      </c>
      <c r="O907" t="str">
        <f>IFERROR(__xludf.DUMMYFUNCTION("""COMPUTED_VALUE"""),"Deep Blue Metallic")</f>
        <v>Deep Blue Metallic</v>
      </c>
      <c r="P907" t="str">
        <f>IFERROR(__xludf.DUMMYFUNCTION("""COMPUTED_VALUE"""),"18 inch Aero")</f>
        <v>18 inch Aero</v>
      </c>
      <c r="Q907" t="str">
        <f>IFERROR(__xludf.DUMMYFUNCTION("""COMPUTED_VALUE"""),"Black seats")</f>
        <v>Black seats</v>
      </c>
      <c r="R907" t="str">
        <f>IFERROR(__xludf.DUMMYFUNCTION("""COMPUTED_VALUE"""),"Enhanced Autopilot")</f>
        <v>Enhanced Autopilot</v>
      </c>
      <c r="X907" t="str">
        <f>IFERROR(__xludf.DUMMYFUNCTION("""COMPUTED_VALUE"""),"Good")</f>
        <v>Good</v>
      </c>
      <c r="Y907" t="str">
        <f>IFERROR(__xludf.DUMMYFUNCTION("""COMPUTED_VALUE"""),"Excellent")</f>
        <v>Excellent</v>
      </c>
      <c r="Z907" t="str">
        <f>IFERROR(__xludf.DUMMYFUNCTION("""COMPUTED_VALUE"""),"Very Good")</f>
        <v>Very Good</v>
      </c>
      <c r="AA907" t="str">
        <f>IFERROR(__xludf.DUMMYFUNCTION("""COMPUTED_VALUE"""),"Good")</f>
        <v>Good</v>
      </c>
      <c r="AB907" t="str">
        <f>IFERROR(__xludf.DUMMYFUNCTION("""COMPUTED_VALUE"""),"Excellent")</f>
        <v>Excellent</v>
      </c>
      <c r="AC907">
        <f>IFERROR(__xludf.DUMMYFUNCTION("""COMPUTED_VALUE"""),2.0)</f>
        <v>2</v>
      </c>
      <c r="AG907" t="str">
        <f>IFERROR(__xludf.DUMMYFUNCTION("""COMPUTED_VALUE"""),"Frunk misaligned slightly, driver's mirror cap has 2 small gouges from possible rock strike during transport")</f>
        <v>Frunk misaligned slightly, driver's mirror cap has 2 small gouges from possible rock strike during transport</v>
      </c>
      <c r="AH907" s="189">
        <f>IFERROR(__xludf.DUMMYFUNCTION("""COMPUTED_VALUE"""),43371.982459756946)</f>
        <v>43371.98246</v>
      </c>
    </row>
    <row r="908">
      <c r="A908" t="str">
        <f>IFERROR(__xludf.DUMMYFUNCTION("""COMPUTED_VALUE"""),"FlyingViking")</f>
        <v>FlyingViking</v>
      </c>
      <c r="B908" t="str">
        <f>IFERROR(__xludf.DUMMYFUNCTION("""COMPUTED_VALUE"""),"Dallas")</f>
        <v>Dallas</v>
      </c>
      <c r="C908" t="str">
        <f>IFERROR(__xludf.DUMMYFUNCTION("""COMPUTED_VALUE"""),"TX")</f>
        <v>TX</v>
      </c>
      <c r="D908" t="str">
        <f>IFERROR(__xludf.DUMMYFUNCTION("""COMPUTED_VALUE"""),"USA")</f>
        <v>USA</v>
      </c>
      <c r="E908" s="188">
        <f>IFERROR(__xludf.DUMMYFUNCTION("""COMPUTED_VALUE"""),43342.0)</f>
        <v>43342</v>
      </c>
      <c r="F908" s="188">
        <f>IFERROR(__xludf.DUMMYFUNCTION("""COMPUTED_VALUE"""),43349.0)</f>
        <v>43349</v>
      </c>
      <c r="H908">
        <f>IFERROR(__xludf.DUMMYFUNCTION("""COMPUTED_VALUE"""),102255.0)</f>
        <v>102255</v>
      </c>
      <c r="I908" t="str">
        <f>IFERROR(__xludf.DUMMYFUNCTION("""COMPUTED_VALUE"""),"09/18")</f>
        <v>09/18</v>
      </c>
      <c r="J908" s="5">
        <f>IFERROR(__xludf.DUMMYFUNCTION("""COMPUTED_VALUE"""),43369.0)</f>
        <v>43369</v>
      </c>
      <c r="K908">
        <f>IFERROR(__xludf.DUMMYFUNCTION("""COMPUTED_VALUE"""),7.0)</f>
        <v>7</v>
      </c>
      <c r="L908">
        <f>IFERROR(__xludf.DUMMYFUNCTION("""COMPUTED_VALUE"""),20.0)</f>
        <v>20</v>
      </c>
      <c r="M908">
        <f>IFERROR(__xludf.DUMMYFUNCTION("""COMPUTED_VALUE"""),27.0)</f>
        <v>27</v>
      </c>
      <c r="N908" t="str">
        <f>IFERROR(__xludf.DUMMYFUNCTION("""COMPUTED_VALUE"""),"Model 3 LR")</f>
        <v>Model 3 LR</v>
      </c>
      <c r="O908" t="str">
        <f>IFERROR(__xludf.DUMMYFUNCTION("""COMPUTED_VALUE"""),"Deep Blue Metallic")</f>
        <v>Deep Blue Metallic</v>
      </c>
      <c r="P908" t="str">
        <f>IFERROR(__xludf.DUMMYFUNCTION("""COMPUTED_VALUE"""),"18 inch Aero")</f>
        <v>18 inch Aero</v>
      </c>
      <c r="Q908" t="str">
        <f>IFERROR(__xludf.DUMMYFUNCTION("""COMPUTED_VALUE"""),"Black seats")</f>
        <v>Black seats</v>
      </c>
      <c r="R908" t="str">
        <f>IFERROR(__xludf.DUMMYFUNCTION("""COMPUTED_VALUE"""),"Enhanced Autopilot")</f>
        <v>Enhanced Autopilot</v>
      </c>
      <c r="X908" t="str">
        <f>IFERROR(__xludf.DUMMYFUNCTION("""COMPUTED_VALUE"""),"Excellent")</f>
        <v>Excellent</v>
      </c>
      <c r="Y908" t="str">
        <f>IFERROR(__xludf.DUMMYFUNCTION("""COMPUTED_VALUE"""),"Excellent")</f>
        <v>Excellent</v>
      </c>
      <c r="Z908" t="str">
        <f>IFERROR(__xludf.DUMMYFUNCTION("""COMPUTED_VALUE"""),"Very Good")</f>
        <v>Very Good</v>
      </c>
      <c r="AA908" t="str">
        <f>IFERROR(__xludf.DUMMYFUNCTION("""COMPUTED_VALUE"""),"Excellent")</f>
        <v>Excellent</v>
      </c>
      <c r="AB908" t="str">
        <f>IFERROR(__xludf.DUMMYFUNCTION("""COMPUTED_VALUE"""),"Good")</f>
        <v>Good</v>
      </c>
      <c r="AC908">
        <f>IFERROR(__xludf.DUMMYFUNCTION("""COMPUTED_VALUE"""),0.0)</f>
        <v>0</v>
      </c>
      <c r="AG908" t="str">
        <f>IFERROR(__xludf.DUMMYFUNCTION("""COMPUTED_VALUE"""),"Delivery pushed from 9/29 to 9/26 - I visually located car in Dallas staging lot - two small door dings on Right Rear door that need to get fixed. Delivered as scheduled and all repaired on 9/26. Had to stand out in pouring rain to inspect the car and wal"&amp;"k around it. Service center employees completely useless. ")</f>
        <v>Delivery pushed from 9/29 to 9/26 - I visually located car in Dallas staging lot - two small door dings on Right Rear door that need to get fixed. Delivered as scheduled and all repaired on 9/26. Had to stand out in pouring rain to inspect the car and walk around it. Service center employees completely useless. </v>
      </c>
      <c r="AH908" s="189">
        <f>IFERROR(__xludf.DUMMYFUNCTION("""COMPUTED_VALUE"""),43371.999747650465)</f>
        <v>43371.99975</v>
      </c>
    </row>
    <row r="909">
      <c r="A909" t="str">
        <f>IFERROR(__xludf.DUMMYFUNCTION("""COMPUTED_VALUE"""),"engle")</f>
        <v>engle</v>
      </c>
      <c r="B909" t="str">
        <f>IFERROR(__xludf.DUMMYFUNCTION("""COMPUTED_VALUE"""),"Fremont")</f>
        <v>Fremont</v>
      </c>
      <c r="C909" t="str">
        <f>IFERROR(__xludf.DUMMYFUNCTION("""COMPUTED_VALUE"""),"CA")</f>
        <v>CA</v>
      </c>
      <c r="D909" t="str">
        <f>IFERROR(__xludf.DUMMYFUNCTION("""COMPUTED_VALUE"""),"USA")</f>
        <v>USA</v>
      </c>
      <c r="E909" s="188">
        <f>IFERROR(__xludf.DUMMYFUNCTION("""COMPUTED_VALUE"""),43371.0)</f>
        <v>43371</v>
      </c>
      <c r="H909">
        <f>IFERROR(__xludf.DUMMYFUNCTION("""COMPUTED_VALUE"""),93855.0)</f>
        <v>93855</v>
      </c>
      <c r="I909" t="str">
        <f>IFERROR(__xludf.DUMMYFUNCTION("""COMPUTED_VALUE"""),"09/18")</f>
        <v>09/18</v>
      </c>
      <c r="J909" s="5">
        <f>IFERROR(__xludf.DUMMYFUNCTION("""COMPUTED_VALUE"""),43371.0)</f>
        <v>43371</v>
      </c>
      <c r="M909">
        <f>IFERROR(__xludf.DUMMYFUNCTION("""COMPUTED_VALUE"""),0.0)</f>
        <v>0</v>
      </c>
      <c r="N909" t="str">
        <f>IFERROR(__xludf.DUMMYFUNCTION("""COMPUTED_VALUE"""),"Model 3 LR AWD")</f>
        <v>Model 3 LR AWD</v>
      </c>
      <c r="O909" t="str">
        <f>IFERROR(__xludf.DUMMYFUNCTION("""COMPUTED_VALUE"""),"Pearl White Multi-Coat")</f>
        <v>Pearl White Multi-Coat</v>
      </c>
      <c r="P909" t="str">
        <f>IFERROR(__xludf.DUMMYFUNCTION("""COMPUTED_VALUE"""),"18 inch Aero")</f>
        <v>18 inch Aero</v>
      </c>
      <c r="Q909" t="str">
        <f>IFERROR(__xludf.DUMMYFUNCTION("""COMPUTED_VALUE"""),"Black seats")</f>
        <v>Black seats</v>
      </c>
      <c r="R909" t="str">
        <f>IFERROR(__xludf.DUMMYFUNCTION("""COMPUTED_VALUE"""),"Enhanced Autopilot")</f>
        <v>Enhanced Autopilot</v>
      </c>
      <c r="X909" t="str">
        <f>IFERROR(__xludf.DUMMYFUNCTION("""COMPUTED_VALUE"""),"Excellent")</f>
        <v>Excellent</v>
      </c>
      <c r="Y909" t="str">
        <f>IFERROR(__xludf.DUMMYFUNCTION("""COMPUTED_VALUE"""),"Excellent")</f>
        <v>Excellent</v>
      </c>
      <c r="Z909" t="str">
        <f>IFERROR(__xludf.DUMMYFUNCTION("""COMPUTED_VALUE"""),"Excellent")</f>
        <v>Excellent</v>
      </c>
      <c r="AA909" t="str">
        <f>IFERROR(__xludf.DUMMYFUNCTION("""COMPUTED_VALUE"""),"Poor")</f>
        <v>Poor</v>
      </c>
      <c r="AB909" t="str">
        <f>IFERROR(__xludf.DUMMYFUNCTION("""COMPUTED_VALUE"""),"Excellent")</f>
        <v>Excellent</v>
      </c>
      <c r="AG909" t="str">
        <f>IFERROR(__xludf.DUMMYFUNCTION("""COMPUTED_VALUE"""),"Upgraded 8/12 AWD to Perf- 9/19 back to AWD 9/28 at Fremont Delivery Center after was stood up by ""Tesla Direct"" home delivery")</f>
        <v>Upgraded 8/12 AWD to Perf- 9/19 back to AWD 9/28 at Fremont Delivery Center after was stood up by "Tesla Direct" home delivery</v>
      </c>
      <c r="AH909" s="189">
        <f>IFERROR(__xludf.DUMMYFUNCTION("""COMPUTED_VALUE"""),43372.07160869213)</f>
        <v>43372.07161</v>
      </c>
    </row>
    <row r="910">
      <c r="A910" t="str">
        <f>IFERROR(__xludf.DUMMYFUNCTION("""COMPUTED_VALUE"""),"Frieda's Boss")</f>
        <v>Frieda's Boss</v>
      </c>
      <c r="B910" t="str">
        <f>IFERROR(__xludf.DUMMYFUNCTION("""COMPUTED_VALUE"""),"Portland")</f>
        <v>Portland</v>
      </c>
      <c r="C910" t="str">
        <f>IFERROR(__xludf.DUMMYFUNCTION("""COMPUTED_VALUE"""),"OR")</f>
        <v>OR</v>
      </c>
      <c r="D910" t="str">
        <f>IFERROR(__xludf.DUMMYFUNCTION("""COMPUTED_VALUE"""),"USA")</f>
        <v>USA</v>
      </c>
      <c r="E910" s="188">
        <f>IFERROR(__xludf.DUMMYFUNCTION("""COMPUTED_VALUE"""),43281.0)</f>
        <v>43281</v>
      </c>
      <c r="F910" s="188">
        <f>IFERROR(__xludf.DUMMYFUNCTION("""COMPUTED_VALUE"""),43365.0)</f>
        <v>43365</v>
      </c>
      <c r="H910">
        <f>IFERROR(__xludf.DUMMYFUNCTION("""COMPUTED_VALUE"""),65355.0)</f>
        <v>65355</v>
      </c>
      <c r="I910" t="str">
        <f>IFERROR(__xludf.DUMMYFUNCTION("""COMPUTED_VALUE"""),"09/18")</f>
        <v>09/18</v>
      </c>
      <c r="J910" s="5">
        <f>IFERROR(__xludf.DUMMYFUNCTION("""COMPUTED_VALUE"""),43370.0)</f>
        <v>43370</v>
      </c>
      <c r="K910">
        <f>IFERROR(__xludf.DUMMYFUNCTION("""COMPUTED_VALUE"""),84.0)</f>
        <v>84</v>
      </c>
      <c r="L910">
        <f>IFERROR(__xludf.DUMMYFUNCTION("""COMPUTED_VALUE"""),5.0)</f>
        <v>5</v>
      </c>
      <c r="M910">
        <f>IFERROR(__xludf.DUMMYFUNCTION("""COMPUTED_VALUE"""),89.0)</f>
        <v>89</v>
      </c>
      <c r="N910" t="str">
        <f>IFERROR(__xludf.DUMMYFUNCTION("""COMPUTED_VALUE"""),"Model 3 LR AWD")</f>
        <v>Model 3 LR AWD</v>
      </c>
      <c r="O910" t="str">
        <f>IFERROR(__xludf.DUMMYFUNCTION("""COMPUTED_VALUE"""),"Silver Metallic")</f>
        <v>Silver Metallic</v>
      </c>
      <c r="P910" t="str">
        <f>IFERROR(__xludf.DUMMYFUNCTION("""COMPUTED_VALUE"""),"18 inch Aero")</f>
        <v>18 inch Aero</v>
      </c>
      <c r="Q910" t="str">
        <f>IFERROR(__xludf.DUMMYFUNCTION("""COMPUTED_VALUE"""),"Black seats")</f>
        <v>Black seats</v>
      </c>
      <c r="R910" t="str">
        <f>IFERROR(__xludf.DUMMYFUNCTION("""COMPUTED_VALUE"""),"None")</f>
        <v>None</v>
      </c>
      <c r="X910" t="str">
        <f>IFERROR(__xludf.DUMMYFUNCTION("""COMPUTED_VALUE"""),"Excellent")</f>
        <v>Excellent</v>
      </c>
      <c r="Y910" t="str">
        <f>IFERROR(__xludf.DUMMYFUNCTION("""COMPUTED_VALUE"""),"Very Good")</f>
        <v>Very Good</v>
      </c>
      <c r="Z910" t="str">
        <f>IFERROR(__xludf.DUMMYFUNCTION("""COMPUTED_VALUE"""),"Very Good")</f>
        <v>Very Good</v>
      </c>
      <c r="AA910" t="str">
        <f>IFERROR(__xludf.DUMMYFUNCTION("""COMPUTED_VALUE"""),"Poor")</f>
        <v>Poor</v>
      </c>
      <c r="AB910" t="str">
        <f>IFERROR(__xludf.DUMMYFUNCTION("""COMPUTED_VALUE"""),"Poor")</f>
        <v>Poor</v>
      </c>
      <c r="AH910" s="189">
        <f>IFERROR(__xludf.DUMMYFUNCTION("""COMPUTED_VALUE"""),43372.14196945602)</f>
        <v>43372.14197</v>
      </c>
    </row>
    <row r="911">
      <c r="A911" t="str">
        <f>IFERROR(__xludf.DUMMYFUNCTION("""COMPUTED_VALUE"""),"Ohm-Ohm")</f>
        <v>Ohm-Ohm</v>
      </c>
      <c r="B911" t="str">
        <f>IFERROR(__xludf.DUMMYFUNCTION("""COMPUTED_VALUE"""),"San Diego")</f>
        <v>San Diego</v>
      </c>
      <c r="C911" t="str">
        <f>IFERROR(__xludf.DUMMYFUNCTION("""COMPUTED_VALUE"""),"CA")</f>
        <v>CA</v>
      </c>
      <c r="D911" t="str">
        <f>IFERROR(__xludf.DUMMYFUNCTION("""COMPUTED_VALUE"""),"USA")</f>
        <v>USA</v>
      </c>
      <c r="E911" s="188">
        <f>IFERROR(__xludf.DUMMYFUNCTION("""COMPUTED_VALUE"""),43279.0)</f>
        <v>43279</v>
      </c>
      <c r="H911">
        <f>IFERROR(__xludf.DUMMYFUNCTION("""COMPUTED_VALUE"""),81955.0)</f>
        <v>81955</v>
      </c>
      <c r="J911" s="5">
        <f>IFERROR(__xludf.DUMMYFUNCTION("""COMPUTED_VALUE"""),43369.0)</f>
        <v>43369</v>
      </c>
      <c r="M911">
        <f>IFERROR(__xludf.DUMMYFUNCTION("""COMPUTED_VALUE"""),90.0)</f>
        <v>90</v>
      </c>
      <c r="N911" t="str">
        <f>IFERROR(__xludf.DUMMYFUNCTION("""COMPUTED_VALUE"""),"Model 3 LR AWD")</f>
        <v>Model 3 LR AWD</v>
      </c>
      <c r="O911" t="str">
        <f>IFERROR(__xludf.DUMMYFUNCTION("""COMPUTED_VALUE"""),"Deep Blue Metallic")</f>
        <v>Deep Blue Metallic</v>
      </c>
      <c r="P911" t="str">
        <f>IFERROR(__xludf.DUMMYFUNCTION("""COMPUTED_VALUE"""),"20 inch Sport")</f>
        <v>20 inch Sport</v>
      </c>
      <c r="Q911" t="str">
        <f>IFERROR(__xludf.DUMMYFUNCTION("""COMPUTED_VALUE"""),"Black seats")</f>
        <v>Black seats</v>
      </c>
      <c r="R911" t="str">
        <f>IFERROR(__xludf.DUMMYFUNCTION("""COMPUTED_VALUE"""),"None")</f>
        <v>None</v>
      </c>
      <c r="X911" t="str">
        <f>IFERROR(__xludf.DUMMYFUNCTION("""COMPUTED_VALUE"""),"Excellent")</f>
        <v>Excellent</v>
      </c>
      <c r="Y911" t="str">
        <f>IFERROR(__xludf.DUMMYFUNCTION("""COMPUTED_VALUE"""),"Excellent")</f>
        <v>Excellent</v>
      </c>
      <c r="Z911" t="str">
        <f>IFERROR(__xludf.DUMMYFUNCTION("""COMPUTED_VALUE"""),"Excellent")</f>
        <v>Excellent</v>
      </c>
      <c r="AA911" t="str">
        <f>IFERROR(__xludf.DUMMYFUNCTION("""COMPUTED_VALUE"""),"Fair")</f>
        <v>Fair</v>
      </c>
      <c r="AB911" t="str">
        <f>IFERROR(__xludf.DUMMYFUNCTION("""COMPUTED_VALUE"""),"Excellent")</f>
        <v>Excellent</v>
      </c>
      <c r="AH911" s="189">
        <f>IFERROR(__xludf.DUMMYFUNCTION("""COMPUTED_VALUE"""),43372.25899621528)</f>
        <v>43372.259</v>
      </c>
    </row>
    <row r="912">
      <c r="A912" t="str">
        <f>IFERROR(__xludf.DUMMYFUNCTION("""COMPUTED_VALUE"""),"seekingModel3")</f>
        <v>seekingModel3</v>
      </c>
      <c r="B912" t="str">
        <f>IFERROR(__xludf.DUMMYFUNCTION("""COMPUTED_VALUE"""),"Austin")</f>
        <v>Austin</v>
      </c>
      <c r="C912" t="str">
        <f>IFERROR(__xludf.DUMMYFUNCTION("""COMPUTED_VALUE"""),"TX")</f>
        <v>TX</v>
      </c>
      <c r="D912" t="str">
        <f>IFERROR(__xludf.DUMMYFUNCTION("""COMPUTED_VALUE"""),"USA")</f>
        <v>USA</v>
      </c>
      <c r="E912" s="188">
        <f>IFERROR(__xludf.DUMMYFUNCTION("""COMPUTED_VALUE"""),43280.0)</f>
        <v>43280</v>
      </c>
      <c r="F912" s="188">
        <f>IFERROR(__xludf.DUMMYFUNCTION("""COMPUTED_VALUE"""),43332.0)</f>
        <v>43332</v>
      </c>
      <c r="H912">
        <f>IFERROR(__xludf.DUMMYFUNCTION("""COMPUTED_VALUE"""),71125.0)</f>
        <v>71125</v>
      </c>
      <c r="I912" t="str">
        <f>IFERROR(__xludf.DUMMYFUNCTION("""COMPUTED_VALUE"""),"08/18")</f>
        <v>08/18</v>
      </c>
      <c r="J912" s="5">
        <f>IFERROR(__xludf.DUMMYFUNCTION("""COMPUTED_VALUE"""),43367.0)</f>
        <v>43367</v>
      </c>
      <c r="K912">
        <f>IFERROR(__xludf.DUMMYFUNCTION("""COMPUTED_VALUE"""),52.0)</f>
        <v>52</v>
      </c>
      <c r="L912">
        <f>IFERROR(__xludf.DUMMYFUNCTION("""COMPUTED_VALUE"""),35.0)</f>
        <v>35</v>
      </c>
      <c r="M912">
        <f>IFERROR(__xludf.DUMMYFUNCTION("""COMPUTED_VALUE"""),87.0)</f>
        <v>87</v>
      </c>
      <c r="N912" t="str">
        <f>IFERROR(__xludf.DUMMYFUNCTION("""COMPUTED_VALUE"""),"Model 3 LR")</f>
        <v>Model 3 LR</v>
      </c>
      <c r="O912" t="str">
        <f>IFERROR(__xludf.DUMMYFUNCTION("""COMPUTED_VALUE"""),"Obsidian Black Metallic")</f>
        <v>Obsidian Black Metallic</v>
      </c>
      <c r="P912" t="str">
        <f>IFERROR(__xludf.DUMMYFUNCTION("""COMPUTED_VALUE"""),"19 inch Sport")</f>
        <v>19 inch Sport</v>
      </c>
      <c r="Q912" t="str">
        <f>IFERROR(__xludf.DUMMYFUNCTION("""COMPUTED_VALUE"""),"Black seats")</f>
        <v>Black seats</v>
      </c>
      <c r="R912" t="str">
        <f>IFERROR(__xludf.DUMMYFUNCTION("""COMPUTED_VALUE"""),"Enhanced Autopilot")</f>
        <v>Enhanced Autopilot</v>
      </c>
      <c r="X912" t="str">
        <f>IFERROR(__xludf.DUMMYFUNCTION("""COMPUTED_VALUE"""),"Excellent")</f>
        <v>Excellent</v>
      </c>
      <c r="Y912" t="str">
        <f>IFERROR(__xludf.DUMMYFUNCTION("""COMPUTED_VALUE"""),"Excellent")</f>
        <v>Excellent</v>
      </c>
      <c r="Z912" t="str">
        <f>IFERROR(__xludf.DUMMYFUNCTION("""COMPUTED_VALUE"""),"Excellent")</f>
        <v>Excellent</v>
      </c>
      <c r="AA912" t="str">
        <f>IFERROR(__xludf.DUMMYFUNCTION("""COMPUTED_VALUE"""),"Very Good")</f>
        <v>Very Good</v>
      </c>
      <c r="AB912" t="str">
        <f>IFERROR(__xludf.DUMMYFUNCTION("""COMPUTED_VALUE"""),"Very Good")</f>
        <v>Very Good</v>
      </c>
      <c r="AC912">
        <f>IFERROR(__xludf.DUMMYFUNCTION("""COMPUTED_VALUE"""),1.0)</f>
        <v>1</v>
      </c>
      <c r="AD912">
        <f>IFERROR(__xludf.DUMMYFUNCTION("""COMPUTED_VALUE"""),0.0)</f>
        <v>0</v>
      </c>
      <c r="AE912">
        <f>IFERROR(__xludf.DUMMYFUNCTION("""COMPUTED_VALUE"""),0.0)</f>
        <v>0</v>
      </c>
      <c r="AH912" s="189">
        <f>IFERROR(__xludf.DUMMYFUNCTION("""COMPUTED_VALUE"""),43372.25956880787)</f>
        <v>43372.25957</v>
      </c>
    </row>
    <row r="913">
      <c r="A913" t="str">
        <f>IFERROR(__xludf.DUMMYFUNCTION("""COMPUTED_VALUE"""),"dusdev")</f>
        <v>dusdev</v>
      </c>
      <c r="B913" t="str">
        <f>IFERROR(__xludf.DUMMYFUNCTION("""COMPUTED_VALUE"""),"Kitchener")</f>
        <v>Kitchener</v>
      </c>
      <c r="C913" t="str">
        <f>IFERROR(__xludf.DUMMYFUNCTION("""COMPUTED_VALUE"""),"ON")</f>
        <v>ON</v>
      </c>
      <c r="D913" t="str">
        <f>IFERROR(__xludf.DUMMYFUNCTION("""COMPUTED_VALUE"""),"Canada")</f>
        <v>Canada</v>
      </c>
      <c r="E913" s="188">
        <f>IFERROR(__xludf.DUMMYFUNCTION("""COMPUTED_VALUE"""),43278.0)</f>
        <v>43278</v>
      </c>
      <c r="F913" s="188">
        <f>IFERROR(__xludf.DUMMYFUNCTION("""COMPUTED_VALUE"""),43357.0)</f>
        <v>43357</v>
      </c>
      <c r="H913">
        <f>IFERROR(__xludf.DUMMYFUNCTION("""COMPUTED_VALUE"""),10955.0)</f>
        <v>10955</v>
      </c>
      <c r="I913" t="str">
        <f>IFERROR(__xludf.DUMMYFUNCTION("""COMPUTED_VALUE"""),"09/18")</f>
        <v>09/18</v>
      </c>
      <c r="J913" s="5">
        <f>IFERROR(__xludf.DUMMYFUNCTION("""COMPUTED_VALUE"""),43371.0)</f>
        <v>43371</v>
      </c>
      <c r="K913">
        <f>IFERROR(__xludf.DUMMYFUNCTION("""COMPUTED_VALUE"""),79.0)</f>
        <v>79</v>
      </c>
      <c r="L913">
        <f>IFERROR(__xludf.DUMMYFUNCTION("""COMPUTED_VALUE"""),14.0)</f>
        <v>14</v>
      </c>
      <c r="M913">
        <f>IFERROR(__xludf.DUMMYFUNCTION("""COMPUTED_VALUE"""),93.0)</f>
        <v>93</v>
      </c>
      <c r="N913" t="str">
        <f>IFERROR(__xludf.DUMMYFUNCTION("""COMPUTED_VALUE"""),"Model 3 LR AWD")</f>
        <v>Model 3 LR AWD</v>
      </c>
      <c r="O913" t="str">
        <f>IFERROR(__xludf.DUMMYFUNCTION("""COMPUTED_VALUE"""),"Deep Blue Metallic")</f>
        <v>Deep Blue Metallic</v>
      </c>
      <c r="P913" t="str">
        <f>IFERROR(__xludf.DUMMYFUNCTION("""COMPUTED_VALUE"""),"18 inch Aero")</f>
        <v>18 inch Aero</v>
      </c>
      <c r="Q913" t="str">
        <f>IFERROR(__xludf.DUMMYFUNCTION("""COMPUTED_VALUE"""),"Black seats")</f>
        <v>Black seats</v>
      </c>
      <c r="R913" t="str">
        <f>IFERROR(__xludf.DUMMYFUNCTION("""COMPUTED_VALUE"""),"Enhanced Autopilot")</f>
        <v>Enhanced Autopilot</v>
      </c>
      <c r="X913" t="str">
        <f>IFERROR(__xludf.DUMMYFUNCTION("""COMPUTED_VALUE"""),"Excellent")</f>
        <v>Excellent</v>
      </c>
      <c r="Y913" t="str">
        <f>IFERROR(__xludf.DUMMYFUNCTION("""COMPUTED_VALUE"""),"Excellent")</f>
        <v>Excellent</v>
      </c>
      <c r="Z913" t="str">
        <f>IFERROR(__xludf.DUMMYFUNCTION("""COMPUTED_VALUE"""),"Excellent")</f>
        <v>Excellent</v>
      </c>
      <c r="AA913" t="str">
        <f>IFERROR(__xludf.DUMMYFUNCTION("""COMPUTED_VALUE"""),"Fair")</f>
        <v>Fair</v>
      </c>
      <c r="AB913" t="str">
        <f>IFERROR(__xludf.DUMMYFUNCTION("""COMPUTED_VALUE"""),"Excellent")</f>
        <v>Excellent</v>
      </c>
      <c r="AH913" s="189">
        <f>IFERROR(__xludf.DUMMYFUNCTION("""COMPUTED_VALUE"""),43372.29347449074)</f>
        <v>43372.29347</v>
      </c>
    </row>
    <row r="914">
      <c r="A914" t="str">
        <f>IFERROR(__xludf.DUMMYFUNCTION("""COMPUTED_VALUE"""),"amdizack")</f>
        <v>amdizack</v>
      </c>
      <c r="B914" t="str">
        <f>IFERROR(__xludf.DUMMYFUNCTION("""COMPUTED_VALUE"""),"Milwaukee")</f>
        <v>Milwaukee</v>
      </c>
      <c r="C914" t="str">
        <f>IFERROR(__xludf.DUMMYFUNCTION("""COMPUTED_VALUE"""),"WI")</f>
        <v>WI</v>
      </c>
      <c r="D914" t="str">
        <f>IFERROR(__xludf.DUMMYFUNCTION("""COMPUTED_VALUE"""),"USA")</f>
        <v>USA</v>
      </c>
      <c r="E914" s="188">
        <f>IFERROR(__xludf.DUMMYFUNCTION("""COMPUTED_VALUE"""),43278.0)</f>
        <v>43278</v>
      </c>
      <c r="F914" s="188">
        <f>IFERROR(__xludf.DUMMYFUNCTION("""COMPUTED_VALUE"""),43367.0)</f>
        <v>43367</v>
      </c>
      <c r="H914">
        <f>IFERROR(__xludf.DUMMYFUNCTION("""COMPUTED_VALUE"""),87555.0)</f>
        <v>87555</v>
      </c>
      <c r="I914" t="str">
        <f>IFERROR(__xludf.DUMMYFUNCTION("""COMPUTED_VALUE"""),"09/18")</f>
        <v>09/18</v>
      </c>
      <c r="J914" s="5">
        <f>IFERROR(__xludf.DUMMYFUNCTION("""COMPUTED_VALUE"""),43370.0)</f>
        <v>43370</v>
      </c>
      <c r="K914">
        <f>IFERROR(__xludf.DUMMYFUNCTION("""COMPUTED_VALUE"""),89.0)</f>
        <v>89</v>
      </c>
      <c r="L914">
        <f>IFERROR(__xludf.DUMMYFUNCTION("""COMPUTED_VALUE"""),3.0)</f>
        <v>3</v>
      </c>
      <c r="M914">
        <f>IFERROR(__xludf.DUMMYFUNCTION("""COMPUTED_VALUE"""),92.0)</f>
        <v>92</v>
      </c>
      <c r="N914" t="str">
        <f>IFERROR(__xludf.DUMMYFUNCTION("""COMPUTED_VALUE"""),"Model 3 LR AWD")</f>
        <v>Model 3 LR AWD</v>
      </c>
      <c r="O914" t="str">
        <f>IFERROR(__xludf.DUMMYFUNCTION("""COMPUTED_VALUE"""),"Silver Metallic")</f>
        <v>Silver Metallic</v>
      </c>
      <c r="P914" t="str">
        <f>IFERROR(__xludf.DUMMYFUNCTION("""COMPUTED_VALUE"""),"19 inch Sport")</f>
        <v>19 inch Sport</v>
      </c>
      <c r="Q914" t="str">
        <f>IFERROR(__xludf.DUMMYFUNCTION("""COMPUTED_VALUE"""),"Black seats")</f>
        <v>Black seats</v>
      </c>
      <c r="R914" t="str">
        <f>IFERROR(__xludf.DUMMYFUNCTION("""COMPUTED_VALUE"""),"Enhanced Autopilot")</f>
        <v>Enhanced Autopilot</v>
      </c>
      <c r="X914" t="str">
        <f>IFERROR(__xludf.DUMMYFUNCTION("""COMPUTED_VALUE"""),"Excellent")</f>
        <v>Excellent</v>
      </c>
      <c r="Y914" t="str">
        <f>IFERROR(__xludf.DUMMYFUNCTION("""COMPUTED_VALUE"""),"Excellent")</f>
        <v>Excellent</v>
      </c>
      <c r="Z914" t="str">
        <f>IFERROR(__xludf.DUMMYFUNCTION("""COMPUTED_VALUE"""),"Excellent")</f>
        <v>Excellent</v>
      </c>
      <c r="AA914" t="str">
        <f>IFERROR(__xludf.DUMMYFUNCTION("""COMPUTED_VALUE"""),"Good")</f>
        <v>Good</v>
      </c>
      <c r="AB914" t="str">
        <f>IFERROR(__xludf.DUMMYFUNCTION("""COMPUTED_VALUE"""),"Very Good")</f>
        <v>Very Good</v>
      </c>
      <c r="AC914">
        <f>IFERROR(__xludf.DUMMYFUNCTION("""COMPUTED_VALUE"""),0.0)</f>
        <v>0</v>
      </c>
      <c r="AD914">
        <f>IFERROR(__xludf.DUMMYFUNCTION("""COMPUTED_VALUE"""),0.0)</f>
        <v>0</v>
      </c>
      <c r="AE914">
        <f>IFERROR(__xludf.DUMMYFUNCTION("""COMPUTED_VALUE"""),0.0)</f>
        <v>0</v>
      </c>
      <c r="AH914" s="189">
        <f>IFERROR(__xludf.DUMMYFUNCTION("""COMPUTED_VALUE"""),43372.29433523148)</f>
        <v>43372.29434</v>
      </c>
    </row>
    <row r="915">
      <c r="A915" t="str">
        <f>IFERROR(__xludf.DUMMYFUNCTION("""COMPUTED_VALUE"""),"roxybalboaguy")</f>
        <v>roxybalboaguy</v>
      </c>
      <c r="B915" t="str">
        <f>IFERROR(__xludf.DUMMYFUNCTION("""COMPUTED_VALUE"""),"Irvine")</f>
        <v>Irvine</v>
      </c>
      <c r="C915" t="str">
        <f>IFERROR(__xludf.DUMMYFUNCTION("""COMPUTED_VALUE"""),"CA")</f>
        <v>CA</v>
      </c>
      <c r="D915" t="str">
        <f>IFERROR(__xludf.DUMMYFUNCTION("""COMPUTED_VALUE"""),"USA")</f>
        <v>USA</v>
      </c>
      <c r="E915" s="188">
        <f>IFERROR(__xludf.DUMMYFUNCTION("""COMPUTED_VALUE"""),43305.0)</f>
        <v>43305</v>
      </c>
      <c r="F915" s="188">
        <f>IFERROR(__xludf.DUMMYFUNCTION("""COMPUTED_VALUE"""),43367.0)</f>
        <v>43367</v>
      </c>
      <c r="H915">
        <f>IFERROR(__xludf.DUMMYFUNCTION("""COMPUTED_VALUE"""),114655.0)</f>
        <v>114655</v>
      </c>
      <c r="I915" t="str">
        <f>IFERROR(__xludf.DUMMYFUNCTION("""COMPUTED_VALUE"""),"09/18")</f>
        <v>09/18</v>
      </c>
      <c r="J915" s="5">
        <f>IFERROR(__xludf.DUMMYFUNCTION("""COMPUTED_VALUE"""),43371.0)</f>
        <v>43371</v>
      </c>
      <c r="K915">
        <f>IFERROR(__xludf.DUMMYFUNCTION("""COMPUTED_VALUE"""),62.0)</f>
        <v>62</v>
      </c>
      <c r="L915">
        <f>IFERROR(__xludf.DUMMYFUNCTION("""COMPUTED_VALUE"""),4.0)</f>
        <v>4</v>
      </c>
      <c r="M915">
        <f>IFERROR(__xludf.DUMMYFUNCTION("""COMPUTED_VALUE"""),66.0)</f>
        <v>66</v>
      </c>
      <c r="N915" t="str">
        <f>IFERROR(__xludf.DUMMYFUNCTION("""COMPUTED_VALUE"""),"Model 3 LR AWD")</f>
        <v>Model 3 LR AWD</v>
      </c>
      <c r="O915" t="str">
        <f>IFERROR(__xludf.DUMMYFUNCTION("""COMPUTED_VALUE"""),"Red Multi-Coat")</f>
        <v>Red Multi-Coat</v>
      </c>
      <c r="P915" t="str">
        <f>IFERROR(__xludf.DUMMYFUNCTION("""COMPUTED_VALUE"""),"18 inch Aero")</f>
        <v>18 inch Aero</v>
      </c>
      <c r="Q915" t="str">
        <f>IFERROR(__xludf.DUMMYFUNCTION("""COMPUTED_VALUE"""),"Black seats")</f>
        <v>Black seats</v>
      </c>
      <c r="R915" t="str">
        <f>IFERROR(__xludf.DUMMYFUNCTION("""COMPUTED_VALUE"""),"None")</f>
        <v>None</v>
      </c>
      <c r="X915" t="str">
        <f>IFERROR(__xludf.DUMMYFUNCTION("""COMPUTED_VALUE"""),"Excellent")</f>
        <v>Excellent</v>
      </c>
      <c r="Y915" t="str">
        <f>IFERROR(__xludf.DUMMYFUNCTION("""COMPUTED_VALUE"""),"Excellent")</f>
        <v>Excellent</v>
      </c>
      <c r="Z915" t="str">
        <f>IFERROR(__xludf.DUMMYFUNCTION("""COMPUTED_VALUE"""),"Very Good")</f>
        <v>Very Good</v>
      </c>
      <c r="AA915" t="str">
        <f>IFERROR(__xludf.DUMMYFUNCTION("""COMPUTED_VALUE"""),"Excellent")</f>
        <v>Excellent</v>
      </c>
      <c r="AB915" t="str">
        <f>IFERROR(__xludf.DUMMYFUNCTION("""COMPUTED_VALUE"""),"Very Good")</f>
        <v>Very Good</v>
      </c>
      <c r="AH915" s="189">
        <f>IFERROR(__xludf.DUMMYFUNCTION("""COMPUTED_VALUE"""),43372.32723819444)</f>
        <v>43372.32724</v>
      </c>
    </row>
    <row r="916">
      <c r="A916" t="str">
        <f>IFERROR(__xludf.DUMMYFUNCTION("""COMPUTED_VALUE"""),"Louisville")</f>
        <v>Louisville</v>
      </c>
      <c r="B916" t="str">
        <f>IFERROR(__xludf.DUMMYFUNCTION("""COMPUTED_VALUE"""),"Louisville")</f>
        <v>Louisville</v>
      </c>
      <c r="C916" t="str">
        <f>IFERROR(__xludf.DUMMYFUNCTION("""COMPUTED_VALUE"""),"KY")</f>
        <v>KY</v>
      </c>
      <c r="D916" t="str">
        <f>IFERROR(__xludf.DUMMYFUNCTION("""COMPUTED_VALUE"""),"USA")</f>
        <v>USA</v>
      </c>
      <c r="E916" s="188">
        <f>IFERROR(__xludf.DUMMYFUNCTION("""COMPUTED_VALUE"""),43329.0)</f>
        <v>43329</v>
      </c>
      <c r="F916" s="188">
        <f>IFERROR(__xludf.DUMMYFUNCTION("""COMPUTED_VALUE"""),43348.0)</f>
        <v>43348</v>
      </c>
      <c r="H916">
        <f>IFERROR(__xludf.DUMMYFUNCTION("""COMPUTED_VALUE"""),78255.0)</f>
        <v>78255</v>
      </c>
      <c r="I916" t="str">
        <f>IFERROR(__xludf.DUMMYFUNCTION("""COMPUTED_VALUE"""),"08/18")</f>
        <v>08/18</v>
      </c>
      <c r="J916" s="5">
        <f>IFERROR(__xludf.DUMMYFUNCTION("""COMPUTED_VALUE"""),43358.0)</f>
        <v>43358</v>
      </c>
      <c r="K916">
        <f>IFERROR(__xludf.DUMMYFUNCTION("""COMPUTED_VALUE"""),19.0)</f>
        <v>19</v>
      </c>
      <c r="L916">
        <f>IFERROR(__xludf.DUMMYFUNCTION("""COMPUTED_VALUE"""),10.0)</f>
        <v>10</v>
      </c>
      <c r="M916">
        <f>IFERROR(__xludf.DUMMYFUNCTION("""COMPUTED_VALUE"""),29.0)</f>
        <v>29</v>
      </c>
      <c r="N916" t="str">
        <f>IFERROR(__xludf.DUMMYFUNCTION("""COMPUTED_VALUE"""),"Model 3 LR")</f>
        <v>Model 3 LR</v>
      </c>
      <c r="O916" t="str">
        <f>IFERROR(__xludf.DUMMYFUNCTION("""COMPUTED_VALUE"""),"Solid Black")</f>
        <v>Solid Black</v>
      </c>
      <c r="P916" t="str">
        <f>IFERROR(__xludf.DUMMYFUNCTION("""COMPUTED_VALUE"""),"18 inch Aero")</f>
        <v>18 inch Aero</v>
      </c>
      <c r="Q916" t="str">
        <f>IFERROR(__xludf.DUMMYFUNCTION("""COMPUTED_VALUE"""),"Black seats")</f>
        <v>Black seats</v>
      </c>
      <c r="R916" t="str">
        <f>IFERROR(__xludf.DUMMYFUNCTION("""COMPUTED_VALUE"""),"Enhanced Autopilot")</f>
        <v>Enhanced Autopilot</v>
      </c>
      <c r="X916" t="str">
        <f>IFERROR(__xludf.DUMMYFUNCTION("""COMPUTED_VALUE"""),"Very Good")</f>
        <v>Very Good</v>
      </c>
      <c r="Y916" t="str">
        <f>IFERROR(__xludf.DUMMYFUNCTION("""COMPUTED_VALUE"""),"Excellent")</f>
        <v>Excellent</v>
      </c>
      <c r="Z916" t="str">
        <f>IFERROR(__xludf.DUMMYFUNCTION("""COMPUTED_VALUE"""),"Very Good")</f>
        <v>Very Good</v>
      </c>
      <c r="AA916" t="str">
        <f>IFERROR(__xludf.DUMMYFUNCTION("""COMPUTED_VALUE"""),"Good")</f>
        <v>Good</v>
      </c>
      <c r="AB916" t="str">
        <f>IFERROR(__xludf.DUMMYFUNCTION("""COMPUTED_VALUE"""),"Very Good")</f>
        <v>Very Good</v>
      </c>
      <c r="AH916" s="189">
        <f>IFERROR(__xludf.DUMMYFUNCTION("""COMPUTED_VALUE"""),43372.32937399305)</f>
        <v>43372.32937</v>
      </c>
    </row>
    <row r="917">
      <c r="A917" t="str">
        <f>IFERROR(__xludf.DUMMYFUNCTION("""COMPUTED_VALUE"""),"RCKrazY")</f>
        <v>RCKrazY</v>
      </c>
      <c r="B917" t="str">
        <f>IFERROR(__xludf.DUMMYFUNCTION("""COMPUTED_VALUE"""),"San Jose")</f>
        <v>San Jose</v>
      </c>
      <c r="C917" t="str">
        <f>IFERROR(__xludf.DUMMYFUNCTION("""COMPUTED_VALUE"""),"CA")</f>
        <v>CA</v>
      </c>
      <c r="D917" t="str">
        <f>IFERROR(__xludf.DUMMYFUNCTION("""COMPUTED_VALUE"""),"USA")</f>
        <v>USA</v>
      </c>
      <c r="E917" s="188">
        <f>IFERROR(__xludf.DUMMYFUNCTION("""COMPUTED_VALUE"""),43280.0)</f>
        <v>43280</v>
      </c>
      <c r="F917" s="188">
        <f>IFERROR(__xludf.DUMMYFUNCTION("""COMPUTED_VALUE"""),43362.0)</f>
        <v>43362</v>
      </c>
      <c r="H917">
        <f>IFERROR(__xludf.DUMMYFUNCTION("""COMPUTED_VALUE"""),90855.0)</f>
        <v>90855</v>
      </c>
      <c r="I917" t="str">
        <f>IFERROR(__xludf.DUMMYFUNCTION("""COMPUTED_VALUE"""),"09/18")</f>
        <v>09/18</v>
      </c>
      <c r="J917" s="5">
        <f>IFERROR(__xludf.DUMMYFUNCTION("""COMPUTED_VALUE"""),43362.0)</f>
        <v>43362</v>
      </c>
      <c r="K917">
        <f>IFERROR(__xludf.DUMMYFUNCTION("""COMPUTED_VALUE"""),82.0)</f>
        <v>82</v>
      </c>
      <c r="L917">
        <f>IFERROR(__xludf.DUMMYFUNCTION("""COMPUTED_VALUE"""),0.0)</f>
        <v>0</v>
      </c>
      <c r="M917">
        <f>IFERROR(__xludf.DUMMYFUNCTION("""COMPUTED_VALUE"""),82.0)</f>
        <v>82</v>
      </c>
      <c r="N917" t="str">
        <f>IFERROR(__xludf.DUMMYFUNCTION("""COMPUTED_VALUE"""),"Model 3 LR AWD")</f>
        <v>Model 3 LR AWD</v>
      </c>
      <c r="O917" t="str">
        <f>IFERROR(__xludf.DUMMYFUNCTION("""COMPUTED_VALUE"""),"Midnight Silver Metallic")</f>
        <v>Midnight Silver Metallic</v>
      </c>
      <c r="P917" t="str">
        <f>IFERROR(__xludf.DUMMYFUNCTION("""COMPUTED_VALUE"""),"19 inch Sport")</f>
        <v>19 inch Sport</v>
      </c>
      <c r="Q917" t="str">
        <f>IFERROR(__xludf.DUMMYFUNCTION("""COMPUTED_VALUE"""),"Black seats")</f>
        <v>Black seats</v>
      </c>
      <c r="R917" t="str">
        <f>IFERROR(__xludf.DUMMYFUNCTION("""COMPUTED_VALUE"""),"Enhanced Autopilot")</f>
        <v>Enhanced Autopilot</v>
      </c>
      <c r="X917" t="str">
        <f>IFERROR(__xludf.DUMMYFUNCTION("""COMPUTED_VALUE"""),"Excellent")</f>
        <v>Excellent</v>
      </c>
      <c r="Y917" t="str">
        <f>IFERROR(__xludf.DUMMYFUNCTION("""COMPUTED_VALUE"""),"Excellent")</f>
        <v>Excellent</v>
      </c>
      <c r="Z917" t="str">
        <f>IFERROR(__xludf.DUMMYFUNCTION("""COMPUTED_VALUE"""),"Excellent")</f>
        <v>Excellent</v>
      </c>
      <c r="AA917" t="str">
        <f>IFERROR(__xludf.DUMMYFUNCTION("""COMPUTED_VALUE"""),"Excellent")</f>
        <v>Excellent</v>
      </c>
      <c r="AB917" t="str">
        <f>IFERROR(__xludf.DUMMYFUNCTION("""COMPUTED_VALUE"""),"Excellent")</f>
        <v>Excellent</v>
      </c>
      <c r="AC917">
        <f>IFERROR(__xludf.DUMMYFUNCTION("""COMPUTED_VALUE"""),0.0)</f>
        <v>0</v>
      </c>
      <c r="AD917">
        <f>IFERROR(__xludf.DUMMYFUNCTION("""COMPUTED_VALUE"""),0.0)</f>
        <v>0</v>
      </c>
      <c r="AE917">
        <f>IFERROR(__xludf.DUMMYFUNCTION("""COMPUTED_VALUE"""),0.0)</f>
        <v>0</v>
      </c>
      <c r="AG917" t="str">
        <f>IFERROR(__xludf.DUMMYFUNCTION("""COMPUTED_VALUE"""),"Direct home delivery from production before scheduled delivery date. Delivery time was too short - rep allocated only 10min for delivery!")</f>
        <v>Direct home delivery from production before scheduled delivery date. Delivery time was too short - rep allocated only 10min for delivery!</v>
      </c>
      <c r="AH917" s="189">
        <f>IFERROR(__xludf.DUMMYFUNCTION("""COMPUTED_VALUE"""),43372.33708362268)</f>
        <v>43372.33708</v>
      </c>
    </row>
    <row r="918">
      <c r="A918" t="str">
        <f>IFERROR(__xludf.DUMMYFUNCTION("""COMPUTED_VALUE"""),"Morgank6")</f>
        <v>Morgank6</v>
      </c>
      <c r="B918" t="str">
        <f>IFERROR(__xludf.DUMMYFUNCTION("""COMPUTED_VALUE"""),"Southern California")</f>
        <v>Southern California</v>
      </c>
      <c r="C918" t="str">
        <f>IFERROR(__xludf.DUMMYFUNCTION("""COMPUTED_VALUE"""),"CA")</f>
        <v>CA</v>
      </c>
      <c r="D918" t="str">
        <f>IFERROR(__xludf.DUMMYFUNCTION("""COMPUTED_VALUE"""),"USA")</f>
        <v>USA</v>
      </c>
      <c r="E918" s="188">
        <f>IFERROR(__xludf.DUMMYFUNCTION("""COMPUTED_VALUE"""),43278.0)</f>
        <v>43278</v>
      </c>
      <c r="F918" s="188">
        <f>IFERROR(__xludf.DUMMYFUNCTION("""COMPUTED_VALUE"""),43332.0)</f>
        <v>43332</v>
      </c>
      <c r="H918">
        <f>IFERROR(__xludf.DUMMYFUNCTION("""COMPUTED_VALUE"""),95955.0)</f>
        <v>95955</v>
      </c>
      <c r="J918" s="5">
        <f>IFERROR(__xludf.DUMMYFUNCTION("""COMPUTED_VALUE"""),43337.0)</f>
        <v>43337</v>
      </c>
      <c r="K918">
        <f>IFERROR(__xludf.DUMMYFUNCTION("""COMPUTED_VALUE"""),54.0)</f>
        <v>54</v>
      </c>
      <c r="L918">
        <f>IFERROR(__xludf.DUMMYFUNCTION("""COMPUTED_VALUE"""),5.0)</f>
        <v>5</v>
      </c>
      <c r="M918">
        <f>IFERROR(__xludf.DUMMYFUNCTION("""COMPUTED_VALUE"""),59.0)</f>
        <v>59</v>
      </c>
      <c r="N918" t="str">
        <f>IFERROR(__xludf.DUMMYFUNCTION("""COMPUTED_VALUE"""),"Model 3 LR AWD")</f>
        <v>Model 3 LR AWD</v>
      </c>
      <c r="O918" t="str">
        <f>IFERROR(__xludf.DUMMYFUNCTION("""COMPUTED_VALUE"""),"Solid Black")</f>
        <v>Solid Black</v>
      </c>
      <c r="P918" t="str">
        <f>IFERROR(__xludf.DUMMYFUNCTION("""COMPUTED_VALUE"""),"18 inch Aero")</f>
        <v>18 inch Aero</v>
      </c>
      <c r="Q918" t="str">
        <f>IFERROR(__xludf.DUMMYFUNCTION("""COMPUTED_VALUE"""),"White seats")</f>
        <v>White seats</v>
      </c>
      <c r="R918" t="str">
        <f>IFERROR(__xludf.DUMMYFUNCTION("""COMPUTED_VALUE"""),"None")</f>
        <v>None</v>
      </c>
      <c r="X918" t="str">
        <f>IFERROR(__xludf.DUMMYFUNCTION("""COMPUTED_VALUE"""),"Good")</f>
        <v>Good</v>
      </c>
      <c r="Y918" t="str">
        <f>IFERROR(__xludf.DUMMYFUNCTION("""COMPUTED_VALUE"""),"Very Good")</f>
        <v>Very Good</v>
      </c>
      <c r="Z918" t="str">
        <f>IFERROR(__xludf.DUMMYFUNCTION("""COMPUTED_VALUE"""),"Poor")</f>
        <v>Poor</v>
      </c>
      <c r="AA918" t="str">
        <f>IFERROR(__xludf.DUMMYFUNCTION("""COMPUTED_VALUE"""),"Good")</f>
        <v>Good</v>
      </c>
      <c r="AB918" t="str">
        <f>IFERROR(__xludf.DUMMYFUNCTION("""COMPUTED_VALUE"""),"Fair")</f>
        <v>Fair</v>
      </c>
      <c r="AC918">
        <f>IFERROR(__xludf.DUMMYFUNCTION("""COMPUTED_VALUE"""),6.0)</f>
        <v>6</v>
      </c>
      <c r="AD918">
        <f>IFERROR(__xludf.DUMMYFUNCTION("""COMPUTED_VALUE"""),3.0)</f>
        <v>3</v>
      </c>
      <c r="AE918">
        <f>IFERROR(__xludf.DUMMYFUNCTION("""COMPUTED_VALUE"""),22.0)</f>
        <v>22</v>
      </c>
      <c r="AG918" t="str">
        <f>IFERROR(__xludf.DUMMYFUNCTION("""COMPUTED_VALUE"""),"Lots of paint issues, Tesla approved body shop repainted 4 panels, polished out other defects. Turn signal stalk was also replaced. I got my car back with no hood badge, had to order a new one.")</f>
        <v>Lots of paint issues, Tesla approved body shop repainted 4 panels, polished out other defects. Turn signal stalk was also replaced. I got my car back with no hood badge, had to order a new one.</v>
      </c>
      <c r="AH918" s="189">
        <f>IFERROR(__xludf.DUMMYFUNCTION("""COMPUTED_VALUE"""),43372.38906696759)</f>
        <v>43372.38907</v>
      </c>
    </row>
    <row r="919">
      <c r="A919" t="str">
        <f>IFERROR(__xludf.DUMMYFUNCTION("""COMPUTED_VALUE"""),"bkmartin")</f>
        <v>bkmartin</v>
      </c>
      <c r="B919" t="str">
        <f>IFERROR(__xludf.DUMMYFUNCTION("""COMPUTED_VALUE"""),"Cary")</f>
        <v>Cary</v>
      </c>
      <c r="C919" t="str">
        <f>IFERROR(__xludf.DUMMYFUNCTION("""COMPUTED_VALUE"""),"NC")</f>
        <v>NC</v>
      </c>
      <c r="D919" t="str">
        <f>IFERROR(__xludf.DUMMYFUNCTION("""COMPUTED_VALUE"""),"USA")</f>
        <v>USA</v>
      </c>
      <c r="E919" s="188">
        <f>IFERROR(__xludf.DUMMYFUNCTION("""COMPUTED_VALUE"""),43280.0)</f>
        <v>43280</v>
      </c>
      <c r="F919" s="188">
        <f>IFERROR(__xludf.DUMMYFUNCTION("""COMPUTED_VALUE"""),43356.0)</f>
        <v>43356</v>
      </c>
      <c r="H919">
        <f>IFERROR(__xludf.DUMMYFUNCTION("""COMPUTED_VALUE"""),63155.0)</f>
        <v>63155</v>
      </c>
      <c r="J919" s="5">
        <f>IFERROR(__xludf.DUMMYFUNCTION("""COMPUTED_VALUE"""),43370.0)</f>
        <v>43370</v>
      </c>
      <c r="K919">
        <f>IFERROR(__xludf.DUMMYFUNCTION("""COMPUTED_VALUE"""),76.0)</f>
        <v>76</v>
      </c>
      <c r="L919">
        <f>IFERROR(__xludf.DUMMYFUNCTION("""COMPUTED_VALUE"""),14.0)</f>
        <v>14</v>
      </c>
      <c r="M919">
        <f>IFERROR(__xludf.DUMMYFUNCTION("""COMPUTED_VALUE"""),90.0)</f>
        <v>90</v>
      </c>
      <c r="N919" t="str">
        <f>IFERROR(__xludf.DUMMYFUNCTION("""COMPUTED_VALUE"""),"Model 3 Performance")</f>
        <v>Model 3 Performance</v>
      </c>
      <c r="O919" t="str">
        <f>IFERROR(__xludf.DUMMYFUNCTION("""COMPUTED_VALUE"""),"Red Multi-Coat")</f>
        <v>Red Multi-Coat</v>
      </c>
      <c r="P919" t="str">
        <f>IFERROR(__xludf.DUMMYFUNCTION("""COMPUTED_VALUE"""),"20 inch Sport")</f>
        <v>20 inch Sport</v>
      </c>
      <c r="Q919" t="str">
        <f>IFERROR(__xludf.DUMMYFUNCTION("""COMPUTED_VALUE"""),"Black seats")</f>
        <v>Black seats</v>
      </c>
      <c r="R919" t="str">
        <f>IFERROR(__xludf.DUMMYFUNCTION("""COMPUTED_VALUE"""),"Enhanced Autopilot")</f>
        <v>Enhanced Autopilot</v>
      </c>
      <c r="X919" t="str">
        <f>IFERROR(__xludf.DUMMYFUNCTION("""COMPUTED_VALUE"""),"Very Good")</f>
        <v>Very Good</v>
      </c>
      <c r="Y919" t="str">
        <f>IFERROR(__xludf.DUMMYFUNCTION("""COMPUTED_VALUE"""),"Very Good")</f>
        <v>Very Good</v>
      </c>
      <c r="Z919" t="str">
        <f>IFERROR(__xludf.DUMMYFUNCTION("""COMPUTED_VALUE"""),"Very Good")</f>
        <v>Very Good</v>
      </c>
      <c r="AA919" t="str">
        <f>IFERROR(__xludf.DUMMYFUNCTION("""COMPUTED_VALUE"""),"Poor")</f>
        <v>Poor</v>
      </c>
      <c r="AB919" t="str">
        <f>IFERROR(__xludf.DUMMYFUNCTION("""COMPUTED_VALUE"""),"Fair")</f>
        <v>Fair</v>
      </c>
      <c r="AC919">
        <f>IFERROR(__xludf.DUMMYFUNCTION("""COMPUTED_VALUE"""),4.0)</f>
        <v>4</v>
      </c>
      <c r="AH919" s="189">
        <f>IFERROR(__xludf.DUMMYFUNCTION("""COMPUTED_VALUE"""),43372.40213666667)</f>
        <v>43372.40214</v>
      </c>
    </row>
    <row r="920">
      <c r="A920" t="str">
        <f>IFERROR(__xludf.DUMMYFUNCTION("""COMPUTED_VALUE"""),"boomboom")</f>
        <v>boomboom</v>
      </c>
      <c r="C920" t="str">
        <f>IFERROR(__xludf.DUMMYFUNCTION("""COMPUTED_VALUE"""),"IA")</f>
        <v>IA</v>
      </c>
      <c r="D920" t="str">
        <f>IFERROR(__xludf.DUMMYFUNCTION("""COMPUTED_VALUE"""),"USA")</f>
        <v>USA</v>
      </c>
      <c r="E920" s="188">
        <f>IFERROR(__xludf.DUMMYFUNCTION("""COMPUTED_VALUE"""),43278.0)</f>
        <v>43278</v>
      </c>
      <c r="F920" s="188">
        <f>IFERROR(__xludf.DUMMYFUNCTION("""COMPUTED_VALUE"""),43337.0)</f>
        <v>43337</v>
      </c>
      <c r="H920">
        <f>IFERROR(__xludf.DUMMYFUNCTION("""COMPUTED_VALUE"""),90955.0)</f>
        <v>90955</v>
      </c>
      <c r="I920" t="str">
        <f>IFERROR(__xludf.DUMMYFUNCTION("""COMPUTED_VALUE"""),"09/18")</f>
        <v>09/18</v>
      </c>
      <c r="J920" s="5">
        <f>IFERROR(__xludf.DUMMYFUNCTION("""COMPUTED_VALUE"""),43363.0)</f>
        <v>43363</v>
      </c>
      <c r="K920">
        <f>IFERROR(__xludf.DUMMYFUNCTION("""COMPUTED_VALUE"""),59.0)</f>
        <v>59</v>
      </c>
      <c r="L920">
        <f>IFERROR(__xludf.DUMMYFUNCTION("""COMPUTED_VALUE"""),26.0)</f>
        <v>26</v>
      </c>
      <c r="M920">
        <f>IFERROR(__xludf.DUMMYFUNCTION("""COMPUTED_VALUE"""),85.0)</f>
        <v>85</v>
      </c>
      <c r="N920" t="str">
        <f>IFERROR(__xludf.DUMMYFUNCTION("""COMPUTED_VALUE"""),"Model 3 LR AWD")</f>
        <v>Model 3 LR AWD</v>
      </c>
      <c r="O920" t="str">
        <f>IFERROR(__xludf.DUMMYFUNCTION("""COMPUTED_VALUE"""),"Obsidian Black Metallic")</f>
        <v>Obsidian Black Metallic</v>
      </c>
      <c r="P920" t="str">
        <f>IFERROR(__xludf.DUMMYFUNCTION("""COMPUTED_VALUE"""),"18 inch Aero")</f>
        <v>18 inch Aero</v>
      </c>
      <c r="Q920" t="str">
        <f>IFERROR(__xludf.DUMMYFUNCTION("""COMPUTED_VALUE"""),"Black seats")</f>
        <v>Black seats</v>
      </c>
      <c r="R920" t="str">
        <f>IFERROR(__xludf.DUMMYFUNCTION("""COMPUTED_VALUE"""),"Full Self-Driving")</f>
        <v>Full Self-Driving</v>
      </c>
      <c r="X920" t="str">
        <f>IFERROR(__xludf.DUMMYFUNCTION("""COMPUTED_VALUE"""),"Excellent")</f>
        <v>Excellent</v>
      </c>
      <c r="Y920" t="str">
        <f>IFERROR(__xludf.DUMMYFUNCTION("""COMPUTED_VALUE"""),"Excellent")</f>
        <v>Excellent</v>
      </c>
      <c r="Z920" t="str">
        <f>IFERROR(__xludf.DUMMYFUNCTION("""COMPUTED_VALUE"""),"Excellent")</f>
        <v>Excellent</v>
      </c>
      <c r="AA920" t="str">
        <f>IFERROR(__xludf.DUMMYFUNCTION("""COMPUTED_VALUE"""),"Poor")</f>
        <v>Poor</v>
      </c>
      <c r="AB920" t="str">
        <f>IFERROR(__xludf.DUMMYFUNCTION("""COMPUTED_VALUE"""),"Excellent")</f>
        <v>Excellent</v>
      </c>
      <c r="AH920" s="189">
        <f>IFERROR(__xludf.DUMMYFUNCTION("""COMPUTED_VALUE"""),43372.41519010416)</f>
        <v>43372.41519</v>
      </c>
    </row>
    <row r="921">
      <c r="A921" t="str">
        <f>IFERROR(__xludf.DUMMYFUNCTION("""COMPUTED_VALUE"""),"twaddington")</f>
        <v>twaddington</v>
      </c>
      <c r="B921" t="str">
        <f>IFERROR(__xludf.DUMMYFUNCTION("""COMPUTED_VALUE"""),"Portland")</f>
        <v>Portland</v>
      </c>
      <c r="C921" t="str">
        <f>IFERROR(__xludf.DUMMYFUNCTION("""COMPUTED_VALUE"""),"OR")</f>
        <v>OR</v>
      </c>
      <c r="D921" t="str">
        <f>IFERROR(__xludf.DUMMYFUNCTION("""COMPUTED_VALUE"""),"USA")</f>
        <v>USA</v>
      </c>
      <c r="E921" s="188">
        <f>IFERROR(__xludf.DUMMYFUNCTION("""COMPUTED_VALUE"""),43281.0)</f>
        <v>43281</v>
      </c>
      <c r="F921" s="188">
        <f>IFERROR(__xludf.DUMMYFUNCTION("""COMPUTED_VALUE"""),43368.0)</f>
        <v>43368</v>
      </c>
      <c r="H921" s="4">
        <f>IFERROR(__xludf.DUMMYFUNCTION("""COMPUTED_VALUE"""),85408.0)</f>
        <v>85408</v>
      </c>
      <c r="I921" t="str">
        <f>IFERROR(__xludf.DUMMYFUNCTION("""COMPUTED_VALUE"""),"09/18")</f>
        <v>09/18</v>
      </c>
      <c r="J921" s="5">
        <f>IFERROR(__xludf.DUMMYFUNCTION("""COMPUTED_VALUE"""),43371.0)</f>
        <v>43371</v>
      </c>
      <c r="K921">
        <f>IFERROR(__xludf.DUMMYFUNCTION("""COMPUTED_VALUE"""),87.0)</f>
        <v>87</v>
      </c>
      <c r="L921">
        <f>IFERROR(__xludf.DUMMYFUNCTION("""COMPUTED_VALUE"""),3.0)</f>
        <v>3</v>
      </c>
      <c r="M921">
        <f>IFERROR(__xludf.DUMMYFUNCTION("""COMPUTED_VALUE"""),90.0)</f>
        <v>90</v>
      </c>
      <c r="N921" t="str">
        <f>IFERROR(__xludf.DUMMYFUNCTION("""COMPUTED_VALUE"""),"Model 3 LR AWD")</f>
        <v>Model 3 LR AWD</v>
      </c>
      <c r="O921" t="str">
        <f>IFERROR(__xludf.DUMMYFUNCTION("""COMPUTED_VALUE"""),"Pearl White Multi-Coat")</f>
        <v>Pearl White Multi-Coat</v>
      </c>
      <c r="P921" t="str">
        <f>IFERROR(__xludf.DUMMYFUNCTION("""COMPUTED_VALUE"""),"18 inch Aero")</f>
        <v>18 inch Aero</v>
      </c>
      <c r="Q921" t="str">
        <f>IFERROR(__xludf.DUMMYFUNCTION("""COMPUTED_VALUE"""),"Black seats")</f>
        <v>Black seats</v>
      </c>
      <c r="R921" t="str">
        <f>IFERROR(__xludf.DUMMYFUNCTION("""COMPUTED_VALUE"""),"None")</f>
        <v>None</v>
      </c>
      <c r="X921" t="str">
        <f>IFERROR(__xludf.DUMMYFUNCTION("""COMPUTED_VALUE"""),"Very Good")</f>
        <v>Very Good</v>
      </c>
      <c r="Y921" t="str">
        <f>IFERROR(__xludf.DUMMYFUNCTION("""COMPUTED_VALUE"""),"Excellent")</f>
        <v>Excellent</v>
      </c>
      <c r="Z921" t="str">
        <f>IFERROR(__xludf.DUMMYFUNCTION("""COMPUTED_VALUE"""),"Very Good")</f>
        <v>Very Good</v>
      </c>
      <c r="AA921" t="str">
        <f>IFERROR(__xludf.DUMMYFUNCTION("""COMPUTED_VALUE"""),"Fair")</f>
        <v>Fair</v>
      </c>
      <c r="AB921" t="str">
        <f>IFERROR(__xludf.DUMMYFUNCTION("""COMPUTED_VALUE"""),"Fair")</f>
        <v>Fair</v>
      </c>
      <c r="AH921" s="189">
        <f>IFERROR(__xludf.DUMMYFUNCTION("""COMPUTED_VALUE"""),43372.52381086806)</f>
        <v>43372.52381</v>
      </c>
    </row>
    <row r="922">
      <c r="A922" t="str">
        <f>IFERROR(__xludf.DUMMYFUNCTION("""COMPUTED_VALUE"""),"TKW")</f>
        <v>TKW</v>
      </c>
      <c r="B922" t="str">
        <f>IFERROR(__xludf.DUMMYFUNCTION("""COMPUTED_VALUE"""),"Upstate NY. 3.5 hours from nearest delivery center")</f>
        <v>Upstate NY. 3.5 hours from nearest delivery center</v>
      </c>
      <c r="C922" t="str">
        <f>IFERROR(__xludf.DUMMYFUNCTION("""COMPUTED_VALUE"""),"NY")</f>
        <v>NY</v>
      </c>
      <c r="D922" t="str">
        <f>IFERROR(__xludf.DUMMYFUNCTION("""COMPUTED_VALUE"""),"USA")</f>
        <v>USA</v>
      </c>
      <c r="E922" s="188">
        <f>IFERROR(__xludf.DUMMYFUNCTION("""COMPUTED_VALUE"""),43280.0)</f>
        <v>43280</v>
      </c>
      <c r="F922" s="188">
        <f>IFERROR(__xludf.DUMMYFUNCTION("""COMPUTED_VALUE"""),43362.0)</f>
        <v>43362</v>
      </c>
      <c r="H922">
        <f>IFERROR(__xludf.DUMMYFUNCTION("""COMPUTED_VALUE"""),103355.0)</f>
        <v>103355</v>
      </c>
      <c r="I922" t="str">
        <f>IFERROR(__xludf.DUMMYFUNCTION("""COMPUTED_VALUE"""),"09/18")</f>
        <v>09/18</v>
      </c>
      <c r="J922" s="5">
        <f>IFERROR(__xludf.DUMMYFUNCTION("""COMPUTED_VALUE"""),43371.0)</f>
        <v>43371</v>
      </c>
      <c r="K922">
        <f>IFERROR(__xludf.DUMMYFUNCTION("""COMPUTED_VALUE"""),82.0)</f>
        <v>82</v>
      </c>
      <c r="L922">
        <f>IFERROR(__xludf.DUMMYFUNCTION("""COMPUTED_VALUE"""),9.0)</f>
        <v>9</v>
      </c>
      <c r="M922">
        <f>IFERROR(__xludf.DUMMYFUNCTION("""COMPUTED_VALUE"""),91.0)</f>
        <v>91</v>
      </c>
      <c r="N922" t="str">
        <f>IFERROR(__xludf.DUMMYFUNCTION("""COMPUTED_VALUE"""),"Model 3 LR AWD")</f>
        <v>Model 3 LR AWD</v>
      </c>
      <c r="O922" t="str">
        <f>IFERROR(__xludf.DUMMYFUNCTION("""COMPUTED_VALUE"""),"Solid Black")</f>
        <v>Solid Black</v>
      </c>
      <c r="P922" t="str">
        <f>IFERROR(__xludf.DUMMYFUNCTION("""COMPUTED_VALUE"""),"18 inch Aero")</f>
        <v>18 inch Aero</v>
      </c>
      <c r="Q922" t="str">
        <f>IFERROR(__xludf.DUMMYFUNCTION("""COMPUTED_VALUE"""),"Black seats")</f>
        <v>Black seats</v>
      </c>
      <c r="R922" t="str">
        <f>IFERROR(__xludf.DUMMYFUNCTION("""COMPUTED_VALUE"""),"Enhanced Autopilot")</f>
        <v>Enhanced Autopilot</v>
      </c>
      <c r="X922" t="str">
        <f>IFERROR(__xludf.DUMMYFUNCTION("""COMPUTED_VALUE"""),"Excellent")</f>
        <v>Excellent</v>
      </c>
      <c r="Y922" t="str">
        <f>IFERROR(__xludf.DUMMYFUNCTION("""COMPUTED_VALUE"""),"Excellent")</f>
        <v>Excellent</v>
      </c>
      <c r="Z922" t="str">
        <f>IFERROR(__xludf.DUMMYFUNCTION("""COMPUTED_VALUE"""),"Very Good")</f>
        <v>Very Good</v>
      </c>
      <c r="AA922" t="str">
        <f>IFERROR(__xludf.DUMMYFUNCTION("""COMPUTED_VALUE"""),"Good")</f>
        <v>Good</v>
      </c>
      <c r="AB922" t="str">
        <f>IFERROR(__xludf.DUMMYFUNCTION("""COMPUTED_VALUE"""),"Fair")</f>
        <v>Fair</v>
      </c>
      <c r="AG922" t="str">
        <f>IFERROR(__xludf.DUMMYFUNCTION("""COMPUTED_VALUE"""),"Few days delay and a different VIN later, no contact from home delivery team in a week, so driving to pickup instead. THEN, ground team says repairs needed to drivetrain, so canceled delivery.3rd VIN assigned.")</f>
        <v>Few days delay and a different VIN later, no contact from home delivery team in a week, so driving to pickup instead. THEN, ground team says repairs needed to drivetrain, so canceled delivery.3rd VIN assigned.</v>
      </c>
      <c r="AH922" s="189">
        <f>IFERROR(__xludf.DUMMYFUNCTION("""COMPUTED_VALUE"""),43372.70436068287)</f>
        <v>43372.70436</v>
      </c>
    </row>
    <row r="923">
      <c r="A923" t="str">
        <f>IFERROR(__xludf.DUMMYFUNCTION("""COMPUTED_VALUE"""),"Desibrainp")</f>
        <v>Desibrainp</v>
      </c>
      <c r="B923" t="str">
        <f>IFERROR(__xludf.DUMMYFUNCTION("""COMPUTED_VALUE"""),"Dallas")</f>
        <v>Dallas</v>
      </c>
      <c r="C923" t="str">
        <f>IFERROR(__xludf.DUMMYFUNCTION("""COMPUTED_VALUE"""),"TX")</f>
        <v>TX</v>
      </c>
      <c r="D923" t="str">
        <f>IFERROR(__xludf.DUMMYFUNCTION("""COMPUTED_VALUE"""),"USA")</f>
        <v>USA</v>
      </c>
      <c r="E923" s="188">
        <f>IFERROR(__xludf.DUMMYFUNCTION("""COMPUTED_VALUE"""),43307.0)</f>
        <v>43307</v>
      </c>
      <c r="F923" s="188">
        <f>IFERROR(__xludf.DUMMYFUNCTION("""COMPUTED_VALUE"""),43369.0)</f>
        <v>43369</v>
      </c>
      <c r="H923">
        <f>IFERROR(__xludf.DUMMYFUNCTION("""COMPUTED_VALUE"""),115955.0)</f>
        <v>115955</v>
      </c>
      <c r="I923" t="str">
        <f>IFERROR(__xludf.DUMMYFUNCTION("""COMPUTED_VALUE"""),"09/18")</f>
        <v>09/18</v>
      </c>
      <c r="J923" s="5">
        <f>IFERROR(__xludf.DUMMYFUNCTION("""COMPUTED_VALUE"""),43371.0)</f>
        <v>43371</v>
      </c>
      <c r="K923">
        <f>IFERROR(__xludf.DUMMYFUNCTION("""COMPUTED_VALUE"""),62.0)</f>
        <v>62</v>
      </c>
      <c r="L923">
        <f>IFERROR(__xludf.DUMMYFUNCTION("""COMPUTED_VALUE"""),2.0)</f>
        <v>2</v>
      </c>
      <c r="M923">
        <f>IFERROR(__xludf.DUMMYFUNCTION("""COMPUTED_VALUE"""),64.0)</f>
        <v>64</v>
      </c>
      <c r="N923" t="str">
        <f>IFERROR(__xludf.DUMMYFUNCTION("""COMPUTED_VALUE"""),"Model 3 LR AWD")</f>
        <v>Model 3 LR AWD</v>
      </c>
      <c r="O923" t="str">
        <f>IFERROR(__xludf.DUMMYFUNCTION("""COMPUTED_VALUE"""),"Deep Blue Metallic")</f>
        <v>Deep Blue Metallic</v>
      </c>
      <c r="P923" t="str">
        <f>IFERROR(__xludf.DUMMYFUNCTION("""COMPUTED_VALUE"""),"19 inch Sport")</f>
        <v>19 inch Sport</v>
      </c>
      <c r="Q923" t="str">
        <f>IFERROR(__xludf.DUMMYFUNCTION("""COMPUTED_VALUE"""),"Black seats")</f>
        <v>Black seats</v>
      </c>
      <c r="R923" t="str">
        <f>IFERROR(__xludf.DUMMYFUNCTION("""COMPUTED_VALUE"""),"Full Self-Driving")</f>
        <v>Full Self-Driving</v>
      </c>
      <c r="X923" t="str">
        <f>IFERROR(__xludf.DUMMYFUNCTION("""COMPUTED_VALUE"""),"Very Good")</f>
        <v>Very Good</v>
      </c>
      <c r="Y923" t="str">
        <f>IFERROR(__xludf.DUMMYFUNCTION("""COMPUTED_VALUE"""),"Very Good")</f>
        <v>Very Good</v>
      </c>
      <c r="Z923" t="str">
        <f>IFERROR(__xludf.DUMMYFUNCTION("""COMPUTED_VALUE"""),"Good")</f>
        <v>Good</v>
      </c>
      <c r="AA923" t="str">
        <f>IFERROR(__xludf.DUMMYFUNCTION("""COMPUTED_VALUE"""),"Fair")</f>
        <v>Fair</v>
      </c>
      <c r="AB923" t="str">
        <f>IFERROR(__xludf.DUMMYFUNCTION("""COMPUTED_VALUE"""),"Fair")</f>
        <v>Fair</v>
      </c>
      <c r="AC923">
        <f>IFERROR(__xludf.DUMMYFUNCTION("""COMPUTED_VALUE"""),3.0)</f>
        <v>3</v>
      </c>
      <c r="AG923" t="str">
        <f>IFERROR(__xludf.DUMMYFUNCTION("""COMPUTED_VALUE"""),"Modified 8/26/18 to deep blue metallic from metallic silver ")</f>
        <v>Modified 8/26/18 to deep blue metallic from metallic silver </v>
      </c>
      <c r="AH923" s="189">
        <f>IFERROR(__xludf.DUMMYFUNCTION("""COMPUTED_VALUE"""),43372.73664993056)</f>
        <v>43372.73665</v>
      </c>
    </row>
    <row r="924">
      <c r="A924" t="str">
        <f>IFERROR(__xludf.DUMMYFUNCTION("""COMPUTED_VALUE"""),"VroomVroom")</f>
        <v>VroomVroom</v>
      </c>
      <c r="B924" t="str">
        <f>IFERROR(__xludf.DUMMYFUNCTION("""COMPUTED_VALUE"""),"Bloomington")</f>
        <v>Bloomington</v>
      </c>
      <c r="C924" t="str">
        <f>IFERROR(__xludf.DUMMYFUNCTION("""COMPUTED_VALUE"""),"IN")</f>
        <v>IN</v>
      </c>
      <c r="D924" t="str">
        <f>IFERROR(__xludf.DUMMYFUNCTION("""COMPUTED_VALUE"""),"USA")</f>
        <v>USA</v>
      </c>
      <c r="E924" s="188">
        <f>IFERROR(__xludf.DUMMYFUNCTION("""COMPUTED_VALUE"""),43279.0)</f>
        <v>43279</v>
      </c>
      <c r="F924" s="188">
        <f>IFERROR(__xludf.DUMMYFUNCTION("""COMPUTED_VALUE"""),43365.0)</f>
        <v>43365</v>
      </c>
      <c r="H924">
        <f>IFERROR(__xludf.DUMMYFUNCTION("""COMPUTED_VALUE"""),87955.0)</f>
        <v>87955</v>
      </c>
      <c r="J924" s="5">
        <f>IFERROR(__xludf.DUMMYFUNCTION("""COMPUTED_VALUE"""),43372.0)</f>
        <v>43372</v>
      </c>
      <c r="K924">
        <f>IFERROR(__xludf.DUMMYFUNCTION("""COMPUTED_VALUE"""),86.0)</f>
        <v>86</v>
      </c>
      <c r="L924">
        <f>IFERROR(__xludf.DUMMYFUNCTION("""COMPUTED_VALUE"""),7.0)</f>
        <v>7</v>
      </c>
      <c r="M924">
        <f>IFERROR(__xludf.DUMMYFUNCTION("""COMPUTED_VALUE"""),93.0)</f>
        <v>93</v>
      </c>
      <c r="N924" t="str">
        <f>IFERROR(__xludf.DUMMYFUNCTION("""COMPUTED_VALUE"""),"Model 3 LR AWD")</f>
        <v>Model 3 LR AWD</v>
      </c>
      <c r="O924" t="str">
        <f>IFERROR(__xludf.DUMMYFUNCTION("""COMPUTED_VALUE"""),"Red Multi-Coat")</f>
        <v>Red Multi-Coat</v>
      </c>
      <c r="P924" t="str">
        <f>IFERROR(__xludf.DUMMYFUNCTION("""COMPUTED_VALUE"""),"19 inch Sport")</f>
        <v>19 inch Sport</v>
      </c>
      <c r="Q924" t="str">
        <f>IFERROR(__xludf.DUMMYFUNCTION("""COMPUTED_VALUE"""),"Black seats")</f>
        <v>Black seats</v>
      </c>
      <c r="R924" t="str">
        <f>IFERROR(__xludf.DUMMYFUNCTION("""COMPUTED_VALUE"""),"Enhanced Autopilot")</f>
        <v>Enhanced Autopilot</v>
      </c>
      <c r="X924" t="str">
        <f>IFERROR(__xludf.DUMMYFUNCTION("""COMPUTED_VALUE"""),"Very Good")</f>
        <v>Very Good</v>
      </c>
      <c r="Y924" t="str">
        <f>IFERROR(__xludf.DUMMYFUNCTION("""COMPUTED_VALUE"""),"Excellent")</f>
        <v>Excellent</v>
      </c>
      <c r="Z924" t="str">
        <f>IFERROR(__xludf.DUMMYFUNCTION("""COMPUTED_VALUE"""),"Very Good")</f>
        <v>Very Good</v>
      </c>
      <c r="AA924" t="str">
        <f>IFERROR(__xludf.DUMMYFUNCTION("""COMPUTED_VALUE"""),"Very Good")</f>
        <v>Very Good</v>
      </c>
      <c r="AB924" t="str">
        <f>IFERROR(__xludf.DUMMYFUNCTION("""COMPUTED_VALUE"""),"Very Good")</f>
        <v>Very Good</v>
      </c>
      <c r="AH924" s="189">
        <f>IFERROR(__xludf.DUMMYFUNCTION("""COMPUTED_VALUE"""),43372.77655587963)</f>
        <v>43372.77656</v>
      </c>
    </row>
    <row r="925">
      <c r="A925" t="str">
        <f>IFERROR(__xludf.DUMMYFUNCTION("""COMPUTED_VALUE"""),"dwmurphy2")</f>
        <v>dwmurphy2</v>
      </c>
      <c r="C925" t="str">
        <f>IFERROR(__xludf.DUMMYFUNCTION("""COMPUTED_VALUE"""),"OH")</f>
        <v>OH</v>
      </c>
      <c r="D925" t="str">
        <f>IFERROR(__xludf.DUMMYFUNCTION("""COMPUTED_VALUE"""),"USA")</f>
        <v>USA</v>
      </c>
      <c r="E925" s="188">
        <f>IFERROR(__xludf.DUMMYFUNCTION("""COMPUTED_VALUE"""),43333.0)</f>
        <v>43333</v>
      </c>
      <c r="F925" s="188">
        <f>IFERROR(__xludf.DUMMYFUNCTION("""COMPUTED_VALUE"""),43364.0)</f>
        <v>43364</v>
      </c>
      <c r="H925">
        <f>IFERROR(__xludf.DUMMYFUNCTION("""COMPUTED_VALUE"""),67191.0)</f>
        <v>67191</v>
      </c>
      <c r="J925" s="5">
        <f>IFERROR(__xludf.DUMMYFUNCTION("""COMPUTED_VALUE"""),43368.0)</f>
        <v>43368</v>
      </c>
      <c r="K925">
        <f>IFERROR(__xludf.DUMMYFUNCTION("""COMPUTED_VALUE"""),31.0)</f>
        <v>31</v>
      </c>
      <c r="L925">
        <f>IFERROR(__xludf.DUMMYFUNCTION("""COMPUTED_VALUE"""),4.0)</f>
        <v>4</v>
      </c>
      <c r="M925">
        <f>IFERROR(__xludf.DUMMYFUNCTION("""COMPUTED_VALUE"""),35.0)</f>
        <v>35</v>
      </c>
      <c r="N925" t="str">
        <f>IFERROR(__xludf.DUMMYFUNCTION("""COMPUTED_VALUE"""),"Model 3 LR AWD")</f>
        <v>Model 3 LR AWD</v>
      </c>
      <c r="O925" t="str">
        <f>IFERROR(__xludf.DUMMYFUNCTION("""COMPUTED_VALUE"""),"Pearl White Multi-Coat")</f>
        <v>Pearl White Multi-Coat</v>
      </c>
      <c r="P925" t="str">
        <f>IFERROR(__xludf.DUMMYFUNCTION("""COMPUTED_VALUE"""),"18 inch Aero")</f>
        <v>18 inch Aero</v>
      </c>
      <c r="Q925" t="str">
        <f>IFERROR(__xludf.DUMMYFUNCTION("""COMPUTED_VALUE"""),"Black seats")</f>
        <v>Black seats</v>
      </c>
      <c r="R925" t="str">
        <f>IFERROR(__xludf.DUMMYFUNCTION("""COMPUTED_VALUE"""),"Enhanced Autopilot")</f>
        <v>Enhanced Autopilot</v>
      </c>
      <c r="X925" t="str">
        <f>IFERROR(__xludf.DUMMYFUNCTION("""COMPUTED_VALUE"""),"Very Good")</f>
        <v>Very Good</v>
      </c>
      <c r="Y925" t="str">
        <f>IFERROR(__xludf.DUMMYFUNCTION("""COMPUTED_VALUE"""),"Excellent")</f>
        <v>Excellent</v>
      </c>
      <c r="Z925" t="str">
        <f>IFERROR(__xludf.DUMMYFUNCTION("""COMPUTED_VALUE"""),"Excellent")</f>
        <v>Excellent</v>
      </c>
      <c r="AA925" t="str">
        <f>IFERROR(__xludf.DUMMYFUNCTION("""COMPUTED_VALUE"""),"Very Good")</f>
        <v>Very Good</v>
      </c>
      <c r="AB925" t="str">
        <f>IFERROR(__xludf.DUMMYFUNCTION("""COMPUTED_VALUE"""),"Very Good")</f>
        <v>Very Good</v>
      </c>
      <c r="AH925" s="189">
        <f>IFERROR(__xludf.DUMMYFUNCTION("""COMPUTED_VALUE"""),43372.78866853009)</f>
        <v>43372.78867</v>
      </c>
    </row>
    <row r="926">
      <c r="A926" t="str">
        <f>IFERROR(__xludf.DUMMYFUNCTION("""COMPUTED_VALUE"""),"Milli")</f>
        <v>Milli</v>
      </c>
      <c r="B926" t="str">
        <f>IFERROR(__xludf.DUMMYFUNCTION("""COMPUTED_VALUE"""),"Arlington, VA")</f>
        <v>Arlington, VA</v>
      </c>
      <c r="C926" t="str">
        <f>IFERROR(__xludf.DUMMYFUNCTION("""COMPUTED_VALUE"""),"VA")</f>
        <v>VA</v>
      </c>
      <c r="D926" t="str">
        <f>IFERROR(__xludf.DUMMYFUNCTION("""COMPUTED_VALUE"""),"USA")</f>
        <v>USA</v>
      </c>
      <c r="E926" s="188">
        <f>IFERROR(__xludf.DUMMYFUNCTION("""COMPUTED_VALUE"""),43317.0)</f>
        <v>43317</v>
      </c>
      <c r="F926" s="188">
        <f>IFERROR(__xludf.DUMMYFUNCTION("""COMPUTED_VALUE"""),43372.0)</f>
        <v>43372</v>
      </c>
      <c r="H926">
        <f>IFERROR(__xludf.DUMMYFUNCTION("""COMPUTED_VALUE"""),97765.0)</f>
        <v>97765</v>
      </c>
      <c r="J926" s="5">
        <f>IFERROR(__xludf.DUMMYFUNCTION("""COMPUTED_VALUE"""),43372.0)</f>
        <v>43372</v>
      </c>
      <c r="K926">
        <f>IFERROR(__xludf.DUMMYFUNCTION("""COMPUTED_VALUE"""),55.0)</f>
        <v>55</v>
      </c>
      <c r="L926">
        <f>IFERROR(__xludf.DUMMYFUNCTION("""COMPUTED_VALUE"""),0.0)</f>
        <v>0</v>
      </c>
      <c r="M926">
        <f>IFERROR(__xludf.DUMMYFUNCTION("""COMPUTED_VALUE"""),55.0)</f>
        <v>55</v>
      </c>
      <c r="N926" t="str">
        <f>IFERROR(__xludf.DUMMYFUNCTION("""COMPUTED_VALUE"""),"Model 3 LR AWD")</f>
        <v>Model 3 LR AWD</v>
      </c>
      <c r="O926" t="str">
        <f>IFERROR(__xludf.DUMMYFUNCTION("""COMPUTED_VALUE"""),"Deep Blue Metallic")</f>
        <v>Deep Blue Metallic</v>
      </c>
      <c r="P926" t="str">
        <f>IFERROR(__xludf.DUMMYFUNCTION("""COMPUTED_VALUE"""),"19 inch Sport")</f>
        <v>19 inch Sport</v>
      </c>
      <c r="Q926" t="str">
        <f>IFERROR(__xludf.DUMMYFUNCTION("""COMPUTED_VALUE"""),"White seats")</f>
        <v>White seats</v>
      </c>
      <c r="R926" t="str">
        <f>IFERROR(__xludf.DUMMYFUNCTION("""COMPUTED_VALUE"""),"Enhanced Autopilot")</f>
        <v>Enhanced Autopilot</v>
      </c>
      <c r="X926" t="str">
        <f>IFERROR(__xludf.DUMMYFUNCTION("""COMPUTED_VALUE"""),"Excellent")</f>
        <v>Excellent</v>
      </c>
      <c r="Y926" t="str">
        <f>IFERROR(__xludf.DUMMYFUNCTION("""COMPUTED_VALUE"""),"Excellent")</f>
        <v>Excellent</v>
      </c>
      <c r="Z926" t="str">
        <f>IFERROR(__xludf.DUMMYFUNCTION("""COMPUTED_VALUE"""),"Excellent")</f>
        <v>Excellent</v>
      </c>
      <c r="AA926" t="str">
        <f>IFERROR(__xludf.DUMMYFUNCTION("""COMPUTED_VALUE"""),"Very Good")</f>
        <v>Very Good</v>
      </c>
      <c r="AB926" t="str">
        <f>IFERROR(__xludf.DUMMYFUNCTION("""COMPUTED_VALUE"""),"Excellent")</f>
        <v>Excellent</v>
      </c>
      <c r="AC926">
        <f>IFERROR(__xludf.DUMMYFUNCTION("""COMPUTED_VALUE"""),0.0)</f>
        <v>0</v>
      </c>
      <c r="AD926">
        <f>IFERROR(__xludf.DUMMYFUNCTION("""COMPUTED_VALUE"""),0.0)</f>
        <v>0</v>
      </c>
      <c r="AH926" s="189">
        <f>IFERROR(__xludf.DUMMYFUNCTION("""COMPUTED_VALUE"""),43372.82963684028)</f>
        <v>43372.82964</v>
      </c>
    </row>
    <row r="927">
      <c r="A927" t="str">
        <f>IFERROR(__xludf.DUMMYFUNCTION("""COMPUTED_VALUE"""),"NetworkNerd")</f>
        <v>NetworkNerd</v>
      </c>
      <c r="B927" t="str">
        <f>IFERROR(__xludf.DUMMYFUNCTION("""COMPUTED_VALUE"""),"Camarillo")</f>
        <v>Camarillo</v>
      </c>
      <c r="C927" t="str">
        <f>IFERROR(__xludf.DUMMYFUNCTION("""COMPUTED_VALUE"""),"CA")</f>
        <v>CA</v>
      </c>
      <c r="D927" t="str">
        <f>IFERROR(__xludf.DUMMYFUNCTION("""COMPUTED_VALUE"""),"USA")</f>
        <v>USA</v>
      </c>
      <c r="E927" s="188">
        <f>IFERROR(__xludf.DUMMYFUNCTION("""COMPUTED_VALUE"""),43280.0)</f>
        <v>43280</v>
      </c>
      <c r="F927" s="188">
        <f>IFERROR(__xludf.DUMMYFUNCTION("""COMPUTED_VALUE"""),43339.0)</f>
        <v>43339</v>
      </c>
      <c r="H927">
        <f>IFERROR(__xludf.DUMMYFUNCTION("""COMPUTED_VALUE"""),72155.0)</f>
        <v>72155</v>
      </c>
      <c r="I927" t="str">
        <f>IFERROR(__xludf.DUMMYFUNCTION("""COMPUTED_VALUE"""),"08/18")</f>
        <v>08/18</v>
      </c>
      <c r="J927" s="5">
        <f>IFERROR(__xludf.DUMMYFUNCTION("""COMPUTED_VALUE"""),43348.0)</f>
        <v>43348</v>
      </c>
      <c r="K927">
        <f>IFERROR(__xludf.DUMMYFUNCTION("""COMPUTED_VALUE"""),59.0)</f>
        <v>59</v>
      </c>
      <c r="L927">
        <f>IFERROR(__xludf.DUMMYFUNCTION("""COMPUTED_VALUE"""),9.0)</f>
        <v>9</v>
      </c>
      <c r="M927">
        <f>IFERROR(__xludf.DUMMYFUNCTION("""COMPUTED_VALUE"""),68.0)</f>
        <v>68</v>
      </c>
      <c r="N927" t="str">
        <f>IFERROR(__xludf.DUMMYFUNCTION("""COMPUTED_VALUE"""),"Model 3 Performance")</f>
        <v>Model 3 Performance</v>
      </c>
      <c r="O927" t="str">
        <f>IFERROR(__xludf.DUMMYFUNCTION("""COMPUTED_VALUE"""),"Silver Metallic")</f>
        <v>Silver Metallic</v>
      </c>
      <c r="P927" t="str">
        <f>IFERROR(__xludf.DUMMYFUNCTION("""COMPUTED_VALUE"""),"20 inch Sport")</f>
        <v>20 inch Sport</v>
      </c>
      <c r="Q927" t="str">
        <f>IFERROR(__xludf.DUMMYFUNCTION("""COMPUTED_VALUE"""),"Black seats")</f>
        <v>Black seats</v>
      </c>
      <c r="R927" t="str">
        <f>IFERROR(__xludf.DUMMYFUNCTION("""COMPUTED_VALUE"""),"Full Self-Driving")</f>
        <v>Full Self-Driving</v>
      </c>
      <c r="X927" t="str">
        <f>IFERROR(__xludf.DUMMYFUNCTION("""COMPUTED_VALUE"""),"Excellent")</f>
        <v>Excellent</v>
      </c>
      <c r="Y927" t="str">
        <f>IFERROR(__xludf.DUMMYFUNCTION("""COMPUTED_VALUE"""),"Excellent")</f>
        <v>Excellent</v>
      </c>
      <c r="Z927" t="str">
        <f>IFERROR(__xludf.DUMMYFUNCTION("""COMPUTED_VALUE"""),"Excellent")</f>
        <v>Excellent</v>
      </c>
      <c r="AA927" t="str">
        <f>IFERROR(__xludf.DUMMYFUNCTION("""COMPUTED_VALUE"""),"Excellent")</f>
        <v>Excellent</v>
      </c>
      <c r="AB927" t="str">
        <f>IFERROR(__xludf.DUMMYFUNCTION("""COMPUTED_VALUE"""),"Excellent")</f>
        <v>Excellent</v>
      </c>
      <c r="AC927">
        <f>IFERROR(__xludf.DUMMYFUNCTION("""COMPUTED_VALUE"""),0.0)</f>
        <v>0</v>
      </c>
      <c r="AD927">
        <f>IFERROR(__xludf.DUMMYFUNCTION("""COMPUTED_VALUE"""),0.0)</f>
        <v>0</v>
      </c>
      <c r="AG927" t="str">
        <f>IFERROR(__xludf.DUMMYFUNCTION("""COMPUTED_VALUE"""),"Perfect vehicle")</f>
        <v>Perfect vehicle</v>
      </c>
      <c r="AH927" s="189">
        <f>IFERROR(__xludf.DUMMYFUNCTION("""COMPUTED_VALUE"""),43372.83421609954)</f>
        <v>43372.83422</v>
      </c>
    </row>
    <row r="928">
      <c r="A928" t="str">
        <f>IFERROR(__xludf.DUMMYFUNCTION("""COMPUTED_VALUE"""),"Superspectral")</f>
        <v>Superspectral</v>
      </c>
      <c r="B928" t="str">
        <f>IFERROR(__xludf.DUMMYFUNCTION("""COMPUTED_VALUE"""),"Ann Arbor")</f>
        <v>Ann Arbor</v>
      </c>
      <c r="C928" t="str">
        <f>IFERROR(__xludf.DUMMYFUNCTION("""COMPUTED_VALUE"""),"MI")</f>
        <v>MI</v>
      </c>
      <c r="D928" t="str">
        <f>IFERROR(__xludf.DUMMYFUNCTION("""COMPUTED_VALUE"""),"USA")</f>
        <v>USA</v>
      </c>
      <c r="E928" s="188">
        <f>IFERROR(__xludf.DUMMYFUNCTION("""COMPUTED_VALUE"""),43305.0)</f>
        <v>43305</v>
      </c>
      <c r="F928" s="188">
        <f>IFERROR(__xludf.DUMMYFUNCTION("""COMPUTED_VALUE"""),43353.0)</f>
        <v>43353</v>
      </c>
      <c r="H928">
        <f>IFERROR(__xludf.DUMMYFUNCTION("""COMPUTED_VALUE"""),63290.0)</f>
        <v>63290</v>
      </c>
      <c r="I928" t="str">
        <f>IFERROR(__xludf.DUMMYFUNCTION("""COMPUTED_VALUE"""),"09/18")</f>
        <v>09/18</v>
      </c>
      <c r="J928" s="5">
        <f>IFERROR(__xludf.DUMMYFUNCTION("""COMPUTED_VALUE"""),43360.0)</f>
        <v>43360</v>
      </c>
      <c r="K928">
        <f>IFERROR(__xludf.DUMMYFUNCTION("""COMPUTED_VALUE"""),48.0)</f>
        <v>48</v>
      </c>
      <c r="L928">
        <f>IFERROR(__xludf.DUMMYFUNCTION("""COMPUTED_VALUE"""),7.0)</f>
        <v>7</v>
      </c>
      <c r="M928">
        <f>IFERROR(__xludf.DUMMYFUNCTION("""COMPUTED_VALUE"""),55.0)</f>
        <v>55</v>
      </c>
      <c r="N928" t="str">
        <f>IFERROR(__xludf.DUMMYFUNCTION("""COMPUTED_VALUE"""),"Model 3 Performance")</f>
        <v>Model 3 Performance</v>
      </c>
      <c r="O928" t="str">
        <f>IFERROR(__xludf.DUMMYFUNCTION("""COMPUTED_VALUE"""),"Red Multi-Coat")</f>
        <v>Red Multi-Coat</v>
      </c>
      <c r="P928" t="str">
        <f>IFERROR(__xludf.DUMMYFUNCTION("""COMPUTED_VALUE"""),"20 inch Sport")</f>
        <v>20 inch Sport</v>
      </c>
      <c r="Q928" t="str">
        <f>IFERROR(__xludf.DUMMYFUNCTION("""COMPUTED_VALUE"""),"Black seats")</f>
        <v>Black seats</v>
      </c>
      <c r="R928" t="str">
        <f>IFERROR(__xludf.DUMMYFUNCTION("""COMPUTED_VALUE"""),"Enhanced Autopilot")</f>
        <v>Enhanced Autopilot</v>
      </c>
      <c r="X928" t="str">
        <f>IFERROR(__xludf.DUMMYFUNCTION("""COMPUTED_VALUE"""),"Excellent")</f>
        <v>Excellent</v>
      </c>
      <c r="Y928" t="str">
        <f>IFERROR(__xludf.DUMMYFUNCTION("""COMPUTED_VALUE"""),"Excellent")</f>
        <v>Excellent</v>
      </c>
      <c r="Z928" t="str">
        <f>IFERROR(__xludf.DUMMYFUNCTION("""COMPUTED_VALUE"""),"Excellent")</f>
        <v>Excellent</v>
      </c>
      <c r="AA928" t="str">
        <f>IFERROR(__xludf.DUMMYFUNCTION("""COMPUTED_VALUE"""),"Very Good")</f>
        <v>Very Good</v>
      </c>
      <c r="AB928" t="str">
        <f>IFERROR(__xludf.DUMMYFUNCTION("""COMPUTED_VALUE"""),"Very Good")</f>
        <v>Very Good</v>
      </c>
      <c r="AH928" s="189">
        <f>IFERROR(__xludf.DUMMYFUNCTION("""COMPUTED_VALUE"""),43372.83700035879)</f>
        <v>43372.837</v>
      </c>
    </row>
    <row r="929">
      <c r="A929" t="str">
        <f>IFERROR(__xludf.DUMMYFUNCTION("""COMPUTED_VALUE"""),"ChipsAhoya")</f>
        <v>ChipsAhoya</v>
      </c>
      <c r="B929" t="str">
        <f>IFERROR(__xludf.DUMMYFUNCTION("""COMPUTED_VALUE"""),"Omaha")</f>
        <v>Omaha</v>
      </c>
      <c r="C929" t="str">
        <f>IFERROR(__xludf.DUMMYFUNCTION("""COMPUTED_VALUE"""),"NE")</f>
        <v>NE</v>
      </c>
      <c r="D929" t="str">
        <f>IFERROR(__xludf.DUMMYFUNCTION("""COMPUTED_VALUE"""),"USA")</f>
        <v>USA</v>
      </c>
      <c r="E929" s="188">
        <f>IFERROR(__xludf.DUMMYFUNCTION("""COMPUTED_VALUE"""),43286.0)</f>
        <v>43286</v>
      </c>
      <c r="F929" s="188">
        <f>IFERROR(__xludf.DUMMYFUNCTION("""COMPUTED_VALUE"""),43371.0)</f>
        <v>43371</v>
      </c>
      <c r="H929">
        <f>IFERROR(__xludf.DUMMYFUNCTION("""COMPUTED_VALUE"""),100455.0)</f>
        <v>100455</v>
      </c>
      <c r="J929" s="5">
        <f>IFERROR(__xludf.DUMMYFUNCTION("""COMPUTED_VALUE"""),43371.0)</f>
        <v>43371</v>
      </c>
      <c r="K929">
        <f>IFERROR(__xludf.DUMMYFUNCTION("""COMPUTED_VALUE"""),85.0)</f>
        <v>85</v>
      </c>
      <c r="L929">
        <f>IFERROR(__xludf.DUMMYFUNCTION("""COMPUTED_VALUE"""),0.0)</f>
        <v>0</v>
      </c>
      <c r="M929">
        <f>IFERROR(__xludf.DUMMYFUNCTION("""COMPUTED_VALUE"""),85.0)</f>
        <v>85</v>
      </c>
      <c r="N929" t="str">
        <f>IFERROR(__xludf.DUMMYFUNCTION("""COMPUTED_VALUE"""),"Model 3 LR AWD")</f>
        <v>Model 3 LR AWD</v>
      </c>
      <c r="O929" t="str">
        <f>IFERROR(__xludf.DUMMYFUNCTION("""COMPUTED_VALUE"""),"Midnight Silver Metallic")</f>
        <v>Midnight Silver Metallic</v>
      </c>
      <c r="P929" t="str">
        <f>IFERROR(__xludf.DUMMYFUNCTION("""COMPUTED_VALUE"""),"19 inch Sport")</f>
        <v>19 inch Sport</v>
      </c>
      <c r="Q929" t="str">
        <f>IFERROR(__xludf.DUMMYFUNCTION("""COMPUTED_VALUE"""),"White seats")</f>
        <v>White seats</v>
      </c>
      <c r="R929" t="str">
        <f>IFERROR(__xludf.DUMMYFUNCTION("""COMPUTED_VALUE"""),"Full Self-Driving")</f>
        <v>Full Self-Driving</v>
      </c>
      <c r="X929" t="str">
        <f>IFERROR(__xludf.DUMMYFUNCTION("""COMPUTED_VALUE"""),"Excellent")</f>
        <v>Excellent</v>
      </c>
      <c r="Y929" t="str">
        <f>IFERROR(__xludf.DUMMYFUNCTION("""COMPUTED_VALUE"""),"Excellent")</f>
        <v>Excellent</v>
      </c>
      <c r="Z929" t="str">
        <f>IFERROR(__xludf.DUMMYFUNCTION("""COMPUTED_VALUE"""),"Excellent")</f>
        <v>Excellent</v>
      </c>
      <c r="AA929" t="str">
        <f>IFERROR(__xludf.DUMMYFUNCTION("""COMPUTED_VALUE"""),"Very Good")</f>
        <v>Very Good</v>
      </c>
      <c r="AH929" s="189">
        <f>IFERROR(__xludf.DUMMYFUNCTION("""COMPUTED_VALUE"""),43372.8841946875)</f>
        <v>43372.88419</v>
      </c>
    </row>
    <row r="930">
      <c r="A930" t="str">
        <f>IFERROR(__xludf.DUMMYFUNCTION("""COMPUTED_VALUE"""),"Kodofodder")</f>
        <v>Kodofodder</v>
      </c>
      <c r="C930" t="str">
        <f>IFERROR(__xludf.DUMMYFUNCTION("""COMPUTED_VALUE"""),"CA")</f>
        <v>CA</v>
      </c>
      <c r="D930" t="str">
        <f>IFERROR(__xludf.DUMMYFUNCTION("""COMPUTED_VALUE"""),"USA")</f>
        <v>USA</v>
      </c>
      <c r="E930" s="188">
        <f>IFERROR(__xludf.DUMMYFUNCTION("""COMPUTED_VALUE"""),43279.0)</f>
        <v>43279</v>
      </c>
      <c r="F930" s="188">
        <f>IFERROR(__xludf.DUMMYFUNCTION("""COMPUTED_VALUE"""),43368.0)</f>
        <v>43368</v>
      </c>
      <c r="H930">
        <f>IFERROR(__xludf.DUMMYFUNCTION("""COMPUTED_VALUE"""),73255.0)</f>
        <v>73255</v>
      </c>
      <c r="J930" s="5">
        <f>IFERROR(__xludf.DUMMYFUNCTION("""COMPUTED_VALUE"""),43372.0)</f>
        <v>43372</v>
      </c>
      <c r="K930">
        <f>IFERROR(__xludf.DUMMYFUNCTION("""COMPUTED_VALUE"""),89.0)</f>
        <v>89</v>
      </c>
      <c r="L930">
        <f>IFERROR(__xludf.DUMMYFUNCTION("""COMPUTED_VALUE"""),4.0)</f>
        <v>4</v>
      </c>
      <c r="M930">
        <f>IFERROR(__xludf.DUMMYFUNCTION("""COMPUTED_VALUE"""),93.0)</f>
        <v>93</v>
      </c>
      <c r="N930" t="str">
        <f>IFERROR(__xludf.DUMMYFUNCTION("""COMPUTED_VALUE"""),"Model 3 LR AWD")</f>
        <v>Model 3 LR AWD</v>
      </c>
      <c r="O930" t="str">
        <f>IFERROR(__xludf.DUMMYFUNCTION("""COMPUTED_VALUE"""),"Solid Black")</f>
        <v>Solid Black</v>
      </c>
      <c r="P930" t="str">
        <f>IFERROR(__xludf.DUMMYFUNCTION("""COMPUTED_VALUE"""),"18 inch Aero")</f>
        <v>18 inch Aero</v>
      </c>
      <c r="Q930" t="str">
        <f>IFERROR(__xludf.DUMMYFUNCTION("""COMPUTED_VALUE"""),"Black seats")</f>
        <v>Black seats</v>
      </c>
      <c r="R930" t="str">
        <f>IFERROR(__xludf.DUMMYFUNCTION("""COMPUTED_VALUE"""),"Enhanced Autopilot")</f>
        <v>Enhanced Autopilot</v>
      </c>
      <c r="X930" t="str">
        <f>IFERROR(__xludf.DUMMYFUNCTION("""COMPUTED_VALUE"""),"Good")</f>
        <v>Good</v>
      </c>
      <c r="Y930" t="str">
        <f>IFERROR(__xludf.DUMMYFUNCTION("""COMPUTED_VALUE"""),"Good")</f>
        <v>Good</v>
      </c>
      <c r="Z930" t="str">
        <f>IFERROR(__xludf.DUMMYFUNCTION("""COMPUTED_VALUE"""),"Fair")</f>
        <v>Fair</v>
      </c>
      <c r="AA930" t="str">
        <f>IFERROR(__xludf.DUMMYFUNCTION("""COMPUTED_VALUE"""),"Good")</f>
        <v>Good</v>
      </c>
      <c r="AB930" t="str">
        <f>IFERROR(__xludf.DUMMYFUNCTION("""COMPUTED_VALUE"""),"Good")</f>
        <v>Good</v>
      </c>
      <c r="AH930" s="189">
        <f>IFERROR(__xludf.DUMMYFUNCTION("""COMPUTED_VALUE"""),43372.89644891204)</f>
        <v>43372.89645</v>
      </c>
    </row>
    <row r="931">
      <c r="A931" t="str">
        <f>IFERROR(__xludf.DUMMYFUNCTION("""COMPUTED_VALUE"""),"Shogun")</f>
        <v>Shogun</v>
      </c>
      <c r="B931" t="str">
        <f>IFERROR(__xludf.DUMMYFUNCTION("""COMPUTED_VALUE"""),"Hartford")</f>
        <v>Hartford</v>
      </c>
      <c r="C931" t="str">
        <f>IFERROR(__xludf.DUMMYFUNCTION("""COMPUTED_VALUE"""),"WI")</f>
        <v>WI</v>
      </c>
      <c r="D931" t="str">
        <f>IFERROR(__xludf.DUMMYFUNCTION("""COMPUTED_VALUE"""),"USA")</f>
        <v>USA</v>
      </c>
      <c r="E931" s="188">
        <f>IFERROR(__xludf.DUMMYFUNCTION("""COMPUTED_VALUE"""),43245.0)</f>
        <v>43245</v>
      </c>
      <c r="F931" s="188">
        <f>IFERROR(__xludf.DUMMYFUNCTION("""COMPUTED_VALUE"""),43363.0)</f>
        <v>43363</v>
      </c>
      <c r="H931">
        <f>IFERROR(__xludf.DUMMYFUNCTION("""COMPUTED_VALUE"""),87555.0)</f>
        <v>87555</v>
      </c>
      <c r="I931" t="str">
        <f>IFERROR(__xludf.DUMMYFUNCTION("""COMPUTED_VALUE"""),"09/18")</f>
        <v>09/18</v>
      </c>
      <c r="J931" s="5">
        <f>IFERROR(__xludf.DUMMYFUNCTION("""COMPUTED_VALUE"""),43371.0)</f>
        <v>43371</v>
      </c>
      <c r="K931">
        <f>IFERROR(__xludf.DUMMYFUNCTION("""COMPUTED_VALUE"""),118.0)</f>
        <v>118</v>
      </c>
      <c r="L931">
        <f>IFERROR(__xludf.DUMMYFUNCTION("""COMPUTED_VALUE"""),8.0)</f>
        <v>8</v>
      </c>
      <c r="M931">
        <f>IFERROR(__xludf.DUMMYFUNCTION("""COMPUTED_VALUE"""),126.0)</f>
        <v>126</v>
      </c>
      <c r="N931" t="str">
        <f>IFERROR(__xludf.DUMMYFUNCTION("""COMPUTED_VALUE"""),"Model 3 LR AWD")</f>
        <v>Model 3 LR AWD</v>
      </c>
      <c r="O931" t="str">
        <f>IFERROR(__xludf.DUMMYFUNCTION("""COMPUTED_VALUE"""),"Silver Metallic")</f>
        <v>Silver Metallic</v>
      </c>
      <c r="P931" t="str">
        <f>IFERROR(__xludf.DUMMYFUNCTION("""COMPUTED_VALUE"""),"19 inch Sport")</f>
        <v>19 inch Sport</v>
      </c>
      <c r="Q931" t="str">
        <f>IFERROR(__xludf.DUMMYFUNCTION("""COMPUTED_VALUE"""),"Black seats")</f>
        <v>Black seats</v>
      </c>
      <c r="R931" t="str">
        <f>IFERROR(__xludf.DUMMYFUNCTION("""COMPUTED_VALUE"""),"Full Self-Driving")</f>
        <v>Full Self-Driving</v>
      </c>
      <c r="X931" t="str">
        <f>IFERROR(__xludf.DUMMYFUNCTION("""COMPUTED_VALUE"""),"Excellent")</f>
        <v>Excellent</v>
      </c>
      <c r="Y931" t="str">
        <f>IFERROR(__xludf.DUMMYFUNCTION("""COMPUTED_VALUE"""),"Excellent")</f>
        <v>Excellent</v>
      </c>
      <c r="Z931" t="str">
        <f>IFERROR(__xludf.DUMMYFUNCTION("""COMPUTED_VALUE"""),"Excellent")</f>
        <v>Excellent</v>
      </c>
      <c r="AA931" t="str">
        <f>IFERROR(__xludf.DUMMYFUNCTION("""COMPUTED_VALUE"""),"Poor")</f>
        <v>Poor</v>
      </c>
      <c r="AB931" t="str">
        <f>IFERROR(__xludf.DUMMYFUNCTION("""COMPUTED_VALUE"""),"Poor")</f>
        <v>Poor</v>
      </c>
      <c r="AH931" s="189">
        <f>IFERROR(__xludf.DUMMYFUNCTION("""COMPUTED_VALUE"""),43372.89717487268)</f>
        <v>43372.89717</v>
      </c>
    </row>
    <row r="932">
      <c r="A932" t="str">
        <f>IFERROR(__xludf.DUMMYFUNCTION("""COMPUTED_VALUE"""),"RetroGreyed")</f>
        <v>RetroGreyed</v>
      </c>
      <c r="B932" t="str">
        <f>IFERROR(__xludf.DUMMYFUNCTION("""COMPUTED_VALUE"""),"Bay Area")</f>
        <v>Bay Area</v>
      </c>
      <c r="C932" t="str">
        <f>IFERROR(__xludf.DUMMYFUNCTION("""COMPUTED_VALUE"""),"CA")</f>
        <v>CA</v>
      </c>
      <c r="D932" t="str">
        <f>IFERROR(__xludf.DUMMYFUNCTION("""COMPUTED_VALUE"""),"USA")</f>
        <v>USA</v>
      </c>
      <c r="E932" s="188">
        <f>IFERROR(__xludf.DUMMYFUNCTION("""COMPUTED_VALUE"""),43215.0)</f>
        <v>43215</v>
      </c>
      <c r="F932" s="188">
        <f>IFERROR(__xludf.DUMMYFUNCTION("""COMPUTED_VALUE"""),43357.0)</f>
        <v>43357</v>
      </c>
      <c r="H932">
        <f>IFERROR(__xludf.DUMMYFUNCTION("""COMPUTED_VALUE"""),100655.0)</f>
        <v>100655</v>
      </c>
      <c r="I932" t="str">
        <f>IFERROR(__xludf.DUMMYFUNCTION("""COMPUTED_VALUE"""),"09/18")</f>
        <v>09/18</v>
      </c>
      <c r="J932" s="5">
        <f>IFERROR(__xludf.DUMMYFUNCTION("""COMPUTED_VALUE"""),43363.0)</f>
        <v>43363</v>
      </c>
      <c r="K932">
        <f>IFERROR(__xludf.DUMMYFUNCTION("""COMPUTED_VALUE"""),142.0)</f>
        <v>142</v>
      </c>
      <c r="L932">
        <f>IFERROR(__xludf.DUMMYFUNCTION("""COMPUTED_VALUE"""),6.0)</f>
        <v>6</v>
      </c>
      <c r="M932">
        <f>IFERROR(__xludf.DUMMYFUNCTION("""COMPUTED_VALUE"""),148.0)</f>
        <v>148</v>
      </c>
      <c r="N932" t="str">
        <f>IFERROR(__xludf.DUMMYFUNCTION("""COMPUTED_VALUE"""),"Model 3 LR AWD")</f>
        <v>Model 3 LR AWD</v>
      </c>
      <c r="O932" t="str">
        <f>IFERROR(__xludf.DUMMYFUNCTION("""COMPUTED_VALUE"""),"Red Multi-Coat")</f>
        <v>Red Multi-Coat</v>
      </c>
      <c r="P932" t="str">
        <f>IFERROR(__xludf.DUMMYFUNCTION("""COMPUTED_VALUE"""),"19 inch Sport")</f>
        <v>19 inch Sport</v>
      </c>
      <c r="Q932" t="str">
        <f>IFERROR(__xludf.DUMMYFUNCTION("""COMPUTED_VALUE"""),"White seats")</f>
        <v>White seats</v>
      </c>
      <c r="R932" t="str">
        <f>IFERROR(__xludf.DUMMYFUNCTION("""COMPUTED_VALUE"""),"Enhanced Autopilot")</f>
        <v>Enhanced Autopilot</v>
      </c>
      <c r="X932" t="str">
        <f>IFERROR(__xludf.DUMMYFUNCTION("""COMPUTED_VALUE"""),"Excellent")</f>
        <v>Excellent</v>
      </c>
      <c r="Y932" t="str">
        <f>IFERROR(__xludf.DUMMYFUNCTION("""COMPUTED_VALUE"""),"Very Good")</f>
        <v>Very Good</v>
      </c>
      <c r="Z932" t="str">
        <f>IFERROR(__xludf.DUMMYFUNCTION("""COMPUTED_VALUE"""),"Very Good")</f>
        <v>Very Good</v>
      </c>
      <c r="AA932" t="str">
        <f>IFERROR(__xludf.DUMMYFUNCTION("""COMPUTED_VALUE"""),"Excellent")</f>
        <v>Excellent</v>
      </c>
      <c r="AB932" t="str">
        <f>IFERROR(__xludf.DUMMYFUNCTION("""COMPUTED_VALUE"""),"Excellent")</f>
        <v>Excellent</v>
      </c>
      <c r="AC932">
        <f>IFERROR(__xludf.DUMMYFUNCTION("""COMPUTED_VALUE"""),3.0)</f>
        <v>3</v>
      </c>
      <c r="AD932">
        <f>IFERROR(__xludf.DUMMYFUNCTION("""COMPUTED_VALUE"""),0.0)</f>
        <v>0</v>
      </c>
      <c r="AH932" s="189">
        <f>IFERROR(__xludf.DUMMYFUNCTION("""COMPUTED_VALUE"""),43372.93502880787)</f>
        <v>43372.93503</v>
      </c>
    </row>
    <row r="933">
      <c r="A933" t="str">
        <f>IFERROR(__xludf.DUMMYFUNCTION("""COMPUTED_VALUE"""),"inglele")</f>
        <v>inglele</v>
      </c>
      <c r="B933" t="str">
        <f>IFERROR(__xludf.DUMMYFUNCTION("""COMPUTED_VALUE"""),"Bellevue")</f>
        <v>Bellevue</v>
      </c>
      <c r="C933" t="str">
        <f>IFERROR(__xludf.DUMMYFUNCTION("""COMPUTED_VALUE"""),"WA")</f>
        <v>WA</v>
      </c>
      <c r="D933" t="str">
        <f>IFERROR(__xludf.DUMMYFUNCTION("""COMPUTED_VALUE"""),"USA")</f>
        <v>USA</v>
      </c>
      <c r="E933" s="188">
        <f>IFERROR(__xludf.DUMMYFUNCTION("""COMPUTED_VALUE"""),43279.0)</f>
        <v>43279</v>
      </c>
      <c r="F933" s="188">
        <f>IFERROR(__xludf.DUMMYFUNCTION("""COMPUTED_VALUE"""),43368.0)</f>
        <v>43368</v>
      </c>
      <c r="H933">
        <f>IFERROR(__xludf.DUMMYFUNCTION("""COMPUTED_VALUE"""),105160.0)</f>
        <v>105160</v>
      </c>
      <c r="I933" t="str">
        <f>IFERROR(__xludf.DUMMYFUNCTION("""COMPUTED_VALUE"""),"09/18")</f>
        <v>09/18</v>
      </c>
      <c r="J933" s="5">
        <f>IFERROR(__xludf.DUMMYFUNCTION("""COMPUTED_VALUE"""),43372.0)</f>
        <v>43372</v>
      </c>
      <c r="K933">
        <f>IFERROR(__xludf.DUMMYFUNCTION("""COMPUTED_VALUE"""),89.0)</f>
        <v>89</v>
      </c>
      <c r="L933">
        <f>IFERROR(__xludf.DUMMYFUNCTION("""COMPUTED_VALUE"""),4.0)</f>
        <v>4</v>
      </c>
      <c r="M933">
        <f>IFERROR(__xludf.DUMMYFUNCTION("""COMPUTED_VALUE"""),93.0)</f>
        <v>93</v>
      </c>
      <c r="N933" t="str">
        <f>IFERROR(__xludf.DUMMYFUNCTION("""COMPUTED_VALUE"""),"Model 3 LR AWD")</f>
        <v>Model 3 LR AWD</v>
      </c>
      <c r="O933" t="str">
        <f>IFERROR(__xludf.DUMMYFUNCTION("""COMPUTED_VALUE"""),"Deep Blue Metallic")</f>
        <v>Deep Blue Metallic</v>
      </c>
      <c r="P933" t="str">
        <f>IFERROR(__xludf.DUMMYFUNCTION("""COMPUTED_VALUE"""),"18 inch Aero")</f>
        <v>18 inch Aero</v>
      </c>
      <c r="Q933" t="str">
        <f>IFERROR(__xludf.DUMMYFUNCTION("""COMPUTED_VALUE"""),"Black seats")</f>
        <v>Black seats</v>
      </c>
      <c r="R933" t="str">
        <f>IFERROR(__xludf.DUMMYFUNCTION("""COMPUTED_VALUE"""),"Full Self-Driving")</f>
        <v>Full Self-Driving</v>
      </c>
      <c r="X933" t="str">
        <f>IFERROR(__xludf.DUMMYFUNCTION("""COMPUTED_VALUE"""),"Very Good")</f>
        <v>Very Good</v>
      </c>
      <c r="Y933" t="str">
        <f>IFERROR(__xludf.DUMMYFUNCTION("""COMPUTED_VALUE"""),"Excellent")</f>
        <v>Excellent</v>
      </c>
      <c r="Z933" t="str">
        <f>IFERROR(__xludf.DUMMYFUNCTION("""COMPUTED_VALUE"""),"Excellent")</f>
        <v>Excellent</v>
      </c>
      <c r="AA933" t="str">
        <f>IFERROR(__xludf.DUMMYFUNCTION("""COMPUTED_VALUE"""),"Fair")</f>
        <v>Fair</v>
      </c>
      <c r="AB933" t="str">
        <f>IFERROR(__xludf.DUMMYFUNCTION("""COMPUTED_VALUE"""),"Very Good")</f>
        <v>Very Good</v>
      </c>
      <c r="AC933">
        <f>IFERROR(__xludf.DUMMYFUNCTION("""COMPUTED_VALUE"""),0.0)</f>
        <v>0</v>
      </c>
      <c r="AD933">
        <f>IFERROR(__xludf.DUMMYFUNCTION("""COMPUTED_VALUE"""),0.0)</f>
        <v>0</v>
      </c>
      <c r="AE933">
        <f>IFERROR(__xludf.DUMMYFUNCTION("""COMPUTED_VALUE"""),0.0)</f>
        <v>0</v>
      </c>
      <c r="AH933" s="189">
        <f>IFERROR(__xludf.DUMMYFUNCTION("""COMPUTED_VALUE"""),43372.93740604167)</f>
        <v>43372.93741</v>
      </c>
    </row>
    <row r="934">
      <c r="A934" t="str">
        <f>IFERROR(__xludf.DUMMYFUNCTION("""COMPUTED_VALUE"""),"melindav")</f>
        <v>melindav</v>
      </c>
      <c r="B934" t="str">
        <f>IFERROR(__xludf.DUMMYFUNCTION("""COMPUTED_VALUE"""),"Vancouver")</f>
        <v>Vancouver</v>
      </c>
      <c r="C934" t="str">
        <f>IFERROR(__xludf.DUMMYFUNCTION("""COMPUTED_VALUE"""),"WA")</f>
        <v>WA</v>
      </c>
      <c r="D934" t="str">
        <f>IFERROR(__xludf.DUMMYFUNCTION("""COMPUTED_VALUE"""),"USA")</f>
        <v>USA</v>
      </c>
      <c r="E934" s="188">
        <f>IFERROR(__xludf.DUMMYFUNCTION("""COMPUTED_VALUE"""),43278.0)</f>
        <v>43278</v>
      </c>
      <c r="F934" s="188">
        <f>IFERROR(__xludf.DUMMYFUNCTION("""COMPUTED_VALUE"""),43367.0)</f>
        <v>43367</v>
      </c>
      <c r="H934">
        <f>IFERROR(__xludf.DUMMYFUNCTION("""COMPUTED_VALUE"""),91655.0)</f>
        <v>91655</v>
      </c>
      <c r="I934" t="str">
        <f>IFERROR(__xludf.DUMMYFUNCTION("""COMPUTED_VALUE"""),"09/18")</f>
        <v>09/18</v>
      </c>
      <c r="J934" s="5">
        <f>IFERROR(__xludf.DUMMYFUNCTION("""COMPUTED_VALUE"""),43369.0)</f>
        <v>43369</v>
      </c>
      <c r="K934">
        <f>IFERROR(__xludf.DUMMYFUNCTION("""COMPUTED_VALUE"""),89.0)</f>
        <v>89</v>
      </c>
      <c r="L934">
        <f>IFERROR(__xludf.DUMMYFUNCTION("""COMPUTED_VALUE"""),2.0)</f>
        <v>2</v>
      </c>
      <c r="M934">
        <f>IFERROR(__xludf.DUMMYFUNCTION("""COMPUTED_VALUE"""),91.0)</f>
        <v>91</v>
      </c>
      <c r="N934" t="str">
        <f>IFERROR(__xludf.DUMMYFUNCTION("""COMPUTED_VALUE"""),"Model 3 LR AWD")</f>
        <v>Model 3 LR AWD</v>
      </c>
      <c r="O934" t="str">
        <f>IFERROR(__xludf.DUMMYFUNCTION("""COMPUTED_VALUE"""),"Red Multi-Coat")</f>
        <v>Red Multi-Coat</v>
      </c>
      <c r="P934" t="str">
        <f>IFERROR(__xludf.DUMMYFUNCTION("""COMPUTED_VALUE"""),"19 inch Sport")</f>
        <v>19 inch Sport</v>
      </c>
      <c r="Q934" t="str">
        <f>IFERROR(__xludf.DUMMYFUNCTION("""COMPUTED_VALUE"""),"Black seats")</f>
        <v>Black seats</v>
      </c>
      <c r="R934" t="str">
        <f>IFERROR(__xludf.DUMMYFUNCTION("""COMPUTED_VALUE"""),"Enhanced Autopilot")</f>
        <v>Enhanced Autopilot</v>
      </c>
      <c r="X934" t="str">
        <f>IFERROR(__xludf.DUMMYFUNCTION("""COMPUTED_VALUE"""),"Excellent")</f>
        <v>Excellent</v>
      </c>
      <c r="Y934" t="str">
        <f>IFERROR(__xludf.DUMMYFUNCTION("""COMPUTED_VALUE"""),"Excellent")</f>
        <v>Excellent</v>
      </c>
      <c r="Z934" t="str">
        <f>IFERROR(__xludf.DUMMYFUNCTION("""COMPUTED_VALUE"""),"Very Good")</f>
        <v>Very Good</v>
      </c>
      <c r="AA934" t="str">
        <f>IFERROR(__xludf.DUMMYFUNCTION("""COMPUTED_VALUE"""),"Fair")</f>
        <v>Fair</v>
      </c>
      <c r="AB934" t="str">
        <f>IFERROR(__xludf.DUMMYFUNCTION("""COMPUTED_VALUE"""),"Excellent")</f>
        <v>Excellent</v>
      </c>
      <c r="AH934" s="189">
        <f>IFERROR(__xludf.DUMMYFUNCTION("""COMPUTED_VALUE"""),43372.943271006945)</f>
        <v>43372.94327</v>
      </c>
    </row>
    <row r="935">
      <c r="A935" t="str">
        <f>IFERROR(__xludf.DUMMYFUNCTION("""COMPUTED_VALUE"""),"diabox")</f>
        <v>diabox</v>
      </c>
      <c r="B935" t="str">
        <f>IFERROR(__xludf.DUMMYFUNCTION("""COMPUTED_VALUE"""),"Tampa")</f>
        <v>Tampa</v>
      </c>
      <c r="C935" t="str">
        <f>IFERROR(__xludf.DUMMYFUNCTION("""COMPUTED_VALUE"""),"FL")</f>
        <v>FL</v>
      </c>
      <c r="D935" t="str">
        <f>IFERROR(__xludf.DUMMYFUNCTION("""COMPUTED_VALUE"""),"USA")</f>
        <v>USA</v>
      </c>
      <c r="E935" s="188">
        <f>IFERROR(__xludf.DUMMYFUNCTION("""COMPUTED_VALUE"""),43329.0)</f>
        <v>43329</v>
      </c>
      <c r="F935" s="188">
        <f>IFERROR(__xludf.DUMMYFUNCTION("""COMPUTED_VALUE"""),43354.0)</f>
        <v>43354</v>
      </c>
      <c r="H935">
        <f>IFERROR(__xludf.DUMMYFUNCTION("""COMPUTED_VALUE"""),82855.0)</f>
        <v>82855</v>
      </c>
      <c r="I935" t="str">
        <f>IFERROR(__xludf.DUMMYFUNCTION("""COMPUTED_VALUE"""),"09/18")</f>
        <v>09/18</v>
      </c>
      <c r="J935" s="5">
        <f>IFERROR(__xludf.DUMMYFUNCTION("""COMPUTED_VALUE"""),43371.0)</f>
        <v>43371</v>
      </c>
      <c r="K935">
        <f>IFERROR(__xludf.DUMMYFUNCTION("""COMPUTED_VALUE"""),25.0)</f>
        <v>25</v>
      </c>
      <c r="L935">
        <f>IFERROR(__xludf.DUMMYFUNCTION("""COMPUTED_VALUE"""),17.0)</f>
        <v>17</v>
      </c>
      <c r="M935">
        <f>IFERROR(__xludf.DUMMYFUNCTION("""COMPUTED_VALUE"""),42.0)</f>
        <v>42</v>
      </c>
      <c r="N935" t="str">
        <f>IFERROR(__xludf.DUMMYFUNCTION("""COMPUTED_VALUE"""),"Model 3 Performance")</f>
        <v>Model 3 Performance</v>
      </c>
      <c r="O935" t="str">
        <f>IFERROR(__xludf.DUMMYFUNCTION("""COMPUTED_VALUE"""),"Midnight Silver Metallic")</f>
        <v>Midnight Silver Metallic</v>
      </c>
      <c r="P935" t="str">
        <f>IFERROR(__xludf.DUMMYFUNCTION("""COMPUTED_VALUE"""),"20 inch Sport")</f>
        <v>20 inch Sport</v>
      </c>
      <c r="Q935" t="str">
        <f>IFERROR(__xludf.DUMMYFUNCTION("""COMPUTED_VALUE"""),"Black seats")</f>
        <v>Black seats</v>
      </c>
      <c r="R935" t="str">
        <f>IFERROR(__xludf.DUMMYFUNCTION("""COMPUTED_VALUE"""),"Full Self-Driving")</f>
        <v>Full Self-Driving</v>
      </c>
      <c r="X935" t="str">
        <f>IFERROR(__xludf.DUMMYFUNCTION("""COMPUTED_VALUE"""),"Excellent")</f>
        <v>Excellent</v>
      </c>
      <c r="Y935" t="str">
        <f>IFERROR(__xludf.DUMMYFUNCTION("""COMPUTED_VALUE"""),"Excellent")</f>
        <v>Excellent</v>
      </c>
      <c r="Z935" t="str">
        <f>IFERROR(__xludf.DUMMYFUNCTION("""COMPUTED_VALUE"""),"Very Good")</f>
        <v>Very Good</v>
      </c>
      <c r="AA935" t="str">
        <f>IFERROR(__xludf.DUMMYFUNCTION("""COMPUTED_VALUE"""),"Excellent")</f>
        <v>Excellent</v>
      </c>
      <c r="AB935" t="str">
        <f>IFERROR(__xludf.DUMMYFUNCTION("""COMPUTED_VALUE"""),"Very Good")</f>
        <v>Very Good</v>
      </c>
      <c r="AG935" t="str">
        <f>IFERROR(__xludf.DUMMYFUNCTION("""COMPUTED_VALUE"""),"Delivery pushed back 2 weeks, but now slipped in before end of Sept.")</f>
        <v>Delivery pushed back 2 weeks, but now slipped in before end of Sept.</v>
      </c>
      <c r="AH935" s="189">
        <f>IFERROR(__xludf.DUMMYFUNCTION("""COMPUTED_VALUE"""),43372.956198217595)</f>
        <v>43372.9562</v>
      </c>
    </row>
    <row r="936">
      <c r="A936" t="str">
        <f>IFERROR(__xludf.DUMMYFUNCTION("""COMPUTED_VALUE"""),"tvisdog")</f>
        <v>tvisdog</v>
      </c>
      <c r="C936" t="str">
        <f>IFERROR(__xludf.DUMMYFUNCTION("""COMPUTED_VALUE"""),"CO")</f>
        <v>CO</v>
      </c>
      <c r="D936" t="str">
        <f>IFERROR(__xludf.DUMMYFUNCTION("""COMPUTED_VALUE"""),"USA")</f>
        <v>USA</v>
      </c>
      <c r="E936" s="188">
        <f>IFERROR(__xludf.DUMMYFUNCTION("""COMPUTED_VALUE"""),43278.0)</f>
        <v>43278</v>
      </c>
      <c r="F936" s="188">
        <f>IFERROR(__xludf.DUMMYFUNCTION("""COMPUTED_VALUE"""),43368.0)</f>
        <v>43368</v>
      </c>
      <c r="H936">
        <f>IFERROR(__xludf.DUMMYFUNCTION("""COMPUTED_VALUE"""),113955.0)</f>
        <v>113955</v>
      </c>
      <c r="I936" t="str">
        <f>IFERROR(__xludf.DUMMYFUNCTION("""COMPUTED_VALUE"""),"09/18")</f>
        <v>09/18</v>
      </c>
      <c r="J936" s="5">
        <f>IFERROR(__xludf.DUMMYFUNCTION("""COMPUTED_VALUE"""),43372.0)</f>
        <v>43372</v>
      </c>
      <c r="K936">
        <f>IFERROR(__xludf.DUMMYFUNCTION("""COMPUTED_VALUE"""),90.0)</f>
        <v>90</v>
      </c>
      <c r="L936">
        <f>IFERROR(__xludf.DUMMYFUNCTION("""COMPUTED_VALUE"""),4.0)</f>
        <v>4</v>
      </c>
      <c r="M936">
        <f>IFERROR(__xludf.DUMMYFUNCTION("""COMPUTED_VALUE"""),94.0)</f>
        <v>94</v>
      </c>
      <c r="N936" t="str">
        <f>IFERROR(__xludf.DUMMYFUNCTION("""COMPUTED_VALUE"""),"Model 3 LR AWD")</f>
        <v>Model 3 LR AWD</v>
      </c>
      <c r="O936" t="str">
        <f>IFERROR(__xludf.DUMMYFUNCTION("""COMPUTED_VALUE"""),"Midnight Silver Metallic")</f>
        <v>Midnight Silver Metallic</v>
      </c>
      <c r="P936" t="str">
        <f>IFERROR(__xludf.DUMMYFUNCTION("""COMPUTED_VALUE"""),"18 inch Aero")</f>
        <v>18 inch Aero</v>
      </c>
      <c r="Q936" t="str">
        <f>IFERROR(__xludf.DUMMYFUNCTION("""COMPUTED_VALUE"""),"Black seats")</f>
        <v>Black seats</v>
      </c>
      <c r="R936" t="str">
        <f>IFERROR(__xludf.DUMMYFUNCTION("""COMPUTED_VALUE"""),"Full Self-Driving")</f>
        <v>Full Self-Driving</v>
      </c>
      <c r="X936" t="str">
        <f>IFERROR(__xludf.DUMMYFUNCTION("""COMPUTED_VALUE"""),"Excellent")</f>
        <v>Excellent</v>
      </c>
      <c r="Y936" t="str">
        <f>IFERROR(__xludf.DUMMYFUNCTION("""COMPUTED_VALUE"""),"Excellent")</f>
        <v>Excellent</v>
      </c>
      <c r="Z936" t="str">
        <f>IFERROR(__xludf.DUMMYFUNCTION("""COMPUTED_VALUE"""),"Very Good")</f>
        <v>Very Good</v>
      </c>
      <c r="AA936" t="str">
        <f>IFERROR(__xludf.DUMMYFUNCTION("""COMPUTED_VALUE"""),"Poor")</f>
        <v>Poor</v>
      </c>
      <c r="AB936" t="str">
        <f>IFERROR(__xludf.DUMMYFUNCTION("""COMPUTED_VALUE"""),"Very Good")</f>
        <v>Very Good</v>
      </c>
      <c r="AC936">
        <f>IFERROR(__xludf.DUMMYFUNCTION("""COMPUTED_VALUE"""),3.0)</f>
        <v>3</v>
      </c>
      <c r="AH936" s="189">
        <f>IFERROR(__xludf.DUMMYFUNCTION("""COMPUTED_VALUE"""),43373.25557127315)</f>
        <v>43373.25557</v>
      </c>
    </row>
    <row r="937">
      <c r="A937" t="str">
        <f>IFERROR(__xludf.DUMMYFUNCTION("""COMPUTED_VALUE"""),"mrtcentus")</f>
        <v>mrtcentus</v>
      </c>
      <c r="C937" t="str">
        <f>IFERROR(__xludf.DUMMYFUNCTION("""COMPUTED_VALUE"""),"ON")</f>
        <v>ON</v>
      </c>
      <c r="D937" t="str">
        <f>IFERROR(__xludf.DUMMYFUNCTION("""COMPUTED_VALUE"""),"Canada")</f>
        <v>Canada</v>
      </c>
      <c r="E937" s="188">
        <f>IFERROR(__xludf.DUMMYFUNCTION("""COMPUTED_VALUE"""),43278.0)</f>
        <v>43278</v>
      </c>
      <c r="H937">
        <f>IFERROR(__xludf.DUMMYFUNCTION("""COMPUTED_VALUE"""),107155.0)</f>
        <v>107155</v>
      </c>
      <c r="J937" s="5">
        <f>IFERROR(__xludf.DUMMYFUNCTION("""COMPUTED_VALUE"""),43371.0)</f>
        <v>43371</v>
      </c>
      <c r="M937">
        <f>IFERROR(__xludf.DUMMYFUNCTION("""COMPUTED_VALUE"""),93.0)</f>
        <v>93</v>
      </c>
      <c r="N937" t="str">
        <f>IFERROR(__xludf.DUMMYFUNCTION("""COMPUTED_VALUE"""),"Model 3 LR AWD")</f>
        <v>Model 3 LR AWD</v>
      </c>
      <c r="O937" t="str">
        <f>IFERROR(__xludf.DUMMYFUNCTION("""COMPUTED_VALUE"""),"Deep Blue Metallic")</f>
        <v>Deep Blue Metallic</v>
      </c>
      <c r="P937" t="str">
        <f>IFERROR(__xludf.DUMMYFUNCTION("""COMPUTED_VALUE"""),"18 inch Aero")</f>
        <v>18 inch Aero</v>
      </c>
      <c r="Q937" t="str">
        <f>IFERROR(__xludf.DUMMYFUNCTION("""COMPUTED_VALUE"""),"Black seats")</f>
        <v>Black seats</v>
      </c>
      <c r="R937" t="str">
        <f>IFERROR(__xludf.DUMMYFUNCTION("""COMPUTED_VALUE"""),"Full Self-Driving")</f>
        <v>Full Self-Driving</v>
      </c>
      <c r="X937" t="str">
        <f>IFERROR(__xludf.DUMMYFUNCTION("""COMPUTED_VALUE"""),"Excellent")</f>
        <v>Excellent</v>
      </c>
      <c r="Y937" t="str">
        <f>IFERROR(__xludf.DUMMYFUNCTION("""COMPUTED_VALUE"""),"Excellent")</f>
        <v>Excellent</v>
      </c>
      <c r="Z937" t="str">
        <f>IFERROR(__xludf.DUMMYFUNCTION("""COMPUTED_VALUE"""),"Very Good")</f>
        <v>Very Good</v>
      </c>
      <c r="AA937" t="str">
        <f>IFERROR(__xludf.DUMMYFUNCTION("""COMPUTED_VALUE"""),"Fair")</f>
        <v>Fair</v>
      </c>
      <c r="AB937" t="str">
        <f>IFERROR(__xludf.DUMMYFUNCTION("""COMPUTED_VALUE"""),"Very Good")</f>
        <v>Very Good</v>
      </c>
      <c r="AH937" s="189">
        <f>IFERROR(__xludf.DUMMYFUNCTION("""COMPUTED_VALUE"""),43373.295838564816)</f>
        <v>43373.29584</v>
      </c>
    </row>
    <row r="938">
      <c r="A938" t="str">
        <f>IFERROR(__xludf.DUMMYFUNCTION("""COMPUTED_VALUE"""),"Alchemy9477")</f>
        <v>Alchemy9477</v>
      </c>
      <c r="B938" t="str">
        <f>IFERROR(__xludf.DUMMYFUNCTION("""COMPUTED_VALUE"""),"parker")</f>
        <v>parker</v>
      </c>
      <c r="C938" t="str">
        <f>IFERROR(__xludf.DUMMYFUNCTION("""COMPUTED_VALUE"""),"CO")</f>
        <v>CO</v>
      </c>
      <c r="D938" t="str">
        <f>IFERROR(__xludf.DUMMYFUNCTION("""COMPUTED_VALUE"""),"USA")</f>
        <v>USA</v>
      </c>
      <c r="E938" s="188">
        <f>IFERROR(__xludf.DUMMYFUNCTION("""COMPUTED_VALUE"""),43288.0)</f>
        <v>43288</v>
      </c>
      <c r="F938" s="188">
        <f>IFERROR(__xludf.DUMMYFUNCTION("""COMPUTED_VALUE"""),43362.0)</f>
        <v>43362</v>
      </c>
      <c r="H938" s="4">
        <f>IFERROR(__xludf.DUMMYFUNCTION("""COMPUTED_VALUE"""),90680.0)</f>
        <v>90680</v>
      </c>
      <c r="I938" t="str">
        <f>IFERROR(__xludf.DUMMYFUNCTION("""COMPUTED_VALUE"""),"09/18")</f>
        <v>09/18</v>
      </c>
      <c r="J938" s="5">
        <f>IFERROR(__xludf.DUMMYFUNCTION("""COMPUTED_VALUE"""),43368.0)</f>
        <v>43368</v>
      </c>
      <c r="K938">
        <f>IFERROR(__xludf.DUMMYFUNCTION("""COMPUTED_VALUE"""),74.0)</f>
        <v>74</v>
      </c>
      <c r="L938">
        <f>IFERROR(__xludf.DUMMYFUNCTION("""COMPUTED_VALUE"""),6.0)</f>
        <v>6</v>
      </c>
      <c r="M938">
        <f>IFERROR(__xludf.DUMMYFUNCTION("""COMPUTED_VALUE"""),80.0)</f>
        <v>80</v>
      </c>
      <c r="N938" t="str">
        <f>IFERROR(__xludf.DUMMYFUNCTION("""COMPUTED_VALUE"""),"Model 3 LR AWD")</f>
        <v>Model 3 LR AWD</v>
      </c>
      <c r="O938" t="str">
        <f>IFERROR(__xludf.DUMMYFUNCTION("""COMPUTED_VALUE"""),"Midnight Silver Metallic")</f>
        <v>Midnight Silver Metallic</v>
      </c>
      <c r="P938" t="str">
        <f>IFERROR(__xludf.DUMMYFUNCTION("""COMPUTED_VALUE"""),"19 inch Sport")</f>
        <v>19 inch Sport</v>
      </c>
      <c r="Q938" t="str">
        <f>IFERROR(__xludf.DUMMYFUNCTION("""COMPUTED_VALUE"""),"Black seats")</f>
        <v>Black seats</v>
      </c>
      <c r="R938" t="str">
        <f>IFERROR(__xludf.DUMMYFUNCTION("""COMPUTED_VALUE"""),"Full Self-Driving")</f>
        <v>Full Self-Driving</v>
      </c>
      <c r="X938" t="str">
        <f>IFERROR(__xludf.DUMMYFUNCTION("""COMPUTED_VALUE"""),"Very Good")</f>
        <v>Very Good</v>
      </c>
      <c r="Y938" t="str">
        <f>IFERROR(__xludf.DUMMYFUNCTION("""COMPUTED_VALUE"""),"Very Good")</f>
        <v>Very Good</v>
      </c>
      <c r="Z938" t="str">
        <f>IFERROR(__xludf.DUMMYFUNCTION("""COMPUTED_VALUE"""),"Excellent")</f>
        <v>Excellent</v>
      </c>
      <c r="AA938" t="str">
        <f>IFERROR(__xludf.DUMMYFUNCTION("""COMPUTED_VALUE"""),"Fair")</f>
        <v>Fair</v>
      </c>
      <c r="AB938" t="str">
        <f>IFERROR(__xludf.DUMMYFUNCTION("""COMPUTED_VALUE"""),"Good")</f>
        <v>Good</v>
      </c>
      <c r="AH938" s="189">
        <f>IFERROR(__xludf.DUMMYFUNCTION("""COMPUTED_VALUE"""),43373.343515370376)</f>
        <v>43373.34352</v>
      </c>
    </row>
    <row r="939">
      <c r="A939" t="str">
        <f>IFERROR(__xludf.DUMMYFUNCTION("""COMPUTED_VALUE"""),"drew")</f>
        <v>drew</v>
      </c>
      <c r="B939" t="str">
        <f>IFERROR(__xludf.DUMMYFUNCTION("""COMPUTED_VALUE"""),"Corte Madera")</f>
        <v>Corte Madera</v>
      </c>
      <c r="C939" t="str">
        <f>IFERROR(__xludf.DUMMYFUNCTION("""COMPUTED_VALUE"""),"CA")</f>
        <v>CA</v>
      </c>
      <c r="D939" t="str">
        <f>IFERROR(__xludf.DUMMYFUNCTION("""COMPUTED_VALUE"""),"USA")</f>
        <v>USA</v>
      </c>
      <c r="E939" s="188">
        <f>IFERROR(__xludf.DUMMYFUNCTION("""COMPUTED_VALUE"""),43332.0)</f>
        <v>43332</v>
      </c>
      <c r="F939" s="188">
        <f>IFERROR(__xludf.DUMMYFUNCTION("""COMPUTED_VALUE"""),43369.0)</f>
        <v>43369</v>
      </c>
      <c r="H939" s="4">
        <f>IFERROR(__xludf.DUMMYFUNCTION("""COMPUTED_VALUE"""),94672.0)</f>
        <v>94672</v>
      </c>
      <c r="I939" t="str">
        <f>IFERROR(__xludf.DUMMYFUNCTION("""COMPUTED_VALUE"""),"09/18")</f>
        <v>09/18</v>
      </c>
      <c r="J939" s="5">
        <f>IFERROR(__xludf.DUMMYFUNCTION("""COMPUTED_VALUE"""),43370.0)</f>
        <v>43370</v>
      </c>
      <c r="K939">
        <f>IFERROR(__xludf.DUMMYFUNCTION("""COMPUTED_VALUE"""),37.0)</f>
        <v>37</v>
      </c>
      <c r="L939">
        <f>IFERROR(__xludf.DUMMYFUNCTION("""COMPUTED_VALUE"""),1.0)</f>
        <v>1</v>
      </c>
      <c r="M939">
        <f>IFERROR(__xludf.DUMMYFUNCTION("""COMPUTED_VALUE"""),38.0)</f>
        <v>38</v>
      </c>
      <c r="N939" t="str">
        <f>IFERROR(__xludf.DUMMYFUNCTION("""COMPUTED_VALUE"""),"Model 3 LR AWD")</f>
        <v>Model 3 LR AWD</v>
      </c>
      <c r="O939" t="str">
        <f>IFERROR(__xludf.DUMMYFUNCTION("""COMPUTED_VALUE"""),"Pearl White Multi-Coat")</f>
        <v>Pearl White Multi-Coat</v>
      </c>
      <c r="P939" t="str">
        <f>IFERROR(__xludf.DUMMYFUNCTION("""COMPUTED_VALUE"""),"18 inch Aero")</f>
        <v>18 inch Aero</v>
      </c>
      <c r="Q939" t="str">
        <f>IFERROR(__xludf.DUMMYFUNCTION("""COMPUTED_VALUE"""),"Black seats")</f>
        <v>Black seats</v>
      </c>
      <c r="R939" t="str">
        <f>IFERROR(__xludf.DUMMYFUNCTION("""COMPUTED_VALUE"""),"Enhanced Autopilot")</f>
        <v>Enhanced Autopilot</v>
      </c>
      <c r="X939" t="str">
        <f>IFERROR(__xludf.DUMMYFUNCTION("""COMPUTED_VALUE"""),"Excellent")</f>
        <v>Excellent</v>
      </c>
      <c r="Y939" t="str">
        <f>IFERROR(__xludf.DUMMYFUNCTION("""COMPUTED_VALUE"""),"Excellent")</f>
        <v>Excellent</v>
      </c>
      <c r="Z939" t="str">
        <f>IFERROR(__xludf.DUMMYFUNCTION("""COMPUTED_VALUE"""),"Excellent")</f>
        <v>Excellent</v>
      </c>
      <c r="AA939" t="str">
        <f>IFERROR(__xludf.DUMMYFUNCTION("""COMPUTED_VALUE"""),"Very Good")</f>
        <v>Very Good</v>
      </c>
      <c r="AB939" t="str">
        <f>IFERROR(__xludf.DUMMYFUNCTION("""COMPUTED_VALUE"""),"Very Good")</f>
        <v>Very Good</v>
      </c>
      <c r="AC939">
        <f>IFERROR(__xludf.DUMMYFUNCTION("""COMPUTED_VALUE"""),0.0)</f>
        <v>0</v>
      </c>
      <c r="AH939" s="189">
        <f>IFERROR(__xludf.DUMMYFUNCTION("""COMPUTED_VALUE"""),43373.34464797453)</f>
        <v>43373.34465</v>
      </c>
    </row>
    <row r="940">
      <c r="A940" t="str">
        <f>IFERROR(__xludf.DUMMYFUNCTION("""COMPUTED_VALUE"""),"AllAboutJake")</f>
        <v>AllAboutJake</v>
      </c>
      <c r="C940" t="str">
        <f>IFERROR(__xludf.DUMMYFUNCTION("""COMPUTED_VALUE"""),"NJ")</f>
        <v>NJ</v>
      </c>
      <c r="D940" t="str">
        <f>IFERROR(__xludf.DUMMYFUNCTION("""COMPUTED_VALUE"""),"USA")</f>
        <v>USA</v>
      </c>
      <c r="E940" s="188">
        <f>IFERROR(__xludf.DUMMYFUNCTION("""COMPUTED_VALUE"""),43299.0)</f>
        <v>43299</v>
      </c>
      <c r="F940" s="188">
        <f>IFERROR(__xludf.DUMMYFUNCTION("""COMPUTED_VALUE"""),43354.0)</f>
        <v>43354</v>
      </c>
      <c r="H940">
        <f>IFERROR(__xludf.DUMMYFUNCTION("""COMPUTED_VALUE"""),103855.0)</f>
        <v>103855</v>
      </c>
      <c r="I940" t="str">
        <f>IFERROR(__xludf.DUMMYFUNCTION("""COMPUTED_VALUE"""),"09/18")</f>
        <v>09/18</v>
      </c>
      <c r="J940" s="5">
        <f>IFERROR(__xludf.DUMMYFUNCTION("""COMPUTED_VALUE"""),43371.0)</f>
        <v>43371</v>
      </c>
      <c r="K940">
        <f>IFERROR(__xludf.DUMMYFUNCTION("""COMPUTED_VALUE"""),55.0)</f>
        <v>55</v>
      </c>
      <c r="L940">
        <f>IFERROR(__xludf.DUMMYFUNCTION("""COMPUTED_VALUE"""),17.0)</f>
        <v>17</v>
      </c>
      <c r="M940">
        <f>IFERROR(__xludf.DUMMYFUNCTION("""COMPUTED_VALUE"""),72.0)</f>
        <v>72</v>
      </c>
      <c r="N940" t="str">
        <f>IFERROR(__xludf.DUMMYFUNCTION("""COMPUTED_VALUE"""),"Model 3 LR AWD")</f>
        <v>Model 3 LR AWD</v>
      </c>
      <c r="O940" t="str">
        <f>IFERROR(__xludf.DUMMYFUNCTION("""COMPUTED_VALUE"""),"Midnight Silver Metallic")</f>
        <v>Midnight Silver Metallic</v>
      </c>
      <c r="P940" t="str">
        <f>IFERROR(__xludf.DUMMYFUNCTION("""COMPUTED_VALUE"""),"18 inch Aero")</f>
        <v>18 inch Aero</v>
      </c>
      <c r="Q940" t="str">
        <f>IFERROR(__xludf.DUMMYFUNCTION("""COMPUTED_VALUE"""),"Black seats")</f>
        <v>Black seats</v>
      </c>
      <c r="R940" t="str">
        <f>IFERROR(__xludf.DUMMYFUNCTION("""COMPUTED_VALUE"""),"Full Self-Driving")</f>
        <v>Full Self-Driving</v>
      </c>
      <c r="X940" t="str">
        <f>IFERROR(__xludf.DUMMYFUNCTION("""COMPUTED_VALUE"""),"Very Good")</f>
        <v>Very Good</v>
      </c>
      <c r="Y940" t="str">
        <f>IFERROR(__xludf.DUMMYFUNCTION("""COMPUTED_VALUE"""),"Very Good")</f>
        <v>Very Good</v>
      </c>
      <c r="Z940" t="str">
        <f>IFERROR(__xludf.DUMMYFUNCTION("""COMPUTED_VALUE"""),"Very Good")</f>
        <v>Very Good</v>
      </c>
      <c r="AA940" t="str">
        <f>IFERROR(__xludf.DUMMYFUNCTION("""COMPUTED_VALUE"""),"Good")</f>
        <v>Good</v>
      </c>
      <c r="AB940" t="str">
        <f>IFERROR(__xludf.DUMMYFUNCTION("""COMPUTED_VALUE"""),"Good")</f>
        <v>Good</v>
      </c>
      <c r="AH940" s="189">
        <f>IFERROR(__xludf.DUMMYFUNCTION("""COMPUTED_VALUE"""),43373.36156255787)</f>
        <v>43373.36156</v>
      </c>
    </row>
    <row r="941">
      <c r="A941" t="str">
        <f>IFERROR(__xludf.DUMMYFUNCTION("""COMPUTED_VALUE"""),"Omniver")</f>
        <v>Omniver</v>
      </c>
      <c r="B941" t="str">
        <f>IFERROR(__xludf.DUMMYFUNCTION("""COMPUTED_VALUE"""),"Boston")</f>
        <v>Boston</v>
      </c>
      <c r="C941" t="str">
        <f>IFERROR(__xludf.DUMMYFUNCTION("""COMPUTED_VALUE"""),"MA")</f>
        <v>MA</v>
      </c>
      <c r="D941" t="str">
        <f>IFERROR(__xludf.DUMMYFUNCTION("""COMPUTED_VALUE"""),"USA")</f>
        <v>USA</v>
      </c>
      <c r="E941" s="188">
        <f>IFERROR(__xludf.DUMMYFUNCTION("""COMPUTED_VALUE"""),43279.0)</f>
        <v>43279</v>
      </c>
      <c r="F941" s="188">
        <f>IFERROR(__xludf.DUMMYFUNCTION("""COMPUTED_VALUE"""),43370.0)</f>
        <v>43370</v>
      </c>
      <c r="H941">
        <f>IFERROR(__xludf.DUMMYFUNCTION("""COMPUTED_VALUE"""),86955.0)</f>
        <v>86955</v>
      </c>
      <c r="J941" s="5">
        <f>IFERROR(__xludf.DUMMYFUNCTION("""COMPUTED_VALUE"""),43371.0)</f>
        <v>43371</v>
      </c>
      <c r="K941">
        <f>IFERROR(__xludf.DUMMYFUNCTION("""COMPUTED_VALUE"""),91.0)</f>
        <v>91</v>
      </c>
      <c r="L941">
        <f>IFERROR(__xludf.DUMMYFUNCTION("""COMPUTED_VALUE"""),1.0)</f>
        <v>1</v>
      </c>
      <c r="M941">
        <f>IFERROR(__xludf.DUMMYFUNCTION("""COMPUTED_VALUE"""),92.0)</f>
        <v>92</v>
      </c>
      <c r="N941" t="str">
        <f>IFERROR(__xludf.DUMMYFUNCTION("""COMPUTED_VALUE"""),"Model 3 LR AWD")</f>
        <v>Model 3 LR AWD</v>
      </c>
      <c r="O941" t="str">
        <f>IFERROR(__xludf.DUMMYFUNCTION("""COMPUTED_VALUE"""),"Midnight Silver Metallic")</f>
        <v>Midnight Silver Metallic</v>
      </c>
      <c r="P941" t="str">
        <f>IFERROR(__xludf.DUMMYFUNCTION("""COMPUTED_VALUE"""),"19 inch Sport")</f>
        <v>19 inch Sport</v>
      </c>
      <c r="Q941" t="str">
        <f>IFERROR(__xludf.DUMMYFUNCTION("""COMPUTED_VALUE"""),"Black seats")</f>
        <v>Black seats</v>
      </c>
      <c r="R941" t="str">
        <f>IFERROR(__xludf.DUMMYFUNCTION("""COMPUTED_VALUE"""),"Enhanced Autopilot")</f>
        <v>Enhanced Autopilot</v>
      </c>
      <c r="X941" t="str">
        <f>IFERROR(__xludf.DUMMYFUNCTION("""COMPUTED_VALUE"""),"Excellent")</f>
        <v>Excellent</v>
      </c>
      <c r="Y941" t="str">
        <f>IFERROR(__xludf.DUMMYFUNCTION("""COMPUTED_VALUE"""),"Excellent")</f>
        <v>Excellent</v>
      </c>
      <c r="Z941" t="str">
        <f>IFERROR(__xludf.DUMMYFUNCTION("""COMPUTED_VALUE"""),"Good")</f>
        <v>Good</v>
      </c>
      <c r="AA941" t="str">
        <f>IFERROR(__xludf.DUMMYFUNCTION("""COMPUTED_VALUE"""),"Poor")</f>
        <v>Poor</v>
      </c>
      <c r="AB941" t="str">
        <f>IFERROR(__xludf.DUMMYFUNCTION("""COMPUTED_VALUE"""),"Good")</f>
        <v>Good</v>
      </c>
      <c r="AC941">
        <f>IFERROR(__xludf.DUMMYFUNCTION("""COMPUTED_VALUE"""),2.0)</f>
        <v>2</v>
      </c>
      <c r="AH941" s="189">
        <f>IFERROR(__xludf.DUMMYFUNCTION("""COMPUTED_VALUE"""),43373.37332251157)</f>
        <v>43373.37332</v>
      </c>
    </row>
    <row r="942">
      <c r="A942" t="str">
        <f>IFERROR(__xludf.DUMMYFUNCTION("""COMPUTED_VALUE"""),"TJcos (2)")</f>
        <v>TJcos (2)</v>
      </c>
      <c r="B942" t="str">
        <f>IFERROR(__xludf.DUMMYFUNCTION("""COMPUTED_VALUE"""),"Colorado Springs")</f>
        <v>Colorado Springs</v>
      </c>
      <c r="C942" t="str">
        <f>IFERROR(__xludf.DUMMYFUNCTION("""COMPUTED_VALUE"""),"CO")</f>
        <v>CO</v>
      </c>
      <c r="D942" t="str">
        <f>IFERROR(__xludf.DUMMYFUNCTION("""COMPUTED_VALUE"""),"USA")</f>
        <v>USA</v>
      </c>
      <c r="E942" s="188">
        <f>IFERROR(__xludf.DUMMYFUNCTION("""COMPUTED_VALUE"""),43281.0)</f>
        <v>43281</v>
      </c>
      <c r="F942" s="188">
        <f>IFERROR(__xludf.DUMMYFUNCTION("""COMPUTED_VALUE"""),43368.0)</f>
        <v>43368</v>
      </c>
      <c r="H942">
        <f>IFERROR(__xludf.DUMMYFUNCTION("""COMPUTED_VALUE"""),104755.0)</f>
        <v>104755</v>
      </c>
      <c r="I942" t="str">
        <f>IFERROR(__xludf.DUMMYFUNCTION("""COMPUTED_VALUE"""),"09/18")</f>
        <v>09/18</v>
      </c>
      <c r="J942" s="5">
        <f>IFERROR(__xludf.DUMMYFUNCTION("""COMPUTED_VALUE"""),43371.0)</f>
        <v>43371</v>
      </c>
      <c r="K942">
        <f>IFERROR(__xludf.DUMMYFUNCTION("""COMPUTED_VALUE"""),87.0)</f>
        <v>87</v>
      </c>
      <c r="L942">
        <f>IFERROR(__xludf.DUMMYFUNCTION("""COMPUTED_VALUE"""),3.0)</f>
        <v>3</v>
      </c>
      <c r="M942">
        <f>IFERROR(__xludf.DUMMYFUNCTION("""COMPUTED_VALUE"""),90.0)</f>
        <v>90</v>
      </c>
      <c r="N942" t="str">
        <f>IFERROR(__xludf.DUMMYFUNCTION("""COMPUTED_VALUE"""),"Model 3 LR AWD")</f>
        <v>Model 3 LR AWD</v>
      </c>
      <c r="O942" t="str">
        <f>IFERROR(__xludf.DUMMYFUNCTION("""COMPUTED_VALUE"""),"Red Multi-Coat")</f>
        <v>Red Multi-Coat</v>
      </c>
      <c r="P942" t="str">
        <f>IFERROR(__xludf.DUMMYFUNCTION("""COMPUTED_VALUE"""),"18 inch Aero")</f>
        <v>18 inch Aero</v>
      </c>
      <c r="Q942" t="str">
        <f>IFERROR(__xludf.DUMMYFUNCTION("""COMPUTED_VALUE"""),"Black seats")</f>
        <v>Black seats</v>
      </c>
      <c r="R942" t="str">
        <f>IFERROR(__xludf.DUMMYFUNCTION("""COMPUTED_VALUE"""),"Full Self-Driving")</f>
        <v>Full Self-Driving</v>
      </c>
      <c r="X942" t="str">
        <f>IFERROR(__xludf.DUMMYFUNCTION("""COMPUTED_VALUE"""),"Excellent")</f>
        <v>Excellent</v>
      </c>
      <c r="Y942" t="str">
        <f>IFERROR(__xludf.DUMMYFUNCTION("""COMPUTED_VALUE"""),"Excellent")</f>
        <v>Excellent</v>
      </c>
      <c r="Z942" t="str">
        <f>IFERROR(__xludf.DUMMYFUNCTION("""COMPUTED_VALUE"""),"Very Good")</f>
        <v>Very Good</v>
      </c>
      <c r="AA942" t="str">
        <f>IFERROR(__xludf.DUMMYFUNCTION("""COMPUTED_VALUE"""),"Poor")</f>
        <v>Poor</v>
      </c>
      <c r="AB942" t="str">
        <f>IFERROR(__xludf.DUMMYFUNCTION("""COMPUTED_VALUE"""),"Poor")</f>
        <v>Poor</v>
      </c>
      <c r="AH942" s="189">
        <f>IFERROR(__xludf.DUMMYFUNCTION("""COMPUTED_VALUE"""),43373.40884452546)</f>
        <v>43373.40884</v>
      </c>
    </row>
    <row r="943">
      <c r="A943" t="str">
        <f>IFERROR(__xludf.DUMMYFUNCTION("""COMPUTED_VALUE"""),"TJCOS")</f>
        <v>TJCOS</v>
      </c>
      <c r="B943" t="str">
        <f>IFERROR(__xludf.DUMMYFUNCTION("""COMPUTED_VALUE"""),"Colorado Springs")</f>
        <v>Colorado Springs</v>
      </c>
      <c r="C943" t="str">
        <f>IFERROR(__xludf.DUMMYFUNCTION("""COMPUTED_VALUE"""),"CO")</f>
        <v>CO</v>
      </c>
      <c r="D943" t="str">
        <f>IFERROR(__xludf.DUMMYFUNCTION("""COMPUTED_VALUE"""),"USA")</f>
        <v>USA</v>
      </c>
      <c r="E943" s="188">
        <f>IFERROR(__xludf.DUMMYFUNCTION("""COMPUTED_VALUE"""),43277.0)</f>
        <v>43277</v>
      </c>
      <c r="F943" s="188">
        <f>IFERROR(__xludf.DUMMYFUNCTION("""COMPUTED_VALUE"""),43341.0)</f>
        <v>43341</v>
      </c>
      <c r="H943">
        <f>IFERROR(__xludf.DUMMYFUNCTION("""COMPUTED_VALUE"""),70655.0)</f>
        <v>70655</v>
      </c>
      <c r="I943" t="str">
        <f>IFERROR(__xludf.DUMMYFUNCTION("""COMPUTED_VALUE"""),"08/18")</f>
        <v>08/18</v>
      </c>
      <c r="J943" s="5">
        <f>IFERROR(__xludf.DUMMYFUNCTION("""COMPUTED_VALUE"""),43350.0)</f>
        <v>43350</v>
      </c>
      <c r="K943">
        <f>IFERROR(__xludf.DUMMYFUNCTION("""COMPUTED_VALUE"""),64.0)</f>
        <v>64</v>
      </c>
      <c r="L943">
        <f>IFERROR(__xludf.DUMMYFUNCTION("""COMPUTED_VALUE"""),9.0)</f>
        <v>9</v>
      </c>
      <c r="M943">
        <f>IFERROR(__xludf.DUMMYFUNCTION("""COMPUTED_VALUE"""),73.0)</f>
        <v>73</v>
      </c>
      <c r="N943" t="str">
        <f>IFERROR(__xludf.DUMMYFUNCTION("""COMPUTED_VALUE"""),"Model 3 LR AWD")</f>
        <v>Model 3 LR AWD</v>
      </c>
      <c r="O943" t="str">
        <f>IFERROR(__xludf.DUMMYFUNCTION("""COMPUTED_VALUE"""),"Obsidian Black Metallic")</f>
        <v>Obsidian Black Metallic</v>
      </c>
      <c r="P943" t="str">
        <f>IFERROR(__xludf.DUMMYFUNCTION("""COMPUTED_VALUE"""),"18 inch Aero")</f>
        <v>18 inch Aero</v>
      </c>
      <c r="Q943" t="str">
        <f>IFERROR(__xludf.DUMMYFUNCTION("""COMPUTED_VALUE"""),"Black seats")</f>
        <v>Black seats</v>
      </c>
      <c r="R943" t="str">
        <f>IFERROR(__xludf.DUMMYFUNCTION("""COMPUTED_VALUE"""),"Full Self-Driving")</f>
        <v>Full Self-Driving</v>
      </c>
      <c r="X943" t="str">
        <f>IFERROR(__xludf.DUMMYFUNCTION("""COMPUTED_VALUE"""),"Excellent")</f>
        <v>Excellent</v>
      </c>
      <c r="Y943" t="str">
        <f>IFERROR(__xludf.DUMMYFUNCTION("""COMPUTED_VALUE"""),"Fair")</f>
        <v>Fair</v>
      </c>
      <c r="Z943" t="str">
        <f>IFERROR(__xludf.DUMMYFUNCTION("""COMPUTED_VALUE"""),"Poor")</f>
        <v>Poor</v>
      </c>
      <c r="AA943" t="str">
        <f>IFERROR(__xludf.DUMMYFUNCTION("""COMPUTED_VALUE"""),"Poor")</f>
        <v>Poor</v>
      </c>
      <c r="AB943" t="str">
        <f>IFERROR(__xludf.DUMMYFUNCTION("""COMPUTED_VALUE"""),"Fair")</f>
        <v>Fair</v>
      </c>
      <c r="AC943">
        <f>IFERROR(__xludf.DUMMYFUNCTION("""COMPUTED_VALUE"""),4.0)</f>
        <v>4</v>
      </c>
      <c r="AH943" s="189">
        <f>IFERROR(__xludf.DUMMYFUNCTION("""COMPUTED_VALUE"""),43373.41142399306)</f>
        <v>43373.41142</v>
      </c>
    </row>
    <row r="944">
      <c r="A944" t="str">
        <f>IFERROR(__xludf.DUMMYFUNCTION("""COMPUTED_VALUE"""),"NotARedditor")</f>
        <v>NotARedditor</v>
      </c>
      <c r="B944" t="str">
        <f>IFERROR(__xludf.DUMMYFUNCTION("""COMPUTED_VALUE"""),"Seattle")</f>
        <v>Seattle</v>
      </c>
      <c r="C944" t="str">
        <f>IFERROR(__xludf.DUMMYFUNCTION("""COMPUTED_VALUE"""),"WA")</f>
        <v>WA</v>
      </c>
      <c r="D944" t="str">
        <f>IFERROR(__xludf.DUMMYFUNCTION("""COMPUTED_VALUE"""),"USA")</f>
        <v>USA</v>
      </c>
      <c r="E944" s="188">
        <f>IFERROR(__xludf.DUMMYFUNCTION("""COMPUTED_VALUE"""),43279.0)</f>
        <v>43279</v>
      </c>
      <c r="F944" s="188">
        <f>IFERROR(__xludf.DUMMYFUNCTION("""COMPUTED_VALUE"""),43368.0)</f>
        <v>43368</v>
      </c>
      <c r="H944">
        <f>IFERROR(__xludf.DUMMYFUNCTION("""COMPUTED_VALUE"""),85355.0)</f>
        <v>85355</v>
      </c>
      <c r="J944" s="5">
        <f>IFERROR(__xludf.DUMMYFUNCTION("""COMPUTED_VALUE"""),43371.0)</f>
        <v>43371</v>
      </c>
      <c r="K944">
        <f>IFERROR(__xludf.DUMMYFUNCTION("""COMPUTED_VALUE"""),89.0)</f>
        <v>89</v>
      </c>
      <c r="L944">
        <f>IFERROR(__xludf.DUMMYFUNCTION("""COMPUTED_VALUE"""),3.0)</f>
        <v>3</v>
      </c>
      <c r="M944">
        <f>IFERROR(__xludf.DUMMYFUNCTION("""COMPUTED_VALUE"""),92.0)</f>
        <v>92</v>
      </c>
      <c r="N944" t="str">
        <f>IFERROR(__xludf.DUMMYFUNCTION("""COMPUTED_VALUE"""),"Model 3 LR AWD")</f>
        <v>Model 3 LR AWD</v>
      </c>
      <c r="O944" t="str">
        <f>IFERROR(__xludf.DUMMYFUNCTION("""COMPUTED_VALUE"""),"Pearl White Multi-Coat")</f>
        <v>Pearl White Multi-Coat</v>
      </c>
      <c r="P944" t="str">
        <f>IFERROR(__xludf.DUMMYFUNCTION("""COMPUTED_VALUE"""),"18 inch Aero")</f>
        <v>18 inch Aero</v>
      </c>
      <c r="Q944" t="str">
        <f>IFERROR(__xludf.DUMMYFUNCTION("""COMPUTED_VALUE"""),"Black seats")</f>
        <v>Black seats</v>
      </c>
      <c r="R944" t="str">
        <f>IFERROR(__xludf.DUMMYFUNCTION("""COMPUTED_VALUE"""),"None")</f>
        <v>None</v>
      </c>
      <c r="X944" t="str">
        <f>IFERROR(__xludf.DUMMYFUNCTION("""COMPUTED_VALUE"""),"Excellent")</f>
        <v>Excellent</v>
      </c>
      <c r="Y944" t="str">
        <f>IFERROR(__xludf.DUMMYFUNCTION("""COMPUTED_VALUE"""),"Excellent")</f>
        <v>Excellent</v>
      </c>
      <c r="Z944" t="str">
        <f>IFERROR(__xludf.DUMMYFUNCTION("""COMPUTED_VALUE"""),"Excellent")</f>
        <v>Excellent</v>
      </c>
      <c r="AA944" t="str">
        <f>IFERROR(__xludf.DUMMYFUNCTION("""COMPUTED_VALUE"""),"Very Good")</f>
        <v>Very Good</v>
      </c>
      <c r="AB944" t="str">
        <f>IFERROR(__xludf.DUMMYFUNCTION("""COMPUTED_VALUE"""),"Excellent")</f>
        <v>Excellent</v>
      </c>
      <c r="AH944" s="189">
        <f>IFERROR(__xludf.DUMMYFUNCTION("""COMPUTED_VALUE"""),43373.42673928241)</f>
        <v>43373.42674</v>
      </c>
    </row>
    <row r="945">
      <c r="A945" t="str">
        <f>IFERROR(__xludf.DUMMYFUNCTION("""COMPUTED_VALUE"""),"cds")</f>
        <v>cds</v>
      </c>
      <c r="B945" t="str">
        <f>IFERROR(__xludf.DUMMYFUNCTION("""COMPUTED_VALUE"""),"Portland")</f>
        <v>Portland</v>
      </c>
      <c r="C945" t="str">
        <f>IFERROR(__xludf.DUMMYFUNCTION("""COMPUTED_VALUE"""),"OR")</f>
        <v>OR</v>
      </c>
      <c r="D945" t="str">
        <f>IFERROR(__xludf.DUMMYFUNCTION("""COMPUTED_VALUE"""),"USA")</f>
        <v>USA</v>
      </c>
      <c r="E945" s="188">
        <f>IFERROR(__xludf.DUMMYFUNCTION("""COMPUTED_VALUE"""),43299.0)</f>
        <v>43299</v>
      </c>
      <c r="F945" s="188">
        <f>IFERROR(__xludf.DUMMYFUNCTION("""COMPUTED_VALUE"""),43368.0)</f>
        <v>43368</v>
      </c>
      <c r="H945">
        <f>IFERROR(__xludf.DUMMYFUNCTION("""COMPUTED_VALUE"""),89955.0)</f>
        <v>89955</v>
      </c>
      <c r="I945" t="str">
        <f>IFERROR(__xludf.DUMMYFUNCTION("""COMPUTED_VALUE"""),"09/18")</f>
        <v>09/18</v>
      </c>
      <c r="J945" s="5">
        <f>IFERROR(__xludf.DUMMYFUNCTION("""COMPUTED_VALUE"""),43372.0)</f>
        <v>43372</v>
      </c>
      <c r="K945">
        <f>IFERROR(__xludf.DUMMYFUNCTION("""COMPUTED_VALUE"""),69.0)</f>
        <v>69</v>
      </c>
      <c r="L945">
        <f>IFERROR(__xludf.DUMMYFUNCTION("""COMPUTED_VALUE"""),4.0)</f>
        <v>4</v>
      </c>
      <c r="M945">
        <f>IFERROR(__xludf.DUMMYFUNCTION("""COMPUTED_VALUE"""),73.0)</f>
        <v>73</v>
      </c>
      <c r="N945" t="str">
        <f>IFERROR(__xludf.DUMMYFUNCTION("""COMPUTED_VALUE"""),"Model 3 LR AWD")</f>
        <v>Model 3 LR AWD</v>
      </c>
      <c r="O945" t="str">
        <f>IFERROR(__xludf.DUMMYFUNCTION("""COMPUTED_VALUE"""),"Silver Metallic")</f>
        <v>Silver Metallic</v>
      </c>
      <c r="P945" t="str">
        <f>IFERROR(__xludf.DUMMYFUNCTION("""COMPUTED_VALUE"""),"18 inch Aero")</f>
        <v>18 inch Aero</v>
      </c>
      <c r="Q945" t="str">
        <f>IFERROR(__xludf.DUMMYFUNCTION("""COMPUTED_VALUE"""),"Black seats")</f>
        <v>Black seats</v>
      </c>
      <c r="R945" t="str">
        <f>IFERROR(__xludf.DUMMYFUNCTION("""COMPUTED_VALUE"""),"Enhanced Autopilot")</f>
        <v>Enhanced Autopilot</v>
      </c>
      <c r="X945" t="str">
        <f>IFERROR(__xludf.DUMMYFUNCTION("""COMPUTED_VALUE"""),"Excellent")</f>
        <v>Excellent</v>
      </c>
      <c r="Y945" t="str">
        <f>IFERROR(__xludf.DUMMYFUNCTION("""COMPUTED_VALUE"""),"Excellent")</f>
        <v>Excellent</v>
      </c>
      <c r="Z945" t="str">
        <f>IFERROR(__xludf.DUMMYFUNCTION("""COMPUTED_VALUE"""),"Excellent")</f>
        <v>Excellent</v>
      </c>
      <c r="AA945" t="str">
        <f>IFERROR(__xludf.DUMMYFUNCTION("""COMPUTED_VALUE"""),"Very Good")</f>
        <v>Very Good</v>
      </c>
      <c r="AB945" t="str">
        <f>IFERROR(__xludf.DUMMYFUNCTION("""COMPUTED_VALUE"""),"Very Good")</f>
        <v>Very Good</v>
      </c>
      <c r="AH945" s="189">
        <f>IFERROR(__xludf.DUMMYFUNCTION("""COMPUTED_VALUE"""),43373.439320833335)</f>
        <v>43373.43932</v>
      </c>
    </row>
    <row r="946">
      <c r="A946" t="str">
        <f>IFERROR(__xludf.DUMMYFUNCTION("""COMPUTED_VALUE"""),"JamesG")</f>
        <v>JamesG</v>
      </c>
      <c r="B946" t="str">
        <f>IFERROR(__xludf.DUMMYFUNCTION("""COMPUTED_VALUE"""),"Draper")</f>
        <v>Draper</v>
      </c>
      <c r="C946" t="str">
        <f>IFERROR(__xludf.DUMMYFUNCTION("""COMPUTED_VALUE"""),"UT")</f>
        <v>UT</v>
      </c>
      <c r="D946" t="str">
        <f>IFERROR(__xludf.DUMMYFUNCTION("""COMPUTED_VALUE"""),"USA")</f>
        <v>USA</v>
      </c>
      <c r="E946" s="188">
        <f>IFERROR(__xludf.DUMMYFUNCTION("""COMPUTED_VALUE"""),43278.0)</f>
        <v>43278</v>
      </c>
      <c r="F946" s="188">
        <f>IFERROR(__xludf.DUMMYFUNCTION("""COMPUTED_VALUE"""),43369.0)</f>
        <v>43369</v>
      </c>
      <c r="H946">
        <f>IFERROR(__xludf.DUMMYFUNCTION("""COMPUTED_VALUE"""),90255.0)</f>
        <v>90255</v>
      </c>
      <c r="J946" s="5">
        <f>IFERROR(__xludf.DUMMYFUNCTION("""COMPUTED_VALUE"""),43372.0)</f>
        <v>43372</v>
      </c>
      <c r="K946">
        <f>IFERROR(__xludf.DUMMYFUNCTION("""COMPUTED_VALUE"""),91.0)</f>
        <v>91</v>
      </c>
      <c r="L946">
        <f>IFERROR(__xludf.DUMMYFUNCTION("""COMPUTED_VALUE"""),3.0)</f>
        <v>3</v>
      </c>
      <c r="M946">
        <f>IFERROR(__xludf.DUMMYFUNCTION("""COMPUTED_VALUE"""),94.0)</f>
        <v>94</v>
      </c>
      <c r="N946" t="str">
        <f>IFERROR(__xludf.DUMMYFUNCTION("""COMPUTED_VALUE"""),"Model 3 LR AWD")</f>
        <v>Model 3 LR AWD</v>
      </c>
      <c r="O946" t="str">
        <f>IFERROR(__xludf.DUMMYFUNCTION("""COMPUTED_VALUE"""),"Pearl White Multi-Coat")</f>
        <v>Pearl White Multi-Coat</v>
      </c>
      <c r="P946" t="str">
        <f>IFERROR(__xludf.DUMMYFUNCTION("""COMPUTED_VALUE"""),"18 inch Aero")</f>
        <v>18 inch Aero</v>
      </c>
      <c r="Q946" t="str">
        <f>IFERROR(__xludf.DUMMYFUNCTION("""COMPUTED_VALUE"""),"Black seats")</f>
        <v>Black seats</v>
      </c>
      <c r="R946" t="str">
        <f>IFERROR(__xludf.DUMMYFUNCTION("""COMPUTED_VALUE"""),"None")</f>
        <v>None</v>
      </c>
      <c r="X946" t="str">
        <f>IFERROR(__xludf.DUMMYFUNCTION("""COMPUTED_VALUE"""),"Excellent")</f>
        <v>Excellent</v>
      </c>
      <c r="Y946" t="str">
        <f>IFERROR(__xludf.DUMMYFUNCTION("""COMPUTED_VALUE"""),"Excellent")</f>
        <v>Excellent</v>
      </c>
      <c r="Z946" t="str">
        <f>IFERROR(__xludf.DUMMYFUNCTION("""COMPUTED_VALUE"""),"Excellent")</f>
        <v>Excellent</v>
      </c>
      <c r="AA946" t="str">
        <f>IFERROR(__xludf.DUMMYFUNCTION("""COMPUTED_VALUE"""),"Very Good")</f>
        <v>Very Good</v>
      </c>
      <c r="AB946" t="str">
        <f>IFERROR(__xludf.DUMMYFUNCTION("""COMPUTED_VALUE"""),"Very Good")</f>
        <v>Very Good</v>
      </c>
      <c r="AH946" s="189">
        <f>IFERROR(__xludf.DUMMYFUNCTION("""COMPUTED_VALUE"""),43373.49292690972)</f>
        <v>43373.49293</v>
      </c>
    </row>
    <row r="947">
      <c r="A947" t="str">
        <f>IFERROR(__xludf.DUMMYFUNCTION("""COMPUTED_VALUE"""),"Rfd")</f>
        <v>Rfd</v>
      </c>
      <c r="B947" t="str">
        <f>IFERROR(__xludf.DUMMYFUNCTION("""COMPUTED_VALUE"""),"Sacramento ")</f>
        <v>Sacramento </v>
      </c>
      <c r="C947" t="str">
        <f>IFERROR(__xludf.DUMMYFUNCTION("""COMPUTED_VALUE"""),"CA")</f>
        <v>CA</v>
      </c>
      <c r="D947" t="str">
        <f>IFERROR(__xludf.DUMMYFUNCTION("""COMPUTED_VALUE"""),"USA")</f>
        <v>USA</v>
      </c>
      <c r="E947" s="188">
        <f>IFERROR(__xludf.DUMMYFUNCTION("""COMPUTED_VALUE"""),43297.0)</f>
        <v>43297</v>
      </c>
      <c r="F947" s="188">
        <f>IFERROR(__xludf.DUMMYFUNCTION("""COMPUTED_VALUE"""),43366.0)</f>
        <v>43366</v>
      </c>
      <c r="H947">
        <f>IFERROR(__xludf.DUMMYFUNCTION("""COMPUTED_VALUE"""),10555.0)</f>
        <v>10555</v>
      </c>
      <c r="I947" t="str">
        <f>IFERROR(__xludf.DUMMYFUNCTION("""COMPUTED_VALUE"""),"09/18")</f>
        <v>09/18</v>
      </c>
      <c r="J947" s="5">
        <f>IFERROR(__xludf.DUMMYFUNCTION("""COMPUTED_VALUE"""),43373.0)</f>
        <v>43373</v>
      </c>
      <c r="K947">
        <f>IFERROR(__xludf.DUMMYFUNCTION("""COMPUTED_VALUE"""),69.0)</f>
        <v>69</v>
      </c>
      <c r="L947">
        <f>IFERROR(__xludf.DUMMYFUNCTION("""COMPUTED_VALUE"""),7.0)</f>
        <v>7</v>
      </c>
      <c r="M947">
        <f>IFERROR(__xludf.DUMMYFUNCTION("""COMPUTED_VALUE"""),76.0)</f>
        <v>76</v>
      </c>
      <c r="N947" t="str">
        <f>IFERROR(__xludf.DUMMYFUNCTION("""COMPUTED_VALUE"""),"Model 3 LR AWD")</f>
        <v>Model 3 LR AWD</v>
      </c>
      <c r="O947" t="str">
        <f>IFERROR(__xludf.DUMMYFUNCTION("""COMPUTED_VALUE"""),"Deep Blue Metallic")</f>
        <v>Deep Blue Metallic</v>
      </c>
      <c r="P947" t="str">
        <f>IFERROR(__xludf.DUMMYFUNCTION("""COMPUTED_VALUE"""),"18 inch Aero")</f>
        <v>18 inch Aero</v>
      </c>
      <c r="Q947" t="str">
        <f>IFERROR(__xludf.DUMMYFUNCTION("""COMPUTED_VALUE"""),"Black seats")</f>
        <v>Black seats</v>
      </c>
      <c r="R947" t="str">
        <f>IFERROR(__xludf.DUMMYFUNCTION("""COMPUTED_VALUE"""),"Enhanced Autopilot")</f>
        <v>Enhanced Autopilot</v>
      </c>
      <c r="X947" t="str">
        <f>IFERROR(__xludf.DUMMYFUNCTION("""COMPUTED_VALUE"""),"Excellent")</f>
        <v>Excellent</v>
      </c>
      <c r="Y947" t="str">
        <f>IFERROR(__xludf.DUMMYFUNCTION("""COMPUTED_VALUE"""),"Excellent")</f>
        <v>Excellent</v>
      </c>
      <c r="Z947" t="str">
        <f>IFERROR(__xludf.DUMMYFUNCTION("""COMPUTED_VALUE"""),"Excellent")</f>
        <v>Excellent</v>
      </c>
      <c r="AA947" t="str">
        <f>IFERROR(__xludf.DUMMYFUNCTION("""COMPUTED_VALUE"""),"Excellent")</f>
        <v>Excellent</v>
      </c>
      <c r="AB947" t="str">
        <f>IFERROR(__xludf.DUMMYFUNCTION("""COMPUTED_VALUE"""),"Excellent")</f>
        <v>Excellent</v>
      </c>
      <c r="AG947" t="str">
        <f>IFERROR(__xludf.DUMMYFUNCTION("""COMPUTED_VALUE"""),"Changed from 19”to 18” Aeros 7/29")</f>
        <v>Changed from 19”to 18” Aeros 7/29</v>
      </c>
      <c r="AH947" s="189">
        <f>IFERROR(__xludf.DUMMYFUNCTION("""COMPUTED_VALUE"""),43373.53924540509)</f>
        <v>43373.53925</v>
      </c>
    </row>
    <row r="948">
      <c r="A948" t="str">
        <f>IFERROR(__xludf.DUMMYFUNCTION("""COMPUTED_VALUE"""),"cylarian")</f>
        <v>cylarian</v>
      </c>
      <c r="B948" t="str">
        <f>IFERROR(__xludf.DUMMYFUNCTION("""COMPUTED_VALUE"""),"San Diego")</f>
        <v>San Diego</v>
      </c>
      <c r="C948" t="str">
        <f>IFERROR(__xludf.DUMMYFUNCTION("""COMPUTED_VALUE"""),"CA")</f>
        <v>CA</v>
      </c>
      <c r="D948" t="str">
        <f>IFERROR(__xludf.DUMMYFUNCTION("""COMPUTED_VALUE"""),"USA")</f>
        <v>USA</v>
      </c>
      <c r="E948" s="188">
        <f>IFERROR(__xludf.DUMMYFUNCTION("""COMPUTED_VALUE"""),43278.0)</f>
        <v>43278</v>
      </c>
      <c r="F948" s="188">
        <f>IFERROR(__xludf.DUMMYFUNCTION("""COMPUTED_VALUE"""),43370.0)</f>
        <v>43370</v>
      </c>
      <c r="H948">
        <f>IFERROR(__xludf.DUMMYFUNCTION("""COMPUTED_VALUE"""),93955.0)</f>
        <v>93955</v>
      </c>
      <c r="I948" t="str">
        <f>IFERROR(__xludf.DUMMYFUNCTION("""COMPUTED_VALUE"""),"09/18")</f>
        <v>09/18</v>
      </c>
      <c r="J948" s="5">
        <f>IFERROR(__xludf.DUMMYFUNCTION("""COMPUTED_VALUE"""),43372.0)</f>
        <v>43372</v>
      </c>
      <c r="K948">
        <f>IFERROR(__xludf.DUMMYFUNCTION("""COMPUTED_VALUE"""),92.0)</f>
        <v>92</v>
      </c>
      <c r="L948">
        <f>IFERROR(__xludf.DUMMYFUNCTION("""COMPUTED_VALUE"""),2.0)</f>
        <v>2</v>
      </c>
      <c r="M948">
        <f>IFERROR(__xludf.DUMMYFUNCTION("""COMPUTED_VALUE"""),94.0)</f>
        <v>94</v>
      </c>
      <c r="N948" t="str">
        <f>IFERROR(__xludf.DUMMYFUNCTION("""COMPUTED_VALUE"""),"Model 3 LR AWD")</f>
        <v>Model 3 LR AWD</v>
      </c>
      <c r="O948" t="str">
        <f>IFERROR(__xludf.DUMMYFUNCTION("""COMPUTED_VALUE"""),"Deep Blue Metallic")</f>
        <v>Deep Blue Metallic</v>
      </c>
      <c r="P948" t="str">
        <f>IFERROR(__xludf.DUMMYFUNCTION("""COMPUTED_VALUE"""),"18 inch Aero")</f>
        <v>18 inch Aero</v>
      </c>
      <c r="Q948" t="str">
        <f>IFERROR(__xludf.DUMMYFUNCTION("""COMPUTED_VALUE"""),"Black seats")</f>
        <v>Black seats</v>
      </c>
      <c r="R948" t="str">
        <f>IFERROR(__xludf.DUMMYFUNCTION("""COMPUTED_VALUE"""),"Full Self-Driving")</f>
        <v>Full Self-Driving</v>
      </c>
      <c r="X948" t="str">
        <f>IFERROR(__xludf.DUMMYFUNCTION("""COMPUTED_VALUE"""),"Fair")</f>
        <v>Fair</v>
      </c>
      <c r="Y948" t="str">
        <f>IFERROR(__xludf.DUMMYFUNCTION("""COMPUTED_VALUE"""),"Fair")</f>
        <v>Fair</v>
      </c>
      <c r="Z948" t="str">
        <f>IFERROR(__xludf.DUMMYFUNCTION("""COMPUTED_VALUE"""),"Fair")</f>
        <v>Fair</v>
      </c>
      <c r="AA948" t="str">
        <f>IFERROR(__xludf.DUMMYFUNCTION("""COMPUTED_VALUE"""),"Poor")</f>
        <v>Poor</v>
      </c>
      <c r="AB948" t="str">
        <f>IFERROR(__xludf.DUMMYFUNCTION("""COMPUTED_VALUE"""),"Fair")</f>
        <v>Fair</v>
      </c>
      <c r="AC948">
        <f>IFERROR(__xludf.DUMMYFUNCTION("""COMPUTED_VALUE"""),8.0)</f>
        <v>8</v>
      </c>
      <c r="AH948" s="189">
        <f>IFERROR(__xludf.DUMMYFUNCTION("""COMPUTED_VALUE"""),43373.630613078705)</f>
        <v>43373.63061</v>
      </c>
    </row>
    <row r="949">
      <c r="A949" t="str">
        <f>IFERROR(__xludf.DUMMYFUNCTION("""COMPUTED_VALUE"""),"Provis81")</f>
        <v>Provis81</v>
      </c>
      <c r="B949" t="str">
        <f>IFERROR(__xludf.DUMMYFUNCTION("""COMPUTED_VALUE"""),"Oklahoma City")</f>
        <v>Oklahoma City</v>
      </c>
      <c r="C949" t="str">
        <f>IFERROR(__xludf.DUMMYFUNCTION("""COMPUTED_VALUE"""),"OK")</f>
        <v>OK</v>
      </c>
      <c r="D949" t="str">
        <f>IFERROR(__xludf.DUMMYFUNCTION("""COMPUTED_VALUE"""),"USA")</f>
        <v>USA</v>
      </c>
      <c r="E949" s="188">
        <f>IFERROR(__xludf.DUMMYFUNCTION("""COMPUTED_VALUE"""),43281.0)</f>
        <v>43281</v>
      </c>
      <c r="F949" s="188">
        <f>IFERROR(__xludf.DUMMYFUNCTION("""COMPUTED_VALUE"""),43357.0)</f>
        <v>43357</v>
      </c>
      <c r="H949">
        <f>IFERROR(__xludf.DUMMYFUNCTION("""COMPUTED_VALUE"""),74155.0)</f>
        <v>74155</v>
      </c>
      <c r="J949" s="5">
        <f>IFERROR(__xludf.DUMMYFUNCTION("""COMPUTED_VALUE"""),43373.0)</f>
        <v>43373</v>
      </c>
      <c r="K949">
        <f>IFERROR(__xludf.DUMMYFUNCTION("""COMPUTED_VALUE"""),76.0)</f>
        <v>76</v>
      </c>
      <c r="L949">
        <f>IFERROR(__xludf.DUMMYFUNCTION("""COMPUTED_VALUE"""),16.0)</f>
        <v>16</v>
      </c>
      <c r="M949">
        <f>IFERROR(__xludf.DUMMYFUNCTION("""COMPUTED_VALUE"""),92.0)</f>
        <v>92</v>
      </c>
      <c r="N949" t="str">
        <f>IFERROR(__xludf.DUMMYFUNCTION("""COMPUTED_VALUE"""),"Model 3 Performance")</f>
        <v>Model 3 Performance</v>
      </c>
      <c r="O949" t="str">
        <f>IFERROR(__xludf.DUMMYFUNCTION("""COMPUTED_VALUE"""),"Deep Blue Metallic")</f>
        <v>Deep Blue Metallic</v>
      </c>
      <c r="P949" t="str">
        <f>IFERROR(__xludf.DUMMYFUNCTION("""COMPUTED_VALUE"""),"20 inch Sport")</f>
        <v>20 inch Sport</v>
      </c>
      <c r="Q949" t="str">
        <f>IFERROR(__xludf.DUMMYFUNCTION("""COMPUTED_VALUE"""),"White seats")</f>
        <v>White seats</v>
      </c>
      <c r="R949" t="str">
        <f>IFERROR(__xludf.DUMMYFUNCTION("""COMPUTED_VALUE"""),"Full Self-Driving")</f>
        <v>Full Self-Driving</v>
      </c>
      <c r="AC949">
        <f>IFERROR(__xludf.DUMMYFUNCTION("""COMPUTED_VALUE"""),0.0)</f>
        <v>0</v>
      </c>
      <c r="AD949">
        <f>IFERROR(__xludf.DUMMYFUNCTION("""COMPUTED_VALUE"""),0.0)</f>
        <v>0</v>
      </c>
      <c r="AE949">
        <f>IFERROR(__xludf.DUMMYFUNCTION("""COMPUTED_VALUE"""),0.0)</f>
        <v>0</v>
      </c>
      <c r="AH949" s="189">
        <f>IFERROR(__xludf.DUMMYFUNCTION("""COMPUTED_VALUE"""),43373.66795769676)</f>
        <v>43373.66796</v>
      </c>
    </row>
    <row r="950">
      <c r="A950" t="str">
        <f>IFERROR(__xludf.DUMMYFUNCTION("""COMPUTED_VALUE"""),"TM3Scott")</f>
        <v>TM3Scott</v>
      </c>
      <c r="B950" t="str">
        <f>IFERROR(__xludf.DUMMYFUNCTION("""COMPUTED_VALUE"""),"Chicagoland")</f>
        <v>Chicagoland</v>
      </c>
      <c r="C950" t="str">
        <f>IFERROR(__xludf.DUMMYFUNCTION("""COMPUTED_VALUE"""),"IL")</f>
        <v>IL</v>
      </c>
      <c r="D950" t="str">
        <f>IFERROR(__xludf.DUMMYFUNCTION("""COMPUTED_VALUE"""),"USA")</f>
        <v>USA</v>
      </c>
      <c r="E950" s="188">
        <f>IFERROR(__xludf.DUMMYFUNCTION("""COMPUTED_VALUE"""),43278.0)</f>
        <v>43278</v>
      </c>
      <c r="F950" s="188">
        <f>IFERROR(__xludf.DUMMYFUNCTION("""COMPUTED_VALUE"""),43368.0)</f>
        <v>43368</v>
      </c>
      <c r="H950">
        <f>IFERROR(__xludf.DUMMYFUNCTION("""COMPUTED_VALUE"""),105055.0)</f>
        <v>105055</v>
      </c>
      <c r="I950" t="str">
        <f>IFERROR(__xludf.DUMMYFUNCTION("""COMPUTED_VALUE"""),"09/18")</f>
        <v>09/18</v>
      </c>
      <c r="J950" s="5">
        <f>IFERROR(__xludf.DUMMYFUNCTION("""COMPUTED_VALUE"""),43371.0)</f>
        <v>43371</v>
      </c>
      <c r="K950">
        <f>IFERROR(__xludf.DUMMYFUNCTION("""COMPUTED_VALUE"""),90.0)</f>
        <v>90</v>
      </c>
      <c r="L950">
        <f>IFERROR(__xludf.DUMMYFUNCTION("""COMPUTED_VALUE"""),3.0)</f>
        <v>3</v>
      </c>
      <c r="M950">
        <f>IFERROR(__xludf.DUMMYFUNCTION("""COMPUTED_VALUE"""),93.0)</f>
        <v>93</v>
      </c>
      <c r="N950" t="str">
        <f>IFERROR(__xludf.DUMMYFUNCTION("""COMPUTED_VALUE"""),"Model 3 LR AWD")</f>
        <v>Model 3 LR AWD</v>
      </c>
      <c r="O950" t="str">
        <f>IFERROR(__xludf.DUMMYFUNCTION("""COMPUTED_VALUE"""),"Deep Blue Metallic")</f>
        <v>Deep Blue Metallic</v>
      </c>
      <c r="P950" t="str">
        <f>IFERROR(__xludf.DUMMYFUNCTION("""COMPUTED_VALUE"""),"18 inch Aero")</f>
        <v>18 inch Aero</v>
      </c>
      <c r="Q950" t="str">
        <f>IFERROR(__xludf.DUMMYFUNCTION("""COMPUTED_VALUE"""),"Black seats")</f>
        <v>Black seats</v>
      </c>
      <c r="R950" t="str">
        <f>IFERROR(__xludf.DUMMYFUNCTION("""COMPUTED_VALUE"""),"Enhanced Autopilot")</f>
        <v>Enhanced Autopilot</v>
      </c>
      <c r="X950" t="str">
        <f>IFERROR(__xludf.DUMMYFUNCTION("""COMPUTED_VALUE"""),"Excellent")</f>
        <v>Excellent</v>
      </c>
      <c r="Y950" t="str">
        <f>IFERROR(__xludf.DUMMYFUNCTION("""COMPUTED_VALUE"""),"Excellent")</f>
        <v>Excellent</v>
      </c>
      <c r="Z950" t="str">
        <f>IFERROR(__xludf.DUMMYFUNCTION("""COMPUTED_VALUE"""),"Very Good")</f>
        <v>Very Good</v>
      </c>
      <c r="AA950" t="str">
        <f>IFERROR(__xludf.DUMMYFUNCTION("""COMPUTED_VALUE"""),"Fair")</f>
        <v>Fair</v>
      </c>
      <c r="AB950" t="str">
        <f>IFERROR(__xludf.DUMMYFUNCTION("""COMPUTED_VALUE"""),"Excellent")</f>
        <v>Excellent</v>
      </c>
      <c r="AH950" s="189">
        <f>IFERROR(__xludf.DUMMYFUNCTION("""COMPUTED_VALUE"""),43373.72338023148)</f>
        <v>43373.72338</v>
      </c>
    </row>
    <row r="951">
      <c r="A951" t="str">
        <f>IFERROR(__xludf.DUMMYFUNCTION("""COMPUTED_VALUE"""),"69mustang")</f>
        <v>69mustang</v>
      </c>
      <c r="B951" t="str">
        <f>IFERROR(__xludf.DUMMYFUNCTION("""COMPUTED_VALUE"""),"Santa Barbara")</f>
        <v>Santa Barbara</v>
      </c>
      <c r="C951" t="str">
        <f>IFERROR(__xludf.DUMMYFUNCTION("""COMPUTED_VALUE"""),"CA")</f>
        <v>CA</v>
      </c>
      <c r="D951" t="str">
        <f>IFERROR(__xludf.DUMMYFUNCTION("""COMPUTED_VALUE"""),"USA")</f>
        <v>USA</v>
      </c>
      <c r="E951" s="188">
        <f>IFERROR(__xludf.DUMMYFUNCTION("""COMPUTED_VALUE"""),43278.0)</f>
        <v>43278</v>
      </c>
      <c r="F951" s="188">
        <f>IFERROR(__xludf.DUMMYFUNCTION("""COMPUTED_VALUE"""),43367.0)</f>
        <v>43367</v>
      </c>
      <c r="H951">
        <f>IFERROR(__xludf.DUMMYFUNCTION("""COMPUTED_VALUE"""),105155.0)</f>
        <v>105155</v>
      </c>
      <c r="I951" t="str">
        <f>IFERROR(__xludf.DUMMYFUNCTION("""COMPUTED_VALUE"""),"09/18")</f>
        <v>09/18</v>
      </c>
      <c r="J951" s="5">
        <f>IFERROR(__xludf.DUMMYFUNCTION("""COMPUTED_VALUE"""),43372.0)</f>
        <v>43372</v>
      </c>
      <c r="K951">
        <f>IFERROR(__xludf.DUMMYFUNCTION("""COMPUTED_VALUE"""),89.0)</f>
        <v>89</v>
      </c>
      <c r="L951">
        <f>IFERROR(__xludf.DUMMYFUNCTION("""COMPUTED_VALUE"""),5.0)</f>
        <v>5</v>
      </c>
      <c r="M951">
        <f>IFERROR(__xludf.DUMMYFUNCTION("""COMPUTED_VALUE"""),94.0)</f>
        <v>94</v>
      </c>
      <c r="N951" t="str">
        <f>IFERROR(__xludf.DUMMYFUNCTION("""COMPUTED_VALUE"""),"Model 3 LR AWD")</f>
        <v>Model 3 LR AWD</v>
      </c>
      <c r="O951" t="str">
        <f>IFERROR(__xludf.DUMMYFUNCTION("""COMPUTED_VALUE"""),"Deep Blue Metallic")</f>
        <v>Deep Blue Metallic</v>
      </c>
      <c r="P951" t="str">
        <f>IFERROR(__xludf.DUMMYFUNCTION("""COMPUTED_VALUE"""),"18 inch Aero")</f>
        <v>18 inch Aero</v>
      </c>
      <c r="Q951" t="str">
        <f>IFERROR(__xludf.DUMMYFUNCTION("""COMPUTED_VALUE"""),"Black seats")</f>
        <v>Black seats</v>
      </c>
      <c r="R951" t="str">
        <f>IFERROR(__xludf.DUMMYFUNCTION("""COMPUTED_VALUE"""),"Enhanced Autopilot")</f>
        <v>Enhanced Autopilot</v>
      </c>
      <c r="X951" t="str">
        <f>IFERROR(__xludf.DUMMYFUNCTION("""COMPUTED_VALUE"""),"Excellent")</f>
        <v>Excellent</v>
      </c>
      <c r="Y951" t="str">
        <f>IFERROR(__xludf.DUMMYFUNCTION("""COMPUTED_VALUE"""),"Excellent")</f>
        <v>Excellent</v>
      </c>
      <c r="Z951" t="str">
        <f>IFERROR(__xludf.DUMMYFUNCTION("""COMPUTED_VALUE"""),"Excellent")</f>
        <v>Excellent</v>
      </c>
      <c r="AA951" t="str">
        <f>IFERROR(__xludf.DUMMYFUNCTION("""COMPUTED_VALUE"""),"Good")</f>
        <v>Good</v>
      </c>
      <c r="AB951" t="str">
        <f>IFERROR(__xludf.DUMMYFUNCTION("""COMPUTED_VALUE"""),"Excellent")</f>
        <v>Excellent</v>
      </c>
      <c r="AH951" s="189">
        <f>IFERROR(__xludf.DUMMYFUNCTION("""COMPUTED_VALUE"""),43373.72472315972)</f>
        <v>43373.72472</v>
      </c>
    </row>
    <row r="952">
      <c r="A952" t="str">
        <f>IFERROR(__xludf.DUMMYFUNCTION("""COMPUTED_VALUE"""),"Traxx")</f>
        <v>Traxx</v>
      </c>
      <c r="B952" t="str">
        <f>IFERROR(__xludf.DUMMYFUNCTION("""COMPUTED_VALUE"""),"Vancouver")</f>
        <v>Vancouver</v>
      </c>
      <c r="C952" t="str">
        <f>IFERROR(__xludf.DUMMYFUNCTION("""COMPUTED_VALUE"""),"BC")</f>
        <v>BC</v>
      </c>
      <c r="D952" t="str">
        <f>IFERROR(__xludf.DUMMYFUNCTION("""COMPUTED_VALUE"""),"Canada")</f>
        <v>Canada</v>
      </c>
      <c r="E952" s="188">
        <f>IFERROR(__xludf.DUMMYFUNCTION("""COMPUTED_VALUE"""),43288.0)</f>
        <v>43288</v>
      </c>
      <c r="F952" s="188">
        <f>IFERROR(__xludf.DUMMYFUNCTION("""COMPUTED_VALUE"""),43362.0)</f>
        <v>43362</v>
      </c>
      <c r="H952">
        <f>IFERROR(__xludf.DUMMYFUNCTION("""COMPUTED_VALUE"""),110855.0)</f>
        <v>110855</v>
      </c>
      <c r="I952" t="str">
        <f>IFERROR(__xludf.DUMMYFUNCTION("""COMPUTED_VALUE"""),"09/18")</f>
        <v>09/18</v>
      </c>
      <c r="J952" s="5">
        <f>IFERROR(__xludf.DUMMYFUNCTION("""COMPUTED_VALUE"""),43366.0)</f>
        <v>43366</v>
      </c>
      <c r="K952">
        <f>IFERROR(__xludf.DUMMYFUNCTION("""COMPUTED_VALUE"""),74.0)</f>
        <v>74</v>
      </c>
      <c r="L952">
        <f>IFERROR(__xludf.DUMMYFUNCTION("""COMPUTED_VALUE"""),4.0)</f>
        <v>4</v>
      </c>
      <c r="M952">
        <f>IFERROR(__xludf.DUMMYFUNCTION("""COMPUTED_VALUE"""),78.0)</f>
        <v>78</v>
      </c>
      <c r="N952" t="str">
        <f>IFERROR(__xludf.DUMMYFUNCTION("""COMPUTED_VALUE"""),"Model 3 LR AWD")</f>
        <v>Model 3 LR AWD</v>
      </c>
      <c r="O952" t="str">
        <f>IFERROR(__xludf.DUMMYFUNCTION("""COMPUTED_VALUE"""),"Midnight Silver Metallic")</f>
        <v>Midnight Silver Metallic</v>
      </c>
      <c r="P952" t="str">
        <f>IFERROR(__xludf.DUMMYFUNCTION("""COMPUTED_VALUE"""),"19 inch Sport")</f>
        <v>19 inch Sport</v>
      </c>
      <c r="Q952" t="str">
        <f>IFERROR(__xludf.DUMMYFUNCTION("""COMPUTED_VALUE"""),"Black seats")</f>
        <v>Black seats</v>
      </c>
      <c r="R952" t="str">
        <f>IFERROR(__xludf.DUMMYFUNCTION("""COMPUTED_VALUE"""),"None")</f>
        <v>None</v>
      </c>
      <c r="X952" t="str">
        <f>IFERROR(__xludf.DUMMYFUNCTION("""COMPUTED_VALUE"""),"Excellent")</f>
        <v>Excellent</v>
      </c>
      <c r="Y952" t="str">
        <f>IFERROR(__xludf.DUMMYFUNCTION("""COMPUTED_VALUE"""),"Excellent")</f>
        <v>Excellent</v>
      </c>
      <c r="Z952" t="str">
        <f>IFERROR(__xludf.DUMMYFUNCTION("""COMPUTED_VALUE"""),"Excellent")</f>
        <v>Excellent</v>
      </c>
      <c r="AA952" t="str">
        <f>IFERROR(__xludf.DUMMYFUNCTION("""COMPUTED_VALUE"""),"Fair")</f>
        <v>Fair</v>
      </c>
      <c r="AB952" t="str">
        <f>IFERROR(__xludf.DUMMYFUNCTION("""COMPUTED_VALUE"""),"Very Good")</f>
        <v>Very Good</v>
      </c>
      <c r="AC952">
        <f>IFERROR(__xludf.DUMMYFUNCTION("""COMPUTED_VALUE"""),0.0)</f>
        <v>0</v>
      </c>
      <c r="AH952" s="189">
        <f>IFERROR(__xludf.DUMMYFUNCTION("""COMPUTED_VALUE"""),43373.73716474537)</f>
        <v>43373.73716</v>
      </c>
    </row>
    <row r="953">
      <c r="A953" t="str">
        <f>IFERROR(__xludf.DUMMYFUNCTION("""COMPUTED_VALUE"""),"Packerfan735")</f>
        <v>Packerfan735</v>
      </c>
      <c r="B953" t="str">
        <f>IFERROR(__xludf.DUMMYFUNCTION("""COMPUTED_VALUE"""),"Boston")</f>
        <v>Boston</v>
      </c>
      <c r="C953" t="str">
        <f>IFERROR(__xludf.DUMMYFUNCTION("""COMPUTED_VALUE"""),"MA")</f>
        <v>MA</v>
      </c>
      <c r="D953" t="str">
        <f>IFERROR(__xludf.DUMMYFUNCTION("""COMPUTED_VALUE"""),"USA")</f>
        <v>USA</v>
      </c>
      <c r="E953" s="188">
        <f>IFERROR(__xludf.DUMMYFUNCTION("""COMPUTED_VALUE"""),43286.0)</f>
        <v>43286</v>
      </c>
      <c r="F953" s="188">
        <f>IFERROR(__xludf.DUMMYFUNCTION("""COMPUTED_VALUE"""),43356.0)</f>
        <v>43356</v>
      </c>
      <c r="H953" s="4">
        <f>IFERROR(__xludf.DUMMYFUNCTION("""COMPUTED_VALUE"""),73151.0)</f>
        <v>73151</v>
      </c>
      <c r="J953" s="5">
        <f>IFERROR(__xludf.DUMMYFUNCTION("""COMPUTED_VALUE"""),43371.0)</f>
        <v>43371</v>
      </c>
      <c r="K953">
        <f>IFERROR(__xludf.DUMMYFUNCTION("""COMPUTED_VALUE"""),70.0)</f>
        <v>70</v>
      </c>
      <c r="L953">
        <f>IFERROR(__xludf.DUMMYFUNCTION("""COMPUTED_VALUE"""),15.0)</f>
        <v>15</v>
      </c>
      <c r="M953">
        <f>IFERROR(__xludf.DUMMYFUNCTION("""COMPUTED_VALUE"""),85.0)</f>
        <v>85</v>
      </c>
      <c r="N953" t="str">
        <f>IFERROR(__xludf.DUMMYFUNCTION("""COMPUTED_VALUE"""),"Model 3 Performance")</f>
        <v>Model 3 Performance</v>
      </c>
      <c r="O953" t="str">
        <f>IFERROR(__xludf.DUMMYFUNCTION("""COMPUTED_VALUE"""),"Midnight Silver Metallic")</f>
        <v>Midnight Silver Metallic</v>
      </c>
      <c r="P953" t="str">
        <f>IFERROR(__xludf.DUMMYFUNCTION("""COMPUTED_VALUE"""),"20 inch Sport")</f>
        <v>20 inch Sport</v>
      </c>
      <c r="Q953" t="str">
        <f>IFERROR(__xludf.DUMMYFUNCTION("""COMPUTED_VALUE"""),"Black seats")</f>
        <v>Black seats</v>
      </c>
      <c r="R953" t="str">
        <f>IFERROR(__xludf.DUMMYFUNCTION("""COMPUTED_VALUE"""),"Full Self-Driving")</f>
        <v>Full Self-Driving</v>
      </c>
      <c r="X953" t="str">
        <f>IFERROR(__xludf.DUMMYFUNCTION("""COMPUTED_VALUE"""),"Very Good")</f>
        <v>Very Good</v>
      </c>
      <c r="Y953" t="str">
        <f>IFERROR(__xludf.DUMMYFUNCTION("""COMPUTED_VALUE"""),"Very Good")</f>
        <v>Very Good</v>
      </c>
      <c r="Z953" t="str">
        <f>IFERROR(__xludf.DUMMYFUNCTION("""COMPUTED_VALUE"""),"Very Good")</f>
        <v>Very Good</v>
      </c>
      <c r="AA953" t="str">
        <f>IFERROR(__xludf.DUMMYFUNCTION("""COMPUTED_VALUE"""),"Poor")</f>
        <v>Poor</v>
      </c>
      <c r="AB953" t="str">
        <f>IFERROR(__xludf.DUMMYFUNCTION("""COMPUTED_VALUE"""),"Very Good")</f>
        <v>Very Good</v>
      </c>
      <c r="AC953">
        <f>IFERROR(__xludf.DUMMYFUNCTION("""COMPUTED_VALUE"""),3.0)</f>
        <v>3</v>
      </c>
      <c r="AD953">
        <f>IFERROR(__xludf.DUMMYFUNCTION("""COMPUTED_VALUE"""),1.0)</f>
        <v>1</v>
      </c>
      <c r="AH953" s="189">
        <f>IFERROR(__xludf.DUMMYFUNCTION("""COMPUTED_VALUE"""),43373.75200364583)</f>
        <v>43373.752</v>
      </c>
    </row>
    <row r="954">
      <c r="A954" t="str">
        <f>IFERROR(__xludf.DUMMYFUNCTION("""COMPUTED_VALUE"""),"SonicGT")</f>
        <v>SonicGT</v>
      </c>
      <c r="B954" t="str">
        <f>IFERROR(__xludf.DUMMYFUNCTION("""COMPUTED_VALUE"""),"Chicago")</f>
        <v>Chicago</v>
      </c>
      <c r="C954" t="str">
        <f>IFERROR(__xludf.DUMMYFUNCTION("""COMPUTED_VALUE"""),"IL")</f>
        <v>IL</v>
      </c>
      <c r="D954" t="str">
        <f>IFERROR(__xludf.DUMMYFUNCTION("""COMPUTED_VALUE"""),"USA")</f>
        <v>USA</v>
      </c>
      <c r="E954" s="188">
        <f>IFERROR(__xludf.DUMMYFUNCTION("""COMPUTED_VALUE"""),43278.0)</f>
        <v>43278</v>
      </c>
      <c r="F954" s="188">
        <f>IFERROR(__xludf.DUMMYFUNCTION("""COMPUTED_VALUE"""),43325.0)</f>
        <v>43325</v>
      </c>
      <c r="H954">
        <f>IFERROR(__xludf.DUMMYFUNCTION("""COMPUTED_VALUE"""),63885.0)</f>
        <v>63885</v>
      </c>
      <c r="J954" s="5">
        <f>IFERROR(__xludf.DUMMYFUNCTION("""COMPUTED_VALUE"""),43350.0)</f>
        <v>43350</v>
      </c>
      <c r="K954">
        <f>IFERROR(__xludf.DUMMYFUNCTION("""COMPUTED_VALUE"""),47.0)</f>
        <v>47</v>
      </c>
      <c r="L954">
        <f>IFERROR(__xludf.DUMMYFUNCTION("""COMPUTED_VALUE"""),25.0)</f>
        <v>25</v>
      </c>
      <c r="M954">
        <f>IFERROR(__xludf.DUMMYFUNCTION("""COMPUTED_VALUE"""),72.0)</f>
        <v>72</v>
      </c>
      <c r="N954" t="str">
        <f>IFERROR(__xludf.DUMMYFUNCTION("""COMPUTED_VALUE"""),"Model 3 LR AWD")</f>
        <v>Model 3 LR AWD</v>
      </c>
      <c r="O954" t="str">
        <f>IFERROR(__xludf.DUMMYFUNCTION("""COMPUTED_VALUE"""),"Deep Blue Metallic")</f>
        <v>Deep Blue Metallic</v>
      </c>
      <c r="P954" t="str">
        <f>IFERROR(__xludf.DUMMYFUNCTION("""COMPUTED_VALUE"""),"19 inch Sport")</f>
        <v>19 inch Sport</v>
      </c>
      <c r="Q954" t="str">
        <f>IFERROR(__xludf.DUMMYFUNCTION("""COMPUTED_VALUE"""),"Black seats")</f>
        <v>Black seats</v>
      </c>
      <c r="R954" t="str">
        <f>IFERROR(__xludf.DUMMYFUNCTION("""COMPUTED_VALUE"""),"Enhanced Autopilot")</f>
        <v>Enhanced Autopilot</v>
      </c>
      <c r="X954" t="str">
        <f>IFERROR(__xludf.DUMMYFUNCTION("""COMPUTED_VALUE"""),"Good")</f>
        <v>Good</v>
      </c>
      <c r="Y954" t="str">
        <f>IFERROR(__xludf.DUMMYFUNCTION("""COMPUTED_VALUE"""),"Very Good")</f>
        <v>Very Good</v>
      </c>
      <c r="Z954" t="str">
        <f>IFERROR(__xludf.DUMMYFUNCTION("""COMPUTED_VALUE"""),"Good")</f>
        <v>Good</v>
      </c>
      <c r="AA954" t="str">
        <f>IFERROR(__xludf.DUMMYFUNCTION("""COMPUTED_VALUE"""),"Fair")</f>
        <v>Fair</v>
      </c>
      <c r="AB954" t="str">
        <f>IFERROR(__xludf.DUMMYFUNCTION("""COMPUTED_VALUE"""),"Very Good")</f>
        <v>Very Good</v>
      </c>
      <c r="AC954">
        <f>IFERROR(__xludf.DUMMYFUNCTION("""COMPUTED_VALUE"""),3.0)</f>
        <v>3</v>
      </c>
      <c r="AD954">
        <f>IFERROR(__xludf.DUMMYFUNCTION("""COMPUTED_VALUE"""),1.0)</f>
        <v>1</v>
      </c>
      <c r="AE954">
        <f>IFERROR(__xludf.DUMMYFUNCTION("""COMPUTED_VALUE"""),4.0)</f>
        <v>4</v>
      </c>
      <c r="AG954" t="str">
        <f>IFERROR(__xludf.DUMMYFUNCTION("""COMPUTED_VALUE"""),"No Heat on delivery was fixed at service")</f>
        <v>No Heat on delivery was fixed at service</v>
      </c>
      <c r="AH954" s="189">
        <f>IFERROR(__xludf.DUMMYFUNCTION("""COMPUTED_VALUE"""),43373.83164422454)</f>
        <v>43373.83164</v>
      </c>
    </row>
    <row r="955">
      <c r="A955" t="str">
        <f>IFERROR(__xludf.DUMMYFUNCTION("""COMPUTED_VALUE"""),"kgclark")</f>
        <v>kgclark</v>
      </c>
      <c r="B955" t="str">
        <f>IFERROR(__xludf.DUMMYFUNCTION("""COMPUTED_VALUE"""),"Cazenovia")</f>
        <v>Cazenovia</v>
      </c>
      <c r="C955" t="str">
        <f>IFERROR(__xludf.DUMMYFUNCTION("""COMPUTED_VALUE"""),"NY")</f>
        <v>NY</v>
      </c>
      <c r="D955" t="str">
        <f>IFERROR(__xludf.DUMMYFUNCTION("""COMPUTED_VALUE"""),"USA")</f>
        <v>USA</v>
      </c>
      <c r="E955" s="188">
        <f>IFERROR(__xludf.DUMMYFUNCTION("""COMPUTED_VALUE"""),43277.0)</f>
        <v>43277</v>
      </c>
      <c r="F955" s="188">
        <f>IFERROR(__xludf.DUMMYFUNCTION("""COMPUTED_VALUE"""),43373.0)</f>
        <v>43373</v>
      </c>
      <c r="H955">
        <f>IFERROR(__xludf.DUMMYFUNCTION("""COMPUTED_VALUE"""),100755.0)</f>
        <v>100755</v>
      </c>
      <c r="I955" t="str">
        <f>IFERROR(__xludf.DUMMYFUNCTION("""COMPUTED_VALUE"""),"09/18")</f>
        <v>09/18</v>
      </c>
      <c r="J955" s="5">
        <f>IFERROR(__xludf.DUMMYFUNCTION("""COMPUTED_VALUE"""),43373.0)</f>
        <v>43373</v>
      </c>
      <c r="K955">
        <f>IFERROR(__xludf.DUMMYFUNCTION("""COMPUTED_VALUE"""),96.0)</f>
        <v>96</v>
      </c>
      <c r="L955">
        <f>IFERROR(__xludf.DUMMYFUNCTION("""COMPUTED_VALUE"""),0.0)</f>
        <v>0</v>
      </c>
      <c r="M955">
        <f>IFERROR(__xludf.DUMMYFUNCTION("""COMPUTED_VALUE"""),96.0)</f>
        <v>96</v>
      </c>
      <c r="N955" t="str">
        <f>IFERROR(__xludf.DUMMYFUNCTION("""COMPUTED_VALUE"""),"Model 3 LR AWD")</f>
        <v>Model 3 LR AWD</v>
      </c>
      <c r="O955" t="str">
        <f>IFERROR(__xludf.DUMMYFUNCTION("""COMPUTED_VALUE"""),"Red Multi-Coat")</f>
        <v>Red Multi-Coat</v>
      </c>
      <c r="P955" t="str">
        <f>IFERROR(__xludf.DUMMYFUNCTION("""COMPUTED_VALUE"""),"19 inch Sport")</f>
        <v>19 inch Sport</v>
      </c>
      <c r="Q955" t="str">
        <f>IFERROR(__xludf.DUMMYFUNCTION("""COMPUTED_VALUE"""),"White seats")</f>
        <v>White seats</v>
      </c>
      <c r="R955" t="str">
        <f>IFERROR(__xludf.DUMMYFUNCTION("""COMPUTED_VALUE"""),"Full Self-Driving")</f>
        <v>Full Self-Driving</v>
      </c>
      <c r="X955" t="str">
        <f>IFERROR(__xludf.DUMMYFUNCTION("""COMPUTED_VALUE"""),"Excellent")</f>
        <v>Excellent</v>
      </c>
      <c r="Y955" t="str">
        <f>IFERROR(__xludf.DUMMYFUNCTION("""COMPUTED_VALUE"""),"Excellent")</f>
        <v>Excellent</v>
      </c>
      <c r="Z955" t="str">
        <f>IFERROR(__xludf.DUMMYFUNCTION("""COMPUTED_VALUE"""),"Excellent")</f>
        <v>Excellent</v>
      </c>
      <c r="AA955" t="str">
        <f>IFERROR(__xludf.DUMMYFUNCTION("""COMPUTED_VALUE"""),"Poor")</f>
        <v>Poor</v>
      </c>
      <c r="AB955" t="str">
        <f>IFERROR(__xludf.DUMMYFUNCTION("""COMPUTED_VALUE"""),"Poor")</f>
        <v>Poor</v>
      </c>
      <c r="AH955" s="189">
        <f>IFERROR(__xludf.DUMMYFUNCTION("""COMPUTED_VALUE"""),43373.832121203704)</f>
        <v>43373.83212</v>
      </c>
    </row>
    <row r="956">
      <c r="A956" t="str">
        <f>IFERROR(__xludf.DUMMYFUNCTION("""COMPUTED_VALUE"""),"onelife11")</f>
        <v>onelife11</v>
      </c>
      <c r="B956" t="str">
        <f>IFERROR(__xludf.DUMMYFUNCTION("""COMPUTED_VALUE"""),"Tampa")</f>
        <v>Tampa</v>
      </c>
      <c r="C956" t="str">
        <f>IFERROR(__xludf.DUMMYFUNCTION("""COMPUTED_VALUE"""),"FL")</f>
        <v>FL</v>
      </c>
      <c r="D956" t="str">
        <f>IFERROR(__xludf.DUMMYFUNCTION("""COMPUTED_VALUE"""),"USA")</f>
        <v>USA</v>
      </c>
      <c r="E956" s="188">
        <f>IFERROR(__xludf.DUMMYFUNCTION("""COMPUTED_VALUE"""),43280.0)</f>
        <v>43280</v>
      </c>
      <c r="F956" s="188">
        <f>IFERROR(__xludf.DUMMYFUNCTION("""COMPUTED_VALUE"""),43369.0)</f>
        <v>43369</v>
      </c>
      <c r="H956">
        <f>IFERROR(__xludf.DUMMYFUNCTION("""COMPUTED_VALUE"""),48555.0)</f>
        <v>48555</v>
      </c>
      <c r="J956" s="5">
        <f>IFERROR(__xludf.DUMMYFUNCTION("""COMPUTED_VALUE"""),43373.0)</f>
        <v>43373</v>
      </c>
      <c r="K956">
        <f>IFERROR(__xludf.DUMMYFUNCTION("""COMPUTED_VALUE"""),89.0)</f>
        <v>89</v>
      </c>
      <c r="L956">
        <f>IFERROR(__xludf.DUMMYFUNCTION("""COMPUTED_VALUE"""),4.0)</f>
        <v>4</v>
      </c>
      <c r="M956">
        <f>IFERROR(__xludf.DUMMYFUNCTION("""COMPUTED_VALUE"""),93.0)</f>
        <v>93</v>
      </c>
      <c r="N956" t="str">
        <f>IFERROR(__xludf.DUMMYFUNCTION("""COMPUTED_VALUE"""),"Model 3 LR")</f>
        <v>Model 3 LR</v>
      </c>
      <c r="O956" t="str">
        <f>IFERROR(__xludf.DUMMYFUNCTION("""COMPUTED_VALUE"""),"Solid Black")</f>
        <v>Solid Black</v>
      </c>
      <c r="P956" t="str">
        <f>IFERROR(__xludf.DUMMYFUNCTION("""COMPUTED_VALUE"""),"19 inch Sport")</f>
        <v>19 inch Sport</v>
      </c>
      <c r="Q956" t="str">
        <f>IFERROR(__xludf.DUMMYFUNCTION("""COMPUTED_VALUE"""),"Black seats")</f>
        <v>Black seats</v>
      </c>
      <c r="R956" t="str">
        <f>IFERROR(__xludf.DUMMYFUNCTION("""COMPUTED_VALUE"""),"Enhanced Autopilot")</f>
        <v>Enhanced Autopilot</v>
      </c>
      <c r="X956" t="str">
        <f>IFERROR(__xludf.DUMMYFUNCTION("""COMPUTED_VALUE"""),"Excellent")</f>
        <v>Excellent</v>
      </c>
      <c r="Y956" t="str">
        <f>IFERROR(__xludf.DUMMYFUNCTION("""COMPUTED_VALUE"""),"Excellent")</f>
        <v>Excellent</v>
      </c>
      <c r="Z956" t="str">
        <f>IFERROR(__xludf.DUMMYFUNCTION("""COMPUTED_VALUE"""),"Very Good")</f>
        <v>Very Good</v>
      </c>
      <c r="AA956" t="str">
        <f>IFERROR(__xludf.DUMMYFUNCTION("""COMPUTED_VALUE"""),"Very Good")</f>
        <v>Very Good</v>
      </c>
      <c r="AB956" t="str">
        <f>IFERROR(__xludf.DUMMYFUNCTION("""COMPUTED_VALUE"""),"Very Good")</f>
        <v>Very Good</v>
      </c>
      <c r="AH956" s="189">
        <f>IFERROR(__xludf.DUMMYFUNCTION("""COMPUTED_VALUE"""),43373.83437804398)</f>
        <v>43373.83438</v>
      </c>
    </row>
    <row r="957">
      <c r="A957" t="str">
        <f>IFERROR(__xludf.DUMMYFUNCTION("""COMPUTED_VALUE"""),"krelltunez")</f>
        <v>krelltunez</v>
      </c>
      <c r="B957" t="str">
        <f>IFERROR(__xludf.DUMMYFUNCTION("""COMPUTED_VALUE"""),"Chicago Suburbs")</f>
        <v>Chicago Suburbs</v>
      </c>
      <c r="C957" t="str">
        <f>IFERROR(__xludf.DUMMYFUNCTION("""COMPUTED_VALUE"""),"IL")</f>
        <v>IL</v>
      </c>
      <c r="D957" t="str">
        <f>IFERROR(__xludf.DUMMYFUNCTION("""COMPUTED_VALUE"""),"USA")</f>
        <v>USA</v>
      </c>
      <c r="E957" s="188">
        <f>IFERROR(__xludf.DUMMYFUNCTION("""COMPUTED_VALUE"""),43338.0)</f>
        <v>43338</v>
      </c>
      <c r="F957" s="188">
        <f>IFERROR(__xludf.DUMMYFUNCTION("""COMPUTED_VALUE"""),43364.0)</f>
        <v>43364</v>
      </c>
      <c r="H957">
        <f>IFERROR(__xludf.DUMMYFUNCTION("""COMPUTED_VALUE"""),97955.0)</f>
        <v>97955</v>
      </c>
      <c r="I957" t="str">
        <f>IFERROR(__xludf.DUMMYFUNCTION("""COMPUTED_VALUE"""),"09/18")</f>
        <v>09/18</v>
      </c>
      <c r="J957" s="5">
        <f>IFERROR(__xludf.DUMMYFUNCTION("""COMPUTED_VALUE"""),43371.0)</f>
        <v>43371</v>
      </c>
      <c r="K957">
        <f>IFERROR(__xludf.DUMMYFUNCTION("""COMPUTED_VALUE"""),26.0)</f>
        <v>26</v>
      </c>
      <c r="L957">
        <f>IFERROR(__xludf.DUMMYFUNCTION("""COMPUTED_VALUE"""),7.0)</f>
        <v>7</v>
      </c>
      <c r="M957">
        <f>IFERROR(__xludf.DUMMYFUNCTION("""COMPUTED_VALUE"""),33.0)</f>
        <v>33</v>
      </c>
      <c r="N957" t="str">
        <f>IFERROR(__xludf.DUMMYFUNCTION("""COMPUTED_VALUE"""),"Model 3 LR AWD")</f>
        <v>Model 3 LR AWD</v>
      </c>
      <c r="O957" t="str">
        <f>IFERROR(__xludf.DUMMYFUNCTION("""COMPUTED_VALUE"""),"Pearl White Multi-Coat")</f>
        <v>Pearl White Multi-Coat</v>
      </c>
      <c r="P957" t="str">
        <f>IFERROR(__xludf.DUMMYFUNCTION("""COMPUTED_VALUE"""),"19 inch Sport")</f>
        <v>19 inch Sport</v>
      </c>
      <c r="Q957" t="str">
        <f>IFERROR(__xludf.DUMMYFUNCTION("""COMPUTED_VALUE"""),"White seats")</f>
        <v>White seats</v>
      </c>
      <c r="R957" t="str">
        <f>IFERROR(__xludf.DUMMYFUNCTION("""COMPUTED_VALUE"""),"Full Self-Driving")</f>
        <v>Full Self-Driving</v>
      </c>
      <c r="X957" t="str">
        <f>IFERROR(__xludf.DUMMYFUNCTION("""COMPUTED_VALUE"""),"Very Good")</f>
        <v>Very Good</v>
      </c>
      <c r="Y957" t="str">
        <f>IFERROR(__xludf.DUMMYFUNCTION("""COMPUTED_VALUE"""),"Excellent")</f>
        <v>Excellent</v>
      </c>
      <c r="Z957" t="str">
        <f>IFERROR(__xludf.DUMMYFUNCTION("""COMPUTED_VALUE"""),"Excellent")</f>
        <v>Excellent</v>
      </c>
      <c r="AA957" t="str">
        <f>IFERROR(__xludf.DUMMYFUNCTION("""COMPUTED_VALUE"""),"Good")</f>
        <v>Good</v>
      </c>
      <c r="AB957" t="str">
        <f>IFERROR(__xludf.DUMMYFUNCTION("""COMPUTED_VALUE"""),"Good")</f>
        <v>Good</v>
      </c>
      <c r="AH957" s="189">
        <f>IFERROR(__xludf.DUMMYFUNCTION("""COMPUTED_VALUE"""),43373.87147172454)</f>
        <v>43373.87147</v>
      </c>
    </row>
    <row r="958">
      <c r="A958" t="str">
        <f>IFERROR(__xludf.DUMMYFUNCTION("""COMPUTED_VALUE"""),"Davidyc")</f>
        <v>Davidyc</v>
      </c>
      <c r="B958" t="str">
        <f>IFERROR(__xludf.DUMMYFUNCTION("""COMPUTED_VALUE"""),"Newcastle")</f>
        <v>Newcastle</v>
      </c>
      <c r="C958" t="str">
        <f>IFERROR(__xludf.DUMMYFUNCTION("""COMPUTED_VALUE"""),"WA")</f>
        <v>WA</v>
      </c>
      <c r="D958" t="str">
        <f>IFERROR(__xludf.DUMMYFUNCTION("""COMPUTED_VALUE"""),"USA")</f>
        <v>USA</v>
      </c>
      <c r="E958" s="188">
        <f>IFERROR(__xludf.DUMMYFUNCTION("""COMPUTED_VALUE"""),43279.0)</f>
        <v>43279</v>
      </c>
      <c r="F958" s="188">
        <f>IFERROR(__xludf.DUMMYFUNCTION("""COMPUTED_VALUE"""),43370.0)</f>
        <v>43370</v>
      </c>
      <c r="H958">
        <f>IFERROR(__xludf.DUMMYFUNCTION("""COMPUTED_VALUE"""),89855.0)</f>
        <v>89855</v>
      </c>
      <c r="J958" s="5">
        <f>IFERROR(__xludf.DUMMYFUNCTION("""COMPUTED_VALUE"""),43373.0)</f>
        <v>43373</v>
      </c>
      <c r="K958">
        <f>IFERROR(__xludf.DUMMYFUNCTION("""COMPUTED_VALUE"""),91.0)</f>
        <v>91</v>
      </c>
      <c r="L958">
        <f>IFERROR(__xludf.DUMMYFUNCTION("""COMPUTED_VALUE"""),3.0)</f>
        <v>3</v>
      </c>
      <c r="M958">
        <f>IFERROR(__xludf.DUMMYFUNCTION("""COMPUTED_VALUE"""),94.0)</f>
        <v>94</v>
      </c>
      <c r="N958" t="str">
        <f>IFERROR(__xludf.DUMMYFUNCTION("""COMPUTED_VALUE"""),"Model 3 LR AWD")</f>
        <v>Model 3 LR AWD</v>
      </c>
      <c r="O958" t="str">
        <f>IFERROR(__xludf.DUMMYFUNCTION("""COMPUTED_VALUE"""),"Midnight Silver Metallic")</f>
        <v>Midnight Silver Metallic</v>
      </c>
      <c r="P958" t="str">
        <f>IFERROR(__xludf.DUMMYFUNCTION("""COMPUTED_VALUE"""),"18 inch Aero")</f>
        <v>18 inch Aero</v>
      </c>
      <c r="Q958" t="str">
        <f>IFERROR(__xludf.DUMMYFUNCTION("""COMPUTED_VALUE"""),"Black seats")</f>
        <v>Black seats</v>
      </c>
      <c r="R958" t="str">
        <f>IFERROR(__xludf.DUMMYFUNCTION("""COMPUTED_VALUE"""),"Full Self-Driving")</f>
        <v>Full Self-Driving</v>
      </c>
      <c r="X958" t="str">
        <f>IFERROR(__xludf.DUMMYFUNCTION("""COMPUTED_VALUE"""),"Very Good")</f>
        <v>Very Good</v>
      </c>
      <c r="Y958" t="str">
        <f>IFERROR(__xludf.DUMMYFUNCTION("""COMPUTED_VALUE"""),"Excellent")</f>
        <v>Excellent</v>
      </c>
      <c r="Z958" t="str">
        <f>IFERROR(__xludf.DUMMYFUNCTION("""COMPUTED_VALUE"""),"Excellent")</f>
        <v>Excellent</v>
      </c>
      <c r="AA958" t="str">
        <f>IFERROR(__xludf.DUMMYFUNCTION("""COMPUTED_VALUE"""),"Fair")</f>
        <v>Fair</v>
      </c>
      <c r="AB958" t="str">
        <f>IFERROR(__xludf.DUMMYFUNCTION("""COMPUTED_VALUE"""),"Good")</f>
        <v>Good</v>
      </c>
      <c r="AC958">
        <f>IFERROR(__xludf.DUMMYFUNCTION("""COMPUTED_VALUE"""),0.0)</f>
        <v>0</v>
      </c>
      <c r="AD958">
        <f>IFERROR(__xludf.DUMMYFUNCTION("""COMPUTED_VALUE"""),0.0)</f>
        <v>0</v>
      </c>
      <c r="AE958">
        <f>IFERROR(__xludf.DUMMYFUNCTION("""COMPUTED_VALUE"""),0.0)</f>
        <v>0</v>
      </c>
      <c r="AH958" s="189">
        <f>IFERROR(__xludf.DUMMYFUNCTION("""COMPUTED_VALUE"""),43374.000715497685)</f>
        <v>43374.00072</v>
      </c>
    </row>
    <row r="959">
      <c r="A959" t="str">
        <f>IFERROR(__xludf.DUMMYFUNCTION("""COMPUTED_VALUE"""),"ka")</f>
        <v>ka</v>
      </c>
      <c r="B959" t="str">
        <f>IFERROR(__xludf.DUMMYFUNCTION("""COMPUTED_VALUE"""),"San Francisco")</f>
        <v>San Francisco</v>
      </c>
      <c r="C959" t="str">
        <f>IFERROR(__xludf.DUMMYFUNCTION("""COMPUTED_VALUE"""),"CA")</f>
        <v>CA</v>
      </c>
      <c r="D959" t="str">
        <f>IFERROR(__xludf.DUMMYFUNCTION("""COMPUTED_VALUE"""),"USA")</f>
        <v>USA</v>
      </c>
      <c r="E959" s="188">
        <f>IFERROR(__xludf.DUMMYFUNCTION("""COMPUTED_VALUE"""),43343.0)</f>
        <v>43343</v>
      </c>
      <c r="F959" s="188">
        <f>IFERROR(__xludf.DUMMYFUNCTION("""COMPUTED_VALUE"""),43361.0)</f>
        <v>43361</v>
      </c>
      <c r="H959">
        <f>IFERROR(__xludf.DUMMYFUNCTION("""COMPUTED_VALUE"""),91555.0)</f>
        <v>91555</v>
      </c>
      <c r="I959" t="str">
        <f>IFERROR(__xludf.DUMMYFUNCTION("""COMPUTED_VALUE"""),"09/18")</f>
        <v>09/18</v>
      </c>
      <c r="J959" s="5">
        <f>IFERROR(__xludf.DUMMYFUNCTION("""COMPUTED_VALUE"""),43372.0)</f>
        <v>43372</v>
      </c>
      <c r="K959">
        <f>IFERROR(__xludf.DUMMYFUNCTION("""COMPUTED_VALUE"""),18.0)</f>
        <v>18</v>
      </c>
      <c r="L959">
        <f>IFERROR(__xludf.DUMMYFUNCTION("""COMPUTED_VALUE"""),11.0)</f>
        <v>11</v>
      </c>
      <c r="M959">
        <f>IFERROR(__xludf.DUMMYFUNCTION("""COMPUTED_VALUE"""),29.0)</f>
        <v>29</v>
      </c>
      <c r="N959" t="str">
        <f>IFERROR(__xludf.DUMMYFUNCTION("""COMPUTED_VALUE"""),"Model 3 LR AWD")</f>
        <v>Model 3 LR AWD</v>
      </c>
      <c r="O959" t="str">
        <f>IFERROR(__xludf.DUMMYFUNCTION("""COMPUTED_VALUE"""),"Red Multi-Coat")</f>
        <v>Red Multi-Coat</v>
      </c>
      <c r="P959" t="str">
        <f>IFERROR(__xludf.DUMMYFUNCTION("""COMPUTED_VALUE"""),"19 inch Sport")</f>
        <v>19 inch Sport</v>
      </c>
      <c r="Q959" t="str">
        <f>IFERROR(__xludf.DUMMYFUNCTION("""COMPUTED_VALUE"""),"Black seats")</f>
        <v>Black seats</v>
      </c>
      <c r="R959" t="str">
        <f>IFERROR(__xludf.DUMMYFUNCTION("""COMPUTED_VALUE"""),"Enhanced Autopilot")</f>
        <v>Enhanced Autopilot</v>
      </c>
      <c r="X959" t="str">
        <f>IFERROR(__xludf.DUMMYFUNCTION("""COMPUTED_VALUE"""),"Good")</f>
        <v>Good</v>
      </c>
      <c r="Y959" t="str">
        <f>IFERROR(__xludf.DUMMYFUNCTION("""COMPUTED_VALUE"""),"Good")</f>
        <v>Good</v>
      </c>
      <c r="Z959" t="str">
        <f>IFERROR(__xludf.DUMMYFUNCTION("""COMPUTED_VALUE"""),"Fair")</f>
        <v>Fair</v>
      </c>
      <c r="AA959" t="str">
        <f>IFERROR(__xludf.DUMMYFUNCTION("""COMPUTED_VALUE"""),"Fair")</f>
        <v>Fair</v>
      </c>
      <c r="AB959" t="str">
        <f>IFERROR(__xludf.DUMMYFUNCTION("""COMPUTED_VALUE"""),"Fair")</f>
        <v>Fair</v>
      </c>
      <c r="AH959" s="189">
        <f>IFERROR(__xludf.DUMMYFUNCTION("""COMPUTED_VALUE"""),43374.03197673611)</f>
        <v>43374.03198</v>
      </c>
    </row>
    <row r="960">
      <c r="A960" t="str">
        <f>IFERROR(__xludf.DUMMYFUNCTION("""COMPUTED_VALUE"""),"Paul EV")</f>
        <v>Paul EV</v>
      </c>
      <c r="B960" t="str">
        <f>IFERROR(__xludf.DUMMYFUNCTION("""COMPUTED_VALUE"""),"San Jose")</f>
        <v>San Jose</v>
      </c>
      <c r="C960" t="str">
        <f>IFERROR(__xludf.DUMMYFUNCTION("""COMPUTED_VALUE"""),"CA")</f>
        <v>CA</v>
      </c>
      <c r="D960" t="str">
        <f>IFERROR(__xludf.DUMMYFUNCTION("""COMPUTED_VALUE"""),"USA")</f>
        <v>USA</v>
      </c>
      <c r="E960" s="188">
        <f>IFERROR(__xludf.DUMMYFUNCTION("""COMPUTED_VALUE"""),43315.0)</f>
        <v>43315</v>
      </c>
      <c r="F960" s="188">
        <f>IFERROR(__xludf.DUMMYFUNCTION("""COMPUTED_VALUE"""),43368.0)</f>
        <v>43368</v>
      </c>
      <c r="H960">
        <f>IFERROR(__xludf.DUMMYFUNCTION("""COMPUTED_VALUE"""),84925.0)</f>
        <v>84925</v>
      </c>
      <c r="I960" t="str">
        <f>IFERROR(__xludf.DUMMYFUNCTION("""COMPUTED_VALUE"""),"09/18")</f>
        <v>09/18</v>
      </c>
      <c r="J960" s="5">
        <f>IFERROR(__xludf.DUMMYFUNCTION("""COMPUTED_VALUE"""),43372.0)</f>
        <v>43372</v>
      </c>
      <c r="K960">
        <f>IFERROR(__xludf.DUMMYFUNCTION("""COMPUTED_VALUE"""),53.0)</f>
        <v>53</v>
      </c>
      <c r="L960">
        <f>IFERROR(__xludf.DUMMYFUNCTION("""COMPUTED_VALUE"""),4.0)</f>
        <v>4</v>
      </c>
      <c r="M960">
        <f>IFERROR(__xludf.DUMMYFUNCTION("""COMPUTED_VALUE"""),57.0)</f>
        <v>57</v>
      </c>
      <c r="N960" t="str">
        <f>IFERROR(__xludf.DUMMYFUNCTION("""COMPUTED_VALUE"""),"Model 3 LR AWD")</f>
        <v>Model 3 LR AWD</v>
      </c>
      <c r="O960" t="str">
        <f>IFERROR(__xludf.DUMMYFUNCTION("""COMPUTED_VALUE"""),"Red Multi-Coat")</f>
        <v>Red Multi-Coat</v>
      </c>
      <c r="P960" t="str">
        <f>IFERROR(__xludf.DUMMYFUNCTION("""COMPUTED_VALUE"""),"18 inch Aero")</f>
        <v>18 inch Aero</v>
      </c>
      <c r="Q960" t="str">
        <f>IFERROR(__xludf.DUMMYFUNCTION("""COMPUTED_VALUE"""),"Black seats")</f>
        <v>Black seats</v>
      </c>
      <c r="R960" t="str">
        <f>IFERROR(__xludf.DUMMYFUNCTION("""COMPUTED_VALUE"""),"Full Self-Driving")</f>
        <v>Full Self-Driving</v>
      </c>
      <c r="X960" t="str">
        <f>IFERROR(__xludf.DUMMYFUNCTION("""COMPUTED_VALUE"""),"Excellent")</f>
        <v>Excellent</v>
      </c>
      <c r="Y960" t="str">
        <f>IFERROR(__xludf.DUMMYFUNCTION("""COMPUTED_VALUE"""),"Very Good")</f>
        <v>Very Good</v>
      </c>
      <c r="Z960" t="str">
        <f>IFERROR(__xludf.DUMMYFUNCTION("""COMPUTED_VALUE"""),"Excellent")</f>
        <v>Excellent</v>
      </c>
      <c r="AA960" t="str">
        <f>IFERROR(__xludf.DUMMYFUNCTION("""COMPUTED_VALUE"""),"Very Good")</f>
        <v>Very Good</v>
      </c>
      <c r="AB960" t="str">
        <f>IFERROR(__xludf.DUMMYFUNCTION("""COMPUTED_VALUE"""),"Excellent")</f>
        <v>Excellent</v>
      </c>
      <c r="AH960" s="189">
        <f>IFERROR(__xludf.DUMMYFUNCTION("""COMPUTED_VALUE"""),43374.05620840278)</f>
        <v>43374.05621</v>
      </c>
    </row>
    <row r="961">
      <c r="A961" t="str">
        <f>IFERROR(__xludf.DUMMYFUNCTION("""COMPUTED_VALUE"""),"Randy7fx")</f>
        <v>Randy7fx</v>
      </c>
      <c r="B961" t="str">
        <f>IFERROR(__xludf.DUMMYFUNCTION("""COMPUTED_VALUE"""),"Charlotte")</f>
        <v>Charlotte</v>
      </c>
      <c r="C961" t="str">
        <f>IFERROR(__xludf.DUMMYFUNCTION("""COMPUTED_VALUE"""),"NC")</f>
        <v>NC</v>
      </c>
      <c r="D961" t="str">
        <f>IFERROR(__xludf.DUMMYFUNCTION("""COMPUTED_VALUE"""),"USA")</f>
        <v>USA</v>
      </c>
      <c r="E961" s="188">
        <f>IFERROR(__xludf.DUMMYFUNCTION("""COMPUTED_VALUE"""),43317.0)</f>
        <v>43317</v>
      </c>
      <c r="F961" s="188">
        <f>IFERROR(__xludf.DUMMYFUNCTION("""COMPUTED_VALUE"""),43342.0)</f>
        <v>43342</v>
      </c>
      <c r="H961" s="4">
        <f>IFERROR(__xludf.DUMMYFUNCTION("""COMPUTED_VALUE"""),99223.0)</f>
        <v>99223</v>
      </c>
      <c r="I961" t="str">
        <f>IFERROR(__xludf.DUMMYFUNCTION("""COMPUTED_VALUE"""),"08/18")</f>
        <v>08/18</v>
      </c>
      <c r="J961" s="5">
        <f>IFERROR(__xludf.DUMMYFUNCTION("""COMPUTED_VALUE"""),43372.0)</f>
        <v>43372</v>
      </c>
      <c r="K961">
        <f>IFERROR(__xludf.DUMMYFUNCTION("""COMPUTED_VALUE"""),25.0)</f>
        <v>25</v>
      </c>
      <c r="L961">
        <f>IFERROR(__xludf.DUMMYFUNCTION("""COMPUTED_VALUE"""),30.0)</f>
        <v>30</v>
      </c>
      <c r="M961">
        <f>IFERROR(__xludf.DUMMYFUNCTION("""COMPUTED_VALUE"""),55.0)</f>
        <v>55</v>
      </c>
      <c r="N961" t="str">
        <f>IFERROR(__xludf.DUMMYFUNCTION("""COMPUTED_VALUE"""),"Model 3 Performance")</f>
        <v>Model 3 Performance</v>
      </c>
      <c r="O961" t="str">
        <f>IFERROR(__xludf.DUMMYFUNCTION("""COMPUTED_VALUE"""),"Solid Black")</f>
        <v>Solid Black</v>
      </c>
      <c r="P961" t="str">
        <f>IFERROR(__xludf.DUMMYFUNCTION("""COMPUTED_VALUE"""),"18 inch Aero")</f>
        <v>18 inch Aero</v>
      </c>
      <c r="Q961" t="str">
        <f>IFERROR(__xludf.DUMMYFUNCTION("""COMPUTED_VALUE"""),"White seats")</f>
        <v>White seats</v>
      </c>
      <c r="R961" t="str">
        <f>IFERROR(__xludf.DUMMYFUNCTION("""COMPUTED_VALUE"""),"Full Self-Driving")</f>
        <v>Full Self-Driving</v>
      </c>
      <c r="X961" t="str">
        <f>IFERROR(__xludf.DUMMYFUNCTION("""COMPUTED_VALUE"""),"Excellent")</f>
        <v>Excellent</v>
      </c>
      <c r="Y961" t="str">
        <f>IFERROR(__xludf.DUMMYFUNCTION("""COMPUTED_VALUE"""),"Good")</f>
        <v>Good</v>
      </c>
      <c r="Z961" t="str">
        <f>IFERROR(__xludf.DUMMYFUNCTION("""COMPUTED_VALUE"""),"Very Good")</f>
        <v>Very Good</v>
      </c>
      <c r="AA961" t="str">
        <f>IFERROR(__xludf.DUMMYFUNCTION("""COMPUTED_VALUE"""),"Excellent")</f>
        <v>Excellent</v>
      </c>
      <c r="AB961" t="str">
        <f>IFERROR(__xludf.DUMMYFUNCTION("""COMPUTED_VALUE"""),"Excellent")</f>
        <v>Excellent</v>
      </c>
      <c r="AH961" s="189">
        <f>IFERROR(__xludf.DUMMYFUNCTION("""COMPUTED_VALUE"""),43374.19501512732)</f>
        <v>43374.19502</v>
      </c>
    </row>
    <row r="962">
      <c r="A962" t="str">
        <f>IFERROR(__xludf.DUMMYFUNCTION("""COMPUTED_VALUE"""),"Oldogishere _")</f>
        <v>Oldogishere _</v>
      </c>
      <c r="B962" t="str">
        <f>IFERROR(__xludf.DUMMYFUNCTION("""COMPUTED_VALUE"""),"Akron_")</f>
        <v>Akron_</v>
      </c>
      <c r="C962" t="str">
        <f>IFERROR(__xludf.DUMMYFUNCTION("""COMPUTED_VALUE"""),"OH")</f>
        <v>OH</v>
      </c>
      <c r="D962" t="str">
        <f>IFERROR(__xludf.DUMMYFUNCTION("""COMPUTED_VALUE"""),"USA")</f>
        <v>USA</v>
      </c>
      <c r="E962" s="188">
        <f>IFERROR(__xludf.DUMMYFUNCTION("""COMPUTED_VALUE"""),43278.0)</f>
        <v>43278</v>
      </c>
      <c r="F962" s="188">
        <f>IFERROR(__xludf.DUMMYFUNCTION("""COMPUTED_VALUE"""),43368.0)</f>
        <v>43368</v>
      </c>
      <c r="H962">
        <f>IFERROR(__xludf.DUMMYFUNCTION("""COMPUTED_VALUE"""),100355.0)</f>
        <v>100355</v>
      </c>
      <c r="I962" t="str">
        <f>IFERROR(__xludf.DUMMYFUNCTION("""COMPUTED_VALUE"""),"09/18")</f>
        <v>09/18</v>
      </c>
      <c r="J962" s="5">
        <f>IFERROR(__xludf.DUMMYFUNCTION("""COMPUTED_VALUE"""),43372.0)</f>
        <v>43372</v>
      </c>
      <c r="K962">
        <f>IFERROR(__xludf.DUMMYFUNCTION("""COMPUTED_VALUE"""),90.0)</f>
        <v>90</v>
      </c>
      <c r="L962">
        <f>IFERROR(__xludf.DUMMYFUNCTION("""COMPUTED_VALUE"""),4.0)</f>
        <v>4</v>
      </c>
      <c r="M962">
        <f>IFERROR(__xludf.DUMMYFUNCTION("""COMPUTED_VALUE"""),94.0)</f>
        <v>94</v>
      </c>
      <c r="N962" t="str">
        <f>IFERROR(__xludf.DUMMYFUNCTION("""COMPUTED_VALUE"""),"Model 3 LR AWD")</f>
        <v>Model 3 LR AWD</v>
      </c>
      <c r="O962" t="str">
        <f>IFERROR(__xludf.DUMMYFUNCTION("""COMPUTED_VALUE"""),"Midnight Silver Metallic")</f>
        <v>Midnight Silver Metallic</v>
      </c>
      <c r="P962" t="str">
        <f>IFERROR(__xludf.DUMMYFUNCTION("""COMPUTED_VALUE"""),"19 inch Sport")</f>
        <v>19 inch Sport</v>
      </c>
      <c r="Q962" t="str">
        <f>IFERROR(__xludf.DUMMYFUNCTION("""COMPUTED_VALUE"""),"White seats")</f>
        <v>White seats</v>
      </c>
      <c r="R962" t="str">
        <f>IFERROR(__xludf.DUMMYFUNCTION("""COMPUTED_VALUE"""),"Full Self-Driving")</f>
        <v>Full Self-Driving</v>
      </c>
      <c r="X962" t="str">
        <f>IFERROR(__xludf.DUMMYFUNCTION("""COMPUTED_VALUE"""),"Excellent")</f>
        <v>Excellent</v>
      </c>
      <c r="Y962" t="str">
        <f>IFERROR(__xludf.DUMMYFUNCTION("""COMPUTED_VALUE"""),"Excellent")</f>
        <v>Excellent</v>
      </c>
      <c r="Z962" t="str">
        <f>IFERROR(__xludf.DUMMYFUNCTION("""COMPUTED_VALUE"""),"Excellent")</f>
        <v>Excellent</v>
      </c>
      <c r="AA962" t="str">
        <f>IFERROR(__xludf.DUMMYFUNCTION("""COMPUTED_VALUE"""),"Excellent")</f>
        <v>Excellent</v>
      </c>
      <c r="AB962" t="str">
        <f>IFERROR(__xludf.DUMMYFUNCTION("""COMPUTED_VALUE"""),"Excellent")</f>
        <v>Excellent</v>
      </c>
      <c r="AG962" t="str">
        <f>IFERROR(__xludf.DUMMYFUNCTION("""COMPUTED_VALUE"""),"_")</f>
        <v>_</v>
      </c>
      <c r="AH962" s="189">
        <f>IFERROR(__xludf.DUMMYFUNCTION("""COMPUTED_VALUE"""),43374.21406229166)</f>
        <v>43374.21406</v>
      </c>
    </row>
    <row r="963">
      <c r="A963" t="str">
        <f>IFERROR(__xludf.DUMMYFUNCTION("""COMPUTED_VALUE"""),"pinik5")</f>
        <v>pinik5</v>
      </c>
      <c r="C963" t="str">
        <f>IFERROR(__xludf.DUMMYFUNCTION("""COMPUTED_VALUE"""),"CT")</f>
        <v>CT</v>
      </c>
      <c r="D963" t="str">
        <f>IFERROR(__xludf.DUMMYFUNCTION("""COMPUTED_VALUE"""),"USA")</f>
        <v>USA</v>
      </c>
      <c r="E963" s="188">
        <f>IFERROR(__xludf.DUMMYFUNCTION("""COMPUTED_VALUE"""),43282.0)</f>
        <v>43282</v>
      </c>
      <c r="F963" s="188">
        <f>IFERROR(__xludf.DUMMYFUNCTION("""COMPUTED_VALUE"""),43354.0)</f>
        <v>43354</v>
      </c>
      <c r="H963">
        <f>IFERROR(__xludf.DUMMYFUNCTION("""COMPUTED_VALUE"""),76991.0)</f>
        <v>76991</v>
      </c>
      <c r="I963" t="str">
        <f>IFERROR(__xludf.DUMMYFUNCTION("""COMPUTED_VALUE"""),"08/18")</f>
        <v>08/18</v>
      </c>
      <c r="J963" s="5">
        <f>IFERROR(__xludf.DUMMYFUNCTION("""COMPUTED_VALUE"""),43363.0)</f>
        <v>43363</v>
      </c>
      <c r="K963">
        <f>IFERROR(__xludf.DUMMYFUNCTION("""COMPUTED_VALUE"""),72.0)</f>
        <v>72</v>
      </c>
      <c r="L963">
        <f>IFERROR(__xludf.DUMMYFUNCTION("""COMPUTED_VALUE"""),9.0)</f>
        <v>9</v>
      </c>
      <c r="M963">
        <f>IFERROR(__xludf.DUMMYFUNCTION("""COMPUTED_VALUE"""),81.0)</f>
        <v>81</v>
      </c>
      <c r="N963" t="str">
        <f>IFERROR(__xludf.DUMMYFUNCTION("""COMPUTED_VALUE"""),"Model 3 LR AWD")</f>
        <v>Model 3 LR AWD</v>
      </c>
      <c r="O963" t="str">
        <f>IFERROR(__xludf.DUMMYFUNCTION("""COMPUTED_VALUE"""),"Midnight Silver Metallic")</f>
        <v>Midnight Silver Metallic</v>
      </c>
      <c r="P963" t="str">
        <f>IFERROR(__xludf.DUMMYFUNCTION("""COMPUTED_VALUE"""),"19 inch Sport")</f>
        <v>19 inch Sport</v>
      </c>
      <c r="Q963" t="str">
        <f>IFERROR(__xludf.DUMMYFUNCTION("""COMPUTED_VALUE"""),"Black seats")</f>
        <v>Black seats</v>
      </c>
      <c r="R963" t="str">
        <f>IFERROR(__xludf.DUMMYFUNCTION("""COMPUTED_VALUE"""),"Enhanced Autopilot")</f>
        <v>Enhanced Autopilot</v>
      </c>
      <c r="X963" t="str">
        <f>IFERROR(__xludf.DUMMYFUNCTION("""COMPUTED_VALUE"""),"Excellent")</f>
        <v>Excellent</v>
      </c>
      <c r="Y963" t="str">
        <f>IFERROR(__xludf.DUMMYFUNCTION("""COMPUTED_VALUE"""),"Excellent")</f>
        <v>Excellent</v>
      </c>
      <c r="Z963" t="str">
        <f>IFERROR(__xludf.DUMMYFUNCTION("""COMPUTED_VALUE"""),"Excellent")</f>
        <v>Excellent</v>
      </c>
      <c r="AA963" t="str">
        <f>IFERROR(__xludf.DUMMYFUNCTION("""COMPUTED_VALUE"""),"Fair")</f>
        <v>Fair</v>
      </c>
      <c r="AB963" t="str">
        <f>IFERROR(__xludf.DUMMYFUNCTION("""COMPUTED_VALUE"""),"Very Good")</f>
        <v>Very Good</v>
      </c>
      <c r="AG963" t="str">
        <f>IFERROR(__xludf.DUMMYFUNCTION("""COMPUTED_VALUE"""),"Took delivery 9/30/18")</f>
        <v>Took delivery 9/30/18</v>
      </c>
      <c r="AH963" s="189">
        <f>IFERROR(__xludf.DUMMYFUNCTION("""COMPUTED_VALUE"""),43374.25620560185)</f>
        <v>43374.25621</v>
      </c>
    </row>
    <row r="964">
      <c r="A964" t="str">
        <f>IFERROR(__xludf.DUMMYFUNCTION("""COMPUTED_VALUE"""),"rdlink")</f>
        <v>rdlink</v>
      </c>
      <c r="B964" t="str">
        <f>IFERROR(__xludf.DUMMYFUNCTION("""COMPUTED_VALUE"""),"Arvada")</f>
        <v>Arvada</v>
      </c>
      <c r="C964" t="str">
        <f>IFERROR(__xludf.DUMMYFUNCTION("""COMPUTED_VALUE"""),"CO")</f>
        <v>CO</v>
      </c>
      <c r="D964" t="str">
        <f>IFERROR(__xludf.DUMMYFUNCTION("""COMPUTED_VALUE"""),"USA")</f>
        <v>USA</v>
      </c>
      <c r="E964" s="188">
        <f>IFERROR(__xludf.DUMMYFUNCTION("""COMPUTED_VALUE"""),43279.0)</f>
        <v>43279</v>
      </c>
      <c r="F964" s="188">
        <f>IFERROR(__xludf.DUMMYFUNCTION("""COMPUTED_VALUE"""),43365.0)</f>
        <v>43365</v>
      </c>
      <c r="H964">
        <f>IFERROR(__xludf.DUMMYFUNCTION("""COMPUTED_VALUE"""),104655.0)</f>
        <v>104655</v>
      </c>
      <c r="I964" t="str">
        <f>IFERROR(__xludf.DUMMYFUNCTION("""COMPUTED_VALUE"""),"09/18")</f>
        <v>09/18</v>
      </c>
      <c r="J964" s="5">
        <f>IFERROR(__xludf.DUMMYFUNCTION("""COMPUTED_VALUE"""),43369.0)</f>
        <v>43369</v>
      </c>
      <c r="K964">
        <f>IFERROR(__xludf.DUMMYFUNCTION("""COMPUTED_VALUE"""),86.0)</f>
        <v>86</v>
      </c>
      <c r="L964">
        <f>IFERROR(__xludf.DUMMYFUNCTION("""COMPUTED_VALUE"""),4.0)</f>
        <v>4</v>
      </c>
      <c r="M964">
        <f>IFERROR(__xludf.DUMMYFUNCTION("""COMPUTED_VALUE"""),90.0)</f>
        <v>90</v>
      </c>
      <c r="N964" t="str">
        <f>IFERROR(__xludf.DUMMYFUNCTION("""COMPUTED_VALUE"""),"Model 3 LR AWD")</f>
        <v>Model 3 LR AWD</v>
      </c>
      <c r="O964" t="str">
        <f>IFERROR(__xludf.DUMMYFUNCTION("""COMPUTED_VALUE"""),"Red Multi-Coat")</f>
        <v>Red Multi-Coat</v>
      </c>
      <c r="P964" t="str">
        <f>IFERROR(__xludf.DUMMYFUNCTION("""COMPUTED_VALUE"""),"18 inch Aero")</f>
        <v>18 inch Aero</v>
      </c>
      <c r="Q964" t="str">
        <f>IFERROR(__xludf.DUMMYFUNCTION("""COMPUTED_VALUE"""),"Black seats")</f>
        <v>Black seats</v>
      </c>
      <c r="R964" t="str">
        <f>IFERROR(__xludf.DUMMYFUNCTION("""COMPUTED_VALUE"""),"Full Self-Driving")</f>
        <v>Full Self-Driving</v>
      </c>
      <c r="X964" t="str">
        <f>IFERROR(__xludf.DUMMYFUNCTION("""COMPUTED_VALUE"""),"Very Good")</f>
        <v>Very Good</v>
      </c>
      <c r="Y964" t="str">
        <f>IFERROR(__xludf.DUMMYFUNCTION("""COMPUTED_VALUE"""),"Excellent")</f>
        <v>Excellent</v>
      </c>
      <c r="Z964" t="str">
        <f>IFERROR(__xludf.DUMMYFUNCTION("""COMPUTED_VALUE"""),"Excellent")</f>
        <v>Excellent</v>
      </c>
      <c r="AA964" t="str">
        <f>IFERROR(__xludf.DUMMYFUNCTION("""COMPUTED_VALUE"""),"Poor")</f>
        <v>Poor</v>
      </c>
      <c r="AB964" t="str">
        <f>IFERROR(__xludf.DUMMYFUNCTION("""COMPUTED_VALUE"""),"Very Good")</f>
        <v>Very Good</v>
      </c>
      <c r="AC964">
        <f>IFERROR(__xludf.DUMMYFUNCTION("""COMPUTED_VALUE"""),3.0)</f>
        <v>3</v>
      </c>
      <c r="AH964" s="189">
        <f>IFERROR(__xludf.DUMMYFUNCTION("""COMPUTED_VALUE"""),43374.26449981482)</f>
        <v>43374.2645</v>
      </c>
    </row>
    <row r="965">
      <c r="A965" t="str">
        <f>IFERROR(__xludf.DUMMYFUNCTION("""COMPUTED_VALUE"""),"pdr")</f>
        <v>pdr</v>
      </c>
      <c r="B965" t="str">
        <f>IFERROR(__xludf.DUMMYFUNCTION("""COMPUTED_VALUE"""),"San Francisco")</f>
        <v>San Francisco</v>
      </c>
      <c r="C965" t="str">
        <f>IFERROR(__xludf.DUMMYFUNCTION("""COMPUTED_VALUE"""),"CA")</f>
        <v>CA</v>
      </c>
      <c r="D965" t="str">
        <f>IFERROR(__xludf.DUMMYFUNCTION("""COMPUTED_VALUE"""),"USA")</f>
        <v>USA</v>
      </c>
      <c r="E965" s="188">
        <f>IFERROR(__xludf.DUMMYFUNCTION("""COMPUTED_VALUE"""),43318.0)</f>
        <v>43318</v>
      </c>
      <c r="F965" s="188">
        <f>IFERROR(__xludf.DUMMYFUNCTION("""COMPUTED_VALUE"""),43366.0)</f>
        <v>43366</v>
      </c>
      <c r="H965">
        <f>IFERROR(__xludf.DUMMYFUNCTION("""COMPUTED_VALUE"""),115955.0)</f>
        <v>115955</v>
      </c>
      <c r="I965" t="str">
        <f>IFERROR(__xludf.DUMMYFUNCTION("""COMPUTED_VALUE"""),"09/18")</f>
        <v>09/18</v>
      </c>
      <c r="J965" s="5">
        <f>IFERROR(__xludf.DUMMYFUNCTION("""COMPUTED_VALUE"""),43371.0)</f>
        <v>43371</v>
      </c>
      <c r="K965">
        <f>IFERROR(__xludf.DUMMYFUNCTION("""COMPUTED_VALUE"""),48.0)</f>
        <v>48</v>
      </c>
      <c r="L965">
        <f>IFERROR(__xludf.DUMMYFUNCTION("""COMPUTED_VALUE"""),5.0)</f>
        <v>5</v>
      </c>
      <c r="M965">
        <f>IFERROR(__xludf.DUMMYFUNCTION("""COMPUTED_VALUE"""),53.0)</f>
        <v>53</v>
      </c>
      <c r="N965" t="str">
        <f>IFERROR(__xludf.DUMMYFUNCTION("""COMPUTED_VALUE"""),"Model 3 LR AWD")</f>
        <v>Model 3 LR AWD</v>
      </c>
      <c r="O965" t="str">
        <f>IFERROR(__xludf.DUMMYFUNCTION("""COMPUTED_VALUE"""),"Deep Blue Metallic")</f>
        <v>Deep Blue Metallic</v>
      </c>
      <c r="P965" t="str">
        <f>IFERROR(__xludf.DUMMYFUNCTION("""COMPUTED_VALUE"""),"19 inch Sport")</f>
        <v>19 inch Sport</v>
      </c>
      <c r="Q965" t="str">
        <f>IFERROR(__xludf.DUMMYFUNCTION("""COMPUTED_VALUE"""),"Black seats")</f>
        <v>Black seats</v>
      </c>
      <c r="R965" t="str">
        <f>IFERROR(__xludf.DUMMYFUNCTION("""COMPUTED_VALUE"""),"None")</f>
        <v>None</v>
      </c>
      <c r="X965" t="str">
        <f>IFERROR(__xludf.DUMMYFUNCTION("""COMPUTED_VALUE"""),"Good")</f>
        <v>Good</v>
      </c>
      <c r="Y965" t="str">
        <f>IFERROR(__xludf.DUMMYFUNCTION("""COMPUTED_VALUE"""),"Very Good")</f>
        <v>Very Good</v>
      </c>
      <c r="Z965" t="str">
        <f>IFERROR(__xludf.DUMMYFUNCTION("""COMPUTED_VALUE"""),"Very Good")</f>
        <v>Very Good</v>
      </c>
      <c r="AA965" t="str">
        <f>IFERROR(__xludf.DUMMYFUNCTION("""COMPUTED_VALUE"""),"Good")</f>
        <v>Good</v>
      </c>
      <c r="AB965" t="str">
        <f>IFERROR(__xludf.DUMMYFUNCTION("""COMPUTED_VALUE"""),"Very Good")</f>
        <v>Very Good</v>
      </c>
      <c r="AH965" s="189">
        <f>IFERROR(__xludf.DUMMYFUNCTION("""COMPUTED_VALUE"""),43374.280256134254)</f>
        <v>43374.28026</v>
      </c>
    </row>
    <row r="966">
      <c r="A966" t="str">
        <f>IFERROR(__xludf.DUMMYFUNCTION("""COMPUTED_VALUE"""),"cpaulsell")</f>
        <v>cpaulsell</v>
      </c>
      <c r="B966" t="str">
        <f>IFERROR(__xludf.DUMMYFUNCTION("""COMPUTED_VALUE"""),"Michigan")</f>
        <v>Michigan</v>
      </c>
      <c r="C966" t="str">
        <f>IFERROR(__xludf.DUMMYFUNCTION("""COMPUTED_VALUE"""),"MI")</f>
        <v>MI</v>
      </c>
      <c r="D966" t="str">
        <f>IFERROR(__xludf.DUMMYFUNCTION("""COMPUTED_VALUE"""),"USA")</f>
        <v>USA</v>
      </c>
      <c r="E966" s="188">
        <f>IFERROR(__xludf.DUMMYFUNCTION("""COMPUTED_VALUE"""),43278.0)</f>
        <v>43278</v>
      </c>
      <c r="F966" s="188">
        <f>IFERROR(__xludf.DUMMYFUNCTION("""COMPUTED_VALUE"""),43360.0)</f>
        <v>43360</v>
      </c>
      <c r="H966">
        <f>IFERROR(__xludf.DUMMYFUNCTION("""COMPUTED_VALUE"""),87355.0)</f>
        <v>87355</v>
      </c>
      <c r="I966" t="str">
        <f>IFERROR(__xludf.DUMMYFUNCTION("""COMPUTED_VALUE"""),"09/18")</f>
        <v>09/18</v>
      </c>
      <c r="J966" s="5">
        <f>IFERROR(__xludf.DUMMYFUNCTION("""COMPUTED_VALUE"""),43373.0)</f>
        <v>43373</v>
      </c>
      <c r="K966">
        <f>IFERROR(__xludf.DUMMYFUNCTION("""COMPUTED_VALUE"""),82.0)</f>
        <v>82</v>
      </c>
      <c r="L966">
        <f>IFERROR(__xludf.DUMMYFUNCTION("""COMPUTED_VALUE"""),13.0)</f>
        <v>13</v>
      </c>
      <c r="M966">
        <f>IFERROR(__xludf.DUMMYFUNCTION("""COMPUTED_VALUE"""),95.0)</f>
        <v>95</v>
      </c>
      <c r="N966" t="str">
        <f>IFERROR(__xludf.DUMMYFUNCTION("""COMPUTED_VALUE"""),"Model 3 LR AWD")</f>
        <v>Model 3 LR AWD</v>
      </c>
      <c r="O966" t="str">
        <f>IFERROR(__xludf.DUMMYFUNCTION("""COMPUTED_VALUE"""),"Midnight Silver Metallic")</f>
        <v>Midnight Silver Metallic</v>
      </c>
      <c r="P966" t="str">
        <f>IFERROR(__xludf.DUMMYFUNCTION("""COMPUTED_VALUE"""),"19 inch Sport")</f>
        <v>19 inch Sport</v>
      </c>
      <c r="Q966" t="str">
        <f>IFERROR(__xludf.DUMMYFUNCTION("""COMPUTED_VALUE"""),"White seats")</f>
        <v>White seats</v>
      </c>
      <c r="R966" t="str">
        <f>IFERROR(__xludf.DUMMYFUNCTION("""COMPUTED_VALUE"""),"Enhanced Autopilot")</f>
        <v>Enhanced Autopilot</v>
      </c>
      <c r="X966" t="str">
        <f>IFERROR(__xludf.DUMMYFUNCTION("""COMPUTED_VALUE"""),"Good")</f>
        <v>Good</v>
      </c>
      <c r="Y966" t="str">
        <f>IFERROR(__xludf.DUMMYFUNCTION("""COMPUTED_VALUE"""),"Excellent")</f>
        <v>Excellent</v>
      </c>
      <c r="Z966" t="str">
        <f>IFERROR(__xludf.DUMMYFUNCTION("""COMPUTED_VALUE"""),"Very Good")</f>
        <v>Very Good</v>
      </c>
      <c r="AA966" t="str">
        <f>IFERROR(__xludf.DUMMYFUNCTION("""COMPUTED_VALUE"""),"Poor")</f>
        <v>Poor</v>
      </c>
      <c r="AB966" t="str">
        <f>IFERROR(__xludf.DUMMYFUNCTION("""COMPUTED_VALUE"""),"Poor")</f>
        <v>Poor</v>
      </c>
      <c r="AC966">
        <f>IFERROR(__xludf.DUMMYFUNCTION("""COMPUTED_VALUE"""),0.0)</f>
        <v>0</v>
      </c>
      <c r="AD966">
        <f>IFERROR(__xludf.DUMMYFUNCTION("""COMPUTED_VALUE"""),0.0)</f>
        <v>0</v>
      </c>
      <c r="AE966">
        <f>IFERROR(__xludf.DUMMYFUNCTION("""COMPUTED_VALUE"""),0.0)</f>
        <v>0</v>
      </c>
      <c r="AH966" s="189">
        <f>IFERROR(__xludf.DUMMYFUNCTION("""COMPUTED_VALUE"""),43374.35266631945)</f>
        <v>43374.35267</v>
      </c>
    </row>
    <row r="967">
      <c r="A967" t="str">
        <f>IFERROR(__xludf.DUMMYFUNCTION("""COMPUTED_VALUE"""),"rbmdl3")</f>
        <v>rbmdl3</v>
      </c>
      <c r="B967" t="str">
        <f>IFERROR(__xludf.DUMMYFUNCTION("""COMPUTED_VALUE"""),"Glastonbury")</f>
        <v>Glastonbury</v>
      </c>
      <c r="C967" t="str">
        <f>IFERROR(__xludf.DUMMYFUNCTION("""COMPUTED_VALUE"""),"CT")</f>
        <v>CT</v>
      </c>
      <c r="D967" t="str">
        <f>IFERROR(__xludf.DUMMYFUNCTION("""COMPUTED_VALUE"""),"USA")</f>
        <v>USA</v>
      </c>
      <c r="E967" s="188">
        <f>IFERROR(__xludf.DUMMYFUNCTION("""COMPUTED_VALUE"""),43279.0)</f>
        <v>43279</v>
      </c>
      <c r="H967">
        <f>IFERROR(__xludf.DUMMYFUNCTION("""COMPUTED_VALUE"""),68555.0)</f>
        <v>68555</v>
      </c>
      <c r="J967" s="5">
        <f>IFERROR(__xludf.DUMMYFUNCTION("""COMPUTED_VALUE"""),43365.0)</f>
        <v>43365</v>
      </c>
      <c r="M967">
        <f>IFERROR(__xludf.DUMMYFUNCTION("""COMPUTED_VALUE"""),86.0)</f>
        <v>86</v>
      </c>
      <c r="N967" t="str">
        <f>IFERROR(__xludf.DUMMYFUNCTION("""COMPUTED_VALUE"""),"Model 3 LR AWD")</f>
        <v>Model 3 LR AWD</v>
      </c>
      <c r="O967" t="str">
        <f>IFERROR(__xludf.DUMMYFUNCTION("""COMPUTED_VALUE"""),"Solid Black")</f>
        <v>Solid Black</v>
      </c>
      <c r="P967" t="str">
        <f>IFERROR(__xludf.DUMMYFUNCTION("""COMPUTED_VALUE"""),"18 inch Aero")</f>
        <v>18 inch Aero</v>
      </c>
      <c r="Q967" t="str">
        <f>IFERROR(__xludf.DUMMYFUNCTION("""COMPUTED_VALUE"""),"Black seats")</f>
        <v>Black seats</v>
      </c>
      <c r="R967" t="str">
        <f>IFERROR(__xludf.DUMMYFUNCTION("""COMPUTED_VALUE"""),"Enhanced Autopilot")</f>
        <v>Enhanced Autopilot</v>
      </c>
      <c r="X967" t="str">
        <f>IFERROR(__xludf.DUMMYFUNCTION("""COMPUTED_VALUE"""),"Excellent")</f>
        <v>Excellent</v>
      </c>
      <c r="Y967" t="str">
        <f>IFERROR(__xludf.DUMMYFUNCTION("""COMPUTED_VALUE"""),"Excellent")</f>
        <v>Excellent</v>
      </c>
      <c r="Z967" t="str">
        <f>IFERROR(__xludf.DUMMYFUNCTION("""COMPUTED_VALUE"""),"Very Good")</f>
        <v>Very Good</v>
      </c>
      <c r="AA967" t="str">
        <f>IFERROR(__xludf.DUMMYFUNCTION("""COMPUTED_VALUE"""),"Good")</f>
        <v>Good</v>
      </c>
      <c r="AB967" t="str">
        <f>IFERROR(__xludf.DUMMYFUNCTION("""COMPUTED_VALUE"""),"Very Good")</f>
        <v>Very Good</v>
      </c>
      <c r="AC967">
        <f>IFERROR(__xludf.DUMMYFUNCTION("""COMPUTED_VALUE"""),0.0)</f>
        <v>0</v>
      </c>
      <c r="AD967">
        <f>IFERROR(__xludf.DUMMYFUNCTION("""COMPUTED_VALUE"""),0.0)</f>
        <v>0</v>
      </c>
      <c r="AE967">
        <f>IFERROR(__xludf.DUMMYFUNCTION("""COMPUTED_VALUE"""),0.0)</f>
        <v>0</v>
      </c>
      <c r="AH967" s="189">
        <f>IFERROR(__xludf.DUMMYFUNCTION("""COMPUTED_VALUE"""),43374.430131493056)</f>
        <v>43374.43013</v>
      </c>
    </row>
    <row r="968">
      <c r="A968" t="str">
        <f>IFERROR(__xludf.DUMMYFUNCTION("""COMPUTED_VALUE"""),"Varkias41")</f>
        <v>Varkias41</v>
      </c>
      <c r="B968" t="str">
        <f>IFERROR(__xludf.DUMMYFUNCTION("""COMPUTED_VALUE"""),"Hunterdon")</f>
        <v>Hunterdon</v>
      </c>
      <c r="C968" t="str">
        <f>IFERROR(__xludf.DUMMYFUNCTION("""COMPUTED_VALUE"""),"NJ")</f>
        <v>NJ</v>
      </c>
      <c r="D968" t="str">
        <f>IFERROR(__xludf.DUMMYFUNCTION("""COMPUTED_VALUE"""),"USA")</f>
        <v>USA</v>
      </c>
      <c r="E968" s="188">
        <f>IFERROR(__xludf.DUMMYFUNCTION("""COMPUTED_VALUE"""),43283.0)</f>
        <v>43283</v>
      </c>
      <c r="F968" s="188">
        <f>IFERROR(__xludf.DUMMYFUNCTION("""COMPUTED_VALUE"""),43370.0)</f>
        <v>43370</v>
      </c>
      <c r="H968">
        <f>IFERROR(__xludf.DUMMYFUNCTION("""COMPUTED_VALUE"""),96197.0)</f>
        <v>96197</v>
      </c>
      <c r="I968" t="str">
        <f>IFERROR(__xludf.DUMMYFUNCTION("""COMPUTED_VALUE"""),"08/18")</f>
        <v>08/18</v>
      </c>
      <c r="J968" s="5">
        <f>IFERROR(__xludf.DUMMYFUNCTION("""COMPUTED_VALUE"""),43371.0)</f>
        <v>43371</v>
      </c>
      <c r="K968">
        <f>IFERROR(__xludf.DUMMYFUNCTION("""COMPUTED_VALUE"""),87.0)</f>
        <v>87</v>
      </c>
      <c r="L968">
        <f>IFERROR(__xludf.DUMMYFUNCTION("""COMPUTED_VALUE"""),1.0)</f>
        <v>1</v>
      </c>
      <c r="M968">
        <f>IFERROR(__xludf.DUMMYFUNCTION("""COMPUTED_VALUE"""),88.0)</f>
        <v>88</v>
      </c>
      <c r="N968" t="str">
        <f>IFERROR(__xludf.DUMMYFUNCTION("""COMPUTED_VALUE"""),"Model 3 LR AWD")</f>
        <v>Model 3 LR AWD</v>
      </c>
      <c r="O968" t="str">
        <f>IFERROR(__xludf.DUMMYFUNCTION("""COMPUTED_VALUE"""),"Silver Metallic")</f>
        <v>Silver Metallic</v>
      </c>
      <c r="P968" t="str">
        <f>IFERROR(__xludf.DUMMYFUNCTION("""COMPUTED_VALUE"""),"18 inch Aero")</f>
        <v>18 inch Aero</v>
      </c>
      <c r="Q968" t="str">
        <f>IFERROR(__xludf.DUMMYFUNCTION("""COMPUTED_VALUE"""),"White seats")</f>
        <v>White seats</v>
      </c>
      <c r="R968" t="str">
        <f>IFERROR(__xludf.DUMMYFUNCTION("""COMPUTED_VALUE"""),"Enhanced Autopilot")</f>
        <v>Enhanced Autopilot</v>
      </c>
      <c r="X968" t="str">
        <f>IFERROR(__xludf.DUMMYFUNCTION("""COMPUTED_VALUE"""),"Very Good")</f>
        <v>Very Good</v>
      </c>
      <c r="Y968" t="str">
        <f>IFERROR(__xludf.DUMMYFUNCTION("""COMPUTED_VALUE"""),"Very Good")</f>
        <v>Very Good</v>
      </c>
      <c r="Z968" t="str">
        <f>IFERROR(__xludf.DUMMYFUNCTION("""COMPUTED_VALUE"""),"Excellent")</f>
        <v>Excellent</v>
      </c>
      <c r="AA968" t="str">
        <f>IFERROR(__xludf.DUMMYFUNCTION("""COMPUTED_VALUE"""),"Fair")</f>
        <v>Fair</v>
      </c>
      <c r="AB968" t="str">
        <f>IFERROR(__xludf.DUMMYFUNCTION("""COMPUTED_VALUE"""),"Very Good")</f>
        <v>Very Good</v>
      </c>
      <c r="AH968" s="189">
        <f>IFERROR(__xludf.DUMMYFUNCTION("""COMPUTED_VALUE"""),43374.46472684028)</f>
        <v>43374.46473</v>
      </c>
    </row>
    <row r="969">
      <c r="A969" t="str">
        <f>IFERROR(__xludf.DUMMYFUNCTION("""COMPUTED_VALUE"""),"theBurtReynold")</f>
        <v>theBurtReynold</v>
      </c>
      <c r="B969" t="str">
        <f>IFERROR(__xludf.DUMMYFUNCTION("""COMPUTED_VALUE"""),"Boston")</f>
        <v>Boston</v>
      </c>
      <c r="C969" t="str">
        <f>IFERROR(__xludf.DUMMYFUNCTION("""COMPUTED_VALUE"""),"MA")</f>
        <v>MA</v>
      </c>
      <c r="D969" t="str">
        <f>IFERROR(__xludf.DUMMYFUNCTION("""COMPUTED_VALUE"""),"USA")</f>
        <v>USA</v>
      </c>
      <c r="E969" s="188">
        <f>IFERROR(__xludf.DUMMYFUNCTION("""COMPUTED_VALUE"""),43279.0)</f>
        <v>43279</v>
      </c>
      <c r="F969" s="188">
        <f>IFERROR(__xludf.DUMMYFUNCTION("""COMPUTED_VALUE"""),43354.0)</f>
        <v>43354</v>
      </c>
      <c r="H969" s="4">
        <f>IFERROR(__xludf.DUMMYFUNCTION("""COMPUTED_VALUE"""),97815.0)</f>
        <v>97815</v>
      </c>
      <c r="J969" s="5">
        <f>IFERROR(__xludf.DUMMYFUNCTION("""COMPUTED_VALUE"""),43371.0)</f>
        <v>43371</v>
      </c>
      <c r="K969">
        <f>IFERROR(__xludf.DUMMYFUNCTION("""COMPUTED_VALUE"""),75.0)</f>
        <v>75</v>
      </c>
      <c r="L969">
        <f>IFERROR(__xludf.DUMMYFUNCTION("""COMPUTED_VALUE"""),17.0)</f>
        <v>17</v>
      </c>
      <c r="M969">
        <f>IFERROR(__xludf.DUMMYFUNCTION("""COMPUTED_VALUE"""),92.0)</f>
        <v>92</v>
      </c>
      <c r="N969" t="str">
        <f>IFERROR(__xludf.DUMMYFUNCTION("""COMPUTED_VALUE"""),"Model 3 LR AWD")</f>
        <v>Model 3 LR AWD</v>
      </c>
      <c r="O969" t="str">
        <f>IFERROR(__xludf.DUMMYFUNCTION("""COMPUTED_VALUE"""),"Deep Blue Metallic")</f>
        <v>Deep Blue Metallic</v>
      </c>
      <c r="P969" t="str">
        <f>IFERROR(__xludf.DUMMYFUNCTION("""COMPUTED_VALUE"""),"19 inch Sport")</f>
        <v>19 inch Sport</v>
      </c>
      <c r="Q969" t="str">
        <f>IFERROR(__xludf.DUMMYFUNCTION("""COMPUTED_VALUE"""),"White seats")</f>
        <v>White seats</v>
      </c>
      <c r="R969" t="str">
        <f>IFERROR(__xludf.DUMMYFUNCTION("""COMPUTED_VALUE"""),"Full Self-Driving")</f>
        <v>Full Self-Driving</v>
      </c>
      <c r="X969" t="str">
        <f>IFERROR(__xludf.DUMMYFUNCTION("""COMPUTED_VALUE"""),"Excellent")</f>
        <v>Excellent</v>
      </c>
      <c r="Y969" t="str">
        <f>IFERROR(__xludf.DUMMYFUNCTION("""COMPUTED_VALUE"""),"Excellent")</f>
        <v>Excellent</v>
      </c>
      <c r="Z969" t="str">
        <f>IFERROR(__xludf.DUMMYFUNCTION("""COMPUTED_VALUE"""),"Excellent")</f>
        <v>Excellent</v>
      </c>
      <c r="AA969" t="str">
        <f>IFERROR(__xludf.DUMMYFUNCTION("""COMPUTED_VALUE"""),"Very Good")</f>
        <v>Very Good</v>
      </c>
      <c r="AB969" t="str">
        <f>IFERROR(__xludf.DUMMYFUNCTION("""COMPUTED_VALUE"""),"Very Good")</f>
        <v>Very Good</v>
      </c>
      <c r="AH969" s="189">
        <f>IFERROR(__xludf.DUMMYFUNCTION("""COMPUTED_VALUE"""),43374.49375045139)</f>
        <v>43374.49375</v>
      </c>
    </row>
    <row r="970">
      <c r="A970" t="str">
        <f>IFERROR(__xludf.DUMMYFUNCTION("""COMPUTED_VALUE"""),"selector")</f>
        <v>selector</v>
      </c>
      <c r="B970" t="str">
        <f>IFERROR(__xludf.DUMMYFUNCTION("""COMPUTED_VALUE"""),"Fremont")</f>
        <v>Fremont</v>
      </c>
      <c r="C970" t="str">
        <f>IFERROR(__xludf.DUMMYFUNCTION("""COMPUTED_VALUE"""),"CA")</f>
        <v>CA</v>
      </c>
      <c r="D970" t="str">
        <f>IFERROR(__xludf.DUMMYFUNCTION("""COMPUTED_VALUE"""),"USA")</f>
        <v>USA</v>
      </c>
      <c r="E970" s="188">
        <f>IFERROR(__xludf.DUMMYFUNCTION("""COMPUTED_VALUE"""),43281.0)</f>
        <v>43281</v>
      </c>
      <c r="F970" s="188">
        <f>IFERROR(__xludf.DUMMYFUNCTION("""COMPUTED_VALUE"""),43350.0)</f>
        <v>43350</v>
      </c>
      <c r="H970">
        <f>IFERROR(__xludf.DUMMYFUNCTION("""COMPUTED_VALUE"""),64855.0)</f>
        <v>64855</v>
      </c>
      <c r="I970" t="str">
        <f>IFERROR(__xludf.DUMMYFUNCTION("""COMPUTED_VALUE"""),"09/18")</f>
        <v>09/18</v>
      </c>
      <c r="J970" s="5">
        <f>IFERROR(__xludf.DUMMYFUNCTION("""COMPUTED_VALUE"""),43354.0)</f>
        <v>43354</v>
      </c>
      <c r="K970">
        <f>IFERROR(__xludf.DUMMYFUNCTION("""COMPUTED_VALUE"""),69.0)</f>
        <v>69</v>
      </c>
      <c r="L970">
        <f>IFERROR(__xludf.DUMMYFUNCTION("""COMPUTED_VALUE"""),4.0)</f>
        <v>4</v>
      </c>
      <c r="M970">
        <f>IFERROR(__xludf.DUMMYFUNCTION("""COMPUTED_VALUE"""),73.0)</f>
        <v>73</v>
      </c>
      <c r="N970" t="str">
        <f>IFERROR(__xludf.DUMMYFUNCTION("""COMPUTED_VALUE"""),"Model 3 LR AWD")</f>
        <v>Model 3 LR AWD</v>
      </c>
      <c r="O970" t="str">
        <f>IFERROR(__xludf.DUMMYFUNCTION("""COMPUTED_VALUE"""),"Deep Blue Metallic")</f>
        <v>Deep Blue Metallic</v>
      </c>
      <c r="P970" t="str">
        <f>IFERROR(__xludf.DUMMYFUNCTION("""COMPUTED_VALUE"""),"18 inch Aero")</f>
        <v>18 inch Aero</v>
      </c>
      <c r="Q970" t="str">
        <f>IFERROR(__xludf.DUMMYFUNCTION("""COMPUTED_VALUE"""),"Black seats")</f>
        <v>Black seats</v>
      </c>
      <c r="R970" t="str">
        <f>IFERROR(__xludf.DUMMYFUNCTION("""COMPUTED_VALUE"""),"Full Self-Driving")</f>
        <v>Full Self-Driving</v>
      </c>
      <c r="X970" t="str">
        <f>IFERROR(__xludf.DUMMYFUNCTION("""COMPUTED_VALUE"""),"Excellent")</f>
        <v>Excellent</v>
      </c>
      <c r="Y970" t="str">
        <f>IFERROR(__xludf.DUMMYFUNCTION("""COMPUTED_VALUE"""),"Excellent")</f>
        <v>Excellent</v>
      </c>
      <c r="Z970" t="str">
        <f>IFERROR(__xludf.DUMMYFUNCTION("""COMPUTED_VALUE"""),"Very Good")</f>
        <v>Very Good</v>
      </c>
      <c r="AA970" t="str">
        <f>IFERROR(__xludf.DUMMYFUNCTION("""COMPUTED_VALUE"""),"Very Good")</f>
        <v>Very Good</v>
      </c>
      <c r="AB970" t="str">
        <f>IFERROR(__xludf.DUMMYFUNCTION("""COMPUTED_VALUE"""),"Excellent")</f>
        <v>Excellent</v>
      </c>
      <c r="AC970">
        <f>IFERROR(__xludf.DUMMYFUNCTION("""COMPUTED_VALUE"""),0.0)</f>
        <v>0</v>
      </c>
      <c r="AD970">
        <f>IFERROR(__xludf.DUMMYFUNCTION("""COMPUTED_VALUE"""),0.0)</f>
        <v>0</v>
      </c>
      <c r="AE970">
        <f>IFERROR(__xludf.DUMMYFUNCTION("""COMPUTED_VALUE"""),0.0)</f>
        <v>0</v>
      </c>
      <c r="AH970" s="189">
        <f>IFERROR(__xludf.DUMMYFUNCTION("""COMPUTED_VALUE"""),43374.49451449074)</f>
        <v>43374.49451</v>
      </c>
    </row>
    <row r="971">
      <c r="A971" t="str">
        <f>IFERROR(__xludf.DUMMYFUNCTION("""COMPUTED_VALUE"""),"jayped")</f>
        <v>jayped</v>
      </c>
      <c r="B971" t="str">
        <f>IFERROR(__xludf.DUMMYFUNCTION("""COMPUTED_VALUE"""),"Philadelphia")</f>
        <v>Philadelphia</v>
      </c>
      <c r="C971" t="str">
        <f>IFERROR(__xludf.DUMMYFUNCTION("""COMPUTED_VALUE"""),"PA")</f>
        <v>PA</v>
      </c>
      <c r="D971" t="str">
        <f>IFERROR(__xludf.DUMMYFUNCTION("""COMPUTED_VALUE"""),"USA")</f>
        <v>USA</v>
      </c>
      <c r="E971" s="188">
        <f>IFERROR(__xludf.DUMMYFUNCTION("""COMPUTED_VALUE"""),43277.0)</f>
        <v>43277</v>
      </c>
      <c r="F971" s="188">
        <f>IFERROR(__xludf.DUMMYFUNCTION("""COMPUTED_VALUE"""),43354.0)</f>
        <v>43354</v>
      </c>
      <c r="H971">
        <f>IFERROR(__xludf.DUMMYFUNCTION("""COMPUTED_VALUE"""),97365.0)</f>
        <v>97365</v>
      </c>
      <c r="I971" t="str">
        <f>IFERROR(__xludf.DUMMYFUNCTION("""COMPUTED_VALUE"""),"08/18")</f>
        <v>08/18</v>
      </c>
      <c r="J971" s="5">
        <f>IFERROR(__xludf.DUMMYFUNCTION("""COMPUTED_VALUE"""),43364.0)</f>
        <v>43364</v>
      </c>
      <c r="K971">
        <f>IFERROR(__xludf.DUMMYFUNCTION("""COMPUTED_VALUE"""),77.0)</f>
        <v>77</v>
      </c>
      <c r="L971">
        <f>IFERROR(__xludf.DUMMYFUNCTION("""COMPUTED_VALUE"""),10.0)</f>
        <v>10</v>
      </c>
      <c r="M971">
        <f>IFERROR(__xludf.DUMMYFUNCTION("""COMPUTED_VALUE"""),87.0)</f>
        <v>87</v>
      </c>
      <c r="N971" t="str">
        <f>IFERROR(__xludf.DUMMYFUNCTION("""COMPUTED_VALUE"""),"Model 3 LR AWD")</f>
        <v>Model 3 LR AWD</v>
      </c>
      <c r="O971" t="str">
        <f>IFERROR(__xludf.DUMMYFUNCTION("""COMPUTED_VALUE"""),"Red Multi-Coat")</f>
        <v>Red Multi-Coat</v>
      </c>
      <c r="P971" t="str">
        <f>IFERROR(__xludf.DUMMYFUNCTION("""COMPUTED_VALUE"""),"19 inch Sport")</f>
        <v>19 inch Sport</v>
      </c>
      <c r="Q971" t="str">
        <f>IFERROR(__xludf.DUMMYFUNCTION("""COMPUTED_VALUE"""),"White seats")</f>
        <v>White seats</v>
      </c>
      <c r="R971" t="str">
        <f>IFERROR(__xludf.DUMMYFUNCTION("""COMPUTED_VALUE"""),"Enhanced Autopilot")</f>
        <v>Enhanced Autopilot</v>
      </c>
      <c r="X971" t="str">
        <f>IFERROR(__xludf.DUMMYFUNCTION("""COMPUTED_VALUE"""),"Excellent")</f>
        <v>Excellent</v>
      </c>
      <c r="Y971" t="str">
        <f>IFERROR(__xludf.DUMMYFUNCTION("""COMPUTED_VALUE"""),"Excellent")</f>
        <v>Excellent</v>
      </c>
      <c r="Z971" t="str">
        <f>IFERROR(__xludf.DUMMYFUNCTION("""COMPUTED_VALUE"""),"Very Good")</f>
        <v>Very Good</v>
      </c>
      <c r="AA971" t="str">
        <f>IFERROR(__xludf.DUMMYFUNCTION("""COMPUTED_VALUE"""),"Excellent")</f>
        <v>Excellent</v>
      </c>
      <c r="AB971" t="str">
        <f>IFERROR(__xludf.DUMMYFUNCTION("""COMPUTED_VALUE"""),"Excellent")</f>
        <v>Excellent</v>
      </c>
      <c r="AC971">
        <f>IFERROR(__xludf.DUMMYFUNCTION("""COMPUTED_VALUE"""),2.0)</f>
        <v>2</v>
      </c>
      <c r="AD971">
        <f>IFERROR(__xludf.DUMMYFUNCTION("""COMPUTED_VALUE"""),2.0)</f>
        <v>2</v>
      </c>
      <c r="AE971">
        <f>IFERROR(__xludf.DUMMYFUNCTION("""COMPUTED_VALUE"""),0.0)</f>
        <v>0</v>
      </c>
      <c r="AH971" s="189">
        <f>IFERROR(__xludf.DUMMYFUNCTION("""COMPUTED_VALUE"""),43374.496385983795)</f>
        <v>43374.49639</v>
      </c>
    </row>
    <row r="972">
      <c r="A972" t="str">
        <f>IFERROR(__xludf.DUMMYFUNCTION("""COMPUTED_VALUE"""),"jiserrab")</f>
        <v>jiserrab</v>
      </c>
      <c r="B972" t="str">
        <f>IFERROR(__xludf.DUMMYFUNCTION("""COMPUTED_VALUE"""),"Rolling Hills Estates (LA area)")</f>
        <v>Rolling Hills Estates (LA area)</v>
      </c>
      <c r="C972" t="str">
        <f>IFERROR(__xludf.DUMMYFUNCTION("""COMPUTED_VALUE"""),"CA")</f>
        <v>CA</v>
      </c>
      <c r="D972" t="str">
        <f>IFERROR(__xludf.DUMMYFUNCTION("""COMPUTED_VALUE"""),"USA")</f>
        <v>USA</v>
      </c>
      <c r="E972" s="188">
        <f>IFERROR(__xludf.DUMMYFUNCTION("""COMPUTED_VALUE"""),43280.0)</f>
        <v>43280</v>
      </c>
      <c r="F972" s="188">
        <f>IFERROR(__xludf.DUMMYFUNCTION("""COMPUTED_VALUE"""),43367.0)</f>
        <v>43367</v>
      </c>
      <c r="H972">
        <f>IFERROR(__xludf.DUMMYFUNCTION("""COMPUTED_VALUE"""),91067.0)</f>
        <v>91067</v>
      </c>
      <c r="I972" t="str">
        <f>IFERROR(__xludf.DUMMYFUNCTION("""COMPUTED_VALUE"""),"09/18")</f>
        <v>09/18</v>
      </c>
      <c r="J972" s="5">
        <f>IFERROR(__xludf.DUMMYFUNCTION("""COMPUTED_VALUE"""),43372.0)</f>
        <v>43372</v>
      </c>
      <c r="K972">
        <f>IFERROR(__xludf.DUMMYFUNCTION("""COMPUTED_VALUE"""),87.0)</f>
        <v>87</v>
      </c>
      <c r="L972">
        <f>IFERROR(__xludf.DUMMYFUNCTION("""COMPUTED_VALUE"""),5.0)</f>
        <v>5</v>
      </c>
      <c r="M972">
        <f>IFERROR(__xludf.DUMMYFUNCTION("""COMPUTED_VALUE"""),92.0)</f>
        <v>92</v>
      </c>
      <c r="N972" t="str">
        <f>IFERROR(__xludf.DUMMYFUNCTION("""COMPUTED_VALUE"""),"Model 3 LR AWD")</f>
        <v>Model 3 LR AWD</v>
      </c>
      <c r="O972" t="str">
        <f>IFERROR(__xludf.DUMMYFUNCTION("""COMPUTED_VALUE"""),"Midnight Silver Metallic")</f>
        <v>Midnight Silver Metallic</v>
      </c>
      <c r="P972" t="str">
        <f>IFERROR(__xludf.DUMMYFUNCTION("""COMPUTED_VALUE"""),"19 inch Sport")</f>
        <v>19 inch Sport</v>
      </c>
      <c r="Q972" t="str">
        <f>IFERROR(__xludf.DUMMYFUNCTION("""COMPUTED_VALUE"""),"Black seats")</f>
        <v>Black seats</v>
      </c>
      <c r="R972" t="str">
        <f>IFERROR(__xludf.DUMMYFUNCTION("""COMPUTED_VALUE"""),"Enhanced Autopilot")</f>
        <v>Enhanced Autopilot</v>
      </c>
      <c r="X972" t="str">
        <f>IFERROR(__xludf.DUMMYFUNCTION("""COMPUTED_VALUE"""),"Excellent")</f>
        <v>Excellent</v>
      </c>
      <c r="Y972" t="str">
        <f>IFERROR(__xludf.DUMMYFUNCTION("""COMPUTED_VALUE"""),"Excellent")</f>
        <v>Excellent</v>
      </c>
      <c r="Z972" t="str">
        <f>IFERROR(__xludf.DUMMYFUNCTION("""COMPUTED_VALUE"""),"Excellent")</f>
        <v>Excellent</v>
      </c>
      <c r="AA972" t="str">
        <f>IFERROR(__xludf.DUMMYFUNCTION("""COMPUTED_VALUE"""),"Excellent")</f>
        <v>Excellent</v>
      </c>
      <c r="AB972" t="str">
        <f>IFERROR(__xludf.DUMMYFUNCTION("""COMPUTED_VALUE"""),"Excellent")</f>
        <v>Excellent</v>
      </c>
      <c r="AH972" s="189">
        <f>IFERROR(__xludf.DUMMYFUNCTION("""COMPUTED_VALUE"""),43374.51345221065)</f>
        <v>43374.51345</v>
      </c>
    </row>
    <row r="973">
      <c r="A973" t="str">
        <f>IFERROR(__xludf.DUMMYFUNCTION("""COMPUTED_VALUE"""),"Flipper52")</f>
        <v>Flipper52</v>
      </c>
      <c r="B973" t="str">
        <f>IFERROR(__xludf.DUMMYFUNCTION("""COMPUTED_VALUE"""),"Milwaukee")</f>
        <v>Milwaukee</v>
      </c>
      <c r="C973" t="str">
        <f>IFERROR(__xludf.DUMMYFUNCTION("""COMPUTED_VALUE"""),"WI")</f>
        <v>WI</v>
      </c>
      <c r="D973" t="str">
        <f>IFERROR(__xludf.DUMMYFUNCTION("""COMPUTED_VALUE"""),"USA")</f>
        <v>USA</v>
      </c>
      <c r="E973" s="188">
        <f>IFERROR(__xludf.DUMMYFUNCTION("""COMPUTED_VALUE"""),43281.0)</f>
        <v>43281</v>
      </c>
      <c r="F973" s="188">
        <f>IFERROR(__xludf.DUMMYFUNCTION("""COMPUTED_VALUE"""),43349.0)</f>
        <v>43349</v>
      </c>
      <c r="H973">
        <f>IFERROR(__xludf.DUMMYFUNCTION("""COMPUTED_VALUE"""),91255.0)</f>
        <v>91255</v>
      </c>
      <c r="I973" t="str">
        <f>IFERROR(__xludf.DUMMYFUNCTION("""COMPUTED_VALUE"""),"09/18")</f>
        <v>09/18</v>
      </c>
      <c r="J973" s="5">
        <f>IFERROR(__xludf.DUMMYFUNCTION("""COMPUTED_VALUE"""),43372.0)</f>
        <v>43372</v>
      </c>
      <c r="K973">
        <f>IFERROR(__xludf.DUMMYFUNCTION("""COMPUTED_VALUE"""),68.0)</f>
        <v>68</v>
      </c>
      <c r="L973">
        <f>IFERROR(__xludf.DUMMYFUNCTION("""COMPUTED_VALUE"""),23.0)</f>
        <v>23</v>
      </c>
      <c r="M973">
        <f>IFERROR(__xludf.DUMMYFUNCTION("""COMPUTED_VALUE"""),91.0)</f>
        <v>91</v>
      </c>
      <c r="N973" t="str">
        <f>IFERROR(__xludf.DUMMYFUNCTION("""COMPUTED_VALUE"""),"Model 3 LR AWD")</f>
        <v>Model 3 LR AWD</v>
      </c>
      <c r="O973" t="str">
        <f>IFERROR(__xludf.DUMMYFUNCTION("""COMPUTED_VALUE"""),"Silver Metallic")</f>
        <v>Silver Metallic</v>
      </c>
      <c r="P973" t="str">
        <f>IFERROR(__xludf.DUMMYFUNCTION("""COMPUTED_VALUE"""),"18 inch Aero")</f>
        <v>18 inch Aero</v>
      </c>
      <c r="Q973" t="str">
        <f>IFERROR(__xludf.DUMMYFUNCTION("""COMPUTED_VALUE"""),"Black seats")</f>
        <v>Black seats</v>
      </c>
      <c r="R973" t="str">
        <f>IFERROR(__xludf.DUMMYFUNCTION("""COMPUTED_VALUE"""),"Enhanced Autopilot")</f>
        <v>Enhanced Autopilot</v>
      </c>
      <c r="X973" t="str">
        <f>IFERROR(__xludf.DUMMYFUNCTION("""COMPUTED_VALUE"""),"Excellent")</f>
        <v>Excellent</v>
      </c>
      <c r="Y973" t="str">
        <f>IFERROR(__xludf.DUMMYFUNCTION("""COMPUTED_VALUE"""),"Excellent")</f>
        <v>Excellent</v>
      </c>
      <c r="Z973" t="str">
        <f>IFERROR(__xludf.DUMMYFUNCTION("""COMPUTED_VALUE"""),"Excellent")</f>
        <v>Excellent</v>
      </c>
      <c r="AA973" t="str">
        <f>IFERROR(__xludf.DUMMYFUNCTION("""COMPUTED_VALUE"""),"Excellent")</f>
        <v>Excellent</v>
      </c>
      <c r="AB973" t="str">
        <f>IFERROR(__xludf.DUMMYFUNCTION("""COMPUTED_VALUE"""),"Very Good")</f>
        <v>Very Good</v>
      </c>
      <c r="AC973">
        <f>IFERROR(__xludf.DUMMYFUNCTION("""COMPUTED_VALUE"""),0.0)</f>
        <v>0</v>
      </c>
      <c r="AG973" t="str">
        <f>IFERROR(__xludf.DUMMYFUNCTION("""COMPUTED_VALUE"""),"Originally was 9/22, they moved to 9/29")</f>
        <v>Originally was 9/22, they moved to 9/29</v>
      </c>
      <c r="AH973" s="189">
        <f>IFERROR(__xludf.DUMMYFUNCTION("""COMPUTED_VALUE"""),43374.5159569213)</f>
        <v>43374.51596</v>
      </c>
    </row>
    <row r="974">
      <c r="A974" t="str">
        <f>IFERROR(__xludf.DUMMYFUNCTION("""COMPUTED_VALUE"""),"wbhokie")</f>
        <v>wbhokie</v>
      </c>
      <c r="B974" t="str">
        <f>IFERROR(__xludf.DUMMYFUNCTION("""COMPUTED_VALUE"""),"NOVA")</f>
        <v>NOVA</v>
      </c>
      <c r="C974" t="str">
        <f>IFERROR(__xludf.DUMMYFUNCTION("""COMPUTED_VALUE"""),"VA")</f>
        <v>VA</v>
      </c>
      <c r="D974" t="str">
        <f>IFERROR(__xludf.DUMMYFUNCTION("""COMPUTED_VALUE"""),"USA")</f>
        <v>USA</v>
      </c>
      <c r="E974" s="188">
        <f>IFERROR(__xludf.DUMMYFUNCTION("""COMPUTED_VALUE"""),43308.0)</f>
        <v>43308</v>
      </c>
      <c r="F974" s="188">
        <f>IFERROR(__xludf.DUMMYFUNCTION("""COMPUTED_VALUE"""),43346.0)</f>
        <v>43346</v>
      </c>
      <c r="H974">
        <f>IFERROR(__xludf.DUMMYFUNCTION("""COMPUTED_VALUE"""),99655.0)</f>
        <v>99655</v>
      </c>
      <c r="J974" s="5">
        <f>IFERROR(__xludf.DUMMYFUNCTION("""COMPUTED_VALUE"""),43358.0)</f>
        <v>43358</v>
      </c>
      <c r="K974">
        <f>IFERROR(__xludf.DUMMYFUNCTION("""COMPUTED_VALUE"""),38.0)</f>
        <v>38</v>
      </c>
      <c r="L974">
        <f>IFERROR(__xludf.DUMMYFUNCTION("""COMPUTED_VALUE"""),12.0)</f>
        <v>12</v>
      </c>
      <c r="M974">
        <f>IFERROR(__xludf.DUMMYFUNCTION("""COMPUTED_VALUE"""),50.0)</f>
        <v>50</v>
      </c>
      <c r="N974" t="str">
        <f>IFERROR(__xludf.DUMMYFUNCTION("""COMPUTED_VALUE"""),"Model 3 Performance")</f>
        <v>Model 3 Performance</v>
      </c>
      <c r="O974" t="str">
        <f>IFERROR(__xludf.DUMMYFUNCTION("""COMPUTED_VALUE"""),"Red Multi-Coat")</f>
        <v>Red Multi-Coat</v>
      </c>
      <c r="P974" t="str">
        <f>IFERROR(__xludf.DUMMYFUNCTION("""COMPUTED_VALUE"""),"18 inch Aero")</f>
        <v>18 inch Aero</v>
      </c>
      <c r="Q974" t="str">
        <f>IFERROR(__xludf.DUMMYFUNCTION("""COMPUTED_VALUE"""),"White seats")</f>
        <v>White seats</v>
      </c>
      <c r="R974" t="str">
        <f>IFERROR(__xludf.DUMMYFUNCTION("""COMPUTED_VALUE"""),"Enhanced Autopilot")</f>
        <v>Enhanced Autopilot</v>
      </c>
      <c r="X974" t="str">
        <f>IFERROR(__xludf.DUMMYFUNCTION("""COMPUTED_VALUE"""),"Excellent")</f>
        <v>Excellent</v>
      </c>
      <c r="Y974" t="str">
        <f>IFERROR(__xludf.DUMMYFUNCTION("""COMPUTED_VALUE"""),"Excellent")</f>
        <v>Excellent</v>
      </c>
      <c r="Z974" t="str">
        <f>IFERROR(__xludf.DUMMYFUNCTION("""COMPUTED_VALUE"""),"Excellent")</f>
        <v>Excellent</v>
      </c>
      <c r="AA974" t="str">
        <f>IFERROR(__xludf.DUMMYFUNCTION("""COMPUTED_VALUE"""),"Very Good")</f>
        <v>Very Good</v>
      </c>
      <c r="AB974" t="str">
        <f>IFERROR(__xludf.DUMMYFUNCTION("""COMPUTED_VALUE"""),"Very Good")</f>
        <v>Very Good</v>
      </c>
      <c r="AC974">
        <f>IFERROR(__xludf.DUMMYFUNCTION("""COMPUTED_VALUE"""),0.0)</f>
        <v>0</v>
      </c>
      <c r="AD974">
        <f>IFERROR(__xludf.DUMMYFUNCTION("""COMPUTED_VALUE"""),0.0)</f>
        <v>0</v>
      </c>
      <c r="AE974">
        <f>IFERROR(__xludf.DUMMYFUNCTION("""COMPUTED_VALUE"""),0.0)</f>
        <v>0</v>
      </c>
      <c r="AH974" s="189">
        <f>IFERROR(__xludf.DUMMYFUNCTION("""COMPUTED_VALUE"""),43374.51975943287)</f>
        <v>43374.51976</v>
      </c>
    </row>
    <row r="975">
      <c r="A975" t="str">
        <f>IFERROR(__xludf.DUMMYFUNCTION("""COMPUTED_VALUE"""),"bcflick")</f>
        <v>bcflick</v>
      </c>
      <c r="B975" t="str">
        <f>IFERROR(__xludf.DUMMYFUNCTION("""COMPUTED_VALUE"""),"Tehachapi")</f>
        <v>Tehachapi</v>
      </c>
      <c r="C975" t="str">
        <f>IFERROR(__xludf.DUMMYFUNCTION("""COMPUTED_VALUE"""),"CA")</f>
        <v>CA</v>
      </c>
      <c r="D975" t="str">
        <f>IFERROR(__xludf.DUMMYFUNCTION("""COMPUTED_VALUE"""),"USA")</f>
        <v>USA</v>
      </c>
      <c r="E975" s="188">
        <f>IFERROR(__xludf.DUMMYFUNCTION("""COMPUTED_VALUE"""),43320.0)</f>
        <v>43320</v>
      </c>
      <c r="F975" s="188">
        <f>IFERROR(__xludf.DUMMYFUNCTION("""COMPUTED_VALUE"""),43369.0)</f>
        <v>43369</v>
      </c>
      <c r="H975">
        <f>IFERROR(__xludf.DUMMYFUNCTION("""COMPUTED_VALUE"""),94285.0)</f>
        <v>94285</v>
      </c>
      <c r="I975" t="str">
        <f>IFERROR(__xludf.DUMMYFUNCTION("""COMPUTED_VALUE"""),"09/18")</f>
        <v>09/18</v>
      </c>
      <c r="J975" s="5">
        <f>IFERROR(__xludf.DUMMYFUNCTION("""COMPUTED_VALUE"""),43372.0)</f>
        <v>43372</v>
      </c>
      <c r="K975">
        <f>IFERROR(__xludf.DUMMYFUNCTION("""COMPUTED_VALUE"""),49.0)</f>
        <v>49</v>
      </c>
      <c r="L975">
        <f>IFERROR(__xludf.DUMMYFUNCTION("""COMPUTED_VALUE"""),3.0)</f>
        <v>3</v>
      </c>
      <c r="M975">
        <f>IFERROR(__xludf.DUMMYFUNCTION("""COMPUTED_VALUE"""),52.0)</f>
        <v>52</v>
      </c>
      <c r="N975" t="str">
        <f>IFERROR(__xludf.DUMMYFUNCTION("""COMPUTED_VALUE"""),"Model 3 LR AWD")</f>
        <v>Model 3 LR AWD</v>
      </c>
      <c r="O975" t="str">
        <f>IFERROR(__xludf.DUMMYFUNCTION("""COMPUTED_VALUE"""),"Red Multi-Coat")</f>
        <v>Red Multi-Coat</v>
      </c>
      <c r="P975" t="str">
        <f>IFERROR(__xludf.DUMMYFUNCTION("""COMPUTED_VALUE"""),"18 inch Aero")</f>
        <v>18 inch Aero</v>
      </c>
      <c r="Q975" t="str">
        <f>IFERROR(__xludf.DUMMYFUNCTION("""COMPUTED_VALUE"""),"Black seats")</f>
        <v>Black seats</v>
      </c>
      <c r="R975" t="str">
        <f>IFERROR(__xludf.DUMMYFUNCTION("""COMPUTED_VALUE"""),"None")</f>
        <v>None</v>
      </c>
      <c r="X975" t="str">
        <f>IFERROR(__xludf.DUMMYFUNCTION("""COMPUTED_VALUE"""),"Excellent")</f>
        <v>Excellent</v>
      </c>
      <c r="Y975" t="str">
        <f>IFERROR(__xludf.DUMMYFUNCTION("""COMPUTED_VALUE"""),"Excellent")</f>
        <v>Excellent</v>
      </c>
      <c r="Z975" t="str">
        <f>IFERROR(__xludf.DUMMYFUNCTION("""COMPUTED_VALUE"""),"Very Good")</f>
        <v>Very Good</v>
      </c>
      <c r="AA975" t="str">
        <f>IFERROR(__xludf.DUMMYFUNCTION("""COMPUTED_VALUE"""),"Fair")</f>
        <v>Fair</v>
      </c>
      <c r="AB975" t="str">
        <f>IFERROR(__xludf.DUMMYFUNCTION("""COMPUTED_VALUE"""),"Excellent")</f>
        <v>Excellent</v>
      </c>
      <c r="AC975">
        <f>IFERROR(__xludf.DUMMYFUNCTION("""COMPUTED_VALUE"""),1.0)</f>
        <v>1</v>
      </c>
      <c r="AH975" s="189">
        <f>IFERROR(__xludf.DUMMYFUNCTION("""COMPUTED_VALUE"""),43374.52595038194)</f>
        <v>43374.52595</v>
      </c>
    </row>
    <row r="976">
      <c r="A976" t="str">
        <f>IFERROR(__xludf.DUMMYFUNCTION("""COMPUTED_VALUE"""),"sees-sharps")</f>
        <v>sees-sharps</v>
      </c>
      <c r="B976" t="str">
        <f>IFERROR(__xludf.DUMMYFUNCTION("""COMPUTED_VALUE"""),"Columbus")</f>
        <v>Columbus</v>
      </c>
      <c r="C976" t="str">
        <f>IFERROR(__xludf.DUMMYFUNCTION("""COMPUTED_VALUE"""),"OH")</f>
        <v>OH</v>
      </c>
      <c r="D976" t="str">
        <f>IFERROR(__xludf.DUMMYFUNCTION("""COMPUTED_VALUE"""),"USA")</f>
        <v>USA</v>
      </c>
      <c r="E976" s="188">
        <f>IFERROR(__xludf.DUMMYFUNCTION("""COMPUTED_VALUE"""),43278.0)</f>
        <v>43278</v>
      </c>
      <c r="F976" s="188">
        <f>IFERROR(__xludf.DUMMYFUNCTION("""COMPUTED_VALUE"""),43360.0)</f>
        <v>43360</v>
      </c>
      <c r="H976">
        <f>IFERROR(__xludf.DUMMYFUNCTION("""COMPUTED_VALUE"""),77055.0)</f>
        <v>77055</v>
      </c>
      <c r="I976" t="str">
        <f>IFERROR(__xludf.DUMMYFUNCTION("""COMPUTED_VALUE"""),"09/18")</f>
        <v>09/18</v>
      </c>
      <c r="J976" s="5">
        <f>IFERROR(__xludf.DUMMYFUNCTION("""COMPUTED_VALUE"""),43371.0)</f>
        <v>43371</v>
      </c>
      <c r="K976">
        <f>IFERROR(__xludf.DUMMYFUNCTION("""COMPUTED_VALUE"""),82.0)</f>
        <v>82</v>
      </c>
      <c r="L976">
        <f>IFERROR(__xludf.DUMMYFUNCTION("""COMPUTED_VALUE"""),11.0)</f>
        <v>11</v>
      </c>
      <c r="M976">
        <f>IFERROR(__xludf.DUMMYFUNCTION("""COMPUTED_VALUE"""),93.0)</f>
        <v>93</v>
      </c>
      <c r="N976" t="str">
        <f>IFERROR(__xludf.DUMMYFUNCTION("""COMPUTED_VALUE"""),"Model 3 LR AWD")</f>
        <v>Model 3 LR AWD</v>
      </c>
      <c r="O976" t="str">
        <f>IFERROR(__xludf.DUMMYFUNCTION("""COMPUTED_VALUE"""),"Obsidian Black Metallic")</f>
        <v>Obsidian Black Metallic</v>
      </c>
      <c r="P976" t="str">
        <f>IFERROR(__xludf.DUMMYFUNCTION("""COMPUTED_VALUE"""),"18 inch Aero")</f>
        <v>18 inch Aero</v>
      </c>
      <c r="Q976" t="str">
        <f>IFERROR(__xludf.DUMMYFUNCTION("""COMPUTED_VALUE"""),"Black seats")</f>
        <v>Black seats</v>
      </c>
      <c r="R976" t="str">
        <f>IFERROR(__xludf.DUMMYFUNCTION("""COMPUTED_VALUE"""),"Full Self-Driving")</f>
        <v>Full Self-Driving</v>
      </c>
      <c r="X976" t="str">
        <f>IFERROR(__xludf.DUMMYFUNCTION("""COMPUTED_VALUE"""),"Very Good")</f>
        <v>Very Good</v>
      </c>
      <c r="Y976" t="str">
        <f>IFERROR(__xludf.DUMMYFUNCTION("""COMPUTED_VALUE"""),"Excellent")</f>
        <v>Excellent</v>
      </c>
      <c r="Z976" t="str">
        <f>IFERROR(__xludf.DUMMYFUNCTION("""COMPUTED_VALUE"""),"Excellent")</f>
        <v>Excellent</v>
      </c>
      <c r="AA976" t="str">
        <f>IFERROR(__xludf.DUMMYFUNCTION("""COMPUTED_VALUE"""),"Very Good")</f>
        <v>Very Good</v>
      </c>
      <c r="AB976" t="str">
        <f>IFERROR(__xludf.DUMMYFUNCTION("""COMPUTED_VALUE"""),"Very Good")</f>
        <v>Very Good</v>
      </c>
      <c r="AH976" s="189">
        <f>IFERROR(__xludf.DUMMYFUNCTION("""COMPUTED_VALUE"""),43374.532909629634)</f>
        <v>43374.53291</v>
      </c>
    </row>
    <row r="977">
      <c r="A977" t="str">
        <f>IFERROR(__xludf.DUMMYFUNCTION("""COMPUTED_VALUE"""),"fc007")</f>
        <v>fc007</v>
      </c>
      <c r="B977" t="str">
        <f>IFERROR(__xludf.DUMMYFUNCTION("""COMPUTED_VALUE"""),"Bellevue")</f>
        <v>Bellevue</v>
      </c>
      <c r="C977" t="str">
        <f>IFERROR(__xludf.DUMMYFUNCTION("""COMPUTED_VALUE"""),"WA")</f>
        <v>WA</v>
      </c>
      <c r="D977" t="str">
        <f>IFERROR(__xludf.DUMMYFUNCTION("""COMPUTED_VALUE"""),"USA")</f>
        <v>USA</v>
      </c>
      <c r="E977" s="188">
        <f>IFERROR(__xludf.DUMMYFUNCTION("""COMPUTED_VALUE"""),43279.0)</f>
        <v>43279</v>
      </c>
      <c r="F977" s="188">
        <f>IFERROR(__xludf.DUMMYFUNCTION("""COMPUTED_VALUE"""),43367.0)</f>
        <v>43367</v>
      </c>
      <c r="H977">
        <f>IFERROR(__xludf.DUMMYFUNCTION("""COMPUTED_VALUE"""),85255.0)</f>
        <v>85255</v>
      </c>
      <c r="J977" s="5">
        <f>IFERROR(__xludf.DUMMYFUNCTION("""COMPUTED_VALUE"""),43372.0)</f>
        <v>43372</v>
      </c>
      <c r="K977">
        <f>IFERROR(__xludf.DUMMYFUNCTION("""COMPUTED_VALUE"""),88.0)</f>
        <v>88</v>
      </c>
      <c r="L977">
        <f>IFERROR(__xludf.DUMMYFUNCTION("""COMPUTED_VALUE"""),5.0)</f>
        <v>5</v>
      </c>
      <c r="M977">
        <f>IFERROR(__xludf.DUMMYFUNCTION("""COMPUTED_VALUE"""),93.0)</f>
        <v>93</v>
      </c>
      <c r="N977" t="str">
        <f>IFERROR(__xludf.DUMMYFUNCTION("""COMPUTED_VALUE"""),"Model 3 LR AWD")</f>
        <v>Model 3 LR AWD</v>
      </c>
      <c r="O977" t="str">
        <f>IFERROR(__xludf.DUMMYFUNCTION("""COMPUTED_VALUE"""),"Pearl White Multi-Coat")</f>
        <v>Pearl White Multi-Coat</v>
      </c>
      <c r="P977" t="str">
        <f>IFERROR(__xludf.DUMMYFUNCTION("""COMPUTED_VALUE"""),"18 inch Aero")</f>
        <v>18 inch Aero</v>
      </c>
      <c r="Q977" t="str">
        <f>IFERROR(__xludf.DUMMYFUNCTION("""COMPUTED_VALUE"""),"Black seats")</f>
        <v>Black seats</v>
      </c>
      <c r="R977" t="str">
        <f>IFERROR(__xludf.DUMMYFUNCTION("""COMPUTED_VALUE"""),"Enhanced Autopilot")</f>
        <v>Enhanced Autopilot</v>
      </c>
      <c r="X977" t="str">
        <f>IFERROR(__xludf.DUMMYFUNCTION("""COMPUTED_VALUE"""),"Excellent")</f>
        <v>Excellent</v>
      </c>
      <c r="Y977" t="str">
        <f>IFERROR(__xludf.DUMMYFUNCTION("""COMPUTED_VALUE"""),"Excellent")</f>
        <v>Excellent</v>
      </c>
      <c r="Z977" t="str">
        <f>IFERROR(__xludf.DUMMYFUNCTION("""COMPUTED_VALUE"""),"Excellent")</f>
        <v>Excellent</v>
      </c>
      <c r="AA977" t="str">
        <f>IFERROR(__xludf.DUMMYFUNCTION("""COMPUTED_VALUE"""),"Fair")</f>
        <v>Fair</v>
      </c>
      <c r="AB977" t="str">
        <f>IFERROR(__xludf.DUMMYFUNCTION("""COMPUTED_VALUE"""),"Poor")</f>
        <v>Poor</v>
      </c>
      <c r="AC977">
        <f>IFERROR(__xludf.DUMMYFUNCTION("""COMPUTED_VALUE"""),1.0)</f>
        <v>1</v>
      </c>
      <c r="AH977" s="189">
        <f>IFERROR(__xludf.DUMMYFUNCTION("""COMPUTED_VALUE"""),43374.54473270834)</f>
        <v>43374.54473</v>
      </c>
    </row>
    <row r="978">
      <c r="A978" t="str">
        <f>IFERROR(__xludf.DUMMYFUNCTION("""COMPUTED_VALUE"""),"kamisama")</f>
        <v>kamisama</v>
      </c>
      <c r="B978" t="str">
        <f>IFERROR(__xludf.DUMMYFUNCTION("""COMPUTED_VALUE"""),"Roseville")</f>
        <v>Roseville</v>
      </c>
      <c r="C978" t="str">
        <f>IFERROR(__xludf.DUMMYFUNCTION("""COMPUTED_VALUE"""),"CA")</f>
        <v>CA</v>
      </c>
      <c r="D978" t="str">
        <f>IFERROR(__xludf.DUMMYFUNCTION("""COMPUTED_VALUE"""),"USA")</f>
        <v>USA</v>
      </c>
      <c r="E978" s="188">
        <f>IFERROR(__xludf.DUMMYFUNCTION("""COMPUTED_VALUE"""),43328.0)</f>
        <v>43328</v>
      </c>
      <c r="F978" s="188">
        <f>IFERROR(__xludf.DUMMYFUNCTION("""COMPUTED_VALUE"""),43367.0)</f>
        <v>43367</v>
      </c>
      <c r="H978">
        <f>IFERROR(__xludf.DUMMYFUNCTION("""COMPUTED_VALUE"""),105255.0)</f>
        <v>105255</v>
      </c>
      <c r="I978" t="str">
        <f>IFERROR(__xludf.DUMMYFUNCTION("""COMPUTED_VALUE"""),"09/18")</f>
        <v>09/18</v>
      </c>
      <c r="J978" s="5">
        <f>IFERROR(__xludf.DUMMYFUNCTION("""COMPUTED_VALUE"""),43372.0)</f>
        <v>43372</v>
      </c>
      <c r="K978">
        <f>IFERROR(__xludf.DUMMYFUNCTION("""COMPUTED_VALUE"""),39.0)</f>
        <v>39</v>
      </c>
      <c r="L978">
        <f>IFERROR(__xludf.DUMMYFUNCTION("""COMPUTED_VALUE"""),5.0)</f>
        <v>5</v>
      </c>
      <c r="M978">
        <f>IFERROR(__xludf.DUMMYFUNCTION("""COMPUTED_VALUE"""),44.0)</f>
        <v>44</v>
      </c>
      <c r="N978" t="str">
        <f>IFERROR(__xludf.DUMMYFUNCTION("""COMPUTED_VALUE"""),"Model 3 LR AWD")</f>
        <v>Model 3 LR AWD</v>
      </c>
      <c r="O978" t="str">
        <f>IFERROR(__xludf.DUMMYFUNCTION("""COMPUTED_VALUE"""),"Deep Blue Metallic")</f>
        <v>Deep Blue Metallic</v>
      </c>
      <c r="P978" t="str">
        <f>IFERROR(__xludf.DUMMYFUNCTION("""COMPUTED_VALUE"""),"18 inch Aero")</f>
        <v>18 inch Aero</v>
      </c>
      <c r="Q978" t="str">
        <f>IFERROR(__xludf.DUMMYFUNCTION("""COMPUTED_VALUE"""),"Black seats")</f>
        <v>Black seats</v>
      </c>
      <c r="R978" t="str">
        <f>IFERROR(__xludf.DUMMYFUNCTION("""COMPUTED_VALUE"""),"Enhanced Autopilot")</f>
        <v>Enhanced Autopilot</v>
      </c>
      <c r="AA978" t="str">
        <f>IFERROR(__xludf.DUMMYFUNCTION("""COMPUTED_VALUE"""),"Poor")</f>
        <v>Poor</v>
      </c>
      <c r="AB978" t="str">
        <f>IFERROR(__xludf.DUMMYFUNCTION("""COMPUTED_VALUE"""),"Fair")</f>
        <v>Fair</v>
      </c>
      <c r="AH978" s="189">
        <f>IFERROR(__xludf.DUMMYFUNCTION("""COMPUTED_VALUE"""),43374.551627430556)</f>
        <v>43374.55163</v>
      </c>
    </row>
    <row r="979">
      <c r="A979" t="str">
        <f>IFERROR(__xludf.DUMMYFUNCTION("""COMPUTED_VALUE"""),"Nain")</f>
        <v>Nain</v>
      </c>
      <c r="B979" t="str">
        <f>IFERROR(__xludf.DUMMYFUNCTION("""COMPUTED_VALUE"""),"Flint")</f>
        <v>Flint</v>
      </c>
      <c r="C979" t="str">
        <f>IFERROR(__xludf.DUMMYFUNCTION("""COMPUTED_VALUE"""),"MI")</f>
        <v>MI</v>
      </c>
      <c r="D979" t="str">
        <f>IFERROR(__xludf.DUMMYFUNCTION("""COMPUTED_VALUE"""),"USA")</f>
        <v>USA</v>
      </c>
      <c r="E979" s="188">
        <f>IFERROR(__xludf.DUMMYFUNCTION("""COMPUTED_VALUE"""),43277.0)</f>
        <v>43277</v>
      </c>
      <c r="F979" s="188">
        <f>IFERROR(__xludf.DUMMYFUNCTION("""COMPUTED_VALUE"""),43347.0)</f>
        <v>43347</v>
      </c>
      <c r="H979">
        <f>IFERROR(__xludf.DUMMYFUNCTION("""COMPUTED_VALUE"""),97665.0)</f>
        <v>97665</v>
      </c>
      <c r="J979" s="5">
        <f>IFERROR(__xludf.DUMMYFUNCTION("""COMPUTED_VALUE"""),43386.0)</f>
        <v>43386</v>
      </c>
      <c r="K979">
        <f>IFERROR(__xludf.DUMMYFUNCTION("""COMPUTED_VALUE"""),70.0)</f>
        <v>70</v>
      </c>
      <c r="L979">
        <f>IFERROR(__xludf.DUMMYFUNCTION("""COMPUTED_VALUE"""),39.0)</f>
        <v>39</v>
      </c>
      <c r="M979">
        <f>IFERROR(__xludf.DUMMYFUNCTION("""COMPUTED_VALUE"""),109.0)</f>
        <v>109</v>
      </c>
      <c r="N979" t="str">
        <f>IFERROR(__xludf.DUMMYFUNCTION("""COMPUTED_VALUE"""),"Model 3 LR AWD")</f>
        <v>Model 3 LR AWD</v>
      </c>
      <c r="O979" t="str">
        <f>IFERROR(__xludf.DUMMYFUNCTION("""COMPUTED_VALUE"""),"Deep Blue Metallic")</f>
        <v>Deep Blue Metallic</v>
      </c>
      <c r="P979" t="str">
        <f>IFERROR(__xludf.DUMMYFUNCTION("""COMPUTED_VALUE"""),"19 inch Sport")</f>
        <v>19 inch Sport</v>
      </c>
      <c r="Q979" t="str">
        <f>IFERROR(__xludf.DUMMYFUNCTION("""COMPUTED_VALUE"""),"White seats")</f>
        <v>White seats</v>
      </c>
      <c r="R979" t="str">
        <f>IFERROR(__xludf.DUMMYFUNCTION("""COMPUTED_VALUE"""),"Enhanced Autopilot")</f>
        <v>Enhanced Autopilot</v>
      </c>
      <c r="AA979" t="str">
        <f>IFERROR(__xludf.DUMMYFUNCTION("""COMPUTED_VALUE"""),"Poor")</f>
        <v>Poor</v>
      </c>
      <c r="AG979" t="str">
        <f>IFERROR(__xludf.DUMMYFUNCTION("""COMPUTED_VALUE"""),"Paid in full.  Had a VIN for 3 weeks.  3 delivery delays.  Now no VIN, no delivery date.")</f>
        <v>Paid in full.  Had a VIN for 3 weeks.  3 delivery delays.  Now no VIN, no delivery date.</v>
      </c>
      <c r="AH979" s="189">
        <f>IFERROR(__xludf.DUMMYFUNCTION("""COMPUTED_VALUE"""),43374.60315848379)</f>
        <v>43374.60316</v>
      </c>
    </row>
    <row r="980">
      <c r="A980" t="str">
        <f>IFERROR(__xludf.DUMMYFUNCTION("""COMPUTED_VALUE"""),"CaptainNasty")</f>
        <v>CaptainNasty</v>
      </c>
      <c r="B980" t="str">
        <f>IFERROR(__xludf.DUMMYFUNCTION("""COMPUTED_VALUE"""),"Beaverton")</f>
        <v>Beaverton</v>
      </c>
      <c r="C980" t="str">
        <f>IFERROR(__xludf.DUMMYFUNCTION("""COMPUTED_VALUE"""),"OR")</f>
        <v>OR</v>
      </c>
      <c r="D980" t="str">
        <f>IFERROR(__xludf.DUMMYFUNCTION("""COMPUTED_VALUE"""),"USA")</f>
        <v>USA</v>
      </c>
      <c r="E980" s="188">
        <f>IFERROR(__xludf.DUMMYFUNCTION("""COMPUTED_VALUE"""),43279.0)</f>
        <v>43279</v>
      </c>
      <c r="F980" s="188">
        <f>IFERROR(__xludf.DUMMYFUNCTION("""COMPUTED_VALUE"""),43363.0)</f>
        <v>43363</v>
      </c>
      <c r="H980">
        <f>IFERROR(__xludf.DUMMYFUNCTION("""COMPUTED_VALUE"""),91855.0)</f>
        <v>91855</v>
      </c>
      <c r="I980" t="str">
        <f>IFERROR(__xludf.DUMMYFUNCTION("""COMPUTED_VALUE"""),"09/18")</f>
        <v>09/18</v>
      </c>
      <c r="J980" s="5">
        <f>IFERROR(__xludf.DUMMYFUNCTION("""COMPUTED_VALUE"""),43368.0)</f>
        <v>43368</v>
      </c>
      <c r="K980">
        <f>IFERROR(__xludf.DUMMYFUNCTION("""COMPUTED_VALUE"""),84.0)</f>
        <v>84</v>
      </c>
      <c r="L980">
        <f>IFERROR(__xludf.DUMMYFUNCTION("""COMPUTED_VALUE"""),5.0)</f>
        <v>5</v>
      </c>
      <c r="M980">
        <f>IFERROR(__xludf.DUMMYFUNCTION("""COMPUTED_VALUE"""),89.0)</f>
        <v>89</v>
      </c>
      <c r="N980" t="str">
        <f>IFERROR(__xludf.DUMMYFUNCTION("""COMPUTED_VALUE"""),"Model 3 LR AWD")</f>
        <v>Model 3 LR AWD</v>
      </c>
      <c r="O980" t="str">
        <f>IFERROR(__xludf.DUMMYFUNCTION("""COMPUTED_VALUE"""),"Deep Blue Metallic")</f>
        <v>Deep Blue Metallic</v>
      </c>
      <c r="P980" t="str">
        <f>IFERROR(__xludf.DUMMYFUNCTION("""COMPUTED_VALUE"""),"19 inch Sport")</f>
        <v>19 inch Sport</v>
      </c>
      <c r="Q980" t="str">
        <f>IFERROR(__xludf.DUMMYFUNCTION("""COMPUTED_VALUE"""),"Black seats")</f>
        <v>Black seats</v>
      </c>
      <c r="R980" t="str">
        <f>IFERROR(__xludf.DUMMYFUNCTION("""COMPUTED_VALUE"""),"Full Self-Driving")</f>
        <v>Full Self-Driving</v>
      </c>
      <c r="X980" t="str">
        <f>IFERROR(__xludf.DUMMYFUNCTION("""COMPUTED_VALUE"""),"Very Good")</f>
        <v>Very Good</v>
      </c>
      <c r="Y980" t="str">
        <f>IFERROR(__xludf.DUMMYFUNCTION("""COMPUTED_VALUE"""),"Very Good")</f>
        <v>Very Good</v>
      </c>
      <c r="Z980" t="str">
        <f>IFERROR(__xludf.DUMMYFUNCTION("""COMPUTED_VALUE"""),"Very Good")</f>
        <v>Very Good</v>
      </c>
      <c r="AA980" t="str">
        <f>IFERROR(__xludf.DUMMYFUNCTION("""COMPUTED_VALUE"""),"Fair")</f>
        <v>Fair</v>
      </c>
      <c r="AB980" t="str">
        <f>IFERROR(__xludf.DUMMYFUNCTION("""COMPUTED_VALUE"""),"Fair")</f>
        <v>Fair</v>
      </c>
      <c r="AH980" s="189">
        <f>IFERROR(__xludf.DUMMYFUNCTION("""COMPUTED_VALUE"""),43374.63406837963)</f>
        <v>43374.63407</v>
      </c>
    </row>
    <row r="981">
      <c r="A981" t="str">
        <f>IFERROR(__xludf.DUMMYFUNCTION("""COMPUTED_VALUE"""),"BobZ")</f>
        <v>BobZ</v>
      </c>
      <c r="B981" t="str">
        <f>IFERROR(__xludf.DUMMYFUNCTION("""COMPUTED_VALUE"""),"Portland")</f>
        <v>Portland</v>
      </c>
      <c r="C981" t="str">
        <f>IFERROR(__xludf.DUMMYFUNCTION("""COMPUTED_VALUE"""),"OR")</f>
        <v>OR</v>
      </c>
      <c r="D981" t="str">
        <f>IFERROR(__xludf.DUMMYFUNCTION("""COMPUTED_VALUE"""),"USA")</f>
        <v>USA</v>
      </c>
      <c r="E981" s="188">
        <f>IFERROR(__xludf.DUMMYFUNCTION("""COMPUTED_VALUE"""),43279.0)</f>
        <v>43279</v>
      </c>
      <c r="F981" s="188">
        <f>IFERROR(__xludf.DUMMYFUNCTION("""COMPUTED_VALUE"""),43367.0)</f>
        <v>43367</v>
      </c>
      <c r="H981">
        <f>IFERROR(__xludf.DUMMYFUNCTION("""COMPUTED_VALUE"""),73455.0)</f>
        <v>73455</v>
      </c>
      <c r="I981" t="str">
        <f>IFERROR(__xludf.DUMMYFUNCTION("""COMPUTED_VALUE"""),"09/18")</f>
        <v>09/18</v>
      </c>
      <c r="J981" s="5">
        <f>IFERROR(__xludf.DUMMYFUNCTION("""COMPUTED_VALUE"""),43372.0)</f>
        <v>43372</v>
      </c>
      <c r="K981">
        <f>IFERROR(__xludf.DUMMYFUNCTION("""COMPUTED_VALUE"""),88.0)</f>
        <v>88</v>
      </c>
      <c r="L981">
        <f>IFERROR(__xludf.DUMMYFUNCTION("""COMPUTED_VALUE"""),5.0)</f>
        <v>5</v>
      </c>
      <c r="M981">
        <f>IFERROR(__xludf.DUMMYFUNCTION("""COMPUTED_VALUE"""),93.0)</f>
        <v>93</v>
      </c>
      <c r="N981" t="str">
        <f>IFERROR(__xludf.DUMMYFUNCTION("""COMPUTED_VALUE"""),"Model 3 LR AWD")</f>
        <v>Model 3 LR AWD</v>
      </c>
      <c r="O981" t="str">
        <f>IFERROR(__xludf.DUMMYFUNCTION("""COMPUTED_VALUE"""),"Deep Blue Metallic")</f>
        <v>Deep Blue Metallic</v>
      </c>
      <c r="P981" t="str">
        <f>IFERROR(__xludf.DUMMYFUNCTION("""COMPUTED_VALUE"""),"18 inch Aero")</f>
        <v>18 inch Aero</v>
      </c>
      <c r="Q981" t="str">
        <f>IFERROR(__xludf.DUMMYFUNCTION("""COMPUTED_VALUE"""),"Black seats")</f>
        <v>Black seats</v>
      </c>
      <c r="R981" t="str">
        <f>IFERROR(__xludf.DUMMYFUNCTION("""COMPUTED_VALUE"""),"None")</f>
        <v>None</v>
      </c>
      <c r="X981" t="str">
        <f>IFERROR(__xludf.DUMMYFUNCTION("""COMPUTED_VALUE"""),"Fair")</f>
        <v>Fair</v>
      </c>
      <c r="Y981" t="str">
        <f>IFERROR(__xludf.DUMMYFUNCTION("""COMPUTED_VALUE"""),"Excellent")</f>
        <v>Excellent</v>
      </c>
      <c r="Z981" t="str">
        <f>IFERROR(__xludf.DUMMYFUNCTION("""COMPUTED_VALUE"""),"Excellent")</f>
        <v>Excellent</v>
      </c>
      <c r="AA981" t="str">
        <f>IFERROR(__xludf.DUMMYFUNCTION("""COMPUTED_VALUE"""),"Poor")</f>
        <v>Poor</v>
      </c>
      <c r="AB981" t="str">
        <f>IFERROR(__xludf.DUMMYFUNCTION("""COMPUTED_VALUE"""),"Fair")</f>
        <v>Fair</v>
      </c>
      <c r="AC981">
        <f>IFERROR(__xludf.DUMMYFUNCTION("""COMPUTED_VALUE"""),1.0)</f>
        <v>1</v>
      </c>
      <c r="AD981">
        <f>IFERROR(__xludf.DUMMYFUNCTION("""COMPUTED_VALUE"""),1.0)</f>
        <v>1</v>
      </c>
      <c r="AE981">
        <f>IFERROR(__xludf.DUMMYFUNCTION("""COMPUTED_VALUE"""),0.0)</f>
        <v>0</v>
      </c>
      <c r="AH981" s="189">
        <f>IFERROR(__xludf.DUMMYFUNCTION("""COMPUTED_VALUE"""),43374.63866331019)</f>
        <v>43374.63866</v>
      </c>
    </row>
    <row r="982">
      <c r="A982" t="str">
        <f>IFERROR(__xludf.DUMMYFUNCTION("""COMPUTED_VALUE"""),"trothenberg1")</f>
        <v>trothenberg1</v>
      </c>
      <c r="B982" t="str">
        <f>IFERROR(__xludf.DUMMYFUNCTION("""COMPUTED_VALUE"""),"Virginia")</f>
        <v>Virginia</v>
      </c>
      <c r="C982" t="str">
        <f>IFERROR(__xludf.DUMMYFUNCTION("""COMPUTED_VALUE"""),"VA")</f>
        <v>VA</v>
      </c>
      <c r="D982" t="str">
        <f>IFERROR(__xludf.DUMMYFUNCTION("""COMPUTED_VALUE"""),"USA")</f>
        <v>USA</v>
      </c>
      <c r="E982" s="188">
        <f>IFERROR(__xludf.DUMMYFUNCTION("""COMPUTED_VALUE"""),43300.0)</f>
        <v>43300</v>
      </c>
      <c r="F982" s="188">
        <f>IFERROR(__xludf.DUMMYFUNCTION("""COMPUTED_VALUE"""),43354.0)</f>
        <v>43354</v>
      </c>
      <c r="H982">
        <f>IFERROR(__xludf.DUMMYFUNCTION("""COMPUTED_VALUE"""),72755.0)</f>
        <v>72755</v>
      </c>
      <c r="I982" t="str">
        <f>IFERROR(__xludf.DUMMYFUNCTION("""COMPUTED_VALUE"""),"09/18")</f>
        <v>09/18</v>
      </c>
      <c r="J982" s="5">
        <f>IFERROR(__xludf.DUMMYFUNCTION("""COMPUTED_VALUE"""),43372.0)</f>
        <v>43372</v>
      </c>
      <c r="K982">
        <f>IFERROR(__xludf.DUMMYFUNCTION("""COMPUTED_VALUE"""),54.0)</f>
        <v>54</v>
      </c>
      <c r="L982">
        <f>IFERROR(__xludf.DUMMYFUNCTION("""COMPUTED_VALUE"""),18.0)</f>
        <v>18</v>
      </c>
      <c r="M982">
        <f>IFERROR(__xludf.DUMMYFUNCTION("""COMPUTED_VALUE"""),72.0)</f>
        <v>72</v>
      </c>
      <c r="N982" t="str">
        <f>IFERROR(__xludf.DUMMYFUNCTION("""COMPUTED_VALUE"""),"Model 3 Performance")</f>
        <v>Model 3 Performance</v>
      </c>
      <c r="O982" t="str">
        <f>IFERROR(__xludf.DUMMYFUNCTION("""COMPUTED_VALUE"""),"Red Multi-Coat")</f>
        <v>Red Multi-Coat</v>
      </c>
      <c r="P982" t="str">
        <f>IFERROR(__xludf.DUMMYFUNCTION("""COMPUTED_VALUE"""),"20 inch Sport")</f>
        <v>20 inch Sport</v>
      </c>
      <c r="Q982" t="str">
        <f>IFERROR(__xludf.DUMMYFUNCTION("""COMPUTED_VALUE"""),"Black seats")</f>
        <v>Black seats</v>
      </c>
      <c r="R982" t="str">
        <f>IFERROR(__xludf.DUMMYFUNCTION("""COMPUTED_VALUE"""),"Enhanced Autopilot")</f>
        <v>Enhanced Autopilot</v>
      </c>
      <c r="X982" t="str">
        <f>IFERROR(__xludf.DUMMYFUNCTION("""COMPUTED_VALUE"""),"Very Good")</f>
        <v>Very Good</v>
      </c>
      <c r="Y982" t="str">
        <f>IFERROR(__xludf.DUMMYFUNCTION("""COMPUTED_VALUE"""),"Excellent")</f>
        <v>Excellent</v>
      </c>
      <c r="Z982" t="str">
        <f>IFERROR(__xludf.DUMMYFUNCTION("""COMPUTED_VALUE"""),"Excellent")</f>
        <v>Excellent</v>
      </c>
      <c r="AA982" t="str">
        <f>IFERROR(__xludf.DUMMYFUNCTION("""COMPUTED_VALUE"""),"Fair")</f>
        <v>Fair</v>
      </c>
      <c r="AB982" t="str">
        <f>IFERROR(__xludf.DUMMYFUNCTION("""COMPUTED_VALUE"""),"Good")</f>
        <v>Good</v>
      </c>
      <c r="AH982" s="189">
        <f>IFERROR(__xludf.DUMMYFUNCTION("""COMPUTED_VALUE"""),43374.64509767361)</f>
        <v>43374.6451</v>
      </c>
    </row>
    <row r="983">
      <c r="A983" t="str">
        <f>IFERROR(__xludf.DUMMYFUNCTION("""COMPUTED_VALUE"""),"ceekz")</f>
        <v>ceekz</v>
      </c>
      <c r="B983" t="str">
        <f>IFERROR(__xludf.DUMMYFUNCTION("""COMPUTED_VALUE"""),"Sacramento")</f>
        <v>Sacramento</v>
      </c>
      <c r="C983" t="str">
        <f>IFERROR(__xludf.DUMMYFUNCTION("""COMPUTED_VALUE"""),"CA")</f>
        <v>CA</v>
      </c>
      <c r="D983" t="str">
        <f>IFERROR(__xludf.DUMMYFUNCTION("""COMPUTED_VALUE"""),"USA")</f>
        <v>USA</v>
      </c>
      <c r="E983" s="188">
        <f>IFERROR(__xludf.DUMMYFUNCTION("""COMPUTED_VALUE"""),43279.0)</f>
        <v>43279</v>
      </c>
      <c r="F983" s="188">
        <f>IFERROR(__xludf.DUMMYFUNCTION("""COMPUTED_VALUE"""),43373.0)</f>
        <v>43373</v>
      </c>
      <c r="H983">
        <f>IFERROR(__xludf.DUMMYFUNCTION("""COMPUTED_VALUE"""),93455.0)</f>
        <v>93455</v>
      </c>
      <c r="I983" t="str">
        <f>IFERROR(__xludf.DUMMYFUNCTION("""COMPUTED_VALUE"""),"09/18")</f>
        <v>09/18</v>
      </c>
      <c r="J983" s="5">
        <f>IFERROR(__xludf.DUMMYFUNCTION("""COMPUTED_VALUE"""),43373.0)</f>
        <v>43373</v>
      </c>
      <c r="K983">
        <f>IFERROR(__xludf.DUMMYFUNCTION("""COMPUTED_VALUE"""),94.0)</f>
        <v>94</v>
      </c>
      <c r="L983">
        <f>IFERROR(__xludf.DUMMYFUNCTION("""COMPUTED_VALUE"""),0.0)</f>
        <v>0</v>
      </c>
      <c r="M983">
        <f>IFERROR(__xludf.DUMMYFUNCTION("""COMPUTED_VALUE"""),94.0)</f>
        <v>94</v>
      </c>
      <c r="N983" t="str">
        <f>IFERROR(__xludf.DUMMYFUNCTION("""COMPUTED_VALUE"""),"Model 3 LR AWD")</f>
        <v>Model 3 LR AWD</v>
      </c>
      <c r="O983" t="str">
        <f>IFERROR(__xludf.DUMMYFUNCTION("""COMPUTED_VALUE"""),"Red Multi-Coat")</f>
        <v>Red Multi-Coat</v>
      </c>
      <c r="P983" t="str">
        <f>IFERROR(__xludf.DUMMYFUNCTION("""COMPUTED_VALUE"""),"19 inch Sport")</f>
        <v>19 inch Sport</v>
      </c>
      <c r="Q983" t="str">
        <f>IFERROR(__xludf.DUMMYFUNCTION("""COMPUTED_VALUE"""),"Black seats")</f>
        <v>Black seats</v>
      </c>
      <c r="R983" t="str">
        <f>IFERROR(__xludf.DUMMYFUNCTION("""COMPUTED_VALUE"""),"Full Self-Driving")</f>
        <v>Full Self-Driving</v>
      </c>
      <c r="X983" t="str">
        <f>IFERROR(__xludf.DUMMYFUNCTION("""COMPUTED_VALUE"""),"Excellent")</f>
        <v>Excellent</v>
      </c>
      <c r="Y983" t="str">
        <f>IFERROR(__xludf.DUMMYFUNCTION("""COMPUTED_VALUE"""),"Excellent")</f>
        <v>Excellent</v>
      </c>
      <c r="AA983" t="str">
        <f>IFERROR(__xludf.DUMMYFUNCTION("""COMPUTED_VALUE"""),"Poor")</f>
        <v>Poor</v>
      </c>
      <c r="AB983" t="str">
        <f>IFERROR(__xludf.DUMMYFUNCTION("""COMPUTED_VALUE"""),"Fair")</f>
        <v>Fair</v>
      </c>
      <c r="AH983" s="189">
        <f>IFERROR(__xludf.DUMMYFUNCTION("""COMPUTED_VALUE"""),43374.66878219908)</f>
        <v>43374.66878</v>
      </c>
    </row>
    <row r="984">
      <c r="A984" t="str">
        <f>IFERROR(__xludf.DUMMYFUNCTION("""COMPUTED_VALUE"""),"meelokun")</f>
        <v>meelokun</v>
      </c>
      <c r="B984" t="str">
        <f>IFERROR(__xludf.DUMMYFUNCTION("""COMPUTED_VALUE"""),"Fairfax")</f>
        <v>Fairfax</v>
      </c>
      <c r="C984" t="str">
        <f>IFERROR(__xludf.DUMMYFUNCTION("""COMPUTED_VALUE"""),"VA")</f>
        <v>VA</v>
      </c>
      <c r="D984" t="str">
        <f>IFERROR(__xludf.DUMMYFUNCTION("""COMPUTED_VALUE"""),"USA")</f>
        <v>USA</v>
      </c>
      <c r="E984" s="188">
        <f>IFERROR(__xludf.DUMMYFUNCTION("""COMPUTED_VALUE"""),43251.0)</f>
        <v>43251</v>
      </c>
      <c r="F984" s="188">
        <f>IFERROR(__xludf.DUMMYFUNCTION("""COMPUTED_VALUE"""),43334.0)</f>
        <v>43334</v>
      </c>
      <c r="H984">
        <f>IFERROR(__xludf.DUMMYFUNCTION("""COMPUTED_VALUE"""),96675.0)</f>
        <v>96675</v>
      </c>
      <c r="I984" t="str">
        <f>IFERROR(__xludf.DUMMYFUNCTION("""COMPUTED_VALUE"""),"08/18")</f>
        <v>08/18</v>
      </c>
      <c r="J984" s="5">
        <f>IFERROR(__xludf.DUMMYFUNCTION("""COMPUTED_VALUE"""),43358.0)</f>
        <v>43358</v>
      </c>
      <c r="K984">
        <f>IFERROR(__xludf.DUMMYFUNCTION("""COMPUTED_VALUE"""),83.0)</f>
        <v>83</v>
      </c>
      <c r="L984">
        <f>IFERROR(__xludf.DUMMYFUNCTION("""COMPUTED_VALUE"""),24.0)</f>
        <v>24</v>
      </c>
      <c r="M984">
        <f>IFERROR(__xludf.DUMMYFUNCTION("""COMPUTED_VALUE"""),107.0)</f>
        <v>107</v>
      </c>
      <c r="N984" t="str">
        <f>IFERROR(__xludf.DUMMYFUNCTION("""COMPUTED_VALUE"""),"Model 3 LR AWD")</f>
        <v>Model 3 LR AWD</v>
      </c>
      <c r="O984" t="str">
        <f>IFERROR(__xludf.DUMMYFUNCTION("""COMPUTED_VALUE"""),"Pearl White Multi-Coat")</f>
        <v>Pearl White Multi-Coat</v>
      </c>
      <c r="P984" t="str">
        <f>IFERROR(__xludf.DUMMYFUNCTION("""COMPUTED_VALUE"""),"18 inch Aero")</f>
        <v>18 inch Aero</v>
      </c>
      <c r="Q984" t="str">
        <f>IFERROR(__xludf.DUMMYFUNCTION("""COMPUTED_VALUE"""),"White seats")</f>
        <v>White seats</v>
      </c>
      <c r="R984" t="str">
        <f>IFERROR(__xludf.DUMMYFUNCTION("""COMPUTED_VALUE"""),"Full Self-Driving")</f>
        <v>Full Self-Driving</v>
      </c>
      <c r="X984" t="str">
        <f>IFERROR(__xludf.DUMMYFUNCTION("""COMPUTED_VALUE"""),"Very Good")</f>
        <v>Very Good</v>
      </c>
      <c r="Y984" t="str">
        <f>IFERROR(__xludf.DUMMYFUNCTION("""COMPUTED_VALUE"""),"Excellent")</f>
        <v>Excellent</v>
      </c>
      <c r="Z984" t="str">
        <f>IFERROR(__xludf.DUMMYFUNCTION("""COMPUTED_VALUE"""),"Excellent")</f>
        <v>Excellent</v>
      </c>
      <c r="AA984" t="str">
        <f>IFERROR(__xludf.DUMMYFUNCTION("""COMPUTED_VALUE"""),"Excellent")</f>
        <v>Excellent</v>
      </c>
      <c r="AB984" t="str">
        <f>IFERROR(__xludf.DUMMYFUNCTION("""COMPUTED_VALUE"""),"Fair")</f>
        <v>Fair</v>
      </c>
      <c r="AC984">
        <f>IFERROR(__xludf.DUMMYFUNCTION("""COMPUTED_VALUE"""),2.0)</f>
        <v>2</v>
      </c>
      <c r="AD984">
        <f>IFERROR(__xludf.DUMMYFUNCTION("""COMPUTED_VALUE"""),1.0)</f>
        <v>1</v>
      </c>
      <c r="AG984" t="str">
        <f>IFERROR(__xludf.DUMMYFUNCTION("""COMPUTED_VALUE"""),"Edit to White Seats on 07/24 (54 days after config)")</f>
        <v>Edit to White Seats on 07/24 (54 days after config)</v>
      </c>
      <c r="AH984" s="189">
        <f>IFERROR(__xludf.DUMMYFUNCTION("""COMPUTED_VALUE"""),43374.72567587963)</f>
        <v>43374.72568</v>
      </c>
    </row>
    <row r="985">
      <c r="A985" t="str">
        <f>IFERROR(__xludf.DUMMYFUNCTION("""COMPUTED_VALUE"""),"adk")</f>
        <v>adk</v>
      </c>
      <c r="B985" t="str">
        <f>IFERROR(__xludf.DUMMYFUNCTION("""COMPUTED_VALUE"""),"Chicago")</f>
        <v>Chicago</v>
      </c>
      <c r="C985" t="str">
        <f>IFERROR(__xludf.DUMMYFUNCTION("""COMPUTED_VALUE"""),"IL")</f>
        <v>IL</v>
      </c>
      <c r="D985" t="str">
        <f>IFERROR(__xludf.DUMMYFUNCTION("""COMPUTED_VALUE"""),"USA")</f>
        <v>USA</v>
      </c>
      <c r="E985" s="188">
        <f>IFERROR(__xludf.DUMMYFUNCTION("""COMPUTED_VALUE"""),43319.0)</f>
        <v>43319</v>
      </c>
      <c r="F985" s="188">
        <f>IFERROR(__xludf.DUMMYFUNCTION("""COMPUTED_VALUE"""),43364.0)</f>
        <v>43364</v>
      </c>
      <c r="H985">
        <f>IFERROR(__xludf.DUMMYFUNCTION("""COMPUTED_VALUE"""),103655.0)</f>
        <v>103655</v>
      </c>
      <c r="J985" s="5">
        <f>IFERROR(__xludf.DUMMYFUNCTION("""COMPUTED_VALUE"""),43369.0)</f>
        <v>43369</v>
      </c>
      <c r="K985">
        <f>IFERROR(__xludf.DUMMYFUNCTION("""COMPUTED_VALUE"""),45.0)</f>
        <v>45</v>
      </c>
      <c r="L985">
        <f>IFERROR(__xludf.DUMMYFUNCTION("""COMPUTED_VALUE"""),5.0)</f>
        <v>5</v>
      </c>
      <c r="M985">
        <f>IFERROR(__xludf.DUMMYFUNCTION("""COMPUTED_VALUE"""),50.0)</f>
        <v>50</v>
      </c>
      <c r="N985" t="str">
        <f>IFERROR(__xludf.DUMMYFUNCTION("""COMPUTED_VALUE"""),"Model 3 Performance")</f>
        <v>Model 3 Performance</v>
      </c>
      <c r="O985" t="str">
        <f>IFERROR(__xludf.DUMMYFUNCTION("""COMPUTED_VALUE"""),"Midnight Silver Metallic")</f>
        <v>Midnight Silver Metallic</v>
      </c>
      <c r="P985" t="str">
        <f>IFERROR(__xludf.DUMMYFUNCTION("""COMPUTED_VALUE"""),"18 inch Aero")</f>
        <v>18 inch Aero</v>
      </c>
      <c r="Q985" t="str">
        <f>IFERROR(__xludf.DUMMYFUNCTION("""COMPUTED_VALUE"""),"Black seats")</f>
        <v>Black seats</v>
      </c>
      <c r="R985" t="str">
        <f>IFERROR(__xludf.DUMMYFUNCTION("""COMPUTED_VALUE"""),"Full Self-Driving")</f>
        <v>Full Self-Driving</v>
      </c>
      <c r="X985" t="str">
        <f>IFERROR(__xludf.DUMMYFUNCTION("""COMPUTED_VALUE"""),"Excellent")</f>
        <v>Excellent</v>
      </c>
      <c r="Y985" t="str">
        <f>IFERROR(__xludf.DUMMYFUNCTION("""COMPUTED_VALUE"""),"Excellent")</f>
        <v>Excellent</v>
      </c>
      <c r="Z985" t="str">
        <f>IFERROR(__xludf.DUMMYFUNCTION("""COMPUTED_VALUE"""),"Very Good")</f>
        <v>Very Good</v>
      </c>
      <c r="AA985" t="str">
        <f>IFERROR(__xludf.DUMMYFUNCTION("""COMPUTED_VALUE"""),"Poor")</f>
        <v>Poor</v>
      </c>
      <c r="AB985" t="str">
        <f>IFERROR(__xludf.DUMMYFUNCTION("""COMPUTED_VALUE"""),"Fair")</f>
        <v>Fair</v>
      </c>
      <c r="AH985" s="189">
        <f>IFERROR(__xludf.DUMMYFUNCTION("""COMPUTED_VALUE"""),43374.78867347223)</f>
        <v>43374.78867</v>
      </c>
    </row>
    <row r="986">
      <c r="A986" t="str">
        <f>IFERROR(__xludf.DUMMYFUNCTION("""COMPUTED_VALUE"""),"ohaq")</f>
        <v>ohaq</v>
      </c>
      <c r="B986" t="str">
        <f>IFERROR(__xludf.DUMMYFUNCTION("""COMPUTED_VALUE"""),"Ypsilanti")</f>
        <v>Ypsilanti</v>
      </c>
      <c r="C986" t="str">
        <f>IFERROR(__xludf.DUMMYFUNCTION("""COMPUTED_VALUE"""),"MI")</f>
        <v>MI</v>
      </c>
      <c r="D986" t="str">
        <f>IFERROR(__xludf.DUMMYFUNCTION("""COMPUTED_VALUE"""),"USA")</f>
        <v>USA</v>
      </c>
      <c r="E986" s="188">
        <f>IFERROR(__xludf.DUMMYFUNCTION("""COMPUTED_VALUE"""),43325.0)</f>
        <v>43325</v>
      </c>
      <c r="F986" s="188">
        <f>IFERROR(__xludf.DUMMYFUNCTION("""COMPUTED_VALUE"""),43353.0)</f>
        <v>43353</v>
      </c>
      <c r="H986">
        <f>IFERROR(__xludf.DUMMYFUNCTION("""COMPUTED_VALUE"""),66255.0)</f>
        <v>66255</v>
      </c>
      <c r="I986" t="str">
        <f>IFERROR(__xludf.DUMMYFUNCTION("""COMPUTED_VALUE"""),"08/18")</f>
        <v>08/18</v>
      </c>
      <c r="J986" s="5">
        <f>IFERROR(__xludf.DUMMYFUNCTION("""COMPUTED_VALUE"""),43371.0)</f>
        <v>43371</v>
      </c>
      <c r="K986">
        <f>IFERROR(__xludf.DUMMYFUNCTION("""COMPUTED_VALUE"""),28.0)</f>
        <v>28</v>
      </c>
      <c r="L986">
        <f>IFERROR(__xludf.DUMMYFUNCTION("""COMPUTED_VALUE"""),18.0)</f>
        <v>18</v>
      </c>
      <c r="M986">
        <f>IFERROR(__xludf.DUMMYFUNCTION("""COMPUTED_VALUE"""),46.0)</f>
        <v>46</v>
      </c>
      <c r="N986" t="str">
        <f>IFERROR(__xludf.DUMMYFUNCTION("""COMPUTED_VALUE"""),"Model 3 LR AWD")</f>
        <v>Model 3 LR AWD</v>
      </c>
      <c r="O986" t="str">
        <f>IFERROR(__xludf.DUMMYFUNCTION("""COMPUTED_VALUE"""),"Midnight Silver Metallic")</f>
        <v>Midnight Silver Metallic</v>
      </c>
      <c r="P986" t="str">
        <f>IFERROR(__xludf.DUMMYFUNCTION("""COMPUTED_VALUE"""),"18 inch Aero")</f>
        <v>18 inch Aero</v>
      </c>
      <c r="Q986" t="str">
        <f>IFERROR(__xludf.DUMMYFUNCTION("""COMPUTED_VALUE"""),"Black seats")</f>
        <v>Black seats</v>
      </c>
      <c r="R986" t="str">
        <f>IFERROR(__xludf.DUMMYFUNCTION("""COMPUTED_VALUE"""),"Enhanced Autopilot")</f>
        <v>Enhanced Autopilot</v>
      </c>
      <c r="X986" t="str">
        <f>IFERROR(__xludf.DUMMYFUNCTION("""COMPUTED_VALUE"""),"Good")</f>
        <v>Good</v>
      </c>
      <c r="Y986" t="str">
        <f>IFERROR(__xludf.DUMMYFUNCTION("""COMPUTED_VALUE"""),"Very Good")</f>
        <v>Very Good</v>
      </c>
      <c r="Z986" t="str">
        <f>IFERROR(__xludf.DUMMYFUNCTION("""COMPUTED_VALUE"""),"Excellent")</f>
        <v>Excellent</v>
      </c>
      <c r="AA986" t="str">
        <f>IFERROR(__xludf.DUMMYFUNCTION("""COMPUTED_VALUE"""),"Poor")</f>
        <v>Poor</v>
      </c>
      <c r="AB986" t="str">
        <f>IFERROR(__xludf.DUMMYFUNCTION("""COMPUTED_VALUE"""),"Good")</f>
        <v>Good</v>
      </c>
      <c r="AG986" t="str">
        <f>IFERROR(__xludf.DUMMYFUNCTION("""COMPUTED_VALUE"""),"Requested Home delivery as service center 180 mi away, which may cause some delay")</f>
        <v>Requested Home delivery as service center 180 mi away, which may cause some delay</v>
      </c>
      <c r="AH986" s="189">
        <f>IFERROR(__xludf.DUMMYFUNCTION("""COMPUTED_VALUE"""),43374.8710258912)</f>
        <v>43374.87103</v>
      </c>
    </row>
    <row r="987">
      <c r="A987" t="str">
        <f>IFERROR(__xludf.DUMMYFUNCTION("""COMPUTED_VALUE"""),"nhawk")</f>
        <v>nhawk</v>
      </c>
      <c r="B987" t="str">
        <f>IFERROR(__xludf.DUMMYFUNCTION("""COMPUTED_VALUE"""),"Springfield")</f>
        <v>Springfield</v>
      </c>
      <c r="C987" t="str">
        <f>IFERROR(__xludf.DUMMYFUNCTION("""COMPUTED_VALUE"""),"NJ")</f>
        <v>NJ</v>
      </c>
      <c r="D987" t="str">
        <f>IFERROR(__xludf.DUMMYFUNCTION("""COMPUTED_VALUE"""),"USA")</f>
        <v>USA</v>
      </c>
      <c r="E987" s="188">
        <f>IFERROR(__xludf.DUMMYFUNCTION("""COMPUTED_VALUE"""),43278.0)</f>
        <v>43278</v>
      </c>
      <c r="F987" s="188">
        <f>IFERROR(__xludf.DUMMYFUNCTION("""COMPUTED_VALUE"""),43349.0)</f>
        <v>43349</v>
      </c>
      <c r="H987">
        <f>IFERROR(__xludf.DUMMYFUNCTION("""COMPUTED_VALUE"""),72955.0)</f>
        <v>72955</v>
      </c>
      <c r="J987" s="5">
        <f>IFERROR(__xludf.DUMMYFUNCTION("""COMPUTED_VALUE"""),43370.0)</f>
        <v>43370</v>
      </c>
      <c r="K987">
        <f>IFERROR(__xludf.DUMMYFUNCTION("""COMPUTED_VALUE"""),71.0)</f>
        <v>71</v>
      </c>
      <c r="L987">
        <f>IFERROR(__xludf.DUMMYFUNCTION("""COMPUTED_VALUE"""),21.0)</f>
        <v>21</v>
      </c>
      <c r="M987">
        <f>IFERROR(__xludf.DUMMYFUNCTION("""COMPUTED_VALUE"""),92.0)</f>
        <v>92</v>
      </c>
      <c r="N987" t="str">
        <f>IFERROR(__xludf.DUMMYFUNCTION("""COMPUTED_VALUE"""),"Model 3 Performance")</f>
        <v>Model 3 Performance</v>
      </c>
      <c r="O987" t="str">
        <f>IFERROR(__xludf.DUMMYFUNCTION("""COMPUTED_VALUE"""),"Midnight Silver Metallic")</f>
        <v>Midnight Silver Metallic</v>
      </c>
      <c r="P987" t="str">
        <f>IFERROR(__xludf.DUMMYFUNCTION("""COMPUTED_VALUE"""),"20 inch Sport")</f>
        <v>20 inch Sport</v>
      </c>
      <c r="Q987" t="str">
        <f>IFERROR(__xludf.DUMMYFUNCTION("""COMPUTED_VALUE"""),"Black seats")</f>
        <v>Black seats</v>
      </c>
      <c r="R987" t="str">
        <f>IFERROR(__xludf.DUMMYFUNCTION("""COMPUTED_VALUE"""),"None")</f>
        <v>None</v>
      </c>
      <c r="X987" t="str">
        <f>IFERROR(__xludf.DUMMYFUNCTION("""COMPUTED_VALUE"""),"Excellent")</f>
        <v>Excellent</v>
      </c>
      <c r="Y987" t="str">
        <f>IFERROR(__xludf.DUMMYFUNCTION("""COMPUTED_VALUE"""),"Good")</f>
        <v>Good</v>
      </c>
      <c r="Z987" t="str">
        <f>IFERROR(__xludf.DUMMYFUNCTION("""COMPUTED_VALUE"""),"Excellent")</f>
        <v>Excellent</v>
      </c>
      <c r="AA987" t="str">
        <f>IFERROR(__xludf.DUMMYFUNCTION("""COMPUTED_VALUE"""),"Good")</f>
        <v>Good</v>
      </c>
      <c r="AB987" t="str">
        <f>IFERROR(__xludf.DUMMYFUNCTION("""COMPUTED_VALUE"""),"Very Good")</f>
        <v>Very Good</v>
      </c>
      <c r="AC987">
        <f>IFERROR(__xludf.DUMMYFUNCTION("""COMPUTED_VALUE"""),3.0)</f>
        <v>3</v>
      </c>
      <c r="AD987">
        <f>IFERROR(__xludf.DUMMYFUNCTION("""COMPUTED_VALUE"""),1.0)</f>
        <v>1</v>
      </c>
      <c r="AE987">
        <f>IFERROR(__xludf.DUMMYFUNCTION("""COMPUTED_VALUE"""),0.0)</f>
        <v>0</v>
      </c>
      <c r="AG987" t="str">
        <f>IFERROR(__xludf.DUMMYFUNCTION("""COMPUTED_VALUE"""),"Replaced the strut making noise over bumps")</f>
        <v>Replaced the strut making noise over bumps</v>
      </c>
      <c r="AH987" s="189">
        <f>IFERROR(__xludf.DUMMYFUNCTION("""COMPUTED_VALUE"""),43374.89216859954)</f>
        <v>43374.89217</v>
      </c>
    </row>
    <row r="988">
      <c r="A988" t="str">
        <f>IFERROR(__xludf.DUMMYFUNCTION("""COMPUTED_VALUE"""),"gjas24")</f>
        <v>gjas24</v>
      </c>
      <c r="B988" t="str">
        <f>IFERROR(__xludf.DUMMYFUNCTION("""COMPUTED_VALUE"""),"Littleton")</f>
        <v>Littleton</v>
      </c>
      <c r="C988" t="str">
        <f>IFERROR(__xludf.DUMMYFUNCTION("""COMPUTED_VALUE"""),"CO")</f>
        <v>CO</v>
      </c>
      <c r="D988" t="str">
        <f>IFERROR(__xludf.DUMMYFUNCTION("""COMPUTED_VALUE"""),"USA")</f>
        <v>USA</v>
      </c>
      <c r="E988" s="188">
        <f>IFERROR(__xludf.DUMMYFUNCTION("""COMPUTED_VALUE"""),43279.0)</f>
        <v>43279</v>
      </c>
      <c r="F988" s="188">
        <f>IFERROR(__xludf.DUMMYFUNCTION("""COMPUTED_VALUE"""),43365.0)</f>
        <v>43365</v>
      </c>
      <c r="H988">
        <f>IFERROR(__xludf.DUMMYFUNCTION("""COMPUTED_VALUE"""),112355.0)</f>
        <v>112355</v>
      </c>
      <c r="I988" t="str">
        <f>IFERROR(__xludf.DUMMYFUNCTION("""COMPUTED_VALUE"""),"09/18")</f>
        <v>09/18</v>
      </c>
      <c r="J988" s="5">
        <f>IFERROR(__xludf.DUMMYFUNCTION("""COMPUTED_VALUE"""),43372.0)</f>
        <v>43372</v>
      </c>
      <c r="K988">
        <f>IFERROR(__xludf.DUMMYFUNCTION("""COMPUTED_VALUE"""),86.0)</f>
        <v>86</v>
      </c>
      <c r="L988">
        <f>IFERROR(__xludf.DUMMYFUNCTION("""COMPUTED_VALUE"""),7.0)</f>
        <v>7</v>
      </c>
      <c r="M988">
        <f>IFERROR(__xludf.DUMMYFUNCTION("""COMPUTED_VALUE"""),93.0)</f>
        <v>93</v>
      </c>
      <c r="N988" t="str">
        <f>IFERROR(__xludf.DUMMYFUNCTION("""COMPUTED_VALUE"""),"Model 3 LR AWD")</f>
        <v>Model 3 LR AWD</v>
      </c>
      <c r="O988" t="str">
        <f>IFERROR(__xludf.DUMMYFUNCTION("""COMPUTED_VALUE"""),"Midnight Silver Metallic")</f>
        <v>Midnight Silver Metallic</v>
      </c>
      <c r="P988" t="str">
        <f>IFERROR(__xludf.DUMMYFUNCTION("""COMPUTED_VALUE"""),"18 inch Aero")</f>
        <v>18 inch Aero</v>
      </c>
      <c r="Q988" t="str">
        <f>IFERROR(__xludf.DUMMYFUNCTION("""COMPUTED_VALUE"""),"Black seats")</f>
        <v>Black seats</v>
      </c>
      <c r="R988" t="str">
        <f>IFERROR(__xludf.DUMMYFUNCTION("""COMPUTED_VALUE"""),"Enhanced Autopilot")</f>
        <v>Enhanced Autopilot</v>
      </c>
      <c r="X988" t="str">
        <f>IFERROR(__xludf.DUMMYFUNCTION("""COMPUTED_VALUE"""),"Very Good")</f>
        <v>Very Good</v>
      </c>
      <c r="Y988" t="str">
        <f>IFERROR(__xludf.DUMMYFUNCTION("""COMPUTED_VALUE"""),"Very Good")</f>
        <v>Very Good</v>
      </c>
      <c r="Z988" t="str">
        <f>IFERROR(__xludf.DUMMYFUNCTION("""COMPUTED_VALUE"""),"Excellent")</f>
        <v>Excellent</v>
      </c>
      <c r="AA988" t="str">
        <f>IFERROR(__xludf.DUMMYFUNCTION("""COMPUTED_VALUE"""),"Poor")</f>
        <v>Poor</v>
      </c>
      <c r="AB988" t="str">
        <f>IFERROR(__xludf.DUMMYFUNCTION("""COMPUTED_VALUE"""),"Good")</f>
        <v>Good</v>
      </c>
      <c r="AC988">
        <f>IFERROR(__xludf.DUMMYFUNCTION("""COMPUTED_VALUE"""),4.0)</f>
        <v>4</v>
      </c>
      <c r="AH988" s="189">
        <f>IFERROR(__xludf.DUMMYFUNCTION("""COMPUTED_VALUE"""),43374.944188622685)</f>
        <v>43374.94419</v>
      </c>
    </row>
    <row r="989">
      <c r="A989" t="str">
        <f>IFERROR(__xludf.DUMMYFUNCTION("""COMPUTED_VALUE"""),"viperdriver69")</f>
        <v>viperdriver69</v>
      </c>
      <c r="B989" t="str">
        <f>IFERROR(__xludf.DUMMYFUNCTION("""COMPUTED_VALUE"""),"SLC")</f>
        <v>SLC</v>
      </c>
      <c r="C989" t="str">
        <f>IFERROR(__xludf.DUMMYFUNCTION("""COMPUTED_VALUE"""),"UT")</f>
        <v>UT</v>
      </c>
      <c r="D989" t="str">
        <f>IFERROR(__xludf.DUMMYFUNCTION("""COMPUTED_VALUE"""),"USA")</f>
        <v>USA</v>
      </c>
      <c r="E989" s="188">
        <f>IFERROR(__xludf.DUMMYFUNCTION("""COMPUTED_VALUE"""),43282.0)</f>
        <v>43282</v>
      </c>
      <c r="F989" s="188">
        <f>IFERROR(__xludf.DUMMYFUNCTION("""COMPUTED_VALUE"""),43368.0)</f>
        <v>43368</v>
      </c>
      <c r="H989" s="4">
        <f>IFERROR(__xludf.DUMMYFUNCTION("""COMPUTED_VALUE"""),89770.0)</f>
        <v>89770</v>
      </c>
      <c r="J989" s="5">
        <f>IFERROR(__xludf.DUMMYFUNCTION("""COMPUTED_VALUE"""),43372.0)</f>
        <v>43372</v>
      </c>
      <c r="K989">
        <f>IFERROR(__xludf.DUMMYFUNCTION("""COMPUTED_VALUE"""),86.0)</f>
        <v>86</v>
      </c>
      <c r="L989">
        <f>IFERROR(__xludf.DUMMYFUNCTION("""COMPUTED_VALUE"""),4.0)</f>
        <v>4</v>
      </c>
      <c r="M989">
        <f>IFERROR(__xludf.DUMMYFUNCTION("""COMPUTED_VALUE"""),90.0)</f>
        <v>90</v>
      </c>
      <c r="N989" t="str">
        <f>IFERROR(__xludf.DUMMYFUNCTION("""COMPUTED_VALUE"""),"Model 3 LR AWD")</f>
        <v>Model 3 LR AWD</v>
      </c>
      <c r="O989" t="str">
        <f>IFERROR(__xludf.DUMMYFUNCTION("""COMPUTED_VALUE"""),"Midnight Silver Metallic")</f>
        <v>Midnight Silver Metallic</v>
      </c>
      <c r="P989" t="str">
        <f>IFERROR(__xludf.DUMMYFUNCTION("""COMPUTED_VALUE"""),"18 inch Aero")</f>
        <v>18 inch Aero</v>
      </c>
      <c r="Q989" t="str">
        <f>IFERROR(__xludf.DUMMYFUNCTION("""COMPUTED_VALUE"""),"Black seats")</f>
        <v>Black seats</v>
      </c>
      <c r="R989" t="str">
        <f>IFERROR(__xludf.DUMMYFUNCTION("""COMPUTED_VALUE"""),"Enhanced Autopilot")</f>
        <v>Enhanced Autopilot</v>
      </c>
      <c r="X989" t="str">
        <f>IFERROR(__xludf.DUMMYFUNCTION("""COMPUTED_VALUE"""),"Excellent")</f>
        <v>Excellent</v>
      </c>
      <c r="Y989" t="str">
        <f>IFERROR(__xludf.DUMMYFUNCTION("""COMPUTED_VALUE"""),"Excellent")</f>
        <v>Excellent</v>
      </c>
      <c r="Z989" t="str">
        <f>IFERROR(__xludf.DUMMYFUNCTION("""COMPUTED_VALUE"""),"Excellent")</f>
        <v>Excellent</v>
      </c>
      <c r="AA989" t="str">
        <f>IFERROR(__xludf.DUMMYFUNCTION("""COMPUTED_VALUE"""),"Fair")</f>
        <v>Fair</v>
      </c>
      <c r="AB989" t="str">
        <f>IFERROR(__xludf.DUMMYFUNCTION("""COMPUTED_VALUE"""),"Good")</f>
        <v>Good</v>
      </c>
      <c r="AC989">
        <f>IFERROR(__xludf.DUMMYFUNCTION("""COMPUTED_VALUE"""),2.0)</f>
        <v>2</v>
      </c>
      <c r="AD989">
        <f>IFERROR(__xludf.DUMMYFUNCTION("""COMPUTED_VALUE"""),0.0)</f>
        <v>0</v>
      </c>
      <c r="AE989">
        <f>IFERROR(__xludf.DUMMYFUNCTION("""COMPUTED_VALUE"""),0.0)</f>
        <v>0</v>
      </c>
      <c r="AH989" s="189">
        <f>IFERROR(__xludf.DUMMYFUNCTION("""COMPUTED_VALUE"""),43374.96511777778)</f>
        <v>43374.96512</v>
      </c>
    </row>
    <row r="990">
      <c r="A990" t="str">
        <f>IFERROR(__xludf.DUMMYFUNCTION("""COMPUTED_VALUE"""),"SteveWin1")</f>
        <v>SteveWin1</v>
      </c>
      <c r="C990" t="str">
        <f>IFERROR(__xludf.DUMMYFUNCTION("""COMPUTED_VALUE"""),"FL")</f>
        <v>FL</v>
      </c>
      <c r="D990" t="str">
        <f>IFERROR(__xludf.DUMMYFUNCTION("""COMPUTED_VALUE"""),"USA")</f>
        <v>USA</v>
      </c>
      <c r="E990" s="188">
        <f>IFERROR(__xludf.DUMMYFUNCTION("""COMPUTED_VALUE"""),43279.0)</f>
        <v>43279</v>
      </c>
      <c r="F990" s="188">
        <f>IFERROR(__xludf.DUMMYFUNCTION("""COMPUTED_VALUE"""),43347.0)</f>
        <v>43347</v>
      </c>
      <c r="H990">
        <f>IFERROR(__xludf.DUMMYFUNCTION("""COMPUTED_VALUE"""),55655.0)</f>
        <v>55655</v>
      </c>
      <c r="I990" t="str">
        <f>IFERROR(__xludf.DUMMYFUNCTION("""COMPUTED_VALUE"""),"08/18")</f>
        <v>08/18</v>
      </c>
      <c r="J990" s="5">
        <f>IFERROR(__xludf.DUMMYFUNCTION("""COMPUTED_VALUE"""),43358.0)</f>
        <v>43358</v>
      </c>
      <c r="K990">
        <f>IFERROR(__xludf.DUMMYFUNCTION("""COMPUTED_VALUE"""),68.0)</f>
        <v>68</v>
      </c>
      <c r="L990">
        <f>IFERROR(__xludf.DUMMYFUNCTION("""COMPUTED_VALUE"""),11.0)</f>
        <v>11</v>
      </c>
      <c r="M990">
        <f>IFERROR(__xludf.DUMMYFUNCTION("""COMPUTED_VALUE"""),79.0)</f>
        <v>79</v>
      </c>
      <c r="N990" t="str">
        <f>IFERROR(__xludf.DUMMYFUNCTION("""COMPUTED_VALUE"""),"Model 3 Performance")</f>
        <v>Model 3 Performance</v>
      </c>
      <c r="O990" t="str">
        <f>IFERROR(__xludf.DUMMYFUNCTION("""COMPUTED_VALUE"""),"Red Multi-Coat")</f>
        <v>Red Multi-Coat</v>
      </c>
      <c r="P990" t="str">
        <f>IFERROR(__xludf.DUMMYFUNCTION("""COMPUTED_VALUE"""),"20 inch Sport")</f>
        <v>20 inch Sport</v>
      </c>
      <c r="Q990" t="str">
        <f>IFERROR(__xludf.DUMMYFUNCTION("""COMPUTED_VALUE"""),"White seats")</f>
        <v>White seats</v>
      </c>
      <c r="R990" t="str">
        <f>IFERROR(__xludf.DUMMYFUNCTION("""COMPUTED_VALUE"""),"Enhanced Autopilot")</f>
        <v>Enhanced Autopilot</v>
      </c>
      <c r="X990" t="str">
        <f>IFERROR(__xludf.DUMMYFUNCTION("""COMPUTED_VALUE"""),"Fair")</f>
        <v>Fair</v>
      </c>
      <c r="Y990" t="str">
        <f>IFERROR(__xludf.DUMMYFUNCTION("""COMPUTED_VALUE"""),"Excellent")</f>
        <v>Excellent</v>
      </c>
      <c r="Z990" t="str">
        <f>IFERROR(__xludf.DUMMYFUNCTION("""COMPUTED_VALUE"""),"Good")</f>
        <v>Good</v>
      </c>
      <c r="AA990" t="str">
        <f>IFERROR(__xludf.DUMMYFUNCTION("""COMPUTED_VALUE"""),"Excellent")</f>
        <v>Excellent</v>
      </c>
      <c r="AB990" t="str">
        <f>IFERROR(__xludf.DUMMYFUNCTION("""COMPUTED_VALUE"""),"Very Good")</f>
        <v>Very Good</v>
      </c>
      <c r="AC990">
        <f>IFERROR(__xludf.DUMMYFUNCTION("""COMPUTED_VALUE"""),3.0)</f>
        <v>3</v>
      </c>
      <c r="AD990">
        <f>IFERROR(__xludf.DUMMYFUNCTION("""COMPUTED_VALUE"""),1.0)</f>
        <v>1</v>
      </c>
      <c r="AE990">
        <f>IFERROR(__xludf.DUMMYFUNCTION("""COMPUTED_VALUE"""),3.0)</f>
        <v>3</v>
      </c>
      <c r="AH990" s="189">
        <f>IFERROR(__xludf.DUMMYFUNCTION("""COMPUTED_VALUE"""),43375.158411956014)</f>
        <v>43375.15841</v>
      </c>
    </row>
    <row r="991">
      <c r="A991" t="str">
        <f>IFERROR(__xludf.DUMMYFUNCTION("""COMPUTED_VALUE"""),"drcoyle")</f>
        <v>drcoyle</v>
      </c>
      <c r="B991" t="str">
        <f>IFERROR(__xludf.DUMMYFUNCTION("""COMPUTED_VALUE"""),"Hammond")</f>
        <v>Hammond</v>
      </c>
      <c r="C991" t="str">
        <f>IFERROR(__xludf.DUMMYFUNCTION("""COMPUTED_VALUE"""),"IN")</f>
        <v>IN</v>
      </c>
      <c r="D991" t="str">
        <f>IFERROR(__xludf.DUMMYFUNCTION("""COMPUTED_VALUE"""),"USA")</f>
        <v>USA</v>
      </c>
      <c r="E991" s="188">
        <f>IFERROR(__xludf.DUMMYFUNCTION("""COMPUTED_VALUE"""),43279.0)</f>
        <v>43279</v>
      </c>
      <c r="F991" s="188">
        <f>IFERROR(__xludf.DUMMYFUNCTION("""COMPUTED_VALUE"""),43365.0)</f>
        <v>43365</v>
      </c>
      <c r="H991">
        <f>IFERROR(__xludf.DUMMYFUNCTION("""COMPUTED_VALUE"""),103728.0)</f>
        <v>103728</v>
      </c>
      <c r="I991" t="str">
        <f>IFERROR(__xludf.DUMMYFUNCTION("""COMPUTED_VALUE"""),"09/18")</f>
        <v>09/18</v>
      </c>
      <c r="J991" s="5">
        <f>IFERROR(__xludf.DUMMYFUNCTION("""COMPUTED_VALUE"""),43369.0)</f>
        <v>43369</v>
      </c>
      <c r="K991">
        <f>IFERROR(__xludf.DUMMYFUNCTION("""COMPUTED_VALUE"""),86.0)</f>
        <v>86</v>
      </c>
      <c r="L991">
        <f>IFERROR(__xludf.DUMMYFUNCTION("""COMPUTED_VALUE"""),4.0)</f>
        <v>4</v>
      </c>
      <c r="M991">
        <f>IFERROR(__xludf.DUMMYFUNCTION("""COMPUTED_VALUE"""),90.0)</f>
        <v>90</v>
      </c>
      <c r="N991" t="str">
        <f>IFERROR(__xludf.DUMMYFUNCTION("""COMPUTED_VALUE"""),"Model 3 LR AWD")</f>
        <v>Model 3 LR AWD</v>
      </c>
      <c r="O991" t="str">
        <f>IFERROR(__xludf.DUMMYFUNCTION("""COMPUTED_VALUE"""),"Midnight Silver Metallic")</f>
        <v>Midnight Silver Metallic</v>
      </c>
      <c r="P991" t="str">
        <f>IFERROR(__xludf.DUMMYFUNCTION("""COMPUTED_VALUE"""),"18 inch Aero")</f>
        <v>18 inch Aero</v>
      </c>
      <c r="Q991" t="str">
        <f>IFERROR(__xludf.DUMMYFUNCTION("""COMPUTED_VALUE"""),"Black seats")</f>
        <v>Black seats</v>
      </c>
      <c r="R991" t="str">
        <f>IFERROR(__xludf.DUMMYFUNCTION("""COMPUTED_VALUE"""),"Enhanced Autopilot")</f>
        <v>Enhanced Autopilot</v>
      </c>
      <c r="X991" t="str">
        <f>IFERROR(__xludf.DUMMYFUNCTION("""COMPUTED_VALUE"""),"Excellent")</f>
        <v>Excellent</v>
      </c>
      <c r="Y991" t="str">
        <f>IFERROR(__xludf.DUMMYFUNCTION("""COMPUTED_VALUE"""),"Excellent")</f>
        <v>Excellent</v>
      </c>
      <c r="Z991" t="str">
        <f>IFERROR(__xludf.DUMMYFUNCTION("""COMPUTED_VALUE"""),"Excellent")</f>
        <v>Excellent</v>
      </c>
      <c r="AA991" t="str">
        <f>IFERROR(__xludf.DUMMYFUNCTION("""COMPUTED_VALUE"""),"Excellent")</f>
        <v>Excellent</v>
      </c>
      <c r="AB991" t="str">
        <f>IFERROR(__xludf.DUMMYFUNCTION("""COMPUTED_VALUE"""),"Excellent")</f>
        <v>Excellent</v>
      </c>
      <c r="AC991">
        <f>IFERROR(__xludf.DUMMYFUNCTION("""COMPUTED_VALUE"""),0.0)</f>
        <v>0</v>
      </c>
      <c r="AD991">
        <f>IFERROR(__xludf.DUMMYFUNCTION("""COMPUTED_VALUE"""),0.0)</f>
        <v>0</v>
      </c>
      <c r="AE991">
        <f>IFERROR(__xludf.DUMMYFUNCTION("""COMPUTED_VALUE"""),0.0)</f>
        <v>0</v>
      </c>
      <c r="AH991" s="189">
        <f>IFERROR(__xludf.DUMMYFUNCTION("""COMPUTED_VALUE"""),43375.35031401621)</f>
        <v>43375.35031</v>
      </c>
    </row>
    <row r="992">
      <c r="A992" t="str">
        <f>IFERROR(__xludf.DUMMYFUNCTION("""COMPUTED_VALUE"""),"jkliu47")</f>
        <v>jkliu47</v>
      </c>
      <c r="B992" t="str">
        <f>IFERROR(__xludf.DUMMYFUNCTION("""COMPUTED_VALUE"""),"Glendale")</f>
        <v>Glendale</v>
      </c>
      <c r="C992" t="str">
        <f>IFERROR(__xludf.DUMMYFUNCTION("""COMPUTED_VALUE"""),"CA")</f>
        <v>CA</v>
      </c>
      <c r="D992" t="str">
        <f>IFERROR(__xludf.DUMMYFUNCTION("""COMPUTED_VALUE"""),"USA")</f>
        <v>USA</v>
      </c>
      <c r="E992" s="188">
        <f>IFERROR(__xludf.DUMMYFUNCTION("""COMPUTED_VALUE"""),43372.0)</f>
        <v>43372</v>
      </c>
      <c r="F992" s="188">
        <f>IFERROR(__xludf.DUMMYFUNCTION("""COMPUTED_VALUE"""),43372.0)</f>
        <v>43372</v>
      </c>
      <c r="H992">
        <f>IFERROR(__xludf.DUMMYFUNCTION("""COMPUTED_VALUE"""),75077.0)</f>
        <v>75077</v>
      </c>
      <c r="I992" t="str">
        <f>IFERROR(__xludf.DUMMYFUNCTION("""COMPUTED_VALUE"""),"09/18")</f>
        <v>09/18</v>
      </c>
      <c r="J992" s="5">
        <f>IFERROR(__xludf.DUMMYFUNCTION("""COMPUTED_VALUE"""),43373.0)</f>
        <v>43373</v>
      </c>
      <c r="K992">
        <f>IFERROR(__xludf.DUMMYFUNCTION("""COMPUTED_VALUE"""),0.0)</f>
        <v>0</v>
      </c>
      <c r="L992">
        <f>IFERROR(__xludf.DUMMYFUNCTION("""COMPUTED_VALUE"""),1.0)</f>
        <v>1</v>
      </c>
      <c r="M992">
        <f>IFERROR(__xludf.DUMMYFUNCTION("""COMPUTED_VALUE"""),1.0)</f>
        <v>1</v>
      </c>
      <c r="N992" t="str">
        <f>IFERROR(__xludf.DUMMYFUNCTION("""COMPUTED_VALUE"""),"Model 3 LR AWD")</f>
        <v>Model 3 LR AWD</v>
      </c>
      <c r="O992" t="str">
        <f>IFERROR(__xludf.DUMMYFUNCTION("""COMPUTED_VALUE"""),"Red Multi-Coat")</f>
        <v>Red Multi-Coat</v>
      </c>
      <c r="P992" t="str">
        <f>IFERROR(__xludf.DUMMYFUNCTION("""COMPUTED_VALUE"""),"18 inch Aero")</f>
        <v>18 inch Aero</v>
      </c>
      <c r="Q992" t="str">
        <f>IFERROR(__xludf.DUMMYFUNCTION("""COMPUTED_VALUE"""),"White seats")</f>
        <v>White seats</v>
      </c>
      <c r="R992" t="str">
        <f>IFERROR(__xludf.DUMMYFUNCTION("""COMPUTED_VALUE"""),"Enhanced Autopilot")</f>
        <v>Enhanced Autopilot</v>
      </c>
      <c r="X992" t="str">
        <f>IFERROR(__xludf.DUMMYFUNCTION("""COMPUTED_VALUE"""),"Excellent")</f>
        <v>Excellent</v>
      </c>
      <c r="Y992" t="str">
        <f>IFERROR(__xludf.DUMMYFUNCTION("""COMPUTED_VALUE"""),"Excellent")</f>
        <v>Excellent</v>
      </c>
      <c r="Z992" t="str">
        <f>IFERROR(__xludf.DUMMYFUNCTION("""COMPUTED_VALUE"""),"Very Good")</f>
        <v>Very Good</v>
      </c>
      <c r="AA992" t="str">
        <f>IFERROR(__xludf.DUMMYFUNCTION("""COMPUTED_VALUE"""),"Excellent")</f>
        <v>Excellent</v>
      </c>
      <c r="AB992" t="str">
        <f>IFERROR(__xludf.DUMMYFUNCTION("""COMPUTED_VALUE"""),"Excellent")</f>
        <v>Excellent</v>
      </c>
      <c r="AC992">
        <f>IFERROR(__xludf.DUMMYFUNCTION("""COMPUTED_VALUE"""),3.0)</f>
        <v>3</v>
      </c>
      <c r="AG992" t="str">
        <f>IFERROR(__xludf.DUMMYFUNCTION("""COMPUTED_VALUE"""),"20 hours between configuration/order and delivery")</f>
        <v>20 hours between configuration/order and delivery</v>
      </c>
      <c r="AH992" s="189">
        <f>IFERROR(__xludf.DUMMYFUNCTION("""COMPUTED_VALUE"""),43375.37682123843)</f>
        <v>43375.37682</v>
      </c>
    </row>
    <row r="993">
      <c r="A993" t="str">
        <f>IFERROR(__xludf.DUMMYFUNCTION("""COMPUTED_VALUE"""),"30cl")</f>
        <v>30cl</v>
      </c>
      <c r="B993" t="str">
        <f>IFERROR(__xludf.DUMMYFUNCTION("""COMPUTED_VALUE"""),"Buffalo Grove")</f>
        <v>Buffalo Grove</v>
      </c>
      <c r="C993" t="str">
        <f>IFERROR(__xludf.DUMMYFUNCTION("""COMPUTED_VALUE"""),"IL")</f>
        <v>IL</v>
      </c>
      <c r="D993" t="str">
        <f>IFERROR(__xludf.DUMMYFUNCTION("""COMPUTED_VALUE"""),"USA")</f>
        <v>USA</v>
      </c>
      <c r="E993" s="188">
        <f>IFERROR(__xludf.DUMMYFUNCTION("""COMPUTED_VALUE"""),43279.0)</f>
        <v>43279</v>
      </c>
      <c r="F993" s="188">
        <f>IFERROR(__xludf.DUMMYFUNCTION("""COMPUTED_VALUE"""),43361.0)</f>
        <v>43361</v>
      </c>
      <c r="H993">
        <f>IFERROR(__xludf.DUMMYFUNCTION("""COMPUTED_VALUE"""),87455.0)</f>
        <v>87455</v>
      </c>
      <c r="J993" s="5">
        <f>IFERROR(__xludf.DUMMYFUNCTION("""COMPUTED_VALUE"""),43370.0)</f>
        <v>43370</v>
      </c>
      <c r="K993">
        <f>IFERROR(__xludf.DUMMYFUNCTION("""COMPUTED_VALUE"""),82.0)</f>
        <v>82</v>
      </c>
      <c r="L993">
        <f>IFERROR(__xludf.DUMMYFUNCTION("""COMPUTED_VALUE"""),9.0)</f>
        <v>9</v>
      </c>
      <c r="M993">
        <f>IFERROR(__xludf.DUMMYFUNCTION("""COMPUTED_VALUE"""),91.0)</f>
        <v>91</v>
      </c>
      <c r="N993" t="str">
        <f>IFERROR(__xludf.DUMMYFUNCTION("""COMPUTED_VALUE"""),"Model 3 LR AWD")</f>
        <v>Model 3 LR AWD</v>
      </c>
      <c r="O993" t="str">
        <f>IFERROR(__xludf.DUMMYFUNCTION("""COMPUTED_VALUE"""),"Midnight Silver Metallic")</f>
        <v>Midnight Silver Metallic</v>
      </c>
      <c r="P993" t="str">
        <f>IFERROR(__xludf.DUMMYFUNCTION("""COMPUTED_VALUE"""),"19 inch Sport")</f>
        <v>19 inch Sport</v>
      </c>
      <c r="Q993" t="str">
        <f>IFERROR(__xludf.DUMMYFUNCTION("""COMPUTED_VALUE"""),"Black seats")</f>
        <v>Black seats</v>
      </c>
      <c r="R993" t="str">
        <f>IFERROR(__xludf.DUMMYFUNCTION("""COMPUTED_VALUE"""),"None")</f>
        <v>None</v>
      </c>
      <c r="X993" t="str">
        <f>IFERROR(__xludf.DUMMYFUNCTION("""COMPUTED_VALUE"""),"Excellent")</f>
        <v>Excellent</v>
      </c>
      <c r="Y993" t="str">
        <f>IFERROR(__xludf.DUMMYFUNCTION("""COMPUTED_VALUE"""),"Excellent")</f>
        <v>Excellent</v>
      </c>
      <c r="Z993" t="str">
        <f>IFERROR(__xludf.DUMMYFUNCTION("""COMPUTED_VALUE"""),"Very Good")</f>
        <v>Very Good</v>
      </c>
      <c r="AA993" t="str">
        <f>IFERROR(__xludf.DUMMYFUNCTION("""COMPUTED_VALUE"""),"Fair")</f>
        <v>Fair</v>
      </c>
      <c r="AB993" t="str">
        <f>IFERROR(__xludf.DUMMYFUNCTION("""COMPUTED_VALUE"""),"Good")</f>
        <v>Good</v>
      </c>
      <c r="AC993">
        <f>IFERROR(__xludf.DUMMYFUNCTION("""COMPUTED_VALUE"""),2.0)</f>
        <v>2</v>
      </c>
      <c r="AD993">
        <f>IFERROR(__xludf.DUMMYFUNCTION("""COMPUTED_VALUE"""),1.0)</f>
        <v>1</v>
      </c>
      <c r="AH993" s="189">
        <f>IFERROR(__xludf.DUMMYFUNCTION("""COMPUTED_VALUE"""),43375.39100394676)</f>
        <v>43375.391</v>
      </c>
    </row>
    <row r="994">
      <c r="A994" t="str">
        <f>IFERROR(__xludf.DUMMYFUNCTION("""COMPUTED_VALUE"""),"ThreePixel")</f>
        <v>ThreePixel</v>
      </c>
      <c r="B994" t="str">
        <f>IFERROR(__xludf.DUMMYFUNCTION("""COMPUTED_VALUE"""),"Sterling Heights")</f>
        <v>Sterling Heights</v>
      </c>
      <c r="C994" t="str">
        <f>IFERROR(__xludf.DUMMYFUNCTION("""COMPUTED_VALUE"""),"MI")</f>
        <v>MI</v>
      </c>
      <c r="D994" t="str">
        <f>IFERROR(__xludf.DUMMYFUNCTION("""COMPUTED_VALUE"""),"USA")</f>
        <v>USA</v>
      </c>
      <c r="E994" s="188">
        <f>IFERROR(__xludf.DUMMYFUNCTION("""COMPUTED_VALUE"""),43292.0)</f>
        <v>43292</v>
      </c>
      <c r="F994" s="188">
        <f>IFERROR(__xludf.DUMMYFUNCTION("""COMPUTED_VALUE"""),43369.0)</f>
        <v>43369</v>
      </c>
      <c r="H994">
        <f>IFERROR(__xludf.DUMMYFUNCTION("""COMPUTED_VALUE"""),91955.0)</f>
        <v>91955</v>
      </c>
      <c r="J994" s="5">
        <f>IFERROR(__xludf.DUMMYFUNCTION("""COMPUTED_VALUE"""),43371.0)</f>
        <v>43371</v>
      </c>
      <c r="K994">
        <f>IFERROR(__xludf.DUMMYFUNCTION("""COMPUTED_VALUE"""),77.0)</f>
        <v>77</v>
      </c>
      <c r="L994">
        <f>IFERROR(__xludf.DUMMYFUNCTION("""COMPUTED_VALUE"""),2.0)</f>
        <v>2</v>
      </c>
      <c r="M994">
        <f>IFERROR(__xludf.DUMMYFUNCTION("""COMPUTED_VALUE"""),79.0)</f>
        <v>79</v>
      </c>
      <c r="N994" t="str">
        <f>IFERROR(__xludf.DUMMYFUNCTION("""COMPUTED_VALUE"""),"Model 3 LR AWD")</f>
        <v>Model 3 LR AWD</v>
      </c>
      <c r="O994" t="str">
        <f>IFERROR(__xludf.DUMMYFUNCTION("""COMPUTED_VALUE"""),"Deep Blue Metallic")</f>
        <v>Deep Blue Metallic</v>
      </c>
      <c r="P994" t="str">
        <f>IFERROR(__xludf.DUMMYFUNCTION("""COMPUTED_VALUE"""),"18 inch Aero")</f>
        <v>18 inch Aero</v>
      </c>
      <c r="Q994" t="str">
        <f>IFERROR(__xludf.DUMMYFUNCTION("""COMPUTED_VALUE"""),"Black seats")</f>
        <v>Black seats</v>
      </c>
      <c r="R994" t="str">
        <f>IFERROR(__xludf.DUMMYFUNCTION("""COMPUTED_VALUE"""),"None")</f>
        <v>None</v>
      </c>
      <c r="X994" t="str">
        <f>IFERROR(__xludf.DUMMYFUNCTION("""COMPUTED_VALUE"""),"Excellent")</f>
        <v>Excellent</v>
      </c>
      <c r="Y994" t="str">
        <f>IFERROR(__xludf.DUMMYFUNCTION("""COMPUTED_VALUE"""),"Excellent")</f>
        <v>Excellent</v>
      </c>
      <c r="Z994" t="str">
        <f>IFERROR(__xludf.DUMMYFUNCTION("""COMPUTED_VALUE"""),"Excellent")</f>
        <v>Excellent</v>
      </c>
      <c r="AA994" t="str">
        <f>IFERROR(__xludf.DUMMYFUNCTION("""COMPUTED_VALUE"""),"Good")</f>
        <v>Good</v>
      </c>
      <c r="AB994" t="str">
        <f>IFERROR(__xludf.DUMMYFUNCTION("""COMPUTED_VALUE"""),"Excellent")</f>
        <v>Excellent</v>
      </c>
      <c r="AH994" s="189">
        <f>IFERROR(__xludf.DUMMYFUNCTION("""COMPUTED_VALUE"""),43375.47785231481)</f>
        <v>43375.47785</v>
      </c>
    </row>
    <row r="995">
      <c r="A995" t="str">
        <f>IFERROR(__xludf.DUMMYFUNCTION("""COMPUTED_VALUE"""),"freelancewizard")</f>
        <v>freelancewizard</v>
      </c>
      <c r="C995" t="str">
        <f>IFERROR(__xludf.DUMMYFUNCTION("""COMPUTED_VALUE"""),"TN")</f>
        <v>TN</v>
      </c>
      <c r="D995" t="str">
        <f>IFERROR(__xludf.DUMMYFUNCTION("""COMPUTED_VALUE"""),"USA")</f>
        <v>USA</v>
      </c>
      <c r="E995" s="188">
        <f>IFERROR(__xludf.DUMMYFUNCTION("""COMPUTED_VALUE"""),43351.0)</f>
        <v>43351</v>
      </c>
      <c r="F995" s="188">
        <f>IFERROR(__xludf.DUMMYFUNCTION("""COMPUTED_VALUE"""),43356.0)</f>
        <v>43356</v>
      </c>
      <c r="H995">
        <f>IFERROR(__xludf.DUMMYFUNCTION("""COMPUTED_VALUE"""),83955.0)</f>
        <v>83955</v>
      </c>
      <c r="I995" t="str">
        <f>IFERROR(__xludf.DUMMYFUNCTION("""COMPUTED_VALUE"""),"09/18")</f>
        <v>09/18</v>
      </c>
      <c r="J995" s="5">
        <f>IFERROR(__xludf.DUMMYFUNCTION("""COMPUTED_VALUE"""),43371.0)</f>
        <v>43371</v>
      </c>
      <c r="K995">
        <f>IFERROR(__xludf.DUMMYFUNCTION("""COMPUTED_VALUE"""),5.0)</f>
        <v>5</v>
      </c>
      <c r="L995">
        <f>IFERROR(__xludf.DUMMYFUNCTION("""COMPUTED_VALUE"""),15.0)</f>
        <v>15</v>
      </c>
      <c r="M995">
        <f>IFERROR(__xludf.DUMMYFUNCTION("""COMPUTED_VALUE"""),20.0)</f>
        <v>20</v>
      </c>
      <c r="N995" t="str">
        <f>IFERROR(__xludf.DUMMYFUNCTION("""COMPUTED_VALUE"""),"Model 3 Performance")</f>
        <v>Model 3 Performance</v>
      </c>
      <c r="O995" t="str">
        <f>IFERROR(__xludf.DUMMYFUNCTION("""COMPUTED_VALUE"""),"Deep Blue Metallic")</f>
        <v>Deep Blue Metallic</v>
      </c>
      <c r="P995" t="str">
        <f>IFERROR(__xludf.DUMMYFUNCTION("""COMPUTED_VALUE"""),"20 inch Sport")</f>
        <v>20 inch Sport</v>
      </c>
      <c r="Q995" t="str">
        <f>IFERROR(__xludf.DUMMYFUNCTION("""COMPUTED_VALUE"""),"Black seats")</f>
        <v>Black seats</v>
      </c>
      <c r="R995" t="str">
        <f>IFERROR(__xludf.DUMMYFUNCTION("""COMPUTED_VALUE"""),"Enhanced Autopilot")</f>
        <v>Enhanced Autopilot</v>
      </c>
      <c r="X995" t="str">
        <f>IFERROR(__xludf.DUMMYFUNCTION("""COMPUTED_VALUE"""),"Excellent")</f>
        <v>Excellent</v>
      </c>
      <c r="Y995" t="str">
        <f>IFERROR(__xludf.DUMMYFUNCTION("""COMPUTED_VALUE"""),"Excellent")</f>
        <v>Excellent</v>
      </c>
      <c r="Z995" t="str">
        <f>IFERROR(__xludf.DUMMYFUNCTION("""COMPUTED_VALUE"""),"Excellent")</f>
        <v>Excellent</v>
      </c>
      <c r="AA995" t="str">
        <f>IFERROR(__xludf.DUMMYFUNCTION("""COMPUTED_VALUE"""),"Very Good")</f>
        <v>Very Good</v>
      </c>
      <c r="AB995" t="str">
        <f>IFERROR(__xludf.DUMMYFUNCTION("""COMPUTED_VALUE"""),"Very Good")</f>
        <v>Very Good</v>
      </c>
      <c r="AC995">
        <f>IFERROR(__xludf.DUMMYFUNCTION("""COMPUTED_VALUE"""),0.0)</f>
        <v>0</v>
      </c>
      <c r="AD995">
        <f>IFERROR(__xludf.DUMMYFUNCTION("""COMPUTED_VALUE"""),0.0)</f>
        <v>0</v>
      </c>
      <c r="AE995">
        <f>IFERROR(__xludf.DUMMYFUNCTION("""COMPUTED_VALUE"""),0.0)</f>
        <v>0</v>
      </c>
      <c r="AG995" t="str">
        <f>IFERROR(__xludf.DUMMYFUNCTION("""COMPUTED_VALUE"""),"Delivery rescheduled from 9/26 to 9/28 on 9/20.")</f>
        <v>Delivery rescheduled from 9/26 to 9/28 on 9/20.</v>
      </c>
      <c r="AH995" s="189">
        <f>IFERROR(__xludf.DUMMYFUNCTION("""COMPUTED_VALUE"""),43375.52086752315)</f>
        <v>43375.52087</v>
      </c>
    </row>
    <row r="996">
      <c r="A996" t="str">
        <f>IFERROR(__xludf.DUMMYFUNCTION("""COMPUTED_VALUE"""),"mrpeet")</f>
        <v>mrpeet</v>
      </c>
      <c r="B996" t="str">
        <f>IFERROR(__xludf.DUMMYFUNCTION("""COMPUTED_VALUE"""),"Bay Area")</f>
        <v>Bay Area</v>
      </c>
      <c r="C996" t="str">
        <f>IFERROR(__xludf.DUMMYFUNCTION("""COMPUTED_VALUE"""),"CA")</f>
        <v>CA</v>
      </c>
      <c r="D996" t="str">
        <f>IFERROR(__xludf.DUMMYFUNCTION("""COMPUTED_VALUE"""),"USA")</f>
        <v>USA</v>
      </c>
      <c r="E996" s="188">
        <f>IFERROR(__xludf.DUMMYFUNCTION("""COMPUTED_VALUE"""),43287.0)</f>
        <v>43287</v>
      </c>
      <c r="F996" s="188">
        <f>IFERROR(__xludf.DUMMYFUNCTION("""COMPUTED_VALUE"""),43366.0)</f>
        <v>43366</v>
      </c>
      <c r="H996">
        <f>IFERROR(__xludf.DUMMYFUNCTION("""COMPUTED_VALUE"""),112455.0)</f>
        <v>112455</v>
      </c>
      <c r="I996" t="str">
        <f>IFERROR(__xludf.DUMMYFUNCTION("""COMPUTED_VALUE"""),"09/18")</f>
        <v>09/18</v>
      </c>
      <c r="J996" s="5">
        <f>IFERROR(__xludf.DUMMYFUNCTION("""COMPUTED_VALUE"""),43372.0)</f>
        <v>43372</v>
      </c>
      <c r="K996">
        <f>IFERROR(__xludf.DUMMYFUNCTION("""COMPUTED_VALUE"""),79.0)</f>
        <v>79</v>
      </c>
      <c r="L996">
        <f>IFERROR(__xludf.DUMMYFUNCTION("""COMPUTED_VALUE"""),6.0)</f>
        <v>6</v>
      </c>
      <c r="M996">
        <f>IFERROR(__xludf.DUMMYFUNCTION("""COMPUTED_VALUE"""),85.0)</f>
        <v>85</v>
      </c>
      <c r="N996" t="str">
        <f>IFERROR(__xludf.DUMMYFUNCTION("""COMPUTED_VALUE"""),"Model 3 Performance")</f>
        <v>Model 3 Performance</v>
      </c>
      <c r="O996" t="str">
        <f>IFERROR(__xludf.DUMMYFUNCTION("""COMPUTED_VALUE"""),"Midnight Silver Metallic")</f>
        <v>Midnight Silver Metallic</v>
      </c>
      <c r="P996" t="str">
        <f>IFERROR(__xludf.DUMMYFUNCTION("""COMPUTED_VALUE"""),"18 inch Aero")</f>
        <v>18 inch Aero</v>
      </c>
      <c r="Q996" t="str">
        <f>IFERROR(__xludf.DUMMYFUNCTION("""COMPUTED_VALUE"""),"Black seats")</f>
        <v>Black seats</v>
      </c>
      <c r="R996" t="str">
        <f>IFERROR(__xludf.DUMMYFUNCTION("""COMPUTED_VALUE"""),"Enhanced Autopilot")</f>
        <v>Enhanced Autopilot</v>
      </c>
      <c r="X996" t="str">
        <f>IFERROR(__xludf.DUMMYFUNCTION("""COMPUTED_VALUE"""),"Excellent")</f>
        <v>Excellent</v>
      </c>
      <c r="Y996" t="str">
        <f>IFERROR(__xludf.DUMMYFUNCTION("""COMPUTED_VALUE"""),"Good")</f>
        <v>Good</v>
      </c>
      <c r="Z996" t="str">
        <f>IFERROR(__xludf.DUMMYFUNCTION("""COMPUTED_VALUE"""),"Fair")</f>
        <v>Fair</v>
      </c>
      <c r="AA996" t="str">
        <f>IFERROR(__xludf.DUMMYFUNCTION("""COMPUTED_VALUE"""),"Poor")</f>
        <v>Poor</v>
      </c>
      <c r="AB996" t="str">
        <f>IFERROR(__xludf.DUMMYFUNCTION("""COMPUTED_VALUE"""),"Poor")</f>
        <v>Poor</v>
      </c>
      <c r="AC996">
        <f>IFERROR(__xludf.DUMMYFUNCTION("""COMPUTED_VALUE"""),2.0)</f>
        <v>2</v>
      </c>
      <c r="AD996">
        <f>IFERROR(__xludf.DUMMYFUNCTION("""COMPUTED_VALUE"""),1.0)</f>
        <v>1</v>
      </c>
      <c r="AE996">
        <f>IFERROR(__xludf.DUMMYFUNCTION("""COMPUTED_VALUE"""),0.0)</f>
        <v>0</v>
      </c>
      <c r="AH996" s="189">
        <f>IFERROR(__xludf.DUMMYFUNCTION("""COMPUTED_VALUE"""),43375.56763063658)</f>
        <v>43375.56763</v>
      </c>
    </row>
    <row r="997">
      <c r="A997" t="str">
        <f>IFERROR(__xludf.DUMMYFUNCTION("""COMPUTED_VALUE"""),"nabolito")</f>
        <v>nabolito</v>
      </c>
      <c r="B997" t="str">
        <f>IFERROR(__xludf.DUMMYFUNCTION("""COMPUTED_VALUE"""),"Gatineau ")</f>
        <v>Gatineau </v>
      </c>
      <c r="C997" t="str">
        <f>IFERROR(__xludf.DUMMYFUNCTION("""COMPUTED_VALUE"""),"QC")</f>
        <v>QC</v>
      </c>
      <c r="D997" t="str">
        <f>IFERROR(__xludf.DUMMYFUNCTION("""COMPUTED_VALUE"""),"Canada")</f>
        <v>Canada</v>
      </c>
      <c r="E997" s="188">
        <f>IFERROR(__xludf.DUMMYFUNCTION("""COMPUTED_VALUE"""),43280.0)</f>
        <v>43280</v>
      </c>
      <c r="F997" s="188">
        <f>IFERROR(__xludf.DUMMYFUNCTION("""COMPUTED_VALUE"""),43347.0)</f>
        <v>43347</v>
      </c>
      <c r="H997">
        <f>IFERROR(__xludf.DUMMYFUNCTION("""COMPUTED_VALUE"""),107155.0)</f>
        <v>107155</v>
      </c>
      <c r="I997" t="str">
        <f>IFERROR(__xludf.DUMMYFUNCTION("""COMPUTED_VALUE"""),"09/18")</f>
        <v>09/18</v>
      </c>
      <c r="J997" s="5">
        <f>IFERROR(__xludf.DUMMYFUNCTION("""COMPUTED_VALUE"""),43369.0)</f>
        <v>43369</v>
      </c>
      <c r="K997">
        <f>IFERROR(__xludf.DUMMYFUNCTION("""COMPUTED_VALUE"""),67.0)</f>
        <v>67</v>
      </c>
      <c r="L997">
        <f>IFERROR(__xludf.DUMMYFUNCTION("""COMPUTED_VALUE"""),22.0)</f>
        <v>22</v>
      </c>
      <c r="M997">
        <f>IFERROR(__xludf.DUMMYFUNCTION("""COMPUTED_VALUE"""),89.0)</f>
        <v>89</v>
      </c>
      <c r="N997" t="str">
        <f>IFERROR(__xludf.DUMMYFUNCTION("""COMPUTED_VALUE"""),"Model 3 LR AWD")</f>
        <v>Model 3 LR AWD</v>
      </c>
      <c r="O997" t="str">
        <f>IFERROR(__xludf.DUMMYFUNCTION("""COMPUTED_VALUE"""),"Deep Blue Metallic")</f>
        <v>Deep Blue Metallic</v>
      </c>
      <c r="P997" t="str">
        <f>IFERROR(__xludf.DUMMYFUNCTION("""COMPUTED_VALUE"""),"18 inch Aero")</f>
        <v>18 inch Aero</v>
      </c>
      <c r="Q997" t="str">
        <f>IFERROR(__xludf.DUMMYFUNCTION("""COMPUTED_VALUE"""),"Black seats")</f>
        <v>Black seats</v>
      </c>
      <c r="R997" t="str">
        <f>IFERROR(__xludf.DUMMYFUNCTION("""COMPUTED_VALUE"""),"Enhanced Autopilot")</f>
        <v>Enhanced Autopilot</v>
      </c>
      <c r="X997" t="str">
        <f>IFERROR(__xludf.DUMMYFUNCTION("""COMPUTED_VALUE"""),"Good")</f>
        <v>Good</v>
      </c>
      <c r="Y997" t="str">
        <f>IFERROR(__xludf.DUMMYFUNCTION("""COMPUTED_VALUE"""),"Very Good")</f>
        <v>Very Good</v>
      </c>
      <c r="Z997" t="str">
        <f>IFERROR(__xludf.DUMMYFUNCTION("""COMPUTED_VALUE"""),"Very Good")</f>
        <v>Very Good</v>
      </c>
      <c r="AA997" t="str">
        <f>IFERROR(__xludf.DUMMYFUNCTION("""COMPUTED_VALUE"""),"Fair")</f>
        <v>Fair</v>
      </c>
      <c r="AB997" t="str">
        <f>IFERROR(__xludf.DUMMYFUNCTION("""COMPUTED_VALUE"""),"Fair")</f>
        <v>Fair</v>
      </c>
      <c r="AC997">
        <f>IFERROR(__xludf.DUMMYFUNCTION("""COMPUTED_VALUE"""),0.0)</f>
        <v>0</v>
      </c>
      <c r="AD997">
        <f>IFERROR(__xludf.DUMMYFUNCTION("""COMPUTED_VALUE"""),0.0)</f>
        <v>0</v>
      </c>
      <c r="AE997">
        <f>IFERROR(__xludf.DUMMYFUNCTION("""COMPUTED_VALUE"""),0.0)</f>
        <v>0</v>
      </c>
      <c r="AH997" s="189">
        <f>IFERROR(__xludf.DUMMYFUNCTION("""COMPUTED_VALUE"""),43375.59107731481)</f>
        <v>43375.59108</v>
      </c>
    </row>
    <row r="998">
      <c r="A998" t="str">
        <f>IFERROR(__xludf.DUMMYFUNCTION("""COMPUTED_VALUE"""),"Niduag")</f>
        <v>Niduag</v>
      </c>
      <c r="B998" t="str">
        <f>IFERROR(__xludf.DUMMYFUNCTION("""COMPUTED_VALUE"""),"Seattle")</f>
        <v>Seattle</v>
      </c>
      <c r="C998" t="str">
        <f>IFERROR(__xludf.DUMMYFUNCTION("""COMPUTED_VALUE"""),"WA")</f>
        <v>WA</v>
      </c>
      <c r="D998" t="str">
        <f>IFERROR(__xludf.DUMMYFUNCTION("""COMPUTED_VALUE"""),"USA")</f>
        <v>USA</v>
      </c>
      <c r="E998" s="188">
        <f>IFERROR(__xludf.DUMMYFUNCTION("""COMPUTED_VALUE"""),43288.0)</f>
        <v>43288</v>
      </c>
      <c r="F998" s="188">
        <f>IFERROR(__xludf.DUMMYFUNCTION("""COMPUTED_VALUE"""),43368.0)</f>
        <v>43368</v>
      </c>
      <c r="H998">
        <f>IFERROR(__xludf.DUMMYFUNCTION("""COMPUTED_VALUE"""),114662.0)</f>
        <v>114662</v>
      </c>
      <c r="J998" s="5">
        <f>IFERROR(__xludf.DUMMYFUNCTION("""COMPUTED_VALUE"""),43375.0)</f>
        <v>43375</v>
      </c>
      <c r="K998">
        <f>IFERROR(__xludf.DUMMYFUNCTION("""COMPUTED_VALUE"""),80.0)</f>
        <v>80</v>
      </c>
      <c r="L998">
        <f>IFERROR(__xludf.DUMMYFUNCTION("""COMPUTED_VALUE"""),7.0)</f>
        <v>7</v>
      </c>
      <c r="M998">
        <f>IFERROR(__xludf.DUMMYFUNCTION("""COMPUTED_VALUE"""),87.0)</f>
        <v>87</v>
      </c>
      <c r="N998" t="str">
        <f>IFERROR(__xludf.DUMMYFUNCTION("""COMPUTED_VALUE"""),"Model 3 LR AWD")</f>
        <v>Model 3 LR AWD</v>
      </c>
      <c r="O998" t="str">
        <f>IFERROR(__xludf.DUMMYFUNCTION("""COMPUTED_VALUE"""),"Red Multi-Coat")</f>
        <v>Red Multi-Coat</v>
      </c>
      <c r="P998" t="str">
        <f>IFERROR(__xludf.DUMMYFUNCTION("""COMPUTED_VALUE"""),"18 inch Aero")</f>
        <v>18 inch Aero</v>
      </c>
      <c r="Q998" t="str">
        <f>IFERROR(__xludf.DUMMYFUNCTION("""COMPUTED_VALUE"""),"Black seats")</f>
        <v>Black seats</v>
      </c>
      <c r="R998" t="str">
        <f>IFERROR(__xludf.DUMMYFUNCTION("""COMPUTED_VALUE"""),"Full Self-Driving")</f>
        <v>Full Self-Driving</v>
      </c>
      <c r="X998" t="str">
        <f>IFERROR(__xludf.DUMMYFUNCTION("""COMPUTED_VALUE"""),"Excellent")</f>
        <v>Excellent</v>
      </c>
      <c r="Y998" t="str">
        <f>IFERROR(__xludf.DUMMYFUNCTION("""COMPUTED_VALUE"""),"Excellent")</f>
        <v>Excellent</v>
      </c>
      <c r="Z998" t="str">
        <f>IFERROR(__xludf.DUMMYFUNCTION("""COMPUTED_VALUE"""),"Excellent")</f>
        <v>Excellent</v>
      </c>
      <c r="AA998" t="str">
        <f>IFERROR(__xludf.DUMMYFUNCTION("""COMPUTED_VALUE"""),"Excellent")</f>
        <v>Excellent</v>
      </c>
      <c r="AB998" t="str">
        <f>IFERROR(__xludf.DUMMYFUNCTION("""COMPUTED_VALUE"""),"Excellent")</f>
        <v>Excellent</v>
      </c>
      <c r="AC998">
        <f>IFERROR(__xludf.DUMMYFUNCTION("""COMPUTED_VALUE"""),0.0)</f>
        <v>0</v>
      </c>
      <c r="AD998">
        <f>IFERROR(__xludf.DUMMYFUNCTION("""COMPUTED_VALUE"""),0.0)</f>
        <v>0</v>
      </c>
      <c r="AE998">
        <f>IFERROR(__xludf.DUMMYFUNCTION("""COMPUTED_VALUE"""),0.0)</f>
        <v>0</v>
      </c>
      <c r="AH998" s="189">
        <f>IFERROR(__xludf.DUMMYFUNCTION("""COMPUTED_VALUE"""),43375.646018495376)</f>
        <v>43375.64602</v>
      </c>
    </row>
    <row r="999">
      <c r="A999" t="str">
        <f>IFERROR(__xludf.DUMMYFUNCTION("""COMPUTED_VALUE"""),"WorldSaveur")</f>
        <v>WorldSaveur</v>
      </c>
      <c r="C999" t="str">
        <f>IFERROR(__xludf.DUMMYFUNCTION("""COMPUTED_VALUE"""),"CA")</f>
        <v>CA</v>
      </c>
      <c r="D999" t="str">
        <f>IFERROR(__xludf.DUMMYFUNCTION("""COMPUTED_VALUE"""),"USA")</f>
        <v>USA</v>
      </c>
      <c r="E999" s="188">
        <f>IFERROR(__xludf.DUMMYFUNCTION("""COMPUTED_VALUE"""),43279.0)</f>
        <v>43279</v>
      </c>
      <c r="F999" s="188">
        <f>IFERROR(__xludf.DUMMYFUNCTION("""COMPUTED_VALUE"""),43366.0)</f>
        <v>43366</v>
      </c>
      <c r="I999" t="str">
        <f>IFERROR(__xludf.DUMMYFUNCTION("""COMPUTED_VALUE"""),"09/18")</f>
        <v>09/18</v>
      </c>
      <c r="J999" s="5">
        <f>IFERROR(__xludf.DUMMYFUNCTION("""COMPUTED_VALUE"""),43367.0)</f>
        <v>43367</v>
      </c>
      <c r="K999">
        <f>IFERROR(__xludf.DUMMYFUNCTION("""COMPUTED_VALUE"""),87.0)</f>
        <v>87</v>
      </c>
      <c r="L999">
        <f>IFERROR(__xludf.DUMMYFUNCTION("""COMPUTED_VALUE"""),1.0)</f>
        <v>1</v>
      </c>
      <c r="M999">
        <f>IFERROR(__xludf.DUMMYFUNCTION("""COMPUTED_VALUE"""),88.0)</f>
        <v>88</v>
      </c>
      <c r="N999" t="str">
        <f>IFERROR(__xludf.DUMMYFUNCTION("""COMPUTED_VALUE"""),"Model 3 LR AWD")</f>
        <v>Model 3 LR AWD</v>
      </c>
      <c r="O999" t="str">
        <f>IFERROR(__xludf.DUMMYFUNCTION("""COMPUTED_VALUE"""),"Red Multi-Coat")</f>
        <v>Red Multi-Coat</v>
      </c>
      <c r="P999" t="str">
        <f>IFERROR(__xludf.DUMMYFUNCTION("""COMPUTED_VALUE"""),"18 inch Aero")</f>
        <v>18 inch Aero</v>
      </c>
      <c r="Q999" t="str">
        <f>IFERROR(__xludf.DUMMYFUNCTION("""COMPUTED_VALUE"""),"Black seats")</f>
        <v>Black seats</v>
      </c>
      <c r="R999" t="str">
        <f>IFERROR(__xludf.DUMMYFUNCTION("""COMPUTED_VALUE"""),"Enhanced Autopilot")</f>
        <v>Enhanced Autopilot</v>
      </c>
      <c r="X999" t="str">
        <f>IFERROR(__xludf.DUMMYFUNCTION("""COMPUTED_VALUE"""),"Very Good")</f>
        <v>Very Good</v>
      </c>
      <c r="Y999" t="str">
        <f>IFERROR(__xludf.DUMMYFUNCTION("""COMPUTED_VALUE"""),"Very Good")</f>
        <v>Very Good</v>
      </c>
      <c r="Z999" t="str">
        <f>IFERROR(__xludf.DUMMYFUNCTION("""COMPUTED_VALUE"""),"Very Good")</f>
        <v>Very Good</v>
      </c>
      <c r="AA999" t="str">
        <f>IFERROR(__xludf.DUMMYFUNCTION("""COMPUTED_VALUE"""),"Fair")</f>
        <v>Fair</v>
      </c>
      <c r="AB999" t="str">
        <f>IFERROR(__xludf.DUMMYFUNCTION("""COMPUTED_VALUE"""),"Very Good")</f>
        <v>Very Good</v>
      </c>
      <c r="AC999">
        <f>IFERROR(__xludf.DUMMYFUNCTION("""COMPUTED_VALUE"""),1.0)</f>
        <v>1</v>
      </c>
      <c r="AH999" s="189">
        <f>IFERROR(__xludf.DUMMYFUNCTION("""COMPUTED_VALUE"""),43375.6689899537)</f>
        <v>43375.66899</v>
      </c>
    </row>
    <row r="1000">
      <c r="A1000" t="str">
        <f>IFERROR(__xludf.DUMMYFUNCTION("""COMPUTED_VALUE"""),"BK1369")</f>
        <v>BK1369</v>
      </c>
      <c r="B1000" t="str">
        <f>IFERROR(__xludf.DUMMYFUNCTION("""COMPUTED_VALUE"""),"Raleigh")</f>
        <v>Raleigh</v>
      </c>
      <c r="C1000" t="str">
        <f>IFERROR(__xludf.DUMMYFUNCTION("""COMPUTED_VALUE"""),"NC")</f>
        <v>NC</v>
      </c>
      <c r="D1000" t="str">
        <f>IFERROR(__xludf.DUMMYFUNCTION("""COMPUTED_VALUE"""),"USA")</f>
        <v>USA</v>
      </c>
      <c r="E1000" s="188">
        <f>IFERROR(__xludf.DUMMYFUNCTION("""COMPUTED_VALUE"""),43281.0)</f>
        <v>43281</v>
      </c>
      <c r="F1000" s="188">
        <f>IFERROR(__xludf.DUMMYFUNCTION("""COMPUTED_VALUE"""),43361.0)</f>
        <v>43361</v>
      </c>
      <c r="H1000">
        <f>IFERROR(__xludf.DUMMYFUNCTION("""COMPUTED_VALUE"""),69855.0)</f>
        <v>69855</v>
      </c>
      <c r="I1000" t="str">
        <f>IFERROR(__xludf.DUMMYFUNCTION("""COMPUTED_VALUE"""),"08/18")</f>
        <v>08/18</v>
      </c>
      <c r="J1000" s="5">
        <f>IFERROR(__xludf.DUMMYFUNCTION("""COMPUTED_VALUE"""),43368.0)</f>
        <v>43368</v>
      </c>
      <c r="K1000">
        <f>IFERROR(__xludf.DUMMYFUNCTION("""COMPUTED_VALUE"""),80.0)</f>
        <v>80</v>
      </c>
      <c r="L1000">
        <f>IFERROR(__xludf.DUMMYFUNCTION("""COMPUTED_VALUE"""),7.0)</f>
        <v>7</v>
      </c>
      <c r="M1000">
        <f>IFERROR(__xludf.DUMMYFUNCTION("""COMPUTED_VALUE"""),87.0)</f>
        <v>87</v>
      </c>
      <c r="N1000" t="str">
        <f>IFERROR(__xludf.DUMMYFUNCTION("""COMPUTED_VALUE"""),"Model 3 LR AWD")</f>
        <v>Model 3 LR AWD</v>
      </c>
      <c r="O1000" t="str">
        <f>IFERROR(__xludf.DUMMYFUNCTION("""COMPUTED_VALUE"""),"Midnight Silver Metallic")</f>
        <v>Midnight Silver Metallic</v>
      </c>
      <c r="P1000" t="str">
        <f>IFERROR(__xludf.DUMMYFUNCTION("""COMPUTED_VALUE"""),"18 inch Aero")</f>
        <v>18 inch Aero</v>
      </c>
      <c r="Q1000" t="str">
        <f>IFERROR(__xludf.DUMMYFUNCTION("""COMPUTED_VALUE"""),"Black seats")</f>
        <v>Black seats</v>
      </c>
      <c r="R1000" t="str">
        <f>IFERROR(__xludf.DUMMYFUNCTION("""COMPUTED_VALUE"""),"Enhanced Autopilot")</f>
        <v>Enhanced Autopilot</v>
      </c>
      <c r="X1000" t="str">
        <f>IFERROR(__xludf.DUMMYFUNCTION("""COMPUTED_VALUE"""),"Very Good")</f>
        <v>Very Good</v>
      </c>
      <c r="Y1000" t="str">
        <f>IFERROR(__xludf.DUMMYFUNCTION("""COMPUTED_VALUE"""),"Excellent")</f>
        <v>Excellent</v>
      </c>
      <c r="Z1000" t="str">
        <f>IFERROR(__xludf.DUMMYFUNCTION("""COMPUTED_VALUE"""),"Very Good")</f>
        <v>Very Good</v>
      </c>
      <c r="AA1000" t="str">
        <f>IFERROR(__xludf.DUMMYFUNCTION("""COMPUTED_VALUE"""),"Good")</f>
        <v>Good</v>
      </c>
      <c r="AB1000" t="str">
        <f>IFERROR(__xludf.DUMMYFUNCTION("""COMPUTED_VALUE"""),"Very Good")</f>
        <v>Very Good</v>
      </c>
      <c r="AC1000">
        <f>IFERROR(__xludf.DUMMYFUNCTION("""COMPUTED_VALUE"""),2.0)</f>
        <v>2</v>
      </c>
      <c r="AG1000" t="str">
        <f>IFERROR(__xludf.DUMMYFUNCTION("""COMPUTED_VALUE"""),"Actual Delivery = 9/26/2018.  Chose to drive to Charlotte, NC instead of waiting for Home Delivery. ")</f>
        <v>Actual Delivery = 9/26/2018.  Chose to drive to Charlotte, NC instead of waiting for Home Delivery. </v>
      </c>
      <c r="AH1000" s="189">
        <f>IFERROR(__xludf.DUMMYFUNCTION("""COMPUTED_VALUE"""),43375.685639375)</f>
        <v>43375.68564</v>
      </c>
    </row>
    <row r="1001">
      <c r="A1001" t="str">
        <f>IFERROR(__xludf.DUMMYFUNCTION("""COMPUTED_VALUE"""),"Bpiddy")</f>
        <v>Bpiddy</v>
      </c>
      <c r="B1001" t="str">
        <f>IFERROR(__xludf.DUMMYFUNCTION("""COMPUTED_VALUE"""),"La Crescent")</f>
        <v>La Crescent</v>
      </c>
      <c r="C1001" t="str">
        <f>IFERROR(__xludf.DUMMYFUNCTION("""COMPUTED_VALUE"""),"MN")</f>
        <v>MN</v>
      </c>
      <c r="D1001" t="str">
        <f>IFERROR(__xludf.DUMMYFUNCTION("""COMPUTED_VALUE"""),"USA")</f>
        <v>USA</v>
      </c>
      <c r="E1001" s="188">
        <f>IFERROR(__xludf.DUMMYFUNCTION("""COMPUTED_VALUE"""),43279.0)</f>
        <v>43279</v>
      </c>
      <c r="F1001" s="188">
        <f>IFERROR(__xludf.DUMMYFUNCTION("""COMPUTED_VALUE"""),43355.0)</f>
        <v>43355</v>
      </c>
      <c r="H1001">
        <f>IFERROR(__xludf.DUMMYFUNCTION("""COMPUTED_VALUE"""),89055.0)</f>
        <v>89055</v>
      </c>
      <c r="I1001" t="str">
        <f>IFERROR(__xludf.DUMMYFUNCTION("""COMPUTED_VALUE"""),"09/18")</f>
        <v>09/18</v>
      </c>
      <c r="J1001" s="5">
        <f>IFERROR(__xludf.DUMMYFUNCTION("""COMPUTED_VALUE"""),43372.0)</f>
        <v>43372</v>
      </c>
      <c r="K1001">
        <f>IFERROR(__xludf.DUMMYFUNCTION("""COMPUTED_VALUE"""),76.0)</f>
        <v>76</v>
      </c>
      <c r="L1001">
        <f>IFERROR(__xludf.DUMMYFUNCTION("""COMPUTED_VALUE"""),17.0)</f>
        <v>17</v>
      </c>
      <c r="M1001">
        <f>IFERROR(__xludf.DUMMYFUNCTION("""COMPUTED_VALUE"""),93.0)</f>
        <v>93</v>
      </c>
      <c r="N1001" t="str">
        <f>IFERROR(__xludf.DUMMYFUNCTION("""COMPUTED_VALUE"""),"Model 3 LR AWD")</f>
        <v>Model 3 LR AWD</v>
      </c>
      <c r="O1001" t="str">
        <f>IFERROR(__xludf.DUMMYFUNCTION("""COMPUTED_VALUE"""),"Pearl White Multi-Coat")</f>
        <v>Pearl White Multi-Coat</v>
      </c>
      <c r="P1001" t="str">
        <f>IFERROR(__xludf.DUMMYFUNCTION("""COMPUTED_VALUE"""),"18 inch Aero")</f>
        <v>18 inch Aero</v>
      </c>
      <c r="Q1001" t="str">
        <f>IFERROR(__xludf.DUMMYFUNCTION("""COMPUTED_VALUE"""),"Black seats")</f>
        <v>Black seats</v>
      </c>
      <c r="R1001" t="str">
        <f>IFERROR(__xludf.DUMMYFUNCTION("""COMPUTED_VALUE"""),"Full Self-Driving")</f>
        <v>Full Self-Driving</v>
      </c>
      <c r="X1001" t="str">
        <f>IFERROR(__xludf.DUMMYFUNCTION("""COMPUTED_VALUE"""),"Excellent")</f>
        <v>Excellent</v>
      </c>
      <c r="Y1001" t="str">
        <f>IFERROR(__xludf.DUMMYFUNCTION("""COMPUTED_VALUE"""),"Excellent")</f>
        <v>Excellent</v>
      </c>
      <c r="Z1001" t="str">
        <f>IFERROR(__xludf.DUMMYFUNCTION("""COMPUTED_VALUE"""),"Excellent")</f>
        <v>Excellent</v>
      </c>
      <c r="AA1001" t="str">
        <f>IFERROR(__xludf.DUMMYFUNCTION("""COMPUTED_VALUE"""),"Fair")</f>
        <v>Fair</v>
      </c>
      <c r="AB1001" t="str">
        <f>IFERROR(__xludf.DUMMYFUNCTION("""COMPUTED_VALUE"""),"Very Good")</f>
        <v>Very Good</v>
      </c>
      <c r="AC1001">
        <f>IFERROR(__xludf.DUMMYFUNCTION("""COMPUTED_VALUE"""),0.0)</f>
        <v>0</v>
      </c>
      <c r="AH1001" s="189">
        <f>IFERROR(__xludf.DUMMYFUNCTION("""COMPUTED_VALUE"""),43375.74015894676)</f>
        <v>43375.74016</v>
      </c>
    </row>
    <row r="1002">
      <c r="A1002" t="str">
        <f>IFERROR(__xludf.DUMMYFUNCTION("""COMPUTED_VALUE"""),"encierro98")</f>
        <v>encierro98</v>
      </c>
      <c r="B1002" t="str">
        <f>IFERROR(__xludf.DUMMYFUNCTION("""COMPUTED_VALUE"""),"Houston")</f>
        <v>Houston</v>
      </c>
      <c r="C1002" t="str">
        <f>IFERROR(__xludf.DUMMYFUNCTION("""COMPUTED_VALUE"""),"TX")</f>
        <v>TX</v>
      </c>
      <c r="D1002" t="str">
        <f>IFERROR(__xludf.DUMMYFUNCTION("""COMPUTED_VALUE"""),"USA")</f>
        <v>USA</v>
      </c>
      <c r="E1002" s="188">
        <f>IFERROR(__xludf.DUMMYFUNCTION("""COMPUTED_VALUE"""),43283.0)</f>
        <v>43283</v>
      </c>
      <c r="F1002" s="188">
        <f>IFERROR(__xludf.DUMMYFUNCTION("""COMPUTED_VALUE"""),43344.0)</f>
        <v>43344</v>
      </c>
      <c r="H1002">
        <f>IFERROR(__xludf.DUMMYFUNCTION("""COMPUTED_VALUE"""),77155.0)</f>
        <v>77155</v>
      </c>
      <c r="I1002" t="str">
        <f>IFERROR(__xludf.DUMMYFUNCTION("""COMPUTED_VALUE"""),"09/18")</f>
        <v>09/18</v>
      </c>
      <c r="J1002" s="5">
        <f>IFERROR(__xludf.DUMMYFUNCTION("""COMPUTED_VALUE"""),43371.0)</f>
        <v>43371</v>
      </c>
      <c r="K1002">
        <f>IFERROR(__xludf.DUMMYFUNCTION("""COMPUTED_VALUE"""),61.0)</f>
        <v>61</v>
      </c>
      <c r="L1002">
        <f>IFERROR(__xludf.DUMMYFUNCTION("""COMPUTED_VALUE"""),27.0)</f>
        <v>27</v>
      </c>
      <c r="M1002">
        <f>IFERROR(__xludf.DUMMYFUNCTION("""COMPUTED_VALUE"""),88.0)</f>
        <v>88</v>
      </c>
      <c r="N1002" t="str">
        <f>IFERROR(__xludf.DUMMYFUNCTION("""COMPUTED_VALUE"""),"Model 3 LR AWD")</f>
        <v>Model 3 LR AWD</v>
      </c>
      <c r="O1002" t="str">
        <f>IFERROR(__xludf.DUMMYFUNCTION("""COMPUTED_VALUE"""),"Obsidian Black Metallic")</f>
        <v>Obsidian Black Metallic</v>
      </c>
      <c r="P1002" t="str">
        <f>IFERROR(__xludf.DUMMYFUNCTION("""COMPUTED_VALUE"""),"18 inch Aero")</f>
        <v>18 inch Aero</v>
      </c>
      <c r="Q1002" t="str">
        <f>IFERROR(__xludf.DUMMYFUNCTION("""COMPUTED_VALUE"""),"Black seats")</f>
        <v>Black seats</v>
      </c>
      <c r="R1002" t="str">
        <f>IFERROR(__xludf.DUMMYFUNCTION("""COMPUTED_VALUE"""),"Full Self-Driving")</f>
        <v>Full Self-Driving</v>
      </c>
      <c r="X1002" t="str">
        <f>IFERROR(__xludf.DUMMYFUNCTION("""COMPUTED_VALUE"""),"Excellent")</f>
        <v>Excellent</v>
      </c>
      <c r="Y1002" t="str">
        <f>IFERROR(__xludf.DUMMYFUNCTION("""COMPUTED_VALUE"""),"Excellent")</f>
        <v>Excellent</v>
      </c>
      <c r="Z1002" t="str">
        <f>IFERROR(__xludf.DUMMYFUNCTION("""COMPUTED_VALUE"""),"Excellent")</f>
        <v>Excellent</v>
      </c>
      <c r="AA1002" t="str">
        <f>IFERROR(__xludf.DUMMYFUNCTION("""COMPUTED_VALUE"""),"Excellent")</f>
        <v>Excellent</v>
      </c>
      <c r="AB1002" t="str">
        <f>IFERROR(__xludf.DUMMYFUNCTION("""COMPUTED_VALUE"""),"Excellent")</f>
        <v>Excellent</v>
      </c>
      <c r="AC1002">
        <f>IFERROR(__xludf.DUMMYFUNCTION("""COMPUTED_VALUE"""),1.0)</f>
        <v>1</v>
      </c>
      <c r="AH1002" s="189">
        <f>IFERROR(__xludf.DUMMYFUNCTION("""COMPUTED_VALUE"""),43375.79144685185)</f>
        <v>43375.79145</v>
      </c>
    </row>
    <row r="1003">
      <c r="A1003" t="str">
        <f>IFERROR(__xludf.DUMMYFUNCTION("""COMPUTED_VALUE"""),"franc210")</f>
        <v>franc210</v>
      </c>
      <c r="B1003" t="str">
        <f>IFERROR(__xludf.DUMMYFUNCTION("""COMPUTED_VALUE"""),"Long Island")</f>
        <v>Long Island</v>
      </c>
      <c r="C1003" t="str">
        <f>IFERROR(__xludf.DUMMYFUNCTION("""COMPUTED_VALUE"""),"NY")</f>
        <v>NY</v>
      </c>
      <c r="D1003" t="str">
        <f>IFERROR(__xludf.DUMMYFUNCTION("""COMPUTED_VALUE"""),"USA")</f>
        <v>USA</v>
      </c>
      <c r="E1003" s="188">
        <f>IFERROR(__xludf.DUMMYFUNCTION("""COMPUTED_VALUE"""),43293.0)</f>
        <v>43293</v>
      </c>
      <c r="F1003" s="188">
        <f>IFERROR(__xludf.DUMMYFUNCTION("""COMPUTED_VALUE"""),43363.0)</f>
        <v>43363</v>
      </c>
      <c r="H1003">
        <f>IFERROR(__xludf.DUMMYFUNCTION("""COMPUTED_VALUE"""),86918.0)</f>
        <v>86918</v>
      </c>
      <c r="I1003" t="str">
        <f>IFERROR(__xludf.DUMMYFUNCTION("""COMPUTED_VALUE"""),"09/18")</f>
        <v>09/18</v>
      </c>
      <c r="J1003" s="5">
        <f>IFERROR(__xludf.DUMMYFUNCTION("""COMPUTED_VALUE"""),43370.0)</f>
        <v>43370</v>
      </c>
      <c r="K1003">
        <f>IFERROR(__xludf.DUMMYFUNCTION("""COMPUTED_VALUE"""),70.0)</f>
        <v>70</v>
      </c>
      <c r="L1003">
        <f>IFERROR(__xludf.DUMMYFUNCTION("""COMPUTED_VALUE"""),7.0)</f>
        <v>7</v>
      </c>
      <c r="M1003">
        <f>IFERROR(__xludf.DUMMYFUNCTION("""COMPUTED_VALUE"""),77.0)</f>
        <v>77</v>
      </c>
      <c r="N1003" t="str">
        <f>IFERROR(__xludf.DUMMYFUNCTION("""COMPUTED_VALUE"""),"Model 3 LR AWD")</f>
        <v>Model 3 LR AWD</v>
      </c>
      <c r="O1003" t="str">
        <f>IFERROR(__xludf.DUMMYFUNCTION("""COMPUTED_VALUE"""),"Midnight Silver Metallic")</f>
        <v>Midnight Silver Metallic</v>
      </c>
      <c r="P1003" t="str">
        <f>IFERROR(__xludf.DUMMYFUNCTION("""COMPUTED_VALUE"""),"18 inch Aero")</f>
        <v>18 inch Aero</v>
      </c>
      <c r="Q1003" t="str">
        <f>IFERROR(__xludf.DUMMYFUNCTION("""COMPUTED_VALUE"""),"Black seats")</f>
        <v>Black seats</v>
      </c>
      <c r="R1003" t="str">
        <f>IFERROR(__xludf.DUMMYFUNCTION("""COMPUTED_VALUE"""),"Enhanced Autopilot")</f>
        <v>Enhanced Autopilot</v>
      </c>
      <c r="X1003" t="str">
        <f>IFERROR(__xludf.DUMMYFUNCTION("""COMPUTED_VALUE"""),"Excellent")</f>
        <v>Excellent</v>
      </c>
      <c r="Y1003" t="str">
        <f>IFERROR(__xludf.DUMMYFUNCTION("""COMPUTED_VALUE"""),"Excellent")</f>
        <v>Excellent</v>
      </c>
      <c r="Z1003" t="str">
        <f>IFERROR(__xludf.DUMMYFUNCTION("""COMPUTED_VALUE"""),"Excellent")</f>
        <v>Excellent</v>
      </c>
      <c r="AA1003" t="str">
        <f>IFERROR(__xludf.DUMMYFUNCTION("""COMPUTED_VALUE"""),"Very Good")</f>
        <v>Very Good</v>
      </c>
      <c r="AB1003" t="str">
        <f>IFERROR(__xludf.DUMMYFUNCTION("""COMPUTED_VALUE"""),"Good")</f>
        <v>Good</v>
      </c>
      <c r="AH1003" s="189">
        <f>IFERROR(__xludf.DUMMYFUNCTION("""COMPUTED_VALUE"""),43375.85424314815)</f>
        <v>43375.85424</v>
      </c>
    </row>
    <row r="1004">
      <c r="A1004" t="str">
        <f>IFERROR(__xludf.DUMMYFUNCTION("""COMPUTED_VALUE"""),"halcyoncmdr")</f>
        <v>halcyoncmdr</v>
      </c>
      <c r="B1004" t="str">
        <f>IFERROR(__xludf.DUMMYFUNCTION("""COMPUTED_VALUE"""),"Tucson")</f>
        <v>Tucson</v>
      </c>
      <c r="C1004" t="str">
        <f>IFERROR(__xludf.DUMMYFUNCTION("""COMPUTED_VALUE"""),"AZ")</f>
        <v>AZ</v>
      </c>
      <c r="D1004" t="str">
        <f>IFERROR(__xludf.DUMMYFUNCTION("""COMPUTED_VALUE"""),"USA")</f>
        <v>USA</v>
      </c>
      <c r="E1004" s="188">
        <f>IFERROR(__xludf.DUMMYFUNCTION("""COMPUTED_VALUE"""),43351.0)</f>
        <v>43351</v>
      </c>
      <c r="F1004" s="188">
        <f>IFERROR(__xludf.DUMMYFUNCTION("""COMPUTED_VALUE"""),43369.0)</f>
        <v>43369</v>
      </c>
      <c r="H1004">
        <f>IFERROR(__xludf.DUMMYFUNCTION("""COMPUTED_VALUE"""),93255.0)</f>
        <v>93255</v>
      </c>
      <c r="J1004" s="5">
        <f>IFERROR(__xludf.DUMMYFUNCTION("""COMPUTED_VALUE"""),43371.0)</f>
        <v>43371</v>
      </c>
      <c r="K1004">
        <f>IFERROR(__xludf.DUMMYFUNCTION("""COMPUTED_VALUE"""),18.0)</f>
        <v>18</v>
      </c>
      <c r="L1004">
        <f>IFERROR(__xludf.DUMMYFUNCTION("""COMPUTED_VALUE"""),2.0)</f>
        <v>2</v>
      </c>
      <c r="M1004">
        <f>IFERROR(__xludf.DUMMYFUNCTION("""COMPUTED_VALUE"""),20.0)</f>
        <v>20</v>
      </c>
      <c r="N1004" t="str">
        <f>IFERROR(__xludf.DUMMYFUNCTION("""COMPUTED_VALUE"""),"Model 3 LR AWD")</f>
        <v>Model 3 LR AWD</v>
      </c>
      <c r="O1004" t="str">
        <f>IFERROR(__xludf.DUMMYFUNCTION("""COMPUTED_VALUE"""),"Midnight Silver Metallic")</f>
        <v>Midnight Silver Metallic</v>
      </c>
      <c r="P1004" t="str">
        <f>IFERROR(__xludf.DUMMYFUNCTION("""COMPUTED_VALUE"""),"18 inch Aero")</f>
        <v>18 inch Aero</v>
      </c>
      <c r="Q1004" t="str">
        <f>IFERROR(__xludf.DUMMYFUNCTION("""COMPUTED_VALUE"""),"Black seats")</f>
        <v>Black seats</v>
      </c>
      <c r="R1004" t="str">
        <f>IFERROR(__xludf.DUMMYFUNCTION("""COMPUTED_VALUE"""),"Enhanced Autopilot")</f>
        <v>Enhanced Autopilot</v>
      </c>
      <c r="X1004" t="str">
        <f>IFERROR(__xludf.DUMMYFUNCTION("""COMPUTED_VALUE"""),"Excellent")</f>
        <v>Excellent</v>
      </c>
      <c r="Y1004" t="str">
        <f>IFERROR(__xludf.DUMMYFUNCTION("""COMPUTED_VALUE"""),"Excellent")</f>
        <v>Excellent</v>
      </c>
      <c r="Z1004" t="str">
        <f>IFERROR(__xludf.DUMMYFUNCTION("""COMPUTED_VALUE"""),"Excellent")</f>
        <v>Excellent</v>
      </c>
      <c r="AA1004" t="str">
        <f>IFERROR(__xludf.DUMMYFUNCTION("""COMPUTED_VALUE"""),"Fair")</f>
        <v>Fair</v>
      </c>
      <c r="AB1004" t="str">
        <f>IFERROR(__xludf.DUMMYFUNCTION("""COMPUTED_VALUE"""),"Excellent")</f>
        <v>Excellent</v>
      </c>
      <c r="AH1004" s="189">
        <f>IFERROR(__xludf.DUMMYFUNCTION("""COMPUTED_VALUE"""),43376.082834189816)</f>
        <v>43376.08283</v>
      </c>
    </row>
    <row r="1005">
      <c r="A1005" t="str">
        <f>IFERROR(__xludf.DUMMYFUNCTION("""COMPUTED_VALUE"""),"captainb8")</f>
        <v>captainb8</v>
      </c>
      <c r="B1005" t="str">
        <f>IFERROR(__xludf.DUMMYFUNCTION("""COMPUTED_VALUE"""),"Cincinnati")</f>
        <v>Cincinnati</v>
      </c>
      <c r="C1005" t="str">
        <f>IFERROR(__xludf.DUMMYFUNCTION("""COMPUTED_VALUE"""),"OH")</f>
        <v>OH</v>
      </c>
      <c r="D1005" t="str">
        <f>IFERROR(__xludf.DUMMYFUNCTION("""COMPUTED_VALUE"""),"USA")</f>
        <v>USA</v>
      </c>
      <c r="E1005" s="188">
        <f>IFERROR(__xludf.DUMMYFUNCTION("""COMPUTED_VALUE"""),43313.0)</f>
        <v>43313</v>
      </c>
      <c r="F1005" s="188">
        <f>IFERROR(__xludf.DUMMYFUNCTION("""COMPUTED_VALUE"""),43371.0)</f>
        <v>43371</v>
      </c>
      <c r="H1005">
        <f>IFERROR(__xludf.DUMMYFUNCTION("""COMPUTED_VALUE"""),87855.0)</f>
        <v>87855</v>
      </c>
      <c r="I1005" t="str">
        <f>IFERROR(__xludf.DUMMYFUNCTION("""COMPUTED_VALUE"""),"09/18")</f>
        <v>09/18</v>
      </c>
      <c r="J1005" s="5">
        <f>IFERROR(__xludf.DUMMYFUNCTION("""COMPUTED_VALUE"""),43373.0)</f>
        <v>43373</v>
      </c>
      <c r="K1005">
        <f>IFERROR(__xludf.DUMMYFUNCTION("""COMPUTED_VALUE"""),58.0)</f>
        <v>58</v>
      </c>
      <c r="L1005">
        <f>IFERROR(__xludf.DUMMYFUNCTION("""COMPUTED_VALUE"""),2.0)</f>
        <v>2</v>
      </c>
      <c r="M1005">
        <f>IFERROR(__xludf.DUMMYFUNCTION("""COMPUTED_VALUE"""),60.0)</f>
        <v>60</v>
      </c>
      <c r="N1005" t="str">
        <f>IFERROR(__xludf.DUMMYFUNCTION("""COMPUTED_VALUE"""),"Model 3 LR AWD")</f>
        <v>Model 3 LR AWD</v>
      </c>
      <c r="O1005" t="str">
        <f>IFERROR(__xludf.DUMMYFUNCTION("""COMPUTED_VALUE"""),"Red Multi-Coat")</f>
        <v>Red Multi-Coat</v>
      </c>
      <c r="P1005" t="str">
        <f>IFERROR(__xludf.DUMMYFUNCTION("""COMPUTED_VALUE"""),"19 inch Sport")</f>
        <v>19 inch Sport</v>
      </c>
      <c r="Q1005" t="str">
        <f>IFERROR(__xludf.DUMMYFUNCTION("""COMPUTED_VALUE"""),"Black seats")</f>
        <v>Black seats</v>
      </c>
      <c r="R1005" t="str">
        <f>IFERROR(__xludf.DUMMYFUNCTION("""COMPUTED_VALUE"""),"Enhanced Autopilot")</f>
        <v>Enhanced Autopilot</v>
      </c>
      <c r="X1005" t="str">
        <f>IFERROR(__xludf.DUMMYFUNCTION("""COMPUTED_VALUE"""),"Excellent")</f>
        <v>Excellent</v>
      </c>
      <c r="Y1005" t="str">
        <f>IFERROR(__xludf.DUMMYFUNCTION("""COMPUTED_VALUE"""),"Excellent")</f>
        <v>Excellent</v>
      </c>
      <c r="Z1005" t="str">
        <f>IFERROR(__xludf.DUMMYFUNCTION("""COMPUTED_VALUE"""),"Excellent")</f>
        <v>Excellent</v>
      </c>
      <c r="AA1005" t="str">
        <f>IFERROR(__xludf.DUMMYFUNCTION("""COMPUTED_VALUE"""),"Good")</f>
        <v>Good</v>
      </c>
      <c r="AB1005" t="str">
        <f>IFERROR(__xludf.DUMMYFUNCTION("""COMPUTED_VALUE"""),"Excellent")</f>
        <v>Excellent</v>
      </c>
      <c r="AH1005" s="189">
        <f>IFERROR(__xludf.DUMMYFUNCTION("""COMPUTED_VALUE"""),43376.25111423611)</f>
        <v>43376.25111</v>
      </c>
    </row>
    <row r="1006">
      <c r="A1006" t="str">
        <f>IFERROR(__xludf.DUMMYFUNCTION("""COMPUTED_VALUE"""),"gmkellogg12")</f>
        <v>gmkellogg12</v>
      </c>
      <c r="B1006" t="str">
        <f>IFERROR(__xludf.DUMMYFUNCTION("""COMPUTED_VALUE"""),"Chicago")</f>
        <v>Chicago</v>
      </c>
      <c r="C1006" t="str">
        <f>IFERROR(__xludf.DUMMYFUNCTION("""COMPUTED_VALUE"""),"IL")</f>
        <v>IL</v>
      </c>
      <c r="D1006" t="str">
        <f>IFERROR(__xludf.DUMMYFUNCTION("""COMPUTED_VALUE"""),"USA")</f>
        <v>USA</v>
      </c>
      <c r="E1006" s="188">
        <f>IFERROR(__xludf.DUMMYFUNCTION("""COMPUTED_VALUE"""),43278.0)</f>
        <v>43278</v>
      </c>
      <c r="F1006" s="188">
        <f>IFERROR(__xludf.DUMMYFUNCTION("""COMPUTED_VALUE"""),43366.0)</f>
        <v>43366</v>
      </c>
      <c r="H1006">
        <f>IFERROR(__xludf.DUMMYFUNCTION("""COMPUTED_VALUE"""),64935.0)</f>
        <v>64935</v>
      </c>
      <c r="J1006" s="5">
        <f>IFERROR(__xludf.DUMMYFUNCTION("""COMPUTED_VALUE"""),43368.0)</f>
        <v>43368</v>
      </c>
      <c r="K1006">
        <f>IFERROR(__xludf.DUMMYFUNCTION("""COMPUTED_VALUE"""),88.0)</f>
        <v>88</v>
      </c>
      <c r="L1006">
        <f>IFERROR(__xludf.DUMMYFUNCTION("""COMPUTED_VALUE"""),2.0)</f>
        <v>2</v>
      </c>
      <c r="M1006">
        <f>IFERROR(__xludf.DUMMYFUNCTION("""COMPUTED_VALUE"""),90.0)</f>
        <v>90</v>
      </c>
      <c r="N1006" t="str">
        <f>IFERROR(__xludf.DUMMYFUNCTION("""COMPUTED_VALUE"""),"Model 3 LR AWD")</f>
        <v>Model 3 LR AWD</v>
      </c>
      <c r="O1006" t="str">
        <f>IFERROR(__xludf.DUMMYFUNCTION("""COMPUTED_VALUE"""),"Deep Blue Metallic")</f>
        <v>Deep Blue Metallic</v>
      </c>
      <c r="P1006" t="str">
        <f>IFERROR(__xludf.DUMMYFUNCTION("""COMPUTED_VALUE"""),"18 inch Aero")</f>
        <v>18 inch Aero</v>
      </c>
      <c r="Q1006" t="str">
        <f>IFERROR(__xludf.DUMMYFUNCTION("""COMPUTED_VALUE"""),"Black seats")</f>
        <v>Black seats</v>
      </c>
      <c r="R1006" t="str">
        <f>IFERROR(__xludf.DUMMYFUNCTION("""COMPUTED_VALUE"""),"Enhanced Autopilot")</f>
        <v>Enhanced Autopilot</v>
      </c>
      <c r="X1006" t="str">
        <f>IFERROR(__xludf.DUMMYFUNCTION("""COMPUTED_VALUE"""),"Very Good")</f>
        <v>Very Good</v>
      </c>
      <c r="Y1006" t="str">
        <f>IFERROR(__xludf.DUMMYFUNCTION("""COMPUTED_VALUE"""),"Good")</f>
        <v>Good</v>
      </c>
      <c r="Z1006" t="str">
        <f>IFERROR(__xludf.DUMMYFUNCTION("""COMPUTED_VALUE"""),"Very Good")</f>
        <v>Very Good</v>
      </c>
      <c r="AA1006" t="str">
        <f>IFERROR(__xludf.DUMMYFUNCTION("""COMPUTED_VALUE"""),"Poor")</f>
        <v>Poor</v>
      </c>
      <c r="AB1006" t="str">
        <f>IFERROR(__xludf.DUMMYFUNCTION("""COMPUTED_VALUE"""),"Good")</f>
        <v>Good</v>
      </c>
      <c r="AC1006">
        <f>IFERROR(__xludf.DUMMYFUNCTION("""COMPUTED_VALUE"""),1.0)</f>
        <v>1</v>
      </c>
      <c r="AD1006">
        <f>IFERROR(__xludf.DUMMYFUNCTION("""COMPUTED_VALUE"""),1.0)</f>
        <v>1</v>
      </c>
      <c r="AH1006" s="189">
        <f>IFERROR(__xludf.DUMMYFUNCTION("""COMPUTED_VALUE"""),43376.33957768518)</f>
        <v>43376.33958</v>
      </c>
    </row>
    <row r="1007">
      <c r="A1007" t="str">
        <f>IFERROR(__xludf.DUMMYFUNCTION("""COMPUTED_VALUE"""),"someone")</f>
        <v>someone</v>
      </c>
      <c r="C1007" t="str">
        <f>IFERROR(__xludf.DUMMYFUNCTION("""COMPUTED_VALUE"""),"MN")</f>
        <v>MN</v>
      </c>
      <c r="D1007" t="str">
        <f>IFERROR(__xludf.DUMMYFUNCTION("""COMPUTED_VALUE"""),"USA")</f>
        <v>USA</v>
      </c>
      <c r="E1007" s="188">
        <f>IFERROR(__xludf.DUMMYFUNCTION("""COMPUTED_VALUE"""),43278.0)</f>
        <v>43278</v>
      </c>
      <c r="F1007" s="188">
        <f>IFERROR(__xludf.DUMMYFUNCTION("""COMPUTED_VALUE"""),43356.0)</f>
        <v>43356</v>
      </c>
      <c r="I1007" t="str">
        <f>IFERROR(__xludf.DUMMYFUNCTION("""COMPUTED_VALUE"""),"09/18")</f>
        <v>09/18</v>
      </c>
      <c r="J1007" s="5">
        <f>IFERROR(__xludf.DUMMYFUNCTION("""COMPUTED_VALUE"""),43372.0)</f>
        <v>43372</v>
      </c>
      <c r="K1007">
        <f>IFERROR(__xludf.DUMMYFUNCTION("""COMPUTED_VALUE"""),78.0)</f>
        <v>78</v>
      </c>
      <c r="L1007">
        <f>IFERROR(__xludf.DUMMYFUNCTION("""COMPUTED_VALUE"""),16.0)</f>
        <v>16</v>
      </c>
      <c r="M1007">
        <f>IFERROR(__xludf.DUMMYFUNCTION("""COMPUTED_VALUE"""),94.0)</f>
        <v>94</v>
      </c>
      <c r="N1007" t="str">
        <f>IFERROR(__xludf.DUMMYFUNCTION("""COMPUTED_VALUE"""),"Model 3 Performance")</f>
        <v>Model 3 Performance</v>
      </c>
      <c r="O1007" t="str">
        <f>IFERROR(__xludf.DUMMYFUNCTION("""COMPUTED_VALUE"""),"Deep Blue Metallic")</f>
        <v>Deep Blue Metallic</v>
      </c>
      <c r="P1007" t="str">
        <f>IFERROR(__xludf.DUMMYFUNCTION("""COMPUTED_VALUE"""),"18 inch Aero")</f>
        <v>18 inch Aero</v>
      </c>
      <c r="Q1007" t="str">
        <f>IFERROR(__xludf.DUMMYFUNCTION("""COMPUTED_VALUE"""),"Black seats")</f>
        <v>Black seats</v>
      </c>
      <c r="R1007" t="str">
        <f>IFERROR(__xludf.DUMMYFUNCTION("""COMPUTED_VALUE"""),"Full Self-Driving")</f>
        <v>Full Self-Driving</v>
      </c>
      <c r="X1007" t="str">
        <f>IFERROR(__xludf.DUMMYFUNCTION("""COMPUTED_VALUE"""),"Excellent")</f>
        <v>Excellent</v>
      </c>
      <c r="Y1007" t="str">
        <f>IFERROR(__xludf.DUMMYFUNCTION("""COMPUTED_VALUE"""),"Excellent")</f>
        <v>Excellent</v>
      </c>
      <c r="Z1007" t="str">
        <f>IFERROR(__xludf.DUMMYFUNCTION("""COMPUTED_VALUE"""),"Excellent")</f>
        <v>Excellent</v>
      </c>
      <c r="AA1007" t="str">
        <f>IFERROR(__xludf.DUMMYFUNCTION("""COMPUTED_VALUE"""),"Poor")</f>
        <v>Poor</v>
      </c>
      <c r="AB1007" t="str">
        <f>IFERROR(__xludf.DUMMYFUNCTION("""COMPUTED_VALUE"""),"Fair")</f>
        <v>Fair</v>
      </c>
      <c r="AH1007" s="189">
        <f>IFERROR(__xludf.DUMMYFUNCTION("""COMPUTED_VALUE"""),43376.35371310185)</f>
        <v>43376.35371</v>
      </c>
    </row>
    <row r="1008">
      <c r="A1008" t="str">
        <f>IFERROR(__xludf.DUMMYFUNCTION("""COMPUTED_VALUE"""),"geiland")</f>
        <v>geiland</v>
      </c>
      <c r="B1008" t="str">
        <f>IFERROR(__xludf.DUMMYFUNCTION("""COMPUTED_VALUE"""),"San Luis Obispo")</f>
        <v>San Luis Obispo</v>
      </c>
      <c r="C1008" t="str">
        <f>IFERROR(__xludf.DUMMYFUNCTION("""COMPUTED_VALUE"""),"CA")</f>
        <v>CA</v>
      </c>
      <c r="D1008" t="str">
        <f>IFERROR(__xludf.DUMMYFUNCTION("""COMPUTED_VALUE"""),"USA")</f>
        <v>USA</v>
      </c>
      <c r="E1008" s="188">
        <f>IFERROR(__xludf.DUMMYFUNCTION("""COMPUTED_VALUE"""),43278.0)</f>
        <v>43278</v>
      </c>
      <c r="F1008" s="188">
        <f>IFERROR(__xludf.DUMMYFUNCTION("""COMPUTED_VALUE"""),43373.0)</f>
        <v>43373</v>
      </c>
      <c r="H1008">
        <f>IFERROR(__xludf.DUMMYFUNCTION("""COMPUTED_VALUE"""),56055.0)</f>
        <v>56055</v>
      </c>
      <c r="J1008" s="5">
        <f>IFERROR(__xludf.DUMMYFUNCTION("""COMPUTED_VALUE"""),43375.0)</f>
        <v>43375</v>
      </c>
      <c r="K1008">
        <f>IFERROR(__xludf.DUMMYFUNCTION("""COMPUTED_VALUE"""),95.0)</f>
        <v>95</v>
      </c>
      <c r="L1008">
        <f>IFERROR(__xludf.DUMMYFUNCTION("""COMPUTED_VALUE"""),2.0)</f>
        <v>2</v>
      </c>
      <c r="M1008">
        <f>IFERROR(__xludf.DUMMYFUNCTION("""COMPUTED_VALUE"""),97.0)</f>
        <v>97</v>
      </c>
      <c r="N1008" t="str">
        <f>IFERROR(__xludf.DUMMYFUNCTION("""COMPUTED_VALUE"""),"Model 3 Performance")</f>
        <v>Model 3 Performance</v>
      </c>
      <c r="O1008" t="str">
        <f>IFERROR(__xludf.DUMMYFUNCTION("""COMPUTED_VALUE"""),"Red Multi-Coat")</f>
        <v>Red Multi-Coat</v>
      </c>
      <c r="P1008" t="str">
        <f>IFERROR(__xludf.DUMMYFUNCTION("""COMPUTED_VALUE"""),"18 inch Aero")</f>
        <v>18 inch Aero</v>
      </c>
      <c r="Q1008" t="str">
        <f>IFERROR(__xludf.DUMMYFUNCTION("""COMPUTED_VALUE"""),"White seats")</f>
        <v>White seats</v>
      </c>
      <c r="R1008" t="str">
        <f>IFERROR(__xludf.DUMMYFUNCTION("""COMPUTED_VALUE"""),"Full Self-Driving")</f>
        <v>Full Self-Driving</v>
      </c>
      <c r="X1008" t="str">
        <f>IFERROR(__xludf.DUMMYFUNCTION("""COMPUTED_VALUE"""),"Very Good")</f>
        <v>Very Good</v>
      </c>
      <c r="Y1008" t="str">
        <f>IFERROR(__xludf.DUMMYFUNCTION("""COMPUTED_VALUE"""),"Excellent")</f>
        <v>Excellent</v>
      </c>
      <c r="Z1008" t="str">
        <f>IFERROR(__xludf.DUMMYFUNCTION("""COMPUTED_VALUE"""),"Excellent")</f>
        <v>Excellent</v>
      </c>
      <c r="AA1008" t="str">
        <f>IFERROR(__xludf.DUMMYFUNCTION("""COMPUTED_VALUE"""),"Good")</f>
        <v>Good</v>
      </c>
      <c r="AB1008" t="str">
        <f>IFERROR(__xludf.DUMMYFUNCTION("""COMPUTED_VALUE"""),"Good")</f>
        <v>Good</v>
      </c>
      <c r="AG1008" t="str">
        <f>IFERROR(__xludf.DUMMYFUNCTION("""COMPUTED_VALUE"""),"Car blows my mind! Better than expectations.")</f>
        <v>Car blows my mind! Better than expectations.</v>
      </c>
      <c r="AH1008" s="189">
        <f>IFERROR(__xludf.DUMMYFUNCTION("""COMPUTED_VALUE"""),43376.369832881945)</f>
        <v>43376.36983</v>
      </c>
    </row>
    <row r="1009">
      <c r="A1009" t="str">
        <f>IFERROR(__xludf.DUMMYFUNCTION("""COMPUTED_VALUE"""),"jb-nvan")</f>
        <v>jb-nvan</v>
      </c>
      <c r="B1009" t="str">
        <f>IFERROR(__xludf.DUMMYFUNCTION("""COMPUTED_VALUE"""),"North Vancouver")</f>
        <v>North Vancouver</v>
      </c>
      <c r="C1009" t="str">
        <f>IFERROR(__xludf.DUMMYFUNCTION("""COMPUTED_VALUE"""),"BC")</f>
        <v>BC</v>
      </c>
      <c r="D1009" t="str">
        <f>IFERROR(__xludf.DUMMYFUNCTION("""COMPUTED_VALUE"""),"Canada")</f>
        <v>Canada</v>
      </c>
      <c r="E1009" s="188">
        <f>IFERROR(__xludf.DUMMYFUNCTION("""COMPUTED_VALUE"""),43341.0)</f>
        <v>43341</v>
      </c>
      <c r="F1009" s="188">
        <f>IFERROR(__xludf.DUMMYFUNCTION("""COMPUTED_VALUE"""),43348.0)</f>
        <v>43348</v>
      </c>
      <c r="H1009">
        <f>IFERROR(__xludf.DUMMYFUNCTION("""COMPUTED_VALUE"""),106855.0)</f>
        <v>106855</v>
      </c>
      <c r="J1009" s="5">
        <f>IFERROR(__xludf.DUMMYFUNCTION("""COMPUTED_VALUE"""),43359.0)</f>
        <v>43359</v>
      </c>
      <c r="K1009">
        <f>IFERROR(__xludf.DUMMYFUNCTION("""COMPUTED_VALUE"""),7.0)</f>
        <v>7</v>
      </c>
      <c r="L1009">
        <f>IFERROR(__xludf.DUMMYFUNCTION("""COMPUTED_VALUE"""),11.0)</f>
        <v>11</v>
      </c>
      <c r="M1009">
        <f>IFERROR(__xludf.DUMMYFUNCTION("""COMPUTED_VALUE"""),18.0)</f>
        <v>18</v>
      </c>
      <c r="N1009" t="str">
        <f>IFERROR(__xludf.DUMMYFUNCTION("""COMPUTED_VALUE"""),"Model 3 LR AWD")</f>
        <v>Model 3 LR AWD</v>
      </c>
      <c r="O1009" t="str">
        <f>IFERROR(__xludf.DUMMYFUNCTION("""COMPUTED_VALUE"""),"Midnight Silver Metallic")</f>
        <v>Midnight Silver Metallic</v>
      </c>
      <c r="P1009" t="str">
        <f>IFERROR(__xludf.DUMMYFUNCTION("""COMPUTED_VALUE"""),"19 inch Sport")</f>
        <v>19 inch Sport</v>
      </c>
      <c r="Q1009" t="str">
        <f>IFERROR(__xludf.DUMMYFUNCTION("""COMPUTED_VALUE"""),"Black seats")</f>
        <v>Black seats</v>
      </c>
      <c r="R1009" t="str">
        <f>IFERROR(__xludf.DUMMYFUNCTION("""COMPUTED_VALUE"""),"Enhanced Autopilot")</f>
        <v>Enhanced Autopilot</v>
      </c>
      <c r="X1009" t="str">
        <f>IFERROR(__xludf.DUMMYFUNCTION("""COMPUTED_VALUE"""),"Excellent")</f>
        <v>Excellent</v>
      </c>
      <c r="Y1009" t="str">
        <f>IFERROR(__xludf.DUMMYFUNCTION("""COMPUTED_VALUE"""),"Excellent")</f>
        <v>Excellent</v>
      </c>
      <c r="Z1009" t="str">
        <f>IFERROR(__xludf.DUMMYFUNCTION("""COMPUTED_VALUE"""),"Excellent")</f>
        <v>Excellent</v>
      </c>
      <c r="AA1009" t="str">
        <f>IFERROR(__xludf.DUMMYFUNCTION("""COMPUTED_VALUE"""),"Fair")</f>
        <v>Fair</v>
      </c>
      <c r="AB1009" t="str">
        <f>IFERROR(__xludf.DUMMYFUNCTION("""COMPUTED_VALUE"""),"Very Good")</f>
        <v>Very Good</v>
      </c>
      <c r="AC1009">
        <f>IFERROR(__xludf.DUMMYFUNCTION("""COMPUTED_VALUE"""),2.0)</f>
        <v>2</v>
      </c>
      <c r="AD1009">
        <f>IFERROR(__xludf.DUMMYFUNCTION("""COMPUTED_VALUE"""),1.0)</f>
        <v>1</v>
      </c>
      <c r="AE1009">
        <f>IFERROR(__xludf.DUMMYFUNCTION("""COMPUTED_VALUE"""),1.0)</f>
        <v>1</v>
      </c>
      <c r="AG1009" t="str">
        <f>IFERROR(__xludf.DUMMYFUNCTION("""COMPUTED_VALUE"""),"This car is AMAZING!!  One wire to control cabin heat was pinched during assembly = no heat. One night in the shop it was fixed. Headlights locked into 'service' mode and wouldn't turn off, software update resolved this. ")</f>
        <v>This car is AMAZING!!  One wire to control cabin heat was pinched during assembly = no heat. One night in the shop it was fixed. Headlights locked into 'service' mode and wouldn't turn off, software update resolved this. </v>
      </c>
      <c r="AH1009" s="189">
        <f>IFERROR(__xludf.DUMMYFUNCTION("""COMPUTED_VALUE"""),43376.37128736111)</f>
        <v>43376.37129</v>
      </c>
    </row>
    <row r="1010">
      <c r="A1010" t="str">
        <f>IFERROR(__xludf.DUMMYFUNCTION("""COMPUTED_VALUE"""),"Sbujold76")</f>
        <v>Sbujold76</v>
      </c>
      <c r="B1010" t="str">
        <f>IFERROR(__xludf.DUMMYFUNCTION("""COMPUTED_VALUE"""),"Montreal")</f>
        <v>Montreal</v>
      </c>
      <c r="C1010" t="str">
        <f>IFERROR(__xludf.DUMMYFUNCTION("""COMPUTED_VALUE"""),"QC")</f>
        <v>QC</v>
      </c>
      <c r="D1010" t="str">
        <f>IFERROR(__xludf.DUMMYFUNCTION("""COMPUTED_VALUE"""),"Canada")</f>
        <v>Canada</v>
      </c>
      <c r="E1010" s="188">
        <f>IFERROR(__xludf.DUMMYFUNCTION("""COMPUTED_VALUE"""),43315.0)</f>
        <v>43315</v>
      </c>
      <c r="F1010" s="188">
        <f>IFERROR(__xludf.DUMMYFUNCTION("""COMPUTED_VALUE"""),43347.0)</f>
        <v>43347</v>
      </c>
      <c r="H1010">
        <f>IFERROR(__xludf.DUMMYFUNCTION("""COMPUTED_VALUE"""),108151.0)</f>
        <v>108151</v>
      </c>
      <c r="I1010" t="str">
        <f>IFERROR(__xludf.DUMMYFUNCTION("""COMPUTED_VALUE"""),"08/18")</f>
        <v>08/18</v>
      </c>
      <c r="J1010" s="5">
        <f>IFERROR(__xludf.DUMMYFUNCTION("""COMPUTED_VALUE"""),43371.0)</f>
        <v>43371</v>
      </c>
      <c r="K1010">
        <f>IFERROR(__xludf.DUMMYFUNCTION("""COMPUTED_VALUE"""),32.0)</f>
        <v>32</v>
      </c>
      <c r="L1010">
        <f>IFERROR(__xludf.DUMMYFUNCTION("""COMPUTED_VALUE"""),24.0)</f>
        <v>24</v>
      </c>
      <c r="M1010">
        <f>IFERROR(__xludf.DUMMYFUNCTION("""COMPUTED_VALUE"""),56.0)</f>
        <v>56</v>
      </c>
      <c r="N1010" t="str">
        <f>IFERROR(__xludf.DUMMYFUNCTION("""COMPUTED_VALUE"""),"Model 3 Performance")</f>
        <v>Model 3 Performance</v>
      </c>
      <c r="O1010" t="str">
        <f>IFERROR(__xludf.DUMMYFUNCTION("""COMPUTED_VALUE"""),"Deep Blue Metallic")</f>
        <v>Deep Blue Metallic</v>
      </c>
      <c r="P1010" t="str">
        <f>IFERROR(__xludf.DUMMYFUNCTION("""COMPUTED_VALUE"""),"20 inch Sport")</f>
        <v>20 inch Sport</v>
      </c>
      <c r="Q1010" t="str">
        <f>IFERROR(__xludf.DUMMYFUNCTION("""COMPUTED_VALUE"""),"White seats")</f>
        <v>White seats</v>
      </c>
      <c r="R1010" t="str">
        <f>IFERROR(__xludf.DUMMYFUNCTION("""COMPUTED_VALUE"""),"Full Self-Driving")</f>
        <v>Full Self-Driving</v>
      </c>
      <c r="X1010" t="str">
        <f>IFERROR(__xludf.DUMMYFUNCTION("""COMPUTED_VALUE"""),"Excellent")</f>
        <v>Excellent</v>
      </c>
      <c r="Y1010" t="str">
        <f>IFERROR(__xludf.DUMMYFUNCTION("""COMPUTED_VALUE"""),"Excellent")</f>
        <v>Excellent</v>
      </c>
      <c r="Z1010" t="str">
        <f>IFERROR(__xludf.DUMMYFUNCTION("""COMPUTED_VALUE"""),"Excellent")</f>
        <v>Excellent</v>
      </c>
      <c r="AA1010" t="str">
        <f>IFERROR(__xludf.DUMMYFUNCTION("""COMPUTED_VALUE"""),"Excellent")</f>
        <v>Excellent</v>
      </c>
      <c r="AB1010" t="str">
        <f>IFERROR(__xludf.DUMMYFUNCTION("""COMPUTED_VALUE"""),"Excellent")</f>
        <v>Excellent</v>
      </c>
      <c r="AC1010">
        <f>IFERROR(__xludf.DUMMYFUNCTION("""COMPUTED_VALUE"""),1.0)</f>
        <v>1</v>
      </c>
      <c r="AD1010">
        <f>IFERROR(__xludf.DUMMYFUNCTION("""COMPUTED_VALUE"""),0.0)</f>
        <v>0</v>
      </c>
      <c r="AE1010">
        <f>IFERROR(__xludf.DUMMYFUNCTION("""COMPUTED_VALUE"""),0.0)</f>
        <v>0</v>
      </c>
      <c r="AG1010" t="str">
        <f>IFERROR(__xludf.DUMMYFUNCTION("""COMPUTED_VALUE"""),"Car in perfect condition ")</f>
        <v>Car in perfect condition </v>
      </c>
      <c r="AH1010" s="189">
        <f>IFERROR(__xludf.DUMMYFUNCTION("""COMPUTED_VALUE"""),43376.41333848379)</f>
        <v>43376.41334</v>
      </c>
    </row>
    <row r="1011">
      <c r="A1011" t="str">
        <f>IFERROR(__xludf.DUMMYFUNCTION("""COMPUTED_VALUE"""),"Clubmaker")</f>
        <v>Clubmaker</v>
      </c>
      <c r="B1011" t="str">
        <f>IFERROR(__xludf.DUMMYFUNCTION("""COMPUTED_VALUE"""),"Chicago")</f>
        <v>Chicago</v>
      </c>
      <c r="C1011" t="str">
        <f>IFERROR(__xludf.DUMMYFUNCTION("""COMPUTED_VALUE"""),"IL")</f>
        <v>IL</v>
      </c>
      <c r="D1011" t="str">
        <f>IFERROR(__xludf.DUMMYFUNCTION("""COMPUTED_VALUE"""),"USA")</f>
        <v>USA</v>
      </c>
      <c r="E1011" s="188">
        <f>IFERROR(__xludf.DUMMYFUNCTION("""COMPUTED_VALUE"""),43278.0)</f>
        <v>43278</v>
      </c>
      <c r="F1011" s="188">
        <f>IFERROR(__xludf.DUMMYFUNCTION("""COMPUTED_VALUE"""),43363.0)</f>
        <v>43363</v>
      </c>
      <c r="H1011">
        <f>IFERROR(__xludf.DUMMYFUNCTION("""COMPUTED_VALUE"""),71555.0)</f>
        <v>71555</v>
      </c>
      <c r="I1011" t="str">
        <f>IFERROR(__xludf.DUMMYFUNCTION("""COMPUTED_VALUE"""),"09/18")</f>
        <v>09/18</v>
      </c>
      <c r="J1011" s="5">
        <f>IFERROR(__xludf.DUMMYFUNCTION("""COMPUTED_VALUE"""),43372.0)</f>
        <v>43372</v>
      </c>
      <c r="K1011">
        <f>IFERROR(__xludf.DUMMYFUNCTION("""COMPUTED_VALUE"""),85.0)</f>
        <v>85</v>
      </c>
      <c r="L1011">
        <f>IFERROR(__xludf.DUMMYFUNCTION("""COMPUTED_VALUE"""),9.0)</f>
        <v>9</v>
      </c>
      <c r="M1011">
        <f>IFERROR(__xludf.DUMMYFUNCTION("""COMPUTED_VALUE"""),94.0)</f>
        <v>94</v>
      </c>
      <c r="N1011" t="str">
        <f>IFERROR(__xludf.DUMMYFUNCTION("""COMPUTED_VALUE"""),"Model 3 LR AWD")</f>
        <v>Model 3 LR AWD</v>
      </c>
      <c r="O1011" t="str">
        <f>IFERROR(__xludf.DUMMYFUNCTION("""COMPUTED_VALUE"""),"Obsidian Black Metallic")</f>
        <v>Obsidian Black Metallic</v>
      </c>
      <c r="P1011" t="str">
        <f>IFERROR(__xludf.DUMMYFUNCTION("""COMPUTED_VALUE"""),"19 inch Sport")</f>
        <v>19 inch Sport</v>
      </c>
      <c r="Q1011" t="str">
        <f>IFERROR(__xludf.DUMMYFUNCTION("""COMPUTED_VALUE"""),"Black seats")</f>
        <v>Black seats</v>
      </c>
      <c r="R1011" t="str">
        <f>IFERROR(__xludf.DUMMYFUNCTION("""COMPUTED_VALUE"""),"Full Self-Driving")</f>
        <v>Full Self-Driving</v>
      </c>
      <c r="X1011" t="str">
        <f>IFERROR(__xludf.DUMMYFUNCTION("""COMPUTED_VALUE"""),"Excellent")</f>
        <v>Excellent</v>
      </c>
      <c r="Y1011" t="str">
        <f>IFERROR(__xludf.DUMMYFUNCTION("""COMPUTED_VALUE"""),"Excellent")</f>
        <v>Excellent</v>
      </c>
      <c r="Z1011" t="str">
        <f>IFERROR(__xludf.DUMMYFUNCTION("""COMPUTED_VALUE"""),"Excellent")</f>
        <v>Excellent</v>
      </c>
      <c r="AA1011" t="str">
        <f>IFERROR(__xludf.DUMMYFUNCTION("""COMPUTED_VALUE"""),"Very Good")</f>
        <v>Very Good</v>
      </c>
      <c r="AB1011" t="str">
        <f>IFERROR(__xludf.DUMMYFUNCTION("""COMPUTED_VALUE"""),"Very Good")</f>
        <v>Very Good</v>
      </c>
      <c r="AH1011" s="189">
        <f>IFERROR(__xludf.DUMMYFUNCTION("""COMPUTED_VALUE"""),43376.41420237269)</f>
        <v>43376.4142</v>
      </c>
    </row>
    <row r="1012">
      <c r="A1012" t="str">
        <f>IFERROR(__xludf.DUMMYFUNCTION("""COMPUTED_VALUE"""),"lemkepf")</f>
        <v>lemkepf</v>
      </c>
      <c r="B1012" t="str">
        <f>IFERROR(__xludf.DUMMYFUNCTION("""COMPUTED_VALUE"""),"Elkhorn")</f>
        <v>Elkhorn</v>
      </c>
      <c r="C1012" t="str">
        <f>IFERROR(__xludf.DUMMYFUNCTION("""COMPUTED_VALUE"""),"WI")</f>
        <v>WI</v>
      </c>
      <c r="D1012" t="str">
        <f>IFERROR(__xludf.DUMMYFUNCTION("""COMPUTED_VALUE"""),"USA")</f>
        <v>USA</v>
      </c>
      <c r="E1012" s="188">
        <f>IFERROR(__xludf.DUMMYFUNCTION("""COMPUTED_VALUE"""),43325.0)</f>
        <v>43325</v>
      </c>
      <c r="F1012" s="188">
        <f>IFERROR(__xludf.DUMMYFUNCTION("""COMPUTED_VALUE"""),43350.0)</f>
        <v>43350</v>
      </c>
      <c r="H1012">
        <f>IFERROR(__xludf.DUMMYFUNCTION("""COMPUTED_VALUE"""),57246.0)</f>
        <v>57246</v>
      </c>
      <c r="J1012" s="5">
        <f>IFERROR(__xludf.DUMMYFUNCTION("""COMPUTED_VALUE"""),43355.0)</f>
        <v>43355</v>
      </c>
      <c r="K1012">
        <f>IFERROR(__xludf.DUMMYFUNCTION("""COMPUTED_VALUE"""),25.0)</f>
        <v>25</v>
      </c>
      <c r="L1012">
        <f>IFERROR(__xludf.DUMMYFUNCTION("""COMPUTED_VALUE"""),5.0)</f>
        <v>5</v>
      </c>
      <c r="M1012">
        <f>IFERROR(__xludf.DUMMYFUNCTION("""COMPUTED_VALUE"""),30.0)</f>
        <v>30</v>
      </c>
      <c r="N1012" t="str">
        <f>IFERROR(__xludf.DUMMYFUNCTION("""COMPUTED_VALUE"""),"Model 3 LR")</f>
        <v>Model 3 LR</v>
      </c>
      <c r="O1012" t="str">
        <f>IFERROR(__xludf.DUMMYFUNCTION("""COMPUTED_VALUE"""),"Pearl White Multi-Coat")</f>
        <v>Pearl White Multi-Coat</v>
      </c>
      <c r="P1012" t="str">
        <f>IFERROR(__xludf.DUMMYFUNCTION("""COMPUTED_VALUE"""),"18 inch Aero")</f>
        <v>18 inch Aero</v>
      </c>
      <c r="Q1012" t="str">
        <f>IFERROR(__xludf.DUMMYFUNCTION("""COMPUTED_VALUE"""),"Black seats")</f>
        <v>Black seats</v>
      </c>
      <c r="R1012" t="str">
        <f>IFERROR(__xludf.DUMMYFUNCTION("""COMPUTED_VALUE"""),"None")</f>
        <v>None</v>
      </c>
      <c r="X1012" t="str">
        <f>IFERROR(__xludf.DUMMYFUNCTION("""COMPUTED_VALUE"""),"Very Good")</f>
        <v>Very Good</v>
      </c>
      <c r="Y1012" t="str">
        <f>IFERROR(__xludf.DUMMYFUNCTION("""COMPUTED_VALUE"""),"Good")</f>
        <v>Good</v>
      </c>
      <c r="Z1012" t="str">
        <f>IFERROR(__xludf.DUMMYFUNCTION("""COMPUTED_VALUE"""),"Very Good")</f>
        <v>Very Good</v>
      </c>
      <c r="AA1012" t="str">
        <f>IFERROR(__xludf.DUMMYFUNCTION("""COMPUTED_VALUE"""),"Good")</f>
        <v>Good</v>
      </c>
      <c r="AB1012" t="str">
        <f>IFERROR(__xludf.DUMMYFUNCTION("""COMPUTED_VALUE"""),"Very Good")</f>
        <v>Very Good</v>
      </c>
      <c r="AC1012">
        <f>IFERROR(__xludf.DUMMYFUNCTION("""COMPUTED_VALUE"""),0.0)</f>
        <v>0</v>
      </c>
      <c r="AD1012">
        <f>IFERROR(__xludf.DUMMYFUNCTION("""COMPUTED_VALUE"""),0.0)</f>
        <v>0</v>
      </c>
      <c r="AE1012">
        <f>IFERROR(__xludf.DUMMYFUNCTION("""COMPUTED_VALUE"""),0.0)</f>
        <v>0</v>
      </c>
      <c r="AH1012" s="189">
        <f>IFERROR(__xludf.DUMMYFUNCTION("""COMPUTED_VALUE"""),43376.5229309375)</f>
        <v>43376.52293</v>
      </c>
    </row>
    <row r="1013">
      <c r="A1013" t="str">
        <f>IFERROR(__xludf.DUMMYFUNCTION("""COMPUTED_VALUE"""),"JAYT")</f>
        <v>JAYT</v>
      </c>
      <c r="C1013" t="str">
        <f>IFERROR(__xludf.DUMMYFUNCTION("""COMPUTED_VALUE"""),"CA")</f>
        <v>CA</v>
      </c>
      <c r="D1013" t="str">
        <f>IFERROR(__xludf.DUMMYFUNCTION("""COMPUTED_VALUE"""),"USA")</f>
        <v>USA</v>
      </c>
      <c r="E1013" s="188">
        <f>IFERROR(__xludf.DUMMYFUNCTION("""COMPUTED_VALUE"""),43327.0)</f>
        <v>43327</v>
      </c>
      <c r="H1013">
        <f>IFERROR(__xludf.DUMMYFUNCTION("""COMPUTED_VALUE"""),84255.0)</f>
        <v>84255</v>
      </c>
      <c r="J1013" s="5">
        <f>IFERROR(__xludf.DUMMYFUNCTION("""COMPUTED_VALUE"""),43370.0)</f>
        <v>43370</v>
      </c>
      <c r="M1013">
        <f>IFERROR(__xludf.DUMMYFUNCTION("""COMPUTED_VALUE"""),43.0)</f>
        <v>43</v>
      </c>
      <c r="N1013" t="str">
        <f>IFERROR(__xludf.DUMMYFUNCTION("""COMPUTED_VALUE"""),"Model 3 Performance")</f>
        <v>Model 3 Performance</v>
      </c>
      <c r="O1013" t="str">
        <f>IFERROR(__xludf.DUMMYFUNCTION("""COMPUTED_VALUE"""),"Pearl White Multi-Coat")</f>
        <v>Pearl White Multi-Coat</v>
      </c>
      <c r="P1013" t="str">
        <f>IFERROR(__xludf.DUMMYFUNCTION("""COMPUTED_VALUE"""),"20 inch Sport")</f>
        <v>20 inch Sport</v>
      </c>
      <c r="Q1013" t="str">
        <f>IFERROR(__xludf.DUMMYFUNCTION("""COMPUTED_VALUE"""),"Black seats")</f>
        <v>Black seats</v>
      </c>
      <c r="R1013" t="str">
        <f>IFERROR(__xludf.DUMMYFUNCTION("""COMPUTED_VALUE"""),"Enhanced Autopilot")</f>
        <v>Enhanced Autopilot</v>
      </c>
      <c r="X1013" t="str">
        <f>IFERROR(__xludf.DUMMYFUNCTION("""COMPUTED_VALUE"""),"Good")</f>
        <v>Good</v>
      </c>
      <c r="Y1013" t="str">
        <f>IFERROR(__xludf.DUMMYFUNCTION("""COMPUTED_VALUE"""),"Excellent")</f>
        <v>Excellent</v>
      </c>
      <c r="Z1013" t="str">
        <f>IFERROR(__xludf.DUMMYFUNCTION("""COMPUTED_VALUE"""),"Excellent")</f>
        <v>Excellent</v>
      </c>
      <c r="AA1013" t="str">
        <f>IFERROR(__xludf.DUMMYFUNCTION("""COMPUTED_VALUE"""),"Poor")</f>
        <v>Poor</v>
      </c>
      <c r="AB1013" t="str">
        <f>IFERROR(__xludf.DUMMYFUNCTION("""COMPUTED_VALUE"""),"Poor")</f>
        <v>Poor</v>
      </c>
      <c r="AC1013">
        <f>IFERROR(__xludf.DUMMYFUNCTION("""COMPUTED_VALUE"""),1.0)</f>
        <v>1</v>
      </c>
      <c r="AD1013">
        <f>IFERROR(__xludf.DUMMYFUNCTION("""COMPUTED_VALUE"""),1.0)</f>
        <v>1</v>
      </c>
      <c r="AH1013" s="189">
        <f>IFERROR(__xludf.DUMMYFUNCTION("""COMPUTED_VALUE"""),43376.60447709491)</f>
        <v>43376.60448</v>
      </c>
    </row>
    <row r="1014">
      <c r="A1014" t="str">
        <f>IFERROR(__xludf.DUMMYFUNCTION("""COMPUTED_VALUE"""),"roark43")</f>
        <v>roark43</v>
      </c>
      <c r="C1014" t="str">
        <f>IFERROR(__xludf.DUMMYFUNCTION("""COMPUTED_VALUE"""),"MD")</f>
        <v>MD</v>
      </c>
      <c r="D1014" t="str">
        <f>IFERROR(__xludf.DUMMYFUNCTION("""COMPUTED_VALUE"""),"USA")</f>
        <v>USA</v>
      </c>
      <c r="E1014" s="188">
        <f>IFERROR(__xludf.DUMMYFUNCTION("""COMPUTED_VALUE"""),43345.0)</f>
        <v>43345</v>
      </c>
      <c r="F1014" s="188">
        <f>IFERROR(__xludf.DUMMYFUNCTION("""COMPUTED_VALUE"""),43008.0)</f>
        <v>43008</v>
      </c>
      <c r="H1014">
        <f>IFERROR(__xludf.DUMMYFUNCTION("""COMPUTED_VALUE"""),51355.0)</f>
        <v>51355</v>
      </c>
      <c r="I1014" t="str">
        <f>IFERROR(__xludf.DUMMYFUNCTION("""COMPUTED_VALUE"""),"08/18")</f>
        <v>08/18</v>
      </c>
      <c r="J1014" s="5">
        <f>IFERROR(__xludf.DUMMYFUNCTION("""COMPUTED_VALUE"""),43008.0)</f>
        <v>43008</v>
      </c>
      <c r="L1014">
        <f>IFERROR(__xludf.DUMMYFUNCTION("""COMPUTED_VALUE"""),0.0)</f>
        <v>0</v>
      </c>
      <c r="N1014" t="str">
        <f>IFERROR(__xludf.DUMMYFUNCTION("""COMPUTED_VALUE"""),"Model 3 LR")</f>
        <v>Model 3 LR</v>
      </c>
      <c r="O1014" t="str">
        <f>IFERROR(__xludf.DUMMYFUNCTION("""COMPUTED_VALUE"""),"Midnight Silver Metallic")</f>
        <v>Midnight Silver Metallic</v>
      </c>
      <c r="P1014" t="str">
        <f>IFERROR(__xludf.DUMMYFUNCTION("""COMPUTED_VALUE"""),"19 inch Sport")</f>
        <v>19 inch Sport</v>
      </c>
      <c r="Q1014" t="str">
        <f>IFERROR(__xludf.DUMMYFUNCTION("""COMPUTED_VALUE"""),"Black seats")</f>
        <v>Black seats</v>
      </c>
      <c r="R1014" t="str">
        <f>IFERROR(__xludf.DUMMYFUNCTION("""COMPUTED_VALUE"""),"Enhanced Autopilot")</f>
        <v>Enhanced Autopilot</v>
      </c>
      <c r="X1014" t="str">
        <f>IFERROR(__xludf.DUMMYFUNCTION("""COMPUTED_VALUE"""),"Excellent")</f>
        <v>Excellent</v>
      </c>
      <c r="Y1014" t="str">
        <f>IFERROR(__xludf.DUMMYFUNCTION("""COMPUTED_VALUE"""),"Excellent")</f>
        <v>Excellent</v>
      </c>
      <c r="Z1014" t="str">
        <f>IFERROR(__xludf.DUMMYFUNCTION("""COMPUTED_VALUE"""),"Excellent")</f>
        <v>Excellent</v>
      </c>
      <c r="AA1014" t="str">
        <f>IFERROR(__xludf.DUMMYFUNCTION("""COMPUTED_VALUE"""),"Very Good")</f>
        <v>Very Good</v>
      </c>
      <c r="AB1014" t="str">
        <f>IFERROR(__xludf.DUMMYFUNCTION("""COMPUTED_VALUE"""),"Very Good")</f>
        <v>Very Good</v>
      </c>
      <c r="AG1014" t="str">
        <f>IFERROR(__xludf.DUMMYFUNCTION("""COMPUTED_VALUE"""),"This is our 2nd Model 3 order, an AWD to go with our first. Took delivery of RWD on 8/18, a month after our original delivery date.")</f>
        <v>This is our 2nd Model 3 order, an AWD to go with our first. Took delivery of RWD on 8/18, a month after our original delivery date.</v>
      </c>
      <c r="AH1014" s="189">
        <f>IFERROR(__xludf.DUMMYFUNCTION("""COMPUTED_VALUE"""),43376.68286341435)</f>
        <v>43376.68286</v>
      </c>
    </row>
    <row r="1015">
      <c r="A1015" t="str">
        <f>IFERROR(__xludf.DUMMYFUNCTION("""COMPUTED_VALUE"""),"AFJAYMO")</f>
        <v>AFJAYMO</v>
      </c>
      <c r="B1015" t="str">
        <f>IFERROR(__xludf.DUMMYFUNCTION("""COMPUTED_VALUE"""),"Belpre")</f>
        <v>Belpre</v>
      </c>
      <c r="C1015" t="str">
        <f>IFERROR(__xludf.DUMMYFUNCTION("""COMPUTED_VALUE"""),"OH")</f>
        <v>OH</v>
      </c>
      <c r="D1015" t="str">
        <f>IFERROR(__xludf.DUMMYFUNCTION("""COMPUTED_VALUE"""),"USA")</f>
        <v>USA</v>
      </c>
      <c r="E1015" s="188">
        <f>IFERROR(__xludf.DUMMYFUNCTION("""COMPUTED_VALUE"""),43325.0)</f>
        <v>43325</v>
      </c>
      <c r="F1015" s="188">
        <f>IFERROR(__xludf.DUMMYFUNCTION("""COMPUTED_VALUE"""),43344.0)</f>
        <v>43344</v>
      </c>
      <c r="H1015">
        <f>IFERROR(__xludf.DUMMYFUNCTION("""COMPUTED_VALUE"""),101023.0)</f>
        <v>101023</v>
      </c>
      <c r="I1015" t="str">
        <f>IFERROR(__xludf.DUMMYFUNCTION("""COMPUTED_VALUE"""),"09/18")</f>
        <v>09/18</v>
      </c>
      <c r="J1015" s="5">
        <f>IFERROR(__xludf.DUMMYFUNCTION("""COMPUTED_VALUE"""),43372.0)</f>
        <v>43372</v>
      </c>
      <c r="K1015">
        <f>IFERROR(__xludf.DUMMYFUNCTION("""COMPUTED_VALUE"""),19.0)</f>
        <v>19</v>
      </c>
      <c r="L1015">
        <f>IFERROR(__xludf.DUMMYFUNCTION("""COMPUTED_VALUE"""),28.0)</f>
        <v>28</v>
      </c>
      <c r="M1015">
        <f>IFERROR(__xludf.DUMMYFUNCTION("""COMPUTED_VALUE"""),47.0)</f>
        <v>47</v>
      </c>
      <c r="N1015" t="str">
        <f>IFERROR(__xludf.DUMMYFUNCTION("""COMPUTED_VALUE"""),"Model 3 LR AWD")</f>
        <v>Model 3 LR AWD</v>
      </c>
      <c r="O1015" t="str">
        <f>IFERROR(__xludf.DUMMYFUNCTION("""COMPUTED_VALUE"""),"Deep Blue Metallic")</f>
        <v>Deep Blue Metallic</v>
      </c>
      <c r="P1015" t="str">
        <f>IFERROR(__xludf.DUMMYFUNCTION("""COMPUTED_VALUE"""),"19 inch Sport")</f>
        <v>19 inch Sport</v>
      </c>
      <c r="Q1015" t="str">
        <f>IFERROR(__xludf.DUMMYFUNCTION("""COMPUTED_VALUE"""),"White seats")</f>
        <v>White seats</v>
      </c>
      <c r="R1015" t="str">
        <f>IFERROR(__xludf.DUMMYFUNCTION("""COMPUTED_VALUE"""),"Enhanced Autopilot")</f>
        <v>Enhanced Autopilot</v>
      </c>
      <c r="X1015" t="str">
        <f>IFERROR(__xludf.DUMMYFUNCTION("""COMPUTED_VALUE"""),"Excellent")</f>
        <v>Excellent</v>
      </c>
      <c r="Y1015" t="str">
        <f>IFERROR(__xludf.DUMMYFUNCTION("""COMPUTED_VALUE"""),"Excellent")</f>
        <v>Excellent</v>
      </c>
      <c r="Z1015" t="str">
        <f>IFERROR(__xludf.DUMMYFUNCTION("""COMPUTED_VALUE"""),"Very Good")</f>
        <v>Very Good</v>
      </c>
      <c r="AA1015" t="str">
        <f>IFERROR(__xludf.DUMMYFUNCTION("""COMPUTED_VALUE"""),"Poor")</f>
        <v>Poor</v>
      </c>
      <c r="AB1015" t="str">
        <f>IFERROR(__xludf.DUMMYFUNCTION("""COMPUTED_VALUE"""),"Good")</f>
        <v>Good</v>
      </c>
      <c r="AG1015" t="str">
        <f>IFERROR(__xludf.DUMMYFUNCTION("""COMPUTED_VALUE"""),"My previous VIN was delivered to someone with an earlier reservation/scheduled delivery date. New VIN assigned at Delivery Center, wasn't matched with an existing customer. Got upgraded wheels and white interior for original configuration price!!!")</f>
        <v>My previous VIN was delivered to someone with an earlier reservation/scheduled delivery date. New VIN assigned at Delivery Center, wasn't matched with an existing customer. Got upgraded wheels and white interior for original configuration price!!!</v>
      </c>
      <c r="AH1015" s="189">
        <f>IFERROR(__xludf.DUMMYFUNCTION("""COMPUTED_VALUE"""),43376.73398821759)</f>
        <v>43376.73399</v>
      </c>
    </row>
    <row r="1016">
      <c r="A1016" t="str">
        <f>IFERROR(__xludf.DUMMYFUNCTION("""COMPUTED_VALUE"""),"Shmackers")</f>
        <v>Shmackers</v>
      </c>
      <c r="B1016" t="str">
        <f>IFERROR(__xludf.DUMMYFUNCTION("""COMPUTED_VALUE"""),"Carmel")</f>
        <v>Carmel</v>
      </c>
      <c r="C1016" t="str">
        <f>IFERROR(__xludf.DUMMYFUNCTION("""COMPUTED_VALUE"""),"IN")</f>
        <v>IN</v>
      </c>
      <c r="D1016" t="str">
        <f>IFERROR(__xludf.DUMMYFUNCTION("""COMPUTED_VALUE"""),"USA")</f>
        <v>USA</v>
      </c>
      <c r="E1016" s="188">
        <f>IFERROR(__xludf.DUMMYFUNCTION("""COMPUTED_VALUE"""),43278.0)</f>
        <v>43278</v>
      </c>
      <c r="F1016" s="188">
        <f>IFERROR(__xludf.DUMMYFUNCTION("""COMPUTED_VALUE"""),43371.0)</f>
        <v>43371</v>
      </c>
      <c r="H1016">
        <f>IFERROR(__xludf.DUMMYFUNCTION("""COMPUTED_VALUE"""),66655.0)</f>
        <v>66655</v>
      </c>
      <c r="J1016" s="5">
        <f>IFERROR(__xludf.DUMMYFUNCTION("""COMPUTED_VALUE"""),43372.0)</f>
        <v>43372</v>
      </c>
      <c r="K1016">
        <f>IFERROR(__xludf.DUMMYFUNCTION("""COMPUTED_VALUE"""),93.0)</f>
        <v>93</v>
      </c>
      <c r="L1016">
        <f>IFERROR(__xludf.DUMMYFUNCTION("""COMPUTED_VALUE"""),1.0)</f>
        <v>1</v>
      </c>
      <c r="M1016">
        <f>IFERROR(__xludf.DUMMYFUNCTION("""COMPUTED_VALUE"""),94.0)</f>
        <v>94</v>
      </c>
      <c r="N1016" t="str">
        <f>IFERROR(__xludf.DUMMYFUNCTION("""COMPUTED_VALUE"""),"Model 3 LR AWD")</f>
        <v>Model 3 LR AWD</v>
      </c>
      <c r="O1016" t="str">
        <f>IFERROR(__xludf.DUMMYFUNCTION("""COMPUTED_VALUE"""),"Midnight Silver Metallic")</f>
        <v>Midnight Silver Metallic</v>
      </c>
      <c r="P1016" t="str">
        <f>IFERROR(__xludf.DUMMYFUNCTION("""COMPUTED_VALUE"""),"18 inch Aero")</f>
        <v>18 inch Aero</v>
      </c>
      <c r="Q1016" t="str">
        <f>IFERROR(__xludf.DUMMYFUNCTION("""COMPUTED_VALUE"""),"Black seats")</f>
        <v>Black seats</v>
      </c>
      <c r="R1016" t="str">
        <f>IFERROR(__xludf.DUMMYFUNCTION("""COMPUTED_VALUE"""),"Full Self-Driving")</f>
        <v>Full Self-Driving</v>
      </c>
      <c r="X1016" t="str">
        <f>IFERROR(__xludf.DUMMYFUNCTION("""COMPUTED_VALUE"""),"Excellent")</f>
        <v>Excellent</v>
      </c>
      <c r="Y1016" t="str">
        <f>IFERROR(__xludf.DUMMYFUNCTION("""COMPUTED_VALUE"""),"Excellent")</f>
        <v>Excellent</v>
      </c>
      <c r="Z1016" t="str">
        <f>IFERROR(__xludf.DUMMYFUNCTION("""COMPUTED_VALUE"""),"Excellent")</f>
        <v>Excellent</v>
      </c>
      <c r="AA1016" t="str">
        <f>IFERROR(__xludf.DUMMYFUNCTION("""COMPUTED_VALUE"""),"Fair")</f>
        <v>Fair</v>
      </c>
      <c r="AB1016" t="str">
        <f>IFERROR(__xludf.DUMMYFUNCTION("""COMPUTED_VALUE"""),"Excellent")</f>
        <v>Excellent</v>
      </c>
      <c r="AC1016">
        <f>IFERROR(__xludf.DUMMYFUNCTION("""COMPUTED_VALUE"""),0.0)</f>
        <v>0</v>
      </c>
      <c r="AD1016">
        <f>IFERROR(__xludf.DUMMYFUNCTION("""COMPUTED_VALUE"""),0.0)</f>
        <v>0</v>
      </c>
      <c r="AE1016">
        <f>IFERROR(__xludf.DUMMYFUNCTION("""COMPUTED_VALUE"""),0.0)</f>
        <v>0</v>
      </c>
      <c r="AH1016" s="189">
        <f>IFERROR(__xludf.DUMMYFUNCTION("""COMPUTED_VALUE"""),43376.74772796297)</f>
        <v>43376.74773</v>
      </c>
    </row>
    <row r="1017">
      <c r="A1017" t="str">
        <f>IFERROR(__xludf.DUMMYFUNCTION("""COMPUTED_VALUE"""),"luckyy")</f>
        <v>luckyy</v>
      </c>
      <c r="B1017" t="str">
        <f>IFERROR(__xludf.DUMMYFUNCTION("""COMPUTED_VALUE"""),"Champlain Valley")</f>
        <v>Champlain Valley</v>
      </c>
      <c r="C1017" t="str">
        <f>IFERROR(__xludf.DUMMYFUNCTION("""COMPUTED_VALUE"""),"VT")</f>
        <v>VT</v>
      </c>
      <c r="D1017" t="str">
        <f>IFERROR(__xludf.DUMMYFUNCTION("""COMPUTED_VALUE"""),"USA")</f>
        <v>USA</v>
      </c>
      <c r="E1017" s="188">
        <f>IFERROR(__xludf.DUMMYFUNCTION("""COMPUTED_VALUE"""),43280.0)</f>
        <v>43280</v>
      </c>
      <c r="F1017" s="188">
        <f>IFERROR(__xludf.DUMMYFUNCTION("""COMPUTED_VALUE"""),43350.0)</f>
        <v>43350</v>
      </c>
      <c r="H1017">
        <f>IFERROR(__xludf.DUMMYFUNCTION("""COMPUTED_VALUE"""),66355.0)</f>
        <v>66355</v>
      </c>
      <c r="I1017" t="str">
        <f>IFERROR(__xludf.DUMMYFUNCTION("""COMPUTED_VALUE"""),"08/18")</f>
        <v>08/18</v>
      </c>
      <c r="J1017" s="5">
        <f>IFERROR(__xludf.DUMMYFUNCTION("""COMPUTED_VALUE"""),43373.0)</f>
        <v>43373</v>
      </c>
      <c r="K1017">
        <f>IFERROR(__xludf.DUMMYFUNCTION("""COMPUTED_VALUE"""),70.0)</f>
        <v>70</v>
      </c>
      <c r="L1017">
        <f>IFERROR(__xludf.DUMMYFUNCTION("""COMPUTED_VALUE"""),23.0)</f>
        <v>23</v>
      </c>
      <c r="M1017">
        <f>IFERROR(__xludf.DUMMYFUNCTION("""COMPUTED_VALUE"""),93.0)</f>
        <v>93</v>
      </c>
      <c r="N1017" t="str">
        <f>IFERROR(__xludf.DUMMYFUNCTION("""COMPUTED_VALUE"""),"Model 3 LR AWD")</f>
        <v>Model 3 LR AWD</v>
      </c>
      <c r="O1017" t="str">
        <f>IFERROR(__xludf.DUMMYFUNCTION("""COMPUTED_VALUE"""),"Midnight Silver Metallic")</f>
        <v>Midnight Silver Metallic</v>
      </c>
      <c r="P1017" t="str">
        <f>IFERROR(__xludf.DUMMYFUNCTION("""COMPUTED_VALUE"""),"18 inch Aero")</f>
        <v>18 inch Aero</v>
      </c>
      <c r="Q1017" t="str">
        <f>IFERROR(__xludf.DUMMYFUNCTION("""COMPUTED_VALUE"""),"Black seats")</f>
        <v>Black seats</v>
      </c>
      <c r="R1017" t="str">
        <f>IFERROR(__xludf.DUMMYFUNCTION("""COMPUTED_VALUE"""),"Enhanced Autopilot")</f>
        <v>Enhanced Autopilot</v>
      </c>
      <c r="X1017" t="str">
        <f>IFERROR(__xludf.DUMMYFUNCTION("""COMPUTED_VALUE"""),"Excellent")</f>
        <v>Excellent</v>
      </c>
      <c r="Y1017" t="str">
        <f>IFERROR(__xludf.DUMMYFUNCTION("""COMPUTED_VALUE"""),"Excellent")</f>
        <v>Excellent</v>
      </c>
      <c r="Z1017" t="str">
        <f>IFERROR(__xludf.DUMMYFUNCTION("""COMPUTED_VALUE"""),"Very Good")</f>
        <v>Very Good</v>
      </c>
      <c r="AA1017" t="str">
        <f>IFERROR(__xludf.DUMMYFUNCTION("""COMPUTED_VALUE"""),"Good")</f>
        <v>Good</v>
      </c>
      <c r="AB1017" t="str">
        <f>IFERROR(__xludf.DUMMYFUNCTION("""COMPUTED_VALUE"""),"Fair")</f>
        <v>Fair</v>
      </c>
      <c r="AH1017" s="189">
        <f>IFERROR(__xludf.DUMMYFUNCTION("""COMPUTED_VALUE"""),43376.816747476856)</f>
        <v>43376.81675</v>
      </c>
    </row>
    <row r="1018">
      <c r="A1018" t="str">
        <f>IFERROR(__xludf.DUMMYFUNCTION("""COMPUTED_VALUE"""),"snazz")</f>
        <v>snazz</v>
      </c>
      <c r="B1018" t="str">
        <f>IFERROR(__xludf.DUMMYFUNCTION("""COMPUTED_VALUE"""),"Bothell")</f>
        <v>Bothell</v>
      </c>
      <c r="C1018" t="str">
        <f>IFERROR(__xludf.DUMMYFUNCTION("""COMPUTED_VALUE"""),"WA")</f>
        <v>WA</v>
      </c>
      <c r="D1018" t="str">
        <f>IFERROR(__xludf.DUMMYFUNCTION("""COMPUTED_VALUE"""),"USA")</f>
        <v>USA</v>
      </c>
      <c r="E1018" s="188">
        <f>IFERROR(__xludf.DUMMYFUNCTION("""COMPUTED_VALUE"""),43279.0)</f>
        <v>43279</v>
      </c>
      <c r="F1018" s="188">
        <f>IFERROR(__xludf.DUMMYFUNCTION("""COMPUTED_VALUE"""),43363.0)</f>
        <v>43363</v>
      </c>
      <c r="H1018">
        <f>IFERROR(__xludf.DUMMYFUNCTION("""COMPUTED_VALUE"""),91455.0)</f>
        <v>91455</v>
      </c>
      <c r="J1018" s="5">
        <f>IFERROR(__xludf.DUMMYFUNCTION("""COMPUTED_VALUE"""),43373.0)</f>
        <v>43373</v>
      </c>
      <c r="K1018">
        <f>IFERROR(__xludf.DUMMYFUNCTION("""COMPUTED_VALUE"""),84.0)</f>
        <v>84</v>
      </c>
      <c r="L1018">
        <f>IFERROR(__xludf.DUMMYFUNCTION("""COMPUTED_VALUE"""),10.0)</f>
        <v>10</v>
      </c>
      <c r="M1018">
        <f>IFERROR(__xludf.DUMMYFUNCTION("""COMPUTED_VALUE"""),94.0)</f>
        <v>94</v>
      </c>
      <c r="N1018" t="str">
        <f>IFERROR(__xludf.DUMMYFUNCTION("""COMPUTED_VALUE"""),"Model 3 LR AWD")</f>
        <v>Model 3 LR AWD</v>
      </c>
      <c r="O1018" t="str">
        <f>IFERROR(__xludf.DUMMYFUNCTION("""COMPUTED_VALUE"""),"Red Multi-Coat")</f>
        <v>Red Multi-Coat</v>
      </c>
      <c r="P1018" t="str">
        <f>IFERROR(__xludf.DUMMYFUNCTION("""COMPUTED_VALUE"""),"19 inch Sport")</f>
        <v>19 inch Sport</v>
      </c>
      <c r="Q1018" t="str">
        <f>IFERROR(__xludf.DUMMYFUNCTION("""COMPUTED_VALUE"""),"Black seats")</f>
        <v>Black seats</v>
      </c>
      <c r="R1018" t="str">
        <f>IFERROR(__xludf.DUMMYFUNCTION("""COMPUTED_VALUE"""),"Enhanced Autopilot")</f>
        <v>Enhanced Autopilot</v>
      </c>
      <c r="X1018" t="str">
        <f>IFERROR(__xludf.DUMMYFUNCTION("""COMPUTED_VALUE"""),"Excellent")</f>
        <v>Excellent</v>
      </c>
      <c r="Y1018" t="str">
        <f>IFERROR(__xludf.DUMMYFUNCTION("""COMPUTED_VALUE"""),"Excellent")</f>
        <v>Excellent</v>
      </c>
      <c r="Z1018" t="str">
        <f>IFERROR(__xludf.DUMMYFUNCTION("""COMPUTED_VALUE"""),"Excellent")</f>
        <v>Excellent</v>
      </c>
      <c r="AA1018" t="str">
        <f>IFERROR(__xludf.DUMMYFUNCTION("""COMPUTED_VALUE"""),"Fair")</f>
        <v>Fair</v>
      </c>
      <c r="AB1018" t="str">
        <f>IFERROR(__xludf.DUMMYFUNCTION("""COMPUTED_VALUE"""),"Good")</f>
        <v>Good</v>
      </c>
      <c r="AH1018" s="189">
        <f>IFERROR(__xludf.DUMMYFUNCTION("""COMPUTED_VALUE"""),43377.00903862268)</f>
        <v>43377.00904</v>
      </c>
    </row>
    <row r="1019">
      <c r="A1019" t="str">
        <f>IFERROR(__xludf.DUMMYFUNCTION("""COMPUTED_VALUE"""),"dantidote ")</f>
        <v>dantidote </v>
      </c>
      <c r="C1019" t="str">
        <f>IFERROR(__xludf.DUMMYFUNCTION("""COMPUTED_VALUE"""),"MI")</f>
        <v>MI</v>
      </c>
      <c r="D1019" t="str">
        <f>IFERROR(__xludf.DUMMYFUNCTION("""COMPUTED_VALUE"""),"USA")</f>
        <v>USA</v>
      </c>
      <c r="E1019" s="188">
        <f>IFERROR(__xludf.DUMMYFUNCTION("""COMPUTED_VALUE"""),43281.0)</f>
        <v>43281</v>
      </c>
      <c r="F1019" s="188">
        <f>IFERROR(__xludf.DUMMYFUNCTION("""COMPUTED_VALUE"""),43360.0)</f>
        <v>43360</v>
      </c>
      <c r="H1019">
        <f>IFERROR(__xludf.DUMMYFUNCTION("""COMPUTED_VALUE"""),89055.0)</f>
        <v>89055</v>
      </c>
      <c r="I1019" t="str">
        <f>IFERROR(__xludf.DUMMYFUNCTION("""COMPUTED_VALUE"""),"09/18")</f>
        <v>09/18</v>
      </c>
      <c r="J1019" s="5">
        <f>IFERROR(__xludf.DUMMYFUNCTION("""COMPUTED_VALUE"""),43373.0)</f>
        <v>43373</v>
      </c>
      <c r="K1019">
        <f>IFERROR(__xludf.DUMMYFUNCTION("""COMPUTED_VALUE"""),79.0)</f>
        <v>79</v>
      </c>
      <c r="L1019">
        <f>IFERROR(__xludf.DUMMYFUNCTION("""COMPUTED_VALUE"""),13.0)</f>
        <v>13</v>
      </c>
      <c r="M1019">
        <f>IFERROR(__xludf.DUMMYFUNCTION("""COMPUTED_VALUE"""),92.0)</f>
        <v>92</v>
      </c>
      <c r="N1019" t="str">
        <f>IFERROR(__xludf.DUMMYFUNCTION("""COMPUTED_VALUE"""),"Model 3 LR AWD")</f>
        <v>Model 3 LR AWD</v>
      </c>
      <c r="O1019" t="str">
        <f>IFERROR(__xludf.DUMMYFUNCTION("""COMPUTED_VALUE"""),"Pearl White Multi-Coat")</f>
        <v>Pearl White Multi-Coat</v>
      </c>
      <c r="P1019" t="str">
        <f>IFERROR(__xludf.DUMMYFUNCTION("""COMPUTED_VALUE"""),"19 inch Sport")</f>
        <v>19 inch Sport</v>
      </c>
      <c r="Q1019" t="str">
        <f>IFERROR(__xludf.DUMMYFUNCTION("""COMPUTED_VALUE"""),"Black seats")</f>
        <v>Black seats</v>
      </c>
      <c r="R1019" t="str">
        <f>IFERROR(__xludf.DUMMYFUNCTION("""COMPUTED_VALUE"""),"Enhanced Autopilot")</f>
        <v>Enhanced Autopilot</v>
      </c>
      <c r="X1019" t="str">
        <f>IFERROR(__xludf.DUMMYFUNCTION("""COMPUTED_VALUE"""),"Excellent")</f>
        <v>Excellent</v>
      </c>
      <c r="Y1019" t="str">
        <f>IFERROR(__xludf.DUMMYFUNCTION("""COMPUTED_VALUE"""),"Excellent")</f>
        <v>Excellent</v>
      </c>
      <c r="Z1019" t="str">
        <f>IFERROR(__xludf.DUMMYFUNCTION("""COMPUTED_VALUE"""),"Excellent")</f>
        <v>Excellent</v>
      </c>
      <c r="AA1019" t="str">
        <f>IFERROR(__xludf.DUMMYFUNCTION("""COMPUTED_VALUE"""),"Fair")</f>
        <v>Fair</v>
      </c>
      <c r="AB1019" t="str">
        <f>IFERROR(__xludf.DUMMYFUNCTION("""COMPUTED_VALUE"""),"Excellent")</f>
        <v>Excellent</v>
      </c>
      <c r="AG1019" t="str">
        <f>IFERROR(__xludf.DUMMYFUNCTION("""COMPUTED_VALUE"""),"Originally scheduled for 9/18, Tesla delayed to 9/25, then 9/30")</f>
        <v>Originally scheduled for 9/18, Tesla delayed to 9/25, then 9/30</v>
      </c>
      <c r="AH1019" s="189">
        <f>IFERROR(__xludf.DUMMYFUNCTION("""COMPUTED_VALUE"""),43377.22103377315)</f>
        <v>43377.22103</v>
      </c>
    </row>
    <row r="1020">
      <c r="A1020" t="str">
        <f>IFERROR(__xludf.DUMMYFUNCTION("""COMPUTED_VALUE"""),"coltsdude")</f>
        <v>coltsdude</v>
      </c>
      <c r="B1020" t="str">
        <f>IFERROR(__xludf.DUMMYFUNCTION("""COMPUTED_VALUE"""),"Fishers")</f>
        <v>Fishers</v>
      </c>
      <c r="C1020" t="str">
        <f>IFERROR(__xludf.DUMMYFUNCTION("""COMPUTED_VALUE"""),"IN")</f>
        <v>IN</v>
      </c>
      <c r="D1020" t="str">
        <f>IFERROR(__xludf.DUMMYFUNCTION("""COMPUTED_VALUE"""),"USA")</f>
        <v>USA</v>
      </c>
      <c r="E1020" s="188">
        <f>IFERROR(__xludf.DUMMYFUNCTION("""COMPUTED_VALUE"""),43301.0)</f>
        <v>43301</v>
      </c>
      <c r="H1020">
        <f>IFERROR(__xludf.DUMMYFUNCTION("""COMPUTED_VALUE"""),87455.0)</f>
        <v>87455</v>
      </c>
      <c r="J1020" s="5">
        <f>IFERROR(__xludf.DUMMYFUNCTION("""COMPUTED_VALUE"""),43378.0)</f>
        <v>43378</v>
      </c>
      <c r="M1020">
        <f>IFERROR(__xludf.DUMMYFUNCTION("""COMPUTED_VALUE"""),77.0)</f>
        <v>77</v>
      </c>
      <c r="N1020" t="str">
        <f>IFERROR(__xludf.DUMMYFUNCTION("""COMPUTED_VALUE"""),"Model 3 LR AWD")</f>
        <v>Model 3 LR AWD</v>
      </c>
      <c r="O1020" t="str">
        <f>IFERROR(__xludf.DUMMYFUNCTION("""COMPUTED_VALUE"""),"Midnight Silver Metallic")</f>
        <v>Midnight Silver Metallic</v>
      </c>
      <c r="P1020" t="str">
        <f>IFERROR(__xludf.DUMMYFUNCTION("""COMPUTED_VALUE"""),"19 inch Sport")</f>
        <v>19 inch Sport</v>
      </c>
      <c r="Q1020" t="str">
        <f>IFERROR(__xludf.DUMMYFUNCTION("""COMPUTED_VALUE"""),"Black seats")</f>
        <v>Black seats</v>
      </c>
      <c r="R1020" t="str">
        <f>IFERROR(__xludf.DUMMYFUNCTION("""COMPUTED_VALUE"""),"Full Self-Driving")</f>
        <v>Full Self-Driving</v>
      </c>
      <c r="AA1020" t="str">
        <f>IFERROR(__xludf.DUMMYFUNCTION("""COMPUTED_VALUE"""),"Excellent")</f>
        <v>Excellent</v>
      </c>
      <c r="AH1020" s="189">
        <f>IFERROR(__xludf.DUMMYFUNCTION("""COMPUTED_VALUE"""),43377.33241849537)</f>
        <v>43377.33242</v>
      </c>
    </row>
    <row r="1021">
      <c r="A1021" t="str">
        <f>IFERROR(__xludf.DUMMYFUNCTION("""COMPUTED_VALUE"""),"setheryb")</f>
        <v>setheryb</v>
      </c>
      <c r="B1021" t="str">
        <f>IFERROR(__xludf.DUMMYFUNCTION("""COMPUTED_VALUE"""),"Pasco")</f>
        <v>Pasco</v>
      </c>
      <c r="C1021" t="str">
        <f>IFERROR(__xludf.DUMMYFUNCTION("""COMPUTED_VALUE"""),"WA")</f>
        <v>WA</v>
      </c>
      <c r="D1021" t="str">
        <f>IFERROR(__xludf.DUMMYFUNCTION("""COMPUTED_VALUE"""),"USA")</f>
        <v>USA</v>
      </c>
      <c r="E1021" s="188">
        <f>IFERROR(__xludf.DUMMYFUNCTION("""COMPUTED_VALUE"""),43278.0)</f>
        <v>43278</v>
      </c>
      <c r="F1021" s="188">
        <f>IFERROR(__xludf.DUMMYFUNCTION("""COMPUTED_VALUE"""),43370.0)</f>
        <v>43370</v>
      </c>
      <c r="H1021">
        <f>IFERROR(__xludf.DUMMYFUNCTION("""COMPUTED_VALUE"""),84955.0)</f>
        <v>84955</v>
      </c>
      <c r="I1021" t="str">
        <f>IFERROR(__xludf.DUMMYFUNCTION("""COMPUTED_VALUE"""),"09/18")</f>
        <v>09/18</v>
      </c>
      <c r="J1021" s="5">
        <f>IFERROR(__xludf.DUMMYFUNCTION("""COMPUTED_VALUE"""),43373.0)</f>
        <v>43373</v>
      </c>
      <c r="K1021">
        <f>IFERROR(__xludf.DUMMYFUNCTION("""COMPUTED_VALUE"""),92.0)</f>
        <v>92</v>
      </c>
      <c r="L1021">
        <f>IFERROR(__xludf.DUMMYFUNCTION("""COMPUTED_VALUE"""),3.0)</f>
        <v>3</v>
      </c>
      <c r="M1021">
        <f>IFERROR(__xludf.DUMMYFUNCTION("""COMPUTED_VALUE"""),95.0)</f>
        <v>95</v>
      </c>
      <c r="N1021" t="str">
        <f>IFERROR(__xludf.DUMMYFUNCTION("""COMPUTED_VALUE"""),"Model 3 LR AWD")</f>
        <v>Model 3 LR AWD</v>
      </c>
      <c r="O1021" t="str">
        <f>IFERROR(__xludf.DUMMYFUNCTION("""COMPUTED_VALUE"""),"Red Multi-Coat")</f>
        <v>Red Multi-Coat</v>
      </c>
      <c r="P1021" t="str">
        <f>IFERROR(__xludf.DUMMYFUNCTION("""COMPUTED_VALUE"""),"18 inch Aero")</f>
        <v>18 inch Aero</v>
      </c>
      <c r="Q1021" t="str">
        <f>IFERROR(__xludf.DUMMYFUNCTION("""COMPUTED_VALUE"""),"Black seats")</f>
        <v>Black seats</v>
      </c>
      <c r="R1021" t="str">
        <f>IFERROR(__xludf.DUMMYFUNCTION("""COMPUTED_VALUE"""),"None")</f>
        <v>None</v>
      </c>
      <c r="X1021" t="str">
        <f>IFERROR(__xludf.DUMMYFUNCTION("""COMPUTED_VALUE"""),"Very Good")</f>
        <v>Very Good</v>
      </c>
      <c r="Y1021" t="str">
        <f>IFERROR(__xludf.DUMMYFUNCTION("""COMPUTED_VALUE"""),"Excellent")</f>
        <v>Excellent</v>
      </c>
      <c r="Z1021" t="str">
        <f>IFERROR(__xludf.DUMMYFUNCTION("""COMPUTED_VALUE"""),"Very Good")</f>
        <v>Very Good</v>
      </c>
      <c r="AA1021" t="str">
        <f>IFERROR(__xludf.DUMMYFUNCTION("""COMPUTED_VALUE"""),"Fair")</f>
        <v>Fair</v>
      </c>
      <c r="AB1021" t="str">
        <f>IFERROR(__xludf.DUMMYFUNCTION("""COMPUTED_VALUE"""),"Very Good")</f>
        <v>Very Good</v>
      </c>
      <c r="AH1021" s="189">
        <f>IFERROR(__xludf.DUMMYFUNCTION("""COMPUTED_VALUE"""),43377.37773391204)</f>
        <v>43377.37773</v>
      </c>
    </row>
    <row r="1022">
      <c r="A1022" t="str">
        <f>IFERROR(__xludf.DUMMYFUNCTION("""COMPUTED_VALUE"""),"sheldon.mike")</f>
        <v>sheldon.mike</v>
      </c>
      <c r="C1022" t="str">
        <f>IFERROR(__xludf.DUMMYFUNCTION("""COMPUTED_VALUE"""),"CA")</f>
        <v>CA</v>
      </c>
      <c r="D1022" t="str">
        <f>IFERROR(__xludf.DUMMYFUNCTION("""COMPUTED_VALUE"""),"USA")</f>
        <v>USA</v>
      </c>
      <c r="E1022" s="188">
        <f>IFERROR(__xludf.DUMMYFUNCTION("""COMPUTED_VALUE"""),43325.0)</f>
        <v>43325</v>
      </c>
      <c r="F1022" s="188">
        <f>IFERROR(__xludf.DUMMYFUNCTION("""COMPUTED_VALUE"""),43367.0)</f>
        <v>43367</v>
      </c>
      <c r="H1022">
        <f>IFERROR(__xludf.DUMMYFUNCTION("""COMPUTED_VALUE"""),90355.0)</f>
        <v>90355</v>
      </c>
      <c r="I1022" t="str">
        <f>IFERROR(__xludf.DUMMYFUNCTION("""COMPUTED_VALUE"""),"09/18")</f>
        <v>09/18</v>
      </c>
      <c r="J1022" s="5">
        <f>IFERROR(__xludf.DUMMYFUNCTION("""COMPUTED_VALUE"""),43373.0)</f>
        <v>43373</v>
      </c>
      <c r="K1022">
        <f>IFERROR(__xludf.DUMMYFUNCTION("""COMPUTED_VALUE"""),42.0)</f>
        <v>42</v>
      </c>
      <c r="L1022">
        <f>IFERROR(__xludf.DUMMYFUNCTION("""COMPUTED_VALUE"""),6.0)</f>
        <v>6</v>
      </c>
      <c r="M1022">
        <f>IFERROR(__xludf.DUMMYFUNCTION("""COMPUTED_VALUE"""),48.0)</f>
        <v>48</v>
      </c>
      <c r="N1022" t="str">
        <f>IFERROR(__xludf.DUMMYFUNCTION("""COMPUTED_VALUE"""),"Model 3 Performance")</f>
        <v>Model 3 Performance</v>
      </c>
      <c r="O1022" t="str">
        <f>IFERROR(__xludf.DUMMYFUNCTION("""COMPUTED_VALUE"""),"Pearl White Multi-Coat")</f>
        <v>Pearl White Multi-Coat</v>
      </c>
      <c r="P1022" t="str">
        <f>IFERROR(__xludf.DUMMYFUNCTION("""COMPUTED_VALUE"""),"18 inch Aero")</f>
        <v>18 inch Aero</v>
      </c>
      <c r="Q1022" t="str">
        <f>IFERROR(__xludf.DUMMYFUNCTION("""COMPUTED_VALUE"""),"Black seats")</f>
        <v>Black seats</v>
      </c>
      <c r="R1022" t="str">
        <f>IFERROR(__xludf.DUMMYFUNCTION("""COMPUTED_VALUE"""),"Full Self-Driving")</f>
        <v>Full Self-Driving</v>
      </c>
      <c r="X1022" t="str">
        <f>IFERROR(__xludf.DUMMYFUNCTION("""COMPUTED_VALUE"""),"Excellent")</f>
        <v>Excellent</v>
      </c>
      <c r="Y1022" t="str">
        <f>IFERROR(__xludf.DUMMYFUNCTION("""COMPUTED_VALUE"""),"Excellent")</f>
        <v>Excellent</v>
      </c>
      <c r="Z1022" t="str">
        <f>IFERROR(__xludf.DUMMYFUNCTION("""COMPUTED_VALUE"""),"Excellent")</f>
        <v>Excellent</v>
      </c>
      <c r="AA1022" t="str">
        <f>IFERROR(__xludf.DUMMYFUNCTION("""COMPUTED_VALUE"""),"Excellent")</f>
        <v>Excellent</v>
      </c>
      <c r="AB1022" t="str">
        <f>IFERROR(__xludf.DUMMYFUNCTION("""COMPUTED_VALUE"""),"Excellent")</f>
        <v>Excellent</v>
      </c>
      <c r="AG1022" t="str">
        <f>IFERROR(__xludf.DUMMYFUNCTION("""COMPUTED_VALUE"""),"Paint, panel alignment, interior, all perfect at delivery.")</f>
        <v>Paint, panel alignment, interior, all perfect at delivery.</v>
      </c>
      <c r="AH1022" s="189">
        <f>IFERROR(__xludf.DUMMYFUNCTION("""COMPUTED_VALUE"""),43377.398592743055)</f>
        <v>43377.39859</v>
      </c>
    </row>
    <row r="1023">
      <c r="A1023" t="str">
        <f>IFERROR(__xludf.DUMMYFUNCTION("""COMPUTED_VALUE"""),"redblotch83")</f>
        <v>redblotch83</v>
      </c>
      <c r="B1023" t="str">
        <f>IFERROR(__xludf.DUMMYFUNCTION("""COMPUTED_VALUE"""),"Los Angeles")</f>
        <v>Los Angeles</v>
      </c>
      <c r="C1023" t="str">
        <f>IFERROR(__xludf.DUMMYFUNCTION("""COMPUTED_VALUE"""),"CA")</f>
        <v>CA</v>
      </c>
      <c r="D1023" t="str">
        <f>IFERROR(__xludf.DUMMYFUNCTION("""COMPUTED_VALUE"""),"USA")</f>
        <v>USA</v>
      </c>
      <c r="E1023" s="188">
        <f>IFERROR(__xludf.DUMMYFUNCTION("""COMPUTED_VALUE"""),43281.0)</f>
        <v>43281</v>
      </c>
      <c r="F1023" s="188">
        <f>IFERROR(__xludf.DUMMYFUNCTION("""COMPUTED_VALUE"""),43325.0)</f>
        <v>43325</v>
      </c>
      <c r="H1023">
        <f>IFERROR(__xludf.DUMMYFUNCTION("""COMPUTED_VALUE"""),69055.0)</f>
        <v>69055</v>
      </c>
      <c r="I1023" t="str">
        <f>IFERROR(__xludf.DUMMYFUNCTION("""COMPUTED_VALUE"""),"08/18")</f>
        <v>08/18</v>
      </c>
      <c r="J1023" s="5">
        <f>IFERROR(__xludf.DUMMYFUNCTION("""COMPUTED_VALUE"""),43335.0)</f>
        <v>43335</v>
      </c>
      <c r="K1023">
        <f>IFERROR(__xludf.DUMMYFUNCTION("""COMPUTED_VALUE"""),44.0)</f>
        <v>44</v>
      </c>
      <c r="L1023">
        <f>IFERROR(__xludf.DUMMYFUNCTION("""COMPUTED_VALUE"""),10.0)</f>
        <v>10</v>
      </c>
      <c r="M1023">
        <f>IFERROR(__xludf.DUMMYFUNCTION("""COMPUTED_VALUE"""),54.0)</f>
        <v>54</v>
      </c>
      <c r="N1023" t="str">
        <f>IFERROR(__xludf.DUMMYFUNCTION("""COMPUTED_VALUE"""),"Model 3 LR AWD")</f>
        <v>Model 3 LR AWD</v>
      </c>
      <c r="O1023" t="str">
        <f>IFERROR(__xludf.DUMMYFUNCTION("""COMPUTED_VALUE"""),"Midnight Silver Metallic")</f>
        <v>Midnight Silver Metallic</v>
      </c>
      <c r="P1023" t="str">
        <f>IFERROR(__xludf.DUMMYFUNCTION("""COMPUTED_VALUE"""),"19 inch Sport")</f>
        <v>19 inch Sport</v>
      </c>
      <c r="Q1023" t="str">
        <f>IFERROR(__xludf.DUMMYFUNCTION("""COMPUTED_VALUE"""),"Black seats")</f>
        <v>Black seats</v>
      </c>
      <c r="R1023" t="str">
        <f>IFERROR(__xludf.DUMMYFUNCTION("""COMPUTED_VALUE"""),"Enhanced Autopilot")</f>
        <v>Enhanced Autopilot</v>
      </c>
      <c r="X1023" t="str">
        <f>IFERROR(__xludf.DUMMYFUNCTION("""COMPUTED_VALUE"""),"Excellent")</f>
        <v>Excellent</v>
      </c>
      <c r="Y1023" t="str">
        <f>IFERROR(__xludf.DUMMYFUNCTION("""COMPUTED_VALUE"""),"Excellent")</f>
        <v>Excellent</v>
      </c>
      <c r="Z1023" t="str">
        <f>IFERROR(__xludf.DUMMYFUNCTION("""COMPUTED_VALUE"""),"Very Good")</f>
        <v>Very Good</v>
      </c>
      <c r="AA1023" t="str">
        <f>IFERROR(__xludf.DUMMYFUNCTION("""COMPUTED_VALUE"""),"Very Good")</f>
        <v>Very Good</v>
      </c>
      <c r="AB1023" t="str">
        <f>IFERROR(__xludf.DUMMYFUNCTION("""COMPUTED_VALUE"""),"Excellent")</f>
        <v>Excellent</v>
      </c>
      <c r="AC1023">
        <f>IFERROR(__xludf.DUMMYFUNCTION("""COMPUTED_VALUE"""),3.0)</f>
        <v>3</v>
      </c>
      <c r="AD1023">
        <f>IFERROR(__xludf.DUMMYFUNCTION("""COMPUTED_VALUE"""),1.0)</f>
        <v>1</v>
      </c>
      <c r="AE1023">
        <f>IFERROR(__xludf.DUMMYFUNCTION("""COMPUTED_VALUE"""),15.0)</f>
        <v>15</v>
      </c>
      <c r="AG1023" t="str">
        <f>IFERROR(__xludf.DUMMYFUNCTION("""COMPUTED_VALUE"""),"I took my Model 3 into service for 3 small issues.  1. A small chip that was present on delivery. 2. My turn signal was malfunctioning. 3. My passenger side fog light had popped out of the front bumper housing.  My local servie center was slammed, so they"&amp;" kept my car for 15 days.  I don't think they were even able to start addressing the issues with my vehicle until a few days after I had dropped it off.  But, they provided me with a loaner (S 75D), so I don't really have anything to complain about. ")</f>
        <v>I took my Model 3 into service for 3 small issues.  1. A small chip that was present on delivery. 2. My turn signal was malfunctioning. 3. My passenger side fog light had popped out of the front bumper housing.  My local servie center was slammed, so they kept my car for 15 days.  I don't think they were even able to start addressing the issues with my vehicle until a few days after I had dropped it off.  But, they provided me with a loaner (S 75D), so I don't really have anything to complain about. </v>
      </c>
      <c r="AH1023" s="189">
        <f>IFERROR(__xludf.DUMMYFUNCTION("""COMPUTED_VALUE"""),43377.406342118054)</f>
        <v>43377.40634</v>
      </c>
    </row>
    <row r="1024">
      <c r="A1024" t="str">
        <f>IFERROR(__xludf.DUMMYFUNCTION("""COMPUTED_VALUE"""),"MrStabby")</f>
        <v>MrStabby</v>
      </c>
      <c r="B1024" t="str">
        <f>IFERROR(__xludf.DUMMYFUNCTION("""COMPUTED_VALUE"""),"Pittsburgh")</f>
        <v>Pittsburgh</v>
      </c>
      <c r="C1024" t="str">
        <f>IFERROR(__xludf.DUMMYFUNCTION("""COMPUTED_VALUE"""),"PA")</f>
        <v>PA</v>
      </c>
      <c r="D1024" t="str">
        <f>IFERROR(__xludf.DUMMYFUNCTION("""COMPUTED_VALUE"""),"USA")</f>
        <v>USA</v>
      </c>
      <c r="E1024" s="188">
        <f>IFERROR(__xludf.DUMMYFUNCTION("""COMPUTED_VALUE"""),43278.0)</f>
        <v>43278</v>
      </c>
      <c r="F1024" s="188">
        <f>IFERROR(__xludf.DUMMYFUNCTION("""COMPUTED_VALUE"""),43355.0)</f>
        <v>43355</v>
      </c>
      <c r="H1024">
        <f>IFERROR(__xludf.DUMMYFUNCTION("""COMPUTED_VALUE"""),74255.0)</f>
        <v>74255</v>
      </c>
      <c r="J1024" s="5">
        <f>IFERROR(__xludf.DUMMYFUNCTION("""COMPUTED_VALUE"""),43376.0)</f>
        <v>43376</v>
      </c>
      <c r="K1024">
        <f>IFERROR(__xludf.DUMMYFUNCTION("""COMPUTED_VALUE"""),77.0)</f>
        <v>77</v>
      </c>
      <c r="L1024">
        <f>IFERROR(__xludf.DUMMYFUNCTION("""COMPUTED_VALUE"""),21.0)</f>
        <v>21</v>
      </c>
      <c r="M1024">
        <f>IFERROR(__xludf.DUMMYFUNCTION("""COMPUTED_VALUE"""),98.0)</f>
        <v>98</v>
      </c>
      <c r="N1024" t="str">
        <f>IFERROR(__xludf.DUMMYFUNCTION("""COMPUTED_VALUE"""),"Model 3 Performance")</f>
        <v>Model 3 Performance</v>
      </c>
      <c r="O1024" t="str">
        <f>IFERROR(__xludf.DUMMYFUNCTION("""COMPUTED_VALUE"""),"Deep Blue Metallic")</f>
        <v>Deep Blue Metallic</v>
      </c>
      <c r="P1024" t="str">
        <f>IFERROR(__xludf.DUMMYFUNCTION("""COMPUTED_VALUE"""),"20 inch Sport")</f>
        <v>20 inch Sport</v>
      </c>
      <c r="Q1024" t="str">
        <f>IFERROR(__xludf.DUMMYFUNCTION("""COMPUTED_VALUE"""),"White seats")</f>
        <v>White seats</v>
      </c>
      <c r="R1024" t="str">
        <f>IFERROR(__xludf.DUMMYFUNCTION("""COMPUTED_VALUE"""),"Enhanced Autopilot")</f>
        <v>Enhanced Autopilot</v>
      </c>
      <c r="X1024" t="str">
        <f>IFERROR(__xludf.DUMMYFUNCTION("""COMPUTED_VALUE"""),"Very Good")</f>
        <v>Very Good</v>
      </c>
      <c r="Y1024" t="str">
        <f>IFERROR(__xludf.DUMMYFUNCTION("""COMPUTED_VALUE"""),"Excellent")</f>
        <v>Excellent</v>
      </c>
      <c r="Z1024" t="str">
        <f>IFERROR(__xludf.DUMMYFUNCTION("""COMPUTED_VALUE"""),"Very Good")</f>
        <v>Very Good</v>
      </c>
      <c r="AA1024" t="str">
        <f>IFERROR(__xludf.DUMMYFUNCTION("""COMPUTED_VALUE"""),"Fair")</f>
        <v>Fair</v>
      </c>
      <c r="AB1024" t="str">
        <f>IFERROR(__xludf.DUMMYFUNCTION("""COMPUTED_VALUE"""),"Good")</f>
        <v>Good</v>
      </c>
      <c r="AC1024">
        <f>IFERROR(__xludf.DUMMYFUNCTION("""COMPUTED_VALUE"""),1.0)</f>
        <v>1</v>
      </c>
      <c r="AD1024">
        <f>IFERROR(__xludf.DUMMYFUNCTION("""COMPUTED_VALUE"""),0.0)</f>
        <v>0</v>
      </c>
      <c r="AE1024">
        <f>IFERROR(__xludf.DUMMYFUNCTION("""COMPUTED_VALUE"""),0.0)</f>
        <v>0</v>
      </c>
      <c r="AG1024" t="str">
        <f>IFERROR(__xludf.DUMMYFUNCTION("""COMPUTED_VALUE"""),"Delivery delayed 3 times. 16 days past initial date.")</f>
        <v>Delivery delayed 3 times. 16 days past initial date.</v>
      </c>
      <c r="AH1024" s="189">
        <f>IFERROR(__xludf.DUMMYFUNCTION("""COMPUTED_VALUE"""),43377.42592657407)</f>
        <v>43377.42593</v>
      </c>
    </row>
    <row r="1025">
      <c r="A1025" t="str">
        <f>IFERROR(__xludf.DUMMYFUNCTION("""COMPUTED_VALUE"""),"Wugz")</f>
        <v>Wugz</v>
      </c>
      <c r="B1025" t="str">
        <f>IFERROR(__xludf.DUMMYFUNCTION("""COMPUTED_VALUE"""),"Edmonton")</f>
        <v>Edmonton</v>
      </c>
      <c r="C1025" t="str">
        <f>IFERROR(__xludf.DUMMYFUNCTION("""COMPUTED_VALUE"""),"AB")</f>
        <v>AB</v>
      </c>
      <c r="D1025" t="str">
        <f>IFERROR(__xludf.DUMMYFUNCTION("""COMPUTED_VALUE"""),"Canada")</f>
        <v>Canada</v>
      </c>
      <c r="E1025" s="188">
        <f>IFERROR(__xludf.DUMMYFUNCTION("""COMPUTED_VALUE"""),43277.0)</f>
        <v>43277</v>
      </c>
      <c r="F1025" s="188">
        <f>IFERROR(__xludf.DUMMYFUNCTION("""COMPUTED_VALUE"""),43348.0)</f>
        <v>43348</v>
      </c>
      <c r="H1025">
        <f>IFERROR(__xludf.DUMMYFUNCTION("""COMPUTED_VALUE"""),109455.0)</f>
        <v>109455</v>
      </c>
      <c r="I1025" t="str">
        <f>IFERROR(__xludf.DUMMYFUNCTION("""COMPUTED_VALUE"""),"09/18")</f>
        <v>09/18</v>
      </c>
      <c r="J1025" s="5">
        <f>IFERROR(__xludf.DUMMYFUNCTION("""COMPUTED_VALUE"""),43357.0)</f>
        <v>43357</v>
      </c>
      <c r="K1025">
        <f>IFERROR(__xludf.DUMMYFUNCTION("""COMPUTED_VALUE"""),71.0)</f>
        <v>71</v>
      </c>
      <c r="L1025">
        <f>IFERROR(__xludf.DUMMYFUNCTION("""COMPUTED_VALUE"""),9.0)</f>
        <v>9</v>
      </c>
      <c r="M1025">
        <f>IFERROR(__xludf.DUMMYFUNCTION("""COMPUTED_VALUE"""),80.0)</f>
        <v>80</v>
      </c>
      <c r="N1025" t="str">
        <f>IFERROR(__xludf.DUMMYFUNCTION("""COMPUTED_VALUE"""),"Model 3 LR AWD")</f>
        <v>Model 3 LR AWD</v>
      </c>
      <c r="O1025" t="str">
        <f>IFERROR(__xludf.DUMMYFUNCTION("""COMPUTED_VALUE"""),"Pearl White Multi-Coat")</f>
        <v>Pearl White Multi-Coat</v>
      </c>
      <c r="P1025" t="str">
        <f>IFERROR(__xludf.DUMMYFUNCTION("""COMPUTED_VALUE"""),"18 inch Aero")</f>
        <v>18 inch Aero</v>
      </c>
      <c r="Q1025" t="str">
        <f>IFERROR(__xludf.DUMMYFUNCTION("""COMPUTED_VALUE"""),"Black seats")</f>
        <v>Black seats</v>
      </c>
      <c r="R1025" t="str">
        <f>IFERROR(__xludf.DUMMYFUNCTION("""COMPUTED_VALUE"""),"Enhanced Autopilot")</f>
        <v>Enhanced Autopilot</v>
      </c>
      <c r="X1025" t="str">
        <f>IFERROR(__xludf.DUMMYFUNCTION("""COMPUTED_VALUE"""),"Very Good")</f>
        <v>Very Good</v>
      </c>
      <c r="Y1025" t="str">
        <f>IFERROR(__xludf.DUMMYFUNCTION("""COMPUTED_VALUE"""),"Very Good")</f>
        <v>Very Good</v>
      </c>
      <c r="Z1025" t="str">
        <f>IFERROR(__xludf.DUMMYFUNCTION("""COMPUTED_VALUE"""),"Excellent")</f>
        <v>Excellent</v>
      </c>
      <c r="AA1025" t="str">
        <f>IFERROR(__xludf.DUMMYFUNCTION("""COMPUTED_VALUE"""),"Fair")</f>
        <v>Fair</v>
      </c>
      <c r="AB1025" t="str">
        <f>IFERROR(__xludf.DUMMYFUNCTION("""COMPUTED_VALUE"""),"Excellent")</f>
        <v>Excellent</v>
      </c>
      <c r="AC1025">
        <f>IFERROR(__xludf.DUMMYFUNCTION("""COMPUTED_VALUE"""),0.0)</f>
        <v>0</v>
      </c>
      <c r="AD1025">
        <f>IFERROR(__xludf.DUMMYFUNCTION("""COMPUTED_VALUE"""),0.0)</f>
        <v>0</v>
      </c>
      <c r="AE1025">
        <f>IFERROR(__xludf.DUMMYFUNCTION("""COMPUTED_VALUE"""),0.0)</f>
        <v>0</v>
      </c>
      <c r="AH1025" s="189">
        <f>IFERROR(__xludf.DUMMYFUNCTION("""COMPUTED_VALUE"""),43377.43435905092)</f>
        <v>43377.43436</v>
      </c>
    </row>
    <row r="1026">
      <c r="A1026" t="str">
        <f>IFERROR(__xludf.DUMMYFUNCTION("""COMPUTED_VALUE"""),"jonnat")</f>
        <v>jonnat</v>
      </c>
      <c r="B1026" t="str">
        <f>IFERROR(__xludf.DUMMYFUNCTION("""COMPUTED_VALUE"""),"NJ")</f>
        <v>NJ</v>
      </c>
      <c r="C1026" t="str">
        <f>IFERROR(__xludf.DUMMYFUNCTION("""COMPUTED_VALUE"""),"NJ")</f>
        <v>NJ</v>
      </c>
      <c r="D1026" t="str">
        <f>IFERROR(__xludf.DUMMYFUNCTION("""COMPUTED_VALUE"""),"USA")</f>
        <v>USA</v>
      </c>
      <c r="E1026" s="188">
        <f>IFERROR(__xludf.DUMMYFUNCTION("""COMPUTED_VALUE"""),43280.0)</f>
        <v>43280</v>
      </c>
      <c r="H1026">
        <f>IFERROR(__xludf.DUMMYFUNCTION("""COMPUTED_VALUE"""),69155.0)</f>
        <v>69155</v>
      </c>
      <c r="J1026" s="5">
        <f>IFERROR(__xludf.DUMMYFUNCTION("""COMPUTED_VALUE"""),43357.0)</f>
        <v>43357</v>
      </c>
      <c r="M1026">
        <f>IFERROR(__xludf.DUMMYFUNCTION("""COMPUTED_VALUE"""),77.0)</f>
        <v>77</v>
      </c>
      <c r="N1026" t="str">
        <f>IFERROR(__xludf.DUMMYFUNCTION("""COMPUTED_VALUE"""),"Model 3 LR AWD")</f>
        <v>Model 3 LR AWD</v>
      </c>
      <c r="O1026" t="str">
        <f>IFERROR(__xludf.DUMMYFUNCTION("""COMPUTED_VALUE"""),"Midnight Silver Metallic")</f>
        <v>Midnight Silver Metallic</v>
      </c>
      <c r="P1026" t="str">
        <f>IFERROR(__xludf.DUMMYFUNCTION("""COMPUTED_VALUE"""),"19 inch Sport")</f>
        <v>19 inch Sport</v>
      </c>
      <c r="Q1026" t="str">
        <f>IFERROR(__xludf.DUMMYFUNCTION("""COMPUTED_VALUE"""),"Black seats")</f>
        <v>Black seats</v>
      </c>
      <c r="R1026" t="str">
        <f>IFERROR(__xludf.DUMMYFUNCTION("""COMPUTED_VALUE"""),"Enhanced Autopilot")</f>
        <v>Enhanced Autopilot</v>
      </c>
      <c r="X1026" t="str">
        <f>IFERROR(__xludf.DUMMYFUNCTION("""COMPUTED_VALUE"""),"Very Good")</f>
        <v>Very Good</v>
      </c>
      <c r="Y1026" t="str">
        <f>IFERROR(__xludf.DUMMYFUNCTION("""COMPUTED_VALUE"""),"Excellent")</f>
        <v>Excellent</v>
      </c>
      <c r="Z1026" t="str">
        <f>IFERROR(__xludf.DUMMYFUNCTION("""COMPUTED_VALUE"""),"Very Good")</f>
        <v>Very Good</v>
      </c>
      <c r="AA1026" t="str">
        <f>IFERROR(__xludf.DUMMYFUNCTION("""COMPUTED_VALUE"""),"Good")</f>
        <v>Good</v>
      </c>
      <c r="AB1026" t="str">
        <f>IFERROR(__xludf.DUMMYFUNCTION("""COMPUTED_VALUE"""),"Fair")</f>
        <v>Fair</v>
      </c>
      <c r="AC1026">
        <f>IFERROR(__xludf.DUMMYFUNCTION("""COMPUTED_VALUE"""),1.0)</f>
        <v>1</v>
      </c>
      <c r="AD1026">
        <f>IFERROR(__xludf.DUMMYFUNCTION("""COMPUTED_VALUE"""),1.0)</f>
        <v>1</v>
      </c>
      <c r="AE1026">
        <f>IFERROR(__xludf.DUMMYFUNCTION("""COMPUTED_VALUE"""),0.0)</f>
        <v>0</v>
      </c>
      <c r="AH1026" s="189">
        <f>IFERROR(__xludf.DUMMYFUNCTION("""COMPUTED_VALUE"""),43377.44228998842)</f>
        <v>43377.44229</v>
      </c>
    </row>
    <row r="1027">
      <c r="A1027" t="str">
        <f>IFERROR(__xludf.DUMMYFUNCTION("""COMPUTED_VALUE"""),"NetBrown")</f>
        <v>NetBrown</v>
      </c>
      <c r="B1027" t="str">
        <f>IFERROR(__xludf.DUMMYFUNCTION("""COMPUTED_VALUE"""),"Bothell")</f>
        <v>Bothell</v>
      </c>
      <c r="C1027" t="str">
        <f>IFERROR(__xludf.DUMMYFUNCTION("""COMPUTED_VALUE"""),"WA")</f>
        <v>WA</v>
      </c>
      <c r="D1027" t="str">
        <f>IFERROR(__xludf.DUMMYFUNCTION("""COMPUTED_VALUE"""),"USA")</f>
        <v>USA</v>
      </c>
      <c r="E1027" s="188">
        <f>IFERROR(__xludf.DUMMYFUNCTION("""COMPUTED_VALUE"""),43278.0)</f>
        <v>43278</v>
      </c>
      <c r="F1027" s="188">
        <f>IFERROR(__xludf.DUMMYFUNCTION("""COMPUTED_VALUE"""),43331.0)</f>
        <v>43331</v>
      </c>
      <c r="H1027">
        <f>IFERROR(__xludf.DUMMYFUNCTION("""COMPUTED_VALUE"""),65615.0)</f>
        <v>65615</v>
      </c>
      <c r="I1027" t="str">
        <f>IFERROR(__xludf.DUMMYFUNCTION("""COMPUTED_VALUE"""),"08/18")</f>
        <v>08/18</v>
      </c>
      <c r="J1027" s="5">
        <f>IFERROR(__xludf.DUMMYFUNCTION("""COMPUTED_VALUE"""),43335.0)</f>
        <v>43335</v>
      </c>
      <c r="K1027">
        <f>IFERROR(__xludf.DUMMYFUNCTION("""COMPUTED_VALUE"""),53.0)</f>
        <v>53</v>
      </c>
      <c r="L1027">
        <f>IFERROR(__xludf.DUMMYFUNCTION("""COMPUTED_VALUE"""),4.0)</f>
        <v>4</v>
      </c>
      <c r="M1027">
        <f>IFERROR(__xludf.DUMMYFUNCTION("""COMPUTED_VALUE"""),57.0)</f>
        <v>57</v>
      </c>
      <c r="N1027" t="str">
        <f>IFERROR(__xludf.DUMMYFUNCTION("""COMPUTED_VALUE"""),"Model 3 LR AWD")</f>
        <v>Model 3 LR AWD</v>
      </c>
      <c r="O1027" t="str">
        <f>IFERROR(__xludf.DUMMYFUNCTION("""COMPUTED_VALUE"""),"Red Multi-Coat")</f>
        <v>Red Multi-Coat</v>
      </c>
      <c r="P1027" t="str">
        <f>IFERROR(__xludf.DUMMYFUNCTION("""COMPUTED_VALUE"""),"19 inch Sport")</f>
        <v>19 inch Sport</v>
      </c>
      <c r="Q1027" t="str">
        <f>IFERROR(__xludf.DUMMYFUNCTION("""COMPUTED_VALUE"""),"Black seats")</f>
        <v>Black seats</v>
      </c>
      <c r="R1027" t="str">
        <f>IFERROR(__xludf.DUMMYFUNCTION("""COMPUTED_VALUE"""),"Enhanced Autopilot")</f>
        <v>Enhanced Autopilot</v>
      </c>
      <c r="X1027" t="str">
        <f>IFERROR(__xludf.DUMMYFUNCTION("""COMPUTED_VALUE"""),"Excellent")</f>
        <v>Excellent</v>
      </c>
      <c r="Y1027" t="str">
        <f>IFERROR(__xludf.DUMMYFUNCTION("""COMPUTED_VALUE"""),"Excellent")</f>
        <v>Excellent</v>
      </c>
      <c r="Z1027" t="str">
        <f>IFERROR(__xludf.DUMMYFUNCTION("""COMPUTED_VALUE"""),"Excellent")</f>
        <v>Excellent</v>
      </c>
      <c r="AA1027" t="str">
        <f>IFERROR(__xludf.DUMMYFUNCTION("""COMPUTED_VALUE"""),"Excellent")</f>
        <v>Excellent</v>
      </c>
      <c r="AB1027" t="str">
        <f>IFERROR(__xludf.DUMMYFUNCTION("""COMPUTED_VALUE"""),"Excellent")</f>
        <v>Excellent</v>
      </c>
      <c r="AC1027">
        <f>IFERROR(__xludf.DUMMYFUNCTION("""COMPUTED_VALUE"""),0.0)</f>
        <v>0</v>
      </c>
      <c r="AD1027">
        <f>IFERROR(__xludf.DUMMYFUNCTION("""COMPUTED_VALUE"""),0.0)</f>
        <v>0</v>
      </c>
      <c r="AE1027">
        <f>IFERROR(__xludf.DUMMYFUNCTION("""COMPUTED_VALUE"""),0.0)</f>
        <v>0</v>
      </c>
      <c r="AG1027" t="str">
        <f>IFERROR(__xludf.DUMMYFUNCTION("""COMPUTED_VALUE"""),"Panel Gaps and other issues many have complained about were not present, the car was utterly without flaw.")</f>
        <v>Panel Gaps and other issues many have complained about were not present, the car was utterly without flaw.</v>
      </c>
      <c r="AH1027" s="189">
        <f>IFERROR(__xludf.DUMMYFUNCTION("""COMPUTED_VALUE"""),43377.44261637732)</f>
        <v>43377.44262</v>
      </c>
    </row>
    <row r="1028">
      <c r="A1028" t="str">
        <f>IFERROR(__xludf.DUMMYFUNCTION("""COMPUTED_VALUE"""),"flatcoke")</f>
        <v>flatcoke</v>
      </c>
      <c r="B1028" t="str">
        <f>IFERROR(__xludf.DUMMYFUNCTION("""COMPUTED_VALUE"""),"WEST METRO")</f>
        <v>WEST METRO</v>
      </c>
      <c r="C1028" t="str">
        <f>IFERROR(__xludf.DUMMYFUNCTION("""COMPUTED_VALUE"""),"MN")</f>
        <v>MN</v>
      </c>
      <c r="D1028" t="str">
        <f>IFERROR(__xludf.DUMMYFUNCTION("""COMPUTED_VALUE"""),"USA")</f>
        <v>USA</v>
      </c>
      <c r="E1028" s="188">
        <f>IFERROR(__xludf.DUMMYFUNCTION("""COMPUTED_VALUE"""),43280.0)</f>
        <v>43280</v>
      </c>
      <c r="F1028" s="188">
        <f>IFERROR(__xludf.DUMMYFUNCTION("""COMPUTED_VALUE"""),43356.0)</f>
        <v>43356</v>
      </c>
      <c r="H1028">
        <f>IFERROR(__xludf.DUMMYFUNCTION("""COMPUTED_VALUE"""),77155.0)</f>
        <v>77155</v>
      </c>
      <c r="I1028" t="str">
        <f>IFERROR(__xludf.DUMMYFUNCTION("""COMPUTED_VALUE"""),"09/18")</f>
        <v>09/18</v>
      </c>
      <c r="J1028" s="5">
        <f>IFERROR(__xludf.DUMMYFUNCTION("""COMPUTED_VALUE"""),43370.0)</f>
        <v>43370</v>
      </c>
      <c r="K1028">
        <f>IFERROR(__xludf.DUMMYFUNCTION("""COMPUTED_VALUE"""),76.0)</f>
        <v>76</v>
      </c>
      <c r="L1028">
        <f>IFERROR(__xludf.DUMMYFUNCTION("""COMPUTED_VALUE"""),14.0)</f>
        <v>14</v>
      </c>
      <c r="M1028">
        <f>IFERROR(__xludf.DUMMYFUNCTION("""COMPUTED_VALUE"""),90.0)</f>
        <v>90</v>
      </c>
      <c r="N1028" t="str">
        <f>IFERROR(__xludf.DUMMYFUNCTION("""COMPUTED_VALUE"""),"Model 3 Performance")</f>
        <v>Model 3 Performance</v>
      </c>
      <c r="O1028" t="str">
        <f>IFERROR(__xludf.DUMMYFUNCTION("""COMPUTED_VALUE"""),"Obsidian Black Metallic")</f>
        <v>Obsidian Black Metallic</v>
      </c>
      <c r="P1028" t="str">
        <f>IFERROR(__xludf.DUMMYFUNCTION("""COMPUTED_VALUE"""),"18 inch Aero")</f>
        <v>18 inch Aero</v>
      </c>
      <c r="Q1028" t="str">
        <f>IFERROR(__xludf.DUMMYFUNCTION("""COMPUTED_VALUE"""),"Black seats")</f>
        <v>Black seats</v>
      </c>
      <c r="R1028" t="str">
        <f>IFERROR(__xludf.DUMMYFUNCTION("""COMPUTED_VALUE"""),"Enhanced Autopilot")</f>
        <v>Enhanced Autopilot</v>
      </c>
      <c r="X1028" t="str">
        <f>IFERROR(__xludf.DUMMYFUNCTION("""COMPUTED_VALUE"""),"Very Good")</f>
        <v>Very Good</v>
      </c>
      <c r="Y1028" t="str">
        <f>IFERROR(__xludf.DUMMYFUNCTION("""COMPUTED_VALUE"""),"Good")</f>
        <v>Good</v>
      </c>
      <c r="Z1028" t="str">
        <f>IFERROR(__xludf.DUMMYFUNCTION("""COMPUTED_VALUE"""),"Poor")</f>
        <v>Poor</v>
      </c>
      <c r="AA1028" t="str">
        <f>IFERROR(__xludf.DUMMYFUNCTION("""COMPUTED_VALUE"""),"Very Good")</f>
        <v>Very Good</v>
      </c>
      <c r="AB1028" t="str">
        <f>IFERROR(__xludf.DUMMYFUNCTION("""COMPUTED_VALUE"""),"Excellent")</f>
        <v>Excellent</v>
      </c>
      <c r="AC1028">
        <f>IFERROR(__xludf.DUMMYFUNCTION("""COMPUTED_VALUE"""),3.0)</f>
        <v>3</v>
      </c>
      <c r="AD1028">
        <f>IFERROR(__xludf.DUMMYFUNCTION("""COMPUTED_VALUE"""),0.0)</f>
        <v>0</v>
      </c>
      <c r="AG1028" t="str">
        <f>IFERROR(__xludf.DUMMYFUNCTION("""COMPUTED_VALUE"""),"Original scheduled for 9/18 delivery, delayed by Tesla ; Paint specks on rear bumper and front hood, light scratches on front hood, glue residue on glass roof, charging rate won't go above 40A")</f>
        <v>Original scheduled for 9/18 delivery, delayed by Tesla ; Paint specks on rear bumper and front hood, light scratches on front hood, glue residue on glass roof, charging rate won't go above 40A</v>
      </c>
      <c r="AH1028" s="189">
        <f>IFERROR(__xludf.DUMMYFUNCTION("""COMPUTED_VALUE"""),43377.496114305555)</f>
        <v>43377.49611</v>
      </c>
    </row>
    <row r="1029">
      <c r="A1029" t="str">
        <f>IFERROR(__xludf.DUMMYFUNCTION("""COMPUTED_VALUE"""),"tomc603")</f>
        <v>tomc603</v>
      </c>
      <c r="B1029" t="str">
        <f>IFERROR(__xludf.DUMMYFUNCTION("""COMPUTED_VALUE"""),"Hooksett")</f>
        <v>Hooksett</v>
      </c>
      <c r="C1029" t="str">
        <f>IFERROR(__xludf.DUMMYFUNCTION("""COMPUTED_VALUE"""),"NH")</f>
        <v>NH</v>
      </c>
      <c r="D1029" t="str">
        <f>IFERROR(__xludf.DUMMYFUNCTION("""COMPUTED_VALUE"""),"USA")</f>
        <v>USA</v>
      </c>
      <c r="E1029" s="188">
        <f>IFERROR(__xludf.DUMMYFUNCTION("""COMPUTED_VALUE"""),43312.0)</f>
        <v>43312</v>
      </c>
      <c r="F1029" s="188">
        <f>IFERROR(__xludf.DUMMYFUNCTION("""COMPUTED_VALUE"""),43350.0)</f>
        <v>43350</v>
      </c>
      <c r="H1029">
        <f>IFERROR(__xludf.DUMMYFUNCTION("""COMPUTED_VALUE"""),63245.0)</f>
        <v>63245</v>
      </c>
      <c r="I1029" t="str">
        <f>IFERROR(__xludf.DUMMYFUNCTION("""COMPUTED_VALUE"""),"08/18")</f>
        <v>08/18</v>
      </c>
      <c r="J1029" s="5">
        <f>IFERROR(__xludf.DUMMYFUNCTION("""COMPUTED_VALUE"""),43377.0)</f>
        <v>43377</v>
      </c>
      <c r="K1029">
        <f>IFERROR(__xludf.DUMMYFUNCTION("""COMPUTED_VALUE"""),38.0)</f>
        <v>38</v>
      </c>
      <c r="L1029">
        <f>IFERROR(__xludf.DUMMYFUNCTION("""COMPUTED_VALUE"""),27.0)</f>
        <v>27</v>
      </c>
      <c r="M1029">
        <f>IFERROR(__xludf.DUMMYFUNCTION("""COMPUTED_VALUE"""),65.0)</f>
        <v>65</v>
      </c>
      <c r="N1029" t="str">
        <f>IFERROR(__xludf.DUMMYFUNCTION("""COMPUTED_VALUE"""),"Model 3 Performance")</f>
        <v>Model 3 Performance</v>
      </c>
      <c r="O1029" t="str">
        <f>IFERROR(__xludf.DUMMYFUNCTION("""COMPUTED_VALUE"""),"Red Multi-Coat")</f>
        <v>Red Multi-Coat</v>
      </c>
      <c r="P1029" t="str">
        <f>IFERROR(__xludf.DUMMYFUNCTION("""COMPUTED_VALUE"""),"20 inch Sport")</f>
        <v>20 inch Sport</v>
      </c>
      <c r="Q1029" t="str">
        <f>IFERROR(__xludf.DUMMYFUNCTION("""COMPUTED_VALUE"""),"Black seats")</f>
        <v>Black seats</v>
      </c>
      <c r="R1029" t="str">
        <f>IFERROR(__xludf.DUMMYFUNCTION("""COMPUTED_VALUE"""),"Enhanced Autopilot")</f>
        <v>Enhanced Autopilot</v>
      </c>
      <c r="X1029" t="str">
        <f>IFERROR(__xludf.DUMMYFUNCTION("""COMPUTED_VALUE"""),"Excellent")</f>
        <v>Excellent</v>
      </c>
      <c r="Y1029" t="str">
        <f>IFERROR(__xludf.DUMMYFUNCTION("""COMPUTED_VALUE"""),"Excellent")</f>
        <v>Excellent</v>
      </c>
      <c r="Z1029" t="str">
        <f>IFERROR(__xludf.DUMMYFUNCTION("""COMPUTED_VALUE"""),"Excellent")</f>
        <v>Excellent</v>
      </c>
      <c r="AA1029" t="str">
        <f>IFERROR(__xludf.DUMMYFUNCTION("""COMPUTED_VALUE"""),"Poor")</f>
        <v>Poor</v>
      </c>
      <c r="AB1029" t="str">
        <f>IFERROR(__xludf.DUMMYFUNCTION("""COMPUTED_VALUE"""),"Good")</f>
        <v>Good</v>
      </c>
      <c r="AC1029">
        <f>IFERROR(__xludf.DUMMYFUNCTION("""COMPUTED_VALUE"""),0.0)</f>
        <v>0</v>
      </c>
      <c r="AG1029" t="str">
        <f>IFERROR(__xludf.DUMMYFUNCTION("""COMPUTED_VALUE"""),"I tried several times to have a new delivery specialist assigned because mine just stopped responding for weeks. I now have a car I can't drive because he still hasn't sent the registration pack.")</f>
        <v>I tried several times to have a new delivery specialist assigned because mine just stopped responding for weeks. I now have a car I can't drive because he still hasn't sent the registration pack.</v>
      </c>
      <c r="AH1029" s="189">
        <f>IFERROR(__xludf.DUMMYFUNCTION("""COMPUTED_VALUE"""),43377.51632443287)</f>
        <v>43377.51632</v>
      </c>
    </row>
    <row r="1030">
      <c r="A1030" t="str">
        <f>IFERROR(__xludf.DUMMYFUNCTION("""COMPUTED_VALUE"""),"im.thatoneguy")</f>
        <v>im.thatoneguy</v>
      </c>
      <c r="B1030" t="str">
        <f>IFERROR(__xludf.DUMMYFUNCTION("""COMPUTED_VALUE"""),"Seattle")</f>
        <v>Seattle</v>
      </c>
      <c r="C1030" t="str">
        <f>IFERROR(__xludf.DUMMYFUNCTION("""COMPUTED_VALUE"""),"WA")</f>
        <v>WA</v>
      </c>
      <c r="D1030" t="str">
        <f>IFERROR(__xludf.DUMMYFUNCTION("""COMPUTED_VALUE"""),"USA")</f>
        <v>USA</v>
      </c>
      <c r="E1030" s="188">
        <f>IFERROR(__xludf.DUMMYFUNCTION("""COMPUTED_VALUE"""),43312.0)</f>
        <v>43312</v>
      </c>
      <c r="H1030">
        <f>IFERROR(__xludf.DUMMYFUNCTION("""COMPUTED_VALUE"""),51275.0)</f>
        <v>51275</v>
      </c>
      <c r="J1030" s="5">
        <f>IFERROR(__xludf.DUMMYFUNCTION("""COMPUTED_VALUE"""),43327.0)</f>
        <v>43327</v>
      </c>
      <c r="M1030">
        <f>IFERROR(__xludf.DUMMYFUNCTION("""COMPUTED_VALUE"""),15.0)</f>
        <v>15</v>
      </c>
      <c r="N1030" t="str">
        <f>IFERROR(__xludf.DUMMYFUNCTION("""COMPUTED_VALUE"""),"Model 3 LR")</f>
        <v>Model 3 LR</v>
      </c>
      <c r="O1030" t="str">
        <f>IFERROR(__xludf.DUMMYFUNCTION("""COMPUTED_VALUE"""),"Pearl White Multi-Coat")</f>
        <v>Pearl White Multi-Coat</v>
      </c>
      <c r="P1030" t="str">
        <f>IFERROR(__xludf.DUMMYFUNCTION("""COMPUTED_VALUE"""),"18 inch Aero")</f>
        <v>18 inch Aero</v>
      </c>
      <c r="Q1030" t="str">
        <f>IFERROR(__xludf.DUMMYFUNCTION("""COMPUTED_VALUE"""),"Black seats")</f>
        <v>Black seats</v>
      </c>
      <c r="R1030" t="str">
        <f>IFERROR(__xludf.DUMMYFUNCTION("""COMPUTED_VALUE"""),"Enhanced Autopilot")</f>
        <v>Enhanced Autopilot</v>
      </c>
      <c r="X1030" t="str">
        <f>IFERROR(__xludf.DUMMYFUNCTION("""COMPUTED_VALUE"""),"Very Good")</f>
        <v>Very Good</v>
      </c>
      <c r="Y1030" t="str">
        <f>IFERROR(__xludf.DUMMYFUNCTION("""COMPUTED_VALUE"""),"Good")</f>
        <v>Good</v>
      </c>
      <c r="Z1030" t="str">
        <f>IFERROR(__xludf.DUMMYFUNCTION("""COMPUTED_VALUE"""),"Very Good")</f>
        <v>Very Good</v>
      </c>
      <c r="AA1030" t="str">
        <f>IFERROR(__xludf.DUMMYFUNCTION("""COMPUTED_VALUE"""),"Poor")</f>
        <v>Poor</v>
      </c>
      <c r="AB1030" t="str">
        <f>IFERROR(__xludf.DUMMYFUNCTION("""COMPUTED_VALUE"""),"Fair")</f>
        <v>Fair</v>
      </c>
      <c r="AC1030">
        <f>IFERROR(__xludf.DUMMYFUNCTION("""COMPUTED_VALUE"""),6.0)</f>
        <v>6</v>
      </c>
      <c r="AD1030">
        <f>IFERROR(__xludf.DUMMYFUNCTION("""COMPUTED_VALUE"""),1.0)</f>
        <v>1</v>
      </c>
      <c r="AE1030">
        <f>IFERROR(__xludf.DUMMYFUNCTION("""COMPUTED_VALUE"""),10.0)</f>
        <v>10</v>
      </c>
      <c r="AH1030" s="189">
        <f>IFERROR(__xludf.DUMMYFUNCTION("""COMPUTED_VALUE"""),43377.52745685185)</f>
        <v>43377.52746</v>
      </c>
    </row>
    <row r="1031">
      <c r="A1031" t="str">
        <f>IFERROR(__xludf.DUMMYFUNCTION("""COMPUTED_VALUE"""),"mhuang2286")</f>
        <v>mhuang2286</v>
      </c>
      <c r="B1031" t="str">
        <f>IFERROR(__xludf.DUMMYFUNCTION("""COMPUTED_VALUE"""),"San Francisco")</f>
        <v>San Francisco</v>
      </c>
      <c r="C1031" t="str">
        <f>IFERROR(__xludf.DUMMYFUNCTION("""COMPUTED_VALUE"""),"CA")</f>
        <v>CA</v>
      </c>
      <c r="D1031" t="str">
        <f>IFERROR(__xludf.DUMMYFUNCTION("""COMPUTED_VALUE"""),"USA")</f>
        <v>USA</v>
      </c>
      <c r="E1031" s="188">
        <f>IFERROR(__xludf.DUMMYFUNCTION("""COMPUTED_VALUE"""),43328.0)</f>
        <v>43328</v>
      </c>
      <c r="F1031" s="188">
        <f>IFERROR(__xludf.DUMMYFUNCTION("""COMPUTED_VALUE"""),43369.0)</f>
        <v>43369</v>
      </c>
      <c r="H1031">
        <f>IFERROR(__xludf.DUMMYFUNCTION("""COMPUTED_VALUE"""),73355.0)</f>
        <v>73355</v>
      </c>
      <c r="J1031" s="5">
        <f>IFERROR(__xludf.DUMMYFUNCTION("""COMPUTED_VALUE"""),43373.0)</f>
        <v>43373</v>
      </c>
      <c r="K1031">
        <f>IFERROR(__xludf.DUMMYFUNCTION("""COMPUTED_VALUE"""),41.0)</f>
        <v>41</v>
      </c>
      <c r="L1031">
        <f>IFERROR(__xludf.DUMMYFUNCTION("""COMPUTED_VALUE"""),4.0)</f>
        <v>4</v>
      </c>
      <c r="M1031">
        <f>IFERROR(__xludf.DUMMYFUNCTION("""COMPUTED_VALUE"""),45.0)</f>
        <v>45</v>
      </c>
      <c r="N1031" t="str">
        <f>IFERROR(__xludf.DUMMYFUNCTION("""COMPUTED_VALUE"""),"Model 3 LR AWD")</f>
        <v>Model 3 LR AWD</v>
      </c>
      <c r="O1031" t="str">
        <f>IFERROR(__xludf.DUMMYFUNCTION("""COMPUTED_VALUE"""),"Solid Black")</f>
        <v>Solid Black</v>
      </c>
      <c r="P1031" t="str">
        <f>IFERROR(__xludf.DUMMYFUNCTION("""COMPUTED_VALUE"""),"18 inch Aero")</f>
        <v>18 inch Aero</v>
      </c>
      <c r="Q1031" t="str">
        <f>IFERROR(__xludf.DUMMYFUNCTION("""COMPUTED_VALUE"""),"Black seats")</f>
        <v>Black seats</v>
      </c>
      <c r="R1031" t="str">
        <f>IFERROR(__xludf.DUMMYFUNCTION("""COMPUTED_VALUE"""),"None")</f>
        <v>None</v>
      </c>
      <c r="X1031" t="str">
        <f>IFERROR(__xludf.DUMMYFUNCTION("""COMPUTED_VALUE"""),"Excellent")</f>
        <v>Excellent</v>
      </c>
      <c r="Y1031" t="str">
        <f>IFERROR(__xludf.DUMMYFUNCTION("""COMPUTED_VALUE"""),"Excellent")</f>
        <v>Excellent</v>
      </c>
      <c r="Z1031" t="str">
        <f>IFERROR(__xludf.DUMMYFUNCTION("""COMPUTED_VALUE"""),"Excellent")</f>
        <v>Excellent</v>
      </c>
      <c r="AA1031" t="str">
        <f>IFERROR(__xludf.DUMMYFUNCTION("""COMPUTED_VALUE"""),"Fair")</f>
        <v>Fair</v>
      </c>
      <c r="AB1031" t="str">
        <f>IFERROR(__xludf.DUMMYFUNCTION("""COMPUTED_VALUE"""),"Good")</f>
        <v>Good</v>
      </c>
      <c r="AH1031" s="189">
        <f>IFERROR(__xludf.DUMMYFUNCTION("""COMPUTED_VALUE"""),43377.55188140046)</f>
        <v>43377.55188</v>
      </c>
    </row>
    <row r="1032">
      <c r="A1032" t="str">
        <f>IFERROR(__xludf.DUMMYFUNCTION("""COMPUTED_VALUE"""),"1deepthink")</f>
        <v>1deepthink</v>
      </c>
      <c r="B1032" t="str">
        <f>IFERROR(__xludf.DUMMYFUNCTION("""COMPUTED_VALUE"""),"Salt Lake City")</f>
        <v>Salt Lake City</v>
      </c>
      <c r="C1032" t="str">
        <f>IFERROR(__xludf.DUMMYFUNCTION("""COMPUTED_VALUE"""),"UT")</f>
        <v>UT</v>
      </c>
      <c r="D1032" t="str">
        <f>IFERROR(__xludf.DUMMYFUNCTION("""COMPUTED_VALUE"""),"USA")</f>
        <v>USA</v>
      </c>
      <c r="E1032" s="188">
        <f>IFERROR(__xludf.DUMMYFUNCTION("""COMPUTED_VALUE"""),43300.0)</f>
        <v>43300</v>
      </c>
      <c r="F1032" s="188">
        <f>IFERROR(__xludf.DUMMYFUNCTION("""COMPUTED_VALUE"""),43362.0)</f>
        <v>43362</v>
      </c>
      <c r="H1032">
        <f>IFERROR(__xludf.DUMMYFUNCTION("""COMPUTED_VALUE"""),88355.0)</f>
        <v>88355</v>
      </c>
      <c r="J1032" s="5">
        <f>IFERROR(__xludf.DUMMYFUNCTION("""COMPUTED_VALUE"""),43368.0)</f>
        <v>43368</v>
      </c>
      <c r="K1032">
        <f>IFERROR(__xludf.DUMMYFUNCTION("""COMPUTED_VALUE"""),62.0)</f>
        <v>62</v>
      </c>
      <c r="L1032">
        <f>IFERROR(__xludf.DUMMYFUNCTION("""COMPUTED_VALUE"""),6.0)</f>
        <v>6</v>
      </c>
      <c r="M1032">
        <f>IFERROR(__xludf.DUMMYFUNCTION("""COMPUTED_VALUE"""),68.0)</f>
        <v>68</v>
      </c>
      <c r="N1032" t="str">
        <f>IFERROR(__xludf.DUMMYFUNCTION("""COMPUTED_VALUE"""),"Model 3 LR AWD")</f>
        <v>Model 3 LR AWD</v>
      </c>
      <c r="O1032" t="str">
        <f>IFERROR(__xludf.DUMMYFUNCTION("""COMPUTED_VALUE"""),"Deep Blue Metallic")</f>
        <v>Deep Blue Metallic</v>
      </c>
      <c r="P1032" t="str">
        <f>IFERROR(__xludf.DUMMYFUNCTION("""COMPUTED_VALUE"""),"19 inch Sport")</f>
        <v>19 inch Sport</v>
      </c>
      <c r="Q1032" t="str">
        <f>IFERROR(__xludf.DUMMYFUNCTION("""COMPUTED_VALUE"""),"Black seats")</f>
        <v>Black seats</v>
      </c>
      <c r="R1032" t="str">
        <f>IFERROR(__xludf.DUMMYFUNCTION("""COMPUTED_VALUE"""),"Full Self-Driving")</f>
        <v>Full Self-Driving</v>
      </c>
      <c r="X1032" t="str">
        <f>IFERROR(__xludf.DUMMYFUNCTION("""COMPUTED_VALUE"""),"Excellent")</f>
        <v>Excellent</v>
      </c>
      <c r="Y1032" t="str">
        <f>IFERROR(__xludf.DUMMYFUNCTION("""COMPUTED_VALUE"""),"Excellent")</f>
        <v>Excellent</v>
      </c>
      <c r="Z1032" t="str">
        <f>IFERROR(__xludf.DUMMYFUNCTION("""COMPUTED_VALUE"""),"Excellent")</f>
        <v>Excellent</v>
      </c>
      <c r="AA1032" t="str">
        <f>IFERROR(__xludf.DUMMYFUNCTION("""COMPUTED_VALUE"""),"Good")</f>
        <v>Good</v>
      </c>
      <c r="AB1032" t="str">
        <f>IFERROR(__xludf.DUMMYFUNCTION("""COMPUTED_VALUE"""),"Very Good")</f>
        <v>Very Good</v>
      </c>
      <c r="AC1032">
        <f>IFERROR(__xludf.DUMMYFUNCTION("""COMPUTED_VALUE"""),1.0)</f>
        <v>1</v>
      </c>
      <c r="AD1032">
        <f>IFERROR(__xludf.DUMMYFUNCTION("""COMPUTED_VALUE"""),1.0)</f>
        <v>1</v>
      </c>
      <c r="AE1032">
        <f>IFERROR(__xludf.DUMMYFUNCTION("""COMPUTED_VALUE"""),1.0)</f>
        <v>1</v>
      </c>
      <c r="AH1032" s="189">
        <f>IFERROR(__xludf.DUMMYFUNCTION("""COMPUTED_VALUE"""),43377.581489108794)</f>
        <v>43377.58149</v>
      </c>
    </row>
    <row r="1033">
      <c r="A1033" t="str">
        <f>IFERROR(__xludf.DUMMYFUNCTION("""COMPUTED_VALUE"""),"fishh")</f>
        <v>fishh</v>
      </c>
      <c r="B1033" t="str">
        <f>IFERROR(__xludf.DUMMYFUNCTION("""COMPUTED_VALUE"""),"Seattle")</f>
        <v>Seattle</v>
      </c>
      <c r="C1033" t="str">
        <f>IFERROR(__xludf.DUMMYFUNCTION("""COMPUTED_VALUE"""),"WA")</f>
        <v>WA</v>
      </c>
      <c r="D1033" t="str">
        <f>IFERROR(__xludf.DUMMYFUNCTION("""COMPUTED_VALUE"""),"USA")</f>
        <v>USA</v>
      </c>
      <c r="E1033" s="188">
        <f>IFERROR(__xludf.DUMMYFUNCTION("""COMPUTED_VALUE"""),43355.0)</f>
        <v>43355</v>
      </c>
      <c r="F1033" s="188">
        <f>IFERROR(__xludf.DUMMYFUNCTION("""COMPUTED_VALUE"""),43358.0)</f>
        <v>43358</v>
      </c>
      <c r="H1033">
        <f>IFERROR(__xludf.DUMMYFUNCTION("""COMPUTED_VALUE"""),70755.0)</f>
        <v>70755</v>
      </c>
      <c r="I1033" t="str">
        <f>IFERROR(__xludf.DUMMYFUNCTION("""COMPUTED_VALUE"""),"09/18")</f>
        <v>09/18</v>
      </c>
      <c r="J1033" s="5">
        <f>IFERROR(__xludf.DUMMYFUNCTION("""COMPUTED_VALUE"""),43371.0)</f>
        <v>43371</v>
      </c>
      <c r="K1033">
        <f>IFERROR(__xludf.DUMMYFUNCTION("""COMPUTED_VALUE"""),3.0)</f>
        <v>3</v>
      </c>
      <c r="L1033">
        <f>IFERROR(__xludf.DUMMYFUNCTION("""COMPUTED_VALUE"""),13.0)</f>
        <v>13</v>
      </c>
      <c r="M1033">
        <f>IFERROR(__xludf.DUMMYFUNCTION("""COMPUTED_VALUE"""),16.0)</f>
        <v>16</v>
      </c>
      <c r="N1033" t="str">
        <f>IFERROR(__xludf.DUMMYFUNCTION("""COMPUTED_VALUE"""),"Model 3 Performance")</f>
        <v>Model 3 Performance</v>
      </c>
      <c r="O1033" t="str">
        <f>IFERROR(__xludf.DUMMYFUNCTION("""COMPUTED_VALUE"""),"Obsidian Black Metallic")</f>
        <v>Obsidian Black Metallic</v>
      </c>
      <c r="P1033" t="str">
        <f>IFERROR(__xludf.DUMMYFUNCTION("""COMPUTED_VALUE"""),"18 inch Aero")</f>
        <v>18 inch Aero</v>
      </c>
      <c r="Q1033" t="str">
        <f>IFERROR(__xludf.DUMMYFUNCTION("""COMPUTED_VALUE"""),"Black seats")</f>
        <v>Black seats</v>
      </c>
      <c r="R1033" t="str">
        <f>IFERROR(__xludf.DUMMYFUNCTION("""COMPUTED_VALUE"""),"Enhanced Autopilot")</f>
        <v>Enhanced Autopilot</v>
      </c>
      <c r="X1033" t="str">
        <f>IFERROR(__xludf.DUMMYFUNCTION("""COMPUTED_VALUE"""),"Excellent")</f>
        <v>Excellent</v>
      </c>
      <c r="Y1033" t="str">
        <f>IFERROR(__xludf.DUMMYFUNCTION("""COMPUTED_VALUE"""),"Excellent")</f>
        <v>Excellent</v>
      </c>
      <c r="Z1033" t="str">
        <f>IFERROR(__xludf.DUMMYFUNCTION("""COMPUTED_VALUE"""),"Excellent")</f>
        <v>Excellent</v>
      </c>
      <c r="AA1033" t="str">
        <f>IFERROR(__xludf.DUMMYFUNCTION("""COMPUTED_VALUE"""),"Excellent")</f>
        <v>Excellent</v>
      </c>
      <c r="AB1033" t="str">
        <f>IFERROR(__xludf.DUMMYFUNCTION("""COMPUTED_VALUE"""),"Good")</f>
        <v>Good</v>
      </c>
      <c r="AH1033" s="189">
        <f>IFERROR(__xludf.DUMMYFUNCTION("""COMPUTED_VALUE"""),43377.64247143519)</f>
        <v>43377.64247</v>
      </c>
    </row>
    <row r="1034">
      <c r="A1034" t="str">
        <f>IFERROR(__xludf.DUMMYFUNCTION("""COMPUTED_VALUE"""),"ac_sc")</f>
        <v>ac_sc</v>
      </c>
      <c r="B1034" t="str">
        <f>IFERROR(__xludf.DUMMYFUNCTION("""COMPUTED_VALUE"""),"San Francisco Bay Area")</f>
        <v>San Francisco Bay Area</v>
      </c>
      <c r="C1034" t="str">
        <f>IFERROR(__xludf.DUMMYFUNCTION("""COMPUTED_VALUE"""),"CA")</f>
        <v>CA</v>
      </c>
      <c r="D1034" t="str">
        <f>IFERROR(__xludf.DUMMYFUNCTION("""COMPUTED_VALUE"""),"USA")</f>
        <v>USA</v>
      </c>
      <c r="E1034" s="188">
        <f>IFERROR(__xludf.DUMMYFUNCTION("""COMPUTED_VALUE"""),43363.0)</f>
        <v>43363</v>
      </c>
      <c r="F1034" s="188">
        <f>IFERROR(__xludf.DUMMYFUNCTION("""COMPUTED_VALUE"""),43364.0)</f>
        <v>43364</v>
      </c>
      <c r="H1034">
        <f>IFERROR(__xludf.DUMMYFUNCTION("""COMPUTED_VALUE"""),53455.0)</f>
        <v>53455</v>
      </c>
      <c r="I1034" t="str">
        <f>IFERROR(__xludf.DUMMYFUNCTION("""COMPUTED_VALUE"""),"07/18")</f>
        <v>07/18</v>
      </c>
      <c r="J1034" s="5">
        <f>IFERROR(__xludf.DUMMYFUNCTION("""COMPUTED_VALUE"""),43373.0)</f>
        <v>43373</v>
      </c>
      <c r="K1034">
        <f>IFERROR(__xludf.DUMMYFUNCTION("""COMPUTED_VALUE"""),1.0)</f>
        <v>1</v>
      </c>
      <c r="L1034">
        <f>IFERROR(__xludf.DUMMYFUNCTION("""COMPUTED_VALUE"""),9.0)</f>
        <v>9</v>
      </c>
      <c r="M1034">
        <f>IFERROR(__xludf.DUMMYFUNCTION("""COMPUTED_VALUE"""),10.0)</f>
        <v>10</v>
      </c>
      <c r="N1034" t="str">
        <f>IFERROR(__xludf.DUMMYFUNCTION("""COMPUTED_VALUE"""),"Model 3 LR")</f>
        <v>Model 3 LR</v>
      </c>
      <c r="O1034" t="str">
        <f>IFERROR(__xludf.DUMMYFUNCTION("""COMPUTED_VALUE"""),"Red Multi-Coat")</f>
        <v>Red Multi-Coat</v>
      </c>
      <c r="P1034" t="str">
        <f>IFERROR(__xludf.DUMMYFUNCTION("""COMPUTED_VALUE"""),"19 inch Sport")</f>
        <v>19 inch Sport</v>
      </c>
      <c r="Q1034" t="str">
        <f>IFERROR(__xludf.DUMMYFUNCTION("""COMPUTED_VALUE"""),"Black seats")</f>
        <v>Black seats</v>
      </c>
      <c r="R1034" t="str">
        <f>IFERROR(__xludf.DUMMYFUNCTION("""COMPUTED_VALUE"""),"None")</f>
        <v>None</v>
      </c>
      <c r="X1034" t="str">
        <f>IFERROR(__xludf.DUMMYFUNCTION("""COMPUTED_VALUE"""),"Excellent")</f>
        <v>Excellent</v>
      </c>
      <c r="Y1034" t="str">
        <f>IFERROR(__xludf.DUMMYFUNCTION("""COMPUTED_VALUE"""),"Excellent")</f>
        <v>Excellent</v>
      </c>
      <c r="Z1034" t="str">
        <f>IFERROR(__xludf.DUMMYFUNCTION("""COMPUTED_VALUE"""),"Very Good")</f>
        <v>Very Good</v>
      </c>
      <c r="AA1034" t="str">
        <f>IFERROR(__xludf.DUMMYFUNCTION("""COMPUTED_VALUE"""),"Very Good")</f>
        <v>Very Good</v>
      </c>
      <c r="AB1034" t="str">
        <f>IFERROR(__xludf.DUMMYFUNCTION("""COMPUTED_VALUE"""),"Very Good")</f>
        <v>Very Good</v>
      </c>
      <c r="AC1034">
        <f>IFERROR(__xludf.DUMMYFUNCTION("""COMPUTED_VALUE"""),1.0)</f>
        <v>1</v>
      </c>
      <c r="AH1034" s="189">
        <f>IFERROR(__xludf.DUMMYFUNCTION("""COMPUTED_VALUE"""),43377.65816842593)</f>
        <v>43377.65817</v>
      </c>
    </row>
    <row r="1035">
      <c r="A1035" t="str">
        <f>IFERROR(__xludf.DUMMYFUNCTION("""COMPUTED_VALUE"""),"mym3")</f>
        <v>mym3</v>
      </c>
      <c r="B1035" t="str">
        <f>IFERROR(__xludf.DUMMYFUNCTION("""COMPUTED_VALUE"""),"Phoenixville")</f>
        <v>Phoenixville</v>
      </c>
      <c r="C1035" t="str">
        <f>IFERROR(__xludf.DUMMYFUNCTION("""COMPUTED_VALUE"""),"PA")</f>
        <v>PA</v>
      </c>
      <c r="D1035" t="str">
        <f>IFERROR(__xludf.DUMMYFUNCTION("""COMPUTED_VALUE"""),"USA")</f>
        <v>USA</v>
      </c>
      <c r="E1035" s="188">
        <f>IFERROR(__xludf.DUMMYFUNCTION("""COMPUTED_VALUE"""),43318.0)</f>
        <v>43318</v>
      </c>
      <c r="F1035" s="188">
        <f>IFERROR(__xludf.DUMMYFUNCTION("""COMPUTED_VALUE"""),43373.0)</f>
        <v>43373</v>
      </c>
      <c r="H1035">
        <f>IFERROR(__xludf.DUMMYFUNCTION("""COMPUTED_VALUE"""),97455.0)</f>
        <v>97455</v>
      </c>
      <c r="I1035" t="str">
        <f>IFERROR(__xludf.DUMMYFUNCTION("""COMPUTED_VALUE"""),"08/18")</f>
        <v>08/18</v>
      </c>
      <c r="J1035" s="5">
        <f>IFERROR(__xludf.DUMMYFUNCTION("""COMPUTED_VALUE"""),43375.0)</f>
        <v>43375</v>
      </c>
      <c r="K1035">
        <f>IFERROR(__xludf.DUMMYFUNCTION("""COMPUTED_VALUE"""),55.0)</f>
        <v>55</v>
      </c>
      <c r="L1035">
        <f>IFERROR(__xludf.DUMMYFUNCTION("""COMPUTED_VALUE"""),2.0)</f>
        <v>2</v>
      </c>
      <c r="M1035">
        <f>IFERROR(__xludf.DUMMYFUNCTION("""COMPUTED_VALUE"""),57.0)</f>
        <v>57</v>
      </c>
      <c r="N1035" t="str">
        <f>IFERROR(__xludf.DUMMYFUNCTION("""COMPUTED_VALUE"""),"Model 3 LR AWD")</f>
        <v>Model 3 LR AWD</v>
      </c>
      <c r="O1035" t="str">
        <f>IFERROR(__xludf.DUMMYFUNCTION("""COMPUTED_VALUE"""),"Red Multi-Coat")</f>
        <v>Red Multi-Coat</v>
      </c>
      <c r="P1035" t="str">
        <f>IFERROR(__xludf.DUMMYFUNCTION("""COMPUTED_VALUE"""),"19 inch Sport")</f>
        <v>19 inch Sport</v>
      </c>
      <c r="Q1035" t="str">
        <f>IFERROR(__xludf.DUMMYFUNCTION("""COMPUTED_VALUE"""),"White seats")</f>
        <v>White seats</v>
      </c>
      <c r="R1035" t="str">
        <f>IFERROR(__xludf.DUMMYFUNCTION("""COMPUTED_VALUE"""),"Enhanced Autopilot")</f>
        <v>Enhanced Autopilot</v>
      </c>
      <c r="X1035" t="str">
        <f>IFERROR(__xludf.DUMMYFUNCTION("""COMPUTED_VALUE"""),"Very Good")</f>
        <v>Very Good</v>
      </c>
      <c r="Y1035" t="str">
        <f>IFERROR(__xludf.DUMMYFUNCTION("""COMPUTED_VALUE"""),"Very Good")</f>
        <v>Very Good</v>
      </c>
      <c r="Z1035" t="str">
        <f>IFERROR(__xludf.DUMMYFUNCTION("""COMPUTED_VALUE"""),"Fair")</f>
        <v>Fair</v>
      </c>
      <c r="AA1035" t="str">
        <f>IFERROR(__xludf.DUMMYFUNCTION("""COMPUTED_VALUE"""),"Poor")</f>
        <v>Poor</v>
      </c>
      <c r="AB1035" t="str">
        <f>IFERROR(__xludf.DUMMYFUNCTION("""COMPUTED_VALUE"""),"Fair")</f>
        <v>Fair</v>
      </c>
      <c r="AC1035">
        <f>IFERROR(__xludf.DUMMYFUNCTION("""COMPUTED_VALUE"""),2.0)</f>
        <v>2</v>
      </c>
      <c r="AD1035">
        <f>IFERROR(__xludf.DUMMYFUNCTION("""COMPUTED_VALUE"""),1.0)</f>
        <v>1</v>
      </c>
      <c r="AE1035">
        <f>IFERROR(__xludf.DUMMYFUNCTION("""COMPUTED_VALUE"""),1.0)</f>
        <v>1</v>
      </c>
      <c r="AH1035" s="189">
        <f>IFERROR(__xludf.DUMMYFUNCTION("""COMPUTED_VALUE"""),43377.69205770834)</f>
        <v>43377.69206</v>
      </c>
    </row>
    <row r="1036">
      <c r="A1036" t="str">
        <f>IFERROR(__xludf.DUMMYFUNCTION("""COMPUTED_VALUE"""),"mudba")</f>
        <v>mudba</v>
      </c>
      <c r="B1036" t="str">
        <f>IFERROR(__xludf.DUMMYFUNCTION("""COMPUTED_VALUE"""),"Chicago")</f>
        <v>Chicago</v>
      </c>
      <c r="C1036" t="str">
        <f>IFERROR(__xludf.DUMMYFUNCTION("""COMPUTED_VALUE"""),"IL")</f>
        <v>IL</v>
      </c>
      <c r="D1036" t="str">
        <f>IFERROR(__xludf.DUMMYFUNCTION("""COMPUTED_VALUE"""),"USA")</f>
        <v>USA</v>
      </c>
      <c r="E1036" s="188">
        <f>IFERROR(__xludf.DUMMYFUNCTION("""COMPUTED_VALUE"""),43280.0)</f>
        <v>43280</v>
      </c>
      <c r="F1036" s="188">
        <f>IFERROR(__xludf.DUMMYFUNCTION("""COMPUTED_VALUE"""),43361.0)</f>
        <v>43361</v>
      </c>
      <c r="H1036">
        <f>IFERROR(__xludf.DUMMYFUNCTION("""COMPUTED_VALUE"""),88055.0)</f>
        <v>88055</v>
      </c>
      <c r="I1036" t="str">
        <f>IFERROR(__xludf.DUMMYFUNCTION("""COMPUTED_VALUE"""),"09/18")</f>
        <v>09/18</v>
      </c>
      <c r="J1036" s="5">
        <f>IFERROR(__xludf.DUMMYFUNCTION("""COMPUTED_VALUE"""),43372.0)</f>
        <v>43372</v>
      </c>
      <c r="K1036">
        <f>IFERROR(__xludf.DUMMYFUNCTION("""COMPUTED_VALUE"""),81.0)</f>
        <v>81</v>
      </c>
      <c r="L1036">
        <f>IFERROR(__xludf.DUMMYFUNCTION("""COMPUTED_VALUE"""),11.0)</f>
        <v>11</v>
      </c>
      <c r="M1036">
        <f>IFERROR(__xludf.DUMMYFUNCTION("""COMPUTED_VALUE"""),92.0)</f>
        <v>92</v>
      </c>
      <c r="N1036" t="str">
        <f>IFERROR(__xludf.DUMMYFUNCTION("""COMPUTED_VALUE"""),"Model 3 LR AWD")</f>
        <v>Model 3 LR AWD</v>
      </c>
      <c r="O1036" t="str">
        <f>IFERROR(__xludf.DUMMYFUNCTION("""COMPUTED_VALUE"""),"Red Multi-Coat")</f>
        <v>Red Multi-Coat</v>
      </c>
      <c r="P1036" t="str">
        <f>IFERROR(__xludf.DUMMYFUNCTION("""COMPUTED_VALUE"""),"18 inch Aero")</f>
        <v>18 inch Aero</v>
      </c>
      <c r="Q1036" t="str">
        <f>IFERROR(__xludf.DUMMYFUNCTION("""COMPUTED_VALUE"""),"Black seats")</f>
        <v>Black seats</v>
      </c>
      <c r="R1036" t="str">
        <f>IFERROR(__xludf.DUMMYFUNCTION("""COMPUTED_VALUE"""),"Enhanced Autopilot")</f>
        <v>Enhanced Autopilot</v>
      </c>
      <c r="X1036" t="str">
        <f>IFERROR(__xludf.DUMMYFUNCTION("""COMPUTED_VALUE"""),"Very Good")</f>
        <v>Very Good</v>
      </c>
      <c r="Y1036" t="str">
        <f>IFERROR(__xludf.DUMMYFUNCTION("""COMPUTED_VALUE"""),"Very Good")</f>
        <v>Very Good</v>
      </c>
      <c r="Z1036" t="str">
        <f>IFERROR(__xludf.DUMMYFUNCTION("""COMPUTED_VALUE"""),"Good")</f>
        <v>Good</v>
      </c>
      <c r="AA1036" t="str">
        <f>IFERROR(__xludf.DUMMYFUNCTION("""COMPUTED_VALUE"""),"Very Good")</f>
        <v>Very Good</v>
      </c>
      <c r="AB1036" t="str">
        <f>IFERROR(__xludf.DUMMYFUNCTION("""COMPUTED_VALUE"""),"Poor")</f>
        <v>Poor</v>
      </c>
      <c r="AC1036">
        <f>IFERROR(__xludf.DUMMYFUNCTION("""COMPUTED_VALUE"""),2.0)</f>
        <v>2</v>
      </c>
      <c r="AD1036">
        <f>IFERROR(__xludf.DUMMYFUNCTION("""COMPUTED_VALUE"""),1.0)</f>
        <v>1</v>
      </c>
      <c r="AE1036">
        <f>IFERROR(__xludf.DUMMYFUNCTION("""COMPUTED_VALUE"""),2.0)</f>
        <v>2</v>
      </c>
      <c r="AH1036" s="189">
        <f>IFERROR(__xludf.DUMMYFUNCTION("""COMPUTED_VALUE"""),43377.731765046294)</f>
        <v>43377.73177</v>
      </c>
    </row>
    <row r="1037">
      <c r="A1037" t="str">
        <f>IFERROR(__xludf.DUMMYFUNCTION("""COMPUTED_VALUE"""),"sykesm")</f>
        <v>sykesm</v>
      </c>
      <c r="C1037" t="str">
        <f>IFERROR(__xludf.DUMMYFUNCTION("""COMPUTED_VALUE"""),"NC")</f>
        <v>NC</v>
      </c>
      <c r="D1037" t="str">
        <f>IFERROR(__xludf.DUMMYFUNCTION("""COMPUTED_VALUE"""),"USA")</f>
        <v>USA</v>
      </c>
      <c r="E1037" s="188">
        <f>IFERROR(__xludf.DUMMYFUNCTION("""COMPUTED_VALUE"""),43279.0)</f>
        <v>43279</v>
      </c>
      <c r="F1037" s="188">
        <f>IFERROR(__xludf.DUMMYFUNCTION("""COMPUTED_VALUE"""),43367.0)</f>
        <v>43367</v>
      </c>
      <c r="H1037">
        <f>IFERROR(__xludf.DUMMYFUNCTION("""COMPUTED_VALUE"""),97655.0)</f>
        <v>97655</v>
      </c>
      <c r="I1037" t="str">
        <f>IFERROR(__xludf.DUMMYFUNCTION("""COMPUTED_VALUE"""),"08/18")</f>
        <v>08/18</v>
      </c>
      <c r="J1037" s="5">
        <f>IFERROR(__xludf.DUMMYFUNCTION("""COMPUTED_VALUE"""),43373.0)</f>
        <v>43373</v>
      </c>
      <c r="K1037">
        <f>IFERROR(__xludf.DUMMYFUNCTION("""COMPUTED_VALUE"""),88.0)</f>
        <v>88</v>
      </c>
      <c r="L1037">
        <f>IFERROR(__xludf.DUMMYFUNCTION("""COMPUTED_VALUE"""),6.0)</f>
        <v>6</v>
      </c>
      <c r="M1037">
        <f>IFERROR(__xludf.DUMMYFUNCTION("""COMPUTED_VALUE"""),94.0)</f>
        <v>94</v>
      </c>
      <c r="N1037" t="str">
        <f>IFERROR(__xludf.DUMMYFUNCTION("""COMPUTED_VALUE"""),"Model 3 LR AWD")</f>
        <v>Model 3 LR AWD</v>
      </c>
      <c r="O1037" t="str">
        <f>IFERROR(__xludf.DUMMYFUNCTION("""COMPUTED_VALUE"""),"Deep Blue Metallic")</f>
        <v>Deep Blue Metallic</v>
      </c>
      <c r="P1037" t="str">
        <f>IFERROR(__xludf.DUMMYFUNCTION("""COMPUTED_VALUE"""),"19 inch Sport")</f>
        <v>19 inch Sport</v>
      </c>
      <c r="Q1037" t="str">
        <f>IFERROR(__xludf.DUMMYFUNCTION("""COMPUTED_VALUE"""),"White seats")</f>
        <v>White seats</v>
      </c>
      <c r="R1037" t="str">
        <f>IFERROR(__xludf.DUMMYFUNCTION("""COMPUTED_VALUE"""),"Enhanced Autopilot")</f>
        <v>Enhanced Autopilot</v>
      </c>
      <c r="X1037" t="str">
        <f>IFERROR(__xludf.DUMMYFUNCTION("""COMPUTED_VALUE"""),"Excellent")</f>
        <v>Excellent</v>
      </c>
      <c r="Y1037" t="str">
        <f>IFERROR(__xludf.DUMMYFUNCTION("""COMPUTED_VALUE"""),"Very Good")</f>
        <v>Very Good</v>
      </c>
      <c r="Z1037" t="str">
        <f>IFERROR(__xludf.DUMMYFUNCTION("""COMPUTED_VALUE"""),"Excellent")</f>
        <v>Excellent</v>
      </c>
      <c r="AA1037" t="str">
        <f>IFERROR(__xludf.DUMMYFUNCTION("""COMPUTED_VALUE"""),"Poor")</f>
        <v>Poor</v>
      </c>
      <c r="AB1037" t="str">
        <f>IFERROR(__xludf.DUMMYFUNCTION("""COMPUTED_VALUE"""),"Good")</f>
        <v>Good</v>
      </c>
      <c r="AC1037">
        <f>IFERROR(__xludf.DUMMYFUNCTION("""COMPUTED_VALUE"""),5.0)</f>
        <v>5</v>
      </c>
      <c r="AH1037" s="189">
        <f>IFERROR(__xludf.DUMMYFUNCTION("""COMPUTED_VALUE"""),43378.23055940973)</f>
        <v>43378.23056</v>
      </c>
    </row>
    <row r="1038">
      <c r="A1038" t="str">
        <f>IFERROR(__xludf.DUMMYFUNCTION("""COMPUTED_VALUE"""),"PeterK")</f>
        <v>PeterK</v>
      </c>
      <c r="C1038" t="str">
        <f>IFERROR(__xludf.DUMMYFUNCTION("""COMPUTED_VALUE"""),"MA")</f>
        <v>MA</v>
      </c>
      <c r="D1038" t="str">
        <f>IFERROR(__xludf.DUMMYFUNCTION("""COMPUTED_VALUE"""),"USA")</f>
        <v>USA</v>
      </c>
      <c r="E1038" s="188">
        <f>IFERROR(__xludf.DUMMYFUNCTION("""COMPUTED_VALUE"""),43243.0)</f>
        <v>43243</v>
      </c>
      <c r="F1038" s="188">
        <f>IFERROR(__xludf.DUMMYFUNCTION("""COMPUTED_VALUE"""),43307.0)</f>
        <v>43307</v>
      </c>
      <c r="H1038">
        <f>IFERROR(__xludf.DUMMYFUNCTION("""COMPUTED_VALUE"""),64055.0)</f>
        <v>64055</v>
      </c>
      <c r="I1038" t="str">
        <f>IFERROR(__xludf.DUMMYFUNCTION("""COMPUTED_VALUE"""),"07/18")</f>
        <v>07/18</v>
      </c>
      <c r="J1038" s="5">
        <f>IFERROR(__xludf.DUMMYFUNCTION("""COMPUTED_VALUE"""),43333.0)</f>
        <v>43333</v>
      </c>
      <c r="K1038">
        <f>IFERROR(__xludf.DUMMYFUNCTION("""COMPUTED_VALUE"""),64.0)</f>
        <v>64</v>
      </c>
      <c r="L1038">
        <f>IFERROR(__xludf.DUMMYFUNCTION("""COMPUTED_VALUE"""),26.0)</f>
        <v>26</v>
      </c>
      <c r="M1038">
        <f>IFERROR(__xludf.DUMMYFUNCTION("""COMPUTED_VALUE"""),90.0)</f>
        <v>90</v>
      </c>
      <c r="N1038" t="str">
        <f>IFERROR(__xludf.DUMMYFUNCTION("""COMPUTED_VALUE"""),"Model 3 LR AWD")</f>
        <v>Model 3 LR AWD</v>
      </c>
      <c r="O1038" t="str">
        <f>IFERROR(__xludf.DUMMYFUNCTION("""COMPUTED_VALUE"""),"Deep Blue Metallic")</f>
        <v>Deep Blue Metallic</v>
      </c>
      <c r="P1038" t="str">
        <f>IFERROR(__xludf.DUMMYFUNCTION("""COMPUTED_VALUE"""),"18 inch Aero")</f>
        <v>18 inch Aero</v>
      </c>
      <c r="Q1038" t="str">
        <f>IFERROR(__xludf.DUMMYFUNCTION("""COMPUTED_VALUE"""),"Black seats")</f>
        <v>Black seats</v>
      </c>
      <c r="R1038" t="str">
        <f>IFERROR(__xludf.DUMMYFUNCTION("""COMPUTED_VALUE"""),"Enhanced Autopilot")</f>
        <v>Enhanced Autopilot</v>
      </c>
      <c r="X1038" t="str">
        <f>IFERROR(__xludf.DUMMYFUNCTION("""COMPUTED_VALUE"""),"Very Good")</f>
        <v>Very Good</v>
      </c>
      <c r="Y1038" t="str">
        <f>IFERROR(__xludf.DUMMYFUNCTION("""COMPUTED_VALUE"""),"Excellent")</f>
        <v>Excellent</v>
      </c>
      <c r="Z1038" t="str">
        <f>IFERROR(__xludf.DUMMYFUNCTION("""COMPUTED_VALUE"""),"Excellent")</f>
        <v>Excellent</v>
      </c>
      <c r="AA1038" t="str">
        <f>IFERROR(__xludf.DUMMYFUNCTION("""COMPUTED_VALUE"""),"Excellent")</f>
        <v>Excellent</v>
      </c>
      <c r="AB1038" t="str">
        <f>IFERROR(__xludf.DUMMYFUNCTION("""COMPUTED_VALUE"""),"Very Good")</f>
        <v>Very Good</v>
      </c>
      <c r="AC1038">
        <f>IFERROR(__xludf.DUMMYFUNCTION("""COMPUTED_VALUE"""),4.0)</f>
        <v>4</v>
      </c>
      <c r="AD1038">
        <f>IFERROR(__xludf.DUMMYFUNCTION("""COMPUTED_VALUE"""),1.0)</f>
        <v>1</v>
      </c>
      <c r="AE1038">
        <f>IFERROR(__xludf.DUMMYFUNCTION("""COMPUTED_VALUE"""),2.0)</f>
        <v>2</v>
      </c>
      <c r="AH1038" s="189">
        <f>IFERROR(__xludf.DUMMYFUNCTION("""COMPUTED_VALUE"""),43378.29140682871)</f>
        <v>43378.29141</v>
      </c>
    </row>
    <row r="1039">
      <c r="A1039" t="str">
        <f>IFERROR(__xludf.DUMMYFUNCTION("""COMPUTED_VALUE"""),"FourOhFour")</f>
        <v>FourOhFour</v>
      </c>
      <c r="C1039" t="str">
        <f>IFERROR(__xludf.DUMMYFUNCTION("""COMPUTED_VALUE"""),"CT")</f>
        <v>CT</v>
      </c>
      <c r="D1039" t="str">
        <f>IFERROR(__xludf.DUMMYFUNCTION("""COMPUTED_VALUE"""),"USA")</f>
        <v>USA</v>
      </c>
      <c r="E1039" s="188">
        <f>IFERROR(__xludf.DUMMYFUNCTION("""COMPUTED_VALUE"""),43280.0)</f>
        <v>43280</v>
      </c>
      <c r="F1039" s="188">
        <f>IFERROR(__xludf.DUMMYFUNCTION("""COMPUTED_VALUE"""),43347.0)</f>
        <v>43347</v>
      </c>
      <c r="H1039">
        <f>IFERROR(__xludf.DUMMYFUNCTION("""COMPUTED_VALUE"""),96355.0)</f>
        <v>96355</v>
      </c>
      <c r="I1039" t="str">
        <f>IFERROR(__xludf.DUMMYFUNCTION("""COMPUTED_VALUE"""),"08/18")</f>
        <v>08/18</v>
      </c>
      <c r="J1039" s="5">
        <f>IFERROR(__xludf.DUMMYFUNCTION("""COMPUTED_VALUE"""),43355.0)</f>
        <v>43355</v>
      </c>
      <c r="K1039">
        <f>IFERROR(__xludf.DUMMYFUNCTION("""COMPUTED_VALUE"""),67.0)</f>
        <v>67</v>
      </c>
      <c r="L1039">
        <f>IFERROR(__xludf.DUMMYFUNCTION("""COMPUTED_VALUE"""),8.0)</f>
        <v>8</v>
      </c>
      <c r="M1039">
        <f>IFERROR(__xludf.DUMMYFUNCTION("""COMPUTED_VALUE"""),75.0)</f>
        <v>75</v>
      </c>
      <c r="N1039" t="str">
        <f>IFERROR(__xludf.DUMMYFUNCTION("""COMPUTED_VALUE"""),"Model 3 LR AWD")</f>
        <v>Model 3 LR AWD</v>
      </c>
      <c r="O1039" t="str">
        <f>IFERROR(__xludf.DUMMYFUNCTION("""COMPUTED_VALUE"""),"Red Multi-Coat")</f>
        <v>Red Multi-Coat</v>
      </c>
      <c r="P1039" t="str">
        <f>IFERROR(__xludf.DUMMYFUNCTION("""COMPUTED_VALUE"""),"18 inch Aero")</f>
        <v>18 inch Aero</v>
      </c>
      <c r="Q1039" t="str">
        <f>IFERROR(__xludf.DUMMYFUNCTION("""COMPUTED_VALUE"""),"White seats")</f>
        <v>White seats</v>
      </c>
      <c r="R1039" t="str">
        <f>IFERROR(__xludf.DUMMYFUNCTION("""COMPUTED_VALUE"""),"None")</f>
        <v>None</v>
      </c>
      <c r="X1039" t="str">
        <f>IFERROR(__xludf.DUMMYFUNCTION("""COMPUTED_VALUE"""),"Excellent")</f>
        <v>Excellent</v>
      </c>
      <c r="Y1039" t="str">
        <f>IFERROR(__xludf.DUMMYFUNCTION("""COMPUTED_VALUE"""),"Good")</f>
        <v>Good</v>
      </c>
      <c r="Z1039" t="str">
        <f>IFERROR(__xludf.DUMMYFUNCTION("""COMPUTED_VALUE"""),"Fair")</f>
        <v>Fair</v>
      </c>
      <c r="AA1039" t="str">
        <f>IFERROR(__xludf.DUMMYFUNCTION("""COMPUTED_VALUE"""),"Fair")</f>
        <v>Fair</v>
      </c>
      <c r="AB1039" t="str">
        <f>IFERROR(__xludf.DUMMYFUNCTION("""COMPUTED_VALUE"""),"Excellent")</f>
        <v>Excellent</v>
      </c>
      <c r="AC1039">
        <f>IFERROR(__xludf.DUMMYFUNCTION("""COMPUTED_VALUE"""),5.0)</f>
        <v>5</v>
      </c>
      <c r="AD1039">
        <f>IFERROR(__xludf.DUMMYFUNCTION("""COMPUTED_VALUE"""),2.0)</f>
        <v>2</v>
      </c>
      <c r="AE1039">
        <f>IFERROR(__xludf.DUMMYFUNCTION("""COMPUTED_VALUE"""),4.0)</f>
        <v>4</v>
      </c>
      <c r="AH1039" s="189">
        <f>IFERROR(__xludf.DUMMYFUNCTION("""COMPUTED_VALUE"""),43378.37082114583)</f>
        <v>43378.37082</v>
      </c>
    </row>
    <row r="1040">
      <c r="A1040" t="str">
        <f>IFERROR(__xludf.DUMMYFUNCTION("""COMPUTED_VALUE"""),"macpito")</f>
        <v>macpito</v>
      </c>
      <c r="B1040" t="str">
        <f>IFERROR(__xludf.DUMMYFUNCTION("""COMPUTED_VALUE"""),"Orange County")</f>
        <v>Orange County</v>
      </c>
      <c r="C1040" t="str">
        <f>IFERROR(__xludf.DUMMYFUNCTION("""COMPUTED_VALUE"""),"CA")</f>
        <v>CA</v>
      </c>
      <c r="D1040" t="str">
        <f>IFERROR(__xludf.DUMMYFUNCTION("""COMPUTED_VALUE"""),"USA")</f>
        <v>USA</v>
      </c>
      <c r="E1040" s="188">
        <f>IFERROR(__xludf.DUMMYFUNCTION("""COMPUTED_VALUE"""),43311.0)</f>
        <v>43311</v>
      </c>
      <c r="F1040" s="188">
        <f>IFERROR(__xludf.DUMMYFUNCTION("""COMPUTED_VALUE"""),43365.0)</f>
        <v>43365</v>
      </c>
      <c r="H1040">
        <f>IFERROR(__xludf.DUMMYFUNCTION("""COMPUTED_VALUE"""),103483.0)</f>
        <v>103483</v>
      </c>
      <c r="J1040" s="5">
        <f>IFERROR(__xludf.DUMMYFUNCTION("""COMPUTED_VALUE"""),43368.0)</f>
        <v>43368</v>
      </c>
      <c r="K1040">
        <f>IFERROR(__xludf.DUMMYFUNCTION("""COMPUTED_VALUE"""),54.0)</f>
        <v>54</v>
      </c>
      <c r="L1040">
        <f>IFERROR(__xludf.DUMMYFUNCTION("""COMPUTED_VALUE"""),3.0)</f>
        <v>3</v>
      </c>
      <c r="M1040">
        <f>IFERROR(__xludf.DUMMYFUNCTION("""COMPUTED_VALUE"""),57.0)</f>
        <v>57</v>
      </c>
      <c r="N1040" t="str">
        <f>IFERROR(__xludf.DUMMYFUNCTION("""COMPUTED_VALUE"""),"Model 3 LR AWD")</f>
        <v>Model 3 LR AWD</v>
      </c>
      <c r="O1040" t="str">
        <f>IFERROR(__xludf.DUMMYFUNCTION("""COMPUTED_VALUE"""),"Solid Black")</f>
        <v>Solid Black</v>
      </c>
      <c r="P1040" t="str">
        <f>IFERROR(__xludf.DUMMYFUNCTION("""COMPUTED_VALUE"""),"18 inch Aero")</f>
        <v>18 inch Aero</v>
      </c>
      <c r="Q1040" t="str">
        <f>IFERROR(__xludf.DUMMYFUNCTION("""COMPUTED_VALUE"""),"Black seats")</f>
        <v>Black seats</v>
      </c>
      <c r="R1040" t="str">
        <f>IFERROR(__xludf.DUMMYFUNCTION("""COMPUTED_VALUE"""),"Enhanced Autopilot")</f>
        <v>Enhanced Autopilot</v>
      </c>
      <c r="X1040" t="str">
        <f>IFERROR(__xludf.DUMMYFUNCTION("""COMPUTED_VALUE"""),"Excellent")</f>
        <v>Excellent</v>
      </c>
      <c r="Y1040" t="str">
        <f>IFERROR(__xludf.DUMMYFUNCTION("""COMPUTED_VALUE"""),"Excellent")</f>
        <v>Excellent</v>
      </c>
      <c r="Z1040" t="str">
        <f>IFERROR(__xludf.DUMMYFUNCTION("""COMPUTED_VALUE"""),"Good")</f>
        <v>Good</v>
      </c>
      <c r="AA1040" t="str">
        <f>IFERROR(__xludf.DUMMYFUNCTION("""COMPUTED_VALUE"""),"Fair")</f>
        <v>Fair</v>
      </c>
      <c r="AB1040" t="str">
        <f>IFERROR(__xludf.DUMMYFUNCTION("""COMPUTED_VALUE"""),"Excellent")</f>
        <v>Excellent</v>
      </c>
      <c r="AC1040">
        <f>IFERROR(__xludf.DUMMYFUNCTION("""COMPUTED_VALUE"""),0.0)</f>
        <v>0</v>
      </c>
      <c r="AD1040">
        <f>IFERROR(__xludf.DUMMYFUNCTION("""COMPUTED_VALUE"""),0.0)</f>
        <v>0</v>
      </c>
      <c r="AE1040">
        <f>IFERROR(__xludf.DUMMYFUNCTION("""COMPUTED_VALUE"""),0.0)</f>
        <v>0</v>
      </c>
      <c r="AH1040" s="189">
        <f>IFERROR(__xludf.DUMMYFUNCTION("""COMPUTED_VALUE"""),43378.45458496528)</f>
        <v>43378.45458</v>
      </c>
    </row>
    <row r="1041">
      <c r="A1041" t="str">
        <f>IFERROR(__xludf.DUMMYFUNCTION("""COMPUTED_VALUE"""),"MercedesBez")</f>
        <v>MercedesBez</v>
      </c>
      <c r="B1041" t="str">
        <f>IFERROR(__xludf.DUMMYFUNCTION("""COMPUTED_VALUE"""),"SLC")</f>
        <v>SLC</v>
      </c>
      <c r="C1041" t="str">
        <f>IFERROR(__xludf.DUMMYFUNCTION("""COMPUTED_VALUE"""),"UT")</f>
        <v>UT</v>
      </c>
      <c r="D1041" t="str">
        <f>IFERROR(__xludf.DUMMYFUNCTION("""COMPUTED_VALUE"""),"USA")</f>
        <v>USA</v>
      </c>
      <c r="E1041" s="188">
        <f>IFERROR(__xludf.DUMMYFUNCTION("""COMPUTED_VALUE"""),43290.0)</f>
        <v>43290</v>
      </c>
      <c r="F1041" s="188">
        <f>IFERROR(__xludf.DUMMYFUNCTION("""COMPUTED_VALUE"""),43375.0)</f>
        <v>43375</v>
      </c>
      <c r="H1041">
        <f>IFERROR(__xludf.DUMMYFUNCTION("""COMPUTED_VALUE"""),111655.0)</f>
        <v>111655</v>
      </c>
      <c r="J1041" s="5">
        <f>IFERROR(__xludf.DUMMYFUNCTION("""COMPUTED_VALUE"""),43378.0)</f>
        <v>43378</v>
      </c>
      <c r="K1041">
        <f>IFERROR(__xludf.DUMMYFUNCTION("""COMPUTED_VALUE"""),85.0)</f>
        <v>85</v>
      </c>
      <c r="L1041">
        <f>IFERROR(__xludf.DUMMYFUNCTION("""COMPUTED_VALUE"""),3.0)</f>
        <v>3</v>
      </c>
      <c r="M1041">
        <f>IFERROR(__xludf.DUMMYFUNCTION("""COMPUTED_VALUE"""),88.0)</f>
        <v>88</v>
      </c>
      <c r="N1041" t="str">
        <f>IFERROR(__xludf.DUMMYFUNCTION("""COMPUTED_VALUE"""),"Model 3 LR AWD")</f>
        <v>Model 3 LR AWD</v>
      </c>
      <c r="O1041" t="str">
        <f>IFERROR(__xludf.DUMMYFUNCTION("""COMPUTED_VALUE"""),"Pearl White Multi-Coat")</f>
        <v>Pearl White Multi-Coat</v>
      </c>
      <c r="P1041" t="str">
        <f>IFERROR(__xludf.DUMMYFUNCTION("""COMPUTED_VALUE"""),"19 inch Sport")</f>
        <v>19 inch Sport</v>
      </c>
      <c r="Q1041" t="str">
        <f>IFERROR(__xludf.DUMMYFUNCTION("""COMPUTED_VALUE"""),"Black seats")</f>
        <v>Black seats</v>
      </c>
      <c r="R1041" t="str">
        <f>IFERROR(__xludf.DUMMYFUNCTION("""COMPUTED_VALUE"""),"Full Self-Driving")</f>
        <v>Full Self-Driving</v>
      </c>
      <c r="X1041" t="str">
        <f>IFERROR(__xludf.DUMMYFUNCTION("""COMPUTED_VALUE"""),"Excellent")</f>
        <v>Excellent</v>
      </c>
      <c r="Y1041" t="str">
        <f>IFERROR(__xludf.DUMMYFUNCTION("""COMPUTED_VALUE"""),"Excellent")</f>
        <v>Excellent</v>
      </c>
      <c r="Z1041" t="str">
        <f>IFERROR(__xludf.DUMMYFUNCTION("""COMPUTED_VALUE"""),"Very Good")</f>
        <v>Very Good</v>
      </c>
      <c r="AA1041" t="str">
        <f>IFERROR(__xludf.DUMMYFUNCTION("""COMPUTED_VALUE"""),"Good")</f>
        <v>Good</v>
      </c>
      <c r="AB1041" t="str">
        <f>IFERROR(__xludf.DUMMYFUNCTION("""COMPUTED_VALUE"""),"Excellent")</f>
        <v>Excellent</v>
      </c>
      <c r="AG1041" t="str">
        <f>IFERROR(__xludf.DUMMYFUNCTION("""COMPUTED_VALUE"""),"Delivery moved from 9/20 to 9/27 to 10/15 to 10/5 New VIN Assigned")</f>
        <v>Delivery moved from 9/20 to 9/27 to 10/15 to 10/5 New VIN Assigned</v>
      </c>
      <c r="AH1041" s="189">
        <f>IFERROR(__xludf.DUMMYFUNCTION("""COMPUTED_VALUE"""),43378.52524340278)</f>
        <v>43378.52524</v>
      </c>
    </row>
    <row r="1042">
      <c r="A1042" t="str">
        <f>IFERROR(__xludf.DUMMYFUNCTION("""COMPUTED_VALUE"""),"tpatron")</f>
        <v>tpatron</v>
      </c>
      <c r="B1042" t="str">
        <f>IFERROR(__xludf.DUMMYFUNCTION("""COMPUTED_VALUE"""),"Bay Area")</f>
        <v>Bay Area</v>
      </c>
      <c r="C1042" t="str">
        <f>IFERROR(__xludf.DUMMYFUNCTION("""COMPUTED_VALUE"""),"CA")</f>
        <v>CA</v>
      </c>
      <c r="D1042" t="str">
        <f>IFERROR(__xludf.DUMMYFUNCTION("""COMPUTED_VALUE"""),"USA")</f>
        <v>USA</v>
      </c>
      <c r="E1042" s="188">
        <f>IFERROR(__xludf.DUMMYFUNCTION("""COMPUTED_VALUE"""),43279.0)</f>
        <v>43279</v>
      </c>
      <c r="H1042" s="4">
        <f>IFERROR(__xludf.DUMMYFUNCTION("""COMPUTED_VALUE"""),89963.0)</f>
        <v>89963</v>
      </c>
      <c r="I1042" t="str">
        <f>IFERROR(__xludf.DUMMYFUNCTION("""COMPUTED_VALUE"""),"09/18")</f>
        <v>09/18</v>
      </c>
      <c r="J1042" s="5">
        <f>IFERROR(__xludf.DUMMYFUNCTION("""COMPUTED_VALUE"""),43371.0)</f>
        <v>43371</v>
      </c>
      <c r="M1042">
        <f>IFERROR(__xludf.DUMMYFUNCTION("""COMPUTED_VALUE"""),92.0)</f>
        <v>92</v>
      </c>
      <c r="N1042" t="str">
        <f>IFERROR(__xludf.DUMMYFUNCTION("""COMPUTED_VALUE"""),"Model 3 LR AWD")</f>
        <v>Model 3 LR AWD</v>
      </c>
      <c r="O1042" t="str">
        <f>IFERROR(__xludf.DUMMYFUNCTION("""COMPUTED_VALUE"""),"Silver Metallic")</f>
        <v>Silver Metallic</v>
      </c>
      <c r="P1042" t="str">
        <f>IFERROR(__xludf.DUMMYFUNCTION("""COMPUTED_VALUE"""),"18 inch Aero")</f>
        <v>18 inch Aero</v>
      </c>
      <c r="Q1042" t="str">
        <f>IFERROR(__xludf.DUMMYFUNCTION("""COMPUTED_VALUE"""),"Black seats")</f>
        <v>Black seats</v>
      </c>
      <c r="R1042" t="str">
        <f>IFERROR(__xludf.DUMMYFUNCTION("""COMPUTED_VALUE"""),"Enhanced Autopilot")</f>
        <v>Enhanced Autopilot</v>
      </c>
      <c r="X1042" t="str">
        <f>IFERROR(__xludf.DUMMYFUNCTION("""COMPUTED_VALUE"""),"Very Good")</f>
        <v>Very Good</v>
      </c>
      <c r="Y1042" t="str">
        <f>IFERROR(__xludf.DUMMYFUNCTION("""COMPUTED_VALUE"""),"Very Good")</f>
        <v>Very Good</v>
      </c>
      <c r="Z1042" t="str">
        <f>IFERROR(__xludf.DUMMYFUNCTION("""COMPUTED_VALUE"""),"Fair")</f>
        <v>Fair</v>
      </c>
      <c r="AA1042" t="str">
        <f>IFERROR(__xludf.DUMMYFUNCTION("""COMPUTED_VALUE"""),"Poor")</f>
        <v>Poor</v>
      </c>
      <c r="AB1042" t="str">
        <f>IFERROR(__xludf.DUMMYFUNCTION("""COMPUTED_VALUE"""),"Poor")</f>
        <v>Poor</v>
      </c>
      <c r="AH1042" s="189">
        <f>IFERROR(__xludf.DUMMYFUNCTION("""COMPUTED_VALUE"""),43378.54472346065)</f>
        <v>43378.54472</v>
      </c>
    </row>
    <row r="1043">
      <c r="A1043" t="str">
        <f>IFERROR(__xludf.DUMMYFUNCTION("""COMPUTED_VALUE"""),"m3awdsd")</f>
        <v>m3awdsd</v>
      </c>
      <c r="B1043" t="str">
        <f>IFERROR(__xludf.DUMMYFUNCTION("""COMPUTED_VALUE"""),"San Diego")</f>
        <v>San Diego</v>
      </c>
      <c r="C1043" t="str">
        <f>IFERROR(__xludf.DUMMYFUNCTION("""COMPUTED_VALUE"""),"CA")</f>
        <v>CA</v>
      </c>
      <c r="D1043" t="str">
        <f>IFERROR(__xludf.DUMMYFUNCTION("""COMPUTED_VALUE"""),"USA")</f>
        <v>USA</v>
      </c>
      <c r="E1043" s="188">
        <f>IFERROR(__xludf.DUMMYFUNCTION("""COMPUTED_VALUE"""),43327.0)</f>
        <v>43327</v>
      </c>
      <c r="F1043" s="188">
        <f>IFERROR(__xludf.DUMMYFUNCTION("""COMPUTED_VALUE"""),43367.0)</f>
        <v>43367</v>
      </c>
      <c r="J1043" s="5">
        <f>IFERROR(__xludf.DUMMYFUNCTION("""COMPUTED_VALUE"""),43372.0)</f>
        <v>43372</v>
      </c>
      <c r="K1043">
        <f>IFERROR(__xludf.DUMMYFUNCTION("""COMPUTED_VALUE"""),40.0)</f>
        <v>40</v>
      </c>
      <c r="L1043">
        <f>IFERROR(__xludf.DUMMYFUNCTION("""COMPUTED_VALUE"""),5.0)</f>
        <v>5</v>
      </c>
      <c r="M1043">
        <f>IFERROR(__xludf.DUMMYFUNCTION("""COMPUTED_VALUE"""),45.0)</f>
        <v>45</v>
      </c>
      <c r="N1043" t="str">
        <f>IFERROR(__xludf.DUMMYFUNCTION("""COMPUTED_VALUE"""),"Model 3 LR AWD")</f>
        <v>Model 3 LR AWD</v>
      </c>
      <c r="O1043" t="str">
        <f>IFERROR(__xludf.DUMMYFUNCTION("""COMPUTED_VALUE"""),"Silver Metallic")</f>
        <v>Silver Metallic</v>
      </c>
      <c r="P1043" t="str">
        <f>IFERROR(__xludf.DUMMYFUNCTION("""COMPUTED_VALUE"""),"18 inch Aero")</f>
        <v>18 inch Aero</v>
      </c>
      <c r="Q1043" t="str">
        <f>IFERROR(__xludf.DUMMYFUNCTION("""COMPUTED_VALUE"""),"Black seats")</f>
        <v>Black seats</v>
      </c>
      <c r="R1043" t="str">
        <f>IFERROR(__xludf.DUMMYFUNCTION("""COMPUTED_VALUE"""),"Enhanced Autopilot")</f>
        <v>Enhanced Autopilot</v>
      </c>
      <c r="X1043" t="str">
        <f>IFERROR(__xludf.DUMMYFUNCTION("""COMPUTED_VALUE"""),"Very Good")</f>
        <v>Very Good</v>
      </c>
      <c r="Y1043" t="str">
        <f>IFERROR(__xludf.DUMMYFUNCTION("""COMPUTED_VALUE"""),"Excellent")</f>
        <v>Excellent</v>
      </c>
      <c r="Z1043" t="str">
        <f>IFERROR(__xludf.DUMMYFUNCTION("""COMPUTED_VALUE"""),"Excellent")</f>
        <v>Excellent</v>
      </c>
      <c r="AA1043" t="str">
        <f>IFERROR(__xludf.DUMMYFUNCTION("""COMPUTED_VALUE"""),"Good")</f>
        <v>Good</v>
      </c>
      <c r="AB1043" t="str">
        <f>IFERROR(__xludf.DUMMYFUNCTION("""COMPUTED_VALUE"""),"Fair")</f>
        <v>Fair</v>
      </c>
      <c r="AG1043" t="str">
        <f>IFERROR(__xludf.DUMMYFUNCTION("""COMPUTED_VALUE"""),"Ordered EAP but was not enabled at delivery")</f>
        <v>Ordered EAP but was not enabled at delivery</v>
      </c>
      <c r="AH1043" s="189">
        <f>IFERROR(__xludf.DUMMYFUNCTION("""COMPUTED_VALUE"""),43378.602056180556)</f>
        <v>43378.60206</v>
      </c>
    </row>
    <row r="1044">
      <c r="A1044" t="str">
        <f>IFERROR(__xludf.DUMMYFUNCTION("""COMPUTED_VALUE"""),"allx")</f>
        <v>allx</v>
      </c>
      <c r="C1044" t="str">
        <f>IFERROR(__xludf.DUMMYFUNCTION("""COMPUTED_VALUE"""),"NJ")</f>
        <v>NJ</v>
      </c>
      <c r="D1044" t="str">
        <f>IFERROR(__xludf.DUMMYFUNCTION("""COMPUTED_VALUE"""),"USA")</f>
        <v>USA</v>
      </c>
      <c r="E1044" s="188">
        <f>IFERROR(__xludf.DUMMYFUNCTION("""COMPUTED_VALUE"""),43337.0)</f>
        <v>43337</v>
      </c>
      <c r="F1044" s="188">
        <f>IFERROR(__xludf.DUMMYFUNCTION("""COMPUTED_VALUE"""),43350.0)</f>
        <v>43350</v>
      </c>
      <c r="H1044">
        <f>IFERROR(__xludf.DUMMYFUNCTION("""COMPUTED_VALUE"""),99655.0)</f>
        <v>99655</v>
      </c>
      <c r="J1044" s="5">
        <f>IFERROR(__xludf.DUMMYFUNCTION("""COMPUTED_VALUE"""),43371.0)</f>
        <v>43371</v>
      </c>
      <c r="K1044">
        <f>IFERROR(__xludf.DUMMYFUNCTION("""COMPUTED_VALUE"""),13.0)</f>
        <v>13</v>
      </c>
      <c r="L1044">
        <f>IFERROR(__xludf.DUMMYFUNCTION("""COMPUTED_VALUE"""),21.0)</f>
        <v>21</v>
      </c>
      <c r="M1044">
        <f>IFERROR(__xludf.DUMMYFUNCTION("""COMPUTED_VALUE"""),34.0)</f>
        <v>34</v>
      </c>
      <c r="N1044" t="str">
        <f>IFERROR(__xludf.DUMMYFUNCTION("""COMPUTED_VALUE"""),"Model 3 Performance")</f>
        <v>Model 3 Performance</v>
      </c>
      <c r="O1044" t="str">
        <f>IFERROR(__xludf.DUMMYFUNCTION("""COMPUTED_VALUE"""),"Red Multi-Coat")</f>
        <v>Red Multi-Coat</v>
      </c>
      <c r="P1044" t="str">
        <f>IFERROR(__xludf.DUMMYFUNCTION("""COMPUTED_VALUE"""),"18 inch Aero")</f>
        <v>18 inch Aero</v>
      </c>
      <c r="Q1044" t="str">
        <f>IFERROR(__xludf.DUMMYFUNCTION("""COMPUTED_VALUE"""),"White seats")</f>
        <v>White seats</v>
      </c>
      <c r="R1044" t="str">
        <f>IFERROR(__xludf.DUMMYFUNCTION("""COMPUTED_VALUE"""),"Enhanced Autopilot")</f>
        <v>Enhanced Autopilot</v>
      </c>
      <c r="X1044" t="str">
        <f>IFERROR(__xludf.DUMMYFUNCTION("""COMPUTED_VALUE"""),"Very Good")</f>
        <v>Very Good</v>
      </c>
      <c r="Y1044" t="str">
        <f>IFERROR(__xludf.DUMMYFUNCTION("""COMPUTED_VALUE"""),"Excellent")</f>
        <v>Excellent</v>
      </c>
      <c r="Z1044" t="str">
        <f>IFERROR(__xludf.DUMMYFUNCTION("""COMPUTED_VALUE"""),"Excellent")</f>
        <v>Excellent</v>
      </c>
      <c r="AA1044" t="str">
        <f>IFERROR(__xludf.DUMMYFUNCTION("""COMPUTED_VALUE"""),"Poor")</f>
        <v>Poor</v>
      </c>
      <c r="AB1044" t="str">
        <f>IFERROR(__xludf.DUMMYFUNCTION("""COMPUTED_VALUE"""),"Good")</f>
        <v>Good</v>
      </c>
      <c r="AH1044" s="189">
        <f>IFERROR(__xludf.DUMMYFUNCTION("""COMPUTED_VALUE"""),43378.86636194444)</f>
        <v>43378.86636</v>
      </c>
    </row>
    <row r="1045">
      <c r="A1045" t="str">
        <f>IFERROR(__xludf.DUMMYFUNCTION("""COMPUTED_VALUE"""),"Madonegirl")</f>
        <v>Madonegirl</v>
      </c>
      <c r="B1045" t="str">
        <f>IFERROR(__xludf.DUMMYFUNCTION("""COMPUTED_VALUE"""),"Denver area")</f>
        <v>Denver area</v>
      </c>
      <c r="C1045" t="str">
        <f>IFERROR(__xludf.DUMMYFUNCTION("""COMPUTED_VALUE"""),"CO")</f>
        <v>CO</v>
      </c>
      <c r="D1045" t="str">
        <f>IFERROR(__xludf.DUMMYFUNCTION("""COMPUTED_VALUE"""),"USA")</f>
        <v>USA</v>
      </c>
      <c r="E1045" s="188">
        <f>IFERROR(__xludf.DUMMYFUNCTION("""COMPUTED_VALUE"""),43285.0)</f>
        <v>43285</v>
      </c>
      <c r="F1045" s="188">
        <f>IFERROR(__xludf.DUMMYFUNCTION("""COMPUTED_VALUE"""),43373.0)</f>
        <v>43373</v>
      </c>
      <c r="H1045">
        <f>IFERROR(__xludf.DUMMYFUNCTION("""COMPUTED_VALUE"""),93122.0)</f>
        <v>93122</v>
      </c>
      <c r="I1045" t="str">
        <f>IFERROR(__xludf.DUMMYFUNCTION("""COMPUTED_VALUE"""),"09/18")</f>
        <v>09/18</v>
      </c>
      <c r="J1045" s="5">
        <f>IFERROR(__xludf.DUMMYFUNCTION("""COMPUTED_VALUE"""),43378.0)</f>
        <v>43378</v>
      </c>
      <c r="K1045">
        <f>IFERROR(__xludf.DUMMYFUNCTION("""COMPUTED_VALUE"""),88.0)</f>
        <v>88</v>
      </c>
      <c r="L1045">
        <f>IFERROR(__xludf.DUMMYFUNCTION("""COMPUTED_VALUE"""),5.0)</f>
        <v>5</v>
      </c>
      <c r="M1045">
        <f>IFERROR(__xludf.DUMMYFUNCTION("""COMPUTED_VALUE"""),93.0)</f>
        <v>93</v>
      </c>
      <c r="N1045" t="str">
        <f>IFERROR(__xludf.DUMMYFUNCTION("""COMPUTED_VALUE"""),"Model 3 LR AWD")</f>
        <v>Model 3 LR AWD</v>
      </c>
      <c r="O1045" t="str">
        <f>IFERROR(__xludf.DUMMYFUNCTION("""COMPUTED_VALUE"""),"Midnight Silver Metallic")</f>
        <v>Midnight Silver Metallic</v>
      </c>
      <c r="P1045" t="str">
        <f>IFERROR(__xludf.DUMMYFUNCTION("""COMPUTED_VALUE"""),"18 inch Aero")</f>
        <v>18 inch Aero</v>
      </c>
      <c r="Q1045" t="str">
        <f>IFERROR(__xludf.DUMMYFUNCTION("""COMPUTED_VALUE"""),"Black seats")</f>
        <v>Black seats</v>
      </c>
      <c r="R1045" t="str">
        <f>IFERROR(__xludf.DUMMYFUNCTION("""COMPUTED_VALUE"""),"Enhanced Autopilot")</f>
        <v>Enhanced Autopilot</v>
      </c>
      <c r="X1045" t="str">
        <f>IFERROR(__xludf.DUMMYFUNCTION("""COMPUTED_VALUE"""),"Excellent")</f>
        <v>Excellent</v>
      </c>
      <c r="Y1045" t="str">
        <f>IFERROR(__xludf.DUMMYFUNCTION("""COMPUTED_VALUE"""),"Excellent")</f>
        <v>Excellent</v>
      </c>
      <c r="Z1045" t="str">
        <f>IFERROR(__xludf.DUMMYFUNCTION("""COMPUTED_VALUE"""),"Excellent")</f>
        <v>Excellent</v>
      </c>
      <c r="AA1045" t="str">
        <f>IFERROR(__xludf.DUMMYFUNCTION("""COMPUTED_VALUE"""),"Very Good")</f>
        <v>Very Good</v>
      </c>
      <c r="AB1045" t="str">
        <f>IFERROR(__xludf.DUMMYFUNCTION("""COMPUTED_VALUE"""),"Excellent")</f>
        <v>Excellent</v>
      </c>
      <c r="AH1045" s="189">
        <f>IFERROR(__xludf.DUMMYFUNCTION("""COMPUTED_VALUE"""),43379.212571365744)</f>
        <v>43379.21257</v>
      </c>
    </row>
    <row r="1046">
      <c r="A1046" t="str">
        <f>IFERROR(__xludf.DUMMYFUNCTION("""COMPUTED_VALUE"""),"Concordesst")</f>
        <v>Concordesst</v>
      </c>
      <c r="B1046" t="str">
        <f>IFERROR(__xludf.DUMMYFUNCTION("""COMPUTED_VALUE"""),"Minneapolis")</f>
        <v>Minneapolis</v>
      </c>
      <c r="C1046" t="str">
        <f>IFERROR(__xludf.DUMMYFUNCTION("""COMPUTED_VALUE"""),"MN")</f>
        <v>MN</v>
      </c>
      <c r="D1046" t="str">
        <f>IFERROR(__xludf.DUMMYFUNCTION("""COMPUTED_VALUE"""),"USA")</f>
        <v>USA</v>
      </c>
      <c r="E1046" s="188">
        <f>IFERROR(__xludf.DUMMYFUNCTION("""COMPUTED_VALUE"""),43278.0)</f>
        <v>43278</v>
      </c>
      <c r="F1046" s="188">
        <f>IFERROR(__xludf.DUMMYFUNCTION("""COMPUTED_VALUE"""),43358.0)</f>
        <v>43358</v>
      </c>
      <c r="H1046">
        <f>IFERROR(__xludf.DUMMYFUNCTION("""COMPUTED_VALUE"""),103755.0)</f>
        <v>103755</v>
      </c>
      <c r="I1046" t="str">
        <f>IFERROR(__xludf.DUMMYFUNCTION("""COMPUTED_VALUE"""),"09/18")</f>
        <v>09/18</v>
      </c>
      <c r="J1046" s="5">
        <f>IFERROR(__xludf.DUMMYFUNCTION("""COMPUTED_VALUE"""),43370.0)</f>
        <v>43370</v>
      </c>
      <c r="K1046">
        <f>IFERROR(__xludf.DUMMYFUNCTION("""COMPUTED_VALUE"""),80.0)</f>
        <v>80</v>
      </c>
      <c r="L1046">
        <f>IFERROR(__xludf.DUMMYFUNCTION("""COMPUTED_VALUE"""),12.0)</f>
        <v>12</v>
      </c>
      <c r="M1046">
        <f>IFERROR(__xludf.DUMMYFUNCTION("""COMPUTED_VALUE"""),92.0)</f>
        <v>92</v>
      </c>
      <c r="N1046" t="str">
        <f>IFERROR(__xludf.DUMMYFUNCTION("""COMPUTED_VALUE"""),"Model 3 LR AWD")</f>
        <v>Model 3 LR AWD</v>
      </c>
      <c r="O1046" t="str">
        <f>IFERROR(__xludf.DUMMYFUNCTION("""COMPUTED_VALUE"""),"Midnight Silver Metallic")</f>
        <v>Midnight Silver Metallic</v>
      </c>
      <c r="P1046" t="str">
        <f>IFERROR(__xludf.DUMMYFUNCTION("""COMPUTED_VALUE"""),"18 inch Aero")</f>
        <v>18 inch Aero</v>
      </c>
      <c r="Q1046" t="str">
        <f>IFERROR(__xludf.DUMMYFUNCTION("""COMPUTED_VALUE"""),"Black seats")</f>
        <v>Black seats</v>
      </c>
      <c r="R1046" t="str">
        <f>IFERROR(__xludf.DUMMYFUNCTION("""COMPUTED_VALUE"""),"Full Self-Driving")</f>
        <v>Full Self-Driving</v>
      </c>
      <c r="X1046" t="str">
        <f>IFERROR(__xludf.DUMMYFUNCTION("""COMPUTED_VALUE"""),"Excellent")</f>
        <v>Excellent</v>
      </c>
      <c r="Y1046" t="str">
        <f>IFERROR(__xludf.DUMMYFUNCTION("""COMPUTED_VALUE"""),"Excellent")</f>
        <v>Excellent</v>
      </c>
      <c r="Z1046" t="str">
        <f>IFERROR(__xludf.DUMMYFUNCTION("""COMPUTED_VALUE"""),"Excellent")</f>
        <v>Excellent</v>
      </c>
      <c r="AA1046" t="str">
        <f>IFERROR(__xludf.DUMMYFUNCTION("""COMPUTED_VALUE"""),"Excellent")</f>
        <v>Excellent</v>
      </c>
      <c r="AB1046" t="str">
        <f>IFERROR(__xludf.DUMMYFUNCTION("""COMPUTED_VALUE"""),"Excellent")</f>
        <v>Excellent</v>
      </c>
      <c r="AC1046">
        <f>IFERROR(__xludf.DUMMYFUNCTION("""COMPUTED_VALUE"""),1.0)</f>
        <v>1</v>
      </c>
      <c r="AH1046" s="189">
        <f>IFERROR(__xludf.DUMMYFUNCTION("""COMPUTED_VALUE"""),43379.33928112268)</f>
        <v>43379.33928</v>
      </c>
    </row>
    <row r="1047">
      <c r="A1047" t="str">
        <f>IFERROR(__xludf.DUMMYFUNCTION("""COMPUTED_VALUE"""),"b0n3z")</f>
        <v>b0n3z</v>
      </c>
      <c r="B1047" t="str">
        <f>IFERROR(__xludf.DUMMYFUNCTION("""COMPUTED_VALUE"""),"Orange")</f>
        <v>Orange</v>
      </c>
      <c r="C1047" t="str">
        <f>IFERROR(__xludf.DUMMYFUNCTION("""COMPUTED_VALUE"""),"CA")</f>
        <v>CA</v>
      </c>
      <c r="D1047" t="str">
        <f>IFERROR(__xludf.DUMMYFUNCTION("""COMPUTED_VALUE"""),"USA")</f>
        <v>USA</v>
      </c>
      <c r="E1047" s="188">
        <f>IFERROR(__xludf.DUMMYFUNCTION("""COMPUTED_VALUE"""),43281.0)</f>
        <v>43281</v>
      </c>
      <c r="F1047" s="188">
        <f>IFERROR(__xludf.DUMMYFUNCTION("""COMPUTED_VALUE"""),43304.0)</f>
        <v>43304</v>
      </c>
      <c r="H1047">
        <f>IFERROR(__xludf.DUMMYFUNCTION("""COMPUTED_VALUE"""),55855.0)</f>
        <v>55855</v>
      </c>
      <c r="I1047" t="str">
        <f>IFERROR(__xludf.DUMMYFUNCTION("""COMPUTED_VALUE"""),"07/18")</f>
        <v>07/18</v>
      </c>
      <c r="J1047" s="5">
        <f>IFERROR(__xludf.DUMMYFUNCTION("""COMPUTED_VALUE"""),43309.0)</f>
        <v>43309</v>
      </c>
      <c r="K1047">
        <f>IFERROR(__xludf.DUMMYFUNCTION("""COMPUTED_VALUE"""),23.0)</f>
        <v>23</v>
      </c>
      <c r="L1047">
        <f>IFERROR(__xludf.DUMMYFUNCTION("""COMPUTED_VALUE"""),5.0)</f>
        <v>5</v>
      </c>
      <c r="M1047">
        <f>IFERROR(__xludf.DUMMYFUNCTION("""COMPUTED_VALUE"""),28.0)</f>
        <v>28</v>
      </c>
      <c r="N1047" t="str">
        <f>IFERROR(__xludf.DUMMYFUNCTION("""COMPUTED_VALUE"""),"Model 3 Performance")</f>
        <v>Model 3 Performance</v>
      </c>
      <c r="O1047" t="str">
        <f>IFERROR(__xludf.DUMMYFUNCTION("""COMPUTED_VALUE"""),"Pearl White Multi-Coat")</f>
        <v>Pearl White Multi-Coat</v>
      </c>
      <c r="P1047" t="str">
        <f>IFERROR(__xludf.DUMMYFUNCTION("""COMPUTED_VALUE"""),"20 inch Sport")</f>
        <v>20 inch Sport</v>
      </c>
      <c r="Q1047" t="str">
        <f>IFERROR(__xludf.DUMMYFUNCTION("""COMPUTED_VALUE"""),"White seats")</f>
        <v>White seats</v>
      </c>
      <c r="R1047" t="str">
        <f>IFERROR(__xludf.DUMMYFUNCTION("""COMPUTED_VALUE"""),"Enhanced Autopilot")</f>
        <v>Enhanced Autopilot</v>
      </c>
      <c r="X1047" t="str">
        <f>IFERROR(__xludf.DUMMYFUNCTION("""COMPUTED_VALUE"""),"Very Good")</f>
        <v>Very Good</v>
      </c>
      <c r="Y1047" t="str">
        <f>IFERROR(__xludf.DUMMYFUNCTION("""COMPUTED_VALUE"""),"Very Good")</f>
        <v>Very Good</v>
      </c>
      <c r="Z1047" t="str">
        <f>IFERROR(__xludf.DUMMYFUNCTION("""COMPUTED_VALUE"""),"Very Good")</f>
        <v>Very Good</v>
      </c>
      <c r="AA1047" t="str">
        <f>IFERROR(__xludf.DUMMYFUNCTION("""COMPUTED_VALUE"""),"Excellent")</f>
        <v>Excellent</v>
      </c>
      <c r="AB1047" t="str">
        <f>IFERROR(__xludf.DUMMYFUNCTION("""COMPUTED_VALUE"""),"Fair")</f>
        <v>Fair</v>
      </c>
      <c r="AC1047">
        <f>IFERROR(__xludf.DUMMYFUNCTION("""COMPUTED_VALUE"""),3.0)</f>
        <v>3</v>
      </c>
      <c r="AD1047">
        <f>IFERROR(__xludf.DUMMYFUNCTION("""COMPUTED_VALUE"""),1.0)</f>
        <v>1</v>
      </c>
      <c r="AE1047">
        <f>IFERROR(__xludf.DUMMYFUNCTION("""COMPUTED_VALUE"""),10.0)</f>
        <v>10</v>
      </c>
      <c r="AG1047" t="str">
        <f>IFERROR(__xludf.DUMMYFUNCTION("""COMPUTED_VALUE"""),"So quick and it handles like it's on rails.")</f>
        <v>So quick and it handles like it's on rails.</v>
      </c>
      <c r="AH1047" s="189">
        <f>IFERROR(__xludf.DUMMYFUNCTION("""COMPUTED_VALUE"""),43379.39769702546)</f>
        <v>43379.3977</v>
      </c>
    </row>
    <row r="1048">
      <c r="A1048" t="str">
        <f>IFERROR(__xludf.DUMMYFUNCTION("""COMPUTED_VALUE"""),"da_man1980")</f>
        <v>da_man1980</v>
      </c>
      <c r="B1048" t="str">
        <f>IFERROR(__xludf.DUMMYFUNCTION("""COMPUTED_VALUE"""),"Boston")</f>
        <v>Boston</v>
      </c>
      <c r="C1048" t="str">
        <f>IFERROR(__xludf.DUMMYFUNCTION("""COMPUTED_VALUE"""),"MA")</f>
        <v>MA</v>
      </c>
      <c r="D1048" t="str">
        <f>IFERROR(__xludf.DUMMYFUNCTION("""COMPUTED_VALUE"""),"USA")</f>
        <v>USA</v>
      </c>
      <c r="E1048" s="188">
        <f>IFERROR(__xludf.DUMMYFUNCTION("""COMPUTED_VALUE"""),43280.0)</f>
        <v>43280</v>
      </c>
      <c r="F1048" s="188">
        <f>IFERROR(__xludf.DUMMYFUNCTION("""COMPUTED_VALUE"""),43357.0)</f>
        <v>43357</v>
      </c>
      <c r="H1048">
        <f>IFERROR(__xludf.DUMMYFUNCTION("""COMPUTED_VALUE"""),70655.0)</f>
        <v>70655</v>
      </c>
      <c r="I1048" t="str">
        <f>IFERROR(__xludf.DUMMYFUNCTION("""COMPUTED_VALUE"""),"09/18")</f>
        <v>09/18</v>
      </c>
      <c r="J1048" s="5">
        <f>IFERROR(__xludf.DUMMYFUNCTION("""COMPUTED_VALUE"""),43371.0)</f>
        <v>43371</v>
      </c>
      <c r="K1048">
        <f>IFERROR(__xludf.DUMMYFUNCTION("""COMPUTED_VALUE"""),77.0)</f>
        <v>77</v>
      </c>
      <c r="L1048">
        <f>IFERROR(__xludf.DUMMYFUNCTION("""COMPUTED_VALUE"""),14.0)</f>
        <v>14</v>
      </c>
      <c r="M1048">
        <f>IFERROR(__xludf.DUMMYFUNCTION("""COMPUTED_VALUE"""),91.0)</f>
        <v>91</v>
      </c>
      <c r="N1048" t="str">
        <f>IFERROR(__xludf.DUMMYFUNCTION("""COMPUTED_VALUE"""),"Model 3 LR AWD")</f>
        <v>Model 3 LR AWD</v>
      </c>
      <c r="O1048" t="str">
        <f>IFERROR(__xludf.DUMMYFUNCTION("""COMPUTED_VALUE"""),"Obsidian Black Metallic")</f>
        <v>Obsidian Black Metallic</v>
      </c>
      <c r="P1048" t="str">
        <f>IFERROR(__xludf.DUMMYFUNCTION("""COMPUTED_VALUE"""),"18 inch Aero")</f>
        <v>18 inch Aero</v>
      </c>
      <c r="Q1048" t="str">
        <f>IFERROR(__xludf.DUMMYFUNCTION("""COMPUTED_VALUE"""),"Black seats")</f>
        <v>Black seats</v>
      </c>
      <c r="R1048" t="str">
        <f>IFERROR(__xludf.DUMMYFUNCTION("""COMPUTED_VALUE"""),"Enhanced Autopilot")</f>
        <v>Enhanced Autopilot</v>
      </c>
      <c r="X1048" t="str">
        <f>IFERROR(__xludf.DUMMYFUNCTION("""COMPUTED_VALUE"""),"Excellent")</f>
        <v>Excellent</v>
      </c>
      <c r="Y1048" t="str">
        <f>IFERROR(__xludf.DUMMYFUNCTION("""COMPUTED_VALUE"""),"Excellent")</f>
        <v>Excellent</v>
      </c>
      <c r="Z1048" t="str">
        <f>IFERROR(__xludf.DUMMYFUNCTION("""COMPUTED_VALUE"""),"Excellent")</f>
        <v>Excellent</v>
      </c>
      <c r="AA1048" t="str">
        <f>IFERROR(__xludf.DUMMYFUNCTION("""COMPUTED_VALUE"""),"Very Good")</f>
        <v>Very Good</v>
      </c>
      <c r="AB1048" t="str">
        <f>IFERROR(__xludf.DUMMYFUNCTION("""COMPUTED_VALUE"""),"Good")</f>
        <v>Good</v>
      </c>
      <c r="AC1048">
        <f>IFERROR(__xludf.DUMMYFUNCTION("""COMPUTED_VALUE"""),0.0)</f>
        <v>0</v>
      </c>
      <c r="AD1048">
        <f>IFERROR(__xludf.DUMMYFUNCTION("""COMPUTED_VALUE"""),0.0)</f>
        <v>0</v>
      </c>
      <c r="AE1048">
        <f>IFERROR(__xludf.DUMMYFUNCTION("""COMPUTED_VALUE"""),0.0)</f>
        <v>0</v>
      </c>
      <c r="AH1048" s="189">
        <f>IFERROR(__xludf.DUMMYFUNCTION("""COMPUTED_VALUE"""),43379.44730907408)</f>
        <v>43379.44731</v>
      </c>
    </row>
    <row r="1049">
      <c r="A1049" t="str">
        <f>IFERROR(__xludf.DUMMYFUNCTION("""COMPUTED_VALUE"""),"NotAnEngineer1")</f>
        <v>NotAnEngineer1</v>
      </c>
      <c r="B1049" t="str">
        <f>IFERROR(__xludf.DUMMYFUNCTION("""COMPUTED_VALUE"""),"Seattle")</f>
        <v>Seattle</v>
      </c>
      <c r="C1049" t="str">
        <f>IFERROR(__xludf.DUMMYFUNCTION("""COMPUTED_VALUE"""),"WA")</f>
        <v>WA</v>
      </c>
      <c r="D1049" t="str">
        <f>IFERROR(__xludf.DUMMYFUNCTION("""COMPUTED_VALUE"""),"USA")</f>
        <v>USA</v>
      </c>
      <c r="E1049" s="188">
        <f>IFERROR(__xludf.DUMMYFUNCTION("""COMPUTED_VALUE"""),43306.0)</f>
        <v>43306</v>
      </c>
      <c r="F1049" s="188">
        <f>IFERROR(__xludf.DUMMYFUNCTION("""COMPUTED_VALUE"""),43313.0)</f>
        <v>43313</v>
      </c>
      <c r="H1049">
        <f>IFERROR(__xludf.DUMMYFUNCTION("""COMPUTED_VALUE"""),73155.0)</f>
        <v>73155</v>
      </c>
      <c r="I1049" t="str">
        <f>IFERROR(__xludf.DUMMYFUNCTION("""COMPUTED_VALUE"""),"08/18")</f>
        <v>08/18</v>
      </c>
      <c r="J1049" s="5">
        <f>IFERROR(__xludf.DUMMYFUNCTION("""COMPUTED_VALUE"""),43370.0)</f>
        <v>43370</v>
      </c>
      <c r="K1049">
        <f>IFERROR(__xludf.DUMMYFUNCTION("""COMPUTED_VALUE"""),7.0)</f>
        <v>7</v>
      </c>
      <c r="L1049">
        <f>IFERROR(__xludf.DUMMYFUNCTION("""COMPUTED_VALUE"""),57.0)</f>
        <v>57</v>
      </c>
      <c r="M1049">
        <f>IFERROR(__xludf.DUMMYFUNCTION("""COMPUTED_VALUE"""),64.0)</f>
        <v>64</v>
      </c>
      <c r="N1049" t="str">
        <f>IFERROR(__xludf.DUMMYFUNCTION("""COMPUTED_VALUE"""),"Model 3 Performance")</f>
        <v>Model 3 Performance</v>
      </c>
      <c r="O1049" t="str">
        <f>IFERROR(__xludf.DUMMYFUNCTION("""COMPUTED_VALUE"""),"Midnight Silver Metallic")</f>
        <v>Midnight Silver Metallic</v>
      </c>
      <c r="P1049" t="str">
        <f>IFERROR(__xludf.DUMMYFUNCTION("""COMPUTED_VALUE"""),"20 inch Sport")</f>
        <v>20 inch Sport</v>
      </c>
      <c r="Q1049" t="str">
        <f>IFERROR(__xludf.DUMMYFUNCTION("""COMPUTED_VALUE"""),"Black seats")</f>
        <v>Black seats</v>
      </c>
      <c r="R1049" t="str">
        <f>IFERROR(__xludf.DUMMYFUNCTION("""COMPUTED_VALUE"""),"Full Self-Driving")</f>
        <v>Full Self-Driving</v>
      </c>
      <c r="X1049" t="str">
        <f>IFERROR(__xludf.DUMMYFUNCTION("""COMPUTED_VALUE"""),"Very Good")</f>
        <v>Very Good</v>
      </c>
      <c r="Y1049" t="str">
        <f>IFERROR(__xludf.DUMMYFUNCTION("""COMPUTED_VALUE"""),"Excellent")</f>
        <v>Excellent</v>
      </c>
      <c r="Z1049" t="str">
        <f>IFERROR(__xludf.DUMMYFUNCTION("""COMPUTED_VALUE"""),"Very Good")</f>
        <v>Very Good</v>
      </c>
      <c r="AA1049" t="str">
        <f>IFERROR(__xludf.DUMMYFUNCTION("""COMPUTED_VALUE"""),"Excellent")</f>
        <v>Excellent</v>
      </c>
      <c r="AB1049" t="str">
        <f>IFERROR(__xludf.DUMMYFUNCTION("""COMPUTED_VALUE"""),"Poor")</f>
        <v>Poor</v>
      </c>
      <c r="AC1049">
        <f>IFERROR(__xludf.DUMMYFUNCTION("""COMPUTED_VALUE"""),0.0)</f>
        <v>0</v>
      </c>
      <c r="AD1049">
        <f>IFERROR(__xludf.DUMMYFUNCTION("""COMPUTED_VALUE"""),0.0)</f>
        <v>0</v>
      </c>
      <c r="AE1049">
        <f>IFERROR(__xludf.DUMMYFUNCTION("""COMPUTED_VALUE"""),0.0)</f>
        <v>0</v>
      </c>
      <c r="AH1049" s="189">
        <f>IFERROR(__xludf.DUMMYFUNCTION("""COMPUTED_VALUE"""),43379.8433849537)</f>
        <v>43379.84338</v>
      </c>
    </row>
    <row r="1050">
      <c r="A1050" t="str">
        <f>IFERROR(__xludf.DUMMYFUNCTION("""COMPUTED_VALUE"""),"SSChicken")</f>
        <v>SSChicken</v>
      </c>
      <c r="B1050" t="str">
        <f>IFERROR(__xludf.DUMMYFUNCTION("""COMPUTED_VALUE"""),"Phoenix")</f>
        <v>Phoenix</v>
      </c>
      <c r="C1050" t="str">
        <f>IFERROR(__xludf.DUMMYFUNCTION("""COMPUTED_VALUE"""),"AZ")</f>
        <v>AZ</v>
      </c>
      <c r="D1050" t="str">
        <f>IFERROR(__xludf.DUMMYFUNCTION("""COMPUTED_VALUE"""),"USA")</f>
        <v>USA</v>
      </c>
      <c r="E1050" s="188">
        <f>IFERROR(__xludf.DUMMYFUNCTION("""COMPUTED_VALUE"""),43277.0)</f>
        <v>43277</v>
      </c>
      <c r="F1050" s="188">
        <f>IFERROR(__xludf.DUMMYFUNCTION("""COMPUTED_VALUE"""),43372.0)</f>
        <v>43372</v>
      </c>
      <c r="H1050">
        <f>IFERROR(__xludf.DUMMYFUNCTION("""COMPUTED_VALUE"""),74855.0)</f>
        <v>74855</v>
      </c>
      <c r="I1050" t="str">
        <f>IFERROR(__xludf.DUMMYFUNCTION("""COMPUTED_VALUE"""),"09/18")</f>
        <v>09/18</v>
      </c>
      <c r="J1050" s="5">
        <f>IFERROR(__xludf.DUMMYFUNCTION("""COMPUTED_VALUE"""),43375.0)</f>
        <v>43375</v>
      </c>
      <c r="K1050">
        <f>IFERROR(__xludf.DUMMYFUNCTION("""COMPUTED_VALUE"""),95.0)</f>
        <v>95</v>
      </c>
      <c r="L1050">
        <f>IFERROR(__xludf.DUMMYFUNCTION("""COMPUTED_VALUE"""),3.0)</f>
        <v>3</v>
      </c>
      <c r="M1050">
        <f>IFERROR(__xludf.DUMMYFUNCTION("""COMPUTED_VALUE"""),98.0)</f>
        <v>98</v>
      </c>
      <c r="N1050" t="str">
        <f>IFERROR(__xludf.DUMMYFUNCTION("""COMPUTED_VALUE"""),"Model 3 Performance")</f>
        <v>Model 3 Performance</v>
      </c>
      <c r="O1050" t="str">
        <f>IFERROR(__xludf.DUMMYFUNCTION("""COMPUTED_VALUE"""),"Pearl White Multi-Coat")</f>
        <v>Pearl White Multi-Coat</v>
      </c>
      <c r="P1050" t="str">
        <f>IFERROR(__xludf.DUMMYFUNCTION("""COMPUTED_VALUE"""),"18 inch Aero")</f>
        <v>18 inch Aero</v>
      </c>
      <c r="Q1050" t="str">
        <f>IFERROR(__xludf.DUMMYFUNCTION("""COMPUTED_VALUE"""),"White seats")</f>
        <v>White seats</v>
      </c>
      <c r="R1050" t="str">
        <f>IFERROR(__xludf.DUMMYFUNCTION("""COMPUTED_VALUE"""),"Enhanced Autopilot")</f>
        <v>Enhanced Autopilot</v>
      </c>
      <c r="X1050" t="str">
        <f>IFERROR(__xludf.DUMMYFUNCTION("""COMPUTED_VALUE"""),"Excellent")</f>
        <v>Excellent</v>
      </c>
      <c r="Y1050" t="str">
        <f>IFERROR(__xludf.DUMMYFUNCTION("""COMPUTED_VALUE"""),"Excellent")</f>
        <v>Excellent</v>
      </c>
      <c r="Z1050" t="str">
        <f>IFERROR(__xludf.DUMMYFUNCTION("""COMPUTED_VALUE"""),"Excellent")</f>
        <v>Excellent</v>
      </c>
      <c r="AA1050" t="str">
        <f>IFERROR(__xludf.DUMMYFUNCTION("""COMPUTED_VALUE"""),"Poor")</f>
        <v>Poor</v>
      </c>
      <c r="AB1050" t="str">
        <f>IFERROR(__xludf.DUMMYFUNCTION("""COMPUTED_VALUE"""),"Fair")</f>
        <v>Fair</v>
      </c>
      <c r="AH1050" s="189">
        <f>IFERROR(__xludf.DUMMYFUNCTION("""COMPUTED_VALUE"""),43379.94989005787)</f>
        <v>43379.94989</v>
      </c>
    </row>
    <row r="1051">
      <c r="A1051" t="str">
        <f>IFERROR(__xludf.DUMMYFUNCTION("""COMPUTED_VALUE"""),"InvalidFileInput")</f>
        <v>InvalidFileInput</v>
      </c>
      <c r="B1051" t="str">
        <f>IFERROR(__xludf.DUMMYFUNCTION("""COMPUTED_VALUE"""),"Washington")</f>
        <v>Washington</v>
      </c>
      <c r="C1051" t="str">
        <f>IFERROR(__xludf.DUMMYFUNCTION("""COMPUTED_VALUE"""),"DC")</f>
        <v>DC</v>
      </c>
      <c r="D1051" t="str">
        <f>IFERROR(__xludf.DUMMYFUNCTION("""COMPUTED_VALUE"""),"USA")</f>
        <v>USA</v>
      </c>
      <c r="E1051" s="188">
        <f>IFERROR(__xludf.DUMMYFUNCTION("""COMPUTED_VALUE"""),43278.0)</f>
        <v>43278</v>
      </c>
      <c r="F1051" s="188">
        <f>IFERROR(__xludf.DUMMYFUNCTION("""COMPUTED_VALUE"""),43332.0)</f>
        <v>43332</v>
      </c>
      <c r="H1051">
        <f>IFERROR(__xludf.DUMMYFUNCTION("""COMPUTED_VALUE"""),96334.0)</f>
        <v>96334</v>
      </c>
      <c r="I1051" t="str">
        <f>IFERROR(__xludf.DUMMYFUNCTION("""COMPUTED_VALUE"""),"08/18")</f>
        <v>08/18</v>
      </c>
      <c r="J1051" s="5">
        <f>IFERROR(__xludf.DUMMYFUNCTION("""COMPUTED_VALUE"""),43365.0)</f>
        <v>43365</v>
      </c>
      <c r="K1051">
        <f>IFERROR(__xludf.DUMMYFUNCTION("""COMPUTED_VALUE"""),54.0)</f>
        <v>54</v>
      </c>
      <c r="L1051">
        <f>IFERROR(__xludf.DUMMYFUNCTION("""COMPUTED_VALUE"""),33.0)</f>
        <v>33</v>
      </c>
      <c r="M1051">
        <f>IFERROR(__xludf.DUMMYFUNCTION("""COMPUTED_VALUE"""),87.0)</f>
        <v>87</v>
      </c>
      <c r="N1051" t="str">
        <f>IFERROR(__xludf.DUMMYFUNCTION("""COMPUTED_VALUE"""),"Model 3 LR AWD")</f>
        <v>Model 3 LR AWD</v>
      </c>
      <c r="O1051" t="str">
        <f>IFERROR(__xludf.DUMMYFUNCTION("""COMPUTED_VALUE"""),"Red Multi-Coat")</f>
        <v>Red Multi-Coat</v>
      </c>
      <c r="P1051" t="str">
        <f>IFERROR(__xludf.DUMMYFUNCTION("""COMPUTED_VALUE"""),"18 inch Aero")</f>
        <v>18 inch Aero</v>
      </c>
      <c r="Q1051" t="str">
        <f>IFERROR(__xludf.DUMMYFUNCTION("""COMPUTED_VALUE"""),"White seats")</f>
        <v>White seats</v>
      </c>
      <c r="R1051" t="str">
        <f>IFERROR(__xludf.DUMMYFUNCTION("""COMPUTED_VALUE"""),"Full Self-Driving")</f>
        <v>Full Self-Driving</v>
      </c>
      <c r="X1051" t="str">
        <f>IFERROR(__xludf.DUMMYFUNCTION("""COMPUTED_VALUE"""),"Excellent")</f>
        <v>Excellent</v>
      </c>
      <c r="Y1051" t="str">
        <f>IFERROR(__xludf.DUMMYFUNCTION("""COMPUTED_VALUE"""),"Excellent")</f>
        <v>Excellent</v>
      </c>
      <c r="Z1051" t="str">
        <f>IFERROR(__xludf.DUMMYFUNCTION("""COMPUTED_VALUE"""),"Very Good")</f>
        <v>Very Good</v>
      </c>
      <c r="AA1051" t="str">
        <f>IFERROR(__xludf.DUMMYFUNCTION("""COMPUTED_VALUE"""),"Excellent")</f>
        <v>Excellent</v>
      </c>
      <c r="AB1051" t="str">
        <f>IFERROR(__xludf.DUMMYFUNCTION("""COMPUTED_VALUE"""),"Very Good")</f>
        <v>Very Good</v>
      </c>
      <c r="AC1051">
        <f>IFERROR(__xludf.DUMMYFUNCTION("""COMPUTED_VALUE"""),0.0)</f>
        <v>0</v>
      </c>
      <c r="AD1051">
        <f>IFERROR(__xludf.DUMMYFUNCTION("""COMPUTED_VALUE"""),0.0)</f>
        <v>0</v>
      </c>
      <c r="AE1051">
        <f>IFERROR(__xludf.DUMMYFUNCTION("""COMPUTED_VALUE"""),0.0)</f>
        <v>0</v>
      </c>
      <c r="AH1051" s="189">
        <f>IFERROR(__xludf.DUMMYFUNCTION("""COMPUTED_VALUE"""),43380.31757428241)</f>
        <v>43380.31757</v>
      </c>
    </row>
    <row r="1052">
      <c r="A1052" t="str">
        <f>IFERROR(__xludf.DUMMYFUNCTION("""COMPUTED_VALUE"""),"price813")</f>
        <v>price813</v>
      </c>
      <c r="B1052" t="str">
        <f>IFERROR(__xludf.DUMMYFUNCTION("""COMPUTED_VALUE"""),"Martinsburg")</f>
        <v>Martinsburg</v>
      </c>
      <c r="C1052" t="str">
        <f>IFERROR(__xludf.DUMMYFUNCTION("""COMPUTED_VALUE"""),"WV")</f>
        <v>WV</v>
      </c>
      <c r="D1052" t="str">
        <f>IFERROR(__xludf.DUMMYFUNCTION("""COMPUTED_VALUE"""),"USA")</f>
        <v>USA</v>
      </c>
      <c r="E1052" s="188">
        <f>IFERROR(__xludf.DUMMYFUNCTION("""COMPUTED_VALUE"""),43278.0)</f>
        <v>43278</v>
      </c>
      <c r="F1052" s="188">
        <f>IFERROR(__xludf.DUMMYFUNCTION("""COMPUTED_VALUE"""),43373.0)</f>
        <v>43373</v>
      </c>
      <c r="H1052">
        <f>IFERROR(__xludf.DUMMYFUNCTION("""COMPUTED_VALUE"""),101355.0)</f>
        <v>101355</v>
      </c>
      <c r="I1052" t="str">
        <f>IFERROR(__xludf.DUMMYFUNCTION("""COMPUTED_VALUE"""),"09/18")</f>
        <v>09/18</v>
      </c>
      <c r="J1052" s="5">
        <f>IFERROR(__xludf.DUMMYFUNCTION("""COMPUTED_VALUE"""),43373.0)</f>
        <v>43373</v>
      </c>
      <c r="K1052">
        <f>IFERROR(__xludf.DUMMYFUNCTION("""COMPUTED_VALUE"""),95.0)</f>
        <v>95</v>
      </c>
      <c r="L1052">
        <f>IFERROR(__xludf.DUMMYFUNCTION("""COMPUTED_VALUE"""),0.0)</f>
        <v>0</v>
      </c>
      <c r="M1052">
        <f>IFERROR(__xludf.DUMMYFUNCTION("""COMPUTED_VALUE"""),95.0)</f>
        <v>95</v>
      </c>
      <c r="N1052" t="str">
        <f>IFERROR(__xludf.DUMMYFUNCTION("""COMPUTED_VALUE"""),"Model 3 LR AWD")</f>
        <v>Model 3 LR AWD</v>
      </c>
      <c r="O1052" t="str">
        <f>IFERROR(__xludf.DUMMYFUNCTION("""COMPUTED_VALUE"""),"Solid Black")</f>
        <v>Solid Black</v>
      </c>
      <c r="P1052" t="str">
        <f>IFERROR(__xludf.DUMMYFUNCTION("""COMPUTED_VALUE"""),"18 inch Aero")</f>
        <v>18 inch Aero</v>
      </c>
      <c r="Q1052" t="str">
        <f>IFERROR(__xludf.DUMMYFUNCTION("""COMPUTED_VALUE"""),"Black seats")</f>
        <v>Black seats</v>
      </c>
      <c r="R1052" t="str">
        <f>IFERROR(__xludf.DUMMYFUNCTION("""COMPUTED_VALUE"""),"Enhanced Autopilot")</f>
        <v>Enhanced Autopilot</v>
      </c>
      <c r="X1052" t="str">
        <f>IFERROR(__xludf.DUMMYFUNCTION("""COMPUTED_VALUE"""),"Good")</f>
        <v>Good</v>
      </c>
      <c r="Y1052" t="str">
        <f>IFERROR(__xludf.DUMMYFUNCTION("""COMPUTED_VALUE"""),"Excellent")</f>
        <v>Excellent</v>
      </c>
      <c r="Z1052" t="str">
        <f>IFERROR(__xludf.DUMMYFUNCTION("""COMPUTED_VALUE"""),"Very Good")</f>
        <v>Very Good</v>
      </c>
      <c r="AA1052" t="str">
        <f>IFERROR(__xludf.DUMMYFUNCTION("""COMPUTED_VALUE"""),"Poor")</f>
        <v>Poor</v>
      </c>
      <c r="AB1052" t="str">
        <f>IFERROR(__xludf.DUMMYFUNCTION("""COMPUTED_VALUE"""),"Fair")</f>
        <v>Fair</v>
      </c>
      <c r="AC1052">
        <f>IFERROR(__xludf.DUMMYFUNCTION("""COMPUTED_VALUE"""),2.0)</f>
        <v>2</v>
      </c>
      <c r="AD1052">
        <f>IFERROR(__xludf.DUMMYFUNCTION("""COMPUTED_VALUE"""),1.0)</f>
        <v>1</v>
      </c>
      <c r="AE1052">
        <f>IFERROR(__xludf.DUMMYFUNCTION("""COMPUTED_VALUE"""),0.0)</f>
        <v>0</v>
      </c>
      <c r="AH1052" s="189">
        <f>IFERROR(__xludf.DUMMYFUNCTION("""COMPUTED_VALUE"""),43380.51899950231)</f>
        <v>43380.519</v>
      </c>
    </row>
    <row r="1053">
      <c r="A1053" t="str">
        <f>IFERROR(__xludf.DUMMYFUNCTION("""COMPUTED_VALUE"""),"Sivam")</f>
        <v>Sivam</v>
      </c>
      <c r="C1053" t="str">
        <f>IFERROR(__xludf.DUMMYFUNCTION("""COMPUTED_VALUE"""),"MD")</f>
        <v>MD</v>
      </c>
      <c r="D1053" t="str">
        <f>IFERROR(__xludf.DUMMYFUNCTION("""COMPUTED_VALUE"""),"USA")</f>
        <v>USA</v>
      </c>
      <c r="E1053" s="188">
        <f>IFERROR(__xludf.DUMMYFUNCTION("""COMPUTED_VALUE"""),43297.0)</f>
        <v>43297</v>
      </c>
      <c r="F1053" s="188">
        <f>IFERROR(__xludf.DUMMYFUNCTION("""COMPUTED_VALUE"""),43339.0)</f>
        <v>43339</v>
      </c>
      <c r="H1053">
        <f>IFERROR(__xludf.DUMMYFUNCTION("""COMPUTED_VALUE"""),53755.0)</f>
        <v>53755</v>
      </c>
      <c r="I1053" t="str">
        <f>IFERROR(__xludf.DUMMYFUNCTION("""COMPUTED_VALUE"""),"08/18")</f>
        <v>08/18</v>
      </c>
      <c r="J1053" s="5">
        <f>IFERROR(__xludf.DUMMYFUNCTION("""COMPUTED_VALUE"""),43365.0)</f>
        <v>43365</v>
      </c>
      <c r="K1053">
        <f>IFERROR(__xludf.DUMMYFUNCTION("""COMPUTED_VALUE"""),42.0)</f>
        <v>42</v>
      </c>
      <c r="L1053">
        <f>IFERROR(__xludf.DUMMYFUNCTION("""COMPUTED_VALUE"""),26.0)</f>
        <v>26</v>
      </c>
      <c r="M1053">
        <f>IFERROR(__xludf.DUMMYFUNCTION("""COMPUTED_VALUE"""),68.0)</f>
        <v>68</v>
      </c>
      <c r="N1053" t="str">
        <f>IFERROR(__xludf.DUMMYFUNCTION("""COMPUTED_VALUE"""),"Model 3 LR")</f>
        <v>Model 3 LR</v>
      </c>
      <c r="O1053" t="str">
        <f>IFERROR(__xludf.DUMMYFUNCTION("""COMPUTED_VALUE"""),"Pearl White Multi-Coat")</f>
        <v>Pearl White Multi-Coat</v>
      </c>
      <c r="P1053" t="str">
        <f>IFERROR(__xludf.DUMMYFUNCTION("""COMPUTED_VALUE"""),"19 inch Sport")</f>
        <v>19 inch Sport</v>
      </c>
      <c r="Q1053" t="str">
        <f>IFERROR(__xludf.DUMMYFUNCTION("""COMPUTED_VALUE"""),"Black seats")</f>
        <v>Black seats</v>
      </c>
      <c r="R1053" t="str">
        <f>IFERROR(__xludf.DUMMYFUNCTION("""COMPUTED_VALUE"""),"Enhanced Autopilot")</f>
        <v>Enhanced Autopilot</v>
      </c>
      <c r="X1053" t="str">
        <f>IFERROR(__xludf.DUMMYFUNCTION("""COMPUTED_VALUE"""),"Fair")</f>
        <v>Fair</v>
      </c>
      <c r="Y1053" t="str">
        <f>IFERROR(__xludf.DUMMYFUNCTION("""COMPUTED_VALUE"""),"Good")</f>
        <v>Good</v>
      </c>
      <c r="Z1053" t="str">
        <f>IFERROR(__xludf.DUMMYFUNCTION("""COMPUTED_VALUE"""),"Good")</f>
        <v>Good</v>
      </c>
      <c r="AA1053" t="str">
        <f>IFERROR(__xludf.DUMMYFUNCTION("""COMPUTED_VALUE"""),"Poor")</f>
        <v>Poor</v>
      </c>
      <c r="AB1053" t="str">
        <f>IFERROR(__xludf.DUMMYFUNCTION("""COMPUTED_VALUE"""),"Fair")</f>
        <v>Fair</v>
      </c>
      <c r="AC1053">
        <f>IFERROR(__xludf.DUMMYFUNCTION("""COMPUTED_VALUE"""),11.0)</f>
        <v>11</v>
      </c>
      <c r="AD1053">
        <f>IFERROR(__xludf.DUMMYFUNCTION("""COMPUTED_VALUE"""),2.0)</f>
        <v>2</v>
      </c>
      <c r="AE1053">
        <f>IFERROR(__xludf.DUMMYFUNCTION("""COMPUTED_VALUE"""),2.0)</f>
        <v>2</v>
      </c>
      <c r="AH1053" s="189">
        <f>IFERROR(__xludf.DUMMYFUNCTION("""COMPUTED_VALUE"""),43380.52017042824)</f>
        <v>43380.52017</v>
      </c>
    </row>
    <row r="1054">
      <c r="A1054" t="str">
        <f>IFERROR(__xludf.DUMMYFUNCTION("""COMPUTED_VALUE"""),"quaa")</f>
        <v>quaa</v>
      </c>
      <c r="B1054" t="str">
        <f>IFERROR(__xludf.DUMMYFUNCTION("""COMPUTED_VALUE"""),"Dallas")</f>
        <v>Dallas</v>
      </c>
      <c r="C1054" t="str">
        <f>IFERROR(__xludf.DUMMYFUNCTION("""COMPUTED_VALUE"""),"TX")</f>
        <v>TX</v>
      </c>
      <c r="D1054" t="str">
        <f>IFERROR(__xludf.DUMMYFUNCTION("""COMPUTED_VALUE"""),"USA")</f>
        <v>USA</v>
      </c>
      <c r="E1054" s="188">
        <f>IFERROR(__xludf.DUMMYFUNCTION("""COMPUTED_VALUE"""),43278.0)</f>
        <v>43278</v>
      </c>
      <c r="F1054" s="188">
        <f>IFERROR(__xludf.DUMMYFUNCTION("""COMPUTED_VALUE"""),43320.0)</f>
        <v>43320</v>
      </c>
      <c r="H1054">
        <f>IFERROR(__xludf.DUMMYFUNCTION("""COMPUTED_VALUE"""),70855.0)</f>
        <v>70855</v>
      </c>
      <c r="I1054" t="str">
        <f>IFERROR(__xludf.DUMMYFUNCTION("""COMPUTED_VALUE"""),"08/18")</f>
        <v>08/18</v>
      </c>
      <c r="J1054" s="5">
        <f>IFERROR(__xludf.DUMMYFUNCTION("""COMPUTED_VALUE"""),43363.0)</f>
        <v>43363</v>
      </c>
      <c r="K1054">
        <f>IFERROR(__xludf.DUMMYFUNCTION("""COMPUTED_VALUE"""),42.0)</f>
        <v>42</v>
      </c>
      <c r="L1054">
        <f>IFERROR(__xludf.DUMMYFUNCTION("""COMPUTED_VALUE"""),43.0)</f>
        <v>43</v>
      </c>
      <c r="M1054">
        <f>IFERROR(__xludf.DUMMYFUNCTION("""COMPUTED_VALUE"""),85.0)</f>
        <v>85</v>
      </c>
      <c r="N1054" t="str">
        <f>IFERROR(__xludf.DUMMYFUNCTION("""COMPUTED_VALUE"""),"Model 3 LR AWD")</f>
        <v>Model 3 LR AWD</v>
      </c>
      <c r="O1054" t="str">
        <f>IFERROR(__xludf.DUMMYFUNCTION("""COMPUTED_VALUE"""),"Obsidian Black Metallic")</f>
        <v>Obsidian Black Metallic</v>
      </c>
      <c r="P1054" t="str">
        <f>IFERROR(__xludf.DUMMYFUNCTION("""COMPUTED_VALUE"""),"18 inch Aero")</f>
        <v>18 inch Aero</v>
      </c>
      <c r="Q1054" t="str">
        <f>IFERROR(__xludf.DUMMYFUNCTION("""COMPUTED_VALUE"""),"White seats")</f>
        <v>White seats</v>
      </c>
      <c r="R1054" t="str">
        <f>IFERROR(__xludf.DUMMYFUNCTION("""COMPUTED_VALUE"""),"Enhanced Autopilot")</f>
        <v>Enhanced Autopilot</v>
      </c>
      <c r="X1054" t="str">
        <f>IFERROR(__xludf.DUMMYFUNCTION("""COMPUTED_VALUE"""),"Excellent")</f>
        <v>Excellent</v>
      </c>
      <c r="Y1054" t="str">
        <f>IFERROR(__xludf.DUMMYFUNCTION("""COMPUTED_VALUE"""),"Excellent")</f>
        <v>Excellent</v>
      </c>
      <c r="Z1054" t="str">
        <f>IFERROR(__xludf.DUMMYFUNCTION("""COMPUTED_VALUE"""),"Fair")</f>
        <v>Fair</v>
      </c>
      <c r="AA1054" t="str">
        <f>IFERROR(__xludf.DUMMYFUNCTION("""COMPUTED_VALUE"""),"Poor")</f>
        <v>Poor</v>
      </c>
      <c r="AB1054" t="str">
        <f>IFERROR(__xludf.DUMMYFUNCTION("""COMPUTED_VALUE"""),"Good")</f>
        <v>Good</v>
      </c>
      <c r="AC1054">
        <f>IFERROR(__xludf.DUMMYFUNCTION("""COMPUTED_VALUE"""),3.0)</f>
        <v>3</v>
      </c>
      <c r="AD1054">
        <f>IFERROR(__xludf.DUMMYFUNCTION("""COMPUTED_VALUE"""),2.0)</f>
        <v>2</v>
      </c>
      <c r="AE1054">
        <f>IFERROR(__xludf.DUMMYFUNCTION("""COMPUTED_VALUE"""),2.0)</f>
        <v>2</v>
      </c>
      <c r="AH1054" s="189">
        <f>IFERROR(__xludf.DUMMYFUNCTION("""COMPUTED_VALUE"""),43380.73124149306)</f>
        <v>43380.73124</v>
      </c>
    </row>
    <row r="1055">
      <c r="A1055" t="str">
        <f>IFERROR(__xludf.DUMMYFUNCTION("""COMPUTED_VALUE"""),"DocBrad")</f>
        <v>DocBrad</v>
      </c>
      <c r="B1055" t="str">
        <f>IFERROR(__xludf.DUMMYFUNCTION("""COMPUTED_VALUE"""),"Dayton")</f>
        <v>Dayton</v>
      </c>
      <c r="C1055" t="str">
        <f>IFERROR(__xludf.DUMMYFUNCTION("""COMPUTED_VALUE"""),"OH")</f>
        <v>OH</v>
      </c>
      <c r="D1055" t="str">
        <f>IFERROR(__xludf.DUMMYFUNCTION("""COMPUTED_VALUE"""),"USA")</f>
        <v>USA</v>
      </c>
      <c r="E1055" s="188">
        <f>IFERROR(__xludf.DUMMYFUNCTION("""COMPUTED_VALUE"""),43288.0)</f>
        <v>43288</v>
      </c>
      <c r="F1055" s="188">
        <f>IFERROR(__xludf.DUMMYFUNCTION("""COMPUTED_VALUE"""),43369.0)</f>
        <v>43369</v>
      </c>
      <c r="H1055">
        <f>IFERROR(__xludf.DUMMYFUNCTION("""COMPUTED_VALUE"""),91063.0)</f>
        <v>91063</v>
      </c>
      <c r="I1055" t="str">
        <f>IFERROR(__xludf.DUMMYFUNCTION("""COMPUTED_VALUE"""),"09/18")</f>
        <v>09/18</v>
      </c>
      <c r="J1055" s="5">
        <f>IFERROR(__xludf.DUMMYFUNCTION("""COMPUTED_VALUE"""),43379.0)</f>
        <v>43379</v>
      </c>
      <c r="K1055">
        <f>IFERROR(__xludf.DUMMYFUNCTION("""COMPUTED_VALUE"""),81.0)</f>
        <v>81</v>
      </c>
      <c r="L1055">
        <f>IFERROR(__xludf.DUMMYFUNCTION("""COMPUTED_VALUE"""),10.0)</f>
        <v>10</v>
      </c>
      <c r="M1055">
        <f>IFERROR(__xludf.DUMMYFUNCTION("""COMPUTED_VALUE"""),91.0)</f>
        <v>91</v>
      </c>
      <c r="N1055" t="str">
        <f>IFERROR(__xludf.DUMMYFUNCTION("""COMPUTED_VALUE"""),"Model 3 Performance")</f>
        <v>Model 3 Performance</v>
      </c>
      <c r="O1055" t="str">
        <f>IFERROR(__xludf.DUMMYFUNCTION("""COMPUTED_VALUE"""),"Midnight Silver Metallic")</f>
        <v>Midnight Silver Metallic</v>
      </c>
      <c r="P1055" t="str">
        <f>IFERROR(__xludf.DUMMYFUNCTION("""COMPUTED_VALUE"""),"18 inch Aero")</f>
        <v>18 inch Aero</v>
      </c>
      <c r="Q1055" t="str">
        <f>IFERROR(__xludf.DUMMYFUNCTION("""COMPUTED_VALUE"""),"Black seats")</f>
        <v>Black seats</v>
      </c>
      <c r="R1055" t="str">
        <f>IFERROR(__xludf.DUMMYFUNCTION("""COMPUTED_VALUE"""),"Full Self-Driving")</f>
        <v>Full Self-Driving</v>
      </c>
      <c r="X1055" t="str">
        <f>IFERROR(__xludf.DUMMYFUNCTION("""COMPUTED_VALUE"""),"Very Good")</f>
        <v>Very Good</v>
      </c>
      <c r="Y1055" t="str">
        <f>IFERROR(__xludf.DUMMYFUNCTION("""COMPUTED_VALUE"""),"Excellent")</f>
        <v>Excellent</v>
      </c>
      <c r="Z1055" t="str">
        <f>IFERROR(__xludf.DUMMYFUNCTION("""COMPUTED_VALUE"""),"Excellent")</f>
        <v>Excellent</v>
      </c>
      <c r="AA1055" t="str">
        <f>IFERROR(__xludf.DUMMYFUNCTION("""COMPUTED_VALUE"""),"Fair")</f>
        <v>Fair</v>
      </c>
      <c r="AB1055" t="str">
        <f>IFERROR(__xludf.DUMMYFUNCTION("""COMPUTED_VALUE"""),"Good")</f>
        <v>Good</v>
      </c>
      <c r="AC1055">
        <f>IFERROR(__xludf.DUMMYFUNCTION("""COMPUTED_VALUE"""),2.0)</f>
        <v>2</v>
      </c>
      <c r="AD1055">
        <f>IFERROR(__xludf.DUMMYFUNCTION("""COMPUTED_VALUE"""),1.0)</f>
        <v>1</v>
      </c>
      <c r="AH1055" s="189">
        <f>IFERROR(__xludf.DUMMYFUNCTION("""COMPUTED_VALUE"""),43380.7628433912)</f>
        <v>43380.76284</v>
      </c>
    </row>
    <row r="1056">
      <c r="A1056" t="str">
        <f>IFERROR(__xludf.DUMMYFUNCTION("""COMPUTED_VALUE"""),"jqwest1906")</f>
        <v>jqwest1906</v>
      </c>
      <c r="B1056" t="str">
        <f>IFERROR(__xludf.DUMMYFUNCTION("""COMPUTED_VALUE"""),"Valley Township")</f>
        <v>Valley Township</v>
      </c>
      <c r="C1056" t="str">
        <f>IFERROR(__xludf.DUMMYFUNCTION("""COMPUTED_VALUE"""),"PA")</f>
        <v>PA</v>
      </c>
      <c r="D1056" t="str">
        <f>IFERROR(__xludf.DUMMYFUNCTION("""COMPUTED_VALUE"""),"USA")</f>
        <v>USA</v>
      </c>
      <c r="E1056" s="188">
        <f>IFERROR(__xludf.DUMMYFUNCTION("""COMPUTED_VALUE"""),43330.0)</f>
        <v>43330</v>
      </c>
      <c r="J1056" s="5">
        <f>IFERROR(__xludf.DUMMYFUNCTION("""COMPUTED_VALUE"""),42736.0)</f>
        <v>42736</v>
      </c>
      <c r="N1056" t="str">
        <f>IFERROR(__xludf.DUMMYFUNCTION("""COMPUTED_VALUE"""),"Model 3 LR AWD")</f>
        <v>Model 3 LR AWD</v>
      </c>
      <c r="O1056" t="str">
        <f>IFERROR(__xludf.DUMMYFUNCTION("""COMPUTED_VALUE"""),"Silver Metallic")</f>
        <v>Silver Metallic</v>
      </c>
      <c r="P1056" t="str">
        <f>IFERROR(__xludf.DUMMYFUNCTION("""COMPUTED_VALUE"""),"19 inch Sport")</f>
        <v>19 inch Sport</v>
      </c>
      <c r="Q1056" t="str">
        <f>IFERROR(__xludf.DUMMYFUNCTION("""COMPUTED_VALUE"""),"Black seats")</f>
        <v>Black seats</v>
      </c>
      <c r="R1056" t="str">
        <f>IFERROR(__xludf.DUMMYFUNCTION("""COMPUTED_VALUE"""),"Full Self-Driving")</f>
        <v>Full Self-Driving</v>
      </c>
      <c r="AA1056" t="str">
        <f>IFERROR(__xludf.DUMMYFUNCTION("""COMPUTED_VALUE"""),"Good")</f>
        <v>Good</v>
      </c>
      <c r="AH1056" s="189">
        <f>IFERROR(__xludf.DUMMYFUNCTION("""COMPUTED_VALUE"""),43380.83798038194)</f>
        <v>43380.83798</v>
      </c>
    </row>
    <row r="1057">
      <c r="A1057" t="str">
        <f>IFERROR(__xludf.DUMMYFUNCTION("""COMPUTED_VALUE"""),"T994A")</f>
        <v>T994A</v>
      </c>
      <c r="C1057" t="str">
        <f>IFERROR(__xludf.DUMMYFUNCTION("""COMPUTED_VALUE"""),"ID")</f>
        <v>ID</v>
      </c>
      <c r="D1057" t="str">
        <f>IFERROR(__xludf.DUMMYFUNCTION("""COMPUTED_VALUE"""),"USA")</f>
        <v>USA</v>
      </c>
      <c r="E1057" s="188">
        <f>IFERROR(__xludf.DUMMYFUNCTION("""COMPUTED_VALUE"""),43279.0)</f>
        <v>43279</v>
      </c>
      <c r="F1057" s="188">
        <f>IFERROR(__xludf.DUMMYFUNCTION("""COMPUTED_VALUE"""),43368.0)</f>
        <v>43368</v>
      </c>
      <c r="H1057">
        <f>IFERROR(__xludf.DUMMYFUNCTION("""COMPUTED_VALUE"""),91355.0)</f>
        <v>91355</v>
      </c>
      <c r="I1057" t="str">
        <f>IFERROR(__xludf.DUMMYFUNCTION("""COMPUTED_VALUE"""),"09/18")</f>
        <v>09/18</v>
      </c>
      <c r="J1057" s="5">
        <f>IFERROR(__xludf.DUMMYFUNCTION("""COMPUTED_VALUE"""),43377.0)</f>
        <v>43377</v>
      </c>
      <c r="K1057">
        <f>IFERROR(__xludf.DUMMYFUNCTION("""COMPUTED_VALUE"""),89.0)</f>
        <v>89</v>
      </c>
      <c r="L1057">
        <f>IFERROR(__xludf.DUMMYFUNCTION("""COMPUTED_VALUE"""),9.0)</f>
        <v>9</v>
      </c>
      <c r="M1057">
        <f>IFERROR(__xludf.DUMMYFUNCTION("""COMPUTED_VALUE"""),98.0)</f>
        <v>98</v>
      </c>
      <c r="N1057" t="str">
        <f>IFERROR(__xludf.DUMMYFUNCTION("""COMPUTED_VALUE"""),"Model 3 LR AWD")</f>
        <v>Model 3 LR AWD</v>
      </c>
      <c r="O1057" t="str">
        <f>IFERROR(__xludf.DUMMYFUNCTION("""COMPUTED_VALUE"""),"Silver Metallic")</f>
        <v>Silver Metallic</v>
      </c>
      <c r="P1057" t="str">
        <f>IFERROR(__xludf.DUMMYFUNCTION("""COMPUTED_VALUE"""),"19 inch Sport")</f>
        <v>19 inch Sport</v>
      </c>
      <c r="Q1057" t="str">
        <f>IFERROR(__xludf.DUMMYFUNCTION("""COMPUTED_VALUE"""),"Black seats")</f>
        <v>Black seats</v>
      </c>
      <c r="R1057" t="str">
        <f>IFERROR(__xludf.DUMMYFUNCTION("""COMPUTED_VALUE"""),"Enhanced Autopilot")</f>
        <v>Enhanced Autopilot</v>
      </c>
      <c r="X1057" t="str">
        <f>IFERROR(__xludf.DUMMYFUNCTION("""COMPUTED_VALUE"""),"Excellent")</f>
        <v>Excellent</v>
      </c>
      <c r="Y1057" t="str">
        <f>IFERROR(__xludf.DUMMYFUNCTION("""COMPUTED_VALUE"""),"Excellent")</f>
        <v>Excellent</v>
      </c>
      <c r="Z1057" t="str">
        <f>IFERROR(__xludf.DUMMYFUNCTION("""COMPUTED_VALUE"""),"Excellent")</f>
        <v>Excellent</v>
      </c>
      <c r="AA1057" t="str">
        <f>IFERROR(__xludf.DUMMYFUNCTION("""COMPUTED_VALUE"""),"Poor")</f>
        <v>Poor</v>
      </c>
      <c r="AB1057" t="str">
        <f>IFERROR(__xludf.DUMMYFUNCTION("""COMPUTED_VALUE"""),"Very Good")</f>
        <v>Very Good</v>
      </c>
      <c r="AC1057">
        <f>IFERROR(__xludf.DUMMYFUNCTION("""COMPUTED_VALUE"""),1.0)</f>
        <v>1</v>
      </c>
      <c r="AH1057" s="189">
        <f>IFERROR(__xludf.DUMMYFUNCTION("""COMPUTED_VALUE"""),43380.84886673611)</f>
        <v>43380.84887</v>
      </c>
    </row>
    <row r="1058">
      <c r="A1058" t="str">
        <f>IFERROR(__xludf.DUMMYFUNCTION("""COMPUTED_VALUE"""),"kelleyclark")</f>
        <v>kelleyclark</v>
      </c>
      <c r="B1058" t="str">
        <f>IFERROR(__xludf.DUMMYFUNCTION("""COMPUTED_VALUE"""),"Winter Haven")</f>
        <v>Winter Haven</v>
      </c>
      <c r="C1058" t="str">
        <f>IFERROR(__xludf.DUMMYFUNCTION("""COMPUTED_VALUE"""),"FL")</f>
        <v>FL</v>
      </c>
      <c r="D1058" t="str">
        <f>IFERROR(__xludf.DUMMYFUNCTION("""COMPUTED_VALUE"""),"USA")</f>
        <v>USA</v>
      </c>
      <c r="E1058" s="188">
        <f>IFERROR(__xludf.DUMMYFUNCTION("""COMPUTED_VALUE"""),43278.0)</f>
        <v>43278</v>
      </c>
      <c r="F1058" s="188">
        <f>IFERROR(__xludf.DUMMYFUNCTION("""COMPUTED_VALUE"""),43347.0)</f>
        <v>43347</v>
      </c>
      <c r="H1058">
        <f>IFERROR(__xludf.DUMMYFUNCTION("""COMPUTED_VALUE"""),67135.0)</f>
        <v>67135</v>
      </c>
      <c r="I1058" t="str">
        <f>IFERROR(__xludf.DUMMYFUNCTION("""COMPUTED_VALUE"""),"08/18")</f>
        <v>08/18</v>
      </c>
      <c r="J1058" s="5">
        <f>IFERROR(__xludf.DUMMYFUNCTION("""COMPUTED_VALUE"""),43362.0)</f>
        <v>43362</v>
      </c>
      <c r="K1058">
        <f>IFERROR(__xludf.DUMMYFUNCTION("""COMPUTED_VALUE"""),69.0)</f>
        <v>69</v>
      </c>
      <c r="L1058">
        <f>IFERROR(__xludf.DUMMYFUNCTION("""COMPUTED_VALUE"""),15.0)</f>
        <v>15</v>
      </c>
      <c r="M1058">
        <f>IFERROR(__xludf.DUMMYFUNCTION("""COMPUTED_VALUE"""),84.0)</f>
        <v>84</v>
      </c>
      <c r="N1058" t="str">
        <f>IFERROR(__xludf.DUMMYFUNCTION("""COMPUTED_VALUE"""),"Model 3 LR AWD")</f>
        <v>Model 3 LR AWD</v>
      </c>
      <c r="O1058" t="str">
        <f>IFERROR(__xludf.DUMMYFUNCTION("""COMPUTED_VALUE"""),"Pearl White Multi-Coat")</f>
        <v>Pearl White Multi-Coat</v>
      </c>
      <c r="P1058" t="str">
        <f>IFERROR(__xludf.DUMMYFUNCTION("""COMPUTED_VALUE"""),"18 inch Aero")</f>
        <v>18 inch Aero</v>
      </c>
      <c r="Q1058" t="str">
        <f>IFERROR(__xludf.DUMMYFUNCTION("""COMPUTED_VALUE"""),"Black seats")</f>
        <v>Black seats</v>
      </c>
      <c r="R1058" t="str">
        <f>IFERROR(__xludf.DUMMYFUNCTION("""COMPUTED_VALUE"""),"Full Self-Driving")</f>
        <v>Full Self-Driving</v>
      </c>
      <c r="X1058" t="str">
        <f>IFERROR(__xludf.DUMMYFUNCTION("""COMPUTED_VALUE"""),"Poor")</f>
        <v>Poor</v>
      </c>
      <c r="Y1058" t="str">
        <f>IFERROR(__xludf.DUMMYFUNCTION("""COMPUTED_VALUE"""),"Very Good")</f>
        <v>Very Good</v>
      </c>
      <c r="Z1058" t="str">
        <f>IFERROR(__xludf.DUMMYFUNCTION("""COMPUTED_VALUE"""),"Poor")</f>
        <v>Poor</v>
      </c>
      <c r="AA1058" t="str">
        <f>IFERROR(__xludf.DUMMYFUNCTION("""COMPUTED_VALUE"""),"Very Good")</f>
        <v>Very Good</v>
      </c>
      <c r="AB1058" t="str">
        <f>IFERROR(__xludf.DUMMYFUNCTION("""COMPUTED_VALUE"""),"Fair")</f>
        <v>Fair</v>
      </c>
      <c r="AC1058">
        <f>IFERROR(__xludf.DUMMYFUNCTION("""COMPUTED_VALUE"""),10.0)</f>
        <v>10</v>
      </c>
      <c r="AD1058">
        <f>IFERROR(__xludf.DUMMYFUNCTION("""COMPUTED_VALUE"""),2.0)</f>
        <v>2</v>
      </c>
      <c r="AE1058">
        <f>IFERROR(__xludf.DUMMYFUNCTION("""COMPUTED_VALUE"""),2.0)</f>
        <v>2</v>
      </c>
      <c r="AG1058" t="str">
        <f>IFERROR(__xludf.DUMMYFUNCTION("""COMPUTED_VALUE"""),"Still having items resolved. Car has had a few areas repainted, the repainted items are darker than factory paint.")</f>
        <v>Still having items resolved. Car has had a few areas repainted, the repainted items are darker than factory paint.</v>
      </c>
      <c r="AH1058" s="189">
        <f>IFERROR(__xludf.DUMMYFUNCTION("""COMPUTED_VALUE"""),43381.180406203704)</f>
        <v>43381.18041</v>
      </c>
    </row>
    <row r="1059">
      <c r="A1059" t="str">
        <f>IFERROR(__xludf.DUMMYFUNCTION("""COMPUTED_VALUE"""),"MikeATL")</f>
        <v>MikeATL</v>
      </c>
      <c r="B1059" t="str">
        <f>IFERROR(__xludf.DUMMYFUNCTION("""COMPUTED_VALUE"""),"Atlanta")</f>
        <v>Atlanta</v>
      </c>
      <c r="C1059" t="str">
        <f>IFERROR(__xludf.DUMMYFUNCTION("""COMPUTED_VALUE"""),"GA")</f>
        <v>GA</v>
      </c>
      <c r="D1059" t="str">
        <f>IFERROR(__xludf.DUMMYFUNCTION("""COMPUTED_VALUE"""),"USA")</f>
        <v>USA</v>
      </c>
      <c r="E1059" s="188">
        <f>IFERROR(__xludf.DUMMYFUNCTION("""COMPUTED_VALUE"""),43325.0)</f>
        <v>43325</v>
      </c>
      <c r="F1059" s="188">
        <f>IFERROR(__xludf.DUMMYFUNCTION("""COMPUTED_VALUE"""),43354.0)</f>
        <v>43354</v>
      </c>
      <c r="H1059">
        <f>IFERROR(__xludf.DUMMYFUNCTION("""COMPUTED_VALUE"""),99655.0)</f>
        <v>99655</v>
      </c>
      <c r="I1059" t="str">
        <f>IFERROR(__xludf.DUMMYFUNCTION("""COMPUTED_VALUE"""),"08/18")</f>
        <v>08/18</v>
      </c>
      <c r="J1059" s="5">
        <f>IFERROR(__xludf.DUMMYFUNCTION("""COMPUTED_VALUE"""),43365.0)</f>
        <v>43365</v>
      </c>
      <c r="K1059">
        <f>IFERROR(__xludf.DUMMYFUNCTION("""COMPUTED_VALUE"""),29.0)</f>
        <v>29</v>
      </c>
      <c r="L1059">
        <f>IFERROR(__xludf.DUMMYFUNCTION("""COMPUTED_VALUE"""),11.0)</f>
        <v>11</v>
      </c>
      <c r="M1059">
        <f>IFERROR(__xludf.DUMMYFUNCTION("""COMPUTED_VALUE"""),40.0)</f>
        <v>40</v>
      </c>
      <c r="N1059" t="str">
        <f>IFERROR(__xludf.DUMMYFUNCTION("""COMPUTED_VALUE"""),"Model 3 Performance")</f>
        <v>Model 3 Performance</v>
      </c>
      <c r="O1059" t="str">
        <f>IFERROR(__xludf.DUMMYFUNCTION("""COMPUTED_VALUE"""),"Red Multi-Coat")</f>
        <v>Red Multi-Coat</v>
      </c>
      <c r="P1059" t="str">
        <f>IFERROR(__xludf.DUMMYFUNCTION("""COMPUTED_VALUE"""),"18 inch Aero")</f>
        <v>18 inch Aero</v>
      </c>
      <c r="Q1059" t="str">
        <f>IFERROR(__xludf.DUMMYFUNCTION("""COMPUTED_VALUE"""),"White seats")</f>
        <v>White seats</v>
      </c>
      <c r="R1059" t="str">
        <f>IFERROR(__xludf.DUMMYFUNCTION("""COMPUTED_VALUE"""),"Full Self-Driving")</f>
        <v>Full Self-Driving</v>
      </c>
      <c r="X1059" t="str">
        <f>IFERROR(__xludf.DUMMYFUNCTION("""COMPUTED_VALUE"""),"Excellent")</f>
        <v>Excellent</v>
      </c>
      <c r="Y1059" t="str">
        <f>IFERROR(__xludf.DUMMYFUNCTION("""COMPUTED_VALUE"""),"Excellent")</f>
        <v>Excellent</v>
      </c>
      <c r="Z1059" t="str">
        <f>IFERROR(__xludf.DUMMYFUNCTION("""COMPUTED_VALUE"""),"Excellent")</f>
        <v>Excellent</v>
      </c>
      <c r="AA1059" t="str">
        <f>IFERROR(__xludf.DUMMYFUNCTION("""COMPUTED_VALUE"""),"Good")</f>
        <v>Good</v>
      </c>
      <c r="AB1059" t="str">
        <f>IFERROR(__xludf.DUMMYFUNCTION("""COMPUTED_VALUE"""),"Very Good")</f>
        <v>Very Good</v>
      </c>
      <c r="AC1059">
        <f>IFERROR(__xludf.DUMMYFUNCTION("""COMPUTED_VALUE"""),1.0)</f>
        <v>1</v>
      </c>
      <c r="AD1059">
        <f>IFERROR(__xludf.DUMMYFUNCTION("""COMPUTED_VALUE"""),0.0)</f>
        <v>0</v>
      </c>
      <c r="AE1059">
        <f>IFERROR(__xludf.DUMMYFUNCTION("""COMPUTED_VALUE"""),0.0)</f>
        <v>0</v>
      </c>
      <c r="AG1059" t="str">
        <f>IFERROR(__xludf.DUMMYFUNCTION("""COMPUTED_VALUE"""),"my one defect was fixed at Delivery")</f>
        <v>my one defect was fixed at Delivery</v>
      </c>
      <c r="AH1059" s="189">
        <f>IFERROR(__xludf.DUMMYFUNCTION("""COMPUTED_VALUE"""),43381.22376986111)</f>
        <v>43381.22377</v>
      </c>
    </row>
    <row r="1060">
      <c r="A1060" t="str">
        <f>IFERROR(__xludf.DUMMYFUNCTION("""COMPUTED_VALUE"""),"ranss12")</f>
        <v>ranss12</v>
      </c>
      <c r="B1060" t="str">
        <f>IFERROR(__xludf.DUMMYFUNCTION("""COMPUTED_VALUE"""),"Bloomfield")</f>
        <v>Bloomfield</v>
      </c>
      <c r="C1060" t="str">
        <f>IFERROR(__xludf.DUMMYFUNCTION("""COMPUTED_VALUE"""),"NY")</f>
        <v>NY</v>
      </c>
      <c r="D1060" t="str">
        <f>IFERROR(__xludf.DUMMYFUNCTION("""COMPUTED_VALUE"""),"USA")</f>
        <v>USA</v>
      </c>
      <c r="E1060" s="188">
        <f>IFERROR(__xludf.DUMMYFUNCTION("""COMPUTED_VALUE"""),43204.0)</f>
        <v>43204</v>
      </c>
      <c r="F1060" s="188">
        <f>IFERROR(__xludf.DUMMYFUNCTION("""COMPUTED_VALUE"""),43240.0)</f>
        <v>43240</v>
      </c>
      <c r="H1060">
        <f>IFERROR(__xludf.DUMMYFUNCTION("""COMPUTED_VALUE"""),22901.0)</f>
        <v>22901</v>
      </c>
      <c r="I1060" t="str">
        <f>IFERROR(__xludf.DUMMYFUNCTION("""COMPUTED_VALUE"""),"05/18")</f>
        <v>05/18</v>
      </c>
      <c r="J1060" s="5">
        <f>IFERROR(__xludf.DUMMYFUNCTION("""COMPUTED_VALUE"""),43263.0)</f>
        <v>43263</v>
      </c>
      <c r="K1060">
        <f>IFERROR(__xludf.DUMMYFUNCTION("""COMPUTED_VALUE"""),36.0)</f>
        <v>36</v>
      </c>
      <c r="L1060">
        <f>IFERROR(__xludf.DUMMYFUNCTION("""COMPUTED_VALUE"""),23.0)</f>
        <v>23</v>
      </c>
      <c r="M1060">
        <f>IFERROR(__xludf.DUMMYFUNCTION("""COMPUTED_VALUE"""),59.0)</f>
        <v>59</v>
      </c>
      <c r="N1060" t="str">
        <f>IFERROR(__xludf.DUMMYFUNCTION("""COMPUTED_VALUE"""),"Model 3 LR")</f>
        <v>Model 3 LR</v>
      </c>
      <c r="O1060" t="str">
        <f>IFERROR(__xludf.DUMMYFUNCTION("""COMPUTED_VALUE"""),"Deep Blue Metallic")</f>
        <v>Deep Blue Metallic</v>
      </c>
      <c r="P1060" t="str">
        <f>IFERROR(__xludf.DUMMYFUNCTION("""COMPUTED_VALUE"""),"18 inch Aero")</f>
        <v>18 inch Aero</v>
      </c>
      <c r="Q1060" t="str">
        <f>IFERROR(__xludf.DUMMYFUNCTION("""COMPUTED_VALUE"""),"Black seats")</f>
        <v>Black seats</v>
      </c>
      <c r="R1060" t="str">
        <f>IFERROR(__xludf.DUMMYFUNCTION("""COMPUTED_VALUE"""),"Enhanced Autopilot")</f>
        <v>Enhanced Autopilot</v>
      </c>
      <c r="X1060" t="str">
        <f>IFERROR(__xludf.DUMMYFUNCTION("""COMPUTED_VALUE"""),"Good")</f>
        <v>Good</v>
      </c>
      <c r="Y1060" t="str">
        <f>IFERROR(__xludf.DUMMYFUNCTION("""COMPUTED_VALUE"""),"Very Good")</f>
        <v>Very Good</v>
      </c>
      <c r="Z1060" t="str">
        <f>IFERROR(__xludf.DUMMYFUNCTION("""COMPUTED_VALUE"""),"Very Good")</f>
        <v>Very Good</v>
      </c>
      <c r="AA1060" t="str">
        <f>IFERROR(__xludf.DUMMYFUNCTION("""COMPUTED_VALUE"""),"Fair")</f>
        <v>Fair</v>
      </c>
      <c r="AB1060" t="str">
        <f>IFERROR(__xludf.DUMMYFUNCTION("""COMPUTED_VALUE"""),"Good")</f>
        <v>Good</v>
      </c>
      <c r="AC1060">
        <f>IFERROR(__xludf.DUMMYFUNCTION("""COMPUTED_VALUE"""),0.0)</f>
        <v>0</v>
      </c>
      <c r="AD1060">
        <f>IFERROR(__xludf.DUMMYFUNCTION("""COMPUTED_VALUE"""),0.0)</f>
        <v>0</v>
      </c>
      <c r="AH1060" s="189">
        <f>IFERROR(__xludf.DUMMYFUNCTION("""COMPUTED_VALUE"""),43381.32729424769)</f>
        <v>43381.32729</v>
      </c>
    </row>
    <row r="1061">
      <c r="A1061" t="str">
        <f>IFERROR(__xludf.DUMMYFUNCTION("""COMPUTED_VALUE"""),"tigerrr")</f>
        <v>tigerrr</v>
      </c>
      <c r="B1061" t="str">
        <f>IFERROR(__xludf.DUMMYFUNCTION("""COMPUTED_VALUE"""),"Holland")</f>
        <v>Holland</v>
      </c>
      <c r="C1061" t="str">
        <f>IFERROR(__xludf.DUMMYFUNCTION("""COMPUTED_VALUE"""),"MI")</f>
        <v>MI</v>
      </c>
      <c r="D1061" t="str">
        <f>IFERROR(__xludf.DUMMYFUNCTION("""COMPUTED_VALUE"""),"USA")</f>
        <v>USA</v>
      </c>
      <c r="E1061" s="188">
        <f>IFERROR(__xludf.DUMMYFUNCTION("""COMPUTED_VALUE"""),43313.0)</f>
        <v>43313</v>
      </c>
      <c r="F1061" s="188">
        <f>IFERROR(__xludf.DUMMYFUNCTION("""COMPUTED_VALUE"""),43344.0)</f>
        <v>43344</v>
      </c>
      <c r="H1061">
        <f>IFERROR(__xludf.DUMMYFUNCTION("""COMPUTED_VALUE"""),90755.0)</f>
        <v>90755</v>
      </c>
      <c r="I1061" t="str">
        <f>IFERROR(__xludf.DUMMYFUNCTION("""COMPUTED_VALUE"""),"09/18")</f>
        <v>09/18</v>
      </c>
      <c r="J1061" s="5">
        <f>IFERROR(__xludf.DUMMYFUNCTION("""COMPUTED_VALUE"""),43370.0)</f>
        <v>43370</v>
      </c>
      <c r="K1061">
        <f>IFERROR(__xludf.DUMMYFUNCTION("""COMPUTED_VALUE"""),31.0)</f>
        <v>31</v>
      </c>
      <c r="L1061">
        <f>IFERROR(__xludf.DUMMYFUNCTION("""COMPUTED_VALUE"""),26.0)</f>
        <v>26</v>
      </c>
      <c r="M1061">
        <f>IFERROR(__xludf.DUMMYFUNCTION("""COMPUTED_VALUE"""),57.0)</f>
        <v>57</v>
      </c>
      <c r="N1061" t="str">
        <f>IFERROR(__xludf.DUMMYFUNCTION("""COMPUTED_VALUE"""),"Model 3 LR AWD")</f>
        <v>Model 3 LR AWD</v>
      </c>
      <c r="O1061" t="str">
        <f>IFERROR(__xludf.DUMMYFUNCTION("""COMPUTED_VALUE"""),"Midnight Silver Metallic")</f>
        <v>Midnight Silver Metallic</v>
      </c>
      <c r="P1061" t="str">
        <f>IFERROR(__xludf.DUMMYFUNCTION("""COMPUTED_VALUE"""),"19 inch Sport")</f>
        <v>19 inch Sport</v>
      </c>
      <c r="Q1061" t="str">
        <f>IFERROR(__xludf.DUMMYFUNCTION("""COMPUTED_VALUE"""),"Black seats")</f>
        <v>Black seats</v>
      </c>
      <c r="R1061" t="str">
        <f>IFERROR(__xludf.DUMMYFUNCTION("""COMPUTED_VALUE"""),"Full Self-Driving")</f>
        <v>Full Self-Driving</v>
      </c>
      <c r="X1061" t="str">
        <f>IFERROR(__xludf.DUMMYFUNCTION("""COMPUTED_VALUE"""),"Excellent")</f>
        <v>Excellent</v>
      </c>
      <c r="Y1061" t="str">
        <f>IFERROR(__xludf.DUMMYFUNCTION("""COMPUTED_VALUE"""),"Excellent")</f>
        <v>Excellent</v>
      </c>
      <c r="Z1061" t="str">
        <f>IFERROR(__xludf.DUMMYFUNCTION("""COMPUTED_VALUE"""),"Very Good")</f>
        <v>Very Good</v>
      </c>
      <c r="AA1061" t="str">
        <f>IFERROR(__xludf.DUMMYFUNCTION("""COMPUTED_VALUE"""),"Good")</f>
        <v>Good</v>
      </c>
      <c r="AB1061" t="str">
        <f>IFERROR(__xludf.DUMMYFUNCTION("""COMPUTED_VALUE"""),"Good")</f>
        <v>Good</v>
      </c>
      <c r="AH1061" s="189">
        <f>IFERROR(__xludf.DUMMYFUNCTION("""COMPUTED_VALUE"""),43381.41244988426)</f>
        <v>43381.41245</v>
      </c>
    </row>
    <row r="1062">
      <c r="A1062" t="str">
        <f>IFERROR(__xludf.DUMMYFUNCTION("""COMPUTED_VALUE"""),"brendanbk")</f>
        <v>brendanbk</v>
      </c>
      <c r="B1062" t="str">
        <f>IFERROR(__xludf.DUMMYFUNCTION("""COMPUTED_VALUE"""),"Philadelphia")</f>
        <v>Philadelphia</v>
      </c>
      <c r="C1062" t="str">
        <f>IFERROR(__xludf.DUMMYFUNCTION("""COMPUTED_VALUE"""),"PA")</f>
        <v>PA</v>
      </c>
      <c r="D1062" t="str">
        <f>IFERROR(__xludf.DUMMYFUNCTION("""COMPUTED_VALUE"""),"USA")</f>
        <v>USA</v>
      </c>
      <c r="E1062" s="188">
        <f>IFERROR(__xludf.DUMMYFUNCTION("""COMPUTED_VALUE"""),43280.0)</f>
        <v>43280</v>
      </c>
      <c r="F1062" s="188">
        <f>IFERROR(__xludf.DUMMYFUNCTION("""COMPUTED_VALUE"""),43356.0)</f>
        <v>43356</v>
      </c>
      <c r="H1062">
        <f>IFERROR(__xludf.DUMMYFUNCTION("""COMPUTED_VALUE"""),69703.0)</f>
        <v>69703</v>
      </c>
      <c r="I1062" t="str">
        <f>IFERROR(__xludf.DUMMYFUNCTION("""COMPUTED_VALUE"""),"09/18")</f>
        <v>09/18</v>
      </c>
      <c r="J1062" s="5">
        <f>IFERROR(__xludf.DUMMYFUNCTION("""COMPUTED_VALUE"""),43377.0)</f>
        <v>43377</v>
      </c>
      <c r="K1062">
        <f>IFERROR(__xludf.DUMMYFUNCTION("""COMPUTED_VALUE"""),76.0)</f>
        <v>76</v>
      </c>
      <c r="L1062">
        <f>IFERROR(__xludf.DUMMYFUNCTION("""COMPUTED_VALUE"""),21.0)</f>
        <v>21</v>
      </c>
      <c r="M1062">
        <f>IFERROR(__xludf.DUMMYFUNCTION("""COMPUTED_VALUE"""),97.0)</f>
        <v>97</v>
      </c>
      <c r="N1062" t="str">
        <f>IFERROR(__xludf.DUMMYFUNCTION("""COMPUTED_VALUE"""),"Model 3 Performance")</f>
        <v>Model 3 Performance</v>
      </c>
      <c r="O1062" t="str">
        <f>IFERROR(__xludf.DUMMYFUNCTION("""COMPUTED_VALUE"""),"Obsidian Black Metallic")</f>
        <v>Obsidian Black Metallic</v>
      </c>
      <c r="P1062" t="str">
        <f>IFERROR(__xludf.DUMMYFUNCTION("""COMPUTED_VALUE"""),"20 inch Sport")</f>
        <v>20 inch Sport</v>
      </c>
      <c r="Q1062" t="str">
        <f>IFERROR(__xludf.DUMMYFUNCTION("""COMPUTED_VALUE"""),"Black seats")</f>
        <v>Black seats</v>
      </c>
      <c r="R1062" t="str">
        <f>IFERROR(__xludf.DUMMYFUNCTION("""COMPUTED_VALUE"""),"Enhanced Autopilot")</f>
        <v>Enhanced Autopilot</v>
      </c>
      <c r="X1062" t="str">
        <f>IFERROR(__xludf.DUMMYFUNCTION("""COMPUTED_VALUE"""),"Very Good")</f>
        <v>Very Good</v>
      </c>
      <c r="Y1062" t="str">
        <f>IFERROR(__xludf.DUMMYFUNCTION("""COMPUTED_VALUE"""),"Very Good")</f>
        <v>Very Good</v>
      </c>
      <c r="Z1062" t="str">
        <f>IFERROR(__xludf.DUMMYFUNCTION("""COMPUTED_VALUE"""),"Good")</f>
        <v>Good</v>
      </c>
      <c r="AA1062" t="str">
        <f>IFERROR(__xludf.DUMMYFUNCTION("""COMPUTED_VALUE"""),"Good")</f>
        <v>Good</v>
      </c>
      <c r="AB1062" t="str">
        <f>IFERROR(__xludf.DUMMYFUNCTION("""COMPUTED_VALUE"""),"Good")</f>
        <v>Good</v>
      </c>
      <c r="AH1062" s="189">
        <f>IFERROR(__xludf.DUMMYFUNCTION("""COMPUTED_VALUE"""),43381.433692754625)</f>
        <v>43381.43369</v>
      </c>
    </row>
    <row r="1063">
      <c r="A1063" t="str">
        <f>IFERROR(__xludf.DUMMYFUNCTION("""COMPUTED_VALUE"""),"augkuo")</f>
        <v>augkuo</v>
      </c>
      <c r="B1063" t="str">
        <f>IFERROR(__xludf.DUMMYFUNCTION("""COMPUTED_VALUE"""),"Berkeley")</f>
        <v>Berkeley</v>
      </c>
      <c r="C1063" t="str">
        <f>IFERROR(__xludf.DUMMYFUNCTION("""COMPUTED_VALUE"""),"CA")</f>
        <v>CA</v>
      </c>
      <c r="D1063" t="str">
        <f>IFERROR(__xludf.DUMMYFUNCTION("""COMPUTED_VALUE"""),"USA")</f>
        <v>USA</v>
      </c>
      <c r="E1063" s="188">
        <f>IFERROR(__xludf.DUMMYFUNCTION("""COMPUTED_VALUE"""),43355.0)</f>
        <v>43355</v>
      </c>
      <c r="F1063" s="188">
        <f>IFERROR(__xludf.DUMMYFUNCTION("""COMPUTED_VALUE"""),43371.0)</f>
        <v>43371</v>
      </c>
      <c r="H1063">
        <f>IFERROR(__xludf.DUMMYFUNCTION("""COMPUTED_VALUE"""),84055.0)</f>
        <v>84055</v>
      </c>
      <c r="I1063" t="str">
        <f>IFERROR(__xludf.DUMMYFUNCTION("""COMPUTED_VALUE"""),"09/18")</f>
        <v>09/18</v>
      </c>
      <c r="J1063" s="5">
        <f>IFERROR(__xludf.DUMMYFUNCTION("""COMPUTED_VALUE"""),43373.0)</f>
        <v>43373</v>
      </c>
      <c r="K1063">
        <f>IFERROR(__xludf.DUMMYFUNCTION("""COMPUTED_VALUE"""),16.0)</f>
        <v>16</v>
      </c>
      <c r="L1063">
        <f>IFERROR(__xludf.DUMMYFUNCTION("""COMPUTED_VALUE"""),2.0)</f>
        <v>2</v>
      </c>
      <c r="M1063">
        <f>IFERROR(__xludf.DUMMYFUNCTION("""COMPUTED_VALUE"""),18.0)</f>
        <v>18</v>
      </c>
      <c r="N1063" t="str">
        <f>IFERROR(__xludf.DUMMYFUNCTION("""COMPUTED_VALUE"""),"Model 3 Performance")</f>
        <v>Model 3 Performance</v>
      </c>
      <c r="O1063" t="str">
        <f>IFERROR(__xludf.DUMMYFUNCTION("""COMPUTED_VALUE"""),"Deep Blue Metallic")</f>
        <v>Deep Blue Metallic</v>
      </c>
      <c r="P1063" t="str">
        <f>IFERROR(__xludf.DUMMYFUNCTION("""COMPUTED_VALUE"""),"20 inch Sport")</f>
        <v>20 inch Sport</v>
      </c>
      <c r="Q1063" t="str">
        <f>IFERROR(__xludf.DUMMYFUNCTION("""COMPUTED_VALUE"""),"Black seats")</f>
        <v>Black seats</v>
      </c>
      <c r="R1063" t="str">
        <f>IFERROR(__xludf.DUMMYFUNCTION("""COMPUTED_VALUE"""),"Enhanced Autopilot")</f>
        <v>Enhanced Autopilot</v>
      </c>
      <c r="X1063" t="str">
        <f>IFERROR(__xludf.DUMMYFUNCTION("""COMPUTED_VALUE"""),"Excellent")</f>
        <v>Excellent</v>
      </c>
      <c r="Y1063" t="str">
        <f>IFERROR(__xludf.DUMMYFUNCTION("""COMPUTED_VALUE"""),"Excellent")</f>
        <v>Excellent</v>
      </c>
      <c r="Z1063" t="str">
        <f>IFERROR(__xludf.DUMMYFUNCTION("""COMPUTED_VALUE"""),"Excellent")</f>
        <v>Excellent</v>
      </c>
      <c r="AA1063" t="str">
        <f>IFERROR(__xludf.DUMMYFUNCTION("""COMPUTED_VALUE"""),"Good")</f>
        <v>Good</v>
      </c>
      <c r="AB1063" t="str">
        <f>IFERROR(__xludf.DUMMYFUNCTION("""COMPUTED_VALUE"""),"Excellent")</f>
        <v>Excellent</v>
      </c>
      <c r="AC1063">
        <f>IFERROR(__xludf.DUMMYFUNCTION("""COMPUTED_VALUE"""),0.0)</f>
        <v>0</v>
      </c>
      <c r="AG1063" t="str">
        <f>IFERROR(__xludf.DUMMYFUNCTION("""COMPUTED_VALUE"""),"so far so good!")</f>
        <v>so far so good!</v>
      </c>
      <c r="AH1063" s="189">
        <f>IFERROR(__xludf.DUMMYFUNCTION("""COMPUTED_VALUE"""),43381.53811292824)</f>
        <v>43381.53811</v>
      </c>
    </row>
    <row r="1064">
      <c r="A1064" t="str">
        <f>IFERROR(__xludf.DUMMYFUNCTION("""COMPUTED_VALUE"""),"cusman")</f>
        <v>cusman</v>
      </c>
      <c r="B1064" t="str">
        <f>IFERROR(__xludf.DUMMYFUNCTION("""COMPUTED_VALUE"""),"Fort Worth")</f>
        <v>Fort Worth</v>
      </c>
      <c r="C1064" t="str">
        <f>IFERROR(__xludf.DUMMYFUNCTION("""COMPUTED_VALUE"""),"TX")</f>
        <v>TX</v>
      </c>
      <c r="D1064" t="str">
        <f>IFERROR(__xludf.DUMMYFUNCTION("""COMPUTED_VALUE"""),"USA")</f>
        <v>USA</v>
      </c>
      <c r="E1064" s="188">
        <f>IFERROR(__xludf.DUMMYFUNCTION("""COMPUTED_VALUE"""),43281.0)</f>
        <v>43281</v>
      </c>
      <c r="F1064" s="188">
        <f>IFERROR(__xludf.DUMMYFUNCTION("""COMPUTED_VALUE"""),43341.0)</f>
        <v>43341</v>
      </c>
      <c r="H1064">
        <f>IFERROR(__xludf.DUMMYFUNCTION("""COMPUTED_VALUE"""),76985.0)</f>
        <v>76985</v>
      </c>
      <c r="I1064" t="str">
        <f>IFERROR(__xludf.DUMMYFUNCTION("""COMPUTED_VALUE"""),"08/18")</f>
        <v>08/18</v>
      </c>
      <c r="J1064" s="5">
        <f>IFERROR(__xludf.DUMMYFUNCTION("""COMPUTED_VALUE"""),43358.0)</f>
        <v>43358</v>
      </c>
      <c r="K1064">
        <f>IFERROR(__xludf.DUMMYFUNCTION("""COMPUTED_VALUE"""),60.0)</f>
        <v>60</v>
      </c>
      <c r="L1064">
        <f>IFERROR(__xludf.DUMMYFUNCTION("""COMPUTED_VALUE"""),17.0)</f>
        <v>17</v>
      </c>
      <c r="M1064">
        <f>IFERROR(__xludf.DUMMYFUNCTION("""COMPUTED_VALUE"""),77.0)</f>
        <v>77</v>
      </c>
      <c r="N1064" t="str">
        <f>IFERROR(__xludf.DUMMYFUNCTION("""COMPUTED_VALUE"""),"Model 3 LR AWD")</f>
        <v>Model 3 LR AWD</v>
      </c>
      <c r="O1064" t="str">
        <f>IFERROR(__xludf.DUMMYFUNCTION("""COMPUTED_VALUE"""),"Midnight Silver Metallic")</f>
        <v>Midnight Silver Metallic</v>
      </c>
      <c r="P1064" t="str">
        <f>IFERROR(__xludf.DUMMYFUNCTION("""COMPUTED_VALUE"""),"19 inch Sport")</f>
        <v>19 inch Sport</v>
      </c>
      <c r="Q1064" t="str">
        <f>IFERROR(__xludf.DUMMYFUNCTION("""COMPUTED_VALUE"""),"Black seats")</f>
        <v>Black seats</v>
      </c>
      <c r="R1064" t="str">
        <f>IFERROR(__xludf.DUMMYFUNCTION("""COMPUTED_VALUE"""),"Full Self-Driving")</f>
        <v>Full Self-Driving</v>
      </c>
      <c r="X1064" t="str">
        <f>IFERROR(__xludf.DUMMYFUNCTION("""COMPUTED_VALUE"""),"Very Good")</f>
        <v>Very Good</v>
      </c>
      <c r="Y1064" t="str">
        <f>IFERROR(__xludf.DUMMYFUNCTION("""COMPUTED_VALUE"""),"Excellent")</f>
        <v>Excellent</v>
      </c>
      <c r="Z1064" t="str">
        <f>IFERROR(__xludf.DUMMYFUNCTION("""COMPUTED_VALUE"""),"Excellent")</f>
        <v>Excellent</v>
      </c>
      <c r="AA1064" t="str">
        <f>IFERROR(__xludf.DUMMYFUNCTION("""COMPUTED_VALUE"""),"Very Good")</f>
        <v>Very Good</v>
      </c>
      <c r="AB1064" t="str">
        <f>IFERROR(__xludf.DUMMYFUNCTION("""COMPUTED_VALUE"""),"Very Good")</f>
        <v>Very Good</v>
      </c>
      <c r="AC1064">
        <f>IFERROR(__xludf.DUMMYFUNCTION("""COMPUTED_VALUE"""),0.0)</f>
        <v>0</v>
      </c>
      <c r="AD1064">
        <f>IFERROR(__xludf.DUMMYFUNCTION("""COMPUTED_VALUE"""),0.0)</f>
        <v>0</v>
      </c>
      <c r="AE1064">
        <f>IFERROR(__xludf.DUMMYFUNCTION("""COMPUTED_VALUE"""),0.0)</f>
        <v>0</v>
      </c>
      <c r="AG1064" t="str">
        <f>IFERROR(__xludf.DUMMYFUNCTION("""COMPUTED_VALUE"""),"Initial reservation date 04/01/2016")</f>
        <v>Initial reservation date 04/01/2016</v>
      </c>
      <c r="AH1064" s="189">
        <f>IFERROR(__xludf.DUMMYFUNCTION("""COMPUTED_VALUE"""),43381.58011648148)</f>
        <v>43381.58012</v>
      </c>
    </row>
    <row r="1065">
      <c r="A1065" t="str">
        <f>IFERROR(__xludf.DUMMYFUNCTION("""COMPUTED_VALUE"""),"JohnBaca")</f>
        <v>JohnBaca</v>
      </c>
      <c r="B1065" t="str">
        <f>IFERROR(__xludf.DUMMYFUNCTION("""COMPUTED_VALUE"""),"Middleton")</f>
        <v>Middleton</v>
      </c>
      <c r="C1065" t="str">
        <f>IFERROR(__xludf.DUMMYFUNCTION("""COMPUTED_VALUE"""),"WI")</f>
        <v>WI</v>
      </c>
      <c r="D1065" t="str">
        <f>IFERROR(__xludf.DUMMYFUNCTION("""COMPUTED_VALUE"""),"USA")</f>
        <v>USA</v>
      </c>
      <c r="E1065" s="188">
        <f>IFERROR(__xludf.DUMMYFUNCTION("""COMPUTED_VALUE"""),43280.0)</f>
        <v>43280</v>
      </c>
      <c r="F1065" s="188">
        <f>IFERROR(__xludf.DUMMYFUNCTION("""COMPUTED_VALUE"""),43374.0)</f>
        <v>43374</v>
      </c>
      <c r="H1065">
        <f>IFERROR(__xludf.DUMMYFUNCTION("""COMPUTED_VALUE"""),85055.0)</f>
        <v>85055</v>
      </c>
      <c r="J1065" s="5">
        <f>IFERROR(__xludf.DUMMYFUNCTION("""COMPUTED_VALUE"""),43381.0)</f>
        <v>43381</v>
      </c>
      <c r="K1065">
        <f>IFERROR(__xludf.DUMMYFUNCTION("""COMPUTED_VALUE"""),94.0)</f>
        <v>94</v>
      </c>
      <c r="L1065">
        <f>IFERROR(__xludf.DUMMYFUNCTION("""COMPUTED_VALUE"""),7.0)</f>
        <v>7</v>
      </c>
      <c r="M1065">
        <f>IFERROR(__xludf.DUMMYFUNCTION("""COMPUTED_VALUE"""),101.0)</f>
        <v>101</v>
      </c>
      <c r="N1065" t="str">
        <f>IFERROR(__xludf.DUMMYFUNCTION("""COMPUTED_VALUE"""),"Model 3 LR AWD")</f>
        <v>Model 3 LR AWD</v>
      </c>
      <c r="O1065" t="str">
        <f>IFERROR(__xludf.DUMMYFUNCTION("""COMPUTED_VALUE"""),"Red Multi-Coat")</f>
        <v>Red Multi-Coat</v>
      </c>
      <c r="P1065" t="str">
        <f>IFERROR(__xludf.DUMMYFUNCTION("""COMPUTED_VALUE"""),"18 inch Aero")</f>
        <v>18 inch Aero</v>
      </c>
      <c r="Q1065" t="str">
        <f>IFERROR(__xludf.DUMMYFUNCTION("""COMPUTED_VALUE"""),"Black seats")</f>
        <v>Black seats</v>
      </c>
      <c r="R1065" t="str">
        <f>IFERROR(__xludf.DUMMYFUNCTION("""COMPUTED_VALUE"""),"Enhanced Autopilot")</f>
        <v>Enhanced Autopilot</v>
      </c>
      <c r="X1065" t="str">
        <f>IFERROR(__xludf.DUMMYFUNCTION("""COMPUTED_VALUE"""),"Excellent")</f>
        <v>Excellent</v>
      </c>
      <c r="Y1065" t="str">
        <f>IFERROR(__xludf.DUMMYFUNCTION("""COMPUTED_VALUE"""),"Excellent")</f>
        <v>Excellent</v>
      </c>
      <c r="Z1065" t="str">
        <f>IFERROR(__xludf.DUMMYFUNCTION("""COMPUTED_VALUE"""),"Excellent")</f>
        <v>Excellent</v>
      </c>
      <c r="AA1065" t="str">
        <f>IFERROR(__xludf.DUMMYFUNCTION("""COMPUTED_VALUE"""),"Fair")</f>
        <v>Fair</v>
      </c>
      <c r="AB1065" t="str">
        <f>IFERROR(__xludf.DUMMYFUNCTION("""COMPUTED_VALUE"""),"Good")</f>
        <v>Good</v>
      </c>
      <c r="AG1065" t="str">
        <f>IFERROR(__xludf.DUMMYFUNCTION("""COMPUTED_VALUE"""),"Reserved 12/14/17; estd Sept-Nov 2018; scheduling email rec'd 9/6/18; 9/24 delivery cancelled; 10/2 delivery cancelled; 10/8 delivery in Westmont")</f>
        <v>Reserved 12/14/17; estd Sept-Nov 2018; scheduling email rec'd 9/6/18; 9/24 delivery cancelled; 10/2 delivery cancelled; 10/8 delivery in Westmont</v>
      </c>
      <c r="AH1065" s="189">
        <f>IFERROR(__xludf.DUMMYFUNCTION("""COMPUTED_VALUE"""),43381.60069273148)</f>
        <v>43381.60069</v>
      </c>
    </row>
    <row r="1066">
      <c r="A1066" t="str">
        <f>IFERROR(__xludf.DUMMYFUNCTION("""COMPUTED_VALUE"""),"NotReallyAnM3")</f>
        <v>NotReallyAnM3</v>
      </c>
      <c r="C1066" t="str">
        <f>IFERROR(__xludf.DUMMYFUNCTION("""COMPUTED_VALUE"""),"CA")</f>
        <v>CA</v>
      </c>
      <c r="D1066" t="str">
        <f>IFERROR(__xludf.DUMMYFUNCTION("""COMPUTED_VALUE"""),"USA")</f>
        <v>USA</v>
      </c>
      <c r="E1066" s="188">
        <f>IFERROR(__xludf.DUMMYFUNCTION("""COMPUTED_VALUE"""),43287.0)</f>
        <v>43287</v>
      </c>
      <c r="H1066">
        <f>IFERROR(__xludf.DUMMYFUNCTION("""COMPUTED_VALUE"""),92155.0)</f>
        <v>92155</v>
      </c>
      <c r="J1066" s="5">
        <f>IFERROR(__xludf.DUMMYFUNCTION("""COMPUTED_VALUE"""),43365.0)</f>
        <v>43365</v>
      </c>
      <c r="M1066">
        <f>IFERROR(__xludf.DUMMYFUNCTION("""COMPUTED_VALUE"""),78.0)</f>
        <v>78</v>
      </c>
      <c r="N1066" t="str">
        <f>IFERROR(__xludf.DUMMYFUNCTION("""COMPUTED_VALUE"""),"Model 3 LR AWD")</f>
        <v>Model 3 LR AWD</v>
      </c>
      <c r="O1066" t="str">
        <f>IFERROR(__xludf.DUMMYFUNCTION("""COMPUTED_VALUE"""),"Deep Blue Metallic")</f>
        <v>Deep Blue Metallic</v>
      </c>
      <c r="P1066" t="str">
        <f>IFERROR(__xludf.DUMMYFUNCTION("""COMPUTED_VALUE"""),"19 inch Sport")</f>
        <v>19 inch Sport</v>
      </c>
      <c r="Q1066" t="str">
        <f>IFERROR(__xludf.DUMMYFUNCTION("""COMPUTED_VALUE"""),"Black seats")</f>
        <v>Black seats</v>
      </c>
      <c r="R1066" t="str">
        <f>IFERROR(__xludf.DUMMYFUNCTION("""COMPUTED_VALUE"""),"Enhanced Autopilot")</f>
        <v>Enhanced Autopilot</v>
      </c>
      <c r="X1066" t="str">
        <f>IFERROR(__xludf.DUMMYFUNCTION("""COMPUTED_VALUE"""),"Very Good")</f>
        <v>Very Good</v>
      </c>
      <c r="Y1066" t="str">
        <f>IFERROR(__xludf.DUMMYFUNCTION("""COMPUTED_VALUE"""),"Fair")</f>
        <v>Fair</v>
      </c>
      <c r="Z1066" t="str">
        <f>IFERROR(__xludf.DUMMYFUNCTION("""COMPUTED_VALUE"""),"Good")</f>
        <v>Good</v>
      </c>
      <c r="AA1066" t="str">
        <f>IFERROR(__xludf.DUMMYFUNCTION("""COMPUTED_VALUE"""),"Excellent")</f>
        <v>Excellent</v>
      </c>
      <c r="AB1066" t="str">
        <f>IFERROR(__xludf.DUMMYFUNCTION("""COMPUTED_VALUE"""),"Poor")</f>
        <v>Poor</v>
      </c>
      <c r="AC1066">
        <f>IFERROR(__xludf.DUMMYFUNCTION("""COMPUTED_VALUE"""),3.0)</f>
        <v>3</v>
      </c>
      <c r="AH1066" s="189">
        <f>IFERROR(__xludf.DUMMYFUNCTION("""COMPUTED_VALUE"""),43381.64672978009)</f>
        <v>43381.64673</v>
      </c>
    </row>
    <row r="1067">
      <c r="A1067" t="str">
        <f>IFERROR(__xludf.DUMMYFUNCTION("""COMPUTED_VALUE"""),"riverFox")</f>
        <v>riverFox</v>
      </c>
      <c r="B1067" t="str">
        <f>IFERROR(__xludf.DUMMYFUNCTION("""COMPUTED_VALUE"""),"Denver")</f>
        <v>Denver</v>
      </c>
      <c r="C1067" t="str">
        <f>IFERROR(__xludf.DUMMYFUNCTION("""COMPUTED_VALUE"""),"CO")</f>
        <v>CO</v>
      </c>
      <c r="D1067" t="str">
        <f>IFERROR(__xludf.DUMMYFUNCTION("""COMPUTED_VALUE"""),"USA")</f>
        <v>USA</v>
      </c>
      <c r="E1067" s="188">
        <f>IFERROR(__xludf.DUMMYFUNCTION("""COMPUTED_VALUE"""),42460.0)</f>
        <v>42460</v>
      </c>
      <c r="F1067" s="188">
        <f>IFERROR(__xludf.DUMMYFUNCTION("""COMPUTED_VALUE"""),43360.0)</f>
        <v>43360</v>
      </c>
      <c r="H1067">
        <f>IFERROR(__xludf.DUMMYFUNCTION("""COMPUTED_VALUE"""),99255.0)</f>
        <v>99255</v>
      </c>
      <c r="I1067" t="str">
        <f>IFERROR(__xludf.DUMMYFUNCTION("""COMPUTED_VALUE"""),"08/18")</f>
        <v>08/18</v>
      </c>
      <c r="J1067" s="5">
        <f>IFERROR(__xludf.DUMMYFUNCTION("""COMPUTED_VALUE"""),43372.0)</f>
        <v>43372</v>
      </c>
      <c r="L1067">
        <f>IFERROR(__xludf.DUMMYFUNCTION("""COMPUTED_VALUE"""),12.0)</f>
        <v>12</v>
      </c>
      <c r="N1067" t="str">
        <f>IFERROR(__xludf.DUMMYFUNCTION("""COMPUTED_VALUE"""),"Model 3 LR AWD")</f>
        <v>Model 3 LR AWD</v>
      </c>
      <c r="O1067" t="str">
        <f>IFERROR(__xludf.DUMMYFUNCTION("""COMPUTED_VALUE"""),"Obsidian Black Metallic")</f>
        <v>Obsidian Black Metallic</v>
      </c>
      <c r="P1067" t="str">
        <f>IFERROR(__xludf.DUMMYFUNCTION("""COMPUTED_VALUE"""),"18 inch Aero")</f>
        <v>18 inch Aero</v>
      </c>
      <c r="Q1067" t="str">
        <f>IFERROR(__xludf.DUMMYFUNCTION("""COMPUTED_VALUE"""),"White seats")</f>
        <v>White seats</v>
      </c>
      <c r="R1067" t="str">
        <f>IFERROR(__xludf.DUMMYFUNCTION("""COMPUTED_VALUE"""),"Enhanced Autopilot")</f>
        <v>Enhanced Autopilot</v>
      </c>
      <c r="X1067" t="str">
        <f>IFERROR(__xludf.DUMMYFUNCTION("""COMPUTED_VALUE"""),"Excellent")</f>
        <v>Excellent</v>
      </c>
      <c r="Y1067" t="str">
        <f>IFERROR(__xludf.DUMMYFUNCTION("""COMPUTED_VALUE"""),"Excellent")</f>
        <v>Excellent</v>
      </c>
      <c r="Z1067" t="str">
        <f>IFERROR(__xludf.DUMMYFUNCTION("""COMPUTED_VALUE"""),"Good")</f>
        <v>Good</v>
      </c>
      <c r="AA1067" t="str">
        <f>IFERROR(__xludf.DUMMYFUNCTION("""COMPUTED_VALUE"""),"Fair")</f>
        <v>Fair</v>
      </c>
      <c r="AB1067" t="str">
        <f>IFERROR(__xludf.DUMMYFUNCTION("""COMPUTED_VALUE"""),"Fair")</f>
        <v>Fair</v>
      </c>
      <c r="AC1067">
        <f>IFERROR(__xludf.DUMMYFUNCTION("""COMPUTED_VALUE"""),2.0)</f>
        <v>2</v>
      </c>
      <c r="AD1067">
        <f>IFERROR(__xludf.DUMMYFUNCTION("""COMPUTED_VALUE"""),1.0)</f>
        <v>1</v>
      </c>
      <c r="AE1067">
        <f>IFERROR(__xludf.DUMMYFUNCTION("""COMPUTED_VALUE"""),1.0)</f>
        <v>1</v>
      </c>
      <c r="AG1067" t="str">
        <f>IFERROR(__xludf.DUMMYFUNCTION("""COMPUTED_VALUE"""),"The car is freakin awesome!!!")</f>
        <v>The car is freakin awesome!!!</v>
      </c>
      <c r="AH1067" s="189">
        <f>IFERROR(__xludf.DUMMYFUNCTION("""COMPUTED_VALUE"""),43381.679157280094)</f>
        <v>43381.67916</v>
      </c>
    </row>
    <row r="1068">
      <c r="A1068" t="str">
        <f>IFERROR(__xludf.DUMMYFUNCTION("""COMPUTED_VALUE"""),"Utah John")</f>
        <v>Utah John</v>
      </c>
      <c r="B1068" t="str">
        <f>IFERROR(__xludf.DUMMYFUNCTION("""COMPUTED_VALUE"""),"Torrey")</f>
        <v>Torrey</v>
      </c>
      <c r="C1068" t="str">
        <f>IFERROR(__xludf.DUMMYFUNCTION("""COMPUTED_VALUE"""),"UT")</f>
        <v>UT</v>
      </c>
      <c r="D1068" t="str">
        <f>IFERROR(__xludf.DUMMYFUNCTION("""COMPUTED_VALUE"""),"USA")</f>
        <v>USA</v>
      </c>
      <c r="E1068" s="188">
        <f>IFERROR(__xludf.DUMMYFUNCTION("""COMPUTED_VALUE"""),43287.0)</f>
        <v>43287</v>
      </c>
      <c r="F1068" s="188">
        <f>IFERROR(__xludf.DUMMYFUNCTION("""COMPUTED_VALUE"""),43377.0)</f>
        <v>43377</v>
      </c>
      <c r="H1068">
        <f>IFERROR(__xludf.DUMMYFUNCTION("""COMPUTED_VALUE"""),84963.0)</f>
        <v>84963</v>
      </c>
      <c r="I1068" t="str">
        <f>IFERROR(__xludf.DUMMYFUNCTION("""COMPUTED_VALUE"""),"09/18")</f>
        <v>09/18</v>
      </c>
      <c r="J1068" s="5">
        <f>IFERROR(__xludf.DUMMYFUNCTION("""COMPUTED_VALUE"""),43383.0)</f>
        <v>43383</v>
      </c>
      <c r="K1068">
        <f>IFERROR(__xludf.DUMMYFUNCTION("""COMPUTED_VALUE"""),90.0)</f>
        <v>90</v>
      </c>
      <c r="L1068">
        <f>IFERROR(__xludf.DUMMYFUNCTION("""COMPUTED_VALUE"""),6.0)</f>
        <v>6</v>
      </c>
      <c r="M1068">
        <f>IFERROR(__xludf.DUMMYFUNCTION("""COMPUTED_VALUE"""),96.0)</f>
        <v>96</v>
      </c>
      <c r="N1068" t="str">
        <f>IFERROR(__xludf.DUMMYFUNCTION("""COMPUTED_VALUE"""),"Model 3 LR AWD")</f>
        <v>Model 3 LR AWD</v>
      </c>
      <c r="O1068" t="str">
        <f>IFERROR(__xludf.DUMMYFUNCTION("""COMPUTED_VALUE"""),"Red Multi-Coat")</f>
        <v>Red Multi-Coat</v>
      </c>
      <c r="P1068" t="str">
        <f>IFERROR(__xludf.DUMMYFUNCTION("""COMPUTED_VALUE"""),"18 inch Aero")</f>
        <v>18 inch Aero</v>
      </c>
      <c r="Q1068" t="str">
        <f>IFERROR(__xludf.DUMMYFUNCTION("""COMPUTED_VALUE"""),"Black seats")</f>
        <v>Black seats</v>
      </c>
      <c r="R1068" t="str">
        <f>IFERROR(__xludf.DUMMYFUNCTION("""COMPUTED_VALUE"""),"None")</f>
        <v>None</v>
      </c>
      <c r="X1068" t="str">
        <f>IFERROR(__xludf.DUMMYFUNCTION("""COMPUTED_VALUE"""),"Excellent")</f>
        <v>Excellent</v>
      </c>
      <c r="Y1068" t="str">
        <f>IFERROR(__xludf.DUMMYFUNCTION("""COMPUTED_VALUE"""),"Excellent")</f>
        <v>Excellent</v>
      </c>
      <c r="Z1068" t="str">
        <f>IFERROR(__xludf.DUMMYFUNCTION("""COMPUTED_VALUE"""),"Excellent")</f>
        <v>Excellent</v>
      </c>
      <c r="AA1068" t="str">
        <f>IFERROR(__xludf.DUMMYFUNCTION("""COMPUTED_VALUE"""),"Good")</f>
        <v>Good</v>
      </c>
      <c r="AB1068" t="str">
        <f>IFERROR(__xludf.DUMMYFUNCTION("""COMPUTED_VALUE"""),"Good")</f>
        <v>Good</v>
      </c>
      <c r="AG1068" t="str">
        <f>IFERROR(__xludf.DUMMYFUNCTION("""COMPUTED_VALUE"""),"10 minutes in and out for delivery, fine")</f>
        <v>10 minutes in and out for delivery, fine</v>
      </c>
      <c r="AH1068" s="189">
        <f>IFERROR(__xludf.DUMMYFUNCTION("""COMPUTED_VALUE"""),43381.71677591435)</f>
        <v>43381.71678</v>
      </c>
    </row>
    <row r="1069">
      <c r="A1069" t="str">
        <f>IFERROR(__xludf.DUMMYFUNCTION("""COMPUTED_VALUE"""),"Kimberly B")</f>
        <v>Kimberly B</v>
      </c>
      <c r="B1069" t="str">
        <f>IFERROR(__xludf.DUMMYFUNCTION("""COMPUTED_VALUE"""),"Edwardsburg")</f>
        <v>Edwardsburg</v>
      </c>
      <c r="C1069" t="str">
        <f>IFERROR(__xludf.DUMMYFUNCTION("""COMPUTED_VALUE"""),"MI")</f>
        <v>MI</v>
      </c>
      <c r="D1069" t="str">
        <f>IFERROR(__xludf.DUMMYFUNCTION("""COMPUTED_VALUE"""),"USA")</f>
        <v>USA</v>
      </c>
      <c r="E1069" s="188">
        <f>IFERROR(__xludf.DUMMYFUNCTION("""COMPUTED_VALUE"""),43278.0)</f>
        <v>43278</v>
      </c>
      <c r="F1069" s="188">
        <f>IFERROR(__xludf.DUMMYFUNCTION("""COMPUTED_VALUE"""),43374.0)</f>
        <v>43374</v>
      </c>
      <c r="H1069">
        <f>IFERROR(__xludf.DUMMYFUNCTION("""COMPUTED_VALUE"""),69529.0)</f>
        <v>69529</v>
      </c>
      <c r="I1069" t="str">
        <f>IFERROR(__xludf.DUMMYFUNCTION("""COMPUTED_VALUE"""),"09/18")</f>
        <v>09/18</v>
      </c>
      <c r="J1069" s="5">
        <f>IFERROR(__xludf.DUMMYFUNCTION("""COMPUTED_VALUE"""),43379.0)</f>
        <v>43379</v>
      </c>
      <c r="K1069">
        <f>IFERROR(__xludf.DUMMYFUNCTION("""COMPUTED_VALUE"""),96.0)</f>
        <v>96</v>
      </c>
      <c r="L1069">
        <f>IFERROR(__xludf.DUMMYFUNCTION("""COMPUTED_VALUE"""),5.0)</f>
        <v>5</v>
      </c>
      <c r="M1069">
        <f>IFERROR(__xludf.DUMMYFUNCTION("""COMPUTED_VALUE"""),101.0)</f>
        <v>101</v>
      </c>
      <c r="N1069" t="str">
        <f>IFERROR(__xludf.DUMMYFUNCTION("""COMPUTED_VALUE"""),"Model 3 LR AWD")</f>
        <v>Model 3 LR AWD</v>
      </c>
      <c r="O1069" t="str">
        <f>IFERROR(__xludf.DUMMYFUNCTION("""COMPUTED_VALUE"""),"Red Multi-Coat")</f>
        <v>Red Multi-Coat</v>
      </c>
      <c r="P1069" t="str">
        <f>IFERROR(__xludf.DUMMYFUNCTION("""COMPUTED_VALUE"""),"18 inch Aero")</f>
        <v>18 inch Aero</v>
      </c>
      <c r="Q1069" t="str">
        <f>IFERROR(__xludf.DUMMYFUNCTION("""COMPUTED_VALUE"""),"Black seats")</f>
        <v>Black seats</v>
      </c>
      <c r="R1069" t="str">
        <f>IFERROR(__xludf.DUMMYFUNCTION("""COMPUTED_VALUE"""),"None")</f>
        <v>None</v>
      </c>
      <c r="X1069" t="str">
        <f>IFERROR(__xludf.DUMMYFUNCTION("""COMPUTED_VALUE"""),"Very Good")</f>
        <v>Very Good</v>
      </c>
      <c r="Y1069" t="str">
        <f>IFERROR(__xludf.DUMMYFUNCTION("""COMPUTED_VALUE"""),"Very Good")</f>
        <v>Very Good</v>
      </c>
      <c r="Z1069" t="str">
        <f>IFERROR(__xludf.DUMMYFUNCTION("""COMPUTED_VALUE"""),"Very Good")</f>
        <v>Very Good</v>
      </c>
      <c r="AA1069" t="str">
        <f>IFERROR(__xludf.DUMMYFUNCTION("""COMPUTED_VALUE"""),"Very Good")</f>
        <v>Very Good</v>
      </c>
      <c r="AB1069" t="str">
        <f>IFERROR(__xludf.DUMMYFUNCTION("""COMPUTED_VALUE"""),"Very Good")</f>
        <v>Very Good</v>
      </c>
      <c r="AC1069">
        <f>IFERROR(__xludf.DUMMYFUNCTION("""COMPUTED_VALUE"""),0.0)</f>
        <v>0</v>
      </c>
      <c r="AH1069" s="189">
        <f>IFERROR(__xludf.DUMMYFUNCTION("""COMPUTED_VALUE"""),43381.726959074076)</f>
        <v>43381.72696</v>
      </c>
    </row>
    <row r="1070">
      <c r="A1070" t="str">
        <f>IFERROR(__xludf.DUMMYFUNCTION("""COMPUTED_VALUE"""),"Adias.angel")</f>
        <v>Adias.angel</v>
      </c>
      <c r="C1070" t="str">
        <f>IFERROR(__xludf.DUMMYFUNCTION("""COMPUTED_VALUE"""),"IL")</f>
        <v>IL</v>
      </c>
      <c r="D1070" t="str">
        <f>IFERROR(__xludf.DUMMYFUNCTION("""COMPUTED_VALUE"""),"USA")</f>
        <v>USA</v>
      </c>
      <c r="E1070" s="188">
        <f>IFERROR(__xludf.DUMMYFUNCTION("""COMPUTED_VALUE"""),43278.0)</f>
        <v>43278</v>
      </c>
      <c r="F1070" s="188">
        <f>IFERROR(__xludf.DUMMYFUNCTION("""COMPUTED_VALUE"""),43360.0)</f>
        <v>43360</v>
      </c>
      <c r="H1070">
        <f>IFERROR(__xludf.DUMMYFUNCTION("""COMPUTED_VALUE"""),103855.0)</f>
        <v>103855</v>
      </c>
      <c r="I1070" t="str">
        <f>IFERROR(__xludf.DUMMYFUNCTION("""COMPUTED_VALUE"""),"09/18")</f>
        <v>09/18</v>
      </c>
      <c r="J1070" s="5">
        <f>IFERROR(__xludf.DUMMYFUNCTION("""COMPUTED_VALUE"""),43376.0)</f>
        <v>43376</v>
      </c>
      <c r="K1070">
        <f>IFERROR(__xludf.DUMMYFUNCTION("""COMPUTED_VALUE"""),82.0)</f>
        <v>82</v>
      </c>
      <c r="L1070">
        <f>IFERROR(__xludf.DUMMYFUNCTION("""COMPUTED_VALUE"""),16.0)</f>
        <v>16</v>
      </c>
      <c r="M1070">
        <f>IFERROR(__xludf.DUMMYFUNCTION("""COMPUTED_VALUE"""),98.0)</f>
        <v>98</v>
      </c>
      <c r="N1070" t="str">
        <f>IFERROR(__xludf.DUMMYFUNCTION("""COMPUTED_VALUE"""),"Model 3 LR AWD")</f>
        <v>Model 3 LR AWD</v>
      </c>
      <c r="O1070" t="str">
        <f>IFERROR(__xludf.DUMMYFUNCTION("""COMPUTED_VALUE"""),"Midnight Silver Metallic")</f>
        <v>Midnight Silver Metallic</v>
      </c>
      <c r="P1070" t="str">
        <f>IFERROR(__xludf.DUMMYFUNCTION("""COMPUTED_VALUE"""),"18 inch Aero")</f>
        <v>18 inch Aero</v>
      </c>
      <c r="Q1070" t="str">
        <f>IFERROR(__xludf.DUMMYFUNCTION("""COMPUTED_VALUE"""),"Black seats")</f>
        <v>Black seats</v>
      </c>
      <c r="R1070" t="str">
        <f>IFERROR(__xludf.DUMMYFUNCTION("""COMPUTED_VALUE"""),"None")</f>
        <v>None</v>
      </c>
      <c r="X1070" t="str">
        <f>IFERROR(__xludf.DUMMYFUNCTION("""COMPUTED_VALUE"""),"Excellent")</f>
        <v>Excellent</v>
      </c>
      <c r="Y1070" t="str">
        <f>IFERROR(__xludf.DUMMYFUNCTION("""COMPUTED_VALUE"""),"Very Good")</f>
        <v>Very Good</v>
      </c>
      <c r="Z1070" t="str">
        <f>IFERROR(__xludf.DUMMYFUNCTION("""COMPUTED_VALUE"""),"Excellent")</f>
        <v>Excellent</v>
      </c>
      <c r="AA1070" t="str">
        <f>IFERROR(__xludf.DUMMYFUNCTION("""COMPUTED_VALUE"""),"Good")</f>
        <v>Good</v>
      </c>
      <c r="AB1070" t="str">
        <f>IFERROR(__xludf.DUMMYFUNCTION("""COMPUTED_VALUE"""),"Excellent")</f>
        <v>Excellent</v>
      </c>
      <c r="AC1070">
        <f>IFERROR(__xludf.DUMMYFUNCTION("""COMPUTED_VALUE"""),1.0)</f>
        <v>1</v>
      </c>
      <c r="AD1070">
        <f>IFERROR(__xludf.DUMMYFUNCTION("""COMPUTED_VALUE"""),1.0)</f>
        <v>1</v>
      </c>
      <c r="AH1070" s="189">
        <f>IFERROR(__xludf.DUMMYFUNCTION("""COMPUTED_VALUE"""),43381.73102857639)</f>
        <v>43381.73103</v>
      </c>
    </row>
    <row r="1071">
      <c r="A1071" t="str">
        <f>IFERROR(__xludf.DUMMYFUNCTION("""COMPUTED_VALUE"""),"RKBA")</f>
        <v>RKBA</v>
      </c>
      <c r="B1071" t="str">
        <f>IFERROR(__xludf.DUMMYFUNCTION("""COMPUTED_VALUE"""),"Rockwall")</f>
        <v>Rockwall</v>
      </c>
      <c r="C1071" t="str">
        <f>IFERROR(__xludf.DUMMYFUNCTION("""COMPUTED_VALUE"""),"TX")</f>
        <v>TX</v>
      </c>
      <c r="D1071" t="str">
        <f>IFERROR(__xludf.DUMMYFUNCTION("""COMPUTED_VALUE"""),"USA")</f>
        <v>USA</v>
      </c>
      <c r="E1071" s="188">
        <f>IFERROR(__xludf.DUMMYFUNCTION("""COMPUTED_VALUE"""),43278.0)</f>
        <v>43278</v>
      </c>
      <c r="F1071" s="188">
        <f>IFERROR(__xludf.DUMMYFUNCTION("""COMPUTED_VALUE"""),43340.0)</f>
        <v>43340</v>
      </c>
      <c r="H1071">
        <f>IFERROR(__xludf.DUMMYFUNCTION("""COMPUTED_VALUE"""),100155.0)</f>
        <v>100155</v>
      </c>
      <c r="I1071" t="str">
        <f>IFERROR(__xludf.DUMMYFUNCTION("""COMPUTED_VALUE"""),"08/18")</f>
        <v>08/18</v>
      </c>
      <c r="J1071" s="5">
        <f>IFERROR(__xludf.DUMMYFUNCTION("""COMPUTED_VALUE"""),43364.0)</f>
        <v>43364</v>
      </c>
      <c r="K1071">
        <f>IFERROR(__xludf.DUMMYFUNCTION("""COMPUTED_VALUE"""),62.0)</f>
        <v>62</v>
      </c>
      <c r="L1071">
        <f>IFERROR(__xludf.DUMMYFUNCTION("""COMPUTED_VALUE"""),24.0)</f>
        <v>24</v>
      </c>
      <c r="M1071">
        <f>IFERROR(__xludf.DUMMYFUNCTION("""COMPUTED_VALUE"""),86.0)</f>
        <v>86</v>
      </c>
      <c r="N1071" t="str">
        <f>IFERROR(__xludf.DUMMYFUNCTION("""COMPUTED_VALUE"""),"Model 3 Performance")</f>
        <v>Model 3 Performance</v>
      </c>
      <c r="O1071" t="str">
        <f>IFERROR(__xludf.DUMMYFUNCTION("""COMPUTED_VALUE"""),"Deep Blue Metallic")</f>
        <v>Deep Blue Metallic</v>
      </c>
      <c r="P1071" t="str">
        <f>IFERROR(__xludf.DUMMYFUNCTION("""COMPUTED_VALUE"""),"18 inch Aero")</f>
        <v>18 inch Aero</v>
      </c>
      <c r="Q1071" t="str">
        <f>IFERROR(__xludf.DUMMYFUNCTION("""COMPUTED_VALUE"""),"White seats")</f>
        <v>White seats</v>
      </c>
      <c r="R1071" t="str">
        <f>IFERROR(__xludf.DUMMYFUNCTION("""COMPUTED_VALUE"""),"Full Self-Driving")</f>
        <v>Full Self-Driving</v>
      </c>
      <c r="X1071" t="str">
        <f>IFERROR(__xludf.DUMMYFUNCTION("""COMPUTED_VALUE"""),"Excellent")</f>
        <v>Excellent</v>
      </c>
      <c r="Y1071" t="str">
        <f>IFERROR(__xludf.DUMMYFUNCTION("""COMPUTED_VALUE"""),"Excellent")</f>
        <v>Excellent</v>
      </c>
      <c r="Z1071" t="str">
        <f>IFERROR(__xludf.DUMMYFUNCTION("""COMPUTED_VALUE"""),"Excellent")</f>
        <v>Excellent</v>
      </c>
      <c r="AA1071" t="str">
        <f>IFERROR(__xludf.DUMMYFUNCTION("""COMPUTED_VALUE"""),"Very Good")</f>
        <v>Very Good</v>
      </c>
      <c r="AB1071" t="str">
        <f>IFERROR(__xludf.DUMMYFUNCTION("""COMPUTED_VALUE"""),"Very Good")</f>
        <v>Very Good</v>
      </c>
      <c r="AC1071">
        <f>IFERROR(__xludf.DUMMYFUNCTION("""COMPUTED_VALUE"""),1.0)</f>
        <v>1</v>
      </c>
      <c r="AD1071">
        <f>IFERROR(__xludf.DUMMYFUNCTION("""COMPUTED_VALUE"""),1.0)</f>
        <v>1</v>
      </c>
      <c r="AE1071">
        <f>IFERROR(__xludf.DUMMYFUNCTION("""COMPUTED_VALUE"""),10.0)</f>
        <v>10</v>
      </c>
      <c r="AG1071" t="str">
        <f>IFERROR(__xludf.DUMMYFUNCTION("""COMPUTED_VALUE"""),"Rear motor died at 177 miles.")</f>
        <v>Rear motor died at 177 miles.</v>
      </c>
      <c r="AH1071" s="189">
        <f>IFERROR(__xludf.DUMMYFUNCTION("""COMPUTED_VALUE"""),43381.80709311343)</f>
        <v>43381.80709</v>
      </c>
    </row>
    <row r="1072">
      <c r="A1072" t="str">
        <f>IFERROR(__xludf.DUMMYFUNCTION("""COMPUTED_VALUE"""),"SomeJoe7777")</f>
        <v>SomeJoe7777</v>
      </c>
      <c r="B1072" t="str">
        <f>IFERROR(__xludf.DUMMYFUNCTION("""COMPUTED_VALUE"""),"Houston")</f>
        <v>Houston</v>
      </c>
      <c r="C1072" t="str">
        <f>IFERROR(__xludf.DUMMYFUNCTION("""COMPUTED_VALUE"""),"TX")</f>
        <v>TX</v>
      </c>
      <c r="D1072" t="str">
        <f>IFERROR(__xludf.DUMMYFUNCTION("""COMPUTED_VALUE"""),"USA")</f>
        <v>USA</v>
      </c>
      <c r="E1072" s="188">
        <f>IFERROR(__xludf.DUMMYFUNCTION("""COMPUTED_VALUE"""),43369.0)</f>
        <v>43369</v>
      </c>
      <c r="F1072" s="188">
        <f>IFERROR(__xludf.DUMMYFUNCTION("""COMPUTED_VALUE"""),43378.0)</f>
        <v>43378</v>
      </c>
      <c r="H1072">
        <f>IFERROR(__xludf.DUMMYFUNCTION("""COMPUTED_VALUE"""),78675.0)</f>
        <v>78675</v>
      </c>
      <c r="I1072" t="str">
        <f>IFERROR(__xludf.DUMMYFUNCTION("""COMPUTED_VALUE"""),"09/18")</f>
        <v>09/18</v>
      </c>
      <c r="J1072" s="5">
        <f>IFERROR(__xludf.DUMMYFUNCTION("""COMPUTED_VALUE"""),43381.0)</f>
        <v>43381</v>
      </c>
      <c r="K1072">
        <f>IFERROR(__xludf.DUMMYFUNCTION("""COMPUTED_VALUE"""),9.0)</f>
        <v>9</v>
      </c>
      <c r="L1072">
        <f>IFERROR(__xludf.DUMMYFUNCTION("""COMPUTED_VALUE"""),3.0)</f>
        <v>3</v>
      </c>
      <c r="M1072">
        <f>IFERROR(__xludf.DUMMYFUNCTION("""COMPUTED_VALUE"""),12.0)</f>
        <v>12</v>
      </c>
      <c r="N1072" t="str">
        <f>IFERROR(__xludf.DUMMYFUNCTION("""COMPUTED_VALUE"""),"Model 3 Performance")</f>
        <v>Model 3 Performance</v>
      </c>
      <c r="O1072" t="str">
        <f>IFERROR(__xludf.DUMMYFUNCTION("""COMPUTED_VALUE"""),"Solid Black")</f>
        <v>Solid Black</v>
      </c>
      <c r="P1072" t="str">
        <f>IFERROR(__xludf.DUMMYFUNCTION("""COMPUTED_VALUE"""),"20 inch Sport")</f>
        <v>20 inch Sport</v>
      </c>
      <c r="Q1072" t="str">
        <f>IFERROR(__xludf.DUMMYFUNCTION("""COMPUTED_VALUE"""),"White seats")</f>
        <v>White seats</v>
      </c>
      <c r="R1072" t="str">
        <f>IFERROR(__xludf.DUMMYFUNCTION("""COMPUTED_VALUE"""),"Enhanced Autopilot")</f>
        <v>Enhanced Autopilot</v>
      </c>
      <c r="X1072" t="str">
        <f>IFERROR(__xludf.DUMMYFUNCTION("""COMPUTED_VALUE"""),"Excellent")</f>
        <v>Excellent</v>
      </c>
      <c r="Y1072" t="str">
        <f>IFERROR(__xludf.DUMMYFUNCTION("""COMPUTED_VALUE"""),"Excellent")</f>
        <v>Excellent</v>
      </c>
      <c r="Z1072" t="str">
        <f>IFERROR(__xludf.DUMMYFUNCTION("""COMPUTED_VALUE"""),"Very Good")</f>
        <v>Very Good</v>
      </c>
      <c r="AA1072" t="str">
        <f>IFERROR(__xludf.DUMMYFUNCTION("""COMPUTED_VALUE"""),"Fair")</f>
        <v>Fair</v>
      </c>
      <c r="AB1072" t="str">
        <f>IFERROR(__xludf.DUMMYFUNCTION("""COMPUTED_VALUE"""),"Very Good")</f>
        <v>Very Good</v>
      </c>
      <c r="AC1072">
        <f>IFERROR(__xludf.DUMMYFUNCTION("""COMPUTED_VALUE"""),1.0)</f>
        <v>1</v>
      </c>
      <c r="AD1072">
        <f>IFERROR(__xludf.DUMMYFUNCTION("""COMPUTED_VALUE"""),0.0)</f>
        <v>0</v>
      </c>
      <c r="AE1072">
        <f>IFERROR(__xludf.DUMMYFUNCTION("""COMPUTED_VALUE"""),0.0)</f>
        <v>0</v>
      </c>
      <c r="AH1072" s="189">
        <f>IFERROR(__xludf.DUMMYFUNCTION("""COMPUTED_VALUE"""),43381.90343792824)</f>
        <v>43381.90344</v>
      </c>
    </row>
    <row r="1073">
      <c r="A1073" t="str">
        <f>IFERROR(__xludf.DUMMYFUNCTION("""COMPUTED_VALUE"""),"Shanie")</f>
        <v>Shanie</v>
      </c>
      <c r="C1073" t="str">
        <f>IFERROR(__xludf.DUMMYFUNCTION("""COMPUTED_VALUE"""),"RI")</f>
        <v>RI</v>
      </c>
      <c r="D1073" t="str">
        <f>IFERROR(__xludf.DUMMYFUNCTION("""COMPUTED_VALUE"""),"USA")</f>
        <v>USA</v>
      </c>
      <c r="E1073" s="188">
        <f>IFERROR(__xludf.DUMMYFUNCTION("""COMPUTED_VALUE"""),43335.0)</f>
        <v>43335</v>
      </c>
      <c r="F1073" s="188">
        <f>IFERROR(__xludf.DUMMYFUNCTION("""COMPUTED_VALUE"""),43360.0)</f>
        <v>43360</v>
      </c>
      <c r="H1073">
        <f>IFERROR(__xludf.DUMMYFUNCTION("""COMPUTED_VALUE"""),64655.0)</f>
        <v>64655</v>
      </c>
      <c r="J1073" s="5">
        <f>IFERROR(__xludf.DUMMYFUNCTION("""COMPUTED_VALUE"""),43371.0)</f>
        <v>43371</v>
      </c>
      <c r="K1073">
        <f>IFERROR(__xludf.DUMMYFUNCTION("""COMPUTED_VALUE"""),25.0)</f>
        <v>25</v>
      </c>
      <c r="L1073">
        <f>IFERROR(__xludf.DUMMYFUNCTION("""COMPUTED_VALUE"""),11.0)</f>
        <v>11</v>
      </c>
      <c r="M1073">
        <f>IFERROR(__xludf.DUMMYFUNCTION("""COMPUTED_VALUE"""),36.0)</f>
        <v>36</v>
      </c>
      <c r="N1073" t="str">
        <f>IFERROR(__xludf.DUMMYFUNCTION("""COMPUTED_VALUE"""),"Model 3 LR AWD")</f>
        <v>Model 3 LR AWD</v>
      </c>
      <c r="O1073" t="str">
        <f>IFERROR(__xludf.DUMMYFUNCTION("""COMPUTED_VALUE"""),"Deep Blue Metallic")</f>
        <v>Deep Blue Metallic</v>
      </c>
      <c r="P1073" t="str">
        <f>IFERROR(__xludf.DUMMYFUNCTION("""COMPUTED_VALUE"""),"18 inch Aero")</f>
        <v>18 inch Aero</v>
      </c>
      <c r="Q1073" t="str">
        <f>IFERROR(__xludf.DUMMYFUNCTION("""COMPUTED_VALUE"""),"Black seats")</f>
        <v>Black seats</v>
      </c>
      <c r="R1073" t="str">
        <f>IFERROR(__xludf.DUMMYFUNCTION("""COMPUTED_VALUE"""),"Enhanced Autopilot")</f>
        <v>Enhanced Autopilot</v>
      </c>
      <c r="X1073" t="str">
        <f>IFERROR(__xludf.DUMMYFUNCTION("""COMPUTED_VALUE"""),"Very Good")</f>
        <v>Very Good</v>
      </c>
      <c r="Y1073" t="str">
        <f>IFERROR(__xludf.DUMMYFUNCTION("""COMPUTED_VALUE"""),"Excellent")</f>
        <v>Excellent</v>
      </c>
      <c r="Z1073" t="str">
        <f>IFERROR(__xludf.DUMMYFUNCTION("""COMPUTED_VALUE"""),"Excellent")</f>
        <v>Excellent</v>
      </c>
      <c r="AA1073" t="str">
        <f>IFERROR(__xludf.DUMMYFUNCTION("""COMPUTED_VALUE"""),"Poor")</f>
        <v>Poor</v>
      </c>
      <c r="AB1073" t="str">
        <f>IFERROR(__xludf.DUMMYFUNCTION("""COMPUTED_VALUE"""),"Fair")</f>
        <v>Fair</v>
      </c>
      <c r="AC1073">
        <f>IFERROR(__xludf.DUMMYFUNCTION("""COMPUTED_VALUE"""),2.0)</f>
        <v>2</v>
      </c>
      <c r="AG1073" t="str">
        <f>IFERROR(__xludf.DUMMYFUNCTION("""COMPUTED_VALUE"""),"Delivery was late. Home Delivery. Communication was awful. Car is great.")</f>
        <v>Delivery was late. Home Delivery. Communication was awful. Car is great.</v>
      </c>
      <c r="AH1073" s="189">
        <f>IFERROR(__xludf.DUMMYFUNCTION("""COMPUTED_VALUE"""),43382.299616006945)</f>
        <v>43382.29962</v>
      </c>
    </row>
    <row r="1074">
      <c r="A1074" t="str">
        <f>IFERROR(__xludf.DUMMYFUNCTION("""COMPUTED_VALUE"""),"jenkman")</f>
        <v>jenkman</v>
      </c>
      <c r="B1074" t="str">
        <f>IFERROR(__xludf.DUMMYFUNCTION("""COMPUTED_VALUE"""),"Raleigh")</f>
        <v>Raleigh</v>
      </c>
      <c r="C1074" t="str">
        <f>IFERROR(__xludf.DUMMYFUNCTION("""COMPUTED_VALUE"""),"NC")</f>
        <v>NC</v>
      </c>
      <c r="D1074" t="str">
        <f>IFERROR(__xludf.DUMMYFUNCTION("""COMPUTED_VALUE"""),"USA")</f>
        <v>USA</v>
      </c>
      <c r="E1074" s="188">
        <f>IFERROR(__xludf.DUMMYFUNCTION("""COMPUTED_VALUE"""),43305.0)</f>
        <v>43305</v>
      </c>
      <c r="F1074" s="188">
        <f>IFERROR(__xludf.DUMMYFUNCTION("""COMPUTED_VALUE"""),43306.0)</f>
        <v>43306</v>
      </c>
      <c r="H1074">
        <f>IFERROR(__xludf.DUMMYFUNCTION("""COMPUTED_VALUE"""),59955.0)</f>
        <v>59955</v>
      </c>
      <c r="I1074" t="str">
        <f>IFERROR(__xludf.DUMMYFUNCTION("""COMPUTED_VALUE"""),"07/18")</f>
        <v>07/18</v>
      </c>
      <c r="J1074" s="5">
        <f>IFERROR(__xludf.DUMMYFUNCTION("""COMPUTED_VALUE"""),43330.0)</f>
        <v>43330</v>
      </c>
      <c r="K1074">
        <f>IFERROR(__xludf.DUMMYFUNCTION("""COMPUTED_VALUE"""),1.0)</f>
        <v>1</v>
      </c>
      <c r="L1074">
        <f>IFERROR(__xludf.DUMMYFUNCTION("""COMPUTED_VALUE"""),24.0)</f>
        <v>24</v>
      </c>
      <c r="M1074">
        <f>IFERROR(__xludf.DUMMYFUNCTION("""COMPUTED_VALUE"""),25.0)</f>
        <v>25</v>
      </c>
      <c r="N1074" t="str">
        <f>IFERROR(__xludf.DUMMYFUNCTION("""COMPUTED_VALUE"""),"Model 3 LR")</f>
        <v>Model 3 LR</v>
      </c>
      <c r="O1074" t="str">
        <f>IFERROR(__xludf.DUMMYFUNCTION("""COMPUTED_VALUE"""),"Deep Blue Metallic")</f>
        <v>Deep Blue Metallic</v>
      </c>
      <c r="P1074" t="str">
        <f>IFERROR(__xludf.DUMMYFUNCTION("""COMPUTED_VALUE"""),"19 inch Sport")</f>
        <v>19 inch Sport</v>
      </c>
      <c r="Q1074" t="str">
        <f>IFERROR(__xludf.DUMMYFUNCTION("""COMPUTED_VALUE"""),"Black seats")</f>
        <v>Black seats</v>
      </c>
      <c r="R1074" t="str">
        <f>IFERROR(__xludf.DUMMYFUNCTION("""COMPUTED_VALUE"""),"None")</f>
        <v>None</v>
      </c>
      <c r="X1074" t="str">
        <f>IFERROR(__xludf.DUMMYFUNCTION("""COMPUTED_VALUE"""),"Very Good")</f>
        <v>Very Good</v>
      </c>
      <c r="Y1074" t="str">
        <f>IFERROR(__xludf.DUMMYFUNCTION("""COMPUTED_VALUE"""),"Very Good")</f>
        <v>Very Good</v>
      </c>
      <c r="Z1074" t="str">
        <f>IFERROR(__xludf.DUMMYFUNCTION("""COMPUTED_VALUE"""),"Very Good")</f>
        <v>Very Good</v>
      </c>
      <c r="AA1074" t="str">
        <f>IFERROR(__xludf.DUMMYFUNCTION("""COMPUTED_VALUE"""),"Good")</f>
        <v>Good</v>
      </c>
      <c r="AB1074" t="str">
        <f>IFERROR(__xludf.DUMMYFUNCTION("""COMPUTED_VALUE"""),"Very Good")</f>
        <v>Very Good</v>
      </c>
      <c r="AC1074">
        <f>IFERROR(__xludf.DUMMYFUNCTION("""COMPUTED_VALUE"""),2.0)</f>
        <v>2</v>
      </c>
      <c r="AD1074">
        <f>IFERROR(__xludf.DUMMYFUNCTION("""COMPUTED_VALUE"""),1.0)</f>
        <v>1</v>
      </c>
      <c r="AE1074">
        <f>IFERROR(__xludf.DUMMYFUNCTION("""COMPUTED_VALUE"""),4.0)</f>
        <v>4</v>
      </c>
      <c r="AH1074" s="189">
        <f>IFERROR(__xludf.DUMMYFUNCTION("""COMPUTED_VALUE"""),43382.30459881945)</f>
        <v>43382.3046</v>
      </c>
    </row>
    <row r="1075">
      <c r="A1075" t="str">
        <f>IFERROR(__xludf.DUMMYFUNCTION("""COMPUTED_VALUE"""),"jman0808")</f>
        <v>jman0808</v>
      </c>
      <c r="B1075" t="str">
        <f>IFERROR(__xludf.DUMMYFUNCTION("""COMPUTED_VALUE"""),"Castle Rock")</f>
        <v>Castle Rock</v>
      </c>
      <c r="C1075" t="str">
        <f>IFERROR(__xludf.DUMMYFUNCTION("""COMPUTED_VALUE"""),"CO")</f>
        <v>CO</v>
      </c>
      <c r="D1075" t="str">
        <f>IFERROR(__xludf.DUMMYFUNCTION("""COMPUTED_VALUE"""),"USA")</f>
        <v>USA</v>
      </c>
      <c r="E1075" s="188">
        <f>IFERROR(__xludf.DUMMYFUNCTION("""COMPUTED_VALUE"""),43281.0)</f>
        <v>43281</v>
      </c>
      <c r="F1075" s="188">
        <f>IFERROR(__xludf.DUMMYFUNCTION("""COMPUTED_VALUE"""),43364.0)</f>
        <v>43364</v>
      </c>
      <c r="H1075">
        <f>IFERROR(__xludf.DUMMYFUNCTION("""COMPUTED_VALUE"""),86955.0)</f>
        <v>86955</v>
      </c>
      <c r="I1075" t="str">
        <f>IFERROR(__xludf.DUMMYFUNCTION("""COMPUTED_VALUE"""),"09/18")</f>
        <v>09/18</v>
      </c>
      <c r="J1075" s="5">
        <f>IFERROR(__xludf.DUMMYFUNCTION("""COMPUTED_VALUE"""),43368.0)</f>
        <v>43368</v>
      </c>
      <c r="K1075">
        <f>IFERROR(__xludf.DUMMYFUNCTION("""COMPUTED_VALUE"""),83.0)</f>
        <v>83</v>
      </c>
      <c r="L1075">
        <f>IFERROR(__xludf.DUMMYFUNCTION("""COMPUTED_VALUE"""),4.0)</f>
        <v>4</v>
      </c>
      <c r="M1075">
        <f>IFERROR(__xludf.DUMMYFUNCTION("""COMPUTED_VALUE"""),87.0)</f>
        <v>87</v>
      </c>
      <c r="N1075" t="str">
        <f>IFERROR(__xludf.DUMMYFUNCTION("""COMPUTED_VALUE"""),"Model 3 LR AWD")</f>
        <v>Model 3 LR AWD</v>
      </c>
      <c r="O1075" t="str">
        <f>IFERROR(__xludf.DUMMYFUNCTION("""COMPUTED_VALUE"""),"Midnight Silver Metallic")</f>
        <v>Midnight Silver Metallic</v>
      </c>
      <c r="P1075" t="str">
        <f>IFERROR(__xludf.DUMMYFUNCTION("""COMPUTED_VALUE"""),"19 inch Sport")</f>
        <v>19 inch Sport</v>
      </c>
      <c r="Q1075" t="str">
        <f>IFERROR(__xludf.DUMMYFUNCTION("""COMPUTED_VALUE"""),"Black seats")</f>
        <v>Black seats</v>
      </c>
      <c r="R1075" t="str">
        <f>IFERROR(__xludf.DUMMYFUNCTION("""COMPUTED_VALUE"""),"None")</f>
        <v>None</v>
      </c>
      <c r="X1075" t="str">
        <f>IFERROR(__xludf.DUMMYFUNCTION("""COMPUTED_VALUE"""),"Very Good")</f>
        <v>Very Good</v>
      </c>
      <c r="Y1075" t="str">
        <f>IFERROR(__xludf.DUMMYFUNCTION("""COMPUTED_VALUE"""),"Excellent")</f>
        <v>Excellent</v>
      </c>
      <c r="Z1075" t="str">
        <f>IFERROR(__xludf.DUMMYFUNCTION("""COMPUTED_VALUE"""),"Very Good")</f>
        <v>Very Good</v>
      </c>
      <c r="AA1075" t="str">
        <f>IFERROR(__xludf.DUMMYFUNCTION("""COMPUTED_VALUE"""),"Fair")</f>
        <v>Fair</v>
      </c>
      <c r="AB1075" t="str">
        <f>IFERROR(__xludf.DUMMYFUNCTION("""COMPUTED_VALUE"""),"Very Good")</f>
        <v>Very Good</v>
      </c>
      <c r="AC1075">
        <f>IFERROR(__xludf.DUMMYFUNCTION("""COMPUTED_VALUE"""),1.0)</f>
        <v>1</v>
      </c>
      <c r="AD1075">
        <f>IFERROR(__xludf.DUMMYFUNCTION("""COMPUTED_VALUE"""),1.0)</f>
        <v>1</v>
      </c>
      <c r="AH1075" s="189">
        <f>IFERROR(__xludf.DUMMYFUNCTION("""COMPUTED_VALUE"""),43382.30998864584)</f>
        <v>43382.30999</v>
      </c>
    </row>
    <row r="1076">
      <c r="A1076" t="str">
        <f>IFERROR(__xludf.DUMMYFUNCTION("""COMPUTED_VALUE"""),"Scott46885")</f>
        <v>Scott46885</v>
      </c>
      <c r="C1076" t="str">
        <f>IFERROR(__xludf.DUMMYFUNCTION("""COMPUTED_VALUE"""),"IA")</f>
        <v>IA</v>
      </c>
      <c r="D1076" t="str">
        <f>IFERROR(__xludf.DUMMYFUNCTION("""COMPUTED_VALUE"""),"USA")</f>
        <v>USA</v>
      </c>
      <c r="E1076" s="188">
        <f>IFERROR(__xludf.DUMMYFUNCTION("""COMPUTED_VALUE"""),43279.0)</f>
        <v>43279</v>
      </c>
      <c r="F1076" s="188">
        <f>IFERROR(__xludf.DUMMYFUNCTION("""COMPUTED_VALUE"""),43361.0)</f>
        <v>43361</v>
      </c>
      <c r="H1076">
        <f>IFERROR(__xludf.DUMMYFUNCTION("""COMPUTED_VALUE"""),88591.0)</f>
        <v>88591</v>
      </c>
      <c r="J1076" s="5">
        <f>IFERROR(__xludf.DUMMYFUNCTION("""COMPUTED_VALUE"""),43370.0)</f>
        <v>43370</v>
      </c>
      <c r="K1076">
        <f>IFERROR(__xludf.DUMMYFUNCTION("""COMPUTED_VALUE"""),82.0)</f>
        <v>82</v>
      </c>
      <c r="L1076">
        <f>IFERROR(__xludf.DUMMYFUNCTION("""COMPUTED_VALUE"""),9.0)</f>
        <v>9</v>
      </c>
      <c r="M1076">
        <f>IFERROR(__xludf.DUMMYFUNCTION("""COMPUTED_VALUE"""),91.0)</f>
        <v>91</v>
      </c>
      <c r="N1076" t="str">
        <f>IFERROR(__xludf.DUMMYFUNCTION("""COMPUTED_VALUE"""),"Model 3 LR AWD")</f>
        <v>Model 3 LR AWD</v>
      </c>
      <c r="O1076" t="str">
        <f>IFERROR(__xludf.DUMMYFUNCTION("""COMPUTED_VALUE"""),"Deep Blue Metallic")</f>
        <v>Deep Blue Metallic</v>
      </c>
      <c r="P1076" t="str">
        <f>IFERROR(__xludf.DUMMYFUNCTION("""COMPUTED_VALUE"""),"19 inch Sport")</f>
        <v>19 inch Sport</v>
      </c>
      <c r="Q1076" t="str">
        <f>IFERROR(__xludf.DUMMYFUNCTION("""COMPUTED_VALUE"""),"Black seats")</f>
        <v>Black seats</v>
      </c>
      <c r="R1076" t="str">
        <f>IFERROR(__xludf.DUMMYFUNCTION("""COMPUTED_VALUE"""),"Enhanced Autopilot")</f>
        <v>Enhanced Autopilot</v>
      </c>
      <c r="X1076" t="str">
        <f>IFERROR(__xludf.DUMMYFUNCTION("""COMPUTED_VALUE"""),"Excellent")</f>
        <v>Excellent</v>
      </c>
      <c r="Y1076" t="str">
        <f>IFERROR(__xludf.DUMMYFUNCTION("""COMPUTED_VALUE"""),"Excellent")</f>
        <v>Excellent</v>
      </c>
      <c r="Z1076" t="str">
        <f>IFERROR(__xludf.DUMMYFUNCTION("""COMPUTED_VALUE"""),"Excellent")</f>
        <v>Excellent</v>
      </c>
      <c r="AA1076" t="str">
        <f>IFERROR(__xludf.DUMMYFUNCTION("""COMPUTED_VALUE"""),"Good")</f>
        <v>Good</v>
      </c>
      <c r="AB1076" t="str">
        <f>IFERROR(__xludf.DUMMYFUNCTION("""COMPUTED_VALUE"""),"Good")</f>
        <v>Good</v>
      </c>
      <c r="AH1076" s="189">
        <f>IFERROR(__xludf.DUMMYFUNCTION("""COMPUTED_VALUE"""),43382.35820981482)</f>
        <v>43382.35821</v>
      </c>
    </row>
    <row r="1077">
      <c r="A1077" t="str">
        <f>IFERROR(__xludf.DUMMYFUNCTION("""COMPUTED_VALUE"""),"attack7777")</f>
        <v>attack7777</v>
      </c>
      <c r="B1077" t="str">
        <f>IFERROR(__xludf.DUMMYFUNCTION("""COMPUTED_VALUE"""),"Raleigh")</f>
        <v>Raleigh</v>
      </c>
      <c r="C1077" t="str">
        <f>IFERROR(__xludf.DUMMYFUNCTION("""COMPUTED_VALUE"""),"NC")</f>
        <v>NC</v>
      </c>
      <c r="D1077" t="str">
        <f>IFERROR(__xludf.DUMMYFUNCTION("""COMPUTED_VALUE"""),"USA")</f>
        <v>USA</v>
      </c>
      <c r="E1077" s="188">
        <f>IFERROR(__xludf.DUMMYFUNCTION("""COMPUTED_VALUE"""),43319.0)</f>
        <v>43319</v>
      </c>
      <c r="F1077" s="188">
        <f>IFERROR(__xludf.DUMMYFUNCTION("""COMPUTED_VALUE"""),43367.0)</f>
        <v>43367</v>
      </c>
      <c r="H1077">
        <f>IFERROR(__xludf.DUMMYFUNCTION("""COMPUTED_VALUE"""),99355.0)</f>
        <v>99355</v>
      </c>
      <c r="J1077" s="5">
        <f>IFERROR(__xludf.DUMMYFUNCTION("""COMPUTED_VALUE"""),43371.0)</f>
        <v>43371</v>
      </c>
      <c r="K1077">
        <f>IFERROR(__xludf.DUMMYFUNCTION("""COMPUTED_VALUE"""),48.0)</f>
        <v>48</v>
      </c>
      <c r="L1077">
        <f>IFERROR(__xludf.DUMMYFUNCTION("""COMPUTED_VALUE"""),4.0)</f>
        <v>4</v>
      </c>
      <c r="M1077">
        <f>IFERROR(__xludf.DUMMYFUNCTION("""COMPUTED_VALUE"""),52.0)</f>
        <v>52</v>
      </c>
      <c r="N1077" t="str">
        <f>IFERROR(__xludf.DUMMYFUNCTION("""COMPUTED_VALUE"""),"Model 3 LR AWD")</f>
        <v>Model 3 LR AWD</v>
      </c>
      <c r="O1077" t="str">
        <f>IFERROR(__xludf.DUMMYFUNCTION("""COMPUTED_VALUE"""),"Obsidian Black Metallic")</f>
        <v>Obsidian Black Metallic</v>
      </c>
      <c r="P1077" t="str">
        <f>IFERROR(__xludf.DUMMYFUNCTION("""COMPUTED_VALUE"""),"19 inch Sport")</f>
        <v>19 inch Sport</v>
      </c>
      <c r="Q1077" t="str">
        <f>IFERROR(__xludf.DUMMYFUNCTION("""COMPUTED_VALUE"""),"White seats")</f>
        <v>White seats</v>
      </c>
      <c r="R1077" t="str">
        <f>IFERROR(__xludf.DUMMYFUNCTION("""COMPUTED_VALUE"""),"Full Self-Driving")</f>
        <v>Full Self-Driving</v>
      </c>
      <c r="X1077" t="str">
        <f>IFERROR(__xludf.DUMMYFUNCTION("""COMPUTED_VALUE"""),"Excellent")</f>
        <v>Excellent</v>
      </c>
      <c r="Y1077" t="str">
        <f>IFERROR(__xludf.DUMMYFUNCTION("""COMPUTED_VALUE"""),"Excellent")</f>
        <v>Excellent</v>
      </c>
      <c r="Z1077" t="str">
        <f>IFERROR(__xludf.DUMMYFUNCTION("""COMPUTED_VALUE"""),"Very Good")</f>
        <v>Very Good</v>
      </c>
      <c r="AA1077" t="str">
        <f>IFERROR(__xludf.DUMMYFUNCTION("""COMPUTED_VALUE"""),"Fair")</f>
        <v>Fair</v>
      </c>
      <c r="AB1077" t="str">
        <f>IFERROR(__xludf.DUMMYFUNCTION("""COMPUTED_VALUE"""),"Good")</f>
        <v>Good</v>
      </c>
      <c r="AC1077">
        <f>IFERROR(__xludf.DUMMYFUNCTION("""COMPUTED_VALUE"""),3.0)</f>
        <v>3</v>
      </c>
      <c r="AH1077" s="189">
        <f>IFERROR(__xludf.DUMMYFUNCTION("""COMPUTED_VALUE"""),43382.38668585648)</f>
        <v>43382.38669</v>
      </c>
    </row>
    <row r="1078">
      <c r="A1078" t="str">
        <f>IFERROR(__xludf.DUMMYFUNCTION("""COMPUTED_VALUE"""),"Joules")</f>
        <v>Joules</v>
      </c>
      <c r="B1078" t="str">
        <f>IFERROR(__xludf.DUMMYFUNCTION("""COMPUTED_VALUE"""),"Omaha")</f>
        <v>Omaha</v>
      </c>
      <c r="C1078" t="str">
        <f>IFERROR(__xludf.DUMMYFUNCTION("""COMPUTED_VALUE"""),"NE")</f>
        <v>NE</v>
      </c>
      <c r="D1078" t="str">
        <f>IFERROR(__xludf.DUMMYFUNCTION("""COMPUTED_VALUE"""),"USA")</f>
        <v>USA</v>
      </c>
      <c r="E1078" s="188">
        <f>IFERROR(__xludf.DUMMYFUNCTION("""COMPUTED_VALUE"""),43278.0)</f>
        <v>43278</v>
      </c>
      <c r="F1078" s="188">
        <f>IFERROR(__xludf.DUMMYFUNCTION("""COMPUTED_VALUE"""),43355.0)</f>
        <v>43355</v>
      </c>
      <c r="H1078">
        <f>IFERROR(__xludf.DUMMYFUNCTION("""COMPUTED_VALUE"""),100638.0)</f>
        <v>100638</v>
      </c>
      <c r="I1078" t="str">
        <f>IFERROR(__xludf.DUMMYFUNCTION("""COMPUTED_VALUE"""),"09/18")</f>
        <v>09/18</v>
      </c>
      <c r="J1078" s="5">
        <f>IFERROR(__xludf.DUMMYFUNCTION("""COMPUTED_VALUE"""),43372.0)</f>
        <v>43372</v>
      </c>
      <c r="K1078">
        <f>IFERROR(__xludf.DUMMYFUNCTION("""COMPUTED_VALUE"""),77.0)</f>
        <v>77</v>
      </c>
      <c r="L1078">
        <f>IFERROR(__xludf.DUMMYFUNCTION("""COMPUTED_VALUE"""),17.0)</f>
        <v>17</v>
      </c>
      <c r="M1078">
        <f>IFERROR(__xludf.DUMMYFUNCTION("""COMPUTED_VALUE"""),94.0)</f>
        <v>94</v>
      </c>
      <c r="N1078" t="str">
        <f>IFERROR(__xludf.DUMMYFUNCTION("""COMPUTED_VALUE"""),"Model 3 LR AWD")</f>
        <v>Model 3 LR AWD</v>
      </c>
      <c r="O1078" t="str">
        <f>IFERROR(__xludf.DUMMYFUNCTION("""COMPUTED_VALUE"""),"Red Multi-Coat")</f>
        <v>Red Multi-Coat</v>
      </c>
      <c r="P1078" t="str">
        <f>IFERROR(__xludf.DUMMYFUNCTION("""COMPUTED_VALUE"""),"19 inch Sport")</f>
        <v>19 inch Sport</v>
      </c>
      <c r="Q1078" t="str">
        <f>IFERROR(__xludf.DUMMYFUNCTION("""COMPUTED_VALUE"""),"White seats")</f>
        <v>White seats</v>
      </c>
      <c r="R1078" t="str">
        <f>IFERROR(__xludf.DUMMYFUNCTION("""COMPUTED_VALUE"""),"Enhanced Autopilot")</f>
        <v>Enhanced Autopilot</v>
      </c>
      <c r="X1078" t="str">
        <f>IFERROR(__xludf.DUMMYFUNCTION("""COMPUTED_VALUE"""),"Excellent")</f>
        <v>Excellent</v>
      </c>
      <c r="Y1078" t="str">
        <f>IFERROR(__xludf.DUMMYFUNCTION("""COMPUTED_VALUE"""),"Excellent")</f>
        <v>Excellent</v>
      </c>
      <c r="Z1078" t="str">
        <f>IFERROR(__xludf.DUMMYFUNCTION("""COMPUTED_VALUE"""),"Excellent")</f>
        <v>Excellent</v>
      </c>
      <c r="AA1078" t="str">
        <f>IFERROR(__xludf.DUMMYFUNCTION("""COMPUTED_VALUE"""),"Very Good")</f>
        <v>Very Good</v>
      </c>
      <c r="AB1078" t="str">
        <f>IFERROR(__xludf.DUMMYFUNCTION("""COMPUTED_VALUE"""),"Good")</f>
        <v>Good</v>
      </c>
      <c r="AH1078" s="189">
        <f>IFERROR(__xludf.DUMMYFUNCTION("""COMPUTED_VALUE"""),43382.44806792824)</f>
        <v>43382.44807</v>
      </c>
    </row>
    <row r="1079">
      <c r="A1079" t="str">
        <f>IFERROR(__xludf.DUMMYFUNCTION("""COMPUTED_VALUE"""),"steve100")</f>
        <v>steve100</v>
      </c>
      <c r="B1079" t="str">
        <f>IFERROR(__xludf.DUMMYFUNCTION("""COMPUTED_VALUE"""),"Massachusetts")</f>
        <v>Massachusetts</v>
      </c>
      <c r="C1079" t="str">
        <f>IFERROR(__xludf.DUMMYFUNCTION("""COMPUTED_VALUE"""),"MA")</f>
        <v>MA</v>
      </c>
      <c r="D1079" t="str">
        <f>IFERROR(__xludf.DUMMYFUNCTION("""COMPUTED_VALUE"""),"USA")</f>
        <v>USA</v>
      </c>
      <c r="E1079" s="188">
        <f>IFERROR(__xludf.DUMMYFUNCTION("""COMPUTED_VALUE"""),43278.0)</f>
        <v>43278</v>
      </c>
      <c r="F1079" s="188">
        <f>IFERROR(__xludf.DUMMYFUNCTION("""COMPUTED_VALUE"""),43344.0)</f>
        <v>43344</v>
      </c>
      <c r="H1079">
        <f>IFERROR(__xludf.DUMMYFUNCTION("""COMPUTED_VALUE"""),64241.0)</f>
        <v>64241</v>
      </c>
      <c r="I1079" t="str">
        <f>IFERROR(__xludf.DUMMYFUNCTION("""COMPUTED_VALUE"""),"08/18")</f>
        <v>08/18</v>
      </c>
      <c r="J1079" s="5">
        <f>IFERROR(__xludf.DUMMYFUNCTION("""COMPUTED_VALUE"""),43355.0)</f>
        <v>43355</v>
      </c>
      <c r="K1079">
        <f>IFERROR(__xludf.DUMMYFUNCTION("""COMPUTED_VALUE"""),66.0)</f>
        <v>66</v>
      </c>
      <c r="L1079">
        <f>IFERROR(__xludf.DUMMYFUNCTION("""COMPUTED_VALUE"""),11.0)</f>
        <v>11</v>
      </c>
      <c r="M1079">
        <f>IFERROR(__xludf.DUMMYFUNCTION("""COMPUTED_VALUE"""),77.0)</f>
        <v>77</v>
      </c>
      <c r="N1079" t="str">
        <f>IFERROR(__xludf.DUMMYFUNCTION("""COMPUTED_VALUE"""),"Model 3 LR AWD")</f>
        <v>Model 3 LR AWD</v>
      </c>
      <c r="O1079" t="str">
        <f>IFERROR(__xludf.DUMMYFUNCTION("""COMPUTED_VALUE"""),"Red Multi-Coat")</f>
        <v>Red Multi-Coat</v>
      </c>
      <c r="P1079" t="str">
        <f>IFERROR(__xludf.DUMMYFUNCTION("""COMPUTED_VALUE"""),"18 inch Aero")</f>
        <v>18 inch Aero</v>
      </c>
      <c r="Q1079" t="str">
        <f>IFERROR(__xludf.DUMMYFUNCTION("""COMPUTED_VALUE"""),"Black seats")</f>
        <v>Black seats</v>
      </c>
      <c r="R1079" t="str">
        <f>IFERROR(__xludf.DUMMYFUNCTION("""COMPUTED_VALUE"""),"Enhanced Autopilot")</f>
        <v>Enhanced Autopilot</v>
      </c>
      <c r="X1079" t="str">
        <f>IFERROR(__xludf.DUMMYFUNCTION("""COMPUTED_VALUE"""),"Excellent")</f>
        <v>Excellent</v>
      </c>
      <c r="Y1079" t="str">
        <f>IFERROR(__xludf.DUMMYFUNCTION("""COMPUTED_VALUE"""),"Excellent")</f>
        <v>Excellent</v>
      </c>
      <c r="Z1079" t="str">
        <f>IFERROR(__xludf.DUMMYFUNCTION("""COMPUTED_VALUE"""),"Excellent")</f>
        <v>Excellent</v>
      </c>
      <c r="AA1079" t="str">
        <f>IFERROR(__xludf.DUMMYFUNCTION("""COMPUTED_VALUE"""),"Fair")</f>
        <v>Fair</v>
      </c>
      <c r="AB1079" t="str">
        <f>IFERROR(__xludf.DUMMYFUNCTION("""COMPUTED_VALUE"""),"Good")</f>
        <v>Good</v>
      </c>
      <c r="AC1079">
        <f>IFERROR(__xludf.DUMMYFUNCTION("""COMPUTED_VALUE"""),0.0)</f>
        <v>0</v>
      </c>
      <c r="AD1079">
        <f>IFERROR(__xludf.DUMMYFUNCTION("""COMPUTED_VALUE"""),0.0)</f>
        <v>0</v>
      </c>
      <c r="AE1079">
        <f>IFERROR(__xludf.DUMMYFUNCTION("""COMPUTED_VALUE"""),0.0)</f>
        <v>0</v>
      </c>
      <c r="AH1079" s="189">
        <f>IFERROR(__xludf.DUMMYFUNCTION("""COMPUTED_VALUE"""),43382.450478645835)</f>
        <v>43382.45048</v>
      </c>
    </row>
    <row r="1080">
      <c r="A1080" t="str">
        <f>IFERROR(__xludf.DUMMYFUNCTION("""COMPUTED_VALUE"""),"radillac")</f>
        <v>radillac</v>
      </c>
      <c r="B1080" t="str">
        <f>IFERROR(__xludf.DUMMYFUNCTION("""COMPUTED_VALUE"""),"East Bay Area")</f>
        <v>East Bay Area</v>
      </c>
      <c r="C1080" t="str">
        <f>IFERROR(__xludf.DUMMYFUNCTION("""COMPUTED_VALUE"""),"CA")</f>
        <v>CA</v>
      </c>
      <c r="D1080" t="str">
        <f>IFERROR(__xludf.DUMMYFUNCTION("""COMPUTED_VALUE"""),"USA")</f>
        <v>USA</v>
      </c>
      <c r="E1080" s="188">
        <f>IFERROR(__xludf.DUMMYFUNCTION("""COMPUTED_VALUE"""),43278.0)</f>
        <v>43278</v>
      </c>
      <c r="F1080" s="188">
        <f>IFERROR(__xludf.DUMMYFUNCTION("""COMPUTED_VALUE"""),43359.0)</f>
        <v>43359</v>
      </c>
      <c r="H1080">
        <f>IFERROR(__xludf.DUMMYFUNCTION("""COMPUTED_VALUE"""),75355.0)</f>
        <v>75355</v>
      </c>
      <c r="J1080" s="5">
        <f>IFERROR(__xludf.DUMMYFUNCTION("""COMPUTED_VALUE"""),43374.0)</f>
        <v>43374</v>
      </c>
      <c r="K1080">
        <f>IFERROR(__xludf.DUMMYFUNCTION("""COMPUTED_VALUE"""),81.0)</f>
        <v>81</v>
      </c>
      <c r="L1080">
        <f>IFERROR(__xludf.DUMMYFUNCTION("""COMPUTED_VALUE"""),15.0)</f>
        <v>15</v>
      </c>
      <c r="M1080">
        <f>IFERROR(__xludf.DUMMYFUNCTION("""COMPUTED_VALUE"""),96.0)</f>
        <v>96</v>
      </c>
      <c r="N1080" t="str">
        <f>IFERROR(__xludf.DUMMYFUNCTION("""COMPUTED_VALUE"""),"Model 3 LR AWD")</f>
        <v>Model 3 LR AWD</v>
      </c>
      <c r="O1080" t="str">
        <f>IFERROR(__xludf.DUMMYFUNCTION("""COMPUTED_VALUE"""),"Deep Blue Metallic")</f>
        <v>Deep Blue Metallic</v>
      </c>
      <c r="P1080" t="str">
        <f>IFERROR(__xludf.DUMMYFUNCTION("""COMPUTED_VALUE"""),"18 inch Aero")</f>
        <v>18 inch Aero</v>
      </c>
      <c r="Q1080" t="str">
        <f>IFERROR(__xludf.DUMMYFUNCTION("""COMPUTED_VALUE"""),"Black seats")</f>
        <v>Black seats</v>
      </c>
      <c r="R1080" t="str">
        <f>IFERROR(__xludf.DUMMYFUNCTION("""COMPUTED_VALUE"""),"Full Self-Driving")</f>
        <v>Full Self-Driving</v>
      </c>
      <c r="X1080" t="str">
        <f>IFERROR(__xludf.DUMMYFUNCTION("""COMPUTED_VALUE"""),"Excellent")</f>
        <v>Excellent</v>
      </c>
      <c r="Y1080" t="str">
        <f>IFERROR(__xludf.DUMMYFUNCTION("""COMPUTED_VALUE"""),"Excellent")</f>
        <v>Excellent</v>
      </c>
      <c r="Z1080" t="str">
        <f>IFERROR(__xludf.DUMMYFUNCTION("""COMPUTED_VALUE"""),"Poor")</f>
        <v>Poor</v>
      </c>
      <c r="AA1080" t="str">
        <f>IFERROR(__xludf.DUMMYFUNCTION("""COMPUTED_VALUE"""),"Poor")</f>
        <v>Poor</v>
      </c>
      <c r="AB1080" t="str">
        <f>IFERROR(__xludf.DUMMYFUNCTION("""COMPUTED_VALUE"""),"Poor")</f>
        <v>Poor</v>
      </c>
      <c r="AC1080">
        <f>IFERROR(__xludf.DUMMYFUNCTION("""COMPUTED_VALUE"""),5.0)</f>
        <v>5</v>
      </c>
      <c r="AD1080">
        <f>IFERROR(__xludf.DUMMYFUNCTION("""COMPUTED_VALUE"""),2.0)</f>
        <v>2</v>
      </c>
      <c r="AG1080" t="str">
        <f>IFERROR(__xludf.DUMMYFUNCTION("""COMPUTED_VALUE"""),"Awd")</f>
        <v>Awd</v>
      </c>
      <c r="AH1080" s="189">
        <f>IFERROR(__xludf.DUMMYFUNCTION("""COMPUTED_VALUE"""),43382.45170513889)</f>
        <v>43382.45171</v>
      </c>
    </row>
    <row r="1081">
      <c r="A1081" t="str">
        <f>IFERROR(__xludf.DUMMYFUNCTION("""COMPUTED_VALUE"""),"Scubastevo80")</f>
        <v>Scubastevo80</v>
      </c>
      <c r="C1081" t="str">
        <f>IFERROR(__xludf.DUMMYFUNCTION("""COMPUTED_VALUE"""),"NJ")</f>
        <v>NJ</v>
      </c>
      <c r="D1081" t="str">
        <f>IFERROR(__xludf.DUMMYFUNCTION("""COMPUTED_VALUE"""),"USA")</f>
        <v>USA</v>
      </c>
      <c r="E1081" s="188">
        <f>IFERROR(__xludf.DUMMYFUNCTION("""COMPUTED_VALUE"""),43278.0)</f>
        <v>43278</v>
      </c>
      <c r="H1081">
        <f>IFERROR(__xludf.DUMMYFUNCTION("""COMPUTED_VALUE"""),103655.0)</f>
        <v>103655</v>
      </c>
      <c r="I1081" t="str">
        <f>IFERROR(__xludf.DUMMYFUNCTION("""COMPUTED_VALUE"""),"09/18")</f>
        <v>09/18</v>
      </c>
      <c r="J1081" s="5">
        <f>IFERROR(__xludf.DUMMYFUNCTION("""COMPUTED_VALUE"""),43382.0)</f>
        <v>43382</v>
      </c>
      <c r="M1081">
        <f>IFERROR(__xludf.DUMMYFUNCTION("""COMPUTED_VALUE"""),104.0)</f>
        <v>104</v>
      </c>
      <c r="N1081" t="str">
        <f>IFERROR(__xludf.DUMMYFUNCTION("""COMPUTED_VALUE"""),"Model 3 LR AWD")</f>
        <v>Model 3 LR AWD</v>
      </c>
      <c r="O1081" t="str">
        <f>IFERROR(__xludf.DUMMYFUNCTION("""COMPUTED_VALUE"""),"Midnight Silver Metallic")</f>
        <v>Midnight Silver Metallic</v>
      </c>
      <c r="P1081" t="str">
        <f>IFERROR(__xludf.DUMMYFUNCTION("""COMPUTED_VALUE"""),"18 inch Aero")</f>
        <v>18 inch Aero</v>
      </c>
      <c r="Q1081" t="str">
        <f>IFERROR(__xludf.DUMMYFUNCTION("""COMPUTED_VALUE"""),"Black seats")</f>
        <v>Black seats</v>
      </c>
      <c r="R1081" t="str">
        <f>IFERROR(__xludf.DUMMYFUNCTION("""COMPUTED_VALUE"""),"Enhanced Autopilot")</f>
        <v>Enhanced Autopilot</v>
      </c>
      <c r="X1081" t="str">
        <f>IFERROR(__xludf.DUMMYFUNCTION("""COMPUTED_VALUE"""),"Very Good")</f>
        <v>Very Good</v>
      </c>
      <c r="Y1081" t="str">
        <f>IFERROR(__xludf.DUMMYFUNCTION("""COMPUTED_VALUE"""),"Good")</f>
        <v>Good</v>
      </c>
      <c r="Z1081" t="str">
        <f>IFERROR(__xludf.DUMMYFUNCTION("""COMPUTED_VALUE"""),"Excellent")</f>
        <v>Excellent</v>
      </c>
      <c r="AA1081" t="str">
        <f>IFERROR(__xludf.DUMMYFUNCTION("""COMPUTED_VALUE"""),"Good")</f>
        <v>Good</v>
      </c>
      <c r="AB1081" t="str">
        <f>IFERROR(__xludf.DUMMYFUNCTION("""COMPUTED_VALUE"""),"Fair")</f>
        <v>Fair</v>
      </c>
      <c r="AC1081">
        <f>IFERROR(__xludf.DUMMYFUNCTION("""COMPUTED_VALUE"""),1.0)</f>
        <v>1</v>
      </c>
      <c r="AH1081" s="189">
        <f>IFERROR(__xludf.DUMMYFUNCTION("""COMPUTED_VALUE"""),43382.46474452547)</f>
        <v>43382.46474</v>
      </c>
    </row>
    <row r="1082">
      <c r="A1082" t="str">
        <f>IFERROR(__xludf.DUMMYFUNCTION("""COMPUTED_VALUE"""),"sumitrana")</f>
        <v>sumitrana</v>
      </c>
      <c r="B1082" t="str">
        <f>IFERROR(__xludf.DUMMYFUNCTION("""COMPUTED_VALUE"""),"Madison")</f>
        <v>Madison</v>
      </c>
      <c r="C1082" t="str">
        <f>IFERROR(__xludf.DUMMYFUNCTION("""COMPUTED_VALUE"""),"WI")</f>
        <v>WI</v>
      </c>
      <c r="D1082" t="str">
        <f>IFERROR(__xludf.DUMMYFUNCTION("""COMPUTED_VALUE"""),"USA")</f>
        <v>USA</v>
      </c>
      <c r="E1082" s="188">
        <f>IFERROR(__xludf.DUMMYFUNCTION("""COMPUTED_VALUE"""),43279.0)</f>
        <v>43279</v>
      </c>
      <c r="H1082">
        <f>IFERROR(__xludf.DUMMYFUNCTION("""COMPUTED_VALUE"""),87855.0)</f>
        <v>87855</v>
      </c>
      <c r="J1082" s="5">
        <f>IFERROR(__xludf.DUMMYFUNCTION("""COMPUTED_VALUE"""),43372.0)</f>
        <v>43372</v>
      </c>
      <c r="M1082">
        <f>IFERROR(__xludf.DUMMYFUNCTION("""COMPUTED_VALUE"""),93.0)</f>
        <v>93</v>
      </c>
      <c r="N1082" t="str">
        <f>IFERROR(__xludf.DUMMYFUNCTION("""COMPUTED_VALUE"""),"Model 3 LR AWD")</f>
        <v>Model 3 LR AWD</v>
      </c>
      <c r="O1082" t="str">
        <f>IFERROR(__xludf.DUMMYFUNCTION("""COMPUTED_VALUE"""),"Red Multi-Coat")</f>
        <v>Red Multi-Coat</v>
      </c>
      <c r="P1082" t="str">
        <f>IFERROR(__xludf.DUMMYFUNCTION("""COMPUTED_VALUE"""),"19 inch Sport")</f>
        <v>19 inch Sport</v>
      </c>
      <c r="Q1082" t="str">
        <f>IFERROR(__xludf.DUMMYFUNCTION("""COMPUTED_VALUE"""),"Black seats")</f>
        <v>Black seats</v>
      </c>
      <c r="R1082" t="str">
        <f>IFERROR(__xludf.DUMMYFUNCTION("""COMPUTED_VALUE"""),"Enhanced Autopilot")</f>
        <v>Enhanced Autopilot</v>
      </c>
      <c r="X1082" t="str">
        <f>IFERROR(__xludf.DUMMYFUNCTION("""COMPUTED_VALUE"""),"Very Good")</f>
        <v>Very Good</v>
      </c>
      <c r="Y1082" t="str">
        <f>IFERROR(__xludf.DUMMYFUNCTION("""COMPUTED_VALUE"""),"Excellent")</f>
        <v>Excellent</v>
      </c>
      <c r="Z1082" t="str">
        <f>IFERROR(__xludf.DUMMYFUNCTION("""COMPUTED_VALUE"""),"Excellent")</f>
        <v>Excellent</v>
      </c>
      <c r="AA1082" t="str">
        <f>IFERROR(__xludf.DUMMYFUNCTION("""COMPUTED_VALUE"""),"Poor")</f>
        <v>Poor</v>
      </c>
      <c r="AB1082" t="str">
        <f>IFERROR(__xludf.DUMMYFUNCTION("""COMPUTED_VALUE"""),"Poor")</f>
        <v>Poor</v>
      </c>
      <c r="AC1082">
        <f>IFERROR(__xludf.DUMMYFUNCTION("""COMPUTED_VALUE"""),0.0)</f>
        <v>0</v>
      </c>
      <c r="AD1082">
        <f>IFERROR(__xludf.DUMMYFUNCTION("""COMPUTED_VALUE"""),0.0)</f>
        <v>0</v>
      </c>
      <c r="AE1082">
        <f>IFERROR(__xludf.DUMMYFUNCTION("""COMPUTED_VALUE"""),0.0)</f>
        <v>0</v>
      </c>
      <c r="AH1082" s="189">
        <f>IFERROR(__xludf.DUMMYFUNCTION("""COMPUTED_VALUE"""),43382.52015189815)</f>
        <v>43382.52015</v>
      </c>
    </row>
    <row r="1083">
      <c r="A1083" t="str">
        <f>IFERROR(__xludf.DUMMYFUNCTION("""COMPUTED_VALUE"""),"dysst2")</f>
        <v>dysst2</v>
      </c>
      <c r="B1083" t="str">
        <f>IFERROR(__xludf.DUMMYFUNCTION("""COMPUTED_VALUE"""),"California")</f>
        <v>California</v>
      </c>
      <c r="C1083" t="str">
        <f>IFERROR(__xludf.DUMMYFUNCTION("""COMPUTED_VALUE"""),"CA")</f>
        <v>CA</v>
      </c>
      <c r="D1083" t="str">
        <f>IFERROR(__xludf.DUMMYFUNCTION("""COMPUTED_VALUE"""),"USA")</f>
        <v>USA</v>
      </c>
      <c r="E1083" s="188">
        <f>IFERROR(__xludf.DUMMYFUNCTION("""COMPUTED_VALUE"""),43279.0)</f>
        <v>43279</v>
      </c>
      <c r="H1083">
        <f>IFERROR(__xludf.DUMMYFUNCTION("""COMPUTED_VALUE"""),89355.0)</f>
        <v>89355</v>
      </c>
      <c r="J1083" s="5">
        <f>IFERROR(__xludf.DUMMYFUNCTION("""COMPUTED_VALUE"""),43363.0)</f>
        <v>43363</v>
      </c>
      <c r="M1083">
        <f>IFERROR(__xludf.DUMMYFUNCTION("""COMPUTED_VALUE"""),84.0)</f>
        <v>84</v>
      </c>
      <c r="N1083" t="str">
        <f>IFERROR(__xludf.DUMMYFUNCTION("""COMPUTED_VALUE"""),"Model 3 LR AWD")</f>
        <v>Model 3 LR AWD</v>
      </c>
      <c r="O1083" t="str">
        <f>IFERROR(__xludf.DUMMYFUNCTION("""COMPUTED_VALUE"""),"Silver Metallic")</f>
        <v>Silver Metallic</v>
      </c>
      <c r="P1083" t="str">
        <f>IFERROR(__xludf.DUMMYFUNCTION("""COMPUTED_VALUE"""),"19 inch Sport")</f>
        <v>19 inch Sport</v>
      </c>
      <c r="Q1083" t="str">
        <f>IFERROR(__xludf.DUMMYFUNCTION("""COMPUTED_VALUE"""),"Black seats")</f>
        <v>Black seats</v>
      </c>
      <c r="R1083" t="str">
        <f>IFERROR(__xludf.DUMMYFUNCTION("""COMPUTED_VALUE"""),"Enhanced Autopilot")</f>
        <v>Enhanced Autopilot</v>
      </c>
      <c r="X1083" t="str">
        <f>IFERROR(__xludf.DUMMYFUNCTION("""COMPUTED_VALUE"""),"Fair")</f>
        <v>Fair</v>
      </c>
      <c r="Y1083" t="str">
        <f>IFERROR(__xludf.DUMMYFUNCTION("""COMPUTED_VALUE"""),"Fair")</f>
        <v>Fair</v>
      </c>
      <c r="Z1083" t="str">
        <f>IFERROR(__xludf.DUMMYFUNCTION("""COMPUTED_VALUE"""),"Fair")</f>
        <v>Fair</v>
      </c>
      <c r="AA1083" t="str">
        <f>IFERROR(__xludf.DUMMYFUNCTION("""COMPUTED_VALUE"""),"Poor")</f>
        <v>Poor</v>
      </c>
      <c r="AB1083" t="str">
        <f>IFERROR(__xludf.DUMMYFUNCTION("""COMPUTED_VALUE"""),"Poor")</f>
        <v>Poor</v>
      </c>
      <c r="AC1083">
        <f>IFERROR(__xludf.DUMMYFUNCTION("""COMPUTED_VALUE"""),5.0)</f>
        <v>5</v>
      </c>
      <c r="AD1083">
        <f>IFERROR(__xludf.DUMMYFUNCTION("""COMPUTED_VALUE"""),1.0)</f>
        <v>1</v>
      </c>
      <c r="AE1083">
        <f>IFERROR(__xludf.DUMMYFUNCTION("""COMPUTED_VALUE"""),7.0)</f>
        <v>7</v>
      </c>
      <c r="AH1083" s="189">
        <f>IFERROR(__xludf.DUMMYFUNCTION("""COMPUTED_VALUE"""),43382.639524791666)</f>
        <v>43382.63952</v>
      </c>
    </row>
    <row r="1084">
      <c r="A1084" t="str">
        <f>IFERROR(__xludf.DUMMYFUNCTION("""COMPUTED_VALUE"""),"bobcio")</f>
        <v>bobcio</v>
      </c>
      <c r="B1084" t="str">
        <f>IFERROR(__xludf.DUMMYFUNCTION("""COMPUTED_VALUE"""),"El Dorado Hills")</f>
        <v>El Dorado Hills</v>
      </c>
      <c r="C1084" t="str">
        <f>IFERROR(__xludf.DUMMYFUNCTION("""COMPUTED_VALUE"""),"CA")</f>
        <v>CA</v>
      </c>
      <c r="D1084" t="str">
        <f>IFERROR(__xludf.DUMMYFUNCTION("""COMPUTED_VALUE"""),"USA")</f>
        <v>USA</v>
      </c>
      <c r="E1084" s="188">
        <f>IFERROR(__xludf.DUMMYFUNCTION("""COMPUTED_VALUE"""),43294.0)</f>
        <v>43294</v>
      </c>
      <c r="F1084" s="188">
        <f>IFERROR(__xludf.DUMMYFUNCTION("""COMPUTED_VALUE"""),43364.0)</f>
        <v>43364</v>
      </c>
      <c r="H1084">
        <f>IFERROR(__xludf.DUMMYFUNCTION("""COMPUTED_VALUE"""),97655.0)</f>
        <v>97655</v>
      </c>
      <c r="I1084" t="str">
        <f>IFERROR(__xludf.DUMMYFUNCTION("""COMPUTED_VALUE"""),"09/18")</f>
        <v>09/18</v>
      </c>
      <c r="J1084" s="5">
        <f>IFERROR(__xludf.DUMMYFUNCTION("""COMPUTED_VALUE"""),43367.0)</f>
        <v>43367</v>
      </c>
      <c r="K1084">
        <f>IFERROR(__xludf.DUMMYFUNCTION("""COMPUTED_VALUE"""),70.0)</f>
        <v>70</v>
      </c>
      <c r="L1084">
        <f>IFERROR(__xludf.DUMMYFUNCTION("""COMPUTED_VALUE"""),3.0)</f>
        <v>3</v>
      </c>
      <c r="M1084">
        <f>IFERROR(__xludf.DUMMYFUNCTION("""COMPUTED_VALUE"""),73.0)</f>
        <v>73</v>
      </c>
      <c r="N1084" t="str">
        <f>IFERROR(__xludf.DUMMYFUNCTION("""COMPUTED_VALUE"""),"Model 3 LR AWD")</f>
        <v>Model 3 LR AWD</v>
      </c>
      <c r="O1084" t="str">
        <f>IFERROR(__xludf.DUMMYFUNCTION("""COMPUTED_VALUE"""),"Red Multi-Coat")</f>
        <v>Red Multi-Coat</v>
      </c>
      <c r="P1084" t="str">
        <f>IFERROR(__xludf.DUMMYFUNCTION("""COMPUTED_VALUE"""),"19 inch Sport")</f>
        <v>19 inch Sport</v>
      </c>
      <c r="Q1084" t="str">
        <f>IFERROR(__xludf.DUMMYFUNCTION("""COMPUTED_VALUE"""),"White seats")</f>
        <v>White seats</v>
      </c>
      <c r="R1084" t="str">
        <f>IFERROR(__xludf.DUMMYFUNCTION("""COMPUTED_VALUE"""),"Enhanced Autopilot")</f>
        <v>Enhanced Autopilot</v>
      </c>
      <c r="X1084" t="str">
        <f>IFERROR(__xludf.DUMMYFUNCTION("""COMPUTED_VALUE"""),"Very Good")</f>
        <v>Very Good</v>
      </c>
      <c r="Y1084" t="str">
        <f>IFERROR(__xludf.DUMMYFUNCTION("""COMPUTED_VALUE"""),"Excellent")</f>
        <v>Excellent</v>
      </c>
      <c r="Z1084" t="str">
        <f>IFERROR(__xludf.DUMMYFUNCTION("""COMPUTED_VALUE"""),"Excellent")</f>
        <v>Excellent</v>
      </c>
      <c r="AA1084" t="str">
        <f>IFERROR(__xludf.DUMMYFUNCTION("""COMPUTED_VALUE"""),"Excellent")</f>
        <v>Excellent</v>
      </c>
      <c r="AB1084" t="str">
        <f>IFERROR(__xludf.DUMMYFUNCTION("""COMPUTED_VALUE"""),"Very Good")</f>
        <v>Very Good</v>
      </c>
      <c r="AC1084">
        <f>IFERROR(__xludf.DUMMYFUNCTION("""COMPUTED_VALUE"""),3.0)</f>
        <v>3</v>
      </c>
      <c r="AH1084" s="189">
        <f>IFERROR(__xludf.DUMMYFUNCTION("""COMPUTED_VALUE"""),43382.88804505787)</f>
        <v>43382.88805</v>
      </c>
    </row>
    <row r="1085">
      <c r="A1085" t="str">
        <f>IFERROR(__xludf.DUMMYFUNCTION("""COMPUTED_VALUE"""),"rascal151")</f>
        <v>rascal151</v>
      </c>
      <c r="C1085" t="str">
        <f>IFERROR(__xludf.DUMMYFUNCTION("""COMPUTED_VALUE"""),"MD")</f>
        <v>MD</v>
      </c>
      <c r="D1085" t="str">
        <f>IFERROR(__xludf.DUMMYFUNCTION("""COMPUTED_VALUE"""),"USA")</f>
        <v>USA</v>
      </c>
      <c r="E1085" s="188">
        <f>IFERROR(__xludf.DUMMYFUNCTION("""COMPUTED_VALUE"""),43280.0)</f>
        <v>43280</v>
      </c>
      <c r="F1085" s="188">
        <f>IFERROR(__xludf.DUMMYFUNCTION("""COMPUTED_VALUE"""),43325.0)</f>
        <v>43325</v>
      </c>
      <c r="H1085">
        <f>IFERROR(__xludf.DUMMYFUNCTION("""COMPUTED_VALUE"""),65985.0)</f>
        <v>65985</v>
      </c>
      <c r="J1085" s="5">
        <f>IFERROR(__xludf.DUMMYFUNCTION("""COMPUTED_VALUE"""),43354.0)</f>
        <v>43354</v>
      </c>
      <c r="K1085">
        <f>IFERROR(__xludf.DUMMYFUNCTION("""COMPUTED_VALUE"""),45.0)</f>
        <v>45</v>
      </c>
      <c r="L1085">
        <f>IFERROR(__xludf.DUMMYFUNCTION("""COMPUTED_VALUE"""),29.0)</f>
        <v>29</v>
      </c>
      <c r="M1085">
        <f>IFERROR(__xludf.DUMMYFUNCTION("""COMPUTED_VALUE"""),74.0)</f>
        <v>74</v>
      </c>
      <c r="N1085" t="str">
        <f>IFERROR(__xludf.DUMMYFUNCTION("""COMPUTED_VALUE"""),"Model 3 LR AWD")</f>
        <v>Model 3 LR AWD</v>
      </c>
      <c r="O1085" t="str">
        <f>IFERROR(__xludf.DUMMYFUNCTION("""COMPUTED_VALUE"""),"Midnight Silver Metallic")</f>
        <v>Midnight Silver Metallic</v>
      </c>
      <c r="P1085" t="str">
        <f>IFERROR(__xludf.DUMMYFUNCTION("""COMPUTED_VALUE"""),"18 inch Aero")</f>
        <v>18 inch Aero</v>
      </c>
      <c r="Q1085" t="str">
        <f>IFERROR(__xludf.DUMMYFUNCTION("""COMPUTED_VALUE"""),"Black seats")</f>
        <v>Black seats</v>
      </c>
      <c r="R1085" t="str">
        <f>IFERROR(__xludf.DUMMYFUNCTION("""COMPUTED_VALUE"""),"Enhanced Autopilot")</f>
        <v>Enhanced Autopilot</v>
      </c>
      <c r="X1085" t="str">
        <f>IFERROR(__xludf.DUMMYFUNCTION("""COMPUTED_VALUE"""),"Excellent")</f>
        <v>Excellent</v>
      </c>
      <c r="Y1085" t="str">
        <f>IFERROR(__xludf.DUMMYFUNCTION("""COMPUTED_VALUE"""),"Excellent")</f>
        <v>Excellent</v>
      </c>
      <c r="Z1085" t="str">
        <f>IFERROR(__xludf.DUMMYFUNCTION("""COMPUTED_VALUE"""),"Excellent")</f>
        <v>Excellent</v>
      </c>
      <c r="AA1085" t="str">
        <f>IFERROR(__xludf.DUMMYFUNCTION("""COMPUTED_VALUE"""),"Fair")</f>
        <v>Fair</v>
      </c>
      <c r="AB1085" t="str">
        <f>IFERROR(__xludf.DUMMYFUNCTION("""COMPUTED_VALUE"""),"Good")</f>
        <v>Good</v>
      </c>
      <c r="AC1085">
        <f>IFERROR(__xludf.DUMMYFUNCTION("""COMPUTED_VALUE"""),0.0)</f>
        <v>0</v>
      </c>
      <c r="AD1085">
        <f>IFERROR(__xludf.DUMMYFUNCTION("""COMPUTED_VALUE"""),0.0)</f>
        <v>0</v>
      </c>
      <c r="AE1085">
        <f>IFERROR(__xludf.DUMMYFUNCTION("""COMPUTED_VALUE"""),0.0)</f>
        <v>0</v>
      </c>
      <c r="AH1085" s="189">
        <f>IFERROR(__xludf.DUMMYFUNCTION("""COMPUTED_VALUE"""),43383.42443246528)</f>
        <v>43383.42443</v>
      </c>
    </row>
    <row r="1086">
      <c r="A1086" t="str">
        <f>IFERROR(__xludf.DUMMYFUNCTION("""COMPUTED_VALUE"""),"rtsui11")</f>
        <v>rtsui11</v>
      </c>
      <c r="B1086" t="str">
        <f>IFERROR(__xludf.DUMMYFUNCTION("""COMPUTED_VALUE"""),"Westminster")</f>
        <v>Westminster</v>
      </c>
      <c r="C1086" t="str">
        <f>IFERROR(__xludf.DUMMYFUNCTION("""COMPUTED_VALUE"""),"CO")</f>
        <v>CO</v>
      </c>
      <c r="D1086" t="str">
        <f>IFERROR(__xludf.DUMMYFUNCTION("""COMPUTED_VALUE"""),"USA")</f>
        <v>USA</v>
      </c>
      <c r="E1086" s="188">
        <f>IFERROR(__xludf.DUMMYFUNCTION("""COMPUTED_VALUE"""),43281.0)</f>
        <v>43281</v>
      </c>
      <c r="J1086" s="5">
        <f>IFERROR(__xludf.DUMMYFUNCTION("""COMPUTED_VALUE"""),2666959.0)</f>
        <v>2666959</v>
      </c>
      <c r="N1086" t="str">
        <f>IFERROR(__xludf.DUMMYFUNCTION("""COMPUTED_VALUE"""),"Model 3 LR AWD")</f>
        <v>Model 3 LR AWD</v>
      </c>
      <c r="O1086" t="str">
        <f>IFERROR(__xludf.DUMMYFUNCTION("""COMPUTED_VALUE"""),"Silver Metallic")</f>
        <v>Silver Metallic</v>
      </c>
      <c r="P1086" t="str">
        <f>IFERROR(__xludf.DUMMYFUNCTION("""COMPUTED_VALUE"""),"18 inch Aero")</f>
        <v>18 inch Aero</v>
      </c>
      <c r="Q1086" t="str">
        <f>IFERROR(__xludf.DUMMYFUNCTION("""COMPUTED_VALUE"""),"Black seats")</f>
        <v>Black seats</v>
      </c>
      <c r="R1086" t="str">
        <f>IFERROR(__xludf.DUMMYFUNCTION("""COMPUTED_VALUE"""),"None")</f>
        <v>None</v>
      </c>
      <c r="AH1086" s="189">
        <f>IFERROR(__xludf.DUMMYFUNCTION("""COMPUTED_VALUE"""),43383.496528668984)</f>
        <v>43383.49653</v>
      </c>
    </row>
    <row r="1087">
      <c r="A1087" t="str">
        <f>IFERROR(__xludf.DUMMYFUNCTION("""COMPUTED_VALUE"""),"thegdgteer")</f>
        <v>thegdgteer</v>
      </c>
      <c r="B1087" t="str">
        <f>IFERROR(__xludf.DUMMYFUNCTION("""COMPUTED_VALUE"""),"Fort Collins, CO")</f>
        <v>Fort Collins, CO</v>
      </c>
      <c r="C1087" t="str">
        <f>IFERROR(__xludf.DUMMYFUNCTION("""COMPUTED_VALUE"""),"CO")</f>
        <v>CO</v>
      </c>
      <c r="D1087" t="str">
        <f>IFERROR(__xludf.DUMMYFUNCTION("""COMPUTED_VALUE"""),"USA")</f>
        <v>USA</v>
      </c>
      <c r="E1087" s="188">
        <f>IFERROR(__xludf.DUMMYFUNCTION("""COMPUTED_VALUE"""),43331.0)</f>
        <v>43331</v>
      </c>
      <c r="F1087" s="188">
        <f>IFERROR(__xludf.DUMMYFUNCTION("""COMPUTED_VALUE"""),43367.0)</f>
        <v>43367</v>
      </c>
      <c r="H1087">
        <f>IFERROR(__xludf.DUMMYFUNCTION("""COMPUTED_VALUE"""),103055.0)</f>
        <v>103055</v>
      </c>
      <c r="J1087" s="5">
        <f>IFERROR(__xludf.DUMMYFUNCTION("""COMPUTED_VALUE"""),43372.0)</f>
        <v>43372</v>
      </c>
      <c r="K1087">
        <f>IFERROR(__xludf.DUMMYFUNCTION("""COMPUTED_VALUE"""),36.0)</f>
        <v>36</v>
      </c>
      <c r="L1087">
        <f>IFERROR(__xludf.DUMMYFUNCTION("""COMPUTED_VALUE"""),5.0)</f>
        <v>5</v>
      </c>
      <c r="M1087">
        <f>IFERROR(__xludf.DUMMYFUNCTION("""COMPUTED_VALUE"""),41.0)</f>
        <v>41</v>
      </c>
      <c r="N1087" t="str">
        <f>IFERROR(__xludf.DUMMYFUNCTION("""COMPUTED_VALUE"""),"Model 3 LR AWD")</f>
        <v>Model 3 LR AWD</v>
      </c>
      <c r="O1087" t="str">
        <f>IFERROR(__xludf.DUMMYFUNCTION("""COMPUTED_VALUE"""),"Solid Black")</f>
        <v>Solid Black</v>
      </c>
      <c r="P1087" t="str">
        <f>IFERROR(__xludf.DUMMYFUNCTION("""COMPUTED_VALUE"""),"18 inch Aero")</f>
        <v>18 inch Aero</v>
      </c>
      <c r="Q1087" t="str">
        <f>IFERROR(__xludf.DUMMYFUNCTION("""COMPUTED_VALUE"""),"Black seats")</f>
        <v>Black seats</v>
      </c>
      <c r="R1087" t="str">
        <f>IFERROR(__xludf.DUMMYFUNCTION("""COMPUTED_VALUE"""),"Full Self-Driving")</f>
        <v>Full Self-Driving</v>
      </c>
      <c r="X1087" t="str">
        <f>IFERROR(__xludf.DUMMYFUNCTION("""COMPUTED_VALUE"""),"Excellent")</f>
        <v>Excellent</v>
      </c>
      <c r="Y1087" t="str">
        <f>IFERROR(__xludf.DUMMYFUNCTION("""COMPUTED_VALUE"""),"Excellent")</f>
        <v>Excellent</v>
      </c>
      <c r="Z1087" t="str">
        <f>IFERROR(__xludf.DUMMYFUNCTION("""COMPUTED_VALUE"""),"Very Good")</f>
        <v>Very Good</v>
      </c>
      <c r="AA1087" t="str">
        <f>IFERROR(__xludf.DUMMYFUNCTION("""COMPUTED_VALUE"""),"Fair")</f>
        <v>Fair</v>
      </c>
      <c r="AB1087" t="str">
        <f>IFERROR(__xludf.DUMMYFUNCTION("""COMPUTED_VALUE"""),"Fair")</f>
        <v>Fair</v>
      </c>
      <c r="AH1087" s="189">
        <f>IFERROR(__xludf.DUMMYFUNCTION("""COMPUTED_VALUE"""),43383.76400252315)</f>
        <v>43383.764</v>
      </c>
    </row>
    <row r="1088">
      <c r="A1088" t="str">
        <f>IFERROR(__xludf.DUMMYFUNCTION("""COMPUTED_VALUE"""),"oceanwhite")</f>
        <v>oceanwhite</v>
      </c>
      <c r="B1088" t="str">
        <f>IFERROR(__xludf.DUMMYFUNCTION("""COMPUTED_VALUE"""),"Bay Area")</f>
        <v>Bay Area</v>
      </c>
      <c r="C1088" t="str">
        <f>IFERROR(__xludf.DUMMYFUNCTION("""COMPUTED_VALUE"""),"CA")</f>
        <v>CA</v>
      </c>
      <c r="D1088" t="str">
        <f>IFERROR(__xludf.DUMMYFUNCTION("""COMPUTED_VALUE"""),"USA")</f>
        <v>USA</v>
      </c>
      <c r="E1088" s="188">
        <f>IFERROR(__xludf.DUMMYFUNCTION("""COMPUTED_VALUE"""),43339.0)</f>
        <v>43339</v>
      </c>
      <c r="F1088" s="188">
        <f>IFERROR(__xludf.DUMMYFUNCTION("""COMPUTED_VALUE"""),43345.0)</f>
        <v>43345</v>
      </c>
      <c r="H1088">
        <f>IFERROR(__xludf.DUMMYFUNCTION("""COMPUTED_VALUE"""),47455.0)</f>
        <v>47455</v>
      </c>
      <c r="I1088" t="str">
        <f>IFERROR(__xludf.DUMMYFUNCTION("""COMPUTED_VALUE"""),"07/18")</f>
        <v>07/18</v>
      </c>
      <c r="J1088" s="5">
        <f>IFERROR(__xludf.DUMMYFUNCTION("""COMPUTED_VALUE"""),43348.0)</f>
        <v>43348</v>
      </c>
      <c r="K1088">
        <f>IFERROR(__xludf.DUMMYFUNCTION("""COMPUTED_VALUE"""),6.0)</f>
        <v>6</v>
      </c>
      <c r="L1088">
        <f>IFERROR(__xludf.DUMMYFUNCTION("""COMPUTED_VALUE"""),3.0)</f>
        <v>3</v>
      </c>
      <c r="M1088">
        <f>IFERROR(__xludf.DUMMYFUNCTION("""COMPUTED_VALUE"""),9.0)</f>
        <v>9</v>
      </c>
      <c r="N1088" t="str">
        <f>IFERROR(__xludf.DUMMYFUNCTION("""COMPUTED_VALUE"""),"Model 3 LR")</f>
        <v>Model 3 LR</v>
      </c>
      <c r="O1088" t="str">
        <f>IFERROR(__xludf.DUMMYFUNCTION("""COMPUTED_VALUE"""),"Pearl White Multi-Coat")</f>
        <v>Pearl White Multi-Coat</v>
      </c>
      <c r="P1088" t="str">
        <f>IFERROR(__xludf.DUMMYFUNCTION("""COMPUTED_VALUE"""),"18 inch Aero")</f>
        <v>18 inch Aero</v>
      </c>
      <c r="Q1088" t="str">
        <f>IFERROR(__xludf.DUMMYFUNCTION("""COMPUTED_VALUE"""),"Black seats")</f>
        <v>Black seats</v>
      </c>
      <c r="R1088" t="str">
        <f>IFERROR(__xludf.DUMMYFUNCTION("""COMPUTED_VALUE"""),"Enhanced Autopilot")</f>
        <v>Enhanced Autopilot</v>
      </c>
      <c r="X1088" t="str">
        <f>IFERROR(__xludf.DUMMYFUNCTION("""COMPUTED_VALUE"""),"Very Good")</f>
        <v>Very Good</v>
      </c>
      <c r="Y1088" t="str">
        <f>IFERROR(__xludf.DUMMYFUNCTION("""COMPUTED_VALUE"""),"Good")</f>
        <v>Good</v>
      </c>
      <c r="Z1088" t="str">
        <f>IFERROR(__xludf.DUMMYFUNCTION("""COMPUTED_VALUE"""),"Very Good")</f>
        <v>Very Good</v>
      </c>
      <c r="AA1088" t="str">
        <f>IFERROR(__xludf.DUMMYFUNCTION("""COMPUTED_VALUE"""),"Excellent")</f>
        <v>Excellent</v>
      </c>
      <c r="AB1088" t="str">
        <f>IFERROR(__xludf.DUMMYFUNCTION("""COMPUTED_VALUE"""),"Excellent")</f>
        <v>Excellent</v>
      </c>
      <c r="AC1088">
        <f>IFERROR(__xludf.DUMMYFUNCTION("""COMPUTED_VALUE"""),0.0)</f>
        <v>0</v>
      </c>
      <c r="AD1088">
        <f>IFERROR(__xludf.DUMMYFUNCTION("""COMPUTED_VALUE"""),0.0)</f>
        <v>0</v>
      </c>
      <c r="AE1088">
        <f>IFERROR(__xludf.DUMMYFUNCTION("""COMPUTED_VALUE"""),0.0)</f>
        <v>0</v>
      </c>
      <c r="AH1088" s="189">
        <f>IFERROR(__xludf.DUMMYFUNCTION("""COMPUTED_VALUE"""),43383.94821081018)</f>
        <v>43383.94821</v>
      </c>
    </row>
    <row r="1089">
      <c r="A1089" t="str">
        <f>IFERROR(__xludf.DUMMYFUNCTION("""COMPUTED_VALUE"""),"TerranOwens")</f>
        <v>TerranOwens</v>
      </c>
      <c r="B1089" t="str">
        <f>IFERROR(__xludf.DUMMYFUNCTION("""COMPUTED_VALUE"""),"Bellevue")</f>
        <v>Bellevue</v>
      </c>
      <c r="C1089" t="str">
        <f>IFERROR(__xludf.DUMMYFUNCTION("""COMPUTED_VALUE"""),"WA")</f>
        <v>WA</v>
      </c>
      <c r="D1089" t="str">
        <f>IFERROR(__xludf.DUMMYFUNCTION("""COMPUTED_VALUE"""),"USA")</f>
        <v>USA</v>
      </c>
      <c r="E1089" s="188">
        <f>IFERROR(__xludf.DUMMYFUNCTION("""COMPUTED_VALUE"""),43278.0)</f>
        <v>43278</v>
      </c>
      <c r="H1089">
        <f>IFERROR(__xludf.DUMMYFUNCTION("""COMPUTED_VALUE"""),104455.0)</f>
        <v>104455</v>
      </c>
      <c r="J1089" s="5">
        <f>IFERROR(__xludf.DUMMYFUNCTION("""COMPUTED_VALUE"""),43383.0)</f>
        <v>43383</v>
      </c>
      <c r="M1089">
        <f>IFERROR(__xludf.DUMMYFUNCTION("""COMPUTED_VALUE"""),105.0)</f>
        <v>105</v>
      </c>
      <c r="N1089" t="str">
        <f>IFERROR(__xludf.DUMMYFUNCTION("""COMPUTED_VALUE"""),"Model 3 LR AWD")</f>
        <v>Model 3 LR AWD</v>
      </c>
      <c r="O1089" t="str">
        <f>IFERROR(__xludf.DUMMYFUNCTION("""COMPUTED_VALUE"""),"Silver Metallic")</f>
        <v>Silver Metallic</v>
      </c>
      <c r="P1089" t="str">
        <f>IFERROR(__xludf.DUMMYFUNCTION("""COMPUTED_VALUE"""),"18 inch Aero")</f>
        <v>18 inch Aero</v>
      </c>
      <c r="Q1089" t="str">
        <f>IFERROR(__xludf.DUMMYFUNCTION("""COMPUTED_VALUE"""),"Black seats")</f>
        <v>Black seats</v>
      </c>
      <c r="R1089" t="str">
        <f>IFERROR(__xludf.DUMMYFUNCTION("""COMPUTED_VALUE"""),"None")</f>
        <v>None</v>
      </c>
      <c r="X1089" t="str">
        <f>IFERROR(__xludf.DUMMYFUNCTION("""COMPUTED_VALUE"""),"Excellent")</f>
        <v>Excellent</v>
      </c>
      <c r="Y1089" t="str">
        <f>IFERROR(__xludf.DUMMYFUNCTION("""COMPUTED_VALUE"""),"Excellent")</f>
        <v>Excellent</v>
      </c>
      <c r="Z1089" t="str">
        <f>IFERROR(__xludf.DUMMYFUNCTION("""COMPUTED_VALUE"""),"Excellent")</f>
        <v>Excellent</v>
      </c>
      <c r="AA1089" t="str">
        <f>IFERROR(__xludf.DUMMYFUNCTION("""COMPUTED_VALUE"""),"Poor")</f>
        <v>Poor</v>
      </c>
      <c r="AB1089" t="str">
        <f>IFERROR(__xludf.DUMMYFUNCTION("""COMPUTED_VALUE"""),"Very Good")</f>
        <v>Very Good</v>
      </c>
      <c r="AC1089">
        <f>IFERROR(__xludf.DUMMYFUNCTION("""COMPUTED_VALUE"""),0.0)</f>
        <v>0</v>
      </c>
      <c r="AH1089" s="189">
        <f>IFERROR(__xludf.DUMMYFUNCTION("""COMPUTED_VALUE"""),43383.98498663194)</f>
        <v>43383.98499</v>
      </c>
    </row>
    <row r="1090">
      <c r="A1090" t="str">
        <f>IFERROR(__xludf.DUMMYFUNCTION("""COMPUTED_VALUE"""),"bsrober3")</f>
        <v>bsrober3</v>
      </c>
      <c r="B1090" t="str">
        <f>IFERROR(__xludf.DUMMYFUNCTION("""COMPUTED_VALUE"""),"Raleigh")</f>
        <v>Raleigh</v>
      </c>
      <c r="C1090" t="str">
        <f>IFERROR(__xludf.DUMMYFUNCTION("""COMPUTED_VALUE"""),"NC")</f>
        <v>NC</v>
      </c>
      <c r="D1090" t="str">
        <f>IFERROR(__xludf.DUMMYFUNCTION("""COMPUTED_VALUE"""),"USA")</f>
        <v>USA</v>
      </c>
      <c r="E1090" s="188">
        <f>IFERROR(__xludf.DUMMYFUNCTION("""COMPUTED_VALUE"""),43285.0)</f>
        <v>43285</v>
      </c>
      <c r="F1090" s="188">
        <f>IFERROR(__xludf.DUMMYFUNCTION("""COMPUTED_VALUE"""),43307.0)</f>
        <v>43307</v>
      </c>
      <c r="H1090">
        <f>IFERROR(__xludf.DUMMYFUNCTION("""COMPUTED_VALUE"""),40455.0)</f>
        <v>40455</v>
      </c>
      <c r="J1090" s="5">
        <f>IFERROR(__xludf.DUMMYFUNCTION("""COMPUTED_VALUE"""),43320.0)</f>
        <v>43320</v>
      </c>
      <c r="K1090">
        <f>IFERROR(__xludf.DUMMYFUNCTION("""COMPUTED_VALUE"""),22.0)</f>
        <v>22</v>
      </c>
      <c r="L1090">
        <f>IFERROR(__xludf.DUMMYFUNCTION("""COMPUTED_VALUE"""),13.0)</f>
        <v>13</v>
      </c>
      <c r="M1090">
        <f>IFERROR(__xludf.DUMMYFUNCTION("""COMPUTED_VALUE"""),35.0)</f>
        <v>35</v>
      </c>
      <c r="N1090" t="str">
        <f>IFERROR(__xludf.DUMMYFUNCTION("""COMPUTED_VALUE"""),"Model 3 LR")</f>
        <v>Model 3 LR</v>
      </c>
      <c r="O1090" t="str">
        <f>IFERROR(__xludf.DUMMYFUNCTION("""COMPUTED_VALUE"""),"Pearl White Multi-Coat")</f>
        <v>Pearl White Multi-Coat</v>
      </c>
      <c r="P1090" t="str">
        <f>IFERROR(__xludf.DUMMYFUNCTION("""COMPUTED_VALUE"""),"18 inch Aero")</f>
        <v>18 inch Aero</v>
      </c>
      <c r="Q1090" t="str">
        <f>IFERROR(__xludf.DUMMYFUNCTION("""COMPUTED_VALUE"""),"Black seats")</f>
        <v>Black seats</v>
      </c>
      <c r="R1090" t="str">
        <f>IFERROR(__xludf.DUMMYFUNCTION("""COMPUTED_VALUE"""),"None")</f>
        <v>None</v>
      </c>
      <c r="X1090" t="str">
        <f>IFERROR(__xludf.DUMMYFUNCTION("""COMPUTED_VALUE"""),"Excellent")</f>
        <v>Excellent</v>
      </c>
      <c r="Y1090" t="str">
        <f>IFERROR(__xludf.DUMMYFUNCTION("""COMPUTED_VALUE"""),"Very Good")</f>
        <v>Very Good</v>
      </c>
      <c r="Z1090" t="str">
        <f>IFERROR(__xludf.DUMMYFUNCTION("""COMPUTED_VALUE"""),"Very Good")</f>
        <v>Very Good</v>
      </c>
      <c r="AA1090" t="str">
        <f>IFERROR(__xludf.DUMMYFUNCTION("""COMPUTED_VALUE"""),"Excellent")</f>
        <v>Excellent</v>
      </c>
      <c r="AB1090" t="str">
        <f>IFERROR(__xludf.DUMMYFUNCTION("""COMPUTED_VALUE"""),"Excellent")</f>
        <v>Excellent</v>
      </c>
      <c r="AC1090">
        <f>IFERROR(__xludf.DUMMYFUNCTION("""COMPUTED_VALUE"""),2.0)</f>
        <v>2</v>
      </c>
      <c r="AD1090">
        <f>IFERROR(__xludf.DUMMYFUNCTION("""COMPUTED_VALUE"""),1.0)</f>
        <v>1</v>
      </c>
      <c r="AE1090">
        <f>IFERROR(__xludf.DUMMYFUNCTION("""COMPUTED_VALUE"""),3.0)</f>
        <v>3</v>
      </c>
      <c r="AH1090" s="189">
        <f>IFERROR(__xludf.DUMMYFUNCTION("""COMPUTED_VALUE"""),43384.344740925924)</f>
        <v>43384.34474</v>
      </c>
    </row>
    <row r="1091">
      <c r="A1091" t="str">
        <f>IFERROR(__xludf.DUMMYFUNCTION("""COMPUTED_VALUE"""),"mac41099")</f>
        <v>mac41099</v>
      </c>
      <c r="B1091" t="str">
        <f>IFERROR(__xludf.DUMMYFUNCTION("""COMPUTED_VALUE"""),"Pittsburgh")</f>
        <v>Pittsburgh</v>
      </c>
      <c r="C1091" t="str">
        <f>IFERROR(__xludf.DUMMYFUNCTION("""COMPUTED_VALUE"""),"PA")</f>
        <v>PA</v>
      </c>
      <c r="D1091" t="str">
        <f>IFERROR(__xludf.DUMMYFUNCTION("""COMPUTED_VALUE"""),"USA")</f>
        <v>USA</v>
      </c>
      <c r="E1091" s="188">
        <f>IFERROR(__xludf.DUMMYFUNCTION("""COMPUTED_VALUE"""),43285.0)</f>
        <v>43285</v>
      </c>
      <c r="F1091" s="188">
        <f>IFERROR(__xludf.DUMMYFUNCTION("""COMPUTED_VALUE"""),43344.0)</f>
        <v>43344</v>
      </c>
      <c r="H1091">
        <f>IFERROR(__xludf.DUMMYFUNCTION("""COMPUTED_VALUE"""),103755.0)</f>
        <v>103755</v>
      </c>
      <c r="J1091" s="5">
        <f>IFERROR(__xludf.DUMMYFUNCTION("""COMPUTED_VALUE"""),43381.0)</f>
        <v>43381</v>
      </c>
      <c r="K1091">
        <f>IFERROR(__xludf.DUMMYFUNCTION("""COMPUTED_VALUE"""),59.0)</f>
        <v>59</v>
      </c>
      <c r="L1091">
        <f>IFERROR(__xludf.DUMMYFUNCTION("""COMPUTED_VALUE"""),37.0)</f>
        <v>37</v>
      </c>
      <c r="M1091">
        <f>IFERROR(__xludf.DUMMYFUNCTION("""COMPUTED_VALUE"""),96.0)</f>
        <v>96</v>
      </c>
      <c r="N1091" t="str">
        <f>IFERROR(__xludf.DUMMYFUNCTION("""COMPUTED_VALUE"""),"Model 3 LR AWD")</f>
        <v>Model 3 LR AWD</v>
      </c>
      <c r="O1091" t="str">
        <f>IFERROR(__xludf.DUMMYFUNCTION("""COMPUTED_VALUE"""),"Midnight Silver Metallic")</f>
        <v>Midnight Silver Metallic</v>
      </c>
      <c r="P1091" t="str">
        <f>IFERROR(__xludf.DUMMYFUNCTION("""COMPUTED_VALUE"""),"18 inch Aero")</f>
        <v>18 inch Aero</v>
      </c>
      <c r="Q1091" t="str">
        <f>IFERROR(__xludf.DUMMYFUNCTION("""COMPUTED_VALUE"""),"Black seats")</f>
        <v>Black seats</v>
      </c>
      <c r="R1091" t="str">
        <f>IFERROR(__xludf.DUMMYFUNCTION("""COMPUTED_VALUE"""),"Enhanced Autopilot")</f>
        <v>Enhanced Autopilot</v>
      </c>
      <c r="X1091" t="str">
        <f>IFERROR(__xludf.DUMMYFUNCTION("""COMPUTED_VALUE"""),"Very Good")</f>
        <v>Very Good</v>
      </c>
      <c r="Y1091" t="str">
        <f>IFERROR(__xludf.DUMMYFUNCTION("""COMPUTED_VALUE"""),"Very Good")</f>
        <v>Very Good</v>
      </c>
      <c r="Z1091" t="str">
        <f>IFERROR(__xludf.DUMMYFUNCTION("""COMPUTED_VALUE"""),"Excellent")</f>
        <v>Excellent</v>
      </c>
      <c r="AA1091" t="str">
        <f>IFERROR(__xludf.DUMMYFUNCTION("""COMPUTED_VALUE"""),"Fair")</f>
        <v>Fair</v>
      </c>
      <c r="AB1091" t="str">
        <f>IFERROR(__xludf.DUMMYFUNCTION("""COMPUTED_VALUE"""),"Fair")</f>
        <v>Fair</v>
      </c>
      <c r="AH1091" s="189">
        <f>IFERROR(__xludf.DUMMYFUNCTION("""COMPUTED_VALUE"""),43384.47104094907)</f>
        <v>43384.47104</v>
      </c>
    </row>
    <row r="1092">
      <c r="A1092" t="str">
        <f>IFERROR(__xludf.DUMMYFUNCTION("""COMPUTED_VALUE"""),"MizzouTesla")</f>
        <v>MizzouTesla</v>
      </c>
      <c r="B1092" t="str">
        <f>IFERROR(__xludf.DUMMYFUNCTION("""COMPUTED_VALUE"""),"Springfield")</f>
        <v>Springfield</v>
      </c>
      <c r="C1092" t="str">
        <f>IFERROR(__xludf.DUMMYFUNCTION("""COMPUTED_VALUE"""),"MO")</f>
        <v>MO</v>
      </c>
      <c r="D1092" t="str">
        <f>IFERROR(__xludf.DUMMYFUNCTION("""COMPUTED_VALUE"""),"USA")</f>
        <v>USA</v>
      </c>
      <c r="E1092" s="188">
        <f>IFERROR(__xludf.DUMMYFUNCTION("""COMPUTED_VALUE"""),43304.0)</f>
        <v>43304</v>
      </c>
      <c r="H1092">
        <f>IFERROR(__xludf.DUMMYFUNCTION("""COMPUTED_VALUE"""),87655.0)</f>
        <v>87655</v>
      </c>
      <c r="I1092" t="str">
        <f>IFERROR(__xludf.DUMMYFUNCTION("""COMPUTED_VALUE"""),"09/18")</f>
        <v>09/18</v>
      </c>
      <c r="J1092" s="5">
        <f>IFERROR(__xludf.DUMMYFUNCTION("""COMPUTED_VALUE"""),43381.0)</f>
        <v>43381</v>
      </c>
      <c r="M1092">
        <f>IFERROR(__xludf.DUMMYFUNCTION("""COMPUTED_VALUE"""),77.0)</f>
        <v>77</v>
      </c>
      <c r="N1092" t="str">
        <f>IFERROR(__xludf.DUMMYFUNCTION("""COMPUTED_VALUE"""),"Model 3 LR AWD")</f>
        <v>Model 3 LR AWD</v>
      </c>
      <c r="O1092" t="str">
        <f>IFERROR(__xludf.DUMMYFUNCTION("""COMPUTED_VALUE"""),"Silver Metallic")</f>
        <v>Silver Metallic</v>
      </c>
      <c r="P1092" t="str">
        <f>IFERROR(__xludf.DUMMYFUNCTION("""COMPUTED_VALUE"""),"19 inch Sport")</f>
        <v>19 inch Sport</v>
      </c>
      <c r="Q1092" t="str">
        <f>IFERROR(__xludf.DUMMYFUNCTION("""COMPUTED_VALUE"""),"Black seats")</f>
        <v>Black seats</v>
      </c>
      <c r="R1092" t="str">
        <f>IFERROR(__xludf.DUMMYFUNCTION("""COMPUTED_VALUE"""),"Enhanced Autopilot")</f>
        <v>Enhanced Autopilot</v>
      </c>
      <c r="X1092" t="str">
        <f>IFERROR(__xludf.DUMMYFUNCTION("""COMPUTED_VALUE"""),"Excellent")</f>
        <v>Excellent</v>
      </c>
      <c r="Y1092" t="str">
        <f>IFERROR(__xludf.DUMMYFUNCTION("""COMPUTED_VALUE"""),"Excellent")</f>
        <v>Excellent</v>
      </c>
      <c r="Z1092" t="str">
        <f>IFERROR(__xludf.DUMMYFUNCTION("""COMPUTED_VALUE"""),"Excellent")</f>
        <v>Excellent</v>
      </c>
      <c r="AA1092" t="str">
        <f>IFERROR(__xludf.DUMMYFUNCTION("""COMPUTED_VALUE"""),"Fair")</f>
        <v>Fair</v>
      </c>
      <c r="AB1092" t="str">
        <f>IFERROR(__xludf.DUMMYFUNCTION("""COMPUTED_VALUE"""),"Excellent")</f>
        <v>Excellent</v>
      </c>
      <c r="AG1092" t="str">
        <f>IFERROR(__xludf.DUMMYFUNCTION("""COMPUTED_VALUE"""),"Delivery was delayed for 10 days because car didn't show up in time for original September 28 Delivery")</f>
        <v>Delivery was delayed for 10 days because car didn't show up in time for original September 28 Delivery</v>
      </c>
      <c r="AH1092" s="189">
        <f>IFERROR(__xludf.DUMMYFUNCTION("""COMPUTED_VALUE"""),43384.51458574074)</f>
        <v>43384.51459</v>
      </c>
    </row>
    <row r="1093">
      <c r="A1093" t="str">
        <f>IFERROR(__xludf.DUMMYFUNCTION("""COMPUTED_VALUE"""),"an.kof")</f>
        <v>an.kof</v>
      </c>
      <c r="B1093" t="str">
        <f>IFERROR(__xludf.DUMMYFUNCTION("""COMPUTED_VALUE"""),"Seattle")</f>
        <v>Seattle</v>
      </c>
      <c r="C1093" t="str">
        <f>IFERROR(__xludf.DUMMYFUNCTION("""COMPUTED_VALUE"""),"WA")</f>
        <v>WA</v>
      </c>
      <c r="D1093" t="str">
        <f>IFERROR(__xludf.DUMMYFUNCTION("""COMPUTED_VALUE"""),"USA")</f>
        <v>USA</v>
      </c>
      <c r="E1093" s="188">
        <f>IFERROR(__xludf.DUMMYFUNCTION("""COMPUTED_VALUE"""),43278.0)</f>
        <v>43278</v>
      </c>
      <c r="F1093" s="188">
        <f>IFERROR(__xludf.DUMMYFUNCTION("""COMPUTED_VALUE"""),43369.0)</f>
        <v>43369</v>
      </c>
      <c r="H1093">
        <f>IFERROR(__xludf.DUMMYFUNCTION("""COMPUTED_VALUE"""),93655.0)</f>
        <v>93655</v>
      </c>
      <c r="J1093" s="5">
        <f>IFERROR(__xludf.DUMMYFUNCTION("""COMPUTED_VALUE"""),43376.0)</f>
        <v>43376</v>
      </c>
      <c r="K1093">
        <f>IFERROR(__xludf.DUMMYFUNCTION("""COMPUTED_VALUE"""),91.0)</f>
        <v>91</v>
      </c>
      <c r="L1093">
        <f>IFERROR(__xludf.DUMMYFUNCTION("""COMPUTED_VALUE"""),7.0)</f>
        <v>7</v>
      </c>
      <c r="M1093">
        <f>IFERROR(__xludf.DUMMYFUNCTION("""COMPUTED_VALUE"""),98.0)</f>
        <v>98</v>
      </c>
      <c r="N1093" t="str">
        <f>IFERROR(__xludf.DUMMYFUNCTION("""COMPUTED_VALUE"""),"Model 3 LR AWD")</f>
        <v>Model 3 LR AWD</v>
      </c>
      <c r="O1093" t="str">
        <f>IFERROR(__xludf.DUMMYFUNCTION("""COMPUTED_VALUE"""),"Deep Blue Metallic")</f>
        <v>Deep Blue Metallic</v>
      </c>
      <c r="P1093" t="str">
        <f>IFERROR(__xludf.DUMMYFUNCTION("""COMPUTED_VALUE"""),"18 inch Aero")</f>
        <v>18 inch Aero</v>
      </c>
      <c r="Q1093" t="str">
        <f>IFERROR(__xludf.DUMMYFUNCTION("""COMPUTED_VALUE"""),"Black seats")</f>
        <v>Black seats</v>
      </c>
      <c r="R1093" t="str">
        <f>IFERROR(__xludf.DUMMYFUNCTION("""COMPUTED_VALUE"""),"Enhanced Autopilot")</f>
        <v>Enhanced Autopilot</v>
      </c>
      <c r="X1093" t="str">
        <f>IFERROR(__xludf.DUMMYFUNCTION("""COMPUTED_VALUE"""),"Excellent")</f>
        <v>Excellent</v>
      </c>
      <c r="Y1093" t="str">
        <f>IFERROR(__xludf.DUMMYFUNCTION("""COMPUTED_VALUE"""),"Very Good")</f>
        <v>Very Good</v>
      </c>
      <c r="Z1093" t="str">
        <f>IFERROR(__xludf.DUMMYFUNCTION("""COMPUTED_VALUE"""),"Excellent")</f>
        <v>Excellent</v>
      </c>
      <c r="AA1093" t="str">
        <f>IFERROR(__xludf.DUMMYFUNCTION("""COMPUTED_VALUE"""),"Very Good")</f>
        <v>Very Good</v>
      </c>
      <c r="AB1093" t="str">
        <f>IFERROR(__xludf.DUMMYFUNCTION("""COMPUTED_VALUE"""),"Excellent")</f>
        <v>Excellent</v>
      </c>
      <c r="AC1093">
        <f>IFERROR(__xludf.DUMMYFUNCTION("""COMPUTED_VALUE"""),0.0)</f>
        <v>0</v>
      </c>
      <c r="AD1093">
        <f>IFERROR(__xludf.DUMMYFUNCTION("""COMPUTED_VALUE"""),0.0)</f>
        <v>0</v>
      </c>
      <c r="AE1093">
        <f>IFERROR(__xludf.DUMMYFUNCTION("""COMPUTED_VALUE"""),0.0)</f>
        <v>0</v>
      </c>
      <c r="AH1093" s="189">
        <f>IFERROR(__xludf.DUMMYFUNCTION("""COMPUTED_VALUE"""),43384.53897207176)</f>
        <v>43384.53897</v>
      </c>
    </row>
    <row r="1094">
      <c r="A1094" t="str">
        <f>IFERROR(__xludf.DUMMYFUNCTION("""COMPUTED_VALUE"""),"kennycsk")</f>
        <v>kennycsk</v>
      </c>
      <c r="C1094" t="str">
        <f>IFERROR(__xludf.DUMMYFUNCTION("""COMPUTED_VALUE"""),"ON")</f>
        <v>ON</v>
      </c>
      <c r="D1094" t="str">
        <f>IFERROR(__xludf.DUMMYFUNCTION("""COMPUTED_VALUE"""),"Canada")</f>
        <v>Canada</v>
      </c>
      <c r="E1094" s="188">
        <f>IFERROR(__xludf.DUMMYFUNCTION("""COMPUTED_VALUE"""),43198.0)</f>
        <v>43198</v>
      </c>
      <c r="F1094" s="188">
        <f>IFERROR(__xludf.DUMMYFUNCTION("""COMPUTED_VALUE"""),43224.0)</f>
        <v>43224</v>
      </c>
      <c r="H1094">
        <f>IFERROR(__xludf.DUMMYFUNCTION("""COMPUTED_VALUE"""),28455.0)</f>
        <v>28455</v>
      </c>
      <c r="J1094" s="5">
        <f>IFERROR(__xludf.DUMMYFUNCTION("""COMPUTED_VALUE"""),43252.0)</f>
        <v>43252</v>
      </c>
      <c r="K1094">
        <f>IFERROR(__xludf.DUMMYFUNCTION("""COMPUTED_VALUE"""),26.0)</f>
        <v>26</v>
      </c>
      <c r="L1094">
        <f>IFERROR(__xludf.DUMMYFUNCTION("""COMPUTED_VALUE"""),28.0)</f>
        <v>28</v>
      </c>
      <c r="M1094">
        <f>IFERROR(__xludf.DUMMYFUNCTION("""COMPUTED_VALUE"""),54.0)</f>
        <v>54</v>
      </c>
      <c r="N1094" t="str">
        <f>IFERROR(__xludf.DUMMYFUNCTION("""COMPUTED_VALUE"""),"Model 3 LR")</f>
        <v>Model 3 LR</v>
      </c>
      <c r="O1094" t="str">
        <f>IFERROR(__xludf.DUMMYFUNCTION("""COMPUTED_VALUE"""),"Solid Black")</f>
        <v>Solid Black</v>
      </c>
      <c r="P1094" t="str">
        <f>IFERROR(__xludf.DUMMYFUNCTION("""COMPUTED_VALUE"""),"18 inch Aero")</f>
        <v>18 inch Aero</v>
      </c>
      <c r="Q1094" t="str">
        <f>IFERROR(__xludf.DUMMYFUNCTION("""COMPUTED_VALUE"""),"Black seats")</f>
        <v>Black seats</v>
      </c>
      <c r="R1094" t="str">
        <f>IFERROR(__xludf.DUMMYFUNCTION("""COMPUTED_VALUE"""),"None")</f>
        <v>None</v>
      </c>
      <c r="X1094" t="str">
        <f>IFERROR(__xludf.DUMMYFUNCTION("""COMPUTED_VALUE"""),"Excellent")</f>
        <v>Excellent</v>
      </c>
      <c r="Y1094" t="str">
        <f>IFERROR(__xludf.DUMMYFUNCTION("""COMPUTED_VALUE"""),"Good")</f>
        <v>Good</v>
      </c>
      <c r="Z1094" t="str">
        <f>IFERROR(__xludf.DUMMYFUNCTION("""COMPUTED_VALUE"""),"Good")</f>
        <v>Good</v>
      </c>
      <c r="AA1094" t="str">
        <f>IFERROR(__xludf.DUMMYFUNCTION("""COMPUTED_VALUE"""),"Excellent")</f>
        <v>Excellent</v>
      </c>
      <c r="AB1094" t="str">
        <f>IFERROR(__xludf.DUMMYFUNCTION("""COMPUTED_VALUE"""),"Excellent")</f>
        <v>Excellent</v>
      </c>
      <c r="AC1094">
        <f>IFERROR(__xludf.DUMMYFUNCTION("""COMPUTED_VALUE"""),1.0)</f>
        <v>1</v>
      </c>
      <c r="AD1094">
        <f>IFERROR(__xludf.DUMMYFUNCTION("""COMPUTED_VALUE"""),1.0)</f>
        <v>1</v>
      </c>
      <c r="AE1094">
        <f>IFERROR(__xludf.DUMMYFUNCTION("""COMPUTED_VALUE"""),1.0)</f>
        <v>1</v>
      </c>
      <c r="AH1094" s="189">
        <f>IFERROR(__xludf.DUMMYFUNCTION("""COMPUTED_VALUE"""),43384.58493824074)</f>
        <v>43384.58494</v>
      </c>
    </row>
    <row r="1095">
      <c r="A1095" t="str">
        <f>IFERROR(__xludf.DUMMYFUNCTION("""COMPUTED_VALUE"""),"regnayt")</f>
        <v>regnayt</v>
      </c>
      <c r="B1095" t="str">
        <f>IFERROR(__xludf.DUMMYFUNCTION("""COMPUTED_VALUE"""),"DFW")</f>
        <v>DFW</v>
      </c>
      <c r="C1095" t="str">
        <f>IFERROR(__xludf.DUMMYFUNCTION("""COMPUTED_VALUE"""),"TX")</f>
        <v>TX</v>
      </c>
      <c r="D1095" t="str">
        <f>IFERROR(__xludf.DUMMYFUNCTION("""COMPUTED_VALUE"""),"USA")</f>
        <v>USA</v>
      </c>
      <c r="E1095" s="188">
        <f>IFERROR(__xludf.DUMMYFUNCTION("""COMPUTED_VALUE"""),43302.0)</f>
        <v>43302</v>
      </c>
      <c r="F1095" s="188">
        <f>IFERROR(__xludf.DUMMYFUNCTION("""COMPUTED_VALUE"""),43375.0)</f>
        <v>43375</v>
      </c>
      <c r="H1095">
        <f>IFERROR(__xludf.DUMMYFUNCTION("""COMPUTED_VALUE"""),116055.0)</f>
        <v>116055</v>
      </c>
      <c r="J1095" s="5">
        <f>IFERROR(__xludf.DUMMYFUNCTION("""COMPUTED_VALUE"""),43384.0)</f>
        <v>43384</v>
      </c>
      <c r="K1095">
        <f>IFERROR(__xludf.DUMMYFUNCTION("""COMPUTED_VALUE"""),73.0)</f>
        <v>73</v>
      </c>
      <c r="L1095">
        <f>IFERROR(__xludf.DUMMYFUNCTION("""COMPUTED_VALUE"""),9.0)</f>
        <v>9</v>
      </c>
      <c r="M1095">
        <f>IFERROR(__xludf.DUMMYFUNCTION("""COMPUTED_VALUE"""),82.0)</f>
        <v>82</v>
      </c>
      <c r="N1095" t="str">
        <f>IFERROR(__xludf.DUMMYFUNCTION("""COMPUTED_VALUE"""),"Model 3 LR AWD")</f>
        <v>Model 3 LR AWD</v>
      </c>
      <c r="O1095" t="str">
        <f>IFERROR(__xludf.DUMMYFUNCTION("""COMPUTED_VALUE"""),"Deep Blue Metallic")</f>
        <v>Deep Blue Metallic</v>
      </c>
      <c r="P1095" t="str">
        <f>IFERROR(__xludf.DUMMYFUNCTION("""COMPUTED_VALUE"""),"19 inch Sport")</f>
        <v>19 inch Sport</v>
      </c>
      <c r="Q1095" t="str">
        <f>IFERROR(__xludf.DUMMYFUNCTION("""COMPUTED_VALUE"""),"Black seats")</f>
        <v>Black seats</v>
      </c>
      <c r="R1095" t="str">
        <f>IFERROR(__xludf.DUMMYFUNCTION("""COMPUTED_VALUE"""),"Enhanced Autopilot")</f>
        <v>Enhanced Autopilot</v>
      </c>
      <c r="X1095" t="str">
        <f>IFERROR(__xludf.DUMMYFUNCTION("""COMPUTED_VALUE"""),"Very Good")</f>
        <v>Very Good</v>
      </c>
      <c r="Y1095" t="str">
        <f>IFERROR(__xludf.DUMMYFUNCTION("""COMPUTED_VALUE"""),"Very Good")</f>
        <v>Very Good</v>
      </c>
      <c r="Z1095" t="str">
        <f>IFERROR(__xludf.DUMMYFUNCTION("""COMPUTED_VALUE"""),"Very Good")</f>
        <v>Very Good</v>
      </c>
      <c r="AA1095" t="str">
        <f>IFERROR(__xludf.DUMMYFUNCTION("""COMPUTED_VALUE"""),"Very Good")</f>
        <v>Very Good</v>
      </c>
      <c r="AB1095" t="str">
        <f>IFERROR(__xludf.DUMMYFUNCTION("""COMPUTED_VALUE"""),"Very Good")</f>
        <v>Very Good</v>
      </c>
      <c r="AH1095" s="189">
        <f>IFERROR(__xludf.DUMMYFUNCTION("""COMPUTED_VALUE"""),43384.8154894676)</f>
        <v>43384.81549</v>
      </c>
    </row>
    <row r="1096">
      <c r="A1096" t="str">
        <f>IFERROR(__xludf.DUMMYFUNCTION("""COMPUTED_VALUE"""),"tcxoman")</f>
        <v>tcxoman</v>
      </c>
      <c r="B1096" t="str">
        <f>IFERROR(__xludf.DUMMYFUNCTION("""COMPUTED_VALUE"""),"Chicago Area")</f>
        <v>Chicago Area</v>
      </c>
      <c r="C1096" t="str">
        <f>IFERROR(__xludf.DUMMYFUNCTION("""COMPUTED_VALUE"""),"IL")</f>
        <v>IL</v>
      </c>
      <c r="D1096" t="str">
        <f>IFERROR(__xludf.DUMMYFUNCTION("""COMPUTED_VALUE"""),"USA")</f>
        <v>USA</v>
      </c>
      <c r="E1096" s="188">
        <f>IFERROR(__xludf.DUMMYFUNCTION("""COMPUTED_VALUE"""),43306.0)</f>
        <v>43306</v>
      </c>
      <c r="F1096" s="188">
        <f>IFERROR(__xludf.DUMMYFUNCTION("""COMPUTED_VALUE"""),43355.0)</f>
        <v>43355</v>
      </c>
      <c r="H1096">
        <f>IFERROR(__xludf.DUMMYFUNCTION("""COMPUTED_VALUE"""),97255.0)</f>
        <v>97255</v>
      </c>
      <c r="I1096" t="str">
        <f>IFERROR(__xludf.DUMMYFUNCTION("""COMPUTED_VALUE"""),"09/18")</f>
        <v>09/18</v>
      </c>
      <c r="J1096" s="5">
        <f>IFERROR(__xludf.DUMMYFUNCTION("""COMPUTED_VALUE"""),43363.0)</f>
        <v>43363</v>
      </c>
      <c r="K1096">
        <f>IFERROR(__xludf.DUMMYFUNCTION("""COMPUTED_VALUE"""),49.0)</f>
        <v>49</v>
      </c>
      <c r="L1096">
        <f>IFERROR(__xludf.DUMMYFUNCTION("""COMPUTED_VALUE"""),8.0)</f>
        <v>8</v>
      </c>
      <c r="M1096">
        <f>IFERROR(__xludf.DUMMYFUNCTION("""COMPUTED_VALUE"""),57.0)</f>
        <v>57</v>
      </c>
      <c r="N1096" t="str">
        <f>IFERROR(__xludf.DUMMYFUNCTION("""COMPUTED_VALUE"""),"Model 3 LR AWD")</f>
        <v>Model 3 LR AWD</v>
      </c>
      <c r="O1096" t="str">
        <f>IFERROR(__xludf.DUMMYFUNCTION("""COMPUTED_VALUE"""),"Midnight Silver Metallic")</f>
        <v>Midnight Silver Metallic</v>
      </c>
      <c r="P1096" t="str">
        <f>IFERROR(__xludf.DUMMYFUNCTION("""COMPUTED_VALUE"""),"19 inch Sport")</f>
        <v>19 inch Sport</v>
      </c>
      <c r="Q1096" t="str">
        <f>IFERROR(__xludf.DUMMYFUNCTION("""COMPUTED_VALUE"""),"White seats")</f>
        <v>White seats</v>
      </c>
      <c r="R1096" t="str">
        <f>IFERROR(__xludf.DUMMYFUNCTION("""COMPUTED_VALUE"""),"Full Self-Driving")</f>
        <v>Full Self-Driving</v>
      </c>
      <c r="X1096" t="str">
        <f>IFERROR(__xludf.DUMMYFUNCTION("""COMPUTED_VALUE"""),"Very Good")</f>
        <v>Very Good</v>
      </c>
      <c r="Y1096" t="str">
        <f>IFERROR(__xludf.DUMMYFUNCTION("""COMPUTED_VALUE"""),"Good")</f>
        <v>Good</v>
      </c>
      <c r="Z1096" t="str">
        <f>IFERROR(__xludf.DUMMYFUNCTION("""COMPUTED_VALUE"""),"Very Good")</f>
        <v>Very Good</v>
      </c>
      <c r="AA1096" t="str">
        <f>IFERROR(__xludf.DUMMYFUNCTION("""COMPUTED_VALUE"""),"Very Good")</f>
        <v>Very Good</v>
      </c>
      <c r="AB1096" t="str">
        <f>IFERROR(__xludf.DUMMYFUNCTION("""COMPUTED_VALUE"""),"Very Good")</f>
        <v>Very Good</v>
      </c>
      <c r="AC1096">
        <f>IFERROR(__xludf.DUMMYFUNCTION("""COMPUTED_VALUE"""),0.0)</f>
        <v>0</v>
      </c>
      <c r="AG1096" t="str">
        <f>IFERROR(__xludf.DUMMYFUNCTION("""COMPUTED_VALUE"""),"Changed from Silver to Midnight Silver 8/29")</f>
        <v>Changed from Silver to Midnight Silver 8/29</v>
      </c>
      <c r="AH1096" s="189">
        <f>IFERROR(__xludf.DUMMYFUNCTION("""COMPUTED_VALUE"""),43384.819729571755)</f>
        <v>43384.81973</v>
      </c>
    </row>
    <row r="1097">
      <c r="A1097" t="str">
        <f>IFERROR(__xludf.DUMMYFUNCTION("""COMPUTED_VALUE"""),"Dieter")</f>
        <v>Dieter</v>
      </c>
      <c r="C1097" t="str">
        <f>IFERROR(__xludf.DUMMYFUNCTION("""COMPUTED_VALUE"""),"RI")</f>
        <v>RI</v>
      </c>
      <c r="D1097" t="str">
        <f>IFERROR(__xludf.DUMMYFUNCTION("""COMPUTED_VALUE"""),"USA")</f>
        <v>USA</v>
      </c>
      <c r="E1097" s="188">
        <f>IFERROR(__xludf.DUMMYFUNCTION("""COMPUTED_VALUE"""),43309.0)</f>
        <v>43309</v>
      </c>
      <c r="F1097" s="188">
        <f>IFERROR(__xludf.DUMMYFUNCTION("""COMPUTED_VALUE"""),43348.0)</f>
        <v>43348</v>
      </c>
      <c r="H1097">
        <f>IFERROR(__xludf.DUMMYFUNCTION("""COMPUTED_VALUE"""),91555.0)</f>
        <v>91555</v>
      </c>
      <c r="J1097" s="5">
        <f>IFERROR(__xludf.DUMMYFUNCTION("""COMPUTED_VALUE"""),43379.0)</f>
        <v>43379</v>
      </c>
      <c r="K1097">
        <f>IFERROR(__xludf.DUMMYFUNCTION("""COMPUTED_VALUE"""),39.0)</f>
        <v>39</v>
      </c>
      <c r="L1097">
        <f>IFERROR(__xludf.DUMMYFUNCTION("""COMPUTED_VALUE"""),31.0)</f>
        <v>31</v>
      </c>
      <c r="M1097">
        <f>IFERROR(__xludf.DUMMYFUNCTION("""COMPUTED_VALUE"""),70.0)</f>
        <v>70</v>
      </c>
      <c r="N1097" t="str">
        <f>IFERROR(__xludf.DUMMYFUNCTION("""COMPUTED_VALUE"""),"Model 3 LR AWD")</f>
        <v>Model 3 LR AWD</v>
      </c>
      <c r="O1097" t="str">
        <f>IFERROR(__xludf.DUMMYFUNCTION("""COMPUTED_VALUE"""),"Red Multi-Coat")</f>
        <v>Red Multi-Coat</v>
      </c>
      <c r="P1097" t="str">
        <f>IFERROR(__xludf.DUMMYFUNCTION("""COMPUTED_VALUE"""),"18 inch Aero")</f>
        <v>18 inch Aero</v>
      </c>
      <c r="Q1097" t="str">
        <f>IFERROR(__xludf.DUMMYFUNCTION("""COMPUTED_VALUE"""),"Black seats")</f>
        <v>Black seats</v>
      </c>
      <c r="R1097" t="str">
        <f>IFERROR(__xludf.DUMMYFUNCTION("""COMPUTED_VALUE"""),"Enhanced Autopilot")</f>
        <v>Enhanced Autopilot</v>
      </c>
      <c r="X1097" t="str">
        <f>IFERROR(__xludf.DUMMYFUNCTION("""COMPUTED_VALUE"""),"Very Good")</f>
        <v>Very Good</v>
      </c>
      <c r="Y1097" t="str">
        <f>IFERROR(__xludf.DUMMYFUNCTION("""COMPUTED_VALUE"""),"Very Good")</f>
        <v>Very Good</v>
      </c>
      <c r="Z1097" t="str">
        <f>IFERROR(__xludf.DUMMYFUNCTION("""COMPUTED_VALUE"""),"Very Good")</f>
        <v>Very Good</v>
      </c>
      <c r="AA1097" t="str">
        <f>IFERROR(__xludf.DUMMYFUNCTION("""COMPUTED_VALUE"""),"Poor")</f>
        <v>Poor</v>
      </c>
      <c r="AB1097" t="str">
        <f>IFERROR(__xludf.DUMMYFUNCTION("""COMPUTED_VALUE"""),"Fair")</f>
        <v>Fair</v>
      </c>
      <c r="AH1097" s="189">
        <f>IFERROR(__xludf.DUMMYFUNCTION("""COMPUTED_VALUE"""),43385.19832802084)</f>
        <v>43385.19833</v>
      </c>
    </row>
    <row r="1098">
      <c r="A1098" t="str">
        <f>IFERROR(__xludf.DUMMYFUNCTION("""COMPUTED_VALUE"""),"Pied")</f>
        <v>Pied</v>
      </c>
      <c r="B1098" t="str">
        <f>IFERROR(__xludf.DUMMYFUNCTION("""COMPUTED_VALUE"""),"Bay Area")</f>
        <v>Bay Area</v>
      </c>
      <c r="C1098" t="str">
        <f>IFERROR(__xludf.DUMMYFUNCTION("""COMPUTED_VALUE"""),"CA")</f>
        <v>CA</v>
      </c>
      <c r="D1098" t="str">
        <f>IFERROR(__xludf.DUMMYFUNCTION("""COMPUTED_VALUE"""),"USA")</f>
        <v>USA</v>
      </c>
      <c r="E1098" s="188">
        <f>IFERROR(__xludf.DUMMYFUNCTION("""COMPUTED_VALUE"""),43294.0)</f>
        <v>43294</v>
      </c>
      <c r="F1098" s="188">
        <f>IFERROR(__xludf.DUMMYFUNCTION("""COMPUTED_VALUE"""),43346.0)</f>
        <v>43346</v>
      </c>
      <c r="H1098">
        <f>IFERROR(__xludf.DUMMYFUNCTION("""COMPUTED_VALUE"""),112455.0)</f>
        <v>112455</v>
      </c>
      <c r="I1098" t="str">
        <f>IFERROR(__xludf.DUMMYFUNCTION("""COMPUTED_VALUE"""),"09/18")</f>
        <v>09/18</v>
      </c>
      <c r="J1098" s="5">
        <f>IFERROR(__xludf.DUMMYFUNCTION("""COMPUTED_VALUE"""),43371.0)</f>
        <v>43371</v>
      </c>
      <c r="K1098">
        <f>IFERROR(__xludf.DUMMYFUNCTION("""COMPUTED_VALUE"""),52.0)</f>
        <v>52</v>
      </c>
      <c r="L1098">
        <f>IFERROR(__xludf.DUMMYFUNCTION("""COMPUTED_VALUE"""),25.0)</f>
        <v>25</v>
      </c>
      <c r="M1098">
        <f>IFERROR(__xludf.DUMMYFUNCTION("""COMPUTED_VALUE"""),77.0)</f>
        <v>77</v>
      </c>
      <c r="N1098" t="str">
        <f>IFERROR(__xludf.DUMMYFUNCTION("""COMPUTED_VALUE"""),"Model 3 LR AWD")</f>
        <v>Model 3 LR AWD</v>
      </c>
      <c r="O1098" t="str">
        <f>IFERROR(__xludf.DUMMYFUNCTION("""COMPUTED_VALUE"""),"Midnight Silver Metallic")</f>
        <v>Midnight Silver Metallic</v>
      </c>
      <c r="P1098" t="str">
        <f>IFERROR(__xludf.DUMMYFUNCTION("""COMPUTED_VALUE"""),"18 inch Aero")</f>
        <v>18 inch Aero</v>
      </c>
      <c r="Q1098" t="str">
        <f>IFERROR(__xludf.DUMMYFUNCTION("""COMPUTED_VALUE"""),"Black seats")</f>
        <v>Black seats</v>
      </c>
      <c r="R1098" t="str">
        <f>IFERROR(__xludf.DUMMYFUNCTION("""COMPUTED_VALUE"""),"None")</f>
        <v>None</v>
      </c>
      <c r="X1098" t="str">
        <f>IFERROR(__xludf.DUMMYFUNCTION("""COMPUTED_VALUE"""),"Excellent")</f>
        <v>Excellent</v>
      </c>
      <c r="Y1098" t="str">
        <f>IFERROR(__xludf.DUMMYFUNCTION("""COMPUTED_VALUE"""),"Excellent")</f>
        <v>Excellent</v>
      </c>
      <c r="Z1098" t="str">
        <f>IFERROR(__xludf.DUMMYFUNCTION("""COMPUTED_VALUE"""),"Excellent")</f>
        <v>Excellent</v>
      </c>
      <c r="AA1098" t="str">
        <f>IFERROR(__xludf.DUMMYFUNCTION("""COMPUTED_VALUE"""),"Excellent")</f>
        <v>Excellent</v>
      </c>
      <c r="AB1098" t="str">
        <f>IFERROR(__xludf.DUMMYFUNCTION("""COMPUTED_VALUE"""),"Excellent")</f>
        <v>Excellent</v>
      </c>
      <c r="AH1098" s="189">
        <f>IFERROR(__xludf.DUMMYFUNCTION("""COMPUTED_VALUE"""),43385.31865768519)</f>
        <v>43385.31866</v>
      </c>
    </row>
    <row r="1099">
      <c r="A1099" t="str">
        <f>IFERROR(__xludf.DUMMYFUNCTION("""COMPUTED_VALUE"""),"Smallfootprint")</f>
        <v>Smallfootprint</v>
      </c>
      <c r="B1099" t="str">
        <f>IFERROR(__xludf.DUMMYFUNCTION("""COMPUTED_VALUE"""),"Water Mill")</f>
        <v>Water Mill</v>
      </c>
      <c r="C1099" t="str">
        <f>IFERROR(__xludf.DUMMYFUNCTION("""COMPUTED_VALUE"""),"NY")</f>
        <v>NY</v>
      </c>
      <c r="D1099" t="str">
        <f>IFERROR(__xludf.DUMMYFUNCTION("""COMPUTED_VALUE"""),"USA")</f>
        <v>USA</v>
      </c>
      <c r="E1099" s="188">
        <f>IFERROR(__xludf.DUMMYFUNCTION("""COMPUTED_VALUE"""),43301.0)</f>
        <v>43301</v>
      </c>
      <c r="F1099" s="188">
        <f>IFERROR(__xludf.DUMMYFUNCTION("""COMPUTED_VALUE"""),43385.0)</f>
        <v>43385</v>
      </c>
      <c r="H1099">
        <f>IFERROR(__xludf.DUMMYFUNCTION("""COMPUTED_VALUE"""),93130.0)</f>
        <v>93130</v>
      </c>
      <c r="J1099" s="5">
        <f>IFERROR(__xludf.DUMMYFUNCTION("""COMPUTED_VALUE"""),43388.0)</f>
        <v>43388</v>
      </c>
      <c r="K1099">
        <f>IFERROR(__xludf.DUMMYFUNCTION("""COMPUTED_VALUE"""),84.0)</f>
        <v>84</v>
      </c>
      <c r="L1099">
        <f>IFERROR(__xludf.DUMMYFUNCTION("""COMPUTED_VALUE"""),3.0)</f>
        <v>3</v>
      </c>
      <c r="M1099">
        <f>IFERROR(__xludf.DUMMYFUNCTION("""COMPUTED_VALUE"""),87.0)</f>
        <v>87</v>
      </c>
      <c r="N1099" t="str">
        <f>IFERROR(__xludf.DUMMYFUNCTION("""COMPUTED_VALUE"""),"Model 3 LR AWD")</f>
        <v>Model 3 LR AWD</v>
      </c>
      <c r="O1099" t="str">
        <f>IFERROR(__xludf.DUMMYFUNCTION("""COMPUTED_VALUE"""),"Midnight Silver Metallic")</f>
        <v>Midnight Silver Metallic</v>
      </c>
      <c r="P1099" t="str">
        <f>IFERROR(__xludf.DUMMYFUNCTION("""COMPUTED_VALUE"""),"18 inch Aero")</f>
        <v>18 inch Aero</v>
      </c>
      <c r="Q1099" t="str">
        <f>IFERROR(__xludf.DUMMYFUNCTION("""COMPUTED_VALUE"""),"Black seats")</f>
        <v>Black seats</v>
      </c>
      <c r="R1099" t="str">
        <f>IFERROR(__xludf.DUMMYFUNCTION("""COMPUTED_VALUE"""),"Enhanced Autopilot")</f>
        <v>Enhanced Autopilot</v>
      </c>
      <c r="AA1099" t="str">
        <f>IFERROR(__xludf.DUMMYFUNCTION("""COMPUTED_VALUE"""),"Poor")</f>
        <v>Poor</v>
      </c>
      <c r="AH1099" s="189">
        <f>IFERROR(__xludf.DUMMYFUNCTION("""COMPUTED_VALUE"""),43385.4569759375)</f>
        <v>43385.45698</v>
      </c>
    </row>
    <row r="1100">
      <c r="A1100" t="str">
        <f>IFERROR(__xludf.DUMMYFUNCTION("""COMPUTED_VALUE"""),"MSZ")</f>
        <v>MSZ</v>
      </c>
      <c r="B1100" t="str">
        <f>IFERROR(__xludf.DUMMYFUNCTION("""COMPUTED_VALUE"""),"NorCal")</f>
        <v>NorCal</v>
      </c>
      <c r="C1100" t="str">
        <f>IFERROR(__xludf.DUMMYFUNCTION("""COMPUTED_VALUE"""),"CA")</f>
        <v>CA</v>
      </c>
      <c r="D1100" t="str">
        <f>IFERROR(__xludf.DUMMYFUNCTION("""COMPUTED_VALUE"""),"USA")</f>
        <v>USA</v>
      </c>
      <c r="E1100" s="188">
        <f>IFERROR(__xludf.DUMMYFUNCTION("""COMPUTED_VALUE"""),43279.0)</f>
        <v>43279</v>
      </c>
      <c r="F1100" s="188">
        <f>IFERROR(__xludf.DUMMYFUNCTION("""COMPUTED_VALUE"""),43374.0)</f>
        <v>43374</v>
      </c>
      <c r="H1100">
        <f>IFERROR(__xludf.DUMMYFUNCTION("""COMPUTED_VALUE"""),102955.0)</f>
        <v>102955</v>
      </c>
      <c r="I1100" t="str">
        <f>IFERROR(__xludf.DUMMYFUNCTION("""COMPUTED_VALUE"""),"10/18")</f>
        <v>10/18</v>
      </c>
      <c r="J1100" s="5">
        <f>IFERROR(__xludf.DUMMYFUNCTION("""COMPUTED_VALUE"""),43385.0)</f>
        <v>43385</v>
      </c>
      <c r="K1100">
        <f>IFERROR(__xludf.DUMMYFUNCTION("""COMPUTED_VALUE"""),95.0)</f>
        <v>95</v>
      </c>
      <c r="L1100">
        <f>IFERROR(__xludf.DUMMYFUNCTION("""COMPUTED_VALUE"""),11.0)</f>
        <v>11</v>
      </c>
      <c r="M1100">
        <f>IFERROR(__xludf.DUMMYFUNCTION("""COMPUTED_VALUE"""),106.0)</f>
        <v>106</v>
      </c>
      <c r="N1100" t="str">
        <f>IFERROR(__xludf.DUMMYFUNCTION("""COMPUTED_VALUE"""),"Model 3 LR")</f>
        <v>Model 3 LR</v>
      </c>
      <c r="O1100" t="str">
        <f>IFERROR(__xludf.DUMMYFUNCTION("""COMPUTED_VALUE"""),"Red Multi-Coat")</f>
        <v>Red Multi-Coat</v>
      </c>
      <c r="P1100" t="str">
        <f>IFERROR(__xludf.DUMMYFUNCTION("""COMPUTED_VALUE"""),"18 inch Aero")</f>
        <v>18 inch Aero</v>
      </c>
      <c r="Q1100" t="str">
        <f>IFERROR(__xludf.DUMMYFUNCTION("""COMPUTED_VALUE"""),"Black seats")</f>
        <v>Black seats</v>
      </c>
      <c r="R1100" t="str">
        <f>IFERROR(__xludf.DUMMYFUNCTION("""COMPUTED_VALUE"""),"None")</f>
        <v>None</v>
      </c>
      <c r="X1100" t="str">
        <f>IFERROR(__xludf.DUMMYFUNCTION("""COMPUTED_VALUE"""),"Excellent")</f>
        <v>Excellent</v>
      </c>
      <c r="Y1100" t="str">
        <f>IFERROR(__xludf.DUMMYFUNCTION("""COMPUTED_VALUE"""),"Excellent")</f>
        <v>Excellent</v>
      </c>
      <c r="Z1100" t="str">
        <f>IFERROR(__xludf.DUMMYFUNCTION("""COMPUTED_VALUE"""),"Excellent")</f>
        <v>Excellent</v>
      </c>
      <c r="AA1100" t="str">
        <f>IFERROR(__xludf.DUMMYFUNCTION("""COMPUTED_VALUE"""),"Very Good")</f>
        <v>Very Good</v>
      </c>
      <c r="AB1100" t="str">
        <f>IFERROR(__xludf.DUMMYFUNCTION("""COMPUTED_VALUE"""),"Excellent")</f>
        <v>Excellent</v>
      </c>
      <c r="AH1100" s="189">
        <f>IFERROR(__xludf.DUMMYFUNCTION("""COMPUTED_VALUE"""),43386.36262733796)</f>
        <v>43386.36263</v>
      </c>
    </row>
    <row r="1101">
      <c r="A1101" t="str">
        <f>IFERROR(__xludf.DUMMYFUNCTION("""COMPUTED_VALUE"""),"LM-5")</f>
        <v>LM-5</v>
      </c>
      <c r="B1101" t="str">
        <f>IFERROR(__xludf.DUMMYFUNCTION("""COMPUTED_VALUE"""),"Orange County")</f>
        <v>Orange County</v>
      </c>
      <c r="C1101" t="str">
        <f>IFERROR(__xludf.DUMMYFUNCTION("""COMPUTED_VALUE"""),"CA")</f>
        <v>CA</v>
      </c>
      <c r="D1101" t="str">
        <f>IFERROR(__xludf.DUMMYFUNCTION("""COMPUTED_VALUE"""),"USA")</f>
        <v>USA</v>
      </c>
      <c r="E1101" s="188">
        <f>IFERROR(__xludf.DUMMYFUNCTION("""COMPUTED_VALUE"""),43278.0)</f>
        <v>43278</v>
      </c>
      <c r="F1101" s="188">
        <f>IFERROR(__xludf.DUMMYFUNCTION("""COMPUTED_VALUE"""),43375.0)</f>
        <v>43375</v>
      </c>
      <c r="H1101">
        <f>IFERROR(__xludf.DUMMYFUNCTION("""COMPUTED_VALUE"""),88955.0)</f>
        <v>88955</v>
      </c>
      <c r="I1101" t="str">
        <f>IFERROR(__xludf.DUMMYFUNCTION("""COMPUTED_VALUE"""),"09/18")</f>
        <v>09/18</v>
      </c>
      <c r="J1101" s="5">
        <f>IFERROR(__xludf.DUMMYFUNCTION("""COMPUTED_VALUE"""),43385.0)</f>
        <v>43385</v>
      </c>
      <c r="K1101">
        <f>IFERROR(__xludf.DUMMYFUNCTION("""COMPUTED_VALUE"""),97.0)</f>
        <v>97</v>
      </c>
      <c r="L1101">
        <f>IFERROR(__xludf.DUMMYFUNCTION("""COMPUTED_VALUE"""),10.0)</f>
        <v>10</v>
      </c>
      <c r="M1101">
        <f>IFERROR(__xludf.DUMMYFUNCTION("""COMPUTED_VALUE"""),107.0)</f>
        <v>107</v>
      </c>
      <c r="N1101" t="str">
        <f>IFERROR(__xludf.DUMMYFUNCTION("""COMPUTED_VALUE"""),"Model 3 LR AWD")</f>
        <v>Model 3 LR AWD</v>
      </c>
      <c r="O1101" t="str">
        <f>IFERROR(__xludf.DUMMYFUNCTION("""COMPUTED_VALUE"""),"Pearl White Multi-Coat")</f>
        <v>Pearl White Multi-Coat</v>
      </c>
      <c r="P1101" t="str">
        <f>IFERROR(__xludf.DUMMYFUNCTION("""COMPUTED_VALUE"""),"19 inch Sport")</f>
        <v>19 inch Sport</v>
      </c>
      <c r="Q1101" t="str">
        <f>IFERROR(__xludf.DUMMYFUNCTION("""COMPUTED_VALUE"""),"Black seats")</f>
        <v>Black seats</v>
      </c>
      <c r="R1101" t="str">
        <f>IFERROR(__xludf.DUMMYFUNCTION("""COMPUTED_VALUE"""),"Full Self-Driving")</f>
        <v>Full Self-Driving</v>
      </c>
      <c r="X1101" t="str">
        <f>IFERROR(__xludf.DUMMYFUNCTION("""COMPUTED_VALUE"""),"Very Good")</f>
        <v>Very Good</v>
      </c>
      <c r="Y1101" t="str">
        <f>IFERROR(__xludf.DUMMYFUNCTION("""COMPUTED_VALUE"""),"Excellent")</f>
        <v>Excellent</v>
      </c>
      <c r="Z1101" t="str">
        <f>IFERROR(__xludf.DUMMYFUNCTION("""COMPUTED_VALUE"""),"Very Good")</f>
        <v>Very Good</v>
      </c>
      <c r="AA1101" t="str">
        <f>IFERROR(__xludf.DUMMYFUNCTION("""COMPUTED_VALUE"""),"Good")</f>
        <v>Good</v>
      </c>
      <c r="AB1101" t="str">
        <f>IFERROR(__xludf.DUMMYFUNCTION("""COMPUTED_VALUE"""),"Very Good")</f>
        <v>Very Good</v>
      </c>
      <c r="AH1101" s="189">
        <f>IFERROR(__xludf.DUMMYFUNCTION("""COMPUTED_VALUE"""),43386.38757678241)</f>
        <v>43386.38758</v>
      </c>
    </row>
    <row r="1102">
      <c r="A1102" t="str">
        <f>IFERROR(__xludf.DUMMYFUNCTION("""COMPUTED_VALUE"""),"Ares")</f>
        <v>Ares</v>
      </c>
      <c r="B1102" t="str">
        <f>IFERROR(__xludf.DUMMYFUNCTION("""COMPUTED_VALUE"""),"Auburn Hills")</f>
        <v>Auburn Hills</v>
      </c>
      <c r="C1102" t="str">
        <f>IFERROR(__xludf.DUMMYFUNCTION("""COMPUTED_VALUE"""),"MI")</f>
        <v>MI</v>
      </c>
      <c r="D1102" t="str">
        <f>IFERROR(__xludf.DUMMYFUNCTION("""COMPUTED_VALUE"""),"USA")</f>
        <v>USA</v>
      </c>
      <c r="E1102" s="188">
        <f>IFERROR(__xludf.DUMMYFUNCTION("""COMPUTED_VALUE"""),43311.0)</f>
        <v>43311</v>
      </c>
      <c r="F1102" s="188">
        <f>IFERROR(__xludf.DUMMYFUNCTION("""COMPUTED_VALUE"""),43375.0)</f>
        <v>43375</v>
      </c>
      <c r="H1102">
        <f>IFERROR(__xludf.DUMMYFUNCTION("""COMPUTED_VALUE"""),94355.0)</f>
        <v>94355</v>
      </c>
      <c r="J1102" s="5">
        <f>IFERROR(__xludf.DUMMYFUNCTION("""COMPUTED_VALUE"""),43386.0)</f>
        <v>43386</v>
      </c>
      <c r="K1102">
        <f>IFERROR(__xludf.DUMMYFUNCTION("""COMPUTED_VALUE"""),64.0)</f>
        <v>64</v>
      </c>
      <c r="L1102">
        <f>IFERROR(__xludf.DUMMYFUNCTION("""COMPUTED_VALUE"""),11.0)</f>
        <v>11</v>
      </c>
      <c r="M1102">
        <f>IFERROR(__xludf.DUMMYFUNCTION("""COMPUTED_VALUE"""),75.0)</f>
        <v>75</v>
      </c>
      <c r="N1102" t="str">
        <f>IFERROR(__xludf.DUMMYFUNCTION("""COMPUTED_VALUE"""),"Model 3 LR AWD")</f>
        <v>Model 3 LR AWD</v>
      </c>
      <c r="O1102" t="str">
        <f>IFERROR(__xludf.DUMMYFUNCTION("""COMPUTED_VALUE"""),"Red Multi-Coat")</f>
        <v>Red Multi-Coat</v>
      </c>
      <c r="P1102" t="str">
        <f>IFERROR(__xludf.DUMMYFUNCTION("""COMPUTED_VALUE"""),"18 inch Aero")</f>
        <v>18 inch Aero</v>
      </c>
      <c r="Q1102" t="str">
        <f>IFERROR(__xludf.DUMMYFUNCTION("""COMPUTED_VALUE"""),"Black seats")</f>
        <v>Black seats</v>
      </c>
      <c r="R1102" t="str">
        <f>IFERROR(__xludf.DUMMYFUNCTION("""COMPUTED_VALUE"""),"Enhanced Autopilot")</f>
        <v>Enhanced Autopilot</v>
      </c>
      <c r="X1102" t="str">
        <f>IFERROR(__xludf.DUMMYFUNCTION("""COMPUTED_VALUE"""),"Excellent")</f>
        <v>Excellent</v>
      </c>
      <c r="Y1102" t="str">
        <f>IFERROR(__xludf.DUMMYFUNCTION("""COMPUTED_VALUE"""),"Very Good")</f>
        <v>Very Good</v>
      </c>
      <c r="Z1102" t="str">
        <f>IFERROR(__xludf.DUMMYFUNCTION("""COMPUTED_VALUE"""),"Excellent")</f>
        <v>Excellent</v>
      </c>
      <c r="AA1102" t="str">
        <f>IFERROR(__xludf.DUMMYFUNCTION("""COMPUTED_VALUE"""),"Poor")</f>
        <v>Poor</v>
      </c>
      <c r="AB1102" t="str">
        <f>IFERROR(__xludf.DUMMYFUNCTION("""COMPUTED_VALUE"""),"Very Good")</f>
        <v>Very Good</v>
      </c>
      <c r="AC1102">
        <f>IFERROR(__xludf.DUMMYFUNCTION("""COMPUTED_VALUE"""),1.0)</f>
        <v>1</v>
      </c>
      <c r="AH1102" s="189">
        <f>IFERROR(__xludf.DUMMYFUNCTION("""COMPUTED_VALUE"""),43386.79635107639)</f>
        <v>43386.79635</v>
      </c>
    </row>
    <row r="1103">
      <c r="A1103" t="str">
        <f>IFERROR(__xludf.DUMMYFUNCTION("""COMPUTED_VALUE"""),"mtnmanLG")</f>
        <v>mtnmanLG</v>
      </c>
      <c r="B1103" t="str">
        <f>IFERROR(__xludf.DUMMYFUNCTION("""COMPUTED_VALUE"""),"Los Gatos, CA")</f>
        <v>Los Gatos, CA</v>
      </c>
      <c r="C1103" t="str">
        <f>IFERROR(__xludf.DUMMYFUNCTION("""COMPUTED_VALUE"""),"CA")</f>
        <v>CA</v>
      </c>
      <c r="D1103" t="str">
        <f>IFERROR(__xludf.DUMMYFUNCTION("""COMPUTED_VALUE"""),"USA")</f>
        <v>USA</v>
      </c>
      <c r="E1103" s="188">
        <f>IFERROR(__xludf.DUMMYFUNCTION("""COMPUTED_VALUE"""),43279.0)</f>
        <v>43279</v>
      </c>
      <c r="F1103" s="188">
        <f>IFERROR(__xludf.DUMMYFUNCTION("""COMPUTED_VALUE"""),43357.0)</f>
        <v>43357</v>
      </c>
      <c r="H1103">
        <f>IFERROR(__xludf.DUMMYFUNCTION("""COMPUTED_VALUE"""),100455.0)</f>
        <v>100455</v>
      </c>
      <c r="J1103" s="5">
        <f>IFERROR(__xludf.DUMMYFUNCTION("""COMPUTED_VALUE"""),43364.0)</f>
        <v>43364</v>
      </c>
      <c r="K1103">
        <f>IFERROR(__xludf.DUMMYFUNCTION("""COMPUTED_VALUE"""),78.0)</f>
        <v>78</v>
      </c>
      <c r="L1103">
        <f>IFERROR(__xludf.DUMMYFUNCTION("""COMPUTED_VALUE"""),7.0)</f>
        <v>7</v>
      </c>
      <c r="M1103">
        <f>IFERROR(__xludf.DUMMYFUNCTION("""COMPUTED_VALUE"""),85.0)</f>
        <v>85</v>
      </c>
      <c r="N1103" t="str">
        <f>IFERROR(__xludf.DUMMYFUNCTION("""COMPUTED_VALUE"""),"Model 3 LR AWD")</f>
        <v>Model 3 LR AWD</v>
      </c>
      <c r="O1103" t="str">
        <f>IFERROR(__xludf.DUMMYFUNCTION("""COMPUTED_VALUE"""),"Midnight Silver Metallic")</f>
        <v>Midnight Silver Metallic</v>
      </c>
      <c r="P1103" t="str">
        <f>IFERROR(__xludf.DUMMYFUNCTION("""COMPUTED_VALUE"""),"19 inch Sport")</f>
        <v>19 inch Sport</v>
      </c>
      <c r="Q1103" t="str">
        <f>IFERROR(__xludf.DUMMYFUNCTION("""COMPUTED_VALUE"""),"White seats")</f>
        <v>White seats</v>
      </c>
      <c r="R1103" t="str">
        <f>IFERROR(__xludf.DUMMYFUNCTION("""COMPUTED_VALUE"""),"Full Self-Driving")</f>
        <v>Full Self-Driving</v>
      </c>
      <c r="X1103" t="str">
        <f>IFERROR(__xludf.DUMMYFUNCTION("""COMPUTED_VALUE"""),"Very Good")</f>
        <v>Very Good</v>
      </c>
      <c r="Y1103" t="str">
        <f>IFERROR(__xludf.DUMMYFUNCTION("""COMPUTED_VALUE"""),"Very Good")</f>
        <v>Very Good</v>
      </c>
      <c r="Z1103" t="str">
        <f>IFERROR(__xludf.DUMMYFUNCTION("""COMPUTED_VALUE"""),"Good")</f>
        <v>Good</v>
      </c>
      <c r="AA1103" t="str">
        <f>IFERROR(__xludf.DUMMYFUNCTION("""COMPUTED_VALUE"""),"Very Good")</f>
        <v>Very Good</v>
      </c>
      <c r="AB1103" t="str">
        <f>IFERROR(__xludf.DUMMYFUNCTION("""COMPUTED_VALUE"""),"Good")</f>
        <v>Good</v>
      </c>
      <c r="AC1103">
        <f>IFERROR(__xludf.DUMMYFUNCTION("""COMPUTED_VALUE"""),4.0)</f>
        <v>4</v>
      </c>
      <c r="AD1103">
        <f>IFERROR(__xludf.DUMMYFUNCTION("""COMPUTED_VALUE"""),1.0)</f>
        <v>1</v>
      </c>
      <c r="AE1103">
        <f>IFERROR(__xludf.DUMMYFUNCTION("""COMPUTED_VALUE"""),7.0)</f>
        <v>7</v>
      </c>
      <c r="AH1103" s="189">
        <f>IFERROR(__xludf.DUMMYFUNCTION("""COMPUTED_VALUE"""),43386.87527107639)</f>
        <v>43386.87527</v>
      </c>
    </row>
    <row r="1104">
      <c r="A1104" t="str">
        <f>IFERROR(__xludf.DUMMYFUNCTION("""COMPUTED_VALUE"""),"Scott")</f>
        <v>Scott</v>
      </c>
      <c r="C1104" t="str">
        <f>IFERROR(__xludf.DUMMYFUNCTION("""COMPUTED_VALUE"""),"OK")</f>
        <v>OK</v>
      </c>
      <c r="D1104" t="str">
        <f>IFERROR(__xludf.DUMMYFUNCTION("""COMPUTED_VALUE"""),"USA")</f>
        <v>USA</v>
      </c>
      <c r="E1104" s="188">
        <f>IFERROR(__xludf.DUMMYFUNCTION("""COMPUTED_VALUE"""),43263.0)</f>
        <v>43263</v>
      </c>
      <c r="F1104" s="188">
        <f>IFERROR(__xludf.DUMMYFUNCTION("""COMPUTED_VALUE"""),43382.0)</f>
        <v>43382</v>
      </c>
      <c r="H1104">
        <f>IFERROR(__xludf.DUMMYFUNCTION("""COMPUTED_VALUE"""),87255.0)</f>
        <v>87255</v>
      </c>
      <c r="I1104" t="str">
        <f>IFERROR(__xludf.DUMMYFUNCTION("""COMPUTED_VALUE"""),"09/18")</f>
        <v>09/18</v>
      </c>
      <c r="J1104" s="5">
        <f>IFERROR(__xludf.DUMMYFUNCTION("""COMPUTED_VALUE"""),43386.0)</f>
        <v>43386</v>
      </c>
      <c r="K1104">
        <f>IFERROR(__xludf.DUMMYFUNCTION("""COMPUTED_VALUE"""),119.0)</f>
        <v>119</v>
      </c>
      <c r="L1104">
        <f>IFERROR(__xludf.DUMMYFUNCTION("""COMPUTED_VALUE"""),4.0)</f>
        <v>4</v>
      </c>
      <c r="M1104">
        <f>IFERROR(__xludf.DUMMYFUNCTION("""COMPUTED_VALUE"""),123.0)</f>
        <v>123</v>
      </c>
      <c r="N1104" t="str">
        <f>IFERROR(__xludf.DUMMYFUNCTION("""COMPUTED_VALUE"""),"Model 3 LR AWD")</f>
        <v>Model 3 LR AWD</v>
      </c>
      <c r="O1104" t="str">
        <f>IFERROR(__xludf.DUMMYFUNCTION("""COMPUTED_VALUE"""),"Midnight Silver Metallic")</f>
        <v>Midnight Silver Metallic</v>
      </c>
      <c r="P1104" t="str">
        <f>IFERROR(__xludf.DUMMYFUNCTION("""COMPUTED_VALUE"""),"19 inch Sport")</f>
        <v>19 inch Sport</v>
      </c>
      <c r="Q1104" t="str">
        <f>IFERROR(__xludf.DUMMYFUNCTION("""COMPUTED_VALUE"""),"Black seats")</f>
        <v>Black seats</v>
      </c>
      <c r="R1104" t="str">
        <f>IFERROR(__xludf.DUMMYFUNCTION("""COMPUTED_VALUE"""),"None")</f>
        <v>None</v>
      </c>
      <c r="X1104" t="str">
        <f>IFERROR(__xludf.DUMMYFUNCTION("""COMPUTED_VALUE"""),"Excellent")</f>
        <v>Excellent</v>
      </c>
      <c r="Y1104" t="str">
        <f>IFERROR(__xludf.DUMMYFUNCTION("""COMPUTED_VALUE"""),"Excellent")</f>
        <v>Excellent</v>
      </c>
      <c r="Z1104" t="str">
        <f>IFERROR(__xludf.DUMMYFUNCTION("""COMPUTED_VALUE"""),"Excellent")</f>
        <v>Excellent</v>
      </c>
      <c r="AA1104" t="str">
        <f>IFERROR(__xludf.DUMMYFUNCTION("""COMPUTED_VALUE"""),"Very Good")</f>
        <v>Very Good</v>
      </c>
      <c r="AB1104" t="str">
        <f>IFERROR(__xludf.DUMMYFUNCTION("""COMPUTED_VALUE"""),"Excellent")</f>
        <v>Excellent</v>
      </c>
      <c r="AC1104">
        <f>IFERROR(__xludf.DUMMYFUNCTION("""COMPUTED_VALUE"""),0.0)</f>
        <v>0</v>
      </c>
      <c r="AD1104">
        <f>IFERROR(__xludf.DUMMYFUNCTION("""COMPUTED_VALUE"""),0.0)</f>
        <v>0</v>
      </c>
      <c r="AE1104">
        <f>IFERROR(__xludf.DUMMYFUNCTION("""COMPUTED_VALUE"""),0.0)</f>
        <v>0</v>
      </c>
      <c r="AH1104" s="189">
        <f>IFERROR(__xludf.DUMMYFUNCTION("""COMPUTED_VALUE"""),43387.40144420139)</f>
        <v>43387.40144</v>
      </c>
    </row>
    <row r="1105">
      <c r="A1105" t="str">
        <f>IFERROR(__xludf.DUMMYFUNCTION("""COMPUTED_VALUE"""),"Slidely")</f>
        <v>Slidely</v>
      </c>
      <c r="B1105" t="str">
        <f>IFERROR(__xludf.DUMMYFUNCTION("""COMPUTED_VALUE"""),"Dallas")</f>
        <v>Dallas</v>
      </c>
      <c r="C1105" t="str">
        <f>IFERROR(__xludf.DUMMYFUNCTION("""COMPUTED_VALUE"""),"TX")</f>
        <v>TX</v>
      </c>
      <c r="D1105" t="str">
        <f>IFERROR(__xludf.DUMMYFUNCTION("""COMPUTED_VALUE"""),"USA")</f>
        <v>USA</v>
      </c>
      <c r="E1105" s="188">
        <f>IFERROR(__xludf.DUMMYFUNCTION("""COMPUTED_VALUE"""),43283.0)</f>
        <v>43283</v>
      </c>
      <c r="F1105" s="188">
        <f>IFERROR(__xludf.DUMMYFUNCTION("""COMPUTED_VALUE"""),43378.0)</f>
        <v>43378</v>
      </c>
      <c r="H1105">
        <f>IFERROR(__xludf.DUMMYFUNCTION("""COMPUTED_VALUE"""),104380.0)</f>
        <v>104380</v>
      </c>
      <c r="I1105" t="str">
        <f>IFERROR(__xludf.DUMMYFUNCTION("""COMPUTED_VALUE"""),"10/18")</f>
        <v>10/18</v>
      </c>
      <c r="J1105" s="5">
        <f>IFERROR(__xludf.DUMMYFUNCTION("""COMPUTED_VALUE"""),43384.0)</f>
        <v>43384</v>
      </c>
      <c r="K1105">
        <f>IFERROR(__xludf.DUMMYFUNCTION("""COMPUTED_VALUE"""),95.0)</f>
        <v>95</v>
      </c>
      <c r="L1105">
        <f>IFERROR(__xludf.DUMMYFUNCTION("""COMPUTED_VALUE"""),6.0)</f>
        <v>6</v>
      </c>
      <c r="M1105">
        <f>IFERROR(__xludf.DUMMYFUNCTION("""COMPUTED_VALUE"""),101.0)</f>
        <v>101</v>
      </c>
      <c r="N1105" t="str">
        <f>IFERROR(__xludf.DUMMYFUNCTION("""COMPUTED_VALUE"""),"Model 3 Performance")</f>
        <v>Model 3 Performance</v>
      </c>
      <c r="O1105" t="str">
        <f>IFERROR(__xludf.DUMMYFUNCTION("""COMPUTED_VALUE"""),"Silver Metallic")</f>
        <v>Silver Metallic</v>
      </c>
      <c r="P1105" t="str">
        <f>IFERROR(__xludf.DUMMYFUNCTION("""COMPUTED_VALUE"""),"18 inch Aero")</f>
        <v>18 inch Aero</v>
      </c>
      <c r="Q1105" t="str">
        <f>IFERROR(__xludf.DUMMYFUNCTION("""COMPUTED_VALUE"""),"Black seats")</f>
        <v>Black seats</v>
      </c>
      <c r="R1105" t="str">
        <f>IFERROR(__xludf.DUMMYFUNCTION("""COMPUTED_VALUE"""),"Full Self-Driving")</f>
        <v>Full Self-Driving</v>
      </c>
      <c r="X1105" t="str">
        <f>IFERROR(__xludf.DUMMYFUNCTION("""COMPUTED_VALUE"""),"Very Good")</f>
        <v>Very Good</v>
      </c>
      <c r="Y1105" t="str">
        <f>IFERROR(__xludf.DUMMYFUNCTION("""COMPUTED_VALUE"""),"Excellent")</f>
        <v>Excellent</v>
      </c>
      <c r="Z1105" t="str">
        <f>IFERROR(__xludf.DUMMYFUNCTION("""COMPUTED_VALUE"""),"Excellent")</f>
        <v>Excellent</v>
      </c>
      <c r="AA1105" t="str">
        <f>IFERROR(__xludf.DUMMYFUNCTION("""COMPUTED_VALUE"""),"Excellent")</f>
        <v>Excellent</v>
      </c>
      <c r="AB1105" t="str">
        <f>IFERROR(__xludf.DUMMYFUNCTION("""COMPUTED_VALUE"""),"Very Good")</f>
        <v>Very Good</v>
      </c>
      <c r="AH1105" s="189">
        <f>IFERROR(__xludf.DUMMYFUNCTION("""COMPUTED_VALUE"""),43387.49548107639)</f>
        <v>43387.49548</v>
      </c>
    </row>
    <row r="1106">
      <c r="A1106" t="str">
        <f>IFERROR(__xludf.DUMMYFUNCTION("""COMPUTED_VALUE"""),"BaneSilvermoon")</f>
        <v>BaneSilvermoon</v>
      </c>
      <c r="B1106" t="str">
        <f>IFERROR(__xludf.DUMMYFUNCTION("""COMPUTED_VALUE"""),"Louisville")</f>
        <v>Louisville</v>
      </c>
      <c r="C1106" t="str">
        <f>IFERROR(__xludf.DUMMYFUNCTION("""COMPUTED_VALUE"""),"KY")</f>
        <v>KY</v>
      </c>
      <c r="D1106" t="str">
        <f>IFERROR(__xludf.DUMMYFUNCTION("""COMPUTED_VALUE"""),"USA")</f>
        <v>USA</v>
      </c>
      <c r="E1106" s="188">
        <f>IFERROR(__xludf.DUMMYFUNCTION("""COMPUTED_VALUE"""),43279.0)</f>
        <v>43279</v>
      </c>
      <c r="F1106" s="188">
        <f>IFERROR(__xludf.DUMMYFUNCTION("""COMPUTED_VALUE"""),43365.0)</f>
        <v>43365</v>
      </c>
      <c r="H1106">
        <f>IFERROR(__xludf.DUMMYFUNCTION("""COMPUTED_VALUE"""),77155.0)</f>
        <v>77155</v>
      </c>
      <c r="I1106" t="str">
        <f>IFERROR(__xludf.DUMMYFUNCTION("""COMPUTED_VALUE"""),"09/18")</f>
        <v>09/18</v>
      </c>
      <c r="J1106" s="5">
        <f>IFERROR(__xludf.DUMMYFUNCTION("""COMPUTED_VALUE"""),43372.0)</f>
        <v>43372</v>
      </c>
      <c r="K1106">
        <f>IFERROR(__xludf.DUMMYFUNCTION("""COMPUTED_VALUE"""),86.0)</f>
        <v>86</v>
      </c>
      <c r="L1106">
        <f>IFERROR(__xludf.DUMMYFUNCTION("""COMPUTED_VALUE"""),7.0)</f>
        <v>7</v>
      </c>
      <c r="M1106">
        <f>IFERROR(__xludf.DUMMYFUNCTION("""COMPUTED_VALUE"""),93.0)</f>
        <v>93</v>
      </c>
      <c r="N1106" t="str">
        <f>IFERROR(__xludf.DUMMYFUNCTION("""COMPUTED_VALUE"""),"Model 3 LR AWD")</f>
        <v>Model 3 LR AWD</v>
      </c>
      <c r="O1106" t="str">
        <f>IFERROR(__xludf.DUMMYFUNCTION("""COMPUTED_VALUE"""),"Obsidian Black Metallic")</f>
        <v>Obsidian Black Metallic</v>
      </c>
      <c r="P1106" t="str">
        <f>IFERROR(__xludf.DUMMYFUNCTION("""COMPUTED_VALUE"""),"18 inch Aero")</f>
        <v>18 inch Aero</v>
      </c>
      <c r="Q1106" t="str">
        <f>IFERROR(__xludf.DUMMYFUNCTION("""COMPUTED_VALUE"""),"Black seats")</f>
        <v>Black seats</v>
      </c>
      <c r="R1106" t="str">
        <f>IFERROR(__xludf.DUMMYFUNCTION("""COMPUTED_VALUE"""),"Full Self-Driving")</f>
        <v>Full Self-Driving</v>
      </c>
      <c r="X1106" t="str">
        <f>IFERROR(__xludf.DUMMYFUNCTION("""COMPUTED_VALUE"""),"Very Good")</f>
        <v>Very Good</v>
      </c>
      <c r="Y1106" t="str">
        <f>IFERROR(__xludf.DUMMYFUNCTION("""COMPUTED_VALUE"""),"Excellent")</f>
        <v>Excellent</v>
      </c>
      <c r="Z1106" t="str">
        <f>IFERROR(__xludf.DUMMYFUNCTION("""COMPUTED_VALUE"""),"Very Good")</f>
        <v>Very Good</v>
      </c>
      <c r="AA1106" t="str">
        <f>IFERROR(__xludf.DUMMYFUNCTION("""COMPUTED_VALUE"""),"Fair")</f>
        <v>Fair</v>
      </c>
      <c r="AB1106" t="str">
        <f>IFERROR(__xludf.DUMMYFUNCTION("""COMPUTED_VALUE"""),"Excellent")</f>
        <v>Excellent</v>
      </c>
      <c r="AC1106">
        <f>IFERROR(__xludf.DUMMYFUNCTION("""COMPUTED_VALUE"""),2.0)</f>
        <v>2</v>
      </c>
      <c r="AD1106">
        <f>IFERROR(__xludf.DUMMYFUNCTION("""COMPUTED_VALUE"""),0.0)</f>
        <v>0</v>
      </c>
      <c r="AE1106">
        <f>IFERROR(__xludf.DUMMYFUNCTION("""COMPUTED_VALUE"""),0.0)</f>
        <v>0</v>
      </c>
      <c r="AG1106" t="str">
        <f>IFERROR(__xludf.DUMMYFUNCTION("""COMPUTED_VALUE"""),"Two panel alignment issues fixed in 15 minutes at delivery")</f>
        <v>Two panel alignment issues fixed in 15 minutes at delivery</v>
      </c>
      <c r="AH1106" s="189">
        <f>IFERROR(__xludf.DUMMYFUNCTION("""COMPUTED_VALUE"""),43388.235239270834)</f>
        <v>43388.23524</v>
      </c>
    </row>
    <row r="1107">
      <c r="A1107" t="str">
        <f>IFERROR(__xludf.DUMMYFUNCTION("""COMPUTED_VALUE"""),"JE")</f>
        <v>JE</v>
      </c>
      <c r="B1107" t="str">
        <f>IFERROR(__xludf.DUMMYFUNCTION("""COMPUTED_VALUE"""),"Chandler")</f>
        <v>Chandler</v>
      </c>
      <c r="C1107" t="str">
        <f>IFERROR(__xludf.DUMMYFUNCTION("""COMPUTED_VALUE"""),"AZ")</f>
        <v>AZ</v>
      </c>
      <c r="D1107" t="str">
        <f>IFERROR(__xludf.DUMMYFUNCTION("""COMPUTED_VALUE"""),"USA")</f>
        <v>USA</v>
      </c>
      <c r="E1107" s="188">
        <f>IFERROR(__xludf.DUMMYFUNCTION("""COMPUTED_VALUE"""),43320.0)</f>
        <v>43320</v>
      </c>
      <c r="F1107" s="188">
        <f>IFERROR(__xludf.DUMMYFUNCTION("""COMPUTED_VALUE"""),43354.0)</f>
        <v>43354</v>
      </c>
      <c r="H1107">
        <f>IFERROR(__xludf.DUMMYFUNCTION("""COMPUTED_VALUE"""),74755.0)</f>
        <v>74755</v>
      </c>
      <c r="I1107" t="str">
        <f>IFERROR(__xludf.DUMMYFUNCTION("""COMPUTED_VALUE"""),"09/18")</f>
        <v>09/18</v>
      </c>
      <c r="J1107" s="5">
        <f>IFERROR(__xludf.DUMMYFUNCTION("""COMPUTED_VALUE"""),43360.0)</f>
        <v>43360</v>
      </c>
      <c r="K1107">
        <f>IFERROR(__xludf.DUMMYFUNCTION("""COMPUTED_VALUE"""),34.0)</f>
        <v>34</v>
      </c>
      <c r="L1107">
        <f>IFERROR(__xludf.DUMMYFUNCTION("""COMPUTED_VALUE"""),6.0)</f>
        <v>6</v>
      </c>
      <c r="M1107">
        <f>IFERROR(__xludf.DUMMYFUNCTION("""COMPUTED_VALUE"""),40.0)</f>
        <v>40</v>
      </c>
      <c r="N1107" t="str">
        <f>IFERROR(__xludf.DUMMYFUNCTION("""COMPUTED_VALUE"""),"Model 3 Performance")</f>
        <v>Model 3 Performance</v>
      </c>
      <c r="O1107" t="str">
        <f>IFERROR(__xludf.DUMMYFUNCTION("""COMPUTED_VALUE"""),"Red Multi-Coat")</f>
        <v>Red Multi-Coat</v>
      </c>
      <c r="P1107" t="str">
        <f>IFERROR(__xludf.DUMMYFUNCTION("""COMPUTED_VALUE"""),"20 inch Sport")</f>
        <v>20 inch Sport</v>
      </c>
      <c r="Q1107" t="str">
        <f>IFERROR(__xludf.DUMMYFUNCTION("""COMPUTED_VALUE"""),"White seats")</f>
        <v>White seats</v>
      </c>
      <c r="R1107" t="str">
        <f>IFERROR(__xludf.DUMMYFUNCTION("""COMPUTED_VALUE"""),"Full Self-Driving")</f>
        <v>Full Self-Driving</v>
      </c>
      <c r="X1107" t="str">
        <f>IFERROR(__xludf.DUMMYFUNCTION("""COMPUTED_VALUE"""),"Excellent")</f>
        <v>Excellent</v>
      </c>
      <c r="Y1107" t="str">
        <f>IFERROR(__xludf.DUMMYFUNCTION("""COMPUTED_VALUE"""),"Excellent")</f>
        <v>Excellent</v>
      </c>
      <c r="Z1107" t="str">
        <f>IFERROR(__xludf.DUMMYFUNCTION("""COMPUTED_VALUE"""),"Good")</f>
        <v>Good</v>
      </c>
      <c r="AA1107" t="str">
        <f>IFERROR(__xludf.DUMMYFUNCTION("""COMPUTED_VALUE"""),"Excellent")</f>
        <v>Excellent</v>
      </c>
      <c r="AB1107" t="str">
        <f>IFERROR(__xludf.DUMMYFUNCTION("""COMPUTED_VALUE"""),"Very Good")</f>
        <v>Very Good</v>
      </c>
      <c r="AC1107">
        <f>IFERROR(__xludf.DUMMYFUNCTION("""COMPUTED_VALUE"""),2.0)</f>
        <v>2</v>
      </c>
      <c r="AD1107">
        <f>IFERROR(__xludf.DUMMYFUNCTION("""COMPUTED_VALUE"""),1.0)</f>
        <v>1</v>
      </c>
      <c r="AE1107">
        <f>IFERROR(__xludf.DUMMYFUNCTION("""COMPUTED_VALUE"""),0.0)</f>
        <v>0</v>
      </c>
      <c r="AH1107" s="189">
        <f>IFERROR(__xludf.DUMMYFUNCTION("""COMPUTED_VALUE"""),43388.43495047453)</f>
        <v>43388.43495</v>
      </c>
    </row>
    <row r="1108">
      <c r="A1108" t="str">
        <f>IFERROR(__xludf.DUMMYFUNCTION("""COMPUTED_VALUE"""),"Beaker")</f>
        <v>Beaker</v>
      </c>
      <c r="B1108" t="str">
        <f>IFERROR(__xludf.DUMMYFUNCTION("""COMPUTED_VALUE"""),"Seattle")</f>
        <v>Seattle</v>
      </c>
      <c r="C1108" t="str">
        <f>IFERROR(__xludf.DUMMYFUNCTION("""COMPUTED_VALUE"""),"WA")</f>
        <v>WA</v>
      </c>
      <c r="D1108" t="str">
        <f>IFERROR(__xludf.DUMMYFUNCTION("""COMPUTED_VALUE"""),"USA")</f>
        <v>USA</v>
      </c>
      <c r="E1108" s="188">
        <f>IFERROR(__xludf.DUMMYFUNCTION("""COMPUTED_VALUE"""),43278.0)</f>
        <v>43278</v>
      </c>
      <c r="F1108" s="188">
        <f>IFERROR(__xludf.DUMMYFUNCTION("""COMPUTED_VALUE"""),43383.0)</f>
        <v>43383</v>
      </c>
      <c r="H1108">
        <f>IFERROR(__xludf.DUMMYFUNCTION("""COMPUTED_VALUE"""),87255.0)</f>
        <v>87255</v>
      </c>
      <c r="J1108" s="5">
        <f>IFERROR(__xludf.DUMMYFUNCTION("""COMPUTED_VALUE"""),43385.0)</f>
        <v>43385</v>
      </c>
      <c r="K1108">
        <f>IFERROR(__xludf.DUMMYFUNCTION("""COMPUTED_VALUE"""),105.0)</f>
        <v>105</v>
      </c>
      <c r="L1108">
        <f>IFERROR(__xludf.DUMMYFUNCTION("""COMPUTED_VALUE"""),2.0)</f>
        <v>2</v>
      </c>
      <c r="M1108">
        <f>IFERROR(__xludf.DUMMYFUNCTION("""COMPUTED_VALUE"""),107.0)</f>
        <v>107</v>
      </c>
      <c r="N1108" t="str">
        <f>IFERROR(__xludf.DUMMYFUNCTION("""COMPUTED_VALUE"""),"Model 3 LR AWD")</f>
        <v>Model 3 LR AWD</v>
      </c>
      <c r="O1108" t="str">
        <f>IFERROR(__xludf.DUMMYFUNCTION("""COMPUTED_VALUE"""),"Midnight Silver Metallic")</f>
        <v>Midnight Silver Metallic</v>
      </c>
      <c r="P1108" t="str">
        <f>IFERROR(__xludf.DUMMYFUNCTION("""COMPUTED_VALUE"""),"19 inch Sport")</f>
        <v>19 inch Sport</v>
      </c>
      <c r="Q1108" t="str">
        <f>IFERROR(__xludf.DUMMYFUNCTION("""COMPUTED_VALUE"""),"Black seats")</f>
        <v>Black seats</v>
      </c>
      <c r="R1108" t="str">
        <f>IFERROR(__xludf.DUMMYFUNCTION("""COMPUTED_VALUE"""),"None")</f>
        <v>None</v>
      </c>
      <c r="X1108" t="str">
        <f>IFERROR(__xludf.DUMMYFUNCTION("""COMPUTED_VALUE"""),"Very Good")</f>
        <v>Very Good</v>
      </c>
      <c r="Y1108" t="str">
        <f>IFERROR(__xludf.DUMMYFUNCTION("""COMPUTED_VALUE"""),"Excellent")</f>
        <v>Excellent</v>
      </c>
      <c r="Z1108" t="str">
        <f>IFERROR(__xludf.DUMMYFUNCTION("""COMPUTED_VALUE"""),"Excellent")</f>
        <v>Excellent</v>
      </c>
      <c r="AA1108" t="str">
        <f>IFERROR(__xludf.DUMMYFUNCTION("""COMPUTED_VALUE"""),"Poor")</f>
        <v>Poor</v>
      </c>
      <c r="AB1108" t="str">
        <f>IFERROR(__xludf.DUMMYFUNCTION("""COMPUTED_VALUE"""),"Very Good")</f>
        <v>Very Good</v>
      </c>
      <c r="AH1108" s="189">
        <f>IFERROR(__xludf.DUMMYFUNCTION("""COMPUTED_VALUE"""),43388.49279903935)</f>
        <v>43388.4928</v>
      </c>
    </row>
    <row r="1109">
      <c r="A1109" t="str">
        <f>IFERROR(__xludf.DUMMYFUNCTION("""COMPUTED_VALUE"""),"Scottingitup")</f>
        <v>Scottingitup</v>
      </c>
      <c r="C1109" t="str">
        <f>IFERROR(__xludf.DUMMYFUNCTION("""COMPUTED_VALUE"""),"FL")</f>
        <v>FL</v>
      </c>
      <c r="D1109" t="str">
        <f>IFERROR(__xludf.DUMMYFUNCTION("""COMPUTED_VALUE"""),"USA")</f>
        <v>USA</v>
      </c>
      <c r="E1109" s="188">
        <f>IFERROR(__xludf.DUMMYFUNCTION("""COMPUTED_VALUE"""),43278.0)</f>
        <v>43278</v>
      </c>
      <c r="F1109" s="188">
        <f>IFERROR(__xludf.DUMMYFUNCTION("""COMPUTED_VALUE"""),43357.0)</f>
        <v>43357</v>
      </c>
      <c r="H1109">
        <f>IFERROR(__xludf.DUMMYFUNCTION("""COMPUTED_VALUE"""),93455.0)</f>
        <v>93455</v>
      </c>
      <c r="J1109" s="5">
        <f>IFERROR(__xludf.DUMMYFUNCTION("""COMPUTED_VALUE"""),43386.0)</f>
        <v>43386</v>
      </c>
      <c r="K1109">
        <f>IFERROR(__xludf.DUMMYFUNCTION("""COMPUTED_VALUE"""),79.0)</f>
        <v>79</v>
      </c>
      <c r="L1109">
        <f>IFERROR(__xludf.DUMMYFUNCTION("""COMPUTED_VALUE"""),29.0)</f>
        <v>29</v>
      </c>
      <c r="M1109">
        <f>IFERROR(__xludf.DUMMYFUNCTION("""COMPUTED_VALUE"""),108.0)</f>
        <v>108</v>
      </c>
      <c r="N1109" t="str">
        <f>IFERROR(__xludf.DUMMYFUNCTION("""COMPUTED_VALUE"""),"Model 3 LR AWD")</f>
        <v>Model 3 LR AWD</v>
      </c>
      <c r="O1109" t="str">
        <f>IFERROR(__xludf.DUMMYFUNCTION("""COMPUTED_VALUE"""),"Red Multi-Coat")</f>
        <v>Red Multi-Coat</v>
      </c>
      <c r="P1109" t="str">
        <f>IFERROR(__xludf.DUMMYFUNCTION("""COMPUTED_VALUE"""),"18 inch Aero")</f>
        <v>18 inch Aero</v>
      </c>
      <c r="Q1109" t="str">
        <f>IFERROR(__xludf.DUMMYFUNCTION("""COMPUTED_VALUE"""),"Black seats")</f>
        <v>Black seats</v>
      </c>
      <c r="R1109" t="str">
        <f>IFERROR(__xludf.DUMMYFUNCTION("""COMPUTED_VALUE"""),"Enhanced Autopilot")</f>
        <v>Enhanced Autopilot</v>
      </c>
      <c r="X1109" t="str">
        <f>IFERROR(__xludf.DUMMYFUNCTION("""COMPUTED_VALUE"""),"Excellent")</f>
        <v>Excellent</v>
      </c>
      <c r="Y1109" t="str">
        <f>IFERROR(__xludf.DUMMYFUNCTION("""COMPUTED_VALUE"""),"Excellent")</f>
        <v>Excellent</v>
      </c>
      <c r="Z1109" t="str">
        <f>IFERROR(__xludf.DUMMYFUNCTION("""COMPUTED_VALUE"""),"Excellent")</f>
        <v>Excellent</v>
      </c>
      <c r="AA1109" t="str">
        <f>IFERROR(__xludf.DUMMYFUNCTION("""COMPUTED_VALUE"""),"Good")</f>
        <v>Good</v>
      </c>
      <c r="AB1109" t="str">
        <f>IFERROR(__xludf.DUMMYFUNCTION("""COMPUTED_VALUE"""),"Excellent")</f>
        <v>Excellent</v>
      </c>
      <c r="AH1109" s="189">
        <f>IFERROR(__xludf.DUMMYFUNCTION("""COMPUTED_VALUE"""),43388.60000016204)</f>
        <v>43388.6</v>
      </c>
    </row>
    <row r="1110">
      <c r="A1110" t="str">
        <f>IFERROR(__xludf.DUMMYFUNCTION("""COMPUTED_VALUE"""),"CABLUE")</f>
        <v>CABLUE</v>
      </c>
      <c r="B1110" t="str">
        <f>IFERROR(__xludf.DUMMYFUNCTION("""COMPUTED_VALUE"""),"Northern CA")</f>
        <v>Northern CA</v>
      </c>
      <c r="C1110" t="str">
        <f>IFERROR(__xludf.DUMMYFUNCTION("""COMPUTED_VALUE"""),"CA")</f>
        <v>CA</v>
      </c>
      <c r="D1110" t="str">
        <f>IFERROR(__xludf.DUMMYFUNCTION("""COMPUTED_VALUE"""),"USA")</f>
        <v>USA</v>
      </c>
      <c r="E1110" s="188">
        <f>IFERROR(__xludf.DUMMYFUNCTION("""COMPUTED_VALUE"""),43281.0)</f>
        <v>43281</v>
      </c>
      <c r="F1110" s="188">
        <f>IFERROR(__xludf.DUMMYFUNCTION("""COMPUTED_VALUE"""),43385.0)</f>
        <v>43385</v>
      </c>
      <c r="H1110">
        <f>IFERROR(__xludf.DUMMYFUNCTION("""COMPUTED_VALUE"""),83397.0)</f>
        <v>83397</v>
      </c>
      <c r="J1110" s="5">
        <f>IFERROR(__xludf.DUMMYFUNCTION("""COMPUTED_VALUE"""),43386.0)</f>
        <v>43386</v>
      </c>
      <c r="K1110">
        <f>IFERROR(__xludf.DUMMYFUNCTION("""COMPUTED_VALUE"""),104.0)</f>
        <v>104</v>
      </c>
      <c r="L1110">
        <f>IFERROR(__xludf.DUMMYFUNCTION("""COMPUTED_VALUE"""),1.0)</f>
        <v>1</v>
      </c>
      <c r="M1110">
        <f>IFERROR(__xludf.DUMMYFUNCTION("""COMPUTED_VALUE"""),105.0)</f>
        <v>105</v>
      </c>
      <c r="N1110" t="str">
        <f>IFERROR(__xludf.DUMMYFUNCTION("""COMPUTED_VALUE"""),"Model 3 Performance")</f>
        <v>Model 3 Performance</v>
      </c>
      <c r="O1110" t="str">
        <f>IFERROR(__xludf.DUMMYFUNCTION("""COMPUTED_VALUE"""),"Silver Metallic")</f>
        <v>Silver Metallic</v>
      </c>
      <c r="P1110" t="str">
        <f>IFERROR(__xludf.DUMMYFUNCTION("""COMPUTED_VALUE"""),"20 inch Sport")</f>
        <v>20 inch Sport</v>
      </c>
      <c r="Q1110" t="str">
        <f>IFERROR(__xludf.DUMMYFUNCTION("""COMPUTED_VALUE"""),"Black seats")</f>
        <v>Black seats</v>
      </c>
      <c r="R1110" t="str">
        <f>IFERROR(__xludf.DUMMYFUNCTION("""COMPUTED_VALUE"""),"Enhanced Autopilot")</f>
        <v>Enhanced Autopilot</v>
      </c>
      <c r="X1110" t="str">
        <f>IFERROR(__xludf.DUMMYFUNCTION("""COMPUTED_VALUE"""),"Excellent")</f>
        <v>Excellent</v>
      </c>
      <c r="Y1110" t="str">
        <f>IFERROR(__xludf.DUMMYFUNCTION("""COMPUTED_VALUE"""),"Excellent")</f>
        <v>Excellent</v>
      </c>
      <c r="Z1110" t="str">
        <f>IFERROR(__xludf.DUMMYFUNCTION("""COMPUTED_VALUE"""),"Excellent")</f>
        <v>Excellent</v>
      </c>
      <c r="AA1110" t="str">
        <f>IFERROR(__xludf.DUMMYFUNCTION("""COMPUTED_VALUE"""),"Poor")</f>
        <v>Poor</v>
      </c>
      <c r="AB1110" t="str">
        <f>IFERROR(__xludf.DUMMYFUNCTION("""COMPUTED_VALUE"""),"Fair")</f>
        <v>Fair</v>
      </c>
      <c r="AD1110">
        <f>IFERROR(__xludf.DUMMYFUNCTION("""COMPUTED_VALUE"""),1.0)</f>
        <v>1</v>
      </c>
      <c r="AG1110" t="str">
        <f>IFERROR(__xludf.DUMMYFUNCTION("""COMPUTED_VALUE"""),"Autopilot was not there as it should have been.  Three error messages on day 3, before 100 miles.  In shop now, day 3.  Not too concerned though.")</f>
        <v>Autopilot was not there as it should have been.  Three error messages on day 3, before 100 miles.  In shop now, day 3.  Not too concerned though.</v>
      </c>
      <c r="AH1110" s="189">
        <f>IFERROR(__xludf.DUMMYFUNCTION("""COMPUTED_VALUE"""),43388.60474829861)</f>
        <v>43388.60475</v>
      </c>
    </row>
    <row r="1111">
      <c r="A1111" t="str">
        <f>IFERROR(__xludf.DUMMYFUNCTION("""COMPUTED_VALUE"""),"jb")</f>
        <v>jb</v>
      </c>
      <c r="B1111" t="str">
        <f>IFERROR(__xludf.DUMMYFUNCTION("""COMPUTED_VALUE"""),"Boulder")</f>
        <v>Boulder</v>
      </c>
      <c r="C1111" t="str">
        <f>IFERROR(__xludf.DUMMYFUNCTION("""COMPUTED_VALUE"""),"CO")</f>
        <v>CO</v>
      </c>
      <c r="D1111" t="str">
        <f>IFERROR(__xludf.DUMMYFUNCTION("""COMPUTED_VALUE"""),"USA")</f>
        <v>USA</v>
      </c>
      <c r="E1111" s="188">
        <f>IFERROR(__xludf.DUMMYFUNCTION("""COMPUTED_VALUE"""),43281.0)</f>
        <v>43281</v>
      </c>
      <c r="F1111" s="188">
        <f>IFERROR(__xludf.DUMMYFUNCTION("""COMPUTED_VALUE"""),43377.0)</f>
        <v>43377</v>
      </c>
      <c r="H1111">
        <f>IFERROR(__xludf.DUMMYFUNCTION("""COMPUTED_VALUE"""),116955.0)</f>
        <v>116955</v>
      </c>
      <c r="I1111" t="str">
        <f>IFERROR(__xludf.DUMMYFUNCTION("""COMPUTED_VALUE"""),"10/18")</f>
        <v>10/18</v>
      </c>
      <c r="J1111" s="5">
        <f>IFERROR(__xludf.DUMMYFUNCTION("""COMPUTED_VALUE"""),43386.0)</f>
        <v>43386</v>
      </c>
      <c r="K1111">
        <f>IFERROR(__xludf.DUMMYFUNCTION("""COMPUTED_VALUE"""),96.0)</f>
        <v>96</v>
      </c>
      <c r="L1111">
        <f>IFERROR(__xludf.DUMMYFUNCTION("""COMPUTED_VALUE"""),9.0)</f>
        <v>9</v>
      </c>
      <c r="M1111">
        <f>IFERROR(__xludf.DUMMYFUNCTION("""COMPUTED_VALUE"""),105.0)</f>
        <v>105</v>
      </c>
      <c r="N1111" t="str">
        <f>IFERROR(__xludf.DUMMYFUNCTION("""COMPUTED_VALUE"""),"Model 3 LR AWD")</f>
        <v>Model 3 LR AWD</v>
      </c>
      <c r="O1111" t="str">
        <f>IFERROR(__xludf.DUMMYFUNCTION("""COMPUTED_VALUE"""),"Silver Metallic")</f>
        <v>Silver Metallic</v>
      </c>
      <c r="P1111" t="str">
        <f>IFERROR(__xludf.DUMMYFUNCTION("""COMPUTED_VALUE"""),"19 inch Sport")</f>
        <v>19 inch Sport</v>
      </c>
      <c r="Q1111" t="str">
        <f>IFERROR(__xludf.DUMMYFUNCTION("""COMPUTED_VALUE"""),"Black seats")</f>
        <v>Black seats</v>
      </c>
      <c r="R1111" t="str">
        <f>IFERROR(__xludf.DUMMYFUNCTION("""COMPUTED_VALUE"""),"None")</f>
        <v>None</v>
      </c>
      <c r="X1111" t="str">
        <f>IFERROR(__xludf.DUMMYFUNCTION("""COMPUTED_VALUE"""),"Excellent")</f>
        <v>Excellent</v>
      </c>
      <c r="Y1111" t="str">
        <f>IFERROR(__xludf.DUMMYFUNCTION("""COMPUTED_VALUE"""),"Excellent")</f>
        <v>Excellent</v>
      </c>
      <c r="Z1111" t="str">
        <f>IFERROR(__xludf.DUMMYFUNCTION("""COMPUTED_VALUE"""),"Excellent")</f>
        <v>Excellent</v>
      </c>
      <c r="AA1111" t="str">
        <f>IFERROR(__xludf.DUMMYFUNCTION("""COMPUTED_VALUE"""),"Poor")</f>
        <v>Poor</v>
      </c>
      <c r="AB1111" t="str">
        <f>IFERROR(__xludf.DUMMYFUNCTION("""COMPUTED_VALUE"""),"Excellent")</f>
        <v>Excellent</v>
      </c>
      <c r="AH1111" s="189">
        <f>IFERROR(__xludf.DUMMYFUNCTION("""COMPUTED_VALUE"""),43388.62842811343)</f>
        <v>43388.62843</v>
      </c>
    </row>
    <row r="1112">
      <c r="A1112" t="str">
        <f>IFERROR(__xludf.DUMMYFUNCTION("""COMPUTED_VALUE"""),"aaronl")</f>
        <v>aaronl</v>
      </c>
      <c r="B1112" t="str">
        <f>IFERROR(__xludf.DUMMYFUNCTION("""COMPUTED_VALUE"""),"Westport")</f>
        <v>Westport</v>
      </c>
      <c r="C1112" t="str">
        <f>IFERROR(__xludf.DUMMYFUNCTION("""COMPUTED_VALUE"""),"CT")</f>
        <v>CT</v>
      </c>
      <c r="D1112" t="str">
        <f>IFERROR(__xludf.DUMMYFUNCTION("""COMPUTED_VALUE"""),"USA")</f>
        <v>USA</v>
      </c>
      <c r="E1112" s="188">
        <f>IFERROR(__xludf.DUMMYFUNCTION("""COMPUTED_VALUE"""),43278.0)</f>
        <v>43278</v>
      </c>
      <c r="F1112" s="188">
        <f>IFERROR(__xludf.DUMMYFUNCTION("""COMPUTED_VALUE"""),43384.0)</f>
        <v>43384</v>
      </c>
      <c r="H1112">
        <f>IFERROR(__xludf.DUMMYFUNCTION("""COMPUTED_VALUE"""),103855.0)</f>
        <v>103855</v>
      </c>
      <c r="I1112" t="str">
        <f>IFERROR(__xludf.DUMMYFUNCTION("""COMPUTED_VALUE"""),"09/18")</f>
        <v>09/18</v>
      </c>
      <c r="J1112" s="5">
        <f>IFERROR(__xludf.DUMMYFUNCTION("""COMPUTED_VALUE"""),43386.0)</f>
        <v>43386</v>
      </c>
      <c r="K1112">
        <f>IFERROR(__xludf.DUMMYFUNCTION("""COMPUTED_VALUE"""),106.0)</f>
        <v>106</v>
      </c>
      <c r="L1112">
        <f>IFERROR(__xludf.DUMMYFUNCTION("""COMPUTED_VALUE"""),2.0)</f>
        <v>2</v>
      </c>
      <c r="M1112">
        <f>IFERROR(__xludf.DUMMYFUNCTION("""COMPUTED_VALUE"""),108.0)</f>
        <v>108</v>
      </c>
      <c r="N1112" t="str">
        <f>IFERROR(__xludf.DUMMYFUNCTION("""COMPUTED_VALUE"""),"Model 3 LR AWD")</f>
        <v>Model 3 LR AWD</v>
      </c>
      <c r="O1112" t="str">
        <f>IFERROR(__xludf.DUMMYFUNCTION("""COMPUTED_VALUE"""),"Midnight Silver Metallic")</f>
        <v>Midnight Silver Metallic</v>
      </c>
      <c r="P1112" t="str">
        <f>IFERROR(__xludf.DUMMYFUNCTION("""COMPUTED_VALUE"""),"18 inch Aero")</f>
        <v>18 inch Aero</v>
      </c>
      <c r="Q1112" t="str">
        <f>IFERROR(__xludf.DUMMYFUNCTION("""COMPUTED_VALUE"""),"Black seats")</f>
        <v>Black seats</v>
      </c>
      <c r="R1112" t="str">
        <f>IFERROR(__xludf.DUMMYFUNCTION("""COMPUTED_VALUE"""),"Enhanced Autopilot")</f>
        <v>Enhanced Autopilot</v>
      </c>
      <c r="X1112" t="str">
        <f>IFERROR(__xludf.DUMMYFUNCTION("""COMPUTED_VALUE"""),"Excellent")</f>
        <v>Excellent</v>
      </c>
      <c r="Y1112" t="str">
        <f>IFERROR(__xludf.DUMMYFUNCTION("""COMPUTED_VALUE"""),"Excellent")</f>
        <v>Excellent</v>
      </c>
      <c r="Z1112" t="str">
        <f>IFERROR(__xludf.DUMMYFUNCTION("""COMPUTED_VALUE"""),"Excellent")</f>
        <v>Excellent</v>
      </c>
      <c r="AA1112" t="str">
        <f>IFERROR(__xludf.DUMMYFUNCTION("""COMPUTED_VALUE"""),"Excellent")</f>
        <v>Excellent</v>
      </c>
      <c r="AB1112" t="str">
        <f>IFERROR(__xludf.DUMMYFUNCTION("""COMPUTED_VALUE"""),"Excellent")</f>
        <v>Excellent</v>
      </c>
      <c r="AH1112" s="189">
        <f>IFERROR(__xludf.DUMMYFUNCTION("""COMPUTED_VALUE"""),43388.79466486111)</f>
        <v>43388.79466</v>
      </c>
    </row>
    <row r="1113">
      <c r="A1113" t="str">
        <f>IFERROR(__xludf.DUMMYFUNCTION("""COMPUTED_VALUE"""),"bevjen")</f>
        <v>bevjen</v>
      </c>
      <c r="B1113" t="str">
        <f>IFERROR(__xludf.DUMMYFUNCTION("""COMPUTED_VALUE"""),"Independence")</f>
        <v>Independence</v>
      </c>
      <c r="C1113" t="str">
        <f>IFERROR(__xludf.DUMMYFUNCTION("""COMPUTED_VALUE"""),"MN")</f>
        <v>MN</v>
      </c>
      <c r="D1113" t="str">
        <f>IFERROR(__xludf.DUMMYFUNCTION("""COMPUTED_VALUE"""),"USA")</f>
        <v>USA</v>
      </c>
      <c r="E1113" s="188">
        <f>IFERROR(__xludf.DUMMYFUNCTION("""COMPUTED_VALUE"""),43278.0)</f>
        <v>43278</v>
      </c>
      <c r="F1113" s="188">
        <f>IFERROR(__xludf.DUMMYFUNCTION("""COMPUTED_VALUE"""),43360.0)</f>
        <v>43360</v>
      </c>
      <c r="H1113">
        <f>IFERROR(__xludf.DUMMYFUNCTION("""COMPUTED_VALUE"""),90983.0)</f>
        <v>90983</v>
      </c>
      <c r="I1113" t="str">
        <f>IFERROR(__xludf.DUMMYFUNCTION("""COMPUTED_VALUE"""),"09/18")</f>
        <v>09/18</v>
      </c>
      <c r="J1113" s="5">
        <f>IFERROR(__xludf.DUMMYFUNCTION("""COMPUTED_VALUE"""),43377.0)</f>
        <v>43377</v>
      </c>
      <c r="K1113">
        <f>IFERROR(__xludf.DUMMYFUNCTION("""COMPUTED_VALUE"""),82.0)</f>
        <v>82</v>
      </c>
      <c r="L1113">
        <f>IFERROR(__xludf.DUMMYFUNCTION("""COMPUTED_VALUE"""),17.0)</f>
        <v>17</v>
      </c>
      <c r="M1113">
        <f>IFERROR(__xludf.DUMMYFUNCTION("""COMPUTED_VALUE"""),99.0)</f>
        <v>99</v>
      </c>
      <c r="N1113" t="str">
        <f>IFERROR(__xludf.DUMMYFUNCTION("""COMPUTED_VALUE"""),"Model 3 LR AWD")</f>
        <v>Model 3 LR AWD</v>
      </c>
      <c r="O1113" t="str">
        <f>IFERROR(__xludf.DUMMYFUNCTION("""COMPUTED_VALUE"""),"Midnight Silver Metallic")</f>
        <v>Midnight Silver Metallic</v>
      </c>
      <c r="P1113" t="str">
        <f>IFERROR(__xludf.DUMMYFUNCTION("""COMPUTED_VALUE"""),"18 inch Aero")</f>
        <v>18 inch Aero</v>
      </c>
      <c r="Q1113" t="str">
        <f>IFERROR(__xludf.DUMMYFUNCTION("""COMPUTED_VALUE"""),"Black seats")</f>
        <v>Black seats</v>
      </c>
      <c r="R1113" t="str">
        <f>IFERROR(__xludf.DUMMYFUNCTION("""COMPUTED_VALUE"""),"Enhanced Autopilot")</f>
        <v>Enhanced Autopilot</v>
      </c>
      <c r="X1113" t="str">
        <f>IFERROR(__xludf.DUMMYFUNCTION("""COMPUTED_VALUE"""),"Excellent")</f>
        <v>Excellent</v>
      </c>
      <c r="Y1113" t="str">
        <f>IFERROR(__xludf.DUMMYFUNCTION("""COMPUTED_VALUE"""),"Excellent")</f>
        <v>Excellent</v>
      </c>
      <c r="Z1113" t="str">
        <f>IFERROR(__xludf.DUMMYFUNCTION("""COMPUTED_VALUE"""),"Excellent")</f>
        <v>Excellent</v>
      </c>
      <c r="AA1113" t="str">
        <f>IFERROR(__xludf.DUMMYFUNCTION("""COMPUTED_VALUE"""),"Good")</f>
        <v>Good</v>
      </c>
      <c r="AB1113" t="str">
        <f>IFERROR(__xludf.DUMMYFUNCTION("""COMPUTED_VALUE"""),"Very Good")</f>
        <v>Very Good</v>
      </c>
      <c r="AG1113" t="str">
        <f>IFERROR(__xludf.DUMMYFUNCTION("""COMPUTED_VALUE"""),"Original delivery was 9/24. Delayed on 9/19.")</f>
        <v>Original delivery was 9/24. Delayed on 9/19.</v>
      </c>
      <c r="AH1113" s="189">
        <f>IFERROR(__xludf.DUMMYFUNCTION("""COMPUTED_VALUE"""),43389.51703392361)</f>
        <v>43389.51703</v>
      </c>
    </row>
    <row r="1114">
      <c r="A1114" t="str">
        <f>IFERROR(__xludf.DUMMYFUNCTION("""COMPUTED_VALUE"""),"Smoken")</f>
        <v>Smoken</v>
      </c>
      <c r="B1114" t="str">
        <f>IFERROR(__xludf.DUMMYFUNCTION("""COMPUTED_VALUE"""),"Destin")</f>
        <v>Destin</v>
      </c>
      <c r="C1114" t="str">
        <f>IFERROR(__xludf.DUMMYFUNCTION("""COMPUTED_VALUE"""),"FL")</f>
        <v>FL</v>
      </c>
      <c r="D1114" t="str">
        <f>IFERROR(__xludf.DUMMYFUNCTION("""COMPUTED_VALUE"""),"USA")</f>
        <v>USA</v>
      </c>
      <c r="E1114" s="188">
        <f>IFERROR(__xludf.DUMMYFUNCTION("""COMPUTED_VALUE"""),43336.0)</f>
        <v>43336</v>
      </c>
      <c r="F1114" s="188">
        <f>IFERROR(__xludf.DUMMYFUNCTION("""COMPUTED_VALUE"""),43351.0)</f>
        <v>43351</v>
      </c>
      <c r="H1114">
        <f>IFERROR(__xludf.DUMMYFUNCTION("""COMPUTED_VALUE"""),55255.0)</f>
        <v>55255</v>
      </c>
      <c r="I1114" t="str">
        <f>IFERROR(__xludf.DUMMYFUNCTION("""COMPUTED_VALUE"""),"07/18")</f>
        <v>07/18</v>
      </c>
      <c r="J1114" s="5">
        <f>IFERROR(__xludf.DUMMYFUNCTION("""COMPUTED_VALUE"""),43373.0)</f>
        <v>43373</v>
      </c>
      <c r="K1114">
        <f>IFERROR(__xludf.DUMMYFUNCTION("""COMPUTED_VALUE"""),15.0)</f>
        <v>15</v>
      </c>
      <c r="L1114">
        <f>IFERROR(__xludf.DUMMYFUNCTION("""COMPUTED_VALUE"""),22.0)</f>
        <v>22</v>
      </c>
      <c r="M1114">
        <f>IFERROR(__xludf.DUMMYFUNCTION("""COMPUTED_VALUE"""),37.0)</f>
        <v>37</v>
      </c>
      <c r="N1114" t="str">
        <f>IFERROR(__xludf.DUMMYFUNCTION("""COMPUTED_VALUE"""),"Model 3 Performance")</f>
        <v>Model 3 Performance</v>
      </c>
      <c r="O1114" t="str">
        <f>IFERROR(__xludf.DUMMYFUNCTION("""COMPUTED_VALUE"""),"Midnight Silver Metallic")</f>
        <v>Midnight Silver Metallic</v>
      </c>
      <c r="P1114" t="str">
        <f>IFERROR(__xludf.DUMMYFUNCTION("""COMPUTED_VALUE"""),"20 inch Sport")</f>
        <v>20 inch Sport</v>
      </c>
      <c r="Q1114" t="str">
        <f>IFERROR(__xludf.DUMMYFUNCTION("""COMPUTED_VALUE"""),"White seats")</f>
        <v>White seats</v>
      </c>
      <c r="R1114" t="str">
        <f>IFERROR(__xludf.DUMMYFUNCTION("""COMPUTED_VALUE"""),"Enhanced Autopilot")</f>
        <v>Enhanced Autopilot</v>
      </c>
      <c r="X1114" t="str">
        <f>IFERROR(__xludf.DUMMYFUNCTION("""COMPUTED_VALUE"""),"Excellent")</f>
        <v>Excellent</v>
      </c>
      <c r="Y1114" t="str">
        <f>IFERROR(__xludf.DUMMYFUNCTION("""COMPUTED_VALUE"""),"Excellent")</f>
        <v>Excellent</v>
      </c>
      <c r="Z1114" t="str">
        <f>IFERROR(__xludf.DUMMYFUNCTION("""COMPUTED_VALUE"""),"Excellent")</f>
        <v>Excellent</v>
      </c>
      <c r="AA1114" t="str">
        <f>IFERROR(__xludf.DUMMYFUNCTION("""COMPUTED_VALUE"""),"Poor")</f>
        <v>Poor</v>
      </c>
      <c r="AB1114" t="str">
        <f>IFERROR(__xludf.DUMMYFUNCTION("""COMPUTED_VALUE"""),"Fair")</f>
        <v>Fair</v>
      </c>
      <c r="AC1114">
        <f>IFERROR(__xludf.DUMMYFUNCTION("""COMPUTED_VALUE"""),0.0)</f>
        <v>0</v>
      </c>
      <c r="AD1114">
        <f>IFERROR(__xludf.DUMMYFUNCTION("""COMPUTED_VALUE"""),0.0)</f>
        <v>0</v>
      </c>
      <c r="AE1114">
        <f>IFERROR(__xludf.DUMMYFUNCTION("""COMPUTED_VALUE"""),0.0)</f>
        <v>0</v>
      </c>
      <c r="AH1114" s="189">
        <f>IFERROR(__xludf.DUMMYFUNCTION("""COMPUTED_VALUE"""),43389.73154097222)</f>
        <v>43389.73154</v>
      </c>
    </row>
    <row r="1115">
      <c r="A1115" t="str">
        <f>IFERROR(__xludf.DUMMYFUNCTION("""COMPUTED_VALUE"""),"nmm3")</f>
        <v>nmm3</v>
      </c>
      <c r="B1115" t="str">
        <f>IFERROR(__xludf.DUMMYFUNCTION("""COMPUTED_VALUE"""),"New Mexico")</f>
        <v>New Mexico</v>
      </c>
      <c r="C1115" t="str">
        <f>IFERROR(__xludf.DUMMYFUNCTION("""COMPUTED_VALUE"""),"NM")</f>
        <v>NM</v>
      </c>
      <c r="D1115" t="str">
        <f>IFERROR(__xludf.DUMMYFUNCTION("""COMPUTED_VALUE"""),"USA")</f>
        <v>USA</v>
      </c>
      <c r="E1115" s="188">
        <f>IFERROR(__xludf.DUMMYFUNCTION("""COMPUTED_VALUE"""),43321.0)</f>
        <v>43321</v>
      </c>
      <c r="H1115">
        <f>IFERROR(__xludf.DUMMYFUNCTION("""COMPUTED_VALUE"""),87455.0)</f>
        <v>87455</v>
      </c>
      <c r="I1115" t="str">
        <f>IFERROR(__xludf.DUMMYFUNCTION("""COMPUTED_VALUE"""),"09/18")</f>
        <v>09/18</v>
      </c>
      <c r="J1115" s="5">
        <f>IFERROR(__xludf.DUMMYFUNCTION("""COMPUTED_VALUE"""),43385.0)</f>
        <v>43385</v>
      </c>
      <c r="M1115">
        <f>IFERROR(__xludf.DUMMYFUNCTION("""COMPUTED_VALUE"""),64.0)</f>
        <v>64</v>
      </c>
      <c r="N1115" t="str">
        <f>IFERROR(__xludf.DUMMYFUNCTION("""COMPUTED_VALUE"""),"Model 3 LR AWD")</f>
        <v>Model 3 LR AWD</v>
      </c>
      <c r="O1115" t="str">
        <f>IFERROR(__xludf.DUMMYFUNCTION("""COMPUTED_VALUE"""),"Silver Metallic")</f>
        <v>Silver Metallic</v>
      </c>
      <c r="P1115" t="str">
        <f>IFERROR(__xludf.DUMMYFUNCTION("""COMPUTED_VALUE"""),"18 inch Aero")</f>
        <v>18 inch Aero</v>
      </c>
      <c r="Q1115" t="str">
        <f>IFERROR(__xludf.DUMMYFUNCTION("""COMPUTED_VALUE"""),"Black seats")</f>
        <v>Black seats</v>
      </c>
      <c r="R1115" t="str">
        <f>IFERROR(__xludf.DUMMYFUNCTION("""COMPUTED_VALUE"""),"Enhanced Autopilot")</f>
        <v>Enhanced Autopilot</v>
      </c>
      <c r="X1115" t="str">
        <f>IFERROR(__xludf.DUMMYFUNCTION("""COMPUTED_VALUE"""),"Excellent")</f>
        <v>Excellent</v>
      </c>
      <c r="Y1115" t="str">
        <f>IFERROR(__xludf.DUMMYFUNCTION("""COMPUTED_VALUE"""),"Excellent")</f>
        <v>Excellent</v>
      </c>
      <c r="Z1115" t="str">
        <f>IFERROR(__xludf.DUMMYFUNCTION("""COMPUTED_VALUE"""),"Excellent")</f>
        <v>Excellent</v>
      </c>
      <c r="AA1115" t="str">
        <f>IFERROR(__xludf.DUMMYFUNCTION("""COMPUTED_VALUE"""),"Fair")</f>
        <v>Fair</v>
      </c>
      <c r="AB1115" t="str">
        <f>IFERROR(__xludf.DUMMYFUNCTION("""COMPUTED_VALUE"""),"Very Good")</f>
        <v>Very Good</v>
      </c>
      <c r="AC1115">
        <f>IFERROR(__xludf.DUMMYFUNCTION("""COMPUTED_VALUE"""),0.0)</f>
        <v>0</v>
      </c>
      <c r="AD1115">
        <f>IFERROR(__xludf.DUMMYFUNCTION("""COMPUTED_VALUE"""),0.0)</f>
        <v>0</v>
      </c>
      <c r="AE1115">
        <f>IFERROR(__xludf.DUMMYFUNCTION("""COMPUTED_VALUE"""),0.0)</f>
        <v>0</v>
      </c>
      <c r="AH1115" s="189">
        <f>IFERROR(__xludf.DUMMYFUNCTION("""COMPUTED_VALUE"""),43390.35866759259)</f>
        <v>43390.35867</v>
      </c>
    </row>
    <row r="1116">
      <c r="A1116" t="str">
        <f>IFERROR(__xludf.DUMMYFUNCTION("""COMPUTED_VALUE"""),"CKKMaGe")</f>
        <v>CKKMaGe</v>
      </c>
      <c r="B1116" t="str">
        <f>IFERROR(__xludf.DUMMYFUNCTION("""COMPUTED_VALUE"""),"Los Angeles")</f>
        <v>Los Angeles</v>
      </c>
      <c r="C1116" t="str">
        <f>IFERROR(__xludf.DUMMYFUNCTION("""COMPUTED_VALUE"""),"CA")</f>
        <v>CA</v>
      </c>
      <c r="D1116" t="str">
        <f>IFERROR(__xludf.DUMMYFUNCTION("""COMPUTED_VALUE"""),"USA")</f>
        <v>USA</v>
      </c>
      <c r="E1116" s="188">
        <f>IFERROR(__xludf.DUMMYFUNCTION("""COMPUTED_VALUE"""),43321.0)</f>
        <v>43321</v>
      </c>
      <c r="F1116" s="188">
        <f>IFERROR(__xludf.DUMMYFUNCTION("""COMPUTED_VALUE"""),43364.0)</f>
        <v>43364</v>
      </c>
      <c r="H1116">
        <f>IFERROR(__xludf.DUMMYFUNCTION("""COMPUTED_VALUE"""),107755.0)</f>
        <v>107755</v>
      </c>
      <c r="I1116" t="str">
        <f>IFERROR(__xludf.DUMMYFUNCTION("""COMPUTED_VALUE"""),"09/18")</f>
        <v>09/18</v>
      </c>
      <c r="J1116" s="5">
        <f>IFERROR(__xludf.DUMMYFUNCTION("""COMPUTED_VALUE"""),43369.0)</f>
        <v>43369</v>
      </c>
      <c r="K1116">
        <f>IFERROR(__xludf.DUMMYFUNCTION("""COMPUTED_VALUE"""),43.0)</f>
        <v>43</v>
      </c>
      <c r="L1116">
        <f>IFERROR(__xludf.DUMMYFUNCTION("""COMPUTED_VALUE"""),5.0)</f>
        <v>5</v>
      </c>
      <c r="M1116">
        <f>IFERROR(__xludf.DUMMYFUNCTION("""COMPUTED_VALUE"""),48.0)</f>
        <v>48</v>
      </c>
      <c r="N1116" t="str">
        <f>IFERROR(__xludf.DUMMYFUNCTION("""COMPUTED_VALUE"""),"Model 3 Performance")</f>
        <v>Model 3 Performance</v>
      </c>
      <c r="O1116" t="str">
        <f>IFERROR(__xludf.DUMMYFUNCTION("""COMPUTED_VALUE"""),"Obsidian Black Metallic")</f>
        <v>Obsidian Black Metallic</v>
      </c>
      <c r="P1116" t="str">
        <f>IFERROR(__xludf.DUMMYFUNCTION("""COMPUTED_VALUE"""),"20 inch Sport")</f>
        <v>20 inch Sport</v>
      </c>
      <c r="Q1116" t="str">
        <f>IFERROR(__xludf.DUMMYFUNCTION("""COMPUTED_VALUE"""),"Black seats")</f>
        <v>Black seats</v>
      </c>
      <c r="R1116" t="str">
        <f>IFERROR(__xludf.DUMMYFUNCTION("""COMPUTED_VALUE"""),"Full Self-Driving")</f>
        <v>Full Self-Driving</v>
      </c>
      <c r="X1116" t="str">
        <f>IFERROR(__xludf.DUMMYFUNCTION("""COMPUTED_VALUE"""),"Excellent")</f>
        <v>Excellent</v>
      </c>
      <c r="Y1116" t="str">
        <f>IFERROR(__xludf.DUMMYFUNCTION("""COMPUTED_VALUE"""),"Excellent")</f>
        <v>Excellent</v>
      </c>
      <c r="Z1116" t="str">
        <f>IFERROR(__xludf.DUMMYFUNCTION("""COMPUTED_VALUE"""),"Excellent")</f>
        <v>Excellent</v>
      </c>
      <c r="AA1116" t="str">
        <f>IFERROR(__xludf.DUMMYFUNCTION("""COMPUTED_VALUE"""),"Excellent")</f>
        <v>Excellent</v>
      </c>
      <c r="AB1116" t="str">
        <f>IFERROR(__xludf.DUMMYFUNCTION("""COMPUTED_VALUE"""),"Excellent")</f>
        <v>Excellent</v>
      </c>
      <c r="AC1116">
        <f>IFERROR(__xludf.DUMMYFUNCTION("""COMPUTED_VALUE"""),0.0)</f>
        <v>0</v>
      </c>
      <c r="AD1116">
        <f>IFERROR(__xludf.DUMMYFUNCTION("""COMPUTED_VALUE"""),0.0)</f>
        <v>0</v>
      </c>
      <c r="AE1116">
        <f>IFERROR(__xludf.DUMMYFUNCTION("""COMPUTED_VALUE"""),0.0)</f>
        <v>0</v>
      </c>
      <c r="AH1116" s="189">
        <f>IFERROR(__xludf.DUMMYFUNCTION("""COMPUTED_VALUE"""),43390.43813818287)</f>
        <v>43390.43814</v>
      </c>
    </row>
    <row r="1117">
      <c r="A1117" t="str">
        <f>IFERROR(__xludf.DUMMYFUNCTION("""COMPUTED_VALUE"""),"jstackman")</f>
        <v>jstackman</v>
      </c>
      <c r="B1117" t="str">
        <f>IFERROR(__xludf.DUMMYFUNCTION("""COMPUTED_VALUE"""),"Burien")</f>
        <v>Burien</v>
      </c>
      <c r="C1117" t="str">
        <f>IFERROR(__xludf.DUMMYFUNCTION("""COMPUTED_VALUE"""),"WA")</f>
        <v>WA</v>
      </c>
      <c r="D1117" t="str">
        <f>IFERROR(__xludf.DUMMYFUNCTION("""COMPUTED_VALUE"""),"USA")</f>
        <v>USA</v>
      </c>
      <c r="E1117" s="188">
        <f>IFERROR(__xludf.DUMMYFUNCTION("""COMPUTED_VALUE"""),43278.0)</f>
        <v>43278</v>
      </c>
      <c r="F1117" s="188">
        <f>IFERROR(__xludf.DUMMYFUNCTION("""COMPUTED_VALUE"""),43363.0)</f>
        <v>43363</v>
      </c>
      <c r="H1117">
        <f>IFERROR(__xludf.DUMMYFUNCTION("""COMPUTED_VALUE"""),87925.0)</f>
        <v>87925</v>
      </c>
      <c r="I1117" t="str">
        <f>IFERROR(__xludf.DUMMYFUNCTION("""COMPUTED_VALUE"""),"09/18")</f>
        <v>09/18</v>
      </c>
      <c r="J1117" s="5">
        <f>IFERROR(__xludf.DUMMYFUNCTION("""COMPUTED_VALUE"""),43385.0)</f>
        <v>43385</v>
      </c>
      <c r="K1117">
        <f>IFERROR(__xludf.DUMMYFUNCTION("""COMPUTED_VALUE"""),85.0)</f>
        <v>85</v>
      </c>
      <c r="L1117">
        <f>IFERROR(__xludf.DUMMYFUNCTION("""COMPUTED_VALUE"""),22.0)</f>
        <v>22</v>
      </c>
      <c r="M1117">
        <f>IFERROR(__xludf.DUMMYFUNCTION("""COMPUTED_VALUE"""),107.0)</f>
        <v>107</v>
      </c>
      <c r="N1117" t="str">
        <f>IFERROR(__xludf.DUMMYFUNCTION("""COMPUTED_VALUE"""),"Model 3 Performance")</f>
        <v>Model 3 Performance</v>
      </c>
      <c r="O1117" t="str">
        <f>IFERROR(__xludf.DUMMYFUNCTION("""COMPUTED_VALUE"""),"Red Multi-Coat")</f>
        <v>Red Multi-Coat</v>
      </c>
      <c r="P1117" t="str">
        <f>IFERROR(__xludf.DUMMYFUNCTION("""COMPUTED_VALUE"""),"18 inch Aero")</f>
        <v>18 inch Aero</v>
      </c>
      <c r="Q1117" t="str">
        <f>IFERROR(__xludf.DUMMYFUNCTION("""COMPUTED_VALUE"""),"Black seats")</f>
        <v>Black seats</v>
      </c>
      <c r="R1117" t="str">
        <f>IFERROR(__xludf.DUMMYFUNCTION("""COMPUTED_VALUE"""),"None")</f>
        <v>None</v>
      </c>
      <c r="X1117" t="str">
        <f>IFERROR(__xludf.DUMMYFUNCTION("""COMPUTED_VALUE"""),"Excellent")</f>
        <v>Excellent</v>
      </c>
      <c r="Y1117" t="str">
        <f>IFERROR(__xludf.DUMMYFUNCTION("""COMPUTED_VALUE"""),"Excellent")</f>
        <v>Excellent</v>
      </c>
      <c r="Z1117" t="str">
        <f>IFERROR(__xludf.DUMMYFUNCTION("""COMPUTED_VALUE"""),"Excellent")</f>
        <v>Excellent</v>
      </c>
      <c r="AA1117" t="str">
        <f>IFERROR(__xludf.DUMMYFUNCTION("""COMPUTED_VALUE"""),"Fair")</f>
        <v>Fair</v>
      </c>
      <c r="AB1117" t="str">
        <f>IFERROR(__xludf.DUMMYFUNCTION("""COMPUTED_VALUE"""),"Fair")</f>
        <v>Fair</v>
      </c>
      <c r="AC1117">
        <f>IFERROR(__xludf.DUMMYFUNCTION("""COMPUTED_VALUE"""),2.0)</f>
        <v>2</v>
      </c>
      <c r="AD1117">
        <f>IFERROR(__xludf.DUMMYFUNCTION("""COMPUTED_VALUE"""),1.0)</f>
        <v>1</v>
      </c>
      <c r="AE1117">
        <f>IFERROR(__xludf.DUMMYFUNCTION("""COMPUTED_VALUE"""),0.0)</f>
        <v>0</v>
      </c>
      <c r="AH1117" s="189">
        <f>IFERROR(__xludf.DUMMYFUNCTION("""COMPUTED_VALUE"""),43390.49735868056)</f>
        <v>43390.49736</v>
      </c>
    </row>
    <row r="1118">
      <c r="A1118" t="str">
        <f>IFERROR(__xludf.DUMMYFUNCTION("""COMPUTED_VALUE"""),"nam3")</f>
        <v>nam3</v>
      </c>
      <c r="B1118" t="str">
        <f>IFERROR(__xludf.DUMMYFUNCTION("""COMPUTED_VALUE"""),"Pleasanton")</f>
        <v>Pleasanton</v>
      </c>
      <c r="C1118" t="str">
        <f>IFERROR(__xludf.DUMMYFUNCTION("""COMPUTED_VALUE"""),"CA")</f>
        <v>CA</v>
      </c>
      <c r="D1118" t="str">
        <f>IFERROR(__xludf.DUMMYFUNCTION("""COMPUTED_VALUE"""),"USA")</f>
        <v>USA</v>
      </c>
      <c r="E1118" s="188">
        <f>IFERROR(__xludf.DUMMYFUNCTION("""COMPUTED_VALUE"""),43278.0)</f>
        <v>43278</v>
      </c>
      <c r="F1118" s="188">
        <f>IFERROR(__xludf.DUMMYFUNCTION("""COMPUTED_VALUE"""),43350.0)</f>
        <v>43350</v>
      </c>
      <c r="H1118">
        <f>IFERROR(__xludf.DUMMYFUNCTION("""COMPUTED_VALUE"""),89855.0)</f>
        <v>89855</v>
      </c>
      <c r="J1118" s="5">
        <f>IFERROR(__xludf.DUMMYFUNCTION("""COMPUTED_VALUE"""),43373.0)</f>
        <v>43373</v>
      </c>
      <c r="K1118">
        <f>IFERROR(__xludf.DUMMYFUNCTION("""COMPUTED_VALUE"""),72.0)</f>
        <v>72</v>
      </c>
      <c r="L1118">
        <f>IFERROR(__xludf.DUMMYFUNCTION("""COMPUTED_VALUE"""),23.0)</f>
        <v>23</v>
      </c>
      <c r="M1118">
        <f>IFERROR(__xludf.DUMMYFUNCTION("""COMPUTED_VALUE"""),95.0)</f>
        <v>95</v>
      </c>
      <c r="N1118" t="str">
        <f>IFERROR(__xludf.DUMMYFUNCTION("""COMPUTED_VALUE"""),"Model 3 LR AWD")</f>
        <v>Model 3 LR AWD</v>
      </c>
      <c r="O1118" t="str">
        <f>IFERROR(__xludf.DUMMYFUNCTION("""COMPUTED_VALUE"""),"Midnight Silver Metallic")</f>
        <v>Midnight Silver Metallic</v>
      </c>
      <c r="P1118" t="str">
        <f>IFERROR(__xludf.DUMMYFUNCTION("""COMPUTED_VALUE"""),"18 inch Aero")</f>
        <v>18 inch Aero</v>
      </c>
      <c r="Q1118" t="str">
        <f>IFERROR(__xludf.DUMMYFUNCTION("""COMPUTED_VALUE"""),"Black seats")</f>
        <v>Black seats</v>
      </c>
      <c r="R1118" t="str">
        <f>IFERROR(__xludf.DUMMYFUNCTION("""COMPUTED_VALUE"""),"Full Self-Driving")</f>
        <v>Full Self-Driving</v>
      </c>
      <c r="X1118" t="str">
        <f>IFERROR(__xludf.DUMMYFUNCTION("""COMPUTED_VALUE"""),"Very Good")</f>
        <v>Very Good</v>
      </c>
      <c r="Y1118" t="str">
        <f>IFERROR(__xludf.DUMMYFUNCTION("""COMPUTED_VALUE"""),"Excellent")</f>
        <v>Excellent</v>
      </c>
      <c r="Z1118" t="str">
        <f>IFERROR(__xludf.DUMMYFUNCTION("""COMPUTED_VALUE"""),"Excellent")</f>
        <v>Excellent</v>
      </c>
      <c r="AA1118" t="str">
        <f>IFERROR(__xludf.DUMMYFUNCTION("""COMPUTED_VALUE"""),"Fair")</f>
        <v>Fair</v>
      </c>
      <c r="AB1118" t="str">
        <f>IFERROR(__xludf.DUMMYFUNCTION("""COMPUTED_VALUE"""),"Good")</f>
        <v>Good</v>
      </c>
      <c r="AC1118">
        <f>IFERROR(__xludf.DUMMYFUNCTION("""COMPUTED_VALUE"""),1.0)</f>
        <v>1</v>
      </c>
      <c r="AD1118">
        <f>IFERROR(__xludf.DUMMYFUNCTION("""COMPUTED_VALUE"""),1.0)</f>
        <v>1</v>
      </c>
      <c r="AE1118">
        <f>IFERROR(__xludf.DUMMYFUNCTION("""COMPUTED_VALUE"""),1.0)</f>
        <v>1</v>
      </c>
      <c r="AH1118" s="189">
        <f>IFERROR(__xludf.DUMMYFUNCTION("""COMPUTED_VALUE"""),43390.50893210648)</f>
        <v>43390.50893</v>
      </c>
    </row>
    <row r="1119">
      <c r="A1119" t="str">
        <f>IFERROR(__xludf.DUMMYFUNCTION("""COMPUTED_VALUE"""),"Clunkasaurus")</f>
        <v>Clunkasaurus</v>
      </c>
      <c r="C1119" t="str">
        <f>IFERROR(__xludf.DUMMYFUNCTION("""COMPUTED_VALUE"""),"NJ")</f>
        <v>NJ</v>
      </c>
      <c r="D1119" t="str">
        <f>IFERROR(__xludf.DUMMYFUNCTION("""COMPUTED_VALUE"""),"USA")</f>
        <v>USA</v>
      </c>
      <c r="E1119" s="188">
        <f>IFERROR(__xludf.DUMMYFUNCTION("""COMPUTED_VALUE"""),43304.0)</f>
        <v>43304</v>
      </c>
      <c r="H1119">
        <f>IFERROR(__xludf.DUMMYFUNCTION("""COMPUTED_VALUE"""),100755.0)</f>
        <v>100755</v>
      </c>
      <c r="J1119" s="5">
        <f>IFERROR(__xludf.DUMMYFUNCTION("""COMPUTED_VALUE"""),43384.0)</f>
        <v>43384</v>
      </c>
      <c r="M1119">
        <f>IFERROR(__xludf.DUMMYFUNCTION("""COMPUTED_VALUE"""),80.0)</f>
        <v>80</v>
      </c>
      <c r="N1119" t="str">
        <f>IFERROR(__xludf.DUMMYFUNCTION("""COMPUTED_VALUE"""),"Model 3 LR AWD")</f>
        <v>Model 3 LR AWD</v>
      </c>
      <c r="O1119" t="str">
        <f>IFERROR(__xludf.DUMMYFUNCTION("""COMPUTED_VALUE"""),"Red Multi-Coat")</f>
        <v>Red Multi-Coat</v>
      </c>
      <c r="P1119" t="str">
        <f>IFERROR(__xludf.DUMMYFUNCTION("""COMPUTED_VALUE"""),"19 inch Sport")</f>
        <v>19 inch Sport</v>
      </c>
      <c r="Q1119" t="str">
        <f>IFERROR(__xludf.DUMMYFUNCTION("""COMPUTED_VALUE"""),"White seats")</f>
        <v>White seats</v>
      </c>
      <c r="R1119" t="str">
        <f>IFERROR(__xludf.DUMMYFUNCTION("""COMPUTED_VALUE"""),"None")</f>
        <v>None</v>
      </c>
      <c r="X1119" t="str">
        <f>IFERROR(__xludf.DUMMYFUNCTION("""COMPUTED_VALUE"""),"Good")</f>
        <v>Good</v>
      </c>
      <c r="Y1119" t="str">
        <f>IFERROR(__xludf.DUMMYFUNCTION("""COMPUTED_VALUE"""),"Excellent")</f>
        <v>Excellent</v>
      </c>
      <c r="Z1119" t="str">
        <f>IFERROR(__xludf.DUMMYFUNCTION("""COMPUTED_VALUE"""),"Excellent")</f>
        <v>Excellent</v>
      </c>
      <c r="AA1119" t="str">
        <f>IFERROR(__xludf.DUMMYFUNCTION("""COMPUTED_VALUE"""),"Good")</f>
        <v>Good</v>
      </c>
      <c r="AB1119" t="str">
        <f>IFERROR(__xludf.DUMMYFUNCTION("""COMPUTED_VALUE"""),"Excellent")</f>
        <v>Excellent</v>
      </c>
      <c r="AC1119">
        <f>IFERROR(__xludf.DUMMYFUNCTION("""COMPUTED_VALUE"""),0.0)</f>
        <v>0</v>
      </c>
      <c r="AD1119">
        <f>IFERROR(__xludf.DUMMYFUNCTION("""COMPUTED_VALUE"""),0.0)</f>
        <v>0</v>
      </c>
      <c r="AE1119">
        <f>IFERROR(__xludf.DUMMYFUNCTION("""COMPUTED_VALUE"""),0.0)</f>
        <v>0</v>
      </c>
      <c r="AH1119" s="189">
        <f>IFERROR(__xludf.DUMMYFUNCTION("""COMPUTED_VALUE"""),43390.51153315972)</f>
        <v>43390.51153</v>
      </c>
    </row>
    <row r="1120">
      <c r="A1120" t="str">
        <f>IFERROR(__xludf.DUMMYFUNCTION("""COMPUTED_VALUE"""),"hampton3")</f>
        <v>hampton3</v>
      </c>
      <c r="B1120" t="str">
        <f>IFERROR(__xludf.DUMMYFUNCTION("""COMPUTED_VALUE"""),"long island")</f>
        <v>long island</v>
      </c>
      <c r="C1120" t="str">
        <f>IFERROR(__xludf.DUMMYFUNCTION("""COMPUTED_VALUE"""),"NY")</f>
        <v>NY</v>
      </c>
      <c r="D1120" t="str">
        <f>IFERROR(__xludf.DUMMYFUNCTION("""COMPUTED_VALUE"""),"USA")</f>
        <v>USA</v>
      </c>
      <c r="E1120" s="188">
        <f>IFERROR(__xludf.DUMMYFUNCTION("""COMPUTED_VALUE"""),43328.0)</f>
        <v>43328</v>
      </c>
      <c r="F1120" s="188">
        <f>IFERROR(__xludf.DUMMYFUNCTION("""COMPUTED_VALUE"""),43363.0)</f>
        <v>43363</v>
      </c>
      <c r="I1120" t="str">
        <f>IFERROR(__xludf.DUMMYFUNCTION("""COMPUTED_VALUE"""),"08/18")</f>
        <v>08/18</v>
      </c>
      <c r="J1120" s="5">
        <f>IFERROR(__xludf.DUMMYFUNCTION("""COMPUTED_VALUE"""),43365.0)</f>
        <v>43365</v>
      </c>
      <c r="K1120">
        <f>IFERROR(__xludf.DUMMYFUNCTION("""COMPUTED_VALUE"""),35.0)</f>
        <v>35</v>
      </c>
      <c r="L1120">
        <f>IFERROR(__xludf.DUMMYFUNCTION("""COMPUTED_VALUE"""),2.0)</f>
        <v>2</v>
      </c>
      <c r="M1120">
        <f>IFERROR(__xludf.DUMMYFUNCTION("""COMPUTED_VALUE"""),37.0)</f>
        <v>37</v>
      </c>
      <c r="N1120" t="str">
        <f>IFERROR(__xludf.DUMMYFUNCTION("""COMPUTED_VALUE"""),"Model 3 Performance")</f>
        <v>Model 3 Performance</v>
      </c>
      <c r="O1120" t="str">
        <f>IFERROR(__xludf.DUMMYFUNCTION("""COMPUTED_VALUE"""),"Midnight Silver Metallic")</f>
        <v>Midnight Silver Metallic</v>
      </c>
      <c r="P1120" t="str">
        <f>IFERROR(__xludf.DUMMYFUNCTION("""COMPUTED_VALUE"""),"18 inch Aero")</f>
        <v>18 inch Aero</v>
      </c>
      <c r="Q1120" t="str">
        <f>IFERROR(__xludf.DUMMYFUNCTION("""COMPUTED_VALUE"""),"White seats")</f>
        <v>White seats</v>
      </c>
      <c r="R1120" t="str">
        <f>IFERROR(__xludf.DUMMYFUNCTION("""COMPUTED_VALUE"""),"Enhanced Autopilot")</f>
        <v>Enhanced Autopilot</v>
      </c>
      <c r="X1120" t="str">
        <f>IFERROR(__xludf.DUMMYFUNCTION("""COMPUTED_VALUE"""),"Excellent")</f>
        <v>Excellent</v>
      </c>
      <c r="Y1120" t="str">
        <f>IFERROR(__xludf.DUMMYFUNCTION("""COMPUTED_VALUE"""),"Excellent")</f>
        <v>Excellent</v>
      </c>
      <c r="Z1120" t="str">
        <f>IFERROR(__xludf.DUMMYFUNCTION("""COMPUTED_VALUE"""),"Excellent")</f>
        <v>Excellent</v>
      </c>
      <c r="AA1120" t="str">
        <f>IFERROR(__xludf.DUMMYFUNCTION("""COMPUTED_VALUE"""),"Good")</f>
        <v>Good</v>
      </c>
      <c r="AB1120" t="str">
        <f>IFERROR(__xludf.DUMMYFUNCTION("""COMPUTED_VALUE"""),"Good")</f>
        <v>Good</v>
      </c>
      <c r="AC1120">
        <f>IFERROR(__xludf.DUMMYFUNCTION("""COMPUTED_VALUE"""),0.0)</f>
        <v>0</v>
      </c>
      <c r="AH1120" s="189">
        <f>IFERROR(__xludf.DUMMYFUNCTION("""COMPUTED_VALUE"""),43390.81559697917)</f>
        <v>43390.8156</v>
      </c>
    </row>
    <row r="1121">
      <c r="A1121" t="str">
        <f>IFERROR(__xludf.DUMMYFUNCTION("""COMPUTED_VALUE"""),"MattAtHazmat")</f>
        <v>MattAtHazmat</v>
      </c>
      <c r="B1121" t="str">
        <f>IFERROR(__xludf.DUMMYFUNCTION("""COMPUTED_VALUE"""),"Austin")</f>
        <v>Austin</v>
      </c>
      <c r="C1121" t="str">
        <f>IFERROR(__xludf.DUMMYFUNCTION("""COMPUTED_VALUE"""),"TX")</f>
        <v>TX</v>
      </c>
      <c r="D1121" t="str">
        <f>IFERROR(__xludf.DUMMYFUNCTION("""COMPUTED_VALUE"""),"USA")</f>
        <v>USA</v>
      </c>
      <c r="E1121" s="188">
        <f>IFERROR(__xludf.DUMMYFUNCTION("""COMPUTED_VALUE"""),43294.0)</f>
        <v>43294</v>
      </c>
      <c r="F1121" s="188">
        <f>IFERROR(__xludf.DUMMYFUNCTION("""COMPUTED_VALUE"""),43377.0)</f>
        <v>43377</v>
      </c>
      <c r="H1121">
        <f>IFERROR(__xludf.DUMMYFUNCTION("""COMPUTED_VALUE"""),104455.0)</f>
        <v>104455</v>
      </c>
      <c r="I1121" t="str">
        <f>IFERROR(__xludf.DUMMYFUNCTION("""COMPUTED_VALUE"""),"10/18")</f>
        <v>10/18</v>
      </c>
      <c r="J1121" s="5">
        <f>IFERROR(__xludf.DUMMYFUNCTION("""COMPUTED_VALUE"""),43386.0)</f>
        <v>43386</v>
      </c>
      <c r="K1121">
        <f>IFERROR(__xludf.DUMMYFUNCTION("""COMPUTED_VALUE"""),83.0)</f>
        <v>83</v>
      </c>
      <c r="L1121">
        <f>IFERROR(__xludf.DUMMYFUNCTION("""COMPUTED_VALUE"""),9.0)</f>
        <v>9</v>
      </c>
      <c r="M1121">
        <f>IFERROR(__xludf.DUMMYFUNCTION("""COMPUTED_VALUE"""),92.0)</f>
        <v>92</v>
      </c>
      <c r="N1121" t="str">
        <f>IFERROR(__xludf.DUMMYFUNCTION("""COMPUTED_VALUE"""),"Model 3 Performance")</f>
        <v>Model 3 Performance</v>
      </c>
      <c r="O1121" t="str">
        <f>IFERROR(__xludf.DUMMYFUNCTION("""COMPUTED_VALUE"""),"Silver Metallic")</f>
        <v>Silver Metallic</v>
      </c>
      <c r="P1121" t="str">
        <f>IFERROR(__xludf.DUMMYFUNCTION("""COMPUTED_VALUE"""),"18 inch Aero")</f>
        <v>18 inch Aero</v>
      </c>
      <c r="Q1121" t="str">
        <f>IFERROR(__xludf.DUMMYFUNCTION("""COMPUTED_VALUE"""),"Black seats")</f>
        <v>Black seats</v>
      </c>
      <c r="R1121" t="str">
        <f>IFERROR(__xludf.DUMMYFUNCTION("""COMPUTED_VALUE"""),"None")</f>
        <v>None</v>
      </c>
      <c r="X1121" t="str">
        <f>IFERROR(__xludf.DUMMYFUNCTION("""COMPUTED_VALUE"""),"Poor")</f>
        <v>Poor</v>
      </c>
      <c r="Y1121" t="str">
        <f>IFERROR(__xludf.DUMMYFUNCTION("""COMPUTED_VALUE"""),"Good")</f>
        <v>Good</v>
      </c>
      <c r="Z1121" t="str">
        <f>IFERROR(__xludf.DUMMYFUNCTION("""COMPUTED_VALUE"""),"Good")</f>
        <v>Good</v>
      </c>
      <c r="AA1121" t="str">
        <f>IFERROR(__xludf.DUMMYFUNCTION("""COMPUTED_VALUE"""),"Poor")</f>
        <v>Poor</v>
      </c>
      <c r="AB1121" t="str">
        <f>IFERROR(__xludf.DUMMYFUNCTION("""COMPUTED_VALUE"""),"Good")</f>
        <v>Good</v>
      </c>
      <c r="AH1121" s="189">
        <f>IFERROR(__xludf.DUMMYFUNCTION("""COMPUTED_VALUE"""),43391.22190087963)</f>
        <v>43391.2219</v>
      </c>
    </row>
    <row r="1122">
      <c r="A1122" t="str">
        <f>IFERROR(__xludf.DUMMYFUNCTION("""COMPUTED_VALUE"""),"Etheberge")</f>
        <v>Etheberge</v>
      </c>
      <c r="B1122" t="str">
        <f>IFERROR(__xludf.DUMMYFUNCTION("""COMPUTED_VALUE"""),"Boston")</f>
        <v>Boston</v>
      </c>
      <c r="C1122" t="str">
        <f>IFERROR(__xludf.DUMMYFUNCTION("""COMPUTED_VALUE"""),"MA")</f>
        <v>MA</v>
      </c>
      <c r="D1122" t="str">
        <f>IFERROR(__xludf.DUMMYFUNCTION("""COMPUTED_VALUE"""),"USA")</f>
        <v>USA</v>
      </c>
      <c r="E1122" s="188">
        <f>IFERROR(__xludf.DUMMYFUNCTION("""COMPUTED_VALUE"""),43328.0)</f>
        <v>43328</v>
      </c>
      <c r="F1122" s="188">
        <f>IFERROR(__xludf.DUMMYFUNCTION("""COMPUTED_VALUE"""),43356.0)</f>
        <v>43356</v>
      </c>
      <c r="H1122">
        <f>IFERROR(__xludf.DUMMYFUNCTION("""COMPUTED_VALUE"""),63295.0)</f>
        <v>63295</v>
      </c>
      <c r="I1122" t="str">
        <f>IFERROR(__xludf.DUMMYFUNCTION("""COMPUTED_VALUE"""),"09/18")</f>
        <v>09/18</v>
      </c>
      <c r="J1122" s="5">
        <f>IFERROR(__xludf.DUMMYFUNCTION("""COMPUTED_VALUE"""),43371.0)</f>
        <v>43371</v>
      </c>
      <c r="K1122">
        <f>IFERROR(__xludf.DUMMYFUNCTION("""COMPUTED_VALUE"""),28.0)</f>
        <v>28</v>
      </c>
      <c r="L1122">
        <f>IFERROR(__xludf.DUMMYFUNCTION("""COMPUTED_VALUE"""),15.0)</f>
        <v>15</v>
      </c>
      <c r="M1122">
        <f>IFERROR(__xludf.DUMMYFUNCTION("""COMPUTED_VALUE"""),43.0)</f>
        <v>43</v>
      </c>
      <c r="N1122" t="str">
        <f>IFERROR(__xludf.DUMMYFUNCTION("""COMPUTED_VALUE"""),"Model 3 Performance")</f>
        <v>Model 3 Performance</v>
      </c>
      <c r="O1122" t="str">
        <f>IFERROR(__xludf.DUMMYFUNCTION("""COMPUTED_VALUE"""),"Red Multi-Coat")</f>
        <v>Red Multi-Coat</v>
      </c>
      <c r="P1122" t="str">
        <f>IFERROR(__xludf.DUMMYFUNCTION("""COMPUTED_VALUE"""),"20 inch Sport")</f>
        <v>20 inch Sport</v>
      </c>
      <c r="Q1122" t="str">
        <f>IFERROR(__xludf.DUMMYFUNCTION("""COMPUTED_VALUE"""),"Black seats")</f>
        <v>Black seats</v>
      </c>
      <c r="R1122" t="str">
        <f>IFERROR(__xludf.DUMMYFUNCTION("""COMPUTED_VALUE"""),"Full Self-Driving")</f>
        <v>Full Self-Driving</v>
      </c>
      <c r="X1122" t="str">
        <f>IFERROR(__xludf.DUMMYFUNCTION("""COMPUTED_VALUE"""),"Very Good")</f>
        <v>Very Good</v>
      </c>
      <c r="Y1122" t="str">
        <f>IFERROR(__xludf.DUMMYFUNCTION("""COMPUTED_VALUE"""),"Very Good")</f>
        <v>Very Good</v>
      </c>
      <c r="Z1122" t="str">
        <f>IFERROR(__xludf.DUMMYFUNCTION("""COMPUTED_VALUE"""),"Poor")</f>
        <v>Poor</v>
      </c>
      <c r="AA1122" t="str">
        <f>IFERROR(__xludf.DUMMYFUNCTION("""COMPUTED_VALUE"""),"Good")</f>
        <v>Good</v>
      </c>
      <c r="AB1122" t="str">
        <f>IFERROR(__xludf.DUMMYFUNCTION("""COMPUTED_VALUE"""),"Very Good")</f>
        <v>Very Good</v>
      </c>
      <c r="AC1122">
        <f>IFERROR(__xludf.DUMMYFUNCTION("""COMPUTED_VALUE"""),12.0)</f>
        <v>12</v>
      </c>
      <c r="AD1122">
        <f>IFERROR(__xludf.DUMMYFUNCTION("""COMPUTED_VALUE"""),1.0)</f>
        <v>1</v>
      </c>
      <c r="AE1122">
        <f>IFERROR(__xludf.DUMMYFUNCTION("""COMPUTED_VALUE"""),14.0)</f>
        <v>14</v>
      </c>
      <c r="AG1122" t="str">
        <f>IFERROR(__xludf.DUMMYFUNCTION("""COMPUTED_VALUE"""),"Paint issues required the front bumper and fenders to be repainted.  In the coming weeks it will also need to go to my detail shop for paint correction to take care of other issues not requiring a repaint. ")</f>
        <v>Paint issues required the front bumper and fenders to be repainted.  In the coming weeks it will also need to go to my detail shop for paint correction to take care of other issues not requiring a repaint. </v>
      </c>
      <c r="AH1122" s="189">
        <f>IFERROR(__xludf.DUMMYFUNCTION("""COMPUTED_VALUE"""),43391.2284515625)</f>
        <v>43391.22845</v>
      </c>
    </row>
    <row r="1123">
      <c r="A1123" t="str">
        <f>IFERROR(__xludf.DUMMYFUNCTION("""COMPUTED_VALUE"""),"Nils")</f>
        <v>Nils</v>
      </c>
      <c r="B1123" t="str">
        <f>IFERROR(__xludf.DUMMYFUNCTION("""COMPUTED_VALUE"""),"Waitsfield")</f>
        <v>Waitsfield</v>
      </c>
      <c r="C1123" t="str">
        <f>IFERROR(__xludf.DUMMYFUNCTION("""COMPUTED_VALUE"""),"VT")</f>
        <v>VT</v>
      </c>
      <c r="D1123" t="str">
        <f>IFERROR(__xludf.DUMMYFUNCTION("""COMPUTED_VALUE"""),"USA")</f>
        <v>USA</v>
      </c>
      <c r="E1123" s="188">
        <f>IFERROR(__xludf.DUMMYFUNCTION("""COMPUTED_VALUE"""),43281.0)</f>
        <v>43281</v>
      </c>
      <c r="F1123" s="188">
        <f>IFERROR(__xludf.DUMMYFUNCTION("""COMPUTED_VALUE"""),43327.0)</f>
        <v>43327</v>
      </c>
      <c r="H1123">
        <f>IFERROR(__xludf.DUMMYFUNCTION("""COMPUTED_VALUE"""),54467.0)</f>
        <v>54467</v>
      </c>
      <c r="I1123" t="str">
        <f>IFERROR(__xludf.DUMMYFUNCTION("""COMPUTED_VALUE"""),"07/18")</f>
        <v>07/18</v>
      </c>
      <c r="J1123" s="5">
        <f>IFERROR(__xludf.DUMMYFUNCTION("""COMPUTED_VALUE"""),43357.0)</f>
        <v>43357</v>
      </c>
      <c r="K1123">
        <f>IFERROR(__xludf.DUMMYFUNCTION("""COMPUTED_VALUE"""),46.0)</f>
        <v>46</v>
      </c>
      <c r="L1123">
        <f>IFERROR(__xludf.DUMMYFUNCTION("""COMPUTED_VALUE"""),30.0)</f>
        <v>30</v>
      </c>
      <c r="M1123">
        <f>IFERROR(__xludf.DUMMYFUNCTION("""COMPUTED_VALUE"""),76.0)</f>
        <v>76</v>
      </c>
      <c r="N1123" t="str">
        <f>IFERROR(__xludf.DUMMYFUNCTION("""COMPUTED_VALUE"""),"Model 3 LR AWD")</f>
        <v>Model 3 LR AWD</v>
      </c>
      <c r="O1123" t="str">
        <f>IFERROR(__xludf.DUMMYFUNCTION("""COMPUTED_VALUE"""),"Silver Metallic")</f>
        <v>Silver Metallic</v>
      </c>
      <c r="P1123" t="str">
        <f>IFERROR(__xludf.DUMMYFUNCTION("""COMPUTED_VALUE"""),"18 inch Aero")</f>
        <v>18 inch Aero</v>
      </c>
      <c r="Q1123" t="str">
        <f>IFERROR(__xludf.DUMMYFUNCTION("""COMPUTED_VALUE"""),"Black seats")</f>
        <v>Black seats</v>
      </c>
      <c r="R1123" t="str">
        <f>IFERROR(__xludf.DUMMYFUNCTION("""COMPUTED_VALUE"""),"Enhanced Autopilot")</f>
        <v>Enhanced Autopilot</v>
      </c>
      <c r="X1123" t="str">
        <f>IFERROR(__xludf.DUMMYFUNCTION("""COMPUTED_VALUE"""),"Very Good")</f>
        <v>Very Good</v>
      </c>
      <c r="Y1123" t="str">
        <f>IFERROR(__xludf.DUMMYFUNCTION("""COMPUTED_VALUE"""),"Very Good")</f>
        <v>Very Good</v>
      </c>
      <c r="Z1123" t="str">
        <f>IFERROR(__xludf.DUMMYFUNCTION("""COMPUTED_VALUE"""),"Very Good")</f>
        <v>Very Good</v>
      </c>
      <c r="AA1123" t="str">
        <f>IFERROR(__xludf.DUMMYFUNCTION("""COMPUTED_VALUE"""),"Fair")</f>
        <v>Fair</v>
      </c>
      <c r="AB1123" t="str">
        <f>IFERROR(__xludf.DUMMYFUNCTION("""COMPUTED_VALUE"""),"Poor")</f>
        <v>Poor</v>
      </c>
      <c r="AC1123">
        <f>IFERROR(__xludf.DUMMYFUNCTION("""COMPUTED_VALUE"""),0.0)</f>
        <v>0</v>
      </c>
      <c r="AD1123">
        <f>IFERROR(__xludf.DUMMYFUNCTION("""COMPUTED_VALUE"""),0.0)</f>
        <v>0</v>
      </c>
      <c r="AE1123">
        <f>IFERROR(__xludf.DUMMYFUNCTION("""COMPUTED_VALUE"""),0.0)</f>
        <v>0</v>
      </c>
      <c r="AG1123" t="str">
        <f>IFERROR(__xludf.DUMMYFUNCTION("""COMPUTED_VALUE"""),"Customer service wait times are unacceptably long. Delivery had three weeks of false starts because they didn't have enough drivers for our home delivery.")</f>
        <v>Customer service wait times are unacceptably long. Delivery had three weeks of false starts because they didn't have enough drivers for our home delivery.</v>
      </c>
      <c r="AH1123" s="189">
        <f>IFERROR(__xludf.DUMMYFUNCTION("""COMPUTED_VALUE"""),43391.338660775466)</f>
        <v>43391.33866</v>
      </c>
    </row>
    <row r="1124">
      <c r="A1124" t="str">
        <f>IFERROR(__xludf.DUMMYFUNCTION("""COMPUTED_VALUE"""),"Polen")</f>
        <v>Polen</v>
      </c>
      <c r="B1124" t="str">
        <f>IFERROR(__xludf.DUMMYFUNCTION("""COMPUTED_VALUE"""),"Houston")</f>
        <v>Houston</v>
      </c>
      <c r="C1124" t="str">
        <f>IFERROR(__xludf.DUMMYFUNCTION("""COMPUTED_VALUE"""),"TX")</f>
        <v>TX</v>
      </c>
      <c r="D1124" t="str">
        <f>IFERROR(__xludf.DUMMYFUNCTION("""COMPUTED_VALUE"""),"USA")</f>
        <v>USA</v>
      </c>
      <c r="E1124" s="188">
        <f>IFERROR(__xludf.DUMMYFUNCTION("""COMPUTED_VALUE"""),43279.0)</f>
        <v>43279</v>
      </c>
      <c r="F1124" s="188">
        <f>IFERROR(__xludf.DUMMYFUNCTION("""COMPUTED_VALUE"""),43376.0)</f>
        <v>43376</v>
      </c>
      <c r="H1124">
        <f>IFERROR(__xludf.DUMMYFUNCTION("""COMPUTED_VALUE"""),91755.0)</f>
        <v>91755</v>
      </c>
      <c r="J1124" s="5">
        <f>IFERROR(__xludf.DUMMYFUNCTION("""COMPUTED_VALUE"""),43390.0)</f>
        <v>43390</v>
      </c>
      <c r="K1124">
        <f>IFERROR(__xludf.DUMMYFUNCTION("""COMPUTED_VALUE"""),97.0)</f>
        <v>97</v>
      </c>
      <c r="L1124">
        <f>IFERROR(__xludf.DUMMYFUNCTION("""COMPUTED_VALUE"""),14.0)</f>
        <v>14</v>
      </c>
      <c r="M1124">
        <f>IFERROR(__xludf.DUMMYFUNCTION("""COMPUTED_VALUE"""),111.0)</f>
        <v>111</v>
      </c>
      <c r="N1124" t="str">
        <f>IFERROR(__xludf.DUMMYFUNCTION("""COMPUTED_VALUE"""),"Model 3 LR AWD")</f>
        <v>Model 3 LR AWD</v>
      </c>
      <c r="O1124" t="str">
        <f>IFERROR(__xludf.DUMMYFUNCTION("""COMPUTED_VALUE"""),"Red Multi-Coat")</f>
        <v>Red Multi-Coat</v>
      </c>
      <c r="P1124" t="str">
        <f>IFERROR(__xludf.DUMMYFUNCTION("""COMPUTED_VALUE"""),"19 inch Sport")</f>
        <v>19 inch Sport</v>
      </c>
      <c r="Q1124" t="str">
        <f>IFERROR(__xludf.DUMMYFUNCTION("""COMPUTED_VALUE"""),"Black seats")</f>
        <v>Black seats</v>
      </c>
      <c r="R1124" t="str">
        <f>IFERROR(__xludf.DUMMYFUNCTION("""COMPUTED_VALUE"""),"None")</f>
        <v>None</v>
      </c>
      <c r="X1124" t="str">
        <f>IFERROR(__xludf.DUMMYFUNCTION("""COMPUTED_VALUE"""),"Very Good")</f>
        <v>Very Good</v>
      </c>
      <c r="Y1124" t="str">
        <f>IFERROR(__xludf.DUMMYFUNCTION("""COMPUTED_VALUE"""),"Very Good")</f>
        <v>Very Good</v>
      </c>
      <c r="Z1124" t="str">
        <f>IFERROR(__xludf.DUMMYFUNCTION("""COMPUTED_VALUE"""),"Excellent")</f>
        <v>Excellent</v>
      </c>
      <c r="AA1124" t="str">
        <f>IFERROR(__xludf.DUMMYFUNCTION("""COMPUTED_VALUE"""),"Excellent")</f>
        <v>Excellent</v>
      </c>
      <c r="AB1124" t="str">
        <f>IFERROR(__xludf.DUMMYFUNCTION("""COMPUTED_VALUE"""),"Excellent")</f>
        <v>Excellent</v>
      </c>
      <c r="AH1124" s="189">
        <f>IFERROR(__xludf.DUMMYFUNCTION("""COMPUTED_VALUE"""),43391.41952402778)</f>
        <v>43391.41952</v>
      </c>
    </row>
    <row r="1125">
      <c r="A1125" t="str">
        <f>IFERROR(__xludf.DUMMYFUNCTION("""COMPUTED_VALUE"""),"MadTerriers")</f>
        <v>MadTerriers</v>
      </c>
      <c r="B1125" t="str">
        <f>IFERROR(__xludf.DUMMYFUNCTION("""COMPUTED_VALUE"""),"Dallas")</f>
        <v>Dallas</v>
      </c>
      <c r="C1125" t="str">
        <f>IFERROR(__xludf.DUMMYFUNCTION("""COMPUTED_VALUE"""),"TX")</f>
        <v>TX</v>
      </c>
      <c r="D1125" t="str">
        <f>IFERROR(__xludf.DUMMYFUNCTION("""COMPUTED_VALUE"""),"USA")</f>
        <v>USA</v>
      </c>
      <c r="E1125" s="188">
        <f>IFERROR(__xludf.DUMMYFUNCTION("""COMPUTED_VALUE"""),43278.0)</f>
        <v>43278</v>
      </c>
      <c r="F1125" s="188">
        <f>IFERROR(__xludf.DUMMYFUNCTION("""COMPUTED_VALUE"""),43379.0)</f>
        <v>43379</v>
      </c>
      <c r="H1125">
        <f>IFERROR(__xludf.DUMMYFUNCTION("""COMPUTED_VALUE"""),89955.0)</f>
        <v>89955</v>
      </c>
      <c r="I1125" t="str">
        <f>IFERROR(__xludf.DUMMYFUNCTION("""COMPUTED_VALUE"""),"10/18")</f>
        <v>10/18</v>
      </c>
      <c r="J1125" s="5">
        <f>IFERROR(__xludf.DUMMYFUNCTION("""COMPUTED_VALUE"""),43391.0)</f>
        <v>43391</v>
      </c>
      <c r="K1125">
        <f>IFERROR(__xludf.DUMMYFUNCTION("""COMPUTED_VALUE"""),101.0)</f>
        <v>101</v>
      </c>
      <c r="L1125">
        <f>IFERROR(__xludf.DUMMYFUNCTION("""COMPUTED_VALUE"""),12.0)</f>
        <v>12</v>
      </c>
      <c r="M1125">
        <f>IFERROR(__xludf.DUMMYFUNCTION("""COMPUTED_VALUE"""),113.0)</f>
        <v>113</v>
      </c>
      <c r="N1125" t="str">
        <f>IFERROR(__xludf.DUMMYFUNCTION("""COMPUTED_VALUE"""),"Model 3 LR AWD")</f>
        <v>Model 3 LR AWD</v>
      </c>
      <c r="O1125" t="str">
        <f>IFERROR(__xludf.DUMMYFUNCTION("""COMPUTED_VALUE"""),"Silver Metallic")</f>
        <v>Silver Metallic</v>
      </c>
      <c r="P1125" t="str">
        <f>IFERROR(__xludf.DUMMYFUNCTION("""COMPUTED_VALUE"""),"18 inch Aero")</f>
        <v>18 inch Aero</v>
      </c>
      <c r="Q1125" t="str">
        <f>IFERROR(__xludf.DUMMYFUNCTION("""COMPUTED_VALUE"""),"Black seats")</f>
        <v>Black seats</v>
      </c>
      <c r="R1125" t="str">
        <f>IFERROR(__xludf.DUMMYFUNCTION("""COMPUTED_VALUE"""),"Enhanced Autopilot")</f>
        <v>Enhanced Autopilot</v>
      </c>
      <c r="X1125" t="str">
        <f>IFERROR(__xludf.DUMMYFUNCTION("""COMPUTED_VALUE"""),"Excellent")</f>
        <v>Excellent</v>
      </c>
      <c r="Y1125" t="str">
        <f>IFERROR(__xludf.DUMMYFUNCTION("""COMPUTED_VALUE"""),"Excellent")</f>
        <v>Excellent</v>
      </c>
      <c r="Z1125" t="str">
        <f>IFERROR(__xludf.DUMMYFUNCTION("""COMPUTED_VALUE"""),"Excellent")</f>
        <v>Excellent</v>
      </c>
      <c r="AA1125" t="str">
        <f>IFERROR(__xludf.DUMMYFUNCTION("""COMPUTED_VALUE"""),"Excellent")</f>
        <v>Excellent</v>
      </c>
      <c r="AB1125" t="str">
        <f>IFERROR(__xludf.DUMMYFUNCTION("""COMPUTED_VALUE"""),"Excellent")</f>
        <v>Excellent</v>
      </c>
      <c r="AH1125" s="189">
        <f>IFERROR(__xludf.DUMMYFUNCTION("""COMPUTED_VALUE"""),43391.47455032407)</f>
        <v>43391.47455</v>
      </c>
    </row>
    <row r="1126">
      <c r="A1126" t="str">
        <f>IFERROR(__xludf.DUMMYFUNCTION("""COMPUTED_VALUE"""),"J.a.c.k")</f>
        <v>J.a.c.k</v>
      </c>
      <c r="B1126" t="str">
        <f>IFERROR(__xludf.DUMMYFUNCTION("""COMPUTED_VALUE"""),"Cary NC")</f>
        <v>Cary NC</v>
      </c>
      <c r="C1126" t="str">
        <f>IFERROR(__xludf.DUMMYFUNCTION("""COMPUTED_VALUE"""),"NC")</f>
        <v>NC</v>
      </c>
      <c r="D1126" t="str">
        <f>IFERROR(__xludf.DUMMYFUNCTION("""COMPUTED_VALUE"""),"USA")</f>
        <v>USA</v>
      </c>
      <c r="E1126" s="188">
        <f>IFERROR(__xludf.DUMMYFUNCTION("""COMPUTED_VALUE"""),43278.0)</f>
        <v>43278</v>
      </c>
      <c r="F1126" s="188">
        <f>IFERROR(__xludf.DUMMYFUNCTION("""COMPUTED_VALUE"""),43356.0)</f>
        <v>43356</v>
      </c>
      <c r="H1126">
        <f>IFERROR(__xludf.DUMMYFUNCTION("""COMPUTED_VALUE"""),72255.0)</f>
        <v>72255</v>
      </c>
      <c r="J1126" s="5">
        <f>IFERROR(__xludf.DUMMYFUNCTION("""COMPUTED_VALUE"""),43363.0)</f>
        <v>43363</v>
      </c>
      <c r="K1126">
        <f>IFERROR(__xludf.DUMMYFUNCTION("""COMPUTED_VALUE"""),78.0)</f>
        <v>78</v>
      </c>
      <c r="L1126">
        <f>IFERROR(__xludf.DUMMYFUNCTION("""COMPUTED_VALUE"""),7.0)</f>
        <v>7</v>
      </c>
      <c r="M1126">
        <f>IFERROR(__xludf.DUMMYFUNCTION("""COMPUTED_VALUE"""),85.0)</f>
        <v>85</v>
      </c>
      <c r="N1126" t="str">
        <f>IFERROR(__xludf.DUMMYFUNCTION("""COMPUTED_VALUE"""),"Model 3 Performance")</f>
        <v>Model 3 Performance</v>
      </c>
      <c r="O1126" t="str">
        <f>IFERROR(__xludf.DUMMYFUNCTION("""COMPUTED_VALUE"""),"Deep Blue Metallic")</f>
        <v>Deep Blue Metallic</v>
      </c>
      <c r="P1126" t="str">
        <f>IFERROR(__xludf.DUMMYFUNCTION("""COMPUTED_VALUE"""),"20 inch Sport")</f>
        <v>20 inch Sport</v>
      </c>
      <c r="Q1126" t="str">
        <f>IFERROR(__xludf.DUMMYFUNCTION("""COMPUTED_VALUE"""),"Black seats")</f>
        <v>Black seats</v>
      </c>
      <c r="R1126" t="str">
        <f>IFERROR(__xludf.DUMMYFUNCTION("""COMPUTED_VALUE"""),"Enhanced Autopilot")</f>
        <v>Enhanced Autopilot</v>
      </c>
      <c r="X1126" t="str">
        <f>IFERROR(__xludf.DUMMYFUNCTION("""COMPUTED_VALUE"""),"Excellent")</f>
        <v>Excellent</v>
      </c>
      <c r="Y1126" t="str">
        <f>IFERROR(__xludf.DUMMYFUNCTION("""COMPUTED_VALUE"""),"Excellent")</f>
        <v>Excellent</v>
      </c>
      <c r="Z1126" t="str">
        <f>IFERROR(__xludf.DUMMYFUNCTION("""COMPUTED_VALUE"""),"Very Good")</f>
        <v>Very Good</v>
      </c>
      <c r="AA1126" t="str">
        <f>IFERROR(__xludf.DUMMYFUNCTION("""COMPUTED_VALUE"""),"Fair")</f>
        <v>Fair</v>
      </c>
      <c r="AB1126" t="str">
        <f>IFERROR(__xludf.DUMMYFUNCTION("""COMPUTED_VALUE"""),"Good")</f>
        <v>Good</v>
      </c>
      <c r="AC1126">
        <f>IFERROR(__xludf.DUMMYFUNCTION("""COMPUTED_VALUE"""),1.0)</f>
        <v>1</v>
      </c>
      <c r="AD1126">
        <f>IFERROR(__xludf.DUMMYFUNCTION("""COMPUTED_VALUE"""),0.0)</f>
        <v>0</v>
      </c>
      <c r="AE1126">
        <f>IFERROR(__xludf.DUMMYFUNCTION("""COMPUTED_VALUE"""),0.0)</f>
        <v>0</v>
      </c>
      <c r="AG1126" t="str">
        <f>IFERROR(__xludf.DUMMYFUNCTION("""COMPUTED_VALUE"""),"Original Deposit 4/27/2018")</f>
        <v>Original Deposit 4/27/2018</v>
      </c>
      <c r="AH1126" s="189">
        <f>IFERROR(__xludf.DUMMYFUNCTION("""COMPUTED_VALUE"""),43391.78429780093)</f>
        <v>43391.7843</v>
      </c>
    </row>
    <row r="1127">
      <c r="A1127" t="str">
        <f>IFERROR(__xludf.DUMMYFUNCTION("""COMPUTED_VALUE"""),"matt873245")</f>
        <v>matt873245</v>
      </c>
      <c r="B1127" t="str">
        <f>IFERROR(__xludf.DUMMYFUNCTION("""COMPUTED_VALUE"""),"Dallas")</f>
        <v>Dallas</v>
      </c>
      <c r="C1127" t="str">
        <f>IFERROR(__xludf.DUMMYFUNCTION("""COMPUTED_VALUE"""),"TX")</f>
        <v>TX</v>
      </c>
      <c r="D1127" t="str">
        <f>IFERROR(__xludf.DUMMYFUNCTION("""COMPUTED_VALUE"""),"USA")</f>
        <v>USA</v>
      </c>
      <c r="E1127" s="188">
        <f>IFERROR(__xludf.DUMMYFUNCTION("""COMPUTED_VALUE"""),43279.0)</f>
        <v>43279</v>
      </c>
      <c r="F1127" s="188">
        <f>IFERROR(__xludf.DUMMYFUNCTION("""COMPUTED_VALUE"""),43375.0)</f>
        <v>43375</v>
      </c>
      <c r="H1127">
        <f>IFERROR(__xludf.DUMMYFUNCTION("""COMPUTED_VALUE"""),74855.0)</f>
        <v>74855</v>
      </c>
      <c r="J1127" s="5">
        <f>IFERROR(__xludf.DUMMYFUNCTION("""COMPUTED_VALUE"""),43392.0)</f>
        <v>43392</v>
      </c>
      <c r="K1127">
        <f>IFERROR(__xludf.DUMMYFUNCTION("""COMPUTED_VALUE"""),96.0)</f>
        <v>96</v>
      </c>
      <c r="L1127">
        <f>IFERROR(__xludf.DUMMYFUNCTION("""COMPUTED_VALUE"""),17.0)</f>
        <v>17</v>
      </c>
      <c r="M1127">
        <f>IFERROR(__xludf.DUMMYFUNCTION("""COMPUTED_VALUE"""),113.0)</f>
        <v>113</v>
      </c>
      <c r="N1127" t="str">
        <f>IFERROR(__xludf.DUMMYFUNCTION("""COMPUTED_VALUE"""),"Model 3 LR AWD")</f>
        <v>Model 3 LR AWD</v>
      </c>
      <c r="O1127" t="str">
        <f>IFERROR(__xludf.DUMMYFUNCTION("""COMPUTED_VALUE"""),"Midnight Silver Metallic")</f>
        <v>Midnight Silver Metallic</v>
      </c>
      <c r="P1127" t="str">
        <f>IFERROR(__xludf.DUMMYFUNCTION("""COMPUTED_VALUE"""),"18 inch Aero")</f>
        <v>18 inch Aero</v>
      </c>
      <c r="Q1127" t="str">
        <f>IFERROR(__xludf.DUMMYFUNCTION("""COMPUTED_VALUE"""),"White seats")</f>
        <v>White seats</v>
      </c>
      <c r="R1127" t="str">
        <f>IFERROR(__xludf.DUMMYFUNCTION("""COMPUTED_VALUE"""),"Enhanced Autopilot")</f>
        <v>Enhanced Autopilot</v>
      </c>
      <c r="X1127" t="str">
        <f>IFERROR(__xludf.DUMMYFUNCTION("""COMPUTED_VALUE"""),"Good")</f>
        <v>Good</v>
      </c>
      <c r="Y1127" t="str">
        <f>IFERROR(__xludf.DUMMYFUNCTION("""COMPUTED_VALUE"""),"Good")</f>
        <v>Good</v>
      </c>
      <c r="Z1127" t="str">
        <f>IFERROR(__xludf.DUMMYFUNCTION("""COMPUTED_VALUE"""),"Good")</f>
        <v>Good</v>
      </c>
      <c r="AA1127" t="str">
        <f>IFERROR(__xludf.DUMMYFUNCTION("""COMPUTED_VALUE"""),"Poor")</f>
        <v>Poor</v>
      </c>
      <c r="AB1127" t="str">
        <f>IFERROR(__xludf.DUMMYFUNCTION("""COMPUTED_VALUE"""),"Fair")</f>
        <v>Fair</v>
      </c>
      <c r="AC1127">
        <f>IFERROR(__xludf.DUMMYFUNCTION("""COMPUTED_VALUE"""),1.0)</f>
        <v>1</v>
      </c>
      <c r="AD1127">
        <f>IFERROR(__xludf.DUMMYFUNCTION("""COMPUTED_VALUE"""),0.0)</f>
        <v>0</v>
      </c>
      <c r="AE1127">
        <f>IFERROR(__xludf.DUMMYFUNCTION("""COMPUTED_VALUE"""),0.0)</f>
        <v>0</v>
      </c>
      <c r="AH1127" s="189">
        <f>IFERROR(__xludf.DUMMYFUNCTION("""COMPUTED_VALUE"""),43391.93931590278)</f>
        <v>43391.93932</v>
      </c>
    </row>
    <row r="1128">
      <c r="A1128" t="str">
        <f>IFERROR(__xludf.DUMMYFUNCTION("""COMPUTED_VALUE"""),"skrobo")</f>
        <v>skrobo</v>
      </c>
      <c r="B1128" t="str">
        <f>IFERROR(__xludf.DUMMYFUNCTION("""COMPUTED_VALUE"""),"chicago")</f>
        <v>chicago</v>
      </c>
      <c r="C1128" t="str">
        <f>IFERROR(__xludf.DUMMYFUNCTION("""COMPUTED_VALUE"""),"IL")</f>
        <v>IL</v>
      </c>
      <c r="D1128" t="str">
        <f>IFERROR(__xludf.DUMMYFUNCTION("""COMPUTED_VALUE"""),"USA")</f>
        <v>USA</v>
      </c>
      <c r="E1128" s="188">
        <f>IFERROR(__xludf.DUMMYFUNCTION("""COMPUTED_VALUE"""),43348.0)</f>
        <v>43348</v>
      </c>
      <c r="F1128" s="188">
        <f>IFERROR(__xludf.DUMMYFUNCTION("""COMPUTED_VALUE"""),43355.0)</f>
        <v>43355</v>
      </c>
      <c r="H1128" s="4">
        <f>IFERROR(__xludf.DUMMYFUNCTION("""COMPUTED_VALUE"""),84835.0)</f>
        <v>84835</v>
      </c>
      <c r="I1128" t="str">
        <f>IFERROR(__xludf.DUMMYFUNCTION("""COMPUTED_VALUE"""),"09/18")</f>
        <v>09/18</v>
      </c>
      <c r="J1128" s="5">
        <f>IFERROR(__xludf.DUMMYFUNCTION("""COMPUTED_VALUE"""),43388.0)</f>
        <v>43388</v>
      </c>
      <c r="K1128">
        <f>IFERROR(__xludf.DUMMYFUNCTION("""COMPUTED_VALUE"""),7.0)</f>
        <v>7</v>
      </c>
      <c r="L1128">
        <f>IFERROR(__xludf.DUMMYFUNCTION("""COMPUTED_VALUE"""),33.0)</f>
        <v>33</v>
      </c>
      <c r="M1128">
        <f>IFERROR(__xludf.DUMMYFUNCTION("""COMPUTED_VALUE"""),40.0)</f>
        <v>40</v>
      </c>
      <c r="N1128" t="str">
        <f>IFERROR(__xludf.DUMMYFUNCTION("""COMPUTED_VALUE"""),"Model 3 LR AWD")</f>
        <v>Model 3 LR AWD</v>
      </c>
      <c r="O1128" t="str">
        <f>IFERROR(__xludf.DUMMYFUNCTION("""COMPUTED_VALUE"""),"Midnight Silver Metallic")</f>
        <v>Midnight Silver Metallic</v>
      </c>
      <c r="P1128" t="str">
        <f>IFERROR(__xludf.DUMMYFUNCTION("""COMPUTED_VALUE"""),"18 inch Aero")</f>
        <v>18 inch Aero</v>
      </c>
      <c r="Q1128" t="str">
        <f>IFERROR(__xludf.DUMMYFUNCTION("""COMPUTED_VALUE"""),"Black seats")</f>
        <v>Black seats</v>
      </c>
      <c r="R1128" t="str">
        <f>IFERROR(__xludf.DUMMYFUNCTION("""COMPUTED_VALUE"""),"Enhanced Autopilot")</f>
        <v>Enhanced Autopilot</v>
      </c>
      <c r="X1128" t="str">
        <f>IFERROR(__xludf.DUMMYFUNCTION("""COMPUTED_VALUE"""),"Excellent")</f>
        <v>Excellent</v>
      </c>
      <c r="Y1128" t="str">
        <f>IFERROR(__xludf.DUMMYFUNCTION("""COMPUTED_VALUE"""),"Excellent")</f>
        <v>Excellent</v>
      </c>
      <c r="Z1128" t="str">
        <f>IFERROR(__xludf.DUMMYFUNCTION("""COMPUTED_VALUE"""),"Excellent")</f>
        <v>Excellent</v>
      </c>
      <c r="AA1128" t="str">
        <f>IFERROR(__xludf.DUMMYFUNCTION("""COMPUTED_VALUE"""),"Excellent")</f>
        <v>Excellent</v>
      </c>
      <c r="AB1128" t="str">
        <f>IFERROR(__xludf.DUMMYFUNCTION("""COMPUTED_VALUE"""),"Excellent")</f>
        <v>Excellent</v>
      </c>
      <c r="AG1128" t="str">
        <f>IFERROR(__xludf.DUMMYFUNCTION("""COMPUTED_VALUE"""),"Totally perfect experience since placing the order all the way thru delivery, no issues at all, and the communication has been great the whole time.")</f>
        <v>Totally perfect experience since placing the order all the way thru delivery, no issues at all, and the communication has been great the whole time.</v>
      </c>
      <c r="AH1128" s="189">
        <f>IFERROR(__xludf.DUMMYFUNCTION("""COMPUTED_VALUE"""),43392.35971715278)</f>
        <v>43392.35972</v>
      </c>
    </row>
    <row r="1129">
      <c r="A1129" t="str">
        <f>IFERROR(__xludf.DUMMYFUNCTION("""COMPUTED_VALUE"""),"Confusatron")</f>
        <v>Confusatron</v>
      </c>
      <c r="B1129" t="str">
        <f>IFERROR(__xludf.DUMMYFUNCTION("""COMPUTED_VALUE"""),"Seattle")</f>
        <v>Seattle</v>
      </c>
      <c r="C1129" t="str">
        <f>IFERROR(__xludf.DUMMYFUNCTION("""COMPUTED_VALUE"""),"WA")</f>
        <v>WA</v>
      </c>
      <c r="D1129" t="str">
        <f>IFERROR(__xludf.DUMMYFUNCTION("""COMPUTED_VALUE"""),"USA")</f>
        <v>USA</v>
      </c>
      <c r="E1129" s="188">
        <f>IFERROR(__xludf.DUMMYFUNCTION("""COMPUTED_VALUE"""),43373.0)</f>
        <v>43373</v>
      </c>
      <c r="F1129" s="188">
        <f>IFERROR(__xludf.DUMMYFUNCTION("""COMPUTED_VALUE"""),43383.0)</f>
        <v>43383</v>
      </c>
      <c r="H1129">
        <f>IFERROR(__xludf.DUMMYFUNCTION("""COMPUTED_VALUE"""),102455.0)</f>
        <v>102455</v>
      </c>
      <c r="I1129" t="str">
        <f>IFERROR(__xludf.DUMMYFUNCTION("""COMPUTED_VALUE"""),"10/18")</f>
        <v>10/18</v>
      </c>
      <c r="J1129" s="5">
        <f>IFERROR(__xludf.DUMMYFUNCTION("""COMPUTED_VALUE"""),43390.0)</f>
        <v>43390</v>
      </c>
      <c r="K1129">
        <f>IFERROR(__xludf.DUMMYFUNCTION("""COMPUTED_VALUE"""),10.0)</f>
        <v>10</v>
      </c>
      <c r="L1129">
        <f>IFERROR(__xludf.DUMMYFUNCTION("""COMPUTED_VALUE"""),7.0)</f>
        <v>7</v>
      </c>
      <c r="M1129">
        <f>IFERROR(__xludf.DUMMYFUNCTION("""COMPUTED_VALUE"""),17.0)</f>
        <v>17</v>
      </c>
      <c r="N1129" t="str">
        <f>IFERROR(__xludf.DUMMYFUNCTION("""COMPUTED_VALUE"""),"Model 3 LR")</f>
        <v>Model 3 LR</v>
      </c>
      <c r="O1129" t="str">
        <f>IFERROR(__xludf.DUMMYFUNCTION("""COMPUTED_VALUE"""),"Deep Blue Metallic")</f>
        <v>Deep Blue Metallic</v>
      </c>
      <c r="P1129" t="str">
        <f>IFERROR(__xludf.DUMMYFUNCTION("""COMPUTED_VALUE"""),"18 inch Aero")</f>
        <v>18 inch Aero</v>
      </c>
      <c r="Q1129" t="str">
        <f>IFERROR(__xludf.DUMMYFUNCTION("""COMPUTED_VALUE"""),"Black seats")</f>
        <v>Black seats</v>
      </c>
      <c r="R1129" t="str">
        <f>IFERROR(__xludf.DUMMYFUNCTION("""COMPUTED_VALUE"""),"Enhanced Autopilot")</f>
        <v>Enhanced Autopilot</v>
      </c>
      <c r="X1129" t="str">
        <f>IFERROR(__xludf.DUMMYFUNCTION("""COMPUTED_VALUE"""),"Very Good")</f>
        <v>Very Good</v>
      </c>
      <c r="Y1129" t="str">
        <f>IFERROR(__xludf.DUMMYFUNCTION("""COMPUTED_VALUE"""),"Excellent")</f>
        <v>Excellent</v>
      </c>
      <c r="Z1129" t="str">
        <f>IFERROR(__xludf.DUMMYFUNCTION("""COMPUTED_VALUE"""),"Very Good")</f>
        <v>Very Good</v>
      </c>
      <c r="AA1129" t="str">
        <f>IFERROR(__xludf.DUMMYFUNCTION("""COMPUTED_VALUE"""),"Good")</f>
        <v>Good</v>
      </c>
      <c r="AB1129" t="str">
        <f>IFERROR(__xludf.DUMMYFUNCTION("""COMPUTED_VALUE"""),"Good")</f>
        <v>Good</v>
      </c>
      <c r="AC1129">
        <f>IFERROR(__xludf.DUMMYFUNCTION("""COMPUTED_VALUE"""),1.0)</f>
        <v>1</v>
      </c>
      <c r="AD1129">
        <f>IFERROR(__xludf.DUMMYFUNCTION("""COMPUTED_VALUE"""),1.0)</f>
        <v>1</v>
      </c>
      <c r="AG1129" t="str">
        <f>IFERROR(__xludf.DUMMYFUNCTION("""COMPUTED_VALUE"""),"Left turn signal didn't work properly.")</f>
        <v>Left turn signal didn't work properly.</v>
      </c>
      <c r="AH1129" s="189">
        <f>IFERROR(__xludf.DUMMYFUNCTION("""COMPUTED_VALUE"""),43392.40295179398)</f>
        <v>43392.40295</v>
      </c>
    </row>
    <row r="1130">
      <c r="A1130" t="str">
        <f>IFERROR(__xludf.DUMMYFUNCTION("""COMPUTED_VALUE"""),"hucktheb")</f>
        <v>hucktheb</v>
      </c>
      <c r="B1130" t="str">
        <f>IFERROR(__xludf.DUMMYFUNCTION("""COMPUTED_VALUE"""),"Rochester")</f>
        <v>Rochester</v>
      </c>
      <c r="C1130" t="str">
        <f>IFERROR(__xludf.DUMMYFUNCTION("""COMPUTED_VALUE"""),"MN")</f>
        <v>MN</v>
      </c>
      <c r="D1130" t="str">
        <f>IFERROR(__xludf.DUMMYFUNCTION("""COMPUTED_VALUE"""),"USA")</f>
        <v>USA</v>
      </c>
      <c r="E1130" s="188">
        <f>IFERROR(__xludf.DUMMYFUNCTION("""COMPUTED_VALUE"""),43331.0)</f>
        <v>43331</v>
      </c>
      <c r="F1130" s="188">
        <f>IFERROR(__xludf.DUMMYFUNCTION("""COMPUTED_VALUE"""),43361.0)</f>
        <v>43361</v>
      </c>
      <c r="H1130">
        <f>IFERROR(__xludf.DUMMYFUNCTION("""COMPUTED_VALUE"""),103033.0)</f>
        <v>103033</v>
      </c>
      <c r="I1130" t="str">
        <f>IFERROR(__xludf.DUMMYFUNCTION("""COMPUTED_VALUE"""),"09/18")</f>
        <v>09/18</v>
      </c>
      <c r="J1130" s="5">
        <f>IFERROR(__xludf.DUMMYFUNCTION("""COMPUTED_VALUE"""),43372.0)</f>
        <v>43372</v>
      </c>
      <c r="K1130">
        <f>IFERROR(__xludf.DUMMYFUNCTION("""COMPUTED_VALUE"""),30.0)</f>
        <v>30</v>
      </c>
      <c r="L1130">
        <f>IFERROR(__xludf.DUMMYFUNCTION("""COMPUTED_VALUE"""),11.0)</f>
        <v>11</v>
      </c>
      <c r="M1130">
        <f>IFERROR(__xludf.DUMMYFUNCTION("""COMPUTED_VALUE"""),41.0)</f>
        <v>41</v>
      </c>
      <c r="N1130" t="str">
        <f>IFERROR(__xludf.DUMMYFUNCTION("""COMPUTED_VALUE"""),"Model 3 LR AWD")</f>
        <v>Model 3 LR AWD</v>
      </c>
      <c r="O1130" t="str">
        <f>IFERROR(__xludf.DUMMYFUNCTION("""COMPUTED_VALUE"""),"Solid Black")</f>
        <v>Solid Black</v>
      </c>
      <c r="P1130" t="str">
        <f>IFERROR(__xludf.DUMMYFUNCTION("""COMPUTED_VALUE"""),"18 inch Aero")</f>
        <v>18 inch Aero</v>
      </c>
      <c r="Q1130" t="str">
        <f>IFERROR(__xludf.DUMMYFUNCTION("""COMPUTED_VALUE"""),"Black seats")</f>
        <v>Black seats</v>
      </c>
      <c r="R1130" t="str">
        <f>IFERROR(__xludf.DUMMYFUNCTION("""COMPUTED_VALUE"""),"Full Self-Driving")</f>
        <v>Full Self-Driving</v>
      </c>
      <c r="X1130" t="str">
        <f>IFERROR(__xludf.DUMMYFUNCTION("""COMPUTED_VALUE"""),"Excellent")</f>
        <v>Excellent</v>
      </c>
      <c r="Y1130" t="str">
        <f>IFERROR(__xludf.DUMMYFUNCTION("""COMPUTED_VALUE"""),"Excellent")</f>
        <v>Excellent</v>
      </c>
      <c r="Z1130" t="str">
        <f>IFERROR(__xludf.DUMMYFUNCTION("""COMPUTED_VALUE"""),"Excellent")</f>
        <v>Excellent</v>
      </c>
      <c r="AA1130" t="str">
        <f>IFERROR(__xludf.DUMMYFUNCTION("""COMPUTED_VALUE"""),"Excellent")</f>
        <v>Excellent</v>
      </c>
      <c r="AB1130" t="str">
        <f>IFERROR(__xludf.DUMMYFUNCTION("""COMPUTED_VALUE"""),"Excellent")</f>
        <v>Excellent</v>
      </c>
      <c r="AC1130">
        <f>IFERROR(__xludf.DUMMYFUNCTION("""COMPUTED_VALUE"""),0.0)</f>
        <v>0</v>
      </c>
      <c r="AD1130">
        <f>IFERROR(__xludf.DUMMYFUNCTION("""COMPUTED_VALUE"""),0.0)</f>
        <v>0</v>
      </c>
      <c r="AE1130">
        <f>IFERROR(__xludf.DUMMYFUNCTION("""COMPUTED_VALUE"""),0.0)</f>
        <v>0</v>
      </c>
      <c r="AH1130" s="189">
        <f>IFERROR(__xludf.DUMMYFUNCTION("""COMPUTED_VALUE"""),43392.42870583333)</f>
        <v>43392.42871</v>
      </c>
    </row>
    <row r="1131">
      <c r="A1131" t="str">
        <f>IFERROR(__xludf.DUMMYFUNCTION("""COMPUTED_VALUE"""),"silvermagic")</f>
        <v>silvermagic</v>
      </c>
      <c r="B1131" t="str">
        <f>IFERROR(__xludf.DUMMYFUNCTION("""COMPUTED_VALUE"""),"San Jose")</f>
        <v>San Jose</v>
      </c>
      <c r="C1131" t="str">
        <f>IFERROR(__xludf.DUMMYFUNCTION("""COMPUTED_VALUE"""),"CA")</f>
        <v>CA</v>
      </c>
      <c r="D1131" t="str">
        <f>IFERROR(__xludf.DUMMYFUNCTION("""COMPUTED_VALUE"""),"USA")</f>
        <v>USA</v>
      </c>
      <c r="E1131" s="188">
        <f>IFERROR(__xludf.DUMMYFUNCTION("""COMPUTED_VALUE"""),43277.0)</f>
        <v>43277</v>
      </c>
      <c r="F1131" s="188">
        <f>IFERROR(__xludf.DUMMYFUNCTION("""COMPUTED_VALUE"""),43369.0)</f>
        <v>43369</v>
      </c>
      <c r="H1131">
        <f>IFERROR(__xludf.DUMMYFUNCTION("""COMPUTED_VALUE"""),93455.0)</f>
        <v>93455</v>
      </c>
      <c r="I1131" t="str">
        <f>IFERROR(__xludf.DUMMYFUNCTION("""COMPUTED_VALUE"""),"09/18")</f>
        <v>09/18</v>
      </c>
      <c r="J1131" s="5">
        <f>IFERROR(__xludf.DUMMYFUNCTION("""COMPUTED_VALUE"""),43369.0)</f>
        <v>43369</v>
      </c>
      <c r="K1131">
        <f>IFERROR(__xludf.DUMMYFUNCTION("""COMPUTED_VALUE"""),92.0)</f>
        <v>92</v>
      </c>
      <c r="L1131">
        <f>IFERROR(__xludf.DUMMYFUNCTION("""COMPUTED_VALUE"""),0.0)</f>
        <v>0</v>
      </c>
      <c r="M1131">
        <f>IFERROR(__xludf.DUMMYFUNCTION("""COMPUTED_VALUE"""),92.0)</f>
        <v>92</v>
      </c>
      <c r="N1131" t="str">
        <f>IFERROR(__xludf.DUMMYFUNCTION("""COMPUTED_VALUE"""),"Model 3 LR AWD")</f>
        <v>Model 3 LR AWD</v>
      </c>
      <c r="O1131" t="str">
        <f>IFERROR(__xludf.DUMMYFUNCTION("""COMPUTED_VALUE"""),"Red Multi-Coat")</f>
        <v>Red Multi-Coat</v>
      </c>
      <c r="P1131" t="str">
        <f>IFERROR(__xludf.DUMMYFUNCTION("""COMPUTED_VALUE"""),"18 inch Aero")</f>
        <v>18 inch Aero</v>
      </c>
      <c r="Q1131" t="str">
        <f>IFERROR(__xludf.DUMMYFUNCTION("""COMPUTED_VALUE"""),"Black seats")</f>
        <v>Black seats</v>
      </c>
      <c r="R1131" t="str">
        <f>IFERROR(__xludf.DUMMYFUNCTION("""COMPUTED_VALUE"""),"Enhanced Autopilot")</f>
        <v>Enhanced Autopilot</v>
      </c>
      <c r="X1131" t="str">
        <f>IFERROR(__xludf.DUMMYFUNCTION("""COMPUTED_VALUE"""),"Very Good")</f>
        <v>Very Good</v>
      </c>
      <c r="Y1131" t="str">
        <f>IFERROR(__xludf.DUMMYFUNCTION("""COMPUTED_VALUE"""),"Very Good")</f>
        <v>Very Good</v>
      </c>
      <c r="Z1131" t="str">
        <f>IFERROR(__xludf.DUMMYFUNCTION("""COMPUTED_VALUE"""),"Very Good")</f>
        <v>Very Good</v>
      </c>
      <c r="AA1131" t="str">
        <f>IFERROR(__xludf.DUMMYFUNCTION("""COMPUTED_VALUE"""),"Poor")</f>
        <v>Poor</v>
      </c>
      <c r="AB1131" t="str">
        <f>IFERROR(__xludf.DUMMYFUNCTION("""COMPUTED_VALUE"""),"Excellent")</f>
        <v>Excellent</v>
      </c>
      <c r="AC1131">
        <f>IFERROR(__xludf.DUMMYFUNCTION("""COMPUTED_VALUE"""),4.0)</f>
        <v>4</v>
      </c>
      <c r="AD1131">
        <f>IFERROR(__xludf.DUMMYFUNCTION("""COMPUTED_VALUE"""),1.0)</f>
        <v>1</v>
      </c>
      <c r="AE1131">
        <f>IFERROR(__xludf.DUMMYFUNCTION("""COMPUTED_VALUE"""),1.0)</f>
        <v>1</v>
      </c>
      <c r="AG1131" t="str">
        <f>IFERROR(__xludf.DUMMYFUNCTION("""COMPUTED_VALUE"""),"My Service Center experience was very good")</f>
        <v>My Service Center experience was very good</v>
      </c>
      <c r="AH1131" s="189">
        <f>IFERROR(__xludf.DUMMYFUNCTION("""COMPUTED_VALUE"""),43392.43034746528)</f>
        <v>43392.43035</v>
      </c>
    </row>
    <row r="1132">
      <c r="A1132" t="str">
        <f>IFERROR(__xludf.DUMMYFUNCTION("""COMPUTED_VALUE"""),"aekemmerer")</f>
        <v>aekemmerer</v>
      </c>
      <c r="B1132" t="str">
        <f>IFERROR(__xludf.DUMMYFUNCTION("""COMPUTED_VALUE"""),"Scottsdale")</f>
        <v>Scottsdale</v>
      </c>
      <c r="C1132" t="str">
        <f>IFERROR(__xludf.DUMMYFUNCTION("""COMPUTED_VALUE"""),"AZ")</f>
        <v>AZ</v>
      </c>
      <c r="D1132" t="str">
        <f>IFERROR(__xludf.DUMMYFUNCTION("""COMPUTED_VALUE"""),"USA")</f>
        <v>USA</v>
      </c>
      <c r="E1132" s="188">
        <f>IFERROR(__xludf.DUMMYFUNCTION("""COMPUTED_VALUE"""),43306.0)</f>
        <v>43306</v>
      </c>
      <c r="F1132" s="188">
        <f>IFERROR(__xludf.DUMMYFUNCTION("""COMPUTED_VALUE"""),43349.0)</f>
        <v>43349</v>
      </c>
      <c r="H1132">
        <f>IFERROR(__xludf.DUMMYFUNCTION("""COMPUTED_VALUE"""),65155.0)</f>
        <v>65155</v>
      </c>
      <c r="I1132" t="str">
        <f>IFERROR(__xludf.DUMMYFUNCTION("""COMPUTED_VALUE"""),"08/18")</f>
        <v>08/18</v>
      </c>
      <c r="J1132" s="5">
        <f>IFERROR(__xludf.DUMMYFUNCTION("""COMPUTED_VALUE"""),43359.0)</f>
        <v>43359</v>
      </c>
      <c r="K1132">
        <f>IFERROR(__xludf.DUMMYFUNCTION("""COMPUTED_VALUE"""),43.0)</f>
        <v>43</v>
      </c>
      <c r="L1132">
        <f>IFERROR(__xludf.DUMMYFUNCTION("""COMPUTED_VALUE"""),10.0)</f>
        <v>10</v>
      </c>
      <c r="M1132">
        <f>IFERROR(__xludf.DUMMYFUNCTION("""COMPUTED_VALUE"""),53.0)</f>
        <v>53</v>
      </c>
      <c r="N1132" t="str">
        <f>IFERROR(__xludf.DUMMYFUNCTION("""COMPUTED_VALUE"""),"Model 3 LR AWD")</f>
        <v>Model 3 LR AWD</v>
      </c>
      <c r="O1132" t="str">
        <f>IFERROR(__xludf.DUMMYFUNCTION("""COMPUTED_VALUE"""),"Silver Metallic")</f>
        <v>Silver Metallic</v>
      </c>
      <c r="P1132" t="str">
        <f>IFERROR(__xludf.DUMMYFUNCTION("""COMPUTED_VALUE"""),"18 inch Aero")</f>
        <v>18 inch Aero</v>
      </c>
      <c r="Q1132" t="str">
        <f>IFERROR(__xludf.DUMMYFUNCTION("""COMPUTED_VALUE"""),"Black seats")</f>
        <v>Black seats</v>
      </c>
      <c r="R1132" t="str">
        <f>IFERROR(__xludf.DUMMYFUNCTION("""COMPUTED_VALUE"""),"Full Self-Driving")</f>
        <v>Full Self-Driving</v>
      </c>
      <c r="X1132" t="str">
        <f>IFERROR(__xludf.DUMMYFUNCTION("""COMPUTED_VALUE"""),"Excellent")</f>
        <v>Excellent</v>
      </c>
      <c r="Y1132" t="str">
        <f>IFERROR(__xludf.DUMMYFUNCTION("""COMPUTED_VALUE"""),"Very Good")</f>
        <v>Very Good</v>
      </c>
      <c r="Z1132" t="str">
        <f>IFERROR(__xludf.DUMMYFUNCTION("""COMPUTED_VALUE"""),"Excellent")</f>
        <v>Excellent</v>
      </c>
      <c r="AA1132" t="str">
        <f>IFERROR(__xludf.DUMMYFUNCTION("""COMPUTED_VALUE"""),"Poor")</f>
        <v>Poor</v>
      </c>
      <c r="AB1132" t="str">
        <f>IFERROR(__xludf.DUMMYFUNCTION("""COMPUTED_VALUE"""),"Very Good")</f>
        <v>Very Good</v>
      </c>
      <c r="AC1132">
        <f>IFERROR(__xludf.DUMMYFUNCTION("""COMPUTED_VALUE"""),3.0)</f>
        <v>3</v>
      </c>
      <c r="AD1132">
        <f>IFERROR(__xludf.DUMMYFUNCTION("""COMPUTED_VALUE"""),1.0)</f>
        <v>1</v>
      </c>
      <c r="AE1132">
        <f>IFERROR(__xludf.DUMMYFUNCTION("""COMPUTED_VALUE"""),0.0)</f>
        <v>0</v>
      </c>
      <c r="AH1132" s="189">
        <f>IFERROR(__xludf.DUMMYFUNCTION("""COMPUTED_VALUE"""),43392.43762482639)</f>
        <v>43392.43762</v>
      </c>
    </row>
    <row r="1133">
      <c r="A1133" t="str">
        <f>IFERROR(__xludf.DUMMYFUNCTION("""COMPUTED_VALUE"""),"myev")</f>
        <v>myev</v>
      </c>
      <c r="B1133" t="str">
        <f>IFERROR(__xludf.DUMMYFUNCTION("""COMPUTED_VALUE"""),"Guelph")</f>
        <v>Guelph</v>
      </c>
      <c r="C1133" t="str">
        <f>IFERROR(__xludf.DUMMYFUNCTION("""COMPUTED_VALUE"""),"ON")</f>
        <v>ON</v>
      </c>
      <c r="D1133" t="str">
        <f>IFERROR(__xludf.DUMMYFUNCTION("""COMPUTED_VALUE"""),"Canada")</f>
        <v>Canada</v>
      </c>
      <c r="E1133" s="188">
        <f>IFERROR(__xludf.DUMMYFUNCTION("""COMPUTED_VALUE"""),43277.0)</f>
        <v>43277</v>
      </c>
      <c r="F1133" s="188">
        <f>IFERROR(__xludf.DUMMYFUNCTION("""COMPUTED_VALUE"""),43348.0)</f>
        <v>43348</v>
      </c>
      <c r="H1133">
        <f>IFERROR(__xludf.DUMMYFUNCTION("""COMPUTED_VALUE"""),107055.0)</f>
        <v>107055</v>
      </c>
      <c r="I1133" t="str">
        <f>IFERROR(__xludf.DUMMYFUNCTION("""COMPUTED_VALUE"""),"09/18")</f>
        <v>09/18</v>
      </c>
      <c r="J1133" s="5">
        <f>IFERROR(__xludf.DUMMYFUNCTION("""COMPUTED_VALUE"""),43365.0)</f>
        <v>43365</v>
      </c>
      <c r="K1133">
        <f>IFERROR(__xludf.DUMMYFUNCTION("""COMPUTED_VALUE"""),71.0)</f>
        <v>71</v>
      </c>
      <c r="L1133">
        <f>IFERROR(__xludf.DUMMYFUNCTION("""COMPUTED_VALUE"""),17.0)</f>
        <v>17</v>
      </c>
      <c r="M1133">
        <f>IFERROR(__xludf.DUMMYFUNCTION("""COMPUTED_VALUE"""),88.0)</f>
        <v>88</v>
      </c>
      <c r="N1133" t="str">
        <f>IFERROR(__xludf.DUMMYFUNCTION("""COMPUTED_VALUE"""),"Model 3 LR AWD")</f>
        <v>Model 3 LR AWD</v>
      </c>
      <c r="O1133" t="str">
        <f>IFERROR(__xludf.DUMMYFUNCTION("""COMPUTED_VALUE"""),"Red Multi-Coat")</f>
        <v>Red Multi-Coat</v>
      </c>
      <c r="P1133" t="str">
        <f>IFERROR(__xludf.DUMMYFUNCTION("""COMPUTED_VALUE"""),"18 inch Aero")</f>
        <v>18 inch Aero</v>
      </c>
      <c r="Q1133" t="str">
        <f>IFERROR(__xludf.DUMMYFUNCTION("""COMPUTED_VALUE"""),"Black seats")</f>
        <v>Black seats</v>
      </c>
      <c r="R1133" t="str">
        <f>IFERROR(__xludf.DUMMYFUNCTION("""COMPUTED_VALUE"""),"Enhanced Autopilot")</f>
        <v>Enhanced Autopilot</v>
      </c>
      <c r="X1133" t="str">
        <f>IFERROR(__xludf.DUMMYFUNCTION("""COMPUTED_VALUE"""),"Excellent")</f>
        <v>Excellent</v>
      </c>
      <c r="Y1133" t="str">
        <f>IFERROR(__xludf.DUMMYFUNCTION("""COMPUTED_VALUE"""),"Very Good")</f>
        <v>Very Good</v>
      </c>
      <c r="Z1133" t="str">
        <f>IFERROR(__xludf.DUMMYFUNCTION("""COMPUTED_VALUE"""),"Very Good")</f>
        <v>Very Good</v>
      </c>
      <c r="AA1133" t="str">
        <f>IFERROR(__xludf.DUMMYFUNCTION("""COMPUTED_VALUE"""),"Good")</f>
        <v>Good</v>
      </c>
      <c r="AB1133" t="str">
        <f>IFERROR(__xludf.DUMMYFUNCTION("""COMPUTED_VALUE"""),"Fair")</f>
        <v>Fair</v>
      </c>
      <c r="AC1133">
        <f>IFERROR(__xludf.DUMMYFUNCTION("""COMPUTED_VALUE"""),3.0)</f>
        <v>3</v>
      </c>
      <c r="AD1133">
        <f>IFERROR(__xludf.DUMMYFUNCTION("""COMPUTED_VALUE"""),1.0)</f>
        <v>1</v>
      </c>
      <c r="AE1133">
        <f>IFERROR(__xludf.DUMMYFUNCTION("""COMPUTED_VALUE"""),7.0)</f>
        <v>7</v>
      </c>
      <c r="AH1133" s="189">
        <f>IFERROR(__xludf.DUMMYFUNCTION("""COMPUTED_VALUE"""),43392.52267155093)</f>
        <v>43392.52267</v>
      </c>
    </row>
    <row r="1134">
      <c r="A1134" t="str">
        <f>IFERROR(__xludf.DUMMYFUNCTION("""COMPUTED_VALUE"""),"rcroman")</f>
        <v>rcroman</v>
      </c>
      <c r="B1134" t="str">
        <f>IFERROR(__xludf.DUMMYFUNCTION("""COMPUTED_VALUE"""),"Austin")</f>
        <v>Austin</v>
      </c>
      <c r="C1134" t="str">
        <f>IFERROR(__xludf.DUMMYFUNCTION("""COMPUTED_VALUE"""),"TX")</f>
        <v>TX</v>
      </c>
      <c r="D1134" t="str">
        <f>IFERROR(__xludf.DUMMYFUNCTION("""COMPUTED_VALUE"""),"USA")</f>
        <v>USA</v>
      </c>
      <c r="E1134" s="188">
        <f>IFERROR(__xludf.DUMMYFUNCTION("""COMPUTED_VALUE"""),43280.0)</f>
        <v>43280</v>
      </c>
      <c r="F1134" s="188">
        <f>IFERROR(__xludf.DUMMYFUNCTION("""COMPUTED_VALUE"""),43382.0)</f>
        <v>43382</v>
      </c>
      <c r="H1134" s="4">
        <f>IFERROR(__xludf.DUMMYFUNCTION("""COMPUTED_VALUE"""),94392.0)</f>
        <v>94392</v>
      </c>
      <c r="I1134" t="str">
        <f>IFERROR(__xludf.DUMMYFUNCTION("""COMPUTED_VALUE"""),"10/18")</f>
        <v>10/18</v>
      </c>
      <c r="J1134" s="5">
        <f>IFERROR(__xludf.DUMMYFUNCTION("""COMPUTED_VALUE"""),43392.0)</f>
        <v>43392</v>
      </c>
      <c r="K1134">
        <f>IFERROR(__xludf.DUMMYFUNCTION("""COMPUTED_VALUE"""),102.0)</f>
        <v>102</v>
      </c>
      <c r="L1134">
        <f>IFERROR(__xludf.DUMMYFUNCTION("""COMPUTED_VALUE"""),10.0)</f>
        <v>10</v>
      </c>
      <c r="M1134">
        <f>IFERROR(__xludf.DUMMYFUNCTION("""COMPUTED_VALUE"""),112.0)</f>
        <v>112</v>
      </c>
      <c r="N1134" t="str">
        <f>IFERROR(__xludf.DUMMYFUNCTION("""COMPUTED_VALUE"""),"Model 3 Performance")</f>
        <v>Model 3 Performance</v>
      </c>
      <c r="O1134" t="str">
        <f>IFERROR(__xludf.DUMMYFUNCTION("""COMPUTED_VALUE"""),"Red Multi-Coat")</f>
        <v>Red Multi-Coat</v>
      </c>
      <c r="P1134" t="str">
        <f>IFERROR(__xludf.DUMMYFUNCTION("""COMPUTED_VALUE"""),"18 inch Aero")</f>
        <v>18 inch Aero</v>
      </c>
      <c r="Q1134" t="str">
        <f>IFERROR(__xludf.DUMMYFUNCTION("""COMPUTED_VALUE"""),"Black seats")</f>
        <v>Black seats</v>
      </c>
      <c r="R1134" t="str">
        <f>IFERROR(__xludf.DUMMYFUNCTION("""COMPUTED_VALUE"""),"Enhanced Autopilot")</f>
        <v>Enhanced Autopilot</v>
      </c>
      <c r="X1134" t="str">
        <f>IFERROR(__xludf.DUMMYFUNCTION("""COMPUTED_VALUE"""),"Excellent")</f>
        <v>Excellent</v>
      </c>
      <c r="Y1134" t="str">
        <f>IFERROR(__xludf.DUMMYFUNCTION("""COMPUTED_VALUE"""),"Excellent")</f>
        <v>Excellent</v>
      </c>
      <c r="Z1134" t="str">
        <f>IFERROR(__xludf.DUMMYFUNCTION("""COMPUTED_VALUE"""),"Excellent")</f>
        <v>Excellent</v>
      </c>
      <c r="AA1134" t="str">
        <f>IFERROR(__xludf.DUMMYFUNCTION("""COMPUTED_VALUE"""),"Good")</f>
        <v>Good</v>
      </c>
      <c r="AB1134" t="str">
        <f>IFERROR(__xludf.DUMMYFUNCTION("""COMPUTED_VALUE"""),"Very Good")</f>
        <v>Very Good</v>
      </c>
      <c r="AH1134" s="189">
        <f>IFERROR(__xludf.DUMMYFUNCTION("""COMPUTED_VALUE"""),43392.53399347222)</f>
        <v>43392.53399</v>
      </c>
    </row>
    <row r="1135">
      <c r="A1135" t="str">
        <f>IFERROR(__xludf.DUMMYFUNCTION("""COMPUTED_VALUE"""),"DrZoidberg")</f>
        <v>DrZoidberg</v>
      </c>
      <c r="C1135" t="str">
        <f>IFERROR(__xludf.DUMMYFUNCTION("""COMPUTED_VALUE"""),"WY")</f>
        <v>WY</v>
      </c>
      <c r="D1135" t="str">
        <f>IFERROR(__xludf.DUMMYFUNCTION("""COMPUTED_VALUE"""),"USA")</f>
        <v>USA</v>
      </c>
      <c r="E1135" s="188">
        <f>IFERROR(__xludf.DUMMYFUNCTION("""COMPUTED_VALUE"""),43277.0)</f>
        <v>43277</v>
      </c>
      <c r="F1135" s="188">
        <f>IFERROR(__xludf.DUMMYFUNCTION("""COMPUTED_VALUE"""),43355.0)</f>
        <v>43355</v>
      </c>
      <c r="H1135">
        <f>IFERROR(__xludf.DUMMYFUNCTION("""COMPUTED_VALUE"""),80655.0)</f>
        <v>80655</v>
      </c>
      <c r="I1135" t="str">
        <f>IFERROR(__xludf.DUMMYFUNCTION("""COMPUTED_VALUE"""),"09/18")</f>
        <v>09/18</v>
      </c>
      <c r="J1135" s="5">
        <f>IFERROR(__xludf.DUMMYFUNCTION("""COMPUTED_VALUE"""),43371.0)</f>
        <v>43371</v>
      </c>
      <c r="K1135">
        <f>IFERROR(__xludf.DUMMYFUNCTION("""COMPUTED_VALUE"""),78.0)</f>
        <v>78</v>
      </c>
      <c r="L1135">
        <f>IFERROR(__xludf.DUMMYFUNCTION("""COMPUTED_VALUE"""),16.0)</f>
        <v>16</v>
      </c>
      <c r="M1135">
        <f>IFERROR(__xludf.DUMMYFUNCTION("""COMPUTED_VALUE"""),94.0)</f>
        <v>94</v>
      </c>
      <c r="N1135" t="str">
        <f>IFERROR(__xludf.DUMMYFUNCTION("""COMPUTED_VALUE"""),"Model 3 Performance")</f>
        <v>Model 3 Performance</v>
      </c>
      <c r="O1135" t="str">
        <f>IFERROR(__xludf.DUMMYFUNCTION("""COMPUTED_VALUE"""),"Deep Blue Metallic")</f>
        <v>Deep Blue Metallic</v>
      </c>
      <c r="P1135" t="str">
        <f>IFERROR(__xludf.DUMMYFUNCTION("""COMPUTED_VALUE"""),"20 inch Sport")</f>
        <v>20 inch Sport</v>
      </c>
      <c r="Q1135" t="str">
        <f>IFERROR(__xludf.DUMMYFUNCTION("""COMPUTED_VALUE"""),"White seats")</f>
        <v>White seats</v>
      </c>
      <c r="R1135" t="str">
        <f>IFERROR(__xludf.DUMMYFUNCTION("""COMPUTED_VALUE"""),"None")</f>
        <v>None</v>
      </c>
      <c r="X1135" t="str">
        <f>IFERROR(__xludf.DUMMYFUNCTION("""COMPUTED_VALUE"""),"Very Good")</f>
        <v>Very Good</v>
      </c>
      <c r="Y1135" t="str">
        <f>IFERROR(__xludf.DUMMYFUNCTION("""COMPUTED_VALUE"""),"Very Good")</f>
        <v>Very Good</v>
      </c>
      <c r="Z1135" t="str">
        <f>IFERROR(__xludf.DUMMYFUNCTION("""COMPUTED_VALUE"""),"Good")</f>
        <v>Good</v>
      </c>
      <c r="AA1135" t="str">
        <f>IFERROR(__xludf.DUMMYFUNCTION("""COMPUTED_VALUE"""),"Good")</f>
        <v>Good</v>
      </c>
      <c r="AB1135" t="str">
        <f>IFERROR(__xludf.DUMMYFUNCTION("""COMPUTED_VALUE"""),"Good")</f>
        <v>Good</v>
      </c>
      <c r="AC1135">
        <f>IFERROR(__xludf.DUMMYFUNCTION("""COMPUTED_VALUE"""),3.0)</f>
        <v>3</v>
      </c>
      <c r="AD1135">
        <f>IFERROR(__xludf.DUMMYFUNCTION("""COMPUTED_VALUE"""),1.0)</f>
        <v>1</v>
      </c>
      <c r="AE1135">
        <f>IFERROR(__xludf.DUMMYFUNCTION("""COMPUTED_VALUE"""),16.0)</f>
        <v>16</v>
      </c>
      <c r="AH1135" s="189">
        <f>IFERROR(__xludf.DUMMYFUNCTION("""COMPUTED_VALUE"""),43392.82895548611)</f>
        <v>43392.82896</v>
      </c>
    </row>
    <row r="1136">
      <c r="A1136" t="str">
        <f>IFERROR(__xludf.DUMMYFUNCTION("""COMPUTED_VALUE"""),"a.void68")</f>
        <v>a.void68</v>
      </c>
      <c r="B1136" t="str">
        <f>IFERROR(__xludf.DUMMYFUNCTION("""COMPUTED_VALUE"""),"Columbus")</f>
        <v>Columbus</v>
      </c>
      <c r="C1136" t="str">
        <f>IFERROR(__xludf.DUMMYFUNCTION("""COMPUTED_VALUE"""),"OH")</f>
        <v>OH</v>
      </c>
      <c r="D1136" t="str">
        <f>IFERROR(__xludf.DUMMYFUNCTION("""COMPUTED_VALUE"""),"USA")</f>
        <v>USA</v>
      </c>
      <c r="E1136" s="188">
        <f>IFERROR(__xludf.DUMMYFUNCTION("""COMPUTED_VALUE"""),43278.0)</f>
        <v>43278</v>
      </c>
      <c r="H1136">
        <f>IFERROR(__xludf.DUMMYFUNCTION("""COMPUTED_VALUE"""),117220.0)</f>
        <v>117220</v>
      </c>
      <c r="I1136" t="str">
        <f>IFERROR(__xludf.DUMMYFUNCTION("""COMPUTED_VALUE"""),"10/18")</f>
        <v>10/18</v>
      </c>
      <c r="J1136" s="5">
        <f>IFERROR(__xludf.DUMMYFUNCTION("""COMPUTED_VALUE"""),43391.0)</f>
        <v>43391</v>
      </c>
      <c r="M1136">
        <f>IFERROR(__xludf.DUMMYFUNCTION("""COMPUTED_VALUE"""),113.0)</f>
        <v>113</v>
      </c>
      <c r="N1136" t="str">
        <f>IFERROR(__xludf.DUMMYFUNCTION("""COMPUTED_VALUE"""),"Model 3 LR AWD")</f>
        <v>Model 3 LR AWD</v>
      </c>
      <c r="O1136" t="str">
        <f>IFERROR(__xludf.DUMMYFUNCTION("""COMPUTED_VALUE"""),"Red Multi-Coat")</f>
        <v>Red Multi-Coat</v>
      </c>
      <c r="P1136" t="str">
        <f>IFERROR(__xludf.DUMMYFUNCTION("""COMPUTED_VALUE"""),"19 inch Sport")</f>
        <v>19 inch Sport</v>
      </c>
      <c r="Q1136" t="str">
        <f>IFERROR(__xludf.DUMMYFUNCTION("""COMPUTED_VALUE"""),"Black seats")</f>
        <v>Black seats</v>
      </c>
      <c r="R1136" t="str">
        <f>IFERROR(__xludf.DUMMYFUNCTION("""COMPUTED_VALUE"""),"None")</f>
        <v>None</v>
      </c>
      <c r="X1136" t="str">
        <f>IFERROR(__xludf.DUMMYFUNCTION("""COMPUTED_VALUE"""),"Excellent")</f>
        <v>Excellent</v>
      </c>
      <c r="Y1136" t="str">
        <f>IFERROR(__xludf.DUMMYFUNCTION("""COMPUTED_VALUE"""),"Excellent")</f>
        <v>Excellent</v>
      </c>
      <c r="Z1136" t="str">
        <f>IFERROR(__xludf.DUMMYFUNCTION("""COMPUTED_VALUE"""),"Excellent")</f>
        <v>Excellent</v>
      </c>
      <c r="AA1136" t="str">
        <f>IFERROR(__xludf.DUMMYFUNCTION("""COMPUTED_VALUE"""),"Very Good")</f>
        <v>Very Good</v>
      </c>
      <c r="AB1136" t="str">
        <f>IFERROR(__xludf.DUMMYFUNCTION("""COMPUTED_VALUE"""),"Excellent")</f>
        <v>Excellent</v>
      </c>
      <c r="AG1136" t="str">
        <f>IFERROR(__xludf.DUMMYFUNCTION("""COMPUTED_VALUE"""),"original delivery was scheduled for 9/29/2018 with an 88xxx VIN.  Canceled night before with no real solid communication")</f>
        <v>original delivery was scheduled for 9/29/2018 with an 88xxx VIN.  Canceled night before with no real solid communication</v>
      </c>
      <c r="AH1136" s="189">
        <f>IFERROR(__xludf.DUMMYFUNCTION("""COMPUTED_VALUE"""),43393.254258437504)</f>
        <v>43393.25426</v>
      </c>
    </row>
    <row r="1137">
      <c r="A1137" t="str">
        <f>IFERROR(__xludf.DUMMYFUNCTION("""COMPUTED_VALUE"""),"roguenode")</f>
        <v>roguenode</v>
      </c>
      <c r="B1137" t="str">
        <f>IFERROR(__xludf.DUMMYFUNCTION("""COMPUTED_VALUE"""),"Boulder")</f>
        <v>Boulder</v>
      </c>
      <c r="C1137" t="str">
        <f>IFERROR(__xludf.DUMMYFUNCTION("""COMPUTED_VALUE"""),"CO")</f>
        <v>CO</v>
      </c>
      <c r="D1137" t="str">
        <f>IFERROR(__xludf.DUMMYFUNCTION("""COMPUTED_VALUE"""),"USA")</f>
        <v>USA</v>
      </c>
      <c r="E1137" s="188">
        <f>IFERROR(__xludf.DUMMYFUNCTION("""COMPUTED_VALUE"""),43278.0)</f>
        <v>43278</v>
      </c>
      <c r="F1137" s="188">
        <f>IFERROR(__xludf.DUMMYFUNCTION("""COMPUTED_VALUE"""),43383.0)</f>
        <v>43383</v>
      </c>
      <c r="H1137">
        <f>IFERROR(__xludf.DUMMYFUNCTION("""COMPUTED_VALUE"""),109855.0)</f>
        <v>109855</v>
      </c>
      <c r="J1137" s="5">
        <f>IFERROR(__xludf.DUMMYFUNCTION("""COMPUTED_VALUE"""),43391.0)</f>
        <v>43391</v>
      </c>
      <c r="K1137">
        <f>IFERROR(__xludf.DUMMYFUNCTION("""COMPUTED_VALUE"""),105.0)</f>
        <v>105</v>
      </c>
      <c r="L1137">
        <f>IFERROR(__xludf.DUMMYFUNCTION("""COMPUTED_VALUE"""),8.0)</f>
        <v>8</v>
      </c>
      <c r="M1137">
        <f>IFERROR(__xludf.DUMMYFUNCTION("""COMPUTED_VALUE"""),113.0)</f>
        <v>113</v>
      </c>
      <c r="N1137" t="str">
        <f>IFERROR(__xludf.DUMMYFUNCTION("""COMPUTED_VALUE"""),"Model 3 Performance")</f>
        <v>Model 3 Performance</v>
      </c>
      <c r="O1137" t="str">
        <f>IFERROR(__xludf.DUMMYFUNCTION("""COMPUTED_VALUE"""),"Red Multi-Coat")</f>
        <v>Red Multi-Coat</v>
      </c>
      <c r="P1137" t="str">
        <f>IFERROR(__xludf.DUMMYFUNCTION("""COMPUTED_VALUE"""),"20 inch Sport")</f>
        <v>20 inch Sport</v>
      </c>
      <c r="Q1137" t="str">
        <f>IFERROR(__xludf.DUMMYFUNCTION("""COMPUTED_VALUE"""),"White seats")</f>
        <v>White seats</v>
      </c>
      <c r="R1137" t="str">
        <f>IFERROR(__xludf.DUMMYFUNCTION("""COMPUTED_VALUE"""),"None")</f>
        <v>None</v>
      </c>
      <c r="X1137" t="str">
        <f>IFERROR(__xludf.DUMMYFUNCTION("""COMPUTED_VALUE"""),"Very Good")</f>
        <v>Very Good</v>
      </c>
      <c r="Y1137" t="str">
        <f>IFERROR(__xludf.DUMMYFUNCTION("""COMPUTED_VALUE"""),"Very Good")</f>
        <v>Very Good</v>
      </c>
      <c r="Z1137" t="str">
        <f>IFERROR(__xludf.DUMMYFUNCTION("""COMPUTED_VALUE"""),"Good")</f>
        <v>Good</v>
      </c>
      <c r="AA1137" t="str">
        <f>IFERROR(__xludf.DUMMYFUNCTION("""COMPUTED_VALUE"""),"Fair")</f>
        <v>Fair</v>
      </c>
      <c r="AB1137" t="str">
        <f>IFERROR(__xludf.DUMMYFUNCTION("""COMPUTED_VALUE"""),"Good")</f>
        <v>Good</v>
      </c>
      <c r="AH1137" s="189">
        <f>IFERROR(__xludf.DUMMYFUNCTION("""COMPUTED_VALUE"""),43393.30015181713)</f>
        <v>43393.30015</v>
      </c>
    </row>
    <row r="1138">
      <c r="A1138" t="str">
        <f>IFERROR(__xludf.DUMMYFUNCTION("""COMPUTED_VALUE"""),"Garnets88")</f>
        <v>Garnets88</v>
      </c>
      <c r="C1138" t="str">
        <f>IFERROR(__xludf.DUMMYFUNCTION("""COMPUTED_VALUE"""),"NJ")</f>
        <v>NJ</v>
      </c>
      <c r="D1138" t="str">
        <f>IFERROR(__xludf.DUMMYFUNCTION("""COMPUTED_VALUE"""),"USA")</f>
        <v>USA</v>
      </c>
      <c r="E1138" s="188">
        <f>IFERROR(__xludf.DUMMYFUNCTION("""COMPUTED_VALUE"""),43279.0)</f>
        <v>43279</v>
      </c>
      <c r="F1138" s="188">
        <f>IFERROR(__xludf.DUMMYFUNCTION("""COMPUTED_VALUE"""),43353.0)</f>
        <v>43353</v>
      </c>
      <c r="H1138">
        <f>IFERROR(__xludf.DUMMYFUNCTION("""COMPUTED_VALUE"""),103355.0)</f>
        <v>103355</v>
      </c>
      <c r="J1138" s="5">
        <f>IFERROR(__xludf.DUMMYFUNCTION("""COMPUTED_VALUE"""),43386.0)</f>
        <v>43386</v>
      </c>
      <c r="K1138">
        <f>IFERROR(__xludf.DUMMYFUNCTION("""COMPUTED_VALUE"""),74.0)</f>
        <v>74</v>
      </c>
      <c r="L1138">
        <f>IFERROR(__xludf.DUMMYFUNCTION("""COMPUTED_VALUE"""),33.0)</f>
        <v>33</v>
      </c>
      <c r="M1138">
        <f>IFERROR(__xludf.DUMMYFUNCTION("""COMPUTED_VALUE"""),107.0)</f>
        <v>107</v>
      </c>
      <c r="N1138" t="str">
        <f>IFERROR(__xludf.DUMMYFUNCTION("""COMPUTED_VALUE"""),"Model 3 LR AWD")</f>
        <v>Model 3 LR AWD</v>
      </c>
      <c r="O1138" t="str">
        <f>IFERROR(__xludf.DUMMYFUNCTION("""COMPUTED_VALUE"""),"Obsidian Black Metallic")</f>
        <v>Obsidian Black Metallic</v>
      </c>
      <c r="P1138" t="str">
        <f>IFERROR(__xludf.DUMMYFUNCTION("""COMPUTED_VALUE"""),"18 inch Aero")</f>
        <v>18 inch Aero</v>
      </c>
      <c r="Q1138" t="str">
        <f>IFERROR(__xludf.DUMMYFUNCTION("""COMPUTED_VALUE"""),"Black seats")</f>
        <v>Black seats</v>
      </c>
      <c r="R1138" t="str">
        <f>IFERROR(__xludf.DUMMYFUNCTION("""COMPUTED_VALUE"""),"Enhanced Autopilot")</f>
        <v>Enhanced Autopilot</v>
      </c>
      <c r="X1138" t="str">
        <f>IFERROR(__xludf.DUMMYFUNCTION("""COMPUTED_VALUE"""),"Excellent")</f>
        <v>Excellent</v>
      </c>
      <c r="Y1138" t="str">
        <f>IFERROR(__xludf.DUMMYFUNCTION("""COMPUTED_VALUE"""),"Excellent")</f>
        <v>Excellent</v>
      </c>
      <c r="Z1138" t="str">
        <f>IFERROR(__xludf.DUMMYFUNCTION("""COMPUTED_VALUE"""),"Excellent")</f>
        <v>Excellent</v>
      </c>
      <c r="AA1138" t="str">
        <f>IFERROR(__xludf.DUMMYFUNCTION("""COMPUTED_VALUE"""),"Good")</f>
        <v>Good</v>
      </c>
      <c r="AB1138" t="str">
        <f>IFERROR(__xludf.DUMMYFUNCTION("""COMPUTED_VALUE"""),"Good")</f>
        <v>Good</v>
      </c>
      <c r="AC1138">
        <f>IFERROR(__xludf.DUMMYFUNCTION("""COMPUTED_VALUE"""),0.0)</f>
        <v>0</v>
      </c>
      <c r="AH1138" s="189">
        <f>IFERROR(__xludf.DUMMYFUNCTION("""COMPUTED_VALUE"""),43393.31461109954)</f>
        <v>43393.31461</v>
      </c>
    </row>
    <row r="1139">
      <c r="A1139" t="str">
        <f>IFERROR(__xludf.DUMMYFUNCTION("""COMPUTED_VALUE"""),"clostridium")</f>
        <v>clostridium</v>
      </c>
      <c r="B1139" t="str">
        <f>IFERROR(__xludf.DUMMYFUNCTION("""COMPUTED_VALUE"""),"Cleveland")</f>
        <v>Cleveland</v>
      </c>
      <c r="C1139" t="str">
        <f>IFERROR(__xludf.DUMMYFUNCTION("""COMPUTED_VALUE"""),"OH")</f>
        <v>OH</v>
      </c>
      <c r="D1139" t="str">
        <f>IFERROR(__xludf.DUMMYFUNCTION("""COMPUTED_VALUE"""),"USA")</f>
        <v>USA</v>
      </c>
      <c r="E1139" s="188">
        <f>IFERROR(__xludf.DUMMYFUNCTION("""COMPUTED_VALUE"""),43283.0)</f>
        <v>43283</v>
      </c>
      <c r="F1139" s="188">
        <f>IFERROR(__xludf.DUMMYFUNCTION("""COMPUTED_VALUE"""),43375.0)</f>
        <v>43375</v>
      </c>
      <c r="H1139">
        <f>IFERROR(__xludf.DUMMYFUNCTION("""COMPUTED_VALUE"""),93155.0)</f>
        <v>93155</v>
      </c>
      <c r="J1139" s="5">
        <f>IFERROR(__xludf.DUMMYFUNCTION("""COMPUTED_VALUE"""),43389.0)</f>
        <v>43389</v>
      </c>
      <c r="K1139">
        <f>IFERROR(__xludf.DUMMYFUNCTION("""COMPUTED_VALUE"""),92.0)</f>
        <v>92</v>
      </c>
      <c r="L1139">
        <f>IFERROR(__xludf.DUMMYFUNCTION("""COMPUTED_VALUE"""),14.0)</f>
        <v>14</v>
      </c>
      <c r="M1139">
        <f>IFERROR(__xludf.DUMMYFUNCTION("""COMPUTED_VALUE"""),106.0)</f>
        <v>106</v>
      </c>
      <c r="N1139" t="str">
        <f>IFERROR(__xludf.DUMMYFUNCTION("""COMPUTED_VALUE"""),"Model 3 Performance")</f>
        <v>Model 3 Performance</v>
      </c>
      <c r="O1139" t="str">
        <f>IFERROR(__xludf.DUMMYFUNCTION("""COMPUTED_VALUE"""),"Midnight Silver Metallic")</f>
        <v>Midnight Silver Metallic</v>
      </c>
      <c r="P1139" t="str">
        <f>IFERROR(__xludf.DUMMYFUNCTION("""COMPUTED_VALUE"""),"18 inch Aero")</f>
        <v>18 inch Aero</v>
      </c>
      <c r="Q1139" t="str">
        <f>IFERROR(__xludf.DUMMYFUNCTION("""COMPUTED_VALUE"""),"Black seats")</f>
        <v>Black seats</v>
      </c>
      <c r="R1139" t="str">
        <f>IFERROR(__xludf.DUMMYFUNCTION("""COMPUTED_VALUE"""),"Full Self-Driving")</f>
        <v>Full Self-Driving</v>
      </c>
      <c r="X1139" t="str">
        <f>IFERROR(__xludf.DUMMYFUNCTION("""COMPUTED_VALUE"""),"Excellent")</f>
        <v>Excellent</v>
      </c>
      <c r="Y1139" t="str">
        <f>IFERROR(__xludf.DUMMYFUNCTION("""COMPUTED_VALUE"""),"Excellent")</f>
        <v>Excellent</v>
      </c>
      <c r="Z1139" t="str">
        <f>IFERROR(__xludf.DUMMYFUNCTION("""COMPUTED_VALUE"""),"Very Good")</f>
        <v>Very Good</v>
      </c>
      <c r="AA1139" t="str">
        <f>IFERROR(__xludf.DUMMYFUNCTION("""COMPUTED_VALUE"""),"Poor")</f>
        <v>Poor</v>
      </c>
      <c r="AB1139" t="str">
        <f>IFERROR(__xludf.DUMMYFUNCTION("""COMPUTED_VALUE"""),"Excellent")</f>
        <v>Excellent</v>
      </c>
      <c r="AG1139" t="str">
        <f>IFERROR(__xludf.DUMMYFUNCTION("""COMPUTED_VALUE"""),"Pre-sales comms a disaster with conflicting information and poor response to questions.  Delivery delayed multiple times.  Uncertainty that it would finally happen less than 24 hours prior to when I got car due to confusion over financing which was becaus"&amp;"e most people at Tesla didn't know negative equity could be rolled into new loan even though Tesla account website showed it could be.")</f>
        <v>Pre-sales comms a disaster with conflicting information and poor response to questions.  Delivery delayed multiple times.  Uncertainty that it would finally happen less than 24 hours prior to when I got car due to confusion over financing which was because most people at Tesla didn't know negative equity could be rolled into new loan even though Tesla account website showed it could be.</v>
      </c>
      <c r="AH1139" s="189">
        <f>IFERROR(__xludf.DUMMYFUNCTION("""COMPUTED_VALUE"""),43393.42154563658)</f>
        <v>43393.42155</v>
      </c>
    </row>
    <row r="1140">
      <c r="A1140" t="str">
        <f>IFERROR(__xludf.DUMMYFUNCTION("""COMPUTED_VALUE"""),"mikes_1999")</f>
        <v>mikes_1999</v>
      </c>
      <c r="B1140" t="str">
        <f>IFERROR(__xludf.DUMMYFUNCTION("""COMPUTED_VALUE"""),"Pittsburgh")</f>
        <v>Pittsburgh</v>
      </c>
      <c r="C1140" t="str">
        <f>IFERROR(__xludf.DUMMYFUNCTION("""COMPUTED_VALUE"""),"PA")</f>
        <v>PA</v>
      </c>
      <c r="D1140" t="str">
        <f>IFERROR(__xludf.DUMMYFUNCTION("""COMPUTED_VALUE"""),"USA")</f>
        <v>USA</v>
      </c>
      <c r="E1140" s="188">
        <f>IFERROR(__xludf.DUMMYFUNCTION("""COMPUTED_VALUE"""),43325.0)</f>
        <v>43325</v>
      </c>
      <c r="F1140" s="188">
        <f>IFERROR(__xludf.DUMMYFUNCTION("""COMPUTED_VALUE"""),43382.0)</f>
        <v>43382</v>
      </c>
      <c r="H1140">
        <f>IFERROR(__xludf.DUMMYFUNCTION("""COMPUTED_VALUE"""),115955.0)</f>
        <v>115955</v>
      </c>
      <c r="J1140" s="5">
        <f>IFERROR(__xludf.DUMMYFUNCTION("""COMPUTED_VALUE"""),43392.0)</f>
        <v>43392</v>
      </c>
      <c r="K1140">
        <f>IFERROR(__xludf.DUMMYFUNCTION("""COMPUTED_VALUE"""),57.0)</f>
        <v>57</v>
      </c>
      <c r="L1140">
        <f>IFERROR(__xludf.DUMMYFUNCTION("""COMPUTED_VALUE"""),10.0)</f>
        <v>10</v>
      </c>
      <c r="M1140">
        <f>IFERROR(__xludf.DUMMYFUNCTION("""COMPUTED_VALUE"""),67.0)</f>
        <v>67</v>
      </c>
      <c r="N1140" t="str">
        <f>IFERROR(__xludf.DUMMYFUNCTION("""COMPUTED_VALUE"""),"Model 3 LR AWD")</f>
        <v>Model 3 LR AWD</v>
      </c>
      <c r="O1140" t="str">
        <f>IFERROR(__xludf.DUMMYFUNCTION("""COMPUTED_VALUE"""),"Red Multi-Coat")</f>
        <v>Red Multi-Coat</v>
      </c>
      <c r="P1140" t="str">
        <f>IFERROR(__xludf.DUMMYFUNCTION("""COMPUTED_VALUE"""),"19 inch Sport")</f>
        <v>19 inch Sport</v>
      </c>
      <c r="Q1140" t="str">
        <f>IFERROR(__xludf.DUMMYFUNCTION("""COMPUTED_VALUE"""),"Black seats")</f>
        <v>Black seats</v>
      </c>
      <c r="R1140" t="str">
        <f>IFERROR(__xludf.DUMMYFUNCTION("""COMPUTED_VALUE"""),"Full Self-Driving")</f>
        <v>Full Self-Driving</v>
      </c>
      <c r="X1140" t="str">
        <f>IFERROR(__xludf.DUMMYFUNCTION("""COMPUTED_VALUE"""),"Excellent")</f>
        <v>Excellent</v>
      </c>
      <c r="Y1140" t="str">
        <f>IFERROR(__xludf.DUMMYFUNCTION("""COMPUTED_VALUE"""),"Excellent")</f>
        <v>Excellent</v>
      </c>
      <c r="Z1140" t="str">
        <f>IFERROR(__xludf.DUMMYFUNCTION("""COMPUTED_VALUE"""),"Very Good")</f>
        <v>Very Good</v>
      </c>
      <c r="AA1140" t="str">
        <f>IFERROR(__xludf.DUMMYFUNCTION("""COMPUTED_VALUE"""),"Fair")</f>
        <v>Fair</v>
      </c>
      <c r="AB1140" t="str">
        <f>IFERROR(__xludf.DUMMYFUNCTION("""COMPUTED_VALUE"""),"Excellent")</f>
        <v>Excellent</v>
      </c>
      <c r="AH1140" s="189">
        <f>IFERROR(__xludf.DUMMYFUNCTION("""COMPUTED_VALUE"""),43394.59933655093)</f>
        <v>43394.59934</v>
      </c>
    </row>
    <row r="1141">
      <c r="A1141" t="str">
        <f>IFERROR(__xludf.DUMMYFUNCTION("""COMPUTED_VALUE"""),"JayJay")</f>
        <v>JayJay</v>
      </c>
      <c r="B1141" t="str">
        <f>IFERROR(__xludf.DUMMYFUNCTION("""COMPUTED_VALUE"""),"Bay Area")</f>
        <v>Bay Area</v>
      </c>
      <c r="C1141" t="str">
        <f>IFERROR(__xludf.DUMMYFUNCTION("""COMPUTED_VALUE"""),"CA")</f>
        <v>CA</v>
      </c>
      <c r="D1141" t="str">
        <f>IFERROR(__xludf.DUMMYFUNCTION("""COMPUTED_VALUE"""),"USA")</f>
        <v>USA</v>
      </c>
      <c r="E1141" s="188">
        <f>IFERROR(__xludf.DUMMYFUNCTION("""COMPUTED_VALUE"""),43364.0)</f>
        <v>43364</v>
      </c>
      <c r="F1141" s="188">
        <f>IFERROR(__xludf.DUMMYFUNCTION("""COMPUTED_VALUE"""),43391.0)</f>
        <v>43391</v>
      </c>
      <c r="H1141">
        <f>IFERROR(__xludf.DUMMYFUNCTION("""COMPUTED_VALUE"""),101755.0)</f>
        <v>101755</v>
      </c>
      <c r="I1141" t="str">
        <f>IFERROR(__xludf.DUMMYFUNCTION("""COMPUTED_VALUE"""),"10/18")</f>
        <v>10/18</v>
      </c>
      <c r="J1141" s="5">
        <f>IFERROR(__xludf.DUMMYFUNCTION("""COMPUTED_VALUE"""),43394.0)</f>
        <v>43394</v>
      </c>
      <c r="K1141">
        <f>IFERROR(__xludf.DUMMYFUNCTION("""COMPUTED_VALUE"""),27.0)</f>
        <v>27</v>
      </c>
      <c r="L1141">
        <f>IFERROR(__xludf.DUMMYFUNCTION("""COMPUTED_VALUE"""),3.0)</f>
        <v>3</v>
      </c>
      <c r="M1141">
        <f>IFERROR(__xludf.DUMMYFUNCTION("""COMPUTED_VALUE"""),30.0)</f>
        <v>30</v>
      </c>
      <c r="N1141" t="str">
        <f>IFERROR(__xludf.DUMMYFUNCTION("""COMPUTED_VALUE"""),"Model 3 LR")</f>
        <v>Model 3 LR</v>
      </c>
      <c r="O1141" t="str">
        <f>IFERROR(__xludf.DUMMYFUNCTION("""COMPUTED_VALUE"""),"Midnight Silver Metallic")</f>
        <v>Midnight Silver Metallic</v>
      </c>
      <c r="P1141" t="str">
        <f>IFERROR(__xludf.DUMMYFUNCTION("""COMPUTED_VALUE"""),"18 inch Aero")</f>
        <v>18 inch Aero</v>
      </c>
      <c r="Q1141" t="str">
        <f>IFERROR(__xludf.DUMMYFUNCTION("""COMPUTED_VALUE"""),"Black seats")</f>
        <v>Black seats</v>
      </c>
      <c r="R1141" t="str">
        <f>IFERROR(__xludf.DUMMYFUNCTION("""COMPUTED_VALUE"""),"None")</f>
        <v>None</v>
      </c>
      <c r="X1141" t="str">
        <f>IFERROR(__xludf.DUMMYFUNCTION("""COMPUTED_VALUE"""),"Excellent")</f>
        <v>Excellent</v>
      </c>
      <c r="Y1141" t="str">
        <f>IFERROR(__xludf.DUMMYFUNCTION("""COMPUTED_VALUE"""),"Excellent")</f>
        <v>Excellent</v>
      </c>
      <c r="Z1141" t="str">
        <f>IFERROR(__xludf.DUMMYFUNCTION("""COMPUTED_VALUE"""),"Excellent")</f>
        <v>Excellent</v>
      </c>
      <c r="AA1141" t="str">
        <f>IFERROR(__xludf.DUMMYFUNCTION("""COMPUTED_VALUE"""),"Excellent")</f>
        <v>Excellent</v>
      </c>
      <c r="AB1141" t="str">
        <f>IFERROR(__xludf.DUMMYFUNCTION("""COMPUTED_VALUE"""),"Excellent")</f>
        <v>Excellent</v>
      </c>
      <c r="AC1141">
        <f>IFERROR(__xludf.DUMMYFUNCTION("""COMPUTED_VALUE"""),1.0)</f>
        <v>1</v>
      </c>
      <c r="AD1141">
        <f>IFERROR(__xludf.DUMMYFUNCTION("""COMPUTED_VALUE"""),1.0)</f>
        <v>1</v>
      </c>
      <c r="AH1141" s="189">
        <f>IFERROR(__xludf.DUMMYFUNCTION("""COMPUTED_VALUE"""),43394.78236189815)</f>
        <v>43394.78236</v>
      </c>
    </row>
    <row r="1142">
      <c r="A1142" t="str">
        <f>IFERROR(__xludf.DUMMYFUNCTION("""COMPUTED_VALUE"""),"starter146")</f>
        <v>starter146</v>
      </c>
      <c r="B1142" t="str">
        <f>IFERROR(__xludf.DUMMYFUNCTION("""COMPUTED_VALUE"""),"Los Angeles")</f>
        <v>Los Angeles</v>
      </c>
      <c r="C1142" t="str">
        <f>IFERROR(__xludf.DUMMYFUNCTION("""COMPUTED_VALUE"""),"CA")</f>
        <v>CA</v>
      </c>
      <c r="D1142" t="str">
        <f>IFERROR(__xludf.DUMMYFUNCTION("""COMPUTED_VALUE"""),"USA")</f>
        <v>USA</v>
      </c>
      <c r="E1142" s="188">
        <f>IFERROR(__xludf.DUMMYFUNCTION("""COMPUTED_VALUE"""),43323.0)</f>
        <v>43323</v>
      </c>
      <c r="H1142">
        <f>IFERROR(__xludf.DUMMYFUNCTION("""COMPUTED_VALUE"""),102255.0)</f>
        <v>102255</v>
      </c>
      <c r="I1142" t="str">
        <f>IFERROR(__xludf.DUMMYFUNCTION("""COMPUTED_VALUE"""),"10/18")</f>
        <v>10/18</v>
      </c>
      <c r="J1142" s="5">
        <f>IFERROR(__xludf.DUMMYFUNCTION("""COMPUTED_VALUE"""),43394.0)</f>
        <v>43394</v>
      </c>
      <c r="M1142">
        <f>IFERROR(__xludf.DUMMYFUNCTION("""COMPUTED_VALUE"""),71.0)</f>
        <v>71</v>
      </c>
      <c r="N1142" t="str">
        <f>IFERROR(__xludf.DUMMYFUNCTION("""COMPUTED_VALUE"""),"Model 3 LR")</f>
        <v>Model 3 LR</v>
      </c>
      <c r="O1142" t="str">
        <f>IFERROR(__xludf.DUMMYFUNCTION("""COMPUTED_VALUE"""),"Deep Blue Metallic")</f>
        <v>Deep Blue Metallic</v>
      </c>
      <c r="P1142" t="str">
        <f>IFERROR(__xludf.DUMMYFUNCTION("""COMPUTED_VALUE"""),"18 inch Aero")</f>
        <v>18 inch Aero</v>
      </c>
      <c r="Q1142" t="str">
        <f>IFERROR(__xludf.DUMMYFUNCTION("""COMPUTED_VALUE"""),"Black seats")</f>
        <v>Black seats</v>
      </c>
      <c r="R1142" t="str">
        <f>IFERROR(__xludf.DUMMYFUNCTION("""COMPUTED_VALUE"""),"Enhanced Autopilot")</f>
        <v>Enhanced Autopilot</v>
      </c>
      <c r="X1142" t="str">
        <f>IFERROR(__xludf.DUMMYFUNCTION("""COMPUTED_VALUE"""),"Excellent")</f>
        <v>Excellent</v>
      </c>
      <c r="Y1142" t="str">
        <f>IFERROR(__xludf.DUMMYFUNCTION("""COMPUTED_VALUE"""),"Excellent")</f>
        <v>Excellent</v>
      </c>
      <c r="Z1142" t="str">
        <f>IFERROR(__xludf.DUMMYFUNCTION("""COMPUTED_VALUE"""),"Excellent")</f>
        <v>Excellent</v>
      </c>
      <c r="AA1142" t="str">
        <f>IFERROR(__xludf.DUMMYFUNCTION("""COMPUTED_VALUE"""),"Very Good")</f>
        <v>Very Good</v>
      </c>
      <c r="AB1142" t="str">
        <f>IFERROR(__xludf.DUMMYFUNCTION("""COMPUTED_VALUE"""),"Poor")</f>
        <v>Poor</v>
      </c>
      <c r="AC1142">
        <f>IFERROR(__xludf.DUMMYFUNCTION("""COMPUTED_VALUE"""),0.0)</f>
        <v>0</v>
      </c>
      <c r="AD1142">
        <f>IFERROR(__xludf.DUMMYFUNCTION("""COMPUTED_VALUE"""),0.0)</f>
        <v>0</v>
      </c>
      <c r="AE1142">
        <f>IFERROR(__xludf.DUMMYFUNCTION("""COMPUTED_VALUE"""),0.0)</f>
        <v>0</v>
      </c>
      <c r="AG1142" t="str">
        <f>IFERROR(__xludf.DUMMYFUNCTION("""COMPUTED_VALUE"""),"Car looked great except for the delivery experience. We were told to figure everything out ourselves and the advisor just left. Not a way to sell a luxury car. ")</f>
        <v>Car looked great except for the delivery experience. We were told to figure everything out ourselves and the advisor just left. Not a way to sell a luxury car. </v>
      </c>
      <c r="AH1142" s="189">
        <f>IFERROR(__xludf.DUMMYFUNCTION("""COMPUTED_VALUE"""),43394.942091296296)</f>
        <v>43394.94209</v>
      </c>
    </row>
    <row r="1143">
      <c r="A1143" t="str">
        <f>IFERROR(__xludf.DUMMYFUNCTION("""COMPUTED_VALUE"""),"keatontristan")</f>
        <v>keatontristan</v>
      </c>
      <c r="B1143" t="str">
        <f>IFERROR(__xludf.DUMMYFUNCTION("""COMPUTED_VALUE"""),"Bay Area")</f>
        <v>Bay Area</v>
      </c>
      <c r="C1143" t="str">
        <f>IFERROR(__xludf.DUMMYFUNCTION("""COMPUTED_VALUE"""),"CA")</f>
        <v>CA</v>
      </c>
      <c r="D1143" t="str">
        <f>IFERROR(__xludf.DUMMYFUNCTION("""COMPUTED_VALUE"""),"USA")</f>
        <v>USA</v>
      </c>
      <c r="E1143" s="188">
        <f>IFERROR(__xludf.DUMMYFUNCTION("""COMPUTED_VALUE"""),43278.0)</f>
        <v>43278</v>
      </c>
      <c r="F1143" s="188">
        <f>IFERROR(__xludf.DUMMYFUNCTION("""COMPUTED_VALUE"""),43366.0)</f>
        <v>43366</v>
      </c>
      <c r="H1143">
        <f>IFERROR(__xludf.DUMMYFUNCTION("""COMPUTED_VALUE"""),87755.0)</f>
        <v>87755</v>
      </c>
      <c r="I1143" t="str">
        <f>IFERROR(__xludf.DUMMYFUNCTION("""COMPUTED_VALUE"""),"09/18")</f>
        <v>09/18</v>
      </c>
      <c r="J1143" s="5">
        <f>IFERROR(__xludf.DUMMYFUNCTION("""COMPUTED_VALUE"""),43373.0)</f>
        <v>43373</v>
      </c>
      <c r="K1143">
        <f>IFERROR(__xludf.DUMMYFUNCTION("""COMPUTED_VALUE"""),88.0)</f>
        <v>88</v>
      </c>
      <c r="L1143">
        <f>IFERROR(__xludf.DUMMYFUNCTION("""COMPUTED_VALUE"""),7.0)</f>
        <v>7</v>
      </c>
      <c r="M1143">
        <f>IFERROR(__xludf.DUMMYFUNCTION("""COMPUTED_VALUE"""),95.0)</f>
        <v>95</v>
      </c>
      <c r="N1143" t="str">
        <f>IFERROR(__xludf.DUMMYFUNCTION("""COMPUTED_VALUE"""),"Model 3 LR AWD")</f>
        <v>Model 3 LR AWD</v>
      </c>
      <c r="O1143" t="str">
        <f>IFERROR(__xludf.DUMMYFUNCTION("""COMPUTED_VALUE"""),"Red Multi-Coat")</f>
        <v>Red Multi-Coat</v>
      </c>
      <c r="P1143" t="str">
        <f>IFERROR(__xludf.DUMMYFUNCTION("""COMPUTED_VALUE"""),"19 inch Sport")</f>
        <v>19 inch Sport</v>
      </c>
      <c r="Q1143" t="str">
        <f>IFERROR(__xludf.DUMMYFUNCTION("""COMPUTED_VALUE"""),"Black seats")</f>
        <v>Black seats</v>
      </c>
      <c r="R1143" t="str">
        <f>IFERROR(__xludf.DUMMYFUNCTION("""COMPUTED_VALUE"""),"None")</f>
        <v>None</v>
      </c>
      <c r="X1143" t="str">
        <f>IFERROR(__xludf.DUMMYFUNCTION("""COMPUTED_VALUE"""),"Excellent")</f>
        <v>Excellent</v>
      </c>
      <c r="Y1143" t="str">
        <f>IFERROR(__xludf.DUMMYFUNCTION("""COMPUTED_VALUE"""),"Very Good")</f>
        <v>Very Good</v>
      </c>
      <c r="Z1143" t="str">
        <f>IFERROR(__xludf.DUMMYFUNCTION("""COMPUTED_VALUE"""),"Very Good")</f>
        <v>Very Good</v>
      </c>
      <c r="AA1143" t="str">
        <f>IFERROR(__xludf.DUMMYFUNCTION("""COMPUTED_VALUE"""),"Excellent")</f>
        <v>Excellent</v>
      </c>
      <c r="AB1143" t="str">
        <f>IFERROR(__xludf.DUMMYFUNCTION("""COMPUTED_VALUE"""),"Very Good")</f>
        <v>Very Good</v>
      </c>
      <c r="AC1143">
        <f>IFERROR(__xludf.DUMMYFUNCTION("""COMPUTED_VALUE"""),10.0)</f>
        <v>10</v>
      </c>
      <c r="AD1143">
        <f>IFERROR(__xludf.DUMMYFUNCTION("""COMPUTED_VALUE"""),2.0)</f>
        <v>2</v>
      </c>
      <c r="AH1143" s="189">
        <f>IFERROR(__xludf.DUMMYFUNCTION("""COMPUTED_VALUE"""),43395.129849212964)</f>
        <v>43395.12985</v>
      </c>
    </row>
    <row r="1144">
      <c r="A1144" t="str">
        <f>IFERROR(__xludf.DUMMYFUNCTION("""COMPUTED_VALUE"""),"flny")</f>
        <v>flny</v>
      </c>
      <c r="B1144" t="str">
        <f>IFERROR(__xludf.DUMMYFUNCTION("""COMPUTED_VALUE"""),"NYC suburbs")</f>
        <v>NYC suburbs</v>
      </c>
      <c r="C1144" t="str">
        <f>IFERROR(__xludf.DUMMYFUNCTION("""COMPUTED_VALUE"""),"NY")</f>
        <v>NY</v>
      </c>
      <c r="D1144" t="str">
        <f>IFERROR(__xludf.DUMMYFUNCTION("""COMPUTED_VALUE"""),"USA")</f>
        <v>USA</v>
      </c>
      <c r="E1144" s="188">
        <f>IFERROR(__xludf.DUMMYFUNCTION("""COMPUTED_VALUE"""),43312.0)</f>
        <v>43312</v>
      </c>
      <c r="F1144" s="188">
        <f>IFERROR(__xludf.DUMMYFUNCTION("""COMPUTED_VALUE"""),43381.0)</f>
        <v>43381</v>
      </c>
      <c r="H1144">
        <f>IFERROR(__xludf.DUMMYFUNCTION("""COMPUTED_VALUE"""),116555.0)</f>
        <v>116555</v>
      </c>
      <c r="J1144" s="5">
        <f>IFERROR(__xludf.DUMMYFUNCTION("""COMPUTED_VALUE"""),43393.0)</f>
        <v>43393</v>
      </c>
      <c r="K1144">
        <f>IFERROR(__xludf.DUMMYFUNCTION("""COMPUTED_VALUE"""),69.0)</f>
        <v>69</v>
      </c>
      <c r="L1144">
        <f>IFERROR(__xludf.DUMMYFUNCTION("""COMPUTED_VALUE"""),12.0)</f>
        <v>12</v>
      </c>
      <c r="M1144">
        <f>IFERROR(__xludf.DUMMYFUNCTION("""COMPUTED_VALUE"""),81.0)</f>
        <v>81</v>
      </c>
      <c r="N1144" t="str">
        <f>IFERROR(__xludf.DUMMYFUNCTION("""COMPUTED_VALUE"""),"Model 3 LR AWD")</f>
        <v>Model 3 LR AWD</v>
      </c>
      <c r="O1144" t="str">
        <f>IFERROR(__xludf.DUMMYFUNCTION("""COMPUTED_VALUE"""),"Midnight Silver Metallic")</f>
        <v>Midnight Silver Metallic</v>
      </c>
      <c r="P1144" t="str">
        <f>IFERROR(__xludf.DUMMYFUNCTION("""COMPUTED_VALUE"""),"19 inch Sport")</f>
        <v>19 inch Sport</v>
      </c>
      <c r="Q1144" t="str">
        <f>IFERROR(__xludf.DUMMYFUNCTION("""COMPUTED_VALUE"""),"Black seats")</f>
        <v>Black seats</v>
      </c>
      <c r="R1144" t="str">
        <f>IFERROR(__xludf.DUMMYFUNCTION("""COMPUTED_VALUE"""),"Enhanced Autopilot")</f>
        <v>Enhanced Autopilot</v>
      </c>
      <c r="X1144" t="str">
        <f>IFERROR(__xludf.DUMMYFUNCTION("""COMPUTED_VALUE"""),"Excellent")</f>
        <v>Excellent</v>
      </c>
      <c r="Y1144" t="str">
        <f>IFERROR(__xludf.DUMMYFUNCTION("""COMPUTED_VALUE"""),"Excellent")</f>
        <v>Excellent</v>
      </c>
      <c r="Z1144" t="str">
        <f>IFERROR(__xludf.DUMMYFUNCTION("""COMPUTED_VALUE"""),"Very Good")</f>
        <v>Very Good</v>
      </c>
      <c r="AA1144" t="str">
        <f>IFERROR(__xludf.DUMMYFUNCTION("""COMPUTED_VALUE"""),"Fair")</f>
        <v>Fair</v>
      </c>
      <c r="AB1144" t="str">
        <f>IFERROR(__xludf.DUMMYFUNCTION("""COMPUTED_VALUE"""),"Very Good")</f>
        <v>Very Good</v>
      </c>
      <c r="AH1144" s="189">
        <f>IFERROR(__xludf.DUMMYFUNCTION("""COMPUTED_VALUE"""),43395.192826087965)</f>
        <v>43395.19283</v>
      </c>
    </row>
    <row r="1145">
      <c r="A1145" t="str">
        <f>IFERROR(__xludf.DUMMYFUNCTION("""COMPUTED_VALUE"""),"TeslaFlyer")</f>
        <v>TeslaFlyer</v>
      </c>
      <c r="B1145" t="str">
        <f>IFERROR(__xludf.DUMMYFUNCTION("""COMPUTED_VALUE"""),"Chicago")</f>
        <v>Chicago</v>
      </c>
      <c r="C1145" t="str">
        <f>IFERROR(__xludf.DUMMYFUNCTION("""COMPUTED_VALUE"""),"IL")</f>
        <v>IL</v>
      </c>
      <c r="D1145" t="str">
        <f>IFERROR(__xludf.DUMMYFUNCTION("""COMPUTED_VALUE"""),"USA")</f>
        <v>USA</v>
      </c>
      <c r="E1145" s="188">
        <f>IFERROR(__xludf.DUMMYFUNCTION("""COMPUTED_VALUE"""),43278.0)</f>
        <v>43278</v>
      </c>
      <c r="F1145" s="188">
        <f>IFERROR(__xludf.DUMMYFUNCTION("""COMPUTED_VALUE"""),43355.0)</f>
        <v>43355</v>
      </c>
      <c r="H1145">
        <f>IFERROR(__xludf.DUMMYFUNCTION("""COMPUTED_VALUE"""),97695.0)</f>
        <v>97695</v>
      </c>
      <c r="I1145" t="str">
        <f>IFERROR(__xludf.DUMMYFUNCTION("""COMPUTED_VALUE"""),"08/18")</f>
        <v>08/18</v>
      </c>
      <c r="J1145" s="5">
        <f>IFERROR(__xludf.DUMMYFUNCTION("""COMPUTED_VALUE"""),43363.0)</f>
        <v>43363</v>
      </c>
      <c r="K1145">
        <f>IFERROR(__xludf.DUMMYFUNCTION("""COMPUTED_VALUE"""),77.0)</f>
        <v>77</v>
      </c>
      <c r="L1145">
        <f>IFERROR(__xludf.DUMMYFUNCTION("""COMPUTED_VALUE"""),8.0)</f>
        <v>8</v>
      </c>
      <c r="M1145">
        <f>IFERROR(__xludf.DUMMYFUNCTION("""COMPUTED_VALUE"""),85.0)</f>
        <v>85</v>
      </c>
      <c r="N1145" t="str">
        <f>IFERROR(__xludf.DUMMYFUNCTION("""COMPUTED_VALUE"""),"Model 3 Performance")</f>
        <v>Model 3 Performance</v>
      </c>
      <c r="O1145" t="str">
        <f>IFERROR(__xludf.DUMMYFUNCTION("""COMPUTED_VALUE"""),"Deep Blue Metallic")</f>
        <v>Deep Blue Metallic</v>
      </c>
      <c r="P1145" t="str">
        <f>IFERROR(__xludf.DUMMYFUNCTION("""COMPUTED_VALUE"""),"18 inch Aero")</f>
        <v>18 inch Aero</v>
      </c>
      <c r="Q1145" t="str">
        <f>IFERROR(__xludf.DUMMYFUNCTION("""COMPUTED_VALUE"""),"White seats")</f>
        <v>White seats</v>
      </c>
      <c r="R1145" t="str">
        <f>IFERROR(__xludf.DUMMYFUNCTION("""COMPUTED_VALUE"""),"Full Self-Driving")</f>
        <v>Full Self-Driving</v>
      </c>
      <c r="X1145" t="str">
        <f>IFERROR(__xludf.DUMMYFUNCTION("""COMPUTED_VALUE"""),"Excellent")</f>
        <v>Excellent</v>
      </c>
      <c r="Y1145" t="str">
        <f>IFERROR(__xludf.DUMMYFUNCTION("""COMPUTED_VALUE"""),"Excellent")</f>
        <v>Excellent</v>
      </c>
      <c r="Z1145" t="str">
        <f>IFERROR(__xludf.DUMMYFUNCTION("""COMPUTED_VALUE"""),"Excellent")</f>
        <v>Excellent</v>
      </c>
      <c r="AA1145" t="str">
        <f>IFERROR(__xludf.DUMMYFUNCTION("""COMPUTED_VALUE"""),"Very Good")</f>
        <v>Very Good</v>
      </c>
      <c r="AB1145" t="str">
        <f>IFERROR(__xludf.DUMMYFUNCTION("""COMPUTED_VALUE"""),"Excellent")</f>
        <v>Excellent</v>
      </c>
      <c r="AC1145">
        <f>IFERROR(__xludf.DUMMYFUNCTION("""COMPUTED_VALUE"""),0.0)</f>
        <v>0</v>
      </c>
      <c r="AD1145">
        <f>IFERROR(__xludf.DUMMYFUNCTION("""COMPUTED_VALUE"""),0.0)</f>
        <v>0</v>
      </c>
      <c r="AG1145" t="str">
        <f>IFERROR(__xludf.DUMMYFUNCTION("""COMPUTED_VALUE"""),"Delivery delayed 1 day")</f>
        <v>Delivery delayed 1 day</v>
      </c>
      <c r="AH1145" s="189">
        <f>IFERROR(__xludf.DUMMYFUNCTION("""COMPUTED_VALUE"""),43395.21595424769)</f>
        <v>43395.21595</v>
      </c>
    </row>
    <row r="1146">
      <c r="A1146" t="str">
        <f>IFERROR(__xludf.DUMMYFUNCTION("""COMPUTED_VALUE"""),"EPCOTcenter")</f>
        <v>EPCOTcenter</v>
      </c>
      <c r="B1146" t="str">
        <f>IFERROR(__xludf.DUMMYFUNCTION("""COMPUTED_VALUE"""),"Atlanta")</f>
        <v>Atlanta</v>
      </c>
      <c r="C1146" t="str">
        <f>IFERROR(__xludf.DUMMYFUNCTION("""COMPUTED_VALUE"""),"GA")</f>
        <v>GA</v>
      </c>
      <c r="D1146" t="str">
        <f>IFERROR(__xludf.DUMMYFUNCTION("""COMPUTED_VALUE"""),"USA")</f>
        <v>USA</v>
      </c>
      <c r="E1146" s="188">
        <f>IFERROR(__xludf.DUMMYFUNCTION("""COMPUTED_VALUE"""),43278.0)</f>
        <v>43278</v>
      </c>
      <c r="F1146" s="188">
        <f>IFERROR(__xludf.DUMMYFUNCTION("""COMPUTED_VALUE"""),43380.0)</f>
        <v>43380</v>
      </c>
      <c r="H1146">
        <f>IFERROR(__xludf.DUMMYFUNCTION("""COMPUTED_VALUE"""),93525.0)</f>
        <v>93525</v>
      </c>
      <c r="I1146" t="str">
        <f>IFERROR(__xludf.DUMMYFUNCTION("""COMPUTED_VALUE"""),"09/18")</f>
        <v>09/18</v>
      </c>
      <c r="J1146" s="5">
        <f>IFERROR(__xludf.DUMMYFUNCTION("""COMPUTED_VALUE"""),43390.0)</f>
        <v>43390</v>
      </c>
      <c r="K1146">
        <f>IFERROR(__xludf.DUMMYFUNCTION("""COMPUTED_VALUE"""),102.0)</f>
        <v>102</v>
      </c>
      <c r="L1146">
        <f>IFERROR(__xludf.DUMMYFUNCTION("""COMPUTED_VALUE"""),10.0)</f>
        <v>10</v>
      </c>
      <c r="M1146">
        <f>IFERROR(__xludf.DUMMYFUNCTION("""COMPUTED_VALUE"""),112.0)</f>
        <v>112</v>
      </c>
      <c r="N1146" t="str">
        <f>IFERROR(__xludf.DUMMYFUNCTION("""COMPUTED_VALUE"""),"Model 3 LR AWD")</f>
        <v>Model 3 LR AWD</v>
      </c>
      <c r="O1146" t="str">
        <f>IFERROR(__xludf.DUMMYFUNCTION("""COMPUTED_VALUE"""),"Red Multi-Coat")</f>
        <v>Red Multi-Coat</v>
      </c>
      <c r="P1146" t="str">
        <f>IFERROR(__xludf.DUMMYFUNCTION("""COMPUTED_VALUE"""),"18 inch Aero")</f>
        <v>18 inch Aero</v>
      </c>
      <c r="Q1146" t="str">
        <f>IFERROR(__xludf.DUMMYFUNCTION("""COMPUTED_VALUE"""),"Black seats")</f>
        <v>Black seats</v>
      </c>
      <c r="R1146" t="str">
        <f>IFERROR(__xludf.DUMMYFUNCTION("""COMPUTED_VALUE"""),"None")</f>
        <v>None</v>
      </c>
      <c r="X1146" t="str">
        <f>IFERROR(__xludf.DUMMYFUNCTION("""COMPUTED_VALUE"""),"Very Good")</f>
        <v>Very Good</v>
      </c>
      <c r="Y1146" t="str">
        <f>IFERROR(__xludf.DUMMYFUNCTION("""COMPUTED_VALUE"""),"Excellent")</f>
        <v>Excellent</v>
      </c>
      <c r="Z1146" t="str">
        <f>IFERROR(__xludf.DUMMYFUNCTION("""COMPUTED_VALUE"""),"Excellent")</f>
        <v>Excellent</v>
      </c>
      <c r="AA1146" t="str">
        <f>IFERROR(__xludf.DUMMYFUNCTION("""COMPUTED_VALUE"""),"Very Good")</f>
        <v>Very Good</v>
      </c>
      <c r="AB1146" t="str">
        <f>IFERROR(__xludf.DUMMYFUNCTION("""COMPUTED_VALUE"""),"Very Good")</f>
        <v>Very Good</v>
      </c>
      <c r="AC1146">
        <f>IFERROR(__xludf.DUMMYFUNCTION("""COMPUTED_VALUE"""),2.0)</f>
        <v>2</v>
      </c>
      <c r="AG1146" t="str">
        <f>IFERROR(__xludf.DUMMYFUNCTION("""COMPUTED_VALUE"""),"Received the mass text for the 3Q18 EOQ push, set delivery appt, but Tesla cancelled the night before.")</f>
        <v>Received the mass text for the 3Q18 EOQ push, set delivery appt, but Tesla cancelled the night before.</v>
      </c>
      <c r="AH1146" s="189">
        <f>IFERROR(__xludf.DUMMYFUNCTION("""COMPUTED_VALUE"""),43395.3090525463)</f>
        <v>43395.30905</v>
      </c>
    </row>
    <row r="1147">
      <c r="A1147" t="str">
        <f>IFERROR(__xludf.DUMMYFUNCTION("""COMPUTED_VALUE"""),"JasonG")</f>
        <v>JasonG</v>
      </c>
      <c r="B1147" t="str">
        <f>IFERROR(__xludf.DUMMYFUNCTION("""COMPUTED_VALUE"""),"SLC")</f>
        <v>SLC</v>
      </c>
      <c r="C1147" t="str">
        <f>IFERROR(__xludf.DUMMYFUNCTION("""COMPUTED_VALUE"""),"UT")</f>
        <v>UT</v>
      </c>
      <c r="D1147" t="str">
        <f>IFERROR(__xludf.DUMMYFUNCTION("""COMPUTED_VALUE"""),"USA")</f>
        <v>USA</v>
      </c>
      <c r="E1147" s="188">
        <f>IFERROR(__xludf.DUMMYFUNCTION("""COMPUTED_VALUE"""),43277.0)</f>
        <v>43277</v>
      </c>
      <c r="F1147" s="188">
        <f>IFERROR(__xludf.DUMMYFUNCTION("""COMPUTED_VALUE"""),43319.0)</f>
        <v>43319</v>
      </c>
      <c r="H1147">
        <f>IFERROR(__xludf.DUMMYFUNCTION("""COMPUTED_VALUE"""),69155.0)</f>
        <v>69155</v>
      </c>
      <c r="J1147" s="5">
        <f>IFERROR(__xludf.DUMMYFUNCTION("""COMPUTED_VALUE"""),43329.0)</f>
        <v>43329</v>
      </c>
      <c r="K1147">
        <f>IFERROR(__xludf.DUMMYFUNCTION("""COMPUTED_VALUE"""),42.0)</f>
        <v>42</v>
      </c>
      <c r="L1147">
        <f>IFERROR(__xludf.DUMMYFUNCTION("""COMPUTED_VALUE"""),10.0)</f>
        <v>10</v>
      </c>
      <c r="M1147">
        <f>IFERROR(__xludf.DUMMYFUNCTION("""COMPUTED_VALUE"""),52.0)</f>
        <v>52</v>
      </c>
      <c r="N1147" t="str">
        <f>IFERROR(__xludf.DUMMYFUNCTION("""COMPUTED_VALUE"""),"Model 3 LR AWD")</f>
        <v>Model 3 LR AWD</v>
      </c>
      <c r="O1147" t="str">
        <f>IFERROR(__xludf.DUMMYFUNCTION("""COMPUTED_VALUE"""),"Silver Metallic")</f>
        <v>Silver Metallic</v>
      </c>
      <c r="P1147" t="str">
        <f>IFERROR(__xludf.DUMMYFUNCTION("""COMPUTED_VALUE"""),"19 inch Sport")</f>
        <v>19 inch Sport</v>
      </c>
      <c r="Q1147" t="str">
        <f>IFERROR(__xludf.DUMMYFUNCTION("""COMPUTED_VALUE"""),"Black seats")</f>
        <v>Black seats</v>
      </c>
      <c r="R1147" t="str">
        <f>IFERROR(__xludf.DUMMYFUNCTION("""COMPUTED_VALUE"""),"None")</f>
        <v>None</v>
      </c>
      <c r="X1147" t="str">
        <f>IFERROR(__xludf.DUMMYFUNCTION("""COMPUTED_VALUE"""),"Excellent")</f>
        <v>Excellent</v>
      </c>
      <c r="Y1147" t="str">
        <f>IFERROR(__xludf.DUMMYFUNCTION("""COMPUTED_VALUE"""),"Excellent")</f>
        <v>Excellent</v>
      </c>
      <c r="Z1147" t="str">
        <f>IFERROR(__xludf.DUMMYFUNCTION("""COMPUTED_VALUE"""),"Excellent")</f>
        <v>Excellent</v>
      </c>
      <c r="AA1147" t="str">
        <f>IFERROR(__xludf.DUMMYFUNCTION("""COMPUTED_VALUE"""),"Very Good")</f>
        <v>Very Good</v>
      </c>
      <c r="AB1147" t="str">
        <f>IFERROR(__xludf.DUMMYFUNCTION("""COMPUTED_VALUE"""),"Excellent")</f>
        <v>Excellent</v>
      </c>
      <c r="AC1147">
        <f>IFERROR(__xludf.DUMMYFUNCTION("""COMPUTED_VALUE"""),0.0)</f>
        <v>0</v>
      </c>
      <c r="AD1147">
        <f>IFERROR(__xludf.DUMMYFUNCTION("""COMPUTED_VALUE"""),0.0)</f>
        <v>0</v>
      </c>
      <c r="AE1147">
        <f>IFERROR(__xludf.DUMMYFUNCTION("""COMPUTED_VALUE"""),0.0)</f>
        <v>0</v>
      </c>
      <c r="AH1147" s="189">
        <f>IFERROR(__xludf.DUMMYFUNCTION("""COMPUTED_VALUE"""),43395.34995738426)</f>
        <v>43395.34996</v>
      </c>
    </row>
    <row r="1148">
      <c r="A1148" t="str">
        <f>IFERROR(__xludf.DUMMYFUNCTION("""COMPUTED_VALUE"""),"MO_OC")</f>
        <v>MO_OC</v>
      </c>
      <c r="B1148" t="str">
        <f>IFERROR(__xludf.DUMMYFUNCTION("""COMPUTED_VALUE"""),"Orange County")</f>
        <v>Orange County</v>
      </c>
      <c r="C1148" t="str">
        <f>IFERROR(__xludf.DUMMYFUNCTION("""COMPUTED_VALUE"""),"CA")</f>
        <v>CA</v>
      </c>
      <c r="D1148" t="str">
        <f>IFERROR(__xludf.DUMMYFUNCTION("""COMPUTED_VALUE"""),"USA")</f>
        <v>USA</v>
      </c>
      <c r="E1148" s="188">
        <f>IFERROR(__xludf.DUMMYFUNCTION("""COMPUTED_VALUE"""),43358.0)</f>
        <v>43358</v>
      </c>
      <c r="F1148" s="188">
        <f>IFERROR(__xludf.DUMMYFUNCTION("""COMPUTED_VALUE"""),43392.0)</f>
        <v>43392</v>
      </c>
      <c r="H1148">
        <f>IFERROR(__xludf.DUMMYFUNCTION("""COMPUTED_VALUE"""),82513.0)</f>
        <v>82513</v>
      </c>
      <c r="I1148" t="str">
        <f>IFERROR(__xludf.DUMMYFUNCTION("""COMPUTED_VALUE"""),"10/18")</f>
        <v>10/18</v>
      </c>
      <c r="J1148" s="5">
        <f>IFERROR(__xludf.DUMMYFUNCTION("""COMPUTED_VALUE"""),43394.0)</f>
        <v>43394</v>
      </c>
      <c r="K1148">
        <f>IFERROR(__xludf.DUMMYFUNCTION("""COMPUTED_VALUE"""),34.0)</f>
        <v>34</v>
      </c>
      <c r="L1148">
        <f>IFERROR(__xludf.DUMMYFUNCTION("""COMPUTED_VALUE"""),2.0)</f>
        <v>2</v>
      </c>
      <c r="M1148">
        <f>IFERROR(__xludf.DUMMYFUNCTION("""COMPUTED_VALUE"""),36.0)</f>
        <v>36</v>
      </c>
      <c r="N1148" t="str">
        <f>IFERROR(__xludf.DUMMYFUNCTION("""COMPUTED_VALUE"""),"Model 3 Performance")</f>
        <v>Model 3 Performance</v>
      </c>
      <c r="O1148" t="str">
        <f>IFERROR(__xludf.DUMMYFUNCTION("""COMPUTED_VALUE"""),"Solid Black")</f>
        <v>Solid Black</v>
      </c>
      <c r="P1148" t="str">
        <f>IFERROR(__xludf.DUMMYFUNCTION("""COMPUTED_VALUE"""),"20 inch Sport")</f>
        <v>20 inch Sport</v>
      </c>
      <c r="Q1148" t="str">
        <f>IFERROR(__xludf.DUMMYFUNCTION("""COMPUTED_VALUE"""),"Black seats")</f>
        <v>Black seats</v>
      </c>
      <c r="R1148" t="str">
        <f>IFERROR(__xludf.DUMMYFUNCTION("""COMPUTED_VALUE"""),"Enhanced Autopilot")</f>
        <v>Enhanced Autopilot</v>
      </c>
      <c r="X1148" t="str">
        <f>IFERROR(__xludf.DUMMYFUNCTION("""COMPUTED_VALUE"""),"Excellent")</f>
        <v>Excellent</v>
      </c>
      <c r="Y1148" t="str">
        <f>IFERROR(__xludf.DUMMYFUNCTION("""COMPUTED_VALUE"""),"Excellent")</f>
        <v>Excellent</v>
      </c>
      <c r="Z1148" t="str">
        <f>IFERROR(__xludf.DUMMYFUNCTION("""COMPUTED_VALUE"""),"Very Good")</f>
        <v>Very Good</v>
      </c>
      <c r="AA1148" t="str">
        <f>IFERROR(__xludf.DUMMYFUNCTION("""COMPUTED_VALUE"""),"Excellent")</f>
        <v>Excellent</v>
      </c>
      <c r="AB1148" t="str">
        <f>IFERROR(__xludf.DUMMYFUNCTION("""COMPUTED_VALUE"""),"Excellent")</f>
        <v>Excellent</v>
      </c>
      <c r="AH1148" s="189">
        <f>IFERROR(__xludf.DUMMYFUNCTION("""COMPUTED_VALUE"""),43395.51980148148)</f>
        <v>43395.5198</v>
      </c>
    </row>
    <row r="1149">
      <c r="A1149" t="str">
        <f>IFERROR(__xludf.DUMMYFUNCTION("""COMPUTED_VALUE"""),"scfleener")</f>
        <v>scfleener</v>
      </c>
      <c r="B1149" t="str">
        <f>IFERROR(__xludf.DUMMYFUNCTION("""COMPUTED_VALUE"""),"Bellevue")</f>
        <v>Bellevue</v>
      </c>
      <c r="C1149" t="str">
        <f>IFERROR(__xludf.DUMMYFUNCTION("""COMPUTED_VALUE"""),"WA")</f>
        <v>WA</v>
      </c>
      <c r="D1149" t="str">
        <f>IFERROR(__xludf.DUMMYFUNCTION("""COMPUTED_VALUE"""),"USA")</f>
        <v>USA</v>
      </c>
      <c r="E1149" s="188">
        <f>IFERROR(__xludf.DUMMYFUNCTION("""COMPUTED_VALUE"""),43278.0)</f>
        <v>43278</v>
      </c>
      <c r="F1149" s="188">
        <f>IFERROR(__xludf.DUMMYFUNCTION("""COMPUTED_VALUE"""),43367.0)</f>
        <v>43367</v>
      </c>
      <c r="H1149">
        <f>IFERROR(__xludf.DUMMYFUNCTION("""COMPUTED_VALUE"""),104055.0)</f>
        <v>104055</v>
      </c>
      <c r="I1149" t="str">
        <f>IFERROR(__xludf.DUMMYFUNCTION("""COMPUTED_VALUE"""),"09/18")</f>
        <v>09/18</v>
      </c>
      <c r="J1149" s="5">
        <f>IFERROR(__xludf.DUMMYFUNCTION("""COMPUTED_VALUE"""),43371.0)</f>
        <v>43371</v>
      </c>
      <c r="K1149">
        <f>IFERROR(__xludf.DUMMYFUNCTION("""COMPUTED_VALUE"""),89.0)</f>
        <v>89</v>
      </c>
      <c r="L1149">
        <f>IFERROR(__xludf.DUMMYFUNCTION("""COMPUTED_VALUE"""),4.0)</f>
        <v>4</v>
      </c>
      <c r="M1149">
        <f>IFERROR(__xludf.DUMMYFUNCTION("""COMPUTED_VALUE"""),93.0)</f>
        <v>93</v>
      </c>
      <c r="N1149" t="str">
        <f>IFERROR(__xludf.DUMMYFUNCTION("""COMPUTED_VALUE"""),"Model 3 Performance")</f>
        <v>Model 3 Performance</v>
      </c>
      <c r="O1149" t="str">
        <f>IFERROR(__xludf.DUMMYFUNCTION("""COMPUTED_VALUE"""),"Midnight Silver Metallic")</f>
        <v>Midnight Silver Metallic</v>
      </c>
      <c r="P1149" t="str">
        <f>IFERROR(__xludf.DUMMYFUNCTION("""COMPUTED_VALUE"""),"18 inch Aero")</f>
        <v>18 inch Aero</v>
      </c>
      <c r="Q1149" t="str">
        <f>IFERROR(__xludf.DUMMYFUNCTION("""COMPUTED_VALUE"""),"Black seats")</f>
        <v>Black seats</v>
      </c>
      <c r="R1149" t="str">
        <f>IFERROR(__xludf.DUMMYFUNCTION("""COMPUTED_VALUE"""),"Enhanced Autopilot")</f>
        <v>Enhanced Autopilot</v>
      </c>
      <c r="X1149" t="str">
        <f>IFERROR(__xludf.DUMMYFUNCTION("""COMPUTED_VALUE"""),"Excellent")</f>
        <v>Excellent</v>
      </c>
      <c r="Y1149" t="str">
        <f>IFERROR(__xludf.DUMMYFUNCTION("""COMPUTED_VALUE"""),"Excellent")</f>
        <v>Excellent</v>
      </c>
      <c r="Z1149" t="str">
        <f>IFERROR(__xludf.DUMMYFUNCTION("""COMPUTED_VALUE"""),"Excellent")</f>
        <v>Excellent</v>
      </c>
      <c r="AA1149" t="str">
        <f>IFERROR(__xludf.DUMMYFUNCTION("""COMPUTED_VALUE"""),"Good")</f>
        <v>Good</v>
      </c>
      <c r="AB1149" t="str">
        <f>IFERROR(__xludf.DUMMYFUNCTION("""COMPUTED_VALUE"""),"Very Good")</f>
        <v>Very Good</v>
      </c>
      <c r="AC1149">
        <f>IFERROR(__xludf.DUMMYFUNCTION("""COMPUTED_VALUE"""),0.0)</f>
        <v>0</v>
      </c>
      <c r="AD1149">
        <f>IFERROR(__xludf.DUMMYFUNCTION("""COMPUTED_VALUE"""),0.0)</f>
        <v>0</v>
      </c>
      <c r="AE1149">
        <f>IFERROR(__xludf.DUMMYFUNCTION("""COMPUTED_VALUE"""),0.0)</f>
        <v>0</v>
      </c>
      <c r="AH1149" s="189">
        <f>IFERROR(__xludf.DUMMYFUNCTION("""COMPUTED_VALUE"""),43395.632153969906)</f>
        <v>43395.63215</v>
      </c>
    </row>
    <row r="1150">
      <c r="A1150" t="str">
        <f>IFERROR(__xludf.DUMMYFUNCTION("""COMPUTED_VALUE"""),"Kuriente")</f>
        <v>Kuriente</v>
      </c>
      <c r="B1150" t="str">
        <f>IFERROR(__xludf.DUMMYFUNCTION("""COMPUTED_VALUE"""),"Delaware")</f>
        <v>Delaware</v>
      </c>
      <c r="C1150" t="str">
        <f>IFERROR(__xludf.DUMMYFUNCTION("""COMPUTED_VALUE"""),"DE")</f>
        <v>DE</v>
      </c>
      <c r="D1150" t="str">
        <f>IFERROR(__xludf.DUMMYFUNCTION("""COMPUTED_VALUE"""),"USA")</f>
        <v>USA</v>
      </c>
      <c r="E1150" s="188">
        <f>IFERROR(__xludf.DUMMYFUNCTION("""COMPUTED_VALUE"""),43280.0)</f>
        <v>43280</v>
      </c>
      <c r="F1150" s="188">
        <f>IFERROR(__xludf.DUMMYFUNCTION("""COMPUTED_VALUE"""),43386.0)</f>
        <v>43386</v>
      </c>
      <c r="H1150">
        <f>IFERROR(__xludf.DUMMYFUNCTION("""COMPUTED_VALUE"""),93879.0)</f>
        <v>93879</v>
      </c>
      <c r="J1150" s="5">
        <f>IFERROR(__xludf.DUMMYFUNCTION("""COMPUTED_VALUE"""),43386.0)</f>
        <v>43386</v>
      </c>
      <c r="K1150">
        <f>IFERROR(__xludf.DUMMYFUNCTION("""COMPUTED_VALUE"""),106.0)</f>
        <v>106</v>
      </c>
      <c r="L1150">
        <f>IFERROR(__xludf.DUMMYFUNCTION("""COMPUTED_VALUE"""),0.0)</f>
        <v>0</v>
      </c>
      <c r="M1150">
        <f>IFERROR(__xludf.DUMMYFUNCTION("""COMPUTED_VALUE"""),106.0)</f>
        <v>106</v>
      </c>
      <c r="N1150" t="str">
        <f>IFERROR(__xludf.DUMMYFUNCTION("""COMPUTED_VALUE"""),"Model 3 LR AWD")</f>
        <v>Model 3 LR AWD</v>
      </c>
      <c r="O1150" t="str">
        <f>IFERROR(__xludf.DUMMYFUNCTION("""COMPUTED_VALUE"""),"Pearl White Multi-Coat")</f>
        <v>Pearl White Multi-Coat</v>
      </c>
      <c r="P1150" t="str">
        <f>IFERROR(__xludf.DUMMYFUNCTION("""COMPUTED_VALUE"""),"18 inch Aero")</f>
        <v>18 inch Aero</v>
      </c>
      <c r="Q1150" t="str">
        <f>IFERROR(__xludf.DUMMYFUNCTION("""COMPUTED_VALUE"""),"Black seats")</f>
        <v>Black seats</v>
      </c>
      <c r="R1150" t="str">
        <f>IFERROR(__xludf.DUMMYFUNCTION("""COMPUTED_VALUE"""),"Full Self-Driving")</f>
        <v>Full Self-Driving</v>
      </c>
      <c r="X1150" t="str">
        <f>IFERROR(__xludf.DUMMYFUNCTION("""COMPUTED_VALUE"""),"Very Good")</f>
        <v>Very Good</v>
      </c>
      <c r="Y1150" t="str">
        <f>IFERROR(__xludf.DUMMYFUNCTION("""COMPUTED_VALUE"""),"Excellent")</f>
        <v>Excellent</v>
      </c>
      <c r="Z1150" t="str">
        <f>IFERROR(__xludf.DUMMYFUNCTION("""COMPUTED_VALUE"""),"Very Good")</f>
        <v>Very Good</v>
      </c>
      <c r="AA1150" t="str">
        <f>IFERROR(__xludf.DUMMYFUNCTION("""COMPUTED_VALUE"""),"Poor")</f>
        <v>Poor</v>
      </c>
      <c r="AB1150" t="str">
        <f>IFERROR(__xludf.DUMMYFUNCTION("""COMPUTED_VALUE"""),"Very Good")</f>
        <v>Very Good</v>
      </c>
      <c r="AC1150">
        <f>IFERROR(__xludf.DUMMYFUNCTION("""COMPUTED_VALUE"""),2.0)</f>
        <v>2</v>
      </c>
      <c r="AD1150">
        <f>IFERROR(__xludf.DUMMYFUNCTION("""COMPUTED_VALUE"""),0.0)</f>
        <v>0</v>
      </c>
      <c r="AE1150">
        <f>IFERROR(__xludf.DUMMYFUNCTION("""COMPUTED_VALUE"""),1.0)</f>
        <v>1</v>
      </c>
      <c r="AH1150" s="189">
        <f>IFERROR(__xludf.DUMMYFUNCTION("""COMPUTED_VALUE"""),43395.71952165509)</f>
        <v>43395.71952</v>
      </c>
    </row>
    <row r="1151">
      <c r="A1151" t="str">
        <f>IFERROR(__xludf.DUMMYFUNCTION("""COMPUTED_VALUE"""),"remlemasi")</f>
        <v>remlemasi</v>
      </c>
      <c r="B1151" t="str">
        <f>IFERROR(__xludf.DUMMYFUNCTION("""COMPUTED_VALUE"""),"Chino Hills")</f>
        <v>Chino Hills</v>
      </c>
      <c r="C1151" t="str">
        <f>IFERROR(__xludf.DUMMYFUNCTION("""COMPUTED_VALUE"""),"CA")</f>
        <v>CA</v>
      </c>
      <c r="D1151" t="str">
        <f>IFERROR(__xludf.DUMMYFUNCTION("""COMPUTED_VALUE"""),"USA")</f>
        <v>USA</v>
      </c>
      <c r="E1151" s="188">
        <f>IFERROR(__xludf.DUMMYFUNCTION("""COMPUTED_VALUE"""),43251.0)</f>
        <v>43251</v>
      </c>
      <c r="F1151" s="188">
        <f>IFERROR(__xludf.DUMMYFUNCTION("""COMPUTED_VALUE"""),43278.0)</f>
        <v>43278</v>
      </c>
      <c r="H1151">
        <f>IFERROR(__xludf.DUMMYFUNCTION("""COMPUTED_VALUE"""),31955.0)</f>
        <v>31955</v>
      </c>
      <c r="J1151" s="5">
        <f>IFERROR(__xludf.DUMMYFUNCTION("""COMPUTED_VALUE"""),43290.0)</f>
        <v>43290</v>
      </c>
      <c r="K1151">
        <f>IFERROR(__xludf.DUMMYFUNCTION("""COMPUTED_VALUE"""),27.0)</f>
        <v>27</v>
      </c>
      <c r="L1151">
        <f>IFERROR(__xludf.DUMMYFUNCTION("""COMPUTED_VALUE"""),12.0)</f>
        <v>12</v>
      </c>
      <c r="M1151">
        <f>IFERROR(__xludf.DUMMYFUNCTION("""COMPUTED_VALUE"""),39.0)</f>
        <v>39</v>
      </c>
      <c r="N1151" t="str">
        <f>IFERROR(__xludf.DUMMYFUNCTION("""COMPUTED_VALUE"""),"Model 3 LR")</f>
        <v>Model 3 LR</v>
      </c>
      <c r="O1151" t="str">
        <f>IFERROR(__xludf.DUMMYFUNCTION("""COMPUTED_VALUE"""),"Pearl White Multi-Coat")</f>
        <v>Pearl White Multi-Coat</v>
      </c>
      <c r="P1151" t="str">
        <f>IFERROR(__xludf.DUMMYFUNCTION("""COMPUTED_VALUE"""),"18 inch Aero")</f>
        <v>18 inch Aero</v>
      </c>
      <c r="Q1151" t="str">
        <f>IFERROR(__xludf.DUMMYFUNCTION("""COMPUTED_VALUE"""),"Black seats")</f>
        <v>Black seats</v>
      </c>
      <c r="R1151" t="str">
        <f>IFERROR(__xludf.DUMMYFUNCTION("""COMPUTED_VALUE"""),"Full Self-Driving")</f>
        <v>Full Self-Driving</v>
      </c>
      <c r="X1151" t="str">
        <f>IFERROR(__xludf.DUMMYFUNCTION("""COMPUTED_VALUE"""),"Fair")</f>
        <v>Fair</v>
      </c>
      <c r="Y1151" t="str">
        <f>IFERROR(__xludf.DUMMYFUNCTION("""COMPUTED_VALUE"""),"Very Good")</f>
        <v>Very Good</v>
      </c>
      <c r="Z1151" t="str">
        <f>IFERROR(__xludf.DUMMYFUNCTION("""COMPUTED_VALUE"""),"Good")</f>
        <v>Good</v>
      </c>
      <c r="AA1151" t="str">
        <f>IFERROR(__xludf.DUMMYFUNCTION("""COMPUTED_VALUE"""),"Good")</f>
        <v>Good</v>
      </c>
      <c r="AB1151" t="str">
        <f>IFERROR(__xludf.DUMMYFUNCTION("""COMPUTED_VALUE"""),"Very Good")</f>
        <v>Very Good</v>
      </c>
      <c r="AC1151">
        <f>IFERROR(__xludf.DUMMYFUNCTION("""COMPUTED_VALUE"""),1.0)</f>
        <v>1</v>
      </c>
      <c r="AD1151">
        <f>IFERROR(__xludf.DUMMYFUNCTION("""COMPUTED_VALUE"""),1.0)</f>
        <v>1</v>
      </c>
      <c r="AE1151">
        <f>IFERROR(__xludf.DUMMYFUNCTION("""COMPUTED_VALUE"""),12.0)</f>
        <v>12</v>
      </c>
      <c r="AH1151" s="189">
        <f>IFERROR(__xludf.DUMMYFUNCTION("""COMPUTED_VALUE"""),43395.9339127662)</f>
        <v>43395.93391</v>
      </c>
    </row>
    <row r="1152">
      <c r="A1152" t="str">
        <f>IFERROR(__xludf.DUMMYFUNCTION("""COMPUTED_VALUE"""),"jayboston")</f>
        <v>jayboston</v>
      </c>
      <c r="B1152" t="str">
        <f>IFERROR(__xludf.DUMMYFUNCTION("""COMPUTED_VALUE"""),"Boston")</f>
        <v>Boston</v>
      </c>
      <c r="C1152" t="str">
        <f>IFERROR(__xludf.DUMMYFUNCTION("""COMPUTED_VALUE"""),"MA")</f>
        <v>MA</v>
      </c>
      <c r="D1152" t="str">
        <f>IFERROR(__xludf.DUMMYFUNCTION("""COMPUTED_VALUE"""),"USA")</f>
        <v>USA</v>
      </c>
      <c r="E1152" s="188">
        <f>IFERROR(__xludf.DUMMYFUNCTION("""COMPUTED_VALUE"""),43344.0)</f>
        <v>43344</v>
      </c>
      <c r="F1152" s="188">
        <f>IFERROR(__xludf.DUMMYFUNCTION("""COMPUTED_VALUE"""),43353.0)</f>
        <v>43353</v>
      </c>
      <c r="H1152">
        <f>IFERROR(__xludf.DUMMYFUNCTION("""COMPUTED_VALUE"""),103255.0)</f>
        <v>103255</v>
      </c>
      <c r="I1152" t="str">
        <f>IFERROR(__xludf.DUMMYFUNCTION("""COMPUTED_VALUE"""),"09/18")</f>
        <v>09/18</v>
      </c>
      <c r="J1152" s="5">
        <f>IFERROR(__xludf.DUMMYFUNCTION("""COMPUTED_VALUE"""),43374.0)</f>
        <v>43374</v>
      </c>
      <c r="K1152">
        <f>IFERROR(__xludf.DUMMYFUNCTION("""COMPUTED_VALUE"""),9.0)</f>
        <v>9</v>
      </c>
      <c r="L1152">
        <f>IFERROR(__xludf.DUMMYFUNCTION("""COMPUTED_VALUE"""),21.0)</f>
        <v>21</v>
      </c>
      <c r="M1152">
        <f>IFERROR(__xludf.DUMMYFUNCTION("""COMPUTED_VALUE"""),30.0)</f>
        <v>30</v>
      </c>
      <c r="N1152" t="str">
        <f>IFERROR(__xludf.DUMMYFUNCTION("""COMPUTED_VALUE"""),"Model 3 LR AWD")</f>
        <v>Model 3 LR AWD</v>
      </c>
      <c r="O1152" t="str">
        <f>IFERROR(__xludf.DUMMYFUNCTION("""COMPUTED_VALUE"""),"Solid Black")</f>
        <v>Solid Black</v>
      </c>
      <c r="P1152" t="str">
        <f>IFERROR(__xludf.DUMMYFUNCTION("""COMPUTED_VALUE"""),"18 inch Aero")</f>
        <v>18 inch Aero</v>
      </c>
      <c r="Q1152" t="str">
        <f>IFERROR(__xludf.DUMMYFUNCTION("""COMPUTED_VALUE"""),"Black seats")</f>
        <v>Black seats</v>
      </c>
      <c r="R1152" t="str">
        <f>IFERROR(__xludf.DUMMYFUNCTION("""COMPUTED_VALUE"""),"Enhanced Autopilot")</f>
        <v>Enhanced Autopilot</v>
      </c>
      <c r="X1152" t="str">
        <f>IFERROR(__xludf.DUMMYFUNCTION("""COMPUTED_VALUE"""),"Very Good")</f>
        <v>Very Good</v>
      </c>
      <c r="Y1152" t="str">
        <f>IFERROR(__xludf.DUMMYFUNCTION("""COMPUTED_VALUE"""),"Very Good")</f>
        <v>Very Good</v>
      </c>
      <c r="Z1152" t="str">
        <f>IFERROR(__xludf.DUMMYFUNCTION("""COMPUTED_VALUE"""),"Good")</f>
        <v>Good</v>
      </c>
      <c r="AA1152" t="str">
        <f>IFERROR(__xludf.DUMMYFUNCTION("""COMPUTED_VALUE"""),"Fair")</f>
        <v>Fair</v>
      </c>
      <c r="AB1152" t="str">
        <f>IFERROR(__xludf.DUMMYFUNCTION("""COMPUTED_VALUE"""),"Fair")</f>
        <v>Fair</v>
      </c>
      <c r="AH1152" s="189">
        <f>IFERROR(__xludf.DUMMYFUNCTION("""COMPUTED_VALUE"""),43396.27744006945)</f>
        <v>43396.27744</v>
      </c>
    </row>
    <row r="1153">
      <c r="A1153" t="str">
        <f>IFERROR(__xludf.DUMMYFUNCTION("""COMPUTED_VALUE"""),"demotivator")</f>
        <v>demotivator</v>
      </c>
      <c r="B1153" t="str">
        <f>IFERROR(__xludf.DUMMYFUNCTION("""COMPUTED_VALUE"""),"Kansas City")</f>
        <v>Kansas City</v>
      </c>
      <c r="C1153" t="str">
        <f>IFERROR(__xludf.DUMMYFUNCTION("""COMPUTED_VALUE"""),"KS")</f>
        <v>KS</v>
      </c>
      <c r="D1153" t="str">
        <f>IFERROR(__xludf.DUMMYFUNCTION("""COMPUTED_VALUE"""),"USA")</f>
        <v>USA</v>
      </c>
      <c r="E1153" s="188">
        <f>IFERROR(__xludf.DUMMYFUNCTION("""COMPUTED_VALUE"""),43385.0)</f>
        <v>43385</v>
      </c>
      <c r="F1153" s="188">
        <f>IFERROR(__xludf.DUMMYFUNCTION("""COMPUTED_VALUE"""),43389.0)</f>
        <v>43389</v>
      </c>
      <c r="H1153">
        <f>IFERROR(__xludf.DUMMYFUNCTION("""COMPUTED_VALUE"""),102455.0)</f>
        <v>102455</v>
      </c>
      <c r="I1153" t="str">
        <f>IFERROR(__xludf.DUMMYFUNCTION("""COMPUTED_VALUE"""),"10/18")</f>
        <v>10/18</v>
      </c>
      <c r="J1153" s="5">
        <f>IFERROR(__xludf.DUMMYFUNCTION("""COMPUTED_VALUE"""),43396.0)</f>
        <v>43396</v>
      </c>
      <c r="K1153">
        <f>IFERROR(__xludf.DUMMYFUNCTION("""COMPUTED_VALUE"""),4.0)</f>
        <v>4</v>
      </c>
      <c r="L1153">
        <f>IFERROR(__xludf.DUMMYFUNCTION("""COMPUTED_VALUE"""),7.0)</f>
        <v>7</v>
      </c>
      <c r="M1153">
        <f>IFERROR(__xludf.DUMMYFUNCTION("""COMPUTED_VALUE"""),11.0)</f>
        <v>11</v>
      </c>
      <c r="N1153" t="str">
        <f>IFERROR(__xludf.DUMMYFUNCTION("""COMPUTED_VALUE"""),"Model 3 LR")</f>
        <v>Model 3 LR</v>
      </c>
      <c r="O1153" t="str">
        <f>IFERROR(__xludf.DUMMYFUNCTION("""COMPUTED_VALUE"""),"Deep Blue Metallic")</f>
        <v>Deep Blue Metallic</v>
      </c>
      <c r="P1153" t="str">
        <f>IFERROR(__xludf.DUMMYFUNCTION("""COMPUTED_VALUE"""),"18 inch Aero")</f>
        <v>18 inch Aero</v>
      </c>
      <c r="Q1153" t="str">
        <f>IFERROR(__xludf.DUMMYFUNCTION("""COMPUTED_VALUE"""),"Black seats")</f>
        <v>Black seats</v>
      </c>
      <c r="R1153" t="str">
        <f>IFERROR(__xludf.DUMMYFUNCTION("""COMPUTED_VALUE"""),"Enhanced Autopilot")</f>
        <v>Enhanced Autopilot</v>
      </c>
      <c r="X1153" t="str">
        <f>IFERROR(__xludf.DUMMYFUNCTION("""COMPUTED_VALUE"""),"Very Good")</f>
        <v>Very Good</v>
      </c>
      <c r="Y1153" t="str">
        <f>IFERROR(__xludf.DUMMYFUNCTION("""COMPUTED_VALUE"""),"Excellent")</f>
        <v>Excellent</v>
      </c>
      <c r="Z1153" t="str">
        <f>IFERROR(__xludf.DUMMYFUNCTION("""COMPUTED_VALUE"""),"Very Good")</f>
        <v>Very Good</v>
      </c>
      <c r="AA1153" t="str">
        <f>IFERROR(__xludf.DUMMYFUNCTION("""COMPUTED_VALUE"""),"Fair")</f>
        <v>Fair</v>
      </c>
      <c r="AB1153" t="str">
        <f>IFERROR(__xludf.DUMMYFUNCTION("""COMPUTED_VALUE"""),"Excellent")</f>
        <v>Excellent</v>
      </c>
      <c r="AH1153" s="189">
        <f>IFERROR(__xludf.DUMMYFUNCTION("""COMPUTED_VALUE"""),43396.2837368287)</f>
        <v>43396.28374</v>
      </c>
    </row>
    <row r="1154">
      <c r="A1154" t="str">
        <f>IFERROR(__xludf.DUMMYFUNCTION("""COMPUTED_VALUE"""),"sminty7")</f>
        <v>sminty7</v>
      </c>
      <c r="B1154" t="str">
        <f>IFERROR(__xludf.DUMMYFUNCTION("""COMPUTED_VALUE"""),"Kirkland")</f>
        <v>Kirkland</v>
      </c>
      <c r="C1154" t="str">
        <f>IFERROR(__xludf.DUMMYFUNCTION("""COMPUTED_VALUE"""),"WA")</f>
        <v>WA</v>
      </c>
      <c r="D1154" t="str">
        <f>IFERROR(__xludf.DUMMYFUNCTION("""COMPUTED_VALUE"""),"USA")</f>
        <v>USA</v>
      </c>
      <c r="E1154" s="188">
        <f>IFERROR(__xludf.DUMMYFUNCTION("""COMPUTED_VALUE"""),43323.0)</f>
        <v>43323</v>
      </c>
      <c r="F1154" s="188">
        <f>IFERROR(__xludf.DUMMYFUNCTION("""COMPUTED_VALUE"""),43366.0)</f>
        <v>43366</v>
      </c>
      <c r="H1154">
        <f>IFERROR(__xludf.DUMMYFUNCTION("""COMPUTED_VALUE"""),92355.0)</f>
        <v>92355</v>
      </c>
      <c r="J1154" s="5">
        <f>IFERROR(__xludf.DUMMYFUNCTION("""COMPUTED_VALUE"""),43370.0)</f>
        <v>43370</v>
      </c>
      <c r="K1154">
        <f>IFERROR(__xludf.DUMMYFUNCTION("""COMPUTED_VALUE"""),43.0)</f>
        <v>43</v>
      </c>
      <c r="L1154">
        <f>IFERROR(__xludf.DUMMYFUNCTION("""COMPUTED_VALUE"""),4.0)</f>
        <v>4</v>
      </c>
      <c r="M1154">
        <f>IFERROR(__xludf.DUMMYFUNCTION("""COMPUTED_VALUE"""),47.0)</f>
        <v>47</v>
      </c>
      <c r="N1154" t="str">
        <f>IFERROR(__xludf.DUMMYFUNCTION("""COMPUTED_VALUE"""),"Model 3 LR AWD")</f>
        <v>Model 3 LR AWD</v>
      </c>
      <c r="O1154" t="str">
        <f>IFERROR(__xludf.DUMMYFUNCTION("""COMPUTED_VALUE"""),"Pearl White Multi-Coat")</f>
        <v>Pearl White Multi-Coat</v>
      </c>
      <c r="P1154" t="str">
        <f>IFERROR(__xludf.DUMMYFUNCTION("""COMPUTED_VALUE"""),"18 inch Aero")</f>
        <v>18 inch Aero</v>
      </c>
      <c r="Q1154" t="str">
        <f>IFERROR(__xludf.DUMMYFUNCTION("""COMPUTED_VALUE"""),"Black seats")</f>
        <v>Black seats</v>
      </c>
      <c r="R1154" t="str">
        <f>IFERROR(__xludf.DUMMYFUNCTION("""COMPUTED_VALUE"""),"Enhanced Autopilot")</f>
        <v>Enhanced Autopilot</v>
      </c>
      <c r="X1154" t="str">
        <f>IFERROR(__xludf.DUMMYFUNCTION("""COMPUTED_VALUE"""),"Excellent")</f>
        <v>Excellent</v>
      </c>
      <c r="Y1154" t="str">
        <f>IFERROR(__xludf.DUMMYFUNCTION("""COMPUTED_VALUE"""),"Excellent")</f>
        <v>Excellent</v>
      </c>
      <c r="Z1154" t="str">
        <f>IFERROR(__xludf.DUMMYFUNCTION("""COMPUTED_VALUE"""),"Excellent")</f>
        <v>Excellent</v>
      </c>
      <c r="AA1154" t="str">
        <f>IFERROR(__xludf.DUMMYFUNCTION("""COMPUTED_VALUE"""),"Good")</f>
        <v>Good</v>
      </c>
      <c r="AB1154" t="str">
        <f>IFERROR(__xludf.DUMMYFUNCTION("""COMPUTED_VALUE"""),"Very Good")</f>
        <v>Very Good</v>
      </c>
      <c r="AC1154">
        <f>IFERROR(__xludf.DUMMYFUNCTION("""COMPUTED_VALUE"""),1.0)</f>
        <v>1</v>
      </c>
      <c r="AD1154">
        <f>IFERROR(__xludf.DUMMYFUNCTION("""COMPUTED_VALUE"""),1.0)</f>
        <v>1</v>
      </c>
      <c r="AE1154">
        <f>IFERROR(__xludf.DUMMYFUNCTION("""COMPUTED_VALUE"""),1.0)</f>
        <v>1</v>
      </c>
      <c r="AH1154" s="189">
        <f>IFERROR(__xludf.DUMMYFUNCTION("""COMPUTED_VALUE"""),43396.428388506945)</f>
        <v>43396.42839</v>
      </c>
    </row>
    <row r="1155">
      <c r="A1155" t="str">
        <f>IFERROR(__xludf.DUMMYFUNCTION("""COMPUTED_VALUE"""),"Dwa")</f>
        <v>Dwa</v>
      </c>
      <c r="B1155" t="str">
        <f>IFERROR(__xludf.DUMMYFUNCTION("""COMPUTED_VALUE"""),"Stowe")</f>
        <v>Stowe</v>
      </c>
      <c r="C1155" t="str">
        <f>IFERROR(__xludf.DUMMYFUNCTION("""COMPUTED_VALUE"""),"VT")</f>
        <v>VT</v>
      </c>
      <c r="D1155" t="str">
        <f>IFERROR(__xludf.DUMMYFUNCTION("""COMPUTED_VALUE"""),"USA")</f>
        <v>USA</v>
      </c>
      <c r="E1155" s="188">
        <f>IFERROR(__xludf.DUMMYFUNCTION("""COMPUTED_VALUE"""),43278.0)</f>
        <v>43278</v>
      </c>
      <c r="F1155" s="188">
        <f>IFERROR(__xludf.DUMMYFUNCTION("""COMPUTED_VALUE"""),43375.0)</f>
        <v>43375</v>
      </c>
      <c r="H1155">
        <f>IFERROR(__xludf.DUMMYFUNCTION("""COMPUTED_VALUE"""),73129.0)</f>
        <v>73129</v>
      </c>
      <c r="I1155" t="str">
        <f>IFERROR(__xludf.DUMMYFUNCTION("""COMPUTED_VALUE"""),"09/18")</f>
        <v>09/18</v>
      </c>
      <c r="J1155" s="5">
        <f>IFERROR(__xludf.DUMMYFUNCTION("""COMPUTED_VALUE"""),43389.0)</f>
        <v>43389</v>
      </c>
      <c r="K1155">
        <f>IFERROR(__xludf.DUMMYFUNCTION("""COMPUTED_VALUE"""),97.0)</f>
        <v>97</v>
      </c>
      <c r="L1155">
        <f>IFERROR(__xludf.DUMMYFUNCTION("""COMPUTED_VALUE"""),14.0)</f>
        <v>14</v>
      </c>
      <c r="M1155">
        <f>IFERROR(__xludf.DUMMYFUNCTION("""COMPUTED_VALUE"""),111.0)</f>
        <v>111</v>
      </c>
      <c r="N1155" t="str">
        <f>IFERROR(__xludf.DUMMYFUNCTION("""COMPUTED_VALUE"""),"Model 3 Performance")</f>
        <v>Model 3 Performance</v>
      </c>
      <c r="O1155" t="str">
        <f>IFERROR(__xludf.DUMMYFUNCTION("""COMPUTED_VALUE"""),"Midnight Silver Metallic")</f>
        <v>Midnight Silver Metallic</v>
      </c>
      <c r="P1155" t="str">
        <f>IFERROR(__xludf.DUMMYFUNCTION("""COMPUTED_VALUE"""),"20 inch Sport")</f>
        <v>20 inch Sport</v>
      </c>
      <c r="Q1155" t="str">
        <f>IFERROR(__xludf.DUMMYFUNCTION("""COMPUTED_VALUE"""),"Black seats")</f>
        <v>Black seats</v>
      </c>
      <c r="R1155" t="str">
        <f>IFERROR(__xludf.DUMMYFUNCTION("""COMPUTED_VALUE"""),"Enhanced Autopilot")</f>
        <v>Enhanced Autopilot</v>
      </c>
      <c r="X1155" t="str">
        <f>IFERROR(__xludf.DUMMYFUNCTION("""COMPUTED_VALUE"""),"Very Good")</f>
        <v>Very Good</v>
      </c>
      <c r="Y1155" t="str">
        <f>IFERROR(__xludf.DUMMYFUNCTION("""COMPUTED_VALUE"""),"Excellent")</f>
        <v>Excellent</v>
      </c>
      <c r="Z1155" t="str">
        <f>IFERROR(__xludf.DUMMYFUNCTION("""COMPUTED_VALUE"""),"Excellent")</f>
        <v>Excellent</v>
      </c>
      <c r="AA1155" t="str">
        <f>IFERROR(__xludf.DUMMYFUNCTION("""COMPUTED_VALUE"""),"Fair")</f>
        <v>Fair</v>
      </c>
      <c r="AB1155" t="str">
        <f>IFERROR(__xludf.DUMMYFUNCTION("""COMPUTED_VALUE"""),"Fair")</f>
        <v>Fair</v>
      </c>
      <c r="AC1155">
        <f>IFERROR(__xludf.DUMMYFUNCTION("""COMPUTED_VALUE"""),0.0)</f>
        <v>0</v>
      </c>
      <c r="AD1155">
        <f>IFERROR(__xludf.DUMMYFUNCTION("""COMPUTED_VALUE"""),0.0)</f>
        <v>0</v>
      </c>
      <c r="AE1155">
        <f>IFERROR(__xludf.DUMMYFUNCTION("""COMPUTED_VALUE"""),0.0)</f>
        <v>0</v>
      </c>
      <c r="AG1155" t="str">
        <f>IFERROR(__xludf.DUMMYFUNCTION("""COMPUTED_VALUE"""),"Home delivery Date 10/16/18, one day notice.")</f>
        <v>Home delivery Date 10/16/18, one day notice.</v>
      </c>
      <c r="AH1155" s="189">
        <f>IFERROR(__xludf.DUMMYFUNCTION("""COMPUTED_VALUE"""),43396.48999137731)</f>
        <v>43396.48999</v>
      </c>
    </row>
    <row r="1156">
      <c r="A1156" t="str">
        <f>IFERROR(__xludf.DUMMYFUNCTION("""COMPUTED_VALUE"""),"garibaldi")</f>
        <v>garibaldi</v>
      </c>
      <c r="B1156" t="str">
        <f>IFERROR(__xludf.DUMMYFUNCTION("""COMPUTED_VALUE"""),"Seattle")</f>
        <v>Seattle</v>
      </c>
      <c r="C1156" t="str">
        <f>IFERROR(__xludf.DUMMYFUNCTION("""COMPUTED_VALUE"""),"WA")</f>
        <v>WA</v>
      </c>
      <c r="D1156" t="str">
        <f>IFERROR(__xludf.DUMMYFUNCTION("""COMPUTED_VALUE"""),"USA")</f>
        <v>USA</v>
      </c>
      <c r="E1156" s="188">
        <f>IFERROR(__xludf.DUMMYFUNCTION("""COMPUTED_VALUE"""),43280.0)</f>
        <v>43280</v>
      </c>
      <c r="H1156">
        <f>IFERROR(__xludf.DUMMYFUNCTION("""COMPUTED_VALUE"""),97555.0)</f>
        <v>97555</v>
      </c>
      <c r="I1156" t="str">
        <f>IFERROR(__xludf.DUMMYFUNCTION("""COMPUTED_VALUE"""),"09/18")</f>
        <v>09/18</v>
      </c>
      <c r="J1156" s="5">
        <f>IFERROR(__xludf.DUMMYFUNCTION("""COMPUTED_VALUE"""),43365.0)</f>
        <v>43365</v>
      </c>
      <c r="M1156">
        <f>IFERROR(__xludf.DUMMYFUNCTION("""COMPUTED_VALUE"""),85.0)</f>
        <v>85</v>
      </c>
      <c r="N1156" t="str">
        <f>IFERROR(__xludf.DUMMYFUNCTION("""COMPUTED_VALUE"""),"Model 3 LR AWD")</f>
        <v>Model 3 LR AWD</v>
      </c>
      <c r="O1156" t="str">
        <f>IFERROR(__xludf.DUMMYFUNCTION("""COMPUTED_VALUE"""),"Red Multi-Coat")</f>
        <v>Red Multi-Coat</v>
      </c>
      <c r="P1156" t="str">
        <f>IFERROR(__xludf.DUMMYFUNCTION("""COMPUTED_VALUE"""),"19 inch Sport")</f>
        <v>19 inch Sport</v>
      </c>
      <c r="Q1156" t="str">
        <f>IFERROR(__xludf.DUMMYFUNCTION("""COMPUTED_VALUE"""),"White seats")</f>
        <v>White seats</v>
      </c>
      <c r="R1156" t="str">
        <f>IFERROR(__xludf.DUMMYFUNCTION("""COMPUTED_VALUE"""),"None")</f>
        <v>None</v>
      </c>
      <c r="X1156" t="str">
        <f>IFERROR(__xludf.DUMMYFUNCTION("""COMPUTED_VALUE"""),"Poor")</f>
        <v>Poor</v>
      </c>
      <c r="Y1156" t="str">
        <f>IFERROR(__xludf.DUMMYFUNCTION("""COMPUTED_VALUE"""),"Fair")</f>
        <v>Fair</v>
      </c>
      <c r="Z1156" t="str">
        <f>IFERROR(__xludf.DUMMYFUNCTION("""COMPUTED_VALUE"""),"Excellent")</f>
        <v>Excellent</v>
      </c>
      <c r="AA1156" t="str">
        <f>IFERROR(__xludf.DUMMYFUNCTION("""COMPUTED_VALUE"""),"Excellent")</f>
        <v>Excellent</v>
      </c>
      <c r="AB1156" t="str">
        <f>IFERROR(__xludf.DUMMYFUNCTION("""COMPUTED_VALUE"""),"Excellent")</f>
        <v>Excellent</v>
      </c>
      <c r="AC1156">
        <f>IFERROR(__xludf.DUMMYFUNCTION("""COMPUTED_VALUE"""),4.0)</f>
        <v>4</v>
      </c>
      <c r="AD1156">
        <f>IFERROR(__xludf.DUMMYFUNCTION("""COMPUTED_VALUE"""),2.0)</f>
        <v>2</v>
      </c>
      <c r="AE1156">
        <f>IFERROR(__xludf.DUMMYFUNCTION("""COMPUTED_VALUE"""),2.0)</f>
        <v>2</v>
      </c>
      <c r="AH1156" s="189">
        <f>IFERROR(__xludf.DUMMYFUNCTION("""COMPUTED_VALUE"""),43396.506662280095)</f>
        <v>43396.50666</v>
      </c>
    </row>
    <row r="1157">
      <c r="A1157" t="str">
        <f>IFERROR(__xludf.DUMMYFUNCTION("""COMPUTED_VALUE"""),"owlc")</f>
        <v>owlc</v>
      </c>
      <c r="C1157" t="str">
        <f>IFERROR(__xludf.DUMMYFUNCTION("""COMPUTED_VALUE"""),"CT")</f>
        <v>CT</v>
      </c>
      <c r="D1157" t="str">
        <f>IFERROR(__xludf.DUMMYFUNCTION("""COMPUTED_VALUE"""),"USA")</f>
        <v>USA</v>
      </c>
      <c r="E1157" s="188">
        <f>IFERROR(__xludf.DUMMYFUNCTION("""COMPUTED_VALUE"""),43278.0)</f>
        <v>43278</v>
      </c>
      <c r="F1157" s="188">
        <f>IFERROR(__xludf.DUMMYFUNCTION("""COMPUTED_VALUE"""),43378.0)</f>
        <v>43378</v>
      </c>
      <c r="H1157">
        <f>IFERROR(__xludf.DUMMYFUNCTION("""COMPUTED_VALUE"""),117455.0)</f>
        <v>117455</v>
      </c>
      <c r="I1157" t="str">
        <f>IFERROR(__xludf.DUMMYFUNCTION("""COMPUTED_VALUE"""),"10/18")</f>
        <v>10/18</v>
      </c>
      <c r="J1157" s="5">
        <f>IFERROR(__xludf.DUMMYFUNCTION("""COMPUTED_VALUE"""),43395.0)</f>
        <v>43395</v>
      </c>
      <c r="K1157">
        <f>IFERROR(__xludf.DUMMYFUNCTION("""COMPUTED_VALUE"""),100.0)</f>
        <v>100</v>
      </c>
      <c r="L1157">
        <f>IFERROR(__xludf.DUMMYFUNCTION("""COMPUTED_VALUE"""),17.0)</f>
        <v>17</v>
      </c>
      <c r="M1157">
        <f>IFERROR(__xludf.DUMMYFUNCTION("""COMPUTED_VALUE"""),117.0)</f>
        <v>117</v>
      </c>
      <c r="N1157" t="str">
        <f>IFERROR(__xludf.DUMMYFUNCTION("""COMPUTED_VALUE"""),"Model 3 LR AWD")</f>
        <v>Model 3 LR AWD</v>
      </c>
      <c r="O1157" t="str">
        <f>IFERROR(__xludf.DUMMYFUNCTION("""COMPUTED_VALUE"""),"Deep Blue Metallic")</f>
        <v>Deep Blue Metallic</v>
      </c>
      <c r="P1157" t="str">
        <f>IFERROR(__xludf.DUMMYFUNCTION("""COMPUTED_VALUE"""),"19 inch Sport")</f>
        <v>19 inch Sport</v>
      </c>
      <c r="Q1157" t="str">
        <f>IFERROR(__xludf.DUMMYFUNCTION("""COMPUTED_VALUE"""),"Black seats")</f>
        <v>Black seats</v>
      </c>
      <c r="R1157" t="str">
        <f>IFERROR(__xludf.DUMMYFUNCTION("""COMPUTED_VALUE"""),"Full Self-Driving")</f>
        <v>Full Self-Driving</v>
      </c>
      <c r="X1157" t="str">
        <f>IFERROR(__xludf.DUMMYFUNCTION("""COMPUTED_VALUE"""),"Very Good")</f>
        <v>Very Good</v>
      </c>
      <c r="Y1157" t="str">
        <f>IFERROR(__xludf.DUMMYFUNCTION("""COMPUTED_VALUE"""),"Good")</f>
        <v>Good</v>
      </c>
      <c r="Z1157" t="str">
        <f>IFERROR(__xludf.DUMMYFUNCTION("""COMPUTED_VALUE"""),"Good")</f>
        <v>Good</v>
      </c>
      <c r="AA1157" t="str">
        <f>IFERROR(__xludf.DUMMYFUNCTION("""COMPUTED_VALUE"""),"Poor")</f>
        <v>Poor</v>
      </c>
      <c r="AB1157" t="str">
        <f>IFERROR(__xludf.DUMMYFUNCTION("""COMPUTED_VALUE"""),"Poor")</f>
        <v>Poor</v>
      </c>
      <c r="AC1157">
        <f>IFERROR(__xludf.DUMMYFUNCTION("""COMPUTED_VALUE"""),3.0)</f>
        <v>3</v>
      </c>
      <c r="AH1157" s="189">
        <f>IFERROR(__xludf.DUMMYFUNCTION("""COMPUTED_VALUE"""),43396.512993055556)</f>
        <v>43396.51299</v>
      </c>
    </row>
    <row r="1158">
      <c r="A1158" t="str">
        <f>IFERROR(__xludf.DUMMYFUNCTION("""COMPUTED_VALUE"""),"mscott")</f>
        <v>mscott</v>
      </c>
      <c r="B1158" t="str">
        <f>IFERROR(__xludf.DUMMYFUNCTION("""COMPUTED_VALUE"""),"Colorado Springs")</f>
        <v>Colorado Springs</v>
      </c>
      <c r="C1158" t="str">
        <f>IFERROR(__xludf.DUMMYFUNCTION("""COMPUTED_VALUE"""),"CO")</f>
        <v>CO</v>
      </c>
      <c r="D1158" t="str">
        <f>IFERROR(__xludf.DUMMYFUNCTION("""COMPUTED_VALUE"""),"USA")</f>
        <v>USA</v>
      </c>
      <c r="E1158" s="188">
        <f>IFERROR(__xludf.DUMMYFUNCTION("""COMPUTED_VALUE"""),43280.0)</f>
        <v>43280</v>
      </c>
      <c r="H1158">
        <f>IFERROR(__xludf.DUMMYFUNCTION("""COMPUTED_VALUE"""),99868.0)</f>
        <v>99868</v>
      </c>
      <c r="J1158" s="5">
        <f>IFERROR(__xludf.DUMMYFUNCTION("""COMPUTED_VALUE"""),43368.0)</f>
        <v>43368</v>
      </c>
      <c r="M1158">
        <f>IFERROR(__xludf.DUMMYFUNCTION("""COMPUTED_VALUE"""),88.0)</f>
        <v>88</v>
      </c>
      <c r="N1158" t="str">
        <f>IFERROR(__xludf.DUMMYFUNCTION("""COMPUTED_VALUE"""),"Model 3 Performance")</f>
        <v>Model 3 Performance</v>
      </c>
      <c r="O1158" t="str">
        <f>IFERROR(__xludf.DUMMYFUNCTION("""COMPUTED_VALUE"""),"Deep Blue Metallic")</f>
        <v>Deep Blue Metallic</v>
      </c>
      <c r="P1158" t="str">
        <f>IFERROR(__xludf.DUMMYFUNCTION("""COMPUTED_VALUE"""),"18 inch Aero")</f>
        <v>18 inch Aero</v>
      </c>
      <c r="Q1158" t="str">
        <f>IFERROR(__xludf.DUMMYFUNCTION("""COMPUTED_VALUE"""),"White seats")</f>
        <v>White seats</v>
      </c>
      <c r="R1158" t="str">
        <f>IFERROR(__xludf.DUMMYFUNCTION("""COMPUTED_VALUE"""),"Enhanced Autopilot")</f>
        <v>Enhanced Autopilot</v>
      </c>
      <c r="X1158" t="str">
        <f>IFERROR(__xludf.DUMMYFUNCTION("""COMPUTED_VALUE"""),"Excellent")</f>
        <v>Excellent</v>
      </c>
      <c r="Y1158" t="str">
        <f>IFERROR(__xludf.DUMMYFUNCTION("""COMPUTED_VALUE"""),"Excellent")</f>
        <v>Excellent</v>
      </c>
      <c r="Z1158" t="str">
        <f>IFERROR(__xludf.DUMMYFUNCTION("""COMPUTED_VALUE"""),"Poor")</f>
        <v>Poor</v>
      </c>
      <c r="AA1158" t="str">
        <f>IFERROR(__xludf.DUMMYFUNCTION("""COMPUTED_VALUE"""),"Fair")</f>
        <v>Fair</v>
      </c>
      <c r="AB1158" t="str">
        <f>IFERROR(__xludf.DUMMYFUNCTION("""COMPUTED_VALUE"""),"Poor")</f>
        <v>Poor</v>
      </c>
      <c r="AC1158">
        <f>IFERROR(__xludf.DUMMYFUNCTION("""COMPUTED_VALUE"""),5.0)</f>
        <v>5</v>
      </c>
      <c r="AD1158">
        <f>IFERROR(__xludf.DUMMYFUNCTION("""COMPUTED_VALUE"""),1.0)</f>
        <v>1</v>
      </c>
      <c r="AE1158">
        <f>IFERROR(__xludf.DUMMYFUNCTION("""COMPUTED_VALUE"""),21.0)</f>
        <v>21</v>
      </c>
      <c r="AH1158" s="189">
        <f>IFERROR(__xludf.DUMMYFUNCTION("""COMPUTED_VALUE"""),43396.524394155094)</f>
        <v>43396.52439</v>
      </c>
    </row>
    <row r="1159">
      <c r="A1159" t="str">
        <f>IFERROR(__xludf.DUMMYFUNCTION("""COMPUTED_VALUE"""),"amanwithplan")</f>
        <v>amanwithplan</v>
      </c>
      <c r="C1159" t="str">
        <f>IFERROR(__xludf.DUMMYFUNCTION("""COMPUTED_VALUE"""),"NJ")</f>
        <v>NJ</v>
      </c>
      <c r="D1159" t="str">
        <f>IFERROR(__xludf.DUMMYFUNCTION("""COMPUTED_VALUE"""),"USA")</f>
        <v>USA</v>
      </c>
      <c r="E1159" s="188">
        <f>IFERROR(__xludf.DUMMYFUNCTION("""COMPUTED_VALUE"""),43278.0)</f>
        <v>43278</v>
      </c>
      <c r="F1159" s="188">
        <f>IFERROR(__xludf.DUMMYFUNCTION("""COMPUTED_VALUE"""),43321.0)</f>
        <v>43321</v>
      </c>
      <c r="H1159">
        <f>IFERROR(__xludf.DUMMYFUNCTION("""COMPUTED_VALUE"""),56055.0)</f>
        <v>56055</v>
      </c>
      <c r="I1159" t="str">
        <f>IFERROR(__xludf.DUMMYFUNCTION("""COMPUTED_VALUE"""),"08/18")</f>
        <v>08/18</v>
      </c>
      <c r="J1159" s="5">
        <f>IFERROR(__xludf.DUMMYFUNCTION("""COMPUTED_VALUE"""),43337.0)</f>
        <v>43337</v>
      </c>
      <c r="K1159">
        <f>IFERROR(__xludf.DUMMYFUNCTION("""COMPUTED_VALUE"""),43.0)</f>
        <v>43</v>
      </c>
      <c r="L1159">
        <f>IFERROR(__xludf.DUMMYFUNCTION("""COMPUTED_VALUE"""),16.0)</f>
        <v>16</v>
      </c>
      <c r="M1159">
        <f>IFERROR(__xludf.DUMMYFUNCTION("""COMPUTED_VALUE"""),59.0)</f>
        <v>59</v>
      </c>
      <c r="N1159" t="str">
        <f>IFERROR(__xludf.DUMMYFUNCTION("""COMPUTED_VALUE"""),"Model 3 Performance")</f>
        <v>Model 3 Performance</v>
      </c>
      <c r="O1159" t="str">
        <f>IFERROR(__xludf.DUMMYFUNCTION("""COMPUTED_VALUE"""),"Red Multi-Coat")</f>
        <v>Red Multi-Coat</v>
      </c>
      <c r="P1159" t="str">
        <f>IFERROR(__xludf.DUMMYFUNCTION("""COMPUTED_VALUE"""),"18 inch Aero")</f>
        <v>18 inch Aero</v>
      </c>
      <c r="Q1159" t="str">
        <f>IFERROR(__xludf.DUMMYFUNCTION("""COMPUTED_VALUE"""),"White seats")</f>
        <v>White seats</v>
      </c>
      <c r="R1159" t="str">
        <f>IFERROR(__xludf.DUMMYFUNCTION("""COMPUTED_VALUE"""),"None")</f>
        <v>None</v>
      </c>
      <c r="X1159" t="str">
        <f>IFERROR(__xludf.DUMMYFUNCTION("""COMPUTED_VALUE"""),"Very Good")</f>
        <v>Very Good</v>
      </c>
      <c r="Y1159" t="str">
        <f>IFERROR(__xludf.DUMMYFUNCTION("""COMPUTED_VALUE"""),"Excellent")</f>
        <v>Excellent</v>
      </c>
      <c r="Z1159" t="str">
        <f>IFERROR(__xludf.DUMMYFUNCTION("""COMPUTED_VALUE"""),"Poor")</f>
        <v>Poor</v>
      </c>
      <c r="AA1159" t="str">
        <f>IFERROR(__xludf.DUMMYFUNCTION("""COMPUTED_VALUE"""),"Very Good")</f>
        <v>Very Good</v>
      </c>
      <c r="AB1159" t="str">
        <f>IFERROR(__xludf.DUMMYFUNCTION("""COMPUTED_VALUE"""),"Good")</f>
        <v>Good</v>
      </c>
      <c r="AC1159">
        <f>IFERROR(__xludf.DUMMYFUNCTION("""COMPUTED_VALUE"""),12.0)</f>
        <v>12</v>
      </c>
      <c r="AD1159">
        <f>IFERROR(__xludf.DUMMYFUNCTION("""COMPUTED_VALUE"""),2.0)</f>
        <v>2</v>
      </c>
      <c r="AE1159">
        <f>IFERROR(__xludf.DUMMYFUNCTION("""COMPUTED_VALUE"""),30.0)</f>
        <v>30</v>
      </c>
      <c r="AG1159" t="str">
        <f>IFERROR(__xludf.DUMMYFUNCTION("""COMPUTED_VALUE"""),"Car needed to be detailed, buffed, and Opti-Coated by private detailer at owner cost")</f>
        <v>Car needed to be detailed, buffed, and Opti-Coated by private detailer at owner cost</v>
      </c>
      <c r="AH1159" s="189">
        <f>IFERROR(__xludf.DUMMYFUNCTION("""COMPUTED_VALUE"""),43396.56949896991)</f>
        <v>43396.5695</v>
      </c>
    </row>
    <row r="1160">
      <c r="A1160" t="str">
        <f>IFERROR(__xludf.DUMMYFUNCTION("""COMPUTED_VALUE"""),"glamisduner")</f>
        <v>glamisduner</v>
      </c>
      <c r="B1160" t="str">
        <f>IFERROR(__xludf.DUMMYFUNCTION("""COMPUTED_VALUE"""),"San Diego")</f>
        <v>San Diego</v>
      </c>
      <c r="C1160" t="str">
        <f>IFERROR(__xludf.DUMMYFUNCTION("""COMPUTED_VALUE"""),"CA")</f>
        <v>CA</v>
      </c>
      <c r="D1160" t="str">
        <f>IFERROR(__xludf.DUMMYFUNCTION("""COMPUTED_VALUE"""),"USA")</f>
        <v>USA</v>
      </c>
      <c r="E1160" s="188">
        <f>IFERROR(__xludf.DUMMYFUNCTION("""COMPUTED_VALUE"""),43280.0)</f>
        <v>43280</v>
      </c>
      <c r="F1160" s="188">
        <f>IFERROR(__xludf.DUMMYFUNCTION("""COMPUTED_VALUE"""),43388.0)</f>
        <v>43388</v>
      </c>
      <c r="H1160">
        <f>IFERROR(__xludf.DUMMYFUNCTION("""COMPUTED_VALUE"""),74855.0)</f>
        <v>74855</v>
      </c>
      <c r="I1160" t="str">
        <f>IFERROR(__xludf.DUMMYFUNCTION("""COMPUTED_VALUE"""),"09/18")</f>
        <v>09/18</v>
      </c>
      <c r="J1160" s="5">
        <f>IFERROR(__xludf.DUMMYFUNCTION("""COMPUTED_VALUE"""),43389.0)</f>
        <v>43389</v>
      </c>
      <c r="K1160">
        <f>IFERROR(__xludf.DUMMYFUNCTION("""COMPUTED_VALUE"""),108.0)</f>
        <v>108</v>
      </c>
      <c r="L1160">
        <f>IFERROR(__xludf.DUMMYFUNCTION("""COMPUTED_VALUE"""),1.0)</f>
        <v>1</v>
      </c>
      <c r="M1160">
        <f>IFERROR(__xludf.DUMMYFUNCTION("""COMPUTED_VALUE"""),109.0)</f>
        <v>109</v>
      </c>
      <c r="N1160" t="str">
        <f>IFERROR(__xludf.DUMMYFUNCTION("""COMPUTED_VALUE"""),"Model 3 Performance")</f>
        <v>Model 3 Performance</v>
      </c>
      <c r="O1160" t="str">
        <f>IFERROR(__xludf.DUMMYFUNCTION("""COMPUTED_VALUE"""),"Pearl White Multi-Coat")</f>
        <v>Pearl White Multi-Coat</v>
      </c>
      <c r="P1160" t="str">
        <f>IFERROR(__xludf.DUMMYFUNCTION("""COMPUTED_VALUE"""),"18 inch Aero")</f>
        <v>18 inch Aero</v>
      </c>
      <c r="Q1160" t="str">
        <f>IFERROR(__xludf.DUMMYFUNCTION("""COMPUTED_VALUE"""),"White seats")</f>
        <v>White seats</v>
      </c>
      <c r="R1160" t="str">
        <f>IFERROR(__xludf.DUMMYFUNCTION("""COMPUTED_VALUE"""),"Enhanced Autopilot")</f>
        <v>Enhanced Autopilot</v>
      </c>
      <c r="X1160" t="str">
        <f>IFERROR(__xludf.DUMMYFUNCTION("""COMPUTED_VALUE"""),"Poor")</f>
        <v>Poor</v>
      </c>
      <c r="Y1160" t="str">
        <f>IFERROR(__xludf.DUMMYFUNCTION("""COMPUTED_VALUE"""),"Very Good")</f>
        <v>Very Good</v>
      </c>
      <c r="Z1160" t="str">
        <f>IFERROR(__xludf.DUMMYFUNCTION("""COMPUTED_VALUE"""),"Fair")</f>
        <v>Fair</v>
      </c>
      <c r="AA1160" t="str">
        <f>IFERROR(__xludf.DUMMYFUNCTION("""COMPUTED_VALUE"""),"Poor")</f>
        <v>Poor</v>
      </c>
      <c r="AB1160" t="str">
        <f>IFERROR(__xludf.DUMMYFUNCTION("""COMPUTED_VALUE"""),"Poor")</f>
        <v>Poor</v>
      </c>
      <c r="AC1160">
        <f>IFERROR(__xludf.DUMMYFUNCTION("""COMPUTED_VALUE"""),6.0)</f>
        <v>6</v>
      </c>
      <c r="AD1160">
        <f>IFERROR(__xludf.DUMMYFUNCTION("""COMPUTED_VALUE"""),1.0)</f>
        <v>1</v>
      </c>
      <c r="AG1160" t="str">
        <f>IFERROR(__xludf.DUMMYFUNCTION("""COMPUTED_VALUE"""),"They replaced my rejected car with someone elses rejected car.  Not the quality you expect to see in a nearly $80k vehicle.  Hopefully the 4 panels that need paint and the trunk and frunk can all be fixed and re-aligned we will see...")</f>
        <v>They replaced my rejected car with someone elses rejected car.  Not the quality you expect to see in a nearly $80k vehicle.  Hopefully the 4 panels that need paint and the trunk and frunk can all be fixed and re-aligned we will see...</v>
      </c>
      <c r="AH1160" s="189">
        <f>IFERROR(__xludf.DUMMYFUNCTION("""COMPUTED_VALUE"""),43396.68791302083)</f>
        <v>43396.68791</v>
      </c>
    </row>
    <row r="1161">
      <c r="A1161" t="str">
        <f>IFERROR(__xludf.DUMMYFUNCTION("""COMPUTED_VALUE"""),"MSR")</f>
        <v>MSR</v>
      </c>
      <c r="B1161" t="str">
        <f>IFERROR(__xludf.DUMMYFUNCTION("""COMPUTED_VALUE"""),"Orlando")</f>
        <v>Orlando</v>
      </c>
      <c r="C1161" t="str">
        <f>IFERROR(__xludf.DUMMYFUNCTION("""COMPUTED_VALUE"""),"FL")</f>
        <v>FL</v>
      </c>
      <c r="D1161" t="str">
        <f>IFERROR(__xludf.DUMMYFUNCTION("""COMPUTED_VALUE"""),"USA")</f>
        <v>USA</v>
      </c>
      <c r="E1161" s="188">
        <f>IFERROR(__xludf.DUMMYFUNCTION("""COMPUTED_VALUE"""),43278.0)</f>
        <v>43278</v>
      </c>
      <c r="F1161" s="188">
        <f>IFERROR(__xludf.DUMMYFUNCTION("""COMPUTED_VALUE"""),43377.0)</f>
        <v>43377</v>
      </c>
      <c r="H1161">
        <f>IFERROR(__xludf.DUMMYFUNCTION("""COMPUTED_VALUE"""),93555.0)</f>
        <v>93555</v>
      </c>
      <c r="J1161" s="5">
        <f>IFERROR(__xludf.DUMMYFUNCTION("""COMPUTED_VALUE"""),43396.0)</f>
        <v>43396</v>
      </c>
      <c r="K1161">
        <f>IFERROR(__xludf.DUMMYFUNCTION("""COMPUTED_VALUE"""),99.0)</f>
        <v>99</v>
      </c>
      <c r="L1161">
        <f>IFERROR(__xludf.DUMMYFUNCTION("""COMPUTED_VALUE"""),19.0)</f>
        <v>19</v>
      </c>
      <c r="M1161">
        <f>IFERROR(__xludf.DUMMYFUNCTION("""COMPUTED_VALUE"""),118.0)</f>
        <v>118</v>
      </c>
      <c r="N1161" t="str">
        <f>IFERROR(__xludf.DUMMYFUNCTION("""COMPUTED_VALUE"""),"Model 3 LR AWD")</f>
        <v>Model 3 LR AWD</v>
      </c>
      <c r="O1161" t="str">
        <f>IFERROR(__xludf.DUMMYFUNCTION("""COMPUTED_VALUE"""),"Red Multi-Coat")</f>
        <v>Red Multi-Coat</v>
      </c>
      <c r="P1161" t="str">
        <f>IFERROR(__xludf.DUMMYFUNCTION("""COMPUTED_VALUE"""),"18 inch Aero")</f>
        <v>18 inch Aero</v>
      </c>
      <c r="Q1161" t="str">
        <f>IFERROR(__xludf.DUMMYFUNCTION("""COMPUTED_VALUE"""),"Black seats")</f>
        <v>Black seats</v>
      </c>
      <c r="R1161" t="str">
        <f>IFERROR(__xludf.DUMMYFUNCTION("""COMPUTED_VALUE"""),"Enhanced Autopilot")</f>
        <v>Enhanced Autopilot</v>
      </c>
      <c r="X1161" t="str">
        <f>IFERROR(__xludf.DUMMYFUNCTION("""COMPUTED_VALUE"""),"Very Good")</f>
        <v>Very Good</v>
      </c>
      <c r="Y1161" t="str">
        <f>IFERROR(__xludf.DUMMYFUNCTION("""COMPUTED_VALUE"""),"Very Good")</f>
        <v>Very Good</v>
      </c>
      <c r="Z1161" t="str">
        <f>IFERROR(__xludf.DUMMYFUNCTION("""COMPUTED_VALUE"""),"Fair")</f>
        <v>Fair</v>
      </c>
      <c r="AA1161" t="str">
        <f>IFERROR(__xludf.DUMMYFUNCTION("""COMPUTED_VALUE"""),"Poor")</f>
        <v>Poor</v>
      </c>
      <c r="AB1161" t="str">
        <f>IFERROR(__xludf.DUMMYFUNCTION("""COMPUTED_VALUE"""),"Fair")</f>
        <v>Fair</v>
      </c>
      <c r="AC1161">
        <f>IFERROR(__xludf.DUMMYFUNCTION("""COMPUTED_VALUE"""),3.0)</f>
        <v>3</v>
      </c>
      <c r="AH1161" s="189">
        <f>IFERROR(__xludf.DUMMYFUNCTION("""COMPUTED_VALUE"""),43396.84724206019)</f>
        <v>43396.84724</v>
      </c>
    </row>
    <row r="1162">
      <c r="A1162" t="str">
        <f>IFERROR(__xludf.DUMMYFUNCTION("""COMPUTED_VALUE"""),"krazykozak")</f>
        <v>krazykozak</v>
      </c>
      <c r="C1162" t="str">
        <f>IFERROR(__xludf.DUMMYFUNCTION("""COMPUTED_VALUE"""),"ON")</f>
        <v>ON</v>
      </c>
      <c r="D1162" t="str">
        <f>IFERROR(__xludf.DUMMYFUNCTION("""COMPUTED_VALUE"""),"Canada")</f>
        <v>Canada</v>
      </c>
      <c r="E1162" s="188">
        <f>IFERROR(__xludf.DUMMYFUNCTION("""COMPUTED_VALUE"""),43279.0)</f>
        <v>43279</v>
      </c>
      <c r="F1162" s="188">
        <f>IFERROR(__xludf.DUMMYFUNCTION("""COMPUTED_VALUE"""),43375.0)</f>
        <v>43375</v>
      </c>
      <c r="H1162">
        <f>IFERROR(__xludf.DUMMYFUNCTION("""COMPUTED_VALUE"""),110755.0)</f>
        <v>110755</v>
      </c>
      <c r="I1162" t="str">
        <f>IFERROR(__xludf.DUMMYFUNCTION("""COMPUTED_VALUE"""),"09/18")</f>
        <v>09/18</v>
      </c>
      <c r="J1162" s="5">
        <f>IFERROR(__xludf.DUMMYFUNCTION("""COMPUTED_VALUE"""),43386.0)</f>
        <v>43386</v>
      </c>
      <c r="K1162">
        <f>IFERROR(__xludf.DUMMYFUNCTION("""COMPUTED_VALUE"""),96.0)</f>
        <v>96</v>
      </c>
      <c r="L1162">
        <f>IFERROR(__xludf.DUMMYFUNCTION("""COMPUTED_VALUE"""),11.0)</f>
        <v>11</v>
      </c>
      <c r="M1162">
        <f>IFERROR(__xludf.DUMMYFUNCTION("""COMPUTED_VALUE"""),107.0)</f>
        <v>107</v>
      </c>
      <c r="N1162" t="str">
        <f>IFERROR(__xludf.DUMMYFUNCTION("""COMPUTED_VALUE"""),"Model 3 LR AWD")</f>
        <v>Model 3 LR AWD</v>
      </c>
      <c r="O1162" t="str">
        <f>IFERROR(__xludf.DUMMYFUNCTION("""COMPUTED_VALUE"""),"Red Multi-Coat")</f>
        <v>Red Multi-Coat</v>
      </c>
      <c r="P1162" t="str">
        <f>IFERROR(__xludf.DUMMYFUNCTION("""COMPUTED_VALUE"""),"18 inch Aero")</f>
        <v>18 inch Aero</v>
      </c>
      <c r="Q1162" t="str">
        <f>IFERROR(__xludf.DUMMYFUNCTION("""COMPUTED_VALUE"""),"Black seats")</f>
        <v>Black seats</v>
      </c>
      <c r="R1162" t="str">
        <f>IFERROR(__xludf.DUMMYFUNCTION("""COMPUTED_VALUE"""),"Enhanced Autopilot")</f>
        <v>Enhanced Autopilot</v>
      </c>
      <c r="X1162" t="str">
        <f>IFERROR(__xludf.DUMMYFUNCTION("""COMPUTED_VALUE"""),"Very Good")</f>
        <v>Very Good</v>
      </c>
      <c r="Y1162" t="str">
        <f>IFERROR(__xludf.DUMMYFUNCTION("""COMPUTED_VALUE"""),"Excellent")</f>
        <v>Excellent</v>
      </c>
      <c r="Z1162" t="str">
        <f>IFERROR(__xludf.DUMMYFUNCTION("""COMPUTED_VALUE"""),"Good")</f>
        <v>Good</v>
      </c>
      <c r="AA1162" t="str">
        <f>IFERROR(__xludf.DUMMYFUNCTION("""COMPUTED_VALUE"""),"Good")</f>
        <v>Good</v>
      </c>
      <c r="AB1162" t="str">
        <f>IFERROR(__xludf.DUMMYFUNCTION("""COMPUTED_VALUE"""),"Very Good")</f>
        <v>Very Good</v>
      </c>
      <c r="AC1162">
        <f>IFERROR(__xludf.DUMMYFUNCTION("""COMPUTED_VALUE"""),3.0)</f>
        <v>3</v>
      </c>
      <c r="AD1162">
        <f>IFERROR(__xludf.DUMMYFUNCTION("""COMPUTED_VALUE"""),0.0)</f>
        <v>0</v>
      </c>
      <c r="AE1162">
        <f>IFERROR(__xludf.DUMMYFUNCTION("""COMPUTED_VALUE"""),0.0)</f>
        <v>0</v>
      </c>
      <c r="AH1162" s="189">
        <f>IFERROR(__xludf.DUMMYFUNCTION("""COMPUTED_VALUE"""),43396.85003577547)</f>
        <v>43396.85004</v>
      </c>
    </row>
    <row r="1163">
      <c r="A1163" t="str">
        <f>IFERROR(__xludf.DUMMYFUNCTION("""COMPUTED_VALUE"""),"zavaboy")</f>
        <v>zavaboy</v>
      </c>
      <c r="B1163" t="str">
        <f>IFERROR(__xludf.DUMMYFUNCTION("""COMPUTED_VALUE"""),"Auburn Hills")</f>
        <v>Auburn Hills</v>
      </c>
      <c r="C1163" t="str">
        <f>IFERROR(__xludf.DUMMYFUNCTION("""COMPUTED_VALUE"""),"MI")</f>
        <v>MI</v>
      </c>
      <c r="D1163" t="str">
        <f>IFERROR(__xludf.DUMMYFUNCTION("""COMPUTED_VALUE"""),"USA")</f>
        <v>USA</v>
      </c>
      <c r="E1163" s="188">
        <f>IFERROR(__xludf.DUMMYFUNCTION("""COMPUTED_VALUE"""),43279.0)</f>
        <v>43279</v>
      </c>
      <c r="F1163" s="188">
        <f>IFERROR(__xludf.DUMMYFUNCTION("""COMPUTED_VALUE"""),43378.0)</f>
        <v>43378</v>
      </c>
      <c r="H1163">
        <f>IFERROR(__xludf.DUMMYFUNCTION("""COMPUTED_VALUE"""),93555.0)</f>
        <v>93555</v>
      </c>
      <c r="J1163" s="5">
        <f>IFERROR(__xludf.DUMMYFUNCTION("""COMPUTED_VALUE"""),43396.0)</f>
        <v>43396</v>
      </c>
      <c r="K1163">
        <f>IFERROR(__xludf.DUMMYFUNCTION("""COMPUTED_VALUE"""),99.0)</f>
        <v>99</v>
      </c>
      <c r="L1163">
        <f>IFERROR(__xludf.DUMMYFUNCTION("""COMPUTED_VALUE"""),18.0)</f>
        <v>18</v>
      </c>
      <c r="M1163">
        <f>IFERROR(__xludf.DUMMYFUNCTION("""COMPUTED_VALUE"""),117.0)</f>
        <v>117</v>
      </c>
      <c r="N1163" t="str">
        <f>IFERROR(__xludf.DUMMYFUNCTION("""COMPUTED_VALUE"""),"Model 3 LR AWD")</f>
        <v>Model 3 LR AWD</v>
      </c>
      <c r="O1163" t="str">
        <f>IFERROR(__xludf.DUMMYFUNCTION("""COMPUTED_VALUE"""),"Deep Blue Metallic")</f>
        <v>Deep Blue Metallic</v>
      </c>
      <c r="P1163" t="str">
        <f>IFERROR(__xludf.DUMMYFUNCTION("""COMPUTED_VALUE"""),"18 inch Aero")</f>
        <v>18 inch Aero</v>
      </c>
      <c r="Q1163" t="str">
        <f>IFERROR(__xludf.DUMMYFUNCTION("""COMPUTED_VALUE"""),"Black seats")</f>
        <v>Black seats</v>
      </c>
      <c r="R1163" t="str">
        <f>IFERROR(__xludf.DUMMYFUNCTION("""COMPUTED_VALUE"""),"None")</f>
        <v>None</v>
      </c>
      <c r="X1163" t="str">
        <f>IFERROR(__xludf.DUMMYFUNCTION("""COMPUTED_VALUE"""),"Good")</f>
        <v>Good</v>
      </c>
      <c r="Y1163" t="str">
        <f>IFERROR(__xludf.DUMMYFUNCTION("""COMPUTED_VALUE"""),"Very Good")</f>
        <v>Very Good</v>
      </c>
      <c r="Z1163" t="str">
        <f>IFERROR(__xludf.DUMMYFUNCTION("""COMPUTED_VALUE"""),"Excellent")</f>
        <v>Excellent</v>
      </c>
      <c r="AA1163" t="str">
        <f>IFERROR(__xludf.DUMMYFUNCTION("""COMPUTED_VALUE"""),"Good")</f>
        <v>Good</v>
      </c>
      <c r="AB1163" t="str">
        <f>IFERROR(__xludf.DUMMYFUNCTION("""COMPUTED_VALUE"""),"Good")</f>
        <v>Good</v>
      </c>
      <c r="AH1163" s="189">
        <f>IFERROR(__xludf.DUMMYFUNCTION("""COMPUTED_VALUE"""),43397.27310005787)</f>
        <v>43397.2731</v>
      </c>
    </row>
    <row r="1164">
      <c r="A1164" t="str">
        <f>IFERROR(__xludf.DUMMYFUNCTION("""COMPUTED_VALUE"""),"mtdewvirus")</f>
        <v>mtdewvirus</v>
      </c>
      <c r="B1164" t="str">
        <f>IFERROR(__xludf.DUMMYFUNCTION("""COMPUTED_VALUE"""),"Saginaw")</f>
        <v>Saginaw</v>
      </c>
      <c r="C1164" t="str">
        <f>IFERROR(__xludf.DUMMYFUNCTION("""COMPUTED_VALUE"""),"MI")</f>
        <v>MI</v>
      </c>
      <c r="D1164" t="str">
        <f>IFERROR(__xludf.DUMMYFUNCTION("""COMPUTED_VALUE"""),"USA")</f>
        <v>USA</v>
      </c>
      <c r="E1164" s="188">
        <f>IFERROR(__xludf.DUMMYFUNCTION("""COMPUTED_VALUE"""),43278.0)</f>
        <v>43278</v>
      </c>
      <c r="F1164" s="188">
        <f>IFERROR(__xludf.DUMMYFUNCTION("""COMPUTED_VALUE"""),43356.0)</f>
        <v>43356</v>
      </c>
      <c r="H1164">
        <f>IFERROR(__xludf.DUMMYFUNCTION("""COMPUTED_VALUE"""),97855.0)</f>
        <v>97855</v>
      </c>
      <c r="I1164" t="str">
        <f>IFERROR(__xludf.DUMMYFUNCTION("""COMPUTED_VALUE"""),"09/18")</f>
        <v>09/18</v>
      </c>
      <c r="J1164" s="5">
        <f>IFERROR(__xludf.DUMMYFUNCTION("""COMPUTED_VALUE"""),43396.0)</f>
        <v>43396</v>
      </c>
      <c r="K1164">
        <f>IFERROR(__xludf.DUMMYFUNCTION("""COMPUTED_VALUE"""),78.0)</f>
        <v>78</v>
      </c>
      <c r="L1164">
        <f>IFERROR(__xludf.DUMMYFUNCTION("""COMPUTED_VALUE"""),40.0)</f>
        <v>40</v>
      </c>
      <c r="M1164">
        <f>IFERROR(__xludf.DUMMYFUNCTION("""COMPUTED_VALUE"""),118.0)</f>
        <v>118</v>
      </c>
      <c r="N1164" t="str">
        <f>IFERROR(__xludf.DUMMYFUNCTION("""COMPUTED_VALUE"""),"Model 3 LR AWD")</f>
        <v>Model 3 LR AWD</v>
      </c>
      <c r="O1164" t="str">
        <f>IFERROR(__xludf.DUMMYFUNCTION("""COMPUTED_VALUE"""),"Deep Blue Metallic")</f>
        <v>Deep Blue Metallic</v>
      </c>
      <c r="P1164" t="str">
        <f>IFERROR(__xludf.DUMMYFUNCTION("""COMPUTED_VALUE"""),"19 inch Sport")</f>
        <v>19 inch Sport</v>
      </c>
      <c r="Q1164" t="str">
        <f>IFERROR(__xludf.DUMMYFUNCTION("""COMPUTED_VALUE"""),"White seats")</f>
        <v>White seats</v>
      </c>
      <c r="R1164" t="str">
        <f>IFERROR(__xludf.DUMMYFUNCTION("""COMPUTED_VALUE"""),"Enhanced Autopilot")</f>
        <v>Enhanced Autopilot</v>
      </c>
      <c r="X1164" t="str">
        <f>IFERROR(__xludf.DUMMYFUNCTION("""COMPUTED_VALUE"""),"Excellent")</f>
        <v>Excellent</v>
      </c>
      <c r="Y1164" t="str">
        <f>IFERROR(__xludf.DUMMYFUNCTION("""COMPUTED_VALUE"""),"Excellent")</f>
        <v>Excellent</v>
      </c>
      <c r="Z1164" t="str">
        <f>IFERROR(__xludf.DUMMYFUNCTION("""COMPUTED_VALUE"""),"Very Good")</f>
        <v>Very Good</v>
      </c>
      <c r="AA1164" t="str">
        <f>IFERROR(__xludf.DUMMYFUNCTION("""COMPUTED_VALUE"""),"Poor")</f>
        <v>Poor</v>
      </c>
      <c r="AB1164" t="str">
        <f>IFERROR(__xludf.DUMMYFUNCTION("""COMPUTED_VALUE"""),"Good")</f>
        <v>Good</v>
      </c>
      <c r="AH1164" s="189">
        <f>IFERROR(__xludf.DUMMYFUNCTION("""COMPUTED_VALUE"""),43397.337579178246)</f>
        <v>43397.33758</v>
      </c>
    </row>
    <row r="1165">
      <c r="A1165" t="str">
        <f>IFERROR(__xludf.DUMMYFUNCTION("""COMPUTED_VALUE"""),"BruceMA")</f>
        <v>BruceMA</v>
      </c>
      <c r="C1165" t="str">
        <f>IFERROR(__xludf.DUMMYFUNCTION("""COMPUTED_VALUE"""),"MA")</f>
        <v>MA</v>
      </c>
      <c r="D1165" t="str">
        <f>IFERROR(__xludf.DUMMYFUNCTION("""COMPUTED_VALUE"""),"USA")</f>
        <v>USA</v>
      </c>
      <c r="E1165" s="188">
        <f>IFERROR(__xludf.DUMMYFUNCTION("""COMPUTED_VALUE"""),43280.0)</f>
        <v>43280</v>
      </c>
      <c r="F1165" s="188">
        <f>IFERROR(__xludf.DUMMYFUNCTION("""COMPUTED_VALUE"""),43340.0)</f>
        <v>43340</v>
      </c>
      <c r="H1165">
        <f>IFERROR(__xludf.DUMMYFUNCTION("""COMPUTED_VALUE"""),68521.0)</f>
        <v>68521</v>
      </c>
      <c r="I1165" t="str">
        <f>IFERROR(__xludf.DUMMYFUNCTION("""COMPUTED_VALUE"""),"08/18")</f>
        <v>08/18</v>
      </c>
      <c r="J1165" s="5">
        <f>IFERROR(__xludf.DUMMYFUNCTION("""COMPUTED_VALUE"""),43365.0)</f>
        <v>43365</v>
      </c>
      <c r="K1165">
        <f>IFERROR(__xludf.DUMMYFUNCTION("""COMPUTED_VALUE"""),60.0)</f>
        <v>60</v>
      </c>
      <c r="L1165">
        <f>IFERROR(__xludf.DUMMYFUNCTION("""COMPUTED_VALUE"""),25.0)</f>
        <v>25</v>
      </c>
      <c r="M1165">
        <f>IFERROR(__xludf.DUMMYFUNCTION("""COMPUTED_VALUE"""),85.0)</f>
        <v>85</v>
      </c>
      <c r="N1165" t="str">
        <f>IFERROR(__xludf.DUMMYFUNCTION("""COMPUTED_VALUE"""),"Model 3 LR AWD")</f>
        <v>Model 3 LR AWD</v>
      </c>
      <c r="O1165" t="str">
        <f>IFERROR(__xludf.DUMMYFUNCTION("""COMPUTED_VALUE"""),"Solid Black")</f>
        <v>Solid Black</v>
      </c>
      <c r="P1165" t="str">
        <f>IFERROR(__xludf.DUMMYFUNCTION("""COMPUTED_VALUE"""),"18 inch Aero")</f>
        <v>18 inch Aero</v>
      </c>
      <c r="Q1165" t="str">
        <f>IFERROR(__xludf.DUMMYFUNCTION("""COMPUTED_VALUE"""),"Black seats")</f>
        <v>Black seats</v>
      </c>
      <c r="R1165" t="str">
        <f>IFERROR(__xludf.DUMMYFUNCTION("""COMPUTED_VALUE"""),"Enhanced Autopilot")</f>
        <v>Enhanced Autopilot</v>
      </c>
      <c r="X1165" t="str">
        <f>IFERROR(__xludf.DUMMYFUNCTION("""COMPUTED_VALUE"""),"Excellent")</f>
        <v>Excellent</v>
      </c>
      <c r="Y1165" t="str">
        <f>IFERROR(__xludf.DUMMYFUNCTION("""COMPUTED_VALUE"""),"Excellent")</f>
        <v>Excellent</v>
      </c>
      <c r="Z1165" t="str">
        <f>IFERROR(__xludf.DUMMYFUNCTION("""COMPUTED_VALUE"""),"Excellent")</f>
        <v>Excellent</v>
      </c>
      <c r="AA1165" t="str">
        <f>IFERROR(__xludf.DUMMYFUNCTION("""COMPUTED_VALUE"""),"Excellent")</f>
        <v>Excellent</v>
      </c>
      <c r="AB1165" t="str">
        <f>IFERROR(__xludf.DUMMYFUNCTION("""COMPUTED_VALUE"""),"Excellent")</f>
        <v>Excellent</v>
      </c>
      <c r="AC1165">
        <f>IFERROR(__xludf.DUMMYFUNCTION("""COMPUTED_VALUE"""),0.0)</f>
        <v>0</v>
      </c>
      <c r="AD1165">
        <f>IFERROR(__xludf.DUMMYFUNCTION("""COMPUTED_VALUE"""),0.0)</f>
        <v>0</v>
      </c>
      <c r="AE1165">
        <f>IFERROR(__xludf.DUMMYFUNCTION("""COMPUTED_VALUE"""),0.0)</f>
        <v>0</v>
      </c>
      <c r="AG1165" t="str">
        <f>IFERROR(__xludf.DUMMYFUNCTION("""COMPUTED_VALUE"""),"Great car.  only issue is that the screen has rebooted 2 times while driving in the first 30 days")</f>
        <v>Great car.  only issue is that the screen has rebooted 2 times while driving in the first 30 days</v>
      </c>
      <c r="AH1165" s="189">
        <f>IFERROR(__xludf.DUMMYFUNCTION("""COMPUTED_VALUE"""),43397.35078127315)</f>
        <v>43397.35078</v>
      </c>
    </row>
    <row r="1166">
      <c r="A1166" t="str">
        <f>IFERROR(__xludf.DUMMYFUNCTION("""COMPUTED_VALUE"""),"Ski Pow")</f>
        <v>Ski Pow</v>
      </c>
      <c r="B1166" t="str">
        <f>IFERROR(__xludf.DUMMYFUNCTION("""COMPUTED_VALUE"""),"Boise")</f>
        <v>Boise</v>
      </c>
      <c r="C1166" t="str">
        <f>IFERROR(__xludf.DUMMYFUNCTION("""COMPUTED_VALUE"""),"ID")</f>
        <v>ID</v>
      </c>
      <c r="D1166" t="str">
        <f>IFERROR(__xludf.DUMMYFUNCTION("""COMPUTED_VALUE"""),"USA")</f>
        <v>USA</v>
      </c>
      <c r="E1166" s="188">
        <f>IFERROR(__xludf.DUMMYFUNCTION("""COMPUTED_VALUE"""),43310.0)</f>
        <v>43310</v>
      </c>
      <c r="F1166" s="188">
        <f>IFERROR(__xludf.DUMMYFUNCTION("""COMPUTED_VALUE"""),43385.0)</f>
        <v>43385</v>
      </c>
      <c r="H1166">
        <f>IFERROR(__xludf.DUMMYFUNCTION("""COMPUTED_VALUE"""),94620.0)</f>
        <v>94620</v>
      </c>
      <c r="I1166" t="str">
        <f>IFERROR(__xludf.DUMMYFUNCTION("""COMPUTED_VALUE"""),"10/18")</f>
        <v>10/18</v>
      </c>
      <c r="J1166" s="5">
        <f>IFERROR(__xludf.DUMMYFUNCTION("""COMPUTED_VALUE"""),43394.0)</f>
        <v>43394</v>
      </c>
      <c r="K1166">
        <f>IFERROR(__xludf.DUMMYFUNCTION("""COMPUTED_VALUE"""),75.0)</f>
        <v>75</v>
      </c>
      <c r="L1166">
        <f>IFERROR(__xludf.DUMMYFUNCTION("""COMPUTED_VALUE"""),9.0)</f>
        <v>9</v>
      </c>
      <c r="M1166">
        <f>IFERROR(__xludf.DUMMYFUNCTION("""COMPUTED_VALUE"""),84.0)</f>
        <v>84</v>
      </c>
      <c r="N1166" t="str">
        <f>IFERROR(__xludf.DUMMYFUNCTION("""COMPUTED_VALUE"""),"Model 3 LR AWD")</f>
        <v>Model 3 LR AWD</v>
      </c>
      <c r="O1166" t="str">
        <f>IFERROR(__xludf.DUMMYFUNCTION("""COMPUTED_VALUE"""),"Deep Blue Metallic")</f>
        <v>Deep Blue Metallic</v>
      </c>
      <c r="P1166" t="str">
        <f>IFERROR(__xludf.DUMMYFUNCTION("""COMPUTED_VALUE"""),"18 inch Aero")</f>
        <v>18 inch Aero</v>
      </c>
      <c r="Q1166" t="str">
        <f>IFERROR(__xludf.DUMMYFUNCTION("""COMPUTED_VALUE"""),"Black seats")</f>
        <v>Black seats</v>
      </c>
      <c r="R1166" t="str">
        <f>IFERROR(__xludf.DUMMYFUNCTION("""COMPUTED_VALUE"""),"Enhanced Autopilot")</f>
        <v>Enhanced Autopilot</v>
      </c>
      <c r="X1166" t="str">
        <f>IFERROR(__xludf.DUMMYFUNCTION("""COMPUTED_VALUE"""),"Excellent")</f>
        <v>Excellent</v>
      </c>
      <c r="Y1166" t="str">
        <f>IFERROR(__xludf.DUMMYFUNCTION("""COMPUTED_VALUE"""),"Excellent")</f>
        <v>Excellent</v>
      </c>
      <c r="Z1166" t="str">
        <f>IFERROR(__xludf.DUMMYFUNCTION("""COMPUTED_VALUE"""),"Excellent")</f>
        <v>Excellent</v>
      </c>
      <c r="AA1166" t="str">
        <f>IFERROR(__xludf.DUMMYFUNCTION("""COMPUTED_VALUE"""),"Excellent")</f>
        <v>Excellent</v>
      </c>
      <c r="AB1166" t="str">
        <f>IFERROR(__xludf.DUMMYFUNCTION("""COMPUTED_VALUE"""),"Poor")</f>
        <v>Poor</v>
      </c>
      <c r="AC1166">
        <f>IFERROR(__xludf.DUMMYFUNCTION("""COMPUTED_VALUE"""),0.0)</f>
        <v>0</v>
      </c>
      <c r="AD1166">
        <f>IFERROR(__xludf.DUMMYFUNCTION("""COMPUTED_VALUE"""),0.0)</f>
        <v>0</v>
      </c>
      <c r="AE1166">
        <f>IFERROR(__xludf.DUMMYFUNCTION("""COMPUTED_VALUE"""),0.0)</f>
        <v>0</v>
      </c>
      <c r="AG1166" t="str">
        <f>IFERROR(__xludf.DUMMYFUNCTION("""COMPUTED_VALUE"""),"Poor communication on delivery. Car Delivered to my house, don't live near dealer")</f>
        <v>Poor communication on delivery. Car Delivered to my house, don't live near dealer</v>
      </c>
      <c r="AH1166" s="189">
        <f>IFERROR(__xludf.DUMMYFUNCTION("""COMPUTED_VALUE"""),43397.5840358912)</f>
        <v>43397.58404</v>
      </c>
    </row>
    <row r="1167">
      <c r="A1167" t="str">
        <f>IFERROR(__xludf.DUMMYFUNCTION("""COMPUTED_VALUE"""),"Nichelle")</f>
        <v>Nichelle</v>
      </c>
      <c r="B1167" t="str">
        <f>IFERROR(__xludf.DUMMYFUNCTION("""COMPUTED_VALUE"""),"Madison")</f>
        <v>Madison</v>
      </c>
      <c r="C1167" t="str">
        <f>IFERROR(__xludf.DUMMYFUNCTION("""COMPUTED_VALUE"""),"AL")</f>
        <v>AL</v>
      </c>
      <c r="D1167" t="str">
        <f>IFERROR(__xludf.DUMMYFUNCTION("""COMPUTED_VALUE"""),"USA")</f>
        <v>USA</v>
      </c>
      <c r="E1167" s="188">
        <f>IFERROR(__xludf.DUMMYFUNCTION("""COMPUTED_VALUE"""),43279.0)</f>
        <v>43279</v>
      </c>
      <c r="F1167" s="188">
        <f>IFERROR(__xludf.DUMMYFUNCTION("""COMPUTED_VALUE"""),43377.0)</f>
        <v>43377</v>
      </c>
      <c r="H1167">
        <f>IFERROR(__xludf.DUMMYFUNCTION("""COMPUTED_VALUE"""),117755.0)</f>
        <v>117755</v>
      </c>
      <c r="I1167" t="str">
        <f>IFERROR(__xludf.DUMMYFUNCTION("""COMPUTED_VALUE"""),"10/18")</f>
        <v>10/18</v>
      </c>
      <c r="J1167" s="5">
        <f>IFERROR(__xludf.DUMMYFUNCTION("""COMPUTED_VALUE"""),43391.0)</f>
        <v>43391</v>
      </c>
      <c r="K1167">
        <f>IFERROR(__xludf.DUMMYFUNCTION("""COMPUTED_VALUE"""),98.0)</f>
        <v>98</v>
      </c>
      <c r="L1167">
        <f>IFERROR(__xludf.DUMMYFUNCTION("""COMPUTED_VALUE"""),14.0)</f>
        <v>14</v>
      </c>
      <c r="M1167">
        <f>IFERROR(__xludf.DUMMYFUNCTION("""COMPUTED_VALUE"""),112.0)</f>
        <v>112</v>
      </c>
      <c r="N1167" t="str">
        <f>IFERROR(__xludf.DUMMYFUNCTION("""COMPUTED_VALUE"""),"Model 3 LR AWD")</f>
        <v>Model 3 LR AWD</v>
      </c>
      <c r="O1167" t="str">
        <f>IFERROR(__xludf.DUMMYFUNCTION("""COMPUTED_VALUE"""),"Pearl White Multi-Coat")</f>
        <v>Pearl White Multi-Coat</v>
      </c>
      <c r="P1167" t="str">
        <f>IFERROR(__xludf.DUMMYFUNCTION("""COMPUTED_VALUE"""),"19 inch Sport")</f>
        <v>19 inch Sport</v>
      </c>
      <c r="Q1167" t="str">
        <f>IFERROR(__xludf.DUMMYFUNCTION("""COMPUTED_VALUE"""),"Black seats")</f>
        <v>Black seats</v>
      </c>
      <c r="R1167" t="str">
        <f>IFERROR(__xludf.DUMMYFUNCTION("""COMPUTED_VALUE"""),"None")</f>
        <v>None</v>
      </c>
      <c r="X1167" t="str">
        <f>IFERROR(__xludf.DUMMYFUNCTION("""COMPUTED_VALUE"""),"Very Good")</f>
        <v>Very Good</v>
      </c>
      <c r="Y1167" t="str">
        <f>IFERROR(__xludf.DUMMYFUNCTION("""COMPUTED_VALUE"""),"Excellent")</f>
        <v>Excellent</v>
      </c>
      <c r="Z1167" t="str">
        <f>IFERROR(__xludf.DUMMYFUNCTION("""COMPUTED_VALUE"""),"Excellent")</f>
        <v>Excellent</v>
      </c>
      <c r="AA1167" t="str">
        <f>IFERROR(__xludf.DUMMYFUNCTION("""COMPUTED_VALUE"""),"Very Good")</f>
        <v>Very Good</v>
      </c>
      <c r="AB1167" t="str">
        <f>IFERROR(__xludf.DUMMYFUNCTION("""COMPUTED_VALUE"""),"Excellent")</f>
        <v>Excellent</v>
      </c>
      <c r="AH1167" s="189">
        <f>IFERROR(__xludf.DUMMYFUNCTION("""COMPUTED_VALUE"""),43397.62879880787)</f>
        <v>43397.6288</v>
      </c>
    </row>
    <row r="1168">
      <c r="A1168" t="str">
        <f>IFERROR(__xludf.DUMMYFUNCTION("""COMPUTED_VALUE"""),"pattymac")</f>
        <v>pattymac</v>
      </c>
      <c r="B1168" t="str">
        <f>IFERROR(__xludf.DUMMYFUNCTION("""COMPUTED_VALUE"""),"Atlanta")</f>
        <v>Atlanta</v>
      </c>
      <c r="C1168" t="str">
        <f>IFERROR(__xludf.DUMMYFUNCTION("""COMPUTED_VALUE"""),"GA")</f>
        <v>GA</v>
      </c>
      <c r="D1168" t="str">
        <f>IFERROR(__xludf.DUMMYFUNCTION("""COMPUTED_VALUE"""),"USA")</f>
        <v>USA</v>
      </c>
      <c r="E1168" s="188">
        <f>IFERROR(__xludf.DUMMYFUNCTION("""COMPUTED_VALUE"""),43279.0)</f>
        <v>43279</v>
      </c>
      <c r="F1168" s="188">
        <f>IFERROR(__xludf.DUMMYFUNCTION("""COMPUTED_VALUE"""),43391.0)</f>
        <v>43391</v>
      </c>
      <c r="H1168">
        <f>IFERROR(__xludf.DUMMYFUNCTION("""COMPUTED_VALUE"""),117855.0)</f>
        <v>117855</v>
      </c>
      <c r="J1168" s="5">
        <f>IFERROR(__xludf.DUMMYFUNCTION("""COMPUTED_VALUE"""),43397.0)</f>
        <v>43397</v>
      </c>
      <c r="K1168">
        <f>IFERROR(__xludf.DUMMYFUNCTION("""COMPUTED_VALUE"""),112.0)</f>
        <v>112</v>
      </c>
      <c r="L1168">
        <f>IFERROR(__xludf.DUMMYFUNCTION("""COMPUTED_VALUE"""),6.0)</f>
        <v>6</v>
      </c>
      <c r="M1168">
        <f>IFERROR(__xludf.DUMMYFUNCTION("""COMPUTED_VALUE"""),118.0)</f>
        <v>118</v>
      </c>
      <c r="N1168" t="str">
        <f>IFERROR(__xludf.DUMMYFUNCTION("""COMPUTED_VALUE"""),"Model 3 LR AWD")</f>
        <v>Model 3 LR AWD</v>
      </c>
      <c r="O1168" t="str">
        <f>IFERROR(__xludf.DUMMYFUNCTION("""COMPUTED_VALUE"""),"Pearl White Multi-Coat")</f>
        <v>Pearl White Multi-Coat</v>
      </c>
      <c r="P1168" t="str">
        <f>IFERROR(__xludf.DUMMYFUNCTION("""COMPUTED_VALUE"""),"19 inch Sport")</f>
        <v>19 inch Sport</v>
      </c>
      <c r="Q1168" t="str">
        <f>IFERROR(__xludf.DUMMYFUNCTION("""COMPUTED_VALUE"""),"Black seats")</f>
        <v>Black seats</v>
      </c>
      <c r="R1168" t="str">
        <f>IFERROR(__xludf.DUMMYFUNCTION("""COMPUTED_VALUE"""),"Enhanced Autopilot")</f>
        <v>Enhanced Autopilot</v>
      </c>
      <c r="X1168" t="str">
        <f>IFERROR(__xludf.DUMMYFUNCTION("""COMPUTED_VALUE"""),"Very Good")</f>
        <v>Very Good</v>
      </c>
      <c r="Y1168" t="str">
        <f>IFERROR(__xludf.DUMMYFUNCTION("""COMPUTED_VALUE"""),"Excellent")</f>
        <v>Excellent</v>
      </c>
      <c r="Z1168" t="str">
        <f>IFERROR(__xludf.DUMMYFUNCTION("""COMPUTED_VALUE"""),"Very Good")</f>
        <v>Very Good</v>
      </c>
      <c r="AA1168" t="str">
        <f>IFERROR(__xludf.DUMMYFUNCTION("""COMPUTED_VALUE"""),"Good")</f>
        <v>Good</v>
      </c>
      <c r="AB1168" t="str">
        <f>IFERROR(__xludf.DUMMYFUNCTION("""COMPUTED_VALUE"""),"Good")</f>
        <v>Good</v>
      </c>
      <c r="AG1168" t="str">
        <f>IFERROR(__xludf.DUMMYFUNCTION("""COMPUTED_VALUE"""),"Delivered with v8.1 rather than the latest version. Delivery person tried to convince me it was really v9.")</f>
        <v>Delivered with v8.1 rather than the latest version. Delivery person tried to convince me it was really v9.</v>
      </c>
      <c r="AH1168" s="189">
        <f>IFERROR(__xludf.DUMMYFUNCTION("""COMPUTED_VALUE"""),43397.654010983795)</f>
        <v>43397.65401</v>
      </c>
    </row>
    <row r="1169">
      <c r="A1169" t="str">
        <f>IFERROR(__xludf.DUMMYFUNCTION("""COMPUTED_VALUE"""),"Long Ranger")</f>
        <v>Long Ranger</v>
      </c>
      <c r="B1169" t="str">
        <f>IFERROR(__xludf.DUMMYFUNCTION("""COMPUTED_VALUE"""),"Seattle")</f>
        <v>Seattle</v>
      </c>
      <c r="C1169" t="str">
        <f>IFERROR(__xludf.DUMMYFUNCTION("""COMPUTED_VALUE"""),"WA")</f>
        <v>WA</v>
      </c>
      <c r="D1169" t="str">
        <f>IFERROR(__xludf.DUMMYFUNCTION("""COMPUTED_VALUE"""),"USA")</f>
        <v>USA</v>
      </c>
      <c r="E1169" s="188">
        <f>IFERROR(__xludf.DUMMYFUNCTION("""COMPUTED_VALUE"""),43277.0)</f>
        <v>43277</v>
      </c>
      <c r="H1169">
        <f>IFERROR(__xludf.DUMMYFUNCTION("""COMPUTED_VALUE"""),73555.0)</f>
        <v>73555</v>
      </c>
      <c r="I1169" t="str">
        <f>IFERROR(__xludf.DUMMYFUNCTION("""COMPUTED_VALUE"""),"09/18")</f>
        <v>09/18</v>
      </c>
      <c r="J1169" s="5">
        <f>IFERROR(__xludf.DUMMYFUNCTION("""COMPUTED_VALUE"""),43385.0)</f>
        <v>43385</v>
      </c>
      <c r="M1169">
        <f>IFERROR(__xludf.DUMMYFUNCTION("""COMPUTED_VALUE"""),108.0)</f>
        <v>108</v>
      </c>
      <c r="N1169" t="str">
        <f>IFERROR(__xludf.DUMMYFUNCTION("""COMPUTED_VALUE"""),"Model 3 LR AWD")</f>
        <v>Model 3 LR AWD</v>
      </c>
      <c r="O1169" t="str">
        <f>IFERROR(__xludf.DUMMYFUNCTION("""COMPUTED_VALUE"""),"Deep Blue Metallic")</f>
        <v>Deep Blue Metallic</v>
      </c>
      <c r="P1169" t="str">
        <f>IFERROR(__xludf.DUMMYFUNCTION("""COMPUTED_VALUE"""),"18 inch Aero")</f>
        <v>18 inch Aero</v>
      </c>
      <c r="Q1169" t="str">
        <f>IFERROR(__xludf.DUMMYFUNCTION("""COMPUTED_VALUE"""),"Black seats")</f>
        <v>Black seats</v>
      </c>
      <c r="R1169" t="str">
        <f>IFERROR(__xludf.DUMMYFUNCTION("""COMPUTED_VALUE"""),"Full Self-Driving")</f>
        <v>Full Self-Driving</v>
      </c>
      <c r="X1169" t="str">
        <f>IFERROR(__xludf.DUMMYFUNCTION("""COMPUTED_VALUE"""),"Very Good")</f>
        <v>Very Good</v>
      </c>
      <c r="Y1169" t="str">
        <f>IFERROR(__xludf.DUMMYFUNCTION("""COMPUTED_VALUE"""),"Excellent")</f>
        <v>Excellent</v>
      </c>
      <c r="Z1169" t="str">
        <f>IFERROR(__xludf.DUMMYFUNCTION("""COMPUTED_VALUE"""),"Good")</f>
        <v>Good</v>
      </c>
      <c r="AA1169" t="str">
        <f>IFERROR(__xludf.DUMMYFUNCTION("""COMPUTED_VALUE"""),"Poor")</f>
        <v>Poor</v>
      </c>
      <c r="AB1169" t="str">
        <f>IFERROR(__xludf.DUMMYFUNCTION("""COMPUTED_VALUE"""),"Poor")</f>
        <v>Poor</v>
      </c>
      <c r="AC1169">
        <f>IFERROR(__xludf.DUMMYFUNCTION("""COMPUTED_VALUE"""),4.0)</f>
        <v>4</v>
      </c>
      <c r="AD1169">
        <f>IFERROR(__xludf.DUMMYFUNCTION("""COMPUTED_VALUE"""),1.0)</f>
        <v>1</v>
      </c>
      <c r="AG1169" t="str">
        <f>IFERROR(__xludf.DUMMYFUNCTION("""COMPUTED_VALUE"""),"Intentionally delayed delivery from Aug to Oct")</f>
        <v>Intentionally delayed delivery from Aug to Oct</v>
      </c>
      <c r="AH1169" s="189">
        <f>IFERROR(__xludf.DUMMYFUNCTION("""COMPUTED_VALUE"""),43397.88671341435)</f>
        <v>43397.88671</v>
      </c>
    </row>
    <row r="1170">
      <c r="A1170" t="str">
        <f>IFERROR(__xludf.DUMMYFUNCTION("""COMPUTED_VALUE"""),"Mue4")</f>
        <v>Mue4</v>
      </c>
      <c r="B1170" t="str">
        <f>IFERROR(__xludf.DUMMYFUNCTION("""COMPUTED_VALUE"""),"Minneapolis")</f>
        <v>Minneapolis</v>
      </c>
      <c r="C1170" t="str">
        <f>IFERROR(__xludf.DUMMYFUNCTION("""COMPUTED_VALUE"""),"MN")</f>
        <v>MN</v>
      </c>
      <c r="D1170" t="str">
        <f>IFERROR(__xludf.DUMMYFUNCTION("""COMPUTED_VALUE"""),"USA")</f>
        <v>USA</v>
      </c>
      <c r="E1170" s="188">
        <f>IFERROR(__xludf.DUMMYFUNCTION("""COMPUTED_VALUE"""),43314.0)</f>
        <v>43314</v>
      </c>
      <c r="F1170" s="188">
        <f>IFERROR(__xludf.DUMMYFUNCTION("""COMPUTED_VALUE"""),43377.0)</f>
        <v>43377</v>
      </c>
      <c r="H1170">
        <f>IFERROR(__xludf.DUMMYFUNCTION("""COMPUTED_VALUE"""),71729.0)</f>
        <v>71729</v>
      </c>
      <c r="J1170" s="5">
        <f>IFERROR(__xludf.DUMMYFUNCTION("""COMPUTED_VALUE"""),43391.0)</f>
        <v>43391</v>
      </c>
      <c r="K1170">
        <f>IFERROR(__xludf.DUMMYFUNCTION("""COMPUTED_VALUE"""),63.0)</f>
        <v>63</v>
      </c>
      <c r="L1170">
        <f>IFERROR(__xludf.DUMMYFUNCTION("""COMPUTED_VALUE"""),14.0)</f>
        <v>14</v>
      </c>
      <c r="M1170">
        <f>IFERROR(__xludf.DUMMYFUNCTION("""COMPUTED_VALUE"""),77.0)</f>
        <v>77</v>
      </c>
      <c r="N1170" t="str">
        <f>IFERROR(__xludf.DUMMYFUNCTION("""COMPUTED_VALUE"""),"Model 3 LR AWD")</f>
        <v>Model 3 LR AWD</v>
      </c>
      <c r="O1170" t="str">
        <f>IFERROR(__xludf.DUMMYFUNCTION("""COMPUTED_VALUE"""),"Obsidian Black Metallic")</f>
        <v>Obsidian Black Metallic</v>
      </c>
      <c r="P1170" t="str">
        <f>IFERROR(__xludf.DUMMYFUNCTION("""COMPUTED_VALUE"""),"19 inch Sport")</f>
        <v>19 inch Sport</v>
      </c>
      <c r="Q1170" t="str">
        <f>IFERROR(__xludf.DUMMYFUNCTION("""COMPUTED_VALUE"""),"Black seats")</f>
        <v>Black seats</v>
      </c>
      <c r="R1170" t="str">
        <f>IFERROR(__xludf.DUMMYFUNCTION("""COMPUTED_VALUE"""),"None")</f>
        <v>None</v>
      </c>
      <c r="X1170" t="str">
        <f>IFERROR(__xludf.DUMMYFUNCTION("""COMPUTED_VALUE"""),"Excellent")</f>
        <v>Excellent</v>
      </c>
      <c r="Y1170" t="str">
        <f>IFERROR(__xludf.DUMMYFUNCTION("""COMPUTED_VALUE"""),"Excellent")</f>
        <v>Excellent</v>
      </c>
      <c r="Z1170" t="str">
        <f>IFERROR(__xludf.DUMMYFUNCTION("""COMPUTED_VALUE"""),"Very Good")</f>
        <v>Very Good</v>
      </c>
      <c r="AA1170" t="str">
        <f>IFERROR(__xludf.DUMMYFUNCTION("""COMPUTED_VALUE"""),"Good")</f>
        <v>Good</v>
      </c>
      <c r="AB1170" t="str">
        <f>IFERROR(__xludf.DUMMYFUNCTION("""COMPUTED_VALUE"""),"Very Good")</f>
        <v>Very Good</v>
      </c>
      <c r="AC1170">
        <f>IFERROR(__xludf.DUMMYFUNCTION("""COMPUTED_VALUE"""),3.0)</f>
        <v>3</v>
      </c>
      <c r="AH1170" s="189">
        <f>IFERROR(__xludf.DUMMYFUNCTION("""COMPUTED_VALUE"""),43398.30713165509)</f>
        <v>43398.30713</v>
      </c>
    </row>
    <row r="1171">
      <c r="A1171" t="str">
        <f>IFERROR(__xludf.DUMMYFUNCTION("""COMPUTED_VALUE"""),"bmfm124")</f>
        <v>bmfm124</v>
      </c>
      <c r="B1171" t="str">
        <f>IFERROR(__xludf.DUMMYFUNCTION("""COMPUTED_VALUE"""),"Los Angeles")</f>
        <v>Los Angeles</v>
      </c>
      <c r="C1171" t="str">
        <f>IFERROR(__xludf.DUMMYFUNCTION("""COMPUTED_VALUE"""),"CA")</f>
        <v>CA</v>
      </c>
      <c r="D1171" t="str">
        <f>IFERROR(__xludf.DUMMYFUNCTION("""COMPUTED_VALUE"""),"USA")</f>
        <v>USA</v>
      </c>
      <c r="E1171" s="188">
        <f>IFERROR(__xludf.DUMMYFUNCTION("""COMPUTED_VALUE"""),43279.0)</f>
        <v>43279</v>
      </c>
      <c r="F1171" s="188">
        <f>IFERROR(__xludf.DUMMYFUNCTION("""COMPUTED_VALUE"""),43350.0)</f>
        <v>43350</v>
      </c>
      <c r="H1171">
        <f>IFERROR(__xludf.DUMMYFUNCTION("""COMPUTED_VALUE"""),53912.0)</f>
        <v>53912</v>
      </c>
      <c r="I1171" t="str">
        <f>IFERROR(__xludf.DUMMYFUNCTION("""COMPUTED_VALUE"""),"07/18")</f>
        <v>07/18</v>
      </c>
      <c r="J1171" s="5">
        <f>IFERROR(__xludf.DUMMYFUNCTION("""COMPUTED_VALUE"""),43356.0)</f>
        <v>43356</v>
      </c>
      <c r="K1171">
        <f>IFERROR(__xludf.DUMMYFUNCTION("""COMPUTED_VALUE"""),71.0)</f>
        <v>71</v>
      </c>
      <c r="L1171">
        <f>IFERROR(__xludf.DUMMYFUNCTION("""COMPUTED_VALUE"""),6.0)</f>
        <v>6</v>
      </c>
      <c r="M1171">
        <f>IFERROR(__xludf.DUMMYFUNCTION("""COMPUTED_VALUE"""),77.0)</f>
        <v>77</v>
      </c>
      <c r="N1171" t="str">
        <f>IFERROR(__xludf.DUMMYFUNCTION("""COMPUTED_VALUE"""),"Model 3 LR")</f>
        <v>Model 3 LR</v>
      </c>
      <c r="O1171" t="str">
        <f>IFERROR(__xludf.DUMMYFUNCTION("""COMPUTED_VALUE"""),"Deep Blue Metallic")</f>
        <v>Deep Blue Metallic</v>
      </c>
      <c r="P1171" t="str">
        <f>IFERROR(__xludf.DUMMYFUNCTION("""COMPUTED_VALUE"""),"18 inch Aero")</f>
        <v>18 inch Aero</v>
      </c>
      <c r="Q1171" t="str">
        <f>IFERROR(__xludf.DUMMYFUNCTION("""COMPUTED_VALUE"""),"Black seats")</f>
        <v>Black seats</v>
      </c>
      <c r="R1171" t="str">
        <f>IFERROR(__xludf.DUMMYFUNCTION("""COMPUTED_VALUE"""),"Enhanced Autopilot")</f>
        <v>Enhanced Autopilot</v>
      </c>
      <c r="X1171" t="str">
        <f>IFERROR(__xludf.DUMMYFUNCTION("""COMPUTED_VALUE"""),"Very Good")</f>
        <v>Very Good</v>
      </c>
      <c r="Y1171" t="str">
        <f>IFERROR(__xludf.DUMMYFUNCTION("""COMPUTED_VALUE"""),"Excellent")</f>
        <v>Excellent</v>
      </c>
      <c r="Z1171" t="str">
        <f>IFERROR(__xludf.DUMMYFUNCTION("""COMPUTED_VALUE"""),"Excellent")</f>
        <v>Excellent</v>
      </c>
      <c r="AA1171" t="str">
        <f>IFERROR(__xludf.DUMMYFUNCTION("""COMPUTED_VALUE"""),"Good")</f>
        <v>Good</v>
      </c>
      <c r="AB1171" t="str">
        <f>IFERROR(__xludf.DUMMYFUNCTION("""COMPUTED_VALUE"""),"Excellent")</f>
        <v>Excellent</v>
      </c>
      <c r="AC1171">
        <f>IFERROR(__xludf.DUMMYFUNCTION("""COMPUTED_VALUE"""),1.0)</f>
        <v>1</v>
      </c>
      <c r="AD1171">
        <f>IFERROR(__xludf.DUMMYFUNCTION("""COMPUTED_VALUE"""),0.0)</f>
        <v>0</v>
      </c>
      <c r="AE1171">
        <f>IFERROR(__xludf.DUMMYFUNCTION("""COMPUTED_VALUE"""),0.0)</f>
        <v>0</v>
      </c>
      <c r="AG1171" t="str">
        <f>IFERROR(__xludf.DUMMYFUNCTION("""COMPUTED_VALUE"""),"Panel on front driver's side wheel well is slightly misaligned. Have not yet taken it in to get fixed.")</f>
        <v>Panel on front driver's side wheel well is slightly misaligned. Have not yet taken it in to get fixed.</v>
      </c>
      <c r="AH1171" s="189">
        <f>IFERROR(__xludf.DUMMYFUNCTION("""COMPUTED_VALUE"""),43398.57093773148)</f>
        <v>43398.57094</v>
      </c>
    </row>
    <row r="1172">
      <c r="A1172" t="str">
        <f>IFERROR(__xludf.DUMMYFUNCTION("""COMPUTED_VALUE"""),"seratonik")</f>
        <v>seratonik</v>
      </c>
      <c r="B1172" t="str">
        <f>IFERROR(__xludf.DUMMYFUNCTION("""COMPUTED_VALUE"""),"Kelowna")</f>
        <v>Kelowna</v>
      </c>
      <c r="C1172" t="str">
        <f>IFERROR(__xludf.DUMMYFUNCTION("""COMPUTED_VALUE"""),"BC")</f>
        <v>BC</v>
      </c>
      <c r="D1172" t="str">
        <f>IFERROR(__xludf.DUMMYFUNCTION("""COMPUTED_VALUE"""),"Canada")</f>
        <v>Canada</v>
      </c>
      <c r="E1172" s="188">
        <f>IFERROR(__xludf.DUMMYFUNCTION("""COMPUTED_VALUE"""),43281.0)</f>
        <v>43281</v>
      </c>
      <c r="F1172" s="188">
        <f>IFERROR(__xludf.DUMMYFUNCTION("""COMPUTED_VALUE"""),43360.0)</f>
        <v>43360</v>
      </c>
      <c r="H1172">
        <f>IFERROR(__xludf.DUMMYFUNCTION("""COMPUTED_VALUE"""),110885.0)</f>
        <v>110885</v>
      </c>
      <c r="I1172" t="str">
        <f>IFERROR(__xludf.DUMMYFUNCTION("""COMPUTED_VALUE"""),"09/18")</f>
        <v>09/18</v>
      </c>
      <c r="J1172" s="5">
        <f>IFERROR(__xludf.DUMMYFUNCTION("""COMPUTED_VALUE"""),43368.0)</f>
        <v>43368</v>
      </c>
      <c r="K1172">
        <f>IFERROR(__xludf.DUMMYFUNCTION("""COMPUTED_VALUE"""),79.0)</f>
        <v>79</v>
      </c>
      <c r="L1172">
        <f>IFERROR(__xludf.DUMMYFUNCTION("""COMPUTED_VALUE"""),8.0)</f>
        <v>8</v>
      </c>
      <c r="M1172">
        <f>IFERROR(__xludf.DUMMYFUNCTION("""COMPUTED_VALUE"""),87.0)</f>
        <v>87</v>
      </c>
      <c r="N1172" t="str">
        <f>IFERROR(__xludf.DUMMYFUNCTION("""COMPUTED_VALUE"""),"Model 3 LR AWD")</f>
        <v>Model 3 LR AWD</v>
      </c>
      <c r="O1172" t="str">
        <f>IFERROR(__xludf.DUMMYFUNCTION("""COMPUTED_VALUE"""),"Midnight Silver Metallic")</f>
        <v>Midnight Silver Metallic</v>
      </c>
      <c r="P1172" t="str">
        <f>IFERROR(__xludf.DUMMYFUNCTION("""COMPUTED_VALUE"""),"19 inch Sport")</f>
        <v>19 inch Sport</v>
      </c>
      <c r="Q1172" t="str">
        <f>IFERROR(__xludf.DUMMYFUNCTION("""COMPUTED_VALUE"""),"Black seats")</f>
        <v>Black seats</v>
      </c>
      <c r="R1172" t="str">
        <f>IFERROR(__xludf.DUMMYFUNCTION("""COMPUTED_VALUE"""),"None")</f>
        <v>None</v>
      </c>
      <c r="X1172" t="str">
        <f>IFERROR(__xludf.DUMMYFUNCTION("""COMPUTED_VALUE"""),"Excellent")</f>
        <v>Excellent</v>
      </c>
      <c r="Y1172" t="str">
        <f>IFERROR(__xludf.DUMMYFUNCTION("""COMPUTED_VALUE"""),"Very Good")</f>
        <v>Very Good</v>
      </c>
      <c r="Z1172" t="str">
        <f>IFERROR(__xludf.DUMMYFUNCTION("""COMPUTED_VALUE"""),"Very Good")</f>
        <v>Very Good</v>
      </c>
      <c r="AA1172" t="str">
        <f>IFERROR(__xludf.DUMMYFUNCTION("""COMPUTED_VALUE"""),"Fair")</f>
        <v>Fair</v>
      </c>
      <c r="AB1172" t="str">
        <f>IFERROR(__xludf.DUMMYFUNCTION("""COMPUTED_VALUE"""),"Excellent")</f>
        <v>Excellent</v>
      </c>
      <c r="AC1172">
        <f>IFERROR(__xludf.DUMMYFUNCTION("""COMPUTED_VALUE"""),1.0)</f>
        <v>1</v>
      </c>
      <c r="AD1172">
        <f>IFERROR(__xludf.DUMMYFUNCTION("""COMPUTED_VALUE"""),0.0)</f>
        <v>0</v>
      </c>
      <c r="AE1172">
        <f>IFERROR(__xludf.DUMMYFUNCTION("""COMPUTED_VALUE"""),0.0)</f>
        <v>0</v>
      </c>
      <c r="AH1172" s="189">
        <f>IFERROR(__xludf.DUMMYFUNCTION("""COMPUTED_VALUE"""),43398.65234299768)</f>
        <v>43398.65234</v>
      </c>
    </row>
    <row r="1173">
      <c r="A1173" t="str">
        <f>IFERROR(__xludf.DUMMYFUNCTION("""COMPUTED_VALUE"""),"jab1343")</f>
        <v>jab1343</v>
      </c>
      <c r="B1173" t="str">
        <f>IFERROR(__xludf.DUMMYFUNCTION("""COMPUTED_VALUE"""),"SLC")</f>
        <v>SLC</v>
      </c>
      <c r="C1173" t="str">
        <f>IFERROR(__xludf.DUMMYFUNCTION("""COMPUTED_VALUE"""),"UT")</f>
        <v>UT</v>
      </c>
      <c r="D1173" t="str">
        <f>IFERROR(__xludf.DUMMYFUNCTION("""COMPUTED_VALUE"""),"USA")</f>
        <v>USA</v>
      </c>
      <c r="E1173" s="188">
        <f>IFERROR(__xludf.DUMMYFUNCTION("""COMPUTED_VALUE"""),43279.0)</f>
        <v>43279</v>
      </c>
      <c r="F1173" s="188">
        <f>IFERROR(__xludf.DUMMYFUNCTION("""COMPUTED_VALUE"""),43362.0)</f>
        <v>43362</v>
      </c>
      <c r="H1173">
        <f>IFERROR(__xludf.DUMMYFUNCTION("""COMPUTED_VALUE"""),86955.0)</f>
        <v>86955</v>
      </c>
      <c r="I1173" t="str">
        <f>IFERROR(__xludf.DUMMYFUNCTION("""COMPUTED_VALUE"""),"09/18")</f>
        <v>09/18</v>
      </c>
      <c r="J1173" s="5">
        <f>IFERROR(__xludf.DUMMYFUNCTION("""COMPUTED_VALUE"""),43368.0)</f>
        <v>43368</v>
      </c>
      <c r="K1173">
        <f>IFERROR(__xludf.DUMMYFUNCTION("""COMPUTED_VALUE"""),83.0)</f>
        <v>83</v>
      </c>
      <c r="L1173">
        <f>IFERROR(__xludf.DUMMYFUNCTION("""COMPUTED_VALUE"""),6.0)</f>
        <v>6</v>
      </c>
      <c r="M1173">
        <f>IFERROR(__xludf.DUMMYFUNCTION("""COMPUTED_VALUE"""),89.0)</f>
        <v>89</v>
      </c>
      <c r="N1173" t="str">
        <f>IFERROR(__xludf.DUMMYFUNCTION("""COMPUTED_VALUE"""),"Model 3 LR AWD")</f>
        <v>Model 3 LR AWD</v>
      </c>
      <c r="O1173" t="str">
        <f>IFERROR(__xludf.DUMMYFUNCTION("""COMPUTED_VALUE"""),"Midnight Silver Metallic")</f>
        <v>Midnight Silver Metallic</v>
      </c>
      <c r="P1173" t="str">
        <f>IFERROR(__xludf.DUMMYFUNCTION("""COMPUTED_VALUE"""),"19 inch Sport")</f>
        <v>19 inch Sport</v>
      </c>
      <c r="Q1173" t="str">
        <f>IFERROR(__xludf.DUMMYFUNCTION("""COMPUTED_VALUE"""),"Black seats")</f>
        <v>Black seats</v>
      </c>
      <c r="R1173" t="str">
        <f>IFERROR(__xludf.DUMMYFUNCTION("""COMPUTED_VALUE"""),"Enhanced Autopilot")</f>
        <v>Enhanced Autopilot</v>
      </c>
      <c r="X1173" t="str">
        <f>IFERROR(__xludf.DUMMYFUNCTION("""COMPUTED_VALUE"""),"Excellent")</f>
        <v>Excellent</v>
      </c>
      <c r="Y1173" t="str">
        <f>IFERROR(__xludf.DUMMYFUNCTION("""COMPUTED_VALUE"""),"Excellent")</f>
        <v>Excellent</v>
      </c>
      <c r="Z1173" t="str">
        <f>IFERROR(__xludf.DUMMYFUNCTION("""COMPUTED_VALUE"""),"Excellent")</f>
        <v>Excellent</v>
      </c>
      <c r="AA1173" t="str">
        <f>IFERROR(__xludf.DUMMYFUNCTION("""COMPUTED_VALUE"""),"Good")</f>
        <v>Good</v>
      </c>
      <c r="AB1173" t="str">
        <f>IFERROR(__xludf.DUMMYFUNCTION("""COMPUTED_VALUE"""),"Excellent")</f>
        <v>Excellent</v>
      </c>
      <c r="AC1173">
        <f>IFERROR(__xludf.DUMMYFUNCTION("""COMPUTED_VALUE"""),0.0)</f>
        <v>0</v>
      </c>
      <c r="AD1173">
        <f>IFERROR(__xludf.DUMMYFUNCTION("""COMPUTED_VALUE"""),0.0)</f>
        <v>0</v>
      </c>
      <c r="AE1173">
        <f>IFERROR(__xludf.DUMMYFUNCTION("""COMPUTED_VALUE"""),0.0)</f>
        <v>0</v>
      </c>
      <c r="AH1173" s="189">
        <f>IFERROR(__xludf.DUMMYFUNCTION("""COMPUTED_VALUE"""),43398.740663819444)</f>
        <v>43398.74066</v>
      </c>
    </row>
    <row r="1174">
      <c r="A1174" t="str">
        <f>IFERROR(__xludf.DUMMYFUNCTION("""COMPUTED_VALUE"""),"bobalou25")</f>
        <v>bobalou25</v>
      </c>
      <c r="B1174" t="str">
        <f>IFERROR(__xludf.DUMMYFUNCTION("""COMPUTED_VALUE"""),"Clay")</f>
        <v>Clay</v>
      </c>
      <c r="C1174" t="str">
        <f>IFERROR(__xludf.DUMMYFUNCTION("""COMPUTED_VALUE"""),"NY")</f>
        <v>NY</v>
      </c>
      <c r="D1174" t="str">
        <f>IFERROR(__xludf.DUMMYFUNCTION("""COMPUTED_VALUE"""),"USA")</f>
        <v>USA</v>
      </c>
      <c r="E1174" s="188">
        <f>IFERROR(__xludf.DUMMYFUNCTION("""COMPUTED_VALUE"""),43304.0)</f>
        <v>43304</v>
      </c>
      <c r="F1174" s="188">
        <f>IFERROR(__xludf.DUMMYFUNCTION("""COMPUTED_VALUE"""),43390.0)</f>
        <v>43390</v>
      </c>
      <c r="H1174">
        <f>IFERROR(__xludf.DUMMYFUNCTION("""COMPUTED_VALUE"""),117195.0)</f>
        <v>117195</v>
      </c>
      <c r="I1174" t="str">
        <f>IFERROR(__xludf.DUMMYFUNCTION("""COMPUTED_VALUE"""),"10/18")</f>
        <v>10/18</v>
      </c>
      <c r="J1174" s="5">
        <f>IFERROR(__xludf.DUMMYFUNCTION("""COMPUTED_VALUE"""),43393.0)</f>
        <v>43393</v>
      </c>
      <c r="K1174">
        <f>IFERROR(__xludf.DUMMYFUNCTION("""COMPUTED_VALUE"""),86.0)</f>
        <v>86</v>
      </c>
      <c r="L1174">
        <f>IFERROR(__xludf.DUMMYFUNCTION("""COMPUTED_VALUE"""),3.0)</f>
        <v>3</v>
      </c>
      <c r="M1174">
        <f>IFERROR(__xludf.DUMMYFUNCTION("""COMPUTED_VALUE"""),89.0)</f>
        <v>89</v>
      </c>
      <c r="N1174" t="str">
        <f>IFERROR(__xludf.DUMMYFUNCTION("""COMPUTED_VALUE"""),"Model 3 LR AWD")</f>
        <v>Model 3 LR AWD</v>
      </c>
      <c r="O1174" t="str">
        <f>IFERROR(__xludf.DUMMYFUNCTION("""COMPUTED_VALUE"""),"Red Multi-Coat")</f>
        <v>Red Multi-Coat</v>
      </c>
      <c r="P1174" t="str">
        <f>IFERROR(__xludf.DUMMYFUNCTION("""COMPUTED_VALUE"""),"19 inch Sport")</f>
        <v>19 inch Sport</v>
      </c>
      <c r="Q1174" t="str">
        <f>IFERROR(__xludf.DUMMYFUNCTION("""COMPUTED_VALUE"""),"Black seats")</f>
        <v>Black seats</v>
      </c>
      <c r="R1174" t="str">
        <f>IFERROR(__xludf.DUMMYFUNCTION("""COMPUTED_VALUE"""),"Enhanced Autopilot")</f>
        <v>Enhanced Autopilot</v>
      </c>
      <c r="X1174" t="str">
        <f>IFERROR(__xludf.DUMMYFUNCTION("""COMPUTED_VALUE"""),"Excellent")</f>
        <v>Excellent</v>
      </c>
      <c r="Y1174" t="str">
        <f>IFERROR(__xludf.DUMMYFUNCTION("""COMPUTED_VALUE"""),"Excellent")</f>
        <v>Excellent</v>
      </c>
      <c r="Z1174" t="str">
        <f>IFERROR(__xludf.DUMMYFUNCTION("""COMPUTED_VALUE"""),"Excellent")</f>
        <v>Excellent</v>
      </c>
      <c r="AA1174" t="str">
        <f>IFERROR(__xludf.DUMMYFUNCTION("""COMPUTED_VALUE"""),"Good")</f>
        <v>Good</v>
      </c>
      <c r="AB1174" t="str">
        <f>IFERROR(__xludf.DUMMYFUNCTION("""COMPUTED_VALUE"""),"Very Good")</f>
        <v>Very Good</v>
      </c>
      <c r="AH1174" s="189">
        <f>IFERROR(__xludf.DUMMYFUNCTION("""COMPUTED_VALUE"""),43398.743471388894)</f>
        <v>43398.74347</v>
      </c>
    </row>
    <row r="1175">
      <c r="A1175" t="str">
        <f>IFERROR(__xludf.DUMMYFUNCTION("""COMPUTED_VALUE"""),"Spitfire")</f>
        <v>Spitfire</v>
      </c>
      <c r="B1175" t="str">
        <f>IFERROR(__xludf.DUMMYFUNCTION("""COMPUTED_VALUE"""),"Ontario")</f>
        <v>Ontario</v>
      </c>
      <c r="C1175" t="str">
        <f>IFERROR(__xludf.DUMMYFUNCTION("""COMPUTED_VALUE"""),"ON")</f>
        <v>ON</v>
      </c>
      <c r="D1175" t="str">
        <f>IFERROR(__xludf.DUMMYFUNCTION("""COMPUTED_VALUE"""),"Canada")</f>
        <v>Canada</v>
      </c>
      <c r="E1175" s="188">
        <f>IFERROR(__xludf.DUMMYFUNCTION("""COMPUTED_VALUE"""),43278.0)</f>
        <v>43278</v>
      </c>
      <c r="F1175" s="188">
        <f>IFERROR(__xludf.DUMMYFUNCTION("""COMPUTED_VALUE"""),43350.0)</f>
        <v>43350</v>
      </c>
      <c r="H1175">
        <f>IFERROR(__xludf.DUMMYFUNCTION("""COMPUTED_VALUE"""),109840.0)</f>
        <v>109840</v>
      </c>
      <c r="J1175" s="5">
        <f>IFERROR(__xludf.DUMMYFUNCTION("""COMPUTED_VALUE"""),43371.0)</f>
        <v>43371</v>
      </c>
      <c r="K1175">
        <f>IFERROR(__xludf.DUMMYFUNCTION("""COMPUTED_VALUE"""),72.0)</f>
        <v>72</v>
      </c>
      <c r="L1175">
        <f>IFERROR(__xludf.DUMMYFUNCTION("""COMPUTED_VALUE"""),21.0)</f>
        <v>21</v>
      </c>
      <c r="M1175">
        <f>IFERROR(__xludf.DUMMYFUNCTION("""COMPUTED_VALUE"""),93.0)</f>
        <v>93</v>
      </c>
      <c r="N1175" t="str">
        <f>IFERROR(__xludf.DUMMYFUNCTION("""COMPUTED_VALUE"""),"Model 3 LR AWD")</f>
        <v>Model 3 LR AWD</v>
      </c>
      <c r="O1175" t="str">
        <f>IFERROR(__xludf.DUMMYFUNCTION("""COMPUTED_VALUE"""),"Red Multi-Coat")</f>
        <v>Red Multi-Coat</v>
      </c>
      <c r="P1175" t="str">
        <f>IFERROR(__xludf.DUMMYFUNCTION("""COMPUTED_VALUE"""),"19 inch Sport")</f>
        <v>19 inch Sport</v>
      </c>
      <c r="Q1175" t="str">
        <f>IFERROR(__xludf.DUMMYFUNCTION("""COMPUTED_VALUE"""),"Black seats")</f>
        <v>Black seats</v>
      </c>
      <c r="R1175" t="str">
        <f>IFERROR(__xludf.DUMMYFUNCTION("""COMPUTED_VALUE"""),"Enhanced Autopilot")</f>
        <v>Enhanced Autopilot</v>
      </c>
      <c r="X1175" t="str">
        <f>IFERROR(__xludf.DUMMYFUNCTION("""COMPUTED_VALUE"""),"Excellent")</f>
        <v>Excellent</v>
      </c>
      <c r="Y1175" t="str">
        <f>IFERROR(__xludf.DUMMYFUNCTION("""COMPUTED_VALUE"""),"Excellent")</f>
        <v>Excellent</v>
      </c>
      <c r="Z1175" t="str">
        <f>IFERROR(__xludf.DUMMYFUNCTION("""COMPUTED_VALUE"""),"Excellent")</f>
        <v>Excellent</v>
      </c>
      <c r="AA1175" t="str">
        <f>IFERROR(__xludf.DUMMYFUNCTION("""COMPUTED_VALUE"""),"Good")</f>
        <v>Good</v>
      </c>
      <c r="AB1175" t="str">
        <f>IFERROR(__xludf.DUMMYFUNCTION("""COMPUTED_VALUE"""),"Excellent")</f>
        <v>Excellent</v>
      </c>
      <c r="AC1175">
        <f>IFERROR(__xludf.DUMMYFUNCTION("""COMPUTED_VALUE"""),0.0)</f>
        <v>0</v>
      </c>
      <c r="AD1175">
        <f>IFERROR(__xludf.DUMMYFUNCTION("""COMPUTED_VALUE"""),0.0)</f>
        <v>0</v>
      </c>
      <c r="AE1175">
        <f>IFERROR(__xludf.DUMMYFUNCTION("""COMPUTED_VALUE"""),0.0)</f>
        <v>0</v>
      </c>
      <c r="AG1175" t="str">
        <f>IFERROR(__xludf.DUMMYFUNCTION("""COMPUTED_VALUE"""),"My model 3 was perfect")</f>
        <v>My model 3 was perfect</v>
      </c>
      <c r="AH1175" s="189">
        <f>IFERROR(__xludf.DUMMYFUNCTION("""COMPUTED_VALUE"""),43398.80313696759)</f>
        <v>43398.80314</v>
      </c>
    </row>
    <row r="1176">
      <c r="A1176" t="str">
        <f>IFERROR(__xludf.DUMMYFUNCTION("""COMPUTED_VALUE"""),"RIjad17")</f>
        <v>RIjad17</v>
      </c>
      <c r="B1176" t="str">
        <f>IFERROR(__xludf.DUMMYFUNCTION("""COMPUTED_VALUE"""),"Kansas City")</f>
        <v>Kansas City</v>
      </c>
      <c r="C1176" t="str">
        <f>IFERROR(__xludf.DUMMYFUNCTION("""COMPUTED_VALUE"""),"MO")</f>
        <v>MO</v>
      </c>
      <c r="D1176" t="str">
        <f>IFERROR(__xludf.DUMMYFUNCTION("""COMPUTED_VALUE"""),"USA")</f>
        <v>USA</v>
      </c>
      <c r="E1176" s="188">
        <f>IFERROR(__xludf.DUMMYFUNCTION("""COMPUTED_VALUE"""),43278.0)</f>
        <v>43278</v>
      </c>
      <c r="F1176" s="188">
        <f>IFERROR(__xludf.DUMMYFUNCTION("""COMPUTED_VALUE"""),43367.0)</f>
        <v>43367</v>
      </c>
      <c r="H1176">
        <f>IFERROR(__xludf.DUMMYFUNCTION("""COMPUTED_VALUE"""),101255.0)</f>
        <v>101255</v>
      </c>
      <c r="I1176" t="str">
        <f>IFERROR(__xludf.DUMMYFUNCTION("""COMPUTED_VALUE"""),"09/18")</f>
        <v>09/18</v>
      </c>
      <c r="J1176" s="5">
        <f>IFERROR(__xludf.DUMMYFUNCTION("""COMPUTED_VALUE"""),43368.0)</f>
        <v>43368</v>
      </c>
      <c r="K1176">
        <f>IFERROR(__xludf.DUMMYFUNCTION("""COMPUTED_VALUE"""),89.0)</f>
        <v>89</v>
      </c>
      <c r="L1176">
        <f>IFERROR(__xludf.DUMMYFUNCTION("""COMPUTED_VALUE"""),1.0)</f>
        <v>1</v>
      </c>
      <c r="M1176">
        <f>IFERROR(__xludf.DUMMYFUNCTION("""COMPUTED_VALUE"""),90.0)</f>
        <v>90</v>
      </c>
      <c r="N1176" t="str">
        <f>IFERROR(__xludf.DUMMYFUNCTION("""COMPUTED_VALUE"""),"Model 3 LR AWD")</f>
        <v>Model 3 LR AWD</v>
      </c>
      <c r="O1176" t="str">
        <f>IFERROR(__xludf.DUMMYFUNCTION("""COMPUTED_VALUE"""),"Pearl White Multi-Coat")</f>
        <v>Pearl White Multi-Coat</v>
      </c>
      <c r="P1176" t="str">
        <f>IFERROR(__xludf.DUMMYFUNCTION("""COMPUTED_VALUE"""),"19 inch Sport")</f>
        <v>19 inch Sport</v>
      </c>
      <c r="Q1176" t="str">
        <f>IFERROR(__xludf.DUMMYFUNCTION("""COMPUTED_VALUE"""),"White seats")</f>
        <v>White seats</v>
      </c>
      <c r="R1176" t="str">
        <f>IFERROR(__xludf.DUMMYFUNCTION("""COMPUTED_VALUE"""),"None")</f>
        <v>None</v>
      </c>
      <c r="X1176" t="str">
        <f>IFERROR(__xludf.DUMMYFUNCTION("""COMPUTED_VALUE"""),"Very Good")</f>
        <v>Very Good</v>
      </c>
      <c r="Y1176" t="str">
        <f>IFERROR(__xludf.DUMMYFUNCTION("""COMPUTED_VALUE"""),"Very Good")</f>
        <v>Very Good</v>
      </c>
      <c r="Z1176" t="str">
        <f>IFERROR(__xludf.DUMMYFUNCTION("""COMPUTED_VALUE"""),"Very Good")</f>
        <v>Very Good</v>
      </c>
      <c r="AA1176" t="str">
        <f>IFERROR(__xludf.DUMMYFUNCTION("""COMPUTED_VALUE"""),"Good")</f>
        <v>Good</v>
      </c>
      <c r="AB1176" t="str">
        <f>IFERROR(__xludf.DUMMYFUNCTION("""COMPUTED_VALUE"""),"Good")</f>
        <v>Good</v>
      </c>
      <c r="AC1176">
        <f>IFERROR(__xludf.DUMMYFUNCTION("""COMPUTED_VALUE"""),1.0)</f>
        <v>1</v>
      </c>
      <c r="AD1176">
        <f>IFERROR(__xludf.DUMMYFUNCTION("""COMPUTED_VALUE"""),0.0)</f>
        <v>0</v>
      </c>
      <c r="AE1176">
        <f>IFERROR(__xludf.DUMMYFUNCTION("""COMPUTED_VALUE"""),0.0)</f>
        <v>0</v>
      </c>
      <c r="AH1176" s="189">
        <f>IFERROR(__xludf.DUMMYFUNCTION("""COMPUTED_VALUE"""),43399.22043153935)</f>
        <v>43399.22043</v>
      </c>
    </row>
    <row r="1177">
      <c r="A1177" t="str">
        <f>IFERROR(__xludf.DUMMYFUNCTION("""COMPUTED_VALUE"""),"MauiMack")</f>
        <v>MauiMack</v>
      </c>
      <c r="B1177" t="str">
        <f>IFERROR(__xludf.DUMMYFUNCTION("""COMPUTED_VALUE"""),"Bay Area")</f>
        <v>Bay Area</v>
      </c>
      <c r="C1177" t="str">
        <f>IFERROR(__xludf.DUMMYFUNCTION("""COMPUTED_VALUE"""),"CA")</f>
        <v>CA</v>
      </c>
      <c r="D1177" t="str">
        <f>IFERROR(__xludf.DUMMYFUNCTION("""COMPUTED_VALUE"""),"USA")</f>
        <v>USA</v>
      </c>
      <c r="E1177" s="188">
        <f>IFERROR(__xludf.DUMMYFUNCTION("""COMPUTED_VALUE"""),43278.0)</f>
        <v>43278</v>
      </c>
      <c r="F1177" s="188">
        <f>IFERROR(__xludf.DUMMYFUNCTION("""COMPUTED_VALUE"""),43346.0)</f>
        <v>43346</v>
      </c>
      <c r="H1177">
        <f>IFERROR(__xludf.DUMMYFUNCTION("""COMPUTED_VALUE"""),71555.0)</f>
        <v>71555</v>
      </c>
      <c r="I1177" t="str">
        <f>IFERROR(__xludf.DUMMYFUNCTION("""COMPUTED_VALUE"""),"09/18")</f>
        <v>09/18</v>
      </c>
      <c r="J1177" s="5">
        <f>IFERROR(__xludf.DUMMYFUNCTION("""COMPUTED_VALUE"""),43372.0)</f>
        <v>43372</v>
      </c>
      <c r="K1177">
        <f>IFERROR(__xludf.DUMMYFUNCTION("""COMPUTED_VALUE"""),68.0)</f>
        <v>68</v>
      </c>
      <c r="L1177">
        <f>IFERROR(__xludf.DUMMYFUNCTION("""COMPUTED_VALUE"""),26.0)</f>
        <v>26</v>
      </c>
      <c r="M1177">
        <f>IFERROR(__xludf.DUMMYFUNCTION("""COMPUTED_VALUE"""),94.0)</f>
        <v>94</v>
      </c>
      <c r="N1177" t="str">
        <f>IFERROR(__xludf.DUMMYFUNCTION("""COMPUTED_VALUE"""),"Model 3 LR AWD")</f>
        <v>Model 3 LR AWD</v>
      </c>
      <c r="O1177" t="str">
        <f>IFERROR(__xludf.DUMMYFUNCTION("""COMPUTED_VALUE"""),"Obsidian Black Metallic")</f>
        <v>Obsidian Black Metallic</v>
      </c>
      <c r="P1177" t="str">
        <f>IFERROR(__xludf.DUMMYFUNCTION("""COMPUTED_VALUE"""),"18 inch Aero")</f>
        <v>18 inch Aero</v>
      </c>
      <c r="Q1177" t="str">
        <f>IFERROR(__xludf.DUMMYFUNCTION("""COMPUTED_VALUE"""),"Black seats")</f>
        <v>Black seats</v>
      </c>
      <c r="R1177" t="str">
        <f>IFERROR(__xludf.DUMMYFUNCTION("""COMPUTED_VALUE"""),"Enhanced Autopilot")</f>
        <v>Enhanced Autopilot</v>
      </c>
      <c r="X1177" t="str">
        <f>IFERROR(__xludf.DUMMYFUNCTION("""COMPUTED_VALUE"""),"Excellent")</f>
        <v>Excellent</v>
      </c>
      <c r="Y1177" t="str">
        <f>IFERROR(__xludf.DUMMYFUNCTION("""COMPUTED_VALUE"""),"Excellent")</f>
        <v>Excellent</v>
      </c>
      <c r="Z1177" t="str">
        <f>IFERROR(__xludf.DUMMYFUNCTION("""COMPUTED_VALUE"""),"Excellent")</f>
        <v>Excellent</v>
      </c>
      <c r="AA1177" t="str">
        <f>IFERROR(__xludf.DUMMYFUNCTION("""COMPUTED_VALUE"""),"Very Good")</f>
        <v>Very Good</v>
      </c>
      <c r="AB1177" t="str">
        <f>IFERROR(__xludf.DUMMYFUNCTION("""COMPUTED_VALUE"""),"Excellent")</f>
        <v>Excellent</v>
      </c>
      <c r="AC1177">
        <f>IFERROR(__xludf.DUMMYFUNCTION("""COMPUTED_VALUE"""),0.0)</f>
        <v>0</v>
      </c>
      <c r="AD1177">
        <f>IFERROR(__xludf.DUMMYFUNCTION("""COMPUTED_VALUE"""),0.0)</f>
        <v>0</v>
      </c>
      <c r="AE1177">
        <f>IFERROR(__xludf.DUMMYFUNCTION("""COMPUTED_VALUE"""),0.0)</f>
        <v>0</v>
      </c>
      <c r="AG1177" t="str">
        <f>IFERROR(__xludf.DUMMYFUNCTION("""COMPUTED_VALUE"""),"Home delivery was flawless")</f>
        <v>Home delivery was flawless</v>
      </c>
      <c r="AH1177" s="189">
        <f>IFERROR(__xludf.DUMMYFUNCTION("""COMPUTED_VALUE"""),43399.431713275466)</f>
        <v>43399.43171</v>
      </c>
    </row>
    <row r="1178">
      <c r="A1178" t="str">
        <f>IFERROR(__xludf.DUMMYFUNCTION("""COMPUTED_VALUE"""),"Brandonee916")</f>
        <v>Brandonee916</v>
      </c>
      <c r="B1178" t="str">
        <f>IFERROR(__xludf.DUMMYFUNCTION("""COMPUTED_VALUE"""),"Sacramento")</f>
        <v>Sacramento</v>
      </c>
      <c r="C1178" t="str">
        <f>IFERROR(__xludf.DUMMYFUNCTION("""COMPUTED_VALUE"""),"CA")</f>
        <v>CA</v>
      </c>
      <c r="D1178" t="str">
        <f>IFERROR(__xludf.DUMMYFUNCTION("""COMPUTED_VALUE"""),"USA")</f>
        <v>USA</v>
      </c>
      <c r="E1178" s="188">
        <f>IFERROR(__xludf.DUMMYFUNCTION("""COMPUTED_VALUE"""),43308.0)</f>
        <v>43308</v>
      </c>
      <c r="F1178" s="188">
        <f>IFERROR(__xludf.DUMMYFUNCTION("""COMPUTED_VALUE"""),43332.0)</f>
        <v>43332</v>
      </c>
      <c r="H1178">
        <f>IFERROR(__xludf.DUMMYFUNCTION("""COMPUTED_VALUE"""),72646.0)</f>
        <v>72646</v>
      </c>
      <c r="J1178" s="5">
        <f>IFERROR(__xludf.DUMMYFUNCTION("""COMPUTED_VALUE"""),43351.0)</f>
        <v>43351</v>
      </c>
      <c r="K1178">
        <f>IFERROR(__xludf.DUMMYFUNCTION("""COMPUTED_VALUE"""),24.0)</f>
        <v>24</v>
      </c>
      <c r="L1178">
        <f>IFERROR(__xludf.DUMMYFUNCTION("""COMPUTED_VALUE"""),19.0)</f>
        <v>19</v>
      </c>
      <c r="M1178">
        <f>IFERROR(__xludf.DUMMYFUNCTION("""COMPUTED_VALUE"""),43.0)</f>
        <v>43</v>
      </c>
      <c r="N1178" t="str">
        <f>IFERROR(__xludf.DUMMYFUNCTION("""COMPUTED_VALUE"""),"Model 3 Performance")</f>
        <v>Model 3 Performance</v>
      </c>
      <c r="O1178" t="str">
        <f>IFERROR(__xludf.DUMMYFUNCTION("""COMPUTED_VALUE"""),"Pearl White Multi-Coat")</f>
        <v>Pearl White Multi-Coat</v>
      </c>
      <c r="P1178" t="str">
        <f>IFERROR(__xludf.DUMMYFUNCTION("""COMPUTED_VALUE"""),"20 inch Sport")</f>
        <v>20 inch Sport</v>
      </c>
      <c r="Q1178" t="str">
        <f>IFERROR(__xludf.DUMMYFUNCTION("""COMPUTED_VALUE"""),"Black seats")</f>
        <v>Black seats</v>
      </c>
      <c r="R1178" t="str">
        <f>IFERROR(__xludf.DUMMYFUNCTION("""COMPUTED_VALUE"""),"Enhanced Autopilot")</f>
        <v>Enhanced Autopilot</v>
      </c>
      <c r="X1178" t="str">
        <f>IFERROR(__xludf.DUMMYFUNCTION("""COMPUTED_VALUE"""),"Very Good")</f>
        <v>Very Good</v>
      </c>
      <c r="Y1178" t="str">
        <f>IFERROR(__xludf.DUMMYFUNCTION("""COMPUTED_VALUE"""),"Excellent")</f>
        <v>Excellent</v>
      </c>
      <c r="Z1178" t="str">
        <f>IFERROR(__xludf.DUMMYFUNCTION("""COMPUTED_VALUE"""),"Poor")</f>
        <v>Poor</v>
      </c>
      <c r="AA1178" t="str">
        <f>IFERROR(__xludf.DUMMYFUNCTION("""COMPUTED_VALUE"""),"Good")</f>
        <v>Good</v>
      </c>
      <c r="AB1178" t="str">
        <f>IFERROR(__xludf.DUMMYFUNCTION("""COMPUTED_VALUE"""),"Excellent")</f>
        <v>Excellent</v>
      </c>
      <c r="AC1178">
        <f>IFERROR(__xludf.DUMMYFUNCTION("""COMPUTED_VALUE"""),8.0)</f>
        <v>8</v>
      </c>
      <c r="AD1178">
        <f>IFERROR(__xludf.DUMMYFUNCTION("""COMPUTED_VALUE"""),2.0)</f>
        <v>2</v>
      </c>
      <c r="AE1178">
        <f>IFERROR(__xludf.DUMMYFUNCTION("""COMPUTED_VALUE"""),30.0)</f>
        <v>30</v>
      </c>
      <c r="AG1178" t="str">
        <f>IFERROR(__xludf.DUMMYFUNCTION("""COMPUTED_VALUE"""),"Pretty severe paint issues, bubbles all over clear coat")</f>
        <v>Pretty severe paint issues, bubbles all over clear coat</v>
      </c>
      <c r="AH1178" s="189">
        <f>IFERROR(__xludf.DUMMYFUNCTION("""COMPUTED_VALUE"""),43399.498323067135)</f>
        <v>43399.49832</v>
      </c>
    </row>
    <row r="1179">
      <c r="A1179" t="str">
        <f>IFERROR(__xludf.DUMMYFUNCTION("""COMPUTED_VALUE"""),"Kuzzy")</f>
        <v>Kuzzy</v>
      </c>
      <c r="B1179" t="str">
        <f>IFERROR(__xludf.DUMMYFUNCTION("""COMPUTED_VALUE"""),"Milford")</f>
        <v>Milford</v>
      </c>
      <c r="C1179" t="str">
        <f>IFERROR(__xludf.DUMMYFUNCTION("""COMPUTED_VALUE"""),"MA")</f>
        <v>MA</v>
      </c>
      <c r="D1179" t="str">
        <f>IFERROR(__xludf.DUMMYFUNCTION("""COMPUTED_VALUE"""),"USA")</f>
        <v>USA</v>
      </c>
      <c r="E1179" s="188">
        <f>IFERROR(__xludf.DUMMYFUNCTION("""COMPUTED_VALUE"""),43281.0)</f>
        <v>43281</v>
      </c>
      <c r="F1179" s="188">
        <f>IFERROR(__xludf.DUMMYFUNCTION("""COMPUTED_VALUE"""),43361.0)</f>
        <v>43361</v>
      </c>
      <c r="H1179">
        <f>IFERROR(__xludf.DUMMYFUNCTION("""COMPUTED_VALUE"""),54855.0)</f>
        <v>54855</v>
      </c>
      <c r="I1179" t="str">
        <f>IFERROR(__xludf.DUMMYFUNCTION("""COMPUTED_VALUE"""),"08/18")</f>
        <v>08/18</v>
      </c>
      <c r="J1179" s="5">
        <f>IFERROR(__xludf.DUMMYFUNCTION("""COMPUTED_VALUE"""),43371.0)</f>
        <v>43371</v>
      </c>
      <c r="K1179">
        <f>IFERROR(__xludf.DUMMYFUNCTION("""COMPUTED_VALUE"""),80.0)</f>
        <v>80</v>
      </c>
      <c r="L1179">
        <f>IFERROR(__xludf.DUMMYFUNCTION("""COMPUTED_VALUE"""),10.0)</f>
        <v>10</v>
      </c>
      <c r="M1179">
        <f>IFERROR(__xludf.DUMMYFUNCTION("""COMPUTED_VALUE"""),90.0)</f>
        <v>90</v>
      </c>
      <c r="N1179" t="str">
        <f>IFERROR(__xludf.DUMMYFUNCTION("""COMPUTED_VALUE"""),"Model 3 LR AWD")</f>
        <v>Model 3 LR AWD</v>
      </c>
      <c r="O1179" t="str">
        <f>IFERROR(__xludf.DUMMYFUNCTION("""COMPUTED_VALUE"""),"Deep Blue Metallic")</f>
        <v>Deep Blue Metallic</v>
      </c>
      <c r="P1179" t="str">
        <f>IFERROR(__xludf.DUMMYFUNCTION("""COMPUTED_VALUE"""),"18 inch Aero")</f>
        <v>18 inch Aero</v>
      </c>
      <c r="Q1179" t="str">
        <f>IFERROR(__xludf.DUMMYFUNCTION("""COMPUTED_VALUE"""),"Black seats")</f>
        <v>Black seats</v>
      </c>
      <c r="R1179" t="str">
        <f>IFERROR(__xludf.DUMMYFUNCTION("""COMPUTED_VALUE"""),"Enhanced Autopilot")</f>
        <v>Enhanced Autopilot</v>
      </c>
      <c r="X1179" t="str">
        <f>IFERROR(__xludf.DUMMYFUNCTION("""COMPUTED_VALUE"""),"Excellent")</f>
        <v>Excellent</v>
      </c>
      <c r="Y1179" t="str">
        <f>IFERROR(__xludf.DUMMYFUNCTION("""COMPUTED_VALUE"""),"Excellent")</f>
        <v>Excellent</v>
      </c>
      <c r="Z1179" t="str">
        <f>IFERROR(__xludf.DUMMYFUNCTION("""COMPUTED_VALUE"""),"Excellent")</f>
        <v>Excellent</v>
      </c>
      <c r="AA1179" t="str">
        <f>IFERROR(__xludf.DUMMYFUNCTION("""COMPUTED_VALUE"""),"Good")</f>
        <v>Good</v>
      </c>
      <c r="AB1179" t="str">
        <f>IFERROR(__xludf.DUMMYFUNCTION("""COMPUTED_VALUE"""),"Excellent")</f>
        <v>Excellent</v>
      </c>
      <c r="AC1179">
        <f>IFERROR(__xludf.DUMMYFUNCTION("""COMPUTED_VALUE"""),5.0)</f>
        <v>5</v>
      </c>
      <c r="AD1179">
        <f>IFERROR(__xludf.DUMMYFUNCTION("""COMPUTED_VALUE"""),1.0)</f>
        <v>1</v>
      </c>
      <c r="AE1179">
        <f>IFERROR(__xludf.DUMMYFUNCTION("""COMPUTED_VALUE"""),1.0)</f>
        <v>1</v>
      </c>
      <c r="AH1179" s="189">
        <f>IFERROR(__xludf.DUMMYFUNCTION("""COMPUTED_VALUE"""),43399.55037751158)</f>
        <v>43399.55038</v>
      </c>
    </row>
    <row r="1180">
      <c r="A1180" t="str">
        <f>IFERROR(__xludf.DUMMYFUNCTION("""COMPUTED_VALUE"""),"Mironskii")</f>
        <v>Mironskii</v>
      </c>
      <c r="B1180" t="str">
        <f>IFERROR(__xludf.DUMMYFUNCTION("""COMPUTED_VALUE"""),"Bromont")</f>
        <v>Bromont</v>
      </c>
      <c r="C1180" t="str">
        <f>IFERROR(__xludf.DUMMYFUNCTION("""COMPUTED_VALUE"""),"QC")</f>
        <v>QC</v>
      </c>
      <c r="D1180" t="str">
        <f>IFERROR(__xludf.DUMMYFUNCTION("""COMPUTED_VALUE"""),"Canada")</f>
        <v>Canada</v>
      </c>
      <c r="E1180" s="188">
        <f>IFERROR(__xludf.DUMMYFUNCTION("""COMPUTED_VALUE"""),43324.0)</f>
        <v>43324</v>
      </c>
      <c r="F1180" s="188">
        <f>IFERROR(__xludf.DUMMYFUNCTION("""COMPUTED_VALUE"""),43347.0)</f>
        <v>43347</v>
      </c>
      <c r="H1180">
        <f>IFERROR(__xludf.DUMMYFUNCTION("""COMPUTED_VALUE"""),108055.0)</f>
        <v>108055</v>
      </c>
      <c r="J1180" s="5">
        <f>IFERROR(__xludf.DUMMYFUNCTION("""COMPUTED_VALUE"""),43371.0)</f>
        <v>43371</v>
      </c>
      <c r="K1180">
        <f>IFERROR(__xludf.DUMMYFUNCTION("""COMPUTED_VALUE"""),23.0)</f>
        <v>23</v>
      </c>
      <c r="L1180">
        <f>IFERROR(__xludf.DUMMYFUNCTION("""COMPUTED_VALUE"""),24.0)</f>
        <v>24</v>
      </c>
      <c r="M1180">
        <f>IFERROR(__xludf.DUMMYFUNCTION("""COMPUTED_VALUE"""),47.0)</f>
        <v>47</v>
      </c>
      <c r="N1180" t="str">
        <f>IFERROR(__xludf.DUMMYFUNCTION("""COMPUTED_VALUE"""),"Model 3 LR AWD")</f>
        <v>Model 3 LR AWD</v>
      </c>
      <c r="O1180" t="str">
        <f>IFERROR(__xludf.DUMMYFUNCTION("""COMPUTED_VALUE"""),"Red Multi-Coat")</f>
        <v>Red Multi-Coat</v>
      </c>
      <c r="P1180" t="str">
        <f>IFERROR(__xludf.DUMMYFUNCTION("""COMPUTED_VALUE"""),"18 inch Aero")</f>
        <v>18 inch Aero</v>
      </c>
      <c r="Q1180" t="str">
        <f>IFERROR(__xludf.DUMMYFUNCTION("""COMPUTED_VALUE"""),"White seats")</f>
        <v>White seats</v>
      </c>
      <c r="R1180" t="str">
        <f>IFERROR(__xludf.DUMMYFUNCTION("""COMPUTED_VALUE"""),"Enhanced Autopilot")</f>
        <v>Enhanced Autopilot</v>
      </c>
      <c r="X1180" t="str">
        <f>IFERROR(__xludf.DUMMYFUNCTION("""COMPUTED_VALUE"""),"Excellent")</f>
        <v>Excellent</v>
      </c>
      <c r="Y1180" t="str">
        <f>IFERROR(__xludf.DUMMYFUNCTION("""COMPUTED_VALUE"""),"Excellent")</f>
        <v>Excellent</v>
      </c>
      <c r="Z1180" t="str">
        <f>IFERROR(__xludf.DUMMYFUNCTION("""COMPUTED_VALUE"""),"Excellent")</f>
        <v>Excellent</v>
      </c>
      <c r="AA1180" t="str">
        <f>IFERROR(__xludf.DUMMYFUNCTION("""COMPUTED_VALUE"""),"Very Good")</f>
        <v>Very Good</v>
      </c>
      <c r="AB1180" t="str">
        <f>IFERROR(__xludf.DUMMYFUNCTION("""COMPUTED_VALUE"""),"Excellent")</f>
        <v>Excellent</v>
      </c>
      <c r="AC1180">
        <f>IFERROR(__xludf.DUMMYFUNCTION("""COMPUTED_VALUE"""),0.0)</f>
        <v>0</v>
      </c>
      <c r="AD1180">
        <f>IFERROR(__xludf.DUMMYFUNCTION("""COMPUTED_VALUE"""),0.0)</f>
        <v>0</v>
      </c>
      <c r="AE1180">
        <f>IFERROR(__xludf.DUMMYFUNCTION("""COMPUTED_VALUE"""),0.0)</f>
        <v>0</v>
      </c>
      <c r="AH1180" s="189">
        <f>IFERROR(__xludf.DUMMYFUNCTION("""COMPUTED_VALUE"""),43399.58684989583)</f>
        <v>43399.58685</v>
      </c>
    </row>
    <row r="1181">
      <c r="A1181" t="str">
        <f>IFERROR(__xludf.DUMMYFUNCTION("""COMPUTED_VALUE"""),"scooby2")</f>
        <v>scooby2</v>
      </c>
      <c r="B1181" t="str">
        <f>IFERROR(__xludf.DUMMYFUNCTION("""COMPUTED_VALUE"""),"Schaumburg")</f>
        <v>Schaumburg</v>
      </c>
      <c r="C1181" t="str">
        <f>IFERROR(__xludf.DUMMYFUNCTION("""COMPUTED_VALUE"""),"IL")</f>
        <v>IL</v>
      </c>
      <c r="D1181" t="str">
        <f>IFERROR(__xludf.DUMMYFUNCTION("""COMPUTED_VALUE"""),"USA")</f>
        <v>USA</v>
      </c>
      <c r="E1181" s="188">
        <f>IFERROR(__xludf.DUMMYFUNCTION("""COMPUTED_VALUE"""),43371.0)</f>
        <v>43371</v>
      </c>
      <c r="F1181" s="188">
        <f>IFERROR(__xludf.DUMMYFUNCTION("""COMPUTED_VALUE"""),43390.0)</f>
        <v>43390</v>
      </c>
      <c r="H1181">
        <f>IFERROR(__xludf.DUMMYFUNCTION("""COMPUTED_VALUE"""),117555.0)</f>
        <v>117555</v>
      </c>
      <c r="I1181" t="str">
        <f>IFERROR(__xludf.DUMMYFUNCTION("""COMPUTED_VALUE"""),"10/18")</f>
        <v>10/18</v>
      </c>
      <c r="J1181" s="5">
        <f>IFERROR(__xludf.DUMMYFUNCTION("""COMPUTED_VALUE"""),43398.0)</f>
        <v>43398</v>
      </c>
      <c r="K1181">
        <f>IFERROR(__xludf.DUMMYFUNCTION("""COMPUTED_VALUE"""),19.0)</f>
        <v>19</v>
      </c>
      <c r="L1181">
        <f>IFERROR(__xludf.DUMMYFUNCTION("""COMPUTED_VALUE"""),8.0)</f>
        <v>8</v>
      </c>
      <c r="M1181">
        <f>IFERROR(__xludf.DUMMYFUNCTION("""COMPUTED_VALUE"""),27.0)</f>
        <v>27</v>
      </c>
      <c r="N1181" t="str">
        <f>IFERROR(__xludf.DUMMYFUNCTION("""COMPUTED_VALUE"""),"Model 3 LR AWD")</f>
        <v>Model 3 LR AWD</v>
      </c>
      <c r="O1181" t="str">
        <f>IFERROR(__xludf.DUMMYFUNCTION("""COMPUTED_VALUE"""),"Deep Blue Metallic")</f>
        <v>Deep Blue Metallic</v>
      </c>
      <c r="P1181" t="str">
        <f>IFERROR(__xludf.DUMMYFUNCTION("""COMPUTED_VALUE"""),"19 inch Sport")</f>
        <v>19 inch Sport</v>
      </c>
      <c r="Q1181" t="str">
        <f>IFERROR(__xludf.DUMMYFUNCTION("""COMPUTED_VALUE"""),"Black seats")</f>
        <v>Black seats</v>
      </c>
      <c r="R1181" t="str">
        <f>IFERROR(__xludf.DUMMYFUNCTION("""COMPUTED_VALUE"""),"Enhanced Autopilot")</f>
        <v>Enhanced Autopilot</v>
      </c>
      <c r="X1181" t="str">
        <f>IFERROR(__xludf.DUMMYFUNCTION("""COMPUTED_VALUE"""),"Excellent")</f>
        <v>Excellent</v>
      </c>
      <c r="Y1181" t="str">
        <f>IFERROR(__xludf.DUMMYFUNCTION("""COMPUTED_VALUE"""),"Excellent")</f>
        <v>Excellent</v>
      </c>
      <c r="Z1181" t="str">
        <f>IFERROR(__xludf.DUMMYFUNCTION("""COMPUTED_VALUE"""),"Excellent")</f>
        <v>Excellent</v>
      </c>
      <c r="AA1181" t="str">
        <f>IFERROR(__xludf.DUMMYFUNCTION("""COMPUTED_VALUE"""),"Excellent")</f>
        <v>Excellent</v>
      </c>
      <c r="AB1181" t="str">
        <f>IFERROR(__xludf.DUMMYFUNCTION("""COMPUTED_VALUE"""),"Excellent")</f>
        <v>Excellent</v>
      </c>
      <c r="AH1181" s="189">
        <f>IFERROR(__xludf.DUMMYFUNCTION("""COMPUTED_VALUE"""),43399.8672444213)</f>
        <v>43399.86724</v>
      </c>
    </row>
    <row r="1182">
      <c r="A1182" t="str">
        <f>IFERROR(__xludf.DUMMYFUNCTION("""COMPUTED_VALUE"""),"desiGeek")</f>
        <v>desiGeek</v>
      </c>
      <c r="B1182" t="str">
        <f>IFERROR(__xludf.DUMMYFUNCTION("""COMPUTED_VALUE"""),"Northern VA")</f>
        <v>Northern VA</v>
      </c>
      <c r="C1182" t="str">
        <f>IFERROR(__xludf.DUMMYFUNCTION("""COMPUTED_VALUE"""),"VA")</f>
        <v>VA</v>
      </c>
      <c r="D1182" t="str">
        <f>IFERROR(__xludf.DUMMYFUNCTION("""COMPUTED_VALUE"""),"USA")</f>
        <v>USA</v>
      </c>
      <c r="E1182" s="188">
        <f>IFERROR(__xludf.DUMMYFUNCTION("""COMPUTED_VALUE"""),43279.0)</f>
        <v>43279</v>
      </c>
      <c r="F1182" s="188">
        <f>IFERROR(__xludf.DUMMYFUNCTION("""COMPUTED_VALUE"""),43377.0)</f>
        <v>43377</v>
      </c>
      <c r="H1182">
        <f>IFERROR(__xludf.DUMMYFUNCTION("""COMPUTED_VALUE"""),117255.0)</f>
        <v>117255</v>
      </c>
      <c r="I1182" t="str">
        <f>IFERROR(__xludf.DUMMYFUNCTION("""COMPUTED_VALUE"""),"10/18")</f>
        <v>10/18</v>
      </c>
      <c r="J1182" s="5">
        <f>IFERROR(__xludf.DUMMYFUNCTION("""COMPUTED_VALUE"""),43398.0)</f>
        <v>43398</v>
      </c>
      <c r="K1182">
        <f>IFERROR(__xludf.DUMMYFUNCTION("""COMPUTED_VALUE"""),98.0)</f>
        <v>98</v>
      </c>
      <c r="L1182">
        <f>IFERROR(__xludf.DUMMYFUNCTION("""COMPUTED_VALUE"""),21.0)</f>
        <v>21</v>
      </c>
      <c r="M1182">
        <f>IFERROR(__xludf.DUMMYFUNCTION("""COMPUTED_VALUE"""),119.0)</f>
        <v>119</v>
      </c>
      <c r="N1182" t="str">
        <f>IFERROR(__xludf.DUMMYFUNCTION("""COMPUTED_VALUE"""),"Model 3 LR AWD")</f>
        <v>Model 3 LR AWD</v>
      </c>
      <c r="O1182" t="str">
        <f>IFERROR(__xludf.DUMMYFUNCTION("""COMPUTED_VALUE"""),"Red Multi-Coat")</f>
        <v>Red Multi-Coat</v>
      </c>
      <c r="P1182" t="str">
        <f>IFERROR(__xludf.DUMMYFUNCTION("""COMPUTED_VALUE"""),"19 inch Sport")</f>
        <v>19 inch Sport</v>
      </c>
      <c r="Q1182" t="str">
        <f>IFERROR(__xludf.DUMMYFUNCTION("""COMPUTED_VALUE"""),"Black seats")</f>
        <v>Black seats</v>
      </c>
      <c r="R1182" t="str">
        <f>IFERROR(__xludf.DUMMYFUNCTION("""COMPUTED_VALUE"""),"Full Self-Driving")</f>
        <v>Full Self-Driving</v>
      </c>
      <c r="X1182" t="str">
        <f>IFERROR(__xludf.DUMMYFUNCTION("""COMPUTED_VALUE"""),"Very Good")</f>
        <v>Very Good</v>
      </c>
      <c r="Y1182" t="str">
        <f>IFERROR(__xludf.DUMMYFUNCTION("""COMPUTED_VALUE"""),"Excellent")</f>
        <v>Excellent</v>
      </c>
      <c r="Z1182" t="str">
        <f>IFERROR(__xludf.DUMMYFUNCTION("""COMPUTED_VALUE"""),"Very Good")</f>
        <v>Very Good</v>
      </c>
      <c r="AA1182" t="str">
        <f>IFERROR(__xludf.DUMMYFUNCTION("""COMPUTED_VALUE"""),"Fair")</f>
        <v>Fair</v>
      </c>
      <c r="AB1182" t="str">
        <f>IFERROR(__xludf.DUMMYFUNCTION("""COMPUTED_VALUE"""),"Fair")</f>
        <v>Fair</v>
      </c>
      <c r="AH1182" s="189">
        <f>IFERROR(__xludf.DUMMYFUNCTION("""COMPUTED_VALUE"""),43400.18043792824)</f>
        <v>43400.18044</v>
      </c>
    </row>
    <row r="1183">
      <c r="A1183" t="str">
        <f>IFERROR(__xludf.DUMMYFUNCTION("""COMPUTED_VALUE"""),"SION1771")</f>
        <v>SION1771</v>
      </c>
      <c r="B1183" t="str">
        <f>IFERROR(__xludf.DUMMYFUNCTION("""COMPUTED_VALUE"""),"Chicago")</f>
        <v>Chicago</v>
      </c>
      <c r="C1183" t="str">
        <f>IFERROR(__xludf.DUMMYFUNCTION("""COMPUTED_VALUE"""),"IL")</f>
        <v>IL</v>
      </c>
      <c r="D1183" t="str">
        <f>IFERROR(__xludf.DUMMYFUNCTION("""COMPUTED_VALUE"""),"USA")</f>
        <v>USA</v>
      </c>
      <c r="E1183" s="188">
        <f>IFERROR(__xludf.DUMMYFUNCTION("""COMPUTED_VALUE"""),43344.0)</f>
        <v>43344</v>
      </c>
      <c r="F1183" s="188">
        <f>IFERROR(__xludf.DUMMYFUNCTION("""COMPUTED_VALUE"""),43330.0)</f>
        <v>43330</v>
      </c>
      <c r="H1183">
        <f>IFERROR(__xludf.DUMMYFUNCTION("""COMPUTED_VALUE"""),96255.0)</f>
        <v>96255</v>
      </c>
      <c r="I1183" t="str">
        <f>IFERROR(__xludf.DUMMYFUNCTION("""COMPUTED_VALUE"""),"08/18")</f>
        <v>08/18</v>
      </c>
      <c r="J1183" s="5">
        <f>IFERROR(__xludf.DUMMYFUNCTION("""COMPUTED_VALUE"""),43353.0)</f>
        <v>43353</v>
      </c>
      <c r="L1183">
        <f>IFERROR(__xludf.DUMMYFUNCTION("""COMPUTED_VALUE"""),23.0)</f>
        <v>23</v>
      </c>
      <c r="M1183">
        <f>IFERROR(__xludf.DUMMYFUNCTION("""COMPUTED_VALUE"""),9.0)</f>
        <v>9</v>
      </c>
      <c r="N1183" t="str">
        <f>IFERROR(__xludf.DUMMYFUNCTION("""COMPUTED_VALUE"""),"Model 3 Performance")</f>
        <v>Model 3 Performance</v>
      </c>
      <c r="O1183" t="str">
        <f>IFERROR(__xludf.DUMMYFUNCTION("""COMPUTED_VALUE"""),"Red Multi-Coat")</f>
        <v>Red Multi-Coat</v>
      </c>
      <c r="P1183" t="str">
        <f>IFERROR(__xludf.DUMMYFUNCTION("""COMPUTED_VALUE"""),"18 inch Aero")</f>
        <v>18 inch Aero</v>
      </c>
      <c r="Q1183" t="str">
        <f>IFERROR(__xludf.DUMMYFUNCTION("""COMPUTED_VALUE"""),"White seats")</f>
        <v>White seats</v>
      </c>
      <c r="R1183" t="str">
        <f>IFERROR(__xludf.DUMMYFUNCTION("""COMPUTED_VALUE"""),"Enhanced Autopilot")</f>
        <v>Enhanced Autopilot</v>
      </c>
      <c r="X1183" t="str">
        <f>IFERROR(__xludf.DUMMYFUNCTION("""COMPUTED_VALUE"""),"Very Good")</f>
        <v>Very Good</v>
      </c>
      <c r="Y1183" t="str">
        <f>IFERROR(__xludf.DUMMYFUNCTION("""COMPUTED_VALUE"""),"Excellent")</f>
        <v>Excellent</v>
      </c>
      <c r="Z1183" t="str">
        <f>IFERROR(__xludf.DUMMYFUNCTION("""COMPUTED_VALUE"""),"Excellent")</f>
        <v>Excellent</v>
      </c>
      <c r="AA1183" t="str">
        <f>IFERROR(__xludf.DUMMYFUNCTION("""COMPUTED_VALUE"""),"Good")</f>
        <v>Good</v>
      </c>
      <c r="AB1183" t="str">
        <f>IFERROR(__xludf.DUMMYFUNCTION("""COMPUTED_VALUE"""),"Good")</f>
        <v>Good</v>
      </c>
      <c r="AC1183">
        <f>IFERROR(__xludf.DUMMYFUNCTION("""COMPUTED_VALUE"""),0.0)</f>
        <v>0</v>
      </c>
      <c r="AD1183">
        <f>IFERROR(__xludf.DUMMYFUNCTION("""COMPUTED_VALUE"""),0.0)</f>
        <v>0</v>
      </c>
      <c r="AE1183">
        <f>IFERROR(__xludf.DUMMYFUNCTION("""COMPUTED_VALUE"""),0.0)</f>
        <v>0</v>
      </c>
      <c r="AH1183" s="189">
        <f>IFERROR(__xludf.DUMMYFUNCTION("""COMPUTED_VALUE"""),43400.30854460648)</f>
        <v>43400.30854</v>
      </c>
    </row>
    <row r="1184">
      <c r="A1184" t="str">
        <f>IFERROR(__xludf.DUMMYFUNCTION("""COMPUTED_VALUE"""),"lb124")</f>
        <v>lb124</v>
      </c>
      <c r="B1184" t="str">
        <f>IFERROR(__xludf.DUMMYFUNCTION("""COMPUTED_VALUE"""),"Monument")</f>
        <v>Monument</v>
      </c>
      <c r="C1184" t="str">
        <f>IFERROR(__xludf.DUMMYFUNCTION("""COMPUTED_VALUE"""),"CO")</f>
        <v>CO</v>
      </c>
      <c r="D1184" t="str">
        <f>IFERROR(__xludf.DUMMYFUNCTION("""COMPUTED_VALUE"""),"USA")</f>
        <v>USA</v>
      </c>
      <c r="E1184" s="188">
        <f>IFERROR(__xludf.DUMMYFUNCTION("""COMPUTED_VALUE"""),43386.0)</f>
        <v>43386</v>
      </c>
      <c r="F1184" s="188">
        <f>IFERROR(__xludf.DUMMYFUNCTION("""COMPUTED_VALUE"""),43389.0)</f>
        <v>43389</v>
      </c>
      <c r="H1184" s="4">
        <f>IFERROR(__xludf.DUMMYFUNCTION("""COMPUTED_VALUE"""),114351.0)</f>
        <v>114351</v>
      </c>
      <c r="I1184" t="str">
        <f>IFERROR(__xludf.DUMMYFUNCTION("""COMPUTED_VALUE"""),"10/18")</f>
        <v>10/18</v>
      </c>
      <c r="J1184" s="5">
        <f>IFERROR(__xludf.DUMMYFUNCTION("""COMPUTED_VALUE"""),43395.0)</f>
        <v>43395</v>
      </c>
      <c r="K1184">
        <f>IFERROR(__xludf.DUMMYFUNCTION("""COMPUTED_VALUE"""),3.0)</f>
        <v>3</v>
      </c>
      <c r="L1184">
        <f>IFERROR(__xludf.DUMMYFUNCTION("""COMPUTED_VALUE"""),6.0)</f>
        <v>6</v>
      </c>
      <c r="M1184">
        <f>IFERROR(__xludf.DUMMYFUNCTION("""COMPUTED_VALUE"""),9.0)</f>
        <v>9</v>
      </c>
      <c r="N1184" t="str">
        <f>IFERROR(__xludf.DUMMYFUNCTION("""COMPUTED_VALUE"""),"Model 3 LR AWD")</f>
        <v>Model 3 LR AWD</v>
      </c>
      <c r="O1184" t="str">
        <f>IFERROR(__xludf.DUMMYFUNCTION("""COMPUTED_VALUE"""),"Midnight Silver Metallic")</f>
        <v>Midnight Silver Metallic</v>
      </c>
      <c r="P1184" t="str">
        <f>IFERROR(__xludf.DUMMYFUNCTION("""COMPUTED_VALUE"""),"18 inch Aero")</f>
        <v>18 inch Aero</v>
      </c>
      <c r="Q1184" t="str">
        <f>IFERROR(__xludf.DUMMYFUNCTION("""COMPUTED_VALUE"""),"Black seats")</f>
        <v>Black seats</v>
      </c>
      <c r="R1184" t="str">
        <f>IFERROR(__xludf.DUMMYFUNCTION("""COMPUTED_VALUE"""),"Enhanced Autopilot")</f>
        <v>Enhanced Autopilot</v>
      </c>
      <c r="X1184" t="str">
        <f>IFERROR(__xludf.DUMMYFUNCTION("""COMPUTED_VALUE"""),"Very Good")</f>
        <v>Very Good</v>
      </c>
      <c r="Y1184" t="str">
        <f>IFERROR(__xludf.DUMMYFUNCTION("""COMPUTED_VALUE"""),"Excellent")</f>
        <v>Excellent</v>
      </c>
      <c r="Z1184" t="str">
        <f>IFERROR(__xludf.DUMMYFUNCTION("""COMPUTED_VALUE"""),"Excellent")</f>
        <v>Excellent</v>
      </c>
      <c r="AA1184" t="str">
        <f>IFERROR(__xludf.DUMMYFUNCTION("""COMPUTED_VALUE"""),"Good")</f>
        <v>Good</v>
      </c>
      <c r="AB1184" t="str">
        <f>IFERROR(__xludf.DUMMYFUNCTION("""COMPUTED_VALUE"""),"Very Good")</f>
        <v>Very Good</v>
      </c>
      <c r="AH1184" s="189">
        <f>IFERROR(__xludf.DUMMYFUNCTION("""COMPUTED_VALUE"""),43400.497961574074)</f>
        <v>43400.49796</v>
      </c>
    </row>
    <row r="1185">
      <c r="A1185" t="str">
        <f>IFERROR(__xludf.DUMMYFUNCTION("""COMPUTED_VALUE"""),"JLB39401")</f>
        <v>JLB39401</v>
      </c>
      <c r="B1185" t="str">
        <f>IFERROR(__xludf.DUMMYFUNCTION("""COMPUTED_VALUE"""),"Hattiesburg")</f>
        <v>Hattiesburg</v>
      </c>
      <c r="C1185" t="str">
        <f>IFERROR(__xludf.DUMMYFUNCTION("""COMPUTED_VALUE"""),"MS")</f>
        <v>MS</v>
      </c>
      <c r="D1185" t="str">
        <f>IFERROR(__xludf.DUMMYFUNCTION("""COMPUTED_VALUE"""),"USA")</f>
        <v>USA</v>
      </c>
      <c r="E1185" s="188">
        <f>IFERROR(__xludf.DUMMYFUNCTION("""COMPUTED_VALUE"""),43279.0)</f>
        <v>43279</v>
      </c>
      <c r="F1185" s="188">
        <f>IFERROR(__xludf.DUMMYFUNCTION("""COMPUTED_VALUE"""),43348.0)</f>
        <v>43348</v>
      </c>
      <c r="H1185">
        <f>IFERROR(__xludf.DUMMYFUNCTION("""COMPUTED_VALUE"""),96855.0)</f>
        <v>96855</v>
      </c>
      <c r="J1185" s="5">
        <f>IFERROR(__xludf.DUMMYFUNCTION("""COMPUTED_VALUE"""),43356.0)</f>
        <v>43356</v>
      </c>
      <c r="K1185">
        <f>IFERROR(__xludf.DUMMYFUNCTION("""COMPUTED_VALUE"""),69.0)</f>
        <v>69</v>
      </c>
      <c r="L1185">
        <f>IFERROR(__xludf.DUMMYFUNCTION("""COMPUTED_VALUE"""),8.0)</f>
        <v>8</v>
      </c>
      <c r="M1185">
        <f>IFERROR(__xludf.DUMMYFUNCTION("""COMPUTED_VALUE"""),77.0)</f>
        <v>77</v>
      </c>
      <c r="N1185" t="str">
        <f>IFERROR(__xludf.DUMMYFUNCTION("""COMPUTED_VALUE"""),"Model 3 LR AWD")</f>
        <v>Model 3 LR AWD</v>
      </c>
      <c r="O1185" t="str">
        <f>IFERROR(__xludf.DUMMYFUNCTION("""COMPUTED_VALUE"""),"Pearl White Multi-Coat")</f>
        <v>Pearl White Multi-Coat</v>
      </c>
      <c r="P1185" t="str">
        <f>IFERROR(__xludf.DUMMYFUNCTION("""COMPUTED_VALUE"""),"18 inch Aero")</f>
        <v>18 inch Aero</v>
      </c>
      <c r="Q1185" t="str">
        <f>IFERROR(__xludf.DUMMYFUNCTION("""COMPUTED_VALUE"""),"White seats")</f>
        <v>White seats</v>
      </c>
      <c r="R1185" t="str">
        <f>IFERROR(__xludf.DUMMYFUNCTION("""COMPUTED_VALUE"""),"Full Self-Driving")</f>
        <v>Full Self-Driving</v>
      </c>
      <c r="X1185" t="str">
        <f>IFERROR(__xludf.DUMMYFUNCTION("""COMPUTED_VALUE"""),"Very Good")</f>
        <v>Very Good</v>
      </c>
      <c r="Y1185" t="str">
        <f>IFERROR(__xludf.DUMMYFUNCTION("""COMPUTED_VALUE"""),"Excellent")</f>
        <v>Excellent</v>
      </c>
      <c r="Z1185" t="str">
        <f>IFERROR(__xludf.DUMMYFUNCTION("""COMPUTED_VALUE"""),"Very Good")</f>
        <v>Very Good</v>
      </c>
      <c r="AA1185" t="str">
        <f>IFERROR(__xludf.DUMMYFUNCTION("""COMPUTED_VALUE"""),"Poor")</f>
        <v>Poor</v>
      </c>
      <c r="AB1185" t="str">
        <f>IFERROR(__xludf.DUMMYFUNCTION("""COMPUTED_VALUE"""),"Very Good")</f>
        <v>Very Good</v>
      </c>
      <c r="AC1185">
        <f>IFERROR(__xludf.DUMMYFUNCTION("""COMPUTED_VALUE"""),1.0)</f>
        <v>1</v>
      </c>
      <c r="AD1185">
        <f>IFERROR(__xludf.DUMMYFUNCTION("""COMPUTED_VALUE"""),1.0)</f>
        <v>1</v>
      </c>
      <c r="AE1185">
        <f>IFERROR(__xludf.DUMMYFUNCTION("""COMPUTED_VALUE"""),0.0)</f>
        <v>0</v>
      </c>
      <c r="AG1185" t="str">
        <f>IFERROR(__xludf.DUMMYFUNCTION("""COMPUTED_VALUE"""),"Communication was generally good -- but I was told delivery would be first half of October.  On September 12th, I was told it was at the delivey center, to get it on the 13th; at this point I did not have insurance, tag, or financing arranged, and had alr"&amp;"eady made plans to be away from home &amp; out of state.  This lapse of communication created a time crunch as I tried to get everything sorted out at the last minute.")</f>
        <v>Communication was generally good -- but I was told delivery would be first half of October.  On September 12th, I was told it was at the delivey center, to get it on the 13th; at this point I did not have insurance, tag, or financing arranged, and had already made plans to be away from home &amp; out of state.  This lapse of communication created a time crunch as I tried to get everything sorted out at the last minute.</v>
      </c>
      <c r="AH1185" s="189">
        <f>IFERROR(__xludf.DUMMYFUNCTION("""COMPUTED_VALUE"""),43400.65889636574)</f>
        <v>43400.6589</v>
      </c>
    </row>
    <row r="1186">
      <c r="A1186" t="str">
        <f>IFERROR(__xludf.DUMMYFUNCTION("""COMPUTED_VALUE"""),"TLeoness")</f>
        <v>TLeoness</v>
      </c>
      <c r="B1186" t="str">
        <f>IFERROR(__xludf.DUMMYFUNCTION("""COMPUTED_VALUE"""),"Houston")</f>
        <v>Houston</v>
      </c>
      <c r="C1186" t="str">
        <f>IFERROR(__xludf.DUMMYFUNCTION("""COMPUTED_VALUE"""),"TX")</f>
        <v>TX</v>
      </c>
      <c r="D1186" t="str">
        <f>IFERROR(__xludf.DUMMYFUNCTION("""COMPUTED_VALUE"""),"USA")</f>
        <v>USA</v>
      </c>
      <c r="E1186" s="188">
        <f>IFERROR(__xludf.DUMMYFUNCTION("""COMPUTED_VALUE"""),43362.0)</f>
        <v>43362</v>
      </c>
      <c r="F1186" s="188">
        <f>IFERROR(__xludf.DUMMYFUNCTION("""COMPUTED_VALUE"""),43381.0)</f>
        <v>43381</v>
      </c>
      <c r="H1186">
        <f>IFERROR(__xludf.DUMMYFUNCTION("""COMPUTED_VALUE"""),81255.0)</f>
        <v>81255</v>
      </c>
      <c r="J1186" s="5">
        <f>IFERROR(__xludf.DUMMYFUNCTION("""COMPUTED_VALUE"""),43396.0)</f>
        <v>43396</v>
      </c>
      <c r="K1186">
        <f>IFERROR(__xludf.DUMMYFUNCTION("""COMPUTED_VALUE"""),19.0)</f>
        <v>19</v>
      </c>
      <c r="L1186">
        <f>IFERROR(__xludf.DUMMYFUNCTION("""COMPUTED_VALUE"""),15.0)</f>
        <v>15</v>
      </c>
      <c r="M1186">
        <f>IFERROR(__xludf.DUMMYFUNCTION("""COMPUTED_VALUE"""),34.0)</f>
        <v>34</v>
      </c>
      <c r="N1186" t="str">
        <f>IFERROR(__xludf.DUMMYFUNCTION("""COMPUTED_VALUE"""),"Model 3 LR")</f>
        <v>Model 3 LR</v>
      </c>
      <c r="O1186" t="str">
        <f>IFERROR(__xludf.DUMMYFUNCTION("""COMPUTED_VALUE"""),"Red Multi-Coat")</f>
        <v>Red Multi-Coat</v>
      </c>
      <c r="P1186" t="str">
        <f>IFERROR(__xludf.DUMMYFUNCTION("""COMPUTED_VALUE"""),"18 inch Aero")</f>
        <v>18 inch Aero</v>
      </c>
      <c r="Q1186" t="str">
        <f>IFERROR(__xludf.DUMMYFUNCTION("""COMPUTED_VALUE"""),"Black seats")</f>
        <v>Black seats</v>
      </c>
      <c r="R1186" t="str">
        <f>IFERROR(__xludf.DUMMYFUNCTION("""COMPUTED_VALUE"""),"None")</f>
        <v>None</v>
      </c>
      <c r="X1186" t="str">
        <f>IFERROR(__xludf.DUMMYFUNCTION("""COMPUTED_VALUE"""),"Excellent")</f>
        <v>Excellent</v>
      </c>
      <c r="Y1186" t="str">
        <f>IFERROR(__xludf.DUMMYFUNCTION("""COMPUTED_VALUE"""),"Excellent")</f>
        <v>Excellent</v>
      </c>
      <c r="Z1186" t="str">
        <f>IFERROR(__xludf.DUMMYFUNCTION("""COMPUTED_VALUE"""),"Excellent")</f>
        <v>Excellent</v>
      </c>
      <c r="AA1186" t="str">
        <f>IFERROR(__xludf.DUMMYFUNCTION("""COMPUTED_VALUE"""),"Fair")</f>
        <v>Fair</v>
      </c>
      <c r="AB1186" t="str">
        <f>IFERROR(__xludf.DUMMYFUNCTION("""COMPUTED_VALUE"""),"Good")</f>
        <v>Good</v>
      </c>
      <c r="AH1186" s="189">
        <f>IFERROR(__xludf.DUMMYFUNCTION("""COMPUTED_VALUE"""),43400.672189247685)</f>
        <v>43400.67219</v>
      </c>
    </row>
    <row r="1187">
      <c r="A1187" t="str">
        <f>IFERROR(__xludf.DUMMYFUNCTION("""COMPUTED_VALUE"""),"TCinCT")</f>
        <v>TCinCT</v>
      </c>
      <c r="B1187" t="str">
        <f>IFERROR(__xludf.DUMMYFUNCTION("""COMPUTED_VALUE"""),"Central CT")</f>
        <v>Central CT</v>
      </c>
      <c r="C1187" t="str">
        <f>IFERROR(__xludf.DUMMYFUNCTION("""COMPUTED_VALUE"""),"CT")</f>
        <v>CT</v>
      </c>
      <c r="D1187" t="str">
        <f>IFERROR(__xludf.DUMMYFUNCTION("""COMPUTED_VALUE"""),"USA")</f>
        <v>USA</v>
      </c>
      <c r="E1187" s="188">
        <f>IFERROR(__xludf.DUMMYFUNCTION("""COMPUTED_VALUE"""),43244.0)</f>
        <v>43244</v>
      </c>
      <c r="F1187" s="188">
        <f>IFERROR(__xludf.DUMMYFUNCTION("""COMPUTED_VALUE"""),43381.0)</f>
        <v>43381</v>
      </c>
      <c r="H1187">
        <f>IFERROR(__xludf.DUMMYFUNCTION("""COMPUTED_VALUE"""),117455.0)</f>
        <v>117455</v>
      </c>
      <c r="I1187" t="str">
        <f>IFERROR(__xludf.DUMMYFUNCTION("""COMPUTED_VALUE"""),"10/18")</f>
        <v>10/18</v>
      </c>
      <c r="J1187" s="5">
        <f>IFERROR(__xludf.DUMMYFUNCTION("""COMPUTED_VALUE"""),43399.0)</f>
        <v>43399</v>
      </c>
      <c r="K1187">
        <f>IFERROR(__xludf.DUMMYFUNCTION("""COMPUTED_VALUE"""),137.0)</f>
        <v>137</v>
      </c>
      <c r="L1187">
        <f>IFERROR(__xludf.DUMMYFUNCTION("""COMPUTED_VALUE"""),18.0)</f>
        <v>18</v>
      </c>
      <c r="M1187">
        <f>IFERROR(__xludf.DUMMYFUNCTION("""COMPUTED_VALUE"""),155.0)</f>
        <v>155</v>
      </c>
      <c r="N1187" t="str">
        <f>IFERROR(__xludf.DUMMYFUNCTION("""COMPUTED_VALUE"""),"Model 3 LR AWD")</f>
        <v>Model 3 LR AWD</v>
      </c>
      <c r="O1187" t="str">
        <f>IFERROR(__xludf.DUMMYFUNCTION("""COMPUTED_VALUE"""),"Deep Blue Metallic")</f>
        <v>Deep Blue Metallic</v>
      </c>
      <c r="P1187" t="str">
        <f>IFERROR(__xludf.DUMMYFUNCTION("""COMPUTED_VALUE"""),"19 inch Sport")</f>
        <v>19 inch Sport</v>
      </c>
      <c r="Q1187" t="str">
        <f>IFERROR(__xludf.DUMMYFUNCTION("""COMPUTED_VALUE"""),"Black seats")</f>
        <v>Black seats</v>
      </c>
      <c r="R1187" t="str">
        <f>IFERROR(__xludf.DUMMYFUNCTION("""COMPUTED_VALUE"""),"None")</f>
        <v>None</v>
      </c>
      <c r="X1187" t="str">
        <f>IFERROR(__xludf.DUMMYFUNCTION("""COMPUTED_VALUE"""),"Excellent")</f>
        <v>Excellent</v>
      </c>
      <c r="Y1187" t="str">
        <f>IFERROR(__xludf.DUMMYFUNCTION("""COMPUTED_VALUE"""),"Excellent")</f>
        <v>Excellent</v>
      </c>
      <c r="Z1187" t="str">
        <f>IFERROR(__xludf.DUMMYFUNCTION("""COMPUTED_VALUE"""),"Very Good")</f>
        <v>Very Good</v>
      </c>
      <c r="AA1187" t="str">
        <f>IFERROR(__xludf.DUMMYFUNCTION("""COMPUTED_VALUE"""),"Poor")</f>
        <v>Poor</v>
      </c>
      <c r="AB1187" t="str">
        <f>IFERROR(__xludf.DUMMYFUNCTION("""COMPUTED_VALUE"""),"Good")</f>
        <v>Good</v>
      </c>
      <c r="AC1187">
        <f>IFERROR(__xludf.DUMMYFUNCTION("""COMPUTED_VALUE"""),3.0)</f>
        <v>3</v>
      </c>
      <c r="AH1187" s="189">
        <f>IFERROR(__xludf.DUMMYFUNCTION("""COMPUTED_VALUE"""),43400.75240354167)</f>
        <v>43400.7524</v>
      </c>
    </row>
    <row r="1188">
      <c r="A1188" t="str">
        <f>IFERROR(__xludf.DUMMYFUNCTION("""COMPUTED_VALUE"""),"wanche")</f>
        <v>wanche</v>
      </c>
      <c r="C1188" t="str">
        <f>IFERROR(__xludf.DUMMYFUNCTION("""COMPUTED_VALUE"""),"ON")</f>
        <v>ON</v>
      </c>
      <c r="D1188" t="str">
        <f>IFERROR(__xludf.DUMMYFUNCTION("""COMPUTED_VALUE"""),"Canada")</f>
        <v>Canada</v>
      </c>
      <c r="E1188" s="188">
        <f>IFERROR(__xludf.DUMMYFUNCTION("""COMPUTED_VALUE"""),43278.0)</f>
        <v>43278</v>
      </c>
      <c r="F1188" s="188">
        <f>IFERROR(__xludf.DUMMYFUNCTION("""COMPUTED_VALUE"""),43332.0)</f>
        <v>43332</v>
      </c>
      <c r="H1188">
        <f>IFERROR(__xludf.DUMMYFUNCTION("""COMPUTED_VALUE"""),107955.0)</f>
        <v>107955</v>
      </c>
      <c r="I1188" t="str">
        <f>IFERROR(__xludf.DUMMYFUNCTION("""COMPUTED_VALUE"""),"08/18")</f>
        <v>08/18</v>
      </c>
      <c r="J1188" s="5">
        <f>IFERROR(__xludf.DUMMYFUNCTION("""COMPUTED_VALUE"""),43400.0)</f>
        <v>43400</v>
      </c>
      <c r="K1188">
        <f>IFERROR(__xludf.DUMMYFUNCTION("""COMPUTED_VALUE"""),54.0)</f>
        <v>54</v>
      </c>
      <c r="L1188">
        <f>IFERROR(__xludf.DUMMYFUNCTION("""COMPUTED_VALUE"""),68.0)</f>
        <v>68</v>
      </c>
      <c r="M1188">
        <f>IFERROR(__xludf.DUMMYFUNCTION("""COMPUTED_VALUE"""),122.0)</f>
        <v>122</v>
      </c>
      <c r="N1188" t="str">
        <f>IFERROR(__xludf.DUMMYFUNCTION("""COMPUTED_VALUE"""),"Model 3 LR AWD")</f>
        <v>Model 3 LR AWD</v>
      </c>
      <c r="O1188" t="str">
        <f>IFERROR(__xludf.DUMMYFUNCTION("""COMPUTED_VALUE"""),"Pearl White Multi-Coat")</f>
        <v>Pearl White Multi-Coat</v>
      </c>
      <c r="P1188" t="str">
        <f>IFERROR(__xludf.DUMMYFUNCTION("""COMPUTED_VALUE"""),"18 inch Aero")</f>
        <v>18 inch Aero</v>
      </c>
      <c r="Q1188" t="str">
        <f>IFERROR(__xludf.DUMMYFUNCTION("""COMPUTED_VALUE"""),"White seats")</f>
        <v>White seats</v>
      </c>
      <c r="R1188" t="str">
        <f>IFERROR(__xludf.DUMMYFUNCTION("""COMPUTED_VALUE"""),"Enhanced Autopilot")</f>
        <v>Enhanced Autopilot</v>
      </c>
      <c r="X1188" t="str">
        <f>IFERROR(__xludf.DUMMYFUNCTION("""COMPUTED_VALUE"""),"Good")</f>
        <v>Good</v>
      </c>
      <c r="Y1188" t="str">
        <f>IFERROR(__xludf.DUMMYFUNCTION("""COMPUTED_VALUE"""),"Good")</f>
        <v>Good</v>
      </c>
      <c r="Z1188" t="str">
        <f>IFERROR(__xludf.DUMMYFUNCTION("""COMPUTED_VALUE"""),"Very Good")</f>
        <v>Very Good</v>
      </c>
      <c r="AA1188" t="str">
        <f>IFERROR(__xludf.DUMMYFUNCTION("""COMPUTED_VALUE"""),"Good")</f>
        <v>Good</v>
      </c>
      <c r="AB1188" t="str">
        <f>IFERROR(__xludf.DUMMYFUNCTION("""COMPUTED_VALUE"""),"Excellent")</f>
        <v>Excellent</v>
      </c>
      <c r="AH1188" s="189">
        <f>IFERROR(__xludf.DUMMYFUNCTION("""COMPUTED_VALUE"""),43400.75348303241)</f>
        <v>43400.75348</v>
      </c>
    </row>
    <row r="1189">
      <c r="A1189" t="str">
        <f>IFERROR(__xludf.DUMMYFUNCTION("""COMPUTED_VALUE"""),"thimblepk")</f>
        <v>thimblepk</v>
      </c>
      <c r="B1189" t="str">
        <f>IFERROR(__xludf.DUMMYFUNCTION("""COMPUTED_VALUE"""),"Sunnyvale")</f>
        <v>Sunnyvale</v>
      </c>
      <c r="C1189" t="str">
        <f>IFERROR(__xludf.DUMMYFUNCTION("""COMPUTED_VALUE"""),"CA")</f>
        <v>CA</v>
      </c>
      <c r="D1189" t="str">
        <f>IFERROR(__xludf.DUMMYFUNCTION("""COMPUTED_VALUE"""),"USA")</f>
        <v>USA</v>
      </c>
      <c r="E1189" s="188">
        <f>IFERROR(__xludf.DUMMYFUNCTION("""COMPUTED_VALUE"""),43277.0)</f>
        <v>43277</v>
      </c>
      <c r="F1189" s="188">
        <f>IFERROR(__xludf.DUMMYFUNCTION("""COMPUTED_VALUE"""),43397.0)</f>
        <v>43397</v>
      </c>
      <c r="H1189">
        <f>IFERROR(__xludf.DUMMYFUNCTION("""COMPUTED_VALUE"""),117055.0)</f>
        <v>117055</v>
      </c>
      <c r="I1189" t="str">
        <f>IFERROR(__xludf.DUMMYFUNCTION("""COMPUTED_VALUE"""),"10/18")</f>
        <v>10/18</v>
      </c>
      <c r="J1189" s="5">
        <f>IFERROR(__xludf.DUMMYFUNCTION("""COMPUTED_VALUE"""),43398.0)</f>
        <v>43398</v>
      </c>
      <c r="K1189">
        <f>IFERROR(__xludf.DUMMYFUNCTION("""COMPUTED_VALUE"""),120.0)</f>
        <v>120</v>
      </c>
      <c r="L1189">
        <f>IFERROR(__xludf.DUMMYFUNCTION("""COMPUTED_VALUE"""),1.0)</f>
        <v>1</v>
      </c>
      <c r="M1189">
        <f>IFERROR(__xludf.DUMMYFUNCTION("""COMPUTED_VALUE"""),121.0)</f>
        <v>121</v>
      </c>
      <c r="N1189" t="str">
        <f>IFERROR(__xludf.DUMMYFUNCTION("""COMPUTED_VALUE"""),"Model 3 LR AWD")</f>
        <v>Model 3 LR AWD</v>
      </c>
      <c r="O1189" t="str">
        <f>IFERROR(__xludf.DUMMYFUNCTION("""COMPUTED_VALUE"""),"Silver Metallic")</f>
        <v>Silver Metallic</v>
      </c>
      <c r="P1189" t="str">
        <f>IFERROR(__xludf.DUMMYFUNCTION("""COMPUTED_VALUE"""),"19 inch Sport")</f>
        <v>19 inch Sport</v>
      </c>
      <c r="Q1189" t="str">
        <f>IFERROR(__xludf.DUMMYFUNCTION("""COMPUTED_VALUE"""),"Black seats")</f>
        <v>Black seats</v>
      </c>
      <c r="R1189" t="str">
        <f>IFERROR(__xludf.DUMMYFUNCTION("""COMPUTED_VALUE"""),"Enhanced Autopilot")</f>
        <v>Enhanced Autopilot</v>
      </c>
      <c r="X1189" t="str">
        <f>IFERROR(__xludf.DUMMYFUNCTION("""COMPUTED_VALUE"""),"Fair")</f>
        <v>Fair</v>
      </c>
      <c r="Y1189" t="str">
        <f>IFERROR(__xludf.DUMMYFUNCTION("""COMPUTED_VALUE"""),"Excellent")</f>
        <v>Excellent</v>
      </c>
      <c r="Z1189" t="str">
        <f>IFERROR(__xludf.DUMMYFUNCTION("""COMPUTED_VALUE"""),"Excellent")</f>
        <v>Excellent</v>
      </c>
      <c r="AA1189" t="str">
        <f>IFERROR(__xludf.DUMMYFUNCTION("""COMPUTED_VALUE"""),"Poor")</f>
        <v>Poor</v>
      </c>
      <c r="AB1189" t="str">
        <f>IFERROR(__xludf.DUMMYFUNCTION("""COMPUTED_VALUE"""),"Fair")</f>
        <v>Fair</v>
      </c>
      <c r="AH1189" s="189">
        <f>IFERROR(__xludf.DUMMYFUNCTION("""COMPUTED_VALUE"""),43400.935767303235)</f>
        <v>43400.93577</v>
      </c>
    </row>
    <row r="1190">
      <c r="A1190" t="str">
        <f>IFERROR(__xludf.DUMMYFUNCTION("""COMPUTED_VALUE"""),"GromitATL")</f>
        <v>GromitATL</v>
      </c>
      <c r="B1190" t="str">
        <f>IFERROR(__xludf.DUMMYFUNCTION("""COMPUTED_VALUE"""),"Atlanta")</f>
        <v>Atlanta</v>
      </c>
      <c r="C1190" t="str">
        <f>IFERROR(__xludf.DUMMYFUNCTION("""COMPUTED_VALUE"""),"GA")</f>
        <v>GA</v>
      </c>
      <c r="D1190" t="str">
        <f>IFERROR(__xludf.DUMMYFUNCTION("""COMPUTED_VALUE"""),"USA")</f>
        <v>USA</v>
      </c>
      <c r="E1190" s="188">
        <f>IFERROR(__xludf.DUMMYFUNCTION("""COMPUTED_VALUE"""),43310.0)</f>
        <v>43310</v>
      </c>
      <c r="F1190" s="188">
        <f>IFERROR(__xludf.DUMMYFUNCTION("""COMPUTED_VALUE"""),43385.0)</f>
        <v>43385</v>
      </c>
      <c r="H1190">
        <f>IFERROR(__xludf.DUMMYFUNCTION("""COMPUTED_VALUE"""),116755.0)</f>
        <v>116755</v>
      </c>
      <c r="I1190" t="str">
        <f>IFERROR(__xludf.DUMMYFUNCTION("""COMPUTED_VALUE"""),"10/18")</f>
        <v>10/18</v>
      </c>
      <c r="J1190" s="5">
        <f>IFERROR(__xludf.DUMMYFUNCTION("""COMPUTED_VALUE"""),43400.0)</f>
        <v>43400</v>
      </c>
      <c r="K1190">
        <f>IFERROR(__xludf.DUMMYFUNCTION("""COMPUTED_VALUE"""),75.0)</f>
        <v>75</v>
      </c>
      <c r="L1190">
        <f>IFERROR(__xludf.DUMMYFUNCTION("""COMPUTED_VALUE"""),15.0)</f>
        <v>15</v>
      </c>
      <c r="M1190">
        <f>IFERROR(__xludf.DUMMYFUNCTION("""COMPUTED_VALUE"""),90.0)</f>
        <v>90</v>
      </c>
      <c r="N1190" t="str">
        <f>IFERROR(__xludf.DUMMYFUNCTION("""COMPUTED_VALUE"""),"Model 3 LR AWD")</f>
        <v>Model 3 LR AWD</v>
      </c>
      <c r="O1190" t="str">
        <f>IFERROR(__xludf.DUMMYFUNCTION("""COMPUTED_VALUE"""),"Midnight Silver Metallic")</f>
        <v>Midnight Silver Metallic</v>
      </c>
      <c r="P1190" t="str">
        <f>IFERROR(__xludf.DUMMYFUNCTION("""COMPUTED_VALUE"""),"19 inch Sport")</f>
        <v>19 inch Sport</v>
      </c>
      <c r="Q1190" t="str">
        <f>IFERROR(__xludf.DUMMYFUNCTION("""COMPUTED_VALUE"""),"Black seats")</f>
        <v>Black seats</v>
      </c>
      <c r="R1190" t="str">
        <f>IFERROR(__xludf.DUMMYFUNCTION("""COMPUTED_VALUE"""),"Enhanced Autopilot")</f>
        <v>Enhanced Autopilot</v>
      </c>
      <c r="X1190" t="str">
        <f>IFERROR(__xludf.DUMMYFUNCTION("""COMPUTED_VALUE"""),"Very Good")</f>
        <v>Very Good</v>
      </c>
      <c r="Y1190" t="str">
        <f>IFERROR(__xludf.DUMMYFUNCTION("""COMPUTED_VALUE"""),"Excellent")</f>
        <v>Excellent</v>
      </c>
      <c r="Z1190" t="str">
        <f>IFERROR(__xludf.DUMMYFUNCTION("""COMPUTED_VALUE"""),"Very Good")</f>
        <v>Very Good</v>
      </c>
      <c r="AA1190" t="str">
        <f>IFERROR(__xludf.DUMMYFUNCTION("""COMPUTED_VALUE"""),"Fair")</f>
        <v>Fair</v>
      </c>
      <c r="AB1190" t="str">
        <f>IFERROR(__xludf.DUMMYFUNCTION("""COMPUTED_VALUE"""),"Fair")</f>
        <v>Fair</v>
      </c>
      <c r="AC1190">
        <f>IFERROR(__xludf.DUMMYFUNCTION("""COMPUTED_VALUE"""),5.0)</f>
        <v>5</v>
      </c>
      <c r="AH1190" s="189">
        <f>IFERROR(__xludf.DUMMYFUNCTION("""COMPUTED_VALUE"""),43401.27651747685)</f>
        <v>43401.27652</v>
      </c>
    </row>
    <row r="1191">
      <c r="A1191" t="str">
        <f>IFERROR(__xludf.DUMMYFUNCTION("""COMPUTED_VALUE"""),"ghamer")</f>
        <v>ghamer</v>
      </c>
      <c r="B1191" t="str">
        <f>IFERROR(__xludf.DUMMYFUNCTION("""COMPUTED_VALUE"""),"Thousand Oaks")</f>
        <v>Thousand Oaks</v>
      </c>
      <c r="C1191" t="str">
        <f>IFERROR(__xludf.DUMMYFUNCTION("""COMPUTED_VALUE"""),"CA")</f>
        <v>CA</v>
      </c>
      <c r="D1191" t="str">
        <f>IFERROR(__xludf.DUMMYFUNCTION("""COMPUTED_VALUE"""),"USA")</f>
        <v>USA</v>
      </c>
      <c r="E1191" s="188">
        <f>IFERROR(__xludf.DUMMYFUNCTION("""COMPUTED_VALUE"""),43278.0)</f>
        <v>43278</v>
      </c>
      <c r="F1191" s="188">
        <f>IFERROR(__xludf.DUMMYFUNCTION("""COMPUTED_VALUE"""),43367.0)</f>
        <v>43367</v>
      </c>
      <c r="H1191">
        <f>IFERROR(__xludf.DUMMYFUNCTION("""COMPUTED_VALUE"""),115455.0)</f>
        <v>115455</v>
      </c>
      <c r="I1191" t="str">
        <f>IFERROR(__xludf.DUMMYFUNCTION("""COMPUTED_VALUE"""),"09/18")</f>
        <v>09/18</v>
      </c>
      <c r="J1191" s="5">
        <f>IFERROR(__xludf.DUMMYFUNCTION("""COMPUTED_VALUE"""),43369.0)</f>
        <v>43369</v>
      </c>
      <c r="K1191">
        <f>IFERROR(__xludf.DUMMYFUNCTION("""COMPUTED_VALUE"""),89.0)</f>
        <v>89</v>
      </c>
      <c r="L1191">
        <f>IFERROR(__xludf.DUMMYFUNCTION("""COMPUTED_VALUE"""),2.0)</f>
        <v>2</v>
      </c>
      <c r="M1191">
        <f>IFERROR(__xludf.DUMMYFUNCTION("""COMPUTED_VALUE"""),91.0)</f>
        <v>91</v>
      </c>
      <c r="N1191" t="str">
        <f>IFERROR(__xludf.DUMMYFUNCTION("""COMPUTED_VALUE"""),"Model 3 LR AWD")</f>
        <v>Model 3 LR AWD</v>
      </c>
      <c r="O1191" t="str">
        <f>IFERROR(__xludf.DUMMYFUNCTION("""COMPUTED_VALUE"""),"Pearl White Multi-Coat")</f>
        <v>Pearl White Multi-Coat</v>
      </c>
      <c r="P1191" t="str">
        <f>IFERROR(__xludf.DUMMYFUNCTION("""COMPUTED_VALUE"""),"18 inch Aero")</f>
        <v>18 inch Aero</v>
      </c>
      <c r="Q1191" t="str">
        <f>IFERROR(__xludf.DUMMYFUNCTION("""COMPUTED_VALUE"""),"Black seats")</f>
        <v>Black seats</v>
      </c>
      <c r="R1191" t="str">
        <f>IFERROR(__xludf.DUMMYFUNCTION("""COMPUTED_VALUE"""),"Full Self-Driving")</f>
        <v>Full Self-Driving</v>
      </c>
      <c r="X1191" t="str">
        <f>IFERROR(__xludf.DUMMYFUNCTION("""COMPUTED_VALUE"""),"Excellent")</f>
        <v>Excellent</v>
      </c>
      <c r="Y1191" t="str">
        <f>IFERROR(__xludf.DUMMYFUNCTION("""COMPUTED_VALUE"""),"Excellent")</f>
        <v>Excellent</v>
      </c>
      <c r="Z1191" t="str">
        <f>IFERROR(__xludf.DUMMYFUNCTION("""COMPUTED_VALUE"""),"Excellent")</f>
        <v>Excellent</v>
      </c>
      <c r="AA1191" t="str">
        <f>IFERROR(__xludf.DUMMYFUNCTION("""COMPUTED_VALUE"""),"Excellent")</f>
        <v>Excellent</v>
      </c>
      <c r="AB1191" t="str">
        <f>IFERROR(__xludf.DUMMYFUNCTION("""COMPUTED_VALUE"""),"Excellent")</f>
        <v>Excellent</v>
      </c>
      <c r="AC1191">
        <f>IFERROR(__xludf.DUMMYFUNCTION("""COMPUTED_VALUE"""),0.0)</f>
        <v>0</v>
      </c>
      <c r="AD1191">
        <f>IFERROR(__xludf.DUMMYFUNCTION("""COMPUTED_VALUE"""),0.0)</f>
        <v>0</v>
      </c>
      <c r="AE1191">
        <f>IFERROR(__xludf.DUMMYFUNCTION("""COMPUTED_VALUE"""),0.0)</f>
        <v>0</v>
      </c>
      <c r="AH1191" s="189">
        <f>IFERROR(__xludf.DUMMYFUNCTION("""COMPUTED_VALUE"""),43401.41501525463)</f>
        <v>43401.41502</v>
      </c>
    </row>
    <row r="1192">
      <c r="A1192" t="str">
        <f>IFERROR(__xludf.DUMMYFUNCTION("""COMPUTED_VALUE"""),"ssssly")</f>
        <v>ssssly</v>
      </c>
      <c r="B1192" t="str">
        <f>IFERROR(__xludf.DUMMYFUNCTION("""COMPUTED_VALUE"""),"Orlando")</f>
        <v>Orlando</v>
      </c>
      <c r="C1192" t="str">
        <f>IFERROR(__xludf.DUMMYFUNCTION("""COMPUTED_VALUE"""),"FL")</f>
        <v>FL</v>
      </c>
      <c r="D1192" t="str">
        <f>IFERROR(__xludf.DUMMYFUNCTION("""COMPUTED_VALUE"""),"USA")</f>
        <v>USA</v>
      </c>
      <c r="E1192" s="188">
        <f>IFERROR(__xludf.DUMMYFUNCTION("""COMPUTED_VALUE"""),43326.0)</f>
        <v>43326</v>
      </c>
      <c r="F1192" s="188">
        <f>IFERROR(__xludf.DUMMYFUNCTION("""COMPUTED_VALUE"""),43365.0)</f>
        <v>43365</v>
      </c>
      <c r="H1192">
        <f>IFERROR(__xludf.DUMMYFUNCTION("""COMPUTED_VALUE"""),80764.0)</f>
        <v>80764</v>
      </c>
      <c r="I1192" t="str">
        <f>IFERROR(__xludf.DUMMYFUNCTION("""COMPUTED_VALUE"""),"09/18")</f>
        <v>09/18</v>
      </c>
      <c r="J1192" s="5">
        <f>IFERROR(__xludf.DUMMYFUNCTION("""COMPUTED_VALUE"""),43382.0)</f>
        <v>43382</v>
      </c>
      <c r="K1192">
        <f>IFERROR(__xludf.DUMMYFUNCTION("""COMPUTED_VALUE"""),39.0)</f>
        <v>39</v>
      </c>
      <c r="L1192">
        <f>IFERROR(__xludf.DUMMYFUNCTION("""COMPUTED_VALUE"""),17.0)</f>
        <v>17</v>
      </c>
      <c r="M1192">
        <f>IFERROR(__xludf.DUMMYFUNCTION("""COMPUTED_VALUE"""),56.0)</f>
        <v>56</v>
      </c>
      <c r="N1192" t="str">
        <f>IFERROR(__xludf.DUMMYFUNCTION("""COMPUTED_VALUE"""),"Model 3 Performance")</f>
        <v>Model 3 Performance</v>
      </c>
      <c r="O1192" t="str">
        <f>IFERROR(__xludf.DUMMYFUNCTION("""COMPUTED_VALUE"""),"Deep Blue Metallic")</f>
        <v>Deep Blue Metallic</v>
      </c>
      <c r="P1192" t="str">
        <f>IFERROR(__xludf.DUMMYFUNCTION("""COMPUTED_VALUE"""),"20 inch Sport")</f>
        <v>20 inch Sport</v>
      </c>
      <c r="Q1192" t="str">
        <f>IFERROR(__xludf.DUMMYFUNCTION("""COMPUTED_VALUE"""),"White seats")</f>
        <v>White seats</v>
      </c>
      <c r="R1192" t="str">
        <f>IFERROR(__xludf.DUMMYFUNCTION("""COMPUTED_VALUE"""),"Enhanced Autopilot")</f>
        <v>Enhanced Autopilot</v>
      </c>
      <c r="X1192" t="str">
        <f>IFERROR(__xludf.DUMMYFUNCTION("""COMPUTED_VALUE"""),"Very Good")</f>
        <v>Very Good</v>
      </c>
      <c r="Y1192" t="str">
        <f>IFERROR(__xludf.DUMMYFUNCTION("""COMPUTED_VALUE"""),"Excellent")</f>
        <v>Excellent</v>
      </c>
      <c r="Z1192" t="str">
        <f>IFERROR(__xludf.DUMMYFUNCTION("""COMPUTED_VALUE"""),"Excellent")</f>
        <v>Excellent</v>
      </c>
      <c r="AA1192" t="str">
        <f>IFERROR(__xludf.DUMMYFUNCTION("""COMPUTED_VALUE"""),"Poor")</f>
        <v>Poor</v>
      </c>
      <c r="AB1192" t="str">
        <f>IFERROR(__xludf.DUMMYFUNCTION("""COMPUTED_VALUE"""),"Very Good")</f>
        <v>Very Good</v>
      </c>
      <c r="AC1192">
        <f>IFERROR(__xludf.DUMMYFUNCTION("""COMPUTED_VALUE"""),1.0)</f>
        <v>1</v>
      </c>
      <c r="AD1192">
        <f>IFERROR(__xludf.DUMMYFUNCTION("""COMPUTED_VALUE"""),1.0)</f>
        <v>1</v>
      </c>
      <c r="AE1192">
        <f>IFERROR(__xludf.DUMMYFUNCTION("""COMPUTED_VALUE"""),0.0)</f>
        <v>0</v>
      </c>
      <c r="AG1192" t="str">
        <f>IFERROR(__xludf.DUMMYFUNCTION("""COMPUTED_VALUE""")," Vin changed removed on 9/21 new VIN assigned 9/30; Delivery adjusted 4 times; 9/28, 10/1, 10/6, 10/10; Moved back to 10/9 on 10/8; throughout the entire delivery process I had to be proactive as Tesla wasn't")</f>
        <v> Vin changed removed on 9/21 new VIN assigned 9/30; Delivery adjusted 4 times; 9/28, 10/1, 10/6, 10/10; Moved back to 10/9 on 10/8; throughout the entire delivery process I had to be proactive as Tesla wasn't</v>
      </c>
      <c r="AH1192" s="189">
        <f>IFERROR(__xludf.DUMMYFUNCTION("""COMPUTED_VALUE"""),43401.60965915509)</f>
        <v>43401.60966</v>
      </c>
    </row>
    <row r="1193">
      <c r="A1193" t="str">
        <f>IFERROR(__xludf.DUMMYFUNCTION("""COMPUTED_VALUE"""),"Steve440")</f>
        <v>Steve440</v>
      </c>
      <c r="C1193" t="str">
        <f>IFERROR(__xludf.DUMMYFUNCTION("""COMPUTED_VALUE"""),"PA")</f>
        <v>PA</v>
      </c>
      <c r="D1193" t="str">
        <f>IFERROR(__xludf.DUMMYFUNCTION("""COMPUTED_VALUE"""),"USA")</f>
        <v>USA</v>
      </c>
      <c r="E1193" s="188">
        <f>IFERROR(__xludf.DUMMYFUNCTION("""COMPUTED_VALUE"""),43291.0)</f>
        <v>43291</v>
      </c>
      <c r="F1193" s="188">
        <f>IFERROR(__xludf.DUMMYFUNCTION("""COMPUTED_VALUE"""),43383.0)</f>
        <v>43383</v>
      </c>
      <c r="H1193">
        <f>IFERROR(__xludf.DUMMYFUNCTION("""COMPUTED_VALUE"""),87555.0)</f>
        <v>87555</v>
      </c>
      <c r="J1193" s="5">
        <f>IFERROR(__xludf.DUMMYFUNCTION("""COMPUTED_VALUE"""),43400.0)</f>
        <v>43400</v>
      </c>
      <c r="K1193">
        <f>IFERROR(__xludf.DUMMYFUNCTION("""COMPUTED_VALUE"""),92.0)</f>
        <v>92</v>
      </c>
      <c r="L1193">
        <f>IFERROR(__xludf.DUMMYFUNCTION("""COMPUTED_VALUE"""),17.0)</f>
        <v>17</v>
      </c>
      <c r="M1193">
        <f>IFERROR(__xludf.DUMMYFUNCTION("""COMPUTED_VALUE"""),109.0)</f>
        <v>109</v>
      </c>
      <c r="N1193" t="str">
        <f>IFERROR(__xludf.DUMMYFUNCTION("""COMPUTED_VALUE"""),"Model 3 LR AWD")</f>
        <v>Model 3 LR AWD</v>
      </c>
      <c r="O1193" t="str">
        <f>IFERROR(__xludf.DUMMYFUNCTION("""COMPUTED_VALUE"""),"Silver Metallic")</f>
        <v>Silver Metallic</v>
      </c>
      <c r="P1193" t="str">
        <f>IFERROR(__xludf.DUMMYFUNCTION("""COMPUTED_VALUE"""),"19 inch Sport")</f>
        <v>19 inch Sport</v>
      </c>
      <c r="Q1193" t="str">
        <f>IFERROR(__xludf.DUMMYFUNCTION("""COMPUTED_VALUE"""),"Black seats")</f>
        <v>Black seats</v>
      </c>
      <c r="R1193" t="str">
        <f>IFERROR(__xludf.DUMMYFUNCTION("""COMPUTED_VALUE"""),"None")</f>
        <v>None</v>
      </c>
      <c r="X1193" t="str">
        <f>IFERROR(__xludf.DUMMYFUNCTION("""COMPUTED_VALUE"""),"Very Good")</f>
        <v>Very Good</v>
      </c>
      <c r="Y1193" t="str">
        <f>IFERROR(__xludf.DUMMYFUNCTION("""COMPUTED_VALUE"""),"Excellent")</f>
        <v>Excellent</v>
      </c>
      <c r="Z1193" t="str">
        <f>IFERROR(__xludf.DUMMYFUNCTION("""COMPUTED_VALUE"""),"Excellent")</f>
        <v>Excellent</v>
      </c>
      <c r="AA1193" t="str">
        <f>IFERROR(__xludf.DUMMYFUNCTION("""COMPUTED_VALUE"""),"Very Good")</f>
        <v>Very Good</v>
      </c>
      <c r="AB1193" t="str">
        <f>IFERROR(__xludf.DUMMYFUNCTION("""COMPUTED_VALUE"""),"Very Good")</f>
        <v>Very Good</v>
      </c>
      <c r="AH1193" s="189">
        <f>IFERROR(__xludf.DUMMYFUNCTION("""COMPUTED_VALUE"""),43401.67422609954)</f>
        <v>43401.67423</v>
      </c>
    </row>
    <row r="1194">
      <c r="A1194" t="str">
        <f>IFERROR(__xludf.DUMMYFUNCTION("""COMPUTED_VALUE"""),"gingerale4u")</f>
        <v>gingerale4u</v>
      </c>
      <c r="C1194" t="str">
        <f>IFERROR(__xludf.DUMMYFUNCTION("""COMPUTED_VALUE"""),"AL")</f>
        <v>AL</v>
      </c>
      <c r="D1194" t="str">
        <f>IFERROR(__xludf.DUMMYFUNCTION("""COMPUTED_VALUE"""),"USA")</f>
        <v>USA</v>
      </c>
      <c r="E1194" s="188">
        <f>IFERROR(__xludf.DUMMYFUNCTION("""COMPUTED_VALUE"""),43279.0)</f>
        <v>43279</v>
      </c>
      <c r="H1194">
        <f>IFERROR(__xludf.DUMMYFUNCTION("""COMPUTED_VALUE"""),94655.0)</f>
        <v>94655</v>
      </c>
      <c r="J1194" s="5">
        <f>IFERROR(__xludf.DUMMYFUNCTION("""COMPUTED_VALUE"""),43400.0)</f>
        <v>43400</v>
      </c>
      <c r="M1194">
        <f>IFERROR(__xludf.DUMMYFUNCTION("""COMPUTED_VALUE"""),121.0)</f>
        <v>121</v>
      </c>
      <c r="N1194" t="str">
        <f>IFERROR(__xludf.DUMMYFUNCTION("""COMPUTED_VALUE"""),"Model 3 LR AWD")</f>
        <v>Model 3 LR AWD</v>
      </c>
      <c r="O1194" t="str">
        <f>IFERROR(__xludf.DUMMYFUNCTION("""COMPUTED_VALUE"""),"Deep Blue Metallic")</f>
        <v>Deep Blue Metallic</v>
      </c>
      <c r="P1194" t="str">
        <f>IFERROR(__xludf.DUMMYFUNCTION("""COMPUTED_VALUE"""),"18 inch Aero")</f>
        <v>18 inch Aero</v>
      </c>
      <c r="Q1194" t="str">
        <f>IFERROR(__xludf.DUMMYFUNCTION("""COMPUTED_VALUE"""),"Black seats")</f>
        <v>Black seats</v>
      </c>
      <c r="R1194" t="str">
        <f>IFERROR(__xludf.DUMMYFUNCTION("""COMPUTED_VALUE"""),"None")</f>
        <v>None</v>
      </c>
      <c r="X1194" t="str">
        <f>IFERROR(__xludf.DUMMYFUNCTION("""COMPUTED_VALUE"""),"Excellent")</f>
        <v>Excellent</v>
      </c>
      <c r="Y1194" t="str">
        <f>IFERROR(__xludf.DUMMYFUNCTION("""COMPUTED_VALUE"""),"Excellent")</f>
        <v>Excellent</v>
      </c>
      <c r="Z1194" t="str">
        <f>IFERROR(__xludf.DUMMYFUNCTION("""COMPUTED_VALUE"""),"Excellent")</f>
        <v>Excellent</v>
      </c>
      <c r="AA1194" t="str">
        <f>IFERROR(__xludf.DUMMYFUNCTION("""COMPUTED_VALUE"""),"Excellent")</f>
        <v>Excellent</v>
      </c>
      <c r="AB1194" t="str">
        <f>IFERROR(__xludf.DUMMYFUNCTION("""COMPUTED_VALUE"""),"Excellent")</f>
        <v>Excellent</v>
      </c>
      <c r="AH1194" s="189">
        <f>IFERROR(__xludf.DUMMYFUNCTION("""COMPUTED_VALUE"""),43401.72260108797)</f>
        <v>43401.7226</v>
      </c>
    </row>
    <row r="1195">
      <c r="A1195" t="str">
        <f>IFERROR(__xludf.DUMMYFUNCTION("""COMPUTED_VALUE"""),"Tripodbruno")</f>
        <v>Tripodbruno</v>
      </c>
      <c r="B1195" t="str">
        <f>IFERROR(__xludf.DUMMYFUNCTION("""COMPUTED_VALUE"""),"Centennial")</f>
        <v>Centennial</v>
      </c>
      <c r="C1195" t="str">
        <f>IFERROR(__xludf.DUMMYFUNCTION("""COMPUTED_VALUE"""),"CO")</f>
        <v>CO</v>
      </c>
      <c r="D1195" t="str">
        <f>IFERROR(__xludf.DUMMYFUNCTION("""COMPUTED_VALUE"""),"USA")</f>
        <v>USA</v>
      </c>
      <c r="E1195" s="188">
        <f>IFERROR(__xludf.DUMMYFUNCTION("""COMPUTED_VALUE"""),43385.0)</f>
        <v>43385</v>
      </c>
      <c r="F1195" s="188">
        <f>IFERROR(__xludf.DUMMYFUNCTION("""COMPUTED_VALUE"""),43387.0)</f>
        <v>43387</v>
      </c>
      <c r="H1195">
        <f>IFERROR(__xludf.DUMMYFUNCTION("""COMPUTED_VALUE"""),85195.0)</f>
        <v>85195</v>
      </c>
      <c r="I1195" t="str">
        <f>IFERROR(__xludf.DUMMYFUNCTION("""COMPUTED_VALUE"""),"09/18")</f>
        <v>09/18</v>
      </c>
      <c r="J1195" s="5">
        <f>IFERROR(__xludf.DUMMYFUNCTION("""COMPUTED_VALUE"""),43391.0)</f>
        <v>43391</v>
      </c>
      <c r="K1195">
        <f>IFERROR(__xludf.DUMMYFUNCTION("""COMPUTED_VALUE"""),2.0)</f>
        <v>2</v>
      </c>
      <c r="L1195">
        <f>IFERROR(__xludf.DUMMYFUNCTION("""COMPUTED_VALUE"""),4.0)</f>
        <v>4</v>
      </c>
      <c r="M1195">
        <f>IFERROR(__xludf.DUMMYFUNCTION("""COMPUTED_VALUE"""),6.0)</f>
        <v>6</v>
      </c>
      <c r="N1195" t="str">
        <f>IFERROR(__xludf.DUMMYFUNCTION("""COMPUTED_VALUE"""),"Model 3 LR AWD")</f>
        <v>Model 3 LR AWD</v>
      </c>
      <c r="O1195" t="str">
        <f>IFERROR(__xludf.DUMMYFUNCTION("""COMPUTED_VALUE"""),"Deep Blue Metallic")</f>
        <v>Deep Blue Metallic</v>
      </c>
      <c r="P1195" t="str">
        <f>IFERROR(__xludf.DUMMYFUNCTION("""COMPUTED_VALUE"""),"18 inch Aero")</f>
        <v>18 inch Aero</v>
      </c>
      <c r="Q1195" t="str">
        <f>IFERROR(__xludf.DUMMYFUNCTION("""COMPUTED_VALUE"""),"Black seats")</f>
        <v>Black seats</v>
      </c>
      <c r="R1195" t="str">
        <f>IFERROR(__xludf.DUMMYFUNCTION("""COMPUTED_VALUE"""),"None")</f>
        <v>None</v>
      </c>
      <c r="X1195" t="str">
        <f>IFERROR(__xludf.DUMMYFUNCTION("""COMPUTED_VALUE"""),"Very Good")</f>
        <v>Very Good</v>
      </c>
      <c r="Y1195" t="str">
        <f>IFERROR(__xludf.DUMMYFUNCTION("""COMPUTED_VALUE"""),"Excellent")</f>
        <v>Excellent</v>
      </c>
      <c r="Z1195" t="str">
        <f>IFERROR(__xludf.DUMMYFUNCTION("""COMPUTED_VALUE"""),"Excellent")</f>
        <v>Excellent</v>
      </c>
      <c r="AA1195" t="str">
        <f>IFERROR(__xludf.DUMMYFUNCTION("""COMPUTED_VALUE"""),"Excellent")</f>
        <v>Excellent</v>
      </c>
      <c r="AB1195" t="str">
        <f>IFERROR(__xludf.DUMMYFUNCTION("""COMPUTED_VALUE"""),"Excellent")</f>
        <v>Excellent</v>
      </c>
      <c r="AC1195">
        <f>IFERROR(__xludf.DUMMYFUNCTION("""COMPUTED_VALUE"""),0.0)</f>
        <v>0</v>
      </c>
      <c r="AD1195">
        <f>IFERROR(__xludf.DUMMYFUNCTION("""COMPUTED_VALUE"""),0.0)</f>
        <v>0</v>
      </c>
      <c r="AE1195">
        <f>IFERROR(__xludf.DUMMYFUNCTION("""COMPUTED_VALUE"""),0.0)</f>
        <v>0</v>
      </c>
      <c r="AG1195" t="str">
        <f>IFERROR(__xludf.DUMMYFUNCTION("""COMPUTED_VALUE"""),"N/A")</f>
        <v>N/A</v>
      </c>
      <c r="AH1195" s="189">
        <f>IFERROR(__xludf.DUMMYFUNCTION("""COMPUTED_VALUE"""),43401.79227439815)</f>
        <v>43401.79227</v>
      </c>
    </row>
    <row r="1196">
      <c r="A1196" t="str">
        <f>IFERROR(__xludf.DUMMYFUNCTION("""COMPUTED_VALUE"""),"Texla 3")</f>
        <v>Texla 3</v>
      </c>
      <c r="B1196" t="str">
        <f>IFERROR(__xludf.DUMMYFUNCTION("""COMPUTED_VALUE"""),"Houston")</f>
        <v>Houston</v>
      </c>
      <c r="C1196" t="str">
        <f>IFERROR(__xludf.DUMMYFUNCTION("""COMPUTED_VALUE"""),"TX")</f>
        <v>TX</v>
      </c>
      <c r="D1196" t="str">
        <f>IFERROR(__xludf.DUMMYFUNCTION("""COMPUTED_VALUE"""),"USA")</f>
        <v>USA</v>
      </c>
      <c r="E1196" s="188">
        <f>IFERROR(__xludf.DUMMYFUNCTION("""COMPUTED_VALUE"""),43372.0)</f>
        <v>43372</v>
      </c>
      <c r="F1196" s="188">
        <f>IFERROR(__xludf.DUMMYFUNCTION("""COMPUTED_VALUE"""),43389.0)</f>
        <v>43389</v>
      </c>
      <c r="H1196">
        <f>IFERROR(__xludf.DUMMYFUNCTION("""COMPUTED_VALUE"""),117355.0)</f>
        <v>117355</v>
      </c>
      <c r="J1196" s="5">
        <f>IFERROR(__xludf.DUMMYFUNCTION("""COMPUTED_VALUE"""),43399.0)</f>
        <v>43399</v>
      </c>
      <c r="K1196">
        <f>IFERROR(__xludf.DUMMYFUNCTION("""COMPUTED_VALUE"""),17.0)</f>
        <v>17</v>
      </c>
      <c r="L1196">
        <f>IFERROR(__xludf.DUMMYFUNCTION("""COMPUTED_VALUE"""),10.0)</f>
        <v>10</v>
      </c>
      <c r="M1196">
        <f>IFERROR(__xludf.DUMMYFUNCTION("""COMPUTED_VALUE"""),27.0)</f>
        <v>27</v>
      </c>
      <c r="N1196" t="str">
        <f>IFERROR(__xludf.DUMMYFUNCTION("""COMPUTED_VALUE"""),"Model 3 LR AWD")</f>
        <v>Model 3 LR AWD</v>
      </c>
      <c r="O1196" t="str">
        <f>IFERROR(__xludf.DUMMYFUNCTION("""COMPUTED_VALUE"""),"Red Multi-Coat")</f>
        <v>Red Multi-Coat</v>
      </c>
      <c r="P1196" t="str">
        <f>IFERROR(__xludf.DUMMYFUNCTION("""COMPUTED_VALUE"""),"19 inch Sport")</f>
        <v>19 inch Sport</v>
      </c>
      <c r="Q1196" t="str">
        <f>IFERROR(__xludf.DUMMYFUNCTION("""COMPUTED_VALUE"""),"Black seats")</f>
        <v>Black seats</v>
      </c>
      <c r="R1196" t="str">
        <f>IFERROR(__xludf.DUMMYFUNCTION("""COMPUTED_VALUE"""),"Full Self-Driving")</f>
        <v>Full Self-Driving</v>
      </c>
      <c r="X1196" t="str">
        <f>IFERROR(__xludf.DUMMYFUNCTION("""COMPUTED_VALUE"""),"Excellent")</f>
        <v>Excellent</v>
      </c>
      <c r="Y1196" t="str">
        <f>IFERROR(__xludf.DUMMYFUNCTION("""COMPUTED_VALUE"""),"Excellent")</f>
        <v>Excellent</v>
      </c>
      <c r="Z1196" t="str">
        <f>IFERROR(__xludf.DUMMYFUNCTION("""COMPUTED_VALUE"""),"Excellent")</f>
        <v>Excellent</v>
      </c>
      <c r="AA1196" t="str">
        <f>IFERROR(__xludf.DUMMYFUNCTION("""COMPUTED_VALUE"""),"Excellent")</f>
        <v>Excellent</v>
      </c>
      <c r="AB1196" t="str">
        <f>IFERROR(__xludf.DUMMYFUNCTION("""COMPUTED_VALUE"""),"Excellent")</f>
        <v>Excellent</v>
      </c>
      <c r="AH1196" s="189">
        <f>IFERROR(__xludf.DUMMYFUNCTION("""COMPUTED_VALUE"""),43401.994780497684)</f>
        <v>43401.99478</v>
      </c>
    </row>
    <row r="1197">
      <c r="A1197" t="str">
        <f>IFERROR(__xludf.DUMMYFUNCTION("""COMPUTED_VALUE"""),"aef218")</f>
        <v>aef218</v>
      </c>
      <c r="B1197" t="str">
        <f>IFERROR(__xludf.DUMMYFUNCTION("""COMPUTED_VALUE"""),"Atlanta")</f>
        <v>Atlanta</v>
      </c>
      <c r="C1197" t="str">
        <f>IFERROR(__xludf.DUMMYFUNCTION("""COMPUTED_VALUE"""),"GA")</f>
        <v>GA</v>
      </c>
      <c r="D1197" t="str">
        <f>IFERROR(__xludf.DUMMYFUNCTION("""COMPUTED_VALUE"""),"USA")</f>
        <v>USA</v>
      </c>
      <c r="E1197" s="188">
        <f>IFERROR(__xludf.DUMMYFUNCTION("""COMPUTED_VALUE"""),43279.0)</f>
        <v>43279</v>
      </c>
      <c r="F1197" s="188">
        <f>IFERROR(__xludf.DUMMYFUNCTION("""COMPUTED_VALUE"""),43385.0)</f>
        <v>43385</v>
      </c>
      <c r="H1197">
        <f>IFERROR(__xludf.DUMMYFUNCTION("""COMPUTED_VALUE"""),121153.0)</f>
        <v>121153</v>
      </c>
      <c r="I1197" t="str">
        <f>IFERROR(__xludf.DUMMYFUNCTION("""COMPUTED_VALUE"""),"10/18")</f>
        <v>10/18</v>
      </c>
      <c r="J1197" s="5">
        <f>IFERROR(__xludf.DUMMYFUNCTION("""COMPUTED_VALUE"""),43401.0)</f>
        <v>43401</v>
      </c>
      <c r="K1197">
        <f>IFERROR(__xludf.DUMMYFUNCTION("""COMPUTED_VALUE"""),106.0)</f>
        <v>106</v>
      </c>
      <c r="L1197">
        <f>IFERROR(__xludf.DUMMYFUNCTION("""COMPUTED_VALUE"""),16.0)</f>
        <v>16</v>
      </c>
      <c r="M1197">
        <f>IFERROR(__xludf.DUMMYFUNCTION("""COMPUTED_VALUE"""),122.0)</f>
        <v>122</v>
      </c>
      <c r="N1197" t="str">
        <f>IFERROR(__xludf.DUMMYFUNCTION("""COMPUTED_VALUE"""),"Model 3 LR AWD")</f>
        <v>Model 3 LR AWD</v>
      </c>
      <c r="O1197" t="str">
        <f>IFERROR(__xludf.DUMMYFUNCTION("""COMPUTED_VALUE"""),"Midnight Silver Metallic")</f>
        <v>Midnight Silver Metallic</v>
      </c>
      <c r="P1197" t="str">
        <f>IFERROR(__xludf.DUMMYFUNCTION("""COMPUTED_VALUE"""),"19 inch Sport")</f>
        <v>19 inch Sport</v>
      </c>
      <c r="Q1197" t="str">
        <f>IFERROR(__xludf.DUMMYFUNCTION("""COMPUTED_VALUE"""),"Black seats")</f>
        <v>Black seats</v>
      </c>
      <c r="R1197" t="str">
        <f>IFERROR(__xludf.DUMMYFUNCTION("""COMPUTED_VALUE"""),"Full Self-Driving")</f>
        <v>Full Self-Driving</v>
      </c>
      <c r="X1197" t="str">
        <f>IFERROR(__xludf.DUMMYFUNCTION("""COMPUTED_VALUE"""),"Excellent")</f>
        <v>Excellent</v>
      </c>
      <c r="Y1197" t="str">
        <f>IFERROR(__xludf.DUMMYFUNCTION("""COMPUTED_VALUE"""),"Excellent")</f>
        <v>Excellent</v>
      </c>
      <c r="Z1197" t="str">
        <f>IFERROR(__xludf.DUMMYFUNCTION("""COMPUTED_VALUE"""),"Excellent")</f>
        <v>Excellent</v>
      </c>
      <c r="AA1197" t="str">
        <f>IFERROR(__xludf.DUMMYFUNCTION("""COMPUTED_VALUE"""),"Excellent")</f>
        <v>Excellent</v>
      </c>
      <c r="AB1197" t="str">
        <f>IFERROR(__xludf.DUMMYFUNCTION("""COMPUTED_VALUE"""),"Excellent")</f>
        <v>Excellent</v>
      </c>
      <c r="AH1197" s="189">
        <f>IFERROR(__xludf.DUMMYFUNCTION("""COMPUTED_VALUE"""),43402.223133680556)</f>
        <v>43402.22313</v>
      </c>
    </row>
    <row r="1198">
      <c r="A1198" t="str">
        <f>IFERROR(__xludf.DUMMYFUNCTION("""COMPUTED_VALUE"""),"tezzla")</f>
        <v>tezzla</v>
      </c>
      <c r="B1198" t="str">
        <f>IFERROR(__xludf.DUMMYFUNCTION("""COMPUTED_VALUE"""),"Los Angeles")</f>
        <v>Los Angeles</v>
      </c>
      <c r="C1198" t="str">
        <f>IFERROR(__xludf.DUMMYFUNCTION("""COMPUTED_VALUE"""),"CA")</f>
        <v>CA</v>
      </c>
      <c r="D1198" t="str">
        <f>IFERROR(__xludf.DUMMYFUNCTION("""COMPUTED_VALUE"""),"USA")</f>
        <v>USA</v>
      </c>
      <c r="E1198" s="188">
        <f>IFERROR(__xludf.DUMMYFUNCTION("""COMPUTED_VALUE"""),43320.0)</f>
        <v>43320</v>
      </c>
      <c r="F1198" s="188">
        <f>IFERROR(__xludf.DUMMYFUNCTION("""COMPUTED_VALUE"""),43370.0)</f>
        <v>43370</v>
      </c>
      <c r="H1198" s="4">
        <f>IFERROR(__xludf.DUMMYFUNCTION("""COMPUTED_VALUE"""),93802.0)</f>
        <v>93802</v>
      </c>
      <c r="J1198" s="5">
        <f>IFERROR(__xludf.DUMMYFUNCTION("""COMPUTED_VALUE"""),43374.0)</f>
        <v>43374</v>
      </c>
      <c r="K1198">
        <f>IFERROR(__xludf.DUMMYFUNCTION("""COMPUTED_VALUE"""),50.0)</f>
        <v>50</v>
      </c>
      <c r="L1198">
        <f>IFERROR(__xludf.DUMMYFUNCTION("""COMPUTED_VALUE"""),4.0)</f>
        <v>4</v>
      </c>
      <c r="M1198">
        <f>IFERROR(__xludf.DUMMYFUNCTION("""COMPUTED_VALUE"""),54.0)</f>
        <v>54</v>
      </c>
      <c r="N1198" t="str">
        <f>IFERROR(__xludf.DUMMYFUNCTION("""COMPUTED_VALUE"""),"Model 3 LR AWD")</f>
        <v>Model 3 LR AWD</v>
      </c>
      <c r="O1198" t="str">
        <f>IFERROR(__xludf.DUMMYFUNCTION("""COMPUTED_VALUE"""),"Pearl White Multi-Coat")</f>
        <v>Pearl White Multi-Coat</v>
      </c>
      <c r="P1198" t="str">
        <f>IFERROR(__xludf.DUMMYFUNCTION("""COMPUTED_VALUE"""),"18 inch Aero")</f>
        <v>18 inch Aero</v>
      </c>
      <c r="Q1198" t="str">
        <f>IFERROR(__xludf.DUMMYFUNCTION("""COMPUTED_VALUE"""),"Black seats")</f>
        <v>Black seats</v>
      </c>
      <c r="R1198" t="str">
        <f>IFERROR(__xludf.DUMMYFUNCTION("""COMPUTED_VALUE"""),"Enhanced Autopilot")</f>
        <v>Enhanced Autopilot</v>
      </c>
      <c r="X1198" t="str">
        <f>IFERROR(__xludf.DUMMYFUNCTION("""COMPUTED_VALUE"""),"Excellent")</f>
        <v>Excellent</v>
      </c>
      <c r="Y1198" t="str">
        <f>IFERROR(__xludf.DUMMYFUNCTION("""COMPUTED_VALUE"""),"Excellent")</f>
        <v>Excellent</v>
      </c>
      <c r="Z1198" t="str">
        <f>IFERROR(__xludf.DUMMYFUNCTION("""COMPUTED_VALUE"""),"Excellent")</f>
        <v>Excellent</v>
      </c>
      <c r="AA1198" t="str">
        <f>IFERROR(__xludf.DUMMYFUNCTION("""COMPUTED_VALUE"""),"Good")</f>
        <v>Good</v>
      </c>
      <c r="AB1198" t="str">
        <f>IFERROR(__xludf.DUMMYFUNCTION("""COMPUTED_VALUE"""),"Excellent")</f>
        <v>Excellent</v>
      </c>
      <c r="AC1198">
        <f>IFERROR(__xludf.DUMMYFUNCTION("""COMPUTED_VALUE"""),0.0)</f>
        <v>0</v>
      </c>
      <c r="AD1198">
        <f>IFERROR(__xludf.DUMMYFUNCTION("""COMPUTED_VALUE"""),0.0)</f>
        <v>0</v>
      </c>
      <c r="AE1198">
        <f>IFERROR(__xludf.DUMMYFUNCTION("""COMPUTED_VALUE"""),0.0)</f>
        <v>0</v>
      </c>
      <c r="AG1198" t="str">
        <f>IFERROR(__xludf.DUMMYFUNCTION("""COMPUTED_VALUE"""),"Delivery email on 9-6-18")</f>
        <v>Delivery email on 9-6-18</v>
      </c>
      <c r="AH1198" s="189">
        <f>IFERROR(__xludf.DUMMYFUNCTION("""COMPUTED_VALUE"""),43402.40364010417)</f>
        <v>43402.40364</v>
      </c>
    </row>
    <row r="1199">
      <c r="A1199" t="str">
        <f>IFERROR(__xludf.DUMMYFUNCTION("""COMPUTED_VALUE"""),"TheDude8890")</f>
        <v>TheDude8890</v>
      </c>
      <c r="C1199" t="str">
        <f>IFERROR(__xludf.DUMMYFUNCTION("""COMPUTED_VALUE"""),"SC")</f>
        <v>SC</v>
      </c>
      <c r="D1199" t="str">
        <f>IFERROR(__xludf.DUMMYFUNCTION("""COMPUTED_VALUE"""),"USA")</f>
        <v>USA</v>
      </c>
      <c r="E1199" s="188">
        <f>IFERROR(__xludf.DUMMYFUNCTION("""COMPUTED_VALUE"""),43279.0)</f>
        <v>43279</v>
      </c>
      <c r="F1199" s="188">
        <f>IFERROR(__xludf.DUMMYFUNCTION("""COMPUTED_VALUE"""),43374.0)</f>
        <v>43374</v>
      </c>
      <c r="H1199">
        <f>IFERROR(__xludf.DUMMYFUNCTION("""COMPUTED_VALUE"""),72255.0)</f>
        <v>72255</v>
      </c>
      <c r="J1199" s="5">
        <f>IFERROR(__xludf.DUMMYFUNCTION("""COMPUTED_VALUE"""),43384.0)</f>
        <v>43384</v>
      </c>
      <c r="K1199">
        <f>IFERROR(__xludf.DUMMYFUNCTION("""COMPUTED_VALUE"""),95.0)</f>
        <v>95</v>
      </c>
      <c r="L1199">
        <f>IFERROR(__xludf.DUMMYFUNCTION("""COMPUTED_VALUE"""),10.0)</f>
        <v>10</v>
      </c>
      <c r="M1199">
        <f>IFERROR(__xludf.DUMMYFUNCTION("""COMPUTED_VALUE"""),105.0)</f>
        <v>105</v>
      </c>
      <c r="N1199" t="str">
        <f>IFERROR(__xludf.DUMMYFUNCTION("""COMPUTED_VALUE"""),"Model 3 Performance")</f>
        <v>Model 3 Performance</v>
      </c>
      <c r="O1199" t="str">
        <f>IFERROR(__xludf.DUMMYFUNCTION("""COMPUTED_VALUE"""),"Deep Blue Metallic")</f>
        <v>Deep Blue Metallic</v>
      </c>
      <c r="P1199" t="str">
        <f>IFERROR(__xludf.DUMMYFUNCTION("""COMPUTED_VALUE"""),"20 inch Sport")</f>
        <v>20 inch Sport</v>
      </c>
      <c r="Q1199" t="str">
        <f>IFERROR(__xludf.DUMMYFUNCTION("""COMPUTED_VALUE"""),"Black seats")</f>
        <v>Black seats</v>
      </c>
      <c r="R1199" t="str">
        <f>IFERROR(__xludf.DUMMYFUNCTION("""COMPUTED_VALUE"""),"None")</f>
        <v>None</v>
      </c>
      <c r="X1199" t="str">
        <f>IFERROR(__xludf.DUMMYFUNCTION("""COMPUTED_VALUE"""),"Excellent")</f>
        <v>Excellent</v>
      </c>
      <c r="Y1199" t="str">
        <f>IFERROR(__xludf.DUMMYFUNCTION("""COMPUTED_VALUE"""),"Very Good")</f>
        <v>Very Good</v>
      </c>
      <c r="Z1199" t="str">
        <f>IFERROR(__xludf.DUMMYFUNCTION("""COMPUTED_VALUE"""),"Excellent")</f>
        <v>Excellent</v>
      </c>
      <c r="AA1199" t="str">
        <f>IFERROR(__xludf.DUMMYFUNCTION("""COMPUTED_VALUE"""),"Good")</f>
        <v>Good</v>
      </c>
      <c r="AB1199" t="str">
        <f>IFERROR(__xludf.DUMMYFUNCTION("""COMPUTED_VALUE"""),"Poor")</f>
        <v>Poor</v>
      </c>
      <c r="AH1199" s="189">
        <f>IFERROR(__xludf.DUMMYFUNCTION("""COMPUTED_VALUE"""),43402.41309913194)</f>
        <v>43402.4131</v>
      </c>
    </row>
    <row r="1200">
      <c r="A1200" t="str">
        <f>IFERROR(__xludf.DUMMYFUNCTION("""COMPUTED_VALUE"""),"Petrlol")</f>
        <v>Petrlol</v>
      </c>
      <c r="B1200" t="str">
        <f>IFERROR(__xludf.DUMMYFUNCTION("""COMPUTED_VALUE"""),"Columbus")</f>
        <v>Columbus</v>
      </c>
      <c r="C1200" t="str">
        <f>IFERROR(__xludf.DUMMYFUNCTION("""COMPUTED_VALUE"""),"OH")</f>
        <v>OH</v>
      </c>
      <c r="D1200" t="str">
        <f>IFERROR(__xludf.DUMMYFUNCTION("""COMPUTED_VALUE"""),"USA")</f>
        <v>USA</v>
      </c>
      <c r="E1200" s="188">
        <f>IFERROR(__xludf.DUMMYFUNCTION("""COMPUTED_VALUE"""),43377.0)</f>
        <v>43377</v>
      </c>
      <c r="F1200" s="188">
        <f>IFERROR(__xludf.DUMMYFUNCTION("""COMPUTED_VALUE"""),43396.0)</f>
        <v>43396</v>
      </c>
      <c r="H1200">
        <f>IFERROR(__xludf.DUMMYFUNCTION("""COMPUTED_VALUE"""),56155.0)</f>
        <v>56155</v>
      </c>
      <c r="I1200" t="str">
        <f>IFERROR(__xludf.DUMMYFUNCTION("""COMPUTED_VALUE"""),"10/18")</f>
        <v>10/18</v>
      </c>
      <c r="J1200" s="5">
        <f>IFERROR(__xludf.DUMMYFUNCTION("""COMPUTED_VALUE"""),43402.0)</f>
        <v>43402</v>
      </c>
      <c r="K1200">
        <f>IFERROR(__xludf.DUMMYFUNCTION("""COMPUTED_VALUE"""),19.0)</f>
        <v>19</v>
      </c>
      <c r="L1200">
        <f>IFERROR(__xludf.DUMMYFUNCTION("""COMPUTED_VALUE"""),6.0)</f>
        <v>6</v>
      </c>
      <c r="M1200">
        <f>IFERROR(__xludf.DUMMYFUNCTION("""COMPUTED_VALUE"""),25.0)</f>
        <v>25</v>
      </c>
      <c r="N1200" t="str">
        <f>IFERROR(__xludf.DUMMYFUNCTION("""COMPUTED_VALUE"""),"Model 3 LR AWD")</f>
        <v>Model 3 LR AWD</v>
      </c>
      <c r="O1200" t="str">
        <f>IFERROR(__xludf.DUMMYFUNCTION("""COMPUTED_VALUE"""),"Midnight Silver Metallic")</f>
        <v>Midnight Silver Metallic</v>
      </c>
      <c r="P1200" t="str">
        <f>IFERROR(__xludf.DUMMYFUNCTION("""COMPUTED_VALUE"""),"18 inch Aero")</f>
        <v>18 inch Aero</v>
      </c>
      <c r="Q1200" t="str">
        <f>IFERROR(__xludf.DUMMYFUNCTION("""COMPUTED_VALUE"""),"White seats")</f>
        <v>White seats</v>
      </c>
      <c r="R1200" t="str">
        <f>IFERROR(__xludf.DUMMYFUNCTION("""COMPUTED_VALUE"""),"Enhanced Autopilot")</f>
        <v>Enhanced Autopilot</v>
      </c>
      <c r="X1200" t="str">
        <f>IFERROR(__xludf.DUMMYFUNCTION("""COMPUTED_VALUE"""),"Excellent")</f>
        <v>Excellent</v>
      </c>
      <c r="Y1200" t="str">
        <f>IFERROR(__xludf.DUMMYFUNCTION("""COMPUTED_VALUE"""),"Excellent")</f>
        <v>Excellent</v>
      </c>
      <c r="Z1200" t="str">
        <f>IFERROR(__xludf.DUMMYFUNCTION("""COMPUTED_VALUE"""),"Excellent")</f>
        <v>Excellent</v>
      </c>
      <c r="AA1200" t="str">
        <f>IFERROR(__xludf.DUMMYFUNCTION("""COMPUTED_VALUE"""),"Good")</f>
        <v>Good</v>
      </c>
      <c r="AB1200" t="str">
        <f>IFERROR(__xludf.DUMMYFUNCTION("""COMPUTED_VALUE"""),"Excellent")</f>
        <v>Excellent</v>
      </c>
      <c r="AH1200" s="189">
        <f>IFERROR(__xludf.DUMMYFUNCTION("""COMPUTED_VALUE"""),43402.720209548614)</f>
        <v>43402.72021</v>
      </c>
    </row>
    <row r="1201">
      <c r="A1201" t="str">
        <f>IFERROR(__xludf.DUMMYFUNCTION("""COMPUTED_VALUE"""),"fan3")</f>
        <v>fan3</v>
      </c>
      <c r="B1201" t="str">
        <f>IFERROR(__xludf.DUMMYFUNCTION("""COMPUTED_VALUE"""),"Herndon")</f>
        <v>Herndon</v>
      </c>
      <c r="C1201" t="str">
        <f>IFERROR(__xludf.DUMMYFUNCTION("""COMPUTED_VALUE"""),"VA")</f>
        <v>VA</v>
      </c>
      <c r="D1201" t="str">
        <f>IFERROR(__xludf.DUMMYFUNCTION("""COMPUTED_VALUE"""),"USA")</f>
        <v>USA</v>
      </c>
      <c r="E1201" s="188">
        <f>IFERROR(__xludf.DUMMYFUNCTION("""COMPUTED_VALUE"""),43278.0)</f>
        <v>43278</v>
      </c>
      <c r="F1201" s="188">
        <f>IFERROR(__xludf.DUMMYFUNCTION("""COMPUTED_VALUE"""),43376.0)</f>
        <v>43376</v>
      </c>
      <c r="H1201">
        <f>IFERROR(__xludf.DUMMYFUNCTION("""COMPUTED_VALUE"""),117755.0)</f>
        <v>117755</v>
      </c>
      <c r="I1201" t="str">
        <f>IFERROR(__xludf.DUMMYFUNCTION("""COMPUTED_VALUE"""),"10/18")</f>
        <v>10/18</v>
      </c>
      <c r="J1201" s="5">
        <f>IFERROR(__xludf.DUMMYFUNCTION("""COMPUTED_VALUE"""),43402.0)</f>
        <v>43402</v>
      </c>
      <c r="K1201">
        <f>IFERROR(__xludf.DUMMYFUNCTION("""COMPUTED_VALUE"""),98.0)</f>
        <v>98</v>
      </c>
      <c r="L1201">
        <f>IFERROR(__xludf.DUMMYFUNCTION("""COMPUTED_VALUE"""),26.0)</f>
        <v>26</v>
      </c>
      <c r="M1201">
        <f>IFERROR(__xludf.DUMMYFUNCTION("""COMPUTED_VALUE"""),124.0)</f>
        <v>124</v>
      </c>
      <c r="N1201" t="str">
        <f>IFERROR(__xludf.DUMMYFUNCTION("""COMPUTED_VALUE"""),"Model 3 LR AWD")</f>
        <v>Model 3 LR AWD</v>
      </c>
      <c r="O1201" t="str">
        <f>IFERROR(__xludf.DUMMYFUNCTION("""COMPUTED_VALUE"""),"Pearl White Multi-Coat")</f>
        <v>Pearl White Multi-Coat</v>
      </c>
      <c r="P1201" t="str">
        <f>IFERROR(__xludf.DUMMYFUNCTION("""COMPUTED_VALUE"""),"19 inch Sport")</f>
        <v>19 inch Sport</v>
      </c>
      <c r="Q1201" t="str">
        <f>IFERROR(__xludf.DUMMYFUNCTION("""COMPUTED_VALUE"""),"Black seats")</f>
        <v>Black seats</v>
      </c>
      <c r="R1201" t="str">
        <f>IFERROR(__xludf.DUMMYFUNCTION("""COMPUTED_VALUE"""),"None")</f>
        <v>None</v>
      </c>
      <c r="X1201" t="str">
        <f>IFERROR(__xludf.DUMMYFUNCTION("""COMPUTED_VALUE"""),"Excellent")</f>
        <v>Excellent</v>
      </c>
      <c r="Y1201" t="str">
        <f>IFERROR(__xludf.DUMMYFUNCTION("""COMPUTED_VALUE"""),"Excellent")</f>
        <v>Excellent</v>
      </c>
      <c r="Z1201" t="str">
        <f>IFERROR(__xludf.DUMMYFUNCTION("""COMPUTED_VALUE"""),"Excellent")</f>
        <v>Excellent</v>
      </c>
      <c r="AA1201" t="str">
        <f>IFERROR(__xludf.DUMMYFUNCTION("""COMPUTED_VALUE"""),"Poor")</f>
        <v>Poor</v>
      </c>
      <c r="AB1201" t="str">
        <f>IFERROR(__xludf.DUMMYFUNCTION("""COMPUTED_VALUE"""),"Excellent")</f>
        <v>Excellent</v>
      </c>
      <c r="AC1201">
        <f>IFERROR(__xludf.DUMMYFUNCTION("""COMPUTED_VALUE"""),0.0)</f>
        <v>0</v>
      </c>
      <c r="AH1201" s="189">
        <f>IFERROR(__xludf.DUMMYFUNCTION("""COMPUTED_VALUE"""),43402.824183530094)</f>
        <v>43402.82418</v>
      </c>
    </row>
    <row r="1202">
      <c r="A1202" t="str">
        <f>IFERROR(__xludf.DUMMYFUNCTION("""COMPUTED_VALUE"""),"jimmicka")</f>
        <v>jimmicka</v>
      </c>
      <c r="B1202" t="str">
        <f>IFERROR(__xludf.DUMMYFUNCTION("""COMPUTED_VALUE"""),"Hoboken")</f>
        <v>Hoboken</v>
      </c>
      <c r="C1202" t="str">
        <f>IFERROR(__xludf.DUMMYFUNCTION("""COMPUTED_VALUE"""),"NJ")</f>
        <v>NJ</v>
      </c>
      <c r="D1202" t="str">
        <f>IFERROR(__xludf.DUMMYFUNCTION("""COMPUTED_VALUE"""),"USA")</f>
        <v>USA</v>
      </c>
      <c r="E1202" s="188">
        <f>IFERROR(__xludf.DUMMYFUNCTION("""COMPUTED_VALUE"""),43281.0)</f>
        <v>43281</v>
      </c>
      <c r="F1202" s="188">
        <f>IFERROR(__xludf.DUMMYFUNCTION("""COMPUTED_VALUE"""),43349.0)</f>
        <v>43349</v>
      </c>
      <c r="H1202">
        <f>IFERROR(__xludf.DUMMYFUNCTION("""COMPUTED_VALUE"""),97955.0)</f>
        <v>97955</v>
      </c>
      <c r="I1202" t="str">
        <f>IFERROR(__xludf.DUMMYFUNCTION("""COMPUTED_VALUE"""),"09/18")</f>
        <v>09/18</v>
      </c>
      <c r="J1202" s="5">
        <f>IFERROR(__xludf.DUMMYFUNCTION("""COMPUTED_VALUE"""),43365.0)</f>
        <v>43365</v>
      </c>
      <c r="K1202">
        <f>IFERROR(__xludf.DUMMYFUNCTION("""COMPUTED_VALUE"""),68.0)</f>
        <v>68</v>
      </c>
      <c r="L1202">
        <f>IFERROR(__xludf.DUMMYFUNCTION("""COMPUTED_VALUE"""),16.0)</f>
        <v>16</v>
      </c>
      <c r="M1202">
        <f>IFERROR(__xludf.DUMMYFUNCTION("""COMPUTED_VALUE"""),84.0)</f>
        <v>84</v>
      </c>
      <c r="N1202" t="str">
        <f>IFERROR(__xludf.DUMMYFUNCTION("""COMPUTED_VALUE"""),"Model 3 LR AWD")</f>
        <v>Model 3 LR AWD</v>
      </c>
      <c r="O1202" t="str">
        <f>IFERROR(__xludf.DUMMYFUNCTION("""COMPUTED_VALUE"""),"Pearl White Multi-Coat")</f>
        <v>Pearl White Multi-Coat</v>
      </c>
      <c r="P1202" t="str">
        <f>IFERROR(__xludf.DUMMYFUNCTION("""COMPUTED_VALUE"""),"19 inch Sport")</f>
        <v>19 inch Sport</v>
      </c>
      <c r="Q1202" t="str">
        <f>IFERROR(__xludf.DUMMYFUNCTION("""COMPUTED_VALUE"""),"White seats")</f>
        <v>White seats</v>
      </c>
      <c r="R1202" t="str">
        <f>IFERROR(__xludf.DUMMYFUNCTION("""COMPUTED_VALUE"""),"Full Self-Driving")</f>
        <v>Full Self-Driving</v>
      </c>
      <c r="X1202" t="str">
        <f>IFERROR(__xludf.DUMMYFUNCTION("""COMPUTED_VALUE"""),"Excellent")</f>
        <v>Excellent</v>
      </c>
      <c r="Y1202" t="str">
        <f>IFERROR(__xludf.DUMMYFUNCTION("""COMPUTED_VALUE"""),"Excellent")</f>
        <v>Excellent</v>
      </c>
      <c r="Z1202" t="str">
        <f>IFERROR(__xludf.DUMMYFUNCTION("""COMPUTED_VALUE"""),"Excellent")</f>
        <v>Excellent</v>
      </c>
      <c r="AA1202" t="str">
        <f>IFERROR(__xludf.DUMMYFUNCTION("""COMPUTED_VALUE"""),"Excellent")</f>
        <v>Excellent</v>
      </c>
      <c r="AB1202" t="str">
        <f>IFERROR(__xludf.DUMMYFUNCTION("""COMPUTED_VALUE"""),"Excellent")</f>
        <v>Excellent</v>
      </c>
      <c r="AC1202">
        <f>IFERROR(__xludf.DUMMYFUNCTION("""COMPUTED_VALUE"""),1.0)</f>
        <v>1</v>
      </c>
      <c r="AD1202">
        <f>IFERROR(__xludf.DUMMYFUNCTION("""COMPUTED_VALUE"""),1.0)</f>
        <v>1</v>
      </c>
      <c r="AE1202">
        <f>IFERROR(__xludf.DUMMYFUNCTION("""COMPUTED_VALUE"""),0.0)</f>
        <v>0</v>
      </c>
      <c r="AH1202" s="189">
        <f>IFERROR(__xludf.DUMMYFUNCTION("""COMPUTED_VALUE"""),43403.08141385417)</f>
        <v>43403.08141</v>
      </c>
    </row>
    <row r="1203">
      <c r="A1203" t="str">
        <f>IFERROR(__xludf.DUMMYFUNCTION("""COMPUTED_VALUE"""),"benn")</f>
        <v>benn</v>
      </c>
      <c r="B1203" t="str">
        <f>IFERROR(__xludf.DUMMYFUNCTION("""COMPUTED_VALUE"""),"Pittsburgh")</f>
        <v>Pittsburgh</v>
      </c>
      <c r="C1203" t="str">
        <f>IFERROR(__xludf.DUMMYFUNCTION("""COMPUTED_VALUE"""),"PA")</f>
        <v>PA</v>
      </c>
      <c r="D1203" t="str">
        <f>IFERROR(__xludf.DUMMYFUNCTION("""COMPUTED_VALUE"""),"USA")</f>
        <v>USA</v>
      </c>
      <c r="E1203" s="188">
        <f>IFERROR(__xludf.DUMMYFUNCTION("""COMPUTED_VALUE"""),43279.0)</f>
        <v>43279</v>
      </c>
      <c r="F1203" s="188">
        <f>IFERROR(__xludf.DUMMYFUNCTION("""COMPUTED_VALUE"""),43328.0)</f>
        <v>43328</v>
      </c>
      <c r="H1203">
        <f>IFERROR(__xludf.DUMMYFUNCTION("""COMPUTED_VALUE"""),68955.0)</f>
        <v>68955</v>
      </c>
      <c r="I1203" t="str">
        <f>IFERROR(__xludf.DUMMYFUNCTION("""COMPUTED_VALUE"""),"08/18")</f>
        <v>08/18</v>
      </c>
      <c r="J1203" s="5">
        <f>IFERROR(__xludf.DUMMYFUNCTION("""COMPUTED_VALUE"""),43335.0)</f>
        <v>43335</v>
      </c>
      <c r="K1203">
        <f>IFERROR(__xludf.DUMMYFUNCTION("""COMPUTED_VALUE"""),49.0)</f>
        <v>49</v>
      </c>
      <c r="L1203">
        <f>IFERROR(__xludf.DUMMYFUNCTION("""COMPUTED_VALUE"""),7.0)</f>
        <v>7</v>
      </c>
      <c r="M1203">
        <f>IFERROR(__xludf.DUMMYFUNCTION("""COMPUTED_VALUE"""),56.0)</f>
        <v>56</v>
      </c>
      <c r="N1203" t="str">
        <f>IFERROR(__xludf.DUMMYFUNCTION("""COMPUTED_VALUE"""),"Model 3 LR AWD")</f>
        <v>Model 3 LR AWD</v>
      </c>
      <c r="O1203" t="str">
        <f>IFERROR(__xludf.DUMMYFUNCTION("""COMPUTED_VALUE"""),"Midnight Silver Metallic")</f>
        <v>Midnight Silver Metallic</v>
      </c>
      <c r="P1203" t="str">
        <f>IFERROR(__xludf.DUMMYFUNCTION("""COMPUTED_VALUE"""),"19 inch Sport")</f>
        <v>19 inch Sport</v>
      </c>
      <c r="Q1203" t="str">
        <f>IFERROR(__xludf.DUMMYFUNCTION("""COMPUTED_VALUE"""),"Black seats")</f>
        <v>Black seats</v>
      </c>
      <c r="R1203" t="str">
        <f>IFERROR(__xludf.DUMMYFUNCTION("""COMPUTED_VALUE"""),"Full Self-Driving")</f>
        <v>Full Self-Driving</v>
      </c>
      <c r="X1203" t="str">
        <f>IFERROR(__xludf.DUMMYFUNCTION("""COMPUTED_VALUE"""),"Excellent")</f>
        <v>Excellent</v>
      </c>
      <c r="Y1203" t="str">
        <f>IFERROR(__xludf.DUMMYFUNCTION("""COMPUTED_VALUE"""),"Excellent")</f>
        <v>Excellent</v>
      </c>
      <c r="Z1203" t="str">
        <f>IFERROR(__xludf.DUMMYFUNCTION("""COMPUTED_VALUE"""),"Excellent")</f>
        <v>Excellent</v>
      </c>
      <c r="AA1203" t="str">
        <f>IFERROR(__xludf.DUMMYFUNCTION("""COMPUTED_VALUE"""),"Good")</f>
        <v>Good</v>
      </c>
      <c r="AB1203" t="str">
        <f>IFERROR(__xludf.DUMMYFUNCTION("""COMPUTED_VALUE"""),"Very Good")</f>
        <v>Very Good</v>
      </c>
      <c r="AC1203">
        <f>IFERROR(__xludf.DUMMYFUNCTION("""COMPUTED_VALUE"""),0.0)</f>
        <v>0</v>
      </c>
      <c r="AD1203">
        <f>IFERROR(__xludf.DUMMYFUNCTION("""COMPUTED_VALUE"""),0.0)</f>
        <v>0</v>
      </c>
      <c r="AE1203">
        <f>IFERROR(__xludf.DUMMYFUNCTION("""COMPUTED_VALUE"""),0.0)</f>
        <v>0</v>
      </c>
      <c r="AH1203" s="189">
        <f>IFERROR(__xludf.DUMMYFUNCTION("""COMPUTED_VALUE"""),43403.21374060185)</f>
        <v>43403.21374</v>
      </c>
    </row>
    <row r="1204">
      <c r="A1204" t="str">
        <f>IFERROR(__xludf.DUMMYFUNCTION("""COMPUTED_VALUE"""),"paco878")</f>
        <v>paco878</v>
      </c>
      <c r="B1204" t="str">
        <f>IFERROR(__xludf.DUMMYFUNCTION("""COMPUTED_VALUE"""),"Austin")</f>
        <v>Austin</v>
      </c>
      <c r="C1204" t="str">
        <f>IFERROR(__xludf.DUMMYFUNCTION("""COMPUTED_VALUE"""),"TX")</f>
        <v>TX</v>
      </c>
      <c r="D1204" t="str">
        <f>IFERROR(__xludf.DUMMYFUNCTION("""COMPUTED_VALUE"""),"USA")</f>
        <v>USA</v>
      </c>
      <c r="E1204" s="188">
        <f>IFERROR(__xludf.DUMMYFUNCTION("""COMPUTED_VALUE"""),43340.0)</f>
        <v>43340</v>
      </c>
      <c r="F1204" s="188">
        <f>IFERROR(__xludf.DUMMYFUNCTION("""COMPUTED_VALUE"""),43342.0)</f>
        <v>43342</v>
      </c>
      <c r="H1204" s="4">
        <f>IFERROR(__xludf.DUMMYFUNCTION("""COMPUTED_VALUE"""),62830.0)</f>
        <v>62830</v>
      </c>
      <c r="I1204" t="str">
        <f>IFERROR(__xludf.DUMMYFUNCTION("""COMPUTED_VALUE"""),"08/18")</f>
        <v>08/18</v>
      </c>
      <c r="J1204" s="5">
        <f>IFERROR(__xludf.DUMMYFUNCTION("""COMPUTED_VALUE"""),43362.0)</f>
        <v>43362</v>
      </c>
      <c r="K1204">
        <f>IFERROR(__xludf.DUMMYFUNCTION("""COMPUTED_VALUE"""),2.0)</f>
        <v>2</v>
      </c>
      <c r="L1204">
        <f>IFERROR(__xludf.DUMMYFUNCTION("""COMPUTED_VALUE"""),20.0)</f>
        <v>20</v>
      </c>
      <c r="M1204">
        <f>IFERROR(__xludf.DUMMYFUNCTION("""COMPUTED_VALUE"""),22.0)</f>
        <v>22</v>
      </c>
      <c r="N1204" t="str">
        <f>IFERROR(__xludf.DUMMYFUNCTION("""COMPUTED_VALUE"""),"Model 3 LR")</f>
        <v>Model 3 LR</v>
      </c>
      <c r="O1204" t="str">
        <f>IFERROR(__xludf.DUMMYFUNCTION("""COMPUTED_VALUE"""),"Solid Black")</f>
        <v>Solid Black</v>
      </c>
      <c r="P1204" t="str">
        <f>IFERROR(__xludf.DUMMYFUNCTION("""COMPUTED_VALUE"""),"18 inch Aero")</f>
        <v>18 inch Aero</v>
      </c>
      <c r="Q1204" t="str">
        <f>IFERROR(__xludf.DUMMYFUNCTION("""COMPUTED_VALUE"""),"Black seats")</f>
        <v>Black seats</v>
      </c>
      <c r="R1204" t="str">
        <f>IFERROR(__xludf.DUMMYFUNCTION("""COMPUTED_VALUE"""),"Enhanced Autopilot")</f>
        <v>Enhanced Autopilot</v>
      </c>
      <c r="X1204" t="str">
        <f>IFERROR(__xludf.DUMMYFUNCTION("""COMPUTED_VALUE"""),"Excellent")</f>
        <v>Excellent</v>
      </c>
      <c r="Y1204" t="str">
        <f>IFERROR(__xludf.DUMMYFUNCTION("""COMPUTED_VALUE"""),"Excellent")</f>
        <v>Excellent</v>
      </c>
      <c r="Z1204" t="str">
        <f>IFERROR(__xludf.DUMMYFUNCTION("""COMPUTED_VALUE"""),"Very Good")</f>
        <v>Very Good</v>
      </c>
      <c r="AA1204" t="str">
        <f>IFERROR(__xludf.DUMMYFUNCTION("""COMPUTED_VALUE"""),"Excellent")</f>
        <v>Excellent</v>
      </c>
      <c r="AB1204" t="str">
        <f>IFERROR(__xludf.DUMMYFUNCTION("""COMPUTED_VALUE"""),"Excellent")</f>
        <v>Excellent</v>
      </c>
      <c r="AC1204">
        <f>IFERROR(__xludf.DUMMYFUNCTION("""COMPUTED_VALUE"""),1.0)</f>
        <v>1</v>
      </c>
      <c r="AD1204">
        <f>IFERROR(__xludf.DUMMYFUNCTION("""COMPUTED_VALUE"""),1.0)</f>
        <v>1</v>
      </c>
      <c r="AE1204">
        <f>IFERROR(__xludf.DUMMYFUNCTION("""COMPUTED_VALUE"""),0.0)</f>
        <v>0</v>
      </c>
      <c r="AG1204" t="str">
        <f>IFERROR(__xludf.DUMMYFUNCTION("""COMPUTED_VALUE"""),"Service Center Visit did not correct the issue, a part has to be ordered.")</f>
        <v>Service Center Visit did not correct the issue, a part has to be ordered.</v>
      </c>
      <c r="AH1204" s="189">
        <f>IFERROR(__xludf.DUMMYFUNCTION("""COMPUTED_VALUE"""),43403.34375255787)</f>
        <v>43403.34375</v>
      </c>
    </row>
    <row r="1205">
      <c r="A1205" t="str">
        <f>IFERROR(__xludf.DUMMYFUNCTION("""COMPUTED_VALUE"""),"django")</f>
        <v>django</v>
      </c>
      <c r="B1205" t="str">
        <f>IFERROR(__xludf.DUMMYFUNCTION("""COMPUTED_VALUE"""),"Pittsburgh")</f>
        <v>Pittsburgh</v>
      </c>
      <c r="C1205" t="str">
        <f>IFERROR(__xludf.DUMMYFUNCTION("""COMPUTED_VALUE"""),"PA")</f>
        <v>PA</v>
      </c>
      <c r="D1205" t="str">
        <f>IFERROR(__xludf.DUMMYFUNCTION("""COMPUTED_VALUE"""),"USA")</f>
        <v>USA</v>
      </c>
      <c r="E1205" s="188">
        <f>IFERROR(__xludf.DUMMYFUNCTION("""COMPUTED_VALUE"""),43317.0)</f>
        <v>43317</v>
      </c>
      <c r="F1205" s="188">
        <f>IFERROR(__xludf.DUMMYFUNCTION("""COMPUTED_VALUE"""),43390.0)</f>
        <v>43390</v>
      </c>
      <c r="H1205">
        <f>IFERROR(__xludf.DUMMYFUNCTION("""COMPUTED_VALUE"""),89655.0)</f>
        <v>89655</v>
      </c>
      <c r="J1205" s="5">
        <f>IFERROR(__xludf.DUMMYFUNCTION("""COMPUTED_VALUE"""),43400.0)</f>
        <v>43400</v>
      </c>
      <c r="K1205">
        <f>IFERROR(__xludf.DUMMYFUNCTION("""COMPUTED_VALUE"""),73.0)</f>
        <v>73</v>
      </c>
      <c r="L1205">
        <f>IFERROR(__xludf.DUMMYFUNCTION("""COMPUTED_VALUE"""),10.0)</f>
        <v>10</v>
      </c>
      <c r="M1205">
        <f>IFERROR(__xludf.DUMMYFUNCTION("""COMPUTED_VALUE"""),83.0)</f>
        <v>83</v>
      </c>
      <c r="N1205" t="str">
        <f>IFERROR(__xludf.DUMMYFUNCTION("""COMPUTED_VALUE"""),"Model 3 LR AWD")</f>
        <v>Model 3 LR AWD</v>
      </c>
      <c r="O1205" t="str">
        <f>IFERROR(__xludf.DUMMYFUNCTION("""COMPUTED_VALUE"""),"Midnight Silver Metallic")</f>
        <v>Midnight Silver Metallic</v>
      </c>
      <c r="P1205" t="str">
        <f>IFERROR(__xludf.DUMMYFUNCTION("""COMPUTED_VALUE"""),"18 inch Aero")</f>
        <v>18 inch Aero</v>
      </c>
      <c r="Q1205" t="str">
        <f>IFERROR(__xludf.DUMMYFUNCTION("""COMPUTED_VALUE"""),"Black seats")</f>
        <v>Black seats</v>
      </c>
      <c r="R1205" t="str">
        <f>IFERROR(__xludf.DUMMYFUNCTION("""COMPUTED_VALUE"""),"Enhanced Autopilot")</f>
        <v>Enhanced Autopilot</v>
      </c>
      <c r="X1205" t="str">
        <f>IFERROR(__xludf.DUMMYFUNCTION("""COMPUTED_VALUE"""),"Excellent")</f>
        <v>Excellent</v>
      </c>
      <c r="Y1205" t="str">
        <f>IFERROR(__xludf.DUMMYFUNCTION("""COMPUTED_VALUE"""),"Excellent")</f>
        <v>Excellent</v>
      </c>
      <c r="Z1205" t="str">
        <f>IFERROR(__xludf.DUMMYFUNCTION("""COMPUTED_VALUE"""),"Excellent")</f>
        <v>Excellent</v>
      </c>
      <c r="AA1205" t="str">
        <f>IFERROR(__xludf.DUMMYFUNCTION("""COMPUTED_VALUE"""),"Fair")</f>
        <v>Fair</v>
      </c>
      <c r="AB1205" t="str">
        <f>IFERROR(__xludf.DUMMYFUNCTION("""COMPUTED_VALUE"""),"Excellent")</f>
        <v>Excellent</v>
      </c>
      <c r="AC1205">
        <f>IFERROR(__xludf.DUMMYFUNCTION("""COMPUTED_VALUE"""),0.0)</f>
        <v>0</v>
      </c>
      <c r="AH1205" s="189">
        <f>IFERROR(__xludf.DUMMYFUNCTION("""COMPUTED_VALUE"""),43403.3504478588)</f>
        <v>43403.35045</v>
      </c>
    </row>
    <row r="1206">
      <c r="A1206" t="str">
        <f>IFERROR(__xludf.DUMMYFUNCTION("""COMPUTED_VALUE"""),"Spencer G")</f>
        <v>Spencer G</v>
      </c>
      <c r="B1206" t="str">
        <f>IFERROR(__xludf.DUMMYFUNCTION("""COMPUTED_VALUE"""),"San Jose")</f>
        <v>San Jose</v>
      </c>
      <c r="C1206" t="str">
        <f>IFERROR(__xludf.DUMMYFUNCTION("""COMPUTED_VALUE"""),"CA")</f>
        <v>CA</v>
      </c>
      <c r="D1206" t="str">
        <f>IFERROR(__xludf.DUMMYFUNCTION("""COMPUTED_VALUE"""),"USA")</f>
        <v>USA</v>
      </c>
      <c r="E1206" s="188">
        <f>IFERROR(__xludf.DUMMYFUNCTION("""COMPUTED_VALUE"""),43365.0)</f>
        <v>43365</v>
      </c>
      <c r="F1206" s="188">
        <f>IFERROR(__xludf.DUMMYFUNCTION("""COMPUTED_VALUE"""),43349.0)</f>
        <v>43349</v>
      </c>
      <c r="H1206">
        <f>IFERROR(__xludf.DUMMYFUNCTION("""COMPUTED_VALUE"""),57755.0)</f>
        <v>57755</v>
      </c>
      <c r="I1206" t="str">
        <f>IFERROR(__xludf.DUMMYFUNCTION("""COMPUTED_VALUE"""),"09/18")</f>
        <v>09/18</v>
      </c>
      <c r="J1206" s="5">
        <f>IFERROR(__xludf.DUMMYFUNCTION("""COMPUTED_VALUE"""),43370.0)</f>
        <v>43370</v>
      </c>
      <c r="L1206">
        <f>IFERROR(__xludf.DUMMYFUNCTION("""COMPUTED_VALUE"""),21.0)</f>
        <v>21</v>
      </c>
      <c r="M1206">
        <f>IFERROR(__xludf.DUMMYFUNCTION("""COMPUTED_VALUE"""),5.0)</f>
        <v>5</v>
      </c>
      <c r="N1206" t="str">
        <f>IFERROR(__xludf.DUMMYFUNCTION("""COMPUTED_VALUE"""),"Model 3 LR")</f>
        <v>Model 3 LR</v>
      </c>
      <c r="O1206" t="str">
        <f>IFERROR(__xludf.DUMMYFUNCTION("""COMPUTED_VALUE"""),"Pearl White Multi-Coat")</f>
        <v>Pearl White Multi-Coat</v>
      </c>
      <c r="P1206" t="str">
        <f>IFERROR(__xludf.DUMMYFUNCTION("""COMPUTED_VALUE"""),"18 inch Aero")</f>
        <v>18 inch Aero</v>
      </c>
      <c r="Q1206" t="str">
        <f>IFERROR(__xludf.DUMMYFUNCTION("""COMPUTED_VALUE"""),"Black seats")</f>
        <v>Black seats</v>
      </c>
      <c r="R1206" t="str">
        <f>IFERROR(__xludf.DUMMYFUNCTION("""COMPUTED_VALUE"""),"Enhanced Autopilot")</f>
        <v>Enhanced Autopilot</v>
      </c>
      <c r="X1206" t="str">
        <f>IFERROR(__xludf.DUMMYFUNCTION("""COMPUTED_VALUE"""),"Excellent")</f>
        <v>Excellent</v>
      </c>
      <c r="Y1206" t="str">
        <f>IFERROR(__xludf.DUMMYFUNCTION("""COMPUTED_VALUE"""),"Excellent")</f>
        <v>Excellent</v>
      </c>
      <c r="Z1206" t="str">
        <f>IFERROR(__xludf.DUMMYFUNCTION("""COMPUTED_VALUE"""),"Excellent")</f>
        <v>Excellent</v>
      </c>
      <c r="AA1206" t="str">
        <f>IFERROR(__xludf.DUMMYFUNCTION("""COMPUTED_VALUE"""),"Very Good")</f>
        <v>Very Good</v>
      </c>
      <c r="AB1206" t="str">
        <f>IFERROR(__xludf.DUMMYFUNCTION("""COMPUTED_VALUE"""),"Very Good")</f>
        <v>Very Good</v>
      </c>
      <c r="AC1206">
        <f>IFERROR(__xludf.DUMMYFUNCTION("""COMPUTED_VALUE"""),0.0)</f>
        <v>0</v>
      </c>
      <c r="AD1206">
        <f>IFERROR(__xludf.DUMMYFUNCTION("""COMPUTED_VALUE"""),0.0)</f>
        <v>0</v>
      </c>
      <c r="AE1206">
        <f>IFERROR(__xludf.DUMMYFUNCTION("""COMPUTED_VALUE"""),0.0)</f>
        <v>0</v>
      </c>
      <c r="AG1206" t="str">
        <f>IFERROR(__xludf.DUMMYFUNCTION("""COMPUTED_VALUE"""),"Great build, VIN not sequential ")</f>
        <v>Great build, VIN not sequential </v>
      </c>
      <c r="AH1206" s="189">
        <f>IFERROR(__xludf.DUMMYFUNCTION("""COMPUTED_VALUE"""),43403.40565699074)</f>
        <v>43403.40566</v>
      </c>
    </row>
    <row r="1207">
      <c r="A1207" t="str">
        <f>IFERROR(__xludf.DUMMYFUNCTION("""COMPUTED_VALUE"""),"pdamski")</f>
        <v>pdamski</v>
      </c>
      <c r="B1207" t="str">
        <f>IFERROR(__xludf.DUMMYFUNCTION("""COMPUTED_VALUE"""),"Cathedral City")</f>
        <v>Cathedral City</v>
      </c>
      <c r="C1207" t="str">
        <f>IFERROR(__xludf.DUMMYFUNCTION("""COMPUTED_VALUE"""),"CA")</f>
        <v>CA</v>
      </c>
      <c r="D1207" t="str">
        <f>IFERROR(__xludf.DUMMYFUNCTION("""COMPUTED_VALUE"""),"USA")</f>
        <v>USA</v>
      </c>
      <c r="E1207" s="188">
        <f>IFERROR(__xludf.DUMMYFUNCTION("""COMPUTED_VALUE"""),43372.0)</f>
        <v>43372</v>
      </c>
      <c r="F1207" s="188">
        <f>IFERROR(__xludf.DUMMYFUNCTION("""COMPUTED_VALUE"""),43395.0)</f>
        <v>43395</v>
      </c>
      <c r="H1207" s="4">
        <f>IFERROR(__xludf.DUMMYFUNCTION("""COMPUTED_VALUE"""),81431.0)</f>
        <v>81431</v>
      </c>
      <c r="I1207" t="str">
        <f>IFERROR(__xludf.DUMMYFUNCTION("""COMPUTED_VALUE"""),"10/18")</f>
        <v>10/18</v>
      </c>
      <c r="J1207" s="5">
        <f>IFERROR(__xludf.DUMMYFUNCTION("""COMPUTED_VALUE"""),43400.0)</f>
        <v>43400</v>
      </c>
      <c r="K1207">
        <f>IFERROR(__xludf.DUMMYFUNCTION("""COMPUTED_VALUE"""),23.0)</f>
        <v>23</v>
      </c>
      <c r="L1207">
        <f>IFERROR(__xludf.DUMMYFUNCTION("""COMPUTED_VALUE"""),5.0)</f>
        <v>5</v>
      </c>
      <c r="M1207">
        <f>IFERROR(__xludf.DUMMYFUNCTION("""COMPUTED_VALUE"""),28.0)</f>
        <v>28</v>
      </c>
      <c r="N1207" t="str">
        <f>IFERROR(__xludf.DUMMYFUNCTION("""COMPUTED_VALUE"""),"Model 3 Performance")</f>
        <v>Model 3 Performance</v>
      </c>
      <c r="O1207" t="str">
        <f>IFERROR(__xludf.DUMMYFUNCTION("""COMPUTED_VALUE"""),"Pearl White Multi-Coat")</f>
        <v>Pearl White Multi-Coat</v>
      </c>
      <c r="P1207" t="str">
        <f>IFERROR(__xludf.DUMMYFUNCTION("""COMPUTED_VALUE"""),"20 inch Sport")</f>
        <v>20 inch Sport</v>
      </c>
      <c r="Q1207" t="str">
        <f>IFERROR(__xludf.DUMMYFUNCTION("""COMPUTED_VALUE"""),"White seats")</f>
        <v>White seats</v>
      </c>
      <c r="R1207" t="str">
        <f>IFERROR(__xludf.DUMMYFUNCTION("""COMPUTED_VALUE"""),"Enhanced Autopilot")</f>
        <v>Enhanced Autopilot</v>
      </c>
      <c r="X1207" t="str">
        <f>IFERROR(__xludf.DUMMYFUNCTION("""COMPUTED_VALUE"""),"Excellent")</f>
        <v>Excellent</v>
      </c>
      <c r="Y1207" t="str">
        <f>IFERROR(__xludf.DUMMYFUNCTION("""COMPUTED_VALUE"""),"Excellent")</f>
        <v>Excellent</v>
      </c>
      <c r="Z1207" t="str">
        <f>IFERROR(__xludf.DUMMYFUNCTION("""COMPUTED_VALUE"""),"Excellent")</f>
        <v>Excellent</v>
      </c>
      <c r="AA1207" t="str">
        <f>IFERROR(__xludf.DUMMYFUNCTION("""COMPUTED_VALUE"""),"Very Good")</f>
        <v>Very Good</v>
      </c>
      <c r="AB1207" t="str">
        <f>IFERROR(__xludf.DUMMYFUNCTION("""COMPUTED_VALUE"""),"Good")</f>
        <v>Good</v>
      </c>
      <c r="AH1207" s="189">
        <f>IFERROR(__xludf.DUMMYFUNCTION("""COMPUTED_VALUE"""),43403.41261082176)</f>
        <v>43403.41261</v>
      </c>
    </row>
    <row r="1208">
      <c r="A1208" t="str">
        <f>IFERROR(__xludf.DUMMYFUNCTION("""COMPUTED_VALUE"""),"briansedz")</f>
        <v>briansedz</v>
      </c>
      <c r="B1208" t="str">
        <f>IFERROR(__xludf.DUMMYFUNCTION("""COMPUTED_VALUE"""),"Canton")</f>
        <v>Canton</v>
      </c>
      <c r="C1208" t="str">
        <f>IFERROR(__xludf.DUMMYFUNCTION("""COMPUTED_VALUE"""),"OH")</f>
        <v>OH</v>
      </c>
      <c r="D1208" t="str">
        <f>IFERROR(__xludf.DUMMYFUNCTION("""COMPUTED_VALUE"""),"USA")</f>
        <v>USA</v>
      </c>
      <c r="E1208" s="188">
        <f>IFERROR(__xludf.DUMMYFUNCTION("""COMPUTED_VALUE"""),43322.0)</f>
        <v>43322</v>
      </c>
      <c r="F1208" s="188">
        <f>IFERROR(__xludf.DUMMYFUNCTION("""COMPUTED_VALUE"""),43364.0)</f>
        <v>43364</v>
      </c>
      <c r="H1208">
        <f>IFERROR(__xludf.DUMMYFUNCTION("""COMPUTED_VALUE"""),78155.0)</f>
        <v>78155</v>
      </c>
      <c r="J1208" s="5">
        <f>IFERROR(__xludf.DUMMYFUNCTION("""COMPUTED_VALUE"""),43371.0)</f>
        <v>43371</v>
      </c>
      <c r="K1208">
        <f>IFERROR(__xludf.DUMMYFUNCTION("""COMPUTED_VALUE"""),42.0)</f>
        <v>42</v>
      </c>
      <c r="L1208">
        <f>IFERROR(__xludf.DUMMYFUNCTION("""COMPUTED_VALUE"""),7.0)</f>
        <v>7</v>
      </c>
      <c r="M1208">
        <f>IFERROR(__xludf.DUMMYFUNCTION("""COMPUTED_VALUE"""),49.0)</f>
        <v>49</v>
      </c>
      <c r="N1208" t="str">
        <f>IFERROR(__xludf.DUMMYFUNCTION("""COMPUTED_VALUE"""),"Model 3 LR")</f>
        <v>Model 3 LR</v>
      </c>
      <c r="O1208" t="str">
        <f>IFERROR(__xludf.DUMMYFUNCTION("""COMPUTED_VALUE"""),"Solid Black")</f>
        <v>Solid Black</v>
      </c>
      <c r="P1208" t="str">
        <f>IFERROR(__xludf.DUMMYFUNCTION("""COMPUTED_VALUE"""),"18 inch Aero")</f>
        <v>18 inch Aero</v>
      </c>
      <c r="Q1208" t="str">
        <f>IFERROR(__xludf.DUMMYFUNCTION("""COMPUTED_VALUE"""),"Black seats")</f>
        <v>Black seats</v>
      </c>
      <c r="R1208" t="str">
        <f>IFERROR(__xludf.DUMMYFUNCTION("""COMPUTED_VALUE"""),"None")</f>
        <v>None</v>
      </c>
      <c r="X1208" t="str">
        <f>IFERROR(__xludf.DUMMYFUNCTION("""COMPUTED_VALUE"""),"Excellent")</f>
        <v>Excellent</v>
      </c>
      <c r="Y1208" t="str">
        <f>IFERROR(__xludf.DUMMYFUNCTION("""COMPUTED_VALUE"""),"Excellent")</f>
        <v>Excellent</v>
      </c>
      <c r="Z1208" t="str">
        <f>IFERROR(__xludf.DUMMYFUNCTION("""COMPUTED_VALUE"""),"Excellent")</f>
        <v>Excellent</v>
      </c>
      <c r="AA1208" t="str">
        <f>IFERROR(__xludf.DUMMYFUNCTION("""COMPUTED_VALUE"""),"Poor")</f>
        <v>Poor</v>
      </c>
      <c r="AB1208" t="str">
        <f>IFERROR(__xludf.DUMMYFUNCTION("""COMPUTED_VALUE"""),"Fair")</f>
        <v>Fair</v>
      </c>
      <c r="AC1208">
        <f>IFERROR(__xludf.DUMMYFUNCTION("""COMPUTED_VALUE"""),0.0)</f>
        <v>0</v>
      </c>
      <c r="AD1208">
        <f>IFERROR(__xludf.DUMMYFUNCTION("""COMPUTED_VALUE"""),0.0)</f>
        <v>0</v>
      </c>
      <c r="AE1208">
        <f>IFERROR(__xludf.DUMMYFUNCTION("""COMPUTED_VALUE"""),0.0)</f>
        <v>0</v>
      </c>
      <c r="AG1208" t="str">
        <f>IFERROR(__xludf.DUMMYFUNCTION("""COMPUTED_VALUE"""),"Delivery delayed and VIN changed.")</f>
        <v>Delivery delayed and VIN changed.</v>
      </c>
      <c r="AH1208" s="189">
        <f>IFERROR(__xludf.DUMMYFUNCTION("""COMPUTED_VALUE"""),43403.42011527778)</f>
        <v>43403.42012</v>
      </c>
    </row>
    <row r="1209">
      <c r="A1209" t="str">
        <f>IFERROR(__xludf.DUMMYFUNCTION("""COMPUTED_VALUE"""),"Amp3d")</f>
        <v>Amp3d</v>
      </c>
      <c r="C1209" t="str">
        <f>IFERROR(__xludf.DUMMYFUNCTION("""COMPUTED_VALUE"""),"NC")</f>
        <v>NC</v>
      </c>
      <c r="D1209" t="str">
        <f>IFERROR(__xludf.DUMMYFUNCTION("""COMPUTED_VALUE"""),"USA")</f>
        <v>USA</v>
      </c>
      <c r="E1209" s="188">
        <f>IFERROR(__xludf.DUMMYFUNCTION("""COMPUTED_VALUE"""),43320.0)</f>
        <v>43320</v>
      </c>
      <c r="F1209" s="188">
        <f>IFERROR(__xludf.DUMMYFUNCTION("""COMPUTED_VALUE"""),43385.0)</f>
        <v>43385</v>
      </c>
      <c r="H1209">
        <f>IFERROR(__xludf.DUMMYFUNCTION("""COMPUTED_VALUE"""),75655.0)</f>
        <v>75655</v>
      </c>
      <c r="I1209" t="str">
        <f>IFERROR(__xludf.DUMMYFUNCTION("""COMPUTED_VALUE"""),"08/18")</f>
        <v>08/18</v>
      </c>
      <c r="J1209" s="5">
        <f>IFERROR(__xludf.DUMMYFUNCTION("""COMPUTED_VALUE"""),43386.0)</f>
        <v>43386</v>
      </c>
      <c r="K1209">
        <f>IFERROR(__xludf.DUMMYFUNCTION("""COMPUTED_VALUE"""),65.0)</f>
        <v>65</v>
      </c>
      <c r="L1209">
        <f>IFERROR(__xludf.DUMMYFUNCTION("""COMPUTED_VALUE"""),1.0)</f>
        <v>1</v>
      </c>
      <c r="M1209">
        <f>IFERROR(__xludf.DUMMYFUNCTION("""COMPUTED_VALUE"""),66.0)</f>
        <v>66</v>
      </c>
      <c r="N1209" t="str">
        <f>IFERROR(__xludf.DUMMYFUNCTION("""COMPUTED_VALUE"""),"Model 3 Performance")</f>
        <v>Model 3 Performance</v>
      </c>
      <c r="O1209" t="str">
        <f>IFERROR(__xludf.DUMMYFUNCTION("""COMPUTED_VALUE"""),"Pearl White Multi-Coat")</f>
        <v>Pearl White Multi-Coat</v>
      </c>
      <c r="P1209" t="str">
        <f>IFERROR(__xludf.DUMMYFUNCTION("""COMPUTED_VALUE"""),"20 inch Sport")</f>
        <v>20 inch Sport</v>
      </c>
      <c r="Q1209" t="str">
        <f>IFERROR(__xludf.DUMMYFUNCTION("""COMPUTED_VALUE"""),"Black seats")</f>
        <v>Black seats</v>
      </c>
      <c r="R1209" t="str">
        <f>IFERROR(__xludf.DUMMYFUNCTION("""COMPUTED_VALUE"""),"Full Self-Driving")</f>
        <v>Full Self-Driving</v>
      </c>
      <c r="X1209" t="str">
        <f>IFERROR(__xludf.DUMMYFUNCTION("""COMPUTED_VALUE"""),"Good")</f>
        <v>Good</v>
      </c>
      <c r="Y1209" t="str">
        <f>IFERROR(__xludf.DUMMYFUNCTION("""COMPUTED_VALUE"""),"Excellent")</f>
        <v>Excellent</v>
      </c>
      <c r="Z1209" t="str">
        <f>IFERROR(__xludf.DUMMYFUNCTION("""COMPUTED_VALUE"""),"Fair")</f>
        <v>Fair</v>
      </c>
      <c r="AA1209" t="str">
        <f>IFERROR(__xludf.DUMMYFUNCTION("""COMPUTED_VALUE"""),"Fair")</f>
        <v>Fair</v>
      </c>
      <c r="AB1209" t="str">
        <f>IFERROR(__xludf.DUMMYFUNCTION("""COMPUTED_VALUE"""),"Good")</f>
        <v>Good</v>
      </c>
      <c r="AC1209">
        <f>IFERROR(__xludf.DUMMYFUNCTION("""COMPUTED_VALUE"""),4.0)</f>
        <v>4</v>
      </c>
      <c r="AD1209">
        <f>IFERROR(__xludf.DUMMYFUNCTION("""COMPUTED_VALUE"""),0.0)</f>
        <v>0</v>
      </c>
      <c r="AH1209" s="189">
        <f>IFERROR(__xludf.DUMMYFUNCTION("""COMPUTED_VALUE"""),43403.59762685186)</f>
        <v>43403.59763</v>
      </c>
    </row>
    <row r="1210">
      <c r="A1210" t="str">
        <f>IFERROR(__xludf.DUMMYFUNCTION("""COMPUTED_VALUE"""),"realdealdaniel")</f>
        <v>realdealdaniel</v>
      </c>
      <c r="B1210" t="str">
        <f>IFERROR(__xludf.DUMMYFUNCTION("""COMPUTED_VALUE"""),"Chicago")</f>
        <v>Chicago</v>
      </c>
      <c r="C1210" t="str">
        <f>IFERROR(__xludf.DUMMYFUNCTION("""COMPUTED_VALUE"""),"IL")</f>
        <v>IL</v>
      </c>
      <c r="D1210" t="str">
        <f>IFERROR(__xludf.DUMMYFUNCTION("""COMPUTED_VALUE"""),"USA")</f>
        <v>USA</v>
      </c>
      <c r="E1210" s="188">
        <f>IFERROR(__xludf.DUMMYFUNCTION("""COMPUTED_VALUE"""),43358.0)</f>
        <v>43358</v>
      </c>
      <c r="F1210" s="188">
        <f>IFERROR(__xludf.DUMMYFUNCTION("""COMPUTED_VALUE"""),43361.0)</f>
        <v>43361</v>
      </c>
      <c r="H1210">
        <f>IFERROR(__xludf.DUMMYFUNCTION("""COMPUTED_VALUE"""),72745.0)</f>
        <v>72745</v>
      </c>
      <c r="I1210" t="str">
        <f>IFERROR(__xludf.DUMMYFUNCTION("""COMPUTED_VALUE"""),"09/18")</f>
        <v>09/18</v>
      </c>
      <c r="J1210" s="5">
        <f>IFERROR(__xludf.DUMMYFUNCTION("""COMPUTED_VALUE"""),43368.0)</f>
        <v>43368</v>
      </c>
      <c r="K1210">
        <f>IFERROR(__xludf.DUMMYFUNCTION("""COMPUTED_VALUE"""),3.0)</f>
        <v>3</v>
      </c>
      <c r="L1210">
        <f>IFERROR(__xludf.DUMMYFUNCTION("""COMPUTED_VALUE"""),7.0)</f>
        <v>7</v>
      </c>
      <c r="M1210">
        <f>IFERROR(__xludf.DUMMYFUNCTION("""COMPUTED_VALUE"""),10.0)</f>
        <v>10</v>
      </c>
      <c r="N1210" t="str">
        <f>IFERROR(__xludf.DUMMYFUNCTION("""COMPUTED_VALUE"""),"Model 3 Performance")</f>
        <v>Model 3 Performance</v>
      </c>
      <c r="O1210" t="str">
        <f>IFERROR(__xludf.DUMMYFUNCTION("""COMPUTED_VALUE"""),"Pearl White Multi-Coat")</f>
        <v>Pearl White Multi-Coat</v>
      </c>
      <c r="P1210" t="str">
        <f>IFERROR(__xludf.DUMMYFUNCTION("""COMPUTED_VALUE"""),"20 inch Sport")</f>
        <v>20 inch Sport</v>
      </c>
      <c r="Q1210" t="str">
        <f>IFERROR(__xludf.DUMMYFUNCTION("""COMPUTED_VALUE"""),"Black seats")</f>
        <v>Black seats</v>
      </c>
      <c r="R1210" t="str">
        <f>IFERROR(__xludf.DUMMYFUNCTION("""COMPUTED_VALUE"""),"Enhanced Autopilot")</f>
        <v>Enhanced Autopilot</v>
      </c>
      <c r="X1210" t="str">
        <f>IFERROR(__xludf.DUMMYFUNCTION("""COMPUTED_VALUE"""),"Excellent")</f>
        <v>Excellent</v>
      </c>
      <c r="Y1210" t="str">
        <f>IFERROR(__xludf.DUMMYFUNCTION("""COMPUTED_VALUE"""),"Excellent")</f>
        <v>Excellent</v>
      </c>
      <c r="Z1210" t="str">
        <f>IFERROR(__xludf.DUMMYFUNCTION("""COMPUTED_VALUE"""),"Excellent")</f>
        <v>Excellent</v>
      </c>
      <c r="AA1210" t="str">
        <f>IFERROR(__xludf.DUMMYFUNCTION("""COMPUTED_VALUE"""),"Excellent")</f>
        <v>Excellent</v>
      </c>
      <c r="AB1210" t="str">
        <f>IFERROR(__xludf.DUMMYFUNCTION("""COMPUTED_VALUE"""),"Excellent")</f>
        <v>Excellent</v>
      </c>
      <c r="AC1210">
        <f>IFERROR(__xludf.DUMMYFUNCTION("""COMPUTED_VALUE"""),0.0)</f>
        <v>0</v>
      </c>
      <c r="AD1210">
        <f>IFERROR(__xludf.DUMMYFUNCTION("""COMPUTED_VALUE"""),1.0)</f>
        <v>1</v>
      </c>
      <c r="AE1210">
        <f>IFERROR(__xludf.DUMMYFUNCTION("""COMPUTED_VALUE"""),3.0)</f>
        <v>3</v>
      </c>
      <c r="AG1210" t="str">
        <f>IFERROR(__xludf.DUMMYFUNCTION("""COMPUTED_VALUE"""),"Cracked 2 rims first week, car was in svc. Svc data points will be statistical outliers.")</f>
        <v>Cracked 2 rims first week, car was in svc. Svc data points will be statistical outliers.</v>
      </c>
      <c r="AH1210" s="189">
        <f>IFERROR(__xludf.DUMMYFUNCTION("""COMPUTED_VALUE"""),43403.69051876158)</f>
        <v>43403.69052</v>
      </c>
    </row>
    <row r="1211">
      <c r="A1211" t="str">
        <f>IFERROR(__xludf.DUMMYFUNCTION("""COMPUTED_VALUE"""),"Marc's tsla")</f>
        <v>Marc's tsla</v>
      </c>
      <c r="B1211" t="str">
        <f>IFERROR(__xludf.DUMMYFUNCTION("""COMPUTED_VALUE"""),"Montreal")</f>
        <v>Montreal</v>
      </c>
      <c r="C1211" t="str">
        <f>IFERROR(__xludf.DUMMYFUNCTION("""COMPUTED_VALUE"""),"QC")</f>
        <v>QC</v>
      </c>
      <c r="D1211" t="str">
        <f>IFERROR(__xludf.DUMMYFUNCTION("""COMPUTED_VALUE"""),"Canada")</f>
        <v>Canada</v>
      </c>
      <c r="E1211" s="188">
        <f>IFERROR(__xludf.DUMMYFUNCTION("""COMPUTED_VALUE"""),43278.0)</f>
        <v>43278</v>
      </c>
      <c r="H1211">
        <f>IFERROR(__xludf.DUMMYFUNCTION("""COMPUTED_VALUE"""),107055.0)</f>
        <v>107055</v>
      </c>
      <c r="J1211" s="5">
        <f>IFERROR(__xludf.DUMMYFUNCTION("""COMPUTED_VALUE"""),43404.0)</f>
        <v>43404</v>
      </c>
      <c r="M1211">
        <f>IFERROR(__xludf.DUMMYFUNCTION("""COMPUTED_VALUE"""),126.0)</f>
        <v>126</v>
      </c>
      <c r="N1211" t="str">
        <f>IFERROR(__xludf.DUMMYFUNCTION("""COMPUTED_VALUE"""),"Model 3 LR AWD")</f>
        <v>Model 3 LR AWD</v>
      </c>
      <c r="O1211" t="str">
        <f>IFERROR(__xludf.DUMMYFUNCTION("""COMPUTED_VALUE"""),"Red Multi-Coat")</f>
        <v>Red Multi-Coat</v>
      </c>
      <c r="P1211" t="str">
        <f>IFERROR(__xludf.DUMMYFUNCTION("""COMPUTED_VALUE"""),"18 inch Aero")</f>
        <v>18 inch Aero</v>
      </c>
      <c r="Q1211" t="str">
        <f>IFERROR(__xludf.DUMMYFUNCTION("""COMPUTED_VALUE"""),"Black seats")</f>
        <v>Black seats</v>
      </c>
      <c r="R1211" t="str">
        <f>IFERROR(__xludf.DUMMYFUNCTION("""COMPUTED_VALUE"""),"None")</f>
        <v>None</v>
      </c>
      <c r="AA1211" t="str">
        <f>IFERROR(__xludf.DUMMYFUNCTION("""COMPUTED_VALUE"""),"Poor")</f>
        <v>Poor</v>
      </c>
      <c r="AH1211" s="189">
        <f>IFERROR(__xludf.DUMMYFUNCTION("""COMPUTED_VALUE"""),43404.09286290509)</f>
        <v>43404.09286</v>
      </c>
    </row>
    <row r="1212">
      <c r="A1212" t="str">
        <f>IFERROR(__xludf.DUMMYFUNCTION("""COMPUTED_VALUE"""),"smsiegel33")</f>
        <v>smsiegel33</v>
      </c>
      <c r="B1212" t="str">
        <f>IFERROR(__xludf.DUMMYFUNCTION("""COMPUTED_VALUE"""),"St. Louis")</f>
        <v>St. Louis</v>
      </c>
      <c r="C1212" t="str">
        <f>IFERROR(__xludf.DUMMYFUNCTION("""COMPUTED_VALUE"""),"MO")</f>
        <v>MO</v>
      </c>
      <c r="D1212" t="str">
        <f>IFERROR(__xludf.DUMMYFUNCTION("""COMPUTED_VALUE"""),"USA")</f>
        <v>USA</v>
      </c>
      <c r="E1212" s="188">
        <f>IFERROR(__xludf.DUMMYFUNCTION("""COMPUTED_VALUE"""),43297.0)</f>
        <v>43297</v>
      </c>
      <c r="F1212" s="188">
        <f>IFERROR(__xludf.DUMMYFUNCTION("""COMPUTED_VALUE"""),43374.0)</f>
        <v>43374</v>
      </c>
      <c r="H1212">
        <f>IFERROR(__xludf.DUMMYFUNCTION("""COMPUTED_VALUE"""),85155.0)</f>
        <v>85155</v>
      </c>
      <c r="I1212" t="str">
        <f>IFERROR(__xludf.DUMMYFUNCTION("""COMPUTED_VALUE"""),"09/18")</f>
        <v>09/18</v>
      </c>
      <c r="J1212" s="5">
        <f>IFERROR(__xludf.DUMMYFUNCTION("""COMPUTED_VALUE"""),43392.0)</f>
        <v>43392</v>
      </c>
      <c r="K1212">
        <f>IFERROR(__xludf.DUMMYFUNCTION("""COMPUTED_VALUE"""),77.0)</f>
        <v>77</v>
      </c>
      <c r="L1212">
        <f>IFERROR(__xludf.DUMMYFUNCTION("""COMPUTED_VALUE"""),18.0)</f>
        <v>18</v>
      </c>
      <c r="M1212">
        <f>IFERROR(__xludf.DUMMYFUNCTION("""COMPUTED_VALUE"""),95.0)</f>
        <v>95</v>
      </c>
      <c r="N1212" t="str">
        <f>IFERROR(__xludf.DUMMYFUNCTION("""COMPUTED_VALUE"""),"Model 3 LR AWD")</f>
        <v>Model 3 LR AWD</v>
      </c>
      <c r="O1212" t="str">
        <f>IFERROR(__xludf.DUMMYFUNCTION("""COMPUTED_VALUE"""),"Deep Blue Metallic")</f>
        <v>Deep Blue Metallic</v>
      </c>
      <c r="P1212" t="str">
        <f>IFERROR(__xludf.DUMMYFUNCTION("""COMPUTED_VALUE"""),"18 inch Aero")</f>
        <v>18 inch Aero</v>
      </c>
      <c r="Q1212" t="str">
        <f>IFERROR(__xludf.DUMMYFUNCTION("""COMPUTED_VALUE"""),"Black seats")</f>
        <v>Black seats</v>
      </c>
      <c r="R1212" t="str">
        <f>IFERROR(__xludf.DUMMYFUNCTION("""COMPUTED_VALUE"""),"None")</f>
        <v>None</v>
      </c>
      <c r="X1212" t="str">
        <f>IFERROR(__xludf.DUMMYFUNCTION("""COMPUTED_VALUE"""),"Very Good")</f>
        <v>Very Good</v>
      </c>
      <c r="Y1212" t="str">
        <f>IFERROR(__xludf.DUMMYFUNCTION("""COMPUTED_VALUE"""),"Very Good")</f>
        <v>Very Good</v>
      </c>
      <c r="Z1212" t="str">
        <f>IFERROR(__xludf.DUMMYFUNCTION("""COMPUTED_VALUE"""),"Very Good")</f>
        <v>Very Good</v>
      </c>
      <c r="AA1212" t="str">
        <f>IFERROR(__xludf.DUMMYFUNCTION("""COMPUTED_VALUE"""),"Good")</f>
        <v>Good</v>
      </c>
      <c r="AB1212" t="str">
        <f>IFERROR(__xludf.DUMMYFUNCTION("""COMPUTED_VALUE"""),"Very Good")</f>
        <v>Very Good</v>
      </c>
      <c r="AH1212" s="189">
        <f>IFERROR(__xludf.DUMMYFUNCTION("""COMPUTED_VALUE"""),43404.19239171296)</f>
        <v>43404.19239</v>
      </c>
    </row>
    <row r="1213">
      <c r="A1213" t="str">
        <f>IFERROR(__xludf.DUMMYFUNCTION("""COMPUTED_VALUE"""),"Superspectral")</f>
        <v>Superspectral</v>
      </c>
      <c r="B1213" t="str">
        <f>IFERROR(__xludf.DUMMYFUNCTION("""COMPUTED_VALUE"""),"Ann Arbor ")</f>
        <v>Ann Arbor </v>
      </c>
      <c r="C1213" t="str">
        <f>IFERROR(__xludf.DUMMYFUNCTION("""COMPUTED_VALUE"""),"MI")</f>
        <v>MI</v>
      </c>
      <c r="D1213" t="str">
        <f>IFERROR(__xludf.DUMMYFUNCTION("""COMPUTED_VALUE"""),"USA")</f>
        <v>USA</v>
      </c>
      <c r="E1213" s="188">
        <f>IFERROR(__xludf.DUMMYFUNCTION("""COMPUTED_VALUE"""),43305.0)</f>
        <v>43305</v>
      </c>
      <c r="F1213" s="188">
        <f>IFERROR(__xludf.DUMMYFUNCTION("""COMPUTED_VALUE"""),43350.0)</f>
        <v>43350</v>
      </c>
      <c r="H1213">
        <f>IFERROR(__xludf.DUMMYFUNCTION("""COMPUTED_VALUE"""),63290.0)</f>
        <v>63290</v>
      </c>
      <c r="J1213" s="5">
        <f>IFERROR(__xludf.DUMMYFUNCTION("""COMPUTED_VALUE"""),43371.0)</f>
        <v>43371</v>
      </c>
      <c r="K1213">
        <f>IFERROR(__xludf.DUMMYFUNCTION("""COMPUTED_VALUE"""),45.0)</f>
        <v>45</v>
      </c>
      <c r="L1213">
        <f>IFERROR(__xludf.DUMMYFUNCTION("""COMPUTED_VALUE"""),21.0)</f>
        <v>21</v>
      </c>
      <c r="M1213">
        <f>IFERROR(__xludf.DUMMYFUNCTION("""COMPUTED_VALUE"""),66.0)</f>
        <v>66</v>
      </c>
      <c r="N1213" t="str">
        <f>IFERROR(__xludf.DUMMYFUNCTION("""COMPUTED_VALUE"""),"Model 3 Performance")</f>
        <v>Model 3 Performance</v>
      </c>
      <c r="O1213" t="str">
        <f>IFERROR(__xludf.DUMMYFUNCTION("""COMPUTED_VALUE"""),"Red Multi-Coat")</f>
        <v>Red Multi-Coat</v>
      </c>
      <c r="P1213" t="str">
        <f>IFERROR(__xludf.DUMMYFUNCTION("""COMPUTED_VALUE"""),"20 inch Sport")</f>
        <v>20 inch Sport</v>
      </c>
      <c r="Q1213" t="str">
        <f>IFERROR(__xludf.DUMMYFUNCTION("""COMPUTED_VALUE"""),"Black seats")</f>
        <v>Black seats</v>
      </c>
      <c r="R1213" t="str">
        <f>IFERROR(__xludf.DUMMYFUNCTION("""COMPUTED_VALUE"""),"Enhanced Autopilot")</f>
        <v>Enhanced Autopilot</v>
      </c>
      <c r="X1213" t="str">
        <f>IFERROR(__xludf.DUMMYFUNCTION("""COMPUTED_VALUE"""),"Excellent")</f>
        <v>Excellent</v>
      </c>
      <c r="Y1213" t="str">
        <f>IFERROR(__xludf.DUMMYFUNCTION("""COMPUTED_VALUE"""),"Excellent")</f>
        <v>Excellent</v>
      </c>
      <c r="Z1213" t="str">
        <f>IFERROR(__xludf.DUMMYFUNCTION("""COMPUTED_VALUE"""),"Excellent")</f>
        <v>Excellent</v>
      </c>
      <c r="AA1213" t="str">
        <f>IFERROR(__xludf.DUMMYFUNCTION("""COMPUTED_VALUE"""),"Good")</f>
        <v>Good</v>
      </c>
      <c r="AB1213" t="str">
        <f>IFERROR(__xludf.DUMMYFUNCTION("""COMPUTED_VALUE"""),"Very Good")</f>
        <v>Very Good</v>
      </c>
      <c r="AC1213">
        <f>IFERROR(__xludf.DUMMYFUNCTION("""COMPUTED_VALUE"""),0.0)</f>
        <v>0</v>
      </c>
      <c r="AD1213">
        <f>IFERROR(__xludf.DUMMYFUNCTION("""COMPUTED_VALUE"""),0.0)</f>
        <v>0</v>
      </c>
      <c r="AE1213">
        <f>IFERROR(__xludf.DUMMYFUNCTION("""COMPUTED_VALUE"""),0.0)</f>
        <v>0</v>
      </c>
      <c r="AH1213" s="189">
        <f>IFERROR(__xludf.DUMMYFUNCTION("""COMPUTED_VALUE"""),43404.35594519676)</f>
        <v>43404.35595</v>
      </c>
    </row>
    <row r="1214">
      <c r="A1214" t="str">
        <f>IFERROR(__xludf.DUMMYFUNCTION("""COMPUTED_VALUE"""),"RobertInIndy")</f>
        <v>RobertInIndy</v>
      </c>
      <c r="B1214" t="str">
        <f>IFERROR(__xludf.DUMMYFUNCTION("""COMPUTED_VALUE"""),"Indianapolis")</f>
        <v>Indianapolis</v>
      </c>
      <c r="C1214" t="str">
        <f>IFERROR(__xludf.DUMMYFUNCTION("""COMPUTED_VALUE"""),"IN")</f>
        <v>IN</v>
      </c>
      <c r="D1214" t="str">
        <f>IFERROR(__xludf.DUMMYFUNCTION("""COMPUTED_VALUE"""),"USA")</f>
        <v>USA</v>
      </c>
      <c r="E1214" s="188">
        <f>IFERROR(__xludf.DUMMYFUNCTION("""COMPUTED_VALUE"""),43279.0)</f>
        <v>43279</v>
      </c>
      <c r="J1214" s="5">
        <f>IFERROR(__xludf.DUMMYFUNCTION("""COMPUTED_VALUE"""),43378.0)</f>
        <v>43378</v>
      </c>
      <c r="M1214">
        <f>IFERROR(__xludf.DUMMYFUNCTION("""COMPUTED_VALUE"""),99.0)</f>
        <v>99</v>
      </c>
      <c r="N1214" t="str">
        <f>IFERROR(__xludf.DUMMYFUNCTION("""COMPUTED_VALUE"""),"Model 3 LR AWD")</f>
        <v>Model 3 LR AWD</v>
      </c>
      <c r="O1214" t="str">
        <f>IFERROR(__xludf.DUMMYFUNCTION("""COMPUTED_VALUE"""),"Deep Blue Metallic")</f>
        <v>Deep Blue Metallic</v>
      </c>
      <c r="P1214" t="str">
        <f>IFERROR(__xludf.DUMMYFUNCTION("""COMPUTED_VALUE"""),"19 inch Sport")</f>
        <v>19 inch Sport</v>
      </c>
      <c r="Q1214" t="str">
        <f>IFERROR(__xludf.DUMMYFUNCTION("""COMPUTED_VALUE"""),"Black seats")</f>
        <v>Black seats</v>
      </c>
      <c r="R1214" t="str">
        <f>IFERROR(__xludf.DUMMYFUNCTION("""COMPUTED_VALUE"""),"Enhanced Autopilot")</f>
        <v>Enhanced Autopilot</v>
      </c>
      <c r="X1214" t="str">
        <f>IFERROR(__xludf.DUMMYFUNCTION("""COMPUTED_VALUE"""),"Excellent")</f>
        <v>Excellent</v>
      </c>
      <c r="Y1214" t="str">
        <f>IFERROR(__xludf.DUMMYFUNCTION("""COMPUTED_VALUE"""),"Excellent")</f>
        <v>Excellent</v>
      </c>
      <c r="Z1214" t="str">
        <f>IFERROR(__xludf.DUMMYFUNCTION("""COMPUTED_VALUE"""),"Excellent")</f>
        <v>Excellent</v>
      </c>
      <c r="AA1214" t="str">
        <f>IFERROR(__xludf.DUMMYFUNCTION("""COMPUTED_VALUE"""),"Very Good")</f>
        <v>Very Good</v>
      </c>
      <c r="AB1214" t="str">
        <f>IFERROR(__xludf.DUMMYFUNCTION("""COMPUTED_VALUE"""),"Excellent")</f>
        <v>Excellent</v>
      </c>
      <c r="AC1214">
        <f>IFERROR(__xludf.DUMMYFUNCTION("""COMPUTED_VALUE"""),1.0)</f>
        <v>1</v>
      </c>
      <c r="AD1214">
        <f>IFERROR(__xludf.DUMMYFUNCTION("""COMPUTED_VALUE"""),1.0)</f>
        <v>1</v>
      </c>
      <c r="AE1214">
        <f>IFERROR(__xludf.DUMMYFUNCTION("""COMPUTED_VALUE"""),1.0)</f>
        <v>1</v>
      </c>
      <c r="AH1214" s="189">
        <f>IFERROR(__xludf.DUMMYFUNCTION("""COMPUTED_VALUE"""),43404.43554233796)</f>
        <v>43404.43554</v>
      </c>
    </row>
    <row r="1215">
      <c r="A1215" t="str">
        <f>IFERROR(__xludf.DUMMYFUNCTION("""COMPUTED_VALUE"""),"pogopipsqueak")</f>
        <v>pogopipsqueak</v>
      </c>
      <c r="B1215" t="str">
        <f>IFERROR(__xludf.DUMMYFUNCTION("""COMPUTED_VALUE"""),"Ashburn")</f>
        <v>Ashburn</v>
      </c>
      <c r="C1215" t="str">
        <f>IFERROR(__xludf.DUMMYFUNCTION("""COMPUTED_VALUE"""),"VA")</f>
        <v>VA</v>
      </c>
      <c r="D1215" t="str">
        <f>IFERROR(__xludf.DUMMYFUNCTION("""COMPUTED_VALUE"""),"USA")</f>
        <v>USA</v>
      </c>
      <c r="E1215" s="188">
        <f>IFERROR(__xludf.DUMMYFUNCTION("""COMPUTED_VALUE"""),43280.0)</f>
        <v>43280</v>
      </c>
      <c r="F1215" s="188">
        <f>IFERROR(__xludf.DUMMYFUNCTION("""COMPUTED_VALUE"""),43374.0)</f>
        <v>43374</v>
      </c>
      <c r="H1215">
        <f>IFERROR(__xludf.DUMMYFUNCTION("""COMPUTED_VALUE"""),117455.0)</f>
        <v>117455</v>
      </c>
      <c r="J1215" s="5">
        <f>IFERROR(__xludf.DUMMYFUNCTION("""COMPUTED_VALUE"""),43399.0)</f>
        <v>43399</v>
      </c>
      <c r="K1215">
        <f>IFERROR(__xludf.DUMMYFUNCTION("""COMPUTED_VALUE"""),94.0)</f>
        <v>94</v>
      </c>
      <c r="L1215">
        <f>IFERROR(__xludf.DUMMYFUNCTION("""COMPUTED_VALUE"""),25.0)</f>
        <v>25</v>
      </c>
      <c r="M1215">
        <f>IFERROR(__xludf.DUMMYFUNCTION("""COMPUTED_VALUE"""),119.0)</f>
        <v>119</v>
      </c>
      <c r="N1215" t="str">
        <f>IFERROR(__xludf.DUMMYFUNCTION("""COMPUTED_VALUE"""),"Model 3 LR AWD")</f>
        <v>Model 3 LR AWD</v>
      </c>
      <c r="O1215" t="str">
        <f>IFERROR(__xludf.DUMMYFUNCTION("""COMPUTED_VALUE"""),"Deep Blue Metallic")</f>
        <v>Deep Blue Metallic</v>
      </c>
      <c r="P1215" t="str">
        <f>IFERROR(__xludf.DUMMYFUNCTION("""COMPUTED_VALUE"""),"19 inch Sport")</f>
        <v>19 inch Sport</v>
      </c>
      <c r="Q1215" t="str">
        <f>IFERROR(__xludf.DUMMYFUNCTION("""COMPUTED_VALUE"""),"Black seats")</f>
        <v>Black seats</v>
      </c>
      <c r="R1215" t="str">
        <f>IFERROR(__xludf.DUMMYFUNCTION("""COMPUTED_VALUE"""),"Full Self-Driving")</f>
        <v>Full Self-Driving</v>
      </c>
      <c r="X1215" t="str">
        <f>IFERROR(__xludf.DUMMYFUNCTION("""COMPUTED_VALUE"""),"Excellent")</f>
        <v>Excellent</v>
      </c>
      <c r="Y1215" t="str">
        <f>IFERROR(__xludf.DUMMYFUNCTION("""COMPUTED_VALUE"""),"Excellent")</f>
        <v>Excellent</v>
      </c>
      <c r="Z1215" t="str">
        <f>IFERROR(__xludf.DUMMYFUNCTION("""COMPUTED_VALUE"""),"Excellent")</f>
        <v>Excellent</v>
      </c>
      <c r="AA1215" t="str">
        <f>IFERROR(__xludf.DUMMYFUNCTION("""COMPUTED_VALUE"""),"Very Good")</f>
        <v>Very Good</v>
      </c>
      <c r="AB1215" t="str">
        <f>IFERROR(__xludf.DUMMYFUNCTION("""COMPUTED_VALUE"""),"Good")</f>
        <v>Good</v>
      </c>
      <c r="AH1215" s="189">
        <f>IFERROR(__xludf.DUMMYFUNCTION("""COMPUTED_VALUE"""),43404.55949966435)</f>
        <v>43404.5595</v>
      </c>
    </row>
    <row r="1216">
      <c r="A1216" t="str">
        <f>IFERROR(__xludf.DUMMYFUNCTION("""COMPUTED_VALUE"""),"tchen811")</f>
        <v>tchen811</v>
      </c>
      <c r="B1216" t="str">
        <f>IFERROR(__xludf.DUMMYFUNCTION("""COMPUTED_VALUE"""),"Los Angeles")</f>
        <v>Los Angeles</v>
      </c>
      <c r="C1216" t="str">
        <f>IFERROR(__xludf.DUMMYFUNCTION("""COMPUTED_VALUE"""),"CA")</f>
        <v>CA</v>
      </c>
      <c r="D1216" t="str">
        <f>IFERROR(__xludf.DUMMYFUNCTION("""COMPUTED_VALUE"""),"USA")</f>
        <v>USA</v>
      </c>
      <c r="E1216" s="188">
        <f>IFERROR(__xludf.DUMMYFUNCTION("""COMPUTED_VALUE"""),43387.0)</f>
        <v>43387</v>
      </c>
      <c r="F1216" s="188">
        <f>IFERROR(__xludf.DUMMYFUNCTION("""COMPUTED_VALUE"""),43398.0)</f>
        <v>43398</v>
      </c>
      <c r="H1216">
        <f>IFERROR(__xludf.DUMMYFUNCTION("""COMPUTED_VALUE"""),108955.0)</f>
        <v>108955</v>
      </c>
      <c r="I1216" t="str">
        <f>IFERROR(__xludf.DUMMYFUNCTION("""COMPUTED_VALUE"""),"10/18")</f>
        <v>10/18</v>
      </c>
      <c r="J1216" s="5">
        <f>IFERROR(__xludf.DUMMYFUNCTION("""COMPUTED_VALUE"""),43404.0)</f>
        <v>43404</v>
      </c>
      <c r="K1216">
        <f>IFERROR(__xludf.DUMMYFUNCTION("""COMPUTED_VALUE"""),11.0)</f>
        <v>11</v>
      </c>
      <c r="L1216">
        <f>IFERROR(__xludf.DUMMYFUNCTION("""COMPUTED_VALUE"""),6.0)</f>
        <v>6</v>
      </c>
      <c r="M1216">
        <f>IFERROR(__xludf.DUMMYFUNCTION("""COMPUTED_VALUE"""),17.0)</f>
        <v>17</v>
      </c>
      <c r="N1216" t="str">
        <f>IFERROR(__xludf.DUMMYFUNCTION("""COMPUTED_VALUE"""),"Model 3 LR")</f>
        <v>Model 3 LR</v>
      </c>
      <c r="O1216" t="str">
        <f>IFERROR(__xludf.DUMMYFUNCTION("""COMPUTED_VALUE"""),"Deep Blue Metallic")</f>
        <v>Deep Blue Metallic</v>
      </c>
      <c r="P1216" t="str">
        <f>IFERROR(__xludf.DUMMYFUNCTION("""COMPUTED_VALUE"""),"19 inch Sport")</f>
        <v>19 inch Sport</v>
      </c>
      <c r="Q1216" t="str">
        <f>IFERROR(__xludf.DUMMYFUNCTION("""COMPUTED_VALUE"""),"Black seats")</f>
        <v>Black seats</v>
      </c>
      <c r="R1216" t="str">
        <f>IFERROR(__xludf.DUMMYFUNCTION("""COMPUTED_VALUE"""),"None")</f>
        <v>None</v>
      </c>
      <c r="X1216" t="str">
        <f>IFERROR(__xludf.DUMMYFUNCTION("""COMPUTED_VALUE"""),"Excellent")</f>
        <v>Excellent</v>
      </c>
      <c r="Y1216" t="str">
        <f>IFERROR(__xludf.DUMMYFUNCTION("""COMPUTED_VALUE"""),"Excellent")</f>
        <v>Excellent</v>
      </c>
      <c r="Z1216" t="str">
        <f>IFERROR(__xludf.DUMMYFUNCTION("""COMPUTED_VALUE"""),"Poor")</f>
        <v>Poor</v>
      </c>
      <c r="AA1216" t="str">
        <f>IFERROR(__xludf.DUMMYFUNCTION("""COMPUTED_VALUE"""),"Good")</f>
        <v>Good</v>
      </c>
      <c r="AB1216" t="str">
        <f>IFERROR(__xludf.DUMMYFUNCTION("""COMPUTED_VALUE"""),"Good")</f>
        <v>Good</v>
      </c>
      <c r="AC1216">
        <f>IFERROR(__xludf.DUMMYFUNCTION("""COMPUTED_VALUE"""),3.0)</f>
        <v>3</v>
      </c>
      <c r="AH1216" s="189">
        <f>IFERROR(__xludf.DUMMYFUNCTION("""COMPUTED_VALUE"""),43404.5811602662)</f>
        <v>43404.58116</v>
      </c>
    </row>
    <row r="1217">
      <c r="A1217" t="str">
        <f>IFERROR(__xludf.DUMMYFUNCTION("""COMPUTED_VALUE"""),"Dexterryu")</f>
        <v>Dexterryu</v>
      </c>
      <c r="B1217" t="str">
        <f>IFERROR(__xludf.DUMMYFUNCTION("""COMPUTED_VALUE"""),"Cleveland")</f>
        <v>Cleveland</v>
      </c>
      <c r="C1217" t="str">
        <f>IFERROR(__xludf.DUMMYFUNCTION("""COMPUTED_VALUE"""),"OH")</f>
        <v>OH</v>
      </c>
      <c r="D1217" t="str">
        <f>IFERROR(__xludf.DUMMYFUNCTION("""COMPUTED_VALUE"""),"USA")</f>
        <v>USA</v>
      </c>
      <c r="E1217" s="188">
        <f>IFERROR(__xludf.DUMMYFUNCTION("""COMPUTED_VALUE"""),43281.0)</f>
        <v>43281</v>
      </c>
      <c r="F1217" s="188">
        <f>IFERROR(__xludf.DUMMYFUNCTION("""COMPUTED_VALUE"""),43373.0)</f>
        <v>43373</v>
      </c>
      <c r="H1217">
        <f>IFERROR(__xludf.DUMMYFUNCTION("""COMPUTED_VALUE"""),94155.0)</f>
        <v>94155</v>
      </c>
      <c r="I1217" t="str">
        <f>IFERROR(__xludf.DUMMYFUNCTION("""COMPUTED_VALUE"""),"09/18")</f>
        <v>09/18</v>
      </c>
      <c r="J1217" s="5">
        <f>IFERROR(__xludf.DUMMYFUNCTION("""COMPUTED_VALUE"""),43379.0)</f>
        <v>43379</v>
      </c>
      <c r="K1217">
        <f>IFERROR(__xludf.DUMMYFUNCTION("""COMPUTED_VALUE"""),92.0)</f>
        <v>92</v>
      </c>
      <c r="L1217">
        <f>IFERROR(__xludf.DUMMYFUNCTION("""COMPUTED_VALUE"""),6.0)</f>
        <v>6</v>
      </c>
      <c r="M1217">
        <f>IFERROR(__xludf.DUMMYFUNCTION("""COMPUTED_VALUE"""),98.0)</f>
        <v>98</v>
      </c>
      <c r="N1217" t="str">
        <f>IFERROR(__xludf.DUMMYFUNCTION("""COMPUTED_VALUE"""),"Model 3 LR AWD")</f>
        <v>Model 3 LR AWD</v>
      </c>
      <c r="O1217" t="str">
        <f>IFERROR(__xludf.DUMMYFUNCTION("""COMPUTED_VALUE"""),"Midnight Silver Metallic")</f>
        <v>Midnight Silver Metallic</v>
      </c>
      <c r="P1217" t="str">
        <f>IFERROR(__xludf.DUMMYFUNCTION("""COMPUTED_VALUE"""),"18 inch Aero")</f>
        <v>18 inch Aero</v>
      </c>
      <c r="Q1217" t="str">
        <f>IFERROR(__xludf.DUMMYFUNCTION("""COMPUTED_VALUE"""),"Black seats")</f>
        <v>Black seats</v>
      </c>
      <c r="R1217" t="str">
        <f>IFERROR(__xludf.DUMMYFUNCTION("""COMPUTED_VALUE"""),"None")</f>
        <v>None</v>
      </c>
      <c r="X1217" t="str">
        <f>IFERROR(__xludf.DUMMYFUNCTION("""COMPUTED_VALUE"""),"Very Good")</f>
        <v>Very Good</v>
      </c>
      <c r="Y1217" t="str">
        <f>IFERROR(__xludf.DUMMYFUNCTION("""COMPUTED_VALUE"""),"Excellent")</f>
        <v>Excellent</v>
      </c>
      <c r="Z1217" t="str">
        <f>IFERROR(__xludf.DUMMYFUNCTION("""COMPUTED_VALUE"""),"Very Good")</f>
        <v>Very Good</v>
      </c>
      <c r="AA1217" t="str">
        <f>IFERROR(__xludf.DUMMYFUNCTION("""COMPUTED_VALUE"""),"Good")</f>
        <v>Good</v>
      </c>
      <c r="AB1217" t="str">
        <f>IFERROR(__xludf.DUMMYFUNCTION("""COMPUTED_VALUE"""),"Very Good")</f>
        <v>Very Good</v>
      </c>
      <c r="AC1217">
        <f>IFERROR(__xludf.DUMMYFUNCTION("""COMPUTED_VALUE"""),3.0)</f>
        <v>3</v>
      </c>
      <c r="AD1217">
        <f>IFERROR(__xludf.DUMMYFUNCTION("""COMPUTED_VALUE"""),0.0)</f>
        <v>0</v>
      </c>
      <c r="AE1217">
        <f>IFERROR(__xludf.DUMMYFUNCTION("""COMPUTED_VALUE"""),0.0)</f>
        <v>0</v>
      </c>
      <c r="AH1217" s="189">
        <f>IFERROR(__xludf.DUMMYFUNCTION("""COMPUTED_VALUE"""),43404.64367525463)</f>
        <v>43404.64368</v>
      </c>
    </row>
    <row r="1218">
      <c r="A1218" t="str">
        <f>IFERROR(__xludf.DUMMYFUNCTION("""COMPUTED_VALUE"""),"hankramos")</f>
        <v>hankramos</v>
      </c>
      <c r="B1218" t="str">
        <f>IFERROR(__xludf.DUMMYFUNCTION("""COMPUTED_VALUE"""),"Johnstown")</f>
        <v>Johnstown</v>
      </c>
      <c r="C1218" t="str">
        <f>IFERROR(__xludf.DUMMYFUNCTION("""COMPUTED_VALUE"""),"PA")</f>
        <v>PA</v>
      </c>
      <c r="D1218" t="str">
        <f>IFERROR(__xludf.DUMMYFUNCTION("""COMPUTED_VALUE"""),"USA")</f>
        <v>USA</v>
      </c>
      <c r="E1218" s="188">
        <f>IFERROR(__xludf.DUMMYFUNCTION("""COMPUTED_VALUE"""),43353.0)</f>
        <v>43353</v>
      </c>
      <c r="F1218" s="188">
        <f>IFERROR(__xludf.DUMMYFUNCTION("""COMPUTED_VALUE"""),43383.0)</f>
        <v>43383</v>
      </c>
      <c r="H1218">
        <f>IFERROR(__xludf.DUMMYFUNCTION("""COMPUTED_VALUE"""),82655.0)</f>
        <v>82655</v>
      </c>
      <c r="I1218" t="str">
        <f>IFERROR(__xludf.DUMMYFUNCTION("""COMPUTED_VALUE"""),"10/18")</f>
        <v>10/18</v>
      </c>
      <c r="J1218" s="5">
        <f>IFERROR(__xludf.DUMMYFUNCTION("""COMPUTED_VALUE"""),43404.0)</f>
        <v>43404</v>
      </c>
      <c r="K1218">
        <f>IFERROR(__xludf.DUMMYFUNCTION("""COMPUTED_VALUE"""),30.0)</f>
        <v>30</v>
      </c>
      <c r="L1218">
        <f>IFERROR(__xludf.DUMMYFUNCTION("""COMPUTED_VALUE"""),21.0)</f>
        <v>21</v>
      </c>
      <c r="M1218">
        <f>IFERROR(__xludf.DUMMYFUNCTION("""COMPUTED_VALUE"""),51.0)</f>
        <v>51</v>
      </c>
      <c r="N1218" t="str">
        <f>IFERROR(__xludf.DUMMYFUNCTION("""COMPUTED_VALUE"""),"Model 3 Performance")</f>
        <v>Model 3 Performance</v>
      </c>
      <c r="O1218" t="str">
        <f>IFERROR(__xludf.DUMMYFUNCTION("""COMPUTED_VALUE"""),"Obsidian Black Metallic")</f>
        <v>Obsidian Black Metallic</v>
      </c>
      <c r="P1218" t="str">
        <f>IFERROR(__xludf.DUMMYFUNCTION("""COMPUTED_VALUE"""),"20 inch Sport")</f>
        <v>20 inch Sport</v>
      </c>
      <c r="Q1218" t="str">
        <f>IFERROR(__xludf.DUMMYFUNCTION("""COMPUTED_VALUE"""),"Black seats")</f>
        <v>Black seats</v>
      </c>
      <c r="R1218" t="str">
        <f>IFERROR(__xludf.DUMMYFUNCTION("""COMPUTED_VALUE"""),"Full Self-Driving")</f>
        <v>Full Self-Driving</v>
      </c>
      <c r="X1218" t="str">
        <f>IFERROR(__xludf.DUMMYFUNCTION("""COMPUTED_VALUE"""),"Good")</f>
        <v>Good</v>
      </c>
      <c r="Y1218" t="str">
        <f>IFERROR(__xludf.DUMMYFUNCTION("""COMPUTED_VALUE"""),"Good")</f>
        <v>Good</v>
      </c>
      <c r="Z1218" t="str">
        <f>IFERROR(__xludf.DUMMYFUNCTION("""COMPUTED_VALUE"""),"Excellent")</f>
        <v>Excellent</v>
      </c>
      <c r="AA1218" t="str">
        <f>IFERROR(__xludf.DUMMYFUNCTION("""COMPUTED_VALUE"""),"Poor")</f>
        <v>Poor</v>
      </c>
      <c r="AB1218" t="str">
        <f>IFERROR(__xludf.DUMMYFUNCTION("""COMPUTED_VALUE"""),"Fair")</f>
        <v>Fair</v>
      </c>
      <c r="AC1218">
        <f>IFERROR(__xludf.DUMMYFUNCTION("""COMPUTED_VALUE"""),3.0)</f>
        <v>3</v>
      </c>
      <c r="AH1218" s="189">
        <f>IFERROR(__xludf.DUMMYFUNCTION("""COMPUTED_VALUE"""),43404.73992782408)</f>
        <v>43404.73993</v>
      </c>
    </row>
    <row r="1219">
      <c r="A1219" t="str">
        <f>IFERROR(__xludf.DUMMYFUNCTION("""COMPUTED_VALUE"""),"ZoomDoggie")</f>
        <v>ZoomDoggie</v>
      </c>
      <c r="B1219" t="str">
        <f>IFERROR(__xludf.DUMMYFUNCTION("""COMPUTED_VALUE"""),"Salem")</f>
        <v>Salem</v>
      </c>
      <c r="C1219" t="str">
        <f>IFERROR(__xludf.DUMMYFUNCTION("""COMPUTED_VALUE"""),"VA")</f>
        <v>VA</v>
      </c>
      <c r="D1219" t="str">
        <f>IFERROR(__xludf.DUMMYFUNCTION("""COMPUTED_VALUE"""),"USA")</f>
        <v>USA</v>
      </c>
      <c r="E1219" s="188">
        <f>IFERROR(__xludf.DUMMYFUNCTION("""COMPUTED_VALUE"""),43300.0)</f>
        <v>43300</v>
      </c>
      <c r="F1219" s="188">
        <f>IFERROR(__xludf.DUMMYFUNCTION("""COMPUTED_VALUE"""),43382.0)</f>
        <v>43382</v>
      </c>
      <c r="H1219">
        <f>IFERROR(__xludf.DUMMYFUNCTION("""COMPUTED_VALUE"""),94655.0)</f>
        <v>94655</v>
      </c>
      <c r="J1219" s="5">
        <f>IFERROR(__xludf.DUMMYFUNCTION("""COMPUTED_VALUE"""),43404.0)</f>
        <v>43404</v>
      </c>
      <c r="K1219">
        <f>IFERROR(__xludf.DUMMYFUNCTION("""COMPUTED_VALUE"""),82.0)</f>
        <v>82</v>
      </c>
      <c r="L1219">
        <f>IFERROR(__xludf.DUMMYFUNCTION("""COMPUTED_VALUE"""),22.0)</f>
        <v>22</v>
      </c>
      <c r="M1219">
        <f>IFERROR(__xludf.DUMMYFUNCTION("""COMPUTED_VALUE"""),104.0)</f>
        <v>104</v>
      </c>
      <c r="N1219" t="str">
        <f>IFERROR(__xludf.DUMMYFUNCTION("""COMPUTED_VALUE"""),"Model 3 LR AWD")</f>
        <v>Model 3 LR AWD</v>
      </c>
      <c r="O1219" t="str">
        <f>IFERROR(__xludf.DUMMYFUNCTION("""COMPUTED_VALUE"""),"Deep Blue Metallic")</f>
        <v>Deep Blue Metallic</v>
      </c>
      <c r="P1219" t="str">
        <f>IFERROR(__xludf.DUMMYFUNCTION("""COMPUTED_VALUE"""),"18 inch Aero")</f>
        <v>18 inch Aero</v>
      </c>
      <c r="Q1219" t="str">
        <f>IFERROR(__xludf.DUMMYFUNCTION("""COMPUTED_VALUE"""),"Black seats")</f>
        <v>Black seats</v>
      </c>
      <c r="R1219" t="str">
        <f>IFERROR(__xludf.DUMMYFUNCTION("""COMPUTED_VALUE"""),"None")</f>
        <v>None</v>
      </c>
      <c r="X1219" t="str">
        <f>IFERROR(__xludf.DUMMYFUNCTION("""COMPUTED_VALUE"""),"Excellent")</f>
        <v>Excellent</v>
      </c>
      <c r="Y1219" t="str">
        <f>IFERROR(__xludf.DUMMYFUNCTION("""COMPUTED_VALUE"""),"Excellent")</f>
        <v>Excellent</v>
      </c>
      <c r="Z1219" t="str">
        <f>IFERROR(__xludf.DUMMYFUNCTION("""COMPUTED_VALUE"""),"Excellent")</f>
        <v>Excellent</v>
      </c>
      <c r="AA1219" t="str">
        <f>IFERROR(__xludf.DUMMYFUNCTION("""COMPUTED_VALUE"""),"Excellent")</f>
        <v>Excellent</v>
      </c>
      <c r="AB1219" t="str">
        <f>IFERROR(__xludf.DUMMYFUNCTION("""COMPUTED_VALUE"""),"Excellent")</f>
        <v>Excellent</v>
      </c>
      <c r="AG1219" t="str">
        <f>IFERROR(__xludf.DUMMYFUNCTION("""COMPUTED_VALUE"""),"declined August.  Resched 10/30 to 31")</f>
        <v>declined August.  Resched 10/30 to 31</v>
      </c>
      <c r="AH1219" s="189">
        <f>IFERROR(__xludf.DUMMYFUNCTION("""COMPUTED_VALUE"""),43404.76265266204)</f>
        <v>43404.76265</v>
      </c>
    </row>
    <row r="1220">
      <c r="A1220" t="str">
        <f>IFERROR(__xludf.DUMMYFUNCTION("""COMPUTED_VALUE"""),"rachelhikes")</f>
        <v>rachelhikes</v>
      </c>
      <c r="B1220" t="str">
        <f>IFERROR(__xludf.DUMMYFUNCTION("""COMPUTED_VALUE"""),"Los Altos")</f>
        <v>Los Altos</v>
      </c>
      <c r="C1220" t="str">
        <f>IFERROR(__xludf.DUMMYFUNCTION("""COMPUTED_VALUE"""),"CA")</f>
        <v>CA</v>
      </c>
      <c r="D1220" t="str">
        <f>IFERROR(__xludf.DUMMYFUNCTION("""COMPUTED_VALUE"""),"USA")</f>
        <v>USA</v>
      </c>
      <c r="E1220" s="188">
        <f>IFERROR(__xludf.DUMMYFUNCTION("""COMPUTED_VALUE"""),43308.0)</f>
        <v>43308</v>
      </c>
      <c r="F1220" s="188">
        <f>IFERROR(__xludf.DUMMYFUNCTION("""COMPUTED_VALUE"""),43366.0)</f>
        <v>43366</v>
      </c>
      <c r="H1220">
        <f>IFERROR(__xludf.DUMMYFUNCTION("""COMPUTED_VALUE"""),91655.0)</f>
        <v>91655</v>
      </c>
      <c r="I1220" t="str">
        <f>IFERROR(__xludf.DUMMYFUNCTION("""COMPUTED_VALUE"""),"09/18")</f>
        <v>09/18</v>
      </c>
      <c r="J1220" s="5">
        <f>IFERROR(__xludf.DUMMYFUNCTION("""COMPUTED_VALUE"""),43369.0)</f>
        <v>43369</v>
      </c>
      <c r="K1220">
        <f>IFERROR(__xludf.DUMMYFUNCTION("""COMPUTED_VALUE"""),58.0)</f>
        <v>58</v>
      </c>
      <c r="L1220">
        <f>IFERROR(__xludf.DUMMYFUNCTION("""COMPUTED_VALUE"""),3.0)</f>
        <v>3</v>
      </c>
      <c r="M1220">
        <f>IFERROR(__xludf.DUMMYFUNCTION("""COMPUTED_VALUE"""),61.0)</f>
        <v>61</v>
      </c>
      <c r="N1220" t="str">
        <f>IFERROR(__xludf.DUMMYFUNCTION("""COMPUTED_VALUE"""),"Model 3 LR AWD")</f>
        <v>Model 3 LR AWD</v>
      </c>
      <c r="O1220" t="str">
        <f>IFERROR(__xludf.DUMMYFUNCTION("""COMPUTED_VALUE"""),"Red Multi-Coat")</f>
        <v>Red Multi-Coat</v>
      </c>
      <c r="P1220" t="str">
        <f>IFERROR(__xludf.DUMMYFUNCTION("""COMPUTED_VALUE"""),"18 inch Aero")</f>
        <v>18 inch Aero</v>
      </c>
      <c r="Q1220" t="str">
        <f>IFERROR(__xludf.DUMMYFUNCTION("""COMPUTED_VALUE"""),"Black seats")</f>
        <v>Black seats</v>
      </c>
      <c r="R1220" t="str">
        <f>IFERROR(__xludf.DUMMYFUNCTION("""COMPUTED_VALUE"""),"None")</f>
        <v>None</v>
      </c>
      <c r="X1220" t="str">
        <f>IFERROR(__xludf.DUMMYFUNCTION("""COMPUTED_VALUE"""),"Excellent")</f>
        <v>Excellent</v>
      </c>
      <c r="Y1220" t="str">
        <f>IFERROR(__xludf.DUMMYFUNCTION("""COMPUTED_VALUE"""),"Excellent")</f>
        <v>Excellent</v>
      </c>
      <c r="Z1220" t="str">
        <f>IFERROR(__xludf.DUMMYFUNCTION("""COMPUTED_VALUE"""),"Excellent")</f>
        <v>Excellent</v>
      </c>
      <c r="AA1220" t="str">
        <f>IFERROR(__xludf.DUMMYFUNCTION("""COMPUTED_VALUE"""),"Excellent")</f>
        <v>Excellent</v>
      </c>
      <c r="AB1220" t="str">
        <f>IFERROR(__xludf.DUMMYFUNCTION("""COMPUTED_VALUE"""),"Excellent")</f>
        <v>Excellent</v>
      </c>
      <c r="AC1220">
        <f>IFERROR(__xludf.DUMMYFUNCTION("""COMPUTED_VALUE"""),0.0)</f>
        <v>0</v>
      </c>
      <c r="AD1220">
        <f>IFERROR(__xludf.DUMMYFUNCTION("""COMPUTED_VALUE"""),0.0)</f>
        <v>0</v>
      </c>
      <c r="AE1220">
        <f>IFERROR(__xludf.DUMMYFUNCTION("""COMPUTED_VALUE"""),0.0)</f>
        <v>0</v>
      </c>
      <c r="AH1220" s="189">
        <f>IFERROR(__xludf.DUMMYFUNCTION("""COMPUTED_VALUE"""),43404.81913145834)</f>
        <v>43404.81913</v>
      </c>
    </row>
    <row r="1221">
      <c r="A1221" t="str">
        <f>IFERROR(__xludf.DUMMYFUNCTION("""COMPUTED_VALUE"""),"whitslack")</f>
        <v>whitslack</v>
      </c>
      <c r="B1221" t="str">
        <f>IFERROR(__xludf.DUMMYFUNCTION("""COMPUTED_VALUE"""),"New Hampshire")</f>
        <v>New Hampshire</v>
      </c>
      <c r="C1221" t="str">
        <f>IFERROR(__xludf.DUMMYFUNCTION("""COMPUTED_VALUE"""),"NH")</f>
        <v>NH</v>
      </c>
      <c r="D1221" t="str">
        <f>IFERROR(__xludf.DUMMYFUNCTION("""COMPUTED_VALUE"""),"USA")</f>
        <v>USA</v>
      </c>
      <c r="E1221" s="188">
        <f>IFERROR(__xludf.DUMMYFUNCTION("""COMPUTED_VALUE"""),43279.0)</f>
        <v>43279</v>
      </c>
      <c r="F1221" s="188">
        <f>IFERROR(__xludf.DUMMYFUNCTION("""COMPUTED_VALUE"""),43378.0)</f>
        <v>43378</v>
      </c>
      <c r="H1221">
        <f>IFERROR(__xludf.DUMMYFUNCTION("""COMPUTED_VALUE"""),93383.0)</f>
        <v>93383</v>
      </c>
      <c r="I1221" t="str">
        <f>IFERROR(__xludf.DUMMYFUNCTION("""COMPUTED_VALUE"""),"09/18")</f>
        <v>09/18</v>
      </c>
      <c r="J1221" s="5">
        <f>IFERROR(__xludf.DUMMYFUNCTION("""COMPUTED_VALUE"""),43404.0)</f>
        <v>43404</v>
      </c>
      <c r="K1221">
        <f>IFERROR(__xludf.DUMMYFUNCTION("""COMPUTED_VALUE"""),99.0)</f>
        <v>99</v>
      </c>
      <c r="L1221">
        <f>IFERROR(__xludf.DUMMYFUNCTION("""COMPUTED_VALUE"""),26.0)</f>
        <v>26</v>
      </c>
      <c r="M1221">
        <f>IFERROR(__xludf.DUMMYFUNCTION("""COMPUTED_VALUE"""),125.0)</f>
        <v>125</v>
      </c>
      <c r="N1221" t="str">
        <f>IFERROR(__xludf.DUMMYFUNCTION("""COMPUTED_VALUE"""),"Model 3 LR AWD")</f>
        <v>Model 3 LR AWD</v>
      </c>
      <c r="O1221" t="str">
        <f>IFERROR(__xludf.DUMMYFUNCTION("""COMPUTED_VALUE"""),"Silver Metallic")</f>
        <v>Silver Metallic</v>
      </c>
      <c r="P1221" t="str">
        <f>IFERROR(__xludf.DUMMYFUNCTION("""COMPUTED_VALUE"""),"18 inch Aero")</f>
        <v>18 inch Aero</v>
      </c>
      <c r="Q1221" t="str">
        <f>IFERROR(__xludf.DUMMYFUNCTION("""COMPUTED_VALUE"""),"Black seats")</f>
        <v>Black seats</v>
      </c>
      <c r="R1221" t="str">
        <f>IFERROR(__xludf.DUMMYFUNCTION("""COMPUTED_VALUE"""),"Enhanced Autopilot")</f>
        <v>Enhanced Autopilot</v>
      </c>
      <c r="X1221" t="str">
        <f>IFERROR(__xludf.DUMMYFUNCTION("""COMPUTED_VALUE"""),"Excellent")</f>
        <v>Excellent</v>
      </c>
      <c r="Y1221" t="str">
        <f>IFERROR(__xludf.DUMMYFUNCTION("""COMPUTED_VALUE"""),"Very Good")</f>
        <v>Very Good</v>
      </c>
      <c r="Z1221" t="str">
        <f>IFERROR(__xludf.DUMMYFUNCTION("""COMPUTED_VALUE"""),"Very Good")</f>
        <v>Very Good</v>
      </c>
      <c r="AA1221" t="str">
        <f>IFERROR(__xludf.DUMMYFUNCTION("""COMPUTED_VALUE"""),"Poor")</f>
        <v>Poor</v>
      </c>
      <c r="AB1221" t="str">
        <f>IFERROR(__xludf.DUMMYFUNCTION("""COMPUTED_VALUE"""),"Fair")</f>
        <v>Fair</v>
      </c>
      <c r="AH1221" s="189">
        <f>IFERROR(__xludf.DUMMYFUNCTION("""COMPUTED_VALUE"""),43404.92263346065)</f>
        <v>43404.92263</v>
      </c>
    </row>
    <row r="1222">
      <c r="A1222" t="str">
        <f>IFERROR(__xludf.DUMMYFUNCTION("""COMPUTED_VALUE"""),"Rzrsharp")</f>
        <v>Rzrsharp</v>
      </c>
      <c r="B1222" t="str">
        <f>IFERROR(__xludf.DUMMYFUNCTION("""COMPUTED_VALUE"""),"Raleigh")</f>
        <v>Raleigh</v>
      </c>
      <c r="C1222" t="str">
        <f>IFERROR(__xludf.DUMMYFUNCTION("""COMPUTED_VALUE"""),"NC")</f>
        <v>NC</v>
      </c>
      <c r="D1222" t="str">
        <f>IFERROR(__xludf.DUMMYFUNCTION("""COMPUTED_VALUE"""),"USA")</f>
        <v>USA</v>
      </c>
      <c r="E1222" s="188">
        <f>IFERROR(__xludf.DUMMYFUNCTION("""COMPUTED_VALUE"""),43278.0)</f>
        <v>43278</v>
      </c>
      <c r="F1222" s="188">
        <f>IFERROR(__xludf.DUMMYFUNCTION("""COMPUTED_VALUE"""),43390.0)</f>
        <v>43390</v>
      </c>
      <c r="H1222">
        <f>IFERROR(__xludf.DUMMYFUNCTION("""COMPUTED_VALUE"""),114355.0)</f>
        <v>114355</v>
      </c>
      <c r="I1222" t="str">
        <f>IFERROR(__xludf.DUMMYFUNCTION("""COMPUTED_VALUE"""),"10/18")</f>
        <v>10/18</v>
      </c>
      <c r="J1222" s="5">
        <f>IFERROR(__xludf.DUMMYFUNCTION("""COMPUTED_VALUE"""),43404.0)</f>
        <v>43404</v>
      </c>
      <c r="K1222">
        <f>IFERROR(__xludf.DUMMYFUNCTION("""COMPUTED_VALUE"""),112.0)</f>
        <v>112</v>
      </c>
      <c r="L1222">
        <f>IFERROR(__xludf.DUMMYFUNCTION("""COMPUTED_VALUE"""),14.0)</f>
        <v>14</v>
      </c>
      <c r="M1222">
        <f>IFERROR(__xludf.DUMMYFUNCTION("""COMPUTED_VALUE"""),126.0)</f>
        <v>126</v>
      </c>
      <c r="N1222" t="str">
        <f>IFERROR(__xludf.DUMMYFUNCTION("""COMPUTED_VALUE"""),"Model 3 LR AWD")</f>
        <v>Model 3 LR AWD</v>
      </c>
      <c r="O1222" t="str">
        <f>IFERROR(__xludf.DUMMYFUNCTION("""COMPUTED_VALUE"""),"Midnight Silver Metallic")</f>
        <v>Midnight Silver Metallic</v>
      </c>
      <c r="P1222" t="str">
        <f>IFERROR(__xludf.DUMMYFUNCTION("""COMPUTED_VALUE"""),"18 inch Aero")</f>
        <v>18 inch Aero</v>
      </c>
      <c r="Q1222" t="str">
        <f>IFERROR(__xludf.DUMMYFUNCTION("""COMPUTED_VALUE"""),"Black seats")</f>
        <v>Black seats</v>
      </c>
      <c r="R1222" t="str">
        <f>IFERROR(__xludf.DUMMYFUNCTION("""COMPUTED_VALUE"""),"None")</f>
        <v>None</v>
      </c>
      <c r="X1222" t="str">
        <f>IFERROR(__xludf.DUMMYFUNCTION("""COMPUTED_VALUE"""),"Excellent")</f>
        <v>Excellent</v>
      </c>
      <c r="Y1222" t="str">
        <f>IFERROR(__xludf.DUMMYFUNCTION("""COMPUTED_VALUE"""),"Excellent")</f>
        <v>Excellent</v>
      </c>
      <c r="Z1222" t="str">
        <f>IFERROR(__xludf.DUMMYFUNCTION("""COMPUTED_VALUE"""),"Excellent")</f>
        <v>Excellent</v>
      </c>
      <c r="AA1222" t="str">
        <f>IFERROR(__xludf.DUMMYFUNCTION("""COMPUTED_VALUE"""),"Good")</f>
        <v>Good</v>
      </c>
      <c r="AB1222" t="str">
        <f>IFERROR(__xludf.DUMMYFUNCTION("""COMPUTED_VALUE"""),"Very Good")</f>
        <v>Very Good</v>
      </c>
      <c r="AC1222">
        <f>IFERROR(__xludf.DUMMYFUNCTION("""COMPUTED_VALUE"""),1.0)</f>
        <v>1</v>
      </c>
      <c r="AH1222" s="189">
        <f>IFERROR(__xludf.DUMMYFUNCTION("""COMPUTED_VALUE"""),43405.49336966436)</f>
        <v>43405.49337</v>
      </c>
    </row>
    <row r="1223">
      <c r="A1223" t="str">
        <f>IFERROR(__xludf.DUMMYFUNCTION("""COMPUTED_VALUE"""),"syrhee211")</f>
        <v>syrhee211</v>
      </c>
      <c r="B1223" t="str">
        <f>IFERROR(__xludf.DUMMYFUNCTION("""COMPUTED_VALUE"""),"Seattle")</f>
        <v>Seattle</v>
      </c>
      <c r="C1223" t="str">
        <f>IFERROR(__xludf.DUMMYFUNCTION("""COMPUTED_VALUE"""),"WA")</f>
        <v>WA</v>
      </c>
      <c r="D1223" t="str">
        <f>IFERROR(__xludf.DUMMYFUNCTION("""COMPUTED_VALUE"""),"USA")</f>
        <v>USA</v>
      </c>
      <c r="E1223" s="188">
        <f>IFERROR(__xludf.DUMMYFUNCTION("""COMPUTED_VALUE"""),43385.0)</f>
        <v>43385</v>
      </c>
      <c r="F1223" s="188">
        <f>IFERROR(__xludf.DUMMYFUNCTION("""COMPUTED_VALUE"""),43396.0)</f>
        <v>43396</v>
      </c>
      <c r="H1223">
        <f>IFERROR(__xludf.DUMMYFUNCTION("""COMPUTED_VALUE"""),85555.0)</f>
        <v>85555</v>
      </c>
      <c r="J1223" s="5">
        <f>IFERROR(__xludf.DUMMYFUNCTION("""COMPUTED_VALUE"""),43404.0)</f>
        <v>43404</v>
      </c>
      <c r="K1223">
        <f>IFERROR(__xludf.DUMMYFUNCTION("""COMPUTED_VALUE"""),11.0)</f>
        <v>11</v>
      </c>
      <c r="L1223">
        <f>IFERROR(__xludf.DUMMYFUNCTION("""COMPUTED_VALUE"""),8.0)</f>
        <v>8</v>
      </c>
      <c r="M1223">
        <f>IFERROR(__xludf.DUMMYFUNCTION("""COMPUTED_VALUE"""),19.0)</f>
        <v>19</v>
      </c>
      <c r="N1223" t="str">
        <f>IFERROR(__xludf.DUMMYFUNCTION("""COMPUTED_VALUE"""),"Model 3 LR AWD")</f>
        <v>Model 3 LR AWD</v>
      </c>
      <c r="O1223" t="str">
        <f>IFERROR(__xludf.DUMMYFUNCTION("""COMPUTED_VALUE"""),"Solid Black")</f>
        <v>Solid Black</v>
      </c>
      <c r="P1223" t="str">
        <f>IFERROR(__xludf.DUMMYFUNCTION("""COMPUTED_VALUE"""),"18 inch Aero")</f>
        <v>18 inch Aero</v>
      </c>
      <c r="Q1223" t="str">
        <f>IFERROR(__xludf.DUMMYFUNCTION("""COMPUTED_VALUE"""),"White seats")</f>
        <v>White seats</v>
      </c>
      <c r="R1223" t="str">
        <f>IFERROR(__xludf.DUMMYFUNCTION("""COMPUTED_VALUE"""),"None")</f>
        <v>None</v>
      </c>
      <c r="X1223" t="str">
        <f>IFERROR(__xludf.DUMMYFUNCTION("""COMPUTED_VALUE"""),"Good")</f>
        <v>Good</v>
      </c>
      <c r="Y1223" t="str">
        <f>IFERROR(__xludf.DUMMYFUNCTION("""COMPUTED_VALUE"""),"Excellent")</f>
        <v>Excellent</v>
      </c>
      <c r="Z1223" t="str">
        <f>IFERROR(__xludf.DUMMYFUNCTION("""COMPUTED_VALUE"""),"Good")</f>
        <v>Good</v>
      </c>
      <c r="AA1223" t="str">
        <f>IFERROR(__xludf.DUMMYFUNCTION("""COMPUTED_VALUE"""),"Good")</f>
        <v>Good</v>
      </c>
      <c r="AB1223" t="str">
        <f>IFERROR(__xludf.DUMMYFUNCTION("""COMPUTED_VALUE"""),"Excellent")</f>
        <v>Excellent</v>
      </c>
      <c r="AC1223">
        <f>IFERROR(__xludf.DUMMYFUNCTION("""COMPUTED_VALUE"""),1.0)</f>
        <v>1</v>
      </c>
      <c r="AD1223">
        <f>IFERROR(__xludf.DUMMYFUNCTION("""COMPUTED_VALUE"""),1.0)</f>
        <v>1</v>
      </c>
      <c r="AH1223" s="189">
        <f>IFERROR(__xludf.DUMMYFUNCTION("""COMPUTED_VALUE"""),43405.58504961805)</f>
        <v>43405.58505</v>
      </c>
    </row>
    <row r="1224">
      <c r="A1224" t="str">
        <f>IFERROR(__xludf.DUMMYFUNCTION("""COMPUTED_VALUE"""),"Diverl")</f>
        <v>Diverl</v>
      </c>
      <c r="B1224" t="str">
        <f>IFERROR(__xludf.DUMMYFUNCTION("""COMPUTED_VALUE"""),"Boston")</f>
        <v>Boston</v>
      </c>
      <c r="D1224" t="str">
        <f>IFERROR(__xludf.DUMMYFUNCTION("""COMPUTED_VALUE"""),"USA")</f>
        <v>USA</v>
      </c>
      <c r="E1224" s="188">
        <f>IFERROR(__xludf.DUMMYFUNCTION("""COMPUTED_VALUE"""),43279.0)</f>
        <v>43279</v>
      </c>
      <c r="J1224" s="5">
        <f>IFERROR(__xludf.DUMMYFUNCTION("""COMPUTED_VALUE"""),43399.0)</f>
        <v>43399</v>
      </c>
      <c r="M1224">
        <f>IFERROR(__xludf.DUMMYFUNCTION("""COMPUTED_VALUE"""),120.0)</f>
        <v>120</v>
      </c>
      <c r="N1224" t="str">
        <f>IFERROR(__xludf.DUMMYFUNCTION("""COMPUTED_VALUE"""),"Model 3 LR AWD")</f>
        <v>Model 3 LR AWD</v>
      </c>
      <c r="O1224" t="str">
        <f>IFERROR(__xludf.DUMMYFUNCTION("""COMPUTED_VALUE"""),"Midnight Silver Metallic")</f>
        <v>Midnight Silver Metallic</v>
      </c>
      <c r="Q1224" t="str">
        <f>IFERROR(__xludf.DUMMYFUNCTION("""COMPUTED_VALUE"""),"Black seats")</f>
        <v>Black seats</v>
      </c>
      <c r="R1224" t="str">
        <f>IFERROR(__xludf.DUMMYFUNCTION("""COMPUTED_VALUE"""),"Enhanced Autopilot")</f>
        <v>Enhanced Autopilot</v>
      </c>
      <c r="X1224" t="str">
        <f>IFERROR(__xludf.DUMMYFUNCTION("""COMPUTED_VALUE"""),"Excellent")</f>
        <v>Excellent</v>
      </c>
      <c r="Y1224" t="str">
        <f>IFERROR(__xludf.DUMMYFUNCTION("""COMPUTED_VALUE"""),"Excellent")</f>
        <v>Excellent</v>
      </c>
      <c r="Z1224" t="str">
        <f>IFERROR(__xludf.DUMMYFUNCTION("""COMPUTED_VALUE"""),"Excellent")</f>
        <v>Excellent</v>
      </c>
      <c r="AA1224" t="str">
        <f>IFERROR(__xludf.DUMMYFUNCTION("""COMPUTED_VALUE"""),"Excellent")</f>
        <v>Excellent</v>
      </c>
      <c r="AB1224" t="str">
        <f>IFERROR(__xludf.DUMMYFUNCTION("""COMPUTED_VALUE"""),"Excellent")</f>
        <v>Excellent</v>
      </c>
      <c r="AC1224">
        <f>IFERROR(__xludf.DUMMYFUNCTION("""COMPUTED_VALUE"""),0.0)</f>
        <v>0</v>
      </c>
      <c r="AE1224">
        <f>IFERROR(__xludf.DUMMYFUNCTION("""COMPUTED_VALUE"""),0.0)</f>
        <v>0</v>
      </c>
      <c r="AH1224" s="189">
        <f>IFERROR(__xludf.DUMMYFUNCTION("""COMPUTED_VALUE"""),43405.7412525463)</f>
        <v>43405.74125</v>
      </c>
    </row>
    <row r="1225">
      <c r="A1225" t="str">
        <f>IFERROR(__xludf.DUMMYFUNCTION("""COMPUTED_VALUE"""),"Perry")</f>
        <v>Perry</v>
      </c>
      <c r="B1225" t="str">
        <f>IFERROR(__xludf.DUMMYFUNCTION("""COMPUTED_VALUE"""),"San Jose")</f>
        <v>San Jose</v>
      </c>
      <c r="C1225" t="str">
        <f>IFERROR(__xludf.DUMMYFUNCTION("""COMPUTED_VALUE"""),"CA")</f>
        <v>CA</v>
      </c>
      <c r="D1225" t="str">
        <f>IFERROR(__xludf.DUMMYFUNCTION("""COMPUTED_VALUE"""),"USA")</f>
        <v>USA</v>
      </c>
      <c r="E1225" s="188">
        <f>IFERROR(__xludf.DUMMYFUNCTION("""COMPUTED_VALUE"""),43290.0)</f>
        <v>43290</v>
      </c>
      <c r="F1225" s="188">
        <f>IFERROR(__xludf.DUMMYFUNCTION("""COMPUTED_VALUE"""),43350.0)</f>
        <v>43350</v>
      </c>
      <c r="H1225">
        <f>IFERROR(__xludf.DUMMYFUNCTION("""COMPUTED_VALUE"""),99455.0)</f>
        <v>99455</v>
      </c>
      <c r="J1225" s="5">
        <f>IFERROR(__xludf.DUMMYFUNCTION("""COMPUTED_VALUE"""),43355.0)</f>
        <v>43355</v>
      </c>
      <c r="K1225">
        <f>IFERROR(__xludf.DUMMYFUNCTION("""COMPUTED_VALUE"""),60.0)</f>
        <v>60</v>
      </c>
      <c r="L1225">
        <f>IFERROR(__xludf.DUMMYFUNCTION("""COMPUTED_VALUE"""),5.0)</f>
        <v>5</v>
      </c>
      <c r="M1225">
        <f>IFERROR(__xludf.DUMMYFUNCTION("""COMPUTED_VALUE"""),65.0)</f>
        <v>65</v>
      </c>
      <c r="N1225" t="str">
        <f>IFERROR(__xludf.DUMMYFUNCTION("""COMPUTED_VALUE"""),"Model 3 Performance")</f>
        <v>Model 3 Performance</v>
      </c>
      <c r="O1225" t="str">
        <f>IFERROR(__xludf.DUMMYFUNCTION("""COMPUTED_VALUE"""),"Midnight Silver Metallic")</f>
        <v>Midnight Silver Metallic</v>
      </c>
      <c r="P1225" t="str">
        <f>IFERROR(__xludf.DUMMYFUNCTION("""COMPUTED_VALUE"""),"18 inch Aero")</f>
        <v>18 inch Aero</v>
      </c>
      <c r="Q1225" t="str">
        <f>IFERROR(__xludf.DUMMYFUNCTION("""COMPUTED_VALUE"""),"White seats")</f>
        <v>White seats</v>
      </c>
      <c r="R1225" t="str">
        <f>IFERROR(__xludf.DUMMYFUNCTION("""COMPUTED_VALUE"""),"None")</f>
        <v>None</v>
      </c>
      <c r="X1225" t="str">
        <f>IFERROR(__xludf.DUMMYFUNCTION("""COMPUTED_VALUE"""),"Poor")</f>
        <v>Poor</v>
      </c>
      <c r="Y1225" t="str">
        <f>IFERROR(__xludf.DUMMYFUNCTION("""COMPUTED_VALUE"""),"Fair")</f>
        <v>Fair</v>
      </c>
      <c r="Z1225" t="str">
        <f>IFERROR(__xludf.DUMMYFUNCTION("""COMPUTED_VALUE"""),"Poor")</f>
        <v>Poor</v>
      </c>
      <c r="AA1225" t="str">
        <f>IFERROR(__xludf.DUMMYFUNCTION("""COMPUTED_VALUE"""),"Good")</f>
        <v>Good</v>
      </c>
      <c r="AB1225" t="str">
        <f>IFERROR(__xludf.DUMMYFUNCTION("""COMPUTED_VALUE"""),"Fair")</f>
        <v>Fair</v>
      </c>
      <c r="AC1225">
        <f>IFERROR(__xludf.DUMMYFUNCTION("""COMPUTED_VALUE"""),7.0)</f>
        <v>7</v>
      </c>
      <c r="AD1225">
        <f>IFERROR(__xludf.DUMMYFUNCTION("""COMPUTED_VALUE"""),2.0)</f>
        <v>2</v>
      </c>
      <c r="AE1225">
        <f>IFERROR(__xludf.DUMMYFUNCTION("""COMPUTED_VALUE"""),30.0)</f>
        <v>30</v>
      </c>
      <c r="AH1225" s="189">
        <f>IFERROR(__xludf.DUMMYFUNCTION("""COMPUTED_VALUE"""),43405.984003460646)</f>
        <v>43405.984</v>
      </c>
    </row>
    <row r="1226">
      <c r="A1226" t="str">
        <f>IFERROR(__xludf.DUMMYFUNCTION("""COMPUTED_VALUE"""),"Patrick")</f>
        <v>Patrick</v>
      </c>
      <c r="B1226" t="str">
        <f>IFERROR(__xludf.DUMMYFUNCTION("""COMPUTED_VALUE"""),"Tampa Bay, FL")</f>
        <v>Tampa Bay, FL</v>
      </c>
      <c r="C1226" t="str">
        <f>IFERROR(__xludf.DUMMYFUNCTION("""COMPUTED_VALUE"""),"FL")</f>
        <v>FL</v>
      </c>
      <c r="D1226" t="str">
        <f>IFERROR(__xludf.DUMMYFUNCTION("""COMPUTED_VALUE"""),"USA")</f>
        <v>USA</v>
      </c>
      <c r="E1226" s="188">
        <f>IFERROR(__xludf.DUMMYFUNCTION("""COMPUTED_VALUE"""),43279.0)</f>
        <v>43279</v>
      </c>
      <c r="F1226" s="188">
        <f>IFERROR(__xludf.DUMMYFUNCTION("""COMPUTED_VALUE"""),43374.0)</f>
        <v>43374</v>
      </c>
      <c r="H1226">
        <f>IFERROR(__xludf.DUMMYFUNCTION("""COMPUTED_VALUE"""),121543.0)</f>
        <v>121543</v>
      </c>
      <c r="I1226" t="str">
        <f>IFERROR(__xludf.DUMMYFUNCTION("""COMPUTED_VALUE"""),"10/18")</f>
        <v>10/18</v>
      </c>
      <c r="J1226" s="5">
        <f>IFERROR(__xludf.DUMMYFUNCTION("""COMPUTED_VALUE"""),43405.0)</f>
        <v>43405</v>
      </c>
      <c r="K1226">
        <f>IFERROR(__xludf.DUMMYFUNCTION("""COMPUTED_VALUE"""),95.0)</f>
        <v>95</v>
      </c>
      <c r="L1226">
        <f>IFERROR(__xludf.DUMMYFUNCTION("""COMPUTED_VALUE"""),31.0)</f>
        <v>31</v>
      </c>
      <c r="M1226">
        <f>IFERROR(__xludf.DUMMYFUNCTION("""COMPUTED_VALUE"""),126.0)</f>
        <v>126</v>
      </c>
      <c r="N1226" t="str">
        <f>IFERROR(__xludf.DUMMYFUNCTION("""COMPUTED_VALUE"""),"Model 3 LR AWD")</f>
        <v>Model 3 LR AWD</v>
      </c>
      <c r="O1226" t="str">
        <f>IFERROR(__xludf.DUMMYFUNCTION("""COMPUTED_VALUE"""),"Red Multi-Coat")</f>
        <v>Red Multi-Coat</v>
      </c>
      <c r="P1226" t="str">
        <f>IFERROR(__xludf.DUMMYFUNCTION("""COMPUTED_VALUE"""),"19 inch Sport")</f>
        <v>19 inch Sport</v>
      </c>
      <c r="Q1226" t="str">
        <f>IFERROR(__xludf.DUMMYFUNCTION("""COMPUTED_VALUE"""),"Black seats")</f>
        <v>Black seats</v>
      </c>
      <c r="R1226" t="str">
        <f>IFERROR(__xludf.DUMMYFUNCTION("""COMPUTED_VALUE"""),"Full Self-Driving")</f>
        <v>Full Self-Driving</v>
      </c>
      <c r="X1226" t="str">
        <f>IFERROR(__xludf.DUMMYFUNCTION("""COMPUTED_VALUE"""),"Excellent")</f>
        <v>Excellent</v>
      </c>
      <c r="Y1226" t="str">
        <f>IFERROR(__xludf.DUMMYFUNCTION("""COMPUTED_VALUE"""),"Excellent")</f>
        <v>Excellent</v>
      </c>
      <c r="Z1226" t="str">
        <f>IFERROR(__xludf.DUMMYFUNCTION("""COMPUTED_VALUE"""),"Excellent")</f>
        <v>Excellent</v>
      </c>
      <c r="AA1226" t="str">
        <f>IFERROR(__xludf.DUMMYFUNCTION("""COMPUTED_VALUE"""),"Excellent")</f>
        <v>Excellent</v>
      </c>
      <c r="AB1226" t="str">
        <f>IFERROR(__xludf.DUMMYFUNCTION("""COMPUTED_VALUE"""),"Excellent")</f>
        <v>Excellent</v>
      </c>
      <c r="AH1226" s="189">
        <f>IFERROR(__xludf.DUMMYFUNCTION("""COMPUTED_VALUE"""),43406.30789351852)</f>
        <v>43406.30789</v>
      </c>
    </row>
    <row r="1227">
      <c r="A1227" t="str">
        <f>IFERROR(__xludf.DUMMYFUNCTION("""COMPUTED_VALUE"""),"Thorg12")</f>
        <v>Thorg12</v>
      </c>
      <c r="B1227" t="str">
        <f>IFERROR(__xludf.DUMMYFUNCTION("""COMPUTED_VALUE"""),"Philly")</f>
        <v>Philly</v>
      </c>
      <c r="C1227" t="str">
        <f>IFERROR(__xludf.DUMMYFUNCTION("""COMPUTED_VALUE"""),"PA")</f>
        <v>PA</v>
      </c>
      <c r="D1227" t="str">
        <f>IFERROR(__xludf.DUMMYFUNCTION("""COMPUTED_VALUE"""),"USA")</f>
        <v>USA</v>
      </c>
      <c r="E1227" s="188">
        <f>IFERROR(__xludf.DUMMYFUNCTION("""COMPUTED_VALUE"""),43279.0)</f>
        <v>43279</v>
      </c>
      <c r="F1227" s="188">
        <f>IFERROR(__xludf.DUMMYFUNCTION("""COMPUTED_VALUE"""),43378.0)</f>
        <v>43378</v>
      </c>
      <c r="H1227">
        <f>IFERROR(__xludf.DUMMYFUNCTION("""COMPUTED_VALUE"""),117455.0)</f>
        <v>117455</v>
      </c>
      <c r="J1227" s="5">
        <f>IFERROR(__xludf.DUMMYFUNCTION("""COMPUTED_VALUE"""),43404.0)</f>
        <v>43404</v>
      </c>
      <c r="K1227">
        <f>IFERROR(__xludf.DUMMYFUNCTION("""COMPUTED_VALUE"""),99.0)</f>
        <v>99</v>
      </c>
      <c r="L1227">
        <f>IFERROR(__xludf.DUMMYFUNCTION("""COMPUTED_VALUE"""),26.0)</f>
        <v>26</v>
      </c>
      <c r="M1227">
        <f>IFERROR(__xludf.DUMMYFUNCTION("""COMPUTED_VALUE"""),125.0)</f>
        <v>125</v>
      </c>
      <c r="N1227" t="str">
        <f>IFERROR(__xludf.DUMMYFUNCTION("""COMPUTED_VALUE"""),"Model 3 LR AWD")</f>
        <v>Model 3 LR AWD</v>
      </c>
      <c r="O1227" t="str">
        <f>IFERROR(__xludf.DUMMYFUNCTION("""COMPUTED_VALUE"""),"Deep Blue Metallic")</f>
        <v>Deep Blue Metallic</v>
      </c>
      <c r="P1227" t="str">
        <f>IFERROR(__xludf.DUMMYFUNCTION("""COMPUTED_VALUE"""),"19 inch Sport")</f>
        <v>19 inch Sport</v>
      </c>
      <c r="Q1227" t="str">
        <f>IFERROR(__xludf.DUMMYFUNCTION("""COMPUTED_VALUE"""),"Black seats")</f>
        <v>Black seats</v>
      </c>
      <c r="R1227" t="str">
        <f>IFERROR(__xludf.DUMMYFUNCTION("""COMPUTED_VALUE"""),"Enhanced Autopilot")</f>
        <v>Enhanced Autopilot</v>
      </c>
      <c r="X1227" t="str">
        <f>IFERROR(__xludf.DUMMYFUNCTION("""COMPUTED_VALUE"""),"Excellent")</f>
        <v>Excellent</v>
      </c>
      <c r="Y1227" t="str">
        <f>IFERROR(__xludf.DUMMYFUNCTION("""COMPUTED_VALUE"""),"Excellent")</f>
        <v>Excellent</v>
      </c>
      <c r="Z1227" t="str">
        <f>IFERROR(__xludf.DUMMYFUNCTION("""COMPUTED_VALUE"""),"Excellent")</f>
        <v>Excellent</v>
      </c>
      <c r="AA1227" t="str">
        <f>IFERROR(__xludf.DUMMYFUNCTION("""COMPUTED_VALUE"""),"Very Good")</f>
        <v>Very Good</v>
      </c>
      <c r="AB1227" t="str">
        <f>IFERROR(__xludf.DUMMYFUNCTION("""COMPUTED_VALUE"""),"Excellent")</f>
        <v>Excellent</v>
      </c>
      <c r="AC1227">
        <f>IFERROR(__xludf.DUMMYFUNCTION("""COMPUTED_VALUE"""),0.0)</f>
        <v>0</v>
      </c>
      <c r="AG1227" t="str">
        <f>IFERROR(__xludf.DUMMYFUNCTION("""COMPUTED_VALUE"""),"car received on 10/31/2018")</f>
        <v>car received on 10/31/2018</v>
      </c>
      <c r="AH1227" s="189">
        <f>IFERROR(__xludf.DUMMYFUNCTION("""COMPUTED_VALUE"""),43406.32001283565)</f>
        <v>43406.32001</v>
      </c>
    </row>
    <row r="1228">
      <c r="A1228" t="str">
        <f>IFERROR(__xludf.DUMMYFUNCTION("""COMPUTED_VALUE"""),"UUU")</f>
        <v>UUU</v>
      </c>
      <c r="B1228" t="str">
        <f>IFERROR(__xludf.DUMMYFUNCTION("""COMPUTED_VALUE"""),"Chanhassen")</f>
        <v>Chanhassen</v>
      </c>
      <c r="C1228" t="str">
        <f>IFERROR(__xludf.DUMMYFUNCTION("""COMPUTED_VALUE"""),"MN")</f>
        <v>MN</v>
      </c>
      <c r="D1228" t="str">
        <f>IFERROR(__xludf.DUMMYFUNCTION("""COMPUTED_VALUE"""),"USA")</f>
        <v>USA</v>
      </c>
      <c r="E1228" s="188">
        <f>IFERROR(__xludf.DUMMYFUNCTION("""COMPUTED_VALUE"""),43279.0)</f>
        <v>43279</v>
      </c>
      <c r="F1228" s="188">
        <f>IFERROR(__xludf.DUMMYFUNCTION("""COMPUTED_VALUE"""),43396.0)</f>
        <v>43396</v>
      </c>
      <c r="H1228">
        <f>IFERROR(__xludf.DUMMYFUNCTION("""COMPUTED_VALUE"""),114355.0)</f>
        <v>114355</v>
      </c>
      <c r="I1228" t="str">
        <f>IFERROR(__xludf.DUMMYFUNCTION("""COMPUTED_VALUE"""),"10/18")</f>
        <v>10/18</v>
      </c>
      <c r="J1228" s="5">
        <f>IFERROR(__xludf.DUMMYFUNCTION("""COMPUTED_VALUE"""),43405.0)</f>
        <v>43405</v>
      </c>
      <c r="K1228">
        <f>IFERROR(__xludf.DUMMYFUNCTION("""COMPUTED_VALUE"""),117.0)</f>
        <v>117</v>
      </c>
      <c r="L1228">
        <f>IFERROR(__xludf.DUMMYFUNCTION("""COMPUTED_VALUE"""),9.0)</f>
        <v>9</v>
      </c>
      <c r="M1228">
        <f>IFERROR(__xludf.DUMMYFUNCTION("""COMPUTED_VALUE"""),126.0)</f>
        <v>126</v>
      </c>
      <c r="N1228" t="str">
        <f>IFERROR(__xludf.DUMMYFUNCTION("""COMPUTED_VALUE"""),"Model 3 LR AWD")</f>
        <v>Model 3 LR AWD</v>
      </c>
      <c r="O1228" t="str">
        <f>IFERROR(__xludf.DUMMYFUNCTION("""COMPUTED_VALUE"""),"Midnight Silver Metallic")</f>
        <v>Midnight Silver Metallic</v>
      </c>
      <c r="P1228" t="str">
        <f>IFERROR(__xludf.DUMMYFUNCTION("""COMPUTED_VALUE"""),"18 inch Aero")</f>
        <v>18 inch Aero</v>
      </c>
      <c r="Q1228" t="str">
        <f>IFERROR(__xludf.DUMMYFUNCTION("""COMPUTED_VALUE"""),"Black seats")</f>
        <v>Black seats</v>
      </c>
      <c r="R1228" t="str">
        <f>IFERROR(__xludf.DUMMYFUNCTION("""COMPUTED_VALUE"""),"None")</f>
        <v>None</v>
      </c>
      <c r="X1228" t="str">
        <f>IFERROR(__xludf.DUMMYFUNCTION("""COMPUTED_VALUE"""),"Very Good")</f>
        <v>Very Good</v>
      </c>
      <c r="Y1228" t="str">
        <f>IFERROR(__xludf.DUMMYFUNCTION("""COMPUTED_VALUE"""),"Very Good")</f>
        <v>Very Good</v>
      </c>
      <c r="Z1228" t="str">
        <f>IFERROR(__xludf.DUMMYFUNCTION("""COMPUTED_VALUE"""),"Very Good")</f>
        <v>Very Good</v>
      </c>
      <c r="AA1228" t="str">
        <f>IFERROR(__xludf.DUMMYFUNCTION("""COMPUTED_VALUE"""),"Very Good")</f>
        <v>Very Good</v>
      </c>
      <c r="AB1228" t="str">
        <f>IFERROR(__xludf.DUMMYFUNCTION("""COMPUTED_VALUE"""),"Very Good")</f>
        <v>Very Good</v>
      </c>
      <c r="AH1228" s="189">
        <f>IFERROR(__xludf.DUMMYFUNCTION("""COMPUTED_VALUE"""),43406.39308873843)</f>
        <v>43406.39309</v>
      </c>
    </row>
    <row r="1229">
      <c r="A1229" t="str">
        <f>IFERROR(__xludf.DUMMYFUNCTION("""COMPUTED_VALUE"""),"EricB-RI")</f>
        <v>EricB-RI</v>
      </c>
      <c r="B1229" t="str">
        <f>IFERROR(__xludf.DUMMYFUNCTION("""COMPUTED_VALUE"""),"Smithfield")</f>
        <v>Smithfield</v>
      </c>
      <c r="C1229" t="str">
        <f>IFERROR(__xludf.DUMMYFUNCTION("""COMPUTED_VALUE"""),"RI")</f>
        <v>RI</v>
      </c>
      <c r="D1229" t="str">
        <f>IFERROR(__xludf.DUMMYFUNCTION("""COMPUTED_VALUE"""),"USA")</f>
        <v>USA</v>
      </c>
      <c r="E1229" s="188">
        <f>IFERROR(__xludf.DUMMYFUNCTION("""COMPUTED_VALUE"""),43361.0)</f>
        <v>43361</v>
      </c>
      <c r="F1229" s="188">
        <f>IFERROR(__xludf.DUMMYFUNCTION("""COMPUTED_VALUE"""),43348.0)</f>
        <v>43348</v>
      </c>
      <c r="H1229" s="4">
        <f>IFERROR(__xludf.DUMMYFUNCTION("""COMPUTED_VALUE"""),101514.0)</f>
        <v>101514</v>
      </c>
      <c r="J1229" s="5">
        <f>IFERROR(__xludf.DUMMYFUNCTION("""COMPUTED_VALUE"""),43406.0)</f>
        <v>43406</v>
      </c>
      <c r="L1229">
        <f>IFERROR(__xludf.DUMMYFUNCTION("""COMPUTED_VALUE"""),58.0)</f>
        <v>58</v>
      </c>
      <c r="M1229">
        <f>IFERROR(__xludf.DUMMYFUNCTION("""COMPUTED_VALUE"""),45.0)</f>
        <v>45</v>
      </c>
      <c r="N1229" t="str">
        <f>IFERROR(__xludf.DUMMYFUNCTION("""COMPUTED_VALUE"""),"Model 3 LR")</f>
        <v>Model 3 LR</v>
      </c>
      <c r="O1229" t="str">
        <f>IFERROR(__xludf.DUMMYFUNCTION("""COMPUTED_VALUE"""),"Midnight Silver Metallic")</f>
        <v>Midnight Silver Metallic</v>
      </c>
      <c r="P1229" t="str">
        <f>IFERROR(__xludf.DUMMYFUNCTION("""COMPUTED_VALUE"""),"18 inch Aero")</f>
        <v>18 inch Aero</v>
      </c>
      <c r="Q1229" t="str">
        <f>IFERROR(__xludf.DUMMYFUNCTION("""COMPUTED_VALUE"""),"Black seats")</f>
        <v>Black seats</v>
      </c>
      <c r="R1229" t="str">
        <f>IFERROR(__xludf.DUMMYFUNCTION("""COMPUTED_VALUE"""),"Enhanced Autopilot")</f>
        <v>Enhanced Autopilot</v>
      </c>
      <c r="X1229" t="str">
        <f>IFERROR(__xludf.DUMMYFUNCTION("""COMPUTED_VALUE"""),"Very Good")</f>
        <v>Very Good</v>
      </c>
      <c r="Y1229" t="str">
        <f>IFERROR(__xludf.DUMMYFUNCTION("""COMPUTED_VALUE"""),"Very Good")</f>
        <v>Very Good</v>
      </c>
      <c r="Z1229" t="str">
        <f>IFERROR(__xludf.DUMMYFUNCTION("""COMPUTED_VALUE"""),"Very Good")</f>
        <v>Very Good</v>
      </c>
      <c r="AA1229" t="str">
        <f>IFERROR(__xludf.DUMMYFUNCTION("""COMPUTED_VALUE"""),"Poor")</f>
        <v>Poor</v>
      </c>
      <c r="AB1229" t="str">
        <f>IFERROR(__xludf.DUMMYFUNCTION("""COMPUTED_VALUE"""),"Very Good")</f>
        <v>Very Good</v>
      </c>
      <c r="AC1229">
        <f>IFERROR(__xludf.DUMMYFUNCTION("""COMPUTED_VALUE"""),1.0)</f>
        <v>1</v>
      </c>
      <c r="AG1229" t="str">
        <f>IFERROR(__xludf.DUMMYFUNCTION("""COMPUTED_VALUE"""),"Delivered")</f>
        <v>Delivered</v>
      </c>
      <c r="AH1229" s="189">
        <f>IFERROR(__xludf.DUMMYFUNCTION("""COMPUTED_VALUE"""),43406.43281400463)</f>
        <v>43406.43281</v>
      </c>
    </row>
    <row r="1230">
      <c r="A1230" t="str">
        <f>IFERROR(__xludf.DUMMYFUNCTION("""COMPUTED_VALUE"""),"Tcpdumper ")</f>
        <v>Tcpdumper </v>
      </c>
      <c r="C1230" t="str">
        <f>IFERROR(__xludf.DUMMYFUNCTION("""COMPUTED_VALUE"""),"CA")</f>
        <v>CA</v>
      </c>
      <c r="D1230" t="str">
        <f>IFERROR(__xludf.DUMMYFUNCTION("""COMPUTED_VALUE"""),"USA")</f>
        <v>USA</v>
      </c>
      <c r="E1230" s="188">
        <f>IFERROR(__xludf.DUMMYFUNCTION("""COMPUTED_VALUE"""),43396.0)</f>
        <v>43396</v>
      </c>
      <c r="F1230" s="188">
        <f>IFERROR(__xludf.DUMMYFUNCTION("""COMPUTED_VALUE"""),43313.0)</f>
        <v>43313</v>
      </c>
      <c r="H1230">
        <f>IFERROR(__xludf.DUMMYFUNCTION("""COMPUTED_VALUE"""),79248.0)</f>
        <v>79248</v>
      </c>
      <c r="J1230" s="5">
        <f>IFERROR(__xludf.DUMMYFUNCTION("""COMPUTED_VALUE"""),43406.0)</f>
        <v>43406</v>
      </c>
      <c r="L1230">
        <f>IFERROR(__xludf.DUMMYFUNCTION("""COMPUTED_VALUE"""),93.0)</f>
        <v>93</v>
      </c>
      <c r="M1230">
        <f>IFERROR(__xludf.DUMMYFUNCTION("""COMPUTED_VALUE"""),10.0)</f>
        <v>10</v>
      </c>
      <c r="N1230" t="str">
        <f>IFERROR(__xludf.DUMMYFUNCTION("""COMPUTED_VALUE"""),"Model 3 Performance")</f>
        <v>Model 3 Performance</v>
      </c>
      <c r="O1230" t="str">
        <f>IFERROR(__xludf.DUMMYFUNCTION("""COMPUTED_VALUE"""),"Midnight Silver Metallic")</f>
        <v>Midnight Silver Metallic</v>
      </c>
      <c r="P1230" t="str">
        <f>IFERROR(__xludf.DUMMYFUNCTION("""COMPUTED_VALUE"""),"20 inch Sport")</f>
        <v>20 inch Sport</v>
      </c>
      <c r="Q1230" t="str">
        <f>IFERROR(__xludf.DUMMYFUNCTION("""COMPUTED_VALUE"""),"White seats")</f>
        <v>White seats</v>
      </c>
      <c r="R1230" t="str">
        <f>IFERROR(__xludf.DUMMYFUNCTION("""COMPUTED_VALUE"""),"Enhanced Autopilot")</f>
        <v>Enhanced Autopilot</v>
      </c>
      <c r="X1230" t="str">
        <f>IFERROR(__xludf.DUMMYFUNCTION("""COMPUTED_VALUE"""),"Very Good")</f>
        <v>Very Good</v>
      </c>
      <c r="Y1230" t="str">
        <f>IFERROR(__xludf.DUMMYFUNCTION("""COMPUTED_VALUE"""),"Excellent")</f>
        <v>Excellent</v>
      </c>
      <c r="Z1230" t="str">
        <f>IFERROR(__xludf.DUMMYFUNCTION("""COMPUTED_VALUE"""),"Very Good")</f>
        <v>Very Good</v>
      </c>
      <c r="AA1230" t="str">
        <f>IFERROR(__xludf.DUMMYFUNCTION("""COMPUTED_VALUE"""),"Very Good")</f>
        <v>Very Good</v>
      </c>
      <c r="AB1230" t="str">
        <f>IFERROR(__xludf.DUMMYFUNCTION("""COMPUTED_VALUE"""),"Good")</f>
        <v>Good</v>
      </c>
      <c r="AC1230">
        <f>IFERROR(__xludf.DUMMYFUNCTION("""COMPUTED_VALUE"""),1.0)</f>
        <v>1</v>
      </c>
      <c r="AH1230" s="189">
        <f>IFERROR(__xludf.DUMMYFUNCTION("""COMPUTED_VALUE"""),43406.573627881946)</f>
        <v>43406.57363</v>
      </c>
    </row>
    <row r="1231">
      <c r="A1231" t="str">
        <f>IFERROR(__xludf.DUMMYFUNCTION("""COMPUTED_VALUE"""),"duddinfrog")</f>
        <v>duddinfrog</v>
      </c>
      <c r="B1231" t="str">
        <f>IFERROR(__xludf.DUMMYFUNCTION("""COMPUTED_VALUE"""),"Northern")</f>
        <v>Northern</v>
      </c>
      <c r="C1231" t="str">
        <f>IFERROR(__xludf.DUMMYFUNCTION("""COMPUTED_VALUE"""),"NJ")</f>
        <v>NJ</v>
      </c>
      <c r="D1231" t="str">
        <f>IFERROR(__xludf.DUMMYFUNCTION("""COMPUTED_VALUE"""),"USA")</f>
        <v>USA</v>
      </c>
      <c r="E1231" s="188">
        <f>IFERROR(__xludf.DUMMYFUNCTION("""COMPUTED_VALUE"""),43279.0)</f>
        <v>43279</v>
      </c>
      <c r="F1231" s="188">
        <f>IFERROR(__xludf.DUMMYFUNCTION("""COMPUTED_VALUE"""),43337.0)</f>
        <v>43337</v>
      </c>
      <c r="H1231">
        <f>IFERROR(__xludf.DUMMYFUNCTION("""COMPUTED_VALUE"""),96155.0)</f>
        <v>96155</v>
      </c>
      <c r="J1231" s="5">
        <f>IFERROR(__xludf.DUMMYFUNCTION("""COMPUTED_VALUE"""),43364.0)</f>
        <v>43364</v>
      </c>
      <c r="K1231">
        <f>IFERROR(__xludf.DUMMYFUNCTION("""COMPUTED_VALUE"""),58.0)</f>
        <v>58</v>
      </c>
      <c r="L1231">
        <f>IFERROR(__xludf.DUMMYFUNCTION("""COMPUTED_VALUE"""),27.0)</f>
        <v>27</v>
      </c>
      <c r="M1231">
        <f>IFERROR(__xludf.DUMMYFUNCTION("""COMPUTED_VALUE"""),85.0)</f>
        <v>85</v>
      </c>
      <c r="N1231" t="str">
        <f>IFERROR(__xludf.DUMMYFUNCTION("""COMPUTED_VALUE"""),"Model 3 LR AWD")</f>
        <v>Model 3 LR AWD</v>
      </c>
      <c r="O1231" t="str">
        <f>IFERROR(__xludf.DUMMYFUNCTION("""COMPUTED_VALUE"""),"Silver Metallic")</f>
        <v>Silver Metallic</v>
      </c>
      <c r="P1231" t="str">
        <f>IFERROR(__xludf.DUMMYFUNCTION("""COMPUTED_VALUE"""),"18 inch Aero")</f>
        <v>18 inch Aero</v>
      </c>
      <c r="Q1231" t="str">
        <f>IFERROR(__xludf.DUMMYFUNCTION("""COMPUTED_VALUE"""),"White seats")</f>
        <v>White seats</v>
      </c>
      <c r="R1231" t="str">
        <f>IFERROR(__xludf.DUMMYFUNCTION("""COMPUTED_VALUE"""),"None")</f>
        <v>None</v>
      </c>
      <c r="X1231" t="str">
        <f>IFERROR(__xludf.DUMMYFUNCTION("""COMPUTED_VALUE"""),"Excellent")</f>
        <v>Excellent</v>
      </c>
      <c r="Y1231" t="str">
        <f>IFERROR(__xludf.DUMMYFUNCTION("""COMPUTED_VALUE"""),"Excellent")</f>
        <v>Excellent</v>
      </c>
      <c r="Z1231" t="str">
        <f>IFERROR(__xludf.DUMMYFUNCTION("""COMPUTED_VALUE"""),"Excellent")</f>
        <v>Excellent</v>
      </c>
      <c r="AA1231" t="str">
        <f>IFERROR(__xludf.DUMMYFUNCTION("""COMPUTED_VALUE"""),"Good")</f>
        <v>Good</v>
      </c>
      <c r="AB1231" t="str">
        <f>IFERROR(__xludf.DUMMYFUNCTION("""COMPUTED_VALUE"""),"Good")</f>
        <v>Good</v>
      </c>
      <c r="AC1231">
        <f>IFERROR(__xludf.DUMMYFUNCTION("""COMPUTED_VALUE"""),0.0)</f>
        <v>0</v>
      </c>
      <c r="AD1231">
        <f>IFERROR(__xludf.DUMMYFUNCTION("""COMPUTED_VALUE"""),0.0)</f>
        <v>0</v>
      </c>
      <c r="AE1231">
        <f>IFERROR(__xludf.DUMMYFUNCTION("""COMPUTED_VALUE"""),0.0)</f>
        <v>0</v>
      </c>
      <c r="AG1231" t="str">
        <f>IFERROR(__xludf.DUMMYFUNCTION("""COMPUTED_VALUE"""),"Changed config 08/13/2018 to white interior")</f>
        <v>Changed config 08/13/2018 to white interior</v>
      </c>
      <c r="AH1231" s="189">
        <f>IFERROR(__xludf.DUMMYFUNCTION("""COMPUTED_VALUE"""),43406.579645509264)</f>
        <v>43406.57965</v>
      </c>
    </row>
    <row r="1232">
      <c r="A1232" t="str">
        <f>IFERROR(__xludf.DUMMYFUNCTION("""COMPUTED_VALUE"""),"undergrove")</f>
        <v>undergrove</v>
      </c>
      <c r="B1232" t="str">
        <f>IFERROR(__xludf.DUMMYFUNCTION("""COMPUTED_VALUE"""),"Fillmore")</f>
        <v>Fillmore</v>
      </c>
      <c r="C1232" t="str">
        <f>IFERROR(__xludf.DUMMYFUNCTION("""COMPUTED_VALUE"""),"CA")</f>
        <v>CA</v>
      </c>
      <c r="D1232" t="str">
        <f>IFERROR(__xludf.DUMMYFUNCTION("""COMPUTED_VALUE"""),"USA")</f>
        <v>USA</v>
      </c>
      <c r="E1232" s="188">
        <f>IFERROR(__xludf.DUMMYFUNCTION("""COMPUTED_VALUE"""),43278.0)</f>
        <v>43278</v>
      </c>
      <c r="F1232" s="188">
        <f>IFERROR(__xludf.DUMMYFUNCTION("""COMPUTED_VALUE"""),43343.0)</f>
        <v>43343</v>
      </c>
      <c r="H1232">
        <f>IFERROR(__xludf.DUMMYFUNCTION("""COMPUTED_VALUE"""),69655.0)</f>
        <v>69655</v>
      </c>
      <c r="I1232" t="str">
        <f>IFERROR(__xludf.DUMMYFUNCTION("""COMPUTED_VALUE"""),"08/18")</f>
        <v>08/18</v>
      </c>
      <c r="J1232" s="5">
        <f>IFERROR(__xludf.DUMMYFUNCTION("""COMPUTED_VALUE"""),43350.0)</f>
        <v>43350</v>
      </c>
      <c r="K1232">
        <f>IFERROR(__xludf.DUMMYFUNCTION("""COMPUTED_VALUE"""),65.0)</f>
        <v>65</v>
      </c>
      <c r="L1232">
        <f>IFERROR(__xludf.DUMMYFUNCTION("""COMPUTED_VALUE"""),7.0)</f>
        <v>7</v>
      </c>
      <c r="M1232">
        <f>IFERROR(__xludf.DUMMYFUNCTION("""COMPUTED_VALUE"""),72.0)</f>
        <v>72</v>
      </c>
      <c r="N1232" t="str">
        <f>IFERROR(__xludf.DUMMYFUNCTION("""COMPUTED_VALUE"""),"Model 3 LR AWD")</f>
        <v>Model 3 LR AWD</v>
      </c>
      <c r="O1232" t="str">
        <f>IFERROR(__xludf.DUMMYFUNCTION("""COMPUTED_VALUE"""),"Red Multi-Coat")</f>
        <v>Red Multi-Coat</v>
      </c>
      <c r="P1232" t="str">
        <f>IFERROR(__xludf.DUMMYFUNCTION("""COMPUTED_VALUE"""),"18 inch Aero")</f>
        <v>18 inch Aero</v>
      </c>
      <c r="Q1232" t="str">
        <f>IFERROR(__xludf.DUMMYFUNCTION("""COMPUTED_VALUE"""),"Black seats")</f>
        <v>Black seats</v>
      </c>
      <c r="R1232" t="str">
        <f>IFERROR(__xludf.DUMMYFUNCTION("""COMPUTED_VALUE"""),"Full Self-Driving")</f>
        <v>Full Self-Driving</v>
      </c>
      <c r="X1232" t="str">
        <f>IFERROR(__xludf.DUMMYFUNCTION("""COMPUTED_VALUE"""),"Excellent")</f>
        <v>Excellent</v>
      </c>
      <c r="Y1232" t="str">
        <f>IFERROR(__xludf.DUMMYFUNCTION("""COMPUTED_VALUE"""),"Excellent")</f>
        <v>Excellent</v>
      </c>
      <c r="Z1232" t="str">
        <f>IFERROR(__xludf.DUMMYFUNCTION("""COMPUTED_VALUE"""),"Excellent")</f>
        <v>Excellent</v>
      </c>
      <c r="AA1232" t="str">
        <f>IFERROR(__xludf.DUMMYFUNCTION("""COMPUTED_VALUE"""),"Excellent")</f>
        <v>Excellent</v>
      </c>
      <c r="AB1232" t="str">
        <f>IFERROR(__xludf.DUMMYFUNCTION("""COMPUTED_VALUE"""),"Excellent")</f>
        <v>Excellent</v>
      </c>
      <c r="AC1232">
        <f>IFERROR(__xludf.DUMMYFUNCTION("""COMPUTED_VALUE"""),0.0)</f>
        <v>0</v>
      </c>
      <c r="AD1232">
        <f>IFERROR(__xludf.DUMMYFUNCTION("""COMPUTED_VALUE"""),0.0)</f>
        <v>0</v>
      </c>
      <c r="AH1232" s="189">
        <f>IFERROR(__xludf.DUMMYFUNCTION("""COMPUTED_VALUE"""),43406.601694247685)</f>
        <v>43406.60169</v>
      </c>
    </row>
    <row r="1233">
      <c r="A1233" t="str">
        <f>IFERROR(__xludf.DUMMYFUNCTION("""COMPUTED_VALUE"""),"JPWhite")</f>
        <v>JPWhite</v>
      </c>
      <c r="B1233" t="str">
        <f>IFERROR(__xludf.DUMMYFUNCTION("""COMPUTED_VALUE"""),"Hendersonville")</f>
        <v>Hendersonville</v>
      </c>
      <c r="C1233" t="str">
        <f>IFERROR(__xludf.DUMMYFUNCTION("""COMPUTED_VALUE"""),"TN")</f>
        <v>TN</v>
      </c>
      <c r="D1233" t="str">
        <f>IFERROR(__xludf.DUMMYFUNCTION("""COMPUTED_VALUE"""),"USA")</f>
        <v>USA</v>
      </c>
      <c r="E1233" s="188">
        <f>IFERROR(__xludf.DUMMYFUNCTION("""COMPUTED_VALUE"""),43281.0)</f>
        <v>43281</v>
      </c>
      <c r="F1233" s="188">
        <f>IFERROR(__xludf.DUMMYFUNCTION("""COMPUTED_VALUE"""),43381.0)</f>
        <v>43381</v>
      </c>
      <c r="H1233">
        <f>IFERROR(__xludf.DUMMYFUNCTION("""COMPUTED_VALUE"""),94589.0)</f>
        <v>94589</v>
      </c>
      <c r="I1233" t="str">
        <f>IFERROR(__xludf.DUMMYFUNCTION("""COMPUTED_VALUE"""),"10/18")</f>
        <v>10/18</v>
      </c>
      <c r="J1233" s="5">
        <f>IFERROR(__xludf.DUMMYFUNCTION("""COMPUTED_VALUE"""),43402.0)</f>
        <v>43402</v>
      </c>
      <c r="K1233">
        <f>IFERROR(__xludf.DUMMYFUNCTION("""COMPUTED_VALUE"""),100.0)</f>
        <v>100</v>
      </c>
      <c r="L1233">
        <f>IFERROR(__xludf.DUMMYFUNCTION("""COMPUTED_VALUE"""),21.0)</f>
        <v>21</v>
      </c>
      <c r="M1233">
        <f>IFERROR(__xludf.DUMMYFUNCTION("""COMPUTED_VALUE"""),121.0)</f>
        <v>121</v>
      </c>
      <c r="N1233" t="str">
        <f>IFERROR(__xludf.DUMMYFUNCTION("""COMPUTED_VALUE"""),"Model 3 LR AWD")</f>
        <v>Model 3 LR AWD</v>
      </c>
      <c r="O1233" t="str">
        <f>IFERROR(__xludf.DUMMYFUNCTION("""COMPUTED_VALUE"""),"Deep Blue Metallic")</f>
        <v>Deep Blue Metallic</v>
      </c>
      <c r="P1233" t="str">
        <f>IFERROR(__xludf.DUMMYFUNCTION("""COMPUTED_VALUE"""),"18 inch Aero")</f>
        <v>18 inch Aero</v>
      </c>
      <c r="Q1233" t="str">
        <f>IFERROR(__xludf.DUMMYFUNCTION("""COMPUTED_VALUE"""),"Black seats")</f>
        <v>Black seats</v>
      </c>
      <c r="R1233" t="str">
        <f>IFERROR(__xludf.DUMMYFUNCTION("""COMPUTED_VALUE"""),"None")</f>
        <v>None</v>
      </c>
      <c r="X1233" t="str">
        <f>IFERROR(__xludf.DUMMYFUNCTION("""COMPUTED_VALUE"""),"Excellent")</f>
        <v>Excellent</v>
      </c>
      <c r="Y1233" t="str">
        <f>IFERROR(__xludf.DUMMYFUNCTION("""COMPUTED_VALUE"""),"Excellent")</f>
        <v>Excellent</v>
      </c>
      <c r="Z1233" t="str">
        <f>IFERROR(__xludf.DUMMYFUNCTION("""COMPUTED_VALUE"""),"Excellent")</f>
        <v>Excellent</v>
      </c>
      <c r="AA1233" t="str">
        <f>IFERROR(__xludf.DUMMYFUNCTION("""COMPUTED_VALUE"""),"Excellent")</f>
        <v>Excellent</v>
      </c>
      <c r="AB1233" t="str">
        <f>IFERROR(__xludf.DUMMYFUNCTION("""COMPUTED_VALUE"""),"Excellent")</f>
        <v>Excellent</v>
      </c>
      <c r="AC1233">
        <f>IFERROR(__xludf.DUMMYFUNCTION("""COMPUTED_VALUE"""),0.0)</f>
        <v>0</v>
      </c>
      <c r="AD1233">
        <f>IFERROR(__xludf.DUMMYFUNCTION("""COMPUTED_VALUE"""),0.0)</f>
        <v>0</v>
      </c>
      <c r="AE1233">
        <f>IFERROR(__xludf.DUMMYFUNCTION("""COMPUTED_VALUE"""),0.0)</f>
        <v>0</v>
      </c>
      <c r="AH1233" s="189">
        <f>IFERROR(__xludf.DUMMYFUNCTION("""COMPUTED_VALUE"""),43406.64758853009)</f>
        <v>43406.64759</v>
      </c>
    </row>
    <row r="1234">
      <c r="A1234" t="str">
        <f>IFERROR(__xludf.DUMMYFUNCTION("""COMPUTED_VALUE"""),"Val ")</f>
        <v>Val </v>
      </c>
      <c r="B1234" t="str">
        <f>IFERROR(__xludf.DUMMYFUNCTION("""COMPUTED_VALUE"""),"Pheonix Metro")</f>
        <v>Pheonix Metro</v>
      </c>
      <c r="C1234" t="str">
        <f>IFERROR(__xludf.DUMMYFUNCTION("""COMPUTED_VALUE"""),"AZ")</f>
        <v>AZ</v>
      </c>
      <c r="D1234" t="str">
        <f>IFERROR(__xludf.DUMMYFUNCTION("""COMPUTED_VALUE"""),"USA")</f>
        <v>USA</v>
      </c>
      <c r="E1234" s="188">
        <f>IFERROR(__xludf.DUMMYFUNCTION("""COMPUTED_VALUE"""),43295.0)</f>
        <v>43295</v>
      </c>
      <c r="F1234" s="188">
        <f>IFERROR(__xludf.DUMMYFUNCTION("""COMPUTED_VALUE"""),43369.0)</f>
        <v>43369</v>
      </c>
      <c r="H1234">
        <f>IFERROR(__xludf.DUMMYFUNCTION("""COMPUTED_VALUE"""),73555.0)</f>
        <v>73555</v>
      </c>
      <c r="J1234" s="5">
        <f>IFERROR(__xludf.DUMMYFUNCTION("""COMPUTED_VALUE"""),43373.0)</f>
        <v>43373</v>
      </c>
      <c r="K1234">
        <f>IFERROR(__xludf.DUMMYFUNCTION("""COMPUTED_VALUE"""),74.0)</f>
        <v>74</v>
      </c>
      <c r="L1234">
        <f>IFERROR(__xludf.DUMMYFUNCTION("""COMPUTED_VALUE"""),4.0)</f>
        <v>4</v>
      </c>
      <c r="M1234">
        <f>IFERROR(__xludf.DUMMYFUNCTION("""COMPUTED_VALUE"""),78.0)</f>
        <v>78</v>
      </c>
      <c r="N1234" t="str">
        <f>IFERROR(__xludf.DUMMYFUNCTION("""COMPUTED_VALUE"""),"Model 3 LR AWD")</f>
        <v>Model 3 LR AWD</v>
      </c>
      <c r="O1234" t="str">
        <f>IFERROR(__xludf.DUMMYFUNCTION("""COMPUTED_VALUE"""),"Deep Blue Metallic")</f>
        <v>Deep Blue Metallic</v>
      </c>
      <c r="P1234" t="str">
        <f>IFERROR(__xludf.DUMMYFUNCTION("""COMPUTED_VALUE"""),"18 inch Aero")</f>
        <v>18 inch Aero</v>
      </c>
      <c r="Q1234" t="str">
        <f>IFERROR(__xludf.DUMMYFUNCTION("""COMPUTED_VALUE"""),"Black seats")</f>
        <v>Black seats</v>
      </c>
      <c r="R1234" t="str">
        <f>IFERROR(__xludf.DUMMYFUNCTION("""COMPUTED_VALUE"""),"Enhanced Autopilot")</f>
        <v>Enhanced Autopilot</v>
      </c>
      <c r="X1234" t="str">
        <f>IFERROR(__xludf.DUMMYFUNCTION("""COMPUTED_VALUE"""),"Very Good")</f>
        <v>Very Good</v>
      </c>
      <c r="Y1234" t="str">
        <f>IFERROR(__xludf.DUMMYFUNCTION("""COMPUTED_VALUE"""),"Excellent")</f>
        <v>Excellent</v>
      </c>
      <c r="Z1234" t="str">
        <f>IFERROR(__xludf.DUMMYFUNCTION("""COMPUTED_VALUE"""),"Very Good")</f>
        <v>Very Good</v>
      </c>
      <c r="AA1234" t="str">
        <f>IFERROR(__xludf.DUMMYFUNCTION("""COMPUTED_VALUE"""),"Poor")</f>
        <v>Poor</v>
      </c>
      <c r="AB1234" t="str">
        <f>IFERROR(__xludf.DUMMYFUNCTION("""COMPUTED_VALUE"""),"Very Good")</f>
        <v>Very Good</v>
      </c>
      <c r="AC1234">
        <f>IFERROR(__xludf.DUMMYFUNCTION("""COMPUTED_VALUE"""),1.0)</f>
        <v>1</v>
      </c>
      <c r="AD1234">
        <f>IFERROR(__xludf.DUMMYFUNCTION("""COMPUTED_VALUE"""),1.0)</f>
        <v>1</v>
      </c>
      <c r="AE1234">
        <f>IFERROR(__xludf.DUMMYFUNCTION("""COMPUTED_VALUE"""),0.0)</f>
        <v>0</v>
      </c>
      <c r="AH1234" s="189">
        <f>IFERROR(__xludf.DUMMYFUNCTION("""COMPUTED_VALUE"""),43406.785289363426)</f>
        <v>43406.78529</v>
      </c>
    </row>
    <row r="1235">
      <c r="A1235" t="str">
        <f>IFERROR(__xludf.DUMMYFUNCTION("""COMPUTED_VALUE"""),"DCTesla")</f>
        <v>DCTesla</v>
      </c>
      <c r="C1235" t="str">
        <f>IFERROR(__xludf.DUMMYFUNCTION("""COMPUTED_VALUE"""),"VA")</f>
        <v>VA</v>
      </c>
      <c r="D1235" t="str">
        <f>IFERROR(__xludf.DUMMYFUNCTION("""COMPUTED_VALUE"""),"USA")</f>
        <v>USA</v>
      </c>
      <c r="E1235" s="188">
        <f>IFERROR(__xludf.DUMMYFUNCTION("""COMPUTED_VALUE"""),43288.0)</f>
        <v>43288</v>
      </c>
      <c r="F1235" s="188">
        <f>IFERROR(__xludf.DUMMYFUNCTION("""COMPUTED_VALUE"""),43391.0)</f>
        <v>43391</v>
      </c>
      <c r="H1235">
        <f>IFERROR(__xludf.DUMMYFUNCTION("""COMPUTED_VALUE"""),104055.0)</f>
        <v>104055</v>
      </c>
      <c r="I1235" t="str">
        <f>IFERROR(__xludf.DUMMYFUNCTION("""COMPUTED_VALUE"""),"10/18")</f>
        <v>10/18</v>
      </c>
      <c r="J1235" s="5">
        <f>IFERROR(__xludf.DUMMYFUNCTION("""COMPUTED_VALUE"""),43406.0)</f>
        <v>43406</v>
      </c>
      <c r="K1235">
        <f>IFERROR(__xludf.DUMMYFUNCTION("""COMPUTED_VALUE"""),103.0)</f>
        <v>103</v>
      </c>
      <c r="L1235">
        <f>IFERROR(__xludf.DUMMYFUNCTION("""COMPUTED_VALUE"""),15.0)</f>
        <v>15</v>
      </c>
      <c r="M1235">
        <f>IFERROR(__xludf.DUMMYFUNCTION("""COMPUTED_VALUE"""),118.0)</f>
        <v>118</v>
      </c>
      <c r="N1235" t="str">
        <f>IFERROR(__xludf.DUMMYFUNCTION("""COMPUTED_VALUE"""),"Model 3 LR AWD")</f>
        <v>Model 3 LR AWD</v>
      </c>
      <c r="O1235" t="str">
        <f>IFERROR(__xludf.DUMMYFUNCTION("""COMPUTED_VALUE"""),"Midnight Silver Metallic")</f>
        <v>Midnight Silver Metallic</v>
      </c>
      <c r="P1235" t="str">
        <f>IFERROR(__xludf.DUMMYFUNCTION("""COMPUTED_VALUE"""),"18 inch Aero")</f>
        <v>18 inch Aero</v>
      </c>
      <c r="Q1235" t="str">
        <f>IFERROR(__xludf.DUMMYFUNCTION("""COMPUTED_VALUE"""),"Black seats")</f>
        <v>Black seats</v>
      </c>
      <c r="R1235" t="str">
        <f>IFERROR(__xludf.DUMMYFUNCTION("""COMPUTED_VALUE"""),"Enhanced Autopilot")</f>
        <v>Enhanced Autopilot</v>
      </c>
      <c r="X1235" t="str">
        <f>IFERROR(__xludf.DUMMYFUNCTION("""COMPUTED_VALUE"""),"Good")</f>
        <v>Good</v>
      </c>
      <c r="Y1235" t="str">
        <f>IFERROR(__xludf.DUMMYFUNCTION("""COMPUTED_VALUE"""),"Good")</f>
        <v>Good</v>
      </c>
      <c r="Z1235" t="str">
        <f>IFERROR(__xludf.DUMMYFUNCTION("""COMPUTED_VALUE"""),"Good")</f>
        <v>Good</v>
      </c>
      <c r="AA1235" t="str">
        <f>IFERROR(__xludf.DUMMYFUNCTION("""COMPUTED_VALUE"""),"Fair")</f>
        <v>Fair</v>
      </c>
      <c r="AB1235" t="str">
        <f>IFERROR(__xludf.DUMMYFUNCTION("""COMPUTED_VALUE"""),"Poor")</f>
        <v>Poor</v>
      </c>
      <c r="AC1235">
        <f>IFERROR(__xludf.DUMMYFUNCTION("""COMPUTED_VALUE"""),0.0)</f>
        <v>0</v>
      </c>
      <c r="AD1235">
        <f>IFERROR(__xludf.DUMMYFUNCTION("""COMPUTED_VALUE"""),1.0)</f>
        <v>1</v>
      </c>
      <c r="AE1235">
        <f>IFERROR(__xludf.DUMMYFUNCTION("""COMPUTED_VALUE"""),0.0)</f>
        <v>0</v>
      </c>
      <c r="AH1235" s="189">
        <f>IFERROR(__xludf.DUMMYFUNCTION("""COMPUTED_VALUE"""),43406.83728310185)</f>
        <v>43406.83728</v>
      </c>
    </row>
    <row r="1236">
      <c r="A1236" t="str">
        <f>IFERROR(__xludf.DUMMYFUNCTION("""COMPUTED_VALUE"""),"Schmeltz.318")</f>
        <v>Schmeltz.318</v>
      </c>
      <c r="B1236" t="str">
        <f>IFERROR(__xludf.DUMMYFUNCTION("""COMPUTED_VALUE"""),"Colorado Springs")</f>
        <v>Colorado Springs</v>
      </c>
      <c r="C1236" t="str">
        <f>IFERROR(__xludf.DUMMYFUNCTION("""COMPUTED_VALUE"""),"CO")</f>
        <v>CO</v>
      </c>
      <c r="D1236" t="str">
        <f>IFERROR(__xludf.DUMMYFUNCTION("""COMPUTED_VALUE"""),"USA")</f>
        <v>USA</v>
      </c>
      <c r="E1236" s="188">
        <f>IFERROR(__xludf.DUMMYFUNCTION("""COMPUTED_VALUE"""),43278.0)</f>
        <v>43278</v>
      </c>
      <c r="F1236" s="188">
        <f>IFERROR(__xludf.DUMMYFUNCTION("""COMPUTED_VALUE"""),43365.0)</f>
        <v>43365</v>
      </c>
      <c r="H1236">
        <f>IFERROR(__xludf.DUMMYFUNCTION("""COMPUTED_VALUE"""),114855.0)</f>
        <v>114855</v>
      </c>
      <c r="I1236" t="str">
        <f>IFERROR(__xludf.DUMMYFUNCTION("""COMPUTED_VALUE"""),"09/18")</f>
        <v>09/18</v>
      </c>
      <c r="J1236" s="5">
        <f>IFERROR(__xludf.DUMMYFUNCTION("""COMPUTED_VALUE"""),43371.0)</f>
        <v>43371</v>
      </c>
      <c r="K1236">
        <f>IFERROR(__xludf.DUMMYFUNCTION("""COMPUTED_VALUE"""),87.0)</f>
        <v>87</v>
      </c>
      <c r="L1236">
        <f>IFERROR(__xludf.DUMMYFUNCTION("""COMPUTED_VALUE"""),6.0)</f>
        <v>6</v>
      </c>
      <c r="M1236">
        <f>IFERROR(__xludf.DUMMYFUNCTION("""COMPUTED_VALUE"""),93.0)</f>
        <v>93</v>
      </c>
      <c r="N1236" t="str">
        <f>IFERROR(__xludf.DUMMYFUNCTION("""COMPUTED_VALUE"""),"Model 3 LR AWD")</f>
        <v>Model 3 LR AWD</v>
      </c>
      <c r="O1236" t="str">
        <f>IFERROR(__xludf.DUMMYFUNCTION("""COMPUTED_VALUE"""),"Deep Blue Metallic")</f>
        <v>Deep Blue Metallic</v>
      </c>
      <c r="P1236" t="str">
        <f>IFERROR(__xludf.DUMMYFUNCTION("""COMPUTED_VALUE"""),"18 inch Aero")</f>
        <v>18 inch Aero</v>
      </c>
      <c r="Q1236" t="str">
        <f>IFERROR(__xludf.DUMMYFUNCTION("""COMPUTED_VALUE"""),"Black seats")</f>
        <v>Black seats</v>
      </c>
      <c r="R1236" t="str">
        <f>IFERROR(__xludf.DUMMYFUNCTION("""COMPUTED_VALUE"""),"None")</f>
        <v>None</v>
      </c>
      <c r="X1236" t="str">
        <f>IFERROR(__xludf.DUMMYFUNCTION("""COMPUTED_VALUE"""),"Very Good")</f>
        <v>Very Good</v>
      </c>
      <c r="Y1236" t="str">
        <f>IFERROR(__xludf.DUMMYFUNCTION("""COMPUTED_VALUE"""),"Excellent")</f>
        <v>Excellent</v>
      </c>
      <c r="Z1236" t="str">
        <f>IFERROR(__xludf.DUMMYFUNCTION("""COMPUTED_VALUE"""),"Very Good")</f>
        <v>Very Good</v>
      </c>
      <c r="AA1236" t="str">
        <f>IFERROR(__xludf.DUMMYFUNCTION("""COMPUTED_VALUE"""),"Fair")</f>
        <v>Fair</v>
      </c>
      <c r="AB1236" t="str">
        <f>IFERROR(__xludf.DUMMYFUNCTION("""COMPUTED_VALUE"""),"Very Good")</f>
        <v>Very Good</v>
      </c>
      <c r="AC1236">
        <f>IFERROR(__xludf.DUMMYFUNCTION("""COMPUTED_VALUE"""),0.0)</f>
        <v>0</v>
      </c>
      <c r="AD1236">
        <f>IFERROR(__xludf.DUMMYFUNCTION("""COMPUTED_VALUE"""),0.0)</f>
        <v>0</v>
      </c>
      <c r="AE1236">
        <f>IFERROR(__xludf.DUMMYFUNCTION("""COMPUTED_VALUE"""),0.0)</f>
        <v>0</v>
      </c>
      <c r="AH1236" s="189">
        <f>IFERROR(__xludf.DUMMYFUNCTION("""COMPUTED_VALUE"""),43406.90758466435)</f>
        <v>43406.90758</v>
      </c>
    </row>
    <row r="1237">
      <c r="A1237" t="str">
        <f>IFERROR(__xludf.DUMMYFUNCTION("""COMPUTED_VALUE"""),"eye oh bee")</f>
        <v>eye oh bee</v>
      </c>
      <c r="B1237" t="str">
        <f>IFERROR(__xludf.DUMMYFUNCTION("""COMPUTED_VALUE"""),"NorCal")</f>
        <v>NorCal</v>
      </c>
      <c r="C1237" t="str">
        <f>IFERROR(__xludf.DUMMYFUNCTION("""COMPUTED_VALUE"""),"CA")</f>
        <v>CA</v>
      </c>
      <c r="D1237" t="str">
        <f>IFERROR(__xludf.DUMMYFUNCTION("""COMPUTED_VALUE"""),"USA")</f>
        <v>USA</v>
      </c>
      <c r="E1237" s="188">
        <f>IFERROR(__xludf.DUMMYFUNCTION("""COMPUTED_VALUE"""),43278.0)</f>
        <v>43278</v>
      </c>
      <c r="H1237">
        <f>IFERROR(__xludf.DUMMYFUNCTION("""COMPUTED_VALUE"""),99291.0)</f>
        <v>99291</v>
      </c>
      <c r="I1237" t="str">
        <f>IFERROR(__xludf.DUMMYFUNCTION("""COMPUTED_VALUE"""),"08/18")</f>
        <v>08/18</v>
      </c>
      <c r="J1237" s="5">
        <f>IFERROR(__xludf.DUMMYFUNCTION("""COMPUTED_VALUE"""),43373.0)</f>
        <v>43373</v>
      </c>
      <c r="M1237">
        <f>IFERROR(__xludf.DUMMYFUNCTION("""COMPUTED_VALUE"""),95.0)</f>
        <v>95</v>
      </c>
      <c r="N1237" t="str">
        <f>IFERROR(__xludf.DUMMYFUNCTION("""COMPUTED_VALUE"""),"Model 3 LR AWD")</f>
        <v>Model 3 LR AWD</v>
      </c>
      <c r="O1237" t="str">
        <f>IFERROR(__xludf.DUMMYFUNCTION("""COMPUTED_VALUE"""),"Obsidian Black Metallic")</f>
        <v>Obsidian Black Metallic</v>
      </c>
      <c r="P1237" t="str">
        <f>IFERROR(__xludf.DUMMYFUNCTION("""COMPUTED_VALUE"""),"18 inch Aero")</f>
        <v>18 inch Aero</v>
      </c>
      <c r="Q1237" t="str">
        <f>IFERROR(__xludf.DUMMYFUNCTION("""COMPUTED_VALUE"""),"White seats")</f>
        <v>White seats</v>
      </c>
      <c r="R1237" t="str">
        <f>IFERROR(__xludf.DUMMYFUNCTION("""COMPUTED_VALUE"""),"None")</f>
        <v>None</v>
      </c>
      <c r="X1237" t="str">
        <f>IFERROR(__xludf.DUMMYFUNCTION("""COMPUTED_VALUE"""),"Excellent")</f>
        <v>Excellent</v>
      </c>
      <c r="Y1237" t="str">
        <f>IFERROR(__xludf.DUMMYFUNCTION("""COMPUTED_VALUE"""),"Excellent")</f>
        <v>Excellent</v>
      </c>
      <c r="Z1237" t="str">
        <f>IFERROR(__xludf.DUMMYFUNCTION("""COMPUTED_VALUE"""),"Excellent")</f>
        <v>Excellent</v>
      </c>
      <c r="AA1237" t="str">
        <f>IFERROR(__xludf.DUMMYFUNCTION("""COMPUTED_VALUE"""),"Fair")</f>
        <v>Fair</v>
      </c>
      <c r="AB1237" t="str">
        <f>IFERROR(__xludf.DUMMYFUNCTION("""COMPUTED_VALUE"""),"Fair")</f>
        <v>Fair</v>
      </c>
      <c r="AC1237">
        <f>IFERROR(__xludf.DUMMYFUNCTION("""COMPUTED_VALUE"""),0.0)</f>
        <v>0</v>
      </c>
      <c r="AD1237">
        <f>IFERROR(__xludf.DUMMYFUNCTION("""COMPUTED_VALUE"""),0.0)</f>
        <v>0</v>
      </c>
      <c r="AE1237">
        <f>IFERROR(__xludf.DUMMYFUNCTION("""COMPUTED_VALUE"""),0.0)</f>
        <v>0</v>
      </c>
      <c r="AG1237" t="str">
        <f>IFERROR(__xludf.DUMMYFUNCTION("""COMPUTED_VALUE"""),"Fremont Delivery Event - picked up on September 8")</f>
        <v>Fremont Delivery Event - picked up on September 8</v>
      </c>
      <c r="AH1237" s="189">
        <f>IFERROR(__xludf.DUMMYFUNCTION("""COMPUTED_VALUE"""),43406.956386377315)</f>
        <v>43406.95639</v>
      </c>
    </row>
    <row r="1238">
      <c r="A1238" t="str">
        <f>IFERROR(__xludf.DUMMYFUNCTION("""COMPUTED_VALUE"""),"rohyn")</f>
        <v>rohyn</v>
      </c>
      <c r="C1238" t="str">
        <f>IFERROR(__xludf.DUMMYFUNCTION("""COMPUTED_VALUE"""),"TX")</f>
        <v>TX</v>
      </c>
      <c r="D1238" t="str">
        <f>IFERROR(__xludf.DUMMYFUNCTION("""COMPUTED_VALUE"""),"USA")</f>
        <v>USA</v>
      </c>
      <c r="E1238" s="188">
        <f>IFERROR(__xludf.DUMMYFUNCTION("""COMPUTED_VALUE"""),43282.0)</f>
        <v>43282</v>
      </c>
      <c r="F1238" s="188">
        <f>IFERROR(__xludf.DUMMYFUNCTION("""COMPUTED_VALUE"""),43364.0)</f>
        <v>43364</v>
      </c>
      <c r="H1238">
        <f>IFERROR(__xludf.DUMMYFUNCTION("""COMPUTED_VALUE"""),55055.0)</f>
        <v>55055</v>
      </c>
      <c r="I1238" t="str">
        <f>IFERROR(__xludf.DUMMYFUNCTION("""COMPUTED_VALUE"""),"07/18")</f>
        <v>07/18</v>
      </c>
      <c r="J1238" s="5">
        <f>IFERROR(__xludf.DUMMYFUNCTION("""COMPUTED_VALUE"""),43371.0)</f>
        <v>43371</v>
      </c>
      <c r="K1238">
        <f>IFERROR(__xludf.DUMMYFUNCTION("""COMPUTED_VALUE"""),82.0)</f>
        <v>82</v>
      </c>
      <c r="L1238">
        <f>IFERROR(__xludf.DUMMYFUNCTION("""COMPUTED_VALUE"""),7.0)</f>
        <v>7</v>
      </c>
      <c r="M1238">
        <f>IFERROR(__xludf.DUMMYFUNCTION("""COMPUTED_VALUE"""),89.0)</f>
        <v>89</v>
      </c>
      <c r="N1238" t="str">
        <f>IFERROR(__xludf.DUMMYFUNCTION("""COMPUTED_VALUE"""),"Model 3 LR AWD")</f>
        <v>Model 3 LR AWD</v>
      </c>
      <c r="O1238" t="str">
        <f>IFERROR(__xludf.DUMMYFUNCTION("""COMPUTED_VALUE"""),"Pearl White Multi-Coat")</f>
        <v>Pearl White Multi-Coat</v>
      </c>
      <c r="P1238" t="str">
        <f>IFERROR(__xludf.DUMMYFUNCTION("""COMPUTED_VALUE"""),"18 inch Aero")</f>
        <v>18 inch Aero</v>
      </c>
      <c r="Q1238" t="str">
        <f>IFERROR(__xludf.DUMMYFUNCTION("""COMPUTED_VALUE"""),"Black seats")</f>
        <v>Black seats</v>
      </c>
      <c r="R1238" t="str">
        <f>IFERROR(__xludf.DUMMYFUNCTION("""COMPUTED_VALUE"""),"Enhanced Autopilot")</f>
        <v>Enhanced Autopilot</v>
      </c>
      <c r="X1238" t="str">
        <f>IFERROR(__xludf.DUMMYFUNCTION("""COMPUTED_VALUE"""),"Very Good")</f>
        <v>Very Good</v>
      </c>
      <c r="Y1238" t="str">
        <f>IFERROR(__xludf.DUMMYFUNCTION("""COMPUTED_VALUE"""),"Excellent")</f>
        <v>Excellent</v>
      </c>
      <c r="Z1238" t="str">
        <f>IFERROR(__xludf.DUMMYFUNCTION("""COMPUTED_VALUE"""),"Excellent")</f>
        <v>Excellent</v>
      </c>
      <c r="AA1238" t="str">
        <f>IFERROR(__xludf.DUMMYFUNCTION("""COMPUTED_VALUE"""),"Very Good")</f>
        <v>Very Good</v>
      </c>
      <c r="AB1238" t="str">
        <f>IFERROR(__xludf.DUMMYFUNCTION("""COMPUTED_VALUE"""),"Excellent")</f>
        <v>Excellent</v>
      </c>
      <c r="AC1238">
        <f>IFERROR(__xludf.DUMMYFUNCTION("""COMPUTED_VALUE"""),12.0)</f>
        <v>12</v>
      </c>
      <c r="AD1238">
        <f>IFERROR(__xludf.DUMMYFUNCTION("""COMPUTED_VALUE"""),2.0)</f>
        <v>2</v>
      </c>
      <c r="AE1238">
        <f>IFERROR(__xludf.DUMMYFUNCTION("""COMPUTED_VALUE"""),2.0)</f>
        <v>2</v>
      </c>
      <c r="AG1238" t="str">
        <f>IFERROR(__xludf.DUMMYFUNCTION("""COMPUTED_VALUE"""),"Delivery: Sep. '18 - Nov. '18")</f>
        <v>Delivery: Sep. '18 - Nov. '18</v>
      </c>
      <c r="AH1238" s="189">
        <f>IFERROR(__xludf.DUMMYFUNCTION("""COMPUTED_VALUE"""),43407.01345834491)</f>
        <v>43407.01346</v>
      </c>
    </row>
    <row r="1239">
      <c r="A1239" t="str">
        <f>IFERROR(__xludf.DUMMYFUNCTION("""COMPUTED_VALUE"""),"notsnowflake")</f>
        <v>notsnowflake</v>
      </c>
      <c r="C1239" t="str">
        <f>IFERROR(__xludf.DUMMYFUNCTION("""COMPUTED_VALUE"""),"MD")</f>
        <v>MD</v>
      </c>
      <c r="D1239" t="str">
        <f>IFERROR(__xludf.DUMMYFUNCTION("""COMPUTED_VALUE"""),"USA")</f>
        <v>USA</v>
      </c>
      <c r="E1239" s="188">
        <f>IFERROR(__xludf.DUMMYFUNCTION("""COMPUTED_VALUE"""),43331.0)</f>
        <v>43331</v>
      </c>
      <c r="F1239" s="188">
        <f>IFERROR(__xludf.DUMMYFUNCTION("""COMPUTED_VALUE"""),43377.0)</f>
        <v>43377</v>
      </c>
      <c r="H1239">
        <f>IFERROR(__xludf.DUMMYFUNCTION("""COMPUTED_VALUE"""),115755.0)</f>
        <v>115755</v>
      </c>
      <c r="I1239" t="str">
        <f>IFERROR(__xludf.DUMMYFUNCTION("""COMPUTED_VALUE"""),"10/18")</f>
        <v>10/18</v>
      </c>
      <c r="J1239" s="5">
        <f>IFERROR(__xludf.DUMMYFUNCTION("""COMPUTED_VALUE"""),43407.0)</f>
        <v>43407</v>
      </c>
      <c r="K1239">
        <f>IFERROR(__xludf.DUMMYFUNCTION("""COMPUTED_VALUE"""),46.0)</f>
        <v>46</v>
      </c>
      <c r="L1239">
        <f>IFERROR(__xludf.DUMMYFUNCTION("""COMPUTED_VALUE"""),30.0)</f>
        <v>30</v>
      </c>
      <c r="M1239">
        <f>IFERROR(__xludf.DUMMYFUNCTION("""COMPUTED_VALUE"""),76.0)</f>
        <v>76</v>
      </c>
      <c r="N1239" t="str">
        <f>IFERROR(__xludf.DUMMYFUNCTION("""COMPUTED_VALUE"""),"Model 3 LR AWD")</f>
        <v>Model 3 LR AWD</v>
      </c>
      <c r="O1239" t="str">
        <f>IFERROR(__xludf.DUMMYFUNCTION("""COMPUTED_VALUE"""),"Solid Black")</f>
        <v>Solid Black</v>
      </c>
      <c r="P1239" t="str">
        <f>IFERROR(__xludf.DUMMYFUNCTION("""COMPUTED_VALUE"""),"19 inch Sport")</f>
        <v>19 inch Sport</v>
      </c>
      <c r="Q1239" t="str">
        <f>IFERROR(__xludf.DUMMYFUNCTION("""COMPUTED_VALUE"""),"Black seats")</f>
        <v>Black seats</v>
      </c>
      <c r="R1239" t="str">
        <f>IFERROR(__xludf.DUMMYFUNCTION("""COMPUTED_VALUE"""),"None")</f>
        <v>None</v>
      </c>
      <c r="X1239" t="str">
        <f>IFERROR(__xludf.DUMMYFUNCTION("""COMPUTED_VALUE"""),"Very Good")</f>
        <v>Very Good</v>
      </c>
      <c r="Y1239" t="str">
        <f>IFERROR(__xludf.DUMMYFUNCTION("""COMPUTED_VALUE"""),"Excellent")</f>
        <v>Excellent</v>
      </c>
      <c r="Z1239" t="str">
        <f>IFERROR(__xludf.DUMMYFUNCTION("""COMPUTED_VALUE"""),"Very Good")</f>
        <v>Very Good</v>
      </c>
      <c r="AA1239" t="str">
        <f>IFERROR(__xludf.DUMMYFUNCTION("""COMPUTED_VALUE"""),"Fair")</f>
        <v>Fair</v>
      </c>
      <c r="AB1239" t="str">
        <f>IFERROR(__xludf.DUMMYFUNCTION("""COMPUTED_VALUE"""),"Fair")</f>
        <v>Fair</v>
      </c>
      <c r="AC1239">
        <f>IFERROR(__xludf.DUMMYFUNCTION("""COMPUTED_VALUE"""),1.0)</f>
        <v>1</v>
      </c>
      <c r="AD1239">
        <f>IFERROR(__xludf.DUMMYFUNCTION("""COMPUTED_VALUE"""),0.0)</f>
        <v>0</v>
      </c>
      <c r="AE1239">
        <f>IFERROR(__xludf.DUMMYFUNCTION("""COMPUTED_VALUE"""),0.0)</f>
        <v>0</v>
      </c>
      <c r="AG1239" t="str">
        <f>IFERROR(__xludf.DUMMYFUNCTION("""COMPUTED_VALUE"""),"Actual deliver date was a day early.  ")</f>
        <v>Actual deliver date was a day early.  </v>
      </c>
      <c r="AH1239" s="189">
        <f>IFERROR(__xludf.DUMMYFUNCTION("""COMPUTED_VALUE"""),43407.25224524306)</f>
        <v>43407.25225</v>
      </c>
    </row>
    <row r="1240">
      <c r="A1240" t="str">
        <f>IFERROR(__xludf.DUMMYFUNCTION("""COMPUTED_VALUE"""),"mej16489")</f>
        <v>mej16489</v>
      </c>
      <c r="B1240" t="str">
        <f>IFERROR(__xludf.DUMMYFUNCTION("""COMPUTED_VALUE"""),"Southern California")</f>
        <v>Southern California</v>
      </c>
      <c r="C1240" t="str">
        <f>IFERROR(__xludf.DUMMYFUNCTION("""COMPUTED_VALUE"""),"CA")</f>
        <v>CA</v>
      </c>
      <c r="D1240" t="str">
        <f>IFERROR(__xludf.DUMMYFUNCTION("""COMPUTED_VALUE"""),"USA")</f>
        <v>USA</v>
      </c>
      <c r="E1240" s="188">
        <f>IFERROR(__xludf.DUMMYFUNCTION("""COMPUTED_VALUE"""),43282.0)</f>
        <v>43282</v>
      </c>
      <c r="F1240" s="188">
        <f>IFERROR(__xludf.DUMMYFUNCTION("""COMPUTED_VALUE"""),43371.0)</f>
        <v>43371</v>
      </c>
      <c r="H1240">
        <f>IFERROR(__xludf.DUMMYFUNCTION("""COMPUTED_VALUE"""),111501.0)</f>
        <v>111501</v>
      </c>
      <c r="I1240" t="str">
        <f>IFERROR(__xludf.DUMMYFUNCTION("""COMPUTED_VALUE"""),"09/18")</f>
        <v>09/18</v>
      </c>
      <c r="J1240" s="5">
        <f>IFERROR(__xludf.DUMMYFUNCTION("""COMPUTED_VALUE"""),43373.0)</f>
        <v>43373</v>
      </c>
      <c r="K1240">
        <f>IFERROR(__xludf.DUMMYFUNCTION("""COMPUTED_VALUE"""),89.0)</f>
        <v>89</v>
      </c>
      <c r="L1240">
        <f>IFERROR(__xludf.DUMMYFUNCTION("""COMPUTED_VALUE"""),2.0)</f>
        <v>2</v>
      </c>
      <c r="M1240">
        <f>IFERROR(__xludf.DUMMYFUNCTION("""COMPUTED_VALUE"""),91.0)</f>
        <v>91</v>
      </c>
      <c r="N1240" t="str">
        <f>IFERROR(__xludf.DUMMYFUNCTION("""COMPUTED_VALUE"""),"Model 3 LR AWD")</f>
        <v>Model 3 LR AWD</v>
      </c>
      <c r="O1240" t="str">
        <f>IFERROR(__xludf.DUMMYFUNCTION("""COMPUTED_VALUE"""),"Red Multi-Coat")</f>
        <v>Red Multi-Coat</v>
      </c>
      <c r="P1240" t="str">
        <f>IFERROR(__xludf.DUMMYFUNCTION("""COMPUTED_VALUE"""),"19 inch Sport")</f>
        <v>19 inch Sport</v>
      </c>
      <c r="Q1240" t="str">
        <f>IFERROR(__xludf.DUMMYFUNCTION("""COMPUTED_VALUE"""),"Black seats")</f>
        <v>Black seats</v>
      </c>
      <c r="R1240" t="str">
        <f>IFERROR(__xludf.DUMMYFUNCTION("""COMPUTED_VALUE"""),"None")</f>
        <v>None</v>
      </c>
      <c r="X1240" t="str">
        <f>IFERROR(__xludf.DUMMYFUNCTION("""COMPUTED_VALUE"""),"Excellent")</f>
        <v>Excellent</v>
      </c>
      <c r="Y1240" t="str">
        <f>IFERROR(__xludf.DUMMYFUNCTION("""COMPUTED_VALUE"""),"Excellent")</f>
        <v>Excellent</v>
      </c>
      <c r="Z1240" t="str">
        <f>IFERROR(__xludf.DUMMYFUNCTION("""COMPUTED_VALUE"""),"Very Good")</f>
        <v>Very Good</v>
      </c>
      <c r="AA1240" t="str">
        <f>IFERROR(__xludf.DUMMYFUNCTION("""COMPUTED_VALUE"""),"Good")</f>
        <v>Good</v>
      </c>
      <c r="AB1240" t="str">
        <f>IFERROR(__xludf.DUMMYFUNCTION("""COMPUTED_VALUE"""),"Fair")</f>
        <v>Fair</v>
      </c>
      <c r="AC1240">
        <f>IFERROR(__xludf.DUMMYFUNCTION("""COMPUTED_VALUE"""),2.0)</f>
        <v>2</v>
      </c>
      <c r="AD1240">
        <f>IFERROR(__xludf.DUMMYFUNCTION("""COMPUTED_VALUE"""),0.0)</f>
        <v>0</v>
      </c>
      <c r="AE1240">
        <f>IFERROR(__xludf.DUMMYFUNCTION("""COMPUTED_VALUE"""),0.0)</f>
        <v>0</v>
      </c>
      <c r="AH1240" s="189">
        <f>IFERROR(__xludf.DUMMYFUNCTION("""COMPUTED_VALUE"""),43407.42727357639)</f>
        <v>43407.42727</v>
      </c>
    </row>
    <row r="1241">
      <c r="A1241" t="str">
        <f>IFERROR(__xludf.DUMMYFUNCTION("""COMPUTED_VALUE"""),"mrrross")</f>
        <v>mrrross</v>
      </c>
      <c r="B1241" t="str">
        <f>IFERROR(__xludf.DUMMYFUNCTION("""COMPUTED_VALUE"""),"LA")</f>
        <v>LA</v>
      </c>
      <c r="C1241" t="str">
        <f>IFERROR(__xludf.DUMMYFUNCTION("""COMPUTED_VALUE"""),"CA")</f>
        <v>CA</v>
      </c>
      <c r="D1241" t="str">
        <f>IFERROR(__xludf.DUMMYFUNCTION("""COMPUTED_VALUE"""),"USA")</f>
        <v>USA</v>
      </c>
      <c r="E1241" s="188">
        <f>IFERROR(__xludf.DUMMYFUNCTION("""COMPUTED_VALUE"""),43379.0)</f>
        <v>43379</v>
      </c>
      <c r="F1241" s="188">
        <f>IFERROR(__xludf.DUMMYFUNCTION("""COMPUTED_VALUE"""),43399.0)</f>
        <v>43399</v>
      </c>
      <c r="H1241">
        <f>IFERROR(__xludf.DUMMYFUNCTION("""COMPUTED_VALUE"""),81503.0)</f>
        <v>81503</v>
      </c>
      <c r="I1241" t="str">
        <f>IFERROR(__xludf.DUMMYFUNCTION("""COMPUTED_VALUE"""),"10/18")</f>
        <v>10/18</v>
      </c>
      <c r="J1241" s="5">
        <f>IFERROR(__xludf.DUMMYFUNCTION("""COMPUTED_VALUE"""),43407.0)</f>
        <v>43407</v>
      </c>
      <c r="K1241">
        <f>IFERROR(__xludf.DUMMYFUNCTION("""COMPUTED_VALUE"""),20.0)</f>
        <v>20</v>
      </c>
      <c r="L1241">
        <f>IFERROR(__xludf.DUMMYFUNCTION("""COMPUTED_VALUE"""),8.0)</f>
        <v>8</v>
      </c>
      <c r="M1241">
        <f>IFERROR(__xludf.DUMMYFUNCTION("""COMPUTED_VALUE"""),28.0)</f>
        <v>28</v>
      </c>
      <c r="N1241" t="str">
        <f>IFERROR(__xludf.DUMMYFUNCTION("""COMPUTED_VALUE"""),"Model 3 Performance")</f>
        <v>Model 3 Performance</v>
      </c>
      <c r="O1241" t="str">
        <f>IFERROR(__xludf.DUMMYFUNCTION("""COMPUTED_VALUE"""),"Pearl White Multi-Coat")</f>
        <v>Pearl White Multi-Coat</v>
      </c>
      <c r="P1241" t="str">
        <f>IFERROR(__xludf.DUMMYFUNCTION("""COMPUTED_VALUE"""),"20 inch Sport")</f>
        <v>20 inch Sport</v>
      </c>
      <c r="Q1241" t="str">
        <f>IFERROR(__xludf.DUMMYFUNCTION("""COMPUTED_VALUE"""),"White seats")</f>
        <v>White seats</v>
      </c>
      <c r="R1241" t="str">
        <f>IFERROR(__xludf.DUMMYFUNCTION("""COMPUTED_VALUE"""),"Full Self-Driving")</f>
        <v>Full Self-Driving</v>
      </c>
      <c r="X1241" t="str">
        <f>IFERROR(__xludf.DUMMYFUNCTION("""COMPUTED_VALUE"""),"Excellent")</f>
        <v>Excellent</v>
      </c>
      <c r="Y1241" t="str">
        <f>IFERROR(__xludf.DUMMYFUNCTION("""COMPUTED_VALUE"""),"Excellent")</f>
        <v>Excellent</v>
      </c>
      <c r="Z1241" t="str">
        <f>IFERROR(__xludf.DUMMYFUNCTION("""COMPUTED_VALUE"""),"Very Good")</f>
        <v>Very Good</v>
      </c>
      <c r="AA1241" t="str">
        <f>IFERROR(__xludf.DUMMYFUNCTION("""COMPUTED_VALUE"""),"Fair")</f>
        <v>Fair</v>
      </c>
      <c r="AB1241" t="str">
        <f>IFERROR(__xludf.DUMMYFUNCTION("""COMPUTED_VALUE"""),"Excellent")</f>
        <v>Excellent</v>
      </c>
      <c r="AH1241" s="189">
        <f>IFERROR(__xludf.DUMMYFUNCTION("""COMPUTED_VALUE"""),43407.59777569445)</f>
        <v>43407.59778</v>
      </c>
    </row>
    <row r="1242">
      <c r="A1242" t="str">
        <f>IFERROR(__xludf.DUMMYFUNCTION("""COMPUTED_VALUE"""),"Cubbs")</f>
        <v>Cubbs</v>
      </c>
      <c r="C1242" t="str">
        <f>IFERROR(__xludf.DUMMYFUNCTION("""COMPUTED_VALUE"""),"MD")</f>
        <v>MD</v>
      </c>
      <c r="D1242" t="str">
        <f>IFERROR(__xludf.DUMMYFUNCTION("""COMPUTED_VALUE"""),"USA")</f>
        <v>USA</v>
      </c>
      <c r="E1242" s="188">
        <f>IFERROR(__xludf.DUMMYFUNCTION("""COMPUTED_VALUE"""),43297.0)</f>
        <v>43297</v>
      </c>
      <c r="H1242">
        <f>IFERROR(__xludf.DUMMYFUNCTION("""COMPUTED_VALUE"""),117755.0)</f>
        <v>117755</v>
      </c>
      <c r="J1242" s="5">
        <f>IFERROR(__xludf.DUMMYFUNCTION("""COMPUTED_VALUE"""),43400.0)</f>
        <v>43400</v>
      </c>
      <c r="M1242">
        <f>IFERROR(__xludf.DUMMYFUNCTION("""COMPUTED_VALUE"""),103.0)</f>
        <v>103</v>
      </c>
      <c r="N1242" t="str">
        <f>IFERROR(__xludf.DUMMYFUNCTION("""COMPUTED_VALUE"""),"Model 3 LR AWD")</f>
        <v>Model 3 LR AWD</v>
      </c>
      <c r="O1242" t="str">
        <f>IFERROR(__xludf.DUMMYFUNCTION("""COMPUTED_VALUE"""),"Pearl White Multi-Coat")</f>
        <v>Pearl White Multi-Coat</v>
      </c>
      <c r="P1242" t="str">
        <f>IFERROR(__xludf.DUMMYFUNCTION("""COMPUTED_VALUE"""),"19 inch Sport")</f>
        <v>19 inch Sport</v>
      </c>
      <c r="Q1242" t="str">
        <f>IFERROR(__xludf.DUMMYFUNCTION("""COMPUTED_VALUE"""),"Black seats")</f>
        <v>Black seats</v>
      </c>
      <c r="R1242" t="str">
        <f>IFERROR(__xludf.DUMMYFUNCTION("""COMPUTED_VALUE"""),"None")</f>
        <v>None</v>
      </c>
      <c r="X1242" t="str">
        <f>IFERROR(__xludf.DUMMYFUNCTION("""COMPUTED_VALUE"""),"Excellent")</f>
        <v>Excellent</v>
      </c>
      <c r="Y1242" t="str">
        <f>IFERROR(__xludf.DUMMYFUNCTION("""COMPUTED_VALUE"""),"Excellent")</f>
        <v>Excellent</v>
      </c>
      <c r="Z1242" t="str">
        <f>IFERROR(__xludf.DUMMYFUNCTION("""COMPUTED_VALUE"""),"Excellent")</f>
        <v>Excellent</v>
      </c>
      <c r="AA1242" t="str">
        <f>IFERROR(__xludf.DUMMYFUNCTION("""COMPUTED_VALUE"""),"Very Good")</f>
        <v>Very Good</v>
      </c>
      <c r="AB1242" t="str">
        <f>IFERROR(__xludf.DUMMYFUNCTION("""COMPUTED_VALUE"""),"Excellent")</f>
        <v>Excellent</v>
      </c>
      <c r="AH1242" s="189">
        <f>IFERROR(__xludf.DUMMYFUNCTION("""COMPUTED_VALUE"""),43407.638309999995)</f>
        <v>43407.63831</v>
      </c>
    </row>
    <row r="1243">
      <c r="A1243" t="str">
        <f>IFERROR(__xludf.DUMMYFUNCTION("""COMPUTED_VALUE"""),"ithorien")</f>
        <v>ithorien</v>
      </c>
      <c r="B1243" t="str">
        <f>IFERROR(__xludf.DUMMYFUNCTION("""COMPUTED_VALUE"""),"Chicago")</f>
        <v>Chicago</v>
      </c>
      <c r="C1243" t="str">
        <f>IFERROR(__xludf.DUMMYFUNCTION("""COMPUTED_VALUE"""),"IL")</f>
        <v>IL</v>
      </c>
      <c r="D1243" t="str">
        <f>IFERROR(__xludf.DUMMYFUNCTION("""COMPUTED_VALUE"""),"USA")</f>
        <v>USA</v>
      </c>
      <c r="E1243" s="188">
        <f>IFERROR(__xludf.DUMMYFUNCTION("""COMPUTED_VALUE"""),43305.0)</f>
        <v>43305</v>
      </c>
      <c r="F1243" s="188">
        <f>IFERROR(__xludf.DUMMYFUNCTION("""COMPUTED_VALUE"""),43391.0)</f>
        <v>43391</v>
      </c>
      <c r="H1243">
        <f>IFERROR(__xludf.DUMMYFUNCTION("""COMPUTED_VALUE"""),114512.0)</f>
        <v>114512</v>
      </c>
      <c r="I1243" t="str">
        <f>IFERROR(__xludf.DUMMYFUNCTION("""COMPUTED_VALUE"""),"10/18")</f>
        <v>10/18</v>
      </c>
      <c r="J1243" s="5">
        <f>IFERROR(__xludf.DUMMYFUNCTION("""COMPUTED_VALUE"""),43406.0)</f>
        <v>43406</v>
      </c>
      <c r="K1243">
        <f>IFERROR(__xludf.DUMMYFUNCTION("""COMPUTED_VALUE"""),86.0)</f>
        <v>86</v>
      </c>
      <c r="L1243">
        <f>IFERROR(__xludf.DUMMYFUNCTION("""COMPUTED_VALUE"""),15.0)</f>
        <v>15</v>
      </c>
      <c r="M1243">
        <f>IFERROR(__xludf.DUMMYFUNCTION("""COMPUTED_VALUE"""),101.0)</f>
        <v>101</v>
      </c>
      <c r="N1243" t="str">
        <f>IFERROR(__xludf.DUMMYFUNCTION("""COMPUTED_VALUE"""),"Model 3 LR AWD")</f>
        <v>Model 3 LR AWD</v>
      </c>
      <c r="O1243" t="str">
        <f>IFERROR(__xludf.DUMMYFUNCTION("""COMPUTED_VALUE"""),"Midnight Silver Metallic")</f>
        <v>Midnight Silver Metallic</v>
      </c>
      <c r="P1243" t="str">
        <f>IFERROR(__xludf.DUMMYFUNCTION("""COMPUTED_VALUE"""),"18 inch Aero")</f>
        <v>18 inch Aero</v>
      </c>
      <c r="Q1243" t="str">
        <f>IFERROR(__xludf.DUMMYFUNCTION("""COMPUTED_VALUE"""),"Black seats")</f>
        <v>Black seats</v>
      </c>
      <c r="R1243" t="str">
        <f>IFERROR(__xludf.DUMMYFUNCTION("""COMPUTED_VALUE"""),"Enhanced Autopilot")</f>
        <v>Enhanced Autopilot</v>
      </c>
      <c r="X1243" t="str">
        <f>IFERROR(__xludf.DUMMYFUNCTION("""COMPUTED_VALUE"""),"Excellent")</f>
        <v>Excellent</v>
      </c>
      <c r="Y1243" t="str">
        <f>IFERROR(__xludf.DUMMYFUNCTION("""COMPUTED_VALUE"""),"Excellent")</f>
        <v>Excellent</v>
      </c>
      <c r="Z1243" t="str">
        <f>IFERROR(__xludf.DUMMYFUNCTION("""COMPUTED_VALUE"""),"Excellent")</f>
        <v>Excellent</v>
      </c>
      <c r="AA1243" t="str">
        <f>IFERROR(__xludf.DUMMYFUNCTION("""COMPUTED_VALUE"""),"Very Good")</f>
        <v>Very Good</v>
      </c>
      <c r="AB1243" t="str">
        <f>IFERROR(__xludf.DUMMYFUNCTION("""COMPUTED_VALUE"""),"Excellent")</f>
        <v>Excellent</v>
      </c>
      <c r="AH1243" s="189">
        <f>IFERROR(__xludf.DUMMYFUNCTION("""COMPUTED_VALUE"""),43407.75130255787)</f>
        <v>43407.7513</v>
      </c>
    </row>
    <row r="1244">
      <c r="A1244" t="str">
        <f>IFERROR(__xludf.DUMMYFUNCTION("""COMPUTED_VALUE"""),"fisherking")</f>
        <v>fisherking</v>
      </c>
      <c r="B1244" t="str">
        <f>IFERROR(__xludf.DUMMYFUNCTION("""COMPUTED_VALUE"""),"Dallas")</f>
        <v>Dallas</v>
      </c>
      <c r="C1244" t="str">
        <f>IFERROR(__xludf.DUMMYFUNCTION("""COMPUTED_VALUE"""),"TX")</f>
        <v>TX</v>
      </c>
      <c r="D1244" t="str">
        <f>IFERROR(__xludf.DUMMYFUNCTION("""COMPUTED_VALUE"""),"USA")</f>
        <v>USA</v>
      </c>
      <c r="E1244" s="188">
        <f>IFERROR(__xludf.DUMMYFUNCTION("""COMPUTED_VALUE"""),43280.0)</f>
        <v>43280</v>
      </c>
      <c r="H1244">
        <f>IFERROR(__xludf.DUMMYFUNCTION("""COMPUTED_VALUE"""),89755.0)</f>
        <v>89755</v>
      </c>
      <c r="I1244" t="str">
        <f>IFERROR(__xludf.DUMMYFUNCTION("""COMPUTED_VALUE"""),"10/18")</f>
        <v>10/18</v>
      </c>
      <c r="J1244" s="5">
        <f>IFERROR(__xludf.DUMMYFUNCTION("""COMPUTED_VALUE"""),43406.0)</f>
        <v>43406</v>
      </c>
      <c r="M1244">
        <f>IFERROR(__xludf.DUMMYFUNCTION("""COMPUTED_VALUE"""),126.0)</f>
        <v>126</v>
      </c>
      <c r="N1244" t="str">
        <f>IFERROR(__xludf.DUMMYFUNCTION("""COMPUTED_VALUE"""),"Model 3 LR AWD")</f>
        <v>Model 3 LR AWD</v>
      </c>
      <c r="O1244" t="str">
        <f>IFERROR(__xludf.DUMMYFUNCTION("""COMPUTED_VALUE"""),"Midnight Silver Metallic")</f>
        <v>Midnight Silver Metallic</v>
      </c>
      <c r="P1244" t="str">
        <f>IFERROR(__xludf.DUMMYFUNCTION("""COMPUTED_VALUE"""),"18 inch Aero")</f>
        <v>18 inch Aero</v>
      </c>
      <c r="Q1244" t="str">
        <f>IFERROR(__xludf.DUMMYFUNCTION("""COMPUTED_VALUE"""),"Black seats")</f>
        <v>Black seats</v>
      </c>
      <c r="R1244" t="str">
        <f>IFERROR(__xludf.DUMMYFUNCTION("""COMPUTED_VALUE"""),"Full Self-Driving")</f>
        <v>Full Self-Driving</v>
      </c>
      <c r="X1244" t="str">
        <f>IFERROR(__xludf.DUMMYFUNCTION("""COMPUTED_VALUE"""),"Excellent")</f>
        <v>Excellent</v>
      </c>
      <c r="Y1244" t="str">
        <f>IFERROR(__xludf.DUMMYFUNCTION("""COMPUTED_VALUE"""),"Excellent")</f>
        <v>Excellent</v>
      </c>
      <c r="Z1244" t="str">
        <f>IFERROR(__xludf.DUMMYFUNCTION("""COMPUTED_VALUE"""),"Good")</f>
        <v>Good</v>
      </c>
      <c r="AA1244" t="str">
        <f>IFERROR(__xludf.DUMMYFUNCTION("""COMPUTED_VALUE"""),"Very Good")</f>
        <v>Very Good</v>
      </c>
      <c r="AB1244" t="str">
        <f>IFERROR(__xludf.DUMMYFUNCTION("""COMPUTED_VALUE"""),"Very Good")</f>
        <v>Very Good</v>
      </c>
      <c r="AC1244">
        <f>IFERROR(__xludf.DUMMYFUNCTION("""COMPUTED_VALUE"""),3.0)</f>
        <v>3</v>
      </c>
      <c r="AH1244" s="189">
        <f>IFERROR(__xludf.DUMMYFUNCTION("""COMPUTED_VALUE"""),43407.85436087963)</f>
        <v>43407.85436</v>
      </c>
    </row>
    <row r="1245">
      <c r="A1245" t="str">
        <f>IFERROR(__xludf.DUMMYFUNCTION("""COMPUTED_VALUE"""),"Ak493")</f>
        <v>Ak493</v>
      </c>
      <c r="B1245" t="str">
        <f>IFERROR(__xludf.DUMMYFUNCTION("""COMPUTED_VALUE"""),"Minneapolis")</f>
        <v>Minneapolis</v>
      </c>
      <c r="C1245" t="str">
        <f>IFERROR(__xludf.DUMMYFUNCTION("""COMPUTED_VALUE"""),"MN")</f>
        <v>MN</v>
      </c>
      <c r="D1245" t="str">
        <f>IFERROR(__xludf.DUMMYFUNCTION("""COMPUTED_VALUE"""),"USA")</f>
        <v>USA</v>
      </c>
      <c r="E1245" s="188">
        <f>IFERROR(__xludf.DUMMYFUNCTION("""COMPUTED_VALUE"""),43405.0)</f>
        <v>43405</v>
      </c>
      <c r="H1245">
        <f>IFERROR(__xludf.DUMMYFUNCTION("""COMPUTED_VALUE"""),526055.0)</f>
        <v>526055</v>
      </c>
      <c r="J1245" s="5">
        <f>IFERROR(__xludf.DUMMYFUNCTION("""COMPUTED_VALUE"""),43420.0)</f>
        <v>43420</v>
      </c>
      <c r="M1245">
        <f>IFERROR(__xludf.DUMMYFUNCTION("""COMPUTED_VALUE"""),15.0)</f>
        <v>15</v>
      </c>
      <c r="N1245" t="str">
        <f>IFERROR(__xludf.DUMMYFUNCTION("""COMPUTED_VALUE"""),"Model 3 LR AWD")</f>
        <v>Model 3 LR AWD</v>
      </c>
      <c r="O1245" t="str">
        <f>IFERROR(__xludf.DUMMYFUNCTION("""COMPUTED_VALUE"""),"Solid Black")</f>
        <v>Solid Black</v>
      </c>
      <c r="P1245" t="str">
        <f>IFERROR(__xludf.DUMMYFUNCTION("""COMPUTED_VALUE"""),"18 inch Aero")</f>
        <v>18 inch Aero</v>
      </c>
      <c r="Q1245" t="str">
        <f>IFERROR(__xludf.DUMMYFUNCTION("""COMPUTED_VALUE"""),"Black seats")</f>
        <v>Black seats</v>
      </c>
      <c r="R1245" t="str">
        <f>IFERROR(__xludf.DUMMYFUNCTION("""COMPUTED_VALUE"""),"None")</f>
        <v>None</v>
      </c>
      <c r="X1245" t="str">
        <f>IFERROR(__xludf.DUMMYFUNCTION("""COMPUTED_VALUE"""),"Excellent")</f>
        <v>Excellent</v>
      </c>
      <c r="Y1245" t="str">
        <f>IFERROR(__xludf.DUMMYFUNCTION("""COMPUTED_VALUE"""),"Excellent")</f>
        <v>Excellent</v>
      </c>
      <c r="Z1245" t="str">
        <f>IFERROR(__xludf.DUMMYFUNCTION("""COMPUTED_VALUE"""),"Excellent")</f>
        <v>Excellent</v>
      </c>
      <c r="AA1245" t="str">
        <f>IFERROR(__xludf.DUMMYFUNCTION("""COMPUTED_VALUE"""),"Excellent")</f>
        <v>Excellent</v>
      </c>
      <c r="AB1245" t="str">
        <f>IFERROR(__xludf.DUMMYFUNCTION("""COMPUTED_VALUE"""),"Excellent")</f>
        <v>Excellent</v>
      </c>
      <c r="AH1245" s="189">
        <f>IFERROR(__xludf.DUMMYFUNCTION("""COMPUTED_VALUE"""),43407.884858564816)</f>
        <v>43407.88486</v>
      </c>
    </row>
    <row r="1246">
      <c r="A1246" t="str">
        <f>IFERROR(__xludf.DUMMYFUNCTION("""COMPUTED_VALUE"""),"bchang2001")</f>
        <v>bchang2001</v>
      </c>
      <c r="B1246" t="str">
        <f>IFERROR(__xludf.DUMMYFUNCTION("""COMPUTED_VALUE"""),"Anaheim")</f>
        <v>Anaheim</v>
      </c>
      <c r="C1246" t="str">
        <f>IFERROR(__xludf.DUMMYFUNCTION("""COMPUTED_VALUE"""),"CA")</f>
        <v>CA</v>
      </c>
      <c r="D1246" t="str">
        <f>IFERROR(__xludf.DUMMYFUNCTION("""COMPUTED_VALUE"""),"USA")</f>
        <v>USA</v>
      </c>
      <c r="E1246" s="188">
        <f>IFERROR(__xludf.DUMMYFUNCTION("""COMPUTED_VALUE"""),43368.0)</f>
        <v>43368</v>
      </c>
      <c r="F1246" s="188">
        <f>IFERROR(__xludf.DUMMYFUNCTION("""COMPUTED_VALUE"""),43387.0)</f>
        <v>43387</v>
      </c>
      <c r="H1246">
        <f>IFERROR(__xludf.DUMMYFUNCTION("""COMPUTED_VALUE"""),70394.0)</f>
        <v>70394</v>
      </c>
      <c r="I1246" t="str">
        <f>IFERROR(__xludf.DUMMYFUNCTION("""COMPUTED_VALUE"""),"08/18")</f>
        <v>08/18</v>
      </c>
      <c r="J1246" s="5">
        <f>IFERROR(__xludf.DUMMYFUNCTION("""COMPUTED_VALUE"""),43389.0)</f>
        <v>43389</v>
      </c>
      <c r="K1246">
        <f>IFERROR(__xludf.DUMMYFUNCTION("""COMPUTED_VALUE"""),19.0)</f>
        <v>19</v>
      </c>
      <c r="L1246">
        <f>IFERROR(__xludf.DUMMYFUNCTION("""COMPUTED_VALUE"""),2.0)</f>
        <v>2</v>
      </c>
      <c r="M1246">
        <f>IFERROR(__xludf.DUMMYFUNCTION("""COMPUTED_VALUE"""),21.0)</f>
        <v>21</v>
      </c>
      <c r="N1246" t="str">
        <f>IFERROR(__xludf.DUMMYFUNCTION("""COMPUTED_VALUE"""),"Model 3 LR")</f>
        <v>Model 3 LR</v>
      </c>
      <c r="O1246" t="str">
        <f>IFERROR(__xludf.DUMMYFUNCTION("""COMPUTED_VALUE"""),"Obsidian Black Metallic")</f>
        <v>Obsidian Black Metallic</v>
      </c>
      <c r="P1246" t="str">
        <f>IFERROR(__xludf.DUMMYFUNCTION("""COMPUTED_VALUE"""),"18 inch Aero")</f>
        <v>18 inch Aero</v>
      </c>
      <c r="Q1246" t="str">
        <f>IFERROR(__xludf.DUMMYFUNCTION("""COMPUTED_VALUE"""),"Black seats")</f>
        <v>Black seats</v>
      </c>
      <c r="R1246" t="str">
        <f>IFERROR(__xludf.DUMMYFUNCTION("""COMPUTED_VALUE"""),"Full Self-Driving")</f>
        <v>Full Self-Driving</v>
      </c>
      <c r="X1246" t="str">
        <f>IFERROR(__xludf.DUMMYFUNCTION("""COMPUTED_VALUE"""),"Excellent")</f>
        <v>Excellent</v>
      </c>
      <c r="Y1246" t="str">
        <f>IFERROR(__xludf.DUMMYFUNCTION("""COMPUTED_VALUE"""),"Excellent")</f>
        <v>Excellent</v>
      </c>
      <c r="Z1246" t="str">
        <f>IFERROR(__xludf.DUMMYFUNCTION("""COMPUTED_VALUE"""),"Very Good")</f>
        <v>Very Good</v>
      </c>
      <c r="AA1246" t="str">
        <f>IFERROR(__xludf.DUMMYFUNCTION("""COMPUTED_VALUE"""),"Good")</f>
        <v>Good</v>
      </c>
      <c r="AB1246" t="str">
        <f>IFERROR(__xludf.DUMMYFUNCTION("""COMPUTED_VALUE"""),"Good")</f>
        <v>Good</v>
      </c>
      <c r="AC1246">
        <f>IFERROR(__xludf.DUMMYFUNCTION("""COMPUTED_VALUE"""),2.0)</f>
        <v>2</v>
      </c>
      <c r="AD1246">
        <f>IFERROR(__xludf.DUMMYFUNCTION("""COMPUTED_VALUE"""),1.0)</f>
        <v>1</v>
      </c>
      <c r="AE1246">
        <f>IFERROR(__xludf.DUMMYFUNCTION("""COMPUTED_VALUE"""),0.0)</f>
        <v>0</v>
      </c>
      <c r="AH1246" s="189">
        <f>IFERROR(__xludf.DUMMYFUNCTION("""COMPUTED_VALUE"""),43407.985213101856)</f>
        <v>43407.98521</v>
      </c>
    </row>
    <row r="1247">
      <c r="A1247" t="str">
        <f>IFERROR(__xludf.DUMMYFUNCTION("""COMPUTED_VALUE"""),"ScottAckerson")</f>
        <v>ScottAckerson</v>
      </c>
      <c r="B1247" t="str">
        <f>IFERROR(__xludf.DUMMYFUNCTION("""COMPUTED_VALUE"""),"Kansas City")</f>
        <v>Kansas City</v>
      </c>
      <c r="C1247" t="str">
        <f>IFERROR(__xludf.DUMMYFUNCTION("""COMPUTED_VALUE"""),"MO")</f>
        <v>MO</v>
      </c>
      <c r="D1247" t="str">
        <f>IFERROR(__xludf.DUMMYFUNCTION("""COMPUTED_VALUE"""),"USA")</f>
        <v>USA</v>
      </c>
      <c r="E1247" s="188">
        <f>IFERROR(__xludf.DUMMYFUNCTION("""COMPUTED_VALUE"""),43379.0)</f>
        <v>43379</v>
      </c>
      <c r="H1247">
        <f>IFERROR(__xludf.DUMMYFUNCTION("""COMPUTED_VALUE"""),115555.0)</f>
        <v>115555</v>
      </c>
      <c r="J1247" s="5">
        <f>IFERROR(__xludf.DUMMYFUNCTION("""COMPUTED_VALUE"""),43405.0)</f>
        <v>43405</v>
      </c>
      <c r="M1247">
        <f>IFERROR(__xludf.DUMMYFUNCTION("""COMPUTED_VALUE"""),26.0)</f>
        <v>26</v>
      </c>
      <c r="N1247" t="str">
        <f>IFERROR(__xludf.DUMMYFUNCTION("""COMPUTED_VALUE"""),"Model 3 LR AWD")</f>
        <v>Model 3 LR AWD</v>
      </c>
      <c r="O1247" t="str">
        <f>IFERROR(__xludf.DUMMYFUNCTION("""COMPUTED_VALUE"""),"Pearl White Multi-Coat")</f>
        <v>Pearl White Multi-Coat</v>
      </c>
      <c r="P1247" t="str">
        <f>IFERROR(__xludf.DUMMYFUNCTION("""COMPUTED_VALUE"""),"18 inch Aero")</f>
        <v>18 inch Aero</v>
      </c>
      <c r="Q1247" t="str">
        <f>IFERROR(__xludf.DUMMYFUNCTION("""COMPUTED_VALUE"""),"Black seats")</f>
        <v>Black seats</v>
      </c>
      <c r="R1247" t="str">
        <f>IFERROR(__xludf.DUMMYFUNCTION("""COMPUTED_VALUE"""),"Enhanced Autopilot")</f>
        <v>Enhanced Autopilot</v>
      </c>
      <c r="X1247" t="str">
        <f>IFERROR(__xludf.DUMMYFUNCTION("""COMPUTED_VALUE"""),"Excellent")</f>
        <v>Excellent</v>
      </c>
      <c r="Y1247" t="str">
        <f>IFERROR(__xludf.DUMMYFUNCTION("""COMPUTED_VALUE"""),"Excellent")</f>
        <v>Excellent</v>
      </c>
      <c r="Z1247" t="str">
        <f>IFERROR(__xludf.DUMMYFUNCTION("""COMPUTED_VALUE"""),"Excellent")</f>
        <v>Excellent</v>
      </c>
      <c r="AA1247" t="str">
        <f>IFERROR(__xludf.DUMMYFUNCTION("""COMPUTED_VALUE"""),"Excellent")</f>
        <v>Excellent</v>
      </c>
      <c r="AB1247" t="str">
        <f>IFERROR(__xludf.DUMMYFUNCTION("""COMPUTED_VALUE"""),"Excellent")</f>
        <v>Excellent</v>
      </c>
      <c r="AH1247" s="189">
        <f>IFERROR(__xludf.DUMMYFUNCTION("""COMPUTED_VALUE"""),43408.344148958335)</f>
        <v>43408.34415</v>
      </c>
    </row>
    <row r="1248">
      <c r="A1248" t="str">
        <f>IFERROR(__xludf.DUMMYFUNCTION("""COMPUTED_VALUE"""),"blinkmandude")</f>
        <v>blinkmandude</v>
      </c>
      <c r="B1248" t="str">
        <f>IFERROR(__xludf.DUMMYFUNCTION("""COMPUTED_VALUE"""),"Melbourne, FL")</f>
        <v>Melbourne, FL</v>
      </c>
      <c r="C1248" t="str">
        <f>IFERROR(__xludf.DUMMYFUNCTION("""COMPUTED_VALUE"""),"FL")</f>
        <v>FL</v>
      </c>
      <c r="D1248" t="str">
        <f>IFERROR(__xludf.DUMMYFUNCTION("""COMPUTED_VALUE"""),"USA")</f>
        <v>USA</v>
      </c>
      <c r="E1248" s="188">
        <f>IFERROR(__xludf.DUMMYFUNCTION("""COMPUTED_VALUE"""),43280.0)</f>
        <v>43280</v>
      </c>
      <c r="F1248" s="188">
        <f>IFERROR(__xludf.DUMMYFUNCTION("""COMPUTED_VALUE"""),43392.0)</f>
        <v>43392</v>
      </c>
      <c r="H1248">
        <f>IFERROR(__xludf.DUMMYFUNCTION("""COMPUTED_VALUE"""),94055.0)</f>
        <v>94055</v>
      </c>
      <c r="I1248" t="str">
        <f>IFERROR(__xludf.DUMMYFUNCTION("""COMPUTED_VALUE"""),"10/18")</f>
        <v>10/18</v>
      </c>
      <c r="J1248" s="5">
        <f>IFERROR(__xludf.DUMMYFUNCTION("""COMPUTED_VALUE"""),43399.0)</f>
        <v>43399</v>
      </c>
      <c r="K1248">
        <f>IFERROR(__xludf.DUMMYFUNCTION("""COMPUTED_VALUE"""),112.0)</f>
        <v>112</v>
      </c>
      <c r="L1248">
        <f>IFERROR(__xludf.DUMMYFUNCTION("""COMPUTED_VALUE"""),7.0)</f>
        <v>7</v>
      </c>
      <c r="M1248">
        <f>IFERROR(__xludf.DUMMYFUNCTION("""COMPUTED_VALUE"""),119.0)</f>
        <v>119</v>
      </c>
      <c r="N1248" t="str">
        <f>IFERROR(__xludf.DUMMYFUNCTION("""COMPUTED_VALUE"""),"Model 3 LR AWD")</f>
        <v>Model 3 LR AWD</v>
      </c>
      <c r="O1248" t="str">
        <f>IFERROR(__xludf.DUMMYFUNCTION("""COMPUTED_VALUE"""),"Midnight Silver Metallic")</f>
        <v>Midnight Silver Metallic</v>
      </c>
      <c r="P1248" t="str">
        <f>IFERROR(__xludf.DUMMYFUNCTION("""COMPUTED_VALUE"""),"18 inch Aero")</f>
        <v>18 inch Aero</v>
      </c>
      <c r="Q1248" t="str">
        <f>IFERROR(__xludf.DUMMYFUNCTION("""COMPUTED_VALUE"""),"Black seats")</f>
        <v>Black seats</v>
      </c>
      <c r="R1248" t="str">
        <f>IFERROR(__xludf.DUMMYFUNCTION("""COMPUTED_VALUE"""),"None")</f>
        <v>None</v>
      </c>
      <c r="X1248" t="str">
        <f>IFERROR(__xludf.DUMMYFUNCTION("""COMPUTED_VALUE"""),"Excellent")</f>
        <v>Excellent</v>
      </c>
      <c r="Y1248" t="str">
        <f>IFERROR(__xludf.DUMMYFUNCTION("""COMPUTED_VALUE"""),"Excellent")</f>
        <v>Excellent</v>
      </c>
      <c r="Z1248" t="str">
        <f>IFERROR(__xludf.DUMMYFUNCTION("""COMPUTED_VALUE"""),"Excellent")</f>
        <v>Excellent</v>
      </c>
      <c r="AA1248" t="str">
        <f>IFERROR(__xludf.DUMMYFUNCTION("""COMPUTED_VALUE"""),"Good")</f>
        <v>Good</v>
      </c>
      <c r="AB1248" t="str">
        <f>IFERROR(__xludf.DUMMYFUNCTION("""COMPUTED_VALUE"""),"Excellent")</f>
        <v>Excellent</v>
      </c>
      <c r="AH1248" s="189">
        <f>IFERROR(__xludf.DUMMYFUNCTION("""COMPUTED_VALUE"""),43408.35630313658)</f>
        <v>43408.3563</v>
      </c>
    </row>
    <row r="1249">
      <c r="A1249" t="str">
        <f>IFERROR(__xludf.DUMMYFUNCTION("""COMPUTED_VALUE"""),"Lithras")</f>
        <v>Lithras</v>
      </c>
      <c r="B1249" t="str">
        <f>IFERROR(__xludf.DUMMYFUNCTION("""COMPUTED_VALUE"""),"Lansing")</f>
        <v>Lansing</v>
      </c>
      <c r="C1249" t="str">
        <f>IFERROR(__xludf.DUMMYFUNCTION("""COMPUTED_VALUE"""),"MI")</f>
        <v>MI</v>
      </c>
      <c r="D1249" t="str">
        <f>IFERROR(__xludf.DUMMYFUNCTION("""COMPUTED_VALUE"""),"USA")</f>
        <v>USA</v>
      </c>
      <c r="E1249" s="188">
        <f>IFERROR(__xludf.DUMMYFUNCTION("""COMPUTED_VALUE"""),43278.0)</f>
        <v>43278</v>
      </c>
      <c r="F1249" s="188">
        <f>IFERROR(__xludf.DUMMYFUNCTION("""COMPUTED_VALUE"""),43396.0)</f>
        <v>43396</v>
      </c>
      <c r="H1249">
        <f>IFERROR(__xludf.DUMMYFUNCTION("""COMPUTED_VALUE"""),104155.0)</f>
        <v>104155</v>
      </c>
      <c r="J1249" s="5">
        <f>IFERROR(__xludf.DUMMYFUNCTION("""COMPUTED_VALUE"""),43407.0)</f>
        <v>43407</v>
      </c>
      <c r="K1249">
        <f>IFERROR(__xludf.DUMMYFUNCTION("""COMPUTED_VALUE"""),118.0)</f>
        <v>118</v>
      </c>
      <c r="L1249">
        <f>IFERROR(__xludf.DUMMYFUNCTION("""COMPUTED_VALUE"""),11.0)</f>
        <v>11</v>
      </c>
      <c r="M1249">
        <f>IFERROR(__xludf.DUMMYFUNCTION("""COMPUTED_VALUE"""),129.0)</f>
        <v>129</v>
      </c>
      <c r="N1249" t="str">
        <f>IFERROR(__xludf.DUMMYFUNCTION("""COMPUTED_VALUE"""),"Model 3 LR AWD")</f>
        <v>Model 3 LR AWD</v>
      </c>
      <c r="O1249" t="str">
        <f>IFERROR(__xludf.DUMMYFUNCTION("""COMPUTED_VALUE"""),"Midnight Silver Metallic")</f>
        <v>Midnight Silver Metallic</v>
      </c>
      <c r="P1249" t="str">
        <f>IFERROR(__xludf.DUMMYFUNCTION("""COMPUTED_VALUE"""),"18 inch Aero")</f>
        <v>18 inch Aero</v>
      </c>
      <c r="Q1249" t="str">
        <f>IFERROR(__xludf.DUMMYFUNCTION("""COMPUTED_VALUE"""),"Black seats")</f>
        <v>Black seats</v>
      </c>
      <c r="R1249" t="str">
        <f>IFERROR(__xludf.DUMMYFUNCTION("""COMPUTED_VALUE"""),"Enhanced Autopilot")</f>
        <v>Enhanced Autopilot</v>
      </c>
      <c r="X1249" t="str">
        <f>IFERROR(__xludf.DUMMYFUNCTION("""COMPUTED_VALUE"""),"Excellent")</f>
        <v>Excellent</v>
      </c>
      <c r="Y1249" t="str">
        <f>IFERROR(__xludf.DUMMYFUNCTION("""COMPUTED_VALUE"""),"Excellent")</f>
        <v>Excellent</v>
      </c>
      <c r="Z1249" t="str">
        <f>IFERROR(__xludf.DUMMYFUNCTION("""COMPUTED_VALUE"""),"Good")</f>
        <v>Good</v>
      </c>
      <c r="AA1249" t="str">
        <f>IFERROR(__xludf.DUMMYFUNCTION("""COMPUTED_VALUE"""),"Good")</f>
        <v>Good</v>
      </c>
      <c r="AB1249" t="str">
        <f>IFERROR(__xludf.DUMMYFUNCTION("""COMPUTED_VALUE"""),"Very Good")</f>
        <v>Very Good</v>
      </c>
      <c r="AH1249" s="189">
        <f>IFERROR(__xludf.DUMMYFUNCTION("""COMPUTED_VALUE"""),43408.37752197917)</f>
        <v>43408.37752</v>
      </c>
    </row>
    <row r="1250">
      <c r="A1250" t="str">
        <f>IFERROR(__xludf.DUMMYFUNCTION("""COMPUTED_VALUE"""),"Zoomit")</f>
        <v>Zoomit</v>
      </c>
      <c r="B1250" t="str">
        <f>IFERROR(__xludf.DUMMYFUNCTION("""COMPUTED_VALUE"""),"SoCal")</f>
        <v>SoCal</v>
      </c>
      <c r="C1250" t="str">
        <f>IFERROR(__xludf.DUMMYFUNCTION("""COMPUTED_VALUE"""),"CA")</f>
        <v>CA</v>
      </c>
      <c r="D1250" t="str">
        <f>IFERROR(__xludf.DUMMYFUNCTION("""COMPUTED_VALUE"""),"USA")</f>
        <v>USA</v>
      </c>
      <c r="E1250" s="188">
        <f>IFERROR(__xludf.DUMMYFUNCTION("""COMPUTED_VALUE"""),43391.0)</f>
        <v>43391</v>
      </c>
      <c r="F1250" s="188">
        <f>IFERROR(__xludf.DUMMYFUNCTION("""COMPUTED_VALUE"""),43393.0)</f>
        <v>43393</v>
      </c>
      <c r="H1250">
        <f>IFERROR(__xludf.DUMMYFUNCTION("""COMPUTED_VALUE"""),112155.0)</f>
        <v>112155</v>
      </c>
      <c r="I1250" t="str">
        <f>IFERROR(__xludf.DUMMYFUNCTION("""COMPUTED_VALUE"""),"10/18")</f>
        <v>10/18</v>
      </c>
      <c r="J1250" s="5">
        <f>IFERROR(__xludf.DUMMYFUNCTION("""COMPUTED_VALUE"""),43398.0)</f>
        <v>43398</v>
      </c>
      <c r="K1250">
        <f>IFERROR(__xludf.DUMMYFUNCTION("""COMPUTED_VALUE"""),2.0)</f>
        <v>2</v>
      </c>
      <c r="L1250">
        <f>IFERROR(__xludf.DUMMYFUNCTION("""COMPUTED_VALUE"""),5.0)</f>
        <v>5</v>
      </c>
      <c r="M1250">
        <f>IFERROR(__xludf.DUMMYFUNCTION("""COMPUTED_VALUE"""),7.0)</f>
        <v>7</v>
      </c>
      <c r="N1250" t="str">
        <f>IFERROR(__xludf.DUMMYFUNCTION("""COMPUTED_VALUE"""),"Model 3 LR AWD")</f>
        <v>Model 3 LR AWD</v>
      </c>
      <c r="O1250" t="str">
        <f>IFERROR(__xludf.DUMMYFUNCTION("""COMPUTED_VALUE"""),"Deep Blue Metallic")</f>
        <v>Deep Blue Metallic</v>
      </c>
      <c r="P1250" t="str">
        <f>IFERROR(__xludf.DUMMYFUNCTION("""COMPUTED_VALUE"""),"19 inch Sport")</f>
        <v>19 inch Sport</v>
      </c>
      <c r="Q1250" t="str">
        <f>IFERROR(__xludf.DUMMYFUNCTION("""COMPUTED_VALUE"""),"White seats")</f>
        <v>White seats</v>
      </c>
      <c r="R1250" t="str">
        <f>IFERROR(__xludf.DUMMYFUNCTION("""COMPUTED_VALUE"""),"Enhanced Autopilot")</f>
        <v>Enhanced Autopilot</v>
      </c>
      <c r="X1250" t="str">
        <f>IFERROR(__xludf.DUMMYFUNCTION("""COMPUTED_VALUE"""),"Very Good")</f>
        <v>Very Good</v>
      </c>
      <c r="Y1250" t="str">
        <f>IFERROR(__xludf.DUMMYFUNCTION("""COMPUTED_VALUE"""),"Very Good")</f>
        <v>Very Good</v>
      </c>
      <c r="Z1250" t="str">
        <f>IFERROR(__xludf.DUMMYFUNCTION("""COMPUTED_VALUE"""),"Very Good")</f>
        <v>Very Good</v>
      </c>
      <c r="AA1250" t="str">
        <f>IFERROR(__xludf.DUMMYFUNCTION("""COMPUTED_VALUE"""),"Very Good")</f>
        <v>Very Good</v>
      </c>
      <c r="AB1250" t="str">
        <f>IFERROR(__xludf.DUMMYFUNCTION("""COMPUTED_VALUE"""),"Excellent")</f>
        <v>Excellent</v>
      </c>
      <c r="AH1250" s="189">
        <f>IFERROR(__xludf.DUMMYFUNCTION("""COMPUTED_VALUE"""),43408.39384619213)</f>
        <v>43408.39385</v>
      </c>
    </row>
    <row r="1251">
      <c r="A1251" t="str">
        <f>IFERROR(__xludf.DUMMYFUNCTION("""COMPUTED_VALUE"""),"sootless")</f>
        <v>sootless</v>
      </c>
      <c r="B1251" t="str">
        <f>IFERROR(__xludf.DUMMYFUNCTION("""COMPUTED_VALUE"""),"Toronto")</f>
        <v>Toronto</v>
      </c>
      <c r="C1251" t="str">
        <f>IFERROR(__xludf.DUMMYFUNCTION("""COMPUTED_VALUE"""),"ON")</f>
        <v>ON</v>
      </c>
      <c r="D1251" t="str">
        <f>IFERROR(__xludf.DUMMYFUNCTION("""COMPUTED_VALUE"""),"Canada")</f>
        <v>Canada</v>
      </c>
      <c r="E1251" s="188">
        <f>IFERROR(__xludf.DUMMYFUNCTION("""COMPUTED_VALUE"""),43279.0)</f>
        <v>43279</v>
      </c>
      <c r="F1251" s="188">
        <f>IFERROR(__xludf.DUMMYFUNCTION("""COMPUTED_VALUE"""),43342.0)</f>
        <v>43342</v>
      </c>
      <c r="H1251">
        <f>IFERROR(__xludf.DUMMYFUNCTION("""COMPUTED_VALUE"""),109855.0)</f>
        <v>109855</v>
      </c>
      <c r="I1251" t="str">
        <f>IFERROR(__xludf.DUMMYFUNCTION("""COMPUTED_VALUE"""),"08/18")</f>
        <v>08/18</v>
      </c>
      <c r="J1251" s="5">
        <f>IFERROR(__xludf.DUMMYFUNCTION("""COMPUTED_VALUE"""),43376.0)</f>
        <v>43376</v>
      </c>
      <c r="K1251">
        <f>IFERROR(__xludf.DUMMYFUNCTION("""COMPUTED_VALUE"""),63.0)</f>
        <v>63</v>
      </c>
      <c r="L1251">
        <f>IFERROR(__xludf.DUMMYFUNCTION("""COMPUTED_VALUE"""),34.0)</f>
        <v>34</v>
      </c>
      <c r="M1251">
        <f>IFERROR(__xludf.DUMMYFUNCTION("""COMPUTED_VALUE"""),97.0)</f>
        <v>97</v>
      </c>
      <c r="N1251" t="str">
        <f>IFERROR(__xludf.DUMMYFUNCTION("""COMPUTED_VALUE"""),"Model 3 Performance")</f>
        <v>Model 3 Performance</v>
      </c>
      <c r="O1251" t="str">
        <f>IFERROR(__xludf.DUMMYFUNCTION("""COMPUTED_VALUE"""),"Red Multi-Coat")</f>
        <v>Red Multi-Coat</v>
      </c>
      <c r="P1251" t="str">
        <f>IFERROR(__xludf.DUMMYFUNCTION("""COMPUTED_VALUE"""),"20 inch Sport")</f>
        <v>20 inch Sport</v>
      </c>
      <c r="Q1251" t="str">
        <f>IFERROR(__xludf.DUMMYFUNCTION("""COMPUTED_VALUE"""),"White seats")</f>
        <v>White seats</v>
      </c>
      <c r="R1251" t="str">
        <f>IFERROR(__xludf.DUMMYFUNCTION("""COMPUTED_VALUE"""),"Full Self-Driving")</f>
        <v>Full Self-Driving</v>
      </c>
      <c r="X1251" t="str">
        <f>IFERROR(__xludf.DUMMYFUNCTION("""COMPUTED_VALUE"""),"Very Good")</f>
        <v>Very Good</v>
      </c>
      <c r="Y1251" t="str">
        <f>IFERROR(__xludf.DUMMYFUNCTION("""COMPUTED_VALUE"""),"Excellent")</f>
        <v>Excellent</v>
      </c>
      <c r="Z1251" t="str">
        <f>IFERROR(__xludf.DUMMYFUNCTION("""COMPUTED_VALUE"""),"Good")</f>
        <v>Good</v>
      </c>
      <c r="AA1251" t="str">
        <f>IFERROR(__xludf.DUMMYFUNCTION("""COMPUTED_VALUE"""),"Very Good")</f>
        <v>Very Good</v>
      </c>
      <c r="AB1251" t="str">
        <f>IFERROR(__xludf.DUMMYFUNCTION("""COMPUTED_VALUE"""),"Fair")</f>
        <v>Fair</v>
      </c>
      <c r="AC1251">
        <f>IFERROR(__xludf.DUMMYFUNCTION("""COMPUTED_VALUE"""),2.0)</f>
        <v>2</v>
      </c>
      <c r="AD1251">
        <f>IFERROR(__xludf.DUMMYFUNCTION("""COMPUTED_VALUE"""),0.0)</f>
        <v>0</v>
      </c>
      <c r="AE1251">
        <f>IFERROR(__xludf.DUMMYFUNCTION("""COMPUTED_VALUE"""),0.0)</f>
        <v>0</v>
      </c>
      <c r="AH1251" s="189">
        <f>IFERROR(__xludf.DUMMYFUNCTION("""COMPUTED_VALUE"""),43408.53853174769)</f>
        <v>43408.53853</v>
      </c>
    </row>
    <row r="1252">
      <c r="A1252" t="str">
        <f>IFERROR(__xludf.DUMMYFUNCTION("""COMPUTED_VALUE"""),"Big Earl")</f>
        <v>Big Earl</v>
      </c>
      <c r="B1252" t="str">
        <f>IFERROR(__xludf.DUMMYFUNCTION("""COMPUTED_VALUE"""),"Springfield")</f>
        <v>Springfield</v>
      </c>
      <c r="C1252" t="str">
        <f>IFERROR(__xludf.DUMMYFUNCTION("""COMPUTED_VALUE"""),"VA")</f>
        <v>VA</v>
      </c>
      <c r="D1252" t="str">
        <f>IFERROR(__xludf.DUMMYFUNCTION("""COMPUTED_VALUE"""),"USA")</f>
        <v>USA</v>
      </c>
      <c r="E1252" s="188">
        <f>IFERROR(__xludf.DUMMYFUNCTION("""COMPUTED_VALUE"""),43278.0)</f>
        <v>43278</v>
      </c>
      <c r="F1252" s="188">
        <f>IFERROR(__xludf.DUMMYFUNCTION("""COMPUTED_VALUE"""),43326.0)</f>
        <v>43326</v>
      </c>
      <c r="H1252">
        <f>IFERROR(__xludf.DUMMYFUNCTION("""COMPUTED_VALUE"""),64155.0)</f>
        <v>64155</v>
      </c>
      <c r="I1252" t="str">
        <f>IFERROR(__xludf.DUMMYFUNCTION("""COMPUTED_VALUE"""),"08/18")</f>
        <v>08/18</v>
      </c>
      <c r="J1252" s="5">
        <f>IFERROR(__xludf.DUMMYFUNCTION("""COMPUTED_VALUE"""),43340.0)</f>
        <v>43340</v>
      </c>
      <c r="K1252">
        <f>IFERROR(__xludf.DUMMYFUNCTION("""COMPUTED_VALUE"""),48.0)</f>
        <v>48</v>
      </c>
      <c r="L1252">
        <f>IFERROR(__xludf.DUMMYFUNCTION("""COMPUTED_VALUE"""),14.0)</f>
        <v>14</v>
      </c>
      <c r="M1252">
        <f>IFERROR(__xludf.DUMMYFUNCTION("""COMPUTED_VALUE"""),62.0)</f>
        <v>62</v>
      </c>
      <c r="N1252" t="str">
        <f>IFERROR(__xludf.DUMMYFUNCTION("""COMPUTED_VALUE"""),"Model 3 LR AWD")</f>
        <v>Model 3 LR AWD</v>
      </c>
      <c r="O1252" t="str">
        <f>IFERROR(__xludf.DUMMYFUNCTION("""COMPUTED_VALUE"""),"Red Multi-Coat")</f>
        <v>Red Multi-Coat</v>
      </c>
      <c r="P1252" t="str">
        <f>IFERROR(__xludf.DUMMYFUNCTION("""COMPUTED_VALUE"""),"18 inch Aero")</f>
        <v>18 inch Aero</v>
      </c>
      <c r="Q1252" t="str">
        <f>IFERROR(__xludf.DUMMYFUNCTION("""COMPUTED_VALUE"""),"Black seats")</f>
        <v>Black seats</v>
      </c>
      <c r="R1252" t="str">
        <f>IFERROR(__xludf.DUMMYFUNCTION("""COMPUTED_VALUE"""),"Enhanced Autopilot")</f>
        <v>Enhanced Autopilot</v>
      </c>
      <c r="X1252" t="str">
        <f>IFERROR(__xludf.DUMMYFUNCTION("""COMPUTED_VALUE"""),"Excellent")</f>
        <v>Excellent</v>
      </c>
      <c r="Y1252" t="str">
        <f>IFERROR(__xludf.DUMMYFUNCTION("""COMPUTED_VALUE"""),"Excellent")</f>
        <v>Excellent</v>
      </c>
      <c r="Z1252" t="str">
        <f>IFERROR(__xludf.DUMMYFUNCTION("""COMPUTED_VALUE"""),"Very Good")</f>
        <v>Very Good</v>
      </c>
      <c r="AA1252" t="str">
        <f>IFERROR(__xludf.DUMMYFUNCTION("""COMPUTED_VALUE"""),"Excellent")</f>
        <v>Excellent</v>
      </c>
      <c r="AB1252" t="str">
        <f>IFERROR(__xludf.DUMMYFUNCTION("""COMPUTED_VALUE"""),"Excellent")</f>
        <v>Excellent</v>
      </c>
      <c r="AC1252">
        <f>IFERROR(__xludf.DUMMYFUNCTION("""COMPUTED_VALUE"""),1.0)</f>
        <v>1</v>
      </c>
      <c r="AD1252">
        <f>IFERROR(__xludf.DUMMYFUNCTION("""COMPUTED_VALUE"""),0.0)</f>
        <v>0</v>
      </c>
      <c r="AE1252">
        <f>IFERROR(__xludf.DUMMYFUNCTION("""COMPUTED_VALUE"""),0.0)</f>
        <v>0</v>
      </c>
      <c r="AG1252" t="str">
        <f>IFERROR(__xludf.DUMMYFUNCTION("""COMPUTED_VALUE"""),"Best car we've ever owned.")</f>
        <v>Best car we've ever owned.</v>
      </c>
      <c r="AH1252" s="189">
        <f>IFERROR(__xludf.DUMMYFUNCTION("""COMPUTED_VALUE"""),43408.55540377315)</f>
        <v>43408.5554</v>
      </c>
    </row>
    <row r="1253">
      <c r="A1253" t="str">
        <f>IFERROR(__xludf.DUMMYFUNCTION("""COMPUTED_VALUE"""),"dragonsurge")</f>
        <v>dragonsurge</v>
      </c>
      <c r="C1253" t="str">
        <f>IFERROR(__xludf.DUMMYFUNCTION("""COMPUTED_VALUE"""),"NH")</f>
        <v>NH</v>
      </c>
      <c r="D1253" t="str">
        <f>IFERROR(__xludf.DUMMYFUNCTION("""COMPUTED_VALUE"""),"USA")</f>
        <v>USA</v>
      </c>
      <c r="E1253" s="188">
        <f>IFERROR(__xludf.DUMMYFUNCTION("""COMPUTED_VALUE"""),43293.0)</f>
        <v>43293</v>
      </c>
      <c r="F1253" s="188">
        <f>IFERROR(__xludf.DUMMYFUNCTION("""COMPUTED_VALUE"""),43395.0)</f>
        <v>43395</v>
      </c>
      <c r="H1253">
        <f>IFERROR(__xludf.DUMMYFUNCTION("""COMPUTED_VALUE"""),111455.0)</f>
        <v>111455</v>
      </c>
      <c r="J1253" s="5">
        <f>IFERROR(__xludf.DUMMYFUNCTION("""COMPUTED_VALUE"""),43405.0)</f>
        <v>43405</v>
      </c>
      <c r="K1253">
        <f>IFERROR(__xludf.DUMMYFUNCTION("""COMPUTED_VALUE"""),102.0)</f>
        <v>102</v>
      </c>
      <c r="L1253">
        <f>IFERROR(__xludf.DUMMYFUNCTION("""COMPUTED_VALUE"""),10.0)</f>
        <v>10</v>
      </c>
      <c r="M1253">
        <f>IFERROR(__xludf.DUMMYFUNCTION("""COMPUTED_VALUE"""),112.0)</f>
        <v>112</v>
      </c>
      <c r="N1253" t="str">
        <f>IFERROR(__xludf.DUMMYFUNCTION("""COMPUTED_VALUE"""),"Model 3 LR AWD")</f>
        <v>Model 3 LR AWD</v>
      </c>
      <c r="O1253" t="str">
        <f>IFERROR(__xludf.DUMMYFUNCTION("""COMPUTED_VALUE"""),"Red Multi-Coat")</f>
        <v>Red Multi-Coat</v>
      </c>
      <c r="P1253" t="str">
        <f>IFERROR(__xludf.DUMMYFUNCTION("""COMPUTED_VALUE"""),"19 inch Sport")</f>
        <v>19 inch Sport</v>
      </c>
      <c r="Q1253" t="str">
        <f>IFERROR(__xludf.DUMMYFUNCTION("""COMPUTED_VALUE"""),"Black seats")</f>
        <v>Black seats</v>
      </c>
      <c r="R1253" t="str">
        <f>IFERROR(__xludf.DUMMYFUNCTION("""COMPUTED_VALUE"""),"None")</f>
        <v>None</v>
      </c>
      <c r="X1253" t="str">
        <f>IFERROR(__xludf.DUMMYFUNCTION("""COMPUTED_VALUE"""),"Excellent")</f>
        <v>Excellent</v>
      </c>
      <c r="Y1253" t="str">
        <f>IFERROR(__xludf.DUMMYFUNCTION("""COMPUTED_VALUE"""),"Excellent")</f>
        <v>Excellent</v>
      </c>
      <c r="Z1253" t="str">
        <f>IFERROR(__xludf.DUMMYFUNCTION("""COMPUTED_VALUE"""),"Excellent")</f>
        <v>Excellent</v>
      </c>
      <c r="AA1253" t="str">
        <f>IFERROR(__xludf.DUMMYFUNCTION("""COMPUTED_VALUE"""),"Poor")</f>
        <v>Poor</v>
      </c>
      <c r="AB1253" t="str">
        <f>IFERROR(__xludf.DUMMYFUNCTION("""COMPUTED_VALUE"""),"Fair")</f>
        <v>Fair</v>
      </c>
      <c r="AH1253" s="189">
        <f>IFERROR(__xludf.DUMMYFUNCTION("""COMPUTED_VALUE"""),43408.67720689815)</f>
        <v>43408.67721</v>
      </c>
    </row>
    <row r="1254">
      <c r="A1254" t="str">
        <f>IFERROR(__xludf.DUMMYFUNCTION("""COMPUTED_VALUE"""),"Spudford")</f>
        <v>Spudford</v>
      </c>
      <c r="B1254" t="str">
        <f>IFERROR(__xludf.DUMMYFUNCTION("""COMPUTED_VALUE"""),"Pensacola")</f>
        <v>Pensacola</v>
      </c>
      <c r="C1254" t="str">
        <f>IFERROR(__xludf.DUMMYFUNCTION("""COMPUTED_VALUE"""),"FL")</f>
        <v>FL</v>
      </c>
      <c r="D1254" t="str">
        <f>IFERROR(__xludf.DUMMYFUNCTION("""COMPUTED_VALUE"""),"USA")</f>
        <v>USA</v>
      </c>
      <c r="E1254" s="188">
        <f>IFERROR(__xludf.DUMMYFUNCTION("""COMPUTED_VALUE"""),43279.0)</f>
        <v>43279</v>
      </c>
      <c r="F1254" s="188">
        <f>IFERROR(__xludf.DUMMYFUNCTION("""COMPUTED_VALUE"""),43388.0)</f>
        <v>43388</v>
      </c>
      <c r="H1254">
        <f>IFERROR(__xludf.DUMMYFUNCTION("""COMPUTED_VALUE"""),104355.0)</f>
        <v>104355</v>
      </c>
      <c r="J1254" s="5">
        <f>IFERROR(__xludf.DUMMYFUNCTION("""COMPUTED_VALUE"""),43408.0)</f>
        <v>43408</v>
      </c>
      <c r="K1254">
        <f>IFERROR(__xludf.DUMMYFUNCTION("""COMPUTED_VALUE"""),109.0)</f>
        <v>109</v>
      </c>
      <c r="L1254">
        <f>IFERROR(__xludf.DUMMYFUNCTION("""COMPUTED_VALUE"""),20.0)</f>
        <v>20</v>
      </c>
      <c r="M1254">
        <f>IFERROR(__xludf.DUMMYFUNCTION("""COMPUTED_VALUE"""),129.0)</f>
        <v>129</v>
      </c>
      <c r="N1254" t="str">
        <f>IFERROR(__xludf.DUMMYFUNCTION("""COMPUTED_VALUE"""),"Model 3 LR AWD")</f>
        <v>Model 3 LR AWD</v>
      </c>
      <c r="O1254" t="str">
        <f>IFERROR(__xludf.DUMMYFUNCTION("""COMPUTED_VALUE"""),"Silver Metallic")</f>
        <v>Silver Metallic</v>
      </c>
      <c r="P1254" t="str">
        <f>IFERROR(__xludf.DUMMYFUNCTION("""COMPUTED_VALUE"""),"18 inch Aero")</f>
        <v>18 inch Aero</v>
      </c>
      <c r="Q1254" t="str">
        <f>IFERROR(__xludf.DUMMYFUNCTION("""COMPUTED_VALUE"""),"Black seats")</f>
        <v>Black seats</v>
      </c>
      <c r="R1254" t="str">
        <f>IFERROR(__xludf.DUMMYFUNCTION("""COMPUTED_VALUE"""),"Enhanced Autopilot")</f>
        <v>Enhanced Autopilot</v>
      </c>
      <c r="X1254" t="str">
        <f>IFERROR(__xludf.DUMMYFUNCTION("""COMPUTED_VALUE"""),"Excellent")</f>
        <v>Excellent</v>
      </c>
      <c r="Y1254" t="str">
        <f>IFERROR(__xludf.DUMMYFUNCTION("""COMPUTED_VALUE"""),"Excellent")</f>
        <v>Excellent</v>
      </c>
      <c r="Z1254" t="str">
        <f>IFERROR(__xludf.DUMMYFUNCTION("""COMPUTED_VALUE"""),"Excellent")</f>
        <v>Excellent</v>
      </c>
      <c r="AA1254" t="str">
        <f>IFERROR(__xludf.DUMMYFUNCTION("""COMPUTED_VALUE"""),"Poor")</f>
        <v>Poor</v>
      </c>
      <c r="AB1254" t="str">
        <f>IFERROR(__xludf.DUMMYFUNCTION("""COMPUTED_VALUE"""),"Very Good")</f>
        <v>Very Good</v>
      </c>
      <c r="AH1254" s="189">
        <f>IFERROR(__xludf.DUMMYFUNCTION("""COMPUTED_VALUE"""),43408.75287454861)</f>
        <v>43408.75287</v>
      </c>
    </row>
    <row r="1255">
      <c r="A1255" t="str">
        <f>IFERROR(__xludf.DUMMYFUNCTION("""COMPUTED_VALUE"""),"pangolina")</f>
        <v>pangolina</v>
      </c>
      <c r="C1255" t="str">
        <f>IFERROR(__xludf.DUMMYFUNCTION("""COMPUTED_VALUE"""),"TX")</f>
        <v>TX</v>
      </c>
      <c r="D1255" t="str">
        <f>IFERROR(__xludf.DUMMYFUNCTION("""COMPUTED_VALUE"""),"USA")</f>
        <v>USA</v>
      </c>
      <c r="E1255" s="188">
        <f>IFERROR(__xludf.DUMMYFUNCTION("""COMPUTED_VALUE"""),43289.0)</f>
        <v>43289</v>
      </c>
      <c r="F1255" s="188">
        <f>IFERROR(__xludf.DUMMYFUNCTION("""COMPUTED_VALUE"""),43365.0)</f>
        <v>43365</v>
      </c>
      <c r="H1255">
        <f>IFERROR(__xludf.DUMMYFUNCTION("""COMPUTED_VALUE"""),97755.0)</f>
        <v>97755</v>
      </c>
      <c r="I1255" t="str">
        <f>IFERROR(__xludf.DUMMYFUNCTION("""COMPUTED_VALUE"""),"09/18")</f>
        <v>09/18</v>
      </c>
      <c r="J1255" s="5">
        <f>IFERROR(__xludf.DUMMYFUNCTION("""COMPUTED_VALUE"""),43372.0)</f>
        <v>43372</v>
      </c>
      <c r="K1255">
        <f>IFERROR(__xludf.DUMMYFUNCTION("""COMPUTED_VALUE"""),76.0)</f>
        <v>76</v>
      </c>
      <c r="L1255">
        <f>IFERROR(__xludf.DUMMYFUNCTION("""COMPUTED_VALUE"""),7.0)</f>
        <v>7</v>
      </c>
      <c r="M1255">
        <f>IFERROR(__xludf.DUMMYFUNCTION("""COMPUTED_VALUE"""),83.0)</f>
        <v>83</v>
      </c>
      <c r="N1255" t="str">
        <f>IFERROR(__xludf.DUMMYFUNCTION("""COMPUTED_VALUE"""),"Model 3 LR AWD")</f>
        <v>Model 3 LR AWD</v>
      </c>
      <c r="O1255" t="str">
        <f>IFERROR(__xludf.DUMMYFUNCTION("""COMPUTED_VALUE"""),"Deep Blue Metallic")</f>
        <v>Deep Blue Metallic</v>
      </c>
      <c r="P1255" t="str">
        <f>IFERROR(__xludf.DUMMYFUNCTION("""COMPUTED_VALUE"""),"19 inch Sport")</f>
        <v>19 inch Sport</v>
      </c>
      <c r="Q1255" t="str">
        <f>IFERROR(__xludf.DUMMYFUNCTION("""COMPUTED_VALUE"""),"White seats")</f>
        <v>White seats</v>
      </c>
      <c r="R1255" t="str">
        <f>IFERROR(__xludf.DUMMYFUNCTION("""COMPUTED_VALUE"""),"None")</f>
        <v>None</v>
      </c>
      <c r="X1255" t="str">
        <f>IFERROR(__xludf.DUMMYFUNCTION("""COMPUTED_VALUE"""),"Excellent")</f>
        <v>Excellent</v>
      </c>
      <c r="Y1255" t="str">
        <f>IFERROR(__xludf.DUMMYFUNCTION("""COMPUTED_VALUE"""),"Excellent")</f>
        <v>Excellent</v>
      </c>
      <c r="Z1255" t="str">
        <f>IFERROR(__xludf.DUMMYFUNCTION("""COMPUTED_VALUE"""),"Very Good")</f>
        <v>Very Good</v>
      </c>
      <c r="AA1255" t="str">
        <f>IFERROR(__xludf.DUMMYFUNCTION("""COMPUTED_VALUE"""),"Very Good")</f>
        <v>Very Good</v>
      </c>
      <c r="AB1255" t="str">
        <f>IFERROR(__xludf.DUMMYFUNCTION("""COMPUTED_VALUE"""),"Very Good")</f>
        <v>Very Good</v>
      </c>
      <c r="AD1255">
        <f>IFERROR(__xludf.DUMMYFUNCTION("""COMPUTED_VALUE"""),1.0)</f>
        <v>1</v>
      </c>
      <c r="AH1255" s="189">
        <f>IFERROR(__xludf.DUMMYFUNCTION("""COMPUTED_VALUE"""),43408.90912597222)</f>
        <v>43408.90913</v>
      </c>
    </row>
    <row r="1256">
      <c r="A1256" t="str">
        <f>IFERROR(__xludf.DUMMYFUNCTION("""COMPUTED_VALUE"""),"D7G8D")</f>
        <v>D7G8D</v>
      </c>
      <c r="B1256" t="str">
        <f>IFERROR(__xludf.DUMMYFUNCTION("""COMPUTED_VALUE"""),"Laval")</f>
        <v>Laval</v>
      </c>
      <c r="C1256" t="str">
        <f>IFERROR(__xludf.DUMMYFUNCTION("""COMPUTED_VALUE"""),"QC")</f>
        <v>QC</v>
      </c>
      <c r="D1256" t="str">
        <f>IFERROR(__xludf.DUMMYFUNCTION("""COMPUTED_VALUE"""),"Canada")</f>
        <v>Canada</v>
      </c>
      <c r="E1256" s="188">
        <f>IFERROR(__xludf.DUMMYFUNCTION("""COMPUTED_VALUE"""),43278.0)</f>
        <v>43278</v>
      </c>
      <c r="H1256" s="4">
        <f>IFERROR(__xludf.DUMMYFUNCTION("""COMPUTED_VALUE"""),107703.0)</f>
        <v>107703</v>
      </c>
      <c r="I1256" t="str">
        <f>IFERROR(__xludf.DUMMYFUNCTION("""COMPUTED_VALUE"""),"10/18")</f>
        <v>10/18</v>
      </c>
      <c r="J1256" s="5">
        <f>IFERROR(__xludf.DUMMYFUNCTION("""COMPUTED_VALUE"""),43407.0)</f>
        <v>43407</v>
      </c>
      <c r="M1256">
        <f>IFERROR(__xludf.DUMMYFUNCTION("""COMPUTED_VALUE"""),129.0)</f>
        <v>129</v>
      </c>
      <c r="N1256" t="str">
        <f>IFERROR(__xludf.DUMMYFUNCTION("""COMPUTED_VALUE"""),"Model 3 LR AWD")</f>
        <v>Model 3 LR AWD</v>
      </c>
      <c r="O1256" t="str">
        <f>IFERROR(__xludf.DUMMYFUNCTION("""COMPUTED_VALUE"""),"Deep Blue Metallic")</f>
        <v>Deep Blue Metallic</v>
      </c>
      <c r="P1256" t="str">
        <f>IFERROR(__xludf.DUMMYFUNCTION("""COMPUTED_VALUE"""),"18 inch Aero")</f>
        <v>18 inch Aero</v>
      </c>
      <c r="Q1256" t="str">
        <f>IFERROR(__xludf.DUMMYFUNCTION("""COMPUTED_VALUE"""),"Black seats")</f>
        <v>Black seats</v>
      </c>
      <c r="R1256" t="str">
        <f>IFERROR(__xludf.DUMMYFUNCTION("""COMPUTED_VALUE"""),"None")</f>
        <v>None</v>
      </c>
      <c r="X1256" t="str">
        <f>IFERROR(__xludf.DUMMYFUNCTION("""COMPUTED_VALUE"""),"Excellent")</f>
        <v>Excellent</v>
      </c>
      <c r="Y1256" t="str">
        <f>IFERROR(__xludf.DUMMYFUNCTION("""COMPUTED_VALUE"""),"Excellent")</f>
        <v>Excellent</v>
      </c>
      <c r="Z1256" t="str">
        <f>IFERROR(__xludf.DUMMYFUNCTION("""COMPUTED_VALUE"""),"Good")</f>
        <v>Good</v>
      </c>
      <c r="AA1256" t="str">
        <f>IFERROR(__xludf.DUMMYFUNCTION("""COMPUTED_VALUE"""),"Poor")</f>
        <v>Poor</v>
      </c>
      <c r="AB1256" t="str">
        <f>IFERROR(__xludf.DUMMYFUNCTION("""COMPUTED_VALUE"""),"Good")</f>
        <v>Good</v>
      </c>
      <c r="AG1256" t="str">
        <f>IFERROR(__xludf.DUMMYFUNCTION("""COMPUTED_VALUE"""),"Arrived 12 days ahead of schedule")</f>
        <v>Arrived 12 days ahead of schedule</v>
      </c>
      <c r="AH1256" s="189">
        <f>IFERROR(__xludf.DUMMYFUNCTION("""COMPUTED_VALUE"""),43409.155634166666)</f>
        <v>43409.15563</v>
      </c>
    </row>
    <row r="1257">
      <c r="A1257" t="str">
        <f>IFERROR(__xludf.DUMMYFUNCTION("""COMPUTED_VALUE"""),"AmbiguousTwo")</f>
        <v>AmbiguousTwo</v>
      </c>
      <c r="B1257" t="str">
        <f>IFERROR(__xludf.DUMMYFUNCTION("""COMPUTED_VALUE"""),"Herndon")</f>
        <v>Herndon</v>
      </c>
      <c r="C1257" t="str">
        <f>IFERROR(__xludf.DUMMYFUNCTION("""COMPUTED_VALUE"""),"VA")</f>
        <v>VA</v>
      </c>
      <c r="D1257" t="str">
        <f>IFERROR(__xludf.DUMMYFUNCTION("""COMPUTED_VALUE"""),"USA")</f>
        <v>USA</v>
      </c>
      <c r="E1257" s="188">
        <f>IFERROR(__xludf.DUMMYFUNCTION("""COMPUTED_VALUE"""),43280.0)</f>
        <v>43280</v>
      </c>
      <c r="F1257" s="188">
        <f>IFERROR(__xludf.DUMMYFUNCTION("""COMPUTED_VALUE"""),43381.0)</f>
        <v>43381</v>
      </c>
      <c r="H1257">
        <f>IFERROR(__xludf.DUMMYFUNCTION("""COMPUTED_VALUE"""),104155.0)</f>
        <v>104155</v>
      </c>
      <c r="I1257" t="str">
        <f>IFERROR(__xludf.DUMMYFUNCTION("""COMPUTED_VALUE"""),"10/18")</f>
        <v>10/18</v>
      </c>
      <c r="J1257" s="5">
        <f>IFERROR(__xludf.DUMMYFUNCTION("""COMPUTED_VALUE"""),43406.0)</f>
        <v>43406</v>
      </c>
      <c r="K1257">
        <f>IFERROR(__xludf.DUMMYFUNCTION("""COMPUTED_VALUE"""),101.0)</f>
        <v>101</v>
      </c>
      <c r="L1257">
        <f>IFERROR(__xludf.DUMMYFUNCTION("""COMPUTED_VALUE"""),25.0)</f>
        <v>25</v>
      </c>
      <c r="M1257">
        <f>IFERROR(__xludf.DUMMYFUNCTION("""COMPUTED_VALUE"""),126.0)</f>
        <v>126</v>
      </c>
      <c r="N1257" t="str">
        <f>IFERROR(__xludf.DUMMYFUNCTION("""COMPUTED_VALUE"""),"Model 3 LR AWD")</f>
        <v>Model 3 LR AWD</v>
      </c>
      <c r="O1257" t="str">
        <f>IFERROR(__xludf.DUMMYFUNCTION("""COMPUTED_VALUE"""),"Midnight Silver Metallic")</f>
        <v>Midnight Silver Metallic</v>
      </c>
      <c r="P1257" t="str">
        <f>IFERROR(__xludf.DUMMYFUNCTION("""COMPUTED_VALUE"""),"18 inch Aero")</f>
        <v>18 inch Aero</v>
      </c>
      <c r="Q1257" t="str">
        <f>IFERROR(__xludf.DUMMYFUNCTION("""COMPUTED_VALUE"""),"Black seats")</f>
        <v>Black seats</v>
      </c>
      <c r="R1257" t="str">
        <f>IFERROR(__xludf.DUMMYFUNCTION("""COMPUTED_VALUE"""),"Full Self-Driving")</f>
        <v>Full Self-Driving</v>
      </c>
      <c r="X1257" t="str">
        <f>IFERROR(__xludf.DUMMYFUNCTION("""COMPUTED_VALUE"""),"Very Good")</f>
        <v>Very Good</v>
      </c>
      <c r="Y1257" t="str">
        <f>IFERROR(__xludf.DUMMYFUNCTION("""COMPUTED_VALUE"""),"Excellent")</f>
        <v>Excellent</v>
      </c>
      <c r="Z1257" t="str">
        <f>IFERROR(__xludf.DUMMYFUNCTION("""COMPUTED_VALUE"""),"Excellent")</f>
        <v>Excellent</v>
      </c>
      <c r="AA1257" t="str">
        <f>IFERROR(__xludf.DUMMYFUNCTION("""COMPUTED_VALUE"""),"Poor")</f>
        <v>Poor</v>
      </c>
      <c r="AB1257" t="str">
        <f>IFERROR(__xludf.DUMMYFUNCTION("""COMPUTED_VALUE"""),"Excellent")</f>
        <v>Excellent</v>
      </c>
      <c r="AC1257">
        <f>IFERROR(__xludf.DUMMYFUNCTION("""COMPUTED_VALUE"""),1.0)</f>
        <v>1</v>
      </c>
      <c r="AD1257">
        <f>IFERROR(__xludf.DUMMYFUNCTION("""COMPUTED_VALUE"""),0.0)</f>
        <v>0</v>
      </c>
      <c r="AE1257">
        <f>IFERROR(__xludf.DUMMYFUNCTION("""COMPUTED_VALUE"""),0.0)</f>
        <v>0</v>
      </c>
      <c r="AH1257" s="189">
        <f>IFERROR(__xludf.DUMMYFUNCTION("""COMPUTED_VALUE"""),43409.31012577546)</f>
        <v>43409.31013</v>
      </c>
    </row>
    <row r="1258">
      <c r="A1258" t="str">
        <f>IFERROR(__xludf.DUMMYFUNCTION("""COMPUTED_VALUE"""),"metalcoat")</f>
        <v>metalcoat</v>
      </c>
      <c r="B1258" t="str">
        <f>IFERROR(__xludf.DUMMYFUNCTION("""COMPUTED_VALUE"""),"Northern NY")</f>
        <v>Northern NY</v>
      </c>
      <c r="C1258" t="str">
        <f>IFERROR(__xludf.DUMMYFUNCTION("""COMPUTED_VALUE"""),"NY")</f>
        <v>NY</v>
      </c>
      <c r="D1258" t="str">
        <f>IFERROR(__xludf.DUMMYFUNCTION("""COMPUTED_VALUE"""),"USA")</f>
        <v>USA</v>
      </c>
      <c r="E1258" s="188">
        <f>IFERROR(__xludf.DUMMYFUNCTION("""COMPUTED_VALUE"""),43325.0)</f>
        <v>43325</v>
      </c>
      <c r="F1258" s="188">
        <f>IFERROR(__xludf.DUMMYFUNCTION("""COMPUTED_VALUE"""),43395.0)</f>
        <v>43395</v>
      </c>
      <c r="H1258">
        <f>IFERROR(__xludf.DUMMYFUNCTION("""COMPUTED_VALUE"""),72542.0)</f>
        <v>72542</v>
      </c>
      <c r="J1258" s="5">
        <f>IFERROR(__xludf.DUMMYFUNCTION("""COMPUTED_VALUE"""),43400.0)</f>
        <v>43400</v>
      </c>
      <c r="K1258">
        <f>IFERROR(__xludf.DUMMYFUNCTION("""COMPUTED_VALUE"""),70.0)</f>
        <v>70</v>
      </c>
      <c r="L1258">
        <f>IFERROR(__xludf.DUMMYFUNCTION("""COMPUTED_VALUE"""),5.0)</f>
        <v>5</v>
      </c>
      <c r="M1258">
        <f>IFERROR(__xludf.DUMMYFUNCTION("""COMPUTED_VALUE"""),75.0)</f>
        <v>75</v>
      </c>
      <c r="N1258" t="str">
        <f>IFERROR(__xludf.DUMMYFUNCTION("""COMPUTED_VALUE"""),"Model 3 Performance")</f>
        <v>Model 3 Performance</v>
      </c>
      <c r="O1258" t="str">
        <f>IFERROR(__xludf.DUMMYFUNCTION("""COMPUTED_VALUE"""),"Solid Black")</f>
        <v>Solid Black</v>
      </c>
      <c r="P1258" t="str">
        <f>IFERROR(__xludf.DUMMYFUNCTION("""COMPUTED_VALUE"""),"20 inch Sport")</f>
        <v>20 inch Sport</v>
      </c>
      <c r="Q1258" t="str">
        <f>IFERROR(__xludf.DUMMYFUNCTION("""COMPUTED_VALUE"""),"Black seats")</f>
        <v>Black seats</v>
      </c>
      <c r="R1258" t="str">
        <f>IFERROR(__xludf.DUMMYFUNCTION("""COMPUTED_VALUE"""),"Full Self-Driving")</f>
        <v>Full Self-Driving</v>
      </c>
      <c r="X1258" t="str">
        <f>IFERROR(__xludf.DUMMYFUNCTION("""COMPUTED_VALUE"""),"Excellent")</f>
        <v>Excellent</v>
      </c>
      <c r="Y1258" t="str">
        <f>IFERROR(__xludf.DUMMYFUNCTION("""COMPUTED_VALUE"""),"Excellent")</f>
        <v>Excellent</v>
      </c>
      <c r="Z1258" t="str">
        <f>IFERROR(__xludf.DUMMYFUNCTION("""COMPUTED_VALUE"""),"Very Good")</f>
        <v>Very Good</v>
      </c>
      <c r="AA1258" t="str">
        <f>IFERROR(__xludf.DUMMYFUNCTION("""COMPUTED_VALUE"""),"Fair")</f>
        <v>Fair</v>
      </c>
      <c r="AB1258" t="str">
        <f>IFERROR(__xludf.DUMMYFUNCTION("""COMPUTED_VALUE"""),"Fair")</f>
        <v>Fair</v>
      </c>
      <c r="AC1258">
        <f>IFERROR(__xludf.DUMMYFUNCTION("""COMPUTED_VALUE"""),0.0)</f>
        <v>0</v>
      </c>
      <c r="AD1258">
        <f>IFERROR(__xludf.DUMMYFUNCTION("""COMPUTED_VALUE"""),0.0)</f>
        <v>0</v>
      </c>
      <c r="AE1258">
        <f>IFERROR(__xludf.DUMMYFUNCTION("""COMPUTED_VALUE"""),0.0)</f>
        <v>0</v>
      </c>
      <c r="AH1258" s="189">
        <f>IFERROR(__xludf.DUMMYFUNCTION("""COMPUTED_VALUE"""),43409.31083153935)</f>
        <v>43409.31083</v>
      </c>
    </row>
    <row r="1259">
      <c r="A1259" t="str">
        <f>IFERROR(__xludf.DUMMYFUNCTION("""COMPUTED_VALUE"""),"grues")</f>
        <v>grues</v>
      </c>
      <c r="B1259" t="str">
        <f>IFERROR(__xludf.DUMMYFUNCTION("""COMPUTED_VALUE"""),"Melbourne")</f>
        <v>Melbourne</v>
      </c>
      <c r="C1259" t="str">
        <f>IFERROR(__xludf.DUMMYFUNCTION("""COMPUTED_VALUE"""),"FL")</f>
        <v>FL</v>
      </c>
      <c r="D1259" t="str">
        <f>IFERROR(__xludf.DUMMYFUNCTION("""COMPUTED_VALUE"""),"USA")</f>
        <v>USA</v>
      </c>
      <c r="E1259" s="188">
        <f>IFERROR(__xludf.DUMMYFUNCTION("""COMPUTED_VALUE"""),43281.0)</f>
        <v>43281</v>
      </c>
      <c r="F1259" s="188">
        <f>IFERROR(__xludf.DUMMYFUNCTION("""COMPUTED_VALUE"""),43390.0)</f>
        <v>43390</v>
      </c>
      <c r="H1259">
        <f>IFERROR(__xludf.DUMMYFUNCTION("""COMPUTED_VALUE"""),93355.0)</f>
        <v>93355</v>
      </c>
      <c r="I1259" t="str">
        <f>IFERROR(__xludf.DUMMYFUNCTION("""COMPUTED_VALUE"""),"10/18")</f>
        <v>10/18</v>
      </c>
      <c r="J1259" s="5">
        <f>IFERROR(__xludf.DUMMYFUNCTION("""COMPUTED_VALUE"""),43407.0)</f>
        <v>43407</v>
      </c>
      <c r="K1259">
        <f>IFERROR(__xludf.DUMMYFUNCTION("""COMPUTED_VALUE"""),109.0)</f>
        <v>109</v>
      </c>
      <c r="L1259">
        <f>IFERROR(__xludf.DUMMYFUNCTION("""COMPUTED_VALUE"""),17.0)</f>
        <v>17</v>
      </c>
      <c r="M1259">
        <f>IFERROR(__xludf.DUMMYFUNCTION("""COMPUTED_VALUE"""),126.0)</f>
        <v>126</v>
      </c>
      <c r="N1259" t="str">
        <f>IFERROR(__xludf.DUMMYFUNCTION("""COMPUTED_VALUE"""),"Model 3 LR AWD")</f>
        <v>Model 3 LR AWD</v>
      </c>
      <c r="O1259" t="str">
        <f>IFERROR(__xludf.DUMMYFUNCTION("""COMPUTED_VALUE"""),"Silver Metallic")</f>
        <v>Silver Metallic</v>
      </c>
      <c r="P1259" t="str">
        <f>IFERROR(__xludf.DUMMYFUNCTION("""COMPUTED_VALUE"""),"18 inch Aero")</f>
        <v>18 inch Aero</v>
      </c>
      <c r="Q1259" t="str">
        <f>IFERROR(__xludf.DUMMYFUNCTION("""COMPUTED_VALUE"""),"Black seats")</f>
        <v>Black seats</v>
      </c>
      <c r="R1259" t="str">
        <f>IFERROR(__xludf.DUMMYFUNCTION("""COMPUTED_VALUE"""),"Enhanced Autopilot")</f>
        <v>Enhanced Autopilot</v>
      </c>
      <c r="X1259" t="str">
        <f>IFERROR(__xludf.DUMMYFUNCTION("""COMPUTED_VALUE"""),"Excellent")</f>
        <v>Excellent</v>
      </c>
      <c r="Y1259" t="str">
        <f>IFERROR(__xludf.DUMMYFUNCTION("""COMPUTED_VALUE"""),"Excellent")</f>
        <v>Excellent</v>
      </c>
      <c r="Z1259" t="str">
        <f>IFERROR(__xludf.DUMMYFUNCTION("""COMPUTED_VALUE"""),"Excellent")</f>
        <v>Excellent</v>
      </c>
      <c r="AA1259" t="str">
        <f>IFERROR(__xludf.DUMMYFUNCTION("""COMPUTED_VALUE"""),"Excellent")</f>
        <v>Excellent</v>
      </c>
      <c r="AB1259" t="str">
        <f>IFERROR(__xludf.DUMMYFUNCTION("""COMPUTED_VALUE"""),"Excellent")</f>
        <v>Excellent</v>
      </c>
      <c r="AH1259" s="189">
        <f>IFERROR(__xludf.DUMMYFUNCTION("""COMPUTED_VALUE"""),43409.37759260417)</f>
        <v>43409.37759</v>
      </c>
    </row>
    <row r="1260">
      <c r="A1260" t="str">
        <f>IFERROR(__xludf.DUMMYFUNCTION("""COMPUTED_VALUE"""),"hoodling")</f>
        <v>hoodling</v>
      </c>
      <c r="B1260" t="str">
        <f>IFERROR(__xludf.DUMMYFUNCTION("""COMPUTED_VALUE"""),"Portland")</f>
        <v>Portland</v>
      </c>
      <c r="C1260" t="str">
        <f>IFERROR(__xludf.DUMMYFUNCTION("""COMPUTED_VALUE"""),"OR")</f>
        <v>OR</v>
      </c>
      <c r="D1260" t="str">
        <f>IFERROR(__xludf.DUMMYFUNCTION("""COMPUTED_VALUE"""),"USA")</f>
        <v>USA</v>
      </c>
      <c r="E1260" s="188">
        <f>IFERROR(__xludf.DUMMYFUNCTION("""COMPUTED_VALUE"""),43392.0)</f>
        <v>43392</v>
      </c>
      <c r="F1260" s="188">
        <f>IFERROR(__xludf.DUMMYFUNCTION("""COMPUTED_VALUE"""),43405.0)</f>
        <v>43405</v>
      </c>
      <c r="H1260">
        <f>IFERROR(__xludf.DUMMYFUNCTION("""COMPUTED_VALUE"""),98655.0)</f>
        <v>98655</v>
      </c>
      <c r="J1260" s="5">
        <f>IFERROR(__xludf.DUMMYFUNCTION("""COMPUTED_VALUE"""),43407.0)</f>
        <v>43407</v>
      </c>
      <c r="K1260">
        <f>IFERROR(__xludf.DUMMYFUNCTION("""COMPUTED_VALUE"""),13.0)</f>
        <v>13</v>
      </c>
      <c r="L1260">
        <f>IFERROR(__xludf.DUMMYFUNCTION("""COMPUTED_VALUE"""),2.0)</f>
        <v>2</v>
      </c>
      <c r="M1260">
        <f>IFERROR(__xludf.DUMMYFUNCTION("""COMPUTED_VALUE"""),15.0)</f>
        <v>15</v>
      </c>
      <c r="N1260" t="str">
        <f>IFERROR(__xludf.DUMMYFUNCTION("""COMPUTED_VALUE"""),"Model 3 LR")</f>
        <v>Model 3 LR</v>
      </c>
      <c r="O1260" t="str">
        <f>IFERROR(__xludf.DUMMYFUNCTION("""COMPUTED_VALUE"""),"Solid Black")</f>
        <v>Solid Black</v>
      </c>
      <c r="P1260" t="str">
        <f>IFERROR(__xludf.DUMMYFUNCTION("""COMPUTED_VALUE"""),"18 inch Aero")</f>
        <v>18 inch Aero</v>
      </c>
      <c r="Q1260" t="str">
        <f>IFERROR(__xludf.DUMMYFUNCTION("""COMPUTED_VALUE"""),"Black seats")</f>
        <v>Black seats</v>
      </c>
      <c r="R1260" t="str">
        <f>IFERROR(__xludf.DUMMYFUNCTION("""COMPUTED_VALUE"""),"None")</f>
        <v>None</v>
      </c>
      <c r="X1260" t="str">
        <f>IFERROR(__xludf.DUMMYFUNCTION("""COMPUTED_VALUE"""),"Excellent")</f>
        <v>Excellent</v>
      </c>
      <c r="Y1260" t="str">
        <f>IFERROR(__xludf.DUMMYFUNCTION("""COMPUTED_VALUE"""),"Excellent")</f>
        <v>Excellent</v>
      </c>
      <c r="Z1260" t="str">
        <f>IFERROR(__xludf.DUMMYFUNCTION("""COMPUTED_VALUE"""),"Excellent")</f>
        <v>Excellent</v>
      </c>
      <c r="AA1260" t="str">
        <f>IFERROR(__xludf.DUMMYFUNCTION("""COMPUTED_VALUE"""),"Excellent")</f>
        <v>Excellent</v>
      </c>
      <c r="AB1260" t="str">
        <f>IFERROR(__xludf.DUMMYFUNCTION("""COMPUTED_VALUE"""),"Very Good")</f>
        <v>Very Good</v>
      </c>
      <c r="AH1260" s="189">
        <f>IFERROR(__xludf.DUMMYFUNCTION("""COMPUTED_VALUE"""),43409.43565960648)</f>
        <v>43409.43566</v>
      </c>
    </row>
    <row r="1261">
      <c r="A1261" t="str">
        <f>IFERROR(__xludf.DUMMYFUNCTION("""COMPUTED_VALUE"""),"zacyee")</f>
        <v>zacyee</v>
      </c>
      <c r="B1261" t="str">
        <f>IFERROR(__xludf.DUMMYFUNCTION("""COMPUTED_VALUE"""),"San Diego")</f>
        <v>San Diego</v>
      </c>
      <c r="C1261" t="str">
        <f>IFERROR(__xludf.DUMMYFUNCTION("""COMPUTED_VALUE"""),"CA")</f>
        <v>CA</v>
      </c>
      <c r="D1261" t="str">
        <f>IFERROR(__xludf.DUMMYFUNCTION("""COMPUTED_VALUE"""),"USA")</f>
        <v>USA</v>
      </c>
      <c r="E1261" s="188">
        <f>IFERROR(__xludf.DUMMYFUNCTION("""COMPUTED_VALUE"""),43346.0)</f>
        <v>43346</v>
      </c>
      <c r="F1261" s="188">
        <f>IFERROR(__xludf.DUMMYFUNCTION("""COMPUTED_VALUE"""),43356.0)</f>
        <v>43356</v>
      </c>
      <c r="H1261">
        <f>IFERROR(__xludf.DUMMYFUNCTION("""COMPUTED_VALUE"""),80755.0)</f>
        <v>80755</v>
      </c>
      <c r="I1261" t="str">
        <f>IFERROR(__xludf.DUMMYFUNCTION("""COMPUTED_VALUE"""),"09/18")</f>
        <v>09/18</v>
      </c>
      <c r="J1261" s="5">
        <f>IFERROR(__xludf.DUMMYFUNCTION("""COMPUTED_VALUE"""),43361.0)</f>
        <v>43361</v>
      </c>
      <c r="K1261">
        <f>IFERROR(__xludf.DUMMYFUNCTION("""COMPUTED_VALUE"""),10.0)</f>
        <v>10</v>
      </c>
      <c r="L1261">
        <f>IFERROR(__xludf.DUMMYFUNCTION("""COMPUTED_VALUE"""),5.0)</f>
        <v>5</v>
      </c>
      <c r="M1261">
        <f>IFERROR(__xludf.DUMMYFUNCTION("""COMPUTED_VALUE"""),15.0)</f>
        <v>15</v>
      </c>
      <c r="N1261" t="str">
        <f>IFERROR(__xludf.DUMMYFUNCTION("""COMPUTED_VALUE"""),"Model 3 Performance")</f>
        <v>Model 3 Performance</v>
      </c>
      <c r="O1261" t="str">
        <f>IFERROR(__xludf.DUMMYFUNCTION("""COMPUTED_VALUE"""),"Deep Blue Metallic")</f>
        <v>Deep Blue Metallic</v>
      </c>
      <c r="P1261" t="str">
        <f>IFERROR(__xludf.DUMMYFUNCTION("""COMPUTED_VALUE"""),"20 inch Sport")</f>
        <v>20 inch Sport</v>
      </c>
      <c r="Q1261" t="str">
        <f>IFERROR(__xludf.DUMMYFUNCTION("""COMPUTED_VALUE"""),"White seats")</f>
        <v>White seats</v>
      </c>
      <c r="R1261" t="str">
        <f>IFERROR(__xludf.DUMMYFUNCTION("""COMPUTED_VALUE"""),"None")</f>
        <v>None</v>
      </c>
      <c r="X1261" t="str">
        <f>IFERROR(__xludf.DUMMYFUNCTION("""COMPUTED_VALUE"""),"Excellent")</f>
        <v>Excellent</v>
      </c>
      <c r="Y1261" t="str">
        <f>IFERROR(__xludf.DUMMYFUNCTION("""COMPUTED_VALUE"""),"Excellent")</f>
        <v>Excellent</v>
      </c>
      <c r="Z1261" t="str">
        <f>IFERROR(__xludf.DUMMYFUNCTION("""COMPUTED_VALUE"""),"Excellent")</f>
        <v>Excellent</v>
      </c>
      <c r="AA1261" t="str">
        <f>IFERROR(__xludf.DUMMYFUNCTION("""COMPUTED_VALUE"""),"Good")</f>
        <v>Good</v>
      </c>
      <c r="AB1261" t="str">
        <f>IFERROR(__xludf.DUMMYFUNCTION("""COMPUTED_VALUE"""),"Fair")</f>
        <v>Fair</v>
      </c>
      <c r="AC1261">
        <f>IFERROR(__xludf.DUMMYFUNCTION("""COMPUTED_VALUE"""),1.0)</f>
        <v>1</v>
      </c>
      <c r="AD1261">
        <f>IFERROR(__xludf.DUMMYFUNCTION("""COMPUTED_VALUE"""),0.0)</f>
        <v>0</v>
      </c>
      <c r="AE1261">
        <f>IFERROR(__xludf.DUMMYFUNCTION("""COMPUTED_VALUE"""),0.0)</f>
        <v>0</v>
      </c>
      <c r="AH1261" s="189">
        <f>IFERROR(__xludf.DUMMYFUNCTION("""COMPUTED_VALUE"""),43409.53359533565)</f>
        <v>43409.5336</v>
      </c>
    </row>
    <row r="1262">
      <c r="A1262" t="str">
        <f>IFERROR(__xludf.DUMMYFUNCTION("""COMPUTED_VALUE"""),"nospam4chris")</f>
        <v>nospam4chris</v>
      </c>
      <c r="B1262" t="str">
        <f>IFERROR(__xludf.DUMMYFUNCTION("""COMPUTED_VALUE"""),"Tampa")</f>
        <v>Tampa</v>
      </c>
      <c r="C1262" t="str">
        <f>IFERROR(__xludf.DUMMYFUNCTION("""COMPUTED_VALUE"""),"FL")</f>
        <v>FL</v>
      </c>
      <c r="D1262" t="str">
        <f>IFERROR(__xludf.DUMMYFUNCTION("""COMPUTED_VALUE"""),"USA")</f>
        <v>USA</v>
      </c>
      <c r="E1262" s="188">
        <f>IFERROR(__xludf.DUMMYFUNCTION("""COMPUTED_VALUE"""),43277.0)</f>
        <v>43277</v>
      </c>
      <c r="F1262" s="188">
        <f>IFERROR(__xludf.DUMMYFUNCTION("""COMPUTED_VALUE"""),43376.0)</f>
        <v>43376</v>
      </c>
      <c r="H1262">
        <f>IFERROR(__xludf.DUMMYFUNCTION("""COMPUTED_VALUE"""),66655.0)</f>
        <v>66655</v>
      </c>
      <c r="I1262" t="str">
        <f>IFERROR(__xludf.DUMMYFUNCTION("""COMPUTED_VALUE"""),"08/18")</f>
        <v>08/18</v>
      </c>
      <c r="J1262" s="5">
        <f>IFERROR(__xludf.DUMMYFUNCTION("""COMPUTED_VALUE"""),43379.0)</f>
        <v>43379</v>
      </c>
      <c r="K1262">
        <f>IFERROR(__xludf.DUMMYFUNCTION("""COMPUTED_VALUE"""),99.0)</f>
        <v>99</v>
      </c>
      <c r="L1262">
        <f>IFERROR(__xludf.DUMMYFUNCTION("""COMPUTED_VALUE"""),3.0)</f>
        <v>3</v>
      </c>
      <c r="M1262">
        <f>IFERROR(__xludf.DUMMYFUNCTION("""COMPUTED_VALUE"""),102.0)</f>
        <v>102</v>
      </c>
      <c r="N1262" t="str">
        <f>IFERROR(__xludf.DUMMYFUNCTION("""COMPUTED_VALUE"""),"Model 3 LR AWD")</f>
        <v>Model 3 LR AWD</v>
      </c>
      <c r="O1262" t="str">
        <f>IFERROR(__xludf.DUMMYFUNCTION("""COMPUTED_VALUE"""),"Midnight Silver Metallic")</f>
        <v>Midnight Silver Metallic</v>
      </c>
      <c r="P1262" t="str">
        <f>IFERROR(__xludf.DUMMYFUNCTION("""COMPUTED_VALUE"""),"18 inch Aero")</f>
        <v>18 inch Aero</v>
      </c>
      <c r="Q1262" t="str">
        <f>IFERROR(__xludf.DUMMYFUNCTION("""COMPUTED_VALUE"""),"Black seats")</f>
        <v>Black seats</v>
      </c>
      <c r="R1262" t="str">
        <f>IFERROR(__xludf.DUMMYFUNCTION("""COMPUTED_VALUE"""),"Full Self-Driving")</f>
        <v>Full Self-Driving</v>
      </c>
      <c r="X1262" t="str">
        <f>IFERROR(__xludf.DUMMYFUNCTION("""COMPUTED_VALUE"""),"Very Good")</f>
        <v>Very Good</v>
      </c>
      <c r="Y1262" t="str">
        <f>IFERROR(__xludf.DUMMYFUNCTION("""COMPUTED_VALUE"""),"Good")</f>
        <v>Good</v>
      </c>
      <c r="Z1262" t="str">
        <f>IFERROR(__xludf.DUMMYFUNCTION("""COMPUTED_VALUE"""),"Very Good")</f>
        <v>Very Good</v>
      </c>
      <c r="AA1262" t="str">
        <f>IFERROR(__xludf.DUMMYFUNCTION("""COMPUTED_VALUE"""),"Very Good")</f>
        <v>Very Good</v>
      </c>
      <c r="AB1262" t="str">
        <f>IFERROR(__xludf.DUMMYFUNCTION("""COMPUTED_VALUE"""),"Very Good")</f>
        <v>Very Good</v>
      </c>
      <c r="AC1262">
        <f>IFERROR(__xludf.DUMMYFUNCTION("""COMPUTED_VALUE"""),6.0)</f>
        <v>6</v>
      </c>
      <c r="AD1262">
        <f>IFERROR(__xludf.DUMMYFUNCTION("""COMPUTED_VALUE"""),3.0)</f>
        <v>3</v>
      </c>
      <c r="AE1262">
        <f>IFERROR(__xludf.DUMMYFUNCTION("""COMPUTED_VALUE"""),3.0)</f>
        <v>3</v>
      </c>
      <c r="AG1262" t="str">
        <f>IFERROR(__xludf.DUMMYFUNCTION("""COMPUTED_VALUE"""),"Waited for earnings call")</f>
        <v>Waited for earnings call</v>
      </c>
      <c r="AH1262" s="189">
        <f>IFERROR(__xludf.DUMMYFUNCTION("""COMPUTED_VALUE"""),43409.828485763894)</f>
        <v>43409.82849</v>
      </c>
    </row>
    <row r="1263">
      <c r="A1263" t="str">
        <f>IFERROR(__xludf.DUMMYFUNCTION("""COMPUTED_VALUE"""),"PQrocks")</f>
        <v>PQrocks</v>
      </c>
      <c r="B1263" t="str">
        <f>IFERROR(__xludf.DUMMYFUNCTION("""COMPUTED_VALUE"""),"San Diego")</f>
        <v>San Diego</v>
      </c>
      <c r="C1263" t="str">
        <f>IFERROR(__xludf.DUMMYFUNCTION("""COMPUTED_VALUE"""),"CA")</f>
        <v>CA</v>
      </c>
      <c r="D1263" t="str">
        <f>IFERROR(__xludf.DUMMYFUNCTION("""COMPUTED_VALUE"""),"USA")</f>
        <v>USA</v>
      </c>
      <c r="E1263" s="188">
        <f>IFERROR(__xludf.DUMMYFUNCTION("""COMPUTED_VALUE"""),43288.0)</f>
        <v>43288</v>
      </c>
      <c r="F1263" s="188">
        <f>IFERROR(__xludf.DUMMYFUNCTION("""COMPUTED_VALUE"""),43370.0)</f>
        <v>43370</v>
      </c>
      <c r="H1263">
        <f>IFERROR(__xludf.DUMMYFUNCTION("""COMPUTED_VALUE"""),93636.0)</f>
        <v>93636</v>
      </c>
      <c r="I1263" t="str">
        <f>IFERROR(__xludf.DUMMYFUNCTION("""COMPUTED_VALUE"""),"09/18")</f>
        <v>09/18</v>
      </c>
      <c r="J1263" s="5">
        <f>IFERROR(__xludf.DUMMYFUNCTION("""COMPUTED_VALUE"""),43373.0)</f>
        <v>43373</v>
      </c>
      <c r="K1263">
        <f>IFERROR(__xludf.DUMMYFUNCTION("""COMPUTED_VALUE"""),82.0)</f>
        <v>82</v>
      </c>
      <c r="L1263">
        <f>IFERROR(__xludf.DUMMYFUNCTION("""COMPUTED_VALUE"""),3.0)</f>
        <v>3</v>
      </c>
      <c r="M1263">
        <f>IFERROR(__xludf.DUMMYFUNCTION("""COMPUTED_VALUE"""),85.0)</f>
        <v>85</v>
      </c>
      <c r="N1263" t="str">
        <f>IFERROR(__xludf.DUMMYFUNCTION("""COMPUTED_VALUE"""),"Model 3 LR AWD")</f>
        <v>Model 3 LR AWD</v>
      </c>
      <c r="O1263" t="str">
        <f>IFERROR(__xludf.DUMMYFUNCTION("""COMPUTED_VALUE"""),"Deep Blue Metallic")</f>
        <v>Deep Blue Metallic</v>
      </c>
      <c r="P1263" t="str">
        <f>IFERROR(__xludf.DUMMYFUNCTION("""COMPUTED_VALUE"""),"18 inch Aero")</f>
        <v>18 inch Aero</v>
      </c>
      <c r="Q1263" t="str">
        <f>IFERROR(__xludf.DUMMYFUNCTION("""COMPUTED_VALUE"""),"Black seats")</f>
        <v>Black seats</v>
      </c>
      <c r="R1263" t="str">
        <f>IFERROR(__xludf.DUMMYFUNCTION("""COMPUTED_VALUE"""),"None")</f>
        <v>None</v>
      </c>
      <c r="X1263" t="str">
        <f>IFERROR(__xludf.DUMMYFUNCTION("""COMPUTED_VALUE"""),"Good")</f>
        <v>Good</v>
      </c>
      <c r="Y1263" t="str">
        <f>IFERROR(__xludf.DUMMYFUNCTION("""COMPUTED_VALUE"""),"Excellent")</f>
        <v>Excellent</v>
      </c>
      <c r="Z1263" t="str">
        <f>IFERROR(__xludf.DUMMYFUNCTION("""COMPUTED_VALUE"""),"Very Good")</f>
        <v>Very Good</v>
      </c>
      <c r="AA1263" t="str">
        <f>IFERROR(__xludf.DUMMYFUNCTION("""COMPUTED_VALUE"""),"Good")</f>
        <v>Good</v>
      </c>
      <c r="AB1263" t="str">
        <f>IFERROR(__xludf.DUMMYFUNCTION("""COMPUTED_VALUE"""),"Good")</f>
        <v>Good</v>
      </c>
      <c r="AC1263">
        <f>IFERROR(__xludf.DUMMYFUNCTION("""COMPUTED_VALUE"""),0.0)</f>
        <v>0</v>
      </c>
      <c r="AD1263">
        <f>IFERROR(__xludf.DUMMYFUNCTION("""COMPUTED_VALUE"""),0.0)</f>
        <v>0</v>
      </c>
      <c r="AE1263">
        <f>IFERROR(__xludf.DUMMYFUNCTION("""COMPUTED_VALUE"""),0.0)</f>
        <v>0</v>
      </c>
      <c r="AH1263" s="189">
        <f>IFERROR(__xludf.DUMMYFUNCTION("""COMPUTED_VALUE"""),43409.91045412037)</f>
        <v>43409.91045</v>
      </c>
    </row>
    <row r="1264">
      <c r="A1264" t="str">
        <f>IFERROR(__xludf.DUMMYFUNCTION("""COMPUTED_VALUE"""),"ip33")</f>
        <v>ip33</v>
      </c>
      <c r="B1264" t="str">
        <f>IFERROR(__xludf.DUMMYFUNCTION("""COMPUTED_VALUE"""),"Rochester")</f>
        <v>Rochester</v>
      </c>
      <c r="C1264" t="str">
        <f>IFERROR(__xludf.DUMMYFUNCTION("""COMPUTED_VALUE"""),"NY")</f>
        <v>NY</v>
      </c>
      <c r="D1264" t="str">
        <f>IFERROR(__xludf.DUMMYFUNCTION("""COMPUTED_VALUE"""),"USA")</f>
        <v>USA</v>
      </c>
      <c r="E1264" s="188">
        <f>IFERROR(__xludf.DUMMYFUNCTION("""COMPUTED_VALUE"""),43279.0)</f>
        <v>43279</v>
      </c>
      <c r="F1264" s="188">
        <f>IFERROR(__xludf.DUMMYFUNCTION("""COMPUTED_VALUE"""),43383.0)</f>
        <v>43383</v>
      </c>
      <c r="H1264">
        <f>IFERROR(__xludf.DUMMYFUNCTION("""COMPUTED_VALUE"""),109055.0)</f>
        <v>109055</v>
      </c>
      <c r="I1264" t="str">
        <f>IFERROR(__xludf.DUMMYFUNCTION("""COMPUTED_VALUE"""),"10/18")</f>
        <v>10/18</v>
      </c>
      <c r="J1264" s="5">
        <f>IFERROR(__xludf.DUMMYFUNCTION("""COMPUTED_VALUE"""),43405.0)</f>
        <v>43405</v>
      </c>
      <c r="K1264">
        <f>IFERROR(__xludf.DUMMYFUNCTION("""COMPUTED_VALUE"""),104.0)</f>
        <v>104</v>
      </c>
      <c r="L1264">
        <f>IFERROR(__xludf.DUMMYFUNCTION("""COMPUTED_VALUE"""),22.0)</f>
        <v>22</v>
      </c>
      <c r="M1264">
        <f>IFERROR(__xludf.DUMMYFUNCTION("""COMPUTED_VALUE"""),126.0)</f>
        <v>126</v>
      </c>
      <c r="N1264" t="str">
        <f>IFERROR(__xludf.DUMMYFUNCTION("""COMPUTED_VALUE"""),"Model 3 LR")</f>
        <v>Model 3 LR</v>
      </c>
      <c r="O1264" t="str">
        <f>IFERROR(__xludf.DUMMYFUNCTION("""COMPUTED_VALUE"""),"Deep Blue Metallic")</f>
        <v>Deep Blue Metallic</v>
      </c>
      <c r="P1264" t="str">
        <f>IFERROR(__xludf.DUMMYFUNCTION("""COMPUTED_VALUE"""),"19 inch Sport")</f>
        <v>19 inch Sport</v>
      </c>
      <c r="Q1264" t="str">
        <f>IFERROR(__xludf.DUMMYFUNCTION("""COMPUTED_VALUE"""),"Black seats")</f>
        <v>Black seats</v>
      </c>
      <c r="R1264" t="str">
        <f>IFERROR(__xludf.DUMMYFUNCTION("""COMPUTED_VALUE"""),"Enhanced Autopilot")</f>
        <v>Enhanced Autopilot</v>
      </c>
      <c r="X1264" t="str">
        <f>IFERROR(__xludf.DUMMYFUNCTION("""COMPUTED_VALUE"""),"Excellent")</f>
        <v>Excellent</v>
      </c>
      <c r="Y1264" t="str">
        <f>IFERROR(__xludf.DUMMYFUNCTION("""COMPUTED_VALUE"""),"Excellent")</f>
        <v>Excellent</v>
      </c>
      <c r="Z1264" t="str">
        <f>IFERROR(__xludf.DUMMYFUNCTION("""COMPUTED_VALUE"""),"Very Good")</f>
        <v>Very Good</v>
      </c>
      <c r="AA1264" t="str">
        <f>IFERROR(__xludf.DUMMYFUNCTION("""COMPUTED_VALUE"""),"Very Good")</f>
        <v>Very Good</v>
      </c>
      <c r="AB1264" t="str">
        <f>IFERROR(__xludf.DUMMYFUNCTION("""COMPUTED_VALUE"""),"Excellent")</f>
        <v>Excellent</v>
      </c>
      <c r="AC1264">
        <f>IFERROR(__xludf.DUMMYFUNCTION("""COMPUTED_VALUE"""),1.0)</f>
        <v>1</v>
      </c>
      <c r="AD1264">
        <f>IFERROR(__xludf.DUMMYFUNCTION("""COMPUTED_VALUE"""),1.0)</f>
        <v>1</v>
      </c>
      <c r="AE1264">
        <f>IFERROR(__xludf.DUMMYFUNCTION("""COMPUTED_VALUE"""),0.0)</f>
        <v>0</v>
      </c>
      <c r="AH1264" s="189">
        <f>IFERROR(__xludf.DUMMYFUNCTION("""COMPUTED_VALUE"""),43410.27802398148)</f>
        <v>43410.27802</v>
      </c>
    </row>
    <row r="1265">
      <c r="A1265" t="str">
        <f>IFERROR(__xludf.DUMMYFUNCTION("""COMPUTED_VALUE"""),"lmgardere")</f>
        <v>lmgardere</v>
      </c>
      <c r="B1265" t="str">
        <f>IFERROR(__xludf.DUMMYFUNCTION("""COMPUTED_VALUE"""),"New Orleans")</f>
        <v>New Orleans</v>
      </c>
      <c r="C1265" t="str">
        <f>IFERROR(__xludf.DUMMYFUNCTION("""COMPUTED_VALUE"""),"LA")</f>
        <v>LA</v>
      </c>
      <c r="D1265" t="str">
        <f>IFERROR(__xludf.DUMMYFUNCTION("""COMPUTED_VALUE"""),"USA")</f>
        <v>USA</v>
      </c>
      <c r="E1265" s="188">
        <f>IFERROR(__xludf.DUMMYFUNCTION("""COMPUTED_VALUE"""),43352.0)</f>
        <v>43352</v>
      </c>
      <c r="F1265" s="188">
        <f>IFERROR(__xludf.DUMMYFUNCTION("""COMPUTED_VALUE"""),43396.0)</f>
        <v>43396</v>
      </c>
      <c r="H1265">
        <f>IFERROR(__xludf.DUMMYFUNCTION("""COMPUTED_VALUE"""),95042.0)</f>
        <v>95042</v>
      </c>
      <c r="J1265" s="5">
        <f>IFERROR(__xludf.DUMMYFUNCTION("""COMPUTED_VALUE"""),43406.0)</f>
        <v>43406</v>
      </c>
      <c r="K1265">
        <f>IFERROR(__xludf.DUMMYFUNCTION("""COMPUTED_VALUE"""),44.0)</f>
        <v>44</v>
      </c>
      <c r="L1265">
        <f>IFERROR(__xludf.DUMMYFUNCTION("""COMPUTED_VALUE"""),10.0)</f>
        <v>10</v>
      </c>
      <c r="M1265">
        <f>IFERROR(__xludf.DUMMYFUNCTION("""COMPUTED_VALUE"""),54.0)</f>
        <v>54</v>
      </c>
      <c r="N1265" t="str">
        <f>IFERROR(__xludf.DUMMYFUNCTION("""COMPUTED_VALUE"""),"Model 3 LR AWD")</f>
        <v>Model 3 LR AWD</v>
      </c>
      <c r="O1265" t="str">
        <f>IFERROR(__xludf.DUMMYFUNCTION("""COMPUTED_VALUE"""),"Obsidian Black Metallic")</f>
        <v>Obsidian Black Metallic</v>
      </c>
      <c r="P1265" t="str">
        <f>IFERROR(__xludf.DUMMYFUNCTION("""COMPUTED_VALUE"""),"18 inch Aero")</f>
        <v>18 inch Aero</v>
      </c>
      <c r="Q1265" t="str">
        <f>IFERROR(__xludf.DUMMYFUNCTION("""COMPUTED_VALUE"""),"Black seats")</f>
        <v>Black seats</v>
      </c>
      <c r="R1265" t="str">
        <f>IFERROR(__xludf.DUMMYFUNCTION("""COMPUTED_VALUE"""),"None")</f>
        <v>None</v>
      </c>
      <c r="X1265" t="str">
        <f>IFERROR(__xludf.DUMMYFUNCTION("""COMPUTED_VALUE"""),"Excellent")</f>
        <v>Excellent</v>
      </c>
      <c r="Y1265" t="str">
        <f>IFERROR(__xludf.DUMMYFUNCTION("""COMPUTED_VALUE"""),"Excellent")</f>
        <v>Excellent</v>
      </c>
      <c r="Z1265" t="str">
        <f>IFERROR(__xludf.DUMMYFUNCTION("""COMPUTED_VALUE"""),"Excellent")</f>
        <v>Excellent</v>
      </c>
      <c r="AA1265" t="str">
        <f>IFERROR(__xludf.DUMMYFUNCTION("""COMPUTED_VALUE"""),"Very Good")</f>
        <v>Very Good</v>
      </c>
      <c r="AB1265" t="str">
        <f>IFERROR(__xludf.DUMMYFUNCTION("""COMPUTED_VALUE"""),"Excellent")</f>
        <v>Excellent</v>
      </c>
      <c r="AH1265" s="189">
        <f>IFERROR(__xludf.DUMMYFUNCTION("""COMPUTED_VALUE"""),43410.30560313657)</f>
        <v>43410.3056</v>
      </c>
    </row>
    <row r="1266">
      <c r="A1266" t="str">
        <f>IFERROR(__xludf.DUMMYFUNCTION("""COMPUTED_VALUE"""),"SCW-Greg")</f>
        <v>SCW-Greg</v>
      </c>
      <c r="B1266" t="str">
        <f>IFERROR(__xludf.DUMMYFUNCTION("""COMPUTED_VALUE"""),"Portland")</f>
        <v>Portland</v>
      </c>
      <c r="C1266" t="str">
        <f>IFERROR(__xludf.DUMMYFUNCTION("""COMPUTED_VALUE"""),"OR")</f>
        <v>OR</v>
      </c>
      <c r="D1266" t="str">
        <f>IFERROR(__xludf.DUMMYFUNCTION("""COMPUTED_VALUE"""),"USA")</f>
        <v>USA</v>
      </c>
      <c r="E1266" s="188">
        <f>IFERROR(__xludf.DUMMYFUNCTION("""COMPUTED_VALUE"""),43389.0)</f>
        <v>43389</v>
      </c>
      <c r="F1266" s="188">
        <f>IFERROR(__xludf.DUMMYFUNCTION("""COMPUTED_VALUE"""),43399.0)</f>
        <v>43399</v>
      </c>
      <c r="H1266">
        <f>IFERROR(__xludf.DUMMYFUNCTION("""COMPUTED_VALUE"""),112255.0)</f>
        <v>112255</v>
      </c>
      <c r="J1266" s="5">
        <f>IFERROR(__xludf.DUMMYFUNCTION("""COMPUTED_VALUE"""),43407.0)</f>
        <v>43407</v>
      </c>
      <c r="K1266">
        <f>IFERROR(__xludf.DUMMYFUNCTION("""COMPUTED_VALUE"""),10.0)</f>
        <v>10</v>
      </c>
      <c r="L1266">
        <f>IFERROR(__xludf.DUMMYFUNCTION("""COMPUTED_VALUE"""),8.0)</f>
        <v>8</v>
      </c>
      <c r="M1266">
        <f>IFERROR(__xludf.DUMMYFUNCTION("""COMPUTED_VALUE"""),18.0)</f>
        <v>18</v>
      </c>
      <c r="N1266" t="str">
        <f>IFERROR(__xludf.DUMMYFUNCTION("""COMPUTED_VALUE"""),"Model 3 LR AWD")</f>
        <v>Model 3 LR AWD</v>
      </c>
      <c r="O1266" t="str">
        <f>IFERROR(__xludf.DUMMYFUNCTION("""COMPUTED_VALUE"""),"Pearl White Multi-Coat")</f>
        <v>Pearl White Multi-Coat</v>
      </c>
      <c r="P1266" t="str">
        <f>IFERROR(__xludf.DUMMYFUNCTION("""COMPUTED_VALUE"""),"19 inch Sport")</f>
        <v>19 inch Sport</v>
      </c>
      <c r="Q1266" t="str">
        <f>IFERROR(__xludf.DUMMYFUNCTION("""COMPUTED_VALUE"""),"White seats")</f>
        <v>White seats</v>
      </c>
      <c r="R1266" t="str">
        <f>IFERROR(__xludf.DUMMYFUNCTION("""COMPUTED_VALUE"""),"None")</f>
        <v>None</v>
      </c>
      <c r="X1266" t="str">
        <f>IFERROR(__xludf.DUMMYFUNCTION("""COMPUTED_VALUE"""),"Very Good")</f>
        <v>Very Good</v>
      </c>
      <c r="Y1266" t="str">
        <f>IFERROR(__xludf.DUMMYFUNCTION("""COMPUTED_VALUE"""),"Excellent")</f>
        <v>Excellent</v>
      </c>
      <c r="Z1266" t="str">
        <f>IFERROR(__xludf.DUMMYFUNCTION("""COMPUTED_VALUE"""),"Good")</f>
        <v>Good</v>
      </c>
      <c r="AA1266" t="str">
        <f>IFERROR(__xludf.DUMMYFUNCTION("""COMPUTED_VALUE"""),"Very Good")</f>
        <v>Very Good</v>
      </c>
      <c r="AB1266" t="str">
        <f>IFERROR(__xludf.DUMMYFUNCTION("""COMPUTED_VALUE"""),"Good")</f>
        <v>Good</v>
      </c>
      <c r="AC1266">
        <f>IFERROR(__xludf.DUMMYFUNCTION("""COMPUTED_VALUE"""),0.0)</f>
        <v>0</v>
      </c>
      <c r="AG1266" t="str">
        <f>IFERROR(__xludf.DUMMYFUNCTION("""COMPUTED_VALUE"""),"Only one minor paint chip along frunk edge, not worth worrying about. Car is fantastic.")</f>
        <v>Only one minor paint chip along frunk edge, not worth worrying about. Car is fantastic.</v>
      </c>
      <c r="AH1266" s="189">
        <f>IFERROR(__xludf.DUMMYFUNCTION("""COMPUTED_VALUE"""),43410.414514502314)</f>
        <v>43410.41451</v>
      </c>
    </row>
    <row r="1267">
      <c r="A1267" t="str">
        <f>IFERROR(__xludf.DUMMYFUNCTION("""COMPUTED_VALUE"""),"DMoney2552")</f>
        <v>DMoney2552</v>
      </c>
      <c r="B1267" t="str">
        <f>IFERROR(__xludf.DUMMYFUNCTION("""COMPUTED_VALUE"""),"Hudson")</f>
        <v>Hudson</v>
      </c>
      <c r="C1267" t="str">
        <f>IFERROR(__xludf.DUMMYFUNCTION("""COMPUTED_VALUE"""),"OH")</f>
        <v>OH</v>
      </c>
      <c r="D1267" t="str">
        <f>IFERROR(__xludf.DUMMYFUNCTION("""COMPUTED_VALUE"""),"USA")</f>
        <v>USA</v>
      </c>
      <c r="E1267" s="188">
        <f>IFERROR(__xludf.DUMMYFUNCTION("""COMPUTED_VALUE"""),43371.0)</f>
        <v>43371</v>
      </c>
      <c r="F1267" s="188">
        <f>IFERROR(__xludf.DUMMYFUNCTION("""COMPUTED_VALUE"""),43382.0)</f>
        <v>43382</v>
      </c>
      <c r="H1267">
        <f>IFERROR(__xludf.DUMMYFUNCTION("""COMPUTED_VALUE"""),101755.0)</f>
        <v>101755</v>
      </c>
      <c r="J1267" s="5">
        <f>IFERROR(__xludf.DUMMYFUNCTION("""COMPUTED_VALUE"""),43397.0)</f>
        <v>43397</v>
      </c>
      <c r="K1267">
        <f>IFERROR(__xludf.DUMMYFUNCTION("""COMPUTED_VALUE"""),11.0)</f>
        <v>11</v>
      </c>
      <c r="L1267">
        <f>IFERROR(__xludf.DUMMYFUNCTION("""COMPUTED_VALUE"""),15.0)</f>
        <v>15</v>
      </c>
      <c r="M1267">
        <f>IFERROR(__xludf.DUMMYFUNCTION("""COMPUTED_VALUE"""),26.0)</f>
        <v>26</v>
      </c>
      <c r="N1267" t="str">
        <f>IFERROR(__xludf.DUMMYFUNCTION("""COMPUTED_VALUE"""),"Model 3 LR")</f>
        <v>Model 3 LR</v>
      </c>
      <c r="O1267" t="str">
        <f>IFERROR(__xludf.DUMMYFUNCTION("""COMPUTED_VALUE"""),"Midnight Silver Metallic")</f>
        <v>Midnight Silver Metallic</v>
      </c>
      <c r="P1267" t="str">
        <f>IFERROR(__xludf.DUMMYFUNCTION("""COMPUTED_VALUE"""),"18 inch Aero")</f>
        <v>18 inch Aero</v>
      </c>
      <c r="Q1267" t="str">
        <f>IFERROR(__xludf.DUMMYFUNCTION("""COMPUTED_VALUE"""),"Black seats")</f>
        <v>Black seats</v>
      </c>
      <c r="R1267" t="str">
        <f>IFERROR(__xludf.DUMMYFUNCTION("""COMPUTED_VALUE"""),"None")</f>
        <v>None</v>
      </c>
      <c r="X1267" t="str">
        <f>IFERROR(__xludf.DUMMYFUNCTION("""COMPUTED_VALUE"""),"Very Good")</f>
        <v>Very Good</v>
      </c>
      <c r="Y1267" t="str">
        <f>IFERROR(__xludf.DUMMYFUNCTION("""COMPUTED_VALUE"""),"Very Good")</f>
        <v>Very Good</v>
      </c>
      <c r="Z1267" t="str">
        <f>IFERROR(__xludf.DUMMYFUNCTION("""COMPUTED_VALUE"""),"Fair")</f>
        <v>Fair</v>
      </c>
      <c r="AA1267" t="str">
        <f>IFERROR(__xludf.DUMMYFUNCTION("""COMPUTED_VALUE"""),"Very Good")</f>
        <v>Very Good</v>
      </c>
      <c r="AB1267" t="str">
        <f>IFERROR(__xludf.DUMMYFUNCTION("""COMPUTED_VALUE"""),"Excellent")</f>
        <v>Excellent</v>
      </c>
      <c r="AC1267">
        <f>IFERROR(__xludf.DUMMYFUNCTION("""COMPUTED_VALUE"""),1.0)</f>
        <v>1</v>
      </c>
      <c r="AD1267">
        <f>IFERROR(__xludf.DUMMYFUNCTION("""COMPUTED_VALUE"""),1.0)</f>
        <v>1</v>
      </c>
      <c r="AE1267">
        <f>IFERROR(__xludf.DUMMYFUNCTION("""COMPUTED_VALUE"""),3.0)</f>
        <v>3</v>
      </c>
      <c r="AG1267" t="str">
        <f>IFERROR(__xludf.DUMMYFUNCTION("""COMPUTED_VALUE"""),"Gouge in plastic rear bumper - manufacturing issue not caused by transport as there was no scratches or paint issue")</f>
        <v>Gouge in plastic rear bumper - manufacturing issue not caused by transport as there was no scratches or paint issue</v>
      </c>
      <c r="AH1267" s="189">
        <f>IFERROR(__xludf.DUMMYFUNCTION("""COMPUTED_VALUE"""),43410.50075712963)</f>
        <v>43410.50076</v>
      </c>
    </row>
    <row r="1268">
      <c r="A1268" t="str">
        <f>IFERROR(__xludf.DUMMYFUNCTION("""COMPUTED_VALUE"""),"JD")</f>
        <v>JD</v>
      </c>
      <c r="B1268" t="str">
        <f>IFERROR(__xludf.DUMMYFUNCTION("""COMPUTED_VALUE"""),"Highland Park")</f>
        <v>Highland Park</v>
      </c>
      <c r="C1268" t="str">
        <f>IFERROR(__xludf.DUMMYFUNCTION("""COMPUTED_VALUE"""),"IL")</f>
        <v>IL</v>
      </c>
      <c r="D1268" t="str">
        <f>IFERROR(__xludf.DUMMYFUNCTION("""COMPUTED_VALUE"""),"USA")</f>
        <v>USA</v>
      </c>
      <c r="E1268" s="188">
        <f>IFERROR(__xludf.DUMMYFUNCTION("""COMPUTED_VALUE"""),43397.0)</f>
        <v>43397</v>
      </c>
      <c r="F1268" s="188">
        <f>IFERROR(__xludf.DUMMYFUNCTION("""COMPUTED_VALUE"""),43409.0)</f>
        <v>43409</v>
      </c>
      <c r="H1268">
        <f>IFERROR(__xludf.DUMMYFUNCTION("""COMPUTED_VALUE"""),121855.0)</f>
        <v>121855</v>
      </c>
      <c r="I1268" t="str">
        <f>IFERROR(__xludf.DUMMYFUNCTION("""COMPUTED_VALUE"""),"10/18")</f>
        <v>10/18</v>
      </c>
      <c r="J1268" s="5">
        <f>IFERROR(__xludf.DUMMYFUNCTION("""COMPUTED_VALUE"""),43410.0)</f>
        <v>43410</v>
      </c>
      <c r="K1268">
        <f>IFERROR(__xludf.DUMMYFUNCTION("""COMPUTED_VALUE"""),12.0)</f>
        <v>12</v>
      </c>
      <c r="L1268">
        <f>IFERROR(__xludf.DUMMYFUNCTION("""COMPUTED_VALUE"""),1.0)</f>
        <v>1</v>
      </c>
      <c r="M1268">
        <f>IFERROR(__xludf.DUMMYFUNCTION("""COMPUTED_VALUE"""),13.0)</f>
        <v>13</v>
      </c>
      <c r="N1268" t="str">
        <f>IFERROR(__xludf.DUMMYFUNCTION("""COMPUTED_VALUE"""),"Model 3 LR AWD")</f>
        <v>Model 3 LR AWD</v>
      </c>
      <c r="O1268" t="str">
        <f>IFERROR(__xludf.DUMMYFUNCTION("""COMPUTED_VALUE"""),"Deep Blue Metallic")</f>
        <v>Deep Blue Metallic</v>
      </c>
      <c r="P1268" t="str">
        <f>IFERROR(__xludf.DUMMYFUNCTION("""COMPUTED_VALUE"""),"19 inch Sport")</f>
        <v>19 inch Sport</v>
      </c>
      <c r="Q1268" t="str">
        <f>IFERROR(__xludf.DUMMYFUNCTION("""COMPUTED_VALUE"""),"Black seats")</f>
        <v>Black seats</v>
      </c>
      <c r="R1268" t="str">
        <f>IFERROR(__xludf.DUMMYFUNCTION("""COMPUTED_VALUE"""),"Enhanced Autopilot")</f>
        <v>Enhanced Autopilot</v>
      </c>
      <c r="X1268" t="str">
        <f>IFERROR(__xludf.DUMMYFUNCTION("""COMPUTED_VALUE"""),"Excellent")</f>
        <v>Excellent</v>
      </c>
      <c r="Y1268" t="str">
        <f>IFERROR(__xludf.DUMMYFUNCTION("""COMPUTED_VALUE"""),"Excellent")</f>
        <v>Excellent</v>
      </c>
      <c r="Z1268" t="str">
        <f>IFERROR(__xludf.DUMMYFUNCTION("""COMPUTED_VALUE"""),"Very Good")</f>
        <v>Very Good</v>
      </c>
      <c r="AA1268" t="str">
        <f>IFERROR(__xludf.DUMMYFUNCTION("""COMPUTED_VALUE"""),"Very Good")</f>
        <v>Very Good</v>
      </c>
      <c r="AB1268" t="str">
        <f>IFERROR(__xludf.DUMMYFUNCTION("""COMPUTED_VALUE"""),"Very Good")</f>
        <v>Very Good</v>
      </c>
      <c r="AC1268">
        <f>IFERROR(__xludf.DUMMYFUNCTION("""COMPUTED_VALUE"""),1.0)</f>
        <v>1</v>
      </c>
      <c r="AH1268" s="189">
        <f>IFERROR(__xludf.DUMMYFUNCTION("""COMPUTED_VALUE"""),43410.667004386574)</f>
        <v>43410.667</v>
      </c>
    </row>
    <row r="1269">
      <c r="A1269" t="str">
        <f>IFERROR(__xludf.DUMMYFUNCTION("""COMPUTED_VALUE"""),"drapocalypse")</f>
        <v>drapocalypse</v>
      </c>
      <c r="B1269" t="str">
        <f>IFERROR(__xludf.DUMMYFUNCTION("""COMPUTED_VALUE"""),"Markham")</f>
        <v>Markham</v>
      </c>
      <c r="C1269" t="str">
        <f>IFERROR(__xludf.DUMMYFUNCTION("""COMPUTED_VALUE"""),"ON")</f>
        <v>ON</v>
      </c>
      <c r="D1269" t="str">
        <f>IFERROR(__xludf.DUMMYFUNCTION("""COMPUTED_VALUE"""),"Canada")</f>
        <v>Canada</v>
      </c>
      <c r="E1269" s="188">
        <f>IFERROR(__xludf.DUMMYFUNCTION("""COMPUTED_VALUE"""),43269.0)</f>
        <v>43269</v>
      </c>
      <c r="F1269" s="188">
        <f>IFERROR(__xludf.DUMMYFUNCTION("""COMPUTED_VALUE"""),43342.0)</f>
        <v>43342</v>
      </c>
      <c r="H1269">
        <f>IFERROR(__xludf.DUMMYFUNCTION("""COMPUTED_VALUE"""),75789.0)</f>
        <v>75789</v>
      </c>
      <c r="I1269" t="str">
        <f>IFERROR(__xludf.DUMMYFUNCTION("""COMPUTED_VALUE"""),"08/18")</f>
        <v>08/18</v>
      </c>
      <c r="J1269" s="5">
        <f>IFERROR(__xludf.DUMMYFUNCTION("""COMPUTED_VALUE"""),43349.0)</f>
        <v>43349</v>
      </c>
      <c r="K1269">
        <f>IFERROR(__xludf.DUMMYFUNCTION("""COMPUTED_VALUE"""),73.0)</f>
        <v>73</v>
      </c>
      <c r="L1269">
        <f>IFERROR(__xludf.DUMMYFUNCTION("""COMPUTED_VALUE"""),7.0)</f>
        <v>7</v>
      </c>
      <c r="M1269">
        <f>IFERROR(__xludf.DUMMYFUNCTION("""COMPUTED_VALUE"""),80.0)</f>
        <v>80</v>
      </c>
      <c r="N1269" t="str">
        <f>IFERROR(__xludf.DUMMYFUNCTION("""COMPUTED_VALUE"""),"Model 3 LR")</f>
        <v>Model 3 LR</v>
      </c>
      <c r="O1269" t="str">
        <f>IFERROR(__xludf.DUMMYFUNCTION("""COMPUTED_VALUE"""),"Pearl White Multi-Coat")</f>
        <v>Pearl White Multi-Coat</v>
      </c>
      <c r="P1269" t="str">
        <f>IFERROR(__xludf.DUMMYFUNCTION("""COMPUTED_VALUE"""),"18 inch Aero")</f>
        <v>18 inch Aero</v>
      </c>
      <c r="Q1269" t="str">
        <f>IFERROR(__xludf.DUMMYFUNCTION("""COMPUTED_VALUE"""),"Black seats")</f>
        <v>Black seats</v>
      </c>
      <c r="R1269" t="str">
        <f>IFERROR(__xludf.DUMMYFUNCTION("""COMPUTED_VALUE"""),"None")</f>
        <v>None</v>
      </c>
      <c r="X1269" t="str">
        <f>IFERROR(__xludf.DUMMYFUNCTION("""COMPUTED_VALUE"""),"Poor")</f>
        <v>Poor</v>
      </c>
      <c r="Y1269" t="str">
        <f>IFERROR(__xludf.DUMMYFUNCTION("""COMPUTED_VALUE"""),"Good")</f>
        <v>Good</v>
      </c>
      <c r="Z1269" t="str">
        <f>IFERROR(__xludf.DUMMYFUNCTION("""COMPUTED_VALUE"""),"Poor")</f>
        <v>Poor</v>
      </c>
      <c r="AA1269" t="str">
        <f>IFERROR(__xludf.DUMMYFUNCTION("""COMPUTED_VALUE"""),"Fair")</f>
        <v>Fair</v>
      </c>
      <c r="AB1269" t="str">
        <f>IFERROR(__xludf.DUMMYFUNCTION("""COMPUTED_VALUE"""),"Very Good")</f>
        <v>Very Good</v>
      </c>
      <c r="AC1269">
        <f>IFERROR(__xludf.DUMMYFUNCTION("""COMPUTED_VALUE"""),30.0)</f>
        <v>30</v>
      </c>
      <c r="AD1269">
        <f>IFERROR(__xludf.DUMMYFUNCTION("""COMPUTED_VALUE"""),2.0)</f>
        <v>2</v>
      </c>
      <c r="AE1269">
        <f>IFERROR(__xludf.DUMMYFUNCTION("""COMPUTED_VALUE"""),0.0)</f>
        <v>0</v>
      </c>
      <c r="AG1269" t="str">
        <f>IFERROR(__xludf.DUMMYFUNCTION("""COMPUTED_VALUE"""),"The car will be in the shop for more than 3 weeks, but it isn't within the first 30 days because we had to wait for parts. There are many manufacturing defects, but at least we got it before the ontario incentive deadline.")</f>
        <v>The car will be in the shop for more than 3 weeks, but it isn't within the first 30 days because we had to wait for parts. There are many manufacturing defects, but at least we got it before the ontario incentive deadline.</v>
      </c>
      <c r="AH1269" s="189">
        <f>IFERROR(__xludf.DUMMYFUNCTION("""COMPUTED_VALUE"""),43410.79930200231)</f>
        <v>43410.7993</v>
      </c>
    </row>
    <row r="1270">
      <c r="A1270" t="str">
        <f>IFERROR(__xludf.DUMMYFUNCTION("""COMPUTED_VALUE"""),"Ultracell")</f>
        <v>Ultracell</v>
      </c>
      <c r="B1270" t="str">
        <f>IFERROR(__xludf.DUMMYFUNCTION("""COMPUTED_VALUE"""),"Fairfax")</f>
        <v>Fairfax</v>
      </c>
      <c r="C1270" t="str">
        <f>IFERROR(__xludf.DUMMYFUNCTION("""COMPUTED_VALUE"""),"VA")</f>
        <v>VA</v>
      </c>
      <c r="D1270" t="str">
        <f>IFERROR(__xludf.DUMMYFUNCTION("""COMPUTED_VALUE"""),"USA")</f>
        <v>USA</v>
      </c>
      <c r="E1270" s="188">
        <f>IFERROR(__xludf.DUMMYFUNCTION("""COMPUTED_VALUE"""),43282.0)</f>
        <v>43282</v>
      </c>
      <c r="F1270" s="188">
        <f>IFERROR(__xludf.DUMMYFUNCTION("""COMPUTED_VALUE"""),43381.0)</f>
        <v>43381</v>
      </c>
      <c r="H1270">
        <f>IFERROR(__xludf.DUMMYFUNCTION("""COMPUTED_VALUE"""),94555.0)</f>
        <v>94555</v>
      </c>
      <c r="I1270" t="str">
        <f>IFERROR(__xludf.DUMMYFUNCTION("""COMPUTED_VALUE"""),"10/18")</f>
        <v>10/18</v>
      </c>
      <c r="J1270" s="5">
        <f>IFERROR(__xludf.DUMMYFUNCTION("""COMPUTED_VALUE"""),43407.0)</f>
        <v>43407</v>
      </c>
      <c r="K1270">
        <f>IFERROR(__xludf.DUMMYFUNCTION("""COMPUTED_VALUE"""),99.0)</f>
        <v>99</v>
      </c>
      <c r="L1270">
        <f>IFERROR(__xludf.DUMMYFUNCTION("""COMPUTED_VALUE"""),26.0)</f>
        <v>26</v>
      </c>
      <c r="M1270">
        <f>IFERROR(__xludf.DUMMYFUNCTION("""COMPUTED_VALUE"""),125.0)</f>
        <v>125</v>
      </c>
      <c r="N1270" t="str">
        <f>IFERROR(__xludf.DUMMYFUNCTION("""COMPUTED_VALUE"""),"Model 3 LR AWD")</f>
        <v>Model 3 LR AWD</v>
      </c>
      <c r="O1270" t="str">
        <f>IFERROR(__xludf.DUMMYFUNCTION("""COMPUTED_VALUE"""),"Deep Blue Metallic")</f>
        <v>Deep Blue Metallic</v>
      </c>
      <c r="P1270" t="str">
        <f>IFERROR(__xludf.DUMMYFUNCTION("""COMPUTED_VALUE"""),"18 inch Aero")</f>
        <v>18 inch Aero</v>
      </c>
      <c r="Q1270" t="str">
        <f>IFERROR(__xludf.DUMMYFUNCTION("""COMPUTED_VALUE"""),"Black seats")</f>
        <v>Black seats</v>
      </c>
      <c r="R1270" t="str">
        <f>IFERROR(__xludf.DUMMYFUNCTION("""COMPUTED_VALUE"""),"Enhanced Autopilot")</f>
        <v>Enhanced Autopilot</v>
      </c>
      <c r="X1270" t="str">
        <f>IFERROR(__xludf.DUMMYFUNCTION("""COMPUTED_VALUE"""),"Excellent")</f>
        <v>Excellent</v>
      </c>
      <c r="Y1270" t="str">
        <f>IFERROR(__xludf.DUMMYFUNCTION("""COMPUTED_VALUE"""),"Excellent")</f>
        <v>Excellent</v>
      </c>
      <c r="Z1270" t="str">
        <f>IFERROR(__xludf.DUMMYFUNCTION("""COMPUTED_VALUE"""),"Excellent")</f>
        <v>Excellent</v>
      </c>
      <c r="AA1270" t="str">
        <f>IFERROR(__xludf.DUMMYFUNCTION("""COMPUTED_VALUE"""),"Good")</f>
        <v>Good</v>
      </c>
      <c r="AB1270" t="str">
        <f>IFERROR(__xludf.DUMMYFUNCTION("""COMPUTED_VALUE"""),"Poor")</f>
        <v>Poor</v>
      </c>
      <c r="AH1270" s="189">
        <f>IFERROR(__xludf.DUMMYFUNCTION("""COMPUTED_VALUE"""),43410.83918837963)</f>
        <v>43410.83919</v>
      </c>
    </row>
    <row r="1271">
      <c r="A1271" t="str">
        <f>IFERROR(__xludf.DUMMYFUNCTION("""COMPUTED_VALUE"""),"blaness")</f>
        <v>blaness</v>
      </c>
      <c r="B1271" t="str">
        <f>IFERROR(__xludf.DUMMYFUNCTION("""COMPUTED_VALUE"""),"Minneapolis")</f>
        <v>Minneapolis</v>
      </c>
      <c r="C1271" t="str">
        <f>IFERROR(__xludf.DUMMYFUNCTION("""COMPUTED_VALUE"""),"MN")</f>
        <v>MN</v>
      </c>
      <c r="D1271" t="str">
        <f>IFERROR(__xludf.DUMMYFUNCTION("""COMPUTED_VALUE"""),"USA")</f>
        <v>USA</v>
      </c>
      <c r="E1271" s="188">
        <f>IFERROR(__xludf.DUMMYFUNCTION("""COMPUTED_VALUE"""),43355.0)</f>
        <v>43355</v>
      </c>
      <c r="F1271" s="188">
        <f>IFERROR(__xludf.DUMMYFUNCTION("""COMPUTED_VALUE"""),43393.0)</f>
        <v>43393</v>
      </c>
      <c r="H1271">
        <f>IFERROR(__xludf.DUMMYFUNCTION("""COMPUTED_VALUE"""),83155.0)</f>
        <v>83155</v>
      </c>
      <c r="J1271" s="5">
        <f>IFERROR(__xludf.DUMMYFUNCTION("""COMPUTED_VALUE"""),43409.0)</f>
        <v>43409</v>
      </c>
      <c r="K1271">
        <f>IFERROR(__xludf.DUMMYFUNCTION("""COMPUTED_VALUE"""),38.0)</f>
        <v>38</v>
      </c>
      <c r="L1271">
        <f>IFERROR(__xludf.DUMMYFUNCTION("""COMPUTED_VALUE"""),16.0)</f>
        <v>16</v>
      </c>
      <c r="M1271">
        <f>IFERROR(__xludf.DUMMYFUNCTION("""COMPUTED_VALUE"""),54.0)</f>
        <v>54</v>
      </c>
      <c r="N1271" t="str">
        <f>IFERROR(__xludf.DUMMYFUNCTION("""COMPUTED_VALUE"""),"Model 3 Performance")</f>
        <v>Model 3 Performance</v>
      </c>
      <c r="O1271" t="str">
        <f>IFERROR(__xludf.DUMMYFUNCTION("""COMPUTED_VALUE"""),"Midnight Silver Metallic")</f>
        <v>Midnight Silver Metallic</v>
      </c>
      <c r="P1271" t="str">
        <f>IFERROR(__xludf.DUMMYFUNCTION("""COMPUTED_VALUE"""),"20 inch Sport")</f>
        <v>20 inch Sport</v>
      </c>
      <c r="Q1271" t="str">
        <f>IFERROR(__xludf.DUMMYFUNCTION("""COMPUTED_VALUE"""),"Black seats")</f>
        <v>Black seats</v>
      </c>
      <c r="R1271" t="str">
        <f>IFERROR(__xludf.DUMMYFUNCTION("""COMPUTED_VALUE"""),"Enhanced Autopilot")</f>
        <v>Enhanced Autopilot</v>
      </c>
      <c r="X1271" t="str">
        <f>IFERROR(__xludf.DUMMYFUNCTION("""COMPUTED_VALUE"""),"Very Good")</f>
        <v>Very Good</v>
      </c>
      <c r="Y1271" t="str">
        <f>IFERROR(__xludf.DUMMYFUNCTION("""COMPUTED_VALUE"""),"Very Good")</f>
        <v>Very Good</v>
      </c>
      <c r="Z1271" t="str">
        <f>IFERROR(__xludf.DUMMYFUNCTION("""COMPUTED_VALUE"""),"Fair")</f>
        <v>Fair</v>
      </c>
      <c r="AA1271" t="str">
        <f>IFERROR(__xludf.DUMMYFUNCTION("""COMPUTED_VALUE"""),"Very Good")</f>
        <v>Very Good</v>
      </c>
      <c r="AB1271" t="str">
        <f>IFERROR(__xludf.DUMMYFUNCTION("""COMPUTED_VALUE"""),"Very Good")</f>
        <v>Very Good</v>
      </c>
      <c r="AC1271">
        <f>IFERROR(__xludf.DUMMYFUNCTION("""COMPUTED_VALUE"""),3.0)</f>
        <v>3</v>
      </c>
      <c r="AD1271">
        <f>IFERROR(__xludf.DUMMYFUNCTION("""COMPUTED_VALUE"""),2.0)</f>
        <v>2</v>
      </c>
      <c r="AE1271">
        <f>IFERROR(__xludf.DUMMYFUNCTION("""COMPUTED_VALUE"""),2.0)</f>
        <v>2</v>
      </c>
      <c r="AG1271" t="str">
        <f>IFERROR(__xludf.DUMMYFUNCTION("""COMPUTED_VALUE"""),"Scratches on the windshield, driver side window and trim, all need to be replaced.")</f>
        <v>Scratches on the windshield, driver side window and trim, all need to be replaced.</v>
      </c>
      <c r="AH1271" s="189">
        <f>IFERROR(__xludf.DUMMYFUNCTION("""COMPUTED_VALUE"""),43411.2984741088)</f>
        <v>43411.29847</v>
      </c>
    </row>
    <row r="1272">
      <c r="A1272" t="str">
        <f>IFERROR(__xludf.DUMMYFUNCTION("""COMPUTED_VALUE"""),"twryan3")</f>
        <v>twryan3</v>
      </c>
      <c r="B1272" t="str">
        <f>IFERROR(__xludf.DUMMYFUNCTION("""COMPUTED_VALUE"""),"Memphis")</f>
        <v>Memphis</v>
      </c>
      <c r="C1272" t="str">
        <f>IFERROR(__xludf.DUMMYFUNCTION("""COMPUTED_VALUE"""),"TN")</f>
        <v>TN</v>
      </c>
      <c r="D1272" t="str">
        <f>IFERROR(__xludf.DUMMYFUNCTION("""COMPUTED_VALUE"""),"USA")</f>
        <v>USA</v>
      </c>
      <c r="E1272" s="188">
        <f>IFERROR(__xludf.DUMMYFUNCTION("""COMPUTED_VALUE"""),43326.0)</f>
        <v>43326</v>
      </c>
      <c r="F1272" s="188">
        <f>IFERROR(__xludf.DUMMYFUNCTION("""COMPUTED_VALUE"""),43395.0)</f>
        <v>43395</v>
      </c>
      <c r="H1272">
        <f>IFERROR(__xludf.DUMMYFUNCTION("""COMPUTED_VALUE"""),109355.0)</f>
        <v>109355</v>
      </c>
      <c r="I1272" t="str">
        <f>IFERROR(__xludf.DUMMYFUNCTION("""COMPUTED_VALUE"""),"10/18")</f>
        <v>10/18</v>
      </c>
      <c r="J1272" s="5">
        <f>IFERROR(__xludf.DUMMYFUNCTION("""COMPUTED_VALUE"""),43410.0)</f>
        <v>43410</v>
      </c>
      <c r="K1272">
        <f>IFERROR(__xludf.DUMMYFUNCTION("""COMPUTED_VALUE"""),69.0)</f>
        <v>69</v>
      </c>
      <c r="L1272">
        <f>IFERROR(__xludf.DUMMYFUNCTION("""COMPUTED_VALUE"""),15.0)</f>
        <v>15</v>
      </c>
      <c r="M1272">
        <f>IFERROR(__xludf.DUMMYFUNCTION("""COMPUTED_VALUE"""),84.0)</f>
        <v>84</v>
      </c>
      <c r="N1272" t="str">
        <f>IFERROR(__xludf.DUMMYFUNCTION("""COMPUTED_VALUE"""),"Model 3 LR AWD")</f>
        <v>Model 3 LR AWD</v>
      </c>
      <c r="O1272" t="str">
        <f>IFERROR(__xludf.DUMMYFUNCTION("""COMPUTED_VALUE"""),"Obsidian Black Metallic")</f>
        <v>Obsidian Black Metallic</v>
      </c>
      <c r="P1272" t="str">
        <f>IFERROR(__xludf.DUMMYFUNCTION("""COMPUTED_VALUE"""),"19 inch Sport")</f>
        <v>19 inch Sport</v>
      </c>
      <c r="Q1272" t="str">
        <f>IFERROR(__xludf.DUMMYFUNCTION("""COMPUTED_VALUE"""),"Black seats")</f>
        <v>Black seats</v>
      </c>
      <c r="R1272" t="str">
        <f>IFERROR(__xludf.DUMMYFUNCTION("""COMPUTED_VALUE"""),"Enhanced Autopilot")</f>
        <v>Enhanced Autopilot</v>
      </c>
      <c r="X1272" t="str">
        <f>IFERROR(__xludf.DUMMYFUNCTION("""COMPUTED_VALUE"""),"Excellent")</f>
        <v>Excellent</v>
      </c>
      <c r="Y1272" t="str">
        <f>IFERROR(__xludf.DUMMYFUNCTION("""COMPUTED_VALUE"""),"Excellent")</f>
        <v>Excellent</v>
      </c>
      <c r="Z1272" t="str">
        <f>IFERROR(__xludf.DUMMYFUNCTION("""COMPUTED_VALUE"""),"Very Good")</f>
        <v>Very Good</v>
      </c>
      <c r="AA1272" t="str">
        <f>IFERROR(__xludf.DUMMYFUNCTION("""COMPUTED_VALUE"""),"Fair")</f>
        <v>Fair</v>
      </c>
      <c r="AB1272" t="str">
        <f>IFERROR(__xludf.DUMMYFUNCTION("""COMPUTED_VALUE"""),"Excellent")</f>
        <v>Excellent</v>
      </c>
      <c r="AG1272" t="str">
        <f>IFERROR(__xludf.DUMMYFUNCTION("""COMPUTED_VALUE"""),"The delivery team in Vegas were abysmal, to the point of lying to me.  Nashville was great.")</f>
        <v>The delivery team in Vegas were abysmal, to the point of lying to me.  Nashville was great.</v>
      </c>
      <c r="AH1272" s="189">
        <f>IFERROR(__xludf.DUMMYFUNCTION("""COMPUTED_VALUE"""),43411.35649302084)</f>
        <v>43411.35649</v>
      </c>
    </row>
    <row r="1273">
      <c r="A1273" t="str">
        <f>IFERROR(__xludf.DUMMYFUNCTION("""COMPUTED_VALUE"""),"vkapadia")</f>
        <v>vkapadia</v>
      </c>
      <c r="B1273" t="str">
        <f>IFERROR(__xludf.DUMMYFUNCTION("""COMPUTED_VALUE"""),"Seattle")</f>
        <v>Seattle</v>
      </c>
      <c r="C1273" t="str">
        <f>IFERROR(__xludf.DUMMYFUNCTION("""COMPUTED_VALUE"""),"WA")</f>
        <v>WA</v>
      </c>
      <c r="D1273" t="str">
        <f>IFERROR(__xludf.DUMMYFUNCTION("""COMPUTED_VALUE"""),"USA")</f>
        <v>USA</v>
      </c>
      <c r="E1273" s="188">
        <f>IFERROR(__xludf.DUMMYFUNCTION("""COMPUTED_VALUE"""),43282.0)</f>
        <v>43282</v>
      </c>
      <c r="F1273" s="188">
        <f>IFERROR(__xludf.DUMMYFUNCTION("""COMPUTED_VALUE"""),43368.0)</f>
        <v>43368</v>
      </c>
      <c r="H1273">
        <f>IFERROR(__xludf.DUMMYFUNCTION("""COMPUTED_VALUE"""),114925.0)</f>
        <v>114925</v>
      </c>
      <c r="I1273" t="str">
        <f>IFERROR(__xludf.DUMMYFUNCTION("""COMPUTED_VALUE"""),"09/18")</f>
        <v>09/18</v>
      </c>
      <c r="J1273" s="5">
        <f>IFERROR(__xludf.DUMMYFUNCTION("""COMPUTED_VALUE"""),43373.0)</f>
        <v>43373</v>
      </c>
      <c r="K1273">
        <f>IFERROR(__xludf.DUMMYFUNCTION("""COMPUTED_VALUE"""),86.0)</f>
        <v>86</v>
      </c>
      <c r="L1273">
        <f>IFERROR(__xludf.DUMMYFUNCTION("""COMPUTED_VALUE"""),5.0)</f>
        <v>5</v>
      </c>
      <c r="M1273">
        <f>IFERROR(__xludf.DUMMYFUNCTION("""COMPUTED_VALUE"""),91.0)</f>
        <v>91</v>
      </c>
      <c r="N1273" t="str">
        <f>IFERROR(__xludf.DUMMYFUNCTION("""COMPUTED_VALUE"""),"Model 3 LR AWD")</f>
        <v>Model 3 LR AWD</v>
      </c>
      <c r="O1273" t="str">
        <f>IFERROR(__xludf.DUMMYFUNCTION("""COMPUTED_VALUE"""),"Deep Blue Metallic")</f>
        <v>Deep Blue Metallic</v>
      </c>
      <c r="P1273" t="str">
        <f>IFERROR(__xludf.DUMMYFUNCTION("""COMPUTED_VALUE"""),"18 inch Aero")</f>
        <v>18 inch Aero</v>
      </c>
      <c r="Q1273" t="str">
        <f>IFERROR(__xludf.DUMMYFUNCTION("""COMPUTED_VALUE"""),"Black seats")</f>
        <v>Black seats</v>
      </c>
      <c r="R1273" t="str">
        <f>IFERROR(__xludf.DUMMYFUNCTION("""COMPUTED_VALUE"""),"Full Self-Driving")</f>
        <v>Full Self-Driving</v>
      </c>
      <c r="X1273" t="str">
        <f>IFERROR(__xludf.DUMMYFUNCTION("""COMPUTED_VALUE"""),"Very Good")</f>
        <v>Very Good</v>
      </c>
      <c r="Y1273" t="str">
        <f>IFERROR(__xludf.DUMMYFUNCTION("""COMPUTED_VALUE"""),"Excellent")</f>
        <v>Excellent</v>
      </c>
      <c r="Z1273" t="str">
        <f>IFERROR(__xludf.DUMMYFUNCTION("""COMPUTED_VALUE"""),"Excellent")</f>
        <v>Excellent</v>
      </c>
      <c r="AA1273" t="str">
        <f>IFERROR(__xludf.DUMMYFUNCTION("""COMPUTED_VALUE"""),"Good")</f>
        <v>Good</v>
      </c>
      <c r="AB1273" t="str">
        <f>IFERROR(__xludf.DUMMYFUNCTION("""COMPUTED_VALUE"""),"Excellent")</f>
        <v>Excellent</v>
      </c>
      <c r="AC1273">
        <f>IFERROR(__xludf.DUMMYFUNCTION("""COMPUTED_VALUE"""),3.0)</f>
        <v>3</v>
      </c>
      <c r="AD1273">
        <f>IFERROR(__xludf.DUMMYFUNCTION("""COMPUTED_VALUE"""),0.0)</f>
        <v>0</v>
      </c>
      <c r="AE1273">
        <f>IFERROR(__xludf.DUMMYFUNCTION("""COMPUTED_VALUE"""),0.0)</f>
        <v>0</v>
      </c>
      <c r="AG1273" t="str">
        <f>IFERROR(__xludf.DUMMYFUNCTION("""COMPUTED_VALUE"""),"Love my car!")</f>
        <v>Love my car!</v>
      </c>
      <c r="AH1273" s="189">
        <f>IFERROR(__xludf.DUMMYFUNCTION("""COMPUTED_VALUE"""),43411.366425520835)</f>
        <v>43411.36643</v>
      </c>
    </row>
    <row r="1274">
      <c r="A1274" t="str">
        <f>IFERROR(__xludf.DUMMYFUNCTION("""COMPUTED_VALUE"""),"katpurrz")</f>
        <v>katpurrz</v>
      </c>
      <c r="B1274" t="str">
        <f>IFERROR(__xludf.DUMMYFUNCTION("""COMPUTED_VALUE"""),"Springfield")</f>
        <v>Springfield</v>
      </c>
      <c r="C1274" t="str">
        <f>IFERROR(__xludf.DUMMYFUNCTION("""COMPUTED_VALUE"""),"IL")</f>
        <v>IL</v>
      </c>
      <c r="D1274" t="str">
        <f>IFERROR(__xludf.DUMMYFUNCTION("""COMPUTED_VALUE"""),"USA")</f>
        <v>USA</v>
      </c>
      <c r="E1274" s="188">
        <f>IFERROR(__xludf.DUMMYFUNCTION("""COMPUTED_VALUE"""),43387.0)</f>
        <v>43387</v>
      </c>
      <c r="F1274" s="188">
        <f>IFERROR(__xludf.DUMMYFUNCTION("""COMPUTED_VALUE"""),43403.0)</f>
        <v>43403</v>
      </c>
      <c r="H1274" s="4">
        <f>IFERROR(__xludf.DUMMYFUNCTION("""COMPUTED_VALUE"""),114483.0)</f>
        <v>114483</v>
      </c>
      <c r="J1274" s="5">
        <f>IFERROR(__xludf.DUMMYFUNCTION("""COMPUTED_VALUE"""),43411.0)</f>
        <v>43411</v>
      </c>
      <c r="K1274">
        <f>IFERROR(__xludf.DUMMYFUNCTION("""COMPUTED_VALUE"""),16.0)</f>
        <v>16</v>
      </c>
      <c r="L1274">
        <f>IFERROR(__xludf.DUMMYFUNCTION("""COMPUTED_VALUE"""),8.0)</f>
        <v>8</v>
      </c>
      <c r="M1274">
        <f>IFERROR(__xludf.DUMMYFUNCTION("""COMPUTED_VALUE"""),24.0)</f>
        <v>24</v>
      </c>
      <c r="N1274" t="str">
        <f>IFERROR(__xludf.DUMMYFUNCTION("""COMPUTED_VALUE"""),"Model 3 LR AWD")</f>
        <v>Model 3 LR AWD</v>
      </c>
      <c r="O1274" t="str">
        <f>IFERROR(__xludf.DUMMYFUNCTION("""COMPUTED_VALUE"""),"Midnight Silver Metallic")</f>
        <v>Midnight Silver Metallic</v>
      </c>
      <c r="P1274" t="str">
        <f>IFERROR(__xludf.DUMMYFUNCTION("""COMPUTED_VALUE"""),"18 inch Aero")</f>
        <v>18 inch Aero</v>
      </c>
      <c r="Q1274" t="str">
        <f>IFERROR(__xludf.DUMMYFUNCTION("""COMPUTED_VALUE"""),"Black seats")</f>
        <v>Black seats</v>
      </c>
      <c r="R1274" t="str">
        <f>IFERROR(__xludf.DUMMYFUNCTION("""COMPUTED_VALUE"""),"Enhanced Autopilot")</f>
        <v>Enhanced Autopilot</v>
      </c>
      <c r="X1274" t="str">
        <f>IFERROR(__xludf.DUMMYFUNCTION("""COMPUTED_VALUE"""),"Excellent")</f>
        <v>Excellent</v>
      </c>
      <c r="Y1274" t="str">
        <f>IFERROR(__xludf.DUMMYFUNCTION("""COMPUTED_VALUE"""),"Excellent")</f>
        <v>Excellent</v>
      </c>
      <c r="Z1274" t="str">
        <f>IFERROR(__xludf.DUMMYFUNCTION("""COMPUTED_VALUE"""),"Excellent")</f>
        <v>Excellent</v>
      </c>
      <c r="AA1274" t="str">
        <f>IFERROR(__xludf.DUMMYFUNCTION("""COMPUTED_VALUE"""),"Excellent")</f>
        <v>Excellent</v>
      </c>
      <c r="AB1274" t="str">
        <f>IFERROR(__xludf.DUMMYFUNCTION("""COMPUTED_VALUE"""),"Excellent")</f>
        <v>Excellent</v>
      </c>
      <c r="AG1274" t="str">
        <f>IFERROR(__xludf.DUMMYFUNCTION("""COMPUTED_VALUE"""),"Awesome car!")</f>
        <v>Awesome car!</v>
      </c>
      <c r="AH1274" s="189">
        <f>IFERROR(__xludf.DUMMYFUNCTION("""COMPUTED_VALUE"""),43411.578370312505)</f>
        <v>43411.57837</v>
      </c>
    </row>
    <row r="1275">
      <c r="A1275" t="str">
        <f>IFERROR(__xludf.DUMMYFUNCTION("""COMPUTED_VALUE"""),"wattgas")</f>
        <v>wattgas</v>
      </c>
      <c r="B1275" t="str">
        <f>IFERROR(__xludf.DUMMYFUNCTION("""COMPUTED_VALUE"""),"Seattle")</f>
        <v>Seattle</v>
      </c>
      <c r="C1275" t="str">
        <f>IFERROR(__xludf.DUMMYFUNCTION("""COMPUTED_VALUE"""),"WA")</f>
        <v>WA</v>
      </c>
      <c r="D1275" t="str">
        <f>IFERROR(__xludf.DUMMYFUNCTION("""COMPUTED_VALUE"""),"USA")</f>
        <v>USA</v>
      </c>
      <c r="E1275" s="188">
        <f>IFERROR(__xludf.DUMMYFUNCTION("""COMPUTED_VALUE"""),43185.0)</f>
        <v>43185</v>
      </c>
      <c r="H1275">
        <f>IFERROR(__xludf.DUMMYFUNCTION("""COMPUTED_VALUE"""),15655.0)</f>
        <v>15655</v>
      </c>
      <c r="J1275" s="5">
        <f>IFERROR(__xludf.DUMMYFUNCTION("""COMPUTED_VALUE"""),43216.0)</f>
        <v>43216</v>
      </c>
      <c r="M1275">
        <f>IFERROR(__xludf.DUMMYFUNCTION("""COMPUTED_VALUE"""),31.0)</f>
        <v>31</v>
      </c>
      <c r="N1275" t="str">
        <f>IFERROR(__xludf.DUMMYFUNCTION("""COMPUTED_VALUE"""),"Model 3 LR")</f>
        <v>Model 3 LR</v>
      </c>
      <c r="O1275" t="str">
        <f>IFERROR(__xludf.DUMMYFUNCTION("""COMPUTED_VALUE"""),"Deep Blue Metallic")</f>
        <v>Deep Blue Metallic</v>
      </c>
      <c r="P1275" t="str">
        <f>IFERROR(__xludf.DUMMYFUNCTION("""COMPUTED_VALUE"""),"19 inch Sport")</f>
        <v>19 inch Sport</v>
      </c>
      <c r="Q1275" t="str">
        <f>IFERROR(__xludf.DUMMYFUNCTION("""COMPUTED_VALUE"""),"Black seats")</f>
        <v>Black seats</v>
      </c>
      <c r="R1275" t="str">
        <f>IFERROR(__xludf.DUMMYFUNCTION("""COMPUTED_VALUE"""),"Enhanced Autopilot")</f>
        <v>Enhanced Autopilot</v>
      </c>
      <c r="X1275" t="str">
        <f>IFERROR(__xludf.DUMMYFUNCTION("""COMPUTED_VALUE"""),"Excellent")</f>
        <v>Excellent</v>
      </c>
      <c r="Y1275" t="str">
        <f>IFERROR(__xludf.DUMMYFUNCTION("""COMPUTED_VALUE"""),"Excellent")</f>
        <v>Excellent</v>
      </c>
      <c r="Z1275" t="str">
        <f>IFERROR(__xludf.DUMMYFUNCTION("""COMPUTED_VALUE"""),"Excellent")</f>
        <v>Excellent</v>
      </c>
      <c r="AA1275" t="str">
        <f>IFERROR(__xludf.DUMMYFUNCTION("""COMPUTED_VALUE"""),"Fair")</f>
        <v>Fair</v>
      </c>
      <c r="AB1275" t="str">
        <f>IFERROR(__xludf.DUMMYFUNCTION("""COMPUTED_VALUE"""),"Good")</f>
        <v>Good</v>
      </c>
      <c r="AC1275">
        <f>IFERROR(__xludf.DUMMYFUNCTION("""COMPUTED_VALUE"""),0.0)</f>
        <v>0</v>
      </c>
      <c r="AD1275">
        <f>IFERROR(__xludf.DUMMYFUNCTION("""COMPUTED_VALUE"""),0.0)</f>
        <v>0</v>
      </c>
      <c r="AE1275">
        <f>IFERROR(__xludf.DUMMYFUNCTION("""COMPUTED_VALUE"""),0.0)</f>
        <v>0</v>
      </c>
      <c r="AH1275" s="189">
        <f>IFERROR(__xludf.DUMMYFUNCTION("""COMPUTED_VALUE"""),43411.80794837963)</f>
        <v>43411.80795</v>
      </c>
    </row>
    <row r="1276">
      <c r="A1276" t="str">
        <f>IFERROR(__xludf.DUMMYFUNCTION("""COMPUTED_VALUE"""),"gooseserbus")</f>
        <v>gooseserbus</v>
      </c>
      <c r="B1276" t="str">
        <f>IFERROR(__xludf.DUMMYFUNCTION("""COMPUTED_VALUE"""),"Montreal")</f>
        <v>Montreal</v>
      </c>
      <c r="C1276" t="str">
        <f>IFERROR(__xludf.DUMMYFUNCTION("""COMPUTED_VALUE"""),"QC")</f>
        <v>QC</v>
      </c>
      <c r="D1276" t="str">
        <f>IFERROR(__xludf.DUMMYFUNCTION("""COMPUTED_VALUE"""),"Canada")</f>
        <v>Canada</v>
      </c>
      <c r="E1276" s="188">
        <f>IFERROR(__xludf.DUMMYFUNCTION("""COMPUTED_VALUE"""),43286.0)</f>
        <v>43286</v>
      </c>
      <c r="F1276" s="188">
        <f>IFERROR(__xludf.DUMMYFUNCTION("""COMPUTED_VALUE"""),43407.0)</f>
        <v>43407</v>
      </c>
      <c r="H1276">
        <f>IFERROR(__xludf.DUMMYFUNCTION("""COMPUTED_VALUE"""),127055.0)</f>
        <v>127055</v>
      </c>
      <c r="J1276" s="5">
        <f>IFERROR(__xludf.DUMMYFUNCTION("""COMPUTED_VALUE"""),43411.0)</f>
        <v>43411</v>
      </c>
      <c r="K1276">
        <f>IFERROR(__xludf.DUMMYFUNCTION("""COMPUTED_VALUE"""),121.0)</f>
        <v>121</v>
      </c>
      <c r="L1276">
        <f>IFERROR(__xludf.DUMMYFUNCTION("""COMPUTED_VALUE"""),4.0)</f>
        <v>4</v>
      </c>
      <c r="M1276">
        <f>IFERROR(__xludf.DUMMYFUNCTION("""COMPUTED_VALUE"""),125.0)</f>
        <v>125</v>
      </c>
      <c r="N1276" t="str">
        <f>IFERROR(__xludf.DUMMYFUNCTION("""COMPUTED_VALUE"""),"Model 3 LR AWD")</f>
        <v>Model 3 LR AWD</v>
      </c>
      <c r="O1276" t="str">
        <f>IFERROR(__xludf.DUMMYFUNCTION("""COMPUTED_VALUE"""),"Deep Blue Metallic")</f>
        <v>Deep Blue Metallic</v>
      </c>
      <c r="P1276" t="str">
        <f>IFERROR(__xludf.DUMMYFUNCTION("""COMPUTED_VALUE"""),"18 inch Aero")</f>
        <v>18 inch Aero</v>
      </c>
      <c r="Q1276" t="str">
        <f>IFERROR(__xludf.DUMMYFUNCTION("""COMPUTED_VALUE"""),"Black seats")</f>
        <v>Black seats</v>
      </c>
      <c r="R1276" t="str">
        <f>IFERROR(__xludf.DUMMYFUNCTION("""COMPUTED_VALUE"""),"None")</f>
        <v>None</v>
      </c>
      <c r="X1276" t="str">
        <f>IFERROR(__xludf.DUMMYFUNCTION("""COMPUTED_VALUE"""),"Excellent")</f>
        <v>Excellent</v>
      </c>
      <c r="Y1276" t="str">
        <f>IFERROR(__xludf.DUMMYFUNCTION("""COMPUTED_VALUE"""),"Excellent")</f>
        <v>Excellent</v>
      </c>
      <c r="Z1276" t="str">
        <f>IFERROR(__xludf.DUMMYFUNCTION("""COMPUTED_VALUE"""),"Excellent")</f>
        <v>Excellent</v>
      </c>
      <c r="AA1276" t="str">
        <f>IFERROR(__xludf.DUMMYFUNCTION("""COMPUTED_VALUE"""),"Good")</f>
        <v>Good</v>
      </c>
      <c r="AB1276" t="str">
        <f>IFERROR(__xludf.DUMMYFUNCTION("""COMPUTED_VALUE"""),"Very Good")</f>
        <v>Very Good</v>
      </c>
      <c r="AH1276" s="189">
        <f>IFERROR(__xludf.DUMMYFUNCTION("""COMPUTED_VALUE"""),43411.8153232176)</f>
        <v>43411.81532</v>
      </c>
    </row>
    <row r="1277">
      <c r="A1277" t="str">
        <f>IFERROR(__xludf.DUMMYFUNCTION("""COMPUTED_VALUE"""),"asmockler")</f>
        <v>asmockler</v>
      </c>
      <c r="B1277" t="str">
        <f>IFERROR(__xludf.DUMMYFUNCTION("""COMPUTED_VALUE"""),"Cambridge")</f>
        <v>Cambridge</v>
      </c>
      <c r="C1277" t="str">
        <f>IFERROR(__xludf.DUMMYFUNCTION("""COMPUTED_VALUE"""),"MA")</f>
        <v>MA</v>
      </c>
      <c r="D1277" t="str">
        <f>IFERROR(__xludf.DUMMYFUNCTION("""COMPUTED_VALUE"""),"USA")</f>
        <v>USA</v>
      </c>
      <c r="E1277" s="188">
        <f>IFERROR(__xludf.DUMMYFUNCTION("""COMPUTED_VALUE"""),43288.0)</f>
        <v>43288</v>
      </c>
      <c r="F1277" s="188">
        <f>IFERROR(__xludf.DUMMYFUNCTION("""COMPUTED_VALUE"""),43397.0)</f>
        <v>43397</v>
      </c>
      <c r="H1277">
        <f>IFERROR(__xludf.DUMMYFUNCTION("""COMPUTED_VALUE"""),117848.0)</f>
        <v>117848</v>
      </c>
      <c r="I1277" t="str">
        <f>IFERROR(__xludf.DUMMYFUNCTION("""COMPUTED_VALUE"""),"10/18")</f>
        <v>10/18</v>
      </c>
      <c r="J1277" s="5">
        <f>IFERROR(__xludf.DUMMYFUNCTION("""COMPUTED_VALUE"""),43410.0)</f>
        <v>43410</v>
      </c>
      <c r="K1277">
        <f>IFERROR(__xludf.DUMMYFUNCTION("""COMPUTED_VALUE"""),109.0)</f>
        <v>109</v>
      </c>
      <c r="L1277">
        <f>IFERROR(__xludf.DUMMYFUNCTION("""COMPUTED_VALUE"""),13.0)</f>
        <v>13</v>
      </c>
      <c r="M1277">
        <f>IFERROR(__xludf.DUMMYFUNCTION("""COMPUTED_VALUE"""),122.0)</f>
        <v>122</v>
      </c>
      <c r="N1277" t="str">
        <f>IFERROR(__xludf.DUMMYFUNCTION("""COMPUTED_VALUE"""),"Model 3 LR AWD")</f>
        <v>Model 3 LR AWD</v>
      </c>
      <c r="O1277" t="str">
        <f>IFERROR(__xludf.DUMMYFUNCTION("""COMPUTED_VALUE"""),"Pearl White Multi-Coat")</f>
        <v>Pearl White Multi-Coat</v>
      </c>
      <c r="P1277" t="str">
        <f>IFERROR(__xludf.DUMMYFUNCTION("""COMPUTED_VALUE"""),"19 inch Sport")</f>
        <v>19 inch Sport</v>
      </c>
      <c r="Q1277" t="str">
        <f>IFERROR(__xludf.DUMMYFUNCTION("""COMPUTED_VALUE"""),"Black seats")</f>
        <v>Black seats</v>
      </c>
      <c r="R1277" t="str">
        <f>IFERROR(__xludf.DUMMYFUNCTION("""COMPUTED_VALUE"""),"Enhanced Autopilot")</f>
        <v>Enhanced Autopilot</v>
      </c>
      <c r="X1277" t="str">
        <f>IFERROR(__xludf.DUMMYFUNCTION("""COMPUTED_VALUE"""),"Excellent")</f>
        <v>Excellent</v>
      </c>
      <c r="Y1277" t="str">
        <f>IFERROR(__xludf.DUMMYFUNCTION("""COMPUTED_VALUE"""),"Excellent")</f>
        <v>Excellent</v>
      </c>
      <c r="Z1277" t="str">
        <f>IFERROR(__xludf.DUMMYFUNCTION("""COMPUTED_VALUE"""),"Very Good")</f>
        <v>Very Good</v>
      </c>
      <c r="AA1277" t="str">
        <f>IFERROR(__xludf.DUMMYFUNCTION("""COMPUTED_VALUE"""),"Fair")</f>
        <v>Fair</v>
      </c>
      <c r="AB1277" t="str">
        <f>IFERROR(__xludf.DUMMYFUNCTION("""COMPUTED_VALUE"""),"Very Good")</f>
        <v>Very Good</v>
      </c>
      <c r="AH1277" s="189">
        <f>IFERROR(__xludf.DUMMYFUNCTION("""COMPUTED_VALUE"""),43412.22788878472)</f>
        <v>43412.22789</v>
      </c>
    </row>
    <row r="1278">
      <c r="A1278" t="str">
        <f>IFERROR(__xludf.DUMMYFUNCTION("""COMPUTED_VALUE"""),"Voripteth")</f>
        <v>Voripteth</v>
      </c>
      <c r="B1278" t="str">
        <f>IFERROR(__xludf.DUMMYFUNCTION("""COMPUTED_VALUE"""),"Chicago ")</f>
        <v>Chicago </v>
      </c>
      <c r="C1278" t="str">
        <f>IFERROR(__xludf.DUMMYFUNCTION("""COMPUTED_VALUE"""),"IL")</f>
        <v>IL</v>
      </c>
      <c r="D1278" t="str">
        <f>IFERROR(__xludf.DUMMYFUNCTION("""COMPUTED_VALUE"""),"USA")</f>
        <v>USA</v>
      </c>
      <c r="E1278" s="188">
        <f>IFERROR(__xludf.DUMMYFUNCTION("""COMPUTED_VALUE"""),43278.0)</f>
        <v>43278</v>
      </c>
      <c r="F1278" s="188">
        <f>IFERROR(__xludf.DUMMYFUNCTION("""COMPUTED_VALUE"""),43327.0)</f>
        <v>43327</v>
      </c>
      <c r="H1278">
        <f>IFERROR(__xludf.DUMMYFUNCTION("""COMPUTED_VALUE"""),54555.0)</f>
        <v>54555</v>
      </c>
      <c r="J1278" s="5">
        <f>IFERROR(__xludf.DUMMYFUNCTION("""COMPUTED_VALUE"""),43370.0)</f>
        <v>43370</v>
      </c>
      <c r="K1278">
        <f>IFERROR(__xludf.DUMMYFUNCTION("""COMPUTED_VALUE"""),49.0)</f>
        <v>49</v>
      </c>
      <c r="L1278">
        <f>IFERROR(__xludf.DUMMYFUNCTION("""COMPUTED_VALUE"""),43.0)</f>
        <v>43</v>
      </c>
      <c r="M1278">
        <f>IFERROR(__xludf.DUMMYFUNCTION("""COMPUTED_VALUE"""),92.0)</f>
        <v>92</v>
      </c>
      <c r="N1278" t="str">
        <f>IFERROR(__xludf.DUMMYFUNCTION("""COMPUTED_VALUE"""),"Model 3 LR AWD")</f>
        <v>Model 3 LR AWD</v>
      </c>
      <c r="O1278" t="str">
        <f>IFERROR(__xludf.DUMMYFUNCTION("""COMPUTED_VALUE"""),"Red Multi-Coat")</f>
        <v>Red Multi-Coat</v>
      </c>
      <c r="P1278" t="str">
        <f>IFERROR(__xludf.DUMMYFUNCTION("""COMPUTED_VALUE"""),"18 inch Aero")</f>
        <v>18 inch Aero</v>
      </c>
      <c r="Q1278" t="str">
        <f>IFERROR(__xludf.DUMMYFUNCTION("""COMPUTED_VALUE"""),"Black seats")</f>
        <v>Black seats</v>
      </c>
      <c r="R1278" t="str">
        <f>IFERROR(__xludf.DUMMYFUNCTION("""COMPUTED_VALUE"""),"Full Self-Driving")</f>
        <v>Full Self-Driving</v>
      </c>
      <c r="X1278" t="str">
        <f>IFERROR(__xludf.DUMMYFUNCTION("""COMPUTED_VALUE"""),"Very Good")</f>
        <v>Very Good</v>
      </c>
      <c r="Y1278" t="str">
        <f>IFERROR(__xludf.DUMMYFUNCTION("""COMPUTED_VALUE"""),"Excellent")</f>
        <v>Excellent</v>
      </c>
      <c r="Z1278" t="str">
        <f>IFERROR(__xludf.DUMMYFUNCTION("""COMPUTED_VALUE"""),"Fair")</f>
        <v>Fair</v>
      </c>
      <c r="AA1278" t="str">
        <f>IFERROR(__xludf.DUMMYFUNCTION("""COMPUTED_VALUE"""),"Fair")</f>
        <v>Fair</v>
      </c>
      <c r="AB1278" t="str">
        <f>IFERROR(__xludf.DUMMYFUNCTION("""COMPUTED_VALUE"""),"Good")</f>
        <v>Good</v>
      </c>
      <c r="AC1278">
        <f>IFERROR(__xludf.DUMMYFUNCTION("""COMPUTED_VALUE"""),2.0)</f>
        <v>2</v>
      </c>
      <c r="AD1278">
        <f>IFERROR(__xludf.DUMMYFUNCTION("""COMPUTED_VALUE"""),1.0)</f>
        <v>1</v>
      </c>
      <c r="AE1278">
        <f>IFERROR(__xludf.DUMMYFUNCTION("""COMPUTED_VALUE"""),1.0)</f>
        <v>1</v>
      </c>
      <c r="AG1278" t="str">
        <f>IFERROR(__xludf.DUMMYFUNCTION("""COMPUTED_VALUE"""),"Tesla rescheduled first delivery due to paint chip defect.  At the time I also requested door latch adjustment which was not done.  Tesla lost both the bank and DMW paperwork which I had to later re-sign.")</f>
        <v>Tesla rescheduled first delivery due to paint chip defect.  At the time I also requested door latch adjustment which was not done.  Tesla lost both the bank and DMW paperwork which I had to later re-sign.</v>
      </c>
      <c r="AH1278" s="189">
        <f>IFERROR(__xludf.DUMMYFUNCTION("""COMPUTED_VALUE"""),43412.52425940972)</f>
        <v>43412.52426</v>
      </c>
    </row>
    <row r="1279">
      <c r="A1279" t="str">
        <f>IFERROR(__xludf.DUMMYFUNCTION("""COMPUTED_VALUE"""),"RetiredNavyVet")</f>
        <v>RetiredNavyVet</v>
      </c>
      <c r="B1279" t="str">
        <f>IFERROR(__xludf.DUMMYFUNCTION("""COMPUTED_VALUE"""),"San Diego")</f>
        <v>San Diego</v>
      </c>
      <c r="C1279" t="str">
        <f>IFERROR(__xludf.DUMMYFUNCTION("""COMPUTED_VALUE"""),"CA")</f>
        <v>CA</v>
      </c>
      <c r="D1279" t="str">
        <f>IFERROR(__xludf.DUMMYFUNCTION("""COMPUTED_VALUE"""),"USA")</f>
        <v>USA</v>
      </c>
      <c r="E1279" s="188">
        <f>IFERROR(__xludf.DUMMYFUNCTION("""COMPUTED_VALUE"""),43398.0)</f>
        <v>43398</v>
      </c>
      <c r="F1279" s="188">
        <f>IFERROR(__xludf.DUMMYFUNCTION("""COMPUTED_VALUE"""),43409.0)</f>
        <v>43409</v>
      </c>
      <c r="H1279">
        <f>IFERROR(__xludf.DUMMYFUNCTION("""COMPUTED_VALUE"""),33865.0)</f>
        <v>33865</v>
      </c>
      <c r="J1279" s="5">
        <f>IFERROR(__xludf.DUMMYFUNCTION("""COMPUTED_VALUE"""),43412.0)</f>
        <v>43412</v>
      </c>
      <c r="K1279">
        <f>IFERROR(__xludf.DUMMYFUNCTION("""COMPUTED_VALUE"""),11.0)</f>
        <v>11</v>
      </c>
      <c r="L1279">
        <f>IFERROR(__xludf.DUMMYFUNCTION("""COMPUTED_VALUE"""),3.0)</f>
        <v>3</v>
      </c>
      <c r="M1279">
        <f>IFERROR(__xludf.DUMMYFUNCTION("""COMPUTED_VALUE"""),14.0)</f>
        <v>14</v>
      </c>
      <c r="N1279" t="str">
        <f>IFERROR(__xludf.DUMMYFUNCTION("""COMPUTED_VALUE"""),"Model 3 LR AWD")</f>
        <v>Model 3 LR AWD</v>
      </c>
      <c r="O1279" t="str">
        <f>IFERROR(__xludf.DUMMYFUNCTION("""COMPUTED_VALUE"""),"Deep Blue Metallic")</f>
        <v>Deep Blue Metallic</v>
      </c>
      <c r="P1279" t="str">
        <f>IFERROR(__xludf.DUMMYFUNCTION("""COMPUTED_VALUE"""),"19 inch Sport")</f>
        <v>19 inch Sport</v>
      </c>
      <c r="Q1279" t="str">
        <f>IFERROR(__xludf.DUMMYFUNCTION("""COMPUTED_VALUE"""),"Black seats")</f>
        <v>Black seats</v>
      </c>
      <c r="R1279" t="str">
        <f>IFERROR(__xludf.DUMMYFUNCTION("""COMPUTED_VALUE"""),"Enhanced Autopilot")</f>
        <v>Enhanced Autopilot</v>
      </c>
      <c r="X1279" t="str">
        <f>IFERROR(__xludf.DUMMYFUNCTION("""COMPUTED_VALUE"""),"Excellent")</f>
        <v>Excellent</v>
      </c>
      <c r="Y1279" t="str">
        <f>IFERROR(__xludf.DUMMYFUNCTION("""COMPUTED_VALUE"""),"Excellent")</f>
        <v>Excellent</v>
      </c>
      <c r="Z1279" t="str">
        <f>IFERROR(__xludf.DUMMYFUNCTION("""COMPUTED_VALUE"""),"Excellent")</f>
        <v>Excellent</v>
      </c>
      <c r="AA1279" t="str">
        <f>IFERROR(__xludf.DUMMYFUNCTION("""COMPUTED_VALUE"""),"Excellent")</f>
        <v>Excellent</v>
      </c>
      <c r="AB1279" t="str">
        <f>IFERROR(__xludf.DUMMYFUNCTION("""COMPUTED_VALUE"""),"Excellent")</f>
        <v>Excellent</v>
      </c>
      <c r="AH1279" s="189">
        <f>IFERROR(__xludf.DUMMYFUNCTION("""COMPUTED_VALUE"""),43412.589066747685)</f>
        <v>43412.58907</v>
      </c>
    </row>
    <row r="1280">
      <c r="A1280" t="str">
        <f>IFERROR(__xludf.DUMMYFUNCTION("""COMPUTED_VALUE"""),"SpikeTSSS")</f>
        <v>SpikeTSSS</v>
      </c>
      <c r="B1280" t="str">
        <f>IFERROR(__xludf.DUMMYFUNCTION("""COMPUTED_VALUE"""),"Central")</f>
        <v>Central</v>
      </c>
      <c r="C1280" t="str">
        <f>IFERROR(__xludf.DUMMYFUNCTION("""COMPUTED_VALUE"""),"IA")</f>
        <v>IA</v>
      </c>
      <c r="D1280" t="str">
        <f>IFERROR(__xludf.DUMMYFUNCTION("""COMPUTED_VALUE"""),"USA")</f>
        <v>USA</v>
      </c>
      <c r="E1280" s="188">
        <f>IFERROR(__xludf.DUMMYFUNCTION("""COMPUTED_VALUE"""),43279.0)</f>
        <v>43279</v>
      </c>
      <c r="F1280" s="188">
        <f>IFERROR(__xludf.DUMMYFUNCTION("""COMPUTED_VALUE"""),43381.0)</f>
        <v>43381</v>
      </c>
      <c r="H1280">
        <f>IFERROR(__xludf.DUMMYFUNCTION("""COMPUTED_VALUE"""),85055.0)</f>
        <v>85055</v>
      </c>
      <c r="I1280" t="str">
        <f>IFERROR(__xludf.DUMMYFUNCTION("""COMPUTED_VALUE"""),"09/18")</f>
        <v>09/18</v>
      </c>
      <c r="J1280" s="5">
        <f>IFERROR(__xludf.DUMMYFUNCTION("""COMPUTED_VALUE"""),43391.0)</f>
        <v>43391</v>
      </c>
      <c r="K1280">
        <f>IFERROR(__xludf.DUMMYFUNCTION("""COMPUTED_VALUE"""),102.0)</f>
        <v>102</v>
      </c>
      <c r="L1280">
        <f>IFERROR(__xludf.DUMMYFUNCTION("""COMPUTED_VALUE"""),10.0)</f>
        <v>10</v>
      </c>
      <c r="M1280">
        <f>IFERROR(__xludf.DUMMYFUNCTION("""COMPUTED_VALUE"""),112.0)</f>
        <v>112</v>
      </c>
      <c r="N1280" t="str">
        <f>IFERROR(__xludf.DUMMYFUNCTION("""COMPUTED_VALUE"""),"Model 3 LR AWD")</f>
        <v>Model 3 LR AWD</v>
      </c>
      <c r="O1280" t="str">
        <f>IFERROR(__xludf.DUMMYFUNCTION("""COMPUTED_VALUE"""),"Red Multi-Coat")</f>
        <v>Red Multi-Coat</v>
      </c>
      <c r="P1280" t="str">
        <f>IFERROR(__xludf.DUMMYFUNCTION("""COMPUTED_VALUE"""),"18 inch Aero")</f>
        <v>18 inch Aero</v>
      </c>
      <c r="Q1280" t="str">
        <f>IFERROR(__xludf.DUMMYFUNCTION("""COMPUTED_VALUE"""),"Black seats")</f>
        <v>Black seats</v>
      </c>
      <c r="R1280" t="str">
        <f>IFERROR(__xludf.DUMMYFUNCTION("""COMPUTED_VALUE"""),"Enhanced Autopilot")</f>
        <v>Enhanced Autopilot</v>
      </c>
      <c r="X1280" t="str">
        <f>IFERROR(__xludf.DUMMYFUNCTION("""COMPUTED_VALUE"""),"Excellent")</f>
        <v>Excellent</v>
      </c>
      <c r="Y1280" t="str">
        <f>IFERROR(__xludf.DUMMYFUNCTION("""COMPUTED_VALUE"""),"Excellent")</f>
        <v>Excellent</v>
      </c>
      <c r="Z1280" t="str">
        <f>IFERROR(__xludf.DUMMYFUNCTION("""COMPUTED_VALUE"""),"Excellent")</f>
        <v>Excellent</v>
      </c>
      <c r="AA1280" t="str">
        <f>IFERROR(__xludf.DUMMYFUNCTION("""COMPUTED_VALUE"""),"Very Good")</f>
        <v>Very Good</v>
      </c>
      <c r="AB1280" t="str">
        <f>IFERROR(__xludf.DUMMYFUNCTION("""COMPUTED_VALUE"""),"Excellent")</f>
        <v>Excellent</v>
      </c>
      <c r="AC1280">
        <f>IFERROR(__xludf.DUMMYFUNCTION("""COMPUTED_VALUE"""),1.0)</f>
        <v>1</v>
      </c>
      <c r="AD1280">
        <f>IFERROR(__xludf.DUMMYFUNCTION("""COMPUTED_VALUE"""),0.0)</f>
        <v>0</v>
      </c>
      <c r="AE1280">
        <f>IFERROR(__xludf.DUMMYFUNCTION("""COMPUTED_VALUE"""),0.0)</f>
        <v>0</v>
      </c>
      <c r="AH1280" s="189">
        <f>IFERROR(__xludf.DUMMYFUNCTION("""COMPUTED_VALUE"""),43412.74310476852)</f>
        <v>43412.7431</v>
      </c>
    </row>
    <row r="1281">
      <c r="A1281" t="str">
        <f>IFERROR(__xludf.DUMMYFUNCTION("""COMPUTED_VALUE"""),"stlTesla")</f>
        <v>stlTesla</v>
      </c>
      <c r="B1281" t="str">
        <f>IFERROR(__xludf.DUMMYFUNCTION("""COMPUTED_VALUE"""),"St. Louis")</f>
        <v>St. Louis</v>
      </c>
      <c r="C1281" t="str">
        <f>IFERROR(__xludf.DUMMYFUNCTION("""COMPUTED_VALUE"""),"MO")</f>
        <v>MO</v>
      </c>
      <c r="D1281" t="str">
        <f>IFERROR(__xludf.DUMMYFUNCTION("""COMPUTED_VALUE"""),"USA")</f>
        <v>USA</v>
      </c>
      <c r="E1281" s="188">
        <f>IFERROR(__xludf.DUMMYFUNCTION("""COMPUTED_VALUE"""),43381.0)</f>
        <v>43381</v>
      </c>
      <c r="F1281" s="188">
        <f>IFERROR(__xludf.DUMMYFUNCTION("""COMPUTED_VALUE"""),43406.0)</f>
        <v>43406</v>
      </c>
      <c r="H1281">
        <f>IFERROR(__xludf.DUMMYFUNCTION("""COMPUTED_VALUE"""),122555.0)</f>
        <v>122555</v>
      </c>
      <c r="I1281" t="str">
        <f>IFERROR(__xludf.DUMMYFUNCTION("""COMPUTED_VALUE"""),"10/18")</f>
        <v>10/18</v>
      </c>
      <c r="J1281" s="5">
        <f>IFERROR(__xludf.DUMMYFUNCTION("""COMPUTED_VALUE"""),43412.0)</f>
        <v>43412</v>
      </c>
      <c r="K1281">
        <f>IFERROR(__xludf.DUMMYFUNCTION("""COMPUTED_VALUE"""),25.0)</f>
        <v>25</v>
      </c>
      <c r="L1281">
        <f>IFERROR(__xludf.DUMMYFUNCTION("""COMPUTED_VALUE"""),6.0)</f>
        <v>6</v>
      </c>
      <c r="M1281">
        <f>IFERROR(__xludf.DUMMYFUNCTION("""COMPUTED_VALUE"""),31.0)</f>
        <v>31</v>
      </c>
      <c r="N1281" t="str">
        <f>IFERROR(__xludf.DUMMYFUNCTION("""COMPUTED_VALUE"""),"Model 3 LR")</f>
        <v>Model 3 LR</v>
      </c>
      <c r="O1281" t="str">
        <f>IFERROR(__xludf.DUMMYFUNCTION("""COMPUTED_VALUE"""),"Solid Black")</f>
        <v>Solid Black</v>
      </c>
      <c r="P1281" t="str">
        <f>IFERROR(__xludf.DUMMYFUNCTION("""COMPUTED_VALUE"""),"18 inch Aero")</f>
        <v>18 inch Aero</v>
      </c>
      <c r="Q1281" t="str">
        <f>IFERROR(__xludf.DUMMYFUNCTION("""COMPUTED_VALUE"""),"Black seats")</f>
        <v>Black seats</v>
      </c>
      <c r="R1281" t="str">
        <f>IFERROR(__xludf.DUMMYFUNCTION("""COMPUTED_VALUE"""),"Enhanced Autopilot")</f>
        <v>Enhanced Autopilot</v>
      </c>
      <c r="X1281" t="str">
        <f>IFERROR(__xludf.DUMMYFUNCTION("""COMPUTED_VALUE"""),"Very Good")</f>
        <v>Very Good</v>
      </c>
      <c r="Y1281" t="str">
        <f>IFERROR(__xludf.DUMMYFUNCTION("""COMPUTED_VALUE"""),"Excellent")</f>
        <v>Excellent</v>
      </c>
      <c r="Z1281" t="str">
        <f>IFERROR(__xludf.DUMMYFUNCTION("""COMPUTED_VALUE"""),"Excellent")</f>
        <v>Excellent</v>
      </c>
      <c r="AA1281" t="str">
        <f>IFERROR(__xludf.DUMMYFUNCTION("""COMPUTED_VALUE"""),"Excellent")</f>
        <v>Excellent</v>
      </c>
      <c r="AB1281" t="str">
        <f>IFERROR(__xludf.DUMMYFUNCTION("""COMPUTED_VALUE"""),"Good")</f>
        <v>Good</v>
      </c>
      <c r="AH1281" s="189">
        <f>IFERROR(__xludf.DUMMYFUNCTION("""COMPUTED_VALUE"""),43412.79521)</f>
        <v>43412.79521</v>
      </c>
    </row>
    <row r="1282">
      <c r="A1282" t="str">
        <f>IFERROR(__xludf.DUMMYFUNCTION("""COMPUTED_VALUE"""),"steven")</f>
        <v>steven</v>
      </c>
      <c r="B1282" t="str">
        <f>IFERROR(__xludf.DUMMYFUNCTION("""COMPUTED_VALUE"""),"Portland")</f>
        <v>Portland</v>
      </c>
      <c r="C1282" t="str">
        <f>IFERROR(__xludf.DUMMYFUNCTION("""COMPUTED_VALUE"""),"OR")</f>
        <v>OR</v>
      </c>
      <c r="D1282" t="str">
        <f>IFERROR(__xludf.DUMMYFUNCTION("""COMPUTED_VALUE"""),"USA")</f>
        <v>USA</v>
      </c>
      <c r="E1282" s="188">
        <f>IFERROR(__xludf.DUMMYFUNCTION("""COMPUTED_VALUE"""),43279.0)</f>
        <v>43279</v>
      </c>
      <c r="F1282" s="188">
        <f>IFERROR(__xludf.DUMMYFUNCTION("""COMPUTED_VALUE"""),43331.0)</f>
        <v>43331</v>
      </c>
      <c r="H1282">
        <f>IFERROR(__xludf.DUMMYFUNCTION("""COMPUTED_VALUE"""),54419.0)</f>
        <v>54419</v>
      </c>
      <c r="J1282" s="5">
        <f>IFERROR(__xludf.DUMMYFUNCTION("""COMPUTED_VALUE"""),43335.0)</f>
        <v>43335</v>
      </c>
      <c r="K1282">
        <f>IFERROR(__xludf.DUMMYFUNCTION("""COMPUTED_VALUE"""),52.0)</f>
        <v>52</v>
      </c>
      <c r="L1282">
        <f>IFERROR(__xludf.DUMMYFUNCTION("""COMPUTED_VALUE"""),4.0)</f>
        <v>4</v>
      </c>
      <c r="M1282">
        <f>IFERROR(__xludf.DUMMYFUNCTION("""COMPUTED_VALUE"""),56.0)</f>
        <v>56</v>
      </c>
      <c r="N1282" t="str">
        <f>IFERROR(__xludf.DUMMYFUNCTION("""COMPUTED_VALUE"""),"Model 3 LR AWD")</f>
        <v>Model 3 LR AWD</v>
      </c>
      <c r="O1282" t="str">
        <f>IFERROR(__xludf.DUMMYFUNCTION("""COMPUTED_VALUE"""),"Midnight Silver Metallic")</f>
        <v>Midnight Silver Metallic</v>
      </c>
      <c r="P1282" t="str">
        <f>IFERROR(__xludf.DUMMYFUNCTION("""COMPUTED_VALUE"""),"18 inch Aero")</f>
        <v>18 inch Aero</v>
      </c>
      <c r="Q1282" t="str">
        <f>IFERROR(__xludf.DUMMYFUNCTION("""COMPUTED_VALUE"""),"Black seats")</f>
        <v>Black seats</v>
      </c>
      <c r="R1282" t="str">
        <f>IFERROR(__xludf.DUMMYFUNCTION("""COMPUTED_VALUE"""),"Enhanced Autopilot")</f>
        <v>Enhanced Autopilot</v>
      </c>
      <c r="X1282" t="str">
        <f>IFERROR(__xludf.DUMMYFUNCTION("""COMPUTED_VALUE"""),"Good")</f>
        <v>Good</v>
      </c>
      <c r="Z1282" t="str">
        <f>IFERROR(__xludf.DUMMYFUNCTION("""COMPUTED_VALUE"""),"Very Good")</f>
        <v>Very Good</v>
      </c>
      <c r="AA1282" t="str">
        <f>IFERROR(__xludf.DUMMYFUNCTION("""COMPUTED_VALUE"""),"Fair")</f>
        <v>Fair</v>
      </c>
      <c r="AB1282" t="str">
        <f>IFERROR(__xludf.DUMMYFUNCTION("""COMPUTED_VALUE"""),"Good")</f>
        <v>Good</v>
      </c>
      <c r="AC1282">
        <f>IFERROR(__xludf.DUMMYFUNCTION("""COMPUTED_VALUE"""),4.0)</f>
        <v>4</v>
      </c>
      <c r="AD1282">
        <f>IFERROR(__xludf.DUMMYFUNCTION("""COMPUTED_VALUE"""),1.0)</f>
        <v>1</v>
      </c>
      <c r="AE1282">
        <f>IFERROR(__xludf.DUMMYFUNCTION("""COMPUTED_VALUE"""),4.0)</f>
        <v>4</v>
      </c>
      <c r="AH1282" s="189">
        <f>IFERROR(__xludf.DUMMYFUNCTION("""COMPUTED_VALUE"""),43412.88151518519)</f>
        <v>43412.88152</v>
      </c>
    </row>
    <row r="1283">
      <c r="A1283" t="str">
        <f>IFERROR(__xludf.DUMMYFUNCTION("""COMPUTED_VALUE"""),"Tcarlmn")</f>
        <v>Tcarlmn</v>
      </c>
      <c r="B1283" t="str">
        <f>IFERROR(__xludf.DUMMYFUNCTION("""COMPUTED_VALUE"""),"Golden Valley")</f>
        <v>Golden Valley</v>
      </c>
      <c r="C1283" t="str">
        <f>IFERROR(__xludf.DUMMYFUNCTION("""COMPUTED_VALUE"""),"MN")</f>
        <v>MN</v>
      </c>
      <c r="D1283" t="str">
        <f>IFERROR(__xludf.DUMMYFUNCTION("""COMPUTED_VALUE"""),"USA")</f>
        <v>USA</v>
      </c>
      <c r="E1283" s="188">
        <f>IFERROR(__xludf.DUMMYFUNCTION("""COMPUTED_VALUE"""),43278.0)</f>
        <v>43278</v>
      </c>
      <c r="F1283" s="188">
        <f>IFERROR(__xludf.DUMMYFUNCTION("""COMPUTED_VALUE"""),43400.0)</f>
        <v>43400</v>
      </c>
      <c r="H1283">
        <f>IFERROR(__xludf.DUMMYFUNCTION("""COMPUTED_VALUE"""),112755.0)</f>
        <v>112755</v>
      </c>
      <c r="I1283" t="str">
        <f>IFERROR(__xludf.DUMMYFUNCTION("""COMPUTED_VALUE"""),"10/18")</f>
        <v>10/18</v>
      </c>
      <c r="J1283" s="5">
        <f>IFERROR(__xludf.DUMMYFUNCTION("""COMPUTED_VALUE"""),43407.0)</f>
        <v>43407</v>
      </c>
      <c r="K1283">
        <f>IFERROR(__xludf.DUMMYFUNCTION("""COMPUTED_VALUE"""),122.0)</f>
        <v>122</v>
      </c>
      <c r="L1283">
        <f>IFERROR(__xludf.DUMMYFUNCTION("""COMPUTED_VALUE"""),7.0)</f>
        <v>7</v>
      </c>
      <c r="M1283">
        <f>IFERROR(__xludf.DUMMYFUNCTION("""COMPUTED_VALUE"""),129.0)</f>
        <v>129</v>
      </c>
      <c r="N1283" t="str">
        <f>IFERROR(__xludf.DUMMYFUNCTION("""COMPUTED_VALUE"""),"Model 3 LR AWD")</f>
        <v>Model 3 LR AWD</v>
      </c>
      <c r="O1283" t="str">
        <f>IFERROR(__xludf.DUMMYFUNCTION("""COMPUTED_VALUE"""),"Red Multi-Coat")</f>
        <v>Red Multi-Coat</v>
      </c>
      <c r="P1283" t="str">
        <f>IFERROR(__xludf.DUMMYFUNCTION("""COMPUTED_VALUE"""),"18 inch Aero")</f>
        <v>18 inch Aero</v>
      </c>
      <c r="Q1283" t="str">
        <f>IFERROR(__xludf.DUMMYFUNCTION("""COMPUTED_VALUE"""),"Black seats")</f>
        <v>Black seats</v>
      </c>
      <c r="R1283" t="str">
        <f>IFERROR(__xludf.DUMMYFUNCTION("""COMPUTED_VALUE"""),"None")</f>
        <v>None</v>
      </c>
      <c r="X1283" t="str">
        <f>IFERROR(__xludf.DUMMYFUNCTION("""COMPUTED_VALUE"""),"Excellent")</f>
        <v>Excellent</v>
      </c>
      <c r="Y1283" t="str">
        <f>IFERROR(__xludf.DUMMYFUNCTION("""COMPUTED_VALUE"""),"Excellent")</f>
        <v>Excellent</v>
      </c>
      <c r="Z1283" t="str">
        <f>IFERROR(__xludf.DUMMYFUNCTION("""COMPUTED_VALUE"""),"Excellent")</f>
        <v>Excellent</v>
      </c>
      <c r="AA1283" t="str">
        <f>IFERROR(__xludf.DUMMYFUNCTION("""COMPUTED_VALUE"""),"Good")</f>
        <v>Good</v>
      </c>
      <c r="AB1283" t="str">
        <f>IFERROR(__xludf.DUMMYFUNCTION("""COMPUTED_VALUE"""),"Good")</f>
        <v>Good</v>
      </c>
      <c r="AH1283" s="189">
        <f>IFERROR(__xludf.DUMMYFUNCTION("""COMPUTED_VALUE"""),43412.929181388885)</f>
        <v>43412.92918</v>
      </c>
    </row>
    <row r="1284">
      <c r="A1284" t="str">
        <f>IFERROR(__xludf.DUMMYFUNCTION("""COMPUTED_VALUE"""),"EugeneVig")</f>
        <v>EugeneVig</v>
      </c>
      <c r="B1284" t="str">
        <f>IFERROR(__xludf.DUMMYFUNCTION("""COMPUTED_VALUE"""),"Bay Area")</f>
        <v>Bay Area</v>
      </c>
      <c r="C1284" t="str">
        <f>IFERROR(__xludf.DUMMYFUNCTION("""COMPUTED_VALUE"""),"CA")</f>
        <v>CA</v>
      </c>
      <c r="D1284" t="str">
        <f>IFERROR(__xludf.DUMMYFUNCTION("""COMPUTED_VALUE"""),"USA")</f>
        <v>USA</v>
      </c>
      <c r="E1284" s="188">
        <f>IFERROR(__xludf.DUMMYFUNCTION("""COMPUTED_VALUE"""),43308.0)</f>
        <v>43308</v>
      </c>
      <c r="F1284" s="188">
        <f>IFERROR(__xludf.DUMMYFUNCTION("""COMPUTED_VALUE"""),43372.0)</f>
        <v>43372</v>
      </c>
      <c r="H1284">
        <f>IFERROR(__xludf.DUMMYFUNCTION("""COMPUTED_VALUE"""),7879.0)</f>
        <v>7879</v>
      </c>
      <c r="I1284" t="str">
        <f>IFERROR(__xludf.DUMMYFUNCTION("""COMPUTED_VALUE"""),"02/18")</f>
        <v>02/18</v>
      </c>
      <c r="J1284" s="5">
        <f>IFERROR(__xludf.DUMMYFUNCTION("""COMPUTED_VALUE"""),43400.0)</f>
        <v>43400</v>
      </c>
      <c r="K1284">
        <f>IFERROR(__xludf.DUMMYFUNCTION("""COMPUTED_VALUE"""),64.0)</f>
        <v>64</v>
      </c>
      <c r="L1284">
        <f>IFERROR(__xludf.DUMMYFUNCTION("""COMPUTED_VALUE"""),28.0)</f>
        <v>28</v>
      </c>
      <c r="M1284">
        <f>IFERROR(__xludf.DUMMYFUNCTION("""COMPUTED_VALUE"""),92.0)</f>
        <v>92</v>
      </c>
      <c r="N1284" t="str">
        <f>IFERROR(__xludf.DUMMYFUNCTION("""COMPUTED_VALUE"""),"Model 3 LR")</f>
        <v>Model 3 LR</v>
      </c>
      <c r="O1284" t="str">
        <f>IFERROR(__xludf.DUMMYFUNCTION("""COMPUTED_VALUE"""),"Silver Metallic")</f>
        <v>Silver Metallic</v>
      </c>
      <c r="P1284" t="str">
        <f>IFERROR(__xludf.DUMMYFUNCTION("""COMPUTED_VALUE"""),"19 inch Sport")</f>
        <v>19 inch Sport</v>
      </c>
      <c r="Q1284" t="str">
        <f>IFERROR(__xludf.DUMMYFUNCTION("""COMPUTED_VALUE"""),"Black seats")</f>
        <v>Black seats</v>
      </c>
      <c r="R1284" t="str">
        <f>IFERROR(__xludf.DUMMYFUNCTION("""COMPUTED_VALUE"""),"None")</f>
        <v>None</v>
      </c>
      <c r="X1284" t="str">
        <f>IFERROR(__xludf.DUMMYFUNCTION("""COMPUTED_VALUE"""),"Good")</f>
        <v>Good</v>
      </c>
      <c r="Y1284" t="str">
        <f>IFERROR(__xludf.DUMMYFUNCTION("""COMPUTED_VALUE"""),"Good")</f>
        <v>Good</v>
      </c>
      <c r="Z1284" t="str">
        <f>IFERROR(__xludf.DUMMYFUNCTION("""COMPUTED_VALUE"""),"Very Good")</f>
        <v>Very Good</v>
      </c>
      <c r="AA1284" t="str">
        <f>IFERROR(__xludf.DUMMYFUNCTION("""COMPUTED_VALUE"""),"Poor")</f>
        <v>Poor</v>
      </c>
      <c r="AB1284" t="str">
        <f>IFERROR(__xludf.DUMMYFUNCTION("""COMPUTED_VALUE"""),"Poor")</f>
        <v>Poor</v>
      </c>
      <c r="AG1284" t="str">
        <f>IFERROR(__xludf.DUMMYFUNCTION("""COMPUTED_VALUE"""),"Didn't accept the delivery")</f>
        <v>Didn't accept the delivery</v>
      </c>
      <c r="AH1284" s="189">
        <f>IFERROR(__xludf.DUMMYFUNCTION("""COMPUTED_VALUE"""),43412.98298166667)</f>
        <v>43412.98298</v>
      </c>
    </row>
    <row r="1285">
      <c r="A1285" t="str">
        <f>IFERROR(__xludf.DUMMYFUNCTION("""COMPUTED_VALUE"""),"RFernatt")</f>
        <v>RFernatt</v>
      </c>
      <c r="B1285" t="str">
        <f>IFERROR(__xludf.DUMMYFUNCTION("""COMPUTED_VALUE"""),"Martinsburg")</f>
        <v>Martinsburg</v>
      </c>
      <c r="C1285" t="str">
        <f>IFERROR(__xludf.DUMMYFUNCTION("""COMPUTED_VALUE"""),"WV")</f>
        <v>WV</v>
      </c>
      <c r="D1285" t="str">
        <f>IFERROR(__xludf.DUMMYFUNCTION("""COMPUTED_VALUE"""),"USA")</f>
        <v>USA</v>
      </c>
      <c r="E1285" s="188">
        <f>IFERROR(__xludf.DUMMYFUNCTION("""COMPUTED_VALUE"""),43278.0)</f>
        <v>43278</v>
      </c>
      <c r="F1285" s="188">
        <f>IFERROR(__xludf.DUMMYFUNCTION("""COMPUTED_VALUE"""),43378.0)</f>
        <v>43378</v>
      </c>
      <c r="H1285">
        <f>IFERROR(__xludf.DUMMYFUNCTION("""COMPUTED_VALUE"""),100855.0)</f>
        <v>100855</v>
      </c>
      <c r="I1285" t="str">
        <f>IFERROR(__xludf.DUMMYFUNCTION("""COMPUTED_VALUE"""),"09/18")</f>
        <v>09/18</v>
      </c>
      <c r="J1285" s="5">
        <f>IFERROR(__xludf.DUMMYFUNCTION("""COMPUTED_VALUE"""),43393.0)</f>
        <v>43393</v>
      </c>
      <c r="K1285">
        <f>IFERROR(__xludf.DUMMYFUNCTION("""COMPUTED_VALUE"""),100.0)</f>
        <v>100</v>
      </c>
      <c r="L1285">
        <f>IFERROR(__xludf.DUMMYFUNCTION("""COMPUTED_VALUE"""),15.0)</f>
        <v>15</v>
      </c>
      <c r="M1285">
        <f>IFERROR(__xludf.DUMMYFUNCTION("""COMPUTED_VALUE"""),115.0)</f>
        <v>115</v>
      </c>
      <c r="N1285" t="str">
        <f>IFERROR(__xludf.DUMMYFUNCTION("""COMPUTED_VALUE"""),"Model 3 LR AWD")</f>
        <v>Model 3 LR AWD</v>
      </c>
      <c r="O1285" t="str">
        <f>IFERROR(__xludf.DUMMYFUNCTION("""COMPUTED_VALUE"""),"Deep Blue Metallic")</f>
        <v>Deep Blue Metallic</v>
      </c>
      <c r="P1285" t="str">
        <f>IFERROR(__xludf.DUMMYFUNCTION("""COMPUTED_VALUE"""),"19 inch Sport")</f>
        <v>19 inch Sport</v>
      </c>
      <c r="Q1285" t="str">
        <f>IFERROR(__xludf.DUMMYFUNCTION("""COMPUTED_VALUE"""),"White seats")</f>
        <v>White seats</v>
      </c>
      <c r="R1285" t="str">
        <f>IFERROR(__xludf.DUMMYFUNCTION("""COMPUTED_VALUE"""),"Enhanced Autopilot")</f>
        <v>Enhanced Autopilot</v>
      </c>
      <c r="X1285" t="str">
        <f>IFERROR(__xludf.DUMMYFUNCTION("""COMPUTED_VALUE"""),"Excellent")</f>
        <v>Excellent</v>
      </c>
      <c r="Y1285" t="str">
        <f>IFERROR(__xludf.DUMMYFUNCTION("""COMPUTED_VALUE"""),"Excellent")</f>
        <v>Excellent</v>
      </c>
      <c r="Z1285" t="str">
        <f>IFERROR(__xludf.DUMMYFUNCTION("""COMPUTED_VALUE"""),"Very Good")</f>
        <v>Very Good</v>
      </c>
      <c r="AA1285" t="str">
        <f>IFERROR(__xludf.DUMMYFUNCTION("""COMPUTED_VALUE"""),"Poor")</f>
        <v>Poor</v>
      </c>
      <c r="AB1285" t="str">
        <f>IFERROR(__xludf.DUMMYFUNCTION("""COMPUTED_VALUE"""),"Very Good")</f>
        <v>Very Good</v>
      </c>
      <c r="AC1285">
        <f>IFERROR(__xludf.DUMMYFUNCTION("""COMPUTED_VALUE"""),1.0)</f>
        <v>1</v>
      </c>
      <c r="AD1285">
        <f>IFERROR(__xludf.DUMMYFUNCTION("""COMPUTED_VALUE"""),0.0)</f>
        <v>0</v>
      </c>
      <c r="AE1285">
        <f>IFERROR(__xludf.DUMMYFUNCTION("""COMPUTED_VALUE"""),0.0)</f>
        <v>0</v>
      </c>
      <c r="AH1285" s="189">
        <f>IFERROR(__xludf.DUMMYFUNCTION("""COMPUTED_VALUE"""),43413.43005512732)</f>
        <v>43413.43006</v>
      </c>
    </row>
    <row r="1286">
      <c r="A1286" t="str">
        <f>IFERROR(__xludf.DUMMYFUNCTION("""COMPUTED_VALUE"""),"smartesla")</f>
        <v>smartesla</v>
      </c>
      <c r="B1286" t="str">
        <f>IFERROR(__xludf.DUMMYFUNCTION("""COMPUTED_VALUE"""),"Bay Area")</f>
        <v>Bay Area</v>
      </c>
      <c r="C1286" t="str">
        <f>IFERROR(__xludf.DUMMYFUNCTION("""COMPUTED_VALUE"""),"CA")</f>
        <v>CA</v>
      </c>
      <c r="D1286" t="str">
        <f>IFERROR(__xludf.DUMMYFUNCTION("""COMPUTED_VALUE"""),"USA")</f>
        <v>USA</v>
      </c>
      <c r="E1286" s="188">
        <f>IFERROR(__xludf.DUMMYFUNCTION("""COMPUTED_VALUE"""),43402.0)</f>
        <v>43402</v>
      </c>
      <c r="F1286" s="188">
        <f>IFERROR(__xludf.DUMMYFUNCTION("""COMPUTED_VALUE"""),43407.0)</f>
        <v>43407</v>
      </c>
      <c r="H1286">
        <f>IFERROR(__xludf.DUMMYFUNCTION("""COMPUTED_VALUE"""),134255.0)</f>
        <v>134255</v>
      </c>
      <c r="I1286" t="str">
        <f>IFERROR(__xludf.DUMMYFUNCTION("""COMPUTED_VALUE"""),"11/18")</f>
        <v>11/18</v>
      </c>
      <c r="J1286" s="5">
        <f>IFERROR(__xludf.DUMMYFUNCTION("""COMPUTED_VALUE"""),43411.0)</f>
        <v>43411</v>
      </c>
      <c r="K1286">
        <f>IFERROR(__xludf.DUMMYFUNCTION("""COMPUTED_VALUE"""),5.0)</f>
        <v>5</v>
      </c>
      <c r="L1286">
        <f>IFERROR(__xludf.DUMMYFUNCTION("""COMPUTED_VALUE"""),4.0)</f>
        <v>4</v>
      </c>
      <c r="M1286">
        <f>IFERROR(__xludf.DUMMYFUNCTION("""COMPUTED_VALUE"""),9.0)</f>
        <v>9</v>
      </c>
      <c r="N1286" t="str">
        <f>IFERROR(__xludf.DUMMYFUNCTION("""COMPUTED_VALUE"""),"Model 3 LR AWD")</f>
        <v>Model 3 LR AWD</v>
      </c>
      <c r="O1286" t="str">
        <f>IFERROR(__xludf.DUMMYFUNCTION("""COMPUTED_VALUE"""),"Pearl White Multi-Coat")</f>
        <v>Pearl White Multi-Coat</v>
      </c>
      <c r="P1286" t="str">
        <f>IFERROR(__xludf.DUMMYFUNCTION("""COMPUTED_VALUE"""),"19 inch Sport")</f>
        <v>19 inch Sport</v>
      </c>
      <c r="Q1286" t="str">
        <f>IFERROR(__xludf.DUMMYFUNCTION("""COMPUTED_VALUE"""),"Black seats")</f>
        <v>Black seats</v>
      </c>
      <c r="R1286" t="str">
        <f>IFERROR(__xludf.DUMMYFUNCTION("""COMPUTED_VALUE"""),"None")</f>
        <v>None</v>
      </c>
      <c r="X1286" t="str">
        <f>IFERROR(__xludf.DUMMYFUNCTION("""COMPUTED_VALUE"""),"Good")</f>
        <v>Good</v>
      </c>
      <c r="Y1286" t="str">
        <f>IFERROR(__xludf.DUMMYFUNCTION("""COMPUTED_VALUE"""),"Excellent")</f>
        <v>Excellent</v>
      </c>
      <c r="Z1286" t="str">
        <f>IFERROR(__xludf.DUMMYFUNCTION("""COMPUTED_VALUE"""),"Excellent")</f>
        <v>Excellent</v>
      </c>
      <c r="AA1286" t="str">
        <f>IFERROR(__xludf.DUMMYFUNCTION("""COMPUTED_VALUE"""),"Excellent")</f>
        <v>Excellent</v>
      </c>
      <c r="AB1286" t="str">
        <f>IFERROR(__xludf.DUMMYFUNCTION("""COMPUTED_VALUE"""),"Good")</f>
        <v>Good</v>
      </c>
      <c r="AH1286" s="189">
        <f>IFERROR(__xludf.DUMMYFUNCTION("""COMPUTED_VALUE"""),43414.0250306713)</f>
        <v>43414.02503</v>
      </c>
    </row>
    <row r="1287">
      <c r="A1287" t="str">
        <f>IFERROR(__xludf.DUMMYFUNCTION("""COMPUTED_VALUE"""),"CatBurger00")</f>
        <v>CatBurger00</v>
      </c>
      <c r="C1287" t="str">
        <f>IFERROR(__xludf.DUMMYFUNCTION("""COMPUTED_VALUE"""),"SC")</f>
        <v>SC</v>
      </c>
      <c r="D1287" t="str">
        <f>IFERROR(__xludf.DUMMYFUNCTION("""COMPUTED_VALUE"""),"USA")</f>
        <v>USA</v>
      </c>
      <c r="E1287" s="188">
        <f>IFERROR(__xludf.DUMMYFUNCTION("""COMPUTED_VALUE"""),43380.0)</f>
        <v>43380</v>
      </c>
      <c r="F1287" s="188">
        <f>IFERROR(__xludf.DUMMYFUNCTION("""COMPUTED_VALUE"""),43404.0)</f>
        <v>43404</v>
      </c>
      <c r="H1287">
        <f>IFERROR(__xludf.DUMMYFUNCTION("""COMPUTED_VALUE"""),66355.0)</f>
        <v>66355</v>
      </c>
      <c r="I1287" t="str">
        <f>IFERROR(__xludf.DUMMYFUNCTION("""COMPUTED_VALUE"""),"08/18")</f>
        <v>08/18</v>
      </c>
      <c r="J1287" s="5">
        <f>IFERROR(__xludf.DUMMYFUNCTION("""COMPUTED_VALUE"""),43413.0)</f>
        <v>43413</v>
      </c>
      <c r="K1287">
        <f>IFERROR(__xludf.DUMMYFUNCTION("""COMPUTED_VALUE"""),24.0)</f>
        <v>24</v>
      </c>
      <c r="L1287">
        <f>IFERROR(__xludf.DUMMYFUNCTION("""COMPUTED_VALUE"""),9.0)</f>
        <v>9</v>
      </c>
      <c r="M1287">
        <f>IFERROR(__xludf.DUMMYFUNCTION("""COMPUTED_VALUE"""),33.0)</f>
        <v>33</v>
      </c>
      <c r="N1287" t="str">
        <f>IFERROR(__xludf.DUMMYFUNCTION("""COMPUTED_VALUE"""),"Model 3 LR AWD")</f>
        <v>Model 3 LR AWD</v>
      </c>
      <c r="O1287" t="str">
        <f>IFERROR(__xludf.DUMMYFUNCTION("""COMPUTED_VALUE"""),"Midnight Silver Metallic")</f>
        <v>Midnight Silver Metallic</v>
      </c>
      <c r="P1287" t="str">
        <f>IFERROR(__xludf.DUMMYFUNCTION("""COMPUTED_VALUE"""),"18 inch Aero")</f>
        <v>18 inch Aero</v>
      </c>
      <c r="Q1287" t="str">
        <f>IFERROR(__xludf.DUMMYFUNCTION("""COMPUTED_VALUE"""),"Black seats")</f>
        <v>Black seats</v>
      </c>
      <c r="R1287" t="str">
        <f>IFERROR(__xludf.DUMMYFUNCTION("""COMPUTED_VALUE"""),"Full Self-Driving")</f>
        <v>Full Self-Driving</v>
      </c>
      <c r="X1287" t="str">
        <f>IFERROR(__xludf.DUMMYFUNCTION("""COMPUTED_VALUE"""),"Very Good")</f>
        <v>Very Good</v>
      </c>
      <c r="Y1287" t="str">
        <f>IFERROR(__xludf.DUMMYFUNCTION("""COMPUTED_VALUE"""),"Very Good")</f>
        <v>Very Good</v>
      </c>
      <c r="Z1287" t="str">
        <f>IFERROR(__xludf.DUMMYFUNCTION("""COMPUTED_VALUE"""),"Very Good")</f>
        <v>Very Good</v>
      </c>
      <c r="AA1287" t="str">
        <f>IFERROR(__xludf.DUMMYFUNCTION("""COMPUTED_VALUE"""),"Good")</f>
        <v>Good</v>
      </c>
      <c r="AB1287" t="str">
        <f>IFERROR(__xludf.DUMMYFUNCTION("""COMPUTED_VALUE"""),"Good")</f>
        <v>Good</v>
      </c>
      <c r="AH1287" s="189">
        <f>IFERROR(__xludf.DUMMYFUNCTION("""COMPUTED_VALUE"""),43414.23879027778)</f>
        <v>43414.23879</v>
      </c>
    </row>
    <row r="1288">
      <c r="A1288" t="str">
        <f>IFERROR(__xludf.DUMMYFUNCTION("""COMPUTED_VALUE"""),"GHS4316")</f>
        <v>GHS4316</v>
      </c>
      <c r="B1288" t="str">
        <f>IFERROR(__xludf.DUMMYFUNCTION("""COMPUTED_VALUE"""),"Kingston")</f>
        <v>Kingston</v>
      </c>
      <c r="C1288" t="str">
        <f>IFERROR(__xludf.DUMMYFUNCTION("""COMPUTED_VALUE"""),"NY")</f>
        <v>NY</v>
      </c>
      <c r="D1288" t="str">
        <f>IFERROR(__xludf.DUMMYFUNCTION("""COMPUTED_VALUE"""),"USA")</f>
        <v>USA</v>
      </c>
      <c r="E1288" s="188">
        <f>IFERROR(__xludf.DUMMYFUNCTION("""COMPUTED_VALUE"""),43281.0)</f>
        <v>43281</v>
      </c>
      <c r="F1288" s="188">
        <f>IFERROR(__xludf.DUMMYFUNCTION("""COMPUTED_VALUE"""),43383.0)</f>
        <v>43383</v>
      </c>
      <c r="H1288">
        <f>IFERROR(__xludf.DUMMYFUNCTION("""COMPUTED_VALUE"""),70775.0)</f>
        <v>70775</v>
      </c>
      <c r="I1288" t="str">
        <f>IFERROR(__xludf.DUMMYFUNCTION("""COMPUTED_VALUE"""),"09/18")</f>
        <v>09/18</v>
      </c>
      <c r="J1288" s="5">
        <f>IFERROR(__xludf.DUMMYFUNCTION("""COMPUTED_VALUE"""),43389.0)</f>
        <v>43389</v>
      </c>
      <c r="K1288">
        <f>IFERROR(__xludf.DUMMYFUNCTION("""COMPUTED_VALUE"""),102.0)</f>
        <v>102</v>
      </c>
      <c r="L1288">
        <f>IFERROR(__xludf.DUMMYFUNCTION("""COMPUTED_VALUE"""),6.0)</f>
        <v>6</v>
      </c>
      <c r="M1288">
        <f>IFERROR(__xludf.DUMMYFUNCTION("""COMPUTED_VALUE"""),108.0)</f>
        <v>108</v>
      </c>
      <c r="N1288" t="str">
        <f>IFERROR(__xludf.DUMMYFUNCTION("""COMPUTED_VALUE"""),"Model 3 LR AWD")</f>
        <v>Model 3 LR AWD</v>
      </c>
      <c r="O1288" t="str">
        <f>IFERROR(__xludf.DUMMYFUNCTION("""COMPUTED_VALUE"""),"Obsidian Black Metallic")</f>
        <v>Obsidian Black Metallic</v>
      </c>
      <c r="P1288" t="str">
        <f>IFERROR(__xludf.DUMMYFUNCTION("""COMPUTED_VALUE"""),"18 inch Aero")</f>
        <v>18 inch Aero</v>
      </c>
      <c r="Q1288" t="str">
        <f>IFERROR(__xludf.DUMMYFUNCTION("""COMPUTED_VALUE"""),"Black seats")</f>
        <v>Black seats</v>
      </c>
      <c r="R1288" t="str">
        <f>IFERROR(__xludf.DUMMYFUNCTION("""COMPUTED_VALUE"""),"Full Self-Driving")</f>
        <v>Full Self-Driving</v>
      </c>
      <c r="X1288" t="str">
        <f>IFERROR(__xludf.DUMMYFUNCTION("""COMPUTED_VALUE"""),"Very Good")</f>
        <v>Very Good</v>
      </c>
      <c r="Y1288" t="str">
        <f>IFERROR(__xludf.DUMMYFUNCTION("""COMPUTED_VALUE"""),"Very Good")</f>
        <v>Very Good</v>
      </c>
      <c r="Z1288" t="str">
        <f>IFERROR(__xludf.DUMMYFUNCTION("""COMPUTED_VALUE"""),"Very Good")</f>
        <v>Very Good</v>
      </c>
      <c r="AA1288" t="str">
        <f>IFERROR(__xludf.DUMMYFUNCTION("""COMPUTED_VALUE"""),"Very Good")</f>
        <v>Very Good</v>
      </c>
      <c r="AB1288" t="str">
        <f>IFERROR(__xludf.DUMMYFUNCTION("""COMPUTED_VALUE"""),"Fair")</f>
        <v>Fair</v>
      </c>
      <c r="AC1288">
        <f>IFERROR(__xludf.DUMMYFUNCTION("""COMPUTED_VALUE"""),0.0)</f>
        <v>0</v>
      </c>
      <c r="AD1288">
        <f>IFERROR(__xludf.DUMMYFUNCTION("""COMPUTED_VALUE"""),0.0)</f>
        <v>0</v>
      </c>
      <c r="AE1288">
        <f>IFERROR(__xludf.DUMMYFUNCTION("""COMPUTED_VALUE"""),0.0)</f>
        <v>0</v>
      </c>
      <c r="AG1288" t="str">
        <f>IFERROR(__xludf.DUMMYFUNCTION("""COMPUTED_VALUE"""),"Reserved 12/25/2017. The car is amazing, sticks to the road like glue and is a pleasure to drive.")</f>
        <v>Reserved 12/25/2017. The car is amazing, sticks to the road like glue and is a pleasure to drive.</v>
      </c>
      <c r="AH1288" s="189">
        <f>IFERROR(__xludf.DUMMYFUNCTION("""COMPUTED_VALUE"""),43414.28891210648)</f>
        <v>43414.28891</v>
      </c>
    </row>
    <row r="1289">
      <c r="A1289" t="str">
        <f>IFERROR(__xludf.DUMMYFUNCTION("""COMPUTED_VALUE"""),"AF")</f>
        <v>AF</v>
      </c>
      <c r="B1289" t="str">
        <f>IFERROR(__xludf.DUMMYFUNCTION("""COMPUTED_VALUE"""),"Bay Area")</f>
        <v>Bay Area</v>
      </c>
      <c r="C1289" t="str">
        <f>IFERROR(__xludf.DUMMYFUNCTION("""COMPUTED_VALUE"""),"CA")</f>
        <v>CA</v>
      </c>
      <c r="D1289" t="str">
        <f>IFERROR(__xludf.DUMMYFUNCTION("""COMPUTED_VALUE"""),"USA")</f>
        <v>USA</v>
      </c>
      <c r="E1289" s="188">
        <f>IFERROR(__xludf.DUMMYFUNCTION("""COMPUTED_VALUE"""),43391.0)</f>
        <v>43391</v>
      </c>
      <c r="F1289" s="188">
        <f>IFERROR(__xludf.DUMMYFUNCTION("""COMPUTED_VALUE"""),43408.0)</f>
        <v>43408</v>
      </c>
      <c r="H1289">
        <f>IFERROR(__xludf.DUMMYFUNCTION("""COMPUTED_VALUE"""),151655.0)</f>
        <v>151655</v>
      </c>
      <c r="I1289" t="str">
        <f>IFERROR(__xludf.DUMMYFUNCTION("""COMPUTED_VALUE"""),"11/18")</f>
        <v>11/18</v>
      </c>
      <c r="J1289" s="5">
        <f>IFERROR(__xludf.DUMMYFUNCTION("""COMPUTED_VALUE"""),43414.0)</f>
        <v>43414</v>
      </c>
      <c r="K1289">
        <f>IFERROR(__xludf.DUMMYFUNCTION("""COMPUTED_VALUE"""),17.0)</f>
        <v>17</v>
      </c>
      <c r="L1289">
        <f>IFERROR(__xludf.DUMMYFUNCTION("""COMPUTED_VALUE"""),6.0)</f>
        <v>6</v>
      </c>
      <c r="M1289">
        <f>IFERROR(__xludf.DUMMYFUNCTION("""COMPUTED_VALUE"""),23.0)</f>
        <v>23</v>
      </c>
      <c r="N1289" t="str">
        <f>IFERROR(__xludf.DUMMYFUNCTION("""COMPUTED_VALUE"""),"Model 3 MR")</f>
        <v>Model 3 MR</v>
      </c>
      <c r="O1289" t="str">
        <f>IFERROR(__xludf.DUMMYFUNCTION("""COMPUTED_VALUE"""),"Solid Black")</f>
        <v>Solid Black</v>
      </c>
      <c r="P1289" t="str">
        <f>IFERROR(__xludf.DUMMYFUNCTION("""COMPUTED_VALUE"""),"18 inch Aero")</f>
        <v>18 inch Aero</v>
      </c>
      <c r="Q1289" t="str">
        <f>IFERROR(__xludf.DUMMYFUNCTION("""COMPUTED_VALUE"""),"Black seats")</f>
        <v>Black seats</v>
      </c>
      <c r="R1289" t="str">
        <f>IFERROR(__xludf.DUMMYFUNCTION("""COMPUTED_VALUE"""),"Enhanced Autopilot")</f>
        <v>Enhanced Autopilot</v>
      </c>
      <c r="X1289" t="str">
        <f>IFERROR(__xludf.DUMMYFUNCTION("""COMPUTED_VALUE"""),"Good")</f>
        <v>Good</v>
      </c>
      <c r="Y1289" t="str">
        <f>IFERROR(__xludf.DUMMYFUNCTION("""COMPUTED_VALUE"""),"Excellent")</f>
        <v>Excellent</v>
      </c>
      <c r="Z1289" t="str">
        <f>IFERROR(__xludf.DUMMYFUNCTION("""COMPUTED_VALUE"""),"Excellent")</f>
        <v>Excellent</v>
      </c>
      <c r="AA1289" t="str">
        <f>IFERROR(__xludf.DUMMYFUNCTION("""COMPUTED_VALUE"""),"Poor")</f>
        <v>Poor</v>
      </c>
      <c r="AB1289" t="str">
        <f>IFERROR(__xludf.DUMMYFUNCTION("""COMPUTED_VALUE"""),"Fair")</f>
        <v>Fair</v>
      </c>
      <c r="AH1289" s="189">
        <f>IFERROR(__xludf.DUMMYFUNCTION("""COMPUTED_VALUE"""),43414.75618509259)</f>
        <v>43414.75619</v>
      </c>
    </row>
    <row r="1290">
      <c r="A1290" t="str">
        <f>IFERROR(__xludf.DUMMYFUNCTION("""COMPUTED_VALUE"""),"wthayer")</f>
        <v>wthayer</v>
      </c>
      <c r="B1290" t="str">
        <f>IFERROR(__xludf.DUMMYFUNCTION("""COMPUTED_VALUE"""),"Phoenix")</f>
        <v>Phoenix</v>
      </c>
      <c r="C1290" t="str">
        <f>IFERROR(__xludf.DUMMYFUNCTION("""COMPUTED_VALUE"""),"AZ")</f>
        <v>AZ</v>
      </c>
      <c r="D1290" t="str">
        <f>IFERROR(__xludf.DUMMYFUNCTION("""COMPUTED_VALUE"""),"USA")</f>
        <v>USA</v>
      </c>
      <c r="E1290" s="188">
        <f>IFERROR(__xludf.DUMMYFUNCTION("""COMPUTED_VALUE"""),43388.0)</f>
        <v>43388</v>
      </c>
      <c r="F1290" s="188">
        <f>IFERROR(__xludf.DUMMYFUNCTION("""COMPUTED_VALUE"""),43406.0)</f>
        <v>43406</v>
      </c>
      <c r="H1290">
        <f>IFERROR(__xludf.DUMMYFUNCTION("""COMPUTED_VALUE"""),102392.0)</f>
        <v>102392</v>
      </c>
      <c r="I1290" t="str">
        <f>IFERROR(__xludf.DUMMYFUNCTION("""COMPUTED_VALUE"""),"10/18")</f>
        <v>10/18</v>
      </c>
      <c r="J1290" s="5">
        <f>IFERROR(__xludf.DUMMYFUNCTION("""COMPUTED_VALUE"""),43414.0)</f>
        <v>43414</v>
      </c>
      <c r="K1290">
        <f>IFERROR(__xludf.DUMMYFUNCTION("""COMPUTED_VALUE"""),18.0)</f>
        <v>18</v>
      </c>
      <c r="L1290">
        <f>IFERROR(__xludf.DUMMYFUNCTION("""COMPUTED_VALUE"""),8.0)</f>
        <v>8</v>
      </c>
      <c r="M1290">
        <f>IFERROR(__xludf.DUMMYFUNCTION("""COMPUTED_VALUE"""),26.0)</f>
        <v>26</v>
      </c>
      <c r="N1290" t="str">
        <f>IFERROR(__xludf.DUMMYFUNCTION("""COMPUTED_VALUE"""),"Model 3 LR")</f>
        <v>Model 3 LR</v>
      </c>
      <c r="O1290" t="str">
        <f>IFERROR(__xludf.DUMMYFUNCTION("""COMPUTED_VALUE"""),"Deep Blue Metallic")</f>
        <v>Deep Blue Metallic</v>
      </c>
      <c r="P1290" t="str">
        <f>IFERROR(__xludf.DUMMYFUNCTION("""COMPUTED_VALUE"""),"18 inch Aero")</f>
        <v>18 inch Aero</v>
      </c>
      <c r="Q1290" t="str">
        <f>IFERROR(__xludf.DUMMYFUNCTION("""COMPUTED_VALUE"""),"Black seats")</f>
        <v>Black seats</v>
      </c>
      <c r="R1290" t="str">
        <f>IFERROR(__xludf.DUMMYFUNCTION("""COMPUTED_VALUE"""),"Full Self-Driving")</f>
        <v>Full Self-Driving</v>
      </c>
      <c r="X1290" t="str">
        <f>IFERROR(__xludf.DUMMYFUNCTION("""COMPUTED_VALUE"""),"Fair")</f>
        <v>Fair</v>
      </c>
      <c r="Y1290" t="str">
        <f>IFERROR(__xludf.DUMMYFUNCTION("""COMPUTED_VALUE"""),"Good")</f>
        <v>Good</v>
      </c>
      <c r="Z1290" t="str">
        <f>IFERROR(__xludf.DUMMYFUNCTION("""COMPUTED_VALUE"""),"Fair")</f>
        <v>Fair</v>
      </c>
      <c r="AA1290" t="str">
        <f>IFERROR(__xludf.DUMMYFUNCTION("""COMPUTED_VALUE"""),"Poor")</f>
        <v>Poor</v>
      </c>
      <c r="AB1290" t="str">
        <f>IFERROR(__xludf.DUMMYFUNCTION("""COMPUTED_VALUE"""),"Fair")</f>
        <v>Fair</v>
      </c>
      <c r="AH1290" s="189">
        <f>IFERROR(__xludf.DUMMYFUNCTION("""COMPUTED_VALUE"""),43414.874713125)</f>
        <v>43414.87471</v>
      </c>
    </row>
    <row r="1291">
      <c r="A1291" t="str">
        <f>IFERROR(__xludf.DUMMYFUNCTION("""COMPUTED_VALUE"""),"zonela")</f>
        <v>zonela</v>
      </c>
      <c r="B1291" t="str">
        <f>IFERROR(__xludf.DUMMYFUNCTION("""COMPUTED_VALUE"""),"Bay Area")</f>
        <v>Bay Area</v>
      </c>
      <c r="C1291" t="str">
        <f>IFERROR(__xludf.DUMMYFUNCTION("""COMPUTED_VALUE"""),"CA")</f>
        <v>CA</v>
      </c>
      <c r="D1291" t="str">
        <f>IFERROR(__xludf.DUMMYFUNCTION("""COMPUTED_VALUE"""),"USA")</f>
        <v>USA</v>
      </c>
      <c r="E1291" s="188">
        <f>IFERROR(__xludf.DUMMYFUNCTION("""COMPUTED_VALUE"""),43278.0)</f>
        <v>43278</v>
      </c>
      <c r="F1291" s="188">
        <f>IFERROR(__xludf.DUMMYFUNCTION("""COMPUTED_VALUE"""),43338.0)</f>
        <v>43338</v>
      </c>
      <c r="H1291">
        <f>IFERROR(__xludf.DUMMYFUNCTION("""COMPUTED_VALUE"""),134255.0)</f>
        <v>134255</v>
      </c>
      <c r="I1291" t="str">
        <f>IFERROR(__xludf.DUMMYFUNCTION("""COMPUTED_VALUE"""),"11/18")</f>
        <v>11/18</v>
      </c>
      <c r="J1291" s="5">
        <f>IFERROR(__xludf.DUMMYFUNCTION("""COMPUTED_VALUE"""),43412.0)</f>
        <v>43412</v>
      </c>
      <c r="K1291">
        <f>IFERROR(__xludf.DUMMYFUNCTION("""COMPUTED_VALUE"""),60.0)</f>
        <v>60</v>
      </c>
      <c r="L1291">
        <f>IFERROR(__xludf.DUMMYFUNCTION("""COMPUTED_VALUE"""),74.0)</f>
        <v>74</v>
      </c>
      <c r="M1291">
        <f>IFERROR(__xludf.DUMMYFUNCTION("""COMPUTED_VALUE"""),134.0)</f>
        <v>134</v>
      </c>
      <c r="N1291" t="str">
        <f>IFERROR(__xludf.DUMMYFUNCTION("""COMPUTED_VALUE"""),"Model 3 LR AWD")</f>
        <v>Model 3 LR AWD</v>
      </c>
      <c r="O1291" t="str">
        <f>IFERROR(__xludf.DUMMYFUNCTION("""COMPUTED_VALUE"""),"Pearl White Multi-Coat")</f>
        <v>Pearl White Multi-Coat</v>
      </c>
      <c r="P1291" t="str">
        <f>IFERROR(__xludf.DUMMYFUNCTION("""COMPUTED_VALUE"""),"19 inch Sport")</f>
        <v>19 inch Sport</v>
      </c>
      <c r="Q1291" t="str">
        <f>IFERROR(__xludf.DUMMYFUNCTION("""COMPUTED_VALUE"""),"Black seats")</f>
        <v>Black seats</v>
      </c>
      <c r="R1291" t="str">
        <f>IFERROR(__xludf.DUMMYFUNCTION("""COMPUTED_VALUE"""),"Full Self-Driving")</f>
        <v>Full Self-Driving</v>
      </c>
      <c r="X1291" t="str">
        <f>IFERROR(__xludf.DUMMYFUNCTION("""COMPUTED_VALUE"""),"Excellent")</f>
        <v>Excellent</v>
      </c>
      <c r="Y1291" t="str">
        <f>IFERROR(__xludf.DUMMYFUNCTION("""COMPUTED_VALUE"""),"Good")</f>
        <v>Good</v>
      </c>
      <c r="Z1291" t="str">
        <f>IFERROR(__xludf.DUMMYFUNCTION("""COMPUTED_VALUE"""),"Very Good")</f>
        <v>Very Good</v>
      </c>
      <c r="AA1291" t="str">
        <f>IFERROR(__xludf.DUMMYFUNCTION("""COMPUTED_VALUE"""),"Poor")</f>
        <v>Poor</v>
      </c>
      <c r="AB1291" t="str">
        <f>IFERROR(__xludf.DUMMYFUNCTION("""COMPUTED_VALUE"""),"Fair")</f>
        <v>Fair</v>
      </c>
      <c r="AC1291">
        <f>IFERROR(__xludf.DUMMYFUNCTION("""COMPUTED_VALUE"""),5.0)</f>
        <v>5</v>
      </c>
      <c r="AG1291" t="str">
        <f>IFERROR(__xludf.DUMMYFUNCTION("""COMPUTED_VALUE"""),"Accepted delivery on 5th attempt. Rejected 5 cars due to bad paint quality.")</f>
        <v>Accepted delivery on 5th attempt. Rejected 5 cars due to bad paint quality.</v>
      </c>
      <c r="AH1291" s="189">
        <f>IFERROR(__xludf.DUMMYFUNCTION("""COMPUTED_VALUE"""),43414.90678715278)</f>
        <v>43414.90679</v>
      </c>
    </row>
    <row r="1292">
      <c r="A1292" t="str">
        <f>IFERROR(__xludf.DUMMYFUNCTION("""COMPUTED_VALUE"""),"iaflyer")</f>
        <v>iaflyer</v>
      </c>
      <c r="B1292" t="str">
        <f>IFERROR(__xludf.DUMMYFUNCTION("""COMPUTED_VALUE"""),"Ann Arbor, MI")</f>
        <v>Ann Arbor, MI</v>
      </c>
      <c r="C1292" t="str">
        <f>IFERROR(__xludf.DUMMYFUNCTION("""COMPUTED_VALUE"""),"MI")</f>
        <v>MI</v>
      </c>
      <c r="D1292" t="str">
        <f>IFERROR(__xludf.DUMMYFUNCTION("""COMPUTED_VALUE"""),"USA")</f>
        <v>USA</v>
      </c>
      <c r="E1292" s="188">
        <f>IFERROR(__xludf.DUMMYFUNCTION("""COMPUTED_VALUE"""),43383.0)</f>
        <v>43383</v>
      </c>
      <c r="F1292" s="188">
        <f>IFERROR(__xludf.DUMMYFUNCTION("""COMPUTED_VALUE"""),43393.0)</f>
        <v>43393</v>
      </c>
      <c r="H1292">
        <f>IFERROR(__xludf.DUMMYFUNCTION("""COMPUTED_VALUE"""),58455.0)</f>
        <v>58455</v>
      </c>
      <c r="I1292" t="str">
        <f>IFERROR(__xludf.DUMMYFUNCTION("""COMPUTED_VALUE"""),"10/18")</f>
        <v>10/18</v>
      </c>
      <c r="J1292" s="5">
        <f>IFERROR(__xludf.DUMMYFUNCTION("""COMPUTED_VALUE"""),43403.0)</f>
        <v>43403</v>
      </c>
      <c r="K1292">
        <f>IFERROR(__xludf.DUMMYFUNCTION("""COMPUTED_VALUE"""),10.0)</f>
        <v>10</v>
      </c>
      <c r="L1292">
        <f>IFERROR(__xludf.DUMMYFUNCTION("""COMPUTED_VALUE"""),10.0)</f>
        <v>10</v>
      </c>
      <c r="M1292">
        <f>IFERROR(__xludf.DUMMYFUNCTION("""COMPUTED_VALUE"""),20.0)</f>
        <v>20</v>
      </c>
      <c r="N1292" t="str">
        <f>IFERROR(__xludf.DUMMYFUNCTION("""COMPUTED_VALUE"""),"Model 3 LR")</f>
        <v>Model 3 LR</v>
      </c>
      <c r="O1292" t="str">
        <f>IFERROR(__xludf.DUMMYFUNCTION("""COMPUTED_VALUE"""),"Red Multi-Coat")</f>
        <v>Red Multi-Coat</v>
      </c>
      <c r="P1292" t="str">
        <f>IFERROR(__xludf.DUMMYFUNCTION("""COMPUTED_VALUE"""),"18 inch Aero")</f>
        <v>18 inch Aero</v>
      </c>
      <c r="Q1292" t="str">
        <f>IFERROR(__xludf.DUMMYFUNCTION("""COMPUTED_VALUE"""),"Black seats")</f>
        <v>Black seats</v>
      </c>
      <c r="R1292" t="str">
        <f>IFERROR(__xludf.DUMMYFUNCTION("""COMPUTED_VALUE"""),"Enhanced Autopilot")</f>
        <v>Enhanced Autopilot</v>
      </c>
      <c r="X1292" t="str">
        <f>IFERROR(__xludf.DUMMYFUNCTION("""COMPUTED_VALUE"""),"Excellent")</f>
        <v>Excellent</v>
      </c>
      <c r="Y1292" t="str">
        <f>IFERROR(__xludf.DUMMYFUNCTION("""COMPUTED_VALUE"""),"Excellent")</f>
        <v>Excellent</v>
      </c>
      <c r="Z1292" t="str">
        <f>IFERROR(__xludf.DUMMYFUNCTION("""COMPUTED_VALUE"""),"Excellent")</f>
        <v>Excellent</v>
      </c>
      <c r="AA1292" t="str">
        <f>IFERROR(__xludf.DUMMYFUNCTION("""COMPUTED_VALUE"""),"Good")</f>
        <v>Good</v>
      </c>
      <c r="AB1292" t="str">
        <f>IFERROR(__xludf.DUMMYFUNCTION("""COMPUTED_VALUE"""),"Very Good")</f>
        <v>Very Good</v>
      </c>
      <c r="AC1292">
        <f>IFERROR(__xludf.DUMMYFUNCTION("""COMPUTED_VALUE"""),0.0)</f>
        <v>0</v>
      </c>
      <c r="AD1292">
        <f>IFERROR(__xludf.DUMMYFUNCTION("""COMPUTED_VALUE"""),0.0)</f>
        <v>0</v>
      </c>
      <c r="AH1292" s="189">
        <f>IFERROR(__xludf.DUMMYFUNCTION("""COMPUTED_VALUE"""),43415.36593210648)</f>
        <v>43415.36593</v>
      </c>
    </row>
    <row r="1293">
      <c r="A1293" t="str">
        <f>IFERROR(__xludf.DUMMYFUNCTION("""COMPUTED_VALUE"""),"PA-Pilot")</f>
        <v>PA-Pilot</v>
      </c>
      <c r="B1293" t="str">
        <f>IFERROR(__xludf.DUMMYFUNCTION("""COMPUTED_VALUE"""),"Bucks County")</f>
        <v>Bucks County</v>
      </c>
      <c r="C1293" t="str">
        <f>IFERROR(__xludf.DUMMYFUNCTION("""COMPUTED_VALUE"""),"PA")</f>
        <v>PA</v>
      </c>
      <c r="D1293" t="str">
        <f>IFERROR(__xludf.DUMMYFUNCTION("""COMPUTED_VALUE"""),"USA")</f>
        <v>USA</v>
      </c>
      <c r="E1293" s="188">
        <f>IFERROR(__xludf.DUMMYFUNCTION("""COMPUTED_VALUE"""),43315.0)</f>
        <v>43315</v>
      </c>
      <c r="F1293" s="188">
        <f>IFERROR(__xludf.DUMMYFUNCTION("""COMPUTED_VALUE"""),43396.0)</f>
        <v>43396</v>
      </c>
      <c r="H1293">
        <f>IFERROR(__xludf.DUMMYFUNCTION("""COMPUTED_VALUE"""),83258.0)</f>
        <v>83258</v>
      </c>
      <c r="I1293" t="str">
        <f>IFERROR(__xludf.DUMMYFUNCTION("""COMPUTED_VALUE"""),"10/18")</f>
        <v>10/18</v>
      </c>
      <c r="J1293" s="5">
        <f>IFERROR(__xludf.DUMMYFUNCTION("""COMPUTED_VALUE"""),43414.0)</f>
        <v>43414</v>
      </c>
      <c r="K1293">
        <f>IFERROR(__xludf.DUMMYFUNCTION("""COMPUTED_VALUE"""),81.0)</f>
        <v>81</v>
      </c>
      <c r="L1293">
        <f>IFERROR(__xludf.DUMMYFUNCTION("""COMPUTED_VALUE"""),18.0)</f>
        <v>18</v>
      </c>
      <c r="M1293">
        <f>IFERROR(__xludf.DUMMYFUNCTION("""COMPUTED_VALUE"""),99.0)</f>
        <v>99</v>
      </c>
      <c r="N1293" t="str">
        <f>IFERROR(__xludf.DUMMYFUNCTION("""COMPUTED_VALUE"""),"Model 3 Performance")</f>
        <v>Model 3 Performance</v>
      </c>
      <c r="O1293" t="str">
        <f>IFERROR(__xludf.DUMMYFUNCTION("""COMPUTED_VALUE"""),"Midnight Silver Metallic")</f>
        <v>Midnight Silver Metallic</v>
      </c>
      <c r="P1293" t="str">
        <f>IFERROR(__xludf.DUMMYFUNCTION("""COMPUTED_VALUE"""),"20 inch Sport")</f>
        <v>20 inch Sport</v>
      </c>
      <c r="Q1293" t="str">
        <f>IFERROR(__xludf.DUMMYFUNCTION("""COMPUTED_VALUE"""),"Black seats")</f>
        <v>Black seats</v>
      </c>
      <c r="R1293" t="str">
        <f>IFERROR(__xludf.DUMMYFUNCTION("""COMPUTED_VALUE"""),"Enhanced Autopilot")</f>
        <v>Enhanced Autopilot</v>
      </c>
      <c r="X1293" t="str">
        <f>IFERROR(__xludf.DUMMYFUNCTION("""COMPUTED_VALUE"""),"Very Good")</f>
        <v>Very Good</v>
      </c>
      <c r="Y1293" t="str">
        <f>IFERROR(__xludf.DUMMYFUNCTION("""COMPUTED_VALUE"""),"Very Good")</f>
        <v>Very Good</v>
      </c>
      <c r="Z1293" t="str">
        <f>IFERROR(__xludf.DUMMYFUNCTION("""COMPUTED_VALUE"""),"Very Good")</f>
        <v>Very Good</v>
      </c>
      <c r="AA1293" t="str">
        <f>IFERROR(__xludf.DUMMYFUNCTION("""COMPUTED_VALUE"""),"Poor")</f>
        <v>Poor</v>
      </c>
      <c r="AB1293" t="str">
        <f>IFERROR(__xludf.DUMMYFUNCTION("""COMPUTED_VALUE"""),"Very Good")</f>
        <v>Very Good</v>
      </c>
      <c r="AG1293" t="str">
        <f>IFERROR(__xludf.DUMMYFUNCTION("""COMPUTED_VALUE"""),"deferred delivery, original VIN Assigned 8/17/19")</f>
        <v>deferred delivery, original VIN Assigned 8/17/19</v>
      </c>
      <c r="AH1293" s="189">
        <f>IFERROR(__xludf.DUMMYFUNCTION("""COMPUTED_VALUE"""),43415.76685318287)</f>
        <v>43415.76685</v>
      </c>
    </row>
    <row r="1294">
      <c r="A1294" t="str">
        <f>IFERROR(__xludf.DUMMYFUNCTION("""COMPUTED_VALUE"""),"KodyB")</f>
        <v>KodyB</v>
      </c>
      <c r="B1294" t="str">
        <f>IFERROR(__xludf.DUMMYFUNCTION("""COMPUTED_VALUE"""),"Sioux Falls")</f>
        <v>Sioux Falls</v>
      </c>
      <c r="C1294" t="str">
        <f>IFERROR(__xludf.DUMMYFUNCTION("""COMPUTED_VALUE"""),"SD")</f>
        <v>SD</v>
      </c>
      <c r="D1294" t="str">
        <f>IFERROR(__xludf.DUMMYFUNCTION("""COMPUTED_VALUE"""),"USA")</f>
        <v>USA</v>
      </c>
      <c r="E1294" s="188">
        <f>IFERROR(__xludf.DUMMYFUNCTION("""COMPUTED_VALUE"""),43277.0)</f>
        <v>43277</v>
      </c>
      <c r="F1294" s="188">
        <f>IFERROR(__xludf.DUMMYFUNCTION("""COMPUTED_VALUE"""),43378.0)</f>
        <v>43378</v>
      </c>
      <c r="H1294">
        <f>IFERROR(__xludf.DUMMYFUNCTION("""COMPUTED_VALUE"""),94755.0)</f>
        <v>94755</v>
      </c>
      <c r="J1294" s="5">
        <f>IFERROR(__xludf.DUMMYFUNCTION("""COMPUTED_VALUE"""),43410.0)</f>
        <v>43410</v>
      </c>
      <c r="K1294">
        <f>IFERROR(__xludf.DUMMYFUNCTION("""COMPUTED_VALUE"""),101.0)</f>
        <v>101</v>
      </c>
      <c r="L1294">
        <f>IFERROR(__xludf.DUMMYFUNCTION("""COMPUTED_VALUE"""),32.0)</f>
        <v>32</v>
      </c>
      <c r="M1294">
        <f>IFERROR(__xludf.DUMMYFUNCTION("""COMPUTED_VALUE"""),133.0)</f>
        <v>133</v>
      </c>
      <c r="N1294" t="str">
        <f>IFERROR(__xludf.DUMMYFUNCTION("""COMPUTED_VALUE"""),"Model 3 LR AWD")</f>
        <v>Model 3 LR AWD</v>
      </c>
      <c r="O1294" t="str">
        <f>IFERROR(__xludf.DUMMYFUNCTION("""COMPUTED_VALUE"""),"Pearl White Multi-Coat")</f>
        <v>Pearl White Multi-Coat</v>
      </c>
      <c r="P1294" t="str">
        <f>IFERROR(__xludf.DUMMYFUNCTION("""COMPUTED_VALUE"""),"18 inch Aero")</f>
        <v>18 inch Aero</v>
      </c>
      <c r="Q1294" t="str">
        <f>IFERROR(__xludf.DUMMYFUNCTION("""COMPUTED_VALUE"""),"Black seats")</f>
        <v>Black seats</v>
      </c>
      <c r="R1294" t="str">
        <f>IFERROR(__xludf.DUMMYFUNCTION("""COMPUTED_VALUE"""),"Enhanced Autopilot")</f>
        <v>Enhanced Autopilot</v>
      </c>
      <c r="X1294" t="str">
        <f>IFERROR(__xludf.DUMMYFUNCTION("""COMPUTED_VALUE"""),"Very Good")</f>
        <v>Very Good</v>
      </c>
      <c r="Y1294" t="str">
        <f>IFERROR(__xludf.DUMMYFUNCTION("""COMPUTED_VALUE"""),"Very Good")</f>
        <v>Very Good</v>
      </c>
      <c r="Z1294" t="str">
        <f>IFERROR(__xludf.DUMMYFUNCTION("""COMPUTED_VALUE"""),"Very Good")</f>
        <v>Very Good</v>
      </c>
      <c r="AA1294" t="str">
        <f>IFERROR(__xludf.DUMMYFUNCTION("""COMPUTED_VALUE"""),"Fair")</f>
        <v>Fair</v>
      </c>
      <c r="AB1294" t="str">
        <f>IFERROR(__xludf.DUMMYFUNCTION("""COMPUTED_VALUE"""),"Fair")</f>
        <v>Fair</v>
      </c>
      <c r="AC1294">
        <f>IFERROR(__xludf.DUMMYFUNCTION("""COMPUTED_VALUE"""),0.0)</f>
        <v>0</v>
      </c>
      <c r="AH1294" s="189">
        <f>IFERROR(__xludf.DUMMYFUNCTION("""COMPUTED_VALUE"""),43415.8001390162)</f>
        <v>43415.80014</v>
      </c>
    </row>
    <row r="1295">
      <c r="A1295" t="str">
        <f>IFERROR(__xludf.DUMMYFUNCTION("""COMPUTED_VALUE"""),"AndyN")</f>
        <v>AndyN</v>
      </c>
      <c r="B1295" t="str">
        <f>IFERROR(__xludf.DUMMYFUNCTION("""COMPUTED_VALUE"""),"Los Angeles")</f>
        <v>Los Angeles</v>
      </c>
      <c r="C1295" t="str">
        <f>IFERROR(__xludf.DUMMYFUNCTION("""COMPUTED_VALUE"""),"CA")</f>
        <v>CA</v>
      </c>
      <c r="D1295" t="str">
        <f>IFERROR(__xludf.DUMMYFUNCTION("""COMPUTED_VALUE"""),"USA")</f>
        <v>USA</v>
      </c>
      <c r="E1295" s="188">
        <f>IFERROR(__xludf.DUMMYFUNCTION("""COMPUTED_VALUE"""),43400.0)</f>
        <v>43400</v>
      </c>
      <c r="F1295" s="188">
        <f>IFERROR(__xludf.DUMMYFUNCTION("""COMPUTED_VALUE"""),43410.0)</f>
        <v>43410</v>
      </c>
      <c r="H1295">
        <f>IFERROR(__xludf.DUMMYFUNCTION("""COMPUTED_VALUE"""),75155.0)</f>
        <v>75155</v>
      </c>
      <c r="I1295" t="str">
        <f>IFERROR(__xludf.DUMMYFUNCTION("""COMPUTED_VALUE"""),"10/18")</f>
        <v>10/18</v>
      </c>
      <c r="J1295" s="5">
        <f>IFERROR(__xludf.DUMMYFUNCTION("""COMPUTED_VALUE"""),43415.0)</f>
        <v>43415</v>
      </c>
      <c r="K1295">
        <f>IFERROR(__xludf.DUMMYFUNCTION("""COMPUTED_VALUE"""),10.0)</f>
        <v>10</v>
      </c>
      <c r="L1295">
        <f>IFERROR(__xludf.DUMMYFUNCTION("""COMPUTED_VALUE"""),5.0)</f>
        <v>5</v>
      </c>
      <c r="M1295">
        <f>IFERROR(__xludf.DUMMYFUNCTION("""COMPUTED_VALUE"""),15.0)</f>
        <v>15</v>
      </c>
      <c r="N1295" t="str">
        <f>IFERROR(__xludf.DUMMYFUNCTION("""COMPUTED_VALUE"""),"Model 3 LR AWD")</f>
        <v>Model 3 LR AWD</v>
      </c>
      <c r="O1295" t="str">
        <f>IFERROR(__xludf.DUMMYFUNCTION("""COMPUTED_VALUE"""),"Deep Blue Metallic")</f>
        <v>Deep Blue Metallic</v>
      </c>
      <c r="P1295" t="str">
        <f>IFERROR(__xludf.DUMMYFUNCTION("""COMPUTED_VALUE"""),"18 inch Aero")</f>
        <v>18 inch Aero</v>
      </c>
      <c r="Q1295" t="str">
        <f>IFERROR(__xludf.DUMMYFUNCTION("""COMPUTED_VALUE"""),"White seats")</f>
        <v>White seats</v>
      </c>
      <c r="R1295" t="str">
        <f>IFERROR(__xludf.DUMMYFUNCTION("""COMPUTED_VALUE"""),"Enhanced Autopilot")</f>
        <v>Enhanced Autopilot</v>
      </c>
      <c r="X1295" t="str">
        <f>IFERROR(__xludf.DUMMYFUNCTION("""COMPUTED_VALUE"""),"Excellent")</f>
        <v>Excellent</v>
      </c>
      <c r="Y1295" t="str">
        <f>IFERROR(__xludf.DUMMYFUNCTION("""COMPUTED_VALUE"""),"Excellent")</f>
        <v>Excellent</v>
      </c>
      <c r="Z1295" t="str">
        <f>IFERROR(__xludf.DUMMYFUNCTION("""COMPUTED_VALUE"""),"Very Good")</f>
        <v>Very Good</v>
      </c>
      <c r="AA1295" t="str">
        <f>IFERROR(__xludf.DUMMYFUNCTION("""COMPUTED_VALUE"""),"Very Good")</f>
        <v>Very Good</v>
      </c>
      <c r="AB1295" t="str">
        <f>IFERROR(__xludf.DUMMYFUNCTION("""COMPUTED_VALUE"""),"Very Good")</f>
        <v>Very Good</v>
      </c>
      <c r="AH1295" s="189">
        <f>IFERROR(__xludf.DUMMYFUNCTION("""COMPUTED_VALUE"""),43415.81946578703)</f>
        <v>43415.81947</v>
      </c>
    </row>
    <row r="1296">
      <c r="A1296" t="str">
        <f>IFERROR(__xludf.DUMMYFUNCTION("""COMPUTED_VALUE"""),"jrielley")</f>
        <v>jrielley</v>
      </c>
      <c r="B1296" t="str">
        <f>IFERROR(__xludf.DUMMYFUNCTION("""COMPUTED_VALUE"""),"Mt Holly")</f>
        <v>Mt Holly</v>
      </c>
      <c r="C1296" t="str">
        <f>IFERROR(__xludf.DUMMYFUNCTION("""COMPUTED_VALUE"""),"NC")</f>
        <v>NC</v>
      </c>
      <c r="D1296" t="str">
        <f>IFERROR(__xludf.DUMMYFUNCTION("""COMPUTED_VALUE"""),"USA")</f>
        <v>USA</v>
      </c>
      <c r="E1296" s="188">
        <f>IFERROR(__xludf.DUMMYFUNCTION("""COMPUTED_VALUE"""),43386.0)</f>
        <v>43386</v>
      </c>
      <c r="F1296" s="188">
        <f>IFERROR(__xludf.DUMMYFUNCTION("""COMPUTED_VALUE"""),43396.0)</f>
        <v>43396</v>
      </c>
      <c r="H1296">
        <f>IFERROR(__xludf.DUMMYFUNCTION("""COMPUTED_VALUE"""),102655.0)</f>
        <v>102655</v>
      </c>
      <c r="I1296" t="str">
        <f>IFERROR(__xludf.DUMMYFUNCTION("""COMPUTED_VALUE"""),"10/18")</f>
        <v>10/18</v>
      </c>
      <c r="J1296" s="5">
        <f>IFERROR(__xludf.DUMMYFUNCTION("""COMPUTED_VALUE"""),43417.0)</f>
        <v>43417</v>
      </c>
      <c r="K1296">
        <f>IFERROR(__xludf.DUMMYFUNCTION("""COMPUTED_VALUE"""),10.0)</f>
        <v>10</v>
      </c>
      <c r="L1296">
        <f>IFERROR(__xludf.DUMMYFUNCTION("""COMPUTED_VALUE"""),21.0)</f>
        <v>21</v>
      </c>
      <c r="M1296">
        <f>IFERROR(__xludf.DUMMYFUNCTION("""COMPUTED_VALUE"""),31.0)</f>
        <v>31</v>
      </c>
      <c r="N1296" t="str">
        <f>IFERROR(__xludf.DUMMYFUNCTION("""COMPUTED_VALUE"""),"Model 3 LR")</f>
        <v>Model 3 LR</v>
      </c>
      <c r="O1296" t="str">
        <f>IFERROR(__xludf.DUMMYFUNCTION("""COMPUTED_VALUE"""),"Deep Blue Metallic")</f>
        <v>Deep Blue Metallic</v>
      </c>
      <c r="P1296" t="str">
        <f>IFERROR(__xludf.DUMMYFUNCTION("""COMPUTED_VALUE"""),"18 inch Aero")</f>
        <v>18 inch Aero</v>
      </c>
      <c r="Q1296" t="str">
        <f>IFERROR(__xludf.DUMMYFUNCTION("""COMPUTED_VALUE"""),"Black seats")</f>
        <v>Black seats</v>
      </c>
      <c r="R1296" t="str">
        <f>IFERROR(__xludf.DUMMYFUNCTION("""COMPUTED_VALUE"""),"Full Self-Driving")</f>
        <v>Full Self-Driving</v>
      </c>
      <c r="X1296" t="str">
        <f>IFERROR(__xludf.DUMMYFUNCTION("""COMPUTED_VALUE"""),"Excellent")</f>
        <v>Excellent</v>
      </c>
      <c r="Y1296" t="str">
        <f>IFERROR(__xludf.DUMMYFUNCTION("""COMPUTED_VALUE"""),"Excellent")</f>
        <v>Excellent</v>
      </c>
      <c r="Z1296" t="str">
        <f>IFERROR(__xludf.DUMMYFUNCTION("""COMPUTED_VALUE"""),"Excellent")</f>
        <v>Excellent</v>
      </c>
      <c r="AA1296" t="str">
        <f>IFERROR(__xludf.DUMMYFUNCTION("""COMPUTED_VALUE"""),"Very Good")</f>
        <v>Very Good</v>
      </c>
      <c r="AB1296" t="str">
        <f>IFERROR(__xludf.DUMMYFUNCTION("""COMPUTED_VALUE"""),"Very Good")</f>
        <v>Very Good</v>
      </c>
      <c r="AH1296" s="189">
        <f>IFERROR(__xludf.DUMMYFUNCTION("""COMPUTED_VALUE"""),43416.28551649305)</f>
        <v>43416.28552</v>
      </c>
    </row>
    <row r="1297">
      <c r="A1297" t="str">
        <f>IFERROR(__xludf.DUMMYFUNCTION("""COMPUTED_VALUE"""),"sfca")</f>
        <v>sfca</v>
      </c>
      <c r="B1297" t="str">
        <f>IFERROR(__xludf.DUMMYFUNCTION("""COMPUTED_VALUE"""),"Los Angeles")</f>
        <v>Los Angeles</v>
      </c>
      <c r="C1297" t="str">
        <f>IFERROR(__xludf.DUMMYFUNCTION("""COMPUTED_VALUE"""),"CA")</f>
        <v>CA</v>
      </c>
      <c r="D1297" t="str">
        <f>IFERROR(__xludf.DUMMYFUNCTION("""COMPUTED_VALUE"""),"USA")</f>
        <v>USA</v>
      </c>
      <c r="E1297" s="188">
        <f>IFERROR(__xludf.DUMMYFUNCTION("""COMPUTED_VALUE"""),43277.0)</f>
        <v>43277</v>
      </c>
      <c r="F1297" s="188">
        <f>IFERROR(__xludf.DUMMYFUNCTION("""COMPUTED_VALUE"""),43411.0)</f>
        <v>43411</v>
      </c>
      <c r="H1297">
        <f>IFERROR(__xludf.DUMMYFUNCTION("""COMPUTED_VALUE"""),93355.0)</f>
        <v>93355</v>
      </c>
      <c r="I1297" t="str">
        <f>IFERROR(__xludf.DUMMYFUNCTION("""COMPUTED_VALUE"""),"09/18")</f>
        <v>09/18</v>
      </c>
      <c r="J1297" s="5">
        <f>IFERROR(__xludf.DUMMYFUNCTION("""COMPUTED_VALUE"""),43415.0)</f>
        <v>43415</v>
      </c>
      <c r="K1297">
        <f>IFERROR(__xludf.DUMMYFUNCTION("""COMPUTED_VALUE"""),134.0)</f>
        <v>134</v>
      </c>
      <c r="L1297">
        <f>IFERROR(__xludf.DUMMYFUNCTION("""COMPUTED_VALUE"""),4.0)</f>
        <v>4</v>
      </c>
      <c r="M1297">
        <f>IFERROR(__xludf.DUMMYFUNCTION("""COMPUTED_VALUE"""),138.0)</f>
        <v>138</v>
      </c>
      <c r="N1297" t="str">
        <f>IFERROR(__xludf.DUMMYFUNCTION("""COMPUTED_VALUE"""),"Model 3 LR AWD")</f>
        <v>Model 3 LR AWD</v>
      </c>
      <c r="O1297" t="str">
        <f>IFERROR(__xludf.DUMMYFUNCTION("""COMPUTED_VALUE"""),"Silver Metallic")</f>
        <v>Silver Metallic</v>
      </c>
      <c r="P1297" t="str">
        <f>IFERROR(__xludf.DUMMYFUNCTION("""COMPUTED_VALUE"""),"18 inch Aero")</f>
        <v>18 inch Aero</v>
      </c>
      <c r="Q1297" t="str">
        <f>IFERROR(__xludf.DUMMYFUNCTION("""COMPUTED_VALUE"""),"Black seats")</f>
        <v>Black seats</v>
      </c>
      <c r="R1297" t="str">
        <f>IFERROR(__xludf.DUMMYFUNCTION("""COMPUTED_VALUE"""),"None")</f>
        <v>None</v>
      </c>
      <c r="X1297" t="str">
        <f>IFERROR(__xludf.DUMMYFUNCTION("""COMPUTED_VALUE"""),"Very Good")</f>
        <v>Very Good</v>
      </c>
      <c r="Y1297" t="str">
        <f>IFERROR(__xludf.DUMMYFUNCTION("""COMPUTED_VALUE"""),"Fair")</f>
        <v>Fair</v>
      </c>
      <c r="Z1297" t="str">
        <f>IFERROR(__xludf.DUMMYFUNCTION("""COMPUTED_VALUE"""),"Fair")</f>
        <v>Fair</v>
      </c>
      <c r="AA1297" t="str">
        <f>IFERROR(__xludf.DUMMYFUNCTION("""COMPUTED_VALUE"""),"Good")</f>
        <v>Good</v>
      </c>
      <c r="AB1297" t="str">
        <f>IFERROR(__xludf.DUMMYFUNCTION("""COMPUTED_VALUE"""),"Good")</f>
        <v>Good</v>
      </c>
      <c r="AH1297" s="189">
        <f>IFERROR(__xludf.DUMMYFUNCTION("""COMPUTED_VALUE"""),43416.31794896991)</f>
        <v>43416.31795</v>
      </c>
    </row>
    <row r="1298">
      <c r="A1298" t="str">
        <f>IFERROR(__xludf.DUMMYFUNCTION("""COMPUTED_VALUE"""),"njenslin")</f>
        <v>njenslin</v>
      </c>
      <c r="B1298" t="str">
        <f>IFERROR(__xludf.DUMMYFUNCTION("""COMPUTED_VALUE"""),"Wichita")</f>
        <v>Wichita</v>
      </c>
      <c r="C1298" t="str">
        <f>IFERROR(__xludf.DUMMYFUNCTION("""COMPUTED_VALUE"""),"KS")</f>
        <v>KS</v>
      </c>
      <c r="D1298" t="str">
        <f>IFERROR(__xludf.DUMMYFUNCTION("""COMPUTED_VALUE"""),"USA")</f>
        <v>USA</v>
      </c>
      <c r="E1298" s="188">
        <f>IFERROR(__xludf.DUMMYFUNCTION("""COMPUTED_VALUE"""),43386.0)</f>
        <v>43386</v>
      </c>
      <c r="F1298" s="188">
        <f>IFERROR(__xludf.DUMMYFUNCTION("""COMPUTED_VALUE"""),43411.0)</f>
        <v>43411</v>
      </c>
      <c r="H1298">
        <f>IFERROR(__xludf.DUMMYFUNCTION("""COMPUTED_VALUE"""),109021.0)</f>
        <v>109021</v>
      </c>
      <c r="I1298" t="str">
        <f>IFERROR(__xludf.DUMMYFUNCTION("""COMPUTED_VALUE"""),"10/18")</f>
        <v>10/18</v>
      </c>
      <c r="J1298" s="5">
        <f>IFERROR(__xludf.DUMMYFUNCTION("""COMPUTED_VALUE"""),43414.0)</f>
        <v>43414</v>
      </c>
      <c r="K1298">
        <f>IFERROR(__xludf.DUMMYFUNCTION("""COMPUTED_VALUE"""),25.0)</f>
        <v>25</v>
      </c>
      <c r="L1298">
        <f>IFERROR(__xludf.DUMMYFUNCTION("""COMPUTED_VALUE"""),3.0)</f>
        <v>3</v>
      </c>
      <c r="M1298">
        <f>IFERROR(__xludf.DUMMYFUNCTION("""COMPUTED_VALUE"""),28.0)</f>
        <v>28</v>
      </c>
      <c r="N1298" t="str">
        <f>IFERROR(__xludf.DUMMYFUNCTION("""COMPUTED_VALUE"""),"Model 3 LR")</f>
        <v>Model 3 LR</v>
      </c>
      <c r="O1298" t="str">
        <f>IFERROR(__xludf.DUMMYFUNCTION("""COMPUTED_VALUE"""),"Solid Black")</f>
        <v>Solid Black</v>
      </c>
      <c r="P1298" t="str">
        <f>IFERROR(__xludf.DUMMYFUNCTION("""COMPUTED_VALUE"""),"18 inch Aero")</f>
        <v>18 inch Aero</v>
      </c>
      <c r="Q1298" t="str">
        <f>IFERROR(__xludf.DUMMYFUNCTION("""COMPUTED_VALUE"""),"Black seats")</f>
        <v>Black seats</v>
      </c>
      <c r="R1298" t="str">
        <f>IFERROR(__xludf.DUMMYFUNCTION("""COMPUTED_VALUE"""),"Enhanced Autopilot")</f>
        <v>Enhanced Autopilot</v>
      </c>
      <c r="X1298" t="str">
        <f>IFERROR(__xludf.DUMMYFUNCTION("""COMPUTED_VALUE"""),"Excellent")</f>
        <v>Excellent</v>
      </c>
      <c r="Y1298" t="str">
        <f>IFERROR(__xludf.DUMMYFUNCTION("""COMPUTED_VALUE"""),"Excellent")</f>
        <v>Excellent</v>
      </c>
      <c r="Z1298" t="str">
        <f>IFERROR(__xludf.DUMMYFUNCTION("""COMPUTED_VALUE"""),"Excellent")</f>
        <v>Excellent</v>
      </c>
      <c r="AA1298" t="str">
        <f>IFERROR(__xludf.DUMMYFUNCTION("""COMPUTED_VALUE"""),"Poor")</f>
        <v>Poor</v>
      </c>
      <c r="AB1298" t="str">
        <f>IFERROR(__xludf.DUMMYFUNCTION("""COMPUTED_VALUE"""),"Very Good")</f>
        <v>Very Good</v>
      </c>
      <c r="AH1298" s="189">
        <f>IFERROR(__xludf.DUMMYFUNCTION("""COMPUTED_VALUE"""),43416.5996103588)</f>
        <v>43416.59961</v>
      </c>
    </row>
    <row r="1299">
      <c r="A1299" t="str">
        <f>IFERROR(__xludf.DUMMYFUNCTION("""COMPUTED_VALUE"""),"OneJaguar")</f>
        <v>OneJaguar</v>
      </c>
      <c r="B1299" t="str">
        <f>IFERROR(__xludf.DUMMYFUNCTION("""COMPUTED_VALUE"""),"Los Angeles")</f>
        <v>Los Angeles</v>
      </c>
      <c r="C1299" t="str">
        <f>IFERROR(__xludf.DUMMYFUNCTION("""COMPUTED_VALUE"""),"CA")</f>
        <v>CA</v>
      </c>
      <c r="D1299" t="str">
        <f>IFERROR(__xludf.DUMMYFUNCTION("""COMPUTED_VALUE"""),"USA")</f>
        <v>USA</v>
      </c>
      <c r="E1299" s="188">
        <f>IFERROR(__xludf.DUMMYFUNCTION("""COMPUTED_VALUE"""),43391.0)</f>
        <v>43391</v>
      </c>
      <c r="F1299" s="188">
        <f>IFERROR(__xludf.DUMMYFUNCTION("""COMPUTED_VALUE"""),43409.0)</f>
        <v>43409</v>
      </c>
      <c r="H1299">
        <f>IFERROR(__xludf.DUMMYFUNCTION("""COMPUTED_VALUE"""),153345.0)</f>
        <v>153345</v>
      </c>
      <c r="I1299" t="str">
        <f>IFERROR(__xludf.DUMMYFUNCTION("""COMPUTED_VALUE"""),"11/18")</f>
        <v>11/18</v>
      </c>
      <c r="J1299" s="5">
        <f>IFERROR(__xludf.DUMMYFUNCTION("""COMPUTED_VALUE"""),43416.0)</f>
        <v>43416</v>
      </c>
      <c r="K1299">
        <f>IFERROR(__xludf.DUMMYFUNCTION("""COMPUTED_VALUE"""),18.0)</f>
        <v>18</v>
      </c>
      <c r="L1299">
        <f>IFERROR(__xludf.DUMMYFUNCTION("""COMPUTED_VALUE"""),7.0)</f>
        <v>7</v>
      </c>
      <c r="M1299">
        <f>IFERROR(__xludf.DUMMYFUNCTION("""COMPUTED_VALUE"""),25.0)</f>
        <v>25</v>
      </c>
      <c r="N1299" t="str">
        <f>IFERROR(__xludf.DUMMYFUNCTION("""COMPUTED_VALUE"""),"Model 3 MR")</f>
        <v>Model 3 MR</v>
      </c>
      <c r="O1299" t="str">
        <f>IFERROR(__xludf.DUMMYFUNCTION("""COMPUTED_VALUE"""),"Midnight Silver Metallic")</f>
        <v>Midnight Silver Metallic</v>
      </c>
      <c r="P1299" t="str">
        <f>IFERROR(__xludf.DUMMYFUNCTION("""COMPUTED_VALUE"""),"18 inch Aero")</f>
        <v>18 inch Aero</v>
      </c>
      <c r="Q1299" t="str">
        <f>IFERROR(__xludf.DUMMYFUNCTION("""COMPUTED_VALUE"""),"Black seats")</f>
        <v>Black seats</v>
      </c>
      <c r="R1299" t="str">
        <f>IFERROR(__xludf.DUMMYFUNCTION("""COMPUTED_VALUE"""),"Enhanced Autopilot")</f>
        <v>Enhanced Autopilot</v>
      </c>
      <c r="X1299" t="str">
        <f>IFERROR(__xludf.DUMMYFUNCTION("""COMPUTED_VALUE"""),"Excellent")</f>
        <v>Excellent</v>
      </c>
      <c r="Y1299" t="str">
        <f>IFERROR(__xludf.DUMMYFUNCTION("""COMPUTED_VALUE"""),"Excellent")</f>
        <v>Excellent</v>
      </c>
      <c r="Z1299" t="str">
        <f>IFERROR(__xludf.DUMMYFUNCTION("""COMPUTED_VALUE"""),"Excellent")</f>
        <v>Excellent</v>
      </c>
      <c r="AA1299" t="str">
        <f>IFERROR(__xludf.DUMMYFUNCTION("""COMPUTED_VALUE"""),"Poor")</f>
        <v>Poor</v>
      </c>
      <c r="AB1299" t="str">
        <f>IFERROR(__xludf.DUMMYFUNCTION("""COMPUTED_VALUE"""),"Very Good")</f>
        <v>Very Good</v>
      </c>
      <c r="AH1299" s="189">
        <f>IFERROR(__xludf.DUMMYFUNCTION("""COMPUTED_VALUE"""),43416.67845313657)</f>
        <v>43416.67845</v>
      </c>
    </row>
    <row r="1300">
      <c r="A1300" t="str">
        <f>IFERROR(__xludf.DUMMYFUNCTION("""COMPUTED_VALUE"""),"Leeroyjones")</f>
        <v>Leeroyjones</v>
      </c>
      <c r="B1300" t="str">
        <f>IFERROR(__xludf.DUMMYFUNCTION("""COMPUTED_VALUE"""),"Baton Rouge")</f>
        <v>Baton Rouge</v>
      </c>
      <c r="C1300" t="str">
        <f>IFERROR(__xludf.DUMMYFUNCTION("""COMPUTED_VALUE"""),"LA")</f>
        <v>LA</v>
      </c>
      <c r="D1300" t="str">
        <f>IFERROR(__xludf.DUMMYFUNCTION("""COMPUTED_VALUE"""),"USA")</f>
        <v>USA</v>
      </c>
      <c r="E1300" s="188">
        <f>IFERROR(__xludf.DUMMYFUNCTION("""COMPUTED_VALUE"""),43279.0)</f>
        <v>43279</v>
      </c>
      <c r="F1300" s="188">
        <f>IFERROR(__xludf.DUMMYFUNCTION("""COMPUTED_VALUE"""),43392.0)</f>
        <v>43392</v>
      </c>
      <c r="H1300" s="4">
        <f>IFERROR(__xludf.DUMMYFUNCTION("""COMPUTED_VALUE"""),109382.0)</f>
        <v>109382</v>
      </c>
      <c r="J1300" s="5">
        <f>IFERROR(__xludf.DUMMYFUNCTION("""COMPUTED_VALUE"""),43413.0)</f>
        <v>43413</v>
      </c>
      <c r="K1300">
        <f>IFERROR(__xludf.DUMMYFUNCTION("""COMPUTED_VALUE"""),113.0)</f>
        <v>113</v>
      </c>
      <c r="L1300">
        <f>IFERROR(__xludf.DUMMYFUNCTION("""COMPUTED_VALUE"""),21.0)</f>
        <v>21</v>
      </c>
      <c r="M1300">
        <f>IFERROR(__xludf.DUMMYFUNCTION("""COMPUTED_VALUE"""),134.0)</f>
        <v>134</v>
      </c>
      <c r="N1300" t="str">
        <f>IFERROR(__xludf.DUMMYFUNCTION("""COMPUTED_VALUE"""),"Model 3 LR AWD")</f>
        <v>Model 3 LR AWD</v>
      </c>
      <c r="O1300" t="str">
        <f>IFERROR(__xludf.DUMMYFUNCTION("""COMPUTED_VALUE"""),"Obsidian Black Metallic")</f>
        <v>Obsidian Black Metallic</v>
      </c>
      <c r="P1300" t="str">
        <f>IFERROR(__xludf.DUMMYFUNCTION("""COMPUTED_VALUE"""),"19 inch Sport")</f>
        <v>19 inch Sport</v>
      </c>
      <c r="Q1300" t="str">
        <f>IFERROR(__xludf.DUMMYFUNCTION("""COMPUTED_VALUE"""),"Black seats")</f>
        <v>Black seats</v>
      </c>
      <c r="R1300" t="str">
        <f>IFERROR(__xludf.DUMMYFUNCTION("""COMPUTED_VALUE"""),"Enhanced Autopilot")</f>
        <v>Enhanced Autopilot</v>
      </c>
      <c r="X1300" t="str">
        <f>IFERROR(__xludf.DUMMYFUNCTION("""COMPUTED_VALUE"""),"Very Good")</f>
        <v>Very Good</v>
      </c>
      <c r="Y1300" t="str">
        <f>IFERROR(__xludf.DUMMYFUNCTION("""COMPUTED_VALUE"""),"Excellent")</f>
        <v>Excellent</v>
      </c>
      <c r="Z1300" t="str">
        <f>IFERROR(__xludf.DUMMYFUNCTION("""COMPUTED_VALUE"""),"Very Good")</f>
        <v>Very Good</v>
      </c>
      <c r="AA1300" t="str">
        <f>IFERROR(__xludf.DUMMYFUNCTION("""COMPUTED_VALUE"""),"Excellent")</f>
        <v>Excellent</v>
      </c>
      <c r="AB1300" t="str">
        <f>IFERROR(__xludf.DUMMYFUNCTION("""COMPUTED_VALUE"""),"Very Good")</f>
        <v>Very Good</v>
      </c>
      <c r="AH1300" s="189">
        <f>IFERROR(__xludf.DUMMYFUNCTION("""COMPUTED_VALUE"""),43416.88122787037)</f>
        <v>43416.88123</v>
      </c>
    </row>
    <row r="1301">
      <c r="A1301" t="str">
        <f>IFERROR(__xludf.DUMMYFUNCTION("""COMPUTED_VALUE"""),"JackElMatador")</f>
        <v>JackElMatador</v>
      </c>
      <c r="B1301" t="str">
        <f>IFERROR(__xludf.DUMMYFUNCTION("""COMPUTED_VALUE"""),"Cook County")</f>
        <v>Cook County</v>
      </c>
      <c r="C1301" t="str">
        <f>IFERROR(__xludf.DUMMYFUNCTION("""COMPUTED_VALUE"""),"IL")</f>
        <v>IL</v>
      </c>
      <c r="D1301" t="str">
        <f>IFERROR(__xludf.DUMMYFUNCTION("""COMPUTED_VALUE"""),"USA")</f>
        <v>USA</v>
      </c>
      <c r="E1301" s="188">
        <f>IFERROR(__xludf.DUMMYFUNCTION("""COMPUTED_VALUE"""),43401.0)</f>
        <v>43401</v>
      </c>
      <c r="F1301" s="188">
        <f>IFERROR(__xludf.DUMMYFUNCTION("""COMPUTED_VALUE"""),43411.0)</f>
        <v>43411</v>
      </c>
      <c r="H1301">
        <f>IFERROR(__xludf.DUMMYFUNCTION("""COMPUTED_VALUE"""),118555.0)</f>
        <v>118555</v>
      </c>
      <c r="J1301" s="5">
        <f>IFERROR(__xludf.DUMMYFUNCTION("""COMPUTED_VALUE"""),43416.0)</f>
        <v>43416</v>
      </c>
      <c r="K1301">
        <f>IFERROR(__xludf.DUMMYFUNCTION("""COMPUTED_VALUE"""),10.0)</f>
        <v>10</v>
      </c>
      <c r="L1301">
        <f>IFERROR(__xludf.DUMMYFUNCTION("""COMPUTED_VALUE"""),5.0)</f>
        <v>5</v>
      </c>
      <c r="M1301">
        <f>IFERROR(__xludf.DUMMYFUNCTION("""COMPUTED_VALUE"""),15.0)</f>
        <v>15</v>
      </c>
      <c r="N1301" t="str">
        <f>IFERROR(__xludf.DUMMYFUNCTION("""COMPUTED_VALUE"""),"Model 3 LR AWD")</f>
        <v>Model 3 LR AWD</v>
      </c>
      <c r="O1301" t="str">
        <f>IFERROR(__xludf.DUMMYFUNCTION("""COMPUTED_VALUE"""),"Solid Black")</f>
        <v>Solid Black</v>
      </c>
      <c r="P1301" t="str">
        <f>IFERROR(__xludf.DUMMYFUNCTION("""COMPUTED_VALUE"""),"18 inch Aero")</f>
        <v>18 inch Aero</v>
      </c>
      <c r="Q1301" t="str">
        <f>IFERROR(__xludf.DUMMYFUNCTION("""COMPUTED_VALUE"""),"Black seats")</f>
        <v>Black seats</v>
      </c>
      <c r="R1301" t="str">
        <f>IFERROR(__xludf.DUMMYFUNCTION("""COMPUTED_VALUE"""),"None")</f>
        <v>None</v>
      </c>
      <c r="X1301" t="str">
        <f>IFERROR(__xludf.DUMMYFUNCTION("""COMPUTED_VALUE"""),"Excellent")</f>
        <v>Excellent</v>
      </c>
      <c r="Y1301" t="str">
        <f>IFERROR(__xludf.DUMMYFUNCTION("""COMPUTED_VALUE"""),"Excellent")</f>
        <v>Excellent</v>
      </c>
      <c r="Z1301" t="str">
        <f>IFERROR(__xludf.DUMMYFUNCTION("""COMPUTED_VALUE"""),"Excellent")</f>
        <v>Excellent</v>
      </c>
      <c r="AA1301" t="str">
        <f>IFERROR(__xludf.DUMMYFUNCTION("""COMPUTED_VALUE"""),"Excellent")</f>
        <v>Excellent</v>
      </c>
      <c r="AB1301" t="str">
        <f>IFERROR(__xludf.DUMMYFUNCTION("""COMPUTED_VALUE"""),"Good")</f>
        <v>Good</v>
      </c>
      <c r="AH1301" s="189">
        <f>IFERROR(__xludf.DUMMYFUNCTION("""COMPUTED_VALUE"""),43417.15894984954)</f>
        <v>43417.15895</v>
      </c>
    </row>
    <row r="1302">
      <c r="A1302" t="str">
        <f>IFERROR(__xludf.DUMMYFUNCTION("""COMPUTED_VALUE"""),"taylanator")</f>
        <v>taylanator</v>
      </c>
      <c r="B1302" t="str">
        <f>IFERROR(__xludf.DUMMYFUNCTION("""COMPUTED_VALUE"""),"Lake Saint Louis")</f>
        <v>Lake Saint Louis</v>
      </c>
      <c r="C1302" t="str">
        <f>IFERROR(__xludf.DUMMYFUNCTION("""COMPUTED_VALUE"""),"MO")</f>
        <v>MO</v>
      </c>
      <c r="D1302" t="str">
        <f>IFERROR(__xludf.DUMMYFUNCTION("""COMPUTED_VALUE"""),"USA")</f>
        <v>USA</v>
      </c>
      <c r="E1302" s="188">
        <f>IFERROR(__xludf.DUMMYFUNCTION("""COMPUTED_VALUE"""),43384.0)</f>
        <v>43384</v>
      </c>
      <c r="F1302" s="188">
        <f>IFERROR(__xludf.DUMMYFUNCTION("""COMPUTED_VALUE"""),43407.0)</f>
        <v>43407</v>
      </c>
      <c r="H1302">
        <f>IFERROR(__xludf.DUMMYFUNCTION("""COMPUTED_VALUE"""),122831.0)</f>
        <v>122831</v>
      </c>
      <c r="I1302" t="str">
        <f>IFERROR(__xludf.DUMMYFUNCTION("""COMPUTED_VALUE"""),"10/18")</f>
        <v>10/18</v>
      </c>
      <c r="J1302" s="5">
        <f>IFERROR(__xludf.DUMMYFUNCTION("""COMPUTED_VALUE"""),43414.0)</f>
        <v>43414</v>
      </c>
      <c r="K1302">
        <f>IFERROR(__xludf.DUMMYFUNCTION("""COMPUTED_VALUE"""),23.0)</f>
        <v>23</v>
      </c>
      <c r="L1302">
        <f>IFERROR(__xludf.DUMMYFUNCTION("""COMPUTED_VALUE"""),7.0)</f>
        <v>7</v>
      </c>
      <c r="M1302">
        <f>IFERROR(__xludf.DUMMYFUNCTION("""COMPUTED_VALUE"""),30.0)</f>
        <v>30</v>
      </c>
      <c r="N1302" t="str">
        <f>IFERROR(__xludf.DUMMYFUNCTION("""COMPUTED_VALUE"""),"Model 3 LR")</f>
        <v>Model 3 LR</v>
      </c>
      <c r="O1302" t="str">
        <f>IFERROR(__xludf.DUMMYFUNCTION("""COMPUTED_VALUE"""),"Solid Black")</f>
        <v>Solid Black</v>
      </c>
      <c r="P1302" t="str">
        <f>IFERROR(__xludf.DUMMYFUNCTION("""COMPUTED_VALUE"""),"18 inch Aero")</f>
        <v>18 inch Aero</v>
      </c>
      <c r="Q1302" t="str">
        <f>IFERROR(__xludf.DUMMYFUNCTION("""COMPUTED_VALUE"""),"Black seats")</f>
        <v>Black seats</v>
      </c>
      <c r="R1302" t="str">
        <f>IFERROR(__xludf.DUMMYFUNCTION("""COMPUTED_VALUE"""),"Enhanced Autopilot")</f>
        <v>Enhanced Autopilot</v>
      </c>
      <c r="X1302" t="str">
        <f>IFERROR(__xludf.DUMMYFUNCTION("""COMPUTED_VALUE"""),"Excellent")</f>
        <v>Excellent</v>
      </c>
      <c r="Y1302" t="str">
        <f>IFERROR(__xludf.DUMMYFUNCTION("""COMPUTED_VALUE"""),"Very Good")</f>
        <v>Very Good</v>
      </c>
      <c r="Z1302" t="str">
        <f>IFERROR(__xludf.DUMMYFUNCTION("""COMPUTED_VALUE"""),"Good")</f>
        <v>Good</v>
      </c>
      <c r="AA1302" t="str">
        <f>IFERROR(__xludf.DUMMYFUNCTION("""COMPUTED_VALUE"""),"Poor")</f>
        <v>Poor</v>
      </c>
      <c r="AB1302" t="str">
        <f>IFERROR(__xludf.DUMMYFUNCTION("""COMPUTED_VALUE"""),"Fair")</f>
        <v>Fair</v>
      </c>
      <c r="AH1302" s="189">
        <f>IFERROR(__xludf.DUMMYFUNCTION("""COMPUTED_VALUE"""),43417.52582427084)</f>
        <v>43417.52582</v>
      </c>
    </row>
    <row r="1303">
      <c r="A1303" t="str">
        <f>IFERROR(__xludf.DUMMYFUNCTION("""COMPUTED_VALUE"""),"eric_in_co")</f>
        <v>eric_in_co</v>
      </c>
      <c r="B1303" t="str">
        <f>IFERROR(__xludf.DUMMYFUNCTION("""COMPUTED_VALUE"""),"Denver suburbs")</f>
        <v>Denver suburbs</v>
      </c>
      <c r="C1303" t="str">
        <f>IFERROR(__xludf.DUMMYFUNCTION("""COMPUTED_VALUE"""),"CO")</f>
        <v>CO</v>
      </c>
      <c r="D1303" t="str">
        <f>IFERROR(__xludf.DUMMYFUNCTION("""COMPUTED_VALUE"""),"USA")</f>
        <v>USA</v>
      </c>
      <c r="E1303" s="188">
        <f>IFERROR(__xludf.DUMMYFUNCTION("""COMPUTED_VALUE"""),43312.0)</f>
        <v>43312</v>
      </c>
      <c r="F1303" s="188">
        <f>IFERROR(__xludf.DUMMYFUNCTION("""COMPUTED_VALUE"""),43368.0)</f>
        <v>43368</v>
      </c>
      <c r="H1303">
        <f>IFERROR(__xludf.DUMMYFUNCTION("""COMPUTED_VALUE"""),104755.0)</f>
        <v>104755</v>
      </c>
      <c r="I1303" t="str">
        <f>IFERROR(__xludf.DUMMYFUNCTION("""COMPUTED_VALUE"""),"09/18")</f>
        <v>09/18</v>
      </c>
      <c r="J1303" s="5">
        <f>IFERROR(__xludf.DUMMYFUNCTION("""COMPUTED_VALUE"""),43371.0)</f>
        <v>43371</v>
      </c>
      <c r="K1303">
        <f>IFERROR(__xludf.DUMMYFUNCTION("""COMPUTED_VALUE"""),56.0)</f>
        <v>56</v>
      </c>
      <c r="L1303">
        <f>IFERROR(__xludf.DUMMYFUNCTION("""COMPUTED_VALUE"""),3.0)</f>
        <v>3</v>
      </c>
      <c r="M1303">
        <f>IFERROR(__xludf.DUMMYFUNCTION("""COMPUTED_VALUE"""),59.0)</f>
        <v>59</v>
      </c>
      <c r="N1303" t="str">
        <f>IFERROR(__xludf.DUMMYFUNCTION("""COMPUTED_VALUE"""),"Model 3 LR AWD")</f>
        <v>Model 3 LR AWD</v>
      </c>
      <c r="O1303" t="str">
        <f>IFERROR(__xludf.DUMMYFUNCTION("""COMPUTED_VALUE"""),"Red Multi-Coat")</f>
        <v>Red Multi-Coat</v>
      </c>
      <c r="P1303" t="str">
        <f>IFERROR(__xludf.DUMMYFUNCTION("""COMPUTED_VALUE"""),"18 inch Aero")</f>
        <v>18 inch Aero</v>
      </c>
      <c r="Q1303" t="str">
        <f>IFERROR(__xludf.DUMMYFUNCTION("""COMPUTED_VALUE"""),"Black seats")</f>
        <v>Black seats</v>
      </c>
      <c r="R1303" t="str">
        <f>IFERROR(__xludf.DUMMYFUNCTION("""COMPUTED_VALUE"""),"None")</f>
        <v>None</v>
      </c>
      <c r="X1303" t="str">
        <f>IFERROR(__xludf.DUMMYFUNCTION("""COMPUTED_VALUE"""),"Very Good")</f>
        <v>Very Good</v>
      </c>
      <c r="Y1303" t="str">
        <f>IFERROR(__xludf.DUMMYFUNCTION("""COMPUTED_VALUE"""),"Very Good")</f>
        <v>Very Good</v>
      </c>
      <c r="Z1303" t="str">
        <f>IFERROR(__xludf.DUMMYFUNCTION("""COMPUTED_VALUE"""),"Very Good")</f>
        <v>Very Good</v>
      </c>
      <c r="AA1303" t="str">
        <f>IFERROR(__xludf.DUMMYFUNCTION("""COMPUTED_VALUE"""),"Fair")</f>
        <v>Fair</v>
      </c>
      <c r="AB1303" t="str">
        <f>IFERROR(__xludf.DUMMYFUNCTION("""COMPUTED_VALUE"""),"Very Good")</f>
        <v>Very Good</v>
      </c>
      <c r="AC1303">
        <f>IFERROR(__xludf.DUMMYFUNCTION("""COMPUTED_VALUE"""),1.0)</f>
        <v>1</v>
      </c>
      <c r="AD1303">
        <f>IFERROR(__xludf.DUMMYFUNCTION("""COMPUTED_VALUE"""),1.0)</f>
        <v>1</v>
      </c>
      <c r="AE1303">
        <f>IFERROR(__xludf.DUMMYFUNCTION("""COMPUTED_VALUE"""),0.0)</f>
        <v>0</v>
      </c>
      <c r="AH1303" s="189">
        <f>IFERROR(__xludf.DUMMYFUNCTION("""COMPUTED_VALUE"""),43417.63217849537)</f>
        <v>43417.63218</v>
      </c>
    </row>
    <row r="1304">
      <c r="A1304" t="str">
        <f>IFERROR(__xludf.DUMMYFUNCTION("""COMPUTED_VALUE"""),"LABlues911")</f>
        <v>LABlues911</v>
      </c>
      <c r="B1304" t="str">
        <f>IFERROR(__xludf.DUMMYFUNCTION("""COMPUTED_VALUE"""),"Azusa")</f>
        <v>Azusa</v>
      </c>
      <c r="C1304" t="str">
        <f>IFERROR(__xludf.DUMMYFUNCTION("""COMPUTED_VALUE"""),"CA")</f>
        <v>CA</v>
      </c>
      <c r="D1304" t="str">
        <f>IFERROR(__xludf.DUMMYFUNCTION("""COMPUTED_VALUE"""),"USA")</f>
        <v>USA</v>
      </c>
      <c r="E1304" s="188">
        <f>IFERROR(__xludf.DUMMYFUNCTION("""COMPUTED_VALUE"""),43336.0)</f>
        <v>43336</v>
      </c>
      <c r="F1304" s="188">
        <f>IFERROR(__xludf.DUMMYFUNCTION("""COMPUTED_VALUE"""),43346.0)</f>
        <v>43346</v>
      </c>
      <c r="H1304">
        <f>IFERROR(__xludf.DUMMYFUNCTION("""COMPUTED_VALUE"""),89755.0)</f>
        <v>89755</v>
      </c>
      <c r="I1304" t="str">
        <f>IFERROR(__xludf.DUMMYFUNCTION("""COMPUTED_VALUE"""),"08/18")</f>
        <v>08/18</v>
      </c>
      <c r="J1304" s="5">
        <f>IFERROR(__xludf.DUMMYFUNCTION("""COMPUTED_VALUE"""),43361.0)</f>
        <v>43361</v>
      </c>
      <c r="K1304">
        <f>IFERROR(__xludf.DUMMYFUNCTION("""COMPUTED_VALUE"""),10.0)</f>
        <v>10</v>
      </c>
      <c r="L1304">
        <f>IFERROR(__xludf.DUMMYFUNCTION("""COMPUTED_VALUE"""),15.0)</f>
        <v>15</v>
      </c>
      <c r="M1304">
        <f>IFERROR(__xludf.DUMMYFUNCTION("""COMPUTED_VALUE"""),25.0)</f>
        <v>25</v>
      </c>
      <c r="N1304" t="str">
        <f>IFERROR(__xludf.DUMMYFUNCTION("""COMPUTED_VALUE"""),"Model 3 LR")</f>
        <v>Model 3 LR</v>
      </c>
      <c r="O1304" t="str">
        <f>IFERROR(__xludf.DUMMYFUNCTION("""COMPUTED_VALUE"""),"Deep Blue Metallic")</f>
        <v>Deep Blue Metallic</v>
      </c>
      <c r="P1304" t="str">
        <f>IFERROR(__xludf.DUMMYFUNCTION("""COMPUTED_VALUE"""),"18 inch Aero")</f>
        <v>18 inch Aero</v>
      </c>
      <c r="Q1304" t="str">
        <f>IFERROR(__xludf.DUMMYFUNCTION("""COMPUTED_VALUE"""),"Black seats")</f>
        <v>Black seats</v>
      </c>
      <c r="R1304" t="str">
        <f>IFERROR(__xludf.DUMMYFUNCTION("""COMPUTED_VALUE"""),"None")</f>
        <v>None</v>
      </c>
      <c r="X1304" t="str">
        <f>IFERROR(__xludf.DUMMYFUNCTION("""COMPUTED_VALUE"""),"Excellent")</f>
        <v>Excellent</v>
      </c>
      <c r="Y1304" t="str">
        <f>IFERROR(__xludf.DUMMYFUNCTION("""COMPUTED_VALUE"""),"Excellent")</f>
        <v>Excellent</v>
      </c>
      <c r="Z1304" t="str">
        <f>IFERROR(__xludf.DUMMYFUNCTION("""COMPUTED_VALUE"""),"Excellent")</f>
        <v>Excellent</v>
      </c>
      <c r="AA1304" t="str">
        <f>IFERROR(__xludf.DUMMYFUNCTION("""COMPUTED_VALUE"""),"Excellent")</f>
        <v>Excellent</v>
      </c>
      <c r="AB1304" t="str">
        <f>IFERROR(__xludf.DUMMYFUNCTION("""COMPUTED_VALUE"""),"Excellent")</f>
        <v>Excellent</v>
      </c>
      <c r="AC1304">
        <f>IFERROR(__xludf.DUMMYFUNCTION("""COMPUTED_VALUE"""),0.0)</f>
        <v>0</v>
      </c>
      <c r="AD1304">
        <f>IFERROR(__xludf.DUMMYFUNCTION("""COMPUTED_VALUE"""),0.0)</f>
        <v>0</v>
      </c>
      <c r="AE1304">
        <f>IFERROR(__xludf.DUMMYFUNCTION("""COMPUTED_VALUE"""),0.0)</f>
        <v>0</v>
      </c>
      <c r="AH1304" s="189">
        <f>IFERROR(__xludf.DUMMYFUNCTION("""COMPUTED_VALUE"""),43417.6858146875)</f>
        <v>43417.68581</v>
      </c>
    </row>
    <row r="1305">
      <c r="A1305" t="str">
        <f>IFERROR(__xludf.DUMMYFUNCTION("""COMPUTED_VALUE"""),"nr")</f>
        <v>nr</v>
      </c>
      <c r="B1305" t="str">
        <f>IFERROR(__xludf.DUMMYFUNCTION("""COMPUTED_VALUE"""),"Davis")</f>
        <v>Davis</v>
      </c>
      <c r="C1305" t="str">
        <f>IFERROR(__xludf.DUMMYFUNCTION("""COMPUTED_VALUE"""),"CA")</f>
        <v>CA</v>
      </c>
      <c r="D1305" t="str">
        <f>IFERROR(__xludf.DUMMYFUNCTION("""COMPUTED_VALUE"""),"USA")</f>
        <v>USA</v>
      </c>
      <c r="E1305" s="188">
        <f>IFERROR(__xludf.DUMMYFUNCTION("""COMPUTED_VALUE"""),43397.0)</f>
        <v>43397</v>
      </c>
      <c r="F1305" s="188">
        <f>IFERROR(__xludf.DUMMYFUNCTION("""COMPUTED_VALUE"""),43412.0)</f>
        <v>43412</v>
      </c>
      <c r="H1305">
        <f>IFERROR(__xludf.DUMMYFUNCTION("""COMPUTED_VALUE"""),123155.0)</f>
        <v>123155</v>
      </c>
      <c r="I1305" t="str">
        <f>IFERROR(__xludf.DUMMYFUNCTION("""COMPUTED_VALUE"""),"11/18")</f>
        <v>11/18</v>
      </c>
      <c r="J1305" s="5">
        <f>IFERROR(__xludf.DUMMYFUNCTION("""COMPUTED_VALUE"""),43416.0)</f>
        <v>43416</v>
      </c>
      <c r="K1305">
        <f>IFERROR(__xludf.DUMMYFUNCTION("""COMPUTED_VALUE"""),15.0)</f>
        <v>15</v>
      </c>
      <c r="L1305">
        <f>IFERROR(__xludf.DUMMYFUNCTION("""COMPUTED_VALUE"""),4.0)</f>
        <v>4</v>
      </c>
      <c r="M1305">
        <f>IFERROR(__xludf.DUMMYFUNCTION("""COMPUTED_VALUE"""),19.0)</f>
        <v>19</v>
      </c>
      <c r="N1305" t="str">
        <f>IFERROR(__xludf.DUMMYFUNCTION("""COMPUTED_VALUE"""),"Model 3 LR")</f>
        <v>Model 3 LR</v>
      </c>
      <c r="O1305" t="str">
        <f>IFERROR(__xludf.DUMMYFUNCTION("""COMPUTED_VALUE"""),"Solid Black")</f>
        <v>Solid Black</v>
      </c>
      <c r="P1305" t="str">
        <f>IFERROR(__xludf.DUMMYFUNCTION("""COMPUTED_VALUE"""),"18 inch Aero")</f>
        <v>18 inch Aero</v>
      </c>
      <c r="Q1305" t="str">
        <f>IFERROR(__xludf.DUMMYFUNCTION("""COMPUTED_VALUE"""),"Black seats")</f>
        <v>Black seats</v>
      </c>
      <c r="R1305" t="str">
        <f>IFERROR(__xludf.DUMMYFUNCTION("""COMPUTED_VALUE"""),"None")</f>
        <v>None</v>
      </c>
      <c r="X1305" t="str">
        <f>IFERROR(__xludf.DUMMYFUNCTION("""COMPUTED_VALUE"""),"Very Good")</f>
        <v>Very Good</v>
      </c>
      <c r="Y1305" t="str">
        <f>IFERROR(__xludf.DUMMYFUNCTION("""COMPUTED_VALUE"""),"Excellent")</f>
        <v>Excellent</v>
      </c>
      <c r="Z1305" t="str">
        <f>IFERROR(__xludf.DUMMYFUNCTION("""COMPUTED_VALUE"""),"Very Good")</f>
        <v>Very Good</v>
      </c>
      <c r="AA1305" t="str">
        <f>IFERROR(__xludf.DUMMYFUNCTION("""COMPUTED_VALUE"""),"Poor")</f>
        <v>Poor</v>
      </c>
      <c r="AB1305" t="str">
        <f>IFERROR(__xludf.DUMMYFUNCTION("""COMPUTED_VALUE"""),"Fair")</f>
        <v>Fair</v>
      </c>
      <c r="AG1305" t="str">
        <f>IFERROR(__xludf.DUMMYFUNCTION("""COMPUTED_VALUE"""),"Switched order from MR to LR to try to ensure 2018 delivery")</f>
        <v>Switched order from MR to LR to try to ensure 2018 delivery</v>
      </c>
      <c r="AH1305" s="189">
        <f>IFERROR(__xludf.DUMMYFUNCTION("""COMPUTED_VALUE"""),43417.81050716435)</f>
        <v>43417.81051</v>
      </c>
    </row>
    <row r="1306">
      <c r="A1306" t="str">
        <f>IFERROR(__xludf.DUMMYFUNCTION("""COMPUTED_VALUE"""),"tdisonedrive")</f>
        <v>tdisonedrive</v>
      </c>
      <c r="B1306" t="str">
        <f>IFERROR(__xludf.DUMMYFUNCTION("""COMPUTED_VALUE"""),"Rockville")</f>
        <v>Rockville</v>
      </c>
      <c r="C1306" t="str">
        <f>IFERROR(__xludf.DUMMYFUNCTION("""COMPUTED_VALUE"""),"MD")</f>
        <v>MD</v>
      </c>
      <c r="D1306" t="str">
        <f>IFERROR(__xludf.DUMMYFUNCTION("""COMPUTED_VALUE"""),"USA")</f>
        <v>USA</v>
      </c>
      <c r="E1306" s="188">
        <f>IFERROR(__xludf.DUMMYFUNCTION("""COMPUTED_VALUE"""),43281.0)</f>
        <v>43281</v>
      </c>
      <c r="F1306" s="188">
        <f>IFERROR(__xludf.DUMMYFUNCTION("""COMPUTED_VALUE"""),43396.0)</f>
        <v>43396</v>
      </c>
      <c r="H1306">
        <f>IFERROR(__xludf.DUMMYFUNCTION("""COMPUTED_VALUE"""),118755.0)</f>
        <v>118755</v>
      </c>
      <c r="J1306" s="5">
        <f>IFERROR(__xludf.DUMMYFUNCTION("""COMPUTED_VALUE"""),43414.0)</f>
        <v>43414</v>
      </c>
      <c r="K1306">
        <f>IFERROR(__xludf.DUMMYFUNCTION("""COMPUTED_VALUE"""),115.0)</f>
        <v>115</v>
      </c>
      <c r="L1306">
        <f>IFERROR(__xludf.DUMMYFUNCTION("""COMPUTED_VALUE"""),18.0)</f>
        <v>18</v>
      </c>
      <c r="M1306">
        <f>IFERROR(__xludf.DUMMYFUNCTION("""COMPUTED_VALUE"""),133.0)</f>
        <v>133</v>
      </c>
      <c r="N1306" t="str">
        <f>IFERROR(__xludf.DUMMYFUNCTION("""COMPUTED_VALUE"""),"Model 3 LR AWD")</f>
        <v>Model 3 LR AWD</v>
      </c>
      <c r="O1306" t="str">
        <f>IFERROR(__xludf.DUMMYFUNCTION("""COMPUTED_VALUE"""),"Solid Black")</f>
        <v>Solid Black</v>
      </c>
      <c r="P1306" t="str">
        <f>IFERROR(__xludf.DUMMYFUNCTION("""COMPUTED_VALUE"""),"18 inch Aero")</f>
        <v>18 inch Aero</v>
      </c>
      <c r="Q1306" t="str">
        <f>IFERROR(__xludf.DUMMYFUNCTION("""COMPUTED_VALUE"""),"Black seats")</f>
        <v>Black seats</v>
      </c>
      <c r="R1306" t="str">
        <f>IFERROR(__xludf.DUMMYFUNCTION("""COMPUTED_VALUE"""),"None")</f>
        <v>None</v>
      </c>
      <c r="X1306" t="str">
        <f>IFERROR(__xludf.DUMMYFUNCTION("""COMPUTED_VALUE"""),"Very Good")</f>
        <v>Very Good</v>
      </c>
      <c r="Y1306" t="str">
        <f>IFERROR(__xludf.DUMMYFUNCTION("""COMPUTED_VALUE"""),"Excellent")</f>
        <v>Excellent</v>
      </c>
      <c r="Z1306" t="str">
        <f>IFERROR(__xludf.DUMMYFUNCTION("""COMPUTED_VALUE"""),"Excellent")</f>
        <v>Excellent</v>
      </c>
      <c r="AA1306" t="str">
        <f>IFERROR(__xludf.DUMMYFUNCTION("""COMPUTED_VALUE"""),"Very Good")</f>
        <v>Very Good</v>
      </c>
      <c r="AB1306" t="str">
        <f>IFERROR(__xludf.DUMMYFUNCTION("""COMPUTED_VALUE"""),"Excellent")</f>
        <v>Excellent</v>
      </c>
      <c r="AC1306">
        <f>IFERROR(__xludf.DUMMYFUNCTION("""COMPUTED_VALUE"""),1.0)</f>
        <v>1</v>
      </c>
      <c r="AD1306">
        <f>IFERROR(__xludf.DUMMYFUNCTION("""COMPUTED_VALUE"""),1.0)</f>
        <v>1</v>
      </c>
      <c r="AH1306" s="189">
        <f>IFERROR(__xludf.DUMMYFUNCTION("""COMPUTED_VALUE"""),43417.850248738425)</f>
        <v>43417.85025</v>
      </c>
    </row>
    <row r="1307">
      <c r="A1307" t="str">
        <f>IFERROR(__xludf.DUMMYFUNCTION("""COMPUTED_VALUE"""),"scottyj ")</f>
        <v>scottyj </v>
      </c>
      <c r="B1307" t="str">
        <f>IFERROR(__xludf.DUMMYFUNCTION("""COMPUTED_VALUE"""),"Salt Lake City")</f>
        <v>Salt Lake City</v>
      </c>
      <c r="C1307" t="str">
        <f>IFERROR(__xludf.DUMMYFUNCTION("""COMPUTED_VALUE"""),"UT")</f>
        <v>UT</v>
      </c>
      <c r="D1307" t="str">
        <f>IFERROR(__xludf.DUMMYFUNCTION("""COMPUTED_VALUE"""),"USA")</f>
        <v>USA</v>
      </c>
      <c r="E1307" s="188">
        <f>IFERROR(__xludf.DUMMYFUNCTION("""COMPUTED_VALUE"""),43398.0)</f>
        <v>43398</v>
      </c>
      <c r="F1307" s="188">
        <f>IFERROR(__xludf.DUMMYFUNCTION("""COMPUTED_VALUE"""),43409.0)</f>
        <v>43409</v>
      </c>
      <c r="H1307">
        <f>IFERROR(__xludf.DUMMYFUNCTION("""COMPUTED_VALUE"""),120655.0)</f>
        <v>120655</v>
      </c>
      <c r="I1307" t="str">
        <f>IFERROR(__xludf.DUMMYFUNCTION("""COMPUTED_VALUE"""),"10/18")</f>
        <v>10/18</v>
      </c>
      <c r="J1307" s="5">
        <f>IFERROR(__xludf.DUMMYFUNCTION("""COMPUTED_VALUE"""),43411.0)</f>
        <v>43411</v>
      </c>
      <c r="K1307">
        <f>IFERROR(__xludf.DUMMYFUNCTION("""COMPUTED_VALUE"""),11.0)</f>
        <v>11</v>
      </c>
      <c r="L1307">
        <f>IFERROR(__xludf.DUMMYFUNCTION("""COMPUTED_VALUE"""),2.0)</f>
        <v>2</v>
      </c>
      <c r="M1307">
        <f>IFERROR(__xludf.DUMMYFUNCTION("""COMPUTED_VALUE"""),13.0)</f>
        <v>13</v>
      </c>
      <c r="N1307" t="str">
        <f>IFERROR(__xludf.DUMMYFUNCTION("""COMPUTED_VALUE"""),"Model 3 Performance")</f>
        <v>Model 3 Performance</v>
      </c>
      <c r="O1307" t="str">
        <f>IFERROR(__xludf.DUMMYFUNCTION("""COMPUTED_VALUE"""),"Pearl White Multi-Coat")</f>
        <v>Pearl White Multi-Coat</v>
      </c>
      <c r="P1307" t="str">
        <f>IFERROR(__xludf.DUMMYFUNCTION("""COMPUTED_VALUE"""),"18 inch Aero")</f>
        <v>18 inch Aero</v>
      </c>
      <c r="Q1307" t="str">
        <f>IFERROR(__xludf.DUMMYFUNCTION("""COMPUTED_VALUE"""),"Black seats")</f>
        <v>Black seats</v>
      </c>
      <c r="R1307" t="str">
        <f>IFERROR(__xludf.DUMMYFUNCTION("""COMPUTED_VALUE"""),"Enhanced Autopilot")</f>
        <v>Enhanced Autopilot</v>
      </c>
      <c r="X1307" t="str">
        <f>IFERROR(__xludf.DUMMYFUNCTION("""COMPUTED_VALUE"""),"Good")</f>
        <v>Good</v>
      </c>
      <c r="Y1307" t="str">
        <f>IFERROR(__xludf.DUMMYFUNCTION("""COMPUTED_VALUE"""),"Excellent")</f>
        <v>Excellent</v>
      </c>
      <c r="Z1307" t="str">
        <f>IFERROR(__xludf.DUMMYFUNCTION("""COMPUTED_VALUE"""),"Fair")</f>
        <v>Fair</v>
      </c>
      <c r="AA1307" t="str">
        <f>IFERROR(__xludf.DUMMYFUNCTION("""COMPUTED_VALUE"""),"Fair")</f>
        <v>Fair</v>
      </c>
      <c r="AB1307" t="str">
        <f>IFERROR(__xludf.DUMMYFUNCTION("""COMPUTED_VALUE"""),"Good")</f>
        <v>Good</v>
      </c>
      <c r="AC1307">
        <f>IFERROR(__xludf.DUMMYFUNCTION("""COMPUTED_VALUE"""),2.0)</f>
        <v>2</v>
      </c>
      <c r="AG1307" t="str">
        <f>IFERROR(__xludf.DUMMYFUNCTION("""COMPUTED_VALUE"""),"Two paint defects, one was a drip on upper door sil, one on upper surface of back passenger door, appears to be a fleck of debris under clear coat. On delivery, they took photos, and today i received a call from service center to schedule a time to bring "&amp;"it in (6 days after delivery date)")</f>
        <v>Two paint defects, one was a drip on upper door sil, one on upper surface of back passenger door, appears to be a fleck of debris under clear coat. On delivery, they took photos, and today i received a call from service center to schedule a time to bring it in (6 days after delivery date)</v>
      </c>
      <c r="AH1307" s="189">
        <f>IFERROR(__xludf.DUMMYFUNCTION("""COMPUTED_VALUE"""),43417.964878750005)</f>
        <v>43417.96488</v>
      </c>
    </row>
    <row r="1308">
      <c r="A1308" t="str">
        <f>IFERROR(__xludf.DUMMYFUNCTION("""COMPUTED_VALUE"""),"Bmer1rick")</f>
        <v>Bmer1rick</v>
      </c>
      <c r="B1308" t="str">
        <f>IFERROR(__xludf.DUMMYFUNCTION("""COMPUTED_VALUE"""),"Tampa")</f>
        <v>Tampa</v>
      </c>
      <c r="C1308" t="str">
        <f>IFERROR(__xludf.DUMMYFUNCTION("""COMPUTED_VALUE"""),"FL")</f>
        <v>FL</v>
      </c>
      <c r="D1308" t="str">
        <f>IFERROR(__xludf.DUMMYFUNCTION("""COMPUTED_VALUE"""),"USA")</f>
        <v>USA</v>
      </c>
      <c r="E1308" s="188">
        <f>IFERROR(__xludf.DUMMYFUNCTION("""COMPUTED_VALUE"""),43306.0)</f>
        <v>43306</v>
      </c>
      <c r="F1308" s="188">
        <f>IFERROR(__xludf.DUMMYFUNCTION("""COMPUTED_VALUE"""),43374.0)</f>
        <v>43374</v>
      </c>
      <c r="H1308">
        <f>IFERROR(__xludf.DUMMYFUNCTION("""COMPUTED_VALUE"""),114455.0)</f>
        <v>114455</v>
      </c>
      <c r="I1308" t="str">
        <f>IFERROR(__xludf.DUMMYFUNCTION("""COMPUTED_VALUE"""),"10/18")</f>
        <v>10/18</v>
      </c>
      <c r="J1308" s="5">
        <f>IFERROR(__xludf.DUMMYFUNCTION("""COMPUTED_VALUE"""),43414.0)</f>
        <v>43414</v>
      </c>
      <c r="K1308">
        <f>IFERROR(__xludf.DUMMYFUNCTION("""COMPUTED_VALUE"""),68.0)</f>
        <v>68</v>
      </c>
      <c r="L1308">
        <f>IFERROR(__xludf.DUMMYFUNCTION("""COMPUTED_VALUE"""),40.0)</f>
        <v>40</v>
      </c>
      <c r="M1308">
        <f>IFERROR(__xludf.DUMMYFUNCTION("""COMPUTED_VALUE"""),108.0)</f>
        <v>108</v>
      </c>
      <c r="N1308" t="str">
        <f>IFERROR(__xludf.DUMMYFUNCTION("""COMPUTED_VALUE"""),"Model 3 LR AWD")</f>
        <v>Model 3 LR AWD</v>
      </c>
      <c r="O1308" t="str">
        <f>IFERROR(__xludf.DUMMYFUNCTION("""COMPUTED_VALUE"""),"Midnight Silver Metallic")</f>
        <v>Midnight Silver Metallic</v>
      </c>
      <c r="P1308" t="str">
        <f>IFERROR(__xludf.DUMMYFUNCTION("""COMPUTED_VALUE"""),"18 inch Aero")</f>
        <v>18 inch Aero</v>
      </c>
      <c r="Q1308" t="str">
        <f>IFERROR(__xludf.DUMMYFUNCTION("""COMPUTED_VALUE"""),"Black seats")</f>
        <v>Black seats</v>
      </c>
      <c r="R1308" t="str">
        <f>IFERROR(__xludf.DUMMYFUNCTION("""COMPUTED_VALUE"""),"Enhanced Autopilot")</f>
        <v>Enhanced Autopilot</v>
      </c>
      <c r="X1308" t="str">
        <f>IFERROR(__xludf.DUMMYFUNCTION("""COMPUTED_VALUE"""),"Very Good")</f>
        <v>Very Good</v>
      </c>
      <c r="Y1308" t="str">
        <f>IFERROR(__xludf.DUMMYFUNCTION("""COMPUTED_VALUE"""),"Very Good")</f>
        <v>Very Good</v>
      </c>
      <c r="Z1308" t="str">
        <f>IFERROR(__xludf.DUMMYFUNCTION("""COMPUTED_VALUE"""),"Very Good")</f>
        <v>Very Good</v>
      </c>
      <c r="AA1308" t="str">
        <f>IFERROR(__xludf.DUMMYFUNCTION("""COMPUTED_VALUE"""),"Very Good")</f>
        <v>Very Good</v>
      </c>
      <c r="AB1308" t="str">
        <f>IFERROR(__xludf.DUMMYFUNCTION("""COMPUTED_VALUE"""),"Very Good")</f>
        <v>Very Good</v>
      </c>
      <c r="AC1308">
        <f>IFERROR(__xludf.DUMMYFUNCTION("""COMPUTED_VALUE"""),3.0)</f>
        <v>3</v>
      </c>
      <c r="AD1308">
        <f>IFERROR(__xludf.DUMMYFUNCTION("""COMPUTED_VALUE"""),0.0)</f>
        <v>0</v>
      </c>
      <c r="AE1308">
        <f>IFERROR(__xludf.DUMMYFUNCTION("""COMPUTED_VALUE"""),0.0)</f>
        <v>0</v>
      </c>
      <c r="AH1308" s="189">
        <f>IFERROR(__xludf.DUMMYFUNCTION("""COMPUTED_VALUE"""),43418.356768125)</f>
        <v>43418.35677</v>
      </c>
    </row>
    <row r="1309">
      <c r="A1309" t="str">
        <f>IFERROR(__xludf.DUMMYFUNCTION("""COMPUTED_VALUE"""),"Tynamic77")</f>
        <v>Tynamic77</v>
      </c>
      <c r="B1309" t="str">
        <f>IFERROR(__xludf.DUMMYFUNCTION("""COMPUTED_VALUE"""),"Tempe")</f>
        <v>Tempe</v>
      </c>
      <c r="C1309" t="str">
        <f>IFERROR(__xludf.DUMMYFUNCTION("""COMPUTED_VALUE"""),"AZ")</f>
        <v>AZ</v>
      </c>
      <c r="D1309" t="str">
        <f>IFERROR(__xludf.DUMMYFUNCTION("""COMPUTED_VALUE"""),"USA")</f>
        <v>USA</v>
      </c>
      <c r="E1309" s="188">
        <f>IFERROR(__xludf.DUMMYFUNCTION("""COMPUTED_VALUE"""),43292.0)</f>
        <v>43292</v>
      </c>
      <c r="F1309" s="188">
        <f>IFERROR(__xludf.DUMMYFUNCTION("""COMPUTED_VALUE"""),43368.0)</f>
        <v>43368</v>
      </c>
      <c r="H1309" s="4">
        <f>IFERROR(__xludf.DUMMYFUNCTION("""COMPUTED_VALUE"""),93235.0)</f>
        <v>93235</v>
      </c>
      <c r="I1309" t="str">
        <f>IFERROR(__xludf.DUMMYFUNCTION("""COMPUTED_VALUE"""),"09/18")</f>
        <v>09/18</v>
      </c>
      <c r="J1309" s="5">
        <f>IFERROR(__xludf.DUMMYFUNCTION("""COMPUTED_VALUE"""),43372.0)</f>
        <v>43372</v>
      </c>
      <c r="K1309">
        <f>IFERROR(__xludf.DUMMYFUNCTION("""COMPUTED_VALUE"""),76.0)</f>
        <v>76</v>
      </c>
      <c r="L1309">
        <f>IFERROR(__xludf.DUMMYFUNCTION("""COMPUTED_VALUE"""),4.0)</f>
        <v>4</v>
      </c>
      <c r="M1309">
        <f>IFERROR(__xludf.DUMMYFUNCTION("""COMPUTED_VALUE"""),80.0)</f>
        <v>80</v>
      </c>
      <c r="N1309" t="str">
        <f>IFERROR(__xludf.DUMMYFUNCTION("""COMPUTED_VALUE"""),"Model 3 LR AWD")</f>
        <v>Model 3 LR AWD</v>
      </c>
      <c r="O1309" t="str">
        <f>IFERROR(__xludf.DUMMYFUNCTION("""COMPUTED_VALUE"""),"Midnight Silver Metallic")</f>
        <v>Midnight Silver Metallic</v>
      </c>
      <c r="P1309" t="str">
        <f>IFERROR(__xludf.DUMMYFUNCTION("""COMPUTED_VALUE"""),"18 inch Aero")</f>
        <v>18 inch Aero</v>
      </c>
      <c r="Q1309" t="str">
        <f>IFERROR(__xludf.DUMMYFUNCTION("""COMPUTED_VALUE"""),"Black seats")</f>
        <v>Black seats</v>
      </c>
      <c r="R1309" t="str">
        <f>IFERROR(__xludf.DUMMYFUNCTION("""COMPUTED_VALUE"""),"None")</f>
        <v>None</v>
      </c>
      <c r="X1309" t="str">
        <f>IFERROR(__xludf.DUMMYFUNCTION("""COMPUTED_VALUE"""),"Excellent")</f>
        <v>Excellent</v>
      </c>
      <c r="Y1309" t="str">
        <f>IFERROR(__xludf.DUMMYFUNCTION("""COMPUTED_VALUE"""),"Very Good")</f>
        <v>Very Good</v>
      </c>
      <c r="Z1309" t="str">
        <f>IFERROR(__xludf.DUMMYFUNCTION("""COMPUTED_VALUE"""),"Very Good")</f>
        <v>Very Good</v>
      </c>
      <c r="AA1309" t="str">
        <f>IFERROR(__xludf.DUMMYFUNCTION("""COMPUTED_VALUE"""),"Excellent")</f>
        <v>Excellent</v>
      </c>
      <c r="AB1309" t="str">
        <f>IFERROR(__xludf.DUMMYFUNCTION("""COMPUTED_VALUE"""),"Fair")</f>
        <v>Fair</v>
      </c>
      <c r="AC1309">
        <f>IFERROR(__xludf.DUMMYFUNCTION("""COMPUTED_VALUE"""),3.0)</f>
        <v>3</v>
      </c>
      <c r="AD1309">
        <f>IFERROR(__xludf.DUMMYFUNCTION("""COMPUTED_VALUE"""),0.0)</f>
        <v>0</v>
      </c>
      <c r="AH1309" s="189">
        <f>IFERROR(__xludf.DUMMYFUNCTION("""COMPUTED_VALUE"""),43418.55618180556)</f>
        <v>43418.55618</v>
      </c>
    </row>
    <row r="1310">
      <c r="A1310" t="str">
        <f>IFERROR(__xludf.DUMMYFUNCTION("""COMPUTED_VALUE"""),"theEmpiricist")</f>
        <v>theEmpiricist</v>
      </c>
      <c r="B1310" t="str">
        <f>IFERROR(__xludf.DUMMYFUNCTION("""COMPUTED_VALUE"""),"Olathe, KS")</f>
        <v>Olathe, KS</v>
      </c>
      <c r="C1310" t="str">
        <f>IFERROR(__xludf.DUMMYFUNCTION("""COMPUTED_VALUE"""),"KS")</f>
        <v>KS</v>
      </c>
      <c r="D1310" t="str">
        <f>IFERROR(__xludf.DUMMYFUNCTION("""COMPUTED_VALUE"""),"USA")</f>
        <v>USA</v>
      </c>
      <c r="E1310" s="188">
        <f>IFERROR(__xludf.DUMMYFUNCTION("""COMPUTED_VALUE"""),43385.0)</f>
        <v>43385</v>
      </c>
      <c r="F1310" s="188">
        <f>IFERROR(__xludf.DUMMYFUNCTION("""COMPUTED_VALUE"""),43392.0)</f>
        <v>43392</v>
      </c>
      <c r="H1310">
        <f>IFERROR(__xludf.DUMMYFUNCTION("""COMPUTED_VALUE"""),114755.0)</f>
        <v>114755</v>
      </c>
      <c r="J1310" s="5">
        <f>IFERROR(__xludf.DUMMYFUNCTION("""COMPUTED_VALUE"""),43403.0)</f>
        <v>43403</v>
      </c>
      <c r="K1310">
        <f>IFERROR(__xludf.DUMMYFUNCTION("""COMPUTED_VALUE"""),7.0)</f>
        <v>7</v>
      </c>
      <c r="L1310">
        <f>IFERROR(__xludf.DUMMYFUNCTION("""COMPUTED_VALUE"""),11.0)</f>
        <v>11</v>
      </c>
      <c r="M1310">
        <f>IFERROR(__xludf.DUMMYFUNCTION("""COMPUTED_VALUE"""),18.0)</f>
        <v>18</v>
      </c>
      <c r="N1310" t="str">
        <f>IFERROR(__xludf.DUMMYFUNCTION("""COMPUTED_VALUE"""),"Model 3 LR AWD")</f>
        <v>Model 3 LR AWD</v>
      </c>
      <c r="O1310" t="str">
        <f>IFERROR(__xludf.DUMMYFUNCTION("""COMPUTED_VALUE"""),"Red Multi-Coat")</f>
        <v>Red Multi-Coat</v>
      </c>
      <c r="P1310" t="str">
        <f>IFERROR(__xludf.DUMMYFUNCTION("""COMPUTED_VALUE"""),"18 inch Aero")</f>
        <v>18 inch Aero</v>
      </c>
      <c r="Q1310" t="str">
        <f>IFERROR(__xludf.DUMMYFUNCTION("""COMPUTED_VALUE"""),"Black seats")</f>
        <v>Black seats</v>
      </c>
      <c r="R1310" t="str">
        <f>IFERROR(__xludf.DUMMYFUNCTION("""COMPUTED_VALUE"""),"Enhanced Autopilot")</f>
        <v>Enhanced Autopilot</v>
      </c>
      <c r="X1310" t="str">
        <f>IFERROR(__xludf.DUMMYFUNCTION("""COMPUTED_VALUE"""),"Excellent")</f>
        <v>Excellent</v>
      </c>
      <c r="Y1310" t="str">
        <f>IFERROR(__xludf.DUMMYFUNCTION("""COMPUTED_VALUE"""),"Excellent")</f>
        <v>Excellent</v>
      </c>
      <c r="Z1310" t="str">
        <f>IFERROR(__xludf.DUMMYFUNCTION("""COMPUTED_VALUE"""),"Excellent")</f>
        <v>Excellent</v>
      </c>
      <c r="AA1310" t="str">
        <f>IFERROR(__xludf.DUMMYFUNCTION("""COMPUTED_VALUE"""),"Very Good")</f>
        <v>Very Good</v>
      </c>
      <c r="AB1310" t="str">
        <f>IFERROR(__xludf.DUMMYFUNCTION("""COMPUTED_VALUE"""),"Excellent")</f>
        <v>Excellent</v>
      </c>
      <c r="AC1310">
        <f>IFERROR(__xludf.DUMMYFUNCTION("""COMPUTED_VALUE"""),1.0)</f>
        <v>1</v>
      </c>
      <c r="AD1310">
        <f>IFERROR(__xludf.DUMMYFUNCTION("""COMPUTED_VALUE"""),1.0)</f>
        <v>1</v>
      </c>
      <c r="AE1310">
        <f>IFERROR(__xludf.DUMMYFUNCTION("""COMPUTED_VALUE"""),0.0)</f>
        <v>0</v>
      </c>
      <c r="AG1310" t="str">
        <f>IFERROR(__xludf.DUMMYFUNCTION("""COMPUTED_VALUE"""),"Front USB Ports weren't active, corrected in 10 minutes with a service center visit")</f>
        <v>Front USB Ports weren't active, corrected in 10 minutes with a service center visit</v>
      </c>
      <c r="AH1310" s="189">
        <f>IFERROR(__xludf.DUMMYFUNCTION("""COMPUTED_VALUE"""),43418.63347194444)</f>
        <v>43418.63347</v>
      </c>
    </row>
    <row r="1311">
      <c r="A1311" t="str">
        <f>IFERROR(__xludf.DUMMYFUNCTION("""COMPUTED_VALUE"""),"IvecalledmysonTesla")</f>
        <v>IvecalledmysonTesla</v>
      </c>
      <c r="C1311" t="str">
        <f>IFERROR(__xludf.DUMMYFUNCTION("""COMPUTED_VALUE"""),"NY")</f>
        <v>NY</v>
      </c>
      <c r="D1311" t="str">
        <f>IFERROR(__xludf.DUMMYFUNCTION("""COMPUTED_VALUE"""),"USA")</f>
        <v>USA</v>
      </c>
      <c r="E1311" s="188">
        <f>IFERROR(__xludf.DUMMYFUNCTION("""COMPUTED_VALUE"""),43278.0)</f>
        <v>43278</v>
      </c>
      <c r="F1311" s="188">
        <f>IFERROR(__xludf.DUMMYFUNCTION("""COMPUTED_VALUE"""),43395.0)</f>
        <v>43395</v>
      </c>
      <c r="H1311">
        <f>IFERROR(__xludf.DUMMYFUNCTION("""COMPUTED_VALUE"""),112363.0)</f>
        <v>112363</v>
      </c>
      <c r="J1311" s="5">
        <f>IFERROR(__xludf.DUMMYFUNCTION("""COMPUTED_VALUE"""),43415.0)</f>
        <v>43415</v>
      </c>
      <c r="K1311">
        <f>IFERROR(__xludf.DUMMYFUNCTION("""COMPUTED_VALUE"""),117.0)</f>
        <v>117</v>
      </c>
      <c r="L1311">
        <f>IFERROR(__xludf.DUMMYFUNCTION("""COMPUTED_VALUE"""),20.0)</f>
        <v>20</v>
      </c>
      <c r="M1311">
        <f>IFERROR(__xludf.DUMMYFUNCTION("""COMPUTED_VALUE"""),137.0)</f>
        <v>137</v>
      </c>
      <c r="N1311" t="str">
        <f>IFERROR(__xludf.DUMMYFUNCTION("""COMPUTED_VALUE"""),"Model 3 LR AWD")</f>
        <v>Model 3 LR AWD</v>
      </c>
      <c r="O1311" t="str">
        <f>IFERROR(__xludf.DUMMYFUNCTION("""COMPUTED_VALUE"""),"Midnight Silver Metallic")</f>
        <v>Midnight Silver Metallic</v>
      </c>
      <c r="P1311" t="str">
        <f>IFERROR(__xludf.DUMMYFUNCTION("""COMPUTED_VALUE"""),"18 inch Aero")</f>
        <v>18 inch Aero</v>
      </c>
      <c r="Q1311" t="str">
        <f>IFERROR(__xludf.DUMMYFUNCTION("""COMPUTED_VALUE"""),"Black seats")</f>
        <v>Black seats</v>
      </c>
      <c r="R1311" t="str">
        <f>IFERROR(__xludf.DUMMYFUNCTION("""COMPUTED_VALUE"""),"Enhanced Autopilot")</f>
        <v>Enhanced Autopilot</v>
      </c>
      <c r="X1311" t="str">
        <f>IFERROR(__xludf.DUMMYFUNCTION("""COMPUTED_VALUE"""),"Excellent")</f>
        <v>Excellent</v>
      </c>
      <c r="Y1311" t="str">
        <f>IFERROR(__xludf.DUMMYFUNCTION("""COMPUTED_VALUE"""),"Excellent")</f>
        <v>Excellent</v>
      </c>
      <c r="Z1311" t="str">
        <f>IFERROR(__xludf.DUMMYFUNCTION("""COMPUTED_VALUE"""),"Excellent")</f>
        <v>Excellent</v>
      </c>
      <c r="AA1311" t="str">
        <f>IFERROR(__xludf.DUMMYFUNCTION("""COMPUTED_VALUE"""),"Fair")</f>
        <v>Fair</v>
      </c>
      <c r="AB1311" t="str">
        <f>IFERROR(__xludf.DUMMYFUNCTION("""COMPUTED_VALUE"""),"Very Good")</f>
        <v>Very Good</v>
      </c>
      <c r="AH1311" s="189">
        <f>IFERROR(__xludf.DUMMYFUNCTION("""COMPUTED_VALUE"""),43418.74601166666)</f>
        <v>43418.74601</v>
      </c>
    </row>
    <row r="1312">
      <c r="A1312" t="str">
        <f>IFERROR(__xludf.DUMMYFUNCTION("""COMPUTED_VALUE"""),"marker2002")</f>
        <v>marker2002</v>
      </c>
      <c r="B1312" t="str">
        <f>IFERROR(__xludf.DUMMYFUNCTION("""COMPUTED_VALUE"""),"Overland Park")</f>
        <v>Overland Park</v>
      </c>
      <c r="C1312" t="str">
        <f>IFERROR(__xludf.DUMMYFUNCTION("""COMPUTED_VALUE"""),"KS")</f>
        <v>KS</v>
      </c>
      <c r="D1312" t="str">
        <f>IFERROR(__xludf.DUMMYFUNCTION("""COMPUTED_VALUE"""),"USA")</f>
        <v>USA</v>
      </c>
      <c r="E1312" s="188">
        <f>IFERROR(__xludf.DUMMYFUNCTION("""COMPUTED_VALUE"""),43243.0)</f>
        <v>43243</v>
      </c>
      <c r="F1312" s="188">
        <f>IFERROR(__xludf.DUMMYFUNCTION("""COMPUTED_VALUE"""),43322.0)</f>
        <v>43322</v>
      </c>
      <c r="H1312">
        <f>IFERROR(__xludf.DUMMYFUNCTION("""COMPUTED_VALUE"""),65055.0)</f>
        <v>65055</v>
      </c>
      <c r="I1312" t="str">
        <f>IFERROR(__xludf.DUMMYFUNCTION("""COMPUTED_VALUE"""),"08/18")</f>
        <v>08/18</v>
      </c>
      <c r="J1312" s="5">
        <f>IFERROR(__xludf.DUMMYFUNCTION("""COMPUTED_VALUE"""),43350.0)</f>
        <v>43350</v>
      </c>
      <c r="K1312">
        <f>IFERROR(__xludf.DUMMYFUNCTION("""COMPUTED_VALUE"""),79.0)</f>
        <v>79</v>
      </c>
      <c r="L1312">
        <f>IFERROR(__xludf.DUMMYFUNCTION("""COMPUTED_VALUE"""),28.0)</f>
        <v>28</v>
      </c>
      <c r="M1312">
        <f>IFERROR(__xludf.DUMMYFUNCTION("""COMPUTED_VALUE"""),107.0)</f>
        <v>107</v>
      </c>
      <c r="N1312" t="str">
        <f>IFERROR(__xludf.DUMMYFUNCTION("""COMPUTED_VALUE"""),"Model 3 LR AWD")</f>
        <v>Model 3 LR AWD</v>
      </c>
      <c r="O1312" t="str">
        <f>IFERROR(__xludf.DUMMYFUNCTION("""COMPUTED_VALUE"""),"Silver Metallic")</f>
        <v>Silver Metallic</v>
      </c>
      <c r="P1312" t="str">
        <f>IFERROR(__xludf.DUMMYFUNCTION("""COMPUTED_VALUE"""),"18 inch Aero")</f>
        <v>18 inch Aero</v>
      </c>
      <c r="Q1312" t="str">
        <f>IFERROR(__xludf.DUMMYFUNCTION("""COMPUTED_VALUE"""),"Black seats")</f>
        <v>Black seats</v>
      </c>
      <c r="R1312" t="str">
        <f>IFERROR(__xludf.DUMMYFUNCTION("""COMPUTED_VALUE"""),"Enhanced Autopilot")</f>
        <v>Enhanced Autopilot</v>
      </c>
      <c r="X1312" t="str">
        <f>IFERROR(__xludf.DUMMYFUNCTION("""COMPUTED_VALUE"""),"Very Good")</f>
        <v>Very Good</v>
      </c>
      <c r="Y1312" t="str">
        <f>IFERROR(__xludf.DUMMYFUNCTION("""COMPUTED_VALUE"""),"Very Good")</f>
        <v>Very Good</v>
      </c>
      <c r="Z1312" t="str">
        <f>IFERROR(__xludf.DUMMYFUNCTION("""COMPUTED_VALUE"""),"Good")</f>
        <v>Good</v>
      </c>
      <c r="AA1312" t="str">
        <f>IFERROR(__xludf.DUMMYFUNCTION("""COMPUTED_VALUE"""),"Poor")</f>
        <v>Poor</v>
      </c>
      <c r="AB1312" t="str">
        <f>IFERROR(__xludf.DUMMYFUNCTION("""COMPUTED_VALUE"""),"Excellent")</f>
        <v>Excellent</v>
      </c>
      <c r="AC1312">
        <f>IFERROR(__xludf.DUMMYFUNCTION("""COMPUTED_VALUE"""),3.0)</f>
        <v>3</v>
      </c>
      <c r="AD1312">
        <f>IFERROR(__xludf.DUMMYFUNCTION("""COMPUTED_VALUE"""),1.0)</f>
        <v>1</v>
      </c>
      <c r="AE1312">
        <f>IFERROR(__xludf.DUMMYFUNCTION("""COMPUTED_VALUE"""),0.0)</f>
        <v>0</v>
      </c>
      <c r="AH1312" s="189">
        <f>IFERROR(__xludf.DUMMYFUNCTION("""COMPUTED_VALUE"""),43418.84569945602)</f>
        <v>43418.8457</v>
      </c>
    </row>
    <row r="1313">
      <c r="A1313" t="str">
        <f>IFERROR(__xludf.DUMMYFUNCTION("""COMPUTED_VALUE"""),"xilex")</f>
        <v>xilex</v>
      </c>
      <c r="B1313" t="str">
        <f>IFERROR(__xludf.DUMMYFUNCTION("""COMPUTED_VALUE"""),"Los Angeles")</f>
        <v>Los Angeles</v>
      </c>
      <c r="C1313" t="str">
        <f>IFERROR(__xludf.DUMMYFUNCTION("""COMPUTED_VALUE"""),"CA")</f>
        <v>CA</v>
      </c>
      <c r="D1313" t="str">
        <f>IFERROR(__xludf.DUMMYFUNCTION("""COMPUTED_VALUE"""),"USA")</f>
        <v>USA</v>
      </c>
      <c r="E1313" s="188">
        <f>IFERROR(__xludf.DUMMYFUNCTION("""COMPUTED_VALUE"""),43386.0)</f>
        <v>43386</v>
      </c>
      <c r="F1313" s="188">
        <f>IFERROR(__xludf.DUMMYFUNCTION("""COMPUTED_VALUE"""),43406.0)</f>
        <v>43406</v>
      </c>
      <c r="H1313">
        <f>IFERROR(__xludf.DUMMYFUNCTION("""COMPUTED_VALUE"""),115355.0)</f>
        <v>115355</v>
      </c>
      <c r="J1313" s="5">
        <f>IFERROR(__xludf.DUMMYFUNCTION("""COMPUTED_VALUE"""),43414.0)</f>
        <v>43414</v>
      </c>
      <c r="K1313">
        <f>IFERROR(__xludf.DUMMYFUNCTION("""COMPUTED_VALUE"""),20.0)</f>
        <v>20</v>
      </c>
      <c r="L1313">
        <f>IFERROR(__xludf.DUMMYFUNCTION("""COMPUTED_VALUE"""),8.0)</f>
        <v>8</v>
      </c>
      <c r="M1313">
        <f>IFERROR(__xludf.DUMMYFUNCTION("""COMPUTED_VALUE"""),28.0)</f>
        <v>28</v>
      </c>
      <c r="N1313" t="str">
        <f>IFERROR(__xludf.DUMMYFUNCTION("""COMPUTED_VALUE"""),"Model 3 Performance")</f>
        <v>Model 3 Performance</v>
      </c>
      <c r="O1313" t="str">
        <f>IFERROR(__xludf.DUMMYFUNCTION("""COMPUTED_VALUE"""),"Deep Blue Metallic")</f>
        <v>Deep Blue Metallic</v>
      </c>
      <c r="P1313" t="str">
        <f>IFERROR(__xludf.DUMMYFUNCTION("""COMPUTED_VALUE"""),"18 inch Aero")</f>
        <v>18 inch Aero</v>
      </c>
      <c r="Q1313" t="str">
        <f>IFERROR(__xludf.DUMMYFUNCTION("""COMPUTED_VALUE"""),"Black seats")</f>
        <v>Black seats</v>
      </c>
      <c r="R1313" t="str">
        <f>IFERROR(__xludf.DUMMYFUNCTION("""COMPUTED_VALUE"""),"Enhanced Autopilot")</f>
        <v>Enhanced Autopilot</v>
      </c>
      <c r="X1313" t="str">
        <f>IFERROR(__xludf.DUMMYFUNCTION("""COMPUTED_VALUE"""),"Excellent")</f>
        <v>Excellent</v>
      </c>
      <c r="Y1313" t="str">
        <f>IFERROR(__xludf.DUMMYFUNCTION("""COMPUTED_VALUE"""),"Excellent")</f>
        <v>Excellent</v>
      </c>
      <c r="Z1313" t="str">
        <f>IFERROR(__xludf.DUMMYFUNCTION("""COMPUTED_VALUE"""),"Very Good")</f>
        <v>Very Good</v>
      </c>
      <c r="AA1313" t="str">
        <f>IFERROR(__xludf.DUMMYFUNCTION("""COMPUTED_VALUE"""),"Fair")</f>
        <v>Fair</v>
      </c>
      <c r="AB1313" t="str">
        <f>IFERROR(__xludf.DUMMYFUNCTION("""COMPUTED_VALUE"""),"Very Good")</f>
        <v>Very Good</v>
      </c>
      <c r="AG1313" t="str">
        <f>IFERROR(__xludf.DUMMYFUNCTION("""COMPUTED_VALUE"""),"Really glad car turned out well, one small chip to fix, a few scratches buffed out, no rattling, inside looks pretty good aside from some shoe scuff marks. It's not 100% pristine but I don't want them to touch it more than necessary. It'll be shiny outsid"&amp;"e and move really fast.")</f>
        <v>Really glad car turned out well, one small chip to fix, a few scratches buffed out, no rattling, inside looks pretty good aside from some shoe scuff marks. It's not 100% pristine but I don't want them to touch it more than necessary. It'll be shiny outside and move really fast.</v>
      </c>
      <c r="AH1313" s="189">
        <f>IFERROR(__xludf.DUMMYFUNCTION("""COMPUTED_VALUE"""),43418.88986106482)</f>
        <v>43418.88986</v>
      </c>
    </row>
    <row r="1314">
      <c r="A1314" t="str">
        <f>IFERROR(__xludf.DUMMYFUNCTION("""COMPUTED_VALUE"""),"mrgooletoyou")</f>
        <v>mrgooletoyou</v>
      </c>
      <c r="B1314" t="str">
        <f>IFERROR(__xludf.DUMMYFUNCTION("""COMPUTED_VALUE"""),"columbus")</f>
        <v>columbus</v>
      </c>
      <c r="C1314" t="str">
        <f>IFERROR(__xludf.DUMMYFUNCTION("""COMPUTED_VALUE"""),"OH")</f>
        <v>OH</v>
      </c>
      <c r="D1314" t="str">
        <f>IFERROR(__xludf.DUMMYFUNCTION("""COMPUTED_VALUE"""),"USA")</f>
        <v>USA</v>
      </c>
      <c r="E1314" s="188">
        <f>IFERROR(__xludf.DUMMYFUNCTION("""COMPUTED_VALUE"""),43386.0)</f>
        <v>43386</v>
      </c>
      <c r="H1314">
        <f>IFERROR(__xludf.DUMMYFUNCTION("""COMPUTED_VALUE"""),121912.0)</f>
        <v>121912</v>
      </c>
      <c r="J1314" s="5">
        <f>IFERROR(__xludf.DUMMYFUNCTION("""COMPUTED_VALUE"""),43417.0)</f>
        <v>43417</v>
      </c>
      <c r="M1314">
        <f>IFERROR(__xludf.DUMMYFUNCTION("""COMPUTED_VALUE"""),31.0)</f>
        <v>31</v>
      </c>
      <c r="N1314" t="str">
        <f>IFERROR(__xludf.DUMMYFUNCTION("""COMPUTED_VALUE"""),"Model 3 LR AWD")</f>
        <v>Model 3 LR AWD</v>
      </c>
      <c r="O1314" t="str">
        <f>IFERROR(__xludf.DUMMYFUNCTION("""COMPUTED_VALUE"""),"Deep Blue Metallic")</f>
        <v>Deep Blue Metallic</v>
      </c>
      <c r="P1314" t="str">
        <f>IFERROR(__xludf.DUMMYFUNCTION("""COMPUTED_VALUE"""),"19 inch Sport")</f>
        <v>19 inch Sport</v>
      </c>
      <c r="Q1314" t="str">
        <f>IFERROR(__xludf.DUMMYFUNCTION("""COMPUTED_VALUE"""),"Black seats")</f>
        <v>Black seats</v>
      </c>
      <c r="R1314" t="str">
        <f>IFERROR(__xludf.DUMMYFUNCTION("""COMPUTED_VALUE"""),"Enhanced Autopilot")</f>
        <v>Enhanced Autopilot</v>
      </c>
      <c r="X1314" t="str">
        <f>IFERROR(__xludf.DUMMYFUNCTION("""COMPUTED_VALUE"""),"Excellent")</f>
        <v>Excellent</v>
      </c>
      <c r="Y1314" t="str">
        <f>IFERROR(__xludf.DUMMYFUNCTION("""COMPUTED_VALUE"""),"Excellent")</f>
        <v>Excellent</v>
      </c>
      <c r="Z1314" t="str">
        <f>IFERROR(__xludf.DUMMYFUNCTION("""COMPUTED_VALUE"""),"Excellent")</f>
        <v>Excellent</v>
      </c>
      <c r="AA1314" t="str">
        <f>IFERROR(__xludf.DUMMYFUNCTION("""COMPUTED_VALUE"""),"Very Good")</f>
        <v>Very Good</v>
      </c>
      <c r="AB1314" t="str">
        <f>IFERROR(__xludf.DUMMYFUNCTION("""COMPUTED_VALUE"""),"Excellent")</f>
        <v>Excellent</v>
      </c>
      <c r="AH1314" s="189">
        <f>IFERROR(__xludf.DUMMYFUNCTION("""COMPUTED_VALUE"""),43419.34827545139)</f>
        <v>43419.34828</v>
      </c>
    </row>
    <row r="1315">
      <c r="A1315" t="str">
        <f>IFERROR(__xludf.DUMMYFUNCTION("""COMPUTED_VALUE"""),"THE MacDaddy")</f>
        <v>THE MacDaddy</v>
      </c>
      <c r="B1315" t="str">
        <f>IFERROR(__xludf.DUMMYFUNCTION("""COMPUTED_VALUE"""),"Charlotte")</f>
        <v>Charlotte</v>
      </c>
      <c r="C1315" t="str">
        <f>IFERROR(__xludf.DUMMYFUNCTION("""COMPUTED_VALUE"""),"NC")</f>
        <v>NC</v>
      </c>
      <c r="D1315" t="str">
        <f>IFERROR(__xludf.DUMMYFUNCTION("""COMPUTED_VALUE"""),"USA")</f>
        <v>USA</v>
      </c>
      <c r="E1315" s="188">
        <f>IFERROR(__xludf.DUMMYFUNCTION("""COMPUTED_VALUE"""),43356.0)</f>
        <v>43356</v>
      </c>
      <c r="F1315" s="188">
        <f>IFERROR(__xludf.DUMMYFUNCTION("""COMPUTED_VALUE"""),43390.0)</f>
        <v>43390</v>
      </c>
      <c r="H1315">
        <f>IFERROR(__xludf.DUMMYFUNCTION("""COMPUTED_VALUE"""),74955.0)</f>
        <v>74955</v>
      </c>
      <c r="J1315" s="5">
        <f>IFERROR(__xludf.DUMMYFUNCTION("""COMPUTED_VALUE"""),43416.0)</f>
        <v>43416</v>
      </c>
      <c r="K1315">
        <f>IFERROR(__xludf.DUMMYFUNCTION("""COMPUTED_VALUE"""),34.0)</f>
        <v>34</v>
      </c>
      <c r="L1315">
        <f>IFERROR(__xludf.DUMMYFUNCTION("""COMPUTED_VALUE"""),26.0)</f>
        <v>26</v>
      </c>
      <c r="M1315">
        <f>IFERROR(__xludf.DUMMYFUNCTION("""COMPUTED_VALUE"""),60.0)</f>
        <v>60</v>
      </c>
      <c r="N1315" t="str">
        <f>IFERROR(__xludf.DUMMYFUNCTION("""COMPUTED_VALUE"""),"Model 3 LR AWD")</f>
        <v>Model 3 LR AWD</v>
      </c>
      <c r="O1315" t="str">
        <f>IFERROR(__xludf.DUMMYFUNCTION("""COMPUTED_VALUE"""),"Pearl White Multi-Coat")</f>
        <v>Pearl White Multi-Coat</v>
      </c>
      <c r="P1315" t="str">
        <f>IFERROR(__xludf.DUMMYFUNCTION("""COMPUTED_VALUE"""),"18 inch Aero")</f>
        <v>18 inch Aero</v>
      </c>
      <c r="Q1315" t="str">
        <f>IFERROR(__xludf.DUMMYFUNCTION("""COMPUTED_VALUE"""),"White seats")</f>
        <v>White seats</v>
      </c>
      <c r="R1315" t="str">
        <f>IFERROR(__xludf.DUMMYFUNCTION("""COMPUTED_VALUE"""),"Full Self-Driving")</f>
        <v>Full Self-Driving</v>
      </c>
      <c r="X1315" t="str">
        <f>IFERROR(__xludf.DUMMYFUNCTION("""COMPUTED_VALUE"""),"Excellent")</f>
        <v>Excellent</v>
      </c>
      <c r="Y1315" t="str">
        <f>IFERROR(__xludf.DUMMYFUNCTION("""COMPUTED_VALUE"""),"Excellent")</f>
        <v>Excellent</v>
      </c>
      <c r="Z1315" t="str">
        <f>IFERROR(__xludf.DUMMYFUNCTION("""COMPUTED_VALUE"""),"Excellent")</f>
        <v>Excellent</v>
      </c>
      <c r="AA1315" t="str">
        <f>IFERROR(__xludf.DUMMYFUNCTION("""COMPUTED_VALUE"""),"Poor")</f>
        <v>Poor</v>
      </c>
      <c r="AB1315" t="str">
        <f>IFERROR(__xludf.DUMMYFUNCTION("""COMPUTED_VALUE"""),"Very Good")</f>
        <v>Very Good</v>
      </c>
      <c r="AH1315" s="189">
        <f>IFERROR(__xludf.DUMMYFUNCTION("""COMPUTED_VALUE"""),43419.36718958333)</f>
        <v>43419.36719</v>
      </c>
    </row>
    <row r="1316">
      <c r="A1316" t="str">
        <f>IFERROR(__xludf.DUMMYFUNCTION("""COMPUTED_VALUE"""),"driz")</f>
        <v>driz</v>
      </c>
      <c r="B1316" t="str">
        <f>IFERROR(__xludf.DUMMYFUNCTION("""COMPUTED_VALUE"""),"Nashville")</f>
        <v>Nashville</v>
      </c>
      <c r="C1316" t="str">
        <f>IFERROR(__xludf.DUMMYFUNCTION("""COMPUTED_VALUE"""),"TN")</f>
        <v>TN</v>
      </c>
      <c r="D1316" t="str">
        <f>IFERROR(__xludf.DUMMYFUNCTION("""COMPUTED_VALUE"""),"USA")</f>
        <v>USA</v>
      </c>
      <c r="E1316" s="188">
        <f>IFERROR(__xludf.DUMMYFUNCTION("""COMPUTED_VALUE"""),43391.0)</f>
        <v>43391</v>
      </c>
      <c r="F1316" s="188">
        <f>IFERROR(__xludf.DUMMYFUNCTION("""COMPUTED_VALUE"""),43397.0)</f>
        <v>43397</v>
      </c>
      <c r="H1316">
        <f>IFERROR(__xludf.DUMMYFUNCTION("""COMPUTED_VALUE"""),112865.0)</f>
        <v>112865</v>
      </c>
      <c r="I1316" t="str">
        <f>IFERROR(__xludf.DUMMYFUNCTION("""COMPUTED_VALUE"""),"10/18")</f>
        <v>10/18</v>
      </c>
      <c r="J1316" s="5">
        <f>IFERROR(__xludf.DUMMYFUNCTION("""COMPUTED_VALUE"""),43419.0)</f>
        <v>43419</v>
      </c>
      <c r="K1316">
        <f>IFERROR(__xludf.DUMMYFUNCTION("""COMPUTED_VALUE"""),6.0)</f>
        <v>6</v>
      </c>
      <c r="L1316">
        <f>IFERROR(__xludf.DUMMYFUNCTION("""COMPUTED_VALUE"""),22.0)</f>
        <v>22</v>
      </c>
      <c r="M1316">
        <f>IFERROR(__xludf.DUMMYFUNCTION("""COMPUTED_VALUE"""),28.0)</f>
        <v>28</v>
      </c>
      <c r="N1316" t="str">
        <f>IFERROR(__xludf.DUMMYFUNCTION("""COMPUTED_VALUE"""),"Model 3 LR AWD")</f>
        <v>Model 3 LR AWD</v>
      </c>
      <c r="O1316" t="str">
        <f>IFERROR(__xludf.DUMMYFUNCTION("""COMPUTED_VALUE"""),"Solid Black")</f>
        <v>Solid Black</v>
      </c>
      <c r="P1316" t="str">
        <f>IFERROR(__xludf.DUMMYFUNCTION("""COMPUTED_VALUE"""),"18 inch Aero")</f>
        <v>18 inch Aero</v>
      </c>
      <c r="Q1316" t="str">
        <f>IFERROR(__xludf.DUMMYFUNCTION("""COMPUTED_VALUE"""),"White seats")</f>
        <v>White seats</v>
      </c>
      <c r="R1316" t="str">
        <f>IFERROR(__xludf.DUMMYFUNCTION("""COMPUTED_VALUE"""),"Enhanced Autopilot")</f>
        <v>Enhanced Autopilot</v>
      </c>
      <c r="X1316" t="str">
        <f>IFERROR(__xludf.DUMMYFUNCTION("""COMPUTED_VALUE"""),"Good")</f>
        <v>Good</v>
      </c>
      <c r="Y1316" t="str">
        <f>IFERROR(__xludf.DUMMYFUNCTION("""COMPUTED_VALUE"""),"Excellent")</f>
        <v>Excellent</v>
      </c>
      <c r="Z1316" t="str">
        <f>IFERROR(__xludf.DUMMYFUNCTION("""COMPUTED_VALUE"""),"Excellent")</f>
        <v>Excellent</v>
      </c>
      <c r="AA1316" t="str">
        <f>IFERROR(__xludf.DUMMYFUNCTION("""COMPUTED_VALUE"""),"Fair")</f>
        <v>Fair</v>
      </c>
      <c r="AB1316" t="str">
        <f>IFERROR(__xludf.DUMMYFUNCTION("""COMPUTED_VALUE"""),"Excellent")</f>
        <v>Excellent</v>
      </c>
      <c r="AG1316" t="str">
        <f>IFERROR(__xludf.DUMMYFUNCTION("""COMPUTED_VALUE"""),"original order 20aug, cancelled, new order info above; orig deliver date 11/18, changed to 11/08, changed to 11/15")</f>
        <v>original order 20aug, cancelled, new order info above; orig deliver date 11/18, changed to 11/08, changed to 11/15</v>
      </c>
      <c r="AH1316" s="189">
        <f>IFERROR(__xludf.DUMMYFUNCTION("""COMPUTED_VALUE"""),43419.46988034723)</f>
        <v>43419.46988</v>
      </c>
    </row>
    <row r="1317">
      <c r="A1317" t="str">
        <f>IFERROR(__xludf.DUMMYFUNCTION("""COMPUTED_VALUE"""),"Doomnometron")</f>
        <v>Doomnometron</v>
      </c>
      <c r="C1317" t="str">
        <f>IFERROR(__xludf.DUMMYFUNCTION("""COMPUTED_VALUE"""),"MO")</f>
        <v>MO</v>
      </c>
      <c r="D1317" t="str">
        <f>IFERROR(__xludf.DUMMYFUNCTION("""COMPUTED_VALUE"""),"USA")</f>
        <v>USA</v>
      </c>
      <c r="E1317" s="188">
        <f>IFERROR(__xludf.DUMMYFUNCTION("""COMPUTED_VALUE"""),43388.0)</f>
        <v>43388</v>
      </c>
      <c r="F1317" s="188">
        <f>IFERROR(__xludf.DUMMYFUNCTION("""COMPUTED_VALUE"""),43397.0)</f>
        <v>43397</v>
      </c>
      <c r="H1317">
        <f>IFERROR(__xludf.DUMMYFUNCTION("""COMPUTED_VALUE"""),106408.0)</f>
        <v>106408</v>
      </c>
      <c r="J1317" s="5">
        <f>IFERROR(__xludf.DUMMYFUNCTION("""COMPUTED_VALUE"""),43417.0)</f>
        <v>43417</v>
      </c>
      <c r="K1317">
        <f>IFERROR(__xludf.DUMMYFUNCTION("""COMPUTED_VALUE"""),9.0)</f>
        <v>9</v>
      </c>
      <c r="L1317">
        <f>IFERROR(__xludf.DUMMYFUNCTION("""COMPUTED_VALUE"""),20.0)</f>
        <v>20</v>
      </c>
      <c r="M1317">
        <f>IFERROR(__xludf.DUMMYFUNCTION("""COMPUTED_VALUE"""),29.0)</f>
        <v>29</v>
      </c>
      <c r="N1317" t="str">
        <f>IFERROR(__xludf.DUMMYFUNCTION("""COMPUTED_VALUE"""),"Model 3 Performance")</f>
        <v>Model 3 Performance</v>
      </c>
      <c r="O1317" t="str">
        <f>IFERROR(__xludf.DUMMYFUNCTION("""COMPUTED_VALUE"""),"Pearl White Multi-Coat")</f>
        <v>Pearl White Multi-Coat</v>
      </c>
      <c r="P1317" t="str">
        <f>IFERROR(__xludf.DUMMYFUNCTION("""COMPUTED_VALUE"""),"20 inch Sport")</f>
        <v>20 inch Sport</v>
      </c>
      <c r="Q1317" t="str">
        <f>IFERROR(__xludf.DUMMYFUNCTION("""COMPUTED_VALUE"""),"Black seats")</f>
        <v>Black seats</v>
      </c>
      <c r="R1317" t="str">
        <f>IFERROR(__xludf.DUMMYFUNCTION("""COMPUTED_VALUE"""),"Full Self-Driving")</f>
        <v>Full Self-Driving</v>
      </c>
      <c r="X1317" t="str">
        <f>IFERROR(__xludf.DUMMYFUNCTION("""COMPUTED_VALUE"""),"Excellent")</f>
        <v>Excellent</v>
      </c>
      <c r="Y1317" t="str">
        <f>IFERROR(__xludf.DUMMYFUNCTION("""COMPUTED_VALUE"""),"Excellent")</f>
        <v>Excellent</v>
      </c>
      <c r="Z1317" t="str">
        <f>IFERROR(__xludf.DUMMYFUNCTION("""COMPUTED_VALUE"""),"Good")</f>
        <v>Good</v>
      </c>
      <c r="AA1317" t="str">
        <f>IFERROR(__xludf.DUMMYFUNCTION("""COMPUTED_VALUE"""),"Fair")</f>
        <v>Fair</v>
      </c>
      <c r="AB1317" t="str">
        <f>IFERROR(__xludf.DUMMYFUNCTION("""COMPUTED_VALUE"""),"Good")</f>
        <v>Good</v>
      </c>
      <c r="AC1317">
        <f>IFERROR(__xludf.DUMMYFUNCTION("""COMPUTED_VALUE"""),2.0)</f>
        <v>2</v>
      </c>
      <c r="AH1317" s="189">
        <f>IFERROR(__xludf.DUMMYFUNCTION("""COMPUTED_VALUE"""),43419.47844678241)</f>
        <v>43419.47845</v>
      </c>
    </row>
    <row r="1318">
      <c r="A1318" t="str">
        <f>IFERROR(__xludf.DUMMYFUNCTION("""COMPUTED_VALUE"""),"Larryfl")</f>
        <v>Larryfl</v>
      </c>
      <c r="B1318" t="str">
        <f>IFERROR(__xludf.DUMMYFUNCTION("""COMPUTED_VALUE"""),"Ft Lauderdale")</f>
        <v>Ft Lauderdale</v>
      </c>
      <c r="C1318" t="str">
        <f>IFERROR(__xludf.DUMMYFUNCTION("""COMPUTED_VALUE"""),"FL")</f>
        <v>FL</v>
      </c>
      <c r="D1318" t="str">
        <f>IFERROR(__xludf.DUMMYFUNCTION("""COMPUTED_VALUE"""),"USA")</f>
        <v>USA</v>
      </c>
      <c r="E1318" s="188">
        <f>IFERROR(__xludf.DUMMYFUNCTION("""COMPUTED_VALUE"""),43329.0)</f>
        <v>43329</v>
      </c>
      <c r="F1318" s="188">
        <f>IFERROR(__xludf.DUMMYFUNCTION("""COMPUTED_VALUE"""),43349.0)</f>
        <v>43349</v>
      </c>
      <c r="H1318" s="4">
        <f>IFERROR(__xludf.DUMMYFUNCTION("""COMPUTED_VALUE"""),83931.0)</f>
        <v>83931</v>
      </c>
      <c r="J1318" s="5">
        <f>IFERROR(__xludf.DUMMYFUNCTION("""COMPUTED_VALUE"""),43373.0)</f>
        <v>43373</v>
      </c>
      <c r="K1318">
        <f>IFERROR(__xludf.DUMMYFUNCTION("""COMPUTED_VALUE"""),20.0)</f>
        <v>20</v>
      </c>
      <c r="L1318">
        <f>IFERROR(__xludf.DUMMYFUNCTION("""COMPUTED_VALUE"""),24.0)</f>
        <v>24</v>
      </c>
      <c r="M1318">
        <f>IFERROR(__xludf.DUMMYFUNCTION("""COMPUTED_VALUE"""),44.0)</f>
        <v>44</v>
      </c>
      <c r="N1318" t="str">
        <f>IFERROR(__xludf.DUMMYFUNCTION("""COMPUTED_VALUE"""),"Model 3 Performance")</f>
        <v>Model 3 Performance</v>
      </c>
      <c r="O1318" t="str">
        <f>IFERROR(__xludf.DUMMYFUNCTION("""COMPUTED_VALUE"""),"Deep Blue Metallic")</f>
        <v>Deep Blue Metallic</v>
      </c>
      <c r="P1318" t="str">
        <f>IFERROR(__xludf.DUMMYFUNCTION("""COMPUTED_VALUE"""),"20 inch Sport")</f>
        <v>20 inch Sport</v>
      </c>
      <c r="Q1318" t="str">
        <f>IFERROR(__xludf.DUMMYFUNCTION("""COMPUTED_VALUE"""),"Black seats")</f>
        <v>Black seats</v>
      </c>
      <c r="R1318" t="str">
        <f>IFERROR(__xludf.DUMMYFUNCTION("""COMPUTED_VALUE"""),"Enhanced Autopilot")</f>
        <v>Enhanced Autopilot</v>
      </c>
      <c r="X1318" t="str">
        <f>IFERROR(__xludf.DUMMYFUNCTION("""COMPUTED_VALUE"""),"Very Good")</f>
        <v>Very Good</v>
      </c>
      <c r="Y1318" t="str">
        <f>IFERROR(__xludf.DUMMYFUNCTION("""COMPUTED_VALUE"""),"Very Good")</f>
        <v>Very Good</v>
      </c>
      <c r="Z1318" t="str">
        <f>IFERROR(__xludf.DUMMYFUNCTION("""COMPUTED_VALUE"""),"Good")</f>
        <v>Good</v>
      </c>
      <c r="AA1318" t="str">
        <f>IFERROR(__xludf.DUMMYFUNCTION("""COMPUTED_VALUE"""),"Fair")</f>
        <v>Fair</v>
      </c>
      <c r="AB1318" t="str">
        <f>IFERROR(__xludf.DUMMYFUNCTION("""COMPUTED_VALUE"""),"Very Good")</f>
        <v>Very Good</v>
      </c>
      <c r="AC1318">
        <f>IFERROR(__xludf.DUMMYFUNCTION("""COMPUTED_VALUE"""),4.0)</f>
        <v>4</v>
      </c>
      <c r="AD1318">
        <f>IFERROR(__xludf.DUMMYFUNCTION("""COMPUTED_VALUE"""),1.0)</f>
        <v>1</v>
      </c>
      <c r="AE1318">
        <f>IFERROR(__xludf.DUMMYFUNCTION("""COMPUTED_VALUE"""),2.0)</f>
        <v>2</v>
      </c>
      <c r="AH1318" s="189">
        <f>IFERROR(__xludf.DUMMYFUNCTION("""COMPUTED_VALUE"""),43419.49421966435)</f>
        <v>43419.49422</v>
      </c>
    </row>
    <row r="1319">
      <c r="A1319" t="str">
        <f>IFERROR(__xludf.DUMMYFUNCTION("""COMPUTED_VALUE"""),"mike813")</f>
        <v>mike813</v>
      </c>
      <c r="B1319" t="str">
        <f>IFERROR(__xludf.DUMMYFUNCTION("""COMPUTED_VALUE"""),"NE Florida")</f>
        <v>NE Florida</v>
      </c>
      <c r="C1319" t="str">
        <f>IFERROR(__xludf.DUMMYFUNCTION("""COMPUTED_VALUE"""),"FL")</f>
        <v>FL</v>
      </c>
      <c r="D1319" t="str">
        <f>IFERROR(__xludf.DUMMYFUNCTION("""COMPUTED_VALUE"""),"USA")</f>
        <v>USA</v>
      </c>
      <c r="E1319" s="188">
        <f>IFERROR(__xludf.DUMMYFUNCTION("""COMPUTED_VALUE"""),43401.0)</f>
        <v>43401</v>
      </c>
      <c r="F1319" s="188">
        <f>IFERROR(__xludf.DUMMYFUNCTION("""COMPUTED_VALUE"""),43404.0)</f>
        <v>43404</v>
      </c>
      <c r="H1319">
        <f>IFERROR(__xludf.DUMMYFUNCTION("""COMPUTED_VALUE"""),115655.0)</f>
        <v>115655</v>
      </c>
      <c r="J1319" s="5">
        <f>IFERROR(__xludf.DUMMYFUNCTION("""COMPUTED_VALUE"""),43419.0)</f>
        <v>43419</v>
      </c>
      <c r="K1319">
        <f>IFERROR(__xludf.DUMMYFUNCTION("""COMPUTED_VALUE"""),3.0)</f>
        <v>3</v>
      </c>
      <c r="L1319">
        <f>IFERROR(__xludf.DUMMYFUNCTION("""COMPUTED_VALUE"""),15.0)</f>
        <v>15</v>
      </c>
      <c r="M1319">
        <f>IFERROR(__xludf.DUMMYFUNCTION("""COMPUTED_VALUE"""),18.0)</f>
        <v>18</v>
      </c>
      <c r="N1319" t="str">
        <f>IFERROR(__xludf.DUMMYFUNCTION("""COMPUTED_VALUE"""),"Model 3 LR AWD")</f>
        <v>Model 3 LR AWD</v>
      </c>
      <c r="O1319" t="str">
        <f>IFERROR(__xludf.DUMMYFUNCTION("""COMPUTED_VALUE"""),"Pearl White Multi-Coat")</f>
        <v>Pearl White Multi-Coat</v>
      </c>
      <c r="P1319" t="str">
        <f>IFERROR(__xludf.DUMMYFUNCTION("""COMPUTED_VALUE"""),"18 inch Aero")</f>
        <v>18 inch Aero</v>
      </c>
      <c r="Q1319" t="str">
        <f>IFERROR(__xludf.DUMMYFUNCTION("""COMPUTED_VALUE"""),"Black seats")</f>
        <v>Black seats</v>
      </c>
      <c r="R1319" t="str">
        <f>IFERROR(__xludf.DUMMYFUNCTION("""COMPUTED_VALUE"""),"Enhanced Autopilot")</f>
        <v>Enhanced Autopilot</v>
      </c>
      <c r="X1319" t="str">
        <f>IFERROR(__xludf.DUMMYFUNCTION("""COMPUTED_VALUE"""),"Excellent")</f>
        <v>Excellent</v>
      </c>
      <c r="Y1319" t="str">
        <f>IFERROR(__xludf.DUMMYFUNCTION("""COMPUTED_VALUE"""),"Excellent")</f>
        <v>Excellent</v>
      </c>
      <c r="Z1319" t="str">
        <f>IFERROR(__xludf.DUMMYFUNCTION("""COMPUTED_VALUE"""),"Excellent")</f>
        <v>Excellent</v>
      </c>
      <c r="AA1319" t="str">
        <f>IFERROR(__xludf.DUMMYFUNCTION("""COMPUTED_VALUE"""),"Excellent")</f>
        <v>Excellent</v>
      </c>
      <c r="AB1319" t="str">
        <f>IFERROR(__xludf.DUMMYFUNCTION("""COMPUTED_VALUE"""),"Excellent")</f>
        <v>Excellent</v>
      </c>
      <c r="AC1319">
        <f>IFERROR(__xludf.DUMMYFUNCTION("""COMPUTED_VALUE"""),0.0)</f>
        <v>0</v>
      </c>
      <c r="AD1319">
        <f>IFERROR(__xludf.DUMMYFUNCTION("""COMPUTED_VALUE"""),0.0)</f>
        <v>0</v>
      </c>
      <c r="AE1319">
        <f>IFERROR(__xludf.DUMMYFUNCTION("""COMPUTED_VALUE"""),0.0)</f>
        <v>0</v>
      </c>
      <c r="AG1319" t="str">
        <f>IFERROR(__xludf.DUMMYFUNCTION("""COMPUTED_VALUE"""),"Non reservation holder.  Ordered RWD MR 10/23/18.  Edited order 10/28/18 to switch to AWD LR hoping for earlier delivery.  ")</f>
        <v>Non reservation holder.  Ordered RWD MR 10/23/18.  Edited order 10/28/18 to switch to AWD LR hoping for earlier delivery.  </v>
      </c>
      <c r="AH1319" s="189">
        <f>IFERROR(__xludf.DUMMYFUNCTION("""COMPUTED_VALUE"""),43420.21547090278)</f>
        <v>43420.21547</v>
      </c>
    </row>
    <row r="1320">
      <c r="A1320" t="str">
        <f>IFERROR(__xludf.DUMMYFUNCTION("""COMPUTED_VALUE"""),"Green Mtn EV")</f>
        <v>Green Mtn EV</v>
      </c>
      <c r="B1320" t="str">
        <f>IFERROR(__xludf.DUMMYFUNCTION("""COMPUTED_VALUE"""),"Burlington")</f>
        <v>Burlington</v>
      </c>
      <c r="C1320" t="str">
        <f>IFERROR(__xludf.DUMMYFUNCTION("""COMPUTED_VALUE"""),"VT")</f>
        <v>VT</v>
      </c>
      <c r="D1320" t="str">
        <f>IFERROR(__xludf.DUMMYFUNCTION("""COMPUTED_VALUE"""),"USA")</f>
        <v>USA</v>
      </c>
      <c r="E1320" s="188">
        <f>IFERROR(__xludf.DUMMYFUNCTION("""COMPUTED_VALUE"""),43307.0)</f>
        <v>43307</v>
      </c>
      <c r="F1320" s="188">
        <f>IFERROR(__xludf.DUMMYFUNCTION("""COMPUTED_VALUE"""),43409.0)</f>
        <v>43409</v>
      </c>
      <c r="H1320">
        <f>IFERROR(__xludf.DUMMYFUNCTION("""COMPUTED_VALUE"""),115171.0)</f>
        <v>115171</v>
      </c>
      <c r="I1320" t="str">
        <f>IFERROR(__xludf.DUMMYFUNCTION("""COMPUTED_VALUE"""),"10/18")</f>
        <v>10/18</v>
      </c>
      <c r="J1320" s="5">
        <f>IFERROR(__xludf.DUMMYFUNCTION("""COMPUTED_VALUE"""),43414.0)</f>
        <v>43414</v>
      </c>
      <c r="K1320">
        <f>IFERROR(__xludf.DUMMYFUNCTION("""COMPUTED_VALUE"""),102.0)</f>
        <v>102</v>
      </c>
      <c r="L1320">
        <f>IFERROR(__xludf.DUMMYFUNCTION("""COMPUTED_VALUE"""),5.0)</f>
        <v>5</v>
      </c>
      <c r="M1320">
        <f>IFERROR(__xludf.DUMMYFUNCTION("""COMPUTED_VALUE"""),107.0)</f>
        <v>107</v>
      </c>
      <c r="N1320" t="str">
        <f>IFERROR(__xludf.DUMMYFUNCTION("""COMPUTED_VALUE"""),"Model 3 LR AWD")</f>
        <v>Model 3 LR AWD</v>
      </c>
      <c r="O1320" t="str">
        <f>IFERROR(__xludf.DUMMYFUNCTION("""COMPUTED_VALUE"""),"Deep Blue Metallic")</f>
        <v>Deep Blue Metallic</v>
      </c>
      <c r="P1320" t="str">
        <f>IFERROR(__xludf.DUMMYFUNCTION("""COMPUTED_VALUE"""),"18 inch Aero")</f>
        <v>18 inch Aero</v>
      </c>
      <c r="Q1320" t="str">
        <f>IFERROR(__xludf.DUMMYFUNCTION("""COMPUTED_VALUE"""),"Black seats")</f>
        <v>Black seats</v>
      </c>
      <c r="R1320" t="str">
        <f>IFERROR(__xludf.DUMMYFUNCTION("""COMPUTED_VALUE"""),"None")</f>
        <v>None</v>
      </c>
      <c r="X1320" t="str">
        <f>IFERROR(__xludf.DUMMYFUNCTION("""COMPUTED_VALUE"""),"Excellent")</f>
        <v>Excellent</v>
      </c>
      <c r="Y1320" t="str">
        <f>IFERROR(__xludf.DUMMYFUNCTION("""COMPUTED_VALUE"""),"Excellent")</f>
        <v>Excellent</v>
      </c>
      <c r="Z1320" t="str">
        <f>IFERROR(__xludf.DUMMYFUNCTION("""COMPUTED_VALUE"""),"Excellent")</f>
        <v>Excellent</v>
      </c>
      <c r="AA1320" t="str">
        <f>IFERROR(__xludf.DUMMYFUNCTION("""COMPUTED_VALUE"""),"Very Good")</f>
        <v>Very Good</v>
      </c>
      <c r="AB1320" t="str">
        <f>IFERROR(__xludf.DUMMYFUNCTION("""COMPUTED_VALUE"""),"Very Good")</f>
        <v>Very Good</v>
      </c>
      <c r="AH1320" s="189">
        <f>IFERROR(__xludf.DUMMYFUNCTION("""COMPUTED_VALUE"""),43420.31135857639)</f>
        <v>43420.31136</v>
      </c>
    </row>
    <row r="1321">
      <c r="A1321" t="str">
        <f>IFERROR(__xludf.DUMMYFUNCTION("""COMPUTED_VALUE"""),"RichChapelHill")</f>
        <v>RichChapelHill</v>
      </c>
      <c r="B1321" t="str">
        <f>IFERROR(__xludf.DUMMYFUNCTION("""COMPUTED_VALUE"""),"Chapel Hill")</f>
        <v>Chapel Hill</v>
      </c>
      <c r="C1321" t="str">
        <f>IFERROR(__xludf.DUMMYFUNCTION("""COMPUTED_VALUE"""),"NC")</f>
        <v>NC</v>
      </c>
      <c r="D1321" t="str">
        <f>IFERROR(__xludf.DUMMYFUNCTION("""COMPUTED_VALUE"""),"USA")</f>
        <v>USA</v>
      </c>
      <c r="E1321" s="188">
        <f>IFERROR(__xludf.DUMMYFUNCTION("""COMPUTED_VALUE"""),43391.0)</f>
        <v>43391</v>
      </c>
      <c r="H1321">
        <f>IFERROR(__xludf.DUMMYFUNCTION("""COMPUTED_VALUE"""),112153.0)</f>
        <v>112153</v>
      </c>
      <c r="J1321" s="5">
        <f>IFERROR(__xludf.DUMMYFUNCTION("""COMPUTED_VALUE"""),43420.0)</f>
        <v>43420</v>
      </c>
      <c r="M1321">
        <f>IFERROR(__xludf.DUMMYFUNCTION("""COMPUTED_VALUE"""),29.0)</f>
        <v>29</v>
      </c>
      <c r="N1321" t="str">
        <f>IFERROR(__xludf.DUMMYFUNCTION("""COMPUTED_VALUE"""),"Model 3 LR AWD")</f>
        <v>Model 3 LR AWD</v>
      </c>
      <c r="O1321" t="str">
        <f>IFERROR(__xludf.DUMMYFUNCTION("""COMPUTED_VALUE"""),"Deep Blue Metallic")</f>
        <v>Deep Blue Metallic</v>
      </c>
      <c r="P1321" t="str">
        <f>IFERROR(__xludf.DUMMYFUNCTION("""COMPUTED_VALUE"""),"19 inch Sport")</f>
        <v>19 inch Sport</v>
      </c>
      <c r="Q1321" t="str">
        <f>IFERROR(__xludf.DUMMYFUNCTION("""COMPUTED_VALUE"""),"White seats")</f>
        <v>White seats</v>
      </c>
      <c r="R1321" t="str">
        <f>IFERROR(__xludf.DUMMYFUNCTION("""COMPUTED_VALUE"""),"Enhanced Autopilot")</f>
        <v>Enhanced Autopilot</v>
      </c>
      <c r="X1321" t="str">
        <f>IFERROR(__xludf.DUMMYFUNCTION("""COMPUTED_VALUE"""),"Very Good")</f>
        <v>Very Good</v>
      </c>
      <c r="Y1321" t="str">
        <f>IFERROR(__xludf.DUMMYFUNCTION("""COMPUTED_VALUE"""),"Very Good")</f>
        <v>Very Good</v>
      </c>
      <c r="Z1321" t="str">
        <f>IFERROR(__xludf.DUMMYFUNCTION("""COMPUTED_VALUE"""),"Excellent")</f>
        <v>Excellent</v>
      </c>
      <c r="AA1321" t="str">
        <f>IFERROR(__xludf.DUMMYFUNCTION("""COMPUTED_VALUE"""),"Excellent")</f>
        <v>Excellent</v>
      </c>
      <c r="AB1321" t="str">
        <f>IFERROR(__xludf.DUMMYFUNCTION("""COMPUTED_VALUE"""),"Excellent")</f>
        <v>Excellent</v>
      </c>
      <c r="AC1321">
        <f>IFERROR(__xludf.DUMMYFUNCTION("""COMPUTED_VALUE"""),0.0)</f>
        <v>0</v>
      </c>
      <c r="AD1321">
        <f>IFERROR(__xludf.DUMMYFUNCTION("""COMPUTED_VALUE"""),0.0)</f>
        <v>0</v>
      </c>
      <c r="AE1321">
        <f>IFERROR(__xludf.DUMMYFUNCTION("""COMPUTED_VALUE"""),0.0)</f>
        <v>0</v>
      </c>
      <c r="AG1321" t="str">
        <f>IFERROR(__xludf.DUMMYFUNCTION("""COMPUTED_VALUE"""),"Switched to LR from MR and received in stock car")</f>
        <v>Switched to LR from MR and received in stock car</v>
      </c>
      <c r="AH1321" s="189">
        <f>IFERROR(__xludf.DUMMYFUNCTION("""COMPUTED_VALUE"""),43420.48318034722)</f>
        <v>43420.48318</v>
      </c>
    </row>
    <row r="1322">
      <c r="A1322" t="str">
        <f>IFERROR(__xludf.DUMMYFUNCTION("""COMPUTED_VALUE"""),"whosyourbaba")</f>
        <v>whosyourbaba</v>
      </c>
      <c r="B1322" t="str">
        <f>IFERROR(__xludf.DUMMYFUNCTION("""COMPUTED_VALUE"""),"Chicago")</f>
        <v>Chicago</v>
      </c>
      <c r="C1322" t="str">
        <f>IFERROR(__xludf.DUMMYFUNCTION("""COMPUTED_VALUE"""),"IL")</f>
        <v>IL</v>
      </c>
      <c r="D1322" t="str">
        <f>IFERROR(__xludf.DUMMYFUNCTION("""COMPUTED_VALUE"""),"USA")</f>
        <v>USA</v>
      </c>
      <c r="E1322" s="188">
        <f>IFERROR(__xludf.DUMMYFUNCTION("""COMPUTED_VALUE"""),43401.0)</f>
        <v>43401</v>
      </c>
      <c r="F1322" s="188">
        <f>IFERROR(__xludf.DUMMYFUNCTION("""COMPUTED_VALUE"""),43409.0)</f>
        <v>43409</v>
      </c>
      <c r="H1322">
        <f>IFERROR(__xludf.DUMMYFUNCTION("""COMPUTED_VALUE"""),76855.0)</f>
        <v>76855</v>
      </c>
      <c r="I1322" t="str">
        <f>IFERROR(__xludf.DUMMYFUNCTION("""COMPUTED_VALUE"""),"10/18")</f>
        <v>10/18</v>
      </c>
      <c r="J1322" s="5">
        <f>IFERROR(__xludf.DUMMYFUNCTION("""COMPUTED_VALUE"""),43420.0)</f>
        <v>43420</v>
      </c>
      <c r="K1322">
        <f>IFERROR(__xludf.DUMMYFUNCTION("""COMPUTED_VALUE"""),8.0)</f>
        <v>8</v>
      </c>
      <c r="L1322">
        <f>IFERROR(__xludf.DUMMYFUNCTION("""COMPUTED_VALUE"""),11.0)</f>
        <v>11</v>
      </c>
      <c r="M1322">
        <f>IFERROR(__xludf.DUMMYFUNCTION("""COMPUTED_VALUE"""),19.0)</f>
        <v>19</v>
      </c>
      <c r="N1322" t="str">
        <f>IFERROR(__xludf.DUMMYFUNCTION("""COMPUTED_VALUE"""),"Model 3 LR")</f>
        <v>Model 3 LR</v>
      </c>
      <c r="O1322" t="str">
        <f>IFERROR(__xludf.DUMMYFUNCTION("""COMPUTED_VALUE"""),"Pearl White Multi-Coat")</f>
        <v>Pearl White Multi-Coat</v>
      </c>
      <c r="P1322" t="str">
        <f>IFERROR(__xludf.DUMMYFUNCTION("""COMPUTED_VALUE"""),"18 inch Aero")</f>
        <v>18 inch Aero</v>
      </c>
      <c r="Q1322" t="str">
        <f>IFERROR(__xludf.DUMMYFUNCTION("""COMPUTED_VALUE"""),"Black seats")</f>
        <v>Black seats</v>
      </c>
      <c r="R1322" t="str">
        <f>IFERROR(__xludf.DUMMYFUNCTION("""COMPUTED_VALUE"""),"Enhanced Autopilot")</f>
        <v>Enhanced Autopilot</v>
      </c>
      <c r="X1322" t="str">
        <f>IFERROR(__xludf.DUMMYFUNCTION("""COMPUTED_VALUE"""),"Excellent")</f>
        <v>Excellent</v>
      </c>
      <c r="Y1322" t="str">
        <f>IFERROR(__xludf.DUMMYFUNCTION("""COMPUTED_VALUE"""),"Excellent")</f>
        <v>Excellent</v>
      </c>
      <c r="Z1322" t="str">
        <f>IFERROR(__xludf.DUMMYFUNCTION("""COMPUTED_VALUE"""),"Very Good")</f>
        <v>Very Good</v>
      </c>
      <c r="AA1322" t="str">
        <f>IFERROR(__xludf.DUMMYFUNCTION("""COMPUTED_VALUE"""),"Excellent")</f>
        <v>Excellent</v>
      </c>
      <c r="AB1322" t="str">
        <f>IFERROR(__xludf.DUMMYFUNCTION("""COMPUTED_VALUE"""),"Excellent")</f>
        <v>Excellent</v>
      </c>
      <c r="AC1322">
        <f>IFERROR(__xludf.DUMMYFUNCTION("""COMPUTED_VALUE"""),1.0)</f>
        <v>1</v>
      </c>
      <c r="AH1322" s="189">
        <f>IFERROR(__xludf.DUMMYFUNCTION("""COMPUTED_VALUE"""),43420.61146118055)</f>
        <v>43420.61146</v>
      </c>
    </row>
    <row r="1323">
      <c r="A1323" t="str">
        <f>IFERROR(__xludf.DUMMYFUNCTION("""COMPUTED_VALUE"""),"charley280")</f>
        <v>charley280</v>
      </c>
      <c r="B1323" t="str">
        <f>IFERROR(__xludf.DUMMYFUNCTION("""COMPUTED_VALUE"""),"SF Bay Area")</f>
        <v>SF Bay Area</v>
      </c>
      <c r="C1323" t="str">
        <f>IFERROR(__xludf.DUMMYFUNCTION("""COMPUTED_VALUE"""),"CA")</f>
        <v>CA</v>
      </c>
      <c r="D1323" t="str">
        <f>IFERROR(__xludf.DUMMYFUNCTION("""COMPUTED_VALUE"""),"USA")</f>
        <v>USA</v>
      </c>
      <c r="E1323" s="188">
        <f>IFERROR(__xludf.DUMMYFUNCTION("""COMPUTED_VALUE"""),43393.0)</f>
        <v>43393</v>
      </c>
      <c r="F1323" s="188">
        <f>IFERROR(__xludf.DUMMYFUNCTION("""COMPUTED_VALUE"""),43407.0)</f>
        <v>43407</v>
      </c>
      <c r="H1323">
        <f>IFERROR(__xludf.DUMMYFUNCTION("""COMPUTED_VALUE"""),153294.0)</f>
        <v>153294</v>
      </c>
      <c r="I1323" t="str">
        <f>IFERROR(__xludf.DUMMYFUNCTION("""COMPUTED_VALUE"""),"11/18")</f>
        <v>11/18</v>
      </c>
      <c r="J1323" s="5">
        <f>IFERROR(__xludf.DUMMYFUNCTION("""COMPUTED_VALUE"""),43418.0)</f>
        <v>43418</v>
      </c>
      <c r="K1323">
        <f>IFERROR(__xludf.DUMMYFUNCTION("""COMPUTED_VALUE"""),14.0)</f>
        <v>14</v>
      </c>
      <c r="L1323">
        <f>IFERROR(__xludf.DUMMYFUNCTION("""COMPUTED_VALUE"""),11.0)</f>
        <v>11</v>
      </c>
      <c r="M1323">
        <f>IFERROR(__xludf.DUMMYFUNCTION("""COMPUTED_VALUE"""),25.0)</f>
        <v>25</v>
      </c>
      <c r="N1323" t="str">
        <f>IFERROR(__xludf.DUMMYFUNCTION("""COMPUTED_VALUE"""),"Model 3 MR")</f>
        <v>Model 3 MR</v>
      </c>
      <c r="O1323" t="str">
        <f>IFERROR(__xludf.DUMMYFUNCTION("""COMPUTED_VALUE"""),"Midnight Silver Metallic")</f>
        <v>Midnight Silver Metallic</v>
      </c>
      <c r="P1323" t="str">
        <f>IFERROR(__xludf.DUMMYFUNCTION("""COMPUTED_VALUE"""),"18 inch Aero")</f>
        <v>18 inch Aero</v>
      </c>
      <c r="Q1323" t="str">
        <f>IFERROR(__xludf.DUMMYFUNCTION("""COMPUTED_VALUE"""),"Black seats")</f>
        <v>Black seats</v>
      </c>
      <c r="R1323" t="str">
        <f>IFERROR(__xludf.DUMMYFUNCTION("""COMPUTED_VALUE"""),"None")</f>
        <v>None</v>
      </c>
      <c r="X1323" t="str">
        <f>IFERROR(__xludf.DUMMYFUNCTION("""COMPUTED_VALUE"""),"Excellent")</f>
        <v>Excellent</v>
      </c>
      <c r="Y1323" t="str">
        <f>IFERROR(__xludf.DUMMYFUNCTION("""COMPUTED_VALUE"""),"Excellent")</f>
        <v>Excellent</v>
      </c>
      <c r="Z1323" t="str">
        <f>IFERROR(__xludf.DUMMYFUNCTION("""COMPUTED_VALUE"""),"Excellent")</f>
        <v>Excellent</v>
      </c>
      <c r="AA1323" t="str">
        <f>IFERROR(__xludf.DUMMYFUNCTION("""COMPUTED_VALUE"""),"Excellent")</f>
        <v>Excellent</v>
      </c>
      <c r="AB1323" t="str">
        <f>IFERROR(__xludf.DUMMYFUNCTION("""COMPUTED_VALUE"""),"Excellent")</f>
        <v>Excellent</v>
      </c>
      <c r="AH1323" s="189">
        <f>IFERROR(__xludf.DUMMYFUNCTION("""COMPUTED_VALUE"""),43420.63987539352)</f>
        <v>43420.63988</v>
      </c>
    </row>
    <row r="1324">
      <c r="A1324" t="str">
        <f>IFERROR(__xludf.DUMMYFUNCTION("""COMPUTED_VALUE"""),"wst88")</f>
        <v>wst88</v>
      </c>
      <c r="B1324" t="str">
        <f>IFERROR(__xludf.DUMMYFUNCTION("""COMPUTED_VALUE"""),"Detroit")</f>
        <v>Detroit</v>
      </c>
      <c r="C1324" t="str">
        <f>IFERROR(__xludf.DUMMYFUNCTION("""COMPUTED_VALUE"""),"MI")</f>
        <v>MI</v>
      </c>
      <c r="D1324" t="str">
        <f>IFERROR(__xludf.DUMMYFUNCTION("""COMPUTED_VALUE"""),"USA")</f>
        <v>USA</v>
      </c>
      <c r="E1324" s="188">
        <f>IFERROR(__xludf.DUMMYFUNCTION("""COMPUTED_VALUE"""),43390.0)</f>
        <v>43390</v>
      </c>
      <c r="F1324" s="188">
        <f>IFERROR(__xludf.DUMMYFUNCTION("""COMPUTED_VALUE"""),43405.0)</f>
        <v>43405</v>
      </c>
      <c r="H1324">
        <f>IFERROR(__xludf.DUMMYFUNCTION("""COMPUTED_VALUE"""),120255.0)</f>
        <v>120255</v>
      </c>
      <c r="J1324" s="5">
        <f>IFERROR(__xludf.DUMMYFUNCTION("""COMPUTED_VALUE"""),43420.0)</f>
        <v>43420</v>
      </c>
      <c r="K1324">
        <f>IFERROR(__xludf.DUMMYFUNCTION("""COMPUTED_VALUE"""),15.0)</f>
        <v>15</v>
      </c>
      <c r="L1324">
        <f>IFERROR(__xludf.DUMMYFUNCTION("""COMPUTED_VALUE"""),15.0)</f>
        <v>15</v>
      </c>
      <c r="M1324">
        <f>IFERROR(__xludf.DUMMYFUNCTION("""COMPUTED_VALUE"""),30.0)</f>
        <v>30</v>
      </c>
      <c r="N1324" t="str">
        <f>IFERROR(__xludf.DUMMYFUNCTION("""COMPUTED_VALUE"""),"Model 3 LR AWD")</f>
        <v>Model 3 LR AWD</v>
      </c>
      <c r="O1324" t="str">
        <f>IFERROR(__xludf.DUMMYFUNCTION("""COMPUTED_VALUE"""),"Deep Blue Metallic")</f>
        <v>Deep Blue Metallic</v>
      </c>
      <c r="P1324" t="str">
        <f>IFERROR(__xludf.DUMMYFUNCTION("""COMPUTED_VALUE"""),"18 inch Aero")</f>
        <v>18 inch Aero</v>
      </c>
      <c r="Q1324" t="str">
        <f>IFERROR(__xludf.DUMMYFUNCTION("""COMPUTED_VALUE"""),"Black seats")</f>
        <v>Black seats</v>
      </c>
      <c r="R1324" t="str">
        <f>IFERROR(__xludf.DUMMYFUNCTION("""COMPUTED_VALUE"""),"Full Self-Driving")</f>
        <v>Full Self-Driving</v>
      </c>
      <c r="X1324" t="str">
        <f>IFERROR(__xludf.DUMMYFUNCTION("""COMPUTED_VALUE"""),"Excellent")</f>
        <v>Excellent</v>
      </c>
      <c r="Y1324" t="str">
        <f>IFERROR(__xludf.DUMMYFUNCTION("""COMPUTED_VALUE"""),"Excellent")</f>
        <v>Excellent</v>
      </c>
      <c r="Z1324" t="str">
        <f>IFERROR(__xludf.DUMMYFUNCTION("""COMPUTED_VALUE"""),"Excellent")</f>
        <v>Excellent</v>
      </c>
      <c r="AA1324" t="str">
        <f>IFERROR(__xludf.DUMMYFUNCTION("""COMPUTED_VALUE"""),"Excellent")</f>
        <v>Excellent</v>
      </c>
      <c r="AB1324" t="str">
        <f>IFERROR(__xludf.DUMMYFUNCTION("""COMPUTED_VALUE"""),"Excellent")</f>
        <v>Excellent</v>
      </c>
      <c r="AC1324">
        <f>IFERROR(__xludf.DUMMYFUNCTION("""COMPUTED_VALUE"""),0.0)</f>
        <v>0</v>
      </c>
      <c r="AH1324" s="189">
        <f>IFERROR(__xludf.DUMMYFUNCTION("""COMPUTED_VALUE"""),43421.19194201389)</f>
        <v>43421.19194</v>
      </c>
    </row>
    <row r="1325">
      <c r="A1325" t="str">
        <f>IFERROR(__xludf.DUMMYFUNCTION("""COMPUTED_VALUE"""),"ObstinateObsidian")</f>
        <v>ObstinateObsidian</v>
      </c>
      <c r="B1325" t="str">
        <f>IFERROR(__xludf.DUMMYFUNCTION("""COMPUTED_VALUE"""),"Oxford")</f>
        <v>Oxford</v>
      </c>
      <c r="C1325" t="str">
        <f>IFERROR(__xludf.DUMMYFUNCTION("""COMPUTED_VALUE"""),"MS")</f>
        <v>MS</v>
      </c>
      <c r="D1325" t="str">
        <f>IFERROR(__xludf.DUMMYFUNCTION("""COMPUTED_VALUE"""),"USA")</f>
        <v>USA</v>
      </c>
      <c r="E1325" s="188">
        <f>IFERROR(__xludf.DUMMYFUNCTION("""COMPUTED_VALUE"""),43281.0)</f>
        <v>43281</v>
      </c>
      <c r="F1325" s="188">
        <f>IFERROR(__xludf.DUMMYFUNCTION("""COMPUTED_VALUE"""),43404.0)</f>
        <v>43404</v>
      </c>
      <c r="H1325">
        <f>IFERROR(__xludf.DUMMYFUNCTION("""COMPUTED_VALUE"""),110055.0)</f>
        <v>110055</v>
      </c>
      <c r="I1325" t="str">
        <f>IFERROR(__xludf.DUMMYFUNCTION("""COMPUTED_VALUE"""),"10/18")</f>
        <v>10/18</v>
      </c>
      <c r="J1325" s="5">
        <f>IFERROR(__xludf.DUMMYFUNCTION("""COMPUTED_VALUE"""),43407.0)</f>
        <v>43407</v>
      </c>
      <c r="K1325">
        <f>IFERROR(__xludf.DUMMYFUNCTION("""COMPUTED_VALUE"""),123.0)</f>
        <v>123</v>
      </c>
      <c r="L1325">
        <f>IFERROR(__xludf.DUMMYFUNCTION("""COMPUTED_VALUE"""),3.0)</f>
        <v>3</v>
      </c>
      <c r="M1325">
        <f>IFERROR(__xludf.DUMMYFUNCTION("""COMPUTED_VALUE"""),126.0)</f>
        <v>126</v>
      </c>
      <c r="N1325" t="str">
        <f>IFERROR(__xludf.DUMMYFUNCTION("""COMPUTED_VALUE"""),"Model 3 LR AWD")</f>
        <v>Model 3 LR AWD</v>
      </c>
      <c r="O1325" t="str">
        <f>IFERROR(__xludf.DUMMYFUNCTION("""COMPUTED_VALUE"""),"Obsidian Black Metallic")</f>
        <v>Obsidian Black Metallic</v>
      </c>
      <c r="P1325" t="str">
        <f>IFERROR(__xludf.DUMMYFUNCTION("""COMPUTED_VALUE"""),"19 inch Sport")</f>
        <v>19 inch Sport</v>
      </c>
      <c r="Q1325" t="str">
        <f>IFERROR(__xludf.DUMMYFUNCTION("""COMPUTED_VALUE"""),"Black seats")</f>
        <v>Black seats</v>
      </c>
      <c r="R1325" t="str">
        <f>IFERROR(__xludf.DUMMYFUNCTION("""COMPUTED_VALUE"""),"Full Self-Driving")</f>
        <v>Full Self-Driving</v>
      </c>
      <c r="X1325" t="str">
        <f>IFERROR(__xludf.DUMMYFUNCTION("""COMPUTED_VALUE"""),"Excellent")</f>
        <v>Excellent</v>
      </c>
      <c r="Y1325" t="str">
        <f>IFERROR(__xludf.DUMMYFUNCTION("""COMPUTED_VALUE"""),"Excellent")</f>
        <v>Excellent</v>
      </c>
      <c r="Z1325" t="str">
        <f>IFERROR(__xludf.DUMMYFUNCTION("""COMPUTED_VALUE"""),"Excellent")</f>
        <v>Excellent</v>
      </c>
      <c r="AA1325" t="str">
        <f>IFERROR(__xludf.DUMMYFUNCTION("""COMPUTED_VALUE"""),"Very Good")</f>
        <v>Very Good</v>
      </c>
      <c r="AB1325" t="str">
        <f>IFERROR(__xludf.DUMMYFUNCTION("""COMPUTED_VALUE"""),"Excellent")</f>
        <v>Excellent</v>
      </c>
      <c r="AC1325">
        <f>IFERROR(__xludf.DUMMYFUNCTION("""COMPUTED_VALUE"""),0.0)</f>
        <v>0</v>
      </c>
      <c r="AD1325">
        <f>IFERROR(__xludf.DUMMYFUNCTION("""COMPUTED_VALUE"""),0.0)</f>
        <v>0</v>
      </c>
      <c r="AE1325">
        <f>IFERROR(__xludf.DUMMYFUNCTION("""COMPUTED_VALUE"""),0.0)</f>
        <v>0</v>
      </c>
      <c r="AH1325" s="189">
        <f>IFERROR(__xludf.DUMMYFUNCTION("""COMPUTED_VALUE"""),43421.36091957176)</f>
        <v>43421.36092</v>
      </c>
    </row>
    <row r="1326">
      <c r="A1326" t="str">
        <f>IFERROR(__xludf.DUMMYFUNCTION("""COMPUTED_VALUE"""),"Blue_Monster")</f>
        <v>Blue_Monster</v>
      </c>
      <c r="B1326" t="str">
        <f>IFERROR(__xludf.DUMMYFUNCTION("""COMPUTED_VALUE"""),"Aurora")</f>
        <v>Aurora</v>
      </c>
      <c r="C1326" t="str">
        <f>IFERROR(__xludf.DUMMYFUNCTION("""COMPUTED_VALUE"""),"CO")</f>
        <v>CO</v>
      </c>
      <c r="D1326" t="str">
        <f>IFERROR(__xludf.DUMMYFUNCTION("""COMPUTED_VALUE"""),"USA")</f>
        <v>USA</v>
      </c>
      <c r="E1326" s="188">
        <f>IFERROR(__xludf.DUMMYFUNCTION("""COMPUTED_VALUE"""),43279.0)</f>
        <v>43279</v>
      </c>
      <c r="F1326" s="188">
        <f>IFERROR(__xludf.DUMMYFUNCTION("""COMPUTED_VALUE"""),43368.0)</f>
        <v>43368</v>
      </c>
      <c r="H1326">
        <f>IFERROR(__xludf.DUMMYFUNCTION("""COMPUTED_VALUE"""),114855.0)</f>
        <v>114855</v>
      </c>
      <c r="I1326" t="str">
        <f>IFERROR(__xludf.DUMMYFUNCTION("""COMPUTED_VALUE"""),"09/18")</f>
        <v>09/18</v>
      </c>
      <c r="J1326" s="5">
        <f>IFERROR(__xludf.DUMMYFUNCTION("""COMPUTED_VALUE"""),43372.0)</f>
        <v>43372</v>
      </c>
      <c r="K1326">
        <f>IFERROR(__xludf.DUMMYFUNCTION("""COMPUTED_VALUE"""),89.0)</f>
        <v>89</v>
      </c>
      <c r="L1326">
        <f>IFERROR(__xludf.DUMMYFUNCTION("""COMPUTED_VALUE"""),4.0)</f>
        <v>4</v>
      </c>
      <c r="M1326">
        <f>IFERROR(__xludf.DUMMYFUNCTION("""COMPUTED_VALUE"""),93.0)</f>
        <v>93</v>
      </c>
      <c r="N1326" t="str">
        <f>IFERROR(__xludf.DUMMYFUNCTION("""COMPUTED_VALUE"""),"Model 3 Performance")</f>
        <v>Model 3 Performance</v>
      </c>
      <c r="O1326" t="str">
        <f>IFERROR(__xludf.DUMMYFUNCTION("""COMPUTED_VALUE"""),"Deep Blue Metallic")</f>
        <v>Deep Blue Metallic</v>
      </c>
      <c r="P1326" t="str">
        <f>IFERROR(__xludf.DUMMYFUNCTION("""COMPUTED_VALUE"""),"18 inch Aero")</f>
        <v>18 inch Aero</v>
      </c>
      <c r="Q1326" t="str">
        <f>IFERROR(__xludf.DUMMYFUNCTION("""COMPUTED_VALUE"""),"Black seats")</f>
        <v>Black seats</v>
      </c>
      <c r="R1326" t="str">
        <f>IFERROR(__xludf.DUMMYFUNCTION("""COMPUTED_VALUE"""),"None")</f>
        <v>None</v>
      </c>
      <c r="X1326" t="str">
        <f>IFERROR(__xludf.DUMMYFUNCTION("""COMPUTED_VALUE"""),"Excellent")</f>
        <v>Excellent</v>
      </c>
      <c r="Y1326" t="str">
        <f>IFERROR(__xludf.DUMMYFUNCTION("""COMPUTED_VALUE"""),"Excellent")</f>
        <v>Excellent</v>
      </c>
      <c r="Z1326" t="str">
        <f>IFERROR(__xludf.DUMMYFUNCTION("""COMPUTED_VALUE"""),"Excellent")</f>
        <v>Excellent</v>
      </c>
      <c r="AA1326" t="str">
        <f>IFERROR(__xludf.DUMMYFUNCTION("""COMPUTED_VALUE"""),"Very Good")</f>
        <v>Very Good</v>
      </c>
      <c r="AB1326" t="str">
        <f>IFERROR(__xludf.DUMMYFUNCTION("""COMPUTED_VALUE"""),"Very Good")</f>
        <v>Very Good</v>
      </c>
      <c r="AC1326">
        <f>IFERROR(__xludf.DUMMYFUNCTION("""COMPUTED_VALUE"""),1.0)</f>
        <v>1</v>
      </c>
      <c r="AD1326">
        <f>IFERROR(__xludf.DUMMYFUNCTION("""COMPUTED_VALUE"""),1.0)</f>
        <v>1</v>
      </c>
      <c r="AE1326">
        <f>IFERROR(__xludf.DUMMYFUNCTION("""COMPUTED_VALUE"""),0.0)</f>
        <v>0</v>
      </c>
      <c r="AG1326" t="str">
        <f>IFERROR(__xludf.DUMMYFUNCTION("""COMPUTED_VALUE"""),"Left Blinker unpredictable turn off")</f>
        <v>Left Blinker unpredictable turn off</v>
      </c>
      <c r="AH1326" s="189">
        <f>IFERROR(__xludf.DUMMYFUNCTION("""COMPUTED_VALUE"""),43421.42163513889)</f>
        <v>43421.42164</v>
      </c>
    </row>
    <row r="1327">
      <c r="A1327" t="str">
        <f>IFERROR(__xludf.DUMMYFUNCTION("""COMPUTED_VALUE"""),"tbd")</f>
        <v>tbd</v>
      </c>
      <c r="B1327" t="str">
        <f>IFERROR(__xludf.DUMMYFUNCTION("""COMPUTED_VALUE"""),"Chicago")</f>
        <v>Chicago</v>
      </c>
      <c r="C1327" t="str">
        <f>IFERROR(__xludf.DUMMYFUNCTION("""COMPUTED_VALUE"""),"IL")</f>
        <v>IL</v>
      </c>
      <c r="D1327" t="str">
        <f>IFERROR(__xludf.DUMMYFUNCTION("""COMPUTED_VALUE"""),"USA")</f>
        <v>USA</v>
      </c>
      <c r="E1327" s="188">
        <f>IFERROR(__xludf.DUMMYFUNCTION("""COMPUTED_VALUE"""),43397.0)</f>
        <v>43397</v>
      </c>
      <c r="F1327" s="188">
        <f>IFERROR(__xludf.DUMMYFUNCTION("""COMPUTED_VALUE"""),43405.0)</f>
        <v>43405</v>
      </c>
      <c r="H1327">
        <f>IFERROR(__xludf.DUMMYFUNCTION("""COMPUTED_VALUE"""),127455.0)</f>
        <v>127455</v>
      </c>
      <c r="I1327" t="str">
        <f>IFERROR(__xludf.DUMMYFUNCTION("""COMPUTED_VALUE"""),"11/18")</f>
        <v>11/18</v>
      </c>
      <c r="J1327" s="5">
        <f>IFERROR(__xludf.DUMMYFUNCTION("""COMPUTED_VALUE"""),43421.0)</f>
        <v>43421</v>
      </c>
      <c r="K1327">
        <f>IFERROR(__xludf.DUMMYFUNCTION("""COMPUTED_VALUE"""),8.0)</f>
        <v>8</v>
      </c>
      <c r="L1327">
        <f>IFERROR(__xludf.DUMMYFUNCTION("""COMPUTED_VALUE"""),16.0)</f>
        <v>16</v>
      </c>
      <c r="M1327">
        <f>IFERROR(__xludf.DUMMYFUNCTION("""COMPUTED_VALUE"""),24.0)</f>
        <v>24</v>
      </c>
      <c r="N1327" t="str">
        <f>IFERROR(__xludf.DUMMYFUNCTION("""COMPUTED_VALUE"""),"Model 3 LR AWD")</f>
        <v>Model 3 LR AWD</v>
      </c>
      <c r="O1327" t="str">
        <f>IFERROR(__xludf.DUMMYFUNCTION("""COMPUTED_VALUE"""),"Solid Black")</f>
        <v>Solid Black</v>
      </c>
      <c r="P1327" t="str">
        <f>IFERROR(__xludf.DUMMYFUNCTION("""COMPUTED_VALUE"""),"18 inch Aero")</f>
        <v>18 inch Aero</v>
      </c>
      <c r="Q1327" t="str">
        <f>IFERROR(__xludf.DUMMYFUNCTION("""COMPUTED_VALUE"""),"Black seats")</f>
        <v>Black seats</v>
      </c>
      <c r="R1327" t="str">
        <f>IFERROR(__xludf.DUMMYFUNCTION("""COMPUTED_VALUE"""),"None")</f>
        <v>None</v>
      </c>
      <c r="X1327" t="str">
        <f>IFERROR(__xludf.DUMMYFUNCTION("""COMPUTED_VALUE"""),"Excellent")</f>
        <v>Excellent</v>
      </c>
      <c r="Y1327" t="str">
        <f>IFERROR(__xludf.DUMMYFUNCTION("""COMPUTED_VALUE"""),"Excellent")</f>
        <v>Excellent</v>
      </c>
      <c r="Z1327" t="str">
        <f>IFERROR(__xludf.DUMMYFUNCTION("""COMPUTED_VALUE"""),"Excellent")</f>
        <v>Excellent</v>
      </c>
      <c r="AA1327" t="str">
        <f>IFERROR(__xludf.DUMMYFUNCTION("""COMPUTED_VALUE"""),"Good")</f>
        <v>Good</v>
      </c>
      <c r="AB1327" t="str">
        <f>IFERROR(__xludf.DUMMYFUNCTION("""COMPUTED_VALUE"""),"Excellent")</f>
        <v>Excellent</v>
      </c>
      <c r="AH1327" s="189">
        <f>IFERROR(__xludf.DUMMYFUNCTION("""COMPUTED_VALUE"""),43421.6013112037)</f>
        <v>43421.60131</v>
      </c>
    </row>
    <row r="1328">
      <c r="A1328" t="str">
        <f>IFERROR(__xludf.DUMMYFUNCTION("""COMPUTED_VALUE"""),"Young_Lincoln")</f>
        <v>Young_Lincoln</v>
      </c>
      <c r="B1328" t="str">
        <f>IFERROR(__xludf.DUMMYFUNCTION("""COMPUTED_VALUE"""),"Central PA")</f>
        <v>Central PA</v>
      </c>
      <c r="C1328" t="str">
        <f>IFERROR(__xludf.DUMMYFUNCTION("""COMPUTED_VALUE"""),"PA")</f>
        <v>PA</v>
      </c>
      <c r="D1328" t="str">
        <f>IFERROR(__xludf.DUMMYFUNCTION("""COMPUTED_VALUE"""),"USA")</f>
        <v>USA</v>
      </c>
      <c r="E1328" s="188">
        <f>IFERROR(__xludf.DUMMYFUNCTION("""COMPUTED_VALUE"""),43279.0)</f>
        <v>43279</v>
      </c>
      <c r="F1328" s="188">
        <f>IFERROR(__xludf.DUMMYFUNCTION("""COMPUTED_VALUE"""),43397.0)</f>
        <v>43397</v>
      </c>
      <c r="H1328">
        <f>IFERROR(__xludf.DUMMYFUNCTION("""COMPUTED_VALUE"""),115155.0)</f>
        <v>115155</v>
      </c>
      <c r="J1328" s="5">
        <f>IFERROR(__xludf.DUMMYFUNCTION("""COMPUTED_VALUE"""),43421.0)</f>
        <v>43421</v>
      </c>
      <c r="K1328">
        <f>IFERROR(__xludf.DUMMYFUNCTION("""COMPUTED_VALUE"""),118.0)</f>
        <v>118</v>
      </c>
      <c r="L1328">
        <f>IFERROR(__xludf.DUMMYFUNCTION("""COMPUTED_VALUE"""),24.0)</f>
        <v>24</v>
      </c>
      <c r="M1328">
        <f>IFERROR(__xludf.DUMMYFUNCTION("""COMPUTED_VALUE"""),142.0)</f>
        <v>142</v>
      </c>
      <c r="N1328" t="str">
        <f>IFERROR(__xludf.DUMMYFUNCTION("""COMPUTED_VALUE"""),"Model 3 LR AWD")</f>
        <v>Model 3 LR AWD</v>
      </c>
      <c r="O1328" t="str">
        <f>IFERROR(__xludf.DUMMYFUNCTION("""COMPUTED_VALUE"""),"Deep Blue Metallic")</f>
        <v>Deep Blue Metallic</v>
      </c>
      <c r="P1328" t="str">
        <f>IFERROR(__xludf.DUMMYFUNCTION("""COMPUTED_VALUE"""),"18 inch Aero")</f>
        <v>18 inch Aero</v>
      </c>
      <c r="Q1328" t="str">
        <f>IFERROR(__xludf.DUMMYFUNCTION("""COMPUTED_VALUE"""),"Black seats")</f>
        <v>Black seats</v>
      </c>
      <c r="R1328" t="str">
        <f>IFERROR(__xludf.DUMMYFUNCTION("""COMPUTED_VALUE"""),"None")</f>
        <v>None</v>
      </c>
      <c r="X1328" t="str">
        <f>IFERROR(__xludf.DUMMYFUNCTION("""COMPUTED_VALUE"""),"Excellent")</f>
        <v>Excellent</v>
      </c>
      <c r="Y1328" t="str">
        <f>IFERROR(__xludf.DUMMYFUNCTION("""COMPUTED_VALUE"""),"Excellent")</f>
        <v>Excellent</v>
      </c>
      <c r="Z1328" t="str">
        <f>IFERROR(__xludf.DUMMYFUNCTION("""COMPUTED_VALUE"""),"Excellent")</f>
        <v>Excellent</v>
      </c>
      <c r="AA1328" t="str">
        <f>IFERROR(__xludf.DUMMYFUNCTION("""COMPUTED_VALUE"""),"Good")</f>
        <v>Good</v>
      </c>
      <c r="AB1328" t="str">
        <f>IFERROR(__xludf.DUMMYFUNCTION("""COMPUTED_VALUE"""),"Good")</f>
        <v>Good</v>
      </c>
      <c r="AH1328" s="189">
        <f>IFERROR(__xludf.DUMMYFUNCTION("""COMPUTED_VALUE"""),43421.930852743055)</f>
        <v>43421.93085</v>
      </c>
    </row>
    <row r="1329">
      <c r="A1329" t="str">
        <f>IFERROR(__xludf.DUMMYFUNCTION("""COMPUTED_VALUE"""),"marstein")</f>
        <v>marstein</v>
      </c>
      <c r="B1329" t="str">
        <f>IFERROR(__xludf.DUMMYFUNCTION("""COMPUTED_VALUE"""),"san jose")</f>
        <v>san jose</v>
      </c>
      <c r="C1329" t="str">
        <f>IFERROR(__xludf.DUMMYFUNCTION("""COMPUTED_VALUE"""),"CA")</f>
        <v>CA</v>
      </c>
      <c r="D1329" t="str">
        <f>IFERROR(__xludf.DUMMYFUNCTION("""COMPUTED_VALUE"""),"USA")</f>
        <v>USA</v>
      </c>
      <c r="E1329" s="188">
        <f>IFERROR(__xludf.DUMMYFUNCTION("""COMPUTED_VALUE"""),43406.0)</f>
        <v>43406</v>
      </c>
      <c r="F1329" s="188">
        <f>IFERROR(__xludf.DUMMYFUNCTION("""COMPUTED_VALUE"""),43415.0)</f>
        <v>43415</v>
      </c>
      <c r="H1329">
        <f>IFERROR(__xludf.DUMMYFUNCTION("""COMPUTED_VALUE"""),115425.0)</f>
        <v>115425</v>
      </c>
      <c r="I1329" t="str">
        <f>IFERROR(__xludf.DUMMYFUNCTION("""COMPUTED_VALUE"""),"11/18")</f>
        <v>11/18</v>
      </c>
      <c r="J1329" s="5">
        <f>IFERROR(__xludf.DUMMYFUNCTION("""COMPUTED_VALUE"""),43420.0)</f>
        <v>43420</v>
      </c>
      <c r="K1329">
        <f>IFERROR(__xludf.DUMMYFUNCTION("""COMPUTED_VALUE"""),9.0)</f>
        <v>9</v>
      </c>
      <c r="L1329">
        <f>IFERROR(__xludf.DUMMYFUNCTION("""COMPUTED_VALUE"""),5.0)</f>
        <v>5</v>
      </c>
      <c r="M1329">
        <f>IFERROR(__xludf.DUMMYFUNCTION("""COMPUTED_VALUE"""),14.0)</f>
        <v>14</v>
      </c>
      <c r="N1329" t="str">
        <f>IFERROR(__xludf.DUMMYFUNCTION("""COMPUTED_VALUE"""),"Model 3 LR AWD")</f>
        <v>Model 3 LR AWD</v>
      </c>
      <c r="O1329" t="str">
        <f>IFERROR(__xludf.DUMMYFUNCTION("""COMPUTED_VALUE"""),"Deep Blue Metallic")</f>
        <v>Deep Blue Metallic</v>
      </c>
      <c r="P1329" t="str">
        <f>IFERROR(__xludf.DUMMYFUNCTION("""COMPUTED_VALUE"""),"18 inch Aero")</f>
        <v>18 inch Aero</v>
      </c>
      <c r="Q1329" t="str">
        <f>IFERROR(__xludf.DUMMYFUNCTION("""COMPUTED_VALUE"""),"Black seats")</f>
        <v>Black seats</v>
      </c>
      <c r="R1329" t="str">
        <f>IFERROR(__xludf.DUMMYFUNCTION("""COMPUTED_VALUE"""),"None")</f>
        <v>None</v>
      </c>
      <c r="X1329" t="str">
        <f>IFERROR(__xludf.DUMMYFUNCTION("""COMPUTED_VALUE"""),"Very Good")</f>
        <v>Very Good</v>
      </c>
      <c r="Y1329" t="str">
        <f>IFERROR(__xludf.DUMMYFUNCTION("""COMPUTED_VALUE"""),"Very Good")</f>
        <v>Very Good</v>
      </c>
      <c r="Z1329" t="str">
        <f>IFERROR(__xludf.DUMMYFUNCTION("""COMPUTED_VALUE"""),"Very Good")</f>
        <v>Very Good</v>
      </c>
      <c r="AA1329" t="str">
        <f>IFERROR(__xludf.DUMMYFUNCTION("""COMPUTED_VALUE"""),"Good")</f>
        <v>Good</v>
      </c>
      <c r="AB1329" t="str">
        <f>IFERROR(__xludf.DUMMYFUNCTION("""COMPUTED_VALUE"""),"Good")</f>
        <v>Good</v>
      </c>
      <c r="AH1329" s="189">
        <f>IFERROR(__xludf.DUMMYFUNCTION("""COMPUTED_VALUE"""),43422.68126806713)</f>
        <v>43422.68127</v>
      </c>
    </row>
    <row r="1330">
      <c r="A1330" t="str">
        <f>IFERROR(__xludf.DUMMYFUNCTION("""COMPUTED_VALUE"""),"Dad-Mobile")</f>
        <v>Dad-Mobile</v>
      </c>
      <c r="C1330" t="str">
        <f>IFERROR(__xludf.DUMMYFUNCTION("""COMPUTED_VALUE"""),"FL")</f>
        <v>FL</v>
      </c>
      <c r="D1330" t="str">
        <f>IFERROR(__xludf.DUMMYFUNCTION("""COMPUTED_VALUE"""),"USA")</f>
        <v>USA</v>
      </c>
      <c r="E1330" s="188">
        <f>IFERROR(__xludf.DUMMYFUNCTION("""COMPUTED_VALUE"""),43313.0)</f>
        <v>43313</v>
      </c>
      <c r="F1330" s="188">
        <f>IFERROR(__xludf.DUMMYFUNCTION("""COMPUTED_VALUE"""),43388.0)</f>
        <v>43388</v>
      </c>
      <c r="H1330">
        <f>IFERROR(__xludf.DUMMYFUNCTION("""COMPUTED_VALUE"""),118555.0)</f>
        <v>118555</v>
      </c>
      <c r="J1330" s="5">
        <f>IFERROR(__xludf.DUMMYFUNCTION("""COMPUTED_VALUE"""),43421.0)</f>
        <v>43421</v>
      </c>
      <c r="K1330">
        <f>IFERROR(__xludf.DUMMYFUNCTION("""COMPUTED_VALUE"""),75.0)</f>
        <v>75</v>
      </c>
      <c r="L1330">
        <f>IFERROR(__xludf.DUMMYFUNCTION("""COMPUTED_VALUE"""),33.0)</f>
        <v>33</v>
      </c>
      <c r="M1330">
        <f>IFERROR(__xludf.DUMMYFUNCTION("""COMPUTED_VALUE"""),108.0)</f>
        <v>108</v>
      </c>
      <c r="N1330" t="str">
        <f>IFERROR(__xludf.DUMMYFUNCTION("""COMPUTED_VALUE"""),"Model 3 LR AWD")</f>
        <v>Model 3 LR AWD</v>
      </c>
      <c r="O1330" t="str">
        <f>IFERROR(__xludf.DUMMYFUNCTION("""COMPUTED_VALUE"""),"Solid Black")</f>
        <v>Solid Black</v>
      </c>
      <c r="P1330" t="str">
        <f>IFERROR(__xludf.DUMMYFUNCTION("""COMPUTED_VALUE"""),"18 inch Aero")</f>
        <v>18 inch Aero</v>
      </c>
      <c r="Q1330" t="str">
        <f>IFERROR(__xludf.DUMMYFUNCTION("""COMPUTED_VALUE"""),"Black seats")</f>
        <v>Black seats</v>
      </c>
      <c r="R1330" t="str">
        <f>IFERROR(__xludf.DUMMYFUNCTION("""COMPUTED_VALUE"""),"Full Self-Driving")</f>
        <v>Full Self-Driving</v>
      </c>
      <c r="X1330" t="str">
        <f>IFERROR(__xludf.DUMMYFUNCTION("""COMPUTED_VALUE"""),"Excellent")</f>
        <v>Excellent</v>
      </c>
      <c r="Y1330" t="str">
        <f>IFERROR(__xludf.DUMMYFUNCTION("""COMPUTED_VALUE"""),"Excellent")</f>
        <v>Excellent</v>
      </c>
      <c r="Z1330" t="str">
        <f>IFERROR(__xludf.DUMMYFUNCTION("""COMPUTED_VALUE"""),"Excellent")</f>
        <v>Excellent</v>
      </c>
      <c r="AA1330" t="str">
        <f>IFERROR(__xludf.DUMMYFUNCTION("""COMPUTED_VALUE"""),"Good")</f>
        <v>Good</v>
      </c>
      <c r="AB1330" t="str">
        <f>IFERROR(__xludf.DUMMYFUNCTION("""COMPUTED_VALUE"""),"Very Good")</f>
        <v>Very Good</v>
      </c>
      <c r="AH1330" s="189">
        <f>IFERROR(__xludf.DUMMYFUNCTION("""COMPUTED_VALUE"""),43422.70695202546)</f>
        <v>43422.70695</v>
      </c>
    </row>
    <row r="1331">
      <c r="A1331" t="str">
        <f>IFERROR(__xludf.DUMMYFUNCTION("""COMPUTED_VALUE"""),"FolesVsManning")</f>
        <v>FolesVsManning</v>
      </c>
      <c r="C1331" t="str">
        <f>IFERROR(__xludf.DUMMYFUNCTION("""COMPUTED_VALUE"""),"MI")</f>
        <v>MI</v>
      </c>
      <c r="D1331" t="str">
        <f>IFERROR(__xludf.DUMMYFUNCTION("""COMPUTED_VALUE"""),"USA")</f>
        <v>USA</v>
      </c>
      <c r="E1331" s="188">
        <f>IFERROR(__xludf.DUMMYFUNCTION("""COMPUTED_VALUE"""),43394.0)</f>
        <v>43394</v>
      </c>
      <c r="F1331" s="188">
        <f>IFERROR(__xludf.DUMMYFUNCTION("""COMPUTED_VALUE"""),43400.0)</f>
        <v>43400</v>
      </c>
      <c r="H1331">
        <f>IFERROR(__xludf.DUMMYFUNCTION("""COMPUTED_VALUE"""),58455.0)</f>
        <v>58455</v>
      </c>
      <c r="I1331" t="str">
        <f>IFERROR(__xludf.DUMMYFUNCTION("""COMPUTED_VALUE"""),"10/18")</f>
        <v>10/18</v>
      </c>
      <c r="J1331" s="5">
        <f>IFERROR(__xludf.DUMMYFUNCTION("""COMPUTED_VALUE"""),43420.0)</f>
        <v>43420</v>
      </c>
      <c r="K1331">
        <f>IFERROR(__xludf.DUMMYFUNCTION("""COMPUTED_VALUE"""),6.0)</f>
        <v>6</v>
      </c>
      <c r="L1331">
        <f>IFERROR(__xludf.DUMMYFUNCTION("""COMPUTED_VALUE"""),20.0)</f>
        <v>20</v>
      </c>
      <c r="M1331">
        <f>IFERROR(__xludf.DUMMYFUNCTION("""COMPUTED_VALUE"""),26.0)</f>
        <v>26</v>
      </c>
      <c r="N1331" t="str">
        <f>IFERROR(__xludf.DUMMYFUNCTION("""COMPUTED_VALUE"""),"Model 3 LR")</f>
        <v>Model 3 LR</v>
      </c>
      <c r="O1331" t="str">
        <f>IFERROR(__xludf.DUMMYFUNCTION("""COMPUTED_VALUE"""),"Red Multi-Coat")</f>
        <v>Red Multi-Coat</v>
      </c>
      <c r="P1331" t="str">
        <f>IFERROR(__xludf.DUMMYFUNCTION("""COMPUTED_VALUE"""),"18 inch Aero")</f>
        <v>18 inch Aero</v>
      </c>
      <c r="Q1331" t="str">
        <f>IFERROR(__xludf.DUMMYFUNCTION("""COMPUTED_VALUE"""),"Black seats")</f>
        <v>Black seats</v>
      </c>
      <c r="R1331" t="str">
        <f>IFERROR(__xludf.DUMMYFUNCTION("""COMPUTED_VALUE"""),"None")</f>
        <v>None</v>
      </c>
      <c r="X1331" t="str">
        <f>IFERROR(__xludf.DUMMYFUNCTION("""COMPUTED_VALUE"""),"Excellent")</f>
        <v>Excellent</v>
      </c>
      <c r="Y1331" t="str">
        <f>IFERROR(__xludf.DUMMYFUNCTION("""COMPUTED_VALUE"""),"Excellent")</f>
        <v>Excellent</v>
      </c>
      <c r="Z1331" t="str">
        <f>IFERROR(__xludf.DUMMYFUNCTION("""COMPUTED_VALUE"""),"Excellent")</f>
        <v>Excellent</v>
      </c>
      <c r="AA1331" t="str">
        <f>IFERROR(__xludf.DUMMYFUNCTION("""COMPUTED_VALUE"""),"Very Good")</f>
        <v>Very Good</v>
      </c>
      <c r="AB1331" t="str">
        <f>IFERROR(__xludf.DUMMYFUNCTION("""COMPUTED_VALUE"""),"Very Good")</f>
        <v>Very Good</v>
      </c>
      <c r="AC1331">
        <f>IFERROR(__xludf.DUMMYFUNCTION("""COMPUTED_VALUE"""),0.0)</f>
        <v>0</v>
      </c>
      <c r="AH1331" s="189">
        <f>IFERROR(__xludf.DUMMYFUNCTION("""COMPUTED_VALUE"""),43423.357422800924)</f>
        <v>43423.35742</v>
      </c>
    </row>
    <row r="1332">
      <c r="A1332" t="str">
        <f>IFERROR(__xludf.DUMMYFUNCTION("""COMPUTED_VALUE"""),"9voltman")</f>
        <v>9voltman</v>
      </c>
      <c r="B1332" t="str">
        <f>IFERROR(__xludf.DUMMYFUNCTION("""COMPUTED_VALUE"""),"Rockville, MD")</f>
        <v>Rockville, MD</v>
      </c>
      <c r="C1332" t="str">
        <f>IFERROR(__xludf.DUMMYFUNCTION("""COMPUTED_VALUE"""),"MD")</f>
        <v>MD</v>
      </c>
      <c r="D1332" t="str">
        <f>IFERROR(__xludf.DUMMYFUNCTION("""COMPUTED_VALUE"""),"USA")</f>
        <v>USA</v>
      </c>
      <c r="E1332" s="188">
        <f>IFERROR(__xludf.DUMMYFUNCTION("""COMPUTED_VALUE"""),43304.0)</f>
        <v>43304</v>
      </c>
      <c r="H1332" s="4">
        <f>IFERROR(__xludf.DUMMYFUNCTION("""COMPUTED_VALUE"""),104860.0)</f>
        <v>104860</v>
      </c>
      <c r="J1332" s="5">
        <f>IFERROR(__xludf.DUMMYFUNCTION("""COMPUTED_VALUE"""),43420.0)</f>
        <v>43420</v>
      </c>
      <c r="M1332">
        <f>IFERROR(__xludf.DUMMYFUNCTION("""COMPUTED_VALUE"""),116.0)</f>
        <v>116</v>
      </c>
      <c r="N1332" t="str">
        <f>IFERROR(__xludf.DUMMYFUNCTION("""COMPUTED_VALUE"""),"Model 3 LR AWD")</f>
        <v>Model 3 LR AWD</v>
      </c>
      <c r="O1332" t="str">
        <f>IFERROR(__xludf.DUMMYFUNCTION("""COMPUTED_VALUE"""),"Red Multi-Coat")</f>
        <v>Red Multi-Coat</v>
      </c>
      <c r="P1332" t="str">
        <f>IFERROR(__xludf.DUMMYFUNCTION("""COMPUTED_VALUE"""),"18 inch Aero")</f>
        <v>18 inch Aero</v>
      </c>
      <c r="Q1332" t="str">
        <f>IFERROR(__xludf.DUMMYFUNCTION("""COMPUTED_VALUE"""),"Black seats")</f>
        <v>Black seats</v>
      </c>
      <c r="R1332" t="str">
        <f>IFERROR(__xludf.DUMMYFUNCTION("""COMPUTED_VALUE"""),"None")</f>
        <v>None</v>
      </c>
      <c r="X1332" t="str">
        <f>IFERROR(__xludf.DUMMYFUNCTION("""COMPUTED_VALUE"""),"Excellent")</f>
        <v>Excellent</v>
      </c>
      <c r="Y1332" t="str">
        <f>IFERROR(__xludf.DUMMYFUNCTION("""COMPUTED_VALUE"""),"Excellent")</f>
        <v>Excellent</v>
      </c>
      <c r="Z1332" t="str">
        <f>IFERROR(__xludf.DUMMYFUNCTION("""COMPUTED_VALUE"""),"Excellent")</f>
        <v>Excellent</v>
      </c>
      <c r="AA1332" t="str">
        <f>IFERROR(__xludf.DUMMYFUNCTION("""COMPUTED_VALUE"""),"Excellent")</f>
        <v>Excellent</v>
      </c>
      <c r="AB1332" t="str">
        <f>IFERROR(__xludf.DUMMYFUNCTION("""COMPUTED_VALUE"""),"Excellent")</f>
        <v>Excellent</v>
      </c>
      <c r="AH1332" s="189">
        <f>IFERROR(__xludf.DUMMYFUNCTION("""COMPUTED_VALUE"""),43423.38880385416)</f>
        <v>43423.3888</v>
      </c>
    </row>
    <row r="1333">
      <c r="A1333" t="str">
        <f>IFERROR(__xludf.DUMMYFUNCTION("""COMPUTED_VALUE"""),"JUICEBX")</f>
        <v>JUICEBX</v>
      </c>
      <c r="B1333" t="str">
        <f>IFERROR(__xludf.DUMMYFUNCTION("""COMPUTED_VALUE"""),"springfield")</f>
        <v>springfield</v>
      </c>
      <c r="C1333" t="str">
        <f>IFERROR(__xludf.DUMMYFUNCTION("""COMPUTED_VALUE"""),"VA")</f>
        <v>VA</v>
      </c>
      <c r="D1333" t="str">
        <f>IFERROR(__xludf.DUMMYFUNCTION("""COMPUTED_VALUE"""),"USA")</f>
        <v>USA</v>
      </c>
      <c r="E1333" s="188">
        <f>IFERROR(__xludf.DUMMYFUNCTION("""COMPUTED_VALUE"""),43396.0)</f>
        <v>43396</v>
      </c>
      <c r="F1333" s="188">
        <f>IFERROR(__xludf.DUMMYFUNCTION("""COMPUTED_VALUE"""),43419.0)</f>
        <v>43419</v>
      </c>
      <c r="H1333">
        <f>IFERROR(__xludf.DUMMYFUNCTION("""COMPUTED_VALUE"""),154355.0)</f>
        <v>154355</v>
      </c>
      <c r="J1333" s="5">
        <f>IFERROR(__xludf.DUMMYFUNCTION("""COMPUTED_VALUE"""),43422.0)</f>
        <v>43422</v>
      </c>
      <c r="K1333">
        <f>IFERROR(__xludf.DUMMYFUNCTION("""COMPUTED_VALUE"""),23.0)</f>
        <v>23</v>
      </c>
      <c r="L1333">
        <f>IFERROR(__xludf.DUMMYFUNCTION("""COMPUTED_VALUE"""),3.0)</f>
        <v>3</v>
      </c>
      <c r="M1333">
        <f>IFERROR(__xludf.DUMMYFUNCTION("""COMPUTED_VALUE"""),26.0)</f>
        <v>26</v>
      </c>
      <c r="N1333" t="str">
        <f>IFERROR(__xludf.DUMMYFUNCTION("""COMPUTED_VALUE"""),"Model 3 MR")</f>
        <v>Model 3 MR</v>
      </c>
      <c r="O1333" t="str">
        <f>IFERROR(__xludf.DUMMYFUNCTION("""COMPUTED_VALUE"""),"Deep Blue Metallic")</f>
        <v>Deep Blue Metallic</v>
      </c>
      <c r="P1333" t="str">
        <f>IFERROR(__xludf.DUMMYFUNCTION("""COMPUTED_VALUE"""),"18 inch Aero")</f>
        <v>18 inch Aero</v>
      </c>
      <c r="Q1333" t="str">
        <f>IFERROR(__xludf.DUMMYFUNCTION("""COMPUTED_VALUE"""),"Black seats")</f>
        <v>Black seats</v>
      </c>
      <c r="R1333" t="str">
        <f>IFERROR(__xludf.DUMMYFUNCTION("""COMPUTED_VALUE"""),"Enhanced Autopilot")</f>
        <v>Enhanced Autopilot</v>
      </c>
      <c r="X1333" t="str">
        <f>IFERROR(__xludf.DUMMYFUNCTION("""COMPUTED_VALUE"""),"Excellent")</f>
        <v>Excellent</v>
      </c>
      <c r="Y1333" t="str">
        <f>IFERROR(__xludf.DUMMYFUNCTION("""COMPUTED_VALUE"""),"Excellent")</f>
        <v>Excellent</v>
      </c>
      <c r="Z1333" t="str">
        <f>IFERROR(__xludf.DUMMYFUNCTION("""COMPUTED_VALUE"""),"Excellent")</f>
        <v>Excellent</v>
      </c>
      <c r="AA1333" t="str">
        <f>IFERROR(__xludf.DUMMYFUNCTION("""COMPUTED_VALUE"""),"Excellent")</f>
        <v>Excellent</v>
      </c>
      <c r="AB1333" t="str">
        <f>IFERROR(__xludf.DUMMYFUNCTION("""COMPUTED_VALUE"""),"Excellent")</f>
        <v>Excellent</v>
      </c>
      <c r="AH1333" s="189">
        <f>IFERROR(__xludf.DUMMYFUNCTION("""COMPUTED_VALUE"""),43423.57669113426)</f>
        <v>43423.57669</v>
      </c>
    </row>
    <row r="1334">
      <c r="A1334" t="str">
        <f>IFERROR(__xludf.DUMMYFUNCTION("""COMPUTED_VALUE"""),"KF")</f>
        <v>KF</v>
      </c>
      <c r="C1334" t="str">
        <f>IFERROR(__xludf.DUMMYFUNCTION("""COMPUTED_VALUE"""),"CA")</f>
        <v>CA</v>
      </c>
      <c r="D1334" t="str">
        <f>IFERROR(__xludf.DUMMYFUNCTION("""COMPUTED_VALUE"""),"USA")</f>
        <v>USA</v>
      </c>
      <c r="E1334" s="188">
        <f>IFERROR(__xludf.DUMMYFUNCTION("""COMPUTED_VALUE"""),43413.0)</f>
        <v>43413</v>
      </c>
      <c r="F1334" s="188">
        <f>IFERROR(__xludf.DUMMYFUNCTION("""COMPUTED_VALUE"""),43413.0)</f>
        <v>43413</v>
      </c>
      <c r="H1334">
        <f>IFERROR(__xludf.DUMMYFUNCTION("""COMPUTED_VALUE"""),82455.0)</f>
        <v>82455</v>
      </c>
      <c r="I1334" t="str">
        <f>IFERROR(__xludf.DUMMYFUNCTION("""COMPUTED_VALUE"""),"10/18")</f>
        <v>10/18</v>
      </c>
      <c r="J1334" s="5">
        <f>IFERROR(__xludf.DUMMYFUNCTION("""COMPUTED_VALUE"""),43413.0)</f>
        <v>43413</v>
      </c>
      <c r="K1334">
        <f>IFERROR(__xludf.DUMMYFUNCTION("""COMPUTED_VALUE"""),0.0)</f>
        <v>0</v>
      </c>
      <c r="L1334">
        <f>IFERROR(__xludf.DUMMYFUNCTION("""COMPUTED_VALUE"""),0.0)</f>
        <v>0</v>
      </c>
      <c r="M1334">
        <f>IFERROR(__xludf.DUMMYFUNCTION("""COMPUTED_VALUE"""),0.0)</f>
        <v>0</v>
      </c>
      <c r="N1334" t="str">
        <f>IFERROR(__xludf.DUMMYFUNCTION("""COMPUTED_VALUE"""),"Model 3 Performance")</f>
        <v>Model 3 Performance</v>
      </c>
      <c r="P1334" t="str">
        <f>IFERROR(__xludf.DUMMYFUNCTION("""COMPUTED_VALUE"""),"20 inch Sport")</f>
        <v>20 inch Sport</v>
      </c>
      <c r="X1334" t="str">
        <f>IFERROR(__xludf.DUMMYFUNCTION("""COMPUTED_VALUE"""),"Very Good")</f>
        <v>Very Good</v>
      </c>
      <c r="Y1334" t="str">
        <f>IFERROR(__xludf.DUMMYFUNCTION("""COMPUTED_VALUE"""),"Excellent")</f>
        <v>Excellent</v>
      </c>
      <c r="Z1334" t="str">
        <f>IFERROR(__xludf.DUMMYFUNCTION("""COMPUTED_VALUE"""),"Excellent")</f>
        <v>Excellent</v>
      </c>
      <c r="AA1334" t="str">
        <f>IFERROR(__xludf.DUMMYFUNCTION("""COMPUTED_VALUE"""),"Excellent")</f>
        <v>Excellent</v>
      </c>
      <c r="AB1334" t="str">
        <f>IFERROR(__xludf.DUMMYFUNCTION("""COMPUTED_VALUE"""),"Excellent")</f>
        <v>Excellent</v>
      </c>
      <c r="AC1334">
        <f>IFERROR(__xludf.DUMMYFUNCTION("""COMPUTED_VALUE"""),1.0)</f>
        <v>1</v>
      </c>
      <c r="AH1334" s="189">
        <f>IFERROR(__xludf.DUMMYFUNCTION("""COMPUTED_VALUE"""),43424.00242767361)</f>
        <v>43424.00243</v>
      </c>
    </row>
    <row r="1335">
      <c r="A1335" t="str">
        <f>IFERROR(__xludf.DUMMYFUNCTION("""COMPUTED_VALUE"""),"letmee")</f>
        <v>letmee</v>
      </c>
      <c r="B1335" t="str">
        <f>IFERROR(__xludf.DUMMYFUNCTION("""COMPUTED_VALUE"""),"Woodland Hills")</f>
        <v>Woodland Hills</v>
      </c>
      <c r="C1335" t="str">
        <f>IFERROR(__xludf.DUMMYFUNCTION("""COMPUTED_VALUE"""),"CA")</f>
        <v>CA</v>
      </c>
      <c r="D1335" t="str">
        <f>IFERROR(__xludf.DUMMYFUNCTION("""COMPUTED_VALUE"""),"USA")</f>
        <v>USA</v>
      </c>
      <c r="E1335" s="188">
        <f>IFERROR(__xludf.DUMMYFUNCTION("""COMPUTED_VALUE"""),43398.0)</f>
        <v>43398</v>
      </c>
      <c r="F1335" s="188">
        <f>IFERROR(__xludf.DUMMYFUNCTION("""COMPUTED_VALUE"""),43417.0)</f>
        <v>43417</v>
      </c>
      <c r="H1335">
        <f>IFERROR(__xludf.DUMMYFUNCTION("""COMPUTED_VALUE"""),152655.0)</f>
        <v>152655</v>
      </c>
      <c r="J1335" s="5">
        <f>IFERROR(__xludf.DUMMYFUNCTION("""COMPUTED_VALUE"""),43423.0)</f>
        <v>43423</v>
      </c>
      <c r="K1335">
        <f>IFERROR(__xludf.DUMMYFUNCTION("""COMPUTED_VALUE"""),19.0)</f>
        <v>19</v>
      </c>
      <c r="L1335">
        <f>IFERROR(__xludf.DUMMYFUNCTION("""COMPUTED_VALUE"""),6.0)</f>
        <v>6</v>
      </c>
      <c r="M1335">
        <f>IFERROR(__xludf.DUMMYFUNCTION("""COMPUTED_VALUE"""),25.0)</f>
        <v>25</v>
      </c>
      <c r="N1335" t="str">
        <f>IFERROR(__xludf.DUMMYFUNCTION("""COMPUTED_VALUE"""),"Model 3 MR")</f>
        <v>Model 3 MR</v>
      </c>
      <c r="O1335" t="str">
        <f>IFERROR(__xludf.DUMMYFUNCTION("""COMPUTED_VALUE"""),"Solid Black")</f>
        <v>Solid Black</v>
      </c>
      <c r="P1335" t="str">
        <f>IFERROR(__xludf.DUMMYFUNCTION("""COMPUTED_VALUE"""),"18 inch Aero")</f>
        <v>18 inch Aero</v>
      </c>
      <c r="Q1335" t="str">
        <f>IFERROR(__xludf.DUMMYFUNCTION("""COMPUTED_VALUE"""),"Black seats")</f>
        <v>Black seats</v>
      </c>
      <c r="R1335" t="str">
        <f>IFERROR(__xludf.DUMMYFUNCTION("""COMPUTED_VALUE"""),"Enhanced Autopilot")</f>
        <v>Enhanced Autopilot</v>
      </c>
      <c r="AA1335" t="str">
        <f>IFERROR(__xludf.DUMMYFUNCTION("""COMPUTED_VALUE"""),"Excellent")</f>
        <v>Excellent</v>
      </c>
      <c r="AB1335" t="str">
        <f>IFERROR(__xludf.DUMMYFUNCTION("""COMPUTED_VALUE"""),"Excellent")</f>
        <v>Excellent</v>
      </c>
      <c r="AH1335" s="189">
        <f>IFERROR(__xludf.DUMMYFUNCTION("""COMPUTED_VALUE"""),43424.415740578705)</f>
        <v>43424.41574</v>
      </c>
    </row>
    <row r="1336">
      <c r="A1336" t="str">
        <f>IFERROR(__xludf.DUMMYFUNCTION("""COMPUTED_VALUE"""),"tvkatx")</f>
        <v>tvkatx</v>
      </c>
      <c r="B1336" t="str">
        <f>IFERROR(__xludf.DUMMYFUNCTION("""COMPUTED_VALUE"""),"Austin")</f>
        <v>Austin</v>
      </c>
      <c r="C1336" t="str">
        <f>IFERROR(__xludf.DUMMYFUNCTION("""COMPUTED_VALUE"""),"TX")</f>
        <v>TX</v>
      </c>
      <c r="D1336" t="str">
        <f>IFERROR(__xludf.DUMMYFUNCTION("""COMPUTED_VALUE"""),"USA")</f>
        <v>USA</v>
      </c>
      <c r="E1336" s="188">
        <f>IFERROR(__xludf.DUMMYFUNCTION("""COMPUTED_VALUE"""),43385.0)</f>
        <v>43385</v>
      </c>
      <c r="F1336" s="188">
        <f>IFERROR(__xludf.DUMMYFUNCTION("""COMPUTED_VALUE"""),43403.0)</f>
        <v>43403</v>
      </c>
      <c r="H1336">
        <f>IFERROR(__xludf.DUMMYFUNCTION("""COMPUTED_VALUE"""),58495.0)</f>
        <v>58495</v>
      </c>
      <c r="I1336" t="str">
        <f>IFERROR(__xludf.DUMMYFUNCTION("""COMPUTED_VALUE"""),"10/18")</f>
        <v>10/18</v>
      </c>
      <c r="J1336" s="5">
        <f>IFERROR(__xludf.DUMMYFUNCTION("""COMPUTED_VALUE"""),43414.0)</f>
        <v>43414</v>
      </c>
      <c r="K1336">
        <f>IFERROR(__xludf.DUMMYFUNCTION("""COMPUTED_VALUE"""),18.0)</f>
        <v>18</v>
      </c>
      <c r="L1336">
        <f>IFERROR(__xludf.DUMMYFUNCTION("""COMPUTED_VALUE"""),11.0)</f>
        <v>11</v>
      </c>
      <c r="M1336">
        <f>IFERROR(__xludf.DUMMYFUNCTION("""COMPUTED_VALUE"""),29.0)</f>
        <v>29</v>
      </c>
      <c r="N1336" t="str">
        <f>IFERROR(__xludf.DUMMYFUNCTION("""COMPUTED_VALUE"""),"Model 3 LR")</f>
        <v>Model 3 LR</v>
      </c>
      <c r="O1336" t="str">
        <f>IFERROR(__xludf.DUMMYFUNCTION("""COMPUTED_VALUE"""),"Red Multi-Coat")</f>
        <v>Red Multi-Coat</v>
      </c>
      <c r="P1336" t="str">
        <f>IFERROR(__xludf.DUMMYFUNCTION("""COMPUTED_VALUE"""),"18 inch Aero")</f>
        <v>18 inch Aero</v>
      </c>
      <c r="Q1336" t="str">
        <f>IFERROR(__xludf.DUMMYFUNCTION("""COMPUTED_VALUE"""),"Black seats")</f>
        <v>Black seats</v>
      </c>
      <c r="R1336" t="str">
        <f>IFERROR(__xludf.DUMMYFUNCTION("""COMPUTED_VALUE"""),"None")</f>
        <v>None</v>
      </c>
      <c r="X1336" t="str">
        <f>IFERROR(__xludf.DUMMYFUNCTION("""COMPUTED_VALUE"""),"Very Good")</f>
        <v>Very Good</v>
      </c>
      <c r="Y1336" t="str">
        <f>IFERROR(__xludf.DUMMYFUNCTION("""COMPUTED_VALUE"""),"Very Good")</f>
        <v>Very Good</v>
      </c>
      <c r="Z1336" t="str">
        <f>IFERROR(__xludf.DUMMYFUNCTION("""COMPUTED_VALUE"""),"Very Good")</f>
        <v>Very Good</v>
      </c>
      <c r="AA1336" t="str">
        <f>IFERROR(__xludf.DUMMYFUNCTION("""COMPUTED_VALUE"""),"Excellent")</f>
        <v>Excellent</v>
      </c>
      <c r="AB1336" t="str">
        <f>IFERROR(__xludf.DUMMYFUNCTION("""COMPUTED_VALUE"""),"Excellent")</f>
        <v>Excellent</v>
      </c>
      <c r="AC1336">
        <f>IFERROR(__xludf.DUMMYFUNCTION("""COMPUTED_VALUE"""),0.0)</f>
        <v>0</v>
      </c>
      <c r="AD1336">
        <f>IFERROR(__xludf.DUMMYFUNCTION("""COMPUTED_VALUE"""),0.0)</f>
        <v>0</v>
      </c>
      <c r="AE1336">
        <f>IFERROR(__xludf.DUMMYFUNCTION("""COMPUTED_VALUE"""),0.0)</f>
        <v>0</v>
      </c>
      <c r="AH1336" s="189">
        <f>IFERROR(__xludf.DUMMYFUNCTION("""COMPUTED_VALUE"""),43424.50080231481)</f>
        <v>43424.5008</v>
      </c>
    </row>
    <row r="1337">
      <c r="A1337" t="str">
        <f>IFERROR(__xludf.DUMMYFUNCTION("""COMPUTED_VALUE"""),"schlammbad")</f>
        <v>schlammbad</v>
      </c>
      <c r="B1337" t="str">
        <f>IFERROR(__xludf.DUMMYFUNCTION("""COMPUTED_VALUE"""),"Bellevue")</f>
        <v>Bellevue</v>
      </c>
      <c r="C1337" t="str">
        <f>IFERROR(__xludf.DUMMYFUNCTION("""COMPUTED_VALUE"""),"WA")</f>
        <v>WA</v>
      </c>
      <c r="D1337" t="str">
        <f>IFERROR(__xludf.DUMMYFUNCTION("""COMPUTED_VALUE"""),"USA")</f>
        <v>USA</v>
      </c>
      <c r="E1337" s="188">
        <f>IFERROR(__xludf.DUMMYFUNCTION("""COMPUTED_VALUE"""),43278.0)</f>
        <v>43278</v>
      </c>
      <c r="F1337" s="188">
        <f>IFERROR(__xludf.DUMMYFUNCTION("""COMPUTED_VALUE"""),43347.0)</f>
        <v>43347</v>
      </c>
      <c r="H1337">
        <f>IFERROR(__xludf.DUMMYFUNCTION("""COMPUTED_VALUE"""),72455.0)</f>
        <v>72455</v>
      </c>
      <c r="J1337" s="5">
        <f>IFERROR(__xludf.DUMMYFUNCTION("""COMPUTED_VALUE"""),43352.0)</f>
        <v>43352</v>
      </c>
      <c r="K1337">
        <f>IFERROR(__xludf.DUMMYFUNCTION("""COMPUTED_VALUE"""),69.0)</f>
        <v>69</v>
      </c>
      <c r="L1337">
        <f>IFERROR(__xludf.DUMMYFUNCTION("""COMPUTED_VALUE"""),5.0)</f>
        <v>5</v>
      </c>
      <c r="M1337">
        <f>IFERROR(__xludf.DUMMYFUNCTION("""COMPUTED_VALUE"""),74.0)</f>
        <v>74</v>
      </c>
      <c r="N1337" t="str">
        <f>IFERROR(__xludf.DUMMYFUNCTION("""COMPUTED_VALUE"""),"Model 3 Performance")</f>
        <v>Model 3 Performance</v>
      </c>
      <c r="O1337" t="str">
        <f>IFERROR(__xludf.DUMMYFUNCTION("""COMPUTED_VALUE"""),"Solid Black")</f>
        <v>Solid Black</v>
      </c>
      <c r="P1337" t="str">
        <f>IFERROR(__xludf.DUMMYFUNCTION("""COMPUTED_VALUE"""),"20 inch Sport")</f>
        <v>20 inch Sport</v>
      </c>
      <c r="Q1337" t="str">
        <f>IFERROR(__xludf.DUMMYFUNCTION("""COMPUTED_VALUE"""),"Black seats")</f>
        <v>Black seats</v>
      </c>
      <c r="R1337" t="str">
        <f>IFERROR(__xludf.DUMMYFUNCTION("""COMPUTED_VALUE"""),"Full Self-Driving")</f>
        <v>Full Self-Driving</v>
      </c>
      <c r="X1337" t="str">
        <f>IFERROR(__xludf.DUMMYFUNCTION("""COMPUTED_VALUE"""),"Excellent")</f>
        <v>Excellent</v>
      </c>
      <c r="Y1337" t="str">
        <f>IFERROR(__xludf.DUMMYFUNCTION("""COMPUTED_VALUE"""),"Excellent")</f>
        <v>Excellent</v>
      </c>
      <c r="Z1337" t="str">
        <f>IFERROR(__xludf.DUMMYFUNCTION("""COMPUTED_VALUE"""),"Very Good")</f>
        <v>Very Good</v>
      </c>
      <c r="AB1337" t="str">
        <f>IFERROR(__xludf.DUMMYFUNCTION("""COMPUTED_VALUE"""),"Very Good")</f>
        <v>Very Good</v>
      </c>
      <c r="AC1337">
        <f>IFERROR(__xludf.DUMMYFUNCTION("""COMPUTED_VALUE"""),2.0)</f>
        <v>2</v>
      </c>
      <c r="AD1337">
        <f>IFERROR(__xludf.DUMMYFUNCTION("""COMPUTED_VALUE"""),2.0)</f>
        <v>2</v>
      </c>
      <c r="AE1337">
        <f>IFERROR(__xludf.DUMMYFUNCTION("""COMPUTED_VALUE"""),0.0)</f>
        <v>0</v>
      </c>
      <c r="AH1337" s="189">
        <f>IFERROR(__xludf.DUMMYFUNCTION("""COMPUTED_VALUE"""),43424.551821967594)</f>
        <v>43424.55182</v>
      </c>
    </row>
    <row r="1338">
      <c r="A1338" t="str">
        <f>IFERROR(__xludf.DUMMYFUNCTION("""COMPUTED_VALUE"""),"Paul NJ")</f>
        <v>Paul NJ</v>
      </c>
      <c r="B1338" t="str">
        <f>IFERROR(__xludf.DUMMYFUNCTION("""COMPUTED_VALUE"""),"NJ")</f>
        <v>NJ</v>
      </c>
      <c r="C1338" t="str">
        <f>IFERROR(__xludf.DUMMYFUNCTION("""COMPUTED_VALUE"""),"NJ")</f>
        <v>NJ</v>
      </c>
      <c r="D1338" t="str">
        <f>IFERROR(__xludf.DUMMYFUNCTION("""COMPUTED_VALUE"""),"USA")</f>
        <v>USA</v>
      </c>
      <c r="E1338" s="188">
        <f>IFERROR(__xludf.DUMMYFUNCTION("""COMPUTED_VALUE"""),43395.0)</f>
        <v>43395</v>
      </c>
      <c r="F1338" s="188">
        <f>IFERROR(__xludf.DUMMYFUNCTION("""COMPUTED_VALUE"""),43398.0)</f>
        <v>43398</v>
      </c>
      <c r="H1338">
        <f>IFERROR(__xludf.DUMMYFUNCTION("""COMPUTED_VALUE"""),76855.0)</f>
        <v>76855</v>
      </c>
      <c r="I1338" t="str">
        <f>IFERROR(__xludf.DUMMYFUNCTION("""COMPUTED_VALUE"""),"10/18")</f>
        <v>10/18</v>
      </c>
      <c r="J1338" s="5">
        <f>IFERROR(__xludf.DUMMYFUNCTION("""COMPUTED_VALUE"""),43421.0)</f>
        <v>43421</v>
      </c>
      <c r="K1338">
        <f>IFERROR(__xludf.DUMMYFUNCTION("""COMPUTED_VALUE"""),3.0)</f>
        <v>3</v>
      </c>
      <c r="L1338">
        <f>IFERROR(__xludf.DUMMYFUNCTION("""COMPUTED_VALUE"""),23.0)</f>
        <v>23</v>
      </c>
      <c r="M1338">
        <f>IFERROR(__xludf.DUMMYFUNCTION("""COMPUTED_VALUE"""),26.0)</f>
        <v>26</v>
      </c>
      <c r="N1338" t="str">
        <f>IFERROR(__xludf.DUMMYFUNCTION("""COMPUTED_VALUE"""),"Model 3 LR")</f>
        <v>Model 3 LR</v>
      </c>
      <c r="O1338" t="str">
        <f>IFERROR(__xludf.DUMMYFUNCTION("""COMPUTED_VALUE"""),"Pearl White Multi-Coat")</f>
        <v>Pearl White Multi-Coat</v>
      </c>
      <c r="P1338" t="str">
        <f>IFERROR(__xludf.DUMMYFUNCTION("""COMPUTED_VALUE"""),"18 inch Aero")</f>
        <v>18 inch Aero</v>
      </c>
      <c r="Q1338" t="str">
        <f>IFERROR(__xludf.DUMMYFUNCTION("""COMPUTED_VALUE"""),"Black seats")</f>
        <v>Black seats</v>
      </c>
      <c r="R1338" t="str">
        <f>IFERROR(__xludf.DUMMYFUNCTION("""COMPUTED_VALUE"""),"Full Self-Driving")</f>
        <v>Full Self-Driving</v>
      </c>
      <c r="X1338" t="str">
        <f>IFERROR(__xludf.DUMMYFUNCTION("""COMPUTED_VALUE"""),"Poor")</f>
        <v>Poor</v>
      </c>
      <c r="Y1338" t="str">
        <f>IFERROR(__xludf.DUMMYFUNCTION("""COMPUTED_VALUE"""),"Good")</f>
        <v>Good</v>
      </c>
      <c r="Z1338" t="str">
        <f>IFERROR(__xludf.DUMMYFUNCTION("""COMPUTED_VALUE"""),"Poor")</f>
        <v>Poor</v>
      </c>
      <c r="AA1338" t="str">
        <f>IFERROR(__xludf.DUMMYFUNCTION("""COMPUTED_VALUE"""),"Poor")</f>
        <v>Poor</v>
      </c>
      <c r="AB1338" t="str">
        <f>IFERROR(__xludf.DUMMYFUNCTION("""COMPUTED_VALUE"""),"Poor")</f>
        <v>Poor</v>
      </c>
      <c r="AC1338">
        <f>IFERROR(__xludf.DUMMYFUNCTION("""COMPUTED_VALUE"""),3.0)</f>
        <v>3</v>
      </c>
      <c r="AH1338" s="189">
        <f>IFERROR(__xludf.DUMMYFUNCTION("""COMPUTED_VALUE"""),43424.72593292824)</f>
        <v>43424.72593</v>
      </c>
    </row>
    <row r="1339">
      <c r="A1339" t="str">
        <f>IFERROR(__xludf.DUMMYFUNCTION("""COMPUTED_VALUE"""),"Syzygy")</f>
        <v>Syzygy</v>
      </c>
      <c r="B1339" t="str">
        <f>IFERROR(__xludf.DUMMYFUNCTION("""COMPUTED_VALUE"""),"US")</f>
        <v>US</v>
      </c>
      <c r="C1339" t="str">
        <f>IFERROR(__xludf.DUMMYFUNCTION("""COMPUTED_VALUE"""),"NC")</f>
        <v>NC</v>
      </c>
      <c r="D1339" t="str">
        <f>IFERROR(__xludf.DUMMYFUNCTION("""COMPUTED_VALUE"""),"USA")</f>
        <v>USA</v>
      </c>
      <c r="E1339" s="188">
        <f>IFERROR(__xludf.DUMMYFUNCTION("""COMPUTED_VALUE"""),43401.0)</f>
        <v>43401</v>
      </c>
      <c r="F1339" s="188">
        <f>IFERROR(__xludf.DUMMYFUNCTION("""COMPUTED_VALUE"""),43410.0)</f>
        <v>43410</v>
      </c>
      <c r="J1339" s="5">
        <f>IFERROR(__xludf.DUMMYFUNCTION("""COMPUTED_VALUE"""),43424.0)</f>
        <v>43424</v>
      </c>
      <c r="K1339">
        <f>IFERROR(__xludf.DUMMYFUNCTION("""COMPUTED_VALUE"""),9.0)</f>
        <v>9</v>
      </c>
      <c r="L1339">
        <f>IFERROR(__xludf.DUMMYFUNCTION("""COMPUTED_VALUE"""),14.0)</f>
        <v>14</v>
      </c>
      <c r="M1339">
        <f>IFERROR(__xludf.DUMMYFUNCTION("""COMPUTED_VALUE"""),23.0)</f>
        <v>23</v>
      </c>
      <c r="N1339" t="str">
        <f>IFERROR(__xludf.DUMMYFUNCTION("""COMPUTED_VALUE"""),"Model 3 LR AWD")</f>
        <v>Model 3 LR AWD</v>
      </c>
      <c r="O1339" t="str">
        <f>IFERROR(__xludf.DUMMYFUNCTION("""COMPUTED_VALUE"""),"Solid Black")</f>
        <v>Solid Black</v>
      </c>
      <c r="P1339" t="str">
        <f>IFERROR(__xludf.DUMMYFUNCTION("""COMPUTED_VALUE"""),"18 inch Aero")</f>
        <v>18 inch Aero</v>
      </c>
      <c r="Q1339" t="str">
        <f>IFERROR(__xludf.DUMMYFUNCTION("""COMPUTED_VALUE"""),"Black seats")</f>
        <v>Black seats</v>
      </c>
      <c r="R1339" t="str">
        <f>IFERROR(__xludf.DUMMYFUNCTION("""COMPUTED_VALUE"""),"Enhanced Autopilot")</f>
        <v>Enhanced Autopilot</v>
      </c>
      <c r="X1339" t="str">
        <f>IFERROR(__xludf.DUMMYFUNCTION("""COMPUTED_VALUE"""),"Very Good")</f>
        <v>Very Good</v>
      </c>
      <c r="Y1339" t="str">
        <f>IFERROR(__xludf.DUMMYFUNCTION("""COMPUTED_VALUE"""),"Excellent")</f>
        <v>Excellent</v>
      </c>
      <c r="Z1339" t="str">
        <f>IFERROR(__xludf.DUMMYFUNCTION("""COMPUTED_VALUE"""),"Excellent")</f>
        <v>Excellent</v>
      </c>
      <c r="AA1339" t="str">
        <f>IFERROR(__xludf.DUMMYFUNCTION("""COMPUTED_VALUE"""),"Excellent")</f>
        <v>Excellent</v>
      </c>
      <c r="AB1339" t="str">
        <f>IFERROR(__xludf.DUMMYFUNCTION("""COMPUTED_VALUE"""),"Excellent")</f>
        <v>Excellent</v>
      </c>
      <c r="AH1339" s="189">
        <f>IFERROR(__xludf.DUMMYFUNCTION("""COMPUTED_VALUE"""),43424.78551947916)</f>
        <v>43424.78552</v>
      </c>
    </row>
    <row r="1340">
      <c r="A1340" t="str">
        <f>IFERROR(__xludf.DUMMYFUNCTION("""COMPUTED_VALUE"""),"wicks")</f>
        <v>wicks</v>
      </c>
      <c r="B1340" t="str">
        <f>IFERROR(__xludf.DUMMYFUNCTION("""COMPUTED_VALUE"""),"Austin")</f>
        <v>Austin</v>
      </c>
      <c r="C1340" t="str">
        <f>IFERROR(__xludf.DUMMYFUNCTION("""COMPUTED_VALUE"""),"TX")</f>
        <v>TX</v>
      </c>
      <c r="D1340" t="str">
        <f>IFERROR(__xludf.DUMMYFUNCTION("""COMPUTED_VALUE"""),"USA")</f>
        <v>USA</v>
      </c>
      <c r="E1340" s="188">
        <f>IFERROR(__xludf.DUMMYFUNCTION("""COMPUTED_VALUE"""),43391.0)</f>
        <v>43391</v>
      </c>
      <c r="F1340" s="188">
        <f>IFERROR(__xludf.DUMMYFUNCTION("""COMPUTED_VALUE"""),43419.0)</f>
        <v>43419</v>
      </c>
      <c r="H1340">
        <f>IFERROR(__xludf.DUMMYFUNCTION("""COMPUTED_VALUE"""),123456.0)</f>
        <v>123456</v>
      </c>
      <c r="J1340" s="5">
        <f>IFERROR(__xludf.DUMMYFUNCTION("""COMPUTED_VALUE"""),43393.0)</f>
        <v>43393</v>
      </c>
      <c r="K1340">
        <f>IFERROR(__xludf.DUMMYFUNCTION("""COMPUTED_VALUE"""),28.0)</f>
        <v>28</v>
      </c>
      <c r="M1340">
        <f>IFERROR(__xludf.DUMMYFUNCTION("""COMPUTED_VALUE"""),2.0)</f>
        <v>2</v>
      </c>
      <c r="N1340" t="str">
        <f>IFERROR(__xludf.DUMMYFUNCTION("""COMPUTED_VALUE"""),"Model 3 MR")</f>
        <v>Model 3 MR</v>
      </c>
      <c r="O1340" t="str">
        <f>IFERROR(__xludf.DUMMYFUNCTION("""COMPUTED_VALUE"""),"Midnight Silver Metallic")</f>
        <v>Midnight Silver Metallic</v>
      </c>
      <c r="P1340" t="str">
        <f>IFERROR(__xludf.DUMMYFUNCTION("""COMPUTED_VALUE"""),"18 inch Aero")</f>
        <v>18 inch Aero</v>
      </c>
      <c r="Q1340" t="str">
        <f>IFERROR(__xludf.DUMMYFUNCTION("""COMPUTED_VALUE"""),"Black seats")</f>
        <v>Black seats</v>
      </c>
      <c r="R1340" t="str">
        <f>IFERROR(__xludf.DUMMYFUNCTION("""COMPUTED_VALUE"""),"None")</f>
        <v>None</v>
      </c>
      <c r="X1340" t="str">
        <f>IFERROR(__xludf.DUMMYFUNCTION("""COMPUTED_VALUE"""),"Excellent")</f>
        <v>Excellent</v>
      </c>
      <c r="Y1340" t="str">
        <f>IFERROR(__xludf.DUMMYFUNCTION("""COMPUTED_VALUE"""),"Excellent")</f>
        <v>Excellent</v>
      </c>
      <c r="Z1340" t="str">
        <f>IFERROR(__xludf.DUMMYFUNCTION("""COMPUTED_VALUE"""),"Excellent")</f>
        <v>Excellent</v>
      </c>
      <c r="AA1340" t="str">
        <f>IFERROR(__xludf.DUMMYFUNCTION("""COMPUTED_VALUE"""),"Very Good")</f>
        <v>Very Good</v>
      </c>
      <c r="AB1340" t="str">
        <f>IFERROR(__xludf.DUMMYFUNCTION("""COMPUTED_VALUE"""),"Very Good")</f>
        <v>Very Good</v>
      </c>
      <c r="AC1340">
        <f>IFERROR(__xludf.DUMMYFUNCTION("""COMPUTED_VALUE"""),0.0)</f>
        <v>0</v>
      </c>
      <c r="AH1340" s="189">
        <f>IFERROR(__xludf.DUMMYFUNCTION("""COMPUTED_VALUE"""),43424.79678884259)</f>
        <v>43424.79679</v>
      </c>
    </row>
    <row r="1341">
      <c r="A1341" t="str">
        <f>IFERROR(__xludf.DUMMYFUNCTION("""COMPUTED_VALUE"""),"nar5")</f>
        <v>nar5</v>
      </c>
      <c r="B1341" t="str">
        <f>IFERROR(__xludf.DUMMYFUNCTION("""COMPUTED_VALUE"""),"Vancouver")</f>
        <v>Vancouver</v>
      </c>
      <c r="C1341" t="str">
        <f>IFERROR(__xludf.DUMMYFUNCTION("""COMPUTED_VALUE"""),"BC")</f>
        <v>BC</v>
      </c>
      <c r="D1341" t="str">
        <f>IFERROR(__xludf.DUMMYFUNCTION("""COMPUTED_VALUE"""),"Canada")</f>
        <v>Canada</v>
      </c>
      <c r="E1341" s="188">
        <f>IFERROR(__xludf.DUMMYFUNCTION("""COMPUTED_VALUE"""),43278.0)</f>
        <v>43278</v>
      </c>
      <c r="F1341" s="188">
        <f>IFERROR(__xludf.DUMMYFUNCTION("""COMPUTED_VALUE"""),43353.0)</f>
        <v>43353</v>
      </c>
      <c r="H1341">
        <f>IFERROR(__xludf.DUMMYFUNCTION("""COMPUTED_VALUE"""),106901.0)</f>
        <v>106901</v>
      </c>
      <c r="I1341" t="str">
        <f>IFERROR(__xludf.DUMMYFUNCTION("""COMPUTED_VALUE"""),"09/18")</f>
        <v>09/18</v>
      </c>
      <c r="J1341" s="5">
        <f>IFERROR(__xludf.DUMMYFUNCTION("""COMPUTED_VALUE"""),43358.0)</f>
        <v>43358</v>
      </c>
      <c r="K1341">
        <f>IFERROR(__xludf.DUMMYFUNCTION("""COMPUTED_VALUE"""),75.0)</f>
        <v>75</v>
      </c>
      <c r="L1341">
        <f>IFERROR(__xludf.DUMMYFUNCTION("""COMPUTED_VALUE"""),5.0)</f>
        <v>5</v>
      </c>
      <c r="M1341">
        <f>IFERROR(__xludf.DUMMYFUNCTION("""COMPUTED_VALUE"""),80.0)</f>
        <v>80</v>
      </c>
      <c r="N1341" t="str">
        <f>IFERROR(__xludf.DUMMYFUNCTION("""COMPUTED_VALUE"""),"Model 3 LR AWD")</f>
        <v>Model 3 LR AWD</v>
      </c>
      <c r="O1341" t="str">
        <f>IFERROR(__xludf.DUMMYFUNCTION("""COMPUTED_VALUE"""),"Midnight Silver Metallic")</f>
        <v>Midnight Silver Metallic</v>
      </c>
      <c r="P1341" t="str">
        <f>IFERROR(__xludf.DUMMYFUNCTION("""COMPUTED_VALUE"""),"18 inch Aero")</f>
        <v>18 inch Aero</v>
      </c>
      <c r="Q1341" t="str">
        <f>IFERROR(__xludf.DUMMYFUNCTION("""COMPUTED_VALUE"""),"Black seats")</f>
        <v>Black seats</v>
      </c>
      <c r="R1341" t="str">
        <f>IFERROR(__xludf.DUMMYFUNCTION("""COMPUTED_VALUE"""),"Enhanced Autopilot")</f>
        <v>Enhanced Autopilot</v>
      </c>
      <c r="X1341" t="str">
        <f>IFERROR(__xludf.DUMMYFUNCTION("""COMPUTED_VALUE"""),"Excellent")</f>
        <v>Excellent</v>
      </c>
      <c r="Y1341" t="str">
        <f>IFERROR(__xludf.DUMMYFUNCTION("""COMPUTED_VALUE"""),"Excellent")</f>
        <v>Excellent</v>
      </c>
      <c r="Z1341" t="str">
        <f>IFERROR(__xludf.DUMMYFUNCTION("""COMPUTED_VALUE"""),"Excellent")</f>
        <v>Excellent</v>
      </c>
      <c r="AA1341" t="str">
        <f>IFERROR(__xludf.DUMMYFUNCTION("""COMPUTED_VALUE"""),"Poor")</f>
        <v>Poor</v>
      </c>
      <c r="AB1341" t="str">
        <f>IFERROR(__xludf.DUMMYFUNCTION("""COMPUTED_VALUE"""),"Poor")</f>
        <v>Poor</v>
      </c>
      <c r="AC1341">
        <f>IFERROR(__xludf.DUMMYFUNCTION("""COMPUTED_VALUE"""),0.0)</f>
        <v>0</v>
      </c>
      <c r="AD1341">
        <f>IFERROR(__xludf.DUMMYFUNCTION("""COMPUTED_VALUE"""),1.0)</f>
        <v>1</v>
      </c>
      <c r="AE1341">
        <f>IFERROR(__xludf.DUMMYFUNCTION("""COMPUTED_VALUE"""),0.0)</f>
        <v>0</v>
      </c>
      <c r="AH1341" s="189">
        <f>IFERROR(__xludf.DUMMYFUNCTION("""COMPUTED_VALUE"""),43424.814430451384)</f>
        <v>43424.81443</v>
      </c>
    </row>
    <row r="1342">
      <c r="A1342" t="str">
        <f>IFERROR(__xludf.DUMMYFUNCTION("""COMPUTED_VALUE"""),"cdeleo")</f>
        <v>cdeleo</v>
      </c>
      <c r="B1342" t="str">
        <f>IFERROR(__xludf.DUMMYFUNCTION("""COMPUTED_VALUE"""),"Rochester")</f>
        <v>Rochester</v>
      </c>
      <c r="C1342" t="str">
        <f>IFERROR(__xludf.DUMMYFUNCTION("""COMPUTED_VALUE"""),"NY")</f>
        <v>NY</v>
      </c>
      <c r="D1342" t="str">
        <f>IFERROR(__xludf.DUMMYFUNCTION("""COMPUTED_VALUE"""),"USA")</f>
        <v>USA</v>
      </c>
      <c r="E1342" s="188">
        <f>IFERROR(__xludf.DUMMYFUNCTION("""COMPUTED_VALUE"""),43281.0)</f>
        <v>43281</v>
      </c>
      <c r="F1342" s="188">
        <f>IFERROR(__xludf.DUMMYFUNCTION("""COMPUTED_VALUE"""),43418.0)</f>
        <v>43418</v>
      </c>
      <c r="H1342">
        <f>IFERROR(__xludf.DUMMYFUNCTION("""COMPUTED_VALUE"""),113355.0)</f>
        <v>113355</v>
      </c>
      <c r="I1342" t="str">
        <f>IFERROR(__xludf.DUMMYFUNCTION("""COMPUTED_VALUE"""),"10/18")</f>
        <v>10/18</v>
      </c>
      <c r="J1342" s="5">
        <f>IFERROR(__xludf.DUMMYFUNCTION("""COMPUTED_VALUE"""),43423.0)</f>
        <v>43423</v>
      </c>
      <c r="K1342">
        <f>IFERROR(__xludf.DUMMYFUNCTION("""COMPUTED_VALUE"""),137.0)</f>
        <v>137</v>
      </c>
      <c r="L1342">
        <f>IFERROR(__xludf.DUMMYFUNCTION("""COMPUTED_VALUE"""),5.0)</f>
        <v>5</v>
      </c>
      <c r="M1342">
        <f>IFERROR(__xludf.DUMMYFUNCTION("""COMPUTED_VALUE"""),142.0)</f>
        <v>142</v>
      </c>
      <c r="N1342" t="str">
        <f>IFERROR(__xludf.DUMMYFUNCTION("""COMPUTED_VALUE"""),"Model 3 LR AWD")</f>
        <v>Model 3 LR AWD</v>
      </c>
      <c r="O1342" t="str">
        <f>IFERROR(__xludf.DUMMYFUNCTION("""COMPUTED_VALUE"""),"Silver Metallic")</f>
        <v>Silver Metallic</v>
      </c>
      <c r="P1342" t="str">
        <f>IFERROR(__xludf.DUMMYFUNCTION("""COMPUTED_VALUE"""),"18 inch Aero")</f>
        <v>18 inch Aero</v>
      </c>
      <c r="Q1342" t="str">
        <f>IFERROR(__xludf.DUMMYFUNCTION("""COMPUTED_VALUE"""),"Black seats")</f>
        <v>Black seats</v>
      </c>
      <c r="R1342" t="str">
        <f>IFERROR(__xludf.DUMMYFUNCTION("""COMPUTED_VALUE"""),"None")</f>
        <v>None</v>
      </c>
      <c r="X1342" t="str">
        <f>IFERROR(__xludf.DUMMYFUNCTION("""COMPUTED_VALUE"""),"Very Good")</f>
        <v>Very Good</v>
      </c>
      <c r="Y1342" t="str">
        <f>IFERROR(__xludf.DUMMYFUNCTION("""COMPUTED_VALUE"""),"Excellent")</f>
        <v>Excellent</v>
      </c>
      <c r="Z1342" t="str">
        <f>IFERROR(__xludf.DUMMYFUNCTION("""COMPUTED_VALUE"""),"Excellent")</f>
        <v>Excellent</v>
      </c>
      <c r="AA1342" t="str">
        <f>IFERROR(__xludf.DUMMYFUNCTION("""COMPUTED_VALUE"""),"Good")</f>
        <v>Good</v>
      </c>
      <c r="AB1342" t="str">
        <f>IFERROR(__xludf.DUMMYFUNCTION("""COMPUTED_VALUE"""),"Very Good")</f>
        <v>Very Good</v>
      </c>
      <c r="AH1342" s="189">
        <f>IFERROR(__xludf.DUMMYFUNCTION("""COMPUTED_VALUE"""),43424.81850064815)</f>
        <v>43424.8185</v>
      </c>
    </row>
    <row r="1343">
      <c r="A1343" t="str">
        <f>IFERROR(__xludf.DUMMYFUNCTION("""COMPUTED_VALUE"""),"mcdubjr")</f>
        <v>mcdubjr</v>
      </c>
      <c r="B1343" t="str">
        <f>IFERROR(__xludf.DUMMYFUNCTION("""COMPUTED_VALUE"""),"Ladera Ranch")</f>
        <v>Ladera Ranch</v>
      </c>
      <c r="C1343" t="str">
        <f>IFERROR(__xludf.DUMMYFUNCTION("""COMPUTED_VALUE"""),"CA")</f>
        <v>CA</v>
      </c>
      <c r="D1343" t="str">
        <f>IFERROR(__xludf.DUMMYFUNCTION("""COMPUTED_VALUE"""),"USA")</f>
        <v>USA</v>
      </c>
      <c r="E1343" s="188">
        <f>IFERROR(__xludf.DUMMYFUNCTION("""COMPUTED_VALUE"""),43408.0)</f>
        <v>43408</v>
      </c>
      <c r="F1343" s="188">
        <f>IFERROR(__xludf.DUMMYFUNCTION("""COMPUTED_VALUE"""),43417.0)</f>
        <v>43417</v>
      </c>
      <c r="H1343">
        <f>IFERROR(__xludf.DUMMYFUNCTION("""COMPUTED_VALUE"""),85955.0)</f>
        <v>85955</v>
      </c>
      <c r="I1343" t="str">
        <f>IFERROR(__xludf.DUMMYFUNCTION("""COMPUTED_VALUE"""),"11/18")</f>
        <v>11/18</v>
      </c>
      <c r="J1343" s="5">
        <f>IFERROR(__xludf.DUMMYFUNCTION("""COMPUTED_VALUE"""),43423.0)</f>
        <v>43423</v>
      </c>
      <c r="K1343">
        <f>IFERROR(__xludf.DUMMYFUNCTION("""COMPUTED_VALUE"""),9.0)</f>
        <v>9</v>
      </c>
      <c r="L1343">
        <f>IFERROR(__xludf.DUMMYFUNCTION("""COMPUTED_VALUE"""),6.0)</f>
        <v>6</v>
      </c>
      <c r="M1343">
        <f>IFERROR(__xludf.DUMMYFUNCTION("""COMPUTED_VALUE"""),15.0)</f>
        <v>15</v>
      </c>
      <c r="N1343" t="str">
        <f>IFERROR(__xludf.DUMMYFUNCTION("""COMPUTED_VALUE"""),"Model 3 LR AWD")</f>
        <v>Model 3 LR AWD</v>
      </c>
      <c r="O1343" t="str">
        <f>IFERROR(__xludf.DUMMYFUNCTION("""COMPUTED_VALUE"""),"Red Multi-Coat")</f>
        <v>Red Multi-Coat</v>
      </c>
      <c r="P1343" t="str">
        <f>IFERROR(__xludf.DUMMYFUNCTION("""COMPUTED_VALUE"""),"18 inch Aero")</f>
        <v>18 inch Aero</v>
      </c>
      <c r="Q1343" t="str">
        <f>IFERROR(__xludf.DUMMYFUNCTION("""COMPUTED_VALUE"""),"White seats")</f>
        <v>White seats</v>
      </c>
      <c r="R1343" t="str">
        <f>IFERROR(__xludf.DUMMYFUNCTION("""COMPUTED_VALUE"""),"Enhanced Autopilot")</f>
        <v>Enhanced Autopilot</v>
      </c>
      <c r="X1343" t="str">
        <f>IFERROR(__xludf.DUMMYFUNCTION("""COMPUTED_VALUE"""),"Good")</f>
        <v>Good</v>
      </c>
      <c r="Y1343" t="str">
        <f>IFERROR(__xludf.DUMMYFUNCTION("""COMPUTED_VALUE"""),"Very Good")</f>
        <v>Very Good</v>
      </c>
      <c r="Z1343" t="str">
        <f>IFERROR(__xludf.DUMMYFUNCTION("""COMPUTED_VALUE"""),"Very Good")</f>
        <v>Very Good</v>
      </c>
      <c r="AA1343" t="str">
        <f>IFERROR(__xludf.DUMMYFUNCTION("""COMPUTED_VALUE"""),"Very Good")</f>
        <v>Very Good</v>
      </c>
      <c r="AB1343" t="str">
        <f>IFERROR(__xludf.DUMMYFUNCTION("""COMPUTED_VALUE"""),"Good")</f>
        <v>Good</v>
      </c>
      <c r="AH1343" s="189">
        <f>IFERROR(__xludf.DUMMYFUNCTION("""COMPUTED_VALUE"""),43424.878204988425)</f>
        <v>43424.8782</v>
      </c>
    </row>
    <row r="1344">
      <c r="A1344" t="str">
        <f>IFERROR(__xludf.DUMMYFUNCTION("""COMPUTED_VALUE"""),"stevehendler")</f>
        <v>stevehendler</v>
      </c>
      <c r="C1344" t="str">
        <f>IFERROR(__xludf.DUMMYFUNCTION("""COMPUTED_VALUE"""),"NJ")</f>
        <v>NJ</v>
      </c>
      <c r="D1344" t="str">
        <f>IFERROR(__xludf.DUMMYFUNCTION("""COMPUTED_VALUE"""),"USA")</f>
        <v>USA</v>
      </c>
      <c r="E1344" s="188">
        <f>IFERROR(__xludf.DUMMYFUNCTION("""COMPUTED_VALUE"""),43392.0)</f>
        <v>43392</v>
      </c>
      <c r="H1344">
        <f>IFERROR(__xludf.DUMMYFUNCTION("""COMPUTED_VALUE"""),154287.0)</f>
        <v>154287</v>
      </c>
      <c r="J1344" s="5">
        <f>IFERROR(__xludf.DUMMYFUNCTION("""COMPUTED_VALUE"""),43433.0)</f>
        <v>43433</v>
      </c>
      <c r="M1344">
        <f>IFERROR(__xludf.DUMMYFUNCTION("""COMPUTED_VALUE"""),41.0)</f>
        <v>41</v>
      </c>
      <c r="N1344" t="str">
        <f>IFERROR(__xludf.DUMMYFUNCTION("""COMPUTED_VALUE"""),"Model 3 MR")</f>
        <v>Model 3 MR</v>
      </c>
      <c r="O1344" t="str">
        <f>IFERROR(__xludf.DUMMYFUNCTION("""COMPUTED_VALUE"""),"Deep Blue Metallic")</f>
        <v>Deep Blue Metallic</v>
      </c>
      <c r="P1344" t="str">
        <f>IFERROR(__xludf.DUMMYFUNCTION("""COMPUTED_VALUE"""),"18 inch Aero")</f>
        <v>18 inch Aero</v>
      </c>
      <c r="Q1344" t="str">
        <f>IFERROR(__xludf.DUMMYFUNCTION("""COMPUTED_VALUE"""),"Black seats")</f>
        <v>Black seats</v>
      </c>
      <c r="R1344" t="str">
        <f>IFERROR(__xludf.DUMMYFUNCTION("""COMPUTED_VALUE"""),"None")</f>
        <v>None</v>
      </c>
      <c r="AA1344" t="str">
        <f>IFERROR(__xludf.DUMMYFUNCTION("""COMPUTED_VALUE"""),"Poor")</f>
        <v>Poor</v>
      </c>
      <c r="AH1344" s="189">
        <f>IFERROR(__xludf.DUMMYFUNCTION("""COMPUTED_VALUE"""),43425.461953564816)</f>
        <v>43425.46195</v>
      </c>
    </row>
    <row r="1345">
      <c r="A1345" t="str">
        <f>IFERROR(__xludf.DUMMYFUNCTION("""COMPUTED_VALUE"""),"lk229")</f>
        <v>lk229</v>
      </c>
      <c r="C1345" t="str">
        <f>IFERROR(__xludf.DUMMYFUNCTION("""COMPUTED_VALUE"""),"FL")</f>
        <v>FL</v>
      </c>
      <c r="D1345" t="str">
        <f>IFERROR(__xludf.DUMMYFUNCTION("""COMPUTED_VALUE"""),"USA")</f>
        <v>USA</v>
      </c>
      <c r="E1345" s="188">
        <f>IFERROR(__xludf.DUMMYFUNCTION("""COMPUTED_VALUE"""),43395.0)</f>
        <v>43395</v>
      </c>
      <c r="F1345" s="188">
        <f>IFERROR(__xludf.DUMMYFUNCTION("""COMPUTED_VALUE"""),43418.0)</f>
        <v>43418</v>
      </c>
      <c r="H1345">
        <f>IFERROR(__xludf.DUMMYFUNCTION("""COMPUTED_VALUE"""),60426.0)</f>
        <v>60426</v>
      </c>
      <c r="I1345" t="str">
        <f>IFERROR(__xludf.DUMMYFUNCTION("""COMPUTED_VALUE"""),"10/18")</f>
        <v>10/18</v>
      </c>
      <c r="J1345" s="5">
        <f>IFERROR(__xludf.DUMMYFUNCTION("""COMPUTED_VALUE"""),43425.0)</f>
        <v>43425</v>
      </c>
      <c r="K1345">
        <f>IFERROR(__xludf.DUMMYFUNCTION("""COMPUTED_VALUE"""),23.0)</f>
        <v>23</v>
      </c>
      <c r="L1345">
        <f>IFERROR(__xludf.DUMMYFUNCTION("""COMPUTED_VALUE"""),7.0)</f>
        <v>7</v>
      </c>
      <c r="M1345">
        <f>IFERROR(__xludf.DUMMYFUNCTION("""COMPUTED_VALUE"""),30.0)</f>
        <v>30</v>
      </c>
      <c r="N1345" t="str">
        <f>IFERROR(__xludf.DUMMYFUNCTION("""COMPUTED_VALUE"""),"Model 3 LR")</f>
        <v>Model 3 LR</v>
      </c>
      <c r="O1345" t="str">
        <f>IFERROR(__xludf.DUMMYFUNCTION("""COMPUTED_VALUE"""),"Pearl White Multi-Coat")</f>
        <v>Pearl White Multi-Coat</v>
      </c>
      <c r="P1345" t="str">
        <f>IFERROR(__xludf.DUMMYFUNCTION("""COMPUTED_VALUE"""),"18 inch Aero")</f>
        <v>18 inch Aero</v>
      </c>
      <c r="Q1345" t="str">
        <f>IFERROR(__xludf.DUMMYFUNCTION("""COMPUTED_VALUE"""),"Black seats")</f>
        <v>Black seats</v>
      </c>
      <c r="R1345" t="str">
        <f>IFERROR(__xludf.DUMMYFUNCTION("""COMPUTED_VALUE"""),"Enhanced Autopilot")</f>
        <v>Enhanced Autopilot</v>
      </c>
      <c r="X1345" t="str">
        <f>IFERROR(__xludf.DUMMYFUNCTION("""COMPUTED_VALUE"""),"Good")</f>
        <v>Good</v>
      </c>
      <c r="Y1345" t="str">
        <f>IFERROR(__xludf.DUMMYFUNCTION("""COMPUTED_VALUE"""),"Very Good")</f>
        <v>Very Good</v>
      </c>
      <c r="Z1345" t="str">
        <f>IFERROR(__xludf.DUMMYFUNCTION("""COMPUTED_VALUE"""),"Good")</f>
        <v>Good</v>
      </c>
      <c r="AA1345" t="str">
        <f>IFERROR(__xludf.DUMMYFUNCTION("""COMPUTED_VALUE"""),"Poor")</f>
        <v>Poor</v>
      </c>
      <c r="AB1345" t="str">
        <f>IFERROR(__xludf.DUMMYFUNCTION("""COMPUTED_VALUE"""),"Very Good")</f>
        <v>Very Good</v>
      </c>
      <c r="AH1345" s="189">
        <f>IFERROR(__xludf.DUMMYFUNCTION("""COMPUTED_VALUE"""),43425.84681766204)</f>
        <v>43425.84682</v>
      </c>
    </row>
    <row r="1346">
      <c r="A1346" t="str">
        <f>IFERROR(__xludf.DUMMYFUNCTION("""COMPUTED_VALUE"""),"SustainSul")</f>
        <v>SustainSul</v>
      </c>
      <c r="C1346" t="str">
        <f>IFERROR(__xludf.DUMMYFUNCTION("""COMPUTED_VALUE"""),"CA")</f>
        <v>CA</v>
      </c>
      <c r="D1346" t="str">
        <f>IFERROR(__xludf.DUMMYFUNCTION("""COMPUTED_VALUE"""),"USA")</f>
        <v>USA</v>
      </c>
      <c r="E1346" s="188">
        <f>IFERROR(__xludf.DUMMYFUNCTION("""COMPUTED_VALUE"""),43392.0)</f>
        <v>43392</v>
      </c>
      <c r="F1346" s="188">
        <f>IFERROR(__xludf.DUMMYFUNCTION("""COMPUTED_VALUE"""),43417.0)</f>
        <v>43417</v>
      </c>
      <c r="H1346">
        <f>IFERROR(__xludf.DUMMYFUNCTION("""COMPUTED_VALUE"""),153675.0)</f>
        <v>153675</v>
      </c>
      <c r="J1346" s="5">
        <f>IFERROR(__xludf.DUMMYFUNCTION("""COMPUTED_VALUE"""),43425.0)</f>
        <v>43425</v>
      </c>
      <c r="K1346">
        <f>IFERROR(__xludf.DUMMYFUNCTION("""COMPUTED_VALUE"""),25.0)</f>
        <v>25</v>
      </c>
      <c r="L1346">
        <f>IFERROR(__xludf.DUMMYFUNCTION("""COMPUTED_VALUE"""),8.0)</f>
        <v>8</v>
      </c>
      <c r="M1346">
        <f>IFERROR(__xludf.DUMMYFUNCTION("""COMPUTED_VALUE"""),33.0)</f>
        <v>33</v>
      </c>
      <c r="N1346" t="str">
        <f>IFERROR(__xludf.DUMMYFUNCTION("""COMPUTED_VALUE"""),"Model 3 MR")</f>
        <v>Model 3 MR</v>
      </c>
      <c r="O1346" t="str">
        <f>IFERROR(__xludf.DUMMYFUNCTION("""COMPUTED_VALUE"""),"Midnight Silver Metallic")</f>
        <v>Midnight Silver Metallic</v>
      </c>
      <c r="P1346" t="str">
        <f>IFERROR(__xludf.DUMMYFUNCTION("""COMPUTED_VALUE"""),"18 inch Aero")</f>
        <v>18 inch Aero</v>
      </c>
      <c r="Q1346" t="str">
        <f>IFERROR(__xludf.DUMMYFUNCTION("""COMPUTED_VALUE"""),"Black seats")</f>
        <v>Black seats</v>
      </c>
      <c r="R1346" t="str">
        <f>IFERROR(__xludf.DUMMYFUNCTION("""COMPUTED_VALUE"""),"Enhanced Autopilot")</f>
        <v>Enhanced Autopilot</v>
      </c>
      <c r="X1346" t="str">
        <f>IFERROR(__xludf.DUMMYFUNCTION("""COMPUTED_VALUE"""),"Excellent")</f>
        <v>Excellent</v>
      </c>
      <c r="Y1346" t="str">
        <f>IFERROR(__xludf.DUMMYFUNCTION("""COMPUTED_VALUE"""),"Excellent")</f>
        <v>Excellent</v>
      </c>
      <c r="Z1346" t="str">
        <f>IFERROR(__xludf.DUMMYFUNCTION("""COMPUTED_VALUE"""),"Excellent")</f>
        <v>Excellent</v>
      </c>
      <c r="AA1346" t="str">
        <f>IFERROR(__xludf.DUMMYFUNCTION("""COMPUTED_VALUE"""),"Fair")</f>
        <v>Fair</v>
      </c>
      <c r="AB1346" t="str">
        <f>IFERROR(__xludf.DUMMYFUNCTION("""COMPUTED_VALUE"""),"Good")</f>
        <v>Good</v>
      </c>
      <c r="AH1346" s="189">
        <f>IFERROR(__xludf.DUMMYFUNCTION("""COMPUTED_VALUE"""),43425.87763383102)</f>
        <v>43425.87763</v>
      </c>
    </row>
    <row r="1347">
      <c r="A1347" t="str">
        <f>IFERROR(__xludf.DUMMYFUNCTION("""COMPUTED_VALUE"""),"Shell")</f>
        <v>Shell</v>
      </c>
      <c r="C1347" t="str">
        <f>IFERROR(__xludf.DUMMYFUNCTION("""COMPUTED_VALUE"""),"MI")</f>
        <v>MI</v>
      </c>
      <c r="D1347" t="str">
        <f>IFERROR(__xludf.DUMMYFUNCTION("""COMPUTED_VALUE"""),"USA")</f>
        <v>USA</v>
      </c>
      <c r="E1347" s="188">
        <f>IFERROR(__xludf.DUMMYFUNCTION("""COMPUTED_VALUE"""),43387.0)</f>
        <v>43387</v>
      </c>
      <c r="F1347" s="188">
        <f>IFERROR(__xludf.DUMMYFUNCTION("""COMPUTED_VALUE"""),43397.0)</f>
        <v>43397</v>
      </c>
      <c r="H1347">
        <f>IFERROR(__xludf.DUMMYFUNCTION("""COMPUTED_VALUE"""),75155.0)</f>
        <v>75155</v>
      </c>
      <c r="I1347" t="str">
        <f>IFERROR(__xludf.DUMMYFUNCTION("""COMPUTED_VALUE"""),"10/18")</f>
        <v>10/18</v>
      </c>
      <c r="J1347" s="5">
        <f>IFERROR(__xludf.DUMMYFUNCTION("""COMPUTED_VALUE"""),43418.0)</f>
        <v>43418</v>
      </c>
      <c r="K1347">
        <f>IFERROR(__xludf.DUMMYFUNCTION("""COMPUTED_VALUE"""),10.0)</f>
        <v>10</v>
      </c>
      <c r="L1347">
        <f>IFERROR(__xludf.DUMMYFUNCTION("""COMPUTED_VALUE"""),21.0)</f>
        <v>21</v>
      </c>
      <c r="M1347">
        <f>IFERROR(__xludf.DUMMYFUNCTION("""COMPUTED_VALUE"""),31.0)</f>
        <v>31</v>
      </c>
      <c r="N1347" t="str">
        <f>IFERROR(__xludf.DUMMYFUNCTION("""COMPUTED_VALUE"""),"Model 3 LR AWD")</f>
        <v>Model 3 LR AWD</v>
      </c>
      <c r="O1347" t="str">
        <f>IFERROR(__xludf.DUMMYFUNCTION("""COMPUTED_VALUE"""),"Deep Blue Metallic")</f>
        <v>Deep Blue Metallic</v>
      </c>
      <c r="P1347" t="str">
        <f>IFERROR(__xludf.DUMMYFUNCTION("""COMPUTED_VALUE"""),"18 inch Aero")</f>
        <v>18 inch Aero</v>
      </c>
      <c r="Q1347" t="str">
        <f>IFERROR(__xludf.DUMMYFUNCTION("""COMPUTED_VALUE"""),"White seats")</f>
        <v>White seats</v>
      </c>
      <c r="R1347" t="str">
        <f>IFERROR(__xludf.DUMMYFUNCTION("""COMPUTED_VALUE"""),"Enhanced Autopilot")</f>
        <v>Enhanced Autopilot</v>
      </c>
      <c r="X1347" t="str">
        <f>IFERROR(__xludf.DUMMYFUNCTION("""COMPUTED_VALUE"""),"Excellent")</f>
        <v>Excellent</v>
      </c>
      <c r="Y1347" t="str">
        <f>IFERROR(__xludf.DUMMYFUNCTION("""COMPUTED_VALUE"""),"Excellent")</f>
        <v>Excellent</v>
      </c>
      <c r="Z1347" t="str">
        <f>IFERROR(__xludf.DUMMYFUNCTION("""COMPUTED_VALUE"""),"Very Good")</f>
        <v>Very Good</v>
      </c>
      <c r="AA1347" t="str">
        <f>IFERROR(__xludf.DUMMYFUNCTION("""COMPUTED_VALUE"""),"Excellent")</f>
        <v>Excellent</v>
      </c>
      <c r="AB1347" t="str">
        <f>IFERROR(__xludf.DUMMYFUNCTION("""COMPUTED_VALUE"""),"Excellent")</f>
        <v>Excellent</v>
      </c>
      <c r="AG1347" t="str">
        <f>IFERROR(__xludf.DUMMYFUNCTION("""COMPUTED_VALUE"""),"Orig est delivery 12/18")</f>
        <v>Orig est delivery 12/18</v>
      </c>
      <c r="AH1347" s="189">
        <f>IFERROR(__xludf.DUMMYFUNCTION("""COMPUTED_VALUE"""),43426.317743692125)</f>
        <v>43426.31774</v>
      </c>
    </row>
    <row r="1348">
      <c r="A1348" t="str">
        <f>IFERROR(__xludf.DUMMYFUNCTION("""COMPUTED_VALUE"""),"DC Tesla Model 3")</f>
        <v>DC Tesla Model 3</v>
      </c>
      <c r="C1348" t="str">
        <f>IFERROR(__xludf.DUMMYFUNCTION("""COMPUTED_VALUE"""),"DC")</f>
        <v>DC</v>
      </c>
      <c r="D1348" t="str">
        <f>IFERROR(__xludf.DUMMYFUNCTION("""COMPUTED_VALUE"""),"USA")</f>
        <v>USA</v>
      </c>
      <c r="E1348" s="188">
        <f>IFERROR(__xludf.DUMMYFUNCTION("""COMPUTED_VALUE"""),43394.0)</f>
        <v>43394</v>
      </c>
      <c r="F1348" s="188">
        <f>IFERROR(__xludf.DUMMYFUNCTION("""COMPUTED_VALUE"""),43418.0)</f>
        <v>43418</v>
      </c>
      <c r="H1348">
        <f>IFERROR(__xludf.DUMMYFUNCTION("""COMPUTED_VALUE"""),153655.0)</f>
        <v>153655</v>
      </c>
      <c r="J1348" s="5">
        <f>IFERROR(__xludf.DUMMYFUNCTION("""COMPUTED_VALUE"""),43425.0)</f>
        <v>43425</v>
      </c>
      <c r="K1348">
        <f>IFERROR(__xludf.DUMMYFUNCTION("""COMPUTED_VALUE"""),24.0)</f>
        <v>24</v>
      </c>
      <c r="L1348">
        <f>IFERROR(__xludf.DUMMYFUNCTION("""COMPUTED_VALUE"""),7.0)</f>
        <v>7</v>
      </c>
      <c r="M1348">
        <f>IFERROR(__xludf.DUMMYFUNCTION("""COMPUTED_VALUE"""),31.0)</f>
        <v>31</v>
      </c>
      <c r="N1348" t="str">
        <f>IFERROR(__xludf.DUMMYFUNCTION("""COMPUTED_VALUE"""),"Model 3 MR")</f>
        <v>Model 3 MR</v>
      </c>
      <c r="O1348" t="str">
        <f>IFERROR(__xludf.DUMMYFUNCTION("""COMPUTED_VALUE"""),"Midnight Silver Metallic")</f>
        <v>Midnight Silver Metallic</v>
      </c>
      <c r="P1348" t="str">
        <f>IFERROR(__xludf.DUMMYFUNCTION("""COMPUTED_VALUE"""),"18 inch Aero")</f>
        <v>18 inch Aero</v>
      </c>
      <c r="Q1348" t="str">
        <f>IFERROR(__xludf.DUMMYFUNCTION("""COMPUTED_VALUE"""),"Black seats")</f>
        <v>Black seats</v>
      </c>
      <c r="R1348" t="str">
        <f>IFERROR(__xludf.DUMMYFUNCTION("""COMPUTED_VALUE"""),"Enhanced Autopilot")</f>
        <v>Enhanced Autopilot</v>
      </c>
      <c r="X1348" t="str">
        <f>IFERROR(__xludf.DUMMYFUNCTION("""COMPUTED_VALUE"""),"Very Good")</f>
        <v>Very Good</v>
      </c>
      <c r="Y1348" t="str">
        <f>IFERROR(__xludf.DUMMYFUNCTION("""COMPUTED_VALUE"""),"Excellent")</f>
        <v>Excellent</v>
      </c>
      <c r="Z1348" t="str">
        <f>IFERROR(__xludf.DUMMYFUNCTION("""COMPUTED_VALUE"""),"Very Good")</f>
        <v>Very Good</v>
      </c>
      <c r="AA1348" t="str">
        <f>IFERROR(__xludf.DUMMYFUNCTION("""COMPUTED_VALUE"""),"Very Good")</f>
        <v>Very Good</v>
      </c>
      <c r="AB1348" t="str">
        <f>IFERROR(__xludf.DUMMYFUNCTION("""COMPUTED_VALUE"""),"Good")</f>
        <v>Good</v>
      </c>
      <c r="AC1348">
        <f>IFERROR(__xludf.DUMMYFUNCTION("""COMPUTED_VALUE"""),0.0)</f>
        <v>0</v>
      </c>
      <c r="AH1348" s="189">
        <f>IFERROR(__xludf.DUMMYFUNCTION("""COMPUTED_VALUE"""),43426.47279050926)</f>
        <v>43426.47279</v>
      </c>
    </row>
    <row r="1349">
      <c r="A1349" t="str">
        <f>IFERROR(__xludf.DUMMYFUNCTION("""COMPUTED_VALUE"""),"kole")</f>
        <v>kole</v>
      </c>
      <c r="B1349" t="str">
        <f>IFERROR(__xludf.DUMMYFUNCTION("""COMPUTED_VALUE"""),"Ottawa")</f>
        <v>Ottawa</v>
      </c>
      <c r="C1349" t="str">
        <f>IFERROR(__xludf.DUMMYFUNCTION("""COMPUTED_VALUE"""),"ON")</f>
        <v>ON</v>
      </c>
      <c r="D1349" t="str">
        <f>IFERROR(__xludf.DUMMYFUNCTION("""COMPUTED_VALUE"""),"Canada")</f>
        <v>Canada</v>
      </c>
      <c r="E1349" s="188">
        <f>IFERROR(__xludf.DUMMYFUNCTION("""COMPUTED_VALUE"""),43278.0)</f>
        <v>43278</v>
      </c>
      <c r="F1349" s="188">
        <f>IFERROR(__xludf.DUMMYFUNCTION("""COMPUTED_VALUE"""),43411.0)</f>
        <v>43411</v>
      </c>
      <c r="H1349">
        <f>IFERROR(__xludf.DUMMYFUNCTION("""COMPUTED_VALUE"""),126855.0)</f>
        <v>126855</v>
      </c>
      <c r="I1349" t="str">
        <f>IFERROR(__xludf.DUMMYFUNCTION("""COMPUTED_VALUE"""),"10/18")</f>
        <v>10/18</v>
      </c>
      <c r="J1349" s="5">
        <f>IFERROR(__xludf.DUMMYFUNCTION("""COMPUTED_VALUE"""),43424.0)</f>
        <v>43424</v>
      </c>
      <c r="K1349">
        <f>IFERROR(__xludf.DUMMYFUNCTION("""COMPUTED_VALUE"""),133.0)</f>
        <v>133</v>
      </c>
      <c r="L1349">
        <f>IFERROR(__xludf.DUMMYFUNCTION("""COMPUTED_VALUE"""),13.0)</f>
        <v>13</v>
      </c>
      <c r="M1349">
        <f>IFERROR(__xludf.DUMMYFUNCTION("""COMPUTED_VALUE"""),146.0)</f>
        <v>146</v>
      </c>
      <c r="N1349" t="str">
        <f>IFERROR(__xludf.DUMMYFUNCTION("""COMPUTED_VALUE"""),"Model 3 LR AWD")</f>
        <v>Model 3 LR AWD</v>
      </c>
      <c r="O1349" t="str">
        <f>IFERROR(__xludf.DUMMYFUNCTION("""COMPUTED_VALUE"""),"Midnight Silver Metallic")</f>
        <v>Midnight Silver Metallic</v>
      </c>
      <c r="P1349" t="str">
        <f>IFERROR(__xludf.DUMMYFUNCTION("""COMPUTED_VALUE"""),"18 inch Aero")</f>
        <v>18 inch Aero</v>
      </c>
      <c r="Q1349" t="str">
        <f>IFERROR(__xludf.DUMMYFUNCTION("""COMPUTED_VALUE"""),"Black seats")</f>
        <v>Black seats</v>
      </c>
      <c r="R1349" t="str">
        <f>IFERROR(__xludf.DUMMYFUNCTION("""COMPUTED_VALUE"""),"None")</f>
        <v>None</v>
      </c>
      <c r="X1349" t="str">
        <f>IFERROR(__xludf.DUMMYFUNCTION("""COMPUTED_VALUE"""),"Very Good")</f>
        <v>Very Good</v>
      </c>
      <c r="Y1349" t="str">
        <f>IFERROR(__xludf.DUMMYFUNCTION("""COMPUTED_VALUE"""),"Excellent")</f>
        <v>Excellent</v>
      </c>
      <c r="Z1349" t="str">
        <f>IFERROR(__xludf.DUMMYFUNCTION("""COMPUTED_VALUE"""),"Very Good")</f>
        <v>Very Good</v>
      </c>
      <c r="AA1349" t="str">
        <f>IFERROR(__xludf.DUMMYFUNCTION("""COMPUTED_VALUE"""),"Poor")</f>
        <v>Poor</v>
      </c>
      <c r="AB1349" t="str">
        <f>IFERROR(__xludf.DUMMYFUNCTION("""COMPUTED_VALUE"""),"Poor")</f>
        <v>Poor</v>
      </c>
      <c r="AH1349" s="189">
        <f>IFERROR(__xludf.DUMMYFUNCTION("""COMPUTED_VALUE"""),43427.31364850694)</f>
        <v>43427.31365</v>
      </c>
    </row>
    <row r="1350">
      <c r="A1350" t="str">
        <f>IFERROR(__xludf.DUMMYFUNCTION("""COMPUTED_VALUE"""),"JBare")</f>
        <v>JBare</v>
      </c>
      <c r="B1350" t="str">
        <f>IFERROR(__xludf.DUMMYFUNCTION("""COMPUTED_VALUE"""),"Fauquier County")</f>
        <v>Fauquier County</v>
      </c>
      <c r="C1350" t="str">
        <f>IFERROR(__xludf.DUMMYFUNCTION("""COMPUTED_VALUE"""),"VA")</f>
        <v>VA</v>
      </c>
      <c r="D1350" t="str">
        <f>IFERROR(__xludf.DUMMYFUNCTION("""COMPUTED_VALUE"""),"USA")</f>
        <v>USA</v>
      </c>
      <c r="E1350" s="188">
        <f>IFERROR(__xludf.DUMMYFUNCTION("""COMPUTED_VALUE"""),43405.0)</f>
        <v>43405</v>
      </c>
      <c r="F1350" s="188">
        <f>IFERROR(__xludf.DUMMYFUNCTION("""COMPUTED_VALUE"""),43420.0)</f>
        <v>43420</v>
      </c>
      <c r="H1350">
        <f>IFERROR(__xludf.DUMMYFUNCTION("""COMPUTED_VALUE"""),153155.0)</f>
        <v>153155</v>
      </c>
      <c r="I1350" t="str">
        <f>IFERROR(__xludf.DUMMYFUNCTION("""COMPUTED_VALUE"""),"11/18")</f>
        <v>11/18</v>
      </c>
      <c r="J1350" s="5">
        <f>IFERROR(__xludf.DUMMYFUNCTION("""COMPUTED_VALUE"""),43425.0)</f>
        <v>43425</v>
      </c>
      <c r="K1350">
        <f>IFERROR(__xludf.DUMMYFUNCTION("""COMPUTED_VALUE"""),15.0)</f>
        <v>15</v>
      </c>
      <c r="L1350">
        <f>IFERROR(__xludf.DUMMYFUNCTION("""COMPUTED_VALUE"""),5.0)</f>
        <v>5</v>
      </c>
      <c r="M1350">
        <f>IFERROR(__xludf.DUMMYFUNCTION("""COMPUTED_VALUE"""),20.0)</f>
        <v>20</v>
      </c>
      <c r="N1350" t="str">
        <f>IFERROR(__xludf.DUMMYFUNCTION("""COMPUTED_VALUE"""),"Model 3 MR")</f>
        <v>Model 3 MR</v>
      </c>
      <c r="O1350" t="str">
        <f>IFERROR(__xludf.DUMMYFUNCTION("""COMPUTED_VALUE"""),"Pearl White Multi-Coat")</f>
        <v>Pearl White Multi-Coat</v>
      </c>
      <c r="P1350" t="str">
        <f>IFERROR(__xludf.DUMMYFUNCTION("""COMPUTED_VALUE"""),"18 inch Aero")</f>
        <v>18 inch Aero</v>
      </c>
      <c r="Q1350" t="str">
        <f>IFERROR(__xludf.DUMMYFUNCTION("""COMPUTED_VALUE"""),"Black seats")</f>
        <v>Black seats</v>
      </c>
      <c r="R1350" t="str">
        <f>IFERROR(__xludf.DUMMYFUNCTION("""COMPUTED_VALUE"""),"Enhanced Autopilot")</f>
        <v>Enhanced Autopilot</v>
      </c>
      <c r="X1350" t="str">
        <f>IFERROR(__xludf.DUMMYFUNCTION("""COMPUTED_VALUE"""),"Very Good")</f>
        <v>Very Good</v>
      </c>
      <c r="Y1350" t="str">
        <f>IFERROR(__xludf.DUMMYFUNCTION("""COMPUTED_VALUE"""),"Excellent")</f>
        <v>Excellent</v>
      </c>
      <c r="Z1350" t="str">
        <f>IFERROR(__xludf.DUMMYFUNCTION("""COMPUTED_VALUE"""),"Very Good")</f>
        <v>Very Good</v>
      </c>
      <c r="AA1350" t="str">
        <f>IFERROR(__xludf.DUMMYFUNCTION("""COMPUTED_VALUE"""),"Very Good")</f>
        <v>Very Good</v>
      </c>
      <c r="AB1350" t="str">
        <f>IFERROR(__xludf.DUMMYFUNCTION("""COMPUTED_VALUE"""),"Excellent")</f>
        <v>Excellent</v>
      </c>
      <c r="AH1350" s="189">
        <f>IFERROR(__xludf.DUMMYFUNCTION("""COMPUTED_VALUE"""),43427.361507222224)</f>
        <v>43427.36151</v>
      </c>
    </row>
    <row r="1351">
      <c r="A1351" t="str">
        <f>IFERROR(__xludf.DUMMYFUNCTION("""COMPUTED_VALUE"""),"firstimer")</f>
        <v>firstimer</v>
      </c>
      <c r="B1351" t="str">
        <f>IFERROR(__xludf.DUMMYFUNCTION("""COMPUTED_VALUE"""),"Los Angeles")</f>
        <v>Los Angeles</v>
      </c>
      <c r="C1351" t="str">
        <f>IFERROR(__xludf.DUMMYFUNCTION("""COMPUTED_VALUE"""),"CA")</f>
        <v>CA</v>
      </c>
      <c r="D1351" t="str">
        <f>IFERROR(__xludf.DUMMYFUNCTION("""COMPUTED_VALUE"""),"USA")</f>
        <v>USA</v>
      </c>
      <c r="E1351" s="188">
        <f>IFERROR(__xludf.DUMMYFUNCTION("""COMPUTED_VALUE"""),43391.0)</f>
        <v>43391</v>
      </c>
      <c r="F1351" s="188">
        <f>IFERROR(__xludf.DUMMYFUNCTION("""COMPUTED_VALUE"""),43411.0)</f>
        <v>43411</v>
      </c>
      <c r="H1351">
        <f>IFERROR(__xludf.DUMMYFUNCTION("""COMPUTED_VALUE"""),123955.0)</f>
        <v>123955</v>
      </c>
      <c r="J1351" s="188">
        <f>IFERROR(__xludf.DUMMYFUNCTION("""COMPUTED_VALUE"""),43418.0)</f>
        <v>43418</v>
      </c>
      <c r="K1351">
        <f>IFERROR(__xludf.DUMMYFUNCTION("""COMPUTED_VALUE"""),20.0)</f>
        <v>20</v>
      </c>
      <c r="L1351">
        <f>IFERROR(__xludf.DUMMYFUNCTION("""COMPUTED_VALUE"""),7.0)</f>
        <v>7</v>
      </c>
      <c r="M1351">
        <f>IFERROR(__xludf.DUMMYFUNCTION("""COMPUTED_VALUE"""),27.0)</f>
        <v>27</v>
      </c>
      <c r="N1351" t="str">
        <f>IFERROR(__xludf.DUMMYFUNCTION("""COMPUTED_VALUE"""),"Model 3 LR")</f>
        <v>Model 3 LR</v>
      </c>
      <c r="O1351" t="str">
        <f>IFERROR(__xludf.DUMMYFUNCTION("""COMPUTED_VALUE"""),"Midnight Silver Metallic")</f>
        <v>Midnight Silver Metallic</v>
      </c>
      <c r="P1351" t="str">
        <f>IFERROR(__xludf.DUMMYFUNCTION("""COMPUTED_VALUE"""),"18 inch Aero")</f>
        <v>18 inch Aero</v>
      </c>
      <c r="Q1351" t="str">
        <f>IFERROR(__xludf.DUMMYFUNCTION("""COMPUTED_VALUE"""),"Black seats")</f>
        <v>Black seats</v>
      </c>
      <c r="R1351" t="str">
        <f>IFERROR(__xludf.DUMMYFUNCTION("""COMPUTED_VALUE"""),"Enhanced Autopilot")</f>
        <v>Enhanced Autopilot</v>
      </c>
      <c r="X1351" t="str">
        <f>IFERROR(__xludf.DUMMYFUNCTION("""COMPUTED_VALUE"""),"Excellent")</f>
        <v>Excellent</v>
      </c>
      <c r="Y1351" t="str">
        <f>IFERROR(__xludf.DUMMYFUNCTION("""COMPUTED_VALUE"""),"Excellent")</f>
        <v>Excellent</v>
      </c>
      <c r="Z1351" t="str">
        <f>IFERROR(__xludf.DUMMYFUNCTION("""COMPUTED_VALUE"""),"Excellent")</f>
        <v>Excellent</v>
      </c>
      <c r="AA1351" t="str">
        <f>IFERROR(__xludf.DUMMYFUNCTION("""COMPUTED_VALUE"""),"Poor")</f>
        <v>Poor</v>
      </c>
      <c r="AB1351" t="str">
        <f>IFERROR(__xludf.DUMMYFUNCTION("""COMPUTED_VALUE"""),"Poor")</f>
        <v>Poor</v>
      </c>
      <c r="AG1351" t="str">
        <f>IFERROR(__xludf.DUMMYFUNCTION("""COMPUTED_VALUE"""),"Order was originally for mid-range and later change to long-range.")</f>
        <v>Order was originally for mid-range and later change to long-range.</v>
      </c>
      <c r="AH1351" s="189">
        <f>IFERROR(__xludf.DUMMYFUNCTION("""COMPUTED_VALUE"""),44257.66311247685)</f>
        <v>44257.66311</v>
      </c>
    </row>
    <row r="1352">
      <c r="A1352" t="str">
        <f>IFERROR(__xludf.DUMMYFUNCTION("""COMPUTED_VALUE"""),"Yelellav")</f>
        <v>Yelellav</v>
      </c>
      <c r="B1352" t="str">
        <f>IFERROR(__xludf.DUMMYFUNCTION("""COMPUTED_VALUE"""),"Omaha, NE")</f>
        <v>Omaha, NE</v>
      </c>
      <c r="C1352" t="str">
        <f>IFERROR(__xludf.DUMMYFUNCTION("""COMPUTED_VALUE"""),"NE")</f>
        <v>NE</v>
      </c>
      <c r="D1352" t="str">
        <f>IFERROR(__xludf.DUMMYFUNCTION("""COMPUTED_VALUE"""),"USA")</f>
        <v>USA</v>
      </c>
      <c r="E1352" s="188">
        <f>IFERROR(__xludf.DUMMYFUNCTION("""COMPUTED_VALUE"""),43396.0)</f>
        <v>43396</v>
      </c>
      <c r="F1352" s="188">
        <f>IFERROR(__xludf.DUMMYFUNCTION("""COMPUTED_VALUE"""),43413.0)</f>
        <v>43413</v>
      </c>
      <c r="H1352">
        <f>IFERROR(__xludf.DUMMYFUNCTION("""COMPUTED_VALUE"""),118955.0)</f>
        <v>118955</v>
      </c>
      <c r="I1352" t="str">
        <f>IFERROR(__xludf.DUMMYFUNCTION("""COMPUTED_VALUE"""),"10/18")</f>
        <v>10/18</v>
      </c>
      <c r="J1352" s="5">
        <f>IFERROR(__xludf.DUMMYFUNCTION("""COMPUTED_VALUE"""),43425.0)</f>
        <v>43425</v>
      </c>
      <c r="K1352">
        <f>IFERROR(__xludf.DUMMYFUNCTION("""COMPUTED_VALUE"""),17.0)</f>
        <v>17</v>
      </c>
      <c r="L1352">
        <f>IFERROR(__xludf.DUMMYFUNCTION("""COMPUTED_VALUE"""),12.0)</f>
        <v>12</v>
      </c>
      <c r="M1352">
        <f>IFERROR(__xludf.DUMMYFUNCTION("""COMPUTED_VALUE"""),29.0)</f>
        <v>29</v>
      </c>
      <c r="N1352" t="str">
        <f>IFERROR(__xludf.DUMMYFUNCTION("""COMPUTED_VALUE"""),"Model 3 LR AWD")</f>
        <v>Model 3 LR AWD</v>
      </c>
      <c r="O1352" t="str">
        <f>IFERROR(__xludf.DUMMYFUNCTION("""COMPUTED_VALUE"""),"Solid Black")</f>
        <v>Solid Black</v>
      </c>
      <c r="P1352" t="str">
        <f>IFERROR(__xludf.DUMMYFUNCTION("""COMPUTED_VALUE"""),"18 inch Aero")</f>
        <v>18 inch Aero</v>
      </c>
      <c r="Q1352" t="str">
        <f>IFERROR(__xludf.DUMMYFUNCTION("""COMPUTED_VALUE"""),"Black seats")</f>
        <v>Black seats</v>
      </c>
      <c r="R1352" t="str">
        <f>IFERROR(__xludf.DUMMYFUNCTION("""COMPUTED_VALUE"""),"Enhanced Autopilot")</f>
        <v>Enhanced Autopilot</v>
      </c>
      <c r="X1352" t="str">
        <f>IFERROR(__xludf.DUMMYFUNCTION("""COMPUTED_VALUE"""),"Excellent")</f>
        <v>Excellent</v>
      </c>
      <c r="Y1352" t="str">
        <f>IFERROR(__xludf.DUMMYFUNCTION("""COMPUTED_VALUE"""),"Excellent")</f>
        <v>Excellent</v>
      </c>
      <c r="Z1352" t="str">
        <f>IFERROR(__xludf.DUMMYFUNCTION("""COMPUTED_VALUE"""),"Very Good")</f>
        <v>Very Good</v>
      </c>
      <c r="AA1352" t="str">
        <f>IFERROR(__xludf.DUMMYFUNCTION("""COMPUTED_VALUE"""),"Good")</f>
        <v>Good</v>
      </c>
      <c r="AB1352" t="str">
        <f>IFERROR(__xludf.DUMMYFUNCTION("""COMPUTED_VALUE"""),"Excellent")</f>
        <v>Excellent</v>
      </c>
      <c r="AH1352" s="189">
        <f>IFERROR(__xludf.DUMMYFUNCTION("""COMPUTED_VALUE"""),43428.286975763884)</f>
        <v>43428.28698</v>
      </c>
    </row>
    <row r="1353">
      <c r="A1353" t="str">
        <f>IFERROR(__xludf.DUMMYFUNCTION("""COMPUTED_VALUE"""),"CJSF2323")</f>
        <v>CJSF2323</v>
      </c>
      <c r="B1353" t="str">
        <f>IFERROR(__xludf.DUMMYFUNCTION("""COMPUTED_VALUE"""),"Pittsburgh")</f>
        <v>Pittsburgh</v>
      </c>
      <c r="C1353" t="str">
        <f>IFERROR(__xludf.DUMMYFUNCTION("""COMPUTED_VALUE"""),"PA")</f>
        <v>PA</v>
      </c>
      <c r="D1353" t="str">
        <f>IFERROR(__xludf.DUMMYFUNCTION("""COMPUTED_VALUE"""),"USA")</f>
        <v>USA</v>
      </c>
      <c r="E1353" s="188">
        <f>IFERROR(__xludf.DUMMYFUNCTION("""COMPUTED_VALUE"""),43280.0)</f>
        <v>43280</v>
      </c>
      <c r="F1353" s="188">
        <f>IFERROR(__xludf.DUMMYFUNCTION("""COMPUTED_VALUE"""),43409.0)</f>
        <v>43409</v>
      </c>
      <c r="H1353">
        <f>IFERROR(__xludf.DUMMYFUNCTION("""COMPUTED_VALUE"""),62755.0)</f>
        <v>62755</v>
      </c>
      <c r="I1353" t="str">
        <f>IFERROR(__xludf.DUMMYFUNCTION("""COMPUTED_VALUE"""),"11/18")</f>
        <v>11/18</v>
      </c>
      <c r="J1353" s="5">
        <f>IFERROR(__xludf.DUMMYFUNCTION("""COMPUTED_VALUE"""),43425.0)</f>
        <v>43425</v>
      </c>
      <c r="K1353">
        <f>IFERROR(__xludf.DUMMYFUNCTION("""COMPUTED_VALUE"""),129.0)</f>
        <v>129</v>
      </c>
      <c r="L1353">
        <f>IFERROR(__xludf.DUMMYFUNCTION("""COMPUTED_VALUE"""),16.0)</f>
        <v>16</v>
      </c>
      <c r="M1353">
        <f>IFERROR(__xludf.DUMMYFUNCTION("""COMPUTED_VALUE"""),145.0)</f>
        <v>145</v>
      </c>
      <c r="N1353" t="str">
        <f>IFERROR(__xludf.DUMMYFUNCTION("""COMPUTED_VALUE"""),"Model 3 LR")</f>
        <v>Model 3 LR</v>
      </c>
      <c r="O1353" t="str">
        <f>IFERROR(__xludf.DUMMYFUNCTION("""COMPUTED_VALUE"""),"Red Multi-Coat")</f>
        <v>Red Multi-Coat</v>
      </c>
      <c r="P1353" t="str">
        <f>IFERROR(__xludf.DUMMYFUNCTION("""COMPUTED_VALUE"""),"18 inch Aero")</f>
        <v>18 inch Aero</v>
      </c>
      <c r="Q1353" t="str">
        <f>IFERROR(__xludf.DUMMYFUNCTION("""COMPUTED_VALUE"""),"Black seats")</f>
        <v>Black seats</v>
      </c>
      <c r="R1353" t="str">
        <f>IFERROR(__xludf.DUMMYFUNCTION("""COMPUTED_VALUE"""),"Enhanced Autopilot")</f>
        <v>Enhanced Autopilot</v>
      </c>
      <c r="X1353" t="str">
        <f>IFERROR(__xludf.DUMMYFUNCTION("""COMPUTED_VALUE"""),"Excellent")</f>
        <v>Excellent</v>
      </c>
      <c r="Y1353" t="str">
        <f>IFERROR(__xludf.DUMMYFUNCTION("""COMPUTED_VALUE"""),"Excellent")</f>
        <v>Excellent</v>
      </c>
      <c r="Z1353" t="str">
        <f>IFERROR(__xludf.DUMMYFUNCTION("""COMPUTED_VALUE"""),"Excellent")</f>
        <v>Excellent</v>
      </c>
      <c r="AA1353" t="str">
        <f>IFERROR(__xludf.DUMMYFUNCTION("""COMPUTED_VALUE"""),"Excellent")</f>
        <v>Excellent</v>
      </c>
      <c r="AB1353" t="str">
        <f>IFERROR(__xludf.DUMMYFUNCTION("""COMPUTED_VALUE"""),"Excellent")</f>
        <v>Excellent</v>
      </c>
      <c r="AH1353" s="189">
        <f>IFERROR(__xludf.DUMMYFUNCTION("""COMPUTED_VALUE"""),43428.35489827546)</f>
        <v>43428.3549</v>
      </c>
    </row>
    <row r="1354">
      <c r="A1354" t="str">
        <f>IFERROR(__xludf.DUMMYFUNCTION("""COMPUTED_VALUE"""),"Chazzmo")</f>
        <v>Chazzmo</v>
      </c>
      <c r="B1354" t="str">
        <f>IFERROR(__xludf.DUMMYFUNCTION("""COMPUTED_VALUE"""),"Philadelphia")</f>
        <v>Philadelphia</v>
      </c>
      <c r="C1354" t="str">
        <f>IFERROR(__xludf.DUMMYFUNCTION("""COMPUTED_VALUE"""),"PA")</f>
        <v>PA</v>
      </c>
      <c r="D1354" t="str">
        <f>IFERROR(__xludf.DUMMYFUNCTION("""COMPUTED_VALUE"""),"USA")</f>
        <v>USA</v>
      </c>
      <c r="E1354" s="188">
        <f>IFERROR(__xludf.DUMMYFUNCTION("""COMPUTED_VALUE"""),43408.0)</f>
        <v>43408</v>
      </c>
      <c r="F1354" s="188">
        <f>IFERROR(__xludf.DUMMYFUNCTION("""COMPUTED_VALUE"""),43424.0)</f>
        <v>43424</v>
      </c>
      <c r="H1354">
        <f>IFERROR(__xludf.DUMMYFUNCTION("""COMPUTED_VALUE"""),152455.0)</f>
        <v>152455</v>
      </c>
      <c r="I1354" t="str">
        <f>IFERROR(__xludf.DUMMYFUNCTION("""COMPUTED_VALUE"""),"10/18")</f>
        <v>10/18</v>
      </c>
      <c r="J1354" s="5">
        <f>IFERROR(__xludf.DUMMYFUNCTION("""COMPUTED_VALUE"""),43428.0)</f>
        <v>43428</v>
      </c>
      <c r="K1354">
        <f>IFERROR(__xludf.DUMMYFUNCTION("""COMPUTED_VALUE"""),16.0)</f>
        <v>16</v>
      </c>
      <c r="L1354">
        <f>IFERROR(__xludf.DUMMYFUNCTION("""COMPUTED_VALUE"""),4.0)</f>
        <v>4</v>
      </c>
      <c r="M1354">
        <f>IFERROR(__xludf.DUMMYFUNCTION("""COMPUTED_VALUE"""),20.0)</f>
        <v>20</v>
      </c>
      <c r="N1354" t="str">
        <f>IFERROR(__xludf.DUMMYFUNCTION("""COMPUTED_VALUE"""),"Model 3 MR")</f>
        <v>Model 3 MR</v>
      </c>
      <c r="O1354" t="str">
        <f>IFERROR(__xludf.DUMMYFUNCTION("""COMPUTED_VALUE"""),"Solid Black")</f>
        <v>Solid Black</v>
      </c>
      <c r="P1354" t="str">
        <f>IFERROR(__xludf.DUMMYFUNCTION("""COMPUTED_VALUE"""),"18 inch Aero")</f>
        <v>18 inch Aero</v>
      </c>
      <c r="Q1354" t="str">
        <f>IFERROR(__xludf.DUMMYFUNCTION("""COMPUTED_VALUE"""),"Black seats")</f>
        <v>Black seats</v>
      </c>
      <c r="R1354" t="str">
        <f>IFERROR(__xludf.DUMMYFUNCTION("""COMPUTED_VALUE"""),"None")</f>
        <v>None</v>
      </c>
      <c r="X1354" t="str">
        <f>IFERROR(__xludf.DUMMYFUNCTION("""COMPUTED_VALUE"""),"Very Good")</f>
        <v>Very Good</v>
      </c>
      <c r="Y1354" t="str">
        <f>IFERROR(__xludf.DUMMYFUNCTION("""COMPUTED_VALUE"""),"Good")</f>
        <v>Good</v>
      </c>
      <c r="Z1354" t="str">
        <f>IFERROR(__xludf.DUMMYFUNCTION("""COMPUTED_VALUE"""),"Good")</f>
        <v>Good</v>
      </c>
      <c r="AA1354" t="str">
        <f>IFERROR(__xludf.DUMMYFUNCTION("""COMPUTED_VALUE"""),"Fair")</f>
        <v>Fair</v>
      </c>
      <c r="AB1354" t="str">
        <f>IFERROR(__xludf.DUMMYFUNCTION("""COMPUTED_VALUE"""),"Very Good")</f>
        <v>Very Good</v>
      </c>
      <c r="AH1354" s="189">
        <f>IFERROR(__xludf.DUMMYFUNCTION("""COMPUTED_VALUE"""),43428.66623491899)</f>
        <v>43428.66623</v>
      </c>
    </row>
    <row r="1355">
      <c r="A1355" t="str">
        <f>IFERROR(__xludf.DUMMYFUNCTION("""COMPUTED_VALUE"""),"AmpedUp")</f>
        <v>AmpedUp</v>
      </c>
      <c r="B1355" t="str">
        <f>IFERROR(__xludf.DUMMYFUNCTION("""COMPUTED_VALUE"""),"Rocklin")</f>
        <v>Rocklin</v>
      </c>
      <c r="C1355" t="str">
        <f>IFERROR(__xludf.DUMMYFUNCTION("""COMPUTED_VALUE"""),"CA")</f>
        <v>CA</v>
      </c>
      <c r="D1355" t="str">
        <f>IFERROR(__xludf.DUMMYFUNCTION("""COMPUTED_VALUE"""),"USA")</f>
        <v>USA</v>
      </c>
      <c r="E1355" s="188">
        <f>IFERROR(__xludf.DUMMYFUNCTION("""COMPUTED_VALUE"""),43397.0)</f>
        <v>43397</v>
      </c>
      <c r="F1355" s="188">
        <f>IFERROR(__xludf.DUMMYFUNCTION("""COMPUTED_VALUE"""),43412.0)</f>
        <v>43412</v>
      </c>
      <c r="H1355">
        <f>IFERROR(__xludf.DUMMYFUNCTION("""COMPUTED_VALUE"""),112055.0)</f>
        <v>112055</v>
      </c>
      <c r="J1355" s="5">
        <f>IFERROR(__xludf.DUMMYFUNCTION("""COMPUTED_VALUE"""),43419.0)</f>
        <v>43419</v>
      </c>
      <c r="K1355">
        <f>IFERROR(__xludf.DUMMYFUNCTION("""COMPUTED_VALUE"""),15.0)</f>
        <v>15</v>
      </c>
      <c r="L1355">
        <f>IFERROR(__xludf.DUMMYFUNCTION("""COMPUTED_VALUE"""),7.0)</f>
        <v>7</v>
      </c>
      <c r="M1355">
        <f>IFERROR(__xludf.DUMMYFUNCTION("""COMPUTED_VALUE"""),22.0)</f>
        <v>22</v>
      </c>
      <c r="N1355" t="str">
        <f>IFERROR(__xludf.DUMMYFUNCTION("""COMPUTED_VALUE"""),"Model 3 LR AWD")</f>
        <v>Model 3 LR AWD</v>
      </c>
      <c r="O1355" t="str">
        <f>IFERROR(__xludf.DUMMYFUNCTION("""COMPUTED_VALUE"""),"Red Multi-Coat")</f>
        <v>Red Multi-Coat</v>
      </c>
      <c r="P1355" t="str">
        <f>IFERROR(__xludf.DUMMYFUNCTION("""COMPUTED_VALUE"""),"19 inch Sport")</f>
        <v>19 inch Sport</v>
      </c>
      <c r="Q1355" t="str">
        <f>IFERROR(__xludf.DUMMYFUNCTION("""COMPUTED_VALUE"""),"White seats")</f>
        <v>White seats</v>
      </c>
      <c r="R1355" t="str">
        <f>IFERROR(__xludf.DUMMYFUNCTION("""COMPUTED_VALUE"""),"Enhanced Autopilot")</f>
        <v>Enhanced Autopilot</v>
      </c>
      <c r="X1355" t="str">
        <f>IFERROR(__xludf.DUMMYFUNCTION("""COMPUTED_VALUE"""),"Excellent")</f>
        <v>Excellent</v>
      </c>
      <c r="Y1355" t="str">
        <f>IFERROR(__xludf.DUMMYFUNCTION("""COMPUTED_VALUE"""),"Excellent")</f>
        <v>Excellent</v>
      </c>
      <c r="Z1355" t="str">
        <f>IFERROR(__xludf.DUMMYFUNCTION("""COMPUTED_VALUE"""),"Very Good")</f>
        <v>Very Good</v>
      </c>
      <c r="AA1355" t="str">
        <f>IFERROR(__xludf.DUMMYFUNCTION("""COMPUTED_VALUE"""),"Fair")</f>
        <v>Fair</v>
      </c>
      <c r="AB1355" t="str">
        <f>IFERROR(__xludf.DUMMYFUNCTION("""COMPUTED_VALUE"""),"Very Good")</f>
        <v>Very Good</v>
      </c>
      <c r="AC1355">
        <f>IFERROR(__xludf.DUMMYFUNCTION("""COMPUTED_VALUE"""),2.0)</f>
        <v>2</v>
      </c>
      <c r="AH1355" s="189">
        <f>IFERROR(__xludf.DUMMYFUNCTION("""COMPUTED_VALUE"""),43428.69951946759)</f>
        <v>43428.69952</v>
      </c>
    </row>
    <row r="1356">
      <c r="A1356" t="str">
        <f>IFERROR(__xludf.DUMMYFUNCTION("""COMPUTED_VALUE"""),"webdbbt")</f>
        <v>webdbbt</v>
      </c>
      <c r="B1356" t="str">
        <f>IFERROR(__xludf.DUMMYFUNCTION("""COMPUTED_VALUE"""),"Burlington")</f>
        <v>Burlington</v>
      </c>
      <c r="C1356" t="str">
        <f>IFERROR(__xludf.DUMMYFUNCTION("""COMPUTED_VALUE"""),"NJ")</f>
        <v>NJ</v>
      </c>
      <c r="D1356" t="str">
        <f>IFERROR(__xludf.DUMMYFUNCTION("""COMPUTED_VALUE"""),"USA")</f>
        <v>USA</v>
      </c>
      <c r="E1356" s="188">
        <f>IFERROR(__xludf.DUMMYFUNCTION("""COMPUTED_VALUE"""),43281.0)</f>
        <v>43281</v>
      </c>
      <c r="F1356" s="188">
        <f>IFERROR(__xludf.DUMMYFUNCTION("""COMPUTED_VALUE"""),43388.0)</f>
        <v>43388</v>
      </c>
      <c r="H1356">
        <f>IFERROR(__xludf.DUMMYFUNCTION("""COMPUTED_VALUE"""),105395.0)</f>
        <v>105395</v>
      </c>
      <c r="I1356" t="str">
        <f>IFERROR(__xludf.DUMMYFUNCTION("""COMPUTED_VALUE"""),"10/18")</f>
        <v>10/18</v>
      </c>
      <c r="J1356" s="5">
        <f>IFERROR(__xludf.DUMMYFUNCTION("""COMPUTED_VALUE"""),43427.0)</f>
        <v>43427</v>
      </c>
      <c r="K1356">
        <f>IFERROR(__xludf.DUMMYFUNCTION("""COMPUTED_VALUE"""),107.0)</f>
        <v>107</v>
      </c>
      <c r="L1356">
        <f>IFERROR(__xludf.DUMMYFUNCTION("""COMPUTED_VALUE"""),39.0)</f>
        <v>39</v>
      </c>
      <c r="M1356">
        <f>IFERROR(__xludf.DUMMYFUNCTION("""COMPUTED_VALUE"""),146.0)</f>
        <v>146</v>
      </c>
      <c r="N1356" t="str">
        <f>IFERROR(__xludf.DUMMYFUNCTION("""COMPUTED_VALUE"""),"Model 3 LR AWD")</f>
        <v>Model 3 LR AWD</v>
      </c>
      <c r="O1356" t="str">
        <f>IFERROR(__xludf.DUMMYFUNCTION("""COMPUTED_VALUE"""),"Deep Blue Metallic")</f>
        <v>Deep Blue Metallic</v>
      </c>
      <c r="P1356" t="str">
        <f>IFERROR(__xludf.DUMMYFUNCTION("""COMPUTED_VALUE"""),"18 inch Aero")</f>
        <v>18 inch Aero</v>
      </c>
      <c r="Q1356" t="str">
        <f>IFERROR(__xludf.DUMMYFUNCTION("""COMPUTED_VALUE"""),"Black seats")</f>
        <v>Black seats</v>
      </c>
      <c r="R1356" t="str">
        <f>IFERROR(__xludf.DUMMYFUNCTION("""COMPUTED_VALUE"""),"None")</f>
        <v>None</v>
      </c>
      <c r="X1356" t="str">
        <f>IFERROR(__xludf.DUMMYFUNCTION("""COMPUTED_VALUE"""),"Poor")</f>
        <v>Poor</v>
      </c>
      <c r="Y1356" t="str">
        <f>IFERROR(__xludf.DUMMYFUNCTION("""COMPUTED_VALUE"""),"Excellent")</f>
        <v>Excellent</v>
      </c>
      <c r="Z1356" t="str">
        <f>IFERROR(__xludf.DUMMYFUNCTION("""COMPUTED_VALUE"""),"Excellent")</f>
        <v>Excellent</v>
      </c>
      <c r="AA1356" t="str">
        <f>IFERROR(__xludf.DUMMYFUNCTION("""COMPUTED_VALUE"""),"Good")</f>
        <v>Good</v>
      </c>
      <c r="AB1356" t="str">
        <f>IFERROR(__xludf.DUMMYFUNCTION("""COMPUTED_VALUE"""),"Excellent")</f>
        <v>Excellent</v>
      </c>
      <c r="AC1356">
        <f>IFERROR(__xludf.DUMMYFUNCTION("""COMPUTED_VALUE"""),3.0)</f>
        <v>3</v>
      </c>
      <c r="AG1356" t="str">
        <f>IFERROR(__xludf.DUMMYFUNCTION("""COMPUTED_VALUE"""),"Car delivered with tape on door sill to prevent rear door rubbing on sill. Both rear doors misaligned. Underbody cover loose.")</f>
        <v>Car delivered with tape on door sill to prevent rear door rubbing on sill. Both rear doors misaligned. Underbody cover loose.</v>
      </c>
      <c r="AH1356" s="189">
        <f>IFERROR(__xludf.DUMMYFUNCTION("""COMPUTED_VALUE"""),43428.72759206018)</f>
        <v>43428.72759</v>
      </c>
    </row>
    <row r="1357">
      <c r="A1357" t="str">
        <f>IFERROR(__xludf.DUMMYFUNCTION("""COMPUTED_VALUE"""),"JennGa")</f>
        <v>JennGa</v>
      </c>
      <c r="C1357" t="str">
        <f>IFERROR(__xludf.DUMMYFUNCTION("""COMPUTED_VALUE"""),"GA")</f>
        <v>GA</v>
      </c>
      <c r="D1357" t="str">
        <f>IFERROR(__xludf.DUMMYFUNCTION("""COMPUTED_VALUE"""),"USA")</f>
        <v>USA</v>
      </c>
      <c r="E1357" s="188">
        <f>IFERROR(__xludf.DUMMYFUNCTION("""COMPUTED_VALUE"""),43337.0)</f>
        <v>43337</v>
      </c>
      <c r="F1357" s="188">
        <f>IFERROR(__xludf.DUMMYFUNCTION("""COMPUTED_VALUE"""),43373.0)</f>
        <v>43373</v>
      </c>
      <c r="H1357">
        <f>IFERROR(__xludf.DUMMYFUNCTION("""COMPUTED_VALUE"""),84855.0)</f>
        <v>84855</v>
      </c>
      <c r="I1357" t="str">
        <f>IFERROR(__xludf.DUMMYFUNCTION("""COMPUTED_VALUE"""),"09/18")</f>
        <v>09/18</v>
      </c>
      <c r="J1357" s="5">
        <f>IFERROR(__xludf.DUMMYFUNCTION("""COMPUTED_VALUE"""),43393.0)</f>
        <v>43393</v>
      </c>
      <c r="K1357">
        <f>IFERROR(__xludf.DUMMYFUNCTION("""COMPUTED_VALUE"""),36.0)</f>
        <v>36</v>
      </c>
      <c r="L1357">
        <f>IFERROR(__xludf.DUMMYFUNCTION("""COMPUTED_VALUE"""),20.0)</f>
        <v>20</v>
      </c>
      <c r="M1357">
        <f>IFERROR(__xludf.DUMMYFUNCTION("""COMPUTED_VALUE"""),56.0)</f>
        <v>56</v>
      </c>
      <c r="N1357" t="str">
        <f>IFERROR(__xludf.DUMMYFUNCTION("""COMPUTED_VALUE"""),"Model 3 Performance")</f>
        <v>Model 3 Performance</v>
      </c>
      <c r="O1357" t="str">
        <f>IFERROR(__xludf.DUMMYFUNCTION("""COMPUTED_VALUE"""),"Midnight Silver Metallic")</f>
        <v>Midnight Silver Metallic</v>
      </c>
      <c r="P1357" t="str">
        <f>IFERROR(__xludf.DUMMYFUNCTION("""COMPUTED_VALUE"""),"18 inch Aero")</f>
        <v>18 inch Aero</v>
      </c>
      <c r="Q1357" t="str">
        <f>IFERROR(__xludf.DUMMYFUNCTION("""COMPUTED_VALUE"""),"Black seats")</f>
        <v>Black seats</v>
      </c>
      <c r="R1357" t="str">
        <f>IFERROR(__xludf.DUMMYFUNCTION("""COMPUTED_VALUE"""),"Enhanced Autopilot")</f>
        <v>Enhanced Autopilot</v>
      </c>
      <c r="X1357" t="str">
        <f>IFERROR(__xludf.DUMMYFUNCTION("""COMPUTED_VALUE"""),"Excellent")</f>
        <v>Excellent</v>
      </c>
      <c r="Y1357" t="str">
        <f>IFERROR(__xludf.DUMMYFUNCTION("""COMPUTED_VALUE"""),"Very Good")</f>
        <v>Very Good</v>
      </c>
      <c r="Z1357" t="str">
        <f>IFERROR(__xludf.DUMMYFUNCTION("""COMPUTED_VALUE"""),"Good")</f>
        <v>Good</v>
      </c>
      <c r="AA1357" t="str">
        <f>IFERROR(__xludf.DUMMYFUNCTION("""COMPUTED_VALUE"""),"Good")</f>
        <v>Good</v>
      </c>
      <c r="AB1357" t="str">
        <f>IFERROR(__xludf.DUMMYFUNCTION("""COMPUTED_VALUE"""),"Very Good")</f>
        <v>Very Good</v>
      </c>
      <c r="AC1357">
        <f>IFERROR(__xludf.DUMMYFUNCTION("""COMPUTED_VALUE"""),10.0)</f>
        <v>10</v>
      </c>
      <c r="AD1357">
        <f>IFERROR(__xludf.DUMMYFUNCTION("""COMPUTED_VALUE"""),0.0)</f>
        <v>0</v>
      </c>
      <c r="AG1357" t="str">
        <f>IFERROR(__xludf.DUMMYFUNCTION("""COMPUTED_VALUE"""),"waiting to be scheduled  to fix paint/interior defects")</f>
        <v>waiting to be scheduled  to fix paint/interior defects</v>
      </c>
      <c r="AH1357" s="189">
        <f>IFERROR(__xludf.DUMMYFUNCTION("""COMPUTED_VALUE"""),43429.488412719904)</f>
        <v>43429.48841</v>
      </c>
    </row>
    <row r="1358">
      <c r="A1358" t="str">
        <f>IFERROR(__xludf.DUMMYFUNCTION("""COMPUTED_VALUE"""),"clayh")</f>
        <v>clayh</v>
      </c>
      <c r="B1358" t="str">
        <f>IFERROR(__xludf.DUMMYFUNCTION("""COMPUTED_VALUE"""),"Raleigh")</f>
        <v>Raleigh</v>
      </c>
      <c r="C1358" t="str">
        <f>IFERROR(__xludf.DUMMYFUNCTION("""COMPUTED_VALUE"""),"NC")</f>
        <v>NC</v>
      </c>
      <c r="D1358" t="str">
        <f>IFERROR(__xludf.DUMMYFUNCTION("""COMPUTED_VALUE"""),"USA")</f>
        <v>USA</v>
      </c>
      <c r="E1358" s="188">
        <f>IFERROR(__xludf.DUMMYFUNCTION("""COMPUTED_VALUE"""),43390.0)</f>
        <v>43390</v>
      </c>
      <c r="H1358">
        <f>IFERROR(__xludf.DUMMYFUNCTION("""COMPUTED_VALUE"""),129655.0)</f>
        <v>129655</v>
      </c>
      <c r="J1358" s="5">
        <f>IFERROR(__xludf.DUMMYFUNCTION("""COMPUTED_VALUE"""),43429.0)</f>
        <v>43429</v>
      </c>
      <c r="M1358">
        <f>IFERROR(__xludf.DUMMYFUNCTION("""COMPUTED_VALUE"""),39.0)</f>
        <v>39</v>
      </c>
      <c r="N1358" t="str">
        <f>IFERROR(__xludf.DUMMYFUNCTION("""COMPUTED_VALUE"""),"Model 3 LR AWD")</f>
        <v>Model 3 LR AWD</v>
      </c>
      <c r="O1358" t="str">
        <f>IFERROR(__xludf.DUMMYFUNCTION("""COMPUTED_VALUE"""),"Red Multi-Coat")</f>
        <v>Red Multi-Coat</v>
      </c>
      <c r="P1358" t="str">
        <f>IFERROR(__xludf.DUMMYFUNCTION("""COMPUTED_VALUE"""),"18 inch Aero")</f>
        <v>18 inch Aero</v>
      </c>
      <c r="Q1358" t="str">
        <f>IFERROR(__xludf.DUMMYFUNCTION("""COMPUTED_VALUE"""),"Black seats")</f>
        <v>Black seats</v>
      </c>
      <c r="R1358" t="str">
        <f>IFERROR(__xludf.DUMMYFUNCTION("""COMPUTED_VALUE"""),"Enhanced Autopilot")</f>
        <v>Enhanced Autopilot</v>
      </c>
      <c r="X1358" t="str">
        <f>IFERROR(__xludf.DUMMYFUNCTION("""COMPUTED_VALUE"""),"Excellent")</f>
        <v>Excellent</v>
      </c>
      <c r="Y1358" t="str">
        <f>IFERROR(__xludf.DUMMYFUNCTION("""COMPUTED_VALUE"""),"Excellent")</f>
        <v>Excellent</v>
      </c>
      <c r="Z1358" t="str">
        <f>IFERROR(__xludf.DUMMYFUNCTION("""COMPUTED_VALUE"""),"Very Good")</f>
        <v>Very Good</v>
      </c>
      <c r="AA1358" t="str">
        <f>IFERROR(__xludf.DUMMYFUNCTION("""COMPUTED_VALUE"""),"Very Good")</f>
        <v>Very Good</v>
      </c>
      <c r="AB1358" t="str">
        <f>IFERROR(__xludf.DUMMYFUNCTION("""COMPUTED_VALUE"""),"Very Good")</f>
        <v>Very Good</v>
      </c>
      <c r="AH1358" s="189">
        <f>IFERROR(__xludf.DUMMYFUNCTION("""COMPUTED_VALUE"""),43429.71055960648)</f>
        <v>43429.71056</v>
      </c>
    </row>
    <row r="1359">
      <c r="A1359" t="str">
        <f>IFERROR(__xludf.DUMMYFUNCTION("""COMPUTED_VALUE"""),"King Julien XIII")</f>
        <v>King Julien XIII</v>
      </c>
      <c r="C1359" t="str">
        <f>IFERROR(__xludf.DUMMYFUNCTION("""COMPUTED_VALUE"""),"OH")</f>
        <v>OH</v>
      </c>
      <c r="D1359" t="str">
        <f>IFERROR(__xludf.DUMMYFUNCTION("""COMPUTED_VALUE"""),"USA")</f>
        <v>USA</v>
      </c>
      <c r="E1359" s="188">
        <f>IFERROR(__xludf.DUMMYFUNCTION("""COMPUTED_VALUE"""),43392.0)</f>
        <v>43392</v>
      </c>
      <c r="F1359" s="188">
        <f>IFERROR(__xludf.DUMMYFUNCTION("""COMPUTED_VALUE"""),43419.0)</f>
        <v>43419</v>
      </c>
      <c r="H1359">
        <f>IFERROR(__xludf.DUMMYFUNCTION("""COMPUTED_VALUE"""),151655.0)</f>
        <v>151655</v>
      </c>
      <c r="I1359" t="str">
        <f>IFERROR(__xludf.DUMMYFUNCTION("""COMPUTED_VALUE"""),"11/18")</f>
        <v>11/18</v>
      </c>
      <c r="J1359" s="5">
        <f>IFERROR(__xludf.DUMMYFUNCTION("""COMPUTED_VALUE"""),43425.0)</f>
        <v>43425</v>
      </c>
      <c r="K1359">
        <f>IFERROR(__xludf.DUMMYFUNCTION("""COMPUTED_VALUE"""),27.0)</f>
        <v>27</v>
      </c>
      <c r="L1359">
        <f>IFERROR(__xludf.DUMMYFUNCTION("""COMPUTED_VALUE"""),6.0)</f>
        <v>6</v>
      </c>
      <c r="M1359">
        <f>IFERROR(__xludf.DUMMYFUNCTION("""COMPUTED_VALUE"""),33.0)</f>
        <v>33</v>
      </c>
      <c r="N1359" t="str">
        <f>IFERROR(__xludf.DUMMYFUNCTION("""COMPUTED_VALUE"""),"Model 3 MR")</f>
        <v>Model 3 MR</v>
      </c>
      <c r="O1359" t="str">
        <f>IFERROR(__xludf.DUMMYFUNCTION("""COMPUTED_VALUE"""),"Midnight Silver Metallic")</f>
        <v>Midnight Silver Metallic</v>
      </c>
      <c r="P1359" t="str">
        <f>IFERROR(__xludf.DUMMYFUNCTION("""COMPUTED_VALUE"""),"19 inch Sport")</f>
        <v>19 inch Sport</v>
      </c>
      <c r="Q1359" t="str">
        <f>IFERROR(__xludf.DUMMYFUNCTION("""COMPUTED_VALUE"""),"Black seats")</f>
        <v>Black seats</v>
      </c>
      <c r="R1359" t="str">
        <f>IFERROR(__xludf.DUMMYFUNCTION("""COMPUTED_VALUE"""),"Enhanced Autopilot")</f>
        <v>Enhanced Autopilot</v>
      </c>
      <c r="X1359" t="str">
        <f>IFERROR(__xludf.DUMMYFUNCTION("""COMPUTED_VALUE"""),"Excellent")</f>
        <v>Excellent</v>
      </c>
      <c r="Y1359" t="str">
        <f>IFERROR(__xludf.DUMMYFUNCTION("""COMPUTED_VALUE"""),"Excellent")</f>
        <v>Excellent</v>
      </c>
      <c r="Z1359" t="str">
        <f>IFERROR(__xludf.DUMMYFUNCTION("""COMPUTED_VALUE"""),"Excellent")</f>
        <v>Excellent</v>
      </c>
      <c r="AA1359" t="str">
        <f>IFERROR(__xludf.DUMMYFUNCTION("""COMPUTED_VALUE"""),"Fair")</f>
        <v>Fair</v>
      </c>
      <c r="AB1359" t="str">
        <f>IFERROR(__xludf.DUMMYFUNCTION("""COMPUTED_VALUE"""),"Very Good")</f>
        <v>Very Good</v>
      </c>
      <c r="AC1359">
        <f>IFERROR(__xludf.DUMMYFUNCTION("""COMPUTED_VALUE"""),0.0)</f>
        <v>0</v>
      </c>
      <c r="AD1359">
        <f>IFERROR(__xludf.DUMMYFUNCTION("""COMPUTED_VALUE"""),0.0)</f>
        <v>0</v>
      </c>
      <c r="AE1359">
        <f>IFERROR(__xludf.DUMMYFUNCTION("""COMPUTED_VALUE"""),0.0)</f>
        <v>0</v>
      </c>
      <c r="AH1359" s="189">
        <f>IFERROR(__xludf.DUMMYFUNCTION("""COMPUTED_VALUE"""),43430.29014710648)</f>
        <v>43430.29015</v>
      </c>
    </row>
    <row r="1360">
      <c r="A1360" t="str">
        <f>IFERROR(__xludf.DUMMYFUNCTION("""COMPUTED_VALUE"""),"eponerine")</f>
        <v>eponerine</v>
      </c>
      <c r="C1360" t="str">
        <f>IFERROR(__xludf.DUMMYFUNCTION("""COMPUTED_VALUE"""),"NJ")</f>
        <v>NJ</v>
      </c>
      <c r="D1360" t="str">
        <f>IFERROR(__xludf.DUMMYFUNCTION("""COMPUTED_VALUE"""),"USA")</f>
        <v>USA</v>
      </c>
      <c r="E1360" s="188">
        <f>IFERROR(__xludf.DUMMYFUNCTION("""COMPUTED_VALUE"""),43392.0)</f>
        <v>43392</v>
      </c>
      <c r="F1360" s="188">
        <f>IFERROR(__xludf.DUMMYFUNCTION("""COMPUTED_VALUE"""),43409.0)</f>
        <v>43409</v>
      </c>
      <c r="H1360" s="4">
        <f>IFERROR(__xludf.DUMMYFUNCTION("""COMPUTED_VALUE"""),151791.0)</f>
        <v>151791</v>
      </c>
      <c r="I1360" t="str">
        <f>IFERROR(__xludf.DUMMYFUNCTION("""COMPUTED_VALUE"""),"11/18")</f>
        <v>11/18</v>
      </c>
      <c r="J1360" s="5">
        <f>IFERROR(__xludf.DUMMYFUNCTION("""COMPUTED_VALUE"""),43428.0)</f>
        <v>43428</v>
      </c>
      <c r="K1360">
        <f>IFERROR(__xludf.DUMMYFUNCTION("""COMPUTED_VALUE"""),17.0)</f>
        <v>17</v>
      </c>
      <c r="L1360">
        <f>IFERROR(__xludf.DUMMYFUNCTION("""COMPUTED_VALUE"""),19.0)</f>
        <v>19</v>
      </c>
      <c r="M1360">
        <f>IFERROR(__xludf.DUMMYFUNCTION("""COMPUTED_VALUE"""),36.0)</f>
        <v>36</v>
      </c>
      <c r="N1360" t="str">
        <f>IFERROR(__xludf.DUMMYFUNCTION("""COMPUTED_VALUE"""),"Model 3 MR")</f>
        <v>Model 3 MR</v>
      </c>
      <c r="O1360" t="str">
        <f>IFERROR(__xludf.DUMMYFUNCTION("""COMPUTED_VALUE"""),"Solid Black")</f>
        <v>Solid Black</v>
      </c>
      <c r="P1360" t="str">
        <f>IFERROR(__xludf.DUMMYFUNCTION("""COMPUTED_VALUE"""),"18 inch Aero")</f>
        <v>18 inch Aero</v>
      </c>
      <c r="Q1360" t="str">
        <f>IFERROR(__xludf.DUMMYFUNCTION("""COMPUTED_VALUE"""),"Black seats")</f>
        <v>Black seats</v>
      </c>
      <c r="R1360" t="str">
        <f>IFERROR(__xludf.DUMMYFUNCTION("""COMPUTED_VALUE"""),"None")</f>
        <v>None</v>
      </c>
      <c r="X1360" t="str">
        <f>IFERROR(__xludf.DUMMYFUNCTION("""COMPUTED_VALUE"""),"Very Good")</f>
        <v>Very Good</v>
      </c>
      <c r="Y1360" t="str">
        <f>IFERROR(__xludf.DUMMYFUNCTION("""COMPUTED_VALUE"""),"Very Good")</f>
        <v>Very Good</v>
      </c>
      <c r="Z1360" t="str">
        <f>IFERROR(__xludf.DUMMYFUNCTION("""COMPUTED_VALUE"""),"Very Good")</f>
        <v>Very Good</v>
      </c>
      <c r="AA1360" t="str">
        <f>IFERROR(__xludf.DUMMYFUNCTION("""COMPUTED_VALUE"""),"Very Good")</f>
        <v>Very Good</v>
      </c>
      <c r="AB1360" t="str">
        <f>IFERROR(__xludf.DUMMYFUNCTION("""COMPUTED_VALUE"""),"Good")</f>
        <v>Good</v>
      </c>
      <c r="AH1360" s="189">
        <f>IFERROR(__xludf.DUMMYFUNCTION("""COMPUTED_VALUE"""),43430.34099320602)</f>
        <v>43430.34099</v>
      </c>
    </row>
    <row r="1361">
      <c r="A1361" t="str">
        <f>IFERROR(__xludf.DUMMYFUNCTION("""COMPUTED_VALUE"""),"Wondermegs")</f>
        <v>Wondermegs</v>
      </c>
      <c r="B1361" t="str">
        <f>IFERROR(__xludf.DUMMYFUNCTION("""COMPUTED_VALUE"""),"Kirkland")</f>
        <v>Kirkland</v>
      </c>
      <c r="C1361" t="str">
        <f>IFERROR(__xludf.DUMMYFUNCTION("""COMPUTED_VALUE"""),"WA")</f>
        <v>WA</v>
      </c>
      <c r="D1361" t="str">
        <f>IFERROR(__xludf.DUMMYFUNCTION("""COMPUTED_VALUE"""),"USA")</f>
        <v>USA</v>
      </c>
      <c r="E1361" s="188">
        <f>IFERROR(__xludf.DUMMYFUNCTION("""COMPUTED_VALUE"""),43281.0)</f>
        <v>43281</v>
      </c>
      <c r="F1361" s="188">
        <f>IFERROR(__xludf.DUMMYFUNCTION("""COMPUTED_VALUE"""),43349.0)</f>
        <v>43349</v>
      </c>
      <c r="H1361">
        <f>IFERROR(__xludf.DUMMYFUNCTION("""COMPUTED_VALUE"""),87155.0)</f>
        <v>87155</v>
      </c>
      <c r="I1361" t="str">
        <f>IFERROR(__xludf.DUMMYFUNCTION("""COMPUTED_VALUE"""),"08/18")</f>
        <v>08/18</v>
      </c>
      <c r="J1361" s="5">
        <f>IFERROR(__xludf.DUMMYFUNCTION("""COMPUTED_VALUE"""),43388.0)</f>
        <v>43388</v>
      </c>
      <c r="K1361">
        <f>IFERROR(__xludf.DUMMYFUNCTION("""COMPUTED_VALUE"""),68.0)</f>
        <v>68</v>
      </c>
      <c r="L1361">
        <f>IFERROR(__xludf.DUMMYFUNCTION("""COMPUTED_VALUE"""),39.0)</f>
        <v>39</v>
      </c>
      <c r="M1361">
        <f>IFERROR(__xludf.DUMMYFUNCTION("""COMPUTED_VALUE"""),107.0)</f>
        <v>107</v>
      </c>
      <c r="N1361" t="str">
        <f>IFERROR(__xludf.DUMMYFUNCTION("""COMPUTED_VALUE"""),"Model 3 LR AWD")</f>
        <v>Model 3 LR AWD</v>
      </c>
      <c r="O1361" t="str">
        <f>IFERROR(__xludf.DUMMYFUNCTION("""COMPUTED_VALUE"""),"Midnight Silver Metallic")</f>
        <v>Midnight Silver Metallic</v>
      </c>
      <c r="P1361" t="str">
        <f>IFERROR(__xludf.DUMMYFUNCTION("""COMPUTED_VALUE"""),"18 inch Aero")</f>
        <v>18 inch Aero</v>
      </c>
      <c r="Q1361" t="str">
        <f>IFERROR(__xludf.DUMMYFUNCTION("""COMPUTED_VALUE"""),"Black seats")</f>
        <v>Black seats</v>
      </c>
      <c r="R1361" t="str">
        <f>IFERROR(__xludf.DUMMYFUNCTION("""COMPUTED_VALUE"""),"Enhanced Autopilot")</f>
        <v>Enhanced Autopilot</v>
      </c>
      <c r="X1361" t="str">
        <f>IFERROR(__xludf.DUMMYFUNCTION("""COMPUTED_VALUE"""),"Excellent")</f>
        <v>Excellent</v>
      </c>
      <c r="Y1361" t="str">
        <f>IFERROR(__xludf.DUMMYFUNCTION("""COMPUTED_VALUE"""),"Excellent")</f>
        <v>Excellent</v>
      </c>
      <c r="Z1361" t="str">
        <f>IFERROR(__xludf.DUMMYFUNCTION("""COMPUTED_VALUE"""),"Excellent")</f>
        <v>Excellent</v>
      </c>
      <c r="AA1361" t="str">
        <f>IFERROR(__xludf.DUMMYFUNCTION("""COMPUTED_VALUE"""),"Poor")</f>
        <v>Poor</v>
      </c>
      <c r="AB1361" t="str">
        <f>IFERROR(__xludf.DUMMYFUNCTION("""COMPUTED_VALUE"""),"Fair")</f>
        <v>Fair</v>
      </c>
      <c r="AC1361">
        <f>IFERROR(__xludf.DUMMYFUNCTION("""COMPUTED_VALUE"""),0.0)</f>
        <v>0</v>
      </c>
      <c r="AD1361">
        <f>IFERROR(__xludf.DUMMYFUNCTION("""COMPUTED_VALUE"""),0.0)</f>
        <v>0</v>
      </c>
      <c r="AE1361">
        <f>IFERROR(__xludf.DUMMYFUNCTION("""COMPUTED_VALUE"""),0.0)</f>
        <v>0</v>
      </c>
      <c r="AH1361" s="189">
        <f>IFERROR(__xludf.DUMMYFUNCTION("""COMPUTED_VALUE"""),43430.363866631946)</f>
        <v>43430.36387</v>
      </c>
    </row>
    <row r="1362">
      <c r="A1362" t="str">
        <f>IFERROR(__xludf.DUMMYFUNCTION("""COMPUTED_VALUE"""),"Pandalord626")</f>
        <v>Pandalord626</v>
      </c>
      <c r="B1362" t="str">
        <f>IFERROR(__xludf.DUMMYFUNCTION("""COMPUTED_VALUE"""),"Seattle")</f>
        <v>Seattle</v>
      </c>
      <c r="C1362" t="str">
        <f>IFERROR(__xludf.DUMMYFUNCTION("""COMPUTED_VALUE"""),"WA")</f>
        <v>WA</v>
      </c>
      <c r="D1362" t="str">
        <f>IFERROR(__xludf.DUMMYFUNCTION("""COMPUTED_VALUE"""),"USA")</f>
        <v>USA</v>
      </c>
      <c r="E1362" s="188">
        <f>IFERROR(__xludf.DUMMYFUNCTION("""COMPUTED_VALUE"""),43408.0)</f>
        <v>43408</v>
      </c>
      <c r="F1362" s="188">
        <f>IFERROR(__xludf.DUMMYFUNCTION("""COMPUTED_VALUE"""),43416.0)</f>
        <v>43416</v>
      </c>
      <c r="H1362">
        <f>IFERROR(__xludf.DUMMYFUNCTION("""COMPUTED_VALUE"""),149176.0)</f>
        <v>149176</v>
      </c>
      <c r="I1362" t="str">
        <f>IFERROR(__xludf.DUMMYFUNCTION("""COMPUTED_VALUE"""),"11/18")</f>
        <v>11/18</v>
      </c>
      <c r="J1362" s="5">
        <f>IFERROR(__xludf.DUMMYFUNCTION("""COMPUTED_VALUE"""),43424.0)</f>
        <v>43424</v>
      </c>
      <c r="K1362">
        <f>IFERROR(__xludf.DUMMYFUNCTION("""COMPUTED_VALUE"""),8.0)</f>
        <v>8</v>
      </c>
      <c r="L1362">
        <f>IFERROR(__xludf.DUMMYFUNCTION("""COMPUTED_VALUE"""),8.0)</f>
        <v>8</v>
      </c>
      <c r="M1362">
        <f>IFERROR(__xludf.DUMMYFUNCTION("""COMPUTED_VALUE"""),16.0)</f>
        <v>16</v>
      </c>
      <c r="N1362" t="str">
        <f>IFERROR(__xludf.DUMMYFUNCTION("""COMPUTED_VALUE"""),"Model 3 LR AWD")</f>
        <v>Model 3 LR AWD</v>
      </c>
      <c r="O1362" t="str">
        <f>IFERROR(__xludf.DUMMYFUNCTION("""COMPUTED_VALUE"""),"Solid Black")</f>
        <v>Solid Black</v>
      </c>
      <c r="P1362" t="str">
        <f>IFERROR(__xludf.DUMMYFUNCTION("""COMPUTED_VALUE"""),"19 inch Sport")</f>
        <v>19 inch Sport</v>
      </c>
      <c r="Q1362" t="str">
        <f>IFERROR(__xludf.DUMMYFUNCTION("""COMPUTED_VALUE"""),"Black seats")</f>
        <v>Black seats</v>
      </c>
      <c r="R1362" t="str">
        <f>IFERROR(__xludf.DUMMYFUNCTION("""COMPUTED_VALUE"""),"Enhanced Autopilot")</f>
        <v>Enhanced Autopilot</v>
      </c>
      <c r="X1362" t="str">
        <f>IFERROR(__xludf.DUMMYFUNCTION("""COMPUTED_VALUE"""),"Excellent")</f>
        <v>Excellent</v>
      </c>
      <c r="Y1362" t="str">
        <f>IFERROR(__xludf.DUMMYFUNCTION("""COMPUTED_VALUE"""),"Excellent")</f>
        <v>Excellent</v>
      </c>
      <c r="Z1362" t="str">
        <f>IFERROR(__xludf.DUMMYFUNCTION("""COMPUTED_VALUE"""),"Good")</f>
        <v>Good</v>
      </c>
      <c r="AA1362" t="str">
        <f>IFERROR(__xludf.DUMMYFUNCTION("""COMPUTED_VALUE"""),"Very Good")</f>
        <v>Very Good</v>
      </c>
      <c r="AB1362" t="str">
        <f>IFERROR(__xludf.DUMMYFUNCTION("""COMPUTED_VALUE"""),"Good")</f>
        <v>Good</v>
      </c>
      <c r="AC1362">
        <f>IFERROR(__xludf.DUMMYFUNCTION("""COMPUTED_VALUE"""),2.0)</f>
        <v>2</v>
      </c>
      <c r="AD1362">
        <f>IFERROR(__xludf.DUMMYFUNCTION("""COMPUTED_VALUE"""),1.0)</f>
        <v>1</v>
      </c>
      <c r="AG1362" t="str">
        <f>IFERROR(__xludf.DUMMYFUNCTION("""COMPUTED_VALUE"""),"original tesla direct scheduled 27th but called service center showing car arrived already and reschedule to 20th ")</f>
        <v>original tesla direct scheduled 27th but called service center showing car arrived already and reschedule to 20th </v>
      </c>
      <c r="AH1362" s="189">
        <f>IFERROR(__xludf.DUMMYFUNCTION("""COMPUTED_VALUE"""),43430.38095614583)</f>
        <v>43430.38096</v>
      </c>
    </row>
    <row r="1363">
      <c r="A1363" t="str">
        <f>IFERROR(__xludf.DUMMYFUNCTION("""COMPUTED_VALUE"""),"*Shrug*")</f>
        <v>*Shrug*</v>
      </c>
      <c r="B1363" t="str">
        <f>IFERROR(__xludf.DUMMYFUNCTION("""COMPUTED_VALUE"""),"Woodinville")</f>
        <v>Woodinville</v>
      </c>
      <c r="C1363" t="str">
        <f>IFERROR(__xludf.DUMMYFUNCTION("""COMPUTED_VALUE"""),"WA")</f>
        <v>WA</v>
      </c>
      <c r="D1363" t="str">
        <f>IFERROR(__xludf.DUMMYFUNCTION("""COMPUTED_VALUE"""),"USA")</f>
        <v>USA</v>
      </c>
      <c r="E1363" s="188">
        <f>IFERROR(__xludf.DUMMYFUNCTION("""COMPUTED_VALUE"""),43305.0)</f>
        <v>43305</v>
      </c>
      <c r="F1363" s="188">
        <f>IFERROR(__xludf.DUMMYFUNCTION("""COMPUTED_VALUE"""),43328.0)</f>
        <v>43328</v>
      </c>
      <c r="H1363">
        <f>IFERROR(__xludf.DUMMYFUNCTION("""COMPUTED_VALUE"""),64155.0)</f>
        <v>64155</v>
      </c>
      <c r="I1363" t="str">
        <f>IFERROR(__xludf.DUMMYFUNCTION("""COMPUTED_VALUE"""),"08/18")</f>
        <v>08/18</v>
      </c>
      <c r="J1363" s="5">
        <f>IFERROR(__xludf.DUMMYFUNCTION("""COMPUTED_VALUE"""),43339.0)</f>
        <v>43339</v>
      </c>
      <c r="K1363">
        <f>IFERROR(__xludf.DUMMYFUNCTION("""COMPUTED_VALUE"""),23.0)</f>
        <v>23</v>
      </c>
      <c r="L1363">
        <f>IFERROR(__xludf.DUMMYFUNCTION("""COMPUTED_VALUE"""),11.0)</f>
        <v>11</v>
      </c>
      <c r="M1363">
        <f>IFERROR(__xludf.DUMMYFUNCTION("""COMPUTED_VALUE"""),34.0)</f>
        <v>34</v>
      </c>
      <c r="N1363" t="str">
        <f>IFERROR(__xludf.DUMMYFUNCTION("""COMPUTED_VALUE"""),"Model 3 LR AWD")</f>
        <v>Model 3 LR AWD</v>
      </c>
      <c r="O1363" t="str">
        <f>IFERROR(__xludf.DUMMYFUNCTION("""COMPUTED_VALUE"""),"Red Multi-Coat")</f>
        <v>Red Multi-Coat</v>
      </c>
      <c r="P1363" t="str">
        <f>IFERROR(__xludf.DUMMYFUNCTION("""COMPUTED_VALUE"""),"18 inch Aero")</f>
        <v>18 inch Aero</v>
      </c>
      <c r="Q1363" t="str">
        <f>IFERROR(__xludf.DUMMYFUNCTION("""COMPUTED_VALUE"""),"Black seats")</f>
        <v>Black seats</v>
      </c>
      <c r="R1363" t="str">
        <f>IFERROR(__xludf.DUMMYFUNCTION("""COMPUTED_VALUE"""),"Enhanced Autopilot")</f>
        <v>Enhanced Autopilot</v>
      </c>
      <c r="X1363" t="str">
        <f>IFERROR(__xludf.DUMMYFUNCTION("""COMPUTED_VALUE"""),"Very Good")</f>
        <v>Very Good</v>
      </c>
      <c r="Y1363" t="str">
        <f>IFERROR(__xludf.DUMMYFUNCTION("""COMPUTED_VALUE"""),"Very Good")</f>
        <v>Very Good</v>
      </c>
      <c r="Z1363" t="str">
        <f>IFERROR(__xludf.DUMMYFUNCTION("""COMPUTED_VALUE"""),"Good")</f>
        <v>Good</v>
      </c>
      <c r="AA1363" t="str">
        <f>IFERROR(__xludf.DUMMYFUNCTION("""COMPUTED_VALUE"""),"Poor")</f>
        <v>Poor</v>
      </c>
      <c r="AB1363" t="str">
        <f>IFERROR(__xludf.DUMMYFUNCTION("""COMPUTED_VALUE"""),"Good")</f>
        <v>Good</v>
      </c>
      <c r="AC1363">
        <f>IFERROR(__xludf.DUMMYFUNCTION("""COMPUTED_VALUE"""),2.0)</f>
        <v>2</v>
      </c>
      <c r="AD1363">
        <f>IFERROR(__xludf.DUMMYFUNCTION("""COMPUTED_VALUE"""),1.0)</f>
        <v>1</v>
      </c>
      <c r="AE1363">
        <f>IFERROR(__xludf.DUMMYFUNCTION("""COMPUTED_VALUE"""),1.0)</f>
        <v>1</v>
      </c>
      <c r="AH1363" s="189">
        <f>IFERROR(__xludf.DUMMYFUNCTION("""COMPUTED_VALUE"""),43430.393841400466)</f>
        <v>43430.39384</v>
      </c>
    </row>
    <row r="1364">
      <c r="A1364" t="str">
        <f>IFERROR(__xludf.DUMMYFUNCTION("""COMPUTED_VALUE"""),"Walk2Fit")</f>
        <v>Walk2Fit</v>
      </c>
      <c r="B1364" t="str">
        <f>IFERROR(__xludf.DUMMYFUNCTION("""COMPUTED_VALUE"""),"Raleigh")</f>
        <v>Raleigh</v>
      </c>
      <c r="C1364" t="str">
        <f>IFERROR(__xludf.DUMMYFUNCTION("""COMPUTED_VALUE"""),"NC")</f>
        <v>NC</v>
      </c>
      <c r="D1364" t="str">
        <f>IFERROR(__xludf.DUMMYFUNCTION("""COMPUTED_VALUE"""),"USA")</f>
        <v>USA</v>
      </c>
      <c r="E1364" s="188">
        <f>IFERROR(__xludf.DUMMYFUNCTION("""COMPUTED_VALUE"""),43338.0)</f>
        <v>43338</v>
      </c>
      <c r="F1364" s="188">
        <f>IFERROR(__xludf.DUMMYFUNCTION("""COMPUTED_VALUE"""),43416.0)</f>
        <v>43416</v>
      </c>
      <c r="H1364">
        <f>IFERROR(__xludf.DUMMYFUNCTION("""COMPUTED_VALUE"""),115340.0)</f>
        <v>115340</v>
      </c>
      <c r="J1364" s="5">
        <f>IFERROR(__xludf.DUMMYFUNCTION("""COMPUTED_VALUE"""),43428.0)</f>
        <v>43428</v>
      </c>
      <c r="K1364">
        <f>IFERROR(__xludf.DUMMYFUNCTION("""COMPUTED_VALUE"""),78.0)</f>
        <v>78</v>
      </c>
      <c r="L1364">
        <f>IFERROR(__xludf.DUMMYFUNCTION("""COMPUTED_VALUE"""),12.0)</f>
        <v>12</v>
      </c>
      <c r="M1364">
        <f>IFERROR(__xludf.DUMMYFUNCTION("""COMPUTED_VALUE"""),90.0)</f>
        <v>90</v>
      </c>
      <c r="N1364" t="str">
        <f>IFERROR(__xludf.DUMMYFUNCTION("""COMPUTED_VALUE"""),"Model 3 LR AWD")</f>
        <v>Model 3 LR AWD</v>
      </c>
      <c r="O1364" t="str">
        <f>IFERROR(__xludf.DUMMYFUNCTION("""COMPUTED_VALUE"""),"Deep Blue Metallic")</f>
        <v>Deep Blue Metallic</v>
      </c>
      <c r="P1364" t="str">
        <f>IFERROR(__xludf.DUMMYFUNCTION("""COMPUTED_VALUE"""),"18 inch Aero")</f>
        <v>18 inch Aero</v>
      </c>
      <c r="Q1364" t="str">
        <f>IFERROR(__xludf.DUMMYFUNCTION("""COMPUTED_VALUE"""),"Black seats")</f>
        <v>Black seats</v>
      </c>
      <c r="R1364" t="str">
        <f>IFERROR(__xludf.DUMMYFUNCTION("""COMPUTED_VALUE"""),"Full Self-Driving")</f>
        <v>Full Self-Driving</v>
      </c>
      <c r="X1364" t="str">
        <f>IFERROR(__xludf.DUMMYFUNCTION("""COMPUTED_VALUE"""),"Excellent")</f>
        <v>Excellent</v>
      </c>
      <c r="Y1364" t="str">
        <f>IFERROR(__xludf.DUMMYFUNCTION("""COMPUTED_VALUE"""),"Excellent")</f>
        <v>Excellent</v>
      </c>
      <c r="Z1364" t="str">
        <f>IFERROR(__xludf.DUMMYFUNCTION("""COMPUTED_VALUE"""),"Excellent")</f>
        <v>Excellent</v>
      </c>
      <c r="AA1364" t="str">
        <f>IFERROR(__xludf.DUMMYFUNCTION("""COMPUTED_VALUE"""),"Excellent")</f>
        <v>Excellent</v>
      </c>
      <c r="AB1364" t="str">
        <f>IFERROR(__xludf.DUMMYFUNCTION("""COMPUTED_VALUE"""),"Very Good")</f>
        <v>Very Good</v>
      </c>
      <c r="AG1364" t="str">
        <f>IFERROR(__xludf.DUMMYFUNCTION("""COMPUTED_VALUE"""),"Edit Design button disappeared on 10/31/2018")</f>
        <v>Edit Design button disappeared on 10/31/2018</v>
      </c>
      <c r="AH1364" s="189">
        <f>IFERROR(__xludf.DUMMYFUNCTION("""COMPUTED_VALUE"""),43430.45149907407)</f>
        <v>43430.4515</v>
      </c>
    </row>
    <row r="1365">
      <c r="A1365" t="str">
        <f>IFERROR(__xludf.DUMMYFUNCTION("""COMPUTED_VALUE"""),"18aar")</f>
        <v>18aar</v>
      </c>
      <c r="C1365" t="str">
        <f>IFERROR(__xludf.DUMMYFUNCTION("""COMPUTED_VALUE"""),"MA")</f>
        <v>MA</v>
      </c>
      <c r="D1365" t="str">
        <f>IFERROR(__xludf.DUMMYFUNCTION("""COMPUTED_VALUE"""),"USA")</f>
        <v>USA</v>
      </c>
      <c r="E1365" s="188">
        <f>IFERROR(__xludf.DUMMYFUNCTION("""COMPUTED_VALUE"""),43292.0)</f>
        <v>43292</v>
      </c>
      <c r="F1365" s="188">
        <f>IFERROR(__xludf.DUMMYFUNCTION("""COMPUTED_VALUE"""),43416.0)</f>
        <v>43416</v>
      </c>
      <c r="J1365" s="5">
        <f>IFERROR(__xludf.DUMMYFUNCTION("""COMPUTED_VALUE"""),43420.0)</f>
        <v>43420</v>
      </c>
      <c r="K1365">
        <f>IFERROR(__xludf.DUMMYFUNCTION("""COMPUTED_VALUE"""),124.0)</f>
        <v>124</v>
      </c>
      <c r="L1365">
        <f>IFERROR(__xludf.DUMMYFUNCTION("""COMPUTED_VALUE"""),4.0)</f>
        <v>4</v>
      </c>
      <c r="M1365">
        <f>IFERROR(__xludf.DUMMYFUNCTION("""COMPUTED_VALUE"""),128.0)</f>
        <v>128</v>
      </c>
      <c r="N1365" t="str">
        <f>IFERROR(__xludf.DUMMYFUNCTION("""COMPUTED_VALUE"""),"Model 3 LR AWD")</f>
        <v>Model 3 LR AWD</v>
      </c>
      <c r="O1365" t="str">
        <f>IFERROR(__xludf.DUMMYFUNCTION("""COMPUTED_VALUE"""),"Deep Blue Metallic")</f>
        <v>Deep Blue Metallic</v>
      </c>
      <c r="P1365" t="str">
        <f>IFERROR(__xludf.DUMMYFUNCTION("""COMPUTED_VALUE"""),"18 inch Aero")</f>
        <v>18 inch Aero</v>
      </c>
      <c r="Q1365" t="str">
        <f>IFERROR(__xludf.DUMMYFUNCTION("""COMPUTED_VALUE"""),"Black seats")</f>
        <v>Black seats</v>
      </c>
      <c r="R1365" t="str">
        <f>IFERROR(__xludf.DUMMYFUNCTION("""COMPUTED_VALUE"""),"None")</f>
        <v>None</v>
      </c>
      <c r="X1365" t="str">
        <f>IFERROR(__xludf.DUMMYFUNCTION("""COMPUTED_VALUE"""),"Very Good")</f>
        <v>Very Good</v>
      </c>
      <c r="Y1365" t="str">
        <f>IFERROR(__xludf.DUMMYFUNCTION("""COMPUTED_VALUE"""),"Excellent")</f>
        <v>Excellent</v>
      </c>
      <c r="Z1365" t="str">
        <f>IFERROR(__xludf.DUMMYFUNCTION("""COMPUTED_VALUE"""),"Excellent")</f>
        <v>Excellent</v>
      </c>
      <c r="AA1365" t="str">
        <f>IFERROR(__xludf.DUMMYFUNCTION("""COMPUTED_VALUE"""),"Fair")</f>
        <v>Fair</v>
      </c>
      <c r="AB1365" t="str">
        <f>IFERROR(__xludf.DUMMYFUNCTION("""COMPUTED_VALUE"""),"Good")</f>
        <v>Good</v>
      </c>
      <c r="AC1365">
        <f>IFERROR(__xludf.DUMMYFUNCTION("""COMPUTED_VALUE"""),1.0)</f>
        <v>1</v>
      </c>
      <c r="AH1365" s="189">
        <f>IFERROR(__xludf.DUMMYFUNCTION("""COMPUTED_VALUE"""),43430.551378240736)</f>
        <v>43430.55138</v>
      </c>
    </row>
    <row r="1366">
      <c r="A1366" t="str">
        <f>IFERROR(__xludf.DUMMYFUNCTION("""COMPUTED_VALUE"""),"Beastpilot")</f>
        <v>Beastpilot</v>
      </c>
      <c r="B1366" t="str">
        <f>IFERROR(__xludf.DUMMYFUNCTION("""COMPUTED_VALUE"""),"Seattle")</f>
        <v>Seattle</v>
      </c>
      <c r="C1366" t="str">
        <f>IFERROR(__xludf.DUMMYFUNCTION("""COMPUTED_VALUE"""),"WA")</f>
        <v>WA</v>
      </c>
      <c r="D1366" t="str">
        <f>IFERROR(__xludf.DUMMYFUNCTION("""COMPUTED_VALUE"""),"USA")</f>
        <v>USA</v>
      </c>
      <c r="E1366" s="188">
        <f>IFERROR(__xludf.DUMMYFUNCTION("""COMPUTED_VALUE"""),43197.0)</f>
        <v>43197</v>
      </c>
      <c r="F1366" s="188">
        <f>IFERROR(__xludf.DUMMYFUNCTION("""COMPUTED_VALUE"""),43218.0)</f>
        <v>43218</v>
      </c>
      <c r="H1366">
        <f>IFERROR(__xludf.DUMMYFUNCTION("""COMPUTED_VALUE"""),16855.0)</f>
        <v>16855</v>
      </c>
      <c r="I1366" t="str">
        <f>IFERROR(__xludf.DUMMYFUNCTION("""COMPUTED_VALUE"""),"05/18")</f>
        <v>05/18</v>
      </c>
      <c r="J1366" s="5">
        <f>IFERROR(__xludf.DUMMYFUNCTION("""COMPUTED_VALUE"""),43224.0)</f>
        <v>43224</v>
      </c>
      <c r="K1366">
        <f>IFERROR(__xludf.DUMMYFUNCTION("""COMPUTED_VALUE"""),21.0)</f>
        <v>21</v>
      </c>
      <c r="L1366">
        <f>IFERROR(__xludf.DUMMYFUNCTION("""COMPUTED_VALUE"""),6.0)</f>
        <v>6</v>
      </c>
      <c r="M1366">
        <f>IFERROR(__xludf.DUMMYFUNCTION("""COMPUTED_VALUE"""),27.0)</f>
        <v>27</v>
      </c>
      <c r="N1366" t="str">
        <f>IFERROR(__xludf.DUMMYFUNCTION("""COMPUTED_VALUE"""),"Model 3 LR")</f>
        <v>Model 3 LR</v>
      </c>
      <c r="O1366" t="str">
        <f>IFERROR(__xludf.DUMMYFUNCTION("""COMPUTED_VALUE"""),"Red Multi-Coat")</f>
        <v>Red Multi-Coat</v>
      </c>
      <c r="P1366" t="str">
        <f>IFERROR(__xludf.DUMMYFUNCTION("""COMPUTED_VALUE"""),"18 inch Aero")</f>
        <v>18 inch Aero</v>
      </c>
      <c r="Q1366" t="str">
        <f>IFERROR(__xludf.DUMMYFUNCTION("""COMPUTED_VALUE"""),"Black seats")</f>
        <v>Black seats</v>
      </c>
      <c r="R1366" t="str">
        <f>IFERROR(__xludf.DUMMYFUNCTION("""COMPUTED_VALUE"""),"Enhanced Autopilot")</f>
        <v>Enhanced Autopilot</v>
      </c>
      <c r="X1366" t="str">
        <f>IFERROR(__xludf.DUMMYFUNCTION("""COMPUTED_VALUE"""),"Very Good")</f>
        <v>Very Good</v>
      </c>
      <c r="Y1366" t="str">
        <f>IFERROR(__xludf.DUMMYFUNCTION("""COMPUTED_VALUE"""),"Very Good")</f>
        <v>Very Good</v>
      </c>
      <c r="Z1366" t="str">
        <f>IFERROR(__xludf.DUMMYFUNCTION("""COMPUTED_VALUE"""),"Poor")</f>
        <v>Poor</v>
      </c>
      <c r="AA1366" t="str">
        <f>IFERROR(__xludf.DUMMYFUNCTION("""COMPUTED_VALUE"""),"Good")</f>
        <v>Good</v>
      </c>
      <c r="AB1366" t="str">
        <f>IFERROR(__xludf.DUMMYFUNCTION("""COMPUTED_VALUE"""),"Fair")</f>
        <v>Fair</v>
      </c>
      <c r="AC1366">
        <f>IFERROR(__xludf.DUMMYFUNCTION("""COMPUTED_VALUE"""),6.0)</f>
        <v>6</v>
      </c>
      <c r="AD1366">
        <f>IFERROR(__xludf.DUMMYFUNCTION("""COMPUTED_VALUE"""),1.0)</f>
        <v>1</v>
      </c>
      <c r="AE1366">
        <f>IFERROR(__xludf.DUMMYFUNCTION("""COMPUTED_VALUE"""),10.0)</f>
        <v>10</v>
      </c>
      <c r="AH1366" s="189">
        <f>IFERROR(__xludf.DUMMYFUNCTION("""COMPUTED_VALUE"""),43430.5939454051)</f>
        <v>43430.59395</v>
      </c>
    </row>
    <row r="1367">
      <c r="A1367" t="str">
        <f>IFERROR(__xludf.DUMMYFUNCTION("""COMPUTED_VALUE"""),"trisk")</f>
        <v>trisk</v>
      </c>
      <c r="B1367" t="str">
        <f>IFERROR(__xludf.DUMMYFUNCTION("""COMPUTED_VALUE"""),"Dedham")</f>
        <v>Dedham</v>
      </c>
      <c r="C1367" t="str">
        <f>IFERROR(__xludf.DUMMYFUNCTION("""COMPUTED_VALUE"""),"MA")</f>
        <v>MA</v>
      </c>
      <c r="D1367" t="str">
        <f>IFERROR(__xludf.DUMMYFUNCTION("""COMPUTED_VALUE"""),"USA")</f>
        <v>USA</v>
      </c>
      <c r="E1367" s="188">
        <f>IFERROR(__xludf.DUMMYFUNCTION("""COMPUTED_VALUE"""),43388.0)</f>
        <v>43388</v>
      </c>
      <c r="F1367" s="188">
        <f>IFERROR(__xludf.DUMMYFUNCTION("""COMPUTED_VALUE"""),43399.0)</f>
        <v>43399</v>
      </c>
      <c r="H1367">
        <f>IFERROR(__xludf.DUMMYFUNCTION("""COMPUTED_VALUE"""),108325.0)</f>
        <v>108325</v>
      </c>
      <c r="I1367" t="str">
        <f>IFERROR(__xludf.DUMMYFUNCTION("""COMPUTED_VALUE"""),"10/18")</f>
        <v>10/18</v>
      </c>
      <c r="J1367" s="5">
        <f>IFERROR(__xludf.DUMMYFUNCTION("""COMPUTED_VALUE"""),43430.0)</f>
        <v>43430</v>
      </c>
      <c r="K1367">
        <f>IFERROR(__xludf.DUMMYFUNCTION("""COMPUTED_VALUE"""),11.0)</f>
        <v>11</v>
      </c>
      <c r="L1367">
        <f>IFERROR(__xludf.DUMMYFUNCTION("""COMPUTED_VALUE"""),31.0)</f>
        <v>31</v>
      </c>
      <c r="M1367">
        <f>IFERROR(__xludf.DUMMYFUNCTION("""COMPUTED_VALUE"""),42.0)</f>
        <v>42</v>
      </c>
      <c r="N1367" t="str">
        <f>IFERROR(__xludf.DUMMYFUNCTION("""COMPUTED_VALUE"""),"Model 3 LR")</f>
        <v>Model 3 LR</v>
      </c>
      <c r="O1367" t="str">
        <f>IFERROR(__xludf.DUMMYFUNCTION("""COMPUTED_VALUE"""),"Solid Black")</f>
        <v>Solid Black</v>
      </c>
      <c r="P1367" t="str">
        <f>IFERROR(__xludf.DUMMYFUNCTION("""COMPUTED_VALUE"""),"18 inch Aero")</f>
        <v>18 inch Aero</v>
      </c>
      <c r="Q1367" t="str">
        <f>IFERROR(__xludf.DUMMYFUNCTION("""COMPUTED_VALUE"""),"Black seats")</f>
        <v>Black seats</v>
      </c>
      <c r="R1367" t="str">
        <f>IFERROR(__xludf.DUMMYFUNCTION("""COMPUTED_VALUE"""),"Enhanced Autopilot")</f>
        <v>Enhanced Autopilot</v>
      </c>
      <c r="X1367" t="str">
        <f>IFERROR(__xludf.DUMMYFUNCTION("""COMPUTED_VALUE"""),"Good")</f>
        <v>Good</v>
      </c>
      <c r="Y1367" t="str">
        <f>IFERROR(__xludf.DUMMYFUNCTION("""COMPUTED_VALUE"""),"Excellent")</f>
        <v>Excellent</v>
      </c>
      <c r="Z1367" t="str">
        <f>IFERROR(__xludf.DUMMYFUNCTION("""COMPUTED_VALUE"""),"Excellent")</f>
        <v>Excellent</v>
      </c>
      <c r="AA1367" t="str">
        <f>IFERROR(__xludf.DUMMYFUNCTION("""COMPUTED_VALUE"""),"Fair")</f>
        <v>Fair</v>
      </c>
      <c r="AB1367" t="str">
        <f>IFERROR(__xludf.DUMMYFUNCTION("""COMPUTED_VALUE"""),"Fair")</f>
        <v>Fair</v>
      </c>
      <c r="AH1367" s="189">
        <f>IFERROR(__xludf.DUMMYFUNCTION("""COMPUTED_VALUE"""),43430.89667475694)</f>
        <v>43430.89667</v>
      </c>
    </row>
    <row r="1368">
      <c r="A1368" t="str">
        <f>IFERROR(__xludf.DUMMYFUNCTION("""COMPUTED_VALUE"""),"Gooser")</f>
        <v>Gooser</v>
      </c>
      <c r="B1368" t="str">
        <f>IFERROR(__xludf.DUMMYFUNCTION("""COMPUTED_VALUE"""),"Flemington")</f>
        <v>Flemington</v>
      </c>
      <c r="C1368" t="str">
        <f>IFERROR(__xludf.DUMMYFUNCTION("""COMPUTED_VALUE"""),"NJ")</f>
        <v>NJ</v>
      </c>
      <c r="D1368" t="str">
        <f>IFERROR(__xludf.DUMMYFUNCTION("""COMPUTED_VALUE"""),"USA")</f>
        <v>USA</v>
      </c>
      <c r="E1368" s="188">
        <f>IFERROR(__xludf.DUMMYFUNCTION("""COMPUTED_VALUE"""),43391.0)</f>
        <v>43391</v>
      </c>
      <c r="F1368" s="188">
        <f>IFERROR(__xludf.DUMMYFUNCTION("""COMPUTED_VALUE"""),43423.0)</f>
        <v>43423</v>
      </c>
      <c r="H1368">
        <f>IFERROR(__xludf.DUMMYFUNCTION("""COMPUTED_VALUE"""),152855.0)</f>
        <v>152855</v>
      </c>
      <c r="I1368" t="str">
        <f>IFERROR(__xludf.DUMMYFUNCTION("""COMPUTED_VALUE"""),"11/18")</f>
        <v>11/18</v>
      </c>
      <c r="J1368" s="5">
        <f>IFERROR(__xludf.DUMMYFUNCTION("""COMPUTED_VALUE"""),43430.0)</f>
        <v>43430</v>
      </c>
      <c r="K1368">
        <f>IFERROR(__xludf.DUMMYFUNCTION("""COMPUTED_VALUE"""),32.0)</f>
        <v>32</v>
      </c>
      <c r="L1368">
        <f>IFERROR(__xludf.DUMMYFUNCTION("""COMPUTED_VALUE"""),7.0)</f>
        <v>7</v>
      </c>
      <c r="M1368">
        <f>IFERROR(__xludf.DUMMYFUNCTION("""COMPUTED_VALUE"""),39.0)</f>
        <v>39</v>
      </c>
      <c r="N1368" t="str">
        <f>IFERROR(__xludf.DUMMYFUNCTION("""COMPUTED_VALUE"""),"Model 3 MR")</f>
        <v>Model 3 MR</v>
      </c>
      <c r="O1368" t="str">
        <f>IFERROR(__xludf.DUMMYFUNCTION("""COMPUTED_VALUE"""),"Solid Black")</f>
        <v>Solid Black</v>
      </c>
      <c r="P1368" t="str">
        <f>IFERROR(__xludf.DUMMYFUNCTION("""COMPUTED_VALUE"""),"18 inch Aero")</f>
        <v>18 inch Aero</v>
      </c>
      <c r="Q1368" t="str">
        <f>IFERROR(__xludf.DUMMYFUNCTION("""COMPUTED_VALUE"""),"Black seats")</f>
        <v>Black seats</v>
      </c>
      <c r="R1368" t="str">
        <f>IFERROR(__xludf.DUMMYFUNCTION("""COMPUTED_VALUE"""),"None")</f>
        <v>None</v>
      </c>
      <c r="X1368" t="str">
        <f>IFERROR(__xludf.DUMMYFUNCTION("""COMPUTED_VALUE"""),"Excellent")</f>
        <v>Excellent</v>
      </c>
      <c r="Y1368" t="str">
        <f>IFERROR(__xludf.DUMMYFUNCTION("""COMPUTED_VALUE"""),"Excellent")</f>
        <v>Excellent</v>
      </c>
      <c r="Z1368" t="str">
        <f>IFERROR(__xludf.DUMMYFUNCTION("""COMPUTED_VALUE"""),"Excellent")</f>
        <v>Excellent</v>
      </c>
      <c r="AA1368" t="str">
        <f>IFERROR(__xludf.DUMMYFUNCTION("""COMPUTED_VALUE"""),"Poor")</f>
        <v>Poor</v>
      </c>
      <c r="AB1368" t="str">
        <f>IFERROR(__xludf.DUMMYFUNCTION("""COMPUTED_VALUE"""),"Fair")</f>
        <v>Fair</v>
      </c>
      <c r="AH1368" s="189">
        <f>IFERROR(__xludf.DUMMYFUNCTION("""COMPUTED_VALUE"""),43430.91548472222)</f>
        <v>43430.91548</v>
      </c>
    </row>
    <row r="1369">
      <c r="A1369" t="str">
        <f>IFERROR(__xludf.DUMMYFUNCTION("""COMPUTED_VALUE"""),"Stevek79")</f>
        <v>Stevek79</v>
      </c>
      <c r="B1369" t="str">
        <f>IFERROR(__xludf.DUMMYFUNCTION("""COMPUTED_VALUE"""),"Naperville ")</f>
        <v>Naperville </v>
      </c>
      <c r="C1369" t="str">
        <f>IFERROR(__xludf.DUMMYFUNCTION("""COMPUTED_VALUE"""),"IL")</f>
        <v>IL</v>
      </c>
      <c r="D1369" t="str">
        <f>IFERROR(__xludf.DUMMYFUNCTION("""COMPUTED_VALUE"""),"USA")</f>
        <v>USA</v>
      </c>
      <c r="E1369" s="188">
        <f>IFERROR(__xludf.DUMMYFUNCTION("""COMPUTED_VALUE"""),43279.0)</f>
        <v>43279</v>
      </c>
      <c r="F1369" s="188">
        <f>IFERROR(__xludf.DUMMYFUNCTION("""COMPUTED_VALUE"""),43395.0)</f>
        <v>43395</v>
      </c>
      <c r="H1369">
        <f>IFERROR(__xludf.DUMMYFUNCTION("""COMPUTED_VALUE"""),114455.0)</f>
        <v>114455</v>
      </c>
      <c r="I1369" t="str">
        <f>IFERROR(__xludf.DUMMYFUNCTION("""COMPUTED_VALUE"""),"10/18")</f>
        <v>10/18</v>
      </c>
      <c r="J1369" s="5">
        <f>IFERROR(__xludf.DUMMYFUNCTION("""COMPUTED_VALUE"""),43402.0)</f>
        <v>43402</v>
      </c>
      <c r="K1369">
        <f>IFERROR(__xludf.DUMMYFUNCTION("""COMPUTED_VALUE"""),116.0)</f>
        <v>116</v>
      </c>
      <c r="L1369">
        <f>IFERROR(__xludf.DUMMYFUNCTION("""COMPUTED_VALUE"""),7.0)</f>
        <v>7</v>
      </c>
      <c r="M1369">
        <f>IFERROR(__xludf.DUMMYFUNCTION("""COMPUTED_VALUE"""),123.0)</f>
        <v>123</v>
      </c>
      <c r="N1369" t="str">
        <f>IFERROR(__xludf.DUMMYFUNCTION("""COMPUTED_VALUE"""),"Model 3 LR AWD")</f>
        <v>Model 3 LR AWD</v>
      </c>
      <c r="O1369" t="str">
        <f>IFERROR(__xludf.DUMMYFUNCTION("""COMPUTED_VALUE"""),"Midnight Silver Metallic")</f>
        <v>Midnight Silver Metallic</v>
      </c>
      <c r="P1369" t="str">
        <f>IFERROR(__xludf.DUMMYFUNCTION("""COMPUTED_VALUE"""),"18 inch Aero")</f>
        <v>18 inch Aero</v>
      </c>
      <c r="Q1369" t="str">
        <f>IFERROR(__xludf.DUMMYFUNCTION("""COMPUTED_VALUE"""),"Black seats")</f>
        <v>Black seats</v>
      </c>
      <c r="R1369" t="str">
        <f>IFERROR(__xludf.DUMMYFUNCTION("""COMPUTED_VALUE"""),"None")</f>
        <v>None</v>
      </c>
      <c r="X1369" t="str">
        <f>IFERROR(__xludf.DUMMYFUNCTION("""COMPUTED_VALUE"""),"Excellent")</f>
        <v>Excellent</v>
      </c>
      <c r="Y1369" t="str">
        <f>IFERROR(__xludf.DUMMYFUNCTION("""COMPUTED_VALUE"""),"Excellent")</f>
        <v>Excellent</v>
      </c>
      <c r="Z1369" t="str">
        <f>IFERROR(__xludf.DUMMYFUNCTION("""COMPUTED_VALUE"""),"Excellent")</f>
        <v>Excellent</v>
      </c>
      <c r="AA1369" t="str">
        <f>IFERROR(__xludf.DUMMYFUNCTION("""COMPUTED_VALUE"""),"Good")</f>
        <v>Good</v>
      </c>
      <c r="AB1369" t="str">
        <f>IFERROR(__xludf.DUMMYFUNCTION("""COMPUTED_VALUE"""),"Fair")</f>
        <v>Fair</v>
      </c>
      <c r="AC1369">
        <f>IFERROR(__xludf.DUMMYFUNCTION("""COMPUTED_VALUE"""),0.0)</f>
        <v>0</v>
      </c>
      <c r="AD1369">
        <f>IFERROR(__xludf.DUMMYFUNCTION("""COMPUTED_VALUE"""),0.0)</f>
        <v>0</v>
      </c>
      <c r="AE1369">
        <f>IFERROR(__xludf.DUMMYFUNCTION("""COMPUTED_VALUE"""),0.0)</f>
        <v>0</v>
      </c>
      <c r="AH1369" s="189">
        <f>IFERROR(__xludf.DUMMYFUNCTION("""COMPUTED_VALUE"""),43431.20438420139)</f>
        <v>43431.20438</v>
      </c>
    </row>
    <row r="1370">
      <c r="A1370" t="str">
        <f>IFERROR(__xludf.DUMMYFUNCTION("""COMPUTED_VALUE"""),"Tenacious D")</f>
        <v>Tenacious D</v>
      </c>
      <c r="B1370" t="str">
        <f>IFERROR(__xludf.DUMMYFUNCTION("""COMPUTED_VALUE"""),"Chicago Suburbs")</f>
        <v>Chicago Suburbs</v>
      </c>
      <c r="C1370" t="str">
        <f>IFERROR(__xludf.DUMMYFUNCTION("""COMPUTED_VALUE"""),"IL")</f>
        <v>IL</v>
      </c>
      <c r="D1370" t="str">
        <f>IFERROR(__xludf.DUMMYFUNCTION("""COMPUTED_VALUE"""),"USA")</f>
        <v>USA</v>
      </c>
      <c r="E1370" s="188">
        <f>IFERROR(__xludf.DUMMYFUNCTION("""COMPUTED_VALUE"""),43396.0)</f>
        <v>43396</v>
      </c>
      <c r="F1370" s="188">
        <f>IFERROR(__xludf.DUMMYFUNCTION("""COMPUTED_VALUE"""),43406.0)</f>
        <v>43406</v>
      </c>
      <c r="H1370">
        <f>IFERROR(__xludf.DUMMYFUNCTION("""COMPUTED_VALUE"""),123855.0)</f>
        <v>123855</v>
      </c>
      <c r="J1370" s="5">
        <f>IFERROR(__xludf.DUMMYFUNCTION("""COMPUTED_VALUE"""),43431.0)</f>
        <v>43431</v>
      </c>
      <c r="K1370">
        <f>IFERROR(__xludf.DUMMYFUNCTION("""COMPUTED_VALUE"""),10.0)</f>
        <v>10</v>
      </c>
      <c r="L1370">
        <f>IFERROR(__xludf.DUMMYFUNCTION("""COMPUTED_VALUE"""),25.0)</f>
        <v>25</v>
      </c>
      <c r="M1370">
        <f>IFERROR(__xludf.DUMMYFUNCTION("""COMPUTED_VALUE"""),35.0)</f>
        <v>35</v>
      </c>
      <c r="N1370" t="str">
        <f>IFERROR(__xludf.DUMMYFUNCTION("""COMPUTED_VALUE"""),"Model 3 LR")</f>
        <v>Model 3 LR</v>
      </c>
      <c r="O1370" t="str">
        <f>IFERROR(__xludf.DUMMYFUNCTION("""COMPUTED_VALUE"""),"Midnight Silver Metallic")</f>
        <v>Midnight Silver Metallic</v>
      </c>
      <c r="P1370" t="str">
        <f>IFERROR(__xludf.DUMMYFUNCTION("""COMPUTED_VALUE"""),"18 inch Aero")</f>
        <v>18 inch Aero</v>
      </c>
      <c r="Q1370" t="str">
        <f>IFERROR(__xludf.DUMMYFUNCTION("""COMPUTED_VALUE"""),"Black seats")</f>
        <v>Black seats</v>
      </c>
      <c r="R1370" t="str">
        <f>IFERROR(__xludf.DUMMYFUNCTION("""COMPUTED_VALUE"""),"Enhanced Autopilot")</f>
        <v>Enhanced Autopilot</v>
      </c>
      <c r="X1370" t="str">
        <f>IFERROR(__xludf.DUMMYFUNCTION("""COMPUTED_VALUE"""),"Excellent")</f>
        <v>Excellent</v>
      </c>
      <c r="Y1370" t="str">
        <f>IFERROR(__xludf.DUMMYFUNCTION("""COMPUTED_VALUE"""),"Excellent")</f>
        <v>Excellent</v>
      </c>
      <c r="Z1370" t="str">
        <f>IFERROR(__xludf.DUMMYFUNCTION("""COMPUTED_VALUE"""),"Excellent")</f>
        <v>Excellent</v>
      </c>
      <c r="AA1370" t="str">
        <f>IFERROR(__xludf.DUMMYFUNCTION("""COMPUTED_VALUE"""),"Poor")</f>
        <v>Poor</v>
      </c>
      <c r="AB1370" t="str">
        <f>IFERROR(__xludf.DUMMYFUNCTION("""COMPUTED_VALUE"""),"Excellent")</f>
        <v>Excellent</v>
      </c>
      <c r="AG1370" t="str">
        <f>IFERROR(__xludf.DUMMYFUNCTION("""COMPUTED_VALUE"""),"Ordered MR RWD, upgraded to LR RWD")</f>
        <v>Ordered MR RWD, upgraded to LR RWD</v>
      </c>
      <c r="AH1370" s="189">
        <f>IFERROR(__xludf.DUMMYFUNCTION("""COMPUTED_VALUE"""),43431.314559606486)</f>
        <v>43431.31456</v>
      </c>
    </row>
    <row r="1371">
      <c r="A1371" t="str">
        <f>IFERROR(__xludf.DUMMYFUNCTION("""COMPUTED_VALUE"""),"Oct13-nov15")</f>
        <v>Oct13-nov15</v>
      </c>
      <c r="B1371">
        <f>IFERROR(__xludf.DUMMYFUNCTION("""COMPUTED_VALUE"""),27858.0)</f>
        <v>27858</v>
      </c>
      <c r="C1371" t="str">
        <f>IFERROR(__xludf.DUMMYFUNCTION("""COMPUTED_VALUE"""),"NC")</f>
        <v>NC</v>
      </c>
      <c r="D1371" t="str">
        <f>IFERROR(__xludf.DUMMYFUNCTION("""COMPUTED_VALUE"""),"USA")</f>
        <v>USA</v>
      </c>
      <c r="E1371" s="188">
        <f>IFERROR(__xludf.DUMMYFUNCTION("""COMPUTED_VALUE"""),43386.0)</f>
        <v>43386</v>
      </c>
      <c r="F1371" s="188">
        <f>IFERROR(__xludf.DUMMYFUNCTION("""COMPUTED_VALUE"""),43411.0)</f>
        <v>43411</v>
      </c>
      <c r="H1371">
        <f>IFERROR(__xludf.DUMMYFUNCTION("""COMPUTED_VALUE"""),122886.0)</f>
        <v>122886</v>
      </c>
      <c r="I1371" t="str">
        <f>IFERROR(__xludf.DUMMYFUNCTION("""COMPUTED_VALUE"""),"10/18")</f>
        <v>10/18</v>
      </c>
      <c r="J1371" s="5">
        <f>IFERROR(__xludf.DUMMYFUNCTION("""COMPUTED_VALUE"""),43423.0)</f>
        <v>43423</v>
      </c>
      <c r="K1371">
        <f>IFERROR(__xludf.DUMMYFUNCTION("""COMPUTED_VALUE"""),25.0)</f>
        <v>25</v>
      </c>
      <c r="L1371">
        <f>IFERROR(__xludf.DUMMYFUNCTION("""COMPUTED_VALUE"""),12.0)</f>
        <v>12</v>
      </c>
      <c r="M1371">
        <f>IFERROR(__xludf.DUMMYFUNCTION("""COMPUTED_VALUE"""),37.0)</f>
        <v>37</v>
      </c>
      <c r="N1371" t="str">
        <f>IFERROR(__xludf.DUMMYFUNCTION("""COMPUTED_VALUE"""),"Model 3 LR")</f>
        <v>Model 3 LR</v>
      </c>
      <c r="O1371" t="str">
        <f>IFERROR(__xludf.DUMMYFUNCTION("""COMPUTED_VALUE"""),"Solid Black")</f>
        <v>Solid Black</v>
      </c>
      <c r="P1371" t="str">
        <f>IFERROR(__xludf.DUMMYFUNCTION("""COMPUTED_VALUE"""),"18 inch Aero")</f>
        <v>18 inch Aero</v>
      </c>
      <c r="Q1371" t="str">
        <f>IFERROR(__xludf.DUMMYFUNCTION("""COMPUTED_VALUE"""),"Black seats")</f>
        <v>Black seats</v>
      </c>
      <c r="R1371" t="str">
        <f>IFERROR(__xludf.DUMMYFUNCTION("""COMPUTED_VALUE"""),"Enhanced Autopilot")</f>
        <v>Enhanced Autopilot</v>
      </c>
      <c r="X1371" t="str">
        <f>IFERROR(__xludf.DUMMYFUNCTION("""COMPUTED_VALUE"""),"Excellent")</f>
        <v>Excellent</v>
      </c>
      <c r="Y1371" t="str">
        <f>IFERROR(__xludf.DUMMYFUNCTION("""COMPUTED_VALUE"""),"Excellent")</f>
        <v>Excellent</v>
      </c>
      <c r="Z1371" t="str">
        <f>IFERROR(__xludf.DUMMYFUNCTION("""COMPUTED_VALUE"""),"Good")</f>
        <v>Good</v>
      </c>
      <c r="AA1371" t="str">
        <f>IFERROR(__xludf.DUMMYFUNCTION("""COMPUTED_VALUE"""),"Good")</f>
        <v>Good</v>
      </c>
      <c r="AB1371" t="str">
        <f>IFERROR(__xludf.DUMMYFUNCTION("""COMPUTED_VALUE"""),"Fair")</f>
        <v>Fair</v>
      </c>
      <c r="AC1371">
        <f>IFERROR(__xludf.DUMMYFUNCTION("""COMPUTED_VALUE"""),0.0)</f>
        <v>0</v>
      </c>
      <c r="AD1371">
        <f>IFERROR(__xludf.DUMMYFUNCTION("""COMPUTED_VALUE"""),0.0)</f>
        <v>0</v>
      </c>
      <c r="AE1371">
        <f>IFERROR(__xludf.DUMMYFUNCTION("""COMPUTED_VALUE"""),0.0)</f>
        <v>0</v>
      </c>
      <c r="AH1371" s="189">
        <f>IFERROR(__xludf.DUMMYFUNCTION("""COMPUTED_VALUE"""),43431.64263643519)</f>
        <v>43431.64264</v>
      </c>
    </row>
    <row r="1372">
      <c r="A1372" t="str">
        <f>IFERROR(__xludf.DUMMYFUNCTION("""COMPUTED_VALUE"""),"Ziggy2")</f>
        <v>Ziggy2</v>
      </c>
      <c r="B1372" t="str">
        <f>IFERROR(__xludf.DUMMYFUNCTION("""COMPUTED_VALUE"""),"Tega Cay")</f>
        <v>Tega Cay</v>
      </c>
      <c r="C1372" t="str">
        <f>IFERROR(__xludf.DUMMYFUNCTION("""COMPUTED_VALUE"""),"SC")</f>
        <v>SC</v>
      </c>
      <c r="D1372" t="str">
        <f>IFERROR(__xludf.DUMMYFUNCTION("""COMPUTED_VALUE"""),"USA")</f>
        <v>USA</v>
      </c>
      <c r="E1372" s="188">
        <f>IFERROR(__xludf.DUMMYFUNCTION("""COMPUTED_VALUE"""),43391.0)</f>
        <v>43391</v>
      </c>
      <c r="F1372" s="188">
        <f>IFERROR(__xludf.DUMMYFUNCTION("""COMPUTED_VALUE"""),43405.0)</f>
        <v>43405</v>
      </c>
      <c r="H1372">
        <f>IFERROR(__xludf.DUMMYFUNCTION("""COMPUTED_VALUE"""),151555.0)</f>
        <v>151555</v>
      </c>
      <c r="I1372" t="str">
        <f>IFERROR(__xludf.DUMMYFUNCTION("""COMPUTED_VALUE"""),"10/18")</f>
        <v>10/18</v>
      </c>
      <c r="J1372" s="5">
        <f>IFERROR(__xludf.DUMMYFUNCTION("""COMPUTED_VALUE"""),43419.0)</f>
        <v>43419</v>
      </c>
      <c r="K1372">
        <f>IFERROR(__xludf.DUMMYFUNCTION("""COMPUTED_VALUE"""),14.0)</f>
        <v>14</v>
      </c>
      <c r="L1372">
        <f>IFERROR(__xludf.DUMMYFUNCTION("""COMPUTED_VALUE"""),14.0)</f>
        <v>14</v>
      </c>
      <c r="M1372">
        <f>IFERROR(__xludf.DUMMYFUNCTION("""COMPUTED_VALUE"""),28.0)</f>
        <v>28</v>
      </c>
      <c r="N1372" t="str">
        <f>IFERROR(__xludf.DUMMYFUNCTION("""COMPUTED_VALUE"""),"Model 3 MR")</f>
        <v>Model 3 MR</v>
      </c>
      <c r="O1372" t="str">
        <f>IFERROR(__xludf.DUMMYFUNCTION("""COMPUTED_VALUE"""),"Pearl White Multi-Coat")</f>
        <v>Pearl White Multi-Coat</v>
      </c>
      <c r="P1372" t="str">
        <f>IFERROR(__xludf.DUMMYFUNCTION("""COMPUTED_VALUE"""),"19 inch Sport")</f>
        <v>19 inch Sport</v>
      </c>
      <c r="Q1372" t="str">
        <f>IFERROR(__xludf.DUMMYFUNCTION("""COMPUTED_VALUE"""),"Black seats")</f>
        <v>Black seats</v>
      </c>
      <c r="R1372" t="str">
        <f>IFERROR(__xludf.DUMMYFUNCTION("""COMPUTED_VALUE"""),"Enhanced Autopilot")</f>
        <v>Enhanced Autopilot</v>
      </c>
      <c r="X1372" t="str">
        <f>IFERROR(__xludf.DUMMYFUNCTION("""COMPUTED_VALUE"""),"Excellent")</f>
        <v>Excellent</v>
      </c>
      <c r="Y1372" t="str">
        <f>IFERROR(__xludf.DUMMYFUNCTION("""COMPUTED_VALUE"""),"Excellent")</f>
        <v>Excellent</v>
      </c>
      <c r="Z1372" t="str">
        <f>IFERROR(__xludf.DUMMYFUNCTION("""COMPUTED_VALUE"""),"Excellent")</f>
        <v>Excellent</v>
      </c>
      <c r="AA1372" t="str">
        <f>IFERROR(__xludf.DUMMYFUNCTION("""COMPUTED_VALUE"""),"Poor")</f>
        <v>Poor</v>
      </c>
      <c r="AB1372" t="str">
        <f>IFERROR(__xludf.DUMMYFUNCTION("""COMPUTED_VALUE"""),"Good")</f>
        <v>Good</v>
      </c>
      <c r="AC1372">
        <f>IFERROR(__xludf.DUMMYFUNCTION("""COMPUTED_VALUE"""),0.0)</f>
        <v>0</v>
      </c>
      <c r="AD1372">
        <f>IFERROR(__xludf.DUMMYFUNCTION("""COMPUTED_VALUE"""),0.0)</f>
        <v>0</v>
      </c>
      <c r="AE1372">
        <f>IFERROR(__xludf.DUMMYFUNCTION("""COMPUTED_VALUE"""),0.0)</f>
        <v>0</v>
      </c>
      <c r="AG1372" t="str">
        <f>IFERROR(__xludf.DUMMYFUNCTION("""COMPUTED_VALUE"""),"Website said 6-10 weeks.  Delivery was scheduled within 30 days of order.  Delivery appointment was made once and was exactly on time.  Took delivery in the rain, SC said they no longer deliver inside as too many people complained why others were inside, "&amp;"but theirs were not.")</f>
        <v>Website said 6-10 weeks.  Delivery was scheduled within 30 days of order.  Delivery appointment was made once and was exactly on time.  Took delivery in the rain, SC said they no longer deliver inside as too many people complained why others were inside, but theirs were not.</v>
      </c>
      <c r="AH1372" s="189">
        <f>IFERROR(__xludf.DUMMYFUNCTION("""COMPUTED_VALUE"""),43431.78127594908)</f>
        <v>43431.78128</v>
      </c>
    </row>
    <row r="1373">
      <c r="A1373" t="str">
        <f>IFERROR(__xludf.DUMMYFUNCTION("""COMPUTED_VALUE"""),"idnarbjm")</f>
        <v>idnarbjm</v>
      </c>
      <c r="B1373" t="str">
        <f>IFERROR(__xludf.DUMMYFUNCTION("""COMPUTED_VALUE"""),"Rockton")</f>
        <v>Rockton</v>
      </c>
      <c r="C1373" t="str">
        <f>IFERROR(__xludf.DUMMYFUNCTION("""COMPUTED_VALUE"""),"IL")</f>
        <v>IL</v>
      </c>
      <c r="D1373" t="str">
        <f>IFERROR(__xludf.DUMMYFUNCTION("""COMPUTED_VALUE"""),"USA")</f>
        <v>USA</v>
      </c>
      <c r="E1373" s="188">
        <f>IFERROR(__xludf.DUMMYFUNCTION("""COMPUTED_VALUE"""),43407.0)</f>
        <v>43407</v>
      </c>
      <c r="F1373" s="188">
        <f>IFERROR(__xludf.DUMMYFUNCTION("""COMPUTED_VALUE"""),43424.0)</f>
        <v>43424</v>
      </c>
      <c r="H1373">
        <f>IFERROR(__xludf.DUMMYFUNCTION("""COMPUTED_VALUE"""),20074.0)</f>
        <v>20074</v>
      </c>
      <c r="J1373" s="5">
        <f>IFERROR(__xludf.DUMMYFUNCTION("""COMPUTED_VALUE"""),43434.0)</f>
        <v>43434</v>
      </c>
      <c r="K1373">
        <f>IFERROR(__xludf.DUMMYFUNCTION("""COMPUTED_VALUE"""),17.0)</f>
        <v>17</v>
      </c>
      <c r="L1373">
        <f>IFERROR(__xludf.DUMMYFUNCTION("""COMPUTED_VALUE"""),10.0)</f>
        <v>10</v>
      </c>
      <c r="M1373">
        <f>IFERROR(__xludf.DUMMYFUNCTION("""COMPUTED_VALUE"""),27.0)</f>
        <v>27</v>
      </c>
      <c r="N1373" t="str">
        <f>IFERROR(__xludf.DUMMYFUNCTION("""COMPUTED_VALUE"""),"Model 3 LR AWD")</f>
        <v>Model 3 LR AWD</v>
      </c>
      <c r="O1373" t="str">
        <f>IFERROR(__xludf.DUMMYFUNCTION("""COMPUTED_VALUE"""),"Red Multi-Coat")</f>
        <v>Red Multi-Coat</v>
      </c>
      <c r="P1373" t="str">
        <f>IFERROR(__xludf.DUMMYFUNCTION("""COMPUTED_VALUE"""),"18 inch Aero")</f>
        <v>18 inch Aero</v>
      </c>
      <c r="Q1373" t="str">
        <f>IFERROR(__xludf.DUMMYFUNCTION("""COMPUTED_VALUE"""),"Black seats")</f>
        <v>Black seats</v>
      </c>
      <c r="R1373" t="str">
        <f>IFERROR(__xludf.DUMMYFUNCTION("""COMPUTED_VALUE"""),"Enhanced Autopilot")</f>
        <v>Enhanced Autopilot</v>
      </c>
      <c r="X1373" t="str">
        <f>IFERROR(__xludf.DUMMYFUNCTION("""COMPUTED_VALUE"""),"Excellent")</f>
        <v>Excellent</v>
      </c>
      <c r="Y1373" t="str">
        <f>IFERROR(__xludf.DUMMYFUNCTION("""COMPUTED_VALUE"""),"Excellent")</f>
        <v>Excellent</v>
      </c>
      <c r="Z1373" t="str">
        <f>IFERROR(__xludf.DUMMYFUNCTION("""COMPUTED_VALUE"""),"Excellent")</f>
        <v>Excellent</v>
      </c>
      <c r="AA1373" t="str">
        <f>IFERROR(__xludf.DUMMYFUNCTION("""COMPUTED_VALUE"""),"Poor")</f>
        <v>Poor</v>
      </c>
      <c r="AB1373" t="str">
        <f>IFERROR(__xludf.DUMMYFUNCTION("""COMPUTED_VALUE"""),"Good")</f>
        <v>Good</v>
      </c>
      <c r="AH1373" s="189">
        <f>IFERROR(__xludf.DUMMYFUNCTION("""COMPUTED_VALUE"""),43431.84526934028)</f>
        <v>43431.84527</v>
      </c>
    </row>
    <row r="1374">
      <c r="A1374" t="str">
        <f>IFERROR(__xludf.DUMMYFUNCTION("""COMPUTED_VALUE"""),"Stonehill")</f>
        <v>Stonehill</v>
      </c>
      <c r="D1374" t="str">
        <f>IFERROR(__xludf.DUMMYFUNCTION("""COMPUTED_VALUE"""),"USA")</f>
        <v>USA</v>
      </c>
      <c r="E1374" s="188">
        <f>IFERROR(__xludf.DUMMYFUNCTION("""COMPUTED_VALUE"""),43399.0)</f>
        <v>43399</v>
      </c>
      <c r="F1374" s="188">
        <f>IFERROR(__xludf.DUMMYFUNCTION("""COMPUTED_VALUE"""),43428.0)</f>
        <v>43428</v>
      </c>
      <c r="H1374" s="4">
        <f>IFERROR(__xludf.DUMMYFUNCTION("""COMPUTED_VALUE"""),80811.0)</f>
        <v>80811</v>
      </c>
      <c r="I1374" t="str">
        <f>IFERROR(__xludf.DUMMYFUNCTION("""COMPUTED_VALUE"""),"11/18")</f>
        <v>11/18</v>
      </c>
      <c r="J1374" s="5">
        <f>IFERROR(__xludf.DUMMYFUNCTION("""COMPUTED_VALUE"""),43431.0)</f>
        <v>43431</v>
      </c>
      <c r="K1374">
        <f>IFERROR(__xludf.DUMMYFUNCTION("""COMPUTED_VALUE"""),29.0)</f>
        <v>29</v>
      </c>
      <c r="L1374">
        <f>IFERROR(__xludf.DUMMYFUNCTION("""COMPUTED_VALUE"""),3.0)</f>
        <v>3</v>
      </c>
      <c r="M1374">
        <f>IFERROR(__xludf.DUMMYFUNCTION("""COMPUTED_VALUE"""),32.0)</f>
        <v>32</v>
      </c>
      <c r="N1374" t="str">
        <f>IFERROR(__xludf.DUMMYFUNCTION("""COMPUTED_VALUE"""),"Model 3 Performance")</f>
        <v>Model 3 Performance</v>
      </c>
      <c r="O1374" t="str">
        <f>IFERROR(__xludf.DUMMYFUNCTION("""COMPUTED_VALUE"""),"Deep Blue Metallic")</f>
        <v>Deep Blue Metallic</v>
      </c>
      <c r="P1374" t="str">
        <f>IFERROR(__xludf.DUMMYFUNCTION("""COMPUTED_VALUE"""),"20 inch Sport")</f>
        <v>20 inch Sport</v>
      </c>
      <c r="Q1374" t="str">
        <f>IFERROR(__xludf.DUMMYFUNCTION("""COMPUTED_VALUE"""),"White seats")</f>
        <v>White seats</v>
      </c>
      <c r="R1374" t="str">
        <f>IFERROR(__xludf.DUMMYFUNCTION("""COMPUTED_VALUE"""),"Enhanced Autopilot")</f>
        <v>Enhanced Autopilot</v>
      </c>
      <c r="X1374" t="str">
        <f>IFERROR(__xludf.DUMMYFUNCTION("""COMPUTED_VALUE"""),"Very Good")</f>
        <v>Very Good</v>
      </c>
      <c r="Y1374" t="str">
        <f>IFERROR(__xludf.DUMMYFUNCTION("""COMPUTED_VALUE"""),"Excellent")</f>
        <v>Excellent</v>
      </c>
      <c r="Z1374" t="str">
        <f>IFERROR(__xludf.DUMMYFUNCTION("""COMPUTED_VALUE"""),"Very Good")</f>
        <v>Very Good</v>
      </c>
      <c r="AA1374" t="str">
        <f>IFERROR(__xludf.DUMMYFUNCTION("""COMPUTED_VALUE"""),"Very Good")</f>
        <v>Very Good</v>
      </c>
      <c r="AB1374" t="str">
        <f>IFERROR(__xludf.DUMMYFUNCTION("""COMPUTED_VALUE"""),"Good")</f>
        <v>Good</v>
      </c>
      <c r="AC1374">
        <f>IFERROR(__xludf.DUMMYFUNCTION("""COMPUTED_VALUE"""),2.0)</f>
        <v>2</v>
      </c>
      <c r="AH1374" s="189">
        <f>IFERROR(__xludf.DUMMYFUNCTION("""COMPUTED_VALUE"""),43432.42551119213)</f>
        <v>43432.42551</v>
      </c>
    </row>
    <row r="1375">
      <c r="A1375" t="str">
        <f>IFERROR(__xludf.DUMMYFUNCTION("""COMPUTED_VALUE"""),"enigma8228")</f>
        <v>enigma8228</v>
      </c>
      <c r="B1375" t="str">
        <f>IFERROR(__xludf.DUMMYFUNCTION("""COMPUTED_VALUE"""),"Atlanta")</f>
        <v>Atlanta</v>
      </c>
      <c r="C1375" t="str">
        <f>IFERROR(__xludf.DUMMYFUNCTION("""COMPUTED_VALUE"""),"GA")</f>
        <v>GA</v>
      </c>
      <c r="D1375" t="str">
        <f>IFERROR(__xludf.DUMMYFUNCTION("""COMPUTED_VALUE"""),"USA")</f>
        <v>USA</v>
      </c>
      <c r="E1375" s="188">
        <f>IFERROR(__xludf.DUMMYFUNCTION("""COMPUTED_VALUE"""),43404.0)</f>
        <v>43404</v>
      </c>
      <c r="F1375" s="188">
        <f>IFERROR(__xludf.DUMMYFUNCTION("""COMPUTED_VALUE"""),43423.0)</f>
        <v>43423</v>
      </c>
      <c r="H1375">
        <f>IFERROR(__xludf.DUMMYFUNCTION("""COMPUTED_VALUE"""),148255.0)</f>
        <v>148255</v>
      </c>
      <c r="I1375" t="str">
        <f>IFERROR(__xludf.DUMMYFUNCTION("""COMPUTED_VALUE"""),"11/18")</f>
        <v>11/18</v>
      </c>
      <c r="J1375" s="5">
        <f>IFERROR(__xludf.DUMMYFUNCTION("""COMPUTED_VALUE"""),43433.0)</f>
        <v>43433</v>
      </c>
      <c r="K1375">
        <f>IFERROR(__xludf.DUMMYFUNCTION("""COMPUTED_VALUE"""),19.0)</f>
        <v>19</v>
      </c>
      <c r="L1375">
        <f>IFERROR(__xludf.DUMMYFUNCTION("""COMPUTED_VALUE"""),10.0)</f>
        <v>10</v>
      </c>
      <c r="M1375">
        <f>IFERROR(__xludf.DUMMYFUNCTION("""COMPUTED_VALUE"""),29.0)</f>
        <v>29</v>
      </c>
      <c r="N1375" t="str">
        <f>IFERROR(__xludf.DUMMYFUNCTION("""COMPUTED_VALUE"""),"Model 3 Performance")</f>
        <v>Model 3 Performance</v>
      </c>
      <c r="O1375" t="str">
        <f>IFERROR(__xludf.DUMMYFUNCTION("""COMPUTED_VALUE"""),"Solid Black")</f>
        <v>Solid Black</v>
      </c>
      <c r="P1375" t="str">
        <f>IFERROR(__xludf.DUMMYFUNCTION("""COMPUTED_VALUE"""),"20 inch Sport")</f>
        <v>20 inch Sport</v>
      </c>
      <c r="Q1375" t="str">
        <f>IFERROR(__xludf.DUMMYFUNCTION("""COMPUTED_VALUE"""),"Black seats")</f>
        <v>Black seats</v>
      </c>
      <c r="R1375" t="str">
        <f>IFERROR(__xludf.DUMMYFUNCTION("""COMPUTED_VALUE"""),"Enhanced Autopilot")</f>
        <v>Enhanced Autopilot</v>
      </c>
      <c r="X1375" t="str">
        <f>IFERROR(__xludf.DUMMYFUNCTION("""COMPUTED_VALUE"""),"Very Good")</f>
        <v>Very Good</v>
      </c>
      <c r="Z1375" t="str">
        <f>IFERROR(__xludf.DUMMYFUNCTION("""COMPUTED_VALUE"""),"Very Good")</f>
        <v>Very Good</v>
      </c>
      <c r="AA1375" t="str">
        <f>IFERROR(__xludf.DUMMYFUNCTION("""COMPUTED_VALUE"""),"Fair")</f>
        <v>Fair</v>
      </c>
      <c r="AB1375" t="str">
        <f>IFERROR(__xludf.DUMMYFUNCTION("""COMPUTED_VALUE"""),"Fair")</f>
        <v>Fair</v>
      </c>
      <c r="AC1375">
        <f>IFERROR(__xludf.DUMMYFUNCTION("""COMPUTED_VALUE"""),0.0)</f>
        <v>0</v>
      </c>
      <c r="AD1375">
        <f>IFERROR(__xludf.DUMMYFUNCTION("""COMPUTED_VALUE"""),0.0)</f>
        <v>0</v>
      </c>
      <c r="AE1375">
        <f>IFERROR(__xludf.DUMMYFUNCTION("""COMPUTED_VALUE"""),0.0)</f>
        <v>0</v>
      </c>
      <c r="AG1375" t="str">
        <f>IFERROR(__xludf.DUMMYFUNCTION("""COMPUTED_VALUE"""),"Canceled my 8/2/18 order and trying to reset this form for my new order that I placed 10/31 for a black P3D+ with black interior. No VIN yet. ")</f>
        <v>Canceled my 8/2/18 order and trying to reset this form for my new order that I placed 10/31 for a black P3D+ with black interior. No VIN yet. </v>
      </c>
      <c r="AH1375" s="189">
        <f>IFERROR(__xludf.DUMMYFUNCTION("""COMPUTED_VALUE"""),43432.80443556713)</f>
        <v>43432.80444</v>
      </c>
    </row>
    <row r="1376">
      <c r="A1376" t="str">
        <f>IFERROR(__xludf.DUMMYFUNCTION("""COMPUTED_VALUE"""),"wheresmomo")</f>
        <v>wheresmomo</v>
      </c>
      <c r="B1376" t="str">
        <f>IFERROR(__xludf.DUMMYFUNCTION("""COMPUTED_VALUE"""),"Redwood City")</f>
        <v>Redwood City</v>
      </c>
      <c r="C1376" t="str">
        <f>IFERROR(__xludf.DUMMYFUNCTION("""COMPUTED_VALUE"""),"CA")</f>
        <v>CA</v>
      </c>
      <c r="D1376" t="str">
        <f>IFERROR(__xludf.DUMMYFUNCTION("""COMPUTED_VALUE"""),"USA")</f>
        <v>USA</v>
      </c>
      <c r="E1376" s="188">
        <f>IFERROR(__xludf.DUMMYFUNCTION("""COMPUTED_VALUE"""),43424.0)</f>
        <v>43424</v>
      </c>
      <c r="F1376" s="188">
        <f>IFERROR(__xludf.DUMMYFUNCTION("""COMPUTED_VALUE"""),43430.0)</f>
        <v>43430</v>
      </c>
      <c r="H1376">
        <f>IFERROR(__xludf.DUMMYFUNCTION("""COMPUTED_VALUE"""),126555.0)</f>
        <v>126555</v>
      </c>
      <c r="I1376" t="str">
        <f>IFERROR(__xludf.DUMMYFUNCTION("""COMPUTED_VALUE"""),"11/18")</f>
        <v>11/18</v>
      </c>
      <c r="J1376" s="5">
        <f>IFERROR(__xludf.DUMMYFUNCTION("""COMPUTED_VALUE"""),43432.0)</f>
        <v>43432</v>
      </c>
      <c r="K1376">
        <f>IFERROR(__xludf.DUMMYFUNCTION("""COMPUTED_VALUE"""),6.0)</f>
        <v>6</v>
      </c>
      <c r="L1376">
        <f>IFERROR(__xludf.DUMMYFUNCTION("""COMPUTED_VALUE"""),2.0)</f>
        <v>2</v>
      </c>
      <c r="M1376">
        <f>IFERROR(__xludf.DUMMYFUNCTION("""COMPUTED_VALUE"""),8.0)</f>
        <v>8</v>
      </c>
      <c r="N1376" t="str">
        <f>IFERROR(__xludf.DUMMYFUNCTION("""COMPUTED_VALUE"""),"Model 3 LR")</f>
        <v>Model 3 LR</v>
      </c>
      <c r="O1376" t="str">
        <f>IFERROR(__xludf.DUMMYFUNCTION("""COMPUTED_VALUE"""),"Pearl White Multi-Coat")</f>
        <v>Pearl White Multi-Coat</v>
      </c>
      <c r="P1376" t="str">
        <f>IFERROR(__xludf.DUMMYFUNCTION("""COMPUTED_VALUE"""),"19 inch Sport")</f>
        <v>19 inch Sport</v>
      </c>
      <c r="Q1376" t="str">
        <f>IFERROR(__xludf.DUMMYFUNCTION("""COMPUTED_VALUE"""),"Black seats")</f>
        <v>Black seats</v>
      </c>
      <c r="R1376" t="str">
        <f>IFERROR(__xludf.DUMMYFUNCTION("""COMPUTED_VALUE"""),"Enhanced Autopilot")</f>
        <v>Enhanced Autopilot</v>
      </c>
      <c r="X1376" t="str">
        <f>IFERROR(__xludf.DUMMYFUNCTION("""COMPUTED_VALUE"""),"Excellent")</f>
        <v>Excellent</v>
      </c>
      <c r="Y1376" t="str">
        <f>IFERROR(__xludf.DUMMYFUNCTION("""COMPUTED_VALUE"""),"Very Good")</f>
        <v>Very Good</v>
      </c>
      <c r="Z1376" t="str">
        <f>IFERROR(__xludf.DUMMYFUNCTION("""COMPUTED_VALUE"""),"Excellent")</f>
        <v>Excellent</v>
      </c>
      <c r="AA1376" t="str">
        <f>IFERROR(__xludf.DUMMYFUNCTION("""COMPUTED_VALUE"""),"Fair")</f>
        <v>Fair</v>
      </c>
      <c r="AB1376" t="str">
        <f>IFERROR(__xludf.DUMMYFUNCTION("""COMPUTED_VALUE"""),"Good")</f>
        <v>Good</v>
      </c>
      <c r="AC1376">
        <f>IFERROR(__xludf.DUMMYFUNCTION("""COMPUTED_VALUE"""),1.0)</f>
        <v>1</v>
      </c>
      <c r="AG1376" t="str">
        <f>IFERROR(__xludf.DUMMYFUNCTION("""COMPUTED_VALUE"""),"Inventory vehicle that matched my specifications")</f>
        <v>Inventory vehicle that matched my specifications</v>
      </c>
      <c r="AH1376" s="189">
        <f>IFERROR(__xludf.DUMMYFUNCTION("""COMPUTED_VALUE"""),43432.906444305554)</f>
        <v>43432.90644</v>
      </c>
    </row>
    <row r="1377">
      <c r="A1377" t="str">
        <f>IFERROR(__xludf.DUMMYFUNCTION("""COMPUTED_VALUE"""),"JonM3")</f>
        <v>JonM3</v>
      </c>
      <c r="B1377" t="str">
        <f>IFERROR(__xludf.DUMMYFUNCTION("""COMPUTED_VALUE"""),"Indianapolis")</f>
        <v>Indianapolis</v>
      </c>
      <c r="C1377" t="str">
        <f>IFERROR(__xludf.DUMMYFUNCTION("""COMPUTED_VALUE"""),"IN")</f>
        <v>IN</v>
      </c>
      <c r="D1377" t="str">
        <f>IFERROR(__xludf.DUMMYFUNCTION("""COMPUTED_VALUE"""),"USA")</f>
        <v>USA</v>
      </c>
      <c r="E1377" s="188">
        <f>IFERROR(__xludf.DUMMYFUNCTION("""COMPUTED_VALUE"""),43404.0)</f>
        <v>43404</v>
      </c>
      <c r="F1377" s="188">
        <f>IFERROR(__xludf.DUMMYFUNCTION("""COMPUTED_VALUE"""),43411.0)</f>
        <v>43411</v>
      </c>
      <c r="H1377">
        <f>IFERROR(__xludf.DUMMYFUNCTION("""COMPUTED_VALUE"""),151855.0)</f>
        <v>151855</v>
      </c>
      <c r="I1377" t="str">
        <f>IFERROR(__xludf.DUMMYFUNCTION("""COMPUTED_VALUE"""),"11/18")</f>
        <v>11/18</v>
      </c>
      <c r="J1377" s="5">
        <f>IFERROR(__xludf.DUMMYFUNCTION("""COMPUTED_VALUE"""),43425.0)</f>
        <v>43425</v>
      </c>
      <c r="K1377">
        <f>IFERROR(__xludf.DUMMYFUNCTION("""COMPUTED_VALUE"""),7.0)</f>
        <v>7</v>
      </c>
      <c r="L1377">
        <f>IFERROR(__xludf.DUMMYFUNCTION("""COMPUTED_VALUE"""),14.0)</f>
        <v>14</v>
      </c>
      <c r="M1377">
        <f>IFERROR(__xludf.DUMMYFUNCTION("""COMPUTED_VALUE"""),21.0)</f>
        <v>21</v>
      </c>
      <c r="N1377" t="str">
        <f>IFERROR(__xludf.DUMMYFUNCTION("""COMPUTED_VALUE"""),"Model 3 MR")</f>
        <v>Model 3 MR</v>
      </c>
      <c r="O1377" t="str">
        <f>IFERROR(__xludf.DUMMYFUNCTION("""COMPUTED_VALUE"""),"Solid Black")</f>
        <v>Solid Black</v>
      </c>
      <c r="P1377" t="str">
        <f>IFERROR(__xludf.DUMMYFUNCTION("""COMPUTED_VALUE"""),"18 inch Aero")</f>
        <v>18 inch Aero</v>
      </c>
      <c r="Q1377" t="str">
        <f>IFERROR(__xludf.DUMMYFUNCTION("""COMPUTED_VALUE"""),"Black seats")</f>
        <v>Black seats</v>
      </c>
      <c r="R1377" t="str">
        <f>IFERROR(__xludf.DUMMYFUNCTION("""COMPUTED_VALUE"""),"Enhanced Autopilot")</f>
        <v>Enhanced Autopilot</v>
      </c>
      <c r="X1377" t="str">
        <f>IFERROR(__xludf.DUMMYFUNCTION("""COMPUTED_VALUE"""),"Very Good")</f>
        <v>Very Good</v>
      </c>
      <c r="Y1377" t="str">
        <f>IFERROR(__xludf.DUMMYFUNCTION("""COMPUTED_VALUE"""),"Excellent")</f>
        <v>Excellent</v>
      </c>
      <c r="Z1377" t="str">
        <f>IFERROR(__xludf.DUMMYFUNCTION("""COMPUTED_VALUE"""),"Very Good")</f>
        <v>Very Good</v>
      </c>
      <c r="AA1377" t="str">
        <f>IFERROR(__xludf.DUMMYFUNCTION("""COMPUTED_VALUE"""),"Good")</f>
        <v>Good</v>
      </c>
      <c r="AB1377" t="str">
        <f>IFERROR(__xludf.DUMMYFUNCTION("""COMPUTED_VALUE"""),"Very Good")</f>
        <v>Very Good</v>
      </c>
      <c r="AC1377">
        <f>IFERROR(__xludf.DUMMYFUNCTION("""COMPUTED_VALUE"""),0.0)</f>
        <v>0</v>
      </c>
      <c r="AD1377">
        <f>IFERROR(__xludf.DUMMYFUNCTION("""COMPUTED_VALUE"""),0.0)</f>
        <v>0</v>
      </c>
      <c r="AE1377">
        <f>IFERROR(__xludf.DUMMYFUNCTION("""COMPUTED_VALUE"""),0.0)</f>
        <v>0</v>
      </c>
      <c r="AH1377" s="189">
        <f>IFERROR(__xludf.DUMMYFUNCTION("""COMPUTED_VALUE"""),43433.26532733796)</f>
        <v>43433.26533</v>
      </c>
    </row>
    <row r="1378">
      <c r="A1378" t="str">
        <f>IFERROR(__xludf.DUMMYFUNCTION("""COMPUTED_VALUE"""),"Crouch ")</f>
        <v>Crouch </v>
      </c>
      <c r="C1378" t="str">
        <f>IFERROR(__xludf.DUMMYFUNCTION("""COMPUTED_VALUE"""),"NJ")</f>
        <v>NJ</v>
      </c>
      <c r="D1378" t="str">
        <f>IFERROR(__xludf.DUMMYFUNCTION("""COMPUTED_VALUE"""),"USA")</f>
        <v>USA</v>
      </c>
      <c r="E1378" s="188">
        <f>IFERROR(__xludf.DUMMYFUNCTION("""COMPUTED_VALUE"""),43281.0)</f>
        <v>43281</v>
      </c>
      <c r="H1378">
        <f>IFERROR(__xludf.DUMMYFUNCTION("""COMPUTED_VALUE"""),25755.0)</f>
        <v>25755</v>
      </c>
      <c r="I1378" t="str">
        <f>IFERROR(__xludf.DUMMYFUNCTION("""COMPUTED_VALUE"""),"06/18")</f>
        <v>06/18</v>
      </c>
      <c r="J1378" s="5">
        <f>IFERROR(__xludf.DUMMYFUNCTION("""COMPUTED_VALUE"""),43294.0)</f>
        <v>43294</v>
      </c>
      <c r="M1378">
        <f>IFERROR(__xludf.DUMMYFUNCTION("""COMPUTED_VALUE"""),13.0)</f>
        <v>13</v>
      </c>
      <c r="N1378" t="str">
        <f>IFERROR(__xludf.DUMMYFUNCTION("""COMPUTED_VALUE"""),"Model 3 LR")</f>
        <v>Model 3 LR</v>
      </c>
      <c r="O1378" t="str">
        <f>IFERROR(__xludf.DUMMYFUNCTION("""COMPUTED_VALUE"""),"Midnight Silver Metallic")</f>
        <v>Midnight Silver Metallic</v>
      </c>
      <c r="P1378" t="str">
        <f>IFERROR(__xludf.DUMMYFUNCTION("""COMPUTED_VALUE"""),"18 inch Aero")</f>
        <v>18 inch Aero</v>
      </c>
      <c r="Q1378" t="str">
        <f>IFERROR(__xludf.DUMMYFUNCTION("""COMPUTED_VALUE"""),"Black seats")</f>
        <v>Black seats</v>
      </c>
      <c r="R1378" t="str">
        <f>IFERROR(__xludf.DUMMYFUNCTION("""COMPUTED_VALUE"""),"None")</f>
        <v>None</v>
      </c>
      <c r="X1378" t="str">
        <f>IFERROR(__xludf.DUMMYFUNCTION("""COMPUTED_VALUE"""),"Excellent")</f>
        <v>Excellent</v>
      </c>
      <c r="Y1378" t="str">
        <f>IFERROR(__xludf.DUMMYFUNCTION("""COMPUTED_VALUE"""),"Very Good")</f>
        <v>Very Good</v>
      </c>
      <c r="Z1378" t="str">
        <f>IFERROR(__xludf.DUMMYFUNCTION("""COMPUTED_VALUE"""),"Excellent")</f>
        <v>Excellent</v>
      </c>
      <c r="AA1378" t="str">
        <f>IFERROR(__xludf.DUMMYFUNCTION("""COMPUTED_VALUE"""),"Good")</f>
        <v>Good</v>
      </c>
      <c r="AB1378" t="str">
        <f>IFERROR(__xludf.DUMMYFUNCTION("""COMPUTED_VALUE"""),"Good")</f>
        <v>Good</v>
      </c>
      <c r="AC1378">
        <f>IFERROR(__xludf.DUMMYFUNCTION("""COMPUTED_VALUE"""),2.0)</f>
        <v>2</v>
      </c>
      <c r="AD1378">
        <f>IFERROR(__xludf.DUMMYFUNCTION("""COMPUTED_VALUE"""),2.0)</f>
        <v>2</v>
      </c>
      <c r="AE1378">
        <f>IFERROR(__xludf.DUMMYFUNCTION("""COMPUTED_VALUE"""),0.0)</f>
        <v>0</v>
      </c>
      <c r="AH1378" s="189">
        <f>IFERROR(__xludf.DUMMYFUNCTION("""COMPUTED_VALUE"""),43433.424054131945)</f>
        <v>43433.42405</v>
      </c>
    </row>
    <row r="1379">
      <c r="A1379" t="str">
        <f>IFERROR(__xludf.DUMMYFUNCTION("""COMPUTED_VALUE"""),"jay312")</f>
        <v>jay312</v>
      </c>
      <c r="B1379" t="str">
        <f>IFERROR(__xludf.DUMMYFUNCTION("""COMPUTED_VALUE"""),"mid-michigan")</f>
        <v>mid-michigan</v>
      </c>
      <c r="C1379" t="str">
        <f>IFERROR(__xludf.DUMMYFUNCTION("""COMPUTED_VALUE"""),"MI")</f>
        <v>MI</v>
      </c>
      <c r="D1379" t="str">
        <f>IFERROR(__xludf.DUMMYFUNCTION("""COMPUTED_VALUE"""),"USA")</f>
        <v>USA</v>
      </c>
      <c r="E1379" s="188">
        <f>IFERROR(__xludf.DUMMYFUNCTION("""COMPUTED_VALUE"""),43279.0)</f>
        <v>43279</v>
      </c>
      <c r="F1379" s="188">
        <f>IFERROR(__xludf.DUMMYFUNCTION("""COMPUTED_VALUE"""),43391.0)</f>
        <v>43391</v>
      </c>
      <c r="H1379">
        <f>IFERROR(__xludf.DUMMYFUNCTION("""COMPUTED_VALUE"""),108455.0)</f>
        <v>108455</v>
      </c>
      <c r="J1379" s="5">
        <f>IFERROR(__xludf.DUMMYFUNCTION("""COMPUTED_VALUE"""),43414.0)</f>
        <v>43414</v>
      </c>
      <c r="K1379">
        <f>IFERROR(__xludf.DUMMYFUNCTION("""COMPUTED_VALUE"""),112.0)</f>
        <v>112</v>
      </c>
      <c r="L1379">
        <f>IFERROR(__xludf.DUMMYFUNCTION("""COMPUTED_VALUE"""),23.0)</f>
        <v>23</v>
      </c>
      <c r="M1379">
        <f>IFERROR(__xludf.DUMMYFUNCTION("""COMPUTED_VALUE"""),135.0)</f>
        <v>135</v>
      </c>
      <c r="N1379" t="str">
        <f>IFERROR(__xludf.DUMMYFUNCTION("""COMPUTED_VALUE"""),"Model 3 LR AWD")</f>
        <v>Model 3 LR AWD</v>
      </c>
      <c r="O1379" t="str">
        <f>IFERROR(__xludf.DUMMYFUNCTION("""COMPUTED_VALUE"""),"Pearl White Multi-Coat")</f>
        <v>Pearl White Multi-Coat</v>
      </c>
      <c r="P1379" t="str">
        <f>IFERROR(__xludf.DUMMYFUNCTION("""COMPUTED_VALUE"""),"18 inch Aero")</f>
        <v>18 inch Aero</v>
      </c>
      <c r="Q1379" t="str">
        <f>IFERROR(__xludf.DUMMYFUNCTION("""COMPUTED_VALUE"""),"Black seats")</f>
        <v>Black seats</v>
      </c>
      <c r="R1379" t="str">
        <f>IFERROR(__xludf.DUMMYFUNCTION("""COMPUTED_VALUE"""),"None")</f>
        <v>None</v>
      </c>
      <c r="X1379" t="str">
        <f>IFERROR(__xludf.DUMMYFUNCTION("""COMPUTED_VALUE"""),"Good")</f>
        <v>Good</v>
      </c>
      <c r="Y1379" t="str">
        <f>IFERROR(__xludf.DUMMYFUNCTION("""COMPUTED_VALUE"""),"Good")</f>
        <v>Good</v>
      </c>
      <c r="Z1379" t="str">
        <f>IFERROR(__xludf.DUMMYFUNCTION("""COMPUTED_VALUE"""),"Fair")</f>
        <v>Fair</v>
      </c>
      <c r="AA1379" t="str">
        <f>IFERROR(__xludf.DUMMYFUNCTION("""COMPUTED_VALUE"""),"Poor")</f>
        <v>Poor</v>
      </c>
      <c r="AB1379" t="str">
        <f>IFERROR(__xludf.DUMMYFUNCTION("""COMPUTED_VALUE"""),"Poor")</f>
        <v>Poor</v>
      </c>
      <c r="AC1379">
        <f>IFERROR(__xludf.DUMMYFUNCTION("""COMPUTED_VALUE"""),5.0)</f>
        <v>5</v>
      </c>
      <c r="AH1379" s="189">
        <f>IFERROR(__xludf.DUMMYFUNCTION("""COMPUTED_VALUE"""),43433.55103371528)</f>
        <v>43433.55103</v>
      </c>
    </row>
    <row r="1380">
      <c r="A1380" t="str">
        <f>IFERROR(__xludf.DUMMYFUNCTION("""COMPUTED_VALUE"""),"Pimentaco")</f>
        <v>Pimentaco</v>
      </c>
      <c r="B1380" t="str">
        <f>IFERROR(__xludf.DUMMYFUNCTION("""COMPUTED_VALUE"""),"Boston")</f>
        <v>Boston</v>
      </c>
      <c r="C1380" t="str">
        <f>IFERROR(__xludf.DUMMYFUNCTION("""COMPUTED_VALUE"""),"MA")</f>
        <v>MA</v>
      </c>
      <c r="D1380" t="str">
        <f>IFERROR(__xludf.DUMMYFUNCTION("""COMPUTED_VALUE"""),"USA")</f>
        <v>USA</v>
      </c>
      <c r="E1380" s="188">
        <f>IFERROR(__xludf.DUMMYFUNCTION("""COMPUTED_VALUE"""),43286.0)</f>
        <v>43286</v>
      </c>
      <c r="F1380" s="188">
        <f>IFERROR(__xludf.DUMMYFUNCTION("""COMPUTED_VALUE"""),43416.0)</f>
        <v>43416</v>
      </c>
      <c r="H1380">
        <f>IFERROR(__xludf.DUMMYFUNCTION("""COMPUTED_VALUE"""),105255.0)</f>
        <v>105255</v>
      </c>
      <c r="J1380" s="5">
        <f>IFERROR(__xludf.DUMMYFUNCTION("""COMPUTED_VALUE"""),43424.0)</f>
        <v>43424</v>
      </c>
      <c r="K1380">
        <f>IFERROR(__xludf.DUMMYFUNCTION("""COMPUTED_VALUE"""),130.0)</f>
        <v>130</v>
      </c>
      <c r="L1380">
        <f>IFERROR(__xludf.DUMMYFUNCTION("""COMPUTED_VALUE"""),8.0)</f>
        <v>8</v>
      </c>
      <c r="M1380">
        <f>IFERROR(__xludf.DUMMYFUNCTION("""COMPUTED_VALUE"""),138.0)</f>
        <v>138</v>
      </c>
      <c r="N1380" t="str">
        <f>IFERROR(__xludf.DUMMYFUNCTION("""COMPUTED_VALUE"""),"Model 3 LR AWD")</f>
        <v>Model 3 LR AWD</v>
      </c>
      <c r="O1380" t="str">
        <f>IFERROR(__xludf.DUMMYFUNCTION("""COMPUTED_VALUE"""),"Deep Blue Metallic")</f>
        <v>Deep Blue Metallic</v>
      </c>
      <c r="P1380" t="str">
        <f>IFERROR(__xludf.DUMMYFUNCTION("""COMPUTED_VALUE"""),"18 inch Aero")</f>
        <v>18 inch Aero</v>
      </c>
      <c r="Q1380" t="str">
        <f>IFERROR(__xludf.DUMMYFUNCTION("""COMPUTED_VALUE"""),"Black seats")</f>
        <v>Black seats</v>
      </c>
      <c r="R1380" t="str">
        <f>IFERROR(__xludf.DUMMYFUNCTION("""COMPUTED_VALUE"""),"Enhanced Autopilot")</f>
        <v>Enhanced Autopilot</v>
      </c>
      <c r="X1380" t="str">
        <f>IFERROR(__xludf.DUMMYFUNCTION("""COMPUTED_VALUE"""),"Good")</f>
        <v>Good</v>
      </c>
      <c r="Y1380" t="str">
        <f>IFERROR(__xludf.DUMMYFUNCTION("""COMPUTED_VALUE"""),"Very Good")</f>
        <v>Very Good</v>
      </c>
      <c r="Z1380" t="str">
        <f>IFERROR(__xludf.DUMMYFUNCTION("""COMPUTED_VALUE"""),"Very Good")</f>
        <v>Very Good</v>
      </c>
      <c r="AA1380" t="str">
        <f>IFERROR(__xludf.DUMMYFUNCTION("""COMPUTED_VALUE"""),"Very Good")</f>
        <v>Very Good</v>
      </c>
      <c r="AB1380" t="str">
        <f>IFERROR(__xludf.DUMMYFUNCTION("""COMPUTED_VALUE"""),"Good")</f>
        <v>Good</v>
      </c>
      <c r="AH1380" s="189">
        <f>IFERROR(__xludf.DUMMYFUNCTION("""COMPUTED_VALUE"""),43433.55475111111)</f>
        <v>43433.55475</v>
      </c>
    </row>
    <row r="1381">
      <c r="A1381" t="str">
        <f>IFERROR(__xludf.DUMMYFUNCTION("""COMPUTED_VALUE"""),"AlanSubie4Life")</f>
        <v>AlanSubie4Life</v>
      </c>
      <c r="B1381" t="str">
        <f>IFERROR(__xludf.DUMMYFUNCTION("""COMPUTED_VALUE"""),"San Diego")</f>
        <v>San Diego</v>
      </c>
      <c r="C1381" t="str">
        <f>IFERROR(__xludf.DUMMYFUNCTION("""COMPUTED_VALUE"""),"CA")</f>
        <v>CA</v>
      </c>
      <c r="D1381" t="str">
        <f>IFERROR(__xludf.DUMMYFUNCTION("""COMPUTED_VALUE"""),"USA")</f>
        <v>USA</v>
      </c>
      <c r="E1381" s="188">
        <f>IFERROR(__xludf.DUMMYFUNCTION("""COMPUTED_VALUE"""),43359.0)</f>
        <v>43359</v>
      </c>
      <c r="F1381" s="188">
        <f>IFERROR(__xludf.DUMMYFUNCTION("""COMPUTED_VALUE"""),43406.0)</f>
        <v>43406</v>
      </c>
      <c r="H1381">
        <f>IFERROR(__xludf.DUMMYFUNCTION("""COMPUTED_VALUE"""),81495.0)</f>
        <v>81495</v>
      </c>
      <c r="I1381" t="str">
        <f>IFERROR(__xludf.DUMMYFUNCTION("""COMPUTED_VALUE"""),"10/18")</f>
        <v>10/18</v>
      </c>
      <c r="J1381" s="5">
        <f>IFERROR(__xludf.DUMMYFUNCTION("""COMPUTED_VALUE"""),43414.0)</f>
        <v>43414</v>
      </c>
      <c r="K1381">
        <f>IFERROR(__xludf.DUMMYFUNCTION("""COMPUTED_VALUE"""),47.0)</f>
        <v>47</v>
      </c>
      <c r="L1381">
        <f>IFERROR(__xludf.DUMMYFUNCTION("""COMPUTED_VALUE"""),8.0)</f>
        <v>8</v>
      </c>
      <c r="M1381">
        <f>IFERROR(__xludf.DUMMYFUNCTION("""COMPUTED_VALUE"""),55.0)</f>
        <v>55</v>
      </c>
      <c r="N1381" t="str">
        <f>IFERROR(__xludf.DUMMYFUNCTION("""COMPUTED_VALUE"""),"Model 3 Performance")</f>
        <v>Model 3 Performance</v>
      </c>
      <c r="O1381" t="str">
        <f>IFERROR(__xludf.DUMMYFUNCTION("""COMPUTED_VALUE"""),"Pearl White Multi-Coat")</f>
        <v>Pearl White Multi-Coat</v>
      </c>
      <c r="P1381" t="str">
        <f>IFERROR(__xludf.DUMMYFUNCTION("""COMPUTED_VALUE"""),"20 inch Sport")</f>
        <v>20 inch Sport</v>
      </c>
      <c r="Q1381" t="str">
        <f>IFERROR(__xludf.DUMMYFUNCTION("""COMPUTED_VALUE"""),"White seats")</f>
        <v>White seats</v>
      </c>
      <c r="R1381" t="str">
        <f>IFERROR(__xludf.DUMMYFUNCTION("""COMPUTED_VALUE"""),"Enhanced Autopilot")</f>
        <v>Enhanced Autopilot</v>
      </c>
      <c r="X1381" t="str">
        <f>IFERROR(__xludf.DUMMYFUNCTION("""COMPUTED_VALUE"""),"Good")</f>
        <v>Good</v>
      </c>
      <c r="Y1381" t="str">
        <f>IFERROR(__xludf.DUMMYFUNCTION("""COMPUTED_VALUE"""),"Very Good")</f>
        <v>Very Good</v>
      </c>
      <c r="Z1381" t="str">
        <f>IFERROR(__xludf.DUMMYFUNCTION("""COMPUTED_VALUE"""),"Very Good")</f>
        <v>Very Good</v>
      </c>
      <c r="AA1381" t="str">
        <f>IFERROR(__xludf.DUMMYFUNCTION("""COMPUTED_VALUE"""),"Good")</f>
        <v>Good</v>
      </c>
      <c r="AB1381" t="str">
        <f>IFERROR(__xludf.DUMMYFUNCTION("""COMPUTED_VALUE"""),"Excellent")</f>
        <v>Excellent</v>
      </c>
      <c r="AC1381">
        <f>IFERROR(__xludf.DUMMYFUNCTION("""COMPUTED_VALUE"""),0.0)</f>
        <v>0</v>
      </c>
      <c r="AD1381">
        <f>IFERROR(__xludf.DUMMYFUNCTION("""COMPUTED_VALUE"""),0.0)</f>
        <v>0</v>
      </c>
      <c r="AE1381">
        <f>IFERROR(__xludf.DUMMYFUNCTION("""COMPUTED_VALUE"""),0.0)</f>
        <v>0</v>
      </c>
      <c r="AH1381" s="189">
        <f>IFERROR(__xludf.DUMMYFUNCTION("""COMPUTED_VALUE"""),43433.69875140046)</f>
        <v>43433.69875</v>
      </c>
    </row>
    <row r="1382">
      <c r="A1382" t="str">
        <f>IFERROR(__xludf.DUMMYFUNCTION("""COMPUTED_VALUE"""),"btflync")</f>
        <v>btflync</v>
      </c>
      <c r="B1382" t="str">
        <f>IFERROR(__xludf.DUMMYFUNCTION("""COMPUTED_VALUE"""),"Durham")</f>
        <v>Durham</v>
      </c>
      <c r="C1382" t="str">
        <f>IFERROR(__xludf.DUMMYFUNCTION("""COMPUTED_VALUE"""),"NC")</f>
        <v>NC</v>
      </c>
      <c r="D1382" t="str">
        <f>IFERROR(__xludf.DUMMYFUNCTION("""COMPUTED_VALUE"""),"USA")</f>
        <v>USA</v>
      </c>
      <c r="E1382" s="188">
        <f>IFERROR(__xludf.DUMMYFUNCTION("""COMPUTED_VALUE"""),43400.0)</f>
        <v>43400</v>
      </c>
      <c r="F1382" s="188">
        <f>IFERROR(__xludf.DUMMYFUNCTION("""COMPUTED_VALUE"""),43420.0)</f>
        <v>43420</v>
      </c>
      <c r="H1382">
        <f>IFERROR(__xludf.DUMMYFUNCTION("""COMPUTED_VALUE"""),119655.0)</f>
        <v>119655</v>
      </c>
      <c r="I1382" t="str">
        <f>IFERROR(__xludf.DUMMYFUNCTION("""COMPUTED_VALUE"""),"11/18")</f>
        <v>11/18</v>
      </c>
      <c r="J1382" s="5">
        <f>IFERROR(__xludf.DUMMYFUNCTION("""COMPUTED_VALUE"""),43433.0)</f>
        <v>43433</v>
      </c>
      <c r="K1382">
        <f>IFERROR(__xludf.DUMMYFUNCTION("""COMPUTED_VALUE"""),20.0)</f>
        <v>20</v>
      </c>
      <c r="L1382">
        <f>IFERROR(__xludf.DUMMYFUNCTION("""COMPUTED_VALUE"""),13.0)</f>
        <v>13</v>
      </c>
      <c r="M1382">
        <f>IFERROR(__xludf.DUMMYFUNCTION("""COMPUTED_VALUE"""),33.0)</f>
        <v>33</v>
      </c>
      <c r="N1382" t="str">
        <f>IFERROR(__xludf.DUMMYFUNCTION("""COMPUTED_VALUE"""),"Model 3 LR AWD")</f>
        <v>Model 3 LR AWD</v>
      </c>
      <c r="O1382" t="str">
        <f>IFERROR(__xludf.DUMMYFUNCTION("""COMPUTED_VALUE"""),"Midnight Silver Metallic")</f>
        <v>Midnight Silver Metallic</v>
      </c>
      <c r="P1382" t="str">
        <f>IFERROR(__xludf.DUMMYFUNCTION("""COMPUTED_VALUE"""),"18 inch Aero")</f>
        <v>18 inch Aero</v>
      </c>
      <c r="Q1382" t="str">
        <f>IFERROR(__xludf.DUMMYFUNCTION("""COMPUTED_VALUE"""),"Black seats")</f>
        <v>Black seats</v>
      </c>
      <c r="R1382" t="str">
        <f>IFERROR(__xludf.DUMMYFUNCTION("""COMPUTED_VALUE"""),"Enhanced Autopilot")</f>
        <v>Enhanced Autopilot</v>
      </c>
      <c r="X1382" t="str">
        <f>IFERROR(__xludf.DUMMYFUNCTION("""COMPUTED_VALUE"""),"Very Good")</f>
        <v>Very Good</v>
      </c>
      <c r="Y1382" t="str">
        <f>IFERROR(__xludf.DUMMYFUNCTION("""COMPUTED_VALUE"""),"Very Good")</f>
        <v>Very Good</v>
      </c>
      <c r="Z1382" t="str">
        <f>IFERROR(__xludf.DUMMYFUNCTION("""COMPUTED_VALUE"""),"Very Good")</f>
        <v>Very Good</v>
      </c>
      <c r="AA1382" t="str">
        <f>IFERROR(__xludf.DUMMYFUNCTION("""COMPUTED_VALUE"""),"Excellent")</f>
        <v>Excellent</v>
      </c>
      <c r="AB1382" t="str">
        <f>IFERROR(__xludf.DUMMYFUNCTION("""COMPUTED_VALUE"""),"Excellent")</f>
        <v>Excellent</v>
      </c>
      <c r="AH1382" s="189">
        <f>IFERROR(__xludf.DUMMYFUNCTION("""COMPUTED_VALUE"""),43433.78266672454)</f>
        <v>43433.78267</v>
      </c>
    </row>
    <row r="1383">
      <c r="A1383" t="str">
        <f>IFERROR(__xludf.DUMMYFUNCTION("""COMPUTED_VALUE"""),"rusane")</f>
        <v>rusane</v>
      </c>
      <c r="C1383" t="str">
        <f>IFERROR(__xludf.DUMMYFUNCTION("""COMPUTED_VALUE"""),"CT")</f>
        <v>CT</v>
      </c>
      <c r="D1383" t="str">
        <f>IFERROR(__xludf.DUMMYFUNCTION("""COMPUTED_VALUE"""),"USA")</f>
        <v>USA</v>
      </c>
      <c r="E1383" s="188">
        <f>IFERROR(__xludf.DUMMYFUNCTION("""COMPUTED_VALUE"""),43278.0)</f>
        <v>43278</v>
      </c>
      <c r="F1383" s="188">
        <f>IFERROR(__xludf.DUMMYFUNCTION("""COMPUTED_VALUE"""),43382.0)</f>
        <v>43382</v>
      </c>
      <c r="H1383">
        <f>IFERROR(__xludf.DUMMYFUNCTION("""COMPUTED_VALUE"""),93155.0)</f>
        <v>93155</v>
      </c>
      <c r="I1383" t="str">
        <f>IFERROR(__xludf.DUMMYFUNCTION("""COMPUTED_VALUE"""),"09/18")</f>
        <v>09/18</v>
      </c>
      <c r="J1383" s="5">
        <f>IFERROR(__xludf.DUMMYFUNCTION("""COMPUTED_VALUE"""),43399.0)</f>
        <v>43399</v>
      </c>
      <c r="K1383">
        <f>IFERROR(__xludf.DUMMYFUNCTION("""COMPUTED_VALUE"""),104.0)</f>
        <v>104</v>
      </c>
      <c r="L1383">
        <f>IFERROR(__xludf.DUMMYFUNCTION("""COMPUTED_VALUE"""),17.0)</f>
        <v>17</v>
      </c>
      <c r="M1383">
        <f>IFERROR(__xludf.DUMMYFUNCTION("""COMPUTED_VALUE"""),121.0)</f>
        <v>121</v>
      </c>
      <c r="N1383" t="str">
        <f>IFERROR(__xludf.DUMMYFUNCTION("""COMPUTED_VALUE"""),"Model 3 LR AWD")</f>
        <v>Model 3 LR AWD</v>
      </c>
      <c r="O1383" t="str">
        <f>IFERROR(__xludf.DUMMYFUNCTION("""COMPUTED_VALUE"""),"Midnight Silver Metallic")</f>
        <v>Midnight Silver Metallic</v>
      </c>
      <c r="P1383" t="str">
        <f>IFERROR(__xludf.DUMMYFUNCTION("""COMPUTED_VALUE"""),"18 inch Aero")</f>
        <v>18 inch Aero</v>
      </c>
      <c r="Q1383" t="str">
        <f>IFERROR(__xludf.DUMMYFUNCTION("""COMPUTED_VALUE"""),"Black seats")</f>
        <v>Black seats</v>
      </c>
      <c r="R1383" t="str">
        <f>IFERROR(__xludf.DUMMYFUNCTION("""COMPUTED_VALUE"""),"None")</f>
        <v>None</v>
      </c>
      <c r="X1383" t="str">
        <f>IFERROR(__xludf.DUMMYFUNCTION("""COMPUTED_VALUE"""),"Very Good")</f>
        <v>Very Good</v>
      </c>
      <c r="Y1383" t="str">
        <f>IFERROR(__xludf.DUMMYFUNCTION("""COMPUTED_VALUE"""),"Excellent")</f>
        <v>Excellent</v>
      </c>
      <c r="Z1383" t="str">
        <f>IFERROR(__xludf.DUMMYFUNCTION("""COMPUTED_VALUE"""),"Excellent")</f>
        <v>Excellent</v>
      </c>
      <c r="AA1383" t="str">
        <f>IFERROR(__xludf.DUMMYFUNCTION("""COMPUTED_VALUE"""),"Good")</f>
        <v>Good</v>
      </c>
      <c r="AB1383" t="str">
        <f>IFERROR(__xludf.DUMMYFUNCTION("""COMPUTED_VALUE"""),"Very Good")</f>
        <v>Very Good</v>
      </c>
      <c r="AC1383">
        <f>IFERROR(__xludf.DUMMYFUNCTION("""COMPUTED_VALUE"""),2.0)</f>
        <v>2</v>
      </c>
      <c r="AD1383">
        <f>IFERROR(__xludf.DUMMYFUNCTION("""COMPUTED_VALUE"""),1.0)</f>
        <v>1</v>
      </c>
      <c r="AE1383">
        <f>IFERROR(__xludf.DUMMYFUNCTION("""COMPUTED_VALUE"""),0.0)</f>
        <v>0</v>
      </c>
      <c r="AG1383" t="str">
        <f>IFERROR(__xludf.DUMMYFUNCTION("""COMPUTED_VALUE"""),"Only found out about VIN by calling. Needed service for turnsignal stalk that wouldn’t distinguish between full signal and lame change, and squeaking phone tray. Mobile service corrected both inside of an hour.")</f>
        <v>Only found out about VIN by calling. Needed service for turnsignal stalk that wouldn’t distinguish between full signal and lame change, and squeaking phone tray. Mobile service corrected both inside of an hour.</v>
      </c>
      <c r="AH1383" s="189">
        <f>IFERROR(__xludf.DUMMYFUNCTION("""COMPUTED_VALUE"""),43433.811987905094)</f>
        <v>43433.81199</v>
      </c>
    </row>
    <row r="1384">
      <c r="A1384" t="str">
        <f>IFERROR(__xludf.DUMMYFUNCTION("""COMPUTED_VALUE"""),"HunkyFunky")</f>
        <v>HunkyFunky</v>
      </c>
      <c r="B1384" t="str">
        <f>IFERROR(__xludf.DUMMYFUNCTION("""COMPUTED_VALUE"""),"Northern Virginia")</f>
        <v>Northern Virginia</v>
      </c>
      <c r="C1384" t="str">
        <f>IFERROR(__xludf.DUMMYFUNCTION("""COMPUTED_VALUE"""),"VA")</f>
        <v>VA</v>
      </c>
      <c r="D1384" t="str">
        <f>IFERROR(__xludf.DUMMYFUNCTION("""COMPUTED_VALUE"""),"USA")</f>
        <v>USA</v>
      </c>
      <c r="E1384" s="188">
        <f>IFERROR(__xludf.DUMMYFUNCTION("""COMPUTED_VALUE"""),43391.0)</f>
        <v>43391</v>
      </c>
      <c r="F1384" s="188">
        <f>IFERROR(__xludf.DUMMYFUNCTION("""COMPUTED_VALUE"""),43422.0)</f>
        <v>43422</v>
      </c>
      <c r="H1384">
        <f>IFERROR(__xludf.DUMMYFUNCTION("""COMPUTED_VALUE"""),153105.0)</f>
        <v>153105</v>
      </c>
      <c r="I1384" t="str">
        <f>IFERROR(__xludf.DUMMYFUNCTION("""COMPUTED_VALUE"""),"10/18")</f>
        <v>10/18</v>
      </c>
      <c r="J1384" s="5">
        <f>IFERROR(__xludf.DUMMYFUNCTION("""COMPUTED_VALUE"""),43430.0)</f>
        <v>43430</v>
      </c>
      <c r="K1384">
        <f>IFERROR(__xludf.DUMMYFUNCTION("""COMPUTED_VALUE"""),31.0)</f>
        <v>31</v>
      </c>
      <c r="L1384">
        <f>IFERROR(__xludf.DUMMYFUNCTION("""COMPUTED_VALUE"""),8.0)</f>
        <v>8</v>
      </c>
      <c r="M1384">
        <f>IFERROR(__xludf.DUMMYFUNCTION("""COMPUTED_VALUE"""),39.0)</f>
        <v>39</v>
      </c>
      <c r="N1384" t="str">
        <f>IFERROR(__xludf.DUMMYFUNCTION("""COMPUTED_VALUE"""),"Model 3 MR")</f>
        <v>Model 3 MR</v>
      </c>
      <c r="O1384" t="str">
        <f>IFERROR(__xludf.DUMMYFUNCTION("""COMPUTED_VALUE"""),"Pearl White Multi-Coat")</f>
        <v>Pearl White Multi-Coat</v>
      </c>
      <c r="P1384" t="str">
        <f>IFERROR(__xludf.DUMMYFUNCTION("""COMPUTED_VALUE"""),"18 inch Aero")</f>
        <v>18 inch Aero</v>
      </c>
      <c r="Q1384" t="str">
        <f>IFERROR(__xludf.DUMMYFUNCTION("""COMPUTED_VALUE"""),"Black seats")</f>
        <v>Black seats</v>
      </c>
      <c r="R1384" t="str">
        <f>IFERROR(__xludf.DUMMYFUNCTION("""COMPUTED_VALUE"""),"Enhanced Autopilot")</f>
        <v>Enhanced Autopilot</v>
      </c>
      <c r="X1384" t="str">
        <f>IFERROR(__xludf.DUMMYFUNCTION("""COMPUTED_VALUE"""),"Good")</f>
        <v>Good</v>
      </c>
      <c r="Y1384" t="str">
        <f>IFERROR(__xludf.DUMMYFUNCTION("""COMPUTED_VALUE"""),"Good")</f>
        <v>Good</v>
      </c>
      <c r="Z1384" t="str">
        <f>IFERROR(__xludf.DUMMYFUNCTION("""COMPUTED_VALUE"""),"Good")</f>
        <v>Good</v>
      </c>
      <c r="AA1384" t="str">
        <f>IFERROR(__xludf.DUMMYFUNCTION("""COMPUTED_VALUE"""),"Very Good")</f>
        <v>Very Good</v>
      </c>
      <c r="AB1384" t="str">
        <f>IFERROR(__xludf.DUMMYFUNCTION("""COMPUTED_VALUE"""),"Fair")</f>
        <v>Fair</v>
      </c>
      <c r="AH1384" s="189">
        <f>IFERROR(__xludf.DUMMYFUNCTION("""COMPUTED_VALUE"""),43434.19094392361)</f>
        <v>43434.19094</v>
      </c>
    </row>
    <row r="1385">
      <c r="A1385" t="str">
        <f>IFERROR(__xludf.DUMMYFUNCTION("""COMPUTED_VALUE"""),"KalaGulab")</f>
        <v>KalaGulab</v>
      </c>
      <c r="B1385" t="str">
        <f>IFERROR(__xludf.DUMMYFUNCTION("""COMPUTED_VALUE"""),"Chicagoland")</f>
        <v>Chicagoland</v>
      </c>
      <c r="C1385" t="str">
        <f>IFERROR(__xludf.DUMMYFUNCTION("""COMPUTED_VALUE"""),"IL")</f>
        <v>IL</v>
      </c>
      <c r="D1385" t="str">
        <f>IFERROR(__xludf.DUMMYFUNCTION("""COMPUTED_VALUE"""),"USA")</f>
        <v>USA</v>
      </c>
      <c r="E1385" s="188">
        <f>IFERROR(__xludf.DUMMYFUNCTION("""COMPUTED_VALUE"""),43369.0)</f>
        <v>43369</v>
      </c>
      <c r="F1385" s="188">
        <f>IFERROR(__xludf.DUMMYFUNCTION("""COMPUTED_VALUE"""),43388.0)</f>
        <v>43388</v>
      </c>
      <c r="H1385">
        <f>IFERROR(__xludf.DUMMYFUNCTION("""COMPUTED_VALUE"""),69975.0)</f>
        <v>69975</v>
      </c>
      <c r="I1385" t="str">
        <f>IFERROR(__xludf.DUMMYFUNCTION("""COMPUTED_VALUE"""),"10/18")</f>
        <v>10/18</v>
      </c>
      <c r="J1385" s="5">
        <f>IFERROR(__xludf.DUMMYFUNCTION("""COMPUTED_VALUE"""),43396.0)</f>
        <v>43396</v>
      </c>
      <c r="K1385">
        <f>IFERROR(__xludf.DUMMYFUNCTION("""COMPUTED_VALUE"""),19.0)</f>
        <v>19</v>
      </c>
      <c r="L1385">
        <f>IFERROR(__xludf.DUMMYFUNCTION("""COMPUTED_VALUE"""),8.0)</f>
        <v>8</v>
      </c>
      <c r="M1385">
        <f>IFERROR(__xludf.DUMMYFUNCTION("""COMPUTED_VALUE"""),27.0)</f>
        <v>27</v>
      </c>
      <c r="N1385" t="str">
        <f>IFERROR(__xludf.DUMMYFUNCTION("""COMPUTED_VALUE"""),"Model 3 LR")</f>
        <v>Model 3 LR</v>
      </c>
      <c r="O1385" t="str">
        <f>IFERROR(__xludf.DUMMYFUNCTION("""COMPUTED_VALUE"""),"Pearl White Multi-Coat")</f>
        <v>Pearl White Multi-Coat</v>
      </c>
      <c r="P1385" t="str">
        <f>IFERROR(__xludf.DUMMYFUNCTION("""COMPUTED_VALUE"""),"18 inch Aero")</f>
        <v>18 inch Aero</v>
      </c>
      <c r="Q1385" t="str">
        <f>IFERROR(__xludf.DUMMYFUNCTION("""COMPUTED_VALUE"""),"Black seats")</f>
        <v>Black seats</v>
      </c>
      <c r="R1385" t="str">
        <f>IFERROR(__xludf.DUMMYFUNCTION("""COMPUTED_VALUE"""),"Enhanced Autopilot")</f>
        <v>Enhanced Autopilot</v>
      </c>
      <c r="X1385" t="str">
        <f>IFERROR(__xludf.DUMMYFUNCTION("""COMPUTED_VALUE"""),"Excellent")</f>
        <v>Excellent</v>
      </c>
      <c r="Y1385" t="str">
        <f>IFERROR(__xludf.DUMMYFUNCTION("""COMPUTED_VALUE"""),"Excellent")</f>
        <v>Excellent</v>
      </c>
      <c r="Z1385" t="str">
        <f>IFERROR(__xludf.DUMMYFUNCTION("""COMPUTED_VALUE"""),"Excellent")</f>
        <v>Excellent</v>
      </c>
      <c r="AA1385" t="str">
        <f>IFERROR(__xludf.DUMMYFUNCTION("""COMPUTED_VALUE"""),"Good")</f>
        <v>Good</v>
      </c>
      <c r="AB1385" t="str">
        <f>IFERROR(__xludf.DUMMYFUNCTION("""COMPUTED_VALUE"""),"Excellent")</f>
        <v>Excellent</v>
      </c>
      <c r="AC1385">
        <f>IFERROR(__xludf.DUMMYFUNCTION("""COMPUTED_VALUE"""),0.0)</f>
        <v>0</v>
      </c>
      <c r="AD1385">
        <f>IFERROR(__xludf.DUMMYFUNCTION("""COMPUTED_VALUE"""),0.0)</f>
        <v>0</v>
      </c>
      <c r="AE1385">
        <f>IFERROR(__xludf.DUMMYFUNCTION("""COMPUTED_VALUE"""),0.0)</f>
        <v>0</v>
      </c>
      <c r="AG1385" t="str">
        <f>IFERROR(__xludf.DUMMYFUNCTION("""COMPUTED_VALUE"""),"Delivery originally scheduled for 10/20, rescheduled to and delivered on 10/23")</f>
        <v>Delivery originally scheduled for 10/20, rescheduled to and delivered on 10/23</v>
      </c>
      <c r="AH1385" s="189">
        <f>IFERROR(__xludf.DUMMYFUNCTION("""COMPUTED_VALUE"""),43434.34876634259)</f>
        <v>43434.34877</v>
      </c>
    </row>
    <row r="1386">
      <c r="A1386" t="str">
        <f>IFERROR(__xludf.DUMMYFUNCTION("""COMPUTED_VALUE"""),"Treker56")</f>
        <v>Treker56</v>
      </c>
      <c r="B1386" t="str">
        <f>IFERROR(__xludf.DUMMYFUNCTION("""COMPUTED_VALUE"""),"Fairfax")</f>
        <v>Fairfax</v>
      </c>
      <c r="C1386" t="str">
        <f>IFERROR(__xludf.DUMMYFUNCTION("""COMPUTED_VALUE"""),"VA")</f>
        <v>VA</v>
      </c>
      <c r="D1386" t="str">
        <f>IFERROR(__xludf.DUMMYFUNCTION("""COMPUTED_VALUE"""),"USA")</f>
        <v>USA</v>
      </c>
      <c r="E1386" s="188">
        <f>IFERROR(__xludf.DUMMYFUNCTION("""COMPUTED_VALUE"""),43396.0)</f>
        <v>43396</v>
      </c>
      <c r="H1386">
        <f>IFERROR(__xludf.DUMMYFUNCTION("""COMPUTED_VALUE"""),152730.0)</f>
        <v>152730</v>
      </c>
      <c r="I1386" t="str">
        <f>IFERROR(__xludf.DUMMYFUNCTION("""COMPUTED_VALUE"""),"11/18")</f>
        <v>11/18</v>
      </c>
      <c r="J1386" s="5">
        <f>IFERROR(__xludf.DUMMYFUNCTION("""COMPUTED_VALUE"""),43429.0)</f>
        <v>43429</v>
      </c>
      <c r="M1386">
        <f>IFERROR(__xludf.DUMMYFUNCTION("""COMPUTED_VALUE"""),33.0)</f>
        <v>33</v>
      </c>
      <c r="N1386" t="str">
        <f>IFERROR(__xludf.DUMMYFUNCTION("""COMPUTED_VALUE"""),"Model 3 MR")</f>
        <v>Model 3 MR</v>
      </c>
      <c r="O1386" t="str">
        <f>IFERROR(__xludf.DUMMYFUNCTION("""COMPUTED_VALUE"""),"Solid Black")</f>
        <v>Solid Black</v>
      </c>
      <c r="P1386" t="str">
        <f>IFERROR(__xludf.DUMMYFUNCTION("""COMPUTED_VALUE"""),"18 inch Aero")</f>
        <v>18 inch Aero</v>
      </c>
      <c r="Q1386" t="str">
        <f>IFERROR(__xludf.DUMMYFUNCTION("""COMPUTED_VALUE"""),"Black seats")</f>
        <v>Black seats</v>
      </c>
      <c r="R1386" t="str">
        <f>IFERROR(__xludf.DUMMYFUNCTION("""COMPUTED_VALUE"""),"None")</f>
        <v>None</v>
      </c>
      <c r="X1386" t="str">
        <f>IFERROR(__xludf.DUMMYFUNCTION("""COMPUTED_VALUE"""),"Excellent")</f>
        <v>Excellent</v>
      </c>
      <c r="Y1386" t="str">
        <f>IFERROR(__xludf.DUMMYFUNCTION("""COMPUTED_VALUE"""),"Excellent")</f>
        <v>Excellent</v>
      </c>
      <c r="Z1386" t="str">
        <f>IFERROR(__xludf.DUMMYFUNCTION("""COMPUTED_VALUE"""),"Excellent")</f>
        <v>Excellent</v>
      </c>
      <c r="AA1386" t="str">
        <f>IFERROR(__xludf.DUMMYFUNCTION("""COMPUTED_VALUE"""),"Excellent")</f>
        <v>Excellent</v>
      </c>
      <c r="AB1386" t="str">
        <f>IFERROR(__xludf.DUMMYFUNCTION("""COMPUTED_VALUE"""),"Excellent")</f>
        <v>Excellent</v>
      </c>
      <c r="AC1386">
        <f>IFERROR(__xludf.DUMMYFUNCTION("""COMPUTED_VALUE"""),0.0)</f>
        <v>0</v>
      </c>
      <c r="AD1386">
        <f>IFERROR(__xludf.DUMMYFUNCTION("""COMPUTED_VALUE"""),0.0)</f>
        <v>0</v>
      </c>
      <c r="AE1386">
        <f>IFERROR(__xludf.DUMMYFUNCTION("""COMPUTED_VALUE"""),0.0)</f>
        <v>0</v>
      </c>
      <c r="AG1386" t="str">
        <f>IFERROR(__xludf.DUMMYFUNCTION("""COMPUTED_VALUE"""),"Love it!")</f>
        <v>Love it!</v>
      </c>
      <c r="AH1386" s="189">
        <f>IFERROR(__xludf.DUMMYFUNCTION("""COMPUTED_VALUE"""),43434.44012465278)</f>
        <v>43434.44012</v>
      </c>
    </row>
    <row r="1387">
      <c r="A1387" t="str">
        <f>IFERROR(__xludf.DUMMYFUNCTION("""COMPUTED_VALUE"""),"aaronizer")</f>
        <v>aaronizer</v>
      </c>
      <c r="B1387" t="str">
        <f>IFERROR(__xludf.DUMMYFUNCTION("""COMPUTED_VALUE"""),"Atlanta")</f>
        <v>Atlanta</v>
      </c>
      <c r="C1387" t="str">
        <f>IFERROR(__xludf.DUMMYFUNCTION("""COMPUTED_VALUE"""),"GA")</f>
        <v>GA</v>
      </c>
      <c r="D1387" t="str">
        <f>IFERROR(__xludf.DUMMYFUNCTION("""COMPUTED_VALUE"""),"USA")</f>
        <v>USA</v>
      </c>
      <c r="E1387" s="188">
        <f>IFERROR(__xludf.DUMMYFUNCTION("""COMPUTED_VALUE"""),43392.0)</f>
        <v>43392</v>
      </c>
      <c r="F1387" s="188">
        <f>IFERROR(__xludf.DUMMYFUNCTION("""COMPUTED_VALUE"""),43430.0)</f>
        <v>43430</v>
      </c>
      <c r="J1387" s="5">
        <f>IFERROR(__xludf.DUMMYFUNCTION("""COMPUTED_VALUE"""),43434.0)</f>
        <v>43434</v>
      </c>
      <c r="K1387">
        <f>IFERROR(__xludf.DUMMYFUNCTION("""COMPUTED_VALUE"""),38.0)</f>
        <v>38</v>
      </c>
      <c r="L1387">
        <f>IFERROR(__xludf.DUMMYFUNCTION("""COMPUTED_VALUE"""),4.0)</f>
        <v>4</v>
      </c>
      <c r="M1387">
        <f>IFERROR(__xludf.DUMMYFUNCTION("""COMPUTED_VALUE"""),42.0)</f>
        <v>42</v>
      </c>
      <c r="N1387" t="str">
        <f>IFERROR(__xludf.DUMMYFUNCTION("""COMPUTED_VALUE"""),"Model 3 MR")</f>
        <v>Model 3 MR</v>
      </c>
      <c r="O1387" t="str">
        <f>IFERROR(__xludf.DUMMYFUNCTION("""COMPUTED_VALUE"""),"Solid Black")</f>
        <v>Solid Black</v>
      </c>
      <c r="P1387" t="str">
        <f>IFERROR(__xludf.DUMMYFUNCTION("""COMPUTED_VALUE"""),"18 inch Aero")</f>
        <v>18 inch Aero</v>
      </c>
      <c r="Q1387" t="str">
        <f>IFERROR(__xludf.DUMMYFUNCTION("""COMPUTED_VALUE"""),"Black seats")</f>
        <v>Black seats</v>
      </c>
      <c r="R1387" t="str">
        <f>IFERROR(__xludf.DUMMYFUNCTION("""COMPUTED_VALUE"""),"Enhanced Autopilot")</f>
        <v>Enhanced Autopilot</v>
      </c>
      <c r="X1387" t="str">
        <f>IFERROR(__xludf.DUMMYFUNCTION("""COMPUTED_VALUE"""),"Excellent")</f>
        <v>Excellent</v>
      </c>
      <c r="Y1387" t="str">
        <f>IFERROR(__xludf.DUMMYFUNCTION("""COMPUTED_VALUE"""),"Excellent")</f>
        <v>Excellent</v>
      </c>
      <c r="Z1387" t="str">
        <f>IFERROR(__xludf.DUMMYFUNCTION("""COMPUTED_VALUE"""),"Excellent")</f>
        <v>Excellent</v>
      </c>
      <c r="AA1387" t="str">
        <f>IFERROR(__xludf.DUMMYFUNCTION("""COMPUTED_VALUE"""),"Excellent")</f>
        <v>Excellent</v>
      </c>
      <c r="AB1387" t="str">
        <f>IFERROR(__xludf.DUMMYFUNCTION("""COMPUTED_VALUE"""),"Excellent")</f>
        <v>Excellent</v>
      </c>
      <c r="AH1387" s="189">
        <f>IFERROR(__xludf.DUMMYFUNCTION("""COMPUTED_VALUE"""),43434.55552944445)</f>
        <v>43434.55553</v>
      </c>
    </row>
    <row r="1388">
      <c r="A1388" t="str">
        <f>IFERROR(__xludf.DUMMYFUNCTION("""COMPUTED_VALUE"""),"_tacos")</f>
        <v>_tacos</v>
      </c>
      <c r="B1388" t="str">
        <f>IFERROR(__xludf.DUMMYFUNCTION("""COMPUTED_VALUE"""),"New Orleans")</f>
        <v>New Orleans</v>
      </c>
      <c r="C1388" t="str">
        <f>IFERROR(__xludf.DUMMYFUNCTION("""COMPUTED_VALUE"""),"LA")</f>
        <v>LA</v>
      </c>
      <c r="D1388" t="str">
        <f>IFERROR(__xludf.DUMMYFUNCTION("""COMPUTED_VALUE"""),"USA")</f>
        <v>USA</v>
      </c>
      <c r="E1388" s="188">
        <f>IFERROR(__xludf.DUMMYFUNCTION("""COMPUTED_VALUE"""),43385.0)</f>
        <v>43385</v>
      </c>
      <c r="F1388" s="188">
        <f>IFERROR(__xludf.DUMMYFUNCTION("""COMPUTED_VALUE"""),43396.0)</f>
        <v>43396</v>
      </c>
      <c r="H1388">
        <f>IFERROR(__xludf.DUMMYFUNCTION("""COMPUTED_VALUE"""),114955.0)</f>
        <v>114955</v>
      </c>
      <c r="J1388" s="5">
        <f>IFERROR(__xludf.DUMMYFUNCTION("""COMPUTED_VALUE"""),43420.0)</f>
        <v>43420</v>
      </c>
      <c r="K1388">
        <f>IFERROR(__xludf.DUMMYFUNCTION("""COMPUTED_VALUE"""),11.0)</f>
        <v>11</v>
      </c>
      <c r="L1388">
        <f>IFERROR(__xludf.DUMMYFUNCTION("""COMPUTED_VALUE"""),24.0)</f>
        <v>24</v>
      </c>
      <c r="M1388">
        <f>IFERROR(__xludf.DUMMYFUNCTION("""COMPUTED_VALUE"""),35.0)</f>
        <v>35</v>
      </c>
      <c r="N1388" t="str">
        <f>IFERROR(__xludf.DUMMYFUNCTION("""COMPUTED_VALUE"""),"Model 3 LR AWD")</f>
        <v>Model 3 LR AWD</v>
      </c>
      <c r="O1388" t="str">
        <f>IFERROR(__xludf.DUMMYFUNCTION("""COMPUTED_VALUE"""),"Deep Blue Metallic")</f>
        <v>Deep Blue Metallic</v>
      </c>
      <c r="P1388" t="str">
        <f>IFERROR(__xludf.DUMMYFUNCTION("""COMPUTED_VALUE"""),"18 inch Aero")</f>
        <v>18 inch Aero</v>
      </c>
      <c r="Q1388" t="str">
        <f>IFERROR(__xludf.DUMMYFUNCTION("""COMPUTED_VALUE"""),"Black seats")</f>
        <v>Black seats</v>
      </c>
      <c r="R1388" t="str">
        <f>IFERROR(__xludf.DUMMYFUNCTION("""COMPUTED_VALUE"""),"None")</f>
        <v>None</v>
      </c>
      <c r="X1388" t="str">
        <f>IFERROR(__xludf.DUMMYFUNCTION("""COMPUTED_VALUE"""),"Excellent")</f>
        <v>Excellent</v>
      </c>
      <c r="Y1388" t="str">
        <f>IFERROR(__xludf.DUMMYFUNCTION("""COMPUTED_VALUE"""),"Excellent")</f>
        <v>Excellent</v>
      </c>
      <c r="Z1388" t="str">
        <f>IFERROR(__xludf.DUMMYFUNCTION("""COMPUTED_VALUE"""),"Excellent")</f>
        <v>Excellent</v>
      </c>
      <c r="AA1388" t="str">
        <f>IFERROR(__xludf.DUMMYFUNCTION("""COMPUTED_VALUE"""),"Good")</f>
        <v>Good</v>
      </c>
      <c r="AB1388" t="str">
        <f>IFERROR(__xludf.DUMMYFUNCTION("""COMPUTED_VALUE"""),"Very Good")</f>
        <v>Very Good</v>
      </c>
      <c r="AC1388">
        <f>IFERROR(__xludf.DUMMYFUNCTION("""COMPUTED_VALUE"""),1.0)</f>
        <v>1</v>
      </c>
      <c r="AD1388">
        <f>IFERROR(__xludf.DUMMYFUNCTION("""COMPUTED_VALUE"""),0.0)</f>
        <v>0</v>
      </c>
      <c r="AE1388">
        <f>IFERROR(__xludf.DUMMYFUNCTION("""COMPUTED_VALUE"""),0.0)</f>
        <v>0</v>
      </c>
      <c r="AH1388" s="189">
        <f>IFERROR(__xludf.DUMMYFUNCTION("""COMPUTED_VALUE"""),43434.84470335648)</f>
        <v>43434.8447</v>
      </c>
    </row>
    <row r="1389">
      <c r="A1389" t="str">
        <f>IFERROR(__xludf.DUMMYFUNCTION("""COMPUTED_VALUE"""),"TJKR")</f>
        <v>TJKR</v>
      </c>
      <c r="B1389" t="str">
        <f>IFERROR(__xludf.DUMMYFUNCTION("""COMPUTED_VALUE"""),"Santa Barbara")</f>
        <v>Santa Barbara</v>
      </c>
      <c r="C1389" t="str">
        <f>IFERROR(__xludf.DUMMYFUNCTION("""COMPUTED_VALUE"""),"CA")</f>
        <v>CA</v>
      </c>
      <c r="D1389" t="str">
        <f>IFERROR(__xludf.DUMMYFUNCTION("""COMPUTED_VALUE"""),"USA")</f>
        <v>USA</v>
      </c>
      <c r="E1389" s="188">
        <f>IFERROR(__xludf.DUMMYFUNCTION("""COMPUTED_VALUE"""),43393.0)</f>
        <v>43393</v>
      </c>
      <c r="F1389" s="188">
        <f>IFERROR(__xludf.DUMMYFUNCTION("""COMPUTED_VALUE"""),43429.0)</f>
        <v>43429</v>
      </c>
      <c r="H1389">
        <f>IFERROR(__xludf.DUMMYFUNCTION("""COMPUTED_VALUE"""),153355.0)</f>
        <v>153355</v>
      </c>
      <c r="I1389" t="str">
        <f>IFERROR(__xludf.DUMMYFUNCTION("""COMPUTED_VALUE"""),"11/18")</f>
        <v>11/18</v>
      </c>
      <c r="J1389" s="5">
        <f>IFERROR(__xludf.DUMMYFUNCTION("""COMPUTED_VALUE"""),43434.0)</f>
        <v>43434</v>
      </c>
      <c r="K1389">
        <f>IFERROR(__xludf.DUMMYFUNCTION("""COMPUTED_VALUE"""),36.0)</f>
        <v>36</v>
      </c>
      <c r="L1389">
        <f>IFERROR(__xludf.DUMMYFUNCTION("""COMPUTED_VALUE"""),5.0)</f>
        <v>5</v>
      </c>
      <c r="M1389">
        <f>IFERROR(__xludf.DUMMYFUNCTION("""COMPUTED_VALUE"""),41.0)</f>
        <v>41</v>
      </c>
      <c r="N1389" t="str">
        <f>IFERROR(__xludf.DUMMYFUNCTION("""COMPUTED_VALUE"""),"Model 3 MR")</f>
        <v>Model 3 MR</v>
      </c>
      <c r="O1389" t="str">
        <f>IFERROR(__xludf.DUMMYFUNCTION("""COMPUTED_VALUE"""),"Midnight Silver Metallic")</f>
        <v>Midnight Silver Metallic</v>
      </c>
      <c r="P1389" t="str">
        <f>IFERROR(__xludf.DUMMYFUNCTION("""COMPUTED_VALUE"""),"18 inch Aero")</f>
        <v>18 inch Aero</v>
      </c>
      <c r="Q1389" t="str">
        <f>IFERROR(__xludf.DUMMYFUNCTION("""COMPUTED_VALUE"""),"Black seats")</f>
        <v>Black seats</v>
      </c>
      <c r="R1389" t="str">
        <f>IFERROR(__xludf.DUMMYFUNCTION("""COMPUTED_VALUE"""),"None")</f>
        <v>None</v>
      </c>
      <c r="X1389" t="str">
        <f>IFERROR(__xludf.DUMMYFUNCTION("""COMPUTED_VALUE"""),"Excellent")</f>
        <v>Excellent</v>
      </c>
      <c r="Y1389" t="str">
        <f>IFERROR(__xludf.DUMMYFUNCTION("""COMPUTED_VALUE"""),"Excellent")</f>
        <v>Excellent</v>
      </c>
      <c r="Z1389" t="str">
        <f>IFERROR(__xludf.DUMMYFUNCTION("""COMPUTED_VALUE"""),"Excellent")</f>
        <v>Excellent</v>
      </c>
      <c r="AA1389" t="str">
        <f>IFERROR(__xludf.DUMMYFUNCTION("""COMPUTED_VALUE"""),"Excellent")</f>
        <v>Excellent</v>
      </c>
      <c r="AB1389" t="str">
        <f>IFERROR(__xludf.DUMMYFUNCTION("""COMPUTED_VALUE"""),"Excellent")</f>
        <v>Excellent</v>
      </c>
      <c r="AC1389">
        <f>IFERROR(__xludf.DUMMYFUNCTION("""COMPUTED_VALUE"""),0.0)</f>
        <v>0</v>
      </c>
      <c r="AD1389">
        <f>IFERROR(__xludf.DUMMYFUNCTION("""COMPUTED_VALUE"""),0.0)</f>
        <v>0</v>
      </c>
      <c r="AE1389">
        <f>IFERROR(__xludf.DUMMYFUNCTION("""COMPUTED_VALUE"""),0.0)</f>
        <v>0</v>
      </c>
      <c r="AH1389" s="189">
        <f>IFERROR(__xludf.DUMMYFUNCTION("""COMPUTED_VALUE"""),43434.94990324074)</f>
        <v>43434.9499</v>
      </c>
    </row>
    <row r="1390">
      <c r="A1390" t="str">
        <f>IFERROR(__xludf.DUMMYFUNCTION("""COMPUTED_VALUE"""),"Barnaby")</f>
        <v>Barnaby</v>
      </c>
      <c r="C1390" t="str">
        <f>IFERROR(__xludf.DUMMYFUNCTION("""COMPUTED_VALUE"""),"CO")</f>
        <v>CO</v>
      </c>
      <c r="D1390" t="str">
        <f>IFERROR(__xludf.DUMMYFUNCTION("""COMPUTED_VALUE"""),"USA")</f>
        <v>USA</v>
      </c>
      <c r="E1390" s="188">
        <f>IFERROR(__xludf.DUMMYFUNCTION("""COMPUTED_VALUE"""),43400.0)</f>
        <v>43400</v>
      </c>
      <c r="F1390" s="188">
        <f>IFERROR(__xludf.DUMMYFUNCTION("""COMPUTED_VALUE"""),43416.0)</f>
        <v>43416</v>
      </c>
      <c r="H1390">
        <f>IFERROR(__xludf.DUMMYFUNCTION("""COMPUTED_VALUE"""),153655.0)</f>
        <v>153655</v>
      </c>
      <c r="I1390" t="str">
        <f>IFERROR(__xludf.DUMMYFUNCTION("""COMPUTED_VALUE"""),"11/18")</f>
        <v>11/18</v>
      </c>
      <c r="J1390" s="5">
        <f>IFERROR(__xludf.DUMMYFUNCTION("""COMPUTED_VALUE"""),43421.0)</f>
        <v>43421</v>
      </c>
      <c r="K1390">
        <f>IFERROR(__xludf.DUMMYFUNCTION("""COMPUTED_VALUE"""),16.0)</f>
        <v>16</v>
      </c>
      <c r="L1390">
        <f>IFERROR(__xludf.DUMMYFUNCTION("""COMPUTED_VALUE"""),5.0)</f>
        <v>5</v>
      </c>
      <c r="M1390">
        <f>IFERROR(__xludf.DUMMYFUNCTION("""COMPUTED_VALUE"""),21.0)</f>
        <v>21</v>
      </c>
      <c r="N1390" t="str">
        <f>IFERROR(__xludf.DUMMYFUNCTION("""COMPUTED_VALUE"""),"Model 3 MR")</f>
        <v>Model 3 MR</v>
      </c>
      <c r="O1390" t="str">
        <f>IFERROR(__xludf.DUMMYFUNCTION("""COMPUTED_VALUE"""),"Midnight Silver Metallic")</f>
        <v>Midnight Silver Metallic</v>
      </c>
      <c r="P1390" t="str">
        <f>IFERROR(__xludf.DUMMYFUNCTION("""COMPUTED_VALUE"""),"18 inch Aero")</f>
        <v>18 inch Aero</v>
      </c>
      <c r="Q1390" t="str">
        <f>IFERROR(__xludf.DUMMYFUNCTION("""COMPUTED_VALUE"""),"Black seats")</f>
        <v>Black seats</v>
      </c>
      <c r="R1390" t="str">
        <f>IFERROR(__xludf.DUMMYFUNCTION("""COMPUTED_VALUE"""),"None")</f>
        <v>None</v>
      </c>
      <c r="X1390" t="str">
        <f>IFERROR(__xludf.DUMMYFUNCTION("""COMPUTED_VALUE"""),"Excellent")</f>
        <v>Excellent</v>
      </c>
      <c r="Y1390" t="str">
        <f>IFERROR(__xludf.DUMMYFUNCTION("""COMPUTED_VALUE"""),"Excellent")</f>
        <v>Excellent</v>
      </c>
      <c r="Z1390" t="str">
        <f>IFERROR(__xludf.DUMMYFUNCTION("""COMPUTED_VALUE"""),"Very Good")</f>
        <v>Very Good</v>
      </c>
      <c r="AA1390" t="str">
        <f>IFERROR(__xludf.DUMMYFUNCTION("""COMPUTED_VALUE"""),"Good")</f>
        <v>Good</v>
      </c>
      <c r="AB1390" t="str">
        <f>IFERROR(__xludf.DUMMYFUNCTION("""COMPUTED_VALUE"""),"Very Good")</f>
        <v>Very Good</v>
      </c>
      <c r="AC1390">
        <f>IFERROR(__xludf.DUMMYFUNCTION("""COMPUTED_VALUE"""),3.0)</f>
        <v>3</v>
      </c>
      <c r="AD1390">
        <f>IFERROR(__xludf.DUMMYFUNCTION("""COMPUTED_VALUE"""),1.0)</f>
        <v>1</v>
      </c>
      <c r="AH1390" s="189">
        <f>IFERROR(__xludf.DUMMYFUNCTION("""COMPUTED_VALUE"""),43435.300918877314)</f>
        <v>43435.30092</v>
      </c>
    </row>
    <row r="1391">
      <c r="A1391" t="str">
        <f>IFERROR(__xludf.DUMMYFUNCTION("""COMPUTED_VALUE"""),"TXmehe")</f>
        <v>TXmehe</v>
      </c>
      <c r="B1391" t="str">
        <f>IFERROR(__xludf.DUMMYFUNCTION("""COMPUTED_VALUE"""),"Austin")</f>
        <v>Austin</v>
      </c>
      <c r="C1391" t="str">
        <f>IFERROR(__xludf.DUMMYFUNCTION("""COMPUTED_VALUE"""),"TX")</f>
        <v>TX</v>
      </c>
      <c r="D1391" t="str">
        <f>IFERROR(__xludf.DUMMYFUNCTION("""COMPUTED_VALUE"""),"USA")</f>
        <v>USA</v>
      </c>
      <c r="E1391" s="188">
        <f>IFERROR(__xludf.DUMMYFUNCTION("""COMPUTED_VALUE"""),43408.0)</f>
        <v>43408</v>
      </c>
      <c r="F1391" s="188">
        <f>IFERROR(__xludf.DUMMYFUNCTION("""COMPUTED_VALUE"""),43414.0)</f>
        <v>43414</v>
      </c>
      <c r="H1391">
        <f>IFERROR(__xludf.DUMMYFUNCTION("""COMPUTED_VALUE"""),115355.0)</f>
        <v>115355</v>
      </c>
      <c r="I1391" t="str">
        <f>IFERROR(__xludf.DUMMYFUNCTION("""COMPUTED_VALUE"""),"11/18")</f>
        <v>11/18</v>
      </c>
      <c r="J1391" s="5">
        <f>IFERROR(__xludf.DUMMYFUNCTION("""COMPUTED_VALUE"""),43435.0)</f>
        <v>43435</v>
      </c>
      <c r="K1391">
        <f>IFERROR(__xludf.DUMMYFUNCTION("""COMPUTED_VALUE"""),6.0)</f>
        <v>6</v>
      </c>
      <c r="L1391">
        <f>IFERROR(__xludf.DUMMYFUNCTION("""COMPUTED_VALUE"""),21.0)</f>
        <v>21</v>
      </c>
      <c r="M1391">
        <f>IFERROR(__xludf.DUMMYFUNCTION("""COMPUTED_VALUE"""),27.0)</f>
        <v>27</v>
      </c>
      <c r="N1391" t="str">
        <f>IFERROR(__xludf.DUMMYFUNCTION("""COMPUTED_VALUE"""),"Model 3 LR AWD")</f>
        <v>Model 3 LR AWD</v>
      </c>
      <c r="O1391" t="str">
        <f>IFERROR(__xludf.DUMMYFUNCTION("""COMPUTED_VALUE"""),"Deep Blue Metallic")</f>
        <v>Deep Blue Metallic</v>
      </c>
      <c r="P1391" t="str">
        <f>IFERROR(__xludf.DUMMYFUNCTION("""COMPUTED_VALUE"""),"18 inch Aero")</f>
        <v>18 inch Aero</v>
      </c>
      <c r="Q1391" t="str">
        <f>IFERROR(__xludf.DUMMYFUNCTION("""COMPUTED_VALUE"""),"Black seats")</f>
        <v>Black seats</v>
      </c>
      <c r="R1391" t="str">
        <f>IFERROR(__xludf.DUMMYFUNCTION("""COMPUTED_VALUE"""),"Enhanced Autopilot")</f>
        <v>Enhanced Autopilot</v>
      </c>
      <c r="X1391" t="str">
        <f>IFERROR(__xludf.DUMMYFUNCTION("""COMPUTED_VALUE"""),"Excellent")</f>
        <v>Excellent</v>
      </c>
      <c r="Y1391" t="str">
        <f>IFERROR(__xludf.DUMMYFUNCTION("""COMPUTED_VALUE"""),"Excellent")</f>
        <v>Excellent</v>
      </c>
      <c r="Z1391" t="str">
        <f>IFERROR(__xludf.DUMMYFUNCTION("""COMPUTED_VALUE"""),"Good")</f>
        <v>Good</v>
      </c>
      <c r="AA1391" t="str">
        <f>IFERROR(__xludf.DUMMYFUNCTION("""COMPUTED_VALUE"""),"Fair")</f>
        <v>Fair</v>
      </c>
      <c r="AB1391" t="str">
        <f>IFERROR(__xludf.DUMMYFUNCTION("""COMPUTED_VALUE"""),"Good")</f>
        <v>Good</v>
      </c>
      <c r="AC1391">
        <f>IFERROR(__xludf.DUMMYFUNCTION("""COMPUTED_VALUE"""),2.0)</f>
        <v>2</v>
      </c>
      <c r="AH1391" s="189">
        <f>IFERROR(__xludf.DUMMYFUNCTION("""COMPUTED_VALUE"""),43435.60975363426)</f>
        <v>43435.60975</v>
      </c>
    </row>
    <row r="1392">
      <c r="A1392" t="str">
        <f>IFERROR(__xludf.DUMMYFUNCTION("""COMPUTED_VALUE"""),"waiting4myride")</f>
        <v>waiting4myride</v>
      </c>
      <c r="B1392" t="str">
        <f>IFERROR(__xludf.DUMMYFUNCTION("""COMPUTED_VALUE"""),"Boston")</f>
        <v>Boston</v>
      </c>
      <c r="C1392" t="str">
        <f>IFERROR(__xludf.DUMMYFUNCTION("""COMPUTED_VALUE"""),"MA")</f>
        <v>MA</v>
      </c>
      <c r="D1392" t="str">
        <f>IFERROR(__xludf.DUMMYFUNCTION("""COMPUTED_VALUE"""),"USA")</f>
        <v>USA</v>
      </c>
      <c r="E1392" s="188">
        <f>IFERROR(__xludf.DUMMYFUNCTION("""COMPUTED_VALUE"""),43395.0)</f>
        <v>43395</v>
      </c>
      <c r="H1392">
        <f>IFERROR(__xludf.DUMMYFUNCTION("""COMPUTED_VALUE"""),152755.0)</f>
        <v>152755</v>
      </c>
      <c r="J1392" s="5">
        <f>IFERROR(__xludf.DUMMYFUNCTION("""COMPUTED_VALUE"""),43435.0)</f>
        <v>43435</v>
      </c>
      <c r="M1392">
        <f>IFERROR(__xludf.DUMMYFUNCTION("""COMPUTED_VALUE"""),40.0)</f>
        <v>40</v>
      </c>
      <c r="N1392" t="str">
        <f>IFERROR(__xludf.DUMMYFUNCTION("""COMPUTED_VALUE"""),"Model 3 MR")</f>
        <v>Model 3 MR</v>
      </c>
      <c r="O1392" t="str">
        <f>IFERROR(__xludf.DUMMYFUNCTION("""COMPUTED_VALUE"""),"Solid Black")</f>
        <v>Solid Black</v>
      </c>
      <c r="P1392" t="str">
        <f>IFERROR(__xludf.DUMMYFUNCTION("""COMPUTED_VALUE"""),"18 inch Aero")</f>
        <v>18 inch Aero</v>
      </c>
      <c r="Q1392" t="str">
        <f>IFERROR(__xludf.DUMMYFUNCTION("""COMPUTED_VALUE"""),"Black seats")</f>
        <v>Black seats</v>
      </c>
      <c r="R1392" t="str">
        <f>IFERROR(__xludf.DUMMYFUNCTION("""COMPUTED_VALUE"""),"Enhanced Autopilot")</f>
        <v>Enhanced Autopilot</v>
      </c>
      <c r="X1392" t="str">
        <f>IFERROR(__xludf.DUMMYFUNCTION("""COMPUTED_VALUE"""),"Very Good")</f>
        <v>Very Good</v>
      </c>
      <c r="Y1392" t="str">
        <f>IFERROR(__xludf.DUMMYFUNCTION("""COMPUTED_VALUE"""),"Very Good")</f>
        <v>Very Good</v>
      </c>
      <c r="Z1392" t="str">
        <f>IFERROR(__xludf.DUMMYFUNCTION("""COMPUTED_VALUE"""),"Very Good")</f>
        <v>Very Good</v>
      </c>
      <c r="AA1392" t="str">
        <f>IFERROR(__xludf.DUMMYFUNCTION("""COMPUTED_VALUE"""),"Fair")</f>
        <v>Fair</v>
      </c>
      <c r="AB1392" t="str">
        <f>IFERROR(__xludf.DUMMYFUNCTION("""COMPUTED_VALUE"""),"Good")</f>
        <v>Good</v>
      </c>
      <c r="AH1392" s="189">
        <f>IFERROR(__xludf.DUMMYFUNCTION("""COMPUTED_VALUE"""),43435.748046469904)</f>
        <v>43435.74805</v>
      </c>
    </row>
    <row r="1393">
      <c r="A1393" t="str">
        <f>IFERROR(__xludf.DUMMYFUNCTION("""COMPUTED_VALUE"""),"jxntntesla")</f>
        <v>jxntntesla</v>
      </c>
      <c r="B1393" t="str">
        <f>IFERROR(__xludf.DUMMYFUNCTION("""COMPUTED_VALUE"""),"Jackson")</f>
        <v>Jackson</v>
      </c>
      <c r="C1393" t="str">
        <f>IFERROR(__xludf.DUMMYFUNCTION("""COMPUTED_VALUE"""),"TN")</f>
        <v>TN</v>
      </c>
      <c r="D1393" t="str">
        <f>IFERROR(__xludf.DUMMYFUNCTION("""COMPUTED_VALUE"""),"USA")</f>
        <v>USA</v>
      </c>
      <c r="E1393" s="188">
        <f>IFERROR(__xludf.DUMMYFUNCTION("""COMPUTED_VALUE"""),43394.0)</f>
        <v>43394</v>
      </c>
      <c r="F1393" s="188">
        <f>IFERROR(__xludf.DUMMYFUNCTION("""COMPUTED_VALUE"""),43429.0)</f>
        <v>43429</v>
      </c>
      <c r="H1393">
        <f>IFERROR(__xludf.DUMMYFUNCTION("""COMPUTED_VALUE"""),153455.0)</f>
        <v>153455</v>
      </c>
      <c r="J1393" s="5">
        <f>IFERROR(__xludf.DUMMYFUNCTION("""COMPUTED_VALUE"""),43430.0)</f>
        <v>43430</v>
      </c>
      <c r="K1393">
        <f>IFERROR(__xludf.DUMMYFUNCTION("""COMPUTED_VALUE"""),35.0)</f>
        <v>35</v>
      </c>
      <c r="L1393">
        <f>IFERROR(__xludf.DUMMYFUNCTION("""COMPUTED_VALUE"""),1.0)</f>
        <v>1</v>
      </c>
      <c r="M1393">
        <f>IFERROR(__xludf.DUMMYFUNCTION("""COMPUTED_VALUE"""),36.0)</f>
        <v>36</v>
      </c>
      <c r="N1393" t="str">
        <f>IFERROR(__xludf.DUMMYFUNCTION("""COMPUTED_VALUE"""),"Model 3 MR")</f>
        <v>Model 3 MR</v>
      </c>
      <c r="O1393" t="str">
        <f>IFERROR(__xludf.DUMMYFUNCTION("""COMPUTED_VALUE"""),"Midnight Silver Metallic")</f>
        <v>Midnight Silver Metallic</v>
      </c>
      <c r="P1393" t="str">
        <f>IFERROR(__xludf.DUMMYFUNCTION("""COMPUTED_VALUE"""),"18 inch Aero")</f>
        <v>18 inch Aero</v>
      </c>
      <c r="Q1393" t="str">
        <f>IFERROR(__xludf.DUMMYFUNCTION("""COMPUTED_VALUE"""),"Black seats")</f>
        <v>Black seats</v>
      </c>
      <c r="R1393" t="str">
        <f>IFERROR(__xludf.DUMMYFUNCTION("""COMPUTED_VALUE"""),"Enhanced Autopilot")</f>
        <v>Enhanced Autopilot</v>
      </c>
      <c r="X1393" t="str">
        <f>IFERROR(__xludf.DUMMYFUNCTION("""COMPUTED_VALUE"""),"Excellent")</f>
        <v>Excellent</v>
      </c>
      <c r="Y1393" t="str">
        <f>IFERROR(__xludf.DUMMYFUNCTION("""COMPUTED_VALUE"""),"Excellent")</f>
        <v>Excellent</v>
      </c>
      <c r="Z1393" t="str">
        <f>IFERROR(__xludf.DUMMYFUNCTION("""COMPUTED_VALUE"""),"Excellent")</f>
        <v>Excellent</v>
      </c>
      <c r="AA1393" t="str">
        <f>IFERROR(__xludf.DUMMYFUNCTION("""COMPUTED_VALUE"""),"Excellent")</f>
        <v>Excellent</v>
      </c>
      <c r="AB1393" t="str">
        <f>IFERROR(__xludf.DUMMYFUNCTION("""COMPUTED_VALUE"""),"Excellent")</f>
        <v>Excellent</v>
      </c>
      <c r="AC1393">
        <f>IFERROR(__xludf.DUMMYFUNCTION("""COMPUTED_VALUE"""),0.0)</f>
        <v>0</v>
      </c>
      <c r="AD1393">
        <f>IFERROR(__xludf.DUMMYFUNCTION("""COMPUTED_VALUE"""),0.0)</f>
        <v>0</v>
      </c>
      <c r="AE1393">
        <f>IFERROR(__xludf.DUMMYFUNCTION("""COMPUTED_VALUE"""),0.0)</f>
        <v>0</v>
      </c>
      <c r="AH1393" s="189">
        <f>IFERROR(__xludf.DUMMYFUNCTION("""COMPUTED_VALUE"""),43436.572891041666)</f>
        <v>43436.57289</v>
      </c>
    </row>
    <row r="1394">
      <c r="A1394" t="str">
        <f>IFERROR(__xludf.DUMMYFUNCTION("""COMPUTED_VALUE"""),"footerdc")</f>
        <v>footerdc</v>
      </c>
      <c r="B1394" t="str">
        <f>IFERROR(__xludf.DUMMYFUNCTION("""COMPUTED_VALUE"""),"SF Bay Area")</f>
        <v>SF Bay Area</v>
      </c>
      <c r="C1394" t="str">
        <f>IFERROR(__xludf.DUMMYFUNCTION("""COMPUTED_VALUE"""),"CA")</f>
        <v>CA</v>
      </c>
      <c r="D1394" t="str">
        <f>IFERROR(__xludf.DUMMYFUNCTION("""COMPUTED_VALUE"""),"USA")</f>
        <v>USA</v>
      </c>
      <c r="E1394" s="188">
        <f>IFERROR(__xludf.DUMMYFUNCTION("""COMPUTED_VALUE"""),43410.0)</f>
        <v>43410</v>
      </c>
      <c r="F1394" s="188">
        <f>IFERROR(__xludf.DUMMYFUNCTION("""COMPUTED_VALUE"""),43433.0)</f>
        <v>43433</v>
      </c>
      <c r="H1394">
        <f>IFERROR(__xludf.DUMMYFUNCTION("""COMPUTED_VALUE"""),110755.0)</f>
        <v>110755</v>
      </c>
      <c r="I1394" t="str">
        <f>IFERROR(__xludf.DUMMYFUNCTION("""COMPUTED_VALUE"""),"11/18")</f>
        <v>11/18</v>
      </c>
      <c r="J1394" s="5">
        <f>IFERROR(__xludf.DUMMYFUNCTION("""COMPUTED_VALUE"""),43436.0)</f>
        <v>43436</v>
      </c>
      <c r="K1394">
        <f>IFERROR(__xludf.DUMMYFUNCTION("""COMPUTED_VALUE"""),23.0)</f>
        <v>23</v>
      </c>
      <c r="L1394">
        <f>IFERROR(__xludf.DUMMYFUNCTION("""COMPUTED_VALUE"""),3.0)</f>
        <v>3</v>
      </c>
      <c r="M1394">
        <f>IFERROR(__xludf.DUMMYFUNCTION("""COMPUTED_VALUE"""),26.0)</f>
        <v>26</v>
      </c>
      <c r="N1394" t="str">
        <f>IFERROR(__xludf.DUMMYFUNCTION("""COMPUTED_VALUE"""),"Model 3 LR")</f>
        <v>Model 3 LR</v>
      </c>
      <c r="O1394" t="str">
        <f>IFERROR(__xludf.DUMMYFUNCTION("""COMPUTED_VALUE"""),"Midnight Silver Metallic")</f>
        <v>Midnight Silver Metallic</v>
      </c>
      <c r="P1394" t="str">
        <f>IFERROR(__xludf.DUMMYFUNCTION("""COMPUTED_VALUE"""),"19 inch Sport")</f>
        <v>19 inch Sport</v>
      </c>
      <c r="Q1394" t="str">
        <f>IFERROR(__xludf.DUMMYFUNCTION("""COMPUTED_VALUE"""),"Black seats")</f>
        <v>Black seats</v>
      </c>
      <c r="R1394" t="str">
        <f>IFERROR(__xludf.DUMMYFUNCTION("""COMPUTED_VALUE"""),"None")</f>
        <v>None</v>
      </c>
      <c r="X1394" t="str">
        <f>IFERROR(__xludf.DUMMYFUNCTION("""COMPUTED_VALUE"""),"Excellent")</f>
        <v>Excellent</v>
      </c>
      <c r="Y1394" t="str">
        <f>IFERROR(__xludf.DUMMYFUNCTION("""COMPUTED_VALUE"""),"Excellent")</f>
        <v>Excellent</v>
      </c>
      <c r="Z1394" t="str">
        <f>IFERROR(__xludf.DUMMYFUNCTION("""COMPUTED_VALUE"""),"Excellent")</f>
        <v>Excellent</v>
      </c>
      <c r="AA1394" t="str">
        <f>IFERROR(__xludf.DUMMYFUNCTION("""COMPUTED_VALUE"""),"Very Good")</f>
        <v>Very Good</v>
      </c>
      <c r="AB1394" t="str">
        <f>IFERROR(__xludf.DUMMYFUNCTION("""COMPUTED_VALUE"""),"Excellent")</f>
        <v>Excellent</v>
      </c>
      <c r="AG1394" t="str">
        <f>IFERROR(__xludf.DUMMYFUNCTION("""COMPUTED_VALUE"""),"Found out from my DA that Silver Metallic no longer being produced, switched to a car ready for pickup")</f>
        <v>Found out from my DA that Silver Metallic no longer being produced, switched to a car ready for pickup</v>
      </c>
      <c r="AH1394" s="189">
        <f>IFERROR(__xludf.DUMMYFUNCTION("""COMPUTED_VALUE"""),43436.79305335648)</f>
        <v>43436.79305</v>
      </c>
    </row>
    <row r="1395">
      <c r="A1395" t="str">
        <f>IFERROR(__xludf.DUMMYFUNCTION("""COMPUTED_VALUE"""),"Brady2Gronk")</f>
        <v>Brady2Gronk</v>
      </c>
      <c r="B1395" t="str">
        <f>IFERROR(__xludf.DUMMYFUNCTION("""COMPUTED_VALUE"""),"Pittsburgh")</f>
        <v>Pittsburgh</v>
      </c>
      <c r="C1395" t="str">
        <f>IFERROR(__xludf.DUMMYFUNCTION("""COMPUTED_VALUE"""),"PA")</f>
        <v>PA</v>
      </c>
      <c r="D1395" t="str">
        <f>IFERROR(__xludf.DUMMYFUNCTION("""COMPUTED_VALUE"""),"USA")</f>
        <v>USA</v>
      </c>
      <c r="E1395" s="188">
        <f>IFERROR(__xludf.DUMMYFUNCTION("""COMPUTED_VALUE"""),43381.0)</f>
        <v>43381</v>
      </c>
      <c r="F1395" s="188">
        <f>IFERROR(__xludf.DUMMYFUNCTION("""COMPUTED_VALUE"""),43425.0)</f>
        <v>43425</v>
      </c>
      <c r="H1395">
        <f>IFERROR(__xludf.DUMMYFUNCTION("""COMPUTED_VALUE"""),112055.0)</f>
        <v>112055</v>
      </c>
      <c r="I1395" t="str">
        <f>IFERROR(__xludf.DUMMYFUNCTION("""COMPUTED_VALUE"""),"11/18")</f>
        <v>11/18</v>
      </c>
      <c r="J1395" s="5">
        <f>IFERROR(__xludf.DUMMYFUNCTION("""COMPUTED_VALUE"""),43434.0)</f>
        <v>43434</v>
      </c>
      <c r="K1395">
        <f>IFERROR(__xludf.DUMMYFUNCTION("""COMPUTED_VALUE"""),44.0)</f>
        <v>44</v>
      </c>
      <c r="L1395">
        <f>IFERROR(__xludf.DUMMYFUNCTION("""COMPUTED_VALUE"""),9.0)</f>
        <v>9</v>
      </c>
      <c r="M1395">
        <f>IFERROR(__xludf.DUMMYFUNCTION("""COMPUTED_VALUE"""),53.0)</f>
        <v>53</v>
      </c>
      <c r="N1395" t="str">
        <f>IFERROR(__xludf.DUMMYFUNCTION("""COMPUTED_VALUE"""),"Model 3 LR AWD")</f>
        <v>Model 3 LR AWD</v>
      </c>
      <c r="O1395" t="str">
        <f>IFERROR(__xludf.DUMMYFUNCTION("""COMPUTED_VALUE"""),"Red Multi-Coat")</f>
        <v>Red Multi-Coat</v>
      </c>
      <c r="P1395" t="str">
        <f>IFERROR(__xludf.DUMMYFUNCTION("""COMPUTED_VALUE"""),"19 inch Sport")</f>
        <v>19 inch Sport</v>
      </c>
      <c r="Q1395" t="str">
        <f>IFERROR(__xludf.DUMMYFUNCTION("""COMPUTED_VALUE"""),"White seats")</f>
        <v>White seats</v>
      </c>
      <c r="R1395" t="str">
        <f>IFERROR(__xludf.DUMMYFUNCTION("""COMPUTED_VALUE"""),"None")</f>
        <v>None</v>
      </c>
      <c r="X1395" t="str">
        <f>IFERROR(__xludf.DUMMYFUNCTION("""COMPUTED_VALUE"""),"Excellent")</f>
        <v>Excellent</v>
      </c>
      <c r="Y1395" t="str">
        <f>IFERROR(__xludf.DUMMYFUNCTION("""COMPUTED_VALUE"""),"Excellent")</f>
        <v>Excellent</v>
      </c>
      <c r="Z1395" t="str">
        <f>IFERROR(__xludf.DUMMYFUNCTION("""COMPUTED_VALUE"""),"Very Good")</f>
        <v>Very Good</v>
      </c>
      <c r="AA1395" t="str">
        <f>IFERROR(__xludf.DUMMYFUNCTION("""COMPUTED_VALUE"""),"Fair")</f>
        <v>Fair</v>
      </c>
      <c r="AB1395" t="str">
        <f>IFERROR(__xludf.DUMMYFUNCTION("""COMPUTED_VALUE"""),"Fair")</f>
        <v>Fair</v>
      </c>
      <c r="AH1395" s="189">
        <f>IFERROR(__xludf.DUMMYFUNCTION("""COMPUTED_VALUE"""),43436.84173543981)</f>
        <v>43436.84174</v>
      </c>
    </row>
    <row r="1396">
      <c r="A1396" t="str">
        <f>IFERROR(__xludf.DUMMYFUNCTION("""COMPUTED_VALUE"""),"mxl")</f>
        <v>mxl</v>
      </c>
      <c r="B1396" t="str">
        <f>IFERROR(__xludf.DUMMYFUNCTION("""COMPUTED_VALUE"""),"Harrisburg")</f>
        <v>Harrisburg</v>
      </c>
      <c r="C1396" t="str">
        <f>IFERROR(__xludf.DUMMYFUNCTION("""COMPUTED_VALUE"""),"PA")</f>
        <v>PA</v>
      </c>
      <c r="D1396" t="str">
        <f>IFERROR(__xludf.DUMMYFUNCTION("""COMPUTED_VALUE"""),"USA")</f>
        <v>USA</v>
      </c>
      <c r="E1396" s="188">
        <f>IFERROR(__xludf.DUMMYFUNCTION("""COMPUTED_VALUE"""),43394.0)</f>
        <v>43394</v>
      </c>
      <c r="F1396" s="188">
        <f>IFERROR(__xludf.DUMMYFUNCTION("""COMPUTED_VALUE"""),43422.0)</f>
        <v>43422</v>
      </c>
      <c r="H1396">
        <f>IFERROR(__xludf.DUMMYFUNCTION("""COMPUTED_VALUE"""),153255.0)</f>
        <v>153255</v>
      </c>
      <c r="I1396" t="str">
        <f>IFERROR(__xludf.DUMMYFUNCTION("""COMPUTED_VALUE"""),"11/18")</f>
        <v>11/18</v>
      </c>
      <c r="J1396" s="5">
        <f>IFERROR(__xludf.DUMMYFUNCTION("""COMPUTED_VALUE"""),43428.0)</f>
        <v>43428</v>
      </c>
      <c r="K1396">
        <f>IFERROR(__xludf.DUMMYFUNCTION("""COMPUTED_VALUE"""),28.0)</f>
        <v>28</v>
      </c>
      <c r="L1396">
        <f>IFERROR(__xludf.DUMMYFUNCTION("""COMPUTED_VALUE"""),6.0)</f>
        <v>6</v>
      </c>
      <c r="M1396">
        <f>IFERROR(__xludf.DUMMYFUNCTION("""COMPUTED_VALUE"""),34.0)</f>
        <v>34</v>
      </c>
      <c r="N1396" t="str">
        <f>IFERROR(__xludf.DUMMYFUNCTION("""COMPUTED_VALUE"""),"Model 3 MR")</f>
        <v>Model 3 MR</v>
      </c>
      <c r="O1396" t="str">
        <f>IFERROR(__xludf.DUMMYFUNCTION("""COMPUTED_VALUE"""),"Pearl White Multi-Coat")</f>
        <v>Pearl White Multi-Coat</v>
      </c>
      <c r="P1396" t="str">
        <f>IFERROR(__xludf.DUMMYFUNCTION("""COMPUTED_VALUE"""),"18 inch Aero")</f>
        <v>18 inch Aero</v>
      </c>
      <c r="Q1396" t="str">
        <f>IFERROR(__xludf.DUMMYFUNCTION("""COMPUTED_VALUE"""),"Black seats")</f>
        <v>Black seats</v>
      </c>
      <c r="R1396" t="str">
        <f>IFERROR(__xludf.DUMMYFUNCTION("""COMPUTED_VALUE"""),"Enhanced Autopilot")</f>
        <v>Enhanced Autopilot</v>
      </c>
      <c r="X1396" t="str">
        <f>IFERROR(__xludf.DUMMYFUNCTION("""COMPUTED_VALUE"""),"Excellent")</f>
        <v>Excellent</v>
      </c>
      <c r="Y1396" t="str">
        <f>IFERROR(__xludf.DUMMYFUNCTION("""COMPUTED_VALUE"""),"Excellent")</f>
        <v>Excellent</v>
      </c>
      <c r="Z1396" t="str">
        <f>IFERROR(__xludf.DUMMYFUNCTION("""COMPUTED_VALUE"""),"Excellent")</f>
        <v>Excellent</v>
      </c>
      <c r="AA1396" t="str">
        <f>IFERROR(__xludf.DUMMYFUNCTION("""COMPUTED_VALUE"""),"Poor")</f>
        <v>Poor</v>
      </c>
      <c r="AB1396" t="str">
        <f>IFERROR(__xludf.DUMMYFUNCTION("""COMPUTED_VALUE"""),"Poor")</f>
        <v>Poor</v>
      </c>
      <c r="AC1396">
        <f>IFERROR(__xludf.DUMMYFUNCTION("""COMPUTED_VALUE"""),0.0)</f>
        <v>0</v>
      </c>
      <c r="AG1396" t="str">
        <f>IFERROR(__xludf.DUMMYFUNCTION("""COMPUTED_VALUE"""),"Pre delivery payments not deducted from MVPA and total purchase price")</f>
        <v>Pre delivery payments not deducted from MVPA and total purchase price</v>
      </c>
      <c r="AH1396" s="189">
        <f>IFERROR(__xludf.DUMMYFUNCTION("""COMPUTED_VALUE"""),43436.8545071875)</f>
        <v>43436.85451</v>
      </c>
    </row>
    <row r="1397">
      <c r="A1397" t="str">
        <f>IFERROR(__xludf.DUMMYFUNCTION("""COMPUTED_VALUE"""),"DJ Frustration")</f>
        <v>DJ Frustration</v>
      </c>
      <c r="B1397" t="str">
        <f>IFERROR(__xludf.DUMMYFUNCTION("""COMPUTED_VALUE"""),"Miami")</f>
        <v>Miami</v>
      </c>
      <c r="C1397" t="str">
        <f>IFERROR(__xludf.DUMMYFUNCTION("""COMPUTED_VALUE"""),"FL")</f>
        <v>FL</v>
      </c>
      <c r="D1397" t="str">
        <f>IFERROR(__xludf.DUMMYFUNCTION("""COMPUTED_VALUE"""),"USA")</f>
        <v>USA</v>
      </c>
      <c r="E1397" s="188">
        <f>IFERROR(__xludf.DUMMYFUNCTION("""COMPUTED_VALUE"""),43398.0)</f>
        <v>43398</v>
      </c>
      <c r="F1397" s="188">
        <f>IFERROR(__xludf.DUMMYFUNCTION("""COMPUTED_VALUE"""),43419.0)</f>
        <v>43419</v>
      </c>
      <c r="H1397">
        <f>IFERROR(__xludf.DUMMYFUNCTION("""COMPUTED_VALUE"""),61854.0)</f>
        <v>61854</v>
      </c>
      <c r="I1397" t="str">
        <f>IFERROR(__xludf.DUMMYFUNCTION("""COMPUTED_VALUE"""),"11/18")</f>
        <v>11/18</v>
      </c>
      <c r="J1397" s="5">
        <f>IFERROR(__xludf.DUMMYFUNCTION("""COMPUTED_VALUE"""),43435.0)</f>
        <v>43435</v>
      </c>
      <c r="K1397">
        <f>IFERROR(__xludf.DUMMYFUNCTION("""COMPUTED_VALUE"""),21.0)</f>
        <v>21</v>
      </c>
      <c r="L1397">
        <f>IFERROR(__xludf.DUMMYFUNCTION("""COMPUTED_VALUE"""),16.0)</f>
        <v>16</v>
      </c>
      <c r="M1397">
        <f>IFERROR(__xludf.DUMMYFUNCTION("""COMPUTED_VALUE"""),37.0)</f>
        <v>37</v>
      </c>
      <c r="N1397" t="str">
        <f>IFERROR(__xludf.DUMMYFUNCTION("""COMPUTED_VALUE"""),"Model 3 LR")</f>
        <v>Model 3 LR</v>
      </c>
      <c r="O1397" t="str">
        <f>IFERROR(__xludf.DUMMYFUNCTION("""COMPUTED_VALUE"""),"Solid Black")</f>
        <v>Solid Black</v>
      </c>
      <c r="P1397" t="str">
        <f>IFERROR(__xludf.DUMMYFUNCTION("""COMPUTED_VALUE"""),"18 inch Aero")</f>
        <v>18 inch Aero</v>
      </c>
      <c r="Q1397" t="str">
        <f>IFERROR(__xludf.DUMMYFUNCTION("""COMPUTED_VALUE"""),"Black seats")</f>
        <v>Black seats</v>
      </c>
      <c r="R1397" t="str">
        <f>IFERROR(__xludf.DUMMYFUNCTION("""COMPUTED_VALUE"""),"Enhanced Autopilot")</f>
        <v>Enhanced Autopilot</v>
      </c>
      <c r="X1397" t="str">
        <f>IFERROR(__xludf.DUMMYFUNCTION("""COMPUTED_VALUE"""),"Excellent")</f>
        <v>Excellent</v>
      </c>
      <c r="Y1397" t="str">
        <f>IFERROR(__xludf.DUMMYFUNCTION("""COMPUTED_VALUE"""),"Excellent")</f>
        <v>Excellent</v>
      </c>
      <c r="Z1397" t="str">
        <f>IFERROR(__xludf.DUMMYFUNCTION("""COMPUTED_VALUE"""),"Excellent")</f>
        <v>Excellent</v>
      </c>
      <c r="AA1397" t="str">
        <f>IFERROR(__xludf.DUMMYFUNCTION("""COMPUTED_VALUE"""),"Excellent")</f>
        <v>Excellent</v>
      </c>
      <c r="AB1397" t="str">
        <f>IFERROR(__xludf.DUMMYFUNCTION("""COMPUTED_VALUE"""),"Very Good")</f>
        <v>Very Good</v>
      </c>
      <c r="AH1397" s="189">
        <f>IFERROR(__xludf.DUMMYFUNCTION("""COMPUTED_VALUE"""),43437.27779107638)</f>
        <v>43437.27779</v>
      </c>
    </row>
    <row r="1398">
      <c r="A1398" t="str">
        <f>IFERROR(__xludf.DUMMYFUNCTION("""COMPUTED_VALUE"""),"kwbump")</f>
        <v>kwbump</v>
      </c>
      <c r="B1398" t="str">
        <f>IFERROR(__xludf.DUMMYFUNCTION("""COMPUTED_VALUE"""),"Nashville")</f>
        <v>Nashville</v>
      </c>
      <c r="C1398" t="str">
        <f>IFERROR(__xludf.DUMMYFUNCTION("""COMPUTED_VALUE"""),"TN")</f>
        <v>TN</v>
      </c>
      <c r="D1398" t="str">
        <f>IFERROR(__xludf.DUMMYFUNCTION("""COMPUTED_VALUE"""),"USA")</f>
        <v>USA</v>
      </c>
      <c r="E1398" s="188">
        <f>IFERROR(__xludf.DUMMYFUNCTION("""COMPUTED_VALUE"""),43407.0)</f>
        <v>43407</v>
      </c>
      <c r="H1398">
        <f>IFERROR(__xludf.DUMMYFUNCTION("""COMPUTED_VALUE"""),127952.0)</f>
        <v>127952</v>
      </c>
      <c r="J1398" s="5">
        <f>IFERROR(__xludf.DUMMYFUNCTION("""COMPUTED_VALUE"""),43432.0)</f>
        <v>43432</v>
      </c>
      <c r="M1398">
        <f>IFERROR(__xludf.DUMMYFUNCTION("""COMPUTED_VALUE"""),25.0)</f>
        <v>25</v>
      </c>
      <c r="N1398" t="str">
        <f>IFERROR(__xludf.DUMMYFUNCTION("""COMPUTED_VALUE"""),"Model 3 LR AWD")</f>
        <v>Model 3 LR AWD</v>
      </c>
      <c r="O1398" t="str">
        <f>IFERROR(__xludf.DUMMYFUNCTION("""COMPUTED_VALUE"""),"Solid Black")</f>
        <v>Solid Black</v>
      </c>
      <c r="P1398" t="str">
        <f>IFERROR(__xludf.DUMMYFUNCTION("""COMPUTED_VALUE"""),"18 inch Aero")</f>
        <v>18 inch Aero</v>
      </c>
      <c r="Q1398" t="str">
        <f>IFERROR(__xludf.DUMMYFUNCTION("""COMPUTED_VALUE"""),"Black seats")</f>
        <v>Black seats</v>
      </c>
      <c r="R1398" t="str">
        <f>IFERROR(__xludf.DUMMYFUNCTION("""COMPUTED_VALUE"""),"Enhanced Autopilot")</f>
        <v>Enhanced Autopilot</v>
      </c>
      <c r="X1398" t="str">
        <f>IFERROR(__xludf.DUMMYFUNCTION("""COMPUTED_VALUE"""),"Excellent")</f>
        <v>Excellent</v>
      </c>
      <c r="Y1398" t="str">
        <f>IFERROR(__xludf.DUMMYFUNCTION("""COMPUTED_VALUE"""),"Excellent")</f>
        <v>Excellent</v>
      </c>
      <c r="Z1398" t="str">
        <f>IFERROR(__xludf.DUMMYFUNCTION("""COMPUTED_VALUE"""),"Excellent")</f>
        <v>Excellent</v>
      </c>
      <c r="AA1398" t="str">
        <f>IFERROR(__xludf.DUMMYFUNCTION("""COMPUTED_VALUE"""),"Poor")</f>
        <v>Poor</v>
      </c>
      <c r="AB1398" t="str">
        <f>IFERROR(__xludf.DUMMYFUNCTION("""COMPUTED_VALUE"""),"Good")</f>
        <v>Good</v>
      </c>
      <c r="AH1398" s="189">
        <f>IFERROR(__xludf.DUMMYFUNCTION("""COMPUTED_VALUE"""),43437.30840579861)</f>
        <v>43437.30841</v>
      </c>
    </row>
    <row r="1399">
      <c r="A1399" t="str">
        <f>IFERROR(__xludf.DUMMYFUNCTION("""COMPUTED_VALUE"""),"remlemasi2")</f>
        <v>remlemasi2</v>
      </c>
      <c r="B1399" t="str">
        <f>IFERROR(__xludf.DUMMYFUNCTION("""COMPUTED_VALUE"""),"SoCal")</f>
        <v>SoCal</v>
      </c>
      <c r="C1399" t="str">
        <f>IFERROR(__xludf.DUMMYFUNCTION("""COMPUTED_VALUE"""),"CA")</f>
        <v>CA</v>
      </c>
      <c r="D1399" t="str">
        <f>IFERROR(__xludf.DUMMYFUNCTION("""COMPUTED_VALUE"""),"USA")</f>
        <v>USA</v>
      </c>
      <c r="E1399" s="188">
        <f>IFERROR(__xludf.DUMMYFUNCTION("""COMPUTED_VALUE"""),43391.0)</f>
        <v>43391</v>
      </c>
      <c r="F1399" s="188">
        <f>IFERROR(__xludf.DUMMYFUNCTION("""COMPUTED_VALUE"""),43432.0)</f>
        <v>43432</v>
      </c>
      <c r="H1399">
        <f>IFERROR(__xludf.DUMMYFUNCTION("""COMPUTED_VALUE"""),153555.0)</f>
        <v>153555</v>
      </c>
      <c r="J1399" s="5">
        <f>IFERROR(__xludf.DUMMYFUNCTION("""COMPUTED_VALUE"""),43434.0)</f>
        <v>43434</v>
      </c>
      <c r="K1399">
        <f>IFERROR(__xludf.DUMMYFUNCTION("""COMPUTED_VALUE"""),41.0)</f>
        <v>41</v>
      </c>
      <c r="L1399">
        <f>IFERROR(__xludf.DUMMYFUNCTION("""COMPUTED_VALUE"""),2.0)</f>
        <v>2</v>
      </c>
      <c r="M1399">
        <f>IFERROR(__xludf.DUMMYFUNCTION("""COMPUTED_VALUE"""),43.0)</f>
        <v>43</v>
      </c>
      <c r="N1399" t="str">
        <f>IFERROR(__xludf.DUMMYFUNCTION("""COMPUTED_VALUE"""),"Model 3 MR")</f>
        <v>Model 3 MR</v>
      </c>
      <c r="O1399" t="str">
        <f>IFERROR(__xludf.DUMMYFUNCTION("""COMPUTED_VALUE"""),"Midnight Silver Metallic")</f>
        <v>Midnight Silver Metallic</v>
      </c>
      <c r="P1399" t="str">
        <f>IFERROR(__xludf.DUMMYFUNCTION("""COMPUTED_VALUE"""),"18 inch Aero")</f>
        <v>18 inch Aero</v>
      </c>
      <c r="Q1399" t="str">
        <f>IFERROR(__xludf.DUMMYFUNCTION("""COMPUTED_VALUE"""),"Black seats")</f>
        <v>Black seats</v>
      </c>
      <c r="R1399" t="str">
        <f>IFERROR(__xludf.DUMMYFUNCTION("""COMPUTED_VALUE"""),"None")</f>
        <v>None</v>
      </c>
      <c r="X1399" t="str">
        <f>IFERROR(__xludf.DUMMYFUNCTION("""COMPUTED_VALUE"""),"Good")</f>
        <v>Good</v>
      </c>
      <c r="Y1399" t="str">
        <f>IFERROR(__xludf.DUMMYFUNCTION("""COMPUTED_VALUE"""),"Very Good")</f>
        <v>Very Good</v>
      </c>
      <c r="Z1399" t="str">
        <f>IFERROR(__xludf.DUMMYFUNCTION("""COMPUTED_VALUE"""),"Very Good")</f>
        <v>Very Good</v>
      </c>
      <c r="AA1399" t="str">
        <f>IFERROR(__xludf.DUMMYFUNCTION("""COMPUTED_VALUE"""),"Good")</f>
        <v>Good</v>
      </c>
      <c r="AB1399" t="str">
        <f>IFERROR(__xludf.DUMMYFUNCTION("""COMPUTED_VALUE"""),"Fair")</f>
        <v>Fair</v>
      </c>
      <c r="AC1399">
        <f>IFERROR(__xludf.DUMMYFUNCTION("""COMPUTED_VALUE"""),1.0)</f>
        <v>1</v>
      </c>
      <c r="AG1399" t="str">
        <f>IFERROR(__xludf.DUMMYFUNCTION("""COMPUTED_VALUE"""),"Delivery date moved up from 12/5")</f>
        <v>Delivery date moved up from 12/5</v>
      </c>
      <c r="AH1399" s="189">
        <f>IFERROR(__xludf.DUMMYFUNCTION("""COMPUTED_VALUE"""),43437.40640976852)</f>
        <v>43437.40641</v>
      </c>
    </row>
    <row r="1400">
      <c r="A1400" t="str">
        <f>IFERROR(__xludf.DUMMYFUNCTION("""COMPUTED_VALUE"""),"ntropy")</f>
        <v>ntropy</v>
      </c>
      <c r="B1400" t="str">
        <f>IFERROR(__xludf.DUMMYFUNCTION("""COMPUTED_VALUE"""),"chicago")</f>
        <v>chicago</v>
      </c>
      <c r="C1400" t="str">
        <f>IFERROR(__xludf.DUMMYFUNCTION("""COMPUTED_VALUE"""),"IL")</f>
        <v>IL</v>
      </c>
      <c r="D1400" t="str">
        <f>IFERROR(__xludf.DUMMYFUNCTION("""COMPUTED_VALUE"""),"USA")</f>
        <v>USA</v>
      </c>
      <c r="E1400" s="188">
        <f>IFERROR(__xludf.DUMMYFUNCTION("""COMPUTED_VALUE"""),43413.0)</f>
        <v>43413</v>
      </c>
      <c r="F1400" s="188">
        <f>IFERROR(__xludf.DUMMYFUNCTION("""COMPUTED_VALUE"""),43423.0)</f>
        <v>43423</v>
      </c>
      <c r="H1400">
        <f>IFERROR(__xludf.DUMMYFUNCTION("""COMPUTED_VALUE"""),154255.0)</f>
        <v>154255</v>
      </c>
      <c r="J1400" s="5">
        <f>IFERROR(__xludf.DUMMYFUNCTION("""COMPUTED_VALUE"""),43437.0)</f>
        <v>43437</v>
      </c>
      <c r="K1400">
        <f>IFERROR(__xludf.DUMMYFUNCTION("""COMPUTED_VALUE"""),10.0)</f>
        <v>10</v>
      </c>
      <c r="L1400">
        <f>IFERROR(__xludf.DUMMYFUNCTION("""COMPUTED_VALUE"""),14.0)</f>
        <v>14</v>
      </c>
      <c r="M1400">
        <f>IFERROR(__xludf.DUMMYFUNCTION("""COMPUTED_VALUE"""),24.0)</f>
        <v>24</v>
      </c>
      <c r="N1400" t="str">
        <f>IFERROR(__xludf.DUMMYFUNCTION("""COMPUTED_VALUE"""),"Model 3 MR")</f>
        <v>Model 3 MR</v>
      </c>
      <c r="O1400" t="str">
        <f>IFERROR(__xludf.DUMMYFUNCTION("""COMPUTED_VALUE"""),"Deep Blue Metallic")</f>
        <v>Deep Blue Metallic</v>
      </c>
      <c r="P1400" t="str">
        <f>IFERROR(__xludf.DUMMYFUNCTION("""COMPUTED_VALUE"""),"18 inch Aero")</f>
        <v>18 inch Aero</v>
      </c>
      <c r="Q1400" t="str">
        <f>IFERROR(__xludf.DUMMYFUNCTION("""COMPUTED_VALUE"""),"Black seats")</f>
        <v>Black seats</v>
      </c>
      <c r="R1400" t="str">
        <f>IFERROR(__xludf.DUMMYFUNCTION("""COMPUTED_VALUE"""),"None")</f>
        <v>None</v>
      </c>
      <c r="X1400" t="str">
        <f>IFERROR(__xludf.DUMMYFUNCTION("""COMPUTED_VALUE"""),"Very Good")</f>
        <v>Very Good</v>
      </c>
      <c r="Y1400" t="str">
        <f>IFERROR(__xludf.DUMMYFUNCTION("""COMPUTED_VALUE"""),"Very Good")</f>
        <v>Very Good</v>
      </c>
      <c r="Z1400" t="str">
        <f>IFERROR(__xludf.DUMMYFUNCTION("""COMPUTED_VALUE"""),"Very Good")</f>
        <v>Very Good</v>
      </c>
      <c r="AA1400" t="str">
        <f>IFERROR(__xludf.DUMMYFUNCTION("""COMPUTED_VALUE"""),"Very Good")</f>
        <v>Very Good</v>
      </c>
      <c r="AB1400" t="str">
        <f>IFERROR(__xludf.DUMMYFUNCTION("""COMPUTED_VALUE"""),"Good")</f>
        <v>Good</v>
      </c>
      <c r="AH1400" s="189">
        <f>IFERROR(__xludf.DUMMYFUNCTION("""COMPUTED_VALUE"""),43437.48794045139)</f>
        <v>43437.48794</v>
      </c>
    </row>
    <row r="1401">
      <c r="A1401" t="str">
        <f>IFERROR(__xludf.DUMMYFUNCTION("""COMPUTED_VALUE"""),"cdipierro")</f>
        <v>cdipierro</v>
      </c>
      <c r="B1401" t="str">
        <f>IFERROR(__xludf.DUMMYFUNCTION("""COMPUTED_VALUE"""),"Tampa")</f>
        <v>Tampa</v>
      </c>
      <c r="C1401" t="str">
        <f>IFERROR(__xludf.DUMMYFUNCTION("""COMPUTED_VALUE"""),"FL")</f>
        <v>FL</v>
      </c>
      <c r="D1401" t="str">
        <f>IFERROR(__xludf.DUMMYFUNCTION("""COMPUTED_VALUE"""),"USA")</f>
        <v>USA</v>
      </c>
      <c r="E1401" s="188">
        <f>IFERROR(__xludf.DUMMYFUNCTION("""COMPUTED_VALUE"""),43396.0)</f>
        <v>43396</v>
      </c>
      <c r="F1401" s="188">
        <f>IFERROR(__xludf.DUMMYFUNCTION("""COMPUTED_VALUE"""),43430.0)</f>
        <v>43430</v>
      </c>
      <c r="H1401">
        <f>IFERROR(__xludf.DUMMYFUNCTION("""COMPUTED_VALUE"""),154284.0)</f>
        <v>154284</v>
      </c>
      <c r="J1401" s="5">
        <f>IFERROR(__xludf.DUMMYFUNCTION("""COMPUTED_VALUE"""),43437.0)</f>
        <v>43437</v>
      </c>
      <c r="K1401">
        <f>IFERROR(__xludf.DUMMYFUNCTION("""COMPUTED_VALUE"""),34.0)</f>
        <v>34</v>
      </c>
      <c r="L1401">
        <f>IFERROR(__xludf.DUMMYFUNCTION("""COMPUTED_VALUE"""),7.0)</f>
        <v>7</v>
      </c>
      <c r="M1401">
        <f>IFERROR(__xludf.DUMMYFUNCTION("""COMPUTED_VALUE"""),41.0)</f>
        <v>41</v>
      </c>
      <c r="N1401" t="str">
        <f>IFERROR(__xludf.DUMMYFUNCTION("""COMPUTED_VALUE"""),"Model 3 MR")</f>
        <v>Model 3 MR</v>
      </c>
      <c r="O1401" t="str">
        <f>IFERROR(__xludf.DUMMYFUNCTION("""COMPUTED_VALUE"""),"Deep Blue Metallic")</f>
        <v>Deep Blue Metallic</v>
      </c>
      <c r="P1401" t="str">
        <f>IFERROR(__xludf.DUMMYFUNCTION("""COMPUTED_VALUE"""),"18 inch Aero")</f>
        <v>18 inch Aero</v>
      </c>
      <c r="Q1401" t="str">
        <f>IFERROR(__xludf.DUMMYFUNCTION("""COMPUTED_VALUE"""),"Black seats")</f>
        <v>Black seats</v>
      </c>
      <c r="R1401" t="str">
        <f>IFERROR(__xludf.DUMMYFUNCTION("""COMPUTED_VALUE"""),"None")</f>
        <v>None</v>
      </c>
      <c r="X1401" t="str">
        <f>IFERROR(__xludf.DUMMYFUNCTION("""COMPUTED_VALUE"""),"Excellent")</f>
        <v>Excellent</v>
      </c>
      <c r="Y1401" t="str">
        <f>IFERROR(__xludf.DUMMYFUNCTION("""COMPUTED_VALUE"""),"Excellent")</f>
        <v>Excellent</v>
      </c>
      <c r="Z1401" t="str">
        <f>IFERROR(__xludf.DUMMYFUNCTION("""COMPUTED_VALUE"""),"Excellent")</f>
        <v>Excellent</v>
      </c>
      <c r="AA1401" t="str">
        <f>IFERROR(__xludf.DUMMYFUNCTION("""COMPUTED_VALUE"""),"Excellent")</f>
        <v>Excellent</v>
      </c>
      <c r="AB1401" t="str">
        <f>IFERROR(__xludf.DUMMYFUNCTION("""COMPUTED_VALUE"""),"Excellent")</f>
        <v>Excellent</v>
      </c>
      <c r="AH1401" s="189">
        <f>IFERROR(__xludf.DUMMYFUNCTION("""COMPUTED_VALUE"""),43437.50245101852)</f>
        <v>43437.50245</v>
      </c>
    </row>
    <row r="1402">
      <c r="A1402" t="str">
        <f>IFERROR(__xludf.DUMMYFUNCTION("""COMPUTED_VALUE"""),"klj23")</f>
        <v>klj23</v>
      </c>
      <c r="B1402" t="str">
        <f>IFERROR(__xludf.DUMMYFUNCTION("""COMPUTED_VALUE"""),"Brooklyn")</f>
        <v>Brooklyn</v>
      </c>
      <c r="C1402" t="str">
        <f>IFERROR(__xludf.DUMMYFUNCTION("""COMPUTED_VALUE"""),"NY")</f>
        <v>NY</v>
      </c>
      <c r="D1402" t="str">
        <f>IFERROR(__xludf.DUMMYFUNCTION("""COMPUTED_VALUE"""),"USA")</f>
        <v>USA</v>
      </c>
      <c r="E1402" s="188">
        <f>IFERROR(__xludf.DUMMYFUNCTION("""COMPUTED_VALUE"""),43398.0)</f>
        <v>43398</v>
      </c>
      <c r="J1402" s="5">
        <f>IFERROR(__xludf.DUMMYFUNCTION("""COMPUTED_VALUE"""),43433.0)</f>
        <v>43433</v>
      </c>
      <c r="M1402">
        <f>IFERROR(__xludf.DUMMYFUNCTION("""COMPUTED_VALUE"""),35.0)</f>
        <v>35</v>
      </c>
      <c r="N1402" t="str">
        <f>IFERROR(__xludf.DUMMYFUNCTION("""COMPUTED_VALUE"""),"Model 3 MR")</f>
        <v>Model 3 MR</v>
      </c>
      <c r="O1402" t="str">
        <f>IFERROR(__xludf.DUMMYFUNCTION("""COMPUTED_VALUE"""),"Solid Black")</f>
        <v>Solid Black</v>
      </c>
      <c r="P1402" t="str">
        <f>IFERROR(__xludf.DUMMYFUNCTION("""COMPUTED_VALUE"""),"18 inch Aero")</f>
        <v>18 inch Aero</v>
      </c>
      <c r="Q1402" t="str">
        <f>IFERROR(__xludf.DUMMYFUNCTION("""COMPUTED_VALUE"""),"Black seats")</f>
        <v>Black seats</v>
      </c>
      <c r="R1402" t="str">
        <f>IFERROR(__xludf.DUMMYFUNCTION("""COMPUTED_VALUE"""),"None")</f>
        <v>None</v>
      </c>
      <c r="X1402" t="str">
        <f>IFERROR(__xludf.DUMMYFUNCTION("""COMPUTED_VALUE"""),"Excellent")</f>
        <v>Excellent</v>
      </c>
      <c r="Y1402" t="str">
        <f>IFERROR(__xludf.DUMMYFUNCTION("""COMPUTED_VALUE"""),"Excellent")</f>
        <v>Excellent</v>
      </c>
      <c r="Z1402" t="str">
        <f>IFERROR(__xludf.DUMMYFUNCTION("""COMPUTED_VALUE"""),"Excellent")</f>
        <v>Excellent</v>
      </c>
      <c r="AA1402" t="str">
        <f>IFERROR(__xludf.DUMMYFUNCTION("""COMPUTED_VALUE"""),"Excellent")</f>
        <v>Excellent</v>
      </c>
      <c r="AB1402" t="str">
        <f>IFERROR(__xludf.DUMMYFUNCTION("""COMPUTED_VALUE"""),"Excellent")</f>
        <v>Excellent</v>
      </c>
      <c r="AH1402" s="189">
        <f>IFERROR(__xludf.DUMMYFUNCTION("""COMPUTED_VALUE"""),43437.51234623842)</f>
        <v>43437.51235</v>
      </c>
    </row>
    <row r="1403">
      <c r="A1403" t="str">
        <f>IFERROR(__xludf.DUMMYFUNCTION("""COMPUTED_VALUE"""),"hanergy")</f>
        <v>hanergy</v>
      </c>
      <c r="B1403" t="str">
        <f>IFERROR(__xludf.DUMMYFUNCTION("""COMPUTED_VALUE"""),"Upstate NY")</f>
        <v>Upstate NY</v>
      </c>
      <c r="C1403" t="str">
        <f>IFERROR(__xludf.DUMMYFUNCTION("""COMPUTED_VALUE"""),"NY")</f>
        <v>NY</v>
      </c>
      <c r="D1403" t="str">
        <f>IFERROR(__xludf.DUMMYFUNCTION("""COMPUTED_VALUE"""),"USA")</f>
        <v>USA</v>
      </c>
      <c r="E1403" s="188">
        <f>IFERROR(__xludf.DUMMYFUNCTION("""COMPUTED_VALUE"""),43398.0)</f>
        <v>43398</v>
      </c>
      <c r="F1403" s="188">
        <f>IFERROR(__xludf.DUMMYFUNCTION("""COMPUTED_VALUE"""),43419.0)</f>
        <v>43419</v>
      </c>
      <c r="H1403">
        <f>IFERROR(__xludf.DUMMYFUNCTION("""COMPUTED_VALUE"""),154355.0)</f>
        <v>154355</v>
      </c>
      <c r="I1403" t="str">
        <f>IFERROR(__xludf.DUMMYFUNCTION("""COMPUTED_VALUE"""),"11/18")</f>
        <v>11/18</v>
      </c>
      <c r="J1403" s="5">
        <f>IFERROR(__xludf.DUMMYFUNCTION("""COMPUTED_VALUE"""),43431.0)</f>
        <v>43431</v>
      </c>
      <c r="K1403">
        <f>IFERROR(__xludf.DUMMYFUNCTION("""COMPUTED_VALUE"""),21.0)</f>
        <v>21</v>
      </c>
      <c r="L1403">
        <f>IFERROR(__xludf.DUMMYFUNCTION("""COMPUTED_VALUE"""),12.0)</f>
        <v>12</v>
      </c>
      <c r="M1403">
        <f>IFERROR(__xludf.DUMMYFUNCTION("""COMPUTED_VALUE"""),33.0)</f>
        <v>33</v>
      </c>
      <c r="N1403" t="str">
        <f>IFERROR(__xludf.DUMMYFUNCTION("""COMPUTED_VALUE"""),"Model 3 MR")</f>
        <v>Model 3 MR</v>
      </c>
      <c r="O1403" t="str">
        <f>IFERROR(__xludf.DUMMYFUNCTION("""COMPUTED_VALUE"""),"Deep Blue Metallic")</f>
        <v>Deep Blue Metallic</v>
      </c>
      <c r="P1403" t="str">
        <f>IFERROR(__xludf.DUMMYFUNCTION("""COMPUTED_VALUE"""),"18 inch Aero")</f>
        <v>18 inch Aero</v>
      </c>
      <c r="Q1403" t="str">
        <f>IFERROR(__xludf.DUMMYFUNCTION("""COMPUTED_VALUE"""),"Black seats")</f>
        <v>Black seats</v>
      </c>
      <c r="R1403" t="str">
        <f>IFERROR(__xludf.DUMMYFUNCTION("""COMPUTED_VALUE"""),"Enhanced Autopilot")</f>
        <v>Enhanced Autopilot</v>
      </c>
      <c r="X1403" t="str">
        <f>IFERROR(__xludf.DUMMYFUNCTION("""COMPUTED_VALUE"""),"Excellent")</f>
        <v>Excellent</v>
      </c>
      <c r="Y1403" t="str">
        <f>IFERROR(__xludf.DUMMYFUNCTION("""COMPUTED_VALUE"""),"Excellent")</f>
        <v>Excellent</v>
      </c>
      <c r="Z1403" t="str">
        <f>IFERROR(__xludf.DUMMYFUNCTION("""COMPUTED_VALUE"""),"Very Good")</f>
        <v>Very Good</v>
      </c>
      <c r="AA1403" t="str">
        <f>IFERROR(__xludf.DUMMYFUNCTION("""COMPUTED_VALUE"""),"Poor")</f>
        <v>Poor</v>
      </c>
      <c r="AB1403" t="str">
        <f>IFERROR(__xludf.DUMMYFUNCTION("""COMPUTED_VALUE"""),"Very Good")</f>
        <v>Very Good</v>
      </c>
      <c r="AC1403">
        <f>IFERROR(__xludf.DUMMYFUNCTION("""COMPUTED_VALUE"""),2.0)</f>
        <v>2</v>
      </c>
      <c r="AH1403" s="189">
        <f>IFERROR(__xludf.DUMMYFUNCTION("""COMPUTED_VALUE"""),43437.533448483795)</f>
        <v>43437.53345</v>
      </c>
    </row>
    <row r="1404">
      <c r="A1404" t="str">
        <f>IFERROR(__xludf.DUMMYFUNCTION("""COMPUTED_VALUE"""),"automaniac")</f>
        <v>automaniac</v>
      </c>
      <c r="B1404" t="str">
        <f>IFERROR(__xludf.DUMMYFUNCTION("""COMPUTED_VALUE"""),"San Diego")</f>
        <v>San Diego</v>
      </c>
      <c r="C1404" t="str">
        <f>IFERROR(__xludf.DUMMYFUNCTION("""COMPUTED_VALUE"""),"CA")</f>
        <v>CA</v>
      </c>
      <c r="D1404" t="str">
        <f>IFERROR(__xludf.DUMMYFUNCTION("""COMPUTED_VALUE"""),"USA")</f>
        <v>USA</v>
      </c>
      <c r="E1404" s="188">
        <f>IFERROR(__xludf.DUMMYFUNCTION("""COMPUTED_VALUE"""),43347.0)</f>
        <v>43347</v>
      </c>
      <c r="F1404" s="188">
        <f>IFERROR(__xludf.DUMMYFUNCTION("""COMPUTED_VALUE"""),43362.0)</f>
        <v>43362</v>
      </c>
      <c r="H1404">
        <f>IFERROR(__xludf.DUMMYFUNCTION("""COMPUTED_VALUE"""),78485.0)</f>
        <v>78485</v>
      </c>
      <c r="J1404" s="5">
        <f>IFERROR(__xludf.DUMMYFUNCTION("""COMPUTED_VALUE"""),43367.0)</f>
        <v>43367</v>
      </c>
      <c r="K1404">
        <f>IFERROR(__xludf.DUMMYFUNCTION("""COMPUTED_VALUE"""),15.0)</f>
        <v>15</v>
      </c>
      <c r="L1404">
        <f>IFERROR(__xludf.DUMMYFUNCTION("""COMPUTED_VALUE"""),5.0)</f>
        <v>5</v>
      </c>
      <c r="M1404">
        <f>IFERROR(__xludf.DUMMYFUNCTION("""COMPUTED_VALUE"""),20.0)</f>
        <v>20</v>
      </c>
      <c r="N1404" t="str">
        <f>IFERROR(__xludf.DUMMYFUNCTION("""COMPUTED_VALUE"""),"Model 3 LR")</f>
        <v>Model 3 LR</v>
      </c>
      <c r="O1404" t="str">
        <f>IFERROR(__xludf.DUMMYFUNCTION("""COMPUTED_VALUE"""),"Silver Metallic")</f>
        <v>Silver Metallic</v>
      </c>
      <c r="P1404" t="str">
        <f>IFERROR(__xludf.DUMMYFUNCTION("""COMPUTED_VALUE"""),"18 inch Aero")</f>
        <v>18 inch Aero</v>
      </c>
      <c r="Q1404" t="str">
        <f>IFERROR(__xludf.DUMMYFUNCTION("""COMPUTED_VALUE"""),"Black seats")</f>
        <v>Black seats</v>
      </c>
      <c r="R1404" t="str">
        <f>IFERROR(__xludf.DUMMYFUNCTION("""COMPUTED_VALUE"""),"Enhanced Autopilot")</f>
        <v>Enhanced Autopilot</v>
      </c>
      <c r="X1404" t="str">
        <f>IFERROR(__xludf.DUMMYFUNCTION("""COMPUTED_VALUE"""),"Fair")</f>
        <v>Fair</v>
      </c>
      <c r="Y1404" t="str">
        <f>IFERROR(__xludf.DUMMYFUNCTION("""COMPUTED_VALUE"""),"Very Good")</f>
        <v>Very Good</v>
      </c>
      <c r="Z1404" t="str">
        <f>IFERROR(__xludf.DUMMYFUNCTION("""COMPUTED_VALUE"""),"Fair")</f>
        <v>Fair</v>
      </c>
      <c r="AA1404" t="str">
        <f>IFERROR(__xludf.DUMMYFUNCTION("""COMPUTED_VALUE"""),"Fair")</f>
        <v>Fair</v>
      </c>
      <c r="AB1404" t="str">
        <f>IFERROR(__xludf.DUMMYFUNCTION("""COMPUTED_VALUE"""),"Good")</f>
        <v>Good</v>
      </c>
      <c r="AC1404">
        <f>IFERROR(__xludf.DUMMYFUNCTION("""COMPUTED_VALUE"""),0.0)</f>
        <v>0</v>
      </c>
      <c r="AD1404">
        <f>IFERROR(__xludf.DUMMYFUNCTION("""COMPUTED_VALUE"""),0.0)</f>
        <v>0</v>
      </c>
      <c r="AE1404">
        <f>IFERROR(__xludf.DUMMYFUNCTION("""COMPUTED_VALUE"""),0.0)</f>
        <v>0</v>
      </c>
      <c r="AH1404" s="189">
        <f>IFERROR(__xludf.DUMMYFUNCTION("""COMPUTED_VALUE"""),43437.6918706713)</f>
        <v>43437.69187</v>
      </c>
    </row>
    <row r="1405">
      <c r="A1405" t="str">
        <f>IFERROR(__xludf.DUMMYFUNCTION("""COMPUTED_VALUE"""),"sunhelm")</f>
        <v>sunhelm</v>
      </c>
      <c r="B1405" t="str">
        <f>IFERROR(__xludf.DUMMYFUNCTION("""COMPUTED_VALUE"""),"Hackettstown")</f>
        <v>Hackettstown</v>
      </c>
      <c r="C1405" t="str">
        <f>IFERROR(__xludf.DUMMYFUNCTION("""COMPUTED_VALUE"""),"NJ")</f>
        <v>NJ</v>
      </c>
      <c r="D1405" t="str">
        <f>IFERROR(__xludf.DUMMYFUNCTION("""COMPUTED_VALUE"""),"USA")</f>
        <v>USA</v>
      </c>
      <c r="E1405" s="188">
        <f>IFERROR(__xludf.DUMMYFUNCTION("""COMPUTED_VALUE"""),43409.0)</f>
        <v>43409</v>
      </c>
      <c r="F1405" s="188">
        <f>IFERROR(__xludf.DUMMYFUNCTION("""COMPUTED_VALUE"""),43419.0)</f>
        <v>43419</v>
      </c>
      <c r="H1405">
        <f>IFERROR(__xludf.DUMMYFUNCTION("""COMPUTED_VALUE"""),153755.0)</f>
        <v>153755</v>
      </c>
      <c r="I1405" t="str">
        <f>IFERROR(__xludf.DUMMYFUNCTION("""COMPUTED_VALUE"""),"11/18")</f>
        <v>11/18</v>
      </c>
      <c r="J1405" s="5">
        <f>IFERROR(__xludf.DUMMYFUNCTION("""COMPUTED_VALUE"""),43431.0)</f>
        <v>43431</v>
      </c>
      <c r="K1405">
        <f>IFERROR(__xludf.DUMMYFUNCTION("""COMPUTED_VALUE"""),10.0)</f>
        <v>10</v>
      </c>
      <c r="L1405">
        <f>IFERROR(__xludf.DUMMYFUNCTION("""COMPUTED_VALUE"""),12.0)</f>
        <v>12</v>
      </c>
      <c r="M1405">
        <f>IFERROR(__xludf.DUMMYFUNCTION("""COMPUTED_VALUE"""),22.0)</f>
        <v>22</v>
      </c>
      <c r="N1405" t="str">
        <f>IFERROR(__xludf.DUMMYFUNCTION("""COMPUTED_VALUE"""),"Model 3 MR")</f>
        <v>Model 3 MR</v>
      </c>
      <c r="O1405" t="str">
        <f>IFERROR(__xludf.DUMMYFUNCTION("""COMPUTED_VALUE"""),"Midnight Silver Metallic")</f>
        <v>Midnight Silver Metallic</v>
      </c>
      <c r="P1405" t="str">
        <f>IFERROR(__xludf.DUMMYFUNCTION("""COMPUTED_VALUE"""),"18 inch Aero")</f>
        <v>18 inch Aero</v>
      </c>
      <c r="Q1405" t="str">
        <f>IFERROR(__xludf.DUMMYFUNCTION("""COMPUTED_VALUE"""),"Black seats")</f>
        <v>Black seats</v>
      </c>
      <c r="R1405" t="str">
        <f>IFERROR(__xludf.DUMMYFUNCTION("""COMPUTED_VALUE"""),"Enhanced Autopilot")</f>
        <v>Enhanced Autopilot</v>
      </c>
      <c r="X1405" t="str">
        <f>IFERROR(__xludf.DUMMYFUNCTION("""COMPUTED_VALUE"""),"Excellent")</f>
        <v>Excellent</v>
      </c>
      <c r="Y1405" t="str">
        <f>IFERROR(__xludf.DUMMYFUNCTION("""COMPUTED_VALUE"""),"Excellent")</f>
        <v>Excellent</v>
      </c>
      <c r="Z1405" t="str">
        <f>IFERROR(__xludf.DUMMYFUNCTION("""COMPUTED_VALUE"""),"Very Good")</f>
        <v>Very Good</v>
      </c>
      <c r="AA1405" t="str">
        <f>IFERROR(__xludf.DUMMYFUNCTION("""COMPUTED_VALUE"""),"Very Good")</f>
        <v>Very Good</v>
      </c>
      <c r="AB1405" t="str">
        <f>IFERROR(__xludf.DUMMYFUNCTION("""COMPUTED_VALUE"""),"Good")</f>
        <v>Good</v>
      </c>
      <c r="AC1405">
        <f>IFERROR(__xludf.DUMMYFUNCTION("""COMPUTED_VALUE"""),1.0)</f>
        <v>1</v>
      </c>
      <c r="AG1405" t="str">
        <f>IFERROR(__xludf.DUMMYFUNCTION("""COMPUTED_VALUE"""),"Via home delivery. Process was sorta rushed.")</f>
        <v>Via home delivery. Process was sorta rushed.</v>
      </c>
      <c r="AH1405" s="189">
        <f>IFERROR(__xludf.DUMMYFUNCTION("""COMPUTED_VALUE"""),43437.77524189815)</f>
        <v>43437.77524</v>
      </c>
    </row>
    <row r="1406">
      <c r="A1406" t="str">
        <f>IFERROR(__xludf.DUMMYFUNCTION("""COMPUTED_VALUE"""),"DP3")</f>
        <v>DP3</v>
      </c>
      <c r="B1406" t="str">
        <f>IFERROR(__xludf.DUMMYFUNCTION("""COMPUTED_VALUE"""),"SLC")</f>
        <v>SLC</v>
      </c>
      <c r="C1406" t="str">
        <f>IFERROR(__xludf.DUMMYFUNCTION("""COMPUTED_VALUE"""),"UT")</f>
        <v>UT</v>
      </c>
      <c r="D1406" t="str">
        <f>IFERROR(__xludf.DUMMYFUNCTION("""COMPUTED_VALUE"""),"USA")</f>
        <v>USA</v>
      </c>
      <c r="E1406" s="188">
        <f>IFERROR(__xludf.DUMMYFUNCTION("""COMPUTED_VALUE"""),43425.0)</f>
        <v>43425</v>
      </c>
      <c r="F1406" s="188">
        <f>IFERROR(__xludf.DUMMYFUNCTION("""COMPUTED_VALUE"""),43428.0)</f>
        <v>43428</v>
      </c>
      <c r="H1406">
        <f>IFERROR(__xludf.DUMMYFUNCTION("""COMPUTED_VALUE"""),127755.0)</f>
        <v>127755</v>
      </c>
      <c r="I1406" t="str">
        <f>IFERROR(__xludf.DUMMYFUNCTION("""COMPUTED_VALUE"""),"11/18")</f>
        <v>11/18</v>
      </c>
      <c r="J1406" s="5">
        <f>IFERROR(__xludf.DUMMYFUNCTION("""COMPUTED_VALUE"""),43432.0)</f>
        <v>43432</v>
      </c>
      <c r="K1406">
        <f>IFERROR(__xludf.DUMMYFUNCTION("""COMPUTED_VALUE"""),3.0)</f>
        <v>3</v>
      </c>
      <c r="L1406">
        <f>IFERROR(__xludf.DUMMYFUNCTION("""COMPUTED_VALUE"""),4.0)</f>
        <v>4</v>
      </c>
      <c r="M1406">
        <f>IFERROR(__xludf.DUMMYFUNCTION("""COMPUTED_VALUE"""),7.0)</f>
        <v>7</v>
      </c>
      <c r="N1406" t="str">
        <f>IFERROR(__xludf.DUMMYFUNCTION("""COMPUTED_VALUE"""),"Model 3 LR AWD")</f>
        <v>Model 3 LR AWD</v>
      </c>
      <c r="O1406" t="str">
        <f>IFERROR(__xludf.DUMMYFUNCTION("""COMPUTED_VALUE"""),"Solid Black")</f>
        <v>Solid Black</v>
      </c>
      <c r="P1406" t="str">
        <f>IFERROR(__xludf.DUMMYFUNCTION("""COMPUTED_VALUE"""),"18 inch Aero")</f>
        <v>18 inch Aero</v>
      </c>
      <c r="Q1406" t="str">
        <f>IFERROR(__xludf.DUMMYFUNCTION("""COMPUTED_VALUE"""),"Black seats")</f>
        <v>Black seats</v>
      </c>
      <c r="R1406" t="str">
        <f>IFERROR(__xludf.DUMMYFUNCTION("""COMPUTED_VALUE"""),"Enhanced Autopilot")</f>
        <v>Enhanced Autopilot</v>
      </c>
      <c r="X1406" t="str">
        <f>IFERROR(__xludf.DUMMYFUNCTION("""COMPUTED_VALUE"""),"Excellent")</f>
        <v>Excellent</v>
      </c>
      <c r="Y1406" t="str">
        <f>IFERROR(__xludf.DUMMYFUNCTION("""COMPUTED_VALUE"""),"Excellent")</f>
        <v>Excellent</v>
      </c>
      <c r="Z1406" t="str">
        <f>IFERROR(__xludf.DUMMYFUNCTION("""COMPUTED_VALUE"""),"Excellent")</f>
        <v>Excellent</v>
      </c>
      <c r="AA1406" t="str">
        <f>IFERROR(__xludf.DUMMYFUNCTION("""COMPUTED_VALUE"""),"Good")</f>
        <v>Good</v>
      </c>
      <c r="AB1406" t="str">
        <f>IFERROR(__xludf.DUMMYFUNCTION("""COMPUTED_VALUE"""),"Excellent")</f>
        <v>Excellent</v>
      </c>
      <c r="AC1406">
        <f>IFERROR(__xludf.DUMMYFUNCTION("""COMPUTED_VALUE"""),0.0)</f>
        <v>0</v>
      </c>
      <c r="AD1406">
        <f>IFERROR(__xludf.DUMMYFUNCTION("""COMPUTED_VALUE"""),0.0)</f>
        <v>0</v>
      </c>
      <c r="AE1406">
        <f>IFERROR(__xludf.DUMMYFUNCTION("""COMPUTED_VALUE"""),0.0)</f>
        <v>0</v>
      </c>
      <c r="AH1406" s="189">
        <f>IFERROR(__xludf.DUMMYFUNCTION("""COMPUTED_VALUE"""),43437.81487775463)</f>
        <v>43437.81488</v>
      </c>
    </row>
    <row r="1407">
      <c r="A1407" t="str">
        <f>IFERROR(__xludf.DUMMYFUNCTION("""COMPUTED_VALUE"""),"feverfive")</f>
        <v>feverfive</v>
      </c>
      <c r="B1407" t="str">
        <f>IFERROR(__xludf.DUMMYFUNCTION("""COMPUTED_VALUE"""),"Dedham")</f>
        <v>Dedham</v>
      </c>
      <c r="C1407" t="str">
        <f>IFERROR(__xludf.DUMMYFUNCTION("""COMPUTED_VALUE"""),"MA")</f>
        <v>MA</v>
      </c>
      <c r="D1407" t="str">
        <f>IFERROR(__xludf.DUMMYFUNCTION("""COMPUTED_VALUE"""),"USA")</f>
        <v>USA</v>
      </c>
      <c r="E1407" s="188">
        <f>IFERROR(__xludf.DUMMYFUNCTION("""COMPUTED_VALUE"""),43357.0)</f>
        <v>43357</v>
      </c>
      <c r="F1407" s="188">
        <f>IFERROR(__xludf.DUMMYFUNCTION("""COMPUTED_VALUE"""),43410.0)</f>
        <v>43410</v>
      </c>
      <c r="H1407">
        <f>IFERROR(__xludf.DUMMYFUNCTION("""COMPUTED_VALUE"""),108655.0)</f>
        <v>108655</v>
      </c>
      <c r="J1407" s="5">
        <f>IFERROR(__xludf.DUMMYFUNCTION("""COMPUTED_VALUE"""),43420.0)</f>
        <v>43420</v>
      </c>
      <c r="K1407">
        <f>IFERROR(__xludf.DUMMYFUNCTION("""COMPUTED_VALUE"""),53.0)</f>
        <v>53</v>
      </c>
      <c r="L1407">
        <f>IFERROR(__xludf.DUMMYFUNCTION("""COMPUTED_VALUE"""),10.0)</f>
        <v>10</v>
      </c>
      <c r="M1407">
        <f>IFERROR(__xludf.DUMMYFUNCTION("""COMPUTED_VALUE"""),63.0)</f>
        <v>63</v>
      </c>
      <c r="N1407" t="str">
        <f>IFERROR(__xludf.DUMMYFUNCTION("""COMPUTED_VALUE"""),"Model 3 LR AWD")</f>
        <v>Model 3 LR AWD</v>
      </c>
      <c r="O1407" t="str">
        <f>IFERROR(__xludf.DUMMYFUNCTION("""COMPUTED_VALUE"""),"Pearl White Multi-Coat")</f>
        <v>Pearl White Multi-Coat</v>
      </c>
      <c r="P1407" t="str">
        <f>IFERROR(__xludf.DUMMYFUNCTION("""COMPUTED_VALUE"""),"18 inch Aero")</f>
        <v>18 inch Aero</v>
      </c>
      <c r="Q1407" t="str">
        <f>IFERROR(__xludf.DUMMYFUNCTION("""COMPUTED_VALUE"""),"Black seats")</f>
        <v>Black seats</v>
      </c>
      <c r="R1407" t="str">
        <f>IFERROR(__xludf.DUMMYFUNCTION("""COMPUTED_VALUE"""),"Enhanced Autopilot")</f>
        <v>Enhanced Autopilot</v>
      </c>
      <c r="X1407" t="str">
        <f>IFERROR(__xludf.DUMMYFUNCTION("""COMPUTED_VALUE"""),"Excellent")</f>
        <v>Excellent</v>
      </c>
      <c r="Y1407" t="str">
        <f>IFERROR(__xludf.DUMMYFUNCTION("""COMPUTED_VALUE"""),"Excellent")</f>
        <v>Excellent</v>
      </c>
      <c r="Z1407" t="str">
        <f>IFERROR(__xludf.DUMMYFUNCTION("""COMPUTED_VALUE"""),"Very Good")</f>
        <v>Very Good</v>
      </c>
      <c r="AA1407" t="str">
        <f>IFERROR(__xludf.DUMMYFUNCTION("""COMPUTED_VALUE"""),"Good")</f>
        <v>Good</v>
      </c>
      <c r="AB1407" t="str">
        <f>IFERROR(__xludf.DUMMYFUNCTION("""COMPUTED_VALUE"""),"Good")</f>
        <v>Good</v>
      </c>
      <c r="AC1407">
        <f>IFERROR(__xludf.DUMMYFUNCTION("""COMPUTED_VALUE"""),1.0)</f>
        <v>1</v>
      </c>
      <c r="AD1407">
        <f>IFERROR(__xludf.DUMMYFUNCTION("""COMPUTED_VALUE"""),0.0)</f>
        <v>0</v>
      </c>
      <c r="AG1407" t="str">
        <f>IFERROR(__xludf.DUMMYFUNCTION("""COMPUTED_VALUE"""),"EAP not on vehicle despite original configuration. Still waiting 24 days later.")</f>
        <v>EAP not on vehicle despite original configuration. Still waiting 24 days later.</v>
      </c>
      <c r="AH1407" s="189">
        <f>IFERROR(__xludf.DUMMYFUNCTION("""COMPUTED_VALUE"""),43438.117817673614)</f>
        <v>43438.11782</v>
      </c>
    </row>
    <row r="1408">
      <c r="A1408" t="str">
        <f>IFERROR(__xludf.DUMMYFUNCTION("""COMPUTED_VALUE"""),"terptesla361")</f>
        <v>terptesla361</v>
      </c>
      <c r="B1408" t="str">
        <f>IFERROR(__xludf.DUMMYFUNCTION("""COMPUTED_VALUE"""),"DC Metro")</f>
        <v>DC Metro</v>
      </c>
      <c r="C1408" t="str">
        <f>IFERROR(__xludf.DUMMYFUNCTION("""COMPUTED_VALUE"""),"MD")</f>
        <v>MD</v>
      </c>
      <c r="D1408" t="str">
        <f>IFERROR(__xludf.DUMMYFUNCTION("""COMPUTED_VALUE"""),"USA")</f>
        <v>USA</v>
      </c>
      <c r="E1408" s="188">
        <f>IFERROR(__xludf.DUMMYFUNCTION("""COMPUTED_VALUE"""),43385.0)</f>
        <v>43385</v>
      </c>
      <c r="F1408" s="188">
        <f>IFERROR(__xludf.DUMMYFUNCTION("""COMPUTED_VALUE"""),43404.0)</f>
        <v>43404</v>
      </c>
      <c r="H1408">
        <f>IFERROR(__xludf.DUMMYFUNCTION("""COMPUTED_VALUE"""),102555.0)</f>
        <v>102555</v>
      </c>
      <c r="I1408" t="str">
        <f>IFERROR(__xludf.DUMMYFUNCTION("""COMPUTED_VALUE"""),"10/18")</f>
        <v>10/18</v>
      </c>
      <c r="J1408" s="5">
        <f>IFERROR(__xludf.DUMMYFUNCTION("""COMPUTED_VALUE"""),43425.0)</f>
        <v>43425</v>
      </c>
      <c r="K1408">
        <f>IFERROR(__xludf.DUMMYFUNCTION("""COMPUTED_VALUE"""),19.0)</f>
        <v>19</v>
      </c>
      <c r="L1408">
        <f>IFERROR(__xludf.DUMMYFUNCTION("""COMPUTED_VALUE"""),21.0)</f>
        <v>21</v>
      </c>
      <c r="M1408">
        <f>IFERROR(__xludf.DUMMYFUNCTION("""COMPUTED_VALUE"""),40.0)</f>
        <v>40</v>
      </c>
      <c r="N1408" t="str">
        <f>IFERROR(__xludf.DUMMYFUNCTION("""COMPUTED_VALUE"""),"Model 3 LR")</f>
        <v>Model 3 LR</v>
      </c>
      <c r="O1408" t="str">
        <f>IFERROR(__xludf.DUMMYFUNCTION("""COMPUTED_VALUE"""),"Deep Blue Metallic")</f>
        <v>Deep Blue Metallic</v>
      </c>
      <c r="P1408" t="str">
        <f>IFERROR(__xludf.DUMMYFUNCTION("""COMPUTED_VALUE"""),"18 inch Aero")</f>
        <v>18 inch Aero</v>
      </c>
      <c r="Q1408" t="str">
        <f>IFERROR(__xludf.DUMMYFUNCTION("""COMPUTED_VALUE"""),"Black seats")</f>
        <v>Black seats</v>
      </c>
      <c r="R1408" t="str">
        <f>IFERROR(__xludf.DUMMYFUNCTION("""COMPUTED_VALUE"""),"Enhanced Autopilot")</f>
        <v>Enhanced Autopilot</v>
      </c>
      <c r="X1408" t="str">
        <f>IFERROR(__xludf.DUMMYFUNCTION("""COMPUTED_VALUE"""),"Excellent")</f>
        <v>Excellent</v>
      </c>
      <c r="Y1408" t="str">
        <f>IFERROR(__xludf.DUMMYFUNCTION("""COMPUTED_VALUE"""),"Excellent")</f>
        <v>Excellent</v>
      </c>
      <c r="Z1408" t="str">
        <f>IFERROR(__xludf.DUMMYFUNCTION("""COMPUTED_VALUE"""),"Excellent")</f>
        <v>Excellent</v>
      </c>
      <c r="AA1408" t="str">
        <f>IFERROR(__xludf.DUMMYFUNCTION("""COMPUTED_VALUE"""),"Good")</f>
        <v>Good</v>
      </c>
      <c r="AB1408" t="str">
        <f>IFERROR(__xludf.DUMMYFUNCTION("""COMPUTED_VALUE"""),"Fair")</f>
        <v>Fair</v>
      </c>
      <c r="AC1408">
        <f>IFERROR(__xludf.DUMMYFUNCTION("""COMPUTED_VALUE"""),0.0)</f>
        <v>0</v>
      </c>
      <c r="AD1408">
        <f>IFERROR(__xludf.DUMMYFUNCTION("""COMPUTED_VALUE"""),0.0)</f>
        <v>0</v>
      </c>
      <c r="AE1408">
        <f>IFERROR(__xludf.DUMMYFUNCTION("""COMPUTED_VALUE"""),0.0)</f>
        <v>0</v>
      </c>
      <c r="AH1408" s="189">
        <f>IFERROR(__xludf.DUMMYFUNCTION("""COMPUTED_VALUE"""),43438.374473171294)</f>
        <v>43438.37447</v>
      </c>
    </row>
    <row r="1409">
      <c r="A1409" t="str">
        <f>IFERROR(__xludf.DUMMYFUNCTION("""COMPUTED_VALUE"""),"RGXX")</f>
        <v>RGXX</v>
      </c>
      <c r="B1409" t="str">
        <f>IFERROR(__xludf.DUMMYFUNCTION("""COMPUTED_VALUE"""),"San Jose")</f>
        <v>San Jose</v>
      </c>
      <c r="C1409" t="str">
        <f>IFERROR(__xludf.DUMMYFUNCTION("""COMPUTED_VALUE"""),"CA")</f>
        <v>CA</v>
      </c>
      <c r="D1409" t="str">
        <f>IFERROR(__xludf.DUMMYFUNCTION("""COMPUTED_VALUE"""),"USA")</f>
        <v>USA</v>
      </c>
      <c r="E1409" s="188">
        <f>IFERROR(__xludf.DUMMYFUNCTION("""COMPUTED_VALUE"""),43404.0)</f>
        <v>43404</v>
      </c>
      <c r="F1409" s="188">
        <f>IFERROR(__xludf.DUMMYFUNCTION("""COMPUTED_VALUE"""),43437.0)</f>
        <v>43437</v>
      </c>
      <c r="H1409">
        <f>IFERROR(__xludf.DUMMYFUNCTION("""COMPUTED_VALUE"""),155155.0)</f>
        <v>155155</v>
      </c>
      <c r="I1409" t="str">
        <f>IFERROR(__xludf.DUMMYFUNCTION("""COMPUTED_VALUE"""),"11/18")</f>
        <v>11/18</v>
      </c>
      <c r="J1409" s="5">
        <f>IFERROR(__xludf.DUMMYFUNCTION("""COMPUTED_VALUE"""),43437.0)</f>
        <v>43437</v>
      </c>
      <c r="K1409">
        <f>IFERROR(__xludf.DUMMYFUNCTION("""COMPUTED_VALUE"""),33.0)</f>
        <v>33</v>
      </c>
      <c r="L1409">
        <f>IFERROR(__xludf.DUMMYFUNCTION("""COMPUTED_VALUE"""),0.0)</f>
        <v>0</v>
      </c>
      <c r="M1409">
        <f>IFERROR(__xludf.DUMMYFUNCTION("""COMPUTED_VALUE"""),33.0)</f>
        <v>33</v>
      </c>
      <c r="N1409" t="str">
        <f>IFERROR(__xludf.DUMMYFUNCTION("""COMPUTED_VALUE"""),"Model 3 MR")</f>
        <v>Model 3 MR</v>
      </c>
      <c r="O1409" t="str">
        <f>IFERROR(__xludf.DUMMYFUNCTION("""COMPUTED_VALUE"""),"Deep Blue Metallic")</f>
        <v>Deep Blue Metallic</v>
      </c>
      <c r="P1409" t="str">
        <f>IFERROR(__xludf.DUMMYFUNCTION("""COMPUTED_VALUE"""),"19 inch Sport")</f>
        <v>19 inch Sport</v>
      </c>
      <c r="Q1409" t="str">
        <f>IFERROR(__xludf.DUMMYFUNCTION("""COMPUTED_VALUE"""),"Black seats")</f>
        <v>Black seats</v>
      </c>
      <c r="R1409" t="str">
        <f>IFERROR(__xludf.DUMMYFUNCTION("""COMPUTED_VALUE"""),"None")</f>
        <v>None</v>
      </c>
      <c r="X1409" t="str">
        <f>IFERROR(__xludf.DUMMYFUNCTION("""COMPUTED_VALUE"""),"Excellent")</f>
        <v>Excellent</v>
      </c>
      <c r="Y1409" t="str">
        <f>IFERROR(__xludf.DUMMYFUNCTION("""COMPUTED_VALUE"""),"Excellent")</f>
        <v>Excellent</v>
      </c>
      <c r="Z1409" t="str">
        <f>IFERROR(__xludf.DUMMYFUNCTION("""COMPUTED_VALUE"""),"Excellent")</f>
        <v>Excellent</v>
      </c>
      <c r="AA1409" t="str">
        <f>IFERROR(__xludf.DUMMYFUNCTION("""COMPUTED_VALUE"""),"Poor")</f>
        <v>Poor</v>
      </c>
      <c r="AB1409" t="str">
        <f>IFERROR(__xludf.DUMMYFUNCTION("""COMPUTED_VALUE"""),"Fair")</f>
        <v>Fair</v>
      </c>
      <c r="AH1409" s="189">
        <f>IFERROR(__xludf.DUMMYFUNCTION("""COMPUTED_VALUE"""),43438.62375212963)</f>
        <v>43438.62375</v>
      </c>
    </row>
    <row r="1410">
      <c r="A1410" t="str">
        <f>IFERROR(__xludf.DUMMYFUNCTION("""COMPUTED_VALUE"""),"EbenezerCooke")</f>
        <v>EbenezerCooke</v>
      </c>
      <c r="B1410" t="str">
        <f>IFERROR(__xludf.DUMMYFUNCTION("""COMPUTED_VALUE"""),"central")</f>
        <v>central</v>
      </c>
      <c r="C1410" t="str">
        <f>IFERROR(__xludf.DUMMYFUNCTION("""COMPUTED_VALUE"""),"NJ")</f>
        <v>NJ</v>
      </c>
      <c r="D1410" t="str">
        <f>IFERROR(__xludf.DUMMYFUNCTION("""COMPUTED_VALUE"""),"USA")</f>
        <v>USA</v>
      </c>
      <c r="E1410" s="188">
        <f>IFERROR(__xludf.DUMMYFUNCTION("""COMPUTED_VALUE"""),43408.0)</f>
        <v>43408</v>
      </c>
      <c r="I1410" t="str">
        <f>IFERROR(__xludf.DUMMYFUNCTION("""COMPUTED_VALUE"""),"11/18")</f>
        <v>11/18</v>
      </c>
      <c r="J1410" s="5">
        <f>IFERROR(__xludf.DUMMYFUNCTION("""COMPUTED_VALUE"""),43437.0)</f>
        <v>43437</v>
      </c>
      <c r="M1410">
        <f>IFERROR(__xludf.DUMMYFUNCTION("""COMPUTED_VALUE"""),29.0)</f>
        <v>29</v>
      </c>
      <c r="N1410" t="str">
        <f>IFERROR(__xludf.DUMMYFUNCTION("""COMPUTED_VALUE"""),"Model 3 LR AWD")</f>
        <v>Model 3 LR AWD</v>
      </c>
      <c r="O1410" t="str">
        <f>IFERROR(__xludf.DUMMYFUNCTION("""COMPUTED_VALUE"""),"Midnight Silver Metallic")</f>
        <v>Midnight Silver Metallic</v>
      </c>
      <c r="P1410" t="str">
        <f>IFERROR(__xludf.DUMMYFUNCTION("""COMPUTED_VALUE"""),"18 inch Aero")</f>
        <v>18 inch Aero</v>
      </c>
      <c r="Q1410" t="str">
        <f>IFERROR(__xludf.DUMMYFUNCTION("""COMPUTED_VALUE"""),"Black seats")</f>
        <v>Black seats</v>
      </c>
      <c r="R1410" t="str">
        <f>IFERROR(__xludf.DUMMYFUNCTION("""COMPUTED_VALUE"""),"Enhanced Autopilot")</f>
        <v>Enhanced Autopilot</v>
      </c>
      <c r="X1410" t="str">
        <f>IFERROR(__xludf.DUMMYFUNCTION("""COMPUTED_VALUE"""),"Very Good")</f>
        <v>Very Good</v>
      </c>
      <c r="Y1410" t="str">
        <f>IFERROR(__xludf.DUMMYFUNCTION("""COMPUTED_VALUE"""),"Excellent")</f>
        <v>Excellent</v>
      </c>
      <c r="Z1410" t="str">
        <f>IFERROR(__xludf.DUMMYFUNCTION("""COMPUTED_VALUE"""),"Excellent")</f>
        <v>Excellent</v>
      </c>
      <c r="AA1410" t="str">
        <f>IFERROR(__xludf.DUMMYFUNCTION("""COMPUTED_VALUE"""),"Very Good")</f>
        <v>Very Good</v>
      </c>
      <c r="AB1410" t="str">
        <f>IFERROR(__xludf.DUMMYFUNCTION("""COMPUTED_VALUE"""),"Very Good")</f>
        <v>Very Good</v>
      </c>
      <c r="AH1410" s="189">
        <f>IFERROR(__xludf.DUMMYFUNCTION("""COMPUTED_VALUE"""),43438.890382060184)</f>
        <v>43438.89038</v>
      </c>
    </row>
    <row r="1411">
      <c r="A1411" t="str">
        <f>IFERROR(__xludf.DUMMYFUNCTION("""COMPUTED_VALUE"""),"jjrandorin")</f>
        <v>jjrandorin</v>
      </c>
      <c r="B1411" t="str">
        <f>IFERROR(__xludf.DUMMYFUNCTION("""COMPUTED_VALUE"""),"San Diego")</f>
        <v>San Diego</v>
      </c>
      <c r="C1411" t="str">
        <f>IFERROR(__xludf.DUMMYFUNCTION("""COMPUTED_VALUE"""),"CA")</f>
        <v>CA</v>
      </c>
      <c r="D1411" t="str">
        <f>IFERROR(__xludf.DUMMYFUNCTION("""COMPUTED_VALUE"""),"USA")</f>
        <v>USA</v>
      </c>
      <c r="E1411" s="188">
        <f>IFERROR(__xludf.DUMMYFUNCTION("""COMPUTED_VALUE"""),43431.0)</f>
        <v>43431</v>
      </c>
      <c r="F1411" s="188">
        <f>IFERROR(__xludf.DUMMYFUNCTION("""COMPUTED_VALUE"""),43432.0)</f>
        <v>43432</v>
      </c>
      <c r="H1411">
        <f>IFERROR(__xludf.DUMMYFUNCTION("""COMPUTED_VALUE"""),106355.0)</f>
        <v>106355</v>
      </c>
      <c r="I1411" t="str">
        <f>IFERROR(__xludf.DUMMYFUNCTION("""COMPUTED_VALUE"""),"11/18")</f>
        <v>11/18</v>
      </c>
      <c r="J1411" s="5">
        <f>IFERROR(__xludf.DUMMYFUNCTION("""COMPUTED_VALUE"""),43438.0)</f>
        <v>43438</v>
      </c>
      <c r="K1411">
        <f>IFERROR(__xludf.DUMMYFUNCTION("""COMPUTED_VALUE"""),1.0)</f>
        <v>1</v>
      </c>
      <c r="L1411">
        <f>IFERROR(__xludf.DUMMYFUNCTION("""COMPUTED_VALUE"""),6.0)</f>
        <v>6</v>
      </c>
      <c r="M1411">
        <f>IFERROR(__xludf.DUMMYFUNCTION("""COMPUTED_VALUE"""),7.0)</f>
        <v>7</v>
      </c>
      <c r="N1411" t="str">
        <f>IFERROR(__xludf.DUMMYFUNCTION("""COMPUTED_VALUE"""),"Model 3 Performance")</f>
        <v>Model 3 Performance</v>
      </c>
      <c r="O1411" t="str">
        <f>IFERROR(__xludf.DUMMYFUNCTION("""COMPUTED_VALUE"""),"Deep Blue Metallic")</f>
        <v>Deep Blue Metallic</v>
      </c>
      <c r="P1411" t="str">
        <f>IFERROR(__xludf.DUMMYFUNCTION("""COMPUTED_VALUE"""),"20 inch Sport")</f>
        <v>20 inch Sport</v>
      </c>
      <c r="Q1411" t="str">
        <f>IFERROR(__xludf.DUMMYFUNCTION("""COMPUTED_VALUE"""),"Black seats")</f>
        <v>Black seats</v>
      </c>
      <c r="R1411" t="str">
        <f>IFERROR(__xludf.DUMMYFUNCTION("""COMPUTED_VALUE"""),"Enhanced Autopilot")</f>
        <v>Enhanced Autopilot</v>
      </c>
      <c r="X1411" t="str">
        <f>IFERROR(__xludf.DUMMYFUNCTION("""COMPUTED_VALUE"""),"Very Good")</f>
        <v>Very Good</v>
      </c>
      <c r="Y1411" t="str">
        <f>IFERROR(__xludf.DUMMYFUNCTION("""COMPUTED_VALUE"""),"Very Good")</f>
        <v>Very Good</v>
      </c>
      <c r="Z1411" t="str">
        <f>IFERROR(__xludf.DUMMYFUNCTION("""COMPUTED_VALUE"""),"Very Good")</f>
        <v>Very Good</v>
      </c>
      <c r="AA1411" t="str">
        <f>IFERROR(__xludf.DUMMYFUNCTION("""COMPUTED_VALUE"""),"Excellent")</f>
        <v>Excellent</v>
      </c>
      <c r="AB1411" t="str">
        <f>IFERROR(__xludf.DUMMYFUNCTION("""COMPUTED_VALUE"""),"Very Good")</f>
        <v>Very Good</v>
      </c>
      <c r="AG1411" t="str">
        <f>IFERROR(__xludf.DUMMYFUNCTION("""COMPUTED_VALUE"""),"No pre order, orderd 11/27, matched to vehicle 11/29, scheduled for delivery 12/04")</f>
        <v>No pre order, orderd 11/27, matched to vehicle 11/29, scheduled for delivery 12/04</v>
      </c>
      <c r="AH1411" s="189">
        <f>IFERROR(__xludf.DUMMYFUNCTION("""COMPUTED_VALUE"""),43438.93218094908)</f>
        <v>43438.93218</v>
      </c>
    </row>
    <row r="1412">
      <c r="A1412" t="str">
        <f>IFERROR(__xludf.DUMMYFUNCTION("""COMPUTED_VALUE"""),"rjz")</f>
        <v>rjz</v>
      </c>
      <c r="B1412" t="str">
        <f>IFERROR(__xludf.DUMMYFUNCTION("""COMPUTED_VALUE"""),"Baltimore")</f>
        <v>Baltimore</v>
      </c>
      <c r="C1412" t="str">
        <f>IFERROR(__xludf.DUMMYFUNCTION("""COMPUTED_VALUE"""),"MD")</f>
        <v>MD</v>
      </c>
      <c r="D1412" t="str">
        <f>IFERROR(__xludf.DUMMYFUNCTION("""COMPUTED_VALUE"""),"USA")</f>
        <v>USA</v>
      </c>
      <c r="E1412" s="188">
        <f>IFERROR(__xludf.DUMMYFUNCTION("""COMPUTED_VALUE"""),43312.0)</f>
        <v>43312</v>
      </c>
      <c r="F1412" s="188">
        <f>IFERROR(__xludf.DUMMYFUNCTION("""COMPUTED_VALUE"""),43409.0)</f>
        <v>43409</v>
      </c>
      <c r="H1412">
        <f>IFERROR(__xludf.DUMMYFUNCTION("""COMPUTED_VALUE"""),93987.0)</f>
        <v>93987</v>
      </c>
      <c r="I1412" t="str">
        <f>IFERROR(__xludf.DUMMYFUNCTION("""COMPUTED_VALUE"""),"10/18")</f>
        <v>10/18</v>
      </c>
      <c r="J1412" s="5">
        <f>IFERROR(__xludf.DUMMYFUNCTION("""COMPUTED_VALUE"""),43418.0)</f>
        <v>43418</v>
      </c>
      <c r="K1412">
        <f>IFERROR(__xludf.DUMMYFUNCTION("""COMPUTED_VALUE"""),97.0)</f>
        <v>97</v>
      </c>
      <c r="L1412">
        <f>IFERROR(__xludf.DUMMYFUNCTION("""COMPUTED_VALUE"""),9.0)</f>
        <v>9</v>
      </c>
      <c r="M1412">
        <f>IFERROR(__xludf.DUMMYFUNCTION("""COMPUTED_VALUE"""),106.0)</f>
        <v>106</v>
      </c>
      <c r="N1412" t="str">
        <f>IFERROR(__xludf.DUMMYFUNCTION("""COMPUTED_VALUE"""),"Model 3 LR AWD")</f>
        <v>Model 3 LR AWD</v>
      </c>
      <c r="O1412" t="str">
        <f>IFERROR(__xludf.DUMMYFUNCTION("""COMPUTED_VALUE"""),"Solid Black")</f>
        <v>Solid Black</v>
      </c>
      <c r="P1412" t="str">
        <f>IFERROR(__xludf.DUMMYFUNCTION("""COMPUTED_VALUE"""),"18 inch Aero")</f>
        <v>18 inch Aero</v>
      </c>
      <c r="Q1412" t="str">
        <f>IFERROR(__xludf.DUMMYFUNCTION("""COMPUTED_VALUE"""),"Black seats")</f>
        <v>Black seats</v>
      </c>
      <c r="R1412" t="str">
        <f>IFERROR(__xludf.DUMMYFUNCTION("""COMPUTED_VALUE"""),"None")</f>
        <v>None</v>
      </c>
      <c r="X1412" t="str">
        <f>IFERROR(__xludf.DUMMYFUNCTION("""COMPUTED_VALUE"""),"Excellent")</f>
        <v>Excellent</v>
      </c>
      <c r="Y1412" t="str">
        <f>IFERROR(__xludf.DUMMYFUNCTION("""COMPUTED_VALUE"""),"Excellent")</f>
        <v>Excellent</v>
      </c>
      <c r="Z1412" t="str">
        <f>IFERROR(__xludf.DUMMYFUNCTION("""COMPUTED_VALUE"""),"Excellent")</f>
        <v>Excellent</v>
      </c>
      <c r="AA1412" t="str">
        <f>IFERROR(__xludf.DUMMYFUNCTION("""COMPUTED_VALUE"""),"Very Good")</f>
        <v>Very Good</v>
      </c>
      <c r="AB1412" t="str">
        <f>IFERROR(__xludf.DUMMYFUNCTION("""COMPUTED_VALUE"""),"Excellent")</f>
        <v>Excellent</v>
      </c>
      <c r="AH1412" s="189">
        <f>IFERROR(__xludf.DUMMYFUNCTION("""COMPUTED_VALUE"""),43439.33565612268)</f>
        <v>43439.33566</v>
      </c>
    </row>
    <row r="1413">
      <c r="A1413" t="str">
        <f>IFERROR(__xludf.DUMMYFUNCTION("""COMPUTED_VALUE"""),"bigman2689")</f>
        <v>bigman2689</v>
      </c>
      <c r="B1413" t="str">
        <f>IFERROR(__xludf.DUMMYFUNCTION("""COMPUTED_VALUE"""),"Atlanta")</f>
        <v>Atlanta</v>
      </c>
      <c r="C1413" t="str">
        <f>IFERROR(__xludf.DUMMYFUNCTION("""COMPUTED_VALUE"""),"GA")</f>
        <v>GA</v>
      </c>
      <c r="D1413" t="str">
        <f>IFERROR(__xludf.DUMMYFUNCTION("""COMPUTED_VALUE"""),"USA")</f>
        <v>USA</v>
      </c>
      <c r="E1413" s="188">
        <f>IFERROR(__xludf.DUMMYFUNCTION("""COMPUTED_VALUE"""),43424.0)</f>
        <v>43424</v>
      </c>
      <c r="F1413" s="188">
        <f>IFERROR(__xludf.DUMMYFUNCTION("""COMPUTED_VALUE"""),43436.0)</f>
        <v>43436</v>
      </c>
      <c r="H1413" s="4">
        <f>IFERROR(__xludf.DUMMYFUNCTION("""COMPUTED_VALUE"""),152434.0)</f>
        <v>152434</v>
      </c>
      <c r="J1413" s="5">
        <f>IFERROR(__xludf.DUMMYFUNCTION("""COMPUTED_VALUE"""),43437.0)</f>
        <v>43437</v>
      </c>
      <c r="K1413">
        <f>IFERROR(__xludf.DUMMYFUNCTION("""COMPUTED_VALUE"""),12.0)</f>
        <v>12</v>
      </c>
      <c r="L1413">
        <f>IFERROR(__xludf.DUMMYFUNCTION("""COMPUTED_VALUE"""),1.0)</f>
        <v>1</v>
      </c>
      <c r="M1413">
        <f>IFERROR(__xludf.DUMMYFUNCTION("""COMPUTED_VALUE"""),13.0)</f>
        <v>13</v>
      </c>
      <c r="N1413" t="str">
        <f>IFERROR(__xludf.DUMMYFUNCTION("""COMPUTED_VALUE"""),"Model 3 MR")</f>
        <v>Model 3 MR</v>
      </c>
      <c r="O1413" t="str">
        <f>IFERROR(__xludf.DUMMYFUNCTION("""COMPUTED_VALUE"""),"Solid Black")</f>
        <v>Solid Black</v>
      </c>
      <c r="P1413" t="str">
        <f>IFERROR(__xludf.DUMMYFUNCTION("""COMPUTED_VALUE"""),"18 inch Aero")</f>
        <v>18 inch Aero</v>
      </c>
      <c r="Q1413" t="str">
        <f>IFERROR(__xludf.DUMMYFUNCTION("""COMPUTED_VALUE"""),"Black seats")</f>
        <v>Black seats</v>
      </c>
      <c r="R1413" t="str">
        <f>IFERROR(__xludf.DUMMYFUNCTION("""COMPUTED_VALUE"""),"Enhanced Autopilot")</f>
        <v>Enhanced Autopilot</v>
      </c>
      <c r="X1413" t="str">
        <f>IFERROR(__xludf.DUMMYFUNCTION("""COMPUTED_VALUE"""),"Excellent")</f>
        <v>Excellent</v>
      </c>
      <c r="Y1413" t="str">
        <f>IFERROR(__xludf.DUMMYFUNCTION("""COMPUTED_VALUE"""),"Excellent")</f>
        <v>Excellent</v>
      </c>
      <c r="Z1413" t="str">
        <f>IFERROR(__xludf.DUMMYFUNCTION("""COMPUTED_VALUE"""),"Very Good")</f>
        <v>Very Good</v>
      </c>
      <c r="AA1413" t="str">
        <f>IFERROR(__xludf.DUMMYFUNCTION("""COMPUTED_VALUE"""),"Excellent")</f>
        <v>Excellent</v>
      </c>
      <c r="AB1413" t="str">
        <f>IFERROR(__xludf.DUMMYFUNCTION("""COMPUTED_VALUE"""),"Excellent")</f>
        <v>Excellent</v>
      </c>
      <c r="AC1413">
        <f>IFERROR(__xludf.DUMMYFUNCTION("""COMPUTED_VALUE"""),2.0)</f>
        <v>2</v>
      </c>
      <c r="AH1413" s="189">
        <f>IFERROR(__xludf.DUMMYFUNCTION("""COMPUTED_VALUE"""),43439.73788508102)</f>
        <v>43439.73789</v>
      </c>
    </row>
    <row r="1414">
      <c r="A1414" t="str">
        <f>IFERROR(__xludf.DUMMYFUNCTION("""COMPUTED_VALUE"""),"skyofblueseaofgreen")</f>
        <v>skyofblueseaofgreen</v>
      </c>
      <c r="B1414" t="str">
        <f>IFERROR(__xludf.DUMMYFUNCTION("""COMPUTED_VALUE"""),"Los Angeles")</f>
        <v>Los Angeles</v>
      </c>
      <c r="C1414" t="str">
        <f>IFERROR(__xludf.DUMMYFUNCTION("""COMPUTED_VALUE"""),"CA")</f>
        <v>CA</v>
      </c>
      <c r="D1414" t="str">
        <f>IFERROR(__xludf.DUMMYFUNCTION("""COMPUTED_VALUE"""),"USA")</f>
        <v>USA</v>
      </c>
      <c r="E1414" s="188">
        <f>IFERROR(__xludf.DUMMYFUNCTION("""COMPUTED_VALUE"""),43392.0)</f>
        <v>43392</v>
      </c>
      <c r="F1414" s="188">
        <f>IFERROR(__xludf.DUMMYFUNCTION("""COMPUTED_VALUE"""),43424.0)</f>
        <v>43424</v>
      </c>
      <c r="H1414">
        <f>IFERROR(__xludf.DUMMYFUNCTION("""COMPUTED_VALUE"""),153033.0)</f>
        <v>153033</v>
      </c>
      <c r="J1414" s="5">
        <f>IFERROR(__xludf.DUMMYFUNCTION("""COMPUTED_VALUE"""),-617652.0)</f>
        <v>-617652</v>
      </c>
      <c r="K1414">
        <f>IFERROR(__xludf.DUMMYFUNCTION("""COMPUTED_VALUE"""),32.0)</f>
        <v>32</v>
      </c>
      <c r="N1414" t="str">
        <f>IFERROR(__xludf.DUMMYFUNCTION("""COMPUTED_VALUE"""),"Model 3 MR")</f>
        <v>Model 3 MR</v>
      </c>
      <c r="O1414" t="str">
        <f>IFERROR(__xludf.DUMMYFUNCTION("""COMPUTED_VALUE"""),"Pearl White Multi-Coat")</f>
        <v>Pearl White Multi-Coat</v>
      </c>
      <c r="P1414" t="str">
        <f>IFERROR(__xludf.DUMMYFUNCTION("""COMPUTED_VALUE"""),"18 inch Aero")</f>
        <v>18 inch Aero</v>
      </c>
      <c r="Q1414" t="str">
        <f>IFERROR(__xludf.DUMMYFUNCTION("""COMPUTED_VALUE"""),"Black seats")</f>
        <v>Black seats</v>
      </c>
      <c r="R1414" t="str">
        <f>IFERROR(__xludf.DUMMYFUNCTION("""COMPUTED_VALUE"""),"None")</f>
        <v>None</v>
      </c>
      <c r="X1414" t="str">
        <f>IFERROR(__xludf.DUMMYFUNCTION("""COMPUTED_VALUE"""),"Very Good")</f>
        <v>Very Good</v>
      </c>
      <c r="Y1414" t="str">
        <f>IFERROR(__xludf.DUMMYFUNCTION("""COMPUTED_VALUE"""),"Excellent")</f>
        <v>Excellent</v>
      </c>
      <c r="Z1414" t="str">
        <f>IFERROR(__xludf.DUMMYFUNCTION("""COMPUTED_VALUE"""),"Excellent")</f>
        <v>Excellent</v>
      </c>
      <c r="AA1414" t="str">
        <f>IFERROR(__xludf.DUMMYFUNCTION("""COMPUTED_VALUE"""),"Very Good")</f>
        <v>Very Good</v>
      </c>
      <c r="AB1414" t="str">
        <f>IFERROR(__xludf.DUMMYFUNCTION("""COMPUTED_VALUE"""),"Excellent")</f>
        <v>Excellent</v>
      </c>
      <c r="AH1414" s="189">
        <f>IFERROR(__xludf.DUMMYFUNCTION("""COMPUTED_VALUE"""),43439.94542939815)</f>
        <v>43439.94543</v>
      </c>
    </row>
    <row r="1415">
      <c r="A1415" t="str">
        <f>IFERROR(__xludf.DUMMYFUNCTION("""COMPUTED_VALUE"""),"SummerRain")</f>
        <v>SummerRain</v>
      </c>
      <c r="B1415" t="str">
        <f>IFERROR(__xludf.DUMMYFUNCTION("""COMPUTED_VALUE"""),"Milpitas")</f>
        <v>Milpitas</v>
      </c>
      <c r="C1415" t="str">
        <f>IFERROR(__xludf.DUMMYFUNCTION("""COMPUTED_VALUE"""),"CA")</f>
        <v>CA</v>
      </c>
      <c r="D1415" t="str">
        <f>IFERROR(__xludf.DUMMYFUNCTION("""COMPUTED_VALUE"""),"USA")</f>
        <v>USA</v>
      </c>
      <c r="E1415" s="188">
        <f>IFERROR(__xludf.DUMMYFUNCTION("""COMPUTED_VALUE"""),43387.0)</f>
        <v>43387</v>
      </c>
      <c r="F1415" s="188">
        <f>IFERROR(__xludf.DUMMYFUNCTION("""COMPUTED_VALUE"""),43411.0)</f>
        <v>43411</v>
      </c>
      <c r="H1415">
        <f>IFERROR(__xludf.DUMMYFUNCTION("""COMPUTED_VALUE"""),126130.0)</f>
        <v>126130</v>
      </c>
      <c r="I1415" t="str">
        <f>IFERROR(__xludf.DUMMYFUNCTION("""COMPUTED_VALUE"""),"11/18")</f>
        <v>11/18</v>
      </c>
      <c r="J1415" s="5">
        <f>IFERROR(__xludf.DUMMYFUNCTION("""COMPUTED_VALUE"""),43415.0)</f>
        <v>43415</v>
      </c>
      <c r="K1415">
        <f>IFERROR(__xludf.DUMMYFUNCTION("""COMPUTED_VALUE"""),24.0)</f>
        <v>24</v>
      </c>
      <c r="L1415">
        <f>IFERROR(__xludf.DUMMYFUNCTION("""COMPUTED_VALUE"""),4.0)</f>
        <v>4</v>
      </c>
      <c r="M1415">
        <f>IFERROR(__xludf.DUMMYFUNCTION("""COMPUTED_VALUE"""),28.0)</f>
        <v>28</v>
      </c>
      <c r="N1415" t="str">
        <f>IFERROR(__xludf.DUMMYFUNCTION("""COMPUTED_VALUE"""),"Model 3 LR")</f>
        <v>Model 3 LR</v>
      </c>
      <c r="O1415" t="str">
        <f>IFERROR(__xludf.DUMMYFUNCTION("""COMPUTED_VALUE"""),"Red Multi-Coat")</f>
        <v>Red Multi-Coat</v>
      </c>
      <c r="P1415" t="str">
        <f>IFERROR(__xludf.DUMMYFUNCTION("""COMPUTED_VALUE"""),"19 inch Sport")</f>
        <v>19 inch Sport</v>
      </c>
      <c r="Q1415" t="str">
        <f>IFERROR(__xludf.DUMMYFUNCTION("""COMPUTED_VALUE"""),"Black seats")</f>
        <v>Black seats</v>
      </c>
      <c r="R1415" t="str">
        <f>IFERROR(__xludf.DUMMYFUNCTION("""COMPUTED_VALUE"""),"Full Self-Driving")</f>
        <v>Full Self-Driving</v>
      </c>
      <c r="X1415" t="str">
        <f>IFERROR(__xludf.DUMMYFUNCTION("""COMPUTED_VALUE"""),"Good")</f>
        <v>Good</v>
      </c>
      <c r="Y1415" t="str">
        <f>IFERROR(__xludf.DUMMYFUNCTION("""COMPUTED_VALUE"""),"Good")</f>
        <v>Good</v>
      </c>
      <c r="Z1415" t="str">
        <f>IFERROR(__xludf.DUMMYFUNCTION("""COMPUTED_VALUE"""),"Poor")</f>
        <v>Poor</v>
      </c>
      <c r="AA1415" t="str">
        <f>IFERROR(__xludf.DUMMYFUNCTION("""COMPUTED_VALUE"""),"Very Good")</f>
        <v>Very Good</v>
      </c>
      <c r="AB1415" t="str">
        <f>IFERROR(__xludf.DUMMYFUNCTION("""COMPUTED_VALUE"""),"Very Good")</f>
        <v>Very Good</v>
      </c>
      <c r="AC1415">
        <f>IFERROR(__xludf.DUMMYFUNCTION("""COMPUTED_VALUE"""),10.0)</f>
        <v>10</v>
      </c>
      <c r="AD1415">
        <f>IFERROR(__xludf.DUMMYFUNCTION("""COMPUTED_VALUE"""),4.0)</f>
        <v>4</v>
      </c>
      <c r="AE1415">
        <f>IFERROR(__xludf.DUMMYFUNCTION("""COMPUTED_VALUE"""),2.0)</f>
        <v>2</v>
      </c>
      <c r="AG1415" t="str">
        <f>IFERROR(__xludf.DUMMYFUNCTION("""COMPUTED_VALUE"""),"Rejected delivery once due to paint chip on metal panel")</f>
        <v>Rejected delivery once due to paint chip on metal panel</v>
      </c>
      <c r="AH1415" s="189">
        <f>IFERROR(__xludf.DUMMYFUNCTION("""COMPUTED_VALUE"""),43440.641357245375)</f>
        <v>43440.64136</v>
      </c>
    </row>
    <row r="1416">
      <c r="A1416" t="str">
        <f>IFERROR(__xludf.DUMMYFUNCTION("""COMPUTED_VALUE"""),"tv4184")</f>
        <v>tv4184</v>
      </c>
      <c r="B1416" t="str">
        <f>IFERROR(__xludf.DUMMYFUNCTION("""COMPUTED_VALUE"""),"Tomball")</f>
        <v>Tomball</v>
      </c>
      <c r="C1416" t="str">
        <f>IFERROR(__xludf.DUMMYFUNCTION("""COMPUTED_VALUE"""),"TX")</f>
        <v>TX</v>
      </c>
      <c r="D1416" t="str">
        <f>IFERROR(__xludf.DUMMYFUNCTION("""COMPUTED_VALUE"""),"USA")</f>
        <v>USA</v>
      </c>
      <c r="E1416" s="188">
        <f>IFERROR(__xludf.DUMMYFUNCTION("""COMPUTED_VALUE"""),43419.0)</f>
        <v>43419</v>
      </c>
      <c r="F1416" s="188">
        <f>IFERROR(__xludf.DUMMYFUNCTION("""COMPUTED_VALUE"""),43433.0)</f>
        <v>43433</v>
      </c>
      <c r="H1416">
        <f>IFERROR(__xludf.DUMMYFUNCTION("""COMPUTED_VALUE"""),131248.0)</f>
        <v>131248</v>
      </c>
      <c r="J1416" s="5">
        <f>IFERROR(__xludf.DUMMYFUNCTION("""COMPUTED_VALUE"""),43440.0)</f>
        <v>43440</v>
      </c>
      <c r="K1416">
        <f>IFERROR(__xludf.DUMMYFUNCTION("""COMPUTED_VALUE"""),14.0)</f>
        <v>14</v>
      </c>
      <c r="L1416">
        <f>IFERROR(__xludf.DUMMYFUNCTION("""COMPUTED_VALUE"""),7.0)</f>
        <v>7</v>
      </c>
      <c r="M1416">
        <f>IFERROR(__xludf.DUMMYFUNCTION("""COMPUTED_VALUE"""),21.0)</f>
        <v>21</v>
      </c>
      <c r="N1416" t="str">
        <f>IFERROR(__xludf.DUMMYFUNCTION("""COMPUTED_VALUE"""),"Model 3 LR AWD")</f>
        <v>Model 3 LR AWD</v>
      </c>
      <c r="O1416" t="str">
        <f>IFERROR(__xludf.DUMMYFUNCTION("""COMPUTED_VALUE"""),"Pearl White Multi-Coat")</f>
        <v>Pearl White Multi-Coat</v>
      </c>
      <c r="P1416" t="str">
        <f>IFERROR(__xludf.DUMMYFUNCTION("""COMPUTED_VALUE"""),"18 inch Aero")</f>
        <v>18 inch Aero</v>
      </c>
      <c r="Q1416" t="str">
        <f>IFERROR(__xludf.DUMMYFUNCTION("""COMPUTED_VALUE"""),"Black seats")</f>
        <v>Black seats</v>
      </c>
      <c r="R1416" t="str">
        <f>IFERROR(__xludf.DUMMYFUNCTION("""COMPUTED_VALUE"""),"Enhanced Autopilot")</f>
        <v>Enhanced Autopilot</v>
      </c>
      <c r="X1416" t="str">
        <f>IFERROR(__xludf.DUMMYFUNCTION("""COMPUTED_VALUE"""),"Very Good")</f>
        <v>Very Good</v>
      </c>
      <c r="Y1416" t="str">
        <f>IFERROR(__xludf.DUMMYFUNCTION("""COMPUTED_VALUE"""),"Very Good")</f>
        <v>Very Good</v>
      </c>
      <c r="Z1416" t="str">
        <f>IFERROR(__xludf.DUMMYFUNCTION("""COMPUTED_VALUE"""),"Excellent")</f>
        <v>Excellent</v>
      </c>
      <c r="AA1416" t="str">
        <f>IFERROR(__xludf.DUMMYFUNCTION("""COMPUTED_VALUE"""),"Excellent")</f>
        <v>Excellent</v>
      </c>
      <c r="AB1416" t="str">
        <f>IFERROR(__xludf.DUMMYFUNCTION("""COMPUTED_VALUE"""),"Excellent")</f>
        <v>Excellent</v>
      </c>
      <c r="AH1416" s="189">
        <f>IFERROR(__xludf.DUMMYFUNCTION("""COMPUTED_VALUE"""),43440.737899837965)</f>
        <v>43440.7379</v>
      </c>
    </row>
    <row r="1417">
      <c r="A1417" t="str">
        <f>IFERROR(__xludf.DUMMYFUNCTION("""COMPUTED_VALUE"""),"psarossy")</f>
        <v>psarossy</v>
      </c>
      <c r="B1417" t="str">
        <f>IFERROR(__xludf.DUMMYFUNCTION("""COMPUTED_VALUE"""),"Atlanta")</f>
        <v>Atlanta</v>
      </c>
      <c r="C1417" t="str">
        <f>IFERROR(__xludf.DUMMYFUNCTION("""COMPUTED_VALUE"""),"GA")</f>
        <v>GA</v>
      </c>
      <c r="D1417" t="str">
        <f>IFERROR(__xludf.DUMMYFUNCTION("""COMPUTED_VALUE"""),"USA")</f>
        <v>USA</v>
      </c>
      <c r="E1417" s="188">
        <f>IFERROR(__xludf.DUMMYFUNCTION("""COMPUTED_VALUE"""),43421.0)</f>
        <v>43421</v>
      </c>
      <c r="F1417" s="188">
        <f>IFERROR(__xludf.DUMMYFUNCTION("""COMPUTED_VALUE"""),43460.0)</f>
        <v>43460</v>
      </c>
      <c r="H1417">
        <f>IFERROR(__xludf.DUMMYFUNCTION("""COMPUTED_VALUE"""),81594.0)</f>
        <v>81594</v>
      </c>
      <c r="J1417" s="5">
        <f>IFERROR(__xludf.DUMMYFUNCTION("""COMPUTED_VALUE"""),43444.0)</f>
        <v>43444</v>
      </c>
      <c r="K1417">
        <f>IFERROR(__xludf.DUMMYFUNCTION("""COMPUTED_VALUE"""),39.0)</f>
        <v>39</v>
      </c>
      <c r="M1417">
        <f>IFERROR(__xludf.DUMMYFUNCTION("""COMPUTED_VALUE"""),23.0)</f>
        <v>23</v>
      </c>
      <c r="N1417" t="str">
        <f>IFERROR(__xludf.DUMMYFUNCTION("""COMPUTED_VALUE"""),"Model 3 Performance")</f>
        <v>Model 3 Performance</v>
      </c>
      <c r="O1417" t="str">
        <f>IFERROR(__xludf.DUMMYFUNCTION("""COMPUTED_VALUE"""),"Pearl White Multi-Coat")</f>
        <v>Pearl White Multi-Coat</v>
      </c>
      <c r="P1417" t="str">
        <f>IFERROR(__xludf.DUMMYFUNCTION("""COMPUTED_VALUE"""),"20 inch Sport")</f>
        <v>20 inch Sport</v>
      </c>
      <c r="Q1417" t="str">
        <f>IFERROR(__xludf.DUMMYFUNCTION("""COMPUTED_VALUE"""),"White seats")</f>
        <v>White seats</v>
      </c>
      <c r="R1417" t="str">
        <f>IFERROR(__xludf.DUMMYFUNCTION("""COMPUTED_VALUE"""),"Enhanced Autopilot")</f>
        <v>Enhanced Autopilot</v>
      </c>
      <c r="X1417" t="str">
        <f>IFERROR(__xludf.DUMMYFUNCTION("""COMPUTED_VALUE"""),"Excellent")</f>
        <v>Excellent</v>
      </c>
      <c r="Y1417" t="str">
        <f>IFERROR(__xludf.DUMMYFUNCTION("""COMPUTED_VALUE"""),"Excellent")</f>
        <v>Excellent</v>
      </c>
      <c r="Z1417" t="str">
        <f>IFERROR(__xludf.DUMMYFUNCTION("""COMPUTED_VALUE"""),"Excellent")</f>
        <v>Excellent</v>
      </c>
      <c r="AA1417" t="str">
        <f>IFERROR(__xludf.DUMMYFUNCTION("""COMPUTED_VALUE"""),"Excellent")</f>
        <v>Excellent</v>
      </c>
      <c r="AB1417" t="str">
        <f>IFERROR(__xludf.DUMMYFUNCTION("""COMPUTED_VALUE"""),"Good")</f>
        <v>Good</v>
      </c>
      <c r="AH1417" s="189">
        <f>IFERROR(__xludf.DUMMYFUNCTION("""COMPUTED_VALUE"""),43440.883065625)</f>
        <v>43440.88307</v>
      </c>
    </row>
    <row r="1418">
      <c r="A1418" t="str">
        <f>IFERROR(__xludf.DUMMYFUNCTION("""COMPUTED_VALUE"""),"forkliter")</f>
        <v>forkliter</v>
      </c>
      <c r="B1418" t="str">
        <f>IFERROR(__xludf.DUMMYFUNCTION("""COMPUTED_VALUE"""),"Rochester")</f>
        <v>Rochester</v>
      </c>
      <c r="C1418" t="str">
        <f>IFERROR(__xludf.DUMMYFUNCTION("""COMPUTED_VALUE"""),"NY")</f>
        <v>NY</v>
      </c>
      <c r="D1418" t="str">
        <f>IFERROR(__xludf.DUMMYFUNCTION("""COMPUTED_VALUE"""),"USA")</f>
        <v>USA</v>
      </c>
      <c r="E1418" s="188">
        <f>IFERROR(__xludf.DUMMYFUNCTION("""COMPUTED_VALUE"""),43281.0)</f>
        <v>43281</v>
      </c>
      <c r="F1418" s="188">
        <f>IFERROR(__xludf.DUMMYFUNCTION("""COMPUTED_VALUE"""),43378.0)</f>
        <v>43378</v>
      </c>
      <c r="H1418">
        <f>IFERROR(__xludf.DUMMYFUNCTION("""COMPUTED_VALUE"""),94855.0)</f>
        <v>94855</v>
      </c>
      <c r="I1418" t="str">
        <f>IFERROR(__xludf.DUMMYFUNCTION("""COMPUTED_VALUE"""),"10/18")</f>
        <v>10/18</v>
      </c>
      <c r="J1418" s="5">
        <f>IFERROR(__xludf.DUMMYFUNCTION("""COMPUTED_VALUE"""),43413.0)</f>
        <v>43413</v>
      </c>
      <c r="K1418">
        <f>IFERROR(__xludf.DUMMYFUNCTION("""COMPUTED_VALUE"""),97.0)</f>
        <v>97</v>
      </c>
      <c r="L1418">
        <f>IFERROR(__xludf.DUMMYFUNCTION("""COMPUTED_VALUE"""),35.0)</f>
        <v>35</v>
      </c>
      <c r="M1418">
        <f>IFERROR(__xludf.DUMMYFUNCTION("""COMPUTED_VALUE"""),132.0)</f>
        <v>132</v>
      </c>
      <c r="N1418" t="str">
        <f>IFERROR(__xludf.DUMMYFUNCTION("""COMPUTED_VALUE"""),"Model 3 LR AWD")</f>
        <v>Model 3 LR AWD</v>
      </c>
      <c r="O1418" t="str">
        <f>IFERROR(__xludf.DUMMYFUNCTION("""COMPUTED_VALUE"""),"Pearl White Multi-Coat")</f>
        <v>Pearl White Multi-Coat</v>
      </c>
      <c r="P1418" t="str">
        <f>IFERROR(__xludf.DUMMYFUNCTION("""COMPUTED_VALUE"""),"18 inch Aero")</f>
        <v>18 inch Aero</v>
      </c>
      <c r="Q1418" t="str">
        <f>IFERROR(__xludf.DUMMYFUNCTION("""COMPUTED_VALUE"""),"Black seats")</f>
        <v>Black seats</v>
      </c>
      <c r="R1418" t="str">
        <f>IFERROR(__xludf.DUMMYFUNCTION("""COMPUTED_VALUE"""),"Enhanced Autopilot")</f>
        <v>Enhanced Autopilot</v>
      </c>
      <c r="X1418" t="str">
        <f>IFERROR(__xludf.DUMMYFUNCTION("""COMPUTED_VALUE"""),"Good")</f>
        <v>Good</v>
      </c>
      <c r="Y1418" t="str">
        <f>IFERROR(__xludf.DUMMYFUNCTION("""COMPUTED_VALUE"""),"Fair")</f>
        <v>Fair</v>
      </c>
      <c r="Z1418" t="str">
        <f>IFERROR(__xludf.DUMMYFUNCTION("""COMPUTED_VALUE"""),"Poor")</f>
        <v>Poor</v>
      </c>
      <c r="AA1418" t="str">
        <f>IFERROR(__xludf.DUMMYFUNCTION("""COMPUTED_VALUE"""),"Poor")</f>
        <v>Poor</v>
      </c>
      <c r="AB1418" t="str">
        <f>IFERROR(__xludf.DUMMYFUNCTION("""COMPUTED_VALUE"""),"Fair")</f>
        <v>Fair</v>
      </c>
      <c r="AC1418">
        <f>IFERROR(__xludf.DUMMYFUNCTION("""COMPUTED_VALUE"""),5.0)</f>
        <v>5</v>
      </c>
      <c r="AD1418">
        <f>IFERROR(__xludf.DUMMYFUNCTION("""COMPUTED_VALUE"""),0.0)</f>
        <v>0</v>
      </c>
      <c r="AE1418">
        <f>IFERROR(__xludf.DUMMYFUNCTION("""COMPUTED_VALUE"""),0.0)</f>
        <v>0</v>
      </c>
      <c r="AG1418" t="str">
        <f>IFERROR(__xludf.DUMMYFUNCTION("""COMPUTED_VALUE"""),"Alignment wrong. They sold original car out from under me")</f>
        <v>Alignment wrong. They sold original car out from under me</v>
      </c>
      <c r="AH1418" s="189">
        <f>IFERROR(__xludf.DUMMYFUNCTION("""COMPUTED_VALUE"""),43441.50202972222)</f>
        <v>43441.50203</v>
      </c>
    </row>
    <row r="1419">
      <c r="A1419" t="str">
        <f>IFERROR(__xludf.DUMMYFUNCTION("""COMPUTED_VALUE"""),"ams84")</f>
        <v>ams84</v>
      </c>
      <c r="B1419" t="str">
        <f>IFERROR(__xludf.DUMMYFUNCTION("""COMPUTED_VALUE"""),"San Jose")</f>
        <v>San Jose</v>
      </c>
      <c r="C1419" t="str">
        <f>IFERROR(__xludf.DUMMYFUNCTION("""COMPUTED_VALUE"""),"CA")</f>
        <v>CA</v>
      </c>
      <c r="D1419" t="str">
        <f>IFERROR(__xludf.DUMMYFUNCTION("""COMPUTED_VALUE"""),"USA")</f>
        <v>USA</v>
      </c>
      <c r="E1419" s="188">
        <f>IFERROR(__xludf.DUMMYFUNCTION("""COMPUTED_VALUE"""),43393.0)</f>
        <v>43393</v>
      </c>
      <c r="F1419" s="188">
        <f>IFERROR(__xludf.DUMMYFUNCTION("""COMPUTED_VALUE"""),43440.0)</f>
        <v>43440</v>
      </c>
      <c r="H1419">
        <f>IFERROR(__xludf.DUMMYFUNCTION("""COMPUTED_VALUE"""),156055.0)</f>
        <v>156055</v>
      </c>
      <c r="J1419" s="5">
        <f>IFERROR(__xludf.DUMMYFUNCTION("""COMPUTED_VALUE"""),43441.0)</f>
        <v>43441</v>
      </c>
      <c r="K1419">
        <f>IFERROR(__xludf.DUMMYFUNCTION("""COMPUTED_VALUE"""),47.0)</f>
        <v>47</v>
      </c>
      <c r="L1419">
        <f>IFERROR(__xludf.DUMMYFUNCTION("""COMPUTED_VALUE"""),1.0)</f>
        <v>1</v>
      </c>
      <c r="M1419">
        <f>IFERROR(__xludf.DUMMYFUNCTION("""COMPUTED_VALUE"""),48.0)</f>
        <v>48</v>
      </c>
      <c r="N1419" t="str">
        <f>IFERROR(__xludf.DUMMYFUNCTION("""COMPUTED_VALUE"""),"Model 3 MR")</f>
        <v>Model 3 MR</v>
      </c>
      <c r="O1419" t="str">
        <f>IFERROR(__xludf.DUMMYFUNCTION("""COMPUTED_VALUE"""),"Midnight Silver Metallic")</f>
        <v>Midnight Silver Metallic</v>
      </c>
      <c r="P1419" t="str">
        <f>IFERROR(__xludf.DUMMYFUNCTION("""COMPUTED_VALUE"""),"19 inch Sport")</f>
        <v>19 inch Sport</v>
      </c>
      <c r="Q1419" t="str">
        <f>IFERROR(__xludf.DUMMYFUNCTION("""COMPUTED_VALUE"""),"White seats")</f>
        <v>White seats</v>
      </c>
      <c r="R1419" t="str">
        <f>IFERROR(__xludf.DUMMYFUNCTION("""COMPUTED_VALUE"""),"Enhanced Autopilot")</f>
        <v>Enhanced Autopilot</v>
      </c>
      <c r="X1419" t="str">
        <f>IFERROR(__xludf.DUMMYFUNCTION("""COMPUTED_VALUE"""),"Excellent")</f>
        <v>Excellent</v>
      </c>
      <c r="Y1419" t="str">
        <f>IFERROR(__xludf.DUMMYFUNCTION("""COMPUTED_VALUE"""),"Excellent")</f>
        <v>Excellent</v>
      </c>
      <c r="Z1419" t="str">
        <f>IFERROR(__xludf.DUMMYFUNCTION("""COMPUTED_VALUE"""),"Very Good")</f>
        <v>Very Good</v>
      </c>
      <c r="AA1419" t="str">
        <f>IFERROR(__xludf.DUMMYFUNCTION("""COMPUTED_VALUE"""),"Very Good")</f>
        <v>Very Good</v>
      </c>
      <c r="AB1419" t="str">
        <f>IFERROR(__xludf.DUMMYFUNCTION("""COMPUTED_VALUE"""),"Very Good")</f>
        <v>Very Good</v>
      </c>
      <c r="AH1419" s="189">
        <f>IFERROR(__xludf.DUMMYFUNCTION("""COMPUTED_VALUE"""),43441.713647048615)</f>
        <v>43441.71365</v>
      </c>
    </row>
    <row r="1420">
      <c r="A1420" t="str">
        <f>IFERROR(__xludf.DUMMYFUNCTION("""COMPUTED_VALUE"""),"Hoosierdaddy")</f>
        <v>Hoosierdaddy</v>
      </c>
      <c r="B1420" t="str">
        <f>IFERROR(__xludf.DUMMYFUNCTION("""COMPUTED_VALUE"""),"Indianapolis")</f>
        <v>Indianapolis</v>
      </c>
      <c r="C1420" t="str">
        <f>IFERROR(__xludf.DUMMYFUNCTION("""COMPUTED_VALUE"""),"IN")</f>
        <v>IN</v>
      </c>
      <c r="D1420" t="str">
        <f>IFERROR(__xludf.DUMMYFUNCTION("""COMPUTED_VALUE"""),"USA")</f>
        <v>USA</v>
      </c>
      <c r="E1420" s="188">
        <f>IFERROR(__xludf.DUMMYFUNCTION("""COMPUTED_VALUE"""),43413.0)</f>
        <v>43413</v>
      </c>
      <c r="F1420" s="188">
        <f>IFERROR(__xludf.DUMMYFUNCTION("""COMPUTED_VALUE"""),43419.0)</f>
        <v>43419</v>
      </c>
      <c r="H1420">
        <f>IFERROR(__xludf.DUMMYFUNCTION("""COMPUTED_VALUE"""),95055.0)</f>
        <v>95055</v>
      </c>
      <c r="I1420" t="str">
        <f>IFERROR(__xludf.DUMMYFUNCTION("""COMPUTED_VALUE"""),"10/18")</f>
        <v>10/18</v>
      </c>
      <c r="J1420" s="5">
        <f>IFERROR(__xludf.DUMMYFUNCTION("""COMPUTED_VALUE"""),43441.0)</f>
        <v>43441</v>
      </c>
      <c r="K1420">
        <f>IFERROR(__xludf.DUMMYFUNCTION("""COMPUTED_VALUE"""),6.0)</f>
        <v>6</v>
      </c>
      <c r="L1420">
        <f>IFERROR(__xludf.DUMMYFUNCTION("""COMPUTED_VALUE"""),22.0)</f>
        <v>22</v>
      </c>
      <c r="M1420">
        <f>IFERROR(__xludf.DUMMYFUNCTION("""COMPUTED_VALUE"""),28.0)</f>
        <v>28</v>
      </c>
      <c r="N1420" t="str">
        <f>IFERROR(__xludf.DUMMYFUNCTION("""COMPUTED_VALUE"""),"Model 3 LR")</f>
        <v>Model 3 LR</v>
      </c>
      <c r="O1420" t="str">
        <f>IFERROR(__xludf.DUMMYFUNCTION("""COMPUTED_VALUE"""),"Solid Black")</f>
        <v>Solid Black</v>
      </c>
      <c r="P1420" t="str">
        <f>IFERROR(__xludf.DUMMYFUNCTION("""COMPUTED_VALUE"""),"18 inch Aero")</f>
        <v>18 inch Aero</v>
      </c>
      <c r="Q1420" t="str">
        <f>IFERROR(__xludf.DUMMYFUNCTION("""COMPUTED_VALUE"""),"Black seats")</f>
        <v>Black seats</v>
      </c>
      <c r="R1420" t="str">
        <f>IFERROR(__xludf.DUMMYFUNCTION("""COMPUTED_VALUE"""),"Enhanced Autopilot")</f>
        <v>Enhanced Autopilot</v>
      </c>
      <c r="X1420" t="str">
        <f>IFERROR(__xludf.DUMMYFUNCTION("""COMPUTED_VALUE"""),"Excellent")</f>
        <v>Excellent</v>
      </c>
      <c r="Y1420" t="str">
        <f>IFERROR(__xludf.DUMMYFUNCTION("""COMPUTED_VALUE"""),"Excellent")</f>
        <v>Excellent</v>
      </c>
      <c r="Z1420" t="str">
        <f>IFERROR(__xludf.DUMMYFUNCTION("""COMPUTED_VALUE"""),"Excellent")</f>
        <v>Excellent</v>
      </c>
      <c r="AA1420" t="str">
        <f>IFERROR(__xludf.DUMMYFUNCTION("""COMPUTED_VALUE"""),"Excellent")</f>
        <v>Excellent</v>
      </c>
      <c r="AB1420" t="str">
        <f>IFERROR(__xludf.DUMMYFUNCTION("""COMPUTED_VALUE"""),"Excellent")</f>
        <v>Excellent</v>
      </c>
      <c r="AG1420" t="str">
        <f>IFERROR(__xludf.DUMMYFUNCTION("""COMPUTED_VALUE"""),"Ordered MR on 10/18 then changed to LR RWD on 11/9")</f>
        <v>Ordered MR on 10/18 then changed to LR RWD on 11/9</v>
      </c>
      <c r="AH1420" s="189">
        <f>IFERROR(__xludf.DUMMYFUNCTION("""COMPUTED_VALUE"""),43441.836912071754)</f>
        <v>43441.83691</v>
      </c>
    </row>
    <row r="1421">
      <c r="A1421" t="str">
        <f>IFERROR(__xludf.DUMMYFUNCTION("""COMPUTED_VALUE"""),"BlueShift")</f>
        <v>BlueShift</v>
      </c>
      <c r="B1421" t="str">
        <f>IFERROR(__xludf.DUMMYFUNCTION("""COMPUTED_VALUE"""),"St. Louis")</f>
        <v>St. Louis</v>
      </c>
      <c r="C1421" t="str">
        <f>IFERROR(__xludf.DUMMYFUNCTION("""COMPUTED_VALUE"""),"MO")</f>
        <v>MO</v>
      </c>
      <c r="D1421" t="str">
        <f>IFERROR(__xludf.DUMMYFUNCTION("""COMPUTED_VALUE"""),"USA")</f>
        <v>USA</v>
      </c>
      <c r="E1421" s="188">
        <f>IFERROR(__xludf.DUMMYFUNCTION("""COMPUTED_VALUE"""),43391.0)</f>
        <v>43391</v>
      </c>
      <c r="F1421" s="188">
        <f>IFERROR(__xludf.DUMMYFUNCTION("""COMPUTED_VALUE"""),43441.0)</f>
        <v>43441</v>
      </c>
      <c r="H1421">
        <f>IFERROR(__xludf.DUMMYFUNCTION("""COMPUTED_VALUE"""),156155.0)</f>
        <v>156155</v>
      </c>
      <c r="I1421" t="str">
        <f>IFERROR(__xludf.DUMMYFUNCTION("""COMPUTED_VALUE"""),"12/18")</f>
        <v>12/18</v>
      </c>
      <c r="J1421" s="5">
        <f>IFERROR(__xludf.DUMMYFUNCTION("""COMPUTED_VALUE"""),43441.0)</f>
        <v>43441</v>
      </c>
      <c r="K1421">
        <f>IFERROR(__xludf.DUMMYFUNCTION("""COMPUTED_VALUE"""),50.0)</f>
        <v>50</v>
      </c>
      <c r="L1421">
        <f>IFERROR(__xludf.DUMMYFUNCTION("""COMPUTED_VALUE"""),0.0)</f>
        <v>0</v>
      </c>
      <c r="M1421">
        <f>IFERROR(__xludf.DUMMYFUNCTION("""COMPUTED_VALUE"""),50.0)</f>
        <v>50</v>
      </c>
      <c r="N1421" t="str">
        <f>IFERROR(__xludf.DUMMYFUNCTION("""COMPUTED_VALUE"""),"Model 3 MR")</f>
        <v>Model 3 MR</v>
      </c>
      <c r="O1421" t="str">
        <f>IFERROR(__xludf.DUMMYFUNCTION("""COMPUTED_VALUE"""),"Deep Blue Metallic")</f>
        <v>Deep Blue Metallic</v>
      </c>
      <c r="P1421" t="str">
        <f>IFERROR(__xludf.DUMMYFUNCTION("""COMPUTED_VALUE"""),"19 inch Sport")</f>
        <v>19 inch Sport</v>
      </c>
      <c r="Q1421" t="str">
        <f>IFERROR(__xludf.DUMMYFUNCTION("""COMPUTED_VALUE"""),"White seats")</f>
        <v>White seats</v>
      </c>
      <c r="R1421" t="str">
        <f>IFERROR(__xludf.DUMMYFUNCTION("""COMPUTED_VALUE"""),"None")</f>
        <v>None</v>
      </c>
      <c r="X1421" t="str">
        <f>IFERROR(__xludf.DUMMYFUNCTION("""COMPUTED_VALUE"""),"Excellent")</f>
        <v>Excellent</v>
      </c>
      <c r="Y1421" t="str">
        <f>IFERROR(__xludf.DUMMYFUNCTION("""COMPUTED_VALUE"""),"Excellent")</f>
        <v>Excellent</v>
      </c>
      <c r="Z1421" t="str">
        <f>IFERROR(__xludf.DUMMYFUNCTION("""COMPUTED_VALUE"""),"Excellent")</f>
        <v>Excellent</v>
      </c>
      <c r="AA1421" t="str">
        <f>IFERROR(__xludf.DUMMYFUNCTION("""COMPUTED_VALUE"""),"Good")</f>
        <v>Good</v>
      </c>
      <c r="AB1421" t="str">
        <f>IFERROR(__xludf.DUMMYFUNCTION("""COMPUTED_VALUE"""),"Good")</f>
        <v>Good</v>
      </c>
      <c r="AH1421" s="189">
        <f>IFERROR(__xludf.DUMMYFUNCTION("""COMPUTED_VALUE"""),43441.87994881945)</f>
        <v>43441.87995</v>
      </c>
    </row>
    <row r="1422">
      <c r="A1422" t="str">
        <f>IFERROR(__xludf.DUMMYFUNCTION("""COMPUTED_VALUE"""),"gtf")</f>
        <v>gtf</v>
      </c>
      <c r="C1422" t="str">
        <f>IFERROR(__xludf.DUMMYFUNCTION("""COMPUTED_VALUE"""),"OR")</f>
        <v>OR</v>
      </c>
      <c r="D1422" t="str">
        <f>IFERROR(__xludf.DUMMYFUNCTION("""COMPUTED_VALUE"""),"USA")</f>
        <v>USA</v>
      </c>
      <c r="E1422" s="188">
        <f>IFERROR(__xludf.DUMMYFUNCTION("""COMPUTED_VALUE"""),43392.0)</f>
        <v>43392</v>
      </c>
      <c r="F1422" s="188">
        <f>IFERROR(__xludf.DUMMYFUNCTION("""COMPUTED_VALUE"""),43437.0)</f>
        <v>43437</v>
      </c>
      <c r="H1422">
        <f>IFERROR(__xludf.DUMMYFUNCTION("""COMPUTED_VALUE"""),152075.0)</f>
        <v>152075</v>
      </c>
      <c r="I1422" t="str">
        <f>IFERROR(__xludf.DUMMYFUNCTION("""COMPUTED_VALUE"""),"12/18")</f>
        <v>12/18</v>
      </c>
      <c r="J1422" s="5">
        <f>IFERROR(__xludf.DUMMYFUNCTION("""COMPUTED_VALUE"""),43439.0)</f>
        <v>43439</v>
      </c>
      <c r="K1422">
        <f>IFERROR(__xludf.DUMMYFUNCTION("""COMPUTED_VALUE"""),45.0)</f>
        <v>45</v>
      </c>
      <c r="L1422">
        <f>IFERROR(__xludf.DUMMYFUNCTION("""COMPUTED_VALUE"""),2.0)</f>
        <v>2</v>
      </c>
      <c r="M1422">
        <f>IFERROR(__xludf.DUMMYFUNCTION("""COMPUTED_VALUE"""),47.0)</f>
        <v>47</v>
      </c>
      <c r="N1422" t="str">
        <f>IFERROR(__xludf.DUMMYFUNCTION("""COMPUTED_VALUE"""),"Model 3 MR")</f>
        <v>Model 3 MR</v>
      </c>
      <c r="O1422" t="str">
        <f>IFERROR(__xludf.DUMMYFUNCTION("""COMPUTED_VALUE"""),"Solid Black")</f>
        <v>Solid Black</v>
      </c>
      <c r="P1422" t="str">
        <f>IFERROR(__xludf.DUMMYFUNCTION("""COMPUTED_VALUE"""),"18 inch Aero")</f>
        <v>18 inch Aero</v>
      </c>
      <c r="Q1422" t="str">
        <f>IFERROR(__xludf.DUMMYFUNCTION("""COMPUTED_VALUE"""),"Black seats")</f>
        <v>Black seats</v>
      </c>
      <c r="R1422" t="str">
        <f>IFERROR(__xludf.DUMMYFUNCTION("""COMPUTED_VALUE"""),"None")</f>
        <v>None</v>
      </c>
      <c r="X1422" t="str">
        <f>IFERROR(__xludf.DUMMYFUNCTION("""COMPUTED_VALUE"""),"Very Good")</f>
        <v>Very Good</v>
      </c>
      <c r="Y1422" t="str">
        <f>IFERROR(__xludf.DUMMYFUNCTION("""COMPUTED_VALUE"""),"Very Good")</f>
        <v>Very Good</v>
      </c>
      <c r="Z1422" t="str">
        <f>IFERROR(__xludf.DUMMYFUNCTION("""COMPUTED_VALUE"""),"Very Good")</f>
        <v>Very Good</v>
      </c>
      <c r="AA1422" t="str">
        <f>IFERROR(__xludf.DUMMYFUNCTION("""COMPUTED_VALUE"""),"Fair")</f>
        <v>Fair</v>
      </c>
      <c r="AB1422" t="str">
        <f>IFERROR(__xludf.DUMMYFUNCTION("""COMPUTED_VALUE"""),"Good")</f>
        <v>Good</v>
      </c>
      <c r="AH1422" s="189">
        <f>IFERROR(__xludf.DUMMYFUNCTION("""COMPUTED_VALUE"""),43442.05210731481)</f>
        <v>43442.05211</v>
      </c>
    </row>
    <row r="1423">
      <c r="A1423" t="str">
        <f>IFERROR(__xludf.DUMMYFUNCTION("""COMPUTED_VALUE"""),"schmidthappens")</f>
        <v>schmidthappens</v>
      </c>
      <c r="B1423" t="str">
        <f>IFERROR(__xludf.DUMMYFUNCTION("""COMPUTED_VALUE"""),"Indianapolis")</f>
        <v>Indianapolis</v>
      </c>
      <c r="C1423" t="str">
        <f>IFERROR(__xludf.DUMMYFUNCTION("""COMPUTED_VALUE"""),"IN")</f>
        <v>IN</v>
      </c>
      <c r="D1423" t="str">
        <f>IFERROR(__xludf.DUMMYFUNCTION("""COMPUTED_VALUE"""),"USA")</f>
        <v>USA</v>
      </c>
      <c r="E1423" s="188">
        <f>IFERROR(__xludf.DUMMYFUNCTION("""COMPUTED_VALUE"""),43430.0)</f>
        <v>43430</v>
      </c>
      <c r="F1423" s="188">
        <f>IFERROR(__xludf.DUMMYFUNCTION("""COMPUTED_VALUE"""),43438.0)</f>
        <v>43438</v>
      </c>
      <c r="H1423">
        <f>IFERROR(__xludf.DUMMYFUNCTION("""COMPUTED_VALUE"""),153455.0)</f>
        <v>153455</v>
      </c>
      <c r="I1423" t="str">
        <f>IFERROR(__xludf.DUMMYFUNCTION("""COMPUTED_VALUE"""),"11/18")</f>
        <v>11/18</v>
      </c>
      <c r="J1423" s="5">
        <f>IFERROR(__xludf.DUMMYFUNCTION("""COMPUTED_VALUE"""),43441.0)</f>
        <v>43441</v>
      </c>
      <c r="K1423">
        <f>IFERROR(__xludf.DUMMYFUNCTION("""COMPUTED_VALUE"""),8.0)</f>
        <v>8</v>
      </c>
      <c r="L1423">
        <f>IFERROR(__xludf.DUMMYFUNCTION("""COMPUTED_VALUE"""),3.0)</f>
        <v>3</v>
      </c>
      <c r="M1423">
        <f>IFERROR(__xludf.DUMMYFUNCTION("""COMPUTED_VALUE"""),11.0)</f>
        <v>11</v>
      </c>
      <c r="N1423" t="str">
        <f>IFERROR(__xludf.DUMMYFUNCTION("""COMPUTED_VALUE"""),"Model 3 MR")</f>
        <v>Model 3 MR</v>
      </c>
      <c r="O1423" t="str">
        <f>IFERROR(__xludf.DUMMYFUNCTION("""COMPUTED_VALUE"""),"Midnight Silver Metallic")</f>
        <v>Midnight Silver Metallic</v>
      </c>
      <c r="P1423" t="str">
        <f>IFERROR(__xludf.DUMMYFUNCTION("""COMPUTED_VALUE"""),"18 inch Aero")</f>
        <v>18 inch Aero</v>
      </c>
      <c r="Q1423" t="str">
        <f>IFERROR(__xludf.DUMMYFUNCTION("""COMPUTED_VALUE"""),"Black seats")</f>
        <v>Black seats</v>
      </c>
      <c r="R1423" t="str">
        <f>IFERROR(__xludf.DUMMYFUNCTION("""COMPUTED_VALUE"""),"Enhanced Autopilot")</f>
        <v>Enhanced Autopilot</v>
      </c>
      <c r="X1423" t="str">
        <f>IFERROR(__xludf.DUMMYFUNCTION("""COMPUTED_VALUE"""),"Excellent")</f>
        <v>Excellent</v>
      </c>
      <c r="Y1423" t="str">
        <f>IFERROR(__xludf.DUMMYFUNCTION("""COMPUTED_VALUE"""),"Excellent")</f>
        <v>Excellent</v>
      </c>
      <c r="Z1423" t="str">
        <f>IFERROR(__xludf.DUMMYFUNCTION("""COMPUTED_VALUE"""),"Excellent")</f>
        <v>Excellent</v>
      </c>
      <c r="AA1423" t="str">
        <f>IFERROR(__xludf.DUMMYFUNCTION("""COMPUTED_VALUE"""),"Very Good")</f>
        <v>Very Good</v>
      </c>
      <c r="AB1423" t="str">
        <f>IFERROR(__xludf.DUMMYFUNCTION("""COMPUTED_VALUE"""),"Excellent")</f>
        <v>Excellent</v>
      </c>
      <c r="AH1423" s="189">
        <f>IFERROR(__xludf.DUMMYFUNCTION("""COMPUTED_VALUE"""),43442.09734980324)</f>
        <v>43442.09735</v>
      </c>
    </row>
    <row r="1424">
      <c r="A1424" t="str">
        <f>IFERROR(__xludf.DUMMYFUNCTION("""COMPUTED_VALUE"""),"fsu77gt")</f>
        <v>fsu77gt</v>
      </c>
      <c r="B1424" t="str">
        <f>IFERROR(__xludf.DUMMYFUNCTION("""COMPUTED_VALUE"""),"Tallahassee")</f>
        <v>Tallahassee</v>
      </c>
      <c r="C1424" t="str">
        <f>IFERROR(__xludf.DUMMYFUNCTION("""COMPUTED_VALUE"""),"FL")</f>
        <v>FL</v>
      </c>
      <c r="D1424" t="str">
        <f>IFERROR(__xludf.DUMMYFUNCTION("""COMPUTED_VALUE"""),"USA")</f>
        <v>USA</v>
      </c>
      <c r="E1424" s="188">
        <f>IFERROR(__xludf.DUMMYFUNCTION("""COMPUTED_VALUE"""),43403.0)</f>
        <v>43403</v>
      </c>
      <c r="F1424" s="188">
        <f>IFERROR(__xludf.DUMMYFUNCTION("""COMPUTED_VALUE"""),43437.0)</f>
        <v>43437</v>
      </c>
      <c r="H1424" s="4">
        <f>IFERROR(__xludf.DUMMYFUNCTION("""COMPUTED_VALUE"""),105617.0)</f>
        <v>105617</v>
      </c>
      <c r="I1424" t="str">
        <f>IFERROR(__xludf.DUMMYFUNCTION("""COMPUTED_VALUE"""),"11/18")</f>
        <v>11/18</v>
      </c>
      <c r="J1424" s="5">
        <f>IFERROR(__xludf.DUMMYFUNCTION("""COMPUTED_VALUE"""),43441.0)</f>
        <v>43441</v>
      </c>
      <c r="K1424">
        <f>IFERROR(__xludf.DUMMYFUNCTION("""COMPUTED_VALUE"""),34.0)</f>
        <v>34</v>
      </c>
      <c r="L1424">
        <f>IFERROR(__xludf.DUMMYFUNCTION("""COMPUTED_VALUE"""),4.0)</f>
        <v>4</v>
      </c>
      <c r="M1424">
        <f>IFERROR(__xludf.DUMMYFUNCTION("""COMPUTED_VALUE"""),38.0)</f>
        <v>38</v>
      </c>
      <c r="N1424" t="str">
        <f>IFERROR(__xludf.DUMMYFUNCTION("""COMPUTED_VALUE"""),"Model 3 LR")</f>
        <v>Model 3 LR</v>
      </c>
      <c r="O1424" t="str">
        <f>IFERROR(__xludf.DUMMYFUNCTION("""COMPUTED_VALUE"""),"Deep Blue Metallic")</f>
        <v>Deep Blue Metallic</v>
      </c>
      <c r="P1424" t="str">
        <f>IFERROR(__xludf.DUMMYFUNCTION("""COMPUTED_VALUE"""),"18 inch Aero")</f>
        <v>18 inch Aero</v>
      </c>
      <c r="Q1424" t="str">
        <f>IFERROR(__xludf.DUMMYFUNCTION("""COMPUTED_VALUE"""),"Black seats")</f>
        <v>Black seats</v>
      </c>
      <c r="R1424" t="str">
        <f>IFERROR(__xludf.DUMMYFUNCTION("""COMPUTED_VALUE"""),"None")</f>
        <v>None</v>
      </c>
      <c r="X1424" t="str">
        <f>IFERROR(__xludf.DUMMYFUNCTION("""COMPUTED_VALUE"""),"Excellent")</f>
        <v>Excellent</v>
      </c>
      <c r="Y1424" t="str">
        <f>IFERROR(__xludf.DUMMYFUNCTION("""COMPUTED_VALUE"""),"Good")</f>
        <v>Good</v>
      </c>
      <c r="Z1424" t="str">
        <f>IFERROR(__xludf.DUMMYFUNCTION("""COMPUTED_VALUE"""),"Very Good")</f>
        <v>Very Good</v>
      </c>
      <c r="AA1424" t="str">
        <f>IFERROR(__xludf.DUMMYFUNCTION("""COMPUTED_VALUE"""),"Fair")</f>
        <v>Fair</v>
      </c>
      <c r="AB1424" t="str">
        <f>IFERROR(__xludf.DUMMYFUNCTION("""COMPUTED_VALUE"""),"Good")</f>
        <v>Good</v>
      </c>
      <c r="AG1424" t="str">
        <f>IFERROR(__xludf.DUMMYFUNCTION("""COMPUTED_VALUE"""),"Glaring fit and finish issue was a huge blob of glue visible at driver's side door where carpet did not extend far enough to cover the glue. Messy. Otherwise no significant issues.")</f>
        <v>Glaring fit and finish issue was a huge blob of glue visible at driver's side door where carpet did not extend far enough to cover the glue. Messy. Otherwise no significant issues.</v>
      </c>
      <c r="AH1424" s="189">
        <f>IFERROR(__xludf.DUMMYFUNCTION("""COMPUTED_VALUE"""),43442.285586956015)</f>
        <v>43442.28559</v>
      </c>
    </row>
    <row r="1425">
      <c r="A1425" t="str">
        <f>IFERROR(__xludf.DUMMYFUNCTION("""COMPUTED_VALUE"""),"Wolfen")</f>
        <v>Wolfen</v>
      </c>
      <c r="B1425" t="str">
        <f>IFERROR(__xludf.DUMMYFUNCTION("""COMPUTED_VALUE"""),"St Louis")</f>
        <v>St Louis</v>
      </c>
      <c r="C1425" t="str">
        <f>IFERROR(__xludf.DUMMYFUNCTION("""COMPUTED_VALUE"""),"MO")</f>
        <v>MO</v>
      </c>
      <c r="D1425" t="str">
        <f>IFERROR(__xludf.DUMMYFUNCTION("""COMPUTED_VALUE"""),"USA")</f>
        <v>USA</v>
      </c>
      <c r="E1425" s="188">
        <f>IFERROR(__xludf.DUMMYFUNCTION("""COMPUTED_VALUE"""),43279.0)</f>
        <v>43279</v>
      </c>
      <c r="F1425" s="188">
        <f>IFERROR(__xludf.DUMMYFUNCTION("""COMPUTED_VALUE"""),43384.0)</f>
        <v>43384</v>
      </c>
      <c r="H1425">
        <f>IFERROR(__xludf.DUMMYFUNCTION("""COMPUTED_VALUE"""),94766.0)</f>
        <v>94766</v>
      </c>
      <c r="I1425" t="str">
        <f>IFERROR(__xludf.DUMMYFUNCTION("""COMPUTED_VALUE"""),"09/18")</f>
        <v>09/18</v>
      </c>
      <c r="J1425" s="5">
        <f>IFERROR(__xludf.DUMMYFUNCTION("""COMPUTED_VALUE"""),43389.0)</f>
        <v>43389</v>
      </c>
      <c r="K1425">
        <f>IFERROR(__xludf.DUMMYFUNCTION("""COMPUTED_VALUE"""),105.0)</f>
        <v>105</v>
      </c>
      <c r="L1425">
        <f>IFERROR(__xludf.DUMMYFUNCTION("""COMPUTED_VALUE"""),5.0)</f>
        <v>5</v>
      </c>
      <c r="M1425">
        <f>IFERROR(__xludf.DUMMYFUNCTION("""COMPUTED_VALUE"""),110.0)</f>
        <v>110</v>
      </c>
      <c r="N1425" t="str">
        <f>IFERROR(__xludf.DUMMYFUNCTION("""COMPUTED_VALUE"""),"Model 3 LR AWD")</f>
        <v>Model 3 LR AWD</v>
      </c>
      <c r="O1425" t="str">
        <f>IFERROR(__xludf.DUMMYFUNCTION("""COMPUTED_VALUE"""),"Pearl White Multi-Coat")</f>
        <v>Pearl White Multi-Coat</v>
      </c>
      <c r="P1425" t="str">
        <f>IFERROR(__xludf.DUMMYFUNCTION("""COMPUTED_VALUE"""),"18 inch Aero")</f>
        <v>18 inch Aero</v>
      </c>
      <c r="Q1425" t="str">
        <f>IFERROR(__xludf.DUMMYFUNCTION("""COMPUTED_VALUE"""),"Black seats")</f>
        <v>Black seats</v>
      </c>
      <c r="R1425" t="str">
        <f>IFERROR(__xludf.DUMMYFUNCTION("""COMPUTED_VALUE"""),"Enhanced Autopilot")</f>
        <v>Enhanced Autopilot</v>
      </c>
      <c r="X1425" t="str">
        <f>IFERROR(__xludf.DUMMYFUNCTION("""COMPUTED_VALUE"""),"Excellent")</f>
        <v>Excellent</v>
      </c>
      <c r="Y1425" t="str">
        <f>IFERROR(__xludf.DUMMYFUNCTION("""COMPUTED_VALUE"""),"Excellent")</f>
        <v>Excellent</v>
      </c>
      <c r="Z1425" t="str">
        <f>IFERROR(__xludf.DUMMYFUNCTION("""COMPUTED_VALUE"""),"Excellent")</f>
        <v>Excellent</v>
      </c>
      <c r="AA1425" t="str">
        <f>IFERROR(__xludf.DUMMYFUNCTION("""COMPUTED_VALUE"""),"Good")</f>
        <v>Good</v>
      </c>
      <c r="AB1425" t="str">
        <f>IFERROR(__xludf.DUMMYFUNCTION("""COMPUTED_VALUE"""),"Very Good")</f>
        <v>Very Good</v>
      </c>
      <c r="AC1425">
        <f>IFERROR(__xludf.DUMMYFUNCTION("""COMPUTED_VALUE"""),1.0)</f>
        <v>1</v>
      </c>
      <c r="AD1425">
        <f>IFERROR(__xludf.DUMMYFUNCTION("""COMPUTED_VALUE"""),1.0)</f>
        <v>1</v>
      </c>
      <c r="AE1425">
        <f>IFERROR(__xludf.DUMMYFUNCTION("""COMPUTED_VALUE"""),1.0)</f>
        <v>1</v>
      </c>
      <c r="AG1425" t="str">
        <f>IFERROR(__xludf.DUMMYFUNCTION("""COMPUTED_VALUE"""),"The display locks up for about 5 minutes periodically.")</f>
        <v>The display locks up for about 5 minutes periodically.</v>
      </c>
      <c r="AH1425" s="189">
        <f>IFERROR(__xludf.DUMMYFUNCTION("""COMPUTED_VALUE"""),43442.40951445602)</f>
        <v>43442.40951</v>
      </c>
    </row>
    <row r="1426">
      <c r="A1426" t="str">
        <f>IFERROR(__xludf.DUMMYFUNCTION("""COMPUTED_VALUE"""),"vassilios")</f>
        <v>vassilios</v>
      </c>
      <c r="B1426" t="str">
        <f>IFERROR(__xludf.DUMMYFUNCTION("""COMPUTED_VALUE"""),"Harrisburg")</f>
        <v>Harrisburg</v>
      </c>
      <c r="C1426" t="str">
        <f>IFERROR(__xludf.DUMMYFUNCTION("""COMPUTED_VALUE"""),"PA")</f>
        <v>PA</v>
      </c>
      <c r="D1426" t="str">
        <f>IFERROR(__xludf.DUMMYFUNCTION("""COMPUTED_VALUE"""),"USA")</f>
        <v>USA</v>
      </c>
      <c r="E1426" s="188">
        <f>IFERROR(__xludf.DUMMYFUNCTION("""COMPUTED_VALUE"""),43392.0)</f>
        <v>43392</v>
      </c>
      <c r="H1426">
        <f>IFERROR(__xludf.DUMMYFUNCTION("""COMPUTED_VALUE"""),152955.0)</f>
        <v>152955</v>
      </c>
      <c r="J1426" s="5">
        <f>IFERROR(__xludf.DUMMYFUNCTION("""COMPUTED_VALUE"""),43442.0)</f>
        <v>43442</v>
      </c>
      <c r="M1426">
        <f>IFERROR(__xludf.DUMMYFUNCTION("""COMPUTED_VALUE"""),50.0)</f>
        <v>50</v>
      </c>
      <c r="N1426" t="str">
        <f>IFERROR(__xludf.DUMMYFUNCTION("""COMPUTED_VALUE"""),"Model 3 MR")</f>
        <v>Model 3 MR</v>
      </c>
      <c r="O1426" t="str">
        <f>IFERROR(__xludf.DUMMYFUNCTION("""COMPUTED_VALUE"""),"Obsidian Black Metallic")</f>
        <v>Obsidian Black Metallic</v>
      </c>
      <c r="P1426" t="str">
        <f>IFERROR(__xludf.DUMMYFUNCTION("""COMPUTED_VALUE"""),"18 inch Aero")</f>
        <v>18 inch Aero</v>
      </c>
      <c r="Q1426" t="str">
        <f>IFERROR(__xludf.DUMMYFUNCTION("""COMPUTED_VALUE"""),"Black seats")</f>
        <v>Black seats</v>
      </c>
      <c r="R1426" t="str">
        <f>IFERROR(__xludf.DUMMYFUNCTION("""COMPUTED_VALUE"""),"None")</f>
        <v>None</v>
      </c>
      <c r="X1426" t="str">
        <f>IFERROR(__xludf.DUMMYFUNCTION("""COMPUTED_VALUE"""),"Excellent")</f>
        <v>Excellent</v>
      </c>
      <c r="Y1426" t="str">
        <f>IFERROR(__xludf.DUMMYFUNCTION("""COMPUTED_VALUE"""),"Excellent")</f>
        <v>Excellent</v>
      </c>
      <c r="Z1426" t="str">
        <f>IFERROR(__xludf.DUMMYFUNCTION("""COMPUTED_VALUE"""),"Poor")</f>
        <v>Poor</v>
      </c>
      <c r="AA1426" t="str">
        <f>IFERROR(__xludf.DUMMYFUNCTION("""COMPUTED_VALUE"""),"Good")</f>
        <v>Good</v>
      </c>
      <c r="AB1426" t="str">
        <f>IFERROR(__xludf.DUMMYFUNCTION("""COMPUTED_VALUE"""),"Good")</f>
        <v>Good</v>
      </c>
      <c r="AH1426" s="189">
        <f>IFERROR(__xludf.DUMMYFUNCTION("""COMPUTED_VALUE"""),43443.208447847224)</f>
        <v>43443.20845</v>
      </c>
    </row>
    <row r="1427">
      <c r="A1427" t="str">
        <f>IFERROR(__xludf.DUMMYFUNCTION("""COMPUTED_VALUE"""),"halfvolley")</f>
        <v>halfvolley</v>
      </c>
      <c r="B1427" t="str">
        <f>IFERROR(__xludf.DUMMYFUNCTION("""COMPUTED_VALUE"""),"Atlanta")</f>
        <v>Atlanta</v>
      </c>
      <c r="C1427" t="str">
        <f>IFERROR(__xludf.DUMMYFUNCTION("""COMPUTED_VALUE"""),"GA")</f>
        <v>GA</v>
      </c>
      <c r="D1427" t="str">
        <f>IFERROR(__xludf.DUMMYFUNCTION("""COMPUTED_VALUE"""),"USA")</f>
        <v>USA</v>
      </c>
      <c r="E1427" s="188">
        <f>IFERROR(__xludf.DUMMYFUNCTION("""COMPUTED_VALUE"""),43429.0)</f>
        <v>43429</v>
      </c>
      <c r="F1427" s="188">
        <f>IFERROR(__xludf.DUMMYFUNCTION("""COMPUTED_VALUE"""),43405.0)</f>
        <v>43405</v>
      </c>
      <c r="H1427">
        <f>IFERROR(__xludf.DUMMYFUNCTION("""COMPUTED_VALUE"""),131255.0)</f>
        <v>131255</v>
      </c>
      <c r="J1427" s="5">
        <f>IFERROR(__xludf.DUMMYFUNCTION("""COMPUTED_VALUE"""),43441.0)</f>
        <v>43441</v>
      </c>
      <c r="L1427">
        <f>IFERROR(__xludf.DUMMYFUNCTION("""COMPUTED_VALUE"""),36.0)</f>
        <v>36</v>
      </c>
      <c r="M1427">
        <f>IFERROR(__xludf.DUMMYFUNCTION("""COMPUTED_VALUE"""),12.0)</f>
        <v>12</v>
      </c>
      <c r="N1427" t="str">
        <f>IFERROR(__xludf.DUMMYFUNCTION("""COMPUTED_VALUE"""),"Model 3 LR AWD")</f>
        <v>Model 3 LR AWD</v>
      </c>
      <c r="O1427" t="str">
        <f>IFERROR(__xludf.DUMMYFUNCTION("""COMPUTED_VALUE"""),"Pearl White Multi-Coat")</f>
        <v>Pearl White Multi-Coat</v>
      </c>
      <c r="P1427" t="str">
        <f>IFERROR(__xludf.DUMMYFUNCTION("""COMPUTED_VALUE"""),"18 inch Aero")</f>
        <v>18 inch Aero</v>
      </c>
      <c r="Q1427" t="str">
        <f>IFERROR(__xludf.DUMMYFUNCTION("""COMPUTED_VALUE"""),"Black seats")</f>
        <v>Black seats</v>
      </c>
      <c r="R1427" t="str">
        <f>IFERROR(__xludf.DUMMYFUNCTION("""COMPUTED_VALUE"""),"Enhanced Autopilot")</f>
        <v>Enhanced Autopilot</v>
      </c>
      <c r="X1427" t="str">
        <f>IFERROR(__xludf.DUMMYFUNCTION("""COMPUTED_VALUE"""),"Very Good")</f>
        <v>Very Good</v>
      </c>
      <c r="Y1427" t="str">
        <f>IFERROR(__xludf.DUMMYFUNCTION("""COMPUTED_VALUE"""),"Very Good")</f>
        <v>Very Good</v>
      </c>
      <c r="Z1427" t="str">
        <f>IFERROR(__xludf.DUMMYFUNCTION("""COMPUTED_VALUE"""),"Excellent")</f>
        <v>Excellent</v>
      </c>
      <c r="AA1427" t="str">
        <f>IFERROR(__xludf.DUMMYFUNCTION("""COMPUTED_VALUE"""),"Fair")</f>
        <v>Fair</v>
      </c>
      <c r="AB1427" t="str">
        <f>IFERROR(__xludf.DUMMYFUNCTION("""COMPUTED_VALUE"""),"Fair")</f>
        <v>Fair</v>
      </c>
      <c r="AC1427">
        <f>IFERROR(__xludf.DUMMYFUNCTION("""COMPUTED_VALUE"""),0.0)</f>
        <v>0</v>
      </c>
      <c r="AD1427">
        <f>IFERROR(__xludf.DUMMYFUNCTION("""COMPUTED_VALUE"""),0.0)</f>
        <v>0</v>
      </c>
      <c r="AE1427">
        <f>IFERROR(__xludf.DUMMYFUNCTION("""COMPUTED_VALUE"""),0.0)</f>
        <v>0</v>
      </c>
      <c r="AG1427" t="str">
        <f>IFERROR(__xludf.DUMMYFUNCTION("""COMPUTED_VALUE"""),"I originally ordered MR on 10/28 and changed to AWD on 11/25")</f>
        <v>I originally ordered MR on 10/28 and changed to AWD on 11/25</v>
      </c>
      <c r="AH1427" s="189">
        <f>IFERROR(__xludf.DUMMYFUNCTION("""COMPUTED_VALUE"""),43443.30106190972)</f>
        <v>43443.30106</v>
      </c>
    </row>
    <row r="1428">
      <c r="A1428" t="str">
        <f>IFERROR(__xludf.DUMMYFUNCTION("""COMPUTED_VALUE"""),"ServoWHU42")</f>
        <v>ServoWHU42</v>
      </c>
      <c r="B1428" t="str">
        <f>IFERROR(__xludf.DUMMYFUNCTION("""COMPUTED_VALUE"""),"Cleveland")</f>
        <v>Cleveland</v>
      </c>
      <c r="C1428" t="str">
        <f>IFERROR(__xludf.DUMMYFUNCTION("""COMPUTED_VALUE"""),"OH")</f>
        <v>OH</v>
      </c>
      <c r="D1428" t="str">
        <f>IFERROR(__xludf.DUMMYFUNCTION("""COMPUTED_VALUE"""),"USA")</f>
        <v>USA</v>
      </c>
      <c r="E1428" s="188">
        <f>IFERROR(__xludf.DUMMYFUNCTION("""COMPUTED_VALUE"""),43394.0)</f>
        <v>43394</v>
      </c>
      <c r="F1428" s="188">
        <f>IFERROR(__xludf.DUMMYFUNCTION("""COMPUTED_VALUE"""),43437.0)</f>
        <v>43437</v>
      </c>
      <c r="H1428">
        <f>IFERROR(__xludf.DUMMYFUNCTION("""COMPUTED_VALUE"""),151892.0)</f>
        <v>151892</v>
      </c>
      <c r="J1428" s="5">
        <f>IFERROR(__xludf.DUMMYFUNCTION("""COMPUTED_VALUE"""),43442.0)</f>
        <v>43442</v>
      </c>
      <c r="K1428">
        <f>IFERROR(__xludf.DUMMYFUNCTION("""COMPUTED_VALUE"""),43.0)</f>
        <v>43</v>
      </c>
      <c r="L1428">
        <f>IFERROR(__xludf.DUMMYFUNCTION("""COMPUTED_VALUE"""),5.0)</f>
        <v>5</v>
      </c>
      <c r="M1428">
        <f>IFERROR(__xludf.DUMMYFUNCTION("""COMPUTED_VALUE"""),48.0)</f>
        <v>48</v>
      </c>
      <c r="N1428" t="str">
        <f>IFERROR(__xludf.DUMMYFUNCTION("""COMPUTED_VALUE"""),"Model 3 MR")</f>
        <v>Model 3 MR</v>
      </c>
      <c r="O1428" t="str">
        <f>IFERROR(__xludf.DUMMYFUNCTION("""COMPUTED_VALUE"""),"Solid Black")</f>
        <v>Solid Black</v>
      </c>
      <c r="P1428" t="str">
        <f>IFERROR(__xludf.DUMMYFUNCTION("""COMPUTED_VALUE"""),"18 inch Aero")</f>
        <v>18 inch Aero</v>
      </c>
      <c r="Q1428" t="str">
        <f>IFERROR(__xludf.DUMMYFUNCTION("""COMPUTED_VALUE"""),"Black seats")</f>
        <v>Black seats</v>
      </c>
      <c r="R1428" t="str">
        <f>IFERROR(__xludf.DUMMYFUNCTION("""COMPUTED_VALUE"""),"None")</f>
        <v>None</v>
      </c>
      <c r="X1428" t="str">
        <f>IFERROR(__xludf.DUMMYFUNCTION("""COMPUTED_VALUE"""),"Very Good")</f>
        <v>Very Good</v>
      </c>
      <c r="Y1428" t="str">
        <f>IFERROR(__xludf.DUMMYFUNCTION("""COMPUTED_VALUE"""),"Excellent")</f>
        <v>Excellent</v>
      </c>
      <c r="Z1428" t="str">
        <f>IFERROR(__xludf.DUMMYFUNCTION("""COMPUTED_VALUE"""),"Excellent")</f>
        <v>Excellent</v>
      </c>
      <c r="AA1428" t="str">
        <f>IFERROR(__xludf.DUMMYFUNCTION("""COMPUTED_VALUE"""),"Fair")</f>
        <v>Fair</v>
      </c>
      <c r="AB1428" t="str">
        <f>IFERROR(__xludf.DUMMYFUNCTION("""COMPUTED_VALUE"""),"Excellent")</f>
        <v>Excellent</v>
      </c>
      <c r="AH1428" s="189">
        <f>IFERROR(__xludf.DUMMYFUNCTION("""COMPUTED_VALUE"""),43443.318686342594)</f>
        <v>43443.31869</v>
      </c>
    </row>
    <row r="1429">
      <c r="A1429" t="str">
        <f>IFERROR(__xludf.DUMMYFUNCTION("""COMPUTED_VALUE"""),"Azndaemon")</f>
        <v>Azndaemon</v>
      </c>
      <c r="C1429" t="str">
        <f>IFERROR(__xludf.DUMMYFUNCTION("""COMPUTED_VALUE"""),"QC")</f>
        <v>QC</v>
      </c>
      <c r="D1429" t="str">
        <f>IFERROR(__xludf.DUMMYFUNCTION("""COMPUTED_VALUE"""),"Canada")</f>
        <v>Canada</v>
      </c>
      <c r="E1429" s="188">
        <f>IFERROR(__xludf.DUMMYFUNCTION("""COMPUTED_VALUE"""),43402.0)</f>
        <v>43402</v>
      </c>
      <c r="F1429" s="188">
        <f>IFERROR(__xludf.DUMMYFUNCTION("""COMPUTED_VALUE"""),43425.0)</f>
        <v>43425</v>
      </c>
      <c r="H1429">
        <f>IFERROR(__xludf.DUMMYFUNCTION("""COMPUTED_VALUE"""),126778.0)</f>
        <v>126778</v>
      </c>
      <c r="J1429" s="5">
        <f>IFERROR(__xludf.DUMMYFUNCTION("""COMPUTED_VALUE"""),43442.0)</f>
        <v>43442</v>
      </c>
      <c r="K1429">
        <f>IFERROR(__xludf.DUMMYFUNCTION("""COMPUTED_VALUE"""),23.0)</f>
        <v>23</v>
      </c>
      <c r="L1429">
        <f>IFERROR(__xludf.DUMMYFUNCTION("""COMPUTED_VALUE"""),17.0)</f>
        <v>17</v>
      </c>
      <c r="M1429">
        <f>IFERROR(__xludf.DUMMYFUNCTION("""COMPUTED_VALUE"""),40.0)</f>
        <v>40</v>
      </c>
      <c r="N1429" t="str">
        <f>IFERROR(__xludf.DUMMYFUNCTION("""COMPUTED_VALUE"""),"Model 3 LR AWD")</f>
        <v>Model 3 LR AWD</v>
      </c>
      <c r="O1429" t="str">
        <f>IFERROR(__xludf.DUMMYFUNCTION("""COMPUTED_VALUE"""),"Solid Black")</f>
        <v>Solid Black</v>
      </c>
      <c r="P1429" t="str">
        <f>IFERROR(__xludf.DUMMYFUNCTION("""COMPUTED_VALUE"""),"18 inch Aero")</f>
        <v>18 inch Aero</v>
      </c>
      <c r="Q1429" t="str">
        <f>IFERROR(__xludf.DUMMYFUNCTION("""COMPUTED_VALUE"""),"Black seats")</f>
        <v>Black seats</v>
      </c>
      <c r="R1429" t="str">
        <f>IFERROR(__xludf.DUMMYFUNCTION("""COMPUTED_VALUE"""),"Enhanced Autopilot")</f>
        <v>Enhanced Autopilot</v>
      </c>
      <c r="X1429" t="str">
        <f>IFERROR(__xludf.DUMMYFUNCTION("""COMPUTED_VALUE"""),"Fair")</f>
        <v>Fair</v>
      </c>
      <c r="Y1429" t="str">
        <f>IFERROR(__xludf.DUMMYFUNCTION("""COMPUTED_VALUE"""),"Good")</f>
        <v>Good</v>
      </c>
      <c r="Z1429" t="str">
        <f>IFERROR(__xludf.DUMMYFUNCTION("""COMPUTED_VALUE"""),"Poor")</f>
        <v>Poor</v>
      </c>
      <c r="AA1429" t="str">
        <f>IFERROR(__xludf.DUMMYFUNCTION("""COMPUTED_VALUE"""),"Poor")</f>
        <v>Poor</v>
      </c>
      <c r="AB1429" t="str">
        <f>IFERROR(__xludf.DUMMYFUNCTION("""COMPUTED_VALUE"""),"Poor")</f>
        <v>Poor</v>
      </c>
      <c r="AH1429" s="189">
        <f>IFERROR(__xludf.DUMMYFUNCTION("""COMPUTED_VALUE"""),43443.34690748843)</f>
        <v>43443.34691</v>
      </c>
    </row>
    <row r="1430">
      <c r="A1430" t="str">
        <f>IFERROR(__xludf.DUMMYFUNCTION("""COMPUTED_VALUE"""),"drewpix")</f>
        <v>drewpix</v>
      </c>
      <c r="B1430" t="str">
        <f>IFERROR(__xludf.DUMMYFUNCTION("""COMPUTED_VALUE"""),"Bay Area")</f>
        <v>Bay Area</v>
      </c>
      <c r="C1430" t="str">
        <f>IFERROR(__xludf.DUMMYFUNCTION("""COMPUTED_VALUE"""),"CA")</f>
        <v>CA</v>
      </c>
      <c r="D1430" t="str">
        <f>IFERROR(__xludf.DUMMYFUNCTION("""COMPUTED_VALUE"""),"USA")</f>
        <v>USA</v>
      </c>
      <c r="E1430" s="188">
        <f>IFERROR(__xludf.DUMMYFUNCTION("""COMPUTED_VALUE"""),43393.0)</f>
        <v>43393</v>
      </c>
      <c r="F1430" s="188">
        <f>IFERROR(__xludf.DUMMYFUNCTION("""COMPUTED_VALUE"""),43436.0)</f>
        <v>43436</v>
      </c>
      <c r="H1430">
        <f>IFERROR(__xludf.DUMMYFUNCTION("""COMPUTED_VALUE"""),153055.0)</f>
        <v>153055</v>
      </c>
      <c r="I1430" t="str">
        <f>IFERROR(__xludf.DUMMYFUNCTION("""COMPUTED_VALUE"""),"12/18")</f>
        <v>12/18</v>
      </c>
      <c r="J1430" s="5">
        <f>IFERROR(__xludf.DUMMYFUNCTION("""COMPUTED_VALUE"""),43439.0)</f>
        <v>43439</v>
      </c>
      <c r="K1430">
        <f>IFERROR(__xludf.DUMMYFUNCTION("""COMPUTED_VALUE"""),43.0)</f>
        <v>43</v>
      </c>
      <c r="L1430">
        <f>IFERROR(__xludf.DUMMYFUNCTION("""COMPUTED_VALUE"""),3.0)</f>
        <v>3</v>
      </c>
      <c r="M1430">
        <f>IFERROR(__xludf.DUMMYFUNCTION("""COMPUTED_VALUE"""),46.0)</f>
        <v>46</v>
      </c>
      <c r="N1430" t="str">
        <f>IFERROR(__xludf.DUMMYFUNCTION("""COMPUTED_VALUE"""),"Model 3 MR")</f>
        <v>Model 3 MR</v>
      </c>
      <c r="O1430" t="str">
        <f>IFERROR(__xludf.DUMMYFUNCTION("""COMPUTED_VALUE"""),"Pearl White Multi-Coat")</f>
        <v>Pearl White Multi-Coat</v>
      </c>
      <c r="P1430" t="str">
        <f>IFERROR(__xludf.DUMMYFUNCTION("""COMPUTED_VALUE"""),"18 inch Aero")</f>
        <v>18 inch Aero</v>
      </c>
      <c r="Q1430" t="str">
        <f>IFERROR(__xludf.DUMMYFUNCTION("""COMPUTED_VALUE"""),"Black seats")</f>
        <v>Black seats</v>
      </c>
      <c r="R1430" t="str">
        <f>IFERROR(__xludf.DUMMYFUNCTION("""COMPUTED_VALUE"""),"Enhanced Autopilot")</f>
        <v>Enhanced Autopilot</v>
      </c>
      <c r="X1430" t="str">
        <f>IFERROR(__xludf.DUMMYFUNCTION("""COMPUTED_VALUE"""),"Very Good")</f>
        <v>Very Good</v>
      </c>
      <c r="Y1430" t="str">
        <f>IFERROR(__xludf.DUMMYFUNCTION("""COMPUTED_VALUE"""),"Excellent")</f>
        <v>Excellent</v>
      </c>
      <c r="Z1430" t="str">
        <f>IFERROR(__xludf.DUMMYFUNCTION("""COMPUTED_VALUE"""),"Good")</f>
        <v>Good</v>
      </c>
      <c r="AA1430" t="str">
        <f>IFERROR(__xludf.DUMMYFUNCTION("""COMPUTED_VALUE"""),"Poor")</f>
        <v>Poor</v>
      </c>
      <c r="AB1430" t="str">
        <f>IFERROR(__xludf.DUMMYFUNCTION("""COMPUTED_VALUE"""),"Fair")</f>
        <v>Fair</v>
      </c>
      <c r="AC1430">
        <f>IFERROR(__xludf.DUMMYFUNCTION("""COMPUTED_VALUE"""),3.0)</f>
        <v>3</v>
      </c>
      <c r="AH1430" s="189">
        <f>IFERROR(__xludf.DUMMYFUNCTION("""COMPUTED_VALUE"""),43443.4556681713)</f>
        <v>43443.45567</v>
      </c>
    </row>
    <row r="1431">
      <c r="A1431" t="str">
        <f>IFERROR(__xludf.DUMMYFUNCTION("""COMPUTED_VALUE"""),"Galucha")</f>
        <v>Galucha</v>
      </c>
      <c r="B1431" t="str">
        <f>IFERROR(__xludf.DUMMYFUNCTION("""COMPUTED_VALUE"""),"Chattanooga")</f>
        <v>Chattanooga</v>
      </c>
      <c r="C1431" t="str">
        <f>IFERROR(__xludf.DUMMYFUNCTION("""COMPUTED_VALUE"""),"TN")</f>
        <v>TN</v>
      </c>
      <c r="D1431" t="str">
        <f>IFERROR(__xludf.DUMMYFUNCTION("""COMPUTED_VALUE"""),"USA")</f>
        <v>USA</v>
      </c>
      <c r="E1431" s="188">
        <f>IFERROR(__xludf.DUMMYFUNCTION("""COMPUTED_VALUE"""),43434.0)</f>
        <v>43434</v>
      </c>
      <c r="F1431" s="188">
        <f>IFERROR(__xludf.DUMMYFUNCTION("""COMPUTED_VALUE"""),43443.0)</f>
        <v>43443</v>
      </c>
      <c r="H1431">
        <f>IFERROR(__xludf.DUMMYFUNCTION("""COMPUTED_VALUE"""),152455.0)</f>
        <v>152455</v>
      </c>
      <c r="J1431" s="5">
        <f>IFERROR(__xludf.DUMMYFUNCTION("""COMPUTED_VALUE"""),43454.0)</f>
        <v>43454</v>
      </c>
      <c r="K1431">
        <f>IFERROR(__xludf.DUMMYFUNCTION("""COMPUTED_VALUE"""),9.0)</f>
        <v>9</v>
      </c>
      <c r="L1431">
        <f>IFERROR(__xludf.DUMMYFUNCTION("""COMPUTED_VALUE"""),11.0)</f>
        <v>11</v>
      </c>
      <c r="M1431">
        <f>IFERROR(__xludf.DUMMYFUNCTION("""COMPUTED_VALUE"""),20.0)</f>
        <v>20</v>
      </c>
      <c r="N1431" t="str">
        <f>IFERROR(__xludf.DUMMYFUNCTION("""COMPUTED_VALUE"""),"Model 3 MR")</f>
        <v>Model 3 MR</v>
      </c>
      <c r="O1431" t="str">
        <f>IFERROR(__xludf.DUMMYFUNCTION("""COMPUTED_VALUE"""),"Solid Black")</f>
        <v>Solid Black</v>
      </c>
      <c r="P1431" t="str">
        <f>IFERROR(__xludf.DUMMYFUNCTION("""COMPUTED_VALUE"""),"18 inch Aero")</f>
        <v>18 inch Aero</v>
      </c>
      <c r="Q1431" t="str">
        <f>IFERROR(__xludf.DUMMYFUNCTION("""COMPUTED_VALUE"""),"Black seats")</f>
        <v>Black seats</v>
      </c>
      <c r="R1431" t="str">
        <f>IFERROR(__xludf.DUMMYFUNCTION("""COMPUTED_VALUE"""),"None")</f>
        <v>None</v>
      </c>
      <c r="AA1431" t="str">
        <f>IFERROR(__xludf.DUMMYFUNCTION("""COMPUTED_VALUE"""),"Fair")</f>
        <v>Fair</v>
      </c>
      <c r="AH1431" s="189">
        <f>IFERROR(__xludf.DUMMYFUNCTION("""COMPUTED_VALUE"""),43443.5254765162)</f>
        <v>43443.52548</v>
      </c>
    </row>
    <row r="1432">
      <c r="A1432" t="str">
        <f>IFERROR(__xludf.DUMMYFUNCTION("""COMPUTED_VALUE"""),"PulledPorg")</f>
        <v>PulledPorg</v>
      </c>
      <c r="B1432" t="str">
        <f>IFERROR(__xludf.DUMMYFUNCTION("""COMPUTED_VALUE"""),"San Luis Obispo")</f>
        <v>San Luis Obispo</v>
      </c>
      <c r="C1432" t="str">
        <f>IFERROR(__xludf.DUMMYFUNCTION("""COMPUTED_VALUE"""),"CA")</f>
        <v>CA</v>
      </c>
      <c r="D1432" t="str">
        <f>IFERROR(__xludf.DUMMYFUNCTION("""COMPUTED_VALUE"""),"USA")</f>
        <v>USA</v>
      </c>
      <c r="E1432" s="188">
        <f>IFERROR(__xludf.DUMMYFUNCTION("""COMPUTED_VALUE"""),43393.0)</f>
        <v>43393</v>
      </c>
      <c r="F1432" s="188">
        <f>IFERROR(__xludf.DUMMYFUNCTION("""COMPUTED_VALUE"""),43434.0)</f>
        <v>43434</v>
      </c>
      <c r="H1432">
        <f>IFERROR(__xludf.DUMMYFUNCTION("""COMPUTED_VALUE"""),125025.0)</f>
        <v>125025</v>
      </c>
      <c r="J1432" s="5">
        <f>IFERROR(__xludf.DUMMYFUNCTION("""COMPUTED_VALUE"""),43442.0)</f>
        <v>43442</v>
      </c>
      <c r="K1432">
        <f>IFERROR(__xludf.DUMMYFUNCTION("""COMPUTED_VALUE"""),41.0)</f>
        <v>41</v>
      </c>
      <c r="L1432">
        <f>IFERROR(__xludf.DUMMYFUNCTION("""COMPUTED_VALUE"""),8.0)</f>
        <v>8</v>
      </c>
      <c r="M1432">
        <f>IFERROR(__xludf.DUMMYFUNCTION("""COMPUTED_VALUE"""),49.0)</f>
        <v>49</v>
      </c>
      <c r="N1432" t="str">
        <f>IFERROR(__xludf.DUMMYFUNCTION("""COMPUTED_VALUE"""),"Model 3 LR")</f>
        <v>Model 3 LR</v>
      </c>
      <c r="O1432" t="str">
        <f>IFERROR(__xludf.DUMMYFUNCTION("""COMPUTED_VALUE"""),"Deep Blue Metallic")</f>
        <v>Deep Blue Metallic</v>
      </c>
      <c r="P1432" t="str">
        <f>IFERROR(__xludf.DUMMYFUNCTION("""COMPUTED_VALUE"""),"18 inch Aero")</f>
        <v>18 inch Aero</v>
      </c>
      <c r="Q1432" t="str">
        <f>IFERROR(__xludf.DUMMYFUNCTION("""COMPUTED_VALUE"""),"Black seats")</f>
        <v>Black seats</v>
      </c>
      <c r="R1432" t="str">
        <f>IFERROR(__xludf.DUMMYFUNCTION("""COMPUTED_VALUE"""),"Enhanced Autopilot")</f>
        <v>Enhanced Autopilot</v>
      </c>
      <c r="X1432" t="str">
        <f>IFERROR(__xludf.DUMMYFUNCTION("""COMPUTED_VALUE"""),"Very Good")</f>
        <v>Very Good</v>
      </c>
      <c r="Y1432" t="str">
        <f>IFERROR(__xludf.DUMMYFUNCTION("""COMPUTED_VALUE"""),"Excellent")</f>
        <v>Excellent</v>
      </c>
      <c r="Z1432" t="str">
        <f>IFERROR(__xludf.DUMMYFUNCTION("""COMPUTED_VALUE"""),"Good")</f>
        <v>Good</v>
      </c>
      <c r="AA1432" t="str">
        <f>IFERROR(__xludf.DUMMYFUNCTION("""COMPUTED_VALUE"""),"Poor")</f>
        <v>Poor</v>
      </c>
      <c r="AB1432" t="str">
        <f>IFERROR(__xludf.DUMMYFUNCTION("""COMPUTED_VALUE"""),"Excellent")</f>
        <v>Excellent</v>
      </c>
      <c r="AC1432">
        <f>IFERROR(__xludf.DUMMYFUNCTION("""COMPUTED_VALUE"""),1.0)</f>
        <v>1</v>
      </c>
      <c r="AH1432" s="189">
        <f>IFERROR(__xludf.DUMMYFUNCTION("""COMPUTED_VALUE"""),43443.6205928125)</f>
        <v>43443.62059</v>
      </c>
    </row>
    <row r="1433">
      <c r="A1433" t="str">
        <f>IFERROR(__xludf.DUMMYFUNCTION("""COMPUTED_VALUE"""),"csdread")</f>
        <v>csdread</v>
      </c>
      <c r="B1433" t="str">
        <f>IFERROR(__xludf.DUMMYFUNCTION("""COMPUTED_VALUE"""),"Albuquerque")</f>
        <v>Albuquerque</v>
      </c>
      <c r="C1433" t="str">
        <f>IFERROR(__xludf.DUMMYFUNCTION("""COMPUTED_VALUE"""),"NM")</f>
        <v>NM</v>
      </c>
      <c r="D1433" t="str">
        <f>IFERROR(__xludf.DUMMYFUNCTION("""COMPUTED_VALUE"""),"USA")</f>
        <v>USA</v>
      </c>
      <c r="E1433" s="188">
        <f>IFERROR(__xludf.DUMMYFUNCTION("""COMPUTED_VALUE"""),43411.0)</f>
        <v>43411</v>
      </c>
      <c r="F1433" s="188">
        <f>IFERROR(__xludf.DUMMYFUNCTION("""COMPUTED_VALUE"""),43414.0)</f>
        <v>43414</v>
      </c>
      <c r="H1433">
        <f>IFERROR(__xludf.DUMMYFUNCTION("""COMPUTED_VALUE"""),120155.0)</f>
        <v>120155</v>
      </c>
      <c r="J1433" s="5">
        <f>IFERROR(__xludf.DUMMYFUNCTION("""COMPUTED_VALUE"""),43425.0)</f>
        <v>43425</v>
      </c>
      <c r="K1433">
        <f>IFERROR(__xludf.DUMMYFUNCTION("""COMPUTED_VALUE"""),3.0)</f>
        <v>3</v>
      </c>
      <c r="L1433">
        <f>IFERROR(__xludf.DUMMYFUNCTION("""COMPUTED_VALUE"""),11.0)</f>
        <v>11</v>
      </c>
      <c r="M1433">
        <f>IFERROR(__xludf.DUMMYFUNCTION("""COMPUTED_VALUE"""),14.0)</f>
        <v>14</v>
      </c>
      <c r="N1433" t="str">
        <f>IFERROR(__xludf.DUMMYFUNCTION("""COMPUTED_VALUE"""),"Model 3 LR AWD")</f>
        <v>Model 3 LR AWD</v>
      </c>
      <c r="O1433" t="str">
        <f>IFERROR(__xludf.DUMMYFUNCTION("""COMPUTED_VALUE"""),"Deep Blue Metallic")</f>
        <v>Deep Blue Metallic</v>
      </c>
      <c r="P1433" t="str">
        <f>IFERROR(__xludf.DUMMYFUNCTION("""COMPUTED_VALUE"""),"18 inch Aero")</f>
        <v>18 inch Aero</v>
      </c>
      <c r="Q1433" t="str">
        <f>IFERROR(__xludf.DUMMYFUNCTION("""COMPUTED_VALUE"""),"Black seats")</f>
        <v>Black seats</v>
      </c>
      <c r="R1433" t="str">
        <f>IFERROR(__xludf.DUMMYFUNCTION("""COMPUTED_VALUE"""),"None")</f>
        <v>None</v>
      </c>
      <c r="X1433" t="str">
        <f>IFERROR(__xludf.DUMMYFUNCTION("""COMPUTED_VALUE"""),"Very Good")</f>
        <v>Very Good</v>
      </c>
      <c r="Y1433" t="str">
        <f>IFERROR(__xludf.DUMMYFUNCTION("""COMPUTED_VALUE"""),"Good")</f>
        <v>Good</v>
      </c>
      <c r="Z1433" t="str">
        <f>IFERROR(__xludf.DUMMYFUNCTION("""COMPUTED_VALUE"""),"Very Good")</f>
        <v>Very Good</v>
      </c>
      <c r="AA1433" t="str">
        <f>IFERROR(__xludf.DUMMYFUNCTION("""COMPUTED_VALUE"""),"Fair")</f>
        <v>Fair</v>
      </c>
      <c r="AB1433" t="str">
        <f>IFERROR(__xludf.DUMMYFUNCTION("""COMPUTED_VALUE"""),"Excellent")</f>
        <v>Excellent</v>
      </c>
      <c r="AC1433">
        <f>IFERROR(__xludf.DUMMYFUNCTION("""COMPUTED_VALUE"""),1.0)</f>
        <v>1</v>
      </c>
      <c r="AD1433">
        <f>IFERROR(__xludf.DUMMYFUNCTION("""COMPUTED_VALUE"""),0.0)</f>
        <v>0</v>
      </c>
      <c r="AE1433">
        <f>IFERROR(__xludf.DUMMYFUNCTION("""COMPUTED_VALUE"""),0.0)</f>
        <v>0</v>
      </c>
      <c r="AH1433" s="189">
        <f>IFERROR(__xludf.DUMMYFUNCTION("""COMPUTED_VALUE"""),43443.78396162037)</f>
        <v>43443.78396</v>
      </c>
    </row>
    <row r="1434">
      <c r="A1434" t="str">
        <f>IFERROR(__xludf.DUMMYFUNCTION("""COMPUTED_VALUE"""),"jayanc_ui")</f>
        <v>jayanc_ui</v>
      </c>
      <c r="C1434" t="str">
        <f>IFERROR(__xludf.DUMMYFUNCTION("""COMPUTED_VALUE"""),"CA")</f>
        <v>CA</v>
      </c>
      <c r="D1434" t="str">
        <f>IFERROR(__xludf.DUMMYFUNCTION("""COMPUTED_VALUE"""),"USA")</f>
        <v>USA</v>
      </c>
      <c r="E1434" s="188">
        <f>IFERROR(__xludf.DUMMYFUNCTION("""COMPUTED_VALUE"""),43352.0)</f>
        <v>43352</v>
      </c>
      <c r="F1434" s="188">
        <f>IFERROR(__xludf.DUMMYFUNCTION("""COMPUTED_VALUE"""),43437.0)</f>
        <v>43437</v>
      </c>
      <c r="H1434">
        <f>IFERROR(__xludf.DUMMYFUNCTION("""COMPUTED_VALUE"""),80555.0)</f>
        <v>80555</v>
      </c>
      <c r="I1434" t="str">
        <f>IFERROR(__xludf.DUMMYFUNCTION("""COMPUTED_VALUE"""),"11/18")</f>
        <v>11/18</v>
      </c>
      <c r="J1434" s="5">
        <f>IFERROR(__xludf.DUMMYFUNCTION("""COMPUTED_VALUE"""),43444.0)</f>
        <v>43444</v>
      </c>
      <c r="K1434">
        <f>IFERROR(__xludf.DUMMYFUNCTION("""COMPUTED_VALUE"""),85.0)</f>
        <v>85</v>
      </c>
      <c r="L1434">
        <f>IFERROR(__xludf.DUMMYFUNCTION("""COMPUTED_VALUE"""),7.0)</f>
        <v>7</v>
      </c>
      <c r="M1434">
        <f>IFERROR(__xludf.DUMMYFUNCTION("""COMPUTED_VALUE"""),92.0)</f>
        <v>92</v>
      </c>
      <c r="N1434" t="str">
        <f>IFERROR(__xludf.DUMMYFUNCTION("""COMPUTED_VALUE"""),"Model 3 Performance")</f>
        <v>Model 3 Performance</v>
      </c>
      <c r="O1434" t="str">
        <f>IFERROR(__xludf.DUMMYFUNCTION("""COMPUTED_VALUE"""),"Red Multi-Coat")</f>
        <v>Red Multi-Coat</v>
      </c>
      <c r="P1434" t="str">
        <f>IFERROR(__xludf.DUMMYFUNCTION("""COMPUTED_VALUE"""),"20 inch Sport")</f>
        <v>20 inch Sport</v>
      </c>
      <c r="Q1434" t="str">
        <f>IFERROR(__xludf.DUMMYFUNCTION("""COMPUTED_VALUE"""),"White seats")</f>
        <v>White seats</v>
      </c>
      <c r="R1434" t="str">
        <f>IFERROR(__xludf.DUMMYFUNCTION("""COMPUTED_VALUE"""),"Full Self-Driving")</f>
        <v>Full Self-Driving</v>
      </c>
      <c r="X1434" t="str">
        <f>IFERROR(__xludf.DUMMYFUNCTION("""COMPUTED_VALUE"""),"Very Good")</f>
        <v>Very Good</v>
      </c>
      <c r="Y1434" t="str">
        <f>IFERROR(__xludf.DUMMYFUNCTION("""COMPUTED_VALUE"""),"Excellent")</f>
        <v>Excellent</v>
      </c>
      <c r="Z1434" t="str">
        <f>IFERROR(__xludf.DUMMYFUNCTION("""COMPUTED_VALUE"""),"Excellent")</f>
        <v>Excellent</v>
      </c>
      <c r="AA1434" t="str">
        <f>IFERROR(__xludf.DUMMYFUNCTION("""COMPUTED_VALUE"""),"Poor")</f>
        <v>Poor</v>
      </c>
      <c r="AB1434" t="str">
        <f>IFERROR(__xludf.DUMMYFUNCTION("""COMPUTED_VALUE"""),"Good")</f>
        <v>Good</v>
      </c>
      <c r="AC1434">
        <f>IFERROR(__xludf.DUMMYFUNCTION("""COMPUTED_VALUE"""),2.0)</f>
        <v>2</v>
      </c>
      <c r="AG1434" t="str">
        <f>IFERROR(__xludf.DUMMYFUNCTION("""COMPUTED_VALUE"""),"Tesla delivery was a bit choppy.  Scheduled and rescheduled several times over the phone might have messed it up.")</f>
        <v>Tesla delivery was a bit choppy.  Scheduled and rescheduled several times over the phone might have messed it up.</v>
      </c>
      <c r="AH1434" s="189">
        <f>IFERROR(__xludf.DUMMYFUNCTION("""COMPUTED_VALUE"""),43443.82991101852)</f>
        <v>43443.82991</v>
      </c>
    </row>
    <row r="1435">
      <c r="A1435" t="str">
        <f>IFERROR(__xludf.DUMMYFUNCTION("""COMPUTED_VALUE"""),"KootsChewt")</f>
        <v>KootsChewt</v>
      </c>
      <c r="B1435" t="str">
        <f>IFERROR(__xludf.DUMMYFUNCTION("""COMPUTED_VALUE"""),"Nelson")</f>
        <v>Nelson</v>
      </c>
      <c r="C1435" t="str">
        <f>IFERROR(__xludf.DUMMYFUNCTION("""COMPUTED_VALUE"""),"BC")</f>
        <v>BC</v>
      </c>
      <c r="D1435" t="str">
        <f>IFERROR(__xludf.DUMMYFUNCTION("""COMPUTED_VALUE"""),"Canada")</f>
        <v>Canada</v>
      </c>
      <c r="E1435" s="188">
        <f>IFERROR(__xludf.DUMMYFUNCTION("""COMPUTED_VALUE"""),43414.0)</f>
        <v>43414</v>
      </c>
      <c r="F1435" s="188">
        <f>IFERROR(__xludf.DUMMYFUNCTION("""COMPUTED_VALUE"""),43415.0)</f>
        <v>43415</v>
      </c>
      <c r="H1435">
        <f>IFERROR(__xludf.DUMMYFUNCTION("""COMPUTED_VALUE"""),105655.0)</f>
        <v>105655</v>
      </c>
      <c r="I1435" t="str">
        <f>IFERROR(__xludf.DUMMYFUNCTION("""COMPUTED_VALUE"""),"11/18")</f>
        <v>11/18</v>
      </c>
      <c r="J1435" s="5">
        <f>IFERROR(__xludf.DUMMYFUNCTION("""COMPUTED_VALUE"""),43441.0)</f>
        <v>43441</v>
      </c>
      <c r="K1435">
        <f>IFERROR(__xludf.DUMMYFUNCTION("""COMPUTED_VALUE"""),1.0)</f>
        <v>1</v>
      </c>
      <c r="L1435">
        <f>IFERROR(__xludf.DUMMYFUNCTION("""COMPUTED_VALUE"""),26.0)</f>
        <v>26</v>
      </c>
      <c r="M1435">
        <f>IFERROR(__xludf.DUMMYFUNCTION("""COMPUTED_VALUE"""),27.0)</f>
        <v>27</v>
      </c>
      <c r="N1435" t="str">
        <f>IFERROR(__xludf.DUMMYFUNCTION("""COMPUTED_VALUE"""),"Model 3 LR")</f>
        <v>Model 3 LR</v>
      </c>
      <c r="O1435" t="str">
        <f>IFERROR(__xludf.DUMMYFUNCTION("""COMPUTED_VALUE"""),"Deep Blue Metallic")</f>
        <v>Deep Blue Metallic</v>
      </c>
      <c r="P1435" t="str">
        <f>IFERROR(__xludf.DUMMYFUNCTION("""COMPUTED_VALUE"""),"18 inch Aero")</f>
        <v>18 inch Aero</v>
      </c>
      <c r="Q1435" t="str">
        <f>IFERROR(__xludf.DUMMYFUNCTION("""COMPUTED_VALUE"""),"Black seats")</f>
        <v>Black seats</v>
      </c>
      <c r="R1435" t="str">
        <f>IFERROR(__xludf.DUMMYFUNCTION("""COMPUTED_VALUE"""),"None")</f>
        <v>None</v>
      </c>
      <c r="X1435" t="str">
        <f>IFERROR(__xludf.DUMMYFUNCTION("""COMPUTED_VALUE"""),"Excellent")</f>
        <v>Excellent</v>
      </c>
      <c r="Y1435" t="str">
        <f>IFERROR(__xludf.DUMMYFUNCTION("""COMPUTED_VALUE"""),"Very Good")</f>
        <v>Very Good</v>
      </c>
      <c r="Z1435" t="str">
        <f>IFERROR(__xludf.DUMMYFUNCTION("""COMPUTED_VALUE"""),"Excellent")</f>
        <v>Excellent</v>
      </c>
      <c r="AA1435" t="str">
        <f>IFERROR(__xludf.DUMMYFUNCTION("""COMPUTED_VALUE"""),"Good")</f>
        <v>Good</v>
      </c>
      <c r="AB1435" t="str">
        <f>IFERROR(__xludf.DUMMYFUNCTION("""COMPUTED_VALUE"""),"Excellent")</f>
        <v>Excellent</v>
      </c>
      <c r="AC1435">
        <f>IFERROR(__xludf.DUMMYFUNCTION("""COMPUTED_VALUE"""),2.0)</f>
        <v>2</v>
      </c>
      <c r="AG1435" t="str">
        <f>IFERROR(__xludf.DUMMYFUNCTION("""COMPUTED_VALUE"""),"I've got one minor interior trim issue and one rubber cover issue on the windshield.  I'm going to let Tesla know, but it likely won't get fixed in the first 30 days (I'm 700 km from nearest SC!)  Took a ridiculously long time to get first contract from V"&amp;"IN assignment (I got an ""inventory"" car), then they made a mistake (on data they already had, term length), then took almost a week to correct it.  Contracts group needs optimization for sure.")</f>
        <v>I've got one minor interior trim issue and one rubber cover issue on the windshield.  I'm going to let Tesla know, but it likely won't get fixed in the first 30 days (I'm 700 km from nearest SC!)  Took a ridiculously long time to get first contract from VIN assignment (I got an "inventory" car), then they made a mistake (on data they already had, term length), then took almost a week to correct it.  Contracts group needs optimization for sure.</v>
      </c>
      <c r="AH1435" s="189">
        <f>IFERROR(__xludf.DUMMYFUNCTION("""COMPUTED_VALUE"""),43443.84176119213)</f>
        <v>43443.84176</v>
      </c>
    </row>
    <row r="1436">
      <c r="A1436" t="str">
        <f>IFERROR(__xludf.DUMMYFUNCTION("""COMPUTED_VALUE"""),"whatchagot")</f>
        <v>whatchagot</v>
      </c>
      <c r="B1436" t="str">
        <f>IFERROR(__xludf.DUMMYFUNCTION("""COMPUTED_VALUE"""),"Omaha")</f>
        <v>Omaha</v>
      </c>
      <c r="C1436" t="str">
        <f>IFERROR(__xludf.DUMMYFUNCTION("""COMPUTED_VALUE"""),"NE")</f>
        <v>NE</v>
      </c>
      <c r="D1436" t="str">
        <f>IFERROR(__xludf.DUMMYFUNCTION("""COMPUTED_VALUE"""),"USA")</f>
        <v>USA</v>
      </c>
      <c r="E1436" s="188">
        <f>IFERROR(__xludf.DUMMYFUNCTION("""COMPUTED_VALUE"""),43395.0)</f>
        <v>43395</v>
      </c>
      <c r="F1436" s="188">
        <f>IFERROR(__xludf.DUMMYFUNCTION("""COMPUTED_VALUE"""),43430.0)</f>
        <v>43430</v>
      </c>
      <c r="H1436">
        <f>IFERROR(__xludf.DUMMYFUNCTION("""COMPUTED_VALUE"""),157555.0)</f>
        <v>157555</v>
      </c>
      <c r="J1436" s="5">
        <f>IFERROR(__xludf.DUMMYFUNCTION("""COMPUTED_VALUE"""),43442.0)</f>
        <v>43442</v>
      </c>
      <c r="K1436">
        <f>IFERROR(__xludf.DUMMYFUNCTION("""COMPUTED_VALUE"""),35.0)</f>
        <v>35</v>
      </c>
      <c r="L1436">
        <f>IFERROR(__xludf.DUMMYFUNCTION("""COMPUTED_VALUE"""),12.0)</f>
        <v>12</v>
      </c>
      <c r="M1436">
        <f>IFERROR(__xludf.DUMMYFUNCTION("""COMPUTED_VALUE"""),47.0)</f>
        <v>47</v>
      </c>
      <c r="N1436" t="str">
        <f>IFERROR(__xludf.DUMMYFUNCTION("""COMPUTED_VALUE"""),"Model 3 MR")</f>
        <v>Model 3 MR</v>
      </c>
      <c r="O1436" t="str">
        <f>IFERROR(__xludf.DUMMYFUNCTION("""COMPUTED_VALUE"""),"Midnight Silver Metallic")</f>
        <v>Midnight Silver Metallic</v>
      </c>
      <c r="P1436" t="str">
        <f>IFERROR(__xludf.DUMMYFUNCTION("""COMPUTED_VALUE"""),"18 inch Aero")</f>
        <v>18 inch Aero</v>
      </c>
      <c r="Q1436" t="str">
        <f>IFERROR(__xludf.DUMMYFUNCTION("""COMPUTED_VALUE"""),"Black seats")</f>
        <v>Black seats</v>
      </c>
      <c r="R1436" t="str">
        <f>IFERROR(__xludf.DUMMYFUNCTION("""COMPUTED_VALUE"""),"None")</f>
        <v>None</v>
      </c>
      <c r="X1436" t="str">
        <f>IFERROR(__xludf.DUMMYFUNCTION("""COMPUTED_VALUE"""),"Excellent")</f>
        <v>Excellent</v>
      </c>
      <c r="Y1436" t="str">
        <f>IFERROR(__xludf.DUMMYFUNCTION("""COMPUTED_VALUE"""),"Excellent")</f>
        <v>Excellent</v>
      </c>
      <c r="Z1436" t="str">
        <f>IFERROR(__xludf.DUMMYFUNCTION("""COMPUTED_VALUE"""),"Excellent")</f>
        <v>Excellent</v>
      </c>
      <c r="AA1436" t="str">
        <f>IFERROR(__xludf.DUMMYFUNCTION("""COMPUTED_VALUE"""),"Excellent")</f>
        <v>Excellent</v>
      </c>
      <c r="AB1436" t="str">
        <f>IFERROR(__xludf.DUMMYFUNCTION("""COMPUTED_VALUE"""),"Excellent")</f>
        <v>Excellent</v>
      </c>
      <c r="AH1436" s="189">
        <f>IFERROR(__xludf.DUMMYFUNCTION("""COMPUTED_VALUE"""),43444.26305233796)</f>
        <v>43444.26305</v>
      </c>
    </row>
    <row r="1437">
      <c r="A1437" t="str">
        <f>IFERROR(__xludf.DUMMYFUNCTION("""COMPUTED_VALUE"""),"CChesser")</f>
        <v>CChesser</v>
      </c>
      <c r="B1437" t="str">
        <f>IFERROR(__xludf.DUMMYFUNCTION("""COMPUTED_VALUE"""),"Cleveland ")</f>
        <v>Cleveland </v>
      </c>
      <c r="C1437" t="str">
        <f>IFERROR(__xludf.DUMMYFUNCTION("""COMPUTED_VALUE"""),"OH")</f>
        <v>OH</v>
      </c>
      <c r="D1437" t="str">
        <f>IFERROR(__xludf.DUMMYFUNCTION("""COMPUTED_VALUE"""),"USA")</f>
        <v>USA</v>
      </c>
      <c r="E1437" s="188">
        <f>IFERROR(__xludf.DUMMYFUNCTION("""COMPUTED_VALUE"""),43399.0)</f>
        <v>43399</v>
      </c>
      <c r="F1437" s="188">
        <f>IFERROR(__xludf.DUMMYFUNCTION("""COMPUTED_VALUE"""),43437.0)</f>
        <v>43437</v>
      </c>
      <c r="H1437">
        <f>IFERROR(__xludf.DUMMYFUNCTION("""COMPUTED_VALUE"""),151961.0)</f>
        <v>151961</v>
      </c>
      <c r="I1437" t="str">
        <f>IFERROR(__xludf.DUMMYFUNCTION("""COMPUTED_VALUE"""),"11/18")</f>
        <v>11/18</v>
      </c>
      <c r="J1437" s="5">
        <f>IFERROR(__xludf.DUMMYFUNCTION("""COMPUTED_VALUE"""),43442.0)</f>
        <v>43442</v>
      </c>
      <c r="K1437">
        <f>IFERROR(__xludf.DUMMYFUNCTION("""COMPUTED_VALUE"""),38.0)</f>
        <v>38</v>
      </c>
      <c r="L1437">
        <f>IFERROR(__xludf.DUMMYFUNCTION("""COMPUTED_VALUE"""),5.0)</f>
        <v>5</v>
      </c>
      <c r="M1437">
        <f>IFERROR(__xludf.DUMMYFUNCTION("""COMPUTED_VALUE"""),43.0)</f>
        <v>43</v>
      </c>
      <c r="N1437" t="str">
        <f>IFERROR(__xludf.DUMMYFUNCTION("""COMPUTED_VALUE"""),"Model 3 MR")</f>
        <v>Model 3 MR</v>
      </c>
      <c r="O1437" t="str">
        <f>IFERROR(__xludf.DUMMYFUNCTION("""COMPUTED_VALUE"""),"Solid Black")</f>
        <v>Solid Black</v>
      </c>
      <c r="P1437" t="str">
        <f>IFERROR(__xludf.DUMMYFUNCTION("""COMPUTED_VALUE"""),"18 inch Aero")</f>
        <v>18 inch Aero</v>
      </c>
      <c r="Q1437" t="str">
        <f>IFERROR(__xludf.DUMMYFUNCTION("""COMPUTED_VALUE"""),"Black seats")</f>
        <v>Black seats</v>
      </c>
      <c r="R1437" t="str">
        <f>IFERROR(__xludf.DUMMYFUNCTION("""COMPUTED_VALUE"""),"Enhanced Autopilot")</f>
        <v>Enhanced Autopilot</v>
      </c>
      <c r="X1437" t="str">
        <f>IFERROR(__xludf.DUMMYFUNCTION("""COMPUTED_VALUE"""),"Excellent")</f>
        <v>Excellent</v>
      </c>
      <c r="Y1437" t="str">
        <f>IFERROR(__xludf.DUMMYFUNCTION("""COMPUTED_VALUE"""),"Good")</f>
        <v>Good</v>
      </c>
      <c r="Z1437" t="str">
        <f>IFERROR(__xludf.DUMMYFUNCTION("""COMPUTED_VALUE"""),"Good")</f>
        <v>Good</v>
      </c>
      <c r="AA1437" t="str">
        <f>IFERROR(__xludf.DUMMYFUNCTION("""COMPUTED_VALUE"""),"Poor")</f>
        <v>Poor</v>
      </c>
      <c r="AB1437" t="str">
        <f>IFERROR(__xludf.DUMMYFUNCTION("""COMPUTED_VALUE"""),"Excellent")</f>
        <v>Excellent</v>
      </c>
      <c r="AC1437">
        <f>IFERROR(__xludf.DUMMYFUNCTION("""COMPUTED_VALUE"""),3.0)</f>
        <v>3</v>
      </c>
      <c r="AH1437" s="189">
        <f>IFERROR(__xludf.DUMMYFUNCTION("""COMPUTED_VALUE"""),43444.43227034722)</f>
        <v>43444.43227</v>
      </c>
    </row>
    <row r="1438">
      <c r="A1438" t="str">
        <f>IFERROR(__xludf.DUMMYFUNCTION("""COMPUTED_VALUE"""),"senthu20")</f>
        <v>senthu20</v>
      </c>
      <c r="B1438" t="str">
        <f>IFERROR(__xludf.DUMMYFUNCTION("""COMPUTED_VALUE"""),"Fremont")</f>
        <v>Fremont</v>
      </c>
      <c r="C1438" t="str">
        <f>IFERROR(__xludf.DUMMYFUNCTION("""COMPUTED_VALUE"""),"CA")</f>
        <v>CA</v>
      </c>
      <c r="D1438" t="str">
        <f>IFERROR(__xludf.DUMMYFUNCTION("""COMPUTED_VALUE"""),"USA")</f>
        <v>USA</v>
      </c>
      <c r="E1438" s="188">
        <f>IFERROR(__xludf.DUMMYFUNCTION("""COMPUTED_VALUE"""),43395.0)</f>
        <v>43395</v>
      </c>
      <c r="F1438" s="188">
        <f>IFERROR(__xludf.DUMMYFUNCTION("""COMPUTED_VALUE"""),43441.0)</f>
        <v>43441</v>
      </c>
      <c r="H1438">
        <f>IFERROR(__xludf.DUMMYFUNCTION("""COMPUTED_VALUE"""),168155.0)</f>
        <v>168155</v>
      </c>
      <c r="I1438" t="str">
        <f>IFERROR(__xludf.DUMMYFUNCTION("""COMPUTED_VALUE"""),"12/18")</f>
        <v>12/18</v>
      </c>
      <c r="J1438" s="5">
        <f>IFERROR(__xludf.DUMMYFUNCTION("""COMPUTED_VALUE"""),43442.0)</f>
        <v>43442</v>
      </c>
      <c r="K1438">
        <f>IFERROR(__xludf.DUMMYFUNCTION("""COMPUTED_VALUE"""),46.0)</f>
        <v>46</v>
      </c>
      <c r="L1438">
        <f>IFERROR(__xludf.DUMMYFUNCTION("""COMPUTED_VALUE"""),1.0)</f>
        <v>1</v>
      </c>
      <c r="M1438">
        <f>IFERROR(__xludf.DUMMYFUNCTION("""COMPUTED_VALUE"""),47.0)</f>
        <v>47</v>
      </c>
      <c r="N1438" t="str">
        <f>IFERROR(__xludf.DUMMYFUNCTION("""COMPUTED_VALUE"""),"Model 3 MR")</f>
        <v>Model 3 MR</v>
      </c>
      <c r="O1438" t="str">
        <f>IFERROR(__xludf.DUMMYFUNCTION("""COMPUTED_VALUE"""),"Deep Blue Metallic")</f>
        <v>Deep Blue Metallic</v>
      </c>
      <c r="P1438" t="str">
        <f>IFERROR(__xludf.DUMMYFUNCTION("""COMPUTED_VALUE"""),"18 inch Aero")</f>
        <v>18 inch Aero</v>
      </c>
      <c r="Q1438" t="str">
        <f>IFERROR(__xludf.DUMMYFUNCTION("""COMPUTED_VALUE"""),"White seats")</f>
        <v>White seats</v>
      </c>
      <c r="R1438" t="str">
        <f>IFERROR(__xludf.DUMMYFUNCTION("""COMPUTED_VALUE"""),"None")</f>
        <v>None</v>
      </c>
      <c r="X1438" t="str">
        <f>IFERROR(__xludf.DUMMYFUNCTION("""COMPUTED_VALUE"""),"Excellent")</f>
        <v>Excellent</v>
      </c>
      <c r="Y1438" t="str">
        <f>IFERROR(__xludf.DUMMYFUNCTION("""COMPUTED_VALUE"""),"Excellent")</f>
        <v>Excellent</v>
      </c>
      <c r="Z1438" t="str">
        <f>IFERROR(__xludf.DUMMYFUNCTION("""COMPUTED_VALUE"""),"Excellent")</f>
        <v>Excellent</v>
      </c>
      <c r="AA1438" t="str">
        <f>IFERROR(__xludf.DUMMYFUNCTION("""COMPUTED_VALUE"""),"Fair")</f>
        <v>Fair</v>
      </c>
      <c r="AB1438" t="str">
        <f>IFERROR(__xludf.DUMMYFUNCTION("""COMPUTED_VALUE"""),"Fair")</f>
        <v>Fair</v>
      </c>
      <c r="AC1438">
        <f>IFERROR(__xludf.DUMMYFUNCTION("""COMPUTED_VALUE"""),7.0)</f>
        <v>7</v>
      </c>
      <c r="AD1438">
        <f>IFERROR(__xludf.DUMMYFUNCTION("""COMPUTED_VALUE"""),1.0)</f>
        <v>1</v>
      </c>
      <c r="AH1438" s="189">
        <f>IFERROR(__xludf.DUMMYFUNCTION("""COMPUTED_VALUE"""),43444.472692407406)</f>
        <v>43444.47269</v>
      </c>
    </row>
    <row r="1439">
      <c r="A1439" t="str">
        <f>IFERROR(__xludf.DUMMYFUNCTION("""COMPUTED_VALUE"""),"pdp1")</f>
        <v>pdp1</v>
      </c>
      <c r="B1439" t="str">
        <f>IFERROR(__xludf.DUMMYFUNCTION("""COMPUTED_VALUE"""),"SF Bay Area")</f>
        <v>SF Bay Area</v>
      </c>
      <c r="C1439" t="str">
        <f>IFERROR(__xludf.DUMMYFUNCTION("""COMPUTED_VALUE"""),"CA")</f>
        <v>CA</v>
      </c>
      <c r="D1439" t="str">
        <f>IFERROR(__xludf.DUMMYFUNCTION("""COMPUTED_VALUE"""),"USA")</f>
        <v>USA</v>
      </c>
      <c r="E1439" s="188">
        <f>IFERROR(__xludf.DUMMYFUNCTION("""COMPUTED_VALUE"""),43399.0)</f>
        <v>43399</v>
      </c>
      <c r="F1439" s="188">
        <f>IFERROR(__xludf.DUMMYFUNCTION("""COMPUTED_VALUE"""),43434.0)</f>
        <v>43434</v>
      </c>
      <c r="H1439">
        <f>IFERROR(__xludf.DUMMYFUNCTION("""COMPUTED_VALUE"""),123955.0)</f>
        <v>123955</v>
      </c>
      <c r="I1439" t="str">
        <f>IFERROR(__xludf.DUMMYFUNCTION("""COMPUTED_VALUE"""),"11/18")</f>
        <v>11/18</v>
      </c>
      <c r="J1439" s="5">
        <f>IFERROR(__xludf.DUMMYFUNCTION("""COMPUTED_VALUE"""),43441.0)</f>
        <v>43441</v>
      </c>
      <c r="K1439">
        <f>IFERROR(__xludf.DUMMYFUNCTION("""COMPUTED_VALUE"""),35.0)</f>
        <v>35</v>
      </c>
      <c r="L1439">
        <f>IFERROR(__xludf.DUMMYFUNCTION("""COMPUTED_VALUE"""),7.0)</f>
        <v>7</v>
      </c>
      <c r="M1439">
        <f>IFERROR(__xludf.DUMMYFUNCTION("""COMPUTED_VALUE"""),42.0)</f>
        <v>42</v>
      </c>
      <c r="N1439" t="str">
        <f>IFERROR(__xludf.DUMMYFUNCTION("""COMPUTED_VALUE"""),"Model 3 LR")</f>
        <v>Model 3 LR</v>
      </c>
      <c r="O1439" t="str">
        <f>IFERROR(__xludf.DUMMYFUNCTION("""COMPUTED_VALUE"""),"Midnight Silver Metallic")</f>
        <v>Midnight Silver Metallic</v>
      </c>
      <c r="P1439" t="str">
        <f>IFERROR(__xludf.DUMMYFUNCTION("""COMPUTED_VALUE"""),"18 inch Aero")</f>
        <v>18 inch Aero</v>
      </c>
      <c r="Q1439" t="str">
        <f>IFERROR(__xludf.DUMMYFUNCTION("""COMPUTED_VALUE"""),"Black seats")</f>
        <v>Black seats</v>
      </c>
      <c r="R1439" t="str">
        <f>IFERROR(__xludf.DUMMYFUNCTION("""COMPUTED_VALUE"""),"Enhanced Autopilot")</f>
        <v>Enhanced Autopilot</v>
      </c>
      <c r="X1439" t="str">
        <f>IFERROR(__xludf.DUMMYFUNCTION("""COMPUTED_VALUE"""),"Very Good")</f>
        <v>Very Good</v>
      </c>
      <c r="Y1439" t="str">
        <f>IFERROR(__xludf.DUMMYFUNCTION("""COMPUTED_VALUE"""),"Excellent")</f>
        <v>Excellent</v>
      </c>
      <c r="Z1439" t="str">
        <f>IFERROR(__xludf.DUMMYFUNCTION("""COMPUTED_VALUE"""),"Very Good")</f>
        <v>Very Good</v>
      </c>
      <c r="AA1439" t="str">
        <f>IFERROR(__xludf.DUMMYFUNCTION("""COMPUTED_VALUE"""),"Fair")</f>
        <v>Fair</v>
      </c>
      <c r="AB1439" t="str">
        <f>IFERROR(__xludf.DUMMYFUNCTION("""COMPUTED_VALUE"""),"Very Good")</f>
        <v>Very Good</v>
      </c>
      <c r="AG1439" t="str">
        <f>IFERROR(__xludf.DUMMYFUNCTION("""COMPUTED_VALUE"""),"Originally order MR on 10/26 but found a LR with same options in inventory on 11/24")</f>
        <v>Originally order MR on 10/26 but found a LR with same options in inventory on 11/24</v>
      </c>
      <c r="AH1439" s="189">
        <f>IFERROR(__xludf.DUMMYFUNCTION("""COMPUTED_VALUE"""),43444.578317824074)</f>
        <v>43444.57832</v>
      </c>
    </row>
    <row r="1440">
      <c r="A1440" t="str">
        <f>IFERROR(__xludf.DUMMYFUNCTION("""COMPUTED_VALUE"""),"tyteco")</f>
        <v>tyteco</v>
      </c>
      <c r="C1440" t="str">
        <f>IFERROR(__xludf.DUMMYFUNCTION("""COMPUTED_VALUE"""),"AL")</f>
        <v>AL</v>
      </c>
      <c r="D1440" t="str">
        <f>IFERROR(__xludf.DUMMYFUNCTION("""COMPUTED_VALUE"""),"USA")</f>
        <v>USA</v>
      </c>
      <c r="E1440" s="188">
        <f>IFERROR(__xludf.DUMMYFUNCTION("""COMPUTED_VALUE"""),43419.0)</f>
        <v>43419</v>
      </c>
      <c r="F1440" s="188">
        <f>IFERROR(__xludf.DUMMYFUNCTION("""COMPUTED_VALUE"""),43437.0)</f>
        <v>43437</v>
      </c>
      <c r="H1440">
        <f>IFERROR(__xludf.DUMMYFUNCTION("""COMPUTED_VALUE"""),145355.0)</f>
        <v>145355</v>
      </c>
      <c r="J1440" s="5">
        <f>IFERROR(__xludf.DUMMYFUNCTION("""COMPUTED_VALUE"""),43438.0)</f>
        <v>43438</v>
      </c>
      <c r="K1440">
        <f>IFERROR(__xludf.DUMMYFUNCTION("""COMPUTED_VALUE"""),18.0)</f>
        <v>18</v>
      </c>
      <c r="L1440">
        <f>IFERROR(__xludf.DUMMYFUNCTION("""COMPUTED_VALUE"""),1.0)</f>
        <v>1</v>
      </c>
      <c r="M1440">
        <f>IFERROR(__xludf.DUMMYFUNCTION("""COMPUTED_VALUE"""),19.0)</f>
        <v>19</v>
      </c>
      <c r="N1440" t="str">
        <f>IFERROR(__xludf.DUMMYFUNCTION("""COMPUTED_VALUE"""),"Model 3 LR AWD")</f>
        <v>Model 3 LR AWD</v>
      </c>
      <c r="O1440" t="str">
        <f>IFERROR(__xludf.DUMMYFUNCTION("""COMPUTED_VALUE"""),"Midnight Silver Metallic")</f>
        <v>Midnight Silver Metallic</v>
      </c>
      <c r="P1440" t="str">
        <f>IFERROR(__xludf.DUMMYFUNCTION("""COMPUTED_VALUE"""),"19 inch Sport")</f>
        <v>19 inch Sport</v>
      </c>
      <c r="Q1440" t="str">
        <f>IFERROR(__xludf.DUMMYFUNCTION("""COMPUTED_VALUE"""),"Black seats")</f>
        <v>Black seats</v>
      </c>
      <c r="R1440" t="str">
        <f>IFERROR(__xludf.DUMMYFUNCTION("""COMPUTED_VALUE"""),"None")</f>
        <v>None</v>
      </c>
      <c r="X1440" t="str">
        <f>IFERROR(__xludf.DUMMYFUNCTION("""COMPUTED_VALUE"""),"Good")</f>
        <v>Good</v>
      </c>
      <c r="Y1440" t="str">
        <f>IFERROR(__xludf.DUMMYFUNCTION("""COMPUTED_VALUE"""),"Very Good")</f>
        <v>Very Good</v>
      </c>
      <c r="Z1440" t="str">
        <f>IFERROR(__xludf.DUMMYFUNCTION("""COMPUTED_VALUE"""),"Very Good")</f>
        <v>Very Good</v>
      </c>
      <c r="AA1440" t="str">
        <f>IFERROR(__xludf.DUMMYFUNCTION("""COMPUTED_VALUE"""),"Good")</f>
        <v>Good</v>
      </c>
      <c r="AB1440" t="str">
        <f>IFERROR(__xludf.DUMMYFUNCTION("""COMPUTED_VALUE"""),"Excellent")</f>
        <v>Excellent</v>
      </c>
      <c r="AH1440" s="189">
        <f>IFERROR(__xludf.DUMMYFUNCTION("""COMPUTED_VALUE"""),43444.682369965274)</f>
        <v>43444.68237</v>
      </c>
    </row>
    <row r="1441">
      <c r="A1441" t="str">
        <f>IFERROR(__xludf.DUMMYFUNCTION("""COMPUTED_VALUE"""),"Boston_TD_Party")</f>
        <v>Boston_TD_Party</v>
      </c>
      <c r="B1441" t="str">
        <f>IFERROR(__xludf.DUMMYFUNCTION("""COMPUTED_VALUE"""),"Boston")</f>
        <v>Boston</v>
      </c>
      <c r="C1441" t="str">
        <f>IFERROR(__xludf.DUMMYFUNCTION("""COMPUTED_VALUE"""),"MA")</f>
        <v>MA</v>
      </c>
      <c r="D1441" t="str">
        <f>IFERROR(__xludf.DUMMYFUNCTION("""COMPUTED_VALUE"""),"USA")</f>
        <v>USA</v>
      </c>
      <c r="E1441" s="188">
        <f>IFERROR(__xludf.DUMMYFUNCTION("""COMPUTED_VALUE"""),43391.0)</f>
        <v>43391</v>
      </c>
      <c r="F1441" s="188">
        <f>IFERROR(__xludf.DUMMYFUNCTION("""COMPUTED_VALUE"""),43425.0)</f>
        <v>43425</v>
      </c>
      <c r="H1441">
        <f>IFERROR(__xludf.DUMMYFUNCTION("""COMPUTED_VALUE"""),151755.0)</f>
        <v>151755</v>
      </c>
      <c r="J1441" s="5">
        <f>IFERROR(__xludf.DUMMYFUNCTION("""COMPUTED_VALUE"""),43433.0)</f>
        <v>43433</v>
      </c>
      <c r="K1441">
        <f>IFERROR(__xludf.DUMMYFUNCTION("""COMPUTED_VALUE"""),34.0)</f>
        <v>34</v>
      </c>
      <c r="L1441">
        <f>IFERROR(__xludf.DUMMYFUNCTION("""COMPUTED_VALUE"""),8.0)</f>
        <v>8</v>
      </c>
      <c r="M1441">
        <f>IFERROR(__xludf.DUMMYFUNCTION("""COMPUTED_VALUE"""),42.0)</f>
        <v>42</v>
      </c>
      <c r="N1441" t="str">
        <f>IFERROR(__xludf.DUMMYFUNCTION("""COMPUTED_VALUE"""),"Model 3 MR")</f>
        <v>Model 3 MR</v>
      </c>
      <c r="O1441" t="str">
        <f>IFERROR(__xludf.DUMMYFUNCTION("""COMPUTED_VALUE"""),"Solid Black")</f>
        <v>Solid Black</v>
      </c>
      <c r="P1441" t="str">
        <f>IFERROR(__xludf.DUMMYFUNCTION("""COMPUTED_VALUE"""),"18 inch Aero")</f>
        <v>18 inch Aero</v>
      </c>
      <c r="Q1441" t="str">
        <f>IFERROR(__xludf.DUMMYFUNCTION("""COMPUTED_VALUE"""),"Black seats")</f>
        <v>Black seats</v>
      </c>
      <c r="R1441" t="str">
        <f>IFERROR(__xludf.DUMMYFUNCTION("""COMPUTED_VALUE"""),"Enhanced Autopilot")</f>
        <v>Enhanced Autopilot</v>
      </c>
      <c r="X1441" t="str">
        <f>IFERROR(__xludf.DUMMYFUNCTION("""COMPUTED_VALUE"""),"Excellent")</f>
        <v>Excellent</v>
      </c>
      <c r="Y1441" t="str">
        <f>IFERROR(__xludf.DUMMYFUNCTION("""COMPUTED_VALUE"""),"Excellent")</f>
        <v>Excellent</v>
      </c>
      <c r="Z1441" t="str">
        <f>IFERROR(__xludf.DUMMYFUNCTION("""COMPUTED_VALUE"""),"Excellent")</f>
        <v>Excellent</v>
      </c>
      <c r="AA1441" t="str">
        <f>IFERROR(__xludf.DUMMYFUNCTION("""COMPUTED_VALUE"""),"Excellent")</f>
        <v>Excellent</v>
      </c>
      <c r="AB1441" t="str">
        <f>IFERROR(__xludf.DUMMYFUNCTION("""COMPUTED_VALUE"""),"Excellent")</f>
        <v>Excellent</v>
      </c>
      <c r="AC1441">
        <f>IFERROR(__xludf.DUMMYFUNCTION("""COMPUTED_VALUE"""),0.0)</f>
        <v>0</v>
      </c>
      <c r="AH1441" s="189">
        <f>IFERROR(__xludf.DUMMYFUNCTION("""COMPUTED_VALUE"""),43445.37158637731)</f>
        <v>43445.37159</v>
      </c>
    </row>
    <row r="1442">
      <c r="A1442" t="str">
        <f>IFERROR(__xludf.DUMMYFUNCTION("""COMPUTED_VALUE"""),"jmvlibra")</f>
        <v>jmvlibra</v>
      </c>
      <c r="B1442" t="str">
        <f>IFERROR(__xludf.DUMMYFUNCTION("""COMPUTED_VALUE"""),"Rocklin")</f>
        <v>Rocklin</v>
      </c>
      <c r="C1442" t="str">
        <f>IFERROR(__xludf.DUMMYFUNCTION("""COMPUTED_VALUE"""),"CA")</f>
        <v>CA</v>
      </c>
      <c r="D1442" t="str">
        <f>IFERROR(__xludf.DUMMYFUNCTION("""COMPUTED_VALUE"""),"USA")</f>
        <v>USA</v>
      </c>
      <c r="E1442" s="188">
        <f>IFERROR(__xludf.DUMMYFUNCTION("""COMPUTED_VALUE"""),43399.0)</f>
        <v>43399</v>
      </c>
      <c r="F1442" s="188">
        <f>IFERROR(__xludf.DUMMYFUNCTION("""COMPUTED_VALUE"""),43442.0)</f>
        <v>43442</v>
      </c>
      <c r="J1442" s="5">
        <f>IFERROR(__xludf.DUMMYFUNCTION("""COMPUTED_VALUE"""),43444.0)</f>
        <v>43444</v>
      </c>
      <c r="K1442">
        <f>IFERROR(__xludf.DUMMYFUNCTION("""COMPUTED_VALUE"""),43.0)</f>
        <v>43</v>
      </c>
      <c r="L1442">
        <f>IFERROR(__xludf.DUMMYFUNCTION("""COMPUTED_VALUE"""),2.0)</f>
        <v>2</v>
      </c>
      <c r="M1442">
        <f>IFERROR(__xludf.DUMMYFUNCTION("""COMPUTED_VALUE"""),45.0)</f>
        <v>45</v>
      </c>
      <c r="N1442" t="str">
        <f>IFERROR(__xludf.DUMMYFUNCTION("""COMPUTED_VALUE"""),"Model 3 MR")</f>
        <v>Model 3 MR</v>
      </c>
      <c r="O1442" t="str">
        <f>IFERROR(__xludf.DUMMYFUNCTION("""COMPUTED_VALUE"""),"Solid Black")</f>
        <v>Solid Black</v>
      </c>
      <c r="P1442" t="str">
        <f>IFERROR(__xludf.DUMMYFUNCTION("""COMPUTED_VALUE"""),"18 inch Aero")</f>
        <v>18 inch Aero</v>
      </c>
      <c r="Q1442" t="str">
        <f>IFERROR(__xludf.DUMMYFUNCTION("""COMPUTED_VALUE"""),"Black seats")</f>
        <v>Black seats</v>
      </c>
      <c r="R1442" t="str">
        <f>IFERROR(__xludf.DUMMYFUNCTION("""COMPUTED_VALUE"""),"None")</f>
        <v>None</v>
      </c>
      <c r="X1442" t="str">
        <f>IFERROR(__xludf.DUMMYFUNCTION("""COMPUTED_VALUE"""),"Good")</f>
        <v>Good</v>
      </c>
      <c r="Y1442" t="str">
        <f>IFERROR(__xludf.DUMMYFUNCTION("""COMPUTED_VALUE"""),"Excellent")</f>
        <v>Excellent</v>
      </c>
      <c r="Z1442" t="str">
        <f>IFERROR(__xludf.DUMMYFUNCTION("""COMPUTED_VALUE"""),"Very Good")</f>
        <v>Very Good</v>
      </c>
      <c r="AA1442" t="str">
        <f>IFERROR(__xludf.DUMMYFUNCTION("""COMPUTED_VALUE"""),"Very Good")</f>
        <v>Very Good</v>
      </c>
      <c r="AB1442" t="str">
        <f>IFERROR(__xludf.DUMMYFUNCTION("""COMPUTED_VALUE"""),"Very Good")</f>
        <v>Very Good</v>
      </c>
      <c r="AG1442" t="str">
        <f>IFERROR(__xludf.DUMMYFUNCTION("""COMPUTED_VALUE"""),"little scratch on driver side mirror, they said they will fix it but inform in 72 hours. They home delivered my car 7pm ")</f>
        <v>little scratch on driver side mirror, they said they will fix it but inform in 72 hours. They home delivered my car 7pm </v>
      </c>
      <c r="AH1442" s="189">
        <f>IFERROR(__xludf.DUMMYFUNCTION("""COMPUTED_VALUE"""),43445.4924075)</f>
        <v>43445.49241</v>
      </c>
    </row>
    <row r="1443">
      <c r="A1443" t="str">
        <f>IFERROR(__xludf.DUMMYFUNCTION("""COMPUTED_VALUE"""),"TM3FL")</f>
        <v>TM3FL</v>
      </c>
      <c r="B1443" t="str">
        <f>IFERROR(__xludf.DUMMYFUNCTION("""COMPUTED_VALUE"""),"Tampa")</f>
        <v>Tampa</v>
      </c>
      <c r="C1443" t="str">
        <f>IFERROR(__xludf.DUMMYFUNCTION("""COMPUTED_VALUE"""),"FL")</f>
        <v>FL</v>
      </c>
      <c r="D1443" t="str">
        <f>IFERROR(__xludf.DUMMYFUNCTION("""COMPUTED_VALUE"""),"USA")</f>
        <v>USA</v>
      </c>
      <c r="E1443" s="188">
        <f>IFERROR(__xludf.DUMMYFUNCTION("""COMPUTED_VALUE"""),43422.0)</f>
        <v>43422</v>
      </c>
      <c r="F1443" s="188">
        <f>IFERROR(__xludf.DUMMYFUNCTION("""COMPUTED_VALUE"""),43434.0)</f>
        <v>43434</v>
      </c>
      <c r="H1443">
        <f>IFERROR(__xludf.DUMMYFUNCTION("""COMPUTED_VALUE"""),154179.0)</f>
        <v>154179</v>
      </c>
      <c r="J1443" s="5">
        <f>IFERROR(__xludf.DUMMYFUNCTION("""COMPUTED_VALUE"""),43445.0)</f>
        <v>43445</v>
      </c>
      <c r="K1443">
        <f>IFERROR(__xludf.DUMMYFUNCTION("""COMPUTED_VALUE"""),12.0)</f>
        <v>12</v>
      </c>
      <c r="L1443">
        <f>IFERROR(__xludf.DUMMYFUNCTION("""COMPUTED_VALUE"""),11.0)</f>
        <v>11</v>
      </c>
      <c r="M1443">
        <f>IFERROR(__xludf.DUMMYFUNCTION("""COMPUTED_VALUE"""),23.0)</f>
        <v>23</v>
      </c>
      <c r="N1443" t="str">
        <f>IFERROR(__xludf.DUMMYFUNCTION("""COMPUTED_VALUE"""),"Model 3 MR")</f>
        <v>Model 3 MR</v>
      </c>
      <c r="O1443" t="str">
        <f>IFERROR(__xludf.DUMMYFUNCTION("""COMPUTED_VALUE"""),"Deep Blue Metallic")</f>
        <v>Deep Blue Metallic</v>
      </c>
      <c r="P1443" t="str">
        <f>IFERROR(__xludf.DUMMYFUNCTION("""COMPUTED_VALUE"""),"18 inch Aero")</f>
        <v>18 inch Aero</v>
      </c>
      <c r="Q1443" t="str">
        <f>IFERROR(__xludf.DUMMYFUNCTION("""COMPUTED_VALUE"""),"Black seats")</f>
        <v>Black seats</v>
      </c>
      <c r="R1443" t="str">
        <f>IFERROR(__xludf.DUMMYFUNCTION("""COMPUTED_VALUE"""),"Enhanced Autopilot")</f>
        <v>Enhanced Autopilot</v>
      </c>
      <c r="X1443" t="str">
        <f>IFERROR(__xludf.DUMMYFUNCTION("""COMPUTED_VALUE"""),"Very Good")</f>
        <v>Very Good</v>
      </c>
      <c r="Y1443" t="str">
        <f>IFERROR(__xludf.DUMMYFUNCTION("""COMPUTED_VALUE"""),"Excellent")</f>
        <v>Excellent</v>
      </c>
      <c r="Z1443" t="str">
        <f>IFERROR(__xludf.DUMMYFUNCTION("""COMPUTED_VALUE"""),"Very Good")</f>
        <v>Very Good</v>
      </c>
      <c r="AA1443" t="str">
        <f>IFERROR(__xludf.DUMMYFUNCTION("""COMPUTED_VALUE"""),"Good")</f>
        <v>Good</v>
      </c>
      <c r="AB1443" t="str">
        <f>IFERROR(__xludf.DUMMYFUNCTION("""COMPUTED_VALUE"""),"Very Good")</f>
        <v>Very Good</v>
      </c>
      <c r="AH1443" s="189">
        <f>IFERROR(__xludf.DUMMYFUNCTION("""COMPUTED_VALUE"""),43445.4977224537)</f>
        <v>43445.49772</v>
      </c>
    </row>
    <row r="1444">
      <c r="A1444" t="str">
        <f>IFERROR(__xludf.DUMMYFUNCTION("""COMPUTED_VALUE"""),"RobV7")</f>
        <v>RobV7</v>
      </c>
      <c r="B1444" t="str">
        <f>IFERROR(__xludf.DUMMYFUNCTION("""COMPUTED_VALUE"""),"Bay Area")</f>
        <v>Bay Area</v>
      </c>
      <c r="C1444" t="str">
        <f>IFERROR(__xludf.DUMMYFUNCTION("""COMPUTED_VALUE"""),"CA")</f>
        <v>CA</v>
      </c>
      <c r="D1444" t="str">
        <f>IFERROR(__xludf.DUMMYFUNCTION("""COMPUTED_VALUE"""),"USA")</f>
        <v>USA</v>
      </c>
      <c r="E1444" s="188">
        <f>IFERROR(__xludf.DUMMYFUNCTION("""COMPUTED_VALUE"""),43409.0)</f>
        <v>43409</v>
      </c>
      <c r="F1444" s="188">
        <f>IFERROR(__xludf.DUMMYFUNCTION("""COMPUTED_VALUE"""),43444.0)</f>
        <v>43444</v>
      </c>
      <c r="J1444" s="5">
        <f>IFERROR(__xludf.DUMMYFUNCTION("""COMPUTED_VALUE"""),43444.0)</f>
        <v>43444</v>
      </c>
      <c r="K1444">
        <f>IFERROR(__xludf.DUMMYFUNCTION("""COMPUTED_VALUE"""),35.0)</f>
        <v>35</v>
      </c>
      <c r="L1444">
        <f>IFERROR(__xludf.DUMMYFUNCTION("""COMPUTED_VALUE"""),0.0)</f>
        <v>0</v>
      </c>
      <c r="M1444">
        <f>IFERROR(__xludf.DUMMYFUNCTION("""COMPUTED_VALUE"""),35.0)</f>
        <v>35</v>
      </c>
      <c r="N1444" t="str">
        <f>IFERROR(__xludf.DUMMYFUNCTION("""COMPUTED_VALUE"""),"Model 3 MR")</f>
        <v>Model 3 MR</v>
      </c>
      <c r="O1444" t="str">
        <f>IFERROR(__xludf.DUMMYFUNCTION("""COMPUTED_VALUE"""),"Red Multi-Coat")</f>
        <v>Red Multi-Coat</v>
      </c>
      <c r="P1444" t="str">
        <f>IFERROR(__xludf.DUMMYFUNCTION("""COMPUTED_VALUE"""),"18 inch Aero")</f>
        <v>18 inch Aero</v>
      </c>
      <c r="Q1444" t="str">
        <f>IFERROR(__xludf.DUMMYFUNCTION("""COMPUTED_VALUE"""),"Black seats")</f>
        <v>Black seats</v>
      </c>
      <c r="R1444" t="str">
        <f>IFERROR(__xludf.DUMMYFUNCTION("""COMPUTED_VALUE"""),"None")</f>
        <v>None</v>
      </c>
      <c r="X1444" t="str">
        <f>IFERROR(__xludf.DUMMYFUNCTION("""COMPUTED_VALUE"""),"Excellent")</f>
        <v>Excellent</v>
      </c>
      <c r="Y1444" t="str">
        <f>IFERROR(__xludf.DUMMYFUNCTION("""COMPUTED_VALUE"""),"Excellent")</f>
        <v>Excellent</v>
      </c>
      <c r="Z1444" t="str">
        <f>IFERROR(__xludf.DUMMYFUNCTION("""COMPUTED_VALUE"""),"Excellent")</f>
        <v>Excellent</v>
      </c>
      <c r="AA1444" t="str">
        <f>IFERROR(__xludf.DUMMYFUNCTION("""COMPUTED_VALUE"""),"Excellent")</f>
        <v>Excellent</v>
      </c>
      <c r="AB1444" t="str">
        <f>IFERROR(__xludf.DUMMYFUNCTION("""COMPUTED_VALUE"""),"Excellent")</f>
        <v>Excellent</v>
      </c>
      <c r="AH1444" s="189">
        <f>IFERROR(__xludf.DUMMYFUNCTION("""COMPUTED_VALUE"""),43445.581741284725)</f>
        <v>43445.58174</v>
      </c>
    </row>
    <row r="1445">
      <c r="A1445" t="str">
        <f>IFERROR(__xludf.DUMMYFUNCTION("""COMPUTED_VALUE"""),"TT")</f>
        <v>TT</v>
      </c>
      <c r="B1445" t="str">
        <f>IFERROR(__xludf.DUMMYFUNCTION("""COMPUTED_VALUE"""),"Orange County")</f>
        <v>Orange County</v>
      </c>
      <c r="C1445" t="str">
        <f>IFERROR(__xludf.DUMMYFUNCTION("""COMPUTED_VALUE"""),"CA")</f>
        <v>CA</v>
      </c>
      <c r="D1445" t="str">
        <f>IFERROR(__xludf.DUMMYFUNCTION("""COMPUTED_VALUE"""),"USA")</f>
        <v>USA</v>
      </c>
      <c r="E1445" s="188">
        <f>IFERROR(__xludf.DUMMYFUNCTION("""COMPUTED_VALUE"""),43394.0)</f>
        <v>43394</v>
      </c>
      <c r="F1445" s="188">
        <f>IFERROR(__xludf.DUMMYFUNCTION("""COMPUTED_VALUE"""),43429.0)</f>
        <v>43429</v>
      </c>
      <c r="H1445">
        <f>IFERROR(__xludf.DUMMYFUNCTION("""COMPUTED_VALUE"""),12555.0)</f>
        <v>12555</v>
      </c>
      <c r="I1445" t="str">
        <f>IFERROR(__xludf.DUMMYFUNCTION("""COMPUTED_VALUE"""),"11/18")</f>
        <v>11/18</v>
      </c>
      <c r="J1445" s="5">
        <f>IFERROR(__xludf.DUMMYFUNCTION("""COMPUTED_VALUE"""),43432.0)</f>
        <v>43432</v>
      </c>
      <c r="K1445">
        <f>IFERROR(__xludf.DUMMYFUNCTION("""COMPUTED_VALUE"""),35.0)</f>
        <v>35</v>
      </c>
      <c r="L1445">
        <f>IFERROR(__xludf.DUMMYFUNCTION("""COMPUTED_VALUE"""),3.0)</f>
        <v>3</v>
      </c>
      <c r="M1445">
        <f>IFERROR(__xludf.DUMMYFUNCTION("""COMPUTED_VALUE"""),38.0)</f>
        <v>38</v>
      </c>
      <c r="N1445" t="str">
        <f>IFERROR(__xludf.DUMMYFUNCTION("""COMPUTED_VALUE"""),"Model 3 LR")</f>
        <v>Model 3 LR</v>
      </c>
      <c r="O1445" t="str">
        <f>IFERROR(__xludf.DUMMYFUNCTION("""COMPUTED_VALUE"""),"Deep Blue Metallic")</f>
        <v>Deep Blue Metallic</v>
      </c>
      <c r="P1445" t="str">
        <f>IFERROR(__xludf.DUMMYFUNCTION("""COMPUTED_VALUE"""),"18 inch Aero")</f>
        <v>18 inch Aero</v>
      </c>
      <c r="Q1445" t="str">
        <f>IFERROR(__xludf.DUMMYFUNCTION("""COMPUTED_VALUE"""),"Black seats")</f>
        <v>Black seats</v>
      </c>
      <c r="R1445" t="str">
        <f>IFERROR(__xludf.DUMMYFUNCTION("""COMPUTED_VALUE"""),"None")</f>
        <v>None</v>
      </c>
      <c r="X1445" t="str">
        <f>IFERROR(__xludf.DUMMYFUNCTION("""COMPUTED_VALUE"""),"Excellent")</f>
        <v>Excellent</v>
      </c>
      <c r="Y1445" t="str">
        <f>IFERROR(__xludf.DUMMYFUNCTION("""COMPUTED_VALUE"""),"Excellent")</f>
        <v>Excellent</v>
      </c>
      <c r="Z1445" t="str">
        <f>IFERROR(__xludf.DUMMYFUNCTION("""COMPUTED_VALUE"""),"Very Good")</f>
        <v>Very Good</v>
      </c>
      <c r="AA1445" t="str">
        <f>IFERROR(__xludf.DUMMYFUNCTION("""COMPUTED_VALUE"""),"Good")</f>
        <v>Good</v>
      </c>
      <c r="AB1445" t="str">
        <f>IFERROR(__xludf.DUMMYFUNCTION("""COMPUTED_VALUE"""),"Poor")</f>
        <v>Poor</v>
      </c>
      <c r="AC1445">
        <f>IFERROR(__xludf.DUMMYFUNCTION("""COMPUTED_VALUE"""),1.0)</f>
        <v>1</v>
      </c>
      <c r="AH1445" s="189">
        <f>IFERROR(__xludf.DUMMYFUNCTION("""COMPUTED_VALUE"""),43446.06704064815)</f>
        <v>43446.06704</v>
      </c>
    </row>
    <row r="1446">
      <c r="A1446" t="str">
        <f>IFERROR(__xludf.DUMMYFUNCTION("""COMPUTED_VALUE"""),"trivs")</f>
        <v>trivs</v>
      </c>
      <c r="B1446" t="str">
        <f>IFERROR(__xludf.DUMMYFUNCTION("""COMPUTED_VALUE"""),"Westfield")</f>
        <v>Westfield</v>
      </c>
      <c r="C1446" t="str">
        <f>IFERROR(__xludf.DUMMYFUNCTION("""COMPUTED_VALUE"""),"IN")</f>
        <v>IN</v>
      </c>
      <c r="D1446" t="str">
        <f>IFERROR(__xludf.DUMMYFUNCTION("""COMPUTED_VALUE"""),"USA")</f>
        <v>USA</v>
      </c>
      <c r="E1446" s="188">
        <f>IFERROR(__xludf.DUMMYFUNCTION("""COMPUTED_VALUE"""),42460.0)</f>
        <v>42460</v>
      </c>
      <c r="F1446" s="188">
        <f>IFERROR(__xludf.DUMMYFUNCTION("""COMPUTED_VALUE"""),43197.0)</f>
        <v>43197</v>
      </c>
      <c r="H1446">
        <f>IFERROR(__xludf.DUMMYFUNCTION("""COMPUTED_VALUE"""),14755.0)</f>
        <v>14755</v>
      </c>
      <c r="I1446" t="str">
        <f>IFERROR(__xludf.DUMMYFUNCTION("""COMPUTED_VALUE"""),"03/18")</f>
        <v>03/18</v>
      </c>
      <c r="J1446" s="5">
        <f>IFERROR(__xludf.DUMMYFUNCTION("""COMPUTED_VALUE"""),43211.0)</f>
        <v>43211</v>
      </c>
      <c r="L1446">
        <f>IFERROR(__xludf.DUMMYFUNCTION("""COMPUTED_VALUE"""),14.0)</f>
        <v>14</v>
      </c>
      <c r="N1446" t="str">
        <f>IFERROR(__xludf.DUMMYFUNCTION("""COMPUTED_VALUE"""),"Model 3 LR")</f>
        <v>Model 3 LR</v>
      </c>
      <c r="O1446" t="str">
        <f>IFERROR(__xludf.DUMMYFUNCTION("""COMPUTED_VALUE"""),"Silver Metallic")</f>
        <v>Silver Metallic</v>
      </c>
      <c r="P1446" t="str">
        <f>IFERROR(__xludf.DUMMYFUNCTION("""COMPUTED_VALUE"""),"18 inch Aero")</f>
        <v>18 inch Aero</v>
      </c>
      <c r="Q1446" t="str">
        <f>IFERROR(__xludf.DUMMYFUNCTION("""COMPUTED_VALUE"""),"Black seats")</f>
        <v>Black seats</v>
      </c>
      <c r="R1446" t="str">
        <f>IFERROR(__xludf.DUMMYFUNCTION("""COMPUTED_VALUE"""),"Enhanced Autopilot")</f>
        <v>Enhanced Autopilot</v>
      </c>
      <c r="X1446" t="str">
        <f>IFERROR(__xludf.DUMMYFUNCTION("""COMPUTED_VALUE"""),"Very Good")</f>
        <v>Very Good</v>
      </c>
      <c r="Y1446" t="str">
        <f>IFERROR(__xludf.DUMMYFUNCTION("""COMPUTED_VALUE"""),"Excellent")</f>
        <v>Excellent</v>
      </c>
      <c r="Z1446" t="str">
        <f>IFERROR(__xludf.DUMMYFUNCTION("""COMPUTED_VALUE"""),"Excellent")</f>
        <v>Excellent</v>
      </c>
      <c r="AA1446" t="str">
        <f>IFERROR(__xludf.DUMMYFUNCTION("""COMPUTED_VALUE"""),"Very Good")</f>
        <v>Very Good</v>
      </c>
      <c r="AB1446" t="str">
        <f>IFERROR(__xludf.DUMMYFUNCTION("""COMPUTED_VALUE"""),"Excellent")</f>
        <v>Excellent</v>
      </c>
      <c r="AC1446">
        <f>IFERROR(__xludf.DUMMYFUNCTION("""COMPUTED_VALUE"""),0.0)</f>
        <v>0</v>
      </c>
      <c r="AD1446">
        <f>IFERROR(__xludf.DUMMYFUNCTION("""COMPUTED_VALUE"""),0.0)</f>
        <v>0</v>
      </c>
      <c r="AE1446">
        <f>IFERROR(__xludf.DUMMYFUNCTION("""COMPUTED_VALUE"""),0.0)</f>
        <v>0</v>
      </c>
      <c r="AG1446" t="str">
        <f>IFERROR(__xludf.DUMMYFUNCTION("""COMPUTED_VALUE"""),"Best car I've ever had/driven/ridden in.")</f>
        <v>Best car I've ever had/driven/ridden in.</v>
      </c>
      <c r="AH1446" s="189">
        <f>IFERROR(__xludf.DUMMYFUNCTION("""COMPUTED_VALUE"""),43446.247432696764)</f>
        <v>43446.24743</v>
      </c>
    </row>
    <row r="1447">
      <c r="A1447" t="str">
        <f>IFERROR(__xludf.DUMMYFUNCTION("""COMPUTED_VALUE"""),"dc10023")</f>
        <v>dc10023</v>
      </c>
      <c r="B1447" t="str">
        <f>IFERROR(__xludf.DUMMYFUNCTION("""COMPUTED_VALUE"""),"Seattle")</f>
        <v>Seattle</v>
      </c>
      <c r="C1447" t="str">
        <f>IFERROR(__xludf.DUMMYFUNCTION("""COMPUTED_VALUE"""),"WA")</f>
        <v>WA</v>
      </c>
      <c r="D1447" t="str">
        <f>IFERROR(__xludf.DUMMYFUNCTION("""COMPUTED_VALUE"""),"USA")</f>
        <v>USA</v>
      </c>
      <c r="E1447" s="188">
        <f>IFERROR(__xludf.DUMMYFUNCTION("""COMPUTED_VALUE"""),42464.0)</f>
        <v>42464</v>
      </c>
      <c r="F1447" s="188">
        <f>IFERROR(__xludf.DUMMYFUNCTION("""COMPUTED_VALUE"""),43366.0)</f>
        <v>43366</v>
      </c>
      <c r="H1447">
        <f>IFERROR(__xludf.DUMMYFUNCTION("""COMPUTED_VALUE"""),105276.0)</f>
        <v>105276</v>
      </c>
      <c r="J1447" s="5">
        <f>IFERROR(__xludf.DUMMYFUNCTION("""COMPUTED_VALUE"""),43370.0)</f>
        <v>43370</v>
      </c>
      <c r="L1447">
        <f>IFERROR(__xludf.DUMMYFUNCTION("""COMPUTED_VALUE"""),4.0)</f>
        <v>4</v>
      </c>
      <c r="N1447" t="str">
        <f>IFERROR(__xludf.DUMMYFUNCTION("""COMPUTED_VALUE"""),"Model 3 LR AWD")</f>
        <v>Model 3 LR AWD</v>
      </c>
      <c r="O1447" t="str">
        <f>IFERROR(__xludf.DUMMYFUNCTION("""COMPUTED_VALUE"""),"Deep Blue Metallic")</f>
        <v>Deep Blue Metallic</v>
      </c>
      <c r="P1447" t="str">
        <f>IFERROR(__xludf.DUMMYFUNCTION("""COMPUTED_VALUE"""),"18 inch Aero")</f>
        <v>18 inch Aero</v>
      </c>
      <c r="Q1447" t="str">
        <f>IFERROR(__xludf.DUMMYFUNCTION("""COMPUTED_VALUE"""),"Black seats")</f>
        <v>Black seats</v>
      </c>
      <c r="R1447" t="str">
        <f>IFERROR(__xludf.DUMMYFUNCTION("""COMPUTED_VALUE"""),"Full Self-Driving")</f>
        <v>Full Self-Driving</v>
      </c>
      <c r="X1447" t="str">
        <f>IFERROR(__xludf.DUMMYFUNCTION("""COMPUTED_VALUE"""),"Excellent")</f>
        <v>Excellent</v>
      </c>
      <c r="Y1447" t="str">
        <f>IFERROR(__xludf.DUMMYFUNCTION("""COMPUTED_VALUE"""),"Excellent")</f>
        <v>Excellent</v>
      </c>
      <c r="Z1447" t="str">
        <f>IFERROR(__xludf.DUMMYFUNCTION("""COMPUTED_VALUE"""),"Excellent")</f>
        <v>Excellent</v>
      </c>
      <c r="AA1447" t="str">
        <f>IFERROR(__xludf.DUMMYFUNCTION("""COMPUTED_VALUE"""),"Fair")</f>
        <v>Fair</v>
      </c>
      <c r="AB1447" t="str">
        <f>IFERROR(__xludf.DUMMYFUNCTION("""COMPUTED_VALUE"""),"Excellent")</f>
        <v>Excellent</v>
      </c>
      <c r="AC1447">
        <f>IFERROR(__xludf.DUMMYFUNCTION("""COMPUTED_VALUE"""),0.0)</f>
        <v>0</v>
      </c>
      <c r="AD1447">
        <f>IFERROR(__xludf.DUMMYFUNCTION("""COMPUTED_VALUE"""),0.0)</f>
        <v>0</v>
      </c>
      <c r="AE1447">
        <f>IFERROR(__xludf.DUMMYFUNCTION("""COMPUTED_VALUE"""),0.0)</f>
        <v>0</v>
      </c>
      <c r="AG1447" t="str">
        <f>IFERROR(__xludf.DUMMYFUNCTION("""COMPUTED_VALUE"""),"Several months in. Very happy customers. Only issue is that I live in condo without wifi so there are delays in updates.")</f>
        <v>Several months in. Very happy customers. Only issue is that I live in condo without wifi so there are delays in updates.</v>
      </c>
      <c r="AH1447" s="189">
        <f>IFERROR(__xludf.DUMMYFUNCTION("""COMPUTED_VALUE"""),43446.44155173611)</f>
        <v>43446.44155</v>
      </c>
    </row>
    <row r="1448">
      <c r="A1448" t="str">
        <f>IFERROR(__xludf.DUMMYFUNCTION("""COMPUTED_VALUE"""),"arktctr")</f>
        <v>arktctr</v>
      </c>
      <c r="B1448" t="str">
        <f>IFERROR(__xludf.DUMMYFUNCTION("""COMPUTED_VALUE"""),"Orange County, CA")</f>
        <v>Orange County, CA</v>
      </c>
      <c r="C1448" t="str">
        <f>IFERROR(__xludf.DUMMYFUNCTION("""COMPUTED_VALUE"""),"CA")</f>
        <v>CA</v>
      </c>
      <c r="D1448" t="str">
        <f>IFERROR(__xludf.DUMMYFUNCTION("""COMPUTED_VALUE"""),"USA")</f>
        <v>USA</v>
      </c>
      <c r="E1448" s="188">
        <f>IFERROR(__xludf.DUMMYFUNCTION("""COMPUTED_VALUE"""),43391.0)</f>
        <v>43391</v>
      </c>
      <c r="F1448" s="188">
        <f>IFERROR(__xludf.DUMMYFUNCTION("""COMPUTED_VALUE"""),43440.0)</f>
        <v>43440</v>
      </c>
      <c r="H1448">
        <f>IFERROR(__xludf.DUMMYFUNCTION("""COMPUTED_VALUE"""),156155.0)</f>
        <v>156155</v>
      </c>
      <c r="I1448" t="str">
        <f>IFERROR(__xludf.DUMMYFUNCTION("""COMPUTED_VALUE"""),"12/18")</f>
        <v>12/18</v>
      </c>
      <c r="J1448" s="5">
        <f>IFERROR(__xludf.DUMMYFUNCTION("""COMPUTED_VALUE"""),43445.0)</f>
        <v>43445</v>
      </c>
      <c r="K1448">
        <f>IFERROR(__xludf.DUMMYFUNCTION("""COMPUTED_VALUE"""),49.0)</f>
        <v>49</v>
      </c>
      <c r="L1448">
        <f>IFERROR(__xludf.DUMMYFUNCTION("""COMPUTED_VALUE"""),5.0)</f>
        <v>5</v>
      </c>
      <c r="M1448">
        <f>IFERROR(__xludf.DUMMYFUNCTION("""COMPUTED_VALUE"""),54.0)</f>
        <v>54</v>
      </c>
      <c r="N1448" t="str">
        <f>IFERROR(__xludf.DUMMYFUNCTION("""COMPUTED_VALUE"""),"Model 3 MR")</f>
        <v>Model 3 MR</v>
      </c>
      <c r="O1448" t="str">
        <f>IFERROR(__xludf.DUMMYFUNCTION("""COMPUTED_VALUE"""),"Deep Blue Metallic")</f>
        <v>Deep Blue Metallic</v>
      </c>
      <c r="P1448" t="str">
        <f>IFERROR(__xludf.DUMMYFUNCTION("""COMPUTED_VALUE"""),"19 inch Sport")</f>
        <v>19 inch Sport</v>
      </c>
      <c r="Q1448" t="str">
        <f>IFERROR(__xludf.DUMMYFUNCTION("""COMPUTED_VALUE"""),"White seats")</f>
        <v>White seats</v>
      </c>
      <c r="R1448" t="str">
        <f>IFERROR(__xludf.DUMMYFUNCTION("""COMPUTED_VALUE"""),"None")</f>
        <v>None</v>
      </c>
      <c r="X1448" t="str">
        <f>IFERROR(__xludf.DUMMYFUNCTION("""COMPUTED_VALUE"""),"Excellent")</f>
        <v>Excellent</v>
      </c>
      <c r="Y1448" t="str">
        <f>IFERROR(__xludf.DUMMYFUNCTION("""COMPUTED_VALUE"""),"Excellent")</f>
        <v>Excellent</v>
      </c>
      <c r="Z1448" t="str">
        <f>IFERROR(__xludf.DUMMYFUNCTION("""COMPUTED_VALUE"""),"Very Good")</f>
        <v>Very Good</v>
      </c>
      <c r="AA1448" t="str">
        <f>IFERROR(__xludf.DUMMYFUNCTION("""COMPUTED_VALUE"""),"Poor")</f>
        <v>Poor</v>
      </c>
      <c r="AB1448" t="str">
        <f>IFERROR(__xludf.DUMMYFUNCTION("""COMPUTED_VALUE"""),"Excellent")</f>
        <v>Excellent</v>
      </c>
      <c r="AH1448" s="189">
        <f>IFERROR(__xludf.DUMMYFUNCTION("""COMPUTED_VALUE"""),43446.55475098379)</f>
        <v>43446.55475</v>
      </c>
    </row>
    <row r="1449">
      <c r="A1449" t="str">
        <f>IFERROR(__xludf.DUMMYFUNCTION("""COMPUTED_VALUE"""),"ARL - FL")</f>
        <v>ARL - FL</v>
      </c>
      <c r="B1449" t="str">
        <f>IFERROR(__xludf.DUMMYFUNCTION("""COMPUTED_VALUE"""),"Gainesville")</f>
        <v>Gainesville</v>
      </c>
      <c r="C1449" t="str">
        <f>IFERROR(__xludf.DUMMYFUNCTION("""COMPUTED_VALUE"""),"FL")</f>
        <v>FL</v>
      </c>
      <c r="D1449" t="str">
        <f>IFERROR(__xludf.DUMMYFUNCTION("""COMPUTED_VALUE"""),"USA")</f>
        <v>USA</v>
      </c>
      <c r="E1449" s="188">
        <f>IFERROR(__xludf.DUMMYFUNCTION("""COMPUTED_VALUE"""),43395.0)</f>
        <v>43395</v>
      </c>
      <c r="F1449" s="188">
        <f>IFERROR(__xludf.DUMMYFUNCTION("""COMPUTED_VALUE"""),43423.0)</f>
        <v>43423</v>
      </c>
      <c r="H1449">
        <f>IFERROR(__xludf.DUMMYFUNCTION("""COMPUTED_VALUE"""),164655.0)</f>
        <v>164655</v>
      </c>
      <c r="I1449" t="str">
        <f>IFERROR(__xludf.DUMMYFUNCTION("""COMPUTED_VALUE"""),"11/18")</f>
        <v>11/18</v>
      </c>
      <c r="J1449" s="5">
        <f>IFERROR(__xludf.DUMMYFUNCTION("""COMPUTED_VALUE"""),43445.0)</f>
        <v>43445</v>
      </c>
      <c r="K1449">
        <f>IFERROR(__xludf.DUMMYFUNCTION("""COMPUTED_VALUE"""),28.0)</f>
        <v>28</v>
      </c>
      <c r="L1449">
        <f>IFERROR(__xludf.DUMMYFUNCTION("""COMPUTED_VALUE"""),22.0)</f>
        <v>22</v>
      </c>
      <c r="M1449">
        <f>IFERROR(__xludf.DUMMYFUNCTION("""COMPUTED_VALUE"""),50.0)</f>
        <v>50</v>
      </c>
      <c r="N1449" t="str">
        <f>IFERROR(__xludf.DUMMYFUNCTION("""COMPUTED_VALUE"""),"Model 3 MR")</f>
        <v>Model 3 MR</v>
      </c>
      <c r="O1449" t="str">
        <f>IFERROR(__xludf.DUMMYFUNCTION("""COMPUTED_VALUE"""),"Pearl White Multi-Coat")</f>
        <v>Pearl White Multi-Coat</v>
      </c>
      <c r="P1449" t="str">
        <f>IFERROR(__xludf.DUMMYFUNCTION("""COMPUTED_VALUE"""),"19 inch Sport")</f>
        <v>19 inch Sport</v>
      </c>
      <c r="Q1449" t="str">
        <f>IFERROR(__xludf.DUMMYFUNCTION("""COMPUTED_VALUE"""),"Black seats")</f>
        <v>Black seats</v>
      </c>
      <c r="R1449" t="str">
        <f>IFERROR(__xludf.DUMMYFUNCTION("""COMPUTED_VALUE"""),"Enhanced Autopilot")</f>
        <v>Enhanced Autopilot</v>
      </c>
      <c r="X1449" t="str">
        <f>IFERROR(__xludf.DUMMYFUNCTION("""COMPUTED_VALUE"""),"Excellent")</f>
        <v>Excellent</v>
      </c>
      <c r="Y1449" t="str">
        <f>IFERROR(__xludf.DUMMYFUNCTION("""COMPUTED_VALUE"""),"Excellent")</f>
        <v>Excellent</v>
      </c>
      <c r="Z1449" t="str">
        <f>IFERROR(__xludf.DUMMYFUNCTION("""COMPUTED_VALUE"""),"Excellent")</f>
        <v>Excellent</v>
      </c>
      <c r="AA1449" t="str">
        <f>IFERROR(__xludf.DUMMYFUNCTION("""COMPUTED_VALUE"""),"Good")</f>
        <v>Good</v>
      </c>
      <c r="AB1449" t="str">
        <f>IFERROR(__xludf.DUMMYFUNCTION("""COMPUTED_VALUE"""),"Good")</f>
        <v>Good</v>
      </c>
      <c r="AH1449" s="189">
        <f>IFERROR(__xludf.DUMMYFUNCTION("""COMPUTED_VALUE"""),43446.5650766551)</f>
        <v>43446.56508</v>
      </c>
    </row>
    <row r="1450">
      <c r="A1450" t="str">
        <f>IFERROR(__xludf.DUMMYFUNCTION("""COMPUTED_VALUE"""),"wetling")</f>
        <v>wetling</v>
      </c>
      <c r="B1450" t="str">
        <f>IFERROR(__xludf.DUMMYFUNCTION("""COMPUTED_VALUE"""),"Denver")</f>
        <v>Denver</v>
      </c>
      <c r="C1450" t="str">
        <f>IFERROR(__xludf.DUMMYFUNCTION("""COMPUTED_VALUE"""),"CO")</f>
        <v>CO</v>
      </c>
      <c r="D1450" t="str">
        <f>IFERROR(__xludf.DUMMYFUNCTION("""COMPUTED_VALUE"""),"USA")</f>
        <v>USA</v>
      </c>
      <c r="E1450" s="188">
        <f>IFERROR(__xludf.DUMMYFUNCTION("""COMPUTED_VALUE"""),43409.0)</f>
        <v>43409</v>
      </c>
      <c r="H1450">
        <f>IFERROR(__xludf.DUMMYFUNCTION("""COMPUTED_VALUE"""),182446.0)</f>
        <v>182446</v>
      </c>
      <c r="J1450" s="5">
        <f>IFERROR(__xludf.DUMMYFUNCTION("""COMPUTED_VALUE"""),43445.0)</f>
        <v>43445</v>
      </c>
      <c r="M1450">
        <f>IFERROR(__xludf.DUMMYFUNCTION("""COMPUTED_VALUE"""),36.0)</f>
        <v>36</v>
      </c>
      <c r="N1450" t="str">
        <f>IFERROR(__xludf.DUMMYFUNCTION("""COMPUTED_VALUE"""),"Model 3 LR AWD")</f>
        <v>Model 3 LR AWD</v>
      </c>
      <c r="O1450" t="str">
        <f>IFERROR(__xludf.DUMMYFUNCTION("""COMPUTED_VALUE"""),"Solid Black")</f>
        <v>Solid Black</v>
      </c>
      <c r="P1450" t="str">
        <f>IFERROR(__xludf.DUMMYFUNCTION("""COMPUTED_VALUE"""),"18 inch Aero")</f>
        <v>18 inch Aero</v>
      </c>
      <c r="Q1450" t="str">
        <f>IFERROR(__xludf.DUMMYFUNCTION("""COMPUTED_VALUE"""),"Black seats")</f>
        <v>Black seats</v>
      </c>
      <c r="R1450" t="str">
        <f>IFERROR(__xludf.DUMMYFUNCTION("""COMPUTED_VALUE"""),"None")</f>
        <v>None</v>
      </c>
      <c r="X1450" t="str">
        <f>IFERROR(__xludf.DUMMYFUNCTION("""COMPUTED_VALUE"""),"Excellent")</f>
        <v>Excellent</v>
      </c>
      <c r="Y1450" t="str">
        <f>IFERROR(__xludf.DUMMYFUNCTION("""COMPUTED_VALUE"""),"Excellent")</f>
        <v>Excellent</v>
      </c>
      <c r="Z1450" t="str">
        <f>IFERROR(__xludf.DUMMYFUNCTION("""COMPUTED_VALUE"""),"Very Good")</f>
        <v>Very Good</v>
      </c>
      <c r="AA1450" t="str">
        <f>IFERROR(__xludf.DUMMYFUNCTION("""COMPUTED_VALUE"""),"Very Good")</f>
        <v>Very Good</v>
      </c>
      <c r="AB1450" t="str">
        <f>IFERROR(__xludf.DUMMYFUNCTION("""COMPUTED_VALUE"""),"Good")</f>
        <v>Good</v>
      </c>
      <c r="AG1450" t="str">
        <f>IFERROR(__xludf.DUMMYFUNCTION("""COMPUTED_VALUE"""),"Switched from order, to delivery of inventory vehicle.")</f>
        <v>Switched from order, to delivery of inventory vehicle.</v>
      </c>
      <c r="AH1450" s="189">
        <f>IFERROR(__xludf.DUMMYFUNCTION("""COMPUTED_VALUE"""),43446.61205960649)</f>
        <v>43446.61206</v>
      </c>
    </row>
    <row r="1451">
      <c r="A1451" t="str">
        <f>IFERROR(__xludf.DUMMYFUNCTION("""COMPUTED_VALUE"""),"JeffH")</f>
        <v>JeffH</v>
      </c>
      <c r="B1451" t="str">
        <f>IFERROR(__xludf.DUMMYFUNCTION("""COMPUTED_VALUE"""),"Bellevue")</f>
        <v>Bellevue</v>
      </c>
      <c r="C1451" t="str">
        <f>IFERROR(__xludf.DUMMYFUNCTION("""COMPUTED_VALUE"""),"WA")</f>
        <v>WA</v>
      </c>
      <c r="D1451" t="str">
        <f>IFERROR(__xludf.DUMMYFUNCTION("""COMPUTED_VALUE"""),"USA")</f>
        <v>USA</v>
      </c>
      <c r="E1451" s="188">
        <f>IFERROR(__xludf.DUMMYFUNCTION("""COMPUTED_VALUE"""),43407.0)</f>
        <v>43407</v>
      </c>
      <c r="F1451" s="188">
        <f>IFERROR(__xludf.DUMMYFUNCTION("""COMPUTED_VALUE"""),43437.0)</f>
        <v>43437</v>
      </c>
      <c r="H1451">
        <f>IFERROR(__xludf.DUMMYFUNCTION("""COMPUTED_VALUE"""),80895.0)</f>
        <v>80895</v>
      </c>
      <c r="I1451" t="str">
        <f>IFERROR(__xludf.DUMMYFUNCTION("""COMPUTED_VALUE"""),"11/18")</f>
        <v>11/18</v>
      </c>
      <c r="J1451" s="5">
        <f>IFERROR(__xludf.DUMMYFUNCTION("""COMPUTED_VALUE"""),43445.0)</f>
        <v>43445</v>
      </c>
      <c r="K1451">
        <f>IFERROR(__xludf.DUMMYFUNCTION("""COMPUTED_VALUE"""),30.0)</f>
        <v>30</v>
      </c>
      <c r="L1451">
        <f>IFERROR(__xludf.DUMMYFUNCTION("""COMPUTED_VALUE"""),8.0)</f>
        <v>8</v>
      </c>
      <c r="M1451">
        <f>IFERROR(__xludf.DUMMYFUNCTION("""COMPUTED_VALUE"""),38.0)</f>
        <v>38</v>
      </c>
      <c r="N1451" t="str">
        <f>IFERROR(__xludf.DUMMYFUNCTION("""COMPUTED_VALUE"""),"Model 3 Performance")</f>
        <v>Model 3 Performance</v>
      </c>
      <c r="O1451" t="str">
        <f>IFERROR(__xludf.DUMMYFUNCTION("""COMPUTED_VALUE"""),"Deep Blue Metallic")</f>
        <v>Deep Blue Metallic</v>
      </c>
      <c r="P1451" t="str">
        <f>IFERROR(__xludf.DUMMYFUNCTION("""COMPUTED_VALUE"""),"20 inch Sport")</f>
        <v>20 inch Sport</v>
      </c>
      <c r="Q1451" t="str">
        <f>IFERROR(__xludf.DUMMYFUNCTION("""COMPUTED_VALUE"""),"White seats")</f>
        <v>White seats</v>
      </c>
      <c r="R1451" t="str">
        <f>IFERROR(__xludf.DUMMYFUNCTION("""COMPUTED_VALUE"""),"Full Self-Driving")</f>
        <v>Full Self-Driving</v>
      </c>
      <c r="X1451" t="str">
        <f>IFERROR(__xludf.DUMMYFUNCTION("""COMPUTED_VALUE"""),"Very Good")</f>
        <v>Very Good</v>
      </c>
      <c r="Y1451" t="str">
        <f>IFERROR(__xludf.DUMMYFUNCTION("""COMPUTED_VALUE"""),"Very Good")</f>
        <v>Very Good</v>
      </c>
      <c r="Z1451" t="str">
        <f>IFERROR(__xludf.DUMMYFUNCTION("""COMPUTED_VALUE"""),"Fair")</f>
        <v>Fair</v>
      </c>
      <c r="AA1451" t="str">
        <f>IFERROR(__xludf.DUMMYFUNCTION("""COMPUTED_VALUE"""),"Very Good")</f>
        <v>Very Good</v>
      </c>
      <c r="AB1451" t="str">
        <f>IFERROR(__xludf.DUMMYFUNCTION("""COMPUTED_VALUE"""),"Excellent")</f>
        <v>Excellent</v>
      </c>
      <c r="AC1451">
        <f>IFERROR(__xludf.DUMMYFUNCTION("""COMPUTED_VALUE"""),1.0)</f>
        <v>1</v>
      </c>
      <c r="AH1451" s="189">
        <f>IFERROR(__xludf.DUMMYFUNCTION("""COMPUTED_VALUE"""),43446.993171979164)</f>
        <v>43446.99317</v>
      </c>
    </row>
    <row r="1452">
      <c r="A1452" t="str">
        <f>IFERROR(__xludf.DUMMYFUNCTION("""COMPUTED_VALUE"""),"TheifOfCheese")</f>
        <v>TheifOfCheese</v>
      </c>
      <c r="B1452" t="str">
        <f>IFERROR(__xludf.DUMMYFUNCTION("""COMPUTED_VALUE"""),"Northern VA")</f>
        <v>Northern VA</v>
      </c>
      <c r="C1452" t="str">
        <f>IFERROR(__xludf.DUMMYFUNCTION("""COMPUTED_VALUE"""),"VA")</f>
        <v>VA</v>
      </c>
      <c r="D1452" t="str">
        <f>IFERROR(__xludf.DUMMYFUNCTION("""COMPUTED_VALUE"""),"USA")</f>
        <v>USA</v>
      </c>
      <c r="E1452" s="188">
        <f>IFERROR(__xludf.DUMMYFUNCTION("""COMPUTED_VALUE"""),43400.0)</f>
        <v>43400</v>
      </c>
      <c r="F1452" s="188">
        <f>IFERROR(__xludf.DUMMYFUNCTION("""COMPUTED_VALUE"""),43409.0)</f>
        <v>43409</v>
      </c>
      <c r="H1452">
        <f>IFERROR(__xludf.DUMMYFUNCTION("""COMPUTED_VALUE"""),119655.0)</f>
        <v>119655</v>
      </c>
      <c r="I1452" t="str">
        <f>IFERROR(__xludf.DUMMYFUNCTION("""COMPUTED_VALUE"""),"10/18")</f>
        <v>10/18</v>
      </c>
      <c r="J1452" s="5">
        <f>IFERROR(__xludf.DUMMYFUNCTION("""COMPUTED_VALUE"""),43416.0)</f>
        <v>43416</v>
      </c>
      <c r="K1452">
        <f>IFERROR(__xludf.DUMMYFUNCTION("""COMPUTED_VALUE"""),9.0)</f>
        <v>9</v>
      </c>
      <c r="L1452">
        <f>IFERROR(__xludf.DUMMYFUNCTION("""COMPUTED_VALUE"""),7.0)</f>
        <v>7</v>
      </c>
      <c r="M1452">
        <f>IFERROR(__xludf.DUMMYFUNCTION("""COMPUTED_VALUE"""),16.0)</f>
        <v>16</v>
      </c>
      <c r="N1452" t="str">
        <f>IFERROR(__xludf.DUMMYFUNCTION("""COMPUTED_VALUE"""),"Model 3 LR AWD")</f>
        <v>Model 3 LR AWD</v>
      </c>
      <c r="O1452" t="str">
        <f>IFERROR(__xludf.DUMMYFUNCTION("""COMPUTED_VALUE"""),"Midnight Silver Metallic")</f>
        <v>Midnight Silver Metallic</v>
      </c>
      <c r="P1452" t="str">
        <f>IFERROR(__xludf.DUMMYFUNCTION("""COMPUTED_VALUE"""),"18 inch Aero")</f>
        <v>18 inch Aero</v>
      </c>
      <c r="Q1452" t="str">
        <f>IFERROR(__xludf.DUMMYFUNCTION("""COMPUTED_VALUE"""),"Black seats")</f>
        <v>Black seats</v>
      </c>
      <c r="R1452" t="str">
        <f>IFERROR(__xludf.DUMMYFUNCTION("""COMPUTED_VALUE"""),"Enhanced Autopilot")</f>
        <v>Enhanced Autopilot</v>
      </c>
      <c r="X1452" t="str">
        <f>IFERROR(__xludf.DUMMYFUNCTION("""COMPUTED_VALUE"""),"Excellent")</f>
        <v>Excellent</v>
      </c>
      <c r="Y1452" t="str">
        <f>IFERROR(__xludf.DUMMYFUNCTION("""COMPUTED_VALUE"""),"Excellent")</f>
        <v>Excellent</v>
      </c>
      <c r="Z1452" t="str">
        <f>IFERROR(__xludf.DUMMYFUNCTION("""COMPUTED_VALUE"""),"Very Good")</f>
        <v>Very Good</v>
      </c>
      <c r="AA1452" t="str">
        <f>IFERROR(__xludf.DUMMYFUNCTION("""COMPUTED_VALUE"""),"Very Good")</f>
        <v>Very Good</v>
      </c>
      <c r="AB1452" t="str">
        <f>IFERROR(__xludf.DUMMYFUNCTION("""COMPUTED_VALUE"""),"Very Good")</f>
        <v>Very Good</v>
      </c>
      <c r="AC1452">
        <f>IFERROR(__xludf.DUMMYFUNCTION("""COMPUTED_VALUE"""),0.0)</f>
        <v>0</v>
      </c>
      <c r="AD1452">
        <f>IFERROR(__xludf.DUMMYFUNCTION("""COMPUTED_VALUE"""),0.0)</f>
        <v>0</v>
      </c>
      <c r="AE1452">
        <f>IFERROR(__xludf.DUMMYFUNCTION("""COMPUTED_VALUE"""),0.0)</f>
        <v>0</v>
      </c>
      <c r="AH1452" s="189">
        <f>IFERROR(__xludf.DUMMYFUNCTION("""COMPUTED_VALUE"""),43447.2938496875)</f>
        <v>43447.29385</v>
      </c>
    </row>
    <row r="1453">
      <c r="A1453" t="str">
        <f>IFERROR(__xludf.DUMMYFUNCTION("""COMPUTED_VALUE"""),"marksven")</f>
        <v>marksven</v>
      </c>
      <c r="B1453" t="str">
        <f>IFERROR(__xludf.DUMMYFUNCTION("""COMPUTED_VALUE"""),"Issaquah")</f>
        <v>Issaquah</v>
      </c>
      <c r="C1453" t="str">
        <f>IFERROR(__xludf.DUMMYFUNCTION("""COMPUTED_VALUE"""),"WA")</f>
        <v>WA</v>
      </c>
      <c r="D1453" t="str">
        <f>IFERROR(__xludf.DUMMYFUNCTION("""COMPUTED_VALUE"""),"USA")</f>
        <v>USA</v>
      </c>
      <c r="E1453" s="188">
        <f>IFERROR(__xludf.DUMMYFUNCTION("""COMPUTED_VALUE"""),43386.0)</f>
        <v>43386</v>
      </c>
      <c r="F1453" s="188">
        <f>IFERROR(__xludf.DUMMYFUNCTION("""COMPUTED_VALUE"""),43398.0)</f>
        <v>43398</v>
      </c>
      <c r="H1453" s="4">
        <f>IFERROR(__xludf.DUMMYFUNCTION("""COMPUTED_VALUE"""),112255.0)</f>
        <v>112255</v>
      </c>
      <c r="I1453" t="str">
        <f>IFERROR(__xludf.DUMMYFUNCTION("""COMPUTED_VALUE"""),"10/18")</f>
        <v>10/18</v>
      </c>
      <c r="J1453" s="5">
        <f>IFERROR(__xludf.DUMMYFUNCTION("""COMPUTED_VALUE"""),43405.0)</f>
        <v>43405</v>
      </c>
      <c r="K1453">
        <f>IFERROR(__xludf.DUMMYFUNCTION("""COMPUTED_VALUE"""),12.0)</f>
        <v>12</v>
      </c>
      <c r="L1453">
        <f>IFERROR(__xludf.DUMMYFUNCTION("""COMPUTED_VALUE"""),7.0)</f>
        <v>7</v>
      </c>
      <c r="M1453">
        <f>IFERROR(__xludf.DUMMYFUNCTION("""COMPUTED_VALUE"""),19.0)</f>
        <v>19</v>
      </c>
      <c r="N1453" t="str">
        <f>IFERROR(__xludf.DUMMYFUNCTION("""COMPUTED_VALUE"""),"Model 3 LR AWD")</f>
        <v>Model 3 LR AWD</v>
      </c>
      <c r="O1453" t="str">
        <f>IFERROR(__xludf.DUMMYFUNCTION("""COMPUTED_VALUE"""),"Pearl White Multi-Coat")</f>
        <v>Pearl White Multi-Coat</v>
      </c>
      <c r="P1453" t="str">
        <f>IFERROR(__xludf.DUMMYFUNCTION("""COMPUTED_VALUE"""),"19 inch Sport")</f>
        <v>19 inch Sport</v>
      </c>
      <c r="Q1453" t="str">
        <f>IFERROR(__xludf.DUMMYFUNCTION("""COMPUTED_VALUE"""),"White seats")</f>
        <v>White seats</v>
      </c>
      <c r="R1453" t="str">
        <f>IFERROR(__xludf.DUMMYFUNCTION("""COMPUTED_VALUE"""),"Enhanced Autopilot")</f>
        <v>Enhanced Autopilot</v>
      </c>
      <c r="X1453" t="str">
        <f>IFERROR(__xludf.DUMMYFUNCTION("""COMPUTED_VALUE"""),"Excellent")</f>
        <v>Excellent</v>
      </c>
      <c r="Y1453" t="str">
        <f>IFERROR(__xludf.DUMMYFUNCTION("""COMPUTED_VALUE"""),"Excellent")</f>
        <v>Excellent</v>
      </c>
      <c r="Z1453" t="str">
        <f>IFERROR(__xludf.DUMMYFUNCTION("""COMPUTED_VALUE"""),"Excellent")</f>
        <v>Excellent</v>
      </c>
      <c r="AA1453" t="str">
        <f>IFERROR(__xludf.DUMMYFUNCTION("""COMPUTED_VALUE"""),"Excellent")</f>
        <v>Excellent</v>
      </c>
      <c r="AB1453" t="str">
        <f>IFERROR(__xludf.DUMMYFUNCTION("""COMPUTED_VALUE"""),"Excellent")</f>
        <v>Excellent</v>
      </c>
      <c r="AC1453">
        <f>IFERROR(__xludf.DUMMYFUNCTION("""COMPUTED_VALUE"""),0.0)</f>
        <v>0</v>
      </c>
      <c r="AD1453">
        <f>IFERROR(__xludf.DUMMYFUNCTION("""COMPUTED_VALUE"""),0.0)</f>
        <v>0</v>
      </c>
      <c r="AE1453">
        <f>IFERROR(__xludf.DUMMYFUNCTION("""COMPUTED_VALUE"""),0.0)</f>
        <v>0</v>
      </c>
      <c r="AG1453" t="str">
        <f>IFERROR(__xludf.DUMMYFUNCTION("""COMPUTED_VALUE"""),"No issues with car in first 6 weeks. Got plates only 2 days before temps expiration.")</f>
        <v>No issues with car in first 6 weeks. Got plates only 2 days before temps expiration.</v>
      </c>
      <c r="AH1453" s="189">
        <f>IFERROR(__xludf.DUMMYFUNCTION("""COMPUTED_VALUE"""),43447.449876875005)</f>
        <v>43447.44988</v>
      </c>
    </row>
    <row r="1454">
      <c r="A1454" t="str">
        <f>IFERROR(__xludf.DUMMYFUNCTION("""COMPUTED_VALUE"""),"rfcar8")</f>
        <v>rfcar8</v>
      </c>
      <c r="B1454" t="str">
        <f>IFERROR(__xludf.DUMMYFUNCTION("""COMPUTED_VALUE"""),"LA")</f>
        <v>LA</v>
      </c>
      <c r="C1454" t="str">
        <f>IFERROR(__xludf.DUMMYFUNCTION("""COMPUTED_VALUE"""),"CA")</f>
        <v>CA</v>
      </c>
      <c r="D1454" t="str">
        <f>IFERROR(__xludf.DUMMYFUNCTION("""COMPUTED_VALUE"""),"USA")</f>
        <v>USA</v>
      </c>
      <c r="E1454" s="188">
        <f>IFERROR(__xludf.DUMMYFUNCTION("""COMPUTED_VALUE"""),43394.0)</f>
        <v>43394</v>
      </c>
      <c r="F1454" s="188">
        <f>IFERROR(__xludf.DUMMYFUNCTION("""COMPUTED_VALUE"""),43444.0)</f>
        <v>43444</v>
      </c>
      <c r="H1454">
        <f>IFERROR(__xludf.DUMMYFUNCTION("""COMPUTED_VALUE"""),157755.0)</f>
        <v>157755</v>
      </c>
      <c r="J1454" s="5">
        <f>IFERROR(__xludf.DUMMYFUNCTION("""COMPUTED_VALUE"""),43447.0)</f>
        <v>43447</v>
      </c>
      <c r="K1454">
        <f>IFERROR(__xludf.DUMMYFUNCTION("""COMPUTED_VALUE"""),50.0)</f>
        <v>50</v>
      </c>
      <c r="L1454">
        <f>IFERROR(__xludf.DUMMYFUNCTION("""COMPUTED_VALUE"""),3.0)</f>
        <v>3</v>
      </c>
      <c r="M1454">
        <f>IFERROR(__xludf.DUMMYFUNCTION("""COMPUTED_VALUE"""),53.0)</f>
        <v>53</v>
      </c>
      <c r="N1454" t="str">
        <f>IFERROR(__xludf.DUMMYFUNCTION("""COMPUTED_VALUE"""),"Model 3 MR")</f>
        <v>Model 3 MR</v>
      </c>
      <c r="O1454" t="str">
        <f>IFERROR(__xludf.DUMMYFUNCTION("""COMPUTED_VALUE"""),"Midnight Silver Metallic")</f>
        <v>Midnight Silver Metallic</v>
      </c>
      <c r="P1454" t="str">
        <f>IFERROR(__xludf.DUMMYFUNCTION("""COMPUTED_VALUE"""),"18 inch Aero")</f>
        <v>18 inch Aero</v>
      </c>
      <c r="Q1454" t="str">
        <f>IFERROR(__xludf.DUMMYFUNCTION("""COMPUTED_VALUE"""),"Black seats")</f>
        <v>Black seats</v>
      </c>
      <c r="R1454" t="str">
        <f>IFERROR(__xludf.DUMMYFUNCTION("""COMPUTED_VALUE"""),"Enhanced Autopilot")</f>
        <v>Enhanced Autopilot</v>
      </c>
      <c r="X1454" t="str">
        <f>IFERROR(__xludf.DUMMYFUNCTION("""COMPUTED_VALUE"""),"Excellent")</f>
        <v>Excellent</v>
      </c>
      <c r="Y1454" t="str">
        <f>IFERROR(__xludf.DUMMYFUNCTION("""COMPUTED_VALUE"""),"Excellent")</f>
        <v>Excellent</v>
      </c>
      <c r="Z1454" t="str">
        <f>IFERROR(__xludf.DUMMYFUNCTION("""COMPUTED_VALUE"""),"Excellent")</f>
        <v>Excellent</v>
      </c>
      <c r="AA1454" t="str">
        <f>IFERROR(__xludf.DUMMYFUNCTION("""COMPUTED_VALUE"""),"Good")</f>
        <v>Good</v>
      </c>
      <c r="AB1454" t="str">
        <f>IFERROR(__xludf.DUMMYFUNCTION("""COMPUTED_VALUE"""),"Excellent")</f>
        <v>Excellent</v>
      </c>
      <c r="AG1454" t="str">
        <f>IFERROR(__xludf.DUMMYFUNCTION("""COMPUTED_VALUE"""),"Driver's seat had issue but was fixed during delivery appointment")</f>
        <v>Driver's seat had issue but was fixed during delivery appointment</v>
      </c>
      <c r="AH1454" s="189">
        <f>IFERROR(__xludf.DUMMYFUNCTION("""COMPUTED_VALUE"""),43447.69892978009)</f>
        <v>43447.69893</v>
      </c>
    </row>
    <row r="1455">
      <c r="A1455" t="str">
        <f>IFERROR(__xludf.DUMMYFUNCTION("""COMPUTED_VALUE"""),"Southwestern")</f>
        <v>Southwestern</v>
      </c>
      <c r="B1455" t="str">
        <f>IFERROR(__xludf.DUMMYFUNCTION("""COMPUTED_VALUE"""),"Phoenix")</f>
        <v>Phoenix</v>
      </c>
      <c r="C1455" t="str">
        <f>IFERROR(__xludf.DUMMYFUNCTION("""COMPUTED_VALUE"""),"AZ")</f>
        <v>AZ</v>
      </c>
      <c r="D1455" t="str">
        <f>IFERROR(__xludf.DUMMYFUNCTION("""COMPUTED_VALUE"""),"USA")</f>
        <v>USA</v>
      </c>
      <c r="E1455" s="188">
        <f>IFERROR(__xludf.DUMMYFUNCTION("""COMPUTED_VALUE"""),43395.0)</f>
        <v>43395</v>
      </c>
      <c r="F1455" s="188">
        <f>IFERROR(__xludf.DUMMYFUNCTION("""COMPUTED_VALUE"""),43441.0)</f>
        <v>43441</v>
      </c>
      <c r="H1455">
        <f>IFERROR(__xludf.DUMMYFUNCTION("""COMPUTED_VALUE"""),155255.0)</f>
        <v>155255</v>
      </c>
      <c r="I1455" t="str">
        <f>IFERROR(__xludf.DUMMYFUNCTION("""COMPUTED_VALUE"""),"12/18")</f>
        <v>12/18</v>
      </c>
      <c r="J1455" s="5">
        <f>IFERROR(__xludf.DUMMYFUNCTION("""COMPUTED_VALUE"""),43447.0)</f>
        <v>43447</v>
      </c>
      <c r="K1455">
        <f>IFERROR(__xludf.DUMMYFUNCTION("""COMPUTED_VALUE"""),46.0)</f>
        <v>46</v>
      </c>
      <c r="L1455">
        <f>IFERROR(__xludf.DUMMYFUNCTION("""COMPUTED_VALUE"""),6.0)</f>
        <v>6</v>
      </c>
      <c r="M1455">
        <f>IFERROR(__xludf.DUMMYFUNCTION("""COMPUTED_VALUE"""),52.0)</f>
        <v>52</v>
      </c>
      <c r="N1455" t="str">
        <f>IFERROR(__xludf.DUMMYFUNCTION("""COMPUTED_VALUE"""),"Model 3 MR")</f>
        <v>Model 3 MR</v>
      </c>
      <c r="O1455" t="str">
        <f>IFERROR(__xludf.DUMMYFUNCTION("""COMPUTED_VALUE"""),"Solid Black")</f>
        <v>Solid Black</v>
      </c>
      <c r="P1455" t="str">
        <f>IFERROR(__xludf.DUMMYFUNCTION("""COMPUTED_VALUE"""),"18 inch Aero")</f>
        <v>18 inch Aero</v>
      </c>
      <c r="Q1455" t="str">
        <f>IFERROR(__xludf.DUMMYFUNCTION("""COMPUTED_VALUE"""),"White seats")</f>
        <v>White seats</v>
      </c>
      <c r="R1455" t="str">
        <f>IFERROR(__xludf.DUMMYFUNCTION("""COMPUTED_VALUE"""),"None")</f>
        <v>None</v>
      </c>
      <c r="X1455" t="str">
        <f>IFERROR(__xludf.DUMMYFUNCTION("""COMPUTED_VALUE"""),"Very Good")</f>
        <v>Very Good</v>
      </c>
      <c r="Y1455" t="str">
        <f>IFERROR(__xludf.DUMMYFUNCTION("""COMPUTED_VALUE"""),"Excellent")</f>
        <v>Excellent</v>
      </c>
      <c r="Z1455" t="str">
        <f>IFERROR(__xludf.DUMMYFUNCTION("""COMPUTED_VALUE"""),"Very Good")</f>
        <v>Very Good</v>
      </c>
      <c r="AA1455" t="str">
        <f>IFERROR(__xludf.DUMMYFUNCTION("""COMPUTED_VALUE"""),"Fair")</f>
        <v>Fair</v>
      </c>
      <c r="AB1455" t="str">
        <f>IFERROR(__xludf.DUMMYFUNCTION("""COMPUTED_VALUE"""),"Very Good")</f>
        <v>Very Good</v>
      </c>
      <c r="AH1455" s="189">
        <f>IFERROR(__xludf.DUMMYFUNCTION("""COMPUTED_VALUE"""),43447.7740141088)</f>
        <v>43447.77401</v>
      </c>
    </row>
    <row r="1456">
      <c r="A1456" t="str">
        <f>IFERROR(__xludf.DUMMYFUNCTION("""COMPUTED_VALUE"""),"garrettg")</f>
        <v>garrettg</v>
      </c>
      <c r="B1456" t="str">
        <f>IFERROR(__xludf.DUMMYFUNCTION("""COMPUTED_VALUE"""),"Kansas City")</f>
        <v>Kansas City</v>
      </c>
      <c r="C1456" t="str">
        <f>IFERROR(__xludf.DUMMYFUNCTION("""COMPUTED_VALUE"""),"MO")</f>
        <v>MO</v>
      </c>
      <c r="D1456" t="str">
        <f>IFERROR(__xludf.DUMMYFUNCTION("""COMPUTED_VALUE"""),"USA")</f>
        <v>USA</v>
      </c>
      <c r="E1456" s="188">
        <f>IFERROR(__xludf.DUMMYFUNCTION("""COMPUTED_VALUE"""),43346.0)</f>
        <v>43346</v>
      </c>
      <c r="F1456" s="188">
        <f>IFERROR(__xludf.DUMMYFUNCTION("""COMPUTED_VALUE"""),43355.0)</f>
        <v>43355</v>
      </c>
      <c r="H1456">
        <f>IFERROR(__xludf.DUMMYFUNCTION("""COMPUTED_VALUE"""),84255.0)</f>
        <v>84255</v>
      </c>
      <c r="I1456" t="str">
        <f>IFERROR(__xludf.DUMMYFUNCTION("""COMPUTED_VALUE"""),"09/18")</f>
        <v>09/18</v>
      </c>
      <c r="J1456" s="5">
        <f>IFERROR(__xludf.DUMMYFUNCTION("""COMPUTED_VALUE"""),43372.0)</f>
        <v>43372</v>
      </c>
      <c r="K1456">
        <f>IFERROR(__xludf.DUMMYFUNCTION("""COMPUTED_VALUE"""),9.0)</f>
        <v>9</v>
      </c>
      <c r="L1456">
        <f>IFERROR(__xludf.DUMMYFUNCTION("""COMPUTED_VALUE"""),17.0)</f>
        <v>17</v>
      </c>
      <c r="M1456">
        <f>IFERROR(__xludf.DUMMYFUNCTION("""COMPUTED_VALUE"""),26.0)</f>
        <v>26</v>
      </c>
      <c r="N1456" t="str">
        <f>IFERROR(__xludf.DUMMYFUNCTION("""COMPUTED_VALUE"""),"Model 3 Performance")</f>
        <v>Model 3 Performance</v>
      </c>
      <c r="O1456" t="str">
        <f>IFERROR(__xludf.DUMMYFUNCTION("""COMPUTED_VALUE"""),"Pearl White Multi-Coat")</f>
        <v>Pearl White Multi-Coat</v>
      </c>
      <c r="P1456" t="str">
        <f>IFERROR(__xludf.DUMMYFUNCTION("""COMPUTED_VALUE"""),"20 inch Sport")</f>
        <v>20 inch Sport</v>
      </c>
      <c r="Q1456" t="str">
        <f>IFERROR(__xludf.DUMMYFUNCTION("""COMPUTED_VALUE"""),"Black seats")</f>
        <v>Black seats</v>
      </c>
      <c r="R1456" t="str">
        <f>IFERROR(__xludf.DUMMYFUNCTION("""COMPUTED_VALUE"""),"Enhanced Autopilot")</f>
        <v>Enhanced Autopilot</v>
      </c>
      <c r="X1456" t="str">
        <f>IFERROR(__xludf.DUMMYFUNCTION("""COMPUTED_VALUE"""),"Excellent")</f>
        <v>Excellent</v>
      </c>
      <c r="Y1456" t="str">
        <f>IFERROR(__xludf.DUMMYFUNCTION("""COMPUTED_VALUE"""),"Excellent")</f>
        <v>Excellent</v>
      </c>
      <c r="Z1456" t="str">
        <f>IFERROR(__xludf.DUMMYFUNCTION("""COMPUTED_VALUE"""),"Excellent")</f>
        <v>Excellent</v>
      </c>
      <c r="AA1456" t="str">
        <f>IFERROR(__xludf.DUMMYFUNCTION("""COMPUTED_VALUE"""),"Excellent")</f>
        <v>Excellent</v>
      </c>
      <c r="AB1456" t="str">
        <f>IFERROR(__xludf.DUMMYFUNCTION("""COMPUTED_VALUE"""),"Excellent")</f>
        <v>Excellent</v>
      </c>
      <c r="AC1456">
        <f>IFERROR(__xludf.DUMMYFUNCTION("""COMPUTED_VALUE"""),1.0)</f>
        <v>1</v>
      </c>
      <c r="AD1456">
        <f>IFERROR(__xludf.DUMMYFUNCTION("""COMPUTED_VALUE"""),0.0)</f>
        <v>0</v>
      </c>
      <c r="AE1456">
        <f>IFERROR(__xludf.DUMMYFUNCTION("""COMPUTED_VALUE"""),0.0)</f>
        <v>0</v>
      </c>
      <c r="AH1456" s="189">
        <f>IFERROR(__xludf.DUMMYFUNCTION("""COMPUTED_VALUE"""),43448.32752641204)</f>
        <v>43448.32753</v>
      </c>
    </row>
    <row r="1457">
      <c r="A1457" t="str">
        <f>IFERROR(__xludf.DUMMYFUNCTION("""COMPUTED_VALUE"""),"dmaximob")</f>
        <v>dmaximob</v>
      </c>
      <c r="B1457" t="str">
        <f>IFERROR(__xludf.DUMMYFUNCTION("""COMPUTED_VALUE"""),"Roseville")</f>
        <v>Roseville</v>
      </c>
      <c r="C1457" t="str">
        <f>IFERROR(__xludf.DUMMYFUNCTION("""COMPUTED_VALUE"""),"CA")</f>
        <v>CA</v>
      </c>
      <c r="D1457" t="str">
        <f>IFERROR(__xludf.DUMMYFUNCTION("""COMPUTED_VALUE"""),"USA")</f>
        <v>USA</v>
      </c>
      <c r="E1457" s="188">
        <f>IFERROR(__xludf.DUMMYFUNCTION("""COMPUTED_VALUE"""),43430.0)</f>
        <v>43430</v>
      </c>
      <c r="H1457">
        <f>IFERROR(__xludf.DUMMYFUNCTION("""COMPUTED_VALUE"""),156655.0)</f>
        <v>156655</v>
      </c>
      <c r="J1457" s="5">
        <f>IFERROR(__xludf.DUMMYFUNCTION("""COMPUTED_VALUE"""),43447.0)</f>
        <v>43447</v>
      </c>
      <c r="M1457">
        <f>IFERROR(__xludf.DUMMYFUNCTION("""COMPUTED_VALUE"""),17.0)</f>
        <v>17</v>
      </c>
      <c r="N1457" t="str">
        <f>IFERROR(__xludf.DUMMYFUNCTION("""COMPUTED_VALUE"""),"Model 3 MR")</f>
        <v>Model 3 MR</v>
      </c>
      <c r="O1457" t="str">
        <f>IFERROR(__xludf.DUMMYFUNCTION("""COMPUTED_VALUE"""),"Solid Black")</f>
        <v>Solid Black</v>
      </c>
      <c r="P1457" t="str">
        <f>IFERROR(__xludf.DUMMYFUNCTION("""COMPUTED_VALUE"""),"18 inch Aero")</f>
        <v>18 inch Aero</v>
      </c>
      <c r="Q1457" t="str">
        <f>IFERROR(__xludf.DUMMYFUNCTION("""COMPUTED_VALUE"""),"Black seats")</f>
        <v>Black seats</v>
      </c>
      <c r="R1457" t="str">
        <f>IFERROR(__xludf.DUMMYFUNCTION("""COMPUTED_VALUE"""),"None")</f>
        <v>None</v>
      </c>
      <c r="X1457" t="str">
        <f>IFERROR(__xludf.DUMMYFUNCTION("""COMPUTED_VALUE"""),"Excellent")</f>
        <v>Excellent</v>
      </c>
      <c r="Y1457" t="str">
        <f>IFERROR(__xludf.DUMMYFUNCTION("""COMPUTED_VALUE"""),"Excellent")</f>
        <v>Excellent</v>
      </c>
      <c r="Z1457" t="str">
        <f>IFERROR(__xludf.DUMMYFUNCTION("""COMPUTED_VALUE"""),"Excellent")</f>
        <v>Excellent</v>
      </c>
      <c r="AA1457" t="str">
        <f>IFERROR(__xludf.DUMMYFUNCTION("""COMPUTED_VALUE"""),"Good")</f>
        <v>Good</v>
      </c>
      <c r="AB1457" t="str">
        <f>IFERROR(__xludf.DUMMYFUNCTION("""COMPUTED_VALUE"""),"Very Good")</f>
        <v>Very Good</v>
      </c>
      <c r="AH1457" s="189">
        <f>IFERROR(__xludf.DUMMYFUNCTION("""COMPUTED_VALUE"""),43448.41979280092)</f>
        <v>43448.41979</v>
      </c>
    </row>
    <row r="1458">
      <c r="A1458" t="str">
        <f>IFERROR(__xludf.DUMMYFUNCTION("""COMPUTED_VALUE"""),"adambd")</f>
        <v>adambd</v>
      </c>
      <c r="B1458" t="str">
        <f>IFERROR(__xludf.DUMMYFUNCTION("""COMPUTED_VALUE"""),"San Francisco")</f>
        <v>San Francisco</v>
      </c>
      <c r="C1458" t="str">
        <f>IFERROR(__xludf.DUMMYFUNCTION("""COMPUTED_VALUE"""),"CA")</f>
        <v>CA</v>
      </c>
      <c r="D1458" t="str">
        <f>IFERROR(__xludf.DUMMYFUNCTION("""COMPUTED_VALUE"""),"USA")</f>
        <v>USA</v>
      </c>
      <c r="E1458" s="188">
        <f>IFERROR(__xludf.DUMMYFUNCTION("""COMPUTED_VALUE"""),43392.0)</f>
        <v>43392</v>
      </c>
      <c r="F1458" s="188">
        <f>IFERROR(__xludf.DUMMYFUNCTION("""COMPUTED_VALUE"""),43444.0)</f>
        <v>43444</v>
      </c>
      <c r="H1458">
        <f>IFERROR(__xludf.DUMMYFUNCTION("""COMPUTED_VALUE"""),160165.0)</f>
        <v>160165</v>
      </c>
      <c r="J1458" s="5">
        <f>IFERROR(__xludf.DUMMYFUNCTION("""COMPUTED_VALUE"""),43446.0)</f>
        <v>43446</v>
      </c>
      <c r="K1458">
        <f>IFERROR(__xludf.DUMMYFUNCTION("""COMPUTED_VALUE"""),52.0)</f>
        <v>52</v>
      </c>
      <c r="L1458">
        <f>IFERROR(__xludf.DUMMYFUNCTION("""COMPUTED_VALUE"""),2.0)</f>
        <v>2</v>
      </c>
      <c r="M1458">
        <f>IFERROR(__xludf.DUMMYFUNCTION("""COMPUTED_VALUE"""),54.0)</f>
        <v>54</v>
      </c>
      <c r="N1458" t="str">
        <f>IFERROR(__xludf.DUMMYFUNCTION("""COMPUTED_VALUE"""),"Model 3 MR")</f>
        <v>Model 3 MR</v>
      </c>
      <c r="O1458" t="str">
        <f>IFERROR(__xludf.DUMMYFUNCTION("""COMPUTED_VALUE"""),"Deep Blue Metallic")</f>
        <v>Deep Blue Metallic</v>
      </c>
      <c r="P1458" t="str">
        <f>IFERROR(__xludf.DUMMYFUNCTION("""COMPUTED_VALUE"""),"18 inch Aero")</f>
        <v>18 inch Aero</v>
      </c>
      <c r="Q1458" t="str">
        <f>IFERROR(__xludf.DUMMYFUNCTION("""COMPUTED_VALUE"""),"Black seats")</f>
        <v>Black seats</v>
      </c>
      <c r="R1458" t="str">
        <f>IFERROR(__xludf.DUMMYFUNCTION("""COMPUTED_VALUE"""),"Enhanced Autopilot")</f>
        <v>Enhanced Autopilot</v>
      </c>
      <c r="X1458" t="str">
        <f>IFERROR(__xludf.DUMMYFUNCTION("""COMPUTED_VALUE"""),"Excellent")</f>
        <v>Excellent</v>
      </c>
      <c r="Y1458" t="str">
        <f>IFERROR(__xludf.DUMMYFUNCTION("""COMPUTED_VALUE"""),"Good")</f>
        <v>Good</v>
      </c>
      <c r="Z1458" t="str">
        <f>IFERROR(__xludf.DUMMYFUNCTION("""COMPUTED_VALUE"""),"Excellent")</f>
        <v>Excellent</v>
      </c>
      <c r="AA1458" t="str">
        <f>IFERROR(__xludf.DUMMYFUNCTION("""COMPUTED_VALUE"""),"Good")</f>
        <v>Good</v>
      </c>
      <c r="AC1458">
        <f>IFERROR(__xludf.DUMMYFUNCTION("""COMPUTED_VALUE"""),2.0)</f>
        <v>2</v>
      </c>
      <c r="AG1458" t="str">
        <f>IFERROR(__xludf.DUMMYFUNCTION("""COMPUTED_VALUE"""),"Got a text for delivery between 12/20 and 12/31")</f>
        <v>Got a text for delivery between 12/20 and 12/31</v>
      </c>
      <c r="AH1458" s="189">
        <f>IFERROR(__xludf.DUMMYFUNCTION("""COMPUTED_VALUE"""),43448.602173125)</f>
        <v>43448.60217</v>
      </c>
    </row>
    <row r="1459">
      <c r="A1459" t="str">
        <f>IFERROR(__xludf.DUMMYFUNCTION("""COMPUTED_VALUE"""),"JO")</f>
        <v>JO</v>
      </c>
      <c r="B1459" t="str">
        <f>IFERROR(__xludf.DUMMYFUNCTION("""COMPUTED_VALUE"""),"Capital Region")</f>
        <v>Capital Region</v>
      </c>
      <c r="C1459" t="str">
        <f>IFERROR(__xludf.DUMMYFUNCTION("""COMPUTED_VALUE"""),"NY")</f>
        <v>NY</v>
      </c>
      <c r="D1459" t="str">
        <f>IFERROR(__xludf.DUMMYFUNCTION("""COMPUTED_VALUE"""),"USA")</f>
        <v>USA</v>
      </c>
      <c r="E1459" s="188">
        <f>IFERROR(__xludf.DUMMYFUNCTION("""COMPUTED_VALUE"""),43392.0)</f>
        <v>43392</v>
      </c>
      <c r="F1459" s="188">
        <f>IFERROR(__xludf.DUMMYFUNCTION("""COMPUTED_VALUE"""),43419.0)</f>
        <v>43419</v>
      </c>
      <c r="H1459">
        <f>IFERROR(__xludf.DUMMYFUNCTION("""COMPUTED_VALUE"""),153755.0)</f>
        <v>153755</v>
      </c>
      <c r="I1459" t="str">
        <f>IFERROR(__xludf.DUMMYFUNCTION("""COMPUTED_VALUE"""),"11/18")</f>
        <v>11/18</v>
      </c>
      <c r="J1459" s="5">
        <f>IFERROR(__xludf.DUMMYFUNCTION("""COMPUTED_VALUE"""),43429.0)</f>
        <v>43429</v>
      </c>
      <c r="K1459">
        <f>IFERROR(__xludf.DUMMYFUNCTION("""COMPUTED_VALUE"""),27.0)</f>
        <v>27</v>
      </c>
      <c r="L1459">
        <f>IFERROR(__xludf.DUMMYFUNCTION("""COMPUTED_VALUE"""),10.0)</f>
        <v>10</v>
      </c>
      <c r="M1459">
        <f>IFERROR(__xludf.DUMMYFUNCTION("""COMPUTED_VALUE"""),37.0)</f>
        <v>37</v>
      </c>
      <c r="N1459" t="str">
        <f>IFERROR(__xludf.DUMMYFUNCTION("""COMPUTED_VALUE"""),"Model 3 MR")</f>
        <v>Model 3 MR</v>
      </c>
      <c r="O1459" t="str">
        <f>IFERROR(__xludf.DUMMYFUNCTION("""COMPUTED_VALUE"""),"Midnight Silver Metallic")</f>
        <v>Midnight Silver Metallic</v>
      </c>
      <c r="P1459" t="str">
        <f>IFERROR(__xludf.DUMMYFUNCTION("""COMPUTED_VALUE"""),"18 inch Aero")</f>
        <v>18 inch Aero</v>
      </c>
      <c r="Q1459" t="str">
        <f>IFERROR(__xludf.DUMMYFUNCTION("""COMPUTED_VALUE"""),"Black seats")</f>
        <v>Black seats</v>
      </c>
      <c r="R1459" t="str">
        <f>IFERROR(__xludf.DUMMYFUNCTION("""COMPUTED_VALUE"""),"None")</f>
        <v>None</v>
      </c>
      <c r="X1459" t="str">
        <f>IFERROR(__xludf.DUMMYFUNCTION("""COMPUTED_VALUE"""),"Excellent")</f>
        <v>Excellent</v>
      </c>
      <c r="Y1459" t="str">
        <f>IFERROR(__xludf.DUMMYFUNCTION("""COMPUTED_VALUE"""),"Excellent")</f>
        <v>Excellent</v>
      </c>
      <c r="Z1459" t="str">
        <f>IFERROR(__xludf.DUMMYFUNCTION("""COMPUTED_VALUE"""),"Excellent")</f>
        <v>Excellent</v>
      </c>
      <c r="AA1459" t="str">
        <f>IFERROR(__xludf.DUMMYFUNCTION("""COMPUTED_VALUE"""),"Poor")</f>
        <v>Poor</v>
      </c>
      <c r="AB1459" t="str">
        <f>IFERROR(__xludf.DUMMYFUNCTION("""COMPUTED_VALUE"""),"Good")</f>
        <v>Good</v>
      </c>
      <c r="AH1459" s="189">
        <f>IFERROR(__xludf.DUMMYFUNCTION("""COMPUTED_VALUE"""),43448.609282060184)</f>
        <v>43448.60928</v>
      </c>
    </row>
    <row r="1460">
      <c r="A1460" t="str">
        <f>IFERROR(__xludf.DUMMYFUNCTION("""COMPUTED_VALUE"""),"madhaus")</f>
        <v>madhaus</v>
      </c>
      <c r="B1460" t="str">
        <f>IFERROR(__xludf.DUMMYFUNCTION("""COMPUTED_VALUE"""),"Sunnyvale")</f>
        <v>Sunnyvale</v>
      </c>
      <c r="C1460" t="str">
        <f>IFERROR(__xludf.DUMMYFUNCTION("""COMPUTED_VALUE"""),"CA")</f>
        <v>CA</v>
      </c>
      <c r="D1460" t="str">
        <f>IFERROR(__xludf.DUMMYFUNCTION("""COMPUTED_VALUE"""),"USA")</f>
        <v>USA</v>
      </c>
      <c r="E1460" s="188">
        <f>IFERROR(__xludf.DUMMYFUNCTION("""COMPUTED_VALUE"""),43249.0)</f>
        <v>43249</v>
      </c>
      <c r="F1460" s="188">
        <f>IFERROR(__xludf.DUMMYFUNCTION("""COMPUTED_VALUE"""),43377.0)</f>
        <v>43377</v>
      </c>
      <c r="H1460">
        <f>IFERROR(__xludf.DUMMYFUNCTION("""COMPUTED_VALUE"""),99855.0)</f>
        <v>99855</v>
      </c>
      <c r="I1460" t="str">
        <f>IFERROR(__xludf.DUMMYFUNCTION("""COMPUTED_VALUE"""),"08/18")</f>
        <v>08/18</v>
      </c>
      <c r="J1460" s="5">
        <f>IFERROR(__xludf.DUMMYFUNCTION("""COMPUTED_VALUE"""),43377.0)</f>
        <v>43377</v>
      </c>
      <c r="K1460">
        <f>IFERROR(__xludf.DUMMYFUNCTION("""COMPUTED_VALUE"""),128.0)</f>
        <v>128</v>
      </c>
      <c r="L1460">
        <f>IFERROR(__xludf.DUMMYFUNCTION("""COMPUTED_VALUE"""),0.0)</f>
        <v>0</v>
      </c>
      <c r="M1460">
        <f>IFERROR(__xludf.DUMMYFUNCTION("""COMPUTED_VALUE"""),128.0)</f>
        <v>128</v>
      </c>
      <c r="N1460" t="str">
        <f>IFERROR(__xludf.DUMMYFUNCTION("""COMPUTED_VALUE"""),"Model 3 LR AWD")</f>
        <v>Model 3 LR AWD</v>
      </c>
      <c r="O1460" t="str">
        <f>IFERROR(__xludf.DUMMYFUNCTION("""COMPUTED_VALUE"""),"Deep Blue Metallic")</f>
        <v>Deep Blue Metallic</v>
      </c>
      <c r="P1460" t="str">
        <f>IFERROR(__xludf.DUMMYFUNCTION("""COMPUTED_VALUE"""),"18 inch Aero")</f>
        <v>18 inch Aero</v>
      </c>
      <c r="Q1460" t="str">
        <f>IFERROR(__xludf.DUMMYFUNCTION("""COMPUTED_VALUE"""),"White seats")</f>
        <v>White seats</v>
      </c>
      <c r="R1460" t="str">
        <f>IFERROR(__xludf.DUMMYFUNCTION("""COMPUTED_VALUE"""),"Full Self-Driving")</f>
        <v>Full Self-Driving</v>
      </c>
      <c r="X1460" t="str">
        <f>IFERROR(__xludf.DUMMYFUNCTION("""COMPUTED_VALUE"""),"Excellent")</f>
        <v>Excellent</v>
      </c>
      <c r="Y1460" t="str">
        <f>IFERROR(__xludf.DUMMYFUNCTION("""COMPUTED_VALUE"""),"Excellent")</f>
        <v>Excellent</v>
      </c>
      <c r="Z1460" t="str">
        <f>IFERROR(__xludf.DUMMYFUNCTION("""COMPUTED_VALUE"""),"Very Good")</f>
        <v>Very Good</v>
      </c>
      <c r="AA1460" t="str">
        <f>IFERROR(__xludf.DUMMYFUNCTION("""COMPUTED_VALUE"""),"Poor")</f>
        <v>Poor</v>
      </c>
      <c r="AB1460" t="str">
        <f>IFERROR(__xludf.DUMMYFUNCTION("""COMPUTED_VALUE"""),"Fair")</f>
        <v>Fair</v>
      </c>
      <c r="AC1460">
        <f>IFERROR(__xludf.DUMMYFUNCTION("""COMPUTED_VALUE"""),0.0)</f>
        <v>0</v>
      </c>
      <c r="AD1460">
        <f>IFERROR(__xludf.DUMMYFUNCTION("""COMPUTED_VALUE"""),0.0)</f>
        <v>0</v>
      </c>
      <c r="AE1460">
        <f>IFERROR(__xludf.DUMMYFUNCTION("""COMPUTED_VALUE"""),0.0)</f>
        <v>0</v>
      </c>
      <c r="AG1460" t="str">
        <f>IFERROR(__xludf.DUMMYFUNCTION("""COMPUTED_VALUE"""),"Occasional problems getting the door to open because it doesn't recognize my phone. Rear window spontaneously lowers 3"" when parked.")</f>
        <v>Occasional problems getting the door to open because it doesn't recognize my phone. Rear window spontaneously lowers 3" when parked.</v>
      </c>
      <c r="AH1460" s="189">
        <f>IFERROR(__xludf.DUMMYFUNCTION("""COMPUTED_VALUE"""),43448.63587924768)</f>
        <v>43448.63588</v>
      </c>
    </row>
    <row r="1461">
      <c r="A1461" t="str">
        <f>IFERROR(__xludf.DUMMYFUNCTION("""COMPUTED_VALUE"""),"toasterboy5")</f>
        <v>toasterboy5</v>
      </c>
      <c r="B1461" t="str">
        <f>IFERROR(__xludf.DUMMYFUNCTION("""COMPUTED_VALUE"""),"Kirkland")</f>
        <v>Kirkland</v>
      </c>
      <c r="C1461" t="str">
        <f>IFERROR(__xludf.DUMMYFUNCTION("""COMPUTED_VALUE"""),"WA")</f>
        <v>WA</v>
      </c>
      <c r="D1461" t="str">
        <f>IFERROR(__xludf.DUMMYFUNCTION("""COMPUTED_VALUE"""),"USA")</f>
        <v>USA</v>
      </c>
      <c r="E1461" s="188">
        <f>IFERROR(__xludf.DUMMYFUNCTION("""COMPUTED_VALUE"""),43392.0)</f>
        <v>43392</v>
      </c>
      <c r="F1461" s="188">
        <f>IFERROR(__xludf.DUMMYFUNCTION("""COMPUTED_VALUE"""),43443.0)</f>
        <v>43443</v>
      </c>
      <c r="H1461">
        <f>IFERROR(__xludf.DUMMYFUNCTION("""COMPUTED_VALUE"""),160255.0)</f>
        <v>160255</v>
      </c>
      <c r="J1461" s="5">
        <f>IFERROR(__xludf.DUMMYFUNCTION("""COMPUTED_VALUE"""),43448.0)</f>
        <v>43448</v>
      </c>
      <c r="K1461">
        <f>IFERROR(__xludf.DUMMYFUNCTION("""COMPUTED_VALUE"""),51.0)</f>
        <v>51</v>
      </c>
      <c r="L1461">
        <f>IFERROR(__xludf.DUMMYFUNCTION("""COMPUTED_VALUE"""),5.0)</f>
        <v>5</v>
      </c>
      <c r="M1461">
        <f>IFERROR(__xludf.DUMMYFUNCTION("""COMPUTED_VALUE"""),56.0)</f>
        <v>56</v>
      </c>
      <c r="N1461" t="str">
        <f>IFERROR(__xludf.DUMMYFUNCTION("""COMPUTED_VALUE"""),"Model 3 MR")</f>
        <v>Model 3 MR</v>
      </c>
      <c r="O1461" t="str">
        <f>IFERROR(__xludf.DUMMYFUNCTION("""COMPUTED_VALUE"""),"Deep Blue Metallic")</f>
        <v>Deep Blue Metallic</v>
      </c>
      <c r="P1461" t="str">
        <f>IFERROR(__xludf.DUMMYFUNCTION("""COMPUTED_VALUE"""),"18 inch Aero")</f>
        <v>18 inch Aero</v>
      </c>
      <c r="Q1461" t="str">
        <f>IFERROR(__xludf.DUMMYFUNCTION("""COMPUTED_VALUE"""),"Black seats")</f>
        <v>Black seats</v>
      </c>
      <c r="R1461" t="str">
        <f>IFERROR(__xludf.DUMMYFUNCTION("""COMPUTED_VALUE"""),"Enhanced Autopilot")</f>
        <v>Enhanced Autopilot</v>
      </c>
      <c r="X1461" t="str">
        <f>IFERROR(__xludf.DUMMYFUNCTION("""COMPUTED_VALUE"""),"Very Good")</f>
        <v>Very Good</v>
      </c>
      <c r="Y1461" t="str">
        <f>IFERROR(__xludf.DUMMYFUNCTION("""COMPUTED_VALUE"""),"Excellent")</f>
        <v>Excellent</v>
      </c>
      <c r="Z1461" t="str">
        <f>IFERROR(__xludf.DUMMYFUNCTION("""COMPUTED_VALUE"""),"Excellent")</f>
        <v>Excellent</v>
      </c>
      <c r="AA1461" t="str">
        <f>IFERROR(__xludf.DUMMYFUNCTION("""COMPUTED_VALUE"""),"Very Good")</f>
        <v>Very Good</v>
      </c>
      <c r="AB1461" t="str">
        <f>IFERROR(__xludf.DUMMYFUNCTION("""COMPUTED_VALUE"""),"Very Good")</f>
        <v>Very Good</v>
      </c>
      <c r="AH1461" s="189">
        <f>IFERROR(__xludf.DUMMYFUNCTION("""COMPUTED_VALUE"""),43448.82097127315)</f>
        <v>43448.82097</v>
      </c>
    </row>
    <row r="1462">
      <c r="A1462" t="str">
        <f>IFERROR(__xludf.DUMMYFUNCTION("""COMPUTED_VALUE"""),"IowaBob3")</f>
        <v>IowaBob3</v>
      </c>
      <c r="B1462" t="str">
        <f>IFERROR(__xludf.DUMMYFUNCTION("""COMPUTED_VALUE"""),"Blue Grass")</f>
        <v>Blue Grass</v>
      </c>
      <c r="C1462" t="str">
        <f>IFERROR(__xludf.DUMMYFUNCTION("""COMPUTED_VALUE"""),"IA")</f>
        <v>IA</v>
      </c>
      <c r="D1462" t="str">
        <f>IFERROR(__xludf.DUMMYFUNCTION("""COMPUTED_VALUE"""),"USA")</f>
        <v>USA</v>
      </c>
      <c r="E1462" s="188">
        <f>IFERROR(__xludf.DUMMYFUNCTION("""COMPUTED_VALUE"""),43394.0)</f>
        <v>43394</v>
      </c>
      <c r="F1462" s="188">
        <f>IFERROR(__xludf.DUMMYFUNCTION("""COMPUTED_VALUE"""),43444.0)</f>
        <v>43444</v>
      </c>
      <c r="H1462">
        <f>IFERROR(__xludf.DUMMYFUNCTION("""COMPUTED_VALUE"""),155855.0)</f>
        <v>155855</v>
      </c>
      <c r="I1462" t="str">
        <f>IFERROR(__xludf.DUMMYFUNCTION("""COMPUTED_VALUE"""),"12/18")</f>
        <v>12/18</v>
      </c>
      <c r="J1462" s="5">
        <f>IFERROR(__xludf.DUMMYFUNCTION("""COMPUTED_VALUE"""),43448.0)</f>
        <v>43448</v>
      </c>
      <c r="K1462">
        <f>IFERROR(__xludf.DUMMYFUNCTION("""COMPUTED_VALUE"""),50.0)</f>
        <v>50</v>
      </c>
      <c r="L1462">
        <f>IFERROR(__xludf.DUMMYFUNCTION("""COMPUTED_VALUE"""),4.0)</f>
        <v>4</v>
      </c>
      <c r="M1462">
        <f>IFERROR(__xludf.DUMMYFUNCTION("""COMPUTED_VALUE"""),54.0)</f>
        <v>54</v>
      </c>
      <c r="N1462" t="str">
        <f>IFERROR(__xludf.DUMMYFUNCTION("""COMPUTED_VALUE"""),"Model 3 MR")</f>
        <v>Model 3 MR</v>
      </c>
      <c r="O1462" t="str">
        <f>IFERROR(__xludf.DUMMYFUNCTION("""COMPUTED_VALUE"""),"Deep Blue Metallic")</f>
        <v>Deep Blue Metallic</v>
      </c>
      <c r="P1462" t="str">
        <f>IFERROR(__xludf.DUMMYFUNCTION("""COMPUTED_VALUE"""),"18 inch Aero")</f>
        <v>18 inch Aero</v>
      </c>
      <c r="Q1462" t="str">
        <f>IFERROR(__xludf.DUMMYFUNCTION("""COMPUTED_VALUE"""),"White seats")</f>
        <v>White seats</v>
      </c>
      <c r="R1462" t="str">
        <f>IFERROR(__xludf.DUMMYFUNCTION("""COMPUTED_VALUE"""),"Enhanced Autopilot")</f>
        <v>Enhanced Autopilot</v>
      </c>
      <c r="X1462" t="str">
        <f>IFERROR(__xludf.DUMMYFUNCTION("""COMPUTED_VALUE"""),"Very Good")</f>
        <v>Very Good</v>
      </c>
      <c r="Y1462" t="str">
        <f>IFERROR(__xludf.DUMMYFUNCTION("""COMPUTED_VALUE"""),"Excellent")</f>
        <v>Excellent</v>
      </c>
      <c r="Z1462" t="str">
        <f>IFERROR(__xludf.DUMMYFUNCTION("""COMPUTED_VALUE"""),"Excellent")</f>
        <v>Excellent</v>
      </c>
      <c r="AA1462" t="str">
        <f>IFERROR(__xludf.DUMMYFUNCTION("""COMPUTED_VALUE"""),"Poor")</f>
        <v>Poor</v>
      </c>
      <c r="AB1462" t="str">
        <f>IFERROR(__xludf.DUMMYFUNCTION("""COMPUTED_VALUE"""),"Good")</f>
        <v>Good</v>
      </c>
      <c r="AC1462">
        <f>IFERROR(__xludf.DUMMYFUNCTION("""COMPUTED_VALUE"""),0.0)</f>
        <v>0</v>
      </c>
      <c r="AG1462" t="str">
        <f>IFERROR(__xludf.DUMMYFUNCTION("""COMPUTED_VALUE"""),"Picking up at 4pm today at Westmont")</f>
        <v>Picking up at 4pm today at Westmont</v>
      </c>
      <c r="AH1462" s="189">
        <f>IFERROR(__xludf.DUMMYFUNCTION("""COMPUTED_VALUE"""),43448.888554108795)</f>
        <v>43448.88855</v>
      </c>
    </row>
    <row r="1463">
      <c r="A1463" t="str">
        <f>IFERROR(__xludf.DUMMYFUNCTION("""COMPUTED_VALUE"""),"It's Ken")</f>
        <v>It's Ken</v>
      </c>
      <c r="B1463" t="str">
        <f>IFERROR(__xludf.DUMMYFUNCTION("""COMPUTED_VALUE"""),"Colleyville")</f>
        <v>Colleyville</v>
      </c>
      <c r="C1463" t="str">
        <f>IFERROR(__xludf.DUMMYFUNCTION("""COMPUTED_VALUE"""),"TX")</f>
        <v>TX</v>
      </c>
      <c r="D1463" t="str">
        <f>IFERROR(__xludf.DUMMYFUNCTION("""COMPUTED_VALUE"""),"USA")</f>
        <v>USA</v>
      </c>
      <c r="E1463" s="188">
        <f>IFERROR(__xludf.DUMMYFUNCTION("""COMPUTED_VALUE"""),43306.0)</f>
        <v>43306</v>
      </c>
      <c r="F1463" s="188">
        <f>IFERROR(__xludf.DUMMYFUNCTION("""COMPUTED_VALUE"""),43331.0)</f>
        <v>43331</v>
      </c>
      <c r="H1463">
        <f>IFERROR(__xludf.DUMMYFUNCTION("""COMPUTED_VALUE"""),61515.0)</f>
        <v>61515</v>
      </c>
      <c r="I1463" t="str">
        <f>IFERROR(__xludf.DUMMYFUNCTION("""COMPUTED_VALUE"""),"08/18")</f>
        <v>08/18</v>
      </c>
      <c r="J1463" s="5">
        <f>IFERROR(__xludf.DUMMYFUNCTION("""COMPUTED_VALUE"""),43368.0)</f>
        <v>43368</v>
      </c>
      <c r="K1463">
        <f>IFERROR(__xludf.DUMMYFUNCTION("""COMPUTED_VALUE"""),25.0)</f>
        <v>25</v>
      </c>
      <c r="L1463">
        <f>IFERROR(__xludf.DUMMYFUNCTION("""COMPUTED_VALUE"""),37.0)</f>
        <v>37</v>
      </c>
      <c r="M1463">
        <f>IFERROR(__xludf.DUMMYFUNCTION("""COMPUTED_VALUE"""),62.0)</f>
        <v>62</v>
      </c>
      <c r="N1463" t="str">
        <f>IFERROR(__xludf.DUMMYFUNCTION("""COMPUTED_VALUE"""),"Model 3 LR")</f>
        <v>Model 3 LR</v>
      </c>
      <c r="O1463" t="str">
        <f>IFERROR(__xludf.DUMMYFUNCTION("""COMPUTED_VALUE"""),"Red Multi-Coat")</f>
        <v>Red Multi-Coat</v>
      </c>
      <c r="P1463" t="str">
        <f>IFERROR(__xludf.DUMMYFUNCTION("""COMPUTED_VALUE"""),"19 inch Sport")</f>
        <v>19 inch Sport</v>
      </c>
      <c r="Q1463" t="str">
        <f>IFERROR(__xludf.DUMMYFUNCTION("""COMPUTED_VALUE"""),"Black seats")</f>
        <v>Black seats</v>
      </c>
      <c r="R1463" t="str">
        <f>IFERROR(__xludf.DUMMYFUNCTION("""COMPUTED_VALUE"""),"Enhanced Autopilot")</f>
        <v>Enhanced Autopilot</v>
      </c>
      <c r="X1463" t="str">
        <f>IFERROR(__xludf.DUMMYFUNCTION("""COMPUTED_VALUE"""),"Good")</f>
        <v>Good</v>
      </c>
      <c r="Y1463" t="str">
        <f>IFERROR(__xludf.DUMMYFUNCTION("""COMPUTED_VALUE"""),"Good")</f>
        <v>Good</v>
      </c>
      <c r="Z1463" t="str">
        <f>IFERROR(__xludf.DUMMYFUNCTION("""COMPUTED_VALUE"""),"Good")</f>
        <v>Good</v>
      </c>
      <c r="AA1463" t="str">
        <f>IFERROR(__xludf.DUMMYFUNCTION("""COMPUTED_VALUE"""),"Good")</f>
        <v>Good</v>
      </c>
      <c r="AB1463" t="str">
        <f>IFERROR(__xludf.DUMMYFUNCTION("""COMPUTED_VALUE"""),"Fair")</f>
        <v>Fair</v>
      </c>
      <c r="AC1463">
        <f>IFERROR(__xludf.DUMMYFUNCTION("""COMPUTED_VALUE"""),0.0)</f>
        <v>0</v>
      </c>
      <c r="AD1463">
        <f>IFERROR(__xludf.DUMMYFUNCTION("""COMPUTED_VALUE"""),0.0)</f>
        <v>0</v>
      </c>
      <c r="AE1463">
        <f>IFERROR(__xludf.DUMMYFUNCTION("""COMPUTED_VALUE"""),0.0)</f>
        <v>0</v>
      </c>
      <c r="AH1463" s="189">
        <f>IFERROR(__xludf.DUMMYFUNCTION("""COMPUTED_VALUE"""),43449.24599664352)</f>
        <v>43449.246</v>
      </c>
    </row>
    <row r="1464">
      <c r="A1464" t="str">
        <f>IFERROR(__xludf.DUMMYFUNCTION("""COMPUTED_VALUE"""),"Lansing")</f>
        <v>Lansing</v>
      </c>
      <c r="B1464" t="str">
        <f>IFERROR(__xludf.DUMMYFUNCTION("""COMPUTED_VALUE"""),"Brea")</f>
        <v>Brea</v>
      </c>
      <c r="C1464" t="str">
        <f>IFERROR(__xludf.DUMMYFUNCTION("""COMPUTED_VALUE"""),"CA")</f>
        <v>CA</v>
      </c>
      <c r="D1464" t="str">
        <f>IFERROR(__xludf.DUMMYFUNCTION("""COMPUTED_VALUE"""),"USA")</f>
        <v>USA</v>
      </c>
      <c r="E1464" s="188">
        <f>IFERROR(__xludf.DUMMYFUNCTION("""COMPUTED_VALUE"""),43432.0)</f>
        <v>43432</v>
      </c>
      <c r="H1464">
        <f>IFERROR(__xludf.DUMMYFUNCTION("""COMPUTED_VALUE"""),144555.0)</f>
        <v>144555</v>
      </c>
      <c r="I1464" t="str">
        <f>IFERROR(__xludf.DUMMYFUNCTION("""COMPUTED_VALUE"""),"11/18")</f>
        <v>11/18</v>
      </c>
      <c r="J1464" s="5">
        <f>IFERROR(__xludf.DUMMYFUNCTION("""COMPUTED_VALUE"""),43443.0)</f>
        <v>43443</v>
      </c>
      <c r="M1464">
        <f>IFERROR(__xludf.DUMMYFUNCTION("""COMPUTED_VALUE"""),11.0)</f>
        <v>11</v>
      </c>
      <c r="N1464" t="str">
        <f>IFERROR(__xludf.DUMMYFUNCTION("""COMPUTED_VALUE"""),"Model 3 LR AWD")</f>
        <v>Model 3 LR AWD</v>
      </c>
      <c r="O1464" t="str">
        <f>IFERROR(__xludf.DUMMYFUNCTION("""COMPUTED_VALUE"""),"Midnight Silver Metallic")</f>
        <v>Midnight Silver Metallic</v>
      </c>
      <c r="P1464" t="str">
        <f>IFERROR(__xludf.DUMMYFUNCTION("""COMPUTED_VALUE"""),"18 inch Aero")</f>
        <v>18 inch Aero</v>
      </c>
      <c r="Q1464" t="str">
        <f>IFERROR(__xludf.DUMMYFUNCTION("""COMPUTED_VALUE"""),"Black seats")</f>
        <v>Black seats</v>
      </c>
      <c r="R1464" t="str">
        <f>IFERROR(__xludf.DUMMYFUNCTION("""COMPUTED_VALUE"""),"Enhanced Autopilot")</f>
        <v>Enhanced Autopilot</v>
      </c>
      <c r="X1464" t="str">
        <f>IFERROR(__xludf.DUMMYFUNCTION("""COMPUTED_VALUE"""),"Very Good")</f>
        <v>Very Good</v>
      </c>
      <c r="Y1464" t="str">
        <f>IFERROR(__xludf.DUMMYFUNCTION("""COMPUTED_VALUE"""),"Excellent")</f>
        <v>Excellent</v>
      </c>
      <c r="Z1464" t="str">
        <f>IFERROR(__xludf.DUMMYFUNCTION("""COMPUTED_VALUE"""),"Good")</f>
        <v>Good</v>
      </c>
      <c r="AA1464" t="str">
        <f>IFERROR(__xludf.DUMMYFUNCTION("""COMPUTED_VALUE"""),"Good")</f>
        <v>Good</v>
      </c>
      <c r="AB1464" t="str">
        <f>IFERROR(__xludf.DUMMYFUNCTION("""COMPUTED_VALUE"""),"Good")</f>
        <v>Good</v>
      </c>
      <c r="AC1464">
        <f>IFERROR(__xludf.DUMMYFUNCTION("""COMPUTED_VALUE"""),1.0)</f>
        <v>1</v>
      </c>
      <c r="AH1464" s="189">
        <f>IFERROR(__xludf.DUMMYFUNCTION("""COMPUTED_VALUE"""),43449.42484998843)</f>
        <v>43449.42485</v>
      </c>
    </row>
    <row r="1465">
      <c r="A1465" t="str">
        <f>IFERROR(__xludf.DUMMYFUNCTION("""COMPUTED_VALUE"""),"Fhmiv")</f>
        <v>Fhmiv</v>
      </c>
      <c r="B1465" t="str">
        <f>IFERROR(__xludf.DUMMYFUNCTION("""COMPUTED_VALUE"""),"San Jose")</f>
        <v>San Jose</v>
      </c>
      <c r="C1465" t="str">
        <f>IFERROR(__xludf.DUMMYFUNCTION("""COMPUTED_VALUE"""),"CA")</f>
        <v>CA</v>
      </c>
      <c r="D1465" t="str">
        <f>IFERROR(__xludf.DUMMYFUNCTION("""COMPUTED_VALUE"""),"USA")</f>
        <v>USA</v>
      </c>
      <c r="E1465" s="188">
        <f>IFERROR(__xludf.DUMMYFUNCTION("""COMPUTED_VALUE"""),43420.0)</f>
        <v>43420</v>
      </c>
      <c r="F1465" s="188">
        <f>IFERROR(__xludf.DUMMYFUNCTION("""COMPUTED_VALUE"""),43441.0)</f>
        <v>43441</v>
      </c>
      <c r="H1465">
        <f>IFERROR(__xludf.DUMMYFUNCTION("""COMPUTED_VALUE"""),157055.0)</f>
        <v>157055</v>
      </c>
      <c r="I1465" t="str">
        <f>IFERROR(__xludf.DUMMYFUNCTION("""COMPUTED_VALUE"""),"12/18")</f>
        <v>12/18</v>
      </c>
      <c r="J1465" s="5">
        <f>IFERROR(__xludf.DUMMYFUNCTION("""COMPUTED_VALUE"""),43449.0)</f>
        <v>43449</v>
      </c>
      <c r="K1465">
        <f>IFERROR(__xludf.DUMMYFUNCTION("""COMPUTED_VALUE"""),21.0)</f>
        <v>21</v>
      </c>
      <c r="L1465">
        <f>IFERROR(__xludf.DUMMYFUNCTION("""COMPUTED_VALUE"""),8.0)</f>
        <v>8</v>
      </c>
      <c r="M1465">
        <f>IFERROR(__xludf.DUMMYFUNCTION("""COMPUTED_VALUE"""),29.0)</f>
        <v>29</v>
      </c>
      <c r="N1465" t="str">
        <f>IFERROR(__xludf.DUMMYFUNCTION("""COMPUTED_VALUE"""),"Model 3 MR")</f>
        <v>Model 3 MR</v>
      </c>
      <c r="O1465" t="str">
        <f>IFERROR(__xludf.DUMMYFUNCTION("""COMPUTED_VALUE"""),"Solid Black")</f>
        <v>Solid Black</v>
      </c>
      <c r="P1465" t="str">
        <f>IFERROR(__xludf.DUMMYFUNCTION("""COMPUTED_VALUE"""),"18 inch Aero")</f>
        <v>18 inch Aero</v>
      </c>
      <c r="Q1465" t="str">
        <f>IFERROR(__xludf.DUMMYFUNCTION("""COMPUTED_VALUE"""),"Black seats")</f>
        <v>Black seats</v>
      </c>
      <c r="R1465" t="str">
        <f>IFERROR(__xludf.DUMMYFUNCTION("""COMPUTED_VALUE"""),"None")</f>
        <v>None</v>
      </c>
      <c r="X1465" t="str">
        <f>IFERROR(__xludf.DUMMYFUNCTION("""COMPUTED_VALUE"""),"Good")</f>
        <v>Good</v>
      </c>
      <c r="Y1465" t="str">
        <f>IFERROR(__xludf.DUMMYFUNCTION("""COMPUTED_VALUE"""),"Good")</f>
        <v>Good</v>
      </c>
      <c r="Z1465" t="str">
        <f>IFERROR(__xludf.DUMMYFUNCTION("""COMPUTED_VALUE"""),"Very Good")</f>
        <v>Very Good</v>
      </c>
      <c r="AA1465" t="str">
        <f>IFERROR(__xludf.DUMMYFUNCTION("""COMPUTED_VALUE"""),"Fair")</f>
        <v>Fair</v>
      </c>
      <c r="AB1465" t="str">
        <f>IFERROR(__xludf.DUMMYFUNCTION("""COMPUTED_VALUE"""),"Good")</f>
        <v>Good</v>
      </c>
      <c r="AH1465" s="189">
        <f>IFERROR(__xludf.DUMMYFUNCTION("""COMPUTED_VALUE"""),43449.62137385417)</f>
        <v>43449.62137</v>
      </c>
    </row>
    <row r="1466">
      <c r="A1466" t="str">
        <f>IFERROR(__xludf.DUMMYFUNCTION("""COMPUTED_VALUE"""),"V2sj")</f>
        <v>V2sj</v>
      </c>
      <c r="B1466" t="str">
        <f>IFERROR(__xludf.DUMMYFUNCTION("""COMPUTED_VALUE"""),"San Jose")</f>
        <v>San Jose</v>
      </c>
      <c r="C1466" t="str">
        <f>IFERROR(__xludf.DUMMYFUNCTION("""COMPUTED_VALUE"""),"CA")</f>
        <v>CA</v>
      </c>
      <c r="D1466" t="str">
        <f>IFERROR(__xludf.DUMMYFUNCTION("""COMPUTED_VALUE"""),"USA")</f>
        <v>USA</v>
      </c>
      <c r="E1466" s="188">
        <f>IFERROR(__xludf.DUMMYFUNCTION("""COMPUTED_VALUE"""),43394.0)</f>
        <v>43394</v>
      </c>
      <c r="F1466" s="188">
        <f>IFERROR(__xludf.DUMMYFUNCTION("""COMPUTED_VALUE"""),43438.0)</f>
        <v>43438</v>
      </c>
      <c r="H1466">
        <f>IFERROR(__xludf.DUMMYFUNCTION("""COMPUTED_VALUE"""),157655.0)</f>
        <v>157655</v>
      </c>
      <c r="I1466" t="str">
        <f>IFERROR(__xludf.DUMMYFUNCTION("""COMPUTED_VALUE"""),"12/18")</f>
        <v>12/18</v>
      </c>
      <c r="J1466" s="5">
        <f>IFERROR(__xludf.DUMMYFUNCTION("""COMPUTED_VALUE"""),43438.0)</f>
        <v>43438</v>
      </c>
      <c r="K1466">
        <f>IFERROR(__xludf.DUMMYFUNCTION("""COMPUTED_VALUE"""),44.0)</f>
        <v>44</v>
      </c>
      <c r="L1466">
        <f>IFERROR(__xludf.DUMMYFUNCTION("""COMPUTED_VALUE"""),0.0)</f>
        <v>0</v>
      </c>
      <c r="M1466">
        <f>IFERROR(__xludf.DUMMYFUNCTION("""COMPUTED_VALUE"""),44.0)</f>
        <v>44</v>
      </c>
      <c r="N1466" t="str">
        <f>IFERROR(__xludf.DUMMYFUNCTION("""COMPUTED_VALUE"""),"Model 3 MR")</f>
        <v>Model 3 MR</v>
      </c>
      <c r="O1466" t="str">
        <f>IFERROR(__xludf.DUMMYFUNCTION("""COMPUTED_VALUE"""),"Midnight Silver Metallic")</f>
        <v>Midnight Silver Metallic</v>
      </c>
      <c r="P1466" t="str">
        <f>IFERROR(__xludf.DUMMYFUNCTION("""COMPUTED_VALUE"""),"18 inch Aero")</f>
        <v>18 inch Aero</v>
      </c>
      <c r="Q1466" t="str">
        <f>IFERROR(__xludf.DUMMYFUNCTION("""COMPUTED_VALUE"""),"Black seats")</f>
        <v>Black seats</v>
      </c>
      <c r="R1466" t="str">
        <f>IFERROR(__xludf.DUMMYFUNCTION("""COMPUTED_VALUE"""),"None")</f>
        <v>None</v>
      </c>
      <c r="X1466" t="str">
        <f>IFERROR(__xludf.DUMMYFUNCTION("""COMPUTED_VALUE"""),"Excellent")</f>
        <v>Excellent</v>
      </c>
      <c r="Y1466" t="str">
        <f>IFERROR(__xludf.DUMMYFUNCTION("""COMPUTED_VALUE"""),"Excellent")</f>
        <v>Excellent</v>
      </c>
      <c r="Z1466" t="str">
        <f>IFERROR(__xludf.DUMMYFUNCTION("""COMPUTED_VALUE"""),"Excellent")</f>
        <v>Excellent</v>
      </c>
      <c r="AA1466" t="str">
        <f>IFERROR(__xludf.DUMMYFUNCTION("""COMPUTED_VALUE"""),"Fair")</f>
        <v>Fair</v>
      </c>
      <c r="AB1466" t="str">
        <f>IFERROR(__xludf.DUMMYFUNCTION("""COMPUTED_VALUE"""),"Poor")</f>
        <v>Poor</v>
      </c>
      <c r="AC1466">
        <f>IFERROR(__xludf.DUMMYFUNCTION("""COMPUTED_VALUE"""),0.0)</f>
        <v>0</v>
      </c>
      <c r="AD1466">
        <f>IFERROR(__xludf.DUMMYFUNCTION("""COMPUTED_VALUE"""),0.0)</f>
        <v>0</v>
      </c>
      <c r="AE1466">
        <f>IFERROR(__xludf.DUMMYFUNCTION("""COMPUTED_VALUE"""),0.0)</f>
        <v>0</v>
      </c>
      <c r="AH1466" s="189">
        <f>IFERROR(__xludf.DUMMYFUNCTION("""COMPUTED_VALUE"""),43449.716539270834)</f>
        <v>43449.71654</v>
      </c>
    </row>
    <row r="1467">
      <c r="A1467" t="str">
        <f>IFERROR(__xludf.DUMMYFUNCTION("""COMPUTED_VALUE"""),"zachc")</f>
        <v>zachc</v>
      </c>
      <c r="B1467" t="str">
        <f>IFERROR(__xludf.DUMMYFUNCTION("""COMPUTED_VALUE"""),"Columbus")</f>
        <v>Columbus</v>
      </c>
      <c r="C1467" t="str">
        <f>IFERROR(__xludf.DUMMYFUNCTION("""COMPUTED_VALUE"""),"OH")</f>
        <v>OH</v>
      </c>
      <c r="D1467" t="str">
        <f>IFERROR(__xludf.DUMMYFUNCTION("""COMPUTED_VALUE"""),"USA")</f>
        <v>USA</v>
      </c>
      <c r="E1467" s="188">
        <f>IFERROR(__xludf.DUMMYFUNCTION("""COMPUTED_VALUE"""),43391.0)</f>
        <v>43391</v>
      </c>
      <c r="F1467" s="188">
        <f>IFERROR(__xludf.DUMMYFUNCTION("""COMPUTED_VALUE"""),43435.0)</f>
        <v>43435</v>
      </c>
      <c r="H1467">
        <f>IFERROR(__xludf.DUMMYFUNCTION("""COMPUTED_VALUE"""),153155.0)</f>
        <v>153155</v>
      </c>
      <c r="I1467" t="str">
        <f>IFERROR(__xludf.DUMMYFUNCTION("""COMPUTED_VALUE"""),"11/18")</f>
        <v>11/18</v>
      </c>
      <c r="J1467" s="5">
        <f>IFERROR(__xludf.DUMMYFUNCTION("""COMPUTED_VALUE"""),43441.0)</f>
        <v>43441</v>
      </c>
      <c r="K1467">
        <f>IFERROR(__xludf.DUMMYFUNCTION("""COMPUTED_VALUE"""),44.0)</f>
        <v>44</v>
      </c>
      <c r="L1467">
        <f>IFERROR(__xludf.DUMMYFUNCTION("""COMPUTED_VALUE"""),6.0)</f>
        <v>6</v>
      </c>
      <c r="M1467">
        <f>IFERROR(__xludf.DUMMYFUNCTION("""COMPUTED_VALUE"""),50.0)</f>
        <v>50</v>
      </c>
      <c r="N1467" t="str">
        <f>IFERROR(__xludf.DUMMYFUNCTION("""COMPUTED_VALUE"""),"Model 3 MR")</f>
        <v>Model 3 MR</v>
      </c>
      <c r="O1467" t="str">
        <f>IFERROR(__xludf.DUMMYFUNCTION("""COMPUTED_VALUE"""),"Pearl White Multi-Coat")</f>
        <v>Pearl White Multi-Coat</v>
      </c>
      <c r="P1467" t="str">
        <f>IFERROR(__xludf.DUMMYFUNCTION("""COMPUTED_VALUE"""),"18 inch Aero")</f>
        <v>18 inch Aero</v>
      </c>
      <c r="Q1467" t="str">
        <f>IFERROR(__xludf.DUMMYFUNCTION("""COMPUTED_VALUE"""),"Black seats")</f>
        <v>Black seats</v>
      </c>
      <c r="R1467" t="str">
        <f>IFERROR(__xludf.DUMMYFUNCTION("""COMPUTED_VALUE"""),"Enhanced Autopilot")</f>
        <v>Enhanced Autopilot</v>
      </c>
      <c r="X1467" t="str">
        <f>IFERROR(__xludf.DUMMYFUNCTION("""COMPUTED_VALUE"""),"Good")</f>
        <v>Good</v>
      </c>
      <c r="Y1467" t="str">
        <f>IFERROR(__xludf.DUMMYFUNCTION("""COMPUTED_VALUE"""),"Very Good")</f>
        <v>Very Good</v>
      </c>
      <c r="Z1467" t="str">
        <f>IFERROR(__xludf.DUMMYFUNCTION("""COMPUTED_VALUE"""),"Very Good")</f>
        <v>Very Good</v>
      </c>
      <c r="AA1467" t="str">
        <f>IFERROR(__xludf.DUMMYFUNCTION("""COMPUTED_VALUE"""),"Fair")</f>
        <v>Fair</v>
      </c>
      <c r="AB1467" t="str">
        <f>IFERROR(__xludf.DUMMYFUNCTION("""COMPUTED_VALUE"""),"Good")</f>
        <v>Good</v>
      </c>
      <c r="AC1467">
        <f>IFERROR(__xludf.DUMMYFUNCTION("""COMPUTED_VALUE"""),1.0)</f>
        <v>1</v>
      </c>
      <c r="AD1467">
        <f>IFERROR(__xludf.DUMMYFUNCTION("""COMPUTED_VALUE"""),0.0)</f>
        <v>0</v>
      </c>
      <c r="AE1467">
        <f>IFERROR(__xludf.DUMMYFUNCTION("""COMPUTED_VALUE"""),0.0)</f>
        <v>0</v>
      </c>
      <c r="AH1467" s="189">
        <f>IFERROR(__xludf.DUMMYFUNCTION("""COMPUTED_VALUE"""),43449.77569524306)</f>
        <v>43449.7757</v>
      </c>
    </row>
    <row r="1468">
      <c r="A1468" t="str">
        <f>IFERROR(__xludf.DUMMYFUNCTION("""COMPUTED_VALUE"""),"keco185")</f>
        <v>keco185</v>
      </c>
      <c r="C1468" t="str">
        <f>IFERROR(__xludf.DUMMYFUNCTION("""COMPUTED_VALUE"""),"PA")</f>
        <v>PA</v>
      </c>
      <c r="D1468" t="str">
        <f>IFERROR(__xludf.DUMMYFUNCTION("""COMPUTED_VALUE"""),"USA")</f>
        <v>USA</v>
      </c>
      <c r="E1468" s="188">
        <f>IFERROR(__xludf.DUMMYFUNCTION("""COMPUTED_VALUE"""),43279.0)</f>
        <v>43279</v>
      </c>
      <c r="F1468" s="188">
        <f>IFERROR(__xludf.DUMMYFUNCTION("""COMPUTED_VALUE"""),43385.0)</f>
        <v>43385</v>
      </c>
      <c r="H1468">
        <f>IFERROR(__xludf.DUMMYFUNCTION("""COMPUTED_VALUE"""),117655.0)</f>
        <v>117655</v>
      </c>
      <c r="I1468" t="str">
        <f>IFERROR(__xludf.DUMMYFUNCTION("""COMPUTED_VALUE"""),"10/18")</f>
        <v>10/18</v>
      </c>
      <c r="J1468" s="5">
        <f>IFERROR(__xludf.DUMMYFUNCTION("""COMPUTED_VALUE"""),43404.0)</f>
        <v>43404</v>
      </c>
      <c r="K1468">
        <f>IFERROR(__xludf.DUMMYFUNCTION("""COMPUTED_VALUE"""),106.0)</f>
        <v>106</v>
      </c>
      <c r="L1468">
        <f>IFERROR(__xludf.DUMMYFUNCTION("""COMPUTED_VALUE"""),19.0)</f>
        <v>19</v>
      </c>
      <c r="M1468">
        <f>IFERROR(__xludf.DUMMYFUNCTION("""COMPUTED_VALUE"""),125.0)</f>
        <v>125</v>
      </c>
      <c r="N1468" t="str">
        <f>IFERROR(__xludf.DUMMYFUNCTION("""COMPUTED_VALUE"""),"Model 3 LR AWD")</f>
        <v>Model 3 LR AWD</v>
      </c>
      <c r="O1468" t="str">
        <f>IFERROR(__xludf.DUMMYFUNCTION("""COMPUTED_VALUE"""),"Deep Blue Metallic")</f>
        <v>Deep Blue Metallic</v>
      </c>
      <c r="P1468" t="str">
        <f>IFERROR(__xludf.DUMMYFUNCTION("""COMPUTED_VALUE"""),"19 inch Sport")</f>
        <v>19 inch Sport</v>
      </c>
      <c r="Q1468" t="str">
        <f>IFERROR(__xludf.DUMMYFUNCTION("""COMPUTED_VALUE"""),"Black seats")</f>
        <v>Black seats</v>
      </c>
      <c r="R1468" t="str">
        <f>IFERROR(__xludf.DUMMYFUNCTION("""COMPUTED_VALUE"""),"Enhanced Autopilot")</f>
        <v>Enhanced Autopilot</v>
      </c>
      <c r="X1468" t="str">
        <f>IFERROR(__xludf.DUMMYFUNCTION("""COMPUTED_VALUE"""),"Excellent")</f>
        <v>Excellent</v>
      </c>
      <c r="Y1468" t="str">
        <f>IFERROR(__xludf.DUMMYFUNCTION("""COMPUTED_VALUE"""),"Excellent")</f>
        <v>Excellent</v>
      </c>
      <c r="Z1468" t="str">
        <f>IFERROR(__xludf.DUMMYFUNCTION("""COMPUTED_VALUE"""),"Excellent")</f>
        <v>Excellent</v>
      </c>
      <c r="AA1468" t="str">
        <f>IFERROR(__xludf.DUMMYFUNCTION("""COMPUTED_VALUE"""),"Excellent")</f>
        <v>Excellent</v>
      </c>
      <c r="AB1468" t="str">
        <f>IFERROR(__xludf.DUMMYFUNCTION("""COMPUTED_VALUE"""),"Excellent")</f>
        <v>Excellent</v>
      </c>
      <c r="AC1468">
        <f>IFERROR(__xludf.DUMMYFUNCTION("""COMPUTED_VALUE"""),0.0)</f>
        <v>0</v>
      </c>
      <c r="AD1468">
        <f>IFERROR(__xludf.DUMMYFUNCTION("""COMPUTED_VALUE"""),0.0)</f>
        <v>0</v>
      </c>
      <c r="AE1468">
        <f>IFERROR(__xludf.DUMMYFUNCTION("""COMPUTED_VALUE"""),0.0)</f>
        <v>0</v>
      </c>
      <c r="AH1468" s="189">
        <f>IFERROR(__xludf.DUMMYFUNCTION("""COMPUTED_VALUE"""),43450.27607083334)</f>
        <v>43450.27607</v>
      </c>
    </row>
    <row r="1469">
      <c r="A1469" t="str">
        <f>IFERROR(__xludf.DUMMYFUNCTION("""COMPUTED_VALUE"""),"Moose408")</f>
        <v>Moose408</v>
      </c>
      <c r="B1469" t="str">
        <f>IFERROR(__xludf.DUMMYFUNCTION("""COMPUTED_VALUE"""),"San Jose")</f>
        <v>San Jose</v>
      </c>
      <c r="C1469" t="str">
        <f>IFERROR(__xludf.DUMMYFUNCTION("""COMPUTED_VALUE"""),"CA")</f>
        <v>CA</v>
      </c>
      <c r="D1469" t="str">
        <f>IFERROR(__xludf.DUMMYFUNCTION("""COMPUTED_VALUE"""),"USA")</f>
        <v>USA</v>
      </c>
      <c r="E1469" s="188">
        <f>IFERROR(__xludf.DUMMYFUNCTION("""COMPUTED_VALUE"""),43409.0)</f>
        <v>43409</v>
      </c>
      <c r="F1469" s="188">
        <f>IFERROR(__xludf.DUMMYFUNCTION("""COMPUTED_VALUE"""),43444.0)</f>
        <v>43444</v>
      </c>
      <c r="H1469">
        <f>IFERROR(__xludf.DUMMYFUNCTION("""COMPUTED_VALUE"""),155155.0)</f>
        <v>155155</v>
      </c>
      <c r="I1469" t="str">
        <f>IFERROR(__xludf.DUMMYFUNCTION("""COMPUTED_VALUE"""),"12/18")</f>
        <v>12/18</v>
      </c>
      <c r="J1469" s="5">
        <f>IFERROR(__xludf.DUMMYFUNCTION("""COMPUTED_VALUE"""),43450.0)</f>
        <v>43450</v>
      </c>
      <c r="K1469">
        <f>IFERROR(__xludf.DUMMYFUNCTION("""COMPUTED_VALUE"""),35.0)</f>
        <v>35</v>
      </c>
      <c r="L1469">
        <f>IFERROR(__xludf.DUMMYFUNCTION("""COMPUTED_VALUE"""),6.0)</f>
        <v>6</v>
      </c>
      <c r="M1469">
        <f>IFERROR(__xludf.DUMMYFUNCTION("""COMPUTED_VALUE"""),41.0)</f>
        <v>41</v>
      </c>
      <c r="N1469" t="str">
        <f>IFERROR(__xludf.DUMMYFUNCTION("""COMPUTED_VALUE"""),"Model 3 MR")</f>
        <v>Model 3 MR</v>
      </c>
      <c r="O1469" t="str">
        <f>IFERROR(__xludf.DUMMYFUNCTION("""COMPUTED_VALUE"""),"Deep Blue Metallic")</f>
        <v>Deep Blue Metallic</v>
      </c>
      <c r="P1469" t="str">
        <f>IFERROR(__xludf.DUMMYFUNCTION("""COMPUTED_VALUE"""),"19 inch Sport")</f>
        <v>19 inch Sport</v>
      </c>
      <c r="Q1469" t="str">
        <f>IFERROR(__xludf.DUMMYFUNCTION("""COMPUTED_VALUE"""),"Black seats")</f>
        <v>Black seats</v>
      </c>
      <c r="R1469" t="str">
        <f>IFERROR(__xludf.DUMMYFUNCTION("""COMPUTED_VALUE"""),"Enhanced Autopilot")</f>
        <v>Enhanced Autopilot</v>
      </c>
      <c r="X1469" t="str">
        <f>IFERROR(__xludf.DUMMYFUNCTION("""COMPUTED_VALUE"""),"Excellent")</f>
        <v>Excellent</v>
      </c>
      <c r="Y1469" t="str">
        <f>IFERROR(__xludf.DUMMYFUNCTION("""COMPUTED_VALUE"""),"Excellent")</f>
        <v>Excellent</v>
      </c>
      <c r="Z1469" t="str">
        <f>IFERROR(__xludf.DUMMYFUNCTION("""COMPUTED_VALUE"""),"Excellent")</f>
        <v>Excellent</v>
      </c>
      <c r="AA1469" t="str">
        <f>IFERROR(__xludf.DUMMYFUNCTION("""COMPUTED_VALUE"""),"Good")</f>
        <v>Good</v>
      </c>
      <c r="AB1469" t="str">
        <f>IFERROR(__xludf.DUMMYFUNCTION("""COMPUTED_VALUE"""),"Excellent")</f>
        <v>Excellent</v>
      </c>
      <c r="AC1469">
        <f>IFERROR(__xludf.DUMMYFUNCTION("""COMPUTED_VALUE"""),3.0)</f>
        <v>3</v>
      </c>
      <c r="AD1469">
        <f>IFERROR(__xludf.DUMMYFUNCTION("""COMPUTED_VALUE"""),1.0)</f>
        <v>1</v>
      </c>
      <c r="AE1469">
        <f>IFERROR(__xludf.DUMMYFUNCTION("""COMPUTED_VALUE"""),0.0)</f>
        <v>0</v>
      </c>
      <c r="AH1469" s="189">
        <f>IFERROR(__xludf.DUMMYFUNCTION("""COMPUTED_VALUE"""),43450.56300988426)</f>
        <v>43450.56301</v>
      </c>
    </row>
    <row r="1470">
      <c r="A1470" t="str">
        <f>IFERROR(__xludf.DUMMYFUNCTION("""COMPUTED_VALUE"""),"CheeseJam")</f>
        <v>CheeseJam</v>
      </c>
      <c r="B1470" t="str">
        <f>IFERROR(__xludf.DUMMYFUNCTION("""COMPUTED_VALUE"""),"Santa Barbara")</f>
        <v>Santa Barbara</v>
      </c>
      <c r="C1470" t="str">
        <f>IFERROR(__xludf.DUMMYFUNCTION("""COMPUTED_VALUE"""),"CA")</f>
        <v>CA</v>
      </c>
      <c r="D1470" t="str">
        <f>IFERROR(__xludf.DUMMYFUNCTION("""COMPUTED_VALUE"""),"USA")</f>
        <v>USA</v>
      </c>
      <c r="E1470" s="188">
        <f>IFERROR(__xludf.DUMMYFUNCTION("""COMPUTED_VALUE"""),43391.0)</f>
        <v>43391</v>
      </c>
      <c r="F1470" s="188">
        <f>IFERROR(__xludf.DUMMYFUNCTION("""COMPUTED_VALUE"""),43448.0)</f>
        <v>43448</v>
      </c>
      <c r="H1470">
        <f>IFERROR(__xludf.DUMMYFUNCTION("""COMPUTED_VALUE"""),159255.0)</f>
        <v>159255</v>
      </c>
      <c r="J1470" s="5">
        <f>IFERROR(__xludf.DUMMYFUNCTION("""COMPUTED_VALUE"""),43449.0)</f>
        <v>43449</v>
      </c>
      <c r="K1470">
        <f>IFERROR(__xludf.DUMMYFUNCTION("""COMPUTED_VALUE"""),57.0)</f>
        <v>57</v>
      </c>
      <c r="L1470">
        <f>IFERROR(__xludf.DUMMYFUNCTION("""COMPUTED_VALUE"""),1.0)</f>
        <v>1</v>
      </c>
      <c r="M1470">
        <f>IFERROR(__xludf.DUMMYFUNCTION("""COMPUTED_VALUE"""),58.0)</f>
        <v>58</v>
      </c>
      <c r="N1470" t="str">
        <f>IFERROR(__xludf.DUMMYFUNCTION("""COMPUTED_VALUE"""),"Model 3 MR")</f>
        <v>Model 3 MR</v>
      </c>
      <c r="O1470" t="str">
        <f>IFERROR(__xludf.DUMMYFUNCTION("""COMPUTED_VALUE"""),"Red Multi-Coat")</f>
        <v>Red Multi-Coat</v>
      </c>
      <c r="P1470" t="str">
        <f>IFERROR(__xludf.DUMMYFUNCTION("""COMPUTED_VALUE"""),"18 inch Aero")</f>
        <v>18 inch Aero</v>
      </c>
      <c r="Q1470" t="str">
        <f>IFERROR(__xludf.DUMMYFUNCTION("""COMPUTED_VALUE"""),"Black seats")</f>
        <v>Black seats</v>
      </c>
      <c r="R1470" t="str">
        <f>IFERROR(__xludf.DUMMYFUNCTION("""COMPUTED_VALUE"""),"Enhanced Autopilot")</f>
        <v>Enhanced Autopilot</v>
      </c>
      <c r="X1470" t="str">
        <f>IFERROR(__xludf.DUMMYFUNCTION("""COMPUTED_VALUE"""),"Excellent")</f>
        <v>Excellent</v>
      </c>
      <c r="Y1470" t="str">
        <f>IFERROR(__xludf.DUMMYFUNCTION("""COMPUTED_VALUE"""),"Excellent")</f>
        <v>Excellent</v>
      </c>
      <c r="Z1470" t="str">
        <f>IFERROR(__xludf.DUMMYFUNCTION("""COMPUTED_VALUE"""),"Excellent")</f>
        <v>Excellent</v>
      </c>
      <c r="AA1470" t="str">
        <f>IFERROR(__xludf.DUMMYFUNCTION("""COMPUTED_VALUE"""),"Fair")</f>
        <v>Fair</v>
      </c>
      <c r="AB1470" t="str">
        <f>IFERROR(__xludf.DUMMYFUNCTION("""COMPUTED_VALUE"""),"Very Good")</f>
        <v>Very Good</v>
      </c>
      <c r="AH1470" s="189">
        <f>IFERROR(__xludf.DUMMYFUNCTION("""COMPUTED_VALUE"""),43451.28766773148)</f>
        <v>43451.28767</v>
      </c>
    </row>
    <row r="1471">
      <c r="A1471" t="str">
        <f>IFERROR(__xludf.DUMMYFUNCTION("""COMPUTED_VALUE"""),"bbissell")</f>
        <v>bbissell</v>
      </c>
      <c r="B1471" t="str">
        <f>IFERROR(__xludf.DUMMYFUNCTION("""COMPUTED_VALUE"""),"Boston")</f>
        <v>Boston</v>
      </c>
      <c r="C1471" t="str">
        <f>IFERROR(__xludf.DUMMYFUNCTION("""COMPUTED_VALUE"""),"MA")</f>
        <v>MA</v>
      </c>
      <c r="D1471" t="str">
        <f>IFERROR(__xludf.DUMMYFUNCTION("""COMPUTED_VALUE"""),"USA")</f>
        <v>USA</v>
      </c>
      <c r="E1471" s="188">
        <f>IFERROR(__xludf.DUMMYFUNCTION("""COMPUTED_VALUE"""),43392.0)</f>
        <v>43392</v>
      </c>
      <c r="H1471">
        <f>IFERROR(__xludf.DUMMYFUNCTION("""COMPUTED_VALUE"""),153655.0)</f>
        <v>153655</v>
      </c>
      <c r="J1471" s="5">
        <f>IFERROR(__xludf.DUMMYFUNCTION("""COMPUTED_VALUE"""),43449.0)</f>
        <v>43449</v>
      </c>
      <c r="M1471">
        <f>IFERROR(__xludf.DUMMYFUNCTION("""COMPUTED_VALUE"""),57.0)</f>
        <v>57</v>
      </c>
      <c r="N1471" t="str">
        <f>IFERROR(__xludf.DUMMYFUNCTION("""COMPUTED_VALUE"""),"Model 3 MR")</f>
        <v>Model 3 MR</v>
      </c>
      <c r="O1471" t="str">
        <f>IFERROR(__xludf.DUMMYFUNCTION("""COMPUTED_VALUE"""),"Midnight Silver Metallic")</f>
        <v>Midnight Silver Metallic</v>
      </c>
      <c r="P1471" t="str">
        <f>IFERROR(__xludf.DUMMYFUNCTION("""COMPUTED_VALUE"""),"18 inch Aero")</f>
        <v>18 inch Aero</v>
      </c>
      <c r="Q1471" t="str">
        <f>IFERROR(__xludf.DUMMYFUNCTION("""COMPUTED_VALUE"""),"Black seats")</f>
        <v>Black seats</v>
      </c>
      <c r="R1471" t="str">
        <f>IFERROR(__xludf.DUMMYFUNCTION("""COMPUTED_VALUE"""),"None")</f>
        <v>None</v>
      </c>
      <c r="X1471" t="str">
        <f>IFERROR(__xludf.DUMMYFUNCTION("""COMPUTED_VALUE"""),"Excellent")</f>
        <v>Excellent</v>
      </c>
      <c r="Y1471" t="str">
        <f>IFERROR(__xludf.DUMMYFUNCTION("""COMPUTED_VALUE"""),"Excellent")</f>
        <v>Excellent</v>
      </c>
      <c r="Z1471" t="str">
        <f>IFERROR(__xludf.DUMMYFUNCTION("""COMPUTED_VALUE"""),"Excellent")</f>
        <v>Excellent</v>
      </c>
      <c r="AA1471" t="str">
        <f>IFERROR(__xludf.DUMMYFUNCTION("""COMPUTED_VALUE"""),"Fair")</f>
        <v>Fair</v>
      </c>
      <c r="AB1471" t="str">
        <f>IFERROR(__xludf.DUMMYFUNCTION("""COMPUTED_VALUE"""),"Good")</f>
        <v>Good</v>
      </c>
      <c r="AH1471" s="189">
        <f>IFERROR(__xludf.DUMMYFUNCTION("""COMPUTED_VALUE"""),43451.375546469906)</f>
        <v>43451.37555</v>
      </c>
    </row>
    <row r="1472">
      <c r="A1472" t="str">
        <f>IFERROR(__xludf.DUMMYFUNCTION("""COMPUTED_VALUE"""),"Moridin")</f>
        <v>Moridin</v>
      </c>
      <c r="B1472" t="str">
        <f>IFERROR(__xludf.DUMMYFUNCTION("""COMPUTED_VALUE"""),"Rocklin")</f>
        <v>Rocklin</v>
      </c>
      <c r="C1472" t="str">
        <f>IFERROR(__xludf.DUMMYFUNCTION("""COMPUTED_VALUE"""),"CA")</f>
        <v>CA</v>
      </c>
      <c r="D1472" t="str">
        <f>IFERROR(__xludf.DUMMYFUNCTION("""COMPUTED_VALUE"""),"USA")</f>
        <v>USA</v>
      </c>
      <c r="E1472" s="188">
        <f>IFERROR(__xludf.DUMMYFUNCTION("""COMPUTED_VALUE"""),43251.0)</f>
        <v>43251</v>
      </c>
      <c r="F1472" s="188">
        <f>IFERROR(__xludf.DUMMYFUNCTION("""COMPUTED_VALUE"""),43360.0)</f>
        <v>43360</v>
      </c>
      <c r="H1472">
        <f>IFERROR(__xludf.DUMMYFUNCTION("""COMPUTED_VALUE"""),88355.0)</f>
        <v>88355</v>
      </c>
      <c r="I1472" t="str">
        <f>IFERROR(__xludf.DUMMYFUNCTION("""COMPUTED_VALUE"""),"09/18")</f>
        <v>09/18</v>
      </c>
      <c r="J1472" s="5">
        <f>IFERROR(__xludf.DUMMYFUNCTION("""COMPUTED_VALUE"""),43364.0)</f>
        <v>43364</v>
      </c>
      <c r="K1472">
        <f>IFERROR(__xludf.DUMMYFUNCTION("""COMPUTED_VALUE"""),109.0)</f>
        <v>109</v>
      </c>
      <c r="L1472">
        <f>IFERROR(__xludf.DUMMYFUNCTION("""COMPUTED_VALUE"""),4.0)</f>
        <v>4</v>
      </c>
      <c r="M1472">
        <f>IFERROR(__xludf.DUMMYFUNCTION("""COMPUTED_VALUE"""),113.0)</f>
        <v>113</v>
      </c>
      <c r="N1472" t="str">
        <f>IFERROR(__xludf.DUMMYFUNCTION("""COMPUTED_VALUE"""),"Model 3 LR AWD")</f>
        <v>Model 3 LR AWD</v>
      </c>
      <c r="O1472" t="str">
        <f>IFERROR(__xludf.DUMMYFUNCTION("""COMPUTED_VALUE"""),"Red Multi-Coat")</f>
        <v>Red Multi-Coat</v>
      </c>
      <c r="P1472" t="str">
        <f>IFERROR(__xludf.DUMMYFUNCTION("""COMPUTED_VALUE"""),"19 inch Sport")</f>
        <v>19 inch Sport</v>
      </c>
      <c r="Q1472" t="str">
        <f>IFERROR(__xludf.DUMMYFUNCTION("""COMPUTED_VALUE"""),"Black seats")</f>
        <v>Black seats</v>
      </c>
      <c r="R1472" t="str">
        <f>IFERROR(__xludf.DUMMYFUNCTION("""COMPUTED_VALUE"""),"Enhanced Autopilot")</f>
        <v>Enhanced Autopilot</v>
      </c>
      <c r="X1472" t="str">
        <f>IFERROR(__xludf.DUMMYFUNCTION("""COMPUTED_VALUE"""),"Fair")</f>
        <v>Fair</v>
      </c>
      <c r="Y1472" t="str">
        <f>IFERROR(__xludf.DUMMYFUNCTION("""COMPUTED_VALUE"""),"Excellent")</f>
        <v>Excellent</v>
      </c>
      <c r="Z1472" t="str">
        <f>IFERROR(__xludf.DUMMYFUNCTION("""COMPUTED_VALUE"""),"Fair")</f>
        <v>Fair</v>
      </c>
      <c r="AA1472" t="str">
        <f>IFERROR(__xludf.DUMMYFUNCTION("""COMPUTED_VALUE"""),"Poor")</f>
        <v>Poor</v>
      </c>
      <c r="AB1472" t="str">
        <f>IFERROR(__xludf.DUMMYFUNCTION("""COMPUTED_VALUE"""),"Poor")</f>
        <v>Poor</v>
      </c>
      <c r="AC1472">
        <f>IFERROR(__xludf.DUMMYFUNCTION("""COMPUTED_VALUE"""),10.0)</f>
        <v>10</v>
      </c>
      <c r="AD1472">
        <f>IFERROR(__xludf.DUMMYFUNCTION("""COMPUTED_VALUE"""),2.0)</f>
        <v>2</v>
      </c>
      <c r="AE1472">
        <f>IFERROR(__xludf.DUMMYFUNCTION("""COMPUTED_VALUE"""),4.0)</f>
        <v>4</v>
      </c>
      <c r="AG1472" t="str">
        <f>IFERROR(__xludf.DUMMYFUNCTION("""COMPUTED_VALUE"""),"Air Conditioning did not work upon delivery. They moved our delivery off site. Had to drive vehicle straight to service. Additional paint defects found after several months. ")</f>
        <v>Air Conditioning did not work upon delivery. They moved our delivery off site. Had to drive vehicle straight to service. Additional paint defects found after several months. </v>
      </c>
      <c r="AH1472" s="189">
        <f>IFERROR(__xludf.DUMMYFUNCTION("""COMPUTED_VALUE"""),43451.39642240741)</f>
        <v>43451.39642</v>
      </c>
    </row>
    <row r="1473">
      <c r="A1473" t="str">
        <f>IFERROR(__xludf.DUMMYFUNCTION("""COMPUTED_VALUE"""),"therealequinox")</f>
        <v>therealequinox</v>
      </c>
      <c r="B1473" t="str">
        <f>IFERROR(__xludf.DUMMYFUNCTION("""COMPUTED_VALUE"""),"Memphis")</f>
        <v>Memphis</v>
      </c>
      <c r="C1473" t="str">
        <f>IFERROR(__xludf.DUMMYFUNCTION("""COMPUTED_VALUE"""),"TN")</f>
        <v>TN</v>
      </c>
      <c r="D1473" t="str">
        <f>IFERROR(__xludf.DUMMYFUNCTION("""COMPUTED_VALUE"""),"USA")</f>
        <v>USA</v>
      </c>
      <c r="E1473" s="188">
        <f>IFERROR(__xludf.DUMMYFUNCTION("""COMPUTED_VALUE"""),43412.0)</f>
        <v>43412</v>
      </c>
      <c r="F1473" s="188">
        <f>IFERROR(__xludf.DUMMYFUNCTION("""COMPUTED_VALUE"""),43420.0)</f>
        <v>43420</v>
      </c>
      <c r="H1473" s="4">
        <f>IFERROR(__xludf.DUMMYFUNCTION("""COMPUTED_VALUE"""),131093.0)</f>
        <v>131093</v>
      </c>
      <c r="I1473" t="str">
        <f>IFERROR(__xludf.DUMMYFUNCTION("""COMPUTED_VALUE"""),"11/18")</f>
        <v>11/18</v>
      </c>
      <c r="J1473" s="5">
        <f>IFERROR(__xludf.DUMMYFUNCTION("""COMPUTED_VALUE"""),43427.0)</f>
        <v>43427</v>
      </c>
      <c r="K1473">
        <f>IFERROR(__xludf.DUMMYFUNCTION("""COMPUTED_VALUE"""),8.0)</f>
        <v>8</v>
      </c>
      <c r="L1473">
        <f>IFERROR(__xludf.DUMMYFUNCTION("""COMPUTED_VALUE"""),7.0)</f>
        <v>7</v>
      </c>
      <c r="M1473">
        <f>IFERROR(__xludf.DUMMYFUNCTION("""COMPUTED_VALUE"""),15.0)</f>
        <v>15</v>
      </c>
      <c r="N1473" t="str">
        <f>IFERROR(__xludf.DUMMYFUNCTION("""COMPUTED_VALUE"""),"Model 3 LR AWD")</f>
        <v>Model 3 LR AWD</v>
      </c>
      <c r="O1473" t="str">
        <f>IFERROR(__xludf.DUMMYFUNCTION("""COMPUTED_VALUE"""),"Pearl White Multi-Coat")</f>
        <v>Pearl White Multi-Coat</v>
      </c>
      <c r="P1473" t="str">
        <f>IFERROR(__xludf.DUMMYFUNCTION("""COMPUTED_VALUE"""),"18 inch Aero")</f>
        <v>18 inch Aero</v>
      </c>
      <c r="Q1473" t="str">
        <f>IFERROR(__xludf.DUMMYFUNCTION("""COMPUTED_VALUE"""),"Black seats")</f>
        <v>Black seats</v>
      </c>
      <c r="R1473" t="str">
        <f>IFERROR(__xludf.DUMMYFUNCTION("""COMPUTED_VALUE"""),"Enhanced Autopilot")</f>
        <v>Enhanced Autopilot</v>
      </c>
      <c r="X1473" t="str">
        <f>IFERROR(__xludf.DUMMYFUNCTION("""COMPUTED_VALUE"""),"Good")</f>
        <v>Good</v>
      </c>
      <c r="Y1473" t="str">
        <f>IFERROR(__xludf.DUMMYFUNCTION("""COMPUTED_VALUE"""),"Very Good")</f>
        <v>Very Good</v>
      </c>
      <c r="Z1473" t="str">
        <f>IFERROR(__xludf.DUMMYFUNCTION("""COMPUTED_VALUE"""),"Good")</f>
        <v>Good</v>
      </c>
      <c r="AA1473" t="str">
        <f>IFERROR(__xludf.DUMMYFUNCTION("""COMPUTED_VALUE"""),"Poor")</f>
        <v>Poor</v>
      </c>
      <c r="AB1473" t="str">
        <f>IFERROR(__xludf.DUMMYFUNCTION("""COMPUTED_VALUE"""),"Good")</f>
        <v>Good</v>
      </c>
      <c r="AC1473">
        <f>IFERROR(__xludf.DUMMYFUNCTION("""COMPUTED_VALUE"""),0.0)</f>
        <v>0</v>
      </c>
      <c r="AD1473">
        <f>IFERROR(__xludf.DUMMYFUNCTION("""COMPUTED_VALUE"""),0.0)</f>
        <v>0</v>
      </c>
      <c r="AE1473">
        <f>IFERROR(__xludf.DUMMYFUNCTION("""COMPUTED_VALUE"""),0.0)</f>
        <v>0</v>
      </c>
      <c r="AH1473" s="189">
        <f>IFERROR(__xludf.DUMMYFUNCTION("""COMPUTED_VALUE"""),43451.46022287037)</f>
        <v>43451.46022</v>
      </c>
    </row>
    <row r="1474">
      <c r="A1474" t="str">
        <f>IFERROR(__xludf.DUMMYFUNCTION("""COMPUTED_VALUE"""),"EVSONLY")</f>
        <v>EVSONLY</v>
      </c>
      <c r="B1474" t="str">
        <f>IFERROR(__xludf.DUMMYFUNCTION("""COMPUTED_VALUE"""),"San Diego")</f>
        <v>San Diego</v>
      </c>
      <c r="C1474" t="str">
        <f>IFERROR(__xludf.DUMMYFUNCTION("""COMPUTED_VALUE"""),"CA")</f>
        <v>CA</v>
      </c>
      <c r="D1474" t="str">
        <f>IFERROR(__xludf.DUMMYFUNCTION("""COMPUTED_VALUE"""),"USA")</f>
        <v>USA</v>
      </c>
      <c r="E1474" s="188">
        <f>IFERROR(__xludf.DUMMYFUNCTION("""COMPUTED_VALUE"""),43393.0)</f>
        <v>43393</v>
      </c>
      <c r="F1474" s="188">
        <f>IFERROR(__xludf.DUMMYFUNCTION("""COMPUTED_VALUE"""),43443.0)</f>
        <v>43443</v>
      </c>
      <c r="H1474" s="4">
        <f>IFERROR(__xludf.DUMMYFUNCTION("""COMPUTED_VALUE"""),153863.0)</f>
        <v>153863</v>
      </c>
      <c r="I1474" t="str">
        <f>IFERROR(__xludf.DUMMYFUNCTION("""COMPUTED_VALUE"""),"12/18")</f>
        <v>12/18</v>
      </c>
      <c r="J1474" s="5">
        <f>IFERROR(__xludf.DUMMYFUNCTION("""COMPUTED_VALUE"""),43446.0)</f>
        <v>43446</v>
      </c>
      <c r="K1474">
        <f>IFERROR(__xludf.DUMMYFUNCTION("""COMPUTED_VALUE"""),50.0)</f>
        <v>50</v>
      </c>
      <c r="L1474">
        <f>IFERROR(__xludf.DUMMYFUNCTION("""COMPUTED_VALUE"""),3.0)</f>
        <v>3</v>
      </c>
      <c r="M1474">
        <f>IFERROR(__xludf.DUMMYFUNCTION("""COMPUTED_VALUE"""),53.0)</f>
        <v>53</v>
      </c>
      <c r="N1474" t="str">
        <f>IFERROR(__xludf.DUMMYFUNCTION("""COMPUTED_VALUE"""),"Model 3 MR")</f>
        <v>Model 3 MR</v>
      </c>
      <c r="O1474" t="str">
        <f>IFERROR(__xludf.DUMMYFUNCTION("""COMPUTED_VALUE"""),"Red Multi-Coat")</f>
        <v>Red Multi-Coat</v>
      </c>
      <c r="P1474" t="str">
        <f>IFERROR(__xludf.DUMMYFUNCTION("""COMPUTED_VALUE"""),"18 inch Aero")</f>
        <v>18 inch Aero</v>
      </c>
      <c r="Q1474" t="str">
        <f>IFERROR(__xludf.DUMMYFUNCTION("""COMPUTED_VALUE"""),"Black seats")</f>
        <v>Black seats</v>
      </c>
      <c r="R1474" t="str">
        <f>IFERROR(__xludf.DUMMYFUNCTION("""COMPUTED_VALUE"""),"Enhanced Autopilot")</f>
        <v>Enhanced Autopilot</v>
      </c>
      <c r="X1474" t="str">
        <f>IFERROR(__xludf.DUMMYFUNCTION("""COMPUTED_VALUE"""),"Excellent")</f>
        <v>Excellent</v>
      </c>
      <c r="Y1474" t="str">
        <f>IFERROR(__xludf.DUMMYFUNCTION("""COMPUTED_VALUE"""),"Excellent")</f>
        <v>Excellent</v>
      </c>
      <c r="Z1474" t="str">
        <f>IFERROR(__xludf.DUMMYFUNCTION("""COMPUTED_VALUE"""),"Excellent")</f>
        <v>Excellent</v>
      </c>
      <c r="AA1474" t="str">
        <f>IFERROR(__xludf.DUMMYFUNCTION("""COMPUTED_VALUE"""),"Good")</f>
        <v>Good</v>
      </c>
      <c r="AB1474" t="str">
        <f>IFERROR(__xludf.DUMMYFUNCTION("""COMPUTED_VALUE"""),"Excellent")</f>
        <v>Excellent</v>
      </c>
      <c r="AC1474">
        <f>IFERROR(__xludf.DUMMYFUNCTION("""COMPUTED_VALUE"""),0.0)</f>
        <v>0</v>
      </c>
      <c r="AG1474" t="str">
        <f>IFERROR(__xludf.DUMMYFUNCTION("""COMPUTED_VALUE"""),"Software has frozen twice requiring hard reboot in last week since delivery, once before and after software update.")</f>
        <v>Software has frozen twice requiring hard reboot in last week since delivery, once before and after software update.</v>
      </c>
      <c r="AH1474" s="189">
        <f>IFERROR(__xludf.DUMMYFUNCTION("""COMPUTED_VALUE"""),43451.50214113426)</f>
        <v>43451.50214</v>
      </c>
    </row>
    <row r="1475">
      <c r="A1475" t="str">
        <f>IFERROR(__xludf.DUMMYFUNCTION("""COMPUTED_VALUE"""),"dvo")</f>
        <v>dvo</v>
      </c>
      <c r="B1475" t="str">
        <f>IFERROR(__xludf.DUMMYFUNCTION("""COMPUTED_VALUE"""),"Orange Couty")</f>
        <v>Orange Couty</v>
      </c>
      <c r="C1475" t="str">
        <f>IFERROR(__xludf.DUMMYFUNCTION("""COMPUTED_VALUE"""),"CA")</f>
        <v>CA</v>
      </c>
      <c r="D1475" t="str">
        <f>IFERROR(__xludf.DUMMYFUNCTION("""COMPUTED_VALUE"""),"USA")</f>
        <v>USA</v>
      </c>
      <c r="E1475" s="188">
        <f>IFERROR(__xludf.DUMMYFUNCTION("""COMPUTED_VALUE"""),43391.0)</f>
        <v>43391</v>
      </c>
      <c r="H1475">
        <f>IFERROR(__xludf.DUMMYFUNCTION("""COMPUTED_VALUE"""),179455.0)</f>
        <v>179455</v>
      </c>
      <c r="J1475" s="5">
        <f>IFERROR(__xludf.DUMMYFUNCTION("""COMPUTED_VALUE"""),43450.0)</f>
        <v>43450</v>
      </c>
      <c r="M1475">
        <f>IFERROR(__xludf.DUMMYFUNCTION("""COMPUTED_VALUE"""),59.0)</f>
        <v>59</v>
      </c>
      <c r="N1475" t="str">
        <f>IFERROR(__xludf.DUMMYFUNCTION("""COMPUTED_VALUE"""),"Model 3 MR")</f>
        <v>Model 3 MR</v>
      </c>
      <c r="O1475" t="str">
        <f>IFERROR(__xludf.DUMMYFUNCTION("""COMPUTED_VALUE"""),"Solid Black")</f>
        <v>Solid Black</v>
      </c>
      <c r="P1475" t="str">
        <f>IFERROR(__xludf.DUMMYFUNCTION("""COMPUTED_VALUE"""),"19 inch Sport")</f>
        <v>19 inch Sport</v>
      </c>
      <c r="Q1475" t="str">
        <f>IFERROR(__xludf.DUMMYFUNCTION("""COMPUTED_VALUE"""),"Black seats")</f>
        <v>Black seats</v>
      </c>
      <c r="R1475" t="str">
        <f>IFERROR(__xludf.DUMMYFUNCTION("""COMPUTED_VALUE"""),"Enhanced Autopilot")</f>
        <v>Enhanced Autopilot</v>
      </c>
      <c r="X1475" t="str">
        <f>IFERROR(__xludf.DUMMYFUNCTION("""COMPUTED_VALUE"""),"Very Good")</f>
        <v>Very Good</v>
      </c>
      <c r="Y1475" t="str">
        <f>IFERROR(__xludf.DUMMYFUNCTION("""COMPUTED_VALUE"""),"Very Good")</f>
        <v>Very Good</v>
      </c>
      <c r="Z1475" t="str">
        <f>IFERROR(__xludf.DUMMYFUNCTION("""COMPUTED_VALUE"""),"Very Good")</f>
        <v>Very Good</v>
      </c>
      <c r="AA1475" t="str">
        <f>IFERROR(__xludf.DUMMYFUNCTION("""COMPUTED_VALUE"""),"Fair")</f>
        <v>Fair</v>
      </c>
      <c r="AB1475" t="str">
        <f>IFERROR(__xludf.DUMMYFUNCTION("""COMPUTED_VALUE"""),"Very Good")</f>
        <v>Very Good</v>
      </c>
      <c r="AC1475">
        <f>IFERROR(__xludf.DUMMYFUNCTION("""COMPUTED_VALUE"""),0.0)</f>
        <v>0</v>
      </c>
      <c r="AH1475" s="189">
        <f>IFERROR(__xludf.DUMMYFUNCTION("""COMPUTED_VALUE"""),43451.53081840278)</f>
        <v>43451.53082</v>
      </c>
    </row>
    <row r="1476">
      <c r="A1476" t="str">
        <f>IFERROR(__xludf.DUMMYFUNCTION("""COMPUTED_VALUE"""),"mikesyl27")</f>
        <v>mikesyl27</v>
      </c>
      <c r="B1476" t="str">
        <f>IFERROR(__xludf.DUMMYFUNCTION("""COMPUTED_VALUE"""),"Kissimmee")</f>
        <v>Kissimmee</v>
      </c>
      <c r="C1476" t="str">
        <f>IFERROR(__xludf.DUMMYFUNCTION("""COMPUTED_VALUE"""),"FL")</f>
        <v>FL</v>
      </c>
      <c r="D1476" t="str">
        <f>IFERROR(__xludf.DUMMYFUNCTION("""COMPUTED_VALUE"""),"USA")</f>
        <v>USA</v>
      </c>
      <c r="E1476" s="188">
        <f>IFERROR(__xludf.DUMMYFUNCTION("""COMPUTED_VALUE"""),43392.0)</f>
        <v>43392</v>
      </c>
      <c r="F1476" s="188">
        <f>IFERROR(__xludf.DUMMYFUNCTION("""COMPUTED_VALUE"""),43441.0)</f>
        <v>43441</v>
      </c>
      <c r="H1476">
        <f>IFERROR(__xludf.DUMMYFUNCTION("""COMPUTED_VALUE"""),155726.0)</f>
        <v>155726</v>
      </c>
      <c r="J1476" s="5">
        <f>IFERROR(__xludf.DUMMYFUNCTION("""COMPUTED_VALUE"""),43450.0)</f>
        <v>43450</v>
      </c>
      <c r="K1476">
        <f>IFERROR(__xludf.DUMMYFUNCTION("""COMPUTED_VALUE"""),49.0)</f>
        <v>49</v>
      </c>
      <c r="L1476">
        <f>IFERROR(__xludf.DUMMYFUNCTION("""COMPUTED_VALUE"""),9.0)</f>
        <v>9</v>
      </c>
      <c r="M1476">
        <f>IFERROR(__xludf.DUMMYFUNCTION("""COMPUTED_VALUE"""),58.0)</f>
        <v>58</v>
      </c>
      <c r="N1476" t="str">
        <f>IFERROR(__xludf.DUMMYFUNCTION("""COMPUTED_VALUE"""),"Model 3 MR")</f>
        <v>Model 3 MR</v>
      </c>
      <c r="O1476" t="str">
        <f>IFERROR(__xludf.DUMMYFUNCTION("""COMPUTED_VALUE"""),"Deep Blue Metallic")</f>
        <v>Deep Blue Metallic</v>
      </c>
      <c r="P1476" t="str">
        <f>IFERROR(__xludf.DUMMYFUNCTION("""COMPUTED_VALUE"""),"18 inch Aero")</f>
        <v>18 inch Aero</v>
      </c>
      <c r="Q1476" t="str">
        <f>IFERROR(__xludf.DUMMYFUNCTION("""COMPUTED_VALUE"""),"White seats")</f>
        <v>White seats</v>
      </c>
      <c r="R1476" t="str">
        <f>IFERROR(__xludf.DUMMYFUNCTION("""COMPUTED_VALUE"""),"Full Self-Driving")</f>
        <v>Full Self-Driving</v>
      </c>
      <c r="X1476" t="str">
        <f>IFERROR(__xludf.DUMMYFUNCTION("""COMPUTED_VALUE"""),"Excellent")</f>
        <v>Excellent</v>
      </c>
      <c r="Y1476" t="str">
        <f>IFERROR(__xludf.DUMMYFUNCTION("""COMPUTED_VALUE"""),"Excellent")</f>
        <v>Excellent</v>
      </c>
      <c r="Z1476" t="str">
        <f>IFERROR(__xludf.DUMMYFUNCTION("""COMPUTED_VALUE"""),"Very Good")</f>
        <v>Very Good</v>
      </c>
      <c r="AA1476" t="str">
        <f>IFERROR(__xludf.DUMMYFUNCTION("""COMPUTED_VALUE"""),"Excellent")</f>
        <v>Excellent</v>
      </c>
      <c r="AB1476" t="str">
        <f>IFERROR(__xludf.DUMMYFUNCTION("""COMPUTED_VALUE"""),"Excellent")</f>
        <v>Excellent</v>
      </c>
      <c r="AC1476">
        <f>IFERROR(__xludf.DUMMYFUNCTION("""COMPUTED_VALUE"""),2.0)</f>
        <v>2</v>
      </c>
      <c r="AG1476" t="str">
        <f>IFERROR(__xludf.DUMMYFUNCTION("""COMPUTED_VALUE"""),"Scratches on rear bumper. ")</f>
        <v>Scratches on rear bumper. </v>
      </c>
      <c r="AH1476" s="189">
        <f>IFERROR(__xludf.DUMMYFUNCTION("""COMPUTED_VALUE"""),43451.54082732639)</f>
        <v>43451.54083</v>
      </c>
    </row>
    <row r="1477">
      <c r="A1477" t="str">
        <f>IFERROR(__xludf.DUMMYFUNCTION("""COMPUTED_VALUE"""),"eokie")</f>
        <v>eokie</v>
      </c>
      <c r="B1477" t="str">
        <f>IFERROR(__xludf.DUMMYFUNCTION("""COMPUTED_VALUE"""),"Cincinnati")</f>
        <v>Cincinnati</v>
      </c>
      <c r="C1477" t="str">
        <f>IFERROR(__xludf.DUMMYFUNCTION("""COMPUTED_VALUE"""),"OH")</f>
        <v>OH</v>
      </c>
      <c r="D1477" t="str">
        <f>IFERROR(__xludf.DUMMYFUNCTION("""COMPUTED_VALUE"""),"USA")</f>
        <v>USA</v>
      </c>
      <c r="E1477" s="188">
        <f>IFERROR(__xludf.DUMMYFUNCTION("""COMPUTED_VALUE"""),43395.0)</f>
        <v>43395</v>
      </c>
      <c r="J1477" s="5">
        <f>IFERROR(__xludf.DUMMYFUNCTION("""COMPUTED_VALUE"""),43450.0)</f>
        <v>43450</v>
      </c>
      <c r="M1477">
        <f>IFERROR(__xludf.DUMMYFUNCTION("""COMPUTED_VALUE"""),55.0)</f>
        <v>55</v>
      </c>
      <c r="N1477" t="str">
        <f>IFERROR(__xludf.DUMMYFUNCTION("""COMPUTED_VALUE"""),"Model 3 MR")</f>
        <v>Model 3 MR</v>
      </c>
      <c r="O1477" t="str">
        <f>IFERROR(__xludf.DUMMYFUNCTION("""COMPUTED_VALUE"""),"Solid Black")</f>
        <v>Solid Black</v>
      </c>
      <c r="P1477" t="str">
        <f>IFERROR(__xludf.DUMMYFUNCTION("""COMPUTED_VALUE"""),"19 inch Sport")</f>
        <v>19 inch Sport</v>
      </c>
      <c r="Q1477" t="str">
        <f>IFERROR(__xludf.DUMMYFUNCTION("""COMPUTED_VALUE"""),"White seats")</f>
        <v>White seats</v>
      </c>
      <c r="R1477" t="str">
        <f>IFERROR(__xludf.DUMMYFUNCTION("""COMPUTED_VALUE"""),"Enhanced Autopilot")</f>
        <v>Enhanced Autopilot</v>
      </c>
      <c r="X1477" t="str">
        <f>IFERROR(__xludf.DUMMYFUNCTION("""COMPUTED_VALUE"""),"Excellent")</f>
        <v>Excellent</v>
      </c>
      <c r="Y1477" t="str">
        <f>IFERROR(__xludf.DUMMYFUNCTION("""COMPUTED_VALUE"""),"Excellent")</f>
        <v>Excellent</v>
      </c>
      <c r="Z1477" t="str">
        <f>IFERROR(__xludf.DUMMYFUNCTION("""COMPUTED_VALUE"""),"Excellent")</f>
        <v>Excellent</v>
      </c>
      <c r="AA1477" t="str">
        <f>IFERROR(__xludf.DUMMYFUNCTION("""COMPUTED_VALUE"""),"Excellent")</f>
        <v>Excellent</v>
      </c>
      <c r="AB1477" t="str">
        <f>IFERROR(__xludf.DUMMYFUNCTION("""COMPUTED_VALUE"""),"Excellent")</f>
        <v>Excellent</v>
      </c>
      <c r="AH1477" s="189">
        <f>IFERROR(__xludf.DUMMYFUNCTION("""COMPUTED_VALUE"""),43452.20120800926)</f>
        <v>43452.20121</v>
      </c>
    </row>
    <row r="1478">
      <c r="A1478" t="str">
        <f>IFERROR(__xludf.DUMMYFUNCTION("""COMPUTED_VALUE"""),"PapaSlabes2")</f>
        <v>PapaSlabes2</v>
      </c>
      <c r="B1478" t="str">
        <f>IFERROR(__xludf.DUMMYFUNCTION("""COMPUTED_VALUE"""),"Milford")</f>
        <v>Milford</v>
      </c>
      <c r="C1478" t="str">
        <f>IFERROR(__xludf.DUMMYFUNCTION("""COMPUTED_VALUE"""),"MA")</f>
        <v>MA</v>
      </c>
      <c r="D1478" t="str">
        <f>IFERROR(__xludf.DUMMYFUNCTION("""COMPUTED_VALUE"""),"USA")</f>
        <v>USA</v>
      </c>
      <c r="E1478" s="188">
        <f>IFERROR(__xludf.DUMMYFUNCTION("""COMPUTED_VALUE"""),43385.0)</f>
        <v>43385</v>
      </c>
      <c r="F1478" s="188">
        <f>IFERROR(__xludf.DUMMYFUNCTION("""COMPUTED_VALUE"""),43419.0)</f>
        <v>43419</v>
      </c>
      <c r="H1478">
        <f>IFERROR(__xludf.DUMMYFUNCTION("""COMPUTED_VALUE"""),75355.0)</f>
        <v>75355</v>
      </c>
      <c r="J1478" s="5">
        <f>IFERROR(__xludf.DUMMYFUNCTION("""COMPUTED_VALUE"""),43447.0)</f>
        <v>43447</v>
      </c>
      <c r="K1478">
        <f>IFERROR(__xludf.DUMMYFUNCTION("""COMPUTED_VALUE"""),34.0)</f>
        <v>34</v>
      </c>
      <c r="L1478">
        <f>IFERROR(__xludf.DUMMYFUNCTION("""COMPUTED_VALUE"""),28.0)</f>
        <v>28</v>
      </c>
      <c r="M1478">
        <f>IFERROR(__xludf.DUMMYFUNCTION("""COMPUTED_VALUE"""),62.0)</f>
        <v>62</v>
      </c>
      <c r="N1478" t="str">
        <f>IFERROR(__xludf.DUMMYFUNCTION("""COMPUTED_VALUE"""),"Model 3 Performance")</f>
        <v>Model 3 Performance</v>
      </c>
      <c r="O1478" t="str">
        <f>IFERROR(__xludf.DUMMYFUNCTION("""COMPUTED_VALUE"""),"Red Multi-Coat")</f>
        <v>Red Multi-Coat</v>
      </c>
      <c r="P1478" t="str">
        <f>IFERROR(__xludf.DUMMYFUNCTION("""COMPUTED_VALUE"""),"20 inch Sport")</f>
        <v>20 inch Sport</v>
      </c>
      <c r="Q1478" t="str">
        <f>IFERROR(__xludf.DUMMYFUNCTION("""COMPUTED_VALUE"""),"White seats")</f>
        <v>White seats</v>
      </c>
      <c r="R1478" t="str">
        <f>IFERROR(__xludf.DUMMYFUNCTION("""COMPUTED_VALUE"""),"Enhanced Autopilot")</f>
        <v>Enhanced Autopilot</v>
      </c>
      <c r="X1478" t="str">
        <f>IFERROR(__xludf.DUMMYFUNCTION("""COMPUTED_VALUE"""),"Excellent")</f>
        <v>Excellent</v>
      </c>
      <c r="Y1478" t="str">
        <f>IFERROR(__xludf.DUMMYFUNCTION("""COMPUTED_VALUE"""),"Excellent")</f>
        <v>Excellent</v>
      </c>
      <c r="Z1478" t="str">
        <f>IFERROR(__xludf.DUMMYFUNCTION("""COMPUTED_VALUE"""),"Excellent")</f>
        <v>Excellent</v>
      </c>
      <c r="AA1478" t="str">
        <f>IFERROR(__xludf.DUMMYFUNCTION("""COMPUTED_VALUE"""),"Poor")</f>
        <v>Poor</v>
      </c>
      <c r="AB1478" t="str">
        <f>IFERROR(__xludf.DUMMYFUNCTION("""COMPUTED_VALUE"""),"Excellent")</f>
        <v>Excellent</v>
      </c>
      <c r="AH1478" s="189">
        <f>IFERROR(__xludf.DUMMYFUNCTION("""COMPUTED_VALUE"""),43452.341836631946)</f>
        <v>43452.34184</v>
      </c>
    </row>
    <row r="1479">
      <c r="A1479" t="str">
        <f>IFERROR(__xludf.DUMMYFUNCTION("""COMPUTED_VALUE"""),"irnenginer")</f>
        <v>irnenginer</v>
      </c>
      <c r="B1479" t="str">
        <f>IFERROR(__xludf.DUMMYFUNCTION("""COMPUTED_VALUE"""),"Redmond")</f>
        <v>Redmond</v>
      </c>
      <c r="C1479" t="str">
        <f>IFERROR(__xludf.DUMMYFUNCTION("""COMPUTED_VALUE"""),"WA")</f>
        <v>WA</v>
      </c>
      <c r="D1479" t="str">
        <f>IFERROR(__xludf.DUMMYFUNCTION("""COMPUTED_VALUE"""),"USA")</f>
        <v>USA</v>
      </c>
      <c r="E1479" s="188">
        <f>IFERROR(__xludf.DUMMYFUNCTION("""COMPUTED_VALUE"""),43391.0)</f>
        <v>43391</v>
      </c>
      <c r="F1479" s="188">
        <f>IFERROR(__xludf.DUMMYFUNCTION("""COMPUTED_VALUE"""),43443.0)</f>
        <v>43443</v>
      </c>
      <c r="H1479">
        <f>IFERROR(__xludf.DUMMYFUNCTION("""COMPUTED_VALUE"""),159269.0)</f>
        <v>159269</v>
      </c>
      <c r="I1479" t="str">
        <f>IFERROR(__xludf.DUMMYFUNCTION("""COMPUTED_VALUE"""),"12/18")</f>
        <v>12/18</v>
      </c>
      <c r="J1479" s="5">
        <f>IFERROR(__xludf.DUMMYFUNCTION("""COMPUTED_VALUE"""),43448.0)</f>
        <v>43448</v>
      </c>
      <c r="K1479">
        <f>IFERROR(__xludf.DUMMYFUNCTION("""COMPUTED_VALUE"""),52.0)</f>
        <v>52</v>
      </c>
      <c r="L1479">
        <f>IFERROR(__xludf.DUMMYFUNCTION("""COMPUTED_VALUE"""),5.0)</f>
        <v>5</v>
      </c>
      <c r="M1479">
        <f>IFERROR(__xludf.DUMMYFUNCTION("""COMPUTED_VALUE"""),57.0)</f>
        <v>57</v>
      </c>
      <c r="N1479" t="str">
        <f>IFERROR(__xludf.DUMMYFUNCTION("""COMPUTED_VALUE"""),"Model 3 MR")</f>
        <v>Model 3 MR</v>
      </c>
      <c r="O1479" t="str">
        <f>IFERROR(__xludf.DUMMYFUNCTION("""COMPUTED_VALUE"""),"Red Multi-Coat")</f>
        <v>Red Multi-Coat</v>
      </c>
      <c r="P1479" t="str">
        <f>IFERROR(__xludf.DUMMYFUNCTION("""COMPUTED_VALUE"""),"18 inch Aero")</f>
        <v>18 inch Aero</v>
      </c>
      <c r="Q1479" t="str">
        <f>IFERROR(__xludf.DUMMYFUNCTION("""COMPUTED_VALUE"""),"Black seats")</f>
        <v>Black seats</v>
      </c>
      <c r="R1479" t="str">
        <f>IFERROR(__xludf.DUMMYFUNCTION("""COMPUTED_VALUE"""),"None")</f>
        <v>None</v>
      </c>
      <c r="X1479" t="str">
        <f>IFERROR(__xludf.DUMMYFUNCTION("""COMPUTED_VALUE"""),"Good")</f>
        <v>Good</v>
      </c>
      <c r="Y1479" t="str">
        <f>IFERROR(__xludf.DUMMYFUNCTION("""COMPUTED_VALUE"""),"Good")</f>
        <v>Good</v>
      </c>
      <c r="Z1479" t="str">
        <f>IFERROR(__xludf.DUMMYFUNCTION("""COMPUTED_VALUE"""),"Good")</f>
        <v>Good</v>
      </c>
      <c r="AA1479" t="str">
        <f>IFERROR(__xludf.DUMMYFUNCTION("""COMPUTED_VALUE"""),"Good")</f>
        <v>Good</v>
      </c>
      <c r="AB1479" t="str">
        <f>IFERROR(__xludf.DUMMYFUNCTION("""COMPUTED_VALUE"""),"Very Good")</f>
        <v>Very Good</v>
      </c>
      <c r="AC1479">
        <f>IFERROR(__xludf.DUMMYFUNCTION("""COMPUTED_VALUE"""),0.0)</f>
        <v>0</v>
      </c>
      <c r="AD1479">
        <f>IFERROR(__xludf.DUMMYFUNCTION("""COMPUTED_VALUE"""),0.0)</f>
        <v>0</v>
      </c>
      <c r="AE1479">
        <f>IFERROR(__xludf.DUMMYFUNCTION("""COMPUTED_VALUE"""),0.0)</f>
        <v>0</v>
      </c>
      <c r="AH1479" s="189">
        <f>IFERROR(__xludf.DUMMYFUNCTION("""COMPUTED_VALUE"""),43452.436745960644)</f>
        <v>43452.43675</v>
      </c>
    </row>
    <row r="1480">
      <c r="A1480" t="str">
        <f>IFERROR(__xludf.DUMMYFUNCTION("""COMPUTED_VALUE"""),"ish2028")</f>
        <v>ish2028</v>
      </c>
      <c r="B1480" t="str">
        <f>IFERROR(__xludf.DUMMYFUNCTION("""COMPUTED_VALUE"""),"Selma")</f>
        <v>Selma</v>
      </c>
      <c r="C1480" t="str">
        <f>IFERROR(__xludf.DUMMYFUNCTION("""COMPUTED_VALUE"""),"CA")</f>
        <v>CA</v>
      </c>
      <c r="D1480" t="str">
        <f>IFERROR(__xludf.DUMMYFUNCTION("""COMPUTED_VALUE"""),"USA")</f>
        <v>USA</v>
      </c>
      <c r="E1480" s="188">
        <f>IFERROR(__xludf.DUMMYFUNCTION("""COMPUTED_VALUE"""),43432.0)</f>
        <v>43432</v>
      </c>
      <c r="F1480" s="188">
        <f>IFERROR(__xludf.DUMMYFUNCTION("""COMPUTED_VALUE"""),43447.0)</f>
        <v>43447</v>
      </c>
      <c r="J1480" s="5">
        <f>IFERROR(__xludf.DUMMYFUNCTION("""COMPUTED_VALUE"""),43449.0)</f>
        <v>43449</v>
      </c>
      <c r="K1480">
        <f>IFERROR(__xludf.DUMMYFUNCTION("""COMPUTED_VALUE"""),15.0)</f>
        <v>15</v>
      </c>
      <c r="L1480">
        <f>IFERROR(__xludf.DUMMYFUNCTION("""COMPUTED_VALUE"""),2.0)</f>
        <v>2</v>
      </c>
      <c r="M1480">
        <f>IFERROR(__xludf.DUMMYFUNCTION("""COMPUTED_VALUE"""),17.0)</f>
        <v>17</v>
      </c>
      <c r="N1480" t="str">
        <f>IFERROR(__xludf.DUMMYFUNCTION("""COMPUTED_VALUE"""),"Model 3 MR")</f>
        <v>Model 3 MR</v>
      </c>
      <c r="O1480" t="str">
        <f>IFERROR(__xludf.DUMMYFUNCTION("""COMPUTED_VALUE"""),"Pearl White Multi-Coat")</f>
        <v>Pearl White Multi-Coat</v>
      </c>
      <c r="P1480" t="str">
        <f>IFERROR(__xludf.DUMMYFUNCTION("""COMPUTED_VALUE"""),"19 inch Sport")</f>
        <v>19 inch Sport</v>
      </c>
      <c r="Q1480" t="str">
        <f>IFERROR(__xludf.DUMMYFUNCTION("""COMPUTED_VALUE"""),"Black seats")</f>
        <v>Black seats</v>
      </c>
      <c r="R1480" t="str">
        <f>IFERROR(__xludf.DUMMYFUNCTION("""COMPUTED_VALUE"""),"Enhanced Autopilot")</f>
        <v>Enhanced Autopilot</v>
      </c>
      <c r="X1480" t="str">
        <f>IFERROR(__xludf.DUMMYFUNCTION("""COMPUTED_VALUE"""),"Excellent")</f>
        <v>Excellent</v>
      </c>
      <c r="Y1480" t="str">
        <f>IFERROR(__xludf.DUMMYFUNCTION("""COMPUTED_VALUE"""),"Excellent")</f>
        <v>Excellent</v>
      </c>
      <c r="Z1480" t="str">
        <f>IFERROR(__xludf.DUMMYFUNCTION("""COMPUTED_VALUE"""),"Excellent")</f>
        <v>Excellent</v>
      </c>
      <c r="AA1480" t="str">
        <f>IFERROR(__xludf.DUMMYFUNCTION("""COMPUTED_VALUE"""),"Poor")</f>
        <v>Poor</v>
      </c>
      <c r="AB1480" t="str">
        <f>IFERROR(__xludf.DUMMYFUNCTION("""COMPUTED_VALUE"""),"Good")</f>
        <v>Good</v>
      </c>
      <c r="AH1480" s="189">
        <f>IFERROR(__xludf.DUMMYFUNCTION("""COMPUTED_VALUE"""),43452.47093618056)</f>
        <v>43452.47094</v>
      </c>
    </row>
    <row r="1481">
      <c r="A1481" t="str">
        <f>IFERROR(__xludf.DUMMYFUNCTION("""COMPUTED_VALUE"""),"jdn4929")</f>
        <v>jdn4929</v>
      </c>
      <c r="B1481" t="str">
        <f>IFERROR(__xludf.DUMMYFUNCTION("""COMPUTED_VALUE"""),"Hillsboro")</f>
        <v>Hillsboro</v>
      </c>
      <c r="C1481" t="str">
        <f>IFERROR(__xludf.DUMMYFUNCTION("""COMPUTED_VALUE"""),"OR")</f>
        <v>OR</v>
      </c>
      <c r="D1481" t="str">
        <f>IFERROR(__xludf.DUMMYFUNCTION("""COMPUTED_VALUE"""),"USA")</f>
        <v>USA</v>
      </c>
      <c r="E1481" s="188">
        <f>IFERROR(__xludf.DUMMYFUNCTION("""COMPUTED_VALUE"""),43393.0)</f>
        <v>43393</v>
      </c>
      <c r="F1481" s="188">
        <f>IFERROR(__xludf.DUMMYFUNCTION("""COMPUTED_VALUE"""),43445.0)</f>
        <v>43445</v>
      </c>
      <c r="H1481">
        <f>IFERROR(__xludf.DUMMYFUNCTION("""COMPUTED_VALUE"""),156955.0)</f>
        <v>156955</v>
      </c>
      <c r="J1481" s="5">
        <f>IFERROR(__xludf.DUMMYFUNCTION("""COMPUTED_VALUE"""),43451.0)</f>
        <v>43451</v>
      </c>
      <c r="K1481">
        <f>IFERROR(__xludf.DUMMYFUNCTION("""COMPUTED_VALUE"""),52.0)</f>
        <v>52</v>
      </c>
      <c r="L1481">
        <f>IFERROR(__xludf.DUMMYFUNCTION("""COMPUTED_VALUE"""),6.0)</f>
        <v>6</v>
      </c>
      <c r="M1481">
        <f>IFERROR(__xludf.DUMMYFUNCTION("""COMPUTED_VALUE"""),58.0)</f>
        <v>58</v>
      </c>
      <c r="N1481" t="str">
        <f>IFERROR(__xludf.DUMMYFUNCTION("""COMPUTED_VALUE"""),"Model 3 MR")</f>
        <v>Model 3 MR</v>
      </c>
      <c r="O1481" t="str">
        <f>IFERROR(__xludf.DUMMYFUNCTION("""COMPUTED_VALUE"""),"Solid Black")</f>
        <v>Solid Black</v>
      </c>
      <c r="P1481" t="str">
        <f>IFERROR(__xludf.DUMMYFUNCTION("""COMPUTED_VALUE"""),"18 inch Aero")</f>
        <v>18 inch Aero</v>
      </c>
      <c r="Q1481" t="str">
        <f>IFERROR(__xludf.DUMMYFUNCTION("""COMPUTED_VALUE"""),"Black seats")</f>
        <v>Black seats</v>
      </c>
      <c r="R1481" t="str">
        <f>IFERROR(__xludf.DUMMYFUNCTION("""COMPUTED_VALUE"""),"Enhanced Autopilot")</f>
        <v>Enhanced Autopilot</v>
      </c>
      <c r="X1481" t="str">
        <f>IFERROR(__xludf.DUMMYFUNCTION("""COMPUTED_VALUE"""),"Very Good")</f>
        <v>Very Good</v>
      </c>
      <c r="Y1481" t="str">
        <f>IFERROR(__xludf.DUMMYFUNCTION("""COMPUTED_VALUE"""),"Excellent")</f>
        <v>Excellent</v>
      </c>
      <c r="Z1481" t="str">
        <f>IFERROR(__xludf.DUMMYFUNCTION("""COMPUTED_VALUE"""),"Excellent")</f>
        <v>Excellent</v>
      </c>
      <c r="AA1481" t="str">
        <f>IFERROR(__xludf.DUMMYFUNCTION("""COMPUTED_VALUE"""),"Poor")</f>
        <v>Poor</v>
      </c>
      <c r="AB1481" t="str">
        <f>IFERROR(__xludf.DUMMYFUNCTION("""COMPUTED_VALUE"""),"Excellent")</f>
        <v>Excellent</v>
      </c>
      <c r="AC1481">
        <f>IFERROR(__xludf.DUMMYFUNCTION("""COMPUTED_VALUE"""),0.0)</f>
        <v>0</v>
      </c>
      <c r="AD1481">
        <f>IFERROR(__xludf.DUMMYFUNCTION("""COMPUTED_VALUE"""),0.0)</f>
        <v>0</v>
      </c>
      <c r="AE1481">
        <f>IFERROR(__xludf.DUMMYFUNCTION("""COMPUTED_VALUE"""),0.0)</f>
        <v>0</v>
      </c>
      <c r="AH1481" s="189">
        <f>IFERROR(__xludf.DUMMYFUNCTION("""COMPUTED_VALUE"""),43452.51256743056)</f>
        <v>43452.51257</v>
      </c>
    </row>
    <row r="1482">
      <c r="A1482" t="str">
        <f>IFERROR(__xludf.DUMMYFUNCTION("""COMPUTED_VALUE"""),"Towner@2567")</f>
        <v>Towner@2567</v>
      </c>
      <c r="B1482" t="str">
        <f>IFERROR(__xludf.DUMMYFUNCTION("""COMPUTED_VALUE"""),"Phoenix")</f>
        <v>Phoenix</v>
      </c>
      <c r="C1482" t="str">
        <f>IFERROR(__xludf.DUMMYFUNCTION("""COMPUTED_VALUE"""),"AZ")</f>
        <v>AZ</v>
      </c>
      <c r="D1482" t="str">
        <f>IFERROR(__xludf.DUMMYFUNCTION("""COMPUTED_VALUE"""),"USA")</f>
        <v>USA</v>
      </c>
      <c r="E1482" s="188">
        <f>IFERROR(__xludf.DUMMYFUNCTION("""COMPUTED_VALUE"""),43391.0)</f>
        <v>43391</v>
      </c>
      <c r="F1482" s="188">
        <f>IFERROR(__xludf.DUMMYFUNCTION("""COMPUTED_VALUE"""),43447.0)</f>
        <v>43447</v>
      </c>
      <c r="H1482">
        <f>IFERROR(__xludf.DUMMYFUNCTION("""COMPUTED_VALUE"""),159255.0)</f>
        <v>159255</v>
      </c>
      <c r="J1482" s="5">
        <f>IFERROR(__xludf.DUMMYFUNCTION("""COMPUTED_VALUE"""),43450.0)</f>
        <v>43450</v>
      </c>
      <c r="K1482">
        <f>IFERROR(__xludf.DUMMYFUNCTION("""COMPUTED_VALUE"""),56.0)</f>
        <v>56</v>
      </c>
      <c r="L1482">
        <f>IFERROR(__xludf.DUMMYFUNCTION("""COMPUTED_VALUE"""),3.0)</f>
        <v>3</v>
      </c>
      <c r="M1482">
        <f>IFERROR(__xludf.DUMMYFUNCTION("""COMPUTED_VALUE"""),59.0)</f>
        <v>59</v>
      </c>
      <c r="N1482" t="str">
        <f>IFERROR(__xludf.DUMMYFUNCTION("""COMPUTED_VALUE"""),"Model 3 MR")</f>
        <v>Model 3 MR</v>
      </c>
      <c r="O1482" t="str">
        <f>IFERROR(__xludf.DUMMYFUNCTION("""COMPUTED_VALUE"""),"Red Multi-Coat")</f>
        <v>Red Multi-Coat</v>
      </c>
      <c r="P1482" t="str">
        <f>IFERROR(__xludf.DUMMYFUNCTION("""COMPUTED_VALUE"""),"18 inch Aero")</f>
        <v>18 inch Aero</v>
      </c>
      <c r="Q1482" t="str">
        <f>IFERROR(__xludf.DUMMYFUNCTION("""COMPUTED_VALUE"""),"Black seats")</f>
        <v>Black seats</v>
      </c>
      <c r="R1482" t="str">
        <f>IFERROR(__xludf.DUMMYFUNCTION("""COMPUTED_VALUE"""),"Enhanced Autopilot")</f>
        <v>Enhanced Autopilot</v>
      </c>
      <c r="X1482" t="str">
        <f>IFERROR(__xludf.DUMMYFUNCTION("""COMPUTED_VALUE"""),"Very Good")</f>
        <v>Very Good</v>
      </c>
      <c r="Y1482" t="str">
        <f>IFERROR(__xludf.DUMMYFUNCTION("""COMPUTED_VALUE"""),"Very Good")</f>
        <v>Very Good</v>
      </c>
      <c r="Z1482" t="str">
        <f>IFERROR(__xludf.DUMMYFUNCTION("""COMPUTED_VALUE"""),"Good")</f>
        <v>Good</v>
      </c>
      <c r="AA1482" t="str">
        <f>IFERROR(__xludf.DUMMYFUNCTION("""COMPUTED_VALUE"""),"Good")</f>
        <v>Good</v>
      </c>
      <c r="AB1482" t="str">
        <f>IFERROR(__xludf.DUMMYFUNCTION("""COMPUTED_VALUE"""),"Very Good")</f>
        <v>Very Good</v>
      </c>
      <c r="AC1482">
        <f>IFERROR(__xludf.DUMMYFUNCTION("""COMPUTED_VALUE"""),2.0)</f>
        <v>2</v>
      </c>
      <c r="AH1482" s="189">
        <f>IFERROR(__xludf.DUMMYFUNCTION("""COMPUTED_VALUE"""),43452.57425174769)</f>
        <v>43452.57425</v>
      </c>
    </row>
    <row r="1483">
      <c r="A1483" t="str">
        <f>IFERROR(__xludf.DUMMYFUNCTION("""COMPUTED_VALUE"""),"mikemc")</f>
        <v>mikemc</v>
      </c>
      <c r="B1483" t="str">
        <f>IFERROR(__xludf.DUMMYFUNCTION("""COMPUTED_VALUE"""),"Cincinnati")</f>
        <v>Cincinnati</v>
      </c>
      <c r="C1483" t="str">
        <f>IFERROR(__xludf.DUMMYFUNCTION("""COMPUTED_VALUE"""),"OH")</f>
        <v>OH</v>
      </c>
      <c r="D1483" t="str">
        <f>IFERROR(__xludf.DUMMYFUNCTION("""COMPUTED_VALUE"""),"USA")</f>
        <v>USA</v>
      </c>
      <c r="E1483" s="188">
        <f>IFERROR(__xludf.DUMMYFUNCTION("""COMPUTED_VALUE"""),43401.0)</f>
        <v>43401</v>
      </c>
      <c r="F1483" s="188">
        <f>IFERROR(__xludf.DUMMYFUNCTION("""COMPUTED_VALUE"""),43443.0)</f>
        <v>43443</v>
      </c>
      <c r="H1483">
        <f>IFERROR(__xludf.DUMMYFUNCTION("""COMPUTED_VALUE"""),155355.0)</f>
        <v>155355</v>
      </c>
      <c r="J1483" s="5">
        <f>IFERROR(__xludf.DUMMYFUNCTION("""COMPUTED_VALUE"""),43450.0)</f>
        <v>43450</v>
      </c>
      <c r="K1483">
        <f>IFERROR(__xludf.DUMMYFUNCTION("""COMPUTED_VALUE"""),42.0)</f>
        <v>42</v>
      </c>
      <c r="L1483">
        <f>IFERROR(__xludf.DUMMYFUNCTION("""COMPUTED_VALUE"""),7.0)</f>
        <v>7</v>
      </c>
      <c r="M1483">
        <f>IFERROR(__xludf.DUMMYFUNCTION("""COMPUTED_VALUE"""),49.0)</f>
        <v>49</v>
      </c>
      <c r="N1483" t="str">
        <f>IFERROR(__xludf.DUMMYFUNCTION("""COMPUTED_VALUE"""),"Model 3 MR")</f>
        <v>Model 3 MR</v>
      </c>
      <c r="O1483" t="str">
        <f>IFERROR(__xludf.DUMMYFUNCTION("""COMPUTED_VALUE"""),"Solid Black")</f>
        <v>Solid Black</v>
      </c>
      <c r="P1483" t="str">
        <f>IFERROR(__xludf.DUMMYFUNCTION("""COMPUTED_VALUE"""),"18 inch Aero")</f>
        <v>18 inch Aero</v>
      </c>
      <c r="Q1483" t="str">
        <f>IFERROR(__xludf.DUMMYFUNCTION("""COMPUTED_VALUE"""),"White seats")</f>
        <v>White seats</v>
      </c>
      <c r="R1483" t="str">
        <f>IFERROR(__xludf.DUMMYFUNCTION("""COMPUTED_VALUE"""),"None")</f>
        <v>None</v>
      </c>
      <c r="X1483" t="str">
        <f>IFERROR(__xludf.DUMMYFUNCTION("""COMPUTED_VALUE"""),"Excellent")</f>
        <v>Excellent</v>
      </c>
      <c r="Y1483" t="str">
        <f>IFERROR(__xludf.DUMMYFUNCTION("""COMPUTED_VALUE"""),"Excellent")</f>
        <v>Excellent</v>
      </c>
      <c r="Z1483" t="str">
        <f>IFERROR(__xludf.DUMMYFUNCTION("""COMPUTED_VALUE"""),"Excellent")</f>
        <v>Excellent</v>
      </c>
      <c r="AA1483" t="str">
        <f>IFERROR(__xludf.DUMMYFUNCTION("""COMPUTED_VALUE"""),"Excellent")</f>
        <v>Excellent</v>
      </c>
      <c r="AB1483" t="str">
        <f>IFERROR(__xludf.DUMMYFUNCTION("""COMPUTED_VALUE"""),"Very Good")</f>
        <v>Very Good</v>
      </c>
      <c r="AH1483" s="189">
        <f>IFERROR(__xludf.DUMMYFUNCTION("""COMPUTED_VALUE"""),43452.8421309375)</f>
        <v>43452.84213</v>
      </c>
    </row>
    <row r="1484">
      <c r="A1484" t="str">
        <f>IFERROR(__xludf.DUMMYFUNCTION("""COMPUTED_VALUE"""),"mexiken")</f>
        <v>mexiken</v>
      </c>
      <c r="B1484" t="str">
        <f>IFERROR(__xludf.DUMMYFUNCTION("""COMPUTED_VALUE"""),"Los Angeles")</f>
        <v>Los Angeles</v>
      </c>
      <c r="C1484" t="str">
        <f>IFERROR(__xludf.DUMMYFUNCTION("""COMPUTED_VALUE"""),"CA")</f>
        <v>CA</v>
      </c>
      <c r="D1484" t="str">
        <f>IFERROR(__xludf.DUMMYFUNCTION("""COMPUTED_VALUE"""),"USA")</f>
        <v>USA</v>
      </c>
      <c r="E1484" s="188">
        <f>IFERROR(__xludf.DUMMYFUNCTION("""COMPUTED_VALUE"""),43396.0)</f>
        <v>43396</v>
      </c>
      <c r="F1484" s="188">
        <f>IFERROR(__xludf.DUMMYFUNCTION("""COMPUTED_VALUE"""),43419.0)</f>
        <v>43419</v>
      </c>
      <c r="H1484">
        <f>IFERROR(__xludf.DUMMYFUNCTION("""COMPUTED_VALUE"""),125055.0)</f>
        <v>125055</v>
      </c>
      <c r="I1484" t="str">
        <f>IFERROR(__xludf.DUMMYFUNCTION("""COMPUTED_VALUE"""),"11/18")</f>
        <v>11/18</v>
      </c>
      <c r="J1484" s="5">
        <f>IFERROR(__xludf.DUMMYFUNCTION("""COMPUTED_VALUE"""),43434.0)</f>
        <v>43434</v>
      </c>
      <c r="K1484">
        <f>IFERROR(__xludf.DUMMYFUNCTION("""COMPUTED_VALUE"""),23.0)</f>
        <v>23</v>
      </c>
      <c r="L1484">
        <f>IFERROR(__xludf.DUMMYFUNCTION("""COMPUTED_VALUE"""),15.0)</f>
        <v>15</v>
      </c>
      <c r="M1484">
        <f>IFERROR(__xludf.DUMMYFUNCTION("""COMPUTED_VALUE"""),38.0)</f>
        <v>38</v>
      </c>
      <c r="N1484" t="str">
        <f>IFERROR(__xludf.DUMMYFUNCTION("""COMPUTED_VALUE"""),"Model 3 LR")</f>
        <v>Model 3 LR</v>
      </c>
      <c r="O1484" t="str">
        <f>IFERROR(__xludf.DUMMYFUNCTION("""COMPUTED_VALUE"""),"Deep Blue Metallic")</f>
        <v>Deep Blue Metallic</v>
      </c>
      <c r="P1484" t="str">
        <f>IFERROR(__xludf.DUMMYFUNCTION("""COMPUTED_VALUE"""),"18 inch Aero")</f>
        <v>18 inch Aero</v>
      </c>
      <c r="Q1484" t="str">
        <f>IFERROR(__xludf.DUMMYFUNCTION("""COMPUTED_VALUE"""),"Black seats")</f>
        <v>Black seats</v>
      </c>
      <c r="R1484" t="str">
        <f>IFERROR(__xludf.DUMMYFUNCTION("""COMPUTED_VALUE"""),"None")</f>
        <v>None</v>
      </c>
      <c r="X1484" t="str">
        <f>IFERROR(__xludf.DUMMYFUNCTION("""COMPUTED_VALUE"""),"Poor")</f>
        <v>Poor</v>
      </c>
      <c r="Y1484" t="str">
        <f>IFERROR(__xludf.DUMMYFUNCTION("""COMPUTED_VALUE"""),"Excellent")</f>
        <v>Excellent</v>
      </c>
      <c r="Z1484" t="str">
        <f>IFERROR(__xludf.DUMMYFUNCTION("""COMPUTED_VALUE"""),"Poor")</f>
        <v>Poor</v>
      </c>
      <c r="AA1484" t="str">
        <f>IFERROR(__xludf.DUMMYFUNCTION("""COMPUTED_VALUE"""),"Poor")</f>
        <v>Poor</v>
      </c>
      <c r="AB1484" t="str">
        <f>IFERROR(__xludf.DUMMYFUNCTION("""COMPUTED_VALUE"""),"Very Good")</f>
        <v>Very Good</v>
      </c>
      <c r="AC1484">
        <f>IFERROR(__xludf.DUMMYFUNCTION("""COMPUTED_VALUE"""),4.0)</f>
        <v>4</v>
      </c>
      <c r="AD1484">
        <f>IFERROR(__xludf.DUMMYFUNCTION("""COMPUTED_VALUE"""),5.0)</f>
        <v>5</v>
      </c>
      <c r="AE1484">
        <f>IFERROR(__xludf.DUMMYFUNCTION("""COMPUTED_VALUE"""),1.0)</f>
        <v>1</v>
      </c>
      <c r="AG1484" t="str">
        <f>IFERROR(__xludf.DUMMYFUNCTION("""COMPUTED_VALUE"""),"Forced to switch from white interior to black interior due to not fulfilling LR RWD order with white interior")</f>
        <v>Forced to switch from white interior to black interior due to not fulfilling LR RWD order with white interior</v>
      </c>
      <c r="AH1484" s="189">
        <f>IFERROR(__xludf.DUMMYFUNCTION("""COMPUTED_VALUE"""),43452.925293611115)</f>
        <v>43452.92529</v>
      </c>
    </row>
    <row r="1485">
      <c r="A1485" t="str">
        <f>IFERROR(__xludf.DUMMYFUNCTION("""COMPUTED_VALUE"""),"Underdog")</f>
        <v>Underdog</v>
      </c>
      <c r="C1485" t="str">
        <f>IFERROR(__xludf.DUMMYFUNCTION("""COMPUTED_VALUE"""),"CT")</f>
        <v>CT</v>
      </c>
      <c r="D1485" t="str">
        <f>IFERROR(__xludf.DUMMYFUNCTION("""COMPUTED_VALUE"""),"USA")</f>
        <v>USA</v>
      </c>
      <c r="E1485" s="188">
        <f>IFERROR(__xludf.DUMMYFUNCTION("""COMPUTED_VALUE"""),43278.0)</f>
        <v>43278</v>
      </c>
      <c r="F1485" s="188">
        <f>IFERROR(__xludf.DUMMYFUNCTION("""COMPUTED_VALUE"""),43391.0)</f>
        <v>43391</v>
      </c>
      <c r="H1485">
        <f>IFERROR(__xludf.DUMMYFUNCTION("""COMPUTED_VALUE"""),105355.0)</f>
        <v>105355</v>
      </c>
      <c r="I1485" t="str">
        <f>IFERROR(__xludf.DUMMYFUNCTION("""COMPUTED_VALUE"""),"10/18")</f>
        <v>10/18</v>
      </c>
      <c r="J1485" s="5">
        <f>IFERROR(__xludf.DUMMYFUNCTION("""COMPUTED_VALUE"""),43416.0)</f>
        <v>43416</v>
      </c>
      <c r="K1485">
        <f>IFERROR(__xludf.DUMMYFUNCTION("""COMPUTED_VALUE"""),113.0)</f>
        <v>113</v>
      </c>
      <c r="L1485">
        <f>IFERROR(__xludf.DUMMYFUNCTION("""COMPUTED_VALUE"""),25.0)</f>
        <v>25</v>
      </c>
      <c r="M1485">
        <f>IFERROR(__xludf.DUMMYFUNCTION("""COMPUTED_VALUE"""),138.0)</f>
        <v>138</v>
      </c>
      <c r="N1485" t="str">
        <f>IFERROR(__xludf.DUMMYFUNCTION("""COMPUTED_VALUE"""),"Model 3 LR AWD")</f>
        <v>Model 3 LR AWD</v>
      </c>
      <c r="O1485" t="str">
        <f>IFERROR(__xludf.DUMMYFUNCTION("""COMPUTED_VALUE"""),"Deep Blue Metallic")</f>
        <v>Deep Blue Metallic</v>
      </c>
      <c r="P1485" t="str">
        <f>IFERROR(__xludf.DUMMYFUNCTION("""COMPUTED_VALUE"""),"18 inch Aero")</f>
        <v>18 inch Aero</v>
      </c>
      <c r="Q1485" t="str">
        <f>IFERROR(__xludf.DUMMYFUNCTION("""COMPUTED_VALUE"""),"Black seats")</f>
        <v>Black seats</v>
      </c>
      <c r="R1485" t="str">
        <f>IFERROR(__xludf.DUMMYFUNCTION("""COMPUTED_VALUE"""),"None")</f>
        <v>None</v>
      </c>
      <c r="X1485" t="str">
        <f>IFERROR(__xludf.DUMMYFUNCTION("""COMPUTED_VALUE"""),"Excellent")</f>
        <v>Excellent</v>
      </c>
      <c r="Y1485" t="str">
        <f>IFERROR(__xludf.DUMMYFUNCTION("""COMPUTED_VALUE"""),"Excellent")</f>
        <v>Excellent</v>
      </c>
      <c r="Z1485" t="str">
        <f>IFERROR(__xludf.DUMMYFUNCTION("""COMPUTED_VALUE"""),"Excellent")</f>
        <v>Excellent</v>
      </c>
      <c r="AA1485" t="str">
        <f>IFERROR(__xludf.DUMMYFUNCTION("""COMPUTED_VALUE"""),"Poor")</f>
        <v>Poor</v>
      </c>
      <c r="AB1485" t="str">
        <f>IFERROR(__xludf.DUMMYFUNCTION("""COMPUTED_VALUE"""),"Good")</f>
        <v>Good</v>
      </c>
      <c r="AC1485">
        <f>IFERROR(__xludf.DUMMYFUNCTION("""COMPUTED_VALUE"""),0.0)</f>
        <v>0</v>
      </c>
      <c r="AD1485">
        <f>IFERROR(__xludf.DUMMYFUNCTION("""COMPUTED_VALUE"""),0.0)</f>
        <v>0</v>
      </c>
      <c r="AE1485">
        <f>IFERROR(__xludf.DUMMYFUNCTION("""COMPUTED_VALUE"""),0.0)</f>
        <v>0</v>
      </c>
      <c r="AH1485" s="189">
        <f>IFERROR(__xludf.DUMMYFUNCTION("""COMPUTED_VALUE"""),43453.18613327546)</f>
        <v>43453.18613</v>
      </c>
    </row>
    <row r="1486">
      <c r="A1486" t="str">
        <f>IFERROR(__xludf.DUMMYFUNCTION("""COMPUTED_VALUE"""),"potato1595")</f>
        <v>potato1595</v>
      </c>
      <c r="B1486" t="str">
        <f>IFERROR(__xludf.DUMMYFUNCTION("""COMPUTED_VALUE"""),"Austin")</f>
        <v>Austin</v>
      </c>
      <c r="C1486" t="str">
        <f>IFERROR(__xludf.DUMMYFUNCTION("""COMPUTED_VALUE"""),"TX")</f>
        <v>TX</v>
      </c>
      <c r="D1486" t="str">
        <f>IFERROR(__xludf.DUMMYFUNCTION("""COMPUTED_VALUE"""),"USA")</f>
        <v>USA</v>
      </c>
      <c r="E1486" s="188">
        <f>IFERROR(__xludf.DUMMYFUNCTION("""COMPUTED_VALUE"""),43391.0)</f>
        <v>43391</v>
      </c>
      <c r="F1486" s="188">
        <f>IFERROR(__xludf.DUMMYFUNCTION("""COMPUTED_VALUE"""),43443.0)</f>
        <v>43443</v>
      </c>
      <c r="H1486">
        <f>IFERROR(__xludf.DUMMYFUNCTION("""COMPUTED_VALUE"""),160155.0)</f>
        <v>160155</v>
      </c>
      <c r="I1486" t="str">
        <f>IFERROR(__xludf.DUMMYFUNCTION("""COMPUTED_VALUE"""),"12/18")</f>
        <v>12/18</v>
      </c>
      <c r="J1486" s="5">
        <f>IFERROR(__xludf.DUMMYFUNCTION("""COMPUTED_VALUE"""),43453.0)</f>
        <v>43453</v>
      </c>
      <c r="K1486">
        <f>IFERROR(__xludf.DUMMYFUNCTION("""COMPUTED_VALUE"""),52.0)</f>
        <v>52</v>
      </c>
      <c r="L1486">
        <f>IFERROR(__xludf.DUMMYFUNCTION("""COMPUTED_VALUE"""),10.0)</f>
        <v>10</v>
      </c>
      <c r="M1486">
        <f>IFERROR(__xludf.DUMMYFUNCTION("""COMPUTED_VALUE"""),62.0)</f>
        <v>62</v>
      </c>
      <c r="N1486" t="str">
        <f>IFERROR(__xludf.DUMMYFUNCTION("""COMPUTED_VALUE"""),"Model 3 MR")</f>
        <v>Model 3 MR</v>
      </c>
      <c r="O1486" t="str">
        <f>IFERROR(__xludf.DUMMYFUNCTION("""COMPUTED_VALUE"""),"Deep Blue Metallic")</f>
        <v>Deep Blue Metallic</v>
      </c>
      <c r="P1486" t="str">
        <f>IFERROR(__xludf.DUMMYFUNCTION("""COMPUTED_VALUE"""),"18 inch Aero")</f>
        <v>18 inch Aero</v>
      </c>
      <c r="Q1486" t="str">
        <f>IFERROR(__xludf.DUMMYFUNCTION("""COMPUTED_VALUE"""),"Black seats")</f>
        <v>Black seats</v>
      </c>
      <c r="R1486" t="str">
        <f>IFERROR(__xludf.DUMMYFUNCTION("""COMPUTED_VALUE"""),"Enhanced Autopilot")</f>
        <v>Enhanced Autopilot</v>
      </c>
      <c r="X1486" t="str">
        <f>IFERROR(__xludf.DUMMYFUNCTION("""COMPUTED_VALUE"""),"Very Good")</f>
        <v>Very Good</v>
      </c>
      <c r="Y1486" t="str">
        <f>IFERROR(__xludf.DUMMYFUNCTION("""COMPUTED_VALUE"""),"Very Good")</f>
        <v>Very Good</v>
      </c>
      <c r="Z1486" t="str">
        <f>IFERROR(__xludf.DUMMYFUNCTION("""COMPUTED_VALUE"""),"Excellent")</f>
        <v>Excellent</v>
      </c>
      <c r="AA1486" t="str">
        <f>IFERROR(__xludf.DUMMYFUNCTION("""COMPUTED_VALUE"""),"Very Good")</f>
        <v>Very Good</v>
      </c>
      <c r="AB1486" t="str">
        <f>IFERROR(__xludf.DUMMYFUNCTION("""COMPUTED_VALUE"""),"Excellent")</f>
        <v>Excellent</v>
      </c>
      <c r="AH1486" s="189">
        <f>IFERROR(__xludf.DUMMYFUNCTION("""COMPUTED_VALUE"""),43453.67422799769)</f>
        <v>43453.67423</v>
      </c>
    </row>
    <row r="1487">
      <c r="A1487" t="str">
        <f>IFERROR(__xludf.DUMMYFUNCTION("""COMPUTED_VALUE"""),"SubbaraoVadapalli")</f>
        <v>SubbaraoVadapalli</v>
      </c>
      <c r="B1487" t="str">
        <f>IFERROR(__xludf.DUMMYFUNCTION("""COMPUTED_VALUE"""),"Los Angeles")</f>
        <v>Los Angeles</v>
      </c>
      <c r="C1487" t="str">
        <f>IFERROR(__xludf.DUMMYFUNCTION("""COMPUTED_VALUE"""),"CA")</f>
        <v>CA</v>
      </c>
      <c r="D1487" t="str">
        <f>IFERROR(__xludf.DUMMYFUNCTION("""COMPUTED_VALUE"""),"USA")</f>
        <v>USA</v>
      </c>
      <c r="E1487" s="188">
        <f>IFERROR(__xludf.DUMMYFUNCTION("""COMPUTED_VALUE"""),43392.0)</f>
        <v>43392</v>
      </c>
      <c r="F1487" s="188">
        <f>IFERROR(__xludf.DUMMYFUNCTION("""COMPUTED_VALUE"""),43444.0)</f>
        <v>43444</v>
      </c>
      <c r="H1487">
        <f>IFERROR(__xludf.DUMMYFUNCTION("""COMPUTED_VALUE"""),160192.0)</f>
        <v>160192</v>
      </c>
      <c r="I1487" t="str">
        <f>IFERROR(__xludf.DUMMYFUNCTION("""COMPUTED_VALUE"""),"12/18")</f>
        <v>12/18</v>
      </c>
      <c r="J1487" s="5">
        <f>IFERROR(__xludf.DUMMYFUNCTION("""COMPUTED_VALUE"""),43452.0)</f>
        <v>43452</v>
      </c>
      <c r="K1487">
        <f>IFERROR(__xludf.DUMMYFUNCTION("""COMPUTED_VALUE"""),52.0)</f>
        <v>52</v>
      </c>
      <c r="L1487">
        <f>IFERROR(__xludf.DUMMYFUNCTION("""COMPUTED_VALUE"""),8.0)</f>
        <v>8</v>
      </c>
      <c r="M1487">
        <f>IFERROR(__xludf.DUMMYFUNCTION("""COMPUTED_VALUE"""),60.0)</f>
        <v>60</v>
      </c>
      <c r="N1487" t="str">
        <f>IFERROR(__xludf.DUMMYFUNCTION("""COMPUTED_VALUE"""),"Model 3 MR")</f>
        <v>Model 3 MR</v>
      </c>
      <c r="O1487" t="str">
        <f>IFERROR(__xludf.DUMMYFUNCTION("""COMPUTED_VALUE"""),"Deep Blue Metallic")</f>
        <v>Deep Blue Metallic</v>
      </c>
      <c r="P1487" t="str">
        <f>IFERROR(__xludf.DUMMYFUNCTION("""COMPUTED_VALUE"""),"18 inch Aero")</f>
        <v>18 inch Aero</v>
      </c>
      <c r="Q1487" t="str">
        <f>IFERROR(__xludf.DUMMYFUNCTION("""COMPUTED_VALUE"""),"Black seats")</f>
        <v>Black seats</v>
      </c>
      <c r="R1487" t="str">
        <f>IFERROR(__xludf.DUMMYFUNCTION("""COMPUTED_VALUE"""),"None")</f>
        <v>None</v>
      </c>
      <c r="X1487" t="str">
        <f>IFERROR(__xludf.DUMMYFUNCTION("""COMPUTED_VALUE"""),"Excellent")</f>
        <v>Excellent</v>
      </c>
      <c r="Y1487" t="str">
        <f>IFERROR(__xludf.DUMMYFUNCTION("""COMPUTED_VALUE"""),"Excellent")</f>
        <v>Excellent</v>
      </c>
      <c r="Z1487" t="str">
        <f>IFERROR(__xludf.DUMMYFUNCTION("""COMPUTED_VALUE"""),"Excellent")</f>
        <v>Excellent</v>
      </c>
      <c r="AA1487" t="str">
        <f>IFERROR(__xludf.DUMMYFUNCTION("""COMPUTED_VALUE"""),"Good")</f>
        <v>Good</v>
      </c>
      <c r="AB1487" t="str">
        <f>IFERROR(__xludf.DUMMYFUNCTION("""COMPUTED_VALUE"""),"Very Good")</f>
        <v>Very Good</v>
      </c>
      <c r="AH1487" s="189">
        <f>IFERROR(__xludf.DUMMYFUNCTION("""COMPUTED_VALUE"""),43453.67975053241)</f>
        <v>43453.67975</v>
      </c>
    </row>
    <row r="1488">
      <c r="A1488" t="str">
        <f>IFERROR(__xludf.DUMMYFUNCTION("""COMPUTED_VALUE"""),"Awillie ")</f>
        <v>Awillie </v>
      </c>
      <c r="B1488" t="str">
        <f>IFERROR(__xludf.DUMMYFUNCTION("""COMPUTED_VALUE"""),"Phoenix")</f>
        <v>Phoenix</v>
      </c>
      <c r="C1488" t="str">
        <f>IFERROR(__xludf.DUMMYFUNCTION("""COMPUTED_VALUE"""),"AZ")</f>
        <v>AZ</v>
      </c>
      <c r="D1488" t="str">
        <f>IFERROR(__xludf.DUMMYFUNCTION("""COMPUTED_VALUE"""),"USA")</f>
        <v>USA</v>
      </c>
      <c r="E1488" s="188">
        <f>IFERROR(__xludf.DUMMYFUNCTION("""COMPUTED_VALUE"""),43392.0)</f>
        <v>43392</v>
      </c>
      <c r="F1488" s="188">
        <f>IFERROR(__xludf.DUMMYFUNCTION("""COMPUTED_VALUE"""),43450.0)</f>
        <v>43450</v>
      </c>
      <c r="H1488">
        <f>IFERROR(__xludf.DUMMYFUNCTION("""COMPUTED_VALUE"""),160155.0)</f>
        <v>160155</v>
      </c>
      <c r="I1488" t="str">
        <f>IFERROR(__xludf.DUMMYFUNCTION("""COMPUTED_VALUE"""),"12/18")</f>
        <v>12/18</v>
      </c>
      <c r="J1488" s="5">
        <f>IFERROR(__xludf.DUMMYFUNCTION("""COMPUTED_VALUE"""),43453.0)</f>
        <v>43453</v>
      </c>
      <c r="K1488">
        <f>IFERROR(__xludf.DUMMYFUNCTION("""COMPUTED_VALUE"""),58.0)</f>
        <v>58</v>
      </c>
      <c r="L1488">
        <f>IFERROR(__xludf.DUMMYFUNCTION("""COMPUTED_VALUE"""),3.0)</f>
        <v>3</v>
      </c>
      <c r="M1488">
        <f>IFERROR(__xludf.DUMMYFUNCTION("""COMPUTED_VALUE"""),61.0)</f>
        <v>61</v>
      </c>
      <c r="N1488" t="str">
        <f>IFERROR(__xludf.DUMMYFUNCTION("""COMPUTED_VALUE"""),"Model 3 MR")</f>
        <v>Model 3 MR</v>
      </c>
      <c r="O1488" t="str">
        <f>IFERROR(__xludf.DUMMYFUNCTION("""COMPUTED_VALUE"""),"Deep Blue Metallic")</f>
        <v>Deep Blue Metallic</v>
      </c>
      <c r="P1488" t="str">
        <f>IFERROR(__xludf.DUMMYFUNCTION("""COMPUTED_VALUE"""),"18 inch Aero")</f>
        <v>18 inch Aero</v>
      </c>
      <c r="Q1488" t="str">
        <f>IFERROR(__xludf.DUMMYFUNCTION("""COMPUTED_VALUE"""),"Black seats")</f>
        <v>Black seats</v>
      </c>
      <c r="R1488" t="str">
        <f>IFERROR(__xludf.DUMMYFUNCTION("""COMPUTED_VALUE"""),"Enhanced Autopilot")</f>
        <v>Enhanced Autopilot</v>
      </c>
      <c r="Z1488" t="str">
        <f>IFERROR(__xludf.DUMMYFUNCTION("""COMPUTED_VALUE"""),"Excellent")</f>
        <v>Excellent</v>
      </c>
      <c r="AA1488" t="str">
        <f>IFERROR(__xludf.DUMMYFUNCTION("""COMPUTED_VALUE"""),"Very Good")</f>
        <v>Very Good</v>
      </c>
      <c r="AB1488" t="str">
        <f>IFERROR(__xludf.DUMMYFUNCTION("""COMPUTED_VALUE"""),"Very Good")</f>
        <v>Very Good</v>
      </c>
      <c r="AH1488" s="189">
        <f>IFERROR(__xludf.DUMMYFUNCTION("""COMPUTED_VALUE"""),43453.7453143287)</f>
        <v>43453.74531</v>
      </c>
    </row>
    <row r="1489">
      <c r="A1489" t="str">
        <f>IFERROR(__xludf.DUMMYFUNCTION("""COMPUTED_VALUE"""),"Dgump")</f>
        <v>Dgump</v>
      </c>
      <c r="B1489" t="str">
        <f>IFERROR(__xludf.DUMMYFUNCTION("""COMPUTED_VALUE"""),"Los Angeles")</f>
        <v>Los Angeles</v>
      </c>
      <c r="C1489" t="str">
        <f>IFERROR(__xludf.DUMMYFUNCTION("""COMPUTED_VALUE"""),"CA")</f>
        <v>CA</v>
      </c>
      <c r="D1489" t="str">
        <f>IFERROR(__xludf.DUMMYFUNCTION("""COMPUTED_VALUE"""),"USA")</f>
        <v>USA</v>
      </c>
      <c r="E1489" s="188">
        <f>IFERROR(__xludf.DUMMYFUNCTION("""COMPUTED_VALUE"""),43407.0)</f>
        <v>43407</v>
      </c>
      <c r="F1489" s="188">
        <f>IFERROR(__xludf.DUMMYFUNCTION("""COMPUTED_VALUE"""),43450.0)</f>
        <v>43450</v>
      </c>
      <c r="H1489">
        <f>IFERROR(__xludf.DUMMYFUNCTION("""COMPUTED_VALUE"""),171555.0)</f>
        <v>171555</v>
      </c>
      <c r="I1489" t="str">
        <f>IFERROR(__xludf.DUMMYFUNCTION("""COMPUTED_VALUE"""),"12/18")</f>
        <v>12/18</v>
      </c>
      <c r="J1489" s="5">
        <f>IFERROR(__xludf.DUMMYFUNCTION("""COMPUTED_VALUE"""),43453.0)</f>
        <v>43453</v>
      </c>
      <c r="K1489">
        <f>IFERROR(__xludf.DUMMYFUNCTION("""COMPUTED_VALUE"""),43.0)</f>
        <v>43</v>
      </c>
      <c r="L1489">
        <f>IFERROR(__xludf.DUMMYFUNCTION("""COMPUTED_VALUE"""),3.0)</f>
        <v>3</v>
      </c>
      <c r="M1489">
        <f>IFERROR(__xludf.DUMMYFUNCTION("""COMPUTED_VALUE"""),46.0)</f>
        <v>46</v>
      </c>
      <c r="N1489" t="str">
        <f>IFERROR(__xludf.DUMMYFUNCTION("""COMPUTED_VALUE"""),"Model 3 MR")</f>
        <v>Model 3 MR</v>
      </c>
      <c r="O1489" t="str">
        <f>IFERROR(__xludf.DUMMYFUNCTION("""COMPUTED_VALUE"""),"Solid Black")</f>
        <v>Solid Black</v>
      </c>
      <c r="P1489" t="str">
        <f>IFERROR(__xludf.DUMMYFUNCTION("""COMPUTED_VALUE"""),"18 inch Aero")</f>
        <v>18 inch Aero</v>
      </c>
      <c r="Q1489" t="str">
        <f>IFERROR(__xludf.DUMMYFUNCTION("""COMPUTED_VALUE"""),"Black seats")</f>
        <v>Black seats</v>
      </c>
      <c r="R1489" t="str">
        <f>IFERROR(__xludf.DUMMYFUNCTION("""COMPUTED_VALUE"""),"Enhanced Autopilot")</f>
        <v>Enhanced Autopilot</v>
      </c>
      <c r="X1489" t="str">
        <f>IFERROR(__xludf.DUMMYFUNCTION("""COMPUTED_VALUE"""),"Excellent")</f>
        <v>Excellent</v>
      </c>
      <c r="Y1489" t="str">
        <f>IFERROR(__xludf.DUMMYFUNCTION("""COMPUTED_VALUE"""),"Excellent")</f>
        <v>Excellent</v>
      </c>
      <c r="Z1489" t="str">
        <f>IFERROR(__xludf.DUMMYFUNCTION("""COMPUTED_VALUE"""),"Excellent")</f>
        <v>Excellent</v>
      </c>
      <c r="AA1489" t="str">
        <f>IFERROR(__xludf.DUMMYFUNCTION("""COMPUTED_VALUE"""),"Very Good")</f>
        <v>Very Good</v>
      </c>
      <c r="AB1489" t="str">
        <f>IFERROR(__xludf.DUMMYFUNCTION("""COMPUTED_VALUE"""),"Very Good")</f>
        <v>Very Good</v>
      </c>
      <c r="AG1489" t="str">
        <f>IFERROR(__xludf.DUMMYFUNCTION("""COMPUTED_VALUE"""),"delivery window scheduled 12/12-12/24")</f>
        <v>delivery window scheduled 12/12-12/24</v>
      </c>
      <c r="AH1489" s="189">
        <f>IFERROR(__xludf.DUMMYFUNCTION("""COMPUTED_VALUE"""),43454.043443877315)</f>
        <v>43454.04344</v>
      </c>
    </row>
    <row r="1490">
      <c r="A1490" t="str">
        <f>IFERROR(__xludf.DUMMYFUNCTION("""COMPUTED_VALUE"""),"beedward")</f>
        <v>beedward</v>
      </c>
      <c r="B1490" t="str">
        <f>IFERROR(__xludf.DUMMYFUNCTION("""COMPUTED_VALUE"""),"Raleigh")</f>
        <v>Raleigh</v>
      </c>
      <c r="C1490" t="str">
        <f>IFERROR(__xludf.DUMMYFUNCTION("""COMPUTED_VALUE"""),"NC")</f>
        <v>NC</v>
      </c>
      <c r="D1490" t="str">
        <f>IFERROR(__xludf.DUMMYFUNCTION("""COMPUTED_VALUE"""),"USA")</f>
        <v>USA</v>
      </c>
      <c r="E1490" s="188">
        <f>IFERROR(__xludf.DUMMYFUNCTION("""COMPUTED_VALUE"""),43387.0)</f>
        <v>43387</v>
      </c>
      <c r="F1490" s="188">
        <f>IFERROR(__xludf.DUMMYFUNCTION("""COMPUTED_VALUE"""),43400.0)</f>
        <v>43400</v>
      </c>
      <c r="H1490">
        <f>IFERROR(__xludf.DUMMYFUNCTION("""COMPUTED_VALUE"""),122855.0)</f>
        <v>122855</v>
      </c>
      <c r="I1490" t="str">
        <f>IFERROR(__xludf.DUMMYFUNCTION("""COMPUTED_VALUE"""),"10/18")</f>
        <v>10/18</v>
      </c>
      <c r="J1490" s="5">
        <f>IFERROR(__xludf.DUMMYFUNCTION("""COMPUTED_VALUE"""),43425.0)</f>
        <v>43425</v>
      </c>
      <c r="K1490">
        <f>IFERROR(__xludf.DUMMYFUNCTION("""COMPUTED_VALUE"""),13.0)</f>
        <v>13</v>
      </c>
      <c r="L1490">
        <f>IFERROR(__xludf.DUMMYFUNCTION("""COMPUTED_VALUE"""),25.0)</f>
        <v>25</v>
      </c>
      <c r="M1490">
        <f>IFERROR(__xludf.DUMMYFUNCTION("""COMPUTED_VALUE"""),38.0)</f>
        <v>38</v>
      </c>
      <c r="N1490" t="str">
        <f>IFERROR(__xludf.DUMMYFUNCTION("""COMPUTED_VALUE"""),"Model 3 LR")</f>
        <v>Model 3 LR</v>
      </c>
      <c r="O1490" t="str">
        <f>IFERROR(__xludf.DUMMYFUNCTION("""COMPUTED_VALUE"""),"Solid Black")</f>
        <v>Solid Black</v>
      </c>
      <c r="P1490" t="str">
        <f>IFERROR(__xludf.DUMMYFUNCTION("""COMPUTED_VALUE"""),"18 inch Aero")</f>
        <v>18 inch Aero</v>
      </c>
      <c r="Q1490" t="str">
        <f>IFERROR(__xludf.DUMMYFUNCTION("""COMPUTED_VALUE"""),"Black seats")</f>
        <v>Black seats</v>
      </c>
      <c r="R1490" t="str">
        <f>IFERROR(__xludf.DUMMYFUNCTION("""COMPUTED_VALUE"""),"Enhanced Autopilot")</f>
        <v>Enhanced Autopilot</v>
      </c>
      <c r="X1490" t="str">
        <f>IFERROR(__xludf.DUMMYFUNCTION("""COMPUTED_VALUE"""),"Excellent")</f>
        <v>Excellent</v>
      </c>
      <c r="Y1490" t="str">
        <f>IFERROR(__xludf.DUMMYFUNCTION("""COMPUTED_VALUE"""),"Excellent")</f>
        <v>Excellent</v>
      </c>
      <c r="Z1490" t="str">
        <f>IFERROR(__xludf.DUMMYFUNCTION("""COMPUTED_VALUE"""),"Excellent")</f>
        <v>Excellent</v>
      </c>
      <c r="AA1490" t="str">
        <f>IFERROR(__xludf.DUMMYFUNCTION("""COMPUTED_VALUE"""),"Good")</f>
        <v>Good</v>
      </c>
      <c r="AB1490" t="str">
        <f>IFERROR(__xludf.DUMMYFUNCTION("""COMPUTED_VALUE"""),"Very Good")</f>
        <v>Very Good</v>
      </c>
      <c r="AC1490">
        <f>IFERROR(__xludf.DUMMYFUNCTION("""COMPUTED_VALUE"""),0.0)</f>
        <v>0</v>
      </c>
      <c r="AD1490">
        <f>IFERROR(__xludf.DUMMYFUNCTION("""COMPUTED_VALUE"""),0.0)</f>
        <v>0</v>
      </c>
      <c r="AE1490">
        <f>IFERROR(__xludf.DUMMYFUNCTION("""COMPUTED_VALUE"""),0.0)</f>
        <v>0</v>
      </c>
      <c r="AH1490" s="189">
        <f>IFERROR(__xludf.DUMMYFUNCTION("""COMPUTED_VALUE"""),43454.32498157407)</f>
        <v>43454.32498</v>
      </c>
    </row>
    <row r="1491">
      <c r="A1491" t="str">
        <f>IFERROR(__xludf.DUMMYFUNCTION("""COMPUTED_VALUE"""),"rileytp")</f>
        <v>rileytp</v>
      </c>
      <c r="B1491" t="str">
        <f>IFERROR(__xludf.DUMMYFUNCTION("""COMPUTED_VALUE"""),"Summerville")</f>
        <v>Summerville</v>
      </c>
      <c r="C1491" t="str">
        <f>IFERROR(__xludf.DUMMYFUNCTION("""COMPUTED_VALUE"""),"SC")</f>
        <v>SC</v>
      </c>
      <c r="D1491" t="str">
        <f>IFERROR(__xludf.DUMMYFUNCTION("""COMPUTED_VALUE"""),"USA")</f>
        <v>USA</v>
      </c>
      <c r="E1491" s="188">
        <f>IFERROR(__xludf.DUMMYFUNCTION("""COMPUTED_VALUE"""),43392.0)</f>
        <v>43392</v>
      </c>
      <c r="F1491" s="188">
        <f>IFERROR(__xludf.DUMMYFUNCTION("""COMPUTED_VALUE"""),43430.0)</f>
        <v>43430</v>
      </c>
      <c r="J1491" s="5">
        <f>IFERROR(__xludf.DUMMYFUNCTION("""COMPUTED_VALUE"""),43450.0)</f>
        <v>43450</v>
      </c>
      <c r="K1491">
        <f>IFERROR(__xludf.DUMMYFUNCTION("""COMPUTED_VALUE"""),38.0)</f>
        <v>38</v>
      </c>
      <c r="L1491">
        <f>IFERROR(__xludf.DUMMYFUNCTION("""COMPUTED_VALUE"""),20.0)</f>
        <v>20</v>
      </c>
      <c r="M1491">
        <f>IFERROR(__xludf.DUMMYFUNCTION("""COMPUTED_VALUE"""),58.0)</f>
        <v>58</v>
      </c>
      <c r="N1491" t="str">
        <f>IFERROR(__xludf.DUMMYFUNCTION("""COMPUTED_VALUE"""),"Model 3 MR")</f>
        <v>Model 3 MR</v>
      </c>
      <c r="O1491" t="str">
        <f>IFERROR(__xludf.DUMMYFUNCTION("""COMPUTED_VALUE"""),"Midnight Silver Metallic")</f>
        <v>Midnight Silver Metallic</v>
      </c>
      <c r="P1491" t="str">
        <f>IFERROR(__xludf.DUMMYFUNCTION("""COMPUTED_VALUE"""),"19 inch Sport")</f>
        <v>19 inch Sport</v>
      </c>
      <c r="Q1491" t="str">
        <f>IFERROR(__xludf.DUMMYFUNCTION("""COMPUTED_VALUE"""),"Black seats")</f>
        <v>Black seats</v>
      </c>
      <c r="R1491" t="str">
        <f>IFERROR(__xludf.DUMMYFUNCTION("""COMPUTED_VALUE"""),"None")</f>
        <v>None</v>
      </c>
      <c r="X1491" t="str">
        <f>IFERROR(__xludf.DUMMYFUNCTION("""COMPUTED_VALUE"""),"Very Good")</f>
        <v>Very Good</v>
      </c>
      <c r="Y1491" t="str">
        <f>IFERROR(__xludf.DUMMYFUNCTION("""COMPUTED_VALUE"""),"Very Good")</f>
        <v>Very Good</v>
      </c>
      <c r="Z1491" t="str">
        <f>IFERROR(__xludf.DUMMYFUNCTION("""COMPUTED_VALUE"""),"Excellent")</f>
        <v>Excellent</v>
      </c>
      <c r="AA1491" t="str">
        <f>IFERROR(__xludf.DUMMYFUNCTION("""COMPUTED_VALUE"""),"Fair")</f>
        <v>Fair</v>
      </c>
      <c r="AB1491" t="str">
        <f>IFERROR(__xludf.DUMMYFUNCTION("""COMPUTED_VALUE"""),"Good")</f>
        <v>Good</v>
      </c>
      <c r="AC1491">
        <f>IFERROR(__xludf.DUMMYFUNCTION("""COMPUTED_VALUE"""),0.0)</f>
        <v>0</v>
      </c>
      <c r="AG1491" t="str">
        <f>IFERROR(__xludf.DUMMYFUNCTION("""COMPUTED_VALUE"""),"Car got stuck in Charlotte for several weeks due to snow.  It was delivered via third party and main Tesla Office didn't know the schedule.  Local Dealership was better informed but we had to continuously call")</f>
        <v>Car got stuck in Charlotte for several weeks due to snow.  It was delivered via third party and main Tesla Office didn't know the schedule.  Local Dealership was better informed but we had to continuously call</v>
      </c>
      <c r="AH1491" s="189">
        <f>IFERROR(__xludf.DUMMYFUNCTION("""COMPUTED_VALUE"""),43454.55434908565)</f>
        <v>43454.55435</v>
      </c>
    </row>
    <row r="1492">
      <c r="A1492" t="str">
        <f>IFERROR(__xludf.DUMMYFUNCTION("""COMPUTED_VALUE"""),"chris")</f>
        <v>chris</v>
      </c>
      <c r="B1492" t="str">
        <f>IFERROR(__xludf.DUMMYFUNCTION("""COMPUTED_VALUE"""),"Montreal")</f>
        <v>Montreal</v>
      </c>
      <c r="C1492" t="str">
        <f>IFERROR(__xludf.DUMMYFUNCTION("""COMPUTED_VALUE"""),"QC")</f>
        <v>QC</v>
      </c>
      <c r="D1492" t="str">
        <f>IFERROR(__xludf.DUMMYFUNCTION("""COMPUTED_VALUE"""),"Canada")</f>
        <v>Canada</v>
      </c>
      <c r="E1492" s="188">
        <f>IFERROR(__xludf.DUMMYFUNCTION("""COMPUTED_VALUE"""),43358.0)</f>
        <v>43358</v>
      </c>
      <c r="F1492" s="188">
        <f>IFERROR(__xludf.DUMMYFUNCTION("""COMPUTED_VALUE"""),43392.0)</f>
        <v>43392</v>
      </c>
      <c r="H1492">
        <f>IFERROR(__xludf.DUMMYFUNCTION("""COMPUTED_VALUE"""),107730.0)</f>
        <v>107730</v>
      </c>
      <c r="J1492" s="5">
        <f>IFERROR(__xludf.DUMMYFUNCTION("""COMPUTED_VALUE"""),43419.0)</f>
        <v>43419</v>
      </c>
      <c r="K1492">
        <f>IFERROR(__xludf.DUMMYFUNCTION("""COMPUTED_VALUE"""),34.0)</f>
        <v>34</v>
      </c>
      <c r="L1492">
        <f>IFERROR(__xludf.DUMMYFUNCTION("""COMPUTED_VALUE"""),27.0)</f>
        <v>27</v>
      </c>
      <c r="M1492">
        <f>IFERROR(__xludf.DUMMYFUNCTION("""COMPUTED_VALUE"""),61.0)</f>
        <v>61</v>
      </c>
      <c r="N1492" t="str">
        <f>IFERROR(__xludf.DUMMYFUNCTION("""COMPUTED_VALUE"""),"Model 3 LR AWD")</f>
        <v>Model 3 LR AWD</v>
      </c>
      <c r="O1492" t="str">
        <f>IFERROR(__xludf.DUMMYFUNCTION("""COMPUTED_VALUE"""),"Pearl White Multi-Coat")</f>
        <v>Pearl White Multi-Coat</v>
      </c>
      <c r="P1492" t="str">
        <f>IFERROR(__xludf.DUMMYFUNCTION("""COMPUTED_VALUE"""),"18 inch Aero")</f>
        <v>18 inch Aero</v>
      </c>
      <c r="Q1492" t="str">
        <f>IFERROR(__xludf.DUMMYFUNCTION("""COMPUTED_VALUE"""),"Black seats")</f>
        <v>Black seats</v>
      </c>
      <c r="R1492" t="str">
        <f>IFERROR(__xludf.DUMMYFUNCTION("""COMPUTED_VALUE"""),"Enhanced Autopilot")</f>
        <v>Enhanced Autopilot</v>
      </c>
      <c r="X1492" t="str">
        <f>IFERROR(__xludf.DUMMYFUNCTION("""COMPUTED_VALUE"""),"Very Good")</f>
        <v>Very Good</v>
      </c>
      <c r="Y1492" t="str">
        <f>IFERROR(__xludf.DUMMYFUNCTION("""COMPUTED_VALUE"""),"Excellent")</f>
        <v>Excellent</v>
      </c>
      <c r="Z1492" t="str">
        <f>IFERROR(__xludf.DUMMYFUNCTION("""COMPUTED_VALUE"""),"Excellent")</f>
        <v>Excellent</v>
      </c>
      <c r="AA1492" t="str">
        <f>IFERROR(__xludf.DUMMYFUNCTION("""COMPUTED_VALUE"""),"Very Good")</f>
        <v>Very Good</v>
      </c>
      <c r="AB1492" t="str">
        <f>IFERROR(__xludf.DUMMYFUNCTION("""COMPUTED_VALUE"""),"Very Good")</f>
        <v>Very Good</v>
      </c>
      <c r="AG1492" t="str">
        <f>IFERROR(__xludf.DUMMYFUNCTION("""COMPUTED_VALUE"""),"when I ordered my winter tire via tesla web site the tesla rep it will take between 2-3 week to get the tire.  It took 2 months.")</f>
        <v>when I ordered my winter tire via tesla web site the tesla rep it will take between 2-3 week to get the tire.  It took 2 months.</v>
      </c>
      <c r="AH1492" s="189">
        <f>IFERROR(__xludf.DUMMYFUNCTION("""COMPUTED_VALUE"""),43454.61967771991)</f>
        <v>43454.61968</v>
      </c>
    </row>
    <row r="1493">
      <c r="A1493" t="str">
        <f>IFERROR(__xludf.DUMMYFUNCTION("""COMPUTED_VALUE"""),"rajpatel486")</f>
        <v>rajpatel486</v>
      </c>
      <c r="B1493" t="str">
        <f>IFERROR(__xludf.DUMMYFUNCTION("""COMPUTED_VALUE"""),"Atlanta")</f>
        <v>Atlanta</v>
      </c>
      <c r="C1493" t="str">
        <f>IFERROR(__xludf.DUMMYFUNCTION("""COMPUTED_VALUE"""),"GA")</f>
        <v>GA</v>
      </c>
      <c r="D1493" t="str">
        <f>IFERROR(__xludf.DUMMYFUNCTION("""COMPUTED_VALUE"""),"USA")</f>
        <v>USA</v>
      </c>
      <c r="E1493" s="188">
        <f>IFERROR(__xludf.DUMMYFUNCTION("""COMPUTED_VALUE"""),43426.0)</f>
        <v>43426</v>
      </c>
      <c r="F1493" s="188">
        <f>IFERROR(__xludf.DUMMYFUNCTION("""COMPUTED_VALUE"""),43448.0)</f>
        <v>43448</v>
      </c>
      <c r="H1493">
        <f>IFERROR(__xludf.DUMMYFUNCTION("""COMPUTED_VALUE"""),155555.0)</f>
        <v>155555</v>
      </c>
      <c r="I1493" t="str">
        <f>IFERROR(__xludf.DUMMYFUNCTION("""COMPUTED_VALUE"""),"12/18")</f>
        <v>12/18</v>
      </c>
      <c r="J1493" s="5">
        <f>IFERROR(__xludf.DUMMYFUNCTION("""COMPUTED_VALUE"""),43453.0)</f>
        <v>43453</v>
      </c>
      <c r="K1493">
        <f>IFERROR(__xludf.DUMMYFUNCTION("""COMPUTED_VALUE"""),22.0)</f>
        <v>22</v>
      </c>
      <c r="L1493">
        <f>IFERROR(__xludf.DUMMYFUNCTION("""COMPUTED_VALUE"""),5.0)</f>
        <v>5</v>
      </c>
      <c r="M1493">
        <f>IFERROR(__xludf.DUMMYFUNCTION("""COMPUTED_VALUE"""),27.0)</f>
        <v>27</v>
      </c>
      <c r="N1493" t="str">
        <f>IFERROR(__xludf.DUMMYFUNCTION("""COMPUTED_VALUE"""),"Model 3 MR")</f>
        <v>Model 3 MR</v>
      </c>
      <c r="O1493" t="str">
        <f>IFERROR(__xludf.DUMMYFUNCTION("""COMPUTED_VALUE"""),"Midnight Silver Metallic")</f>
        <v>Midnight Silver Metallic</v>
      </c>
      <c r="P1493" t="str">
        <f>IFERROR(__xludf.DUMMYFUNCTION("""COMPUTED_VALUE"""),"18 inch Aero")</f>
        <v>18 inch Aero</v>
      </c>
      <c r="Q1493" t="str">
        <f>IFERROR(__xludf.DUMMYFUNCTION("""COMPUTED_VALUE"""),"White seats")</f>
        <v>White seats</v>
      </c>
      <c r="R1493" t="str">
        <f>IFERROR(__xludf.DUMMYFUNCTION("""COMPUTED_VALUE"""),"Enhanced Autopilot")</f>
        <v>Enhanced Autopilot</v>
      </c>
      <c r="X1493" t="str">
        <f>IFERROR(__xludf.DUMMYFUNCTION("""COMPUTED_VALUE"""),"Good")</f>
        <v>Good</v>
      </c>
      <c r="Y1493" t="str">
        <f>IFERROR(__xludf.DUMMYFUNCTION("""COMPUTED_VALUE"""),"Very Good")</f>
        <v>Very Good</v>
      </c>
      <c r="Z1493" t="str">
        <f>IFERROR(__xludf.DUMMYFUNCTION("""COMPUTED_VALUE"""),"Very Good")</f>
        <v>Very Good</v>
      </c>
      <c r="AA1493" t="str">
        <f>IFERROR(__xludf.DUMMYFUNCTION("""COMPUTED_VALUE"""),"Good")</f>
        <v>Good</v>
      </c>
      <c r="AB1493" t="str">
        <f>IFERROR(__xludf.DUMMYFUNCTION("""COMPUTED_VALUE"""),"Excellent")</f>
        <v>Excellent</v>
      </c>
      <c r="AH1493" s="189">
        <f>IFERROR(__xludf.DUMMYFUNCTION("""COMPUTED_VALUE"""),43454.7424178125)</f>
        <v>43454.74242</v>
      </c>
    </row>
    <row r="1494">
      <c r="A1494" t="str">
        <f>IFERROR(__xludf.DUMMYFUNCTION("""COMPUTED_VALUE"""),"rlr")</f>
        <v>rlr</v>
      </c>
      <c r="B1494" t="str">
        <f>IFERROR(__xludf.DUMMYFUNCTION("""COMPUTED_VALUE"""),"Sunnyvale")</f>
        <v>Sunnyvale</v>
      </c>
      <c r="C1494" t="str">
        <f>IFERROR(__xludf.DUMMYFUNCTION("""COMPUTED_VALUE"""),"CA")</f>
        <v>CA</v>
      </c>
      <c r="D1494" t="str">
        <f>IFERROR(__xludf.DUMMYFUNCTION("""COMPUTED_VALUE"""),"USA")</f>
        <v>USA</v>
      </c>
      <c r="E1494" s="188">
        <f>IFERROR(__xludf.DUMMYFUNCTION("""COMPUTED_VALUE"""),43393.0)</f>
        <v>43393</v>
      </c>
      <c r="F1494" s="188">
        <f>IFERROR(__xludf.DUMMYFUNCTION("""COMPUTED_VALUE"""),43446.0)</f>
        <v>43446</v>
      </c>
      <c r="H1494">
        <f>IFERROR(__xludf.DUMMYFUNCTION("""COMPUTED_VALUE"""),163155.0)</f>
        <v>163155</v>
      </c>
      <c r="J1494" s="5">
        <f>IFERROR(__xludf.DUMMYFUNCTION("""COMPUTED_VALUE"""),43453.0)</f>
        <v>43453</v>
      </c>
      <c r="K1494">
        <f>IFERROR(__xludf.DUMMYFUNCTION("""COMPUTED_VALUE"""),53.0)</f>
        <v>53</v>
      </c>
      <c r="L1494">
        <f>IFERROR(__xludf.DUMMYFUNCTION("""COMPUTED_VALUE"""),7.0)</f>
        <v>7</v>
      </c>
      <c r="M1494">
        <f>IFERROR(__xludf.DUMMYFUNCTION("""COMPUTED_VALUE"""),60.0)</f>
        <v>60</v>
      </c>
      <c r="N1494" t="str">
        <f>IFERROR(__xludf.DUMMYFUNCTION("""COMPUTED_VALUE"""),"Model 3 MR")</f>
        <v>Model 3 MR</v>
      </c>
      <c r="O1494" t="str">
        <f>IFERROR(__xludf.DUMMYFUNCTION("""COMPUTED_VALUE"""),"Midnight Silver Metallic")</f>
        <v>Midnight Silver Metallic</v>
      </c>
      <c r="P1494" t="str">
        <f>IFERROR(__xludf.DUMMYFUNCTION("""COMPUTED_VALUE"""),"19 inch Sport")</f>
        <v>19 inch Sport</v>
      </c>
      <c r="Q1494" t="str">
        <f>IFERROR(__xludf.DUMMYFUNCTION("""COMPUTED_VALUE"""),"Black seats")</f>
        <v>Black seats</v>
      </c>
      <c r="R1494" t="str">
        <f>IFERROR(__xludf.DUMMYFUNCTION("""COMPUTED_VALUE"""),"Enhanced Autopilot")</f>
        <v>Enhanced Autopilot</v>
      </c>
      <c r="X1494" t="str">
        <f>IFERROR(__xludf.DUMMYFUNCTION("""COMPUTED_VALUE"""),"Excellent")</f>
        <v>Excellent</v>
      </c>
      <c r="Y1494" t="str">
        <f>IFERROR(__xludf.DUMMYFUNCTION("""COMPUTED_VALUE"""),"Excellent")</f>
        <v>Excellent</v>
      </c>
      <c r="Z1494" t="str">
        <f>IFERROR(__xludf.DUMMYFUNCTION("""COMPUTED_VALUE"""),"Excellent")</f>
        <v>Excellent</v>
      </c>
      <c r="AA1494" t="str">
        <f>IFERROR(__xludf.DUMMYFUNCTION("""COMPUTED_VALUE"""),"Fair")</f>
        <v>Fair</v>
      </c>
      <c r="AB1494" t="str">
        <f>IFERROR(__xludf.DUMMYFUNCTION("""COMPUTED_VALUE"""),"Excellent")</f>
        <v>Excellent</v>
      </c>
      <c r="AG1494" t="str">
        <f>IFERROR(__xludf.DUMMYFUNCTION("""COMPUTED_VALUE"""),"Delivery pushed out a week (it was scheduled for too short of a timeframe).")</f>
        <v>Delivery pushed out a week (it was scheduled for too short of a timeframe).</v>
      </c>
      <c r="AH1494" s="189">
        <f>IFERROR(__xludf.DUMMYFUNCTION("""COMPUTED_VALUE"""),43454.91013099537)</f>
        <v>43454.91013</v>
      </c>
    </row>
    <row r="1495">
      <c r="A1495" t="str">
        <f>IFERROR(__xludf.DUMMYFUNCTION("""COMPUTED_VALUE"""),"cfandbmw")</f>
        <v>cfandbmw</v>
      </c>
      <c r="B1495" t="str">
        <f>IFERROR(__xludf.DUMMYFUNCTION("""COMPUTED_VALUE"""),"Long Beach")</f>
        <v>Long Beach</v>
      </c>
      <c r="C1495" t="str">
        <f>IFERROR(__xludf.DUMMYFUNCTION("""COMPUTED_VALUE"""),"CA")</f>
        <v>CA</v>
      </c>
      <c r="D1495" t="str">
        <f>IFERROR(__xludf.DUMMYFUNCTION("""COMPUTED_VALUE"""),"USA")</f>
        <v>USA</v>
      </c>
      <c r="E1495" s="188">
        <f>IFERROR(__xludf.DUMMYFUNCTION("""COMPUTED_VALUE"""),43395.0)</f>
        <v>43395</v>
      </c>
      <c r="F1495" s="188">
        <f>IFERROR(__xludf.DUMMYFUNCTION("""COMPUTED_VALUE"""),43449.0)</f>
        <v>43449</v>
      </c>
      <c r="H1495">
        <f>IFERROR(__xludf.DUMMYFUNCTION("""COMPUTED_VALUE"""),161955.0)</f>
        <v>161955</v>
      </c>
      <c r="J1495" s="5">
        <f>IFERROR(__xludf.DUMMYFUNCTION("""COMPUTED_VALUE"""),43454.0)</f>
        <v>43454</v>
      </c>
      <c r="K1495">
        <f>IFERROR(__xludf.DUMMYFUNCTION("""COMPUTED_VALUE"""),54.0)</f>
        <v>54</v>
      </c>
      <c r="L1495">
        <f>IFERROR(__xludf.DUMMYFUNCTION("""COMPUTED_VALUE"""),5.0)</f>
        <v>5</v>
      </c>
      <c r="M1495">
        <f>IFERROR(__xludf.DUMMYFUNCTION("""COMPUTED_VALUE"""),59.0)</f>
        <v>59</v>
      </c>
      <c r="N1495" t="str">
        <f>IFERROR(__xludf.DUMMYFUNCTION("""COMPUTED_VALUE"""),"Model 3 MR")</f>
        <v>Model 3 MR</v>
      </c>
      <c r="O1495" t="str">
        <f>IFERROR(__xludf.DUMMYFUNCTION("""COMPUTED_VALUE"""),"Pearl White Multi-Coat")</f>
        <v>Pearl White Multi-Coat</v>
      </c>
      <c r="P1495" t="str">
        <f>IFERROR(__xludf.DUMMYFUNCTION("""COMPUTED_VALUE"""),"18 inch Aero")</f>
        <v>18 inch Aero</v>
      </c>
      <c r="Q1495" t="str">
        <f>IFERROR(__xludf.DUMMYFUNCTION("""COMPUTED_VALUE"""),"Black seats")</f>
        <v>Black seats</v>
      </c>
      <c r="R1495" t="str">
        <f>IFERROR(__xludf.DUMMYFUNCTION("""COMPUTED_VALUE"""),"Enhanced Autopilot")</f>
        <v>Enhanced Autopilot</v>
      </c>
      <c r="X1495" t="str">
        <f>IFERROR(__xludf.DUMMYFUNCTION("""COMPUTED_VALUE"""),"Very Good")</f>
        <v>Very Good</v>
      </c>
      <c r="Y1495" t="str">
        <f>IFERROR(__xludf.DUMMYFUNCTION("""COMPUTED_VALUE"""),"Excellent")</f>
        <v>Excellent</v>
      </c>
      <c r="Z1495" t="str">
        <f>IFERROR(__xludf.DUMMYFUNCTION("""COMPUTED_VALUE"""),"Very Good")</f>
        <v>Very Good</v>
      </c>
      <c r="AA1495" t="str">
        <f>IFERROR(__xludf.DUMMYFUNCTION("""COMPUTED_VALUE"""),"Fair")</f>
        <v>Fair</v>
      </c>
      <c r="AB1495" t="str">
        <f>IFERROR(__xludf.DUMMYFUNCTION("""COMPUTED_VALUE"""),"Good")</f>
        <v>Good</v>
      </c>
      <c r="AG1495" t="str">
        <f>IFERROR(__xludf.DUMMYFUNCTION("""COMPUTED_VALUE"""),"Changed order from LR")</f>
        <v>Changed order from LR</v>
      </c>
      <c r="AH1495" s="189">
        <f>IFERROR(__xludf.DUMMYFUNCTION("""COMPUTED_VALUE"""),43455.306741875)</f>
        <v>43455.30674</v>
      </c>
    </row>
    <row r="1496">
      <c r="A1496" t="str">
        <f>IFERROR(__xludf.DUMMYFUNCTION("""COMPUTED_VALUE"""),"angrytaxman")</f>
        <v>angrytaxman</v>
      </c>
      <c r="B1496" t="str">
        <f>IFERROR(__xludf.DUMMYFUNCTION("""COMPUTED_VALUE"""),"Los Angeles, CA")</f>
        <v>Los Angeles, CA</v>
      </c>
      <c r="C1496" t="str">
        <f>IFERROR(__xludf.DUMMYFUNCTION("""COMPUTED_VALUE"""),"CA")</f>
        <v>CA</v>
      </c>
      <c r="D1496" t="str">
        <f>IFERROR(__xludf.DUMMYFUNCTION("""COMPUTED_VALUE"""),"USA")</f>
        <v>USA</v>
      </c>
      <c r="E1496" s="188">
        <f>IFERROR(__xludf.DUMMYFUNCTION("""COMPUTED_VALUE"""),43394.0)</f>
        <v>43394</v>
      </c>
      <c r="F1496" s="188">
        <f>IFERROR(__xludf.DUMMYFUNCTION("""COMPUTED_VALUE"""),43443.0)</f>
        <v>43443</v>
      </c>
      <c r="H1496">
        <f>IFERROR(__xludf.DUMMYFUNCTION("""COMPUTED_VALUE"""),161655.0)</f>
        <v>161655</v>
      </c>
      <c r="I1496" t="str">
        <f>IFERROR(__xludf.DUMMYFUNCTION("""COMPUTED_VALUE"""),"12/18")</f>
        <v>12/18</v>
      </c>
      <c r="J1496" s="5">
        <f>IFERROR(__xludf.DUMMYFUNCTION("""COMPUTED_VALUE"""),43449.0)</f>
        <v>43449</v>
      </c>
      <c r="K1496">
        <f>IFERROR(__xludf.DUMMYFUNCTION("""COMPUTED_VALUE"""),49.0)</f>
        <v>49</v>
      </c>
      <c r="L1496">
        <f>IFERROR(__xludf.DUMMYFUNCTION("""COMPUTED_VALUE"""),6.0)</f>
        <v>6</v>
      </c>
      <c r="M1496">
        <f>IFERROR(__xludf.DUMMYFUNCTION("""COMPUTED_VALUE"""),55.0)</f>
        <v>55</v>
      </c>
      <c r="N1496" t="str">
        <f>IFERROR(__xludf.DUMMYFUNCTION("""COMPUTED_VALUE"""),"Model 3 MR")</f>
        <v>Model 3 MR</v>
      </c>
      <c r="O1496" t="str">
        <f>IFERROR(__xludf.DUMMYFUNCTION("""COMPUTED_VALUE"""),"Pearl White Multi-Coat")</f>
        <v>Pearl White Multi-Coat</v>
      </c>
      <c r="P1496" t="str">
        <f>IFERROR(__xludf.DUMMYFUNCTION("""COMPUTED_VALUE"""),"18 inch Aero")</f>
        <v>18 inch Aero</v>
      </c>
      <c r="Q1496" t="str">
        <f>IFERROR(__xludf.DUMMYFUNCTION("""COMPUTED_VALUE"""),"Black seats")</f>
        <v>Black seats</v>
      </c>
      <c r="R1496" t="str">
        <f>IFERROR(__xludf.DUMMYFUNCTION("""COMPUTED_VALUE"""),"Enhanced Autopilot")</f>
        <v>Enhanced Autopilot</v>
      </c>
      <c r="X1496" t="str">
        <f>IFERROR(__xludf.DUMMYFUNCTION("""COMPUTED_VALUE"""),"Very Good")</f>
        <v>Very Good</v>
      </c>
      <c r="Y1496" t="str">
        <f>IFERROR(__xludf.DUMMYFUNCTION("""COMPUTED_VALUE"""),"Excellent")</f>
        <v>Excellent</v>
      </c>
      <c r="Z1496" t="str">
        <f>IFERROR(__xludf.DUMMYFUNCTION("""COMPUTED_VALUE"""),"Very Good")</f>
        <v>Very Good</v>
      </c>
      <c r="AA1496" t="str">
        <f>IFERROR(__xludf.DUMMYFUNCTION("""COMPUTED_VALUE"""),"Poor")</f>
        <v>Poor</v>
      </c>
      <c r="AB1496" t="str">
        <f>IFERROR(__xludf.DUMMYFUNCTION("""COMPUTED_VALUE"""),"Good")</f>
        <v>Good</v>
      </c>
      <c r="AC1496">
        <f>IFERROR(__xludf.DUMMYFUNCTION("""COMPUTED_VALUE"""),1.0)</f>
        <v>1</v>
      </c>
      <c r="AD1496">
        <f>IFERROR(__xludf.DUMMYFUNCTION("""COMPUTED_VALUE"""),1.0)</f>
        <v>1</v>
      </c>
      <c r="AG1496" t="str">
        <f>IFERROR(__xludf.DUMMYFUNCTION("""COMPUTED_VALUE"""),"Changed from black to white paint on 11/26/18")</f>
        <v>Changed from black to white paint on 11/26/18</v>
      </c>
      <c r="AH1496" s="189">
        <f>IFERROR(__xludf.DUMMYFUNCTION("""COMPUTED_VALUE"""),43455.42389327547)</f>
        <v>43455.42389</v>
      </c>
    </row>
    <row r="1497">
      <c r="A1497" t="str">
        <f>IFERROR(__xludf.DUMMYFUNCTION("""COMPUTED_VALUE"""),"powelles")</f>
        <v>powelles</v>
      </c>
      <c r="B1497" t="str">
        <f>IFERROR(__xludf.DUMMYFUNCTION("""COMPUTED_VALUE"""),"Portland")</f>
        <v>Portland</v>
      </c>
      <c r="C1497" t="str">
        <f>IFERROR(__xludf.DUMMYFUNCTION("""COMPUTED_VALUE"""),"OR")</f>
        <v>OR</v>
      </c>
      <c r="D1497" t="str">
        <f>IFERROR(__xludf.DUMMYFUNCTION("""COMPUTED_VALUE"""),"USA")</f>
        <v>USA</v>
      </c>
      <c r="E1497" s="188">
        <f>IFERROR(__xludf.DUMMYFUNCTION("""COMPUTED_VALUE"""),43404.0)</f>
        <v>43404</v>
      </c>
      <c r="F1497" s="188">
        <f>IFERROR(__xludf.DUMMYFUNCTION("""COMPUTED_VALUE"""),43451.0)</f>
        <v>43451</v>
      </c>
      <c r="H1497">
        <f>IFERROR(__xludf.DUMMYFUNCTION("""COMPUTED_VALUE"""),152055.0)</f>
        <v>152055</v>
      </c>
      <c r="I1497" t="str">
        <f>IFERROR(__xludf.DUMMYFUNCTION("""COMPUTED_VALUE"""),"12/18")</f>
        <v>12/18</v>
      </c>
      <c r="J1497" s="5">
        <f>IFERROR(__xludf.DUMMYFUNCTION("""COMPUTED_VALUE"""),43454.0)</f>
        <v>43454</v>
      </c>
      <c r="K1497">
        <f>IFERROR(__xludf.DUMMYFUNCTION("""COMPUTED_VALUE"""),47.0)</f>
        <v>47</v>
      </c>
      <c r="L1497">
        <f>IFERROR(__xludf.DUMMYFUNCTION("""COMPUTED_VALUE"""),3.0)</f>
        <v>3</v>
      </c>
      <c r="M1497">
        <f>IFERROR(__xludf.DUMMYFUNCTION("""COMPUTED_VALUE"""),50.0)</f>
        <v>50</v>
      </c>
      <c r="N1497" t="str">
        <f>IFERROR(__xludf.DUMMYFUNCTION("""COMPUTED_VALUE"""),"Model 3 MR")</f>
        <v>Model 3 MR</v>
      </c>
      <c r="O1497" t="str">
        <f>IFERROR(__xludf.DUMMYFUNCTION("""COMPUTED_VALUE"""),"Solid Black")</f>
        <v>Solid Black</v>
      </c>
      <c r="P1497" t="str">
        <f>IFERROR(__xludf.DUMMYFUNCTION("""COMPUTED_VALUE"""),"18 inch Aero")</f>
        <v>18 inch Aero</v>
      </c>
      <c r="Q1497" t="str">
        <f>IFERROR(__xludf.DUMMYFUNCTION("""COMPUTED_VALUE"""),"Black seats")</f>
        <v>Black seats</v>
      </c>
      <c r="R1497" t="str">
        <f>IFERROR(__xludf.DUMMYFUNCTION("""COMPUTED_VALUE"""),"None")</f>
        <v>None</v>
      </c>
      <c r="X1497" t="str">
        <f>IFERROR(__xludf.DUMMYFUNCTION("""COMPUTED_VALUE"""),"Very Good")</f>
        <v>Very Good</v>
      </c>
      <c r="Y1497" t="str">
        <f>IFERROR(__xludf.DUMMYFUNCTION("""COMPUTED_VALUE"""),"Excellent")</f>
        <v>Excellent</v>
      </c>
      <c r="Z1497" t="str">
        <f>IFERROR(__xludf.DUMMYFUNCTION("""COMPUTED_VALUE"""),"Excellent")</f>
        <v>Excellent</v>
      </c>
      <c r="AA1497" t="str">
        <f>IFERROR(__xludf.DUMMYFUNCTION("""COMPUTED_VALUE"""),"Very Good")</f>
        <v>Very Good</v>
      </c>
      <c r="AB1497" t="str">
        <f>IFERROR(__xludf.DUMMYFUNCTION("""COMPUTED_VALUE"""),"Excellent")</f>
        <v>Excellent</v>
      </c>
      <c r="AC1497">
        <f>IFERROR(__xludf.DUMMYFUNCTION("""COMPUTED_VALUE"""),0.0)</f>
        <v>0</v>
      </c>
      <c r="AD1497">
        <f>IFERROR(__xludf.DUMMYFUNCTION("""COMPUTED_VALUE"""),0.0)</f>
        <v>0</v>
      </c>
      <c r="AE1497">
        <f>IFERROR(__xludf.DUMMYFUNCTION("""COMPUTED_VALUE"""),0.0)</f>
        <v>0</v>
      </c>
      <c r="AH1497" s="189">
        <f>IFERROR(__xludf.DUMMYFUNCTION("""COMPUTED_VALUE"""),43455.61822020833)</f>
        <v>43455.61822</v>
      </c>
    </row>
    <row r="1498">
      <c r="A1498" t="str">
        <f>IFERROR(__xludf.DUMMYFUNCTION("""COMPUTED_VALUE"""),"vkana")</f>
        <v>vkana</v>
      </c>
      <c r="B1498" t="str">
        <f>IFERROR(__xludf.DUMMYFUNCTION("""COMPUTED_VALUE"""),"San Antonio")</f>
        <v>San Antonio</v>
      </c>
      <c r="C1498" t="str">
        <f>IFERROR(__xludf.DUMMYFUNCTION("""COMPUTED_VALUE"""),"TX")</f>
        <v>TX</v>
      </c>
      <c r="D1498" t="str">
        <f>IFERROR(__xludf.DUMMYFUNCTION("""COMPUTED_VALUE"""),"USA")</f>
        <v>USA</v>
      </c>
      <c r="E1498" s="188">
        <f>IFERROR(__xludf.DUMMYFUNCTION("""COMPUTED_VALUE"""),43417.0)</f>
        <v>43417</v>
      </c>
      <c r="F1498" s="188">
        <f>IFERROR(__xludf.DUMMYFUNCTION("""COMPUTED_VALUE"""),43443.0)</f>
        <v>43443</v>
      </c>
      <c r="H1498">
        <f>IFERROR(__xludf.DUMMYFUNCTION("""COMPUTED_VALUE"""),156375.0)</f>
        <v>156375</v>
      </c>
      <c r="I1498" t="str">
        <f>IFERROR(__xludf.DUMMYFUNCTION("""COMPUTED_VALUE"""),"12/18")</f>
        <v>12/18</v>
      </c>
      <c r="J1498" s="5">
        <f>IFERROR(__xludf.DUMMYFUNCTION("""COMPUTED_VALUE"""),43452.0)</f>
        <v>43452</v>
      </c>
      <c r="K1498">
        <f>IFERROR(__xludf.DUMMYFUNCTION("""COMPUTED_VALUE"""),26.0)</f>
        <v>26</v>
      </c>
      <c r="L1498">
        <f>IFERROR(__xludf.DUMMYFUNCTION("""COMPUTED_VALUE"""),9.0)</f>
        <v>9</v>
      </c>
      <c r="M1498">
        <f>IFERROR(__xludf.DUMMYFUNCTION("""COMPUTED_VALUE"""),35.0)</f>
        <v>35</v>
      </c>
      <c r="N1498" t="str">
        <f>IFERROR(__xludf.DUMMYFUNCTION("""COMPUTED_VALUE"""),"Model 3 MR")</f>
        <v>Model 3 MR</v>
      </c>
      <c r="O1498" t="str">
        <f>IFERROR(__xludf.DUMMYFUNCTION("""COMPUTED_VALUE"""),"Solid Black")</f>
        <v>Solid Black</v>
      </c>
      <c r="P1498" t="str">
        <f>IFERROR(__xludf.DUMMYFUNCTION("""COMPUTED_VALUE"""),"18 inch Aero")</f>
        <v>18 inch Aero</v>
      </c>
      <c r="Q1498" t="str">
        <f>IFERROR(__xludf.DUMMYFUNCTION("""COMPUTED_VALUE"""),"Black seats")</f>
        <v>Black seats</v>
      </c>
      <c r="R1498" t="str">
        <f>IFERROR(__xludf.DUMMYFUNCTION("""COMPUTED_VALUE"""),"Enhanced Autopilot")</f>
        <v>Enhanced Autopilot</v>
      </c>
      <c r="X1498" t="str">
        <f>IFERROR(__xludf.DUMMYFUNCTION("""COMPUTED_VALUE"""),"Excellent")</f>
        <v>Excellent</v>
      </c>
      <c r="Y1498" t="str">
        <f>IFERROR(__xludf.DUMMYFUNCTION("""COMPUTED_VALUE"""),"Excellent")</f>
        <v>Excellent</v>
      </c>
      <c r="Z1498" t="str">
        <f>IFERROR(__xludf.DUMMYFUNCTION("""COMPUTED_VALUE"""),"Fair")</f>
        <v>Fair</v>
      </c>
      <c r="AA1498" t="str">
        <f>IFERROR(__xludf.DUMMYFUNCTION("""COMPUTED_VALUE"""),"Excellent")</f>
        <v>Excellent</v>
      </c>
      <c r="AB1498" t="str">
        <f>IFERROR(__xludf.DUMMYFUNCTION("""COMPUTED_VALUE"""),"Good")</f>
        <v>Good</v>
      </c>
      <c r="AC1498">
        <f>IFERROR(__xludf.DUMMYFUNCTION("""COMPUTED_VALUE"""),4.0)</f>
        <v>4</v>
      </c>
      <c r="AG1498" t="str">
        <f>IFERROR(__xludf.DUMMYFUNCTION("""COMPUTED_VALUE"""),"5pm delivery. They tried to rush it. few paint issues and small crack in glass roof.")</f>
        <v>5pm delivery. They tried to rush it. few paint issues and small crack in glass roof.</v>
      </c>
      <c r="AH1498" s="189">
        <f>IFERROR(__xludf.DUMMYFUNCTION("""COMPUTED_VALUE"""),43455.87424430555)</f>
        <v>43455.87424</v>
      </c>
    </row>
    <row r="1499">
      <c r="A1499" t="str">
        <f>IFERROR(__xludf.DUMMYFUNCTION("""COMPUTED_VALUE"""),"dB")</f>
        <v>dB</v>
      </c>
      <c r="B1499" t="str">
        <f>IFERROR(__xludf.DUMMYFUNCTION("""COMPUTED_VALUE"""),"Austin")</f>
        <v>Austin</v>
      </c>
      <c r="C1499" t="str">
        <f>IFERROR(__xludf.DUMMYFUNCTION("""COMPUTED_VALUE"""),"TX")</f>
        <v>TX</v>
      </c>
      <c r="D1499" t="str">
        <f>IFERROR(__xludf.DUMMYFUNCTION("""COMPUTED_VALUE"""),"USA")</f>
        <v>USA</v>
      </c>
      <c r="E1499" s="188">
        <f>IFERROR(__xludf.DUMMYFUNCTION("""COMPUTED_VALUE"""),43421.0)</f>
        <v>43421</v>
      </c>
      <c r="F1499" s="188">
        <f>IFERROR(__xludf.DUMMYFUNCTION("""COMPUTED_VALUE"""),43438.0)</f>
        <v>43438</v>
      </c>
      <c r="H1499">
        <f>IFERROR(__xludf.DUMMYFUNCTION("""COMPUTED_VALUE"""),151755.0)</f>
        <v>151755</v>
      </c>
      <c r="I1499" t="str">
        <f>IFERROR(__xludf.DUMMYFUNCTION("""COMPUTED_VALUE"""),"12/18")</f>
        <v>12/18</v>
      </c>
      <c r="J1499" s="5">
        <f>IFERROR(__xludf.DUMMYFUNCTION("""COMPUTED_VALUE"""),43452.0)</f>
        <v>43452</v>
      </c>
      <c r="K1499">
        <f>IFERROR(__xludf.DUMMYFUNCTION("""COMPUTED_VALUE"""),17.0)</f>
        <v>17</v>
      </c>
      <c r="L1499">
        <f>IFERROR(__xludf.DUMMYFUNCTION("""COMPUTED_VALUE"""),14.0)</f>
        <v>14</v>
      </c>
      <c r="M1499">
        <f>IFERROR(__xludf.DUMMYFUNCTION("""COMPUTED_VALUE"""),31.0)</f>
        <v>31</v>
      </c>
      <c r="N1499" t="str">
        <f>IFERROR(__xludf.DUMMYFUNCTION("""COMPUTED_VALUE"""),"Model 3 MR")</f>
        <v>Model 3 MR</v>
      </c>
      <c r="O1499" t="str">
        <f>IFERROR(__xludf.DUMMYFUNCTION("""COMPUTED_VALUE"""),"Solid Black")</f>
        <v>Solid Black</v>
      </c>
      <c r="P1499" t="str">
        <f>IFERROR(__xludf.DUMMYFUNCTION("""COMPUTED_VALUE"""),"18 inch Aero")</f>
        <v>18 inch Aero</v>
      </c>
      <c r="Q1499" t="str">
        <f>IFERROR(__xludf.DUMMYFUNCTION("""COMPUTED_VALUE"""),"Black seats")</f>
        <v>Black seats</v>
      </c>
      <c r="R1499" t="str">
        <f>IFERROR(__xludf.DUMMYFUNCTION("""COMPUTED_VALUE"""),"None")</f>
        <v>None</v>
      </c>
      <c r="X1499" t="str">
        <f>IFERROR(__xludf.DUMMYFUNCTION("""COMPUTED_VALUE"""),"Excellent")</f>
        <v>Excellent</v>
      </c>
      <c r="Y1499" t="str">
        <f>IFERROR(__xludf.DUMMYFUNCTION("""COMPUTED_VALUE"""),"Excellent")</f>
        <v>Excellent</v>
      </c>
      <c r="Z1499" t="str">
        <f>IFERROR(__xludf.DUMMYFUNCTION("""COMPUTED_VALUE"""),"Excellent")</f>
        <v>Excellent</v>
      </c>
      <c r="AA1499" t="str">
        <f>IFERROR(__xludf.DUMMYFUNCTION("""COMPUTED_VALUE"""),"Good")</f>
        <v>Good</v>
      </c>
      <c r="AB1499" t="str">
        <f>IFERROR(__xludf.DUMMYFUNCTION("""COMPUTED_VALUE"""),"Excellent")</f>
        <v>Excellent</v>
      </c>
      <c r="AC1499">
        <f>IFERROR(__xludf.DUMMYFUNCTION("""COMPUTED_VALUE"""),0.0)</f>
        <v>0</v>
      </c>
      <c r="AD1499">
        <f>IFERROR(__xludf.DUMMYFUNCTION("""COMPUTED_VALUE"""),0.0)</f>
        <v>0</v>
      </c>
      <c r="AE1499">
        <f>IFERROR(__xludf.DUMMYFUNCTION("""COMPUTED_VALUE"""),0.0)</f>
        <v>0</v>
      </c>
      <c r="AH1499" s="189">
        <f>IFERROR(__xludf.DUMMYFUNCTION("""COMPUTED_VALUE"""),43456.30242784722)</f>
        <v>43456.30243</v>
      </c>
    </row>
    <row r="1500">
      <c r="A1500" t="str">
        <f>IFERROR(__xludf.DUMMYFUNCTION("""COMPUTED_VALUE"""),"Fakers")</f>
        <v>Fakers</v>
      </c>
      <c r="B1500" t="str">
        <f>IFERROR(__xludf.DUMMYFUNCTION("""COMPUTED_VALUE"""),"Las Vegas")</f>
        <v>Las Vegas</v>
      </c>
      <c r="C1500" t="str">
        <f>IFERROR(__xludf.DUMMYFUNCTION("""COMPUTED_VALUE"""),"NV")</f>
        <v>NV</v>
      </c>
      <c r="D1500" t="str">
        <f>IFERROR(__xludf.DUMMYFUNCTION("""COMPUTED_VALUE"""),"USA")</f>
        <v>USA</v>
      </c>
      <c r="E1500" s="188">
        <f>IFERROR(__xludf.DUMMYFUNCTION("""COMPUTED_VALUE"""),43409.0)</f>
        <v>43409</v>
      </c>
      <c r="F1500" s="188">
        <f>IFERROR(__xludf.DUMMYFUNCTION("""COMPUTED_VALUE"""),43451.0)</f>
        <v>43451</v>
      </c>
      <c r="H1500">
        <f>IFERROR(__xludf.DUMMYFUNCTION("""COMPUTED_VALUE"""),158055.0)</f>
        <v>158055</v>
      </c>
      <c r="I1500" t="str">
        <f>IFERROR(__xludf.DUMMYFUNCTION("""COMPUTED_VALUE"""),"12/18")</f>
        <v>12/18</v>
      </c>
      <c r="J1500" s="5">
        <f>IFERROR(__xludf.DUMMYFUNCTION("""COMPUTED_VALUE"""),43455.0)</f>
        <v>43455</v>
      </c>
      <c r="K1500">
        <f>IFERROR(__xludf.DUMMYFUNCTION("""COMPUTED_VALUE"""),42.0)</f>
        <v>42</v>
      </c>
      <c r="L1500">
        <f>IFERROR(__xludf.DUMMYFUNCTION("""COMPUTED_VALUE"""),4.0)</f>
        <v>4</v>
      </c>
      <c r="M1500">
        <f>IFERROR(__xludf.DUMMYFUNCTION("""COMPUTED_VALUE"""),46.0)</f>
        <v>46</v>
      </c>
      <c r="N1500" t="str">
        <f>IFERROR(__xludf.DUMMYFUNCTION("""COMPUTED_VALUE"""),"Model 3 MR")</f>
        <v>Model 3 MR</v>
      </c>
      <c r="O1500" t="str">
        <f>IFERROR(__xludf.DUMMYFUNCTION("""COMPUTED_VALUE"""),"Midnight Silver Metallic")</f>
        <v>Midnight Silver Metallic</v>
      </c>
      <c r="P1500" t="str">
        <f>IFERROR(__xludf.DUMMYFUNCTION("""COMPUTED_VALUE"""),"18 inch Aero")</f>
        <v>18 inch Aero</v>
      </c>
      <c r="Q1500" t="str">
        <f>IFERROR(__xludf.DUMMYFUNCTION("""COMPUTED_VALUE"""),"Black seats")</f>
        <v>Black seats</v>
      </c>
      <c r="R1500" t="str">
        <f>IFERROR(__xludf.DUMMYFUNCTION("""COMPUTED_VALUE"""),"None")</f>
        <v>None</v>
      </c>
      <c r="X1500" t="str">
        <f>IFERROR(__xludf.DUMMYFUNCTION("""COMPUTED_VALUE"""),"Excellent")</f>
        <v>Excellent</v>
      </c>
      <c r="Y1500" t="str">
        <f>IFERROR(__xludf.DUMMYFUNCTION("""COMPUTED_VALUE"""),"Excellent")</f>
        <v>Excellent</v>
      </c>
      <c r="Z1500" t="str">
        <f>IFERROR(__xludf.DUMMYFUNCTION("""COMPUTED_VALUE"""),"Excellent")</f>
        <v>Excellent</v>
      </c>
      <c r="AA1500" t="str">
        <f>IFERROR(__xludf.DUMMYFUNCTION("""COMPUTED_VALUE"""),"Excellent")</f>
        <v>Excellent</v>
      </c>
      <c r="AB1500" t="str">
        <f>IFERROR(__xludf.DUMMYFUNCTION("""COMPUTED_VALUE"""),"Excellent")</f>
        <v>Excellent</v>
      </c>
      <c r="AH1500" s="189">
        <f>IFERROR(__xludf.DUMMYFUNCTION("""COMPUTED_VALUE"""),43456.31329965278)</f>
        <v>43456.3133</v>
      </c>
    </row>
    <row r="1501">
      <c r="A1501" t="str">
        <f>IFERROR(__xludf.DUMMYFUNCTION("""COMPUTED_VALUE"""),"jon")</f>
        <v>jon</v>
      </c>
      <c r="B1501" t="str">
        <f>IFERROR(__xludf.DUMMYFUNCTION("""COMPUTED_VALUE"""),"Newbury")</f>
        <v>Newbury</v>
      </c>
      <c r="C1501" t="str">
        <f>IFERROR(__xludf.DUMMYFUNCTION("""COMPUTED_VALUE"""),"MA")</f>
        <v>MA</v>
      </c>
      <c r="D1501" t="str">
        <f>IFERROR(__xludf.DUMMYFUNCTION("""COMPUTED_VALUE"""),"USA")</f>
        <v>USA</v>
      </c>
      <c r="E1501" s="188">
        <f>IFERROR(__xludf.DUMMYFUNCTION("""COMPUTED_VALUE"""),43391.0)</f>
        <v>43391</v>
      </c>
      <c r="F1501" s="188">
        <f>IFERROR(__xludf.DUMMYFUNCTION("""COMPUTED_VALUE"""),43420.0)</f>
        <v>43420</v>
      </c>
      <c r="H1501">
        <f>IFERROR(__xludf.DUMMYFUNCTION("""COMPUTED_VALUE"""),153894.0)</f>
        <v>153894</v>
      </c>
      <c r="I1501" t="str">
        <f>IFERROR(__xludf.DUMMYFUNCTION("""COMPUTED_VALUE"""),"11/18")</f>
        <v>11/18</v>
      </c>
      <c r="J1501" s="5">
        <f>IFERROR(__xludf.DUMMYFUNCTION("""COMPUTED_VALUE"""),43448.0)</f>
        <v>43448</v>
      </c>
      <c r="K1501">
        <f>IFERROR(__xludf.DUMMYFUNCTION("""COMPUTED_VALUE"""),29.0)</f>
        <v>29</v>
      </c>
      <c r="L1501">
        <f>IFERROR(__xludf.DUMMYFUNCTION("""COMPUTED_VALUE"""),28.0)</f>
        <v>28</v>
      </c>
      <c r="M1501">
        <f>IFERROR(__xludf.DUMMYFUNCTION("""COMPUTED_VALUE"""),57.0)</f>
        <v>57</v>
      </c>
      <c r="N1501" t="str">
        <f>IFERROR(__xludf.DUMMYFUNCTION("""COMPUTED_VALUE"""),"Model 3 MR")</f>
        <v>Model 3 MR</v>
      </c>
      <c r="O1501" t="str">
        <f>IFERROR(__xludf.DUMMYFUNCTION("""COMPUTED_VALUE"""),"Red Multi-Coat")</f>
        <v>Red Multi-Coat</v>
      </c>
      <c r="P1501" t="str">
        <f>IFERROR(__xludf.DUMMYFUNCTION("""COMPUTED_VALUE"""),"18 inch Aero")</f>
        <v>18 inch Aero</v>
      </c>
      <c r="Q1501" t="str">
        <f>IFERROR(__xludf.DUMMYFUNCTION("""COMPUTED_VALUE"""),"Black seats")</f>
        <v>Black seats</v>
      </c>
      <c r="R1501" t="str">
        <f>IFERROR(__xludf.DUMMYFUNCTION("""COMPUTED_VALUE"""),"Enhanced Autopilot")</f>
        <v>Enhanced Autopilot</v>
      </c>
      <c r="X1501" t="str">
        <f>IFERROR(__xludf.DUMMYFUNCTION("""COMPUTED_VALUE"""),"Excellent")</f>
        <v>Excellent</v>
      </c>
      <c r="Y1501" t="str">
        <f>IFERROR(__xludf.DUMMYFUNCTION("""COMPUTED_VALUE"""),"Excellent")</f>
        <v>Excellent</v>
      </c>
      <c r="Z1501" t="str">
        <f>IFERROR(__xludf.DUMMYFUNCTION("""COMPUTED_VALUE"""),"Excellent")</f>
        <v>Excellent</v>
      </c>
      <c r="AA1501" t="str">
        <f>IFERROR(__xludf.DUMMYFUNCTION("""COMPUTED_VALUE"""),"Poor")</f>
        <v>Poor</v>
      </c>
      <c r="AB1501" t="str">
        <f>IFERROR(__xludf.DUMMYFUNCTION("""COMPUTED_VALUE"""),"Good")</f>
        <v>Good</v>
      </c>
      <c r="AC1501">
        <f>IFERROR(__xludf.DUMMYFUNCTION("""COMPUTED_VALUE"""),0.0)</f>
        <v>0</v>
      </c>
      <c r="AD1501">
        <f>IFERROR(__xludf.DUMMYFUNCTION("""COMPUTED_VALUE"""),0.0)</f>
        <v>0</v>
      </c>
      <c r="AE1501">
        <f>IFERROR(__xludf.DUMMYFUNCTION("""COMPUTED_VALUE"""),0.0)</f>
        <v>0</v>
      </c>
      <c r="AH1501" s="189">
        <f>IFERROR(__xludf.DUMMYFUNCTION("""COMPUTED_VALUE"""),43456.46492179398)</f>
        <v>43456.46492</v>
      </c>
    </row>
    <row r="1502">
      <c r="A1502" t="str">
        <f>IFERROR(__xludf.DUMMYFUNCTION("""COMPUTED_VALUE"""),"JLiken297")</f>
        <v>JLiken297</v>
      </c>
      <c r="B1502" t="str">
        <f>IFERROR(__xludf.DUMMYFUNCTION("""COMPUTED_VALUE"""),"San Diego")</f>
        <v>San Diego</v>
      </c>
      <c r="C1502" t="str">
        <f>IFERROR(__xludf.DUMMYFUNCTION("""COMPUTED_VALUE"""),"CA")</f>
        <v>CA</v>
      </c>
      <c r="D1502" t="str">
        <f>IFERROR(__xludf.DUMMYFUNCTION("""COMPUTED_VALUE"""),"USA")</f>
        <v>USA</v>
      </c>
      <c r="E1502" s="188">
        <f>IFERROR(__xludf.DUMMYFUNCTION("""COMPUTED_VALUE"""),43408.0)</f>
        <v>43408</v>
      </c>
      <c r="F1502" s="188">
        <f>IFERROR(__xludf.DUMMYFUNCTION("""COMPUTED_VALUE"""),43447.0)</f>
        <v>43447</v>
      </c>
      <c r="H1502">
        <f>IFERROR(__xludf.DUMMYFUNCTION("""COMPUTED_VALUE"""),169755.0)</f>
        <v>169755</v>
      </c>
      <c r="I1502" t="str">
        <f>IFERROR(__xludf.DUMMYFUNCTION("""COMPUTED_VALUE"""),"12/18")</f>
        <v>12/18</v>
      </c>
      <c r="J1502" s="5">
        <f>IFERROR(__xludf.DUMMYFUNCTION("""COMPUTED_VALUE"""),43449.0)</f>
        <v>43449</v>
      </c>
      <c r="K1502">
        <f>IFERROR(__xludf.DUMMYFUNCTION("""COMPUTED_VALUE"""),39.0)</f>
        <v>39</v>
      </c>
      <c r="L1502">
        <f>IFERROR(__xludf.DUMMYFUNCTION("""COMPUTED_VALUE"""),2.0)</f>
        <v>2</v>
      </c>
      <c r="M1502">
        <f>IFERROR(__xludf.DUMMYFUNCTION("""COMPUTED_VALUE"""),41.0)</f>
        <v>41</v>
      </c>
      <c r="N1502" t="str">
        <f>IFERROR(__xludf.DUMMYFUNCTION("""COMPUTED_VALUE"""),"Model 3 MR")</f>
        <v>Model 3 MR</v>
      </c>
      <c r="O1502" t="str">
        <f>IFERROR(__xludf.DUMMYFUNCTION("""COMPUTED_VALUE"""),"Pearl White Multi-Coat")</f>
        <v>Pearl White Multi-Coat</v>
      </c>
      <c r="P1502" t="str">
        <f>IFERROR(__xludf.DUMMYFUNCTION("""COMPUTED_VALUE"""),"19 inch Sport")</f>
        <v>19 inch Sport</v>
      </c>
      <c r="Q1502" t="str">
        <f>IFERROR(__xludf.DUMMYFUNCTION("""COMPUTED_VALUE"""),"White seats")</f>
        <v>White seats</v>
      </c>
      <c r="R1502" t="str">
        <f>IFERROR(__xludf.DUMMYFUNCTION("""COMPUTED_VALUE"""),"None")</f>
        <v>None</v>
      </c>
      <c r="X1502" t="str">
        <f>IFERROR(__xludf.DUMMYFUNCTION("""COMPUTED_VALUE"""),"Excellent")</f>
        <v>Excellent</v>
      </c>
      <c r="Y1502" t="str">
        <f>IFERROR(__xludf.DUMMYFUNCTION("""COMPUTED_VALUE"""),"Excellent")</f>
        <v>Excellent</v>
      </c>
      <c r="Z1502" t="str">
        <f>IFERROR(__xludf.DUMMYFUNCTION("""COMPUTED_VALUE"""),"Excellent")</f>
        <v>Excellent</v>
      </c>
      <c r="AA1502" t="str">
        <f>IFERROR(__xludf.DUMMYFUNCTION("""COMPUTED_VALUE"""),"Excellent")</f>
        <v>Excellent</v>
      </c>
      <c r="AB1502" t="str">
        <f>IFERROR(__xludf.DUMMYFUNCTION("""COMPUTED_VALUE"""),"Excellent")</f>
        <v>Excellent</v>
      </c>
      <c r="AH1502" s="189">
        <f>IFERROR(__xludf.DUMMYFUNCTION("""COMPUTED_VALUE"""),43457.231009814815)</f>
        <v>43457.23101</v>
      </c>
    </row>
    <row r="1503">
      <c r="A1503" t="str">
        <f>IFERROR(__xludf.DUMMYFUNCTION("""COMPUTED_VALUE"""),"geniuzdesign")</f>
        <v>geniuzdesign</v>
      </c>
      <c r="B1503" t="str">
        <f>IFERROR(__xludf.DUMMYFUNCTION("""COMPUTED_VALUE"""),"West Palm Beach")</f>
        <v>West Palm Beach</v>
      </c>
      <c r="C1503" t="str">
        <f>IFERROR(__xludf.DUMMYFUNCTION("""COMPUTED_VALUE"""),"FL")</f>
        <v>FL</v>
      </c>
      <c r="D1503" t="str">
        <f>IFERROR(__xludf.DUMMYFUNCTION("""COMPUTED_VALUE"""),"USA")</f>
        <v>USA</v>
      </c>
      <c r="E1503" s="188">
        <f>IFERROR(__xludf.DUMMYFUNCTION("""COMPUTED_VALUE"""),43281.0)</f>
        <v>43281</v>
      </c>
      <c r="F1503" s="188">
        <f>IFERROR(__xludf.DUMMYFUNCTION("""COMPUTED_VALUE"""),43432.0)</f>
        <v>43432</v>
      </c>
      <c r="H1503">
        <f>IFERROR(__xludf.DUMMYFUNCTION("""COMPUTED_VALUE"""),122975.0)</f>
        <v>122975</v>
      </c>
      <c r="I1503" t="str">
        <f>IFERROR(__xludf.DUMMYFUNCTION("""COMPUTED_VALUE"""),"10/18")</f>
        <v>10/18</v>
      </c>
      <c r="J1503" s="5">
        <f>IFERROR(__xludf.DUMMYFUNCTION("""COMPUTED_VALUE"""),43444.0)</f>
        <v>43444</v>
      </c>
      <c r="K1503">
        <f>IFERROR(__xludf.DUMMYFUNCTION("""COMPUTED_VALUE"""),151.0)</f>
        <v>151</v>
      </c>
      <c r="L1503">
        <f>IFERROR(__xludf.DUMMYFUNCTION("""COMPUTED_VALUE"""),12.0)</f>
        <v>12</v>
      </c>
      <c r="M1503">
        <f>IFERROR(__xludf.DUMMYFUNCTION("""COMPUTED_VALUE"""),163.0)</f>
        <v>163</v>
      </c>
      <c r="N1503" t="str">
        <f>IFERROR(__xludf.DUMMYFUNCTION("""COMPUTED_VALUE"""),"Model 3 LR")</f>
        <v>Model 3 LR</v>
      </c>
      <c r="O1503" t="str">
        <f>IFERROR(__xludf.DUMMYFUNCTION("""COMPUTED_VALUE"""),"Solid Black")</f>
        <v>Solid Black</v>
      </c>
      <c r="P1503" t="str">
        <f>IFERROR(__xludf.DUMMYFUNCTION("""COMPUTED_VALUE"""),"18 inch Aero")</f>
        <v>18 inch Aero</v>
      </c>
      <c r="Q1503" t="str">
        <f>IFERROR(__xludf.DUMMYFUNCTION("""COMPUTED_VALUE"""),"Black seats")</f>
        <v>Black seats</v>
      </c>
      <c r="R1503" t="str">
        <f>IFERROR(__xludf.DUMMYFUNCTION("""COMPUTED_VALUE"""),"None")</f>
        <v>None</v>
      </c>
      <c r="X1503" t="str">
        <f>IFERROR(__xludf.DUMMYFUNCTION("""COMPUTED_VALUE"""),"Excellent")</f>
        <v>Excellent</v>
      </c>
      <c r="Y1503" t="str">
        <f>IFERROR(__xludf.DUMMYFUNCTION("""COMPUTED_VALUE"""),"Excellent")</f>
        <v>Excellent</v>
      </c>
      <c r="Z1503" t="str">
        <f>IFERROR(__xludf.DUMMYFUNCTION("""COMPUTED_VALUE"""),"Excellent")</f>
        <v>Excellent</v>
      </c>
      <c r="AA1503" t="str">
        <f>IFERROR(__xludf.DUMMYFUNCTION("""COMPUTED_VALUE"""),"Excellent")</f>
        <v>Excellent</v>
      </c>
      <c r="AB1503" t="str">
        <f>IFERROR(__xludf.DUMMYFUNCTION("""COMPUTED_VALUE"""),"Excellent")</f>
        <v>Excellent</v>
      </c>
      <c r="AC1503">
        <f>IFERROR(__xludf.DUMMYFUNCTION("""COMPUTED_VALUE"""),1.0)</f>
        <v>1</v>
      </c>
      <c r="AD1503">
        <f>IFERROR(__xludf.DUMMYFUNCTION("""COMPUTED_VALUE"""),0.0)</f>
        <v>0</v>
      </c>
      <c r="AE1503">
        <f>IFERROR(__xludf.DUMMYFUNCTION("""COMPUTED_VALUE"""),0.0)</f>
        <v>0</v>
      </c>
      <c r="AH1503" s="189">
        <f>IFERROR(__xludf.DUMMYFUNCTION("""COMPUTED_VALUE"""),43458.36497447916)</f>
        <v>43458.36497</v>
      </c>
    </row>
    <row r="1504">
      <c r="A1504" t="str">
        <f>IFERROR(__xludf.DUMMYFUNCTION("""COMPUTED_VALUE"""),"sfbayM3LeMR")</f>
        <v>sfbayM3LeMR</v>
      </c>
      <c r="B1504" t="str">
        <f>IFERROR(__xludf.DUMMYFUNCTION("""COMPUTED_VALUE"""),"Oakland")</f>
        <v>Oakland</v>
      </c>
      <c r="C1504" t="str">
        <f>IFERROR(__xludf.DUMMYFUNCTION("""COMPUTED_VALUE"""),"CA")</f>
        <v>CA</v>
      </c>
      <c r="D1504" t="str">
        <f>IFERROR(__xludf.DUMMYFUNCTION("""COMPUTED_VALUE"""),"USA")</f>
        <v>USA</v>
      </c>
      <c r="E1504" s="188">
        <f>IFERROR(__xludf.DUMMYFUNCTION("""COMPUTED_VALUE"""),43391.0)</f>
        <v>43391</v>
      </c>
      <c r="H1504">
        <f>IFERROR(__xludf.DUMMYFUNCTION("""COMPUTED_VALUE"""),166255.0)</f>
        <v>166255</v>
      </c>
      <c r="I1504" t="str">
        <f>IFERROR(__xludf.DUMMYFUNCTION("""COMPUTED_VALUE"""),"12/18")</f>
        <v>12/18</v>
      </c>
      <c r="J1504" s="5">
        <f>IFERROR(__xludf.DUMMYFUNCTION("""COMPUTED_VALUE"""),43456.0)</f>
        <v>43456</v>
      </c>
      <c r="M1504">
        <f>IFERROR(__xludf.DUMMYFUNCTION("""COMPUTED_VALUE"""),65.0)</f>
        <v>65</v>
      </c>
      <c r="N1504" t="str">
        <f>IFERROR(__xludf.DUMMYFUNCTION("""COMPUTED_VALUE"""),"Model 3 MR")</f>
        <v>Model 3 MR</v>
      </c>
      <c r="O1504" t="str">
        <f>IFERROR(__xludf.DUMMYFUNCTION("""COMPUTED_VALUE"""),"Solid Black")</f>
        <v>Solid Black</v>
      </c>
      <c r="P1504" t="str">
        <f>IFERROR(__xludf.DUMMYFUNCTION("""COMPUTED_VALUE"""),"18 inch Aero")</f>
        <v>18 inch Aero</v>
      </c>
      <c r="Q1504" t="str">
        <f>IFERROR(__xludf.DUMMYFUNCTION("""COMPUTED_VALUE"""),"White seats")</f>
        <v>White seats</v>
      </c>
      <c r="R1504" t="str">
        <f>IFERROR(__xludf.DUMMYFUNCTION("""COMPUTED_VALUE"""),"None")</f>
        <v>None</v>
      </c>
      <c r="X1504" t="str">
        <f>IFERROR(__xludf.DUMMYFUNCTION("""COMPUTED_VALUE"""),"Fair")</f>
        <v>Fair</v>
      </c>
      <c r="Y1504" t="str">
        <f>IFERROR(__xludf.DUMMYFUNCTION("""COMPUTED_VALUE"""),"Good")</f>
        <v>Good</v>
      </c>
      <c r="Z1504" t="str">
        <f>IFERROR(__xludf.DUMMYFUNCTION("""COMPUTED_VALUE"""),"Fair")</f>
        <v>Fair</v>
      </c>
      <c r="AA1504" t="str">
        <f>IFERROR(__xludf.DUMMYFUNCTION("""COMPUTED_VALUE"""),"Excellent")</f>
        <v>Excellent</v>
      </c>
      <c r="AB1504" t="str">
        <f>IFERROR(__xludf.DUMMYFUNCTION("""COMPUTED_VALUE"""),"Very Good")</f>
        <v>Very Good</v>
      </c>
      <c r="AC1504">
        <f>IFERROR(__xludf.DUMMYFUNCTION("""COMPUTED_VALUE"""),2.0)</f>
        <v>2</v>
      </c>
      <c r="AH1504" s="189">
        <f>IFERROR(__xludf.DUMMYFUNCTION("""COMPUTED_VALUE"""),43458.4383250463)</f>
        <v>43458.43833</v>
      </c>
    </row>
    <row r="1505">
      <c r="A1505" t="str">
        <f>IFERROR(__xludf.DUMMYFUNCTION("""COMPUTED_VALUE"""),"jenfr")</f>
        <v>jenfr</v>
      </c>
      <c r="B1505" t="str">
        <f>IFERROR(__xludf.DUMMYFUNCTION("""COMPUTED_VALUE"""),"Portland")</f>
        <v>Portland</v>
      </c>
      <c r="C1505" t="str">
        <f>IFERROR(__xludf.DUMMYFUNCTION("""COMPUTED_VALUE"""),"OR")</f>
        <v>OR</v>
      </c>
      <c r="D1505" t="str">
        <f>IFERROR(__xludf.DUMMYFUNCTION("""COMPUTED_VALUE"""),"USA")</f>
        <v>USA</v>
      </c>
      <c r="E1505" s="188">
        <f>IFERROR(__xludf.DUMMYFUNCTION("""COMPUTED_VALUE"""),43392.0)</f>
        <v>43392</v>
      </c>
      <c r="H1505">
        <f>IFERROR(__xludf.DUMMYFUNCTION("""COMPUTED_VALUE"""),160255.0)</f>
        <v>160255</v>
      </c>
      <c r="I1505" t="str">
        <f>IFERROR(__xludf.DUMMYFUNCTION("""COMPUTED_VALUE"""),"12/18")</f>
        <v>12/18</v>
      </c>
      <c r="J1505" s="5">
        <f>IFERROR(__xludf.DUMMYFUNCTION("""COMPUTED_VALUE"""),43447.0)</f>
        <v>43447</v>
      </c>
      <c r="M1505">
        <f>IFERROR(__xludf.DUMMYFUNCTION("""COMPUTED_VALUE"""),55.0)</f>
        <v>55</v>
      </c>
      <c r="N1505" t="str">
        <f>IFERROR(__xludf.DUMMYFUNCTION("""COMPUTED_VALUE"""),"Model 3 MR")</f>
        <v>Model 3 MR</v>
      </c>
      <c r="O1505" t="str">
        <f>IFERROR(__xludf.DUMMYFUNCTION("""COMPUTED_VALUE"""),"Deep Blue Metallic")</f>
        <v>Deep Blue Metallic</v>
      </c>
      <c r="P1505" t="str">
        <f>IFERROR(__xludf.DUMMYFUNCTION("""COMPUTED_VALUE"""),"18 inch Aero")</f>
        <v>18 inch Aero</v>
      </c>
      <c r="Q1505" t="str">
        <f>IFERROR(__xludf.DUMMYFUNCTION("""COMPUTED_VALUE"""),"Black seats")</f>
        <v>Black seats</v>
      </c>
      <c r="R1505" t="str">
        <f>IFERROR(__xludf.DUMMYFUNCTION("""COMPUTED_VALUE"""),"None")</f>
        <v>None</v>
      </c>
      <c r="X1505" t="str">
        <f>IFERROR(__xludf.DUMMYFUNCTION("""COMPUTED_VALUE"""),"Excellent")</f>
        <v>Excellent</v>
      </c>
      <c r="Y1505" t="str">
        <f>IFERROR(__xludf.DUMMYFUNCTION("""COMPUTED_VALUE"""),"Excellent")</f>
        <v>Excellent</v>
      </c>
      <c r="Z1505" t="str">
        <f>IFERROR(__xludf.DUMMYFUNCTION("""COMPUTED_VALUE"""),"Excellent")</f>
        <v>Excellent</v>
      </c>
      <c r="AA1505" t="str">
        <f>IFERROR(__xludf.DUMMYFUNCTION("""COMPUTED_VALUE"""),"Excellent")</f>
        <v>Excellent</v>
      </c>
      <c r="AB1505" t="str">
        <f>IFERROR(__xludf.DUMMYFUNCTION("""COMPUTED_VALUE"""),"Excellent")</f>
        <v>Excellent</v>
      </c>
      <c r="AH1505" s="189">
        <f>IFERROR(__xludf.DUMMYFUNCTION("""COMPUTED_VALUE"""),43458.70532862269)</f>
        <v>43458.70533</v>
      </c>
    </row>
    <row r="1506">
      <c r="A1506" t="str">
        <f>IFERROR(__xludf.DUMMYFUNCTION("""COMPUTED_VALUE"""),"n8gray")</f>
        <v>n8gray</v>
      </c>
      <c r="B1506" t="str">
        <f>IFERROR(__xludf.DUMMYFUNCTION("""COMPUTED_VALUE"""),"San Diego")</f>
        <v>San Diego</v>
      </c>
      <c r="C1506" t="str">
        <f>IFERROR(__xludf.DUMMYFUNCTION("""COMPUTED_VALUE"""),"CA")</f>
        <v>CA</v>
      </c>
      <c r="D1506" t="str">
        <f>IFERROR(__xludf.DUMMYFUNCTION("""COMPUTED_VALUE"""),"USA")</f>
        <v>USA</v>
      </c>
      <c r="E1506" s="188">
        <f>IFERROR(__xludf.DUMMYFUNCTION("""COMPUTED_VALUE"""),43434.0)</f>
        <v>43434</v>
      </c>
      <c r="F1506" s="188">
        <f>IFERROR(__xludf.DUMMYFUNCTION("""COMPUTED_VALUE"""),43456.0)</f>
        <v>43456</v>
      </c>
      <c r="H1506">
        <f>IFERROR(__xludf.DUMMYFUNCTION("""COMPUTED_VALUE"""),158255.0)</f>
        <v>158255</v>
      </c>
      <c r="I1506" t="str">
        <f>IFERROR(__xludf.DUMMYFUNCTION("""COMPUTED_VALUE"""),"12/18")</f>
        <v>12/18</v>
      </c>
      <c r="J1506" s="5">
        <f>IFERROR(__xludf.DUMMYFUNCTION("""COMPUTED_VALUE"""),43458.0)</f>
        <v>43458</v>
      </c>
      <c r="K1506">
        <f>IFERROR(__xludf.DUMMYFUNCTION("""COMPUTED_VALUE"""),22.0)</f>
        <v>22</v>
      </c>
      <c r="L1506">
        <f>IFERROR(__xludf.DUMMYFUNCTION("""COMPUTED_VALUE"""),2.0)</f>
        <v>2</v>
      </c>
      <c r="M1506">
        <f>IFERROR(__xludf.DUMMYFUNCTION("""COMPUTED_VALUE"""),24.0)</f>
        <v>24</v>
      </c>
      <c r="N1506" t="str">
        <f>IFERROR(__xludf.DUMMYFUNCTION("""COMPUTED_VALUE"""),"Model 3 MR")</f>
        <v>Model 3 MR</v>
      </c>
      <c r="O1506" t="str">
        <f>IFERROR(__xludf.DUMMYFUNCTION("""COMPUTED_VALUE"""),"Midnight Silver Metallic")</f>
        <v>Midnight Silver Metallic</v>
      </c>
      <c r="P1506" t="str">
        <f>IFERROR(__xludf.DUMMYFUNCTION("""COMPUTED_VALUE"""),"18 inch Aero")</f>
        <v>18 inch Aero</v>
      </c>
      <c r="Q1506" t="str">
        <f>IFERROR(__xludf.DUMMYFUNCTION("""COMPUTED_VALUE"""),"Black seats")</f>
        <v>Black seats</v>
      </c>
      <c r="R1506" t="str">
        <f>IFERROR(__xludf.DUMMYFUNCTION("""COMPUTED_VALUE"""),"Enhanced Autopilot")</f>
        <v>Enhanced Autopilot</v>
      </c>
      <c r="X1506" t="str">
        <f>IFERROR(__xludf.DUMMYFUNCTION("""COMPUTED_VALUE"""),"Very Good")</f>
        <v>Very Good</v>
      </c>
      <c r="Y1506" t="str">
        <f>IFERROR(__xludf.DUMMYFUNCTION("""COMPUTED_VALUE"""),"Excellent")</f>
        <v>Excellent</v>
      </c>
      <c r="Z1506" t="str">
        <f>IFERROR(__xludf.DUMMYFUNCTION("""COMPUTED_VALUE"""),"Very Good")</f>
        <v>Very Good</v>
      </c>
      <c r="AA1506" t="str">
        <f>IFERROR(__xludf.DUMMYFUNCTION("""COMPUTED_VALUE"""),"Good")</f>
        <v>Good</v>
      </c>
      <c r="AB1506" t="str">
        <f>IFERROR(__xludf.DUMMYFUNCTION("""COMPUTED_VALUE"""),"Very Good")</f>
        <v>Very Good</v>
      </c>
      <c r="AH1506" s="189">
        <f>IFERROR(__xludf.DUMMYFUNCTION("""COMPUTED_VALUE"""),43458.9251316088)</f>
        <v>43458.92513</v>
      </c>
    </row>
    <row r="1507">
      <c r="A1507" t="str">
        <f>IFERROR(__xludf.DUMMYFUNCTION("""COMPUTED_VALUE"""),"EMTYM♥")</f>
        <v>EMTYM♥</v>
      </c>
      <c r="C1507" t="str">
        <f>IFERROR(__xludf.DUMMYFUNCTION("""COMPUTED_VALUE"""),"CA")</f>
        <v>CA</v>
      </c>
      <c r="D1507" t="str">
        <f>IFERROR(__xludf.DUMMYFUNCTION("""COMPUTED_VALUE"""),"USA")</f>
        <v>USA</v>
      </c>
      <c r="E1507" s="188">
        <f>IFERROR(__xludf.DUMMYFUNCTION("""COMPUTED_VALUE"""),43412.0)</f>
        <v>43412</v>
      </c>
      <c r="F1507" s="188">
        <f>IFERROR(__xludf.DUMMYFUNCTION("""COMPUTED_VALUE"""),43441.0)</f>
        <v>43441</v>
      </c>
      <c r="H1507">
        <f>IFERROR(__xludf.DUMMYFUNCTION("""COMPUTED_VALUE"""),155755.0)</f>
        <v>155755</v>
      </c>
      <c r="I1507" t="str">
        <f>IFERROR(__xludf.DUMMYFUNCTION("""COMPUTED_VALUE"""),"12/18")</f>
        <v>12/18</v>
      </c>
      <c r="J1507" s="5">
        <f>IFERROR(__xludf.DUMMYFUNCTION("""COMPUTED_VALUE"""),43455.0)</f>
        <v>43455</v>
      </c>
      <c r="K1507">
        <f>IFERROR(__xludf.DUMMYFUNCTION("""COMPUTED_VALUE"""),29.0)</f>
        <v>29</v>
      </c>
      <c r="L1507">
        <f>IFERROR(__xludf.DUMMYFUNCTION("""COMPUTED_VALUE"""),14.0)</f>
        <v>14</v>
      </c>
      <c r="M1507">
        <f>IFERROR(__xludf.DUMMYFUNCTION("""COMPUTED_VALUE"""),43.0)</f>
        <v>43</v>
      </c>
      <c r="N1507" t="str">
        <f>IFERROR(__xludf.DUMMYFUNCTION("""COMPUTED_VALUE"""),"Model 3 MR")</f>
        <v>Model 3 MR</v>
      </c>
      <c r="O1507" t="str">
        <f>IFERROR(__xludf.DUMMYFUNCTION("""COMPUTED_VALUE"""),"Deep Blue Metallic")</f>
        <v>Deep Blue Metallic</v>
      </c>
      <c r="P1507" t="str">
        <f>IFERROR(__xludf.DUMMYFUNCTION("""COMPUTED_VALUE"""),"18 inch Aero")</f>
        <v>18 inch Aero</v>
      </c>
      <c r="Q1507" t="str">
        <f>IFERROR(__xludf.DUMMYFUNCTION("""COMPUTED_VALUE"""),"White seats")</f>
        <v>White seats</v>
      </c>
      <c r="R1507" t="str">
        <f>IFERROR(__xludf.DUMMYFUNCTION("""COMPUTED_VALUE"""),"Enhanced Autopilot")</f>
        <v>Enhanced Autopilot</v>
      </c>
      <c r="X1507" t="str">
        <f>IFERROR(__xludf.DUMMYFUNCTION("""COMPUTED_VALUE"""),"Good")</f>
        <v>Good</v>
      </c>
      <c r="Y1507" t="str">
        <f>IFERROR(__xludf.DUMMYFUNCTION("""COMPUTED_VALUE"""),"Excellent")</f>
        <v>Excellent</v>
      </c>
      <c r="Z1507" t="str">
        <f>IFERROR(__xludf.DUMMYFUNCTION("""COMPUTED_VALUE"""),"Very Good")</f>
        <v>Very Good</v>
      </c>
      <c r="AA1507" t="str">
        <f>IFERROR(__xludf.DUMMYFUNCTION("""COMPUTED_VALUE"""),"Good")</f>
        <v>Good</v>
      </c>
      <c r="AB1507" t="str">
        <f>IFERROR(__xludf.DUMMYFUNCTION("""COMPUTED_VALUE"""),"Very Good")</f>
        <v>Very Good</v>
      </c>
      <c r="AC1507">
        <f>IFERROR(__xludf.DUMMYFUNCTION("""COMPUTED_VALUE"""),3.0)</f>
        <v>3</v>
      </c>
      <c r="AG1507" t="str">
        <f>IFERROR(__xludf.DUMMYFUNCTION("""COMPUTED_VALUE"""),"None of the defects are major, but Tesla wanted to fix everything that wasn't perfect.")</f>
        <v>None of the defects are major, but Tesla wanted to fix everything that wasn't perfect.</v>
      </c>
      <c r="AH1507" s="189">
        <f>IFERROR(__xludf.DUMMYFUNCTION("""COMPUTED_VALUE"""),43460.447509143516)</f>
        <v>43460.44751</v>
      </c>
    </row>
    <row r="1508">
      <c r="A1508" t="str">
        <f>IFERROR(__xludf.DUMMYFUNCTION("""COMPUTED_VALUE"""),"WstrnMeadowlark")</f>
        <v>WstrnMeadowlark</v>
      </c>
      <c r="B1508" t="str">
        <f>IFERROR(__xludf.DUMMYFUNCTION("""COMPUTED_VALUE"""),"Halstead")</f>
        <v>Halstead</v>
      </c>
      <c r="C1508" t="str">
        <f>IFERROR(__xludf.DUMMYFUNCTION("""COMPUTED_VALUE"""),"KS")</f>
        <v>KS</v>
      </c>
      <c r="D1508" t="str">
        <f>IFERROR(__xludf.DUMMYFUNCTION("""COMPUTED_VALUE"""),"USA")</f>
        <v>USA</v>
      </c>
      <c r="E1508" s="188">
        <f>IFERROR(__xludf.DUMMYFUNCTION("""COMPUTED_VALUE"""),43431.0)</f>
        <v>43431</v>
      </c>
      <c r="H1508">
        <f>IFERROR(__xludf.DUMMYFUNCTION("""COMPUTED_VALUE"""),151955.0)</f>
        <v>151955</v>
      </c>
      <c r="J1508" s="5">
        <f>IFERROR(__xludf.DUMMYFUNCTION("""COMPUTED_VALUE"""),43447.0)</f>
        <v>43447</v>
      </c>
      <c r="M1508">
        <f>IFERROR(__xludf.DUMMYFUNCTION("""COMPUTED_VALUE"""),16.0)</f>
        <v>16</v>
      </c>
      <c r="N1508" t="str">
        <f>IFERROR(__xludf.DUMMYFUNCTION("""COMPUTED_VALUE"""),"Model 3 MR")</f>
        <v>Model 3 MR</v>
      </c>
      <c r="O1508" t="str">
        <f>IFERROR(__xludf.DUMMYFUNCTION("""COMPUTED_VALUE"""),"Solid Black")</f>
        <v>Solid Black</v>
      </c>
      <c r="P1508" t="str">
        <f>IFERROR(__xludf.DUMMYFUNCTION("""COMPUTED_VALUE"""),"18 inch Aero")</f>
        <v>18 inch Aero</v>
      </c>
      <c r="Q1508" t="str">
        <f>IFERROR(__xludf.DUMMYFUNCTION("""COMPUTED_VALUE"""),"Black seats")</f>
        <v>Black seats</v>
      </c>
      <c r="R1508" t="str">
        <f>IFERROR(__xludf.DUMMYFUNCTION("""COMPUTED_VALUE"""),"None")</f>
        <v>None</v>
      </c>
      <c r="X1508" t="str">
        <f>IFERROR(__xludf.DUMMYFUNCTION("""COMPUTED_VALUE"""),"Very Good")</f>
        <v>Very Good</v>
      </c>
      <c r="Y1508" t="str">
        <f>IFERROR(__xludf.DUMMYFUNCTION("""COMPUTED_VALUE"""),"Excellent")</f>
        <v>Excellent</v>
      </c>
      <c r="Z1508" t="str">
        <f>IFERROR(__xludf.DUMMYFUNCTION("""COMPUTED_VALUE"""),"Very Good")</f>
        <v>Very Good</v>
      </c>
      <c r="AA1508" t="str">
        <f>IFERROR(__xludf.DUMMYFUNCTION("""COMPUTED_VALUE"""),"Excellent")</f>
        <v>Excellent</v>
      </c>
      <c r="AB1508" t="str">
        <f>IFERROR(__xludf.DUMMYFUNCTION("""COMPUTED_VALUE"""),"Very Good")</f>
        <v>Very Good</v>
      </c>
      <c r="AC1508">
        <f>IFERROR(__xludf.DUMMYFUNCTION("""COMPUTED_VALUE"""),1.0)</f>
        <v>1</v>
      </c>
      <c r="AD1508">
        <f>IFERROR(__xludf.DUMMYFUNCTION("""COMPUTED_VALUE"""),1.0)</f>
        <v>1</v>
      </c>
      <c r="AE1508">
        <f>IFERROR(__xludf.DUMMYFUNCTION("""COMPUTED_VALUE"""),1.0)</f>
        <v>1</v>
      </c>
      <c r="AH1508" s="189">
        <f>IFERROR(__xludf.DUMMYFUNCTION("""COMPUTED_VALUE"""),43460.59480020833)</f>
        <v>43460.5948</v>
      </c>
    </row>
    <row r="1509">
      <c r="A1509" t="str">
        <f>IFERROR(__xludf.DUMMYFUNCTION("""COMPUTED_VALUE"""),"WhiteFang")</f>
        <v>WhiteFang</v>
      </c>
      <c r="B1509" t="str">
        <f>IFERROR(__xludf.DUMMYFUNCTION("""COMPUTED_VALUE"""),"OC")</f>
        <v>OC</v>
      </c>
      <c r="C1509" t="str">
        <f>IFERROR(__xludf.DUMMYFUNCTION("""COMPUTED_VALUE"""),"CA")</f>
        <v>CA</v>
      </c>
      <c r="D1509" t="str">
        <f>IFERROR(__xludf.DUMMYFUNCTION("""COMPUTED_VALUE"""),"USA")</f>
        <v>USA</v>
      </c>
      <c r="E1509" s="188">
        <f>IFERROR(__xludf.DUMMYFUNCTION("""COMPUTED_VALUE"""),43445.0)</f>
        <v>43445</v>
      </c>
      <c r="H1509">
        <f>IFERROR(__xludf.DUMMYFUNCTION("""COMPUTED_VALUE"""),169755.0)</f>
        <v>169755</v>
      </c>
      <c r="J1509" s="5">
        <f>IFERROR(__xludf.DUMMYFUNCTION("""COMPUTED_VALUE"""),43454.0)</f>
        <v>43454</v>
      </c>
      <c r="M1509">
        <f>IFERROR(__xludf.DUMMYFUNCTION("""COMPUTED_VALUE"""),9.0)</f>
        <v>9</v>
      </c>
      <c r="N1509" t="str">
        <f>IFERROR(__xludf.DUMMYFUNCTION("""COMPUTED_VALUE"""),"Model 3 MR")</f>
        <v>Model 3 MR</v>
      </c>
      <c r="O1509" t="str">
        <f>IFERROR(__xludf.DUMMYFUNCTION("""COMPUTED_VALUE"""),"Pearl White Multi-Coat")</f>
        <v>Pearl White Multi-Coat</v>
      </c>
      <c r="P1509" t="str">
        <f>IFERROR(__xludf.DUMMYFUNCTION("""COMPUTED_VALUE"""),"19 inch Sport")</f>
        <v>19 inch Sport</v>
      </c>
      <c r="Q1509" t="str">
        <f>IFERROR(__xludf.DUMMYFUNCTION("""COMPUTED_VALUE"""),"White seats")</f>
        <v>White seats</v>
      </c>
      <c r="R1509" t="str">
        <f>IFERROR(__xludf.DUMMYFUNCTION("""COMPUTED_VALUE"""),"None")</f>
        <v>None</v>
      </c>
      <c r="X1509" t="str">
        <f>IFERROR(__xludf.DUMMYFUNCTION("""COMPUTED_VALUE"""),"Excellent")</f>
        <v>Excellent</v>
      </c>
      <c r="Y1509" t="str">
        <f>IFERROR(__xludf.DUMMYFUNCTION("""COMPUTED_VALUE"""),"Excellent")</f>
        <v>Excellent</v>
      </c>
      <c r="Z1509" t="str">
        <f>IFERROR(__xludf.DUMMYFUNCTION("""COMPUTED_VALUE"""),"Excellent")</f>
        <v>Excellent</v>
      </c>
      <c r="AA1509" t="str">
        <f>IFERROR(__xludf.DUMMYFUNCTION("""COMPUTED_VALUE"""),"Excellent")</f>
        <v>Excellent</v>
      </c>
      <c r="AB1509" t="str">
        <f>IFERROR(__xludf.DUMMYFUNCTION("""COMPUTED_VALUE"""),"Good")</f>
        <v>Good</v>
      </c>
      <c r="AH1509" s="189">
        <f>IFERROR(__xludf.DUMMYFUNCTION("""COMPUTED_VALUE"""),43460.59623098379)</f>
        <v>43460.59623</v>
      </c>
    </row>
    <row r="1510">
      <c r="A1510" t="str">
        <f>IFERROR(__xludf.DUMMYFUNCTION("""COMPUTED_VALUE"""),"T34ME")</f>
        <v>T34ME</v>
      </c>
      <c r="B1510" t="str">
        <f>IFERROR(__xludf.DUMMYFUNCTION("""COMPUTED_VALUE"""),"SoCal")</f>
        <v>SoCal</v>
      </c>
      <c r="C1510" t="str">
        <f>IFERROR(__xludf.DUMMYFUNCTION("""COMPUTED_VALUE"""),"CA")</f>
        <v>CA</v>
      </c>
      <c r="D1510" t="str">
        <f>IFERROR(__xludf.DUMMYFUNCTION("""COMPUTED_VALUE"""),"USA")</f>
        <v>USA</v>
      </c>
      <c r="E1510" s="188">
        <f>IFERROR(__xludf.DUMMYFUNCTION("""COMPUTED_VALUE"""),43393.0)</f>
        <v>43393</v>
      </c>
      <c r="F1510" s="188">
        <f>IFERROR(__xludf.DUMMYFUNCTION("""COMPUTED_VALUE"""),43440.0)</f>
        <v>43440</v>
      </c>
      <c r="H1510">
        <f>IFERROR(__xludf.DUMMYFUNCTION("""COMPUTED_VALUE"""),168755.0)</f>
        <v>168755</v>
      </c>
      <c r="I1510" t="str">
        <f>IFERROR(__xludf.DUMMYFUNCTION("""COMPUTED_VALUE"""),"12/18")</f>
        <v>12/18</v>
      </c>
      <c r="J1510" s="5">
        <f>IFERROR(__xludf.DUMMYFUNCTION("""COMPUTED_VALUE"""),43455.0)</f>
        <v>43455</v>
      </c>
      <c r="K1510">
        <f>IFERROR(__xludf.DUMMYFUNCTION("""COMPUTED_VALUE"""),47.0)</f>
        <v>47</v>
      </c>
      <c r="L1510">
        <f>IFERROR(__xludf.DUMMYFUNCTION("""COMPUTED_VALUE"""),15.0)</f>
        <v>15</v>
      </c>
      <c r="M1510">
        <f>IFERROR(__xludf.DUMMYFUNCTION("""COMPUTED_VALUE"""),62.0)</f>
        <v>62</v>
      </c>
      <c r="N1510" t="str">
        <f>IFERROR(__xludf.DUMMYFUNCTION("""COMPUTED_VALUE"""),"Model 3 MR")</f>
        <v>Model 3 MR</v>
      </c>
      <c r="O1510" t="str">
        <f>IFERROR(__xludf.DUMMYFUNCTION("""COMPUTED_VALUE"""),"Pearl White Multi-Coat")</f>
        <v>Pearl White Multi-Coat</v>
      </c>
      <c r="P1510" t="str">
        <f>IFERROR(__xludf.DUMMYFUNCTION("""COMPUTED_VALUE"""),"18 inch Aero")</f>
        <v>18 inch Aero</v>
      </c>
      <c r="Q1510" t="str">
        <f>IFERROR(__xludf.DUMMYFUNCTION("""COMPUTED_VALUE"""),"White seats")</f>
        <v>White seats</v>
      </c>
      <c r="R1510" t="str">
        <f>IFERROR(__xludf.DUMMYFUNCTION("""COMPUTED_VALUE"""),"Enhanced Autopilot")</f>
        <v>Enhanced Autopilot</v>
      </c>
      <c r="X1510" t="str">
        <f>IFERROR(__xludf.DUMMYFUNCTION("""COMPUTED_VALUE"""),"Very Good")</f>
        <v>Very Good</v>
      </c>
      <c r="Y1510" t="str">
        <f>IFERROR(__xludf.DUMMYFUNCTION("""COMPUTED_VALUE"""),"Excellent")</f>
        <v>Excellent</v>
      </c>
      <c r="Z1510" t="str">
        <f>IFERROR(__xludf.DUMMYFUNCTION("""COMPUTED_VALUE"""),"Very Good")</f>
        <v>Very Good</v>
      </c>
      <c r="AA1510" t="str">
        <f>IFERROR(__xludf.DUMMYFUNCTION("""COMPUTED_VALUE"""),"Excellent")</f>
        <v>Excellent</v>
      </c>
      <c r="AB1510" t="str">
        <f>IFERROR(__xludf.DUMMYFUNCTION("""COMPUTED_VALUE"""),"Excellent")</f>
        <v>Excellent</v>
      </c>
      <c r="AC1510">
        <f>IFERROR(__xludf.DUMMYFUNCTION("""COMPUTED_VALUE"""),0.0)</f>
        <v>0</v>
      </c>
      <c r="AD1510">
        <f>IFERROR(__xludf.DUMMYFUNCTION("""COMPUTED_VALUE"""),0.0)</f>
        <v>0</v>
      </c>
      <c r="AE1510">
        <f>IFERROR(__xludf.DUMMYFUNCTION("""COMPUTED_VALUE"""),0.0)</f>
        <v>0</v>
      </c>
      <c r="AH1510" s="189">
        <f>IFERROR(__xludf.DUMMYFUNCTION("""COMPUTED_VALUE"""),43461.1905121412)</f>
        <v>43461.19051</v>
      </c>
    </row>
    <row r="1511">
      <c r="A1511" t="str">
        <f>IFERROR(__xludf.DUMMYFUNCTION("""COMPUTED_VALUE"""),"geekandi")</f>
        <v>geekandi</v>
      </c>
      <c r="B1511" t="str">
        <f>IFERROR(__xludf.DUMMYFUNCTION("""COMPUTED_VALUE"""),"Minneapolis")</f>
        <v>Minneapolis</v>
      </c>
      <c r="C1511" t="str">
        <f>IFERROR(__xludf.DUMMYFUNCTION("""COMPUTED_VALUE"""),"MN")</f>
        <v>MN</v>
      </c>
      <c r="D1511" t="str">
        <f>IFERROR(__xludf.DUMMYFUNCTION("""COMPUTED_VALUE"""),"USA")</f>
        <v>USA</v>
      </c>
      <c r="E1511" s="188">
        <f>IFERROR(__xludf.DUMMYFUNCTION("""COMPUTED_VALUE"""),43448.0)</f>
        <v>43448</v>
      </c>
      <c r="F1511" s="188">
        <f>IFERROR(__xludf.DUMMYFUNCTION("""COMPUTED_VALUE"""),43448.0)</f>
        <v>43448</v>
      </c>
      <c r="H1511">
        <f>IFERROR(__xludf.DUMMYFUNCTION("""COMPUTED_VALUE"""),79475.0)</f>
        <v>79475</v>
      </c>
      <c r="I1511" t="str">
        <f>IFERROR(__xludf.DUMMYFUNCTION("""COMPUTED_VALUE"""),"11/18")</f>
        <v>11/18</v>
      </c>
      <c r="J1511" s="5">
        <f>IFERROR(__xludf.DUMMYFUNCTION("""COMPUTED_VALUE"""),43452.0)</f>
        <v>43452</v>
      </c>
      <c r="K1511">
        <f>IFERROR(__xludf.DUMMYFUNCTION("""COMPUTED_VALUE"""),0.0)</f>
        <v>0</v>
      </c>
      <c r="L1511">
        <f>IFERROR(__xludf.DUMMYFUNCTION("""COMPUTED_VALUE"""),4.0)</f>
        <v>4</v>
      </c>
      <c r="M1511">
        <f>IFERROR(__xludf.DUMMYFUNCTION("""COMPUTED_VALUE"""),4.0)</f>
        <v>4</v>
      </c>
      <c r="N1511" t="str">
        <f>IFERROR(__xludf.DUMMYFUNCTION("""COMPUTED_VALUE"""),"Model 3 Performance")</f>
        <v>Model 3 Performance</v>
      </c>
      <c r="O1511" t="str">
        <f>IFERROR(__xludf.DUMMYFUNCTION("""COMPUTED_VALUE"""),"Midnight Silver Metallic")</f>
        <v>Midnight Silver Metallic</v>
      </c>
      <c r="P1511" t="str">
        <f>IFERROR(__xludf.DUMMYFUNCTION("""COMPUTED_VALUE"""),"20 inch Sport")</f>
        <v>20 inch Sport</v>
      </c>
      <c r="Q1511" t="str">
        <f>IFERROR(__xludf.DUMMYFUNCTION("""COMPUTED_VALUE"""),"White seats")</f>
        <v>White seats</v>
      </c>
      <c r="R1511" t="str">
        <f>IFERROR(__xludf.DUMMYFUNCTION("""COMPUTED_VALUE"""),"Full Self-Driving")</f>
        <v>Full Self-Driving</v>
      </c>
      <c r="X1511" t="str">
        <f>IFERROR(__xludf.DUMMYFUNCTION("""COMPUTED_VALUE"""),"Excellent")</f>
        <v>Excellent</v>
      </c>
      <c r="Y1511" t="str">
        <f>IFERROR(__xludf.DUMMYFUNCTION("""COMPUTED_VALUE"""),"Excellent")</f>
        <v>Excellent</v>
      </c>
      <c r="Z1511" t="str">
        <f>IFERROR(__xludf.DUMMYFUNCTION("""COMPUTED_VALUE"""),"Very Good")</f>
        <v>Very Good</v>
      </c>
      <c r="AA1511" t="str">
        <f>IFERROR(__xludf.DUMMYFUNCTION("""COMPUTED_VALUE"""),"Poor")</f>
        <v>Poor</v>
      </c>
      <c r="AB1511" t="str">
        <f>IFERROR(__xludf.DUMMYFUNCTION("""COMPUTED_VALUE"""),"Excellent")</f>
        <v>Excellent</v>
      </c>
      <c r="AC1511">
        <f>IFERROR(__xludf.DUMMYFUNCTION("""COMPUTED_VALUE"""),2.0)</f>
        <v>2</v>
      </c>
      <c r="AD1511">
        <f>IFERROR(__xludf.DUMMYFUNCTION("""COMPUTED_VALUE"""),0.0)</f>
        <v>0</v>
      </c>
      <c r="AE1511">
        <f>IFERROR(__xludf.DUMMYFUNCTION("""COMPUTED_VALUE"""),0.0)</f>
        <v>0</v>
      </c>
      <c r="AH1511" s="189">
        <f>IFERROR(__xludf.DUMMYFUNCTION("""COMPUTED_VALUE"""),43461.31142991898)</f>
        <v>43461.31143</v>
      </c>
    </row>
    <row r="1512">
      <c r="A1512" t="str">
        <f>IFERROR(__xludf.DUMMYFUNCTION("""COMPUTED_VALUE"""),"ganzyTM3")</f>
        <v>ganzyTM3</v>
      </c>
      <c r="B1512" t="str">
        <f>IFERROR(__xludf.DUMMYFUNCTION("""COMPUTED_VALUE"""),"Bothell")</f>
        <v>Bothell</v>
      </c>
      <c r="C1512" t="str">
        <f>IFERROR(__xludf.DUMMYFUNCTION("""COMPUTED_VALUE"""),"WA")</f>
        <v>WA</v>
      </c>
      <c r="D1512" t="str">
        <f>IFERROR(__xludf.DUMMYFUNCTION("""COMPUTED_VALUE"""),"USA")</f>
        <v>USA</v>
      </c>
      <c r="E1512" s="188">
        <f>IFERROR(__xludf.DUMMYFUNCTION("""COMPUTED_VALUE"""),43422.0)</f>
        <v>43422</v>
      </c>
      <c r="F1512" s="188">
        <f>IFERROR(__xludf.DUMMYFUNCTION("""COMPUTED_VALUE"""),43456.0)</f>
        <v>43456</v>
      </c>
      <c r="H1512">
        <f>IFERROR(__xludf.DUMMYFUNCTION("""COMPUTED_VALUE"""),160855.0)</f>
        <v>160855</v>
      </c>
      <c r="I1512" t="str">
        <f>IFERROR(__xludf.DUMMYFUNCTION("""COMPUTED_VALUE"""),"12/18")</f>
        <v>12/18</v>
      </c>
      <c r="J1512" s="5">
        <f>IFERROR(__xludf.DUMMYFUNCTION("""COMPUTED_VALUE"""),43460.0)</f>
        <v>43460</v>
      </c>
      <c r="K1512">
        <f>IFERROR(__xludf.DUMMYFUNCTION("""COMPUTED_VALUE"""),34.0)</f>
        <v>34</v>
      </c>
      <c r="L1512">
        <f>IFERROR(__xludf.DUMMYFUNCTION("""COMPUTED_VALUE"""),4.0)</f>
        <v>4</v>
      </c>
      <c r="M1512">
        <f>IFERROR(__xludf.DUMMYFUNCTION("""COMPUTED_VALUE"""),38.0)</f>
        <v>38</v>
      </c>
      <c r="N1512" t="str">
        <f>IFERROR(__xludf.DUMMYFUNCTION("""COMPUTED_VALUE"""),"Model 3 MR")</f>
        <v>Model 3 MR</v>
      </c>
      <c r="O1512" t="str">
        <f>IFERROR(__xludf.DUMMYFUNCTION("""COMPUTED_VALUE"""),"Deep Blue Metallic")</f>
        <v>Deep Blue Metallic</v>
      </c>
      <c r="P1512" t="str">
        <f>IFERROR(__xludf.DUMMYFUNCTION("""COMPUTED_VALUE"""),"18 inch Aero")</f>
        <v>18 inch Aero</v>
      </c>
      <c r="Q1512" t="str">
        <f>IFERROR(__xludf.DUMMYFUNCTION("""COMPUTED_VALUE"""),"Black seats")</f>
        <v>Black seats</v>
      </c>
      <c r="R1512" t="str">
        <f>IFERROR(__xludf.DUMMYFUNCTION("""COMPUTED_VALUE"""),"Enhanced Autopilot")</f>
        <v>Enhanced Autopilot</v>
      </c>
      <c r="X1512" t="str">
        <f>IFERROR(__xludf.DUMMYFUNCTION("""COMPUTED_VALUE"""),"Very Good")</f>
        <v>Very Good</v>
      </c>
      <c r="Y1512" t="str">
        <f>IFERROR(__xludf.DUMMYFUNCTION("""COMPUTED_VALUE"""),"Very Good")</f>
        <v>Very Good</v>
      </c>
      <c r="Z1512" t="str">
        <f>IFERROR(__xludf.DUMMYFUNCTION("""COMPUTED_VALUE"""),"Very Good")</f>
        <v>Very Good</v>
      </c>
      <c r="AA1512" t="str">
        <f>IFERROR(__xludf.DUMMYFUNCTION("""COMPUTED_VALUE"""),"Good")</f>
        <v>Good</v>
      </c>
      <c r="AB1512" t="str">
        <f>IFERROR(__xludf.DUMMYFUNCTION("""COMPUTED_VALUE"""),"Good")</f>
        <v>Good</v>
      </c>
      <c r="AC1512">
        <f>IFERROR(__xludf.DUMMYFUNCTION("""COMPUTED_VALUE"""),2.0)</f>
        <v>2</v>
      </c>
      <c r="AH1512" s="189">
        <f>IFERROR(__xludf.DUMMYFUNCTION("""COMPUTED_VALUE"""),43461.48385449074)</f>
        <v>43461.48385</v>
      </c>
    </row>
    <row r="1513">
      <c r="A1513" t="str">
        <f>IFERROR(__xludf.DUMMYFUNCTION("""COMPUTED_VALUE"""),"batdorf9")</f>
        <v>batdorf9</v>
      </c>
      <c r="B1513" t="str">
        <f>IFERROR(__xludf.DUMMYFUNCTION("""COMPUTED_VALUE"""),"San Diego")</f>
        <v>San Diego</v>
      </c>
      <c r="C1513" t="str">
        <f>IFERROR(__xludf.DUMMYFUNCTION("""COMPUTED_VALUE"""),"CA")</f>
        <v>CA</v>
      </c>
      <c r="D1513" t="str">
        <f>IFERROR(__xludf.DUMMYFUNCTION("""COMPUTED_VALUE"""),"USA")</f>
        <v>USA</v>
      </c>
      <c r="E1513" s="188">
        <f>IFERROR(__xludf.DUMMYFUNCTION("""COMPUTED_VALUE"""),43393.0)</f>
        <v>43393</v>
      </c>
      <c r="F1513" s="188">
        <f>IFERROR(__xludf.DUMMYFUNCTION("""COMPUTED_VALUE"""),43453.0)</f>
        <v>43453</v>
      </c>
      <c r="H1513">
        <f>IFERROR(__xludf.DUMMYFUNCTION("""COMPUTED_VALUE"""),156855.0)</f>
        <v>156855</v>
      </c>
      <c r="J1513" s="5">
        <f>IFERROR(__xludf.DUMMYFUNCTION("""COMPUTED_VALUE"""),43460.0)</f>
        <v>43460</v>
      </c>
      <c r="K1513">
        <f>IFERROR(__xludf.DUMMYFUNCTION("""COMPUTED_VALUE"""),60.0)</f>
        <v>60</v>
      </c>
      <c r="L1513">
        <f>IFERROR(__xludf.DUMMYFUNCTION("""COMPUTED_VALUE"""),7.0)</f>
        <v>7</v>
      </c>
      <c r="M1513">
        <f>IFERROR(__xludf.DUMMYFUNCTION("""COMPUTED_VALUE"""),67.0)</f>
        <v>67</v>
      </c>
      <c r="N1513" t="str">
        <f>IFERROR(__xludf.DUMMYFUNCTION("""COMPUTED_VALUE"""),"Model 3 MR")</f>
        <v>Model 3 MR</v>
      </c>
      <c r="O1513" t="str">
        <f>IFERROR(__xludf.DUMMYFUNCTION("""COMPUTED_VALUE"""),"Solid Black")</f>
        <v>Solid Black</v>
      </c>
      <c r="P1513" t="str">
        <f>IFERROR(__xludf.DUMMYFUNCTION("""COMPUTED_VALUE"""),"18 inch Aero")</f>
        <v>18 inch Aero</v>
      </c>
      <c r="Q1513" t="str">
        <f>IFERROR(__xludf.DUMMYFUNCTION("""COMPUTED_VALUE"""),"Black seats")</f>
        <v>Black seats</v>
      </c>
      <c r="R1513" t="str">
        <f>IFERROR(__xludf.DUMMYFUNCTION("""COMPUTED_VALUE"""),"None")</f>
        <v>None</v>
      </c>
      <c r="X1513" t="str">
        <f>IFERROR(__xludf.DUMMYFUNCTION("""COMPUTED_VALUE"""),"Very Good")</f>
        <v>Very Good</v>
      </c>
      <c r="Y1513" t="str">
        <f>IFERROR(__xludf.DUMMYFUNCTION("""COMPUTED_VALUE"""),"Excellent")</f>
        <v>Excellent</v>
      </c>
      <c r="Z1513" t="str">
        <f>IFERROR(__xludf.DUMMYFUNCTION("""COMPUTED_VALUE"""),"Good")</f>
        <v>Good</v>
      </c>
      <c r="AA1513" t="str">
        <f>IFERROR(__xludf.DUMMYFUNCTION("""COMPUTED_VALUE"""),"Very Good")</f>
        <v>Very Good</v>
      </c>
      <c r="AB1513" t="str">
        <f>IFERROR(__xludf.DUMMYFUNCTION("""COMPUTED_VALUE"""),"Very Good")</f>
        <v>Very Good</v>
      </c>
      <c r="AH1513" s="189">
        <f>IFERROR(__xludf.DUMMYFUNCTION("""COMPUTED_VALUE"""),43461.50904438658)</f>
        <v>43461.50904</v>
      </c>
    </row>
    <row r="1514">
      <c r="A1514" t="str">
        <f>IFERROR(__xludf.DUMMYFUNCTION("""COMPUTED_VALUE"""),"Skiman7658")</f>
        <v>Skiman7658</v>
      </c>
      <c r="B1514" t="str">
        <f>IFERROR(__xludf.DUMMYFUNCTION("""COMPUTED_VALUE"""),"Broomfield CO")</f>
        <v>Broomfield CO</v>
      </c>
      <c r="C1514" t="str">
        <f>IFERROR(__xludf.DUMMYFUNCTION("""COMPUTED_VALUE"""),"CO")</f>
        <v>CO</v>
      </c>
      <c r="D1514" t="str">
        <f>IFERROR(__xludf.DUMMYFUNCTION("""COMPUTED_VALUE"""),"USA")</f>
        <v>USA</v>
      </c>
      <c r="E1514" s="188">
        <f>IFERROR(__xludf.DUMMYFUNCTION("""COMPUTED_VALUE"""),43409.0)</f>
        <v>43409</v>
      </c>
      <c r="F1514" s="188">
        <f>IFERROR(__xludf.DUMMYFUNCTION("""COMPUTED_VALUE"""),43431.0)</f>
        <v>43431</v>
      </c>
      <c r="H1514">
        <f>IFERROR(__xludf.DUMMYFUNCTION("""COMPUTED_VALUE"""),123455.0)</f>
        <v>123455</v>
      </c>
      <c r="I1514" t="str">
        <f>IFERROR(__xludf.DUMMYFUNCTION("""COMPUTED_VALUE"""),"11/18")</f>
        <v>11/18</v>
      </c>
      <c r="J1514" s="5">
        <f>IFERROR(__xludf.DUMMYFUNCTION("""COMPUTED_VALUE"""),43439.0)</f>
        <v>43439</v>
      </c>
      <c r="K1514">
        <f>IFERROR(__xludf.DUMMYFUNCTION("""COMPUTED_VALUE"""),22.0)</f>
        <v>22</v>
      </c>
      <c r="L1514">
        <f>IFERROR(__xludf.DUMMYFUNCTION("""COMPUTED_VALUE"""),8.0)</f>
        <v>8</v>
      </c>
      <c r="M1514">
        <f>IFERROR(__xludf.DUMMYFUNCTION("""COMPUTED_VALUE"""),30.0)</f>
        <v>30</v>
      </c>
      <c r="N1514" t="str">
        <f>IFERROR(__xludf.DUMMYFUNCTION("""COMPUTED_VALUE"""),"Model 3 LR")</f>
        <v>Model 3 LR</v>
      </c>
      <c r="O1514" t="str">
        <f>IFERROR(__xludf.DUMMYFUNCTION("""COMPUTED_VALUE"""),"Solid Black")</f>
        <v>Solid Black</v>
      </c>
      <c r="P1514" t="str">
        <f>IFERROR(__xludf.DUMMYFUNCTION("""COMPUTED_VALUE"""),"18 inch Aero")</f>
        <v>18 inch Aero</v>
      </c>
      <c r="Q1514" t="str">
        <f>IFERROR(__xludf.DUMMYFUNCTION("""COMPUTED_VALUE"""),"Black seats")</f>
        <v>Black seats</v>
      </c>
      <c r="R1514" t="str">
        <f>IFERROR(__xludf.DUMMYFUNCTION("""COMPUTED_VALUE"""),"Enhanced Autopilot")</f>
        <v>Enhanced Autopilot</v>
      </c>
      <c r="X1514" t="str">
        <f>IFERROR(__xludf.DUMMYFUNCTION("""COMPUTED_VALUE"""),"Good")</f>
        <v>Good</v>
      </c>
      <c r="Y1514" t="str">
        <f>IFERROR(__xludf.DUMMYFUNCTION("""COMPUTED_VALUE"""),"Excellent")</f>
        <v>Excellent</v>
      </c>
      <c r="Z1514" t="str">
        <f>IFERROR(__xludf.DUMMYFUNCTION("""COMPUTED_VALUE"""),"Fair")</f>
        <v>Fair</v>
      </c>
      <c r="AA1514" t="str">
        <f>IFERROR(__xludf.DUMMYFUNCTION("""COMPUTED_VALUE"""),"Fair")</f>
        <v>Fair</v>
      </c>
      <c r="AB1514" t="str">
        <f>IFERROR(__xludf.DUMMYFUNCTION("""COMPUTED_VALUE"""),"Excellent")</f>
        <v>Excellent</v>
      </c>
      <c r="AC1514">
        <f>IFERROR(__xludf.DUMMYFUNCTION("""COMPUTED_VALUE"""),0.0)</f>
        <v>0</v>
      </c>
      <c r="AD1514">
        <f>IFERROR(__xludf.DUMMYFUNCTION("""COMPUTED_VALUE"""),0.0)</f>
        <v>0</v>
      </c>
      <c r="AE1514">
        <f>IFERROR(__xludf.DUMMYFUNCTION("""COMPUTED_VALUE"""),0.0)</f>
        <v>0</v>
      </c>
      <c r="AG1514" t="str">
        <f>IFERROR(__xludf.DUMMYFUNCTION("""COMPUTED_VALUE"""),"Switched from a TM3 MR order and found a LR RWD in inventory")</f>
        <v>Switched from a TM3 MR order and found a LR RWD in inventory</v>
      </c>
      <c r="AH1514" s="189">
        <f>IFERROR(__xludf.DUMMYFUNCTION("""COMPUTED_VALUE"""),43461.607688460645)</f>
        <v>43461.60769</v>
      </c>
    </row>
    <row r="1515">
      <c r="A1515" t="str">
        <f>IFERROR(__xludf.DUMMYFUNCTION("""COMPUTED_VALUE"""),"Lax4life")</f>
        <v>Lax4life</v>
      </c>
      <c r="B1515" t="str">
        <f>IFERROR(__xludf.DUMMYFUNCTION("""COMPUTED_VALUE"""),"Ottawa")</f>
        <v>Ottawa</v>
      </c>
      <c r="C1515" t="str">
        <f>IFERROR(__xludf.DUMMYFUNCTION("""COMPUTED_VALUE"""),"ON")</f>
        <v>ON</v>
      </c>
      <c r="D1515" t="str">
        <f>IFERROR(__xludf.DUMMYFUNCTION("""COMPUTED_VALUE"""),"Canada")</f>
        <v>Canada</v>
      </c>
      <c r="E1515" s="188">
        <f>IFERROR(__xludf.DUMMYFUNCTION("""COMPUTED_VALUE"""),43427.0)</f>
        <v>43427</v>
      </c>
      <c r="F1515" s="188">
        <f>IFERROR(__xludf.DUMMYFUNCTION("""COMPUTED_VALUE"""),43442.0)</f>
        <v>43442</v>
      </c>
      <c r="H1515">
        <f>IFERROR(__xludf.DUMMYFUNCTION("""COMPUTED_VALUE"""),179885.0)</f>
        <v>179885</v>
      </c>
      <c r="I1515" t="str">
        <f>IFERROR(__xludf.DUMMYFUNCTION("""COMPUTED_VALUE"""),"11/18")</f>
        <v>11/18</v>
      </c>
      <c r="J1515" s="5">
        <f>IFERROR(__xludf.DUMMYFUNCTION("""COMPUTED_VALUE"""),43448.0)</f>
        <v>43448</v>
      </c>
      <c r="K1515">
        <f>IFERROR(__xludf.DUMMYFUNCTION("""COMPUTED_VALUE"""),15.0)</f>
        <v>15</v>
      </c>
      <c r="L1515">
        <f>IFERROR(__xludf.DUMMYFUNCTION("""COMPUTED_VALUE"""),6.0)</f>
        <v>6</v>
      </c>
      <c r="M1515">
        <f>IFERROR(__xludf.DUMMYFUNCTION("""COMPUTED_VALUE"""),21.0)</f>
        <v>21</v>
      </c>
      <c r="N1515" t="str">
        <f>IFERROR(__xludf.DUMMYFUNCTION("""COMPUTED_VALUE"""),"Model 3 LR")</f>
        <v>Model 3 LR</v>
      </c>
      <c r="O1515" t="str">
        <f>IFERROR(__xludf.DUMMYFUNCTION("""COMPUTED_VALUE"""),"Solid Black")</f>
        <v>Solid Black</v>
      </c>
      <c r="P1515" t="str">
        <f>IFERROR(__xludf.DUMMYFUNCTION("""COMPUTED_VALUE"""),"18 inch Aero")</f>
        <v>18 inch Aero</v>
      </c>
      <c r="Q1515" t="str">
        <f>IFERROR(__xludf.DUMMYFUNCTION("""COMPUTED_VALUE"""),"Black seats")</f>
        <v>Black seats</v>
      </c>
      <c r="R1515" t="str">
        <f>IFERROR(__xludf.DUMMYFUNCTION("""COMPUTED_VALUE"""),"None")</f>
        <v>None</v>
      </c>
      <c r="X1515" t="str">
        <f>IFERROR(__xludf.DUMMYFUNCTION("""COMPUTED_VALUE"""),"Excellent")</f>
        <v>Excellent</v>
      </c>
      <c r="Y1515" t="str">
        <f>IFERROR(__xludf.DUMMYFUNCTION("""COMPUTED_VALUE"""),"Excellent")</f>
        <v>Excellent</v>
      </c>
      <c r="Z1515" t="str">
        <f>IFERROR(__xludf.DUMMYFUNCTION("""COMPUTED_VALUE"""),"Excellent")</f>
        <v>Excellent</v>
      </c>
      <c r="AA1515" t="str">
        <f>IFERROR(__xludf.DUMMYFUNCTION("""COMPUTED_VALUE"""),"Very Good")</f>
        <v>Very Good</v>
      </c>
      <c r="AB1515" t="str">
        <f>IFERROR(__xludf.DUMMYFUNCTION("""COMPUTED_VALUE"""),"Fair")</f>
        <v>Fair</v>
      </c>
      <c r="AH1515" s="189">
        <f>IFERROR(__xludf.DUMMYFUNCTION("""COMPUTED_VALUE"""),43462.25429103009)</f>
        <v>43462.25429</v>
      </c>
    </row>
    <row r="1516">
      <c r="A1516" t="str">
        <f>IFERROR(__xludf.DUMMYFUNCTION("""COMPUTED_VALUE"""),"Gobletfullofcobras")</f>
        <v>Gobletfullofcobras</v>
      </c>
      <c r="B1516" t="str">
        <f>IFERROR(__xludf.DUMMYFUNCTION("""COMPUTED_VALUE"""),"Temecula")</f>
        <v>Temecula</v>
      </c>
      <c r="C1516" t="str">
        <f>IFERROR(__xludf.DUMMYFUNCTION("""COMPUTED_VALUE"""),"CA")</f>
        <v>CA</v>
      </c>
      <c r="D1516" t="str">
        <f>IFERROR(__xludf.DUMMYFUNCTION("""COMPUTED_VALUE"""),"USA")</f>
        <v>USA</v>
      </c>
      <c r="E1516" s="188">
        <f>IFERROR(__xludf.DUMMYFUNCTION("""COMPUTED_VALUE"""),43457.0)</f>
        <v>43457</v>
      </c>
      <c r="F1516" s="188">
        <f>IFERROR(__xludf.DUMMYFUNCTION("""COMPUTED_VALUE"""),43460.0)</f>
        <v>43460</v>
      </c>
      <c r="H1516">
        <f>IFERROR(__xludf.DUMMYFUNCTION("""COMPUTED_VALUE"""),122244.0)</f>
        <v>122244</v>
      </c>
      <c r="I1516" t="str">
        <f>IFERROR(__xludf.DUMMYFUNCTION("""COMPUTED_VALUE"""),"12/18")</f>
        <v>12/18</v>
      </c>
      <c r="J1516" s="5">
        <f>IFERROR(__xludf.DUMMYFUNCTION("""COMPUTED_VALUE"""),43462.0)</f>
        <v>43462</v>
      </c>
      <c r="K1516">
        <f>IFERROR(__xludf.DUMMYFUNCTION("""COMPUTED_VALUE"""),3.0)</f>
        <v>3</v>
      </c>
      <c r="L1516">
        <f>IFERROR(__xludf.DUMMYFUNCTION("""COMPUTED_VALUE"""),2.0)</f>
        <v>2</v>
      </c>
      <c r="M1516">
        <f>IFERROR(__xludf.DUMMYFUNCTION("""COMPUTED_VALUE"""),5.0)</f>
        <v>5</v>
      </c>
      <c r="N1516" t="str">
        <f>IFERROR(__xludf.DUMMYFUNCTION("""COMPUTED_VALUE"""),"Model 3 LR AWD")</f>
        <v>Model 3 LR AWD</v>
      </c>
      <c r="O1516" t="str">
        <f>IFERROR(__xludf.DUMMYFUNCTION("""COMPUTED_VALUE"""),"Pearl White Multi-Coat")</f>
        <v>Pearl White Multi-Coat</v>
      </c>
      <c r="P1516" t="str">
        <f>IFERROR(__xludf.DUMMYFUNCTION("""COMPUTED_VALUE"""),"18 inch Aero")</f>
        <v>18 inch Aero</v>
      </c>
      <c r="Q1516" t="str">
        <f>IFERROR(__xludf.DUMMYFUNCTION("""COMPUTED_VALUE"""),"White seats")</f>
        <v>White seats</v>
      </c>
      <c r="R1516" t="str">
        <f>IFERROR(__xludf.DUMMYFUNCTION("""COMPUTED_VALUE"""),"Enhanced Autopilot")</f>
        <v>Enhanced Autopilot</v>
      </c>
      <c r="X1516" t="str">
        <f>IFERROR(__xludf.DUMMYFUNCTION("""COMPUTED_VALUE"""),"Good")</f>
        <v>Good</v>
      </c>
      <c r="Y1516" t="str">
        <f>IFERROR(__xludf.DUMMYFUNCTION("""COMPUTED_VALUE"""),"Excellent")</f>
        <v>Excellent</v>
      </c>
      <c r="Z1516" t="str">
        <f>IFERROR(__xludf.DUMMYFUNCTION("""COMPUTED_VALUE"""),"Excellent")</f>
        <v>Excellent</v>
      </c>
      <c r="AA1516" t="str">
        <f>IFERROR(__xludf.DUMMYFUNCTION("""COMPUTED_VALUE"""),"Excellent")</f>
        <v>Excellent</v>
      </c>
      <c r="AB1516" t="str">
        <f>IFERROR(__xludf.DUMMYFUNCTION("""COMPUTED_VALUE"""),"Excellent")</f>
        <v>Excellent</v>
      </c>
      <c r="AH1516" s="189">
        <f>IFERROR(__xludf.DUMMYFUNCTION("""COMPUTED_VALUE"""),43462.82702378472)</f>
        <v>43462.82702</v>
      </c>
    </row>
    <row r="1517">
      <c r="A1517" t="str">
        <f>IFERROR(__xludf.DUMMYFUNCTION("""COMPUTED_VALUE"""),"Polloplay")</f>
        <v>Polloplay</v>
      </c>
      <c r="C1517" t="str">
        <f>IFERROR(__xludf.DUMMYFUNCTION("""COMPUTED_VALUE"""),"QC")</f>
        <v>QC</v>
      </c>
      <c r="D1517" t="str">
        <f>IFERROR(__xludf.DUMMYFUNCTION("""COMPUTED_VALUE"""),"Canada")</f>
        <v>Canada</v>
      </c>
      <c r="E1517" s="188">
        <f>IFERROR(__xludf.DUMMYFUNCTION("""COMPUTED_VALUE"""),43393.0)</f>
        <v>43393</v>
      </c>
      <c r="F1517" s="188">
        <f>IFERROR(__xludf.DUMMYFUNCTION("""COMPUTED_VALUE"""),43448.0)</f>
        <v>43448</v>
      </c>
      <c r="H1517">
        <f>IFERROR(__xludf.DUMMYFUNCTION("""COMPUTED_VALUE"""),156145.0)</f>
        <v>156145</v>
      </c>
      <c r="I1517" t="str">
        <f>IFERROR(__xludf.DUMMYFUNCTION("""COMPUTED_VALUE"""),"12/18")</f>
        <v>12/18</v>
      </c>
      <c r="J1517" s="5">
        <f>IFERROR(__xludf.DUMMYFUNCTION("""COMPUTED_VALUE"""),43455.0)</f>
        <v>43455</v>
      </c>
      <c r="K1517">
        <f>IFERROR(__xludf.DUMMYFUNCTION("""COMPUTED_VALUE"""),55.0)</f>
        <v>55</v>
      </c>
      <c r="L1517">
        <f>IFERROR(__xludf.DUMMYFUNCTION("""COMPUTED_VALUE"""),7.0)</f>
        <v>7</v>
      </c>
      <c r="M1517">
        <f>IFERROR(__xludf.DUMMYFUNCTION("""COMPUTED_VALUE"""),62.0)</f>
        <v>62</v>
      </c>
      <c r="N1517" t="str">
        <f>IFERROR(__xludf.DUMMYFUNCTION("""COMPUTED_VALUE"""),"Model 3 MR")</f>
        <v>Model 3 MR</v>
      </c>
      <c r="O1517" t="str">
        <f>IFERROR(__xludf.DUMMYFUNCTION("""COMPUTED_VALUE"""),"Midnight Silver Metallic")</f>
        <v>Midnight Silver Metallic</v>
      </c>
      <c r="P1517" t="str">
        <f>IFERROR(__xludf.DUMMYFUNCTION("""COMPUTED_VALUE"""),"18 inch Aero")</f>
        <v>18 inch Aero</v>
      </c>
      <c r="Q1517" t="str">
        <f>IFERROR(__xludf.DUMMYFUNCTION("""COMPUTED_VALUE"""),"Black seats")</f>
        <v>Black seats</v>
      </c>
      <c r="R1517" t="str">
        <f>IFERROR(__xludf.DUMMYFUNCTION("""COMPUTED_VALUE"""),"None")</f>
        <v>None</v>
      </c>
      <c r="X1517" t="str">
        <f>IFERROR(__xludf.DUMMYFUNCTION("""COMPUTED_VALUE"""),"Excellent")</f>
        <v>Excellent</v>
      </c>
      <c r="Y1517" t="str">
        <f>IFERROR(__xludf.DUMMYFUNCTION("""COMPUTED_VALUE"""),"Excellent")</f>
        <v>Excellent</v>
      </c>
      <c r="Z1517" t="str">
        <f>IFERROR(__xludf.DUMMYFUNCTION("""COMPUTED_VALUE"""),"Excellent")</f>
        <v>Excellent</v>
      </c>
      <c r="AA1517" t="str">
        <f>IFERROR(__xludf.DUMMYFUNCTION("""COMPUTED_VALUE"""),"Excellent")</f>
        <v>Excellent</v>
      </c>
      <c r="AB1517" t="str">
        <f>IFERROR(__xludf.DUMMYFUNCTION("""COMPUTED_VALUE"""),"Excellent")</f>
        <v>Excellent</v>
      </c>
      <c r="AC1517">
        <f>IFERROR(__xludf.DUMMYFUNCTION("""COMPUTED_VALUE"""),0.0)</f>
        <v>0</v>
      </c>
      <c r="AD1517">
        <f>IFERROR(__xludf.DUMMYFUNCTION("""COMPUTED_VALUE"""),0.0)</f>
        <v>0</v>
      </c>
      <c r="AE1517">
        <f>IFERROR(__xludf.DUMMYFUNCTION("""COMPUTED_VALUE"""),0.0)</f>
        <v>0</v>
      </c>
      <c r="AH1517" s="189">
        <f>IFERROR(__xludf.DUMMYFUNCTION("""COMPUTED_VALUE"""),43463.36221717593)</f>
        <v>43463.36222</v>
      </c>
    </row>
    <row r="1518">
      <c r="A1518" t="str">
        <f>IFERROR(__xludf.DUMMYFUNCTION("""COMPUTED_VALUE"""),"Achilles5968")</f>
        <v>Achilles5968</v>
      </c>
      <c r="B1518" t="str">
        <f>IFERROR(__xludf.DUMMYFUNCTION("""COMPUTED_VALUE"""),"Portland")</f>
        <v>Portland</v>
      </c>
      <c r="C1518" t="str">
        <f>IFERROR(__xludf.DUMMYFUNCTION("""COMPUTED_VALUE"""),"OR")</f>
        <v>OR</v>
      </c>
      <c r="D1518" t="str">
        <f>IFERROR(__xludf.DUMMYFUNCTION("""COMPUTED_VALUE"""),"USA")</f>
        <v>USA</v>
      </c>
      <c r="E1518" s="188">
        <f>IFERROR(__xludf.DUMMYFUNCTION("""COMPUTED_VALUE"""),43451.0)</f>
        <v>43451</v>
      </c>
      <c r="F1518" s="188">
        <f>IFERROR(__xludf.DUMMYFUNCTION("""COMPUTED_VALUE"""),43455.0)</f>
        <v>43455</v>
      </c>
      <c r="H1518">
        <f>IFERROR(__xludf.DUMMYFUNCTION("""COMPUTED_VALUE"""),171955.0)</f>
        <v>171955</v>
      </c>
      <c r="J1518" s="5">
        <f>IFERROR(__xludf.DUMMYFUNCTION("""COMPUTED_VALUE"""),43462.0)</f>
        <v>43462</v>
      </c>
      <c r="K1518">
        <f>IFERROR(__xludf.DUMMYFUNCTION("""COMPUTED_VALUE"""),4.0)</f>
        <v>4</v>
      </c>
      <c r="L1518">
        <f>IFERROR(__xludf.DUMMYFUNCTION("""COMPUTED_VALUE"""),7.0)</f>
        <v>7</v>
      </c>
      <c r="M1518">
        <f>IFERROR(__xludf.DUMMYFUNCTION("""COMPUTED_VALUE"""),11.0)</f>
        <v>11</v>
      </c>
      <c r="N1518" t="str">
        <f>IFERROR(__xludf.DUMMYFUNCTION("""COMPUTED_VALUE"""),"Model 3 MR")</f>
        <v>Model 3 MR</v>
      </c>
      <c r="O1518" t="str">
        <f>IFERROR(__xludf.DUMMYFUNCTION("""COMPUTED_VALUE"""),"Solid Black")</f>
        <v>Solid Black</v>
      </c>
      <c r="P1518" t="str">
        <f>IFERROR(__xludf.DUMMYFUNCTION("""COMPUTED_VALUE"""),"18 inch Aero")</f>
        <v>18 inch Aero</v>
      </c>
      <c r="Q1518" t="str">
        <f>IFERROR(__xludf.DUMMYFUNCTION("""COMPUTED_VALUE"""),"Black seats")</f>
        <v>Black seats</v>
      </c>
      <c r="R1518" t="str">
        <f>IFERROR(__xludf.DUMMYFUNCTION("""COMPUTED_VALUE"""),"Enhanced Autopilot")</f>
        <v>Enhanced Autopilot</v>
      </c>
      <c r="X1518" t="str">
        <f>IFERROR(__xludf.DUMMYFUNCTION("""COMPUTED_VALUE"""),"Very Good")</f>
        <v>Very Good</v>
      </c>
      <c r="Y1518" t="str">
        <f>IFERROR(__xludf.DUMMYFUNCTION("""COMPUTED_VALUE"""),"Very Good")</f>
        <v>Very Good</v>
      </c>
      <c r="Z1518" t="str">
        <f>IFERROR(__xludf.DUMMYFUNCTION("""COMPUTED_VALUE"""),"Very Good")</f>
        <v>Very Good</v>
      </c>
      <c r="AA1518" t="str">
        <f>IFERROR(__xludf.DUMMYFUNCTION("""COMPUTED_VALUE"""),"Excellent")</f>
        <v>Excellent</v>
      </c>
      <c r="AB1518" t="str">
        <f>IFERROR(__xludf.DUMMYFUNCTION("""COMPUTED_VALUE"""),"Very Good")</f>
        <v>Very Good</v>
      </c>
      <c r="AH1518" s="189">
        <f>IFERROR(__xludf.DUMMYFUNCTION("""COMPUTED_VALUE"""),43463.577579861114)</f>
        <v>43463.57758</v>
      </c>
    </row>
    <row r="1519">
      <c r="A1519" t="str">
        <f>IFERROR(__xludf.DUMMYFUNCTION("""COMPUTED_VALUE"""),"alexandrosm")</f>
        <v>alexandrosm</v>
      </c>
      <c r="B1519" t="str">
        <f>IFERROR(__xludf.DUMMYFUNCTION("""COMPUTED_VALUE"""),"Seattle")</f>
        <v>Seattle</v>
      </c>
      <c r="C1519" t="str">
        <f>IFERROR(__xludf.DUMMYFUNCTION("""COMPUTED_VALUE"""),"WA")</f>
        <v>WA</v>
      </c>
      <c r="D1519" t="str">
        <f>IFERROR(__xludf.DUMMYFUNCTION("""COMPUTED_VALUE"""),"USA")</f>
        <v>USA</v>
      </c>
      <c r="E1519" s="188">
        <f>IFERROR(__xludf.DUMMYFUNCTION("""COMPUTED_VALUE"""),43449.0)</f>
        <v>43449</v>
      </c>
      <c r="H1519">
        <f>IFERROR(__xludf.DUMMYFUNCTION("""COMPUTED_VALUE"""),131255.0)</f>
        <v>131255</v>
      </c>
      <c r="J1519" s="5">
        <f>IFERROR(__xludf.DUMMYFUNCTION("""COMPUTED_VALUE"""),43461.0)</f>
        <v>43461</v>
      </c>
      <c r="M1519">
        <f>IFERROR(__xludf.DUMMYFUNCTION("""COMPUTED_VALUE"""),12.0)</f>
        <v>12</v>
      </c>
      <c r="N1519" t="str">
        <f>IFERROR(__xludf.DUMMYFUNCTION("""COMPUTED_VALUE"""),"Model 3 LR AWD")</f>
        <v>Model 3 LR AWD</v>
      </c>
      <c r="O1519" t="str">
        <f>IFERROR(__xludf.DUMMYFUNCTION("""COMPUTED_VALUE"""),"Pearl White Multi-Coat")</f>
        <v>Pearl White Multi-Coat</v>
      </c>
      <c r="P1519" t="str">
        <f>IFERROR(__xludf.DUMMYFUNCTION("""COMPUTED_VALUE"""),"18 inch Aero")</f>
        <v>18 inch Aero</v>
      </c>
      <c r="Q1519" t="str">
        <f>IFERROR(__xludf.DUMMYFUNCTION("""COMPUTED_VALUE"""),"Black seats")</f>
        <v>Black seats</v>
      </c>
      <c r="R1519" t="str">
        <f>IFERROR(__xludf.DUMMYFUNCTION("""COMPUTED_VALUE"""),"None")</f>
        <v>None</v>
      </c>
      <c r="X1519" t="str">
        <f>IFERROR(__xludf.DUMMYFUNCTION("""COMPUTED_VALUE"""),"Excellent")</f>
        <v>Excellent</v>
      </c>
      <c r="Y1519" t="str">
        <f>IFERROR(__xludf.DUMMYFUNCTION("""COMPUTED_VALUE"""),"Excellent")</f>
        <v>Excellent</v>
      </c>
      <c r="Z1519" t="str">
        <f>IFERROR(__xludf.DUMMYFUNCTION("""COMPUTED_VALUE"""),"Excellent")</f>
        <v>Excellent</v>
      </c>
      <c r="AA1519" t="str">
        <f>IFERROR(__xludf.DUMMYFUNCTION("""COMPUTED_VALUE"""),"Excellent")</f>
        <v>Excellent</v>
      </c>
      <c r="AB1519" t="str">
        <f>IFERROR(__xludf.DUMMYFUNCTION("""COMPUTED_VALUE"""),"Very Good")</f>
        <v>Very Good</v>
      </c>
      <c r="AC1519">
        <f>IFERROR(__xludf.DUMMYFUNCTION("""COMPUTED_VALUE"""),0.0)</f>
        <v>0</v>
      </c>
      <c r="AD1519">
        <f>IFERROR(__xludf.DUMMYFUNCTION("""COMPUTED_VALUE"""),0.0)</f>
        <v>0</v>
      </c>
      <c r="AE1519">
        <f>IFERROR(__xludf.DUMMYFUNCTION("""COMPUTED_VALUE"""),0.0)</f>
        <v>0</v>
      </c>
      <c r="AH1519" s="189">
        <f>IFERROR(__xludf.DUMMYFUNCTION("""COMPUTED_VALUE"""),43464.40458592593)</f>
        <v>43464.40459</v>
      </c>
    </row>
    <row r="1520">
      <c r="A1520" t="str">
        <f>IFERROR(__xludf.DUMMYFUNCTION("""COMPUTED_VALUE"""),"pchrosto")</f>
        <v>pchrosto</v>
      </c>
      <c r="B1520" t="str">
        <f>IFERROR(__xludf.DUMMYFUNCTION("""COMPUTED_VALUE"""),"Rockledge")</f>
        <v>Rockledge</v>
      </c>
      <c r="C1520" t="str">
        <f>IFERROR(__xludf.DUMMYFUNCTION("""COMPUTED_VALUE"""),"FL")</f>
        <v>FL</v>
      </c>
      <c r="D1520" t="str">
        <f>IFERROR(__xludf.DUMMYFUNCTION("""COMPUTED_VALUE"""),"USA")</f>
        <v>USA</v>
      </c>
      <c r="E1520" s="188">
        <f>IFERROR(__xludf.DUMMYFUNCTION("""COMPUTED_VALUE"""),43395.0)</f>
        <v>43395</v>
      </c>
      <c r="F1520" s="188">
        <f>IFERROR(__xludf.DUMMYFUNCTION("""COMPUTED_VALUE"""),43439.0)</f>
        <v>43439</v>
      </c>
      <c r="H1520">
        <f>IFERROR(__xludf.DUMMYFUNCTION("""COMPUTED_VALUE"""),183155.0)</f>
        <v>183155</v>
      </c>
      <c r="I1520" t="str">
        <f>IFERROR(__xludf.DUMMYFUNCTION("""COMPUTED_VALUE"""),"11/18")</f>
        <v>11/18</v>
      </c>
      <c r="J1520" s="5">
        <f>IFERROR(__xludf.DUMMYFUNCTION("""COMPUTED_VALUE"""),43449.0)</f>
        <v>43449</v>
      </c>
      <c r="K1520">
        <f>IFERROR(__xludf.DUMMYFUNCTION("""COMPUTED_VALUE"""),44.0)</f>
        <v>44</v>
      </c>
      <c r="L1520">
        <f>IFERROR(__xludf.DUMMYFUNCTION("""COMPUTED_VALUE"""),10.0)</f>
        <v>10</v>
      </c>
      <c r="M1520">
        <f>IFERROR(__xludf.DUMMYFUNCTION("""COMPUTED_VALUE"""),54.0)</f>
        <v>54</v>
      </c>
      <c r="N1520" t="str">
        <f>IFERROR(__xludf.DUMMYFUNCTION("""COMPUTED_VALUE"""),"Model 3 LR AWD")</f>
        <v>Model 3 LR AWD</v>
      </c>
      <c r="O1520" t="str">
        <f>IFERROR(__xludf.DUMMYFUNCTION("""COMPUTED_VALUE"""),"Pearl White Multi-Coat")</f>
        <v>Pearl White Multi-Coat</v>
      </c>
      <c r="P1520" t="str">
        <f>IFERROR(__xludf.DUMMYFUNCTION("""COMPUTED_VALUE"""),"18 inch Aero")</f>
        <v>18 inch Aero</v>
      </c>
      <c r="Q1520" t="str">
        <f>IFERROR(__xludf.DUMMYFUNCTION("""COMPUTED_VALUE"""),"Black seats")</f>
        <v>Black seats</v>
      </c>
      <c r="R1520" t="str">
        <f>IFERROR(__xludf.DUMMYFUNCTION("""COMPUTED_VALUE"""),"Enhanced Autopilot")</f>
        <v>Enhanced Autopilot</v>
      </c>
      <c r="X1520" t="str">
        <f>IFERROR(__xludf.DUMMYFUNCTION("""COMPUTED_VALUE"""),"Very Good")</f>
        <v>Very Good</v>
      </c>
      <c r="Y1520" t="str">
        <f>IFERROR(__xludf.DUMMYFUNCTION("""COMPUTED_VALUE"""),"Excellent")</f>
        <v>Excellent</v>
      </c>
      <c r="Z1520" t="str">
        <f>IFERROR(__xludf.DUMMYFUNCTION("""COMPUTED_VALUE"""),"Excellent")</f>
        <v>Excellent</v>
      </c>
      <c r="AA1520" t="str">
        <f>IFERROR(__xludf.DUMMYFUNCTION("""COMPUTED_VALUE"""),"Excellent")</f>
        <v>Excellent</v>
      </c>
      <c r="AB1520" t="str">
        <f>IFERROR(__xludf.DUMMYFUNCTION("""COMPUTED_VALUE"""),"Excellent")</f>
        <v>Excellent</v>
      </c>
      <c r="AC1520">
        <f>IFERROR(__xludf.DUMMYFUNCTION("""COMPUTED_VALUE"""),1.0)</f>
        <v>1</v>
      </c>
      <c r="AD1520">
        <f>IFERROR(__xludf.DUMMYFUNCTION("""COMPUTED_VALUE"""),1.0)</f>
        <v>1</v>
      </c>
      <c r="AE1520">
        <f>IFERROR(__xludf.DUMMYFUNCTION("""COMPUTED_VALUE"""),0.0)</f>
        <v>0</v>
      </c>
      <c r="AH1520" s="189">
        <f>IFERROR(__xludf.DUMMYFUNCTION("""COMPUTED_VALUE"""),43464.44808752315)</f>
        <v>43464.44809</v>
      </c>
    </row>
    <row r="1521">
      <c r="A1521" t="str">
        <f>IFERROR(__xludf.DUMMYFUNCTION("""COMPUTED_VALUE"""),"mpilot")</f>
        <v>mpilot</v>
      </c>
      <c r="C1521" t="str">
        <f>IFERROR(__xludf.DUMMYFUNCTION("""COMPUTED_VALUE"""),"QC")</f>
        <v>QC</v>
      </c>
      <c r="D1521" t="str">
        <f>IFERROR(__xludf.DUMMYFUNCTION("""COMPUTED_VALUE"""),"Canada")</f>
        <v>Canada</v>
      </c>
      <c r="E1521" s="188">
        <f>IFERROR(__xludf.DUMMYFUNCTION("""COMPUTED_VALUE"""),43278.0)</f>
        <v>43278</v>
      </c>
      <c r="F1521" s="188">
        <f>IFERROR(__xludf.DUMMYFUNCTION("""COMPUTED_VALUE"""),43417.0)</f>
        <v>43417</v>
      </c>
      <c r="H1521">
        <f>IFERROR(__xludf.DUMMYFUNCTION("""COMPUTED_VALUE"""),107755.0)</f>
        <v>107755</v>
      </c>
      <c r="J1521" s="5">
        <f>IFERROR(__xludf.DUMMYFUNCTION("""COMPUTED_VALUE"""),43426.0)</f>
        <v>43426</v>
      </c>
      <c r="K1521">
        <f>IFERROR(__xludf.DUMMYFUNCTION("""COMPUTED_VALUE"""),139.0)</f>
        <v>139</v>
      </c>
      <c r="L1521">
        <f>IFERROR(__xludf.DUMMYFUNCTION("""COMPUTED_VALUE"""),9.0)</f>
        <v>9</v>
      </c>
      <c r="M1521">
        <f>IFERROR(__xludf.DUMMYFUNCTION("""COMPUTED_VALUE"""),148.0)</f>
        <v>148</v>
      </c>
      <c r="N1521" t="str">
        <f>IFERROR(__xludf.DUMMYFUNCTION("""COMPUTED_VALUE"""),"Model 3 LR AWD")</f>
        <v>Model 3 LR AWD</v>
      </c>
      <c r="O1521" t="str">
        <f>IFERROR(__xludf.DUMMYFUNCTION("""COMPUTED_VALUE"""),"Deep Blue Metallic")</f>
        <v>Deep Blue Metallic</v>
      </c>
      <c r="P1521" t="str">
        <f>IFERROR(__xludf.DUMMYFUNCTION("""COMPUTED_VALUE"""),"18 inch Aero")</f>
        <v>18 inch Aero</v>
      </c>
      <c r="Q1521" t="str">
        <f>IFERROR(__xludf.DUMMYFUNCTION("""COMPUTED_VALUE"""),"Black seats")</f>
        <v>Black seats</v>
      </c>
      <c r="R1521" t="str">
        <f>IFERROR(__xludf.DUMMYFUNCTION("""COMPUTED_VALUE"""),"None")</f>
        <v>None</v>
      </c>
      <c r="X1521" t="str">
        <f>IFERROR(__xludf.DUMMYFUNCTION("""COMPUTED_VALUE"""),"Excellent")</f>
        <v>Excellent</v>
      </c>
      <c r="Y1521" t="str">
        <f>IFERROR(__xludf.DUMMYFUNCTION("""COMPUTED_VALUE"""),"Excellent")</f>
        <v>Excellent</v>
      </c>
      <c r="Z1521" t="str">
        <f>IFERROR(__xludf.DUMMYFUNCTION("""COMPUTED_VALUE"""),"Excellent")</f>
        <v>Excellent</v>
      </c>
      <c r="AA1521" t="str">
        <f>IFERROR(__xludf.DUMMYFUNCTION("""COMPUTED_VALUE"""),"Very Good")</f>
        <v>Very Good</v>
      </c>
      <c r="AB1521" t="str">
        <f>IFERROR(__xludf.DUMMYFUNCTION("""COMPUTED_VALUE"""),"Excellent")</f>
        <v>Excellent</v>
      </c>
      <c r="AC1521">
        <f>IFERROR(__xludf.DUMMYFUNCTION("""COMPUTED_VALUE"""),0.0)</f>
        <v>0</v>
      </c>
      <c r="AD1521">
        <f>IFERROR(__xludf.DUMMYFUNCTION("""COMPUTED_VALUE"""),0.0)</f>
        <v>0</v>
      </c>
      <c r="AE1521">
        <f>IFERROR(__xludf.DUMMYFUNCTION("""COMPUTED_VALUE"""),0.0)</f>
        <v>0</v>
      </c>
      <c r="AH1521" s="189">
        <f>IFERROR(__xludf.DUMMYFUNCTION("""COMPUTED_VALUE"""),43464.519946307875)</f>
        <v>43464.51995</v>
      </c>
    </row>
    <row r="1522">
      <c r="A1522" t="str">
        <f>IFERROR(__xludf.DUMMYFUNCTION("""COMPUTED_VALUE"""),"gang")</f>
        <v>gang</v>
      </c>
      <c r="B1522" t="str">
        <f>IFERROR(__xludf.DUMMYFUNCTION("""COMPUTED_VALUE"""),"Santa Clara")</f>
        <v>Santa Clara</v>
      </c>
      <c r="C1522" t="str">
        <f>IFERROR(__xludf.DUMMYFUNCTION("""COMPUTED_VALUE"""),"CA")</f>
        <v>CA</v>
      </c>
      <c r="D1522" t="str">
        <f>IFERROR(__xludf.DUMMYFUNCTION("""COMPUTED_VALUE"""),"USA")</f>
        <v>USA</v>
      </c>
      <c r="E1522" s="188">
        <f>IFERROR(__xludf.DUMMYFUNCTION("""COMPUTED_VALUE"""),43448.0)</f>
        <v>43448</v>
      </c>
      <c r="F1522" s="188">
        <f>IFERROR(__xludf.DUMMYFUNCTION("""COMPUTED_VALUE"""),43453.0)</f>
        <v>43453</v>
      </c>
      <c r="H1522">
        <f>IFERROR(__xludf.DUMMYFUNCTION("""COMPUTED_VALUE"""),149355.0)</f>
        <v>149355</v>
      </c>
      <c r="I1522" t="str">
        <f>IFERROR(__xludf.DUMMYFUNCTION("""COMPUTED_VALUE"""),"11/18")</f>
        <v>11/18</v>
      </c>
      <c r="J1522" s="5">
        <f>IFERROR(__xludf.DUMMYFUNCTION("""COMPUTED_VALUE"""),43460.0)</f>
        <v>43460</v>
      </c>
      <c r="K1522">
        <f>IFERROR(__xludf.DUMMYFUNCTION("""COMPUTED_VALUE"""),5.0)</f>
        <v>5</v>
      </c>
      <c r="L1522">
        <f>IFERROR(__xludf.DUMMYFUNCTION("""COMPUTED_VALUE"""),7.0)</f>
        <v>7</v>
      </c>
      <c r="M1522">
        <f>IFERROR(__xludf.DUMMYFUNCTION("""COMPUTED_VALUE"""),12.0)</f>
        <v>12</v>
      </c>
      <c r="N1522" t="str">
        <f>IFERROR(__xludf.DUMMYFUNCTION("""COMPUTED_VALUE"""),"Model 3 LR")</f>
        <v>Model 3 LR</v>
      </c>
      <c r="O1522" t="str">
        <f>IFERROR(__xludf.DUMMYFUNCTION("""COMPUTED_VALUE"""),"Solid Black")</f>
        <v>Solid Black</v>
      </c>
      <c r="P1522" t="str">
        <f>IFERROR(__xludf.DUMMYFUNCTION("""COMPUTED_VALUE"""),"18 inch Aero")</f>
        <v>18 inch Aero</v>
      </c>
      <c r="Q1522" t="str">
        <f>IFERROR(__xludf.DUMMYFUNCTION("""COMPUTED_VALUE"""),"Black seats")</f>
        <v>Black seats</v>
      </c>
      <c r="R1522" t="str">
        <f>IFERROR(__xludf.DUMMYFUNCTION("""COMPUTED_VALUE"""),"None")</f>
        <v>None</v>
      </c>
      <c r="X1522" t="str">
        <f>IFERROR(__xludf.DUMMYFUNCTION("""COMPUTED_VALUE"""),"Poor")</f>
        <v>Poor</v>
      </c>
      <c r="Y1522" t="str">
        <f>IFERROR(__xludf.DUMMYFUNCTION("""COMPUTED_VALUE"""),"Good")</f>
        <v>Good</v>
      </c>
      <c r="Z1522" t="str">
        <f>IFERROR(__xludf.DUMMYFUNCTION("""COMPUTED_VALUE"""),"Good")</f>
        <v>Good</v>
      </c>
      <c r="AA1522" t="str">
        <f>IFERROR(__xludf.DUMMYFUNCTION("""COMPUTED_VALUE"""),"Poor")</f>
        <v>Poor</v>
      </c>
      <c r="AB1522" t="str">
        <f>IFERROR(__xludf.DUMMYFUNCTION("""COMPUTED_VALUE"""),"Poor")</f>
        <v>Poor</v>
      </c>
      <c r="AC1522">
        <f>IFERROR(__xludf.DUMMYFUNCTION("""COMPUTED_VALUE"""),7.0)</f>
        <v>7</v>
      </c>
      <c r="AD1522">
        <f>IFERROR(__xludf.DUMMYFUNCTION("""COMPUTED_VALUE"""),5.0)</f>
        <v>5</v>
      </c>
      <c r="AG1522" t="str">
        <f>IFERROR(__xludf.DUMMYFUNCTION("""COMPUTED_VALUE"""),"OA finds one match from their inventory. Don't take Tesla home delivery, you want a detailed inspection before taking delivery.")</f>
        <v>OA finds one match from their inventory. Don't take Tesla home delivery, you want a detailed inspection before taking delivery.</v>
      </c>
      <c r="AH1522" s="189">
        <f>IFERROR(__xludf.DUMMYFUNCTION("""COMPUTED_VALUE"""),43464.676040729166)</f>
        <v>43464.67604</v>
      </c>
    </row>
    <row r="1523">
      <c r="A1523" t="str">
        <f>IFERROR(__xludf.DUMMYFUNCTION("""COMPUTED_VALUE"""),"La")</f>
        <v>La</v>
      </c>
      <c r="B1523" t="str">
        <f>IFERROR(__xludf.DUMMYFUNCTION("""COMPUTED_VALUE"""),"Norman")</f>
        <v>Norman</v>
      </c>
      <c r="C1523" t="str">
        <f>IFERROR(__xludf.DUMMYFUNCTION("""COMPUTED_VALUE"""),"OK")</f>
        <v>OK</v>
      </c>
      <c r="D1523" t="str">
        <f>IFERROR(__xludf.DUMMYFUNCTION("""COMPUTED_VALUE"""),"USA")</f>
        <v>USA</v>
      </c>
      <c r="E1523" s="188">
        <f>IFERROR(__xludf.DUMMYFUNCTION("""COMPUTED_VALUE"""),43393.0)</f>
        <v>43393</v>
      </c>
      <c r="F1523" s="188">
        <f>IFERROR(__xludf.DUMMYFUNCTION("""COMPUTED_VALUE"""),43445.0)</f>
        <v>43445</v>
      </c>
      <c r="H1523">
        <f>IFERROR(__xludf.DUMMYFUNCTION("""COMPUTED_VALUE"""),155455.0)</f>
        <v>155455</v>
      </c>
      <c r="J1523" s="5">
        <f>IFERROR(__xludf.DUMMYFUNCTION("""COMPUTED_VALUE"""),43456.0)</f>
        <v>43456</v>
      </c>
      <c r="K1523">
        <f>IFERROR(__xludf.DUMMYFUNCTION("""COMPUTED_VALUE"""),52.0)</f>
        <v>52</v>
      </c>
      <c r="L1523">
        <f>IFERROR(__xludf.DUMMYFUNCTION("""COMPUTED_VALUE"""),11.0)</f>
        <v>11</v>
      </c>
      <c r="M1523">
        <f>IFERROR(__xludf.DUMMYFUNCTION("""COMPUTED_VALUE"""),63.0)</f>
        <v>63</v>
      </c>
      <c r="N1523" t="str">
        <f>IFERROR(__xludf.DUMMYFUNCTION("""COMPUTED_VALUE"""),"Model 3 MR")</f>
        <v>Model 3 MR</v>
      </c>
      <c r="O1523" t="str">
        <f>IFERROR(__xludf.DUMMYFUNCTION("""COMPUTED_VALUE"""),"Pearl White Multi-Coat")</f>
        <v>Pearl White Multi-Coat</v>
      </c>
      <c r="P1523" t="str">
        <f>IFERROR(__xludf.DUMMYFUNCTION("""COMPUTED_VALUE"""),"18 inch Aero")</f>
        <v>18 inch Aero</v>
      </c>
      <c r="Q1523" t="str">
        <f>IFERROR(__xludf.DUMMYFUNCTION("""COMPUTED_VALUE"""),"White seats")</f>
        <v>White seats</v>
      </c>
      <c r="R1523" t="str">
        <f>IFERROR(__xludf.DUMMYFUNCTION("""COMPUTED_VALUE"""),"Enhanced Autopilot")</f>
        <v>Enhanced Autopilot</v>
      </c>
      <c r="X1523" t="str">
        <f>IFERROR(__xludf.DUMMYFUNCTION("""COMPUTED_VALUE"""),"Excellent")</f>
        <v>Excellent</v>
      </c>
      <c r="Y1523" t="str">
        <f>IFERROR(__xludf.DUMMYFUNCTION("""COMPUTED_VALUE"""),"Excellent")</f>
        <v>Excellent</v>
      </c>
      <c r="Z1523" t="str">
        <f>IFERROR(__xludf.DUMMYFUNCTION("""COMPUTED_VALUE"""),"Excellent")</f>
        <v>Excellent</v>
      </c>
      <c r="AA1523" t="str">
        <f>IFERROR(__xludf.DUMMYFUNCTION("""COMPUTED_VALUE"""),"Good")</f>
        <v>Good</v>
      </c>
      <c r="AB1523" t="str">
        <f>IFERROR(__xludf.DUMMYFUNCTION("""COMPUTED_VALUE"""),"Excellent")</f>
        <v>Excellent</v>
      </c>
      <c r="AC1523">
        <f>IFERROR(__xludf.DUMMYFUNCTION("""COMPUTED_VALUE"""),2.0)</f>
        <v>2</v>
      </c>
      <c r="AD1523">
        <f>IFERROR(__xludf.DUMMYFUNCTION("""COMPUTED_VALUE"""),0.0)</f>
        <v>0</v>
      </c>
      <c r="AE1523">
        <f>IFERROR(__xludf.DUMMYFUNCTION("""COMPUTED_VALUE"""),0.0)</f>
        <v>0</v>
      </c>
      <c r="AH1523" s="189">
        <f>IFERROR(__xludf.DUMMYFUNCTION("""COMPUTED_VALUE"""),43465.2596303125)</f>
        <v>43465.25963</v>
      </c>
    </row>
    <row r="1524">
      <c r="A1524" t="str">
        <f>IFERROR(__xludf.DUMMYFUNCTION("""COMPUTED_VALUE"""),"hlf0319")</f>
        <v>hlf0319</v>
      </c>
      <c r="C1524" t="str">
        <f>IFERROR(__xludf.DUMMYFUNCTION("""COMPUTED_VALUE"""),"CA")</f>
        <v>CA</v>
      </c>
      <c r="D1524" t="str">
        <f>IFERROR(__xludf.DUMMYFUNCTION("""COMPUTED_VALUE"""),"USA")</f>
        <v>USA</v>
      </c>
      <c r="E1524" s="188">
        <f>IFERROR(__xludf.DUMMYFUNCTION("""COMPUTED_VALUE"""),43278.0)</f>
        <v>43278</v>
      </c>
      <c r="F1524" s="188">
        <f>IFERROR(__xludf.DUMMYFUNCTION("""COMPUTED_VALUE"""),43413.0)</f>
        <v>43413</v>
      </c>
      <c r="H1524">
        <f>IFERROR(__xludf.DUMMYFUNCTION("""COMPUTED_VALUE"""),62969.0)</f>
        <v>62969</v>
      </c>
      <c r="I1524" t="str">
        <f>IFERROR(__xludf.DUMMYFUNCTION("""COMPUTED_VALUE"""),"10/18")</f>
        <v>10/18</v>
      </c>
      <c r="J1524" s="5">
        <f>IFERROR(__xludf.DUMMYFUNCTION("""COMPUTED_VALUE"""),43420.0)</f>
        <v>43420</v>
      </c>
      <c r="K1524">
        <f>IFERROR(__xludf.DUMMYFUNCTION("""COMPUTED_VALUE"""),135.0)</f>
        <v>135</v>
      </c>
      <c r="L1524">
        <f>IFERROR(__xludf.DUMMYFUNCTION("""COMPUTED_VALUE"""),7.0)</f>
        <v>7</v>
      </c>
      <c r="M1524">
        <f>IFERROR(__xludf.DUMMYFUNCTION("""COMPUTED_VALUE"""),142.0)</f>
        <v>142</v>
      </c>
      <c r="N1524" t="str">
        <f>IFERROR(__xludf.DUMMYFUNCTION("""COMPUTED_VALUE"""),"Model 3 LR AWD")</f>
        <v>Model 3 LR AWD</v>
      </c>
      <c r="O1524" t="str">
        <f>IFERROR(__xludf.DUMMYFUNCTION("""COMPUTED_VALUE"""),"Deep Blue Metallic")</f>
        <v>Deep Blue Metallic</v>
      </c>
      <c r="P1524" t="str">
        <f>IFERROR(__xludf.DUMMYFUNCTION("""COMPUTED_VALUE"""),"18 inch Aero")</f>
        <v>18 inch Aero</v>
      </c>
      <c r="Q1524" t="str">
        <f>IFERROR(__xludf.DUMMYFUNCTION("""COMPUTED_VALUE"""),"Black seats")</f>
        <v>Black seats</v>
      </c>
      <c r="R1524" t="str">
        <f>IFERROR(__xludf.DUMMYFUNCTION("""COMPUTED_VALUE"""),"Enhanced Autopilot")</f>
        <v>Enhanced Autopilot</v>
      </c>
      <c r="X1524" t="str">
        <f>IFERROR(__xludf.DUMMYFUNCTION("""COMPUTED_VALUE"""),"Excellent")</f>
        <v>Excellent</v>
      </c>
      <c r="Y1524" t="str">
        <f>IFERROR(__xludf.DUMMYFUNCTION("""COMPUTED_VALUE"""),"Excellent")</f>
        <v>Excellent</v>
      </c>
      <c r="Z1524" t="str">
        <f>IFERROR(__xludf.DUMMYFUNCTION("""COMPUTED_VALUE"""),"Excellent")</f>
        <v>Excellent</v>
      </c>
      <c r="AA1524" t="str">
        <f>IFERROR(__xludf.DUMMYFUNCTION("""COMPUTED_VALUE"""),"Fair")</f>
        <v>Fair</v>
      </c>
      <c r="AB1524" t="str">
        <f>IFERROR(__xludf.DUMMYFUNCTION("""COMPUTED_VALUE"""),"Excellent")</f>
        <v>Excellent</v>
      </c>
      <c r="AC1524">
        <f>IFERROR(__xludf.DUMMYFUNCTION("""COMPUTED_VALUE"""),1.0)</f>
        <v>1</v>
      </c>
      <c r="AD1524">
        <f>IFERROR(__xludf.DUMMYFUNCTION("""COMPUTED_VALUE"""),1.0)</f>
        <v>1</v>
      </c>
      <c r="AE1524">
        <f>IFERROR(__xludf.DUMMYFUNCTION("""COMPUTED_VALUE"""),0.0)</f>
        <v>0</v>
      </c>
      <c r="AH1524" s="189">
        <f>IFERROR(__xludf.DUMMYFUNCTION("""COMPUTED_VALUE"""),43465.38047048611)</f>
        <v>43465.38047</v>
      </c>
    </row>
    <row r="1525">
      <c r="A1525" t="str">
        <f>IFERROR(__xludf.DUMMYFUNCTION("""COMPUTED_VALUE"""),"ModTrois")</f>
        <v>ModTrois</v>
      </c>
      <c r="B1525" t="str">
        <f>IFERROR(__xludf.DUMMYFUNCTION("""COMPUTED_VALUE"""),"Fairfield County")</f>
        <v>Fairfield County</v>
      </c>
      <c r="C1525" t="str">
        <f>IFERROR(__xludf.DUMMYFUNCTION("""COMPUTED_VALUE"""),"CT")</f>
        <v>CT</v>
      </c>
      <c r="D1525" t="str">
        <f>IFERROR(__xludf.DUMMYFUNCTION("""COMPUTED_VALUE"""),"USA")</f>
        <v>USA</v>
      </c>
      <c r="E1525" s="188">
        <f>IFERROR(__xludf.DUMMYFUNCTION("""COMPUTED_VALUE"""),43278.0)</f>
        <v>43278</v>
      </c>
      <c r="F1525" s="188">
        <f>IFERROR(__xludf.DUMMYFUNCTION("""COMPUTED_VALUE"""),43391.0)</f>
        <v>43391</v>
      </c>
      <c r="H1525">
        <f>IFERROR(__xludf.DUMMYFUNCTION("""COMPUTED_VALUE"""),117355.0)</f>
        <v>117355</v>
      </c>
      <c r="I1525" t="str">
        <f>IFERROR(__xludf.DUMMYFUNCTION("""COMPUTED_VALUE"""),"10/18")</f>
        <v>10/18</v>
      </c>
      <c r="J1525" s="5">
        <f>IFERROR(__xludf.DUMMYFUNCTION("""COMPUTED_VALUE"""),43418.0)</f>
        <v>43418</v>
      </c>
      <c r="K1525">
        <f>IFERROR(__xludf.DUMMYFUNCTION("""COMPUTED_VALUE"""),113.0)</f>
        <v>113</v>
      </c>
      <c r="L1525">
        <f>IFERROR(__xludf.DUMMYFUNCTION("""COMPUTED_VALUE"""),27.0)</f>
        <v>27</v>
      </c>
      <c r="M1525">
        <f>IFERROR(__xludf.DUMMYFUNCTION("""COMPUTED_VALUE"""),140.0)</f>
        <v>140</v>
      </c>
      <c r="N1525" t="str">
        <f>IFERROR(__xludf.DUMMYFUNCTION("""COMPUTED_VALUE"""),"Model 3 LR AWD")</f>
        <v>Model 3 LR AWD</v>
      </c>
      <c r="O1525" t="str">
        <f>IFERROR(__xludf.DUMMYFUNCTION("""COMPUTED_VALUE"""),"Red Multi-Coat")</f>
        <v>Red Multi-Coat</v>
      </c>
      <c r="P1525" t="str">
        <f>IFERROR(__xludf.DUMMYFUNCTION("""COMPUTED_VALUE"""),"19 inch Sport")</f>
        <v>19 inch Sport</v>
      </c>
      <c r="Q1525" t="str">
        <f>IFERROR(__xludf.DUMMYFUNCTION("""COMPUTED_VALUE"""),"Black seats")</f>
        <v>Black seats</v>
      </c>
      <c r="R1525" t="str">
        <f>IFERROR(__xludf.DUMMYFUNCTION("""COMPUTED_VALUE"""),"Full Self-Driving")</f>
        <v>Full Self-Driving</v>
      </c>
      <c r="X1525" t="str">
        <f>IFERROR(__xludf.DUMMYFUNCTION("""COMPUTED_VALUE"""),"Very Good")</f>
        <v>Very Good</v>
      </c>
      <c r="Y1525" t="str">
        <f>IFERROR(__xludf.DUMMYFUNCTION("""COMPUTED_VALUE"""),"Excellent")</f>
        <v>Excellent</v>
      </c>
      <c r="Z1525" t="str">
        <f>IFERROR(__xludf.DUMMYFUNCTION("""COMPUTED_VALUE"""),"Excellent")</f>
        <v>Excellent</v>
      </c>
      <c r="AA1525" t="str">
        <f>IFERROR(__xludf.DUMMYFUNCTION("""COMPUTED_VALUE"""),"Poor")</f>
        <v>Poor</v>
      </c>
      <c r="AB1525" t="str">
        <f>IFERROR(__xludf.DUMMYFUNCTION("""COMPUTED_VALUE"""),"Fair")</f>
        <v>Fair</v>
      </c>
      <c r="AC1525">
        <f>IFERROR(__xludf.DUMMYFUNCTION("""COMPUTED_VALUE"""),0.0)</f>
        <v>0</v>
      </c>
      <c r="AD1525">
        <f>IFERROR(__xludf.DUMMYFUNCTION("""COMPUTED_VALUE"""),0.0)</f>
        <v>0</v>
      </c>
      <c r="AE1525">
        <f>IFERROR(__xludf.DUMMYFUNCTION("""COMPUTED_VALUE"""),0.0)</f>
        <v>0</v>
      </c>
      <c r="AH1525" s="189">
        <f>IFERROR(__xludf.DUMMYFUNCTION("""COMPUTED_VALUE"""),43465.38058025463)</f>
        <v>43465.38058</v>
      </c>
    </row>
    <row r="1526">
      <c r="A1526" t="str">
        <f>IFERROR(__xludf.DUMMYFUNCTION("""COMPUTED_VALUE"""),"apearson")</f>
        <v>apearson</v>
      </c>
      <c r="B1526" t="str">
        <f>IFERROR(__xludf.DUMMYFUNCTION("""COMPUTED_VALUE"""),"Birmingham")</f>
        <v>Birmingham</v>
      </c>
      <c r="C1526" t="str">
        <f>IFERROR(__xludf.DUMMYFUNCTION("""COMPUTED_VALUE"""),"AL")</f>
        <v>AL</v>
      </c>
      <c r="D1526" t="str">
        <f>IFERROR(__xludf.DUMMYFUNCTION("""COMPUTED_VALUE"""),"USA")</f>
        <v>USA</v>
      </c>
      <c r="E1526" s="188">
        <f>IFERROR(__xludf.DUMMYFUNCTION("""COMPUTED_VALUE"""),43385.0)</f>
        <v>43385</v>
      </c>
      <c r="F1526" s="188">
        <f>IFERROR(__xludf.DUMMYFUNCTION("""COMPUTED_VALUE"""),43406.0)</f>
        <v>43406</v>
      </c>
      <c r="H1526">
        <f>IFERROR(__xludf.DUMMYFUNCTION("""COMPUTED_VALUE"""),101955.0)</f>
        <v>101955</v>
      </c>
      <c r="I1526" t="str">
        <f>IFERROR(__xludf.DUMMYFUNCTION("""COMPUTED_VALUE"""),"10/18")</f>
        <v>10/18</v>
      </c>
      <c r="J1526" s="5">
        <f>IFERROR(__xludf.DUMMYFUNCTION("""COMPUTED_VALUE"""),43413.0)</f>
        <v>43413</v>
      </c>
      <c r="K1526">
        <f>IFERROR(__xludf.DUMMYFUNCTION("""COMPUTED_VALUE"""),21.0)</f>
        <v>21</v>
      </c>
      <c r="L1526">
        <f>IFERROR(__xludf.DUMMYFUNCTION("""COMPUTED_VALUE"""),7.0)</f>
        <v>7</v>
      </c>
      <c r="M1526">
        <f>IFERROR(__xludf.DUMMYFUNCTION("""COMPUTED_VALUE"""),28.0)</f>
        <v>28</v>
      </c>
      <c r="N1526" t="str">
        <f>IFERROR(__xludf.DUMMYFUNCTION("""COMPUTED_VALUE"""),"Model 3 LR")</f>
        <v>Model 3 LR</v>
      </c>
      <c r="O1526" t="str">
        <f>IFERROR(__xludf.DUMMYFUNCTION("""COMPUTED_VALUE"""),"Midnight Silver Metallic")</f>
        <v>Midnight Silver Metallic</v>
      </c>
      <c r="P1526" t="str">
        <f>IFERROR(__xludf.DUMMYFUNCTION("""COMPUTED_VALUE"""),"18 inch Aero")</f>
        <v>18 inch Aero</v>
      </c>
      <c r="Q1526" t="str">
        <f>IFERROR(__xludf.DUMMYFUNCTION("""COMPUTED_VALUE"""),"Black seats")</f>
        <v>Black seats</v>
      </c>
      <c r="R1526" t="str">
        <f>IFERROR(__xludf.DUMMYFUNCTION("""COMPUTED_VALUE"""),"None")</f>
        <v>None</v>
      </c>
      <c r="X1526" t="str">
        <f>IFERROR(__xludf.DUMMYFUNCTION("""COMPUTED_VALUE"""),"Excellent")</f>
        <v>Excellent</v>
      </c>
      <c r="Y1526" t="str">
        <f>IFERROR(__xludf.DUMMYFUNCTION("""COMPUTED_VALUE"""),"Excellent")</f>
        <v>Excellent</v>
      </c>
      <c r="Z1526" t="str">
        <f>IFERROR(__xludf.DUMMYFUNCTION("""COMPUTED_VALUE"""),"Very Good")</f>
        <v>Very Good</v>
      </c>
      <c r="AA1526" t="str">
        <f>IFERROR(__xludf.DUMMYFUNCTION("""COMPUTED_VALUE"""),"Poor")</f>
        <v>Poor</v>
      </c>
      <c r="AB1526" t="str">
        <f>IFERROR(__xludf.DUMMYFUNCTION("""COMPUTED_VALUE"""),"Excellent")</f>
        <v>Excellent</v>
      </c>
      <c r="AC1526">
        <f>IFERROR(__xludf.DUMMYFUNCTION("""COMPUTED_VALUE"""),0.0)</f>
        <v>0</v>
      </c>
      <c r="AD1526">
        <f>IFERROR(__xludf.DUMMYFUNCTION("""COMPUTED_VALUE"""),0.0)</f>
        <v>0</v>
      </c>
      <c r="AE1526">
        <f>IFERROR(__xludf.DUMMYFUNCTION("""COMPUTED_VALUE"""),0.0)</f>
        <v>0</v>
      </c>
      <c r="AG1526" t="str">
        <f>IFERROR(__xludf.DUMMYFUNCTION("""COMPUTED_VALUE"""),"Great built quality, no real defects")</f>
        <v>Great built quality, no real defects</v>
      </c>
      <c r="AH1526" s="189">
        <f>IFERROR(__xludf.DUMMYFUNCTION("""COMPUTED_VALUE"""),43465.40057725694)</f>
        <v>43465.40058</v>
      </c>
    </row>
    <row r="1527">
      <c r="A1527" t="str">
        <f>IFERROR(__xludf.DUMMYFUNCTION("""COMPUTED_VALUE"""),"Ckafrmt")</f>
        <v>Ckafrmt</v>
      </c>
      <c r="C1527" t="str">
        <f>IFERROR(__xludf.DUMMYFUNCTION("""COMPUTED_VALUE"""),"CA")</f>
        <v>CA</v>
      </c>
      <c r="D1527" t="str">
        <f>IFERROR(__xludf.DUMMYFUNCTION("""COMPUTED_VALUE"""),"USA")</f>
        <v>USA</v>
      </c>
      <c r="E1527" s="188">
        <f>IFERROR(__xludf.DUMMYFUNCTION("""COMPUTED_VALUE"""),43423.0)</f>
        <v>43423</v>
      </c>
      <c r="F1527" s="188">
        <f>IFERROR(__xludf.DUMMYFUNCTION("""COMPUTED_VALUE"""),43450.0)</f>
        <v>43450</v>
      </c>
      <c r="H1527">
        <f>IFERROR(__xludf.DUMMYFUNCTION("""COMPUTED_VALUE"""),163855.0)</f>
        <v>163855</v>
      </c>
      <c r="I1527" t="str">
        <f>IFERROR(__xludf.DUMMYFUNCTION("""COMPUTED_VALUE"""),"12/18")</f>
        <v>12/18</v>
      </c>
      <c r="J1527" s="5">
        <f>IFERROR(__xludf.DUMMYFUNCTION("""COMPUTED_VALUE"""),43453.0)</f>
        <v>43453</v>
      </c>
      <c r="K1527">
        <f>IFERROR(__xludf.DUMMYFUNCTION("""COMPUTED_VALUE"""),27.0)</f>
        <v>27</v>
      </c>
      <c r="L1527">
        <f>IFERROR(__xludf.DUMMYFUNCTION("""COMPUTED_VALUE"""),3.0)</f>
        <v>3</v>
      </c>
      <c r="M1527">
        <f>IFERROR(__xludf.DUMMYFUNCTION("""COMPUTED_VALUE"""),30.0)</f>
        <v>30</v>
      </c>
      <c r="N1527" t="str">
        <f>IFERROR(__xludf.DUMMYFUNCTION("""COMPUTED_VALUE"""),"Model 3 MR")</f>
        <v>Model 3 MR</v>
      </c>
      <c r="O1527" t="str">
        <f>IFERROR(__xludf.DUMMYFUNCTION("""COMPUTED_VALUE"""),"Red Multi-Coat")</f>
        <v>Red Multi-Coat</v>
      </c>
      <c r="P1527" t="str">
        <f>IFERROR(__xludf.DUMMYFUNCTION("""COMPUTED_VALUE"""),"19 inch Sport")</f>
        <v>19 inch Sport</v>
      </c>
      <c r="Q1527" t="str">
        <f>IFERROR(__xludf.DUMMYFUNCTION("""COMPUTED_VALUE"""),"Black seats")</f>
        <v>Black seats</v>
      </c>
      <c r="R1527" t="str">
        <f>IFERROR(__xludf.DUMMYFUNCTION("""COMPUTED_VALUE"""),"Enhanced Autopilot")</f>
        <v>Enhanced Autopilot</v>
      </c>
      <c r="X1527" t="str">
        <f>IFERROR(__xludf.DUMMYFUNCTION("""COMPUTED_VALUE"""),"Very Good")</f>
        <v>Very Good</v>
      </c>
      <c r="Y1527" t="str">
        <f>IFERROR(__xludf.DUMMYFUNCTION("""COMPUTED_VALUE"""),"Excellent")</f>
        <v>Excellent</v>
      </c>
      <c r="Z1527" t="str">
        <f>IFERROR(__xludf.DUMMYFUNCTION("""COMPUTED_VALUE"""),"Very Good")</f>
        <v>Very Good</v>
      </c>
      <c r="AA1527" t="str">
        <f>IFERROR(__xludf.DUMMYFUNCTION("""COMPUTED_VALUE"""),"Very Good")</f>
        <v>Very Good</v>
      </c>
      <c r="AB1527" t="str">
        <f>IFERROR(__xludf.DUMMYFUNCTION("""COMPUTED_VALUE"""),"Good")</f>
        <v>Good</v>
      </c>
      <c r="AC1527">
        <f>IFERROR(__xludf.DUMMYFUNCTION("""COMPUTED_VALUE"""),1.0)</f>
        <v>1</v>
      </c>
      <c r="AD1527">
        <f>IFERROR(__xludf.DUMMYFUNCTION("""COMPUTED_VALUE"""),1.0)</f>
        <v>1</v>
      </c>
      <c r="AH1527" s="189">
        <f>IFERROR(__xludf.DUMMYFUNCTION("""COMPUTED_VALUE"""),43465.44788146991)</f>
        <v>43465.44788</v>
      </c>
    </row>
    <row r="1528">
      <c r="A1528" t="str">
        <f>IFERROR(__xludf.DUMMYFUNCTION("""COMPUTED_VALUE"""),"Selva_IL")</f>
        <v>Selva_IL</v>
      </c>
      <c r="B1528" t="str">
        <f>IFERROR(__xludf.DUMMYFUNCTION("""COMPUTED_VALUE"""),"Westmont")</f>
        <v>Westmont</v>
      </c>
      <c r="C1528" t="str">
        <f>IFERROR(__xludf.DUMMYFUNCTION("""COMPUTED_VALUE"""),"IL")</f>
        <v>IL</v>
      </c>
      <c r="D1528" t="str">
        <f>IFERROR(__xludf.DUMMYFUNCTION("""COMPUTED_VALUE"""),"USA")</f>
        <v>USA</v>
      </c>
      <c r="E1528" s="188">
        <f>IFERROR(__xludf.DUMMYFUNCTION("""COMPUTED_VALUE"""),43395.0)</f>
        <v>43395</v>
      </c>
      <c r="F1528" s="188">
        <f>IFERROR(__xludf.DUMMYFUNCTION("""COMPUTED_VALUE"""),43440.0)</f>
        <v>43440</v>
      </c>
      <c r="H1528">
        <f>IFERROR(__xludf.DUMMYFUNCTION("""COMPUTED_VALUE"""),125055.0)</f>
        <v>125055</v>
      </c>
      <c r="I1528" t="str">
        <f>IFERROR(__xludf.DUMMYFUNCTION("""COMPUTED_VALUE"""),"11/18")</f>
        <v>11/18</v>
      </c>
      <c r="J1528" s="5">
        <f>IFERROR(__xludf.DUMMYFUNCTION("""COMPUTED_VALUE"""),43453.0)</f>
        <v>43453</v>
      </c>
      <c r="K1528">
        <f>IFERROR(__xludf.DUMMYFUNCTION("""COMPUTED_VALUE"""),45.0)</f>
        <v>45</v>
      </c>
      <c r="L1528">
        <f>IFERROR(__xludf.DUMMYFUNCTION("""COMPUTED_VALUE"""),13.0)</f>
        <v>13</v>
      </c>
      <c r="M1528">
        <f>IFERROR(__xludf.DUMMYFUNCTION("""COMPUTED_VALUE"""),58.0)</f>
        <v>58</v>
      </c>
      <c r="N1528" t="str">
        <f>IFERROR(__xludf.DUMMYFUNCTION("""COMPUTED_VALUE"""),"Model 3 LR")</f>
        <v>Model 3 LR</v>
      </c>
      <c r="O1528" t="str">
        <f>IFERROR(__xludf.DUMMYFUNCTION("""COMPUTED_VALUE"""),"Deep Blue Metallic")</f>
        <v>Deep Blue Metallic</v>
      </c>
      <c r="P1528" t="str">
        <f>IFERROR(__xludf.DUMMYFUNCTION("""COMPUTED_VALUE"""),"18 inch Aero")</f>
        <v>18 inch Aero</v>
      </c>
      <c r="Q1528" t="str">
        <f>IFERROR(__xludf.DUMMYFUNCTION("""COMPUTED_VALUE"""),"Black seats")</f>
        <v>Black seats</v>
      </c>
      <c r="R1528" t="str">
        <f>IFERROR(__xludf.DUMMYFUNCTION("""COMPUTED_VALUE"""),"Enhanced Autopilot")</f>
        <v>Enhanced Autopilot</v>
      </c>
      <c r="X1528" t="str">
        <f>IFERROR(__xludf.DUMMYFUNCTION("""COMPUTED_VALUE"""),"Very Good")</f>
        <v>Very Good</v>
      </c>
      <c r="Y1528" t="str">
        <f>IFERROR(__xludf.DUMMYFUNCTION("""COMPUTED_VALUE"""),"Very Good")</f>
        <v>Very Good</v>
      </c>
      <c r="Z1528" t="str">
        <f>IFERROR(__xludf.DUMMYFUNCTION("""COMPUTED_VALUE"""),"Very Good")</f>
        <v>Very Good</v>
      </c>
      <c r="AA1528" t="str">
        <f>IFERROR(__xludf.DUMMYFUNCTION("""COMPUTED_VALUE"""),"Good")</f>
        <v>Good</v>
      </c>
      <c r="AB1528" t="str">
        <f>IFERROR(__xludf.DUMMYFUNCTION("""COMPUTED_VALUE"""),"Good")</f>
        <v>Good</v>
      </c>
      <c r="AC1528">
        <f>IFERROR(__xludf.DUMMYFUNCTION("""COMPUTED_VALUE"""),1.0)</f>
        <v>1</v>
      </c>
      <c r="AD1528">
        <f>IFERROR(__xludf.DUMMYFUNCTION("""COMPUTED_VALUE"""),1.0)</f>
        <v>1</v>
      </c>
      <c r="AE1528">
        <f>IFERROR(__xludf.DUMMYFUNCTION("""COMPUTED_VALUE"""),0.0)</f>
        <v>0</v>
      </c>
      <c r="AH1528" s="189">
        <f>IFERROR(__xludf.DUMMYFUNCTION("""COMPUTED_VALUE"""),43465.581955138885)</f>
        <v>43465.58196</v>
      </c>
    </row>
    <row r="1529">
      <c r="A1529" t="str">
        <f>IFERROR(__xludf.DUMMYFUNCTION("""COMPUTED_VALUE"""),"brianwebster")</f>
        <v>brianwebster</v>
      </c>
      <c r="B1529" t="str">
        <f>IFERROR(__xludf.DUMMYFUNCTION("""COMPUTED_VALUE"""),"Tulsa")</f>
        <v>Tulsa</v>
      </c>
      <c r="C1529" t="str">
        <f>IFERROR(__xludf.DUMMYFUNCTION("""COMPUTED_VALUE"""),"OK")</f>
        <v>OK</v>
      </c>
      <c r="D1529" t="str">
        <f>IFERROR(__xludf.DUMMYFUNCTION("""COMPUTED_VALUE"""),"USA")</f>
        <v>USA</v>
      </c>
      <c r="E1529" s="188">
        <f>IFERROR(__xludf.DUMMYFUNCTION("""COMPUTED_VALUE"""),43462.0)</f>
        <v>43462</v>
      </c>
      <c r="F1529" s="188">
        <f>IFERROR(__xludf.DUMMYFUNCTION("""COMPUTED_VALUE"""),43462.0)</f>
        <v>43462</v>
      </c>
      <c r="H1529">
        <f>IFERROR(__xludf.DUMMYFUNCTION("""COMPUTED_VALUE"""),171055.0)</f>
        <v>171055</v>
      </c>
      <c r="I1529" t="str">
        <f>IFERROR(__xludf.DUMMYFUNCTION("""COMPUTED_VALUE"""),"11/18")</f>
        <v>11/18</v>
      </c>
      <c r="J1529" s="5">
        <f>IFERROR(__xludf.DUMMYFUNCTION("""COMPUTED_VALUE"""),43462.0)</f>
        <v>43462</v>
      </c>
      <c r="K1529">
        <f>IFERROR(__xludf.DUMMYFUNCTION("""COMPUTED_VALUE"""),0.0)</f>
        <v>0</v>
      </c>
      <c r="L1529">
        <f>IFERROR(__xludf.DUMMYFUNCTION("""COMPUTED_VALUE"""),0.0)</f>
        <v>0</v>
      </c>
      <c r="M1529">
        <f>IFERROR(__xludf.DUMMYFUNCTION("""COMPUTED_VALUE"""),0.0)</f>
        <v>0</v>
      </c>
      <c r="N1529" t="str">
        <f>IFERROR(__xludf.DUMMYFUNCTION("""COMPUTED_VALUE"""),"Model 3 Performance")</f>
        <v>Model 3 Performance</v>
      </c>
      <c r="O1529" t="str">
        <f>IFERROR(__xludf.DUMMYFUNCTION("""COMPUTED_VALUE"""),"Solid Black")</f>
        <v>Solid Black</v>
      </c>
      <c r="P1529" t="str">
        <f>IFERROR(__xludf.DUMMYFUNCTION("""COMPUTED_VALUE"""),"20 inch Sport")</f>
        <v>20 inch Sport</v>
      </c>
      <c r="Q1529" t="str">
        <f>IFERROR(__xludf.DUMMYFUNCTION("""COMPUTED_VALUE"""),"White seats")</f>
        <v>White seats</v>
      </c>
      <c r="R1529" t="str">
        <f>IFERROR(__xludf.DUMMYFUNCTION("""COMPUTED_VALUE"""),"Enhanced Autopilot")</f>
        <v>Enhanced Autopilot</v>
      </c>
      <c r="X1529" t="str">
        <f>IFERROR(__xludf.DUMMYFUNCTION("""COMPUTED_VALUE"""),"Very Good")</f>
        <v>Very Good</v>
      </c>
      <c r="Y1529" t="str">
        <f>IFERROR(__xludf.DUMMYFUNCTION("""COMPUTED_VALUE"""),"Very Good")</f>
        <v>Very Good</v>
      </c>
      <c r="Z1529" t="str">
        <f>IFERROR(__xludf.DUMMYFUNCTION("""COMPUTED_VALUE"""),"Very Good")</f>
        <v>Very Good</v>
      </c>
      <c r="AA1529" t="str">
        <f>IFERROR(__xludf.DUMMYFUNCTION("""COMPUTED_VALUE"""),"Excellent")</f>
        <v>Excellent</v>
      </c>
      <c r="AB1529" t="str">
        <f>IFERROR(__xludf.DUMMYFUNCTION("""COMPUTED_VALUE"""),"Excellent")</f>
        <v>Excellent</v>
      </c>
      <c r="AC1529">
        <f>IFERROR(__xludf.DUMMYFUNCTION("""COMPUTED_VALUE"""),1.0)</f>
        <v>1</v>
      </c>
      <c r="AH1529" s="189">
        <f>IFERROR(__xludf.DUMMYFUNCTION("""COMPUTED_VALUE"""),43465.60810498842)</f>
        <v>43465.6081</v>
      </c>
    </row>
    <row r="1530">
      <c r="A1530" t="str">
        <f>IFERROR(__xludf.DUMMYFUNCTION("""COMPUTED_VALUE"""),"kekssw")</f>
        <v>kekssw</v>
      </c>
      <c r="B1530" t="str">
        <f>IFERROR(__xludf.DUMMYFUNCTION("""COMPUTED_VALUE"""),"Ladera Ranch")</f>
        <v>Ladera Ranch</v>
      </c>
      <c r="C1530" t="str">
        <f>IFERROR(__xludf.DUMMYFUNCTION("""COMPUTED_VALUE"""),"CA")</f>
        <v>CA</v>
      </c>
      <c r="D1530" t="str">
        <f>IFERROR(__xludf.DUMMYFUNCTION("""COMPUTED_VALUE"""),"USA")</f>
        <v>USA</v>
      </c>
      <c r="E1530" s="188">
        <f>IFERROR(__xludf.DUMMYFUNCTION("""COMPUTED_VALUE"""),43395.0)</f>
        <v>43395</v>
      </c>
      <c r="F1530" s="188">
        <f>IFERROR(__xludf.DUMMYFUNCTION("""COMPUTED_VALUE"""),43441.0)</f>
        <v>43441</v>
      </c>
      <c r="H1530">
        <f>IFERROR(__xludf.DUMMYFUNCTION("""COMPUTED_VALUE"""),155755.0)</f>
        <v>155755</v>
      </c>
      <c r="I1530" t="str">
        <f>IFERROR(__xludf.DUMMYFUNCTION("""COMPUTED_VALUE"""),"12/18")</f>
        <v>12/18</v>
      </c>
      <c r="J1530" s="5">
        <f>IFERROR(__xludf.DUMMYFUNCTION("""COMPUTED_VALUE"""),43446.0)</f>
        <v>43446</v>
      </c>
      <c r="K1530">
        <f>IFERROR(__xludf.DUMMYFUNCTION("""COMPUTED_VALUE"""),46.0)</f>
        <v>46</v>
      </c>
      <c r="L1530">
        <f>IFERROR(__xludf.DUMMYFUNCTION("""COMPUTED_VALUE"""),5.0)</f>
        <v>5</v>
      </c>
      <c r="M1530">
        <f>IFERROR(__xludf.DUMMYFUNCTION("""COMPUTED_VALUE"""),51.0)</f>
        <v>51</v>
      </c>
      <c r="N1530" t="str">
        <f>IFERROR(__xludf.DUMMYFUNCTION("""COMPUTED_VALUE"""),"Model 3 MR")</f>
        <v>Model 3 MR</v>
      </c>
      <c r="O1530" t="str">
        <f>IFERROR(__xludf.DUMMYFUNCTION("""COMPUTED_VALUE"""),"Deep Blue Metallic")</f>
        <v>Deep Blue Metallic</v>
      </c>
      <c r="P1530" t="str">
        <f>IFERROR(__xludf.DUMMYFUNCTION("""COMPUTED_VALUE"""),"18 inch Aero")</f>
        <v>18 inch Aero</v>
      </c>
      <c r="Q1530" t="str">
        <f>IFERROR(__xludf.DUMMYFUNCTION("""COMPUTED_VALUE"""),"White seats")</f>
        <v>White seats</v>
      </c>
      <c r="R1530" t="str">
        <f>IFERROR(__xludf.DUMMYFUNCTION("""COMPUTED_VALUE"""),"Enhanced Autopilot")</f>
        <v>Enhanced Autopilot</v>
      </c>
      <c r="X1530" t="str">
        <f>IFERROR(__xludf.DUMMYFUNCTION("""COMPUTED_VALUE"""),"Very Good")</f>
        <v>Very Good</v>
      </c>
      <c r="Y1530" t="str">
        <f>IFERROR(__xludf.DUMMYFUNCTION("""COMPUTED_VALUE"""),"Excellent")</f>
        <v>Excellent</v>
      </c>
      <c r="Z1530" t="str">
        <f>IFERROR(__xludf.DUMMYFUNCTION("""COMPUTED_VALUE"""),"Excellent")</f>
        <v>Excellent</v>
      </c>
      <c r="AA1530" t="str">
        <f>IFERROR(__xludf.DUMMYFUNCTION("""COMPUTED_VALUE"""),"Good")</f>
        <v>Good</v>
      </c>
      <c r="AB1530" t="str">
        <f>IFERROR(__xludf.DUMMYFUNCTION("""COMPUTED_VALUE"""),"Very Good")</f>
        <v>Very Good</v>
      </c>
      <c r="AC1530">
        <f>IFERROR(__xludf.DUMMYFUNCTION("""COMPUTED_VALUE"""),0.0)</f>
        <v>0</v>
      </c>
      <c r="AD1530">
        <f>IFERROR(__xludf.DUMMYFUNCTION("""COMPUTED_VALUE"""),0.0)</f>
        <v>0</v>
      </c>
      <c r="AE1530">
        <f>IFERROR(__xludf.DUMMYFUNCTION("""COMPUTED_VALUE"""),0.0)</f>
        <v>0</v>
      </c>
      <c r="AH1530" s="189">
        <f>IFERROR(__xludf.DUMMYFUNCTION("""COMPUTED_VALUE"""),43465.70529140046)</f>
        <v>43465.70529</v>
      </c>
    </row>
    <row r="1531">
      <c r="A1531" t="str">
        <f>IFERROR(__xludf.DUMMYFUNCTION("""COMPUTED_VALUE"""),"Kizzy")</f>
        <v>Kizzy</v>
      </c>
      <c r="B1531" t="str">
        <f>IFERROR(__xludf.DUMMYFUNCTION("""COMPUTED_VALUE"""),"North Bay")</f>
        <v>North Bay</v>
      </c>
      <c r="C1531" t="str">
        <f>IFERROR(__xludf.DUMMYFUNCTION("""COMPUTED_VALUE"""),"CA")</f>
        <v>CA</v>
      </c>
      <c r="D1531" t="str">
        <f>IFERROR(__xludf.DUMMYFUNCTION("""COMPUTED_VALUE"""),"USA")</f>
        <v>USA</v>
      </c>
      <c r="E1531" s="188">
        <f>IFERROR(__xludf.DUMMYFUNCTION("""COMPUTED_VALUE"""),43278.0)</f>
        <v>43278</v>
      </c>
      <c r="F1531" s="188">
        <f>IFERROR(__xludf.DUMMYFUNCTION("""COMPUTED_VALUE"""),43364.0)</f>
        <v>43364</v>
      </c>
      <c r="H1531">
        <f>IFERROR(__xludf.DUMMYFUNCTION("""COMPUTED_VALUE"""),64955.0)</f>
        <v>64955</v>
      </c>
      <c r="I1531" t="str">
        <f>IFERROR(__xludf.DUMMYFUNCTION("""COMPUTED_VALUE"""),"09/18")</f>
        <v>09/18</v>
      </c>
      <c r="J1531" s="5">
        <f>IFERROR(__xludf.DUMMYFUNCTION("""COMPUTED_VALUE"""),43366.0)</f>
        <v>43366</v>
      </c>
      <c r="K1531">
        <f>IFERROR(__xludf.DUMMYFUNCTION("""COMPUTED_VALUE"""),86.0)</f>
        <v>86</v>
      </c>
      <c r="L1531">
        <f>IFERROR(__xludf.DUMMYFUNCTION("""COMPUTED_VALUE"""),2.0)</f>
        <v>2</v>
      </c>
      <c r="M1531">
        <f>IFERROR(__xludf.DUMMYFUNCTION("""COMPUTED_VALUE"""),88.0)</f>
        <v>88</v>
      </c>
      <c r="N1531" t="str">
        <f>IFERROR(__xludf.DUMMYFUNCTION("""COMPUTED_VALUE"""),"Model 3 LR AWD")</f>
        <v>Model 3 LR AWD</v>
      </c>
      <c r="O1531" t="str">
        <f>IFERROR(__xludf.DUMMYFUNCTION("""COMPUTED_VALUE"""),"Deep Blue Metallic")</f>
        <v>Deep Blue Metallic</v>
      </c>
      <c r="P1531" t="str">
        <f>IFERROR(__xludf.DUMMYFUNCTION("""COMPUTED_VALUE"""),"18 inch Aero")</f>
        <v>18 inch Aero</v>
      </c>
      <c r="Q1531" t="str">
        <f>IFERROR(__xludf.DUMMYFUNCTION("""COMPUTED_VALUE"""),"Black seats")</f>
        <v>Black seats</v>
      </c>
      <c r="R1531" t="str">
        <f>IFERROR(__xludf.DUMMYFUNCTION("""COMPUTED_VALUE"""),"Enhanced Autopilot")</f>
        <v>Enhanced Autopilot</v>
      </c>
      <c r="X1531" t="str">
        <f>IFERROR(__xludf.DUMMYFUNCTION("""COMPUTED_VALUE"""),"Good")</f>
        <v>Good</v>
      </c>
      <c r="Y1531" t="str">
        <f>IFERROR(__xludf.DUMMYFUNCTION("""COMPUTED_VALUE"""),"Good")</f>
        <v>Good</v>
      </c>
      <c r="Z1531" t="str">
        <f>IFERROR(__xludf.DUMMYFUNCTION("""COMPUTED_VALUE"""),"Good")</f>
        <v>Good</v>
      </c>
      <c r="AA1531" t="str">
        <f>IFERROR(__xludf.DUMMYFUNCTION("""COMPUTED_VALUE"""),"Fair")</f>
        <v>Fair</v>
      </c>
      <c r="AB1531" t="str">
        <f>IFERROR(__xludf.DUMMYFUNCTION("""COMPUTED_VALUE"""),"Good")</f>
        <v>Good</v>
      </c>
      <c r="AC1531">
        <f>IFERROR(__xludf.DUMMYFUNCTION("""COMPUTED_VALUE"""),0.0)</f>
        <v>0</v>
      </c>
      <c r="AD1531">
        <f>IFERROR(__xludf.DUMMYFUNCTION("""COMPUTED_VALUE"""),0.0)</f>
        <v>0</v>
      </c>
      <c r="AH1531" s="189">
        <f>IFERROR(__xludf.DUMMYFUNCTION("""COMPUTED_VALUE"""),43467.37571627315)</f>
        <v>43467.37572</v>
      </c>
    </row>
    <row r="1532">
      <c r="A1532" t="str">
        <f>IFERROR(__xludf.DUMMYFUNCTION("""COMPUTED_VALUE"""),"KiwiJosh")</f>
        <v>KiwiJosh</v>
      </c>
      <c r="B1532" t="str">
        <f>IFERROR(__xludf.DUMMYFUNCTION("""COMPUTED_VALUE"""),"Annapolis")</f>
        <v>Annapolis</v>
      </c>
      <c r="C1532" t="str">
        <f>IFERROR(__xludf.DUMMYFUNCTION("""COMPUTED_VALUE"""),"MD")</f>
        <v>MD</v>
      </c>
      <c r="D1532" t="str">
        <f>IFERROR(__xludf.DUMMYFUNCTION("""COMPUTED_VALUE"""),"USA")</f>
        <v>USA</v>
      </c>
      <c r="E1532" s="188">
        <f>IFERROR(__xludf.DUMMYFUNCTION("""COMPUTED_VALUE"""),43463.0)</f>
        <v>43463</v>
      </c>
      <c r="F1532" s="188">
        <f>IFERROR(__xludf.DUMMYFUNCTION("""COMPUTED_VALUE"""),43463.0)</f>
        <v>43463</v>
      </c>
      <c r="H1532">
        <f>IFERROR(__xludf.DUMMYFUNCTION("""COMPUTED_VALUE"""),121855.0)</f>
        <v>121855</v>
      </c>
      <c r="I1532" t="str">
        <f>IFERROR(__xludf.DUMMYFUNCTION("""COMPUTED_VALUE"""),"10/18")</f>
        <v>10/18</v>
      </c>
      <c r="J1532" s="5">
        <f>IFERROR(__xludf.DUMMYFUNCTION("""COMPUTED_VALUE"""),43465.0)</f>
        <v>43465</v>
      </c>
      <c r="K1532">
        <f>IFERROR(__xludf.DUMMYFUNCTION("""COMPUTED_VALUE"""),0.0)</f>
        <v>0</v>
      </c>
      <c r="L1532">
        <f>IFERROR(__xludf.DUMMYFUNCTION("""COMPUTED_VALUE"""),2.0)</f>
        <v>2</v>
      </c>
      <c r="M1532">
        <f>IFERROR(__xludf.DUMMYFUNCTION("""COMPUTED_VALUE"""),2.0)</f>
        <v>2</v>
      </c>
      <c r="N1532" t="str">
        <f>IFERROR(__xludf.DUMMYFUNCTION("""COMPUTED_VALUE"""),"Model 3 LR AWD")</f>
        <v>Model 3 LR AWD</v>
      </c>
      <c r="O1532" t="str">
        <f>IFERROR(__xludf.DUMMYFUNCTION("""COMPUTED_VALUE"""),"Deep Blue Metallic")</f>
        <v>Deep Blue Metallic</v>
      </c>
      <c r="P1532" t="str">
        <f>IFERROR(__xludf.DUMMYFUNCTION("""COMPUTED_VALUE"""),"19 inch Sport")</f>
        <v>19 inch Sport</v>
      </c>
      <c r="Q1532" t="str">
        <f>IFERROR(__xludf.DUMMYFUNCTION("""COMPUTED_VALUE"""),"Black seats")</f>
        <v>Black seats</v>
      </c>
      <c r="R1532" t="str">
        <f>IFERROR(__xludf.DUMMYFUNCTION("""COMPUTED_VALUE"""),"Enhanced Autopilot")</f>
        <v>Enhanced Autopilot</v>
      </c>
      <c r="X1532" t="str">
        <f>IFERROR(__xludf.DUMMYFUNCTION("""COMPUTED_VALUE"""),"Excellent")</f>
        <v>Excellent</v>
      </c>
      <c r="Y1532" t="str">
        <f>IFERROR(__xludf.DUMMYFUNCTION("""COMPUTED_VALUE"""),"Excellent")</f>
        <v>Excellent</v>
      </c>
      <c r="Z1532" t="str">
        <f>IFERROR(__xludf.DUMMYFUNCTION("""COMPUTED_VALUE"""),"Very Good")</f>
        <v>Very Good</v>
      </c>
      <c r="AA1532" t="str">
        <f>IFERROR(__xludf.DUMMYFUNCTION("""COMPUTED_VALUE"""),"Excellent")</f>
        <v>Excellent</v>
      </c>
      <c r="AB1532" t="str">
        <f>IFERROR(__xludf.DUMMYFUNCTION("""COMPUTED_VALUE"""),"Excellent")</f>
        <v>Excellent</v>
      </c>
      <c r="AC1532">
        <f>IFERROR(__xludf.DUMMYFUNCTION("""COMPUTED_VALUE"""),1.0)</f>
        <v>1</v>
      </c>
      <c r="AG1532" t="str">
        <f>IFERROR(__xludf.DUMMYFUNCTION("""COMPUTED_VALUE"""),"We bought an inventory/test drive car that had a small scratch on the rear quarter panel.")</f>
        <v>We bought an inventory/test drive car that had a small scratch on the rear quarter panel.</v>
      </c>
      <c r="AH1532" s="189">
        <f>IFERROR(__xludf.DUMMYFUNCTION("""COMPUTED_VALUE"""),43467.382095891204)</f>
        <v>43467.3821</v>
      </c>
    </row>
    <row r="1533">
      <c r="A1533" t="str">
        <f>IFERROR(__xludf.DUMMYFUNCTION("""COMPUTED_VALUE"""),"michelle")</f>
        <v>michelle</v>
      </c>
      <c r="B1533" t="str">
        <f>IFERROR(__xludf.DUMMYFUNCTION("""COMPUTED_VALUE"""),"SF Bay Area")</f>
        <v>SF Bay Area</v>
      </c>
      <c r="C1533" t="str">
        <f>IFERROR(__xludf.DUMMYFUNCTION("""COMPUTED_VALUE"""),"CA")</f>
        <v>CA</v>
      </c>
      <c r="D1533" t="str">
        <f>IFERROR(__xludf.DUMMYFUNCTION("""COMPUTED_VALUE"""),"USA")</f>
        <v>USA</v>
      </c>
      <c r="E1533" s="188">
        <f>IFERROR(__xludf.DUMMYFUNCTION("""COMPUTED_VALUE"""),43410.0)</f>
        <v>43410</v>
      </c>
      <c r="F1533" s="188">
        <f>IFERROR(__xludf.DUMMYFUNCTION("""COMPUTED_VALUE"""),43455.0)</f>
        <v>43455</v>
      </c>
      <c r="H1533">
        <f>IFERROR(__xludf.DUMMYFUNCTION("""COMPUTED_VALUE"""),172435.0)</f>
        <v>172435</v>
      </c>
      <c r="J1533" s="5">
        <f>IFERROR(__xludf.DUMMYFUNCTION("""COMPUTED_VALUE"""),43460.0)</f>
        <v>43460</v>
      </c>
      <c r="K1533">
        <f>IFERROR(__xludf.DUMMYFUNCTION("""COMPUTED_VALUE"""),45.0)</f>
        <v>45</v>
      </c>
      <c r="L1533">
        <f>IFERROR(__xludf.DUMMYFUNCTION("""COMPUTED_VALUE"""),5.0)</f>
        <v>5</v>
      </c>
      <c r="M1533">
        <f>IFERROR(__xludf.DUMMYFUNCTION("""COMPUTED_VALUE"""),50.0)</f>
        <v>50</v>
      </c>
      <c r="N1533" t="str">
        <f>IFERROR(__xludf.DUMMYFUNCTION("""COMPUTED_VALUE"""),"Model 3 MR")</f>
        <v>Model 3 MR</v>
      </c>
      <c r="O1533" t="str">
        <f>IFERROR(__xludf.DUMMYFUNCTION("""COMPUTED_VALUE"""),"Solid Black")</f>
        <v>Solid Black</v>
      </c>
      <c r="P1533" t="str">
        <f>IFERROR(__xludf.DUMMYFUNCTION("""COMPUTED_VALUE"""),"18 inch Aero")</f>
        <v>18 inch Aero</v>
      </c>
      <c r="Q1533" t="str">
        <f>IFERROR(__xludf.DUMMYFUNCTION("""COMPUTED_VALUE"""),"Black seats")</f>
        <v>Black seats</v>
      </c>
      <c r="R1533" t="str">
        <f>IFERROR(__xludf.DUMMYFUNCTION("""COMPUTED_VALUE"""),"Enhanced Autopilot")</f>
        <v>Enhanced Autopilot</v>
      </c>
      <c r="X1533" t="str">
        <f>IFERROR(__xludf.DUMMYFUNCTION("""COMPUTED_VALUE"""),"Excellent")</f>
        <v>Excellent</v>
      </c>
      <c r="Y1533" t="str">
        <f>IFERROR(__xludf.DUMMYFUNCTION("""COMPUTED_VALUE"""),"Excellent")</f>
        <v>Excellent</v>
      </c>
      <c r="Z1533" t="str">
        <f>IFERROR(__xludf.DUMMYFUNCTION("""COMPUTED_VALUE"""),"Good")</f>
        <v>Good</v>
      </c>
      <c r="AA1533" t="str">
        <f>IFERROR(__xludf.DUMMYFUNCTION("""COMPUTED_VALUE"""),"Fair")</f>
        <v>Fair</v>
      </c>
      <c r="AB1533" t="str">
        <f>IFERROR(__xludf.DUMMYFUNCTION("""COMPUTED_VALUE"""),"Fair")</f>
        <v>Fair</v>
      </c>
      <c r="AC1533">
        <f>IFERROR(__xludf.DUMMYFUNCTION("""COMPUTED_VALUE"""),2.0)</f>
        <v>2</v>
      </c>
      <c r="AH1533" s="189">
        <f>IFERROR(__xludf.DUMMYFUNCTION("""COMPUTED_VALUE"""),43467.43967946759)</f>
        <v>43467.43968</v>
      </c>
    </row>
    <row r="1534">
      <c r="A1534" t="str">
        <f>IFERROR(__xludf.DUMMYFUNCTION("""COMPUTED_VALUE"""),"nanoman")</f>
        <v>nanoman</v>
      </c>
      <c r="B1534" t="str">
        <f>IFERROR(__xludf.DUMMYFUNCTION("""COMPUTED_VALUE"""),"Trumansburg")</f>
        <v>Trumansburg</v>
      </c>
      <c r="C1534" t="str">
        <f>IFERROR(__xludf.DUMMYFUNCTION("""COMPUTED_VALUE"""),"NY")</f>
        <v>NY</v>
      </c>
      <c r="D1534" t="str">
        <f>IFERROR(__xludf.DUMMYFUNCTION("""COMPUTED_VALUE"""),"USA")</f>
        <v>USA</v>
      </c>
      <c r="E1534" s="188">
        <f>IFERROR(__xludf.DUMMYFUNCTION("""COMPUTED_VALUE"""),43397.0)</f>
        <v>43397</v>
      </c>
      <c r="F1534" s="188">
        <f>IFERROR(__xludf.DUMMYFUNCTION("""COMPUTED_VALUE"""),43795.0)</f>
        <v>43795</v>
      </c>
      <c r="H1534">
        <f>IFERROR(__xludf.DUMMYFUNCTION("""COMPUTED_VALUE"""),57755.0)</f>
        <v>57755</v>
      </c>
      <c r="I1534" t="str">
        <f>IFERROR(__xludf.DUMMYFUNCTION("""COMPUTED_VALUE"""),"10/18")</f>
        <v>10/18</v>
      </c>
      <c r="J1534" s="5">
        <f>IFERROR(__xludf.DUMMYFUNCTION("""COMPUTED_VALUE"""),43435.0)</f>
        <v>43435</v>
      </c>
      <c r="K1534">
        <f>IFERROR(__xludf.DUMMYFUNCTION("""COMPUTED_VALUE"""),398.0)</f>
        <v>398</v>
      </c>
      <c r="M1534">
        <f>IFERROR(__xludf.DUMMYFUNCTION("""COMPUTED_VALUE"""),38.0)</f>
        <v>38</v>
      </c>
      <c r="N1534" t="str">
        <f>IFERROR(__xludf.DUMMYFUNCTION("""COMPUTED_VALUE"""),"Model 3 LR")</f>
        <v>Model 3 LR</v>
      </c>
      <c r="O1534" t="str">
        <f>IFERROR(__xludf.DUMMYFUNCTION("""COMPUTED_VALUE"""),"Pearl White Multi-Coat")</f>
        <v>Pearl White Multi-Coat</v>
      </c>
      <c r="P1534" t="str">
        <f>IFERROR(__xludf.DUMMYFUNCTION("""COMPUTED_VALUE"""),"18 inch Aero")</f>
        <v>18 inch Aero</v>
      </c>
      <c r="Q1534" t="str">
        <f>IFERROR(__xludf.DUMMYFUNCTION("""COMPUTED_VALUE"""),"Black seats")</f>
        <v>Black seats</v>
      </c>
      <c r="R1534" t="str">
        <f>IFERROR(__xludf.DUMMYFUNCTION("""COMPUTED_VALUE"""),"Enhanced Autopilot")</f>
        <v>Enhanced Autopilot</v>
      </c>
      <c r="X1534" t="str">
        <f>IFERROR(__xludf.DUMMYFUNCTION("""COMPUTED_VALUE"""),"Excellent")</f>
        <v>Excellent</v>
      </c>
      <c r="Y1534" t="str">
        <f>IFERROR(__xludf.DUMMYFUNCTION("""COMPUTED_VALUE"""),"Very Good")</f>
        <v>Very Good</v>
      </c>
      <c r="Z1534" t="str">
        <f>IFERROR(__xludf.DUMMYFUNCTION("""COMPUTED_VALUE"""),"Excellent")</f>
        <v>Excellent</v>
      </c>
      <c r="AA1534" t="str">
        <f>IFERROR(__xludf.DUMMYFUNCTION("""COMPUTED_VALUE"""),"Good")</f>
        <v>Good</v>
      </c>
      <c r="AB1534" t="str">
        <f>IFERROR(__xludf.DUMMYFUNCTION("""COMPUTED_VALUE"""),"Very Good")</f>
        <v>Very Good</v>
      </c>
      <c r="AC1534">
        <f>IFERROR(__xludf.DUMMYFUNCTION("""COMPUTED_VALUE"""),3.0)</f>
        <v>3</v>
      </c>
      <c r="AD1534">
        <f>IFERROR(__xludf.DUMMYFUNCTION("""COMPUTED_VALUE"""),0.0)</f>
        <v>0</v>
      </c>
      <c r="AE1534">
        <f>IFERROR(__xludf.DUMMYFUNCTION("""COMPUTED_VALUE"""),0.0)</f>
        <v>0</v>
      </c>
      <c r="AH1534" s="189">
        <f>IFERROR(__xludf.DUMMYFUNCTION("""COMPUTED_VALUE"""),43467.56804982639)</f>
        <v>43467.56805</v>
      </c>
    </row>
    <row r="1535">
      <c r="A1535" t="str">
        <f>IFERROR(__xludf.DUMMYFUNCTION("""COMPUTED_VALUE"""),"mpat")</f>
        <v>mpat</v>
      </c>
      <c r="B1535" t="str">
        <f>IFERROR(__xludf.DUMMYFUNCTION("""COMPUTED_VALUE"""),"San Diego")</f>
        <v>San Diego</v>
      </c>
      <c r="C1535" t="str">
        <f>IFERROR(__xludf.DUMMYFUNCTION("""COMPUTED_VALUE"""),"CA")</f>
        <v>CA</v>
      </c>
      <c r="D1535" t="str">
        <f>IFERROR(__xludf.DUMMYFUNCTION("""COMPUTED_VALUE"""),"USA")</f>
        <v>USA</v>
      </c>
      <c r="E1535" s="188">
        <f>IFERROR(__xludf.DUMMYFUNCTION("""COMPUTED_VALUE"""),43398.0)</f>
        <v>43398</v>
      </c>
      <c r="F1535" s="188">
        <f>IFERROR(__xludf.DUMMYFUNCTION("""COMPUTED_VALUE"""),43399.0)</f>
        <v>43399</v>
      </c>
      <c r="H1535">
        <f>IFERROR(__xludf.DUMMYFUNCTION("""COMPUTED_VALUE"""),115155.0)</f>
        <v>115155</v>
      </c>
      <c r="I1535" t="str">
        <f>IFERROR(__xludf.DUMMYFUNCTION("""COMPUTED_VALUE"""),"10/18")</f>
        <v>10/18</v>
      </c>
      <c r="J1535" s="5">
        <f>IFERROR(__xludf.DUMMYFUNCTION("""COMPUTED_VALUE"""),43403.0)</f>
        <v>43403</v>
      </c>
      <c r="K1535">
        <f>IFERROR(__xludf.DUMMYFUNCTION("""COMPUTED_VALUE"""),1.0)</f>
        <v>1</v>
      </c>
      <c r="L1535">
        <f>IFERROR(__xludf.DUMMYFUNCTION("""COMPUTED_VALUE"""),4.0)</f>
        <v>4</v>
      </c>
      <c r="M1535">
        <f>IFERROR(__xludf.DUMMYFUNCTION("""COMPUTED_VALUE"""),5.0)</f>
        <v>5</v>
      </c>
      <c r="N1535" t="str">
        <f>IFERROR(__xludf.DUMMYFUNCTION("""COMPUTED_VALUE"""),"Model 3 LR AWD")</f>
        <v>Model 3 LR AWD</v>
      </c>
      <c r="O1535" t="str">
        <f>IFERROR(__xludf.DUMMYFUNCTION("""COMPUTED_VALUE"""),"Deep Blue Metallic")</f>
        <v>Deep Blue Metallic</v>
      </c>
      <c r="P1535" t="str">
        <f>IFERROR(__xludf.DUMMYFUNCTION("""COMPUTED_VALUE"""),"18 inch Aero")</f>
        <v>18 inch Aero</v>
      </c>
      <c r="Q1535" t="str">
        <f>IFERROR(__xludf.DUMMYFUNCTION("""COMPUTED_VALUE"""),"Black seats")</f>
        <v>Black seats</v>
      </c>
      <c r="R1535" t="str">
        <f>IFERROR(__xludf.DUMMYFUNCTION("""COMPUTED_VALUE"""),"None")</f>
        <v>None</v>
      </c>
      <c r="X1535" t="str">
        <f>IFERROR(__xludf.DUMMYFUNCTION("""COMPUTED_VALUE"""),"Fair")</f>
        <v>Fair</v>
      </c>
      <c r="Y1535" t="str">
        <f>IFERROR(__xludf.DUMMYFUNCTION("""COMPUTED_VALUE"""),"Very Good")</f>
        <v>Very Good</v>
      </c>
      <c r="Z1535" t="str">
        <f>IFERROR(__xludf.DUMMYFUNCTION("""COMPUTED_VALUE"""),"Very Good")</f>
        <v>Very Good</v>
      </c>
      <c r="AA1535" t="str">
        <f>IFERROR(__xludf.DUMMYFUNCTION("""COMPUTED_VALUE"""),"Good")</f>
        <v>Good</v>
      </c>
      <c r="AB1535" t="str">
        <f>IFERROR(__xludf.DUMMYFUNCTION("""COMPUTED_VALUE"""),"Good")</f>
        <v>Good</v>
      </c>
      <c r="AC1535">
        <f>IFERROR(__xludf.DUMMYFUNCTION("""COMPUTED_VALUE"""),0.0)</f>
        <v>0</v>
      </c>
      <c r="AD1535">
        <f>IFERROR(__xludf.DUMMYFUNCTION("""COMPUTED_VALUE"""),0.0)</f>
        <v>0</v>
      </c>
      <c r="AE1535">
        <f>IFERROR(__xludf.DUMMYFUNCTION("""COMPUTED_VALUE"""),0.0)</f>
        <v>0</v>
      </c>
      <c r="AH1535" s="189">
        <f>IFERROR(__xludf.DUMMYFUNCTION("""COMPUTED_VALUE"""),43467.664263900464)</f>
        <v>43467.66426</v>
      </c>
    </row>
    <row r="1536">
      <c r="A1536" t="str">
        <f>IFERROR(__xludf.DUMMYFUNCTION("""COMPUTED_VALUE"""),"lensovet")</f>
        <v>lensovet</v>
      </c>
      <c r="B1536" t="str">
        <f>IFERROR(__xludf.DUMMYFUNCTION("""COMPUTED_VALUE"""),"Springfield")</f>
        <v>Springfield</v>
      </c>
      <c r="C1536" t="str">
        <f>IFERROR(__xludf.DUMMYFUNCTION("""COMPUTED_VALUE"""),"NJ")</f>
        <v>NJ</v>
      </c>
      <c r="D1536" t="str">
        <f>IFERROR(__xludf.DUMMYFUNCTION("""COMPUTED_VALUE"""),"USA")</f>
        <v>USA</v>
      </c>
      <c r="E1536" s="188">
        <f>IFERROR(__xludf.DUMMYFUNCTION("""COMPUTED_VALUE"""),43402.0)</f>
        <v>43402</v>
      </c>
      <c r="F1536" s="188">
        <f>IFERROR(__xludf.DUMMYFUNCTION("""COMPUTED_VALUE"""),43404.0)</f>
        <v>43404</v>
      </c>
      <c r="H1536">
        <f>IFERROR(__xludf.DUMMYFUNCTION("""COMPUTED_VALUE"""),101477.0)</f>
        <v>101477</v>
      </c>
      <c r="I1536" t="str">
        <f>IFERROR(__xludf.DUMMYFUNCTION("""COMPUTED_VALUE"""),"10/18")</f>
        <v>10/18</v>
      </c>
      <c r="J1536" s="5">
        <f>IFERROR(__xludf.DUMMYFUNCTION("""COMPUTED_VALUE"""),43430.0)</f>
        <v>43430</v>
      </c>
      <c r="K1536">
        <f>IFERROR(__xludf.DUMMYFUNCTION("""COMPUTED_VALUE"""),2.0)</f>
        <v>2</v>
      </c>
      <c r="L1536">
        <f>IFERROR(__xludf.DUMMYFUNCTION("""COMPUTED_VALUE"""),26.0)</f>
        <v>26</v>
      </c>
      <c r="M1536">
        <f>IFERROR(__xludf.DUMMYFUNCTION("""COMPUTED_VALUE"""),28.0)</f>
        <v>28</v>
      </c>
      <c r="N1536" t="str">
        <f>IFERROR(__xludf.DUMMYFUNCTION("""COMPUTED_VALUE"""),"Model 3 LR")</f>
        <v>Model 3 LR</v>
      </c>
      <c r="O1536" t="str">
        <f>IFERROR(__xludf.DUMMYFUNCTION("""COMPUTED_VALUE"""),"Solid Black")</f>
        <v>Solid Black</v>
      </c>
      <c r="P1536" t="str">
        <f>IFERROR(__xludf.DUMMYFUNCTION("""COMPUTED_VALUE"""),"18 inch Aero")</f>
        <v>18 inch Aero</v>
      </c>
      <c r="Q1536" t="str">
        <f>IFERROR(__xludf.DUMMYFUNCTION("""COMPUTED_VALUE"""),"Black seats")</f>
        <v>Black seats</v>
      </c>
      <c r="R1536" t="str">
        <f>IFERROR(__xludf.DUMMYFUNCTION("""COMPUTED_VALUE"""),"None")</f>
        <v>None</v>
      </c>
      <c r="X1536" t="str">
        <f>IFERROR(__xludf.DUMMYFUNCTION("""COMPUTED_VALUE"""),"Excellent")</f>
        <v>Excellent</v>
      </c>
      <c r="Y1536" t="str">
        <f>IFERROR(__xludf.DUMMYFUNCTION("""COMPUTED_VALUE"""),"Excellent")</f>
        <v>Excellent</v>
      </c>
      <c r="Z1536" t="str">
        <f>IFERROR(__xludf.DUMMYFUNCTION("""COMPUTED_VALUE"""),"Excellent")</f>
        <v>Excellent</v>
      </c>
      <c r="AA1536" t="str">
        <f>IFERROR(__xludf.DUMMYFUNCTION("""COMPUTED_VALUE"""),"Poor")</f>
        <v>Poor</v>
      </c>
      <c r="AB1536" t="str">
        <f>IFERROR(__xludf.DUMMYFUNCTION("""COMPUTED_VALUE"""),"Very Good")</f>
        <v>Very Good</v>
      </c>
      <c r="AC1536">
        <f>IFERROR(__xludf.DUMMYFUNCTION("""COMPUTED_VALUE"""),10.0)</f>
        <v>10</v>
      </c>
      <c r="AD1536">
        <f>IFERROR(__xludf.DUMMYFUNCTION("""COMPUTED_VALUE"""),0.0)</f>
        <v>0</v>
      </c>
      <c r="AE1536">
        <f>IFERROR(__xludf.DUMMYFUNCTION("""COMPUTED_VALUE"""),0.0)</f>
        <v>0</v>
      </c>
      <c r="AH1536" s="189">
        <f>IFERROR(__xludf.DUMMYFUNCTION("""COMPUTED_VALUE"""),43467.97519408565)</f>
        <v>43467.97519</v>
      </c>
    </row>
    <row r="1537">
      <c r="A1537" t="str">
        <f>IFERROR(__xludf.DUMMYFUNCTION("""COMPUTED_VALUE"""),"lkogan")</f>
        <v>lkogan</v>
      </c>
      <c r="B1537" t="str">
        <f>IFERROR(__xludf.DUMMYFUNCTION("""COMPUTED_VALUE"""),"San Mateo")</f>
        <v>San Mateo</v>
      </c>
      <c r="C1537" t="str">
        <f>IFERROR(__xludf.DUMMYFUNCTION("""COMPUTED_VALUE"""),"CA")</f>
        <v>CA</v>
      </c>
      <c r="D1537" t="str">
        <f>IFERROR(__xludf.DUMMYFUNCTION("""COMPUTED_VALUE"""),"USA")</f>
        <v>USA</v>
      </c>
      <c r="E1537" s="188">
        <f>IFERROR(__xludf.DUMMYFUNCTION("""COMPUTED_VALUE"""),43456.0)</f>
        <v>43456</v>
      </c>
      <c r="F1537" s="188">
        <f>IFERROR(__xludf.DUMMYFUNCTION("""COMPUTED_VALUE"""),43460.0)</f>
        <v>43460</v>
      </c>
      <c r="H1537">
        <f>IFERROR(__xludf.DUMMYFUNCTION("""COMPUTED_VALUE"""),172455.0)</f>
        <v>172455</v>
      </c>
      <c r="J1537" s="5">
        <f>IFERROR(__xludf.DUMMYFUNCTION("""COMPUTED_VALUE"""),43461.0)</f>
        <v>43461</v>
      </c>
      <c r="K1537">
        <f>IFERROR(__xludf.DUMMYFUNCTION("""COMPUTED_VALUE"""),4.0)</f>
        <v>4</v>
      </c>
      <c r="L1537">
        <f>IFERROR(__xludf.DUMMYFUNCTION("""COMPUTED_VALUE"""),1.0)</f>
        <v>1</v>
      </c>
      <c r="M1537">
        <f>IFERROR(__xludf.DUMMYFUNCTION("""COMPUTED_VALUE"""),5.0)</f>
        <v>5</v>
      </c>
      <c r="N1537" t="str">
        <f>IFERROR(__xludf.DUMMYFUNCTION("""COMPUTED_VALUE"""),"Model 3 MR")</f>
        <v>Model 3 MR</v>
      </c>
      <c r="O1537" t="str">
        <f>IFERROR(__xludf.DUMMYFUNCTION("""COMPUTED_VALUE"""),"Solid Black")</f>
        <v>Solid Black</v>
      </c>
      <c r="P1537" t="str">
        <f>IFERROR(__xludf.DUMMYFUNCTION("""COMPUTED_VALUE"""),"18 inch Aero")</f>
        <v>18 inch Aero</v>
      </c>
      <c r="Q1537" t="str">
        <f>IFERROR(__xludf.DUMMYFUNCTION("""COMPUTED_VALUE"""),"Black seats")</f>
        <v>Black seats</v>
      </c>
      <c r="R1537" t="str">
        <f>IFERROR(__xludf.DUMMYFUNCTION("""COMPUTED_VALUE"""),"None")</f>
        <v>None</v>
      </c>
      <c r="X1537" t="str">
        <f>IFERROR(__xludf.DUMMYFUNCTION("""COMPUTED_VALUE"""),"Good")</f>
        <v>Good</v>
      </c>
      <c r="Y1537" t="str">
        <f>IFERROR(__xludf.DUMMYFUNCTION("""COMPUTED_VALUE"""),"Very Good")</f>
        <v>Very Good</v>
      </c>
      <c r="Z1537" t="str">
        <f>IFERROR(__xludf.DUMMYFUNCTION("""COMPUTED_VALUE"""),"Very Good")</f>
        <v>Very Good</v>
      </c>
      <c r="AA1537" t="str">
        <f>IFERROR(__xludf.DUMMYFUNCTION("""COMPUTED_VALUE"""),"Excellent")</f>
        <v>Excellent</v>
      </c>
      <c r="AB1537" t="str">
        <f>IFERROR(__xludf.DUMMYFUNCTION("""COMPUTED_VALUE"""),"Excellent")</f>
        <v>Excellent</v>
      </c>
      <c r="AH1537" s="189">
        <f>IFERROR(__xludf.DUMMYFUNCTION("""COMPUTED_VALUE"""),43468.371241851855)</f>
        <v>43468.37124</v>
      </c>
    </row>
    <row r="1538">
      <c r="A1538" t="str">
        <f>IFERROR(__xludf.DUMMYFUNCTION("""COMPUTED_VALUE"""),"stevewen")</f>
        <v>stevewen</v>
      </c>
      <c r="C1538" t="str">
        <f>IFERROR(__xludf.DUMMYFUNCTION("""COMPUTED_VALUE"""),"MD")</f>
        <v>MD</v>
      </c>
      <c r="D1538" t="str">
        <f>IFERROR(__xludf.DUMMYFUNCTION("""COMPUTED_VALUE"""),"USA")</f>
        <v>USA</v>
      </c>
      <c r="E1538" s="188">
        <f>IFERROR(__xludf.DUMMYFUNCTION("""COMPUTED_VALUE"""),43392.0)</f>
        <v>43392</v>
      </c>
      <c r="F1538" s="188">
        <f>IFERROR(__xludf.DUMMYFUNCTION("""COMPUTED_VALUE"""),43420.0)</f>
        <v>43420</v>
      </c>
      <c r="H1538">
        <f>IFERROR(__xludf.DUMMYFUNCTION("""COMPUTED_VALUE"""),154255.0)</f>
        <v>154255</v>
      </c>
      <c r="I1538" t="str">
        <f>IFERROR(__xludf.DUMMYFUNCTION("""COMPUTED_VALUE"""),"11/18")</f>
        <v>11/18</v>
      </c>
      <c r="J1538" s="5">
        <f>IFERROR(__xludf.DUMMYFUNCTION("""COMPUTED_VALUE"""),43434.0)</f>
        <v>43434</v>
      </c>
      <c r="K1538">
        <f>IFERROR(__xludf.DUMMYFUNCTION("""COMPUTED_VALUE"""),28.0)</f>
        <v>28</v>
      </c>
      <c r="L1538">
        <f>IFERROR(__xludf.DUMMYFUNCTION("""COMPUTED_VALUE"""),14.0)</f>
        <v>14</v>
      </c>
      <c r="M1538">
        <f>IFERROR(__xludf.DUMMYFUNCTION("""COMPUTED_VALUE"""),42.0)</f>
        <v>42</v>
      </c>
      <c r="N1538" t="str">
        <f>IFERROR(__xludf.DUMMYFUNCTION("""COMPUTED_VALUE"""),"Model 3 MR")</f>
        <v>Model 3 MR</v>
      </c>
      <c r="O1538" t="str">
        <f>IFERROR(__xludf.DUMMYFUNCTION("""COMPUTED_VALUE"""),"Deep Blue Metallic")</f>
        <v>Deep Blue Metallic</v>
      </c>
      <c r="P1538" t="str">
        <f>IFERROR(__xludf.DUMMYFUNCTION("""COMPUTED_VALUE"""),"18 inch Aero")</f>
        <v>18 inch Aero</v>
      </c>
      <c r="Q1538" t="str">
        <f>IFERROR(__xludf.DUMMYFUNCTION("""COMPUTED_VALUE"""),"Black seats")</f>
        <v>Black seats</v>
      </c>
      <c r="R1538" t="str">
        <f>IFERROR(__xludf.DUMMYFUNCTION("""COMPUTED_VALUE"""),"Enhanced Autopilot")</f>
        <v>Enhanced Autopilot</v>
      </c>
      <c r="X1538" t="str">
        <f>IFERROR(__xludf.DUMMYFUNCTION("""COMPUTED_VALUE"""),"Excellent")</f>
        <v>Excellent</v>
      </c>
      <c r="Y1538" t="str">
        <f>IFERROR(__xludf.DUMMYFUNCTION("""COMPUTED_VALUE"""),"Excellent")</f>
        <v>Excellent</v>
      </c>
      <c r="Z1538" t="str">
        <f>IFERROR(__xludf.DUMMYFUNCTION("""COMPUTED_VALUE"""),"Excellent")</f>
        <v>Excellent</v>
      </c>
      <c r="AA1538" t="str">
        <f>IFERROR(__xludf.DUMMYFUNCTION("""COMPUTED_VALUE"""),"Excellent")</f>
        <v>Excellent</v>
      </c>
      <c r="AB1538" t="str">
        <f>IFERROR(__xludf.DUMMYFUNCTION("""COMPUTED_VALUE"""),"Excellent")</f>
        <v>Excellent</v>
      </c>
      <c r="AC1538">
        <f>IFERROR(__xludf.DUMMYFUNCTION("""COMPUTED_VALUE"""),0.0)</f>
        <v>0</v>
      </c>
      <c r="AD1538">
        <f>IFERROR(__xludf.DUMMYFUNCTION("""COMPUTED_VALUE"""),0.0)</f>
        <v>0</v>
      </c>
      <c r="AE1538">
        <f>IFERROR(__xludf.DUMMYFUNCTION("""COMPUTED_VALUE"""),0.0)</f>
        <v>0</v>
      </c>
      <c r="AG1538" t="str">
        <f>IFERROR(__xludf.DUMMYFUNCTION("""COMPUTED_VALUE"""),"VIN number was obtained via email request. Did not appear on Tesla account until after delivery.")</f>
        <v>VIN number was obtained via email request. Did not appear on Tesla account until after delivery.</v>
      </c>
      <c r="AH1538" s="189">
        <f>IFERROR(__xludf.DUMMYFUNCTION("""COMPUTED_VALUE"""),43468.48455363426)</f>
        <v>43468.48455</v>
      </c>
    </row>
    <row r="1539">
      <c r="A1539" t="str">
        <f>IFERROR(__xludf.DUMMYFUNCTION("""COMPUTED_VALUE"""),"mkjaiswa")</f>
        <v>mkjaiswa</v>
      </c>
      <c r="B1539" t="str">
        <f>IFERROR(__xludf.DUMMYFUNCTION("""COMPUTED_VALUE"""),"San Diego")</f>
        <v>San Diego</v>
      </c>
      <c r="C1539" t="str">
        <f>IFERROR(__xludf.DUMMYFUNCTION("""COMPUTED_VALUE"""),"CA")</f>
        <v>CA</v>
      </c>
      <c r="D1539" t="str">
        <f>IFERROR(__xludf.DUMMYFUNCTION("""COMPUTED_VALUE"""),"USA")</f>
        <v>USA</v>
      </c>
      <c r="E1539" s="188">
        <f>IFERROR(__xludf.DUMMYFUNCTION("""COMPUTED_VALUE"""),43391.0)</f>
        <v>43391</v>
      </c>
      <c r="F1539" s="188">
        <f>IFERROR(__xludf.DUMMYFUNCTION("""COMPUTED_VALUE"""),43455.0)</f>
        <v>43455</v>
      </c>
      <c r="H1539">
        <f>IFERROR(__xludf.DUMMYFUNCTION("""COMPUTED_VALUE"""),16055.0)</f>
        <v>16055</v>
      </c>
      <c r="J1539" s="5">
        <f>IFERROR(__xludf.DUMMYFUNCTION("""COMPUTED_VALUE"""),43460.0)</f>
        <v>43460</v>
      </c>
      <c r="K1539">
        <f>IFERROR(__xludf.DUMMYFUNCTION("""COMPUTED_VALUE"""),64.0)</f>
        <v>64</v>
      </c>
      <c r="L1539">
        <f>IFERROR(__xludf.DUMMYFUNCTION("""COMPUTED_VALUE"""),5.0)</f>
        <v>5</v>
      </c>
      <c r="M1539">
        <f>IFERROR(__xludf.DUMMYFUNCTION("""COMPUTED_VALUE"""),69.0)</f>
        <v>69</v>
      </c>
      <c r="N1539" t="str">
        <f>IFERROR(__xludf.DUMMYFUNCTION("""COMPUTED_VALUE"""),"Model 3 MR")</f>
        <v>Model 3 MR</v>
      </c>
      <c r="O1539" t="str">
        <f>IFERROR(__xludf.DUMMYFUNCTION("""COMPUTED_VALUE"""),"Deep Blue Metallic")</f>
        <v>Deep Blue Metallic</v>
      </c>
      <c r="P1539" t="str">
        <f>IFERROR(__xludf.DUMMYFUNCTION("""COMPUTED_VALUE"""),"18 inch Aero")</f>
        <v>18 inch Aero</v>
      </c>
      <c r="Q1539" t="str">
        <f>IFERROR(__xludf.DUMMYFUNCTION("""COMPUTED_VALUE"""),"Black seats")</f>
        <v>Black seats</v>
      </c>
      <c r="R1539" t="str">
        <f>IFERROR(__xludf.DUMMYFUNCTION("""COMPUTED_VALUE"""),"None")</f>
        <v>None</v>
      </c>
      <c r="X1539" t="str">
        <f>IFERROR(__xludf.DUMMYFUNCTION("""COMPUTED_VALUE"""),"Excellent")</f>
        <v>Excellent</v>
      </c>
      <c r="Y1539" t="str">
        <f>IFERROR(__xludf.DUMMYFUNCTION("""COMPUTED_VALUE"""),"Excellent")</f>
        <v>Excellent</v>
      </c>
      <c r="Z1539" t="str">
        <f>IFERROR(__xludf.DUMMYFUNCTION("""COMPUTED_VALUE"""),"Excellent")</f>
        <v>Excellent</v>
      </c>
      <c r="AA1539" t="str">
        <f>IFERROR(__xludf.DUMMYFUNCTION("""COMPUTED_VALUE"""),"Excellent")</f>
        <v>Excellent</v>
      </c>
      <c r="AB1539" t="str">
        <f>IFERROR(__xludf.DUMMYFUNCTION("""COMPUTED_VALUE"""),"Excellent")</f>
        <v>Excellent</v>
      </c>
      <c r="AC1539">
        <f>IFERROR(__xludf.DUMMYFUNCTION("""COMPUTED_VALUE"""),0.0)</f>
        <v>0</v>
      </c>
      <c r="AD1539">
        <f>IFERROR(__xludf.DUMMYFUNCTION("""COMPUTED_VALUE"""),0.0)</f>
        <v>0</v>
      </c>
      <c r="AE1539">
        <f>IFERROR(__xludf.DUMMYFUNCTION("""COMPUTED_VALUE"""),0.0)</f>
        <v>0</v>
      </c>
      <c r="AH1539" s="189">
        <f>IFERROR(__xludf.DUMMYFUNCTION("""COMPUTED_VALUE"""),43468.62064020833)</f>
        <v>43468.62064</v>
      </c>
    </row>
    <row r="1540">
      <c r="A1540" t="str">
        <f>IFERROR(__xludf.DUMMYFUNCTION("""COMPUTED_VALUE"""),"permesso")</f>
        <v>permesso</v>
      </c>
      <c r="B1540" t="str">
        <f>IFERROR(__xludf.DUMMYFUNCTION("""COMPUTED_VALUE"""),"Phoenixville")</f>
        <v>Phoenixville</v>
      </c>
      <c r="C1540" t="str">
        <f>IFERROR(__xludf.DUMMYFUNCTION("""COMPUTED_VALUE"""),"PA")</f>
        <v>PA</v>
      </c>
      <c r="D1540" t="str">
        <f>IFERROR(__xludf.DUMMYFUNCTION("""COMPUTED_VALUE"""),"USA")</f>
        <v>USA</v>
      </c>
      <c r="E1540" s="188">
        <f>IFERROR(__xludf.DUMMYFUNCTION("""COMPUTED_VALUE"""),43360.0)</f>
        <v>43360</v>
      </c>
      <c r="F1540" s="188">
        <f>IFERROR(__xludf.DUMMYFUNCTION("""COMPUTED_VALUE"""),43404.0)</f>
        <v>43404</v>
      </c>
      <c r="H1540">
        <f>IFERROR(__xludf.DUMMYFUNCTION("""COMPUTED_VALUE"""),114855.0)</f>
        <v>114855</v>
      </c>
      <c r="J1540" s="5">
        <f>IFERROR(__xludf.DUMMYFUNCTION("""COMPUTED_VALUE"""),43430.0)</f>
        <v>43430</v>
      </c>
      <c r="K1540">
        <f>IFERROR(__xludf.DUMMYFUNCTION("""COMPUTED_VALUE"""),44.0)</f>
        <v>44</v>
      </c>
      <c r="L1540">
        <f>IFERROR(__xludf.DUMMYFUNCTION("""COMPUTED_VALUE"""),26.0)</f>
        <v>26</v>
      </c>
      <c r="M1540">
        <f>IFERROR(__xludf.DUMMYFUNCTION("""COMPUTED_VALUE"""),70.0)</f>
        <v>70</v>
      </c>
      <c r="N1540" t="str">
        <f>IFERROR(__xludf.DUMMYFUNCTION("""COMPUTED_VALUE"""),"Model 3 LR AWD")</f>
        <v>Model 3 LR AWD</v>
      </c>
      <c r="O1540" t="str">
        <f>IFERROR(__xludf.DUMMYFUNCTION("""COMPUTED_VALUE"""),"Red Multi-Coat")</f>
        <v>Red Multi-Coat</v>
      </c>
      <c r="P1540" t="str">
        <f>IFERROR(__xludf.DUMMYFUNCTION("""COMPUTED_VALUE"""),"18 inch Aero")</f>
        <v>18 inch Aero</v>
      </c>
      <c r="Q1540" t="str">
        <f>IFERROR(__xludf.DUMMYFUNCTION("""COMPUTED_VALUE"""),"Black seats")</f>
        <v>Black seats</v>
      </c>
      <c r="R1540" t="str">
        <f>IFERROR(__xludf.DUMMYFUNCTION("""COMPUTED_VALUE"""),"None")</f>
        <v>None</v>
      </c>
      <c r="X1540" t="str">
        <f>IFERROR(__xludf.DUMMYFUNCTION("""COMPUTED_VALUE"""),"Good")</f>
        <v>Good</v>
      </c>
      <c r="Y1540" t="str">
        <f>IFERROR(__xludf.DUMMYFUNCTION("""COMPUTED_VALUE"""),"Good")</f>
        <v>Good</v>
      </c>
      <c r="Z1540" t="str">
        <f>IFERROR(__xludf.DUMMYFUNCTION("""COMPUTED_VALUE"""),"Good")</f>
        <v>Good</v>
      </c>
      <c r="AA1540" t="str">
        <f>IFERROR(__xludf.DUMMYFUNCTION("""COMPUTED_VALUE"""),"Poor")</f>
        <v>Poor</v>
      </c>
      <c r="AB1540" t="str">
        <f>IFERROR(__xludf.DUMMYFUNCTION("""COMPUTED_VALUE"""),"Fair")</f>
        <v>Fair</v>
      </c>
      <c r="AC1540">
        <f>IFERROR(__xludf.DUMMYFUNCTION("""COMPUTED_VALUE"""),3.0)</f>
        <v>3</v>
      </c>
      <c r="AD1540">
        <f>IFERROR(__xludf.DUMMYFUNCTION("""COMPUTED_VALUE"""),2.0)</f>
        <v>2</v>
      </c>
      <c r="AH1540" s="189">
        <f>IFERROR(__xludf.DUMMYFUNCTION("""COMPUTED_VALUE"""),43469.26241700232)</f>
        <v>43469.26242</v>
      </c>
    </row>
    <row r="1541">
      <c r="A1541" t="str">
        <f>IFERROR(__xludf.DUMMYFUNCTION("""COMPUTED_VALUE"""),"rraghu78")</f>
        <v>rraghu78</v>
      </c>
      <c r="B1541" t="str">
        <f>IFERROR(__xludf.DUMMYFUNCTION("""COMPUTED_VALUE"""),"Dallas")</f>
        <v>Dallas</v>
      </c>
      <c r="C1541" t="str">
        <f>IFERROR(__xludf.DUMMYFUNCTION("""COMPUTED_VALUE"""),"TX")</f>
        <v>TX</v>
      </c>
      <c r="D1541" t="str">
        <f>IFERROR(__xludf.DUMMYFUNCTION("""COMPUTED_VALUE"""),"USA")</f>
        <v>USA</v>
      </c>
      <c r="E1541" s="188">
        <f>IFERROR(__xludf.DUMMYFUNCTION("""COMPUTED_VALUE"""),43397.0)</f>
        <v>43397</v>
      </c>
      <c r="F1541" s="188">
        <f>IFERROR(__xludf.DUMMYFUNCTION("""COMPUTED_VALUE"""),43445.0)</f>
        <v>43445</v>
      </c>
      <c r="H1541">
        <f>IFERROR(__xludf.DUMMYFUNCTION("""COMPUTED_VALUE"""),177955.0)</f>
        <v>177955</v>
      </c>
      <c r="I1541" t="str">
        <f>IFERROR(__xludf.DUMMYFUNCTION("""COMPUTED_VALUE"""),"11/18")</f>
        <v>11/18</v>
      </c>
      <c r="J1541" s="5">
        <f>IFERROR(__xludf.DUMMYFUNCTION("""COMPUTED_VALUE"""),43454.0)</f>
        <v>43454</v>
      </c>
      <c r="K1541">
        <f>IFERROR(__xludf.DUMMYFUNCTION("""COMPUTED_VALUE"""),48.0)</f>
        <v>48</v>
      </c>
      <c r="L1541">
        <f>IFERROR(__xludf.DUMMYFUNCTION("""COMPUTED_VALUE"""),9.0)</f>
        <v>9</v>
      </c>
      <c r="M1541">
        <f>IFERROR(__xludf.DUMMYFUNCTION("""COMPUTED_VALUE"""),57.0)</f>
        <v>57</v>
      </c>
      <c r="N1541" t="str">
        <f>IFERROR(__xludf.DUMMYFUNCTION("""COMPUTED_VALUE"""),"Model 3 MR")</f>
        <v>Model 3 MR</v>
      </c>
      <c r="O1541" t="str">
        <f>IFERROR(__xludf.DUMMYFUNCTION("""COMPUTED_VALUE"""),"Solid Black")</f>
        <v>Solid Black</v>
      </c>
      <c r="P1541" t="str">
        <f>IFERROR(__xludf.DUMMYFUNCTION("""COMPUTED_VALUE"""),"19 inch Sport")</f>
        <v>19 inch Sport</v>
      </c>
      <c r="Q1541" t="str">
        <f>IFERROR(__xludf.DUMMYFUNCTION("""COMPUTED_VALUE"""),"White seats")</f>
        <v>White seats</v>
      </c>
      <c r="R1541" t="str">
        <f>IFERROR(__xludf.DUMMYFUNCTION("""COMPUTED_VALUE"""),"None")</f>
        <v>None</v>
      </c>
      <c r="X1541" t="str">
        <f>IFERROR(__xludf.DUMMYFUNCTION("""COMPUTED_VALUE"""),"Very Good")</f>
        <v>Very Good</v>
      </c>
      <c r="Y1541" t="str">
        <f>IFERROR(__xludf.DUMMYFUNCTION("""COMPUTED_VALUE"""),"Excellent")</f>
        <v>Excellent</v>
      </c>
      <c r="Z1541" t="str">
        <f>IFERROR(__xludf.DUMMYFUNCTION("""COMPUTED_VALUE"""),"Excellent")</f>
        <v>Excellent</v>
      </c>
      <c r="AA1541" t="str">
        <f>IFERROR(__xludf.DUMMYFUNCTION("""COMPUTED_VALUE"""),"Excellent")</f>
        <v>Excellent</v>
      </c>
      <c r="AB1541" t="str">
        <f>IFERROR(__xludf.DUMMYFUNCTION("""COMPUTED_VALUE"""),"Excellent")</f>
        <v>Excellent</v>
      </c>
      <c r="AC1541">
        <f>IFERROR(__xludf.DUMMYFUNCTION("""COMPUTED_VALUE"""),0.0)</f>
        <v>0</v>
      </c>
      <c r="AH1541" s="189">
        <f>IFERROR(__xludf.DUMMYFUNCTION("""COMPUTED_VALUE"""),43469.35968262731)</f>
        <v>43469.35968</v>
      </c>
    </row>
    <row r="1542">
      <c r="A1542" t="str">
        <f>IFERROR(__xludf.DUMMYFUNCTION("""COMPUTED_VALUE"""),"roddles")</f>
        <v>roddles</v>
      </c>
      <c r="B1542" t="str">
        <f>IFERROR(__xludf.DUMMYFUNCTION("""COMPUTED_VALUE"""),"Los Angeles")</f>
        <v>Los Angeles</v>
      </c>
      <c r="C1542" t="str">
        <f>IFERROR(__xludf.DUMMYFUNCTION("""COMPUTED_VALUE"""),"CA")</f>
        <v>CA</v>
      </c>
      <c r="D1542" t="str">
        <f>IFERROR(__xludf.DUMMYFUNCTION("""COMPUTED_VALUE"""),"USA")</f>
        <v>USA</v>
      </c>
      <c r="E1542" s="188">
        <f>IFERROR(__xludf.DUMMYFUNCTION("""COMPUTED_VALUE"""),43415.0)</f>
        <v>43415</v>
      </c>
      <c r="F1542" s="188">
        <f>IFERROR(__xludf.DUMMYFUNCTION("""COMPUTED_VALUE"""),43449.0)</f>
        <v>43449</v>
      </c>
      <c r="H1542">
        <f>IFERROR(__xludf.DUMMYFUNCTION("""COMPUTED_VALUE"""),166825.0)</f>
        <v>166825</v>
      </c>
      <c r="I1542" t="str">
        <f>IFERROR(__xludf.DUMMYFUNCTION("""COMPUTED_VALUE"""),"12/18")</f>
        <v>12/18</v>
      </c>
      <c r="J1542" s="5">
        <f>IFERROR(__xludf.DUMMYFUNCTION("""COMPUTED_VALUE"""),43458.0)</f>
        <v>43458</v>
      </c>
      <c r="K1542">
        <f>IFERROR(__xludf.DUMMYFUNCTION("""COMPUTED_VALUE"""),34.0)</f>
        <v>34</v>
      </c>
      <c r="L1542">
        <f>IFERROR(__xludf.DUMMYFUNCTION("""COMPUTED_VALUE"""),9.0)</f>
        <v>9</v>
      </c>
      <c r="M1542">
        <f>IFERROR(__xludf.DUMMYFUNCTION("""COMPUTED_VALUE"""),43.0)</f>
        <v>43</v>
      </c>
      <c r="N1542" t="str">
        <f>IFERROR(__xludf.DUMMYFUNCTION("""COMPUTED_VALUE"""),"Model 3 MR")</f>
        <v>Model 3 MR</v>
      </c>
      <c r="O1542" t="str">
        <f>IFERROR(__xludf.DUMMYFUNCTION("""COMPUTED_VALUE"""),"Midnight Silver Metallic")</f>
        <v>Midnight Silver Metallic</v>
      </c>
      <c r="P1542" t="str">
        <f>IFERROR(__xludf.DUMMYFUNCTION("""COMPUTED_VALUE"""),"18 inch Aero")</f>
        <v>18 inch Aero</v>
      </c>
      <c r="Q1542" t="str">
        <f>IFERROR(__xludf.DUMMYFUNCTION("""COMPUTED_VALUE"""),"White seats")</f>
        <v>White seats</v>
      </c>
      <c r="R1542" t="str">
        <f>IFERROR(__xludf.DUMMYFUNCTION("""COMPUTED_VALUE"""),"Enhanced Autopilot")</f>
        <v>Enhanced Autopilot</v>
      </c>
      <c r="X1542" t="str">
        <f>IFERROR(__xludf.DUMMYFUNCTION("""COMPUTED_VALUE"""),"Very Good")</f>
        <v>Very Good</v>
      </c>
      <c r="Y1542" t="str">
        <f>IFERROR(__xludf.DUMMYFUNCTION("""COMPUTED_VALUE"""),"Excellent")</f>
        <v>Excellent</v>
      </c>
      <c r="Z1542" t="str">
        <f>IFERROR(__xludf.DUMMYFUNCTION("""COMPUTED_VALUE"""),"Excellent")</f>
        <v>Excellent</v>
      </c>
      <c r="AA1542" t="str">
        <f>IFERROR(__xludf.DUMMYFUNCTION("""COMPUTED_VALUE"""),"Excellent")</f>
        <v>Excellent</v>
      </c>
      <c r="AB1542" t="str">
        <f>IFERROR(__xludf.DUMMYFUNCTION("""COMPUTED_VALUE"""),"Excellent")</f>
        <v>Excellent</v>
      </c>
      <c r="AC1542">
        <f>IFERROR(__xludf.DUMMYFUNCTION("""COMPUTED_VALUE"""),0.0)</f>
        <v>0</v>
      </c>
      <c r="AD1542">
        <f>IFERROR(__xludf.DUMMYFUNCTION("""COMPUTED_VALUE"""),0.0)</f>
        <v>0</v>
      </c>
      <c r="AE1542">
        <f>IFERROR(__xludf.DUMMYFUNCTION("""COMPUTED_VALUE"""),0.0)</f>
        <v>0</v>
      </c>
      <c r="AG1542" t="str">
        <f>IFERROR(__xludf.DUMMYFUNCTION("""COMPUTED_VALUE"""),"Slight panel gap in trunk, lid possibly offset. Headlights have no gaps and is flush with bumper")</f>
        <v>Slight panel gap in trunk, lid possibly offset. Headlights have no gaps and is flush with bumper</v>
      </c>
      <c r="AH1542" s="189">
        <f>IFERROR(__xludf.DUMMYFUNCTION("""COMPUTED_VALUE"""),43469.95338796296)</f>
        <v>43469.95339</v>
      </c>
    </row>
    <row r="1543">
      <c r="A1543" t="str">
        <f>IFERROR(__xludf.DUMMYFUNCTION("""COMPUTED_VALUE"""),"jasonamyers")</f>
        <v>jasonamyers</v>
      </c>
      <c r="B1543" t="str">
        <f>IFERROR(__xludf.DUMMYFUNCTION("""COMPUTED_VALUE"""),"Murfreesboro")</f>
        <v>Murfreesboro</v>
      </c>
      <c r="C1543" t="str">
        <f>IFERROR(__xludf.DUMMYFUNCTION("""COMPUTED_VALUE"""),"TN")</f>
        <v>TN</v>
      </c>
      <c r="D1543" t="str">
        <f>IFERROR(__xludf.DUMMYFUNCTION("""COMPUTED_VALUE"""),"USA")</f>
        <v>USA</v>
      </c>
      <c r="E1543" s="188">
        <f>IFERROR(__xludf.DUMMYFUNCTION("""COMPUTED_VALUE"""),43469.0)</f>
        <v>43469</v>
      </c>
      <c r="F1543" s="188">
        <f>IFERROR(__xludf.DUMMYFUNCTION("""COMPUTED_VALUE"""),43469.0)</f>
        <v>43469</v>
      </c>
      <c r="H1543">
        <f>IFERROR(__xludf.DUMMYFUNCTION("""COMPUTED_VALUE"""),185555.0)</f>
        <v>185555</v>
      </c>
      <c r="I1543" t="str">
        <f>IFERROR(__xludf.DUMMYFUNCTION("""COMPUTED_VALUE"""),"11/18")</f>
        <v>11/18</v>
      </c>
      <c r="J1543" s="5">
        <f>IFERROR(__xludf.DUMMYFUNCTION("""COMPUTED_VALUE"""),43470.0)</f>
        <v>43470</v>
      </c>
      <c r="K1543">
        <f>IFERROR(__xludf.DUMMYFUNCTION("""COMPUTED_VALUE"""),0.0)</f>
        <v>0</v>
      </c>
      <c r="L1543">
        <f>IFERROR(__xludf.DUMMYFUNCTION("""COMPUTED_VALUE"""),1.0)</f>
        <v>1</v>
      </c>
      <c r="M1543">
        <f>IFERROR(__xludf.DUMMYFUNCTION("""COMPUTED_VALUE"""),1.0)</f>
        <v>1</v>
      </c>
      <c r="N1543" t="str">
        <f>IFERROR(__xludf.DUMMYFUNCTION("""COMPUTED_VALUE"""),"Model 3 LR AWD")</f>
        <v>Model 3 LR AWD</v>
      </c>
      <c r="O1543" t="str">
        <f>IFERROR(__xludf.DUMMYFUNCTION("""COMPUTED_VALUE"""),"Deep Blue Metallic")</f>
        <v>Deep Blue Metallic</v>
      </c>
      <c r="P1543" t="str">
        <f>IFERROR(__xludf.DUMMYFUNCTION("""COMPUTED_VALUE"""),"19 inch Sport")</f>
        <v>19 inch Sport</v>
      </c>
      <c r="Q1543" t="str">
        <f>IFERROR(__xludf.DUMMYFUNCTION("""COMPUTED_VALUE"""),"Black seats")</f>
        <v>Black seats</v>
      </c>
      <c r="R1543" t="str">
        <f>IFERROR(__xludf.DUMMYFUNCTION("""COMPUTED_VALUE"""),"Enhanced Autopilot")</f>
        <v>Enhanced Autopilot</v>
      </c>
      <c r="X1543" t="str">
        <f>IFERROR(__xludf.DUMMYFUNCTION("""COMPUTED_VALUE"""),"Excellent")</f>
        <v>Excellent</v>
      </c>
      <c r="Y1543" t="str">
        <f>IFERROR(__xludf.DUMMYFUNCTION("""COMPUTED_VALUE"""),"Excellent")</f>
        <v>Excellent</v>
      </c>
      <c r="Z1543" t="str">
        <f>IFERROR(__xludf.DUMMYFUNCTION("""COMPUTED_VALUE"""),"Excellent")</f>
        <v>Excellent</v>
      </c>
      <c r="AA1543" t="str">
        <f>IFERROR(__xludf.DUMMYFUNCTION("""COMPUTED_VALUE"""),"Very Good")</f>
        <v>Very Good</v>
      </c>
      <c r="AB1543" t="str">
        <f>IFERROR(__xludf.DUMMYFUNCTION("""COMPUTED_VALUE"""),"Excellent")</f>
        <v>Excellent</v>
      </c>
      <c r="AH1543" s="189">
        <f>IFERROR(__xludf.DUMMYFUNCTION("""COMPUTED_VALUE"""),43470.348545347224)</f>
        <v>43470.34855</v>
      </c>
    </row>
    <row r="1544">
      <c r="A1544" t="str">
        <f>IFERROR(__xludf.DUMMYFUNCTION("""COMPUTED_VALUE"""),"rcanini")</f>
        <v>rcanini</v>
      </c>
      <c r="B1544" t="str">
        <f>IFERROR(__xludf.DUMMYFUNCTION("""COMPUTED_VALUE"""),"Weston")</f>
        <v>Weston</v>
      </c>
      <c r="C1544" t="str">
        <f>IFERROR(__xludf.DUMMYFUNCTION("""COMPUTED_VALUE"""),"FL")</f>
        <v>FL</v>
      </c>
      <c r="D1544" t="str">
        <f>IFERROR(__xludf.DUMMYFUNCTION("""COMPUTED_VALUE"""),"USA")</f>
        <v>USA</v>
      </c>
      <c r="E1544" s="188">
        <f>IFERROR(__xludf.DUMMYFUNCTION("""COMPUTED_VALUE"""),43394.0)</f>
        <v>43394</v>
      </c>
      <c r="F1544" s="188">
        <f>IFERROR(__xludf.DUMMYFUNCTION("""COMPUTED_VALUE"""),43418.0)</f>
        <v>43418</v>
      </c>
      <c r="H1544">
        <f>IFERROR(__xludf.DUMMYFUNCTION("""COMPUTED_VALUE"""),175855.0)</f>
        <v>175855</v>
      </c>
      <c r="I1544" t="str">
        <f>IFERROR(__xludf.DUMMYFUNCTION("""COMPUTED_VALUE"""),"11/18")</f>
        <v>11/18</v>
      </c>
      <c r="J1544" s="5">
        <f>IFERROR(__xludf.DUMMYFUNCTION("""COMPUTED_VALUE"""),43439.0)</f>
        <v>43439</v>
      </c>
      <c r="K1544">
        <f>IFERROR(__xludf.DUMMYFUNCTION("""COMPUTED_VALUE"""),24.0)</f>
        <v>24</v>
      </c>
      <c r="L1544">
        <f>IFERROR(__xludf.DUMMYFUNCTION("""COMPUTED_VALUE"""),21.0)</f>
        <v>21</v>
      </c>
      <c r="M1544">
        <f>IFERROR(__xludf.DUMMYFUNCTION("""COMPUTED_VALUE"""),45.0)</f>
        <v>45</v>
      </c>
      <c r="N1544" t="str">
        <f>IFERROR(__xludf.DUMMYFUNCTION("""COMPUTED_VALUE"""),"Model 3 MR")</f>
        <v>Model 3 MR</v>
      </c>
      <c r="O1544" t="str">
        <f>IFERROR(__xludf.DUMMYFUNCTION("""COMPUTED_VALUE"""),"Solid Black")</f>
        <v>Solid Black</v>
      </c>
      <c r="P1544" t="str">
        <f>IFERROR(__xludf.DUMMYFUNCTION("""COMPUTED_VALUE"""),"19 inch Sport")</f>
        <v>19 inch Sport</v>
      </c>
      <c r="Q1544" t="str">
        <f>IFERROR(__xludf.DUMMYFUNCTION("""COMPUTED_VALUE"""),"Black seats")</f>
        <v>Black seats</v>
      </c>
      <c r="R1544" t="str">
        <f>IFERROR(__xludf.DUMMYFUNCTION("""COMPUTED_VALUE"""),"None")</f>
        <v>None</v>
      </c>
      <c r="X1544" t="str">
        <f>IFERROR(__xludf.DUMMYFUNCTION("""COMPUTED_VALUE"""),"Excellent")</f>
        <v>Excellent</v>
      </c>
      <c r="Y1544" t="str">
        <f>IFERROR(__xludf.DUMMYFUNCTION("""COMPUTED_VALUE"""),"Excellent")</f>
        <v>Excellent</v>
      </c>
      <c r="Z1544" t="str">
        <f>IFERROR(__xludf.DUMMYFUNCTION("""COMPUTED_VALUE"""),"Excellent")</f>
        <v>Excellent</v>
      </c>
      <c r="AA1544" t="str">
        <f>IFERROR(__xludf.DUMMYFUNCTION("""COMPUTED_VALUE"""),"Very Good")</f>
        <v>Very Good</v>
      </c>
      <c r="AB1544" t="str">
        <f>IFERROR(__xludf.DUMMYFUNCTION("""COMPUTED_VALUE"""),"Excellent")</f>
        <v>Excellent</v>
      </c>
      <c r="AC1544">
        <f>IFERROR(__xludf.DUMMYFUNCTION("""COMPUTED_VALUE"""),3.0)</f>
        <v>3</v>
      </c>
      <c r="AD1544">
        <f>IFERROR(__xludf.DUMMYFUNCTION("""COMPUTED_VALUE"""),1.0)</f>
        <v>1</v>
      </c>
      <c r="AE1544">
        <f>IFERROR(__xludf.DUMMYFUNCTION("""COMPUTED_VALUE"""),2.0)</f>
        <v>2</v>
      </c>
      <c r="AH1544" s="189">
        <f>IFERROR(__xludf.DUMMYFUNCTION("""COMPUTED_VALUE"""),43472.24269221065)</f>
        <v>43472.24269</v>
      </c>
    </row>
    <row r="1545">
      <c r="A1545" t="str">
        <f>IFERROR(__xludf.DUMMYFUNCTION("""COMPUTED_VALUE"""),"HareRee")</f>
        <v>HareRee</v>
      </c>
      <c r="C1545" t="str">
        <f>IFERROR(__xludf.DUMMYFUNCTION("""COMPUTED_VALUE"""),"MD")</f>
        <v>MD</v>
      </c>
      <c r="D1545" t="str">
        <f>IFERROR(__xludf.DUMMYFUNCTION("""COMPUTED_VALUE"""),"USA")</f>
        <v>USA</v>
      </c>
      <c r="E1545" s="188">
        <f>IFERROR(__xludf.DUMMYFUNCTION("""COMPUTED_VALUE"""),43388.0)</f>
        <v>43388</v>
      </c>
      <c r="F1545" s="188">
        <f>IFERROR(__xludf.DUMMYFUNCTION("""COMPUTED_VALUE"""),43435.0)</f>
        <v>43435</v>
      </c>
      <c r="H1545">
        <f>IFERROR(__xludf.DUMMYFUNCTION("""COMPUTED_VALUE"""),134175.0)</f>
        <v>134175</v>
      </c>
      <c r="I1545" t="str">
        <f>IFERROR(__xludf.DUMMYFUNCTION("""COMPUTED_VALUE"""),"11/18")</f>
        <v>11/18</v>
      </c>
      <c r="J1545" s="5">
        <f>IFERROR(__xludf.DUMMYFUNCTION("""COMPUTED_VALUE"""),43442.0)</f>
        <v>43442</v>
      </c>
      <c r="K1545">
        <f>IFERROR(__xludf.DUMMYFUNCTION("""COMPUTED_VALUE"""),47.0)</f>
        <v>47</v>
      </c>
      <c r="L1545">
        <f>IFERROR(__xludf.DUMMYFUNCTION("""COMPUTED_VALUE"""),7.0)</f>
        <v>7</v>
      </c>
      <c r="M1545">
        <f>IFERROR(__xludf.DUMMYFUNCTION("""COMPUTED_VALUE"""),54.0)</f>
        <v>54</v>
      </c>
      <c r="N1545" t="str">
        <f>IFERROR(__xludf.DUMMYFUNCTION("""COMPUTED_VALUE"""),"Model 3 LR AWD")</f>
        <v>Model 3 LR AWD</v>
      </c>
      <c r="O1545" t="str">
        <f>IFERROR(__xludf.DUMMYFUNCTION("""COMPUTED_VALUE"""),"Pearl White Multi-Coat")</f>
        <v>Pearl White Multi-Coat</v>
      </c>
      <c r="P1545" t="str">
        <f>IFERROR(__xludf.DUMMYFUNCTION("""COMPUTED_VALUE"""),"19 inch Sport")</f>
        <v>19 inch Sport</v>
      </c>
      <c r="Q1545" t="str">
        <f>IFERROR(__xludf.DUMMYFUNCTION("""COMPUTED_VALUE"""),"Black seats")</f>
        <v>Black seats</v>
      </c>
      <c r="R1545" t="str">
        <f>IFERROR(__xludf.DUMMYFUNCTION("""COMPUTED_VALUE"""),"None")</f>
        <v>None</v>
      </c>
      <c r="X1545" t="str">
        <f>IFERROR(__xludf.DUMMYFUNCTION("""COMPUTED_VALUE"""),"Very Good")</f>
        <v>Very Good</v>
      </c>
      <c r="Y1545" t="str">
        <f>IFERROR(__xludf.DUMMYFUNCTION("""COMPUTED_VALUE"""),"Very Good")</f>
        <v>Very Good</v>
      </c>
      <c r="Z1545" t="str">
        <f>IFERROR(__xludf.DUMMYFUNCTION("""COMPUTED_VALUE"""),"Excellent")</f>
        <v>Excellent</v>
      </c>
      <c r="AA1545" t="str">
        <f>IFERROR(__xludf.DUMMYFUNCTION("""COMPUTED_VALUE"""),"Good")</f>
        <v>Good</v>
      </c>
      <c r="AB1545" t="str">
        <f>IFERROR(__xludf.DUMMYFUNCTION("""COMPUTED_VALUE"""),"Good")</f>
        <v>Good</v>
      </c>
      <c r="AC1545">
        <f>IFERROR(__xludf.DUMMYFUNCTION("""COMPUTED_VALUE"""),0.0)</f>
        <v>0</v>
      </c>
      <c r="AD1545">
        <f>IFERROR(__xludf.DUMMYFUNCTION("""COMPUTED_VALUE"""),0.0)</f>
        <v>0</v>
      </c>
      <c r="AE1545">
        <f>IFERROR(__xludf.DUMMYFUNCTION("""COMPUTED_VALUE"""),0.0)</f>
        <v>0</v>
      </c>
      <c r="AH1545" s="189">
        <f>IFERROR(__xludf.DUMMYFUNCTION("""COMPUTED_VALUE"""),43472.952988680554)</f>
        <v>43472.95299</v>
      </c>
    </row>
    <row r="1546">
      <c r="A1546" t="str">
        <f>IFERROR(__xludf.DUMMYFUNCTION("""COMPUTED_VALUE"""),"TScats")</f>
        <v>TScats</v>
      </c>
      <c r="B1546" t="str">
        <f>IFERROR(__xludf.DUMMYFUNCTION("""COMPUTED_VALUE"""),"Los Gatos")</f>
        <v>Los Gatos</v>
      </c>
      <c r="C1546" t="str">
        <f>IFERROR(__xludf.DUMMYFUNCTION("""COMPUTED_VALUE"""),"CA")</f>
        <v>CA</v>
      </c>
      <c r="D1546" t="str">
        <f>IFERROR(__xludf.DUMMYFUNCTION("""COMPUTED_VALUE"""),"USA")</f>
        <v>USA</v>
      </c>
      <c r="E1546" s="188">
        <f>IFERROR(__xludf.DUMMYFUNCTION("""COMPUTED_VALUE"""),43769.0)</f>
        <v>43769</v>
      </c>
      <c r="F1546" s="188">
        <f>IFERROR(__xludf.DUMMYFUNCTION("""COMPUTED_VALUE"""),43799.0)</f>
        <v>43799</v>
      </c>
      <c r="H1546">
        <f>IFERROR(__xludf.DUMMYFUNCTION("""COMPUTED_VALUE"""),122155.0)</f>
        <v>122155</v>
      </c>
      <c r="I1546" t="str">
        <f>IFERROR(__xludf.DUMMYFUNCTION("""COMPUTED_VALUE"""),"11/18")</f>
        <v>11/18</v>
      </c>
      <c r="J1546" s="5">
        <f>IFERROR(__xludf.DUMMYFUNCTION("""COMPUTED_VALUE"""),43800.0)</f>
        <v>43800</v>
      </c>
      <c r="K1546">
        <f>IFERROR(__xludf.DUMMYFUNCTION("""COMPUTED_VALUE"""),30.0)</f>
        <v>30</v>
      </c>
      <c r="L1546">
        <f>IFERROR(__xludf.DUMMYFUNCTION("""COMPUTED_VALUE"""),1.0)</f>
        <v>1</v>
      </c>
      <c r="M1546">
        <f>IFERROR(__xludf.DUMMYFUNCTION("""COMPUTED_VALUE"""),31.0)</f>
        <v>31</v>
      </c>
      <c r="N1546" t="str">
        <f>IFERROR(__xludf.DUMMYFUNCTION("""COMPUTED_VALUE"""),"Model 3 LR AWD")</f>
        <v>Model 3 LR AWD</v>
      </c>
      <c r="O1546" t="str">
        <f>IFERROR(__xludf.DUMMYFUNCTION("""COMPUTED_VALUE"""),"Deep Blue Metallic")</f>
        <v>Deep Blue Metallic</v>
      </c>
      <c r="P1546" t="str">
        <f>IFERROR(__xludf.DUMMYFUNCTION("""COMPUTED_VALUE"""),"18 inch Aero")</f>
        <v>18 inch Aero</v>
      </c>
      <c r="Q1546" t="str">
        <f>IFERROR(__xludf.DUMMYFUNCTION("""COMPUTED_VALUE"""),"White seats")</f>
        <v>White seats</v>
      </c>
      <c r="R1546" t="str">
        <f>IFERROR(__xludf.DUMMYFUNCTION("""COMPUTED_VALUE"""),"Enhanced Autopilot")</f>
        <v>Enhanced Autopilot</v>
      </c>
      <c r="X1546" t="str">
        <f>IFERROR(__xludf.DUMMYFUNCTION("""COMPUTED_VALUE"""),"Excellent")</f>
        <v>Excellent</v>
      </c>
      <c r="Y1546" t="str">
        <f>IFERROR(__xludf.DUMMYFUNCTION("""COMPUTED_VALUE"""),"Excellent")</f>
        <v>Excellent</v>
      </c>
      <c r="Z1546" t="str">
        <f>IFERROR(__xludf.DUMMYFUNCTION("""COMPUTED_VALUE"""),"Excellent")</f>
        <v>Excellent</v>
      </c>
      <c r="AA1546" t="str">
        <f>IFERROR(__xludf.DUMMYFUNCTION("""COMPUTED_VALUE"""),"Poor")</f>
        <v>Poor</v>
      </c>
      <c r="AB1546" t="str">
        <f>IFERROR(__xludf.DUMMYFUNCTION("""COMPUTED_VALUE"""),"Excellent")</f>
        <v>Excellent</v>
      </c>
      <c r="AC1546">
        <f>IFERROR(__xludf.DUMMYFUNCTION("""COMPUTED_VALUE"""),0.0)</f>
        <v>0</v>
      </c>
      <c r="AD1546">
        <f>IFERROR(__xludf.DUMMYFUNCTION("""COMPUTED_VALUE"""),0.0)</f>
        <v>0</v>
      </c>
      <c r="AE1546">
        <f>IFERROR(__xludf.DUMMYFUNCTION("""COMPUTED_VALUE"""),0.0)</f>
        <v>0</v>
      </c>
      <c r="AH1546" s="189">
        <f>IFERROR(__xludf.DUMMYFUNCTION("""COMPUTED_VALUE"""),43473.38849547454)</f>
        <v>43473.3885</v>
      </c>
    </row>
    <row r="1547">
      <c r="A1547" t="str">
        <f>IFERROR(__xludf.DUMMYFUNCTION("""COMPUTED_VALUE"""),"AAAA")</f>
        <v>AAAA</v>
      </c>
      <c r="B1547" t="str">
        <f>IFERROR(__xludf.DUMMYFUNCTION("""COMPUTED_VALUE"""),"Murphy")</f>
        <v>Murphy</v>
      </c>
      <c r="C1547" t="str">
        <f>IFERROR(__xludf.DUMMYFUNCTION("""COMPUTED_VALUE"""),"TX")</f>
        <v>TX</v>
      </c>
      <c r="D1547" t="str">
        <f>IFERROR(__xludf.DUMMYFUNCTION("""COMPUTED_VALUE"""),"USA")</f>
        <v>USA</v>
      </c>
      <c r="E1547" s="188">
        <f>IFERROR(__xludf.DUMMYFUNCTION("""COMPUTED_VALUE"""),43400.0)</f>
        <v>43400</v>
      </c>
      <c r="F1547" s="188">
        <f>IFERROR(__xludf.DUMMYFUNCTION("""COMPUTED_VALUE"""),43452.0)</f>
        <v>43452</v>
      </c>
      <c r="H1547">
        <f>IFERROR(__xludf.DUMMYFUNCTION("""COMPUTED_VALUE"""),160335.0)</f>
        <v>160335</v>
      </c>
      <c r="I1547" t="str">
        <f>IFERROR(__xludf.DUMMYFUNCTION("""COMPUTED_VALUE"""),"12/18")</f>
        <v>12/18</v>
      </c>
      <c r="J1547" s="5">
        <f>IFERROR(__xludf.DUMMYFUNCTION("""COMPUTED_VALUE"""),43458.0)</f>
        <v>43458</v>
      </c>
      <c r="K1547">
        <f>IFERROR(__xludf.DUMMYFUNCTION("""COMPUTED_VALUE"""),52.0)</f>
        <v>52</v>
      </c>
      <c r="L1547">
        <f>IFERROR(__xludf.DUMMYFUNCTION("""COMPUTED_VALUE"""),6.0)</f>
        <v>6</v>
      </c>
      <c r="M1547">
        <f>IFERROR(__xludf.DUMMYFUNCTION("""COMPUTED_VALUE"""),58.0)</f>
        <v>58</v>
      </c>
      <c r="N1547" t="str">
        <f>IFERROR(__xludf.DUMMYFUNCTION("""COMPUTED_VALUE"""),"Model 3 MR")</f>
        <v>Model 3 MR</v>
      </c>
      <c r="O1547" t="str">
        <f>IFERROR(__xludf.DUMMYFUNCTION("""COMPUTED_VALUE"""),"Deep Blue Metallic")</f>
        <v>Deep Blue Metallic</v>
      </c>
      <c r="P1547" t="str">
        <f>IFERROR(__xludf.DUMMYFUNCTION("""COMPUTED_VALUE"""),"18 inch Aero")</f>
        <v>18 inch Aero</v>
      </c>
      <c r="Q1547" t="str">
        <f>IFERROR(__xludf.DUMMYFUNCTION("""COMPUTED_VALUE"""),"Black seats")</f>
        <v>Black seats</v>
      </c>
      <c r="R1547" t="str">
        <f>IFERROR(__xludf.DUMMYFUNCTION("""COMPUTED_VALUE"""),"Enhanced Autopilot")</f>
        <v>Enhanced Autopilot</v>
      </c>
      <c r="X1547" t="str">
        <f>IFERROR(__xludf.DUMMYFUNCTION("""COMPUTED_VALUE"""),"Excellent")</f>
        <v>Excellent</v>
      </c>
      <c r="Y1547" t="str">
        <f>IFERROR(__xludf.DUMMYFUNCTION("""COMPUTED_VALUE"""),"Excellent")</f>
        <v>Excellent</v>
      </c>
      <c r="Z1547" t="str">
        <f>IFERROR(__xludf.DUMMYFUNCTION("""COMPUTED_VALUE"""),"Excellent")</f>
        <v>Excellent</v>
      </c>
      <c r="AA1547" t="str">
        <f>IFERROR(__xludf.DUMMYFUNCTION("""COMPUTED_VALUE"""),"Excellent")</f>
        <v>Excellent</v>
      </c>
      <c r="AB1547" t="str">
        <f>IFERROR(__xludf.DUMMYFUNCTION("""COMPUTED_VALUE"""),"Excellent")</f>
        <v>Excellent</v>
      </c>
      <c r="AC1547">
        <f>IFERROR(__xludf.DUMMYFUNCTION("""COMPUTED_VALUE"""),1.0)</f>
        <v>1</v>
      </c>
      <c r="AH1547" s="189">
        <f>IFERROR(__xludf.DUMMYFUNCTION("""COMPUTED_VALUE"""),43473.506721516205)</f>
        <v>43473.50672</v>
      </c>
    </row>
    <row r="1548">
      <c r="A1548" t="str">
        <f>IFERROR(__xludf.DUMMYFUNCTION("""COMPUTED_VALUE"""),"Kvel")</f>
        <v>Kvel</v>
      </c>
      <c r="B1548" t="str">
        <f>IFERROR(__xludf.DUMMYFUNCTION("""COMPUTED_VALUE"""),"Hamilton")</f>
        <v>Hamilton</v>
      </c>
      <c r="C1548" t="str">
        <f>IFERROR(__xludf.DUMMYFUNCTION("""COMPUTED_VALUE"""),"ON")</f>
        <v>ON</v>
      </c>
      <c r="D1548" t="str">
        <f>IFERROR(__xludf.DUMMYFUNCTION("""COMPUTED_VALUE"""),"Canada")</f>
        <v>Canada</v>
      </c>
      <c r="E1548" s="188">
        <f>IFERROR(__xludf.DUMMYFUNCTION("""COMPUTED_VALUE"""),43271.0)</f>
        <v>43271</v>
      </c>
      <c r="F1548" s="188">
        <f>IFERROR(__xludf.DUMMYFUNCTION("""COMPUTED_VALUE"""),43336.0)</f>
        <v>43336</v>
      </c>
      <c r="H1548">
        <f>IFERROR(__xludf.DUMMYFUNCTION("""COMPUTED_VALUE"""),95755.0)</f>
        <v>95755</v>
      </c>
      <c r="I1548" t="str">
        <f>IFERROR(__xludf.DUMMYFUNCTION("""COMPUTED_VALUE"""),"08/18")</f>
        <v>08/18</v>
      </c>
      <c r="J1548" s="5">
        <f>IFERROR(__xludf.DUMMYFUNCTION("""COMPUTED_VALUE"""),43353.0)</f>
        <v>43353</v>
      </c>
      <c r="K1548">
        <f>IFERROR(__xludf.DUMMYFUNCTION("""COMPUTED_VALUE"""),65.0)</f>
        <v>65</v>
      </c>
      <c r="L1548">
        <f>IFERROR(__xludf.DUMMYFUNCTION("""COMPUTED_VALUE"""),17.0)</f>
        <v>17</v>
      </c>
      <c r="M1548">
        <f>IFERROR(__xludf.DUMMYFUNCTION("""COMPUTED_VALUE"""),82.0)</f>
        <v>82</v>
      </c>
      <c r="N1548" t="str">
        <f>IFERROR(__xludf.DUMMYFUNCTION("""COMPUTED_VALUE"""),"Model 3 LR")</f>
        <v>Model 3 LR</v>
      </c>
      <c r="O1548" t="str">
        <f>IFERROR(__xludf.DUMMYFUNCTION("""COMPUTED_VALUE"""),"Red Multi-Coat")</f>
        <v>Red Multi-Coat</v>
      </c>
      <c r="P1548" t="str">
        <f>IFERROR(__xludf.DUMMYFUNCTION("""COMPUTED_VALUE"""),"18 inch Aero")</f>
        <v>18 inch Aero</v>
      </c>
      <c r="Q1548" t="str">
        <f>IFERROR(__xludf.DUMMYFUNCTION("""COMPUTED_VALUE"""),"Black seats")</f>
        <v>Black seats</v>
      </c>
      <c r="R1548" t="str">
        <f>IFERROR(__xludf.DUMMYFUNCTION("""COMPUTED_VALUE"""),"None")</f>
        <v>None</v>
      </c>
      <c r="X1548" t="str">
        <f>IFERROR(__xludf.DUMMYFUNCTION("""COMPUTED_VALUE"""),"Good")</f>
        <v>Good</v>
      </c>
      <c r="Y1548" t="str">
        <f>IFERROR(__xludf.DUMMYFUNCTION("""COMPUTED_VALUE"""),"Very Good")</f>
        <v>Very Good</v>
      </c>
      <c r="Z1548" t="str">
        <f>IFERROR(__xludf.DUMMYFUNCTION("""COMPUTED_VALUE"""),"Good")</f>
        <v>Good</v>
      </c>
      <c r="AA1548" t="str">
        <f>IFERROR(__xludf.DUMMYFUNCTION("""COMPUTED_VALUE"""),"Good")</f>
        <v>Good</v>
      </c>
      <c r="AB1548" t="str">
        <f>IFERROR(__xludf.DUMMYFUNCTION("""COMPUTED_VALUE"""),"Very Good")</f>
        <v>Very Good</v>
      </c>
      <c r="AC1548">
        <f>IFERROR(__xludf.DUMMYFUNCTION("""COMPUTED_VALUE"""),3.0)</f>
        <v>3</v>
      </c>
      <c r="AD1548">
        <f>IFERROR(__xludf.DUMMYFUNCTION("""COMPUTED_VALUE"""),0.0)</f>
        <v>0</v>
      </c>
      <c r="AE1548">
        <f>IFERROR(__xludf.DUMMYFUNCTION("""COMPUTED_VALUE"""),0.0)</f>
        <v>0</v>
      </c>
      <c r="AH1548" s="189">
        <f>IFERROR(__xludf.DUMMYFUNCTION("""COMPUTED_VALUE"""),43476.43057246528)</f>
        <v>43476.43057</v>
      </c>
    </row>
    <row r="1549">
      <c r="A1549" t="str">
        <f>IFERROR(__xludf.DUMMYFUNCTION("""COMPUTED_VALUE"""),"pwbishop")</f>
        <v>pwbishop</v>
      </c>
      <c r="B1549" t="str">
        <f>IFERROR(__xludf.DUMMYFUNCTION("""COMPUTED_VALUE"""),"Santa Barbara")</f>
        <v>Santa Barbara</v>
      </c>
      <c r="C1549" t="str">
        <f>IFERROR(__xludf.DUMMYFUNCTION("""COMPUTED_VALUE"""),"CA")</f>
        <v>CA</v>
      </c>
      <c r="D1549" t="str">
        <f>IFERROR(__xludf.DUMMYFUNCTION("""COMPUTED_VALUE"""),"USA")</f>
        <v>USA</v>
      </c>
      <c r="E1549" s="188">
        <f>IFERROR(__xludf.DUMMYFUNCTION("""COMPUTED_VALUE"""),43422.0)</f>
        <v>43422</v>
      </c>
      <c r="J1549" s="5">
        <f>IFERROR(__xludf.DUMMYFUNCTION("""COMPUTED_VALUE"""),43452.0)</f>
        <v>43452</v>
      </c>
      <c r="M1549">
        <f>IFERROR(__xludf.DUMMYFUNCTION("""COMPUTED_VALUE"""),30.0)</f>
        <v>30</v>
      </c>
      <c r="N1549" t="str">
        <f>IFERROR(__xludf.DUMMYFUNCTION("""COMPUTED_VALUE"""),"Model 3 MR")</f>
        <v>Model 3 MR</v>
      </c>
      <c r="O1549" t="str">
        <f>IFERROR(__xludf.DUMMYFUNCTION("""COMPUTED_VALUE"""),"Pearl White Multi-Coat")</f>
        <v>Pearl White Multi-Coat</v>
      </c>
      <c r="P1549" t="str">
        <f>IFERROR(__xludf.DUMMYFUNCTION("""COMPUTED_VALUE"""),"19 inch Sport")</f>
        <v>19 inch Sport</v>
      </c>
      <c r="Q1549" t="str">
        <f>IFERROR(__xludf.DUMMYFUNCTION("""COMPUTED_VALUE"""),"Black seats")</f>
        <v>Black seats</v>
      </c>
      <c r="R1549" t="str">
        <f>IFERROR(__xludf.DUMMYFUNCTION("""COMPUTED_VALUE"""),"Enhanced Autopilot")</f>
        <v>Enhanced Autopilot</v>
      </c>
      <c r="X1549" t="str">
        <f>IFERROR(__xludf.DUMMYFUNCTION("""COMPUTED_VALUE"""),"Good")</f>
        <v>Good</v>
      </c>
      <c r="Y1549" t="str">
        <f>IFERROR(__xludf.DUMMYFUNCTION("""COMPUTED_VALUE"""),"Very Good")</f>
        <v>Very Good</v>
      </c>
      <c r="Z1549" t="str">
        <f>IFERROR(__xludf.DUMMYFUNCTION("""COMPUTED_VALUE"""),"Very Good")</f>
        <v>Very Good</v>
      </c>
      <c r="AA1549" t="str">
        <f>IFERROR(__xludf.DUMMYFUNCTION("""COMPUTED_VALUE"""),"Fair")</f>
        <v>Fair</v>
      </c>
      <c r="AB1549" t="str">
        <f>IFERROR(__xludf.DUMMYFUNCTION("""COMPUTED_VALUE"""),"Good")</f>
        <v>Good</v>
      </c>
      <c r="AC1549">
        <f>IFERROR(__xludf.DUMMYFUNCTION("""COMPUTED_VALUE"""),0.0)</f>
        <v>0</v>
      </c>
      <c r="AD1549">
        <f>IFERROR(__xludf.DUMMYFUNCTION("""COMPUTED_VALUE"""),0.0)</f>
        <v>0</v>
      </c>
      <c r="AE1549">
        <f>IFERROR(__xludf.DUMMYFUNCTION("""COMPUTED_VALUE"""),0.0)</f>
        <v>0</v>
      </c>
      <c r="AG1549" t="str">
        <f>IFERROR(__xludf.DUMMYFUNCTION("""COMPUTED_VALUE"""),"Best purchase experience ever...")</f>
        <v>Best purchase experience ever...</v>
      </c>
      <c r="AH1549" s="189">
        <f>IFERROR(__xludf.DUMMYFUNCTION("""COMPUTED_VALUE"""),43479.47424405093)</f>
        <v>43479.47424</v>
      </c>
    </row>
    <row r="1550">
      <c r="A1550" t="str">
        <f>IFERROR(__xludf.DUMMYFUNCTION("""COMPUTED_VALUE"""),"jamsey")</f>
        <v>jamsey</v>
      </c>
      <c r="B1550" t="str">
        <f>IFERROR(__xludf.DUMMYFUNCTION("""COMPUTED_VALUE"""),"Plano")</f>
        <v>Plano</v>
      </c>
      <c r="C1550" t="str">
        <f>IFERROR(__xludf.DUMMYFUNCTION("""COMPUTED_VALUE"""),"TX")</f>
        <v>TX</v>
      </c>
      <c r="D1550" t="str">
        <f>IFERROR(__xludf.DUMMYFUNCTION("""COMPUTED_VALUE"""),"USA")</f>
        <v>USA</v>
      </c>
      <c r="E1550" s="188">
        <f>IFERROR(__xludf.DUMMYFUNCTION("""COMPUTED_VALUE"""),43406.0)</f>
        <v>43406</v>
      </c>
      <c r="F1550" s="188">
        <f>IFERROR(__xludf.DUMMYFUNCTION("""COMPUTED_VALUE"""),43431.0)</f>
        <v>43431</v>
      </c>
      <c r="H1550">
        <f>IFERROR(__xludf.DUMMYFUNCTION("""COMPUTED_VALUE"""),80855.0)</f>
        <v>80855</v>
      </c>
      <c r="I1550" t="str">
        <f>IFERROR(__xludf.DUMMYFUNCTION("""COMPUTED_VALUE"""),"11/18")</f>
        <v>11/18</v>
      </c>
      <c r="J1550" s="5">
        <f>IFERROR(__xludf.DUMMYFUNCTION("""COMPUTED_VALUE"""),43440.0)</f>
        <v>43440</v>
      </c>
      <c r="K1550">
        <f>IFERROR(__xludf.DUMMYFUNCTION("""COMPUTED_VALUE"""),25.0)</f>
        <v>25</v>
      </c>
      <c r="L1550">
        <f>IFERROR(__xludf.DUMMYFUNCTION("""COMPUTED_VALUE"""),9.0)</f>
        <v>9</v>
      </c>
      <c r="M1550">
        <f>IFERROR(__xludf.DUMMYFUNCTION("""COMPUTED_VALUE"""),34.0)</f>
        <v>34</v>
      </c>
      <c r="N1550" t="str">
        <f>IFERROR(__xludf.DUMMYFUNCTION("""COMPUTED_VALUE"""),"Model 3 Performance")</f>
        <v>Model 3 Performance</v>
      </c>
      <c r="O1550" t="str">
        <f>IFERROR(__xludf.DUMMYFUNCTION("""COMPUTED_VALUE"""),"Deep Blue Metallic")</f>
        <v>Deep Blue Metallic</v>
      </c>
      <c r="P1550" t="str">
        <f>IFERROR(__xludf.DUMMYFUNCTION("""COMPUTED_VALUE"""),"20 inch Sport")</f>
        <v>20 inch Sport</v>
      </c>
      <c r="Q1550" t="str">
        <f>IFERROR(__xludf.DUMMYFUNCTION("""COMPUTED_VALUE"""),"White seats")</f>
        <v>White seats</v>
      </c>
      <c r="R1550" t="str">
        <f>IFERROR(__xludf.DUMMYFUNCTION("""COMPUTED_VALUE"""),"Enhanced Autopilot")</f>
        <v>Enhanced Autopilot</v>
      </c>
      <c r="X1550" t="str">
        <f>IFERROR(__xludf.DUMMYFUNCTION("""COMPUTED_VALUE"""),"Fair")</f>
        <v>Fair</v>
      </c>
      <c r="Y1550" t="str">
        <f>IFERROR(__xludf.DUMMYFUNCTION("""COMPUTED_VALUE"""),"Excellent")</f>
        <v>Excellent</v>
      </c>
      <c r="Z1550" t="str">
        <f>IFERROR(__xludf.DUMMYFUNCTION("""COMPUTED_VALUE"""),"Very Good")</f>
        <v>Very Good</v>
      </c>
      <c r="AA1550" t="str">
        <f>IFERROR(__xludf.DUMMYFUNCTION("""COMPUTED_VALUE"""),"Fair")</f>
        <v>Fair</v>
      </c>
      <c r="AB1550" t="str">
        <f>IFERROR(__xludf.DUMMYFUNCTION("""COMPUTED_VALUE"""),"Good")</f>
        <v>Good</v>
      </c>
      <c r="AC1550">
        <f>IFERROR(__xludf.DUMMYFUNCTION("""COMPUTED_VALUE"""),2.0)</f>
        <v>2</v>
      </c>
      <c r="AD1550">
        <f>IFERROR(__xludf.DUMMYFUNCTION("""COMPUTED_VALUE"""),1.0)</f>
        <v>1</v>
      </c>
      <c r="AE1550">
        <f>IFERROR(__xludf.DUMMYFUNCTION("""COMPUTED_VALUE"""),0.0)</f>
        <v>0</v>
      </c>
      <c r="AH1550" s="189">
        <f>IFERROR(__xludf.DUMMYFUNCTION("""COMPUTED_VALUE"""),43480.64377439815)</f>
        <v>43480.64377</v>
      </c>
    </row>
    <row r="1551">
      <c r="A1551" t="str">
        <f>IFERROR(__xludf.DUMMYFUNCTION("""COMPUTED_VALUE"""),"TallyGator")</f>
        <v>TallyGator</v>
      </c>
      <c r="B1551" t="str">
        <f>IFERROR(__xludf.DUMMYFUNCTION("""COMPUTED_VALUE"""),"Big Bend")</f>
        <v>Big Bend</v>
      </c>
      <c r="C1551" t="str">
        <f>IFERROR(__xludf.DUMMYFUNCTION("""COMPUTED_VALUE"""),"FL")</f>
        <v>FL</v>
      </c>
      <c r="D1551" t="str">
        <f>IFERROR(__xludf.DUMMYFUNCTION("""COMPUTED_VALUE"""),"USA")</f>
        <v>USA</v>
      </c>
      <c r="E1551" s="188">
        <f>IFERROR(__xludf.DUMMYFUNCTION("""COMPUTED_VALUE"""),43398.0)</f>
        <v>43398</v>
      </c>
      <c r="F1551" s="188">
        <f>IFERROR(__xludf.DUMMYFUNCTION("""COMPUTED_VALUE"""),43445.0)</f>
        <v>43445</v>
      </c>
      <c r="H1551">
        <f>IFERROR(__xludf.DUMMYFUNCTION("""COMPUTED_VALUE"""),98755.0)</f>
        <v>98755</v>
      </c>
      <c r="I1551" t="str">
        <f>IFERROR(__xludf.DUMMYFUNCTION("""COMPUTED_VALUE"""),"11/18")</f>
        <v>11/18</v>
      </c>
      <c r="J1551" s="5">
        <f>IFERROR(__xludf.DUMMYFUNCTION("""COMPUTED_VALUE"""),43449.0)</f>
        <v>43449</v>
      </c>
      <c r="K1551">
        <f>IFERROR(__xludf.DUMMYFUNCTION("""COMPUTED_VALUE"""),47.0)</f>
        <v>47</v>
      </c>
      <c r="L1551">
        <f>IFERROR(__xludf.DUMMYFUNCTION("""COMPUTED_VALUE"""),4.0)</f>
        <v>4</v>
      </c>
      <c r="M1551">
        <f>IFERROR(__xludf.DUMMYFUNCTION("""COMPUTED_VALUE"""),51.0)</f>
        <v>51</v>
      </c>
      <c r="N1551" t="str">
        <f>IFERROR(__xludf.DUMMYFUNCTION("""COMPUTED_VALUE"""),"Model 3 LR")</f>
        <v>Model 3 LR</v>
      </c>
      <c r="O1551" t="str">
        <f>IFERROR(__xludf.DUMMYFUNCTION("""COMPUTED_VALUE"""),"Pearl White Multi-Coat")</f>
        <v>Pearl White Multi-Coat</v>
      </c>
      <c r="P1551" t="str">
        <f>IFERROR(__xludf.DUMMYFUNCTION("""COMPUTED_VALUE"""),"18 inch Aero")</f>
        <v>18 inch Aero</v>
      </c>
      <c r="Q1551" t="str">
        <f>IFERROR(__xludf.DUMMYFUNCTION("""COMPUTED_VALUE"""),"Black seats")</f>
        <v>Black seats</v>
      </c>
      <c r="R1551" t="str">
        <f>IFERROR(__xludf.DUMMYFUNCTION("""COMPUTED_VALUE"""),"Enhanced Autopilot")</f>
        <v>Enhanced Autopilot</v>
      </c>
      <c r="X1551" t="str">
        <f>IFERROR(__xludf.DUMMYFUNCTION("""COMPUTED_VALUE"""),"Very Good")</f>
        <v>Very Good</v>
      </c>
      <c r="Y1551" t="str">
        <f>IFERROR(__xludf.DUMMYFUNCTION("""COMPUTED_VALUE"""),"Excellent")</f>
        <v>Excellent</v>
      </c>
      <c r="Z1551" t="str">
        <f>IFERROR(__xludf.DUMMYFUNCTION("""COMPUTED_VALUE"""),"Very Good")</f>
        <v>Very Good</v>
      </c>
      <c r="AA1551" t="str">
        <f>IFERROR(__xludf.DUMMYFUNCTION("""COMPUTED_VALUE"""),"Fair")</f>
        <v>Fair</v>
      </c>
      <c r="AB1551" t="str">
        <f>IFERROR(__xludf.DUMMYFUNCTION("""COMPUTED_VALUE"""),"Excellent")</f>
        <v>Excellent</v>
      </c>
      <c r="AC1551">
        <f>IFERROR(__xludf.DUMMYFUNCTION("""COMPUTED_VALUE"""),0.0)</f>
        <v>0</v>
      </c>
      <c r="AD1551">
        <f>IFERROR(__xludf.DUMMYFUNCTION("""COMPUTED_VALUE"""),0.0)</f>
        <v>0</v>
      </c>
      <c r="AE1551">
        <f>IFERROR(__xludf.DUMMYFUNCTION("""COMPUTED_VALUE"""),0.0)</f>
        <v>0</v>
      </c>
      <c r="AG1551" t="str">
        <f>IFERROR(__xludf.DUMMYFUNCTION("""COMPUTED_VALUE"""),"Change Request MR-&gt;LR Never Processed. MR VIN assigned. DA Located White LR.")</f>
        <v>Change Request MR-&gt;LR Never Processed. MR VIN assigned. DA Located White LR.</v>
      </c>
      <c r="AH1551" s="189">
        <f>IFERROR(__xludf.DUMMYFUNCTION("""COMPUTED_VALUE"""),43481.352762870374)</f>
        <v>43481.35276</v>
      </c>
    </row>
    <row r="1552">
      <c r="A1552" t="str">
        <f>IFERROR(__xludf.DUMMYFUNCTION("""COMPUTED_VALUE"""),"solar")</f>
        <v>solar</v>
      </c>
      <c r="B1552" t="str">
        <f>IFERROR(__xludf.DUMMYFUNCTION("""COMPUTED_VALUE"""),"Portage")</f>
        <v>Portage</v>
      </c>
      <c r="C1552" t="str">
        <f>IFERROR(__xludf.DUMMYFUNCTION("""COMPUTED_VALUE"""),"MI")</f>
        <v>MI</v>
      </c>
      <c r="D1552" t="str">
        <f>IFERROR(__xludf.DUMMYFUNCTION("""COMPUTED_VALUE"""),"USA")</f>
        <v>USA</v>
      </c>
      <c r="E1552" s="188">
        <f>IFERROR(__xludf.DUMMYFUNCTION("""COMPUTED_VALUE"""),43360.0)</f>
        <v>43360</v>
      </c>
      <c r="F1552" s="188">
        <f>IFERROR(__xludf.DUMMYFUNCTION("""COMPUTED_VALUE"""),43402.0)</f>
        <v>43402</v>
      </c>
      <c r="H1552">
        <f>IFERROR(__xludf.DUMMYFUNCTION("""COMPUTED_VALUE"""),81415.0)</f>
        <v>81415</v>
      </c>
      <c r="I1552" t="str">
        <f>IFERROR(__xludf.DUMMYFUNCTION("""COMPUTED_VALUE"""),"10/18")</f>
        <v>10/18</v>
      </c>
      <c r="J1552" s="5">
        <f>IFERROR(__xludf.DUMMYFUNCTION("""COMPUTED_VALUE"""),43418.0)</f>
        <v>43418</v>
      </c>
      <c r="K1552">
        <f>IFERROR(__xludf.DUMMYFUNCTION("""COMPUTED_VALUE"""),42.0)</f>
        <v>42</v>
      </c>
      <c r="L1552">
        <f>IFERROR(__xludf.DUMMYFUNCTION("""COMPUTED_VALUE"""),16.0)</f>
        <v>16</v>
      </c>
      <c r="M1552">
        <f>IFERROR(__xludf.DUMMYFUNCTION("""COMPUTED_VALUE"""),58.0)</f>
        <v>58</v>
      </c>
      <c r="N1552" t="str">
        <f>IFERROR(__xludf.DUMMYFUNCTION("""COMPUTED_VALUE"""),"Model 3 Performance")</f>
        <v>Model 3 Performance</v>
      </c>
      <c r="O1552" t="str">
        <f>IFERROR(__xludf.DUMMYFUNCTION("""COMPUTED_VALUE"""),"Pearl White Multi-Coat")</f>
        <v>Pearl White Multi-Coat</v>
      </c>
      <c r="P1552" t="str">
        <f>IFERROR(__xludf.DUMMYFUNCTION("""COMPUTED_VALUE"""),"20 inch Sport")</f>
        <v>20 inch Sport</v>
      </c>
      <c r="Q1552" t="str">
        <f>IFERROR(__xludf.DUMMYFUNCTION("""COMPUTED_VALUE"""),"White seats")</f>
        <v>White seats</v>
      </c>
      <c r="R1552" t="str">
        <f>IFERROR(__xludf.DUMMYFUNCTION("""COMPUTED_VALUE"""),"Enhanced Autopilot")</f>
        <v>Enhanced Autopilot</v>
      </c>
      <c r="X1552" t="str">
        <f>IFERROR(__xludf.DUMMYFUNCTION("""COMPUTED_VALUE"""),"Very Good")</f>
        <v>Very Good</v>
      </c>
      <c r="Y1552" t="str">
        <f>IFERROR(__xludf.DUMMYFUNCTION("""COMPUTED_VALUE"""),"Poor")</f>
        <v>Poor</v>
      </c>
      <c r="Z1552" t="str">
        <f>IFERROR(__xludf.DUMMYFUNCTION("""COMPUTED_VALUE"""),"Very Good")</f>
        <v>Very Good</v>
      </c>
      <c r="AA1552" t="str">
        <f>IFERROR(__xludf.DUMMYFUNCTION("""COMPUTED_VALUE"""),"Very Good")</f>
        <v>Very Good</v>
      </c>
      <c r="AB1552" t="str">
        <f>IFERROR(__xludf.DUMMYFUNCTION("""COMPUTED_VALUE"""),"Fair")</f>
        <v>Fair</v>
      </c>
      <c r="AC1552">
        <f>IFERROR(__xludf.DUMMYFUNCTION("""COMPUTED_VALUE"""),6.0)</f>
        <v>6</v>
      </c>
      <c r="AD1552">
        <f>IFERROR(__xludf.DUMMYFUNCTION("""COMPUTED_VALUE"""),0.0)</f>
        <v>0</v>
      </c>
      <c r="AE1552">
        <f>IFERROR(__xludf.DUMMYFUNCTION("""COMPUTED_VALUE"""),0.0)</f>
        <v>0</v>
      </c>
      <c r="AH1552" s="189">
        <f>IFERROR(__xludf.DUMMYFUNCTION("""COMPUTED_VALUE"""),43481.45318377315)</f>
        <v>43481.45318</v>
      </c>
    </row>
    <row r="1553">
      <c r="A1553" t="str">
        <f>IFERROR(__xludf.DUMMYFUNCTION("""COMPUTED_VALUE"""),"jralyn34")</f>
        <v>jralyn34</v>
      </c>
      <c r="B1553" t="str">
        <f>IFERROR(__xludf.DUMMYFUNCTION("""COMPUTED_VALUE"""),"Madison")</f>
        <v>Madison</v>
      </c>
      <c r="C1553" t="str">
        <f>IFERROR(__xludf.DUMMYFUNCTION("""COMPUTED_VALUE"""),"WI")</f>
        <v>WI</v>
      </c>
      <c r="D1553" t="str">
        <f>IFERROR(__xludf.DUMMYFUNCTION("""COMPUTED_VALUE"""),"USA")</f>
        <v>USA</v>
      </c>
      <c r="E1553" s="188">
        <f>IFERROR(__xludf.DUMMYFUNCTION("""COMPUTED_VALUE"""),43278.0)</f>
        <v>43278</v>
      </c>
      <c r="F1553" s="188">
        <f>IFERROR(__xludf.DUMMYFUNCTION("""COMPUTED_VALUE"""),43350.0)</f>
        <v>43350</v>
      </c>
      <c r="H1553">
        <f>IFERROR(__xludf.DUMMYFUNCTION("""COMPUTED_VALUE"""),99990.0)</f>
        <v>99990</v>
      </c>
      <c r="I1553" t="str">
        <f>IFERROR(__xludf.DUMMYFUNCTION("""COMPUTED_VALUE"""),"07/18")</f>
        <v>07/18</v>
      </c>
      <c r="J1553" s="5">
        <f>IFERROR(__xludf.DUMMYFUNCTION("""COMPUTED_VALUE"""),43358.0)</f>
        <v>43358</v>
      </c>
      <c r="K1553">
        <f>IFERROR(__xludf.DUMMYFUNCTION("""COMPUTED_VALUE"""),72.0)</f>
        <v>72</v>
      </c>
      <c r="L1553">
        <f>IFERROR(__xludf.DUMMYFUNCTION("""COMPUTED_VALUE"""),8.0)</f>
        <v>8</v>
      </c>
      <c r="M1553">
        <f>IFERROR(__xludf.DUMMYFUNCTION("""COMPUTED_VALUE"""),80.0)</f>
        <v>80</v>
      </c>
      <c r="N1553" t="str">
        <f>IFERROR(__xludf.DUMMYFUNCTION("""COMPUTED_VALUE"""),"Model 3 LR AWD")</f>
        <v>Model 3 LR AWD</v>
      </c>
      <c r="O1553" t="str">
        <f>IFERROR(__xludf.DUMMYFUNCTION("""COMPUTED_VALUE"""),"Pearl White Multi-Coat")</f>
        <v>Pearl White Multi-Coat</v>
      </c>
      <c r="P1553" t="str">
        <f>IFERROR(__xludf.DUMMYFUNCTION("""COMPUTED_VALUE"""),"18 inch Aero")</f>
        <v>18 inch Aero</v>
      </c>
      <c r="Q1553" t="str">
        <f>IFERROR(__xludf.DUMMYFUNCTION("""COMPUTED_VALUE"""),"White seats")</f>
        <v>White seats</v>
      </c>
      <c r="R1553" t="str">
        <f>IFERROR(__xludf.DUMMYFUNCTION("""COMPUTED_VALUE"""),"None")</f>
        <v>None</v>
      </c>
      <c r="X1553" t="str">
        <f>IFERROR(__xludf.DUMMYFUNCTION("""COMPUTED_VALUE"""),"Very Good")</f>
        <v>Very Good</v>
      </c>
      <c r="Y1553" t="str">
        <f>IFERROR(__xludf.DUMMYFUNCTION("""COMPUTED_VALUE"""),"Very Good")</f>
        <v>Very Good</v>
      </c>
      <c r="Z1553" t="str">
        <f>IFERROR(__xludf.DUMMYFUNCTION("""COMPUTED_VALUE"""),"Very Good")</f>
        <v>Very Good</v>
      </c>
      <c r="AA1553" t="str">
        <f>IFERROR(__xludf.DUMMYFUNCTION("""COMPUTED_VALUE"""),"Good")</f>
        <v>Good</v>
      </c>
      <c r="AB1553" t="str">
        <f>IFERROR(__xludf.DUMMYFUNCTION("""COMPUTED_VALUE"""),"Fair")</f>
        <v>Fair</v>
      </c>
      <c r="AC1553">
        <f>IFERROR(__xludf.DUMMYFUNCTION("""COMPUTED_VALUE"""),2.0)</f>
        <v>2</v>
      </c>
      <c r="AD1553">
        <f>IFERROR(__xludf.DUMMYFUNCTION("""COMPUTED_VALUE"""),2.0)</f>
        <v>2</v>
      </c>
      <c r="AE1553">
        <f>IFERROR(__xludf.DUMMYFUNCTION("""COMPUTED_VALUE"""),2.0)</f>
        <v>2</v>
      </c>
      <c r="AG1553" t="str">
        <f>IFERROR(__xludf.DUMMYFUNCTION("""COMPUTED_VALUE"""),"They replaced a tail light that had condensation build up. They also replaced the back seat due to some extensive wrinkles at a seam. ")</f>
        <v>They replaced a tail light that had condensation build up. They also replaced the back seat due to some extensive wrinkles at a seam. </v>
      </c>
      <c r="AH1553" s="189">
        <f>IFERROR(__xludf.DUMMYFUNCTION("""COMPUTED_VALUE"""),43483.43774173611)</f>
        <v>43483.43774</v>
      </c>
    </row>
    <row r="1554">
      <c r="A1554" t="str">
        <f>IFERROR(__xludf.DUMMYFUNCTION("""COMPUTED_VALUE"""),"AgileMIke")</f>
        <v>AgileMIke</v>
      </c>
      <c r="B1554" t="str">
        <f>IFERROR(__xludf.DUMMYFUNCTION("""COMPUTED_VALUE"""),"Fruitland")</f>
        <v>Fruitland</v>
      </c>
      <c r="C1554" t="str">
        <f>IFERROR(__xludf.DUMMYFUNCTION("""COMPUTED_VALUE"""),"ID")</f>
        <v>ID</v>
      </c>
      <c r="D1554" t="str">
        <f>IFERROR(__xludf.DUMMYFUNCTION("""COMPUTED_VALUE"""),"USA")</f>
        <v>USA</v>
      </c>
      <c r="E1554" s="188">
        <f>IFERROR(__xludf.DUMMYFUNCTION("""COMPUTED_VALUE"""),43478.0)</f>
        <v>43478</v>
      </c>
      <c r="F1554" s="188">
        <f>IFERROR(__xludf.DUMMYFUNCTION("""COMPUTED_VALUE"""),43480.0)</f>
        <v>43480</v>
      </c>
      <c r="H1554">
        <f>IFERROR(__xludf.DUMMYFUNCTION("""COMPUTED_VALUE"""),85475.0)</f>
        <v>85475</v>
      </c>
      <c r="I1554" t="str">
        <f>IFERROR(__xludf.DUMMYFUNCTION("""COMPUTED_VALUE"""),"10/18")</f>
        <v>10/18</v>
      </c>
      <c r="J1554" s="5">
        <f>IFERROR(__xludf.DUMMYFUNCTION("""COMPUTED_VALUE"""),43482.0)</f>
        <v>43482</v>
      </c>
      <c r="K1554">
        <f>IFERROR(__xludf.DUMMYFUNCTION("""COMPUTED_VALUE"""),2.0)</f>
        <v>2</v>
      </c>
      <c r="L1554">
        <f>IFERROR(__xludf.DUMMYFUNCTION("""COMPUTED_VALUE"""),2.0)</f>
        <v>2</v>
      </c>
      <c r="M1554">
        <f>IFERROR(__xludf.DUMMYFUNCTION("""COMPUTED_VALUE"""),4.0)</f>
        <v>4</v>
      </c>
      <c r="N1554" t="str">
        <f>IFERROR(__xludf.DUMMYFUNCTION("""COMPUTED_VALUE"""),"Model 3 LR AWD")</f>
        <v>Model 3 LR AWD</v>
      </c>
      <c r="O1554" t="str">
        <f>IFERROR(__xludf.DUMMYFUNCTION("""COMPUTED_VALUE"""),"Midnight Silver Metallic")</f>
        <v>Midnight Silver Metallic</v>
      </c>
      <c r="P1554" t="str">
        <f>IFERROR(__xludf.DUMMYFUNCTION("""COMPUTED_VALUE"""),"18 inch Aero")</f>
        <v>18 inch Aero</v>
      </c>
      <c r="Q1554" t="str">
        <f>IFERROR(__xludf.DUMMYFUNCTION("""COMPUTED_VALUE"""),"White seats")</f>
        <v>White seats</v>
      </c>
      <c r="R1554" t="str">
        <f>IFERROR(__xludf.DUMMYFUNCTION("""COMPUTED_VALUE"""),"Full Self-Driving")</f>
        <v>Full Self-Driving</v>
      </c>
      <c r="X1554" t="str">
        <f>IFERROR(__xludf.DUMMYFUNCTION("""COMPUTED_VALUE"""),"Excellent")</f>
        <v>Excellent</v>
      </c>
      <c r="Y1554" t="str">
        <f>IFERROR(__xludf.DUMMYFUNCTION("""COMPUTED_VALUE"""),"Excellent")</f>
        <v>Excellent</v>
      </c>
      <c r="Z1554" t="str">
        <f>IFERROR(__xludf.DUMMYFUNCTION("""COMPUTED_VALUE"""),"Excellent")</f>
        <v>Excellent</v>
      </c>
      <c r="AA1554" t="str">
        <f>IFERROR(__xludf.DUMMYFUNCTION("""COMPUTED_VALUE"""),"Excellent")</f>
        <v>Excellent</v>
      </c>
      <c r="AB1554" t="str">
        <f>IFERROR(__xludf.DUMMYFUNCTION("""COMPUTED_VALUE"""),"Excellent")</f>
        <v>Excellent</v>
      </c>
      <c r="AG1554" t="str">
        <f>IFERROR(__xludf.DUMMYFUNCTION("""COMPUTED_VALUE"""),"Only 2 days from config to VIN!!")</f>
        <v>Only 2 days from config to VIN!!</v>
      </c>
      <c r="AH1554" s="189">
        <f>IFERROR(__xludf.DUMMYFUNCTION("""COMPUTED_VALUE"""),43483.84379302083)</f>
        <v>43483.84379</v>
      </c>
    </row>
    <row r="1555">
      <c r="A1555" t="str">
        <f>IFERROR(__xludf.DUMMYFUNCTION("""COMPUTED_VALUE"""),"kerbs17")</f>
        <v>kerbs17</v>
      </c>
      <c r="B1555" t="str">
        <f>IFERROR(__xludf.DUMMYFUNCTION("""COMPUTED_VALUE"""),"Portland")</f>
        <v>Portland</v>
      </c>
      <c r="C1555" t="str">
        <f>IFERROR(__xludf.DUMMYFUNCTION("""COMPUTED_VALUE"""),"OR")</f>
        <v>OR</v>
      </c>
      <c r="D1555" t="str">
        <f>IFERROR(__xludf.DUMMYFUNCTION("""COMPUTED_VALUE"""),"USA")</f>
        <v>USA</v>
      </c>
      <c r="E1555" s="188">
        <f>IFERROR(__xludf.DUMMYFUNCTION("""COMPUTED_VALUE"""),43392.0)</f>
        <v>43392</v>
      </c>
      <c r="F1555" s="188">
        <f>IFERROR(__xludf.DUMMYFUNCTION("""COMPUTED_VALUE"""),43452.0)</f>
        <v>43452</v>
      </c>
      <c r="H1555">
        <f>IFERROR(__xludf.DUMMYFUNCTION("""COMPUTED_VALUE"""),158155.0)</f>
        <v>158155</v>
      </c>
      <c r="I1555" t="str">
        <f>IFERROR(__xludf.DUMMYFUNCTION("""COMPUTED_VALUE"""),"12/18")</f>
        <v>12/18</v>
      </c>
      <c r="J1555" s="5">
        <f>IFERROR(__xludf.DUMMYFUNCTION("""COMPUTED_VALUE"""),43456.0)</f>
        <v>43456</v>
      </c>
      <c r="K1555">
        <f>IFERROR(__xludf.DUMMYFUNCTION("""COMPUTED_VALUE"""),60.0)</f>
        <v>60</v>
      </c>
      <c r="L1555">
        <f>IFERROR(__xludf.DUMMYFUNCTION("""COMPUTED_VALUE"""),4.0)</f>
        <v>4</v>
      </c>
      <c r="M1555">
        <f>IFERROR(__xludf.DUMMYFUNCTION("""COMPUTED_VALUE"""),64.0)</f>
        <v>64</v>
      </c>
      <c r="N1555" t="str">
        <f>IFERROR(__xludf.DUMMYFUNCTION("""COMPUTED_VALUE"""),"Model 3 MR")</f>
        <v>Model 3 MR</v>
      </c>
      <c r="O1555" t="str">
        <f>IFERROR(__xludf.DUMMYFUNCTION("""COMPUTED_VALUE"""),"Midnight Silver Metallic")</f>
        <v>Midnight Silver Metallic</v>
      </c>
      <c r="P1555" t="str">
        <f>IFERROR(__xludf.DUMMYFUNCTION("""COMPUTED_VALUE"""),"18 inch Aero")</f>
        <v>18 inch Aero</v>
      </c>
      <c r="Q1555" t="str">
        <f>IFERROR(__xludf.DUMMYFUNCTION("""COMPUTED_VALUE"""),"Black seats")</f>
        <v>Black seats</v>
      </c>
      <c r="R1555" t="str">
        <f>IFERROR(__xludf.DUMMYFUNCTION("""COMPUTED_VALUE"""),"Enhanced Autopilot")</f>
        <v>Enhanced Autopilot</v>
      </c>
      <c r="X1555" t="str">
        <f>IFERROR(__xludf.DUMMYFUNCTION("""COMPUTED_VALUE"""),"Excellent")</f>
        <v>Excellent</v>
      </c>
      <c r="Y1555" t="str">
        <f>IFERROR(__xludf.DUMMYFUNCTION("""COMPUTED_VALUE"""),"Excellent")</f>
        <v>Excellent</v>
      </c>
      <c r="Z1555" t="str">
        <f>IFERROR(__xludf.DUMMYFUNCTION("""COMPUTED_VALUE"""),"Excellent")</f>
        <v>Excellent</v>
      </c>
      <c r="AA1555" t="str">
        <f>IFERROR(__xludf.DUMMYFUNCTION("""COMPUTED_VALUE"""),"Good")</f>
        <v>Good</v>
      </c>
      <c r="AB1555" t="str">
        <f>IFERROR(__xludf.DUMMYFUNCTION("""COMPUTED_VALUE"""),"Very Good")</f>
        <v>Very Good</v>
      </c>
      <c r="AC1555">
        <f>IFERROR(__xludf.DUMMYFUNCTION("""COMPUTED_VALUE"""),0.0)</f>
        <v>0</v>
      </c>
      <c r="AD1555">
        <f>IFERROR(__xludf.DUMMYFUNCTION("""COMPUTED_VALUE"""),0.0)</f>
        <v>0</v>
      </c>
      <c r="AE1555">
        <f>IFERROR(__xludf.DUMMYFUNCTION("""COMPUTED_VALUE"""),0.0)</f>
        <v>0</v>
      </c>
      <c r="AH1555" s="189">
        <f>IFERROR(__xludf.DUMMYFUNCTION("""COMPUTED_VALUE"""),43487.93952846064)</f>
        <v>43487.93953</v>
      </c>
    </row>
    <row r="1556">
      <c r="A1556" t="str">
        <f>IFERROR(__xludf.DUMMYFUNCTION("""COMPUTED_VALUE"""),"Anteros311")</f>
        <v>Anteros311</v>
      </c>
      <c r="B1556" t="str">
        <f>IFERROR(__xludf.DUMMYFUNCTION("""COMPUTED_VALUE"""),"San Diego")</f>
        <v>San Diego</v>
      </c>
      <c r="C1556" t="str">
        <f>IFERROR(__xludf.DUMMYFUNCTION("""COMPUTED_VALUE"""),"CA")</f>
        <v>CA</v>
      </c>
      <c r="D1556" t="str">
        <f>IFERROR(__xludf.DUMMYFUNCTION("""COMPUTED_VALUE"""),"USA")</f>
        <v>USA</v>
      </c>
      <c r="E1556" s="188">
        <f>IFERROR(__xludf.DUMMYFUNCTION("""COMPUTED_VALUE"""),43385.0)</f>
        <v>43385</v>
      </c>
      <c r="F1556" s="188">
        <f>IFERROR(__xludf.DUMMYFUNCTION("""COMPUTED_VALUE"""),43444.0)</f>
        <v>43444</v>
      </c>
      <c r="H1556">
        <f>IFERROR(__xludf.DUMMYFUNCTION("""COMPUTED_VALUE"""),81000.0)</f>
        <v>81000</v>
      </c>
      <c r="J1556" s="5">
        <f>IFERROR(__xludf.DUMMYFUNCTION("""COMPUTED_VALUE"""),43447.0)</f>
        <v>43447</v>
      </c>
      <c r="K1556">
        <f>IFERROR(__xludf.DUMMYFUNCTION("""COMPUTED_VALUE"""),59.0)</f>
        <v>59</v>
      </c>
      <c r="L1556">
        <f>IFERROR(__xludf.DUMMYFUNCTION("""COMPUTED_VALUE"""),3.0)</f>
        <v>3</v>
      </c>
      <c r="M1556">
        <f>IFERROR(__xludf.DUMMYFUNCTION("""COMPUTED_VALUE"""),62.0)</f>
        <v>62</v>
      </c>
      <c r="N1556" t="str">
        <f>IFERROR(__xludf.DUMMYFUNCTION("""COMPUTED_VALUE"""),"Model 3 Performance")</f>
        <v>Model 3 Performance</v>
      </c>
      <c r="O1556" t="str">
        <f>IFERROR(__xludf.DUMMYFUNCTION("""COMPUTED_VALUE"""),"Deep Blue Metallic")</f>
        <v>Deep Blue Metallic</v>
      </c>
      <c r="P1556" t="str">
        <f>IFERROR(__xludf.DUMMYFUNCTION("""COMPUTED_VALUE"""),"20 inch Sport")</f>
        <v>20 inch Sport</v>
      </c>
      <c r="Q1556" t="str">
        <f>IFERROR(__xludf.DUMMYFUNCTION("""COMPUTED_VALUE"""),"White seats")</f>
        <v>White seats</v>
      </c>
      <c r="R1556" t="str">
        <f>IFERROR(__xludf.DUMMYFUNCTION("""COMPUTED_VALUE"""),"Enhanced Autopilot")</f>
        <v>Enhanced Autopilot</v>
      </c>
      <c r="X1556" t="str">
        <f>IFERROR(__xludf.DUMMYFUNCTION("""COMPUTED_VALUE"""),"Excellent")</f>
        <v>Excellent</v>
      </c>
      <c r="Y1556" t="str">
        <f>IFERROR(__xludf.DUMMYFUNCTION("""COMPUTED_VALUE"""),"Excellent")</f>
        <v>Excellent</v>
      </c>
      <c r="Z1556" t="str">
        <f>IFERROR(__xludf.DUMMYFUNCTION("""COMPUTED_VALUE"""),"Good")</f>
        <v>Good</v>
      </c>
      <c r="AA1556" t="str">
        <f>IFERROR(__xludf.DUMMYFUNCTION("""COMPUTED_VALUE"""),"Poor")</f>
        <v>Poor</v>
      </c>
      <c r="AB1556" t="str">
        <f>IFERROR(__xludf.DUMMYFUNCTION("""COMPUTED_VALUE"""),"Excellent")</f>
        <v>Excellent</v>
      </c>
      <c r="AC1556">
        <f>IFERROR(__xludf.DUMMYFUNCTION("""COMPUTED_VALUE"""),2.0)</f>
        <v>2</v>
      </c>
      <c r="AD1556">
        <f>IFERROR(__xludf.DUMMYFUNCTION("""COMPUTED_VALUE"""),0.0)</f>
        <v>0</v>
      </c>
      <c r="AE1556">
        <f>IFERROR(__xludf.DUMMYFUNCTION("""COMPUTED_VALUE"""),0.0)</f>
        <v>0</v>
      </c>
      <c r="AH1556" s="189">
        <f>IFERROR(__xludf.DUMMYFUNCTION("""COMPUTED_VALUE"""),43488.45514535879)</f>
        <v>43488.45515</v>
      </c>
    </row>
    <row r="1557">
      <c r="A1557" t="str">
        <f>IFERROR(__xludf.DUMMYFUNCTION("""COMPUTED_VALUE"""),"cafutter")</f>
        <v>cafutter</v>
      </c>
      <c r="B1557" t="str">
        <f>IFERROR(__xludf.DUMMYFUNCTION("""COMPUTED_VALUE"""),"Bethesda")</f>
        <v>Bethesda</v>
      </c>
      <c r="C1557" t="str">
        <f>IFERROR(__xludf.DUMMYFUNCTION("""COMPUTED_VALUE"""),"MD")</f>
        <v>MD</v>
      </c>
      <c r="D1557" t="str">
        <f>IFERROR(__xludf.DUMMYFUNCTION("""COMPUTED_VALUE"""),"USA")</f>
        <v>USA</v>
      </c>
      <c r="E1557" s="188">
        <f>IFERROR(__xludf.DUMMYFUNCTION("""COMPUTED_VALUE"""),43279.0)</f>
        <v>43279</v>
      </c>
      <c r="F1557" s="188">
        <f>IFERROR(__xludf.DUMMYFUNCTION("""COMPUTED_VALUE"""),43358.0)</f>
        <v>43358</v>
      </c>
      <c r="H1557">
        <f>IFERROR(__xludf.DUMMYFUNCTION("""COMPUTED_VALUE"""),117143.0)</f>
        <v>117143</v>
      </c>
      <c r="I1557" t="str">
        <f>IFERROR(__xludf.DUMMYFUNCTION("""COMPUTED_VALUE"""),"08/18")</f>
        <v>08/18</v>
      </c>
      <c r="J1557" s="5">
        <f>IFERROR(__xludf.DUMMYFUNCTION("""COMPUTED_VALUE"""),43398.0)</f>
        <v>43398</v>
      </c>
      <c r="K1557">
        <f>IFERROR(__xludf.DUMMYFUNCTION("""COMPUTED_VALUE"""),79.0)</f>
        <v>79</v>
      </c>
      <c r="L1557">
        <f>IFERROR(__xludf.DUMMYFUNCTION("""COMPUTED_VALUE"""),40.0)</f>
        <v>40</v>
      </c>
      <c r="M1557">
        <f>IFERROR(__xludf.DUMMYFUNCTION("""COMPUTED_VALUE"""),119.0)</f>
        <v>119</v>
      </c>
      <c r="N1557" t="str">
        <f>IFERROR(__xludf.DUMMYFUNCTION("""COMPUTED_VALUE"""),"Model 3 LR AWD")</f>
        <v>Model 3 LR AWD</v>
      </c>
      <c r="O1557" t="str">
        <f>IFERROR(__xludf.DUMMYFUNCTION("""COMPUTED_VALUE"""),"Red Multi-Coat")</f>
        <v>Red Multi-Coat</v>
      </c>
      <c r="P1557" t="str">
        <f>IFERROR(__xludf.DUMMYFUNCTION("""COMPUTED_VALUE"""),"19 inch Sport")</f>
        <v>19 inch Sport</v>
      </c>
      <c r="Q1557" t="str">
        <f>IFERROR(__xludf.DUMMYFUNCTION("""COMPUTED_VALUE"""),"Black seats")</f>
        <v>Black seats</v>
      </c>
      <c r="R1557" t="str">
        <f>IFERROR(__xludf.DUMMYFUNCTION("""COMPUTED_VALUE"""),"Enhanced Autopilot")</f>
        <v>Enhanced Autopilot</v>
      </c>
      <c r="X1557" t="str">
        <f>IFERROR(__xludf.DUMMYFUNCTION("""COMPUTED_VALUE"""),"Excellent")</f>
        <v>Excellent</v>
      </c>
      <c r="Y1557" t="str">
        <f>IFERROR(__xludf.DUMMYFUNCTION("""COMPUTED_VALUE"""),"Excellent")</f>
        <v>Excellent</v>
      </c>
      <c r="Z1557" t="str">
        <f>IFERROR(__xludf.DUMMYFUNCTION("""COMPUTED_VALUE"""),"Excellent")</f>
        <v>Excellent</v>
      </c>
      <c r="AA1557" t="str">
        <f>IFERROR(__xludf.DUMMYFUNCTION("""COMPUTED_VALUE"""),"Fair")</f>
        <v>Fair</v>
      </c>
      <c r="AB1557" t="str">
        <f>IFERROR(__xludf.DUMMYFUNCTION("""COMPUTED_VALUE"""),"Good")</f>
        <v>Good</v>
      </c>
      <c r="AC1557">
        <f>IFERROR(__xludf.DUMMYFUNCTION("""COMPUTED_VALUE"""),1.0)</f>
        <v>1</v>
      </c>
      <c r="AD1557">
        <f>IFERROR(__xludf.DUMMYFUNCTION("""COMPUTED_VALUE"""),1.0)</f>
        <v>1</v>
      </c>
      <c r="AE1557">
        <f>IFERROR(__xludf.DUMMYFUNCTION("""COMPUTED_VALUE"""),0.0)</f>
        <v>0</v>
      </c>
      <c r="AG1557" t="str">
        <f>IFERROR(__xludf.DUMMYFUNCTION("""COMPUTED_VALUE"""),"Still not resolved cell phone and transfer of contacts issue.")</f>
        <v>Still not resolved cell phone and transfer of contacts issue.</v>
      </c>
      <c r="AH1557" s="189">
        <f>IFERROR(__xludf.DUMMYFUNCTION("""COMPUTED_VALUE"""),43489.35951071759)</f>
        <v>43489.35951</v>
      </c>
    </row>
    <row r="1558">
      <c r="A1558" t="str">
        <f>IFERROR(__xludf.DUMMYFUNCTION("""COMPUTED_VALUE"""),"Jonb505")</f>
        <v>Jonb505</v>
      </c>
      <c r="B1558" t="str">
        <f>IFERROR(__xludf.DUMMYFUNCTION("""COMPUTED_VALUE"""),"North Vancouver")</f>
        <v>North Vancouver</v>
      </c>
      <c r="C1558" t="str">
        <f>IFERROR(__xludf.DUMMYFUNCTION("""COMPUTED_VALUE"""),"BC")</f>
        <v>BC</v>
      </c>
      <c r="D1558" t="str">
        <f>IFERROR(__xludf.DUMMYFUNCTION("""COMPUTED_VALUE"""),"Canada")</f>
        <v>Canada</v>
      </c>
      <c r="E1558" s="188">
        <f>IFERROR(__xludf.DUMMYFUNCTION("""COMPUTED_VALUE"""),43466.0)</f>
        <v>43466</v>
      </c>
      <c r="F1558" s="188">
        <f>IFERROR(__xludf.DUMMYFUNCTION("""COMPUTED_VALUE"""),43484.0)</f>
        <v>43484</v>
      </c>
      <c r="H1558">
        <f>IFERROR(__xludf.DUMMYFUNCTION("""COMPUTED_VALUE"""),214155.0)</f>
        <v>214155</v>
      </c>
      <c r="I1558" t="str">
        <f>IFERROR(__xludf.DUMMYFUNCTION("""COMPUTED_VALUE"""),"01/19")</f>
        <v>01/19</v>
      </c>
      <c r="J1558" s="5">
        <f>IFERROR(__xludf.DUMMYFUNCTION("""COMPUTED_VALUE"""),43490.0)</f>
        <v>43490</v>
      </c>
      <c r="K1558">
        <f>IFERROR(__xludf.DUMMYFUNCTION("""COMPUTED_VALUE"""),18.0)</f>
        <v>18</v>
      </c>
      <c r="L1558">
        <f>IFERROR(__xludf.DUMMYFUNCTION("""COMPUTED_VALUE"""),6.0)</f>
        <v>6</v>
      </c>
      <c r="M1558">
        <f>IFERROR(__xludf.DUMMYFUNCTION("""COMPUTED_VALUE"""),24.0)</f>
        <v>24</v>
      </c>
      <c r="N1558" t="str">
        <f>IFERROR(__xludf.DUMMYFUNCTION("""COMPUTED_VALUE"""),"Model 3 LR AWD")</f>
        <v>Model 3 LR AWD</v>
      </c>
      <c r="O1558" t="str">
        <f>IFERROR(__xludf.DUMMYFUNCTION("""COMPUTED_VALUE"""),"Solid Black")</f>
        <v>Solid Black</v>
      </c>
      <c r="P1558" t="str">
        <f>IFERROR(__xludf.DUMMYFUNCTION("""COMPUTED_VALUE"""),"18 inch Aero")</f>
        <v>18 inch Aero</v>
      </c>
      <c r="Q1558" t="str">
        <f>IFERROR(__xludf.DUMMYFUNCTION("""COMPUTED_VALUE"""),"Black seats")</f>
        <v>Black seats</v>
      </c>
      <c r="R1558" t="str">
        <f>IFERROR(__xludf.DUMMYFUNCTION("""COMPUTED_VALUE"""),"Enhanced Autopilot")</f>
        <v>Enhanced Autopilot</v>
      </c>
      <c r="X1558" t="str">
        <f>IFERROR(__xludf.DUMMYFUNCTION("""COMPUTED_VALUE"""),"Excellent")</f>
        <v>Excellent</v>
      </c>
      <c r="Y1558" t="str">
        <f>IFERROR(__xludf.DUMMYFUNCTION("""COMPUTED_VALUE"""),"Excellent")</f>
        <v>Excellent</v>
      </c>
      <c r="Z1558" t="str">
        <f>IFERROR(__xludf.DUMMYFUNCTION("""COMPUTED_VALUE"""),"Very Good")</f>
        <v>Very Good</v>
      </c>
      <c r="AA1558" t="str">
        <f>IFERROR(__xludf.DUMMYFUNCTION("""COMPUTED_VALUE"""),"Excellent")</f>
        <v>Excellent</v>
      </c>
      <c r="AB1558" t="str">
        <f>IFERROR(__xludf.DUMMYFUNCTION("""COMPUTED_VALUE"""),"Excellent")</f>
        <v>Excellent</v>
      </c>
      <c r="AH1558" s="189">
        <f>IFERROR(__xludf.DUMMYFUNCTION("""COMPUTED_VALUE"""),43491.57078130787)</f>
        <v>43491.57078</v>
      </c>
    </row>
    <row r="1559">
      <c r="A1559" t="str">
        <f>IFERROR(__xludf.DUMMYFUNCTION("""COMPUTED_VALUE"""),"mikeat00")</f>
        <v>mikeat00</v>
      </c>
      <c r="B1559" t="str">
        <f>IFERROR(__xludf.DUMMYFUNCTION("""COMPUTED_VALUE"""),"Livonia")</f>
        <v>Livonia</v>
      </c>
      <c r="C1559" t="str">
        <f>IFERROR(__xludf.DUMMYFUNCTION("""COMPUTED_VALUE"""),"MI")</f>
        <v>MI</v>
      </c>
      <c r="D1559" t="str">
        <f>IFERROR(__xludf.DUMMYFUNCTION("""COMPUTED_VALUE"""),"USA")</f>
        <v>USA</v>
      </c>
      <c r="E1559" s="188">
        <f>IFERROR(__xludf.DUMMYFUNCTION("""COMPUTED_VALUE"""),43483.0)</f>
        <v>43483</v>
      </c>
      <c r="F1559" s="188">
        <f>IFERROR(__xludf.DUMMYFUNCTION("""COMPUTED_VALUE"""),43488.0)</f>
        <v>43488</v>
      </c>
      <c r="J1559" s="5">
        <f>IFERROR(__xludf.DUMMYFUNCTION("""COMPUTED_VALUE"""),43491.0)</f>
        <v>43491</v>
      </c>
      <c r="K1559">
        <f>IFERROR(__xludf.DUMMYFUNCTION("""COMPUTED_VALUE"""),5.0)</f>
        <v>5</v>
      </c>
      <c r="L1559">
        <f>IFERROR(__xludf.DUMMYFUNCTION("""COMPUTED_VALUE"""),3.0)</f>
        <v>3</v>
      </c>
      <c r="M1559">
        <f>IFERROR(__xludf.DUMMYFUNCTION("""COMPUTED_VALUE"""),8.0)</f>
        <v>8</v>
      </c>
      <c r="N1559" t="str">
        <f>IFERROR(__xludf.DUMMYFUNCTION("""COMPUTED_VALUE"""),"Model 3 LR AWD")</f>
        <v>Model 3 LR AWD</v>
      </c>
      <c r="O1559" t="str">
        <f>IFERROR(__xludf.DUMMYFUNCTION("""COMPUTED_VALUE"""),"Deep Blue Metallic")</f>
        <v>Deep Blue Metallic</v>
      </c>
      <c r="P1559" t="str">
        <f>IFERROR(__xludf.DUMMYFUNCTION("""COMPUTED_VALUE"""),"18 inch Aero")</f>
        <v>18 inch Aero</v>
      </c>
      <c r="Q1559" t="str">
        <f>IFERROR(__xludf.DUMMYFUNCTION("""COMPUTED_VALUE"""),"Black seats")</f>
        <v>Black seats</v>
      </c>
      <c r="R1559" t="str">
        <f>IFERROR(__xludf.DUMMYFUNCTION("""COMPUTED_VALUE"""),"Enhanced Autopilot")</f>
        <v>Enhanced Autopilot</v>
      </c>
      <c r="X1559" t="str">
        <f>IFERROR(__xludf.DUMMYFUNCTION("""COMPUTED_VALUE"""),"Excellent")</f>
        <v>Excellent</v>
      </c>
      <c r="Y1559" t="str">
        <f>IFERROR(__xludf.DUMMYFUNCTION("""COMPUTED_VALUE"""),"Excellent")</f>
        <v>Excellent</v>
      </c>
      <c r="Z1559" t="str">
        <f>IFERROR(__xludf.DUMMYFUNCTION("""COMPUTED_VALUE"""),"Excellent")</f>
        <v>Excellent</v>
      </c>
      <c r="AA1559" t="str">
        <f>IFERROR(__xludf.DUMMYFUNCTION("""COMPUTED_VALUE"""),"Very Good")</f>
        <v>Very Good</v>
      </c>
      <c r="AB1559" t="str">
        <f>IFERROR(__xludf.DUMMYFUNCTION("""COMPUTED_VALUE"""),"Excellent")</f>
        <v>Excellent</v>
      </c>
      <c r="AH1559" s="189">
        <f>IFERROR(__xludf.DUMMYFUNCTION("""COMPUTED_VALUE"""),43493.67602784722)</f>
        <v>43493.67603</v>
      </c>
    </row>
    <row r="1560">
      <c r="A1560" t="str">
        <f>IFERROR(__xludf.DUMMYFUNCTION("""COMPUTED_VALUE"""),"SmokinStak")</f>
        <v>SmokinStak</v>
      </c>
      <c r="B1560" t="str">
        <f>IFERROR(__xludf.DUMMYFUNCTION("""COMPUTED_VALUE"""),"St. Louis")</f>
        <v>St. Louis</v>
      </c>
      <c r="C1560" t="str">
        <f>IFERROR(__xludf.DUMMYFUNCTION("""COMPUTED_VALUE"""),"MO")</f>
        <v>MO</v>
      </c>
      <c r="D1560" t="str">
        <f>IFERROR(__xludf.DUMMYFUNCTION("""COMPUTED_VALUE"""),"USA")</f>
        <v>USA</v>
      </c>
      <c r="E1560" s="188">
        <f>IFERROR(__xludf.DUMMYFUNCTION("""COMPUTED_VALUE"""),43181.0)</f>
        <v>43181</v>
      </c>
      <c r="F1560" s="188">
        <f>IFERROR(__xludf.DUMMYFUNCTION("""COMPUTED_VALUE"""),43203.0)</f>
        <v>43203</v>
      </c>
      <c r="H1560">
        <f>IFERROR(__xludf.DUMMYFUNCTION("""COMPUTED_VALUE"""),12565.0)</f>
        <v>12565</v>
      </c>
      <c r="J1560" s="5">
        <f>IFERROR(__xludf.DUMMYFUNCTION("""COMPUTED_VALUE"""),43223.0)</f>
        <v>43223</v>
      </c>
      <c r="K1560">
        <f>IFERROR(__xludf.DUMMYFUNCTION("""COMPUTED_VALUE"""),22.0)</f>
        <v>22</v>
      </c>
      <c r="L1560">
        <f>IFERROR(__xludf.DUMMYFUNCTION("""COMPUTED_VALUE"""),20.0)</f>
        <v>20</v>
      </c>
      <c r="M1560">
        <f>IFERROR(__xludf.DUMMYFUNCTION("""COMPUTED_VALUE"""),42.0)</f>
        <v>42</v>
      </c>
      <c r="N1560" t="str">
        <f>IFERROR(__xludf.DUMMYFUNCTION("""COMPUTED_VALUE"""),"Model 3 LR")</f>
        <v>Model 3 LR</v>
      </c>
      <c r="O1560" t="str">
        <f>IFERROR(__xludf.DUMMYFUNCTION("""COMPUTED_VALUE"""),"Solid Black")</f>
        <v>Solid Black</v>
      </c>
      <c r="P1560" t="str">
        <f>IFERROR(__xludf.DUMMYFUNCTION("""COMPUTED_VALUE"""),"18 inch Aero")</f>
        <v>18 inch Aero</v>
      </c>
      <c r="Q1560" t="str">
        <f>IFERROR(__xludf.DUMMYFUNCTION("""COMPUTED_VALUE"""),"Black seats")</f>
        <v>Black seats</v>
      </c>
      <c r="R1560" t="str">
        <f>IFERROR(__xludf.DUMMYFUNCTION("""COMPUTED_VALUE"""),"Enhanced Autopilot")</f>
        <v>Enhanced Autopilot</v>
      </c>
      <c r="X1560" t="str">
        <f>IFERROR(__xludf.DUMMYFUNCTION("""COMPUTED_VALUE"""),"Excellent")</f>
        <v>Excellent</v>
      </c>
      <c r="Y1560" t="str">
        <f>IFERROR(__xludf.DUMMYFUNCTION("""COMPUTED_VALUE"""),"Good")</f>
        <v>Good</v>
      </c>
      <c r="Z1560" t="str">
        <f>IFERROR(__xludf.DUMMYFUNCTION("""COMPUTED_VALUE"""),"Good")</f>
        <v>Good</v>
      </c>
      <c r="AA1560" t="str">
        <f>IFERROR(__xludf.DUMMYFUNCTION("""COMPUTED_VALUE"""),"Very Good")</f>
        <v>Very Good</v>
      </c>
      <c r="AB1560" t="str">
        <f>IFERROR(__xludf.DUMMYFUNCTION("""COMPUTED_VALUE"""),"Excellent")</f>
        <v>Excellent</v>
      </c>
      <c r="AC1560">
        <f>IFERROR(__xludf.DUMMYFUNCTION("""COMPUTED_VALUE"""),1.0)</f>
        <v>1</v>
      </c>
      <c r="AD1560">
        <f>IFERROR(__xludf.DUMMYFUNCTION("""COMPUTED_VALUE"""),0.0)</f>
        <v>0</v>
      </c>
      <c r="AE1560">
        <f>IFERROR(__xludf.DUMMYFUNCTION("""COMPUTED_VALUE"""),0.0)</f>
        <v>0</v>
      </c>
      <c r="AH1560" s="189">
        <f>IFERROR(__xludf.DUMMYFUNCTION("""COMPUTED_VALUE"""),43494.34917715278)</f>
        <v>43494.34918</v>
      </c>
    </row>
    <row r="1561">
      <c r="A1561" t="str">
        <f>IFERROR(__xludf.DUMMYFUNCTION("""COMPUTED_VALUE"""),"amhcaveman")</f>
        <v>amhcaveman</v>
      </c>
      <c r="B1561" t="str">
        <f>IFERROR(__xludf.DUMMYFUNCTION("""COMPUTED_VALUE"""),"Cambridge, MA")</f>
        <v>Cambridge, MA</v>
      </c>
      <c r="C1561" t="str">
        <f>IFERROR(__xludf.DUMMYFUNCTION("""COMPUTED_VALUE"""),"MA")</f>
        <v>MA</v>
      </c>
      <c r="D1561" t="str">
        <f>IFERROR(__xludf.DUMMYFUNCTION("""COMPUTED_VALUE"""),"USA")</f>
        <v>USA</v>
      </c>
      <c r="E1561" s="188">
        <f>IFERROR(__xludf.DUMMYFUNCTION("""COMPUTED_VALUE"""),43357.0)</f>
        <v>43357</v>
      </c>
      <c r="F1561" s="188">
        <f>IFERROR(__xludf.DUMMYFUNCTION("""COMPUTED_VALUE"""),43403.0)</f>
        <v>43403</v>
      </c>
      <c r="H1561">
        <f>IFERROR(__xludf.DUMMYFUNCTION("""COMPUTED_VALUE"""),115255.0)</f>
        <v>115255</v>
      </c>
      <c r="J1561" s="5">
        <f>IFERROR(__xludf.DUMMYFUNCTION("""COMPUTED_VALUE"""),43446.0)</f>
        <v>43446</v>
      </c>
      <c r="K1561">
        <f>IFERROR(__xludf.DUMMYFUNCTION("""COMPUTED_VALUE"""),46.0)</f>
        <v>46</v>
      </c>
      <c r="L1561">
        <f>IFERROR(__xludf.DUMMYFUNCTION("""COMPUTED_VALUE"""),43.0)</f>
        <v>43</v>
      </c>
      <c r="M1561">
        <f>IFERROR(__xludf.DUMMYFUNCTION("""COMPUTED_VALUE"""),89.0)</f>
        <v>89</v>
      </c>
      <c r="N1561" t="str">
        <f>IFERROR(__xludf.DUMMYFUNCTION("""COMPUTED_VALUE"""),"Model 3 LR AWD")</f>
        <v>Model 3 LR AWD</v>
      </c>
      <c r="O1561" t="str">
        <f>IFERROR(__xludf.DUMMYFUNCTION("""COMPUTED_VALUE"""),"Deep Blue Metallic")</f>
        <v>Deep Blue Metallic</v>
      </c>
      <c r="P1561" t="str">
        <f>IFERROR(__xludf.DUMMYFUNCTION("""COMPUTED_VALUE"""),"18 inch Aero")</f>
        <v>18 inch Aero</v>
      </c>
      <c r="Q1561" t="str">
        <f>IFERROR(__xludf.DUMMYFUNCTION("""COMPUTED_VALUE"""),"Black seats")</f>
        <v>Black seats</v>
      </c>
      <c r="R1561" t="str">
        <f>IFERROR(__xludf.DUMMYFUNCTION("""COMPUTED_VALUE"""),"Enhanced Autopilot")</f>
        <v>Enhanced Autopilot</v>
      </c>
      <c r="X1561" t="str">
        <f>IFERROR(__xludf.DUMMYFUNCTION("""COMPUTED_VALUE"""),"Excellent")</f>
        <v>Excellent</v>
      </c>
      <c r="Y1561" t="str">
        <f>IFERROR(__xludf.DUMMYFUNCTION("""COMPUTED_VALUE"""),"Excellent")</f>
        <v>Excellent</v>
      </c>
      <c r="Z1561" t="str">
        <f>IFERROR(__xludf.DUMMYFUNCTION("""COMPUTED_VALUE"""),"Good")</f>
        <v>Good</v>
      </c>
      <c r="AA1561" t="str">
        <f>IFERROR(__xludf.DUMMYFUNCTION("""COMPUTED_VALUE"""),"Very Good")</f>
        <v>Very Good</v>
      </c>
      <c r="AB1561" t="str">
        <f>IFERROR(__xludf.DUMMYFUNCTION("""COMPUTED_VALUE"""),"Excellent")</f>
        <v>Excellent</v>
      </c>
      <c r="AC1561">
        <f>IFERROR(__xludf.DUMMYFUNCTION("""COMPUTED_VALUE"""),1.0)</f>
        <v>1</v>
      </c>
      <c r="AD1561">
        <f>IFERROR(__xludf.DUMMYFUNCTION("""COMPUTED_VALUE"""),0.0)</f>
        <v>0</v>
      </c>
      <c r="AH1561" s="189">
        <f>IFERROR(__xludf.DUMMYFUNCTION("""COMPUTED_VALUE"""),43494.55647402778)</f>
        <v>43494.55647</v>
      </c>
    </row>
    <row r="1562">
      <c r="A1562" t="str">
        <f>IFERROR(__xludf.DUMMYFUNCTION("""COMPUTED_VALUE"""),"lmirandapr@gmail.com")</f>
        <v>lmirandapr@gmail.com</v>
      </c>
      <c r="B1562" t="str">
        <f>IFERROR(__xludf.DUMMYFUNCTION("""COMPUTED_VALUE"""),"Orlando")</f>
        <v>Orlando</v>
      </c>
      <c r="C1562" t="str">
        <f>IFERROR(__xludf.DUMMYFUNCTION("""COMPUTED_VALUE"""),"FL")</f>
        <v>FL</v>
      </c>
      <c r="D1562" t="str">
        <f>IFERROR(__xludf.DUMMYFUNCTION("""COMPUTED_VALUE"""),"USA")</f>
        <v>USA</v>
      </c>
      <c r="E1562" s="188">
        <f>IFERROR(__xludf.DUMMYFUNCTION("""COMPUTED_VALUE"""),43266.0)</f>
        <v>43266</v>
      </c>
      <c r="F1562" s="188">
        <f>IFERROR(__xludf.DUMMYFUNCTION("""COMPUTED_VALUE"""),43325.0)</f>
        <v>43325</v>
      </c>
      <c r="J1562" s="5">
        <f>IFERROR(__xludf.DUMMYFUNCTION("""COMPUTED_VALUE"""),43361.0)</f>
        <v>43361</v>
      </c>
      <c r="K1562">
        <f>IFERROR(__xludf.DUMMYFUNCTION("""COMPUTED_VALUE"""),59.0)</f>
        <v>59</v>
      </c>
      <c r="L1562">
        <f>IFERROR(__xludf.DUMMYFUNCTION("""COMPUTED_VALUE"""),36.0)</f>
        <v>36</v>
      </c>
      <c r="M1562">
        <f>IFERROR(__xludf.DUMMYFUNCTION("""COMPUTED_VALUE"""),95.0)</f>
        <v>95</v>
      </c>
      <c r="N1562" t="str">
        <f>IFERROR(__xludf.DUMMYFUNCTION("""COMPUTED_VALUE"""),"Model 3 LR")</f>
        <v>Model 3 LR</v>
      </c>
      <c r="O1562" t="str">
        <f>IFERROR(__xludf.DUMMYFUNCTION("""COMPUTED_VALUE"""),"Pearl White Multi-Coat")</f>
        <v>Pearl White Multi-Coat</v>
      </c>
      <c r="P1562" t="str">
        <f>IFERROR(__xludf.DUMMYFUNCTION("""COMPUTED_VALUE"""),"18 inch Aero")</f>
        <v>18 inch Aero</v>
      </c>
      <c r="Q1562" t="str">
        <f>IFERROR(__xludf.DUMMYFUNCTION("""COMPUTED_VALUE"""),"Black seats")</f>
        <v>Black seats</v>
      </c>
      <c r="R1562" t="str">
        <f>IFERROR(__xludf.DUMMYFUNCTION("""COMPUTED_VALUE"""),"Enhanced Autopilot")</f>
        <v>Enhanced Autopilot</v>
      </c>
      <c r="X1562" t="str">
        <f>IFERROR(__xludf.DUMMYFUNCTION("""COMPUTED_VALUE"""),"Excellent")</f>
        <v>Excellent</v>
      </c>
      <c r="Y1562" t="str">
        <f>IFERROR(__xludf.DUMMYFUNCTION("""COMPUTED_VALUE"""),"Excellent")</f>
        <v>Excellent</v>
      </c>
      <c r="Z1562" t="str">
        <f>IFERROR(__xludf.DUMMYFUNCTION("""COMPUTED_VALUE"""),"Very Good")</f>
        <v>Very Good</v>
      </c>
      <c r="AA1562" t="str">
        <f>IFERROR(__xludf.DUMMYFUNCTION("""COMPUTED_VALUE"""),"Excellent")</f>
        <v>Excellent</v>
      </c>
      <c r="AB1562" t="str">
        <f>IFERROR(__xludf.DUMMYFUNCTION("""COMPUTED_VALUE"""),"Excellent")</f>
        <v>Excellent</v>
      </c>
      <c r="AC1562">
        <f>IFERROR(__xludf.DUMMYFUNCTION("""COMPUTED_VALUE"""),3.0)</f>
        <v>3</v>
      </c>
      <c r="AD1562">
        <f>IFERROR(__xludf.DUMMYFUNCTION("""COMPUTED_VALUE"""),0.0)</f>
        <v>0</v>
      </c>
      <c r="AE1562">
        <f>IFERROR(__xludf.DUMMYFUNCTION("""COMPUTED_VALUE"""),0.0)</f>
        <v>0</v>
      </c>
      <c r="AH1562" s="189">
        <f>IFERROR(__xludf.DUMMYFUNCTION("""COMPUTED_VALUE"""),43497.97387973379)</f>
        <v>43497.97388</v>
      </c>
    </row>
    <row r="1563">
      <c r="A1563" t="str">
        <f>IFERROR(__xludf.DUMMYFUNCTION("""COMPUTED_VALUE"""),"matthewbhertz")</f>
        <v>matthewbhertz</v>
      </c>
      <c r="B1563" t="str">
        <f>IFERROR(__xludf.DUMMYFUNCTION("""COMPUTED_VALUE"""),"Saint Paul")</f>
        <v>Saint Paul</v>
      </c>
      <c r="C1563" t="str">
        <f>IFERROR(__xludf.DUMMYFUNCTION("""COMPUTED_VALUE"""),"MN")</f>
        <v>MN</v>
      </c>
      <c r="D1563" t="str">
        <f>IFERROR(__xludf.DUMMYFUNCTION("""COMPUTED_VALUE"""),"USA")</f>
        <v>USA</v>
      </c>
      <c r="E1563" s="188">
        <f>IFERROR(__xludf.DUMMYFUNCTION("""COMPUTED_VALUE"""),43276.0)</f>
        <v>43276</v>
      </c>
      <c r="F1563" s="188">
        <f>IFERROR(__xludf.DUMMYFUNCTION("""COMPUTED_VALUE"""),43292.0)</f>
        <v>43292</v>
      </c>
      <c r="H1563">
        <f>IFERROR(__xludf.DUMMYFUNCTION("""COMPUTED_VALUE"""),32499.0)</f>
        <v>32499</v>
      </c>
      <c r="I1563" t="str">
        <f>IFERROR(__xludf.DUMMYFUNCTION("""COMPUTED_VALUE"""),"07/18")</f>
        <v>07/18</v>
      </c>
      <c r="J1563" s="5">
        <f>IFERROR(__xludf.DUMMYFUNCTION("""COMPUTED_VALUE"""),43142.0)</f>
        <v>43142</v>
      </c>
      <c r="K1563">
        <f>IFERROR(__xludf.DUMMYFUNCTION("""COMPUTED_VALUE"""),16.0)</f>
        <v>16</v>
      </c>
      <c r="N1563" t="str">
        <f>IFERROR(__xludf.DUMMYFUNCTION("""COMPUTED_VALUE"""),"Model 3 LR")</f>
        <v>Model 3 LR</v>
      </c>
      <c r="O1563" t="str">
        <f>IFERROR(__xludf.DUMMYFUNCTION("""COMPUTED_VALUE"""),"Deep Blue Metallic")</f>
        <v>Deep Blue Metallic</v>
      </c>
      <c r="P1563" t="str">
        <f>IFERROR(__xludf.DUMMYFUNCTION("""COMPUTED_VALUE"""),"18 inch Aero")</f>
        <v>18 inch Aero</v>
      </c>
      <c r="Q1563" t="str">
        <f>IFERROR(__xludf.DUMMYFUNCTION("""COMPUTED_VALUE"""),"Black seats")</f>
        <v>Black seats</v>
      </c>
      <c r="R1563" t="str">
        <f>IFERROR(__xludf.DUMMYFUNCTION("""COMPUTED_VALUE"""),"None")</f>
        <v>None</v>
      </c>
      <c r="X1563" t="str">
        <f>IFERROR(__xludf.DUMMYFUNCTION("""COMPUTED_VALUE"""),"Excellent")</f>
        <v>Excellent</v>
      </c>
      <c r="Y1563" t="str">
        <f>IFERROR(__xludf.DUMMYFUNCTION("""COMPUTED_VALUE"""),"Very Good")</f>
        <v>Very Good</v>
      </c>
      <c r="Z1563" t="str">
        <f>IFERROR(__xludf.DUMMYFUNCTION("""COMPUTED_VALUE"""),"Excellent")</f>
        <v>Excellent</v>
      </c>
      <c r="AA1563" t="str">
        <f>IFERROR(__xludf.DUMMYFUNCTION("""COMPUTED_VALUE"""),"Very Good")</f>
        <v>Very Good</v>
      </c>
      <c r="AB1563" t="str">
        <f>IFERROR(__xludf.DUMMYFUNCTION("""COMPUTED_VALUE"""),"Excellent")</f>
        <v>Excellent</v>
      </c>
      <c r="AC1563">
        <f>IFERROR(__xludf.DUMMYFUNCTION("""COMPUTED_VALUE"""),0.0)</f>
        <v>0</v>
      </c>
      <c r="AD1563">
        <f>IFERROR(__xludf.DUMMYFUNCTION("""COMPUTED_VALUE"""),0.0)</f>
        <v>0</v>
      </c>
      <c r="AH1563" s="189">
        <f>IFERROR(__xludf.DUMMYFUNCTION("""COMPUTED_VALUE"""),43499.385059548615)</f>
        <v>43499.38506</v>
      </c>
    </row>
    <row r="1564">
      <c r="A1564" t="str">
        <f>IFERROR(__xludf.DUMMYFUNCTION("""COMPUTED_VALUE"""),"JeffKeryk")</f>
        <v>JeffKeryk</v>
      </c>
      <c r="B1564" t="str">
        <f>IFERROR(__xludf.DUMMYFUNCTION("""COMPUTED_VALUE"""),"Los Gatos")</f>
        <v>Los Gatos</v>
      </c>
      <c r="C1564" t="str">
        <f>IFERROR(__xludf.DUMMYFUNCTION("""COMPUTED_VALUE"""),"CA")</f>
        <v>CA</v>
      </c>
      <c r="D1564" t="str">
        <f>IFERROR(__xludf.DUMMYFUNCTION("""COMPUTED_VALUE"""),"USA")</f>
        <v>USA</v>
      </c>
      <c r="E1564" s="188">
        <f>IFERROR(__xludf.DUMMYFUNCTION("""COMPUTED_VALUE"""),43449.0)</f>
        <v>43449</v>
      </c>
      <c r="J1564" s="5">
        <f>IFERROR(__xludf.DUMMYFUNCTION("""COMPUTED_VALUE"""),43454.0)</f>
        <v>43454</v>
      </c>
      <c r="M1564">
        <f>IFERROR(__xludf.DUMMYFUNCTION("""COMPUTED_VALUE"""),5.0)</f>
        <v>5</v>
      </c>
      <c r="N1564" t="str">
        <f>IFERROR(__xludf.DUMMYFUNCTION("""COMPUTED_VALUE"""),"Model 3 MR")</f>
        <v>Model 3 MR</v>
      </c>
      <c r="O1564" t="str">
        <f>IFERROR(__xludf.DUMMYFUNCTION("""COMPUTED_VALUE"""),"Pearl White Multi-Coat")</f>
        <v>Pearl White Multi-Coat</v>
      </c>
      <c r="P1564" t="str">
        <f>IFERROR(__xludf.DUMMYFUNCTION("""COMPUTED_VALUE"""),"19 inch Sport")</f>
        <v>19 inch Sport</v>
      </c>
      <c r="Q1564" t="str">
        <f>IFERROR(__xludf.DUMMYFUNCTION("""COMPUTED_VALUE"""),"Black seats")</f>
        <v>Black seats</v>
      </c>
      <c r="R1564" t="str">
        <f>IFERROR(__xludf.DUMMYFUNCTION("""COMPUTED_VALUE"""),"Enhanced Autopilot")</f>
        <v>Enhanced Autopilot</v>
      </c>
      <c r="X1564" t="str">
        <f>IFERROR(__xludf.DUMMYFUNCTION("""COMPUTED_VALUE"""),"Excellent")</f>
        <v>Excellent</v>
      </c>
      <c r="Y1564" t="str">
        <f>IFERROR(__xludf.DUMMYFUNCTION("""COMPUTED_VALUE"""),"Excellent")</f>
        <v>Excellent</v>
      </c>
      <c r="Z1564" t="str">
        <f>IFERROR(__xludf.DUMMYFUNCTION("""COMPUTED_VALUE"""),"Excellent")</f>
        <v>Excellent</v>
      </c>
      <c r="AA1564" t="str">
        <f>IFERROR(__xludf.DUMMYFUNCTION("""COMPUTED_VALUE"""),"Excellent")</f>
        <v>Excellent</v>
      </c>
      <c r="AB1564" t="str">
        <f>IFERROR(__xludf.DUMMYFUNCTION("""COMPUTED_VALUE"""),"Excellent")</f>
        <v>Excellent</v>
      </c>
      <c r="AC1564">
        <f>IFERROR(__xludf.DUMMYFUNCTION("""COMPUTED_VALUE"""),0.0)</f>
        <v>0</v>
      </c>
      <c r="AD1564">
        <f>IFERROR(__xludf.DUMMYFUNCTION("""COMPUTED_VALUE"""),0.0)</f>
        <v>0</v>
      </c>
      <c r="AE1564">
        <f>IFERROR(__xludf.DUMMYFUNCTION("""COMPUTED_VALUE"""),0.0)</f>
        <v>0</v>
      </c>
      <c r="AH1564" s="189">
        <f>IFERROR(__xludf.DUMMYFUNCTION("""COMPUTED_VALUE"""),43504.78052570602)</f>
        <v>43504.78053</v>
      </c>
    </row>
    <row r="1565">
      <c r="A1565" t="str">
        <f>IFERROR(__xludf.DUMMYFUNCTION("""COMPUTED_VALUE"""),"glockoma")</f>
        <v>glockoma</v>
      </c>
      <c r="B1565" t="str">
        <f>IFERROR(__xludf.DUMMYFUNCTION("""COMPUTED_VALUE"""),"Dallas")</f>
        <v>Dallas</v>
      </c>
      <c r="C1565" t="str">
        <f>IFERROR(__xludf.DUMMYFUNCTION("""COMPUTED_VALUE"""),"TX")</f>
        <v>TX</v>
      </c>
      <c r="D1565" t="str">
        <f>IFERROR(__xludf.DUMMYFUNCTION("""COMPUTED_VALUE"""),"USA")</f>
        <v>USA</v>
      </c>
      <c r="E1565" s="188">
        <f>IFERROR(__xludf.DUMMYFUNCTION("""COMPUTED_VALUE"""),43423.0)</f>
        <v>43423</v>
      </c>
      <c r="F1565" s="188">
        <f>IFERROR(__xludf.DUMMYFUNCTION("""COMPUTED_VALUE"""),43448.0)</f>
        <v>43448</v>
      </c>
      <c r="H1565">
        <f>IFERROR(__xludf.DUMMYFUNCTION("""COMPUTED_VALUE"""),176055.0)</f>
        <v>176055</v>
      </c>
      <c r="I1565" t="str">
        <f>IFERROR(__xludf.DUMMYFUNCTION("""COMPUTED_VALUE"""),"12/18")</f>
        <v>12/18</v>
      </c>
      <c r="J1565" s="5">
        <f>IFERROR(__xludf.DUMMYFUNCTION("""COMPUTED_VALUE"""),43455.0)</f>
        <v>43455</v>
      </c>
      <c r="K1565">
        <f>IFERROR(__xludf.DUMMYFUNCTION("""COMPUTED_VALUE"""),25.0)</f>
        <v>25</v>
      </c>
      <c r="L1565">
        <f>IFERROR(__xludf.DUMMYFUNCTION("""COMPUTED_VALUE"""),7.0)</f>
        <v>7</v>
      </c>
      <c r="M1565">
        <f>IFERROR(__xludf.DUMMYFUNCTION("""COMPUTED_VALUE"""),32.0)</f>
        <v>32</v>
      </c>
      <c r="N1565" t="str">
        <f>IFERROR(__xludf.DUMMYFUNCTION("""COMPUTED_VALUE"""),"Model 3 MR")</f>
        <v>Model 3 MR</v>
      </c>
      <c r="O1565" t="str">
        <f>IFERROR(__xludf.DUMMYFUNCTION("""COMPUTED_VALUE"""),"Solid Black")</f>
        <v>Solid Black</v>
      </c>
      <c r="P1565" t="str">
        <f>IFERROR(__xludf.DUMMYFUNCTION("""COMPUTED_VALUE"""),"19 inch Sport")</f>
        <v>19 inch Sport</v>
      </c>
      <c r="Q1565" t="str">
        <f>IFERROR(__xludf.DUMMYFUNCTION("""COMPUTED_VALUE"""),"Black seats")</f>
        <v>Black seats</v>
      </c>
      <c r="R1565" t="str">
        <f>IFERROR(__xludf.DUMMYFUNCTION("""COMPUTED_VALUE"""),"Enhanced Autopilot")</f>
        <v>Enhanced Autopilot</v>
      </c>
      <c r="X1565" t="str">
        <f>IFERROR(__xludf.DUMMYFUNCTION("""COMPUTED_VALUE"""),"Excellent")</f>
        <v>Excellent</v>
      </c>
      <c r="Y1565" t="str">
        <f>IFERROR(__xludf.DUMMYFUNCTION("""COMPUTED_VALUE"""),"Excellent")</f>
        <v>Excellent</v>
      </c>
      <c r="Z1565" t="str">
        <f>IFERROR(__xludf.DUMMYFUNCTION("""COMPUTED_VALUE"""),"Excellent")</f>
        <v>Excellent</v>
      </c>
      <c r="AA1565" t="str">
        <f>IFERROR(__xludf.DUMMYFUNCTION("""COMPUTED_VALUE"""),"Fair")</f>
        <v>Fair</v>
      </c>
      <c r="AB1565" t="str">
        <f>IFERROR(__xludf.DUMMYFUNCTION("""COMPUTED_VALUE"""),"Fair")</f>
        <v>Fair</v>
      </c>
      <c r="AC1565">
        <f>IFERROR(__xludf.DUMMYFUNCTION("""COMPUTED_VALUE"""),0.0)</f>
        <v>0</v>
      </c>
      <c r="AD1565">
        <f>IFERROR(__xludf.DUMMYFUNCTION("""COMPUTED_VALUE"""),0.0)</f>
        <v>0</v>
      </c>
      <c r="AE1565">
        <f>IFERROR(__xludf.DUMMYFUNCTION("""COMPUTED_VALUE"""),0.0)</f>
        <v>0</v>
      </c>
      <c r="AH1565" s="189">
        <f>IFERROR(__xludf.DUMMYFUNCTION("""COMPUTED_VALUE"""),43505.60174413194)</f>
        <v>43505.60174</v>
      </c>
    </row>
    <row r="1566">
      <c r="A1566" t="str">
        <f>IFERROR(__xludf.DUMMYFUNCTION("""COMPUTED_VALUE"""),"raleedy")</f>
        <v>raleedy</v>
      </c>
      <c r="B1566" t="str">
        <f>IFERROR(__xludf.DUMMYFUNCTION("""COMPUTED_VALUE"""),"Portland")</f>
        <v>Portland</v>
      </c>
      <c r="C1566" t="str">
        <f>IFERROR(__xludf.DUMMYFUNCTION("""COMPUTED_VALUE"""),"OR")</f>
        <v>OR</v>
      </c>
      <c r="D1566" t="str">
        <f>IFERROR(__xludf.DUMMYFUNCTION("""COMPUTED_VALUE"""),"USA")</f>
        <v>USA</v>
      </c>
      <c r="E1566" s="188">
        <f>IFERROR(__xludf.DUMMYFUNCTION("""COMPUTED_VALUE"""),43281.0)</f>
        <v>43281</v>
      </c>
      <c r="F1566" s="188">
        <f>IFERROR(__xludf.DUMMYFUNCTION("""COMPUTED_VALUE"""),43369.0)</f>
        <v>43369</v>
      </c>
      <c r="H1566" s="4">
        <f>IFERROR(__xludf.DUMMYFUNCTION("""COMPUTED_VALUE"""),90043.0)</f>
        <v>90043</v>
      </c>
      <c r="I1566" t="str">
        <f>IFERROR(__xludf.DUMMYFUNCTION("""COMPUTED_VALUE"""),"09/18")</f>
        <v>09/18</v>
      </c>
      <c r="J1566" s="5">
        <f>IFERROR(__xludf.DUMMYFUNCTION("""COMPUTED_VALUE"""),43373.0)</f>
        <v>43373</v>
      </c>
      <c r="K1566">
        <f>IFERROR(__xludf.DUMMYFUNCTION("""COMPUTED_VALUE"""),88.0)</f>
        <v>88</v>
      </c>
      <c r="L1566">
        <f>IFERROR(__xludf.DUMMYFUNCTION("""COMPUTED_VALUE"""),4.0)</f>
        <v>4</v>
      </c>
      <c r="M1566">
        <f>IFERROR(__xludf.DUMMYFUNCTION("""COMPUTED_VALUE"""),92.0)</f>
        <v>92</v>
      </c>
      <c r="N1566" t="str">
        <f>IFERROR(__xludf.DUMMYFUNCTION("""COMPUTED_VALUE"""),"Model 3 LR AWD")</f>
        <v>Model 3 LR AWD</v>
      </c>
      <c r="O1566" t="str">
        <f>IFERROR(__xludf.DUMMYFUNCTION("""COMPUTED_VALUE"""),"Red Multi-Coat")</f>
        <v>Red Multi-Coat</v>
      </c>
      <c r="P1566" t="str">
        <f>IFERROR(__xludf.DUMMYFUNCTION("""COMPUTED_VALUE"""),"18 inch Aero")</f>
        <v>18 inch Aero</v>
      </c>
      <c r="Q1566" t="str">
        <f>IFERROR(__xludf.DUMMYFUNCTION("""COMPUTED_VALUE"""),"Black seats")</f>
        <v>Black seats</v>
      </c>
      <c r="R1566" t="str">
        <f>IFERROR(__xludf.DUMMYFUNCTION("""COMPUTED_VALUE"""),"Full Self-Driving")</f>
        <v>Full Self-Driving</v>
      </c>
      <c r="X1566" t="str">
        <f>IFERROR(__xludf.DUMMYFUNCTION("""COMPUTED_VALUE"""),"Excellent")</f>
        <v>Excellent</v>
      </c>
      <c r="Y1566" t="str">
        <f>IFERROR(__xludf.DUMMYFUNCTION("""COMPUTED_VALUE"""),"Excellent")</f>
        <v>Excellent</v>
      </c>
      <c r="Z1566" t="str">
        <f>IFERROR(__xludf.DUMMYFUNCTION("""COMPUTED_VALUE"""),"Excellent")</f>
        <v>Excellent</v>
      </c>
      <c r="AA1566" t="str">
        <f>IFERROR(__xludf.DUMMYFUNCTION("""COMPUTED_VALUE"""),"Excellent")</f>
        <v>Excellent</v>
      </c>
      <c r="AB1566" t="str">
        <f>IFERROR(__xludf.DUMMYFUNCTION("""COMPUTED_VALUE"""),"Excellent")</f>
        <v>Excellent</v>
      </c>
      <c r="AC1566">
        <f>IFERROR(__xludf.DUMMYFUNCTION("""COMPUTED_VALUE"""),1.0)</f>
        <v>1</v>
      </c>
      <c r="AD1566">
        <f>IFERROR(__xludf.DUMMYFUNCTION("""COMPUTED_VALUE"""),1.0)</f>
        <v>1</v>
      </c>
      <c r="AE1566">
        <f>IFERROR(__xludf.DUMMYFUNCTION("""COMPUTED_VALUE"""),0.0)</f>
        <v>0</v>
      </c>
      <c r="AH1566" s="189">
        <f>IFERROR(__xludf.DUMMYFUNCTION("""COMPUTED_VALUE"""),43509.2147734375)</f>
        <v>43509.21477</v>
      </c>
    </row>
    <row r="1567">
      <c r="A1567" t="str">
        <f>IFERROR(__xludf.DUMMYFUNCTION("""COMPUTED_VALUE"""),"Schmize")</f>
        <v>Schmize</v>
      </c>
      <c r="B1567" t="str">
        <f>IFERROR(__xludf.DUMMYFUNCTION("""COMPUTED_VALUE"""),"Chicago")</f>
        <v>Chicago</v>
      </c>
      <c r="C1567" t="str">
        <f>IFERROR(__xludf.DUMMYFUNCTION("""COMPUTED_VALUE"""),"IL")</f>
        <v>IL</v>
      </c>
      <c r="D1567" t="str">
        <f>IFERROR(__xludf.DUMMYFUNCTION("""COMPUTED_VALUE"""),"USA")</f>
        <v>USA</v>
      </c>
      <c r="E1567" s="188">
        <f>IFERROR(__xludf.DUMMYFUNCTION("""COMPUTED_VALUE"""),43484.0)</f>
        <v>43484</v>
      </c>
      <c r="F1567" s="188">
        <f>IFERROR(__xludf.DUMMYFUNCTION("""COMPUTED_VALUE"""),43500.0)</f>
        <v>43500</v>
      </c>
      <c r="H1567">
        <f>IFERROR(__xludf.DUMMYFUNCTION("""COMPUTED_VALUE"""),192455.0)</f>
        <v>192455</v>
      </c>
      <c r="I1567" t="str">
        <f>IFERROR(__xludf.DUMMYFUNCTION("""COMPUTED_VALUE"""),"01/19")</f>
        <v>01/19</v>
      </c>
      <c r="J1567" s="5">
        <f>IFERROR(__xludf.DUMMYFUNCTION("""COMPUTED_VALUE"""),43504.0)</f>
        <v>43504</v>
      </c>
      <c r="K1567">
        <f>IFERROR(__xludf.DUMMYFUNCTION("""COMPUTED_VALUE"""),16.0)</f>
        <v>16</v>
      </c>
      <c r="L1567">
        <f>IFERROR(__xludf.DUMMYFUNCTION("""COMPUTED_VALUE"""),4.0)</f>
        <v>4</v>
      </c>
      <c r="M1567">
        <f>IFERROR(__xludf.DUMMYFUNCTION("""COMPUTED_VALUE"""),20.0)</f>
        <v>20</v>
      </c>
      <c r="N1567" t="str">
        <f>IFERROR(__xludf.DUMMYFUNCTION("""COMPUTED_VALUE"""),"Model 3 LR AWD")</f>
        <v>Model 3 LR AWD</v>
      </c>
      <c r="O1567" t="str">
        <f>IFERROR(__xludf.DUMMYFUNCTION("""COMPUTED_VALUE"""),"Solid Black")</f>
        <v>Solid Black</v>
      </c>
      <c r="P1567" t="str">
        <f>IFERROR(__xludf.DUMMYFUNCTION("""COMPUTED_VALUE"""),"19 inch Sport")</f>
        <v>19 inch Sport</v>
      </c>
      <c r="Q1567" t="str">
        <f>IFERROR(__xludf.DUMMYFUNCTION("""COMPUTED_VALUE"""),"White seats")</f>
        <v>White seats</v>
      </c>
      <c r="R1567" t="str">
        <f>IFERROR(__xludf.DUMMYFUNCTION("""COMPUTED_VALUE"""),"Enhanced Autopilot")</f>
        <v>Enhanced Autopilot</v>
      </c>
      <c r="X1567" t="str">
        <f>IFERROR(__xludf.DUMMYFUNCTION("""COMPUTED_VALUE"""),"Excellent")</f>
        <v>Excellent</v>
      </c>
      <c r="Y1567" t="str">
        <f>IFERROR(__xludf.DUMMYFUNCTION("""COMPUTED_VALUE"""),"Very Good")</f>
        <v>Very Good</v>
      </c>
      <c r="Z1567" t="str">
        <f>IFERROR(__xludf.DUMMYFUNCTION("""COMPUTED_VALUE"""),"Very Good")</f>
        <v>Very Good</v>
      </c>
      <c r="AA1567" t="str">
        <f>IFERROR(__xludf.DUMMYFUNCTION("""COMPUTED_VALUE"""),"Excellent")</f>
        <v>Excellent</v>
      </c>
      <c r="AB1567" t="str">
        <f>IFERROR(__xludf.DUMMYFUNCTION("""COMPUTED_VALUE"""),"Very Good")</f>
        <v>Very Good</v>
      </c>
      <c r="AC1567">
        <f>IFERROR(__xludf.DUMMYFUNCTION("""COMPUTED_VALUE"""),1.0)</f>
        <v>1</v>
      </c>
      <c r="AD1567">
        <f>IFERROR(__xludf.DUMMYFUNCTION("""COMPUTED_VALUE"""),1.0)</f>
        <v>1</v>
      </c>
      <c r="AE1567">
        <f>IFERROR(__xludf.DUMMYFUNCTION("""COMPUTED_VALUE"""),0.0)</f>
        <v>0</v>
      </c>
      <c r="AH1567" s="189">
        <f>IFERROR(__xludf.DUMMYFUNCTION("""COMPUTED_VALUE"""),43509.37229726852)</f>
        <v>43509.3723</v>
      </c>
    </row>
    <row r="1568">
      <c r="A1568" t="str">
        <f>IFERROR(__xludf.DUMMYFUNCTION("""COMPUTED_VALUE"""),"danjes")</f>
        <v>danjes</v>
      </c>
      <c r="B1568" t="str">
        <f>IFERROR(__xludf.DUMMYFUNCTION("""COMPUTED_VALUE"""),"Fremont")</f>
        <v>Fremont</v>
      </c>
      <c r="C1568" t="str">
        <f>IFERROR(__xludf.DUMMYFUNCTION("""COMPUTED_VALUE"""),"CA")</f>
        <v>CA</v>
      </c>
      <c r="D1568" t="str">
        <f>IFERROR(__xludf.DUMMYFUNCTION("""COMPUTED_VALUE"""),"USA")</f>
        <v>USA</v>
      </c>
      <c r="E1568" s="188">
        <f>IFERROR(__xludf.DUMMYFUNCTION("""COMPUTED_VALUE"""),43501.0)</f>
        <v>43501</v>
      </c>
      <c r="F1568" s="188">
        <f>IFERROR(__xludf.DUMMYFUNCTION("""COMPUTED_VALUE"""),43509.0)</f>
        <v>43509</v>
      </c>
      <c r="H1568">
        <f>IFERROR(__xludf.DUMMYFUNCTION("""COMPUTED_VALUE"""),161016.0)</f>
        <v>161016</v>
      </c>
      <c r="I1568" t="str">
        <f>IFERROR(__xludf.DUMMYFUNCTION("""COMPUTED_VALUE"""),"12/18")</f>
        <v>12/18</v>
      </c>
      <c r="J1568" s="5">
        <f>IFERROR(__xludf.DUMMYFUNCTION("""COMPUTED_VALUE"""),43511.0)</f>
        <v>43511</v>
      </c>
      <c r="K1568">
        <f>IFERROR(__xludf.DUMMYFUNCTION("""COMPUTED_VALUE"""),8.0)</f>
        <v>8</v>
      </c>
      <c r="L1568">
        <f>IFERROR(__xludf.DUMMYFUNCTION("""COMPUTED_VALUE"""),2.0)</f>
        <v>2</v>
      </c>
      <c r="M1568">
        <f>IFERROR(__xludf.DUMMYFUNCTION("""COMPUTED_VALUE"""),10.0)</f>
        <v>10</v>
      </c>
      <c r="N1568" t="str">
        <f>IFERROR(__xludf.DUMMYFUNCTION("""COMPUTED_VALUE"""),"Model 3 MR")</f>
        <v>Model 3 MR</v>
      </c>
      <c r="O1568" t="str">
        <f>IFERROR(__xludf.DUMMYFUNCTION("""COMPUTED_VALUE"""),"Deep Blue Metallic")</f>
        <v>Deep Blue Metallic</v>
      </c>
      <c r="P1568" t="str">
        <f>IFERROR(__xludf.DUMMYFUNCTION("""COMPUTED_VALUE"""),"18 inch Aero")</f>
        <v>18 inch Aero</v>
      </c>
      <c r="Q1568" t="str">
        <f>IFERROR(__xludf.DUMMYFUNCTION("""COMPUTED_VALUE"""),"Black seats")</f>
        <v>Black seats</v>
      </c>
      <c r="R1568" t="str">
        <f>IFERROR(__xludf.DUMMYFUNCTION("""COMPUTED_VALUE"""),"Enhanced Autopilot")</f>
        <v>Enhanced Autopilot</v>
      </c>
      <c r="X1568" t="str">
        <f>IFERROR(__xludf.DUMMYFUNCTION("""COMPUTED_VALUE"""),"Good")</f>
        <v>Good</v>
      </c>
      <c r="Y1568" t="str">
        <f>IFERROR(__xludf.DUMMYFUNCTION("""COMPUTED_VALUE"""),"Good")</f>
        <v>Good</v>
      </c>
      <c r="Z1568" t="str">
        <f>IFERROR(__xludf.DUMMYFUNCTION("""COMPUTED_VALUE"""),"Good")</f>
        <v>Good</v>
      </c>
      <c r="AA1568" t="str">
        <f>IFERROR(__xludf.DUMMYFUNCTION("""COMPUTED_VALUE"""),"Excellent")</f>
        <v>Excellent</v>
      </c>
      <c r="AB1568" t="str">
        <f>IFERROR(__xludf.DUMMYFUNCTION("""COMPUTED_VALUE"""),"Excellent")</f>
        <v>Excellent</v>
      </c>
      <c r="AH1568" s="189">
        <f>IFERROR(__xludf.DUMMYFUNCTION("""COMPUTED_VALUE"""),43511.71574237269)</f>
        <v>43511.71574</v>
      </c>
    </row>
    <row r="1569">
      <c r="A1569" t="str">
        <f>IFERROR(__xludf.DUMMYFUNCTION("""COMPUTED_VALUE"""),"bdubs27")</f>
        <v>bdubs27</v>
      </c>
      <c r="B1569" t="str">
        <f>IFERROR(__xludf.DUMMYFUNCTION("""COMPUTED_VALUE"""),"St. Louis")</f>
        <v>St. Louis</v>
      </c>
      <c r="C1569" t="str">
        <f>IFERROR(__xludf.DUMMYFUNCTION("""COMPUTED_VALUE"""),"MO")</f>
        <v>MO</v>
      </c>
      <c r="D1569" t="str">
        <f>IFERROR(__xludf.DUMMYFUNCTION("""COMPUTED_VALUE"""),"USA")</f>
        <v>USA</v>
      </c>
      <c r="E1569" s="188">
        <f>IFERROR(__xludf.DUMMYFUNCTION("""COMPUTED_VALUE"""),43395.0)</f>
        <v>43395</v>
      </c>
      <c r="F1569" s="188">
        <f>IFERROR(__xludf.DUMMYFUNCTION("""COMPUTED_VALUE"""),43441.0)</f>
        <v>43441</v>
      </c>
      <c r="H1569">
        <f>IFERROR(__xludf.DUMMYFUNCTION("""COMPUTED_VALUE"""),155455.0)</f>
        <v>155455</v>
      </c>
      <c r="I1569" t="str">
        <f>IFERROR(__xludf.DUMMYFUNCTION("""COMPUTED_VALUE"""),"12/18")</f>
        <v>12/18</v>
      </c>
      <c r="J1569" s="5">
        <f>IFERROR(__xludf.DUMMYFUNCTION("""COMPUTED_VALUE"""),43446.0)</f>
        <v>43446</v>
      </c>
      <c r="K1569">
        <f>IFERROR(__xludf.DUMMYFUNCTION("""COMPUTED_VALUE"""),46.0)</f>
        <v>46</v>
      </c>
      <c r="L1569">
        <f>IFERROR(__xludf.DUMMYFUNCTION("""COMPUTED_VALUE"""),5.0)</f>
        <v>5</v>
      </c>
      <c r="M1569">
        <f>IFERROR(__xludf.DUMMYFUNCTION("""COMPUTED_VALUE"""),51.0)</f>
        <v>51</v>
      </c>
      <c r="N1569" t="str">
        <f>IFERROR(__xludf.DUMMYFUNCTION("""COMPUTED_VALUE"""),"Model 3 MR")</f>
        <v>Model 3 MR</v>
      </c>
      <c r="O1569" t="str">
        <f>IFERROR(__xludf.DUMMYFUNCTION("""COMPUTED_VALUE"""),"Pearl White Multi-Coat")</f>
        <v>Pearl White Multi-Coat</v>
      </c>
      <c r="P1569" t="str">
        <f>IFERROR(__xludf.DUMMYFUNCTION("""COMPUTED_VALUE"""),"18 inch Aero")</f>
        <v>18 inch Aero</v>
      </c>
      <c r="Q1569" t="str">
        <f>IFERROR(__xludf.DUMMYFUNCTION("""COMPUTED_VALUE"""),"White seats")</f>
        <v>White seats</v>
      </c>
      <c r="R1569" t="str">
        <f>IFERROR(__xludf.DUMMYFUNCTION("""COMPUTED_VALUE"""),"None")</f>
        <v>None</v>
      </c>
      <c r="X1569" t="str">
        <f>IFERROR(__xludf.DUMMYFUNCTION("""COMPUTED_VALUE"""),"Good")</f>
        <v>Good</v>
      </c>
      <c r="Y1569" t="str">
        <f>IFERROR(__xludf.DUMMYFUNCTION("""COMPUTED_VALUE"""),"Excellent")</f>
        <v>Excellent</v>
      </c>
      <c r="Z1569" t="str">
        <f>IFERROR(__xludf.DUMMYFUNCTION("""COMPUTED_VALUE"""),"Excellent")</f>
        <v>Excellent</v>
      </c>
      <c r="AA1569" t="str">
        <f>IFERROR(__xludf.DUMMYFUNCTION("""COMPUTED_VALUE"""),"Good")</f>
        <v>Good</v>
      </c>
      <c r="AB1569" t="str">
        <f>IFERROR(__xludf.DUMMYFUNCTION("""COMPUTED_VALUE"""),"Very Good")</f>
        <v>Very Good</v>
      </c>
      <c r="AC1569">
        <f>IFERROR(__xludf.DUMMYFUNCTION("""COMPUTED_VALUE"""),0.0)</f>
        <v>0</v>
      </c>
      <c r="AD1569">
        <f>IFERROR(__xludf.DUMMYFUNCTION("""COMPUTED_VALUE"""),0.0)</f>
        <v>0</v>
      </c>
      <c r="AE1569">
        <f>IFERROR(__xludf.DUMMYFUNCTION("""COMPUTED_VALUE"""),0.0)</f>
        <v>0</v>
      </c>
      <c r="AH1569" s="189">
        <f>IFERROR(__xludf.DUMMYFUNCTION("""COMPUTED_VALUE"""),43514.49780557871)</f>
        <v>43514.49781</v>
      </c>
    </row>
    <row r="1570">
      <c r="A1570" t="str">
        <f>IFERROR(__xludf.DUMMYFUNCTION("""COMPUTED_VALUE"""),"V__2")</f>
        <v>V__2</v>
      </c>
      <c r="C1570" t="str">
        <f>IFERROR(__xludf.DUMMYFUNCTION("""COMPUTED_VALUE"""),"FL")</f>
        <v>FL</v>
      </c>
      <c r="D1570" t="str">
        <f>IFERROR(__xludf.DUMMYFUNCTION("""COMPUTED_VALUE"""),"USA")</f>
        <v>USA</v>
      </c>
      <c r="E1570" s="188">
        <f>IFERROR(__xludf.DUMMYFUNCTION("""COMPUTED_VALUE"""),43393.0)</f>
        <v>43393</v>
      </c>
      <c r="F1570" s="188">
        <f>IFERROR(__xludf.DUMMYFUNCTION("""COMPUTED_VALUE"""),43441.0)</f>
        <v>43441</v>
      </c>
      <c r="H1570">
        <f>IFERROR(__xludf.DUMMYFUNCTION("""COMPUTED_VALUE"""),155585.0)</f>
        <v>155585</v>
      </c>
      <c r="I1570" t="str">
        <f>IFERROR(__xludf.DUMMYFUNCTION("""COMPUTED_VALUE"""),"12/18")</f>
        <v>12/18</v>
      </c>
      <c r="J1570" s="5">
        <f>IFERROR(__xludf.DUMMYFUNCTION("""COMPUTED_VALUE"""),43447.0)</f>
        <v>43447</v>
      </c>
      <c r="K1570">
        <f>IFERROR(__xludf.DUMMYFUNCTION("""COMPUTED_VALUE"""),48.0)</f>
        <v>48</v>
      </c>
      <c r="L1570">
        <f>IFERROR(__xludf.DUMMYFUNCTION("""COMPUTED_VALUE"""),6.0)</f>
        <v>6</v>
      </c>
      <c r="M1570">
        <f>IFERROR(__xludf.DUMMYFUNCTION("""COMPUTED_VALUE"""),54.0)</f>
        <v>54</v>
      </c>
      <c r="N1570" t="str">
        <f>IFERROR(__xludf.DUMMYFUNCTION("""COMPUTED_VALUE"""),"Model 3 MR")</f>
        <v>Model 3 MR</v>
      </c>
      <c r="O1570" t="str">
        <f>IFERROR(__xludf.DUMMYFUNCTION("""COMPUTED_VALUE"""),"Midnight Silver Metallic")</f>
        <v>Midnight Silver Metallic</v>
      </c>
      <c r="P1570" t="str">
        <f>IFERROR(__xludf.DUMMYFUNCTION("""COMPUTED_VALUE"""),"18 inch Aero")</f>
        <v>18 inch Aero</v>
      </c>
      <c r="Q1570" t="str">
        <f>IFERROR(__xludf.DUMMYFUNCTION("""COMPUTED_VALUE"""),"White seats")</f>
        <v>White seats</v>
      </c>
      <c r="R1570" t="str">
        <f>IFERROR(__xludf.DUMMYFUNCTION("""COMPUTED_VALUE"""),"None")</f>
        <v>None</v>
      </c>
      <c r="X1570" t="str">
        <f>IFERROR(__xludf.DUMMYFUNCTION("""COMPUTED_VALUE"""),"Excellent")</f>
        <v>Excellent</v>
      </c>
      <c r="Y1570" t="str">
        <f>IFERROR(__xludf.DUMMYFUNCTION("""COMPUTED_VALUE"""),"Very Good")</f>
        <v>Very Good</v>
      </c>
      <c r="Z1570" t="str">
        <f>IFERROR(__xludf.DUMMYFUNCTION("""COMPUTED_VALUE"""),"Excellent")</f>
        <v>Excellent</v>
      </c>
      <c r="AA1570" t="str">
        <f>IFERROR(__xludf.DUMMYFUNCTION("""COMPUTED_VALUE"""),"Fair")</f>
        <v>Fair</v>
      </c>
      <c r="AB1570" t="str">
        <f>IFERROR(__xludf.DUMMYFUNCTION("""COMPUTED_VALUE"""),"Excellent")</f>
        <v>Excellent</v>
      </c>
      <c r="AC1570">
        <f>IFERROR(__xludf.DUMMYFUNCTION("""COMPUTED_VALUE"""),0.0)</f>
        <v>0</v>
      </c>
      <c r="AD1570">
        <f>IFERROR(__xludf.DUMMYFUNCTION("""COMPUTED_VALUE"""),0.0)</f>
        <v>0</v>
      </c>
      <c r="AE1570">
        <f>IFERROR(__xludf.DUMMYFUNCTION("""COMPUTED_VALUE"""),0.0)</f>
        <v>0</v>
      </c>
      <c r="AH1570" s="189">
        <f>IFERROR(__xludf.DUMMYFUNCTION("""COMPUTED_VALUE"""),43514.52859752315)</f>
        <v>43514.5286</v>
      </c>
    </row>
    <row r="1571">
      <c r="A1571" t="str">
        <f>IFERROR(__xludf.DUMMYFUNCTION("""COMPUTED_VALUE"""),"V__2")</f>
        <v>V__2</v>
      </c>
      <c r="C1571" t="str">
        <f>IFERROR(__xludf.DUMMYFUNCTION("""COMPUTED_VALUE"""),"FL")</f>
        <v>FL</v>
      </c>
      <c r="D1571" t="str">
        <f>IFERROR(__xludf.DUMMYFUNCTION("""COMPUTED_VALUE"""),"USA")</f>
        <v>USA</v>
      </c>
      <c r="E1571" s="188">
        <f>IFERROR(__xludf.DUMMYFUNCTION("""COMPUTED_VALUE"""),43498.0)</f>
        <v>43498</v>
      </c>
      <c r="F1571" s="188">
        <f>IFERROR(__xludf.DUMMYFUNCTION("""COMPUTED_VALUE"""),43503.0)</f>
        <v>43503</v>
      </c>
      <c r="H1571">
        <f>IFERROR(__xludf.DUMMYFUNCTION("""COMPUTED_VALUE"""),192645.0)</f>
        <v>192645</v>
      </c>
      <c r="I1571" t="str">
        <f>IFERROR(__xludf.DUMMYFUNCTION("""COMPUTED_VALUE"""),"01/19")</f>
        <v>01/19</v>
      </c>
      <c r="J1571" s="5">
        <f>IFERROR(__xludf.DUMMYFUNCTION("""COMPUTED_VALUE"""),43515.0)</f>
        <v>43515</v>
      </c>
      <c r="K1571">
        <f>IFERROR(__xludf.DUMMYFUNCTION("""COMPUTED_VALUE"""),5.0)</f>
        <v>5</v>
      </c>
      <c r="L1571">
        <f>IFERROR(__xludf.DUMMYFUNCTION("""COMPUTED_VALUE"""),12.0)</f>
        <v>12</v>
      </c>
      <c r="M1571">
        <f>IFERROR(__xludf.DUMMYFUNCTION("""COMPUTED_VALUE"""),17.0)</f>
        <v>17</v>
      </c>
      <c r="N1571" t="str">
        <f>IFERROR(__xludf.DUMMYFUNCTION("""COMPUTED_VALUE"""),"Model 3 LR AWD")</f>
        <v>Model 3 LR AWD</v>
      </c>
      <c r="O1571" t="str">
        <f>IFERROR(__xludf.DUMMYFUNCTION("""COMPUTED_VALUE"""),"Midnight Silver Metallic")</f>
        <v>Midnight Silver Metallic</v>
      </c>
      <c r="P1571" t="str">
        <f>IFERROR(__xludf.DUMMYFUNCTION("""COMPUTED_VALUE"""),"19 inch Sport")</f>
        <v>19 inch Sport</v>
      </c>
      <c r="Q1571" t="str">
        <f>IFERROR(__xludf.DUMMYFUNCTION("""COMPUTED_VALUE"""),"White seats")</f>
        <v>White seats</v>
      </c>
      <c r="R1571" t="str">
        <f>IFERROR(__xludf.DUMMYFUNCTION("""COMPUTED_VALUE"""),"None")</f>
        <v>None</v>
      </c>
      <c r="AA1571" t="str">
        <f>IFERROR(__xludf.DUMMYFUNCTION("""COMPUTED_VALUE"""),"Fair")</f>
        <v>Fair</v>
      </c>
      <c r="AH1571" s="189">
        <f>IFERROR(__xludf.DUMMYFUNCTION("""COMPUTED_VALUE"""),43514.5367119213)</f>
        <v>43514.53671</v>
      </c>
    </row>
    <row r="1572">
      <c r="A1572" t="str">
        <f>IFERROR(__xludf.DUMMYFUNCTION("""COMPUTED_VALUE"""),"Daniel_a_g86")</f>
        <v>Daniel_a_g86</v>
      </c>
      <c r="C1572" t="str">
        <f>IFERROR(__xludf.DUMMYFUNCTION("""COMPUTED_VALUE"""),"OH")</f>
        <v>OH</v>
      </c>
      <c r="D1572" t="str">
        <f>IFERROR(__xludf.DUMMYFUNCTION("""COMPUTED_VALUE"""),"USA")</f>
        <v>USA</v>
      </c>
      <c r="E1572" s="188">
        <f>IFERROR(__xludf.DUMMYFUNCTION("""COMPUTED_VALUE"""),43392.0)</f>
        <v>43392</v>
      </c>
      <c r="F1572" s="188">
        <f>IFERROR(__xludf.DUMMYFUNCTION("""COMPUTED_VALUE"""),43442.0)</f>
        <v>43442</v>
      </c>
      <c r="H1572">
        <f>IFERROR(__xludf.DUMMYFUNCTION("""COMPUTED_VALUE"""),155855.0)</f>
        <v>155855</v>
      </c>
      <c r="I1572" t="str">
        <f>IFERROR(__xludf.DUMMYFUNCTION("""COMPUTED_VALUE"""),"12/18")</f>
        <v>12/18</v>
      </c>
      <c r="J1572" s="5">
        <f>IFERROR(__xludf.DUMMYFUNCTION("""COMPUTED_VALUE"""),43449.0)</f>
        <v>43449</v>
      </c>
      <c r="K1572">
        <f>IFERROR(__xludf.DUMMYFUNCTION("""COMPUTED_VALUE"""),50.0)</f>
        <v>50</v>
      </c>
      <c r="L1572">
        <f>IFERROR(__xludf.DUMMYFUNCTION("""COMPUTED_VALUE"""),7.0)</f>
        <v>7</v>
      </c>
      <c r="M1572">
        <f>IFERROR(__xludf.DUMMYFUNCTION("""COMPUTED_VALUE"""),57.0)</f>
        <v>57</v>
      </c>
      <c r="N1572" t="str">
        <f>IFERROR(__xludf.DUMMYFUNCTION("""COMPUTED_VALUE"""),"Model 3 MR")</f>
        <v>Model 3 MR</v>
      </c>
      <c r="O1572" t="str">
        <f>IFERROR(__xludf.DUMMYFUNCTION("""COMPUTED_VALUE"""),"Deep Blue Metallic")</f>
        <v>Deep Blue Metallic</v>
      </c>
      <c r="P1572" t="str">
        <f>IFERROR(__xludf.DUMMYFUNCTION("""COMPUTED_VALUE"""),"18 inch Aero")</f>
        <v>18 inch Aero</v>
      </c>
      <c r="Q1572" t="str">
        <f>IFERROR(__xludf.DUMMYFUNCTION("""COMPUTED_VALUE"""),"White seats")</f>
        <v>White seats</v>
      </c>
      <c r="R1572" t="str">
        <f>IFERROR(__xludf.DUMMYFUNCTION("""COMPUTED_VALUE"""),"None")</f>
        <v>None</v>
      </c>
      <c r="X1572" t="str">
        <f>IFERROR(__xludf.DUMMYFUNCTION("""COMPUTED_VALUE"""),"Very Good")</f>
        <v>Very Good</v>
      </c>
      <c r="Y1572" t="str">
        <f>IFERROR(__xludf.DUMMYFUNCTION("""COMPUTED_VALUE"""),"Excellent")</f>
        <v>Excellent</v>
      </c>
      <c r="Z1572" t="str">
        <f>IFERROR(__xludf.DUMMYFUNCTION("""COMPUTED_VALUE"""),"Good")</f>
        <v>Good</v>
      </c>
      <c r="AA1572" t="str">
        <f>IFERROR(__xludf.DUMMYFUNCTION("""COMPUTED_VALUE"""),"Very Good")</f>
        <v>Very Good</v>
      </c>
      <c r="AB1572" t="str">
        <f>IFERROR(__xludf.DUMMYFUNCTION("""COMPUTED_VALUE"""),"Very Good")</f>
        <v>Very Good</v>
      </c>
      <c r="AC1572">
        <f>IFERROR(__xludf.DUMMYFUNCTION("""COMPUTED_VALUE"""),14.0)</f>
        <v>14</v>
      </c>
      <c r="AD1572">
        <f>IFERROR(__xludf.DUMMYFUNCTION("""COMPUTED_VALUE"""),27.0)</f>
        <v>27</v>
      </c>
      <c r="AE1572">
        <f>IFERROR(__xludf.DUMMYFUNCTION("""COMPUTED_VALUE"""),27.0)</f>
        <v>27</v>
      </c>
      <c r="AG1572" t="str">
        <f>IFERROR(__xludf.DUMMYFUNCTION("""COMPUTED_VALUE"""),"Originally configured LR RWD on 10/14/18, had a VIN on 10/17/18 w/ delivery scheduled for 10/21/18. When news of midrange version came out on 10/18/18 I worked with Tesla to change my order. That happened on 10/19/19. Delivery date was assigned on 12/7/18"&amp;" for 12/15/18 but VIN didn't appear until the next day, 12/8/18. Delivery went well and was fast, they seemed to want me to get out because they had many more deliveries.  But they did say I had 3 days to log any issues.  I sent an email with a variety of"&amp;" paint defects and they did address them all.  It took just shy of 4 weeks though because the paint shop took nearly 3 weeks to address them all.  The work was great though and once receiving back have had no issues since.  Car is great, love everything a"&amp;"bout it.")</f>
        <v>Originally configured LR RWD on 10/14/18, had a VIN on 10/17/18 w/ delivery scheduled for 10/21/18. When news of midrange version came out on 10/18/18 I worked with Tesla to change my order. That happened on 10/19/19. Delivery date was assigned on 12/7/18 for 12/15/18 but VIN didn't appear until the next day, 12/8/18. Delivery went well and was fast, they seemed to want me to get out because they had many more deliveries.  But they did say I had 3 days to log any issues.  I sent an email with a variety of paint defects and they did address them all.  It took just shy of 4 weeks though because the paint shop took nearly 3 weeks to address them all.  The work was great though and once receiving back have had no issues since.  Car is great, love everything about it.</v>
      </c>
      <c r="AH1572" s="189">
        <f>IFERROR(__xludf.DUMMYFUNCTION("""COMPUTED_VALUE"""),43514.77800784722)</f>
        <v>43514.77801</v>
      </c>
    </row>
    <row r="1573">
      <c r="A1573" t="str">
        <f>IFERROR(__xludf.DUMMYFUNCTION("""COMPUTED_VALUE"""),"Jango Fett")</f>
        <v>Jango Fett</v>
      </c>
      <c r="B1573" t="str">
        <f>IFERROR(__xludf.DUMMYFUNCTION("""COMPUTED_VALUE"""),"Chicago suburbs")</f>
        <v>Chicago suburbs</v>
      </c>
      <c r="C1573" t="str">
        <f>IFERROR(__xludf.DUMMYFUNCTION("""COMPUTED_VALUE"""),"IL")</f>
        <v>IL</v>
      </c>
      <c r="D1573" t="str">
        <f>IFERROR(__xludf.DUMMYFUNCTION("""COMPUTED_VALUE"""),"USA")</f>
        <v>USA</v>
      </c>
      <c r="E1573" s="188">
        <f>IFERROR(__xludf.DUMMYFUNCTION("""COMPUTED_VALUE"""),43104.0)</f>
        <v>43104</v>
      </c>
      <c r="F1573" s="188">
        <f>IFERROR(__xludf.DUMMYFUNCTION("""COMPUTED_VALUE"""),43124.0)</f>
        <v>43124</v>
      </c>
      <c r="H1573" s="4">
        <f>IFERROR(__xludf.DUMMYFUNCTION("""COMPUTED_VALUE"""),2842.0)</f>
        <v>2842</v>
      </c>
      <c r="J1573" s="5">
        <f>IFERROR(__xludf.DUMMYFUNCTION("""COMPUTED_VALUE"""),43124.0)</f>
        <v>43124</v>
      </c>
      <c r="K1573">
        <f>IFERROR(__xludf.DUMMYFUNCTION("""COMPUTED_VALUE"""),20.0)</f>
        <v>20</v>
      </c>
      <c r="L1573">
        <f>IFERROR(__xludf.DUMMYFUNCTION("""COMPUTED_VALUE"""),0.0)</f>
        <v>0</v>
      </c>
      <c r="M1573">
        <f>IFERROR(__xludf.DUMMYFUNCTION("""COMPUTED_VALUE"""),20.0)</f>
        <v>20</v>
      </c>
      <c r="N1573" t="str">
        <f>IFERROR(__xludf.DUMMYFUNCTION("""COMPUTED_VALUE"""),"Model 3 LR")</f>
        <v>Model 3 LR</v>
      </c>
      <c r="O1573" t="str">
        <f>IFERROR(__xludf.DUMMYFUNCTION("""COMPUTED_VALUE"""),"Midnight Silver Metallic")</f>
        <v>Midnight Silver Metallic</v>
      </c>
      <c r="P1573" t="str">
        <f>IFERROR(__xludf.DUMMYFUNCTION("""COMPUTED_VALUE"""),"18 inch Aero")</f>
        <v>18 inch Aero</v>
      </c>
      <c r="Q1573" t="str">
        <f>IFERROR(__xludf.DUMMYFUNCTION("""COMPUTED_VALUE"""),"Black seats")</f>
        <v>Black seats</v>
      </c>
      <c r="R1573" t="str">
        <f>IFERROR(__xludf.DUMMYFUNCTION("""COMPUTED_VALUE"""),"Enhanced Autopilot")</f>
        <v>Enhanced Autopilot</v>
      </c>
      <c r="X1573" t="str">
        <f>IFERROR(__xludf.DUMMYFUNCTION("""COMPUTED_VALUE"""),"Very Good")</f>
        <v>Very Good</v>
      </c>
      <c r="Y1573" t="str">
        <f>IFERROR(__xludf.DUMMYFUNCTION("""COMPUTED_VALUE"""),"Very Good")</f>
        <v>Very Good</v>
      </c>
      <c r="Z1573" t="str">
        <f>IFERROR(__xludf.DUMMYFUNCTION("""COMPUTED_VALUE"""),"Excellent")</f>
        <v>Excellent</v>
      </c>
      <c r="AA1573" t="str">
        <f>IFERROR(__xludf.DUMMYFUNCTION("""COMPUTED_VALUE"""),"Excellent")</f>
        <v>Excellent</v>
      </c>
      <c r="AB1573" t="str">
        <f>IFERROR(__xludf.DUMMYFUNCTION("""COMPUTED_VALUE"""),"Excellent")</f>
        <v>Excellent</v>
      </c>
      <c r="AC1573">
        <f>IFERROR(__xludf.DUMMYFUNCTION("""COMPUTED_VALUE"""),1.0)</f>
        <v>1</v>
      </c>
      <c r="AD1573">
        <f>IFERROR(__xludf.DUMMYFUNCTION("""COMPUTED_VALUE"""),1.0)</f>
        <v>1</v>
      </c>
      <c r="AE1573">
        <f>IFERROR(__xludf.DUMMYFUNCTION("""COMPUTED_VALUE"""),0.0)</f>
        <v>0</v>
      </c>
      <c r="AG1573" t="str">
        <f>IFERROR(__xludf.DUMMYFUNCTION("""COMPUTED_VALUE"""),"Date of manufacture: 1/2018.  Very few problems")</f>
        <v>Date of manufacture: 1/2018.  Very few problems</v>
      </c>
      <c r="AH1573" s="189">
        <f>IFERROR(__xludf.DUMMYFUNCTION("""COMPUTED_VALUE"""),43521.417008819444)</f>
        <v>43521.41701</v>
      </c>
    </row>
    <row r="1574">
      <c r="A1574" t="str">
        <f>IFERROR(__xludf.DUMMYFUNCTION("""COMPUTED_VALUE"""),"rackwallace")</f>
        <v>rackwallace</v>
      </c>
      <c r="B1574" t="str">
        <f>IFERROR(__xludf.DUMMYFUNCTION("""COMPUTED_VALUE"""),"Oakland")</f>
        <v>Oakland</v>
      </c>
      <c r="C1574" t="str">
        <f>IFERROR(__xludf.DUMMYFUNCTION("""COMPUTED_VALUE"""),"CA")</f>
        <v>CA</v>
      </c>
      <c r="D1574" t="str">
        <f>IFERROR(__xludf.DUMMYFUNCTION("""COMPUTED_VALUE"""),"USA")</f>
        <v>USA</v>
      </c>
      <c r="E1574" s="188">
        <f>IFERROR(__xludf.DUMMYFUNCTION("""COMPUTED_VALUE"""),43359.0)</f>
        <v>43359</v>
      </c>
      <c r="F1574" s="188">
        <f>IFERROR(__xludf.DUMMYFUNCTION("""COMPUTED_VALUE"""),43445.0)</f>
        <v>43445</v>
      </c>
      <c r="H1574">
        <f>IFERROR(__xludf.DUMMYFUNCTION("""COMPUTED_VALUE"""),80958.0)</f>
        <v>80958</v>
      </c>
      <c r="I1574" t="str">
        <f>IFERROR(__xludf.DUMMYFUNCTION("""COMPUTED_VALUE"""),"11/18")</f>
        <v>11/18</v>
      </c>
      <c r="J1574" s="5">
        <f>IFERROR(__xludf.DUMMYFUNCTION("""COMPUTED_VALUE"""),43449.0)</f>
        <v>43449</v>
      </c>
      <c r="K1574">
        <f>IFERROR(__xludf.DUMMYFUNCTION("""COMPUTED_VALUE"""),86.0)</f>
        <v>86</v>
      </c>
      <c r="L1574">
        <f>IFERROR(__xludf.DUMMYFUNCTION("""COMPUTED_VALUE"""),4.0)</f>
        <v>4</v>
      </c>
      <c r="M1574">
        <f>IFERROR(__xludf.DUMMYFUNCTION("""COMPUTED_VALUE"""),90.0)</f>
        <v>90</v>
      </c>
      <c r="N1574" t="str">
        <f>IFERROR(__xludf.DUMMYFUNCTION("""COMPUTED_VALUE"""),"Model 3 Performance")</f>
        <v>Model 3 Performance</v>
      </c>
      <c r="O1574" t="str">
        <f>IFERROR(__xludf.DUMMYFUNCTION("""COMPUTED_VALUE"""),"Deep Blue Metallic")</f>
        <v>Deep Blue Metallic</v>
      </c>
      <c r="P1574" t="str">
        <f>IFERROR(__xludf.DUMMYFUNCTION("""COMPUTED_VALUE"""),"20 inch Sport")</f>
        <v>20 inch Sport</v>
      </c>
      <c r="Q1574" t="str">
        <f>IFERROR(__xludf.DUMMYFUNCTION("""COMPUTED_VALUE"""),"White seats")</f>
        <v>White seats</v>
      </c>
      <c r="R1574" t="str">
        <f>IFERROR(__xludf.DUMMYFUNCTION("""COMPUTED_VALUE"""),"Enhanced Autopilot")</f>
        <v>Enhanced Autopilot</v>
      </c>
      <c r="X1574" t="str">
        <f>IFERROR(__xludf.DUMMYFUNCTION("""COMPUTED_VALUE"""),"Excellent")</f>
        <v>Excellent</v>
      </c>
      <c r="Y1574" t="str">
        <f>IFERROR(__xludf.DUMMYFUNCTION("""COMPUTED_VALUE"""),"Very Good")</f>
        <v>Very Good</v>
      </c>
      <c r="Z1574" t="str">
        <f>IFERROR(__xludf.DUMMYFUNCTION("""COMPUTED_VALUE"""),"Excellent")</f>
        <v>Excellent</v>
      </c>
      <c r="AA1574" t="str">
        <f>IFERROR(__xludf.DUMMYFUNCTION("""COMPUTED_VALUE"""),"Poor")</f>
        <v>Poor</v>
      </c>
      <c r="AB1574" t="str">
        <f>IFERROR(__xludf.DUMMYFUNCTION("""COMPUTED_VALUE"""),"Fair")</f>
        <v>Fair</v>
      </c>
      <c r="AC1574">
        <f>IFERROR(__xludf.DUMMYFUNCTION("""COMPUTED_VALUE"""),0.0)</f>
        <v>0</v>
      </c>
      <c r="AD1574">
        <f>IFERROR(__xludf.DUMMYFUNCTION("""COMPUTED_VALUE"""),0.0)</f>
        <v>0</v>
      </c>
      <c r="AE1574">
        <f>IFERROR(__xludf.DUMMYFUNCTION("""COMPUTED_VALUE"""),0.0)</f>
        <v>0</v>
      </c>
      <c r="AG1574" t="str">
        <f>IFERROR(__xludf.DUMMYFUNCTION("""COMPUTED_VALUE"""),"First VIN had problems (panel gaps and scratches), so I passed on it.  Waited a few weeks for a second car.   It was great..")</f>
        <v>First VIN had problems (panel gaps and scratches), so I passed on it.  Waited a few weeks for a second car.   It was great..</v>
      </c>
      <c r="AH1574" s="189">
        <f>IFERROR(__xludf.DUMMYFUNCTION("""COMPUTED_VALUE"""),43522.44055944444)</f>
        <v>43522.44056</v>
      </c>
    </row>
    <row r="1575">
      <c r="A1575" t="str">
        <f>IFERROR(__xludf.DUMMYFUNCTION("""COMPUTED_VALUE"""),"NoHubBub")</f>
        <v>NoHubBub</v>
      </c>
      <c r="B1575" t="str">
        <f>IFERROR(__xludf.DUMMYFUNCTION("""COMPUTED_VALUE"""),"Lincoln")</f>
        <v>Lincoln</v>
      </c>
      <c r="C1575" t="str">
        <f>IFERROR(__xludf.DUMMYFUNCTION("""COMPUTED_VALUE"""),"VT")</f>
        <v>VT</v>
      </c>
      <c r="D1575" t="str">
        <f>IFERROR(__xludf.DUMMYFUNCTION("""COMPUTED_VALUE"""),"USA")</f>
        <v>USA</v>
      </c>
      <c r="E1575" s="188">
        <f>IFERROR(__xludf.DUMMYFUNCTION("""COMPUTED_VALUE"""),43512.0)</f>
        <v>43512</v>
      </c>
      <c r="F1575" s="188">
        <f>IFERROR(__xludf.DUMMYFUNCTION("""COMPUTED_VALUE"""),43516.0)</f>
        <v>43516</v>
      </c>
      <c r="H1575" s="4">
        <f>IFERROR(__xludf.DUMMYFUNCTION("""COMPUTED_VALUE"""),205590.0)</f>
        <v>205590</v>
      </c>
      <c r="I1575" t="str">
        <f>IFERROR(__xludf.DUMMYFUNCTION("""COMPUTED_VALUE"""),"01/19")</f>
        <v>01/19</v>
      </c>
      <c r="J1575" s="5">
        <f>IFERROR(__xludf.DUMMYFUNCTION("""COMPUTED_VALUE"""),43526.0)</f>
        <v>43526</v>
      </c>
      <c r="K1575">
        <f>IFERROR(__xludf.DUMMYFUNCTION("""COMPUTED_VALUE"""),4.0)</f>
        <v>4</v>
      </c>
      <c r="L1575">
        <f>IFERROR(__xludf.DUMMYFUNCTION("""COMPUTED_VALUE"""),10.0)</f>
        <v>10</v>
      </c>
      <c r="M1575">
        <f>IFERROR(__xludf.DUMMYFUNCTION("""COMPUTED_VALUE"""),14.0)</f>
        <v>14</v>
      </c>
      <c r="N1575" t="str">
        <f>IFERROR(__xludf.DUMMYFUNCTION("""COMPUTED_VALUE"""),"Model 3 LR AWD")</f>
        <v>Model 3 LR AWD</v>
      </c>
      <c r="O1575" t="str">
        <f>IFERROR(__xludf.DUMMYFUNCTION("""COMPUTED_VALUE"""),"Midnight Silver Metallic")</f>
        <v>Midnight Silver Metallic</v>
      </c>
      <c r="P1575" t="str">
        <f>IFERROR(__xludf.DUMMYFUNCTION("""COMPUTED_VALUE"""),"18 inch Aero")</f>
        <v>18 inch Aero</v>
      </c>
      <c r="Q1575" t="str">
        <f>IFERROR(__xludf.DUMMYFUNCTION("""COMPUTED_VALUE"""),"Black seats")</f>
        <v>Black seats</v>
      </c>
      <c r="R1575" t="str">
        <f>IFERROR(__xludf.DUMMYFUNCTION("""COMPUTED_VALUE"""),"None")</f>
        <v>None</v>
      </c>
      <c r="X1575" t="str">
        <f>IFERROR(__xludf.DUMMYFUNCTION("""COMPUTED_VALUE"""),"Excellent")</f>
        <v>Excellent</v>
      </c>
      <c r="Y1575" t="str">
        <f>IFERROR(__xludf.DUMMYFUNCTION("""COMPUTED_VALUE"""),"Excellent")</f>
        <v>Excellent</v>
      </c>
      <c r="Z1575" t="str">
        <f>IFERROR(__xludf.DUMMYFUNCTION("""COMPUTED_VALUE"""),"Excellent")</f>
        <v>Excellent</v>
      </c>
      <c r="AA1575" t="str">
        <f>IFERROR(__xludf.DUMMYFUNCTION("""COMPUTED_VALUE"""),"Very Good")</f>
        <v>Very Good</v>
      </c>
      <c r="AB1575" t="str">
        <f>IFERROR(__xludf.DUMMYFUNCTION("""COMPUTED_VALUE"""),"Excellent")</f>
        <v>Excellent</v>
      </c>
      <c r="AG1575" t="str">
        <f>IFERROR(__xludf.DUMMYFUNCTION("""COMPUTED_VALUE"""),"Delivered from Mass to Vermont, and temporary tags were not available")</f>
        <v>Delivered from Mass to Vermont, and temporary tags were not available</v>
      </c>
      <c r="AH1575" s="189">
        <f>IFERROR(__xludf.DUMMYFUNCTION("""COMPUTED_VALUE"""),43526.5998728125)</f>
        <v>43526.59987</v>
      </c>
    </row>
    <row r="1576">
      <c r="A1576" t="str">
        <f>IFERROR(__xludf.DUMMYFUNCTION("""COMPUTED_VALUE"""),"Otter7216")</f>
        <v>Otter7216</v>
      </c>
      <c r="B1576" t="str">
        <f>IFERROR(__xludf.DUMMYFUNCTION("""COMPUTED_VALUE"""),"Phoenix")</f>
        <v>Phoenix</v>
      </c>
      <c r="C1576" t="str">
        <f>IFERROR(__xludf.DUMMYFUNCTION("""COMPUTED_VALUE"""),"AZ")</f>
        <v>AZ</v>
      </c>
      <c r="D1576" t="str">
        <f>IFERROR(__xludf.DUMMYFUNCTION("""COMPUTED_VALUE"""),"USA")</f>
        <v>USA</v>
      </c>
      <c r="E1576" s="188">
        <f>IFERROR(__xludf.DUMMYFUNCTION("""COMPUTED_VALUE"""),43279.0)</f>
        <v>43279</v>
      </c>
      <c r="F1576" s="188">
        <f>IFERROR(__xludf.DUMMYFUNCTION("""COMPUTED_VALUE"""),43332.0)</f>
        <v>43332</v>
      </c>
      <c r="H1576">
        <f>IFERROR(__xludf.DUMMYFUNCTION("""COMPUTED_VALUE"""),69055.0)</f>
        <v>69055</v>
      </c>
      <c r="I1576" t="str">
        <f>IFERROR(__xludf.DUMMYFUNCTION("""COMPUTED_VALUE"""),"08/18")</f>
        <v>08/18</v>
      </c>
      <c r="J1576" s="5">
        <f>IFERROR(__xludf.DUMMYFUNCTION("""COMPUTED_VALUE"""),43339.0)</f>
        <v>43339</v>
      </c>
      <c r="K1576">
        <f>IFERROR(__xludf.DUMMYFUNCTION("""COMPUTED_VALUE"""),53.0)</f>
        <v>53</v>
      </c>
      <c r="L1576">
        <f>IFERROR(__xludf.DUMMYFUNCTION("""COMPUTED_VALUE"""),7.0)</f>
        <v>7</v>
      </c>
      <c r="M1576">
        <f>IFERROR(__xludf.DUMMYFUNCTION("""COMPUTED_VALUE"""),60.0)</f>
        <v>60</v>
      </c>
      <c r="N1576" t="str">
        <f>IFERROR(__xludf.DUMMYFUNCTION("""COMPUTED_VALUE"""),"Model 3 LR AWD")</f>
        <v>Model 3 LR AWD</v>
      </c>
      <c r="O1576" t="str">
        <f>IFERROR(__xludf.DUMMYFUNCTION("""COMPUTED_VALUE"""),"Midnight Silver Metallic")</f>
        <v>Midnight Silver Metallic</v>
      </c>
      <c r="P1576" t="str">
        <f>IFERROR(__xludf.DUMMYFUNCTION("""COMPUTED_VALUE"""),"19 inch Sport")</f>
        <v>19 inch Sport</v>
      </c>
      <c r="Q1576" t="str">
        <f>IFERROR(__xludf.DUMMYFUNCTION("""COMPUTED_VALUE"""),"Black seats")</f>
        <v>Black seats</v>
      </c>
      <c r="R1576" t="str">
        <f>IFERROR(__xludf.DUMMYFUNCTION("""COMPUTED_VALUE"""),"Enhanced Autopilot")</f>
        <v>Enhanced Autopilot</v>
      </c>
      <c r="X1576" t="str">
        <f>IFERROR(__xludf.DUMMYFUNCTION("""COMPUTED_VALUE"""),"Excellent")</f>
        <v>Excellent</v>
      </c>
      <c r="Y1576" t="str">
        <f>IFERROR(__xludf.DUMMYFUNCTION("""COMPUTED_VALUE"""),"Excellent")</f>
        <v>Excellent</v>
      </c>
      <c r="Z1576" t="str">
        <f>IFERROR(__xludf.DUMMYFUNCTION("""COMPUTED_VALUE"""),"Excellent")</f>
        <v>Excellent</v>
      </c>
      <c r="AA1576" t="str">
        <f>IFERROR(__xludf.DUMMYFUNCTION("""COMPUTED_VALUE"""),"Very Good")</f>
        <v>Very Good</v>
      </c>
      <c r="AB1576" t="str">
        <f>IFERROR(__xludf.DUMMYFUNCTION("""COMPUTED_VALUE"""),"Excellent")</f>
        <v>Excellent</v>
      </c>
      <c r="AC1576">
        <f>IFERROR(__xludf.DUMMYFUNCTION("""COMPUTED_VALUE"""),0.0)</f>
        <v>0</v>
      </c>
      <c r="AD1576">
        <f>IFERROR(__xludf.DUMMYFUNCTION("""COMPUTED_VALUE"""),0.0)</f>
        <v>0</v>
      </c>
      <c r="AE1576">
        <f>IFERROR(__xludf.DUMMYFUNCTION("""COMPUTED_VALUE"""),0.0)</f>
        <v>0</v>
      </c>
      <c r="AH1576" s="189">
        <f>IFERROR(__xludf.DUMMYFUNCTION("""COMPUTED_VALUE"""),43526.87835799769)</f>
        <v>43526.87836</v>
      </c>
    </row>
    <row r="1577">
      <c r="A1577" t="str">
        <f>IFERROR(__xludf.DUMMYFUNCTION("""COMPUTED_VALUE"""),"stlmizzoufan")</f>
        <v>stlmizzoufan</v>
      </c>
      <c r="B1577" t="str">
        <f>IFERROR(__xludf.DUMMYFUNCTION("""COMPUTED_VALUE"""),"St Louis")</f>
        <v>St Louis</v>
      </c>
      <c r="C1577" t="str">
        <f>IFERROR(__xludf.DUMMYFUNCTION("""COMPUTED_VALUE"""),"MO")</f>
        <v>MO</v>
      </c>
      <c r="D1577" t="str">
        <f>IFERROR(__xludf.DUMMYFUNCTION("""COMPUTED_VALUE"""),"USA")</f>
        <v>USA</v>
      </c>
      <c r="E1577" s="188">
        <f>IFERROR(__xludf.DUMMYFUNCTION("""COMPUTED_VALUE"""),43323.0)</f>
        <v>43323</v>
      </c>
      <c r="F1577" s="188">
        <f>IFERROR(__xludf.DUMMYFUNCTION("""COMPUTED_VALUE"""),43381.0)</f>
        <v>43381</v>
      </c>
      <c r="H1577">
        <f>IFERROR(__xludf.DUMMYFUNCTION("""COMPUTED_VALUE"""),103455.0)</f>
        <v>103455</v>
      </c>
      <c r="I1577" t="str">
        <f>IFERROR(__xludf.DUMMYFUNCTION("""COMPUTED_VALUE"""),"10/18")</f>
        <v>10/18</v>
      </c>
      <c r="J1577" s="5">
        <f>IFERROR(__xludf.DUMMYFUNCTION("""COMPUTED_VALUE"""),43399.0)</f>
        <v>43399</v>
      </c>
      <c r="K1577">
        <f>IFERROR(__xludf.DUMMYFUNCTION("""COMPUTED_VALUE"""),58.0)</f>
        <v>58</v>
      </c>
      <c r="L1577">
        <f>IFERROR(__xludf.DUMMYFUNCTION("""COMPUTED_VALUE"""),18.0)</f>
        <v>18</v>
      </c>
      <c r="M1577">
        <f>IFERROR(__xludf.DUMMYFUNCTION("""COMPUTED_VALUE"""),76.0)</f>
        <v>76</v>
      </c>
      <c r="N1577" t="str">
        <f>IFERROR(__xludf.DUMMYFUNCTION("""COMPUTED_VALUE"""),"Model 3 Performance")</f>
        <v>Model 3 Performance</v>
      </c>
      <c r="O1577" t="str">
        <f>IFERROR(__xludf.DUMMYFUNCTION("""COMPUTED_VALUE"""),"Solid Black")</f>
        <v>Solid Black</v>
      </c>
      <c r="P1577" t="str">
        <f>IFERROR(__xludf.DUMMYFUNCTION("""COMPUTED_VALUE"""),"19 inch Sport")</f>
        <v>19 inch Sport</v>
      </c>
      <c r="Q1577" t="str">
        <f>IFERROR(__xludf.DUMMYFUNCTION("""COMPUTED_VALUE"""),"Black seats")</f>
        <v>Black seats</v>
      </c>
      <c r="R1577" t="str">
        <f>IFERROR(__xludf.DUMMYFUNCTION("""COMPUTED_VALUE"""),"None")</f>
        <v>None</v>
      </c>
      <c r="X1577" t="str">
        <f>IFERROR(__xludf.DUMMYFUNCTION("""COMPUTED_VALUE"""),"Very Good")</f>
        <v>Very Good</v>
      </c>
      <c r="Y1577" t="str">
        <f>IFERROR(__xludf.DUMMYFUNCTION("""COMPUTED_VALUE"""),"Excellent")</f>
        <v>Excellent</v>
      </c>
      <c r="Z1577" t="str">
        <f>IFERROR(__xludf.DUMMYFUNCTION("""COMPUTED_VALUE"""),"Excellent")</f>
        <v>Excellent</v>
      </c>
      <c r="AA1577" t="str">
        <f>IFERROR(__xludf.DUMMYFUNCTION("""COMPUTED_VALUE"""),"Fair")</f>
        <v>Fair</v>
      </c>
      <c r="AB1577" t="str">
        <f>IFERROR(__xludf.DUMMYFUNCTION("""COMPUTED_VALUE"""),"Good")</f>
        <v>Good</v>
      </c>
      <c r="AC1577">
        <f>IFERROR(__xludf.DUMMYFUNCTION("""COMPUTED_VALUE"""),0.0)</f>
        <v>0</v>
      </c>
      <c r="AD1577">
        <f>IFERROR(__xludf.DUMMYFUNCTION("""COMPUTED_VALUE"""),0.0)</f>
        <v>0</v>
      </c>
      <c r="AE1577">
        <f>IFERROR(__xludf.DUMMYFUNCTION("""COMPUTED_VALUE"""),0.0)</f>
        <v>0</v>
      </c>
      <c r="AH1577" s="189">
        <f>IFERROR(__xludf.DUMMYFUNCTION("""COMPUTED_VALUE"""),43527.84427726852)</f>
        <v>43527.84428</v>
      </c>
    </row>
    <row r="1578">
      <c r="A1578" t="str">
        <f>IFERROR(__xludf.DUMMYFUNCTION("""COMPUTED_VALUE"""),"fajitamondays")</f>
        <v>fajitamondays</v>
      </c>
      <c r="B1578" t="str">
        <f>IFERROR(__xludf.DUMMYFUNCTION("""COMPUTED_VALUE"""),"Covington")</f>
        <v>Covington</v>
      </c>
      <c r="C1578" t="str">
        <f>IFERROR(__xludf.DUMMYFUNCTION("""COMPUTED_VALUE"""),"WA")</f>
        <v>WA</v>
      </c>
      <c r="D1578" t="str">
        <f>IFERROR(__xludf.DUMMYFUNCTION("""COMPUTED_VALUE"""),"USA")</f>
        <v>USA</v>
      </c>
      <c r="E1578" s="188">
        <f>IFERROR(__xludf.DUMMYFUNCTION("""COMPUTED_VALUE"""),43520.0)</f>
        <v>43520</v>
      </c>
      <c r="F1578" s="188">
        <f>IFERROR(__xludf.DUMMYFUNCTION("""COMPUTED_VALUE"""),43521.0)</f>
        <v>43521</v>
      </c>
      <c r="H1578">
        <f>IFERROR(__xludf.DUMMYFUNCTION("""COMPUTED_VALUE"""),186715.0)</f>
        <v>186715</v>
      </c>
      <c r="I1578" t="str">
        <f>IFERROR(__xludf.DUMMYFUNCTION("""COMPUTED_VALUE"""),"12/18")</f>
        <v>12/18</v>
      </c>
      <c r="J1578" s="5">
        <f>IFERROR(__xludf.DUMMYFUNCTION("""COMPUTED_VALUE"""),43523.0)</f>
        <v>43523</v>
      </c>
      <c r="K1578">
        <f>IFERROR(__xludf.DUMMYFUNCTION("""COMPUTED_VALUE"""),1.0)</f>
        <v>1</v>
      </c>
      <c r="L1578">
        <f>IFERROR(__xludf.DUMMYFUNCTION("""COMPUTED_VALUE"""),2.0)</f>
        <v>2</v>
      </c>
      <c r="M1578">
        <f>IFERROR(__xludf.DUMMYFUNCTION("""COMPUTED_VALUE"""),3.0)</f>
        <v>3</v>
      </c>
      <c r="N1578" t="str">
        <f>IFERROR(__xludf.DUMMYFUNCTION("""COMPUTED_VALUE"""),"Model 3 LR AWD")</f>
        <v>Model 3 LR AWD</v>
      </c>
      <c r="O1578" t="str">
        <f>IFERROR(__xludf.DUMMYFUNCTION("""COMPUTED_VALUE"""),"Solid Black")</f>
        <v>Solid Black</v>
      </c>
      <c r="P1578" t="str">
        <f>IFERROR(__xludf.DUMMYFUNCTION("""COMPUTED_VALUE"""),"19 inch Sport")</f>
        <v>19 inch Sport</v>
      </c>
      <c r="Q1578" t="str">
        <f>IFERROR(__xludf.DUMMYFUNCTION("""COMPUTED_VALUE"""),"Black seats")</f>
        <v>Black seats</v>
      </c>
      <c r="R1578" t="str">
        <f>IFERROR(__xludf.DUMMYFUNCTION("""COMPUTED_VALUE"""),"Enhanced Autopilot")</f>
        <v>Enhanced Autopilot</v>
      </c>
      <c r="X1578" t="str">
        <f>IFERROR(__xludf.DUMMYFUNCTION("""COMPUTED_VALUE"""),"Excellent")</f>
        <v>Excellent</v>
      </c>
      <c r="Y1578" t="str">
        <f>IFERROR(__xludf.DUMMYFUNCTION("""COMPUTED_VALUE"""),"Excellent")</f>
        <v>Excellent</v>
      </c>
      <c r="Z1578" t="str">
        <f>IFERROR(__xludf.DUMMYFUNCTION("""COMPUTED_VALUE"""),"Excellent")</f>
        <v>Excellent</v>
      </c>
      <c r="AA1578" t="str">
        <f>IFERROR(__xludf.DUMMYFUNCTION("""COMPUTED_VALUE"""),"Excellent")</f>
        <v>Excellent</v>
      </c>
      <c r="AB1578" t="str">
        <f>IFERROR(__xludf.DUMMYFUNCTION("""COMPUTED_VALUE"""),"Poor")</f>
        <v>Poor</v>
      </c>
      <c r="AH1578" s="189">
        <f>IFERROR(__xludf.DUMMYFUNCTION("""COMPUTED_VALUE"""),43529.007118124995)</f>
        <v>43529.00712</v>
      </c>
    </row>
    <row r="1579">
      <c r="A1579" t="str">
        <f>IFERROR(__xludf.DUMMYFUNCTION("""COMPUTED_VALUE"""),"sraatc17")</f>
        <v>sraatc17</v>
      </c>
      <c r="B1579" t="str">
        <f>IFERROR(__xludf.DUMMYFUNCTION("""COMPUTED_VALUE"""),"Waltham")</f>
        <v>Waltham</v>
      </c>
      <c r="C1579" t="str">
        <f>IFERROR(__xludf.DUMMYFUNCTION("""COMPUTED_VALUE"""),"MA")</f>
        <v>MA</v>
      </c>
      <c r="D1579" t="str">
        <f>IFERROR(__xludf.DUMMYFUNCTION("""COMPUTED_VALUE"""),"USA")</f>
        <v>USA</v>
      </c>
      <c r="E1579" s="188">
        <f>IFERROR(__xludf.DUMMYFUNCTION("""COMPUTED_VALUE"""),43393.0)</f>
        <v>43393</v>
      </c>
      <c r="F1579" s="188">
        <f>IFERROR(__xludf.DUMMYFUNCTION("""COMPUTED_VALUE"""),43442.0)</f>
        <v>43442</v>
      </c>
      <c r="H1579">
        <f>IFERROR(__xludf.DUMMYFUNCTION("""COMPUTED_VALUE"""),154305.0)</f>
        <v>154305</v>
      </c>
      <c r="J1579" s="5">
        <f>IFERROR(__xludf.DUMMYFUNCTION("""COMPUTED_VALUE"""),43448.0)</f>
        <v>43448</v>
      </c>
      <c r="K1579">
        <f>IFERROR(__xludf.DUMMYFUNCTION("""COMPUTED_VALUE"""),49.0)</f>
        <v>49</v>
      </c>
      <c r="L1579">
        <f>IFERROR(__xludf.DUMMYFUNCTION("""COMPUTED_VALUE"""),6.0)</f>
        <v>6</v>
      </c>
      <c r="M1579">
        <f>IFERROR(__xludf.DUMMYFUNCTION("""COMPUTED_VALUE"""),55.0)</f>
        <v>55</v>
      </c>
      <c r="N1579" t="str">
        <f>IFERROR(__xludf.DUMMYFUNCTION("""COMPUTED_VALUE"""),"Model 3 MR")</f>
        <v>Model 3 MR</v>
      </c>
      <c r="O1579" t="str">
        <f>IFERROR(__xludf.DUMMYFUNCTION("""COMPUTED_VALUE"""),"Deep Blue Metallic")</f>
        <v>Deep Blue Metallic</v>
      </c>
      <c r="P1579" t="str">
        <f>IFERROR(__xludf.DUMMYFUNCTION("""COMPUTED_VALUE"""),"18 inch Aero")</f>
        <v>18 inch Aero</v>
      </c>
      <c r="Q1579" t="str">
        <f>IFERROR(__xludf.DUMMYFUNCTION("""COMPUTED_VALUE"""),"Black seats")</f>
        <v>Black seats</v>
      </c>
      <c r="R1579" t="str">
        <f>IFERROR(__xludf.DUMMYFUNCTION("""COMPUTED_VALUE"""),"None")</f>
        <v>None</v>
      </c>
      <c r="X1579" t="str">
        <f>IFERROR(__xludf.DUMMYFUNCTION("""COMPUTED_VALUE"""),"Excellent")</f>
        <v>Excellent</v>
      </c>
      <c r="Y1579" t="str">
        <f>IFERROR(__xludf.DUMMYFUNCTION("""COMPUTED_VALUE"""),"Excellent")</f>
        <v>Excellent</v>
      </c>
      <c r="Z1579" t="str">
        <f>IFERROR(__xludf.DUMMYFUNCTION("""COMPUTED_VALUE"""),"Excellent")</f>
        <v>Excellent</v>
      </c>
      <c r="AA1579" t="str">
        <f>IFERROR(__xludf.DUMMYFUNCTION("""COMPUTED_VALUE"""),"Fair")</f>
        <v>Fair</v>
      </c>
      <c r="AB1579" t="str">
        <f>IFERROR(__xludf.DUMMYFUNCTION("""COMPUTED_VALUE"""),"Good")</f>
        <v>Good</v>
      </c>
      <c r="AC1579">
        <f>IFERROR(__xludf.DUMMYFUNCTION("""COMPUTED_VALUE"""),0.0)</f>
        <v>0</v>
      </c>
      <c r="AD1579">
        <f>IFERROR(__xludf.DUMMYFUNCTION("""COMPUTED_VALUE"""),0.0)</f>
        <v>0</v>
      </c>
      <c r="AE1579">
        <f>IFERROR(__xludf.DUMMYFUNCTION("""COMPUTED_VALUE"""),0.0)</f>
        <v>0</v>
      </c>
      <c r="AG1579" t="str">
        <f>IFERROR(__xludf.DUMMYFUNCTION("""COMPUTED_VALUE"""),"Delivery Rescheduyled from 11/27 on 11/23")</f>
        <v>Delivery Rescheduyled from 11/27 on 11/23</v>
      </c>
      <c r="AH1579" s="189">
        <f>IFERROR(__xludf.DUMMYFUNCTION("""COMPUTED_VALUE"""),43529.547413831024)</f>
        <v>43529.54741</v>
      </c>
    </row>
    <row r="1580">
      <c r="A1580" t="str">
        <f>IFERROR(__xludf.DUMMYFUNCTION("""COMPUTED_VALUE"""),"joshchen30")</f>
        <v>joshchen30</v>
      </c>
      <c r="B1580" t="str">
        <f>IFERROR(__xludf.DUMMYFUNCTION("""COMPUTED_VALUE"""),"Vancouver")</f>
        <v>Vancouver</v>
      </c>
      <c r="C1580" t="str">
        <f>IFERROR(__xludf.DUMMYFUNCTION("""COMPUTED_VALUE"""),"BC")</f>
        <v>BC</v>
      </c>
      <c r="D1580" t="str">
        <f>IFERROR(__xludf.DUMMYFUNCTION("""COMPUTED_VALUE"""),"Canada")</f>
        <v>Canada</v>
      </c>
      <c r="E1580" s="188">
        <f>IFERROR(__xludf.DUMMYFUNCTION("""COMPUTED_VALUE"""),43461.0)</f>
        <v>43461</v>
      </c>
      <c r="F1580" s="188">
        <f>IFERROR(__xludf.DUMMYFUNCTION("""COMPUTED_VALUE"""),43503.0)</f>
        <v>43503</v>
      </c>
      <c r="H1580" s="4">
        <f>IFERROR(__xludf.DUMMYFUNCTION("""COMPUTED_VALUE"""),231845.0)</f>
        <v>231845</v>
      </c>
      <c r="J1580" s="5">
        <f>IFERROR(__xludf.DUMMYFUNCTION("""COMPUTED_VALUE"""),43505.0)</f>
        <v>43505</v>
      </c>
      <c r="K1580">
        <f>IFERROR(__xludf.DUMMYFUNCTION("""COMPUTED_VALUE"""),42.0)</f>
        <v>42</v>
      </c>
      <c r="L1580">
        <f>IFERROR(__xludf.DUMMYFUNCTION("""COMPUTED_VALUE"""),2.0)</f>
        <v>2</v>
      </c>
      <c r="M1580">
        <f>IFERROR(__xludf.DUMMYFUNCTION("""COMPUTED_VALUE"""),44.0)</f>
        <v>44</v>
      </c>
      <c r="N1580" t="str">
        <f>IFERROR(__xludf.DUMMYFUNCTION("""COMPUTED_VALUE"""),"Model 3 MR")</f>
        <v>Model 3 MR</v>
      </c>
      <c r="O1580" t="str">
        <f>IFERROR(__xludf.DUMMYFUNCTION("""COMPUTED_VALUE"""),"Deep Blue Metallic")</f>
        <v>Deep Blue Metallic</v>
      </c>
      <c r="P1580" t="str">
        <f>IFERROR(__xludf.DUMMYFUNCTION("""COMPUTED_VALUE"""),"19 inch Sport")</f>
        <v>19 inch Sport</v>
      </c>
      <c r="Q1580" t="str">
        <f>IFERROR(__xludf.DUMMYFUNCTION("""COMPUTED_VALUE"""),"Black seats")</f>
        <v>Black seats</v>
      </c>
      <c r="R1580" t="str">
        <f>IFERROR(__xludf.DUMMYFUNCTION("""COMPUTED_VALUE"""),"None")</f>
        <v>None</v>
      </c>
      <c r="X1580" t="str">
        <f>IFERROR(__xludf.DUMMYFUNCTION("""COMPUTED_VALUE"""),"Fair")</f>
        <v>Fair</v>
      </c>
      <c r="Y1580" t="str">
        <f>IFERROR(__xludf.DUMMYFUNCTION("""COMPUTED_VALUE"""),"Excellent")</f>
        <v>Excellent</v>
      </c>
      <c r="Z1580" t="str">
        <f>IFERROR(__xludf.DUMMYFUNCTION("""COMPUTED_VALUE"""),"Fair")</f>
        <v>Fair</v>
      </c>
      <c r="AA1580" t="str">
        <f>IFERROR(__xludf.DUMMYFUNCTION("""COMPUTED_VALUE"""),"Very Good")</f>
        <v>Very Good</v>
      </c>
      <c r="AB1580" t="str">
        <f>IFERROR(__xludf.DUMMYFUNCTION("""COMPUTED_VALUE"""),"Good")</f>
        <v>Good</v>
      </c>
      <c r="AC1580">
        <f>IFERROR(__xludf.DUMMYFUNCTION("""COMPUTED_VALUE"""),4.0)</f>
        <v>4</v>
      </c>
      <c r="AD1580">
        <f>IFERROR(__xludf.DUMMYFUNCTION("""COMPUTED_VALUE"""),2.0)</f>
        <v>2</v>
      </c>
      <c r="AE1580">
        <f>IFERROR(__xludf.DUMMYFUNCTION("""COMPUTED_VALUE"""),11.0)</f>
        <v>11</v>
      </c>
      <c r="AH1580" s="189">
        <f>IFERROR(__xludf.DUMMYFUNCTION("""COMPUTED_VALUE"""),43530.48957145833)</f>
        <v>43530.48957</v>
      </c>
    </row>
    <row r="1581">
      <c r="A1581" t="str">
        <f>IFERROR(__xludf.DUMMYFUNCTION("""COMPUTED_VALUE"""),"Thierry")</f>
        <v>Thierry</v>
      </c>
      <c r="B1581" t="str">
        <f>IFERROR(__xludf.DUMMYFUNCTION("""COMPUTED_VALUE"""),"Gujan Mestras")</f>
        <v>Gujan Mestras</v>
      </c>
      <c r="D1581" t="str">
        <f>IFERROR(__xludf.DUMMYFUNCTION("""COMPUTED_VALUE"""),"France")</f>
        <v>France</v>
      </c>
      <c r="E1581" s="188">
        <f>IFERROR(__xludf.DUMMYFUNCTION("""COMPUTED_VALUE"""),43440.0)</f>
        <v>43440</v>
      </c>
      <c r="F1581" s="188">
        <f>IFERROR(__xludf.DUMMYFUNCTION("""COMPUTED_VALUE"""),43504.0)</f>
        <v>43504</v>
      </c>
      <c r="H1581">
        <f>IFERROR(__xludf.DUMMYFUNCTION("""COMPUTED_VALUE"""),203255.0)</f>
        <v>203255</v>
      </c>
      <c r="J1581" s="5">
        <f>IFERROR(__xludf.DUMMYFUNCTION("""COMPUTED_VALUE"""),43518.0)</f>
        <v>43518</v>
      </c>
      <c r="K1581">
        <f>IFERROR(__xludf.DUMMYFUNCTION("""COMPUTED_VALUE"""),64.0)</f>
        <v>64</v>
      </c>
      <c r="L1581">
        <f>IFERROR(__xludf.DUMMYFUNCTION("""COMPUTED_VALUE"""),14.0)</f>
        <v>14</v>
      </c>
      <c r="M1581">
        <f>IFERROR(__xludf.DUMMYFUNCTION("""COMPUTED_VALUE"""),78.0)</f>
        <v>78</v>
      </c>
      <c r="N1581" t="str">
        <f>IFERROR(__xludf.DUMMYFUNCTION("""COMPUTED_VALUE"""),"Model 3 LR AWD")</f>
        <v>Model 3 LR AWD</v>
      </c>
      <c r="O1581" t="str">
        <f>IFERROR(__xludf.DUMMYFUNCTION("""COMPUTED_VALUE"""),"Pearl White Multi-Coat")</f>
        <v>Pearl White Multi-Coat</v>
      </c>
      <c r="P1581" t="str">
        <f>IFERROR(__xludf.DUMMYFUNCTION("""COMPUTED_VALUE"""),"18 inch Aero")</f>
        <v>18 inch Aero</v>
      </c>
      <c r="Q1581" t="str">
        <f>IFERROR(__xludf.DUMMYFUNCTION("""COMPUTED_VALUE"""),"White seats")</f>
        <v>White seats</v>
      </c>
      <c r="R1581" t="str">
        <f>IFERROR(__xludf.DUMMYFUNCTION("""COMPUTED_VALUE"""),"Full Self-Driving")</f>
        <v>Full Self-Driving</v>
      </c>
      <c r="X1581" t="str">
        <f>IFERROR(__xludf.DUMMYFUNCTION("""COMPUTED_VALUE"""),"Very Good")</f>
        <v>Very Good</v>
      </c>
      <c r="Y1581" t="str">
        <f>IFERROR(__xludf.DUMMYFUNCTION("""COMPUTED_VALUE"""),"Very Good")</f>
        <v>Very Good</v>
      </c>
      <c r="Z1581" t="str">
        <f>IFERROR(__xludf.DUMMYFUNCTION("""COMPUTED_VALUE"""),"Very Good")</f>
        <v>Very Good</v>
      </c>
      <c r="AA1581" t="str">
        <f>IFERROR(__xludf.DUMMYFUNCTION("""COMPUTED_VALUE"""),"Poor")</f>
        <v>Poor</v>
      </c>
      <c r="AB1581" t="str">
        <f>IFERROR(__xludf.DUMMYFUNCTION("""COMPUTED_VALUE"""),"Very Good")</f>
        <v>Very Good</v>
      </c>
      <c r="AH1581" s="189">
        <f>IFERROR(__xludf.DUMMYFUNCTION("""COMPUTED_VALUE"""),43531.411163425924)</f>
        <v>43531.41116</v>
      </c>
    </row>
    <row r="1582">
      <c r="A1582" t="str">
        <f>IFERROR(__xludf.DUMMYFUNCTION("""COMPUTED_VALUE"""),"krla")</f>
        <v>krla</v>
      </c>
      <c r="D1582" t="str">
        <f>IFERROR(__xludf.DUMMYFUNCTION("""COMPUTED_VALUE"""),"Belgium")</f>
        <v>Belgium</v>
      </c>
      <c r="E1582" s="188">
        <f>IFERROR(__xludf.DUMMYFUNCTION("""COMPUTED_VALUE"""),43448.0)</f>
        <v>43448</v>
      </c>
      <c r="F1582" s="188">
        <f>IFERROR(__xludf.DUMMYFUNCTION("""COMPUTED_VALUE"""),43507.0)</f>
        <v>43507</v>
      </c>
      <c r="H1582">
        <f>IFERROR(__xludf.DUMMYFUNCTION("""COMPUTED_VALUE"""),201755.0)</f>
        <v>201755</v>
      </c>
      <c r="J1582" s="5">
        <f>IFERROR(__xludf.DUMMYFUNCTION("""COMPUTED_VALUE"""),43522.0)</f>
        <v>43522</v>
      </c>
      <c r="K1582">
        <f>IFERROR(__xludf.DUMMYFUNCTION("""COMPUTED_VALUE"""),59.0)</f>
        <v>59</v>
      </c>
      <c r="L1582">
        <f>IFERROR(__xludf.DUMMYFUNCTION("""COMPUTED_VALUE"""),15.0)</f>
        <v>15</v>
      </c>
      <c r="M1582">
        <f>IFERROR(__xludf.DUMMYFUNCTION("""COMPUTED_VALUE"""),74.0)</f>
        <v>74</v>
      </c>
      <c r="N1582" t="str">
        <f>IFERROR(__xludf.DUMMYFUNCTION("""COMPUTED_VALUE"""),"Model 3 LR AWD")</f>
        <v>Model 3 LR AWD</v>
      </c>
      <c r="O1582" t="str">
        <f>IFERROR(__xludf.DUMMYFUNCTION("""COMPUTED_VALUE"""),"Solid Black")</f>
        <v>Solid Black</v>
      </c>
      <c r="P1582" t="str">
        <f>IFERROR(__xludf.DUMMYFUNCTION("""COMPUTED_VALUE"""),"19 inch Sport")</f>
        <v>19 inch Sport</v>
      </c>
      <c r="Q1582" t="str">
        <f>IFERROR(__xludf.DUMMYFUNCTION("""COMPUTED_VALUE"""),"Black seats")</f>
        <v>Black seats</v>
      </c>
      <c r="R1582" t="str">
        <f>IFERROR(__xludf.DUMMYFUNCTION("""COMPUTED_VALUE"""),"Enhanced Autopilot")</f>
        <v>Enhanced Autopilot</v>
      </c>
      <c r="X1582" t="str">
        <f>IFERROR(__xludf.DUMMYFUNCTION("""COMPUTED_VALUE"""),"Very Good")</f>
        <v>Very Good</v>
      </c>
      <c r="Y1582" t="str">
        <f>IFERROR(__xludf.DUMMYFUNCTION("""COMPUTED_VALUE"""),"Excellent")</f>
        <v>Excellent</v>
      </c>
      <c r="Z1582" t="str">
        <f>IFERROR(__xludf.DUMMYFUNCTION("""COMPUTED_VALUE"""),"Fair")</f>
        <v>Fair</v>
      </c>
      <c r="AA1582" t="str">
        <f>IFERROR(__xludf.DUMMYFUNCTION("""COMPUTED_VALUE"""),"Good")</f>
        <v>Good</v>
      </c>
      <c r="AB1582" t="str">
        <f>IFERROR(__xludf.DUMMYFUNCTION("""COMPUTED_VALUE"""),"Excellent")</f>
        <v>Excellent</v>
      </c>
      <c r="AH1582" s="189">
        <f>IFERROR(__xludf.DUMMYFUNCTION("""COMPUTED_VALUE"""),43532.00614430556)</f>
        <v>43532.00614</v>
      </c>
    </row>
    <row r="1583">
      <c r="A1583" t="str">
        <f>IFERROR(__xludf.DUMMYFUNCTION("""COMPUTED_VALUE"""),"wjhatley")</f>
        <v>wjhatley</v>
      </c>
      <c r="B1583" t="str">
        <f>IFERROR(__xludf.DUMMYFUNCTION("""COMPUTED_VALUE"""),"Kansas City")</f>
        <v>Kansas City</v>
      </c>
      <c r="C1583" t="str">
        <f>IFERROR(__xludf.DUMMYFUNCTION("""COMPUTED_VALUE"""),"MO")</f>
        <v>MO</v>
      </c>
      <c r="D1583" t="str">
        <f>IFERROR(__xludf.DUMMYFUNCTION("""COMPUTED_VALUE"""),"USA")</f>
        <v>USA</v>
      </c>
      <c r="E1583" s="188">
        <f>IFERROR(__xludf.DUMMYFUNCTION("""COMPUTED_VALUE"""),43505.0)</f>
        <v>43505</v>
      </c>
      <c r="F1583" s="188">
        <f>IFERROR(__xludf.DUMMYFUNCTION("""COMPUTED_VALUE"""),43512.0)</f>
        <v>43512</v>
      </c>
      <c r="H1583">
        <f>IFERROR(__xludf.DUMMYFUNCTION("""COMPUTED_VALUE"""),146255.0)</f>
        <v>146255</v>
      </c>
      <c r="I1583" t="str">
        <f>IFERROR(__xludf.DUMMYFUNCTION("""COMPUTED_VALUE"""),"12/18")</f>
        <v>12/18</v>
      </c>
      <c r="J1583" s="5">
        <f>IFERROR(__xludf.DUMMYFUNCTION("""COMPUTED_VALUE"""),43521.0)</f>
        <v>43521</v>
      </c>
      <c r="K1583">
        <f>IFERROR(__xludf.DUMMYFUNCTION("""COMPUTED_VALUE"""),7.0)</f>
        <v>7</v>
      </c>
      <c r="L1583">
        <f>IFERROR(__xludf.DUMMYFUNCTION("""COMPUTED_VALUE"""),9.0)</f>
        <v>9</v>
      </c>
      <c r="M1583">
        <f>IFERROR(__xludf.DUMMYFUNCTION("""COMPUTED_VALUE"""),16.0)</f>
        <v>16</v>
      </c>
      <c r="N1583" t="str">
        <f>IFERROR(__xludf.DUMMYFUNCTION("""COMPUTED_VALUE"""),"Model 3 LR AWD")</f>
        <v>Model 3 LR AWD</v>
      </c>
      <c r="O1583" t="str">
        <f>IFERROR(__xludf.DUMMYFUNCTION("""COMPUTED_VALUE"""),"Red Multi-Coat")</f>
        <v>Red Multi-Coat</v>
      </c>
      <c r="P1583" t="str">
        <f>IFERROR(__xludf.DUMMYFUNCTION("""COMPUTED_VALUE"""),"19 inch Sport")</f>
        <v>19 inch Sport</v>
      </c>
      <c r="Q1583" t="str">
        <f>IFERROR(__xludf.DUMMYFUNCTION("""COMPUTED_VALUE"""),"Black seats")</f>
        <v>Black seats</v>
      </c>
      <c r="R1583" t="str">
        <f>IFERROR(__xludf.DUMMYFUNCTION("""COMPUTED_VALUE"""),"Enhanced Autopilot")</f>
        <v>Enhanced Autopilot</v>
      </c>
      <c r="X1583" t="str">
        <f>IFERROR(__xludf.DUMMYFUNCTION("""COMPUTED_VALUE"""),"Excellent")</f>
        <v>Excellent</v>
      </c>
      <c r="Y1583" t="str">
        <f>IFERROR(__xludf.DUMMYFUNCTION("""COMPUTED_VALUE"""),"Excellent")</f>
        <v>Excellent</v>
      </c>
      <c r="Z1583" t="str">
        <f>IFERROR(__xludf.DUMMYFUNCTION("""COMPUTED_VALUE"""),"Very Good")</f>
        <v>Very Good</v>
      </c>
      <c r="AA1583" t="str">
        <f>IFERROR(__xludf.DUMMYFUNCTION("""COMPUTED_VALUE"""),"Excellent")</f>
        <v>Excellent</v>
      </c>
      <c r="AB1583" t="str">
        <f>IFERROR(__xludf.DUMMYFUNCTION("""COMPUTED_VALUE"""),"Very Good")</f>
        <v>Very Good</v>
      </c>
      <c r="AC1583">
        <f>IFERROR(__xludf.DUMMYFUNCTION("""COMPUTED_VALUE"""),2.0)</f>
        <v>2</v>
      </c>
      <c r="AD1583">
        <f>IFERROR(__xludf.DUMMYFUNCTION("""COMPUTED_VALUE"""),0.0)</f>
        <v>0</v>
      </c>
      <c r="AE1583">
        <f>IFERROR(__xludf.DUMMYFUNCTION("""COMPUTED_VALUE"""),0.0)</f>
        <v>0</v>
      </c>
      <c r="AG1583" t="str">
        <f>IFERROR(__xludf.DUMMYFUNCTION("""COMPUTED_VALUE"""),"Very minor paint issues, had it delivered straight to detailer for Heal Lite")</f>
        <v>Very minor paint issues, had it delivered straight to detailer for Heal Lite</v>
      </c>
      <c r="AH1583" s="189">
        <f>IFERROR(__xludf.DUMMYFUNCTION("""COMPUTED_VALUE"""),43533.71893737269)</f>
        <v>43533.71894</v>
      </c>
    </row>
    <row r="1584">
      <c r="A1584" t="str">
        <f>IFERROR(__xludf.DUMMYFUNCTION("""COMPUTED_VALUE"""),"Skryll")</f>
        <v>Skryll</v>
      </c>
      <c r="B1584" t="str">
        <f>IFERROR(__xludf.DUMMYFUNCTION("""COMPUTED_VALUE"""),"Pleasant Hill")</f>
        <v>Pleasant Hill</v>
      </c>
      <c r="C1584" t="str">
        <f>IFERROR(__xludf.DUMMYFUNCTION("""COMPUTED_VALUE"""),"CA")</f>
        <v>CA</v>
      </c>
      <c r="D1584" t="str">
        <f>IFERROR(__xludf.DUMMYFUNCTION("""COMPUTED_VALUE"""),"USA")</f>
        <v>USA</v>
      </c>
      <c r="E1584" s="188">
        <f>IFERROR(__xludf.DUMMYFUNCTION("""COMPUTED_VALUE"""),43089.0)</f>
        <v>43089</v>
      </c>
      <c r="F1584" s="188">
        <f>IFERROR(__xludf.DUMMYFUNCTION("""COMPUTED_VALUE"""),43101.0)</f>
        <v>43101</v>
      </c>
      <c r="H1584" s="4">
        <f>IFERROR(__xludf.DUMMYFUNCTION("""COMPUTED_VALUE"""),3161.0)</f>
        <v>3161</v>
      </c>
      <c r="J1584" s="5">
        <f>IFERROR(__xludf.DUMMYFUNCTION("""COMPUTED_VALUE"""),43110.0)</f>
        <v>43110</v>
      </c>
      <c r="K1584">
        <f>IFERROR(__xludf.DUMMYFUNCTION("""COMPUTED_VALUE"""),12.0)</f>
        <v>12</v>
      </c>
      <c r="L1584">
        <f>IFERROR(__xludf.DUMMYFUNCTION("""COMPUTED_VALUE"""),9.0)</f>
        <v>9</v>
      </c>
      <c r="M1584">
        <f>IFERROR(__xludf.DUMMYFUNCTION("""COMPUTED_VALUE"""),21.0)</f>
        <v>21</v>
      </c>
      <c r="N1584" t="str">
        <f>IFERROR(__xludf.DUMMYFUNCTION("""COMPUTED_VALUE"""),"Model 3 LR")</f>
        <v>Model 3 LR</v>
      </c>
      <c r="O1584" t="str">
        <f>IFERROR(__xludf.DUMMYFUNCTION("""COMPUTED_VALUE"""),"Pearl White Multi-Coat")</f>
        <v>Pearl White Multi-Coat</v>
      </c>
      <c r="P1584" t="str">
        <f>IFERROR(__xludf.DUMMYFUNCTION("""COMPUTED_VALUE"""),"18 inch Aero")</f>
        <v>18 inch Aero</v>
      </c>
      <c r="Q1584" t="str">
        <f>IFERROR(__xludf.DUMMYFUNCTION("""COMPUTED_VALUE"""),"Black seats")</f>
        <v>Black seats</v>
      </c>
      <c r="R1584" t="str">
        <f>IFERROR(__xludf.DUMMYFUNCTION("""COMPUTED_VALUE"""),"Full Self-Driving")</f>
        <v>Full Self-Driving</v>
      </c>
      <c r="X1584" t="str">
        <f>IFERROR(__xludf.DUMMYFUNCTION("""COMPUTED_VALUE"""),"Very Good")</f>
        <v>Very Good</v>
      </c>
      <c r="Y1584" t="str">
        <f>IFERROR(__xludf.DUMMYFUNCTION("""COMPUTED_VALUE"""),"Very Good")</f>
        <v>Very Good</v>
      </c>
      <c r="Z1584" t="str">
        <f>IFERROR(__xludf.DUMMYFUNCTION("""COMPUTED_VALUE"""),"Excellent")</f>
        <v>Excellent</v>
      </c>
      <c r="AA1584" t="str">
        <f>IFERROR(__xludf.DUMMYFUNCTION("""COMPUTED_VALUE"""),"Fair")</f>
        <v>Fair</v>
      </c>
      <c r="AB1584" t="str">
        <f>IFERROR(__xludf.DUMMYFUNCTION("""COMPUTED_VALUE"""),"Fair")</f>
        <v>Fair</v>
      </c>
      <c r="AC1584">
        <f>IFERROR(__xludf.DUMMYFUNCTION("""COMPUTED_VALUE"""),1.0)</f>
        <v>1</v>
      </c>
      <c r="AD1584">
        <f>IFERROR(__xludf.DUMMYFUNCTION("""COMPUTED_VALUE"""),1.0)</f>
        <v>1</v>
      </c>
      <c r="AE1584">
        <f>IFERROR(__xludf.DUMMYFUNCTION("""COMPUTED_VALUE"""),3.0)</f>
        <v>3</v>
      </c>
      <c r="AH1584" s="189">
        <f>IFERROR(__xludf.DUMMYFUNCTION("""COMPUTED_VALUE"""),43535.17258592593)</f>
        <v>43535.17259</v>
      </c>
    </row>
    <row r="1585">
      <c r="A1585" t="str">
        <f>IFERROR(__xludf.DUMMYFUNCTION("""COMPUTED_VALUE"""),"mutle")</f>
        <v>mutle</v>
      </c>
      <c r="B1585" t="str">
        <f>IFERROR(__xludf.DUMMYFUNCTION("""COMPUTED_VALUE"""),"Düsseldorf")</f>
        <v>Düsseldorf</v>
      </c>
      <c r="D1585" t="str">
        <f>IFERROR(__xludf.DUMMYFUNCTION("""COMPUTED_VALUE"""),"Germany")</f>
        <v>Germany</v>
      </c>
      <c r="E1585" s="188">
        <f>IFERROR(__xludf.DUMMYFUNCTION("""COMPUTED_VALUE"""),43455.0)</f>
        <v>43455</v>
      </c>
      <c r="F1585" s="188">
        <f>IFERROR(__xludf.DUMMYFUNCTION("""COMPUTED_VALUE"""),43528.0)</f>
        <v>43528</v>
      </c>
      <c r="H1585">
        <f>IFERROR(__xludf.DUMMYFUNCTION("""COMPUTED_VALUE"""),198455.0)</f>
        <v>198455</v>
      </c>
      <c r="I1585" t="str">
        <f>IFERROR(__xludf.DUMMYFUNCTION("""COMPUTED_VALUE"""),"01/19")</f>
        <v>01/19</v>
      </c>
      <c r="J1585" s="5">
        <f>IFERROR(__xludf.DUMMYFUNCTION("""COMPUTED_VALUE"""),43532.0)</f>
        <v>43532</v>
      </c>
      <c r="K1585">
        <f>IFERROR(__xludf.DUMMYFUNCTION("""COMPUTED_VALUE"""),73.0)</f>
        <v>73</v>
      </c>
      <c r="L1585">
        <f>IFERROR(__xludf.DUMMYFUNCTION("""COMPUTED_VALUE"""),4.0)</f>
        <v>4</v>
      </c>
      <c r="M1585">
        <f>IFERROR(__xludf.DUMMYFUNCTION("""COMPUTED_VALUE"""),77.0)</f>
        <v>77</v>
      </c>
      <c r="N1585" t="str">
        <f>IFERROR(__xludf.DUMMYFUNCTION("""COMPUTED_VALUE"""),"Model 3 Performance")</f>
        <v>Model 3 Performance</v>
      </c>
      <c r="O1585" t="str">
        <f>IFERROR(__xludf.DUMMYFUNCTION("""COMPUTED_VALUE"""),"Midnight Silver Metallic")</f>
        <v>Midnight Silver Metallic</v>
      </c>
      <c r="P1585" t="str">
        <f>IFERROR(__xludf.DUMMYFUNCTION("""COMPUTED_VALUE"""),"20 inch Sport")</f>
        <v>20 inch Sport</v>
      </c>
      <c r="Q1585" t="str">
        <f>IFERROR(__xludf.DUMMYFUNCTION("""COMPUTED_VALUE"""),"White seats")</f>
        <v>White seats</v>
      </c>
      <c r="R1585" t="str">
        <f>IFERROR(__xludf.DUMMYFUNCTION("""COMPUTED_VALUE"""),"Enhanced Autopilot")</f>
        <v>Enhanced Autopilot</v>
      </c>
      <c r="X1585" t="str">
        <f>IFERROR(__xludf.DUMMYFUNCTION("""COMPUTED_VALUE"""),"Excellent")</f>
        <v>Excellent</v>
      </c>
      <c r="Y1585" t="str">
        <f>IFERROR(__xludf.DUMMYFUNCTION("""COMPUTED_VALUE"""),"Excellent")</f>
        <v>Excellent</v>
      </c>
      <c r="Z1585" t="str">
        <f>IFERROR(__xludf.DUMMYFUNCTION("""COMPUTED_VALUE"""),"Excellent")</f>
        <v>Excellent</v>
      </c>
      <c r="AA1585" t="str">
        <f>IFERROR(__xludf.DUMMYFUNCTION("""COMPUTED_VALUE"""),"Poor")</f>
        <v>Poor</v>
      </c>
      <c r="AB1585" t="str">
        <f>IFERROR(__xludf.DUMMYFUNCTION("""COMPUTED_VALUE"""),"Very Good")</f>
        <v>Very Good</v>
      </c>
      <c r="AH1585" s="189">
        <f>IFERROR(__xludf.DUMMYFUNCTION("""COMPUTED_VALUE"""),43535.19240763889)</f>
        <v>43535.19241</v>
      </c>
    </row>
    <row r="1586">
      <c r="A1586" t="str">
        <f>IFERROR(__xludf.DUMMYFUNCTION("""COMPUTED_VALUE"""),"Knittingemmy")</f>
        <v>Knittingemmy</v>
      </c>
      <c r="B1586" t="str">
        <f>IFERROR(__xludf.DUMMYFUNCTION("""COMPUTED_VALUE"""),"Winston Salem")</f>
        <v>Winston Salem</v>
      </c>
      <c r="C1586" t="str">
        <f>IFERROR(__xludf.DUMMYFUNCTION("""COMPUTED_VALUE"""),"NC")</f>
        <v>NC</v>
      </c>
      <c r="D1586" t="str">
        <f>IFERROR(__xludf.DUMMYFUNCTION("""COMPUTED_VALUE"""),"USA")</f>
        <v>USA</v>
      </c>
      <c r="E1586" s="188">
        <f>IFERROR(__xludf.DUMMYFUNCTION("""COMPUTED_VALUE"""),43390.0)</f>
        <v>43390</v>
      </c>
      <c r="F1586" s="188">
        <f>IFERROR(__xludf.DUMMYFUNCTION("""COMPUTED_VALUE"""),43402.0)</f>
        <v>43402</v>
      </c>
      <c r="H1586">
        <f>IFERROR(__xludf.DUMMYFUNCTION("""COMPUTED_VALUE"""),104655.0)</f>
        <v>104655</v>
      </c>
      <c r="I1586" t="str">
        <f>IFERROR(__xludf.DUMMYFUNCTION("""COMPUTED_VALUE"""),"10/18")</f>
        <v>10/18</v>
      </c>
      <c r="J1586" s="5">
        <f>IFERROR(__xludf.DUMMYFUNCTION("""COMPUTED_VALUE"""),43404.0)</f>
        <v>43404</v>
      </c>
      <c r="K1586">
        <f>IFERROR(__xludf.DUMMYFUNCTION("""COMPUTED_VALUE"""),12.0)</f>
        <v>12</v>
      </c>
      <c r="L1586">
        <f>IFERROR(__xludf.DUMMYFUNCTION("""COMPUTED_VALUE"""),2.0)</f>
        <v>2</v>
      </c>
      <c r="M1586">
        <f>IFERROR(__xludf.DUMMYFUNCTION("""COMPUTED_VALUE"""),14.0)</f>
        <v>14</v>
      </c>
      <c r="N1586" t="str">
        <f>IFERROR(__xludf.DUMMYFUNCTION("""COMPUTED_VALUE"""),"Model 3 LR AWD")</f>
        <v>Model 3 LR AWD</v>
      </c>
      <c r="O1586" t="str">
        <f>IFERROR(__xludf.DUMMYFUNCTION("""COMPUTED_VALUE"""),"Red Multi-Coat")</f>
        <v>Red Multi-Coat</v>
      </c>
      <c r="P1586" t="str">
        <f>IFERROR(__xludf.DUMMYFUNCTION("""COMPUTED_VALUE"""),"18 inch Aero")</f>
        <v>18 inch Aero</v>
      </c>
      <c r="Q1586" t="str">
        <f>IFERROR(__xludf.DUMMYFUNCTION("""COMPUTED_VALUE"""),"Black seats")</f>
        <v>Black seats</v>
      </c>
      <c r="R1586" t="str">
        <f>IFERROR(__xludf.DUMMYFUNCTION("""COMPUTED_VALUE"""),"Enhanced Autopilot")</f>
        <v>Enhanced Autopilot</v>
      </c>
      <c r="X1586" t="str">
        <f>IFERROR(__xludf.DUMMYFUNCTION("""COMPUTED_VALUE"""),"Excellent")</f>
        <v>Excellent</v>
      </c>
      <c r="Y1586" t="str">
        <f>IFERROR(__xludf.DUMMYFUNCTION("""COMPUTED_VALUE"""),"Excellent")</f>
        <v>Excellent</v>
      </c>
      <c r="Z1586" t="str">
        <f>IFERROR(__xludf.DUMMYFUNCTION("""COMPUTED_VALUE"""),"Excellent")</f>
        <v>Excellent</v>
      </c>
      <c r="AA1586" t="str">
        <f>IFERROR(__xludf.DUMMYFUNCTION("""COMPUTED_VALUE"""),"Excellent")</f>
        <v>Excellent</v>
      </c>
      <c r="AB1586" t="str">
        <f>IFERROR(__xludf.DUMMYFUNCTION("""COMPUTED_VALUE"""),"Excellent")</f>
        <v>Excellent</v>
      </c>
      <c r="AC1586">
        <f>IFERROR(__xludf.DUMMYFUNCTION("""COMPUTED_VALUE"""),0.0)</f>
        <v>0</v>
      </c>
      <c r="AD1586">
        <f>IFERROR(__xludf.DUMMYFUNCTION("""COMPUTED_VALUE"""),0.0)</f>
        <v>0</v>
      </c>
      <c r="AE1586">
        <f>IFERROR(__xludf.DUMMYFUNCTION("""COMPUTED_VALUE"""),0.0)</f>
        <v>0</v>
      </c>
      <c r="AG1586" t="str">
        <f>IFERROR(__xludf.DUMMYFUNCTION("""COMPUTED_VALUE"""),"To date the car has been trouble-free -- both in performance and bpdy integrity")</f>
        <v>To date the car has been trouble-free -- both in performance and bpdy integrity</v>
      </c>
      <c r="AH1586" s="189">
        <f>IFERROR(__xludf.DUMMYFUNCTION("""COMPUTED_VALUE"""),43537.33705199074)</f>
        <v>43537.33705</v>
      </c>
    </row>
    <row r="1587">
      <c r="A1587" t="str">
        <f>IFERROR(__xludf.DUMMYFUNCTION("""COMPUTED_VALUE"""),"ViperGTSR6")</f>
        <v>ViperGTSR6</v>
      </c>
      <c r="B1587" t="str">
        <f>IFERROR(__xludf.DUMMYFUNCTION("""COMPUTED_VALUE"""),"Chandler")</f>
        <v>Chandler</v>
      </c>
      <c r="C1587" t="str">
        <f>IFERROR(__xludf.DUMMYFUNCTION("""COMPUTED_VALUE"""),"AZ")</f>
        <v>AZ</v>
      </c>
      <c r="D1587" t="str">
        <f>IFERROR(__xludf.DUMMYFUNCTION("""COMPUTED_VALUE"""),"USA")</f>
        <v>USA</v>
      </c>
      <c r="E1587" s="188">
        <f>IFERROR(__xludf.DUMMYFUNCTION("""COMPUTED_VALUE"""),43524.0)</f>
        <v>43524</v>
      </c>
      <c r="F1587" s="188">
        <f>IFERROR(__xludf.DUMMYFUNCTION("""COMPUTED_VALUE"""),43536.0)</f>
        <v>43536</v>
      </c>
      <c r="H1587">
        <f>IFERROR(__xludf.DUMMYFUNCTION("""COMPUTED_VALUE"""),299255.0)</f>
        <v>299255</v>
      </c>
      <c r="I1587" t="str">
        <f>IFERROR(__xludf.DUMMYFUNCTION("""COMPUTED_VALUE"""),"03/19")</f>
        <v>03/19</v>
      </c>
      <c r="J1587" s="5">
        <f>IFERROR(__xludf.DUMMYFUNCTION("""COMPUTED_VALUE"""),43539.0)</f>
        <v>43539</v>
      </c>
      <c r="K1587">
        <f>IFERROR(__xludf.DUMMYFUNCTION("""COMPUTED_VALUE"""),12.0)</f>
        <v>12</v>
      </c>
      <c r="L1587">
        <f>IFERROR(__xludf.DUMMYFUNCTION("""COMPUTED_VALUE"""),3.0)</f>
        <v>3</v>
      </c>
      <c r="M1587">
        <f>IFERROR(__xludf.DUMMYFUNCTION("""COMPUTED_VALUE"""),15.0)</f>
        <v>15</v>
      </c>
      <c r="N1587" t="str">
        <f>IFERROR(__xludf.DUMMYFUNCTION("""COMPUTED_VALUE"""),"Model 3 SR+")</f>
        <v>Model 3 SR+</v>
      </c>
      <c r="O1587" t="str">
        <f>IFERROR(__xludf.DUMMYFUNCTION("""COMPUTED_VALUE"""),"Deep Blue Metallic")</f>
        <v>Deep Blue Metallic</v>
      </c>
      <c r="P1587" t="str">
        <f>IFERROR(__xludf.DUMMYFUNCTION("""COMPUTED_VALUE"""),"18 inch Aero")</f>
        <v>18 inch Aero</v>
      </c>
      <c r="Q1587" t="str">
        <f>IFERROR(__xludf.DUMMYFUNCTION("""COMPUTED_VALUE"""),"Black seats")</f>
        <v>Black seats</v>
      </c>
      <c r="R1587" t="str">
        <f>IFERROR(__xludf.DUMMYFUNCTION("""COMPUTED_VALUE"""),"None")</f>
        <v>None</v>
      </c>
      <c r="X1587" t="str">
        <f>IFERROR(__xludf.DUMMYFUNCTION("""COMPUTED_VALUE"""),"Excellent")</f>
        <v>Excellent</v>
      </c>
      <c r="Y1587" t="str">
        <f>IFERROR(__xludf.DUMMYFUNCTION("""COMPUTED_VALUE"""),"Excellent")</f>
        <v>Excellent</v>
      </c>
      <c r="Z1587" t="str">
        <f>IFERROR(__xludf.DUMMYFUNCTION("""COMPUTED_VALUE"""),"Very Good")</f>
        <v>Very Good</v>
      </c>
      <c r="AA1587" t="str">
        <f>IFERROR(__xludf.DUMMYFUNCTION("""COMPUTED_VALUE"""),"Excellent")</f>
        <v>Excellent</v>
      </c>
      <c r="AB1587" t="str">
        <f>IFERROR(__xludf.DUMMYFUNCTION("""COMPUTED_VALUE"""),"Excellent")</f>
        <v>Excellent</v>
      </c>
      <c r="AH1587" s="189">
        <f>IFERROR(__xludf.DUMMYFUNCTION("""COMPUTED_VALUE"""),43539.903084606485)</f>
        <v>43539.90308</v>
      </c>
    </row>
    <row r="1588">
      <c r="A1588" t="str">
        <f>IFERROR(__xludf.DUMMYFUNCTION("""COMPUTED_VALUE"""),"mpm3710")</f>
        <v>mpm3710</v>
      </c>
      <c r="B1588" t="str">
        <f>IFERROR(__xludf.DUMMYFUNCTION("""COMPUTED_VALUE"""),"Maple Valley")</f>
        <v>Maple Valley</v>
      </c>
      <c r="C1588" t="str">
        <f>IFERROR(__xludf.DUMMYFUNCTION("""COMPUTED_VALUE"""),"WA")</f>
        <v>WA</v>
      </c>
      <c r="D1588" t="str">
        <f>IFERROR(__xludf.DUMMYFUNCTION("""COMPUTED_VALUE"""),"USA")</f>
        <v>USA</v>
      </c>
      <c r="E1588" s="188">
        <f>IFERROR(__xludf.DUMMYFUNCTION("""COMPUTED_VALUE"""),43393.0)</f>
        <v>43393</v>
      </c>
      <c r="F1588" s="188">
        <f>IFERROR(__xludf.DUMMYFUNCTION("""COMPUTED_VALUE"""),43443.0)</f>
        <v>43443</v>
      </c>
      <c r="H1588" s="4">
        <f>IFERROR(__xludf.DUMMYFUNCTION("""COMPUTED_VALUE"""),155472.0)</f>
        <v>155472</v>
      </c>
      <c r="I1588" t="str">
        <f>IFERROR(__xludf.DUMMYFUNCTION("""COMPUTED_VALUE"""),"12/18")</f>
        <v>12/18</v>
      </c>
      <c r="J1588" s="5">
        <f>IFERROR(__xludf.DUMMYFUNCTION("""COMPUTED_VALUE"""),43447.0)</f>
        <v>43447</v>
      </c>
      <c r="K1588">
        <f>IFERROR(__xludf.DUMMYFUNCTION("""COMPUTED_VALUE"""),50.0)</f>
        <v>50</v>
      </c>
      <c r="L1588">
        <f>IFERROR(__xludf.DUMMYFUNCTION("""COMPUTED_VALUE"""),4.0)</f>
        <v>4</v>
      </c>
      <c r="M1588">
        <f>IFERROR(__xludf.DUMMYFUNCTION("""COMPUTED_VALUE"""),54.0)</f>
        <v>54</v>
      </c>
      <c r="N1588" t="str">
        <f>IFERROR(__xludf.DUMMYFUNCTION("""COMPUTED_VALUE"""),"Model 3 MR")</f>
        <v>Model 3 MR</v>
      </c>
      <c r="O1588" t="str">
        <f>IFERROR(__xludf.DUMMYFUNCTION("""COMPUTED_VALUE"""),"Pearl White Multi-Coat")</f>
        <v>Pearl White Multi-Coat</v>
      </c>
      <c r="P1588" t="str">
        <f>IFERROR(__xludf.DUMMYFUNCTION("""COMPUTED_VALUE"""),"18 inch Aero")</f>
        <v>18 inch Aero</v>
      </c>
      <c r="Q1588" t="str">
        <f>IFERROR(__xludf.DUMMYFUNCTION("""COMPUTED_VALUE"""),"White seats")</f>
        <v>White seats</v>
      </c>
      <c r="R1588" t="str">
        <f>IFERROR(__xludf.DUMMYFUNCTION("""COMPUTED_VALUE"""),"Enhanced Autopilot")</f>
        <v>Enhanced Autopilot</v>
      </c>
      <c r="X1588" t="str">
        <f>IFERROR(__xludf.DUMMYFUNCTION("""COMPUTED_VALUE"""),"Very Good")</f>
        <v>Very Good</v>
      </c>
      <c r="Y1588" t="str">
        <f>IFERROR(__xludf.DUMMYFUNCTION("""COMPUTED_VALUE"""),"Excellent")</f>
        <v>Excellent</v>
      </c>
      <c r="Z1588" t="str">
        <f>IFERROR(__xludf.DUMMYFUNCTION("""COMPUTED_VALUE"""),"Excellent")</f>
        <v>Excellent</v>
      </c>
      <c r="AA1588" t="str">
        <f>IFERROR(__xludf.DUMMYFUNCTION("""COMPUTED_VALUE"""),"Fair")</f>
        <v>Fair</v>
      </c>
      <c r="AB1588" t="str">
        <f>IFERROR(__xludf.DUMMYFUNCTION("""COMPUTED_VALUE"""),"Good")</f>
        <v>Good</v>
      </c>
      <c r="AC1588">
        <f>IFERROR(__xludf.DUMMYFUNCTION("""COMPUTED_VALUE"""),1.0)</f>
        <v>1</v>
      </c>
      <c r="AD1588">
        <f>IFERROR(__xludf.DUMMYFUNCTION("""COMPUTED_VALUE"""),1.0)</f>
        <v>1</v>
      </c>
      <c r="AE1588">
        <f>IFERROR(__xludf.DUMMYFUNCTION("""COMPUTED_VALUE"""),0.0)</f>
        <v>0</v>
      </c>
      <c r="AG1588" t="str">
        <f>IFERROR(__xludf.DUMMYFUNCTION("""COMPUTED_VALUE"""),"Just the Model 3 door plate was scratch on the driver's side.")</f>
        <v>Just the Model 3 door plate was scratch on the driver's side.</v>
      </c>
      <c r="AH1588" s="189">
        <f>IFERROR(__xludf.DUMMYFUNCTION("""COMPUTED_VALUE"""),43540.37723789352)</f>
        <v>43540.37724</v>
      </c>
    </row>
    <row r="1589">
      <c r="A1589" t="str">
        <f>IFERROR(__xludf.DUMMYFUNCTION("""COMPUTED_VALUE"""),"LarryG")</f>
        <v>LarryG</v>
      </c>
      <c r="B1589" t="str">
        <f>IFERROR(__xludf.DUMMYFUNCTION("""COMPUTED_VALUE"""),"Cary, NC")</f>
        <v>Cary, NC</v>
      </c>
      <c r="C1589" t="str">
        <f>IFERROR(__xludf.DUMMYFUNCTION("""COMPUTED_VALUE"""),"NC")</f>
        <v>NC</v>
      </c>
      <c r="D1589" t="str">
        <f>IFERROR(__xludf.DUMMYFUNCTION("""COMPUTED_VALUE"""),"USA")</f>
        <v>USA</v>
      </c>
      <c r="E1589" s="188">
        <f>IFERROR(__xludf.DUMMYFUNCTION("""COMPUTED_VALUE"""),43387.0)</f>
        <v>43387</v>
      </c>
      <c r="F1589" s="188">
        <f>IFERROR(__xludf.DUMMYFUNCTION("""COMPUTED_VALUE"""),43387.0)</f>
        <v>43387</v>
      </c>
      <c r="H1589">
        <f>IFERROR(__xludf.DUMMYFUNCTION("""COMPUTED_VALUE"""),85822.0)</f>
        <v>85822</v>
      </c>
      <c r="I1589" t="str">
        <f>IFERROR(__xludf.DUMMYFUNCTION("""COMPUTED_VALUE"""),"10/18")</f>
        <v>10/18</v>
      </c>
      <c r="J1589" s="5">
        <f>IFERROR(__xludf.DUMMYFUNCTION("""COMPUTED_VALUE"""),43419.0)</f>
        <v>43419</v>
      </c>
      <c r="K1589">
        <f>IFERROR(__xludf.DUMMYFUNCTION("""COMPUTED_VALUE"""),0.0)</f>
        <v>0</v>
      </c>
      <c r="L1589">
        <f>IFERROR(__xludf.DUMMYFUNCTION("""COMPUTED_VALUE"""),32.0)</f>
        <v>32</v>
      </c>
      <c r="M1589">
        <f>IFERROR(__xludf.DUMMYFUNCTION("""COMPUTED_VALUE"""),32.0)</f>
        <v>32</v>
      </c>
      <c r="N1589" t="str">
        <f>IFERROR(__xludf.DUMMYFUNCTION("""COMPUTED_VALUE"""),"Model 3 LR AWD")</f>
        <v>Model 3 LR AWD</v>
      </c>
      <c r="O1589" t="str">
        <f>IFERROR(__xludf.DUMMYFUNCTION("""COMPUTED_VALUE"""),"Red Multi-Coat")</f>
        <v>Red Multi-Coat</v>
      </c>
      <c r="P1589" t="str">
        <f>IFERROR(__xludf.DUMMYFUNCTION("""COMPUTED_VALUE"""),"18 inch Aero")</f>
        <v>18 inch Aero</v>
      </c>
      <c r="Q1589" t="str">
        <f>IFERROR(__xludf.DUMMYFUNCTION("""COMPUTED_VALUE"""),"White seats")</f>
        <v>White seats</v>
      </c>
      <c r="R1589" t="str">
        <f>IFERROR(__xludf.DUMMYFUNCTION("""COMPUTED_VALUE"""),"Full Self-Driving")</f>
        <v>Full Self-Driving</v>
      </c>
      <c r="X1589" t="str">
        <f>IFERROR(__xludf.DUMMYFUNCTION("""COMPUTED_VALUE"""),"Very Good")</f>
        <v>Very Good</v>
      </c>
      <c r="Y1589" t="str">
        <f>IFERROR(__xludf.DUMMYFUNCTION("""COMPUTED_VALUE"""),"Excellent")</f>
        <v>Excellent</v>
      </c>
      <c r="Z1589" t="str">
        <f>IFERROR(__xludf.DUMMYFUNCTION("""COMPUTED_VALUE"""),"Excellent")</f>
        <v>Excellent</v>
      </c>
      <c r="AA1589" t="str">
        <f>IFERROR(__xludf.DUMMYFUNCTION("""COMPUTED_VALUE"""),"Excellent")</f>
        <v>Excellent</v>
      </c>
      <c r="AB1589" t="str">
        <f>IFERROR(__xludf.DUMMYFUNCTION("""COMPUTED_VALUE"""),"Excellent")</f>
        <v>Excellent</v>
      </c>
      <c r="AC1589">
        <f>IFERROR(__xludf.DUMMYFUNCTION("""COMPUTED_VALUE"""),1.0)</f>
        <v>1</v>
      </c>
      <c r="AD1589">
        <f>IFERROR(__xludf.DUMMYFUNCTION("""COMPUTED_VALUE"""),1.0)</f>
        <v>1</v>
      </c>
      <c r="AE1589">
        <f>IFERROR(__xludf.DUMMYFUNCTION("""COMPUTED_VALUE"""),0.0)</f>
        <v>0</v>
      </c>
      <c r="AH1589" s="189">
        <f>IFERROR(__xludf.DUMMYFUNCTION("""COMPUTED_VALUE"""),43541.58641013889)</f>
        <v>43541.58641</v>
      </c>
    </row>
    <row r="1590">
      <c r="A1590" t="str">
        <f>IFERROR(__xludf.DUMMYFUNCTION("""COMPUTED_VALUE"""),"mnm20")</f>
        <v>mnm20</v>
      </c>
      <c r="B1590" t="str">
        <f>IFERROR(__xludf.DUMMYFUNCTION("""COMPUTED_VALUE"""),"Chicagoland")</f>
        <v>Chicagoland</v>
      </c>
      <c r="C1590" t="str">
        <f>IFERROR(__xludf.DUMMYFUNCTION("""COMPUTED_VALUE"""),"IN")</f>
        <v>IN</v>
      </c>
      <c r="D1590" t="str">
        <f>IFERROR(__xludf.DUMMYFUNCTION("""COMPUTED_VALUE"""),"USA")</f>
        <v>USA</v>
      </c>
      <c r="E1590" s="188">
        <f>IFERROR(__xludf.DUMMYFUNCTION("""COMPUTED_VALUE"""),43524.0)</f>
        <v>43524</v>
      </c>
      <c r="F1590" s="188">
        <f>IFERROR(__xludf.DUMMYFUNCTION("""COMPUTED_VALUE"""),43535.0)</f>
        <v>43535</v>
      </c>
      <c r="H1590">
        <f>IFERROR(__xludf.DUMMYFUNCTION("""COMPUTED_VALUE"""),296755.0)</f>
        <v>296755</v>
      </c>
      <c r="J1590" s="5">
        <f>IFERROR(__xludf.DUMMYFUNCTION("""COMPUTED_VALUE"""),43540.0)</f>
        <v>43540</v>
      </c>
      <c r="K1590">
        <f>IFERROR(__xludf.DUMMYFUNCTION("""COMPUTED_VALUE"""),11.0)</f>
        <v>11</v>
      </c>
      <c r="L1590">
        <f>IFERROR(__xludf.DUMMYFUNCTION("""COMPUTED_VALUE"""),5.0)</f>
        <v>5</v>
      </c>
      <c r="M1590">
        <f>IFERROR(__xludf.DUMMYFUNCTION("""COMPUTED_VALUE"""),16.0)</f>
        <v>16</v>
      </c>
      <c r="N1590" t="str">
        <f>IFERROR(__xludf.DUMMYFUNCTION("""COMPUTED_VALUE"""),"Model 3 SR+")</f>
        <v>Model 3 SR+</v>
      </c>
      <c r="O1590" t="str">
        <f>IFERROR(__xludf.DUMMYFUNCTION("""COMPUTED_VALUE"""),"Solid Black")</f>
        <v>Solid Black</v>
      </c>
      <c r="P1590" t="str">
        <f>IFERROR(__xludf.DUMMYFUNCTION("""COMPUTED_VALUE"""),"18 inch Aero")</f>
        <v>18 inch Aero</v>
      </c>
      <c r="Q1590" t="str">
        <f>IFERROR(__xludf.DUMMYFUNCTION("""COMPUTED_VALUE"""),"Black seats")</f>
        <v>Black seats</v>
      </c>
      <c r="R1590" t="str">
        <f>IFERROR(__xludf.DUMMYFUNCTION("""COMPUTED_VALUE"""),"Enhanced Autopilot")</f>
        <v>Enhanced Autopilot</v>
      </c>
      <c r="AC1590">
        <f>IFERROR(__xludf.DUMMYFUNCTION("""COMPUTED_VALUE"""),1.0)</f>
        <v>1</v>
      </c>
      <c r="AH1590" s="189">
        <f>IFERROR(__xludf.DUMMYFUNCTION("""COMPUTED_VALUE"""),43541.63749591435)</f>
        <v>43541.6375</v>
      </c>
    </row>
    <row r="1591">
      <c r="A1591" t="str">
        <f>IFERROR(__xludf.DUMMYFUNCTION("""COMPUTED_VALUE"""),"pellet")</f>
        <v>pellet</v>
      </c>
      <c r="B1591" t="str">
        <f>IFERROR(__xludf.DUMMYFUNCTION("""COMPUTED_VALUE"""),"Jacksonville")</f>
        <v>Jacksonville</v>
      </c>
      <c r="C1591" t="str">
        <f>IFERROR(__xludf.DUMMYFUNCTION("""COMPUTED_VALUE"""),"FL")</f>
        <v>FL</v>
      </c>
      <c r="D1591" t="str">
        <f>IFERROR(__xludf.DUMMYFUNCTION("""COMPUTED_VALUE"""),"USA")</f>
        <v>USA</v>
      </c>
      <c r="E1591" s="188">
        <f>IFERROR(__xludf.DUMMYFUNCTION("""COMPUTED_VALUE"""),43281.0)</f>
        <v>43281</v>
      </c>
      <c r="F1591" s="188">
        <f>IFERROR(__xludf.DUMMYFUNCTION("""COMPUTED_VALUE"""),43423.0)</f>
        <v>43423</v>
      </c>
      <c r="H1591">
        <f>IFERROR(__xludf.DUMMYFUNCTION("""COMPUTED_VALUE"""),134195.0)</f>
        <v>134195</v>
      </c>
      <c r="J1591" s="5">
        <f>IFERROR(__xludf.DUMMYFUNCTION("""COMPUTED_VALUE"""),43430.0)</f>
        <v>43430</v>
      </c>
      <c r="K1591">
        <f>IFERROR(__xludf.DUMMYFUNCTION("""COMPUTED_VALUE"""),142.0)</f>
        <v>142</v>
      </c>
      <c r="L1591">
        <f>IFERROR(__xludf.DUMMYFUNCTION("""COMPUTED_VALUE"""),7.0)</f>
        <v>7</v>
      </c>
      <c r="M1591">
        <f>IFERROR(__xludf.DUMMYFUNCTION("""COMPUTED_VALUE"""),149.0)</f>
        <v>149</v>
      </c>
      <c r="N1591" t="str">
        <f>IFERROR(__xludf.DUMMYFUNCTION("""COMPUTED_VALUE"""),"Model 3 LR AWD")</f>
        <v>Model 3 LR AWD</v>
      </c>
      <c r="O1591" t="str">
        <f>IFERROR(__xludf.DUMMYFUNCTION("""COMPUTED_VALUE"""),"Pearl White Multi-Coat")</f>
        <v>Pearl White Multi-Coat</v>
      </c>
      <c r="P1591" t="str">
        <f>IFERROR(__xludf.DUMMYFUNCTION("""COMPUTED_VALUE"""),"19 inch Sport")</f>
        <v>19 inch Sport</v>
      </c>
      <c r="Q1591" t="str">
        <f>IFERROR(__xludf.DUMMYFUNCTION("""COMPUTED_VALUE"""),"Black seats")</f>
        <v>Black seats</v>
      </c>
      <c r="R1591" t="str">
        <f>IFERROR(__xludf.DUMMYFUNCTION("""COMPUTED_VALUE"""),"Full Self-Driving")</f>
        <v>Full Self-Driving</v>
      </c>
      <c r="X1591" t="str">
        <f>IFERROR(__xludf.DUMMYFUNCTION("""COMPUTED_VALUE"""),"Excellent")</f>
        <v>Excellent</v>
      </c>
      <c r="Y1591" t="str">
        <f>IFERROR(__xludf.DUMMYFUNCTION("""COMPUTED_VALUE"""),"Excellent")</f>
        <v>Excellent</v>
      </c>
      <c r="Z1591" t="str">
        <f>IFERROR(__xludf.DUMMYFUNCTION("""COMPUTED_VALUE"""),"Very Good")</f>
        <v>Very Good</v>
      </c>
      <c r="AA1591" t="str">
        <f>IFERROR(__xludf.DUMMYFUNCTION("""COMPUTED_VALUE"""),"Excellent")</f>
        <v>Excellent</v>
      </c>
      <c r="AB1591" t="str">
        <f>IFERROR(__xludf.DUMMYFUNCTION("""COMPUTED_VALUE"""),"Excellent")</f>
        <v>Excellent</v>
      </c>
      <c r="AC1591">
        <f>IFERROR(__xludf.DUMMYFUNCTION("""COMPUTED_VALUE"""),2.0)</f>
        <v>2</v>
      </c>
      <c r="AD1591">
        <f>IFERROR(__xludf.DUMMYFUNCTION("""COMPUTED_VALUE"""),0.0)</f>
        <v>0</v>
      </c>
      <c r="AE1591">
        <f>IFERROR(__xludf.DUMMYFUNCTION("""COMPUTED_VALUE"""),0.0)</f>
        <v>0</v>
      </c>
      <c r="AH1591" s="189">
        <f>IFERROR(__xludf.DUMMYFUNCTION("""COMPUTED_VALUE"""),43541.74064099537)</f>
        <v>43541.74064</v>
      </c>
    </row>
    <row r="1592">
      <c r="A1592" t="str">
        <f>IFERROR(__xludf.DUMMYFUNCTION("""COMPUTED_VALUE"""),"Fer")</f>
        <v>Fer</v>
      </c>
      <c r="B1592" t="str">
        <f>IFERROR(__xludf.DUMMYFUNCTION("""COMPUTED_VALUE"""),"Madrid")</f>
        <v>Madrid</v>
      </c>
      <c r="C1592" t="str">
        <f>IFERROR(__xludf.DUMMYFUNCTION("""COMPUTED_VALUE"""),"FL")</f>
        <v>FL</v>
      </c>
      <c r="D1592" t="str">
        <f>IFERROR(__xludf.DUMMYFUNCTION("""COMPUTED_VALUE"""),"Spain")</f>
        <v>Spain</v>
      </c>
      <c r="E1592" s="188">
        <f>IFERROR(__xludf.DUMMYFUNCTION("""COMPUTED_VALUE"""),43448.0)</f>
        <v>43448</v>
      </c>
      <c r="J1592" s="5">
        <f>IFERROR(__xludf.DUMMYFUNCTION("""COMPUTED_VALUE"""),43540.0)</f>
        <v>43540</v>
      </c>
      <c r="M1592">
        <f>IFERROR(__xludf.DUMMYFUNCTION("""COMPUTED_VALUE"""),92.0)</f>
        <v>92</v>
      </c>
      <c r="N1592" t="str">
        <f>IFERROR(__xludf.DUMMYFUNCTION("""COMPUTED_VALUE"""),"Model 3 LR AWD")</f>
        <v>Model 3 LR AWD</v>
      </c>
      <c r="O1592" t="str">
        <f>IFERROR(__xludf.DUMMYFUNCTION("""COMPUTED_VALUE"""),"Pearl White Multi-Coat")</f>
        <v>Pearl White Multi-Coat</v>
      </c>
      <c r="P1592" t="str">
        <f>IFERROR(__xludf.DUMMYFUNCTION("""COMPUTED_VALUE"""),"18 inch Aero")</f>
        <v>18 inch Aero</v>
      </c>
      <c r="Q1592" t="str">
        <f>IFERROR(__xludf.DUMMYFUNCTION("""COMPUTED_VALUE"""),"Black seats")</f>
        <v>Black seats</v>
      </c>
      <c r="R1592" t="str">
        <f>IFERROR(__xludf.DUMMYFUNCTION("""COMPUTED_VALUE"""),"Enhanced Autopilot")</f>
        <v>Enhanced Autopilot</v>
      </c>
      <c r="X1592" t="str">
        <f>IFERROR(__xludf.DUMMYFUNCTION("""COMPUTED_VALUE"""),"Good")</f>
        <v>Good</v>
      </c>
      <c r="Y1592" t="str">
        <f>IFERROR(__xludf.DUMMYFUNCTION("""COMPUTED_VALUE"""),"Excellent")</f>
        <v>Excellent</v>
      </c>
      <c r="Z1592" t="str">
        <f>IFERROR(__xludf.DUMMYFUNCTION("""COMPUTED_VALUE"""),"Excellent")</f>
        <v>Excellent</v>
      </c>
      <c r="AA1592" t="str">
        <f>IFERROR(__xludf.DUMMYFUNCTION("""COMPUTED_VALUE"""),"Good")</f>
        <v>Good</v>
      </c>
      <c r="AB1592" t="str">
        <f>IFERROR(__xludf.DUMMYFUNCTION("""COMPUTED_VALUE"""),"Good")</f>
        <v>Good</v>
      </c>
      <c r="AC1592">
        <f>IFERROR(__xludf.DUMMYFUNCTION("""COMPUTED_VALUE"""),7.0)</f>
        <v>7</v>
      </c>
      <c r="AD1592">
        <f>IFERROR(__xludf.DUMMYFUNCTION("""COMPUTED_VALUE"""),0.0)</f>
        <v>0</v>
      </c>
      <c r="AE1592">
        <f>IFERROR(__xludf.DUMMYFUNCTION("""COMPUTED_VALUE"""),0.0)</f>
        <v>0</v>
      </c>
      <c r="AH1592" s="189">
        <f>IFERROR(__xludf.DUMMYFUNCTION("""COMPUTED_VALUE"""),43542.10542773148)</f>
        <v>43542.10543</v>
      </c>
    </row>
    <row r="1593">
      <c r="A1593" t="str">
        <f>IFERROR(__xludf.DUMMYFUNCTION("""COMPUTED_VALUE"""),"madrox17")</f>
        <v>madrox17</v>
      </c>
      <c r="B1593" t="str">
        <f>IFERROR(__xludf.DUMMYFUNCTION("""COMPUTED_VALUE"""),"Fort Wayne")</f>
        <v>Fort Wayne</v>
      </c>
      <c r="C1593" t="str">
        <f>IFERROR(__xludf.DUMMYFUNCTION("""COMPUTED_VALUE"""),"IN")</f>
        <v>IN</v>
      </c>
      <c r="D1593" t="str">
        <f>IFERROR(__xludf.DUMMYFUNCTION("""COMPUTED_VALUE"""),"USA")</f>
        <v>USA</v>
      </c>
      <c r="E1593" s="188">
        <f>IFERROR(__xludf.DUMMYFUNCTION("""COMPUTED_VALUE"""),43392.0)</f>
        <v>43392</v>
      </c>
      <c r="F1593" s="188">
        <f>IFERROR(__xludf.DUMMYFUNCTION("""COMPUTED_VALUE"""),43440.0)</f>
        <v>43440</v>
      </c>
      <c r="H1593">
        <f>IFERROR(__xludf.DUMMYFUNCTION("""COMPUTED_VALUE"""),169530.0)</f>
        <v>169530</v>
      </c>
      <c r="I1593" t="str">
        <f>IFERROR(__xludf.DUMMYFUNCTION("""COMPUTED_VALUE"""),"12/18")</f>
        <v>12/18</v>
      </c>
      <c r="J1593" s="5">
        <f>IFERROR(__xludf.DUMMYFUNCTION("""COMPUTED_VALUE"""),43448.0)</f>
        <v>43448</v>
      </c>
      <c r="K1593">
        <f>IFERROR(__xludf.DUMMYFUNCTION("""COMPUTED_VALUE"""),48.0)</f>
        <v>48</v>
      </c>
      <c r="L1593">
        <f>IFERROR(__xludf.DUMMYFUNCTION("""COMPUTED_VALUE"""),8.0)</f>
        <v>8</v>
      </c>
      <c r="M1593">
        <f>IFERROR(__xludf.DUMMYFUNCTION("""COMPUTED_VALUE"""),56.0)</f>
        <v>56</v>
      </c>
      <c r="N1593" t="str">
        <f>IFERROR(__xludf.DUMMYFUNCTION("""COMPUTED_VALUE"""),"Model 3 MR")</f>
        <v>Model 3 MR</v>
      </c>
      <c r="O1593" t="str">
        <f>IFERROR(__xludf.DUMMYFUNCTION("""COMPUTED_VALUE"""),"Pearl White Multi-Coat")</f>
        <v>Pearl White Multi-Coat</v>
      </c>
      <c r="P1593" t="str">
        <f>IFERROR(__xludf.DUMMYFUNCTION("""COMPUTED_VALUE"""),"19 inch Sport")</f>
        <v>19 inch Sport</v>
      </c>
      <c r="Q1593" t="str">
        <f>IFERROR(__xludf.DUMMYFUNCTION("""COMPUTED_VALUE"""),"White seats")</f>
        <v>White seats</v>
      </c>
      <c r="R1593" t="str">
        <f>IFERROR(__xludf.DUMMYFUNCTION("""COMPUTED_VALUE"""),"Enhanced Autopilot")</f>
        <v>Enhanced Autopilot</v>
      </c>
      <c r="X1593" t="str">
        <f>IFERROR(__xludf.DUMMYFUNCTION("""COMPUTED_VALUE"""),"Good")</f>
        <v>Good</v>
      </c>
      <c r="Y1593" t="str">
        <f>IFERROR(__xludf.DUMMYFUNCTION("""COMPUTED_VALUE"""),"Excellent")</f>
        <v>Excellent</v>
      </c>
      <c r="Z1593" t="str">
        <f>IFERROR(__xludf.DUMMYFUNCTION("""COMPUTED_VALUE"""),"Excellent")</f>
        <v>Excellent</v>
      </c>
      <c r="AA1593" t="str">
        <f>IFERROR(__xludf.DUMMYFUNCTION("""COMPUTED_VALUE"""),"Very Good")</f>
        <v>Very Good</v>
      </c>
      <c r="AB1593" t="str">
        <f>IFERROR(__xludf.DUMMYFUNCTION("""COMPUTED_VALUE"""),"Excellent")</f>
        <v>Excellent</v>
      </c>
      <c r="AC1593">
        <f>IFERROR(__xludf.DUMMYFUNCTION("""COMPUTED_VALUE"""),0.0)</f>
        <v>0</v>
      </c>
      <c r="AD1593">
        <f>IFERROR(__xludf.DUMMYFUNCTION("""COMPUTED_VALUE"""),0.0)</f>
        <v>0</v>
      </c>
      <c r="AE1593">
        <f>IFERROR(__xludf.DUMMYFUNCTION("""COMPUTED_VALUE"""),0.0)</f>
        <v>0</v>
      </c>
      <c r="AG1593" t="str">
        <f>IFERROR(__xludf.DUMMYFUNCTION("""COMPUTED_VALUE"""),"Switched my Oct 15 LR order to MR")</f>
        <v>Switched my Oct 15 LR order to MR</v>
      </c>
      <c r="AH1593" s="189">
        <f>IFERROR(__xludf.DUMMYFUNCTION("""COMPUTED_VALUE"""),43542.47357967593)</f>
        <v>43542.47358</v>
      </c>
    </row>
    <row r="1594">
      <c r="A1594" t="str">
        <f>IFERROR(__xludf.DUMMYFUNCTION("""COMPUTED_VALUE"""),"hm210")</f>
        <v>hm210</v>
      </c>
      <c r="C1594" t="str">
        <f>IFERROR(__xludf.DUMMYFUNCTION("""COMPUTED_VALUE"""),"NY")</f>
        <v>NY</v>
      </c>
      <c r="D1594" t="str">
        <f>IFERROR(__xludf.DUMMYFUNCTION("""COMPUTED_VALUE"""),"USA")</f>
        <v>USA</v>
      </c>
      <c r="E1594" s="188">
        <f>IFERROR(__xludf.DUMMYFUNCTION("""COMPUTED_VALUE"""),43524.0)</f>
        <v>43524</v>
      </c>
      <c r="F1594" s="188">
        <f>IFERROR(__xludf.DUMMYFUNCTION("""COMPUTED_VALUE"""),43538.0)</f>
        <v>43538</v>
      </c>
      <c r="H1594">
        <f>IFERROR(__xludf.DUMMYFUNCTION("""COMPUTED_VALUE"""),231355.0)</f>
        <v>231355</v>
      </c>
      <c r="J1594" s="5">
        <f>IFERROR(__xludf.DUMMYFUNCTION("""COMPUTED_VALUE"""),43543.0)</f>
        <v>43543</v>
      </c>
      <c r="K1594">
        <f>IFERROR(__xludf.DUMMYFUNCTION("""COMPUTED_VALUE"""),14.0)</f>
        <v>14</v>
      </c>
      <c r="L1594">
        <f>IFERROR(__xludf.DUMMYFUNCTION("""COMPUTED_VALUE"""),5.0)</f>
        <v>5</v>
      </c>
      <c r="M1594">
        <f>IFERROR(__xludf.DUMMYFUNCTION("""COMPUTED_VALUE"""),19.0)</f>
        <v>19</v>
      </c>
      <c r="N1594" t="str">
        <f>IFERROR(__xludf.DUMMYFUNCTION("""COMPUTED_VALUE"""),"Model 3 Performance")</f>
        <v>Model 3 Performance</v>
      </c>
      <c r="O1594" t="str">
        <f>IFERROR(__xludf.DUMMYFUNCTION("""COMPUTED_VALUE"""),"Red Multi-Coat")</f>
        <v>Red Multi-Coat</v>
      </c>
      <c r="P1594" t="str">
        <f>IFERROR(__xludf.DUMMYFUNCTION("""COMPUTED_VALUE"""),"20 inch Sport")</f>
        <v>20 inch Sport</v>
      </c>
      <c r="Q1594" t="str">
        <f>IFERROR(__xludf.DUMMYFUNCTION("""COMPUTED_VALUE"""),"Black seats")</f>
        <v>Black seats</v>
      </c>
      <c r="R1594" t="str">
        <f>IFERROR(__xludf.DUMMYFUNCTION("""COMPUTED_VALUE"""),"Full Self-Driving")</f>
        <v>Full Self-Driving</v>
      </c>
      <c r="X1594" t="str">
        <f>IFERROR(__xludf.DUMMYFUNCTION("""COMPUTED_VALUE"""),"Excellent")</f>
        <v>Excellent</v>
      </c>
      <c r="Y1594" t="str">
        <f>IFERROR(__xludf.DUMMYFUNCTION("""COMPUTED_VALUE"""),"Excellent")</f>
        <v>Excellent</v>
      </c>
      <c r="Z1594" t="str">
        <f>IFERROR(__xludf.DUMMYFUNCTION("""COMPUTED_VALUE"""),"Excellent")</f>
        <v>Excellent</v>
      </c>
      <c r="AA1594" t="str">
        <f>IFERROR(__xludf.DUMMYFUNCTION("""COMPUTED_VALUE"""),"Very Good")</f>
        <v>Very Good</v>
      </c>
      <c r="AB1594" t="str">
        <f>IFERROR(__xludf.DUMMYFUNCTION("""COMPUTED_VALUE"""),"Very Good")</f>
        <v>Very Good</v>
      </c>
      <c r="AG1594" t="str">
        <f>IFERROR(__xludf.DUMMYFUNCTION("""COMPUTED_VALUE"""),"Originally ordered with white interior, estimated delivery was still 4-6 weeks as of 3/12. changed to black interior")</f>
        <v>Originally ordered with white interior, estimated delivery was still 4-6 weeks as of 3/12. changed to black interior</v>
      </c>
      <c r="AH1594" s="189">
        <f>IFERROR(__xludf.DUMMYFUNCTION("""COMPUTED_VALUE"""),43543.78202103009)</f>
        <v>43543.78202</v>
      </c>
    </row>
    <row r="1595">
      <c r="A1595" t="str">
        <f>IFERROR(__xludf.DUMMYFUNCTION("""COMPUTED_VALUE"""),"BCspeed34")</f>
        <v>BCspeed34</v>
      </c>
      <c r="B1595" t="str">
        <f>IFERROR(__xludf.DUMMYFUNCTION("""COMPUTED_VALUE"""),"Scottsdale")</f>
        <v>Scottsdale</v>
      </c>
      <c r="C1595" t="str">
        <f>IFERROR(__xludf.DUMMYFUNCTION("""COMPUTED_VALUE"""),"AZ")</f>
        <v>AZ</v>
      </c>
      <c r="D1595" t="str">
        <f>IFERROR(__xludf.DUMMYFUNCTION("""COMPUTED_VALUE"""),"USA")</f>
        <v>USA</v>
      </c>
      <c r="E1595" s="188">
        <f>IFERROR(__xludf.DUMMYFUNCTION("""COMPUTED_VALUE"""),43524.0)</f>
        <v>43524</v>
      </c>
      <c r="F1595" s="188">
        <f>IFERROR(__xludf.DUMMYFUNCTION("""COMPUTED_VALUE"""),43538.0)</f>
        <v>43538</v>
      </c>
      <c r="H1595">
        <f>IFERROR(__xludf.DUMMYFUNCTION("""COMPUTED_VALUE"""),321906.0)</f>
        <v>321906</v>
      </c>
      <c r="I1595" t="str">
        <f>IFERROR(__xludf.DUMMYFUNCTION("""COMPUTED_VALUE"""),"03/19")</f>
        <v>03/19</v>
      </c>
      <c r="J1595" s="5">
        <f>IFERROR(__xludf.DUMMYFUNCTION("""COMPUTED_VALUE"""),43540.0)</f>
        <v>43540</v>
      </c>
      <c r="K1595">
        <f>IFERROR(__xludf.DUMMYFUNCTION("""COMPUTED_VALUE"""),14.0)</f>
        <v>14</v>
      </c>
      <c r="L1595">
        <f>IFERROR(__xludf.DUMMYFUNCTION("""COMPUTED_VALUE"""),2.0)</f>
        <v>2</v>
      </c>
      <c r="M1595">
        <f>IFERROR(__xludf.DUMMYFUNCTION("""COMPUTED_VALUE"""),16.0)</f>
        <v>16</v>
      </c>
      <c r="N1595" t="str">
        <f>IFERROR(__xludf.DUMMYFUNCTION("""COMPUTED_VALUE"""),"Model 3 SR+")</f>
        <v>Model 3 SR+</v>
      </c>
      <c r="O1595" t="str">
        <f>IFERROR(__xludf.DUMMYFUNCTION("""COMPUTED_VALUE"""),"Pearl White Multi-Coat")</f>
        <v>Pearl White Multi-Coat</v>
      </c>
      <c r="P1595" t="str">
        <f>IFERROR(__xludf.DUMMYFUNCTION("""COMPUTED_VALUE"""),"18 inch Aero")</f>
        <v>18 inch Aero</v>
      </c>
      <c r="Q1595" t="str">
        <f>IFERROR(__xludf.DUMMYFUNCTION("""COMPUTED_VALUE"""),"Black seats")</f>
        <v>Black seats</v>
      </c>
      <c r="R1595" t="str">
        <f>IFERROR(__xludf.DUMMYFUNCTION("""COMPUTED_VALUE"""),"None")</f>
        <v>None</v>
      </c>
      <c r="X1595" t="str">
        <f>IFERROR(__xludf.DUMMYFUNCTION("""COMPUTED_VALUE"""),"Fair")</f>
        <v>Fair</v>
      </c>
      <c r="Y1595" t="str">
        <f>IFERROR(__xludf.DUMMYFUNCTION("""COMPUTED_VALUE"""),"Very Good")</f>
        <v>Very Good</v>
      </c>
      <c r="Z1595" t="str">
        <f>IFERROR(__xludf.DUMMYFUNCTION("""COMPUTED_VALUE"""),"Very Good")</f>
        <v>Very Good</v>
      </c>
      <c r="AA1595" t="str">
        <f>IFERROR(__xludf.DUMMYFUNCTION("""COMPUTED_VALUE"""),"Good")</f>
        <v>Good</v>
      </c>
      <c r="AB1595" t="str">
        <f>IFERROR(__xludf.DUMMYFUNCTION("""COMPUTED_VALUE"""),"Very Good")</f>
        <v>Very Good</v>
      </c>
      <c r="AH1595" s="189">
        <f>IFERROR(__xludf.DUMMYFUNCTION("""COMPUTED_VALUE"""),43545.69761378472)</f>
        <v>43545.69761</v>
      </c>
    </row>
    <row r="1596">
      <c r="A1596" t="str">
        <f>IFERROR(__xludf.DUMMYFUNCTION("""COMPUTED_VALUE"""),"dmark")</f>
        <v>dmark</v>
      </c>
      <c r="B1596" t="str">
        <f>IFERROR(__xludf.DUMMYFUNCTION("""COMPUTED_VALUE"""),"Columbia")</f>
        <v>Columbia</v>
      </c>
      <c r="C1596" t="str">
        <f>IFERROR(__xludf.DUMMYFUNCTION("""COMPUTED_VALUE"""),"MD")</f>
        <v>MD</v>
      </c>
      <c r="D1596" t="str">
        <f>IFERROR(__xludf.DUMMYFUNCTION("""COMPUTED_VALUE"""),"USA")</f>
        <v>USA</v>
      </c>
      <c r="E1596" s="188">
        <f>IFERROR(__xludf.DUMMYFUNCTION("""COMPUTED_VALUE"""),43524.0)</f>
        <v>43524</v>
      </c>
      <c r="F1596" s="188">
        <f>IFERROR(__xludf.DUMMYFUNCTION("""COMPUTED_VALUE"""),43535.0)</f>
        <v>43535</v>
      </c>
      <c r="H1596">
        <f>IFERROR(__xludf.DUMMYFUNCTION("""COMPUTED_VALUE"""),296855.0)</f>
        <v>296855</v>
      </c>
      <c r="I1596" t="str">
        <f>IFERROR(__xludf.DUMMYFUNCTION("""COMPUTED_VALUE"""),"03/19")</f>
        <v>03/19</v>
      </c>
      <c r="J1596" s="5">
        <f>IFERROR(__xludf.DUMMYFUNCTION("""COMPUTED_VALUE"""),43540.0)</f>
        <v>43540</v>
      </c>
      <c r="K1596">
        <f>IFERROR(__xludf.DUMMYFUNCTION("""COMPUTED_VALUE"""),11.0)</f>
        <v>11</v>
      </c>
      <c r="L1596">
        <f>IFERROR(__xludf.DUMMYFUNCTION("""COMPUTED_VALUE"""),5.0)</f>
        <v>5</v>
      </c>
      <c r="M1596">
        <f>IFERROR(__xludf.DUMMYFUNCTION("""COMPUTED_VALUE"""),16.0)</f>
        <v>16</v>
      </c>
      <c r="N1596" t="str">
        <f>IFERROR(__xludf.DUMMYFUNCTION("""COMPUTED_VALUE"""),"Model 3 SR+")</f>
        <v>Model 3 SR+</v>
      </c>
      <c r="O1596" t="str">
        <f>IFERROR(__xludf.DUMMYFUNCTION("""COMPUTED_VALUE"""),"Solid Black")</f>
        <v>Solid Black</v>
      </c>
      <c r="P1596" t="str">
        <f>IFERROR(__xludf.DUMMYFUNCTION("""COMPUTED_VALUE"""),"18 inch Aero")</f>
        <v>18 inch Aero</v>
      </c>
      <c r="Q1596" t="str">
        <f>IFERROR(__xludf.DUMMYFUNCTION("""COMPUTED_VALUE"""),"Black seats")</f>
        <v>Black seats</v>
      </c>
      <c r="R1596" t="str">
        <f>IFERROR(__xludf.DUMMYFUNCTION("""COMPUTED_VALUE"""),"Full Self-Driving")</f>
        <v>Full Self-Driving</v>
      </c>
      <c r="X1596" t="str">
        <f>IFERROR(__xludf.DUMMYFUNCTION("""COMPUTED_VALUE"""),"Fair")</f>
        <v>Fair</v>
      </c>
      <c r="Y1596" t="str">
        <f>IFERROR(__xludf.DUMMYFUNCTION("""COMPUTED_VALUE"""),"Fair")</f>
        <v>Fair</v>
      </c>
      <c r="Z1596" t="str">
        <f>IFERROR(__xludf.DUMMYFUNCTION("""COMPUTED_VALUE"""),"Fair")</f>
        <v>Fair</v>
      </c>
      <c r="AA1596" t="str">
        <f>IFERROR(__xludf.DUMMYFUNCTION("""COMPUTED_VALUE"""),"Fair")</f>
        <v>Fair</v>
      </c>
      <c r="AB1596" t="str">
        <f>IFERROR(__xludf.DUMMYFUNCTION("""COMPUTED_VALUE"""),"Fair")</f>
        <v>Fair</v>
      </c>
      <c r="AH1596" s="189">
        <f>IFERROR(__xludf.DUMMYFUNCTION("""COMPUTED_VALUE"""),43545.7491031713)</f>
        <v>43545.7491</v>
      </c>
    </row>
    <row r="1597">
      <c r="A1597" t="str">
        <f>IFERROR(__xludf.DUMMYFUNCTION("""COMPUTED_VALUE"""),"Merrilld")</f>
        <v>Merrilld</v>
      </c>
      <c r="B1597" t="str">
        <f>IFERROR(__xludf.DUMMYFUNCTION("""COMPUTED_VALUE"""),"Broomfield")</f>
        <v>Broomfield</v>
      </c>
      <c r="C1597" t="str">
        <f>IFERROR(__xludf.DUMMYFUNCTION("""COMPUTED_VALUE"""),"CO")</f>
        <v>CO</v>
      </c>
      <c r="D1597" t="str">
        <f>IFERROR(__xludf.DUMMYFUNCTION("""COMPUTED_VALUE"""),"USA")</f>
        <v>USA</v>
      </c>
      <c r="E1597" s="188">
        <f>IFERROR(__xludf.DUMMYFUNCTION("""COMPUTED_VALUE"""),43529.0)</f>
        <v>43529</v>
      </c>
      <c r="F1597" s="188">
        <f>IFERROR(__xludf.DUMMYFUNCTION("""COMPUTED_VALUE"""),43538.0)</f>
        <v>43538</v>
      </c>
      <c r="H1597">
        <f>IFERROR(__xludf.DUMMYFUNCTION("""COMPUTED_VALUE"""),236639.0)</f>
        <v>236639</v>
      </c>
      <c r="I1597" t="str">
        <f>IFERROR(__xludf.DUMMYFUNCTION("""COMPUTED_VALUE"""),"03/19")</f>
        <v>03/19</v>
      </c>
      <c r="J1597" s="5">
        <f>IFERROR(__xludf.DUMMYFUNCTION("""COMPUTED_VALUE"""),43540.0)</f>
        <v>43540</v>
      </c>
      <c r="K1597">
        <f>IFERROR(__xludf.DUMMYFUNCTION("""COMPUTED_VALUE"""),9.0)</f>
        <v>9</v>
      </c>
      <c r="L1597">
        <f>IFERROR(__xludf.DUMMYFUNCTION("""COMPUTED_VALUE"""),2.0)</f>
        <v>2</v>
      </c>
      <c r="M1597">
        <f>IFERROR(__xludf.DUMMYFUNCTION("""COMPUTED_VALUE"""),11.0)</f>
        <v>11</v>
      </c>
      <c r="N1597" t="str">
        <f>IFERROR(__xludf.DUMMYFUNCTION("""COMPUTED_VALUE"""),"Model 3 Performance")</f>
        <v>Model 3 Performance</v>
      </c>
      <c r="O1597" t="str">
        <f>IFERROR(__xludf.DUMMYFUNCTION("""COMPUTED_VALUE"""),"Midnight Silver Metallic")</f>
        <v>Midnight Silver Metallic</v>
      </c>
      <c r="P1597" t="str">
        <f>IFERROR(__xludf.DUMMYFUNCTION("""COMPUTED_VALUE"""),"20 inch Sport")</f>
        <v>20 inch Sport</v>
      </c>
      <c r="Q1597" t="str">
        <f>IFERROR(__xludf.DUMMYFUNCTION("""COMPUTED_VALUE"""),"Black seats")</f>
        <v>Black seats</v>
      </c>
      <c r="R1597" t="str">
        <f>IFERROR(__xludf.DUMMYFUNCTION("""COMPUTED_VALUE"""),"Full Self-Driving")</f>
        <v>Full Self-Driving</v>
      </c>
      <c r="X1597" t="str">
        <f>IFERROR(__xludf.DUMMYFUNCTION("""COMPUTED_VALUE"""),"Excellent")</f>
        <v>Excellent</v>
      </c>
      <c r="Y1597" t="str">
        <f>IFERROR(__xludf.DUMMYFUNCTION("""COMPUTED_VALUE"""),"Excellent")</f>
        <v>Excellent</v>
      </c>
      <c r="Z1597" t="str">
        <f>IFERROR(__xludf.DUMMYFUNCTION("""COMPUTED_VALUE"""),"Excellent")</f>
        <v>Excellent</v>
      </c>
      <c r="AA1597" t="str">
        <f>IFERROR(__xludf.DUMMYFUNCTION("""COMPUTED_VALUE"""),"Fair")</f>
        <v>Fair</v>
      </c>
      <c r="AB1597" t="str">
        <f>IFERROR(__xludf.DUMMYFUNCTION("""COMPUTED_VALUE"""),"Poor")</f>
        <v>Poor</v>
      </c>
      <c r="AC1597">
        <f>IFERROR(__xludf.DUMMYFUNCTION("""COMPUTED_VALUE"""),0.0)</f>
        <v>0</v>
      </c>
      <c r="AH1597" s="189">
        <f>IFERROR(__xludf.DUMMYFUNCTION("""COMPUTED_VALUE"""),43545.816971631946)</f>
        <v>43545.81697</v>
      </c>
    </row>
    <row r="1598">
      <c r="A1598" t="str">
        <f>IFERROR(__xludf.DUMMYFUNCTION("""COMPUTED_VALUE"""),"Redbud")</f>
        <v>Redbud</v>
      </c>
      <c r="B1598" t="str">
        <f>IFERROR(__xludf.DUMMYFUNCTION("""COMPUTED_VALUE"""),"Eugene")</f>
        <v>Eugene</v>
      </c>
      <c r="C1598" t="str">
        <f>IFERROR(__xludf.DUMMYFUNCTION("""COMPUTED_VALUE"""),"OR")</f>
        <v>OR</v>
      </c>
      <c r="D1598" t="str">
        <f>IFERROR(__xludf.DUMMYFUNCTION("""COMPUTED_VALUE"""),"USA")</f>
        <v>USA</v>
      </c>
      <c r="E1598" s="188">
        <f>IFERROR(__xludf.DUMMYFUNCTION("""COMPUTED_VALUE"""),43535.0)</f>
        <v>43535</v>
      </c>
      <c r="F1598" s="188">
        <f>IFERROR(__xludf.DUMMYFUNCTION("""COMPUTED_VALUE"""),43537.0)</f>
        <v>43537</v>
      </c>
      <c r="H1598">
        <f>IFERROR(__xludf.DUMMYFUNCTION("""COMPUTED_VALUE"""),190155.0)</f>
        <v>190155</v>
      </c>
      <c r="I1598" t="str">
        <f>IFERROR(__xludf.DUMMYFUNCTION("""COMPUTED_VALUE"""),"01/19")</f>
        <v>01/19</v>
      </c>
      <c r="J1598" s="5">
        <f>IFERROR(__xludf.DUMMYFUNCTION("""COMPUTED_VALUE"""),43543.0)</f>
        <v>43543</v>
      </c>
      <c r="K1598">
        <f>IFERROR(__xludf.DUMMYFUNCTION("""COMPUTED_VALUE"""),2.0)</f>
        <v>2</v>
      </c>
      <c r="L1598">
        <f>IFERROR(__xludf.DUMMYFUNCTION("""COMPUTED_VALUE"""),6.0)</f>
        <v>6</v>
      </c>
      <c r="M1598">
        <f>IFERROR(__xludf.DUMMYFUNCTION("""COMPUTED_VALUE"""),8.0)</f>
        <v>8</v>
      </c>
      <c r="N1598" t="str">
        <f>IFERROR(__xludf.DUMMYFUNCTION("""COMPUTED_VALUE"""),"Model 3 MR")</f>
        <v>Model 3 MR</v>
      </c>
      <c r="O1598" t="str">
        <f>IFERROR(__xludf.DUMMYFUNCTION("""COMPUTED_VALUE"""),"Midnight Silver Metallic")</f>
        <v>Midnight Silver Metallic</v>
      </c>
      <c r="P1598" t="str">
        <f>IFERROR(__xludf.DUMMYFUNCTION("""COMPUTED_VALUE"""),"18 inch Aero")</f>
        <v>18 inch Aero</v>
      </c>
      <c r="Q1598" t="str">
        <f>IFERROR(__xludf.DUMMYFUNCTION("""COMPUTED_VALUE"""),"Black seats")</f>
        <v>Black seats</v>
      </c>
      <c r="R1598" t="str">
        <f>IFERROR(__xludf.DUMMYFUNCTION("""COMPUTED_VALUE"""),"Full Self-Driving")</f>
        <v>Full Self-Driving</v>
      </c>
      <c r="X1598" t="str">
        <f>IFERROR(__xludf.DUMMYFUNCTION("""COMPUTED_VALUE"""),"Excellent")</f>
        <v>Excellent</v>
      </c>
      <c r="Y1598" t="str">
        <f>IFERROR(__xludf.DUMMYFUNCTION("""COMPUTED_VALUE"""),"Excellent")</f>
        <v>Excellent</v>
      </c>
      <c r="Z1598" t="str">
        <f>IFERROR(__xludf.DUMMYFUNCTION("""COMPUTED_VALUE"""),"Excellent")</f>
        <v>Excellent</v>
      </c>
      <c r="AA1598" t="str">
        <f>IFERROR(__xludf.DUMMYFUNCTION("""COMPUTED_VALUE"""),"Excellent")</f>
        <v>Excellent</v>
      </c>
      <c r="AB1598" t="str">
        <f>IFERROR(__xludf.DUMMYFUNCTION("""COMPUTED_VALUE"""),"Excellent")</f>
        <v>Excellent</v>
      </c>
      <c r="AG1598" t="str">
        <f>IFERROR(__xludf.DUMMYFUNCTION("""COMPUTED_VALUE"""),"Pristine ... great experience!")</f>
        <v>Pristine ... great experience!</v>
      </c>
      <c r="AH1598" s="189">
        <f>IFERROR(__xludf.DUMMYFUNCTION("""COMPUTED_VALUE"""),43546.70551017361)</f>
        <v>43546.70551</v>
      </c>
    </row>
    <row r="1599">
      <c r="A1599" t="str">
        <f>IFERROR(__xludf.DUMMYFUNCTION("""COMPUTED_VALUE"""),"Dakata")</f>
        <v>Dakata</v>
      </c>
      <c r="B1599" t="str">
        <f>IFERROR(__xludf.DUMMYFUNCTION("""COMPUTED_VALUE"""),"Grand Rapids")</f>
        <v>Grand Rapids</v>
      </c>
      <c r="C1599" t="str">
        <f>IFERROR(__xludf.DUMMYFUNCTION("""COMPUTED_VALUE"""),"MI")</f>
        <v>MI</v>
      </c>
      <c r="D1599" t="str">
        <f>IFERROR(__xludf.DUMMYFUNCTION("""COMPUTED_VALUE"""),"USA")</f>
        <v>USA</v>
      </c>
      <c r="E1599" s="188">
        <f>IFERROR(__xludf.DUMMYFUNCTION("""COMPUTED_VALUE"""),43530.0)</f>
        <v>43530</v>
      </c>
      <c r="F1599" s="188">
        <f>IFERROR(__xludf.DUMMYFUNCTION("""COMPUTED_VALUE"""),43538.0)</f>
        <v>43538</v>
      </c>
      <c r="H1599">
        <f>IFERROR(__xludf.DUMMYFUNCTION("""COMPUTED_VALUE"""),214055.0)</f>
        <v>214055</v>
      </c>
      <c r="J1599" s="5">
        <f>IFERROR(__xludf.DUMMYFUNCTION("""COMPUTED_VALUE"""),43543.0)</f>
        <v>43543</v>
      </c>
      <c r="K1599">
        <f>IFERROR(__xludf.DUMMYFUNCTION("""COMPUTED_VALUE"""),8.0)</f>
        <v>8</v>
      </c>
      <c r="L1599">
        <f>IFERROR(__xludf.DUMMYFUNCTION("""COMPUTED_VALUE"""),5.0)</f>
        <v>5</v>
      </c>
      <c r="M1599">
        <f>IFERROR(__xludf.DUMMYFUNCTION("""COMPUTED_VALUE"""),13.0)</f>
        <v>13</v>
      </c>
      <c r="N1599" t="str">
        <f>IFERROR(__xludf.DUMMYFUNCTION("""COMPUTED_VALUE"""),"Model 3 Performance")</f>
        <v>Model 3 Performance</v>
      </c>
      <c r="O1599" t="str">
        <f>IFERROR(__xludf.DUMMYFUNCTION("""COMPUTED_VALUE"""),"Solid Black")</f>
        <v>Solid Black</v>
      </c>
      <c r="P1599" t="str">
        <f>IFERROR(__xludf.DUMMYFUNCTION("""COMPUTED_VALUE"""),"20 inch Sport")</f>
        <v>20 inch Sport</v>
      </c>
      <c r="Q1599" t="str">
        <f>IFERROR(__xludf.DUMMYFUNCTION("""COMPUTED_VALUE"""),"White seats")</f>
        <v>White seats</v>
      </c>
      <c r="R1599" t="str">
        <f>IFERROR(__xludf.DUMMYFUNCTION("""COMPUTED_VALUE"""),"Autopilot")</f>
        <v>Autopilot</v>
      </c>
      <c r="X1599" t="str">
        <f>IFERROR(__xludf.DUMMYFUNCTION("""COMPUTED_VALUE"""),"Very Good")</f>
        <v>Very Good</v>
      </c>
      <c r="Y1599" t="str">
        <f>IFERROR(__xludf.DUMMYFUNCTION("""COMPUTED_VALUE"""),"Excellent")</f>
        <v>Excellent</v>
      </c>
      <c r="Z1599" t="str">
        <f>IFERROR(__xludf.DUMMYFUNCTION("""COMPUTED_VALUE"""),"Very Good")</f>
        <v>Very Good</v>
      </c>
      <c r="AA1599" t="str">
        <f>IFERROR(__xludf.DUMMYFUNCTION("""COMPUTED_VALUE"""),"Poor")</f>
        <v>Poor</v>
      </c>
      <c r="AB1599" t="str">
        <f>IFERROR(__xludf.DUMMYFUNCTION("""COMPUTED_VALUE"""),"Very Good")</f>
        <v>Very Good</v>
      </c>
      <c r="AH1599" s="189">
        <f>IFERROR(__xludf.DUMMYFUNCTION("""COMPUTED_VALUE"""),43547.32638252315)</f>
        <v>43547.32638</v>
      </c>
    </row>
    <row r="1600">
      <c r="A1600" t="str">
        <f>IFERROR(__xludf.DUMMYFUNCTION("""COMPUTED_VALUE"""),"Dangaroo")</f>
        <v>Dangaroo</v>
      </c>
      <c r="B1600" t="str">
        <f>IFERROR(__xludf.DUMMYFUNCTION("""COMPUTED_VALUE"""),"San Jose")</f>
        <v>San Jose</v>
      </c>
      <c r="C1600" t="str">
        <f>IFERROR(__xludf.DUMMYFUNCTION("""COMPUTED_VALUE"""),"CA")</f>
        <v>CA</v>
      </c>
      <c r="D1600" t="str">
        <f>IFERROR(__xludf.DUMMYFUNCTION("""COMPUTED_VALUE"""),"USA")</f>
        <v>USA</v>
      </c>
      <c r="E1600" s="188">
        <f>IFERROR(__xludf.DUMMYFUNCTION("""COMPUTED_VALUE"""),43527.0)</f>
        <v>43527</v>
      </c>
      <c r="F1600" s="188">
        <f>IFERROR(__xludf.DUMMYFUNCTION("""COMPUTED_VALUE"""),43545.0)</f>
        <v>43545</v>
      </c>
      <c r="H1600">
        <f>IFERROR(__xludf.DUMMYFUNCTION("""COMPUTED_VALUE"""),302355.0)</f>
        <v>302355</v>
      </c>
      <c r="J1600" s="5">
        <f>IFERROR(__xludf.DUMMYFUNCTION("""COMPUTED_VALUE"""),43546.0)</f>
        <v>43546</v>
      </c>
      <c r="K1600">
        <f>IFERROR(__xludf.DUMMYFUNCTION("""COMPUTED_VALUE"""),18.0)</f>
        <v>18</v>
      </c>
      <c r="L1600">
        <f>IFERROR(__xludf.DUMMYFUNCTION("""COMPUTED_VALUE"""),1.0)</f>
        <v>1</v>
      </c>
      <c r="M1600">
        <f>IFERROR(__xludf.DUMMYFUNCTION("""COMPUTED_VALUE"""),19.0)</f>
        <v>19</v>
      </c>
      <c r="N1600" t="str">
        <f>IFERROR(__xludf.DUMMYFUNCTION("""COMPUTED_VALUE"""),"Model 3 SR+")</f>
        <v>Model 3 SR+</v>
      </c>
      <c r="O1600" t="str">
        <f>IFERROR(__xludf.DUMMYFUNCTION("""COMPUTED_VALUE"""),"Solid Black")</f>
        <v>Solid Black</v>
      </c>
      <c r="P1600" t="str">
        <f>IFERROR(__xludf.DUMMYFUNCTION("""COMPUTED_VALUE"""),"19 inch Sport")</f>
        <v>19 inch Sport</v>
      </c>
      <c r="Q1600" t="str">
        <f>IFERROR(__xludf.DUMMYFUNCTION("""COMPUTED_VALUE"""),"White seats")</f>
        <v>White seats</v>
      </c>
      <c r="R1600" t="str">
        <f>IFERROR(__xludf.DUMMYFUNCTION("""COMPUTED_VALUE"""),"None")</f>
        <v>None</v>
      </c>
      <c r="X1600" t="str">
        <f>IFERROR(__xludf.DUMMYFUNCTION("""COMPUTED_VALUE"""),"Very Good")</f>
        <v>Very Good</v>
      </c>
      <c r="Y1600" t="str">
        <f>IFERROR(__xludf.DUMMYFUNCTION("""COMPUTED_VALUE"""),"Excellent")</f>
        <v>Excellent</v>
      </c>
      <c r="Z1600" t="str">
        <f>IFERROR(__xludf.DUMMYFUNCTION("""COMPUTED_VALUE"""),"Excellent")</f>
        <v>Excellent</v>
      </c>
      <c r="AA1600" t="str">
        <f>IFERROR(__xludf.DUMMYFUNCTION("""COMPUTED_VALUE"""),"Poor")</f>
        <v>Poor</v>
      </c>
      <c r="AB1600" t="str">
        <f>IFERROR(__xludf.DUMMYFUNCTION("""COMPUTED_VALUE"""),"Excellent")</f>
        <v>Excellent</v>
      </c>
      <c r="AH1600" s="189">
        <f>IFERROR(__xludf.DUMMYFUNCTION("""COMPUTED_VALUE"""),43547.44381506945)</f>
        <v>43547.44382</v>
      </c>
    </row>
    <row r="1601">
      <c r="A1601" t="str">
        <f>IFERROR(__xludf.DUMMYFUNCTION("""COMPUTED_VALUE"""),"SeaMah")</f>
        <v>SeaMah</v>
      </c>
      <c r="B1601" t="str">
        <f>IFERROR(__xludf.DUMMYFUNCTION("""COMPUTED_VALUE"""),"LA")</f>
        <v>LA</v>
      </c>
      <c r="C1601" t="str">
        <f>IFERROR(__xludf.DUMMYFUNCTION("""COMPUTED_VALUE"""),"CA")</f>
        <v>CA</v>
      </c>
      <c r="D1601" t="str">
        <f>IFERROR(__xludf.DUMMYFUNCTION("""COMPUTED_VALUE"""),"USA")</f>
        <v>USA</v>
      </c>
      <c r="E1601" s="188">
        <f>IFERROR(__xludf.DUMMYFUNCTION("""COMPUTED_VALUE"""),43529.0)</f>
        <v>43529</v>
      </c>
      <c r="F1601" s="188">
        <f>IFERROR(__xludf.DUMMYFUNCTION("""COMPUTED_VALUE"""),43543.0)</f>
        <v>43543</v>
      </c>
      <c r="H1601" s="4">
        <f>IFERROR(__xludf.DUMMYFUNCTION("""COMPUTED_VALUE"""),313658.0)</f>
        <v>313658</v>
      </c>
      <c r="I1601" t="str">
        <f>IFERROR(__xludf.DUMMYFUNCTION("""COMPUTED_VALUE"""),"03/19")</f>
        <v>03/19</v>
      </c>
      <c r="J1601" s="5">
        <f>IFERROR(__xludf.DUMMYFUNCTION("""COMPUTED_VALUE"""),43547.0)</f>
        <v>43547</v>
      </c>
      <c r="K1601">
        <f>IFERROR(__xludf.DUMMYFUNCTION("""COMPUTED_VALUE"""),14.0)</f>
        <v>14</v>
      </c>
      <c r="L1601">
        <f>IFERROR(__xludf.DUMMYFUNCTION("""COMPUTED_VALUE"""),4.0)</f>
        <v>4</v>
      </c>
      <c r="M1601">
        <f>IFERROR(__xludf.DUMMYFUNCTION("""COMPUTED_VALUE"""),18.0)</f>
        <v>18</v>
      </c>
      <c r="N1601" t="str">
        <f>IFERROR(__xludf.DUMMYFUNCTION("""COMPUTED_VALUE"""),"Model 3 LR")</f>
        <v>Model 3 LR</v>
      </c>
      <c r="O1601" t="str">
        <f>IFERROR(__xludf.DUMMYFUNCTION("""COMPUTED_VALUE"""),"Midnight Silver Metallic")</f>
        <v>Midnight Silver Metallic</v>
      </c>
      <c r="P1601" t="str">
        <f>IFERROR(__xludf.DUMMYFUNCTION("""COMPUTED_VALUE"""),"18 inch Aero")</f>
        <v>18 inch Aero</v>
      </c>
      <c r="Q1601" t="str">
        <f>IFERROR(__xludf.DUMMYFUNCTION("""COMPUTED_VALUE"""),"Black seats")</f>
        <v>Black seats</v>
      </c>
      <c r="R1601" t="str">
        <f>IFERROR(__xludf.DUMMYFUNCTION("""COMPUTED_VALUE"""),"Full Self-Driving")</f>
        <v>Full Self-Driving</v>
      </c>
      <c r="X1601" t="str">
        <f>IFERROR(__xludf.DUMMYFUNCTION("""COMPUTED_VALUE"""),"Excellent")</f>
        <v>Excellent</v>
      </c>
      <c r="Y1601" t="str">
        <f>IFERROR(__xludf.DUMMYFUNCTION("""COMPUTED_VALUE"""),"Very Good")</f>
        <v>Very Good</v>
      </c>
      <c r="Z1601" t="str">
        <f>IFERROR(__xludf.DUMMYFUNCTION("""COMPUTED_VALUE"""),"Excellent")</f>
        <v>Excellent</v>
      </c>
      <c r="AA1601" t="str">
        <f>IFERROR(__xludf.DUMMYFUNCTION("""COMPUTED_VALUE"""),"Good")</f>
        <v>Good</v>
      </c>
      <c r="AB1601" t="str">
        <f>IFERROR(__xludf.DUMMYFUNCTION("""COMPUTED_VALUE"""),"Very Good")</f>
        <v>Very Good</v>
      </c>
      <c r="AH1601" s="189">
        <f>IFERROR(__xludf.DUMMYFUNCTION("""COMPUTED_VALUE"""),43547.64939853009)</f>
        <v>43547.6494</v>
      </c>
    </row>
    <row r="1602">
      <c r="A1602" t="str">
        <f>IFERROR(__xludf.DUMMYFUNCTION("""COMPUTED_VALUE"""),"MarcG")</f>
        <v>MarcG</v>
      </c>
      <c r="B1602" t="str">
        <f>IFERROR(__xludf.DUMMYFUNCTION("""COMPUTED_VALUE"""),"San Francisco")</f>
        <v>San Francisco</v>
      </c>
      <c r="C1602" t="str">
        <f>IFERROR(__xludf.DUMMYFUNCTION("""COMPUTED_VALUE"""),"CA")</f>
        <v>CA</v>
      </c>
      <c r="D1602" t="str">
        <f>IFERROR(__xludf.DUMMYFUNCTION("""COMPUTED_VALUE"""),"USA")</f>
        <v>USA</v>
      </c>
      <c r="E1602" s="188">
        <f>IFERROR(__xludf.DUMMYFUNCTION("""COMPUTED_VALUE"""),43535.0)</f>
        <v>43535</v>
      </c>
      <c r="F1602" s="188">
        <f>IFERROR(__xludf.DUMMYFUNCTION("""COMPUTED_VALUE"""),43536.0)</f>
        <v>43536</v>
      </c>
      <c r="H1602">
        <f>IFERROR(__xludf.DUMMYFUNCTION("""COMPUTED_VALUE"""),236649.0)</f>
        <v>236649</v>
      </c>
      <c r="I1602" t="str">
        <f>IFERROR(__xludf.DUMMYFUNCTION("""COMPUTED_VALUE"""),"03/19")</f>
        <v>03/19</v>
      </c>
      <c r="J1602" s="5">
        <f>IFERROR(__xludf.DUMMYFUNCTION("""COMPUTED_VALUE"""),43547.0)</f>
        <v>43547</v>
      </c>
      <c r="K1602">
        <f>IFERROR(__xludf.DUMMYFUNCTION("""COMPUTED_VALUE"""),1.0)</f>
        <v>1</v>
      </c>
      <c r="L1602">
        <f>IFERROR(__xludf.DUMMYFUNCTION("""COMPUTED_VALUE"""),11.0)</f>
        <v>11</v>
      </c>
      <c r="M1602">
        <f>IFERROR(__xludf.DUMMYFUNCTION("""COMPUTED_VALUE"""),12.0)</f>
        <v>12</v>
      </c>
      <c r="N1602" t="str">
        <f>IFERROR(__xludf.DUMMYFUNCTION("""COMPUTED_VALUE"""),"Model 3 Performance")</f>
        <v>Model 3 Performance</v>
      </c>
      <c r="O1602" t="str">
        <f>IFERROR(__xludf.DUMMYFUNCTION("""COMPUTED_VALUE"""),"Red Multi-Coat")</f>
        <v>Red Multi-Coat</v>
      </c>
      <c r="P1602" t="str">
        <f>IFERROR(__xludf.DUMMYFUNCTION("""COMPUTED_VALUE"""),"20 inch Sport")</f>
        <v>20 inch Sport</v>
      </c>
      <c r="Q1602" t="str">
        <f>IFERROR(__xludf.DUMMYFUNCTION("""COMPUTED_VALUE"""),"Black seats")</f>
        <v>Black seats</v>
      </c>
      <c r="R1602" t="str">
        <f>IFERROR(__xludf.DUMMYFUNCTION("""COMPUTED_VALUE"""),"Full Self-Driving")</f>
        <v>Full Self-Driving</v>
      </c>
      <c r="X1602" t="str">
        <f>IFERROR(__xludf.DUMMYFUNCTION("""COMPUTED_VALUE"""),"Very Good")</f>
        <v>Very Good</v>
      </c>
      <c r="Y1602" t="str">
        <f>IFERROR(__xludf.DUMMYFUNCTION("""COMPUTED_VALUE"""),"Excellent")</f>
        <v>Excellent</v>
      </c>
      <c r="Z1602" t="str">
        <f>IFERROR(__xludf.DUMMYFUNCTION("""COMPUTED_VALUE"""),"Very Good")</f>
        <v>Very Good</v>
      </c>
      <c r="AA1602" t="str">
        <f>IFERROR(__xludf.DUMMYFUNCTION("""COMPUTED_VALUE"""),"Excellent")</f>
        <v>Excellent</v>
      </c>
      <c r="AB1602" t="str">
        <f>IFERROR(__xludf.DUMMYFUNCTION("""COMPUTED_VALUE"""),"Very Good")</f>
        <v>Very Good</v>
      </c>
      <c r="AG1602" t="str">
        <f>IFERROR(__xludf.DUMMYFUNCTION("""COMPUTED_VALUE"""),"Added FSD on day of delivery")</f>
        <v>Added FSD on day of delivery</v>
      </c>
      <c r="AH1602" s="189">
        <f>IFERROR(__xludf.DUMMYFUNCTION("""COMPUTED_VALUE"""),43547.67740758102)</f>
        <v>43547.67741</v>
      </c>
    </row>
    <row r="1603">
      <c r="A1603" t="str">
        <f>IFERROR(__xludf.DUMMYFUNCTION("""COMPUTED_VALUE"""),"efhoward")</f>
        <v>efhoward</v>
      </c>
      <c r="B1603" t="str">
        <f>IFERROR(__xludf.DUMMYFUNCTION("""COMPUTED_VALUE"""),"Glendale")</f>
        <v>Glendale</v>
      </c>
      <c r="C1603" t="str">
        <f>IFERROR(__xludf.DUMMYFUNCTION("""COMPUTED_VALUE"""),"CA")</f>
        <v>CA</v>
      </c>
      <c r="D1603" t="str">
        <f>IFERROR(__xludf.DUMMYFUNCTION("""COMPUTED_VALUE"""),"USA")</f>
        <v>USA</v>
      </c>
      <c r="E1603" s="188">
        <f>IFERROR(__xludf.DUMMYFUNCTION("""COMPUTED_VALUE"""),43541.0)</f>
        <v>43541</v>
      </c>
      <c r="F1603" s="188">
        <f>IFERROR(__xludf.DUMMYFUNCTION("""COMPUTED_VALUE"""),43545.0)</f>
        <v>43545</v>
      </c>
      <c r="H1603" s="4">
        <f>IFERROR(__xludf.DUMMYFUNCTION("""COMPUTED_VALUE"""),314069.0)</f>
        <v>314069</v>
      </c>
      <c r="J1603" s="5">
        <f>IFERROR(__xludf.DUMMYFUNCTION("""COMPUTED_VALUE"""),43547.0)</f>
        <v>43547</v>
      </c>
      <c r="K1603">
        <f>IFERROR(__xludf.DUMMYFUNCTION("""COMPUTED_VALUE"""),4.0)</f>
        <v>4</v>
      </c>
      <c r="L1603">
        <f>IFERROR(__xludf.DUMMYFUNCTION("""COMPUTED_VALUE"""),2.0)</f>
        <v>2</v>
      </c>
      <c r="M1603">
        <f>IFERROR(__xludf.DUMMYFUNCTION("""COMPUTED_VALUE"""),6.0)</f>
        <v>6</v>
      </c>
      <c r="N1603" t="str">
        <f>IFERROR(__xludf.DUMMYFUNCTION("""COMPUTED_VALUE"""),"Model 3 LR")</f>
        <v>Model 3 LR</v>
      </c>
      <c r="O1603" t="str">
        <f>IFERROR(__xludf.DUMMYFUNCTION("""COMPUTED_VALUE"""),"Pearl White Multi-Coat")</f>
        <v>Pearl White Multi-Coat</v>
      </c>
      <c r="P1603" t="str">
        <f>IFERROR(__xludf.DUMMYFUNCTION("""COMPUTED_VALUE"""),"18 inch Aero")</f>
        <v>18 inch Aero</v>
      </c>
      <c r="Q1603" t="str">
        <f>IFERROR(__xludf.DUMMYFUNCTION("""COMPUTED_VALUE"""),"Black seats")</f>
        <v>Black seats</v>
      </c>
      <c r="R1603" t="str">
        <f>IFERROR(__xludf.DUMMYFUNCTION("""COMPUTED_VALUE"""),"Autopilot")</f>
        <v>Autopilot</v>
      </c>
      <c r="X1603" t="str">
        <f>IFERROR(__xludf.DUMMYFUNCTION("""COMPUTED_VALUE"""),"Very Good")</f>
        <v>Very Good</v>
      </c>
      <c r="Y1603" t="str">
        <f>IFERROR(__xludf.DUMMYFUNCTION("""COMPUTED_VALUE"""),"Excellent")</f>
        <v>Excellent</v>
      </c>
      <c r="Z1603" t="str">
        <f>IFERROR(__xludf.DUMMYFUNCTION("""COMPUTED_VALUE"""),"Excellent")</f>
        <v>Excellent</v>
      </c>
      <c r="AA1603" t="str">
        <f>IFERROR(__xludf.DUMMYFUNCTION("""COMPUTED_VALUE"""),"Excellent")</f>
        <v>Excellent</v>
      </c>
      <c r="AB1603" t="str">
        <f>IFERROR(__xludf.DUMMYFUNCTION("""COMPUTED_VALUE"""),"Very Good")</f>
        <v>Very Good</v>
      </c>
      <c r="AH1603" s="189">
        <f>IFERROR(__xludf.DUMMYFUNCTION("""COMPUTED_VALUE"""),43547.853057824075)</f>
        <v>43547.85306</v>
      </c>
    </row>
    <row r="1604">
      <c r="A1604" t="str">
        <f>IFERROR(__xludf.DUMMYFUNCTION("""COMPUTED_VALUE"""),"chao")</f>
        <v>chao</v>
      </c>
      <c r="B1604" t="str">
        <f>IFERROR(__xludf.DUMMYFUNCTION("""COMPUTED_VALUE"""),"Palo Alto")</f>
        <v>Palo Alto</v>
      </c>
      <c r="C1604" t="str">
        <f>IFERROR(__xludf.DUMMYFUNCTION("""COMPUTED_VALUE"""),"CA")</f>
        <v>CA</v>
      </c>
      <c r="D1604" t="str">
        <f>IFERROR(__xludf.DUMMYFUNCTION("""COMPUTED_VALUE"""),"USA")</f>
        <v>USA</v>
      </c>
      <c r="E1604" s="188">
        <f>IFERROR(__xludf.DUMMYFUNCTION("""COMPUTED_VALUE"""),43541.0)</f>
        <v>43541</v>
      </c>
      <c r="F1604" s="188">
        <f>IFERROR(__xludf.DUMMYFUNCTION("""COMPUTED_VALUE"""),43542.0)</f>
        <v>43542</v>
      </c>
      <c r="H1604">
        <f>IFERROR(__xludf.DUMMYFUNCTION("""COMPUTED_VALUE"""),299634.0)</f>
        <v>299634</v>
      </c>
      <c r="J1604" s="5">
        <f>IFERROR(__xludf.DUMMYFUNCTION("""COMPUTED_VALUE"""),43545.0)</f>
        <v>43545</v>
      </c>
      <c r="K1604">
        <f>IFERROR(__xludf.DUMMYFUNCTION("""COMPUTED_VALUE"""),1.0)</f>
        <v>1</v>
      </c>
      <c r="L1604">
        <f>IFERROR(__xludf.DUMMYFUNCTION("""COMPUTED_VALUE"""),3.0)</f>
        <v>3</v>
      </c>
      <c r="M1604">
        <f>IFERROR(__xludf.DUMMYFUNCTION("""COMPUTED_VALUE"""),4.0)</f>
        <v>4</v>
      </c>
      <c r="N1604" t="str">
        <f>IFERROR(__xludf.DUMMYFUNCTION("""COMPUTED_VALUE"""),"Model 3 SR+")</f>
        <v>Model 3 SR+</v>
      </c>
      <c r="Q1604" t="str">
        <f>IFERROR(__xludf.DUMMYFUNCTION("""COMPUTED_VALUE"""),"Black seats")</f>
        <v>Black seats</v>
      </c>
      <c r="R1604" t="str">
        <f>IFERROR(__xludf.DUMMYFUNCTION("""COMPUTED_VALUE"""),"Full Self-Driving")</f>
        <v>Full Self-Driving</v>
      </c>
      <c r="X1604" t="str">
        <f>IFERROR(__xludf.DUMMYFUNCTION("""COMPUTED_VALUE"""),"Good")</f>
        <v>Good</v>
      </c>
      <c r="Y1604" t="str">
        <f>IFERROR(__xludf.DUMMYFUNCTION("""COMPUTED_VALUE"""),"Excellent")</f>
        <v>Excellent</v>
      </c>
      <c r="Z1604" t="str">
        <f>IFERROR(__xludf.DUMMYFUNCTION("""COMPUTED_VALUE"""),"Excellent")</f>
        <v>Excellent</v>
      </c>
      <c r="AA1604" t="str">
        <f>IFERROR(__xludf.DUMMYFUNCTION("""COMPUTED_VALUE"""),"Fair")</f>
        <v>Fair</v>
      </c>
      <c r="AB1604" t="str">
        <f>IFERROR(__xludf.DUMMYFUNCTION("""COMPUTED_VALUE"""),"Good")</f>
        <v>Good</v>
      </c>
      <c r="AH1604" s="189">
        <f>IFERROR(__xludf.DUMMYFUNCTION("""COMPUTED_VALUE"""),43547.889887997684)</f>
        <v>43547.88989</v>
      </c>
    </row>
    <row r="1605">
      <c r="A1605" t="str">
        <f>IFERROR(__xludf.DUMMYFUNCTION("""COMPUTED_VALUE"""),"dlinsley")</f>
        <v>dlinsley</v>
      </c>
      <c r="B1605" t="str">
        <f>IFERROR(__xludf.DUMMYFUNCTION("""COMPUTED_VALUE"""),"Seattle")</f>
        <v>Seattle</v>
      </c>
      <c r="C1605" t="str">
        <f>IFERROR(__xludf.DUMMYFUNCTION("""COMPUTED_VALUE"""),"WA")</f>
        <v>WA</v>
      </c>
      <c r="D1605" t="str">
        <f>IFERROR(__xludf.DUMMYFUNCTION("""COMPUTED_VALUE"""),"USA")</f>
        <v>USA</v>
      </c>
      <c r="E1605" s="188">
        <f>IFERROR(__xludf.DUMMYFUNCTION("""COMPUTED_VALUE"""),43528.0)</f>
        <v>43528</v>
      </c>
      <c r="F1605" s="188">
        <f>IFERROR(__xludf.DUMMYFUNCTION("""COMPUTED_VALUE"""),43543.0)</f>
        <v>43543</v>
      </c>
      <c r="H1605">
        <f>IFERROR(__xludf.DUMMYFUNCTION("""COMPUTED_VALUE"""),192655.0)</f>
        <v>192655</v>
      </c>
      <c r="I1605" t="str">
        <f>IFERROR(__xludf.DUMMYFUNCTION("""COMPUTED_VALUE"""),"01/19")</f>
        <v>01/19</v>
      </c>
      <c r="J1605" s="5">
        <f>IFERROR(__xludf.DUMMYFUNCTION("""COMPUTED_VALUE"""),43547.0)</f>
        <v>43547</v>
      </c>
      <c r="K1605">
        <f>IFERROR(__xludf.DUMMYFUNCTION("""COMPUTED_VALUE"""),15.0)</f>
        <v>15</v>
      </c>
      <c r="L1605">
        <f>IFERROR(__xludf.DUMMYFUNCTION("""COMPUTED_VALUE"""),4.0)</f>
        <v>4</v>
      </c>
      <c r="M1605">
        <f>IFERROR(__xludf.DUMMYFUNCTION("""COMPUTED_VALUE"""),19.0)</f>
        <v>19</v>
      </c>
      <c r="N1605" t="str">
        <f>IFERROR(__xludf.DUMMYFUNCTION("""COMPUTED_VALUE"""),"Model 3 LR AWD")</f>
        <v>Model 3 LR AWD</v>
      </c>
      <c r="O1605" t="str">
        <f>IFERROR(__xludf.DUMMYFUNCTION("""COMPUTED_VALUE"""),"Midnight Silver Metallic")</f>
        <v>Midnight Silver Metallic</v>
      </c>
      <c r="P1605" t="str">
        <f>IFERROR(__xludf.DUMMYFUNCTION("""COMPUTED_VALUE"""),"19 inch Sport")</f>
        <v>19 inch Sport</v>
      </c>
      <c r="Q1605" t="str">
        <f>IFERROR(__xludf.DUMMYFUNCTION("""COMPUTED_VALUE"""),"White seats")</f>
        <v>White seats</v>
      </c>
      <c r="R1605" t="str">
        <f>IFERROR(__xludf.DUMMYFUNCTION("""COMPUTED_VALUE"""),"Autopilot")</f>
        <v>Autopilot</v>
      </c>
      <c r="X1605" t="str">
        <f>IFERROR(__xludf.DUMMYFUNCTION("""COMPUTED_VALUE"""),"Excellent")</f>
        <v>Excellent</v>
      </c>
      <c r="Y1605" t="str">
        <f>IFERROR(__xludf.DUMMYFUNCTION("""COMPUTED_VALUE"""),"Excellent")</f>
        <v>Excellent</v>
      </c>
      <c r="Z1605" t="str">
        <f>IFERROR(__xludf.DUMMYFUNCTION("""COMPUTED_VALUE"""),"Excellent")</f>
        <v>Excellent</v>
      </c>
      <c r="AA1605" t="str">
        <f>IFERROR(__xludf.DUMMYFUNCTION("""COMPUTED_VALUE"""),"Very Good")</f>
        <v>Very Good</v>
      </c>
      <c r="AB1605" t="str">
        <f>IFERROR(__xludf.DUMMYFUNCTION("""COMPUTED_VALUE"""),"Excellent")</f>
        <v>Excellent</v>
      </c>
      <c r="AG1605" t="str">
        <f>IFERROR(__xludf.DUMMYFUNCTION("""COMPUTED_VALUE"""),"Originally ordered Multicoat Red on 3/4 but switched to inventory MSM on 3/19.")</f>
        <v>Originally ordered Multicoat Red on 3/4 but switched to inventory MSM on 3/19.</v>
      </c>
      <c r="AH1605" s="189">
        <f>IFERROR(__xludf.DUMMYFUNCTION("""COMPUTED_VALUE"""),43548.34714344908)</f>
        <v>43548.34714</v>
      </c>
    </row>
    <row r="1606">
      <c r="A1606" t="str">
        <f>IFERROR(__xludf.DUMMYFUNCTION("""COMPUTED_VALUE"""),"Otacon")</f>
        <v>Otacon</v>
      </c>
      <c r="C1606" t="str">
        <f>IFERROR(__xludf.DUMMYFUNCTION("""COMPUTED_VALUE"""),"MA")</f>
        <v>MA</v>
      </c>
      <c r="D1606" t="str">
        <f>IFERROR(__xludf.DUMMYFUNCTION("""COMPUTED_VALUE"""),"USA")</f>
        <v>USA</v>
      </c>
      <c r="E1606" s="188">
        <f>IFERROR(__xludf.DUMMYFUNCTION("""COMPUTED_VALUE"""),43527.0)</f>
        <v>43527</v>
      </c>
      <c r="F1606" s="188">
        <f>IFERROR(__xludf.DUMMYFUNCTION("""COMPUTED_VALUE"""),43535.0)</f>
        <v>43535</v>
      </c>
      <c r="H1606">
        <f>IFERROR(__xludf.DUMMYFUNCTION("""COMPUTED_VALUE"""),296455.0)</f>
        <v>296455</v>
      </c>
      <c r="J1606" s="5">
        <f>IFERROR(__xludf.DUMMYFUNCTION("""COMPUTED_VALUE"""),43548.0)</f>
        <v>43548</v>
      </c>
      <c r="K1606">
        <f>IFERROR(__xludf.DUMMYFUNCTION("""COMPUTED_VALUE"""),8.0)</f>
        <v>8</v>
      </c>
      <c r="L1606">
        <f>IFERROR(__xludf.DUMMYFUNCTION("""COMPUTED_VALUE"""),13.0)</f>
        <v>13</v>
      </c>
      <c r="M1606">
        <f>IFERROR(__xludf.DUMMYFUNCTION("""COMPUTED_VALUE"""),21.0)</f>
        <v>21</v>
      </c>
      <c r="N1606" t="str">
        <f>IFERROR(__xludf.DUMMYFUNCTION("""COMPUTED_VALUE"""),"Model 3 SR+")</f>
        <v>Model 3 SR+</v>
      </c>
      <c r="O1606" t="str">
        <f>IFERROR(__xludf.DUMMYFUNCTION("""COMPUTED_VALUE"""),"Solid Black")</f>
        <v>Solid Black</v>
      </c>
      <c r="P1606" t="str">
        <f>IFERROR(__xludf.DUMMYFUNCTION("""COMPUTED_VALUE"""),"18 inch Aero")</f>
        <v>18 inch Aero</v>
      </c>
      <c r="Q1606" t="str">
        <f>IFERROR(__xludf.DUMMYFUNCTION("""COMPUTED_VALUE"""),"Black seats")</f>
        <v>Black seats</v>
      </c>
      <c r="R1606" t="str">
        <f>IFERROR(__xludf.DUMMYFUNCTION("""COMPUTED_VALUE"""),"Autopilot")</f>
        <v>Autopilot</v>
      </c>
      <c r="X1606" t="str">
        <f>IFERROR(__xludf.DUMMYFUNCTION("""COMPUTED_VALUE"""),"Very Good")</f>
        <v>Very Good</v>
      </c>
      <c r="Y1606" t="str">
        <f>IFERROR(__xludf.DUMMYFUNCTION("""COMPUTED_VALUE"""),"Excellent")</f>
        <v>Excellent</v>
      </c>
      <c r="Z1606" t="str">
        <f>IFERROR(__xludf.DUMMYFUNCTION("""COMPUTED_VALUE"""),"Excellent")</f>
        <v>Excellent</v>
      </c>
      <c r="AA1606" t="str">
        <f>IFERROR(__xludf.DUMMYFUNCTION("""COMPUTED_VALUE"""),"Very Good")</f>
        <v>Very Good</v>
      </c>
      <c r="AB1606" t="str">
        <f>IFERROR(__xludf.DUMMYFUNCTION("""COMPUTED_VALUE"""),"Very Good")</f>
        <v>Very Good</v>
      </c>
      <c r="AH1606" s="189">
        <f>IFERROR(__xludf.DUMMYFUNCTION("""COMPUTED_VALUE"""),43549.28071756945)</f>
        <v>43549.28072</v>
      </c>
    </row>
    <row r="1607">
      <c r="A1607" t="str">
        <f>IFERROR(__xludf.DUMMYFUNCTION("""COMPUTED_VALUE"""),"32x20")</f>
        <v>32x20</v>
      </c>
      <c r="C1607" t="str">
        <f>IFERROR(__xludf.DUMMYFUNCTION("""COMPUTED_VALUE"""),"CO")</f>
        <v>CO</v>
      </c>
      <c r="D1607" t="str">
        <f>IFERROR(__xludf.DUMMYFUNCTION("""COMPUTED_VALUE"""),"USA")</f>
        <v>USA</v>
      </c>
      <c r="E1607" s="188">
        <f>IFERROR(__xludf.DUMMYFUNCTION("""COMPUTED_VALUE"""),43528.0)</f>
        <v>43528</v>
      </c>
      <c r="F1607" s="188">
        <f>IFERROR(__xludf.DUMMYFUNCTION("""COMPUTED_VALUE"""),43529.0)</f>
        <v>43529</v>
      </c>
      <c r="H1607">
        <f>IFERROR(__xludf.DUMMYFUNCTION("""COMPUTED_VALUE"""),161155.0)</f>
        <v>161155</v>
      </c>
      <c r="J1607" s="5">
        <f>IFERROR(__xludf.DUMMYFUNCTION("""COMPUTED_VALUE"""),43536.0)</f>
        <v>43536</v>
      </c>
      <c r="K1607">
        <f>IFERROR(__xludf.DUMMYFUNCTION("""COMPUTED_VALUE"""),1.0)</f>
        <v>1</v>
      </c>
      <c r="L1607">
        <f>IFERROR(__xludf.DUMMYFUNCTION("""COMPUTED_VALUE"""),7.0)</f>
        <v>7</v>
      </c>
      <c r="M1607">
        <f>IFERROR(__xludf.DUMMYFUNCTION("""COMPUTED_VALUE"""),8.0)</f>
        <v>8</v>
      </c>
      <c r="N1607" t="str">
        <f>IFERROR(__xludf.DUMMYFUNCTION("""COMPUTED_VALUE"""),"Model 3 MR")</f>
        <v>Model 3 MR</v>
      </c>
      <c r="O1607" t="str">
        <f>IFERROR(__xludf.DUMMYFUNCTION("""COMPUTED_VALUE"""),"Deep Blue Metallic")</f>
        <v>Deep Blue Metallic</v>
      </c>
      <c r="P1607" t="str">
        <f>IFERROR(__xludf.DUMMYFUNCTION("""COMPUTED_VALUE"""),"18 inch Aero")</f>
        <v>18 inch Aero</v>
      </c>
      <c r="Q1607" t="str">
        <f>IFERROR(__xludf.DUMMYFUNCTION("""COMPUTED_VALUE"""),"Black seats")</f>
        <v>Black seats</v>
      </c>
      <c r="R1607" t="str">
        <f>IFERROR(__xludf.DUMMYFUNCTION("""COMPUTED_VALUE"""),"None")</f>
        <v>None</v>
      </c>
      <c r="X1607" t="str">
        <f>IFERROR(__xludf.DUMMYFUNCTION("""COMPUTED_VALUE"""),"Very Good")</f>
        <v>Very Good</v>
      </c>
      <c r="Y1607" t="str">
        <f>IFERROR(__xludf.DUMMYFUNCTION("""COMPUTED_VALUE"""),"Excellent")</f>
        <v>Excellent</v>
      </c>
      <c r="Z1607" t="str">
        <f>IFERROR(__xludf.DUMMYFUNCTION("""COMPUTED_VALUE"""),"Very Good")</f>
        <v>Very Good</v>
      </c>
      <c r="AA1607" t="str">
        <f>IFERROR(__xludf.DUMMYFUNCTION("""COMPUTED_VALUE"""),"Fair")</f>
        <v>Fair</v>
      </c>
      <c r="AB1607" t="str">
        <f>IFERROR(__xludf.DUMMYFUNCTION("""COMPUTED_VALUE"""),"Fair")</f>
        <v>Fair</v>
      </c>
      <c r="AC1607">
        <f>IFERROR(__xludf.DUMMYFUNCTION("""COMPUTED_VALUE"""),2.0)</f>
        <v>2</v>
      </c>
      <c r="AD1607">
        <f>IFERROR(__xludf.DUMMYFUNCTION("""COMPUTED_VALUE"""),2.0)</f>
        <v>2</v>
      </c>
      <c r="AE1607">
        <f>IFERROR(__xludf.DUMMYFUNCTION("""COMPUTED_VALUE"""),4.0)</f>
        <v>4</v>
      </c>
      <c r="AG1607" t="str">
        <f>IFERROR(__xludf.DUMMYFUNCTION("""COMPUTED_VALUE"""),"Ordered SR+ 2/28, changed to MR 3/4.  Delayed delivery due to column module error.  Connector electrical error in first week.  Car returned.")</f>
        <v>Ordered SR+ 2/28, changed to MR 3/4.  Delayed delivery due to column module error.  Connector electrical error in first week.  Car returned.</v>
      </c>
      <c r="AH1607" s="189">
        <f>IFERROR(__xludf.DUMMYFUNCTION("""COMPUTED_VALUE"""),43549.5309983912)</f>
        <v>43549.531</v>
      </c>
    </row>
    <row r="1608">
      <c r="A1608" t="str">
        <f>IFERROR(__xludf.DUMMYFUNCTION("""COMPUTED_VALUE"""),"mixdup")</f>
        <v>mixdup</v>
      </c>
      <c r="B1608" t="str">
        <f>IFERROR(__xludf.DUMMYFUNCTION("""COMPUTED_VALUE"""),"Atlanta")</f>
        <v>Atlanta</v>
      </c>
      <c r="C1608" t="str">
        <f>IFERROR(__xludf.DUMMYFUNCTION("""COMPUTED_VALUE"""),"GA")</f>
        <v>GA</v>
      </c>
      <c r="D1608" t="str">
        <f>IFERROR(__xludf.DUMMYFUNCTION("""COMPUTED_VALUE"""),"USA")</f>
        <v>USA</v>
      </c>
      <c r="E1608" s="188">
        <f>IFERROR(__xludf.DUMMYFUNCTION("""COMPUTED_VALUE"""),43528.0)</f>
        <v>43528</v>
      </c>
      <c r="F1608" s="188">
        <f>IFERROR(__xludf.DUMMYFUNCTION("""COMPUTED_VALUE"""),43542.0)</f>
        <v>43542</v>
      </c>
      <c r="H1608" s="4">
        <f>IFERROR(__xludf.DUMMYFUNCTION("""COMPUTED_VALUE"""),313511.0)</f>
        <v>313511</v>
      </c>
      <c r="J1608" s="5">
        <f>IFERROR(__xludf.DUMMYFUNCTION("""COMPUTED_VALUE"""),43549.0)</f>
        <v>43549</v>
      </c>
      <c r="K1608">
        <f>IFERROR(__xludf.DUMMYFUNCTION("""COMPUTED_VALUE"""),14.0)</f>
        <v>14</v>
      </c>
      <c r="L1608">
        <f>IFERROR(__xludf.DUMMYFUNCTION("""COMPUTED_VALUE"""),7.0)</f>
        <v>7</v>
      </c>
      <c r="M1608">
        <f>IFERROR(__xludf.DUMMYFUNCTION("""COMPUTED_VALUE"""),21.0)</f>
        <v>21</v>
      </c>
      <c r="N1608" t="str">
        <f>IFERROR(__xludf.DUMMYFUNCTION("""COMPUTED_VALUE"""),"Model 3 LR")</f>
        <v>Model 3 LR</v>
      </c>
      <c r="O1608" t="str">
        <f>IFERROR(__xludf.DUMMYFUNCTION("""COMPUTED_VALUE"""),"Midnight Silver Metallic")</f>
        <v>Midnight Silver Metallic</v>
      </c>
      <c r="P1608" t="str">
        <f>IFERROR(__xludf.DUMMYFUNCTION("""COMPUTED_VALUE"""),"18 inch Aero")</f>
        <v>18 inch Aero</v>
      </c>
      <c r="Q1608" t="str">
        <f>IFERROR(__xludf.DUMMYFUNCTION("""COMPUTED_VALUE"""),"Black seats")</f>
        <v>Black seats</v>
      </c>
      <c r="R1608" t="str">
        <f>IFERROR(__xludf.DUMMYFUNCTION("""COMPUTED_VALUE"""),"Autopilot")</f>
        <v>Autopilot</v>
      </c>
      <c r="X1608" t="str">
        <f>IFERROR(__xludf.DUMMYFUNCTION("""COMPUTED_VALUE"""),"Very Good")</f>
        <v>Very Good</v>
      </c>
      <c r="Y1608" t="str">
        <f>IFERROR(__xludf.DUMMYFUNCTION("""COMPUTED_VALUE"""),"Very Good")</f>
        <v>Very Good</v>
      </c>
      <c r="Z1608" t="str">
        <f>IFERROR(__xludf.DUMMYFUNCTION("""COMPUTED_VALUE"""),"Very Good")</f>
        <v>Very Good</v>
      </c>
      <c r="AA1608" t="str">
        <f>IFERROR(__xludf.DUMMYFUNCTION("""COMPUTED_VALUE"""),"Poor")</f>
        <v>Poor</v>
      </c>
      <c r="AB1608" t="str">
        <f>IFERROR(__xludf.DUMMYFUNCTION("""COMPUTED_VALUE"""),"Fair")</f>
        <v>Fair</v>
      </c>
      <c r="AG1608" t="str">
        <f>IFERROR(__xludf.DUMMYFUNCTION("""COMPUTED_VALUE"""),"Quoted delivery ""within two weeks"" at time of order, but scheduled delivery is actually 3 weeks out. Delivery was very slow, had to wait for 2.5 hours beyond appointment time")</f>
        <v>Quoted delivery "within two weeks" at time of order, but scheduled delivery is actually 3 weeks out. Delivery was very slow, had to wait for 2.5 hours beyond appointment time</v>
      </c>
      <c r="AH1608" s="189">
        <f>IFERROR(__xludf.DUMMYFUNCTION("""COMPUTED_VALUE"""),43549.8446342824)</f>
        <v>43549.84463</v>
      </c>
    </row>
    <row r="1609">
      <c r="A1609" t="str">
        <f>IFERROR(__xludf.DUMMYFUNCTION("""COMPUTED_VALUE"""),"azukiiidx")</f>
        <v>azukiiidx</v>
      </c>
      <c r="C1609" t="str">
        <f>IFERROR(__xludf.DUMMYFUNCTION("""COMPUTED_VALUE"""),"CO")</f>
        <v>CO</v>
      </c>
      <c r="D1609" t="str">
        <f>IFERROR(__xludf.DUMMYFUNCTION("""COMPUTED_VALUE"""),"USA")</f>
        <v>USA</v>
      </c>
      <c r="E1609" s="188">
        <f>IFERROR(__xludf.DUMMYFUNCTION("""COMPUTED_VALUE"""),43535.0)</f>
        <v>43535</v>
      </c>
      <c r="F1609" s="188">
        <f>IFERROR(__xludf.DUMMYFUNCTION("""COMPUTED_VALUE"""),43535.0)</f>
        <v>43535</v>
      </c>
      <c r="I1609" t="str">
        <f>IFERROR(__xludf.DUMMYFUNCTION("""COMPUTED_VALUE"""),"01/19")</f>
        <v>01/19</v>
      </c>
      <c r="J1609" s="5">
        <f>IFERROR(__xludf.DUMMYFUNCTION("""COMPUTED_VALUE"""),43536.0)</f>
        <v>43536</v>
      </c>
      <c r="K1609">
        <f>IFERROR(__xludf.DUMMYFUNCTION("""COMPUTED_VALUE"""),0.0)</f>
        <v>0</v>
      </c>
      <c r="L1609">
        <f>IFERROR(__xludf.DUMMYFUNCTION("""COMPUTED_VALUE"""),1.0)</f>
        <v>1</v>
      </c>
      <c r="M1609">
        <f>IFERROR(__xludf.DUMMYFUNCTION("""COMPUTED_VALUE"""),1.0)</f>
        <v>1</v>
      </c>
      <c r="N1609" t="str">
        <f>IFERROR(__xludf.DUMMYFUNCTION("""COMPUTED_VALUE"""),"Model 3 MR")</f>
        <v>Model 3 MR</v>
      </c>
      <c r="O1609" t="str">
        <f>IFERROR(__xludf.DUMMYFUNCTION("""COMPUTED_VALUE"""),"Midnight Silver Metallic")</f>
        <v>Midnight Silver Metallic</v>
      </c>
      <c r="P1609" t="str">
        <f>IFERROR(__xludf.DUMMYFUNCTION("""COMPUTED_VALUE"""),"18 inch Aero")</f>
        <v>18 inch Aero</v>
      </c>
      <c r="Q1609" t="str">
        <f>IFERROR(__xludf.DUMMYFUNCTION("""COMPUTED_VALUE"""),"Black seats")</f>
        <v>Black seats</v>
      </c>
      <c r="R1609" t="str">
        <f>IFERROR(__xludf.DUMMYFUNCTION("""COMPUTED_VALUE"""),"None")</f>
        <v>None</v>
      </c>
      <c r="X1609" t="str">
        <f>IFERROR(__xludf.DUMMYFUNCTION("""COMPUTED_VALUE"""),"Very Good")</f>
        <v>Very Good</v>
      </c>
      <c r="Y1609" t="str">
        <f>IFERROR(__xludf.DUMMYFUNCTION("""COMPUTED_VALUE"""),"Excellent")</f>
        <v>Excellent</v>
      </c>
      <c r="Z1609" t="str">
        <f>IFERROR(__xludf.DUMMYFUNCTION("""COMPUTED_VALUE"""),"Excellent")</f>
        <v>Excellent</v>
      </c>
      <c r="AA1609" t="str">
        <f>IFERROR(__xludf.DUMMYFUNCTION("""COMPUTED_VALUE"""),"Excellent")</f>
        <v>Excellent</v>
      </c>
      <c r="AB1609" t="str">
        <f>IFERROR(__xludf.DUMMYFUNCTION("""COMPUTED_VALUE"""),"Excellent")</f>
        <v>Excellent</v>
      </c>
      <c r="AG1609" t="str">
        <f>IFERROR(__xludf.DUMMYFUNCTION("""COMPUTED_VALUE"""),"Ordered SR+ on 3/2. Changed to inventory MR on 3/11.")</f>
        <v>Ordered SR+ on 3/2. Changed to inventory MR on 3/11.</v>
      </c>
      <c r="AH1609" s="189">
        <f>IFERROR(__xludf.DUMMYFUNCTION("""COMPUTED_VALUE"""),43550.42013309027)</f>
        <v>43550.42013</v>
      </c>
    </row>
    <row r="1610">
      <c r="A1610" t="str">
        <f>IFERROR(__xludf.DUMMYFUNCTION("""COMPUTED_VALUE"""),"zimm3rmann")</f>
        <v>zimm3rmann</v>
      </c>
      <c r="B1610" t="str">
        <f>IFERROR(__xludf.DUMMYFUNCTION("""COMPUTED_VALUE"""),"Austin")</f>
        <v>Austin</v>
      </c>
      <c r="C1610" t="str">
        <f>IFERROR(__xludf.DUMMYFUNCTION("""COMPUTED_VALUE"""),"TX")</f>
        <v>TX</v>
      </c>
      <c r="D1610" t="str">
        <f>IFERROR(__xludf.DUMMYFUNCTION("""COMPUTED_VALUE"""),"USA")</f>
        <v>USA</v>
      </c>
      <c r="E1610" s="188">
        <f>IFERROR(__xludf.DUMMYFUNCTION("""COMPUTED_VALUE"""),43511.0)</f>
        <v>43511</v>
      </c>
      <c r="F1610" s="188">
        <f>IFERROR(__xludf.DUMMYFUNCTION("""COMPUTED_VALUE"""),43546.0)</f>
        <v>43546</v>
      </c>
      <c r="H1610">
        <f>IFERROR(__xludf.DUMMYFUNCTION("""COMPUTED_VALUE"""),193355.0)</f>
        <v>193355</v>
      </c>
      <c r="J1610" s="5">
        <f>IFERROR(__xludf.DUMMYFUNCTION("""COMPUTED_VALUE"""),43555.0)</f>
        <v>43555</v>
      </c>
      <c r="K1610">
        <f>IFERROR(__xludf.DUMMYFUNCTION("""COMPUTED_VALUE"""),35.0)</f>
        <v>35</v>
      </c>
      <c r="L1610">
        <f>IFERROR(__xludf.DUMMYFUNCTION("""COMPUTED_VALUE"""),9.0)</f>
        <v>9</v>
      </c>
      <c r="M1610">
        <f>IFERROR(__xludf.DUMMYFUNCTION("""COMPUTED_VALUE"""),44.0)</f>
        <v>44</v>
      </c>
      <c r="N1610" t="str">
        <f>IFERROR(__xludf.DUMMYFUNCTION("""COMPUTED_VALUE"""),"Model 3 MR")</f>
        <v>Model 3 MR</v>
      </c>
      <c r="O1610" t="str">
        <f>IFERROR(__xludf.DUMMYFUNCTION("""COMPUTED_VALUE"""),"Solid Black")</f>
        <v>Solid Black</v>
      </c>
      <c r="P1610" t="str">
        <f>IFERROR(__xludf.DUMMYFUNCTION("""COMPUTED_VALUE"""),"18 inch Aero")</f>
        <v>18 inch Aero</v>
      </c>
      <c r="Q1610" t="str">
        <f>IFERROR(__xludf.DUMMYFUNCTION("""COMPUTED_VALUE"""),"Black seats")</f>
        <v>Black seats</v>
      </c>
      <c r="R1610" t="str">
        <f>IFERROR(__xludf.DUMMYFUNCTION("""COMPUTED_VALUE"""),"Autopilot")</f>
        <v>Autopilot</v>
      </c>
      <c r="AA1610" t="str">
        <f>IFERROR(__xludf.DUMMYFUNCTION("""COMPUTED_VALUE"""),"Fair")</f>
        <v>Fair</v>
      </c>
      <c r="AH1610" s="189">
        <f>IFERROR(__xludf.DUMMYFUNCTION("""COMPUTED_VALUE"""),43550.687665324076)</f>
        <v>43550.68767</v>
      </c>
    </row>
    <row r="1611">
      <c r="A1611" t="str">
        <f>IFERROR(__xludf.DUMMYFUNCTION("""COMPUTED_VALUE"""),"darrickc")</f>
        <v>darrickc</v>
      </c>
      <c r="B1611" t="str">
        <f>IFERROR(__xludf.DUMMYFUNCTION("""COMPUTED_VALUE"""),"Rochester")</f>
        <v>Rochester</v>
      </c>
      <c r="C1611" t="str">
        <f>IFERROR(__xludf.DUMMYFUNCTION("""COMPUTED_VALUE"""),"NY")</f>
        <v>NY</v>
      </c>
      <c r="D1611" t="str">
        <f>IFERROR(__xludf.DUMMYFUNCTION("""COMPUTED_VALUE"""),"USA")</f>
        <v>USA</v>
      </c>
      <c r="E1611" s="188">
        <f>IFERROR(__xludf.DUMMYFUNCTION("""COMPUTED_VALUE"""),43528.0)</f>
        <v>43528</v>
      </c>
      <c r="F1611" s="188">
        <f>IFERROR(__xludf.DUMMYFUNCTION("""COMPUTED_VALUE"""),43539.0)</f>
        <v>43539</v>
      </c>
      <c r="H1611">
        <f>IFERROR(__xludf.DUMMYFUNCTION("""COMPUTED_VALUE"""),297555.0)</f>
        <v>297555</v>
      </c>
      <c r="J1611" s="5">
        <f>IFERROR(__xludf.DUMMYFUNCTION("""COMPUTED_VALUE"""),43551.0)</f>
        <v>43551</v>
      </c>
      <c r="K1611">
        <f>IFERROR(__xludf.DUMMYFUNCTION("""COMPUTED_VALUE"""),11.0)</f>
        <v>11</v>
      </c>
      <c r="L1611">
        <f>IFERROR(__xludf.DUMMYFUNCTION("""COMPUTED_VALUE"""),12.0)</f>
        <v>12</v>
      </c>
      <c r="M1611">
        <f>IFERROR(__xludf.DUMMYFUNCTION("""COMPUTED_VALUE"""),23.0)</f>
        <v>23</v>
      </c>
      <c r="N1611" t="str">
        <f>IFERROR(__xludf.DUMMYFUNCTION("""COMPUTED_VALUE"""),"Model 3 SR+")</f>
        <v>Model 3 SR+</v>
      </c>
      <c r="O1611" t="str">
        <f>IFERROR(__xludf.DUMMYFUNCTION("""COMPUTED_VALUE"""),"Solid Black")</f>
        <v>Solid Black</v>
      </c>
      <c r="P1611" t="str">
        <f>IFERROR(__xludf.DUMMYFUNCTION("""COMPUTED_VALUE"""),"18 inch Aero")</f>
        <v>18 inch Aero</v>
      </c>
      <c r="Q1611" t="str">
        <f>IFERROR(__xludf.DUMMYFUNCTION("""COMPUTED_VALUE"""),"Black seats")</f>
        <v>Black seats</v>
      </c>
      <c r="R1611" t="str">
        <f>IFERROR(__xludf.DUMMYFUNCTION("""COMPUTED_VALUE"""),"Autopilot")</f>
        <v>Autopilot</v>
      </c>
      <c r="X1611" t="str">
        <f>IFERROR(__xludf.DUMMYFUNCTION("""COMPUTED_VALUE"""),"Excellent")</f>
        <v>Excellent</v>
      </c>
      <c r="Y1611" t="str">
        <f>IFERROR(__xludf.DUMMYFUNCTION("""COMPUTED_VALUE"""),"Excellent")</f>
        <v>Excellent</v>
      </c>
      <c r="Z1611" t="str">
        <f>IFERROR(__xludf.DUMMYFUNCTION("""COMPUTED_VALUE"""),"Excellent")</f>
        <v>Excellent</v>
      </c>
      <c r="AA1611" t="str">
        <f>IFERROR(__xludf.DUMMYFUNCTION("""COMPUTED_VALUE"""),"Excellent")</f>
        <v>Excellent</v>
      </c>
      <c r="AB1611" t="str">
        <f>IFERROR(__xludf.DUMMYFUNCTION("""COMPUTED_VALUE"""),"Excellent")</f>
        <v>Excellent</v>
      </c>
      <c r="AC1611">
        <f>IFERROR(__xludf.DUMMYFUNCTION("""COMPUTED_VALUE"""),1.0)</f>
        <v>1</v>
      </c>
      <c r="AD1611">
        <f>IFERROR(__xludf.DUMMYFUNCTION("""COMPUTED_VALUE"""),1.0)</f>
        <v>1</v>
      </c>
      <c r="AG1611" t="str">
        <f>IFERROR(__xludf.DUMMYFUNCTION("""COMPUTED_VALUE"""),"I got a Front left safety restraint system fault - Contact Tesla Service right after the driver left.")</f>
        <v>I got a Front left safety restraint system fault - Contact Tesla Service right after the driver left.</v>
      </c>
      <c r="AH1611" s="189">
        <f>IFERROR(__xludf.DUMMYFUNCTION("""COMPUTED_VALUE"""),43551.803904050925)</f>
        <v>43551.8039</v>
      </c>
    </row>
    <row r="1612">
      <c r="A1612" t="str">
        <f>IFERROR(__xludf.DUMMYFUNCTION("""COMPUTED_VALUE"""),"streqicity")</f>
        <v>streqicity</v>
      </c>
      <c r="B1612" t="str">
        <f>IFERROR(__xludf.DUMMYFUNCTION("""COMPUTED_VALUE"""),"Salt Lake")</f>
        <v>Salt Lake</v>
      </c>
      <c r="C1612" t="str">
        <f>IFERROR(__xludf.DUMMYFUNCTION("""COMPUTED_VALUE"""),"UT")</f>
        <v>UT</v>
      </c>
      <c r="D1612" t="str">
        <f>IFERROR(__xludf.DUMMYFUNCTION("""COMPUTED_VALUE"""),"USA")</f>
        <v>USA</v>
      </c>
      <c r="E1612" s="188">
        <f>IFERROR(__xludf.DUMMYFUNCTION("""COMPUTED_VALUE"""),43544.0)</f>
        <v>43544</v>
      </c>
      <c r="F1612" s="188">
        <f>IFERROR(__xludf.DUMMYFUNCTION("""COMPUTED_VALUE"""),43549.0)</f>
        <v>43549</v>
      </c>
      <c r="H1612">
        <f>IFERROR(__xludf.DUMMYFUNCTION("""COMPUTED_VALUE"""),324675.0)</f>
        <v>324675</v>
      </c>
      <c r="I1612" t="str">
        <f>IFERROR(__xludf.DUMMYFUNCTION("""COMPUTED_VALUE"""),"03/19")</f>
        <v>03/19</v>
      </c>
      <c r="J1612" s="5">
        <f>IFERROR(__xludf.DUMMYFUNCTION("""COMPUTED_VALUE"""),43551.0)</f>
        <v>43551</v>
      </c>
      <c r="K1612">
        <f>IFERROR(__xludf.DUMMYFUNCTION("""COMPUTED_VALUE"""),5.0)</f>
        <v>5</v>
      </c>
      <c r="L1612">
        <f>IFERROR(__xludf.DUMMYFUNCTION("""COMPUTED_VALUE"""),2.0)</f>
        <v>2</v>
      </c>
      <c r="M1612">
        <f>IFERROR(__xludf.DUMMYFUNCTION("""COMPUTED_VALUE"""),7.0)</f>
        <v>7</v>
      </c>
      <c r="N1612" t="str">
        <f>IFERROR(__xludf.DUMMYFUNCTION("""COMPUTED_VALUE"""),"Model 3 LR")</f>
        <v>Model 3 LR</v>
      </c>
      <c r="O1612" t="str">
        <f>IFERROR(__xludf.DUMMYFUNCTION("""COMPUTED_VALUE"""),"Solid Black")</f>
        <v>Solid Black</v>
      </c>
      <c r="P1612" t="str">
        <f>IFERROR(__xludf.DUMMYFUNCTION("""COMPUTED_VALUE"""),"18 inch Aero")</f>
        <v>18 inch Aero</v>
      </c>
      <c r="Q1612" t="str">
        <f>IFERROR(__xludf.DUMMYFUNCTION("""COMPUTED_VALUE"""),"Black seats")</f>
        <v>Black seats</v>
      </c>
      <c r="R1612" t="str">
        <f>IFERROR(__xludf.DUMMYFUNCTION("""COMPUTED_VALUE"""),"None")</f>
        <v>None</v>
      </c>
      <c r="X1612" t="str">
        <f>IFERROR(__xludf.DUMMYFUNCTION("""COMPUTED_VALUE"""),"Excellent")</f>
        <v>Excellent</v>
      </c>
      <c r="Y1612" t="str">
        <f>IFERROR(__xludf.DUMMYFUNCTION("""COMPUTED_VALUE"""),"Excellent")</f>
        <v>Excellent</v>
      </c>
      <c r="Z1612" t="str">
        <f>IFERROR(__xludf.DUMMYFUNCTION("""COMPUTED_VALUE"""),"Very Good")</f>
        <v>Very Good</v>
      </c>
      <c r="AA1612" t="str">
        <f>IFERROR(__xludf.DUMMYFUNCTION("""COMPUTED_VALUE"""),"Poor")</f>
        <v>Poor</v>
      </c>
      <c r="AB1612" t="str">
        <f>IFERROR(__xludf.DUMMYFUNCTION("""COMPUTED_VALUE"""),"Fair")</f>
        <v>Fair</v>
      </c>
      <c r="AH1612" s="189">
        <f>IFERROR(__xludf.DUMMYFUNCTION("""COMPUTED_VALUE"""),43551.81318403935)</f>
        <v>43551.81318</v>
      </c>
    </row>
    <row r="1613">
      <c r="A1613" t="str">
        <f>IFERROR(__xludf.DUMMYFUNCTION("""COMPUTED_VALUE"""),"idreamincode")</f>
        <v>idreamincode</v>
      </c>
      <c r="B1613" t="str">
        <f>IFERROR(__xludf.DUMMYFUNCTION("""COMPUTED_VALUE"""),"Los Angeles")</f>
        <v>Los Angeles</v>
      </c>
      <c r="C1613" t="str">
        <f>IFERROR(__xludf.DUMMYFUNCTION("""COMPUTED_VALUE"""),"CA")</f>
        <v>CA</v>
      </c>
      <c r="D1613" t="str">
        <f>IFERROR(__xludf.DUMMYFUNCTION("""COMPUTED_VALUE"""),"USA")</f>
        <v>USA</v>
      </c>
      <c r="E1613" s="188">
        <f>IFERROR(__xludf.DUMMYFUNCTION("""COMPUTED_VALUE"""),43535.0)</f>
        <v>43535</v>
      </c>
      <c r="F1613" s="188">
        <f>IFERROR(__xludf.DUMMYFUNCTION("""COMPUTED_VALUE"""),43538.0)</f>
        <v>43538</v>
      </c>
      <c r="H1613">
        <f>IFERROR(__xludf.DUMMYFUNCTION("""COMPUTED_VALUE"""),297455.0)</f>
        <v>297455</v>
      </c>
      <c r="I1613" t="str">
        <f>IFERROR(__xludf.DUMMYFUNCTION("""COMPUTED_VALUE"""),"03/19")</f>
        <v>03/19</v>
      </c>
      <c r="J1613" s="5">
        <f>IFERROR(__xludf.DUMMYFUNCTION("""COMPUTED_VALUE"""),43540.0)</f>
        <v>43540</v>
      </c>
      <c r="K1613">
        <f>IFERROR(__xludf.DUMMYFUNCTION("""COMPUTED_VALUE"""),3.0)</f>
        <v>3</v>
      </c>
      <c r="L1613">
        <f>IFERROR(__xludf.DUMMYFUNCTION("""COMPUTED_VALUE"""),2.0)</f>
        <v>2</v>
      </c>
      <c r="M1613">
        <f>IFERROR(__xludf.DUMMYFUNCTION("""COMPUTED_VALUE"""),5.0)</f>
        <v>5</v>
      </c>
      <c r="N1613" t="str">
        <f>IFERROR(__xludf.DUMMYFUNCTION("""COMPUTED_VALUE"""),"Model 3 SR+")</f>
        <v>Model 3 SR+</v>
      </c>
      <c r="O1613" t="str">
        <f>IFERROR(__xludf.DUMMYFUNCTION("""COMPUTED_VALUE"""),"Solid Black")</f>
        <v>Solid Black</v>
      </c>
      <c r="P1613" t="str">
        <f>IFERROR(__xludf.DUMMYFUNCTION("""COMPUTED_VALUE"""),"18 inch Aero")</f>
        <v>18 inch Aero</v>
      </c>
      <c r="Q1613" t="str">
        <f>IFERROR(__xludf.DUMMYFUNCTION("""COMPUTED_VALUE"""),"Black seats")</f>
        <v>Black seats</v>
      </c>
      <c r="R1613" t="str">
        <f>IFERROR(__xludf.DUMMYFUNCTION("""COMPUTED_VALUE"""),"None")</f>
        <v>None</v>
      </c>
      <c r="X1613" t="str">
        <f>IFERROR(__xludf.DUMMYFUNCTION("""COMPUTED_VALUE"""),"Excellent")</f>
        <v>Excellent</v>
      </c>
      <c r="Y1613" t="str">
        <f>IFERROR(__xludf.DUMMYFUNCTION("""COMPUTED_VALUE"""),"Excellent")</f>
        <v>Excellent</v>
      </c>
      <c r="Z1613" t="str">
        <f>IFERROR(__xludf.DUMMYFUNCTION("""COMPUTED_VALUE"""),"Excellent")</f>
        <v>Excellent</v>
      </c>
      <c r="AA1613" t="str">
        <f>IFERROR(__xludf.DUMMYFUNCTION("""COMPUTED_VALUE"""),"Excellent")</f>
        <v>Excellent</v>
      </c>
      <c r="AB1613" t="str">
        <f>IFERROR(__xludf.DUMMYFUNCTION("""COMPUTED_VALUE"""),"Excellent")</f>
        <v>Excellent</v>
      </c>
      <c r="AC1613">
        <f>IFERROR(__xludf.DUMMYFUNCTION("""COMPUTED_VALUE"""),0.0)</f>
        <v>0</v>
      </c>
      <c r="AD1613">
        <f>IFERROR(__xludf.DUMMYFUNCTION("""COMPUTED_VALUE"""),0.0)</f>
        <v>0</v>
      </c>
      <c r="AE1613">
        <f>IFERROR(__xludf.DUMMYFUNCTION("""COMPUTED_VALUE"""),0.0)</f>
        <v>0</v>
      </c>
      <c r="AH1613" s="189">
        <f>IFERROR(__xludf.DUMMYFUNCTION("""COMPUTED_VALUE"""),43552.41924728009)</f>
        <v>43552.41925</v>
      </c>
    </row>
    <row r="1614">
      <c r="A1614" t="str">
        <f>IFERROR(__xludf.DUMMYFUNCTION("""COMPUTED_VALUE"""),"IndyLambo")</f>
        <v>IndyLambo</v>
      </c>
      <c r="B1614" t="str">
        <f>IFERROR(__xludf.DUMMYFUNCTION("""COMPUTED_VALUE"""),"Indianapolis")</f>
        <v>Indianapolis</v>
      </c>
      <c r="C1614" t="str">
        <f>IFERROR(__xludf.DUMMYFUNCTION("""COMPUTED_VALUE"""),"IN")</f>
        <v>IN</v>
      </c>
      <c r="D1614" t="str">
        <f>IFERROR(__xludf.DUMMYFUNCTION("""COMPUTED_VALUE"""),"USA")</f>
        <v>USA</v>
      </c>
      <c r="E1614" s="188">
        <f>IFERROR(__xludf.DUMMYFUNCTION("""COMPUTED_VALUE"""),43278.0)</f>
        <v>43278</v>
      </c>
      <c r="F1614" s="188">
        <f>IFERROR(__xludf.DUMMYFUNCTION("""COMPUTED_VALUE"""),43369.0)</f>
        <v>43369</v>
      </c>
      <c r="H1614">
        <f>IFERROR(__xludf.DUMMYFUNCTION("""COMPUTED_VALUE"""),87166.0)</f>
        <v>87166</v>
      </c>
      <c r="I1614" t="str">
        <f>IFERROR(__xludf.DUMMYFUNCTION("""COMPUTED_VALUE"""),"09/18")</f>
        <v>09/18</v>
      </c>
      <c r="J1614" s="5">
        <f>IFERROR(__xludf.DUMMYFUNCTION("""COMPUTED_VALUE"""),43382.0)</f>
        <v>43382</v>
      </c>
      <c r="K1614">
        <f>IFERROR(__xludf.DUMMYFUNCTION("""COMPUTED_VALUE"""),91.0)</f>
        <v>91</v>
      </c>
      <c r="L1614">
        <f>IFERROR(__xludf.DUMMYFUNCTION("""COMPUTED_VALUE"""),13.0)</f>
        <v>13</v>
      </c>
      <c r="M1614">
        <f>IFERROR(__xludf.DUMMYFUNCTION("""COMPUTED_VALUE"""),104.0)</f>
        <v>104</v>
      </c>
      <c r="N1614" t="str">
        <f>IFERROR(__xludf.DUMMYFUNCTION("""COMPUTED_VALUE"""),"Model 3 LR AWD")</f>
        <v>Model 3 LR AWD</v>
      </c>
      <c r="O1614" t="str">
        <f>IFERROR(__xludf.DUMMYFUNCTION("""COMPUTED_VALUE"""),"Midnight Silver Metallic")</f>
        <v>Midnight Silver Metallic</v>
      </c>
      <c r="P1614" t="str">
        <f>IFERROR(__xludf.DUMMYFUNCTION("""COMPUTED_VALUE"""),"19 inch Sport")</f>
        <v>19 inch Sport</v>
      </c>
      <c r="Q1614" t="str">
        <f>IFERROR(__xludf.DUMMYFUNCTION("""COMPUTED_VALUE"""),"Black seats")</f>
        <v>Black seats</v>
      </c>
      <c r="R1614" t="str">
        <f>IFERROR(__xludf.DUMMYFUNCTION("""COMPUTED_VALUE"""),"Full Self-Driving")</f>
        <v>Full Self-Driving</v>
      </c>
      <c r="X1614" t="str">
        <f>IFERROR(__xludf.DUMMYFUNCTION("""COMPUTED_VALUE"""),"Excellent")</f>
        <v>Excellent</v>
      </c>
      <c r="Y1614" t="str">
        <f>IFERROR(__xludf.DUMMYFUNCTION("""COMPUTED_VALUE"""),"Excellent")</f>
        <v>Excellent</v>
      </c>
      <c r="Z1614" t="str">
        <f>IFERROR(__xludf.DUMMYFUNCTION("""COMPUTED_VALUE"""),"Excellent")</f>
        <v>Excellent</v>
      </c>
      <c r="AA1614" t="str">
        <f>IFERROR(__xludf.DUMMYFUNCTION("""COMPUTED_VALUE"""),"Very Good")</f>
        <v>Very Good</v>
      </c>
      <c r="AB1614" t="str">
        <f>IFERROR(__xludf.DUMMYFUNCTION("""COMPUTED_VALUE"""),"Excellent")</f>
        <v>Excellent</v>
      </c>
      <c r="AC1614">
        <f>IFERROR(__xludf.DUMMYFUNCTION("""COMPUTED_VALUE"""),0.0)</f>
        <v>0</v>
      </c>
      <c r="AD1614">
        <f>IFERROR(__xludf.DUMMYFUNCTION("""COMPUTED_VALUE"""),0.0)</f>
        <v>0</v>
      </c>
      <c r="AE1614">
        <f>IFERROR(__xludf.DUMMYFUNCTION("""COMPUTED_VALUE"""),0.0)</f>
        <v>0</v>
      </c>
      <c r="AH1614" s="189">
        <f>IFERROR(__xludf.DUMMYFUNCTION("""COMPUTED_VALUE"""),43552.59988318287)</f>
        <v>43552.59988</v>
      </c>
    </row>
    <row r="1615">
      <c r="A1615" t="str">
        <f>IFERROR(__xludf.DUMMYFUNCTION("""COMPUTED_VALUE"""),"Slaughter")</f>
        <v>Slaughter</v>
      </c>
      <c r="B1615" t="str">
        <f>IFERROR(__xludf.DUMMYFUNCTION("""COMPUTED_VALUE"""),"Los Angeles")</f>
        <v>Los Angeles</v>
      </c>
      <c r="C1615" t="str">
        <f>IFERROR(__xludf.DUMMYFUNCTION("""COMPUTED_VALUE"""),"CA")</f>
        <v>CA</v>
      </c>
      <c r="D1615" t="str">
        <f>IFERROR(__xludf.DUMMYFUNCTION("""COMPUTED_VALUE"""),"USA")</f>
        <v>USA</v>
      </c>
      <c r="E1615" s="188">
        <f>IFERROR(__xludf.DUMMYFUNCTION("""COMPUTED_VALUE"""),43543.0)</f>
        <v>43543</v>
      </c>
      <c r="F1615" s="188">
        <f>IFERROR(__xludf.DUMMYFUNCTION("""COMPUTED_VALUE"""),43549.0)</f>
        <v>43549</v>
      </c>
      <c r="H1615">
        <f>IFERROR(__xludf.DUMMYFUNCTION("""COMPUTED_VALUE"""),325055.0)</f>
        <v>325055</v>
      </c>
      <c r="I1615" t="str">
        <f>IFERROR(__xludf.DUMMYFUNCTION("""COMPUTED_VALUE"""),"03/19")</f>
        <v>03/19</v>
      </c>
      <c r="J1615" s="5">
        <f>IFERROR(__xludf.DUMMYFUNCTION("""COMPUTED_VALUE"""),43553.0)</f>
        <v>43553</v>
      </c>
      <c r="K1615">
        <f>IFERROR(__xludf.DUMMYFUNCTION("""COMPUTED_VALUE"""),6.0)</f>
        <v>6</v>
      </c>
      <c r="L1615">
        <f>IFERROR(__xludf.DUMMYFUNCTION("""COMPUTED_VALUE"""),4.0)</f>
        <v>4</v>
      </c>
      <c r="M1615">
        <f>IFERROR(__xludf.DUMMYFUNCTION("""COMPUTED_VALUE"""),10.0)</f>
        <v>10</v>
      </c>
      <c r="N1615" t="str">
        <f>IFERROR(__xludf.DUMMYFUNCTION("""COMPUTED_VALUE"""),"Model 3 LR")</f>
        <v>Model 3 LR</v>
      </c>
      <c r="O1615" t="str">
        <f>IFERROR(__xludf.DUMMYFUNCTION("""COMPUTED_VALUE"""),"Solid Black")</f>
        <v>Solid Black</v>
      </c>
      <c r="P1615" t="str">
        <f>IFERROR(__xludf.DUMMYFUNCTION("""COMPUTED_VALUE"""),"18 inch Aero")</f>
        <v>18 inch Aero</v>
      </c>
      <c r="Q1615" t="str">
        <f>IFERROR(__xludf.DUMMYFUNCTION("""COMPUTED_VALUE"""),"Black seats")</f>
        <v>Black seats</v>
      </c>
      <c r="R1615" t="str">
        <f>IFERROR(__xludf.DUMMYFUNCTION("""COMPUTED_VALUE"""),"Full Self-Driving")</f>
        <v>Full Self-Driving</v>
      </c>
      <c r="X1615" t="str">
        <f>IFERROR(__xludf.DUMMYFUNCTION("""COMPUTED_VALUE"""),"Excellent")</f>
        <v>Excellent</v>
      </c>
      <c r="Y1615" t="str">
        <f>IFERROR(__xludf.DUMMYFUNCTION("""COMPUTED_VALUE"""),"Excellent")</f>
        <v>Excellent</v>
      </c>
      <c r="Z1615" t="str">
        <f>IFERROR(__xludf.DUMMYFUNCTION("""COMPUTED_VALUE"""),"Excellent")</f>
        <v>Excellent</v>
      </c>
      <c r="AA1615" t="str">
        <f>IFERROR(__xludf.DUMMYFUNCTION("""COMPUTED_VALUE"""),"Good")</f>
        <v>Good</v>
      </c>
      <c r="AB1615" t="str">
        <f>IFERROR(__xludf.DUMMYFUNCTION("""COMPUTED_VALUE"""),"Very Good")</f>
        <v>Very Good</v>
      </c>
      <c r="AH1615" s="189">
        <f>IFERROR(__xludf.DUMMYFUNCTION("""COMPUTED_VALUE"""),43552.79659643519)</f>
        <v>43552.7966</v>
      </c>
    </row>
    <row r="1616">
      <c r="A1616" t="str">
        <f>IFERROR(__xludf.DUMMYFUNCTION("""COMPUTED_VALUE"""),"chehodgins")</f>
        <v>chehodgins</v>
      </c>
      <c r="B1616" t="str">
        <f>IFERROR(__xludf.DUMMYFUNCTION("""COMPUTED_VALUE"""),"Montreal")</f>
        <v>Montreal</v>
      </c>
      <c r="C1616" t="str">
        <f>IFERROR(__xludf.DUMMYFUNCTION("""COMPUTED_VALUE"""),"QC")</f>
        <v>QC</v>
      </c>
      <c r="D1616" t="str">
        <f>IFERROR(__xludf.DUMMYFUNCTION("""COMPUTED_VALUE"""),"Canada")</f>
        <v>Canada</v>
      </c>
      <c r="E1616" s="188">
        <f>IFERROR(__xludf.DUMMYFUNCTION("""COMPUTED_VALUE"""),43525.0)</f>
        <v>43525</v>
      </c>
      <c r="F1616" s="188">
        <f>IFERROR(__xludf.DUMMYFUNCTION("""COMPUTED_VALUE"""),43537.0)</f>
        <v>43537</v>
      </c>
      <c r="H1616">
        <f>IFERROR(__xludf.DUMMYFUNCTION("""COMPUTED_VALUE"""),321555.0)</f>
        <v>321555</v>
      </c>
      <c r="I1616" t="str">
        <f>IFERROR(__xludf.DUMMYFUNCTION("""COMPUTED_VALUE"""),"03/19")</f>
        <v>03/19</v>
      </c>
      <c r="J1616" s="5">
        <f>IFERROR(__xludf.DUMMYFUNCTION("""COMPUTED_VALUE"""),43544.0)</f>
        <v>43544</v>
      </c>
      <c r="K1616">
        <f>IFERROR(__xludf.DUMMYFUNCTION("""COMPUTED_VALUE"""),12.0)</f>
        <v>12</v>
      </c>
      <c r="L1616">
        <f>IFERROR(__xludf.DUMMYFUNCTION("""COMPUTED_VALUE"""),7.0)</f>
        <v>7</v>
      </c>
      <c r="M1616">
        <f>IFERROR(__xludf.DUMMYFUNCTION("""COMPUTED_VALUE"""),19.0)</f>
        <v>19</v>
      </c>
      <c r="N1616" t="str">
        <f>IFERROR(__xludf.DUMMYFUNCTION("""COMPUTED_VALUE"""),"Model 3 SR+")</f>
        <v>Model 3 SR+</v>
      </c>
      <c r="O1616" t="str">
        <f>IFERROR(__xludf.DUMMYFUNCTION("""COMPUTED_VALUE"""),"Solid Black")</f>
        <v>Solid Black</v>
      </c>
      <c r="P1616" t="str">
        <f>IFERROR(__xludf.DUMMYFUNCTION("""COMPUTED_VALUE"""),"18 inch Aero")</f>
        <v>18 inch Aero</v>
      </c>
      <c r="Q1616" t="str">
        <f>IFERROR(__xludf.DUMMYFUNCTION("""COMPUTED_VALUE"""),"Black seats")</f>
        <v>Black seats</v>
      </c>
      <c r="R1616" t="str">
        <f>IFERROR(__xludf.DUMMYFUNCTION("""COMPUTED_VALUE"""),"Autopilot")</f>
        <v>Autopilot</v>
      </c>
      <c r="X1616" t="str">
        <f>IFERROR(__xludf.DUMMYFUNCTION("""COMPUTED_VALUE"""),"Good")</f>
        <v>Good</v>
      </c>
      <c r="Y1616" t="str">
        <f>IFERROR(__xludf.DUMMYFUNCTION("""COMPUTED_VALUE"""),"Very Good")</f>
        <v>Very Good</v>
      </c>
      <c r="Z1616" t="str">
        <f>IFERROR(__xludf.DUMMYFUNCTION("""COMPUTED_VALUE"""),"Very Good")</f>
        <v>Very Good</v>
      </c>
      <c r="AA1616" t="str">
        <f>IFERROR(__xludf.DUMMYFUNCTION("""COMPUTED_VALUE"""),"Fair")</f>
        <v>Fair</v>
      </c>
      <c r="AB1616" t="str">
        <f>IFERROR(__xludf.DUMMYFUNCTION("""COMPUTED_VALUE"""),"Very Good")</f>
        <v>Very Good</v>
      </c>
      <c r="AH1616" s="189">
        <f>IFERROR(__xludf.DUMMYFUNCTION("""COMPUTED_VALUE"""),43553.55997224537)</f>
        <v>43553.55997</v>
      </c>
    </row>
    <row r="1617">
      <c r="A1617" t="str">
        <f>IFERROR(__xludf.DUMMYFUNCTION("""COMPUTED_VALUE"""),"mc2002tii")</f>
        <v>mc2002tii</v>
      </c>
      <c r="B1617" t="str">
        <f>IFERROR(__xludf.DUMMYFUNCTION("""COMPUTED_VALUE"""),"Baltimore")</f>
        <v>Baltimore</v>
      </c>
      <c r="C1617" t="str">
        <f>IFERROR(__xludf.DUMMYFUNCTION("""COMPUTED_VALUE"""),"MD")</f>
        <v>MD</v>
      </c>
      <c r="D1617" t="str">
        <f>IFERROR(__xludf.DUMMYFUNCTION("""COMPUTED_VALUE"""),"USA")</f>
        <v>USA</v>
      </c>
      <c r="E1617" s="188">
        <f>IFERROR(__xludf.DUMMYFUNCTION("""COMPUTED_VALUE"""),43537.0)</f>
        <v>43537</v>
      </c>
      <c r="F1617" s="188">
        <f>IFERROR(__xludf.DUMMYFUNCTION("""COMPUTED_VALUE"""),43542.0)</f>
        <v>43542</v>
      </c>
      <c r="H1617">
        <f>IFERROR(__xludf.DUMMYFUNCTION("""COMPUTED_VALUE"""),313876.0)</f>
        <v>313876</v>
      </c>
      <c r="I1617" t="str">
        <f>IFERROR(__xludf.DUMMYFUNCTION("""COMPUTED_VALUE"""),"03/19")</f>
        <v>03/19</v>
      </c>
      <c r="J1617" s="5">
        <f>IFERROR(__xludf.DUMMYFUNCTION("""COMPUTED_VALUE"""),43551.0)</f>
        <v>43551</v>
      </c>
      <c r="K1617">
        <f>IFERROR(__xludf.DUMMYFUNCTION("""COMPUTED_VALUE"""),5.0)</f>
        <v>5</v>
      </c>
      <c r="L1617">
        <f>IFERROR(__xludf.DUMMYFUNCTION("""COMPUTED_VALUE"""),9.0)</f>
        <v>9</v>
      </c>
      <c r="M1617">
        <f>IFERROR(__xludf.DUMMYFUNCTION("""COMPUTED_VALUE"""),14.0)</f>
        <v>14</v>
      </c>
      <c r="N1617" t="str">
        <f>IFERROR(__xludf.DUMMYFUNCTION("""COMPUTED_VALUE"""),"Model 3 LR")</f>
        <v>Model 3 LR</v>
      </c>
      <c r="O1617" t="str">
        <f>IFERROR(__xludf.DUMMYFUNCTION("""COMPUTED_VALUE"""),"Deep Blue Metallic")</f>
        <v>Deep Blue Metallic</v>
      </c>
      <c r="P1617" t="str">
        <f>IFERROR(__xludf.DUMMYFUNCTION("""COMPUTED_VALUE"""),"18 inch Aero")</f>
        <v>18 inch Aero</v>
      </c>
      <c r="Q1617" t="str">
        <f>IFERROR(__xludf.DUMMYFUNCTION("""COMPUTED_VALUE"""),"Black seats")</f>
        <v>Black seats</v>
      </c>
      <c r="R1617" t="str">
        <f>IFERROR(__xludf.DUMMYFUNCTION("""COMPUTED_VALUE"""),"Autopilot")</f>
        <v>Autopilot</v>
      </c>
      <c r="X1617" t="str">
        <f>IFERROR(__xludf.DUMMYFUNCTION("""COMPUTED_VALUE"""),"Good")</f>
        <v>Good</v>
      </c>
      <c r="Y1617" t="str">
        <f>IFERROR(__xludf.DUMMYFUNCTION("""COMPUTED_VALUE"""),"Excellent")</f>
        <v>Excellent</v>
      </c>
      <c r="Z1617" t="str">
        <f>IFERROR(__xludf.DUMMYFUNCTION("""COMPUTED_VALUE"""),"Excellent")</f>
        <v>Excellent</v>
      </c>
      <c r="AA1617" t="str">
        <f>IFERROR(__xludf.DUMMYFUNCTION("""COMPUTED_VALUE"""),"Excellent")</f>
        <v>Excellent</v>
      </c>
      <c r="AB1617" t="str">
        <f>IFERROR(__xludf.DUMMYFUNCTION("""COMPUTED_VALUE"""),"Excellent")</f>
        <v>Excellent</v>
      </c>
      <c r="AH1617" s="189">
        <f>IFERROR(__xludf.DUMMYFUNCTION("""COMPUTED_VALUE"""),43553.66788201389)</f>
        <v>43553.66788</v>
      </c>
    </row>
    <row r="1618">
      <c r="A1618" t="str">
        <f>IFERROR(__xludf.DUMMYFUNCTION("""COMPUTED_VALUE"""),"Richard Vancouver")</f>
        <v>Richard Vancouver</v>
      </c>
      <c r="B1618" t="str">
        <f>IFERROR(__xludf.DUMMYFUNCTION("""COMPUTED_VALUE"""),"Vancouver")</f>
        <v>Vancouver</v>
      </c>
      <c r="C1618" t="str">
        <f>IFERROR(__xludf.DUMMYFUNCTION("""COMPUTED_VALUE"""),"BC")</f>
        <v>BC</v>
      </c>
      <c r="D1618" t="str">
        <f>IFERROR(__xludf.DUMMYFUNCTION("""COMPUTED_VALUE"""),"Canada")</f>
        <v>Canada</v>
      </c>
      <c r="E1618" s="188">
        <f>IFERROR(__xludf.DUMMYFUNCTION("""COMPUTED_VALUE"""),43525.0)</f>
        <v>43525</v>
      </c>
      <c r="F1618" s="188">
        <f>IFERROR(__xludf.DUMMYFUNCTION("""COMPUTED_VALUE"""),43549.0)</f>
        <v>43549</v>
      </c>
      <c r="J1618" s="5">
        <f>IFERROR(__xludf.DUMMYFUNCTION("""COMPUTED_VALUE"""),43553.0)</f>
        <v>43553</v>
      </c>
      <c r="K1618">
        <f>IFERROR(__xludf.DUMMYFUNCTION("""COMPUTED_VALUE"""),24.0)</f>
        <v>24</v>
      </c>
      <c r="L1618">
        <f>IFERROR(__xludf.DUMMYFUNCTION("""COMPUTED_VALUE"""),4.0)</f>
        <v>4</v>
      </c>
      <c r="M1618">
        <f>IFERROR(__xludf.DUMMYFUNCTION("""COMPUTED_VALUE"""),28.0)</f>
        <v>28</v>
      </c>
      <c r="N1618" t="str">
        <f>IFERROR(__xludf.DUMMYFUNCTION("""COMPUTED_VALUE"""),"Model 3 LR")</f>
        <v>Model 3 LR</v>
      </c>
      <c r="O1618" t="str">
        <f>IFERROR(__xludf.DUMMYFUNCTION("""COMPUTED_VALUE"""),"Solid Black")</f>
        <v>Solid Black</v>
      </c>
      <c r="P1618" t="str">
        <f>IFERROR(__xludf.DUMMYFUNCTION("""COMPUTED_VALUE"""),"18 inch Aero")</f>
        <v>18 inch Aero</v>
      </c>
      <c r="Q1618" t="str">
        <f>IFERROR(__xludf.DUMMYFUNCTION("""COMPUTED_VALUE"""),"Black seats")</f>
        <v>Black seats</v>
      </c>
      <c r="R1618" t="str">
        <f>IFERROR(__xludf.DUMMYFUNCTION("""COMPUTED_VALUE"""),"Full Self-Driving")</f>
        <v>Full Self-Driving</v>
      </c>
      <c r="X1618" t="str">
        <f>IFERROR(__xludf.DUMMYFUNCTION("""COMPUTED_VALUE"""),"Excellent")</f>
        <v>Excellent</v>
      </c>
      <c r="Y1618" t="str">
        <f>IFERROR(__xludf.DUMMYFUNCTION("""COMPUTED_VALUE"""),"Very Good")</f>
        <v>Very Good</v>
      </c>
      <c r="Z1618" t="str">
        <f>IFERROR(__xludf.DUMMYFUNCTION("""COMPUTED_VALUE"""),"Very Good")</f>
        <v>Very Good</v>
      </c>
      <c r="AA1618" t="str">
        <f>IFERROR(__xludf.DUMMYFUNCTION("""COMPUTED_VALUE"""),"Poor")</f>
        <v>Poor</v>
      </c>
      <c r="AB1618" t="str">
        <f>IFERROR(__xludf.DUMMYFUNCTION("""COMPUTED_VALUE"""),"Fair")</f>
        <v>Fair</v>
      </c>
      <c r="AG1618" t="str">
        <f>IFERROR(__xludf.DUMMYFUNCTION("""COMPUTED_VALUE"""),"Better than I expected paint and gaps where good. ")</f>
        <v>Better than I expected paint and gaps where good. </v>
      </c>
      <c r="AH1618" s="189">
        <f>IFERROR(__xludf.DUMMYFUNCTION("""COMPUTED_VALUE"""),43553.89922400463)</f>
        <v>43553.89922</v>
      </c>
    </row>
    <row r="1619">
      <c r="A1619" t="str">
        <f>IFERROR(__xludf.DUMMYFUNCTION("""COMPUTED_VALUE"""),"jrstlfl")</f>
        <v>jrstlfl</v>
      </c>
      <c r="C1619" t="str">
        <f>IFERROR(__xludf.DUMMYFUNCTION("""COMPUTED_VALUE"""),"FL")</f>
        <v>FL</v>
      </c>
      <c r="D1619" t="str">
        <f>IFERROR(__xludf.DUMMYFUNCTION("""COMPUTED_VALUE"""),"USA")</f>
        <v>USA</v>
      </c>
      <c r="E1619" s="188">
        <f>IFERROR(__xludf.DUMMYFUNCTION("""COMPUTED_VALUE"""),43531.0)</f>
        <v>43531</v>
      </c>
      <c r="F1619" s="188">
        <f>IFERROR(__xludf.DUMMYFUNCTION("""COMPUTED_VALUE"""),43543.0)</f>
        <v>43543</v>
      </c>
      <c r="H1619">
        <f>IFERROR(__xludf.DUMMYFUNCTION("""COMPUTED_VALUE"""),313755.0)</f>
        <v>313755</v>
      </c>
      <c r="J1619" s="5">
        <f>IFERROR(__xludf.DUMMYFUNCTION("""COMPUTED_VALUE"""),43551.0)</f>
        <v>43551</v>
      </c>
      <c r="K1619">
        <f>IFERROR(__xludf.DUMMYFUNCTION("""COMPUTED_VALUE"""),12.0)</f>
        <v>12</v>
      </c>
      <c r="L1619">
        <f>IFERROR(__xludf.DUMMYFUNCTION("""COMPUTED_VALUE"""),8.0)</f>
        <v>8</v>
      </c>
      <c r="M1619">
        <f>IFERROR(__xludf.DUMMYFUNCTION("""COMPUTED_VALUE"""),20.0)</f>
        <v>20</v>
      </c>
      <c r="N1619" t="str">
        <f>IFERROR(__xludf.DUMMYFUNCTION("""COMPUTED_VALUE"""),"Model 3 LR")</f>
        <v>Model 3 LR</v>
      </c>
      <c r="O1619" t="str">
        <f>IFERROR(__xludf.DUMMYFUNCTION("""COMPUTED_VALUE"""),"Red Multi-Coat")</f>
        <v>Red Multi-Coat</v>
      </c>
      <c r="P1619" t="str">
        <f>IFERROR(__xludf.DUMMYFUNCTION("""COMPUTED_VALUE"""),"18 inch Aero")</f>
        <v>18 inch Aero</v>
      </c>
      <c r="Q1619" t="str">
        <f>IFERROR(__xludf.DUMMYFUNCTION("""COMPUTED_VALUE"""),"Black seats")</f>
        <v>Black seats</v>
      </c>
      <c r="R1619" t="str">
        <f>IFERROR(__xludf.DUMMYFUNCTION("""COMPUTED_VALUE"""),"Full Self-Driving")</f>
        <v>Full Self-Driving</v>
      </c>
      <c r="X1619" t="str">
        <f>IFERROR(__xludf.DUMMYFUNCTION("""COMPUTED_VALUE"""),"Excellent")</f>
        <v>Excellent</v>
      </c>
      <c r="Y1619" t="str">
        <f>IFERROR(__xludf.DUMMYFUNCTION("""COMPUTED_VALUE"""),"Excellent")</f>
        <v>Excellent</v>
      </c>
      <c r="Z1619" t="str">
        <f>IFERROR(__xludf.DUMMYFUNCTION("""COMPUTED_VALUE"""),"Very Good")</f>
        <v>Very Good</v>
      </c>
      <c r="AA1619" t="str">
        <f>IFERROR(__xludf.DUMMYFUNCTION("""COMPUTED_VALUE"""),"Excellent")</f>
        <v>Excellent</v>
      </c>
      <c r="AB1619" t="str">
        <f>IFERROR(__xludf.DUMMYFUNCTION("""COMPUTED_VALUE"""),"Excellent")</f>
        <v>Excellent</v>
      </c>
      <c r="AH1619" s="189">
        <f>IFERROR(__xludf.DUMMYFUNCTION("""COMPUTED_VALUE"""),43554.02781092592)</f>
        <v>43554.02781</v>
      </c>
    </row>
    <row r="1620">
      <c r="A1620" t="str">
        <f>IFERROR(__xludf.DUMMYFUNCTION("""COMPUTED_VALUE"""),"Jmarkw")</f>
        <v>Jmarkw</v>
      </c>
      <c r="B1620" t="str">
        <f>IFERROR(__xludf.DUMMYFUNCTION("""COMPUTED_VALUE"""),"San Antonio")</f>
        <v>San Antonio</v>
      </c>
      <c r="C1620" t="str">
        <f>IFERROR(__xludf.DUMMYFUNCTION("""COMPUTED_VALUE"""),"TX")</f>
        <v>TX</v>
      </c>
      <c r="D1620" t="str">
        <f>IFERROR(__xludf.DUMMYFUNCTION("""COMPUTED_VALUE"""),"USA")</f>
        <v>USA</v>
      </c>
      <c r="E1620" s="188">
        <f>IFERROR(__xludf.DUMMYFUNCTION("""COMPUTED_VALUE"""),43525.0)</f>
        <v>43525</v>
      </c>
      <c r="F1620" s="188">
        <f>IFERROR(__xludf.DUMMYFUNCTION("""COMPUTED_VALUE"""),43549.0)</f>
        <v>43549</v>
      </c>
      <c r="H1620" s="4">
        <f>IFERROR(__xludf.DUMMYFUNCTION("""COMPUTED_VALUE"""),314399.0)</f>
        <v>314399</v>
      </c>
      <c r="J1620" s="5">
        <f>IFERROR(__xludf.DUMMYFUNCTION("""COMPUTED_VALUE"""),43555.0)</f>
        <v>43555</v>
      </c>
      <c r="K1620">
        <f>IFERROR(__xludf.DUMMYFUNCTION("""COMPUTED_VALUE"""),24.0)</f>
        <v>24</v>
      </c>
      <c r="L1620">
        <f>IFERROR(__xludf.DUMMYFUNCTION("""COMPUTED_VALUE"""),6.0)</f>
        <v>6</v>
      </c>
      <c r="M1620">
        <f>IFERROR(__xludf.DUMMYFUNCTION("""COMPUTED_VALUE"""),30.0)</f>
        <v>30</v>
      </c>
      <c r="N1620" t="str">
        <f>IFERROR(__xludf.DUMMYFUNCTION("""COMPUTED_VALUE"""),"Model 3 LR")</f>
        <v>Model 3 LR</v>
      </c>
      <c r="O1620" t="str">
        <f>IFERROR(__xludf.DUMMYFUNCTION("""COMPUTED_VALUE"""),"Midnight Silver Metallic")</f>
        <v>Midnight Silver Metallic</v>
      </c>
      <c r="P1620" t="str">
        <f>IFERROR(__xludf.DUMMYFUNCTION("""COMPUTED_VALUE"""),"19 inch Sport")</f>
        <v>19 inch Sport</v>
      </c>
      <c r="Q1620" t="str">
        <f>IFERROR(__xludf.DUMMYFUNCTION("""COMPUTED_VALUE"""),"Black seats")</f>
        <v>Black seats</v>
      </c>
      <c r="R1620" t="str">
        <f>IFERROR(__xludf.DUMMYFUNCTION("""COMPUTED_VALUE"""),"None")</f>
        <v>None</v>
      </c>
      <c r="AA1620" t="str">
        <f>IFERROR(__xludf.DUMMYFUNCTION("""COMPUTED_VALUE"""),"Poor")</f>
        <v>Poor</v>
      </c>
      <c r="AH1620" s="189">
        <f>IFERROR(__xludf.DUMMYFUNCTION("""COMPUTED_VALUE"""),43554.20735736111)</f>
        <v>43554.20736</v>
      </c>
    </row>
    <row r="1621">
      <c r="A1621" t="str">
        <f>IFERROR(__xludf.DUMMYFUNCTION("""COMPUTED_VALUE"""),"TomT")</f>
        <v>TomT</v>
      </c>
      <c r="B1621" t="str">
        <f>IFERROR(__xludf.DUMMYFUNCTION("""COMPUTED_VALUE"""),"Cumming")</f>
        <v>Cumming</v>
      </c>
      <c r="C1621" t="str">
        <f>IFERROR(__xludf.DUMMYFUNCTION("""COMPUTED_VALUE"""),"GA")</f>
        <v>GA</v>
      </c>
      <c r="D1621" t="str">
        <f>IFERROR(__xludf.DUMMYFUNCTION("""COMPUTED_VALUE"""),"USA")</f>
        <v>USA</v>
      </c>
      <c r="E1621" s="188">
        <f>IFERROR(__xludf.DUMMYFUNCTION("""COMPUTED_VALUE"""),43540.0)</f>
        <v>43540</v>
      </c>
      <c r="F1621" s="188">
        <f>IFERROR(__xludf.DUMMYFUNCTION("""COMPUTED_VALUE"""),43545.0)</f>
        <v>43545</v>
      </c>
      <c r="H1621">
        <f>IFERROR(__xludf.DUMMYFUNCTION("""COMPUTED_VALUE"""),314355.0)</f>
        <v>314355</v>
      </c>
      <c r="I1621" t="str">
        <f>IFERROR(__xludf.DUMMYFUNCTION("""COMPUTED_VALUE"""),"03/19")</f>
        <v>03/19</v>
      </c>
      <c r="J1621" s="5">
        <f>IFERROR(__xludf.DUMMYFUNCTION("""COMPUTED_VALUE"""),43553.0)</f>
        <v>43553</v>
      </c>
      <c r="K1621">
        <f>IFERROR(__xludf.DUMMYFUNCTION("""COMPUTED_VALUE"""),5.0)</f>
        <v>5</v>
      </c>
      <c r="L1621">
        <f>IFERROR(__xludf.DUMMYFUNCTION("""COMPUTED_VALUE"""),8.0)</f>
        <v>8</v>
      </c>
      <c r="M1621">
        <f>IFERROR(__xludf.DUMMYFUNCTION("""COMPUTED_VALUE"""),13.0)</f>
        <v>13</v>
      </c>
      <c r="N1621" t="str">
        <f>IFERROR(__xludf.DUMMYFUNCTION("""COMPUTED_VALUE"""),"Model 3 LR")</f>
        <v>Model 3 LR</v>
      </c>
      <c r="O1621" t="str">
        <f>IFERROR(__xludf.DUMMYFUNCTION("""COMPUTED_VALUE"""),"Midnight Silver Metallic")</f>
        <v>Midnight Silver Metallic</v>
      </c>
      <c r="P1621" t="str">
        <f>IFERROR(__xludf.DUMMYFUNCTION("""COMPUTED_VALUE"""),"19 inch Sport")</f>
        <v>19 inch Sport</v>
      </c>
      <c r="Q1621" t="str">
        <f>IFERROR(__xludf.DUMMYFUNCTION("""COMPUTED_VALUE"""),"Black seats")</f>
        <v>Black seats</v>
      </c>
      <c r="R1621" t="str">
        <f>IFERROR(__xludf.DUMMYFUNCTION("""COMPUTED_VALUE"""),"Full Self-Driving")</f>
        <v>Full Self-Driving</v>
      </c>
      <c r="X1621" t="str">
        <f>IFERROR(__xludf.DUMMYFUNCTION("""COMPUTED_VALUE"""),"Good")</f>
        <v>Good</v>
      </c>
      <c r="Y1621" t="str">
        <f>IFERROR(__xludf.DUMMYFUNCTION("""COMPUTED_VALUE"""),"Very Good")</f>
        <v>Very Good</v>
      </c>
      <c r="Z1621" t="str">
        <f>IFERROR(__xludf.DUMMYFUNCTION("""COMPUTED_VALUE"""),"Very Good")</f>
        <v>Very Good</v>
      </c>
      <c r="AA1621" t="str">
        <f>IFERROR(__xludf.DUMMYFUNCTION("""COMPUTED_VALUE"""),"Good")</f>
        <v>Good</v>
      </c>
      <c r="AB1621" t="str">
        <f>IFERROR(__xludf.DUMMYFUNCTION("""COMPUTED_VALUE"""),"Very Good")</f>
        <v>Very Good</v>
      </c>
      <c r="AC1621">
        <f>IFERROR(__xludf.DUMMYFUNCTION("""COMPUTED_VALUE"""),0.0)</f>
        <v>0</v>
      </c>
      <c r="AD1621">
        <f>IFERROR(__xludf.DUMMYFUNCTION("""COMPUTED_VALUE"""),0.0)</f>
        <v>0</v>
      </c>
      <c r="AE1621">
        <f>IFERROR(__xludf.DUMMYFUNCTION("""COMPUTED_VALUE"""),0.0)</f>
        <v>0</v>
      </c>
      <c r="AH1621" s="189">
        <f>IFERROR(__xludf.DUMMYFUNCTION("""COMPUTED_VALUE"""),43554.67871692129)</f>
        <v>43554.67872</v>
      </c>
    </row>
    <row r="1622">
      <c r="A1622" t="str">
        <f>IFERROR(__xludf.DUMMYFUNCTION("""COMPUTED_VALUE"""),"Dexlilyben")</f>
        <v>Dexlilyben</v>
      </c>
      <c r="B1622" t="str">
        <f>IFERROR(__xludf.DUMMYFUNCTION("""COMPUTED_VALUE"""),"Dallas")</f>
        <v>Dallas</v>
      </c>
      <c r="C1622" t="str">
        <f>IFERROR(__xludf.DUMMYFUNCTION("""COMPUTED_VALUE"""),"TX")</f>
        <v>TX</v>
      </c>
      <c r="D1622" t="str">
        <f>IFERROR(__xludf.DUMMYFUNCTION("""COMPUTED_VALUE"""),"USA")</f>
        <v>USA</v>
      </c>
      <c r="E1622" s="188">
        <f>IFERROR(__xludf.DUMMYFUNCTION("""COMPUTED_VALUE"""),43541.0)</f>
        <v>43541</v>
      </c>
      <c r="F1622" s="188">
        <f>IFERROR(__xludf.DUMMYFUNCTION("""COMPUTED_VALUE"""),43551.0)</f>
        <v>43551</v>
      </c>
      <c r="H1622" s="4">
        <f>IFERROR(__xludf.DUMMYFUNCTION("""COMPUTED_VALUE"""),231789.0)</f>
        <v>231789</v>
      </c>
      <c r="J1622" s="5">
        <f>IFERROR(__xludf.DUMMYFUNCTION("""COMPUTED_VALUE"""),43554.0)</f>
        <v>43554</v>
      </c>
      <c r="K1622">
        <f>IFERROR(__xludf.DUMMYFUNCTION("""COMPUTED_VALUE"""),10.0)</f>
        <v>10</v>
      </c>
      <c r="L1622">
        <f>IFERROR(__xludf.DUMMYFUNCTION("""COMPUTED_VALUE"""),3.0)</f>
        <v>3</v>
      </c>
      <c r="M1622">
        <f>IFERROR(__xludf.DUMMYFUNCTION("""COMPUTED_VALUE"""),13.0)</f>
        <v>13</v>
      </c>
      <c r="N1622" t="str">
        <f>IFERROR(__xludf.DUMMYFUNCTION("""COMPUTED_VALUE"""),"Model 3 Performance")</f>
        <v>Model 3 Performance</v>
      </c>
      <c r="O1622" t="str">
        <f>IFERROR(__xludf.DUMMYFUNCTION("""COMPUTED_VALUE"""),"Pearl White Multi-Coat")</f>
        <v>Pearl White Multi-Coat</v>
      </c>
      <c r="P1622" t="str">
        <f>IFERROR(__xludf.DUMMYFUNCTION("""COMPUTED_VALUE"""),"20 inch Sport")</f>
        <v>20 inch Sport</v>
      </c>
      <c r="Q1622" t="str">
        <f>IFERROR(__xludf.DUMMYFUNCTION("""COMPUTED_VALUE"""),"White seats")</f>
        <v>White seats</v>
      </c>
      <c r="R1622" t="str">
        <f>IFERROR(__xludf.DUMMYFUNCTION("""COMPUTED_VALUE"""),"Full Self-Driving")</f>
        <v>Full Self-Driving</v>
      </c>
      <c r="X1622" t="str">
        <f>IFERROR(__xludf.DUMMYFUNCTION("""COMPUTED_VALUE"""),"Very Good")</f>
        <v>Very Good</v>
      </c>
      <c r="Y1622" t="str">
        <f>IFERROR(__xludf.DUMMYFUNCTION("""COMPUTED_VALUE"""),"Very Good")</f>
        <v>Very Good</v>
      </c>
      <c r="Z1622" t="str">
        <f>IFERROR(__xludf.DUMMYFUNCTION("""COMPUTED_VALUE"""),"Very Good")</f>
        <v>Very Good</v>
      </c>
      <c r="AA1622" t="str">
        <f>IFERROR(__xludf.DUMMYFUNCTION("""COMPUTED_VALUE"""),"Good")</f>
        <v>Good</v>
      </c>
      <c r="AB1622" t="str">
        <f>IFERROR(__xludf.DUMMYFUNCTION("""COMPUTED_VALUE"""),"Very Good")</f>
        <v>Very Good</v>
      </c>
      <c r="AH1622" s="189">
        <f>IFERROR(__xludf.DUMMYFUNCTION("""COMPUTED_VALUE"""),43554.77776828704)</f>
        <v>43554.77777</v>
      </c>
    </row>
    <row r="1623">
      <c r="A1623" t="str">
        <f>IFERROR(__xludf.DUMMYFUNCTION("""COMPUTED_VALUE"""),"nicolasve")</f>
        <v>nicolasve</v>
      </c>
      <c r="B1623" t="str">
        <f>IFERROR(__xludf.DUMMYFUNCTION("""COMPUTED_VALUE"""),"Gent")</f>
        <v>Gent</v>
      </c>
      <c r="D1623" t="str">
        <f>IFERROR(__xludf.DUMMYFUNCTION("""COMPUTED_VALUE"""),"Belgium")</f>
        <v>Belgium</v>
      </c>
      <c r="E1623" s="188">
        <f>IFERROR(__xludf.DUMMYFUNCTION("""COMPUTED_VALUE"""),43538.0)</f>
        <v>43538</v>
      </c>
      <c r="H1623">
        <f>IFERROR(__xludf.DUMMYFUNCTION("""COMPUTED_VALUE"""),242055.0)</f>
        <v>242055</v>
      </c>
      <c r="J1623" s="5">
        <f>IFERROR(__xludf.DUMMYFUNCTION("""COMPUTED_VALUE"""),43554.0)</f>
        <v>43554</v>
      </c>
      <c r="M1623">
        <f>IFERROR(__xludf.DUMMYFUNCTION("""COMPUTED_VALUE"""),16.0)</f>
        <v>16</v>
      </c>
      <c r="N1623" t="str">
        <f>IFERROR(__xludf.DUMMYFUNCTION("""COMPUTED_VALUE"""),"Model 3 LR AWD")</f>
        <v>Model 3 LR AWD</v>
      </c>
      <c r="O1623" t="str">
        <f>IFERROR(__xludf.DUMMYFUNCTION("""COMPUTED_VALUE"""),"Midnight Silver Metallic")</f>
        <v>Midnight Silver Metallic</v>
      </c>
      <c r="P1623" t="str">
        <f>IFERROR(__xludf.DUMMYFUNCTION("""COMPUTED_VALUE"""),"19 inch Sport")</f>
        <v>19 inch Sport</v>
      </c>
      <c r="Q1623" t="str">
        <f>IFERROR(__xludf.DUMMYFUNCTION("""COMPUTED_VALUE"""),"Black seats")</f>
        <v>Black seats</v>
      </c>
      <c r="R1623" t="str">
        <f>IFERROR(__xludf.DUMMYFUNCTION("""COMPUTED_VALUE"""),"Full Self-Driving")</f>
        <v>Full Self-Driving</v>
      </c>
      <c r="X1623" t="str">
        <f>IFERROR(__xludf.DUMMYFUNCTION("""COMPUTED_VALUE"""),"Good")</f>
        <v>Good</v>
      </c>
      <c r="Y1623" t="str">
        <f>IFERROR(__xludf.DUMMYFUNCTION("""COMPUTED_VALUE"""),"Good")</f>
        <v>Good</v>
      </c>
      <c r="Z1623" t="str">
        <f>IFERROR(__xludf.DUMMYFUNCTION("""COMPUTED_VALUE"""),"Good")</f>
        <v>Good</v>
      </c>
      <c r="AA1623" t="str">
        <f>IFERROR(__xludf.DUMMYFUNCTION("""COMPUTED_VALUE"""),"Very Good")</f>
        <v>Very Good</v>
      </c>
      <c r="AB1623" t="str">
        <f>IFERROR(__xludf.DUMMYFUNCTION("""COMPUTED_VALUE"""),"Good")</f>
        <v>Good</v>
      </c>
      <c r="AC1623">
        <f>IFERROR(__xludf.DUMMYFUNCTION("""COMPUTED_VALUE"""),2.0)</f>
        <v>2</v>
      </c>
      <c r="AH1623" s="189">
        <f>IFERROR(__xludf.DUMMYFUNCTION("""COMPUTED_VALUE"""),43555.49748559028)</f>
        <v>43555.49749</v>
      </c>
    </row>
    <row r="1624">
      <c r="A1624" t="str">
        <f>IFERROR(__xludf.DUMMYFUNCTION("""COMPUTED_VALUE"""),"thefivetheory")</f>
        <v>thefivetheory</v>
      </c>
      <c r="B1624" t="str">
        <f>IFERROR(__xludf.DUMMYFUNCTION("""COMPUTED_VALUE"""),"Redding")</f>
        <v>Redding</v>
      </c>
      <c r="C1624" t="str">
        <f>IFERROR(__xludf.DUMMYFUNCTION("""COMPUTED_VALUE"""),"CA")</f>
        <v>CA</v>
      </c>
      <c r="D1624" t="str">
        <f>IFERROR(__xludf.DUMMYFUNCTION("""COMPUTED_VALUE"""),"USA")</f>
        <v>USA</v>
      </c>
      <c r="E1624" s="188">
        <f>IFERROR(__xludf.DUMMYFUNCTION("""COMPUTED_VALUE"""),43530.0)</f>
        <v>43530</v>
      </c>
      <c r="F1624" s="188">
        <f>IFERROR(__xludf.DUMMYFUNCTION("""COMPUTED_VALUE"""),43551.0)</f>
        <v>43551</v>
      </c>
      <c r="H1624">
        <f>IFERROR(__xludf.DUMMYFUNCTION("""COMPUTED_VALUE"""),231769.0)</f>
        <v>231769</v>
      </c>
      <c r="I1624" t="str">
        <f>IFERROR(__xludf.DUMMYFUNCTION("""COMPUTED_VALUE"""),"03/19")</f>
        <v>03/19</v>
      </c>
      <c r="J1624" s="5">
        <f>IFERROR(__xludf.DUMMYFUNCTION("""COMPUTED_VALUE"""),43555.0)</f>
        <v>43555</v>
      </c>
      <c r="K1624">
        <f>IFERROR(__xludf.DUMMYFUNCTION("""COMPUTED_VALUE"""),21.0)</f>
        <v>21</v>
      </c>
      <c r="L1624">
        <f>IFERROR(__xludf.DUMMYFUNCTION("""COMPUTED_VALUE"""),4.0)</f>
        <v>4</v>
      </c>
      <c r="M1624">
        <f>IFERROR(__xludf.DUMMYFUNCTION("""COMPUTED_VALUE"""),25.0)</f>
        <v>25</v>
      </c>
      <c r="N1624" t="str">
        <f>IFERROR(__xludf.DUMMYFUNCTION("""COMPUTED_VALUE"""),"Model 3 Performance")</f>
        <v>Model 3 Performance</v>
      </c>
      <c r="O1624" t="str">
        <f>IFERROR(__xludf.DUMMYFUNCTION("""COMPUTED_VALUE"""),"Pearl White Multi-Coat")</f>
        <v>Pearl White Multi-Coat</v>
      </c>
      <c r="P1624" t="str">
        <f>IFERROR(__xludf.DUMMYFUNCTION("""COMPUTED_VALUE"""),"20 inch Sport")</f>
        <v>20 inch Sport</v>
      </c>
      <c r="Q1624" t="str">
        <f>IFERROR(__xludf.DUMMYFUNCTION("""COMPUTED_VALUE"""),"White seats")</f>
        <v>White seats</v>
      </c>
      <c r="R1624" t="str">
        <f>IFERROR(__xludf.DUMMYFUNCTION("""COMPUTED_VALUE"""),"Full Self-Driving")</f>
        <v>Full Self-Driving</v>
      </c>
      <c r="X1624" t="str">
        <f>IFERROR(__xludf.DUMMYFUNCTION("""COMPUTED_VALUE"""),"Very Good")</f>
        <v>Very Good</v>
      </c>
      <c r="Y1624" t="str">
        <f>IFERROR(__xludf.DUMMYFUNCTION("""COMPUTED_VALUE"""),"Very Good")</f>
        <v>Very Good</v>
      </c>
      <c r="Z1624" t="str">
        <f>IFERROR(__xludf.DUMMYFUNCTION("""COMPUTED_VALUE"""),"Very Good")</f>
        <v>Very Good</v>
      </c>
      <c r="AA1624" t="str">
        <f>IFERROR(__xludf.DUMMYFUNCTION("""COMPUTED_VALUE"""),"Fair")</f>
        <v>Fair</v>
      </c>
      <c r="AB1624" t="str">
        <f>IFERROR(__xludf.DUMMYFUNCTION("""COMPUTED_VALUE"""),"Good")</f>
        <v>Good</v>
      </c>
      <c r="AG1624" t="str">
        <f>IFERROR(__xludf.DUMMYFUNCTION("""COMPUTED_VALUE"""),"!!!!!!11")</f>
        <v>!!!!!!11</v>
      </c>
      <c r="AH1624" s="189">
        <f>IFERROR(__xludf.DUMMYFUNCTION("""COMPUTED_VALUE"""),43555.865485902774)</f>
        <v>43555.86549</v>
      </c>
    </row>
    <row r="1625">
      <c r="A1625" t="str">
        <f>IFERROR(__xludf.DUMMYFUNCTION("""COMPUTED_VALUE"""),"dalajosa")</f>
        <v>dalajosa</v>
      </c>
      <c r="B1625" t="str">
        <f>IFERROR(__xludf.DUMMYFUNCTION("""COMPUTED_VALUE"""),"Austin")</f>
        <v>Austin</v>
      </c>
      <c r="C1625" t="str">
        <f>IFERROR(__xludf.DUMMYFUNCTION("""COMPUTED_VALUE"""),"TX")</f>
        <v>TX</v>
      </c>
      <c r="D1625" t="str">
        <f>IFERROR(__xludf.DUMMYFUNCTION("""COMPUTED_VALUE"""),"USA")</f>
        <v>USA</v>
      </c>
      <c r="E1625" s="188">
        <f>IFERROR(__xludf.DUMMYFUNCTION("""COMPUTED_VALUE"""),43542.0)</f>
        <v>43542</v>
      </c>
      <c r="F1625" s="188">
        <f>IFERROR(__xludf.DUMMYFUNCTION("""COMPUTED_VALUE"""),43550.0)</f>
        <v>43550</v>
      </c>
      <c r="H1625" s="4">
        <f>IFERROR(__xludf.DUMMYFUNCTION("""COMPUTED_VALUE"""),314985.0)</f>
        <v>314985</v>
      </c>
      <c r="J1625" s="5">
        <f>IFERROR(__xludf.DUMMYFUNCTION("""COMPUTED_VALUE"""),43555.0)</f>
        <v>43555</v>
      </c>
      <c r="K1625">
        <f>IFERROR(__xludf.DUMMYFUNCTION("""COMPUTED_VALUE"""),8.0)</f>
        <v>8</v>
      </c>
      <c r="L1625">
        <f>IFERROR(__xludf.DUMMYFUNCTION("""COMPUTED_VALUE"""),5.0)</f>
        <v>5</v>
      </c>
      <c r="M1625">
        <f>IFERROR(__xludf.DUMMYFUNCTION("""COMPUTED_VALUE"""),13.0)</f>
        <v>13</v>
      </c>
      <c r="N1625" t="str">
        <f>IFERROR(__xludf.DUMMYFUNCTION("""COMPUTED_VALUE"""),"Model 3 LR")</f>
        <v>Model 3 LR</v>
      </c>
      <c r="O1625" t="str">
        <f>IFERROR(__xludf.DUMMYFUNCTION("""COMPUTED_VALUE"""),"Solid Black")</f>
        <v>Solid Black</v>
      </c>
      <c r="P1625" t="str">
        <f>IFERROR(__xludf.DUMMYFUNCTION("""COMPUTED_VALUE"""),"19 inch Sport")</f>
        <v>19 inch Sport</v>
      </c>
      <c r="Q1625" t="str">
        <f>IFERROR(__xludf.DUMMYFUNCTION("""COMPUTED_VALUE"""),"White seats")</f>
        <v>White seats</v>
      </c>
      <c r="R1625" t="str">
        <f>IFERROR(__xludf.DUMMYFUNCTION("""COMPUTED_VALUE"""),"Autopilot")</f>
        <v>Autopilot</v>
      </c>
      <c r="X1625" t="str">
        <f>IFERROR(__xludf.DUMMYFUNCTION("""COMPUTED_VALUE"""),"Excellent")</f>
        <v>Excellent</v>
      </c>
      <c r="Y1625" t="str">
        <f>IFERROR(__xludf.DUMMYFUNCTION("""COMPUTED_VALUE"""),"Excellent")</f>
        <v>Excellent</v>
      </c>
      <c r="Z1625" t="str">
        <f>IFERROR(__xludf.DUMMYFUNCTION("""COMPUTED_VALUE"""),"Excellent")</f>
        <v>Excellent</v>
      </c>
      <c r="AA1625" t="str">
        <f>IFERROR(__xludf.DUMMYFUNCTION("""COMPUTED_VALUE"""),"Good")</f>
        <v>Good</v>
      </c>
      <c r="AB1625" t="str">
        <f>IFERROR(__xludf.DUMMYFUNCTION("""COMPUTED_VALUE"""),"Very Good")</f>
        <v>Very Good</v>
      </c>
      <c r="AH1625" s="189">
        <f>IFERROR(__xludf.DUMMYFUNCTION("""COMPUTED_VALUE"""),43556.27012077546)</f>
        <v>43556.27012</v>
      </c>
    </row>
    <row r="1626">
      <c r="A1626" t="str">
        <f>IFERROR(__xludf.DUMMYFUNCTION("""COMPUTED_VALUE"""),"mightycount")</f>
        <v>mightycount</v>
      </c>
      <c r="B1626" t="str">
        <f>IFERROR(__xludf.DUMMYFUNCTION("""COMPUTED_VALUE"""),"San Jose")</f>
        <v>San Jose</v>
      </c>
      <c r="C1626" t="str">
        <f>IFERROR(__xludf.DUMMYFUNCTION("""COMPUTED_VALUE"""),"CA")</f>
        <v>CA</v>
      </c>
      <c r="D1626" t="str">
        <f>IFERROR(__xludf.DUMMYFUNCTION("""COMPUTED_VALUE"""),"USA")</f>
        <v>USA</v>
      </c>
      <c r="E1626" s="188">
        <f>IFERROR(__xludf.DUMMYFUNCTION("""COMPUTED_VALUE"""),43524.0)</f>
        <v>43524</v>
      </c>
      <c r="F1626" s="188">
        <f>IFERROR(__xludf.DUMMYFUNCTION("""COMPUTED_VALUE"""),43552.0)</f>
        <v>43552</v>
      </c>
      <c r="H1626">
        <f>IFERROR(__xludf.DUMMYFUNCTION("""COMPUTED_VALUE"""),307355.0)</f>
        <v>307355</v>
      </c>
      <c r="J1626" s="5">
        <f>IFERROR(__xludf.DUMMYFUNCTION("""COMPUTED_VALUE"""),43555.0)</f>
        <v>43555</v>
      </c>
      <c r="K1626">
        <f>IFERROR(__xludf.DUMMYFUNCTION("""COMPUTED_VALUE"""),28.0)</f>
        <v>28</v>
      </c>
      <c r="L1626">
        <f>IFERROR(__xludf.DUMMYFUNCTION("""COMPUTED_VALUE"""),3.0)</f>
        <v>3</v>
      </c>
      <c r="M1626">
        <f>IFERROR(__xludf.DUMMYFUNCTION("""COMPUTED_VALUE"""),31.0)</f>
        <v>31</v>
      </c>
      <c r="N1626" t="str">
        <f>IFERROR(__xludf.DUMMYFUNCTION("""COMPUTED_VALUE"""),"Model 3 SR+")</f>
        <v>Model 3 SR+</v>
      </c>
      <c r="O1626" t="str">
        <f>IFERROR(__xludf.DUMMYFUNCTION("""COMPUTED_VALUE"""),"Midnight Silver Metallic")</f>
        <v>Midnight Silver Metallic</v>
      </c>
      <c r="P1626" t="str">
        <f>IFERROR(__xludf.DUMMYFUNCTION("""COMPUTED_VALUE"""),"18 inch Aero")</f>
        <v>18 inch Aero</v>
      </c>
      <c r="Q1626" t="str">
        <f>IFERROR(__xludf.DUMMYFUNCTION("""COMPUTED_VALUE"""),"Black seats")</f>
        <v>Black seats</v>
      </c>
      <c r="R1626" t="str">
        <f>IFERROR(__xludf.DUMMYFUNCTION("""COMPUTED_VALUE"""),"None")</f>
        <v>None</v>
      </c>
      <c r="X1626" t="str">
        <f>IFERROR(__xludf.DUMMYFUNCTION("""COMPUTED_VALUE"""),"Excellent")</f>
        <v>Excellent</v>
      </c>
      <c r="Y1626" t="str">
        <f>IFERROR(__xludf.DUMMYFUNCTION("""COMPUTED_VALUE"""),"Excellent")</f>
        <v>Excellent</v>
      </c>
      <c r="Z1626" t="str">
        <f>IFERROR(__xludf.DUMMYFUNCTION("""COMPUTED_VALUE"""),"Excellent")</f>
        <v>Excellent</v>
      </c>
      <c r="AA1626" t="str">
        <f>IFERROR(__xludf.DUMMYFUNCTION("""COMPUTED_VALUE"""),"Excellent")</f>
        <v>Excellent</v>
      </c>
      <c r="AB1626" t="str">
        <f>IFERROR(__xludf.DUMMYFUNCTION("""COMPUTED_VALUE"""),"Excellent")</f>
        <v>Excellent</v>
      </c>
      <c r="AG1626" t="str">
        <f>IFERROR(__xludf.DUMMYFUNCTION("""COMPUTED_VALUE"""),"Got a call from Tesla saying SR won't be delivered until June at the earliest. Offered to changed to SR+, which I did.. The aftertaste is not good..")</f>
        <v>Got a call from Tesla saying SR won't be delivered until June at the earliest. Offered to changed to SR+, which I did.. The aftertaste is not good..</v>
      </c>
      <c r="AH1626" s="189">
        <f>IFERROR(__xludf.DUMMYFUNCTION("""COMPUTED_VALUE"""),43556.385717557874)</f>
        <v>43556.38572</v>
      </c>
    </row>
    <row r="1627">
      <c r="A1627" t="str">
        <f>IFERROR(__xludf.DUMMYFUNCTION("""COMPUTED_VALUE"""),"miken")</f>
        <v>miken</v>
      </c>
      <c r="B1627" t="str">
        <f>IFERROR(__xludf.DUMMYFUNCTION("""COMPUTED_VALUE"""),"Ottawa")</f>
        <v>Ottawa</v>
      </c>
      <c r="C1627" t="str">
        <f>IFERROR(__xludf.DUMMYFUNCTION("""COMPUTED_VALUE"""),"ON")</f>
        <v>ON</v>
      </c>
      <c r="D1627" t="str">
        <f>IFERROR(__xludf.DUMMYFUNCTION("""COMPUTED_VALUE"""),"Canada")</f>
        <v>Canada</v>
      </c>
      <c r="E1627" s="188">
        <f>IFERROR(__xludf.DUMMYFUNCTION("""COMPUTED_VALUE"""),43542.0)</f>
        <v>43542</v>
      </c>
      <c r="F1627" s="188">
        <f>IFERROR(__xludf.DUMMYFUNCTION("""COMPUTED_VALUE"""),43549.0)</f>
        <v>43549</v>
      </c>
      <c r="H1627" s="4">
        <f>IFERROR(__xludf.DUMMYFUNCTION("""COMPUTED_VALUE"""),183927.0)</f>
        <v>183927</v>
      </c>
      <c r="J1627" s="5">
        <f>IFERROR(__xludf.DUMMYFUNCTION("""COMPUTED_VALUE"""),43554.0)</f>
        <v>43554</v>
      </c>
      <c r="K1627">
        <f>IFERROR(__xludf.DUMMYFUNCTION("""COMPUTED_VALUE"""),7.0)</f>
        <v>7</v>
      </c>
      <c r="L1627">
        <f>IFERROR(__xludf.DUMMYFUNCTION("""COMPUTED_VALUE"""),5.0)</f>
        <v>5</v>
      </c>
      <c r="M1627">
        <f>IFERROR(__xludf.DUMMYFUNCTION("""COMPUTED_VALUE"""),12.0)</f>
        <v>12</v>
      </c>
      <c r="N1627" t="str">
        <f>IFERROR(__xludf.DUMMYFUNCTION("""COMPUTED_VALUE"""),"Model 3 LR AWD")</f>
        <v>Model 3 LR AWD</v>
      </c>
      <c r="O1627" t="str">
        <f>IFERROR(__xludf.DUMMYFUNCTION("""COMPUTED_VALUE"""),"Midnight Silver Metallic")</f>
        <v>Midnight Silver Metallic</v>
      </c>
      <c r="P1627" t="str">
        <f>IFERROR(__xludf.DUMMYFUNCTION("""COMPUTED_VALUE"""),"18 inch Aero")</f>
        <v>18 inch Aero</v>
      </c>
      <c r="Q1627" t="str">
        <f>IFERROR(__xludf.DUMMYFUNCTION("""COMPUTED_VALUE"""),"White seats")</f>
        <v>White seats</v>
      </c>
      <c r="R1627" t="str">
        <f>IFERROR(__xludf.DUMMYFUNCTION("""COMPUTED_VALUE"""),"Autopilot")</f>
        <v>Autopilot</v>
      </c>
      <c r="X1627" t="str">
        <f>IFERROR(__xludf.DUMMYFUNCTION("""COMPUTED_VALUE"""),"Excellent")</f>
        <v>Excellent</v>
      </c>
      <c r="Y1627" t="str">
        <f>IFERROR(__xludf.DUMMYFUNCTION("""COMPUTED_VALUE"""),"Excellent")</f>
        <v>Excellent</v>
      </c>
      <c r="Z1627" t="str">
        <f>IFERROR(__xludf.DUMMYFUNCTION("""COMPUTED_VALUE"""),"Very Good")</f>
        <v>Very Good</v>
      </c>
      <c r="AA1627" t="str">
        <f>IFERROR(__xludf.DUMMYFUNCTION("""COMPUTED_VALUE"""),"Poor")</f>
        <v>Poor</v>
      </c>
      <c r="AB1627" t="str">
        <f>IFERROR(__xludf.DUMMYFUNCTION("""COMPUTED_VALUE"""),"Fair")</f>
        <v>Fair</v>
      </c>
      <c r="AC1627">
        <f>IFERROR(__xludf.DUMMYFUNCTION("""COMPUTED_VALUE"""),2.0)</f>
        <v>2</v>
      </c>
      <c r="AG1627" t="str">
        <f>IFERROR(__xludf.DUMMYFUNCTION("""COMPUTED_VALUE"""),"Pickup in Toronto, accepted 2018 VIN, $7200 discount.")</f>
        <v>Pickup in Toronto, accepted 2018 VIN, $7200 discount.</v>
      </c>
      <c r="AH1627" s="189">
        <f>IFERROR(__xludf.DUMMYFUNCTION("""COMPUTED_VALUE"""),43556.576887013885)</f>
        <v>43556.57689</v>
      </c>
    </row>
    <row r="1628">
      <c r="A1628" t="str">
        <f>IFERROR(__xludf.DUMMYFUNCTION("""COMPUTED_VALUE"""),"schnieds")</f>
        <v>schnieds</v>
      </c>
      <c r="B1628" t="str">
        <f>IFERROR(__xludf.DUMMYFUNCTION("""COMPUTED_VALUE"""),"Seattle")</f>
        <v>Seattle</v>
      </c>
      <c r="C1628" t="str">
        <f>IFERROR(__xludf.DUMMYFUNCTION("""COMPUTED_VALUE"""),"WA")</f>
        <v>WA</v>
      </c>
      <c r="D1628" t="str">
        <f>IFERROR(__xludf.DUMMYFUNCTION("""COMPUTED_VALUE"""),"USA")</f>
        <v>USA</v>
      </c>
      <c r="E1628" s="188">
        <f>IFERROR(__xludf.DUMMYFUNCTION("""COMPUTED_VALUE"""),43541.0)</f>
        <v>43541</v>
      </c>
      <c r="F1628" s="188">
        <f>IFERROR(__xludf.DUMMYFUNCTION("""COMPUTED_VALUE"""),43554.0)</f>
        <v>43554</v>
      </c>
      <c r="H1628">
        <f>IFERROR(__xludf.DUMMYFUNCTION("""COMPUTED_VALUE"""),231655.0)</f>
        <v>231655</v>
      </c>
      <c r="I1628" t="str">
        <f>IFERROR(__xludf.DUMMYFUNCTION("""COMPUTED_VALUE"""),"03/19")</f>
        <v>03/19</v>
      </c>
      <c r="J1628" s="5">
        <f>IFERROR(__xludf.DUMMYFUNCTION("""COMPUTED_VALUE"""),43554.0)</f>
        <v>43554</v>
      </c>
      <c r="K1628">
        <f>IFERROR(__xludf.DUMMYFUNCTION("""COMPUTED_VALUE"""),13.0)</f>
        <v>13</v>
      </c>
      <c r="L1628">
        <f>IFERROR(__xludf.DUMMYFUNCTION("""COMPUTED_VALUE"""),0.0)</f>
        <v>0</v>
      </c>
      <c r="M1628">
        <f>IFERROR(__xludf.DUMMYFUNCTION("""COMPUTED_VALUE"""),13.0)</f>
        <v>13</v>
      </c>
      <c r="N1628" t="str">
        <f>IFERROR(__xludf.DUMMYFUNCTION("""COMPUTED_VALUE"""),"Model 3 Performance")</f>
        <v>Model 3 Performance</v>
      </c>
      <c r="O1628" t="str">
        <f>IFERROR(__xludf.DUMMYFUNCTION("""COMPUTED_VALUE"""),"Pearl White Multi-Coat")</f>
        <v>Pearl White Multi-Coat</v>
      </c>
      <c r="P1628" t="str">
        <f>IFERROR(__xludf.DUMMYFUNCTION("""COMPUTED_VALUE"""),"20 inch Sport")</f>
        <v>20 inch Sport</v>
      </c>
      <c r="Q1628" t="str">
        <f>IFERROR(__xludf.DUMMYFUNCTION("""COMPUTED_VALUE"""),"White seats")</f>
        <v>White seats</v>
      </c>
      <c r="R1628" t="str">
        <f>IFERROR(__xludf.DUMMYFUNCTION("""COMPUTED_VALUE"""),"Full Self-Driving")</f>
        <v>Full Self-Driving</v>
      </c>
      <c r="X1628" t="str">
        <f>IFERROR(__xludf.DUMMYFUNCTION("""COMPUTED_VALUE"""),"Excellent")</f>
        <v>Excellent</v>
      </c>
      <c r="Y1628" t="str">
        <f>IFERROR(__xludf.DUMMYFUNCTION("""COMPUTED_VALUE"""),"Excellent")</f>
        <v>Excellent</v>
      </c>
      <c r="Z1628" t="str">
        <f>IFERROR(__xludf.DUMMYFUNCTION("""COMPUTED_VALUE"""),"Excellent")</f>
        <v>Excellent</v>
      </c>
      <c r="AA1628" t="str">
        <f>IFERROR(__xludf.DUMMYFUNCTION("""COMPUTED_VALUE"""),"Fair")</f>
        <v>Fair</v>
      </c>
      <c r="AB1628" t="str">
        <f>IFERROR(__xludf.DUMMYFUNCTION("""COMPUTED_VALUE"""),"Fair")</f>
        <v>Fair</v>
      </c>
      <c r="AH1628" s="189">
        <f>IFERROR(__xludf.DUMMYFUNCTION("""COMPUTED_VALUE"""),43556.82724881945)</f>
        <v>43556.82725</v>
      </c>
    </row>
    <row r="1629">
      <c r="A1629" t="str">
        <f>IFERROR(__xludf.DUMMYFUNCTION("""COMPUTED_VALUE"""),"Haegar2004")</f>
        <v>Haegar2004</v>
      </c>
      <c r="B1629" t="str">
        <f>IFERROR(__xludf.DUMMYFUNCTION("""COMPUTED_VALUE"""),"Ratingen")</f>
        <v>Ratingen</v>
      </c>
      <c r="D1629" t="str">
        <f>IFERROR(__xludf.DUMMYFUNCTION("""COMPUTED_VALUE"""),"Germany")</f>
        <v>Germany</v>
      </c>
      <c r="E1629" s="188">
        <f>IFERROR(__xludf.DUMMYFUNCTION("""COMPUTED_VALUE"""),43483.0)</f>
        <v>43483</v>
      </c>
      <c r="F1629" s="188">
        <f>IFERROR(__xludf.DUMMYFUNCTION("""COMPUTED_VALUE"""),43539.0)</f>
        <v>43539</v>
      </c>
      <c r="H1629">
        <f>IFERROR(__xludf.DUMMYFUNCTION("""COMPUTED_VALUE"""),206825.0)</f>
        <v>206825</v>
      </c>
      <c r="J1629" s="5">
        <f>IFERROR(__xludf.DUMMYFUNCTION("""COMPUTED_VALUE"""),43553.0)</f>
        <v>43553</v>
      </c>
      <c r="K1629">
        <f>IFERROR(__xludf.DUMMYFUNCTION("""COMPUTED_VALUE"""),56.0)</f>
        <v>56</v>
      </c>
      <c r="L1629">
        <f>IFERROR(__xludf.DUMMYFUNCTION("""COMPUTED_VALUE"""),14.0)</f>
        <v>14</v>
      </c>
      <c r="M1629">
        <f>IFERROR(__xludf.DUMMYFUNCTION("""COMPUTED_VALUE"""),70.0)</f>
        <v>70</v>
      </c>
      <c r="N1629" t="str">
        <f>IFERROR(__xludf.DUMMYFUNCTION("""COMPUTED_VALUE"""),"Model 3 LR AWD")</f>
        <v>Model 3 LR AWD</v>
      </c>
      <c r="O1629" t="str">
        <f>IFERROR(__xludf.DUMMYFUNCTION("""COMPUTED_VALUE"""),"Midnight Silver Metallic")</f>
        <v>Midnight Silver Metallic</v>
      </c>
      <c r="P1629" t="str">
        <f>IFERROR(__xludf.DUMMYFUNCTION("""COMPUTED_VALUE"""),"19 inch Sport")</f>
        <v>19 inch Sport</v>
      </c>
      <c r="Q1629" t="str">
        <f>IFERROR(__xludf.DUMMYFUNCTION("""COMPUTED_VALUE"""),"White seats")</f>
        <v>White seats</v>
      </c>
      <c r="R1629" t="str">
        <f>IFERROR(__xludf.DUMMYFUNCTION("""COMPUTED_VALUE"""),"Full Self-Driving")</f>
        <v>Full Self-Driving</v>
      </c>
      <c r="X1629" t="str">
        <f>IFERROR(__xludf.DUMMYFUNCTION("""COMPUTED_VALUE"""),"Very Good")</f>
        <v>Very Good</v>
      </c>
      <c r="Y1629" t="str">
        <f>IFERROR(__xludf.DUMMYFUNCTION("""COMPUTED_VALUE"""),"Fair")</f>
        <v>Fair</v>
      </c>
      <c r="Z1629" t="str">
        <f>IFERROR(__xludf.DUMMYFUNCTION("""COMPUTED_VALUE"""),"Very Good")</f>
        <v>Very Good</v>
      </c>
      <c r="AA1629" t="str">
        <f>IFERROR(__xludf.DUMMYFUNCTION("""COMPUTED_VALUE"""),"Good")</f>
        <v>Good</v>
      </c>
      <c r="AB1629" t="str">
        <f>IFERROR(__xludf.DUMMYFUNCTION("""COMPUTED_VALUE"""),"Very Good")</f>
        <v>Very Good</v>
      </c>
      <c r="AC1629">
        <f>IFERROR(__xludf.DUMMYFUNCTION("""COMPUTED_VALUE"""),2.0)</f>
        <v>2</v>
      </c>
      <c r="AH1629" s="189">
        <f>IFERROR(__xludf.DUMMYFUNCTION("""COMPUTED_VALUE"""),43557.35190519676)</f>
        <v>43557.35191</v>
      </c>
    </row>
    <row r="1630">
      <c r="A1630" t="str">
        <f>IFERROR(__xludf.DUMMYFUNCTION("""COMPUTED_VALUE"""),"rmitra")</f>
        <v>rmitra</v>
      </c>
      <c r="B1630" t="str">
        <f>IFERROR(__xludf.DUMMYFUNCTION("""COMPUTED_VALUE"""),"Holliston")</f>
        <v>Holliston</v>
      </c>
      <c r="C1630" t="str">
        <f>IFERROR(__xludf.DUMMYFUNCTION("""COMPUTED_VALUE"""),"MA")</f>
        <v>MA</v>
      </c>
      <c r="D1630" t="str">
        <f>IFERROR(__xludf.DUMMYFUNCTION("""COMPUTED_VALUE"""),"USA")</f>
        <v>USA</v>
      </c>
      <c r="E1630" s="188">
        <f>IFERROR(__xludf.DUMMYFUNCTION("""COMPUTED_VALUE"""),43540.0)</f>
        <v>43540</v>
      </c>
      <c r="F1630" s="188">
        <f>IFERROR(__xludf.DUMMYFUNCTION("""COMPUTED_VALUE"""),43547.0)</f>
        <v>43547</v>
      </c>
      <c r="H1630">
        <f>IFERROR(__xludf.DUMMYFUNCTION("""COMPUTED_VALUE"""),301955.0)</f>
        <v>301955</v>
      </c>
      <c r="I1630" t="str">
        <f>IFERROR(__xludf.DUMMYFUNCTION("""COMPUTED_VALUE"""),"03/19")</f>
        <v>03/19</v>
      </c>
      <c r="J1630" s="5">
        <f>IFERROR(__xludf.DUMMYFUNCTION("""COMPUTED_VALUE"""),43554.0)</f>
        <v>43554</v>
      </c>
      <c r="K1630">
        <f>IFERROR(__xludf.DUMMYFUNCTION("""COMPUTED_VALUE"""),7.0)</f>
        <v>7</v>
      </c>
      <c r="L1630">
        <f>IFERROR(__xludf.DUMMYFUNCTION("""COMPUTED_VALUE"""),7.0)</f>
        <v>7</v>
      </c>
      <c r="M1630">
        <f>IFERROR(__xludf.DUMMYFUNCTION("""COMPUTED_VALUE"""),14.0)</f>
        <v>14</v>
      </c>
      <c r="N1630" t="str">
        <f>IFERROR(__xludf.DUMMYFUNCTION("""COMPUTED_VALUE"""),"Model 3 SR+")</f>
        <v>Model 3 SR+</v>
      </c>
      <c r="O1630" t="str">
        <f>IFERROR(__xludf.DUMMYFUNCTION("""COMPUTED_VALUE"""),"Deep Blue Metallic")</f>
        <v>Deep Blue Metallic</v>
      </c>
      <c r="P1630" t="str">
        <f>IFERROR(__xludf.DUMMYFUNCTION("""COMPUTED_VALUE"""),"18 inch Aero")</f>
        <v>18 inch Aero</v>
      </c>
      <c r="Q1630" t="str">
        <f>IFERROR(__xludf.DUMMYFUNCTION("""COMPUTED_VALUE"""),"White seats")</f>
        <v>White seats</v>
      </c>
      <c r="R1630" t="str">
        <f>IFERROR(__xludf.DUMMYFUNCTION("""COMPUTED_VALUE"""),"Autopilot")</f>
        <v>Autopilot</v>
      </c>
      <c r="X1630" t="str">
        <f>IFERROR(__xludf.DUMMYFUNCTION("""COMPUTED_VALUE"""),"Very Good")</f>
        <v>Very Good</v>
      </c>
      <c r="Y1630" t="str">
        <f>IFERROR(__xludf.DUMMYFUNCTION("""COMPUTED_VALUE"""),"Excellent")</f>
        <v>Excellent</v>
      </c>
      <c r="Z1630" t="str">
        <f>IFERROR(__xludf.DUMMYFUNCTION("""COMPUTED_VALUE"""),"Very Good")</f>
        <v>Very Good</v>
      </c>
      <c r="AA1630" t="str">
        <f>IFERROR(__xludf.DUMMYFUNCTION("""COMPUTED_VALUE"""),"Poor")</f>
        <v>Poor</v>
      </c>
      <c r="AB1630" t="str">
        <f>IFERROR(__xludf.DUMMYFUNCTION("""COMPUTED_VALUE"""),"Good")</f>
        <v>Good</v>
      </c>
      <c r="AH1630" s="189">
        <f>IFERROR(__xludf.DUMMYFUNCTION("""COMPUTED_VALUE"""),43557.47416670139)</f>
        <v>43557.47417</v>
      </c>
    </row>
    <row r="1631">
      <c r="A1631" t="str">
        <f>IFERROR(__xludf.DUMMYFUNCTION("""COMPUTED_VALUE"""),"dsundaram")</f>
        <v>dsundaram</v>
      </c>
      <c r="B1631" t="str">
        <f>IFERROR(__xludf.DUMMYFUNCTION("""COMPUTED_VALUE"""),"San Ramon")</f>
        <v>San Ramon</v>
      </c>
      <c r="C1631" t="str">
        <f>IFERROR(__xludf.DUMMYFUNCTION("""COMPUTED_VALUE"""),"CA")</f>
        <v>CA</v>
      </c>
      <c r="D1631" t="str">
        <f>IFERROR(__xludf.DUMMYFUNCTION("""COMPUTED_VALUE"""),"USA")</f>
        <v>USA</v>
      </c>
      <c r="E1631" s="188">
        <f>IFERROR(__xludf.DUMMYFUNCTION("""COMPUTED_VALUE"""),43225.0)</f>
        <v>43225</v>
      </c>
      <c r="F1631" s="188">
        <f>IFERROR(__xludf.DUMMYFUNCTION("""COMPUTED_VALUE"""),43280.0)</f>
        <v>43280</v>
      </c>
      <c r="H1631">
        <f>IFERROR(__xludf.DUMMYFUNCTION("""COMPUTED_VALUE"""),38212.0)</f>
        <v>38212</v>
      </c>
      <c r="J1631" s="5">
        <f>IFERROR(__xludf.DUMMYFUNCTION("""COMPUTED_VALUE"""),43284.0)</f>
        <v>43284</v>
      </c>
      <c r="K1631">
        <f>IFERROR(__xludf.DUMMYFUNCTION("""COMPUTED_VALUE"""),55.0)</f>
        <v>55</v>
      </c>
      <c r="L1631">
        <f>IFERROR(__xludf.DUMMYFUNCTION("""COMPUTED_VALUE"""),4.0)</f>
        <v>4</v>
      </c>
      <c r="M1631">
        <f>IFERROR(__xludf.DUMMYFUNCTION("""COMPUTED_VALUE"""),59.0)</f>
        <v>59</v>
      </c>
      <c r="N1631" t="str">
        <f>IFERROR(__xludf.DUMMYFUNCTION("""COMPUTED_VALUE"""),"Model 3 LR")</f>
        <v>Model 3 LR</v>
      </c>
      <c r="O1631" t="str">
        <f>IFERROR(__xludf.DUMMYFUNCTION("""COMPUTED_VALUE"""),"Deep Blue Metallic")</f>
        <v>Deep Blue Metallic</v>
      </c>
      <c r="P1631" t="str">
        <f>IFERROR(__xludf.DUMMYFUNCTION("""COMPUTED_VALUE"""),"19 inch Sport")</f>
        <v>19 inch Sport</v>
      </c>
      <c r="Q1631" t="str">
        <f>IFERROR(__xludf.DUMMYFUNCTION("""COMPUTED_VALUE"""),"Black seats")</f>
        <v>Black seats</v>
      </c>
      <c r="R1631" t="str">
        <f>IFERROR(__xludf.DUMMYFUNCTION("""COMPUTED_VALUE"""),"Full Self-Driving")</f>
        <v>Full Self-Driving</v>
      </c>
      <c r="X1631" t="str">
        <f>IFERROR(__xludf.DUMMYFUNCTION("""COMPUTED_VALUE"""),"Excellent")</f>
        <v>Excellent</v>
      </c>
      <c r="Y1631" t="str">
        <f>IFERROR(__xludf.DUMMYFUNCTION("""COMPUTED_VALUE"""),"Excellent")</f>
        <v>Excellent</v>
      </c>
      <c r="Z1631" t="str">
        <f>IFERROR(__xludf.DUMMYFUNCTION("""COMPUTED_VALUE"""),"Excellent")</f>
        <v>Excellent</v>
      </c>
      <c r="AA1631" t="str">
        <f>IFERROR(__xludf.DUMMYFUNCTION("""COMPUTED_VALUE"""),"Fair")</f>
        <v>Fair</v>
      </c>
      <c r="AB1631" t="str">
        <f>IFERROR(__xludf.DUMMYFUNCTION("""COMPUTED_VALUE"""),"Excellent")</f>
        <v>Excellent</v>
      </c>
      <c r="AC1631">
        <f>IFERROR(__xludf.DUMMYFUNCTION("""COMPUTED_VALUE"""),0.0)</f>
        <v>0</v>
      </c>
      <c r="AD1631">
        <f>IFERROR(__xludf.DUMMYFUNCTION("""COMPUTED_VALUE"""),0.0)</f>
        <v>0</v>
      </c>
      <c r="AE1631">
        <f>IFERROR(__xludf.DUMMYFUNCTION("""COMPUTED_VALUE"""),0.0)</f>
        <v>0</v>
      </c>
      <c r="AH1631" s="189">
        <f>IFERROR(__xludf.DUMMYFUNCTION("""COMPUTED_VALUE"""),43558.57497341435)</f>
        <v>43558.57497</v>
      </c>
    </row>
    <row r="1632">
      <c r="A1632" t="str">
        <f>IFERROR(__xludf.DUMMYFUNCTION("""COMPUTED_VALUE"""),"GuyFromGulfport")</f>
        <v>GuyFromGulfport</v>
      </c>
      <c r="B1632" t="str">
        <f>IFERROR(__xludf.DUMMYFUNCTION("""COMPUTED_VALUE"""),"Gulfport")</f>
        <v>Gulfport</v>
      </c>
      <c r="C1632" t="str">
        <f>IFERROR(__xludf.DUMMYFUNCTION("""COMPUTED_VALUE"""),"MS")</f>
        <v>MS</v>
      </c>
      <c r="D1632" t="str">
        <f>IFERROR(__xludf.DUMMYFUNCTION("""COMPUTED_VALUE"""),"USA")</f>
        <v>USA</v>
      </c>
      <c r="E1632" s="188">
        <f>IFERROR(__xludf.DUMMYFUNCTION("""COMPUTED_VALUE"""),43538.0)</f>
        <v>43538</v>
      </c>
      <c r="F1632" s="188">
        <f>IFERROR(__xludf.DUMMYFUNCTION("""COMPUTED_VALUE"""),43540.0)</f>
        <v>43540</v>
      </c>
      <c r="H1632">
        <f>IFERROR(__xludf.DUMMYFUNCTION("""COMPUTED_VALUE"""),296355.0)</f>
        <v>296355</v>
      </c>
      <c r="I1632" t="str">
        <f>IFERROR(__xludf.DUMMYFUNCTION("""COMPUTED_VALUE"""),"03/19")</f>
        <v>03/19</v>
      </c>
      <c r="J1632" s="5">
        <f>IFERROR(__xludf.DUMMYFUNCTION("""COMPUTED_VALUE"""),43553.0)</f>
        <v>43553</v>
      </c>
      <c r="K1632">
        <f>IFERROR(__xludf.DUMMYFUNCTION("""COMPUTED_VALUE"""),2.0)</f>
        <v>2</v>
      </c>
      <c r="L1632">
        <f>IFERROR(__xludf.DUMMYFUNCTION("""COMPUTED_VALUE"""),13.0)</f>
        <v>13</v>
      </c>
      <c r="M1632">
        <f>IFERROR(__xludf.DUMMYFUNCTION("""COMPUTED_VALUE"""),15.0)</f>
        <v>15</v>
      </c>
      <c r="N1632" t="str">
        <f>IFERROR(__xludf.DUMMYFUNCTION("""COMPUTED_VALUE"""),"Model 3 SR+")</f>
        <v>Model 3 SR+</v>
      </c>
      <c r="O1632" t="str">
        <f>IFERROR(__xludf.DUMMYFUNCTION("""COMPUTED_VALUE"""),"Solid Black")</f>
        <v>Solid Black</v>
      </c>
      <c r="P1632" t="str">
        <f>IFERROR(__xludf.DUMMYFUNCTION("""COMPUTED_VALUE"""),"18 inch Aero")</f>
        <v>18 inch Aero</v>
      </c>
      <c r="Q1632" t="str">
        <f>IFERROR(__xludf.DUMMYFUNCTION("""COMPUTED_VALUE"""),"Black seats")</f>
        <v>Black seats</v>
      </c>
      <c r="R1632" t="str">
        <f>IFERROR(__xludf.DUMMYFUNCTION("""COMPUTED_VALUE"""),"None")</f>
        <v>None</v>
      </c>
      <c r="X1632" t="str">
        <f>IFERROR(__xludf.DUMMYFUNCTION("""COMPUTED_VALUE"""),"Excellent")</f>
        <v>Excellent</v>
      </c>
      <c r="Y1632" t="str">
        <f>IFERROR(__xludf.DUMMYFUNCTION("""COMPUTED_VALUE"""),"Excellent")</f>
        <v>Excellent</v>
      </c>
      <c r="Z1632" t="str">
        <f>IFERROR(__xludf.DUMMYFUNCTION("""COMPUTED_VALUE"""),"Excellent")</f>
        <v>Excellent</v>
      </c>
      <c r="AA1632" t="str">
        <f>IFERROR(__xludf.DUMMYFUNCTION("""COMPUTED_VALUE"""),"Poor")</f>
        <v>Poor</v>
      </c>
      <c r="AB1632" t="str">
        <f>IFERROR(__xludf.DUMMYFUNCTION("""COMPUTED_VALUE"""),"Very Good")</f>
        <v>Very Good</v>
      </c>
      <c r="AH1632" s="189">
        <f>IFERROR(__xludf.DUMMYFUNCTION("""COMPUTED_VALUE"""),43558.90702640046)</f>
        <v>43558.90703</v>
      </c>
    </row>
    <row r="1633">
      <c r="A1633" t="str">
        <f>IFERROR(__xludf.DUMMYFUNCTION("""COMPUTED_VALUE"""),"JakobDK")</f>
        <v>JakobDK</v>
      </c>
      <c r="B1633" t="str">
        <f>IFERROR(__xludf.DUMMYFUNCTION("""COMPUTED_VALUE"""),"Copenhagen, Denmark")</f>
        <v>Copenhagen, Denmark</v>
      </c>
      <c r="D1633" t="str">
        <f>IFERROR(__xludf.DUMMYFUNCTION("""COMPUTED_VALUE"""),"Other (include country together with city)")</f>
        <v>Other (include country together with city)</v>
      </c>
      <c r="E1633" s="188">
        <f>IFERROR(__xludf.DUMMYFUNCTION("""COMPUTED_VALUE"""),43486.0)</f>
        <v>43486</v>
      </c>
      <c r="F1633" s="188">
        <f>IFERROR(__xludf.DUMMYFUNCTION("""COMPUTED_VALUE"""),43539.0)</f>
        <v>43539</v>
      </c>
      <c r="H1633">
        <f>IFERROR(__xludf.DUMMYFUNCTION("""COMPUTED_VALUE"""),225225.0)</f>
        <v>225225</v>
      </c>
      <c r="J1633" s="5">
        <f>IFERROR(__xludf.DUMMYFUNCTION("""COMPUTED_VALUE"""),43559.0)</f>
        <v>43559</v>
      </c>
      <c r="K1633">
        <f>IFERROR(__xludf.DUMMYFUNCTION("""COMPUTED_VALUE"""),53.0)</f>
        <v>53</v>
      </c>
      <c r="L1633">
        <f>IFERROR(__xludf.DUMMYFUNCTION("""COMPUTED_VALUE"""),20.0)</f>
        <v>20</v>
      </c>
      <c r="M1633">
        <f>IFERROR(__xludf.DUMMYFUNCTION("""COMPUTED_VALUE"""),73.0)</f>
        <v>73</v>
      </c>
      <c r="N1633" t="str">
        <f>IFERROR(__xludf.DUMMYFUNCTION("""COMPUTED_VALUE"""),"Model 3 LR AWD")</f>
        <v>Model 3 LR AWD</v>
      </c>
      <c r="O1633" t="str">
        <f>IFERROR(__xludf.DUMMYFUNCTION("""COMPUTED_VALUE"""),"Deep Blue Metallic")</f>
        <v>Deep Blue Metallic</v>
      </c>
      <c r="P1633" t="str">
        <f>IFERROR(__xludf.DUMMYFUNCTION("""COMPUTED_VALUE"""),"18 inch Aero")</f>
        <v>18 inch Aero</v>
      </c>
      <c r="Q1633" t="str">
        <f>IFERROR(__xludf.DUMMYFUNCTION("""COMPUTED_VALUE"""),"Black seats")</f>
        <v>Black seats</v>
      </c>
      <c r="R1633" t="str">
        <f>IFERROR(__xludf.DUMMYFUNCTION("""COMPUTED_VALUE"""),"Autopilot")</f>
        <v>Autopilot</v>
      </c>
      <c r="X1633" t="str">
        <f>IFERROR(__xludf.DUMMYFUNCTION("""COMPUTED_VALUE"""),"Excellent")</f>
        <v>Excellent</v>
      </c>
      <c r="Y1633" t="str">
        <f>IFERROR(__xludf.DUMMYFUNCTION("""COMPUTED_VALUE"""),"Excellent")</f>
        <v>Excellent</v>
      </c>
      <c r="Z1633" t="str">
        <f>IFERROR(__xludf.DUMMYFUNCTION("""COMPUTED_VALUE"""),"Very Good")</f>
        <v>Very Good</v>
      </c>
      <c r="AA1633" t="str">
        <f>IFERROR(__xludf.DUMMYFUNCTION("""COMPUTED_VALUE"""),"Fair")</f>
        <v>Fair</v>
      </c>
      <c r="AB1633" t="str">
        <f>IFERROR(__xludf.DUMMYFUNCTION("""COMPUTED_VALUE"""),"Excellent")</f>
        <v>Excellent</v>
      </c>
      <c r="AC1633">
        <f>IFERROR(__xludf.DUMMYFUNCTION("""COMPUTED_VALUE"""),1.0)</f>
        <v>1</v>
      </c>
      <c r="AH1633" s="189">
        <f>IFERROR(__xludf.DUMMYFUNCTION("""COMPUTED_VALUE"""),43559.44178907407)</f>
        <v>43559.44179</v>
      </c>
    </row>
    <row r="1634">
      <c r="A1634" t="str">
        <f>IFERROR(__xludf.DUMMYFUNCTION("""COMPUTED_VALUE"""),"Dr. ElectroChem")</f>
        <v>Dr. ElectroChem</v>
      </c>
      <c r="B1634" t="str">
        <f>IFERROR(__xludf.DUMMYFUNCTION("""COMPUTED_VALUE"""),"Saskatoon ")</f>
        <v>Saskatoon </v>
      </c>
      <c r="C1634" t="str">
        <f>IFERROR(__xludf.DUMMYFUNCTION("""COMPUTED_VALUE"""),"SK")</f>
        <v>SK</v>
      </c>
      <c r="D1634" t="str">
        <f>IFERROR(__xludf.DUMMYFUNCTION("""COMPUTED_VALUE"""),"Canada")</f>
        <v>Canada</v>
      </c>
      <c r="E1634" s="188">
        <f>IFERROR(__xludf.DUMMYFUNCTION("""COMPUTED_VALUE"""),43537.0)</f>
        <v>43537</v>
      </c>
      <c r="F1634" s="188">
        <f>IFERROR(__xludf.DUMMYFUNCTION("""COMPUTED_VALUE"""),43546.0)</f>
        <v>43546</v>
      </c>
      <c r="H1634">
        <f>IFERROR(__xludf.DUMMYFUNCTION("""COMPUTED_VALUE"""),143555.0)</f>
        <v>143555</v>
      </c>
      <c r="I1634" t="str">
        <f>IFERROR(__xludf.DUMMYFUNCTION("""COMPUTED_VALUE"""),"12/18")</f>
        <v>12/18</v>
      </c>
      <c r="J1634" s="5">
        <f>IFERROR(__xludf.DUMMYFUNCTION("""COMPUTED_VALUE"""),43555.0)</f>
        <v>43555</v>
      </c>
      <c r="K1634">
        <f>IFERROR(__xludf.DUMMYFUNCTION("""COMPUTED_VALUE"""),9.0)</f>
        <v>9</v>
      </c>
      <c r="L1634">
        <f>IFERROR(__xludf.DUMMYFUNCTION("""COMPUTED_VALUE"""),9.0)</f>
        <v>9</v>
      </c>
      <c r="M1634">
        <f>IFERROR(__xludf.DUMMYFUNCTION("""COMPUTED_VALUE"""),18.0)</f>
        <v>18</v>
      </c>
      <c r="N1634" t="str">
        <f>IFERROR(__xludf.DUMMYFUNCTION("""COMPUTED_VALUE"""),"Model 3 LR AWD")</f>
        <v>Model 3 LR AWD</v>
      </c>
      <c r="O1634" t="str">
        <f>IFERROR(__xludf.DUMMYFUNCTION("""COMPUTED_VALUE"""),"Solid Black")</f>
        <v>Solid Black</v>
      </c>
      <c r="P1634" t="str">
        <f>IFERROR(__xludf.DUMMYFUNCTION("""COMPUTED_VALUE"""),"18 inch Aero")</f>
        <v>18 inch Aero</v>
      </c>
      <c r="Q1634" t="str">
        <f>IFERROR(__xludf.DUMMYFUNCTION("""COMPUTED_VALUE"""),"Black seats")</f>
        <v>Black seats</v>
      </c>
      <c r="R1634" t="str">
        <f>IFERROR(__xludf.DUMMYFUNCTION("""COMPUTED_VALUE"""),"Full Self-Driving")</f>
        <v>Full Self-Driving</v>
      </c>
      <c r="X1634" t="str">
        <f>IFERROR(__xludf.DUMMYFUNCTION("""COMPUTED_VALUE"""),"Excellent")</f>
        <v>Excellent</v>
      </c>
      <c r="Y1634" t="str">
        <f>IFERROR(__xludf.DUMMYFUNCTION("""COMPUTED_VALUE"""),"Excellent")</f>
        <v>Excellent</v>
      </c>
      <c r="Z1634" t="str">
        <f>IFERROR(__xludf.DUMMYFUNCTION("""COMPUTED_VALUE"""),"Excellent")</f>
        <v>Excellent</v>
      </c>
      <c r="AA1634" t="str">
        <f>IFERROR(__xludf.DUMMYFUNCTION("""COMPUTED_VALUE"""),"Good")</f>
        <v>Good</v>
      </c>
      <c r="AB1634" t="str">
        <f>IFERROR(__xludf.DUMMYFUNCTION("""COMPUTED_VALUE"""),"Excellent")</f>
        <v>Excellent</v>
      </c>
      <c r="AC1634">
        <f>IFERROR(__xludf.DUMMYFUNCTION("""COMPUTED_VALUE"""),1.0)</f>
        <v>1</v>
      </c>
      <c r="AD1634">
        <f>IFERROR(__xludf.DUMMYFUNCTION("""COMPUTED_VALUE"""),0.0)</f>
        <v>0</v>
      </c>
      <c r="AE1634">
        <f>IFERROR(__xludf.DUMMYFUNCTION("""COMPUTED_VALUE"""),0.0)</f>
        <v>0</v>
      </c>
      <c r="AH1634" s="189">
        <f>IFERROR(__xludf.DUMMYFUNCTION("""COMPUTED_VALUE"""),43559.52219894676)</f>
        <v>43559.5222</v>
      </c>
    </row>
    <row r="1635">
      <c r="A1635" t="str">
        <f>IFERROR(__xludf.DUMMYFUNCTION("""COMPUTED_VALUE"""),"Tz00")</f>
        <v>Tz00</v>
      </c>
      <c r="C1635" t="str">
        <f>IFERROR(__xludf.DUMMYFUNCTION("""COMPUTED_VALUE"""),"NB")</f>
        <v>NB</v>
      </c>
      <c r="D1635" t="str">
        <f>IFERROR(__xludf.DUMMYFUNCTION("""COMPUTED_VALUE"""),"Canada")</f>
        <v>Canada</v>
      </c>
      <c r="E1635" s="188">
        <f>IFERROR(__xludf.DUMMYFUNCTION("""COMPUTED_VALUE"""),43524.0)</f>
        <v>43524</v>
      </c>
      <c r="F1635" s="188">
        <f>IFERROR(__xludf.DUMMYFUNCTION("""COMPUTED_VALUE"""),43546.0)</f>
        <v>43546</v>
      </c>
      <c r="H1635">
        <f>IFERROR(__xludf.DUMMYFUNCTION("""COMPUTED_VALUE"""),199355.0)</f>
        <v>199355</v>
      </c>
      <c r="I1635" t="str">
        <f>IFERROR(__xludf.DUMMYFUNCTION("""COMPUTED_VALUE"""),"01/19")</f>
        <v>01/19</v>
      </c>
      <c r="J1635" s="5">
        <f>IFERROR(__xludf.DUMMYFUNCTION("""COMPUTED_VALUE"""),43558.0)</f>
        <v>43558</v>
      </c>
      <c r="K1635">
        <f>IFERROR(__xludf.DUMMYFUNCTION("""COMPUTED_VALUE"""),22.0)</f>
        <v>22</v>
      </c>
      <c r="L1635">
        <f>IFERROR(__xludf.DUMMYFUNCTION("""COMPUTED_VALUE"""),12.0)</f>
        <v>12</v>
      </c>
      <c r="M1635">
        <f>IFERROR(__xludf.DUMMYFUNCTION("""COMPUTED_VALUE"""),34.0)</f>
        <v>34</v>
      </c>
      <c r="N1635" t="str">
        <f>IFERROR(__xludf.DUMMYFUNCTION("""COMPUTED_VALUE"""),"Model 3 LR AWD")</f>
        <v>Model 3 LR AWD</v>
      </c>
      <c r="O1635" t="str">
        <f>IFERROR(__xludf.DUMMYFUNCTION("""COMPUTED_VALUE"""),"Deep Blue Metallic")</f>
        <v>Deep Blue Metallic</v>
      </c>
      <c r="P1635" t="str">
        <f>IFERROR(__xludf.DUMMYFUNCTION("""COMPUTED_VALUE"""),"18 inch Aero")</f>
        <v>18 inch Aero</v>
      </c>
      <c r="Q1635" t="str">
        <f>IFERROR(__xludf.DUMMYFUNCTION("""COMPUTED_VALUE"""),"Black seats")</f>
        <v>Black seats</v>
      </c>
      <c r="R1635" t="str">
        <f>IFERROR(__xludf.DUMMYFUNCTION("""COMPUTED_VALUE"""),"Full Self-Driving")</f>
        <v>Full Self-Driving</v>
      </c>
      <c r="X1635" t="str">
        <f>IFERROR(__xludf.DUMMYFUNCTION("""COMPUTED_VALUE"""),"Excellent")</f>
        <v>Excellent</v>
      </c>
      <c r="Y1635" t="str">
        <f>IFERROR(__xludf.DUMMYFUNCTION("""COMPUTED_VALUE"""),"Excellent")</f>
        <v>Excellent</v>
      </c>
      <c r="Z1635" t="str">
        <f>IFERROR(__xludf.DUMMYFUNCTION("""COMPUTED_VALUE"""),"Excellent")</f>
        <v>Excellent</v>
      </c>
      <c r="AA1635" t="str">
        <f>IFERROR(__xludf.DUMMYFUNCTION("""COMPUTED_VALUE"""),"Fair")</f>
        <v>Fair</v>
      </c>
      <c r="AB1635" t="str">
        <f>IFERROR(__xludf.DUMMYFUNCTION("""COMPUTED_VALUE"""),"Excellent")</f>
        <v>Excellent</v>
      </c>
      <c r="AC1635">
        <f>IFERROR(__xludf.DUMMYFUNCTION("""COMPUTED_VALUE"""),0.0)</f>
        <v>0</v>
      </c>
      <c r="AD1635">
        <f>IFERROR(__xludf.DUMMYFUNCTION("""COMPUTED_VALUE"""),0.0)</f>
        <v>0</v>
      </c>
      <c r="AE1635">
        <f>IFERROR(__xludf.DUMMYFUNCTION("""COMPUTED_VALUE"""),0.0)</f>
        <v>0</v>
      </c>
      <c r="AG1635" t="str">
        <f>IFERROR(__xludf.DUMMYFUNCTION("""COMPUTED_VALUE"""),"MVPA signed and payment wired Mar 25th. Mar 26th account shows delivery appointment Apr 6th in Quebec City, even though it is being delivered to NB. Call from driver Apr 2nd. Delivered Apr 3rd.")</f>
        <v>MVPA signed and payment wired Mar 25th. Mar 26th account shows delivery appointment Apr 6th in Quebec City, even though it is being delivered to NB. Call from driver Apr 2nd. Delivered Apr 3rd.</v>
      </c>
      <c r="AH1635" s="189">
        <f>IFERROR(__xludf.DUMMYFUNCTION("""COMPUTED_VALUE"""),43559.592529814814)</f>
        <v>43559.59253</v>
      </c>
    </row>
    <row r="1636">
      <c r="A1636" t="str">
        <f>IFERROR(__xludf.DUMMYFUNCTION("""COMPUTED_VALUE"""),"nanorapture")</f>
        <v>nanorapture</v>
      </c>
      <c r="B1636" t="str">
        <f>IFERROR(__xludf.DUMMYFUNCTION("""COMPUTED_VALUE"""),"San Francisco")</f>
        <v>San Francisco</v>
      </c>
      <c r="C1636" t="str">
        <f>IFERROR(__xludf.DUMMYFUNCTION("""COMPUTED_VALUE"""),"CA")</f>
        <v>CA</v>
      </c>
      <c r="D1636" t="str">
        <f>IFERROR(__xludf.DUMMYFUNCTION("""COMPUTED_VALUE"""),"USA")</f>
        <v>USA</v>
      </c>
      <c r="E1636" s="188">
        <f>IFERROR(__xludf.DUMMYFUNCTION("""COMPUTED_VALUE"""),43541.0)</f>
        <v>43541</v>
      </c>
      <c r="F1636" s="188">
        <f>IFERROR(__xludf.DUMMYFUNCTION("""COMPUTED_VALUE"""),43550.0)</f>
        <v>43550</v>
      </c>
      <c r="H1636">
        <f>IFERROR(__xludf.DUMMYFUNCTION("""COMPUTED_VALUE"""),332639.0)</f>
        <v>332639</v>
      </c>
      <c r="I1636" t="str">
        <f>IFERROR(__xludf.DUMMYFUNCTION("""COMPUTED_VALUE"""),"03/19")</f>
        <v>03/19</v>
      </c>
      <c r="J1636" s="5">
        <f>IFERROR(__xludf.DUMMYFUNCTION("""COMPUTED_VALUE"""),43555.0)</f>
        <v>43555</v>
      </c>
      <c r="K1636">
        <f>IFERROR(__xludf.DUMMYFUNCTION("""COMPUTED_VALUE"""),9.0)</f>
        <v>9</v>
      </c>
      <c r="L1636">
        <f>IFERROR(__xludf.DUMMYFUNCTION("""COMPUTED_VALUE"""),5.0)</f>
        <v>5</v>
      </c>
      <c r="M1636">
        <f>IFERROR(__xludf.DUMMYFUNCTION("""COMPUTED_VALUE"""),14.0)</f>
        <v>14</v>
      </c>
      <c r="N1636" t="str">
        <f>IFERROR(__xludf.DUMMYFUNCTION("""COMPUTED_VALUE"""),"Model 3 LR")</f>
        <v>Model 3 LR</v>
      </c>
      <c r="O1636" t="str">
        <f>IFERROR(__xludf.DUMMYFUNCTION("""COMPUTED_VALUE"""),"Pearl White Multi-Coat")</f>
        <v>Pearl White Multi-Coat</v>
      </c>
      <c r="P1636" t="str">
        <f>IFERROR(__xludf.DUMMYFUNCTION("""COMPUTED_VALUE"""),"19 inch Sport")</f>
        <v>19 inch Sport</v>
      </c>
      <c r="Q1636" t="str">
        <f>IFERROR(__xludf.DUMMYFUNCTION("""COMPUTED_VALUE"""),"White seats")</f>
        <v>White seats</v>
      </c>
      <c r="R1636" t="str">
        <f>IFERROR(__xludf.DUMMYFUNCTION("""COMPUTED_VALUE"""),"Autopilot")</f>
        <v>Autopilot</v>
      </c>
      <c r="X1636" t="str">
        <f>IFERROR(__xludf.DUMMYFUNCTION("""COMPUTED_VALUE"""),"Good")</f>
        <v>Good</v>
      </c>
      <c r="Y1636" t="str">
        <f>IFERROR(__xludf.DUMMYFUNCTION("""COMPUTED_VALUE"""),"Excellent")</f>
        <v>Excellent</v>
      </c>
      <c r="Z1636" t="str">
        <f>IFERROR(__xludf.DUMMYFUNCTION("""COMPUTED_VALUE"""),"Very Good")</f>
        <v>Very Good</v>
      </c>
      <c r="AA1636" t="str">
        <f>IFERROR(__xludf.DUMMYFUNCTION("""COMPUTED_VALUE"""),"Fair")</f>
        <v>Fair</v>
      </c>
      <c r="AB1636" t="str">
        <f>IFERROR(__xludf.DUMMYFUNCTION("""COMPUTED_VALUE"""),"Excellent")</f>
        <v>Excellent</v>
      </c>
      <c r="AC1636">
        <f>IFERROR(__xludf.DUMMYFUNCTION("""COMPUTED_VALUE"""),3.0)</f>
        <v>3</v>
      </c>
      <c r="AH1636" s="189">
        <f>IFERROR(__xludf.DUMMYFUNCTION("""COMPUTED_VALUE"""),43559.733425150465)</f>
        <v>43559.73343</v>
      </c>
    </row>
    <row r="1637">
      <c r="A1637" t="str">
        <f>IFERROR(__xludf.DUMMYFUNCTION("""COMPUTED_VALUE"""),"mhc")</f>
        <v>mhc</v>
      </c>
      <c r="B1637" t="str">
        <f>IFERROR(__xludf.DUMMYFUNCTION("""COMPUTED_VALUE"""),"Austin")</f>
        <v>Austin</v>
      </c>
      <c r="C1637" t="str">
        <f>IFERROR(__xludf.DUMMYFUNCTION("""COMPUTED_VALUE"""),"TX")</f>
        <v>TX</v>
      </c>
      <c r="D1637" t="str">
        <f>IFERROR(__xludf.DUMMYFUNCTION("""COMPUTED_VALUE"""),"USA")</f>
        <v>USA</v>
      </c>
      <c r="E1637" s="188">
        <f>IFERROR(__xludf.DUMMYFUNCTION("""COMPUTED_VALUE"""),43531.0)</f>
        <v>43531</v>
      </c>
      <c r="F1637" s="188">
        <f>IFERROR(__xludf.DUMMYFUNCTION("""COMPUTED_VALUE"""),43545.0)</f>
        <v>43545</v>
      </c>
      <c r="H1637">
        <f>IFERROR(__xludf.DUMMYFUNCTION("""COMPUTED_VALUE"""),313896.0)</f>
        <v>313896</v>
      </c>
      <c r="I1637" t="str">
        <f>IFERROR(__xludf.DUMMYFUNCTION("""COMPUTED_VALUE"""),"03/19")</f>
        <v>03/19</v>
      </c>
      <c r="J1637" s="5">
        <f>IFERROR(__xludf.DUMMYFUNCTION("""COMPUTED_VALUE"""),43552.0)</f>
        <v>43552</v>
      </c>
      <c r="K1637">
        <f>IFERROR(__xludf.DUMMYFUNCTION("""COMPUTED_VALUE"""),14.0)</f>
        <v>14</v>
      </c>
      <c r="L1637">
        <f>IFERROR(__xludf.DUMMYFUNCTION("""COMPUTED_VALUE"""),7.0)</f>
        <v>7</v>
      </c>
      <c r="M1637">
        <f>IFERROR(__xludf.DUMMYFUNCTION("""COMPUTED_VALUE"""),21.0)</f>
        <v>21</v>
      </c>
      <c r="N1637" t="str">
        <f>IFERROR(__xludf.DUMMYFUNCTION("""COMPUTED_VALUE"""),"Model 3 LR")</f>
        <v>Model 3 LR</v>
      </c>
      <c r="O1637" t="str">
        <f>IFERROR(__xludf.DUMMYFUNCTION("""COMPUTED_VALUE"""),"Deep Blue Metallic")</f>
        <v>Deep Blue Metallic</v>
      </c>
      <c r="P1637" t="str">
        <f>IFERROR(__xludf.DUMMYFUNCTION("""COMPUTED_VALUE"""),"18 inch Aero")</f>
        <v>18 inch Aero</v>
      </c>
      <c r="Q1637" t="str">
        <f>IFERROR(__xludf.DUMMYFUNCTION("""COMPUTED_VALUE"""),"Black seats")</f>
        <v>Black seats</v>
      </c>
      <c r="R1637" t="str">
        <f>IFERROR(__xludf.DUMMYFUNCTION("""COMPUTED_VALUE"""),"Full Self-Driving")</f>
        <v>Full Self-Driving</v>
      </c>
      <c r="X1637" t="str">
        <f>IFERROR(__xludf.DUMMYFUNCTION("""COMPUTED_VALUE"""),"Excellent")</f>
        <v>Excellent</v>
      </c>
      <c r="Y1637" t="str">
        <f>IFERROR(__xludf.DUMMYFUNCTION("""COMPUTED_VALUE"""),"Excellent")</f>
        <v>Excellent</v>
      </c>
      <c r="Z1637" t="str">
        <f>IFERROR(__xludf.DUMMYFUNCTION("""COMPUTED_VALUE"""),"Excellent")</f>
        <v>Excellent</v>
      </c>
      <c r="AA1637" t="str">
        <f>IFERROR(__xludf.DUMMYFUNCTION("""COMPUTED_VALUE"""),"Good")</f>
        <v>Good</v>
      </c>
      <c r="AB1637" t="str">
        <f>IFERROR(__xludf.DUMMYFUNCTION("""COMPUTED_VALUE"""),"Excellent")</f>
        <v>Excellent</v>
      </c>
      <c r="AG1637" t="str">
        <f>IFERROR(__xludf.DUMMYFUNCTION("""COMPUTED_VALUE"""),"Vehicle arrived in Texas 3/27/2019 AM; Received Trade-In packet on 3/26/2019 PM and FedEx back 3/27/2019 AM. Picked up from Service Center 3/28/2019 10 AM.")</f>
        <v>Vehicle arrived in Texas 3/27/2019 AM; Received Trade-In packet on 3/26/2019 PM and FedEx back 3/27/2019 AM. Picked up from Service Center 3/28/2019 10 AM.</v>
      </c>
      <c r="AH1637" s="189">
        <f>IFERROR(__xludf.DUMMYFUNCTION("""COMPUTED_VALUE"""),43559.84076407408)</f>
        <v>43559.84076</v>
      </c>
    </row>
    <row r="1638">
      <c r="A1638" t="str">
        <f>IFERROR(__xludf.DUMMYFUNCTION("""COMPUTED_VALUE"""),"Federico")</f>
        <v>Federico</v>
      </c>
      <c r="B1638" t="str">
        <f>IFERROR(__xludf.DUMMYFUNCTION("""COMPUTED_VALUE"""),"Miami")</f>
        <v>Miami</v>
      </c>
      <c r="C1638" t="str">
        <f>IFERROR(__xludf.DUMMYFUNCTION("""COMPUTED_VALUE"""),"FL")</f>
        <v>FL</v>
      </c>
      <c r="D1638" t="str">
        <f>IFERROR(__xludf.DUMMYFUNCTION("""COMPUTED_VALUE"""),"USA")</f>
        <v>USA</v>
      </c>
      <c r="E1638" s="188">
        <f>IFERROR(__xludf.DUMMYFUNCTION("""COMPUTED_VALUE"""),43524.0)</f>
        <v>43524</v>
      </c>
      <c r="F1638" s="188">
        <f>IFERROR(__xludf.DUMMYFUNCTION("""COMPUTED_VALUE"""),43559.0)</f>
        <v>43559</v>
      </c>
      <c r="H1638">
        <f>IFERROR(__xludf.DUMMYFUNCTION("""COMPUTED_VALUE"""),301255.0)</f>
        <v>301255</v>
      </c>
      <c r="J1638" s="5">
        <f>IFERROR(__xludf.DUMMYFUNCTION("""COMPUTED_VALUE"""),43559.0)</f>
        <v>43559</v>
      </c>
      <c r="K1638">
        <f>IFERROR(__xludf.DUMMYFUNCTION("""COMPUTED_VALUE"""),35.0)</f>
        <v>35</v>
      </c>
      <c r="L1638">
        <f>IFERROR(__xludf.DUMMYFUNCTION("""COMPUTED_VALUE"""),0.0)</f>
        <v>0</v>
      </c>
      <c r="M1638">
        <f>IFERROR(__xludf.DUMMYFUNCTION("""COMPUTED_VALUE"""),35.0)</f>
        <v>35</v>
      </c>
      <c r="N1638" t="str">
        <f>IFERROR(__xludf.DUMMYFUNCTION("""COMPUTED_VALUE"""),"Model 3 SR+")</f>
        <v>Model 3 SR+</v>
      </c>
      <c r="O1638" t="str">
        <f>IFERROR(__xludf.DUMMYFUNCTION("""COMPUTED_VALUE"""),"Deep Blue Metallic")</f>
        <v>Deep Blue Metallic</v>
      </c>
      <c r="P1638" t="str">
        <f>IFERROR(__xludf.DUMMYFUNCTION("""COMPUTED_VALUE"""),"19 inch Sport")</f>
        <v>19 inch Sport</v>
      </c>
      <c r="Q1638" t="str">
        <f>IFERROR(__xludf.DUMMYFUNCTION("""COMPUTED_VALUE"""),"Black seats")</f>
        <v>Black seats</v>
      </c>
      <c r="R1638" t="str">
        <f>IFERROR(__xludf.DUMMYFUNCTION("""COMPUTED_VALUE"""),"None")</f>
        <v>None</v>
      </c>
      <c r="X1638" t="str">
        <f>IFERROR(__xludf.DUMMYFUNCTION("""COMPUTED_VALUE"""),"Very Good")</f>
        <v>Very Good</v>
      </c>
      <c r="Y1638" t="str">
        <f>IFERROR(__xludf.DUMMYFUNCTION("""COMPUTED_VALUE"""),"Excellent")</f>
        <v>Excellent</v>
      </c>
      <c r="Z1638" t="str">
        <f>IFERROR(__xludf.DUMMYFUNCTION("""COMPUTED_VALUE"""),"Good")</f>
        <v>Good</v>
      </c>
      <c r="AA1638" t="str">
        <f>IFERROR(__xludf.DUMMYFUNCTION("""COMPUTED_VALUE"""),"Excellent")</f>
        <v>Excellent</v>
      </c>
      <c r="AB1638" t="str">
        <f>IFERROR(__xludf.DUMMYFUNCTION("""COMPUTED_VALUE"""),"Excellent")</f>
        <v>Excellent</v>
      </c>
      <c r="AC1638">
        <f>IFERROR(__xludf.DUMMYFUNCTION("""COMPUTED_VALUE"""),2.0)</f>
        <v>2</v>
      </c>
      <c r="AD1638">
        <f>IFERROR(__xludf.DUMMYFUNCTION("""COMPUTED_VALUE"""),2.0)</f>
        <v>2</v>
      </c>
      <c r="AE1638">
        <f>IFERROR(__xludf.DUMMYFUNCTION("""COMPUTED_VALUE"""),0.0)</f>
        <v>0</v>
      </c>
      <c r="AG1638" t="str">
        <f>IFERROR(__xludf.DUMMYFUNCTION("""COMPUTED_VALUE"""),"Got VIN on 3/16/2019 with a delivery date 3/23/2019, I had to let it got because I couldn't pick it up before 3/31/2019, original VIN was 301,141. Got new VIN 4/4/2019 (301,2XX)")</f>
        <v>Got VIN on 3/16/2019 with a delivery date 3/23/2019, I had to let it got because I couldn't pick it up before 3/31/2019, original VIN was 301,141. Got new VIN 4/4/2019 (301,2XX)</v>
      </c>
      <c r="AH1638" s="189">
        <f>IFERROR(__xludf.DUMMYFUNCTION("""COMPUTED_VALUE"""),43561.84395621528)</f>
        <v>43561.84396</v>
      </c>
    </row>
    <row r="1639">
      <c r="A1639" t="str">
        <f>IFERROR(__xludf.DUMMYFUNCTION("""COMPUTED_VALUE"""),"Talax74")</f>
        <v>Talax74</v>
      </c>
      <c r="B1639" t="str">
        <f>IFERROR(__xludf.DUMMYFUNCTION("""COMPUTED_VALUE"""),"Raleigh")</f>
        <v>Raleigh</v>
      </c>
      <c r="C1639" t="str">
        <f>IFERROR(__xludf.DUMMYFUNCTION("""COMPUTED_VALUE"""),"NC")</f>
        <v>NC</v>
      </c>
      <c r="D1639" t="str">
        <f>IFERROR(__xludf.DUMMYFUNCTION("""COMPUTED_VALUE"""),"Norway")</f>
        <v>Norway</v>
      </c>
      <c r="E1639" s="188">
        <f>IFERROR(__xludf.DUMMYFUNCTION("""COMPUTED_VALUE"""),43559.0)</f>
        <v>43559</v>
      </c>
      <c r="F1639" s="188">
        <f>IFERROR(__xludf.DUMMYFUNCTION("""COMPUTED_VALUE"""),43560.0)</f>
        <v>43560</v>
      </c>
      <c r="H1639">
        <f>IFERROR(__xludf.DUMMYFUNCTION("""COMPUTED_VALUE"""),297555.0)</f>
        <v>297555</v>
      </c>
      <c r="I1639" t="str">
        <f>IFERROR(__xludf.DUMMYFUNCTION("""COMPUTED_VALUE"""),"03/19")</f>
        <v>03/19</v>
      </c>
      <c r="J1639" s="5">
        <f>IFERROR(__xludf.DUMMYFUNCTION("""COMPUTED_VALUE"""),43561.0)</f>
        <v>43561</v>
      </c>
      <c r="K1639">
        <f>IFERROR(__xludf.DUMMYFUNCTION("""COMPUTED_VALUE"""),1.0)</f>
        <v>1</v>
      </c>
      <c r="L1639">
        <f>IFERROR(__xludf.DUMMYFUNCTION("""COMPUTED_VALUE"""),1.0)</f>
        <v>1</v>
      </c>
      <c r="M1639">
        <f>IFERROR(__xludf.DUMMYFUNCTION("""COMPUTED_VALUE"""),2.0)</f>
        <v>2</v>
      </c>
      <c r="N1639" t="str">
        <f>IFERROR(__xludf.DUMMYFUNCTION("""COMPUTED_VALUE"""),"Model 3 SR+")</f>
        <v>Model 3 SR+</v>
      </c>
      <c r="P1639" t="str">
        <f>IFERROR(__xludf.DUMMYFUNCTION("""COMPUTED_VALUE"""),"18 inch Aero")</f>
        <v>18 inch Aero</v>
      </c>
      <c r="Q1639" t="str">
        <f>IFERROR(__xludf.DUMMYFUNCTION("""COMPUTED_VALUE"""),"Black seats")</f>
        <v>Black seats</v>
      </c>
      <c r="R1639" t="str">
        <f>IFERROR(__xludf.DUMMYFUNCTION("""COMPUTED_VALUE"""),"None")</f>
        <v>None</v>
      </c>
      <c r="X1639" t="str">
        <f>IFERROR(__xludf.DUMMYFUNCTION("""COMPUTED_VALUE"""),"Excellent")</f>
        <v>Excellent</v>
      </c>
      <c r="AH1639" s="189">
        <f>IFERROR(__xludf.DUMMYFUNCTION("""COMPUTED_VALUE"""),43562.75648008102)</f>
        <v>43562.75648</v>
      </c>
    </row>
    <row r="1640">
      <c r="A1640" t="str">
        <f>IFERROR(__xludf.DUMMYFUNCTION("""COMPUTED_VALUE"""),"jbird1216")</f>
        <v>jbird1216</v>
      </c>
      <c r="B1640" t="str">
        <f>IFERROR(__xludf.DUMMYFUNCTION("""COMPUTED_VALUE"""),"Chicago")</f>
        <v>Chicago</v>
      </c>
      <c r="C1640" t="str">
        <f>IFERROR(__xludf.DUMMYFUNCTION("""COMPUTED_VALUE"""),"IL")</f>
        <v>IL</v>
      </c>
      <c r="D1640" t="str">
        <f>IFERROR(__xludf.DUMMYFUNCTION("""COMPUTED_VALUE"""),"USA")</f>
        <v>USA</v>
      </c>
      <c r="E1640" s="188">
        <f>IFERROR(__xludf.DUMMYFUNCTION("""COMPUTED_VALUE"""),43555.0)</f>
        <v>43555</v>
      </c>
      <c r="F1640" s="188">
        <f>IFERROR(__xludf.DUMMYFUNCTION("""COMPUTED_VALUE"""),43560.0)</f>
        <v>43560</v>
      </c>
      <c r="J1640" s="5">
        <f>IFERROR(__xludf.DUMMYFUNCTION("""COMPUTED_VALUE"""),43561.0)</f>
        <v>43561</v>
      </c>
      <c r="K1640">
        <f>IFERROR(__xludf.DUMMYFUNCTION("""COMPUTED_VALUE"""),5.0)</f>
        <v>5</v>
      </c>
      <c r="L1640">
        <f>IFERROR(__xludf.DUMMYFUNCTION("""COMPUTED_VALUE"""),1.0)</f>
        <v>1</v>
      </c>
      <c r="M1640">
        <f>IFERROR(__xludf.DUMMYFUNCTION("""COMPUTED_VALUE"""),6.0)</f>
        <v>6</v>
      </c>
      <c r="N1640" t="str">
        <f>IFERROR(__xludf.DUMMYFUNCTION("""COMPUTED_VALUE"""),"Model 3 SR+")</f>
        <v>Model 3 SR+</v>
      </c>
      <c r="O1640" t="str">
        <f>IFERROR(__xludf.DUMMYFUNCTION("""COMPUTED_VALUE"""),"Solid Black")</f>
        <v>Solid Black</v>
      </c>
      <c r="P1640" t="str">
        <f>IFERROR(__xludf.DUMMYFUNCTION("""COMPUTED_VALUE"""),"18 inch Aero")</f>
        <v>18 inch Aero</v>
      </c>
      <c r="Q1640" t="str">
        <f>IFERROR(__xludf.DUMMYFUNCTION("""COMPUTED_VALUE"""),"Black seats")</f>
        <v>Black seats</v>
      </c>
      <c r="R1640" t="str">
        <f>IFERROR(__xludf.DUMMYFUNCTION("""COMPUTED_VALUE"""),"Autopilot")</f>
        <v>Autopilot</v>
      </c>
      <c r="X1640" t="str">
        <f>IFERROR(__xludf.DUMMYFUNCTION("""COMPUTED_VALUE"""),"Excellent")</f>
        <v>Excellent</v>
      </c>
      <c r="Y1640" t="str">
        <f>IFERROR(__xludf.DUMMYFUNCTION("""COMPUTED_VALUE"""),"Excellent")</f>
        <v>Excellent</v>
      </c>
      <c r="Z1640" t="str">
        <f>IFERROR(__xludf.DUMMYFUNCTION("""COMPUTED_VALUE"""),"Excellent")</f>
        <v>Excellent</v>
      </c>
      <c r="AA1640" t="str">
        <f>IFERROR(__xludf.DUMMYFUNCTION("""COMPUTED_VALUE"""),"Good")</f>
        <v>Good</v>
      </c>
      <c r="AB1640" t="str">
        <f>IFERROR(__xludf.DUMMYFUNCTION("""COMPUTED_VALUE"""),"Excellent")</f>
        <v>Excellent</v>
      </c>
      <c r="AH1640" s="189">
        <f>IFERROR(__xludf.DUMMYFUNCTION("""COMPUTED_VALUE"""),43563.22935725695)</f>
        <v>43563.22936</v>
      </c>
    </row>
    <row r="1641">
      <c r="A1641" t="str">
        <f>IFERROR(__xludf.DUMMYFUNCTION("""COMPUTED_VALUE"""),"devlodha")</f>
        <v>devlodha</v>
      </c>
      <c r="B1641" t="str">
        <f>IFERROR(__xludf.DUMMYFUNCTION("""COMPUTED_VALUE"""),"Toronto")</f>
        <v>Toronto</v>
      </c>
      <c r="C1641" t="str">
        <f>IFERROR(__xludf.DUMMYFUNCTION("""COMPUTED_VALUE"""),"ON")</f>
        <v>ON</v>
      </c>
      <c r="D1641" t="str">
        <f>IFERROR(__xludf.DUMMYFUNCTION("""COMPUTED_VALUE"""),"Canada")</f>
        <v>Canada</v>
      </c>
      <c r="E1641" s="188">
        <f>IFERROR(__xludf.DUMMYFUNCTION("""COMPUTED_VALUE"""),43526.0)</f>
        <v>43526</v>
      </c>
      <c r="F1641" s="188">
        <f>IFERROR(__xludf.DUMMYFUNCTION("""COMPUTED_VALUE"""),43554.0)</f>
        <v>43554</v>
      </c>
      <c r="H1641">
        <f>IFERROR(__xludf.DUMMYFUNCTION("""COMPUTED_VALUE"""),322055.0)</f>
        <v>322055</v>
      </c>
      <c r="I1641" t="str">
        <f>IFERROR(__xludf.DUMMYFUNCTION("""COMPUTED_VALUE"""),"03/19")</f>
        <v>03/19</v>
      </c>
      <c r="J1641" s="5">
        <f>IFERROR(__xludf.DUMMYFUNCTION("""COMPUTED_VALUE"""),43556.0)</f>
        <v>43556</v>
      </c>
      <c r="K1641">
        <f>IFERROR(__xludf.DUMMYFUNCTION("""COMPUTED_VALUE"""),28.0)</f>
        <v>28</v>
      </c>
      <c r="L1641">
        <f>IFERROR(__xludf.DUMMYFUNCTION("""COMPUTED_VALUE"""),2.0)</f>
        <v>2</v>
      </c>
      <c r="M1641">
        <f>IFERROR(__xludf.DUMMYFUNCTION("""COMPUTED_VALUE"""),30.0)</f>
        <v>30</v>
      </c>
      <c r="N1641" t="str">
        <f>IFERROR(__xludf.DUMMYFUNCTION("""COMPUTED_VALUE"""),"Model 3 SR+")</f>
        <v>Model 3 SR+</v>
      </c>
      <c r="O1641" t="str">
        <f>IFERROR(__xludf.DUMMYFUNCTION("""COMPUTED_VALUE"""),"Red Multi-Coat")</f>
        <v>Red Multi-Coat</v>
      </c>
      <c r="P1641" t="str">
        <f>IFERROR(__xludf.DUMMYFUNCTION("""COMPUTED_VALUE"""),"19 inch Sport")</f>
        <v>19 inch Sport</v>
      </c>
      <c r="Q1641" t="str">
        <f>IFERROR(__xludf.DUMMYFUNCTION("""COMPUTED_VALUE"""),"Black seats")</f>
        <v>Black seats</v>
      </c>
      <c r="R1641" t="str">
        <f>IFERROR(__xludf.DUMMYFUNCTION("""COMPUTED_VALUE"""),"Full Self-Driving")</f>
        <v>Full Self-Driving</v>
      </c>
      <c r="X1641" t="str">
        <f>IFERROR(__xludf.DUMMYFUNCTION("""COMPUTED_VALUE"""),"Excellent")</f>
        <v>Excellent</v>
      </c>
      <c r="Y1641" t="str">
        <f>IFERROR(__xludf.DUMMYFUNCTION("""COMPUTED_VALUE"""),"Excellent")</f>
        <v>Excellent</v>
      </c>
      <c r="Z1641" t="str">
        <f>IFERROR(__xludf.DUMMYFUNCTION("""COMPUTED_VALUE"""),"Excellent")</f>
        <v>Excellent</v>
      </c>
      <c r="AA1641" t="str">
        <f>IFERROR(__xludf.DUMMYFUNCTION("""COMPUTED_VALUE"""),"Poor")</f>
        <v>Poor</v>
      </c>
      <c r="AB1641" t="str">
        <f>IFERROR(__xludf.DUMMYFUNCTION("""COMPUTED_VALUE"""),"Good")</f>
        <v>Good</v>
      </c>
      <c r="AC1641">
        <f>IFERROR(__xludf.DUMMYFUNCTION("""COMPUTED_VALUE"""),0.0)</f>
        <v>0</v>
      </c>
      <c r="AD1641">
        <f>IFERROR(__xludf.DUMMYFUNCTION("""COMPUTED_VALUE"""),0.0)</f>
        <v>0</v>
      </c>
      <c r="AE1641">
        <f>IFERROR(__xludf.DUMMYFUNCTION("""COMPUTED_VALUE"""),0.0)</f>
        <v>0</v>
      </c>
      <c r="AG1641" t="str">
        <f>IFERROR(__xludf.DUMMYFUNCTION("""COMPUTED_VALUE"""),"Originally ordered SR+ on 2nd March and changed to MR on 5th March. Assigned VIN 161,113 on March 12th but rejected as it was 2018 VIN. Changed to SR+ again on March 30th as MR was discontinued. Was offered a Red color with 19"" wheels instead of my origi"&amp;"nal configuration of Blue and 18"" wheels. Agreed as they comped off the difference and will take delivery on April 1st. ")</f>
        <v>Originally ordered SR+ on 2nd March and changed to MR on 5th March. Assigned VIN 161,113 on March 12th but rejected as it was 2018 VIN. Changed to SR+ again on March 30th as MR was discontinued. Was offered a Red color with 19" wheels instead of my original configuration of Blue and 18" wheels. Agreed as they comped off the difference and will take delivery on April 1st. </v>
      </c>
      <c r="AH1641" s="189">
        <f>IFERROR(__xludf.DUMMYFUNCTION("""COMPUTED_VALUE"""),43563.41338724537)</f>
        <v>43563.41339</v>
      </c>
    </row>
    <row r="1642">
      <c r="A1642" t="str">
        <f>IFERROR(__xludf.DUMMYFUNCTION("""COMPUTED_VALUE"""),"PoitNarf")</f>
        <v>PoitNarf</v>
      </c>
      <c r="C1642" t="str">
        <f>IFERROR(__xludf.DUMMYFUNCTION("""COMPUTED_VALUE"""),"NJ")</f>
        <v>NJ</v>
      </c>
      <c r="D1642" t="str">
        <f>IFERROR(__xludf.DUMMYFUNCTION("""COMPUTED_VALUE"""),"USA")</f>
        <v>USA</v>
      </c>
      <c r="E1642" s="188">
        <f>IFERROR(__xludf.DUMMYFUNCTION("""COMPUTED_VALUE"""),43153.0)</f>
        <v>43153</v>
      </c>
      <c r="F1642" s="188">
        <f>IFERROR(__xludf.DUMMYFUNCTION("""COMPUTED_VALUE"""),43166.0)</f>
        <v>43166</v>
      </c>
      <c r="H1642">
        <f>IFERROR(__xludf.DUMMYFUNCTION("""COMPUTED_VALUE"""),7255.0)</f>
        <v>7255</v>
      </c>
      <c r="J1642" s="5">
        <f>IFERROR(__xludf.DUMMYFUNCTION("""COMPUTED_VALUE"""),43188.0)</f>
        <v>43188</v>
      </c>
      <c r="K1642">
        <f>IFERROR(__xludf.DUMMYFUNCTION("""COMPUTED_VALUE"""),13.0)</f>
        <v>13</v>
      </c>
      <c r="L1642">
        <f>IFERROR(__xludf.DUMMYFUNCTION("""COMPUTED_VALUE"""),22.0)</f>
        <v>22</v>
      </c>
      <c r="M1642">
        <f>IFERROR(__xludf.DUMMYFUNCTION("""COMPUTED_VALUE"""),35.0)</f>
        <v>35</v>
      </c>
      <c r="N1642" t="str">
        <f>IFERROR(__xludf.DUMMYFUNCTION("""COMPUTED_VALUE"""),"Model 3 LR")</f>
        <v>Model 3 LR</v>
      </c>
      <c r="O1642" t="str">
        <f>IFERROR(__xludf.DUMMYFUNCTION("""COMPUTED_VALUE"""),"Deep Blue Metallic")</f>
        <v>Deep Blue Metallic</v>
      </c>
      <c r="P1642" t="str">
        <f>IFERROR(__xludf.DUMMYFUNCTION("""COMPUTED_VALUE"""),"18 inch Aero")</f>
        <v>18 inch Aero</v>
      </c>
      <c r="Q1642" t="str">
        <f>IFERROR(__xludf.DUMMYFUNCTION("""COMPUTED_VALUE"""),"Black seats")</f>
        <v>Black seats</v>
      </c>
      <c r="R1642" t="str">
        <f>IFERROR(__xludf.DUMMYFUNCTION("""COMPUTED_VALUE"""),"Full Self-Driving")</f>
        <v>Full Self-Driving</v>
      </c>
      <c r="X1642" t="str">
        <f>IFERROR(__xludf.DUMMYFUNCTION("""COMPUTED_VALUE"""),"Very Good")</f>
        <v>Very Good</v>
      </c>
      <c r="Y1642" t="str">
        <f>IFERROR(__xludf.DUMMYFUNCTION("""COMPUTED_VALUE"""),"Excellent")</f>
        <v>Excellent</v>
      </c>
      <c r="Z1642" t="str">
        <f>IFERROR(__xludf.DUMMYFUNCTION("""COMPUTED_VALUE"""),"Excellent")</f>
        <v>Excellent</v>
      </c>
      <c r="AA1642" t="str">
        <f>IFERROR(__xludf.DUMMYFUNCTION("""COMPUTED_VALUE"""),"Excellent")</f>
        <v>Excellent</v>
      </c>
      <c r="AB1642" t="str">
        <f>IFERROR(__xludf.DUMMYFUNCTION("""COMPUTED_VALUE"""),"Excellent")</f>
        <v>Excellent</v>
      </c>
      <c r="AC1642">
        <f>IFERROR(__xludf.DUMMYFUNCTION("""COMPUTED_VALUE"""),0.0)</f>
        <v>0</v>
      </c>
      <c r="AD1642">
        <f>IFERROR(__xludf.DUMMYFUNCTION("""COMPUTED_VALUE"""),0.0)</f>
        <v>0</v>
      </c>
      <c r="AE1642">
        <f>IFERROR(__xludf.DUMMYFUNCTION("""COMPUTED_VALUE"""),0.0)</f>
        <v>0</v>
      </c>
      <c r="AH1642" s="189">
        <f>IFERROR(__xludf.DUMMYFUNCTION("""COMPUTED_VALUE"""),43564.45240710648)</f>
        <v>43564.45241</v>
      </c>
    </row>
    <row r="1643">
      <c r="A1643" t="str">
        <f>IFERROR(__xludf.DUMMYFUNCTION("""COMPUTED_VALUE"""),"walt")</f>
        <v>walt</v>
      </c>
      <c r="B1643" t="str">
        <f>IFERROR(__xludf.DUMMYFUNCTION("""COMPUTED_VALUE"""),"Killingly")</f>
        <v>Killingly</v>
      </c>
      <c r="C1643" t="str">
        <f>IFERROR(__xludf.DUMMYFUNCTION("""COMPUTED_VALUE"""),"CT")</f>
        <v>CT</v>
      </c>
      <c r="D1643" t="str">
        <f>IFERROR(__xludf.DUMMYFUNCTION("""COMPUTED_VALUE"""),"USA")</f>
        <v>USA</v>
      </c>
      <c r="E1643" s="188">
        <f>IFERROR(__xludf.DUMMYFUNCTION("""COMPUTED_VALUE"""),43280.0)</f>
        <v>43280</v>
      </c>
      <c r="F1643" s="188">
        <f>IFERROR(__xludf.DUMMYFUNCTION("""COMPUTED_VALUE"""),43392.0)</f>
        <v>43392</v>
      </c>
      <c r="H1643">
        <f>IFERROR(__xludf.DUMMYFUNCTION("""COMPUTED_VALUE"""),114755.0)</f>
        <v>114755</v>
      </c>
      <c r="I1643" t="str">
        <f>IFERROR(__xludf.DUMMYFUNCTION("""COMPUTED_VALUE"""),"10/18")</f>
        <v>10/18</v>
      </c>
      <c r="J1643" s="5">
        <f>IFERROR(__xludf.DUMMYFUNCTION("""COMPUTED_VALUE"""),43776.0)</f>
        <v>43776</v>
      </c>
      <c r="K1643">
        <f>IFERROR(__xludf.DUMMYFUNCTION("""COMPUTED_VALUE"""),112.0)</f>
        <v>112</v>
      </c>
      <c r="L1643">
        <f>IFERROR(__xludf.DUMMYFUNCTION("""COMPUTED_VALUE"""),384.0)</f>
        <v>384</v>
      </c>
      <c r="M1643">
        <f>IFERROR(__xludf.DUMMYFUNCTION("""COMPUTED_VALUE"""),496.0)</f>
        <v>496</v>
      </c>
      <c r="N1643" t="str">
        <f>IFERROR(__xludf.DUMMYFUNCTION("""COMPUTED_VALUE"""),"Model 3 LR AWD")</f>
        <v>Model 3 LR AWD</v>
      </c>
      <c r="O1643" t="str">
        <f>IFERROR(__xludf.DUMMYFUNCTION("""COMPUTED_VALUE"""),"Red Multi-Coat")</f>
        <v>Red Multi-Coat</v>
      </c>
      <c r="P1643" t="str">
        <f>IFERROR(__xludf.DUMMYFUNCTION("""COMPUTED_VALUE"""),"18 inch Aero")</f>
        <v>18 inch Aero</v>
      </c>
      <c r="Q1643" t="str">
        <f>IFERROR(__xludf.DUMMYFUNCTION("""COMPUTED_VALUE"""),"Black seats")</f>
        <v>Black seats</v>
      </c>
      <c r="R1643" t="str">
        <f>IFERROR(__xludf.DUMMYFUNCTION("""COMPUTED_VALUE"""),"Full Self-Driving")</f>
        <v>Full Self-Driving</v>
      </c>
      <c r="X1643" t="str">
        <f>IFERROR(__xludf.DUMMYFUNCTION("""COMPUTED_VALUE"""),"Excellent")</f>
        <v>Excellent</v>
      </c>
      <c r="Y1643" t="str">
        <f>IFERROR(__xludf.DUMMYFUNCTION("""COMPUTED_VALUE"""),"Excellent")</f>
        <v>Excellent</v>
      </c>
      <c r="Z1643" t="str">
        <f>IFERROR(__xludf.DUMMYFUNCTION("""COMPUTED_VALUE"""),"Excellent")</f>
        <v>Excellent</v>
      </c>
      <c r="AA1643" t="str">
        <f>IFERROR(__xludf.DUMMYFUNCTION("""COMPUTED_VALUE"""),"Excellent")</f>
        <v>Excellent</v>
      </c>
      <c r="AB1643" t="str">
        <f>IFERROR(__xludf.DUMMYFUNCTION("""COMPUTED_VALUE"""),"Poor")</f>
        <v>Poor</v>
      </c>
      <c r="AC1643">
        <f>IFERROR(__xludf.DUMMYFUNCTION("""COMPUTED_VALUE"""),0.0)</f>
        <v>0</v>
      </c>
      <c r="AD1643">
        <f>IFERROR(__xludf.DUMMYFUNCTION("""COMPUTED_VALUE"""),0.0)</f>
        <v>0</v>
      </c>
      <c r="AE1643">
        <f>IFERROR(__xludf.DUMMYFUNCTION("""COMPUTED_VALUE"""),0.0)</f>
        <v>0</v>
      </c>
      <c r="AH1643" s="189">
        <f>IFERROR(__xludf.DUMMYFUNCTION("""COMPUTED_VALUE"""),43564.48854788195)</f>
        <v>43564.48855</v>
      </c>
    </row>
    <row r="1644">
      <c r="A1644" t="str">
        <f>IFERROR(__xludf.DUMMYFUNCTION("""COMPUTED_VALUE"""),"stretchsje")</f>
        <v>stretchsje</v>
      </c>
      <c r="C1644" t="str">
        <f>IFERROR(__xludf.DUMMYFUNCTION("""COMPUTED_VALUE"""),"PA")</f>
        <v>PA</v>
      </c>
      <c r="D1644" t="str">
        <f>IFERROR(__xludf.DUMMYFUNCTION("""COMPUTED_VALUE"""),"USA")</f>
        <v>USA</v>
      </c>
      <c r="E1644" s="188">
        <f>IFERROR(__xludf.DUMMYFUNCTION("""COMPUTED_VALUE"""),43541.0)</f>
        <v>43541</v>
      </c>
      <c r="H1644">
        <f>IFERROR(__xludf.DUMMYFUNCTION("""COMPUTED_VALUE"""),313855.0)</f>
        <v>313855</v>
      </c>
      <c r="J1644" s="5">
        <f>IFERROR(__xludf.DUMMYFUNCTION("""COMPUTED_VALUE"""),43554.0)</f>
        <v>43554</v>
      </c>
      <c r="M1644">
        <f>IFERROR(__xludf.DUMMYFUNCTION("""COMPUTED_VALUE"""),13.0)</f>
        <v>13</v>
      </c>
      <c r="N1644" t="str">
        <f>IFERROR(__xludf.DUMMYFUNCTION("""COMPUTED_VALUE"""),"Model 3 LR")</f>
        <v>Model 3 LR</v>
      </c>
      <c r="O1644" t="str">
        <f>IFERROR(__xludf.DUMMYFUNCTION("""COMPUTED_VALUE"""),"Deep Blue Metallic")</f>
        <v>Deep Blue Metallic</v>
      </c>
      <c r="P1644" t="str">
        <f>IFERROR(__xludf.DUMMYFUNCTION("""COMPUTED_VALUE"""),"18 inch Aero")</f>
        <v>18 inch Aero</v>
      </c>
      <c r="Q1644" t="str">
        <f>IFERROR(__xludf.DUMMYFUNCTION("""COMPUTED_VALUE"""),"Black seats")</f>
        <v>Black seats</v>
      </c>
      <c r="R1644" t="str">
        <f>IFERROR(__xludf.DUMMYFUNCTION("""COMPUTED_VALUE"""),"Full Self-Driving")</f>
        <v>Full Self-Driving</v>
      </c>
      <c r="X1644" t="str">
        <f>IFERROR(__xludf.DUMMYFUNCTION("""COMPUTED_VALUE"""),"Good")</f>
        <v>Good</v>
      </c>
      <c r="Y1644" t="str">
        <f>IFERROR(__xludf.DUMMYFUNCTION("""COMPUTED_VALUE"""),"Very Good")</f>
        <v>Very Good</v>
      </c>
      <c r="Z1644" t="str">
        <f>IFERROR(__xludf.DUMMYFUNCTION("""COMPUTED_VALUE"""),"Excellent")</f>
        <v>Excellent</v>
      </c>
      <c r="AA1644" t="str">
        <f>IFERROR(__xludf.DUMMYFUNCTION("""COMPUTED_VALUE"""),"Good")</f>
        <v>Good</v>
      </c>
      <c r="AB1644" t="str">
        <f>IFERROR(__xludf.DUMMYFUNCTION("""COMPUTED_VALUE"""),"Very Good")</f>
        <v>Very Good</v>
      </c>
      <c r="AH1644" s="189">
        <f>IFERROR(__xludf.DUMMYFUNCTION("""COMPUTED_VALUE"""),43564.57519495371)</f>
        <v>43564.57519</v>
      </c>
    </row>
    <row r="1645">
      <c r="A1645" t="str">
        <f>IFERROR(__xludf.DUMMYFUNCTION("""COMPUTED_VALUE"""),"henrymax")</f>
        <v>henrymax</v>
      </c>
      <c r="B1645" t="str">
        <f>IFERROR(__xludf.DUMMYFUNCTION("""COMPUTED_VALUE"""),"Sunnyvale")</f>
        <v>Sunnyvale</v>
      </c>
      <c r="C1645" t="str">
        <f>IFERROR(__xludf.DUMMYFUNCTION("""COMPUTED_VALUE"""),"CA")</f>
        <v>CA</v>
      </c>
      <c r="D1645" t="str">
        <f>IFERROR(__xludf.DUMMYFUNCTION("""COMPUTED_VALUE"""),"USA")</f>
        <v>USA</v>
      </c>
      <c r="E1645" s="188">
        <f>IFERROR(__xludf.DUMMYFUNCTION("""COMPUTED_VALUE"""),43541.0)</f>
        <v>43541</v>
      </c>
      <c r="F1645" s="188">
        <f>IFERROR(__xludf.DUMMYFUNCTION("""COMPUTED_VALUE"""),43558.0)</f>
        <v>43558</v>
      </c>
      <c r="H1645">
        <f>IFERROR(__xludf.DUMMYFUNCTION("""COMPUTED_VALUE"""),326555.0)</f>
        <v>326555</v>
      </c>
      <c r="J1645" s="5">
        <f>IFERROR(__xludf.DUMMYFUNCTION("""COMPUTED_VALUE"""),43575.0)</f>
        <v>43575</v>
      </c>
      <c r="K1645">
        <f>IFERROR(__xludf.DUMMYFUNCTION("""COMPUTED_VALUE"""),17.0)</f>
        <v>17</v>
      </c>
      <c r="L1645">
        <f>IFERROR(__xludf.DUMMYFUNCTION("""COMPUTED_VALUE"""),17.0)</f>
        <v>17</v>
      </c>
      <c r="M1645">
        <f>IFERROR(__xludf.DUMMYFUNCTION("""COMPUTED_VALUE"""),34.0)</f>
        <v>34</v>
      </c>
      <c r="N1645" t="str">
        <f>IFERROR(__xludf.DUMMYFUNCTION("""COMPUTED_VALUE"""),"Model 3 LR")</f>
        <v>Model 3 LR</v>
      </c>
      <c r="O1645" t="str">
        <f>IFERROR(__xludf.DUMMYFUNCTION("""COMPUTED_VALUE"""),"Pearl White Multi-Coat")</f>
        <v>Pearl White Multi-Coat</v>
      </c>
      <c r="P1645" t="str">
        <f>IFERROR(__xludf.DUMMYFUNCTION("""COMPUTED_VALUE"""),"18 inch Aero")</f>
        <v>18 inch Aero</v>
      </c>
      <c r="Q1645" t="str">
        <f>IFERROR(__xludf.DUMMYFUNCTION("""COMPUTED_VALUE"""),"Black seats")</f>
        <v>Black seats</v>
      </c>
      <c r="R1645" t="str">
        <f>IFERROR(__xludf.DUMMYFUNCTION("""COMPUTED_VALUE"""),"Full Self-Driving")</f>
        <v>Full Self-Driving</v>
      </c>
      <c r="AA1645" t="str">
        <f>IFERROR(__xludf.DUMMYFUNCTION("""COMPUTED_VALUE"""),"Poor")</f>
        <v>Poor</v>
      </c>
      <c r="AG1645" t="str">
        <f>IFERROR(__xludf.DUMMYFUNCTION("""COMPUTED_VALUE"""),"delivery postponed to mid-April per my request")</f>
        <v>delivery postponed to mid-April per my request</v>
      </c>
      <c r="AH1645" s="189">
        <f>IFERROR(__xludf.DUMMYFUNCTION("""COMPUTED_VALUE"""),43566.69203881944)</f>
        <v>43566.69204</v>
      </c>
    </row>
    <row r="1646">
      <c r="A1646" t="str">
        <f>IFERROR(__xludf.DUMMYFUNCTION("""COMPUTED_VALUE"""),"tronkus")</f>
        <v>tronkus</v>
      </c>
      <c r="D1646" t="str">
        <f>IFERROR(__xludf.DUMMYFUNCTION("""COMPUTED_VALUE"""),"Spain")</f>
        <v>Spain</v>
      </c>
      <c r="E1646" s="188">
        <f>IFERROR(__xludf.DUMMYFUNCTION("""COMPUTED_VALUE"""),43540.0)</f>
        <v>43540</v>
      </c>
      <c r="H1646">
        <f>IFERROR(__xludf.DUMMYFUNCTION("""COMPUTED_VALUE"""),239455.0)</f>
        <v>239455</v>
      </c>
      <c r="J1646" s="5">
        <f>IFERROR(__xludf.DUMMYFUNCTION("""COMPUTED_VALUE"""),43553.0)</f>
        <v>43553</v>
      </c>
      <c r="M1646">
        <f>IFERROR(__xludf.DUMMYFUNCTION("""COMPUTED_VALUE"""),13.0)</f>
        <v>13</v>
      </c>
      <c r="N1646" t="str">
        <f>IFERROR(__xludf.DUMMYFUNCTION("""COMPUTED_VALUE"""),"Model 3 LR AWD")</f>
        <v>Model 3 LR AWD</v>
      </c>
      <c r="O1646" t="str">
        <f>IFERROR(__xludf.DUMMYFUNCTION("""COMPUTED_VALUE"""),"Deep Blue Metallic")</f>
        <v>Deep Blue Metallic</v>
      </c>
      <c r="P1646" t="str">
        <f>IFERROR(__xludf.DUMMYFUNCTION("""COMPUTED_VALUE"""),"18 inch Aero")</f>
        <v>18 inch Aero</v>
      </c>
      <c r="Q1646" t="str">
        <f>IFERROR(__xludf.DUMMYFUNCTION("""COMPUTED_VALUE"""),"Black seats")</f>
        <v>Black seats</v>
      </c>
      <c r="R1646" t="str">
        <f>IFERROR(__xludf.DUMMYFUNCTION("""COMPUTED_VALUE"""),"Autopilot")</f>
        <v>Autopilot</v>
      </c>
      <c r="X1646" t="str">
        <f>IFERROR(__xludf.DUMMYFUNCTION("""COMPUTED_VALUE"""),"Very Good")</f>
        <v>Very Good</v>
      </c>
      <c r="Y1646" t="str">
        <f>IFERROR(__xludf.DUMMYFUNCTION("""COMPUTED_VALUE"""),"Very Good")</f>
        <v>Very Good</v>
      </c>
      <c r="Z1646" t="str">
        <f>IFERROR(__xludf.DUMMYFUNCTION("""COMPUTED_VALUE"""),"Very Good")</f>
        <v>Very Good</v>
      </c>
      <c r="AA1646" t="str">
        <f>IFERROR(__xludf.DUMMYFUNCTION("""COMPUTED_VALUE"""),"Fair")</f>
        <v>Fair</v>
      </c>
      <c r="AB1646" t="str">
        <f>IFERROR(__xludf.DUMMYFUNCTION("""COMPUTED_VALUE"""),"Fair")</f>
        <v>Fair</v>
      </c>
      <c r="AH1646" s="189">
        <f>IFERROR(__xludf.DUMMYFUNCTION("""COMPUTED_VALUE"""),43568.30055670139)</f>
        <v>43568.30056</v>
      </c>
    </row>
    <row r="1647">
      <c r="A1647" t="str">
        <f>IFERROR(__xludf.DUMMYFUNCTION("""COMPUTED_VALUE"""),"M3-Florida")</f>
        <v>M3-Florida</v>
      </c>
      <c r="B1647" t="str">
        <f>IFERROR(__xludf.DUMMYFUNCTION("""COMPUTED_VALUE"""),"NE Florida")</f>
        <v>NE Florida</v>
      </c>
      <c r="C1647" t="str">
        <f>IFERROR(__xludf.DUMMYFUNCTION("""COMPUTED_VALUE"""),"FL")</f>
        <v>FL</v>
      </c>
      <c r="D1647" t="str">
        <f>IFERROR(__xludf.DUMMYFUNCTION("""COMPUTED_VALUE"""),"USA")</f>
        <v>USA</v>
      </c>
      <c r="E1647" s="188">
        <f>IFERROR(__xludf.DUMMYFUNCTION("""COMPUTED_VALUE"""),43541.0)</f>
        <v>43541</v>
      </c>
      <c r="F1647" s="188">
        <f>IFERROR(__xludf.DUMMYFUNCTION("""COMPUTED_VALUE"""),43542.0)</f>
        <v>43542</v>
      </c>
      <c r="H1647">
        <f>IFERROR(__xludf.DUMMYFUNCTION("""COMPUTED_VALUE"""),297655.0)</f>
        <v>297655</v>
      </c>
      <c r="I1647" t="str">
        <f>IFERROR(__xludf.DUMMYFUNCTION("""COMPUTED_VALUE"""),"03/19")</f>
        <v>03/19</v>
      </c>
      <c r="J1647" s="5">
        <f>IFERROR(__xludf.DUMMYFUNCTION("""COMPUTED_VALUE"""),43553.0)</f>
        <v>43553</v>
      </c>
      <c r="K1647">
        <f>IFERROR(__xludf.DUMMYFUNCTION("""COMPUTED_VALUE"""),1.0)</f>
        <v>1</v>
      </c>
      <c r="L1647">
        <f>IFERROR(__xludf.DUMMYFUNCTION("""COMPUTED_VALUE"""),11.0)</f>
        <v>11</v>
      </c>
      <c r="M1647">
        <f>IFERROR(__xludf.DUMMYFUNCTION("""COMPUTED_VALUE"""),12.0)</f>
        <v>12</v>
      </c>
      <c r="N1647" t="str">
        <f>IFERROR(__xludf.DUMMYFUNCTION("""COMPUTED_VALUE"""),"Model 3 SR+")</f>
        <v>Model 3 SR+</v>
      </c>
      <c r="O1647" t="str">
        <f>IFERROR(__xludf.DUMMYFUNCTION("""COMPUTED_VALUE"""),"Solid Black")</f>
        <v>Solid Black</v>
      </c>
      <c r="P1647" t="str">
        <f>IFERROR(__xludf.DUMMYFUNCTION("""COMPUTED_VALUE"""),"18 inch Aero")</f>
        <v>18 inch Aero</v>
      </c>
      <c r="Q1647" t="str">
        <f>IFERROR(__xludf.DUMMYFUNCTION("""COMPUTED_VALUE"""),"Black seats")</f>
        <v>Black seats</v>
      </c>
      <c r="R1647" t="str">
        <f>IFERROR(__xludf.DUMMYFUNCTION("""COMPUTED_VALUE"""),"None")</f>
        <v>None</v>
      </c>
      <c r="X1647" t="str">
        <f>IFERROR(__xludf.DUMMYFUNCTION("""COMPUTED_VALUE"""),"Excellent")</f>
        <v>Excellent</v>
      </c>
      <c r="Y1647" t="str">
        <f>IFERROR(__xludf.DUMMYFUNCTION("""COMPUTED_VALUE"""),"Excellent")</f>
        <v>Excellent</v>
      </c>
      <c r="Z1647" t="str">
        <f>IFERROR(__xludf.DUMMYFUNCTION("""COMPUTED_VALUE"""),"Excellent")</f>
        <v>Excellent</v>
      </c>
      <c r="AA1647" t="str">
        <f>IFERROR(__xludf.DUMMYFUNCTION("""COMPUTED_VALUE"""),"Excellent")</f>
        <v>Excellent</v>
      </c>
      <c r="AB1647" t="str">
        <f>IFERROR(__xludf.DUMMYFUNCTION("""COMPUTED_VALUE"""),"Excellent")</f>
        <v>Excellent</v>
      </c>
      <c r="AC1647">
        <f>IFERROR(__xludf.DUMMYFUNCTION("""COMPUTED_VALUE"""),0.0)</f>
        <v>0</v>
      </c>
      <c r="AD1647">
        <f>IFERROR(__xludf.DUMMYFUNCTION("""COMPUTED_VALUE"""),0.0)</f>
        <v>0</v>
      </c>
      <c r="AE1647">
        <f>IFERROR(__xludf.DUMMYFUNCTION("""COMPUTED_VALUE"""),0.0)</f>
        <v>0</v>
      </c>
      <c r="AH1647" s="189">
        <f>IFERROR(__xludf.DUMMYFUNCTION("""COMPUTED_VALUE"""),43570.2004909838)</f>
        <v>43570.20049</v>
      </c>
    </row>
    <row r="1648">
      <c r="A1648" t="str">
        <f>IFERROR(__xludf.DUMMYFUNCTION("""COMPUTED_VALUE"""),"roostermt")</f>
        <v>roostermt</v>
      </c>
      <c r="B1648" t="str">
        <f>IFERROR(__xludf.DUMMYFUNCTION("""COMPUTED_VALUE"""),"Stuart")</f>
        <v>Stuart</v>
      </c>
      <c r="C1648" t="str">
        <f>IFERROR(__xludf.DUMMYFUNCTION("""COMPUTED_VALUE"""),"FL")</f>
        <v>FL</v>
      </c>
      <c r="D1648" t="str">
        <f>IFERROR(__xludf.DUMMYFUNCTION("""COMPUTED_VALUE"""),"USA")</f>
        <v>USA</v>
      </c>
      <c r="E1648" s="188">
        <f>IFERROR(__xludf.DUMMYFUNCTION("""COMPUTED_VALUE"""),43557.0)</f>
        <v>43557</v>
      </c>
      <c r="F1648" s="188">
        <f>IFERROR(__xludf.DUMMYFUNCTION("""COMPUTED_VALUE"""),43565.0)</f>
        <v>43565</v>
      </c>
      <c r="H1648">
        <f>IFERROR(__xludf.DUMMYFUNCTION("""COMPUTED_VALUE"""),210845.0)</f>
        <v>210845</v>
      </c>
      <c r="J1648" s="5">
        <f>IFERROR(__xludf.DUMMYFUNCTION("""COMPUTED_VALUE"""),43572.0)</f>
        <v>43572</v>
      </c>
      <c r="K1648">
        <f>IFERROR(__xludf.DUMMYFUNCTION("""COMPUTED_VALUE"""),8.0)</f>
        <v>8</v>
      </c>
      <c r="L1648">
        <f>IFERROR(__xludf.DUMMYFUNCTION("""COMPUTED_VALUE"""),7.0)</f>
        <v>7</v>
      </c>
      <c r="M1648">
        <f>IFERROR(__xludf.DUMMYFUNCTION("""COMPUTED_VALUE"""),15.0)</f>
        <v>15</v>
      </c>
      <c r="N1648" t="str">
        <f>IFERROR(__xludf.DUMMYFUNCTION("""COMPUTED_VALUE"""),"Model 3 LR AWD")</f>
        <v>Model 3 LR AWD</v>
      </c>
      <c r="O1648" t="str">
        <f>IFERROR(__xludf.DUMMYFUNCTION("""COMPUTED_VALUE"""),"Deep Blue Metallic")</f>
        <v>Deep Blue Metallic</v>
      </c>
      <c r="P1648" t="str">
        <f>IFERROR(__xludf.DUMMYFUNCTION("""COMPUTED_VALUE"""),"18 inch Aero")</f>
        <v>18 inch Aero</v>
      </c>
      <c r="Q1648" t="str">
        <f>IFERROR(__xludf.DUMMYFUNCTION("""COMPUTED_VALUE"""),"Black seats")</f>
        <v>Black seats</v>
      </c>
      <c r="R1648" t="str">
        <f>IFERROR(__xludf.DUMMYFUNCTION("""COMPUTED_VALUE"""),"Full Self-Driving")</f>
        <v>Full Self-Driving</v>
      </c>
      <c r="X1648" t="str">
        <f>IFERROR(__xludf.DUMMYFUNCTION("""COMPUTED_VALUE"""),"Very Good")</f>
        <v>Very Good</v>
      </c>
      <c r="Y1648" t="str">
        <f>IFERROR(__xludf.DUMMYFUNCTION("""COMPUTED_VALUE"""),"Very Good")</f>
        <v>Very Good</v>
      </c>
      <c r="Z1648" t="str">
        <f>IFERROR(__xludf.DUMMYFUNCTION("""COMPUTED_VALUE"""),"Very Good")</f>
        <v>Very Good</v>
      </c>
      <c r="AA1648" t="str">
        <f>IFERROR(__xludf.DUMMYFUNCTION("""COMPUTED_VALUE"""),"Good")</f>
        <v>Good</v>
      </c>
      <c r="AB1648" t="str">
        <f>IFERROR(__xludf.DUMMYFUNCTION("""COMPUTED_VALUE"""),"Very Good")</f>
        <v>Very Good</v>
      </c>
      <c r="AH1648" s="189">
        <f>IFERROR(__xludf.DUMMYFUNCTION("""COMPUTED_VALUE"""),43571.70149440972)</f>
        <v>43571.70149</v>
      </c>
    </row>
    <row r="1649">
      <c r="A1649" t="str">
        <f>IFERROR(__xludf.DUMMYFUNCTION("""COMPUTED_VALUE"""),"willow_hiller")</f>
        <v>willow_hiller</v>
      </c>
      <c r="C1649" t="str">
        <f>IFERROR(__xludf.DUMMYFUNCTION("""COMPUTED_VALUE"""),"MD")</f>
        <v>MD</v>
      </c>
      <c r="D1649" t="str">
        <f>IFERROR(__xludf.DUMMYFUNCTION("""COMPUTED_VALUE"""),"USA")</f>
        <v>USA</v>
      </c>
      <c r="E1649" s="188">
        <f>IFERROR(__xludf.DUMMYFUNCTION("""COMPUTED_VALUE"""),43547.0)</f>
        <v>43547</v>
      </c>
      <c r="F1649" s="188">
        <f>IFERROR(__xludf.DUMMYFUNCTION("""COMPUTED_VALUE"""),43549.0)</f>
        <v>43549</v>
      </c>
      <c r="H1649">
        <f>IFERROR(__xludf.DUMMYFUNCTION("""COMPUTED_VALUE"""),304455.0)</f>
        <v>304455</v>
      </c>
      <c r="I1649" t="str">
        <f>IFERROR(__xludf.DUMMYFUNCTION("""COMPUTED_VALUE"""),"03/19")</f>
        <v>03/19</v>
      </c>
      <c r="J1649" s="5">
        <f>IFERROR(__xludf.DUMMYFUNCTION("""COMPUTED_VALUE"""),43550.0)</f>
        <v>43550</v>
      </c>
      <c r="K1649">
        <f>IFERROR(__xludf.DUMMYFUNCTION("""COMPUTED_VALUE"""),2.0)</f>
        <v>2</v>
      </c>
      <c r="L1649">
        <f>IFERROR(__xludf.DUMMYFUNCTION("""COMPUTED_VALUE"""),1.0)</f>
        <v>1</v>
      </c>
      <c r="M1649">
        <f>IFERROR(__xludf.DUMMYFUNCTION("""COMPUTED_VALUE"""),3.0)</f>
        <v>3</v>
      </c>
      <c r="N1649" t="str">
        <f>IFERROR(__xludf.DUMMYFUNCTION("""COMPUTED_VALUE"""),"Model 3 SR+")</f>
        <v>Model 3 SR+</v>
      </c>
      <c r="O1649" t="str">
        <f>IFERROR(__xludf.DUMMYFUNCTION("""COMPUTED_VALUE"""),"Solid Black")</f>
        <v>Solid Black</v>
      </c>
      <c r="P1649" t="str">
        <f>IFERROR(__xludf.DUMMYFUNCTION("""COMPUTED_VALUE"""),"18 inch Aero")</f>
        <v>18 inch Aero</v>
      </c>
      <c r="Q1649" t="str">
        <f>IFERROR(__xludf.DUMMYFUNCTION("""COMPUTED_VALUE"""),"Black seats")</f>
        <v>Black seats</v>
      </c>
      <c r="R1649" t="str">
        <f>IFERROR(__xludf.DUMMYFUNCTION("""COMPUTED_VALUE"""),"None")</f>
        <v>None</v>
      </c>
      <c r="X1649" t="str">
        <f>IFERROR(__xludf.DUMMYFUNCTION("""COMPUTED_VALUE"""),"Excellent")</f>
        <v>Excellent</v>
      </c>
      <c r="Y1649" t="str">
        <f>IFERROR(__xludf.DUMMYFUNCTION("""COMPUTED_VALUE"""),"Excellent")</f>
        <v>Excellent</v>
      </c>
      <c r="Z1649" t="str">
        <f>IFERROR(__xludf.DUMMYFUNCTION("""COMPUTED_VALUE"""),"Excellent")</f>
        <v>Excellent</v>
      </c>
      <c r="AA1649" t="str">
        <f>IFERROR(__xludf.DUMMYFUNCTION("""COMPUTED_VALUE"""),"Very Good")</f>
        <v>Very Good</v>
      </c>
      <c r="AB1649" t="str">
        <f>IFERROR(__xludf.DUMMYFUNCTION("""COMPUTED_VALUE"""),"Very Good")</f>
        <v>Very Good</v>
      </c>
      <c r="AC1649">
        <f>IFERROR(__xludf.DUMMYFUNCTION("""COMPUTED_VALUE"""),0.0)</f>
        <v>0</v>
      </c>
      <c r="AD1649">
        <f>IFERROR(__xludf.DUMMYFUNCTION("""COMPUTED_VALUE"""),0.0)</f>
        <v>0</v>
      </c>
      <c r="AE1649">
        <f>IFERROR(__xludf.DUMMYFUNCTION("""COMPUTED_VALUE"""),0.0)</f>
        <v>0</v>
      </c>
      <c r="AH1649" s="189">
        <f>IFERROR(__xludf.DUMMYFUNCTION("""COMPUTED_VALUE"""),43572.24385107639)</f>
        <v>43572.24385</v>
      </c>
    </row>
    <row r="1650">
      <c r="A1650" t="str">
        <f>IFERROR(__xludf.DUMMYFUNCTION("""COMPUTED_VALUE"""),"Ry-ballz")</f>
        <v>Ry-ballz</v>
      </c>
      <c r="C1650" t="str">
        <f>IFERROR(__xludf.DUMMYFUNCTION("""COMPUTED_VALUE"""),"CO")</f>
        <v>CO</v>
      </c>
      <c r="D1650" t="str">
        <f>IFERROR(__xludf.DUMMYFUNCTION("""COMPUTED_VALUE"""),"USA")</f>
        <v>USA</v>
      </c>
      <c r="E1650" s="188">
        <f>IFERROR(__xludf.DUMMYFUNCTION("""COMPUTED_VALUE"""),43529.0)</f>
        <v>43529</v>
      </c>
      <c r="F1650" s="188">
        <f>IFERROR(__xludf.DUMMYFUNCTION("""COMPUTED_VALUE"""),43571.0)</f>
        <v>43571</v>
      </c>
      <c r="H1650">
        <f>IFERROR(__xludf.DUMMYFUNCTION("""COMPUTED_VALUE"""),213855.0)</f>
        <v>213855</v>
      </c>
      <c r="J1650" s="5">
        <f>IFERROR(__xludf.DUMMYFUNCTION("""COMPUTED_VALUE"""),43572.0)</f>
        <v>43572</v>
      </c>
      <c r="K1650">
        <f>IFERROR(__xludf.DUMMYFUNCTION("""COMPUTED_VALUE"""),42.0)</f>
        <v>42</v>
      </c>
      <c r="L1650">
        <f>IFERROR(__xludf.DUMMYFUNCTION("""COMPUTED_VALUE"""),1.0)</f>
        <v>1</v>
      </c>
      <c r="M1650">
        <f>IFERROR(__xludf.DUMMYFUNCTION("""COMPUTED_VALUE"""),43.0)</f>
        <v>43</v>
      </c>
      <c r="N1650" t="str">
        <f>IFERROR(__xludf.DUMMYFUNCTION("""COMPUTED_VALUE"""),"Model 3 LR AWD")</f>
        <v>Model 3 LR AWD</v>
      </c>
      <c r="O1650" t="str">
        <f>IFERROR(__xludf.DUMMYFUNCTION("""COMPUTED_VALUE"""),"Pearl White Multi-Coat")</f>
        <v>Pearl White Multi-Coat</v>
      </c>
      <c r="P1650" t="str">
        <f>IFERROR(__xludf.DUMMYFUNCTION("""COMPUTED_VALUE"""),"19 inch Sport")</f>
        <v>19 inch Sport</v>
      </c>
      <c r="Q1650" t="str">
        <f>IFERROR(__xludf.DUMMYFUNCTION("""COMPUTED_VALUE"""),"White seats")</f>
        <v>White seats</v>
      </c>
      <c r="R1650" t="str">
        <f>IFERROR(__xludf.DUMMYFUNCTION("""COMPUTED_VALUE"""),"Full Self-Driving")</f>
        <v>Full Self-Driving</v>
      </c>
      <c r="X1650" t="str">
        <f>IFERROR(__xludf.DUMMYFUNCTION("""COMPUTED_VALUE"""),"Excellent")</f>
        <v>Excellent</v>
      </c>
      <c r="Y1650" t="str">
        <f>IFERROR(__xludf.DUMMYFUNCTION("""COMPUTED_VALUE"""),"Excellent")</f>
        <v>Excellent</v>
      </c>
      <c r="Z1650" t="str">
        <f>IFERROR(__xludf.DUMMYFUNCTION("""COMPUTED_VALUE"""),"Excellent")</f>
        <v>Excellent</v>
      </c>
      <c r="AA1650" t="str">
        <f>IFERROR(__xludf.DUMMYFUNCTION("""COMPUTED_VALUE"""),"Excellent")</f>
        <v>Excellent</v>
      </c>
      <c r="AB1650" t="str">
        <f>IFERROR(__xludf.DUMMYFUNCTION("""COMPUTED_VALUE"""),"Excellent")</f>
        <v>Excellent</v>
      </c>
      <c r="AG1650" t="str">
        <f>IFERROR(__xludf.DUMMYFUNCTION("""COMPUTED_VALUE"""),"Recieved a VIN on 3/20 for a 2018 car. No discount available. Switched to a 2019 order. After not hearing from Tesla for 3 weeks asked if there were inventory cars. Offered 2 options, selected one with a wheel upgrade available immediately. ")</f>
        <v>Recieved a VIN on 3/20 for a 2018 car. No discount available. Switched to a 2019 order. After not hearing from Tesla for 3 weeks asked if there were inventory cars. Offered 2 options, selected one with a wheel upgrade available immediately. </v>
      </c>
      <c r="AH1650" s="189">
        <f>IFERROR(__xludf.DUMMYFUNCTION("""COMPUTED_VALUE"""),43572.71605791667)</f>
        <v>43572.71606</v>
      </c>
    </row>
    <row r="1651">
      <c r="A1651" t="str">
        <f>IFERROR(__xludf.DUMMYFUNCTION("""COMPUTED_VALUE"""),"bc9922ab2e7f2f05d858")</f>
        <v>bc9922ab2e7f2f05d858</v>
      </c>
      <c r="B1651" t="str">
        <f>IFERROR(__xludf.DUMMYFUNCTION("""COMPUTED_VALUE"""),"Phoenix")</f>
        <v>Phoenix</v>
      </c>
      <c r="C1651" t="str">
        <f>IFERROR(__xludf.DUMMYFUNCTION("""COMPUTED_VALUE"""),"AZ")</f>
        <v>AZ</v>
      </c>
      <c r="D1651" t="str">
        <f>IFERROR(__xludf.DUMMYFUNCTION("""COMPUTED_VALUE"""),"USA")</f>
        <v>USA</v>
      </c>
      <c r="E1651" s="188">
        <f>IFERROR(__xludf.DUMMYFUNCTION("""COMPUTED_VALUE"""),43544.0)</f>
        <v>43544</v>
      </c>
      <c r="F1651" s="188">
        <f>IFERROR(__xludf.DUMMYFUNCTION("""COMPUTED_VALUE"""),43568.0)</f>
        <v>43568</v>
      </c>
      <c r="H1651">
        <f>IFERROR(__xludf.DUMMYFUNCTION("""COMPUTED_VALUE"""),306765.0)</f>
        <v>306765</v>
      </c>
      <c r="J1651" s="5">
        <f>IFERROR(__xludf.DUMMYFUNCTION("""COMPUTED_VALUE"""),43572.0)</f>
        <v>43572</v>
      </c>
      <c r="K1651">
        <f>IFERROR(__xludf.DUMMYFUNCTION("""COMPUTED_VALUE"""),24.0)</f>
        <v>24</v>
      </c>
      <c r="L1651">
        <f>IFERROR(__xludf.DUMMYFUNCTION("""COMPUTED_VALUE"""),4.0)</f>
        <v>4</v>
      </c>
      <c r="M1651">
        <f>IFERROR(__xludf.DUMMYFUNCTION("""COMPUTED_VALUE"""),28.0)</f>
        <v>28</v>
      </c>
      <c r="N1651" t="str">
        <f>IFERROR(__xludf.DUMMYFUNCTION("""COMPUTED_VALUE"""),"Model 3 SR")</f>
        <v>Model 3 SR</v>
      </c>
      <c r="O1651" t="str">
        <f>IFERROR(__xludf.DUMMYFUNCTION("""COMPUTED_VALUE"""),"Solid Black")</f>
        <v>Solid Black</v>
      </c>
      <c r="P1651" t="str">
        <f>IFERROR(__xludf.DUMMYFUNCTION("""COMPUTED_VALUE"""),"18 inch Aero")</f>
        <v>18 inch Aero</v>
      </c>
      <c r="Q1651" t="str">
        <f>IFERROR(__xludf.DUMMYFUNCTION("""COMPUTED_VALUE"""),"Black seats")</f>
        <v>Black seats</v>
      </c>
      <c r="R1651" t="str">
        <f>IFERROR(__xludf.DUMMYFUNCTION("""COMPUTED_VALUE"""),"None")</f>
        <v>None</v>
      </c>
      <c r="X1651" t="str">
        <f>IFERROR(__xludf.DUMMYFUNCTION("""COMPUTED_VALUE"""),"Excellent")</f>
        <v>Excellent</v>
      </c>
      <c r="Y1651" t="str">
        <f>IFERROR(__xludf.DUMMYFUNCTION("""COMPUTED_VALUE"""),"Excellent")</f>
        <v>Excellent</v>
      </c>
      <c r="Z1651" t="str">
        <f>IFERROR(__xludf.DUMMYFUNCTION("""COMPUTED_VALUE"""),"Excellent")</f>
        <v>Excellent</v>
      </c>
      <c r="AA1651" t="str">
        <f>IFERROR(__xludf.DUMMYFUNCTION("""COMPUTED_VALUE"""),"Poor")</f>
        <v>Poor</v>
      </c>
      <c r="AB1651" t="str">
        <f>IFERROR(__xludf.DUMMYFUNCTION("""COMPUTED_VALUE"""),"Good")</f>
        <v>Good</v>
      </c>
      <c r="AH1651" s="189">
        <f>IFERROR(__xludf.DUMMYFUNCTION("""COMPUTED_VALUE"""),43572.82769777778)</f>
        <v>43572.8277</v>
      </c>
    </row>
    <row r="1652">
      <c r="A1652" t="str">
        <f>IFERROR(__xludf.DUMMYFUNCTION("""COMPUTED_VALUE"""),"lding")</f>
        <v>lding</v>
      </c>
      <c r="B1652" t="str">
        <f>IFERROR(__xludf.DUMMYFUNCTION("""COMPUTED_VALUE"""),"Portland")</f>
        <v>Portland</v>
      </c>
      <c r="C1652" t="str">
        <f>IFERROR(__xludf.DUMMYFUNCTION("""COMPUTED_VALUE"""),"OR")</f>
        <v>OR</v>
      </c>
      <c r="D1652" t="str">
        <f>IFERROR(__xludf.DUMMYFUNCTION("""COMPUTED_VALUE"""),"USA")</f>
        <v>USA</v>
      </c>
      <c r="E1652" s="188">
        <f>IFERROR(__xludf.DUMMYFUNCTION("""COMPUTED_VALUE"""),43530.0)</f>
        <v>43530</v>
      </c>
      <c r="F1652" s="188">
        <f>IFERROR(__xludf.DUMMYFUNCTION("""COMPUTED_VALUE"""),43568.0)</f>
        <v>43568</v>
      </c>
      <c r="H1652">
        <f>IFERROR(__xludf.DUMMYFUNCTION("""COMPUTED_VALUE"""),306155.0)</f>
        <v>306155</v>
      </c>
      <c r="I1652" t="str">
        <f>IFERROR(__xludf.DUMMYFUNCTION("""COMPUTED_VALUE"""),"03/19")</f>
        <v>03/19</v>
      </c>
      <c r="J1652" s="5">
        <f>IFERROR(__xludf.DUMMYFUNCTION("""COMPUTED_VALUE"""),43572.0)</f>
        <v>43572</v>
      </c>
      <c r="K1652">
        <f>IFERROR(__xludf.DUMMYFUNCTION("""COMPUTED_VALUE"""),38.0)</f>
        <v>38</v>
      </c>
      <c r="L1652">
        <f>IFERROR(__xludf.DUMMYFUNCTION("""COMPUTED_VALUE"""),4.0)</f>
        <v>4</v>
      </c>
      <c r="M1652">
        <f>IFERROR(__xludf.DUMMYFUNCTION("""COMPUTED_VALUE"""),42.0)</f>
        <v>42</v>
      </c>
      <c r="N1652" t="str">
        <f>IFERROR(__xludf.DUMMYFUNCTION("""COMPUTED_VALUE"""),"Model 3 SR")</f>
        <v>Model 3 SR</v>
      </c>
      <c r="O1652" t="str">
        <f>IFERROR(__xludf.DUMMYFUNCTION("""COMPUTED_VALUE"""),"Solid Black")</f>
        <v>Solid Black</v>
      </c>
      <c r="P1652" t="str">
        <f>IFERROR(__xludf.DUMMYFUNCTION("""COMPUTED_VALUE"""),"18 inch Aero")</f>
        <v>18 inch Aero</v>
      </c>
      <c r="Q1652" t="str">
        <f>IFERROR(__xludf.DUMMYFUNCTION("""COMPUTED_VALUE"""),"Black seats")</f>
        <v>Black seats</v>
      </c>
      <c r="R1652" t="str">
        <f>IFERROR(__xludf.DUMMYFUNCTION("""COMPUTED_VALUE"""),"None")</f>
        <v>None</v>
      </c>
      <c r="X1652" t="str">
        <f>IFERROR(__xludf.DUMMYFUNCTION("""COMPUTED_VALUE"""),"Excellent")</f>
        <v>Excellent</v>
      </c>
      <c r="Y1652" t="str">
        <f>IFERROR(__xludf.DUMMYFUNCTION("""COMPUTED_VALUE"""),"Excellent")</f>
        <v>Excellent</v>
      </c>
      <c r="Z1652" t="str">
        <f>IFERROR(__xludf.DUMMYFUNCTION("""COMPUTED_VALUE"""),"Excellent")</f>
        <v>Excellent</v>
      </c>
      <c r="AA1652" t="str">
        <f>IFERROR(__xludf.DUMMYFUNCTION("""COMPUTED_VALUE"""),"Excellent")</f>
        <v>Excellent</v>
      </c>
      <c r="AB1652" t="str">
        <f>IFERROR(__xludf.DUMMYFUNCTION("""COMPUTED_VALUE"""),"Excellent")</f>
        <v>Excellent</v>
      </c>
      <c r="AC1652">
        <f>IFERROR(__xludf.DUMMYFUNCTION("""COMPUTED_VALUE"""),0.0)</f>
        <v>0</v>
      </c>
      <c r="AD1652">
        <f>IFERROR(__xludf.DUMMYFUNCTION("""COMPUTED_VALUE"""),0.0)</f>
        <v>0</v>
      </c>
      <c r="AE1652">
        <f>IFERROR(__xludf.DUMMYFUNCTION("""COMPUTED_VALUE"""),0.0)</f>
        <v>0</v>
      </c>
      <c r="AH1652" s="189">
        <f>IFERROR(__xludf.DUMMYFUNCTION("""COMPUTED_VALUE"""),43573.08144731482)</f>
        <v>43573.08145</v>
      </c>
    </row>
    <row r="1653">
      <c r="A1653" t="str">
        <f>IFERROR(__xludf.DUMMYFUNCTION("""COMPUTED_VALUE"""),"bwilson4web")</f>
        <v>bwilson4web</v>
      </c>
      <c r="B1653" t="str">
        <f>IFERROR(__xludf.DUMMYFUNCTION("""COMPUTED_VALUE"""),"Huntsville")</f>
        <v>Huntsville</v>
      </c>
      <c r="C1653" t="str">
        <f>IFERROR(__xludf.DUMMYFUNCTION("""COMPUTED_VALUE"""),"AL")</f>
        <v>AL</v>
      </c>
      <c r="D1653" t="str">
        <f>IFERROR(__xludf.DUMMYFUNCTION("""COMPUTED_VALUE"""),"USA")</f>
        <v>USA</v>
      </c>
      <c r="E1653" s="188">
        <f>IFERROR(__xludf.DUMMYFUNCTION("""COMPUTED_VALUE"""),43550.0)</f>
        <v>43550</v>
      </c>
      <c r="F1653" s="188">
        <f>IFERROR(__xludf.DUMMYFUNCTION("""COMPUTED_VALUE"""),43549.0)</f>
        <v>43549</v>
      </c>
      <c r="H1653">
        <f>IFERROR(__xludf.DUMMYFUNCTION("""COMPUTED_VALUE"""),299234.0)</f>
        <v>299234</v>
      </c>
      <c r="I1653" t="str">
        <f>IFERROR(__xludf.DUMMYFUNCTION("""COMPUTED_VALUE"""),"03/19")</f>
        <v>03/19</v>
      </c>
      <c r="J1653" s="5">
        <f>IFERROR(__xludf.DUMMYFUNCTION("""COMPUTED_VALUE"""),43550.0)</f>
        <v>43550</v>
      </c>
      <c r="L1653">
        <f>IFERROR(__xludf.DUMMYFUNCTION("""COMPUTED_VALUE"""),1.0)</f>
        <v>1</v>
      </c>
      <c r="M1653">
        <f>IFERROR(__xludf.DUMMYFUNCTION("""COMPUTED_VALUE"""),0.0)</f>
        <v>0</v>
      </c>
      <c r="N1653" t="str">
        <f>IFERROR(__xludf.DUMMYFUNCTION("""COMPUTED_VALUE"""),"Model 3 SR+")</f>
        <v>Model 3 SR+</v>
      </c>
      <c r="O1653" t="str">
        <f>IFERROR(__xludf.DUMMYFUNCTION("""COMPUTED_VALUE"""),"Deep Blue Metallic")</f>
        <v>Deep Blue Metallic</v>
      </c>
      <c r="P1653" t="str">
        <f>IFERROR(__xludf.DUMMYFUNCTION("""COMPUTED_VALUE"""),"18 inch Aero")</f>
        <v>18 inch Aero</v>
      </c>
      <c r="Q1653" t="str">
        <f>IFERROR(__xludf.DUMMYFUNCTION("""COMPUTED_VALUE"""),"Black seats")</f>
        <v>Black seats</v>
      </c>
      <c r="R1653" t="str">
        <f>IFERROR(__xludf.DUMMYFUNCTION("""COMPUTED_VALUE"""),"Autopilot")</f>
        <v>Autopilot</v>
      </c>
      <c r="X1653" t="str">
        <f>IFERROR(__xludf.DUMMYFUNCTION("""COMPUTED_VALUE"""),"Excellent")</f>
        <v>Excellent</v>
      </c>
      <c r="Y1653" t="str">
        <f>IFERROR(__xludf.DUMMYFUNCTION("""COMPUTED_VALUE"""),"Excellent")</f>
        <v>Excellent</v>
      </c>
      <c r="Z1653" t="str">
        <f>IFERROR(__xludf.DUMMYFUNCTION("""COMPUTED_VALUE"""),"Excellent")</f>
        <v>Excellent</v>
      </c>
      <c r="AA1653" t="str">
        <f>IFERROR(__xludf.DUMMYFUNCTION("""COMPUTED_VALUE"""),"Excellent")</f>
        <v>Excellent</v>
      </c>
      <c r="AB1653" t="str">
        <f>IFERROR(__xludf.DUMMYFUNCTION("""COMPUTED_VALUE"""),"Excellent")</f>
        <v>Excellent</v>
      </c>
      <c r="AC1653">
        <f>IFERROR(__xludf.DUMMYFUNCTION("""COMPUTED_VALUE"""),0.0)</f>
        <v>0</v>
      </c>
      <c r="AD1653">
        <f>IFERROR(__xludf.DUMMYFUNCTION("""COMPUTED_VALUE"""),0.0)</f>
        <v>0</v>
      </c>
      <c r="AE1653">
        <f>IFERROR(__xludf.DUMMYFUNCTION("""COMPUTED_VALUE"""),0.0)</f>
        <v>0</v>
      </c>
      <c r="AG1653" t="str">
        <f>IFERROR(__xludf.DUMMYFUNCTION("""COMPUTED_VALUE"""),"Fully meets and exceeds expectations")</f>
        <v>Fully meets and exceeds expectations</v>
      </c>
      <c r="AH1653" s="189">
        <f>IFERROR(__xludf.DUMMYFUNCTION("""COMPUTED_VALUE"""),43576.22885400463)</f>
        <v>43576.22885</v>
      </c>
    </row>
    <row r="1654">
      <c r="A1654" t="str">
        <f>IFERROR(__xludf.DUMMYFUNCTION("""COMPUTED_VALUE"""),"m3")</f>
        <v>m3</v>
      </c>
      <c r="B1654" t="str">
        <f>IFERROR(__xludf.DUMMYFUNCTION("""COMPUTED_VALUE"""),"Mountain View")</f>
        <v>Mountain View</v>
      </c>
      <c r="C1654" t="str">
        <f>IFERROR(__xludf.DUMMYFUNCTION("""COMPUTED_VALUE"""),"CA")</f>
        <v>CA</v>
      </c>
      <c r="D1654" t="str">
        <f>IFERROR(__xludf.DUMMYFUNCTION("""COMPUTED_VALUE"""),"USA")</f>
        <v>USA</v>
      </c>
      <c r="E1654" s="188">
        <f>IFERROR(__xludf.DUMMYFUNCTION("""COMPUTED_VALUE"""),43572.0)</f>
        <v>43572</v>
      </c>
      <c r="F1654" s="188">
        <f>IFERROR(__xludf.DUMMYFUNCTION("""COMPUTED_VALUE"""),43572.0)</f>
        <v>43572</v>
      </c>
      <c r="H1654">
        <f>IFERROR(__xludf.DUMMYFUNCTION("""COMPUTED_VALUE"""),307555.0)</f>
        <v>307555</v>
      </c>
      <c r="I1654" t="str">
        <f>IFERROR(__xludf.DUMMYFUNCTION("""COMPUTED_VALUE"""),"04/19")</f>
        <v>04/19</v>
      </c>
      <c r="J1654" s="5">
        <f>IFERROR(__xludf.DUMMYFUNCTION("""COMPUTED_VALUE"""),43575.0)</f>
        <v>43575</v>
      </c>
      <c r="K1654">
        <f>IFERROR(__xludf.DUMMYFUNCTION("""COMPUTED_VALUE"""),0.0)</f>
        <v>0</v>
      </c>
      <c r="L1654">
        <f>IFERROR(__xludf.DUMMYFUNCTION("""COMPUTED_VALUE"""),3.0)</f>
        <v>3</v>
      </c>
      <c r="M1654">
        <f>IFERROR(__xludf.DUMMYFUNCTION("""COMPUTED_VALUE"""),3.0)</f>
        <v>3</v>
      </c>
      <c r="N1654" t="str">
        <f>IFERROR(__xludf.DUMMYFUNCTION("""COMPUTED_VALUE"""),"Model 3 SR")</f>
        <v>Model 3 SR</v>
      </c>
      <c r="O1654" t="str">
        <f>IFERROR(__xludf.DUMMYFUNCTION("""COMPUTED_VALUE"""),"Midnight Silver Metallic")</f>
        <v>Midnight Silver Metallic</v>
      </c>
      <c r="P1654" t="str">
        <f>IFERROR(__xludf.DUMMYFUNCTION("""COMPUTED_VALUE"""),"18 inch Aero")</f>
        <v>18 inch Aero</v>
      </c>
      <c r="Q1654" t="str">
        <f>IFERROR(__xludf.DUMMYFUNCTION("""COMPUTED_VALUE"""),"Black seats")</f>
        <v>Black seats</v>
      </c>
      <c r="R1654" t="str">
        <f>IFERROR(__xludf.DUMMYFUNCTION("""COMPUTED_VALUE"""),"None")</f>
        <v>None</v>
      </c>
      <c r="X1654" t="str">
        <f>IFERROR(__xludf.DUMMYFUNCTION("""COMPUTED_VALUE"""),"Excellent")</f>
        <v>Excellent</v>
      </c>
      <c r="Y1654" t="str">
        <f>IFERROR(__xludf.DUMMYFUNCTION("""COMPUTED_VALUE"""),"Excellent")</f>
        <v>Excellent</v>
      </c>
      <c r="Z1654" t="str">
        <f>IFERROR(__xludf.DUMMYFUNCTION("""COMPUTED_VALUE"""),"Excellent")</f>
        <v>Excellent</v>
      </c>
      <c r="AA1654" t="str">
        <f>IFERROR(__xludf.DUMMYFUNCTION("""COMPUTED_VALUE"""),"Excellent")</f>
        <v>Excellent</v>
      </c>
      <c r="AB1654" t="str">
        <f>IFERROR(__xludf.DUMMYFUNCTION("""COMPUTED_VALUE"""),"Excellent")</f>
        <v>Excellent</v>
      </c>
      <c r="AH1654" s="189">
        <f>IFERROR(__xludf.DUMMYFUNCTION("""COMPUTED_VALUE"""),43576.798255)</f>
        <v>43576.79826</v>
      </c>
    </row>
    <row r="1655">
      <c r="A1655" t="str">
        <f>IFERROR(__xludf.DUMMYFUNCTION("""COMPUTED_VALUE"""),"CarlosTT")</f>
        <v>CarlosTT</v>
      </c>
      <c r="B1655" t="str">
        <f>IFERROR(__xludf.DUMMYFUNCTION("""COMPUTED_VALUE"""),"Bad Honnef")</f>
        <v>Bad Honnef</v>
      </c>
      <c r="D1655" t="str">
        <f>IFERROR(__xludf.DUMMYFUNCTION("""COMPUTED_VALUE"""),"Germany")</f>
        <v>Germany</v>
      </c>
      <c r="E1655" s="188">
        <f>IFERROR(__xludf.DUMMYFUNCTION("""COMPUTED_VALUE"""),43455.0)</f>
        <v>43455</v>
      </c>
      <c r="F1655" s="188">
        <f>IFERROR(__xludf.DUMMYFUNCTION("""COMPUTED_VALUE"""),43504.0)</f>
        <v>43504</v>
      </c>
      <c r="H1655">
        <f>IFERROR(__xludf.DUMMYFUNCTION("""COMPUTED_VALUE"""),207647.0)</f>
        <v>207647</v>
      </c>
      <c r="J1655" s="5">
        <f>IFERROR(__xludf.DUMMYFUNCTION("""COMPUTED_VALUE"""),43518.0)</f>
        <v>43518</v>
      </c>
      <c r="K1655">
        <f>IFERROR(__xludf.DUMMYFUNCTION("""COMPUTED_VALUE"""),49.0)</f>
        <v>49</v>
      </c>
      <c r="L1655">
        <f>IFERROR(__xludf.DUMMYFUNCTION("""COMPUTED_VALUE"""),14.0)</f>
        <v>14</v>
      </c>
      <c r="M1655">
        <f>IFERROR(__xludf.DUMMYFUNCTION("""COMPUTED_VALUE"""),63.0)</f>
        <v>63</v>
      </c>
      <c r="N1655" t="str">
        <f>IFERROR(__xludf.DUMMYFUNCTION("""COMPUTED_VALUE"""),"Model 3 Performance")</f>
        <v>Model 3 Performance</v>
      </c>
      <c r="O1655" t="str">
        <f>IFERROR(__xludf.DUMMYFUNCTION("""COMPUTED_VALUE"""),"Deep Blue Metallic")</f>
        <v>Deep Blue Metallic</v>
      </c>
      <c r="P1655" t="str">
        <f>IFERROR(__xludf.DUMMYFUNCTION("""COMPUTED_VALUE"""),"20 inch Sport")</f>
        <v>20 inch Sport</v>
      </c>
      <c r="Q1655" t="str">
        <f>IFERROR(__xludf.DUMMYFUNCTION("""COMPUTED_VALUE"""),"Black seats")</f>
        <v>Black seats</v>
      </c>
      <c r="R1655" t="str">
        <f>IFERROR(__xludf.DUMMYFUNCTION("""COMPUTED_VALUE"""),"Autopilot")</f>
        <v>Autopilot</v>
      </c>
      <c r="X1655" t="str">
        <f>IFERROR(__xludf.DUMMYFUNCTION("""COMPUTED_VALUE"""),"Good")</f>
        <v>Good</v>
      </c>
      <c r="Y1655" t="str">
        <f>IFERROR(__xludf.DUMMYFUNCTION("""COMPUTED_VALUE"""),"Good")</f>
        <v>Good</v>
      </c>
      <c r="Z1655" t="str">
        <f>IFERROR(__xludf.DUMMYFUNCTION("""COMPUTED_VALUE"""),"Fair")</f>
        <v>Fair</v>
      </c>
      <c r="AA1655" t="str">
        <f>IFERROR(__xludf.DUMMYFUNCTION("""COMPUTED_VALUE"""),"Poor")</f>
        <v>Poor</v>
      </c>
      <c r="AB1655" t="str">
        <f>IFERROR(__xludf.DUMMYFUNCTION("""COMPUTED_VALUE"""),"Good")</f>
        <v>Good</v>
      </c>
      <c r="AC1655">
        <f>IFERROR(__xludf.DUMMYFUNCTION("""COMPUTED_VALUE"""),3.0)</f>
        <v>3</v>
      </c>
      <c r="AD1655">
        <f>IFERROR(__xludf.DUMMYFUNCTION("""COMPUTED_VALUE"""),1.0)</f>
        <v>1</v>
      </c>
      <c r="AE1655">
        <f>IFERROR(__xludf.DUMMYFUNCTION("""COMPUTED_VALUE"""),0.0)</f>
        <v>0</v>
      </c>
      <c r="AH1655" s="189">
        <f>IFERROR(__xludf.DUMMYFUNCTION("""COMPUTED_VALUE"""),43577.155662986115)</f>
        <v>43577.15566</v>
      </c>
    </row>
    <row r="1656">
      <c r="A1656" t="str">
        <f>IFERROR(__xludf.DUMMYFUNCTION("""COMPUTED_VALUE"""),"BlastedPrism")</f>
        <v>BlastedPrism</v>
      </c>
      <c r="B1656" t="str">
        <f>IFERROR(__xludf.DUMMYFUNCTION("""COMPUTED_VALUE"""),"White Lake")</f>
        <v>White Lake</v>
      </c>
      <c r="C1656" t="str">
        <f>IFERROR(__xludf.DUMMYFUNCTION("""COMPUTED_VALUE"""),"MI")</f>
        <v>MI</v>
      </c>
      <c r="D1656" t="str">
        <f>IFERROR(__xludf.DUMMYFUNCTION("""COMPUTED_VALUE"""),"USA")</f>
        <v>USA</v>
      </c>
      <c r="E1656" s="188">
        <f>IFERROR(__xludf.DUMMYFUNCTION("""COMPUTED_VALUE"""),43279.0)</f>
        <v>43279</v>
      </c>
      <c r="F1656" s="188">
        <f>IFERROR(__xludf.DUMMYFUNCTION("""COMPUTED_VALUE"""),43280.0)</f>
        <v>43280</v>
      </c>
      <c r="H1656">
        <f>IFERROR(__xludf.DUMMYFUNCTION("""COMPUTED_VALUE"""),23335.0)</f>
        <v>23335</v>
      </c>
      <c r="J1656" s="5">
        <f>IFERROR(__xludf.DUMMYFUNCTION("""COMPUTED_VALUE"""),43284.0)</f>
        <v>43284</v>
      </c>
      <c r="K1656">
        <f>IFERROR(__xludf.DUMMYFUNCTION("""COMPUTED_VALUE"""),1.0)</f>
        <v>1</v>
      </c>
      <c r="L1656">
        <f>IFERROR(__xludf.DUMMYFUNCTION("""COMPUTED_VALUE"""),4.0)</f>
        <v>4</v>
      </c>
      <c r="M1656">
        <f>IFERROR(__xludf.DUMMYFUNCTION("""COMPUTED_VALUE"""),5.0)</f>
        <v>5</v>
      </c>
      <c r="N1656" t="str">
        <f>IFERROR(__xludf.DUMMYFUNCTION("""COMPUTED_VALUE"""),"Model 3 LR")</f>
        <v>Model 3 LR</v>
      </c>
      <c r="O1656" t="str">
        <f>IFERROR(__xludf.DUMMYFUNCTION("""COMPUTED_VALUE"""),"Pearl White Multi-Coat")</f>
        <v>Pearl White Multi-Coat</v>
      </c>
      <c r="P1656" t="str">
        <f>IFERROR(__xludf.DUMMYFUNCTION("""COMPUTED_VALUE"""),"18 inch Aero")</f>
        <v>18 inch Aero</v>
      </c>
      <c r="Q1656" t="str">
        <f>IFERROR(__xludf.DUMMYFUNCTION("""COMPUTED_VALUE"""),"Black seats")</f>
        <v>Black seats</v>
      </c>
      <c r="R1656" t="str">
        <f>IFERROR(__xludf.DUMMYFUNCTION("""COMPUTED_VALUE"""),"Full Self-Driving")</f>
        <v>Full Self-Driving</v>
      </c>
      <c r="X1656" t="str">
        <f>IFERROR(__xludf.DUMMYFUNCTION("""COMPUTED_VALUE"""),"Excellent")</f>
        <v>Excellent</v>
      </c>
      <c r="Y1656" t="str">
        <f>IFERROR(__xludf.DUMMYFUNCTION("""COMPUTED_VALUE"""),"Excellent")</f>
        <v>Excellent</v>
      </c>
      <c r="Z1656" t="str">
        <f>IFERROR(__xludf.DUMMYFUNCTION("""COMPUTED_VALUE"""),"Excellent")</f>
        <v>Excellent</v>
      </c>
      <c r="AA1656" t="str">
        <f>IFERROR(__xludf.DUMMYFUNCTION("""COMPUTED_VALUE"""),"Excellent")</f>
        <v>Excellent</v>
      </c>
      <c r="AB1656" t="str">
        <f>IFERROR(__xludf.DUMMYFUNCTION("""COMPUTED_VALUE"""),"Excellent")</f>
        <v>Excellent</v>
      </c>
      <c r="AC1656">
        <f>IFERROR(__xludf.DUMMYFUNCTION("""COMPUTED_VALUE"""),0.0)</f>
        <v>0</v>
      </c>
      <c r="AD1656">
        <f>IFERROR(__xludf.DUMMYFUNCTION("""COMPUTED_VALUE"""),0.0)</f>
        <v>0</v>
      </c>
      <c r="AE1656">
        <f>IFERROR(__xludf.DUMMYFUNCTION("""COMPUTED_VALUE"""),0.0)</f>
        <v>0</v>
      </c>
      <c r="AH1656" s="189">
        <f>IFERROR(__xludf.DUMMYFUNCTION("""COMPUTED_VALUE"""),43577.535566817125)</f>
        <v>43577.53557</v>
      </c>
    </row>
    <row r="1657">
      <c r="A1657" t="str">
        <f>IFERROR(__xludf.DUMMYFUNCTION("""COMPUTED_VALUE"""),"deling")</f>
        <v>deling</v>
      </c>
      <c r="B1657" t="str">
        <f>IFERROR(__xludf.DUMMYFUNCTION("""COMPUTED_VALUE"""),"Marion")</f>
        <v>Marion</v>
      </c>
      <c r="C1657" t="str">
        <f>IFERROR(__xludf.DUMMYFUNCTION("""COMPUTED_VALUE"""),"MA")</f>
        <v>MA</v>
      </c>
      <c r="D1657" t="str">
        <f>IFERROR(__xludf.DUMMYFUNCTION("""COMPUTED_VALUE"""),"USA")</f>
        <v>USA</v>
      </c>
      <c r="E1657" s="188">
        <f>IFERROR(__xludf.DUMMYFUNCTION("""COMPUTED_VALUE"""),43541.0)</f>
        <v>43541</v>
      </c>
      <c r="F1657" s="188">
        <f>IFERROR(__xludf.DUMMYFUNCTION("""COMPUTED_VALUE"""),43568.0)</f>
        <v>43568</v>
      </c>
      <c r="H1657">
        <f>IFERROR(__xludf.DUMMYFUNCTION("""COMPUTED_VALUE"""),306400.0)</f>
        <v>306400</v>
      </c>
      <c r="J1657" s="5">
        <f>IFERROR(__xludf.DUMMYFUNCTION("""COMPUTED_VALUE"""),43574.0)</f>
        <v>43574</v>
      </c>
      <c r="K1657">
        <f>IFERROR(__xludf.DUMMYFUNCTION("""COMPUTED_VALUE"""),27.0)</f>
        <v>27</v>
      </c>
      <c r="L1657">
        <f>IFERROR(__xludf.DUMMYFUNCTION("""COMPUTED_VALUE"""),6.0)</f>
        <v>6</v>
      </c>
      <c r="M1657">
        <f>IFERROR(__xludf.DUMMYFUNCTION("""COMPUTED_VALUE"""),33.0)</f>
        <v>33</v>
      </c>
      <c r="N1657" t="str">
        <f>IFERROR(__xludf.DUMMYFUNCTION("""COMPUTED_VALUE"""),"Model 3 SR")</f>
        <v>Model 3 SR</v>
      </c>
      <c r="O1657" t="str">
        <f>IFERROR(__xludf.DUMMYFUNCTION("""COMPUTED_VALUE"""),"Solid Black")</f>
        <v>Solid Black</v>
      </c>
      <c r="P1657" t="str">
        <f>IFERROR(__xludf.DUMMYFUNCTION("""COMPUTED_VALUE"""),"18 inch Aero")</f>
        <v>18 inch Aero</v>
      </c>
      <c r="Q1657" t="str">
        <f>IFERROR(__xludf.DUMMYFUNCTION("""COMPUTED_VALUE"""),"Black seats")</f>
        <v>Black seats</v>
      </c>
      <c r="R1657" t="str">
        <f>IFERROR(__xludf.DUMMYFUNCTION("""COMPUTED_VALUE"""),"Autopilot")</f>
        <v>Autopilot</v>
      </c>
      <c r="X1657" t="str">
        <f>IFERROR(__xludf.DUMMYFUNCTION("""COMPUTED_VALUE"""),"Excellent")</f>
        <v>Excellent</v>
      </c>
      <c r="Y1657" t="str">
        <f>IFERROR(__xludf.DUMMYFUNCTION("""COMPUTED_VALUE"""),"Excellent")</f>
        <v>Excellent</v>
      </c>
      <c r="Z1657" t="str">
        <f>IFERROR(__xludf.DUMMYFUNCTION("""COMPUTED_VALUE"""),"Excellent")</f>
        <v>Excellent</v>
      </c>
      <c r="AA1657" t="str">
        <f>IFERROR(__xludf.DUMMYFUNCTION("""COMPUTED_VALUE"""),"Fair")</f>
        <v>Fair</v>
      </c>
      <c r="AB1657" t="str">
        <f>IFERROR(__xludf.DUMMYFUNCTION("""COMPUTED_VALUE"""),"Very Good")</f>
        <v>Very Good</v>
      </c>
      <c r="AC1657">
        <f>IFERROR(__xludf.DUMMYFUNCTION("""COMPUTED_VALUE"""),0.0)</f>
        <v>0</v>
      </c>
      <c r="AG1657" t="str">
        <f>IFERROR(__xludf.DUMMYFUNCTION("""COMPUTED_VALUE"""),"Light grease stains above driver side door; temporary stray pixels showing false return behind car on proximity display")</f>
        <v>Light grease stains above driver side door; temporary stray pixels showing false return behind car on proximity display</v>
      </c>
      <c r="AH1657" s="189">
        <f>IFERROR(__xludf.DUMMYFUNCTION("""COMPUTED_VALUE"""),43577.54464849537)</f>
        <v>43577.54465</v>
      </c>
    </row>
    <row r="1658">
      <c r="A1658" t="str">
        <f>IFERROR(__xludf.DUMMYFUNCTION("""COMPUTED_VALUE"""),"JonErickson")</f>
        <v>JonErickson</v>
      </c>
      <c r="B1658" t="str">
        <f>IFERROR(__xludf.DUMMYFUNCTION("""COMPUTED_VALUE"""),"Rockford")</f>
        <v>Rockford</v>
      </c>
      <c r="C1658" t="str">
        <f>IFERROR(__xludf.DUMMYFUNCTION("""COMPUTED_VALUE"""),"IL")</f>
        <v>IL</v>
      </c>
      <c r="D1658" t="str">
        <f>IFERROR(__xludf.DUMMYFUNCTION("""COMPUTED_VALUE"""),"USA")</f>
        <v>USA</v>
      </c>
      <c r="E1658" s="188">
        <f>IFERROR(__xludf.DUMMYFUNCTION("""COMPUTED_VALUE"""),43575.0)</f>
        <v>43575</v>
      </c>
      <c r="F1658" s="188">
        <f>IFERROR(__xludf.DUMMYFUNCTION("""COMPUTED_VALUE"""),43575.0)</f>
        <v>43575</v>
      </c>
      <c r="H1658">
        <f>IFERROR(__xludf.DUMMYFUNCTION("""COMPUTED_VALUE"""),310221.0)</f>
        <v>310221</v>
      </c>
      <c r="I1658" t="str">
        <f>IFERROR(__xludf.DUMMYFUNCTION("""COMPUTED_VALUE"""),"04/19")</f>
        <v>04/19</v>
      </c>
      <c r="J1658" s="5">
        <f>IFERROR(__xludf.DUMMYFUNCTION("""COMPUTED_VALUE"""),43575.0)</f>
        <v>43575</v>
      </c>
      <c r="K1658">
        <f>IFERROR(__xludf.DUMMYFUNCTION("""COMPUTED_VALUE"""),0.0)</f>
        <v>0</v>
      </c>
      <c r="L1658">
        <f>IFERROR(__xludf.DUMMYFUNCTION("""COMPUTED_VALUE"""),0.0)</f>
        <v>0</v>
      </c>
      <c r="M1658">
        <f>IFERROR(__xludf.DUMMYFUNCTION("""COMPUTED_VALUE"""),0.0)</f>
        <v>0</v>
      </c>
      <c r="N1658" t="str">
        <f>IFERROR(__xludf.DUMMYFUNCTION("""COMPUTED_VALUE"""),"Model 3 SR+")</f>
        <v>Model 3 SR+</v>
      </c>
      <c r="O1658" t="str">
        <f>IFERROR(__xludf.DUMMYFUNCTION("""COMPUTED_VALUE"""),"Pearl White Multi-Coat")</f>
        <v>Pearl White Multi-Coat</v>
      </c>
      <c r="P1658" t="str">
        <f>IFERROR(__xludf.DUMMYFUNCTION("""COMPUTED_VALUE"""),"18 inch Aero")</f>
        <v>18 inch Aero</v>
      </c>
      <c r="Q1658" t="str">
        <f>IFERROR(__xludf.DUMMYFUNCTION("""COMPUTED_VALUE"""),"Black seats")</f>
        <v>Black seats</v>
      </c>
      <c r="R1658" t="str">
        <f>IFERROR(__xludf.DUMMYFUNCTION("""COMPUTED_VALUE"""),"Full Self-Driving")</f>
        <v>Full Self-Driving</v>
      </c>
      <c r="X1658" t="str">
        <f>IFERROR(__xludf.DUMMYFUNCTION("""COMPUTED_VALUE"""),"Excellent")</f>
        <v>Excellent</v>
      </c>
      <c r="Y1658" t="str">
        <f>IFERROR(__xludf.DUMMYFUNCTION("""COMPUTED_VALUE"""),"Excellent")</f>
        <v>Excellent</v>
      </c>
      <c r="Z1658" t="str">
        <f>IFERROR(__xludf.DUMMYFUNCTION("""COMPUTED_VALUE"""),"Excellent")</f>
        <v>Excellent</v>
      </c>
      <c r="AA1658" t="str">
        <f>IFERROR(__xludf.DUMMYFUNCTION("""COMPUTED_VALUE"""),"Very Good")</f>
        <v>Very Good</v>
      </c>
      <c r="AB1658" t="str">
        <f>IFERROR(__xludf.DUMMYFUNCTION("""COMPUTED_VALUE"""),"Very Good")</f>
        <v>Very Good</v>
      </c>
      <c r="AC1658">
        <f>IFERROR(__xludf.DUMMYFUNCTION("""COMPUTED_VALUE"""),0.0)</f>
        <v>0</v>
      </c>
      <c r="AD1658">
        <f>IFERROR(__xludf.DUMMYFUNCTION("""COMPUTED_VALUE"""),0.0)</f>
        <v>0</v>
      </c>
      <c r="AE1658">
        <f>IFERROR(__xludf.DUMMYFUNCTION("""COMPUTED_VALUE"""),0.0)</f>
        <v>0</v>
      </c>
      <c r="AG1658" t="str">
        <f>IFERROR(__xludf.DUMMYFUNCTION("""COMPUTED_VALUE"""),"Bought inventory model same day without appointment.")</f>
        <v>Bought inventory model same day without appointment.</v>
      </c>
      <c r="AH1658" s="189">
        <f>IFERROR(__xludf.DUMMYFUNCTION("""COMPUTED_VALUE"""),43577.88372456019)</f>
        <v>43577.88372</v>
      </c>
    </row>
    <row r="1659">
      <c r="A1659" t="str">
        <f>IFERROR(__xludf.DUMMYFUNCTION("""COMPUTED_VALUE"""),"ksoon")</f>
        <v>ksoon</v>
      </c>
      <c r="B1659" t="str">
        <f>IFERROR(__xludf.DUMMYFUNCTION("""COMPUTED_VALUE"""),"Pasadena")</f>
        <v>Pasadena</v>
      </c>
      <c r="C1659" t="str">
        <f>IFERROR(__xludf.DUMMYFUNCTION("""COMPUTED_VALUE"""),"CA")</f>
        <v>CA</v>
      </c>
      <c r="D1659" t="str">
        <f>IFERROR(__xludf.DUMMYFUNCTION("""COMPUTED_VALUE"""),"USA")</f>
        <v>USA</v>
      </c>
      <c r="E1659" s="188">
        <f>IFERROR(__xludf.DUMMYFUNCTION("""COMPUTED_VALUE"""),43564.0)</f>
        <v>43564</v>
      </c>
      <c r="F1659" s="188">
        <f>IFERROR(__xludf.DUMMYFUNCTION("""COMPUTED_VALUE"""),43571.0)</f>
        <v>43571</v>
      </c>
      <c r="H1659" s="4">
        <f>IFERROR(__xludf.DUMMYFUNCTION("""COMPUTED_VALUE"""),357731.0)</f>
        <v>357731</v>
      </c>
      <c r="I1659" t="str">
        <f>IFERROR(__xludf.DUMMYFUNCTION("""COMPUTED_VALUE"""),"04/19")</f>
        <v>04/19</v>
      </c>
      <c r="J1659" s="5">
        <f>IFERROR(__xludf.DUMMYFUNCTION("""COMPUTED_VALUE"""),43574.0)</f>
        <v>43574</v>
      </c>
      <c r="K1659">
        <f>IFERROR(__xludf.DUMMYFUNCTION("""COMPUTED_VALUE"""),7.0)</f>
        <v>7</v>
      </c>
      <c r="L1659">
        <f>IFERROR(__xludf.DUMMYFUNCTION("""COMPUTED_VALUE"""),3.0)</f>
        <v>3</v>
      </c>
      <c r="M1659">
        <f>IFERROR(__xludf.DUMMYFUNCTION("""COMPUTED_VALUE"""),10.0)</f>
        <v>10</v>
      </c>
      <c r="N1659" t="str">
        <f>IFERROR(__xludf.DUMMYFUNCTION("""COMPUTED_VALUE"""),"Model 3 SR+")</f>
        <v>Model 3 SR+</v>
      </c>
      <c r="O1659" t="str">
        <f>IFERROR(__xludf.DUMMYFUNCTION("""COMPUTED_VALUE"""),"Pearl White Multi-Coat")</f>
        <v>Pearl White Multi-Coat</v>
      </c>
      <c r="P1659" t="str">
        <f>IFERROR(__xludf.DUMMYFUNCTION("""COMPUTED_VALUE"""),"19 inch Sport")</f>
        <v>19 inch Sport</v>
      </c>
      <c r="Q1659" t="str">
        <f>IFERROR(__xludf.DUMMYFUNCTION("""COMPUTED_VALUE"""),"Black seats")</f>
        <v>Black seats</v>
      </c>
      <c r="R1659" t="str">
        <f>IFERROR(__xludf.DUMMYFUNCTION("""COMPUTED_VALUE"""),"None")</f>
        <v>None</v>
      </c>
      <c r="X1659" t="str">
        <f>IFERROR(__xludf.DUMMYFUNCTION("""COMPUTED_VALUE"""),"Excellent")</f>
        <v>Excellent</v>
      </c>
      <c r="Y1659" t="str">
        <f>IFERROR(__xludf.DUMMYFUNCTION("""COMPUTED_VALUE"""),"Excellent")</f>
        <v>Excellent</v>
      </c>
      <c r="Z1659" t="str">
        <f>IFERROR(__xludf.DUMMYFUNCTION("""COMPUTED_VALUE"""),"Good")</f>
        <v>Good</v>
      </c>
      <c r="AA1659" t="str">
        <f>IFERROR(__xludf.DUMMYFUNCTION("""COMPUTED_VALUE"""),"Fair")</f>
        <v>Fair</v>
      </c>
      <c r="AB1659" t="str">
        <f>IFERROR(__xludf.DUMMYFUNCTION("""COMPUTED_VALUE"""),"Good")</f>
        <v>Good</v>
      </c>
      <c r="AG1659" t="str">
        <f>IFERROR(__xludf.DUMMYFUNCTION("""COMPUTED_VALUE"""),"HW3 included. Ordered SR two days before trim level was removed by Tesla. Rec'd SR+ interior package and fog lights.")</f>
        <v>HW3 included. Ordered SR two days before trim level was removed by Tesla. Rec'd SR+ interior package and fog lights.</v>
      </c>
      <c r="AH1659" s="189">
        <f>IFERROR(__xludf.DUMMYFUNCTION("""COMPUTED_VALUE"""),43578.37253317129)</f>
        <v>43578.37253</v>
      </c>
    </row>
    <row r="1660">
      <c r="A1660" t="str">
        <f>IFERROR(__xludf.DUMMYFUNCTION("""COMPUTED_VALUE"""),"hllh")</f>
        <v>hllh</v>
      </c>
      <c r="B1660" t="str">
        <f>IFERROR(__xludf.DUMMYFUNCTION("""COMPUTED_VALUE"""),"Fort Lauderdale")</f>
        <v>Fort Lauderdale</v>
      </c>
      <c r="C1660" t="str">
        <f>IFERROR(__xludf.DUMMYFUNCTION("""COMPUTED_VALUE"""),"FL")</f>
        <v>FL</v>
      </c>
      <c r="D1660" t="str">
        <f>IFERROR(__xludf.DUMMYFUNCTION("""COMPUTED_VALUE"""),"USA")</f>
        <v>USA</v>
      </c>
      <c r="E1660" s="188">
        <f>IFERROR(__xludf.DUMMYFUNCTION("""COMPUTED_VALUE"""),43564.0)</f>
        <v>43564</v>
      </c>
      <c r="F1660" s="188">
        <f>IFERROR(__xludf.DUMMYFUNCTION("""COMPUTED_VALUE"""),43570.0)</f>
        <v>43570</v>
      </c>
      <c r="H1660">
        <f>IFERROR(__xludf.DUMMYFUNCTION("""COMPUTED_VALUE"""),307555.0)</f>
        <v>307555</v>
      </c>
      <c r="I1660" t="str">
        <f>IFERROR(__xludf.DUMMYFUNCTION("""COMPUTED_VALUE"""),"04/19")</f>
        <v>04/19</v>
      </c>
      <c r="J1660" s="5">
        <f>IFERROR(__xludf.DUMMYFUNCTION("""COMPUTED_VALUE"""),43574.0)</f>
        <v>43574</v>
      </c>
      <c r="K1660">
        <f>IFERROR(__xludf.DUMMYFUNCTION("""COMPUTED_VALUE"""),6.0)</f>
        <v>6</v>
      </c>
      <c r="L1660">
        <f>IFERROR(__xludf.DUMMYFUNCTION("""COMPUTED_VALUE"""),4.0)</f>
        <v>4</v>
      </c>
      <c r="M1660">
        <f>IFERROR(__xludf.DUMMYFUNCTION("""COMPUTED_VALUE"""),10.0)</f>
        <v>10</v>
      </c>
      <c r="N1660" t="str">
        <f>IFERROR(__xludf.DUMMYFUNCTION("""COMPUTED_VALUE"""),"Model 3 SR+")</f>
        <v>Model 3 SR+</v>
      </c>
      <c r="O1660" t="str">
        <f>IFERROR(__xludf.DUMMYFUNCTION("""COMPUTED_VALUE"""),"Midnight Silver Metallic")</f>
        <v>Midnight Silver Metallic</v>
      </c>
      <c r="P1660" t="str">
        <f>IFERROR(__xludf.DUMMYFUNCTION("""COMPUTED_VALUE"""),"20 inch Sport")</f>
        <v>20 inch Sport</v>
      </c>
      <c r="Q1660" t="str">
        <f>IFERROR(__xludf.DUMMYFUNCTION("""COMPUTED_VALUE"""),"Black seats")</f>
        <v>Black seats</v>
      </c>
      <c r="R1660" t="str">
        <f>IFERROR(__xludf.DUMMYFUNCTION("""COMPUTED_VALUE"""),"Autopilot")</f>
        <v>Autopilot</v>
      </c>
      <c r="X1660" t="str">
        <f>IFERROR(__xludf.DUMMYFUNCTION("""COMPUTED_VALUE"""),"Excellent")</f>
        <v>Excellent</v>
      </c>
      <c r="Y1660" t="str">
        <f>IFERROR(__xludf.DUMMYFUNCTION("""COMPUTED_VALUE"""),"Excellent")</f>
        <v>Excellent</v>
      </c>
      <c r="Z1660" t="str">
        <f>IFERROR(__xludf.DUMMYFUNCTION("""COMPUTED_VALUE"""),"Excellent")</f>
        <v>Excellent</v>
      </c>
      <c r="AA1660" t="str">
        <f>IFERROR(__xludf.DUMMYFUNCTION("""COMPUTED_VALUE"""),"Very Good")</f>
        <v>Very Good</v>
      </c>
      <c r="AB1660" t="str">
        <f>IFERROR(__xludf.DUMMYFUNCTION("""COMPUTED_VALUE"""),"Excellent")</f>
        <v>Excellent</v>
      </c>
      <c r="AH1660" s="189">
        <f>IFERROR(__xludf.DUMMYFUNCTION("""COMPUTED_VALUE"""),43578.52190356482)</f>
        <v>43578.5219</v>
      </c>
    </row>
    <row r="1661">
      <c r="A1661" t="str">
        <f>IFERROR(__xludf.DUMMYFUNCTION("""COMPUTED_VALUE"""),"vincemcman")</f>
        <v>vincemcman</v>
      </c>
      <c r="B1661" t="str">
        <f>IFERROR(__xludf.DUMMYFUNCTION("""COMPUTED_VALUE"""),"Mountain View")</f>
        <v>Mountain View</v>
      </c>
      <c r="C1661" t="str">
        <f>IFERROR(__xludf.DUMMYFUNCTION("""COMPUTED_VALUE"""),"CA")</f>
        <v>CA</v>
      </c>
      <c r="D1661" t="str">
        <f>IFERROR(__xludf.DUMMYFUNCTION("""COMPUTED_VALUE"""),"USA")</f>
        <v>USA</v>
      </c>
      <c r="E1661" s="188">
        <f>IFERROR(__xludf.DUMMYFUNCTION("""COMPUTED_VALUE"""),43569.0)</f>
        <v>43569</v>
      </c>
      <c r="F1661" s="188">
        <f>IFERROR(__xludf.DUMMYFUNCTION("""COMPUTED_VALUE"""),43572.0)</f>
        <v>43572</v>
      </c>
      <c r="H1661">
        <f>IFERROR(__xludf.DUMMYFUNCTION("""COMPUTED_VALUE"""),362555.0)</f>
        <v>362555</v>
      </c>
      <c r="J1661" s="5">
        <f>IFERROR(__xludf.DUMMYFUNCTION("""COMPUTED_VALUE"""),43574.0)</f>
        <v>43574</v>
      </c>
      <c r="K1661">
        <f>IFERROR(__xludf.DUMMYFUNCTION("""COMPUTED_VALUE"""),3.0)</f>
        <v>3</v>
      </c>
      <c r="L1661">
        <f>IFERROR(__xludf.DUMMYFUNCTION("""COMPUTED_VALUE"""),2.0)</f>
        <v>2</v>
      </c>
      <c r="M1661">
        <f>IFERROR(__xludf.DUMMYFUNCTION("""COMPUTED_VALUE"""),5.0)</f>
        <v>5</v>
      </c>
      <c r="N1661" t="str">
        <f>IFERROR(__xludf.DUMMYFUNCTION("""COMPUTED_VALUE"""),"Model 3 SR")</f>
        <v>Model 3 SR</v>
      </c>
      <c r="O1661" t="str">
        <f>IFERROR(__xludf.DUMMYFUNCTION("""COMPUTED_VALUE"""),"Red Multi-Coat")</f>
        <v>Red Multi-Coat</v>
      </c>
      <c r="P1661" t="str">
        <f>IFERROR(__xludf.DUMMYFUNCTION("""COMPUTED_VALUE"""),"18 inch Aero")</f>
        <v>18 inch Aero</v>
      </c>
      <c r="Q1661" t="str">
        <f>IFERROR(__xludf.DUMMYFUNCTION("""COMPUTED_VALUE"""),"Black seats")</f>
        <v>Black seats</v>
      </c>
      <c r="R1661" t="str">
        <f>IFERROR(__xludf.DUMMYFUNCTION("""COMPUTED_VALUE"""),"None")</f>
        <v>None</v>
      </c>
      <c r="X1661" t="str">
        <f>IFERROR(__xludf.DUMMYFUNCTION("""COMPUTED_VALUE"""),"Fair")</f>
        <v>Fair</v>
      </c>
      <c r="Y1661" t="str">
        <f>IFERROR(__xludf.DUMMYFUNCTION("""COMPUTED_VALUE"""),"Very Good")</f>
        <v>Very Good</v>
      </c>
      <c r="Z1661" t="str">
        <f>IFERROR(__xludf.DUMMYFUNCTION("""COMPUTED_VALUE"""),"Good")</f>
        <v>Good</v>
      </c>
      <c r="AA1661" t="str">
        <f>IFERROR(__xludf.DUMMYFUNCTION("""COMPUTED_VALUE"""),"Good")</f>
        <v>Good</v>
      </c>
      <c r="AB1661" t="str">
        <f>IFERROR(__xludf.DUMMYFUNCTION("""COMPUTED_VALUE"""),"Good")</f>
        <v>Good</v>
      </c>
      <c r="AC1661">
        <f>IFERROR(__xludf.DUMMYFUNCTION("""COMPUTED_VALUE"""),7.0)</f>
        <v>7</v>
      </c>
      <c r="AD1661">
        <f>IFERROR(__xludf.DUMMYFUNCTION("""COMPUTED_VALUE"""),1.0)</f>
        <v>1</v>
      </c>
      <c r="AH1661" s="189">
        <f>IFERROR(__xludf.DUMMYFUNCTION("""COMPUTED_VALUE"""),43578.753386296296)</f>
        <v>43578.75339</v>
      </c>
    </row>
    <row r="1662">
      <c r="A1662" t="str">
        <f>IFERROR(__xludf.DUMMYFUNCTION("""COMPUTED_VALUE"""),"ncev")</f>
        <v>ncev</v>
      </c>
      <c r="B1662" t="str">
        <f>IFERROR(__xludf.DUMMYFUNCTION("""COMPUTED_VALUE"""),"Raleigh")</f>
        <v>Raleigh</v>
      </c>
      <c r="C1662" t="str">
        <f>IFERROR(__xludf.DUMMYFUNCTION("""COMPUTED_VALUE"""),"NC")</f>
        <v>NC</v>
      </c>
      <c r="D1662" t="str">
        <f>IFERROR(__xludf.DUMMYFUNCTION("""COMPUTED_VALUE"""),"USA")</f>
        <v>USA</v>
      </c>
      <c r="E1662" s="188">
        <f>IFERROR(__xludf.DUMMYFUNCTION("""COMPUTED_VALUE"""),43539.0)</f>
        <v>43539</v>
      </c>
      <c r="F1662" s="188">
        <f>IFERROR(__xludf.DUMMYFUNCTION("""COMPUTED_VALUE"""),43560.0)</f>
        <v>43560</v>
      </c>
      <c r="H1662">
        <f>IFERROR(__xludf.DUMMYFUNCTION("""COMPUTED_VALUE"""),327155.0)</f>
        <v>327155</v>
      </c>
      <c r="J1662" s="5">
        <f>IFERROR(__xludf.DUMMYFUNCTION("""COMPUTED_VALUE"""),43578.0)</f>
        <v>43578</v>
      </c>
      <c r="K1662">
        <f>IFERROR(__xludf.DUMMYFUNCTION("""COMPUTED_VALUE"""),21.0)</f>
        <v>21</v>
      </c>
      <c r="L1662">
        <f>IFERROR(__xludf.DUMMYFUNCTION("""COMPUTED_VALUE"""),18.0)</f>
        <v>18</v>
      </c>
      <c r="M1662">
        <f>IFERROR(__xludf.DUMMYFUNCTION("""COMPUTED_VALUE"""),39.0)</f>
        <v>39</v>
      </c>
      <c r="N1662" t="str">
        <f>IFERROR(__xludf.DUMMYFUNCTION("""COMPUTED_VALUE"""),"Model 3 LR")</f>
        <v>Model 3 LR</v>
      </c>
      <c r="O1662" t="str">
        <f>IFERROR(__xludf.DUMMYFUNCTION("""COMPUTED_VALUE"""),"Pearl White Multi-Coat")</f>
        <v>Pearl White Multi-Coat</v>
      </c>
      <c r="P1662" t="str">
        <f>IFERROR(__xludf.DUMMYFUNCTION("""COMPUTED_VALUE"""),"19 inch Sport")</f>
        <v>19 inch Sport</v>
      </c>
      <c r="Q1662" t="str">
        <f>IFERROR(__xludf.DUMMYFUNCTION("""COMPUTED_VALUE"""),"Black seats")</f>
        <v>Black seats</v>
      </c>
      <c r="R1662" t="str">
        <f>IFERROR(__xludf.DUMMYFUNCTION("""COMPUTED_VALUE"""),"Full Self-Driving")</f>
        <v>Full Self-Driving</v>
      </c>
      <c r="X1662" t="str">
        <f>IFERROR(__xludf.DUMMYFUNCTION("""COMPUTED_VALUE"""),"Excellent")</f>
        <v>Excellent</v>
      </c>
      <c r="Y1662" t="str">
        <f>IFERROR(__xludf.DUMMYFUNCTION("""COMPUTED_VALUE"""),"Excellent")</f>
        <v>Excellent</v>
      </c>
      <c r="Z1662" t="str">
        <f>IFERROR(__xludf.DUMMYFUNCTION("""COMPUTED_VALUE"""),"Excellent")</f>
        <v>Excellent</v>
      </c>
      <c r="AA1662" t="str">
        <f>IFERROR(__xludf.DUMMYFUNCTION("""COMPUTED_VALUE"""),"Very Good")</f>
        <v>Very Good</v>
      </c>
      <c r="AB1662" t="str">
        <f>IFERROR(__xludf.DUMMYFUNCTION("""COMPUTED_VALUE"""),"Excellent")</f>
        <v>Excellent</v>
      </c>
      <c r="AG1662" t="str">
        <f>IFERROR(__xludf.DUMMYFUNCTION("""COMPUTED_VALUE"""),"Orig scheduled delivery 29-Mar, VIN assigned 5-Apr, sched del 12-Apr, postponed to 22-Apr due to my travel. VIN removed 20-Apr. final del 23-Apr same VIN !")</f>
        <v>Orig scheduled delivery 29-Mar, VIN assigned 5-Apr, sched del 12-Apr, postponed to 22-Apr due to my travel. VIN removed 20-Apr. final del 23-Apr same VIN !</v>
      </c>
      <c r="AH1662" s="189">
        <f>IFERROR(__xludf.DUMMYFUNCTION("""COMPUTED_VALUE"""),43579.37705386574)</f>
        <v>43579.37705</v>
      </c>
    </row>
    <row r="1663">
      <c r="A1663" t="str">
        <f>IFERROR(__xludf.DUMMYFUNCTION("""COMPUTED_VALUE"""),"solodogg")</f>
        <v>solodogg</v>
      </c>
      <c r="B1663" t="str">
        <f>IFERROR(__xludf.DUMMYFUNCTION("""COMPUTED_VALUE"""),"Orlando")</f>
        <v>Orlando</v>
      </c>
      <c r="C1663" t="str">
        <f>IFERROR(__xludf.DUMMYFUNCTION("""COMPUTED_VALUE"""),"FL")</f>
        <v>FL</v>
      </c>
      <c r="D1663" t="str">
        <f>IFERROR(__xludf.DUMMYFUNCTION("""COMPUTED_VALUE"""),"USA")</f>
        <v>USA</v>
      </c>
      <c r="E1663" s="188">
        <f>IFERROR(__xludf.DUMMYFUNCTION("""COMPUTED_VALUE"""),43563.0)</f>
        <v>43563</v>
      </c>
      <c r="F1663" s="188">
        <f>IFERROR(__xludf.DUMMYFUNCTION("""COMPUTED_VALUE"""),43567.0)</f>
        <v>43567</v>
      </c>
      <c r="H1663">
        <f>IFERROR(__xludf.DUMMYFUNCTION("""COMPUTED_VALUE"""),332055.0)</f>
        <v>332055</v>
      </c>
      <c r="I1663" t="str">
        <f>IFERROR(__xludf.DUMMYFUNCTION("""COMPUTED_VALUE"""),"04/19")</f>
        <v>04/19</v>
      </c>
      <c r="J1663" s="5">
        <f>IFERROR(__xludf.DUMMYFUNCTION("""COMPUTED_VALUE"""),43574.0)</f>
        <v>43574</v>
      </c>
      <c r="K1663">
        <f>IFERROR(__xludf.DUMMYFUNCTION("""COMPUTED_VALUE"""),4.0)</f>
        <v>4</v>
      </c>
      <c r="L1663">
        <f>IFERROR(__xludf.DUMMYFUNCTION("""COMPUTED_VALUE"""),7.0)</f>
        <v>7</v>
      </c>
      <c r="M1663">
        <f>IFERROR(__xludf.DUMMYFUNCTION("""COMPUTED_VALUE"""),11.0)</f>
        <v>11</v>
      </c>
      <c r="N1663" t="str">
        <f>IFERROR(__xludf.DUMMYFUNCTION("""COMPUTED_VALUE"""),"Model 3 LR")</f>
        <v>Model 3 LR</v>
      </c>
      <c r="O1663" t="str">
        <f>IFERROR(__xludf.DUMMYFUNCTION("""COMPUTED_VALUE"""),"Pearl White Multi-Coat")</f>
        <v>Pearl White Multi-Coat</v>
      </c>
      <c r="P1663" t="str">
        <f>IFERROR(__xludf.DUMMYFUNCTION("""COMPUTED_VALUE"""),"19 inch Sport")</f>
        <v>19 inch Sport</v>
      </c>
      <c r="Q1663" t="str">
        <f>IFERROR(__xludf.DUMMYFUNCTION("""COMPUTED_VALUE"""),"Black seats")</f>
        <v>Black seats</v>
      </c>
      <c r="R1663" t="str">
        <f>IFERROR(__xludf.DUMMYFUNCTION("""COMPUTED_VALUE"""),"None")</f>
        <v>None</v>
      </c>
      <c r="X1663" t="str">
        <f>IFERROR(__xludf.DUMMYFUNCTION("""COMPUTED_VALUE"""),"Excellent")</f>
        <v>Excellent</v>
      </c>
      <c r="Y1663" t="str">
        <f>IFERROR(__xludf.DUMMYFUNCTION("""COMPUTED_VALUE"""),"Excellent")</f>
        <v>Excellent</v>
      </c>
      <c r="Z1663" t="str">
        <f>IFERROR(__xludf.DUMMYFUNCTION("""COMPUTED_VALUE"""),"Excellent")</f>
        <v>Excellent</v>
      </c>
      <c r="AA1663" t="str">
        <f>IFERROR(__xludf.DUMMYFUNCTION("""COMPUTED_VALUE"""),"Fair")</f>
        <v>Fair</v>
      </c>
      <c r="AB1663" t="str">
        <f>IFERROR(__xludf.DUMMYFUNCTION("""COMPUTED_VALUE"""),"Very Good")</f>
        <v>Very Good</v>
      </c>
      <c r="AC1663">
        <f>IFERROR(__xludf.DUMMYFUNCTION("""COMPUTED_VALUE"""),2.0)</f>
        <v>2</v>
      </c>
      <c r="AD1663">
        <f>IFERROR(__xludf.DUMMYFUNCTION("""COMPUTED_VALUE"""),1.0)</f>
        <v>1</v>
      </c>
      <c r="AE1663">
        <f>IFERROR(__xludf.DUMMYFUNCTION("""COMPUTED_VALUE"""),0.0)</f>
        <v>0</v>
      </c>
      <c r="AG1663" t="str">
        <f>IFERROR(__xludf.DUMMYFUNCTION("""COMPUTED_VALUE"""),"autopilot not included as promised after 4/11 changes, even though window sticker shows otherwise. ")</f>
        <v>autopilot not included as promised after 4/11 changes, even though window sticker shows otherwise. </v>
      </c>
      <c r="AH1663" s="189">
        <f>IFERROR(__xludf.DUMMYFUNCTION("""COMPUTED_VALUE"""),43579.65980758102)</f>
        <v>43579.65981</v>
      </c>
    </row>
    <row r="1664">
      <c r="A1664" t="str">
        <f>IFERROR(__xludf.DUMMYFUNCTION("""COMPUTED_VALUE"""),"mgmtsla")</f>
        <v>mgmtsla</v>
      </c>
      <c r="B1664" t="str">
        <f>IFERROR(__xludf.DUMMYFUNCTION("""COMPUTED_VALUE"""),"York")</f>
        <v>York</v>
      </c>
      <c r="C1664" t="str">
        <f>IFERROR(__xludf.DUMMYFUNCTION("""COMPUTED_VALUE"""),"PA")</f>
        <v>PA</v>
      </c>
      <c r="D1664" t="str">
        <f>IFERROR(__xludf.DUMMYFUNCTION("""COMPUTED_VALUE"""),"USA")</f>
        <v>USA</v>
      </c>
      <c r="E1664" s="188">
        <f>IFERROR(__xludf.DUMMYFUNCTION("""COMPUTED_VALUE"""),43528.0)</f>
        <v>43528</v>
      </c>
      <c r="F1664" s="188">
        <f>IFERROR(__xludf.DUMMYFUNCTION("""COMPUTED_VALUE"""),43551.0)</f>
        <v>43551</v>
      </c>
      <c r="H1664">
        <f>IFERROR(__xludf.DUMMYFUNCTION("""COMPUTED_VALUE"""),214105.0)</f>
        <v>214105</v>
      </c>
      <c r="J1664" s="5">
        <f>IFERROR(__xludf.DUMMYFUNCTION("""COMPUTED_VALUE"""),43552.0)</f>
        <v>43552</v>
      </c>
      <c r="K1664">
        <f>IFERROR(__xludf.DUMMYFUNCTION("""COMPUTED_VALUE"""),23.0)</f>
        <v>23</v>
      </c>
      <c r="L1664">
        <f>IFERROR(__xludf.DUMMYFUNCTION("""COMPUTED_VALUE"""),1.0)</f>
        <v>1</v>
      </c>
      <c r="M1664">
        <f>IFERROR(__xludf.DUMMYFUNCTION("""COMPUTED_VALUE"""),24.0)</f>
        <v>24</v>
      </c>
      <c r="N1664" t="str">
        <f>IFERROR(__xludf.DUMMYFUNCTION("""COMPUTED_VALUE"""),"Model 3 Performance")</f>
        <v>Model 3 Performance</v>
      </c>
      <c r="O1664" t="str">
        <f>IFERROR(__xludf.DUMMYFUNCTION("""COMPUTED_VALUE"""),"Pearl White Multi-Coat")</f>
        <v>Pearl White Multi-Coat</v>
      </c>
      <c r="P1664" t="str">
        <f>IFERROR(__xludf.DUMMYFUNCTION("""COMPUTED_VALUE"""),"20 inch Sport")</f>
        <v>20 inch Sport</v>
      </c>
      <c r="Q1664" t="str">
        <f>IFERROR(__xludf.DUMMYFUNCTION("""COMPUTED_VALUE"""),"White seats")</f>
        <v>White seats</v>
      </c>
      <c r="R1664" t="str">
        <f>IFERROR(__xludf.DUMMYFUNCTION("""COMPUTED_VALUE"""),"Full Self-Driving")</f>
        <v>Full Self-Driving</v>
      </c>
      <c r="X1664" t="str">
        <f>IFERROR(__xludf.DUMMYFUNCTION("""COMPUTED_VALUE"""),"Excellent")</f>
        <v>Excellent</v>
      </c>
      <c r="Y1664" t="str">
        <f>IFERROR(__xludf.DUMMYFUNCTION("""COMPUTED_VALUE"""),"Excellent")</f>
        <v>Excellent</v>
      </c>
      <c r="Z1664" t="str">
        <f>IFERROR(__xludf.DUMMYFUNCTION("""COMPUTED_VALUE"""),"Excellent")</f>
        <v>Excellent</v>
      </c>
      <c r="AA1664" t="str">
        <f>IFERROR(__xludf.DUMMYFUNCTION("""COMPUTED_VALUE"""),"Good")</f>
        <v>Good</v>
      </c>
      <c r="AB1664" t="str">
        <f>IFERROR(__xludf.DUMMYFUNCTION("""COMPUTED_VALUE"""),"Good")</f>
        <v>Good</v>
      </c>
      <c r="AC1664">
        <f>IFERROR(__xludf.DUMMYFUNCTION("""COMPUTED_VALUE"""),0.0)</f>
        <v>0</v>
      </c>
      <c r="AD1664">
        <f>IFERROR(__xludf.DUMMYFUNCTION("""COMPUTED_VALUE"""),0.0)</f>
        <v>0</v>
      </c>
      <c r="AE1664">
        <f>IFERROR(__xludf.DUMMYFUNCTION("""COMPUTED_VALUE"""),0.0)</f>
        <v>0</v>
      </c>
      <c r="AH1664" s="189">
        <f>IFERROR(__xludf.DUMMYFUNCTION("""COMPUTED_VALUE"""),43580.19588421297)</f>
        <v>43580.19588</v>
      </c>
    </row>
    <row r="1665">
      <c r="A1665" t="str">
        <f>IFERROR(__xludf.DUMMYFUNCTION("""COMPUTED_VALUE"""),"hoopsta1423")</f>
        <v>hoopsta1423</v>
      </c>
      <c r="B1665" t="str">
        <f>IFERROR(__xludf.DUMMYFUNCTION("""COMPUTED_VALUE"""),"Melrose")</f>
        <v>Melrose</v>
      </c>
      <c r="C1665" t="str">
        <f>IFERROR(__xludf.DUMMYFUNCTION("""COMPUTED_VALUE"""),"MA")</f>
        <v>MA</v>
      </c>
      <c r="D1665" t="str">
        <f>IFERROR(__xludf.DUMMYFUNCTION("""COMPUTED_VALUE"""),"USA")</f>
        <v>USA</v>
      </c>
      <c r="E1665" s="188">
        <f>IFERROR(__xludf.DUMMYFUNCTION("""COMPUTED_VALUE"""),43564.0)</f>
        <v>43564</v>
      </c>
      <c r="F1665" s="188">
        <f>IFERROR(__xludf.DUMMYFUNCTION("""COMPUTED_VALUE"""),43565.0)</f>
        <v>43565</v>
      </c>
      <c r="H1665">
        <f>IFERROR(__xludf.DUMMYFUNCTION("""COMPUTED_VALUE"""),307135.0)</f>
        <v>307135</v>
      </c>
      <c r="I1665" t="str">
        <f>IFERROR(__xludf.DUMMYFUNCTION("""COMPUTED_VALUE"""),"04/19")</f>
        <v>04/19</v>
      </c>
      <c r="J1665" s="5">
        <f>IFERROR(__xludf.DUMMYFUNCTION("""COMPUTED_VALUE"""),43572.0)</f>
        <v>43572</v>
      </c>
      <c r="K1665">
        <f>IFERROR(__xludf.DUMMYFUNCTION("""COMPUTED_VALUE"""),1.0)</f>
        <v>1</v>
      </c>
      <c r="L1665">
        <f>IFERROR(__xludf.DUMMYFUNCTION("""COMPUTED_VALUE"""),7.0)</f>
        <v>7</v>
      </c>
      <c r="M1665">
        <f>IFERROR(__xludf.DUMMYFUNCTION("""COMPUTED_VALUE"""),8.0)</f>
        <v>8</v>
      </c>
      <c r="N1665" t="str">
        <f>IFERROR(__xludf.DUMMYFUNCTION("""COMPUTED_VALUE"""),"Model 3 SR+")</f>
        <v>Model 3 SR+</v>
      </c>
      <c r="O1665" t="str">
        <f>IFERROR(__xludf.DUMMYFUNCTION("""COMPUTED_VALUE"""),"Pearl White Multi-Coat")</f>
        <v>Pearl White Multi-Coat</v>
      </c>
      <c r="P1665" t="str">
        <f>IFERROR(__xludf.DUMMYFUNCTION("""COMPUTED_VALUE"""),"18 inch Aero")</f>
        <v>18 inch Aero</v>
      </c>
      <c r="Q1665" t="str">
        <f>IFERROR(__xludf.DUMMYFUNCTION("""COMPUTED_VALUE"""),"Black seats")</f>
        <v>Black seats</v>
      </c>
      <c r="R1665" t="str">
        <f>IFERROR(__xludf.DUMMYFUNCTION("""COMPUTED_VALUE"""),"Full Self-Driving")</f>
        <v>Full Self-Driving</v>
      </c>
      <c r="X1665" t="str">
        <f>IFERROR(__xludf.DUMMYFUNCTION("""COMPUTED_VALUE"""),"Very Good")</f>
        <v>Very Good</v>
      </c>
      <c r="Y1665" t="str">
        <f>IFERROR(__xludf.DUMMYFUNCTION("""COMPUTED_VALUE"""),"Excellent")</f>
        <v>Excellent</v>
      </c>
      <c r="Z1665" t="str">
        <f>IFERROR(__xludf.DUMMYFUNCTION("""COMPUTED_VALUE"""),"Excellent")</f>
        <v>Excellent</v>
      </c>
      <c r="AA1665" t="str">
        <f>IFERROR(__xludf.DUMMYFUNCTION("""COMPUTED_VALUE"""),"Very Good")</f>
        <v>Very Good</v>
      </c>
      <c r="AB1665" t="str">
        <f>IFERROR(__xludf.DUMMYFUNCTION("""COMPUTED_VALUE"""),"Good")</f>
        <v>Good</v>
      </c>
      <c r="AC1665">
        <f>IFERROR(__xludf.DUMMYFUNCTION("""COMPUTED_VALUE"""),1.0)</f>
        <v>1</v>
      </c>
      <c r="AH1665" s="189">
        <f>IFERROR(__xludf.DUMMYFUNCTION("""COMPUTED_VALUE"""),43580.28812090278)</f>
        <v>43580.28812</v>
      </c>
    </row>
    <row r="1666">
      <c r="A1666" t="str">
        <f>IFERROR(__xludf.DUMMYFUNCTION("""COMPUTED_VALUE"""),"lukex4")</f>
        <v>lukex4</v>
      </c>
      <c r="B1666" t="str">
        <f>IFERROR(__xludf.DUMMYFUNCTION("""COMPUTED_VALUE"""),"Montreal")</f>
        <v>Montreal</v>
      </c>
      <c r="C1666" t="str">
        <f>IFERROR(__xludf.DUMMYFUNCTION("""COMPUTED_VALUE"""),"QC")</f>
        <v>QC</v>
      </c>
      <c r="D1666" t="str">
        <f>IFERROR(__xludf.DUMMYFUNCTION("""COMPUTED_VALUE"""),"Canada")</f>
        <v>Canada</v>
      </c>
      <c r="E1666" s="188">
        <f>IFERROR(__xludf.DUMMYFUNCTION("""COMPUTED_VALUE"""),43527.0)</f>
        <v>43527</v>
      </c>
      <c r="F1666" s="188">
        <f>IFERROR(__xludf.DUMMYFUNCTION("""COMPUTED_VALUE"""),43563.0)</f>
        <v>43563</v>
      </c>
      <c r="H1666">
        <f>IFERROR(__xludf.DUMMYFUNCTION("""COMPUTED_VALUE"""),322455.0)</f>
        <v>322455</v>
      </c>
      <c r="J1666" s="5">
        <f>IFERROR(__xludf.DUMMYFUNCTION("""COMPUTED_VALUE"""),43565.0)</f>
        <v>43565</v>
      </c>
      <c r="K1666">
        <f>IFERROR(__xludf.DUMMYFUNCTION("""COMPUTED_VALUE"""),36.0)</f>
        <v>36</v>
      </c>
      <c r="L1666">
        <f>IFERROR(__xludf.DUMMYFUNCTION("""COMPUTED_VALUE"""),2.0)</f>
        <v>2</v>
      </c>
      <c r="M1666">
        <f>IFERROR(__xludf.DUMMYFUNCTION("""COMPUTED_VALUE"""),38.0)</f>
        <v>38</v>
      </c>
      <c r="N1666" t="str">
        <f>IFERROR(__xludf.DUMMYFUNCTION("""COMPUTED_VALUE"""),"Model 3 LR")</f>
        <v>Model 3 LR</v>
      </c>
      <c r="O1666" t="str">
        <f>IFERROR(__xludf.DUMMYFUNCTION("""COMPUTED_VALUE"""),"Red Multi-Coat")</f>
        <v>Red Multi-Coat</v>
      </c>
      <c r="P1666" t="str">
        <f>IFERROR(__xludf.DUMMYFUNCTION("""COMPUTED_VALUE"""),"18 inch Aero")</f>
        <v>18 inch Aero</v>
      </c>
      <c r="Q1666" t="str">
        <f>IFERROR(__xludf.DUMMYFUNCTION("""COMPUTED_VALUE"""),"Black seats")</f>
        <v>Black seats</v>
      </c>
      <c r="R1666" t="str">
        <f>IFERROR(__xludf.DUMMYFUNCTION("""COMPUTED_VALUE"""),"Full Self-Driving")</f>
        <v>Full Self-Driving</v>
      </c>
      <c r="X1666" t="str">
        <f>IFERROR(__xludf.DUMMYFUNCTION("""COMPUTED_VALUE"""),"Very Good")</f>
        <v>Very Good</v>
      </c>
      <c r="Y1666" t="str">
        <f>IFERROR(__xludf.DUMMYFUNCTION("""COMPUTED_VALUE"""),"Very Good")</f>
        <v>Very Good</v>
      </c>
      <c r="Z1666" t="str">
        <f>IFERROR(__xludf.DUMMYFUNCTION("""COMPUTED_VALUE"""),"Very Good")</f>
        <v>Very Good</v>
      </c>
      <c r="AA1666" t="str">
        <f>IFERROR(__xludf.DUMMYFUNCTION("""COMPUTED_VALUE"""),"Fair")</f>
        <v>Fair</v>
      </c>
      <c r="AB1666" t="str">
        <f>IFERROR(__xludf.DUMMYFUNCTION("""COMPUTED_VALUE"""),"Good")</f>
        <v>Good</v>
      </c>
      <c r="AC1666">
        <f>IFERROR(__xludf.DUMMYFUNCTION("""COMPUTED_VALUE"""),0.0)</f>
        <v>0</v>
      </c>
      <c r="AD1666">
        <f>IFERROR(__xludf.DUMMYFUNCTION("""COMPUTED_VALUE"""),0.0)</f>
        <v>0</v>
      </c>
      <c r="AE1666">
        <f>IFERROR(__xludf.DUMMYFUNCTION("""COMPUTED_VALUE"""),0.0)</f>
        <v>0</v>
      </c>
      <c r="AH1666" s="189">
        <f>IFERROR(__xludf.DUMMYFUNCTION("""COMPUTED_VALUE"""),43580.29172313657)</f>
        <v>43580.29172</v>
      </c>
    </row>
    <row r="1667">
      <c r="A1667" s="190" t="str">
        <f>IFERROR(__xludf.DUMMYFUNCTION("""COMPUTED_VALUE"""),"JRJ.org")</f>
        <v>JRJ.org</v>
      </c>
      <c r="C1667" t="str">
        <f>IFERROR(__xludf.DUMMYFUNCTION("""COMPUTED_VALUE"""),"UT")</f>
        <v>UT</v>
      </c>
      <c r="D1667" t="str">
        <f>IFERROR(__xludf.DUMMYFUNCTION("""COMPUTED_VALUE"""),"USA")</f>
        <v>USA</v>
      </c>
      <c r="E1667" s="188">
        <f>IFERROR(__xludf.DUMMYFUNCTION("""COMPUTED_VALUE"""),43567.0)</f>
        <v>43567</v>
      </c>
      <c r="F1667" s="188">
        <f>IFERROR(__xludf.DUMMYFUNCTION("""COMPUTED_VALUE"""),43574.0)</f>
        <v>43574</v>
      </c>
      <c r="J1667" s="5">
        <f>IFERROR(__xludf.DUMMYFUNCTION("""COMPUTED_VALUE"""),43575.0)</f>
        <v>43575</v>
      </c>
      <c r="K1667">
        <f>IFERROR(__xludf.DUMMYFUNCTION("""COMPUTED_VALUE"""),7.0)</f>
        <v>7</v>
      </c>
      <c r="L1667">
        <f>IFERROR(__xludf.DUMMYFUNCTION("""COMPUTED_VALUE"""),1.0)</f>
        <v>1</v>
      </c>
      <c r="M1667">
        <f>IFERROR(__xludf.DUMMYFUNCTION("""COMPUTED_VALUE"""),8.0)</f>
        <v>8</v>
      </c>
      <c r="N1667" t="str">
        <f>IFERROR(__xludf.DUMMYFUNCTION("""COMPUTED_VALUE"""),"Model 3 LR AWD")</f>
        <v>Model 3 LR AWD</v>
      </c>
      <c r="O1667" t="str">
        <f>IFERROR(__xludf.DUMMYFUNCTION("""COMPUTED_VALUE"""),"Pearl White Multi-Coat")</f>
        <v>Pearl White Multi-Coat</v>
      </c>
      <c r="P1667" t="str">
        <f>IFERROR(__xludf.DUMMYFUNCTION("""COMPUTED_VALUE"""),"19 inch Sport")</f>
        <v>19 inch Sport</v>
      </c>
      <c r="Q1667" t="str">
        <f>IFERROR(__xludf.DUMMYFUNCTION("""COMPUTED_VALUE"""),"White seats")</f>
        <v>White seats</v>
      </c>
      <c r="R1667" t="str">
        <f>IFERROR(__xludf.DUMMYFUNCTION("""COMPUTED_VALUE"""),"Full Self-Driving")</f>
        <v>Full Self-Driving</v>
      </c>
      <c r="X1667" t="str">
        <f>IFERROR(__xludf.DUMMYFUNCTION("""COMPUTED_VALUE"""),"Good")</f>
        <v>Good</v>
      </c>
      <c r="Y1667" t="str">
        <f>IFERROR(__xludf.DUMMYFUNCTION("""COMPUTED_VALUE"""),"Excellent")</f>
        <v>Excellent</v>
      </c>
      <c r="Z1667" t="str">
        <f>IFERROR(__xludf.DUMMYFUNCTION("""COMPUTED_VALUE"""),"Good")</f>
        <v>Good</v>
      </c>
      <c r="AA1667" t="str">
        <f>IFERROR(__xludf.DUMMYFUNCTION("""COMPUTED_VALUE"""),"Good")</f>
        <v>Good</v>
      </c>
      <c r="AB1667" t="str">
        <f>IFERROR(__xludf.DUMMYFUNCTION("""COMPUTED_VALUE"""),"Very Good")</f>
        <v>Very Good</v>
      </c>
      <c r="AC1667">
        <f>IFERROR(__xludf.DUMMYFUNCTION("""COMPUTED_VALUE"""),2.0)</f>
        <v>2</v>
      </c>
      <c r="AD1667">
        <f>IFERROR(__xludf.DUMMYFUNCTION("""COMPUTED_VALUE"""),0.0)</f>
        <v>0</v>
      </c>
      <c r="AE1667">
        <f>IFERROR(__xludf.DUMMYFUNCTION("""COMPUTED_VALUE"""),0.0)</f>
        <v>0</v>
      </c>
      <c r="AG1667" t="str">
        <f>IFERROR(__xludf.DUMMYFUNCTION("""COMPUTED_VALUE"""),"Accepted delivery of a different color and option set than originally ordered")</f>
        <v>Accepted delivery of a different color and option set than originally ordered</v>
      </c>
      <c r="AH1667" s="189">
        <f>IFERROR(__xludf.DUMMYFUNCTION("""COMPUTED_VALUE"""),43580.45953658565)</f>
        <v>43580.45954</v>
      </c>
    </row>
    <row r="1668">
      <c r="A1668" t="str">
        <f>IFERROR(__xludf.DUMMYFUNCTION("""COMPUTED_VALUE"""),"rbflyboy22")</f>
        <v>rbflyboy22</v>
      </c>
      <c r="B1668" t="str">
        <f>IFERROR(__xludf.DUMMYFUNCTION("""COMPUTED_VALUE"""),"Livonia")</f>
        <v>Livonia</v>
      </c>
      <c r="C1668" t="str">
        <f>IFERROR(__xludf.DUMMYFUNCTION("""COMPUTED_VALUE"""),"MI")</f>
        <v>MI</v>
      </c>
      <c r="D1668" t="str">
        <f>IFERROR(__xludf.DUMMYFUNCTION("""COMPUTED_VALUE"""),"USA")</f>
        <v>USA</v>
      </c>
      <c r="E1668" s="188">
        <f>IFERROR(__xludf.DUMMYFUNCTION("""COMPUTED_VALUE"""),43526.0)</f>
        <v>43526</v>
      </c>
      <c r="F1668" s="188">
        <f>IFERROR(__xludf.DUMMYFUNCTION("""COMPUTED_VALUE"""),43575.0)</f>
        <v>43575</v>
      </c>
      <c r="H1668">
        <f>IFERROR(__xludf.DUMMYFUNCTION("""COMPUTED_VALUE"""),195455.0)</f>
        <v>195455</v>
      </c>
      <c r="I1668" t="str">
        <f>IFERROR(__xludf.DUMMYFUNCTION("""COMPUTED_VALUE"""),"04/19")</f>
        <v>04/19</v>
      </c>
      <c r="J1668" s="5">
        <f>IFERROR(__xludf.DUMMYFUNCTION("""COMPUTED_VALUE"""),43575.0)</f>
        <v>43575</v>
      </c>
      <c r="K1668">
        <f>IFERROR(__xludf.DUMMYFUNCTION("""COMPUTED_VALUE"""),49.0)</f>
        <v>49</v>
      </c>
      <c r="L1668">
        <f>IFERROR(__xludf.DUMMYFUNCTION("""COMPUTED_VALUE"""),0.0)</f>
        <v>0</v>
      </c>
      <c r="M1668">
        <f>IFERROR(__xludf.DUMMYFUNCTION("""COMPUTED_VALUE"""),49.0)</f>
        <v>49</v>
      </c>
      <c r="N1668" t="str">
        <f>IFERROR(__xludf.DUMMYFUNCTION("""COMPUTED_VALUE"""),"Model 3 LR AWD")</f>
        <v>Model 3 LR AWD</v>
      </c>
      <c r="O1668" t="str">
        <f>IFERROR(__xludf.DUMMYFUNCTION("""COMPUTED_VALUE"""),"Deep Blue Metallic")</f>
        <v>Deep Blue Metallic</v>
      </c>
      <c r="P1668" t="str">
        <f>IFERROR(__xludf.DUMMYFUNCTION("""COMPUTED_VALUE"""),"19 inch Sport")</f>
        <v>19 inch Sport</v>
      </c>
      <c r="Q1668" t="str">
        <f>IFERROR(__xludf.DUMMYFUNCTION("""COMPUTED_VALUE"""),"White seats")</f>
        <v>White seats</v>
      </c>
      <c r="R1668" t="str">
        <f>IFERROR(__xludf.DUMMYFUNCTION("""COMPUTED_VALUE"""),"Full Self-Driving")</f>
        <v>Full Self-Driving</v>
      </c>
      <c r="X1668" t="str">
        <f>IFERROR(__xludf.DUMMYFUNCTION("""COMPUTED_VALUE"""),"Excellent")</f>
        <v>Excellent</v>
      </c>
      <c r="Y1668" t="str">
        <f>IFERROR(__xludf.DUMMYFUNCTION("""COMPUTED_VALUE"""),"Excellent")</f>
        <v>Excellent</v>
      </c>
      <c r="Z1668" t="str">
        <f>IFERROR(__xludf.DUMMYFUNCTION("""COMPUTED_VALUE"""),"Excellent")</f>
        <v>Excellent</v>
      </c>
      <c r="AA1668" t="str">
        <f>IFERROR(__xludf.DUMMYFUNCTION("""COMPUTED_VALUE"""),"Poor")</f>
        <v>Poor</v>
      </c>
      <c r="AB1668" t="str">
        <f>IFERROR(__xludf.DUMMYFUNCTION("""COMPUTED_VALUE"""),"Excellent")</f>
        <v>Excellent</v>
      </c>
      <c r="AC1668">
        <f>IFERROR(__xludf.DUMMYFUNCTION("""COMPUTED_VALUE"""),0.0)</f>
        <v>0</v>
      </c>
      <c r="AD1668">
        <f>IFERROR(__xludf.DUMMYFUNCTION("""COMPUTED_VALUE"""),0.0)</f>
        <v>0</v>
      </c>
      <c r="AE1668">
        <f>IFERROR(__xludf.DUMMYFUNCTION("""COMPUTED_VALUE"""),0.0)</f>
        <v>0</v>
      </c>
      <c r="AG1668" t="str">
        <f>IFERROR(__xludf.DUMMYFUNCTION("""COMPUTED_VALUE"""),"over 6 weeks and still waiting for VIN.  Since the inventory was made available online I looked for red/wht everywhere and found nothing.  I took my 2nd choice-Blue/wht.")</f>
        <v>over 6 weeks and still waiting for VIN.  Since the inventory was made available online I looked for red/wht everywhere and found nothing.  I took my 2nd choice-Blue/wht.</v>
      </c>
      <c r="AH1668" s="189">
        <f>IFERROR(__xludf.DUMMYFUNCTION("""COMPUTED_VALUE"""),43580.51034547454)</f>
        <v>43580.51035</v>
      </c>
    </row>
    <row r="1669">
      <c r="A1669" t="str">
        <f>IFERROR(__xludf.DUMMYFUNCTION("""COMPUTED_VALUE"""),"Mary")</f>
        <v>Mary</v>
      </c>
      <c r="B1669" t="str">
        <f>IFERROR(__xludf.DUMMYFUNCTION("""COMPUTED_VALUE"""),"Houston")</f>
        <v>Houston</v>
      </c>
      <c r="C1669" t="str">
        <f>IFERROR(__xludf.DUMMYFUNCTION("""COMPUTED_VALUE"""),"TX")</f>
        <v>TX</v>
      </c>
      <c r="D1669" t="str">
        <f>IFERROR(__xludf.DUMMYFUNCTION("""COMPUTED_VALUE"""),"USA")</f>
        <v>USA</v>
      </c>
      <c r="E1669" s="188">
        <f>IFERROR(__xludf.DUMMYFUNCTION("""COMPUTED_VALUE"""),43574.0)</f>
        <v>43574</v>
      </c>
      <c r="F1669" s="188">
        <f>IFERROR(__xludf.DUMMYFUNCTION("""COMPUTED_VALUE"""),43574.0)</f>
        <v>43574</v>
      </c>
      <c r="H1669">
        <f>IFERROR(__xludf.DUMMYFUNCTION("""COMPUTED_VALUE"""),194539.0)</f>
        <v>194539</v>
      </c>
      <c r="I1669" t="str">
        <f>IFERROR(__xludf.DUMMYFUNCTION("""COMPUTED_VALUE"""),"04/19")</f>
        <v>04/19</v>
      </c>
      <c r="J1669" s="5">
        <f>IFERROR(__xludf.DUMMYFUNCTION("""COMPUTED_VALUE"""),43580.0)</f>
        <v>43580</v>
      </c>
      <c r="K1669">
        <f>IFERROR(__xludf.DUMMYFUNCTION("""COMPUTED_VALUE"""),0.0)</f>
        <v>0</v>
      </c>
      <c r="L1669">
        <f>IFERROR(__xludf.DUMMYFUNCTION("""COMPUTED_VALUE"""),6.0)</f>
        <v>6</v>
      </c>
      <c r="M1669">
        <f>IFERROR(__xludf.DUMMYFUNCTION("""COMPUTED_VALUE"""),6.0)</f>
        <v>6</v>
      </c>
      <c r="N1669" t="str">
        <f>IFERROR(__xludf.DUMMYFUNCTION("""COMPUTED_VALUE"""),"Model 3 LR AWD")</f>
        <v>Model 3 LR AWD</v>
      </c>
      <c r="O1669" t="str">
        <f>IFERROR(__xludf.DUMMYFUNCTION("""COMPUTED_VALUE"""),"Red Multi-Coat")</f>
        <v>Red Multi-Coat</v>
      </c>
      <c r="P1669" t="str">
        <f>IFERROR(__xludf.DUMMYFUNCTION("""COMPUTED_VALUE"""),"19 inch Sport")</f>
        <v>19 inch Sport</v>
      </c>
      <c r="Q1669" t="str">
        <f>IFERROR(__xludf.DUMMYFUNCTION("""COMPUTED_VALUE"""),"Black seats")</f>
        <v>Black seats</v>
      </c>
      <c r="R1669" t="str">
        <f>IFERROR(__xludf.DUMMYFUNCTION("""COMPUTED_VALUE"""),"Full Self-Driving")</f>
        <v>Full Self-Driving</v>
      </c>
      <c r="X1669" t="str">
        <f>IFERROR(__xludf.DUMMYFUNCTION("""COMPUTED_VALUE"""),"Excellent")</f>
        <v>Excellent</v>
      </c>
      <c r="Y1669" t="str">
        <f>IFERROR(__xludf.DUMMYFUNCTION("""COMPUTED_VALUE"""),"Excellent")</f>
        <v>Excellent</v>
      </c>
      <c r="Z1669" t="str">
        <f>IFERROR(__xludf.DUMMYFUNCTION("""COMPUTED_VALUE"""),"Excellent")</f>
        <v>Excellent</v>
      </c>
      <c r="AA1669" t="str">
        <f>IFERROR(__xludf.DUMMYFUNCTION("""COMPUTED_VALUE"""),"Excellent")</f>
        <v>Excellent</v>
      </c>
      <c r="AB1669" t="str">
        <f>IFERROR(__xludf.DUMMYFUNCTION("""COMPUTED_VALUE"""),"Excellent")</f>
        <v>Excellent</v>
      </c>
      <c r="AH1669" s="189">
        <f>IFERROR(__xludf.DUMMYFUNCTION("""COMPUTED_VALUE"""),43581.40379630787)</f>
        <v>43581.4038</v>
      </c>
    </row>
    <row r="1670">
      <c r="A1670" t="str">
        <f>IFERROR(__xludf.DUMMYFUNCTION("""COMPUTED_VALUE"""),"golfnut")</f>
        <v>golfnut</v>
      </c>
      <c r="C1670" t="str">
        <f>IFERROR(__xludf.DUMMYFUNCTION("""COMPUTED_VALUE"""),"CA")</f>
        <v>CA</v>
      </c>
      <c r="D1670" t="str">
        <f>IFERROR(__xludf.DUMMYFUNCTION("""COMPUTED_VALUE"""),"USA")</f>
        <v>USA</v>
      </c>
      <c r="E1670" s="188">
        <f>IFERROR(__xludf.DUMMYFUNCTION("""COMPUTED_VALUE"""),43566.0)</f>
        <v>43566</v>
      </c>
      <c r="F1670" s="188">
        <f>IFERROR(__xludf.DUMMYFUNCTION("""COMPUTED_VALUE"""),43567.0)</f>
        <v>43567</v>
      </c>
      <c r="H1670">
        <f>IFERROR(__xludf.DUMMYFUNCTION("""COMPUTED_VALUE"""),238255.0)</f>
        <v>238255</v>
      </c>
      <c r="I1670" t="str">
        <f>IFERROR(__xludf.DUMMYFUNCTION("""COMPUTED_VALUE"""),"03/19")</f>
        <v>03/19</v>
      </c>
      <c r="J1670" s="5">
        <f>IFERROR(__xludf.DUMMYFUNCTION("""COMPUTED_VALUE"""),43575.0)</f>
        <v>43575</v>
      </c>
      <c r="K1670">
        <f>IFERROR(__xludf.DUMMYFUNCTION("""COMPUTED_VALUE"""),1.0)</f>
        <v>1</v>
      </c>
      <c r="L1670">
        <f>IFERROR(__xludf.DUMMYFUNCTION("""COMPUTED_VALUE"""),8.0)</f>
        <v>8</v>
      </c>
      <c r="M1670">
        <f>IFERROR(__xludf.DUMMYFUNCTION("""COMPUTED_VALUE"""),9.0)</f>
        <v>9</v>
      </c>
      <c r="N1670" t="str">
        <f>IFERROR(__xludf.DUMMYFUNCTION("""COMPUTED_VALUE"""),"Model 3 Performance")</f>
        <v>Model 3 Performance</v>
      </c>
      <c r="P1670" t="str">
        <f>IFERROR(__xludf.DUMMYFUNCTION("""COMPUTED_VALUE"""),"20 inch Sport")</f>
        <v>20 inch Sport</v>
      </c>
      <c r="Q1670" t="str">
        <f>IFERROR(__xludf.DUMMYFUNCTION("""COMPUTED_VALUE"""),"White seats")</f>
        <v>White seats</v>
      </c>
      <c r="R1670" t="str">
        <f>IFERROR(__xludf.DUMMYFUNCTION("""COMPUTED_VALUE"""),"Full Self-Driving")</f>
        <v>Full Self-Driving</v>
      </c>
      <c r="X1670" t="str">
        <f>IFERROR(__xludf.DUMMYFUNCTION("""COMPUTED_VALUE"""),"Very Good")</f>
        <v>Very Good</v>
      </c>
      <c r="Y1670" t="str">
        <f>IFERROR(__xludf.DUMMYFUNCTION("""COMPUTED_VALUE"""),"Excellent")</f>
        <v>Excellent</v>
      </c>
      <c r="Z1670" t="str">
        <f>IFERROR(__xludf.DUMMYFUNCTION("""COMPUTED_VALUE"""),"Very Good")</f>
        <v>Very Good</v>
      </c>
      <c r="AA1670" t="str">
        <f>IFERROR(__xludf.DUMMYFUNCTION("""COMPUTED_VALUE"""),"Good")</f>
        <v>Good</v>
      </c>
      <c r="AB1670" t="str">
        <f>IFERROR(__xludf.DUMMYFUNCTION("""COMPUTED_VALUE"""),"Very Good")</f>
        <v>Very Good</v>
      </c>
      <c r="AH1670" s="189">
        <f>IFERROR(__xludf.DUMMYFUNCTION("""COMPUTED_VALUE"""),43581.756017141204)</f>
        <v>43581.75602</v>
      </c>
    </row>
    <row r="1671">
      <c r="A1671" t="str">
        <f>IFERROR(__xludf.DUMMYFUNCTION("""COMPUTED_VALUE"""),"ilovestats")</f>
        <v>ilovestats</v>
      </c>
      <c r="B1671" t="str">
        <f>IFERROR(__xludf.DUMMYFUNCTION("""COMPUTED_VALUE"""),"Indianapolis")</f>
        <v>Indianapolis</v>
      </c>
      <c r="C1671" t="str">
        <f>IFERROR(__xludf.DUMMYFUNCTION("""COMPUTED_VALUE"""),"IN")</f>
        <v>IN</v>
      </c>
      <c r="D1671" t="str">
        <f>IFERROR(__xludf.DUMMYFUNCTION("""COMPUTED_VALUE"""),"USA")</f>
        <v>USA</v>
      </c>
      <c r="E1671" s="188">
        <f>IFERROR(__xludf.DUMMYFUNCTION("""COMPUTED_VALUE"""),43561.0)</f>
        <v>43561</v>
      </c>
      <c r="F1671" s="188">
        <f>IFERROR(__xludf.DUMMYFUNCTION("""COMPUTED_VALUE"""),43575.0)</f>
        <v>43575</v>
      </c>
      <c r="H1671">
        <f>IFERROR(__xludf.DUMMYFUNCTION("""COMPUTED_VALUE"""),312355.0)</f>
        <v>312355</v>
      </c>
      <c r="I1671" t="str">
        <f>IFERROR(__xludf.DUMMYFUNCTION("""COMPUTED_VALUE"""),"03/19")</f>
        <v>03/19</v>
      </c>
      <c r="J1671" s="5">
        <f>IFERROR(__xludf.DUMMYFUNCTION("""COMPUTED_VALUE"""),43581.0)</f>
        <v>43581</v>
      </c>
      <c r="K1671">
        <f>IFERROR(__xludf.DUMMYFUNCTION("""COMPUTED_VALUE"""),14.0)</f>
        <v>14</v>
      </c>
      <c r="L1671">
        <f>IFERROR(__xludf.DUMMYFUNCTION("""COMPUTED_VALUE"""),6.0)</f>
        <v>6</v>
      </c>
      <c r="M1671">
        <f>IFERROR(__xludf.DUMMYFUNCTION("""COMPUTED_VALUE"""),20.0)</f>
        <v>20</v>
      </c>
      <c r="N1671" t="str">
        <f>IFERROR(__xludf.DUMMYFUNCTION("""COMPUTED_VALUE"""),"Model 3 SR+")</f>
        <v>Model 3 SR+</v>
      </c>
      <c r="O1671" t="str">
        <f>IFERROR(__xludf.DUMMYFUNCTION("""COMPUTED_VALUE"""),"Deep Blue Metallic")</f>
        <v>Deep Blue Metallic</v>
      </c>
      <c r="P1671" t="str">
        <f>IFERROR(__xludf.DUMMYFUNCTION("""COMPUTED_VALUE"""),"18 inch Aero")</f>
        <v>18 inch Aero</v>
      </c>
      <c r="Q1671" t="str">
        <f>IFERROR(__xludf.DUMMYFUNCTION("""COMPUTED_VALUE"""),"White seats")</f>
        <v>White seats</v>
      </c>
      <c r="R1671" t="str">
        <f>IFERROR(__xludf.DUMMYFUNCTION("""COMPUTED_VALUE"""),"Full Self-Driving")</f>
        <v>Full Self-Driving</v>
      </c>
      <c r="X1671" t="str">
        <f>IFERROR(__xludf.DUMMYFUNCTION("""COMPUTED_VALUE"""),"Very Good")</f>
        <v>Very Good</v>
      </c>
      <c r="Y1671" t="str">
        <f>IFERROR(__xludf.DUMMYFUNCTION("""COMPUTED_VALUE"""),"Excellent")</f>
        <v>Excellent</v>
      </c>
      <c r="Z1671" t="str">
        <f>IFERROR(__xludf.DUMMYFUNCTION("""COMPUTED_VALUE"""),"Excellent")</f>
        <v>Excellent</v>
      </c>
      <c r="AA1671" t="str">
        <f>IFERROR(__xludf.DUMMYFUNCTION("""COMPUTED_VALUE"""),"Good")</f>
        <v>Good</v>
      </c>
      <c r="AB1671" t="str">
        <f>IFERROR(__xludf.DUMMYFUNCTION("""COMPUTED_VALUE"""),"Very Good")</f>
        <v>Very Good</v>
      </c>
      <c r="AG1671" t="str">
        <f>IFERROR(__xludf.DUMMYFUNCTION("""COMPUTED_VALUE"""),"4/6 ordered White Ext, 4/9 changed to Blue, 4/11 called about updated price, was told it would be honored, 4/20 delivery date assigned 5/1 but no VIN, called and 3 hours later VIN was assigned and delivery date changed to 4/27,  but MyTesla was not update"&amp;"d until I called on 4/23, then was updated immediately, now has 4/26 delivery date")</f>
        <v>4/6 ordered White Ext, 4/9 changed to Blue, 4/11 called about updated price, was told it would be honored, 4/20 delivery date assigned 5/1 but no VIN, called and 3 hours later VIN was assigned and delivery date changed to 4/27,  but MyTesla was not updated until I called on 4/23, then was updated immediately, now has 4/26 delivery date</v>
      </c>
      <c r="AH1671" s="189">
        <f>IFERROR(__xludf.DUMMYFUNCTION("""COMPUTED_VALUE"""),43582.374460590276)</f>
        <v>43582.37446</v>
      </c>
    </row>
    <row r="1672">
      <c r="A1672" t="str">
        <f>IFERROR(__xludf.DUMMYFUNCTION("""COMPUTED_VALUE"""),"thewait")</f>
        <v>thewait</v>
      </c>
      <c r="B1672" t="str">
        <f>IFERROR(__xludf.DUMMYFUNCTION("""COMPUTED_VALUE"""),"Orlando")</f>
        <v>Orlando</v>
      </c>
      <c r="C1672" t="str">
        <f>IFERROR(__xludf.DUMMYFUNCTION("""COMPUTED_VALUE"""),"FL")</f>
        <v>FL</v>
      </c>
      <c r="D1672" t="str">
        <f>IFERROR(__xludf.DUMMYFUNCTION("""COMPUTED_VALUE"""),"USA")</f>
        <v>USA</v>
      </c>
      <c r="E1672" s="188">
        <f>IFERROR(__xludf.DUMMYFUNCTION("""COMPUTED_VALUE"""),43524.0)</f>
        <v>43524</v>
      </c>
      <c r="F1672" s="188">
        <f>IFERROR(__xludf.DUMMYFUNCTION("""COMPUTED_VALUE"""),43569.0)</f>
        <v>43569</v>
      </c>
      <c r="H1672">
        <f>IFERROR(__xludf.DUMMYFUNCTION("""COMPUTED_VALUE"""),310755.0)</f>
        <v>310755</v>
      </c>
      <c r="J1672" s="5">
        <f>IFERROR(__xludf.DUMMYFUNCTION("""COMPUTED_VALUE"""),43582.0)</f>
        <v>43582</v>
      </c>
      <c r="K1672">
        <f>IFERROR(__xludf.DUMMYFUNCTION("""COMPUTED_VALUE"""),45.0)</f>
        <v>45</v>
      </c>
      <c r="L1672">
        <f>IFERROR(__xludf.DUMMYFUNCTION("""COMPUTED_VALUE"""),13.0)</f>
        <v>13</v>
      </c>
      <c r="M1672">
        <f>IFERROR(__xludf.DUMMYFUNCTION("""COMPUTED_VALUE"""),58.0)</f>
        <v>58</v>
      </c>
      <c r="N1672" t="str">
        <f>IFERROR(__xludf.DUMMYFUNCTION("""COMPUTED_VALUE"""),"Model 3 SR")</f>
        <v>Model 3 SR</v>
      </c>
      <c r="O1672" t="str">
        <f>IFERROR(__xludf.DUMMYFUNCTION("""COMPUTED_VALUE"""),"Solid Black")</f>
        <v>Solid Black</v>
      </c>
      <c r="P1672" t="str">
        <f>IFERROR(__xludf.DUMMYFUNCTION("""COMPUTED_VALUE"""),"19 inch Sport")</f>
        <v>19 inch Sport</v>
      </c>
      <c r="Q1672" t="str">
        <f>IFERROR(__xludf.DUMMYFUNCTION("""COMPUTED_VALUE"""),"Black seats")</f>
        <v>Black seats</v>
      </c>
      <c r="R1672" t="str">
        <f>IFERROR(__xludf.DUMMYFUNCTION("""COMPUTED_VALUE"""),"None")</f>
        <v>None</v>
      </c>
      <c r="X1672" t="str">
        <f>IFERROR(__xludf.DUMMYFUNCTION("""COMPUTED_VALUE"""),"Very Good")</f>
        <v>Very Good</v>
      </c>
      <c r="Y1672" t="str">
        <f>IFERROR(__xludf.DUMMYFUNCTION("""COMPUTED_VALUE"""),"Very Good")</f>
        <v>Very Good</v>
      </c>
      <c r="Z1672" t="str">
        <f>IFERROR(__xludf.DUMMYFUNCTION("""COMPUTED_VALUE"""),"Very Good")</f>
        <v>Very Good</v>
      </c>
      <c r="AA1672" t="str">
        <f>IFERROR(__xludf.DUMMYFUNCTION("""COMPUTED_VALUE"""),"Poor")</f>
        <v>Poor</v>
      </c>
      <c r="AB1672" t="str">
        <f>IFERROR(__xludf.DUMMYFUNCTION("""COMPUTED_VALUE"""),"Poor")</f>
        <v>Poor</v>
      </c>
      <c r="AC1672">
        <f>IFERROR(__xludf.DUMMYFUNCTION("""COMPUTED_VALUE"""),1.0)</f>
        <v>1</v>
      </c>
      <c r="AD1672">
        <f>IFERROR(__xludf.DUMMYFUNCTION("""COMPUTED_VALUE"""),0.0)</f>
        <v>0</v>
      </c>
      <c r="AE1672">
        <f>IFERROR(__xludf.DUMMYFUNCTION("""COMPUTED_VALUE"""),7.0)</f>
        <v>7</v>
      </c>
      <c r="AH1672" s="189">
        <f>IFERROR(__xludf.DUMMYFUNCTION("""COMPUTED_VALUE"""),43582.579165625)</f>
        <v>43582.57917</v>
      </c>
    </row>
    <row r="1673">
      <c r="A1673" t="str">
        <f>IFERROR(__xludf.DUMMYFUNCTION("""COMPUTED_VALUE"""),"Alemaker2208")</f>
        <v>Alemaker2208</v>
      </c>
      <c r="B1673" t="str">
        <f>IFERROR(__xludf.DUMMYFUNCTION("""COMPUTED_VALUE"""),"Twin Cities")</f>
        <v>Twin Cities</v>
      </c>
      <c r="C1673" t="str">
        <f>IFERROR(__xludf.DUMMYFUNCTION("""COMPUTED_VALUE"""),"MN")</f>
        <v>MN</v>
      </c>
      <c r="D1673" t="str">
        <f>IFERROR(__xludf.DUMMYFUNCTION("""COMPUTED_VALUE"""),"USA")</f>
        <v>USA</v>
      </c>
      <c r="E1673" s="188">
        <f>IFERROR(__xludf.DUMMYFUNCTION("""COMPUTED_VALUE"""),43549.0)</f>
        <v>43549</v>
      </c>
      <c r="F1673" s="188">
        <f>IFERROR(__xludf.DUMMYFUNCTION("""COMPUTED_VALUE"""),43550.0)</f>
        <v>43550</v>
      </c>
      <c r="H1673">
        <f>IFERROR(__xludf.DUMMYFUNCTION("""COMPUTED_VALUE"""),298710.0)</f>
        <v>298710</v>
      </c>
      <c r="I1673" t="str">
        <f>IFERROR(__xludf.DUMMYFUNCTION("""COMPUTED_VALUE"""),"03/19")</f>
        <v>03/19</v>
      </c>
      <c r="J1673" s="5">
        <f>IFERROR(__xludf.DUMMYFUNCTION("""COMPUTED_VALUE"""),43561.0)</f>
        <v>43561</v>
      </c>
      <c r="K1673">
        <f>IFERROR(__xludf.DUMMYFUNCTION("""COMPUTED_VALUE"""),1.0)</f>
        <v>1</v>
      </c>
      <c r="L1673">
        <f>IFERROR(__xludf.DUMMYFUNCTION("""COMPUTED_VALUE"""),11.0)</f>
        <v>11</v>
      </c>
      <c r="M1673">
        <f>IFERROR(__xludf.DUMMYFUNCTION("""COMPUTED_VALUE"""),12.0)</f>
        <v>12</v>
      </c>
      <c r="N1673" t="str">
        <f>IFERROR(__xludf.DUMMYFUNCTION("""COMPUTED_VALUE"""),"Model 3 SR+")</f>
        <v>Model 3 SR+</v>
      </c>
      <c r="O1673" t="str">
        <f>IFERROR(__xludf.DUMMYFUNCTION("""COMPUTED_VALUE"""),"Midnight Silver Metallic")</f>
        <v>Midnight Silver Metallic</v>
      </c>
      <c r="P1673" t="str">
        <f>IFERROR(__xludf.DUMMYFUNCTION("""COMPUTED_VALUE"""),"18 inch Aero")</f>
        <v>18 inch Aero</v>
      </c>
      <c r="Q1673" t="str">
        <f>IFERROR(__xludf.DUMMYFUNCTION("""COMPUTED_VALUE"""),"Black seats")</f>
        <v>Black seats</v>
      </c>
      <c r="R1673" t="str">
        <f>IFERROR(__xludf.DUMMYFUNCTION("""COMPUTED_VALUE"""),"Full Self-Driving")</f>
        <v>Full Self-Driving</v>
      </c>
      <c r="X1673" t="str">
        <f>IFERROR(__xludf.DUMMYFUNCTION("""COMPUTED_VALUE"""),"Excellent")</f>
        <v>Excellent</v>
      </c>
      <c r="Y1673" t="str">
        <f>IFERROR(__xludf.DUMMYFUNCTION("""COMPUTED_VALUE"""),"Excellent")</f>
        <v>Excellent</v>
      </c>
      <c r="Z1673" t="str">
        <f>IFERROR(__xludf.DUMMYFUNCTION("""COMPUTED_VALUE"""),"Very Good")</f>
        <v>Very Good</v>
      </c>
      <c r="AA1673" t="str">
        <f>IFERROR(__xludf.DUMMYFUNCTION("""COMPUTED_VALUE"""),"Fair")</f>
        <v>Fair</v>
      </c>
      <c r="AB1673" t="str">
        <f>IFERROR(__xludf.DUMMYFUNCTION("""COMPUTED_VALUE"""),"Poor")</f>
        <v>Poor</v>
      </c>
      <c r="AC1673">
        <f>IFERROR(__xludf.DUMMYFUNCTION("""COMPUTED_VALUE"""),1.0)</f>
        <v>1</v>
      </c>
      <c r="AD1673">
        <f>IFERROR(__xludf.DUMMYFUNCTION("""COMPUTED_VALUE"""),0.0)</f>
        <v>0</v>
      </c>
      <c r="AE1673">
        <f>IFERROR(__xludf.DUMMYFUNCTION("""COMPUTED_VALUE"""),0.0)</f>
        <v>0</v>
      </c>
      <c r="AH1673" s="189">
        <f>IFERROR(__xludf.DUMMYFUNCTION("""COMPUTED_VALUE"""),43582.723406481484)</f>
        <v>43582.72341</v>
      </c>
    </row>
    <row r="1674">
      <c r="A1674" t="str">
        <f>IFERROR(__xludf.DUMMYFUNCTION("""COMPUTED_VALUE"""),"JFC")</f>
        <v>JFC</v>
      </c>
      <c r="C1674" t="str">
        <f>IFERROR(__xludf.DUMMYFUNCTION("""COMPUTED_VALUE"""),"IL")</f>
        <v>IL</v>
      </c>
      <c r="D1674" t="str">
        <f>IFERROR(__xludf.DUMMYFUNCTION("""COMPUTED_VALUE"""),"USA")</f>
        <v>USA</v>
      </c>
      <c r="E1674" s="188">
        <f>IFERROR(__xludf.DUMMYFUNCTION("""COMPUTED_VALUE"""),43565.0)</f>
        <v>43565</v>
      </c>
      <c r="F1674" s="188">
        <f>IFERROR(__xludf.DUMMYFUNCTION("""COMPUTED_VALUE"""),43565.0)</f>
        <v>43565</v>
      </c>
      <c r="H1674">
        <f>IFERROR(__xludf.DUMMYFUNCTION("""COMPUTED_VALUE"""),190214.0)</f>
        <v>190214</v>
      </c>
      <c r="I1674" t="str">
        <f>IFERROR(__xludf.DUMMYFUNCTION("""COMPUTED_VALUE"""),"01/19")</f>
        <v>01/19</v>
      </c>
      <c r="J1674" s="5">
        <f>IFERROR(__xludf.DUMMYFUNCTION("""COMPUTED_VALUE"""),43574.0)</f>
        <v>43574</v>
      </c>
      <c r="K1674">
        <f>IFERROR(__xludf.DUMMYFUNCTION("""COMPUTED_VALUE"""),0.0)</f>
        <v>0</v>
      </c>
      <c r="L1674">
        <f>IFERROR(__xludf.DUMMYFUNCTION("""COMPUTED_VALUE"""),9.0)</f>
        <v>9</v>
      </c>
      <c r="M1674">
        <f>IFERROR(__xludf.DUMMYFUNCTION("""COMPUTED_VALUE"""),9.0)</f>
        <v>9</v>
      </c>
      <c r="N1674" t="str">
        <f>IFERROR(__xludf.DUMMYFUNCTION("""COMPUTED_VALUE"""),"Model 3 MR")</f>
        <v>Model 3 MR</v>
      </c>
      <c r="O1674" t="str">
        <f>IFERROR(__xludf.DUMMYFUNCTION("""COMPUTED_VALUE"""),"Midnight Silver Metallic")</f>
        <v>Midnight Silver Metallic</v>
      </c>
      <c r="P1674" t="str">
        <f>IFERROR(__xludf.DUMMYFUNCTION("""COMPUTED_VALUE"""),"18 inch Aero")</f>
        <v>18 inch Aero</v>
      </c>
      <c r="Q1674" t="str">
        <f>IFERROR(__xludf.DUMMYFUNCTION("""COMPUTED_VALUE"""),"Black seats")</f>
        <v>Black seats</v>
      </c>
      <c r="R1674" t="str">
        <f>IFERROR(__xludf.DUMMYFUNCTION("""COMPUTED_VALUE"""),"Full Self-Driving")</f>
        <v>Full Self-Driving</v>
      </c>
      <c r="X1674" t="str">
        <f>IFERROR(__xludf.DUMMYFUNCTION("""COMPUTED_VALUE"""),"Good")</f>
        <v>Good</v>
      </c>
      <c r="Y1674" t="str">
        <f>IFERROR(__xludf.DUMMYFUNCTION("""COMPUTED_VALUE"""),"Excellent")</f>
        <v>Excellent</v>
      </c>
      <c r="Z1674" t="str">
        <f>IFERROR(__xludf.DUMMYFUNCTION("""COMPUTED_VALUE"""),"Excellent")</f>
        <v>Excellent</v>
      </c>
      <c r="AA1674" t="str">
        <f>IFERROR(__xludf.DUMMYFUNCTION("""COMPUTED_VALUE"""),"Very Good")</f>
        <v>Very Good</v>
      </c>
      <c r="AB1674" t="str">
        <f>IFERROR(__xludf.DUMMYFUNCTION("""COMPUTED_VALUE"""),"Good")</f>
        <v>Good</v>
      </c>
      <c r="AC1674">
        <f>IFERROR(__xludf.DUMMYFUNCTION("""COMPUTED_VALUE"""),0.0)</f>
        <v>0</v>
      </c>
      <c r="AD1674">
        <f>IFERROR(__xludf.DUMMYFUNCTION("""COMPUTED_VALUE"""),0.0)</f>
        <v>0</v>
      </c>
      <c r="AE1674">
        <f>IFERROR(__xludf.DUMMYFUNCTION("""COMPUTED_VALUE"""),0.0)</f>
        <v>0</v>
      </c>
      <c r="AH1674" s="189">
        <f>IFERROR(__xludf.DUMMYFUNCTION("""COMPUTED_VALUE"""),43582.75639672454)</f>
        <v>43582.7564</v>
      </c>
    </row>
    <row r="1675">
      <c r="A1675" t="str">
        <f>IFERROR(__xludf.DUMMYFUNCTION("""COMPUTED_VALUE"""),"phlevcar")</f>
        <v>phlevcar</v>
      </c>
      <c r="B1675" t="str">
        <f>IFERROR(__xludf.DUMMYFUNCTION("""COMPUTED_VALUE"""),"Dallas")</f>
        <v>Dallas</v>
      </c>
      <c r="C1675" t="str">
        <f>IFERROR(__xludf.DUMMYFUNCTION("""COMPUTED_VALUE"""),"TX")</f>
        <v>TX</v>
      </c>
      <c r="D1675" t="str">
        <f>IFERROR(__xludf.DUMMYFUNCTION("""COMPUTED_VALUE"""),"USA")</f>
        <v>USA</v>
      </c>
      <c r="E1675" s="188">
        <f>IFERROR(__xludf.DUMMYFUNCTION("""COMPUTED_VALUE"""),43526.0)</f>
        <v>43526</v>
      </c>
      <c r="F1675" s="188">
        <f>IFERROR(__xludf.DUMMYFUNCTION("""COMPUTED_VALUE"""),43552.0)</f>
        <v>43552</v>
      </c>
      <c r="H1675">
        <f>IFERROR(__xludf.DUMMYFUNCTION("""COMPUTED_VALUE"""),231855.0)</f>
        <v>231855</v>
      </c>
      <c r="J1675" s="5">
        <f>IFERROR(__xludf.DUMMYFUNCTION("""COMPUTED_VALUE"""),43557.0)</f>
        <v>43557</v>
      </c>
      <c r="K1675">
        <f>IFERROR(__xludf.DUMMYFUNCTION("""COMPUTED_VALUE"""),26.0)</f>
        <v>26</v>
      </c>
      <c r="L1675">
        <f>IFERROR(__xludf.DUMMYFUNCTION("""COMPUTED_VALUE"""),5.0)</f>
        <v>5</v>
      </c>
      <c r="M1675">
        <f>IFERROR(__xludf.DUMMYFUNCTION("""COMPUTED_VALUE"""),31.0)</f>
        <v>31</v>
      </c>
      <c r="N1675" t="str">
        <f>IFERROR(__xludf.DUMMYFUNCTION("""COMPUTED_VALUE"""),"Model 3 Performance")</f>
        <v>Model 3 Performance</v>
      </c>
      <c r="O1675" t="str">
        <f>IFERROR(__xludf.DUMMYFUNCTION("""COMPUTED_VALUE"""),"Pearl White Multi-Coat")</f>
        <v>Pearl White Multi-Coat</v>
      </c>
      <c r="P1675" t="str">
        <f>IFERROR(__xludf.DUMMYFUNCTION("""COMPUTED_VALUE"""),"20 inch Sport")</f>
        <v>20 inch Sport</v>
      </c>
      <c r="Q1675" t="str">
        <f>IFERROR(__xludf.DUMMYFUNCTION("""COMPUTED_VALUE"""),"White seats")</f>
        <v>White seats</v>
      </c>
      <c r="R1675" t="str">
        <f>IFERROR(__xludf.DUMMYFUNCTION("""COMPUTED_VALUE"""),"Full Self-Driving")</f>
        <v>Full Self-Driving</v>
      </c>
      <c r="X1675" t="str">
        <f>IFERROR(__xludf.DUMMYFUNCTION("""COMPUTED_VALUE"""),"Excellent")</f>
        <v>Excellent</v>
      </c>
      <c r="Y1675" t="str">
        <f>IFERROR(__xludf.DUMMYFUNCTION("""COMPUTED_VALUE"""),"Excellent")</f>
        <v>Excellent</v>
      </c>
      <c r="Z1675" t="str">
        <f>IFERROR(__xludf.DUMMYFUNCTION("""COMPUTED_VALUE"""),"Excellent")</f>
        <v>Excellent</v>
      </c>
      <c r="AA1675" t="str">
        <f>IFERROR(__xludf.DUMMYFUNCTION("""COMPUTED_VALUE"""),"Fair")</f>
        <v>Fair</v>
      </c>
      <c r="AB1675" t="str">
        <f>IFERROR(__xludf.DUMMYFUNCTION("""COMPUTED_VALUE"""),"Excellent")</f>
        <v>Excellent</v>
      </c>
      <c r="AC1675">
        <f>IFERROR(__xludf.DUMMYFUNCTION("""COMPUTED_VALUE"""),0.0)</f>
        <v>0</v>
      </c>
      <c r="AD1675">
        <f>IFERROR(__xludf.DUMMYFUNCTION("""COMPUTED_VALUE"""),0.0)</f>
        <v>0</v>
      </c>
      <c r="AE1675">
        <f>IFERROR(__xludf.DUMMYFUNCTION("""COMPUTED_VALUE"""),0.0)</f>
        <v>0</v>
      </c>
      <c r="AH1675" s="189">
        <f>IFERROR(__xludf.DUMMYFUNCTION("""COMPUTED_VALUE"""),43582.88209413194)</f>
        <v>43582.88209</v>
      </c>
    </row>
    <row r="1676">
      <c r="A1676" t="str">
        <f>IFERROR(__xludf.DUMMYFUNCTION("""COMPUTED_VALUE"""),"blackawdturbo")</f>
        <v>blackawdturbo</v>
      </c>
      <c r="C1676" t="str">
        <f>IFERROR(__xludf.DUMMYFUNCTION("""COMPUTED_VALUE"""),"CT")</f>
        <v>CT</v>
      </c>
      <c r="D1676" t="str">
        <f>IFERROR(__xludf.DUMMYFUNCTION("""COMPUTED_VALUE"""),"USA")</f>
        <v>USA</v>
      </c>
      <c r="E1676" s="188">
        <f>IFERROR(__xludf.DUMMYFUNCTION("""COMPUTED_VALUE"""),43516.0)</f>
        <v>43516</v>
      </c>
      <c r="F1676" s="188">
        <f>IFERROR(__xludf.DUMMYFUNCTION("""COMPUTED_VALUE"""),43538.0)</f>
        <v>43538</v>
      </c>
      <c r="H1676">
        <f>IFERROR(__xludf.DUMMYFUNCTION("""COMPUTED_VALUE"""),199472.0)</f>
        <v>199472</v>
      </c>
      <c r="I1676" t="str">
        <f>IFERROR(__xludf.DUMMYFUNCTION("""COMPUTED_VALUE"""),"01/19")</f>
        <v>01/19</v>
      </c>
      <c r="J1676" s="5">
        <f>IFERROR(__xludf.DUMMYFUNCTION("""COMPUTED_VALUE"""),43539.0)</f>
        <v>43539</v>
      </c>
      <c r="K1676">
        <f>IFERROR(__xludf.DUMMYFUNCTION("""COMPUTED_VALUE"""),22.0)</f>
        <v>22</v>
      </c>
      <c r="L1676">
        <f>IFERROR(__xludf.DUMMYFUNCTION("""COMPUTED_VALUE"""),1.0)</f>
        <v>1</v>
      </c>
      <c r="M1676">
        <f>IFERROR(__xludf.DUMMYFUNCTION("""COMPUTED_VALUE"""),23.0)</f>
        <v>23</v>
      </c>
      <c r="N1676" t="str">
        <f>IFERROR(__xludf.DUMMYFUNCTION("""COMPUTED_VALUE"""),"Model 3 LR AWD")</f>
        <v>Model 3 LR AWD</v>
      </c>
      <c r="O1676" t="str">
        <f>IFERROR(__xludf.DUMMYFUNCTION("""COMPUTED_VALUE"""),"Deep Blue Metallic")</f>
        <v>Deep Blue Metallic</v>
      </c>
      <c r="P1676" t="str">
        <f>IFERROR(__xludf.DUMMYFUNCTION("""COMPUTED_VALUE"""),"18 inch Aero")</f>
        <v>18 inch Aero</v>
      </c>
      <c r="Q1676" t="str">
        <f>IFERROR(__xludf.DUMMYFUNCTION("""COMPUTED_VALUE"""),"Black seats")</f>
        <v>Black seats</v>
      </c>
      <c r="R1676" t="str">
        <f>IFERROR(__xludf.DUMMYFUNCTION("""COMPUTED_VALUE"""),"Autopilot")</f>
        <v>Autopilot</v>
      </c>
      <c r="X1676" t="str">
        <f>IFERROR(__xludf.DUMMYFUNCTION("""COMPUTED_VALUE"""),"Very Good")</f>
        <v>Very Good</v>
      </c>
      <c r="Y1676" t="str">
        <f>IFERROR(__xludf.DUMMYFUNCTION("""COMPUTED_VALUE"""),"Very Good")</f>
        <v>Very Good</v>
      </c>
      <c r="Z1676" t="str">
        <f>IFERROR(__xludf.DUMMYFUNCTION("""COMPUTED_VALUE"""),"Very Good")</f>
        <v>Very Good</v>
      </c>
      <c r="AA1676" t="str">
        <f>IFERROR(__xludf.DUMMYFUNCTION("""COMPUTED_VALUE"""),"Excellent")</f>
        <v>Excellent</v>
      </c>
      <c r="AB1676" t="str">
        <f>IFERROR(__xludf.DUMMYFUNCTION("""COMPUTED_VALUE"""),"Very Good")</f>
        <v>Very Good</v>
      </c>
      <c r="AC1676">
        <f>IFERROR(__xludf.DUMMYFUNCTION("""COMPUTED_VALUE"""),0.0)</f>
        <v>0</v>
      </c>
      <c r="AH1676" s="189">
        <f>IFERROR(__xludf.DUMMYFUNCTION("""COMPUTED_VALUE"""),43583.83258893518)</f>
        <v>43583.83259</v>
      </c>
    </row>
    <row r="1677">
      <c r="A1677" t="str">
        <f>IFERROR(__xludf.DUMMYFUNCTION("""COMPUTED_VALUE"""),"destructure00")</f>
        <v>destructure00</v>
      </c>
      <c r="B1677" t="str">
        <f>IFERROR(__xludf.DUMMYFUNCTION("""COMPUTED_VALUE"""),"Scottsdale")</f>
        <v>Scottsdale</v>
      </c>
      <c r="C1677" t="str">
        <f>IFERROR(__xludf.DUMMYFUNCTION("""COMPUTED_VALUE"""),"AZ")</f>
        <v>AZ</v>
      </c>
      <c r="D1677" t="str">
        <f>IFERROR(__xludf.DUMMYFUNCTION("""COMPUTED_VALUE"""),"USA")</f>
        <v>USA</v>
      </c>
      <c r="E1677" s="188">
        <f>IFERROR(__xludf.DUMMYFUNCTION("""COMPUTED_VALUE"""),43533.0)</f>
        <v>43533</v>
      </c>
      <c r="F1677" s="188">
        <f>IFERROR(__xludf.DUMMYFUNCTION("""COMPUTED_VALUE"""),43551.0)</f>
        <v>43551</v>
      </c>
      <c r="H1677">
        <f>IFERROR(__xludf.DUMMYFUNCTION("""COMPUTED_VALUE"""),231620.0)</f>
        <v>231620</v>
      </c>
      <c r="I1677" t="str">
        <f>IFERROR(__xludf.DUMMYFUNCTION("""COMPUTED_VALUE"""),"03/19")</f>
        <v>03/19</v>
      </c>
      <c r="J1677" s="5">
        <f>IFERROR(__xludf.DUMMYFUNCTION("""COMPUTED_VALUE"""),43554.0)</f>
        <v>43554</v>
      </c>
      <c r="K1677">
        <f>IFERROR(__xludf.DUMMYFUNCTION("""COMPUTED_VALUE"""),18.0)</f>
        <v>18</v>
      </c>
      <c r="L1677">
        <f>IFERROR(__xludf.DUMMYFUNCTION("""COMPUTED_VALUE"""),3.0)</f>
        <v>3</v>
      </c>
      <c r="M1677">
        <f>IFERROR(__xludf.DUMMYFUNCTION("""COMPUTED_VALUE"""),21.0)</f>
        <v>21</v>
      </c>
      <c r="N1677" t="str">
        <f>IFERROR(__xludf.DUMMYFUNCTION("""COMPUTED_VALUE"""),"Model 3 Performance")</f>
        <v>Model 3 Performance</v>
      </c>
      <c r="O1677" t="str">
        <f>IFERROR(__xludf.DUMMYFUNCTION("""COMPUTED_VALUE"""),"Red Multi-Coat")</f>
        <v>Red Multi-Coat</v>
      </c>
      <c r="P1677" t="str">
        <f>IFERROR(__xludf.DUMMYFUNCTION("""COMPUTED_VALUE"""),"20 inch Sport")</f>
        <v>20 inch Sport</v>
      </c>
      <c r="Q1677" t="str">
        <f>IFERROR(__xludf.DUMMYFUNCTION("""COMPUTED_VALUE"""),"White seats")</f>
        <v>White seats</v>
      </c>
      <c r="R1677" t="str">
        <f>IFERROR(__xludf.DUMMYFUNCTION("""COMPUTED_VALUE"""),"Full Self-Driving")</f>
        <v>Full Self-Driving</v>
      </c>
      <c r="X1677" t="str">
        <f>IFERROR(__xludf.DUMMYFUNCTION("""COMPUTED_VALUE"""),"Very Good")</f>
        <v>Very Good</v>
      </c>
      <c r="Y1677" t="str">
        <f>IFERROR(__xludf.DUMMYFUNCTION("""COMPUTED_VALUE"""),"Excellent")</f>
        <v>Excellent</v>
      </c>
      <c r="Z1677" t="str">
        <f>IFERROR(__xludf.DUMMYFUNCTION("""COMPUTED_VALUE"""),"Very Good")</f>
        <v>Very Good</v>
      </c>
      <c r="AA1677" t="str">
        <f>IFERROR(__xludf.DUMMYFUNCTION("""COMPUTED_VALUE"""),"Very Good")</f>
        <v>Very Good</v>
      </c>
      <c r="AB1677" t="str">
        <f>IFERROR(__xludf.DUMMYFUNCTION("""COMPUTED_VALUE"""),"Good")</f>
        <v>Good</v>
      </c>
      <c r="AC1677">
        <f>IFERROR(__xludf.DUMMYFUNCTION("""COMPUTED_VALUE"""),0.0)</f>
        <v>0</v>
      </c>
      <c r="AD1677">
        <f>IFERROR(__xludf.DUMMYFUNCTION("""COMPUTED_VALUE"""),1.0)</f>
        <v>1</v>
      </c>
      <c r="AE1677">
        <f>IFERROR(__xludf.DUMMYFUNCTION("""COMPUTED_VALUE"""),1.0)</f>
        <v>1</v>
      </c>
      <c r="AG1677" t="str">
        <f>IFERROR(__xludf.DUMMYFUNCTION("""COMPUTED_VALUE"""),"Originally ordered Pearl White on 3/9. Changed to Red on 3/19.")</f>
        <v>Originally ordered Pearl White on 3/9. Changed to Red on 3/19.</v>
      </c>
      <c r="AH1677" s="189">
        <f>IFERROR(__xludf.DUMMYFUNCTION("""COMPUTED_VALUE"""),43584.54270877315)</f>
        <v>43584.54271</v>
      </c>
    </row>
    <row r="1678">
      <c r="A1678" t="str">
        <f>IFERROR(__xludf.DUMMYFUNCTION("""COMPUTED_VALUE"""),"Rutrow 3")</f>
        <v>Rutrow 3</v>
      </c>
      <c r="B1678" t="str">
        <f>IFERROR(__xludf.DUMMYFUNCTION("""COMPUTED_VALUE"""),"Little Rock")</f>
        <v>Little Rock</v>
      </c>
      <c r="C1678" t="str">
        <f>IFERROR(__xludf.DUMMYFUNCTION("""COMPUTED_VALUE"""),"AR")</f>
        <v>AR</v>
      </c>
      <c r="D1678" t="str">
        <f>IFERROR(__xludf.DUMMYFUNCTION("""COMPUTED_VALUE"""),"USA")</f>
        <v>USA</v>
      </c>
      <c r="E1678" s="188">
        <f>IFERROR(__xludf.DUMMYFUNCTION("""COMPUTED_VALUE"""),43524.0)</f>
        <v>43524</v>
      </c>
      <c r="F1678" s="188">
        <f>IFERROR(__xludf.DUMMYFUNCTION("""COMPUTED_VALUE"""),43574.0)</f>
        <v>43574</v>
      </c>
      <c r="H1678">
        <f>IFERROR(__xludf.DUMMYFUNCTION("""COMPUTED_VALUE"""),306512.0)</f>
        <v>306512</v>
      </c>
      <c r="I1678" t="str">
        <f>IFERROR(__xludf.DUMMYFUNCTION("""COMPUTED_VALUE"""),"04/19")</f>
        <v>04/19</v>
      </c>
      <c r="J1678" s="5">
        <f>IFERROR(__xludf.DUMMYFUNCTION("""COMPUTED_VALUE"""),43581.0)</f>
        <v>43581</v>
      </c>
      <c r="K1678">
        <f>IFERROR(__xludf.DUMMYFUNCTION("""COMPUTED_VALUE"""),50.0)</f>
        <v>50</v>
      </c>
      <c r="L1678">
        <f>IFERROR(__xludf.DUMMYFUNCTION("""COMPUTED_VALUE"""),7.0)</f>
        <v>7</v>
      </c>
      <c r="M1678">
        <f>IFERROR(__xludf.DUMMYFUNCTION("""COMPUTED_VALUE"""),57.0)</f>
        <v>57</v>
      </c>
      <c r="N1678" t="str">
        <f>IFERROR(__xludf.DUMMYFUNCTION("""COMPUTED_VALUE"""),"Model 3 SR+")</f>
        <v>Model 3 SR+</v>
      </c>
      <c r="O1678" t="str">
        <f>IFERROR(__xludf.DUMMYFUNCTION("""COMPUTED_VALUE"""),"Solid Black")</f>
        <v>Solid Black</v>
      </c>
      <c r="P1678" t="str">
        <f>IFERROR(__xludf.DUMMYFUNCTION("""COMPUTED_VALUE"""),"18 inch Aero")</f>
        <v>18 inch Aero</v>
      </c>
      <c r="Q1678" t="str">
        <f>IFERROR(__xludf.DUMMYFUNCTION("""COMPUTED_VALUE"""),"Black seats")</f>
        <v>Black seats</v>
      </c>
      <c r="R1678" t="str">
        <f>IFERROR(__xludf.DUMMYFUNCTION("""COMPUTED_VALUE"""),"Autopilot")</f>
        <v>Autopilot</v>
      </c>
      <c r="X1678" t="str">
        <f>IFERROR(__xludf.DUMMYFUNCTION("""COMPUTED_VALUE"""),"Excellent")</f>
        <v>Excellent</v>
      </c>
      <c r="Y1678" t="str">
        <f>IFERROR(__xludf.DUMMYFUNCTION("""COMPUTED_VALUE"""),"Good")</f>
        <v>Good</v>
      </c>
      <c r="Z1678" t="str">
        <f>IFERROR(__xludf.DUMMYFUNCTION("""COMPUTED_VALUE"""),"Excellent")</f>
        <v>Excellent</v>
      </c>
      <c r="AA1678" t="str">
        <f>IFERROR(__xludf.DUMMYFUNCTION("""COMPUTED_VALUE"""),"Excellent")</f>
        <v>Excellent</v>
      </c>
      <c r="AB1678" t="str">
        <f>IFERROR(__xludf.DUMMYFUNCTION("""COMPUTED_VALUE"""),"Very Good")</f>
        <v>Very Good</v>
      </c>
      <c r="AC1678">
        <f>IFERROR(__xludf.DUMMYFUNCTION("""COMPUTED_VALUE"""),0.0)</f>
        <v>0</v>
      </c>
      <c r="AD1678">
        <f>IFERROR(__xludf.DUMMYFUNCTION("""COMPUTED_VALUE"""),0.0)</f>
        <v>0</v>
      </c>
      <c r="AE1678">
        <f>IFERROR(__xludf.DUMMYFUNCTION("""COMPUTED_VALUE"""),0.0)</f>
        <v>0</v>
      </c>
      <c r="AH1678" s="189">
        <f>IFERROR(__xludf.DUMMYFUNCTION("""COMPUTED_VALUE"""),43584.60014596065)</f>
        <v>43584.60015</v>
      </c>
    </row>
    <row r="1679">
      <c r="A1679" t="str">
        <f>IFERROR(__xludf.DUMMYFUNCTION("""COMPUTED_VALUE"""),"Bluepill")</f>
        <v>Bluepill</v>
      </c>
      <c r="B1679" t="str">
        <f>IFERROR(__xludf.DUMMYFUNCTION("""COMPUTED_VALUE"""),"Los Angeles")</f>
        <v>Los Angeles</v>
      </c>
      <c r="C1679" t="str">
        <f>IFERROR(__xludf.DUMMYFUNCTION("""COMPUTED_VALUE"""),"CA")</f>
        <v>CA</v>
      </c>
      <c r="D1679" t="str">
        <f>IFERROR(__xludf.DUMMYFUNCTION("""COMPUTED_VALUE"""),"USA")</f>
        <v>USA</v>
      </c>
      <c r="E1679" s="188">
        <f>IFERROR(__xludf.DUMMYFUNCTION("""COMPUTED_VALUE"""),43573.0)</f>
        <v>43573</v>
      </c>
      <c r="F1679" s="188">
        <f>IFERROR(__xludf.DUMMYFUNCTION("""COMPUTED_VALUE"""),43582.0)</f>
        <v>43582</v>
      </c>
      <c r="H1679">
        <f>IFERROR(__xludf.DUMMYFUNCTION("""COMPUTED_VALUE"""),237855.0)</f>
        <v>237855</v>
      </c>
      <c r="I1679" t="str">
        <f>IFERROR(__xludf.DUMMYFUNCTION("""COMPUTED_VALUE"""),"04/19")</f>
        <v>04/19</v>
      </c>
      <c r="J1679" s="5">
        <f>IFERROR(__xludf.DUMMYFUNCTION("""COMPUTED_VALUE"""),43586.0)</f>
        <v>43586</v>
      </c>
      <c r="K1679">
        <f>IFERROR(__xludf.DUMMYFUNCTION("""COMPUTED_VALUE"""),9.0)</f>
        <v>9</v>
      </c>
      <c r="L1679">
        <f>IFERROR(__xludf.DUMMYFUNCTION("""COMPUTED_VALUE"""),4.0)</f>
        <v>4</v>
      </c>
      <c r="M1679">
        <f>IFERROR(__xludf.DUMMYFUNCTION("""COMPUTED_VALUE"""),13.0)</f>
        <v>13</v>
      </c>
      <c r="N1679" t="str">
        <f>IFERROR(__xludf.DUMMYFUNCTION("""COMPUTED_VALUE"""),"Model 3 Performance")</f>
        <v>Model 3 Performance</v>
      </c>
      <c r="O1679" t="str">
        <f>IFERROR(__xludf.DUMMYFUNCTION("""COMPUTED_VALUE"""),"Pearl White Multi-Coat")</f>
        <v>Pearl White Multi-Coat</v>
      </c>
      <c r="P1679" t="str">
        <f>IFERROR(__xludf.DUMMYFUNCTION("""COMPUTED_VALUE"""),"20 inch Sport")</f>
        <v>20 inch Sport</v>
      </c>
      <c r="Q1679" t="str">
        <f>IFERROR(__xludf.DUMMYFUNCTION("""COMPUTED_VALUE"""),"Black seats")</f>
        <v>Black seats</v>
      </c>
      <c r="R1679" t="str">
        <f>IFERROR(__xludf.DUMMYFUNCTION("""COMPUTED_VALUE"""),"Full Self-Driving")</f>
        <v>Full Self-Driving</v>
      </c>
      <c r="X1679" t="str">
        <f>IFERROR(__xludf.DUMMYFUNCTION("""COMPUTED_VALUE"""),"Excellent")</f>
        <v>Excellent</v>
      </c>
      <c r="Y1679" t="str">
        <f>IFERROR(__xludf.DUMMYFUNCTION("""COMPUTED_VALUE"""),"Excellent")</f>
        <v>Excellent</v>
      </c>
      <c r="Z1679" t="str">
        <f>IFERROR(__xludf.DUMMYFUNCTION("""COMPUTED_VALUE"""),"Excellent")</f>
        <v>Excellent</v>
      </c>
      <c r="AA1679" t="str">
        <f>IFERROR(__xludf.DUMMYFUNCTION("""COMPUTED_VALUE"""),"Fair")</f>
        <v>Fair</v>
      </c>
      <c r="AB1679" t="str">
        <f>IFERROR(__xludf.DUMMYFUNCTION("""COMPUTED_VALUE"""),"Very Good")</f>
        <v>Very Good</v>
      </c>
      <c r="AC1679">
        <f>IFERROR(__xludf.DUMMYFUNCTION("""COMPUTED_VALUE"""),0.0)</f>
        <v>0</v>
      </c>
      <c r="AH1679" s="189">
        <f>IFERROR(__xludf.DUMMYFUNCTION("""COMPUTED_VALUE"""),43586.258562233794)</f>
        <v>43586.25856</v>
      </c>
    </row>
    <row r="1680">
      <c r="A1680" t="str">
        <f>IFERROR(__xludf.DUMMYFUNCTION("""COMPUTED_VALUE"""),"tangaroa")</f>
        <v>tangaroa</v>
      </c>
      <c r="B1680" t="str">
        <f>IFERROR(__xludf.DUMMYFUNCTION("""COMPUTED_VALUE"""),"Baltimore")</f>
        <v>Baltimore</v>
      </c>
      <c r="C1680" t="str">
        <f>IFERROR(__xludf.DUMMYFUNCTION("""COMPUTED_VALUE"""),"MD")</f>
        <v>MD</v>
      </c>
      <c r="D1680" t="str">
        <f>IFERROR(__xludf.DUMMYFUNCTION("""COMPUTED_VALUE"""),"USA")</f>
        <v>USA</v>
      </c>
      <c r="E1680" s="188">
        <f>IFERROR(__xludf.DUMMYFUNCTION("""COMPUTED_VALUE"""),43537.0)</f>
        <v>43537</v>
      </c>
      <c r="F1680" s="188">
        <f>IFERROR(__xludf.DUMMYFUNCTION("""COMPUTED_VALUE"""),43582.0)</f>
        <v>43582</v>
      </c>
      <c r="H1680">
        <f>IFERROR(__xludf.DUMMYFUNCTION("""COMPUTED_VALUE"""),238162.0)</f>
        <v>238162</v>
      </c>
      <c r="I1680" t="str">
        <f>IFERROR(__xludf.DUMMYFUNCTION("""COMPUTED_VALUE"""),"04/19")</f>
        <v>04/19</v>
      </c>
      <c r="J1680" s="5">
        <f>IFERROR(__xludf.DUMMYFUNCTION("""COMPUTED_VALUE"""),43587.0)</f>
        <v>43587</v>
      </c>
      <c r="K1680">
        <f>IFERROR(__xludf.DUMMYFUNCTION("""COMPUTED_VALUE"""),45.0)</f>
        <v>45</v>
      </c>
      <c r="L1680">
        <f>IFERROR(__xludf.DUMMYFUNCTION("""COMPUTED_VALUE"""),5.0)</f>
        <v>5</v>
      </c>
      <c r="M1680">
        <f>IFERROR(__xludf.DUMMYFUNCTION("""COMPUTED_VALUE"""),50.0)</f>
        <v>50</v>
      </c>
      <c r="N1680" t="str">
        <f>IFERROR(__xludf.DUMMYFUNCTION("""COMPUTED_VALUE"""),"Model 3 Performance")</f>
        <v>Model 3 Performance</v>
      </c>
      <c r="O1680" t="str">
        <f>IFERROR(__xludf.DUMMYFUNCTION("""COMPUTED_VALUE"""),"Red Multi-Coat")</f>
        <v>Red Multi-Coat</v>
      </c>
      <c r="P1680" t="str">
        <f>IFERROR(__xludf.DUMMYFUNCTION("""COMPUTED_VALUE"""),"20 inch Sport")</f>
        <v>20 inch Sport</v>
      </c>
      <c r="Q1680" t="str">
        <f>IFERROR(__xludf.DUMMYFUNCTION("""COMPUTED_VALUE"""),"White seats")</f>
        <v>White seats</v>
      </c>
      <c r="R1680" t="str">
        <f>IFERROR(__xludf.DUMMYFUNCTION("""COMPUTED_VALUE"""),"Full Self-Driving")</f>
        <v>Full Self-Driving</v>
      </c>
      <c r="X1680" t="str">
        <f>IFERROR(__xludf.DUMMYFUNCTION("""COMPUTED_VALUE"""),"Very Good")</f>
        <v>Very Good</v>
      </c>
      <c r="Y1680" t="str">
        <f>IFERROR(__xludf.DUMMYFUNCTION("""COMPUTED_VALUE"""),"Excellent")</f>
        <v>Excellent</v>
      </c>
      <c r="Z1680" t="str">
        <f>IFERROR(__xludf.DUMMYFUNCTION("""COMPUTED_VALUE"""),"Very Good")</f>
        <v>Very Good</v>
      </c>
      <c r="AA1680" t="str">
        <f>IFERROR(__xludf.DUMMYFUNCTION("""COMPUTED_VALUE"""),"Poor")</f>
        <v>Poor</v>
      </c>
      <c r="AB1680" t="str">
        <f>IFERROR(__xludf.DUMMYFUNCTION("""COMPUTED_VALUE"""),"Good")</f>
        <v>Good</v>
      </c>
      <c r="AH1680" s="189">
        <f>IFERROR(__xludf.DUMMYFUNCTION("""COMPUTED_VALUE"""),43587.907827222225)</f>
        <v>43587.90783</v>
      </c>
    </row>
    <row r="1681">
      <c r="A1681" t="str">
        <f>IFERROR(__xludf.DUMMYFUNCTION("""COMPUTED_VALUE"""),"MrSteve920")</f>
        <v>MrSteve920</v>
      </c>
      <c r="B1681" t="str">
        <f>IFERROR(__xludf.DUMMYFUNCTION("""COMPUTED_VALUE"""),"Newark")</f>
        <v>Newark</v>
      </c>
      <c r="C1681" t="str">
        <f>IFERROR(__xludf.DUMMYFUNCTION("""COMPUTED_VALUE"""),"DE")</f>
        <v>DE</v>
      </c>
      <c r="D1681" t="str">
        <f>IFERROR(__xludf.DUMMYFUNCTION("""COMPUTED_VALUE"""),"USA")</f>
        <v>USA</v>
      </c>
      <c r="E1681" s="188">
        <f>IFERROR(__xludf.DUMMYFUNCTION("""COMPUTED_VALUE"""),43570.0)</f>
        <v>43570</v>
      </c>
      <c r="F1681" s="188">
        <f>IFERROR(__xludf.DUMMYFUNCTION("""COMPUTED_VALUE"""),43575.0)</f>
        <v>43575</v>
      </c>
      <c r="H1681">
        <f>IFERROR(__xludf.DUMMYFUNCTION("""COMPUTED_VALUE"""),364966.0)</f>
        <v>364966</v>
      </c>
      <c r="J1681" s="5">
        <f>IFERROR(__xludf.DUMMYFUNCTION("""COMPUTED_VALUE"""),43582.0)</f>
        <v>43582</v>
      </c>
      <c r="K1681">
        <f>IFERROR(__xludf.DUMMYFUNCTION("""COMPUTED_VALUE"""),5.0)</f>
        <v>5</v>
      </c>
      <c r="L1681">
        <f>IFERROR(__xludf.DUMMYFUNCTION("""COMPUTED_VALUE"""),7.0)</f>
        <v>7</v>
      </c>
      <c r="M1681">
        <f>IFERROR(__xludf.DUMMYFUNCTION("""COMPUTED_VALUE"""),12.0)</f>
        <v>12</v>
      </c>
      <c r="N1681" t="str">
        <f>IFERROR(__xludf.DUMMYFUNCTION("""COMPUTED_VALUE"""),"Model 3 LR AWD")</f>
        <v>Model 3 LR AWD</v>
      </c>
      <c r="O1681" t="str">
        <f>IFERROR(__xludf.DUMMYFUNCTION("""COMPUTED_VALUE"""),"Deep Blue Metallic")</f>
        <v>Deep Blue Metallic</v>
      </c>
      <c r="P1681" t="str">
        <f>IFERROR(__xludf.DUMMYFUNCTION("""COMPUTED_VALUE"""),"18 inch Aero")</f>
        <v>18 inch Aero</v>
      </c>
      <c r="Q1681" t="str">
        <f>IFERROR(__xludf.DUMMYFUNCTION("""COMPUTED_VALUE"""),"Black seats")</f>
        <v>Black seats</v>
      </c>
      <c r="R1681" t="str">
        <f>IFERROR(__xludf.DUMMYFUNCTION("""COMPUTED_VALUE"""),"Full Self-Driving")</f>
        <v>Full Self-Driving</v>
      </c>
      <c r="X1681" t="str">
        <f>IFERROR(__xludf.DUMMYFUNCTION("""COMPUTED_VALUE"""),"Excellent")</f>
        <v>Excellent</v>
      </c>
      <c r="Y1681" t="str">
        <f>IFERROR(__xludf.DUMMYFUNCTION("""COMPUTED_VALUE"""),"Very Good")</f>
        <v>Very Good</v>
      </c>
      <c r="Z1681" t="str">
        <f>IFERROR(__xludf.DUMMYFUNCTION("""COMPUTED_VALUE"""),"Fair")</f>
        <v>Fair</v>
      </c>
      <c r="AA1681" t="str">
        <f>IFERROR(__xludf.DUMMYFUNCTION("""COMPUTED_VALUE"""),"Excellent")</f>
        <v>Excellent</v>
      </c>
      <c r="AB1681" t="str">
        <f>IFERROR(__xludf.DUMMYFUNCTION("""COMPUTED_VALUE"""),"Very Good")</f>
        <v>Very Good</v>
      </c>
      <c r="AC1681">
        <f>IFERROR(__xludf.DUMMYFUNCTION("""COMPUTED_VALUE"""),2.0)</f>
        <v>2</v>
      </c>
      <c r="AD1681">
        <f>IFERROR(__xludf.DUMMYFUNCTION("""COMPUTED_VALUE"""),0.0)</f>
        <v>0</v>
      </c>
      <c r="AE1681">
        <f>IFERROR(__xludf.DUMMYFUNCTION("""COMPUTED_VALUE"""),7.0)</f>
        <v>7</v>
      </c>
      <c r="AH1681" s="189">
        <f>IFERROR(__xludf.DUMMYFUNCTION("""COMPUTED_VALUE"""),43588.38355945602)</f>
        <v>43588.38356</v>
      </c>
    </row>
    <row r="1682">
      <c r="A1682" t="str">
        <f>IFERROR(__xludf.DUMMYFUNCTION("""COMPUTED_VALUE"""),"forrest")</f>
        <v>forrest</v>
      </c>
      <c r="B1682" t="str">
        <f>IFERROR(__xludf.DUMMYFUNCTION("""COMPUTED_VALUE"""),"Loveland, CO")</f>
        <v>Loveland, CO</v>
      </c>
      <c r="C1682" t="str">
        <f>IFERROR(__xludf.DUMMYFUNCTION("""COMPUTED_VALUE"""),"CO")</f>
        <v>CO</v>
      </c>
      <c r="D1682" t="str">
        <f>IFERROR(__xludf.DUMMYFUNCTION("""COMPUTED_VALUE"""),"USA")</f>
        <v>USA</v>
      </c>
      <c r="E1682" s="188">
        <f>IFERROR(__xludf.DUMMYFUNCTION("""COMPUTED_VALUE"""),43574.0)</f>
        <v>43574</v>
      </c>
      <c r="F1682" s="188">
        <f>IFERROR(__xludf.DUMMYFUNCTION("""COMPUTED_VALUE"""),43581.0)</f>
        <v>43581</v>
      </c>
      <c r="H1682">
        <f>IFERROR(__xludf.DUMMYFUNCTION("""COMPUTED_VALUE"""),231755.0)</f>
        <v>231755</v>
      </c>
      <c r="I1682" t="str">
        <f>IFERROR(__xludf.DUMMYFUNCTION("""COMPUTED_VALUE"""),"04/19")</f>
        <v>04/19</v>
      </c>
      <c r="J1682" s="5">
        <f>IFERROR(__xludf.DUMMYFUNCTION("""COMPUTED_VALUE"""),43587.0)</f>
        <v>43587</v>
      </c>
      <c r="K1682">
        <f>IFERROR(__xludf.DUMMYFUNCTION("""COMPUTED_VALUE"""),7.0)</f>
        <v>7</v>
      </c>
      <c r="L1682">
        <f>IFERROR(__xludf.DUMMYFUNCTION("""COMPUTED_VALUE"""),6.0)</f>
        <v>6</v>
      </c>
      <c r="M1682">
        <f>IFERROR(__xludf.DUMMYFUNCTION("""COMPUTED_VALUE"""),13.0)</f>
        <v>13</v>
      </c>
      <c r="N1682" t="str">
        <f>IFERROR(__xludf.DUMMYFUNCTION("""COMPUTED_VALUE"""),"Model 3 Performance")</f>
        <v>Model 3 Performance</v>
      </c>
      <c r="O1682" t="str">
        <f>IFERROR(__xludf.DUMMYFUNCTION("""COMPUTED_VALUE"""),"Deep Blue Metallic")</f>
        <v>Deep Blue Metallic</v>
      </c>
      <c r="P1682" t="str">
        <f>IFERROR(__xludf.DUMMYFUNCTION("""COMPUTED_VALUE"""),"20 inch Sport")</f>
        <v>20 inch Sport</v>
      </c>
      <c r="Q1682" t="str">
        <f>IFERROR(__xludf.DUMMYFUNCTION("""COMPUTED_VALUE"""),"White seats")</f>
        <v>White seats</v>
      </c>
      <c r="R1682" t="str">
        <f>IFERROR(__xludf.DUMMYFUNCTION("""COMPUTED_VALUE"""),"Full Self-Driving")</f>
        <v>Full Self-Driving</v>
      </c>
      <c r="X1682" t="str">
        <f>IFERROR(__xludf.DUMMYFUNCTION("""COMPUTED_VALUE"""),"Fair")</f>
        <v>Fair</v>
      </c>
      <c r="Y1682" t="str">
        <f>IFERROR(__xludf.DUMMYFUNCTION("""COMPUTED_VALUE"""),"Very Good")</f>
        <v>Very Good</v>
      </c>
      <c r="Z1682" t="str">
        <f>IFERROR(__xludf.DUMMYFUNCTION("""COMPUTED_VALUE"""),"Good")</f>
        <v>Good</v>
      </c>
      <c r="AA1682" t="str">
        <f>IFERROR(__xludf.DUMMYFUNCTION("""COMPUTED_VALUE"""),"Poor")</f>
        <v>Poor</v>
      </c>
      <c r="AB1682" t="str">
        <f>IFERROR(__xludf.DUMMYFUNCTION("""COMPUTED_VALUE"""),"Fair")</f>
        <v>Fair</v>
      </c>
      <c r="AC1682">
        <f>IFERROR(__xludf.DUMMYFUNCTION("""COMPUTED_VALUE"""),1.0)</f>
        <v>1</v>
      </c>
      <c r="AH1682" s="189">
        <f>IFERROR(__xludf.DUMMYFUNCTION("""COMPUTED_VALUE"""),43588.50454123842)</f>
        <v>43588.50454</v>
      </c>
    </row>
    <row r="1683">
      <c r="A1683" t="str">
        <f>IFERROR(__xludf.DUMMYFUNCTION("""COMPUTED_VALUE"""),"pearisian")</f>
        <v>pearisian</v>
      </c>
      <c r="B1683" t="str">
        <f>IFERROR(__xludf.DUMMYFUNCTION("""COMPUTED_VALUE"""),"San Jose")</f>
        <v>San Jose</v>
      </c>
      <c r="C1683" t="str">
        <f>IFERROR(__xludf.DUMMYFUNCTION("""COMPUTED_VALUE"""),"CA")</f>
        <v>CA</v>
      </c>
      <c r="D1683" t="str">
        <f>IFERROR(__xludf.DUMMYFUNCTION("""COMPUTED_VALUE"""),"USA")</f>
        <v>USA</v>
      </c>
      <c r="E1683" s="188">
        <f>IFERROR(__xludf.DUMMYFUNCTION("""COMPUTED_VALUE"""),43572.0)</f>
        <v>43572</v>
      </c>
      <c r="F1683" s="188">
        <f>IFERROR(__xludf.DUMMYFUNCTION("""COMPUTED_VALUE"""),43587.0)</f>
        <v>43587</v>
      </c>
      <c r="H1683">
        <f>IFERROR(__xludf.DUMMYFUNCTION("""COMPUTED_VALUE"""),237602.0)</f>
        <v>237602</v>
      </c>
      <c r="J1683" s="5">
        <f>IFERROR(__xludf.DUMMYFUNCTION("""COMPUTED_VALUE"""),43588.0)</f>
        <v>43588</v>
      </c>
      <c r="K1683">
        <f>IFERROR(__xludf.DUMMYFUNCTION("""COMPUTED_VALUE"""),15.0)</f>
        <v>15</v>
      </c>
      <c r="L1683">
        <f>IFERROR(__xludf.DUMMYFUNCTION("""COMPUTED_VALUE"""),1.0)</f>
        <v>1</v>
      </c>
      <c r="M1683">
        <f>IFERROR(__xludf.DUMMYFUNCTION("""COMPUTED_VALUE"""),16.0)</f>
        <v>16</v>
      </c>
      <c r="N1683" t="str">
        <f>IFERROR(__xludf.DUMMYFUNCTION("""COMPUTED_VALUE"""),"Model 3 Performance")</f>
        <v>Model 3 Performance</v>
      </c>
      <c r="O1683" t="str">
        <f>IFERROR(__xludf.DUMMYFUNCTION("""COMPUTED_VALUE"""),"Midnight Silver Metallic")</f>
        <v>Midnight Silver Metallic</v>
      </c>
      <c r="P1683" t="str">
        <f>IFERROR(__xludf.DUMMYFUNCTION("""COMPUTED_VALUE"""),"20 inch Sport")</f>
        <v>20 inch Sport</v>
      </c>
      <c r="Q1683" t="str">
        <f>IFERROR(__xludf.DUMMYFUNCTION("""COMPUTED_VALUE"""),"Black seats")</f>
        <v>Black seats</v>
      </c>
      <c r="R1683" t="str">
        <f>IFERROR(__xludf.DUMMYFUNCTION("""COMPUTED_VALUE"""),"Full Self-Driving")</f>
        <v>Full Self-Driving</v>
      </c>
      <c r="X1683" t="str">
        <f>IFERROR(__xludf.DUMMYFUNCTION("""COMPUTED_VALUE"""),"Excellent")</f>
        <v>Excellent</v>
      </c>
      <c r="Y1683" t="str">
        <f>IFERROR(__xludf.DUMMYFUNCTION("""COMPUTED_VALUE"""),"Very Good")</f>
        <v>Very Good</v>
      </c>
      <c r="Z1683" t="str">
        <f>IFERROR(__xludf.DUMMYFUNCTION("""COMPUTED_VALUE"""),"Excellent")</f>
        <v>Excellent</v>
      </c>
      <c r="AA1683" t="str">
        <f>IFERROR(__xludf.DUMMYFUNCTION("""COMPUTED_VALUE"""),"Poor")</f>
        <v>Poor</v>
      </c>
      <c r="AB1683" t="str">
        <f>IFERROR(__xludf.DUMMYFUNCTION("""COMPUTED_VALUE"""),"Excellent")</f>
        <v>Excellent</v>
      </c>
      <c r="AH1683" s="189">
        <f>IFERROR(__xludf.DUMMYFUNCTION("""COMPUTED_VALUE"""),43588.589939212965)</f>
        <v>43588.58994</v>
      </c>
    </row>
    <row r="1684">
      <c r="A1684" t="str">
        <f>IFERROR(__xludf.DUMMYFUNCTION("""COMPUTED_VALUE"""),"sniteiu")</f>
        <v>sniteiu</v>
      </c>
      <c r="B1684" t="str">
        <f>IFERROR(__xludf.DUMMYFUNCTION("""COMPUTED_VALUE"""),"Indianapolis")</f>
        <v>Indianapolis</v>
      </c>
      <c r="C1684" t="str">
        <f>IFERROR(__xludf.DUMMYFUNCTION("""COMPUTED_VALUE"""),"IN")</f>
        <v>IN</v>
      </c>
      <c r="D1684" t="str">
        <f>IFERROR(__xludf.DUMMYFUNCTION("""COMPUTED_VALUE"""),"USA")</f>
        <v>USA</v>
      </c>
      <c r="E1684" s="188">
        <f>IFERROR(__xludf.DUMMYFUNCTION("""COMPUTED_VALUE"""),43575.0)</f>
        <v>43575</v>
      </c>
      <c r="F1684" s="188">
        <f>IFERROR(__xludf.DUMMYFUNCTION("""COMPUTED_VALUE"""),43582.0)</f>
        <v>43582</v>
      </c>
      <c r="H1684">
        <f>IFERROR(__xludf.DUMMYFUNCTION("""COMPUTED_VALUE"""),302555.0)</f>
        <v>302555</v>
      </c>
      <c r="I1684" t="str">
        <f>IFERROR(__xludf.DUMMYFUNCTION("""COMPUTED_VALUE"""),"03/19")</f>
        <v>03/19</v>
      </c>
      <c r="J1684" s="5">
        <f>IFERROR(__xludf.DUMMYFUNCTION("""COMPUTED_VALUE"""),43588.0)</f>
        <v>43588</v>
      </c>
      <c r="K1684">
        <f>IFERROR(__xludf.DUMMYFUNCTION("""COMPUTED_VALUE"""),7.0)</f>
        <v>7</v>
      </c>
      <c r="L1684">
        <f>IFERROR(__xludf.DUMMYFUNCTION("""COMPUTED_VALUE"""),6.0)</f>
        <v>6</v>
      </c>
      <c r="M1684">
        <f>IFERROR(__xludf.DUMMYFUNCTION("""COMPUTED_VALUE"""),13.0)</f>
        <v>13</v>
      </c>
      <c r="N1684" t="str">
        <f>IFERROR(__xludf.DUMMYFUNCTION("""COMPUTED_VALUE"""),"Model 3 SR+")</f>
        <v>Model 3 SR+</v>
      </c>
      <c r="O1684" t="str">
        <f>IFERROR(__xludf.DUMMYFUNCTION("""COMPUTED_VALUE"""),"Solid Black")</f>
        <v>Solid Black</v>
      </c>
      <c r="P1684" t="str">
        <f>IFERROR(__xludf.DUMMYFUNCTION("""COMPUTED_VALUE"""),"19 inch Sport")</f>
        <v>19 inch Sport</v>
      </c>
      <c r="Q1684" t="str">
        <f>IFERROR(__xludf.DUMMYFUNCTION("""COMPUTED_VALUE"""),"White seats")</f>
        <v>White seats</v>
      </c>
      <c r="R1684" t="str">
        <f>IFERROR(__xludf.DUMMYFUNCTION("""COMPUTED_VALUE"""),"Autopilot")</f>
        <v>Autopilot</v>
      </c>
      <c r="X1684" t="str">
        <f>IFERROR(__xludf.DUMMYFUNCTION("""COMPUTED_VALUE"""),"Very Good")</f>
        <v>Very Good</v>
      </c>
      <c r="Y1684" t="str">
        <f>IFERROR(__xludf.DUMMYFUNCTION("""COMPUTED_VALUE"""),"Excellent")</f>
        <v>Excellent</v>
      </c>
      <c r="Z1684" t="str">
        <f>IFERROR(__xludf.DUMMYFUNCTION("""COMPUTED_VALUE"""),"Very Good")</f>
        <v>Very Good</v>
      </c>
      <c r="AA1684" t="str">
        <f>IFERROR(__xludf.DUMMYFUNCTION("""COMPUTED_VALUE"""),"Poor")</f>
        <v>Poor</v>
      </c>
      <c r="AB1684" t="str">
        <f>IFERROR(__xludf.DUMMYFUNCTION("""COMPUTED_VALUE"""),"Good")</f>
        <v>Good</v>
      </c>
      <c r="AG1684" t="str">
        <f>IFERROR(__xludf.DUMMYFUNCTION("""COMPUTED_VALUE"""),"Orig VIN date 4/23/19 w/ 4/30/19 delivery.  Final paperwork recv'd 4/27/19 and vehicle was a demo vehicle w/ 700 miles.  Refused to take delivery.  New VIN 4/27/19.  Took delivery 5/3/19.")</f>
        <v>Orig VIN date 4/23/19 w/ 4/30/19 delivery.  Final paperwork recv'd 4/27/19 and vehicle was a demo vehicle w/ 700 miles.  Refused to take delivery.  New VIN 4/27/19.  Took delivery 5/3/19.</v>
      </c>
      <c r="AH1684" s="189">
        <f>IFERROR(__xludf.DUMMYFUNCTION("""COMPUTED_VALUE"""),43588.84550892361)</f>
        <v>43588.84551</v>
      </c>
    </row>
    <row r="1685">
      <c r="A1685" t="str">
        <f>IFERROR(__xludf.DUMMYFUNCTION("""COMPUTED_VALUE"""),"Danny Brown")</f>
        <v>Danny Brown</v>
      </c>
      <c r="B1685" t="str">
        <f>IFERROR(__xludf.DUMMYFUNCTION("""COMPUTED_VALUE"""),"Huntsville")</f>
        <v>Huntsville</v>
      </c>
      <c r="C1685" t="str">
        <f>IFERROR(__xludf.DUMMYFUNCTION("""COMPUTED_VALUE"""),"AL")</f>
        <v>AL</v>
      </c>
      <c r="D1685" t="str">
        <f>IFERROR(__xludf.DUMMYFUNCTION("""COMPUTED_VALUE"""),"USA")</f>
        <v>USA</v>
      </c>
      <c r="E1685" s="188">
        <f>IFERROR(__xludf.DUMMYFUNCTION("""COMPUTED_VALUE"""),43572.0)</f>
        <v>43572</v>
      </c>
      <c r="F1685" s="188">
        <f>IFERROR(__xludf.DUMMYFUNCTION("""COMPUTED_VALUE"""),43581.0)</f>
        <v>43581</v>
      </c>
      <c r="H1685">
        <f>IFERROR(__xludf.DUMMYFUNCTION("""COMPUTED_VALUE"""),231573.0)</f>
        <v>231573</v>
      </c>
      <c r="I1685" t="str">
        <f>IFERROR(__xludf.DUMMYFUNCTION("""COMPUTED_VALUE"""),"04/19")</f>
        <v>04/19</v>
      </c>
      <c r="J1685" s="5">
        <f>IFERROR(__xludf.DUMMYFUNCTION("""COMPUTED_VALUE"""),43588.0)</f>
        <v>43588</v>
      </c>
      <c r="K1685">
        <f>IFERROR(__xludf.DUMMYFUNCTION("""COMPUTED_VALUE"""),9.0)</f>
        <v>9</v>
      </c>
      <c r="L1685">
        <f>IFERROR(__xludf.DUMMYFUNCTION("""COMPUTED_VALUE"""),7.0)</f>
        <v>7</v>
      </c>
      <c r="M1685">
        <f>IFERROR(__xludf.DUMMYFUNCTION("""COMPUTED_VALUE"""),16.0)</f>
        <v>16</v>
      </c>
      <c r="N1685" t="str">
        <f>IFERROR(__xludf.DUMMYFUNCTION("""COMPUTED_VALUE"""),"Model 3 Performance")</f>
        <v>Model 3 Performance</v>
      </c>
      <c r="O1685" t="str">
        <f>IFERROR(__xludf.DUMMYFUNCTION("""COMPUTED_VALUE"""),"Midnight Silver Metallic")</f>
        <v>Midnight Silver Metallic</v>
      </c>
      <c r="P1685" t="str">
        <f>IFERROR(__xludf.DUMMYFUNCTION("""COMPUTED_VALUE"""),"20 inch Sport")</f>
        <v>20 inch Sport</v>
      </c>
      <c r="Q1685" t="str">
        <f>IFERROR(__xludf.DUMMYFUNCTION("""COMPUTED_VALUE"""),"White seats")</f>
        <v>White seats</v>
      </c>
      <c r="R1685" t="str">
        <f>IFERROR(__xludf.DUMMYFUNCTION("""COMPUTED_VALUE"""),"Full Self-Driving")</f>
        <v>Full Self-Driving</v>
      </c>
      <c r="X1685" t="str">
        <f>IFERROR(__xludf.DUMMYFUNCTION("""COMPUTED_VALUE"""),"Excellent")</f>
        <v>Excellent</v>
      </c>
      <c r="Y1685" t="str">
        <f>IFERROR(__xludf.DUMMYFUNCTION("""COMPUTED_VALUE"""),"Good")</f>
        <v>Good</v>
      </c>
      <c r="Z1685" t="str">
        <f>IFERROR(__xludf.DUMMYFUNCTION("""COMPUTED_VALUE"""),"Excellent")</f>
        <v>Excellent</v>
      </c>
      <c r="AA1685" t="str">
        <f>IFERROR(__xludf.DUMMYFUNCTION("""COMPUTED_VALUE"""),"Very Good")</f>
        <v>Very Good</v>
      </c>
      <c r="AB1685" t="str">
        <f>IFERROR(__xludf.DUMMYFUNCTION("""COMPUTED_VALUE"""),"Very Good")</f>
        <v>Very Good</v>
      </c>
      <c r="AC1685">
        <f>IFERROR(__xludf.DUMMYFUNCTION("""COMPUTED_VALUE"""),1.0)</f>
        <v>1</v>
      </c>
      <c r="AG1685" t="str">
        <f>IFERROR(__xludf.DUMMYFUNCTION("""COMPUTED_VALUE"""),"CF spoiler installed at factory; rear seat center armrest leather torn")</f>
        <v>CF spoiler installed at factory; rear seat center armrest leather torn</v>
      </c>
      <c r="AH1685" s="189">
        <f>IFERROR(__xludf.DUMMYFUNCTION("""COMPUTED_VALUE"""),43589.2650222338)</f>
        <v>43589.26502</v>
      </c>
    </row>
    <row r="1686">
      <c r="A1686" t="str">
        <f>IFERROR(__xludf.DUMMYFUNCTION("""COMPUTED_VALUE"""),"ricca1234")</f>
        <v>ricca1234</v>
      </c>
      <c r="B1686" t="str">
        <f>IFERROR(__xludf.DUMMYFUNCTION("""COMPUTED_VALUE"""),"Southampton")</f>
        <v>Southampton</v>
      </c>
      <c r="C1686" t="str">
        <f>IFERROR(__xludf.DUMMYFUNCTION("""COMPUTED_VALUE"""),"PA")</f>
        <v>PA</v>
      </c>
      <c r="D1686" t="str">
        <f>IFERROR(__xludf.DUMMYFUNCTION("""COMPUTED_VALUE"""),"USA")</f>
        <v>USA</v>
      </c>
      <c r="E1686" s="188">
        <f>IFERROR(__xludf.DUMMYFUNCTION("""COMPUTED_VALUE"""),43550.0)</f>
        <v>43550</v>
      </c>
      <c r="F1686" s="188">
        <f>IFERROR(__xludf.DUMMYFUNCTION("""COMPUTED_VALUE"""),43581.0)</f>
        <v>43581</v>
      </c>
      <c r="H1686">
        <f>IFERROR(__xludf.DUMMYFUNCTION("""COMPUTED_VALUE"""),231655.0)</f>
        <v>231655</v>
      </c>
      <c r="I1686" t="str">
        <f>IFERROR(__xludf.DUMMYFUNCTION("""COMPUTED_VALUE"""),"04/19")</f>
        <v>04/19</v>
      </c>
      <c r="J1686" s="5">
        <f>IFERROR(__xludf.DUMMYFUNCTION("""COMPUTED_VALUE"""),43588.0)</f>
        <v>43588</v>
      </c>
      <c r="K1686">
        <f>IFERROR(__xludf.DUMMYFUNCTION("""COMPUTED_VALUE"""),31.0)</f>
        <v>31</v>
      </c>
      <c r="L1686">
        <f>IFERROR(__xludf.DUMMYFUNCTION("""COMPUTED_VALUE"""),7.0)</f>
        <v>7</v>
      </c>
      <c r="M1686">
        <f>IFERROR(__xludf.DUMMYFUNCTION("""COMPUTED_VALUE"""),38.0)</f>
        <v>38</v>
      </c>
      <c r="N1686" t="str">
        <f>IFERROR(__xludf.DUMMYFUNCTION("""COMPUTED_VALUE"""),"Model 3 Performance")</f>
        <v>Model 3 Performance</v>
      </c>
      <c r="O1686" t="str">
        <f>IFERROR(__xludf.DUMMYFUNCTION("""COMPUTED_VALUE"""),"Deep Blue Metallic")</f>
        <v>Deep Blue Metallic</v>
      </c>
      <c r="P1686" t="str">
        <f>IFERROR(__xludf.DUMMYFUNCTION("""COMPUTED_VALUE"""),"20 inch Sport")</f>
        <v>20 inch Sport</v>
      </c>
      <c r="Q1686" t="str">
        <f>IFERROR(__xludf.DUMMYFUNCTION("""COMPUTED_VALUE"""),"White seats")</f>
        <v>White seats</v>
      </c>
      <c r="R1686" t="str">
        <f>IFERROR(__xludf.DUMMYFUNCTION("""COMPUTED_VALUE"""),"Full Self-Driving")</f>
        <v>Full Self-Driving</v>
      </c>
      <c r="X1686" t="str">
        <f>IFERROR(__xludf.DUMMYFUNCTION("""COMPUTED_VALUE"""),"Excellent")</f>
        <v>Excellent</v>
      </c>
      <c r="Y1686" t="str">
        <f>IFERROR(__xludf.DUMMYFUNCTION("""COMPUTED_VALUE"""),"Very Good")</f>
        <v>Very Good</v>
      </c>
      <c r="Z1686" t="str">
        <f>IFERROR(__xludf.DUMMYFUNCTION("""COMPUTED_VALUE"""),"Excellent")</f>
        <v>Excellent</v>
      </c>
      <c r="AA1686" t="str">
        <f>IFERROR(__xludf.DUMMYFUNCTION("""COMPUTED_VALUE"""),"Very Good")</f>
        <v>Very Good</v>
      </c>
      <c r="AB1686" t="str">
        <f>IFERROR(__xludf.DUMMYFUNCTION("""COMPUTED_VALUE"""),"Excellent")</f>
        <v>Excellent</v>
      </c>
      <c r="AH1686" s="189">
        <f>IFERROR(__xludf.DUMMYFUNCTION("""COMPUTED_VALUE"""),43589.44172287037)</f>
        <v>43589.44172</v>
      </c>
    </row>
    <row r="1687">
      <c r="A1687" t="str">
        <f>IFERROR(__xludf.DUMMYFUNCTION("""COMPUTED_VALUE"""),"Stryker")</f>
        <v>Stryker</v>
      </c>
      <c r="B1687" t="str">
        <f>IFERROR(__xludf.DUMMYFUNCTION("""COMPUTED_VALUE"""),"Sacramento")</f>
        <v>Sacramento</v>
      </c>
      <c r="C1687" t="str">
        <f>IFERROR(__xludf.DUMMYFUNCTION("""COMPUTED_VALUE"""),"CA")</f>
        <v>CA</v>
      </c>
      <c r="D1687" t="str">
        <f>IFERROR(__xludf.DUMMYFUNCTION("""COMPUTED_VALUE"""),"USA")</f>
        <v>USA</v>
      </c>
      <c r="E1687" s="188">
        <f>IFERROR(__xludf.DUMMYFUNCTION("""COMPUTED_VALUE"""),43585.0)</f>
        <v>43585</v>
      </c>
      <c r="F1687" s="188">
        <f>IFERROR(__xludf.DUMMYFUNCTION("""COMPUTED_VALUE"""),43586.0)</f>
        <v>43586</v>
      </c>
      <c r="H1687">
        <f>IFERROR(__xludf.DUMMYFUNCTION("""COMPUTED_VALUE"""),359481.0)</f>
        <v>359481</v>
      </c>
      <c r="I1687" t="str">
        <f>IFERROR(__xludf.DUMMYFUNCTION("""COMPUTED_VALUE"""),"04/19")</f>
        <v>04/19</v>
      </c>
      <c r="J1687" s="5">
        <f>IFERROR(__xludf.DUMMYFUNCTION("""COMPUTED_VALUE"""),43589.0)</f>
        <v>43589</v>
      </c>
      <c r="K1687">
        <f>IFERROR(__xludf.DUMMYFUNCTION("""COMPUTED_VALUE"""),1.0)</f>
        <v>1</v>
      </c>
      <c r="L1687">
        <f>IFERROR(__xludf.DUMMYFUNCTION("""COMPUTED_VALUE"""),3.0)</f>
        <v>3</v>
      </c>
      <c r="M1687">
        <f>IFERROR(__xludf.DUMMYFUNCTION("""COMPUTED_VALUE"""),4.0)</f>
        <v>4</v>
      </c>
      <c r="N1687" t="str">
        <f>IFERROR(__xludf.DUMMYFUNCTION("""COMPUTED_VALUE"""),"Model 3 LR AWD")</f>
        <v>Model 3 LR AWD</v>
      </c>
      <c r="O1687" t="str">
        <f>IFERROR(__xludf.DUMMYFUNCTION("""COMPUTED_VALUE"""),"Deep Blue Metallic")</f>
        <v>Deep Blue Metallic</v>
      </c>
      <c r="P1687" t="str">
        <f>IFERROR(__xludf.DUMMYFUNCTION("""COMPUTED_VALUE"""),"18 inch Aero")</f>
        <v>18 inch Aero</v>
      </c>
      <c r="Q1687" t="str">
        <f>IFERROR(__xludf.DUMMYFUNCTION("""COMPUTED_VALUE"""),"Black seats")</f>
        <v>Black seats</v>
      </c>
      <c r="R1687" t="str">
        <f>IFERROR(__xludf.DUMMYFUNCTION("""COMPUTED_VALUE"""),"Full Self-Driving")</f>
        <v>Full Self-Driving</v>
      </c>
      <c r="X1687" t="str">
        <f>IFERROR(__xludf.DUMMYFUNCTION("""COMPUTED_VALUE"""),"Excellent")</f>
        <v>Excellent</v>
      </c>
      <c r="Y1687" t="str">
        <f>IFERROR(__xludf.DUMMYFUNCTION("""COMPUTED_VALUE"""),"Very Good")</f>
        <v>Very Good</v>
      </c>
      <c r="Z1687" t="str">
        <f>IFERROR(__xludf.DUMMYFUNCTION("""COMPUTED_VALUE"""),"Very Good")</f>
        <v>Very Good</v>
      </c>
      <c r="AA1687" t="str">
        <f>IFERROR(__xludf.DUMMYFUNCTION("""COMPUTED_VALUE"""),"Excellent")</f>
        <v>Excellent</v>
      </c>
      <c r="AB1687" t="str">
        <f>IFERROR(__xludf.DUMMYFUNCTION("""COMPUTED_VALUE"""),"Very Good")</f>
        <v>Very Good</v>
      </c>
      <c r="AH1687" s="189">
        <f>IFERROR(__xludf.DUMMYFUNCTION("""COMPUTED_VALUE"""),43589.8140590625)</f>
        <v>43589.81406</v>
      </c>
    </row>
    <row r="1688">
      <c r="A1688" t="str">
        <f>IFERROR(__xludf.DUMMYFUNCTION("""COMPUTED_VALUE"""),"STISSP3D")</f>
        <v>STISSP3D</v>
      </c>
      <c r="C1688" t="str">
        <f>IFERROR(__xludf.DUMMYFUNCTION("""COMPUTED_VALUE"""),"NC")</f>
        <v>NC</v>
      </c>
      <c r="D1688" t="str">
        <f>IFERROR(__xludf.DUMMYFUNCTION("""COMPUTED_VALUE"""),"USA")</f>
        <v>USA</v>
      </c>
      <c r="E1688" s="188">
        <f>IFERROR(__xludf.DUMMYFUNCTION("""COMPUTED_VALUE"""),43571.0)</f>
        <v>43571</v>
      </c>
      <c r="F1688" s="188">
        <f>IFERROR(__xludf.DUMMYFUNCTION("""COMPUTED_VALUE"""),43582.0)</f>
        <v>43582</v>
      </c>
      <c r="H1688" s="4">
        <f>IFERROR(__xludf.DUMMYFUNCTION("""COMPUTED_VALUE"""),237858.0)</f>
        <v>237858</v>
      </c>
      <c r="I1688" t="str">
        <f>IFERROR(__xludf.DUMMYFUNCTION("""COMPUTED_VALUE"""),"04/19")</f>
        <v>04/19</v>
      </c>
      <c r="J1688" s="5">
        <f>IFERROR(__xludf.DUMMYFUNCTION("""COMPUTED_VALUE"""),43589.0)</f>
        <v>43589</v>
      </c>
      <c r="K1688">
        <f>IFERROR(__xludf.DUMMYFUNCTION("""COMPUTED_VALUE"""),11.0)</f>
        <v>11</v>
      </c>
      <c r="L1688">
        <f>IFERROR(__xludf.DUMMYFUNCTION("""COMPUTED_VALUE"""),7.0)</f>
        <v>7</v>
      </c>
      <c r="M1688">
        <f>IFERROR(__xludf.DUMMYFUNCTION("""COMPUTED_VALUE"""),18.0)</f>
        <v>18</v>
      </c>
      <c r="N1688" t="str">
        <f>IFERROR(__xludf.DUMMYFUNCTION("""COMPUTED_VALUE"""),"Model 3 Performance")</f>
        <v>Model 3 Performance</v>
      </c>
      <c r="O1688" t="str">
        <f>IFERROR(__xludf.DUMMYFUNCTION("""COMPUTED_VALUE"""),"Midnight Silver Metallic")</f>
        <v>Midnight Silver Metallic</v>
      </c>
      <c r="P1688" t="str">
        <f>IFERROR(__xludf.DUMMYFUNCTION("""COMPUTED_VALUE"""),"20 inch Sport")</f>
        <v>20 inch Sport</v>
      </c>
      <c r="Q1688" t="str">
        <f>IFERROR(__xludf.DUMMYFUNCTION("""COMPUTED_VALUE"""),"Black seats")</f>
        <v>Black seats</v>
      </c>
      <c r="R1688" t="str">
        <f>IFERROR(__xludf.DUMMYFUNCTION("""COMPUTED_VALUE"""),"Full Self-Driving")</f>
        <v>Full Self-Driving</v>
      </c>
      <c r="X1688" t="str">
        <f>IFERROR(__xludf.DUMMYFUNCTION("""COMPUTED_VALUE"""),"Excellent")</f>
        <v>Excellent</v>
      </c>
      <c r="Y1688" t="str">
        <f>IFERROR(__xludf.DUMMYFUNCTION("""COMPUTED_VALUE"""),"Excellent")</f>
        <v>Excellent</v>
      </c>
      <c r="Z1688" t="str">
        <f>IFERROR(__xludf.DUMMYFUNCTION("""COMPUTED_VALUE"""),"Very Good")</f>
        <v>Very Good</v>
      </c>
      <c r="AA1688" t="str">
        <f>IFERROR(__xludf.DUMMYFUNCTION("""COMPUTED_VALUE"""),"Good")</f>
        <v>Good</v>
      </c>
      <c r="AB1688" t="str">
        <f>IFERROR(__xludf.DUMMYFUNCTION("""COMPUTED_VALUE"""),"Very Good")</f>
        <v>Very Good</v>
      </c>
      <c r="AG1688" t="str">
        <f>IFERROR(__xludf.DUMMYFUNCTION("""COMPUTED_VALUE"""),"Picked up 5/4. ")</f>
        <v>Picked up 5/4. </v>
      </c>
      <c r="AH1688" s="189">
        <f>IFERROR(__xludf.DUMMYFUNCTION("""COMPUTED_VALUE"""),43590.140141944445)</f>
        <v>43590.14014</v>
      </c>
    </row>
    <row r="1689">
      <c r="A1689" t="str">
        <f>IFERROR(__xludf.DUMMYFUNCTION("""COMPUTED_VALUE"""),"Aion")</f>
        <v>Aion</v>
      </c>
      <c r="B1689" t="str">
        <f>IFERROR(__xludf.DUMMYFUNCTION("""COMPUTED_VALUE"""),"Sunnyvale")</f>
        <v>Sunnyvale</v>
      </c>
      <c r="C1689" t="str">
        <f>IFERROR(__xludf.DUMMYFUNCTION("""COMPUTED_VALUE"""),"CA")</f>
        <v>CA</v>
      </c>
      <c r="D1689" t="str">
        <f>IFERROR(__xludf.DUMMYFUNCTION("""COMPUTED_VALUE"""),"USA")</f>
        <v>USA</v>
      </c>
      <c r="E1689" s="188">
        <f>IFERROR(__xludf.DUMMYFUNCTION("""COMPUTED_VALUE"""),43577.0)</f>
        <v>43577</v>
      </c>
      <c r="F1689" s="188">
        <f>IFERROR(__xludf.DUMMYFUNCTION("""COMPUTED_VALUE"""),43587.0)</f>
        <v>43587</v>
      </c>
      <c r="H1689">
        <f>IFERROR(__xludf.DUMMYFUNCTION("""COMPUTED_VALUE"""),367350.0)</f>
        <v>367350</v>
      </c>
      <c r="J1689" s="5">
        <f>IFERROR(__xludf.DUMMYFUNCTION("""COMPUTED_VALUE"""),43588.0)</f>
        <v>43588</v>
      </c>
      <c r="K1689">
        <f>IFERROR(__xludf.DUMMYFUNCTION("""COMPUTED_VALUE"""),10.0)</f>
        <v>10</v>
      </c>
      <c r="L1689">
        <f>IFERROR(__xludf.DUMMYFUNCTION("""COMPUTED_VALUE"""),1.0)</f>
        <v>1</v>
      </c>
      <c r="M1689">
        <f>IFERROR(__xludf.DUMMYFUNCTION("""COMPUTED_VALUE"""),11.0)</f>
        <v>11</v>
      </c>
      <c r="N1689" t="str">
        <f>IFERROR(__xludf.DUMMYFUNCTION("""COMPUTED_VALUE"""),"Model 3 Performance")</f>
        <v>Model 3 Performance</v>
      </c>
      <c r="O1689" t="str">
        <f>IFERROR(__xludf.DUMMYFUNCTION("""COMPUTED_VALUE"""),"Pearl White Multi-Coat")</f>
        <v>Pearl White Multi-Coat</v>
      </c>
      <c r="P1689" t="str">
        <f>IFERROR(__xludf.DUMMYFUNCTION("""COMPUTED_VALUE"""),"20 inch Sport")</f>
        <v>20 inch Sport</v>
      </c>
      <c r="Q1689" t="str">
        <f>IFERROR(__xludf.DUMMYFUNCTION("""COMPUTED_VALUE"""),"Black seats")</f>
        <v>Black seats</v>
      </c>
      <c r="R1689" t="str">
        <f>IFERROR(__xludf.DUMMYFUNCTION("""COMPUTED_VALUE"""),"Full Self-Driving")</f>
        <v>Full Self-Driving</v>
      </c>
      <c r="X1689" t="str">
        <f>IFERROR(__xludf.DUMMYFUNCTION("""COMPUTED_VALUE"""),"Very Good")</f>
        <v>Very Good</v>
      </c>
      <c r="Y1689" t="str">
        <f>IFERROR(__xludf.DUMMYFUNCTION("""COMPUTED_VALUE"""),"Excellent")</f>
        <v>Excellent</v>
      </c>
      <c r="Z1689" t="str">
        <f>IFERROR(__xludf.DUMMYFUNCTION("""COMPUTED_VALUE"""),"Excellent")</f>
        <v>Excellent</v>
      </c>
      <c r="AA1689" t="str">
        <f>IFERROR(__xludf.DUMMYFUNCTION("""COMPUTED_VALUE"""),"Good")</f>
        <v>Good</v>
      </c>
      <c r="AB1689" t="str">
        <f>IFERROR(__xludf.DUMMYFUNCTION("""COMPUTED_VALUE"""),"Excellent")</f>
        <v>Excellent</v>
      </c>
      <c r="AH1689" s="189">
        <f>IFERROR(__xludf.DUMMYFUNCTION("""COMPUTED_VALUE"""),43590.19398372685)</f>
        <v>43590.19398</v>
      </c>
    </row>
    <row r="1690">
      <c r="A1690" t="str">
        <f>IFERROR(__xludf.DUMMYFUNCTION("""COMPUTED_VALUE"""),"v8eater")</f>
        <v>v8eater</v>
      </c>
      <c r="B1690" t="str">
        <f>IFERROR(__xludf.DUMMYFUNCTION("""COMPUTED_VALUE"""),"VA Beach ")</f>
        <v>VA Beach </v>
      </c>
      <c r="C1690" t="str">
        <f>IFERROR(__xludf.DUMMYFUNCTION("""COMPUTED_VALUE"""),"VA")</f>
        <v>VA</v>
      </c>
      <c r="D1690" t="str">
        <f>IFERROR(__xludf.DUMMYFUNCTION("""COMPUTED_VALUE"""),"USA")</f>
        <v>USA</v>
      </c>
      <c r="E1690" s="188">
        <f>IFERROR(__xludf.DUMMYFUNCTION("""COMPUTED_VALUE"""),43584.0)</f>
        <v>43584</v>
      </c>
      <c r="F1690" s="188">
        <f>IFERROR(__xludf.DUMMYFUNCTION("""COMPUTED_VALUE"""),43587.0)</f>
        <v>43587</v>
      </c>
      <c r="H1690">
        <f>IFERROR(__xludf.DUMMYFUNCTION("""COMPUTED_VALUE"""),361447.0)</f>
        <v>361447</v>
      </c>
      <c r="I1690" t="str">
        <f>IFERROR(__xludf.DUMMYFUNCTION("""COMPUTED_VALUE"""),"04/19")</f>
        <v>04/19</v>
      </c>
      <c r="J1690" s="5">
        <f>IFERROR(__xludf.DUMMYFUNCTION("""COMPUTED_VALUE"""),43589.0)</f>
        <v>43589</v>
      </c>
      <c r="K1690">
        <f>IFERROR(__xludf.DUMMYFUNCTION("""COMPUTED_VALUE"""),3.0)</f>
        <v>3</v>
      </c>
      <c r="L1690">
        <f>IFERROR(__xludf.DUMMYFUNCTION("""COMPUTED_VALUE"""),2.0)</f>
        <v>2</v>
      </c>
      <c r="M1690">
        <f>IFERROR(__xludf.DUMMYFUNCTION("""COMPUTED_VALUE"""),5.0)</f>
        <v>5</v>
      </c>
      <c r="N1690" t="str">
        <f>IFERROR(__xludf.DUMMYFUNCTION("""COMPUTED_VALUE"""),"Model 3 LR AWD")</f>
        <v>Model 3 LR AWD</v>
      </c>
      <c r="O1690" t="str">
        <f>IFERROR(__xludf.DUMMYFUNCTION("""COMPUTED_VALUE"""),"Deep Blue Metallic")</f>
        <v>Deep Blue Metallic</v>
      </c>
      <c r="P1690" t="str">
        <f>IFERROR(__xludf.DUMMYFUNCTION("""COMPUTED_VALUE"""),"18 inch Aero")</f>
        <v>18 inch Aero</v>
      </c>
      <c r="Q1690" t="str">
        <f>IFERROR(__xludf.DUMMYFUNCTION("""COMPUTED_VALUE"""),"Black seats")</f>
        <v>Black seats</v>
      </c>
      <c r="R1690" t="str">
        <f>IFERROR(__xludf.DUMMYFUNCTION("""COMPUTED_VALUE"""),"Full Self-Driving")</f>
        <v>Full Self-Driving</v>
      </c>
      <c r="X1690" t="str">
        <f>IFERROR(__xludf.DUMMYFUNCTION("""COMPUTED_VALUE"""),"Excellent")</f>
        <v>Excellent</v>
      </c>
      <c r="Y1690" t="str">
        <f>IFERROR(__xludf.DUMMYFUNCTION("""COMPUTED_VALUE"""),"Very Good")</f>
        <v>Very Good</v>
      </c>
      <c r="Z1690" t="str">
        <f>IFERROR(__xludf.DUMMYFUNCTION("""COMPUTED_VALUE"""),"Excellent")</f>
        <v>Excellent</v>
      </c>
      <c r="AA1690" t="str">
        <f>IFERROR(__xludf.DUMMYFUNCTION("""COMPUTED_VALUE"""),"Very Good")</f>
        <v>Very Good</v>
      </c>
      <c r="AB1690" t="str">
        <f>IFERROR(__xludf.DUMMYFUNCTION("""COMPUTED_VALUE"""),"Excellent")</f>
        <v>Excellent</v>
      </c>
      <c r="AH1690" s="189">
        <f>IFERROR(__xludf.DUMMYFUNCTION("""COMPUTED_VALUE"""),43590.22192016203)</f>
        <v>43590.22192</v>
      </c>
    </row>
    <row r="1691">
      <c r="A1691" t="str">
        <f>IFERROR(__xludf.DUMMYFUNCTION("""COMPUTED_VALUE"""),"Chrisedge")</f>
        <v>Chrisedge</v>
      </c>
      <c r="B1691" t="str">
        <f>IFERROR(__xludf.DUMMYFUNCTION("""COMPUTED_VALUE"""),"Orange County")</f>
        <v>Orange County</v>
      </c>
      <c r="C1691" t="str">
        <f>IFERROR(__xludf.DUMMYFUNCTION("""COMPUTED_VALUE"""),"CA")</f>
        <v>CA</v>
      </c>
      <c r="D1691" t="str">
        <f>IFERROR(__xludf.DUMMYFUNCTION("""COMPUTED_VALUE"""),"USA")</f>
        <v>USA</v>
      </c>
      <c r="E1691" s="188">
        <f>IFERROR(__xludf.DUMMYFUNCTION("""COMPUTED_VALUE"""),43561.0)</f>
        <v>43561</v>
      </c>
      <c r="F1691" s="188">
        <f>IFERROR(__xludf.DUMMYFUNCTION("""COMPUTED_VALUE"""),43587.0)</f>
        <v>43587</v>
      </c>
      <c r="H1691">
        <f>IFERROR(__xludf.DUMMYFUNCTION("""COMPUTED_VALUE"""),367355.0)</f>
        <v>367355</v>
      </c>
      <c r="J1691" s="5">
        <f>IFERROR(__xludf.DUMMYFUNCTION("""COMPUTED_VALUE"""),43590.0)</f>
        <v>43590</v>
      </c>
      <c r="K1691">
        <f>IFERROR(__xludf.DUMMYFUNCTION("""COMPUTED_VALUE"""),26.0)</f>
        <v>26</v>
      </c>
      <c r="L1691">
        <f>IFERROR(__xludf.DUMMYFUNCTION("""COMPUTED_VALUE"""),3.0)</f>
        <v>3</v>
      </c>
      <c r="M1691">
        <f>IFERROR(__xludf.DUMMYFUNCTION("""COMPUTED_VALUE"""),29.0)</f>
        <v>29</v>
      </c>
      <c r="N1691" t="str">
        <f>IFERROR(__xludf.DUMMYFUNCTION("""COMPUTED_VALUE"""),"Model 3 Performance")</f>
        <v>Model 3 Performance</v>
      </c>
      <c r="O1691" t="str">
        <f>IFERROR(__xludf.DUMMYFUNCTION("""COMPUTED_VALUE"""),"Red Multi-Coat")</f>
        <v>Red Multi-Coat</v>
      </c>
      <c r="P1691" t="str">
        <f>IFERROR(__xludf.DUMMYFUNCTION("""COMPUTED_VALUE"""),"20 inch Sport")</f>
        <v>20 inch Sport</v>
      </c>
      <c r="Q1691" t="str">
        <f>IFERROR(__xludf.DUMMYFUNCTION("""COMPUTED_VALUE"""),"Black seats")</f>
        <v>Black seats</v>
      </c>
      <c r="R1691" t="str">
        <f>IFERROR(__xludf.DUMMYFUNCTION("""COMPUTED_VALUE"""),"Autopilot")</f>
        <v>Autopilot</v>
      </c>
      <c r="X1691" t="str">
        <f>IFERROR(__xludf.DUMMYFUNCTION("""COMPUTED_VALUE"""),"Excellent")</f>
        <v>Excellent</v>
      </c>
      <c r="Y1691" t="str">
        <f>IFERROR(__xludf.DUMMYFUNCTION("""COMPUTED_VALUE"""),"Excellent")</f>
        <v>Excellent</v>
      </c>
      <c r="Z1691" t="str">
        <f>IFERROR(__xludf.DUMMYFUNCTION("""COMPUTED_VALUE"""),"Very Good")</f>
        <v>Very Good</v>
      </c>
      <c r="AA1691" t="str">
        <f>IFERROR(__xludf.DUMMYFUNCTION("""COMPUTED_VALUE"""),"Excellent")</f>
        <v>Excellent</v>
      </c>
      <c r="AB1691" t="str">
        <f>IFERROR(__xludf.DUMMYFUNCTION("""COMPUTED_VALUE"""),"Excellent")</f>
        <v>Excellent</v>
      </c>
      <c r="AG1691" t="str">
        <f>IFERROR(__xludf.DUMMYFUNCTION("""COMPUTED_VALUE"""),"It was scheduled for 5/7 and they moved me up to 5/5 if I picked up at Costa Mesa Delivery Center ")</f>
        <v>It was scheduled for 5/7 and they moved me up to 5/5 if I picked up at Costa Mesa Delivery Center </v>
      </c>
      <c r="AH1691" s="189">
        <f>IFERROR(__xludf.DUMMYFUNCTION("""COMPUTED_VALUE"""),43590.56591684028)</f>
        <v>43590.56592</v>
      </c>
    </row>
    <row r="1692">
      <c r="A1692" t="str">
        <f>IFERROR(__xludf.DUMMYFUNCTION("""COMPUTED_VALUE"""),"kickin-gas")</f>
        <v>kickin-gas</v>
      </c>
      <c r="C1692" t="str">
        <f>IFERROR(__xludf.DUMMYFUNCTION("""COMPUTED_VALUE"""),"NJ")</f>
        <v>NJ</v>
      </c>
      <c r="D1692" t="str">
        <f>IFERROR(__xludf.DUMMYFUNCTION("""COMPUTED_VALUE"""),"USA")</f>
        <v>USA</v>
      </c>
      <c r="E1692" s="188">
        <f>IFERROR(__xludf.DUMMYFUNCTION("""COMPUTED_VALUE"""),43569.0)</f>
        <v>43569</v>
      </c>
      <c r="F1692" s="188">
        <f>IFERROR(__xludf.DUMMYFUNCTION("""COMPUTED_VALUE"""),43584.0)</f>
        <v>43584</v>
      </c>
      <c r="H1692">
        <f>IFERROR(__xludf.DUMMYFUNCTION("""COMPUTED_VALUE"""),237755.0)</f>
        <v>237755</v>
      </c>
      <c r="J1692" s="5">
        <f>IFERROR(__xludf.DUMMYFUNCTION("""COMPUTED_VALUE"""),43591.0)</f>
        <v>43591</v>
      </c>
      <c r="K1692">
        <f>IFERROR(__xludf.DUMMYFUNCTION("""COMPUTED_VALUE"""),15.0)</f>
        <v>15</v>
      </c>
      <c r="L1692">
        <f>IFERROR(__xludf.DUMMYFUNCTION("""COMPUTED_VALUE"""),7.0)</f>
        <v>7</v>
      </c>
      <c r="M1692">
        <f>IFERROR(__xludf.DUMMYFUNCTION("""COMPUTED_VALUE"""),22.0)</f>
        <v>22</v>
      </c>
      <c r="N1692" t="str">
        <f>IFERROR(__xludf.DUMMYFUNCTION("""COMPUTED_VALUE"""),"Model 3 Performance")</f>
        <v>Model 3 Performance</v>
      </c>
      <c r="O1692" t="str">
        <f>IFERROR(__xludf.DUMMYFUNCTION("""COMPUTED_VALUE"""),"Solid Black")</f>
        <v>Solid Black</v>
      </c>
      <c r="P1692" t="str">
        <f>IFERROR(__xludf.DUMMYFUNCTION("""COMPUTED_VALUE"""),"20 inch Sport")</f>
        <v>20 inch Sport</v>
      </c>
      <c r="Q1692" t="str">
        <f>IFERROR(__xludf.DUMMYFUNCTION("""COMPUTED_VALUE"""),"Black seats")</f>
        <v>Black seats</v>
      </c>
      <c r="R1692" t="str">
        <f>IFERROR(__xludf.DUMMYFUNCTION("""COMPUTED_VALUE"""),"Autopilot")</f>
        <v>Autopilot</v>
      </c>
      <c r="X1692" t="str">
        <f>IFERROR(__xludf.DUMMYFUNCTION("""COMPUTED_VALUE"""),"Excellent")</f>
        <v>Excellent</v>
      </c>
      <c r="Y1692" t="str">
        <f>IFERROR(__xludf.DUMMYFUNCTION("""COMPUTED_VALUE"""),"Very Good")</f>
        <v>Very Good</v>
      </c>
      <c r="Z1692" t="str">
        <f>IFERROR(__xludf.DUMMYFUNCTION("""COMPUTED_VALUE"""),"Very Good")</f>
        <v>Very Good</v>
      </c>
      <c r="AA1692" t="str">
        <f>IFERROR(__xludf.DUMMYFUNCTION("""COMPUTED_VALUE"""),"Excellent")</f>
        <v>Excellent</v>
      </c>
      <c r="AB1692" t="str">
        <f>IFERROR(__xludf.DUMMYFUNCTION("""COMPUTED_VALUE"""),"Excellent")</f>
        <v>Excellent</v>
      </c>
      <c r="AC1692">
        <f>IFERROR(__xludf.DUMMYFUNCTION("""COMPUTED_VALUE"""),2.0)</f>
        <v>2</v>
      </c>
      <c r="AD1692">
        <f>IFERROR(__xludf.DUMMYFUNCTION("""COMPUTED_VALUE"""),0.0)</f>
        <v>0</v>
      </c>
      <c r="AE1692">
        <f>IFERROR(__xludf.DUMMYFUNCTION("""COMPUTED_VALUE"""),0.0)</f>
        <v>0</v>
      </c>
      <c r="AH1692" s="189">
        <f>IFERROR(__xludf.DUMMYFUNCTION("""COMPUTED_VALUE"""),43591.50409908565)</f>
        <v>43591.5041</v>
      </c>
    </row>
    <row r="1693">
      <c r="A1693" t="str">
        <f>IFERROR(__xludf.DUMMYFUNCTION("""COMPUTED_VALUE"""),"mabridoma")</f>
        <v>mabridoma</v>
      </c>
      <c r="C1693" t="str">
        <f>IFERROR(__xludf.DUMMYFUNCTION("""COMPUTED_VALUE"""),"OR")</f>
        <v>OR</v>
      </c>
      <c r="D1693" t="str">
        <f>IFERROR(__xludf.DUMMYFUNCTION("""COMPUTED_VALUE"""),"USA")</f>
        <v>USA</v>
      </c>
      <c r="E1693" s="188">
        <f>IFERROR(__xludf.DUMMYFUNCTION("""COMPUTED_VALUE"""),43577.0)</f>
        <v>43577</v>
      </c>
      <c r="F1693" s="188">
        <f>IFERROR(__xludf.DUMMYFUNCTION("""COMPUTED_VALUE"""),43584.0)</f>
        <v>43584</v>
      </c>
      <c r="H1693">
        <f>IFERROR(__xludf.DUMMYFUNCTION("""COMPUTED_VALUE"""),238155.0)</f>
        <v>238155</v>
      </c>
      <c r="I1693" t="str">
        <f>IFERROR(__xludf.DUMMYFUNCTION("""COMPUTED_VALUE"""),"04/19")</f>
        <v>04/19</v>
      </c>
      <c r="J1693" s="5">
        <f>IFERROR(__xludf.DUMMYFUNCTION("""COMPUTED_VALUE"""),43588.0)</f>
        <v>43588</v>
      </c>
      <c r="K1693">
        <f>IFERROR(__xludf.DUMMYFUNCTION("""COMPUTED_VALUE"""),7.0)</f>
        <v>7</v>
      </c>
      <c r="L1693">
        <f>IFERROR(__xludf.DUMMYFUNCTION("""COMPUTED_VALUE"""),4.0)</f>
        <v>4</v>
      </c>
      <c r="M1693">
        <f>IFERROR(__xludf.DUMMYFUNCTION("""COMPUTED_VALUE"""),11.0)</f>
        <v>11</v>
      </c>
      <c r="N1693" t="str">
        <f>IFERROR(__xludf.DUMMYFUNCTION("""COMPUTED_VALUE"""),"Model 3 Performance")</f>
        <v>Model 3 Performance</v>
      </c>
      <c r="O1693" t="str">
        <f>IFERROR(__xludf.DUMMYFUNCTION("""COMPUTED_VALUE"""),"Solid Black")</f>
        <v>Solid Black</v>
      </c>
      <c r="P1693" t="str">
        <f>IFERROR(__xludf.DUMMYFUNCTION("""COMPUTED_VALUE"""),"20 inch Sport")</f>
        <v>20 inch Sport</v>
      </c>
      <c r="Q1693" t="str">
        <f>IFERROR(__xludf.DUMMYFUNCTION("""COMPUTED_VALUE"""),"White seats")</f>
        <v>White seats</v>
      </c>
      <c r="R1693" t="str">
        <f>IFERROR(__xludf.DUMMYFUNCTION("""COMPUTED_VALUE"""),"Full Self-Driving")</f>
        <v>Full Self-Driving</v>
      </c>
      <c r="X1693" t="str">
        <f>IFERROR(__xludf.DUMMYFUNCTION("""COMPUTED_VALUE"""),"Excellent")</f>
        <v>Excellent</v>
      </c>
      <c r="Y1693" t="str">
        <f>IFERROR(__xludf.DUMMYFUNCTION("""COMPUTED_VALUE"""),"Excellent")</f>
        <v>Excellent</v>
      </c>
      <c r="Z1693" t="str">
        <f>IFERROR(__xludf.DUMMYFUNCTION("""COMPUTED_VALUE"""),"Excellent")</f>
        <v>Excellent</v>
      </c>
      <c r="AA1693" t="str">
        <f>IFERROR(__xludf.DUMMYFUNCTION("""COMPUTED_VALUE"""),"Excellent")</f>
        <v>Excellent</v>
      </c>
      <c r="AB1693" t="str">
        <f>IFERROR(__xludf.DUMMYFUNCTION("""COMPUTED_VALUE"""),"Very Good")</f>
        <v>Very Good</v>
      </c>
      <c r="AC1693">
        <f>IFERROR(__xludf.DUMMYFUNCTION("""COMPUTED_VALUE"""),0.0)</f>
        <v>0</v>
      </c>
      <c r="AG1693" t="str">
        <f>IFERROR(__xludf.DUMMYFUNCTION("""COMPUTED_VALUE"""),"*Update: Car was not placed on the truck on time. Delivery delayed by estimated week* Ordered Black/Black FSD, was offered Black/White by Delivery Assistant on 4/28. VIN and Delivery set the next day.")</f>
        <v>*Update: Car was not placed on the truck on time. Delivery delayed by estimated week* Ordered Black/Black FSD, was offered Black/White by Delivery Assistant on 4/28. VIN and Delivery set the next day.</v>
      </c>
      <c r="AH1693" s="189">
        <f>IFERROR(__xludf.DUMMYFUNCTION("""COMPUTED_VALUE"""),43591.518964930554)</f>
        <v>43591.51896</v>
      </c>
    </row>
    <row r="1694">
      <c r="A1694" t="str">
        <f>IFERROR(__xludf.DUMMYFUNCTION("""COMPUTED_VALUE"""),"tapir")</f>
        <v>tapir</v>
      </c>
      <c r="C1694" t="str">
        <f>IFERROR(__xludf.DUMMYFUNCTION("""COMPUTED_VALUE"""),"CA")</f>
        <v>CA</v>
      </c>
      <c r="D1694" t="str">
        <f>IFERROR(__xludf.DUMMYFUNCTION("""COMPUTED_VALUE"""),"USA")</f>
        <v>USA</v>
      </c>
      <c r="E1694" s="188">
        <f>IFERROR(__xludf.DUMMYFUNCTION("""COMPUTED_VALUE"""),43544.0)</f>
        <v>43544</v>
      </c>
      <c r="F1694" s="188">
        <f>IFERROR(__xludf.DUMMYFUNCTION("""COMPUTED_VALUE"""),43546.0)</f>
        <v>43546</v>
      </c>
      <c r="I1694" t="str">
        <f>IFERROR(__xludf.DUMMYFUNCTION("""COMPUTED_VALUE"""),"03/19")</f>
        <v>03/19</v>
      </c>
      <c r="J1694" s="5">
        <f>IFERROR(__xludf.DUMMYFUNCTION("""COMPUTED_VALUE"""),43550.0)</f>
        <v>43550</v>
      </c>
      <c r="K1694">
        <f>IFERROR(__xludf.DUMMYFUNCTION("""COMPUTED_VALUE"""),2.0)</f>
        <v>2</v>
      </c>
      <c r="L1694">
        <f>IFERROR(__xludf.DUMMYFUNCTION("""COMPUTED_VALUE"""),4.0)</f>
        <v>4</v>
      </c>
      <c r="M1694">
        <f>IFERROR(__xludf.DUMMYFUNCTION("""COMPUTED_VALUE"""),6.0)</f>
        <v>6</v>
      </c>
      <c r="N1694" t="str">
        <f>IFERROR(__xludf.DUMMYFUNCTION("""COMPUTED_VALUE"""),"Model 3 Performance")</f>
        <v>Model 3 Performance</v>
      </c>
      <c r="X1694" t="str">
        <f>IFERROR(__xludf.DUMMYFUNCTION("""COMPUTED_VALUE"""),"Very Good")</f>
        <v>Very Good</v>
      </c>
      <c r="Y1694" t="str">
        <f>IFERROR(__xludf.DUMMYFUNCTION("""COMPUTED_VALUE"""),"Excellent")</f>
        <v>Excellent</v>
      </c>
      <c r="Z1694" t="str">
        <f>IFERROR(__xludf.DUMMYFUNCTION("""COMPUTED_VALUE"""),"Excellent")</f>
        <v>Excellent</v>
      </c>
      <c r="AA1694" t="str">
        <f>IFERROR(__xludf.DUMMYFUNCTION("""COMPUTED_VALUE"""),"Good")</f>
        <v>Good</v>
      </c>
      <c r="AB1694" t="str">
        <f>IFERROR(__xludf.DUMMYFUNCTION("""COMPUTED_VALUE"""),"Excellent")</f>
        <v>Excellent</v>
      </c>
      <c r="AC1694">
        <f>IFERROR(__xludf.DUMMYFUNCTION("""COMPUTED_VALUE"""),0.0)</f>
        <v>0</v>
      </c>
      <c r="AD1694">
        <f>IFERROR(__xludf.DUMMYFUNCTION("""COMPUTED_VALUE"""),0.0)</f>
        <v>0</v>
      </c>
      <c r="AE1694">
        <f>IFERROR(__xludf.DUMMYFUNCTION("""COMPUTED_VALUE"""),0.0)</f>
        <v>0</v>
      </c>
      <c r="AH1694" s="189">
        <f>IFERROR(__xludf.DUMMYFUNCTION("""COMPUTED_VALUE"""),43592.35483646991)</f>
        <v>43592.35484</v>
      </c>
    </row>
    <row r="1695">
      <c r="A1695" t="str">
        <f>IFERROR(__xludf.DUMMYFUNCTION("""COMPUTED_VALUE"""),"PicklesCGL")</f>
        <v>PicklesCGL</v>
      </c>
      <c r="B1695" t="str">
        <f>IFERROR(__xludf.DUMMYFUNCTION("""COMPUTED_VALUE"""),"Littleton")</f>
        <v>Littleton</v>
      </c>
      <c r="C1695" t="str">
        <f>IFERROR(__xludf.DUMMYFUNCTION("""COMPUTED_VALUE"""),"CO")</f>
        <v>CO</v>
      </c>
      <c r="D1695" t="str">
        <f>IFERROR(__xludf.DUMMYFUNCTION("""COMPUTED_VALUE"""),"USA")</f>
        <v>USA</v>
      </c>
      <c r="E1695" s="188">
        <f>IFERROR(__xludf.DUMMYFUNCTION("""COMPUTED_VALUE"""),43589.0)</f>
        <v>43589</v>
      </c>
      <c r="F1695" s="188">
        <f>IFERROR(__xludf.DUMMYFUNCTION("""COMPUTED_VALUE"""),43589.0)</f>
        <v>43589</v>
      </c>
      <c r="H1695">
        <f>IFERROR(__xludf.DUMMYFUNCTION("""COMPUTED_VALUE"""),312546.0)</f>
        <v>312546</v>
      </c>
      <c r="J1695" s="5">
        <f>IFERROR(__xludf.DUMMYFUNCTION("""COMPUTED_VALUE"""),43589.0)</f>
        <v>43589</v>
      </c>
      <c r="K1695">
        <f>IFERROR(__xludf.DUMMYFUNCTION("""COMPUTED_VALUE"""),0.0)</f>
        <v>0</v>
      </c>
      <c r="L1695">
        <f>IFERROR(__xludf.DUMMYFUNCTION("""COMPUTED_VALUE"""),0.0)</f>
        <v>0</v>
      </c>
      <c r="M1695">
        <f>IFERROR(__xludf.DUMMYFUNCTION("""COMPUTED_VALUE"""),0.0)</f>
        <v>0</v>
      </c>
      <c r="N1695" t="str">
        <f>IFERROR(__xludf.DUMMYFUNCTION("""COMPUTED_VALUE"""),"Model 3 SR+")</f>
        <v>Model 3 SR+</v>
      </c>
      <c r="O1695" t="str">
        <f>IFERROR(__xludf.DUMMYFUNCTION("""COMPUTED_VALUE"""),"Midnight Silver Metallic")</f>
        <v>Midnight Silver Metallic</v>
      </c>
      <c r="P1695" t="str">
        <f>IFERROR(__xludf.DUMMYFUNCTION("""COMPUTED_VALUE"""),"18 inch Aero")</f>
        <v>18 inch Aero</v>
      </c>
      <c r="Q1695" t="str">
        <f>IFERROR(__xludf.DUMMYFUNCTION("""COMPUTED_VALUE"""),"White seats")</f>
        <v>White seats</v>
      </c>
      <c r="R1695" t="str">
        <f>IFERROR(__xludf.DUMMYFUNCTION("""COMPUTED_VALUE"""),"Full Self-Driving")</f>
        <v>Full Self-Driving</v>
      </c>
      <c r="X1695" t="str">
        <f>IFERROR(__xludf.DUMMYFUNCTION("""COMPUTED_VALUE"""),"Excellent")</f>
        <v>Excellent</v>
      </c>
      <c r="Y1695" t="str">
        <f>IFERROR(__xludf.DUMMYFUNCTION("""COMPUTED_VALUE"""),"Excellent")</f>
        <v>Excellent</v>
      </c>
      <c r="Z1695" t="str">
        <f>IFERROR(__xludf.DUMMYFUNCTION("""COMPUTED_VALUE"""),"Excellent")</f>
        <v>Excellent</v>
      </c>
      <c r="AA1695" t="str">
        <f>IFERROR(__xludf.DUMMYFUNCTION("""COMPUTED_VALUE"""),"Excellent")</f>
        <v>Excellent</v>
      </c>
      <c r="AB1695" t="str">
        <f>IFERROR(__xludf.DUMMYFUNCTION("""COMPUTED_VALUE"""),"Excellent")</f>
        <v>Excellent</v>
      </c>
      <c r="AC1695">
        <f>IFERROR(__xludf.DUMMYFUNCTION("""COMPUTED_VALUE"""),0.0)</f>
        <v>0</v>
      </c>
      <c r="AD1695">
        <f>IFERROR(__xludf.DUMMYFUNCTION("""COMPUTED_VALUE"""),0.0)</f>
        <v>0</v>
      </c>
      <c r="AE1695">
        <f>IFERROR(__xludf.DUMMYFUNCTION("""COMPUTED_VALUE"""),0.0)</f>
        <v>0</v>
      </c>
      <c r="AG1695" t="str">
        <f>IFERROR(__xludf.DUMMYFUNCTION("""COMPUTED_VALUE"""),"Same day purchase, went to Tesla Littleton in the morning and by the afternoon I had my M3")</f>
        <v>Same day purchase, went to Tesla Littleton in the morning and by the afternoon I had my M3</v>
      </c>
      <c r="AH1695" s="189">
        <f>IFERROR(__xludf.DUMMYFUNCTION("""COMPUTED_VALUE"""),43592.36231358796)</f>
        <v>43592.36231</v>
      </c>
    </row>
    <row r="1696">
      <c r="A1696" t="str">
        <f>IFERROR(__xludf.DUMMYFUNCTION("""COMPUTED_VALUE"""),"BareMetal")</f>
        <v>BareMetal</v>
      </c>
      <c r="B1696" t="str">
        <f>IFERROR(__xludf.DUMMYFUNCTION("""COMPUTED_VALUE"""),"Los Angeles")</f>
        <v>Los Angeles</v>
      </c>
      <c r="C1696" t="str">
        <f>IFERROR(__xludf.DUMMYFUNCTION("""COMPUTED_VALUE"""),"CA")</f>
        <v>CA</v>
      </c>
      <c r="D1696" t="str">
        <f>IFERROR(__xludf.DUMMYFUNCTION("""COMPUTED_VALUE"""),"USA")</f>
        <v>USA</v>
      </c>
      <c r="E1696" s="188">
        <f>IFERROR(__xludf.DUMMYFUNCTION("""COMPUTED_VALUE"""),43568.0)</f>
        <v>43568</v>
      </c>
      <c r="F1696" s="188">
        <f>IFERROR(__xludf.DUMMYFUNCTION("""COMPUTED_VALUE"""),43583.0)</f>
        <v>43583</v>
      </c>
      <c r="H1696" s="4">
        <f>IFERROR(__xludf.DUMMYFUNCTION("""COMPUTED_VALUE"""),237267.0)</f>
        <v>237267</v>
      </c>
      <c r="I1696" t="str">
        <f>IFERROR(__xludf.DUMMYFUNCTION("""COMPUTED_VALUE"""),"04/19")</f>
        <v>04/19</v>
      </c>
      <c r="J1696" s="5">
        <f>IFERROR(__xludf.DUMMYFUNCTION("""COMPUTED_VALUE"""),43589.0)</f>
        <v>43589</v>
      </c>
      <c r="K1696">
        <f>IFERROR(__xludf.DUMMYFUNCTION("""COMPUTED_VALUE"""),15.0)</f>
        <v>15</v>
      </c>
      <c r="L1696">
        <f>IFERROR(__xludf.DUMMYFUNCTION("""COMPUTED_VALUE"""),6.0)</f>
        <v>6</v>
      </c>
      <c r="M1696">
        <f>IFERROR(__xludf.DUMMYFUNCTION("""COMPUTED_VALUE"""),21.0)</f>
        <v>21</v>
      </c>
      <c r="N1696" t="str">
        <f>IFERROR(__xludf.DUMMYFUNCTION("""COMPUTED_VALUE"""),"Model 3 Performance")</f>
        <v>Model 3 Performance</v>
      </c>
      <c r="O1696" t="str">
        <f>IFERROR(__xludf.DUMMYFUNCTION("""COMPUTED_VALUE"""),"Solid Black")</f>
        <v>Solid Black</v>
      </c>
      <c r="P1696" t="str">
        <f>IFERROR(__xludf.DUMMYFUNCTION("""COMPUTED_VALUE"""),"20 inch Sport")</f>
        <v>20 inch Sport</v>
      </c>
      <c r="Q1696" t="str">
        <f>IFERROR(__xludf.DUMMYFUNCTION("""COMPUTED_VALUE"""),"Black seats")</f>
        <v>Black seats</v>
      </c>
      <c r="R1696" t="str">
        <f>IFERROR(__xludf.DUMMYFUNCTION("""COMPUTED_VALUE"""),"Full Self-Driving")</f>
        <v>Full Self-Driving</v>
      </c>
      <c r="X1696" t="str">
        <f>IFERROR(__xludf.DUMMYFUNCTION("""COMPUTED_VALUE"""),"Fair")</f>
        <v>Fair</v>
      </c>
      <c r="Y1696" t="str">
        <f>IFERROR(__xludf.DUMMYFUNCTION("""COMPUTED_VALUE"""),"Excellent")</f>
        <v>Excellent</v>
      </c>
      <c r="Z1696" t="str">
        <f>IFERROR(__xludf.DUMMYFUNCTION("""COMPUTED_VALUE"""),"Fair")</f>
        <v>Fair</v>
      </c>
      <c r="AA1696" t="str">
        <f>IFERROR(__xludf.DUMMYFUNCTION("""COMPUTED_VALUE"""),"Fair")</f>
        <v>Fair</v>
      </c>
      <c r="AB1696" t="str">
        <f>IFERROR(__xludf.DUMMYFUNCTION("""COMPUTED_VALUE"""),"Very Good")</f>
        <v>Very Good</v>
      </c>
      <c r="AC1696">
        <f>IFERROR(__xludf.DUMMYFUNCTION("""COMPUTED_VALUE"""),3.0)</f>
        <v>3</v>
      </c>
      <c r="AH1696" s="189">
        <f>IFERROR(__xludf.DUMMYFUNCTION("""COMPUTED_VALUE"""),43592.48924851852)</f>
        <v>43592.48925</v>
      </c>
    </row>
    <row r="1697">
      <c r="A1697" t="str">
        <f>IFERROR(__xludf.DUMMYFUNCTION("""COMPUTED_VALUE"""),"rocp3d")</f>
        <v>rocp3d</v>
      </c>
      <c r="C1697" t="str">
        <f>IFERROR(__xludf.DUMMYFUNCTION("""COMPUTED_VALUE"""),"NY")</f>
        <v>NY</v>
      </c>
      <c r="D1697" t="str">
        <f>IFERROR(__xludf.DUMMYFUNCTION("""COMPUTED_VALUE"""),"USA")</f>
        <v>USA</v>
      </c>
      <c r="E1697" s="188">
        <f>IFERROR(__xludf.DUMMYFUNCTION("""COMPUTED_VALUE"""),43566.0)</f>
        <v>43566</v>
      </c>
      <c r="F1697" s="188">
        <f>IFERROR(__xludf.DUMMYFUNCTION("""COMPUTED_VALUE"""),43582.0)</f>
        <v>43582</v>
      </c>
      <c r="H1697">
        <f>IFERROR(__xludf.DUMMYFUNCTION("""COMPUTED_VALUE"""),231358.0)</f>
        <v>231358</v>
      </c>
      <c r="I1697" t="str">
        <f>IFERROR(__xludf.DUMMYFUNCTION("""COMPUTED_VALUE"""),"04/19")</f>
        <v>04/19</v>
      </c>
      <c r="J1697" s="5">
        <f>IFERROR(__xludf.DUMMYFUNCTION("""COMPUTED_VALUE"""),43593.0)</f>
        <v>43593</v>
      </c>
      <c r="K1697">
        <f>IFERROR(__xludf.DUMMYFUNCTION("""COMPUTED_VALUE"""),16.0)</f>
        <v>16</v>
      </c>
      <c r="L1697">
        <f>IFERROR(__xludf.DUMMYFUNCTION("""COMPUTED_VALUE"""),11.0)</f>
        <v>11</v>
      </c>
      <c r="M1697">
        <f>IFERROR(__xludf.DUMMYFUNCTION("""COMPUTED_VALUE"""),27.0)</f>
        <v>27</v>
      </c>
      <c r="N1697" t="str">
        <f>IFERROR(__xludf.DUMMYFUNCTION("""COMPUTED_VALUE"""),"Model 3 Performance")</f>
        <v>Model 3 Performance</v>
      </c>
      <c r="O1697" t="str">
        <f>IFERROR(__xludf.DUMMYFUNCTION("""COMPUTED_VALUE"""),"Deep Blue Metallic")</f>
        <v>Deep Blue Metallic</v>
      </c>
      <c r="P1697" t="str">
        <f>IFERROR(__xludf.DUMMYFUNCTION("""COMPUTED_VALUE"""),"20 inch Sport")</f>
        <v>20 inch Sport</v>
      </c>
      <c r="Q1697" t="str">
        <f>IFERROR(__xludf.DUMMYFUNCTION("""COMPUTED_VALUE"""),"Black seats")</f>
        <v>Black seats</v>
      </c>
      <c r="R1697" t="str">
        <f>IFERROR(__xludf.DUMMYFUNCTION("""COMPUTED_VALUE"""),"Full Self-Driving")</f>
        <v>Full Self-Driving</v>
      </c>
      <c r="X1697" t="str">
        <f>IFERROR(__xludf.DUMMYFUNCTION("""COMPUTED_VALUE"""),"Excellent")</f>
        <v>Excellent</v>
      </c>
      <c r="Y1697" t="str">
        <f>IFERROR(__xludf.DUMMYFUNCTION("""COMPUTED_VALUE"""),"Excellent")</f>
        <v>Excellent</v>
      </c>
      <c r="Z1697" t="str">
        <f>IFERROR(__xludf.DUMMYFUNCTION("""COMPUTED_VALUE"""),"Very Good")</f>
        <v>Very Good</v>
      </c>
      <c r="AA1697" t="str">
        <f>IFERROR(__xludf.DUMMYFUNCTION("""COMPUTED_VALUE"""),"Excellent")</f>
        <v>Excellent</v>
      </c>
      <c r="AB1697" t="str">
        <f>IFERROR(__xludf.DUMMYFUNCTION("""COMPUTED_VALUE"""),"Excellent")</f>
        <v>Excellent</v>
      </c>
      <c r="AC1697">
        <f>IFERROR(__xludf.DUMMYFUNCTION("""COMPUTED_VALUE"""),0.0)</f>
        <v>0</v>
      </c>
      <c r="AE1697">
        <f>IFERROR(__xludf.DUMMYFUNCTION("""COMPUTED_VALUE"""),0.0)</f>
        <v>0</v>
      </c>
      <c r="AH1697" s="189">
        <f>IFERROR(__xludf.DUMMYFUNCTION("""COMPUTED_VALUE"""),43593.80457518519)</f>
        <v>43593.80458</v>
      </c>
    </row>
    <row r="1698">
      <c r="A1698" t="str">
        <f>IFERROR(__xludf.DUMMYFUNCTION("""COMPUTED_VALUE"""),"jabancroft")</f>
        <v>jabancroft</v>
      </c>
      <c r="B1698" t="str">
        <f>IFERROR(__xludf.DUMMYFUNCTION("""COMPUTED_VALUE"""),"Portland")</f>
        <v>Portland</v>
      </c>
      <c r="C1698" t="str">
        <f>IFERROR(__xludf.DUMMYFUNCTION("""COMPUTED_VALUE"""),"OR")</f>
        <v>OR</v>
      </c>
      <c r="D1698" t="str">
        <f>IFERROR(__xludf.DUMMYFUNCTION("""COMPUTED_VALUE"""),"USA")</f>
        <v>USA</v>
      </c>
      <c r="E1698" s="188">
        <f>IFERROR(__xludf.DUMMYFUNCTION("""COMPUTED_VALUE"""),43585.0)</f>
        <v>43585</v>
      </c>
      <c r="F1698" s="188">
        <f>IFERROR(__xludf.DUMMYFUNCTION("""COMPUTED_VALUE"""),43590.0)</f>
        <v>43590</v>
      </c>
      <c r="H1698">
        <f>IFERROR(__xludf.DUMMYFUNCTION("""COMPUTED_VALUE"""),192255.0)</f>
        <v>192255</v>
      </c>
      <c r="J1698" s="5">
        <f>IFERROR(__xludf.DUMMYFUNCTION("""COMPUTED_VALUE"""),43594.0)</f>
        <v>43594</v>
      </c>
      <c r="K1698">
        <f>IFERROR(__xludf.DUMMYFUNCTION("""COMPUTED_VALUE"""),5.0)</f>
        <v>5</v>
      </c>
      <c r="L1698">
        <f>IFERROR(__xludf.DUMMYFUNCTION("""COMPUTED_VALUE"""),4.0)</f>
        <v>4</v>
      </c>
      <c r="M1698">
        <f>IFERROR(__xludf.DUMMYFUNCTION("""COMPUTED_VALUE"""),9.0)</f>
        <v>9</v>
      </c>
      <c r="N1698" t="str">
        <f>IFERROR(__xludf.DUMMYFUNCTION("""COMPUTED_VALUE"""),"Model 3 LR AWD")</f>
        <v>Model 3 LR AWD</v>
      </c>
      <c r="O1698" t="str">
        <f>IFERROR(__xludf.DUMMYFUNCTION("""COMPUTED_VALUE"""),"Deep Blue Metallic")</f>
        <v>Deep Blue Metallic</v>
      </c>
      <c r="P1698" t="str">
        <f>IFERROR(__xludf.DUMMYFUNCTION("""COMPUTED_VALUE"""),"18 inch Aero")</f>
        <v>18 inch Aero</v>
      </c>
      <c r="Q1698" t="str">
        <f>IFERROR(__xludf.DUMMYFUNCTION("""COMPUTED_VALUE"""),"White seats")</f>
        <v>White seats</v>
      </c>
      <c r="R1698" t="str">
        <f>IFERROR(__xludf.DUMMYFUNCTION("""COMPUTED_VALUE"""),"Full Self-Driving")</f>
        <v>Full Self-Driving</v>
      </c>
      <c r="X1698" t="str">
        <f>IFERROR(__xludf.DUMMYFUNCTION("""COMPUTED_VALUE"""),"Very Good")</f>
        <v>Very Good</v>
      </c>
      <c r="Y1698" t="str">
        <f>IFERROR(__xludf.DUMMYFUNCTION("""COMPUTED_VALUE"""),"Very Good")</f>
        <v>Very Good</v>
      </c>
      <c r="Z1698" t="str">
        <f>IFERROR(__xludf.DUMMYFUNCTION("""COMPUTED_VALUE"""),"Good")</f>
        <v>Good</v>
      </c>
      <c r="AA1698" t="str">
        <f>IFERROR(__xludf.DUMMYFUNCTION("""COMPUTED_VALUE"""),"Good")</f>
        <v>Good</v>
      </c>
      <c r="AB1698" t="str">
        <f>IFERROR(__xludf.DUMMYFUNCTION("""COMPUTED_VALUE"""),"Excellent")</f>
        <v>Excellent</v>
      </c>
      <c r="AC1698">
        <f>IFERROR(__xludf.DUMMYFUNCTION("""COMPUTED_VALUE"""),2.0)</f>
        <v>2</v>
      </c>
      <c r="AH1698" s="189">
        <f>IFERROR(__xludf.DUMMYFUNCTION("""COMPUTED_VALUE"""),43594.60407543981)</f>
        <v>43594.60408</v>
      </c>
    </row>
    <row r="1699">
      <c r="A1699" t="str">
        <f>IFERROR(__xludf.DUMMYFUNCTION("""COMPUTED_VALUE"""),"noc_man")</f>
        <v>noc_man</v>
      </c>
      <c r="B1699" t="str">
        <f>IFERROR(__xludf.DUMMYFUNCTION("""COMPUTED_VALUE"""),"Charlotte")</f>
        <v>Charlotte</v>
      </c>
      <c r="C1699" t="str">
        <f>IFERROR(__xludf.DUMMYFUNCTION("""COMPUTED_VALUE"""),"NC")</f>
        <v>NC</v>
      </c>
      <c r="D1699" t="str">
        <f>IFERROR(__xludf.DUMMYFUNCTION("""COMPUTED_VALUE"""),"USA")</f>
        <v>USA</v>
      </c>
      <c r="E1699" s="188">
        <f>IFERROR(__xludf.DUMMYFUNCTION("""COMPUTED_VALUE"""),43562.0)</f>
        <v>43562</v>
      </c>
      <c r="F1699" s="188">
        <f>IFERROR(__xludf.DUMMYFUNCTION("""COMPUTED_VALUE"""),43592.0)</f>
        <v>43592</v>
      </c>
      <c r="H1699">
        <f>IFERROR(__xludf.DUMMYFUNCTION("""COMPUTED_VALUE"""),231428.0)</f>
        <v>231428</v>
      </c>
      <c r="I1699" t="str">
        <f>IFERROR(__xludf.DUMMYFUNCTION("""COMPUTED_VALUE"""),"03/19")</f>
        <v>03/19</v>
      </c>
      <c r="J1699" s="5">
        <f>IFERROR(__xludf.DUMMYFUNCTION("""COMPUTED_VALUE"""),43592.0)</f>
        <v>43592</v>
      </c>
      <c r="K1699">
        <f>IFERROR(__xludf.DUMMYFUNCTION("""COMPUTED_VALUE"""),30.0)</f>
        <v>30</v>
      </c>
      <c r="L1699">
        <f>IFERROR(__xludf.DUMMYFUNCTION("""COMPUTED_VALUE"""),0.0)</f>
        <v>0</v>
      </c>
      <c r="M1699">
        <f>IFERROR(__xludf.DUMMYFUNCTION("""COMPUTED_VALUE"""),30.0)</f>
        <v>30</v>
      </c>
      <c r="N1699" t="str">
        <f>IFERROR(__xludf.DUMMYFUNCTION("""COMPUTED_VALUE"""),"Model 3 Performance")</f>
        <v>Model 3 Performance</v>
      </c>
      <c r="O1699" t="str">
        <f>IFERROR(__xludf.DUMMYFUNCTION("""COMPUTED_VALUE"""),"Pearl White Multi-Coat")</f>
        <v>Pearl White Multi-Coat</v>
      </c>
      <c r="P1699" t="str">
        <f>IFERROR(__xludf.DUMMYFUNCTION("""COMPUTED_VALUE"""),"20 inch Sport")</f>
        <v>20 inch Sport</v>
      </c>
      <c r="Q1699" t="str">
        <f>IFERROR(__xludf.DUMMYFUNCTION("""COMPUTED_VALUE"""),"Black seats")</f>
        <v>Black seats</v>
      </c>
      <c r="R1699" t="str">
        <f>IFERROR(__xludf.DUMMYFUNCTION("""COMPUTED_VALUE"""),"Full Self-Driving")</f>
        <v>Full Self-Driving</v>
      </c>
      <c r="X1699" t="str">
        <f>IFERROR(__xludf.DUMMYFUNCTION("""COMPUTED_VALUE"""),"Fair")</f>
        <v>Fair</v>
      </c>
      <c r="Y1699" t="str">
        <f>IFERROR(__xludf.DUMMYFUNCTION("""COMPUTED_VALUE"""),"Very Good")</f>
        <v>Very Good</v>
      </c>
      <c r="Z1699" t="str">
        <f>IFERROR(__xludf.DUMMYFUNCTION("""COMPUTED_VALUE"""),"Good")</f>
        <v>Good</v>
      </c>
      <c r="AA1699" t="str">
        <f>IFERROR(__xludf.DUMMYFUNCTION("""COMPUTED_VALUE"""),"Poor")</f>
        <v>Poor</v>
      </c>
      <c r="AB1699" t="str">
        <f>IFERROR(__xludf.DUMMYFUNCTION("""COMPUTED_VALUE"""),"Fair")</f>
        <v>Fair</v>
      </c>
      <c r="AC1699">
        <f>IFERROR(__xludf.DUMMYFUNCTION("""COMPUTED_VALUE"""),2.0)</f>
        <v>2</v>
      </c>
      <c r="AG1699" t="str">
        <f>IFERROR(__xludf.DUMMYFUNCTION("""COMPUTED_VALUE"""),"after 30 days of waiting with no communication, I got an email to update my delivery info.  Called the SC and they said they had a VIN for me and the car was on their lot.  It was manufactured prior 3 weeks prior to my configure date so I didn't get the s"&amp;"poiler and HW3 that others were getting with even later config dates")</f>
        <v>after 30 days of waiting with no communication, I got an email to update my delivery info.  Called the SC and they said they had a VIN for me and the car was on their lot.  It was manufactured prior 3 weeks prior to my configure date so I didn't get the spoiler and HW3 that others were getting with even later config dates</v>
      </c>
      <c r="AH1699" s="189">
        <f>IFERROR(__xludf.DUMMYFUNCTION("""COMPUTED_VALUE"""),43594.620007523146)</f>
        <v>43594.62001</v>
      </c>
    </row>
    <row r="1700">
      <c r="A1700" t="str">
        <f>IFERROR(__xludf.DUMMYFUNCTION("""COMPUTED_VALUE"""),"mvermef")</f>
        <v>mvermef</v>
      </c>
      <c r="B1700" t="str">
        <f>IFERROR(__xludf.DUMMYFUNCTION("""COMPUTED_VALUE"""),"Houston")</f>
        <v>Houston</v>
      </c>
      <c r="C1700" t="str">
        <f>IFERROR(__xludf.DUMMYFUNCTION("""COMPUTED_VALUE"""),"TX")</f>
        <v>TX</v>
      </c>
      <c r="D1700" t="str">
        <f>IFERROR(__xludf.DUMMYFUNCTION("""COMPUTED_VALUE"""),"USA")</f>
        <v>USA</v>
      </c>
      <c r="E1700" s="188">
        <f>IFERROR(__xludf.DUMMYFUNCTION("""COMPUTED_VALUE"""),43577.0)</f>
        <v>43577</v>
      </c>
      <c r="F1700" s="188">
        <f>IFERROR(__xludf.DUMMYFUNCTION("""COMPUTED_VALUE"""),43579.0)</f>
        <v>43579</v>
      </c>
      <c r="H1700">
        <f>IFERROR(__xludf.DUMMYFUNCTION("""COMPUTED_VALUE"""),231655.0)</f>
        <v>231655</v>
      </c>
      <c r="I1700" t="str">
        <f>IFERROR(__xludf.DUMMYFUNCTION("""COMPUTED_VALUE"""),"04/19")</f>
        <v>04/19</v>
      </c>
      <c r="J1700" s="5">
        <f>IFERROR(__xludf.DUMMYFUNCTION("""COMPUTED_VALUE"""),43593.0)</f>
        <v>43593</v>
      </c>
      <c r="K1700">
        <f>IFERROR(__xludf.DUMMYFUNCTION("""COMPUTED_VALUE"""),2.0)</f>
        <v>2</v>
      </c>
      <c r="L1700">
        <f>IFERROR(__xludf.DUMMYFUNCTION("""COMPUTED_VALUE"""),14.0)</f>
        <v>14</v>
      </c>
      <c r="M1700">
        <f>IFERROR(__xludf.DUMMYFUNCTION("""COMPUTED_VALUE"""),16.0)</f>
        <v>16</v>
      </c>
      <c r="N1700" t="str">
        <f>IFERROR(__xludf.DUMMYFUNCTION("""COMPUTED_VALUE"""),"Model 3 Performance")</f>
        <v>Model 3 Performance</v>
      </c>
      <c r="O1700" t="str">
        <f>IFERROR(__xludf.DUMMYFUNCTION("""COMPUTED_VALUE"""),"Deep Blue Metallic")</f>
        <v>Deep Blue Metallic</v>
      </c>
      <c r="P1700" t="str">
        <f>IFERROR(__xludf.DUMMYFUNCTION("""COMPUTED_VALUE"""),"20 inch Sport")</f>
        <v>20 inch Sport</v>
      </c>
      <c r="Q1700" t="str">
        <f>IFERROR(__xludf.DUMMYFUNCTION("""COMPUTED_VALUE"""),"White seats")</f>
        <v>White seats</v>
      </c>
      <c r="R1700" t="str">
        <f>IFERROR(__xludf.DUMMYFUNCTION("""COMPUTED_VALUE"""),"Full Self-Driving")</f>
        <v>Full Self-Driving</v>
      </c>
      <c r="X1700" t="str">
        <f>IFERROR(__xludf.DUMMYFUNCTION("""COMPUTED_VALUE"""),"Excellent")</f>
        <v>Excellent</v>
      </c>
      <c r="Y1700" t="str">
        <f>IFERROR(__xludf.DUMMYFUNCTION("""COMPUTED_VALUE"""),"Excellent")</f>
        <v>Excellent</v>
      </c>
      <c r="Z1700" t="str">
        <f>IFERROR(__xludf.DUMMYFUNCTION("""COMPUTED_VALUE"""),"Excellent")</f>
        <v>Excellent</v>
      </c>
      <c r="AA1700" t="str">
        <f>IFERROR(__xludf.DUMMYFUNCTION("""COMPUTED_VALUE"""),"Excellent")</f>
        <v>Excellent</v>
      </c>
      <c r="AB1700" t="str">
        <f>IFERROR(__xludf.DUMMYFUNCTION("""COMPUTED_VALUE"""),"Excellent")</f>
        <v>Excellent</v>
      </c>
      <c r="AH1700" s="189">
        <f>IFERROR(__xludf.DUMMYFUNCTION("""COMPUTED_VALUE"""),43594.837145046295)</f>
        <v>43594.83715</v>
      </c>
    </row>
    <row r="1701">
      <c r="A1701" t="str">
        <f>IFERROR(__xludf.DUMMYFUNCTION("""COMPUTED_VALUE"""),"Jrex101")</f>
        <v>Jrex101</v>
      </c>
      <c r="B1701" t="str">
        <f>IFERROR(__xludf.DUMMYFUNCTION("""COMPUTED_VALUE"""),"Tucson")</f>
        <v>Tucson</v>
      </c>
      <c r="C1701" t="str">
        <f>IFERROR(__xludf.DUMMYFUNCTION("""COMPUTED_VALUE"""),"AZ")</f>
        <v>AZ</v>
      </c>
      <c r="D1701" t="str">
        <f>IFERROR(__xludf.DUMMYFUNCTION("""COMPUTED_VALUE"""),"USA")</f>
        <v>USA</v>
      </c>
      <c r="E1701" s="188">
        <f>IFERROR(__xludf.DUMMYFUNCTION("""COMPUTED_VALUE"""),43577.0)</f>
        <v>43577</v>
      </c>
      <c r="F1701" s="188">
        <f>IFERROR(__xludf.DUMMYFUNCTION("""COMPUTED_VALUE"""),43590.0)</f>
        <v>43590</v>
      </c>
      <c r="H1701">
        <f>IFERROR(__xludf.DUMMYFUNCTION("""COMPUTED_VALUE"""),195095.0)</f>
        <v>195095</v>
      </c>
      <c r="J1701" s="5">
        <f>IFERROR(__xludf.DUMMYFUNCTION("""COMPUTED_VALUE"""),43593.0)</f>
        <v>43593</v>
      </c>
      <c r="K1701">
        <f>IFERROR(__xludf.DUMMYFUNCTION("""COMPUTED_VALUE"""),13.0)</f>
        <v>13</v>
      </c>
      <c r="L1701">
        <f>IFERROR(__xludf.DUMMYFUNCTION("""COMPUTED_VALUE"""),3.0)</f>
        <v>3</v>
      </c>
      <c r="M1701">
        <f>IFERROR(__xludf.DUMMYFUNCTION("""COMPUTED_VALUE"""),16.0)</f>
        <v>16</v>
      </c>
      <c r="N1701" t="str">
        <f>IFERROR(__xludf.DUMMYFUNCTION("""COMPUTED_VALUE"""),"Model 3 LR AWD")</f>
        <v>Model 3 LR AWD</v>
      </c>
      <c r="O1701" t="str">
        <f>IFERROR(__xludf.DUMMYFUNCTION("""COMPUTED_VALUE"""),"Pearl White Multi-Coat")</f>
        <v>Pearl White Multi-Coat</v>
      </c>
      <c r="P1701" t="str">
        <f>IFERROR(__xludf.DUMMYFUNCTION("""COMPUTED_VALUE"""),"18 inch Aero")</f>
        <v>18 inch Aero</v>
      </c>
      <c r="Q1701" t="str">
        <f>IFERROR(__xludf.DUMMYFUNCTION("""COMPUTED_VALUE"""),"White seats")</f>
        <v>White seats</v>
      </c>
      <c r="R1701" t="str">
        <f>IFERROR(__xludf.DUMMYFUNCTION("""COMPUTED_VALUE"""),"Full Self-Driving")</f>
        <v>Full Self-Driving</v>
      </c>
      <c r="X1701" t="str">
        <f>IFERROR(__xludf.DUMMYFUNCTION("""COMPUTED_VALUE"""),"Very Good")</f>
        <v>Very Good</v>
      </c>
      <c r="Y1701" t="str">
        <f>IFERROR(__xludf.DUMMYFUNCTION("""COMPUTED_VALUE"""),"Excellent")</f>
        <v>Excellent</v>
      </c>
      <c r="Z1701" t="str">
        <f>IFERROR(__xludf.DUMMYFUNCTION("""COMPUTED_VALUE"""),"Excellent")</f>
        <v>Excellent</v>
      </c>
      <c r="AA1701" t="str">
        <f>IFERROR(__xludf.DUMMYFUNCTION("""COMPUTED_VALUE"""),"Very Good")</f>
        <v>Very Good</v>
      </c>
      <c r="AB1701" t="str">
        <f>IFERROR(__xludf.DUMMYFUNCTION("""COMPUTED_VALUE"""),"Excellent")</f>
        <v>Excellent</v>
      </c>
      <c r="AG1701" t="str">
        <f>IFERROR(__xludf.DUMMYFUNCTION("""COMPUTED_VALUE"""),"Car was born 5/4/19")</f>
        <v>Car was born 5/4/19</v>
      </c>
      <c r="AH1701" s="189">
        <f>IFERROR(__xludf.DUMMYFUNCTION("""COMPUTED_VALUE"""),43594.94325369213)</f>
        <v>43594.94325</v>
      </c>
    </row>
    <row r="1702">
      <c r="A1702" t="str">
        <f>IFERROR(__xludf.DUMMYFUNCTION("""COMPUTED_VALUE"""),"SanDiegoM3")</f>
        <v>SanDiegoM3</v>
      </c>
      <c r="B1702" t="str">
        <f>IFERROR(__xludf.DUMMYFUNCTION("""COMPUTED_VALUE"""),"San diego ")</f>
        <v>San diego </v>
      </c>
      <c r="C1702" t="str">
        <f>IFERROR(__xludf.DUMMYFUNCTION("""COMPUTED_VALUE"""),"CA")</f>
        <v>CA</v>
      </c>
      <c r="D1702" t="str">
        <f>IFERROR(__xludf.DUMMYFUNCTION("""COMPUTED_VALUE"""),"USA")</f>
        <v>USA</v>
      </c>
      <c r="E1702" s="188">
        <f>IFERROR(__xludf.DUMMYFUNCTION("""COMPUTED_VALUE"""),43579.0)</f>
        <v>43579</v>
      </c>
      <c r="H1702">
        <f>IFERROR(__xludf.DUMMYFUNCTION("""COMPUTED_VALUE"""),213955.0)</f>
        <v>213955</v>
      </c>
      <c r="I1702" t="str">
        <f>IFERROR(__xludf.DUMMYFUNCTION("""COMPUTED_VALUE"""),"04/19")</f>
        <v>04/19</v>
      </c>
      <c r="J1702" s="5">
        <f>IFERROR(__xludf.DUMMYFUNCTION("""COMPUTED_VALUE"""),43593.0)</f>
        <v>43593</v>
      </c>
      <c r="M1702">
        <f>IFERROR(__xludf.DUMMYFUNCTION("""COMPUTED_VALUE"""),14.0)</f>
        <v>14</v>
      </c>
      <c r="N1702" t="str">
        <f>IFERROR(__xludf.DUMMYFUNCTION("""COMPUTED_VALUE"""),"Model 3 LR AWD")</f>
        <v>Model 3 LR AWD</v>
      </c>
      <c r="O1702" t="str">
        <f>IFERROR(__xludf.DUMMYFUNCTION("""COMPUTED_VALUE"""),"Pearl White Multi-Coat")</f>
        <v>Pearl White Multi-Coat</v>
      </c>
      <c r="P1702" t="str">
        <f>IFERROR(__xludf.DUMMYFUNCTION("""COMPUTED_VALUE"""),"19 inch Sport")</f>
        <v>19 inch Sport</v>
      </c>
      <c r="Q1702" t="str">
        <f>IFERROR(__xludf.DUMMYFUNCTION("""COMPUTED_VALUE"""),"White seats")</f>
        <v>White seats</v>
      </c>
      <c r="R1702" t="str">
        <f>IFERROR(__xludf.DUMMYFUNCTION("""COMPUTED_VALUE"""),"Full Self-Driving")</f>
        <v>Full Self-Driving</v>
      </c>
      <c r="X1702" t="str">
        <f>IFERROR(__xludf.DUMMYFUNCTION("""COMPUTED_VALUE"""),"Excellent")</f>
        <v>Excellent</v>
      </c>
      <c r="Y1702" t="str">
        <f>IFERROR(__xludf.DUMMYFUNCTION("""COMPUTED_VALUE"""),"Excellent")</f>
        <v>Excellent</v>
      </c>
      <c r="Z1702" t="str">
        <f>IFERROR(__xludf.DUMMYFUNCTION("""COMPUTED_VALUE"""),"Very Good")</f>
        <v>Very Good</v>
      </c>
      <c r="AA1702" t="str">
        <f>IFERROR(__xludf.DUMMYFUNCTION("""COMPUTED_VALUE"""),"Excellent")</f>
        <v>Excellent</v>
      </c>
      <c r="AB1702" t="str">
        <f>IFERROR(__xludf.DUMMYFUNCTION("""COMPUTED_VALUE"""),"Excellent")</f>
        <v>Excellent</v>
      </c>
      <c r="AC1702">
        <f>IFERROR(__xludf.DUMMYFUNCTION("""COMPUTED_VALUE"""),2.0)</f>
        <v>2</v>
      </c>
      <c r="AG1702" t="str">
        <f>IFERROR(__xludf.DUMMYFUNCTION("""COMPUTED_VALUE"""),"Right front passenger door is rubbing the door jamb")</f>
        <v>Right front passenger door is rubbing the door jamb</v>
      </c>
      <c r="AH1702" s="189">
        <f>IFERROR(__xludf.DUMMYFUNCTION("""COMPUTED_VALUE"""),43595.297784236114)</f>
        <v>43595.29778</v>
      </c>
    </row>
    <row r="1703">
      <c r="A1703" t="str">
        <f>IFERROR(__xludf.DUMMYFUNCTION("""COMPUTED_VALUE"""),"Samy364")</f>
        <v>Samy364</v>
      </c>
      <c r="B1703" t="str">
        <f>IFERROR(__xludf.DUMMYFUNCTION("""COMPUTED_VALUE"""),"Yorba Linda")</f>
        <v>Yorba Linda</v>
      </c>
      <c r="C1703" t="str">
        <f>IFERROR(__xludf.DUMMYFUNCTION("""COMPUTED_VALUE"""),"CA")</f>
        <v>CA</v>
      </c>
      <c r="D1703" t="str">
        <f>IFERROR(__xludf.DUMMYFUNCTION("""COMPUTED_VALUE"""),"USA")</f>
        <v>USA</v>
      </c>
      <c r="E1703" s="188">
        <f>IFERROR(__xludf.DUMMYFUNCTION("""COMPUTED_VALUE"""),43573.0)</f>
        <v>43573</v>
      </c>
      <c r="F1703" s="188">
        <f>IFERROR(__xludf.DUMMYFUNCTION("""COMPUTED_VALUE"""),43592.0)</f>
        <v>43592</v>
      </c>
      <c r="H1703">
        <f>IFERROR(__xludf.DUMMYFUNCTION("""COMPUTED_VALUE"""),368114.0)</f>
        <v>368114</v>
      </c>
      <c r="I1703" t="str">
        <f>IFERROR(__xludf.DUMMYFUNCTION("""COMPUTED_VALUE"""),"04/19")</f>
        <v>04/19</v>
      </c>
      <c r="J1703" s="5">
        <f>IFERROR(__xludf.DUMMYFUNCTION("""COMPUTED_VALUE"""),43594.0)</f>
        <v>43594</v>
      </c>
      <c r="K1703">
        <f>IFERROR(__xludf.DUMMYFUNCTION("""COMPUTED_VALUE"""),19.0)</f>
        <v>19</v>
      </c>
      <c r="L1703">
        <f>IFERROR(__xludf.DUMMYFUNCTION("""COMPUTED_VALUE"""),2.0)</f>
        <v>2</v>
      </c>
      <c r="M1703">
        <f>IFERROR(__xludf.DUMMYFUNCTION("""COMPUTED_VALUE"""),21.0)</f>
        <v>21</v>
      </c>
      <c r="N1703" t="str">
        <f>IFERROR(__xludf.DUMMYFUNCTION("""COMPUTED_VALUE"""),"Model 3 Performance")</f>
        <v>Model 3 Performance</v>
      </c>
      <c r="O1703" t="str">
        <f>IFERROR(__xludf.DUMMYFUNCTION("""COMPUTED_VALUE"""),"Pearl White Multi-Coat")</f>
        <v>Pearl White Multi-Coat</v>
      </c>
      <c r="P1703" t="str">
        <f>IFERROR(__xludf.DUMMYFUNCTION("""COMPUTED_VALUE"""),"20 inch Sport")</f>
        <v>20 inch Sport</v>
      </c>
      <c r="Q1703" t="str">
        <f>IFERROR(__xludf.DUMMYFUNCTION("""COMPUTED_VALUE"""),"White seats")</f>
        <v>White seats</v>
      </c>
      <c r="R1703" t="str">
        <f>IFERROR(__xludf.DUMMYFUNCTION("""COMPUTED_VALUE"""),"Full Self-Driving")</f>
        <v>Full Self-Driving</v>
      </c>
      <c r="X1703" t="str">
        <f>IFERROR(__xludf.DUMMYFUNCTION("""COMPUTED_VALUE"""),"Excellent")</f>
        <v>Excellent</v>
      </c>
      <c r="Y1703" t="str">
        <f>IFERROR(__xludf.DUMMYFUNCTION("""COMPUTED_VALUE"""),"Excellent")</f>
        <v>Excellent</v>
      </c>
      <c r="Z1703" t="str">
        <f>IFERROR(__xludf.DUMMYFUNCTION("""COMPUTED_VALUE"""),"Excellent")</f>
        <v>Excellent</v>
      </c>
      <c r="AA1703" t="str">
        <f>IFERROR(__xludf.DUMMYFUNCTION("""COMPUTED_VALUE"""),"Poor")</f>
        <v>Poor</v>
      </c>
      <c r="AB1703" t="str">
        <f>IFERROR(__xludf.DUMMYFUNCTION("""COMPUTED_VALUE"""),"Very Good")</f>
        <v>Very Good</v>
      </c>
      <c r="AC1703">
        <f>IFERROR(__xludf.DUMMYFUNCTION("""COMPUTED_VALUE"""),0.0)</f>
        <v>0</v>
      </c>
      <c r="AD1703">
        <f>IFERROR(__xludf.DUMMYFUNCTION("""COMPUTED_VALUE"""),0.0)</f>
        <v>0</v>
      </c>
      <c r="AE1703">
        <f>IFERROR(__xludf.DUMMYFUNCTION("""COMPUTED_VALUE"""),0.0)</f>
        <v>0</v>
      </c>
      <c r="AG1703" t="str">
        <f>IFERROR(__xludf.DUMMYFUNCTION("""COMPUTED_VALUE"""),"Car is very clean from initial inspection.  I did encounter an issue where Autopilot was not calibrating but that was resolved witha software update.")</f>
        <v>Car is very clean from initial inspection.  I did encounter an issue where Autopilot was not calibrating but that was resolved witha software update.</v>
      </c>
      <c r="AH1703" s="189">
        <f>IFERROR(__xludf.DUMMYFUNCTION("""COMPUTED_VALUE"""),43595.33651861111)</f>
        <v>43595.33652</v>
      </c>
    </row>
    <row r="1704">
      <c r="A1704" t="str">
        <f>IFERROR(__xludf.DUMMYFUNCTION("""COMPUTED_VALUE"""),"ammulder")</f>
        <v>ammulder</v>
      </c>
      <c r="B1704" t="str">
        <f>IFERROR(__xludf.DUMMYFUNCTION("""COMPUTED_VALUE"""),"Philly area")</f>
        <v>Philly area</v>
      </c>
      <c r="C1704" t="str">
        <f>IFERROR(__xludf.DUMMYFUNCTION("""COMPUTED_VALUE"""),"PA")</f>
        <v>PA</v>
      </c>
      <c r="D1704" t="str">
        <f>IFERROR(__xludf.DUMMYFUNCTION("""COMPUTED_VALUE"""),"USA")</f>
        <v>USA</v>
      </c>
      <c r="E1704" s="188">
        <f>IFERROR(__xludf.DUMMYFUNCTION("""COMPUTED_VALUE"""),43563.0)</f>
        <v>43563</v>
      </c>
      <c r="F1704" s="188">
        <f>IFERROR(__xludf.DUMMYFUNCTION("""COMPUTED_VALUE"""),43584.0)</f>
        <v>43584</v>
      </c>
      <c r="H1704" s="4">
        <f>IFERROR(__xludf.DUMMYFUNCTION("""COMPUTED_VALUE"""),237754.0)</f>
        <v>237754</v>
      </c>
      <c r="J1704" s="5">
        <f>IFERROR(__xludf.DUMMYFUNCTION("""COMPUTED_VALUE"""),43592.0)</f>
        <v>43592</v>
      </c>
      <c r="K1704">
        <f>IFERROR(__xludf.DUMMYFUNCTION("""COMPUTED_VALUE"""),21.0)</f>
        <v>21</v>
      </c>
      <c r="L1704">
        <f>IFERROR(__xludf.DUMMYFUNCTION("""COMPUTED_VALUE"""),8.0)</f>
        <v>8</v>
      </c>
      <c r="M1704">
        <f>IFERROR(__xludf.DUMMYFUNCTION("""COMPUTED_VALUE"""),29.0)</f>
        <v>29</v>
      </c>
      <c r="N1704" t="str">
        <f>IFERROR(__xludf.DUMMYFUNCTION("""COMPUTED_VALUE"""),"Model 3 Performance")</f>
        <v>Model 3 Performance</v>
      </c>
      <c r="O1704" t="str">
        <f>IFERROR(__xludf.DUMMYFUNCTION("""COMPUTED_VALUE"""),"Deep Blue Metallic")</f>
        <v>Deep Blue Metallic</v>
      </c>
      <c r="P1704" t="str">
        <f>IFERROR(__xludf.DUMMYFUNCTION("""COMPUTED_VALUE"""),"20 inch Sport")</f>
        <v>20 inch Sport</v>
      </c>
      <c r="Q1704" t="str">
        <f>IFERROR(__xludf.DUMMYFUNCTION("""COMPUTED_VALUE"""),"Black seats")</f>
        <v>Black seats</v>
      </c>
      <c r="R1704" t="str">
        <f>IFERROR(__xludf.DUMMYFUNCTION("""COMPUTED_VALUE"""),"Autopilot")</f>
        <v>Autopilot</v>
      </c>
      <c r="X1704" t="str">
        <f>IFERROR(__xludf.DUMMYFUNCTION("""COMPUTED_VALUE"""),"Very Good")</f>
        <v>Very Good</v>
      </c>
      <c r="Y1704" t="str">
        <f>IFERROR(__xludf.DUMMYFUNCTION("""COMPUTED_VALUE"""),"Excellent")</f>
        <v>Excellent</v>
      </c>
      <c r="Z1704" t="str">
        <f>IFERROR(__xludf.DUMMYFUNCTION("""COMPUTED_VALUE"""),"Excellent")</f>
        <v>Excellent</v>
      </c>
      <c r="AA1704" t="str">
        <f>IFERROR(__xludf.DUMMYFUNCTION("""COMPUTED_VALUE"""),"Poor")</f>
        <v>Poor</v>
      </c>
      <c r="AB1704" t="str">
        <f>IFERROR(__xludf.DUMMYFUNCTION("""COMPUTED_VALUE"""),"Very Good")</f>
        <v>Very Good</v>
      </c>
      <c r="AC1704">
        <f>IFERROR(__xludf.DUMMYFUNCTION("""COMPUTED_VALUE"""),0.0)</f>
        <v>0</v>
      </c>
      <c r="AD1704">
        <f>IFERROR(__xludf.DUMMYFUNCTION("""COMPUTED_VALUE"""),0.0)</f>
        <v>0</v>
      </c>
      <c r="AE1704">
        <f>IFERROR(__xludf.DUMMYFUNCTION("""COMPUTED_VALUE"""),0.0)</f>
        <v>0</v>
      </c>
      <c r="AH1704" s="189">
        <f>IFERROR(__xludf.DUMMYFUNCTION("""COMPUTED_VALUE"""),43595.40762978009)</f>
        <v>43595.40763</v>
      </c>
    </row>
    <row r="1705">
      <c r="A1705" t="str">
        <f>IFERROR(__xludf.DUMMYFUNCTION("""COMPUTED_VALUE"""),"RWC AWD")</f>
        <v>RWC AWD</v>
      </c>
      <c r="B1705" t="str">
        <f>IFERROR(__xludf.DUMMYFUNCTION("""COMPUTED_VALUE"""),"Redwood City")</f>
        <v>Redwood City</v>
      </c>
      <c r="C1705" t="str">
        <f>IFERROR(__xludf.DUMMYFUNCTION("""COMPUTED_VALUE"""),"CA")</f>
        <v>CA</v>
      </c>
      <c r="D1705" t="str">
        <f>IFERROR(__xludf.DUMMYFUNCTION("""COMPUTED_VALUE"""),"USA")</f>
        <v>USA</v>
      </c>
      <c r="E1705" s="188">
        <f>IFERROR(__xludf.DUMMYFUNCTION("""COMPUTED_VALUE"""),43585.0)</f>
        <v>43585</v>
      </c>
      <c r="F1705" s="188">
        <f>IFERROR(__xludf.DUMMYFUNCTION("""COMPUTED_VALUE"""),43588.0)</f>
        <v>43588</v>
      </c>
      <c r="H1705" s="4">
        <f>IFERROR(__xludf.DUMMYFUNCTION("""COMPUTED_VALUE"""),361247.0)</f>
        <v>361247</v>
      </c>
      <c r="I1705" t="str">
        <f>IFERROR(__xludf.DUMMYFUNCTION("""COMPUTED_VALUE"""),"04/19")</f>
        <v>04/19</v>
      </c>
      <c r="J1705" s="5">
        <f>IFERROR(__xludf.DUMMYFUNCTION("""COMPUTED_VALUE"""),43594.0)</f>
        <v>43594</v>
      </c>
      <c r="K1705">
        <f>IFERROR(__xludf.DUMMYFUNCTION("""COMPUTED_VALUE"""),3.0)</f>
        <v>3</v>
      </c>
      <c r="L1705">
        <f>IFERROR(__xludf.DUMMYFUNCTION("""COMPUTED_VALUE"""),6.0)</f>
        <v>6</v>
      </c>
      <c r="M1705">
        <f>IFERROR(__xludf.DUMMYFUNCTION("""COMPUTED_VALUE"""),9.0)</f>
        <v>9</v>
      </c>
      <c r="N1705" t="str">
        <f>IFERROR(__xludf.DUMMYFUNCTION("""COMPUTED_VALUE"""),"Model 3 LR AWD")</f>
        <v>Model 3 LR AWD</v>
      </c>
      <c r="O1705" t="str">
        <f>IFERROR(__xludf.DUMMYFUNCTION("""COMPUTED_VALUE"""),"Solid Black")</f>
        <v>Solid Black</v>
      </c>
      <c r="P1705" t="str">
        <f>IFERROR(__xludf.DUMMYFUNCTION("""COMPUTED_VALUE"""),"18 inch Aero")</f>
        <v>18 inch Aero</v>
      </c>
      <c r="Q1705" t="str">
        <f>IFERROR(__xludf.DUMMYFUNCTION("""COMPUTED_VALUE"""),"Black seats")</f>
        <v>Black seats</v>
      </c>
      <c r="R1705" t="str">
        <f>IFERROR(__xludf.DUMMYFUNCTION("""COMPUTED_VALUE"""),"Full Self-Driving")</f>
        <v>Full Self-Driving</v>
      </c>
      <c r="X1705" t="str">
        <f>IFERROR(__xludf.DUMMYFUNCTION("""COMPUTED_VALUE"""),"Excellent")</f>
        <v>Excellent</v>
      </c>
      <c r="Y1705" t="str">
        <f>IFERROR(__xludf.DUMMYFUNCTION("""COMPUTED_VALUE"""),"Excellent")</f>
        <v>Excellent</v>
      </c>
      <c r="Z1705" t="str">
        <f>IFERROR(__xludf.DUMMYFUNCTION("""COMPUTED_VALUE"""),"Excellent")</f>
        <v>Excellent</v>
      </c>
      <c r="AA1705" t="str">
        <f>IFERROR(__xludf.DUMMYFUNCTION("""COMPUTED_VALUE"""),"Excellent")</f>
        <v>Excellent</v>
      </c>
      <c r="AB1705" t="str">
        <f>IFERROR(__xludf.DUMMYFUNCTION("""COMPUTED_VALUE"""),"Excellent")</f>
        <v>Excellent</v>
      </c>
      <c r="AC1705">
        <f>IFERROR(__xludf.DUMMYFUNCTION("""COMPUTED_VALUE"""),0.0)</f>
        <v>0</v>
      </c>
      <c r="AH1705" s="189">
        <f>IFERROR(__xludf.DUMMYFUNCTION("""COMPUTED_VALUE"""),43595.57560369213)</f>
        <v>43595.5756</v>
      </c>
    </row>
    <row r="1706">
      <c r="A1706" t="str">
        <f>IFERROR(__xludf.DUMMYFUNCTION("""COMPUTED_VALUE"""),"DustinD")</f>
        <v>DustinD</v>
      </c>
      <c r="C1706" t="str">
        <f>IFERROR(__xludf.DUMMYFUNCTION("""COMPUTED_VALUE"""),"MO")</f>
        <v>MO</v>
      </c>
      <c r="D1706" t="str">
        <f>IFERROR(__xludf.DUMMYFUNCTION("""COMPUTED_VALUE"""),"USA")</f>
        <v>USA</v>
      </c>
      <c r="E1706" s="188">
        <f>IFERROR(__xludf.DUMMYFUNCTION("""COMPUTED_VALUE"""),43569.0)</f>
        <v>43569</v>
      </c>
      <c r="F1706" s="188">
        <f>IFERROR(__xludf.DUMMYFUNCTION("""COMPUTED_VALUE"""),43582.0)</f>
        <v>43582</v>
      </c>
      <c r="H1706">
        <f>IFERROR(__xludf.DUMMYFUNCTION("""COMPUTED_VALUE"""),301655.0)</f>
        <v>301655</v>
      </c>
      <c r="I1706" t="str">
        <f>IFERROR(__xludf.DUMMYFUNCTION("""COMPUTED_VALUE"""),"03/19")</f>
        <v>03/19</v>
      </c>
      <c r="J1706" s="5">
        <f>IFERROR(__xludf.DUMMYFUNCTION("""COMPUTED_VALUE"""),43595.0)</f>
        <v>43595</v>
      </c>
      <c r="K1706">
        <f>IFERROR(__xludf.DUMMYFUNCTION("""COMPUTED_VALUE"""),13.0)</f>
        <v>13</v>
      </c>
      <c r="L1706">
        <f>IFERROR(__xludf.DUMMYFUNCTION("""COMPUTED_VALUE"""),13.0)</f>
        <v>13</v>
      </c>
      <c r="M1706">
        <f>IFERROR(__xludf.DUMMYFUNCTION("""COMPUTED_VALUE"""),26.0)</f>
        <v>26</v>
      </c>
      <c r="N1706" t="str">
        <f>IFERROR(__xludf.DUMMYFUNCTION("""COMPUTED_VALUE"""),"Model 3 SR+")</f>
        <v>Model 3 SR+</v>
      </c>
      <c r="O1706" t="str">
        <f>IFERROR(__xludf.DUMMYFUNCTION("""COMPUTED_VALUE"""),"Solid Black")</f>
        <v>Solid Black</v>
      </c>
      <c r="P1706" t="str">
        <f>IFERROR(__xludf.DUMMYFUNCTION("""COMPUTED_VALUE"""),"18 inch Aero")</f>
        <v>18 inch Aero</v>
      </c>
      <c r="Q1706" t="str">
        <f>IFERROR(__xludf.DUMMYFUNCTION("""COMPUTED_VALUE"""),"White seats")</f>
        <v>White seats</v>
      </c>
      <c r="R1706" t="str">
        <f>IFERROR(__xludf.DUMMYFUNCTION("""COMPUTED_VALUE"""),"Full Self-Driving")</f>
        <v>Full Self-Driving</v>
      </c>
      <c r="AC1706">
        <f>IFERROR(__xludf.DUMMYFUNCTION("""COMPUTED_VALUE"""),1.0)</f>
        <v>1</v>
      </c>
      <c r="AD1706">
        <f>IFERROR(__xludf.DUMMYFUNCTION("""COMPUTED_VALUE"""),1.0)</f>
        <v>1</v>
      </c>
      <c r="AH1706" s="189">
        <f>IFERROR(__xludf.DUMMYFUNCTION("""COMPUTED_VALUE"""),43596.33986204861)</f>
        <v>43596.33986</v>
      </c>
    </row>
    <row r="1707">
      <c r="A1707" t="str">
        <f>IFERROR(__xludf.DUMMYFUNCTION("""COMPUTED_VALUE"""),"jsdugan")</f>
        <v>jsdugan</v>
      </c>
      <c r="B1707" t="str">
        <f>IFERROR(__xludf.DUMMYFUNCTION("""COMPUTED_VALUE"""),"Springfield")</f>
        <v>Springfield</v>
      </c>
      <c r="C1707" t="str">
        <f>IFERROR(__xludf.DUMMYFUNCTION("""COMPUTED_VALUE"""),"IL")</f>
        <v>IL</v>
      </c>
      <c r="D1707" t="str">
        <f>IFERROR(__xludf.DUMMYFUNCTION("""COMPUTED_VALUE"""),"USA")</f>
        <v>USA</v>
      </c>
      <c r="E1707" s="188">
        <f>IFERROR(__xludf.DUMMYFUNCTION("""COMPUTED_VALUE"""),43586.0)</f>
        <v>43586</v>
      </c>
      <c r="F1707" s="188">
        <f>IFERROR(__xludf.DUMMYFUNCTION("""COMPUTED_VALUE"""),43594.0)</f>
        <v>43594</v>
      </c>
      <c r="H1707">
        <f>IFERROR(__xludf.DUMMYFUNCTION("""COMPUTED_VALUE"""),317171.0)</f>
        <v>317171</v>
      </c>
      <c r="I1707" t="str">
        <f>IFERROR(__xludf.DUMMYFUNCTION("""COMPUTED_VALUE"""),"11/18")</f>
        <v>11/18</v>
      </c>
      <c r="J1707" s="5">
        <f>IFERROR(__xludf.DUMMYFUNCTION("""COMPUTED_VALUE"""),43596.0)</f>
        <v>43596</v>
      </c>
      <c r="K1707">
        <f>IFERROR(__xludf.DUMMYFUNCTION("""COMPUTED_VALUE"""),8.0)</f>
        <v>8</v>
      </c>
      <c r="L1707">
        <f>IFERROR(__xludf.DUMMYFUNCTION("""COMPUTED_VALUE"""),2.0)</f>
        <v>2</v>
      </c>
      <c r="M1707">
        <f>IFERROR(__xludf.DUMMYFUNCTION("""COMPUTED_VALUE"""),10.0)</f>
        <v>10</v>
      </c>
      <c r="N1707" t="str">
        <f>IFERROR(__xludf.DUMMYFUNCTION("""COMPUTED_VALUE"""),"Model 3 SR")</f>
        <v>Model 3 SR</v>
      </c>
      <c r="O1707" t="str">
        <f>IFERROR(__xludf.DUMMYFUNCTION("""COMPUTED_VALUE"""),"Midnight Silver Metallic")</f>
        <v>Midnight Silver Metallic</v>
      </c>
      <c r="P1707" t="str">
        <f>IFERROR(__xludf.DUMMYFUNCTION("""COMPUTED_VALUE"""),"18 inch Aero")</f>
        <v>18 inch Aero</v>
      </c>
      <c r="Q1707" t="str">
        <f>IFERROR(__xludf.DUMMYFUNCTION("""COMPUTED_VALUE"""),"Black seats")</f>
        <v>Black seats</v>
      </c>
      <c r="R1707" t="str">
        <f>IFERROR(__xludf.DUMMYFUNCTION("""COMPUTED_VALUE"""),"None")</f>
        <v>None</v>
      </c>
      <c r="X1707" t="str">
        <f>IFERROR(__xludf.DUMMYFUNCTION("""COMPUTED_VALUE"""),"Very Good")</f>
        <v>Very Good</v>
      </c>
      <c r="Y1707" t="str">
        <f>IFERROR(__xludf.DUMMYFUNCTION("""COMPUTED_VALUE"""),"Very Good")</f>
        <v>Very Good</v>
      </c>
      <c r="Z1707" t="str">
        <f>IFERROR(__xludf.DUMMYFUNCTION("""COMPUTED_VALUE"""),"Very Good")</f>
        <v>Very Good</v>
      </c>
      <c r="AA1707" t="str">
        <f>IFERROR(__xludf.DUMMYFUNCTION("""COMPUTED_VALUE"""),"Good")</f>
        <v>Good</v>
      </c>
      <c r="AB1707" t="str">
        <f>IFERROR(__xludf.DUMMYFUNCTION("""COMPUTED_VALUE"""),"Good")</f>
        <v>Good</v>
      </c>
      <c r="AH1707" s="189">
        <f>IFERROR(__xludf.DUMMYFUNCTION("""COMPUTED_VALUE"""),43596.636622314814)</f>
        <v>43596.63662</v>
      </c>
    </row>
    <row r="1708">
      <c r="A1708" t="str">
        <f>IFERROR(__xludf.DUMMYFUNCTION("""COMPUTED_VALUE"""),"Mat85")</f>
        <v>Mat85</v>
      </c>
      <c r="B1708" t="str">
        <f>IFERROR(__xludf.DUMMYFUNCTION("""COMPUTED_VALUE"""),"Kansas City")</f>
        <v>Kansas City</v>
      </c>
      <c r="C1708" t="str">
        <f>IFERROR(__xludf.DUMMYFUNCTION("""COMPUTED_VALUE"""),"KS")</f>
        <v>KS</v>
      </c>
      <c r="D1708" t="str">
        <f>IFERROR(__xludf.DUMMYFUNCTION("""COMPUTED_VALUE"""),"USA")</f>
        <v>USA</v>
      </c>
      <c r="E1708" s="188">
        <f>IFERROR(__xludf.DUMMYFUNCTION("""COMPUTED_VALUE"""),43544.0)</f>
        <v>43544</v>
      </c>
      <c r="F1708" s="188">
        <f>IFERROR(__xludf.DUMMYFUNCTION("""COMPUTED_VALUE"""),43587.0)</f>
        <v>43587</v>
      </c>
      <c r="H1708">
        <f>IFERROR(__xludf.DUMMYFUNCTION("""COMPUTED_VALUE"""),368055.0)</f>
        <v>368055</v>
      </c>
      <c r="J1708" s="5">
        <f>IFERROR(__xludf.DUMMYFUNCTION("""COMPUTED_VALUE"""),43591.0)</f>
        <v>43591</v>
      </c>
      <c r="K1708">
        <f>IFERROR(__xludf.DUMMYFUNCTION("""COMPUTED_VALUE"""),43.0)</f>
        <v>43</v>
      </c>
      <c r="L1708">
        <f>IFERROR(__xludf.DUMMYFUNCTION("""COMPUTED_VALUE"""),4.0)</f>
        <v>4</v>
      </c>
      <c r="M1708">
        <f>IFERROR(__xludf.DUMMYFUNCTION("""COMPUTED_VALUE"""),47.0)</f>
        <v>47</v>
      </c>
      <c r="N1708" t="str">
        <f>IFERROR(__xludf.DUMMYFUNCTION("""COMPUTED_VALUE"""),"Model 3 Performance")</f>
        <v>Model 3 Performance</v>
      </c>
      <c r="O1708" t="str">
        <f>IFERROR(__xludf.DUMMYFUNCTION("""COMPUTED_VALUE"""),"Red Multi-Coat")</f>
        <v>Red Multi-Coat</v>
      </c>
      <c r="P1708" t="str">
        <f>IFERROR(__xludf.DUMMYFUNCTION("""COMPUTED_VALUE"""),"20 inch Sport")</f>
        <v>20 inch Sport</v>
      </c>
      <c r="Q1708" t="str">
        <f>IFERROR(__xludf.DUMMYFUNCTION("""COMPUTED_VALUE"""),"Black seats")</f>
        <v>Black seats</v>
      </c>
      <c r="R1708" t="str">
        <f>IFERROR(__xludf.DUMMYFUNCTION("""COMPUTED_VALUE"""),"Full Self-Driving")</f>
        <v>Full Self-Driving</v>
      </c>
      <c r="X1708" t="str">
        <f>IFERROR(__xludf.DUMMYFUNCTION("""COMPUTED_VALUE"""),"Excellent")</f>
        <v>Excellent</v>
      </c>
      <c r="Y1708" t="str">
        <f>IFERROR(__xludf.DUMMYFUNCTION("""COMPUTED_VALUE"""),"Excellent")</f>
        <v>Excellent</v>
      </c>
      <c r="Z1708" t="str">
        <f>IFERROR(__xludf.DUMMYFUNCTION("""COMPUTED_VALUE"""),"Excellent")</f>
        <v>Excellent</v>
      </c>
      <c r="AA1708" t="str">
        <f>IFERROR(__xludf.DUMMYFUNCTION("""COMPUTED_VALUE"""),"Excellent")</f>
        <v>Excellent</v>
      </c>
      <c r="AB1708" t="str">
        <f>IFERROR(__xludf.DUMMYFUNCTION("""COMPUTED_VALUE"""),"Excellent")</f>
        <v>Excellent</v>
      </c>
      <c r="AH1708" s="189">
        <f>IFERROR(__xludf.DUMMYFUNCTION("""COMPUTED_VALUE"""),43597.50164804398)</f>
        <v>43597.50165</v>
      </c>
    </row>
    <row r="1709">
      <c r="A1709" t="str">
        <f>IFERROR(__xludf.DUMMYFUNCTION("""COMPUTED_VALUE"""),"Eli")</f>
        <v>Eli</v>
      </c>
      <c r="B1709" t="str">
        <f>IFERROR(__xludf.DUMMYFUNCTION("""COMPUTED_VALUE"""),"Erie")</f>
        <v>Erie</v>
      </c>
      <c r="C1709" t="str">
        <f>IFERROR(__xludf.DUMMYFUNCTION("""COMPUTED_VALUE"""),"CO")</f>
        <v>CO</v>
      </c>
      <c r="D1709" t="str">
        <f>IFERROR(__xludf.DUMMYFUNCTION("""COMPUTED_VALUE"""),"USA")</f>
        <v>USA</v>
      </c>
      <c r="E1709" s="188">
        <f>IFERROR(__xludf.DUMMYFUNCTION("""COMPUTED_VALUE"""),43574.0)</f>
        <v>43574</v>
      </c>
      <c r="F1709" s="188">
        <f>IFERROR(__xludf.DUMMYFUNCTION("""COMPUTED_VALUE"""),43586.0)</f>
        <v>43586</v>
      </c>
      <c r="H1709">
        <f>IFERROR(__xludf.DUMMYFUNCTION("""COMPUTED_VALUE"""),237567.0)</f>
        <v>237567</v>
      </c>
      <c r="I1709" t="str">
        <f>IFERROR(__xludf.DUMMYFUNCTION("""COMPUTED_VALUE"""),"04/19")</f>
        <v>04/19</v>
      </c>
      <c r="J1709" s="5">
        <f>IFERROR(__xludf.DUMMYFUNCTION("""COMPUTED_VALUE"""),43592.0)</f>
        <v>43592</v>
      </c>
      <c r="K1709">
        <f>IFERROR(__xludf.DUMMYFUNCTION("""COMPUTED_VALUE"""),12.0)</f>
        <v>12</v>
      </c>
      <c r="L1709">
        <f>IFERROR(__xludf.DUMMYFUNCTION("""COMPUTED_VALUE"""),6.0)</f>
        <v>6</v>
      </c>
      <c r="M1709">
        <f>IFERROR(__xludf.DUMMYFUNCTION("""COMPUTED_VALUE"""),18.0)</f>
        <v>18</v>
      </c>
      <c r="N1709" t="str">
        <f>IFERROR(__xludf.DUMMYFUNCTION("""COMPUTED_VALUE"""),"Model 3 Performance")</f>
        <v>Model 3 Performance</v>
      </c>
      <c r="O1709" t="str">
        <f>IFERROR(__xludf.DUMMYFUNCTION("""COMPUTED_VALUE"""),"Midnight Silver Metallic")</f>
        <v>Midnight Silver Metallic</v>
      </c>
      <c r="P1709" t="str">
        <f>IFERROR(__xludf.DUMMYFUNCTION("""COMPUTED_VALUE"""),"20 inch Sport")</f>
        <v>20 inch Sport</v>
      </c>
      <c r="Q1709" t="str">
        <f>IFERROR(__xludf.DUMMYFUNCTION("""COMPUTED_VALUE"""),"Black seats")</f>
        <v>Black seats</v>
      </c>
      <c r="R1709" t="str">
        <f>IFERROR(__xludf.DUMMYFUNCTION("""COMPUTED_VALUE"""),"Full Self-Driving")</f>
        <v>Full Self-Driving</v>
      </c>
      <c r="X1709" t="str">
        <f>IFERROR(__xludf.DUMMYFUNCTION("""COMPUTED_VALUE"""),"Very Good")</f>
        <v>Very Good</v>
      </c>
      <c r="Y1709" t="str">
        <f>IFERROR(__xludf.DUMMYFUNCTION("""COMPUTED_VALUE"""),"Excellent")</f>
        <v>Excellent</v>
      </c>
      <c r="Z1709" t="str">
        <f>IFERROR(__xludf.DUMMYFUNCTION("""COMPUTED_VALUE"""),"Excellent")</f>
        <v>Excellent</v>
      </c>
      <c r="AA1709" t="str">
        <f>IFERROR(__xludf.DUMMYFUNCTION("""COMPUTED_VALUE"""),"Fair")</f>
        <v>Fair</v>
      </c>
      <c r="AB1709" t="str">
        <f>IFERROR(__xludf.DUMMYFUNCTION("""COMPUTED_VALUE"""),"Good")</f>
        <v>Good</v>
      </c>
      <c r="AG1709" t="str">
        <f>IFERROR(__xludf.DUMMYFUNCTION("""COMPUTED_VALUE"""),"My month/year of manufacture was actually 5/19")</f>
        <v>My month/year of manufacture was actually 5/19</v>
      </c>
      <c r="AH1709" s="189">
        <f>IFERROR(__xludf.DUMMYFUNCTION("""COMPUTED_VALUE"""),43597.56162789352)</f>
        <v>43597.56163</v>
      </c>
    </row>
    <row r="1710">
      <c r="A1710" t="str">
        <f>IFERROR(__xludf.DUMMYFUNCTION("""COMPUTED_VALUE"""),"topgun36")</f>
        <v>topgun36</v>
      </c>
      <c r="B1710" t="str">
        <f>IFERROR(__xludf.DUMMYFUNCTION("""COMPUTED_VALUE"""),"Vancouver")</f>
        <v>Vancouver</v>
      </c>
      <c r="C1710" t="str">
        <f>IFERROR(__xludf.DUMMYFUNCTION("""COMPUTED_VALUE"""),"BC")</f>
        <v>BC</v>
      </c>
      <c r="D1710" t="str">
        <f>IFERROR(__xludf.DUMMYFUNCTION("""COMPUTED_VALUE"""),"Canada")</f>
        <v>Canada</v>
      </c>
      <c r="E1710" s="188">
        <f>IFERROR(__xludf.DUMMYFUNCTION("""COMPUTED_VALUE"""),43541.0)</f>
        <v>43541</v>
      </c>
      <c r="F1710" s="188">
        <f>IFERROR(__xludf.DUMMYFUNCTION("""COMPUTED_VALUE"""),43592.0)</f>
        <v>43592</v>
      </c>
      <c r="H1710">
        <f>IFERROR(__xludf.DUMMYFUNCTION("""COMPUTED_VALUE"""),330255.0)</f>
        <v>330255</v>
      </c>
      <c r="J1710" s="5">
        <f>IFERROR(__xludf.DUMMYFUNCTION("""COMPUTED_VALUE"""),43596.0)</f>
        <v>43596</v>
      </c>
      <c r="K1710">
        <f>IFERROR(__xludf.DUMMYFUNCTION("""COMPUTED_VALUE"""),51.0)</f>
        <v>51</v>
      </c>
      <c r="L1710">
        <f>IFERROR(__xludf.DUMMYFUNCTION("""COMPUTED_VALUE"""),4.0)</f>
        <v>4</v>
      </c>
      <c r="M1710">
        <f>IFERROR(__xludf.DUMMYFUNCTION("""COMPUTED_VALUE"""),55.0)</f>
        <v>55</v>
      </c>
      <c r="N1710" t="str">
        <f>IFERROR(__xludf.DUMMYFUNCTION("""COMPUTED_VALUE"""),"Model 3 LR AWD")</f>
        <v>Model 3 LR AWD</v>
      </c>
      <c r="O1710" t="str">
        <f>IFERROR(__xludf.DUMMYFUNCTION("""COMPUTED_VALUE"""),"Midnight Silver Metallic")</f>
        <v>Midnight Silver Metallic</v>
      </c>
      <c r="P1710" t="str">
        <f>IFERROR(__xludf.DUMMYFUNCTION("""COMPUTED_VALUE"""),"19 inch Sport")</f>
        <v>19 inch Sport</v>
      </c>
      <c r="Q1710" t="str">
        <f>IFERROR(__xludf.DUMMYFUNCTION("""COMPUTED_VALUE"""),"Black seats")</f>
        <v>Black seats</v>
      </c>
      <c r="R1710" t="str">
        <f>IFERROR(__xludf.DUMMYFUNCTION("""COMPUTED_VALUE"""),"Autopilot")</f>
        <v>Autopilot</v>
      </c>
      <c r="X1710" t="str">
        <f>IFERROR(__xludf.DUMMYFUNCTION("""COMPUTED_VALUE"""),"Excellent")</f>
        <v>Excellent</v>
      </c>
      <c r="Y1710" t="str">
        <f>IFERROR(__xludf.DUMMYFUNCTION("""COMPUTED_VALUE"""),"Excellent")</f>
        <v>Excellent</v>
      </c>
      <c r="Z1710" t="str">
        <f>IFERROR(__xludf.DUMMYFUNCTION("""COMPUTED_VALUE"""),"Excellent")</f>
        <v>Excellent</v>
      </c>
      <c r="AA1710" t="str">
        <f>IFERROR(__xludf.DUMMYFUNCTION("""COMPUTED_VALUE"""),"Poor")</f>
        <v>Poor</v>
      </c>
      <c r="AB1710" t="str">
        <f>IFERROR(__xludf.DUMMYFUNCTION("""COMPUTED_VALUE"""),"Poor")</f>
        <v>Poor</v>
      </c>
      <c r="AH1710" s="189">
        <f>IFERROR(__xludf.DUMMYFUNCTION("""COMPUTED_VALUE"""),43597.90180414352)</f>
        <v>43597.9018</v>
      </c>
    </row>
    <row r="1711">
      <c r="A1711" t="str">
        <f>IFERROR(__xludf.DUMMYFUNCTION("""COMPUTED_VALUE"""),"SquirtCow")</f>
        <v>SquirtCow</v>
      </c>
      <c r="B1711" t="str">
        <f>IFERROR(__xludf.DUMMYFUNCTION("""COMPUTED_VALUE"""),"Bergen")</f>
        <v>Bergen</v>
      </c>
      <c r="D1711" t="str">
        <f>IFERROR(__xludf.DUMMYFUNCTION("""COMPUTED_VALUE"""),"Norway")</f>
        <v>Norway</v>
      </c>
      <c r="E1711" s="188">
        <f>IFERROR(__xludf.DUMMYFUNCTION("""COMPUTED_VALUE"""),43588.0)</f>
        <v>43588</v>
      </c>
      <c r="F1711" s="188">
        <f>IFERROR(__xludf.DUMMYFUNCTION("""COMPUTED_VALUE"""),43598.0)</f>
        <v>43598</v>
      </c>
      <c r="H1711">
        <f>IFERROR(__xludf.DUMMYFUNCTION("""COMPUTED_VALUE"""),234027.0)</f>
        <v>234027</v>
      </c>
      <c r="J1711" s="5">
        <f>IFERROR(__xludf.DUMMYFUNCTION("""COMPUTED_VALUE"""),43609.0)</f>
        <v>43609</v>
      </c>
      <c r="K1711">
        <f>IFERROR(__xludf.DUMMYFUNCTION("""COMPUTED_VALUE"""),10.0)</f>
        <v>10</v>
      </c>
      <c r="L1711">
        <f>IFERROR(__xludf.DUMMYFUNCTION("""COMPUTED_VALUE"""),11.0)</f>
        <v>11</v>
      </c>
      <c r="M1711">
        <f>IFERROR(__xludf.DUMMYFUNCTION("""COMPUTED_VALUE"""),21.0)</f>
        <v>21</v>
      </c>
      <c r="N1711" t="str">
        <f>IFERROR(__xludf.DUMMYFUNCTION("""COMPUTED_VALUE"""),"Model 3 LR AWD")</f>
        <v>Model 3 LR AWD</v>
      </c>
      <c r="O1711" t="str">
        <f>IFERROR(__xludf.DUMMYFUNCTION("""COMPUTED_VALUE"""),"Red Multi-Coat")</f>
        <v>Red Multi-Coat</v>
      </c>
      <c r="P1711" t="str">
        <f>IFERROR(__xludf.DUMMYFUNCTION("""COMPUTED_VALUE"""),"18 inch Aero")</f>
        <v>18 inch Aero</v>
      </c>
      <c r="Q1711" t="str">
        <f>IFERROR(__xludf.DUMMYFUNCTION("""COMPUTED_VALUE"""),"Black seats")</f>
        <v>Black seats</v>
      </c>
      <c r="R1711" t="str">
        <f>IFERROR(__xludf.DUMMYFUNCTION("""COMPUTED_VALUE"""),"Autopilot")</f>
        <v>Autopilot</v>
      </c>
      <c r="X1711" t="str">
        <f>IFERROR(__xludf.DUMMYFUNCTION("""COMPUTED_VALUE"""),"Excellent")</f>
        <v>Excellent</v>
      </c>
      <c r="Y1711" t="str">
        <f>IFERROR(__xludf.DUMMYFUNCTION("""COMPUTED_VALUE"""),"Excellent")</f>
        <v>Excellent</v>
      </c>
      <c r="Z1711" t="str">
        <f>IFERROR(__xludf.DUMMYFUNCTION("""COMPUTED_VALUE"""),"Excellent")</f>
        <v>Excellent</v>
      </c>
      <c r="AA1711" t="str">
        <f>IFERROR(__xludf.DUMMYFUNCTION("""COMPUTED_VALUE"""),"Excellent")</f>
        <v>Excellent</v>
      </c>
      <c r="AB1711" t="str">
        <f>IFERROR(__xludf.DUMMYFUNCTION("""COMPUTED_VALUE"""),"Excellent")</f>
        <v>Excellent</v>
      </c>
      <c r="AH1711" s="189">
        <f>IFERROR(__xludf.DUMMYFUNCTION("""COMPUTED_VALUE"""),43599.36343462963)</f>
        <v>43599.36343</v>
      </c>
    </row>
    <row r="1712">
      <c r="A1712" t="str">
        <f>IFERROR(__xludf.DUMMYFUNCTION("""COMPUTED_VALUE"""),"jayfrank")</f>
        <v>jayfrank</v>
      </c>
      <c r="C1712" t="str">
        <f>IFERROR(__xludf.DUMMYFUNCTION("""COMPUTED_VALUE"""),"MD")</f>
        <v>MD</v>
      </c>
      <c r="D1712" t="str">
        <f>IFERROR(__xludf.DUMMYFUNCTION("""COMPUTED_VALUE"""),"USA")</f>
        <v>USA</v>
      </c>
      <c r="E1712" s="188">
        <f>IFERROR(__xludf.DUMMYFUNCTION("""COMPUTED_VALUE"""),43568.0)</f>
        <v>43568</v>
      </c>
      <c r="F1712" s="188">
        <f>IFERROR(__xludf.DUMMYFUNCTION("""COMPUTED_VALUE"""),43585.0)</f>
        <v>43585</v>
      </c>
      <c r="J1712" s="5">
        <f>IFERROR(__xludf.DUMMYFUNCTION("""COMPUTED_VALUE"""),43599.0)</f>
        <v>43599</v>
      </c>
      <c r="K1712">
        <f>IFERROR(__xludf.DUMMYFUNCTION("""COMPUTED_VALUE"""),17.0)</f>
        <v>17</v>
      </c>
      <c r="L1712">
        <f>IFERROR(__xludf.DUMMYFUNCTION("""COMPUTED_VALUE"""),14.0)</f>
        <v>14</v>
      </c>
      <c r="M1712">
        <f>IFERROR(__xludf.DUMMYFUNCTION("""COMPUTED_VALUE"""),31.0)</f>
        <v>31</v>
      </c>
      <c r="N1712" t="str">
        <f>IFERROR(__xludf.DUMMYFUNCTION("""COMPUTED_VALUE"""),"Model 3 Performance")</f>
        <v>Model 3 Performance</v>
      </c>
      <c r="O1712" t="str">
        <f>IFERROR(__xludf.DUMMYFUNCTION("""COMPUTED_VALUE"""),"Deep Blue Metallic")</f>
        <v>Deep Blue Metallic</v>
      </c>
      <c r="P1712" t="str">
        <f>IFERROR(__xludf.DUMMYFUNCTION("""COMPUTED_VALUE"""),"20 inch Sport")</f>
        <v>20 inch Sport</v>
      </c>
      <c r="Q1712" t="str">
        <f>IFERROR(__xludf.DUMMYFUNCTION("""COMPUTED_VALUE"""),"Black seats")</f>
        <v>Black seats</v>
      </c>
      <c r="R1712" t="str">
        <f>IFERROR(__xludf.DUMMYFUNCTION("""COMPUTED_VALUE"""),"Full Self-Driving")</f>
        <v>Full Self-Driving</v>
      </c>
      <c r="X1712" t="str">
        <f>IFERROR(__xludf.DUMMYFUNCTION("""COMPUTED_VALUE"""),"Excellent")</f>
        <v>Excellent</v>
      </c>
      <c r="Y1712" t="str">
        <f>IFERROR(__xludf.DUMMYFUNCTION("""COMPUTED_VALUE"""),"Excellent")</f>
        <v>Excellent</v>
      </c>
      <c r="Z1712" t="str">
        <f>IFERROR(__xludf.DUMMYFUNCTION("""COMPUTED_VALUE"""),"Excellent")</f>
        <v>Excellent</v>
      </c>
      <c r="AA1712" t="str">
        <f>IFERROR(__xludf.DUMMYFUNCTION("""COMPUTED_VALUE"""),"Good")</f>
        <v>Good</v>
      </c>
      <c r="AB1712" t="str">
        <f>IFERROR(__xludf.DUMMYFUNCTION("""COMPUTED_VALUE"""),"Excellent")</f>
        <v>Excellent</v>
      </c>
      <c r="AG1712" t="str">
        <f>IFERROR(__xludf.DUMMYFUNCTION("""COMPUTED_VALUE"""),"Quoted 2-5 weeks.")</f>
        <v>Quoted 2-5 weeks.</v>
      </c>
      <c r="AH1712" s="189">
        <f>IFERROR(__xludf.DUMMYFUNCTION("""COMPUTED_VALUE"""),43599.60530938658)</f>
        <v>43599.60531</v>
      </c>
    </row>
    <row r="1713">
      <c r="A1713" t="str">
        <f>IFERROR(__xludf.DUMMYFUNCTION("""COMPUTED_VALUE"""),"guarapo")</f>
        <v>guarapo</v>
      </c>
      <c r="B1713" t="str">
        <f>IFERROR(__xludf.DUMMYFUNCTION("""COMPUTED_VALUE"""),"Houston")</f>
        <v>Houston</v>
      </c>
      <c r="C1713" t="str">
        <f>IFERROR(__xludf.DUMMYFUNCTION("""COMPUTED_VALUE"""),"TX")</f>
        <v>TX</v>
      </c>
      <c r="D1713" t="str">
        <f>IFERROR(__xludf.DUMMYFUNCTION("""COMPUTED_VALUE"""),"USA")</f>
        <v>USA</v>
      </c>
      <c r="E1713" s="188">
        <f>IFERROR(__xludf.DUMMYFUNCTION("""COMPUTED_VALUE"""),43566.0)</f>
        <v>43566</v>
      </c>
      <c r="F1713" s="188">
        <f>IFERROR(__xludf.DUMMYFUNCTION("""COMPUTED_VALUE"""),43592.0)</f>
        <v>43592</v>
      </c>
      <c r="H1713">
        <f>IFERROR(__xludf.DUMMYFUNCTION("""COMPUTED_VALUE"""),312255.0)</f>
        <v>312255</v>
      </c>
      <c r="J1713" s="5">
        <f>IFERROR(__xludf.DUMMYFUNCTION("""COMPUTED_VALUE"""),43599.0)</f>
        <v>43599</v>
      </c>
      <c r="K1713">
        <f>IFERROR(__xludf.DUMMYFUNCTION("""COMPUTED_VALUE"""),26.0)</f>
        <v>26</v>
      </c>
      <c r="L1713">
        <f>IFERROR(__xludf.DUMMYFUNCTION("""COMPUTED_VALUE"""),7.0)</f>
        <v>7</v>
      </c>
      <c r="M1713">
        <f>IFERROR(__xludf.DUMMYFUNCTION("""COMPUTED_VALUE"""),33.0)</f>
        <v>33</v>
      </c>
      <c r="N1713" t="str">
        <f>IFERROR(__xludf.DUMMYFUNCTION("""COMPUTED_VALUE"""),"Model 3 SR+")</f>
        <v>Model 3 SR+</v>
      </c>
      <c r="O1713" t="str">
        <f>IFERROR(__xludf.DUMMYFUNCTION("""COMPUTED_VALUE"""),"Red Multi-Coat")</f>
        <v>Red Multi-Coat</v>
      </c>
      <c r="P1713" t="str">
        <f>IFERROR(__xludf.DUMMYFUNCTION("""COMPUTED_VALUE"""),"18 inch Aero")</f>
        <v>18 inch Aero</v>
      </c>
      <c r="Q1713" t="str">
        <f>IFERROR(__xludf.DUMMYFUNCTION("""COMPUTED_VALUE"""),"White seats")</f>
        <v>White seats</v>
      </c>
      <c r="R1713" t="str">
        <f>IFERROR(__xludf.DUMMYFUNCTION("""COMPUTED_VALUE"""),"Autopilot")</f>
        <v>Autopilot</v>
      </c>
      <c r="X1713" t="str">
        <f>IFERROR(__xludf.DUMMYFUNCTION("""COMPUTED_VALUE"""),"Very Good")</f>
        <v>Very Good</v>
      </c>
      <c r="Y1713" t="str">
        <f>IFERROR(__xludf.DUMMYFUNCTION("""COMPUTED_VALUE"""),"Very Good")</f>
        <v>Very Good</v>
      </c>
      <c r="Z1713" t="str">
        <f>IFERROR(__xludf.DUMMYFUNCTION("""COMPUTED_VALUE"""),"Fair")</f>
        <v>Fair</v>
      </c>
      <c r="AA1713" t="str">
        <f>IFERROR(__xludf.DUMMYFUNCTION("""COMPUTED_VALUE"""),"Good")</f>
        <v>Good</v>
      </c>
      <c r="AB1713" t="str">
        <f>IFERROR(__xludf.DUMMYFUNCTION("""COMPUTED_VALUE"""),"Fair")</f>
        <v>Fair</v>
      </c>
      <c r="AH1713" s="189">
        <f>IFERROR(__xludf.DUMMYFUNCTION("""COMPUTED_VALUE"""),43599.86769028935)</f>
        <v>43599.86769</v>
      </c>
    </row>
    <row r="1714">
      <c r="A1714" t="str">
        <f>IFERROR(__xludf.DUMMYFUNCTION("""COMPUTED_VALUE"""),"THREADER")</f>
        <v>THREADER</v>
      </c>
      <c r="B1714" t="str">
        <f>IFERROR(__xludf.DUMMYFUNCTION("""COMPUTED_VALUE"""),"Montreal")</f>
        <v>Montreal</v>
      </c>
      <c r="C1714" t="str">
        <f>IFERROR(__xludf.DUMMYFUNCTION("""COMPUTED_VALUE"""),"QC")</f>
        <v>QC</v>
      </c>
      <c r="D1714" t="str">
        <f>IFERROR(__xludf.DUMMYFUNCTION("""COMPUTED_VALUE"""),"Canada")</f>
        <v>Canada</v>
      </c>
      <c r="E1714" s="188">
        <f>IFERROR(__xludf.DUMMYFUNCTION("""COMPUTED_VALUE"""),43569.0)</f>
        <v>43569</v>
      </c>
      <c r="F1714" s="188">
        <f>IFERROR(__xludf.DUMMYFUNCTION("""COMPUTED_VALUE"""),43592.0)</f>
        <v>43592</v>
      </c>
      <c r="H1714">
        <f>IFERROR(__xludf.DUMMYFUNCTION("""COMPUTED_VALUE"""),352155.0)</f>
        <v>352155</v>
      </c>
      <c r="J1714" s="5">
        <f>IFERROR(__xludf.DUMMYFUNCTION("""COMPUTED_VALUE"""),43599.0)</f>
        <v>43599</v>
      </c>
      <c r="K1714">
        <f>IFERROR(__xludf.DUMMYFUNCTION("""COMPUTED_VALUE"""),23.0)</f>
        <v>23</v>
      </c>
      <c r="L1714">
        <f>IFERROR(__xludf.DUMMYFUNCTION("""COMPUTED_VALUE"""),7.0)</f>
        <v>7</v>
      </c>
      <c r="M1714">
        <f>IFERROR(__xludf.DUMMYFUNCTION("""COMPUTED_VALUE"""),30.0)</f>
        <v>30</v>
      </c>
      <c r="N1714" t="str">
        <f>IFERROR(__xludf.DUMMYFUNCTION("""COMPUTED_VALUE"""),"Model 3 SR+")</f>
        <v>Model 3 SR+</v>
      </c>
      <c r="O1714" t="str">
        <f>IFERROR(__xludf.DUMMYFUNCTION("""COMPUTED_VALUE"""),"Deep Blue Metallic")</f>
        <v>Deep Blue Metallic</v>
      </c>
      <c r="P1714" t="str">
        <f>IFERROR(__xludf.DUMMYFUNCTION("""COMPUTED_VALUE"""),"18 inch Aero")</f>
        <v>18 inch Aero</v>
      </c>
      <c r="Q1714" t="str">
        <f>IFERROR(__xludf.DUMMYFUNCTION("""COMPUTED_VALUE"""),"Black seats")</f>
        <v>Black seats</v>
      </c>
      <c r="R1714" t="str">
        <f>IFERROR(__xludf.DUMMYFUNCTION("""COMPUTED_VALUE"""),"Full Self-Driving")</f>
        <v>Full Self-Driving</v>
      </c>
      <c r="X1714" t="str">
        <f>IFERROR(__xludf.DUMMYFUNCTION("""COMPUTED_VALUE"""),"Excellent")</f>
        <v>Excellent</v>
      </c>
      <c r="Y1714" t="str">
        <f>IFERROR(__xludf.DUMMYFUNCTION("""COMPUTED_VALUE"""),"Very Good")</f>
        <v>Very Good</v>
      </c>
      <c r="Z1714" t="str">
        <f>IFERROR(__xludf.DUMMYFUNCTION("""COMPUTED_VALUE"""),"Good")</f>
        <v>Good</v>
      </c>
      <c r="AA1714" t="str">
        <f>IFERROR(__xludf.DUMMYFUNCTION("""COMPUTED_VALUE"""),"Excellent")</f>
        <v>Excellent</v>
      </c>
      <c r="AB1714" t="str">
        <f>IFERROR(__xludf.DUMMYFUNCTION("""COMPUTED_VALUE"""),"Excellent")</f>
        <v>Excellent</v>
      </c>
      <c r="AC1714">
        <f>IFERROR(__xludf.DUMMYFUNCTION("""COMPUTED_VALUE"""),3.0)</f>
        <v>3</v>
      </c>
      <c r="AG1714" t="str">
        <f>IFERROR(__xludf.DUMMYFUNCTION("""COMPUTED_VALUE"""),"a few paint pimples (6)")</f>
        <v>a few paint pimples (6)</v>
      </c>
      <c r="AH1714" s="189">
        <f>IFERROR(__xludf.DUMMYFUNCTION("""COMPUTED_VALUE"""),43600.130731377314)</f>
        <v>43600.13073</v>
      </c>
    </row>
    <row r="1715">
      <c r="A1715" t="str">
        <f>IFERROR(__xludf.DUMMYFUNCTION("""COMPUTED_VALUE"""),"not4another")</f>
        <v>not4another</v>
      </c>
      <c r="B1715" t="str">
        <f>IFERROR(__xludf.DUMMYFUNCTION("""COMPUTED_VALUE"""),"Los Angeles")</f>
        <v>Los Angeles</v>
      </c>
      <c r="C1715" t="str">
        <f>IFERROR(__xludf.DUMMYFUNCTION("""COMPUTED_VALUE"""),"CA")</f>
        <v>CA</v>
      </c>
      <c r="D1715" t="str">
        <f>IFERROR(__xludf.DUMMYFUNCTION("""COMPUTED_VALUE"""),"USA")</f>
        <v>USA</v>
      </c>
      <c r="E1715" s="188">
        <f>IFERROR(__xludf.DUMMYFUNCTION("""COMPUTED_VALUE"""),43591.0)</f>
        <v>43591</v>
      </c>
      <c r="F1715" s="188">
        <f>IFERROR(__xludf.DUMMYFUNCTION("""COMPUTED_VALUE"""),43592.0)</f>
        <v>43592</v>
      </c>
      <c r="H1715">
        <f>IFERROR(__xludf.DUMMYFUNCTION("""COMPUTED_VALUE"""),316658.0)</f>
        <v>316658</v>
      </c>
      <c r="I1715" t="str">
        <f>IFERROR(__xludf.DUMMYFUNCTION("""COMPUTED_VALUE"""),"04/19")</f>
        <v>04/19</v>
      </c>
      <c r="J1715" s="5">
        <f>IFERROR(__xludf.DUMMYFUNCTION("""COMPUTED_VALUE"""),43595.0)</f>
        <v>43595</v>
      </c>
      <c r="K1715">
        <f>IFERROR(__xludf.DUMMYFUNCTION("""COMPUTED_VALUE"""),1.0)</f>
        <v>1</v>
      </c>
      <c r="L1715">
        <f>IFERROR(__xludf.DUMMYFUNCTION("""COMPUTED_VALUE"""),3.0)</f>
        <v>3</v>
      </c>
      <c r="M1715">
        <f>IFERROR(__xludf.DUMMYFUNCTION("""COMPUTED_VALUE"""),4.0)</f>
        <v>4</v>
      </c>
      <c r="N1715" t="str">
        <f>IFERROR(__xludf.DUMMYFUNCTION("""COMPUTED_VALUE"""),"Model 3 SR+")</f>
        <v>Model 3 SR+</v>
      </c>
      <c r="O1715" t="str">
        <f>IFERROR(__xludf.DUMMYFUNCTION("""COMPUTED_VALUE"""),"Solid Black")</f>
        <v>Solid Black</v>
      </c>
      <c r="P1715" t="str">
        <f>IFERROR(__xludf.DUMMYFUNCTION("""COMPUTED_VALUE"""),"18 inch Aero")</f>
        <v>18 inch Aero</v>
      </c>
      <c r="Q1715" t="str">
        <f>IFERROR(__xludf.DUMMYFUNCTION("""COMPUTED_VALUE"""),"Black seats")</f>
        <v>Black seats</v>
      </c>
      <c r="R1715" t="str">
        <f>IFERROR(__xludf.DUMMYFUNCTION("""COMPUTED_VALUE"""),"Full Self-Driving")</f>
        <v>Full Self-Driving</v>
      </c>
      <c r="X1715" t="str">
        <f>IFERROR(__xludf.DUMMYFUNCTION("""COMPUTED_VALUE"""),"Good")</f>
        <v>Good</v>
      </c>
      <c r="Y1715" t="str">
        <f>IFERROR(__xludf.DUMMYFUNCTION("""COMPUTED_VALUE"""),"Good")</f>
        <v>Good</v>
      </c>
      <c r="Z1715" t="str">
        <f>IFERROR(__xludf.DUMMYFUNCTION("""COMPUTED_VALUE"""),"Poor")</f>
        <v>Poor</v>
      </c>
      <c r="AA1715" t="str">
        <f>IFERROR(__xludf.DUMMYFUNCTION("""COMPUTED_VALUE"""),"Poor")</f>
        <v>Poor</v>
      </c>
      <c r="AB1715" t="str">
        <f>IFERROR(__xludf.DUMMYFUNCTION("""COMPUTED_VALUE"""),"Poor")</f>
        <v>Poor</v>
      </c>
      <c r="AG1715" t="str">
        <f>IFERROR(__xludf.DUMMYFUNCTION("""COMPUTED_VALUE"""),"I returned the vehicle due to poor SC service")</f>
        <v>I returned the vehicle due to poor SC service</v>
      </c>
      <c r="AH1715" s="189">
        <f>IFERROR(__xludf.DUMMYFUNCTION("""COMPUTED_VALUE"""),43600.76006461805)</f>
        <v>43600.76006</v>
      </c>
    </row>
    <row r="1716">
      <c r="A1716" t="str">
        <f>IFERROR(__xludf.DUMMYFUNCTION("""COMPUTED_VALUE"""),"Z3r0")</f>
        <v>Z3r0</v>
      </c>
      <c r="B1716" t="str">
        <f>IFERROR(__xludf.DUMMYFUNCTION("""COMPUTED_VALUE"""),"Honolulu")</f>
        <v>Honolulu</v>
      </c>
      <c r="C1716" t="str">
        <f>IFERROR(__xludf.DUMMYFUNCTION("""COMPUTED_VALUE"""),"HI")</f>
        <v>HI</v>
      </c>
      <c r="D1716" t="str">
        <f>IFERROR(__xludf.DUMMYFUNCTION("""COMPUTED_VALUE"""),"USA")</f>
        <v>USA</v>
      </c>
      <c r="E1716" s="188">
        <f>IFERROR(__xludf.DUMMYFUNCTION("""COMPUTED_VALUE"""),43576.0)</f>
        <v>43576</v>
      </c>
      <c r="F1716" s="188">
        <f>IFERROR(__xludf.DUMMYFUNCTION("""COMPUTED_VALUE"""),43581.0)</f>
        <v>43581</v>
      </c>
      <c r="H1716">
        <f>IFERROR(__xludf.DUMMYFUNCTION("""COMPUTED_VALUE"""),365155.0)</f>
        <v>365155</v>
      </c>
      <c r="J1716" s="5">
        <f>IFERROR(__xludf.DUMMYFUNCTION("""COMPUTED_VALUE"""),43600.0)</f>
        <v>43600</v>
      </c>
      <c r="K1716">
        <f>IFERROR(__xludf.DUMMYFUNCTION("""COMPUTED_VALUE"""),5.0)</f>
        <v>5</v>
      </c>
      <c r="L1716">
        <f>IFERROR(__xludf.DUMMYFUNCTION("""COMPUTED_VALUE"""),19.0)</f>
        <v>19</v>
      </c>
      <c r="M1716">
        <f>IFERROR(__xludf.DUMMYFUNCTION("""COMPUTED_VALUE"""),24.0)</f>
        <v>24</v>
      </c>
      <c r="N1716" t="str">
        <f>IFERROR(__xludf.DUMMYFUNCTION("""COMPUTED_VALUE"""),"Model 3 LR AWD")</f>
        <v>Model 3 LR AWD</v>
      </c>
      <c r="O1716" t="str">
        <f>IFERROR(__xludf.DUMMYFUNCTION("""COMPUTED_VALUE"""),"Pearl White Multi-Coat")</f>
        <v>Pearl White Multi-Coat</v>
      </c>
      <c r="P1716" t="str">
        <f>IFERROR(__xludf.DUMMYFUNCTION("""COMPUTED_VALUE"""),"19 inch Sport")</f>
        <v>19 inch Sport</v>
      </c>
      <c r="Q1716" t="str">
        <f>IFERROR(__xludf.DUMMYFUNCTION("""COMPUTED_VALUE"""),"Black seats")</f>
        <v>Black seats</v>
      </c>
      <c r="R1716" t="str">
        <f>IFERROR(__xludf.DUMMYFUNCTION("""COMPUTED_VALUE"""),"Full Self-Driving")</f>
        <v>Full Self-Driving</v>
      </c>
      <c r="X1716" t="str">
        <f>IFERROR(__xludf.DUMMYFUNCTION("""COMPUTED_VALUE"""),"Excellent")</f>
        <v>Excellent</v>
      </c>
      <c r="Y1716" t="str">
        <f>IFERROR(__xludf.DUMMYFUNCTION("""COMPUTED_VALUE"""),"Excellent")</f>
        <v>Excellent</v>
      </c>
      <c r="Z1716" t="str">
        <f>IFERROR(__xludf.DUMMYFUNCTION("""COMPUTED_VALUE"""),"Good")</f>
        <v>Good</v>
      </c>
      <c r="AA1716" t="str">
        <f>IFERROR(__xludf.DUMMYFUNCTION("""COMPUTED_VALUE"""),"Poor")</f>
        <v>Poor</v>
      </c>
      <c r="AB1716" t="str">
        <f>IFERROR(__xludf.DUMMYFUNCTION("""COMPUTED_VALUE"""),"Poor")</f>
        <v>Poor</v>
      </c>
      <c r="AC1716">
        <f>IFERROR(__xludf.DUMMYFUNCTION("""COMPUTED_VALUE"""),3.0)</f>
        <v>3</v>
      </c>
      <c r="AH1716" s="189">
        <f>IFERROR(__xludf.DUMMYFUNCTION("""COMPUTED_VALUE"""),43600.99604465278)</f>
        <v>43600.99604</v>
      </c>
    </row>
    <row r="1717">
      <c r="A1717" t="str">
        <f>IFERROR(__xludf.DUMMYFUNCTION("""COMPUTED_VALUE"""),"Graham110")</f>
        <v>Graham110</v>
      </c>
      <c r="B1717" t="str">
        <f>IFERROR(__xludf.DUMMYFUNCTION("""COMPUTED_VALUE"""),"Washington")</f>
        <v>Washington</v>
      </c>
      <c r="C1717" t="str">
        <f>IFERROR(__xludf.DUMMYFUNCTION("""COMPUTED_VALUE"""),"DC")</f>
        <v>DC</v>
      </c>
      <c r="D1717" t="str">
        <f>IFERROR(__xludf.DUMMYFUNCTION("""COMPUTED_VALUE"""),"USA")</f>
        <v>USA</v>
      </c>
      <c r="E1717" s="188">
        <f>IFERROR(__xludf.DUMMYFUNCTION("""COMPUTED_VALUE"""),43585.0)</f>
        <v>43585</v>
      </c>
      <c r="F1717" s="188">
        <f>IFERROR(__xludf.DUMMYFUNCTION("""COMPUTED_VALUE"""),43591.0)</f>
        <v>43591</v>
      </c>
      <c r="H1717">
        <f>IFERROR(__xludf.DUMMYFUNCTION("""COMPUTED_VALUE"""),213569.0)</f>
        <v>213569</v>
      </c>
      <c r="J1717" s="5">
        <f>IFERROR(__xludf.DUMMYFUNCTION("""COMPUTED_VALUE"""),43599.0)</f>
        <v>43599</v>
      </c>
      <c r="K1717">
        <f>IFERROR(__xludf.DUMMYFUNCTION("""COMPUTED_VALUE"""),6.0)</f>
        <v>6</v>
      </c>
      <c r="L1717">
        <f>IFERROR(__xludf.DUMMYFUNCTION("""COMPUTED_VALUE"""),8.0)</f>
        <v>8</v>
      </c>
      <c r="M1717">
        <f>IFERROR(__xludf.DUMMYFUNCTION("""COMPUTED_VALUE"""),14.0)</f>
        <v>14</v>
      </c>
      <c r="N1717" t="str">
        <f>IFERROR(__xludf.DUMMYFUNCTION("""COMPUTED_VALUE"""),"Model 3 LR AWD")</f>
        <v>Model 3 LR AWD</v>
      </c>
      <c r="O1717" t="str">
        <f>IFERROR(__xludf.DUMMYFUNCTION("""COMPUTED_VALUE"""),"Deep Blue Metallic")</f>
        <v>Deep Blue Metallic</v>
      </c>
      <c r="P1717" t="str">
        <f>IFERROR(__xludf.DUMMYFUNCTION("""COMPUTED_VALUE"""),"18 inch Aero")</f>
        <v>18 inch Aero</v>
      </c>
      <c r="Q1717" t="str">
        <f>IFERROR(__xludf.DUMMYFUNCTION("""COMPUTED_VALUE"""),"White seats")</f>
        <v>White seats</v>
      </c>
      <c r="R1717" t="str">
        <f>IFERROR(__xludf.DUMMYFUNCTION("""COMPUTED_VALUE"""),"Autopilot")</f>
        <v>Autopilot</v>
      </c>
      <c r="X1717" t="str">
        <f>IFERROR(__xludf.DUMMYFUNCTION("""COMPUTED_VALUE"""),"Very Good")</f>
        <v>Very Good</v>
      </c>
      <c r="Y1717" t="str">
        <f>IFERROR(__xludf.DUMMYFUNCTION("""COMPUTED_VALUE"""),"Excellent")</f>
        <v>Excellent</v>
      </c>
      <c r="Z1717" t="str">
        <f>IFERROR(__xludf.DUMMYFUNCTION("""COMPUTED_VALUE"""),"Excellent")</f>
        <v>Excellent</v>
      </c>
      <c r="AA1717" t="str">
        <f>IFERROR(__xludf.DUMMYFUNCTION("""COMPUTED_VALUE"""),"Very Good")</f>
        <v>Very Good</v>
      </c>
      <c r="AB1717" t="str">
        <f>IFERROR(__xludf.DUMMYFUNCTION("""COMPUTED_VALUE"""),"Excellent")</f>
        <v>Excellent</v>
      </c>
      <c r="AH1717" s="189">
        <f>IFERROR(__xludf.DUMMYFUNCTION("""COMPUTED_VALUE"""),43601.46916190972)</f>
        <v>43601.46916</v>
      </c>
    </row>
    <row r="1718">
      <c r="A1718" t="str">
        <f>IFERROR(__xludf.DUMMYFUNCTION("""COMPUTED_VALUE"""),"cbelze")</f>
        <v>cbelze</v>
      </c>
      <c r="B1718" t="str">
        <f>IFERROR(__xludf.DUMMYFUNCTION("""COMPUTED_VALUE"""),"Wedemark Elze")</f>
        <v>Wedemark Elze</v>
      </c>
      <c r="D1718" t="str">
        <f>IFERROR(__xludf.DUMMYFUNCTION("""COMPUTED_VALUE"""),"Germany")</f>
        <v>Germany</v>
      </c>
      <c r="E1718" s="188">
        <f>IFERROR(__xludf.DUMMYFUNCTION("""COMPUTED_VALUE"""),43455.0)</f>
        <v>43455</v>
      </c>
      <c r="F1718" s="188">
        <f>IFERROR(__xludf.DUMMYFUNCTION("""COMPUTED_VALUE"""),43544.0)</f>
        <v>43544</v>
      </c>
      <c r="H1718">
        <f>IFERROR(__xludf.DUMMYFUNCTION("""COMPUTED_VALUE"""),241955.0)</f>
        <v>241955</v>
      </c>
      <c r="J1718" s="5">
        <f>IFERROR(__xludf.DUMMYFUNCTION("""COMPUTED_VALUE"""),43551.0)</f>
        <v>43551</v>
      </c>
      <c r="K1718">
        <f>IFERROR(__xludf.DUMMYFUNCTION("""COMPUTED_VALUE"""),89.0)</f>
        <v>89</v>
      </c>
      <c r="L1718">
        <f>IFERROR(__xludf.DUMMYFUNCTION("""COMPUTED_VALUE"""),7.0)</f>
        <v>7</v>
      </c>
      <c r="M1718">
        <f>IFERROR(__xludf.DUMMYFUNCTION("""COMPUTED_VALUE"""),96.0)</f>
        <v>96</v>
      </c>
      <c r="N1718" t="str">
        <f>IFERROR(__xludf.DUMMYFUNCTION("""COMPUTED_VALUE"""),"Model 3 LR AWD")</f>
        <v>Model 3 LR AWD</v>
      </c>
      <c r="O1718" t="str">
        <f>IFERROR(__xludf.DUMMYFUNCTION("""COMPUTED_VALUE"""),"Midnight Silver Metallic")</f>
        <v>Midnight Silver Metallic</v>
      </c>
      <c r="P1718" t="str">
        <f>IFERROR(__xludf.DUMMYFUNCTION("""COMPUTED_VALUE"""),"19 inch Sport")</f>
        <v>19 inch Sport</v>
      </c>
      <c r="Q1718" t="str">
        <f>IFERROR(__xludf.DUMMYFUNCTION("""COMPUTED_VALUE"""),"Black seats")</f>
        <v>Black seats</v>
      </c>
      <c r="R1718" t="str">
        <f>IFERROR(__xludf.DUMMYFUNCTION("""COMPUTED_VALUE"""),"Autopilot")</f>
        <v>Autopilot</v>
      </c>
      <c r="X1718" t="str">
        <f>IFERROR(__xludf.DUMMYFUNCTION("""COMPUTED_VALUE"""),"Very Good")</f>
        <v>Very Good</v>
      </c>
      <c r="Y1718" t="str">
        <f>IFERROR(__xludf.DUMMYFUNCTION("""COMPUTED_VALUE"""),"Very Good")</f>
        <v>Very Good</v>
      </c>
      <c r="Z1718" t="str">
        <f>IFERROR(__xludf.DUMMYFUNCTION("""COMPUTED_VALUE"""),"Very Good")</f>
        <v>Very Good</v>
      </c>
      <c r="AA1718" t="str">
        <f>IFERROR(__xludf.DUMMYFUNCTION("""COMPUTED_VALUE"""),"Very Good")</f>
        <v>Very Good</v>
      </c>
      <c r="AB1718" t="str">
        <f>IFERROR(__xludf.DUMMYFUNCTION("""COMPUTED_VALUE"""),"Good")</f>
        <v>Good</v>
      </c>
      <c r="AC1718">
        <f>IFERROR(__xludf.DUMMYFUNCTION("""COMPUTED_VALUE"""),0.0)</f>
        <v>0</v>
      </c>
      <c r="AH1718" s="189">
        <f>IFERROR(__xludf.DUMMYFUNCTION("""COMPUTED_VALUE"""),43601.95079945602)</f>
        <v>43601.9508</v>
      </c>
    </row>
    <row r="1719">
      <c r="A1719" t="str">
        <f>IFERROR(__xludf.DUMMYFUNCTION("""COMPUTED_VALUE"""),"Gadget")</f>
        <v>Gadget</v>
      </c>
      <c r="B1719" t="str">
        <f>IFERROR(__xludf.DUMMYFUNCTION("""COMPUTED_VALUE"""),"Denver")</f>
        <v>Denver</v>
      </c>
      <c r="C1719" t="str">
        <f>IFERROR(__xludf.DUMMYFUNCTION("""COMPUTED_VALUE"""),"CO")</f>
        <v>CO</v>
      </c>
      <c r="D1719" t="str">
        <f>IFERROR(__xludf.DUMMYFUNCTION("""COMPUTED_VALUE"""),"USA")</f>
        <v>USA</v>
      </c>
      <c r="E1719" s="188">
        <f>IFERROR(__xludf.DUMMYFUNCTION("""COMPUTED_VALUE"""),43592.0)</f>
        <v>43592</v>
      </c>
      <c r="F1719" s="188">
        <f>IFERROR(__xludf.DUMMYFUNCTION("""COMPUTED_VALUE"""),43598.0)</f>
        <v>43598</v>
      </c>
      <c r="H1719">
        <f>IFERROR(__xludf.DUMMYFUNCTION("""COMPUTED_VALUE"""),211855.0)</f>
        <v>211855</v>
      </c>
      <c r="J1719" s="5">
        <f>IFERROR(__xludf.DUMMYFUNCTION("""COMPUTED_VALUE"""),43601.0)</f>
        <v>43601</v>
      </c>
      <c r="K1719">
        <f>IFERROR(__xludf.DUMMYFUNCTION("""COMPUTED_VALUE"""),6.0)</f>
        <v>6</v>
      </c>
      <c r="L1719">
        <f>IFERROR(__xludf.DUMMYFUNCTION("""COMPUTED_VALUE"""),3.0)</f>
        <v>3</v>
      </c>
      <c r="M1719">
        <f>IFERROR(__xludf.DUMMYFUNCTION("""COMPUTED_VALUE"""),9.0)</f>
        <v>9</v>
      </c>
      <c r="N1719" t="str">
        <f>IFERROR(__xludf.DUMMYFUNCTION("""COMPUTED_VALUE"""),"Model 3 LR AWD")</f>
        <v>Model 3 LR AWD</v>
      </c>
      <c r="O1719" t="str">
        <f>IFERROR(__xludf.DUMMYFUNCTION("""COMPUTED_VALUE"""),"Pearl White Multi-Coat")</f>
        <v>Pearl White Multi-Coat</v>
      </c>
      <c r="P1719" t="str">
        <f>IFERROR(__xludf.DUMMYFUNCTION("""COMPUTED_VALUE"""),"18 inch Aero")</f>
        <v>18 inch Aero</v>
      </c>
      <c r="Q1719" t="str">
        <f>IFERROR(__xludf.DUMMYFUNCTION("""COMPUTED_VALUE"""),"Black seats")</f>
        <v>Black seats</v>
      </c>
      <c r="R1719" t="str">
        <f>IFERROR(__xludf.DUMMYFUNCTION("""COMPUTED_VALUE"""),"Full Self-Driving")</f>
        <v>Full Self-Driving</v>
      </c>
      <c r="X1719" t="str">
        <f>IFERROR(__xludf.DUMMYFUNCTION("""COMPUTED_VALUE"""),"Excellent")</f>
        <v>Excellent</v>
      </c>
      <c r="Y1719" t="str">
        <f>IFERROR(__xludf.DUMMYFUNCTION("""COMPUTED_VALUE"""),"Excellent")</f>
        <v>Excellent</v>
      </c>
      <c r="Z1719" t="str">
        <f>IFERROR(__xludf.DUMMYFUNCTION("""COMPUTED_VALUE"""),"Very Good")</f>
        <v>Very Good</v>
      </c>
      <c r="AA1719" t="str">
        <f>IFERROR(__xludf.DUMMYFUNCTION("""COMPUTED_VALUE"""),"Very Good")</f>
        <v>Very Good</v>
      </c>
      <c r="AB1719" t="str">
        <f>IFERROR(__xludf.DUMMYFUNCTION("""COMPUTED_VALUE"""),"Good")</f>
        <v>Good</v>
      </c>
      <c r="AH1719" s="189">
        <f>IFERROR(__xludf.DUMMYFUNCTION("""COMPUTED_VALUE"""),43602.37617420139)</f>
        <v>43602.37617</v>
      </c>
    </row>
    <row r="1720">
      <c r="A1720" t="str">
        <f>IFERROR(__xludf.DUMMYFUNCTION("""COMPUTED_VALUE"""),"spicyblackpepper")</f>
        <v>spicyblackpepper</v>
      </c>
      <c r="B1720" t="str">
        <f>IFERROR(__xludf.DUMMYFUNCTION("""COMPUTED_VALUE"""),"Corvallis")</f>
        <v>Corvallis</v>
      </c>
      <c r="C1720" t="str">
        <f>IFERROR(__xludf.DUMMYFUNCTION("""COMPUTED_VALUE"""),"OR")</f>
        <v>OR</v>
      </c>
      <c r="D1720" t="str">
        <f>IFERROR(__xludf.DUMMYFUNCTION("""COMPUTED_VALUE"""),"USA")</f>
        <v>USA</v>
      </c>
      <c r="E1720" s="188">
        <f>IFERROR(__xludf.DUMMYFUNCTION("""COMPUTED_VALUE"""),43297.0)</f>
        <v>43297</v>
      </c>
      <c r="F1720" s="188">
        <f>IFERROR(__xludf.DUMMYFUNCTION("""COMPUTED_VALUE"""),43349.0)</f>
        <v>43349</v>
      </c>
      <c r="H1720">
        <f>IFERROR(__xludf.DUMMYFUNCTION("""COMPUTED_VALUE"""),91189.0)</f>
        <v>91189</v>
      </c>
      <c r="I1720" t="str">
        <f>IFERROR(__xludf.DUMMYFUNCTION("""COMPUTED_VALUE"""),"09/18")</f>
        <v>09/18</v>
      </c>
      <c r="J1720" s="5">
        <f>IFERROR(__xludf.DUMMYFUNCTION("""COMPUTED_VALUE"""),43369.0)</f>
        <v>43369</v>
      </c>
      <c r="K1720">
        <f>IFERROR(__xludf.DUMMYFUNCTION("""COMPUTED_VALUE"""),52.0)</f>
        <v>52</v>
      </c>
      <c r="L1720">
        <f>IFERROR(__xludf.DUMMYFUNCTION("""COMPUTED_VALUE"""),20.0)</f>
        <v>20</v>
      </c>
      <c r="M1720">
        <f>IFERROR(__xludf.DUMMYFUNCTION("""COMPUTED_VALUE"""),72.0)</f>
        <v>72</v>
      </c>
      <c r="N1720" t="str">
        <f>IFERROR(__xludf.DUMMYFUNCTION("""COMPUTED_VALUE"""),"Model 3 LR AWD")</f>
        <v>Model 3 LR AWD</v>
      </c>
      <c r="O1720" t="str">
        <f>IFERROR(__xludf.DUMMYFUNCTION("""COMPUTED_VALUE"""),"Midnight Silver Metallic")</f>
        <v>Midnight Silver Metallic</v>
      </c>
      <c r="P1720" t="str">
        <f>IFERROR(__xludf.DUMMYFUNCTION("""COMPUTED_VALUE"""),"19 inch Sport")</f>
        <v>19 inch Sport</v>
      </c>
      <c r="Q1720" t="str">
        <f>IFERROR(__xludf.DUMMYFUNCTION("""COMPUTED_VALUE"""),"Black seats")</f>
        <v>Black seats</v>
      </c>
      <c r="R1720" t="str">
        <f>IFERROR(__xludf.DUMMYFUNCTION("""COMPUTED_VALUE"""),"Autopilot")</f>
        <v>Autopilot</v>
      </c>
      <c r="X1720" t="str">
        <f>IFERROR(__xludf.DUMMYFUNCTION("""COMPUTED_VALUE"""),"Very Good")</f>
        <v>Very Good</v>
      </c>
      <c r="Y1720" t="str">
        <f>IFERROR(__xludf.DUMMYFUNCTION("""COMPUTED_VALUE"""),"Very Good")</f>
        <v>Very Good</v>
      </c>
      <c r="Z1720" t="str">
        <f>IFERROR(__xludf.DUMMYFUNCTION("""COMPUTED_VALUE"""),"Fair")</f>
        <v>Fair</v>
      </c>
      <c r="AA1720" t="str">
        <f>IFERROR(__xludf.DUMMYFUNCTION("""COMPUTED_VALUE"""),"Poor")</f>
        <v>Poor</v>
      </c>
      <c r="AB1720" t="str">
        <f>IFERROR(__xludf.DUMMYFUNCTION("""COMPUTED_VALUE"""),"Excellent")</f>
        <v>Excellent</v>
      </c>
      <c r="AC1720">
        <f>IFERROR(__xludf.DUMMYFUNCTION("""COMPUTED_VALUE"""),1.0)</f>
        <v>1</v>
      </c>
      <c r="AD1720">
        <f>IFERROR(__xludf.DUMMYFUNCTION("""COMPUTED_VALUE"""),1.0)</f>
        <v>1</v>
      </c>
      <c r="AE1720">
        <f>IFERROR(__xludf.DUMMYFUNCTION("""COMPUTED_VALUE"""),0.0)</f>
        <v>0</v>
      </c>
      <c r="AH1720" s="189">
        <f>IFERROR(__xludf.DUMMYFUNCTION("""COMPUTED_VALUE"""),43602.465143865746)</f>
        <v>43602.46514</v>
      </c>
    </row>
    <row r="1721">
      <c r="A1721" t="str">
        <f>IFERROR(__xludf.DUMMYFUNCTION("""COMPUTED_VALUE"""),"PierreMTL")</f>
        <v>PierreMTL</v>
      </c>
      <c r="B1721" t="str">
        <f>IFERROR(__xludf.DUMMYFUNCTION("""COMPUTED_VALUE"""),"Ste Therese")</f>
        <v>Ste Therese</v>
      </c>
      <c r="C1721" t="str">
        <f>IFERROR(__xludf.DUMMYFUNCTION("""COMPUTED_VALUE"""),"QC")</f>
        <v>QC</v>
      </c>
      <c r="D1721" t="str">
        <f>IFERROR(__xludf.DUMMYFUNCTION("""COMPUTED_VALUE"""),"Canada")</f>
        <v>Canada</v>
      </c>
      <c r="E1721" s="188">
        <f>IFERROR(__xludf.DUMMYFUNCTION("""COMPUTED_VALUE"""),43454.0)</f>
        <v>43454</v>
      </c>
      <c r="F1721" s="188">
        <f>IFERROR(__xludf.DUMMYFUNCTION("""COMPUTED_VALUE"""),43593.0)</f>
        <v>43593</v>
      </c>
      <c r="H1721">
        <f>IFERROR(__xludf.DUMMYFUNCTION("""COMPUTED_VALUE"""),394055.0)</f>
        <v>394055</v>
      </c>
      <c r="I1721" t="str">
        <f>IFERROR(__xludf.DUMMYFUNCTION("""COMPUTED_VALUE"""),"04/19")</f>
        <v>04/19</v>
      </c>
      <c r="J1721" s="5">
        <f>IFERROR(__xludf.DUMMYFUNCTION("""COMPUTED_VALUE"""),43600.0)</f>
        <v>43600</v>
      </c>
      <c r="K1721">
        <f>IFERROR(__xludf.DUMMYFUNCTION("""COMPUTED_VALUE"""),139.0)</f>
        <v>139</v>
      </c>
      <c r="L1721">
        <f>IFERROR(__xludf.DUMMYFUNCTION("""COMPUTED_VALUE"""),7.0)</f>
        <v>7</v>
      </c>
      <c r="M1721">
        <f>IFERROR(__xludf.DUMMYFUNCTION("""COMPUTED_VALUE"""),146.0)</f>
        <v>146</v>
      </c>
      <c r="N1721" t="str">
        <f>IFERROR(__xludf.DUMMYFUNCTION("""COMPUTED_VALUE"""),"Model 3 LR AWD")</f>
        <v>Model 3 LR AWD</v>
      </c>
      <c r="O1721" t="str">
        <f>IFERROR(__xludf.DUMMYFUNCTION("""COMPUTED_VALUE"""),"Red Multi-Coat")</f>
        <v>Red Multi-Coat</v>
      </c>
      <c r="P1721" t="str">
        <f>IFERROR(__xludf.DUMMYFUNCTION("""COMPUTED_VALUE"""),"19 inch Sport")</f>
        <v>19 inch Sport</v>
      </c>
      <c r="Q1721" t="str">
        <f>IFERROR(__xludf.DUMMYFUNCTION("""COMPUTED_VALUE"""),"White seats")</f>
        <v>White seats</v>
      </c>
      <c r="R1721" t="str">
        <f>IFERROR(__xludf.DUMMYFUNCTION("""COMPUTED_VALUE"""),"Full Self-Driving")</f>
        <v>Full Self-Driving</v>
      </c>
      <c r="X1721" t="str">
        <f>IFERROR(__xludf.DUMMYFUNCTION("""COMPUTED_VALUE"""),"Excellent")</f>
        <v>Excellent</v>
      </c>
      <c r="Y1721" t="str">
        <f>IFERROR(__xludf.DUMMYFUNCTION("""COMPUTED_VALUE"""),"Excellent")</f>
        <v>Excellent</v>
      </c>
      <c r="Z1721" t="str">
        <f>IFERROR(__xludf.DUMMYFUNCTION("""COMPUTED_VALUE"""),"Excellent")</f>
        <v>Excellent</v>
      </c>
      <c r="AA1721" t="str">
        <f>IFERROR(__xludf.DUMMYFUNCTION("""COMPUTED_VALUE"""),"Excellent")</f>
        <v>Excellent</v>
      </c>
      <c r="AB1721" t="str">
        <f>IFERROR(__xludf.DUMMYFUNCTION("""COMPUTED_VALUE"""),"Excellent")</f>
        <v>Excellent</v>
      </c>
      <c r="AH1721" s="189">
        <f>IFERROR(__xludf.DUMMYFUNCTION("""COMPUTED_VALUE"""),43603.23632820602)</f>
        <v>43603.23633</v>
      </c>
    </row>
    <row r="1722">
      <c r="A1722" t="str">
        <f>IFERROR(__xludf.DUMMYFUNCTION("""COMPUTED_VALUE"""),"BulletToothWoo")</f>
        <v>BulletToothWoo</v>
      </c>
      <c r="B1722" t="str">
        <f>IFERROR(__xludf.DUMMYFUNCTION("""COMPUTED_VALUE"""),"Denver")</f>
        <v>Denver</v>
      </c>
      <c r="C1722" t="str">
        <f>IFERROR(__xludf.DUMMYFUNCTION("""COMPUTED_VALUE"""),"CO")</f>
        <v>CO</v>
      </c>
      <c r="D1722" t="str">
        <f>IFERROR(__xludf.DUMMYFUNCTION("""COMPUTED_VALUE"""),"USA")</f>
        <v>USA</v>
      </c>
      <c r="E1722" s="188">
        <f>IFERROR(__xludf.DUMMYFUNCTION("""COMPUTED_VALUE"""),43577.0)</f>
        <v>43577</v>
      </c>
      <c r="F1722" s="188">
        <f>IFERROR(__xludf.DUMMYFUNCTION("""COMPUTED_VALUE"""),43587.0)</f>
        <v>43587</v>
      </c>
      <c r="H1722">
        <f>IFERROR(__xludf.DUMMYFUNCTION("""COMPUTED_VALUE"""),195555.0)</f>
        <v>195555</v>
      </c>
      <c r="I1722" t="str">
        <f>IFERROR(__xludf.DUMMYFUNCTION("""COMPUTED_VALUE"""),"04/19")</f>
        <v>04/19</v>
      </c>
      <c r="J1722" s="5">
        <f>IFERROR(__xludf.DUMMYFUNCTION("""COMPUTED_VALUE"""),43591.0)</f>
        <v>43591</v>
      </c>
      <c r="K1722">
        <f>IFERROR(__xludf.DUMMYFUNCTION("""COMPUTED_VALUE"""),10.0)</f>
        <v>10</v>
      </c>
      <c r="L1722">
        <f>IFERROR(__xludf.DUMMYFUNCTION("""COMPUTED_VALUE"""),4.0)</f>
        <v>4</v>
      </c>
      <c r="M1722">
        <f>IFERROR(__xludf.DUMMYFUNCTION("""COMPUTED_VALUE"""),14.0)</f>
        <v>14</v>
      </c>
      <c r="N1722" t="str">
        <f>IFERROR(__xludf.DUMMYFUNCTION("""COMPUTED_VALUE"""),"Model 3 LR AWD")</f>
        <v>Model 3 LR AWD</v>
      </c>
      <c r="O1722" t="str">
        <f>IFERROR(__xludf.DUMMYFUNCTION("""COMPUTED_VALUE"""),"Pearl White Multi-Coat")</f>
        <v>Pearl White Multi-Coat</v>
      </c>
      <c r="P1722" t="str">
        <f>IFERROR(__xludf.DUMMYFUNCTION("""COMPUTED_VALUE"""),"19 inch Sport")</f>
        <v>19 inch Sport</v>
      </c>
      <c r="Q1722" t="str">
        <f>IFERROR(__xludf.DUMMYFUNCTION("""COMPUTED_VALUE"""),"White seats")</f>
        <v>White seats</v>
      </c>
      <c r="R1722" t="str">
        <f>IFERROR(__xludf.DUMMYFUNCTION("""COMPUTED_VALUE"""),"Full Self-Driving")</f>
        <v>Full Self-Driving</v>
      </c>
      <c r="X1722" t="str">
        <f>IFERROR(__xludf.DUMMYFUNCTION("""COMPUTED_VALUE"""),"Very Good")</f>
        <v>Very Good</v>
      </c>
      <c r="Y1722" t="str">
        <f>IFERROR(__xludf.DUMMYFUNCTION("""COMPUTED_VALUE"""),"Very Good")</f>
        <v>Very Good</v>
      </c>
      <c r="Z1722" t="str">
        <f>IFERROR(__xludf.DUMMYFUNCTION("""COMPUTED_VALUE"""),"Very Good")</f>
        <v>Very Good</v>
      </c>
      <c r="AA1722" t="str">
        <f>IFERROR(__xludf.DUMMYFUNCTION("""COMPUTED_VALUE"""),"Fair")</f>
        <v>Fair</v>
      </c>
      <c r="AB1722" t="str">
        <f>IFERROR(__xludf.DUMMYFUNCTION("""COMPUTED_VALUE"""),"Fair")</f>
        <v>Fair</v>
      </c>
      <c r="AC1722">
        <f>IFERROR(__xludf.DUMMYFUNCTION("""COMPUTED_VALUE"""),0.0)</f>
        <v>0</v>
      </c>
      <c r="AH1722" s="189">
        <f>IFERROR(__xludf.DUMMYFUNCTION("""COMPUTED_VALUE"""),43603.348017662036)</f>
        <v>43603.34802</v>
      </c>
    </row>
    <row r="1723">
      <c r="A1723" t="str">
        <f>IFERROR(__xludf.DUMMYFUNCTION("""COMPUTED_VALUE"""),"MrMassTransit")</f>
        <v>MrMassTransit</v>
      </c>
      <c r="B1723" t="str">
        <f>IFERROR(__xludf.DUMMYFUNCTION("""COMPUTED_VALUE"""),"Washington")</f>
        <v>Washington</v>
      </c>
      <c r="C1723" t="str">
        <f>IFERROR(__xludf.DUMMYFUNCTION("""COMPUTED_VALUE"""),"DC")</f>
        <v>DC</v>
      </c>
      <c r="D1723" t="str">
        <f>IFERROR(__xludf.DUMMYFUNCTION("""COMPUTED_VALUE"""),"USA")</f>
        <v>USA</v>
      </c>
      <c r="E1723" s="188">
        <f>IFERROR(__xludf.DUMMYFUNCTION("""COMPUTED_VALUE"""),43530.0)</f>
        <v>43530</v>
      </c>
      <c r="F1723" s="188">
        <f>IFERROR(__xludf.DUMMYFUNCTION("""COMPUTED_VALUE"""),43535.0)</f>
        <v>43535</v>
      </c>
      <c r="H1723">
        <f>IFERROR(__xludf.DUMMYFUNCTION("""COMPUTED_VALUE"""),298575.0)</f>
        <v>298575</v>
      </c>
      <c r="I1723" t="str">
        <f>IFERROR(__xludf.DUMMYFUNCTION("""COMPUTED_VALUE"""),"03/19")</f>
        <v>03/19</v>
      </c>
      <c r="J1723" s="5">
        <f>IFERROR(__xludf.DUMMYFUNCTION("""COMPUTED_VALUE"""),43536.0)</f>
        <v>43536</v>
      </c>
      <c r="K1723">
        <f>IFERROR(__xludf.DUMMYFUNCTION("""COMPUTED_VALUE"""),5.0)</f>
        <v>5</v>
      </c>
      <c r="L1723">
        <f>IFERROR(__xludf.DUMMYFUNCTION("""COMPUTED_VALUE"""),1.0)</f>
        <v>1</v>
      </c>
      <c r="M1723">
        <f>IFERROR(__xludf.DUMMYFUNCTION("""COMPUTED_VALUE"""),6.0)</f>
        <v>6</v>
      </c>
      <c r="N1723" t="str">
        <f>IFERROR(__xludf.DUMMYFUNCTION("""COMPUTED_VALUE"""),"Model 3 SR+")</f>
        <v>Model 3 SR+</v>
      </c>
      <c r="O1723" t="str">
        <f>IFERROR(__xludf.DUMMYFUNCTION("""COMPUTED_VALUE"""),"Midnight Silver Metallic")</f>
        <v>Midnight Silver Metallic</v>
      </c>
      <c r="P1723" t="str">
        <f>IFERROR(__xludf.DUMMYFUNCTION("""COMPUTED_VALUE"""),"18 inch Aero")</f>
        <v>18 inch Aero</v>
      </c>
      <c r="Q1723" t="str">
        <f>IFERROR(__xludf.DUMMYFUNCTION("""COMPUTED_VALUE"""),"Black seats")</f>
        <v>Black seats</v>
      </c>
      <c r="X1723" t="str">
        <f>IFERROR(__xludf.DUMMYFUNCTION("""COMPUTED_VALUE"""),"Excellent")</f>
        <v>Excellent</v>
      </c>
      <c r="Y1723" t="str">
        <f>IFERROR(__xludf.DUMMYFUNCTION("""COMPUTED_VALUE"""),"Excellent")</f>
        <v>Excellent</v>
      </c>
      <c r="Z1723" t="str">
        <f>IFERROR(__xludf.DUMMYFUNCTION("""COMPUTED_VALUE"""),"Excellent")</f>
        <v>Excellent</v>
      </c>
      <c r="AA1723" t="str">
        <f>IFERROR(__xludf.DUMMYFUNCTION("""COMPUTED_VALUE"""),"Excellent")</f>
        <v>Excellent</v>
      </c>
      <c r="AB1723" t="str">
        <f>IFERROR(__xludf.DUMMYFUNCTION("""COMPUTED_VALUE"""),"Excellent")</f>
        <v>Excellent</v>
      </c>
      <c r="AC1723">
        <f>IFERROR(__xludf.DUMMYFUNCTION("""COMPUTED_VALUE"""),0.0)</f>
        <v>0</v>
      </c>
      <c r="AD1723">
        <f>IFERROR(__xludf.DUMMYFUNCTION("""COMPUTED_VALUE"""),0.0)</f>
        <v>0</v>
      </c>
      <c r="AE1723">
        <f>IFERROR(__xludf.DUMMYFUNCTION("""COMPUTED_VALUE"""),0.0)</f>
        <v>0</v>
      </c>
      <c r="AH1723" s="189">
        <f>IFERROR(__xludf.DUMMYFUNCTION("""COMPUTED_VALUE"""),43603.49683325231)</f>
        <v>43603.49683</v>
      </c>
    </row>
    <row r="1724">
      <c r="A1724" t="str">
        <f>IFERROR(__xludf.DUMMYFUNCTION("""COMPUTED_VALUE"""),"GarthAngst")</f>
        <v>GarthAngst</v>
      </c>
      <c r="B1724" t="str">
        <f>IFERROR(__xludf.DUMMYFUNCTION("""COMPUTED_VALUE"""),"Long Island")</f>
        <v>Long Island</v>
      </c>
      <c r="C1724" t="str">
        <f>IFERROR(__xludf.DUMMYFUNCTION("""COMPUTED_VALUE"""),"NY")</f>
        <v>NY</v>
      </c>
      <c r="D1724" t="str">
        <f>IFERROR(__xludf.DUMMYFUNCTION("""COMPUTED_VALUE"""),"USA")</f>
        <v>USA</v>
      </c>
      <c r="E1724" s="188">
        <f>IFERROR(__xludf.DUMMYFUNCTION("""COMPUTED_VALUE"""),43590.0)</f>
        <v>43590</v>
      </c>
      <c r="F1724" s="188">
        <f>IFERROR(__xludf.DUMMYFUNCTION("""COMPUTED_VALUE"""),43596.0)</f>
        <v>43596</v>
      </c>
      <c r="J1724" s="5">
        <f>IFERROR(__xludf.DUMMYFUNCTION("""COMPUTED_VALUE"""),43606.0)</f>
        <v>43606</v>
      </c>
      <c r="K1724">
        <f>IFERROR(__xludf.DUMMYFUNCTION("""COMPUTED_VALUE"""),6.0)</f>
        <v>6</v>
      </c>
      <c r="L1724">
        <f>IFERROR(__xludf.DUMMYFUNCTION("""COMPUTED_VALUE"""),10.0)</f>
        <v>10</v>
      </c>
      <c r="M1724">
        <f>IFERROR(__xludf.DUMMYFUNCTION("""COMPUTED_VALUE"""),16.0)</f>
        <v>16</v>
      </c>
      <c r="N1724" t="str">
        <f>IFERROR(__xludf.DUMMYFUNCTION("""COMPUTED_VALUE"""),"Model 3 LR AWD")</f>
        <v>Model 3 LR AWD</v>
      </c>
      <c r="O1724" t="str">
        <f>IFERROR(__xludf.DUMMYFUNCTION("""COMPUTED_VALUE"""),"Deep Blue Metallic")</f>
        <v>Deep Blue Metallic</v>
      </c>
      <c r="P1724" t="str">
        <f>IFERROR(__xludf.DUMMYFUNCTION("""COMPUTED_VALUE"""),"18 inch Aero")</f>
        <v>18 inch Aero</v>
      </c>
      <c r="Q1724" t="str">
        <f>IFERROR(__xludf.DUMMYFUNCTION("""COMPUTED_VALUE"""),"Black seats")</f>
        <v>Black seats</v>
      </c>
      <c r="R1724" t="str">
        <f>IFERROR(__xludf.DUMMYFUNCTION("""COMPUTED_VALUE"""),"Autopilot")</f>
        <v>Autopilot</v>
      </c>
      <c r="X1724" t="str">
        <f>IFERROR(__xludf.DUMMYFUNCTION("""COMPUTED_VALUE"""),"Excellent")</f>
        <v>Excellent</v>
      </c>
      <c r="Y1724" t="str">
        <f>IFERROR(__xludf.DUMMYFUNCTION("""COMPUTED_VALUE"""),"Excellent")</f>
        <v>Excellent</v>
      </c>
      <c r="Z1724" t="str">
        <f>IFERROR(__xludf.DUMMYFUNCTION("""COMPUTED_VALUE"""),"Excellent")</f>
        <v>Excellent</v>
      </c>
      <c r="AA1724" t="str">
        <f>IFERROR(__xludf.DUMMYFUNCTION("""COMPUTED_VALUE"""),"Excellent")</f>
        <v>Excellent</v>
      </c>
      <c r="AB1724" t="str">
        <f>IFERROR(__xludf.DUMMYFUNCTION("""COMPUTED_VALUE"""),"Excellent")</f>
        <v>Excellent</v>
      </c>
      <c r="AH1724" s="189">
        <f>IFERROR(__xludf.DUMMYFUNCTION("""COMPUTED_VALUE"""),43603.80698454861)</f>
        <v>43603.80698</v>
      </c>
    </row>
    <row r="1725">
      <c r="A1725" t="str">
        <f>IFERROR(__xludf.DUMMYFUNCTION("""COMPUTED_VALUE"""),"dwalme")</f>
        <v>dwalme</v>
      </c>
      <c r="B1725" t="str">
        <f>IFERROR(__xludf.DUMMYFUNCTION("""COMPUTED_VALUE"""),"Cleveland")</f>
        <v>Cleveland</v>
      </c>
      <c r="C1725" t="str">
        <f>IFERROR(__xludf.DUMMYFUNCTION("""COMPUTED_VALUE"""),"OH")</f>
        <v>OH</v>
      </c>
      <c r="D1725" t="str">
        <f>IFERROR(__xludf.DUMMYFUNCTION("""COMPUTED_VALUE"""),"USA")</f>
        <v>USA</v>
      </c>
      <c r="E1725" s="188">
        <f>IFERROR(__xludf.DUMMYFUNCTION("""COMPUTED_VALUE"""),43572.0)</f>
        <v>43572</v>
      </c>
      <c r="F1725" s="188">
        <f>IFERROR(__xludf.DUMMYFUNCTION("""COMPUTED_VALUE"""),43582.0)</f>
        <v>43582</v>
      </c>
      <c r="H1725">
        <f>IFERROR(__xludf.DUMMYFUNCTION("""COMPUTED_VALUE"""),231360.0)</f>
        <v>231360</v>
      </c>
      <c r="I1725" t="str">
        <f>IFERROR(__xludf.DUMMYFUNCTION("""COMPUTED_VALUE"""),"04/19")</f>
        <v>04/19</v>
      </c>
      <c r="J1725" s="5">
        <f>IFERROR(__xludf.DUMMYFUNCTION("""COMPUTED_VALUE"""),43602.0)</f>
        <v>43602</v>
      </c>
      <c r="K1725">
        <f>IFERROR(__xludf.DUMMYFUNCTION("""COMPUTED_VALUE"""),10.0)</f>
        <v>10</v>
      </c>
      <c r="L1725">
        <f>IFERROR(__xludf.DUMMYFUNCTION("""COMPUTED_VALUE"""),20.0)</f>
        <v>20</v>
      </c>
      <c r="M1725">
        <f>IFERROR(__xludf.DUMMYFUNCTION("""COMPUTED_VALUE"""),30.0)</f>
        <v>30</v>
      </c>
      <c r="N1725" t="str">
        <f>IFERROR(__xludf.DUMMYFUNCTION("""COMPUTED_VALUE"""),"Model 3 Performance")</f>
        <v>Model 3 Performance</v>
      </c>
      <c r="O1725" t="str">
        <f>IFERROR(__xludf.DUMMYFUNCTION("""COMPUTED_VALUE"""),"Deep Blue Metallic")</f>
        <v>Deep Blue Metallic</v>
      </c>
      <c r="P1725" t="str">
        <f>IFERROR(__xludf.DUMMYFUNCTION("""COMPUTED_VALUE"""),"20 inch Sport")</f>
        <v>20 inch Sport</v>
      </c>
      <c r="Q1725" t="str">
        <f>IFERROR(__xludf.DUMMYFUNCTION("""COMPUTED_VALUE"""),"Black seats")</f>
        <v>Black seats</v>
      </c>
      <c r="R1725" t="str">
        <f>IFERROR(__xludf.DUMMYFUNCTION("""COMPUTED_VALUE"""),"Full Self-Driving")</f>
        <v>Full Self-Driving</v>
      </c>
      <c r="X1725" t="str">
        <f>IFERROR(__xludf.DUMMYFUNCTION("""COMPUTED_VALUE"""),"Very Good")</f>
        <v>Very Good</v>
      </c>
      <c r="Y1725" t="str">
        <f>IFERROR(__xludf.DUMMYFUNCTION("""COMPUTED_VALUE"""),"Very Good")</f>
        <v>Very Good</v>
      </c>
      <c r="Z1725" t="str">
        <f>IFERROR(__xludf.DUMMYFUNCTION("""COMPUTED_VALUE"""),"Very Good")</f>
        <v>Very Good</v>
      </c>
      <c r="AA1725" t="str">
        <f>IFERROR(__xludf.DUMMYFUNCTION("""COMPUTED_VALUE"""),"Good")</f>
        <v>Good</v>
      </c>
      <c r="AB1725" t="str">
        <f>IFERROR(__xludf.DUMMYFUNCTION("""COMPUTED_VALUE"""),"Good")</f>
        <v>Good</v>
      </c>
      <c r="AC1725">
        <f>IFERROR(__xludf.DUMMYFUNCTION("""COMPUTED_VALUE"""),2.0)</f>
        <v>2</v>
      </c>
      <c r="AG1725" t="str">
        <f>IFERROR(__xludf.DUMMYFUNCTION("""COMPUTED_VALUE"""),"Greasy hand marks on inside B pillar could be seen from 20ft away.  Shocked they delivered the car like that.  Passenger side of rear spoiler lifting.")</f>
        <v>Greasy hand marks on inside B pillar could be seen from 20ft away.  Shocked they delivered the car like that.  Passenger side of rear spoiler lifting.</v>
      </c>
      <c r="AH1725" s="189">
        <f>IFERROR(__xludf.DUMMYFUNCTION("""COMPUTED_VALUE"""),43604.50859572917)</f>
        <v>43604.5086</v>
      </c>
    </row>
    <row r="1726">
      <c r="A1726" t="str">
        <f>IFERROR(__xludf.DUMMYFUNCTION("""COMPUTED_VALUE"""),"Clockwork")</f>
        <v>Clockwork</v>
      </c>
      <c r="B1726" t="str">
        <f>IFERROR(__xludf.DUMMYFUNCTION("""COMPUTED_VALUE"""),"Vancouver")</f>
        <v>Vancouver</v>
      </c>
      <c r="C1726" t="str">
        <f>IFERROR(__xludf.DUMMYFUNCTION("""COMPUTED_VALUE"""),"BC")</f>
        <v>BC</v>
      </c>
      <c r="D1726" t="str">
        <f>IFERROR(__xludf.DUMMYFUNCTION("""COMPUTED_VALUE"""),"Canada")</f>
        <v>Canada</v>
      </c>
      <c r="E1726" s="188">
        <f>IFERROR(__xludf.DUMMYFUNCTION("""COMPUTED_VALUE"""),43518.0)</f>
        <v>43518</v>
      </c>
      <c r="F1726" s="188">
        <f>IFERROR(__xludf.DUMMYFUNCTION("""COMPUTED_VALUE"""),43593.0)</f>
        <v>43593</v>
      </c>
      <c r="H1726">
        <f>IFERROR(__xludf.DUMMYFUNCTION("""COMPUTED_VALUE"""),367755.0)</f>
        <v>367755</v>
      </c>
      <c r="J1726" s="5">
        <f>IFERROR(__xludf.DUMMYFUNCTION("""COMPUTED_VALUE"""),43601.0)</f>
        <v>43601</v>
      </c>
      <c r="K1726">
        <f>IFERROR(__xludf.DUMMYFUNCTION("""COMPUTED_VALUE"""),75.0)</f>
        <v>75</v>
      </c>
      <c r="L1726">
        <f>IFERROR(__xludf.DUMMYFUNCTION("""COMPUTED_VALUE"""),8.0)</f>
        <v>8</v>
      </c>
      <c r="M1726">
        <f>IFERROR(__xludf.DUMMYFUNCTION("""COMPUTED_VALUE"""),83.0)</f>
        <v>83</v>
      </c>
      <c r="N1726" t="str">
        <f>IFERROR(__xludf.DUMMYFUNCTION("""COMPUTED_VALUE"""),"Model 3 Performance")</f>
        <v>Model 3 Performance</v>
      </c>
      <c r="O1726" t="str">
        <f>IFERROR(__xludf.DUMMYFUNCTION("""COMPUTED_VALUE"""),"Red Multi-Coat")</f>
        <v>Red Multi-Coat</v>
      </c>
      <c r="P1726" t="str">
        <f>IFERROR(__xludf.DUMMYFUNCTION("""COMPUTED_VALUE"""),"20 inch Sport")</f>
        <v>20 inch Sport</v>
      </c>
      <c r="Q1726" t="str">
        <f>IFERROR(__xludf.DUMMYFUNCTION("""COMPUTED_VALUE"""),"White seats")</f>
        <v>White seats</v>
      </c>
      <c r="R1726" t="str">
        <f>IFERROR(__xludf.DUMMYFUNCTION("""COMPUTED_VALUE"""),"Full Self-Driving")</f>
        <v>Full Self-Driving</v>
      </c>
      <c r="X1726" t="str">
        <f>IFERROR(__xludf.DUMMYFUNCTION("""COMPUTED_VALUE"""),"Very Good")</f>
        <v>Very Good</v>
      </c>
      <c r="Y1726" t="str">
        <f>IFERROR(__xludf.DUMMYFUNCTION("""COMPUTED_VALUE"""),"Very Good")</f>
        <v>Very Good</v>
      </c>
      <c r="Z1726" t="str">
        <f>IFERROR(__xludf.DUMMYFUNCTION("""COMPUTED_VALUE"""),"Good")</f>
        <v>Good</v>
      </c>
      <c r="AA1726" t="str">
        <f>IFERROR(__xludf.DUMMYFUNCTION("""COMPUTED_VALUE"""),"Poor")</f>
        <v>Poor</v>
      </c>
      <c r="AB1726" t="str">
        <f>IFERROR(__xludf.DUMMYFUNCTION("""COMPUTED_VALUE"""),"Poor")</f>
        <v>Poor</v>
      </c>
      <c r="AH1726" s="189">
        <f>IFERROR(__xludf.DUMMYFUNCTION("""COMPUTED_VALUE"""),43604.916611469904)</f>
        <v>43604.91661</v>
      </c>
    </row>
    <row r="1727">
      <c r="A1727" t="str">
        <f>IFERROR(__xludf.DUMMYFUNCTION("""COMPUTED_VALUE"""),"dougb0")</f>
        <v>dougb0</v>
      </c>
      <c r="C1727" t="str">
        <f>IFERROR(__xludf.DUMMYFUNCTION("""COMPUTED_VALUE"""),"VA")</f>
        <v>VA</v>
      </c>
      <c r="D1727" t="str">
        <f>IFERROR(__xludf.DUMMYFUNCTION("""COMPUTED_VALUE"""),"USA")</f>
        <v>USA</v>
      </c>
      <c r="E1727" s="188">
        <f>IFERROR(__xludf.DUMMYFUNCTION("""COMPUTED_VALUE"""),43579.0)</f>
        <v>43579</v>
      </c>
      <c r="F1727" s="188">
        <f>IFERROR(__xludf.DUMMYFUNCTION("""COMPUTED_VALUE"""),43592.0)</f>
        <v>43592</v>
      </c>
      <c r="H1727">
        <f>IFERROR(__xludf.DUMMYFUNCTION("""COMPUTED_VALUE"""),311155.0)</f>
        <v>311155</v>
      </c>
      <c r="I1727" t="str">
        <f>IFERROR(__xludf.DUMMYFUNCTION("""COMPUTED_VALUE"""),"04/19")</f>
        <v>04/19</v>
      </c>
      <c r="J1727" s="5">
        <f>IFERROR(__xludf.DUMMYFUNCTION("""COMPUTED_VALUE"""),43602.0)</f>
        <v>43602</v>
      </c>
      <c r="K1727">
        <f>IFERROR(__xludf.DUMMYFUNCTION("""COMPUTED_VALUE"""),13.0)</f>
        <v>13</v>
      </c>
      <c r="L1727">
        <f>IFERROR(__xludf.DUMMYFUNCTION("""COMPUTED_VALUE"""),10.0)</f>
        <v>10</v>
      </c>
      <c r="M1727">
        <f>IFERROR(__xludf.DUMMYFUNCTION("""COMPUTED_VALUE"""),23.0)</f>
        <v>23</v>
      </c>
      <c r="N1727" t="str">
        <f>IFERROR(__xludf.DUMMYFUNCTION("""COMPUTED_VALUE"""),"Model 3 SR+")</f>
        <v>Model 3 SR+</v>
      </c>
      <c r="O1727" t="str">
        <f>IFERROR(__xludf.DUMMYFUNCTION("""COMPUTED_VALUE"""),"Midnight Silver Metallic")</f>
        <v>Midnight Silver Metallic</v>
      </c>
      <c r="P1727" t="str">
        <f>IFERROR(__xludf.DUMMYFUNCTION("""COMPUTED_VALUE"""),"19 inch Sport")</f>
        <v>19 inch Sport</v>
      </c>
      <c r="Q1727" t="str">
        <f>IFERROR(__xludf.DUMMYFUNCTION("""COMPUTED_VALUE"""),"Black seats")</f>
        <v>Black seats</v>
      </c>
      <c r="R1727" t="str">
        <f>IFERROR(__xludf.DUMMYFUNCTION("""COMPUTED_VALUE"""),"Full Self-Driving")</f>
        <v>Full Self-Driving</v>
      </c>
      <c r="X1727" t="str">
        <f>IFERROR(__xludf.DUMMYFUNCTION("""COMPUTED_VALUE"""),"Very Good")</f>
        <v>Very Good</v>
      </c>
      <c r="Y1727" t="str">
        <f>IFERROR(__xludf.DUMMYFUNCTION("""COMPUTED_VALUE"""),"Excellent")</f>
        <v>Excellent</v>
      </c>
      <c r="Z1727" t="str">
        <f>IFERROR(__xludf.DUMMYFUNCTION("""COMPUTED_VALUE"""),"Very Good")</f>
        <v>Very Good</v>
      </c>
      <c r="AA1727" t="str">
        <f>IFERROR(__xludf.DUMMYFUNCTION("""COMPUTED_VALUE"""),"Fair")</f>
        <v>Fair</v>
      </c>
      <c r="AB1727" t="str">
        <f>IFERROR(__xludf.DUMMYFUNCTION("""COMPUTED_VALUE"""),"Fair")</f>
        <v>Fair</v>
      </c>
      <c r="AC1727">
        <f>IFERROR(__xludf.DUMMYFUNCTION("""COMPUTED_VALUE"""),1.0)</f>
        <v>1</v>
      </c>
      <c r="AG1727" t="str">
        <f>IFERROR(__xludf.DUMMYFUNCTION("""COMPUTED_VALUE"""),"The car I received was the second VIN I was matched to. The first one would have been delivered one week after my order, but the rear glass was cracked.")</f>
        <v>The car I received was the second VIN I was matched to. The first one would have been delivered one week after my order, but the rear glass was cracked.</v>
      </c>
      <c r="AH1727" s="189">
        <f>IFERROR(__xludf.DUMMYFUNCTION("""COMPUTED_VALUE"""),43605.23177975694)</f>
        <v>43605.23178</v>
      </c>
    </row>
    <row r="1728">
      <c r="A1728" t="str">
        <f>IFERROR(__xludf.DUMMYFUNCTION("""COMPUTED_VALUE"""),"all-electric-austin")</f>
        <v>all-electric-austin</v>
      </c>
      <c r="B1728" t="str">
        <f>IFERROR(__xludf.DUMMYFUNCTION("""COMPUTED_VALUE"""),"Austin")</f>
        <v>Austin</v>
      </c>
      <c r="C1728" t="str">
        <f>IFERROR(__xludf.DUMMYFUNCTION("""COMPUTED_VALUE"""),"TX")</f>
        <v>TX</v>
      </c>
      <c r="D1728" t="str">
        <f>IFERROR(__xludf.DUMMYFUNCTION("""COMPUTED_VALUE"""),"USA")</f>
        <v>USA</v>
      </c>
      <c r="E1728" s="188">
        <f>IFERROR(__xludf.DUMMYFUNCTION("""COMPUTED_VALUE"""),43580.0)</f>
        <v>43580</v>
      </c>
      <c r="F1728" s="188">
        <f>IFERROR(__xludf.DUMMYFUNCTION("""COMPUTED_VALUE"""),43586.0)</f>
        <v>43586</v>
      </c>
      <c r="H1728">
        <f>IFERROR(__xludf.DUMMYFUNCTION("""COMPUTED_VALUE"""),309355.0)</f>
        <v>309355</v>
      </c>
      <c r="I1728" t="str">
        <f>IFERROR(__xludf.DUMMYFUNCTION("""COMPUTED_VALUE"""),"04/19")</f>
        <v>04/19</v>
      </c>
      <c r="J1728" s="5">
        <f>IFERROR(__xludf.DUMMYFUNCTION("""COMPUTED_VALUE"""),43599.0)</f>
        <v>43599</v>
      </c>
      <c r="K1728">
        <f>IFERROR(__xludf.DUMMYFUNCTION("""COMPUTED_VALUE"""),6.0)</f>
        <v>6</v>
      </c>
      <c r="L1728">
        <f>IFERROR(__xludf.DUMMYFUNCTION("""COMPUTED_VALUE"""),13.0)</f>
        <v>13</v>
      </c>
      <c r="M1728">
        <f>IFERROR(__xludf.DUMMYFUNCTION("""COMPUTED_VALUE"""),19.0)</f>
        <v>19</v>
      </c>
      <c r="N1728" t="str">
        <f>IFERROR(__xludf.DUMMYFUNCTION("""COMPUTED_VALUE"""),"Model 3 SR+")</f>
        <v>Model 3 SR+</v>
      </c>
      <c r="O1728" t="str">
        <f>IFERROR(__xludf.DUMMYFUNCTION("""COMPUTED_VALUE"""),"Deep Blue Metallic")</f>
        <v>Deep Blue Metallic</v>
      </c>
      <c r="P1728" t="str">
        <f>IFERROR(__xludf.DUMMYFUNCTION("""COMPUTED_VALUE"""),"18 inch Aero")</f>
        <v>18 inch Aero</v>
      </c>
      <c r="Q1728" t="str">
        <f>IFERROR(__xludf.DUMMYFUNCTION("""COMPUTED_VALUE"""),"Black seats")</f>
        <v>Black seats</v>
      </c>
      <c r="R1728" t="str">
        <f>IFERROR(__xludf.DUMMYFUNCTION("""COMPUTED_VALUE"""),"Full Self-Driving")</f>
        <v>Full Self-Driving</v>
      </c>
      <c r="X1728" t="str">
        <f>IFERROR(__xludf.DUMMYFUNCTION("""COMPUTED_VALUE"""),"Very Good")</f>
        <v>Very Good</v>
      </c>
      <c r="Y1728" t="str">
        <f>IFERROR(__xludf.DUMMYFUNCTION("""COMPUTED_VALUE"""),"Excellent")</f>
        <v>Excellent</v>
      </c>
      <c r="Z1728" t="str">
        <f>IFERROR(__xludf.DUMMYFUNCTION("""COMPUTED_VALUE"""),"Excellent")</f>
        <v>Excellent</v>
      </c>
      <c r="AA1728" t="str">
        <f>IFERROR(__xludf.DUMMYFUNCTION("""COMPUTED_VALUE"""),"Fair")</f>
        <v>Fair</v>
      </c>
      <c r="AB1728" t="str">
        <f>IFERROR(__xludf.DUMMYFUNCTION("""COMPUTED_VALUE"""),"Excellent")</f>
        <v>Excellent</v>
      </c>
      <c r="AC1728">
        <f>IFERROR(__xludf.DUMMYFUNCTION("""COMPUTED_VALUE"""),0.0)</f>
        <v>0</v>
      </c>
      <c r="AD1728">
        <f>IFERROR(__xludf.DUMMYFUNCTION("""COMPUTED_VALUE"""),0.0)</f>
        <v>0</v>
      </c>
      <c r="AE1728">
        <f>IFERROR(__xludf.DUMMYFUNCTION("""COMPUTED_VALUE"""),0.0)</f>
        <v>0</v>
      </c>
      <c r="AG1728" t="str">
        <f>IFERROR(__xludf.DUMMYFUNCTION("""COMPUTED_VALUE"""),"The deliver advisor in NV was really hard to reach.")</f>
        <v>The deliver advisor in NV was really hard to reach.</v>
      </c>
      <c r="AH1728" s="189">
        <f>IFERROR(__xludf.DUMMYFUNCTION("""COMPUTED_VALUE"""),43605.48459847222)</f>
        <v>43605.4846</v>
      </c>
    </row>
    <row r="1729">
      <c r="A1729" t="str">
        <f>IFERROR(__xludf.DUMMYFUNCTION("""COMPUTED_VALUE"""),"esecules")</f>
        <v>esecules</v>
      </c>
      <c r="B1729" t="str">
        <f>IFERROR(__xludf.DUMMYFUNCTION("""COMPUTED_VALUE"""),"Litchfield Park")</f>
        <v>Litchfield Park</v>
      </c>
      <c r="C1729" t="str">
        <f>IFERROR(__xludf.DUMMYFUNCTION("""COMPUTED_VALUE"""),"AZ")</f>
        <v>AZ</v>
      </c>
      <c r="D1729" t="str">
        <f>IFERROR(__xludf.DUMMYFUNCTION("""COMPUTED_VALUE"""),"USA")</f>
        <v>USA</v>
      </c>
      <c r="E1729" s="188">
        <f>IFERROR(__xludf.DUMMYFUNCTION("""COMPUTED_VALUE"""),43588.0)</f>
        <v>43588</v>
      </c>
      <c r="F1729" s="188">
        <f>IFERROR(__xludf.DUMMYFUNCTION("""COMPUTED_VALUE"""),43595.0)</f>
        <v>43595</v>
      </c>
      <c r="H1729">
        <f>IFERROR(__xludf.DUMMYFUNCTION("""COMPUTED_VALUE"""),210628.0)</f>
        <v>210628</v>
      </c>
      <c r="J1729" s="5">
        <f>IFERROR(__xludf.DUMMYFUNCTION("""COMPUTED_VALUE"""),43599.0)</f>
        <v>43599</v>
      </c>
      <c r="K1729">
        <f>IFERROR(__xludf.DUMMYFUNCTION("""COMPUTED_VALUE"""),7.0)</f>
        <v>7</v>
      </c>
      <c r="L1729">
        <f>IFERROR(__xludf.DUMMYFUNCTION("""COMPUTED_VALUE"""),4.0)</f>
        <v>4</v>
      </c>
      <c r="M1729">
        <f>IFERROR(__xludf.DUMMYFUNCTION("""COMPUTED_VALUE"""),11.0)</f>
        <v>11</v>
      </c>
      <c r="N1729" t="str">
        <f>IFERROR(__xludf.DUMMYFUNCTION("""COMPUTED_VALUE"""),"Model 3 LR AWD")</f>
        <v>Model 3 LR AWD</v>
      </c>
      <c r="O1729" t="str">
        <f>IFERROR(__xludf.DUMMYFUNCTION("""COMPUTED_VALUE"""),"Red Multi-Coat")</f>
        <v>Red Multi-Coat</v>
      </c>
      <c r="P1729" t="str">
        <f>IFERROR(__xludf.DUMMYFUNCTION("""COMPUTED_VALUE"""),"18 inch Aero")</f>
        <v>18 inch Aero</v>
      </c>
      <c r="Q1729" t="str">
        <f>IFERROR(__xludf.DUMMYFUNCTION("""COMPUTED_VALUE"""),"Black seats")</f>
        <v>Black seats</v>
      </c>
      <c r="R1729" t="str">
        <f>IFERROR(__xludf.DUMMYFUNCTION("""COMPUTED_VALUE"""),"Autopilot")</f>
        <v>Autopilot</v>
      </c>
      <c r="X1729" t="str">
        <f>IFERROR(__xludf.DUMMYFUNCTION("""COMPUTED_VALUE"""),"Excellent")</f>
        <v>Excellent</v>
      </c>
      <c r="Y1729" t="str">
        <f>IFERROR(__xludf.DUMMYFUNCTION("""COMPUTED_VALUE"""),"Excellent")</f>
        <v>Excellent</v>
      </c>
      <c r="Z1729" t="str">
        <f>IFERROR(__xludf.DUMMYFUNCTION("""COMPUTED_VALUE"""),"Excellent")</f>
        <v>Excellent</v>
      </c>
      <c r="AA1729" t="str">
        <f>IFERROR(__xludf.DUMMYFUNCTION("""COMPUTED_VALUE"""),"Very Good")</f>
        <v>Very Good</v>
      </c>
      <c r="AB1729" t="str">
        <f>IFERROR(__xludf.DUMMYFUNCTION("""COMPUTED_VALUE"""),"Excellent")</f>
        <v>Excellent</v>
      </c>
      <c r="AH1729" s="189">
        <f>IFERROR(__xludf.DUMMYFUNCTION("""COMPUTED_VALUE"""),43605.504353530094)</f>
        <v>43605.50435</v>
      </c>
    </row>
    <row r="1730">
      <c r="A1730" t="str">
        <f>IFERROR(__xludf.DUMMYFUNCTION("""COMPUTED_VALUE"""),"markbspeigel")</f>
        <v>markbspeigel</v>
      </c>
      <c r="B1730" t="str">
        <f>IFERROR(__xludf.DUMMYFUNCTION("""COMPUTED_VALUE"""),"Crappertown")</f>
        <v>Crappertown</v>
      </c>
      <c r="D1730" t="str">
        <f>IFERROR(__xludf.DUMMYFUNCTION("""COMPUTED_VALUE"""),"USA")</f>
        <v>USA</v>
      </c>
      <c r="E1730" s="188">
        <f>IFERROR(__xludf.DUMMYFUNCTION("""COMPUTED_VALUE"""),43598.0)</f>
        <v>43598</v>
      </c>
      <c r="F1730" s="188">
        <f>IFERROR(__xludf.DUMMYFUNCTION("""COMPUTED_VALUE"""),43599.0)</f>
        <v>43599</v>
      </c>
      <c r="H1730">
        <f>IFERROR(__xludf.DUMMYFUNCTION("""COMPUTED_VALUE"""),420055.0)</f>
        <v>420055</v>
      </c>
      <c r="I1730" t="str">
        <f>IFERROR(__xludf.DUMMYFUNCTION("""COMPUTED_VALUE"""),"08/18")</f>
        <v>08/18</v>
      </c>
      <c r="J1730" s="5">
        <f>IFERROR(__xludf.DUMMYFUNCTION("""COMPUTED_VALUE"""),43604.0)</f>
        <v>43604</v>
      </c>
      <c r="K1730">
        <f>IFERROR(__xludf.DUMMYFUNCTION("""COMPUTED_VALUE"""),1.0)</f>
        <v>1</v>
      </c>
      <c r="L1730">
        <f>IFERROR(__xludf.DUMMYFUNCTION("""COMPUTED_VALUE"""),5.0)</f>
        <v>5</v>
      </c>
      <c r="M1730">
        <f>IFERROR(__xludf.DUMMYFUNCTION("""COMPUTED_VALUE"""),6.0)</f>
        <v>6</v>
      </c>
      <c r="N1730" t="str">
        <f>IFERROR(__xludf.DUMMYFUNCTION("""COMPUTED_VALUE"""),"Model 3 SR")</f>
        <v>Model 3 SR</v>
      </c>
      <c r="O1730" t="str">
        <f>IFERROR(__xludf.DUMMYFUNCTION("""COMPUTED_VALUE"""),"Red Multi-Coat")</f>
        <v>Red Multi-Coat</v>
      </c>
      <c r="P1730" t="str">
        <f>IFERROR(__xludf.DUMMYFUNCTION("""COMPUTED_VALUE"""),"18 inch Aero")</f>
        <v>18 inch Aero</v>
      </c>
      <c r="Q1730" t="str">
        <f>IFERROR(__xludf.DUMMYFUNCTION("""COMPUTED_VALUE"""),"White seats")</f>
        <v>White seats</v>
      </c>
      <c r="R1730" t="str">
        <f>IFERROR(__xludf.DUMMYFUNCTION("""COMPUTED_VALUE"""),"None")</f>
        <v>None</v>
      </c>
      <c r="X1730" t="str">
        <f>IFERROR(__xludf.DUMMYFUNCTION("""COMPUTED_VALUE"""),"Good")</f>
        <v>Good</v>
      </c>
      <c r="Y1730" t="str">
        <f>IFERROR(__xludf.DUMMYFUNCTION("""COMPUTED_VALUE"""),"Good")</f>
        <v>Good</v>
      </c>
      <c r="Z1730" t="str">
        <f>IFERROR(__xludf.DUMMYFUNCTION("""COMPUTED_VALUE"""),"Good")</f>
        <v>Good</v>
      </c>
      <c r="AA1730" t="str">
        <f>IFERROR(__xludf.DUMMYFUNCTION("""COMPUTED_VALUE"""),"Good")</f>
        <v>Good</v>
      </c>
      <c r="AB1730" t="str">
        <f>IFERROR(__xludf.DUMMYFUNCTION("""COMPUTED_VALUE"""),"Good")</f>
        <v>Good</v>
      </c>
      <c r="AC1730">
        <f>IFERROR(__xludf.DUMMYFUNCTION("""COMPUTED_VALUE"""),10.0)</f>
        <v>10</v>
      </c>
      <c r="AD1730">
        <f>IFERROR(__xludf.DUMMYFUNCTION("""COMPUTED_VALUE"""),5.0)</f>
        <v>5</v>
      </c>
      <c r="AE1730">
        <f>IFERROR(__xludf.DUMMYFUNCTION("""COMPUTED_VALUE"""),8.0)</f>
        <v>8</v>
      </c>
      <c r="AH1730" s="189">
        <f>IFERROR(__xludf.DUMMYFUNCTION("""COMPUTED_VALUE"""),43605.66160171296)</f>
        <v>43605.6616</v>
      </c>
    </row>
    <row r="1731">
      <c r="A1731" t="str">
        <f>IFERROR(__xludf.DUMMYFUNCTION("""COMPUTED_VALUE"""),"valerie23617")</f>
        <v>valerie23617</v>
      </c>
      <c r="B1731" t="str">
        <f>IFERROR(__xludf.DUMMYFUNCTION("""COMPUTED_VALUE"""),"Seattle")</f>
        <v>Seattle</v>
      </c>
      <c r="C1731" t="str">
        <f>IFERROR(__xludf.DUMMYFUNCTION("""COMPUTED_VALUE"""),"WA")</f>
        <v>WA</v>
      </c>
      <c r="D1731" t="str">
        <f>IFERROR(__xludf.DUMMYFUNCTION("""COMPUTED_VALUE"""),"USA")</f>
        <v>USA</v>
      </c>
      <c r="E1731" s="188">
        <f>IFERROR(__xludf.DUMMYFUNCTION("""COMPUTED_VALUE"""),43586.0)</f>
        <v>43586</v>
      </c>
      <c r="F1731" s="188">
        <f>IFERROR(__xludf.DUMMYFUNCTION("""COMPUTED_VALUE"""),43596.0)</f>
        <v>43596</v>
      </c>
      <c r="H1731">
        <f>IFERROR(__xludf.DUMMYFUNCTION("""COMPUTED_VALUE"""),367955.0)</f>
        <v>367955</v>
      </c>
      <c r="J1731" s="5">
        <f>IFERROR(__xludf.DUMMYFUNCTION("""COMPUTED_VALUE"""),43600.0)</f>
        <v>43600</v>
      </c>
      <c r="K1731">
        <f>IFERROR(__xludf.DUMMYFUNCTION("""COMPUTED_VALUE"""),10.0)</f>
        <v>10</v>
      </c>
      <c r="L1731">
        <f>IFERROR(__xludf.DUMMYFUNCTION("""COMPUTED_VALUE"""),4.0)</f>
        <v>4</v>
      </c>
      <c r="M1731">
        <f>IFERROR(__xludf.DUMMYFUNCTION("""COMPUTED_VALUE"""),14.0)</f>
        <v>14</v>
      </c>
      <c r="N1731" t="str">
        <f>IFERROR(__xludf.DUMMYFUNCTION("""COMPUTED_VALUE"""),"Model 3 LR AWD")</f>
        <v>Model 3 LR AWD</v>
      </c>
      <c r="O1731" t="str">
        <f>IFERROR(__xludf.DUMMYFUNCTION("""COMPUTED_VALUE"""),"Midnight Silver Metallic")</f>
        <v>Midnight Silver Metallic</v>
      </c>
      <c r="P1731" t="str">
        <f>IFERROR(__xludf.DUMMYFUNCTION("""COMPUTED_VALUE"""),"18 inch Aero")</f>
        <v>18 inch Aero</v>
      </c>
      <c r="Q1731" t="str">
        <f>IFERROR(__xludf.DUMMYFUNCTION("""COMPUTED_VALUE"""),"Black seats")</f>
        <v>Black seats</v>
      </c>
      <c r="R1731" t="str">
        <f>IFERROR(__xludf.DUMMYFUNCTION("""COMPUTED_VALUE"""),"Full Self-Driving")</f>
        <v>Full Self-Driving</v>
      </c>
      <c r="X1731" t="str">
        <f>IFERROR(__xludf.DUMMYFUNCTION("""COMPUTED_VALUE"""),"Excellent")</f>
        <v>Excellent</v>
      </c>
      <c r="Y1731" t="str">
        <f>IFERROR(__xludf.DUMMYFUNCTION("""COMPUTED_VALUE"""),"Fair")</f>
        <v>Fair</v>
      </c>
      <c r="Z1731" t="str">
        <f>IFERROR(__xludf.DUMMYFUNCTION("""COMPUTED_VALUE"""),"Excellent")</f>
        <v>Excellent</v>
      </c>
      <c r="AA1731" t="str">
        <f>IFERROR(__xludf.DUMMYFUNCTION("""COMPUTED_VALUE"""),"Fair")</f>
        <v>Fair</v>
      </c>
      <c r="AB1731" t="str">
        <f>IFERROR(__xludf.DUMMYFUNCTION("""COMPUTED_VALUE"""),"Excellent")</f>
        <v>Excellent</v>
      </c>
      <c r="AC1731">
        <f>IFERROR(__xludf.DUMMYFUNCTION("""COMPUTED_VALUE"""),1.0)</f>
        <v>1</v>
      </c>
      <c r="AH1731" s="189">
        <f>IFERROR(__xludf.DUMMYFUNCTION("""COMPUTED_VALUE"""),43605.66801303241)</f>
        <v>43605.66801</v>
      </c>
    </row>
    <row r="1732">
      <c r="A1732" t="str">
        <f>IFERROR(__xludf.DUMMYFUNCTION("""COMPUTED_VALUE"""),"Phantom0981")</f>
        <v>Phantom0981</v>
      </c>
      <c r="B1732" t="str">
        <f>IFERROR(__xludf.DUMMYFUNCTION("""COMPUTED_VALUE"""),"Springfield")</f>
        <v>Springfield</v>
      </c>
      <c r="C1732" t="str">
        <f>IFERROR(__xludf.DUMMYFUNCTION("""COMPUTED_VALUE"""),"NJ")</f>
        <v>NJ</v>
      </c>
      <c r="D1732" t="str">
        <f>IFERROR(__xludf.DUMMYFUNCTION("""COMPUTED_VALUE"""),"USA")</f>
        <v>USA</v>
      </c>
      <c r="E1732" s="188">
        <f>IFERROR(__xludf.DUMMYFUNCTION("""COMPUTED_VALUE"""),43564.0)</f>
        <v>43564</v>
      </c>
      <c r="F1732" s="188">
        <f>IFERROR(__xludf.DUMMYFUNCTION("""COMPUTED_VALUE"""),43565.0)</f>
        <v>43565</v>
      </c>
      <c r="H1732" s="4">
        <f>IFERROR(__xludf.DUMMYFUNCTION("""COMPUTED_VALUE"""),195590.0)</f>
        <v>195590</v>
      </c>
      <c r="I1732" t="str">
        <f>IFERROR(__xludf.DUMMYFUNCTION("""COMPUTED_VALUE"""),"04/19")</f>
        <v>04/19</v>
      </c>
      <c r="J1732" s="5">
        <f>IFERROR(__xludf.DUMMYFUNCTION("""COMPUTED_VALUE"""),43575.0)</f>
        <v>43575</v>
      </c>
      <c r="K1732">
        <f>IFERROR(__xludf.DUMMYFUNCTION("""COMPUTED_VALUE"""),1.0)</f>
        <v>1</v>
      </c>
      <c r="L1732">
        <f>IFERROR(__xludf.DUMMYFUNCTION("""COMPUTED_VALUE"""),10.0)</f>
        <v>10</v>
      </c>
      <c r="M1732">
        <f>IFERROR(__xludf.DUMMYFUNCTION("""COMPUTED_VALUE"""),11.0)</f>
        <v>11</v>
      </c>
      <c r="N1732" t="str">
        <f>IFERROR(__xludf.DUMMYFUNCTION("""COMPUTED_VALUE"""),"Model 3 LR AWD")</f>
        <v>Model 3 LR AWD</v>
      </c>
      <c r="O1732" t="str">
        <f>IFERROR(__xludf.DUMMYFUNCTION("""COMPUTED_VALUE"""),"Pearl White Multi-Coat")</f>
        <v>Pearl White Multi-Coat</v>
      </c>
      <c r="P1732" t="str">
        <f>IFERROR(__xludf.DUMMYFUNCTION("""COMPUTED_VALUE"""),"19 inch Sport")</f>
        <v>19 inch Sport</v>
      </c>
      <c r="Q1732" t="str">
        <f>IFERROR(__xludf.DUMMYFUNCTION("""COMPUTED_VALUE"""),"White seats")</f>
        <v>White seats</v>
      </c>
      <c r="R1732" t="str">
        <f>IFERROR(__xludf.DUMMYFUNCTION("""COMPUTED_VALUE"""),"Autopilot")</f>
        <v>Autopilot</v>
      </c>
      <c r="X1732" t="str">
        <f>IFERROR(__xludf.DUMMYFUNCTION("""COMPUTED_VALUE"""),"Excellent")</f>
        <v>Excellent</v>
      </c>
      <c r="Y1732" t="str">
        <f>IFERROR(__xludf.DUMMYFUNCTION("""COMPUTED_VALUE"""),"Excellent")</f>
        <v>Excellent</v>
      </c>
      <c r="Z1732" t="str">
        <f>IFERROR(__xludf.DUMMYFUNCTION("""COMPUTED_VALUE"""),"Excellent")</f>
        <v>Excellent</v>
      </c>
      <c r="AA1732" t="str">
        <f>IFERROR(__xludf.DUMMYFUNCTION("""COMPUTED_VALUE"""),"Very Good")</f>
        <v>Very Good</v>
      </c>
      <c r="AB1732" t="str">
        <f>IFERROR(__xludf.DUMMYFUNCTION("""COMPUTED_VALUE"""),"Very Good")</f>
        <v>Very Good</v>
      </c>
      <c r="AC1732">
        <f>IFERROR(__xludf.DUMMYFUNCTION("""COMPUTED_VALUE"""),0.0)</f>
        <v>0</v>
      </c>
      <c r="AD1732">
        <f>IFERROR(__xludf.DUMMYFUNCTION("""COMPUTED_VALUE"""),0.0)</f>
        <v>0</v>
      </c>
      <c r="AE1732">
        <f>IFERROR(__xludf.DUMMYFUNCTION("""COMPUTED_VALUE"""),0.0)</f>
        <v>0</v>
      </c>
      <c r="AH1732" s="189">
        <f>IFERROR(__xludf.DUMMYFUNCTION("""COMPUTED_VALUE"""),43606.8199372338)</f>
        <v>43606.81994</v>
      </c>
    </row>
    <row r="1733">
      <c r="A1733" t="str">
        <f>IFERROR(__xludf.DUMMYFUNCTION("""COMPUTED_VALUE"""),"bovine")</f>
        <v>bovine</v>
      </c>
      <c r="B1733" t="str">
        <f>IFERROR(__xludf.DUMMYFUNCTION("""COMPUTED_VALUE"""),"Houston")</f>
        <v>Houston</v>
      </c>
      <c r="C1733" t="str">
        <f>IFERROR(__xludf.DUMMYFUNCTION("""COMPUTED_VALUE"""),"TX")</f>
        <v>TX</v>
      </c>
      <c r="D1733" t="str">
        <f>IFERROR(__xludf.DUMMYFUNCTION("""COMPUTED_VALUE"""),"USA")</f>
        <v>USA</v>
      </c>
      <c r="E1733" s="188">
        <f>IFERROR(__xludf.DUMMYFUNCTION("""COMPUTED_VALUE"""),43585.0)</f>
        <v>43585</v>
      </c>
      <c r="F1733" s="188">
        <f>IFERROR(__xludf.DUMMYFUNCTION("""COMPUTED_VALUE"""),43592.0)</f>
        <v>43592</v>
      </c>
      <c r="H1733">
        <f>IFERROR(__xludf.DUMMYFUNCTION("""COMPUTED_VALUE"""),308055.0)</f>
        <v>308055</v>
      </c>
      <c r="J1733" s="5">
        <f>IFERROR(__xludf.DUMMYFUNCTION("""COMPUTED_VALUE"""),43601.0)</f>
        <v>43601</v>
      </c>
      <c r="K1733">
        <f>IFERROR(__xludf.DUMMYFUNCTION("""COMPUTED_VALUE"""),7.0)</f>
        <v>7</v>
      </c>
      <c r="L1733">
        <f>IFERROR(__xludf.DUMMYFUNCTION("""COMPUTED_VALUE"""),9.0)</f>
        <v>9</v>
      </c>
      <c r="M1733">
        <f>IFERROR(__xludf.DUMMYFUNCTION("""COMPUTED_VALUE"""),16.0)</f>
        <v>16</v>
      </c>
      <c r="N1733" t="str">
        <f>IFERROR(__xludf.DUMMYFUNCTION("""COMPUTED_VALUE"""),"Model 3 SR")</f>
        <v>Model 3 SR</v>
      </c>
      <c r="O1733" t="str">
        <f>IFERROR(__xludf.DUMMYFUNCTION("""COMPUTED_VALUE"""),"Midnight Silver Metallic")</f>
        <v>Midnight Silver Metallic</v>
      </c>
      <c r="P1733" t="str">
        <f>IFERROR(__xludf.DUMMYFUNCTION("""COMPUTED_VALUE"""),"18 inch Aero")</f>
        <v>18 inch Aero</v>
      </c>
      <c r="Q1733" t="str">
        <f>IFERROR(__xludf.DUMMYFUNCTION("""COMPUTED_VALUE"""),"Black seats")</f>
        <v>Black seats</v>
      </c>
      <c r="R1733" t="str">
        <f>IFERROR(__xludf.DUMMYFUNCTION("""COMPUTED_VALUE"""),"Autopilot")</f>
        <v>Autopilot</v>
      </c>
      <c r="X1733" t="str">
        <f>IFERROR(__xludf.DUMMYFUNCTION("""COMPUTED_VALUE"""),"Very Good")</f>
        <v>Very Good</v>
      </c>
      <c r="Y1733" t="str">
        <f>IFERROR(__xludf.DUMMYFUNCTION("""COMPUTED_VALUE"""),"Very Good")</f>
        <v>Very Good</v>
      </c>
      <c r="Z1733" t="str">
        <f>IFERROR(__xludf.DUMMYFUNCTION("""COMPUTED_VALUE"""),"Very Good")</f>
        <v>Very Good</v>
      </c>
      <c r="AA1733" t="str">
        <f>IFERROR(__xludf.DUMMYFUNCTION("""COMPUTED_VALUE"""),"Fair")</f>
        <v>Fair</v>
      </c>
      <c r="AB1733" t="str">
        <f>IFERROR(__xludf.DUMMYFUNCTION("""COMPUTED_VALUE"""),"Very Good")</f>
        <v>Very Good</v>
      </c>
      <c r="AG1733" t="str">
        <f>IFERROR(__xludf.DUMMYFUNCTION("""COMPUTED_VALUE"""),"manufacture date is 5/6/2019.  Your manufacture date dropdown is missing 05/19")</f>
        <v>manufacture date is 5/6/2019.  Your manufacture date dropdown is missing 05/19</v>
      </c>
      <c r="AH1733" s="189">
        <f>IFERROR(__xludf.DUMMYFUNCTION("""COMPUTED_VALUE"""),43607.021358391205)</f>
        <v>43607.02136</v>
      </c>
    </row>
    <row r="1734">
      <c r="A1734" t="str">
        <f>IFERROR(__xludf.DUMMYFUNCTION("""COMPUTED_VALUE"""),"Corey")</f>
        <v>Corey</v>
      </c>
      <c r="B1734" t="str">
        <f>IFERROR(__xludf.DUMMYFUNCTION("""COMPUTED_VALUE"""),"Dallas")</f>
        <v>Dallas</v>
      </c>
      <c r="C1734" t="str">
        <f>IFERROR(__xludf.DUMMYFUNCTION("""COMPUTED_VALUE"""),"TX")</f>
        <v>TX</v>
      </c>
      <c r="D1734" t="str">
        <f>IFERROR(__xludf.DUMMYFUNCTION("""COMPUTED_VALUE"""),"USA")</f>
        <v>USA</v>
      </c>
      <c r="E1734" s="188">
        <f>IFERROR(__xludf.DUMMYFUNCTION("""COMPUTED_VALUE"""),43585.0)</f>
        <v>43585</v>
      </c>
      <c r="F1734" s="188">
        <f>IFERROR(__xludf.DUMMYFUNCTION("""COMPUTED_VALUE"""),43622.0)</f>
        <v>43622</v>
      </c>
      <c r="H1734">
        <f>IFERROR(__xludf.DUMMYFUNCTION("""COMPUTED_VALUE"""),368155.0)</f>
        <v>368155</v>
      </c>
      <c r="J1734" s="5">
        <f>IFERROR(__xludf.DUMMYFUNCTION("""COMPUTED_VALUE"""),43605.0)</f>
        <v>43605</v>
      </c>
      <c r="K1734">
        <f>IFERROR(__xludf.DUMMYFUNCTION("""COMPUTED_VALUE"""),37.0)</f>
        <v>37</v>
      </c>
      <c r="M1734">
        <f>IFERROR(__xludf.DUMMYFUNCTION("""COMPUTED_VALUE"""),20.0)</f>
        <v>20</v>
      </c>
      <c r="N1734" t="str">
        <f>IFERROR(__xludf.DUMMYFUNCTION("""COMPUTED_VALUE"""),"Model 3 Performance")</f>
        <v>Model 3 Performance</v>
      </c>
      <c r="O1734" t="str">
        <f>IFERROR(__xludf.DUMMYFUNCTION("""COMPUTED_VALUE"""),"Pearl White Multi-Coat")</f>
        <v>Pearl White Multi-Coat</v>
      </c>
      <c r="P1734" t="str">
        <f>IFERROR(__xludf.DUMMYFUNCTION("""COMPUTED_VALUE"""),"20 inch Sport")</f>
        <v>20 inch Sport</v>
      </c>
      <c r="Q1734" t="str">
        <f>IFERROR(__xludf.DUMMYFUNCTION("""COMPUTED_VALUE"""),"White seats")</f>
        <v>White seats</v>
      </c>
      <c r="R1734" t="str">
        <f>IFERROR(__xludf.DUMMYFUNCTION("""COMPUTED_VALUE"""),"Full Self-Driving")</f>
        <v>Full Self-Driving</v>
      </c>
      <c r="X1734" t="str">
        <f>IFERROR(__xludf.DUMMYFUNCTION("""COMPUTED_VALUE"""),"Very Good")</f>
        <v>Very Good</v>
      </c>
      <c r="Y1734" t="str">
        <f>IFERROR(__xludf.DUMMYFUNCTION("""COMPUTED_VALUE"""),"Excellent")</f>
        <v>Excellent</v>
      </c>
      <c r="Z1734" t="str">
        <f>IFERROR(__xludf.DUMMYFUNCTION("""COMPUTED_VALUE"""),"Excellent")</f>
        <v>Excellent</v>
      </c>
      <c r="AA1734" t="str">
        <f>IFERROR(__xludf.DUMMYFUNCTION("""COMPUTED_VALUE"""),"Excellent")</f>
        <v>Excellent</v>
      </c>
      <c r="AB1734" t="str">
        <f>IFERROR(__xludf.DUMMYFUNCTION("""COMPUTED_VALUE"""),"Excellent")</f>
        <v>Excellent</v>
      </c>
      <c r="AH1734" s="189">
        <f>IFERROR(__xludf.DUMMYFUNCTION("""COMPUTED_VALUE"""),43607.234733923615)</f>
        <v>43607.23473</v>
      </c>
    </row>
    <row r="1735">
      <c r="A1735" t="str">
        <f>IFERROR(__xludf.DUMMYFUNCTION("""COMPUTED_VALUE"""),"Travism56")</f>
        <v>Travism56</v>
      </c>
      <c r="B1735" t="str">
        <f>IFERROR(__xludf.DUMMYFUNCTION("""COMPUTED_VALUE"""),"Nashville")</f>
        <v>Nashville</v>
      </c>
      <c r="C1735" t="str">
        <f>IFERROR(__xludf.DUMMYFUNCTION("""COMPUTED_VALUE"""),"TN")</f>
        <v>TN</v>
      </c>
      <c r="D1735" t="str">
        <f>IFERROR(__xludf.DUMMYFUNCTION("""COMPUTED_VALUE"""),"USA")</f>
        <v>USA</v>
      </c>
      <c r="E1735" s="188">
        <f>IFERROR(__xludf.DUMMYFUNCTION("""COMPUTED_VALUE"""),43601.0)</f>
        <v>43601</v>
      </c>
      <c r="F1735" s="188">
        <f>IFERROR(__xludf.DUMMYFUNCTION("""COMPUTED_VALUE"""),43602.0)</f>
        <v>43602</v>
      </c>
      <c r="H1735">
        <f>IFERROR(__xludf.DUMMYFUNCTION("""COMPUTED_VALUE"""),332655.0)</f>
        <v>332655</v>
      </c>
      <c r="J1735" s="5">
        <f>IFERROR(__xludf.DUMMYFUNCTION("""COMPUTED_VALUE"""),43608.0)</f>
        <v>43608</v>
      </c>
      <c r="K1735">
        <f>IFERROR(__xludf.DUMMYFUNCTION("""COMPUTED_VALUE"""),1.0)</f>
        <v>1</v>
      </c>
      <c r="L1735">
        <f>IFERROR(__xludf.DUMMYFUNCTION("""COMPUTED_VALUE"""),6.0)</f>
        <v>6</v>
      </c>
      <c r="M1735">
        <f>IFERROR(__xludf.DUMMYFUNCTION("""COMPUTED_VALUE"""),7.0)</f>
        <v>7</v>
      </c>
      <c r="N1735" t="str">
        <f>IFERROR(__xludf.DUMMYFUNCTION("""COMPUTED_VALUE"""),"Model 3 LR")</f>
        <v>Model 3 LR</v>
      </c>
      <c r="O1735" t="str">
        <f>IFERROR(__xludf.DUMMYFUNCTION("""COMPUTED_VALUE"""),"Midnight Silver Metallic")</f>
        <v>Midnight Silver Metallic</v>
      </c>
      <c r="P1735" t="str">
        <f>IFERROR(__xludf.DUMMYFUNCTION("""COMPUTED_VALUE"""),"19 inch Sport")</f>
        <v>19 inch Sport</v>
      </c>
      <c r="Q1735" t="str">
        <f>IFERROR(__xludf.DUMMYFUNCTION("""COMPUTED_VALUE"""),"White seats")</f>
        <v>White seats</v>
      </c>
      <c r="R1735" t="str">
        <f>IFERROR(__xludf.DUMMYFUNCTION("""COMPUTED_VALUE"""),"Autopilot")</f>
        <v>Autopilot</v>
      </c>
      <c r="X1735" t="str">
        <f>IFERROR(__xludf.DUMMYFUNCTION("""COMPUTED_VALUE"""),"Very Good")</f>
        <v>Very Good</v>
      </c>
      <c r="Y1735" t="str">
        <f>IFERROR(__xludf.DUMMYFUNCTION("""COMPUTED_VALUE"""),"Excellent")</f>
        <v>Excellent</v>
      </c>
      <c r="Z1735" t="str">
        <f>IFERROR(__xludf.DUMMYFUNCTION("""COMPUTED_VALUE"""),"Excellent")</f>
        <v>Excellent</v>
      </c>
      <c r="AA1735" t="str">
        <f>IFERROR(__xludf.DUMMYFUNCTION("""COMPUTED_VALUE"""),"Fair")</f>
        <v>Fair</v>
      </c>
      <c r="AB1735" t="str">
        <f>IFERROR(__xludf.DUMMYFUNCTION("""COMPUTED_VALUE"""),"Good")</f>
        <v>Good</v>
      </c>
      <c r="AH1735" s="189">
        <f>IFERROR(__xludf.DUMMYFUNCTION("""COMPUTED_VALUE"""),43608.8049783912)</f>
        <v>43608.80498</v>
      </c>
    </row>
    <row r="1736">
      <c r="A1736" t="str">
        <f>IFERROR(__xludf.DUMMYFUNCTION("""COMPUTED_VALUE"""),"Kyle***")</f>
        <v>Kyle***</v>
      </c>
      <c r="B1736" t="str">
        <f>IFERROR(__xludf.DUMMYFUNCTION("""COMPUTED_VALUE"""),"Los Angeles")</f>
        <v>Los Angeles</v>
      </c>
      <c r="C1736" t="str">
        <f>IFERROR(__xludf.DUMMYFUNCTION("""COMPUTED_VALUE"""),"CA")</f>
        <v>CA</v>
      </c>
      <c r="D1736" t="str">
        <f>IFERROR(__xludf.DUMMYFUNCTION("""COMPUTED_VALUE"""),"USA")</f>
        <v>USA</v>
      </c>
      <c r="E1736" s="188">
        <f>IFERROR(__xludf.DUMMYFUNCTION("""COMPUTED_VALUE"""),43596.0)</f>
        <v>43596</v>
      </c>
      <c r="F1736" s="188">
        <f>IFERROR(__xludf.DUMMYFUNCTION("""COMPUTED_VALUE"""),43604.0)</f>
        <v>43604</v>
      </c>
      <c r="H1736">
        <f>IFERROR(__xludf.DUMMYFUNCTION("""COMPUTED_VALUE"""),312055.0)</f>
        <v>312055</v>
      </c>
      <c r="I1736" t="str">
        <f>IFERROR(__xludf.DUMMYFUNCTION("""COMPUTED_VALUE"""),"03/19")</f>
        <v>03/19</v>
      </c>
      <c r="J1736" s="5">
        <f>IFERROR(__xludf.DUMMYFUNCTION("""COMPUTED_VALUE"""),43608.0)</f>
        <v>43608</v>
      </c>
      <c r="K1736">
        <f>IFERROR(__xludf.DUMMYFUNCTION("""COMPUTED_VALUE"""),8.0)</f>
        <v>8</v>
      </c>
      <c r="L1736">
        <f>IFERROR(__xludf.DUMMYFUNCTION("""COMPUTED_VALUE"""),4.0)</f>
        <v>4</v>
      </c>
      <c r="M1736">
        <f>IFERROR(__xludf.DUMMYFUNCTION("""COMPUTED_VALUE"""),12.0)</f>
        <v>12</v>
      </c>
      <c r="N1736" t="str">
        <f>IFERROR(__xludf.DUMMYFUNCTION("""COMPUTED_VALUE"""),"Model 3 SR+")</f>
        <v>Model 3 SR+</v>
      </c>
      <c r="O1736" t="str">
        <f>IFERROR(__xludf.DUMMYFUNCTION("""COMPUTED_VALUE"""),"Solid Black")</f>
        <v>Solid Black</v>
      </c>
      <c r="P1736" t="str">
        <f>IFERROR(__xludf.DUMMYFUNCTION("""COMPUTED_VALUE"""),"18 inch Aero")</f>
        <v>18 inch Aero</v>
      </c>
      <c r="Q1736" t="str">
        <f>IFERROR(__xludf.DUMMYFUNCTION("""COMPUTED_VALUE"""),"White seats")</f>
        <v>White seats</v>
      </c>
      <c r="R1736" t="str">
        <f>IFERROR(__xludf.DUMMYFUNCTION("""COMPUTED_VALUE"""),"Full Self-Driving")</f>
        <v>Full Self-Driving</v>
      </c>
      <c r="X1736" t="str">
        <f>IFERROR(__xludf.DUMMYFUNCTION("""COMPUTED_VALUE"""),"Very Good")</f>
        <v>Very Good</v>
      </c>
      <c r="Y1736" t="str">
        <f>IFERROR(__xludf.DUMMYFUNCTION("""COMPUTED_VALUE"""),"Poor")</f>
        <v>Poor</v>
      </c>
      <c r="Z1736" t="str">
        <f>IFERROR(__xludf.DUMMYFUNCTION("""COMPUTED_VALUE"""),"Fair")</f>
        <v>Fair</v>
      </c>
      <c r="AA1736" t="str">
        <f>IFERROR(__xludf.DUMMYFUNCTION("""COMPUTED_VALUE"""),"Excellent")</f>
        <v>Excellent</v>
      </c>
      <c r="AB1736" t="str">
        <f>IFERROR(__xludf.DUMMYFUNCTION("""COMPUTED_VALUE"""),"Fair")</f>
        <v>Fair</v>
      </c>
      <c r="AC1736">
        <f>IFERROR(__xludf.DUMMYFUNCTION("""COMPUTED_VALUE"""),1.0)</f>
        <v>1</v>
      </c>
      <c r="AH1736" s="189">
        <f>IFERROR(__xludf.DUMMYFUNCTION("""COMPUTED_VALUE"""),43608.984762314816)</f>
        <v>43608.98476</v>
      </c>
    </row>
    <row r="1737">
      <c r="A1737" t="str">
        <f>IFERROR(__xludf.DUMMYFUNCTION("""COMPUTED_VALUE"""),"Ghan04")</f>
        <v>Ghan04</v>
      </c>
      <c r="C1737" t="str">
        <f>IFERROR(__xludf.DUMMYFUNCTION("""COMPUTED_VALUE"""),"OK")</f>
        <v>OK</v>
      </c>
      <c r="D1737" t="str">
        <f>IFERROR(__xludf.DUMMYFUNCTION("""COMPUTED_VALUE"""),"USA")</f>
        <v>USA</v>
      </c>
      <c r="E1737" s="188">
        <f>IFERROR(__xludf.DUMMYFUNCTION("""COMPUTED_VALUE"""),43583.0)</f>
        <v>43583</v>
      </c>
      <c r="F1737" s="188">
        <f>IFERROR(__xludf.DUMMYFUNCTION("""COMPUTED_VALUE"""),43592.0)</f>
        <v>43592</v>
      </c>
      <c r="H1737">
        <f>IFERROR(__xludf.DUMMYFUNCTION("""COMPUTED_VALUE"""),308340.0)</f>
        <v>308340</v>
      </c>
      <c r="J1737" s="5">
        <f>IFERROR(__xludf.DUMMYFUNCTION("""COMPUTED_VALUE"""),43600.0)</f>
        <v>43600</v>
      </c>
      <c r="K1737">
        <f>IFERROR(__xludf.DUMMYFUNCTION("""COMPUTED_VALUE"""),9.0)</f>
        <v>9</v>
      </c>
      <c r="L1737">
        <f>IFERROR(__xludf.DUMMYFUNCTION("""COMPUTED_VALUE"""),8.0)</f>
        <v>8</v>
      </c>
      <c r="M1737">
        <f>IFERROR(__xludf.DUMMYFUNCTION("""COMPUTED_VALUE"""),17.0)</f>
        <v>17</v>
      </c>
      <c r="N1737" t="str">
        <f>IFERROR(__xludf.DUMMYFUNCTION("""COMPUTED_VALUE"""),"Model 3 SR+")</f>
        <v>Model 3 SR+</v>
      </c>
      <c r="O1737" t="str">
        <f>IFERROR(__xludf.DUMMYFUNCTION("""COMPUTED_VALUE"""),"Midnight Silver Metallic")</f>
        <v>Midnight Silver Metallic</v>
      </c>
      <c r="P1737" t="str">
        <f>IFERROR(__xludf.DUMMYFUNCTION("""COMPUTED_VALUE"""),"18 inch Aero")</f>
        <v>18 inch Aero</v>
      </c>
      <c r="Q1737" t="str">
        <f>IFERROR(__xludf.DUMMYFUNCTION("""COMPUTED_VALUE"""),"Black seats")</f>
        <v>Black seats</v>
      </c>
      <c r="R1737" t="str">
        <f>IFERROR(__xludf.DUMMYFUNCTION("""COMPUTED_VALUE"""),"Full Self-Driving")</f>
        <v>Full Self-Driving</v>
      </c>
      <c r="X1737" t="str">
        <f>IFERROR(__xludf.DUMMYFUNCTION("""COMPUTED_VALUE"""),"Very Good")</f>
        <v>Very Good</v>
      </c>
      <c r="Y1737" t="str">
        <f>IFERROR(__xludf.DUMMYFUNCTION("""COMPUTED_VALUE"""),"Very Good")</f>
        <v>Very Good</v>
      </c>
      <c r="Z1737" t="str">
        <f>IFERROR(__xludf.DUMMYFUNCTION("""COMPUTED_VALUE"""),"Excellent")</f>
        <v>Excellent</v>
      </c>
      <c r="AA1737" t="str">
        <f>IFERROR(__xludf.DUMMYFUNCTION("""COMPUTED_VALUE"""),"Very Good")</f>
        <v>Very Good</v>
      </c>
      <c r="AB1737" t="str">
        <f>IFERROR(__xludf.DUMMYFUNCTION("""COMPUTED_VALUE"""),"Very Good")</f>
        <v>Very Good</v>
      </c>
      <c r="AH1737" s="189">
        <f>IFERROR(__xludf.DUMMYFUNCTION("""COMPUTED_VALUE"""),43609.677399884255)</f>
        <v>43609.6774</v>
      </c>
    </row>
    <row r="1738">
      <c r="A1738" t="str">
        <f>IFERROR(__xludf.DUMMYFUNCTION("""COMPUTED_VALUE"""),"Justin2380")</f>
        <v>Justin2380</v>
      </c>
      <c r="B1738" t="str">
        <f>IFERROR(__xludf.DUMMYFUNCTION("""COMPUTED_VALUE"""),"Omaha")</f>
        <v>Omaha</v>
      </c>
      <c r="C1738" t="str">
        <f>IFERROR(__xludf.DUMMYFUNCTION("""COMPUTED_VALUE"""),"NE")</f>
        <v>NE</v>
      </c>
      <c r="D1738" t="str">
        <f>IFERROR(__xludf.DUMMYFUNCTION("""COMPUTED_VALUE"""),"USA")</f>
        <v>USA</v>
      </c>
      <c r="E1738" s="188">
        <f>IFERROR(__xludf.DUMMYFUNCTION("""COMPUTED_VALUE"""),43582.0)</f>
        <v>43582</v>
      </c>
      <c r="F1738" s="188">
        <f>IFERROR(__xludf.DUMMYFUNCTION("""COMPUTED_VALUE"""),43600.0)</f>
        <v>43600</v>
      </c>
      <c r="H1738">
        <f>IFERROR(__xludf.DUMMYFUNCTION("""COMPUTED_VALUE"""),211055.0)</f>
        <v>211055</v>
      </c>
      <c r="J1738" s="5">
        <f>IFERROR(__xludf.DUMMYFUNCTION("""COMPUTED_VALUE"""),43607.0)</f>
        <v>43607</v>
      </c>
      <c r="K1738">
        <f>IFERROR(__xludf.DUMMYFUNCTION("""COMPUTED_VALUE"""),18.0)</f>
        <v>18</v>
      </c>
      <c r="L1738">
        <f>IFERROR(__xludf.DUMMYFUNCTION("""COMPUTED_VALUE"""),7.0)</f>
        <v>7</v>
      </c>
      <c r="M1738">
        <f>IFERROR(__xludf.DUMMYFUNCTION("""COMPUTED_VALUE"""),25.0)</f>
        <v>25</v>
      </c>
      <c r="N1738" t="str">
        <f>IFERROR(__xludf.DUMMYFUNCTION("""COMPUTED_VALUE"""),"Model 3 LR AWD")</f>
        <v>Model 3 LR AWD</v>
      </c>
      <c r="O1738" t="str">
        <f>IFERROR(__xludf.DUMMYFUNCTION("""COMPUTED_VALUE"""),"Deep Blue Metallic")</f>
        <v>Deep Blue Metallic</v>
      </c>
      <c r="P1738" t="str">
        <f>IFERROR(__xludf.DUMMYFUNCTION("""COMPUTED_VALUE"""),"18 inch Aero")</f>
        <v>18 inch Aero</v>
      </c>
      <c r="Q1738" t="str">
        <f>IFERROR(__xludf.DUMMYFUNCTION("""COMPUTED_VALUE"""),"Black seats")</f>
        <v>Black seats</v>
      </c>
      <c r="R1738" t="str">
        <f>IFERROR(__xludf.DUMMYFUNCTION("""COMPUTED_VALUE"""),"Full Self-Driving")</f>
        <v>Full Self-Driving</v>
      </c>
      <c r="X1738" t="str">
        <f>IFERROR(__xludf.DUMMYFUNCTION("""COMPUTED_VALUE"""),"Excellent")</f>
        <v>Excellent</v>
      </c>
      <c r="Y1738" t="str">
        <f>IFERROR(__xludf.DUMMYFUNCTION("""COMPUTED_VALUE"""),"Excellent")</f>
        <v>Excellent</v>
      </c>
      <c r="Z1738" t="str">
        <f>IFERROR(__xludf.DUMMYFUNCTION("""COMPUTED_VALUE"""),"Excellent")</f>
        <v>Excellent</v>
      </c>
      <c r="AA1738" t="str">
        <f>IFERROR(__xludf.DUMMYFUNCTION("""COMPUTED_VALUE"""),"Excellent")</f>
        <v>Excellent</v>
      </c>
      <c r="AB1738" t="str">
        <f>IFERROR(__xludf.DUMMYFUNCTION("""COMPUTED_VALUE"""),"Excellent")</f>
        <v>Excellent</v>
      </c>
      <c r="AC1738">
        <f>IFERROR(__xludf.DUMMYFUNCTION("""COMPUTED_VALUE"""),1.0)</f>
        <v>1</v>
      </c>
      <c r="AD1738">
        <f>IFERROR(__xludf.DUMMYFUNCTION("""COMPUTED_VALUE"""),1.0)</f>
        <v>1</v>
      </c>
      <c r="AE1738">
        <f>IFERROR(__xludf.DUMMYFUNCTION("""COMPUTED_VALUE"""),0.0)</f>
        <v>0</v>
      </c>
      <c r="AH1738" s="189">
        <f>IFERROR(__xludf.DUMMYFUNCTION("""COMPUTED_VALUE"""),43610.8966528125)</f>
        <v>43610.89665</v>
      </c>
    </row>
    <row r="1739">
      <c r="A1739" t="str">
        <f>IFERROR(__xludf.DUMMYFUNCTION("""COMPUTED_VALUE"""),"Notrhj")</f>
        <v>Notrhj</v>
      </c>
      <c r="C1739" t="str">
        <f>IFERROR(__xludf.DUMMYFUNCTION("""COMPUTED_VALUE"""),"NY")</f>
        <v>NY</v>
      </c>
      <c r="D1739" t="str">
        <f>IFERROR(__xludf.DUMMYFUNCTION("""COMPUTED_VALUE"""),"USA")</f>
        <v>USA</v>
      </c>
      <c r="E1739" s="188">
        <f>IFERROR(__xludf.DUMMYFUNCTION("""COMPUTED_VALUE"""),43575.0)</f>
        <v>43575</v>
      </c>
      <c r="F1739" s="188">
        <f>IFERROR(__xludf.DUMMYFUNCTION("""COMPUTED_VALUE"""),43608.0)</f>
        <v>43608</v>
      </c>
      <c r="J1739" s="5">
        <f>IFERROR(__xludf.DUMMYFUNCTION("""COMPUTED_VALUE"""),43610.0)</f>
        <v>43610</v>
      </c>
      <c r="K1739">
        <f>IFERROR(__xludf.DUMMYFUNCTION("""COMPUTED_VALUE"""),33.0)</f>
        <v>33</v>
      </c>
      <c r="L1739">
        <f>IFERROR(__xludf.DUMMYFUNCTION("""COMPUTED_VALUE"""),2.0)</f>
        <v>2</v>
      </c>
      <c r="M1739">
        <f>IFERROR(__xludf.DUMMYFUNCTION("""COMPUTED_VALUE"""),35.0)</f>
        <v>35</v>
      </c>
      <c r="N1739" t="str">
        <f>IFERROR(__xludf.DUMMYFUNCTION("""COMPUTED_VALUE"""),"Model 3 Performance")</f>
        <v>Model 3 Performance</v>
      </c>
      <c r="O1739" t="str">
        <f>IFERROR(__xludf.DUMMYFUNCTION("""COMPUTED_VALUE"""),"Pearl White Multi-Coat")</f>
        <v>Pearl White Multi-Coat</v>
      </c>
      <c r="P1739" t="str">
        <f>IFERROR(__xludf.DUMMYFUNCTION("""COMPUTED_VALUE"""),"20 inch Sport")</f>
        <v>20 inch Sport</v>
      </c>
      <c r="Q1739" t="str">
        <f>IFERROR(__xludf.DUMMYFUNCTION("""COMPUTED_VALUE"""),"White seats")</f>
        <v>White seats</v>
      </c>
      <c r="R1739" t="str">
        <f>IFERROR(__xludf.DUMMYFUNCTION("""COMPUTED_VALUE"""),"Full Self-Driving")</f>
        <v>Full Self-Driving</v>
      </c>
      <c r="X1739" t="str">
        <f>IFERROR(__xludf.DUMMYFUNCTION("""COMPUTED_VALUE"""),"Good")</f>
        <v>Good</v>
      </c>
      <c r="Y1739" t="str">
        <f>IFERROR(__xludf.DUMMYFUNCTION("""COMPUTED_VALUE"""),"Very Good")</f>
        <v>Very Good</v>
      </c>
      <c r="Z1739" t="str">
        <f>IFERROR(__xludf.DUMMYFUNCTION("""COMPUTED_VALUE"""),"Very Good")</f>
        <v>Very Good</v>
      </c>
      <c r="AA1739" t="str">
        <f>IFERROR(__xludf.DUMMYFUNCTION("""COMPUTED_VALUE"""),"Poor")</f>
        <v>Poor</v>
      </c>
      <c r="AB1739" t="str">
        <f>IFERROR(__xludf.DUMMYFUNCTION("""COMPUTED_VALUE"""),"Good")</f>
        <v>Good</v>
      </c>
      <c r="AG1739" t="str">
        <f>IFERROR(__xludf.DUMMYFUNCTION("""COMPUTED_VALUE"""),"Configured 4-19 Reconfigured 4-20 5/19 Build Date")</f>
        <v>Configured 4-19 Reconfigured 4-20 5/19 Build Date</v>
      </c>
      <c r="AH1739" s="189">
        <f>IFERROR(__xludf.DUMMYFUNCTION("""COMPUTED_VALUE"""),43611.53059594907)</f>
        <v>43611.5306</v>
      </c>
    </row>
    <row r="1740">
      <c r="A1740" t="str">
        <f>IFERROR(__xludf.DUMMYFUNCTION("""COMPUTED_VALUE"""),"smartino")</f>
        <v>smartino</v>
      </c>
      <c r="B1740" t="str">
        <f>IFERROR(__xludf.DUMMYFUNCTION("""COMPUTED_VALUE"""),"Bloomington")</f>
        <v>Bloomington</v>
      </c>
      <c r="C1740" t="str">
        <f>IFERROR(__xludf.DUMMYFUNCTION("""COMPUTED_VALUE"""),"IN")</f>
        <v>IN</v>
      </c>
      <c r="D1740" t="str">
        <f>IFERROR(__xludf.DUMMYFUNCTION("""COMPUTED_VALUE"""),"USA")</f>
        <v>USA</v>
      </c>
      <c r="E1740" s="188">
        <f>IFERROR(__xludf.DUMMYFUNCTION("""COMPUTED_VALUE"""),43601.0)</f>
        <v>43601</v>
      </c>
      <c r="F1740" s="188">
        <f>IFERROR(__xludf.DUMMYFUNCTION("""COMPUTED_VALUE"""),43602.0)</f>
        <v>43602</v>
      </c>
      <c r="H1740" s="4">
        <f>IFERROR(__xludf.DUMMYFUNCTION("""COMPUTED_VALUE"""),386145.0)</f>
        <v>386145</v>
      </c>
      <c r="I1740" t="str">
        <f>IFERROR(__xludf.DUMMYFUNCTION("""COMPUTED_VALUE"""),"05/19")</f>
        <v>05/19</v>
      </c>
      <c r="J1740" s="5">
        <f>IFERROR(__xludf.DUMMYFUNCTION("""COMPUTED_VALUE"""),43610.0)</f>
        <v>43610</v>
      </c>
      <c r="K1740">
        <f>IFERROR(__xludf.DUMMYFUNCTION("""COMPUTED_VALUE"""),1.0)</f>
        <v>1</v>
      </c>
      <c r="L1740">
        <f>IFERROR(__xludf.DUMMYFUNCTION("""COMPUTED_VALUE"""),8.0)</f>
        <v>8</v>
      </c>
      <c r="M1740">
        <f>IFERROR(__xludf.DUMMYFUNCTION("""COMPUTED_VALUE"""),9.0)</f>
        <v>9</v>
      </c>
      <c r="N1740" t="str">
        <f>IFERROR(__xludf.DUMMYFUNCTION("""COMPUTED_VALUE"""),"Model 3 LR AWD")</f>
        <v>Model 3 LR AWD</v>
      </c>
      <c r="O1740" t="str">
        <f>IFERROR(__xludf.DUMMYFUNCTION("""COMPUTED_VALUE"""),"Midnight Silver Metallic")</f>
        <v>Midnight Silver Metallic</v>
      </c>
      <c r="P1740" t="str">
        <f>IFERROR(__xludf.DUMMYFUNCTION("""COMPUTED_VALUE"""),"18 inch Aero")</f>
        <v>18 inch Aero</v>
      </c>
      <c r="Q1740" t="str">
        <f>IFERROR(__xludf.DUMMYFUNCTION("""COMPUTED_VALUE"""),"Black seats")</f>
        <v>Black seats</v>
      </c>
      <c r="R1740" t="str">
        <f>IFERROR(__xludf.DUMMYFUNCTION("""COMPUTED_VALUE"""),"Full Self-Driving")</f>
        <v>Full Self-Driving</v>
      </c>
      <c r="X1740" t="str">
        <f>IFERROR(__xludf.DUMMYFUNCTION("""COMPUTED_VALUE"""),"Excellent")</f>
        <v>Excellent</v>
      </c>
      <c r="Y1740" t="str">
        <f>IFERROR(__xludf.DUMMYFUNCTION("""COMPUTED_VALUE"""),"Excellent")</f>
        <v>Excellent</v>
      </c>
      <c r="Z1740" t="str">
        <f>IFERROR(__xludf.DUMMYFUNCTION("""COMPUTED_VALUE"""),"Excellent")</f>
        <v>Excellent</v>
      </c>
      <c r="AA1740" t="str">
        <f>IFERROR(__xludf.DUMMYFUNCTION("""COMPUTED_VALUE"""),"Excellent")</f>
        <v>Excellent</v>
      </c>
      <c r="AB1740" t="str">
        <f>IFERROR(__xludf.DUMMYFUNCTION("""COMPUTED_VALUE"""),"Excellent")</f>
        <v>Excellent</v>
      </c>
      <c r="AH1740" s="189">
        <f>IFERROR(__xludf.DUMMYFUNCTION("""COMPUTED_VALUE"""),43613.289067210644)</f>
        <v>43613.28907</v>
      </c>
    </row>
    <row r="1741">
      <c r="A1741" t="str">
        <f>IFERROR(__xludf.DUMMYFUNCTION("""COMPUTED_VALUE"""),"kerrdawg02")</f>
        <v>kerrdawg02</v>
      </c>
      <c r="B1741" t="str">
        <f>IFERROR(__xludf.DUMMYFUNCTION("""COMPUTED_VALUE"""),"Houston")</f>
        <v>Houston</v>
      </c>
      <c r="C1741" t="str">
        <f>IFERROR(__xludf.DUMMYFUNCTION("""COMPUTED_VALUE"""),"TX")</f>
        <v>TX</v>
      </c>
      <c r="D1741" t="str">
        <f>IFERROR(__xludf.DUMMYFUNCTION("""COMPUTED_VALUE"""),"USA")</f>
        <v>USA</v>
      </c>
      <c r="E1741" s="188">
        <f>IFERROR(__xludf.DUMMYFUNCTION("""COMPUTED_VALUE"""),43580.0)</f>
        <v>43580</v>
      </c>
      <c r="F1741" s="188">
        <f>IFERROR(__xludf.DUMMYFUNCTION("""COMPUTED_VALUE"""),43596.0)</f>
        <v>43596</v>
      </c>
      <c r="I1741" t="str">
        <f>IFERROR(__xludf.DUMMYFUNCTION("""COMPUTED_VALUE"""),"05/19")</f>
        <v>05/19</v>
      </c>
      <c r="J1741" s="5">
        <f>IFERROR(__xludf.DUMMYFUNCTION("""COMPUTED_VALUE"""),43606.0)</f>
        <v>43606</v>
      </c>
      <c r="K1741">
        <f>IFERROR(__xludf.DUMMYFUNCTION("""COMPUTED_VALUE"""),16.0)</f>
        <v>16</v>
      </c>
      <c r="L1741">
        <f>IFERROR(__xludf.DUMMYFUNCTION("""COMPUTED_VALUE"""),10.0)</f>
        <v>10</v>
      </c>
      <c r="M1741">
        <f>IFERROR(__xludf.DUMMYFUNCTION("""COMPUTED_VALUE"""),26.0)</f>
        <v>26</v>
      </c>
      <c r="N1741" t="str">
        <f>IFERROR(__xludf.DUMMYFUNCTION("""COMPUTED_VALUE"""),"Model 3 LR AWD")</f>
        <v>Model 3 LR AWD</v>
      </c>
      <c r="O1741" t="str">
        <f>IFERROR(__xludf.DUMMYFUNCTION("""COMPUTED_VALUE"""),"Red Multi-Coat")</f>
        <v>Red Multi-Coat</v>
      </c>
      <c r="P1741" t="str">
        <f>IFERROR(__xludf.DUMMYFUNCTION("""COMPUTED_VALUE"""),"18 inch Aero")</f>
        <v>18 inch Aero</v>
      </c>
      <c r="Q1741" t="str">
        <f>IFERROR(__xludf.DUMMYFUNCTION("""COMPUTED_VALUE"""),"Black seats")</f>
        <v>Black seats</v>
      </c>
      <c r="R1741" t="str">
        <f>IFERROR(__xludf.DUMMYFUNCTION("""COMPUTED_VALUE"""),"Full Self-Driving")</f>
        <v>Full Self-Driving</v>
      </c>
      <c r="X1741" t="str">
        <f>IFERROR(__xludf.DUMMYFUNCTION("""COMPUTED_VALUE"""),"Excellent")</f>
        <v>Excellent</v>
      </c>
      <c r="Y1741" t="str">
        <f>IFERROR(__xludf.DUMMYFUNCTION("""COMPUTED_VALUE"""),"Very Good")</f>
        <v>Very Good</v>
      </c>
      <c r="Z1741" t="str">
        <f>IFERROR(__xludf.DUMMYFUNCTION("""COMPUTED_VALUE"""),"Excellent")</f>
        <v>Excellent</v>
      </c>
      <c r="AA1741" t="str">
        <f>IFERROR(__xludf.DUMMYFUNCTION("""COMPUTED_VALUE"""),"Fair")</f>
        <v>Fair</v>
      </c>
      <c r="AB1741" t="str">
        <f>IFERROR(__xludf.DUMMYFUNCTION("""COMPUTED_VALUE"""),"Good")</f>
        <v>Good</v>
      </c>
      <c r="AC1741">
        <f>IFERROR(__xludf.DUMMYFUNCTION("""COMPUTED_VALUE"""),2.0)</f>
        <v>2</v>
      </c>
      <c r="AD1741">
        <f>IFERROR(__xludf.DUMMYFUNCTION("""COMPUTED_VALUE"""),0.0)</f>
        <v>0</v>
      </c>
      <c r="AE1741">
        <f>IFERROR(__xludf.DUMMYFUNCTION("""COMPUTED_VALUE"""),0.0)</f>
        <v>0</v>
      </c>
      <c r="AG1741" t="str">
        <f>IFERROR(__xludf.DUMMYFUNCTION("""COMPUTED_VALUE"""),"Slow VIN assignment. Update, still nothing on May 7, 2019. Vin on May 11. Delivery date confirmed for May 21. ")</f>
        <v>Slow VIN assignment. Update, still nothing on May 7, 2019. Vin on May 11. Delivery date confirmed for May 21. </v>
      </c>
      <c r="AH1741" s="189">
        <f>IFERROR(__xludf.DUMMYFUNCTION("""COMPUTED_VALUE"""),43613.91267651621)</f>
        <v>43613.91268</v>
      </c>
    </row>
    <row r="1742">
      <c r="A1742" t="str">
        <f>IFERROR(__xludf.DUMMYFUNCTION("""COMPUTED_VALUE"""),"mcorf")</f>
        <v>mcorf</v>
      </c>
      <c r="B1742" t="str">
        <f>IFERROR(__xludf.DUMMYFUNCTION("""COMPUTED_VALUE"""),"Campbell")</f>
        <v>Campbell</v>
      </c>
      <c r="C1742" t="str">
        <f>IFERROR(__xludf.DUMMYFUNCTION("""COMPUTED_VALUE"""),"OH")</f>
        <v>OH</v>
      </c>
      <c r="D1742" t="str">
        <f>IFERROR(__xludf.DUMMYFUNCTION("""COMPUTED_VALUE"""),"USA")</f>
        <v>USA</v>
      </c>
      <c r="E1742" s="188">
        <f>IFERROR(__xludf.DUMMYFUNCTION("""COMPUTED_VALUE"""),43586.0)</f>
        <v>43586</v>
      </c>
      <c r="F1742" s="188">
        <f>IFERROR(__xludf.DUMMYFUNCTION("""COMPUTED_VALUE"""),43603.0)</f>
        <v>43603</v>
      </c>
      <c r="H1742">
        <f>IFERROR(__xludf.DUMMYFUNCTION("""COMPUTED_VALUE"""),384255.0)</f>
        <v>384255</v>
      </c>
      <c r="I1742" t="str">
        <f>IFERROR(__xludf.DUMMYFUNCTION("""COMPUTED_VALUE"""),"05/19")</f>
        <v>05/19</v>
      </c>
      <c r="J1742" s="5">
        <f>IFERROR(__xludf.DUMMYFUNCTION("""COMPUTED_VALUE"""),43613.0)</f>
        <v>43613</v>
      </c>
      <c r="K1742">
        <f>IFERROR(__xludf.DUMMYFUNCTION("""COMPUTED_VALUE"""),17.0)</f>
        <v>17</v>
      </c>
      <c r="L1742">
        <f>IFERROR(__xludf.DUMMYFUNCTION("""COMPUTED_VALUE"""),10.0)</f>
        <v>10</v>
      </c>
      <c r="M1742">
        <f>IFERROR(__xludf.DUMMYFUNCTION("""COMPUTED_VALUE"""),27.0)</f>
        <v>27</v>
      </c>
      <c r="N1742" t="str">
        <f>IFERROR(__xludf.DUMMYFUNCTION("""COMPUTED_VALUE"""),"Model 3 LR AWD")</f>
        <v>Model 3 LR AWD</v>
      </c>
      <c r="O1742" t="str">
        <f>IFERROR(__xludf.DUMMYFUNCTION("""COMPUTED_VALUE"""),"Solid Black")</f>
        <v>Solid Black</v>
      </c>
      <c r="P1742" t="str">
        <f>IFERROR(__xludf.DUMMYFUNCTION("""COMPUTED_VALUE"""),"18 inch Aero")</f>
        <v>18 inch Aero</v>
      </c>
      <c r="Q1742" t="str">
        <f>IFERROR(__xludf.DUMMYFUNCTION("""COMPUTED_VALUE"""),"Black seats")</f>
        <v>Black seats</v>
      </c>
      <c r="R1742" t="str">
        <f>IFERROR(__xludf.DUMMYFUNCTION("""COMPUTED_VALUE"""),"Full Self-Driving")</f>
        <v>Full Self-Driving</v>
      </c>
      <c r="X1742" t="str">
        <f>IFERROR(__xludf.DUMMYFUNCTION("""COMPUTED_VALUE"""),"Excellent")</f>
        <v>Excellent</v>
      </c>
      <c r="Y1742" t="str">
        <f>IFERROR(__xludf.DUMMYFUNCTION("""COMPUTED_VALUE"""),"Excellent")</f>
        <v>Excellent</v>
      </c>
      <c r="Z1742" t="str">
        <f>IFERROR(__xludf.DUMMYFUNCTION("""COMPUTED_VALUE"""),"Very Good")</f>
        <v>Very Good</v>
      </c>
      <c r="AA1742" t="str">
        <f>IFERROR(__xludf.DUMMYFUNCTION("""COMPUTED_VALUE"""),"Good")</f>
        <v>Good</v>
      </c>
      <c r="AB1742" t="str">
        <f>IFERROR(__xludf.DUMMYFUNCTION("""COMPUTED_VALUE"""),"Very Good")</f>
        <v>Very Good</v>
      </c>
      <c r="AC1742">
        <f>IFERROR(__xludf.DUMMYFUNCTION("""COMPUTED_VALUE"""),1.0)</f>
        <v>1</v>
      </c>
      <c r="AD1742">
        <f>IFERROR(__xludf.DUMMYFUNCTION("""COMPUTED_VALUE"""),0.0)</f>
        <v>0</v>
      </c>
      <c r="AE1742">
        <f>IFERROR(__xludf.DUMMYFUNCTION("""COMPUTED_VALUE"""),0.0)</f>
        <v>0</v>
      </c>
      <c r="AH1742" s="189">
        <f>IFERROR(__xludf.DUMMYFUNCTION("""COMPUTED_VALUE"""),43614.532735706016)</f>
        <v>43614.53274</v>
      </c>
    </row>
    <row r="1743">
      <c r="A1743" t="str">
        <f>IFERROR(__xludf.DUMMYFUNCTION("""COMPUTED_VALUE"""),"SuperW2")</f>
        <v>SuperW2</v>
      </c>
      <c r="B1743" t="str">
        <f>IFERROR(__xludf.DUMMYFUNCTION("""COMPUTED_VALUE"""),"Scotts Valley")</f>
        <v>Scotts Valley</v>
      </c>
      <c r="C1743" t="str">
        <f>IFERROR(__xludf.DUMMYFUNCTION("""COMPUTED_VALUE"""),"CA")</f>
        <v>CA</v>
      </c>
      <c r="D1743" t="str">
        <f>IFERROR(__xludf.DUMMYFUNCTION("""COMPUTED_VALUE"""),"USA")</f>
        <v>USA</v>
      </c>
      <c r="E1743" s="188">
        <f>IFERROR(__xludf.DUMMYFUNCTION("""COMPUTED_VALUE"""),43595.0)</f>
        <v>43595</v>
      </c>
      <c r="F1743" s="188">
        <f>IFERROR(__xludf.DUMMYFUNCTION("""COMPUTED_VALUE"""),43609.0)</f>
        <v>43609</v>
      </c>
      <c r="H1743">
        <f>IFERROR(__xludf.DUMMYFUNCTION("""COMPUTED_VALUE"""),195215.0)</f>
        <v>195215</v>
      </c>
      <c r="J1743" s="5">
        <f>IFERROR(__xludf.DUMMYFUNCTION("""COMPUTED_VALUE"""),43609.0)</f>
        <v>43609</v>
      </c>
      <c r="K1743">
        <f>IFERROR(__xludf.DUMMYFUNCTION("""COMPUTED_VALUE"""),14.0)</f>
        <v>14</v>
      </c>
      <c r="L1743">
        <f>IFERROR(__xludf.DUMMYFUNCTION("""COMPUTED_VALUE"""),0.0)</f>
        <v>0</v>
      </c>
      <c r="M1743">
        <f>IFERROR(__xludf.DUMMYFUNCTION("""COMPUTED_VALUE"""),14.0)</f>
        <v>14</v>
      </c>
      <c r="N1743" t="str">
        <f>IFERROR(__xludf.DUMMYFUNCTION("""COMPUTED_VALUE"""),"Model 3 LR AWD")</f>
        <v>Model 3 LR AWD</v>
      </c>
      <c r="O1743" t="str">
        <f>IFERROR(__xludf.DUMMYFUNCTION("""COMPUTED_VALUE"""),"Red Multi-Coat")</f>
        <v>Red Multi-Coat</v>
      </c>
      <c r="P1743" t="str">
        <f>IFERROR(__xludf.DUMMYFUNCTION("""COMPUTED_VALUE"""),"18 inch Aero")</f>
        <v>18 inch Aero</v>
      </c>
      <c r="Q1743" t="str">
        <f>IFERROR(__xludf.DUMMYFUNCTION("""COMPUTED_VALUE"""),"White seats")</f>
        <v>White seats</v>
      </c>
      <c r="R1743" t="str">
        <f>IFERROR(__xludf.DUMMYFUNCTION("""COMPUTED_VALUE"""),"Full Self-Driving")</f>
        <v>Full Self-Driving</v>
      </c>
      <c r="X1743" t="str">
        <f>IFERROR(__xludf.DUMMYFUNCTION("""COMPUTED_VALUE"""),"Excellent")</f>
        <v>Excellent</v>
      </c>
      <c r="Y1743" t="str">
        <f>IFERROR(__xludf.DUMMYFUNCTION("""COMPUTED_VALUE"""),"Excellent")</f>
        <v>Excellent</v>
      </c>
      <c r="Z1743" t="str">
        <f>IFERROR(__xludf.DUMMYFUNCTION("""COMPUTED_VALUE"""),"Excellent")</f>
        <v>Excellent</v>
      </c>
      <c r="AA1743" t="str">
        <f>IFERROR(__xludf.DUMMYFUNCTION("""COMPUTED_VALUE"""),"Poor")</f>
        <v>Poor</v>
      </c>
      <c r="AB1743" t="str">
        <f>IFERROR(__xludf.DUMMYFUNCTION("""COMPUTED_VALUE"""),"Very Good")</f>
        <v>Very Good</v>
      </c>
      <c r="AC1743">
        <f>IFERROR(__xludf.DUMMYFUNCTION("""COMPUTED_VALUE"""),0.0)</f>
        <v>0</v>
      </c>
      <c r="AH1743" s="189">
        <f>IFERROR(__xludf.DUMMYFUNCTION("""COMPUTED_VALUE"""),43614.93671565972)</f>
        <v>43614.93672</v>
      </c>
    </row>
    <row r="1744">
      <c r="A1744" t="str">
        <f>IFERROR(__xludf.DUMMYFUNCTION("""COMPUTED_VALUE"""),"Realmattyt")</f>
        <v>Realmattyt</v>
      </c>
      <c r="B1744" t="str">
        <f>IFERROR(__xludf.DUMMYFUNCTION("""COMPUTED_VALUE"""),"Hanford")</f>
        <v>Hanford</v>
      </c>
      <c r="C1744" t="str">
        <f>IFERROR(__xludf.DUMMYFUNCTION("""COMPUTED_VALUE"""),"CA")</f>
        <v>CA</v>
      </c>
      <c r="D1744" t="str">
        <f>IFERROR(__xludf.DUMMYFUNCTION("""COMPUTED_VALUE"""),"USA")</f>
        <v>USA</v>
      </c>
      <c r="E1744" s="188">
        <f>IFERROR(__xludf.DUMMYFUNCTION("""COMPUTED_VALUE"""),43582.0)</f>
        <v>43582</v>
      </c>
      <c r="F1744" s="188">
        <f>IFERROR(__xludf.DUMMYFUNCTION("""COMPUTED_VALUE"""),43612.0)</f>
        <v>43612</v>
      </c>
      <c r="H1744">
        <f>IFERROR(__xludf.DUMMYFUNCTION("""COMPUTED_VALUE"""),391955.0)</f>
        <v>391955</v>
      </c>
      <c r="J1744" s="5">
        <f>IFERROR(__xludf.DUMMYFUNCTION("""COMPUTED_VALUE"""),43614.0)</f>
        <v>43614</v>
      </c>
      <c r="K1744">
        <f>IFERROR(__xludf.DUMMYFUNCTION("""COMPUTED_VALUE"""),30.0)</f>
        <v>30</v>
      </c>
      <c r="L1744">
        <f>IFERROR(__xludf.DUMMYFUNCTION("""COMPUTED_VALUE"""),2.0)</f>
        <v>2</v>
      </c>
      <c r="M1744">
        <f>IFERROR(__xludf.DUMMYFUNCTION("""COMPUTED_VALUE"""),32.0)</f>
        <v>32</v>
      </c>
      <c r="N1744" t="str">
        <f>IFERROR(__xludf.DUMMYFUNCTION("""COMPUTED_VALUE"""),"Model 3 LR AWD")</f>
        <v>Model 3 LR AWD</v>
      </c>
      <c r="O1744" t="str">
        <f>IFERROR(__xludf.DUMMYFUNCTION("""COMPUTED_VALUE"""),"Deep Blue Metallic")</f>
        <v>Deep Blue Metallic</v>
      </c>
      <c r="P1744" t="str">
        <f>IFERROR(__xludf.DUMMYFUNCTION("""COMPUTED_VALUE"""),"19 inch Sport")</f>
        <v>19 inch Sport</v>
      </c>
      <c r="Q1744" t="str">
        <f>IFERROR(__xludf.DUMMYFUNCTION("""COMPUTED_VALUE"""),"White seats")</f>
        <v>White seats</v>
      </c>
      <c r="R1744" t="str">
        <f>IFERROR(__xludf.DUMMYFUNCTION("""COMPUTED_VALUE"""),"Full Self-Driving")</f>
        <v>Full Self-Driving</v>
      </c>
      <c r="X1744" t="str">
        <f>IFERROR(__xludf.DUMMYFUNCTION("""COMPUTED_VALUE"""),"Very Good")</f>
        <v>Very Good</v>
      </c>
      <c r="Y1744" t="str">
        <f>IFERROR(__xludf.DUMMYFUNCTION("""COMPUTED_VALUE"""),"Excellent")</f>
        <v>Excellent</v>
      </c>
      <c r="Z1744" t="str">
        <f>IFERROR(__xludf.DUMMYFUNCTION("""COMPUTED_VALUE"""),"Excellent")</f>
        <v>Excellent</v>
      </c>
      <c r="AA1744" t="str">
        <f>IFERROR(__xludf.DUMMYFUNCTION("""COMPUTED_VALUE"""),"Very Good")</f>
        <v>Very Good</v>
      </c>
      <c r="AB1744" t="str">
        <f>IFERROR(__xludf.DUMMYFUNCTION("""COMPUTED_VALUE"""),"Excellent")</f>
        <v>Excellent</v>
      </c>
      <c r="AG1744" t="str">
        <f>IFERROR(__xludf.DUMMYFUNCTION("""COMPUTED_VALUE"""),"First ordered on 4/14 with aero wheels.  Changed to sport wheels on 4/27. Received a Vin on 5/5 with a delivery date of 5/8. Told my DA I'd be out of the country until May 17. Now my tesla account is back to saying estimated delivery within 2 weeks")</f>
        <v>First ordered on 4/14 with aero wheels.  Changed to sport wheels on 4/27. Received a Vin on 5/5 with a delivery date of 5/8. Told my DA I'd be out of the country until May 17. Now my tesla account is back to saying estimated delivery within 2 weeks</v>
      </c>
      <c r="AH1744" s="189">
        <f>IFERROR(__xludf.DUMMYFUNCTION("""COMPUTED_VALUE"""),43615.456460138885)</f>
        <v>43615.45646</v>
      </c>
    </row>
    <row r="1745">
      <c r="A1745" t="str">
        <f>IFERROR(__xludf.DUMMYFUNCTION("""COMPUTED_VALUE"""),"rickput7")</f>
        <v>rickput7</v>
      </c>
      <c r="B1745" t="str">
        <f>IFERROR(__xludf.DUMMYFUNCTION("""COMPUTED_VALUE"""),"Beaverton")</f>
        <v>Beaverton</v>
      </c>
      <c r="C1745" t="str">
        <f>IFERROR(__xludf.DUMMYFUNCTION("""COMPUTED_VALUE"""),"OR")</f>
        <v>OR</v>
      </c>
      <c r="D1745" t="str">
        <f>IFERROR(__xludf.DUMMYFUNCTION("""COMPUTED_VALUE"""),"USA")</f>
        <v>USA</v>
      </c>
      <c r="E1745" s="188">
        <f>IFERROR(__xludf.DUMMYFUNCTION("""COMPUTED_VALUE"""),43577.0)</f>
        <v>43577</v>
      </c>
      <c r="F1745" s="188">
        <f>IFERROR(__xludf.DUMMYFUNCTION("""COMPUTED_VALUE"""),43610.0)</f>
        <v>43610</v>
      </c>
      <c r="H1745">
        <f>IFERROR(__xludf.DUMMYFUNCTION("""COMPUTED_VALUE"""),301825.0)</f>
        <v>301825</v>
      </c>
      <c r="J1745" s="5">
        <f>IFERROR(__xludf.DUMMYFUNCTION("""COMPUTED_VALUE"""),43614.0)</f>
        <v>43614</v>
      </c>
      <c r="K1745">
        <f>IFERROR(__xludf.DUMMYFUNCTION("""COMPUTED_VALUE"""),33.0)</f>
        <v>33</v>
      </c>
      <c r="L1745">
        <f>IFERROR(__xludf.DUMMYFUNCTION("""COMPUTED_VALUE"""),4.0)</f>
        <v>4</v>
      </c>
      <c r="M1745">
        <f>IFERROR(__xludf.DUMMYFUNCTION("""COMPUTED_VALUE"""),37.0)</f>
        <v>37</v>
      </c>
      <c r="N1745" t="str">
        <f>IFERROR(__xludf.DUMMYFUNCTION("""COMPUTED_VALUE"""),"Model 3 SR+")</f>
        <v>Model 3 SR+</v>
      </c>
      <c r="O1745" t="str">
        <f>IFERROR(__xludf.DUMMYFUNCTION("""COMPUTED_VALUE"""),"Midnight Silver Metallic")</f>
        <v>Midnight Silver Metallic</v>
      </c>
      <c r="P1745" t="str">
        <f>IFERROR(__xludf.DUMMYFUNCTION("""COMPUTED_VALUE"""),"18 inch Aero")</f>
        <v>18 inch Aero</v>
      </c>
      <c r="Q1745" t="str">
        <f>IFERROR(__xludf.DUMMYFUNCTION("""COMPUTED_VALUE"""),"White seats")</f>
        <v>White seats</v>
      </c>
      <c r="R1745" t="str">
        <f>IFERROR(__xludf.DUMMYFUNCTION("""COMPUTED_VALUE"""),"Autopilot")</f>
        <v>Autopilot</v>
      </c>
      <c r="X1745" t="str">
        <f>IFERROR(__xludf.DUMMYFUNCTION("""COMPUTED_VALUE"""),"Excellent")</f>
        <v>Excellent</v>
      </c>
      <c r="Y1745" t="str">
        <f>IFERROR(__xludf.DUMMYFUNCTION("""COMPUTED_VALUE"""),"Excellent")</f>
        <v>Excellent</v>
      </c>
      <c r="Z1745" t="str">
        <f>IFERROR(__xludf.DUMMYFUNCTION("""COMPUTED_VALUE"""),"Excellent")</f>
        <v>Excellent</v>
      </c>
      <c r="AA1745" t="str">
        <f>IFERROR(__xludf.DUMMYFUNCTION("""COMPUTED_VALUE"""),"Excellent")</f>
        <v>Excellent</v>
      </c>
      <c r="AB1745" t="str">
        <f>IFERROR(__xludf.DUMMYFUNCTION("""COMPUTED_VALUE"""),"Very Good")</f>
        <v>Very Good</v>
      </c>
      <c r="AG1745" t="str">
        <f>IFERROR(__xludf.DUMMYFUNCTION("""COMPUTED_VALUE"""),"Changed order to Inventory Vehicle on May 25th due to production delays of my exact configuration")</f>
        <v>Changed order to Inventory Vehicle on May 25th due to production delays of my exact configuration</v>
      </c>
      <c r="AH1745" s="189">
        <f>IFERROR(__xludf.DUMMYFUNCTION("""COMPUTED_VALUE"""),43615.64533277778)</f>
        <v>43615.64533</v>
      </c>
    </row>
    <row r="1746">
      <c r="A1746" t="str">
        <f>IFERROR(__xludf.DUMMYFUNCTION("""COMPUTED_VALUE"""),"samanthaxpalmer")</f>
        <v>samanthaxpalmer</v>
      </c>
      <c r="B1746" t="str">
        <f>IFERROR(__xludf.DUMMYFUNCTION("""COMPUTED_VALUE"""),"Richmond")</f>
        <v>Richmond</v>
      </c>
      <c r="C1746" t="str">
        <f>IFERROR(__xludf.DUMMYFUNCTION("""COMPUTED_VALUE"""),"VA")</f>
        <v>VA</v>
      </c>
      <c r="D1746" t="str">
        <f>IFERROR(__xludf.DUMMYFUNCTION("""COMPUTED_VALUE"""),"USA")</f>
        <v>USA</v>
      </c>
      <c r="E1746" s="188">
        <f>IFERROR(__xludf.DUMMYFUNCTION("""COMPUTED_VALUE"""),43552.0)</f>
        <v>43552</v>
      </c>
      <c r="F1746" s="188">
        <f>IFERROR(__xludf.DUMMYFUNCTION("""COMPUTED_VALUE"""),43610.0)</f>
        <v>43610</v>
      </c>
      <c r="H1746">
        <f>IFERROR(__xludf.DUMMYFUNCTION("""COMPUTED_VALUE"""),393485.0)</f>
        <v>393485</v>
      </c>
      <c r="I1746" t="str">
        <f>IFERROR(__xludf.DUMMYFUNCTION("""COMPUTED_VALUE"""),"05/19")</f>
        <v>05/19</v>
      </c>
      <c r="J1746" s="5">
        <f>IFERROR(__xludf.DUMMYFUNCTION("""COMPUTED_VALUE"""),43615.0)</f>
        <v>43615</v>
      </c>
      <c r="K1746">
        <f>IFERROR(__xludf.DUMMYFUNCTION("""COMPUTED_VALUE"""),58.0)</f>
        <v>58</v>
      </c>
      <c r="L1746">
        <f>IFERROR(__xludf.DUMMYFUNCTION("""COMPUTED_VALUE"""),5.0)</f>
        <v>5</v>
      </c>
      <c r="M1746">
        <f>IFERROR(__xludf.DUMMYFUNCTION("""COMPUTED_VALUE"""),63.0)</f>
        <v>63</v>
      </c>
      <c r="N1746" t="str">
        <f>IFERROR(__xludf.DUMMYFUNCTION("""COMPUTED_VALUE"""),"Model 3 Performance")</f>
        <v>Model 3 Performance</v>
      </c>
      <c r="O1746" t="str">
        <f>IFERROR(__xludf.DUMMYFUNCTION("""COMPUTED_VALUE"""),"Red Multi-Coat")</f>
        <v>Red Multi-Coat</v>
      </c>
      <c r="P1746" t="str">
        <f>IFERROR(__xludf.DUMMYFUNCTION("""COMPUTED_VALUE"""),"20 inch Sport")</f>
        <v>20 inch Sport</v>
      </c>
      <c r="Q1746" t="str">
        <f>IFERROR(__xludf.DUMMYFUNCTION("""COMPUTED_VALUE"""),"White seats")</f>
        <v>White seats</v>
      </c>
      <c r="R1746" t="str">
        <f>IFERROR(__xludf.DUMMYFUNCTION("""COMPUTED_VALUE"""),"Full Self-Driving")</f>
        <v>Full Self-Driving</v>
      </c>
      <c r="X1746" t="str">
        <f>IFERROR(__xludf.DUMMYFUNCTION("""COMPUTED_VALUE"""),"Very Good")</f>
        <v>Very Good</v>
      </c>
      <c r="Y1746" t="str">
        <f>IFERROR(__xludf.DUMMYFUNCTION("""COMPUTED_VALUE"""),"Excellent")</f>
        <v>Excellent</v>
      </c>
      <c r="Z1746" t="str">
        <f>IFERROR(__xludf.DUMMYFUNCTION("""COMPUTED_VALUE"""),"Very Good")</f>
        <v>Very Good</v>
      </c>
      <c r="AA1746" t="str">
        <f>IFERROR(__xludf.DUMMYFUNCTION("""COMPUTED_VALUE"""),"Good")</f>
        <v>Good</v>
      </c>
      <c r="AB1746" t="str">
        <f>IFERROR(__xludf.DUMMYFUNCTION("""COMPUTED_VALUE"""),"Excellent")</f>
        <v>Excellent</v>
      </c>
      <c r="AH1746" s="189">
        <f>IFERROR(__xludf.DUMMYFUNCTION("""COMPUTED_VALUE"""),43616.231202152776)</f>
        <v>43616.2312</v>
      </c>
    </row>
    <row r="1747">
      <c r="A1747" t="str">
        <f>IFERROR(__xludf.DUMMYFUNCTION("""COMPUTED_VALUE"""),"zachbiz")</f>
        <v>zachbiz</v>
      </c>
      <c r="B1747" t="str">
        <f>IFERROR(__xludf.DUMMYFUNCTION("""COMPUTED_VALUE"""),"San Diego")</f>
        <v>San Diego</v>
      </c>
      <c r="C1747" t="str">
        <f>IFERROR(__xludf.DUMMYFUNCTION("""COMPUTED_VALUE"""),"CA")</f>
        <v>CA</v>
      </c>
      <c r="D1747" t="str">
        <f>IFERROR(__xludf.DUMMYFUNCTION("""COMPUTED_VALUE"""),"USA")</f>
        <v>USA</v>
      </c>
      <c r="E1747" s="188">
        <f>IFERROR(__xludf.DUMMYFUNCTION("""COMPUTED_VALUE"""),43587.0)</f>
        <v>43587</v>
      </c>
      <c r="F1747" s="188">
        <f>IFERROR(__xludf.DUMMYFUNCTION("""COMPUTED_VALUE"""),43610.0)</f>
        <v>43610</v>
      </c>
      <c r="H1747">
        <f>IFERROR(__xludf.DUMMYFUNCTION("""COMPUTED_VALUE"""),213655.0)</f>
        <v>213655</v>
      </c>
      <c r="I1747" t="str">
        <f>IFERROR(__xludf.DUMMYFUNCTION("""COMPUTED_VALUE"""),"05/19")</f>
        <v>05/19</v>
      </c>
      <c r="J1747" s="5">
        <f>IFERROR(__xludf.DUMMYFUNCTION("""COMPUTED_VALUE"""),43613.0)</f>
        <v>43613</v>
      </c>
      <c r="K1747">
        <f>IFERROR(__xludf.DUMMYFUNCTION("""COMPUTED_VALUE"""),23.0)</f>
        <v>23</v>
      </c>
      <c r="L1747">
        <f>IFERROR(__xludf.DUMMYFUNCTION("""COMPUTED_VALUE"""),3.0)</f>
        <v>3</v>
      </c>
      <c r="M1747">
        <f>IFERROR(__xludf.DUMMYFUNCTION("""COMPUTED_VALUE"""),26.0)</f>
        <v>26</v>
      </c>
      <c r="N1747" t="str">
        <f>IFERROR(__xludf.DUMMYFUNCTION("""COMPUTED_VALUE"""),"Model 3 LR AWD")</f>
        <v>Model 3 LR AWD</v>
      </c>
      <c r="O1747" t="str">
        <f>IFERROR(__xludf.DUMMYFUNCTION("""COMPUTED_VALUE"""),"Pearl White Multi-Coat")</f>
        <v>Pearl White Multi-Coat</v>
      </c>
      <c r="P1747" t="str">
        <f>IFERROR(__xludf.DUMMYFUNCTION("""COMPUTED_VALUE"""),"18 inch Aero")</f>
        <v>18 inch Aero</v>
      </c>
      <c r="Q1747" t="str">
        <f>IFERROR(__xludf.DUMMYFUNCTION("""COMPUTED_VALUE"""),"White seats")</f>
        <v>White seats</v>
      </c>
      <c r="R1747" t="str">
        <f>IFERROR(__xludf.DUMMYFUNCTION("""COMPUTED_VALUE"""),"Autopilot")</f>
        <v>Autopilot</v>
      </c>
      <c r="X1747" t="str">
        <f>IFERROR(__xludf.DUMMYFUNCTION("""COMPUTED_VALUE"""),"Very Good")</f>
        <v>Very Good</v>
      </c>
      <c r="Y1747" t="str">
        <f>IFERROR(__xludf.DUMMYFUNCTION("""COMPUTED_VALUE"""),"Excellent")</f>
        <v>Excellent</v>
      </c>
      <c r="Z1747" t="str">
        <f>IFERROR(__xludf.DUMMYFUNCTION("""COMPUTED_VALUE"""),"Very Good")</f>
        <v>Very Good</v>
      </c>
      <c r="AA1747" t="str">
        <f>IFERROR(__xludf.DUMMYFUNCTION("""COMPUTED_VALUE"""),"Excellent")</f>
        <v>Excellent</v>
      </c>
      <c r="AB1747" t="str">
        <f>IFERROR(__xludf.DUMMYFUNCTION("""COMPUTED_VALUE"""),"Excellent")</f>
        <v>Excellent</v>
      </c>
      <c r="AC1747">
        <f>IFERROR(__xludf.DUMMYFUNCTION("""COMPUTED_VALUE"""),3.0)</f>
        <v>3</v>
      </c>
      <c r="AD1747">
        <f>IFERROR(__xludf.DUMMYFUNCTION("""COMPUTED_VALUE"""),1.0)</f>
        <v>1</v>
      </c>
      <c r="AG1747" t="str">
        <f>IFERROR(__xludf.DUMMYFUNCTION("""COMPUTED_VALUE"""),"Clear coat run on left mirror. Trunk panel gap issue. Paint blemish on right sideskirt. ")</f>
        <v>Clear coat run on left mirror. Trunk panel gap issue. Paint blemish on right sideskirt. </v>
      </c>
      <c r="AH1747" s="189">
        <f>IFERROR(__xludf.DUMMYFUNCTION("""COMPUTED_VALUE"""),43616.31414861111)</f>
        <v>43616.31415</v>
      </c>
    </row>
    <row r="1748">
      <c r="A1748" t="str">
        <f>IFERROR(__xludf.DUMMYFUNCTION("""COMPUTED_VALUE"""),"TnT")</f>
        <v>TnT</v>
      </c>
      <c r="B1748" t="str">
        <f>IFERROR(__xludf.DUMMYFUNCTION("""COMPUTED_VALUE"""),"Sacramento")</f>
        <v>Sacramento</v>
      </c>
      <c r="C1748" t="str">
        <f>IFERROR(__xludf.DUMMYFUNCTION("""COMPUTED_VALUE"""),"CA")</f>
        <v>CA</v>
      </c>
      <c r="D1748" t="str">
        <f>IFERROR(__xludf.DUMMYFUNCTION("""COMPUTED_VALUE"""),"USA")</f>
        <v>USA</v>
      </c>
      <c r="E1748" s="188">
        <f>IFERROR(__xludf.DUMMYFUNCTION("""COMPUTED_VALUE"""),43571.0)</f>
        <v>43571</v>
      </c>
      <c r="F1748" s="188">
        <f>IFERROR(__xludf.DUMMYFUNCTION("""COMPUTED_VALUE"""),43614.0)</f>
        <v>43614</v>
      </c>
      <c r="H1748">
        <f>IFERROR(__xludf.DUMMYFUNCTION("""COMPUTED_VALUE"""),365855.0)</f>
        <v>365855</v>
      </c>
      <c r="J1748" s="5">
        <f>IFERROR(__xludf.DUMMYFUNCTION("""COMPUTED_VALUE"""),43615.0)</f>
        <v>43615</v>
      </c>
      <c r="K1748">
        <f>IFERROR(__xludf.DUMMYFUNCTION("""COMPUTED_VALUE"""),43.0)</f>
        <v>43</v>
      </c>
      <c r="L1748">
        <f>IFERROR(__xludf.DUMMYFUNCTION("""COMPUTED_VALUE"""),1.0)</f>
        <v>1</v>
      </c>
      <c r="M1748">
        <f>IFERROR(__xludf.DUMMYFUNCTION("""COMPUTED_VALUE"""),44.0)</f>
        <v>44</v>
      </c>
      <c r="N1748" t="str">
        <f>IFERROR(__xludf.DUMMYFUNCTION("""COMPUTED_VALUE"""),"Model 3 LR AWD")</f>
        <v>Model 3 LR AWD</v>
      </c>
      <c r="O1748" t="str">
        <f>IFERROR(__xludf.DUMMYFUNCTION("""COMPUTED_VALUE"""),"Red Multi-Coat")</f>
        <v>Red Multi-Coat</v>
      </c>
      <c r="P1748" t="str">
        <f>IFERROR(__xludf.DUMMYFUNCTION("""COMPUTED_VALUE"""),"18 inch Aero")</f>
        <v>18 inch Aero</v>
      </c>
      <c r="Q1748" t="str">
        <f>IFERROR(__xludf.DUMMYFUNCTION("""COMPUTED_VALUE"""),"White seats")</f>
        <v>White seats</v>
      </c>
      <c r="R1748" t="str">
        <f>IFERROR(__xludf.DUMMYFUNCTION("""COMPUTED_VALUE"""),"Full Self-Driving")</f>
        <v>Full Self-Driving</v>
      </c>
      <c r="X1748" t="str">
        <f>IFERROR(__xludf.DUMMYFUNCTION("""COMPUTED_VALUE"""),"Excellent")</f>
        <v>Excellent</v>
      </c>
      <c r="Y1748" t="str">
        <f>IFERROR(__xludf.DUMMYFUNCTION("""COMPUTED_VALUE"""),"Excellent")</f>
        <v>Excellent</v>
      </c>
      <c r="Z1748" t="str">
        <f>IFERROR(__xludf.DUMMYFUNCTION("""COMPUTED_VALUE"""),"Excellent")</f>
        <v>Excellent</v>
      </c>
      <c r="AA1748" t="str">
        <f>IFERROR(__xludf.DUMMYFUNCTION("""COMPUTED_VALUE"""),"Fair")</f>
        <v>Fair</v>
      </c>
      <c r="AB1748" t="str">
        <f>IFERROR(__xludf.DUMMYFUNCTION("""COMPUTED_VALUE"""),"Good")</f>
        <v>Good</v>
      </c>
      <c r="AH1748" s="189">
        <f>IFERROR(__xludf.DUMMYFUNCTION("""COMPUTED_VALUE"""),43616.37451165509)</f>
        <v>43616.37451</v>
      </c>
    </row>
    <row r="1749">
      <c r="A1749" t="str">
        <f>IFERROR(__xludf.DUMMYFUNCTION("""COMPUTED_VALUE"""),"JulienW")</f>
        <v>JulienW</v>
      </c>
      <c r="B1749" t="str">
        <f>IFERROR(__xludf.DUMMYFUNCTION("""COMPUTED_VALUE"""),"Atlanta")</f>
        <v>Atlanta</v>
      </c>
      <c r="C1749" t="str">
        <f>IFERROR(__xludf.DUMMYFUNCTION("""COMPUTED_VALUE"""),"GA")</f>
        <v>GA</v>
      </c>
      <c r="D1749" t="str">
        <f>IFERROR(__xludf.DUMMYFUNCTION("""COMPUTED_VALUE"""),"USA")</f>
        <v>USA</v>
      </c>
      <c r="E1749" s="188">
        <f>IFERROR(__xludf.DUMMYFUNCTION("""COMPUTED_VALUE"""),43580.0)</f>
        <v>43580</v>
      </c>
      <c r="F1749" s="188">
        <f>IFERROR(__xludf.DUMMYFUNCTION("""COMPUTED_VALUE"""),43609.0)</f>
        <v>43609</v>
      </c>
      <c r="H1749" s="4">
        <f>IFERROR(__xludf.DUMMYFUNCTION("""COMPUTED_VALUE"""),391834.0)</f>
        <v>391834</v>
      </c>
      <c r="I1749" t="str">
        <f>IFERROR(__xludf.DUMMYFUNCTION("""COMPUTED_VALUE"""),"05/19")</f>
        <v>05/19</v>
      </c>
      <c r="J1749" s="5">
        <f>IFERROR(__xludf.DUMMYFUNCTION("""COMPUTED_VALUE"""),43615.0)</f>
        <v>43615</v>
      </c>
      <c r="K1749">
        <f>IFERROR(__xludf.DUMMYFUNCTION("""COMPUTED_VALUE"""),29.0)</f>
        <v>29</v>
      </c>
      <c r="L1749">
        <f>IFERROR(__xludf.DUMMYFUNCTION("""COMPUTED_VALUE"""),6.0)</f>
        <v>6</v>
      </c>
      <c r="M1749">
        <f>IFERROR(__xludf.DUMMYFUNCTION("""COMPUTED_VALUE"""),35.0)</f>
        <v>35</v>
      </c>
      <c r="N1749" t="str">
        <f>IFERROR(__xludf.DUMMYFUNCTION("""COMPUTED_VALUE"""),"Model 3 LR AWD")</f>
        <v>Model 3 LR AWD</v>
      </c>
      <c r="O1749" t="str">
        <f>IFERROR(__xludf.DUMMYFUNCTION("""COMPUTED_VALUE"""),"Red Multi-Coat")</f>
        <v>Red Multi-Coat</v>
      </c>
      <c r="P1749" t="str">
        <f>IFERROR(__xludf.DUMMYFUNCTION("""COMPUTED_VALUE"""),"19 inch Sport")</f>
        <v>19 inch Sport</v>
      </c>
      <c r="Q1749" t="str">
        <f>IFERROR(__xludf.DUMMYFUNCTION("""COMPUTED_VALUE"""),"White seats")</f>
        <v>White seats</v>
      </c>
      <c r="R1749" t="str">
        <f>IFERROR(__xludf.DUMMYFUNCTION("""COMPUTED_VALUE"""),"Full Self-Driving")</f>
        <v>Full Self-Driving</v>
      </c>
      <c r="X1749" t="str">
        <f>IFERROR(__xludf.DUMMYFUNCTION("""COMPUTED_VALUE"""),"Very Good")</f>
        <v>Very Good</v>
      </c>
      <c r="Y1749" t="str">
        <f>IFERROR(__xludf.DUMMYFUNCTION("""COMPUTED_VALUE"""),"Very Good")</f>
        <v>Very Good</v>
      </c>
      <c r="Z1749" t="str">
        <f>IFERROR(__xludf.DUMMYFUNCTION("""COMPUTED_VALUE"""),"Excellent")</f>
        <v>Excellent</v>
      </c>
      <c r="AA1749" t="str">
        <f>IFERROR(__xludf.DUMMYFUNCTION("""COMPUTED_VALUE"""),"Excellent")</f>
        <v>Excellent</v>
      </c>
      <c r="AB1749" t="str">
        <f>IFERROR(__xludf.DUMMYFUNCTION("""COMPUTED_VALUE"""),"Excellent")</f>
        <v>Excellent</v>
      </c>
      <c r="AH1749" s="189">
        <f>IFERROR(__xludf.DUMMYFUNCTION("""COMPUTED_VALUE"""),43616.54930614583)</f>
        <v>43616.54931</v>
      </c>
    </row>
    <row r="1750">
      <c r="A1750" t="str">
        <f>IFERROR(__xludf.DUMMYFUNCTION("""COMPUTED_VALUE"""),"Brentonator")</f>
        <v>Brentonator</v>
      </c>
      <c r="B1750" t="str">
        <f>IFERROR(__xludf.DUMMYFUNCTION("""COMPUTED_VALUE"""),"Boca Raton")</f>
        <v>Boca Raton</v>
      </c>
      <c r="C1750" t="str">
        <f>IFERROR(__xludf.DUMMYFUNCTION("""COMPUTED_VALUE"""),"FL")</f>
        <v>FL</v>
      </c>
      <c r="D1750" t="str">
        <f>IFERROR(__xludf.DUMMYFUNCTION("""COMPUTED_VALUE"""),"USA")</f>
        <v>USA</v>
      </c>
      <c r="E1750" s="188">
        <f>IFERROR(__xludf.DUMMYFUNCTION("""COMPUTED_VALUE"""),43573.0)</f>
        <v>43573</v>
      </c>
      <c r="F1750" s="188">
        <f>IFERROR(__xludf.DUMMYFUNCTION("""COMPUTED_VALUE"""),43582.0)</f>
        <v>43582</v>
      </c>
      <c r="H1750">
        <f>IFERROR(__xludf.DUMMYFUNCTION("""COMPUTED_VALUE"""),237855.0)</f>
        <v>237855</v>
      </c>
      <c r="J1750" s="5">
        <f>IFERROR(__xludf.DUMMYFUNCTION("""COMPUTED_VALUE"""),43589.0)</f>
        <v>43589</v>
      </c>
      <c r="K1750">
        <f>IFERROR(__xludf.DUMMYFUNCTION("""COMPUTED_VALUE"""),9.0)</f>
        <v>9</v>
      </c>
      <c r="L1750">
        <f>IFERROR(__xludf.DUMMYFUNCTION("""COMPUTED_VALUE"""),7.0)</f>
        <v>7</v>
      </c>
      <c r="M1750">
        <f>IFERROR(__xludf.DUMMYFUNCTION("""COMPUTED_VALUE"""),16.0)</f>
        <v>16</v>
      </c>
      <c r="N1750" t="str">
        <f>IFERROR(__xludf.DUMMYFUNCTION("""COMPUTED_VALUE"""),"Model 3 Performance")</f>
        <v>Model 3 Performance</v>
      </c>
      <c r="O1750" t="str">
        <f>IFERROR(__xludf.DUMMYFUNCTION("""COMPUTED_VALUE"""),"Midnight Silver Metallic")</f>
        <v>Midnight Silver Metallic</v>
      </c>
      <c r="P1750" t="str">
        <f>IFERROR(__xludf.DUMMYFUNCTION("""COMPUTED_VALUE"""),"20 inch Sport")</f>
        <v>20 inch Sport</v>
      </c>
      <c r="Q1750" t="str">
        <f>IFERROR(__xludf.DUMMYFUNCTION("""COMPUTED_VALUE"""),"Black seats")</f>
        <v>Black seats</v>
      </c>
      <c r="R1750" t="str">
        <f>IFERROR(__xludf.DUMMYFUNCTION("""COMPUTED_VALUE"""),"Full Self-Driving")</f>
        <v>Full Self-Driving</v>
      </c>
      <c r="X1750" t="str">
        <f>IFERROR(__xludf.DUMMYFUNCTION("""COMPUTED_VALUE"""),"Excellent")</f>
        <v>Excellent</v>
      </c>
      <c r="Y1750" t="str">
        <f>IFERROR(__xludf.DUMMYFUNCTION("""COMPUTED_VALUE"""),"Excellent")</f>
        <v>Excellent</v>
      </c>
      <c r="Z1750" t="str">
        <f>IFERROR(__xludf.DUMMYFUNCTION("""COMPUTED_VALUE"""),"Good")</f>
        <v>Good</v>
      </c>
      <c r="AA1750" t="str">
        <f>IFERROR(__xludf.DUMMYFUNCTION("""COMPUTED_VALUE"""),"Very Good")</f>
        <v>Very Good</v>
      </c>
      <c r="AB1750" t="str">
        <f>IFERROR(__xludf.DUMMYFUNCTION("""COMPUTED_VALUE"""),"Excellent")</f>
        <v>Excellent</v>
      </c>
      <c r="AC1750">
        <f>IFERROR(__xludf.DUMMYFUNCTION("""COMPUTED_VALUE"""),4.0)</f>
        <v>4</v>
      </c>
      <c r="AD1750">
        <f>IFERROR(__xludf.DUMMYFUNCTION("""COMPUTED_VALUE"""),1.0)</f>
        <v>1</v>
      </c>
      <c r="AE1750">
        <f>IFERROR(__xludf.DUMMYFUNCTION("""COMPUTED_VALUE"""),0.0)</f>
        <v>0</v>
      </c>
      <c r="AG1750" t="str">
        <f>IFERROR(__xludf.DUMMYFUNCTION("""COMPUTED_VALUE"""),"One paint chip, several inclusions in the paint on the hood and other panels that are going to be touched up.")</f>
        <v>One paint chip, several inclusions in the paint on the hood and other panels that are going to be touched up.</v>
      </c>
      <c r="AH1750" s="189">
        <f>IFERROR(__xludf.DUMMYFUNCTION("""COMPUTED_VALUE"""),43616.76691420139)</f>
        <v>43616.76691</v>
      </c>
    </row>
    <row r="1751">
      <c r="A1751" t="str">
        <f>IFERROR(__xludf.DUMMYFUNCTION("""COMPUTED_VALUE"""),"Fireheart")</f>
        <v>Fireheart</v>
      </c>
      <c r="B1751" t="str">
        <f>IFERROR(__xludf.DUMMYFUNCTION("""COMPUTED_VALUE"""),"Bay area")</f>
        <v>Bay area</v>
      </c>
      <c r="C1751" t="str">
        <f>IFERROR(__xludf.DUMMYFUNCTION("""COMPUTED_VALUE"""),"CA")</f>
        <v>CA</v>
      </c>
      <c r="D1751" t="str">
        <f>IFERROR(__xludf.DUMMYFUNCTION("""COMPUTED_VALUE"""),"USA")</f>
        <v>USA</v>
      </c>
      <c r="E1751" s="188">
        <f>IFERROR(__xludf.DUMMYFUNCTION("""COMPUTED_VALUE"""),43611.0)</f>
        <v>43611</v>
      </c>
      <c r="F1751" s="188">
        <f>IFERROR(__xludf.DUMMYFUNCTION("""COMPUTED_VALUE"""),43614.0)</f>
        <v>43614</v>
      </c>
      <c r="H1751">
        <f>IFERROR(__xludf.DUMMYFUNCTION("""COMPUTED_VALUE"""),391155.0)</f>
        <v>391155</v>
      </c>
      <c r="J1751" s="5">
        <f>IFERROR(__xludf.DUMMYFUNCTION("""COMPUTED_VALUE"""),43616.0)</f>
        <v>43616</v>
      </c>
      <c r="K1751">
        <f>IFERROR(__xludf.DUMMYFUNCTION("""COMPUTED_VALUE"""),3.0)</f>
        <v>3</v>
      </c>
      <c r="L1751">
        <f>IFERROR(__xludf.DUMMYFUNCTION("""COMPUTED_VALUE"""),2.0)</f>
        <v>2</v>
      </c>
      <c r="M1751">
        <f>IFERROR(__xludf.DUMMYFUNCTION("""COMPUTED_VALUE"""),5.0)</f>
        <v>5</v>
      </c>
      <c r="N1751" t="str">
        <f>IFERROR(__xludf.DUMMYFUNCTION("""COMPUTED_VALUE"""),"Model 3 LR AWD")</f>
        <v>Model 3 LR AWD</v>
      </c>
      <c r="O1751" t="str">
        <f>IFERROR(__xludf.DUMMYFUNCTION("""COMPUTED_VALUE"""),"Pearl White Multi-Coat")</f>
        <v>Pearl White Multi-Coat</v>
      </c>
      <c r="P1751" t="str">
        <f>IFERROR(__xludf.DUMMYFUNCTION("""COMPUTED_VALUE"""),"18 inch Aero")</f>
        <v>18 inch Aero</v>
      </c>
      <c r="Q1751" t="str">
        <f>IFERROR(__xludf.DUMMYFUNCTION("""COMPUTED_VALUE"""),"White seats")</f>
        <v>White seats</v>
      </c>
      <c r="R1751" t="str">
        <f>IFERROR(__xludf.DUMMYFUNCTION("""COMPUTED_VALUE"""),"Autopilot")</f>
        <v>Autopilot</v>
      </c>
      <c r="X1751" t="str">
        <f>IFERROR(__xludf.DUMMYFUNCTION("""COMPUTED_VALUE"""),"Excellent")</f>
        <v>Excellent</v>
      </c>
      <c r="Y1751" t="str">
        <f>IFERROR(__xludf.DUMMYFUNCTION("""COMPUTED_VALUE"""),"Excellent")</f>
        <v>Excellent</v>
      </c>
      <c r="Z1751" t="str">
        <f>IFERROR(__xludf.DUMMYFUNCTION("""COMPUTED_VALUE"""),"Very Good")</f>
        <v>Very Good</v>
      </c>
      <c r="AA1751" t="str">
        <f>IFERROR(__xludf.DUMMYFUNCTION("""COMPUTED_VALUE"""),"Very Good")</f>
        <v>Very Good</v>
      </c>
      <c r="AB1751" t="str">
        <f>IFERROR(__xludf.DUMMYFUNCTION("""COMPUTED_VALUE"""),"Poor")</f>
        <v>Poor</v>
      </c>
      <c r="AH1751" s="189">
        <f>IFERROR(__xludf.DUMMYFUNCTION("""COMPUTED_VALUE"""),43616.94503358797)</f>
        <v>43616.94503</v>
      </c>
    </row>
    <row r="1752">
      <c r="A1752" t="str">
        <f>IFERROR(__xludf.DUMMYFUNCTION("""COMPUTED_VALUE"""),"Dropzone_JD")</f>
        <v>Dropzone_JD</v>
      </c>
      <c r="B1752" t="str">
        <f>IFERROR(__xludf.DUMMYFUNCTION("""COMPUTED_VALUE"""),"San Diego")</f>
        <v>San Diego</v>
      </c>
      <c r="C1752" t="str">
        <f>IFERROR(__xludf.DUMMYFUNCTION("""COMPUTED_VALUE"""),"CA")</f>
        <v>CA</v>
      </c>
      <c r="D1752" t="str">
        <f>IFERROR(__xludf.DUMMYFUNCTION("""COMPUTED_VALUE"""),"USA")</f>
        <v>USA</v>
      </c>
      <c r="E1752" s="188">
        <f>IFERROR(__xludf.DUMMYFUNCTION("""COMPUTED_VALUE"""),43591.0)</f>
        <v>43591</v>
      </c>
      <c r="F1752" s="188">
        <f>IFERROR(__xludf.DUMMYFUNCTION("""COMPUTED_VALUE"""),43610.0)</f>
        <v>43610</v>
      </c>
      <c r="H1752">
        <f>IFERROR(__xludf.DUMMYFUNCTION("""COMPUTED_VALUE"""),195255.0)</f>
        <v>195255</v>
      </c>
      <c r="J1752" s="5">
        <f>IFERROR(__xludf.DUMMYFUNCTION("""COMPUTED_VALUE"""),43613.0)</f>
        <v>43613</v>
      </c>
      <c r="K1752">
        <f>IFERROR(__xludf.DUMMYFUNCTION("""COMPUTED_VALUE"""),19.0)</f>
        <v>19</v>
      </c>
      <c r="L1752">
        <f>IFERROR(__xludf.DUMMYFUNCTION("""COMPUTED_VALUE"""),3.0)</f>
        <v>3</v>
      </c>
      <c r="M1752">
        <f>IFERROR(__xludf.DUMMYFUNCTION("""COMPUTED_VALUE"""),22.0)</f>
        <v>22</v>
      </c>
      <c r="N1752" t="str">
        <f>IFERROR(__xludf.DUMMYFUNCTION("""COMPUTED_VALUE"""),"Model 3 LR AWD")</f>
        <v>Model 3 LR AWD</v>
      </c>
      <c r="O1752" t="str">
        <f>IFERROR(__xludf.DUMMYFUNCTION("""COMPUTED_VALUE"""),"Midnight Silver Metallic")</f>
        <v>Midnight Silver Metallic</v>
      </c>
      <c r="P1752" t="str">
        <f>IFERROR(__xludf.DUMMYFUNCTION("""COMPUTED_VALUE"""),"18 inch Aero")</f>
        <v>18 inch Aero</v>
      </c>
      <c r="Q1752" t="str">
        <f>IFERROR(__xludf.DUMMYFUNCTION("""COMPUTED_VALUE"""),"White seats")</f>
        <v>White seats</v>
      </c>
      <c r="R1752" t="str">
        <f>IFERROR(__xludf.DUMMYFUNCTION("""COMPUTED_VALUE"""),"Full Self-Driving")</f>
        <v>Full Self-Driving</v>
      </c>
      <c r="X1752" t="str">
        <f>IFERROR(__xludf.DUMMYFUNCTION("""COMPUTED_VALUE"""),"Excellent")</f>
        <v>Excellent</v>
      </c>
      <c r="Y1752" t="str">
        <f>IFERROR(__xludf.DUMMYFUNCTION("""COMPUTED_VALUE"""),"Excellent")</f>
        <v>Excellent</v>
      </c>
      <c r="Z1752" t="str">
        <f>IFERROR(__xludf.DUMMYFUNCTION("""COMPUTED_VALUE"""),"Excellent")</f>
        <v>Excellent</v>
      </c>
      <c r="AA1752" t="str">
        <f>IFERROR(__xludf.DUMMYFUNCTION("""COMPUTED_VALUE"""),"Fair")</f>
        <v>Fair</v>
      </c>
      <c r="AB1752" t="str">
        <f>IFERROR(__xludf.DUMMYFUNCTION("""COMPUTED_VALUE"""),"Excellent")</f>
        <v>Excellent</v>
      </c>
      <c r="AG1752" t="str">
        <f>IFERROR(__xludf.DUMMYFUNCTION("""COMPUTED_VALUE"""),"Absolutely amazing car")</f>
        <v>Absolutely amazing car</v>
      </c>
      <c r="AH1752" s="189">
        <f>IFERROR(__xludf.DUMMYFUNCTION("""COMPUTED_VALUE"""),43617.77865306713)</f>
        <v>43617.77865</v>
      </c>
    </row>
    <row r="1753">
      <c r="A1753" t="str">
        <f>IFERROR(__xludf.DUMMYFUNCTION("""COMPUTED_VALUE"""),"NR")</f>
        <v>NR</v>
      </c>
      <c r="B1753" t="str">
        <f>IFERROR(__xludf.DUMMYFUNCTION("""COMPUTED_VALUE"""),"Minneapolis")</f>
        <v>Minneapolis</v>
      </c>
      <c r="C1753" t="str">
        <f>IFERROR(__xludf.DUMMYFUNCTION("""COMPUTED_VALUE"""),"MN")</f>
        <v>MN</v>
      </c>
      <c r="D1753" t="str">
        <f>IFERROR(__xludf.DUMMYFUNCTION("""COMPUTED_VALUE"""),"USA")</f>
        <v>USA</v>
      </c>
      <c r="E1753" s="188">
        <f>IFERROR(__xludf.DUMMYFUNCTION("""COMPUTED_VALUE"""),43605.0)</f>
        <v>43605</v>
      </c>
      <c r="F1753" s="188">
        <f>IFERROR(__xludf.DUMMYFUNCTION("""COMPUTED_VALUE"""),43617.0)</f>
        <v>43617</v>
      </c>
      <c r="I1753" t="str">
        <f>IFERROR(__xludf.DUMMYFUNCTION("""COMPUTED_VALUE"""),"05/19")</f>
        <v>05/19</v>
      </c>
      <c r="J1753" s="5">
        <f>IFERROR(__xludf.DUMMYFUNCTION("""COMPUTED_VALUE"""),43617.0)</f>
        <v>43617</v>
      </c>
      <c r="K1753">
        <f>IFERROR(__xludf.DUMMYFUNCTION("""COMPUTED_VALUE"""),12.0)</f>
        <v>12</v>
      </c>
      <c r="L1753">
        <f>IFERROR(__xludf.DUMMYFUNCTION("""COMPUTED_VALUE"""),0.0)</f>
        <v>0</v>
      </c>
      <c r="M1753">
        <f>IFERROR(__xludf.DUMMYFUNCTION("""COMPUTED_VALUE"""),12.0)</f>
        <v>12</v>
      </c>
      <c r="N1753" t="str">
        <f>IFERROR(__xludf.DUMMYFUNCTION("""COMPUTED_VALUE"""),"Model 3 LR AWD")</f>
        <v>Model 3 LR AWD</v>
      </c>
      <c r="O1753" t="str">
        <f>IFERROR(__xludf.DUMMYFUNCTION("""COMPUTED_VALUE"""),"Midnight Silver Metallic")</f>
        <v>Midnight Silver Metallic</v>
      </c>
      <c r="P1753" t="str">
        <f>IFERROR(__xludf.DUMMYFUNCTION("""COMPUTED_VALUE"""),"18 inch Aero")</f>
        <v>18 inch Aero</v>
      </c>
      <c r="Q1753" t="str">
        <f>IFERROR(__xludf.DUMMYFUNCTION("""COMPUTED_VALUE"""),"White seats")</f>
        <v>White seats</v>
      </c>
      <c r="R1753" t="str">
        <f>IFERROR(__xludf.DUMMYFUNCTION("""COMPUTED_VALUE"""),"Full Self-Driving")</f>
        <v>Full Self-Driving</v>
      </c>
      <c r="X1753" t="str">
        <f>IFERROR(__xludf.DUMMYFUNCTION("""COMPUTED_VALUE"""),"Excellent")</f>
        <v>Excellent</v>
      </c>
      <c r="Y1753" t="str">
        <f>IFERROR(__xludf.DUMMYFUNCTION("""COMPUTED_VALUE"""),"Excellent")</f>
        <v>Excellent</v>
      </c>
      <c r="Z1753" t="str">
        <f>IFERROR(__xludf.DUMMYFUNCTION("""COMPUTED_VALUE"""),"Excellent")</f>
        <v>Excellent</v>
      </c>
      <c r="AA1753" t="str">
        <f>IFERROR(__xludf.DUMMYFUNCTION("""COMPUTED_VALUE"""),"Excellent")</f>
        <v>Excellent</v>
      </c>
      <c r="AB1753" t="str">
        <f>IFERROR(__xludf.DUMMYFUNCTION("""COMPUTED_VALUE"""),"Very Good")</f>
        <v>Very Good</v>
      </c>
      <c r="AH1753" s="189">
        <f>IFERROR(__xludf.DUMMYFUNCTION("""COMPUTED_VALUE"""),43618.14668821759)</f>
        <v>43618.14669</v>
      </c>
    </row>
    <row r="1754">
      <c r="A1754" t="str">
        <f>IFERROR(__xludf.DUMMYFUNCTION("""COMPUTED_VALUE"""),"icegunner")</f>
        <v>icegunner</v>
      </c>
      <c r="B1754" t="str">
        <f>IFERROR(__xludf.DUMMYFUNCTION("""COMPUTED_VALUE"""),"Austin")</f>
        <v>Austin</v>
      </c>
      <c r="C1754" t="str">
        <f>IFERROR(__xludf.DUMMYFUNCTION("""COMPUTED_VALUE"""),"TX")</f>
        <v>TX</v>
      </c>
      <c r="D1754" t="str">
        <f>IFERROR(__xludf.DUMMYFUNCTION("""COMPUTED_VALUE"""),"USA")</f>
        <v>USA</v>
      </c>
      <c r="E1754" s="188">
        <f>IFERROR(__xludf.DUMMYFUNCTION("""COMPUTED_VALUE"""),43575.0)</f>
        <v>43575</v>
      </c>
      <c r="F1754" s="188">
        <f>IFERROR(__xludf.DUMMYFUNCTION("""COMPUTED_VALUE"""),43593.0)</f>
        <v>43593</v>
      </c>
      <c r="H1754">
        <f>IFERROR(__xludf.DUMMYFUNCTION("""COMPUTED_VALUE"""),192234.0)</f>
        <v>192234</v>
      </c>
      <c r="I1754" t="str">
        <f>IFERROR(__xludf.DUMMYFUNCTION("""COMPUTED_VALUE"""),"05/19")</f>
        <v>05/19</v>
      </c>
      <c r="J1754" s="5">
        <f>IFERROR(__xludf.DUMMYFUNCTION("""COMPUTED_VALUE"""),43600.0)</f>
        <v>43600</v>
      </c>
      <c r="K1754">
        <f>IFERROR(__xludf.DUMMYFUNCTION("""COMPUTED_VALUE"""),18.0)</f>
        <v>18</v>
      </c>
      <c r="L1754">
        <f>IFERROR(__xludf.DUMMYFUNCTION("""COMPUTED_VALUE"""),7.0)</f>
        <v>7</v>
      </c>
      <c r="M1754">
        <f>IFERROR(__xludf.DUMMYFUNCTION("""COMPUTED_VALUE"""),25.0)</f>
        <v>25</v>
      </c>
      <c r="N1754" t="str">
        <f>IFERROR(__xludf.DUMMYFUNCTION("""COMPUTED_VALUE"""),"Model 3 LR AWD")</f>
        <v>Model 3 LR AWD</v>
      </c>
      <c r="O1754" t="str">
        <f>IFERROR(__xludf.DUMMYFUNCTION("""COMPUTED_VALUE"""),"Deep Blue Metallic")</f>
        <v>Deep Blue Metallic</v>
      </c>
      <c r="P1754" t="str">
        <f>IFERROR(__xludf.DUMMYFUNCTION("""COMPUTED_VALUE"""),"18 inch Aero")</f>
        <v>18 inch Aero</v>
      </c>
      <c r="Q1754" t="str">
        <f>IFERROR(__xludf.DUMMYFUNCTION("""COMPUTED_VALUE"""),"White seats")</f>
        <v>White seats</v>
      </c>
      <c r="R1754" t="str">
        <f>IFERROR(__xludf.DUMMYFUNCTION("""COMPUTED_VALUE"""),"Full Self-Driving")</f>
        <v>Full Self-Driving</v>
      </c>
      <c r="X1754" t="str">
        <f>IFERROR(__xludf.DUMMYFUNCTION("""COMPUTED_VALUE"""),"Excellent")</f>
        <v>Excellent</v>
      </c>
      <c r="Y1754" t="str">
        <f>IFERROR(__xludf.DUMMYFUNCTION("""COMPUTED_VALUE"""),"Excellent")</f>
        <v>Excellent</v>
      </c>
      <c r="Z1754" t="str">
        <f>IFERROR(__xludf.DUMMYFUNCTION("""COMPUTED_VALUE"""),"Excellent")</f>
        <v>Excellent</v>
      </c>
      <c r="AA1754" t="str">
        <f>IFERROR(__xludf.DUMMYFUNCTION("""COMPUTED_VALUE"""),"Fair")</f>
        <v>Fair</v>
      </c>
      <c r="AB1754" t="str">
        <f>IFERROR(__xludf.DUMMYFUNCTION("""COMPUTED_VALUE"""),"Very Good")</f>
        <v>Very Good</v>
      </c>
      <c r="AC1754">
        <f>IFERROR(__xludf.DUMMYFUNCTION("""COMPUTED_VALUE"""),2.0)</f>
        <v>2</v>
      </c>
      <c r="AD1754">
        <f>IFERROR(__xludf.DUMMYFUNCTION("""COMPUTED_VALUE"""),1.0)</f>
        <v>1</v>
      </c>
      <c r="AE1754">
        <f>IFERROR(__xludf.DUMMYFUNCTION("""COMPUTED_VALUE"""),1.0)</f>
        <v>1</v>
      </c>
      <c r="AG1754" t="str">
        <f>IFERROR(__xludf.DUMMYFUNCTION("""COMPUTED_VALUE"""),"05/04/19 build date; HW3; SW 2019.7.106 at delivery.")</f>
        <v>05/04/19 build date; HW3; SW 2019.7.106 at delivery.</v>
      </c>
      <c r="AH1754" s="189">
        <f>IFERROR(__xludf.DUMMYFUNCTION("""COMPUTED_VALUE"""),43618.35037712963)</f>
        <v>43618.35038</v>
      </c>
    </row>
    <row r="1755">
      <c r="A1755" t="str">
        <f>IFERROR(__xludf.DUMMYFUNCTION("""COMPUTED_VALUE"""),"Pliskin01")</f>
        <v>Pliskin01</v>
      </c>
      <c r="B1755" t="str">
        <f>IFERROR(__xludf.DUMMYFUNCTION("""COMPUTED_VALUE"""),"St. Louis")</f>
        <v>St. Louis</v>
      </c>
      <c r="C1755" t="str">
        <f>IFERROR(__xludf.DUMMYFUNCTION("""COMPUTED_VALUE"""),"MO")</f>
        <v>MO</v>
      </c>
      <c r="D1755" t="str">
        <f>IFERROR(__xludf.DUMMYFUNCTION("""COMPUTED_VALUE"""),"USA")</f>
        <v>USA</v>
      </c>
      <c r="E1755" s="188">
        <f>IFERROR(__xludf.DUMMYFUNCTION("""COMPUTED_VALUE"""),43582.0)</f>
        <v>43582</v>
      </c>
      <c r="F1755" s="188">
        <f>IFERROR(__xludf.DUMMYFUNCTION("""COMPUTED_VALUE"""),43612.0)</f>
        <v>43612</v>
      </c>
      <c r="H1755">
        <f>IFERROR(__xludf.DUMMYFUNCTION("""COMPUTED_VALUE"""),368155.0)</f>
        <v>368155</v>
      </c>
      <c r="I1755" t="str">
        <f>IFERROR(__xludf.DUMMYFUNCTION("""COMPUTED_VALUE"""),"05/19")</f>
        <v>05/19</v>
      </c>
      <c r="J1755" s="5">
        <f>IFERROR(__xludf.DUMMYFUNCTION("""COMPUTED_VALUE"""),43613.0)</f>
        <v>43613</v>
      </c>
      <c r="K1755">
        <f>IFERROR(__xludf.DUMMYFUNCTION("""COMPUTED_VALUE"""),30.0)</f>
        <v>30</v>
      </c>
      <c r="L1755">
        <f>IFERROR(__xludf.DUMMYFUNCTION("""COMPUTED_VALUE"""),1.0)</f>
        <v>1</v>
      </c>
      <c r="M1755">
        <f>IFERROR(__xludf.DUMMYFUNCTION("""COMPUTED_VALUE"""),31.0)</f>
        <v>31</v>
      </c>
      <c r="N1755" t="str">
        <f>IFERROR(__xludf.DUMMYFUNCTION("""COMPUTED_VALUE"""),"Model 3 Performance")</f>
        <v>Model 3 Performance</v>
      </c>
      <c r="O1755" t="str">
        <f>IFERROR(__xludf.DUMMYFUNCTION("""COMPUTED_VALUE"""),"Midnight Silver Metallic")</f>
        <v>Midnight Silver Metallic</v>
      </c>
      <c r="P1755" t="str">
        <f>IFERROR(__xludf.DUMMYFUNCTION("""COMPUTED_VALUE"""),"20 inch Sport")</f>
        <v>20 inch Sport</v>
      </c>
      <c r="Q1755" t="str">
        <f>IFERROR(__xludf.DUMMYFUNCTION("""COMPUTED_VALUE"""),"Black seats")</f>
        <v>Black seats</v>
      </c>
      <c r="R1755" t="str">
        <f>IFERROR(__xludf.DUMMYFUNCTION("""COMPUTED_VALUE"""),"Autopilot")</f>
        <v>Autopilot</v>
      </c>
      <c r="X1755" t="str">
        <f>IFERROR(__xludf.DUMMYFUNCTION("""COMPUTED_VALUE"""),"Excellent")</f>
        <v>Excellent</v>
      </c>
      <c r="Y1755" t="str">
        <f>IFERROR(__xludf.DUMMYFUNCTION("""COMPUTED_VALUE"""),"Excellent")</f>
        <v>Excellent</v>
      </c>
      <c r="Z1755" t="str">
        <f>IFERROR(__xludf.DUMMYFUNCTION("""COMPUTED_VALUE"""),"Excellent")</f>
        <v>Excellent</v>
      </c>
      <c r="AA1755" t="str">
        <f>IFERROR(__xludf.DUMMYFUNCTION("""COMPUTED_VALUE"""),"Very Good")</f>
        <v>Very Good</v>
      </c>
      <c r="AB1755" t="str">
        <f>IFERROR(__xludf.DUMMYFUNCTION("""COMPUTED_VALUE"""),"Very Good")</f>
        <v>Very Good</v>
      </c>
      <c r="AH1755" s="189">
        <f>IFERROR(__xludf.DUMMYFUNCTION("""COMPUTED_VALUE"""),43618.47942885417)</f>
        <v>43618.47943</v>
      </c>
    </row>
    <row r="1756">
      <c r="A1756" t="str">
        <f>IFERROR(__xludf.DUMMYFUNCTION("""COMPUTED_VALUE"""),"breischaft")</f>
        <v>breischaft</v>
      </c>
      <c r="B1756" t="str">
        <f>IFERROR(__xludf.DUMMYFUNCTION("""COMPUTED_VALUE"""),"Fort Wayne")</f>
        <v>Fort Wayne</v>
      </c>
      <c r="C1756" t="str">
        <f>IFERROR(__xludf.DUMMYFUNCTION("""COMPUTED_VALUE"""),"IN")</f>
        <v>IN</v>
      </c>
      <c r="D1756" t="str">
        <f>IFERROR(__xludf.DUMMYFUNCTION("""COMPUTED_VALUE"""),"USA")</f>
        <v>USA</v>
      </c>
      <c r="E1756" s="188">
        <f>IFERROR(__xludf.DUMMYFUNCTION("""COMPUTED_VALUE"""),43568.0)</f>
        <v>43568</v>
      </c>
      <c r="F1756" s="188">
        <f>IFERROR(__xludf.DUMMYFUNCTION("""COMPUTED_VALUE"""),43610.0)</f>
        <v>43610</v>
      </c>
      <c r="H1756">
        <f>IFERROR(__xludf.DUMMYFUNCTION("""COMPUTED_VALUE"""),393487.0)</f>
        <v>393487</v>
      </c>
      <c r="J1756" s="5">
        <f>IFERROR(__xludf.DUMMYFUNCTION("""COMPUTED_VALUE"""),43617.0)</f>
        <v>43617</v>
      </c>
      <c r="K1756">
        <f>IFERROR(__xludf.DUMMYFUNCTION("""COMPUTED_VALUE"""),42.0)</f>
        <v>42</v>
      </c>
      <c r="L1756">
        <f>IFERROR(__xludf.DUMMYFUNCTION("""COMPUTED_VALUE"""),7.0)</f>
        <v>7</v>
      </c>
      <c r="M1756">
        <f>IFERROR(__xludf.DUMMYFUNCTION("""COMPUTED_VALUE"""),49.0)</f>
        <v>49</v>
      </c>
      <c r="N1756" t="str">
        <f>IFERROR(__xludf.DUMMYFUNCTION("""COMPUTED_VALUE"""),"Model 3 Performance")</f>
        <v>Model 3 Performance</v>
      </c>
      <c r="O1756" t="str">
        <f>IFERROR(__xludf.DUMMYFUNCTION("""COMPUTED_VALUE"""),"Red Multi-Coat")</f>
        <v>Red Multi-Coat</v>
      </c>
      <c r="P1756" t="str">
        <f>IFERROR(__xludf.DUMMYFUNCTION("""COMPUTED_VALUE"""),"20 inch Sport")</f>
        <v>20 inch Sport</v>
      </c>
      <c r="Q1756" t="str">
        <f>IFERROR(__xludf.DUMMYFUNCTION("""COMPUTED_VALUE"""),"White seats")</f>
        <v>White seats</v>
      </c>
      <c r="R1756" t="str">
        <f>IFERROR(__xludf.DUMMYFUNCTION("""COMPUTED_VALUE"""),"Full Self-Driving")</f>
        <v>Full Self-Driving</v>
      </c>
      <c r="X1756" t="str">
        <f>IFERROR(__xludf.DUMMYFUNCTION("""COMPUTED_VALUE"""),"Excellent")</f>
        <v>Excellent</v>
      </c>
      <c r="Y1756" t="str">
        <f>IFERROR(__xludf.DUMMYFUNCTION("""COMPUTED_VALUE"""),"Excellent")</f>
        <v>Excellent</v>
      </c>
      <c r="Z1756" t="str">
        <f>IFERROR(__xludf.DUMMYFUNCTION("""COMPUTED_VALUE"""),"Excellent")</f>
        <v>Excellent</v>
      </c>
      <c r="AA1756" t="str">
        <f>IFERROR(__xludf.DUMMYFUNCTION("""COMPUTED_VALUE"""),"Poor")</f>
        <v>Poor</v>
      </c>
      <c r="AB1756" t="str">
        <f>IFERROR(__xludf.DUMMYFUNCTION("""COMPUTED_VALUE"""),"Excellent")</f>
        <v>Excellent</v>
      </c>
      <c r="AC1756">
        <f>IFERROR(__xludf.DUMMYFUNCTION("""COMPUTED_VALUE"""),1.0)</f>
        <v>1</v>
      </c>
      <c r="AH1756" s="189">
        <f>IFERROR(__xludf.DUMMYFUNCTION("""COMPUTED_VALUE"""),43618.699743680554)</f>
        <v>43618.69974</v>
      </c>
    </row>
    <row r="1757">
      <c r="A1757" t="str">
        <f>IFERROR(__xludf.DUMMYFUNCTION("""COMPUTED_VALUE"""),"Eleonore")</f>
        <v>Eleonore</v>
      </c>
      <c r="B1757" t="str">
        <f>IFERROR(__xludf.DUMMYFUNCTION("""COMPUTED_VALUE"""),"Montreal")</f>
        <v>Montreal</v>
      </c>
      <c r="C1757" t="str">
        <f>IFERROR(__xludf.DUMMYFUNCTION("""COMPUTED_VALUE"""),"QC")</f>
        <v>QC</v>
      </c>
      <c r="D1757" t="str">
        <f>IFERROR(__xludf.DUMMYFUNCTION("""COMPUTED_VALUE"""),"Canada")</f>
        <v>Canada</v>
      </c>
      <c r="E1757" s="188">
        <f>IFERROR(__xludf.DUMMYFUNCTION("""COMPUTED_VALUE"""),43539.0)</f>
        <v>43539</v>
      </c>
      <c r="F1757" s="188">
        <f>IFERROR(__xludf.DUMMYFUNCTION("""COMPUTED_VALUE"""),43595.0)</f>
        <v>43595</v>
      </c>
      <c r="H1757">
        <f>IFERROR(__xludf.DUMMYFUNCTION("""COMPUTED_VALUE"""),366055.0)</f>
        <v>366055</v>
      </c>
      <c r="J1757" s="5">
        <f>IFERROR(__xludf.DUMMYFUNCTION("""COMPUTED_VALUE"""),43602.0)</f>
        <v>43602</v>
      </c>
      <c r="K1757">
        <f>IFERROR(__xludf.DUMMYFUNCTION("""COMPUTED_VALUE"""),56.0)</f>
        <v>56</v>
      </c>
      <c r="L1757">
        <f>IFERROR(__xludf.DUMMYFUNCTION("""COMPUTED_VALUE"""),7.0)</f>
        <v>7</v>
      </c>
      <c r="M1757">
        <f>IFERROR(__xludf.DUMMYFUNCTION("""COMPUTED_VALUE"""),63.0)</f>
        <v>63</v>
      </c>
      <c r="N1757" t="str">
        <f>IFERROR(__xludf.DUMMYFUNCTION("""COMPUTED_VALUE"""),"Model 3 LR AWD")</f>
        <v>Model 3 LR AWD</v>
      </c>
      <c r="O1757" t="str">
        <f>IFERROR(__xludf.DUMMYFUNCTION("""COMPUTED_VALUE"""),"Midnight Silver Metallic")</f>
        <v>Midnight Silver Metallic</v>
      </c>
      <c r="P1757" t="str">
        <f>IFERROR(__xludf.DUMMYFUNCTION("""COMPUTED_VALUE"""),"19 inch Sport")</f>
        <v>19 inch Sport</v>
      </c>
      <c r="Q1757" t="str">
        <f>IFERROR(__xludf.DUMMYFUNCTION("""COMPUTED_VALUE"""),"Black seats")</f>
        <v>Black seats</v>
      </c>
      <c r="R1757" t="str">
        <f>IFERROR(__xludf.DUMMYFUNCTION("""COMPUTED_VALUE"""),"Full Self-Driving")</f>
        <v>Full Self-Driving</v>
      </c>
      <c r="X1757" t="str">
        <f>IFERROR(__xludf.DUMMYFUNCTION("""COMPUTED_VALUE"""),"Excellent")</f>
        <v>Excellent</v>
      </c>
      <c r="Y1757" t="str">
        <f>IFERROR(__xludf.DUMMYFUNCTION("""COMPUTED_VALUE"""),"Excellent")</f>
        <v>Excellent</v>
      </c>
      <c r="Z1757" t="str">
        <f>IFERROR(__xludf.DUMMYFUNCTION("""COMPUTED_VALUE"""),"Excellent")</f>
        <v>Excellent</v>
      </c>
      <c r="AA1757" t="str">
        <f>IFERROR(__xludf.DUMMYFUNCTION("""COMPUTED_VALUE"""),"Fair")</f>
        <v>Fair</v>
      </c>
      <c r="AB1757" t="str">
        <f>IFERROR(__xludf.DUMMYFUNCTION("""COMPUTED_VALUE"""),"Very Good")</f>
        <v>Very Good</v>
      </c>
      <c r="AC1757">
        <f>IFERROR(__xludf.DUMMYFUNCTION("""COMPUTED_VALUE"""),0.0)</f>
        <v>0</v>
      </c>
      <c r="AD1757">
        <f>IFERROR(__xludf.DUMMYFUNCTION("""COMPUTED_VALUE"""),0.0)</f>
        <v>0</v>
      </c>
      <c r="AE1757">
        <f>IFERROR(__xludf.DUMMYFUNCTION("""COMPUTED_VALUE"""),0.0)</f>
        <v>0</v>
      </c>
      <c r="AH1757" s="189">
        <f>IFERROR(__xludf.DUMMYFUNCTION("""COMPUTED_VALUE"""),43618.80361798611)</f>
        <v>43618.80362</v>
      </c>
    </row>
    <row r="1758">
      <c r="A1758" t="str">
        <f>IFERROR(__xludf.DUMMYFUNCTION("""COMPUTED_VALUE"""),"Torontohm3wait")</f>
        <v>Torontohm3wait</v>
      </c>
      <c r="B1758" t="str">
        <f>IFERROR(__xludf.DUMMYFUNCTION("""COMPUTED_VALUE"""),"Toronto")</f>
        <v>Toronto</v>
      </c>
      <c r="C1758" t="str">
        <f>IFERROR(__xludf.DUMMYFUNCTION("""COMPUTED_VALUE"""),"ON")</f>
        <v>ON</v>
      </c>
      <c r="D1758" t="str">
        <f>IFERROR(__xludf.DUMMYFUNCTION("""COMPUTED_VALUE"""),"Canada")</f>
        <v>Canada</v>
      </c>
      <c r="E1758" s="188">
        <f>IFERROR(__xludf.DUMMYFUNCTION("""COMPUTED_VALUE"""),43532.0)</f>
        <v>43532</v>
      </c>
      <c r="F1758" s="188">
        <f>IFERROR(__xludf.DUMMYFUNCTION("""COMPUTED_VALUE"""),43603.0)</f>
        <v>43603</v>
      </c>
      <c r="J1758" s="5">
        <f>IFERROR(__xludf.DUMMYFUNCTION("""COMPUTED_VALUE"""),43617.0)</f>
        <v>43617</v>
      </c>
      <c r="K1758">
        <f>IFERROR(__xludf.DUMMYFUNCTION("""COMPUTED_VALUE"""),71.0)</f>
        <v>71</v>
      </c>
      <c r="L1758">
        <f>IFERROR(__xludf.DUMMYFUNCTION("""COMPUTED_VALUE"""),14.0)</f>
        <v>14</v>
      </c>
      <c r="M1758">
        <f>IFERROR(__xludf.DUMMYFUNCTION("""COMPUTED_VALUE"""),85.0)</f>
        <v>85</v>
      </c>
      <c r="N1758" t="str">
        <f>IFERROR(__xludf.DUMMYFUNCTION("""COMPUTED_VALUE"""),"Model 3 SR+")</f>
        <v>Model 3 SR+</v>
      </c>
      <c r="O1758" t="str">
        <f>IFERROR(__xludf.DUMMYFUNCTION("""COMPUTED_VALUE"""),"Red Multi-Coat")</f>
        <v>Red Multi-Coat</v>
      </c>
      <c r="P1758" t="str">
        <f>IFERROR(__xludf.DUMMYFUNCTION("""COMPUTED_VALUE"""),"19 inch Sport")</f>
        <v>19 inch Sport</v>
      </c>
      <c r="Q1758" t="str">
        <f>IFERROR(__xludf.DUMMYFUNCTION("""COMPUTED_VALUE"""),"White seats")</f>
        <v>White seats</v>
      </c>
      <c r="R1758" t="str">
        <f>IFERROR(__xludf.DUMMYFUNCTION("""COMPUTED_VALUE"""),"Full Self-Driving")</f>
        <v>Full Self-Driving</v>
      </c>
      <c r="X1758" t="str">
        <f>IFERROR(__xludf.DUMMYFUNCTION("""COMPUTED_VALUE"""),"Excellent")</f>
        <v>Excellent</v>
      </c>
      <c r="Y1758" t="str">
        <f>IFERROR(__xludf.DUMMYFUNCTION("""COMPUTED_VALUE"""),"Excellent")</f>
        <v>Excellent</v>
      </c>
      <c r="Z1758" t="str">
        <f>IFERROR(__xludf.DUMMYFUNCTION("""COMPUTED_VALUE"""),"Very Good")</f>
        <v>Very Good</v>
      </c>
      <c r="AA1758" t="str">
        <f>IFERROR(__xludf.DUMMYFUNCTION("""COMPUTED_VALUE"""),"Poor")</f>
        <v>Poor</v>
      </c>
      <c r="AB1758" t="str">
        <f>IFERROR(__xludf.DUMMYFUNCTION("""COMPUTED_VALUE"""),"Very Good")</f>
        <v>Very Good</v>
      </c>
      <c r="AC1758">
        <f>IFERROR(__xludf.DUMMYFUNCTION("""COMPUTED_VALUE"""),2.0)</f>
        <v>2</v>
      </c>
      <c r="AG1758" t="str">
        <f>IFERROR(__xludf.DUMMYFUNCTION("""COMPUTED_VALUE"""),"Received")</f>
        <v>Received</v>
      </c>
      <c r="AH1758" s="189">
        <f>IFERROR(__xludf.DUMMYFUNCTION("""COMPUTED_VALUE"""),43618.81309938658)</f>
        <v>43618.8131</v>
      </c>
    </row>
    <row r="1759">
      <c r="A1759" t="str">
        <f>IFERROR(__xludf.DUMMYFUNCTION("""COMPUTED_VALUE"""),"sraza")</f>
        <v>sraza</v>
      </c>
      <c r="B1759" t="str">
        <f>IFERROR(__xludf.DUMMYFUNCTION("""COMPUTED_VALUE"""),"Vancouver")</f>
        <v>Vancouver</v>
      </c>
      <c r="C1759" t="str">
        <f>IFERROR(__xludf.DUMMYFUNCTION("""COMPUTED_VALUE"""),"BC")</f>
        <v>BC</v>
      </c>
      <c r="D1759" t="str">
        <f>IFERROR(__xludf.DUMMYFUNCTION("""COMPUTED_VALUE"""),"Canada")</f>
        <v>Canada</v>
      </c>
      <c r="E1759" s="188">
        <f>IFERROR(__xludf.DUMMYFUNCTION("""COMPUTED_VALUE"""),43588.0)</f>
        <v>43588</v>
      </c>
      <c r="F1759" s="188">
        <f>IFERROR(__xludf.DUMMYFUNCTION("""COMPUTED_VALUE"""),43605.0)</f>
        <v>43605</v>
      </c>
      <c r="H1759">
        <f>IFERROR(__xludf.DUMMYFUNCTION("""COMPUTED_VALUE"""),400755.0)</f>
        <v>400755</v>
      </c>
      <c r="I1759" t="str">
        <f>IFERROR(__xludf.DUMMYFUNCTION("""COMPUTED_VALUE"""),"05/19")</f>
        <v>05/19</v>
      </c>
      <c r="J1759" s="5">
        <f>IFERROR(__xludf.DUMMYFUNCTION("""COMPUTED_VALUE"""),43617.0)</f>
        <v>43617</v>
      </c>
      <c r="K1759">
        <f>IFERROR(__xludf.DUMMYFUNCTION("""COMPUTED_VALUE"""),17.0)</f>
        <v>17</v>
      </c>
      <c r="L1759">
        <f>IFERROR(__xludf.DUMMYFUNCTION("""COMPUTED_VALUE"""),12.0)</f>
        <v>12</v>
      </c>
      <c r="M1759">
        <f>IFERROR(__xludf.DUMMYFUNCTION("""COMPUTED_VALUE"""),29.0)</f>
        <v>29</v>
      </c>
      <c r="N1759" t="str">
        <f>IFERROR(__xludf.DUMMYFUNCTION("""COMPUTED_VALUE"""),"Model 3 SR+")</f>
        <v>Model 3 SR+</v>
      </c>
      <c r="O1759" t="str">
        <f>IFERROR(__xludf.DUMMYFUNCTION("""COMPUTED_VALUE"""),"Deep Blue Metallic")</f>
        <v>Deep Blue Metallic</v>
      </c>
      <c r="P1759" t="str">
        <f>IFERROR(__xludf.DUMMYFUNCTION("""COMPUTED_VALUE"""),"18 inch Aero")</f>
        <v>18 inch Aero</v>
      </c>
      <c r="Q1759" t="str">
        <f>IFERROR(__xludf.DUMMYFUNCTION("""COMPUTED_VALUE"""),"Black seats")</f>
        <v>Black seats</v>
      </c>
      <c r="R1759" t="str">
        <f>IFERROR(__xludf.DUMMYFUNCTION("""COMPUTED_VALUE"""),"Autopilot")</f>
        <v>Autopilot</v>
      </c>
      <c r="X1759" t="str">
        <f>IFERROR(__xludf.DUMMYFUNCTION("""COMPUTED_VALUE"""),"Very Good")</f>
        <v>Very Good</v>
      </c>
      <c r="Y1759" t="str">
        <f>IFERROR(__xludf.DUMMYFUNCTION("""COMPUTED_VALUE"""),"Very Good")</f>
        <v>Very Good</v>
      </c>
      <c r="Z1759" t="str">
        <f>IFERROR(__xludf.DUMMYFUNCTION("""COMPUTED_VALUE"""),"Excellent")</f>
        <v>Excellent</v>
      </c>
      <c r="AA1759" t="str">
        <f>IFERROR(__xludf.DUMMYFUNCTION("""COMPUTED_VALUE"""),"Poor")</f>
        <v>Poor</v>
      </c>
      <c r="AB1759" t="str">
        <f>IFERROR(__xludf.DUMMYFUNCTION("""COMPUTED_VALUE"""),"Fair")</f>
        <v>Fair</v>
      </c>
      <c r="AC1759">
        <f>IFERROR(__xludf.DUMMYFUNCTION("""COMPUTED_VALUE"""),0.0)</f>
        <v>0</v>
      </c>
      <c r="AH1759" s="189">
        <f>IFERROR(__xludf.DUMMYFUNCTION("""COMPUTED_VALUE"""),43619.359018125004)</f>
        <v>43619.35902</v>
      </c>
    </row>
    <row r="1760">
      <c r="A1760" t="str">
        <f>IFERROR(__xludf.DUMMYFUNCTION("""COMPUTED_VALUE"""),"americanwoman")</f>
        <v>americanwoman</v>
      </c>
      <c r="B1760" t="str">
        <f>IFERROR(__xludf.DUMMYFUNCTION("""COMPUTED_VALUE"""),"Miami")</f>
        <v>Miami</v>
      </c>
      <c r="C1760" t="str">
        <f>IFERROR(__xludf.DUMMYFUNCTION("""COMPUTED_VALUE"""),"FL")</f>
        <v>FL</v>
      </c>
      <c r="D1760" t="str">
        <f>IFERROR(__xludf.DUMMYFUNCTION("""COMPUTED_VALUE"""),"USA")</f>
        <v>USA</v>
      </c>
      <c r="E1760" s="188">
        <f>IFERROR(__xludf.DUMMYFUNCTION("""COMPUTED_VALUE"""),43577.0)</f>
        <v>43577</v>
      </c>
      <c r="F1760" s="188">
        <f>IFERROR(__xludf.DUMMYFUNCTION("""COMPUTED_VALUE"""),43609.0)</f>
        <v>43609</v>
      </c>
      <c r="H1760">
        <f>IFERROR(__xludf.DUMMYFUNCTION("""COMPUTED_VALUE"""),92224.0)</f>
        <v>92224</v>
      </c>
      <c r="J1760" s="5">
        <f>IFERROR(__xludf.DUMMYFUNCTION("""COMPUTED_VALUE"""),43617.0)</f>
        <v>43617</v>
      </c>
      <c r="K1760">
        <f>IFERROR(__xludf.DUMMYFUNCTION("""COMPUTED_VALUE"""),32.0)</f>
        <v>32</v>
      </c>
      <c r="L1760">
        <f>IFERROR(__xludf.DUMMYFUNCTION("""COMPUTED_VALUE"""),8.0)</f>
        <v>8</v>
      </c>
      <c r="M1760">
        <f>IFERROR(__xludf.DUMMYFUNCTION("""COMPUTED_VALUE"""),40.0)</f>
        <v>40</v>
      </c>
      <c r="N1760" t="str">
        <f>IFERROR(__xludf.DUMMYFUNCTION("""COMPUTED_VALUE"""),"Model 3 LR AWD")</f>
        <v>Model 3 LR AWD</v>
      </c>
      <c r="O1760" t="str">
        <f>IFERROR(__xludf.DUMMYFUNCTION("""COMPUTED_VALUE"""),"Pearl White Multi-Coat")</f>
        <v>Pearl White Multi-Coat</v>
      </c>
      <c r="P1760" t="str">
        <f>IFERROR(__xludf.DUMMYFUNCTION("""COMPUTED_VALUE"""),"19 inch Sport")</f>
        <v>19 inch Sport</v>
      </c>
      <c r="Q1760" t="str">
        <f>IFERROR(__xludf.DUMMYFUNCTION("""COMPUTED_VALUE"""),"White seats")</f>
        <v>White seats</v>
      </c>
      <c r="R1760" t="str">
        <f>IFERROR(__xludf.DUMMYFUNCTION("""COMPUTED_VALUE"""),"Full Self-Driving")</f>
        <v>Full Self-Driving</v>
      </c>
      <c r="X1760" t="str">
        <f>IFERROR(__xludf.DUMMYFUNCTION("""COMPUTED_VALUE"""),"Excellent")</f>
        <v>Excellent</v>
      </c>
      <c r="Y1760" t="str">
        <f>IFERROR(__xludf.DUMMYFUNCTION("""COMPUTED_VALUE"""),"Excellent")</f>
        <v>Excellent</v>
      </c>
      <c r="Z1760" t="str">
        <f>IFERROR(__xludf.DUMMYFUNCTION("""COMPUTED_VALUE"""),"Excellent")</f>
        <v>Excellent</v>
      </c>
      <c r="AA1760" t="str">
        <f>IFERROR(__xludf.DUMMYFUNCTION("""COMPUTED_VALUE"""),"Excellent")</f>
        <v>Excellent</v>
      </c>
      <c r="AB1760" t="str">
        <f>IFERROR(__xludf.DUMMYFUNCTION("""COMPUTED_VALUE"""),"Excellent")</f>
        <v>Excellent</v>
      </c>
      <c r="AH1760" s="189">
        <f>IFERROR(__xludf.DUMMYFUNCTION("""COMPUTED_VALUE"""),43619.719768877316)</f>
        <v>43619.71977</v>
      </c>
    </row>
    <row r="1761">
      <c r="A1761" t="str">
        <f>IFERROR(__xludf.DUMMYFUNCTION("""COMPUTED_VALUE"""),"Pveronneau")</f>
        <v>Pveronneau</v>
      </c>
      <c r="B1761" t="str">
        <f>IFERROR(__xludf.DUMMYFUNCTION("""COMPUTED_VALUE"""),"Montreal")</f>
        <v>Montreal</v>
      </c>
      <c r="C1761" t="str">
        <f>IFERROR(__xludf.DUMMYFUNCTION("""COMPUTED_VALUE"""),"QC")</f>
        <v>QC</v>
      </c>
      <c r="D1761" t="str">
        <f>IFERROR(__xludf.DUMMYFUNCTION("""COMPUTED_VALUE"""),"Canada")</f>
        <v>Canada</v>
      </c>
      <c r="E1761" s="188">
        <f>IFERROR(__xludf.DUMMYFUNCTION("""COMPUTED_VALUE"""),43540.0)</f>
        <v>43540</v>
      </c>
      <c r="F1761" s="188">
        <f>IFERROR(__xludf.DUMMYFUNCTION("""COMPUTED_VALUE"""),43615.0)</f>
        <v>43615</v>
      </c>
      <c r="H1761">
        <f>IFERROR(__xludf.DUMMYFUNCTION("""COMPUTED_VALUE"""),329155.0)</f>
        <v>329155</v>
      </c>
      <c r="I1761" t="str">
        <f>IFERROR(__xludf.DUMMYFUNCTION("""COMPUTED_VALUE"""),"05/19")</f>
        <v>05/19</v>
      </c>
      <c r="J1761" s="5">
        <f>IFERROR(__xludf.DUMMYFUNCTION("""COMPUTED_VALUE"""),43620.0)</f>
        <v>43620</v>
      </c>
      <c r="K1761">
        <f>IFERROR(__xludf.DUMMYFUNCTION("""COMPUTED_VALUE"""),75.0)</f>
        <v>75</v>
      </c>
      <c r="L1761">
        <f>IFERROR(__xludf.DUMMYFUNCTION("""COMPUTED_VALUE"""),5.0)</f>
        <v>5</v>
      </c>
      <c r="M1761">
        <f>IFERROR(__xludf.DUMMYFUNCTION("""COMPUTED_VALUE"""),80.0)</f>
        <v>80</v>
      </c>
      <c r="N1761" t="str">
        <f>IFERROR(__xludf.DUMMYFUNCTION("""COMPUTED_VALUE"""),"Model 3 SR+")</f>
        <v>Model 3 SR+</v>
      </c>
      <c r="O1761" t="str">
        <f>IFERROR(__xludf.DUMMYFUNCTION("""COMPUTED_VALUE"""),"Solid Black")</f>
        <v>Solid Black</v>
      </c>
      <c r="P1761" t="str">
        <f>IFERROR(__xludf.DUMMYFUNCTION("""COMPUTED_VALUE"""),"18 inch Aero")</f>
        <v>18 inch Aero</v>
      </c>
      <c r="Q1761" t="str">
        <f>IFERROR(__xludf.DUMMYFUNCTION("""COMPUTED_VALUE"""),"White seats")</f>
        <v>White seats</v>
      </c>
      <c r="R1761" t="str">
        <f>IFERROR(__xludf.DUMMYFUNCTION("""COMPUTED_VALUE"""),"Full Self-Driving")</f>
        <v>Full Self-Driving</v>
      </c>
      <c r="X1761" t="str">
        <f>IFERROR(__xludf.DUMMYFUNCTION("""COMPUTED_VALUE"""),"Fair")</f>
        <v>Fair</v>
      </c>
      <c r="Y1761" t="str">
        <f>IFERROR(__xludf.DUMMYFUNCTION("""COMPUTED_VALUE"""),"Good")</f>
        <v>Good</v>
      </c>
      <c r="Z1761" t="str">
        <f>IFERROR(__xludf.DUMMYFUNCTION("""COMPUTED_VALUE"""),"Fair")</f>
        <v>Fair</v>
      </c>
      <c r="AA1761" t="str">
        <f>IFERROR(__xludf.DUMMYFUNCTION("""COMPUTED_VALUE"""),"Good")</f>
        <v>Good</v>
      </c>
      <c r="AB1761" t="str">
        <f>IFERROR(__xludf.DUMMYFUNCTION("""COMPUTED_VALUE"""),"Good")</f>
        <v>Good</v>
      </c>
      <c r="AC1761">
        <f>IFERROR(__xludf.DUMMYFUNCTION("""COMPUTED_VALUE"""),5.0)</f>
        <v>5</v>
      </c>
      <c r="AH1761" s="189">
        <f>IFERROR(__xludf.DUMMYFUNCTION("""COMPUTED_VALUE"""),43620.81155539352)</f>
        <v>43620.81156</v>
      </c>
    </row>
    <row r="1762">
      <c r="A1762" t="str">
        <f>IFERROR(__xludf.DUMMYFUNCTION("""COMPUTED_VALUE"""),"Pommie")</f>
        <v>Pommie</v>
      </c>
      <c r="B1762" t="str">
        <f>IFERROR(__xludf.DUMMYFUNCTION("""COMPUTED_VALUE"""),"Boulder")</f>
        <v>Boulder</v>
      </c>
      <c r="C1762" t="str">
        <f>IFERROR(__xludf.DUMMYFUNCTION("""COMPUTED_VALUE"""),"CO")</f>
        <v>CO</v>
      </c>
      <c r="D1762" t="str">
        <f>IFERROR(__xludf.DUMMYFUNCTION("""COMPUTED_VALUE"""),"USA")</f>
        <v>USA</v>
      </c>
      <c r="E1762" s="188">
        <f>IFERROR(__xludf.DUMMYFUNCTION("""COMPUTED_VALUE"""),43608.0)</f>
        <v>43608</v>
      </c>
      <c r="F1762" s="188">
        <f>IFERROR(__xludf.DUMMYFUNCTION("""COMPUTED_VALUE"""),43615.0)</f>
        <v>43615</v>
      </c>
      <c r="H1762">
        <f>IFERROR(__xludf.DUMMYFUNCTION("""COMPUTED_VALUE"""),386155.0)</f>
        <v>386155</v>
      </c>
      <c r="J1762" s="5">
        <f>IFERROR(__xludf.DUMMYFUNCTION("""COMPUTED_VALUE"""),43620.0)</f>
        <v>43620</v>
      </c>
      <c r="K1762">
        <f>IFERROR(__xludf.DUMMYFUNCTION("""COMPUTED_VALUE"""),7.0)</f>
        <v>7</v>
      </c>
      <c r="L1762">
        <f>IFERROR(__xludf.DUMMYFUNCTION("""COMPUTED_VALUE"""),5.0)</f>
        <v>5</v>
      </c>
      <c r="M1762">
        <f>IFERROR(__xludf.DUMMYFUNCTION("""COMPUTED_VALUE"""),12.0)</f>
        <v>12</v>
      </c>
      <c r="N1762" t="str">
        <f>IFERROR(__xludf.DUMMYFUNCTION("""COMPUTED_VALUE"""),"Model 3 LR AWD")</f>
        <v>Model 3 LR AWD</v>
      </c>
      <c r="O1762" t="str">
        <f>IFERROR(__xludf.DUMMYFUNCTION("""COMPUTED_VALUE"""),"Midnight Silver Metallic")</f>
        <v>Midnight Silver Metallic</v>
      </c>
      <c r="P1762" t="str">
        <f>IFERROR(__xludf.DUMMYFUNCTION("""COMPUTED_VALUE"""),"18 inch Aero")</f>
        <v>18 inch Aero</v>
      </c>
      <c r="Q1762" t="str">
        <f>IFERROR(__xludf.DUMMYFUNCTION("""COMPUTED_VALUE"""),"Black seats")</f>
        <v>Black seats</v>
      </c>
      <c r="R1762" t="str">
        <f>IFERROR(__xludf.DUMMYFUNCTION("""COMPUTED_VALUE"""),"Autopilot")</f>
        <v>Autopilot</v>
      </c>
      <c r="X1762" t="str">
        <f>IFERROR(__xludf.DUMMYFUNCTION("""COMPUTED_VALUE"""),"Excellent")</f>
        <v>Excellent</v>
      </c>
      <c r="Y1762" t="str">
        <f>IFERROR(__xludf.DUMMYFUNCTION("""COMPUTED_VALUE"""),"Excellent")</f>
        <v>Excellent</v>
      </c>
      <c r="Z1762" t="str">
        <f>IFERROR(__xludf.DUMMYFUNCTION("""COMPUTED_VALUE"""),"Very Good")</f>
        <v>Very Good</v>
      </c>
      <c r="AA1762" t="str">
        <f>IFERROR(__xludf.DUMMYFUNCTION("""COMPUTED_VALUE"""),"Excellent")</f>
        <v>Excellent</v>
      </c>
      <c r="AB1762" t="str">
        <f>IFERROR(__xludf.DUMMYFUNCTION("""COMPUTED_VALUE"""),"Very Good")</f>
        <v>Very Good</v>
      </c>
      <c r="AH1762" s="189">
        <f>IFERROR(__xludf.DUMMYFUNCTION("""COMPUTED_VALUE"""),43620.88258607639)</f>
        <v>43620.88259</v>
      </c>
    </row>
    <row r="1763">
      <c r="A1763" t="str">
        <f>IFERROR(__xludf.DUMMYFUNCTION("""COMPUTED_VALUE"""),"Werdna")</f>
        <v>Werdna</v>
      </c>
      <c r="B1763" t="str">
        <f>IFERROR(__xludf.DUMMYFUNCTION("""COMPUTED_VALUE"""),"Nanaimo")</f>
        <v>Nanaimo</v>
      </c>
      <c r="C1763" t="str">
        <f>IFERROR(__xludf.DUMMYFUNCTION("""COMPUTED_VALUE"""),"BC")</f>
        <v>BC</v>
      </c>
      <c r="D1763" t="str">
        <f>IFERROR(__xludf.DUMMYFUNCTION("""COMPUTED_VALUE"""),"Canada")</f>
        <v>Canada</v>
      </c>
      <c r="E1763" s="188">
        <f>IFERROR(__xludf.DUMMYFUNCTION("""COMPUTED_VALUE"""),43588.0)</f>
        <v>43588</v>
      </c>
      <c r="F1763" s="188">
        <f>IFERROR(__xludf.DUMMYFUNCTION("""COMPUTED_VALUE"""),43609.0)</f>
        <v>43609</v>
      </c>
      <c r="H1763">
        <f>IFERROR(__xludf.DUMMYFUNCTION("""COMPUTED_VALUE"""),395055.0)</f>
        <v>395055</v>
      </c>
      <c r="I1763" t="str">
        <f>IFERROR(__xludf.DUMMYFUNCTION("""COMPUTED_VALUE"""),"05/19")</f>
        <v>05/19</v>
      </c>
      <c r="J1763" s="5">
        <f>IFERROR(__xludf.DUMMYFUNCTION("""COMPUTED_VALUE"""),43619.0)</f>
        <v>43619</v>
      </c>
      <c r="K1763">
        <f>IFERROR(__xludf.DUMMYFUNCTION("""COMPUTED_VALUE"""),21.0)</f>
        <v>21</v>
      </c>
      <c r="L1763">
        <f>IFERROR(__xludf.DUMMYFUNCTION("""COMPUTED_VALUE"""),10.0)</f>
        <v>10</v>
      </c>
      <c r="M1763">
        <f>IFERROR(__xludf.DUMMYFUNCTION("""COMPUTED_VALUE"""),31.0)</f>
        <v>31</v>
      </c>
      <c r="N1763" t="str">
        <f>IFERROR(__xludf.DUMMYFUNCTION("""COMPUTED_VALUE"""),"Model 3 SR+")</f>
        <v>Model 3 SR+</v>
      </c>
      <c r="O1763" t="str">
        <f>IFERROR(__xludf.DUMMYFUNCTION("""COMPUTED_VALUE"""),"Solid Black")</f>
        <v>Solid Black</v>
      </c>
      <c r="P1763" t="str">
        <f>IFERROR(__xludf.DUMMYFUNCTION("""COMPUTED_VALUE"""),"18 inch Aero")</f>
        <v>18 inch Aero</v>
      </c>
      <c r="Q1763" t="str">
        <f>IFERROR(__xludf.DUMMYFUNCTION("""COMPUTED_VALUE"""),"Black seats")</f>
        <v>Black seats</v>
      </c>
      <c r="R1763" t="str">
        <f>IFERROR(__xludf.DUMMYFUNCTION("""COMPUTED_VALUE"""),"Autopilot")</f>
        <v>Autopilot</v>
      </c>
      <c r="X1763" t="str">
        <f>IFERROR(__xludf.DUMMYFUNCTION("""COMPUTED_VALUE"""),"Excellent")</f>
        <v>Excellent</v>
      </c>
      <c r="Y1763" t="str">
        <f>IFERROR(__xludf.DUMMYFUNCTION("""COMPUTED_VALUE"""),"Excellent")</f>
        <v>Excellent</v>
      </c>
      <c r="Z1763" t="str">
        <f>IFERROR(__xludf.DUMMYFUNCTION("""COMPUTED_VALUE"""),"Excellent")</f>
        <v>Excellent</v>
      </c>
      <c r="AA1763" t="str">
        <f>IFERROR(__xludf.DUMMYFUNCTION("""COMPUTED_VALUE"""),"Good")</f>
        <v>Good</v>
      </c>
      <c r="AB1763" t="str">
        <f>IFERROR(__xludf.DUMMYFUNCTION("""COMPUTED_VALUE"""),"Good")</f>
        <v>Good</v>
      </c>
      <c r="AH1763" s="189">
        <f>IFERROR(__xludf.DUMMYFUNCTION("""COMPUTED_VALUE"""),43620.912289224536)</f>
        <v>43620.91229</v>
      </c>
    </row>
    <row r="1764">
      <c r="A1764" t="str">
        <f>IFERROR(__xludf.DUMMYFUNCTION("""COMPUTED_VALUE"""),"lovemyteslas")</f>
        <v>lovemyteslas</v>
      </c>
      <c r="D1764" t="str">
        <f>IFERROR(__xludf.DUMMYFUNCTION("""COMPUTED_VALUE"""),"Netherlands")</f>
        <v>Netherlands</v>
      </c>
      <c r="E1764" s="188">
        <f>IFERROR(__xludf.DUMMYFUNCTION("""COMPUTED_VALUE"""),43574.0)</f>
        <v>43574</v>
      </c>
      <c r="F1764" s="188">
        <f>IFERROR(__xludf.DUMMYFUNCTION("""COMPUTED_VALUE"""),43583.0)</f>
        <v>43583</v>
      </c>
      <c r="H1764">
        <f>IFERROR(__xludf.DUMMYFUNCTION("""COMPUTED_VALUE"""),224345.0)</f>
        <v>224345</v>
      </c>
      <c r="I1764" t="str">
        <f>IFERROR(__xludf.DUMMYFUNCTION("""COMPUTED_VALUE"""),"03/19")</f>
        <v>03/19</v>
      </c>
      <c r="J1764" s="5">
        <f>IFERROR(__xludf.DUMMYFUNCTION("""COMPUTED_VALUE"""),43600.0)</f>
        <v>43600</v>
      </c>
      <c r="K1764">
        <f>IFERROR(__xludf.DUMMYFUNCTION("""COMPUTED_VALUE"""),9.0)</f>
        <v>9</v>
      </c>
      <c r="L1764">
        <f>IFERROR(__xludf.DUMMYFUNCTION("""COMPUTED_VALUE"""),17.0)</f>
        <v>17</v>
      </c>
      <c r="M1764">
        <f>IFERROR(__xludf.DUMMYFUNCTION("""COMPUTED_VALUE"""),26.0)</f>
        <v>26</v>
      </c>
      <c r="N1764" t="str">
        <f>IFERROR(__xludf.DUMMYFUNCTION("""COMPUTED_VALUE"""),"Model 3 LR AWD")</f>
        <v>Model 3 LR AWD</v>
      </c>
      <c r="O1764" t="str">
        <f>IFERROR(__xludf.DUMMYFUNCTION("""COMPUTED_VALUE"""),"Deep Blue Metallic")</f>
        <v>Deep Blue Metallic</v>
      </c>
      <c r="P1764" t="str">
        <f>IFERROR(__xludf.DUMMYFUNCTION("""COMPUTED_VALUE"""),"18 inch Aero")</f>
        <v>18 inch Aero</v>
      </c>
      <c r="Q1764" t="str">
        <f>IFERROR(__xludf.DUMMYFUNCTION("""COMPUTED_VALUE"""),"White seats")</f>
        <v>White seats</v>
      </c>
      <c r="R1764" t="str">
        <f>IFERROR(__xludf.DUMMYFUNCTION("""COMPUTED_VALUE"""),"Full Self-Driving")</f>
        <v>Full Self-Driving</v>
      </c>
      <c r="X1764" t="str">
        <f>IFERROR(__xludf.DUMMYFUNCTION("""COMPUTED_VALUE"""),"Excellent")</f>
        <v>Excellent</v>
      </c>
      <c r="Y1764" t="str">
        <f>IFERROR(__xludf.DUMMYFUNCTION("""COMPUTED_VALUE"""),"Excellent")</f>
        <v>Excellent</v>
      </c>
      <c r="Z1764" t="str">
        <f>IFERROR(__xludf.DUMMYFUNCTION("""COMPUTED_VALUE"""),"Excellent")</f>
        <v>Excellent</v>
      </c>
      <c r="AA1764" t="str">
        <f>IFERROR(__xludf.DUMMYFUNCTION("""COMPUTED_VALUE"""),"Excellent")</f>
        <v>Excellent</v>
      </c>
      <c r="AB1764" t="str">
        <f>IFERROR(__xludf.DUMMYFUNCTION("""COMPUTED_VALUE"""),"Excellent")</f>
        <v>Excellent</v>
      </c>
      <c r="AC1764">
        <f>IFERROR(__xludf.DUMMYFUNCTION("""COMPUTED_VALUE"""),0.0)</f>
        <v>0</v>
      </c>
      <c r="AD1764">
        <f>IFERROR(__xludf.DUMMYFUNCTION("""COMPUTED_VALUE"""),0.0)</f>
        <v>0</v>
      </c>
      <c r="AE1764">
        <f>IFERROR(__xludf.DUMMYFUNCTION("""COMPUTED_VALUE"""),0.0)</f>
        <v>0</v>
      </c>
      <c r="AG1764" t="str">
        <f>IFERROR(__xludf.DUMMYFUNCTION("""COMPUTED_VALUE"""),"amazing car. very satisfied.")</f>
        <v>amazing car. very satisfied.</v>
      </c>
      <c r="AH1764" s="189">
        <f>IFERROR(__xludf.DUMMYFUNCTION("""COMPUTED_VALUE"""),43621.12566314815)</f>
        <v>43621.12566</v>
      </c>
    </row>
    <row r="1765">
      <c r="A1765" t="str">
        <f>IFERROR(__xludf.DUMMYFUNCTION("""COMPUTED_VALUE"""),"yk599")</f>
        <v>yk599</v>
      </c>
      <c r="B1765" t="str">
        <f>IFERROR(__xludf.DUMMYFUNCTION("""COMPUTED_VALUE"""),"Seattle")</f>
        <v>Seattle</v>
      </c>
      <c r="C1765" t="str">
        <f>IFERROR(__xludf.DUMMYFUNCTION("""COMPUTED_VALUE"""),"WA")</f>
        <v>WA</v>
      </c>
      <c r="D1765" t="str">
        <f>IFERROR(__xludf.DUMMYFUNCTION("""COMPUTED_VALUE"""),"USA")</f>
        <v>USA</v>
      </c>
      <c r="E1765" s="188">
        <f>IFERROR(__xludf.DUMMYFUNCTION("""COMPUTED_VALUE"""),43585.0)</f>
        <v>43585</v>
      </c>
      <c r="F1765" s="188">
        <f>IFERROR(__xludf.DUMMYFUNCTION("""COMPUTED_VALUE"""),43607.0)</f>
        <v>43607</v>
      </c>
      <c r="H1765">
        <f>IFERROR(__xludf.DUMMYFUNCTION("""COMPUTED_VALUE"""),307955.0)</f>
        <v>307955</v>
      </c>
      <c r="I1765" t="str">
        <f>IFERROR(__xludf.DUMMYFUNCTION("""COMPUTED_VALUE"""),"05/19")</f>
        <v>05/19</v>
      </c>
      <c r="J1765" s="5">
        <f>IFERROR(__xludf.DUMMYFUNCTION("""COMPUTED_VALUE"""),43610.0)</f>
        <v>43610</v>
      </c>
      <c r="K1765">
        <f>IFERROR(__xludf.DUMMYFUNCTION("""COMPUTED_VALUE"""),22.0)</f>
        <v>22</v>
      </c>
      <c r="L1765">
        <f>IFERROR(__xludf.DUMMYFUNCTION("""COMPUTED_VALUE"""),3.0)</f>
        <v>3</v>
      </c>
      <c r="M1765">
        <f>IFERROR(__xludf.DUMMYFUNCTION("""COMPUTED_VALUE"""),25.0)</f>
        <v>25</v>
      </c>
      <c r="N1765" t="str">
        <f>IFERROR(__xludf.DUMMYFUNCTION("""COMPUTED_VALUE"""),"Model 3 SR+")</f>
        <v>Model 3 SR+</v>
      </c>
      <c r="O1765" t="str">
        <f>IFERROR(__xludf.DUMMYFUNCTION("""COMPUTED_VALUE"""),"Midnight Silver Metallic")</f>
        <v>Midnight Silver Metallic</v>
      </c>
      <c r="P1765" t="str">
        <f>IFERROR(__xludf.DUMMYFUNCTION("""COMPUTED_VALUE"""),"18 inch Aero")</f>
        <v>18 inch Aero</v>
      </c>
      <c r="Q1765" t="str">
        <f>IFERROR(__xludf.DUMMYFUNCTION("""COMPUTED_VALUE"""),"Black seats")</f>
        <v>Black seats</v>
      </c>
      <c r="R1765" t="str">
        <f>IFERROR(__xludf.DUMMYFUNCTION("""COMPUTED_VALUE"""),"Full Self-Driving")</f>
        <v>Full Self-Driving</v>
      </c>
      <c r="X1765" t="str">
        <f>IFERROR(__xludf.DUMMYFUNCTION("""COMPUTED_VALUE"""),"Excellent")</f>
        <v>Excellent</v>
      </c>
      <c r="Y1765" t="str">
        <f>IFERROR(__xludf.DUMMYFUNCTION("""COMPUTED_VALUE"""),"Fair")</f>
        <v>Fair</v>
      </c>
      <c r="Z1765" t="str">
        <f>IFERROR(__xludf.DUMMYFUNCTION("""COMPUTED_VALUE"""),"Very Good")</f>
        <v>Very Good</v>
      </c>
      <c r="AA1765" t="str">
        <f>IFERROR(__xludf.DUMMYFUNCTION("""COMPUTED_VALUE"""),"Fair")</f>
        <v>Fair</v>
      </c>
      <c r="AB1765" t="str">
        <f>IFERROR(__xludf.DUMMYFUNCTION("""COMPUTED_VALUE"""),"Fair")</f>
        <v>Fair</v>
      </c>
      <c r="AC1765">
        <f>IFERROR(__xludf.DUMMYFUNCTION("""COMPUTED_VALUE"""),1.0)</f>
        <v>1</v>
      </c>
      <c r="AD1765">
        <f>IFERROR(__xludf.DUMMYFUNCTION("""COMPUTED_VALUE"""),1.0)</f>
        <v>1</v>
      </c>
      <c r="AE1765">
        <f>IFERROR(__xludf.DUMMYFUNCTION("""COMPUTED_VALUE"""),1.0)</f>
        <v>1</v>
      </c>
      <c r="AG1765" t="str">
        <f>IFERROR(__xludf.DUMMYFUNCTION("""COMPUTED_VALUE"""),"6/5 - took the car to service to fix the window bunching - problem solved; 5/25 - took delivery. Minor cosmetic issue with window edges seem to be the only thing wrong with car; 5/22 - just got a VIN and a tentative delivery date. Have to push delivery da"&amp;"te back though; 5/22/19 - pushed back delivery date")</f>
        <v>6/5 - took the car to service to fix the window bunching - problem solved; 5/25 - took delivery. Minor cosmetic issue with window edges seem to be the only thing wrong with car; 5/22 - just got a VIN and a tentative delivery date. Have to push delivery date back though; 5/22/19 - pushed back delivery date</v>
      </c>
      <c r="AH1765" s="189">
        <f>IFERROR(__xludf.DUMMYFUNCTION("""COMPUTED_VALUE"""),43621.553727349536)</f>
        <v>43621.55373</v>
      </c>
    </row>
    <row r="1766">
      <c r="A1766" t="str">
        <f>IFERROR(__xludf.DUMMYFUNCTION("""COMPUTED_VALUE"""),"iDigressed")</f>
        <v>iDigressed</v>
      </c>
      <c r="B1766" t="str">
        <f>IFERROR(__xludf.DUMMYFUNCTION("""COMPUTED_VALUE"""),"Los Angeles")</f>
        <v>Los Angeles</v>
      </c>
      <c r="C1766" t="str">
        <f>IFERROR(__xludf.DUMMYFUNCTION("""COMPUTED_VALUE"""),"CA")</f>
        <v>CA</v>
      </c>
      <c r="D1766" t="str">
        <f>IFERROR(__xludf.DUMMYFUNCTION("""COMPUTED_VALUE"""),"USA")</f>
        <v>USA</v>
      </c>
      <c r="E1766" s="188">
        <f>IFERROR(__xludf.DUMMYFUNCTION("""COMPUTED_VALUE"""),43587.0)</f>
        <v>43587</v>
      </c>
      <c r="F1766" s="188">
        <f>IFERROR(__xludf.DUMMYFUNCTION("""COMPUTED_VALUE"""),43616.0)</f>
        <v>43616</v>
      </c>
      <c r="H1766">
        <f>IFERROR(__xludf.DUMMYFUNCTION("""COMPUTED_VALUE"""),392255.0)</f>
        <v>392255</v>
      </c>
      <c r="J1766" s="5">
        <f>IFERROR(__xludf.DUMMYFUNCTION("""COMPUTED_VALUE"""),43620.0)</f>
        <v>43620</v>
      </c>
      <c r="K1766">
        <f>IFERROR(__xludf.DUMMYFUNCTION("""COMPUTED_VALUE"""),29.0)</f>
        <v>29</v>
      </c>
      <c r="L1766">
        <f>IFERROR(__xludf.DUMMYFUNCTION("""COMPUTED_VALUE"""),4.0)</f>
        <v>4</v>
      </c>
      <c r="M1766">
        <f>IFERROR(__xludf.DUMMYFUNCTION("""COMPUTED_VALUE"""),33.0)</f>
        <v>33</v>
      </c>
      <c r="N1766" t="str">
        <f>IFERROR(__xludf.DUMMYFUNCTION("""COMPUTED_VALUE"""),"Model 3 LR AWD")</f>
        <v>Model 3 LR AWD</v>
      </c>
      <c r="O1766" t="str">
        <f>IFERROR(__xludf.DUMMYFUNCTION("""COMPUTED_VALUE"""),"Pearl White Multi-Coat")</f>
        <v>Pearl White Multi-Coat</v>
      </c>
      <c r="P1766" t="str">
        <f>IFERROR(__xludf.DUMMYFUNCTION("""COMPUTED_VALUE"""),"19 inch Sport")</f>
        <v>19 inch Sport</v>
      </c>
      <c r="Q1766" t="str">
        <f>IFERROR(__xludf.DUMMYFUNCTION("""COMPUTED_VALUE"""),"White seats")</f>
        <v>White seats</v>
      </c>
      <c r="R1766" t="str">
        <f>IFERROR(__xludf.DUMMYFUNCTION("""COMPUTED_VALUE"""),"Autopilot")</f>
        <v>Autopilot</v>
      </c>
      <c r="X1766" t="str">
        <f>IFERROR(__xludf.DUMMYFUNCTION("""COMPUTED_VALUE"""),"Excellent")</f>
        <v>Excellent</v>
      </c>
      <c r="Y1766" t="str">
        <f>IFERROR(__xludf.DUMMYFUNCTION("""COMPUTED_VALUE"""),"Excellent")</f>
        <v>Excellent</v>
      </c>
      <c r="Z1766" t="str">
        <f>IFERROR(__xludf.DUMMYFUNCTION("""COMPUTED_VALUE"""),"Excellent")</f>
        <v>Excellent</v>
      </c>
      <c r="AA1766" t="str">
        <f>IFERROR(__xludf.DUMMYFUNCTION("""COMPUTED_VALUE"""),"Good")</f>
        <v>Good</v>
      </c>
      <c r="AB1766" t="str">
        <f>IFERROR(__xludf.DUMMYFUNCTION("""COMPUTED_VALUE"""),"Excellent")</f>
        <v>Excellent</v>
      </c>
      <c r="AG1766" t="str">
        <f>IFERROR(__xludf.DUMMYFUNCTION("""COMPUTED_VALUE"""),"&lt;3 this car!")</f>
        <v>&lt;3 this car!</v>
      </c>
      <c r="AH1766" s="189">
        <f>IFERROR(__xludf.DUMMYFUNCTION("""COMPUTED_VALUE"""),43623.02473456018)</f>
        <v>43623.02473</v>
      </c>
    </row>
    <row r="1767">
      <c r="A1767" t="str">
        <f>IFERROR(__xludf.DUMMYFUNCTION("""COMPUTED_VALUE"""),"xiao3")</f>
        <v>xiao3</v>
      </c>
      <c r="B1767" t="str">
        <f>IFERROR(__xludf.DUMMYFUNCTION("""COMPUTED_VALUE"""),"Prescott")</f>
        <v>Prescott</v>
      </c>
      <c r="C1767" t="str">
        <f>IFERROR(__xludf.DUMMYFUNCTION("""COMPUTED_VALUE"""),"AZ")</f>
        <v>AZ</v>
      </c>
      <c r="D1767" t="str">
        <f>IFERROR(__xludf.DUMMYFUNCTION("""COMPUTED_VALUE"""),"USA")</f>
        <v>USA</v>
      </c>
      <c r="E1767" s="188">
        <f>IFERROR(__xludf.DUMMYFUNCTION("""COMPUTED_VALUE"""),43579.0)</f>
        <v>43579</v>
      </c>
      <c r="F1767" s="188">
        <f>IFERROR(__xludf.DUMMYFUNCTION("""COMPUTED_VALUE"""),43610.0)</f>
        <v>43610</v>
      </c>
      <c r="H1767">
        <f>IFERROR(__xludf.DUMMYFUNCTION("""COMPUTED_VALUE"""),195248.0)</f>
        <v>195248</v>
      </c>
      <c r="I1767" t="str">
        <f>IFERROR(__xludf.DUMMYFUNCTION("""COMPUTED_VALUE"""),"05/19")</f>
        <v>05/19</v>
      </c>
      <c r="J1767" s="5">
        <f>IFERROR(__xludf.DUMMYFUNCTION("""COMPUTED_VALUE"""),43614.0)</f>
        <v>43614</v>
      </c>
      <c r="K1767">
        <f>IFERROR(__xludf.DUMMYFUNCTION("""COMPUTED_VALUE"""),31.0)</f>
        <v>31</v>
      </c>
      <c r="L1767">
        <f>IFERROR(__xludf.DUMMYFUNCTION("""COMPUTED_VALUE"""),4.0)</f>
        <v>4</v>
      </c>
      <c r="M1767">
        <f>IFERROR(__xludf.DUMMYFUNCTION("""COMPUTED_VALUE"""),35.0)</f>
        <v>35</v>
      </c>
      <c r="N1767" t="str">
        <f>IFERROR(__xludf.DUMMYFUNCTION("""COMPUTED_VALUE"""),"Model 3 LR AWD")</f>
        <v>Model 3 LR AWD</v>
      </c>
      <c r="O1767" t="str">
        <f>IFERROR(__xludf.DUMMYFUNCTION("""COMPUTED_VALUE"""),"Midnight Silver Metallic")</f>
        <v>Midnight Silver Metallic</v>
      </c>
      <c r="P1767" t="str">
        <f>IFERROR(__xludf.DUMMYFUNCTION("""COMPUTED_VALUE"""),"18 inch Aero")</f>
        <v>18 inch Aero</v>
      </c>
      <c r="Q1767" t="str">
        <f>IFERROR(__xludf.DUMMYFUNCTION("""COMPUTED_VALUE"""),"White seats")</f>
        <v>White seats</v>
      </c>
      <c r="R1767" t="str">
        <f>IFERROR(__xludf.DUMMYFUNCTION("""COMPUTED_VALUE"""),"Full Self-Driving")</f>
        <v>Full Self-Driving</v>
      </c>
      <c r="X1767" t="str">
        <f>IFERROR(__xludf.DUMMYFUNCTION("""COMPUTED_VALUE"""),"Very Good")</f>
        <v>Very Good</v>
      </c>
      <c r="Y1767" t="str">
        <f>IFERROR(__xludf.DUMMYFUNCTION("""COMPUTED_VALUE"""),"Excellent")</f>
        <v>Excellent</v>
      </c>
      <c r="Z1767" t="str">
        <f>IFERROR(__xludf.DUMMYFUNCTION("""COMPUTED_VALUE"""),"Excellent")</f>
        <v>Excellent</v>
      </c>
      <c r="AA1767" t="str">
        <f>IFERROR(__xludf.DUMMYFUNCTION("""COMPUTED_VALUE"""),"Fair")</f>
        <v>Fair</v>
      </c>
      <c r="AB1767" t="str">
        <f>IFERROR(__xludf.DUMMYFUNCTION("""COMPUTED_VALUE"""),"Excellent")</f>
        <v>Excellent</v>
      </c>
      <c r="AC1767">
        <f>IFERROR(__xludf.DUMMYFUNCTION("""COMPUTED_VALUE"""),1.0)</f>
        <v>1</v>
      </c>
      <c r="AG1767" t="str">
        <f>IFERROR(__xludf.DUMMYFUNCTION("""COMPUTED_VALUE"""),"Finally got a text after waiting over a month for the VIN")</f>
        <v>Finally got a text after waiting over a month for the VIN</v>
      </c>
      <c r="AH1767" s="189">
        <f>IFERROR(__xludf.DUMMYFUNCTION("""COMPUTED_VALUE"""),43623.32210664352)</f>
        <v>43623.32211</v>
      </c>
    </row>
    <row r="1768">
      <c r="A1768" t="str">
        <f>IFERROR(__xludf.DUMMYFUNCTION("""COMPUTED_VALUE"""),"cbaaz")</f>
        <v>cbaaz</v>
      </c>
      <c r="B1768" t="str">
        <f>IFERROR(__xludf.DUMMYFUNCTION("""COMPUTED_VALUE"""),"Phoenix")</f>
        <v>Phoenix</v>
      </c>
      <c r="C1768" t="str">
        <f>IFERROR(__xludf.DUMMYFUNCTION("""COMPUTED_VALUE"""),"AZ")</f>
        <v>AZ</v>
      </c>
      <c r="D1768" t="str">
        <f>IFERROR(__xludf.DUMMYFUNCTION("""COMPUTED_VALUE"""),"USA")</f>
        <v>USA</v>
      </c>
      <c r="E1768" s="188">
        <f>IFERROR(__xludf.DUMMYFUNCTION("""COMPUTED_VALUE"""),43595.0)</f>
        <v>43595</v>
      </c>
      <c r="F1768" s="188">
        <f>IFERROR(__xludf.DUMMYFUNCTION("""COMPUTED_VALUE"""),43620.0)</f>
        <v>43620</v>
      </c>
      <c r="H1768">
        <f>IFERROR(__xludf.DUMMYFUNCTION("""COMPUTED_VALUE"""),393555.0)</f>
        <v>393555</v>
      </c>
      <c r="I1768" t="str">
        <f>IFERROR(__xludf.DUMMYFUNCTION("""COMPUTED_VALUE"""),"06/19")</f>
        <v>06/19</v>
      </c>
      <c r="J1768" s="5">
        <f>IFERROR(__xludf.DUMMYFUNCTION("""COMPUTED_VALUE"""),43622.0)</f>
        <v>43622</v>
      </c>
      <c r="K1768">
        <f>IFERROR(__xludf.DUMMYFUNCTION("""COMPUTED_VALUE"""),25.0)</f>
        <v>25</v>
      </c>
      <c r="L1768">
        <f>IFERROR(__xludf.DUMMYFUNCTION("""COMPUTED_VALUE"""),2.0)</f>
        <v>2</v>
      </c>
      <c r="M1768">
        <f>IFERROR(__xludf.DUMMYFUNCTION("""COMPUTED_VALUE"""),27.0)</f>
        <v>27</v>
      </c>
      <c r="N1768" t="str">
        <f>IFERROR(__xludf.DUMMYFUNCTION("""COMPUTED_VALUE"""),"Model 3 Performance")</f>
        <v>Model 3 Performance</v>
      </c>
      <c r="O1768" t="str">
        <f>IFERROR(__xludf.DUMMYFUNCTION("""COMPUTED_VALUE"""),"Red Multi-Coat")</f>
        <v>Red Multi-Coat</v>
      </c>
      <c r="P1768" t="str">
        <f>IFERROR(__xludf.DUMMYFUNCTION("""COMPUTED_VALUE"""),"20 inch Sport")</f>
        <v>20 inch Sport</v>
      </c>
      <c r="Q1768" t="str">
        <f>IFERROR(__xludf.DUMMYFUNCTION("""COMPUTED_VALUE"""),"White seats")</f>
        <v>White seats</v>
      </c>
      <c r="R1768" t="str">
        <f>IFERROR(__xludf.DUMMYFUNCTION("""COMPUTED_VALUE"""),"Autopilot")</f>
        <v>Autopilot</v>
      </c>
      <c r="X1768" t="str">
        <f>IFERROR(__xludf.DUMMYFUNCTION("""COMPUTED_VALUE"""),"Excellent")</f>
        <v>Excellent</v>
      </c>
      <c r="Y1768" t="str">
        <f>IFERROR(__xludf.DUMMYFUNCTION("""COMPUTED_VALUE"""),"Excellent")</f>
        <v>Excellent</v>
      </c>
      <c r="Z1768" t="str">
        <f>IFERROR(__xludf.DUMMYFUNCTION("""COMPUTED_VALUE"""),"Excellent")</f>
        <v>Excellent</v>
      </c>
      <c r="AA1768" t="str">
        <f>IFERROR(__xludf.DUMMYFUNCTION("""COMPUTED_VALUE"""),"Excellent")</f>
        <v>Excellent</v>
      </c>
      <c r="AB1768" t="str">
        <f>IFERROR(__xludf.DUMMYFUNCTION("""COMPUTED_VALUE"""),"Excellent")</f>
        <v>Excellent</v>
      </c>
      <c r="AG1768" t="str">
        <f>IFERROR(__xludf.DUMMYFUNCTION("""COMPUTED_VALUE"""),"TSLA proposed delivery 6/7, accomodated earlier on 6/6.  They were sold out of NEMA 14-50 adapters.  Car was immaculate.")</f>
        <v>TSLA proposed delivery 6/7, accomodated earlier on 6/6.  They were sold out of NEMA 14-50 adapters.  Car was immaculate.</v>
      </c>
      <c r="AH1768" s="189">
        <f>IFERROR(__xludf.DUMMYFUNCTION("""COMPUTED_VALUE"""),43623.42268607639)</f>
        <v>43623.42269</v>
      </c>
    </row>
    <row r="1769">
      <c r="A1769" t="str">
        <f>IFERROR(__xludf.DUMMYFUNCTION("""COMPUTED_VALUE"""),"GenSao")</f>
        <v>GenSao</v>
      </c>
      <c r="B1769" t="str">
        <f>IFERROR(__xludf.DUMMYFUNCTION("""COMPUTED_VALUE"""),"Pleasant Hill, CA")</f>
        <v>Pleasant Hill, CA</v>
      </c>
      <c r="C1769" t="str">
        <f>IFERROR(__xludf.DUMMYFUNCTION("""COMPUTED_VALUE"""),"CA")</f>
        <v>CA</v>
      </c>
      <c r="D1769" t="str">
        <f>IFERROR(__xludf.DUMMYFUNCTION("""COMPUTED_VALUE"""),"USA")</f>
        <v>USA</v>
      </c>
      <c r="E1769" s="188">
        <f>IFERROR(__xludf.DUMMYFUNCTION("""COMPUTED_VALUE"""),43278.0)</f>
        <v>43278</v>
      </c>
      <c r="F1769" s="188">
        <f>IFERROR(__xludf.DUMMYFUNCTION("""COMPUTED_VALUE"""),43281.0)</f>
        <v>43281</v>
      </c>
      <c r="H1769">
        <f>IFERROR(__xludf.DUMMYFUNCTION("""COMPUTED_VALUE"""),36555.0)</f>
        <v>36555</v>
      </c>
      <c r="J1769" s="5">
        <f>IFERROR(__xludf.DUMMYFUNCTION("""COMPUTED_VALUE"""),43298.0)</f>
        <v>43298</v>
      </c>
      <c r="K1769">
        <f>IFERROR(__xludf.DUMMYFUNCTION("""COMPUTED_VALUE"""),3.0)</f>
        <v>3</v>
      </c>
      <c r="L1769">
        <f>IFERROR(__xludf.DUMMYFUNCTION("""COMPUTED_VALUE"""),17.0)</f>
        <v>17</v>
      </c>
      <c r="M1769">
        <f>IFERROR(__xludf.DUMMYFUNCTION("""COMPUTED_VALUE"""),20.0)</f>
        <v>20</v>
      </c>
      <c r="N1769" t="str">
        <f>IFERROR(__xludf.DUMMYFUNCTION("""COMPUTED_VALUE"""),"Model 3 LR")</f>
        <v>Model 3 LR</v>
      </c>
      <c r="O1769" t="str">
        <f>IFERROR(__xludf.DUMMYFUNCTION("""COMPUTED_VALUE"""),"Midnight Silver Metallic")</f>
        <v>Midnight Silver Metallic</v>
      </c>
      <c r="P1769" t="str">
        <f>IFERROR(__xludf.DUMMYFUNCTION("""COMPUTED_VALUE"""),"18 inch Aero")</f>
        <v>18 inch Aero</v>
      </c>
      <c r="Q1769" t="str">
        <f>IFERROR(__xludf.DUMMYFUNCTION("""COMPUTED_VALUE"""),"Black seats")</f>
        <v>Black seats</v>
      </c>
      <c r="R1769" t="str">
        <f>IFERROR(__xludf.DUMMYFUNCTION("""COMPUTED_VALUE"""),"Autopilot")</f>
        <v>Autopilot</v>
      </c>
      <c r="X1769" t="str">
        <f>IFERROR(__xludf.DUMMYFUNCTION("""COMPUTED_VALUE"""),"Good")</f>
        <v>Good</v>
      </c>
      <c r="Y1769" t="str">
        <f>IFERROR(__xludf.DUMMYFUNCTION("""COMPUTED_VALUE"""),"Very Good")</f>
        <v>Very Good</v>
      </c>
      <c r="Z1769" t="str">
        <f>IFERROR(__xludf.DUMMYFUNCTION("""COMPUTED_VALUE"""),"Very Good")</f>
        <v>Very Good</v>
      </c>
      <c r="AA1769" t="str">
        <f>IFERROR(__xludf.DUMMYFUNCTION("""COMPUTED_VALUE"""),"Fair")</f>
        <v>Fair</v>
      </c>
      <c r="AB1769" t="str">
        <f>IFERROR(__xludf.DUMMYFUNCTION("""COMPUTED_VALUE"""),"Poor")</f>
        <v>Poor</v>
      </c>
      <c r="AC1769">
        <f>IFERROR(__xludf.DUMMYFUNCTION("""COMPUTED_VALUE"""),2.0)</f>
        <v>2</v>
      </c>
      <c r="AD1769">
        <f>IFERROR(__xludf.DUMMYFUNCTION("""COMPUTED_VALUE"""),1.0)</f>
        <v>1</v>
      </c>
      <c r="AE1769">
        <f>IFERROR(__xludf.DUMMYFUNCTION("""COMPUTED_VALUE"""),0.0)</f>
        <v>0</v>
      </c>
      <c r="AG1769" t="str">
        <f>IFERROR(__xludf.DUMMYFUNCTION("""COMPUTED_VALUE"""),"Disappointed delivery experience to date.  Delivery was postponed multiple times from 7/3 until final delivery on 7/17.")</f>
        <v>Disappointed delivery experience to date.  Delivery was postponed multiple times from 7/3 until final delivery on 7/17.</v>
      </c>
      <c r="AH1769" s="189">
        <f>IFERROR(__xludf.DUMMYFUNCTION("""COMPUTED_VALUE"""),43623.62192640046)</f>
        <v>43623.62193</v>
      </c>
    </row>
    <row r="1770">
      <c r="A1770" t="str">
        <f>IFERROR(__xludf.DUMMYFUNCTION("""COMPUTED_VALUE"""),"Zdrone")</f>
        <v>Zdrone</v>
      </c>
      <c r="B1770" t="str">
        <f>IFERROR(__xludf.DUMMYFUNCTION("""COMPUTED_VALUE"""),"Santa Clarita ")</f>
        <v>Santa Clarita </v>
      </c>
      <c r="C1770" t="str">
        <f>IFERROR(__xludf.DUMMYFUNCTION("""COMPUTED_VALUE"""),"CA")</f>
        <v>CA</v>
      </c>
      <c r="D1770" t="str">
        <f>IFERROR(__xludf.DUMMYFUNCTION("""COMPUTED_VALUE"""),"USA")</f>
        <v>USA</v>
      </c>
      <c r="E1770" s="188">
        <f>IFERROR(__xludf.DUMMYFUNCTION("""COMPUTED_VALUE"""),43621.0)</f>
        <v>43621</v>
      </c>
      <c r="F1770" s="188">
        <f>IFERROR(__xludf.DUMMYFUNCTION("""COMPUTED_VALUE"""),43621.0)</f>
        <v>43621</v>
      </c>
      <c r="H1770">
        <f>IFERROR(__xludf.DUMMYFUNCTION("""COMPUTED_VALUE"""),387155.0)</f>
        <v>387155</v>
      </c>
      <c r="I1770" t="str">
        <f>IFERROR(__xludf.DUMMYFUNCTION("""COMPUTED_VALUE"""),"06/19")</f>
        <v>06/19</v>
      </c>
      <c r="J1770" s="5">
        <f>IFERROR(__xludf.DUMMYFUNCTION("""COMPUTED_VALUE"""),43623.0)</f>
        <v>43623</v>
      </c>
      <c r="K1770">
        <f>IFERROR(__xludf.DUMMYFUNCTION("""COMPUTED_VALUE"""),0.0)</f>
        <v>0</v>
      </c>
      <c r="L1770">
        <f>IFERROR(__xludf.DUMMYFUNCTION("""COMPUTED_VALUE"""),2.0)</f>
        <v>2</v>
      </c>
      <c r="M1770">
        <f>IFERROR(__xludf.DUMMYFUNCTION("""COMPUTED_VALUE"""),2.0)</f>
        <v>2</v>
      </c>
      <c r="N1770" t="str">
        <f>IFERROR(__xludf.DUMMYFUNCTION("""COMPUTED_VALUE"""),"Model 3 LR AWD")</f>
        <v>Model 3 LR AWD</v>
      </c>
      <c r="O1770" t="str">
        <f>IFERROR(__xludf.DUMMYFUNCTION("""COMPUTED_VALUE"""),"Red Multi-Coat")</f>
        <v>Red Multi-Coat</v>
      </c>
      <c r="P1770" t="str">
        <f>IFERROR(__xludf.DUMMYFUNCTION("""COMPUTED_VALUE"""),"18 inch Aero")</f>
        <v>18 inch Aero</v>
      </c>
      <c r="Q1770" t="str">
        <f>IFERROR(__xludf.DUMMYFUNCTION("""COMPUTED_VALUE"""),"Black seats")</f>
        <v>Black seats</v>
      </c>
      <c r="R1770" t="str">
        <f>IFERROR(__xludf.DUMMYFUNCTION("""COMPUTED_VALUE"""),"Autopilot")</f>
        <v>Autopilot</v>
      </c>
      <c r="X1770" t="str">
        <f>IFERROR(__xludf.DUMMYFUNCTION("""COMPUTED_VALUE"""),"Excellent")</f>
        <v>Excellent</v>
      </c>
      <c r="Y1770" t="str">
        <f>IFERROR(__xludf.DUMMYFUNCTION("""COMPUTED_VALUE"""),"Excellent")</f>
        <v>Excellent</v>
      </c>
      <c r="Z1770" t="str">
        <f>IFERROR(__xludf.DUMMYFUNCTION("""COMPUTED_VALUE"""),"Very Good")</f>
        <v>Very Good</v>
      </c>
      <c r="AA1770" t="str">
        <f>IFERROR(__xludf.DUMMYFUNCTION("""COMPUTED_VALUE"""),"Good")</f>
        <v>Good</v>
      </c>
      <c r="AB1770" t="str">
        <f>IFERROR(__xludf.DUMMYFUNCTION("""COMPUTED_VALUE"""),"Very Good")</f>
        <v>Very Good</v>
      </c>
      <c r="AH1770" s="189">
        <f>IFERROR(__xludf.DUMMYFUNCTION("""COMPUTED_VALUE"""),43623.746753900465)</f>
        <v>43623.74675</v>
      </c>
    </row>
    <row r="1771">
      <c r="A1771" t="str">
        <f>IFERROR(__xludf.DUMMYFUNCTION("""COMPUTED_VALUE"""),"CabaSw")</f>
        <v>CabaSw</v>
      </c>
      <c r="B1771" t="str">
        <f>IFERROR(__xludf.DUMMYFUNCTION("""COMPUTED_VALUE"""),"Campbell")</f>
        <v>Campbell</v>
      </c>
      <c r="C1771" t="str">
        <f>IFERROR(__xludf.DUMMYFUNCTION("""COMPUTED_VALUE"""),"CA")</f>
        <v>CA</v>
      </c>
      <c r="D1771" t="str">
        <f>IFERROR(__xludf.DUMMYFUNCTION("""COMPUTED_VALUE"""),"USA")</f>
        <v>USA</v>
      </c>
      <c r="E1771" s="188">
        <f>IFERROR(__xludf.DUMMYFUNCTION("""COMPUTED_VALUE"""),43593.0)</f>
        <v>43593</v>
      </c>
      <c r="F1771" s="188">
        <f>IFERROR(__xludf.DUMMYFUNCTION("""COMPUTED_VALUE"""),43619.0)</f>
        <v>43619</v>
      </c>
      <c r="H1771">
        <f>IFERROR(__xludf.DUMMYFUNCTION("""COMPUTED_VALUE"""),393555.0)</f>
        <v>393555</v>
      </c>
      <c r="J1771" s="5">
        <f>IFERROR(__xludf.DUMMYFUNCTION("""COMPUTED_VALUE"""),43622.0)</f>
        <v>43622</v>
      </c>
      <c r="K1771">
        <f>IFERROR(__xludf.DUMMYFUNCTION("""COMPUTED_VALUE"""),26.0)</f>
        <v>26</v>
      </c>
      <c r="L1771">
        <f>IFERROR(__xludf.DUMMYFUNCTION("""COMPUTED_VALUE"""),3.0)</f>
        <v>3</v>
      </c>
      <c r="M1771">
        <f>IFERROR(__xludf.DUMMYFUNCTION("""COMPUTED_VALUE"""),29.0)</f>
        <v>29</v>
      </c>
      <c r="N1771" t="str">
        <f>IFERROR(__xludf.DUMMYFUNCTION("""COMPUTED_VALUE"""),"Model 3 Performance")</f>
        <v>Model 3 Performance</v>
      </c>
      <c r="O1771" t="str">
        <f>IFERROR(__xludf.DUMMYFUNCTION("""COMPUTED_VALUE"""),"Red Multi-Coat")</f>
        <v>Red Multi-Coat</v>
      </c>
      <c r="P1771" t="str">
        <f>IFERROR(__xludf.DUMMYFUNCTION("""COMPUTED_VALUE"""),"20 inch Sport")</f>
        <v>20 inch Sport</v>
      </c>
      <c r="Q1771" t="str">
        <f>IFERROR(__xludf.DUMMYFUNCTION("""COMPUTED_VALUE"""),"White seats")</f>
        <v>White seats</v>
      </c>
      <c r="R1771" t="str">
        <f>IFERROR(__xludf.DUMMYFUNCTION("""COMPUTED_VALUE"""),"Full Self-Driving")</f>
        <v>Full Self-Driving</v>
      </c>
      <c r="X1771" t="str">
        <f>IFERROR(__xludf.DUMMYFUNCTION("""COMPUTED_VALUE"""),"Very Good")</f>
        <v>Very Good</v>
      </c>
      <c r="Y1771" t="str">
        <f>IFERROR(__xludf.DUMMYFUNCTION("""COMPUTED_VALUE"""),"Excellent")</f>
        <v>Excellent</v>
      </c>
      <c r="Z1771" t="str">
        <f>IFERROR(__xludf.DUMMYFUNCTION("""COMPUTED_VALUE"""),"Good")</f>
        <v>Good</v>
      </c>
      <c r="AA1771" t="str">
        <f>IFERROR(__xludf.DUMMYFUNCTION("""COMPUTED_VALUE"""),"Poor")</f>
        <v>Poor</v>
      </c>
      <c r="AB1771" t="str">
        <f>IFERROR(__xludf.DUMMYFUNCTION("""COMPUTED_VALUE"""),"Good")</f>
        <v>Good</v>
      </c>
      <c r="AC1771">
        <f>IFERROR(__xludf.DUMMYFUNCTION("""COMPUTED_VALUE"""),1.0)</f>
        <v>1</v>
      </c>
      <c r="AD1771">
        <f>IFERROR(__xludf.DUMMYFUNCTION("""COMPUTED_VALUE"""),1.0)</f>
        <v>1</v>
      </c>
      <c r="AH1771" s="189">
        <f>IFERROR(__xludf.DUMMYFUNCTION("""COMPUTED_VALUE"""),43623.90671423612)</f>
        <v>43623.90671</v>
      </c>
    </row>
    <row r="1772">
      <c r="A1772" t="str">
        <f>IFERROR(__xludf.DUMMYFUNCTION("""COMPUTED_VALUE"""),"rknight2021")</f>
        <v>rknight2021</v>
      </c>
      <c r="B1772" t="str">
        <f>IFERROR(__xludf.DUMMYFUNCTION("""COMPUTED_VALUE"""),"Los Angeles")</f>
        <v>Los Angeles</v>
      </c>
      <c r="C1772" t="str">
        <f>IFERROR(__xludf.DUMMYFUNCTION("""COMPUTED_VALUE"""),"CA")</f>
        <v>CA</v>
      </c>
      <c r="D1772" t="str">
        <f>IFERROR(__xludf.DUMMYFUNCTION("""COMPUTED_VALUE"""),"USA")</f>
        <v>USA</v>
      </c>
      <c r="E1772" s="188">
        <f>IFERROR(__xludf.DUMMYFUNCTION("""COMPUTED_VALUE"""),44417.0)</f>
        <v>44417</v>
      </c>
      <c r="F1772" s="188">
        <f>IFERROR(__xludf.DUMMYFUNCTION("""COMPUTED_VALUE"""),44453.0)</f>
        <v>44453</v>
      </c>
      <c r="G1772" t="str">
        <f>IFERROR(__xludf.DUMMYFUNCTION("""COMPUTED_VALUE"""),"Manage order page (normal text)")</f>
        <v>Manage order page (normal text)</v>
      </c>
      <c r="H1772">
        <f>IFERROR(__xludf.DUMMYFUNCTION("""COMPUTED_VALUE"""),66096.0)</f>
        <v>66096</v>
      </c>
      <c r="I1772" t="str">
        <f>IFERROR(__xludf.DUMMYFUNCTION("""COMPUTED_VALUE"""),"09/21")</f>
        <v>09/21</v>
      </c>
      <c r="K1772">
        <f>IFERROR(__xludf.DUMMYFUNCTION("""COMPUTED_VALUE"""),36.0)</f>
        <v>36</v>
      </c>
      <c r="N1772" t="str">
        <f>IFERROR(__xludf.DUMMYFUNCTION("""COMPUTED_VALUE"""),"Model 3 Performance")</f>
        <v>Model 3 Performance</v>
      </c>
      <c r="O1772" t="str">
        <f>IFERROR(__xludf.DUMMYFUNCTION("""COMPUTED_VALUE"""),"Red Multi-Coat")</f>
        <v>Red Multi-Coat</v>
      </c>
      <c r="P1772" t="str">
        <f>IFERROR(__xludf.DUMMYFUNCTION("""COMPUTED_VALUE"""),"20 inch")</f>
        <v>20 inch</v>
      </c>
      <c r="Q1772" t="str">
        <f>IFERROR(__xludf.DUMMYFUNCTION("""COMPUTED_VALUE"""),"All Black")</f>
        <v>All Black</v>
      </c>
      <c r="R1772" t="str">
        <f>IFERROR(__xludf.DUMMYFUNCTION("""COMPUTED_VALUE"""),"Full Self-Driving")</f>
        <v>Full Self-Driving</v>
      </c>
      <c r="S1772" t="str">
        <f>IFERROR(__xludf.DUMMYFUNCTION("""COMPUTED_VALUE"""),"Loan")</f>
        <v>Loan</v>
      </c>
      <c r="T1772" t="str">
        <f>IFERROR(__xludf.DUMMYFUNCTION("""COMPUTED_VALUE"""),"Tesla Model 3")</f>
        <v>Tesla Model 3</v>
      </c>
      <c r="U1772" t="str">
        <f>IFERROR(__xludf.DUMMYFUNCTION("""COMPUTED_VALUE"""),"Tesla brand image")</f>
        <v>Tesla brand image</v>
      </c>
      <c r="X1772" t="str">
        <f>IFERROR(__xludf.DUMMYFUNCTION("""COMPUTED_VALUE"""),"Very Good")</f>
        <v>Very Good</v>
      </c>
      <c r="Y1772" t="str">
        <f>IFERROR(__xludf.DUMMYFUNCTION("""COMPUTED_VALUE"""),"Good")</f>
        <v>Good</v>
      </c>
      <c r="Z1772" t="str">
        <f>IFERROR(__xludf.DUMMYFUNCTION("""COMPUTED_VALUE"""),"Excellent")</f>
        <v>Excellent</v>
      </c>
      <c r="AA1772" t="str">
        <f>IFERROR(__xludf.DUMMYFUNCTION("""COMPUTED_VALUE"""),"Good")</f>
        <v>Good</v>
      </c>
      <c r="AB1772" t="str">
        <f>IFERROR(__xludf.DUMMYFUNCTION("""COMPUTED_VALUE"""),"Fair")</f>
        <v>Fair</v>
      </c>
      <c r="AH1772" s="189">
        <f>IFERROR(__xludf.DUMMYFUNCTION("""COMPUTED_VALUE"""),44453.24951552083)</f>
        <v>44453.24952</v>
      </c>
    </row>
    <row r="1773">
      <c r="A1773" t="str">
        <f>IFERROR(__xludf.DUMMYFUNCTION("""COMPUTED_VALUE"""),"NapaMateo")</f>
        <v>NapaMateo</v>
      </c>
      <c r="B1773" t="str">
        <f>IFERROR(__xludf.DUMMYFUNCTION("""COMPUTED_VALUE"""),"Napa")</f>
        <v>Napa</v>
      </c>
      <c r="C1773" t="str">
        <f>IFERROR(__xludf.DUMMYFUNCTION("""COMPUTED_VALUE"""),"CA")</f>
        <v>CA</v>
      </c>
      <c r="D1773" t="str">
        <f>IFERROR(__xludf.DUMMYFUNCTION("""COMPUTED_VALUE"""),"USA")</f>
        <v>USA</v>
      </c>
      <c r="E1773" s="188">
        <f>IFERROR(__xludf.DUMMYFUNCTION("""COMPUTED_VALUE"""),43583.0)</f>
        <v>43583</v>
      </c>
      <c r="H1773">
        <f>IFERROR(__xludf.DUMMYFUNCTION("""COMPUTED_VALUE"""),365462.0)</f>
        <v>365462</v>
      </c>
      <c r="I1773" t="str">
        <f>IFERROR(__xludf.DUMMYFUNCTION("""COMPUTED_VALUE"""),"05/19")</f>
        <v>05/19</v>
      </c>
      <c r="J1773" s="5">
        <f>IFERROR(__xludf.DUMMYFUNCTION("""COMPUTED_VALUE"""),43593.0)</f>
        <v>43593</v>
      </c>
      <c r="M1773">
        <f>IFERROR(__xludf.DUMMYFUNCTION("""COMPUTED_VALUE"""),10.0)</f>
        <v>10</v>
      </c>
      <c r="N1773" t="str">
        <f>IFERROR(__xludf.DUMMYFUNCTION("""COMPUTED_VALUE"""),"Model 3 LR AWD")</f>
        <v>Model 3 LR AWD</v>
      </c>
      <c r="O1773" t="str">
        <f>IFERROR(__xludf.DUMMYFUNCTION("""COMPUTED_VALUE"""),"Red Multi-Coat")</f>
        <v>Red Multi-Coat</v>
      </c>
      <c r="P1773" t="str">
        <f>IFERROR(__xludf.DUMMYFUNCTION("""COMPUTED_VALUE"""),"19 inch Sport")</f>
        <v>19 inch Sport</v>
      </c>
      <c r="Q1773" t="str">
        <f>IFERROR(__xludf.DUMMYFUNCTION("""COMPUTED_VALUE"""),"Black seats")</f>
        <v>Black seats</v>
      </c>
      <c r="R1773" t="str">
        <f>IFERROR(__xludf.DUMMYFUNCTION("""COMPUTED_VALUE"""),"Autopilot")</f>
        <v>Autopilot</v>
      </c>
      <c r="X1773" t="str">
        <f>IFERROR(__xludf.DUMMYFUNCTION("""COMPUTED_VALUE"""),"Excellent")</f>
        <v>Excellent</v>
      </c>
      <c r="Y1773" t="str">
        <f>IFERROR(__xludf.DUMMYFUNCTION("""COMPUTED_VALUE"""),"Very Good")</f>
        <v>Very Good</v>
      </c>
      <c r="Z1773" t="str">
        <f>IFERROR(__xludf.DUMMYFUNCTION("""COMPUTED_VALUE"""),"Very Good")</f>
        <v>Very Good</v>
      </c>
      <c r="AA1773" t="str">
        <f>IFERROR(__xludf.DUMMYFUNCTION("""COMPUTED_VALUE"""),"Good")</f>
        <v>Good</v>
      </c>
      <c r="AB1773" t="str">
        <f>IFERROR(__xludf.DUMMYFUNCTION("""COMPUTED_VALUE"""),"Excellent")</f>
        <v>Excellent</v>
      </c>
      <c r="AC1773">
        <f>IFERROR(__xludf.DUMMYFUNCTION("""COMPUTED_VALUE"""),0.0)</f>
        <v>0</v>
      </c>
      <c r="AD1773">
        <f>IFERROR(__xludf.DUMMYFUNCTION("""COMPUTED_VALUE"""),0.0)</f>
        <v>0</v>
      </c>
      <c r="AE1773">
        <f>IFERROR(__xludf.DUMMYFUNCTION("""COMPUTED_VALUE"""),0.0)</f>
        <v>0</v>
      </c>
      <c r="AH1773" s="189">
        <f>IFERROR(__xludf.DUMMYFUNCTION("""COMPUTED_VALUE"""),43624.413152361114)</f>
        <v>43624.41315</v>
      </c>
    </row>
    <row r="1774">
      <c r="A1774" t="str">
        <f>IFERROR(__xludf.DUMMYFUNCTION("""COMPUTED_VALUE"""),"Davewill ")</f>
        <v>Davewill </v>
      </c>
      <c r="B1774" t="str">
        <f>IFERROR(__xludf.DUMMYFUNCTION("""COMPUTED_VALUE"""),"San Diego")</f>
        <v>San Diego</v>
      </c>
      <c r="C1774" t="str">
        <f>IFERROR(__xludf.DUMMYFUNCTION("""COMPUTED_VALUE"""),"CA")</f>
        <v>CA</v>
      </c>
      <c r="D1774" t="str">
        <f>IFERROR(__xludf.DUMMYFUNCTION("""COMPUTED_VALUE"""),"USA")</f>
        <v>USA</v>
      </c>
      <c r="E1774" s="188">
        <f>IFERROR(__xludf.DUMMYFUNCTION("""COMPUTED_VALUE"""),43607.0)</f>
        <v>43607</v>
      </c>
      <c r="F1774" s="188">
        <f>IFERROR(__xludf.DUMMYFUNCTION("""COMPUTED_VALUE"""),43609.0)</f>
        <v>43609</v>
      </c>
      <c r="H1774">
        <f>IFERROR(__xludf.DUMMYFUNCTION("""COMPUTED_VALUE"""),316755.0)</f>
        <v>316755</v>
      </c>
      <c r="I1774" t="str">
        <f>IFERROR(__xludf.DUMMYFUNCTION("""COMPUTED_VALUE"""),"04/19")</f>
        <v>04/19</v>
      </c>
      <c r="J1774" s="5">
        <f>IFERROR(__xludf.DUMMYFUNCTION("""COMPUTED_VALUE"""),43624.0)</f>
        <v>43624</v>
      </c>
      <c r="K1774">
        <f>IFERROR(__xludf.DUMMYFUNCTION("""COMPUTED_VALUE"""),2.0)</f>
        <v>2</v>
      </c>
      <c r="L1774">
        <f>IFERROR(__xludf.DUMMYFUNCTION("""COMPUTED_VALUE"""),15.0)</f>
        <v>15</v>
      </c>
      <c r="M1774">
        <f>IFERROR(__xludf.DUMMYFUNCTION("""COMPUTED_VALUE"""),17.0)</f>
        <v>17</v>
      </c>
      <c r="N1774" t="str">
        <f>IFERROR(__xludf.DUMMYFUNCTION("""COMPUTED_VALUE"""),"Model 3 SR")</f>
        <v>Model 3 SR</v>
      </c>
      <c r="O1774" t="str">
        <f>IFERROR(__xludf.DUMMYFUNCTION("""COMPUTED_VALUE"""),"Red Multi-Coat")</f>
        <v>Red Multi-Coat</v>
      </c>
      <c r="P1774" t="str">
        <f>IFERROR(__xludf.DUMMYFUNCTION("""COMPUTED_VALUE"""),"18 inch Aero")</f>
        <v>18 inch Aero</v>
      </c>
      <c r="Q1774" t="str">
        <f>IFERROR(__xludf.DUMMYFUNCTION("""COMPUTED_VALUE"""),"Black seats")</f>
        <v>Black seats</v>
      </c>
      <c r="R1774" t="str">
        <f>IFERROR(__xludf.DUMMYFUNCTION("""COMPUTED_VALUE"""),"None")</f>
        <v>None</v>
      </c>
      <c r="X1774" t="str">
        <f>IFERROR(__xludf.DUMMYFUNCTION("""COMPUTED_VALUE"""),"Fair")</f>
        <v>Fair</v>
      </c>
      <c r="Y1774" t="str">
        <f>IFERROR(__xludf.DUMMYFUNCTION("""COMPUTED_VALUE"""),"Excellent")</f>
        <v>Excellent</v>
      </c>
      <c r="Z1774" t="str">
        <f>IFERROR(__xludf.DUMMYFUNCTION("""COMPUTED_VALUE"""),"Very Good")</f>
        <v>Very Good</v>
      </c>
      <c r="AA1774" t="str">
        <f>IFERROR(__xludf.DUMMYFUNCTION("""COMPUTED_VALUE"""),"Good")</f>
        <v>Good</v>
      </c>
      <c r="AB1774" t="str">
        <f>IFERROR(__xludf.DUMMYFUNCTION("""COMPUTED_VALUE"""),"Fair")</f>
        <v>Fair</v>
      </c>
      <c r="AC1774">
        <f>IFERROR(__xludf.DUMMYFUNCTION("""COMPUTED_VALUE"""),2.0)</f>
        <v>2</v>
      </c>
      <c r="AH1774" s="189">
        <f>IFERROR(__xludf.DUMMYFUNCTION("""COMPUTED_VALUE"""),43625.025307766206)</f>
        <v>43625.02531</v>
      </c>
    </row>
    <row r="1775">
      <c r="A1775" t="str">
        <f>IFERROR(__xludf.DUMMYFUNCTION("""COMPUTED_VALUE"""),"Twigster")</f>
        <v>Twigster</v>
      </c>
      <c r="B1775" t="str">
        <f>IFERROR(__xludf.DUMMYFUNCTION("""COMPUTED_VALUE"""),"Apex")</f>
        <v>Apex</v>
      </c>
      <c r="C1775" t="str">
        <f>IFERROR(__xludf.DUMMYFUNCTION("""COMPUTED_VALUE"""),"NC")</f>
        <v>NC</v>
      </c>
      <c r="D1775" t="str">
        <f>IFERROR(__xludf.DUMMYFUNCTION("""COMPUTED_VALUE"""),"USA")</f>
        <v>USA</v>
      </c>
      <c r="E1775" s="188">
        <f>IFERROR(__xludf.DUMMYFUNCTION("""COMPUTED_VALUE"""),43599.0)</f>
        <v>43599</v>
      </c>
      <c r="F1775" s="188">
        <f>IFERROR(__xludf.DUMMYFUNCTION("""COMPUTED_VALUE"""),43617.0)</f>
        <v>43617</v>
      </c>
      <c r="H1775" s="4">
        <f>IFERROR(__xludf.DUMMYFUNCTION("""COMPUTED_VALUE"""),400694.0)</f>
        <v>400694</v>
      </c>
      <c r="J1775" s="5">
        <f>IFERROR(__xludf.DUMMYFUNCTION("""COMPUTED_VALUE"""),43623.0)</f>
        <v>43623</v>
      </c>
      <c r="K1775">
        <f>IFERROR(__xludf.DUMMYFUNCTION("""COMPUTED_VALUE"""),18.0)</f>
        <v>18</v>
      </c>
      <c r="L1775">
        <f>IFERROR(__xludf.DUMMYFUNCTION("""COMPUTED_VALUE"""),6.0)</f>
        <v>6</v>
      </c>
      <c r="M1775">
        <f>IFERROR(__xludf.DUMMYFUNCTION("""COMPUTED_VALUE"""),24.0)</f>
        <v>24</v>
      </c>
      <c r="N1775" t="str">
        <f>IFERROR(__xludf.DUMMYFUNCTION("""COMPUTED_VALUE"""),"Model 3 SR+")</f>
        <v>Model 3 SR+</v>
      </c>
      <c r="O1775" t="str">
        <f>IFERROR(__xludf.DUMMYFUNCTION("""COMPUTED_VALUE"""),"Deep Blue Metallic")</f>
        <v>Deep Blue Metallic</v>
      </c>
      <c r="P1775" t="str">
        <f>IFERROR(__xludf.DUMMYFUNCTION("""COMPUTED_VALUE"""),"18 inch Aero")</f>
        <v>18 inch Aero</v>
      </c>
      <c r="Q1775" t="str">
        <f>IFERROR(__xludf.DUMMYFUNCTION("""COMPUTED_VALUE"""),"Black seats")</f>
        <v>Black seats</v>
      </c>
      <c r="R1775" t="str">
        <f>IFERROR(__xludf.DUMMYFUNCTION("""COMPUTED_VALUE"""),"Full Self-Driving")</f>
        <v>Full Self-Driving</v>
      </c>
      <c r="X1775" t="str">
        <f>IFERROR(__xludf.DUMMYFUNCTION("""COMPUTED_VALUE"""),"Fair")</f>
        <v>Fair</v>
      </c>
      <c r="Y1775" t="str">
        <f>IFERROR(__xludf.DUMMYFUNCTION("""COMPUTED_VALUE"""),"Excellent")</f>
        <v>Excellent</v>
      </c>
      <c r="Z1775" t="str">
        <f>IFERROR(__xludf.DUMMYFUNCTION("""COMPUTED_VALUE"""),"Excellent")</f>
        <v>Excellent</v>
      </c>
      <c r="AA1775" t="str">
        <f>IFERROR(__xludf.DUMMYFUNCTION("""COMPUTED_VALUE"""),"Good")</f>
        <v>Good</v>
      </c>
      <c r="AB1775" t="str">
        <f>IFERROR(__xludf.DUMMYFUNCTION("""COMPUTED_VALUE"""),"Very Good")</f>
        <v>Very Good</v>
      </c>
      <c r="AH1775" s="189">
        <f>IFERROR(__xludf.DUMMYFUNCTION("""COMPUTED_VALUE"""),43625.32101583334)</f>
        <v>43625.32102</v>
      </c>
    </row>
    <row r="1776">
      <c r="A1776" t="str">
        <f>IFERROR(__xludf.DUMMYFUNCTION("""COMPUTED_VALUE"""),"PowerLvOver9000")</f>
        <v>PowerLvOver9000</v>
      </c>
      <c r="B1776" t="str">
        <f>IFERROR(__xludf.DUMMYFUNCTION("""COMPUTED_VALUE"""),"Cleveland")</f>
        <v>Cleveland</v>
      </c>
      <c r="C1776" t="str">
        <f>IFERROR(__xludf.DUMMYFUNCTION("""COMPUTED_VALUE"""),"OH")</f>
        <v>OH</v>
      </c>
      <c r="D1776" t="str">
        <f>IFERROR(__xludf.DUMMYFUNCTION("""COMPUTED_VALUE"""),"USA")</f>
        <v>USA</v>
      </c>
      <c r="E1776" s="188">
        <f>IFERROR(__xludf.DUMMYFUNCTION("""COMPUTED_VALUE"""),43595.0)</f>
        <v>43595</v>
      </c>
      <c r="F1776" s="188">
        <f>IFERROR(__xludf.DUMMYFUNCTION("""COMPUTED_VALUE"""),43615.0)</f>
        <v>43615</v>
      </c>
      <c r="H1776">
        <f>IFERROR(__xludf.DUMMYFUNCTION("""COMPUTED_VALUE"""),312355.0)</f>
        <v>312355</v>
      </c>
      <c r="J1776" s="5">
        <f>IFERROR(__xludf.DUMMYFUNCTION("""COMPUTED_VALUE"""),43616.0)</f>
        <v>43616</v>
      </c>
      <c r="K1776">
        <f>IFERROR(__xludf.DUMMYFUNCTION("""COMPUTED_VALUE"""),20.0)</f>
        <v>20</v>
      </c>
      <c r="L1776">
        <f>IFERROR(__xludf.DUMMYFUNCTION("""COMPUTED_VALUE"""),1.0)</f>
        <v>1</v>
      </c>
      <c r="M1776">
        <f>IFERROR(__xludf.DUMMYFUNCTION("""COMPUTED_VALUE"""),21.0)</f>
        <v>21</v>
      </c>
      <c r="N1776" t="str">
        <f>IFERROR(__xludf.DUMMYFUNCTION("""COMPUTED_VALUE"""),"Model 3 SR+")</f>
        <v>Model 3 SR+</v>
      </c>
      <c r="O1776" t="str">
        <f>IFERROR(__xludf.DUMMYFUNCTION("""COMPUTED_VALUE"""),"Deep Blue Metallic")</f>
        <v>Deep Blue Metallic</v>
      </c>
      <c r="P1776" t="str">
        <f>IFERROR(__xludf.DUMMYFUNCTION("""COMPUTED_VALUE"""),"18 inch Aero")</f>
        <v>18 inch Aero</v>
      </c>
      <c r="Q1776" t="str">
        <f>IFERROR(__xludf.DUMMYFUNCTION("""COMPUTED_VALUE"""),"White seats")</f>
        <v>White seats</v>
      </c>
      <c r="R1776" t="str">
        <f>IFERROR(__xludf.DUMMYFUNCTION("""COMPUTED_VALUE"""),"Autopilot")</f>
        <v>Autopilot</v>
      </c>
      <c r="X1776" t="str">
        <f>IFERROR(__xludf.DUMMYFUNCTION("""COMPUTED_VALUE"""),"Excellent")</f>
        <v>Excellent</v>
      </c>
      <c r="Y1776" t="str">
        <f>IFERROR(__xludf.DUMMYFUNCTION("""COMPUTED_VALUE"""),"Excellent")</f>
        <v>Excellent</v>
      </c>
      <c r="Z1776" t="str">
        <f>IFERROR(__xludf.DUMMYFUNCTION("""COMPUTED_VALUE"""),"Excellent")</f>
        <v>Excellent</v>
      </c>
      <c r="AA1776" t="str">
        <f>IFERROR(__xludf.DUMMYFUNCTION("""COMPUTED_VALUE"""),"Good")</f>
        <v>Good</v>
      </c>
      <c r="AB1776" t="str">
        <f>IFERROR(__xludf.DUMMYFUNCTION("""COMPUTED_VALUE"""),"Very Good")</f>
        <v>Very Good</v>
      </c>
      <c r="AC1776">
        <f>IFERROR(__xludf.DUMMYFUNCTION("""COMPUTED_VALUE"""),1.0)</f>
        <v>1</v>
      </c>
      <c r="AD1776">
        <f>IFERROR(__xludf.DUMMYFUNCTION("""COMPUTED_VALUE"""),1.0)</f>
        <v>1</v>
      </c>
      <c r="AE1776">
        <f>IFERROR(__xludf.DUMMYFUNCTION("""COMPUTED_VALUE"""),0.0)</f>
        <v>0</v>
      </c>
      <c r="AH1776" s="189">
        <f>IFERROR(__xludf.DUMMYFUNCTION("""COMPUTED_VALUE"""),43625.46957674768)</f>
        <v>43625.46958</v>
      </c>
    </row>
    <row r="1777">
      <c r="A1777" t="str">
        <f>IFERROR(__xludf.DUMMYFUNCTION("""COMPUTED_VALUE"""),"Zeke")</f>
        <v>Zeke</v>
      </c>
      <c r="B1777" t="str">
        <f>IFERROR(__xludf.DUMMYFUNCTION("""COMPUTED_VALUE"""),"Portland")</f>
        <v>Portland</v>
      </c>
      <c r="C1777" t="str">
        <f>IFERROR(__xludf.DUMMYFUNCTION("""COMPUTED_VALUE"""),"OR")</f>
        <v>OR</v>
      </c>
      <c r="D1777" t="str">
        <f>IFERROR(__xludf.DUMMYFUNCTION("""COMPUTED_VALUE"""),"USA")</f>
        <v>USA</v>
      </c>
      <c r="E1777" s="188">
        <f>IFERROR(__xludf.DUMMYFUNCTION("""COMPUTED_VALUE"""),43617.0)</f>
        <v>43617</v>
      </c>
      <c r="F1777" s="188">
        <f>IFERROR(__xludf.DUMMYFUNCTION("""COMPUTED_VALUE"""),43621.0)</f>
        <v>43621</v>
      </c>
      <c r="H1777">
        <f>IFERROR(__xludf.DUMMYFUNCTION("""COMPUTED_VALUE"""),392955.0)</f>
        <v>392955</v>
      </c>
      <c r="J1777" s="5">
        <f>IFERROR(__xludf.DUMMYFUNCTION("""COMPUTED_VALUE"""),43624.0)</f>
        <v>43624</v>
      </c>
      <c r="K1777">
        <f>IFERROR(__xludf.DUMMYFUNCTION("""COMPUTED_VALUE"""),4.0)</f>
        <v>4</v>
      </c>
      <c r="L1777">
        <f>IFERROR(__xludf.DUMMYFUNCTION("""COMPUTED_VALUE"""),3.0)</f>
        <v>3</v>
      </c>
      <c r="M1777">
        <f>IFERROR(__xludf.DUMMYFUNCTION("""COMPUTED_VALUE"""),7.0)</f>
        <v>7</v>
      </c>
      <c r="N1777" t="str">
        <f>IFERROR(__xludf.DUMMYFUNCTION("""COMPUTED_VALUE"""),"Model 3 Performance")</f>
        <v>Model 3 Performance</v>
      </c>
      <c r="O1777" t="str">
        <f>IFERROR(__xludf.DUMMYFUNCTION("""COMPUTED_VALUE"""),"Midnight Silver Metallic")</f>
        <v>Midnight Silver Metallic</v>
      </c>
      <c r="P1777" t="str">
        <f>IFERROR(__xludf.DUMMYFUNCTION("""COMPUTED_VALUE"""),"20 inch Sport")</f>
        <v>20 inch Sport</v>
      </c>
      <c r="Q1777" t="str">
        <f>IFERROR(__xludf.DUMMYFUNCTION("""COMPUTED_VALUE"""),"Black seats")</f>
        <v>Black seats</v>
      </c>
      <c r="R1777" t="str">
        <f>IFERROR(__xludf.DUMMYFUNCTION("""COMPUTED_VALUE"""),"Full Self-Driving")</f>
        <v>Full Self-Driving</v>
      </c>
      <c r="X1777" t="str">
        <f>IFERROR(__xludf.DUMMYFUNCTION("""COMPUTED_VALUE"""),"Excellent")</f>
        <v>Excellent</v>
      </c>
      <c r="Y1777" t="str">
        <f>IFERROR(__xludf.DUMMYFUNCTION("""COMPUTED_VALUE"""),"Fair")</f>
        <v>Fair</v>
      </c>
      <c r="Z1777" t="str">
        <f>IFERROR(__xludf.DUMMYFUNCTION("""COMPUTED_VALUE"""),"Excellent")</f>
        <v>Excellent</v>
      </c>
      <c r="AA1777" t="str">
        <f>IFERROR(__xludf.DUMMYFUNCTION("""COMPUTED_VALUE"""),"Very Good")</f>
        <v>Very Good</v>
      </c>
      <c r="AB1777" t="str">
        <f>IFERROR(__xludf.DUMMYFUNCTION("""COMPUTED_VALUE"""),"Fair")</f>
        <v>Fair</v>
      </c>
      <c r="AC1777">
        <f>IFERROR(__xludf.DUMMYFUNCTION("""COMPUTED_VALUE"""),1.0)</f>
        <v>1</v>
      </c>
      <c r="AD1777">
        <f>IFERROR(__xludf.DUMMYFUNCTION("""COMPUTED_VALUE"""),1.0)</f>
        <v>1</v>
      </c>
      <c r="AH1777" s="189">
        <f>IFERROR(__xludf.DUMMYFUNCTION("""COMPUTED_VALUE"""),43625.48419693287)</f>
        <v>43625.4842</v>
      </c>
    </row>
    <row r="1778">
      <c r="A1778" t="str">
        <f>IFERROR(__xludf.DUMMYFUNCTION("""COMPUTED_VALUE"""),"SingleT")</f>
        <v>SingleT</v>
      </c>
      <c r="B1778" t="str">
        <f>IFERROR(__xludf.DUMMYFUNCTION("""COMPUTED_VALUE"""),"Eden Prairie")</f>
        <v>Eden Prairie</v>
      </c>
      <c r="C1778" t="str">
        <f>IFERROR(__xludf.DUMMYFUNCTION("""COMPUTED_VALUE"""),"MN")</f>
        <v>MN</v>
      </c>
      <c r="D1778" t="str">
        <f>IFERROR(__xludf.DUMMYFUNCTION("""COMPUTED_VALUE"""),"USA")</f>
        <v>USA</v>
      </c>
      <c r="E1778" s="188">
        <f>IFERROR(__xludf.DUMMYFUNCTION("""COMPUTED_VALUE"""),43609.0)</f>
        <v>43609</v>
      </c>
      <c r="F1778" s="188">
        <f>IFERROR(__xludf.DUMMYFUNCTION("""COMPUTED_VALUE"""),43618.0)</f>
        <v>43618</v>
      </c>
      <c r="H1778">
        <f>IFERROR(__xludf.DUMMYFUNCTION("""COMPUTED_VALUE"""),308287.0)</f>
        <v>308287</v>
      </c>
      <c r="I1778" t="str">
        <f>IFERROR(__xludf.DUMMYFUNCTION("""COMPUTED_VALUE"""),"06/19")</f>
        <v>06/19</v>
      </c>
      <c r="J1778" s="5">
        <f>IFERROR(__xludf.DUMMYFUNCTION("""COMPUTED_VALUE"""),43624.0)</f>
        <v>43624</v>
      </c>
      <c r="K1778">
        <f>IFERROR(__xludf.DUMMYFUNCTION("""COMPUTED_VALUE"""),9.0)</f>
        <v>9</v>
      </c>
      <c r="L1778">
        <f>IFERROR(__xludf.DUMMYFUNCTION("""COMPUTED_VALUE"""),6.0)</f>
        <v>6</v>
      </c>
      <c r="M1778">
        <f>IFERROR(__xludf.DUMMYFUNCTION("""COMPUTED_VALUE"""),15.0)</f>
        <v>15</v>
      </c>
      <c r="N1778" t="str">
        <f>IFERROR(__xludf.DUMMYFUNCTION("""COMPUTED_VALUE"""),"Model 3 SR+")</f>
        <v>Model 3 SR+</v>
      </c>
      <c r="O1778" t="str">
        <f>IFERROR(__xludf.DUMMYFUNCTION("""COMPUTED_VALUE"""),"Midnight Silver Metallic")</f>
        <v>Midnight Silver Metallic</v>
      </c>
      <c r="P1778" t="str">
        <f>IFERROR(__xludf.DUMMYFUNCTION("""COMPUTED_VALUE"""),"18 inch Aero")</f>
        <v>18 inch Aero</v>
      </c>
      <c r="Q1778" t="str">
        <f>IFERROR(__xludf.DUMMYFUNCTION("""COMPUTED_VALUE"""),"Black seats")</f>
        <v>Black seats</v>
      </c>
      <c r="R1778" t="str">
        <f>IFERROR(__xludf.DUMMYFUNCTION("""COMPUTED_VALUE"""),"Autopilot")</f>
        <v>Autopilot</v>
      </c>
      <c r="X1778" t="str">
        <f>IFERROR(__xludf.DUMMYFUNCTION("""COMPUTED_VALUE"""),"Excellent")</f>
        <v>Excellent</v>
      </c>
      <c r="Y1778" t="str">
        <f>IFERROR(__xludf.DUMMYFUNCTION("""COMPUTED_VALUE"""),"Excellent")</f>
        <v>Excellent</v>
      </c>
      <c r="Z1778" t="str">
        <f>IFERROR(__xludf.DUMMYFUNCTION("""COMPUTED_VALUE"""),"Very Good")</f>
        <v>Very Good</v>
      </c>
      <c r="AA1778" t="str">
        <f>IFERROR(__xludf.DUMMYFUNCTION("""COMPUTED_VALUE"""),"Fair")</f>
        <v>Fair</v>
      </c>
      <c r="AB1778" t="str">
        <f>IFERROR(__xludf.DUMMYFUNCTION("""COMPUTED_VALUE"""),"Very Good")</f>
        <v>Very Good</v>
      </c>
      <c r="AG1778" t="str">
        <f>IFERROR(__xludf.DUMMYFUNCTION("""COMPUTED_VALUE"""),"Missing a few wheel well clips, but otherwise car was in great shape at delivery")</f>
        <v>Missing a few wheel well clips, but otherwise car was in great shape at delivery</v>
      </c>
      <c r="AH1778" s="189">
        <f>IFERROR(__xludf.DUMMYFUNCTION("""COMPUTED_VALUE"""),43626.28708538195)</f>
        <v>43626.28709</v>
      </c>
    </row>
    <row r="1779">
      <c r="A1779" t="str">
        <f>IFERROR(__xludf.DUMMYFUNCTION("""COMPUTED_VALUE"""),"CarolsTesla")</f>
        <v>CarolsTesla</v>
      </c>
      <c r="B1779" t="str">
        <f>IFERROR(__xludf.DUMMYFUNCTION("""COMPUTED_VALUE"""),"Lafayette ")</f>
        <v>Lafayette </v>
      </c>
      <c r="C1779" t="str">
        <f>IFERROR(__xludf.DUMMYFUNCTION("""COMPUTED_VALUE"""),"IN")</f>
        <v>IN</v>
      </c>
      <c r="D1779" t="str">
        <f>IFERROR(__xludf.DUMMYFUNCTION("""COMPUTED_VALUE"""),"USA")</f>
        <v>USA</v>
      </c>
      <c r="E1779" s="188">
        <f>IFERROR(__xludf.DUMMYFUNCTION("""COMPUTED_VALUE"""),43593.0)</f>
        <v>43593</v>
      </c>
      <c r="F1779" s="188">
        <f>IFERROR(__xludf.DUMMYFUNCTION("""COMPUTED_VALUE"""),43614.0)</f>
        <v>43614</v>
      </c>
      <c r="H1779">
        <f>IFERROR(__xludf.DUMMYFUNCTION("""COMPUTED_VALUE"""),194955.0)</f>
        <v>194955</v>
      </c>
      <c r="I1779" t="str">
        <f>IFERROR(__xludf.DUMMYFUNCTION("""COMPUTED_VALUE"""),"05/19")</f>
        <v>05/19</v>
      </c>
      <c r="J1779" s="5">
        <f>IFERROR(__xludf.DUMMYFUNCTION("""COMPUTED_VALUE"""),43621.0)</f>
        <v>43621</v>
      </c>
      <c r="K1779">
        <f>IFERROR(__xludf.DUMMYFUNCTION("""COMPUTED_VALUE"""),21.0)</f>
        <v>21</v>
      </c>
      <c r="L1779">
        <f>IFERROR(__xludf.DUMMYFUNCTION("""COMPUTED_VALUE"""),7.0)</f>
        <v>7</v>
      </c>
      <c r="M1779">
        <f>IFERROR(__xludf.DUMMYFUNCTION("""COMPUTED_VALUE"""),28.0)</f>
        <v>28</v>
      </c>
      <c r="N1779" t="str">
        <f>IFERROR(__xludf.DUMMYFUNCTION("""COMPUTED_VALUE"""),"Model 3 LR AWD")</f>
        <v>Model 3 LR AWD</v>
      </c>
      <c r="O1779" t="str">
        <f>IFERROR(__xludf.DUMMYFUNCTION("""COMPUTED_VALUE"""),"Deep Blue Metallic")</f>
        <v>Deep Blue Metallic</v>
      </c>
      <c r="P1779" t="str">
        <f>IFERROR(__xludf.DUMMYFUNCTION("""COMPUTED_VALUE"""),"18 inch Aero")</f>
        <v>18 inch Aero</v>
      </c>
      <c r="Q1779" t="str">
        <f>IFERROR(__xludf.DUMMYFUNCTION("""COMPUTED_VALUE"""),"White seats")</f>
        <v>White seats</v>
      </c>
      <c r="R1779" t="str">
        <f>IFERROR(__xludf.DUMMYFUNCTION("""COMPUTED_VALUE"""),"Full Self-Driving")</f>
        <v>Full Self-Driving</v>
      </c>
      <c r="X1779" t="str">
        <f>IFERROR(__xludf.DUMMYFUNCTION("""COMPUTED_VALUE"""),"Excellent")</f>
        <v>Excellent</v>
      </c>
      <c r="Y1779" t="str">
        <f>IFERROR(__xludf.DUMMYFUNCTION("""COMPUTED_VALUE"""),"Excellent")</f>
        <v>Excellent</v>
      </c>
      <c r="Z1779" t="str">
        <f>IFERROR(__xludf.DUMMYFUNCTION("""COMPUTED_VALUE"""),"Excellent")</f>
        <v>Excellent</v>
      </c>
      <c r="AA1779" t="str">
        <f>IFERROR(__xludf.DUMMYFUNCTION("""COMPUTED_VALUE"""),"Good")</f>
        <v>Good</v>
      </c>
      <c r="AB1779" t="str">
        <f>IFERROR(__xludf.DUMMYFUNCTION("""COMPUTED_VALUE"""),"Very Good")</f>
        <v>Very Good</v>
      </c>
      <c r="AH1779" s="189">
        <f>IFERROR(__xludf.DUMMYFUNCTION("""COMPUTED_VALUE"""),43626.47848603009)</f>
        <v>43626.47849</v>
      </c>
    </row>
    <row r="1780">
      <c r="A1780" t="str">
        <f>IFERROR(__xludf.DUMMYFUNCTION("""COMPUTED_VALUE"""),"Royal-1")</f>
        <v>Royal-1</v>
      </c>
      <c r="B1780" t="str">
        <f>IFERROR(__xludf.DUMMYFUNCTION("""COMPUTED_VALUE"""),"Phoenix")</f>
        <v>Phoenix</v>
      </c>
      <c r="C1780" t="str">
        <f>IFERROR(__xludf.DUMMYFUNCTION("""COMPUTED_VALUE"""),"AZ")</f>
        <v>AZ</v>
      </c>
      <c r="D1780" t="str">
        <f>IFERROR(__xludf.DUMMYFUNCTION("""COMPUTED_VALUE"""),"USA")</f>
        <v>USA</v>
      </c>
      <c r="E1780" s="188">
        <f>IFERROR(__xludf.DUMMYFUNCTION("""COMPUTED_VALUE"""),43590.0)</f>
        <v>43590</v>
      </c>
      <c r="F1780" s="188">
        <f>IFERROR(__xludf.DUMMYFUNCTION("""COMPUTED_VALUE"""),43618.0)</f>
        <v>43618</v>
      </c>
      <c r="H1780">
        <f>IFERROR(__xludf.DUMMYFUNCTION("""COMPUTED_VALUE"""),393755.0)</f>
        <v>393755</v>
      </c>
      <c r="I1780" t="str">
        <f>IFERROR(__xludf.DUMMYFUNCTION("""COMPUTED_VALUE"""),"06/19")</f>
        <v>06/19</v>
      </c>
      <c r="J1780" s="5">
        <f>IFERROR(__xludf.DUMMYFUNCTION("""COMPUTED_VALUE"""),43623.0)</f>
        <v>43623</v>
      </c>
      <c r="K1780">
        <f>IFERROR(__xludf.DUMMYFUNCTION("""COMPUTED_VALUE"""),28.0)</f>
        <v>28</v>
      </c>
      <c r="L1780">
        <f>IFERROR(__xludf.DUMMYFUNCTION("""COMPUTED_VALUE"""),5.0)</f>
        <v>5</v>
      </c>
      <c r="M1780">
        <f>IFERROR(__xludf.DUMMYFUNCTION("""COMPUTED_VALUE"""),33.0)</f>
        <v>33</v>
      </c>
      <c r="N1780" t="str">
        <f>IFERROR(__xludf.DUMMYFUNCTION("""COMPUTED_VALUE"""),"Model 3 Performance")</f>
        <v>Model 3 Performance</v>
      </c>
      <c r="O1780" t="str">
        <f>IFERROR(__xludf.DUMMYFUNCTION("""COMPUTED_VALUE"""),"Pearl White Multi-Coat")</f>
        <v>Pearl White Multi-Coat</v>
      </c>
      <c r="P1780" t="str">
        <f>IFERROR(__xludf.DUMMYFUNCTION("""COMPUTED_VALUE"""),"20 inch Sport")</f>
        <v>20 inch Sport</v>
      </c>
      <c r="Q1780" t="str">
        <f>IFERROR(__xludf.DUMMYFUNCTION("""COMPUTED_VALUE"""),"White seats")</f>
        <v>White seats</v>
      </c>
      <c r="R1780" t="str">
        <f>IFERROR(__xludf.DUMMYFUNCTION("""COMPUTED_VALUE"""),"Full Self-Driving")</f>
        <v>Full Self-Driving</v>
      </c>
      <c r="X1780" t="str">
        <f>IFERROR(__xludf.DUMMYFUNCTION("""COMPUTED_VALUE"""),"Very Good")</f>
        <v>Very Good</v>
      </c>
      <c r="Y1780" t="str">
        <f>IFERROR(__xludf.DUMMYFUNCTION("""COMPUTED_VALUE"""),"Very Good")</f>
        <v>Very Good</v>
      </c>
      <c r="Z1780" t="str">
        <f>IFERROR(__xludf.DUMMYFUNCTION("""COMPUTED_VALUE"""),"Excellent")</f>
        <v>Excellent</v>
      </c>
      <c r="AA1780" t="str">
        <f>IFERROR(__xludf.DUMMYFUNCTION("""COMPUTED_VALUE"""),"Good")</f>
        <v>Good</v>
      </c>
      <c r="AB1780" t="str">
        <f>IFERROR(__xludf.DUMMYFUNCTION("""COMPUTED_VALUE"""),"Excellent")</f>
        <v>Excellent</v>
      </c>
      <c r="AG1780" t="str">
        <f>IFERROR(__xludf.DUMMYFUNCTION("""COMPUTED_VALUE"""),"VIN in source code 6/3/19 on web page")</f>
        <v>VIN in source code 6/3/19 on web page</v>
      </c>
      <c r="AH1780" s="189">
        <f>IFERROR(__xludf.DUMMYFUNCTION("""COMPUTED_VALUE"""),43627.21275601852)</f>
        <v>43627.21276</v>
      </c>
    </row>
    <row r="1781">
      <c r="A1781" t="str">
        <f>IFERROR(__xludf.DUMMYFUNCTION("""COMPUTED_VALUE"""),"Nevada Jen")</f>
        <v>Nevada Jen</v>
      </c>
      <c r="B1781" t="str">
        <f>IFERROR(__xludf.DUMMYFUNCTION("""COMPUTED_VALUE"""),"Phoenix")</f>
        <v>Phoenix</v>
      </c>
      <c r="C1781" t="str">
        <f>IFERROR(__xludf.DUMMYFUNCTION("""COMPUTED_VALUE"""),"AZ")</f>
        <v>AZ</v>
      </c>
      <c r="D1781" t="str">
        <f>IFERROR(__xludf.DUMMYFUNCTION("""COMPUTED_VALUE"""),"USA")</f>
        <v>USA</v>
      </c>
      <c r="E1781" s="188">
        <f>IFERROR(__xludf.DUMMYFUNCTION("""COMPUTED_VALUE"""),43609.0)</f>
        <v>43609</v>
      </c>
      <c r="F1781" s="188">
        <f>IFERROR(__xludf.DUMMYFUNCTION("""COMPUTED_VALUE"""),43619.0)</f>
        <v>43619</v>
      </c>
      <c r="H1781">
        <f>IFERROR(__xludf.DUMMYFUNCTION("""COMPUTED_VALUE"""),398255.0)</f>
        <v>398255</v>
      </c>
      <c r="J1781" s="5">
        <f>IFERROR(__xludf.DUMMYFUNCTION("""COMPUTED_VALUE"""),43624.0)</f>
        <v>43624</v>
      </c>
      <c r="K1781">
        <f>IFERROR(__xludf.DUMMYFUNCTION("""COMPUTED_VALUE"""),10.0)</f>
        <v>10</v>
      </c>
      <c r="L1781">
        <f>IFERROR(__xludf.DUMMYFUNCTION("""COMPUTED_VALUE"""),5.0)</f>
        <v>5</v>
      </c>
      <c r="M1781">
        <f>IFERROR(__xludf.DUMMYFUNCTION("""COMPUTED_VALUE"""),15.0)</f>
        <v>15</v>
      </c>
      <c r="N1781" t="str">
        <f>IFERROR(__xludf.DUMMYFUNCTION("""COMPUTED_VALUE"""),"Model 3 SR+")</f>
        <v>Model 3 SR+</v>
      </c>
      <c r="O1781" t="str">
        <f>IFERROR(__xludf.DUMMYFUNCTION("""COMPUTED_VALUE"""),"Solid Black")</f>
        <v>Solid Black</v>
      </c>
      <c r="P1781" t="str">
        <f>IFERROR(__xludf.DUMMYFUNCTION("""COMPUTED_VALUE"""),"18 inch Aero")</f>
        <v>18 inch Aero</v>
      </c>
      <c r="Q1781" t="str">
        <f>IFERROR(__xludf.DUMMYFUNCTION("""COMPUTED_VALUE"""),"Black seats")</f>
        <v>Black seats</v>
      </c>
      <c r="R1781" t="str">
        <f>IFERROR(__xludf.DUMMYFUNCTION("""COMPUTED_VALUE"""),"Autopilot")</f>
        <v>Autopilot</v>
      </c>
      <c r="X1781" t="str">
        <f>IFERROR(__xludf.DUMMYFUNCTION("""COMPUTED_VALUE"""),"Excellent")</f>
        <v>Excellent</v>
      </c>
      <c r="Y1781" t="str">
        <f>IFERROR(__xludf.DUMMYFUNCTION("""COMPUTED_VALUE"""),"Excellent")</f>
        <v>Excellent</v>
      </c>
      <c r="Z1781" t="str">
        <f>IFERROR(__xludf.DUMMYFUNCTION("""COMPUTED_VALUE"""),"Excellent")</f>
        <v>Excellent</v>
      </c>
      <c r="AA1781" t="str">
        <f>IFERROR(__xludf.DUMMYFUNCTION("""COMPUTED_VALUE"""),"Poor")</f>
        <v>Poor</v>
      </c>
      <c r="AB1781" t="str">
        <f>IFERROR(__xludf.DUMMYFUNCTION("""COMPUTED_VALUE"""),"Good")</f>
        <v>Good</v>
      </c>
      <c r="AH1781" s="189">
        <f>IFERROR(__xludf.DUMMYFUNCTION("""COMPUTED_VALUE"""),43627.496413333334)</f>
        <v>43627.49641</v>
      </c>
    </row>
    <row r="1782">
      <c r="A1782" t="str">
        <f>IFERROR(__xludf.DUMMYFUNCTION("""COMPUTED_VALUE"""),"Eugr")</f>
        <v>Eugr</v>
      </c>
      <c r="B1782" t="str">
        <f>IFERROR(__xludf.DUMMYFUNCTION("""COMPUTED_VALUE"""),"San Diego")</f>
        <v>San Diego</v>
      </c>
      <c r="C1782" t="str">
        <f>IFERROR(__xludf.DUMMYFUNCTION("""COMPUTED_VALUE"""),"CA")</f>
        <v>CA</v>
      </c>
      <c r="D1782" t="str">
        <f>IFERROR(__xludf.DUMMYFUNCTION("""COMPUTED_VALUE"""),"USA")</f>
        <v>USA</v>
      </c>
      <c r="E1782" s="188">
        <f>IFERROR(__xludf.DUMMYFUNCTION("""COMPUTED_VALUE"""),43612.0)</f>
        <v>43612</v>
      </c>
      <c r="F1782" s="188">
        <f>IFERROR(__xludf.DUMMYFUNCTION("""COMPUTED_VALUE"""),43620.0)</f>
        <v>43620</v>
      </c>
      <c r="H1782">
        <f>IFERROR(__xludf.DUMMYFUNCTION("""COMPUTED_VALUE"""),387555.0)</f>
        <v>387555</v>
      </c>
      <c r="J1782" s="5">
        <f>IFERROR(__xludf.DUMMYFUNCTION("""COMPUTED_VALUE"""),43624.0)</f>
        <v>43624</v>
      </c>
      <c r="K1782">
        <f>IFERROR(__xludf.DUMMYFUNCTION("""COMPUTED_VALUE"""),8.0)</f>
        <v>8</v>
      </c>
      <c r="L1782">
        <f>IFERROR(__xludf.DUMMYFUNCTION("""COMPUTED_VALUE"""),4.0)</f>
        <v>4</v>
      </c>
      <c r="M1782">
        <f>IFERROR(__xludf.DUMMYFUNCTION("""COMPUTED_VALUE"""),12.0)</f>
        <v>12</v>
      </c>
      <c r="N1782" t="str">
        <f>IFERROR(__xludf.DUMMYFUNCTION("""COMPUTED_VALUE"""),"Model 3 LR AWD")</f>
        <v>Model 3 LR AWD</v>
      </c>
      <c r="O1782" t="str">
        <f>IFERROR(__xludf.DUMMYFUNCTION("""COMPUTED_VALUE"""),"Deep Blue Metallic")</f>
        <v>Deep Blue Metallic</v>
      </c>
      <c r="P1782" t="str">
        <f>IFERROR(__xludf.DUMMYFUNCTION("""COMPUTED_VALUE"""),"18 inch Aero")</f>
        <v>18 inch Aero</v>
      </c>
      <c r="Q1782" t="str">
        <f>IFERROR(__xludf.DUMMYFUNCTION("""COMPUTED_VALUE"""),"Black seats")</f>
        <v>Black seats</v>
      </c>
      <c r="R1782" t="str">
        <f>IFERROR(__xludf.DUMMYFUNCTION("""COMPUTED_VALUE"""),"Autopilot")</f>
        <v>Autopilot</v>
      </c>
      <c r="X1782" t="str">
        <f>IFERROR(__xludf.DUMMYFUNCTION("""COMPUTED_VALUE"""),"Good")</f>
        <v>Good</v>
      </c>
      <c r="Y1782" t="str">
        <f>IFERROR(__xludf.DUMMYFUNCTION("""COMPUTED_VALUE"""),"Very Good")</f>
        <v>Very Good</v>
      </c>
      <c r="Z1782" t="str">
        <f>IFERROR(__xludf.DUMMYFUNCTION("""COMPUTED_VALUE"""),"Good")</f>
        <v>Good</v>
      </c>
      <c r="AA1782" t="str">
        <f>IFERROR(__xludf.DUMMYFUNCTION("""COMPUTED_VALUE"""),"Fair")</f>
        <v>Fair</v>
      </c>
      <c r="AB1782" t="str">
        <f>IFERROR(__xludf.DUMMYFUNCTION("""COMPUTED_VALUE"""),"Fair")</f>
        <v>Fair</v>
      </c>
      <c r="AC1782">
        <f>IFERROR(__xludf.DUMMYFUNCTION("""COMPUTED_VALUE"""),1.0)</f>
        <v>1</v>
      </c>
      <c r="AH1782" s="189">
        <f>IFERROR(__xludf.DUMMYFUNCTION("""COMPUTED_VALUE"""),43627.50744263889)</f>
        <v>43627.50744</v>
      </c>
    </row>
    <row r="1783">
      <c r="A1783" t="str">
        <f>IFERROR(__xludf.DUMMYFUNCTION("""COMPUTED_VALUE"""),"lxs0618")</f>
        <v>lxs0618</v>
      </c>
      <c r="B1783" t="str">
        <f>IFERROR(__xludf.DUMMYFUNCTION("""COMPUTED_VALUE"""),"San Diego")</f>
        <v>San Diego</v>
      </c>
      <c r="C1783" t="str">
        <f>IFERROR(__xludf.DUMMYFUNCTION("""COMPUTED_VALUE"""),"CA")</f>
        <v>CA</v>
      </c>
      <c r="D1783" t="str">
        <f>IFERROR(__xludf.DUMMYFUNCTION("""COMPUTED_VALUE"""),"USA")</f>
        <v>USA</v>
      </c>
      <c r="E1783" s="188">
        <f>IFERROR(__xludf.DUMMYFUNCTION("""COMPUTED_VALUE"""),43608.0)</f>
        <v>43608</v>
      </c>
      <c r="F1783" s="188">
        <f>IFERROR(__xludf.DUMMYFUNCTION("""COMPUTED_VALUE"""),43618.0)</f>
        <v>43618</v>
      </c>
      <c r="H1783">
        <f>IFERROR(__xludf.DUMMYFUNCTION("""COMPUTED_VALUE"""),394547.0)</f>
        <v>394547</v>
      </c>
      <c r="I1783" t="str">
        <f>IFERROR(__xludf.DUMMYFUNCTION("""COMPUTED_VALUE"""),"06/19")</f>
        <v>06/19</v>
      </c>
      <c r="J1783" s="5">
        <f>IFERROR(__xludf.DUMMYFUNCTION("""COMPUTED_VALUE"""),43623.0)</f>
        <v>43623</v>
      </c>
      <c r="K1783">
        <f>IFERROR(__xludf.DUMMYFUNCTION("""COMPUTED_VALUE"""),10.0)</f>
        <v>10</v>
      </c>
      <c r="L1783">
        <f>IFERROR(__xludf.DUMMYFUNCTION("""COMPUTED_VALUE"""),5.0)</f>
        <v>5</v>
      </c>
      <c r="M1783">
        <f>IFERROR(__xludf.DUMMYFUNCTION("""COMPUTED_VALUE"""),15.0)</f>
        <v>15</v>
      </c>
      <c r="N1783" t="str">
        <f>IFERROR(__xludf.DUMMYFUNCTION("""COMPUTED_VALUE"""),"Model 3 SR+")</f>
        <v>Model 3 SR+</v>
      </c>
      <c r="O1783" t="str">
        <f>IFERROR(__xludf.DUMMYFUNCTION("""COMPUTED_VALUE"""),"Solid Black")</f>
        <v>Solid Black</v>
      </c>
      <c r="P1783" t="str">
        <f>IFERROR(__xludf.DUMMYFUNCTION("""COMPUTED_VALUE"""),"18 inch Aero")</f>
        <v>18 inch Aero</v>
      </c>
      <c r="Q1783" t="str">
        <f>IFERROR(__xludf.DUMMYFUNCTION("""COMPUTED_VALUE"""),"Black seats")</f>
        <v>Black seats</v>
      </c>
      <c r="R1783" t="str">
        <f>IFERROR(__xludf.DUMMYFUNCTION("""COMPUTED_VALUE"""),"Full Self-Driving")</f>
        <v>Full Self-Driving</v>
      </c>
      <c r="X1783" t="str">
        <f>IFERROR(__xludf.DUMMYFUNCTION("""COMPUTED_VALUE"""),"Fair")</f>
        <v>Fair</v>
      </c>
      <c r="Y1783" t="str">
        <f>IFERROR(__xludf.DUMMYFUNCTION("""COMPUTED_VALUE"""),"Excellent")</f>
        <v>Excellent</v>
      </c>
      <c r="Z1783" t="str">
        <f>IFERROR(__xludf.DUMMYFUNCTION("""COMPUTED_VALUE"""),"Very Good")</f>
        <v>Very Good</v>
      </c>
      <c r="AA1783" t="str">
        <f>IFERROR(__xludf.DUMMYFUNCTION("""COMPUTED_VALUE"""),"Fair")</f>
        <v>Fair</v>
      </c>
      <c r="AB1783" t="str">
        <f>IFERROR(__xludf.DUMMYFUNCTION("""COMPUTED_VALUE"""),"Excellent")</f>
        <v>Excellent</v>
      </c>
      <c r="AC1783">
        <f>IFERROR(__xludf.DUMMYFUNCTION("""COMPUTED_VALUE"""),1.0)</f>
        <v>1</v>
      </c>
      <c r="AH1783" s="189">
        <f>IFERROR(__xludf.DUMMYFUNCTION("""COMPUTED_VALUE"""),43628.32422380787)</f>
        <v>43628.32422</v>
      </c>
    </row>
    <row r="1784">
      <c r="A1784" t="str">
        <f>IFERROR(__xludf.DUMMYFUNCTION("""COMPUTED_VALUE"""),"DanPizazz")</f>
        <v>DanPizazz</v>
      </c>
      <c r="C1784" t="str">
        <f>IFERROR(__xludf.DUMMYFUNCTION("""COMPUTED_VALUE"""),"AB")</f>
        <v>AB</v>
      </c>
      <c r="D1784" t="str">
        <f>IFERROR(__xludf.DUMMYFUNCTION("""COMPUTED_VALUE"""),"Canada")</f>
        <v>Canada</v>
      </c>
      <c r="E1784" s="188">
        <f>IFERROR(__xludf.DUMMYFUNCTION("""COMPUTED_VALUE"""),43535.0)</f>
        <v>43535</v>
      </c>
      <c r="F1784" s="188">
        <f>IFERROR(__xludf.DUMMYFUNCTION("""COMPUTED_VALUE"""),43592.0)</f>
        <v>43592</v>
      </c>
      <c r="H1784">
        <f>IFERROR(__xludf.DUMMYFUNCTION("""COMPUTED_VALUE"""),109655.0)</f>
        <v>109655</v>
      </c>
      <c r="I1784" t="str">
        <f>IFERROR(__xludf.DUMMYFUNCTION("""COMPUTED_VALUE"""),"05/19")</f>
        <v>05/19</v>
      </c>
      <c r="J1784" s="5">
        <f>IFERROR(__xludf.DUMMYFUNCTION("""COMPUTED_VALUE"""),43617.0)</f>
        <v>43617</v>
      </c>
      <c r="K1784">
        <f>IFERROR(__xludf.DUMMYFUNCTION("""COMPUTED_VALUE"""),57.0)</f>
        <v>57</v>
      </c>
      <c r="L1784">
        <f>IFERROR(__xludf.DUMMYFUNCTION("""COMPUTED_VALUE"""),25.0)</f>
        <v>25</v>
      </c>
      <c r="M1784">
        <f>IFERROR(__xludf.DUMMYFUNCTION("""COMPUTED_VALUE"""),82.0)</f>
        <v>82</v>
      </c>
      <c r="N1784" t="str">
        <f>IFERROR(__xludf.DUMMYFUNCTION("""COMPUTED_VALUE"""),"Model 3 LR AWD")</f>
        <v>Model 3 LR AWD</v>
      </c>
      <c r="O1784" t="str">
        <f>IFERROR(__xludf.DUMMYFUNCTION("""COMPUTED_VALUE"""),"Deep Blue Metallic")</f>
        <v>Deep Blue Metallic</v>
      </c>
      <c r="P1784" t="str">
        <f>IFERROR(__xludf.DUMMYFUNCTION("""COMPUTED_VALUE"""),"18 inch Aero")</f>
        <v>18 inch Aero</v>
      </c>
      <c r="Q1784" t="str">
        <f>IFERROR(__xludf.DUMMYFUNCTION("""COMPUTED_VALUE"""),"White seats")</f>
        <v>White seats</v>
      </c>
      <c r="R1784" t="str">
        <f>IFERROR(__xludf.DUMMYFUNCTION("""COMPUTED_VALUE"""),"Autopilot")</f>
        <v>Autopilot</v>
      </c>
      <c r="X1784" t="str">
        <f>IFERROR(__xludf.DUMMYFUNCTION("""COMPUTED_VALUE"""),"Very Good")</f>
        <v>Very Good</v>
      </c>
      <c r="Y1784" t="str">
        <f>IFERROR(__xludf.DUMMYFUNCTION("""COMPUTED_VALUE"""),"Excellent")</f>
        <v>Excellent</v>
      </c>
      <c r="Z1784" t="str">
        <f>IFERROR(__xludf.DUMMYFUNCTION("""COMPUTED_VALUE"""),"Excellent")</f>
        <v>Excellent</v>
      </c>
      <c r="AA1784" t="str">
        <f>IFERROR(__xludf.DUMMYFUNCTION("""COMPUTED_VALUE"""),"Very Good")</f>
        <v>Very Good</v>
      </c>
      <c r="AB1784" t="str">
        <f>IFERROR(__xludf.DUMMYFUNCTION("""COMPUTED_VALUE"""),"Excellent")</f>
        <v>Excellent</v>
      </c>
      <c r="AH1784" s="189">
        <f>IFERROR(__xludf.DUMMYFUNCTION("""COMPUTED_VALUE"""),43628.47916112268)</f>
        <v>43628.47916</v>
      </c>
    </row>
    <row r="1785">
      <c r="A1785" t="str">
        <f>IFERROR(__xludf.DUMMYFUNCTION("""COMPUTED_VALUE"""),"teslafan87")</f>
        <v>teslafan87</v>
      </c>
      <c r="B1785" t="str">
        <f>IFERROR(__xludf.DUMMYFUNCTION("""COMPUTED_VALUE"""),"Atlanta")</f>
        <v>Atlanta</v>
      </c>
      <c r="C1785" t="str">
        <f>IFERROR(__xludf.DUMMYFUNCTION("""COMPUTED_VALUE"""),"GA")</f>
        <v>GA</v>
      </c>
      <c r="D1785" t="str">
        <f>IFERROR(__xludf.DUMMYFUNCTION("""COMPUTED_VALUE"""),"USA")</f>
        <v>USA</v>
      </c>
      <c r="E1785" s="188">
        <f>IFERROR(__xludf.DUMMYFUNCTION("""COMPUTED_VALUE"""),43590.0)</f>
        <v>43590</v>
      </c>
      <c r="F1785" s="188">
        <f>IFERROR(__xludf.DUMMYFUNCTION("""COMPUTED_VALUE"""),43621.0)</f>
        <v>43621</v>
      </c>
      <c r="H1785">
        <f>IFERROR(__xludf.DUMMYFUNCTION("""COMPUTED_VALUE"""),393755.0)</f>
        <v>393755</v>
      </c>
      <c r="J1785" s="5">
        <f>IFERROR(__xludf.DUMMYFUNCTION("""COMPUTED_VALUE"""),43625.0)</f>
        <v>43625</v>
      </c>
      <c r="K1785">
        <f>IFERROR(__xludf.DUMMYFUNCTION("""COMPUTED_VALUE"""),31.0)</f>
        <v>31</v>
      </c>
      <c r="L1785">
        <f>IFERROR(__xludf.DUMMYFUNCTION("""COMPUTED_VALUE"""),4.0)</f>
        <v>4</v>
      </c>
      <c r="M1785">
        <f>IFERROR(__xludf.DUMMYFUNCTION("""COMPUTED_VALUE"""),35.0)</f>
        <v>35</v>
      </c>
      <c r="N1785" t="str">
        <f>IFERROR(__xludf.DUMMYFUNCTION("""COMPUTED_VALUE"""),"Model 3 Performance")</f>
        <v>Model 3 Performance</v>
      </c>
      <c r="O1785" t="str">
        <f>IFERROR(__xludf.DUMMYFUNCTION("""COMPUTED_VALUE"""),"Pearl White Multi-Coat")</f>
        <v>Pearl White Multi-Coat</v>
      </c>
      <c r="P1785" t="str">
        <f>IFERROR(__xludf.DUMMYFUNCTION("""COMPUTED_VALUE"""),"20 inch Sport")</f>
        <v>20 inch Sport</v>
      </c>
      <c r="Q1785" t="str">
        <f>IFERROR(__xludf.DUMMYFUNCTION("""COMPUTED_VALUE"""),"White seats")</f>
        <v>White seats</v>
      </c>
      <c r="R1785" t="str">
        <f>IFERROR(__xludf.DUMMYFUNCTION("""COMPUTED_VALUE"""),"Full Self-Driving")</f>
        <v>Full Self-Driving</v>
      </c>
      <c r="X1785" t="str">
        <f>IFERROR(__xludf.DUMMYFUNCTION("""COMPUTED_VALUE"""),"Poor")</f>
        <v>Poor</v>
      </c>
      <c r="Y1785" t="str">
        <f>IFERROR(__xludf.DUMMYFUNCTION("""COMPUTED_VALUE"""),"Very Good")</f>
        <v>Very Good</v>
      </c>
      <c r="Z1785" t="str">
        <f>IFERROR(__xludf.DUMMYFUNCTION("""COMPUTED_VALUE"""),"Poor")</f>
        <v>Poor</v>
      </c>
      <c r="AA1785" t="str">
        <f>IFERROR(__xludf.DUMMYFUNCTION("""COMPUTED_VALUE"""),"Very Good")</f>
        <v>Very Good</v>
      </c>
      <c r="AB1785" t="str">
        <f>IFERROR(__xludf.DUMMYFUNCTION("""COMPUTED_VALUE"""),"Good")</f>
        <v>Good</v>
      </c>
      <c r="AC1785">
        <f>IFERROR(__xludf.DUMMYFUNCTION("""COMPUTED_VALUE"""),3.0)</f>
        <v>3</v>
      </c>
      <c r="AH1785" s="189">
        <f>IFERROR(__xludf.DUMMYFUNCTION("""COMPUTED_VALUE"""),43628.59214798611)</f>
        <v>43628.59215</v>
      </c>
    </row>
    <row r="1786">
      <c r="A1786" t="str">
        <f>IFERROR(__xludf.DUMMYFUNCTION("""COMPUTED_VALUE"""),"snark42")</f>
        <v>snark42</v>
      </c>
      <c r="B1786" t="str">
        <f>IFERROR(__xludf.DUMMYFUNCTION("""COMPUTED_VALUE"""),"Chicago")</f>
        <v>Chicago</v>
      </c>
      <c r="C1786" t="str">
        <f>IFERROR(__xludf.DUMMYFUNCTION("""COMPUTED_VALUE"""),"IL")</f>
        <v>IL</v>
      </c>
      <c r="D1786" t="str">
        <f>IFERROR(__xludf.DUMMYFUNCTION("""COMPUTED_VALUE"""),"USA")</f>
        <v>USA</v>
      </c>
      <c r="E1786" s="188">
        <f>IFERROR(__xludf.DUMMYFUNCTION("""COMPUTED_VALUE"""),43581.0)</f>
        <v>43581</v>
      </c>
      <c r="F1786" s="188">
        <f>IFERROR(__xludf.DUMMYFUNCTION("""COMPUTED_VALUE"""),43609.0)</f>
        <v>43609</v>
      </c>
      <c r="H1786">
        <f>IFERROR(__xludf.DUMMYFUNCTION("""COMPUTED_VALUE"""),194955.0)</f>
        <v>194955</v>
      </c>
      <c r="J1786" s="5">
        <f>IFERROR(__xludf.DUMMYFUNCTION("""COMPUTED_VALUE"""),43628.0)</f>
        <v>43628</v>
      </c>
      <c r="K1786">
        <f>IFERROR(__xludf.DUMMYFUNCTION("""COMPUTED_VALUE"""),28.0)</f>
        <v>28</v>
      </c>
      <c r="L1786">
        <f>IFERROR(__xludf.DUMMYFUNCTION("""COMPUTED_VALUE"""),19.0)</f>
        <v>19</v>
      </c>
      <c r="M1786">
        <f>IFERROR(__xludf.DUMMYFUNCTION("""COMPUTED_VALUE"""),47.0)</f>
        <v>47</v>
      </c>
      <c r="N1786" t="str">
        <f>IFERROR(__xludf.DUMMYFUNCTION("""COMPUTED_VALUE"""),"Model 3 LR AWD")</f>
        <v>Model 3 LR AWD</v>
      </c>
      <c r="O1786" t="str">
        <f>IFERROR(__xludf.DUMMYFUNCTION("""COMPUTED_VALUE"""),"Deep Blue Metallic")</f>
        <v>Deep Blue Metallic</v>
      </c>
      <c r="P1786" t="str">
        <f>IFERROR(__xludf.DUMMYFUNCTION("""COMPUTED_VALUE"""),"18 inch Aero")</f>
        <v>18 inch Aero</v>
      </c>
      <c r="Q1786" t="str">
        <f>IFERROR(__xludf.DUMMYFUNCTION("""COMPUTED_VALUE"""),"White seats")</f>
        <v>White seats</v>
      </c>
      <c r="R1786" t="str">
        <f>IFERROR(__xludf.DUMMYFUNCTION("""COMPUTED_VALUE"""),"Full Self-Driving")</f>
        <v>Full Self-Driving</v>
      </c>
      <c r="X1786" t="str">
        <f>IFERROR(__xludf.DUMMYFUNCTION("""COMPUTED_VALUE"""),"Very Good")</f>
        <v>Very Good</v>
      </c>
      <c r="Y1786" t="str">
        <f>IFERROR(__xludf.DUMMYFUNCTION("""COMPUTED_VALUE"""),"Good")</f>
        <v>Good</v>
      </c>
      <c r="Z1786" t="str">
        <f>IFERROR(__xludf.DUMMYFUNCTION("""COMPUTED_VALUE"""),"Excellent")</f>
        <v>Excellent</v>
      </c>
      <c r="AA1786" t="str">
        <f>IFERROR(__xludf.DUMMYFUNCTION("""COMPUTED_VALUE"""),"Excellent")</f>
        <v>Excellent</v>
      </c>
      <c r="AB1786" t="str">
        <f>IFERROR(__xludf.DUMMYFUNCTION("""COMPUTED_VALUE"""),"Excellent")</f>
        <v>Excellent</v>
      </c>
      <c r="AH1786" s="189">
        <f>IFERROR(__xludf.DUMMYFUNCTION("""COMPUTED_VALUE"""),43628.69119283565)</f>
        <v>43628.69119</v>
      </c>
    </row>
    <row r="1787">
      <c r="A1787" t="str">
        <f>IFERROR(__xludf.DUMMYFUNCTION("""COMPUTED_VALUE"""),"toshiblue")</f>
        <v>toshiblue</v>
      </c>
      <c r="B1787" t="str">
        <f>IFERROR(__xludf.DUMMYFUNCTION("""COMPUTED_VALUE"""),"Chicago")</f>
        <v>Chicago</v>
      </c>
      <c r="C1787" t="str">
        <f>IFERROR(__xludf.DUMMYFUNCTION("""COMPUTED_VALUE"""),"IL")</f>
        <v>IL</v>
      </c>
      <c r="D1787" t="str">
        <f>IFERROR(__xludf.DUMMYFUNCTION("""COMPUTED_VALUE"""),"USA")</f>
        <v>USA</v>
      </c>
      <c r="E1787" s="188">
        <f>IFERROR(__xludf.DUMMYFUNCTION("""COMPUTED_VALUE"""),43592.0)</f>
        <v>43592</v>
      </c>
      <c r="F1787" s="188">
        <f>IFERROR(__xludf.DUMMYFUNCTION("""COMPUTED_VALUE"""),43619.0)</f>
        <v>43619</v>
      </c>
      <c r="H1787">
        <f>IFERROR(__xludf.DUMMYFUNCTION("""COMPUTED_VALUE"""),391055.0)</f>
        <v>391055</v>
      </c>
      <c r="J1787" s="5">
        <f>IFERROR(__xludf.DUMMYFUNCTION("""COMPUTED_VALUE"""),43620.0)</f>
        <v>43620</v>
      </c>
      <c r="K1787">
        <f>IFERROR(__xludf.DUMMYFUNCTION("""COMPUTED_VALUE"""),27.0)</f>
        <v>27</v>
      </c>
      <c r="L1787">
        <f>IFERROR(__xludf.DUMMYFUNCTION("""COMPUTED_VALUE"""),1.0)</f>
        <v>1</v>
      </c>
      <c r="M1787">
        <f>IFERROR(__xludf.DUMMYFUNCTION("""COMPUTED_VALUE"""),28.0)</f>
        <v>28</v>
      </c>
      <c r="N1787" t="str">
        <f>IFERROR(__xludf.DUMMYFUNCTION("""COMPUTED_VALUE"""),"Model 3 LR AWD")</f>
        <v>Model 3 LR AWD</v>
      </c>
      <c r="O1787" t="str">
        <f>IFERROR(__xludf.DUMMYFUNCTION("""COMPUTED_VALUE"""),"Deep Blue Metallic")</f>
        <v>Deep Blue Metallic</v>
      </c>
      <c r="P1787" t="str">
        <f>IFERROR(__xludf.DUMMYFUNCTION("""COMPUTED_VALUE"""),"18 inch Aero")</f>
        <v>18 inch Aero</v>
      </c>
      <c r="Q1787" t="str">
        <f>IFERROR(__xludf.DUMMYFUNCTION("""COMPUTED_VALUE"""),"White seats")</f>
        <v>White seats</v>
      </c>
      <c r="R1787" t="str">
        <f>IFERROR(__xludf.DUMMYFUNCTION("""COMPUTED_VALUE"""),"Autopilot")</f>
        <v>Autopilot</v>
      </c>
      <c r="X1787" t="str">
        <f>IFERROR(__xludf.DUMMYFUNCTION("""COMPUTED_VALUE"""),"Excellent")</f>
        <v>Excellent</v>
      </c>
      <c r="Y1787" t="str">
        <f>IFERROR(__xludf.DUMMYFUNCTION("""COMPUTED_VALUE"""),"Excellent")</f>
        <v>Excellent</v>
      </c>
      <c r="Z1787" t="str">
        <f>IFERROR(__xludf.DUMMYFUNCTION("""COMPUTED_VALUE"""),"Excellent")</f>
        <v>Excellent</v>
      </c>
      <c r="AA1787" t="str">
        <f>IFERROR(__xludf.DUMMYFUNCTION("""COMPUTED_VALUE"""),"Good")</f>
        <v>Good</v>
      </c>
      <c r="AB1787" t="str">
        <f>IFERROR(__xludf.DUMMYFUNCTION("""COMPUTED_VALUE"""),"Fair")</f>
        <v>Fair</v>
      </c>
      <c r="AH1787" s="189">
        <f>IFERROR(__xludf.DUMMYFUNCTION("""COMPUTED_VALUE"""),43628.794795127316)</f>
        <v>43628.7948</v>
      </c>
    </row>
    <row r="1788">
      <c r="A1788" t="str">
        <f>IFERROR(__xludf.DUMMYFUNCTION("""COMPUTED_VALUE"""),"likethebank")</f>
        <v>likethebank</v>
      </c>
      <c r="B1788" t="str">
        <f>IFERROR(__xludf.DUMMYFUNCTION("""COMPUTED_VALUE"""),"Sunrise")</f>
        <v>Sunrise</v>
      </c>
      <c r="C1788" t="str">
        <f>IFERROR(__xludf.DUMMYFUNCTION("""COMPUTED_VALUE"""),"FL")</f>
        <v>FL</v>
      </c>
      <c r="D1788" t="str">
        <f>IFERROR(__xludf.DUMMYFUNCTION("""COMPUTED_VALUE"""),"USA")</f>
        <v>USA</v>
      </c>
      <c r="E1788" s="188">
        <f>IFERROR(__xludf.DUMMYFUNCTION("""COMPUTED_VALUE"""),43607.0)</f>
        <v>43607</v>
      </c>
      <c r="F1788" s="188">
        <f>IFERROR(__xludf.DUMMYFUNCTION("""COMPUTED_VALUE"""),43619.0)</f>
        <v>43619</v>
      </c>
      <c r="H1788">
        <f>IFERROR(__xludf.DUMMYFUNCTION("""COMPUTED_VALUE"""),393226.0)</f>
        <v>393226</v>
      </c>
      <c r="I1788" t="str">
        <f>IFERROR(__xludf.DUMMYFUNCTION("""COMPUTED_VALUE"""),"05/19")</f>
        <v>05/19</v>
      </c>
      <c r="J1788" s="5">
        <f>IFERROR(__xludf.DUMMYFUNCTION("""COMPUTED_VALUE"""),43628.0)</f>
        <v>43628</v>
      </c>
      <c r="K1788">
        <f>IFERROR(__xludf.DUMMYFUNCTION("""COMPUTED_VALUE"""),12.0)</f>
        <v>12</v>
      </c>
      <c r="L1788">
        <f>IFERROR(__xludf.DUMMYFUNCTION("""COMPUTED_VALUE"""),9.0)</f>
        <v>9</v>
      </c>
      <c r="M1788">
        <f>IFERROR(__xludf.DUMMYFUNCTION("""COMPUTED_VALUE"""),21.0)</f>
        <v>21</v>
      </c>
      <c r="N1788" t="str">
        <f>IFERROR(__xludf.DUMMYFUNCTION("""COMPUTED_VALUE"""),"Model 3 Performance")</f>
        <v>Model 3 Performance</v>
      </c>
      <c r="O1788" t="str">
        <f>IFERROR(__xludf.DUMMYFUNCTION("""COMPUTED_VALUE"""),"Pearl White Multi-Coat")</f>
        <v>Pearl White Multi-Coat</v>
      </c>
      <c r="P1788" t="str">
        <f>IFERROR(__xludf.DUMMYFUNCTION("""COMPUTED_VALUE"""),"20 inch Sport")</f>
        <v>20 inch Sport</v>
      </c>
      <c r="Q1788" t="str">
        <f>IFERROR(__xludf.DUMMYFUNCTION("""COMPUTED_VALUE"""),"Black seats")</f>
        <v>Black seats</v>
      </c>
      <c r="R1788" t="str">
        <f>IFERROR(__xludf.DUMMYFUNCTION("""COMPUTED_VALUE"""),"Full Self-Driving")</f>
        <v>Full Self-Driving</v>
      </c>
      <c r="X1788" t="str">
        <f>IFERROR(__xludf.DUMMYFUNCTION("""COMPUTED_VALUE"""),"Excellent")</f>
        <v>Excellent</v>
      </c>
      <c r="Y1788" t="str">
        <f>IFERROR(__xludf.DUMMYFUNCTION("""COMPUTED_VALUE"""),"Excellent")</f>
        <v>Excellent</v>
      </c>
      <c r="Z1788" t="str">
        <f>IFERROR(__xludf.DUMMYFUNCTION("""COMPUTED_VALUE"""),"Very Good")</f>
        <v>Very Good</v>
      </c>
      <c r="AA1788" t="str">
        <f>IFERROR(__xludf.DUMMYFUNCTION("""COMPUTED_VALUE"""),"Good")</f>
        <v>Good</v>
      </c>
      <c r="AB1788" t="str">
        <f>IFERROR(__xludf.DUMMYFUNCTION("""COMPUTED_VALUE"""),"Good")</f>
        <v>Good</v>
      </c>
      <c r="AC1788">
        <f>IFERROR(__xludf.DUMMYFUNCTION("""COMPUTED_VALUE"""),1.0)</f>
        <v>1</v>
      </c>
      <c r="AG1788" t="str">
        <f>IFERROR(__xludf.DUMMYFUNCTION("""COMPUTED_VALUE"""),"During delivery they let me do my own checklist but I think this made them think I didn't want the full delivery experience as it was paperwork then gone.")</f>
        <v>During delivery they let me do my own checklist but I think this made them think I didn't want the full delivery experience as it was paperwork then gone.</v>
      </c>
      <c r="AH1788" s="189">
        <f>IFERROR(__xludf.DUMMYFUNCTION("""COMPUTED_VALUE"""),43628.80487221065)</f>
        <v>43628.80487</v>
      </c>
    </row>
    <row r="1789">
      <c r="A1789" t="str">
        <f>IFERROR(__xludf.DUMMYFUNCTION("""COMPUTED_VALUE"""),"obiii")</f>
        <v>obiii</v>
      </c>
      <c r="B1789" t="str">
        <f>IFERROR(__xludf.DUMMYFUNCTION("""COMPUTED_VALUE"""),"Bellevue")</f>
        <v>Bellevue</v>
      </c>
      <c r="C1789" t="str">
        <f>IFERROR(__xludf.DUMMYFUNCTION("""COMPUTED_VALUE"""),"WA")</f>
        <v>WA</v>
      </c>
      <c r="D1789" t="str">
        <f>IFERROR(__xludf.DUMMYFUNCTION("""COMPUTED_VALUE"""),"USA")</f>
        <v>USA</v>
      </c>
      <c r="E1789" s="188">
        <f>IFERROR(__xludf.DUMMYFUNCTION("""COMPUTED_VALUE"""),43593.0)</f>
        <v>43593</v>
      </c>
      <c r="F1789" s="188">
        <f>IFERROR(__xludf.DUMMYFUNCTION("""COMPUTED_VALUE"""),43622.0)</f>
        <v>43622</v>
      </c>
      <c r="H1789">
        <f>IFERROR(__xludf.DUMMYFUNCTION("""COMPUTED_VALUE"""),419901.0)</f>
        <v>419901</v>
      </c>
      <c r="I1789" t="str">
        <f>IFERROR(__xludf.DUMMYFUNCTION("""COMPUTED_VALUE"""),"06/19")</f>
        <v>06/19</v>
      </c>
      <c r="J1789" s="5">
        <f>IFERROR(__xludf.DUMMYFUNCTION("""COMPUTED_VALUE"""),43626.0)</f>
        <v>43626</v>
      </c>
      <c r="K1789">
        <f>IFERROR(__xludf.DUMMYFUNCTION("""COMPUTED_VALUE"""),29.0)</f>
        <v>29</v>
      </c>
      <c r="L1789">
        <f>IFERROR(__xludf.DUMMYFUNCTION("""COMPUTED_VALUE"""),4.0)</f>
        <v>4</v>
      </c>
      <c r="M1789">
        <f>IFERROR(__xludf.DUMMYFUNCTION("""COMPUTED_VALUE"""),33.0)</f>
        <v>33</v>
      </c>
      <c r="N1789" t="str">
        <f>IFERROR(__xludf.DUMMYFUNCTION("""COMPUTED_VALUE"""),"Model 3 Performance")</f>
        <v>Model 3 Performance</v>
      </c>
      <c r="O1789" t="str">
        <f>IFERROR(__xludf.DUMMYFUNCTION("""COMPUTED_VALUE"""),"Pearl White Multi-Coat")</f>
        <v>Pearl White Multi-Coat</v>
      </c>
      <c r="P1789" t="str">
        <f>IFERROR(__xludf.DUMMYFUNCTION("""COMPUTED_VALUE"""),"20 inch Sport")</f>
        <v>20 inch Sport</v>
      </c>
      <c r="Q1789" t="str">
        <f>IFERROR(__xludf.DUMMYFUNCTION("""COMPUTED_VALUE"""),"Black seats")</f>
        <v>Black seats</v>
      </c>
      <c r="R1789" t="str">
        <f>IFERROR(__xludf.DUMMYFUNCTION("""COMPUTED_VALUE"""),"Full Self-Driving")</f>
        <v>Full Self-Driving</v>
      </c>
      <c r="X1789" t="str">
        <f>IFERROR(__xludf.DUMMYFUNCTION("""COMPUTED_VALUE"""),"Poor")</f>
        <v>Poor</v>
      </c>
      <c r="Y1789" t="str">
        <f>IFERROR(__xludf.DUMMYFUNCTION("""COMPUTED_VALUE"""),"Good")</f>
        <v>Good</v>
      </c>
      <c r="Z1789" t="str">
        <f>IFERROR(__xludf.DUMMYFUNCTION("""COMPUTED_VALUE"""),"Poor")</f>
        <v>Poor</v>
      </c>
      <c r="AA1789" t="str">
        <f>IFERROR(__xludf.DUMMYFUNCTION("""COMPUTED_VALUE"""),"Poor")</f>
        <v>Poor</v>
      </c>
      <c r="AB1789" t="str">
        <f>IFERROR(__xludf.DUMMYFUNCTION("""COMPUTED_VALUE"""),"Fair")</f>
        <v>Fair</v>
      </c>
      <c r="AC1789">
        <f>IFERROR(__xludf.DUMMYFUNCTION("""COMPUTED_VALUE"""),5.0)</f>
        <v>5</v>
      </c>
      <c r="AD1789">
        <f>IFERROR(__xludf.DUMMYFUNCTION("""COMPUTED_VALUE"""),1.0)</f>
        <v>1</v>
      </c>
      <c r="AE1789">
        <f>IFERROR(__xludf.DUMMYFUNCTION("""COMPUTED_VALUE"""),1.0)</f>
        <v>1</v>
      </c>
      <c r="AG1789" t="str">
        <f>IFERROR(__xludf.DUMMYFUNCTION("""COMPUTED_VALUE"""),"frunk gap is inconsistent with front bumper, paint blemishes on read drivers quarter panel, paint was scratched on rear bumper, taillight gaps is wider on drivers side")</f>
        <v>frunk gap is inconsistent with front bumper, paint blemishes on read drivers quarter panel, paint was scratched on rear bumper, taillight gaps is wider on drivers side</v>
      </c>
      <c r="AH1789" s="189">
        <f>IFERROR(__xludf.DUMMYFUNCTION("""COMPUTED_VALUE"""),43628.91696945602)</f>
        <v>43628.91697</v>
      </c>
    </row>
    <row r="1790">
      <c r="A1790" t="str">
        <f>IFERROR(__xludf.DUMMYFUNCTION("""COMPUTED_VALUE"""),"RedNeB")</f>
        <v>RedNeB</v>
      </c>
      <c r="C1790" t="str">
        <f>IFERROR(__xludf.DUMMYFUNCTION("""COMPUTED_VALUE"""),"CT")</f>
        <v>CT</v>
      </c>
      <c r="D1790" t="str">
        <f>IFERROR(__xludf.DUMMYFUNCTION("""COMPUTED_VALUE"""),"USA")</f>
        <v>USA</v>
      </c>
      <c r="E1790" s="188">
        <f>IFERROR(__xludf.DUMMYFUNCTION("""COMPUTED_VALUE"""),43613.0)</f>
        <v>43613</v>
      </c>
      <c r="F1790" s="188">
        <f>IFERROR(__xludf.DUMMYFUNCTION("""COMPUTED_VALUE"""),43621.0)</f>
        <v>43621</v>
      </c>
      <c r="H1790">
        <f>IFERROR(__xludf.DUMMYFUNCTION("""COMPUTED_VALUE"""),388255.0)</f>
        <v>388255</v>
      </c>
      <c r="I1790" t="str">
        <f>IFERROR(__xludf.DUMMYFUNCTION("""COMPUTED_VALUE"""),"06/19")</f>
        <v>06/19</v>
      </c>
      <c r="J1790" s="5">
        <f>IFERROR(__xludf.DUMMYFUNCTION("""COMPUTED_VALUE"""),43628.0)</f>
        <v>43628</v>
      </c>
      <c r="K1790">
        <f>IFERROR(__xludf.DUMMYFUNCTION("""COMPUTED_VALUE"""),8.0)</f>
        <v>8</v>
      </c>
      <c r="L1790">
        <f>IFERROR(__xludf.DUMMYFUNCTION("""COMPUTED_VALUE"""),7.0)</f>
        <v>7</v>
      </c>
      <c r="M1790">
        <f>IFERROR(__xludf.DUMMYFUNCTION("""COMPUTED_VALUE"""),15.0)</f>
        <v>15</v>
      </c>
      <c r="N1790" t="str">
        <f>IFERROR(__xludf.DUMMYFUNCTION("""COMPUTED_VALUE"""),"Model 3 LR AWD")</f>
        <v>Model 3 LR AWD</v>
      </c>
      <c r="O1790" t="str">
        <f>IFERROR(__xludf.DUMMYFUNCTION("""COMPUTED_VALUE"""),"Pearl White Multi-Coat")</f>
        <v>Pearl White Multi-Coat</v>
      </c>
      <c r="P1790" t="str">
        <f>IFERROR(__xludf.DUMMYFUNCTION("""COMPUTED_VALUE"""),"18 inch Aero")</f>
        <v>18 inch Aero</v>
      </c>
      <c r="Q1790" t="str">
        <f>IFERROR(__xludf.DUMMYFUNCTION("""COMPUTED_VALUE"""),"Black seats")</f>
        <v>Black seats</v>
      </c>
      <c r="R1790" t="str">
        <f>IFERROR(__xludf.DUMMYFUNCTION("""COMPUTED_VALUE"""),"Autopilot")</f>
        <v>Autopilot</v>
      </c>
      <c r="X1790" t="str">
        <f>IFERROR(__xludf.DUMMYFUNCTION("""COMPUTED_VALUE"""),"Excellent")</f>
        <v>Excellent</v>
      </c>
      <c r="Y1790" t="str">
        <f>IFERROR(__xludf.DUMMYFUNCTION("""COMPUTED_VALUE"""),"Excellent")</f>
        <v>Excellent</v>
      </c>
      <c r="Z1790" t="str">
        <f>IFERROR(__xludf.DUMMYFUNCTION("""COMPUTED_VALUE"""),"Excellent")</f>
        <v>Excellent</v>
      </c>
      <c r="AA1790" t="str">
        <f>IFERROR(__xludf.DUMMYFUNCTION("""COMPUTED_VALUE"""),"Excellent")</f>
        <v>Excellent</v>
      </c>
      <c r="AB1790" t="str">
        <f>IFERROR(__xludf.DUMMYFUNCTION("""COMPUTED_VALUE"""),"Excellent")</f>
        <v>Excellent</v>
      </c>
      <c r="AH1790" s="189">
        <f>IFERROR(__xludf.DUMMYFUNCTION("""COMPUTED_VALUE"""),43629.237417094904)</f>
        <v>43629.23742</v>
      </c>
    </row>
    <row r="1791">
      <c r="A1791" t="str">
        <f>IFERROR(__xludf.DUMMYFUNCTION("""COMPUTED_VALUE"""),"Glassejt")</f>
        <v>Glassejt</v>
      </c>
      <c r="B1791" t="str">
        <f>IFERROR(__xludf.DUMMYFUNCTION("""COMPUTED_VALUE"""),"Pittsburgh")</f>
        <v>Pittsburgh</v>
      </c>
      <c r="C1791" t="str">
        <f>IFERROR(__xludf.DUMMYFUNCTION("""COMPUTED_VALUE"""),"PA")</f>
        <v>PA</v>
      </c>
      <c r="D1791" t="str">
        <f>IFERROR(__xludf.DUMMYFUNCTION("""COMPUTED_VALUE"""),"USA")</f>
        <v>USA</v>
      </c>
      <c r="E1791" s="188">
        <f>IFERROR(__xludf.DUMMYFUNCTION("""COMPUTED_VALUE"""),43609.0)</f>
        <v>43609</v>
      </c>
      <c r="F1791" s="188">
        <f>IFERROR(__xludf.DUMMYFUNCTION("""COMPUTED_VALUE"""),43616.0)</f>
        <v>43616</v>
      </c>
      <c r="H1791">
        <f>IFERROR(__xludf.DUMMYFUNCTION("""COMPUTED_VALUE"""),307179.0)</f>
        <v>307179</v>
      </c>
      <c r="J1791" s="5">
        <f>IFERROR(__xludf.DUMMYFUNCTION("""COMPUTED_VALUE"""),43622.0)</f>
        <v>43622</v>
      </c>
      <c r="K1791">
        <f>IFERROR(__xludf.DUMMYFUNCTION("""COMPUTED_VALUE"""),7.0)</f>
        <v>7</v>
      </c>
      <c r="L1791">
        <f>IFERROR(__xludf.DUMMYFUNCTION("""COMPUTED_VALUE"""),6.0)</f>
        <v>6</v>
      </c>
      <c r="M1791">
        <f>IFERROR(__xludf.DUMMYFUNCTION("""COMPUTED_VALUE"""),13.0)</f>
        <v>13</v>
      </c>
      <c r="N1791" t="str">
        <f>IFERROR(__xludf.DUMMYFUNCTION("""COMPUTED_VALUE"""),"Model 3 SR+")</f>
        <v>Model 3 SR+</v>
      </c>
      <c r="O1791" t="str">
        <f>IFERROR(__xludf.DUMMYFUNCTION("""COMPUTED_VALUE"""),"Red Multi-Coat")</f>
        <v>Red Multi-Coat</v>
      </c>
      <c r="P1791" t="str">
        <f>IFERROR(__xludf.DUMMYFUNCTION("""COMPUTED_VALUE"""),"18 inch Aero")</f>
        <v>18 inch Aero</v>
      </c>
      <c r="Q1791" t="str">
        <f>IFERROR(__xludf.DUMMYFUNCTION("""COMPUTED_VALUE"""),"Black seats")</f>
        <v>Black seats</v>
      </c>
      <c r="R1791" t="str">
        <f>IFERROR(__xludf.DUMMYFUNCTION("""COMPUTED_VALUE"""),"Autopilot")</f>
        <v>Autopilot</v>
      </c>
      <c r="X1791" t="str">
        <f>IFERROR(__xludf.DUMMYFUNCTION("""COMPUTED_VALUE"""),"Excellent")</f>
        <v>Excellent</v>
      </c>
      <c r="Y1791" t="str">
        <f>IFERROR(__xludf.DUMMYFUNCTION("""COMPUTED_VALUE"""),"Excellent")</f>
        <v>Excellent</v>
      </c>
      <c r="Z1791" t="str">
        <f>IFERROR(__xludf.DUMMYFUNCTION("""COMPUTED_VALUE"""),"Excellent")</f>
        <v>Excellent</v>
      </c>
      <c r="AA1791" t="str">
        <f>IFERROR(__xludf.DUMMYFUNCTION("""COMPUTED_VALUE"""),"Very Good")</f>
        <v>Very Good</v>
      </c>
      <c r="AB1791" t="str">
        <f>IFERROR(__xludf.DUMMYFUNCTION("""COMPUTED_VALUE"""),"Excellent")</f>
        <v>Excellent</v>
      </c>
      <c r="AC1791">
        <f>IFERROR(__xludf.DUMMYFUNCTION("""COMPUTED_VALUE"""),0.0)</f>
        <v>0</v>
      </c>
      <c r="AD1791">
        <f>IFERROR(__xludf.DUMMYFUNCTION("""COMPUTED_VALUE"""),0.0)</f>
        <v>0</v>
      </c>
      <c r="AE1791">
        <f>IFERROR(__xludf.DUMMYFUNCTION("""COMPUTED_VALUE"""),0.0)</f>
        <v>0</v>
      </c>
      <c r="AG1791" t="str">
        <f>IFERROR(__xludf.DUMMYFUNCTION("""COMPUTED_VALUE"""),"Found VIN in source code")</f>
        <v>Found VIN in source code</v>
      </c>
      <c r="AH1791" s="189">
        <f>IFERROR(__xludf.DUMMYFUNCTION("""COMPUTED_VALUE"""),43629.24994361111)</f>
        <v>43629.24994</v>
      </c>
    </row>
    <row r="1792">
      <c r="A1792" t="str">
        <f>IFERROR(__xludf.DUMMYFUNCTION("""COMPUTED_VALUE"""),"LucM")</f>
        <v>LucM</v>
      </c>
      <c r="B1792" t="str">
        <f>IFERROR(__xludf.DUMMYFUNCTION("""COMPUTED_VALUE"""),"Westport")</f>
        <v>Westport</v>
      </c>
      <c r="C1792" t="str">
        <f>IFERROR(__xludf.DUMMYFUNCTION("""COMPUTED_VALUE"""),"CT")</f>
        <v>CT</v>
      </c>
      <c r="D1792" t="str">
        <f>IFERROR(__xludf.DUMMYFUNCTION("""COMPUTED_VALUE"""),"USA")</f>
        <v>USA</v>
      </c>
      <c r="E1792" s="188">
        <f>IFERROR(__xludf.DUMMYFUNCTION("""COMPUTED_VALUE"""),43603.0)</f>
        <v>43603</v>
      </c>
      <c r="F1792" s="188">
        <f>IFERROR(__xludf.DUMMYFUNCTION("""COMPUTED_VALUE"""),43609.0)</f>
        <v>43609</v>
      </c>
      <c r="H1792">
        <f>IFERROR(__xludf.DUMMYFUNCTION("""COMPUTED_VALUE"""),194851.0)</f>
        <v>194851</v>
      </c>
      <c r="I1792" t="str">
        <f>IFERROR(__xludf.DUMMYFUNCTION("""COMPUTED_VALUE"""),"05/19")</f>
        <v>05/19</v>
      </c>
      <c r="J1792" s="5">
        <f>IFERROR(__xludf.DUMMYFUNCTION("""COMPUTED_VALUE"""),43627.0)</f>
        <v>43627</v>
      </c>
      <c r="K1792">
        <f>IFERROR(__xludf.DUMMYFUNCTION("""COMPUTED_VALUE"""),6.0)</f>
        <v>6</v>
      </c>
      <c r="L1792">
        <f>IFERROR(__xludf.DUMMYFUNCTION("""COMPUTED_VALUE"""),18.0)</f>
        <v>18</v>
      </c>
      <c r="M1792">
        <f>IFERROR(__xludf.DUMMYFUNCTION("""COMPUTED_VALUE"""),24.0)</f>
        <v>24</v>
      </c>
      <c r="N1792" t="str">
        <f>IFERROR(__xludf.DUMMYFUNCTION("""COMPUTED_VALUE"""),"Model 3 LR AWD")</f>
        <v>Model 3 LR AWD</v>
      </c>
      <c r="O1792" t="str">
        <f>IFERROR(__xludf.DUMMYFUNCTION("""COMPUTED_VALUE"""),"Solid Black")</f>
        <v>Solid Black</v>
      </c>
      <c r="P1792" t="str">
        <f>IFERROR(__xludf.DUMMYFUNCTION("""COMPUTED_VALUE"""),"18 inch Aero")</f>
        <v>18 inch Aero</v>
      </c>
      <c r="Q1792" t="str">
        <f>IFERROR(__xludf.DUMMYFUNCTION("""COMPUTED_VALUE"""),"White seats")</f>
        <v>White seats</v>
      </c>
      <c r="R1792" t="str">
        <f>IFERROR(__xludf.DUMMYFUNCTION("""COMPUTED_VALUE"""),"Autopilot")</f>
        <v>Autopilot</v>
      </c>
      <c r="X1792" t="str">
        <f>IFERROR(__xludf.DUMMYFUNCTION("""COMPUTED_VALUE"""),"Excellent")</f>
        <v>Excellent</v>
      </c>
      <c r="Y1792" t="str">
        <f>IFERROR(__xludf.DUMMYFUNCTION("""COMPUTED_VALUE"""),"Excellent")</f>
        <v>Excellent</v>
      </c>
      <c r="Z1792" t="str">
        <f>IFERROR(__xludf.DUMMYFUNCTION("""COMPUTED_VALUE"""),"Excellent")</f>
        <v>Excellent</v>
      </c>
      <c r="AA1792" t="str">
        <f>IFERROR(__xludf.DUMMYFUNCTION("""COMPUTED_VALUE"""),"Fair")</f>
        <v>Fair</v>
      </c>
      <c r="AB1792" t="str">
        <f>IFERROR(__xludf.DUMMYFUNCTION("""COMPUTED_VALUE"""),"Fair")</f>
        <v>Fair</v>
      </c>
      <c r="AC1792">
        <f>IFERROR(__xludf.DUMMYFUNCTION("""COMPUTED_VALUE"""),2.0)</f>
        <v>2</v>
      </c>
      <c r="AD1792">
        <f>IFERROR(__xludf.DUMMYFUNCTION("""COMPUTED_VALUE"""),1.0)</f>
        <v>1</v>
      </c>
      <c r="AG1792" t="str">
        <f>IFERROR(__xludf.DUMMYFUNCTION("""COMPUTED_VALUE"""),"squeaky steering wheel and driver's door requires ""extra"" force to close properly.")</f>
        <v>squeaky steering wheel and driver's door requires "extra" force to close properly.</v>
      </c>
      <c r="AH1792" s="189">
        <f>IFERROR(__xludf.DUMMYFUNCTION("""COMPUTED_VALUE"""),43629.34836203704)</f>
        <v>43629.34836</v>
      </c>
    </row>
    <row r="1793">
      <c r="A1793" t="str">
        <f>IFERROR(__xludf.DUMMYFUNCTION("""COMPUTED_VALUE"""),"MrNantir")</f>
        <v>MrNantir</v>
      </c>
      <c r="B1793" t="str">
        <f>IFERROR(__xludf.DUMMYFUNCTION("""COMPUTED_VALUE"""),"Odense, Denmark")</f>
        <v>Odense, Denmark</v>
      </c>
      <c r="D1793" t="str">
        <f>IFERROR(__xludf.DUMMYFUNCTION("""COMPUTED_VALUE"""),"Other (include country together with city)")</f>
        <v>Other (include country together with city)</v>
      </c>
      <c r="E1793" s="188">
        <f>IFERROR(__xludf.DUMMYFUNCTION("""COMPUTED_VALUE"""),43595.0)</f>
        <v>43595</v>
      </c>
      <c r="F1793" s="188">
        <f>IFERROR(__xludf.DUMMYFUNCTION("""COMPUTED_VALUE"""),43616.0)</f>
        <v>43616</v>
      </c>
      <c r="H1793">
        <f>IFERROR(__xludf.DUMMYFUNCTION("""COMPUTED_VALUE"""),341555.0)</f>
        <v>341555</v>
      </c>
      <c r="I1793" t="str">
        <f>IFERROR(__xludf.DUMMYFUNCTION("""COMPUTED_VALUE"""),"04/19")</f>
        <v>04/19</v>
      </c>
      <c r="J1793" s="5">
        <f>IFERROR(__xludf.DUMMYFUNCTION("""COMPUTED_VALUE"""),43622.0)</f>
        <v>43622</v>
      </c>
      <c r="K1793">
        <f>IFERROR(__xludf.DUMMYFUNCTION("""COMPUTED_VALUE"""),21.0)</f>
        <v>21</v>
      </c>
      <c r="L1793">
        <f>IFERROR(__xludf.DUMMYFUNCTION("""COMPUTED_VALUE"""),6.0)</f>
        <v>6</v>
      </c>
      <c r="M1793">
        <f>IFERROR(__xludf.DUMMYFUNCTION("""COMPUTED_VALUE"""),27.0)</f>
        <v>27</v>
      </c>
      <c r="N1793" t="str">
        <f>IFERROR(__xludf.DUMMYFUNCTION("""COMPUTED_VALUE"""),"Model 3 LR AWD")</f>
        <v>Model 3 LR AWD</v>
      </c>
      <c r="O1793" t="str">
        <f>IFERROR(__xludf.DUMMYFUNCTION("""COMPUTED_VALUE"""),"Deep Blue Metallic")</f>
        <v>Deep Blue Metallic</v>
      </c>
      <c r="P1793" t="str">
        <f>IFERROR(__xludf.DUMMYFUNCTION("""COMPUTED_VALUE"""),"18 inch Aero")</f>
        <v>18 inch Aero</v>
      </c>
      <c r="Q1793" t="str">
        <f>IFERROR(__xludf.DUMMYFUNCTION("""COMPUTED_VALUE"""),"Black seats")</f>
        <v>Black seats</v>
      </c>
      <c r="R1793" t="str">
        <f>IFERROR(__xludf.DUMMYFUNCTION("""COMPUTED_VALUE"""),"Full Self-Driving")</f>
        <v>Full Self-Driving</v>
      </c>
      <c r="X1793" t="str">
        <f>IFERROR(__xludf.DUMMYFUNCTION("""COMPUTED_VALUE"""),"Excellent")</f>
        <v>Excellent</v>
      </c>
      <c r="Y1793" t="str">
        <f>IFERROR(__xludf.DUMMYFUNCTION("""COMPUTED_VALUE"""),"Excellent")</f>
        <v>Excellent</v>
      </c>
      <c r="Z1793" t="str">
        <f>IFERROR(__xludf.DUMMYFUNCTION("""COMPUTED_VALUE"""),"Very Good")</f>
        <v>Very Good</v>
      </c>
      <c r="AA1793" t="str">
        <f>IFERROR(__xludf.DUMMYFUNCTION("""COMPUTED_VALUE"""),"Good")</f>
        <v>Good</v>
      </c>
      <c r="AB1793" t="str">
        <f>IFERROR(__xludf.DUMMYFUNCTION("""COMPUTED_VALUE"""),"Very Good")</f>
        <v>Very Good</v>
      </c>
      <c r="AC1793">
        <f>IFERROR(__xludf.DUMMYFUNCTION("""COMPUTED_VALUE"""),2.0)</f>
        <v>2</v>
      </c>
      <c r="AD1793">
        <f>IFERROR(__xludf.DUMMYFUNCTION("""COMPUTED_VALUE"""),1.0)</f>
        <v>1</v>
      </c>
      <c r="AE1793">
        <f>IFERROR(__xludf.DUMMYFUNCTION("""COMPUTED_VALUE"""),3.0)</f>
        <v>3</v>
      </c>
      <c r="AH1793" s="189">
        <f>IFERROR(__xludf.DUMMYFUNCTION("""COMPUTED_VALUE"""),43629.46319322917)</f>
        <v>43629.46319</v>
      </c>
    </row>
    <row r="1794">
      <c r="A1794" t="str">
        <f>IFERROR(__xludf.DUMMYFUNCTION("""COMPUTED_VALUE"""),"Kaicias")</f>
        <v>Kaicias</v>
      </c>
      <c r="B1794" t="str">
        <f>IFERROR(__xludf.DUMMYFUNCTION("""COMPUTED_VALUE"""),"London")</f>
        <v>London</v>
      </c>
      <c r="C1794" t="str">
        <f>IFERROR(__xludf.DUMMYFUNCTION("""COMPUTED_VALUE"""),"ON")</f>
        <v>ON</v>
      </c>
      <c r="D1794" t="str">
        <f>IFERROR(__xludf.DUMMYFUNCTION("""COMPUTED_VALUE"""),"Canada")</f>
        <v>Canada</v>
      </c>
      <c r="E1794" s="188">
        <f>IFERROR(__xludf.DUMMYFUNCTION("""COMPUTED_VALUE"""),43531.0)</f>
        <v>43531</v>
      </c>
      <c r="F1794" s="188">
        <f>IFERROR(__xludf.DUMMYFUNCTION("""COMPUTED_VALUE"""),43579.0)</f>
        <v>43579</v>
      </c>
      <c r="H1794">
        <f>IFERROR(__xludf.DUMMYFUNCTION("""COMPUTED_VALUE"""),194555.0)</f>
        <v>194555</v>
      </c>
      <c r="I1794" t="str">
        <f>IFERROR(__xludf.DUMMYFUNCTION("""COMPUTED_VALUE"""),"04/19")</f>
        <v>04/19</v>
      </c>
      <c r="J1794" s="5">
        <f>IFERROR(__xludf.DUMMYFUNCTION("""COMPUTED_VALUE"""),43591.0)</f>
        <v>43591</v>
      </c>
      <c r="K1794">
        <f>IFERROR(__xludf.DUMMYFUNCTION("""COMPUTED_VALUE"""),48.0)</f>
        <v>48</v>
      </c>
      <c r="L1794">
        <f>IFERROR(__xludf.DUMMYFUNCTION("""COMPUTED_VALUE"""),12.0)</f>
        <v>12</v>
      </c>
      <c r="M1794">
        <f>IFERROR(__xludf.DUMMYFUNCTION("""COMPUTED_VALUE"""),60.0)</f>
        <v>60</v>
      </c>
      <c r="N1794" t="str">
        <f>IFERROR(__xludf.DUMMYFUNCTION("""COMPUTED_VALUE"""),"Model 3 LR AWD")</f>
        <v>Model 3 LR AWD</v>
      </c>
      <c r="O1794" t="str">
        <f>IFERROR(__xludf.DUMMYFUNCTION("""COMPUTED_VALUE"""),"Red Multi-Coat")</f>
        <v>Red Multi-Coat</v>
      </c>
      <c r="P1794" t="str">
        <f>IFERROR(__xludf.DUMMYFUNCTION("""COMPUTED_VALUE"""),"18 inch Aero")</f>
        <v>18 inch Aero</v>
      </c>
      <c r="Q1794" t="str">
        <f>IFERROR(__xludf.DUMMYFUNCTION("""COMPUTED_VALUE"""),"Black seats")</f>
        <v>Black seats</v>
      </c>
      <c r="R1794" t="str">
        <f>IFERROR(__xludf.DUMMYFUNCTION("""COMPUTED_VALUE"""),"Full Self-Driving")</f>
        <v>Full Self-Driving</v>
      </c>
      <c r="X1794" t="str">
        <f>IFERROR(__xludf.DUMMYFUNCTION("""COMPUTED_VALUE"""),"Very Good")</f>
        <v>Very Good</v>
      </c>
      <c r="Y1794" t="str">
        <f>IFERROR(__xludf.DUMMYFUNCTION("""COMPUTED_VALUE"""),"Excellent")</f>
        <v>Excellent</v>
      </c>
      <c r="Z1794" t="str">
        <f>IFERROR(__xludf.DUMMYFUNCTION("""COMPUTED_VALUE"""),"Very Good")</f>
        <v>Very Good</v>
      </c>
      <c r="AA1794" t="str">
        <f>IFERROR(__xludf.DUMMYFUNCTION("""COMPUTED_VALUE"""),"Fair")</f>
        <v>Fair</v>
      </c>
      <c r="AB1794" t="str">
        <f>IFERROR(__xludf.DUMMYFUNCTION("""COMPUTED_VALUE"""),"Excellent")</f>
        <v>Excellent</v>
      </c>
      <c r="AC1794">
        <f>IFERROR(__xludf.DUMMYFUNCTION("""COMPUTED_VALUE"""),1.0)</f>
        <v>1</v>
      </c>
      <c r="AD1794">
        <f>IFERROR(__xludf.DUMMYFUNCTION("""COMPUTED_VALUE"""),1.0)</f>
        <v>1</v>
      </c>
      <c r="AE1794">
        <f>IFERROR(__xludf.DUMMYFUNCTION("""COMPUTED_VALUE"""),0.0)</f>
        <v>0</v>
      </c>
      <c r="AG1794" t="str">
        <f>IFERROR(__xludf.DUMMYFUNCTION("""COMPUTED_VALUE"""),"DOUBLE WOW, Picked up on May 6, what an extreme pleasure to finally drive this phenomenal machine!!!   WOW, I finally received a call from a Delivery Advisor. My delivery appointment is confirmed for May 6th, but I did not find out until after 4:00 pm on "&amp;"Friday May 3rd, but it takes 2-3 business days to get a Draft from my Bank! April 29 - Delivery appt changed to May 6. April 24 - Update on My Account - Received VIN! Delivery Appointment May 1, 2019")</f>
        <v>DOUBLE WOW, Picked up on May 6, what an extreme pleasure to finally drive this phenomenal machine!!!   WOW, I finally received a call from a Delivery Advisor. My delivery appointment is confirmed for May 6th, but I did not find out until after 4:00 pm on Friday May 3rd, but it takes 2-3 business days to get a Draft from my Bank! April 29 - Delivery appt changed to May 6. April 24 - Update on My Account - Received VIN! Delivery Appointment May 1, 2019</v>
      </c>
      <c r="AH1794" s="189">
        <f>IFERROR(__xludf.DUMMYFUNCTION("""COMPUTED_VALUE"""),43629.60930278935)</f>
        <v>43629.6093</v>
      </c>
    </row>
    <row r="1795">
      <c r="A1795" t="str">
        <f>IFERROR(__xludf.DUMMYFUNCTION("""COMPUTED_VALUE"""),"Jynx")</f>
        <v>Jynx</v>
      </c>
      <c r="B1795" t="str">
        <f>IFERROR(__xludf.DUMMYFUNCTION("""COMPUTED_VALUE"""),"Northwest Florida")</f>
        <v>Northwest Florida</v>
      </c>
      <c r="C1795" t="str">
        <f>IFERROR(__xludf.DUMMYFUNCTION("""COMPUTED_VALUE"""),"FL")</f>
        <v>FL</v>
      </c>
      <c r="D1795" t="str">
        <f>IFERROR(__xludf.DUMMYFUNCTION("""COMPUTED_VALUE"""),"USA")</f>
        <v>USA</v>
      </c>
      <c r="E1795" s="188">
        <f>IFERROR(__xludf.DUMMYFUNCTION("""COMPUTED_VALUE"""),43577.0)</f>
        <v>43577</v>
      </c>
      <c r="F1795" s="188">
        <f>IFERROR(__xludf.DUMMYFUNCTION("""COMPUTED_VALUE"""),43619.0)</f>
        <v>43619</v>
      </c>
      <c r="H1795">
        <f>IFERROR(__xludf.DUMMYFUNCTION("""COMPUTED_VALUE"""),393555.0)</f>
        <v>393555</v>
      </c>
      <c r="I1795" t="str">
        <f>IFERROR(__xludf.DUMMYFUNCTION("""COMPUTED_VALUE"""),"06/19")</f>
        <v>06/19</v>
      </c>
      <c r="J1795" s="5">
        <f>IFERROR(__xludf.DUMMYFUNCTION("""COMPUTED_VALUE"""),43629.0)</f>
        <v>43629</v>
      </c>
      <c r="K1795">
        <f>IFERROR(__xludf.DUMMYFUNCTION("""COMPUTED_VALUE"""),42.0)</f>
        <v>42</v>
      </c>
      <c r="L1795">
        <f>IFERROR(__xludf.DUMMYFUNCTION("""COMPUTED_VALUE"""),10.0)</f>
        <v>10</v>
      </c>
      <c r="M1795">
        <f>IFERROR(__xludf.DUMMYFUNCTION("""COMPUTED_VALUE"""),52.0)</f>
        <v>52</v>
      </c>
      <c r="N1795" t="str">
        <f>IFERROR(__xludf.DUMMYFUNCTION("""COMPUTED_VALUE"""),"Model 3 Performance")</f>
        <v>Model 3 Performance</v>
      </c>
      <c r="O1795" t="str">
        <f>IFERROR(__xludf.DUMMYFUNCTION("""COMPUTED_VALUE"""),"Red Multi-Coat")</f>
        <v>Red Multi-Coat</v>
      </c>
      <c r="P1795" t="str">
        <f>IFERROR(__xludf.DUMMYFUNCTION("""COMPUTED_VALUE"""),"20 inch Sport")</f>
        <v>20 inch Sport</v>
      </c>
      <c r="Q1795" t="str">
        <f>IFERROR(__xludf.DUMMYFUNCTION("""COMPUTED_VALUE"""),"White seats")</f>
        <v>White seats</v>
      </c>
      <c r="R1795" t="str">
        <f>IFERROR(__xludf.DUMMYFUNCTION("""COMPUTED_VALUE"""),"Full Self-Driving")</f>
        <v>Full Self-Driving</v>
      </c>
      <c r="X1795" t="str">
        <f>IFERROR(__xludf.DUMMYFUNCTION("""COMPUTED_VALUE"""),"Excellent")</f>
        <v>Excellent</v>
      </c>
      <c r="Y1795" t="str">
        <f>IFERROR(__xludf.DUMMYFUNCTION("""COMPUTED_VALUE"""),"Excellent")</f>
        <v>Excellent</v>
      </c>
      <c r="Z1795" t="str">
        <f>IFERROR(__xludf.DUMMYFUNCTION("""COMPUTED_VALUE"""),"Excellent")</f>
        <v>Excellent</v>
      </c>
      <c r="AA1795" t="str">
        <f>IFERROR(__xludf.DUMMYFUNCTION("""COMPUTED_VALUE"""),"Fair")</f>
        <v>Fair</v>
      </c>
      <c r="AB1795" t="str">
        <f>IFERROR(__xludf.DUMMYFUNCTION("""COMPUTED_VALUE"""),"Very Good")</f>
        <v>Very Good</v>
      </c>
      <c r="AH1795" s="189">
        <f>IFERROR(__xludf.DUMMYFUNCTION("""COMPUTED_VALUE"""),43630.30415568287)</f>
        <v>43630.30416</v>
      </c>
    </row>
    <row r="1796">
      <c r="A1796" t="str">
        <f>IFERROR(__xludf.DUMMYFUNCTION("""COMPUTED_VALUE"""),"Bortron")</f>
        <v>Bortron</v>
      </c>
      <c r="B1796" t="str">
        <f>IFERROR(__xludf.DUMMYFUNCTION("""COMPUTED_VALUE"""),"Dallas")</f>
        <v>Dallas</v>
      </c>
      <c r="C1796" t="str">
        <f>IFERROR(__xludf.DUMMYFUNCTION("""COMPUTED_VALUE"""),"TX")</f>
        <v>TX</v>
      </c>
      <c r="D1796" t="str">
        <f>IFERROR(__xludf.DUMMYFUNCTION("""COMPUTED_VALUE"""),"USA")</f>
        <v>USA</v>
      </c>
      <c r="E1796" s="188">
        <f>IFERROR(__xludf.DUMMYFUNCTION("""COMPUTED_VALUE"""),43524.0)</f>
        <v>43524</v>
      </c>
      <c r="F1796" s="188">
        <f>IFERROR(__xludf.DUMMYFUNCTION("""COMPUTED_VALUE"""),43550.0)</f>
        <v>43550</v>
      </c>
      <c r="H1796">
        <f>IFERROR(__xludf.DUMMYFUNCTION("""COMPUTED_VALUE"""),324355.0)</f>
        <v>324355</v>
      </c>
      <c r="I1796" t="str">
        <f>IFERROR(__xludf.DUMMYFUNCTION("""COMPUTED_VALUE"""),"03/19")</f>
        <v>03/19</v>
      </c>
      <c r="J1796" s="5">
        <f>IFERROR(__xludf.DUMMYFUNCTION("""COMPUTED_VALUE"""),43567.0)</f>
        <v>43567</v>
      </c>
      <c r="K1796">
        <f>IFERROR(__xludf.DUMMYFUNCTION("""COMPUTED_VALUE"""),26.0)</f>
        <v>26</v>
      </c>
      <c r="L1796">
        <f>IFERROR(__xludf.DUMMYFUNCTION("""COMPUTED_VALUE"""),17.0)</f>
        <v>17</v>
      </c>
      <c r="M1796">
        <f>IFERROR(__xludf.DUMMYFUNCTION("""COMPUTED_VALUE"""),43.0)</f>
        <v>43</v>
      </c>
      <c r="N1796" t="str">
        <f>IFERROR(__xludf.DUMMYFUNCTION("""COMPUTED_VALUE"""),"Model 3 LR")</f>
        <v>Model 3 LR</v>
      </c>
      <c r="O1796" t="str">
        <f>IFERROR(__xludf.DUMMYFUNCTION("""COMPUTED_VALUE"""),"Solid Black")</f>
        <v>Solid Black</v>
      </c>
      <c r="P1796" t="str">
        <f>IFERROR(__xludf.DUMMYFUNCTION("""COMPUTED_VALUE"""),"19 inch Sport")</f>
        <v>19 inch Sport</v>
      </c>
      <c r="Q1796" t="str">
        <f>IFERROR(__xludf.DUMMYFUNCTION("""COMPUTED_VALUE"""),"Black seats")</f>
        <v>Black seats</v>
      </c>
      <c r="R1796" t="str">
        <f>IFERROR(__xludf.DUMMYFUNCTION("""COMPUTED_VALUE"""),"Autopilot")</f>
        <v>Autopilot</v>
      </c>
      <c r="X1796" t="str">
        <f>IFERROR(__xludf.DUMMYFUNCTION("""COMPUTED_VALUE"""),"Very Good")</f>
        <v>Very Good</v>
      </c>
      <c r="Y1796" t="str">
        <f>IFERROR(__xludf.DUMMYFUNCTION("""COMPUTED_VALUE"""),"Excellent")</f>
        <v>Excellent</v>
      </c>
      <c r="Z1796" t="str">
        <f>IFERROR(__xludf.DUMMYFUNCTION("""COMPUTED_VALUE"""),"Very Good")</f>
        <v>Very Good</v>
      </c>
      <c r="AA1796" t="str">
        <f>IFERROR(__xludf.DUMMYFUNCTION("""COMPUTED_VALUE"""),"Good")</f>
        <v>Good</v>
      </c>
      <c r="AB1796" t="str">
        <f>IFERROR(__xludf.DUMMYFUNCTION("""COMPUTED_VALUE"""),"Excellent")</f>
        <v>Excellent</v>
      </c>
      <c r="AC1796">
        <f>IFERROR(__xludf.DUMMYFUNCTION("""COMPUTED_VALUE"""),0.0)</f>
        <v>0</v>
      </c>
      <c r="AD1796">
        <f>IFERROR(__xludf.DUMMYFUNCTION("""COMPUTED_VALUE"""),0.0)</f>
        <v>0</v>
      </c>
      <c r="AE1796">
        <f>IFERROR(__xludf.DUMMYFUNCTION("""COMPUTED_VALUE"""),0.0)</f>
        <v>0</v>
      </c>
      <c r="AG1796" t="str">
        <f>IFERROR(__xludf.DUMMYFUNCTION("""COMPUTED_VALUE"""),"Tesla changed my MR order to LR after selling out of the MR.")</f>
        <v>Tesla changed my MR order to LR after selling out of the MR.</v>
      </c>
      <c r="AH1796" s="189">
        <f>IFERROR(__xludf.DUMMYFUNCTION("""COMPUTED_VALUE"""),43630.8561559838)</f>
        <v>43630.85616</v>
      </c>
    </row>
    <row r="1797">
      <c r="A1797" t="str">
        <f>IFERROR(__xludf.DUMMYFUNCTION("""COMPUTED_VALUE"""),"panksdmz")</f>
        <v>panksdmz</v>
      </c>
      <c r="C1797" t="str">
        <f>IFERROR(__xludf.DUMMYFUNCTION("""COMPUTED_VALUE"""),"PA")</f>
        <v>PA</v>
      </c>
      <c r="D1797" t="str">
        <f>IFERROR(__xludf.DUMMYFUNCTION("""COMPUTED_VALUE"""),"USA")</f>
        <v>USA</v>
      </c>
      <c r="E1797" s="188">
        <f>IFERROR(__xludf.DUMMYFUNCTION("""COMPUTED_VALUE"""),43610.0)</f>
        <v>43610</v>
      </c>
      <c r="F1797" s="188">
        <f>IFERROR(__xludf.DUMMYFUNCTION("""COMPUTED_VALUE"""),43615.0)</f>
        <v>43615</v>
      </c>
      <c r="H1797">
        <f>IFERROR(__xludf.DUMMYFUNCTION("""COMPUTED_VALUE"""),384555.0)</f>
        <v>384555</v>
      </c>
      <c r="J1797" s="5">
        <f>IFERROR(__xludf.DUMMYFUNCTION("""COMPUTED_VALUE"""),43622.0)</f>
        <v>43622</v>
      </c>
      <c r="K1797">
        <f>IFERROR(__xludf.DUMMYFUNCTION("""COMPUTED_VALUE"""),5.0)</f>
        <v>5</v>
      </c>
      <c r="L1797">
        <f>IFERROR(__xludf.DUMMYFUNCTION("""COMPUTED_VALUE"""),7.0)</f>
        <v>7</v>
      </c>
      <c r="M1797">
        <f>IFERROR(__xludf.DUMMYFUNCTION("""COMPUTED_VALUE"""),12.0)</f>
        <v>12</v>
      </c>
      <c r="N1797" t="str">
        <f>IFERROR(__xludf.DUMMYFUNCTION("""COMPUTED_VALUE"""),"Model 3 LR AWD")</f>
        <v>Model 3 LR AWD</v>
      </c>
      <c r="O1797" t="str">
        <f>IFERROR(__xludf.DUMMYFUNCTION("""COMPUTED_VALUE"""),"Solid Black")</f>
        <v>Solid Black</v>
      </c>
      <c r="P1797" t="str">
        <f>IFERROR(__xludf.DUMMYFUNCTION("""COMPUTED_VALUE"""),"18 inch Aero")</f>
        <v>18 inch Aero</v>
      </c>
      <c r="Q1797" t="str">
        <f>IFERROR(__xludf.DUMMYFUNCTION("""COMPUTED_VALUE"""),"Black seats")</f>
        <v>Black seats</v>
      </c>
      <c r="R1797" t="str">
        <f>IFERROR(__xludf.DUMMYFUNCTION("""COMPUTED_VALUE"""),"Autopilot")</f>
        <v>Autopilot</v>
      </c>
      <c r="X1797" t="str">
        <f>IFERROR(__xludf.DUMMYFUNCTION("""COMPUTED_VALUE"""),"Very Good")</f>
        <v>Very Good</v>
      </c>
      <c r="Y1797" t="str">
        <f>IFERROR(__xludf.DUMMYFUNCTION("""COMPUTED_VALUE"""),"Very Good")</f>
        <v>Very Good</v>
      </c>
      <c r="Z1797" t="str">
        <f>IFERROR(__xludf.DUMMYFUNCTION("""COMPUTED_VALUE"""),"Fair")</f>
        <v>Fair</v>
      </c>
      <c r="AA1797" t="str">
        <f>IFERROR(__xludf.DUMMYFUNCTION("""COMPUTED_VALUE"""),"Good")</f>
        <v>Good</v>
      </c>
      <c r="AB1797" t="str">
        <f>IFERROR(__xludf.DUMMYFUNCTION("""COMPUTED_VALUE"""),"Good")</f>
        <v>Good</v>
      </c>
      <c r="AC1797">
        <f>IFERROR(__xludf.DUMMYFUNCTION("""COMPUTED_VALUE"""),1.0)</f>
        <v>1</v>
      </c>
      <c r="AH1797" s="189">
        <f>IFERROR(__xludf.DUMMYFUNCTION("""COMPUTED_VALUE"""),43630.94713814815)</f>
        <v>43630.94714</v>
      </c>
    </row>
    <row r="1798">
      <c r="A1798" t="str">
        <f>IFERROR(__xludf.DUMMYFUNCTION("""COMPUTED_VALUE"""),"Jaffy23")</f>
        <v>Jaffy23</v>
      </c>
      <c r="B1798" t="str">
        <f>IFERROR(__xludf.DUMMYFUNCTION("""COMPUTED_VALUE"""),"Greenwich")</f>
        <v>Greenwich</v>
      </c>
      <c r="C1798" t="str">
        <f>IFERROR(__xludf.DUMMYFUNCTION("""COMPUTED_VALUE"""),"CT")</f>
        <v>CT</v>
      </c>
      <c r="D1798" t="str">
        <f>IFERROR(__xludf.DUMMYFUNCTION("""COMPUTED_VALUE"""),"USA")</f>
        <v>USA</v>
      </c>
      <c r="E1798" s="188">
        <f>IFERROR(__xludf.DUMMYFUNCTION("""COMPUTED_VALUE"""),43598.0)</f>
        <v>43598</v>
      </c>
      <c r="F1798" s="188">
        <f>IFERROR(__xludf.DUMMYFUNCTION("""COMPUTED_VALUE"""),43614.0)</f>
        <v>43614</v>
      </c>
      <c r="H1798">
        <f>IFERROR(__xludf.DUMMYFUNCTION("""COMPUTED_VALUE"""),391005.0)</f>
        <v>391005</v>
      </c>
      <c r="I1798" t="str">
        <f>IFERROR(__xludf.DUMMYFUNCTION("""COMPUTED_VALUE"""),"06/19")</f>
        <v>06/19</v>
      </c>
      <c r="J1798" s="5">
        <f>IFERROR(__xludf.DUMMYFUNCTION("""COMPUTED_VALUE"""),43621.0)</f>
        <v>43621</v>
      </c>
      <c r="K1798">
        <f>IFERROR(__xludf.DUMMYFUNCTION("""COMPUTED_VALUE"""),16.0)</f>
        <v>16</v>
      </c>
      <c r="L1798">
        <f>IFERROR(__xludf.DUMMYFUNCTION("""COMPUTED_VALUE"""),7.0)</f>
        <v>7</v>
      </c>
      <c r="M1798">
        <f>IFERROR(__xludf.DUMMYFUNCTION("""COMPUTED_VALUE"""),23.0)</f>
        <v>23</v>
      </c>
      <c r="N1798" t="str">
        <f>IFERROR(__xludf.DUMMYFUNCTION("""COMPUTED_VALUE"""),"Model 3 LR AWD")</f>
        <v>Model 3 LR AWD</v>
      </c>
      <c r="O1798" t="str">
        <f>IFERROR(__xludf.DUMMYFUNCTION("""COMPUTED_VALUE"""),"Deep Blue Metallic")</f>
        <v>Deep Blue Metallic</v>
      </c>
      <c r="P1798" t="str">
        <f>IFERROR(__xludf.DUMMYFUNCTION("""COMPUTED_VALUE"""),"18 inch Aero")</f>
        <v>18 inch Aero</v>
      </c>
      <c r="Q1798" t="str">
        <f>IFERROR(__xludf.DUMMYFUNCTION("""COMPUTED_VALUE"""),"White seats")</f>
        <v>White seats</v>
      </c>
      <c r="R1798" t="str">
        <f>IFERROR(__xludf.DUMMYFUNCTION("""COMPUTED_VALUE"""),"Autopilot")</f>
        <v>Autopilot</v>
      </c>
      <c r="X1798" t="str">
        <f>IFERROR(__xludf.DUMMYFUNCTION("""COMPUTED_VALUE"""),"Excellent")</f>
        <v>Excellent</v>
      </c>
      <c r="Y1798" t="str">
        <f>IFERROR(__xludf.DUMMYFUNCTION("""COMPUTED_VALUE"""),"Excellent")</f>
        <v>Excellent</v>
      </c>
      <c r="Z1798" t="str">
        <f>IFERROR(__xludf.DUMMYFUNCTION("""COMPUTED_VALUE"""),"Excellent")</f>
        <v>Excellent</v>
      </c>
      <c r="AA1798" t="str">
        <f>IFERROR(__xludf.DUMMYFUNCTION("""COMPUTED_VALUE"""),"Very Good")</f>
        <v>Very Good</v>
      </c>
      <c r="AB1798" t="str">
        <f>IFERROR(__xludf.DUMMYFUNCTION("""COMPUTED_VALUE"""),"Very Good")</f>
        <v>Very Good</v>
      </c>
      <c r="AC1798">
        <f>IFERROR(__xludf.DUMMYFUNCTION("""COMPUTED_VALUE"""),2.0)</f>
        <v>2</v>
      </c>
      <c r="AE1798">
        <f>IFERROR(__xludf.DUMMYFUNCTION("""COMPUTED_VALUE"""),9.0)</f>
        <v>9</v>
      </c>
      <c r="AG1798" t="str">
        <f>IFERROR(__xludf.DUMMYFUNCTION("""COMPUTED_VALUE"""),"Cracked glass roof on delivery which took a week to repair. They did a great job")</f>
        <v>Cracked glass roof on delivery which took a week to repair. They did a great job</v>
      </c>
      <c r="AH1798" s="189">
        <f>IFERROR(__xludf.DUMMYFUNCTION("""COMPUTED_VALUE"""),43631.2614584838)</f>
        <v>43631.26146</v>
      </c>
    </row>
    <row r="1799">
      <c r="A1799" t="str">
        <f>IFERROR(__xludf.DUMMYFUNCTION("""COMPUTED_VALUE"""),"Bob_Yul")</f>
        <v>Bob_Yul</v>
      </c>
      <c r="B1799" t="str">
        <f>IFERROR(__xludf.DUMMYFUNCTION("""COMPUTED_VALUE"""),"Montreal")</f>
        <v>Montreal</v>
      </c>
      <c r="C1799" t="str">
        <f>IFERROR(__xludf.DUMMYFUNCTION("""COMPUTED_VALUE"""),"QC")</f>
        <v>QC</v>
      </c>
      <c r="D1799" t="str">
        <f>IFERROR(__xludf.DUMMYFUNCTION("""COMPUTED_VALUE"""),"Canada")</f>
        <v>Canada</v>
      </c>
      <c r="E1799" s="188">
        <f>IFERROR(__xludf.DUMMYFUNCTION("""COMPUTED_VALUE"""),43607.0)</f>
        <v>43607</v>
      </c>
      <c r="F1799" s="188">
        <f>IFERROR(__xludf.DUMMYFUNCTION("""COMPUTED_VALUE"""),43618.0)</f>
        <v>43618</v>
      </c>
      <c r="H1799">
        <f>IFERROR(__xludf.DUMMYFUNCTION("""COMPUTED_VALUE"""),414355.0)</f>
        <v>414355</v>
      </c>
      <c r="J1799" s="5">
        <f>IFERROR(__xludf.DUMMYFUNCTION("""COMPUTED_VALUE"""),43629.0)</f>
        <v>43629</v>
      </c>
      <c r="K1799">
        <f>IFERROR(__xludf.DUMMYFUNCTION("""COMPUTED_VALUE"""),11.0)</f>
        <v>11</v>
      </c>
      <c r="L1799">
        <f>IFERROR(__xludf.DUMMYFUNCTION("""COMPUTED_VALUE"""),11.0)</f>
        <v>11</v>
      </c>
      <c r="M1799">
        <f>IFERROR(__xludf.DUMMYFUNCTION("""COMPUTED_VALUE"""),22.0)</f>
        <v>22</v>
      </c>
      <c r="N1799" t="str">
        <f>IFERROR(__xludf.DUMMYFUNCTION("""COMPUTED_VALUE"""),"Model 3 SR+")</f>
        <v>Model 3 SR+</v>
      </c>
      <c r="O1799" t="str">
        <f>IFERROR(__xludf.DUMMYFUNCTION("""COMPUTED_VALUE"""),"Deep Blue Metallic")</f>
        <v>Deep Blue Metallic</v>
      </c>
      <c r="P1799" t="str">
        <f>IFERROR(__xludf.DUMMYFUNCTION("""COMPUTED_VALUE"""),"18 inch Aero")</f>
        <v>18 inch Aero</v>
      </c>
      <c r="Q1799" t="str">
        <f>IFERROR(__xludf.DUMMYFUNCTION("""COMPUTED_VALUE"""),"Black seats")</f>
        <v>Black seats</v>
      </c>
      <c r="R1799" t="str">
        <f>IFERROR(__xludf.DUMMYFUNCTION("""COMPUTED_VALUE"""),"Autopilot")</f>
        <v>Autopilot</v>
      </c>
      <c r="X1799" t="str">
        <f>IFERROR(__xludf.DUMMYFUNCTION("""COMPUTED_VALUE"""),"Excellent")</f>
        <v>Excellent</v>
      </c>
      <c r="Y1799" t="str">
        <f>IFERROR(__xludf.DUMMYFUNCTION("""COMPUTED_VALUE"""),"Excellent")</f>
        <v>Excellent</v>
      </c>
      <c r="Z1799" t="str">
        <f>IFERROR(__xludf.DUMMYFUNCTION("""COMPUTED_VALUE"""),"Excellent")</f>
        <v>Excellent</v>
      </c>
      <c r="AA1799" t="str">
        <f>IFERROR(__xludf.DUMMYFUNCTION("""COMPUTED_VALUE"""),"Very Good")</f>
        <v>Very Good</v>
      </c>
      <c r="AB1799" t="str">
        <f>IFERROR(__xludf.DUMMYFUNCTION("""COMPUTED_VALUE"""),"Very Good")</f>
        <v>Very Good</v>
      </c>
      <c r="AH1799" s="189">
        <f>IFERROR(__xludf.DUMMYFUNCTION("""COMPUTED_VALUE"""),43631.83066762731)</f>
        <v>43631.83067</v>
      </c>
    </row>
    <row r="1800">
      <c r="A1800" t="str">
        <f>IFERROR(__xludf.DUMMYFUNCTION("""COMPUTED_VALUE"""),"lukerv4")</f>
        <v>lukerv4</v>
      </c>
      <c r="B1800" t="str">
        <f>IFERROR(__xludf.DUMMYFUNCTION("""COMPUTED_VALUE"""),"Philadelphia")</f>
        <v>Philadelphia</v>
      </c>
      <c r="C1800" t="str">
        <f>IFERROR(__xludf.DUMMYFUNCTION("""COMPUTED_VALUE"""),"PA")</f>
        <v>PA</v>
      </c>
      <c r="D1800" t="str">
        <f>IFERROR(__xludf.DUMMYFUNCTION("""COMPUTED_VALUE"""),"USA")</f>
        <v>USA</v>
      </c>
      <c r="E1800" s="188">
        <f>IFERROR(__xludf.DUMMYFUNCTION("""COMPUTED_VALUE"""),43609.0)</f>
        <v>43609</v>
      </c>
      <c r="F1800" s="188">
        <f>IFERROR(__xludf.DUMMYFUNCTION("""COMPUTED_VALUE"""),43622.0)</f>
        <v>43622</v>
      </c>
      <c r="H1800">
        <f>IFERROR(__xludf.DUMMYFUNCTION("""COMPUTED_VALUE"""),392075.0)</f>
        <v>392075</v>
      </c>
      <c r="I1800" t="str">
        <f>IFERROR(__xludf.DUMMYFUNCTION("""COMPUTED_VALUE"""),"06/19")</f>
        <v>06/19</v>
      </c>
      <c r="J1800" s="5">
        <f>IFERROR(__xludf.DUMMYFUNCTION("""COMPUTED_VALUE"""),43629.0)</f>
        <v>43629</v>
      </c>
      <c r="K1800">
        <f>IFERROR(__xludf.DUMMYFUNCTION("""COMPUTED_VALUE"""),13.0)</f>
        <v>13</v>
      </c>
      <c r="L1800">
        <f>IFERROR(__xludf.DUMMYFUNCTION("""COMPUTED_VALUE"""),7.0)</f>
        <v>7</v>
      </c>
      <c r="M1800">
        <f>IFERROR(__xludf.DUMMYFUNCTION("""COMPUTED_VALUE"""),20.0)</f>
        <v>20</v>
      </c>
      <c r="N1800" t="str">
        <f>IFERROR(__xludf.DUMMYFUNCTION("""COMPUTED_VALUE"""),"Model 3 LR AWD")</f>
        <v>Model 3 LR AWD</v>
      </c>
      <c r="O1800" t="str">
        <f>IFERROR(__xludf.DUMMYFUNCTION("""COMPUTED_VALUE"""),"Deep Blue Metallic")</f>
        <v>Deep Blue Metallic</v>
      </c>
      <c r="P1800" t="str">
        <f>IFERROR(__xludf.DUMMYFUNCTION("""COMPUTED_VALUE"""),"19 inch Sport")</f>
        <v>19 inch Sport</v>
      </c>
      <c r="Q1800" t="str">
        <f>IFERROR(__xludf.DUMMYFUNCTION("""COMPUTED_VALUE"""),"White seats")</f>
        <v>White seats</v>
      </c>
      <c r="R1800" t="str">
        <f>IFERROR(__xludf.DUMMYFUNCTION("""COMPUTED_VALUE"""),"Full Self-Driving")</f>
        <v>Full Self-Driving</v>
      </c>
      <c r="X1800" t="str">
        <f>IFERROR(__xludf.DUMMYFUNCTION("""COMPUTED_VALUE"""),"Excellent")</f>
        <v>Excellent</v>
      </c>
      <c r="Y1800" t="str">
        <f>IFERROR(__xludf.DUMMYFUNCTION("""COMPUTED_VALUE"""),"Excellent")</f>
        <v>Excellent</v>
      </c>
      <c r="Z1800" t="str">
        <f>IFERROR(__xludf.DUMMYFUNCTION("""COMPUTED_VALUE"""),"Excellent")</f>
        <v>Excellent</v>
      </c>
      <c r="AA1800" t="str">
        <f>IFERROR(__xludf.DUMMYFUNCTION("""COMPUTED_VALUE"""),"Good")</f>
        <v>Good</v>
      </c>
      <c r="AB1800" t="str">
        <f>IFERROR(__xludf.DUMMYFUNCTION("""COMPUTED_VALUE"""),"Excellent")</f>
        <v>Excellent</v>
      </c>
      <c r="AC1800">
        <f>IFERROR(__xludf.DUMMYFUNCTION("""COMPUTED_VALUE"""),0.0)</f>
        <v>0</v>
      </c>
      <c r="AH1800" s="189">
        <f>IFERROR(__xludf.DUMMYFUNCTION("""COMPUTED_VALUE"""),43633.33065179398)</f>
        <v>43633.33065</v>
      </c>
    </row>
    <row r="1801">
      <c r="A1801" t="str">
        <f>IFERROR(__xludf.DUMMYFUNCTION("""COMPUTED_VALUE"""),"thengal")</f>
        <v>thengal</v>
      </c>
      <c r="B1801" t="str">
        <f>IFERROR(__xludf.DUMMYFUNCTION("""COMPUTED_VALUE"""),"Sacramento")</f>
        <v>Sacramento</v>
      </c>
      <c r="C1801" t="str">
        <f>IFERROR(__xludf.DUMMYFUNCTION("""COMPUTED_VALUE"""),"CA")</f>
        <v>CA</v>
      </c>
      <c r="D1801" t="str">
        <f>IFERROR(__xludf.DUMMYFUNCTION("""COMPUTED_VALUE"""),"USA")</f>
        <v>USA</v>
      </c>
      <c r="E1801" s="188">
        <f>IFERROR(__xludf.DUMMYFUNCTION("""COMPUTED_VALUE"""),43612.0)</f>
        <v>43612</v>
      </c>
      <c r="F1801" s="188">
        <f>IFERROR(__xludf.DUMMYFUNCTION("""COMPUTED_VALUE"""),43622.0)</f>
        <v>43622</v>
      </c>
      <c r="I1801" t="str">
        <f>IFERROR(__xludf.DUMMYFUNCTION("""COMPUTED_VALUE"""),"06/19")</f>
        <v>06/19</v>
      </c>
      <c r="J1801" s="5">
        <f>IFERROR(__xludf.DUMMYFUNCTION("""COMPUTED_VALUE"""),43622.0)</f>
        <v>43622</v>
      </c>
      <c r="K1801">
        <f>IFERROR(__xludf.DUMMYFUNCTION("""COMPUTED_VALUE"""),10.0)</f>
        <v>10</v>
      </c>
      <c r="L1801">
        <f>IFERROR(__xludf.DUMMYFUNCTION("""COMPUTED_VALUE"""),0.0)</f>
        <v>0</v>
      </c>
      <c r="M1801">
        <f>IFERROR(__xludf.DUMMYFUNCTION("""COMPUTED_VALUE"""),10.0)</f>
        <v>10</v>
      </c>
      <c r="N1801" t="str">
        <f>IFERROR(__xludf.DUMMYFUNCTION("""COMPUTED_VALUE"""),"Model 3 Performance")</f>
        <v>Model 3 Performance</v>
      </c>
      <c r="O1801" t="str">
        <f>IFERROR(__xludf.DUMMYFUNCTION("""COMPUTED_VALUE"""),"Pearl White Multi-Coat")</f>
        <v>Pearl White Multi-Coat</v>
      </c>
      <c r="P1801" t="str">
        <f>IFERROR(__xludf.DUMMYFUNCTION("""COMPUTED_VALUE"""),"20 inch Sport")</f>
        <v>20 inch Sport</v>
      </c>
      <c r="Q1801" t="str">
        <f>IFERROR(__xludf.DUMMYFUNCTION("""COMPUTED_VALUE"""),"White seats")</f>
        <v>White seats</v>
      </c>
      <c r="R1801" t="str">
        <f>IFERROR(__xludf.DUMMYFUNCTION("""COMPUTED_VALUE"""),"Autopilot")</f>
        <v>Autopilot</v>
      </c>
      <c r="X1801" t="str">
        <f>IFERROR(__xludf.DUMMYFUNCTION("""COMPUTED_VALUE"""),"Very Good")</f>
        <v>Very Good</v>
      </c>
      <c r="Y1801" t="str">
        <f>IFERROR(__xludf.DUMMYFUNCTION("""COMPUTED_VALUE"""),"Very Good")</f>
        <v>Very Good</v>
      </c>
      <c r="Z1801" t="str">
        <f>IFERROR(__xludf.DUMMYFUNCTION("""COMPUTED_VALUE"""),"Very Good")</f>
        <v>Very Good</v>
      </c>
      <c r="AA1801" t="str">
        <f>IFERROR(__xludf.DUMMYFUNCTION("""COMPUTED_VALUE"""),"Good")</f>
        <v>Good</v>
      </c>
      <c r="AB1801" t="str">
        <f>IFERROR(__xludf.DUMMYFUNCTION("""COMPUTED_VALUE"""),"Fair")</f>
        <v>Fair</v>
      </c>
      <c r="AH1801" s="189">
        <f>IFERROR(__xludf.DUMMYFUNCTION("""COMPUTED_VALUE"""),43633.41758292824)</f>
        <v>43633.41758</v>
      </c>
    </row>
    <row r="1802">
      <c r="A1802" t="str">
        <f>IFERROR(__xludf.DUMMYFUNCTION("""COMPUTED_VALUE"""),"Evan862")</f>
        <v>Evan862</v>
      </c>
      <c r="B1802" t="str">
        <f>IFERROR(__xludf.DUMMYFUNCTION("""COMPUTED_VALUE"""),"Monterey")</f>
        <v>Monterey</v>
      </c>
      <c r="C1802" t="str">
        <f>IFERROR(__xludf.DUMMYFUNCTION("""COMPUTED_VALUE"""),"CA")</f>
        <v>CA</v>
      </c>
      <c r="D1802" t="str">
        <f>IFERROR(__xludf.DUMMYFUNCTION("""COMPUTED_VALUE"""),"USA")</f>
        <v>USA</v>
      </c>
      <c r="E1802" s="188">
        <f>IFERROR(__xludf.DUMMYFUNCTION("""COMPUTED_VALUE"""),43612.0)</f>
        <v>43612</v>
      </c>
      <c r="F1802" s="188">
        <f>IFERROR(__xludf.DUMMYFUNCTION("""COMPUTED_VALUE"""),43628.0)</f>
        <v>43628</v>
      </c>
      <c r="H1802">
        <f>IFERROR(__xludf.DUMMYFUNCTION("""COMPUTED_VALUE"""),386555.0)</f>
        <v>386555</v>
      </c>
      <c r="J1802" s="5">
        <f>IFERROR(__xludf.DUMMYFUNCTION("""COMPUTED_VALUE"""),43631.0)</f>
        <v>43631</v>
      </c>
      <c r="K1802">
        <f>IFERROR(__xludf.DUMMYFUNCTION("""COMPUTED_VALUE"""),16.0)</f>
        <v>16</v>
      </c>
      <c r="L1802">
        <f>IFERROR(__xludf.DUMMYFUNCTION("""COMPUTED_VALUE"""),3.0)</f>
        <v>3</v>
      </c>
      <c r="M1802">
        <f>IFERROR(__xludf.DUMMYFUNCTION("""COMPUTED_VALUE"""),19.0)</f>
        <v>19</v>
      </c>
      <c r="N1802" t="str">
        <f>IFERROR(__xludf.DUMMYFUNCTION("""COMPUTED_VALUE"""),"Model 3 LR AWD")</f>
        <v>Model 3 LR AWD</v>
      </c>
      <c r="O1802" t="str">
        <f>IFERROR(__xludf.DUMMYFUNCTION("""COMPUTED_VALUE"""),"Midnight Silver Metallic")</f>
        <v>Midnight Silver Metallic</v>
      </c>
      <c r="P1802" t="str">
        <f>IFERROR(__xludf.DUMMYFUNCTION("""COMPUTED_VALUE"""),"18 inch Aero")</f>
        <v>18 inch Aero</v>
      </c>
      <c r="Q1802" t="str">
        <f>IFERROR(__xludf.DUMMYFUNCTION("""COMPUTED_VALUE"""),"Black seats")</f>
        <v>Black seats</v>
      </c>
      <c r="R1802" t="str">
        <f>IFERROR(__xludf.DUMMYFUNCTION("""COMPUTED_VALUE"""),"Autopilot")</f>
        <v>Autopilot</v>
      </c>
      <c r="X1802" t="str">
        <f>IFERROR(__xludf.DUMMYFUNCTION("""COMPUTED_VALUE"""),"Very Good")</f>
        <v>Very Good</v>
      </c>
      <c r="Y1802" t="str">
        <f>IFERROR(__xludf.DUMMYFUNCTION("""COMPUTED_VALUE"""),"Excellent")</f>
        <v>Excellent</v>
      </c>
      <c r="Z1802" t="str">
        <f>IFERROR(__xludf.DUMMYFUNCTION("""COMPUTED_VALUE"""),"Very Good")</f>
        <v>Very Good</v>
      </c>
      <c r="AA1802" t="str">
        <f>IFERROR(__xludf.DUMMYFUNCTION("""COMPUTED_VALUE"""),"Good")</f>
        <v>Good</v>
      </c>
      <c r="AB1802" t="str">
        <f>IFERROR(__xludf.DUMMYFUNCTION("""COMPUTED_VALUE"""),"Fair")</f>
        <v>Fair</v>
      </c>
      <c r="AH1802" s="189">
        <f>IFERROR(__xludf.DUMMYFUNCTION("""COMPUTED_VALUE"""),43633.43613739584)</f>
        <v>43633.43614</v>
      </c>
    </row>
    <row r="1803">
      <c r="A1803" t="str">
        <f>IFERROR(__xludf.DUMMYFUNCTION("""COMPUTED_VALUE"""),"shplatt")</f>
        <v>shplatt</v>
      </c>
      <c r="C1803" t="str">
        <f>IFERROR(__xludf.DUMMYFUNCTION("""COMPUTED_VALUE"""),"CA")</f>
        <v>CA</v>
      </c>
      <c r="D1803" t="str">
        <f>IFERROR(__xludf.DUMMYFUNCTION("""COMPUTED_VALUE"""),"USA")</f>
        <v>USA</v>
      </c>
      <c r="E1803" s="188">
        <f>IFERROR(__xludf.DUMMYFUNCTION("""COMPUTED_VALUE"""),43610.0)</f>
        <v>43610</v>
      </c>
      <c r="F1803" s="188">
        <f>IFERROR(__xludf.DUMMYFUNCTION("""COMPUTED_VALUE"""),43631.0)</f>
        <v>43631</v>
      </c>
      <c r="H1803">
        <f>IFERROR(__xludf.DUMMYFUNCTION("""COMPUTED_VALUE"""),422055.0)</f>
        <v>422055</v>
      </c>
      <c r="I1803" t="str">
        <f>IFERROR(__xludf.DUMMYFUNCTION("""COMPUTED_VALUE"""),"06/19")</f>
        <v>06/19</v>
      </c>
      <c r="J1803" s="5">
        <f>IFERROR(__xludf.DUMMYFUNCTION("""COMPUTED_VALUE"""),43633.0)</f>
        <v>43633</v>
      </c>
      <c r="K1803">
        <f>IFERROR(__xludf.DUMMYFUNCTION("""COMPUTED_VALUE"""),21.0)</f>
        <v>21</v>
      </c>
      <c r="L1803">
        <f>IFERROR(__xludf.DUMMYFUNCTION("""COMPUTED_VALUE"""),2.0)</f>
        <v>2</v>
      </c>
      <c r="M1803">
        <f>IFERROR(__xludf.DUMMYFUNCTION("""COMPUTED_VALUE"""),23.0)</f>
        <v>23</v>
      </c>
      <c r="N1803" t="str">
        <f>IFERROR(__xludf.DUMMYFUNCTION("""COMPUTED_VALUE"""),"Model 3 Performance")</f>
        <v>Model 3 Performance</v>
      </c>
      <c r="O1803" t="str">
        <f>IFERROR(__xludf.DUMMYFUNCTION("""COMPUTED_VALUE"""),"Red Multi-Coat")</f>
        <v>Red Multi-Coat</v>
      </c>
      <c r="P1803" t="str">
        <f>IFERROR(__xludf.DUMMYFUNCTION("""COMPUTED_VALUE"""),"20 inch Sport")</f>
        <v>20 inch Sport</v>
      </c>
      <c r="Q1803" t="str">
        <f>IFERROR(__xludf.DUMMYFUNCTION("""COMPUTED_VALUE"""),"White seats")</f>
        <v>White seats</v>
      </c>
      <c r="R1803" t="str">
        <f>IFERROR(__xludf.DUMMYFUNCTION("""COMPUTED_VALUE"""),"Full Self-Driving")</f>
        <v>Full Self-Driving</v>
      </c>
      <c r="X1803" t="str">
        <f>IFERROR(__xludf.DUMMYFUNCTION("""COMPUTED_VALUE"""),"Very Good")</f>
        <v>Very Good</v>
      </c>
      <c r="Y1803" t="str">
        <f>IFERROR(__xludf.DUMMYFUNCTION("""COMPUTED_VALUE"""),"Excellent")</f>
        <v>Excellent</v>
      </c>
      <c r="Z1803" t="str">
        <f>IFERROR(__xludf.DUMMYFUNCTION("""COMPUTED_VALUE"""),"Very Good")</f>
        <v>Very Good</v>
      </c>
      <c r="AA1803" t="str">
        <f>IFERROR(__xludf.DUMMYFUNCTION("""COMPUTED_VALUE"""),"Excellent")</f>
        <v>Excellent</v>
      </c>
      <c r="AB1803" t="str">
        <f>IFERROR(__xludf.DUMMYFUNCTION("""COMPUTED_VALUE"""),"Excellent")</f>
        <v>Excellent</v>
      </c>
      <c r="AG1803" t="str">
        <f>IFERROR(__xludf.DUMMYFUNCTION("""COMPUTED_VALUE"""),"Moved delivery up a day to 6/17.")</f>
        <v>Moved delivery up a day to 6/17.</v>
      </c>
      <c r="AH1803" s="189">
        <f>IFERROR(__xludf.DUMMYFUNCTION("""COMPUTED_VALUE"""),43633.95700085648)</f>
        <v>43633.957</v>
      </c>
    </row>
    <row r="1804">
      <c r="A1804" t="str">
        <f>IFERROR(__xludf.DUMMYFUNCTION("""COMPUTED_VALUE"""),"necessaryevo")</f>
        <v>necessaryevo</v>
      </c>
      <c r="B1804" t="str">
        <f>IFERROR(__xludf.DUMMYFUNCTION("""COMPUTED_VALUE"""),"Savoy")</f>
        <v>Savoy</v>
      </c>
      <c r="C1804" t="str">
        <f>IFERROR(__xludf.DUMMYFUNCTION("""COMPUTED_VALUE"""),"IL")</f>
        <v>IL</v>
      </c>
      <c r="D1804" t="str">
        <f>IFERROR(__xludf.DUMMYFUNCTION("""COMPUTED_VALUE"""),"USA")</f>
        <v>USA</v>
      </c>
      <c r="E1804" s="188">
        <f>IFERROR(__xludf.DUMMYFUNCTION("""COMPUTED_VALUE"""),43616.0)</f>
        <v>43616</v>
      </c>
      <c r="F1804" s="188">
        <f>IFERROR(__xludf.DUMMYFUNCTION("""COMPUTED_VALUE"""),43620.0)</f>
        <v>43620</v>
      </c>
      <c r="H1804" s="4">
        <f>IFERROR(__xludf.DUMMYFUNCTION("""COMPUTED_VALUE"""),393128.0)</f>
        <v>393128</v>
      </c>
      <c r="I1804" t="str">
        <f>IFERROR(__xludf.DUMMYFUNCTION("""COMPUTED_VALUE"""),"06/19")</f>
        <v>06/19</v>
      </c>
      <c r="J1804" s="5">
        <f>IFERROR(__xludf.DUMMYFUNCTION("""COMPUTED_VALUE"""),43629.0)</f>
        <v>43629</v>
      </c>
      <c r="K1804">
        <f>IFERROR(__xludf.DUMMYFUNCTION("""COMPUTED_VALUE"""),4.0)</f>
        <v>4</v>
      </c>
      <c r="L1804">
        <f>IFERROR(__xludf.DUMMYFUNCTION("""COMPUTED_VALUE"""),9.0)</f>
        <v>9</v>
      </c>
      <c r="M1804">
        <f>IFERROR(__xludf.DUMMYFUNCTION("""COMPUTED_VALUE"""),13.0)</f>
        <v>13</v>
      </c>
      <c r="N1804" t="str">
        <f>IFERROR(__xludf.DUMMYFUNCTION("""COMPUTED_VALUE"""),"Model 3 Performance")</f>
        <v>Model 3 Performance</v>
      </c>
      <c r="O1804" t="str">
        <f>IFERROR(__xludf.DUMMYFUNCTION("""COMPUTED_VALUE"""),"Deep Blue Metallic")</f>
        <v>Deep Blue Metallic</v>
      </c>
      <c r="P1804" t="str">
        <f>IFERROR(__xludf.DUMMYFUNCTION("""COMPUTED_VALUE"""),"20 inch Sport")</f>
        <v>20 inch Sport</v>
      </c>
      <c r="Q1804" t="str">
        <f>IFERROR(__xludf.DUMMYFUNCTION("""COMPUTED_VALUE"""),"Black seats")</f>
        <v>Black seats</v>
      </c>
      <c r="R1804" t="str">
        <f>IFERROR(__xludf.DUMMYFUNCTION("""COMPUTED_VALUE"""),"Autopilot")</f>
        <v>Autopilot</v>
      </c>
      <c r="X1804" t="str">
        <f>IFERROR(__xludf.DUMMYFUNCTION("""COMPUTED_VALUE"""),"Excellent")</f>
        <v>Excellent</v>
      </c>
      <c r="Y1804" t="str">
        <f>IFERROR(__xludf.DUMMYFUNCTION("""COMPUTED_VALUE"""),"Excellent")</f>
        <v>Excellent</v>
      </c>
      <c r="Z1804" t="str">
        <f>IFERROR(__xludf.DUMMYFUNCTION("""COMPUTED_VALUE"""),"Very Good")</f>
        <v>Very Good</v>
      </c>
      <c r="AA1804" t="str">
        <f>IFERROR(__xludf.DUMMYFUNCTION("""COMPUTED_VALUE"""),"Very Good")</f>
        <v>Very Good</v>
      </c>
      <c r="AB1804" t="str">
        <f>IFERROR(__xludf.DUMMYFUNCTION("""COMPUTED_VALUE"""),"Excellent")</f>
        <v>Excellent</v>
      </c>
      <c r="AC1804">
        <f>IFERROR(__xludf.DUMMYFUNCTION("""COMPUTED_VALUE"""),2.0)</f>
        <v>2</v>
      </c>
      <c r="AH1804" s="189">
        <f>IFERROR(__xludf.DUMMYFUNCTION("""COMPUTED_VALUE"""),43634.331886388885)</f>
        <v>43634.33189</v>
      </c>
    </row>
    <row r="1805">
      <c r="A1805" t="str">
        <f>IFERROR(__xludf.DUMMYFUNCTION("""COMPUTED_VALUE"""),"HighZ")</f>
        <v>HighZ</v>
      </c>
      <c r="B1805" t="str">
        <f>IFERROR(__xludf.DUMMYFUNCTION("""COMPUTED_VALUE"""),"Rockford")</f>
        <v>Rockford</v>
      </c>
      <c r="C1805" t="str">
        <f>IFERROR(__xludf.DUMMYFUNCTION("""COMPUTED_VALUE"""),"IL")</f>
        <v>IL</v>
      </c>
      <c r="D1805" t="str">
        <f>IFERROR(__xludf.DUMMYFUNCTION("""COMPUTED_VALUE"""),"USA")</f>
        <v>USA</v>
      </c>
      <c r="E1805" s="188">
        <f>IFERROR(__xludf.DUMMYFUNCTION("""COMPUTED_VALUE"""),43584.0)</f>
        <v>43584</v>
      </c>
      <c r="F1805" s="188">
        <f>IFERROR(__xludf.DUMMYFUNCTION("""COMPUTED_VALUE"""),43622.0)</f>
        <v>43622</v>
      </c>
      <c r="H1805">
        <f>IFERROR(__xludf.DUMMYFUNCTION("""COMPUTED_VALUE"""),386398.0)</f>
        <v>386398</v>
      </c>
      <c r="I1805" t="str">
        <f>IFERROR(__xludf.DUMMYFUNCTION("""COMPUTED_VALUE"""),"06/19")</f>
        <v>06/19</v>
      </c>
      <c r="J1805" s="5">
        <f>IFERROR(__xludf.DUMMYFUNCTION("""COMPUTED_VALUE"""),43633.0)</f>
        <v>43633</v>
      </c>
      <c r="K1805">
        <f>IFERROR(__xludf.DUMMYFUNCTION("""COMPUTED_VALUE"""),38.0)</f>
        <v>38</v>
      </c>
      <c r="L1805">
        <f>IFERROR(__xludf.DUMMYFUNCTION("""COMPUTED_VALUE"""),11.0)</f>
        <v>11</v>
      </c>
      <c r="M1805">
        <f>IFERROR(__xludf.DUMMYFUNCTION("""COMPUTED_VALUE"""),49.0)</f>
        <v>49</v>
      </c>
      <c r="N1805" t="str">
        <f>IFERROR(__xludf.DUMMYFUNCTION("""COMPUTED_VALUE"""),"Model 3 LR AWD")</f>
        <v>Model 3 LR AWD</v>
      </c>
      <c r="O1805" t="str">
        <f>IFERROR(__xludf.DUMMYFUNCTION("""COMPUTED_VALUE"""),"Midnight Silver Metallic")</f>
        <v>Midnight Silver Metallic</v>
      </c>
      <c r="P1805" t="str">
        <f>IFERROR(__xludf.DUMMYFUNCTION("""COMPUTED_VALUE"""),"18 inch Aero")</f>
        <v>18 inch Aero</v>
      </c>
      <c r="Q1805" t="str">
        <f>IFERROR(__xludf.DUMMYFUNCTION("""COMPUTED_VALUE"""),"Black seats")</f>
        <v>Black seats</v>
      </c>
      <c r="R1805" t="str">
        <f>IFERROR(__xludf.DUMMYFUNCTION("""COMPUTED_VALUE"""),"Full Self-Driving")</f>
        <v>Full Self-Driving</v>
      </c>
      <c r="X1805" t="str">
        <f>IFERROR(__xludf.DUMMYFUNCTION("""COMPUTED_VALUE"""),"Excellent")</f>
        <v>Excellent</v>
      </c>
      <c r="Y1805" t="str">
        <f>IFERROR(__xludf.DUMMYFUNCTION("""COMPUTED_VALUE"""),"Excellent")</f>
        <v>Excellent</v>
      </c>
      <c r="Z1805" t="str">
        <f>IFERROR(__xludf.DUMMYFUNCTION("""COMPUTED_VALUE"""),"Excellent")</f>
        <v>Excellent</v>
      </c>
      <c r="AA1805" t="str">
        <f>IFERROR(__xludf.DUMMYFUNCTION("""COMPUTED_VALUE"""),"Excellent")</f>
        <v>Excellent</v>
      </c>
      <c r="AB1805" t="str">
        <f>IFERROR(__xludf.DUMMYFUNCTION("""COMPUTED_VALUE"""),"Excellent")</f>
        <v>Excellent</v>
      </c>
      <c r="AG1805" t="str">
        <f>IFERROR(__xludf.DUMMYFUNCTION("""COMPUTED_VALUE"""),"Asked for matching to be put on hold until I can take delivery in June")</f>
        <v>Asked for matching to be put on hold until I can take delivery in June</v>
      </c>
      <c r="AH1805" s="189">
        <f>IFERROR(__xludf.DUMMYFUNCTION("""COMPUTED_VALUE"""),43634.432948368056)</f>
        <v>43634.43295</v>
      </c>
    </row>
    <row r="1806">
      <c r="A1806" t="str">
        <f>IFERROR(__xludf.DUMMYFUNCTION("""COMPUTED_VALUE"""),"df")</f>
        <v>df</v>
      </c>
      <c r="B1806" t="str">
        <f>IFERROR(__xludf.DUMMYFUNCTION("""COMPUTED_VALUE"""),"Fairfield County")</f>
        <v>Fairfield County</v>
      </c>
      <c r="C1806" t="str">
        <f>IFERROR(__xludf.DUMMYFUNCTION("""COMPUTED_VALUE"""),"CT")</f>
        <v>CT</v>
      </c>
      <c r="D1806" t="str">
        <f>IFERROR(__xludf.DUMMYFUNCTION("""COMPUTED_VALUE"""),"USA")</f>
        <v>USA</v>
      </c>
      <c r="E1806" s="188">
        <f>IFERROR(__xludf.DUMMYFUNCTION("""COMPUTED_VALUE"""),43606.0)</f>
        <v>43606</v>
      </c>
      <c r="F1806" s="188">
        <f>IFERROR(__xludf.DUMMYFUNCTION("""COMPUTED_VALUE"""),43613.0)</f>
        <v>43613</v>
      </c>
      <c r="H1806">
        <f>IFERROR(__xludf.DUMMYFUNCTION("""COMPUTED_VALUE"""),400155.0)</f>
        <v>400155</v>
      </c>
      <c r="I1806" t="str">
        <f>IFERROR(__xludf.DUMMYFUNCTION("""COMPUTED_VALUE"""),"06/19")</f>
        <v>06/19</v>
      </c>
      <c r="J1806" s="5">
        <f>IFERROR(__xludf.DUMMYFUNCTION("""COMPUTED_VALUE"""),43634.0)</f>
        <v>43634</v>
      </c>
      <c r="K1806">
        <f>IFERROR(__xludf.DUMMYFUNCTION("""COMPUTED_VALUE"""),7.0)</f>
        <v>7</v>
      </c>
      <c r="L1806">
        <f>IFERROR(__xludf.DUMMYFUNCTION("""COMPUTED_VALUE"""),21.0)</f>
        <v>21</v>
      </c>
      <c r="M1806">
        <f>IFERROR(__xludf.DUMMYFUNCTION("""COMPUTED_VALUE"""),28.0)</f>
        <v>28</v>
      </c>
      <c r="N1806" t="str">
        <f>IFERROR(__xludf.DUMMYFUNCTION("""COMPUTED_VALUE"""),"Model 3 SR+")</f>
        <v>Model 3 SR+</v>
      </c>
      <c r="O1806" t="str">
        <f>IFERROR(__xludf.DUMMYFUNCTION("""COMPUTED_VALUE"""),"Midnight Silver Metallic")</f>
        <v>Midnight Silver Metallic</v>
      </c>
      <c r="P1806" t="str">
        <f>IFERROR(__xludf.DUMMYFUNCTION("""COMPUTED_VALUE"""),"18 inch Aero")</f>
        <v>18 inch Aero</v>
      </c>
      <c r="Q1806" t="str">
        <f>IFERROR(__xludf.DUMMYFUNCTION("""COMPUTED_VALUE"""),"Black seats")</f>
        <v>Black seats</v>
      </c>
      <c r="R1806" t="str">
        <f>IFERROR(__xludf.DUMMYFUNCTION("""COMPUTED_VALUE"""),"Autopilot")</f>
        <v>Autopilot</v>
      </c>
      <c r="X1806" t="str">
        <f>IFERROR(__xludf.DUMMYFUNCTION("""COMPUTED_VALUE"""),"Excellent")</f>
        <v>Excellent</v>
      </c>
      <c r="Y1806" t="str">
        <f>IFERROR(__xludf.DUMMYFUNCTION("""COMPUTED_VALUE"""),"Excellent")</f>
        <v>Excellent</v>
      </c>
      <c r="Z1806" t="str">
        <f>IFERROR(__xludf.DUMMYFUNCTION("""COMPUTED_VALUE"""),"Excellent")</f>
        <v>Excellent</v>
      </c>
      <c r="AA1806" t="str">
        <f>IFERROR(__xludf.DUMMYFUNCTION("""COMPUTED_VALUE"""),"Good")</f>
        <v>Good</v>
      </c>
      <c r="AB1806" t="str">
        <f>IFERROR(__xludf.DUMMYFUNCTION("""COMPUTED_VALUE"""),"Excellent")</f>
        <v>Excellent</v>
      </c>
      <c r="AH1806" s="189">
        <f>IFERROR(__xludf.DUMMYFUNCTION("""COMPUTED_VALUE"""),43634.77846945602)</f>
        <v>43634.77847</v>
      </c>
    </row>
    <row r="1807">
      <c r="A1807" t="str">
        <f>IFERROR(__xludf.DUMMYFUNCTION("""COMPUTED_VALUE"""),"N54")</f>
        <v>N54</v>
      </c>
      <c r="B1807" t="str">
        <f>IFERROR(__xludf.DUMMYFUNCTION("""COMPUTED_VALUE"""),"Woodbury")</f>
        <v>Woodbury</v>
      </c>
      <c r="C1807" t="str">
        <f>IFERROR(__xludf.DUMMYFUNCTION("""COMPUTED_VALUE"""),"MN")</f>
        <v>MN</v>
      </c>
      <c r="D1807" t="str">
        <f>IFERROR(__xludf.DUMMYFUNCTION("""COMPUTED_VALUE"""),"USA")</f>
        <v>USA</v>
      </c>
      <c r="E1807" s="188">
        <f>IFERROR(__xludf.DUMMYFUNCTION("""COMPUTED_VALUE"""),43609.0)</f>
        <v>43609</v>
      </c>
      <c r="F1807" s="188">
        <f>IFERROR(__xludf.DUMMYFUNCTION("""COMPUTED_VALUE"""),43621.0)</f>
        <v>43621</v>
      </c>
      <c r="J1807" s="5">
        <f>IFERROR(__xludf.DUMMYFUNCTION("""COMPUTED_VALUE"""),43628.0)</f>
        <v>43628</v>
      </c>
      <c r="K1807">
        <f>IFERROR(__xludf.DUMMYFUNCTION("""COMPUTED_VALUE"""),12.0)</f>
        <v>12</v>
      </c>
      <c r="L1807">
        <f>IFERROR(__xludf.DUMMYFUNCTION("""COMPUTED_VALUE"""),7.0)</f>
        <v>7</v>
      </c>
      <c r="M1807">
        <f>IFERROR(__xludf.DUMMYFUNCTION("""COMPUTED_VALUE"""),19.0)</f>
        <v>19</v>
      </c>
      <c r="N1807" t="str">
        <f>IFERROR(__xludf.DUMMYFUNCTION("""COMPUTED_VALUE"""),"Model 3 Performance")</f>
        <v>Model 3 Performance</v>
      </c>
      <c r="O1807" t="str">
        <f>IFERROR(__xludf.DUMMYFUNCTION("""COMPUTED_VALUE"""),"Deep Blue Metallic")</f>
        <v>Deep Blue Metallic</v>
      </c>
      <c r="P1807" t="str">
        <f>IFERROR(__xludf.DUMMYFUNCTION("""COMPUTED_VALUE"""),"20 inch Sport")</f>
        <v>20 inch Sport</v>
      </c>
      <c r="Q1807" t="str">
        <f>IFERROR(__xludf.DUMMYFUNCTION("""COMPUTED_VALUE"""),"Black seats")</f>
        <v>Black seats</v>
      </c>
      <c r="R1807" t="str">
        <f>IFERROR(__xludf.DUMMYFUNCTION("""COMPUTED_VALUE"""),"Full Self-Driving")</f>
        <v>Full Self-Driving</v>
      </c>
      <c r="X1807" t="str">
        <f>IFERROR(__xludf.DUMMYFUNCTION("""COMPUTED_VALUE"""),"Excellent")</f>
        <v>Excellent</v>
      </c>
      <c r="Y1807" t="str">
        <f>IFERROR(__xludf.DUMMYFUNCTION("""COMPUTED_VALUE"""),"Excellent")</f>
        <v>Excellent</v>
      </c>
      <c r="Z1807" t="str">
        <f>IFERROR(__xludf.DUMMYFUNCTION("""COMPUTED_VALUE"""),"Excellent")</f>
        <v>Excellent</v>
      </c>
      <c r="AA1807" t="str">
        <f>IFERROR(__xludf.DUMMYFUNCTION("""COMPUTED_VALUE"""),"Poor")</f>
        <v>Poor</v>
      </c>
      <c r="AB1807" t="str">
        <f>IFERROR(__xludf.DUMMYFUNCTION("""COMPUTED_VALUE"""),"Very Good")</f>
        <v>Very Good</v>
      </c>
      <c r="AH1807" s="189">
        <f>IFERROR(__xludf.DUMMYFUNCTION("""COMPUTED_VALUE"""),43635.32905127315)</f>
        <v>43635.32905</v>
      </c>
    </row>
    <row r="1808">
      <c r="A1808" t="str">
        <f>IFERROR(__xludf.DUMMYFUNCTION("""COMPUTED_VALUE"""),"ReactionShot")</f>
        <v>ReactionShot</v>
      </c>
      <c r="B1808" t="str">
        <f>IFERROR(__xludf.DUMMYFUNCTION("""COMPUTED_VALUE"""),"Devon")</f>
        <v>Devon</v>
      </c>
      <c r="C1808" t="str">
        <f>IFERROR(__xludf.DUMMYFUNCTION("""COMPUTED_VALUE"""),"PA")</f>
        <v>PA</v>
      </c>
      <c r="D1808" t="str">
        <f>IFERROR(__xludf.DUMMYFUNCTION("""COMPUTED_VALUE"""),"USA")</f>
        <v>USA</v>
      </c>
      <c r="E1808" s="188">
        <f>IFERROR(__xludf.DUMMYFUNCTION("""COMPUTED_VALUE"""),43618.0)</f>
        <v>43618</v>
      </c>
      <c r="F1808" s="188">
        <f>IFERROR(__xludf.DUMMYFUNCTION("""COMPUTED_VALUE"""),43628.0)</f>
        <v>43628</v>
      </c>
      <c r="H1808">
        <f>IFERROR(__xludf.DUMMYFUNCTION("""COMPUTED_VALUE"""),388855.0)</f>
        <v>388855</v>
      </c>
      <c r="J1808" s="5">
        <f>IFERROR(__xludf.DUMMYFUNCTION("""COMPUTED_VALUE"""),43633.0)</f>
        <v>43633</v>
      </c>
      <c r="K1808">
        <f>IFERROR(__xludf.DUMMYFUNCTION("""COMPUTED_VALUE"""),10.0)</f>
        <v>10</v>
      </c>
      <c r="L1808">
        <f>IFERROR(__xludf.DUMMYFUNCTION("""COMPUTED_VALUE"""),5.0)</f>
        <v>5</v>
      </c>
      <c r="M1808">
        <f>IFERROR(__xludf.DUMMYFUNCTION("""COMPUTED_VALUE"""),15.0)</f>
        <v>15</v>
      </c>
      <c r="N1808" t="str">
        <f>IFERROR(__xludf.DUMMYFUNCTION("""COMPUTED_VALUE"""),"Model 3 LR AWD")</f>
        <v>Model 3 LR AWD</v>
      </c>
      <c r="O1808" t="str">
        <f>IFERROR(__xludf.DUMMYFUNCTION("""COMPUTED_VALUE"""),"Solid Black")</f>
        <v>Solid Black</v>
      </c>
      <c r="P1808" t="str">
        <f>IFERROR(__xludf.DUMMYFUNCTION("""COMPUTED_VALUE"""),"19 inch Sport")</f>
        <v>19 inch Sport</v>
      </c>
      <c r="Q1808" t="str">
        <f>IFERROR(__xludf.DUMMYFUNCTION("""COMPUTED_VALUE"""),"Black seats")</f>
        <v>Black seats</v>
      </c>
      <c r="R1808" t="str">
        <f>IFERROR(__xludf.DUMMYFUNCTION("""COMPUTED_VALUE"""),"Autopilot")</f>
        <v>Autopilot</v>
      </c>
      <c r="X1808" t="str">
        <f>IFERROR(__xludf.DUMMYFUNCTION("""COMPUTED_VALUE"""),"Excellent")</f>
        <v>Excellent</v>
      </c>
      <c r="Y1808" t="str">
        <f>IFERROR(__xludf.DUMMYFUNCTION("""COMPUTED_VALUE"""),"Excellent")</f>
        <v>Excellent</v>
      </c>
      <c r="Z1808" t="str">
        <f>IFERROR(__xludf.DUMMYFUNCTION("""COMPUTED_VALUE"""),"Excellent")</f>
        <v>Excellent</v>
      </c>
      <c r="AA1808" t="str">
        <f>IFERROR(__xludf.DUMMYFUNCTION("""COMPUTED_VALUE"""),"Very Good")</f>
        <v>Very Good</v>
      </c>
      <c r="AB1808" t="str">
        <f>IFERROR(__xludf.DUMMYFUNCTION("""COMPUTED_VALUE"""),"Excellent")</f>
        <v>Excellent</v>
      </c>
      <c r="AC1808">
        <f>IFERROR(__xludf.DUMMYFUNCTION("""COMPUTED_VALUE"""),0.0)</f>
        <v>0</v>
      </c>
      <c r="AD1808">
        <f>IFERROR(__xludf.DUMMYFUNCTION("""COMPUTED_VALUE"""),0.0)</f>
        <v>0</v>
      </c>
      <c r="AE1808">
        <f>IFERROR(__xludf.DUMMYFUNCTION("""COMPUTED_VALUE"""),0.0)</f>
        <v>0</v>
      </c>
      <c r="AG1808" t="str">
        <f>IFERROR(__xludf.DUMMYFUNCTION("""COMPUTED_VALUE"""),"The only downside I experienced is that I have to take the model 3 to get a state inspection within 14 days.")</f>
        <v>The only downside I experienced is that I have to take the model 3 to get a state inspection within 14 days.</v>
      </c>
      <c r="AH1808" s="189">
        <f>IFERROR(__xludf.DUMMYFUNCTION("""COMPUTED_VALUE"""),43635.33503184028)</f>
        <v>43635.33503</v>
      </c>
    </row>
    <row r="1809">
      <c r="A1809" t="str">
        <f>IFERROR(__xludf.DUMMYFUNCTION("""COMPUTED_VALUE"""),"JollyJay")</f>
        <v>JollyJay</v>
      </c>
      <c r="B1809" t="str">
        <f>IFERROR(__xludf.DUMMYFUNCTION("""COMPUTED_VALUE"""),"Vancouver")</f>
        <v>Vancouver</v>
      </c>
      <c r="C1809" t="str">
        <f>IFERROR(__xludf.DUMMYFUNCTION("""COMPUTED_VALUE"""),"BC")</f>
        <v>BC</v>
      </c>
      <c r="D1809" t="str">
        <f>IFERROR(__xludf.DUMMYFUNCTION("""COMPUTED_VALUE"""),"Canada")</f>
        <v>Canada</v>
      </c>
      <c r="E1809" s="188">
        <f>IFERROR(__xludf.DUMMYFUNCTION("""COMPUTED_VALUE"""),43588.0)</f>
        <v>43588</v>
      </c>
      <c r="F1809" s="188">
        <f>IFERROR(__xludf.DUMMYFUNCTION("""COMPUTED_VALUE"""),43603.0)</f>
        <v>43603</v>
      </c>
      <c r="H1809">
        <f>IFERROR(__xludf.DUMMYFUNCTION("""COMPUTED_VALUE"""),397055.0)</f>
        <v>397055</v>
      </c>
      <c r="I1809" t="str">
        <f>IFERROR(__xludf.DUMMYFUNCTION("""COMPUTED_VALUE"""),"05/19")</f>
        <v>05/19</v>
      </c>
      <c r="J1809" s="5">
        <f>IFERROR(__xludf.DUMMYFUNCTION("""COMPUTED_VALUE"""),43624.0)</f>
        <v>43624</v>
      </c>
      <c r="K1809">
        <f>IFERROR(__xludf.DUMMYFUNCTION("""COMPUTED_VALUE"""),15.0)</f>
        <v>15</v>
      </c>
      <c r="L1809">
        <f>IFERROR(__xludf.DUMMYFUNCTION("""COMPUTED_VALUE"""),21.0)</f>
        <v>21</v>
      </c>
      <c r="M1809">
        <f>IFERROR(__xludf.DUMMYFUNCTION("""COMPUTED_VALUE"""),36.0)</f>
        <v>36</v>
      </c>
      <c r="N1809" t="str">
        <f>IFERROR(__xludf.DUMMYFUNCTION("""COMPUTED_VALUE"""),"Model 3 SR+")</f>
        <v>Model 3 SR+</v>
      </c>
      <c r="O1809" t="str">
        <f>IFERROR(__xludf.DUMMYFUNCTION("""COMPUTED_VALUE"""),"Pearl White Multi-Coat")</f>
        <v>Pearl White Multi-Coat</v>
      </c>
      <c r="P1809" t="str">
        <f>IFERROR(__xludf.DUMMYFUNCTION("""COMPUTED_VALUE"""),"18 inch Aero")</f>
        <v>18 inch Aero</v>
      </c>
      <c r="Q1809" t="str">
        <f>IFERROR(__xludf.DUMMYFUNCTION("""COMPUTED_VALUE"""),"Black seats")</f>
        <v>Black seats</v>
      </c>
      <c r="R1809" t="str">
        <f>IFERROR(__xludf.DUMMYFUNCTION("""COMPUTED_VALUE"""),"Full Self-Driving")</f>
        <v>Full Self-Driving</v>
      </c>
      <c r="X1809" t="str">
        <f>IFERROR(__xludf.DUMMYFUNCTION("""COMPUTED_VALUE"""),"Excellent")</f>
        <v>Excellent</v>
      </c>
      <c r="Y1809" t="str">
        <f>IFERROR(__xludf.DUMMYFUNCTION("""COMPUTED_VALUE"""),"Excellent")</f>
        <v>Excellent</v>
      </c>
      <c r="Z1809" t="str">
        <f>IFERROR(__xludf.DUMMYFUNCTION("""COMPUTED_VALUE"""),"Excellent")</f>
        <v>Excellent</v>
      </c>
      <c r="AA1809" t="str">
        <f>IFERROR(__xludf.DUMMYFUNCTION("""COMPUTED_VALUE"""),"Excellent")</f>
        <v>Excellent</v>
      </c>
      <c r="AB1809" t="str">
        <f>IFERROR(__xludf.DUMMYFUNCTION("""COMPUTED_VALUE"""),"Excellent")</f>
        <v>Excellent</v>
      </c>
      <c r="AC1809">
        <f>IFERROR(__xludf.DUMMYFUNCTION("""COMPUTED_VALUE"""),0.0)</f>
        <v>0</v>
      </c>
      <c r="AD1809">
        <f>IFERROR(__xludf.DUMMYFUNCTION("""COMPUTED_VALUE"""),0.0)</f>
        <v>0</v>
      </c>
      <c r="AE1809">
        <f>IFERROR(__xludf.DUMMYFUNCTION("""COMPUTED_VALUE"""),0.0)</f>
        <v>0</v>
      </c>
      <c r="AH1809" s="189">
        <f>IFERROR(__xludf.DUMMYFUNCTION("""COMPUTED_VALUE"""),43635.40526339121)</f>
        <v>43635.40526</v>
      </c>
    </row>
    <row r="1810">
      <c r="A1810" t="str">
        <f>IFERROR(__xludf.DUMMYFUNCTION("""COMPUTED_VALUE"""),"dmungin")</f>
        <v>dmungin</v>
      </c>
      <c r="B1810" t="str">
        <f>IFERROR(__xludf.DUMMYFUNCTION("""COMPUTED_VALUE"""),"Cincinnati")</f>
        <v>Cincinnati</v>
      </c>
      <c r="C1810" t="str">
        <f>IFERROR(__xludf.DUMMYFUNCTION("""COMPUTED_VALUE"""),"OH")</f>
        <v>OH</v>
      </c>
      <c r="D1810" t="str">
        <f>IFERROR(__xludf.DUMMYFUNCTION("""COMPUTED_VALUE"""),"USA")</f>
        <v>USA</v>
      </c>
      <c r="E1810" s="188">
        <f>IFERROR(__xludf.DUMMYFUNCTION("""COMPUTED_VALUE"""),43622.0)</f>
        <v>43622</v>
      </c>
      <c r="F1810" s="188">
        <f>IFERROR(__xludf.DUMMYFUNCTION("""COMPUTED_VALUE"""),43629.0)</f>
        <v>43629</v>
      </c>
      <c r="H1810" s="4">
        <f>IFERROR(__xludf.DUMMYFUNCTION("""COMPUTED_VALUE"""),386601.0)</f>
        <v>386601</v>
      </c>
      <c r="J1810" s="5">
        <f>IFERROR(__xludf.DUMMYFUNCTION("""COMPUTED_VALUE"""),43636.0)</f>
        <v>43636</v>
      </c>
      <c r="K1810">
        <f>IFERROR(__xludf.DUMMYFUNCTION("""COMPUTED_VALUE"""),7.0)</f>
        <v>7</v>
      </c>
      <c r="L1810">
        <f>IFERROR(__xludf.DUMMYFUNCTION("""COMPUTED_VALUE"""),7.0)</f>
        <v>7</v>
      </c>
      <c r="M1810">
        <f>IFERROR(__xludf.DUMMYFUNCTION("""COMPUTED_VALUE"""),14.0)</f>
        <v>14</v>
      </c>
      <c r="N1810" t="str">
        <f>IFERROR(__xludf.DUMMYFUNCTION("""COMPUTED_VALUE"""),"Model 3 LR AWD")</f>
        <v>Model 3 LR AWD</v>
      </c>
      <c r="O1810" t="str">
        <f>IFERROR(__xludf.DUMMYFUNCTION("""COMPUTED_VALUE"""),"Midnight Silver Metallic")</f>
        <v>Midnight Silver Metallic</v>
      </c>
      <c r="P1810" t="str">
        <f>IFERROR(__xludf.DUMMYFUNCTION("""COMPUTED_VALUE"""),"18 inch Aero")</f>
        <v>18 inch Aero</v>
      </c>
      <c r="Q1810" t="str">
        <f>IFERROR(__xludf.DUMMYFUNCTION("""COMPUTED_VALUE"""),"Black seats")</f>
        <v>Black seats</v>
      </c>
      <c r="R1810" t="str">
        <f>IFERROR(__xludf.DUMMYFUNCTION("""COMPUTED_VALUE"""),"Autopilot")</f>
        <v>Autopilot</v>
      </c>
      <c r="X1810" t="str">
        <f>IFERROR(__xludf.DUMMYFUNCTION("""COMPUTED_VALUE"""),"Good")</f>
        <v>Good</v>
      </c>
      <c r="Y1810" t="str">
        <f>IFERROR(__xludf.DUMMYFUNCTION("""COMPUTED_VALUE"""),"Excellent")</f>
        <v>Excellent</v>
      </c>
      <c r="Z1810" t="str">
        <f>IFERROR(__xludf.DUMMYFUNCTION("""COMPUTED_VALUE"""),"Good")</f>
        <v>Good</v>
      </c>
      <c r="AA1810" t="str">
        <f>IFERROR(__xludf.DUMMYFUNCTION("""COMPUTED_VALUE"""),"Excellent")</f>
        <v>Excellent</v>
      </c>
      <c r="AB1810" t="str">
        <f>IFERROR(__xludf.DUMMYFUNCTION("""COMPUTED_VALUE"""),"Excellent")</f>
        <v>Excellent</v>
      </c>
      <c r="AC1810">
        <f>IFERROR(__xludf.DUMMYFUNCTION("""COMPUTED_VALUE"""),1.0)</f>
        <v>1</v>
      </c>
      <c r="AD1810">
        <f>IFERROR(__xludf.DUMMYFUNCTION("""COMPUTED_VALUE"""),1.0)</f>
        <v>1</v>
      </c>
      <c r="AE1810">
        <f>IFERROR(__xludf.DUMMYFUNCTION("""COMPUTED_VALUE"""),3.0)</f>
        <v>3</v>
      </c>
      <c r="AH1810" s="189">
        <f>IFERROR(__xludf.DUMMYFUNCTION("""COMPUTED_VALUE"""),43635.522905590275)</f>
        <v>43635.52291</v>
      </c>
    </row>
    <row r="1811">
      <c r="A1811" t="str">
        <f>IFERROR(__xludf.DUMMYFUNCTION("""COMPUTED_VALUE"""),"lax1mxb")</f>
        <v>lax1mxb</v>
      </c>
      <c r="B1811" t="str">
        <f>IFERROR(__xludf.DUMMYFUNCTION("""COMPUTED_VALUE"""),"La Mirada")</f>
        <v>La Mirada</v>
      </c>
      <c r="C1811" t="str">
        <f>IFERROR(__xludf.DUMMYFUNCTION("""COMPUTED_VALUE"""),"CA")</f>
        <v>CA</v>
      </c>
      <c r="D1811" t="str">
        <f>IFERROR(__xludf.DUMMYFUNCTION("""COMPUTED_VALUE"""),"USA")</f>
        <v>USA</v>
      </c>
      <c r="E1811" s="188">
        <f>IFERROR(__xludf.DUMMYFUNCTION("""COMPUTED_VALUE"""),43612.0)</f>
        <v>43612</v>
      </c>
      <c r="F1811" s="188">
        <f>IFERROR(__xludf.DUMMYFUNCTION("""COMPUTED_VALUE"""),43630.0)</f>
        <v>43630</v>
      </c>
      <c r="H1811">
        <f>IFERROR(__xludf.DUMMYFUNCTION("""COMPUTED_VALUE"""),337755.0)</f>
        <v>337755</v>
      </c>
      <c r="I1811" t="str">
        <f>IFERROR(__xludf.DUMMYFUNCTION("""COMPUTED_VALUE"""),"06/19")</f>
        <v>06/19</v>
      </c>
      <c r="J1811" s="5">
        <f>IFERROR(__xludf.DUMMYFUNCTION("""COMPUTED_VALUE"""),43634.0)</f>
        <v>43634</v>
      </c>
      <c r="K1811">
        <f>IFERROR(__xludf.DUMMYFUNCTION("""COMPUTED_VALUE"""),18.0)</f>
        <v>18</v>
      </c>
      <c r="L1811">
        <f>IFERROR(__xludf.DUMMYFUNCTION("""COMPUTED_VALUE"""),4.0)</f>
        <v>4</v>
      </c>
      <c r="M1811">
        <f>IFERROR(__xludf.DUMMYFUNCTION("""COMPUTED_VALUE"""),22.0)</f>
        <v>22</v>
      </c>
      <c r="N1811" t="str">
        <f>IFERROR(__xludf.DUMMYFUNCTION("""COMPUTED_VALUE"""),"Model 3 LR")</f>
        <v>Model 3 LR</v>
      </c>
      <c r="O1811" t="str">
        <f>IFERROR(__xludf.DUMMYFUNCTION("""COMPUTED_VALUE"""),"Solid Black")</f>
        <v>Solid Black</v>
      </c>
      <c r="P1811" t="str">
        <f>IFERROR(__xludf.DUMMYFUNCTION("""COMPUTED_VALUE"""),"19 inch Sport")</f>
        <v>19 inch Sport</v>
      </c>
      <c r="Q1811" t="str">
        <f>IFERROR(__xludf.DUMMYFUNCTION("""COMPUTED_VALUE"""),"Black seats")</f>
        <v>Black seats</v>
      </c>
      <c r="R1811" t="str">
        <f>IFERROR(__xludf.DUMMYFUNCTION("""COMPUTED_VALUE"""),"Full Self-Driving")</f>
        <v>Full Self-Driving</v>
      </c>
      <c r="X1811" t="str">
        <f>IFERROR(__xludf.DUMMYFUNCTION("""COMPUTED_VALUE"""),"Very Good")</f>
        <v>Very Good</v>
      </c>
      <c r="Y1811" t="str">
        <f>IFERROR(__xludf.DUMMYFUNCTION("""COMPUTED_VALUE"""),"Excellent")</f>
        <v>Excellent</v>
      </c>
      <c r="Z1811" t="str">
        <f>IFERROR(__xludf.DUMMYFUNCTION("""COMPUTED_VALUE"""),"Excellent")</f>
        <v>Excellent</v>
      </c>
      <c r="AA1811" t="str">
        <f>IFERROR(__xludf.DUMMYFUNCTION("""COMPUTED_VALUE"""),"Excellent")</f>
        <v>Excellent</v>
      </c>
      <c r="AB1811" t="str">
        <f>IFERROR(__xludf.DUMMYFUNCTION("""COMPUTED_VALUE"""),"Excellent")</f>
        <v>Excellent</v>
      </c>
      <c r="AC1811">
        <f>IFERROR(__xludf.DUMMYFUNCTION("""COMPUTED_VALUE"""),1.0)</f>
        <v>1</v>
      </c>
      <c r="AD1811">
        <f>IFERROR(__xludf.DUMMYFUNCTION("""COMPUTED_VALUE"""),0.0)</f>
        <v>0</v>
      </c>
      <c r="AE1811">
        <f>IFERROR(__xludf.DUMMYFUNCTION("""COMPUTED_VALUE"""),0.0)</f>
        <v>0</v>
      </c>
      <c r="AH1811" s="189">
        <f>IFERROR(__xludf.DUMMYFUNCTION("""COMPUTED_VALUE"""),43636.29206644676)</f>
        <v>43636.29207</v>
      </c>
    </row>
    <row r="1812">
      <c r="A1812" t="str">
        <f>IFERROR(__xludf.DUMMYFUNCTION("""COMPUTED_VALUE"""),"Krisher")</f>
        <v>Krisher</v>
      </c>
      <c r="C1812" t="str">
        <f>IFERROR(__xludf.DUMMYFUNCTION("""COMPUTED_VALUE"""),"CT")</f>
        <v>CT</v>
      </c>
      <c r="D1812" t="str">
        <f>IFERROR(__xludf.DUMMYFUNCTION("""COMPUTED_VALUE"""),"USA")</f>
        <v>USA</v>
      </c>
      <c r="E1812" s="188">
        <f>IFERROR(__xludf.DUMMYFUNCTION("""COMPUTED_VALUE"""),43580.0)</f>
        <v>43580</v>
      </c>
      <c r="F1812" s="188">
        <f>IFERROR(__xludf.DUMMYFUNCTION("""COMPUTED_VALUE"""),43620.0)</f>
        <v>43620</v>
      </c>
      <c r="H1812">
        <f>IFERROR(__xludf.DUMMYFUNCTION("""COMPUTED_VALUE"""),413755.0)</f>
        <v>413755</v>
      </c>
      <c r="J1812" s="5">
        <f>IFERROR(__xludf.DUMMYFUNCTION("""COMPUTED_VALUE"""),43627.0)</f>
        <v>43627</v>
      </c>
      <c r="K1812">
        <f>IFERROR(__xludf.DUMMYFUNCTION("""COMPUTED_VALUE"""),40.0)</f>
        <v>40</v>
      </c>
      <c r="L1812">
        <f>IFERROR(__xludf.DUMMYFUNCTION("""COMPUTED_VALUE"""),7.0)</f>
        <v>7</v>
      </c>
      <c r="M1812">
        <f>IFERROR(__xludf.DUMMYFUNCTION("""COMPUTED_VALUE"""),47.0)</f>
        <v>47</v>
      </c>
      <c r="N1812" t="str">
        <f>IFERROR(__xludf.DUMMYFUNCTION("""COMPUTED_VALUE"""),"Model 3 Performance")</f>
        <v>Model 3 Performance</v>
      </c>
      <c r="O1812" t="str">
        <f>IFERROR(__xludf.DUMMYFUNCTION("""COMPUTED_VALUE"""),"Pearl White Multi-Coat")</f>
        <v>Pearl White Multi-Coat</v>
      </c>
      <c r="P1812" t="str">
        <f>IFERROR(__xludf.DUMMYFUNCTION("""COMPUTED_VALUE"""),"20 inch Sport")</f>
        <v>20 inch Sport</v>
      </c>
      <c r="Q1812" t="str">
        <f>IFERROR(__xludf.DUMMYFUNCTION("""COMPUTED_VALUE"""),"White seats")</f>
        <v>White seats</v>
      </c>
      <c r="R1812" t="str">
        <f>IFERROR(__xludf.DUMMYFUNCTION("""COMPUTED_VALUE"""),"Full Self-Driving")</f>
        <v>Full Self-Driving</v>
      </c>
      <c r="X1812" t="str">
        <f>IFERROR(__xludf.DUMMYFUNCTION("""COMPUTED_VALUE"""),"Excellent")</f>
        <v>Excellent</v>
      </c>
      <c r="Y1812" t="str">
        <f>IFERROR(__xludf.DUMMYFUNCTION("""COMPUTED_VALUE"""),"Excellent")</f>
        <v>Excellent</v>
      </c>
      <c r="Z1812" t="str">
        <f>IFERROR(__xludf.DUMMYFUNCTION("""COMPUTED_VALUE"""),"Good")</f>
        <v>Good</v>
      </c>
      <c r="AA1812" t="str">
        <f>IFERROR(__xludf.DUMMYFUNCTION("""COMPUTED_VALUE"""),"Fair")</f>
        <v>Fair</v>
      </c>
      <c r="AB1812" t="str">
        <f>IFERROR(__xludf.DUMMYFUNCTION("""COMPUTED_VALUE"""),"Good")</f>
        <v>Good</v>
      </c>
      <c r="AG1812" t="str">
        <f>IFERROR(__xludf.DUMMYFUNCTION("""COMPUTED_VALUE"""),"Front bumper was damaged during delivery, replaced bumper.")</f>
        <v>Front bumper was damaged during delivery, replaced bumper.</v>
      </c>
      <c r="AH1812" s="189">
        <f>IFERROR(__xludf.DUMMYFUNCTION("""COMPUTED_VALUE"""),43636.33153984953)</f>
        <v>43636.33154</v>
      </c>
    </row>
    <row r="1813">
      <c r="A1813" t="str">
        <f>IFERROR(__xludf.DUMMYFUNCTION("""COMPUTED_VALUE"""),"FoopedAgain")</f>
        <v>FoopedAgain</v>
      </c>
      <c r="B1813" t="str">
        <f>IFERROR(__xludf.DUMMYFUNCTION("""COMPUTED_VALUE"""),"Brookfield")</f>
        <v>Brookfield</v>
      </c>
      <c r="C1813" t="str">
        <f>IFERROR(__xludf.DUMMYFUNCTION("""COMPUTED_VALUE"""),"WI")</f>
        <v>WI</v>
      </c>
      <c r="D1813" t="str">
        <f>IFERROR(__xludf.DUMMYFUNCTION("""COMPUTED_VALUE"""),"USA")</f>
        <v>USA</v>
      </c>
      <c r="E1813" s="188">
        <f>IFERROR(__xludf.DUMMYFUNCTION("""COMPUTED_VALUE"""),43620.0)</f>
        <v>43620</v>
      </c>
      <c r="F1813" s="188">
        <f>IFERROR(__xludf.DUMMYFUNCTION("""COMPUTED_VALUE"""),43629.0)</f>
        <v>43629</v>
      </c>
      <c r="H1813">
        <f>IFERROR(__xludf.DUMMYFUNCTION("""COMPUTED_VALUE"""),395569.0)</f>
        <v>395569</v>
      </c>
      <c r="I1813" t="str">
        <f>IFERROR(__xludf.DUMMYFUNCTION("""COMPUTED_VALUE"""),"06/19")</f>
        <v>06/19</v>
      </c>
      <c r="J1813" s="5">
        <f>IFERROR(__xludf.DUMMYFUNCTION("""COMPUTED_VALUE"""),43636.0)</f>
        <v>43636</v>
      </c>
      <c r="K1813">
        <f>IFERROR(__xludf.DUMMYFUNCTION("""COMPUTED_VALUE"""),9.0)</f>
        <v>9</v>
      </c>
      <c r="L1813">
        <f>IFERROR(__xludf.DUMMYFUNCTION("""COMPUTED_VALUE"""),7.0)</f>
        <v>7</v>
      </c>
      <c r="M1813">
        <f>IFERROR(__xludf.DUMMYFUNCTION("""COMPUTED_VALUE"""),16.0)</f>
        <v>16</v>
      </c>
      <c r="N1813" t="str">
        <f>IFERROR(__xludf.DUMMYFUNCTION("""COMPUTED_VALUE"""),"Model 3 SR+")</f>
        <v>Model 3 SR+</v>
      </c>
      <c r="O1813" t="str">
        <f>IFERROR(__xludf.DUMMYFUNCTION("""COMPUTED_VALUE"""),"Solid Black")</f>
        <v>Solid Black</v>
      </c>
      <c r="P1813" t="str">
        <f>IFERROR(__xludf.DUMMYFUNCTION("""COMPUTED_VALUE"""),"18 inch Aero")</f>
        <v>18 inch Aero</v>
      </c>
      <c r="Q1813" t="str">
        <f>IFERROR(__xludf.DUMMYFUNCTION("""COMPUTED_VALUE"""),"Black seats")</f>
        <v>Black seats</v>
      </c>
      <c r="R1813" t="str">
        <f>IFERROR(__xludf.DUMMYFUNCTION("""COMPUTED_VALUE"""),"Full Self-Driving")</f>
        <v>Full Self-Driving</v>
      </c>
      <c r="X1813" t="str">
        <f>IFERROR(__xludf.DUMMYFUNCTION("""COMPUTED_VALUE"""),"Good")</f>
        <v>Good</v>
      </c>
      <c r="Y1813" t="str">
        <f>IFERROR(__xludf.DUMMYFUNCTION("""COMPUTED_VALUE"""),"Excellent")</f>
        <v>Excellent</v>
      </c>
      <c r="Z1813" t="str">
        <f>IFERROR(__xludf.DUMMYFUNCTION("""COMPUTED_VALUE"""),"Very Good")</f>
        <v>Very Good</v>
      </c>
      <c r="AA1813" t="str">
        <f>IFERROR(__xludf.DUMMYFUNCTION("""COMPUTED_VALUE"""),"Fair")</f>
        <v>Fair</v>
      </c>
      <c r="AB1813" t="str">
        <f>IFERROR(__xludf.DUMMYFUNCTION("""COMPUTED_VALUE"""),"Fair")</f>
        <v>Fair</v>
      </c>
      <c r="AH1813" s="189">
        <f>IFERROR(__xludf.DUMMYFUNCTION("""COMPUTED_VALUE"""),43636.35881019676)</f>
        <v>43636.35881</v>
      </c>
    </row>
    <row r="1814">
      <c r="A1814" t="str">
        <f>IFERROR(__xludf.DUMMYFUNCTION("""COMPUTED_VALUE"""),"jc22zhao")</f>
        <v>jc22zhao</v>
      </c>
      <c r="B1814" t="str">
        <f>IFERROR(__xludf.DUMMYFUNCTION("""COMPUTED_VALUE"""),"Toronto")</f>
        <v>Toronto</v>
      </c>
      <c r="C1814" t="str">
        <f>IFERROR(__xludf.DUMMYFUNCTION("""COMPUTED_VALUE"""),"ON")</f>
        <v>ON</v>
      </c>
      <c r="D1814" t="str">
        <f>IFERROR(__xludf.DUMMYFUNCTION("""COMPUTED_VALUE"""),"Canada")</f>
        <v>Canada</v>
      </c>
      <c r="E1814" s="188">
        <f>IFERROR(__xludf.DUMMYFUNCTION("""COMPUTED_VALUE"""),43590.0)</f>
        <v>43590</v>
      </c>
      <c r="F1814" s="188">
        <f>IFERROR(__xludf.DUMMYFUNCTION("""COMPUTED_VALUE"""),43634.0)</f>
        <v>43634</v>
      </c>
      <c r="H1814">
        <f>IFERROR(__xludf.DUMMYFUNCTION("""COMPUTED_VALUE"""),418895.0)</f>
        <v>418895</v>
      </c>
      <c r="I1814" t="str">
        <f>IFERROR(__xludf.DUMMYFUNCTION("""COMPUTED_VALUE"""),"05/19")</f>
        <v>05/19</v>
      </c>
      <c r="J1814" s="5">
        <f>IFERROR(__xludf.DUMMYFUNCTION("""COMPUTED_VALUE"""),43634.0)</f>
        <v>43634</v>
      </c>
      <c r="K1814">
        <f>IFERROR(__xludf.DUMMYFUNCTION("""COMPUTED_VALUE"""),44.0)</f>
        <v>44</v>
      </c>
      <c r="L1814">
        <f>IFERROR(__xludf.DUMMYFUNCTION("""COMPUTED_VALUE"""),0.0)</f>
        <v>0</v>
      </c>
      <c r="M1814">
        <f>IFERROR(__xludf.DUMMYFUNCTION("""COMPUTED_VALUE"""),44.0)</f>
        <v>44</v>
      </c>
      <c r="N1814" t="str">
        <f>IFERROR(__xludf.DUMMYFUNCTION("""COMPUTED_VALUE"""),"Model 3 SR+")</f>
        <v>Model 3 SR+</v>
      </c>
      <c r="O1814" t="str">
        <f>IFERROR(__xludf.DUMMYFUNCTION("""COMPUTED_VALUE"""),"Solid Black")</f>
        <v>Solid Black</v>
      </c>
      <c r="P1814" t="str">
        <f>IFERROR(__xludf.DUMMYFUNCTION("""COMPUTED_VALUE"""),"18 inch Aero")</f>
        <v>18 inch Aero</v>
      </c>
      <c r="Q1814" t="str">
        <f>IFERROR(__xludf.DUMMYFUNCTION("""COMPUTED_VALUE"""),"Black seats")</f>
        <v>Black seats</v>
      </c>
      <c r="R1814" t="str">
        <f>IFERROR(__xludf.DUMMYFUNCTION("""COMPUTED_VALUE"""),"Full Self-Driving")</f>
        <v>Full Self-Driving</v>
      </c>
      <c r="X1814" t="str">
        <f>IFERROR(__xludf.DUMMYFUNCTION("""COMPUTED_VALUE"""),"Excellent")</f>
        <v>Excellent</v>
      </c>
      <c r="Y1814" t="str">
        <f>IFERROR(__xludf.DUMMYFUNCTION("""COMPUTED_VALUE"""),"Very Good")</f>
        <v>Very Good</v>
      </c>
      <c r="Z1814" t="str">
        <f>IFERROR(__xludf.DUMMYFUNCTION("""COMPUTED_VALUE"""),"Very Good")</f>
        <v>Very Good</v>
      </c>
      <c r="AA1814" t="str">
        <f>IFERROR(__xludf.DUMMYFUNCTION("""COMPUTED_VALUE"""),"Fair")</f>
        <v>Fair</v>
      </c>
      <c r="AB1814" t="str">
        <f>IFERROR(__xludf.DUMMYFUNCTION("""COMPUTED_VALUE"""),"Excellent")</f>
        <v>Excellent</v>
      </c>
      <c r="AC1814">
        <f>IFERROR(__xludf.DUMMYFUNCTION("""COMPUTED_VALUE"""),1.0)</f>
        <v>1</v>
      </c>
      <c r="AH1814" s="189">
        <f>IFERROR(__xludf.DUMMYFUNCTION("""COMPUTED_VALUE"""),43636.36420703704)</f>
        <v>43636.36421</v>
      </c>
    </row>
    <row r="1815">
      <c r="A1815" t="str">
        <f>IFERROR(__xludf.DUMMYFUNCTION("""COMPUTED_VALUE"""),"mikeyvr")</f>
        <v>mikeyvr</v>
      </c>
      <c r="B1815" t="str">
        <f>IFERROR(__xludf.DUMMYFUNCTION("""COMPUTED_VALUE"""),"vancouver")</f>
        <v>vancouver</v>
      </c>
      <c r="C1815" t="str">
        <f>IFERROR(__xludf.DUMMYFUNCTION("""COMPUTED_VALUE"""),"BC")</f>
        <v>BC</v>
      </c>
      <c r="D1815" t="str">
        <f>IFERROR(__xludf.DUMMYFUNCTION("""COMPUTED_VALUE"""),"Canada")</f>
        <v>Canada</v>
      </c>
      <c r="E1815" s="188">
        <f>IFERROR(__xludf.DUMMYFUNCTION("""COMPUTED_VALUE"""),43610.0)</f>
        <v>43610</v>
      </c>
      <c r="F1815" s="188">
        <f>IFERROR(__xludf.DUMMYFUNCTION("""COMPUTED_VALUE"""),43627.0)</f>
        <v>43627</v>
      </c>
      <c r="H1815">
        <f>IFERROR(__xludf.DUMMYFUNCTION("""COMPUTED_VALUE"""),414155.0)</f>
        <v>414155</v>
      </c>
      <c r="J1815" s="5">
        <f>IFERROR(__xludf.DUMMYFUNCTION("""COMPUTED_VALUE"""),43634.0)</f>
        <v>43634</v>
      </c>
      <c r="K1815">
        <f>IFERROR(__xludf.DUMMYFUNCTION("""COMPUTED_VALUE"""),17.0)</f>
        <v>17</v>
      </c>
      <c r="L1815">
        <f>IFERROR(__xludf.DUMMYFUNCTION("""COMPUTED_VALUE"""),7.0)</f>
        <v>7</v>
      </c>
      <c r="M1815">
        <f>IFERROR(__xludf.DUMMYFUNCTION("""COMPUTED_VALUE"""),24.0)</f>
        <v>24</v>
      </c>
      <c r="N1815" t="str">
        <f>IFERROR(__xludf.DUMMYFUNCTION("""COMPUTED_VALUE"""),"Model 3 SR+")</f>
        <v>Model 3 SR+</v>
      </c>
      <c r="O1815" t="str">
        <f>IFERROR(__xludf.DUMMYFUNCTION("""COMPUTED_VALUE"""),"Solid Black")</f>
        <v>Solid Black</v>
      </c>
      <c r="P1815" t="str">
        <f>IFERROR(__xludf.DUMMYFUNCTION("""COMPUTED_VALUE"""),"18 inch Aero")</f>
        <v>18 inch Aero</v>
      </c>
      <c r="Q1815" t="str">
        <f>IFERROR(__xludf.DUMMYFUNCTION("""COMPUTED_VALUE"""),"Black seats")</f>
        <v>Black seats</v>
      </c>
      <c r="R1815" t="str">
        <f>IFERROR(__xludf.DUMMYFUNCTION("""COMPUTED_VALUE"""),"Autopilot")</f>
        <v>Autopilot</v>
      </c>
      <c r="X1815" t="str">
        <f>IFERROR(__xludf.DUMMYFUNCTION("""COMPUTED_VALUE"""),"Very Good")</f>
        <v>Very Good</v>
      </c>
      <c r="Y1815" t="str">
        <f>IFERROR(__xludf.DUMMYFUNCTION("""COMPUTED_VALUE"""),"Very Good")</f>
        <v>Very Good</v>
      </c>
      <c r="Z1815" t="str">
        <f>IFERROR(__xludf.DUMMYFUNCTION("""COMPUTED_VALUE"""),"Very Good")</f>
        <v>Very Good</v>
      </c>
      <c r="AA1815" t="str">
        <f>IFERROR(__xludf.DUMMYFUNCTION("""COMPUTED_VALUE"""),"Very Good")</f>
        <v>Very Good</v>
      </c>
      <c r="AB1815" t="str">
        <f>IFERROR(__xludf.DUMMYFUNCTION("""COMPUTED_VALUE"""),"Very Good")</f>
        <v>Very Good</v>
      </c>
      <c r="AH1815" s="189">
        <f>IFERROR(__xludf.DUMMYFUNCTION("""COMPUTED_VALUE"""),43636.62075991898)</f>
        <v>43636.62076</v>
      </c>
    </row>
    <row r="1816">
      <c r="A1816" t="str">
        <f>IFERROR(__xludf.DUMMYFUNCTION("""COMPUTED_VALUE"""),"Time0ut")</f>
        <v>Time0ut</v>
      </c>
      <c r="B1816" t="str">
        <f>IFERROR(__xludf.DUMMYFUNCTION("""COMPUTED_VALUE"""),"Austin")</f>
        <v>Austin</v>
      </c>
      <c r="C1816" t="str">
        <f>IFERROR(__xludf.DUMMYFUNCTION("""COMPUTED_VALUE"""),"TX")</f>
        <v>TX</v>
      </c>
      <c r="D1816" t="str">
        <f>IFERROR(__xludf.DUMMYFUNCTION("""COMPUTED_VALUE"""),"USA")</f>
        <v>USA</v>
      </c>
      <c r="E1816" s="188">
        <f>IFERROR(__xludf.DUMMYFUNCTION("""COMPUTED_VALUE"""),43621.0)</f>
        <v>43621</v>
      </c>
      <c r="F1816" s="188">
        <f>IFERROR(__xludf.DUMMYFUNCTION("""COMPUTED_VALUE"""),43628.0)</f>
        <v>43628</v>
      </c>
      <c r="H1816">
        <f>IFERROR(__xludf.DUMMYFUNCTION("""COMPUTED_VALUE"""),391055.0)</f>
        <v>391055</v>
      </c>
      <c r="J1816" s="5">
        <f>IFERROR(__xludf.DUMMYFUNCTION("""COMPUTED_VALUE"""),43635.0)</f>
        <v>43635</v>
      </c>
      <c r="K1816">
        <f>IFERROR(__xludf.DUMMYFUNCTION("""COMPUTED_VALUE"""),7.0)</f>
        <v>7</v>
      </c>
      <c r="L1816">
        <f>IFERROR(__xludf.DUMMYFUNCTION("""COMPUTED_VALUE"""),7.0)</f>
        <v>7</v>
      </c>
      <c r="M1816">
        <f>IFERROR(__xludf.DUMMYFUNCTION("""COMPUTED_VALUE"""),14.0)</f>
        <v>14</v>
      </c>
      <c r="N1816" t="str">
        <f>IFERROR(__xludf.DUMMYFUNCTION("""COMPUTED_VALUE"""),"Model 3 LR AWD")</f>
        <v>Model 3 LR AWD</v>
      </c>
      <c r="O1816" t="str">
        <f>IFERROR(__xludf.DUMMYFUNCTION("""COMPUTED_VALUE"""),"Deep Blue Metallic")</f>
        <v>Deep Blue Metallic</v>
      </c>
      <c r="P1816" t="str">
        <f>IFERROR(__xludf.DUMMYFUNCTION("""COMPUTED_VALUE"""),"18 inch Aero")</f>
        <v>18 inch Aero</v>
      </c>
      <c r="Q1816" t="str">
        <f>IFERROR(__xludf.DUMMYFUNCTION("""COMPUTED_VALUE"""),"White seats")</f>
        <v>White seats</v>
      </c>
      <c r="R1816" t="str">
        <f>IFERROR(__xludf.DUMMYFUNCTION("""COMPUTED_VALUE"""),"Autopilot")</f>
        <v>Autopilot</v>
      </c>
      <c r="X1816" t="str">
        <f>IFERROR(__xludf.DUMMYFUNCTION("""COMPUTED_VALUE"""),"Excellent")</f>
        <v>Excellent</v>
      </c>
      <c r="Y1816" t="str">
        <f>IFERROR(__xludf.DUMMYFUNCTION("""COMPUTED_VALUE"""),"Excellent")</f>
        <v>Excellent</v>
      </c>
      <c r="Z1816" t="str">
        <f>IFERROR(__xludf.DUMMYFUNCTION("""COMPUTED_VALUE"""),"Excellent")</f>
        <v>Excellent</v>
      </c>
      <c r="AA1816" t="str">
        <f>IFERROR(__xludf.DUMMYFUNCTION("""COMPUTED_VALUE"""),"Excellent")</f>
        <v>Excellent</v>
      </c>
      <c r="AB1816" t="str">
        <f>IFERROR(__xludf.DUMMYFUNCTION("""COMPUTED_VALUE"""),"Excellent")</f>
        <v>Excellent</v>
      </c>
      <c r="AG1816" t="str">
        <f>IFERROR(__xludf.DUMMYFUNCTION("""COMPUTED_VALUE"""),"Included HW3 and Homelink")</f>
        <v>Included HW3 and Homelink</v>
      </c>
      <c r="AH1816" s="189">
        <f>IFERROR(__xludf.DUMMYFUNCTION("""COMPUTED_VALUE"""),43637.19429351852)</f>
        <v>43637.19429</v>
      </c>
    </row>
    <row r="1817">
      <c r="A1817" t="str">
        <f>IFERROR(__xludf.DUMMYFUNCTION("""COMPUTED_VALUE"""),"Makandy")</f>
        <v>Makandy</v>
      </c>
      <c r="B1817" t="str">
        <f>IFERROR(__xludf.DUMMYFUNCTION("""COMPUTED_VALUE"""),"Sarasota")</f>
        <v>Sarasota</v>
      </c>
      <c r="C1817" t="str">
        <f>IFERROR(__xludf.DUMMYFUNCTION("""COMPUTED_VALUE"""),"FL")</f>
        <v>FL</v>
      </c>
      <c r="D1817" t="str">
        <f>IFERROR(__xludf.DUMMYFUNCTION("""COMPUTED_VALUE"""),"USA")</f>
        <v>USA</v>
      </c>
      <c r="E1817" s="188">
        <f>IFERROR(__xludf.DUMMYFUNCTION("""COMPUTED_VALUE"""),43603.0)</f>
        <v>43603</v>
      </c>
      <c r="F1817" s="188">
        <f>IFERROR(__xludf.DUMMYFUNCTION("""COMPUTED_VALUE"""),43631.0)</f>
        <v>43631</v>
      </c>
      <c r="H1817">
        <f>IFERROR(__xludf.DUMMYFUNCTION("""COMPUTED_VALUE"""),345555.0)</f>
        <v>345555</v>
      </c>
      <c r="J1817" s="5">
        <f>IFERROR(__xludf.DUMMYFUNCTION("""COMPUTED_VALUE"""),43635.0)</f>
        <v>43635</v>
      </c>
      <c r="K1817">
        <f>IFERROR(__xludf.DUMMYFUNCTION("""COMPUTED_VALUE"""),28.0)</f>
        <v>28</v>
      </c>
      <c r="L1817">
        <f>IFERROR(__xludf.DUMMYFUNCTION("""COMPUTED_VALUE"""),4.0)</f>
        <v>4</v>
      </c>
      <c r="M1817">
        <f>IFERROR(__xludf.DUMMYFUNCTION("""COMPUTED_VALUE"""),32.0)</f>
        <v>32</v>
      </c>
      <c r="N1817" t="str">
        <f>IFERROR(__xludf.DUMMYFUNCTION("""COMPUTED_VALUE"""),"Model 3 LR")</f>
        <v>Model 3 LR</v>
      </c>
      <c r="O1817" t="str">
        <f>IFERROR(__xludf.DUMMYFUNCTION("""COMPUTED_VALUE"""),"Deep Blue Metallic")</f>
        <v>Deep Blue Metallic</v>
      </c>
      <c r="P1817" t="str">
        <f>IFERROR(__xludf.DUMMYFUNCTION("""COMPUTED_VALUE"""),"19 inch Sport")</f>
        <v>19 inch Sport</v>
      </c>
      <c r="Q1817" t="str">
        <f>IFERROR(__xludf.DUMMYFUNCTION("""COMPUTED_VALUE"""),"White seats")</f>
        <v>White seats</v>
      </c>
      <c r="R1817" t="str">
        <f>IFERROR(__xludf.DUMMYFUNCTION("""COMPUTED_VALUE"""),"Autopilot")</f>
        <v>Autopilot</v>
      </c>
      <c r="X1817" t="str">
        <f>IFERROR(__xludf.DUMMYFUNCTION("""COMPUTED_VALUE"""),"Excellent")</f>
        <v>Excellent</v>
      </c>
      <c r="Y1817" t="str">
        <f>IFERROR(__xludf.DUMMYFUNCTION("""COMPUTED_VALUE"""),"Excellent")</f>
        <v>Excellent</v>
      </c>
      <c r="Z1817" t="str">
        <f>IFERROR(__xludf.DUMMYFUNCTION("""COMPUTED_VALUE"""),"Excellent")</f>
        <v>Excellent</v>
      </c>
      <c r="AA1817" t="str">
        <f>IFERROR(__xludf.DUMMYFUNCTION("""COMPUTED_VALUE"""),"Good")</f>
        <v>Good</v>
      </c>
      <c r="AB1817" t="str">
        <f>IFERROR(__xludf.DUMMYFUNCTION("""COMPUTED_VALUE"""),"Excellent")</f>
        <v>Excellent</v>
      </c>
      <c r="AG1817" t="str">
        <f>IFERROR(__xludf.DUMMYFUNCTION("""COMPUTED_VALUE"""),"Took car form local inventory, wasn't sure if the ordered one would be available by 7/1")</f>
        <v>Took car form local inventory, wasn't sure if the ordered one would be available by 7/1</v>
      </c>
      <c r="AH1817" s="189">
        <f>IFERROR(__xludf.DUMMYFUNCTION("""COMPUTED_VALUE"""),43637.252587800926)</f>
        <v>43637.25259</v>
      </c>
    </row>
    <row r="1818">
      <c r="A1818" t="str">
        <f>IFERROR(__xludf.DUMMYFUNCTION("""COMPUTED_VALUE"""),"MattGeeZee")</f>
        <v>MattGeeZee</v>
      </c>
      <c r="C1818" t="str">
        <f>IFERROR(__xludf.DUMMYFUNCTION("""COMPUTED_VALUE"""),"NJ")</f>
        <v>NJ</v>
      </c>
      <c r="D1818" t="str">
        <f>IFERROR(__xludf.DUMMYFUNCTION("""COMPUTED_VALUE"""),"USA")</f>
        <v>USA</v>
      </c>
      <c r="E1818" s="188">
        <f>IFERROR(__xludf.DUMMYFUNCTION("""COMPUTED_VALUE"""),43606.0)</f>
        <v>43606</v>
      </c>
      <c r="F1818" s="188">
        <f>IFERROR(__xludf.DUMMYFUNCTION("""COMPUTED_VALUE"""),43629.0)</f>
        <v>43629</v>
      </c>
      <c r="H1818">
        <f>IFERROR(__xludf.DUMMYFUNCTION("""COMPUTED_VALUE"""),324255.0)</f>
        <v>324255</v>
      </c>
      <c r="I1818" t="str">
        <f>IFERROR(__xludf.DUMMYFUNCTION("""COMPUTED_VALUE"""),"04/19")</f>
        <v>04/19</v>
      </c>
      <c r="J1818" s="5">
        <f>IFERROR(__xludf.DUMMYFUNCTION("""COMPUTED_VALUE"""),43631.0)</f>
        <v>43631</v>
      </c>
      <c r="K1818">
        <f>IFERROR(__xludf.DUMMYFUNCTION("""COMPUTED_VALUE"""),23.0)</f>
        <v>23</v>
      </c>
      <c r="L1818">
        <f>IFERROR(__xludf.DUMMYFUNCTION("""COMPUTED_VALUE"""),2.0)</f>
        <v>2</v>
      </c>
      <c r="M1818">
        <f>IFERROR(__xludf.DUMMYFUNCTION("""COMPUTED_VALUE"""),25.0)</f>
        <v>25</v>
      </c>
      <c r="N1818" t="str">
        <f>IFERROR(__xludf.DUMMYFUNCTION("""COMPUTED_VALUE"""),"Model 3 LR")</f>
        <v>Model 3 LR</v>
      </c>
      <c r="O1818" t="str">
        <f>IFERROR(__xludf.DUMMYFUNCTION("""COMPUTED_VALUE"""),"Midnight Silver Metallic")</f>
        <v>Midnight Silver Metallic</v>
      </c>
      <c r="P1818" t="str">
        <f>IFERROR(__xludf.DUMMYFUNCTION("""COMPUTED_VALUE"""),"18 inch Aero")</f>
        <v>18 inch Aero</v>
      </c>
      <c r="Q1818" t="str">
        <f>IFERROR(__xludf.DUMMYFUNCTION("""COMPUTED_VALUE"""),"Black seats")</f>
        <v>Black seats</v>
      </c>
      <c r="R1818" t="str">
        <f>IFERROR(__xludf.DUMMYFUNCTION("""COMPUTED_VALUE"""),"Full Self-Driving")</f>
        <v>Full Self-Driving</v>
      </c>
      <c r="X1818" t="str">
        <f>IFERROR(__xludf.DUMMYFUNCTION("""COMPUTED_VALUE"""),"Excellent")</f>
        <v>Excellent</v>
      </c>
      <c r="Y1818" t="str">
        <f>IFERROR(__xludf.DUMMYFUNCTION("""COMPUTED_VALUE"""),"Excellent")</f>
        <v>Excellent</v>
      </c>
      <c r="Z1818" t="str">
        <f>IFERROR(__xludf.DUMMYFUNCTION("""COMPUTED_VALUE"""),"Excellent")</f>
        <v>Excellent</v>
      </c>
      <c r="AA1818" t="str">
        <f>IFERROR(__xludf.DUMMYFUNCTION("""COMPUTED_VALUE"""),"Excellent")</f>
        <v>Excellent</v>
      </c>
      <c r="AB1818" t="str">
        <f>IFERROR(__xludf.DUMMYFUNCTION("""COMPUTED_VALUE"""),"Very Good")</f>
        <v>Very Good</v>
      </c>
      <c r="AC1818">
        <f>IFERROR(__xludf.DUMMYFUNCTION("""COMPUTED_VALUE"""),1.0)</f>
        <v>1</v>
      </c>
      <c r="AH1818" s="189">
        <f>IFERROR(__xludf.DUMMYFUNCTION("""COMPUTED_VALUE"""),43637.31424440972)</f>
        <v>43637.31424</v>
      </c>
    </row>
    <row r="1819">
      <c r="A1819" t="str">
        <f>IFERROR(__xludf.DUMMYFUNCTION("""COMPUTED_VALUE"""),"magico13")</f>
        <v>magico13</v>
      </c>
      <c r="B1819" t="str">
        <f>IFERROR(__xludf.DUMMYFUNCTION("""COMPUTED_VALUE"""),"Cleveland")</f>
        <v>Cleveland</v>
      </c>
      <c r="C1819" t="str">
        <f>IFERROR(__xludf.DUMMYFUNCTION("""COMPUTED_VALUE"""),"OH")</f>
        <v>OH</v>
      </c>
      <c r="D1819" t="str">
        <f>IFERROR(__xludf.DUMMYFUNCTION("""COMPUTED_VALUE"""),"USA")</f>
        <v>USA</v>
      </c>
      <c r="E1819" s="188">
        <f>IFERROR(__xludf.DUMMYFUNCTION("""COMPUTED_VALUE"""),43604.0)</f>
        <v>43604</v>
      </c>
      <c r="F1819" s="188">
        <f>IFERROR(__xludf.DUMMYFUNCTION("""COMPUTED_VALUE"""),43622.0)</f>
        <v>43622</v>
      </c>
      <c r="H1819">
        <f>IFERROR(__xludf.DUMMYFUNCTION("""COMPUTED_VALUE"""),400938.0)</f>
        <v>400938</v>
      </c>
      <c r="J1819" s="5">
        <f>IFERROR(__xludf.DUMMYFUNCTION("""COMPUTED_VALUE"""),43628.0)</f>
        <v>43628</v>
      </c>
      <c r="K1819">
        <f>IFERROR(__xludf.DUMMYFUNCTION("""COMPUTED_VALUE"""),18.0)</f>
        <v>18</v>
      </c>
      <c r="L1819">
        <f>IFERROR(__xludf.DUMMYFUNCTION("""COMPUTED_VALUE"""),6.0)</f>
        <v>6</v>
      </c>
      <c r="M1819">
        <f>IFERROR(__xludf.DUMMYFUNCTION("""COMPUTED_VALUE"""),24.0)</f>
        <v>24</v>
      </c>
      <c r="N1819" t="str">
        <f>IFERROR(__xludf.DUMMYFUNCTION("""COMPUTED_VALUE"""),"Model 3 SR+")</f>
        <v>Model 3 SR+</v>
      </c>
      <c r="O1819" t="str">
        <f>IFERROR(__xludf.DUMMYFUNCTION("""COMPUTED_VALUE"""),"Deep Blue Metallic")</f>
        <v>Deep Blue Metallic</v>
      </c>
      <c r="P1819" t="str">
        <f>IFERROR(__xludf.DUMMYFUNCTION("""COMPUTED_VALUE"""),"18 inch Aero")</f>
        <v>18 inch Aero</v>
      </c>
      <c r="Q1819" t="str">
        <f>IFERROR(__xludf.DUMMYFUNCTION("""COMPUTED_VALUE"""),"Black seats")</f>
        <v>Black seats</v>
      </c>
      <c r="R1819" t="str">
        <f>IFERROR(__xludf.DUMMYFUNCTION("""COMPUTED_VALUE"""),"Autopilot")</f>
        <v>Autopilot</v>
      </c>
      <c r="X1819" t="str">
        <f>IFERROR(__xludf.DUMMYFUNCTION("""COMPUTED_VALUE"""),"Very Good")</f>
        <v>Very Good</v>
      </c>
      <c r="Y1819" t="str">
        <f>IFERROR(__xludf.DUMMYFUNCTION("""COMPUTED_VALUE"""),"Very Good")</f>
        <v>Very Good</v>
      </c>
      <c r="Z1819" t="str">
        <f>IFERROR(__xludf.DUMMYFUNCTION("""COMPUTED_VALUE"""),"Good")</f>
        <v>Good</v>
      </c>
      <c r="AA1819" t="str">
        <f>IFERROR(__xludf.DUMMYFUNCTION("""COMPUTED_VALUE"""),"Good")</f>
        <v>Good</v>
      </c>
      <c r="AB1819" t="str">
        <f>IFERROR(__xludf.DUMMYFUNCTION("""COMPUTED_VALUE"""),"Excellent")</f>
        <v>Excellent</v>
      </c>
      <c r="AC1819">
        <f>IFERROR(__xludf.DUMMYFUNCTION("""COMPUTED_VALUE"""),2.0)</f>
        <v>2</v>
      </c>
      <c r="AD1819">
        <f>IFERROR(__xludf.DUMMYFUNCTION("""COMPUTED_VALUE"""),2.0)</f>
        <v>2</v>
      </c>
      <c r="AG1819" t="str">
        <f>IFERROR(__xludf.DUMMYFUNCTION("""COMPUTED_VALUE"""),"Driver's side headlight flickered after it rained. Two defects with the glass roof, one with the tint on the top part and a ""dent"" on the back part.")</f>
        <v>Driver's side headlight flickered after it rained. Two defects with the glass roof, one with the tint on the top part and a "dent" on the back part.</v>
      </c>
      <c r="AH1819" s="189">
        <f>IFERROR(__xludf.DUMMYFUNCTION("""COMPUTED_VALUE"""),43637.39216335648)</f>
        <v>43637.39216</v>
      </c>
    </row>
    <row r="1820">
      <c r="A1820" t="str">
        <f>IFERROR(__xludf.DUMMYFUNCTION("""COMPUTED_VALUE"""),"warren_ja")</f>
        <v>warren_ja</v>
      </c>
      <c r="B1820" t="str">
        <f>IFERROR(__xludf.DUMMYFUNCTION("""COMPUTED_VALUE"""),"Birmingham")</f>
        <v>Birmingham</v>
      </c>
      <c r="C1820" t="str">
        <f>IFERROR(__xludf.DUMMYFUNCTION("""COMPUTED_VALUE"""),"AL")</f>
        <v>AL</v>
      </c>
      <c r="D1820" t="str">
        <f>IFERROR(__xludf.DUMMYFUNCTION("""COMPUTED_VALUE"""),"USA")</f>
        <v>USA</v>
      </c>
      <c r="E1820" s="188">
        <f>IFERROR(__xludf.DUMMYFUNCTION("""COMPUTED_VALUE"""),43609.0)</f>
        <v>43609</v>
      </c>
      <c r="F1820" s="188">
        <f>IFERROR(__xludf.DUMMYFUNCTION("""COMPUTED_VALUE"""),43631.0)</f>
        <v>43631</v>
      </c>
      <c r="H1820">
        <f>IFERROR(__xludf.DUMMYFUNCTION("""COMPUTED_VALUE"""),331255.0)</f>
        <v>331255</v>
      </c>
      <c r="I1820" t="str">
        <f>IFERROR(__xludf.DUMMYFUNCTION("""COMPUTED_VALUE"""),"06/19")</f>
        <v>06/19</v>
      </c>
      <c r="J1820" s="5">
        <f>IFERROR(__xludf.DUMMYFUNCTION("""COMPUTED_VALUE"""),43637.0)</f>
        <v>43637</v>
      </c>
      <c r="K1820">
        <f>IFERROR(__xludf.DUMMYFUNCTION("""COMPUTED_VALUE"""),22.0)</f>
        <v>22</v>
      </c>
      <c r="L1820">
        <f>IFERROR(__xludf.DUMMYFUNCTION("""COMPUTED_VALUE"""),6.0)</f>
        <v>6</v>
      </c>
      <c r="M1820">
        <f>IFERROR(__xludf.DUMMYFUNCTION("""COMPUTED_VALUE"""),28.0)</f>
        <v>28</v>
      </c>
      <c r="N1820" t="str">
        <f>IFERROR(__xludf.DUMMYFUNCTION("""COMPUTED_VALUE"""),"Model 3 LR")</f>
        <v>Model 3 LR</v>
      </c>
      <c r="O1820" t="str">
        <f>IFERROR(__xludf.DUMMYFUNCTION("""COMPUTED_VALUE"""),"Midnight Silver Metallic")</f>
        <v>Midnight Silver Metallic</v>
      </c>
      <c r="P1820" t="str">
        <f>IFERROR(__xludf.DUMMYFUNCTION("""COMPUTED_VALUE"""),"18 inch Aero")</f>
        <v>18 inch Aero</v>
      </c>
      <c r="Q1820" t="str">
        <f>IFERROR(__xludf.DUMMYFUNCTION("""COMPUTED_VALUE"""),"Black seats")</f>
        <v>Black seats</v>
      </c>
      <c r="R1820" t="str">
        <f>IFERROR(__xludf.DUMMYFUNCTION("""COMPUTED_VALUE"""),"Full Self-Driving")</f>
        <v>Full Self-Driving</v>
      </c>
      <c r="X1820" t="str">
        <f>IFERROR(__xludf.DUMMYFUNCTION("""COMPUTED_VALUE"""),"Excellent")</f>
        <v>Excellent</v>
      </c>
      <c r="Y1820" t="str">
        <f>IFERROR(__xludf.DUMMYFUNCTION("""COMPUTED_VALUE"""),"Excellent")</f>
        <v>Excellent</v>
      </c>
      <c r="Z1820" t="str">
        <f>IFERROR(__xludf.DUMMYFUNCTION("""COMPUTED_VALUE"""),"Excellent")</f>
        <v>Excellent</v>
      </c>
      <c r="AA1820" t="str">
        <f>IFERROR(__xludf.DUMMYFUNCTION("""COMPUTED_VALUE"""),"Good")</f>
        <v>Good</v>
      </c>
      <c r="AB1820" t="str">
        <f>IFERROR(__xludf.DUMMYFUNCTION("""COMPUTED_VALUE"""),"Excellent")</f>
        <v>Excellent</v>
      </c>
      <c r="AH1820" s="189">
        <f>IFERROR(__xludf.DUMMYFUNCTION("""COMPUTED_VALUE"""),43637.85563653935)</f>
        <v>43637.85564</v>
      </c>
    </row>
    <row r="1821">
      <c r="A1821" t="str">
        <f>IFERROR(__xludf.DUMMYFUNCTION("""COMPUTED_VALUE"""),"ScoTesla")</f>
        <v>ScoTesla</v>
      </c>
      <c r="B1821" t="str">
        <f>IFERROR(__xludf.DUMMYFUNCTION("""COMPUTED_VALUE"""),"MetroWest")</f>
        <v>MetroWest</v>
      </c>
      <c r="C1821" t="str">
        <f>IFERROR(__xludf.DUMMYFUNCTION("""COMPUTED_VALUE"""),"MA")</f>
        <v>MA</v>
      </c>
      <c r="D1821" t="str">
        <f>IFERROR(__xludf.DUMMYFUNCTION("""COMPUTED_VALUE"""),"USA")</f>
        <v>USA</v>
      </c>
      <c r="E1821" s="188">
        <f>IFERROR(__xludf.DUMMYFUNCTION("""COMPUTED_VALUE"""),43614.0)</f>
        <v>43614</v>
      </c>
      <c r="F1821" s="188">
        <f>IFERROR(__xludf.DUMMYFUNCTION("""COMPUTED_VALUE"""),43628.0)</f>
        <v>43628</v>
      </c>
      <c r="H1821">
        <f>IFERROR(__xludf.DUMMYFUNCTION("""COMPUTED_VALUE"""),407255.0)</f>
        <v>407255</v>
      </c>
      <c r="I1821" t="str">
        <f>IFERROR(__xludf.DUMMYFUNCTION("""COMPUTED_VALUE"""),"06/19")</f>
        <v>06/19</v>
      </c>
      <c r="J1821" s="5">
        <f>IFERROR(__xludf.DUMMYFUNCTION("""COMPUTED_VALUE"""),43637.0)</f>
        <v>43637</v>
      </c>
      <c r="K1821">
        <f>IFERROR(__xludf.DUMMYFUNCTION("""COMPUTED_VALUE"""),14.0)</f>
        <v>14</v>
      </c>
      <c r="L1821">
        <f>IFERROR(__xludf.DUMMYFUNCTION("""COMPUTED_VALUE"""),9.0)</f>
        <v>9</v>
      </c>
      <c r="M1821">
        <f>IFERROR(__xludf.DUMMYFUNCTION("""COMPUTED_VALUE"""),23.0)</f>
        <v>23</v>
      </c>
      <c r="N1821" t="str">
        <f>IFERROR(__xludf.DUMMYFUNCTION("""COMPUTED_VALUE"""),"Model 3 LR AWD")</f>
        <v>Model 3 LR AWD</v>
      </c>
      <c r="O1821" t="str">
        <f>IFERROR(__xludf.DUMMYFUNCTION("""COMPUTED_VALUE"""),"Deep Blue Metallic")</f>
        <v>Deep Blue Metallic</v>
      </c>
      <c r="P1821" t="str">
        <f>IFERROR(__xludf.DUMMYFUNCTION("""COMPUTED_VALUE"""),"18 inch Aero")</f>
        <v>18 inch Aero</v>
      </c>
      <c r="Q1821" t="str">
        <f>IFERROR(__xludf.DUMMYFUNCTION("""COMPUTED_VALUE"""),"White seats")</f>
        <v>White seats</v>
      </c>
      <c r="R1821" t="str">
        <f>IFERROR(__xludf.DUMMYFUNCTION("""COMPUTED_VALUE"""),"Full Self-Driving")</f>
        <v>Full Self-Driving</v>
      </c>
      <c r="X1821" t="str">
        <f>IFERROR(__xludf.DUMMYFUNCTION("""COMPUTED_VALUE"""),"Excellent")</f>
        <v>Excellent</v>
      </c>
      <c r="Y1821" t="str">
        <f>IFERROR(__xludf.DUMMYFUNCTION("""COMPUTED_VALUE"""),"Excellent")</f>
        <v>Excellent</v>
      </c>
      <c r="Z1821" t="str">
        <f>IFERROR(__xludf.DUMMYFUNCTION("""COMPUTED_VALUE"""),"Excellent")</f>
        <v>Excellent</v>
      </c>
      <c r="AA1821" t="str">
        <f>IFERROR(__xludf.DUMMYFUNCTION("""COMPUTED_VALUE"""),"Very Good")</f>
        <v>Very Good</v>
      </c>
      <c r="AB1821" t="str">
        <f>IFERROR(__xludf.DUMMYFUNCTION("""COMPUTED_VALUE"""),"Very Good")</f>
        <v>Very Good</v>
      </c>
      <c r="AC1821">
        <f>IFERROR(__xludf.DUMMYFUNCTION("""COMPUTED_VALUE"""),1.0)</f>
        <v>1</v>
      </c>
      <c r="AH1821" s="189">
        <f>IFERROR(__xludf.DUMMYFUNCTION("""COMPUTED_VALUE"""),43638.0211259375)</f>
        <v>43638.02113</v>
      </c>
    </row>
    <row r="1822">
      <c r="A1822" t="str">
        <f>IFERROR(__xludf.DUMMYFUNCTION("""COMPUTED_VALUE"""),"James88")</f>
        <v>James88</v>
      </c>
      <c r="B1822" t="str">
        <f>IFERROR(__xludf.DUMMYFUNCTION("""COMPUTED_VALUE"""),"Orlando")</f>
        <v>Orlando</v>
      </c>
      <c r="C1822" t="str">
        <f>IFERROR(__xludf.DUMMYFUNCTION("""COMPUTED_VALUE"""),"FL")</f>
        <v>FL</v>
      </c>
      <c r="D1822" t="str">
        <f>IFERROR(__xludf.DUMMYFUNCTION("""COMPUTED_VALUE"""),"USA")</f>
        <v>USA</v>
      </c>
      <c r="E1822" s="188">
        <f>IFERROR(__xludf.DUMMYFUNCTION("""COMPUTED_VALUE"""),43605.0)</f>
        <v>43605</v>
      </c>
      <c r="F1822" s="188">
        <f>IFERROR(__xludf.DUMMYFUNCTION("""COMPUTED_VALUE"""),43630.0)</f>
        <v>43630</v>
      </c>
      <c r="H1822">
        <f>IFERROR(__xludf.DUMMYFUNCTION("""COMPUTED_VALUE"""),345405.0)</f>
        <v>345405</v>
      </c>
      <c r="I1822" t="str">
        <f>IFERROR(__xludf.DUMMYFUNCTION("""COMPUTED_VALUE"""),"06/19")</f>
        <v>06/19</v>
      </c>
      <c r="J1822" s="5">
        <f>IFERROR(__xludf.DUMMYFUNCTION("""COMPUTED_VALUE"""),43637.0)</f>
        <v>43637</v>
      </c>
      <c r="K1822">
        <f>IFERROR(__xludf.DUMMYFUNCTION("""COMPUTED_VALUE"""),25.0)</f>
        <v>25</v>
      </c>
      <c r="L1822">
        <f>IFERROR(__xludf.DUMMYFUNCTION("""COMPUTED_VALUE"""),7.0)</f>
        <v>7</v>
      </c>
      <c r="M1822">
        <f>IFERROR(__xludf.DUMMYFUNCTION("""COMPUTED_VALUE"""),32.0)</f>
        <v>32</v>
      </c>
      <c r="N1822" t="str">
        <f>IFERROR(__xludf.DUMMYFUNCTION("""COMPUTED_VALUE"""),"Model 3 LR")</f>
        <v>Model 3 LR</v>
      </c>
      <c r="O1822" t="str">
        <f>IFERROR(__xludf.DUMMYFUNCTION("""COMPUTED_VALUE"""),"Solid Black")</f>
        <v>Solid Black</v>
      </c>
      <c r="P1822" t="str">
        <f>IFERROR(__xludf.DUMMYFUNCTION("""COMPUTED_VALUE"""),"19 inch Sport")</f>
        <v>19 inch Sport</v>
      </c>
      <c r="Q1822" t="str">
        <f>IFERROR(__xludf.DUMMYFUNCTION("""COMPUTED_VALUE"""),"White seats")</f>
        <v>White seats</v>
      </c>
      <c r="R1822" t="str">
        <f>IFERROR(__xludf.DUMMYFUNCTION("""COMPUTED_VALUE"""),"Autopilot")</f>
        <v>Autopilot</v>
      </c>
      <c r="X1822" t="str">
        <f>IFERROR(__xludf.DUMMYFUNCTION("""COMPUTED_VALUE"""),"Excellent")</f>
        <v>Excellent</v>
      </c>
      <c r="Y1822" t="str">
        <f>IFERROR(__xludf.DUMMYFUNCTION("""COMPUTED_VALUE"""),"Excellent")</f>
        <v>Excellent</v>
      </c>
      <c r="Z1822" t="str">
        <f>IFERROR(__xludf.DUMMYFUNCTION("""COMPUTED_VALUE"""),"Very Good")</f>
        <v>Very Good</v>
      </c>
      <c r="AA1822" t="str">
        <f>IFERROR(__xludf.DUMMYFUNCTION("""COMPUTED_VALUE"""),"Very Good")</f>
        <v>Very Good</v>
      </c>
      <c r="AB1822" t="str">
        <f>IFERROR(__xludf.DUMMYFUNCTION("""COMPUTED_VALUE"""),"Excellent")</f>
        <v>Excellent</v>
      </c>
      <c r="AC1822">
        <f>IFERROR(__xludf.DUMMYFUNCTION("""COMPUTED_VALUE"""),1.0)</f>
        <v>1</v>
      </c>
      <c r="AH1822" s="189">
        <f>IFERROR(__xludf.DUMMYFUNCTION("""COMPUTED_VALUE"""),43638.09835526621)</f>
        <v>43638.09836</v>
      </c>
    </row>
    <row r="1823">
      <c r="A1823" t="str">
        <f>IFERROR(__xludf.DUMMYFUNCTION("""COMPUTED_VALUE"""),"renewableajoy")</f>
        <v>renewableajoy</v>
      </c>
      <c r="C1823" t="str">
        <f>IFERROR(__xludf.DUMMYFUNCTION("""COMPUTED_VALUE"""),"RI")</f>
        <v>RI</v>
      </c>
      <c r="D1823" t="str">
        <f>IFERROR(__xludf.DUMMYFUNCTION("""COMPUTED_VALUE"""),"USA")</f>
        <v>USA</v>
      </c>
      <c r="E1823" s="188">
        <f>IFERROR(__xludf.DUMMYFUNCTION("""COMPUTED_VALUE"""),43570.0)</f>
        <v>43570</v>
      </c>
      <c r="F1823" s="188">
        <f>IFERROR(__xludf.DUMMYFUNCTION("""COMPUTED_VALUE"""),43623.0)</f>
        <v>43623</v>
      </c>
      <c r="H1823">
        <f>IFERROR(__xludf.DUMMYFUNCTION("""COMPUTED_VALUE"""),393555.0)</f>
        <v>393555</v>
      </c>
      <c r="J1823" s="5">
        <f>IFERROR(__xludf.DUMMYFUNCTION("""COMPUTED_VALUE"""),43637.0)</f>
        <v>43637</v>
      </c>
      <c r="K1823">
        <f>IFERROR(__xludf.DUMMYFUNCTION("""COMPUTED_VALUE"""),53.0)</f>
        <v>53</v>
      </c>
      <c r="L1823">
        <f>IFERROR(__xludf.DUMMYFUNCTION("""COMPUTED_VALUE"""),14.0)</f>
        <v>14</v>
      </c>
      <c r="M1823">
        <f>IFERROR(__xludf.DUMMYFUNCTION("""COMPUTED_VALUE"""),67.0)</f>
        <v>67</v>
      </c>
      <c r="N1823" t="str">
        <f>IFERROR(__xludf.DUMMYFUNCTION("""COMPUTED_VALUE"""),"Model 3 Performance")</f>
        <v>Model 3 Performance</v>
      </c>
      <c r="O1823" t="str">
        <f>IFERROR(__xludf.DUMMYFUNCTION("""COMPUTED_VALUE"""),"Red Multi-Coat")</f>
        <v>Red Multi-Coat</v>
      </c>
      <c r="P1823" t="str">
        <f>IFERROR(__xludf.DUMMYFUNCTION("""COMPUTED_VALUE"""),"20 inch Sport")</f>
        <v>20 inch Sport</v>
      </c>
      <c r="Q1823" t="str">
        <f>IFERROR(__xludf.DUMMYFUNCTION("""COMPUTED_VALUE"""),"White seats")</f>
        <v>White seats</v>
      </c>
      <c r="R1823" t="str">
        <f>IFERROR(__xludf.DUMMYFUNCTION("""COMPUTED_VALUE"""),"Full Self-Driving")</f>
        <v>Full Self-Driving</v>
      </c>
      <c r="X1823" t="str">
        <f>IFERROR(__xludf.DUMMYFUNCTION("""COMPUTED_VALUE"""),"Excellent")</f>
        <v>Excellent</v>
      </c>
      <c r="Y1823" t="str">
        <f>IFERROR(__xludf.DUMMYFUNCTION("""COMPUTED_VALUE"""),"Excellent")</f>
        <v>Excellent</v>
      </c>
      <c r="Z1823" t="str">
        <f>IFERROR(__xludf.DUMMYFUNCTION("""COMPUTED_VALUE"""),"Excellent")</f>
        <v>Excellent</v>
      </c>
      <c r="AA1823" t="str">
        <f>IFERROR(__xludf.DUMMYFUNCTION("""COMPUTED_VALUE"""),"Good")</f>
        <v>Good</v>
      </c>
      <c r="AB1823" t="str">
        <f>IFERROR(__xludf.DUMMYFUNCTION("""COMPUTED_VALUE"""),"Very Good")</f>
        <v>Very Good</v>
      </c>
      <c r="AG1823" t="str">
        <f>IFERROR(__xludf.DUMMYFUNCTION("""COMPUTED_VALUE"""),"My home state has no temp plates for Tesla. The delay (53 days for VIN) was already high. Free home delivery meant not receiving the vehicle for an extra week and then another week for the registration documents. While waiting for the documents...there's "&amp;"no driving. Instead I asked to have the delivery at NY center. Temp plates provided there lets you drive for 30 days while registration can be complete. Overall logistics and VIN queue information could improve ")</f>
        <v>My home state has no temp plates for Tesla. The delay (53 days for VIN) was already high. Free home delivery meant not receiving the vehicle for an extra week and then another week for the registration documents. While waiting for the documents...there's no driving. Instead I asked to have the delivery at NY center. Temp plates provided there lets you drive for 30 days while registration can be complete. Overall logistics and VIN queue information could improve </v>
      </c>
      <c r="AH1823" s="189">
        <f>IFERROR(__xludf.DUMMYFUNCTION("""COMPUTED_VALUE"""),43638.73052023148)</f>
        <v>43638.73052</v>
      </c>
    </row>
    <row r="1824">
      <c r="A1824" t="str">
        <f>IFERROR(__xludf.DUMMYFUNCTION("""COMPUTED_VALUE"""),"p5802")</f>
        <v>p5802</v>
      </c>
      <c r="B1824" t="str">
        <f>IFERROR(__xludf.DUMMYFUNCTION("""COMPUTED_VALUE"""),"Charlotte")</f>
        <v>Charlotte</v>
      </c>
      <c r="C1824" t="str">
        <f>IFERROR(__xludf.DUMMYFUNCTION("""COMPUTED_VALUE"""),"NC")</f>
        <v>NC</v>
      </c>
      <c r="D1824" t="str">
        <f>IFERROR(__xludf.DUMMYFUNCTION("""COMPUTED_VALUE"""),"USA")</f>
        <v>USA</v>
      </c>
      <c r="E1824" s="188">
        <f>IFERROR(__xludf.DUMMYFUNCTION("""COMPUTED_VALUE"""),43591.0)</f>
        <v>43591</v>
      </c>
      <c r="F1824" s="188">
        <f>IFERROR(__xludf.DUMMYFUNCTION("""COMPUTED_VALUE"""),43620.0)</f>
        <v>43620</v>
      </c>
      <c r="H1824">
        <f>IFERROR(__xludf.DUMMYFUNCTION("""COMPUTED_VALUE"""),393555.0)</f>
        <v>393555</v>
      </c>
      <c r="J1824" s="5">
        <f>IFERROR(__xludf.DUMMYFUNCTION("""COMPUTED_VALUE"""),43630.0)</f>
        <v>43630</v>
      </c>
      <c r="K1824">
        <f>IFERROR(__xludf.DUMMYFUNCTION("""COMPUTED_VALUE"""),29.0)</f>
        <v>29</v>
      </c>
      <c r="L1824">
        <f>IFERROR(__xludf.DUMMYFUNCTION("""COMPUTED_VALUE"""),10.0)</f>
        <v>10</v>
      </c>
      <c r="M1824">
        <f>IFERROR(__xludf.DUMMYFUNCTION("""COMPUTED_VALUE"""),39.0)</f>
        <v>39</v>
      </c>
      <c r="N1824" t="str">
        <f>IFERROR(__xludf.DUMMYFUNCTION("""COMPUTED_VALUE"""),"Model 3 Performance")</f>
        <v>Model 3 Performance</v>
      </c>
      <c r="O1824" t="str">
        <f>IFERROR(__xludf.DUMMYFUNCTION("""COMPUTED_VALUE"""),"Red Multi-Coat")</f>
        <v>Red Multi-Coat</v>
      </c>
      <c r="P1824" t="str">
        <f>IFERROR(__xludf.DUMMYFUNCTION("""COMPUTED_VALUE"""),"20 inch Sport")</f>
        <v>20 inch Sport</v>
      </c>
      <c r="Q1824" t="str">
        <f>IFERROR(__xludf.DUMMYFUNCTION("""COMPUTED_VALUE"""),"White seats")</f>
        <v>White seats</v>
      </c>
      <c r="R1824" t="str">
        <f>IFERROR(__xludf.DUMMYFUNCTION("""COMPUTED_VALUE"""),"Full Self-Driving")</f>
        <v>Full Self-Driving</v>
      </c>
      <c r="X1824" t="str">
        <f>IFERROR(__xludf.DUMMYFUNCTION("""COMPUTED_VALUE"""),"Very Good")</f>
        <v>Very Good</v>
      </c>
      <c r="Y1824" t="str">
        <f>IFERROR(__xludf.DUMMYFUNCTION("""COMPUTED_VALUE"""),"Excellent")</f>
        <v>Excellent</v>
      </c>
      <c r="Z1824" t="str">
        <f>IFERROR(__xludf.DUMMYFUNCTION("""COMPUTED_VALUE"""),"Very Good")</f>
        <v>Very Good</v>
      </c>
      <c r="AA1824" t="str">
        <f>IFERROR(__xludf.DUMMYFUNCTION("""COMPUTED_VALUE"""),"Fair")</f>
        <v>Fair</v>
      </c>
      <c r="AB1824" t="str">
        <f>IFERROR(__xludf.DUMMYFUNCTION("""COMPUTED_VALUE"""),"Good")</f>
        <v>Good</v>
      </c>
      <c r="AC1824">
        <f>IFERROR(__xludf.DUMMYFUNCTION("""COMPUTED_VALUE"""),2.0)</f>
        <v>2</v>
      </c>
      <c r="AG1824" t="str">
        <f>IFERROR(__xludf.DUMMYFUNCTION("""COMPUTED_VALUE"""),"Took delivery 6/14/19. 4 days after scheduled delivery")</f>
        <v>Took delivery 6/14/19. 4 days after scheduled delivery</v>
      </c>
      <c r="AH1824" s="189">
        <f>IFERROR(__xludf.DUMMYFUNCTION("""COMPUTED_VALUE"""),43639.23283878472)</f>
        <v>43639.23284</v>
      </c>
    </row>
    <row r="1825">
      <c r="A1825" t="str">
        <f>IFERROR(__xludf.DUMMYFUNCTION("""COMPUTED_VALUE"""),"richardb.long93")</f>
        <v>richardb.long93</v>
      </c>
      <c r="B1825" t="str">
        <f>IFERROR(__xludf.DUMMYFUNCTION("""COMPUTED_VALUE"""),"Fredericton")</f>
        <v>Fredericton</v>
      </c>
      <c r="C1825" t="str">
        <f>IFERROR(__xludf.DUMMYFUNCTION("""COMPUTED_VALUE"""),"NB")</f>
        <v>NB</v>
      </c>
      <c r="D1825" t="str">
        <f>IFERROR(__xludf.DUMMYFUNCTION("""COMPUTED_VALUE"""),"Canada")</f>
        <v>Canada</v>
      </c>
      <c r="E1825" s="188">
        <f>IFERROR(__xludf.DUMMYFUNCTION("""COMPUTED_VALUE"""),43599.0)</f>
        <v>43599</v>
      </c>
      <c r="F1825" s="188">
        <f>IFERROR(__xludf.DUMMYFUNCTION("""COMPUTED_VALUE"""),43619.0)</f>
        <v>43619</v>
      </c>
      <c r="H1825">
        <f>IFERROR(__xludf.DUMMYFUNCTION("""COMPUTED_VALUE"""),403203.0)</f>
        <v>403203</v>
      </c>
      <c r="J1825" s="5">
        <f>IFERROR(__xludf.DUMMYFUNCTION("""COMPUTED_VALUE"""),43636.0)</f>
        <v>43636</v>
      </c>
      <c r="K1825">
        <f>IFERROR(__xludf.DUMMYFUNCTION("""COMPUTED_VALUE"""),20.0)</f>
        <v>20</v>
      </c>
      <c r="L1825">
        <f>IFERROR(__xludf.DUMMYFUNCTION("""COMPUTED_VALUE"""),17.0)</f>
        <v>17</v>
      </c>
      <c r="M1825">
        <f>IFERROR(__xludf.DUMMYFUNCTION("""COMPUTED_VALUE"""),37.0)</f>
        <v>37</v>
      </c>
      <c r="N1825" t="str">
        <f>IFERROR(__xludf.DUMMYFUNCTION("""COMPUTED_VALUE"""),"Model 3 SR+")</f>
        <v>Model 3 SR+</v>
      </c>
      <c r="O1825" t="str">
        <f>IFERROR(__xludf.DUMMYFUNCTION("""COMPUTED_VALUE"""),"Midnight Silver Metallic")</f>
        <v>Midnight Silver Metallic</v>
      </c>
      <c r="P1825" t="str">
        <f>IFERROR(__xludf.DUMMYFUNCTION("""COMPUTED_VALUE"""),"18 inch Aero")</f>
        <v>18 inch Aero</v>
      </c>
      <c r="Q1825" t="str">
        <f>IFERROR(__xludf.DUMMYFUNCTION("""COMPUTED_VALUE"""),"Black seats")</f>
        <v>Black seats</v>
      </c>
      <c r="R1825" t="str">
        <f>IFERROR(__xludf.DUMMYFUNCTION("""COMPUTED_VALUE"""),"Full Self-Driving")</f>
        <v>Full Self-Driving</v>
      </c>
      <c r="X1825" t="str">
        <f>IFERROR(__xludf.DUMMYFUNCTION("""COMPUTED_VALUE"""),"Good")</f>
        <v>Good</v>
      </c>
      <c r="Y1825" t="str">
        <f>IFERROR(__xludf.DUMMYFUNCTION("""COMPUTED_VALUE"""),"Excellent")</f>
        <v>Excellent</v>
      </c>
      <c r="Z1825" t="str">
        <f>IFERROR(__xludf.DUMMYFUNCTION("""COMPUTED_VALUE"""),"Excellent")</f>
        <v>Excellent</v>
      </c>
      <c r="AA1825" t="str">
        <f>IFERROR(__xludf.DUMMYFUNCTION("""COMPUTED_VALUE"""),"Poor")</f>
        <v>Poor</v>
      </c>
      <c r="AB1825" t="str">
        <f>IFERROR(__xludf.DUMMYFUNCTION("""COMPUTED_VALUE"""),"Fair")</f>
        <v>Fair</v>
      </c>
      <c r="AC1825">
        <f>IFERROR(__xludf.DUMMYFUNCTION("""COMPUTED_VALUE"""),0.0)</f>
        <v>0</v>
      </c>
      <c r="AD1825">
        <f>IFERROR(__xludf.DUMMYFUNCTION("""COMPUTED_VALUE"""),0.0)</f>
        <v>0</v>
      </c>
      <c r="AE1825">
        <f>IFERROR(__xludf.DUMMYFUNCTION("""COMPUTED_VALUE"""),0.0)</f>
        <v>0</v>
      </c>
      <c r="AG1825" t="str">
        <f>IFERROR(__xludf.DUMMYFUNCTION("""COMPUTED_VALUE"""),"Lack of service post delivery.")</f>
        <v>Lack of service post delivery.</v>
      </c>
      <c r="AH1825" s="189">
        <f>IFERROR(__xludf.DUMMYFUNCTION("""COMPUTED_VALUE"""),43639.73647046296)</f>
        <v>43639.73647</v>
      </c>
    </row>
    <row r="1826">
      <c r="A1826" t="str">
        <f>IFERROR(__xludf.DUMMYFUNCTION("""COMPUTED_VALUE"""),"danix")</f>
        <v>danix</v>
      </c>
      <c r="B1826" t="str">
        <f>IFERROR(__xludf.DUMMYFUNCTION("""COMPUTED_VALUE"""),"Alamo")</f>
        <v>Alamo</v>
      </c>
      <c r="C1826" t="str">
        <f>IFERROR(__xludf.DUMMYFUNCTION("""COMPUTED_VALUE"""),"CA")</f>
        <v>CA</v>
      </c>
      <c r="D1826" t="str">
        <f>IFERROR(__xludf.DUMMYFUNCTION("""COMPUTED_VALUE"""),"USA")</f>
        <v>USA</v>
      </c>
      <c r="E1826" s="188">
        <f>IFERROR(__xludf.DUMMYFUNCTION("""COMPUTED_VALUE"""),43634.0)</f>
        <v>43634</v>
      </c>
      <c r="F1826" s="188">
        <f>IFERROR(__xludf.DUMMYFUNCTION("""COMPUTED_VALUE"""),43636.0)</f>
        <v>43636</v>
      </c>
      <c r="H1826">
        <f>IFERROR(__xludf.DUMMYFUNCTION("""COMPUTED_VALUE"""),401003.0)</f>
        <v>401003</v>
      </c>
      <c r="I1826" t="str">
        <f>IFERROR(__xludf.DUMMYFUNCTION("""COMPUTED_VALUE"""),"06/19")</f>
        <v>06/19</v>
      </c>
      <c r="J1826" s="5">
        <f>IFERROR(__xludf.DUMMYFUNCTION("""COMPUTED_VALUE"""),43638.0)</f>
        <v>43638</v>
      </c>
      <c r="K1826">
        <f>IFERROR(__xludf.DUMMYFUNCTION("""COMPUTED_VALUE"""),2.0)</f>
        <v>2</v>
      </c>
      <c r="L1826">
        <f>IFERROR(__xludf.DUMMYFUNCTION("""COMPUTED_VALUE"""),2.0)</f>
        <v>2</v>
      </c>
      <c r="M1826">
        <f>IFERROR(__xludf.DUMMYFUNCTION("""COMPUTED_VALUE"""),4.0)</f>
        <v>4</v>
      </c>
      <c r="N1826" t="str">
        <f>IFERROR(__xludf.DUMMYFUNCTION("""COMPUTED_VALUE"""),"Model 3 SR+")</f>
        <v>Model 3 SR+</v>
      </c>
      <c r="O1826" t="str">
        <f>IFERROR(__xludf.DUMMYFUNCTION("""COMPUTED_VALUE"""),"Deep Blue Metallic")</f>
        <v>Deep Blue Metallic</v>
      </c>
      <c r="P1826" t="str">
        <f>IFERROR(__xludf.DUMMYFUNCTION("""COMPUTED_VALUE"""),"18 inch Aero")</f>
        <v>18 inch Aero</v>
      </c>
      <c r="Q1826" t="str">
        <f>IFERROR(__xludf.DUMMYFUNCTION("""COMPUTED_VALUE"""),"Black seats")</f>
        <v>Black seats</v>
      </c>
      <c r="R1826" t="str">
        <f>IFERROR(__xludf.DUMMYFUNCTION("""COMPUTED_VALUE"""),"Autopilot")</f>
        <v>Autopilot</v>
      </c>
      <c r="X1826" t="str">
        <f>IFERROR(__xludf.DUMMYFUNCTION("""COMPUTED_VALUE"""),"Excellent")</f>
        <v>Excellent</v>
      </c>
      <c r="Y1826" t="str">
        <f>IFERROR(__xludf.DUMMYFUNCTION("""COMPUTED_VALUE"""),"Excellent")</f>
        <v>Excellent</v>
      </c>
      <c r="Z1826" t="str">
        <f>IFERROR(__xludf.DUMMYFUNCTION("""COMPUTED_VALUE"""),"Very Good")</f>
        <v>Very Good</v>
      </c>
      <c r="AA1826" t="str">
        <f>IFERROR(__xludf.DUMMYFUNCTION("""COMPUTED_VALUE"""),"Very Good")</f>
        <v>Very Good</v>
      </c>
      <c r="AB1826" t="str">
        <f>IFERROR(__xludf.DUMMYFUNCTION("""COMPUTED_VALUE"""),"Very Good")</f>
        <v>Very Good</v>
      </c>
      <c r="AH1826" s="189">
        <f>IFERROR(__xludf.DUMMYFUNCTION("""COMPUTED_VALUE"""),43640.470554155094)</f>
        <v>43640.47055</v>
      </c>
    </row>
    <row r="1827">
      <c r="A1827" t="str">
        <f>IFERROR(__xludf.DUMMYFUNCTION("""COMPUTED_VALUE"""),"acl198")</f>
        <v>acl198</v>
      </c>
      <c r="B1827" t="str">
        <f>IFERROR(__xludf.DUMMYFUNCTION("""COMPUTED_VALUE"""),"Charlotte")</f>
        <v>Charlotte</v>
      </c>
      <c r="C1827" t="str">
        <f>IFERROR(__xludf.DUMMYFUNCTION("""COMPUTED_VALUE"""),"NC")</f>
        <v>NC</v>
      </c>
      <c r="D1827" t="str">
        <f>IFERROR(__xludf.DUMMYFUNCTION("""COMPUTED_VALUE"""),"USA")</f>
        <v>USA</v>
      </c>
      <c r="E1827" s="188">
        <f>IFERROR(__xludf.DUMMYFUNCTION("""COMPUTED_VALUE"""),43606.0)</f>
        <v>43606</v>
      </c>
      <c r="F1827" s="188">
        <f>IFERROR(__xludf.DUMMYFUNCTION("""COMPUTED_VALUE"""),43611.0)</f>
        <v>43611</v>
      </c>
      <c r="H1827">
        <f>IFERROR(__xludf.DUMMYFUNCTION("""COMPUTED_VALUE"""),396255.0)</f>
        <v>396255</v>
      </c>
      <c r="I1827" t="str">
        <f>IFERROR(__xludf.DUMMYFUNCTION("""COMPUTED_VALUE"""),"05/19")</f>
        <v>05/19</v>
      </c>
      <c r="J1827" s="5">
        <f>IFERROR(__xludf.DUMMYFUNCTION("""COMPUTED_VALUE"""),43624.0)</f>
        <v>43624</v>
      </c>
      <c r="K1827">
        <f>IFERROR(__xludf.DUMMYFUNCTION("""COMPUTED_VALUE"""),5.0)</f>
        <v>5</v>
      </c>
      <c r="L1827">
        <f>IFERROR(__xludf.DUMMYFUNCTION("""COMPUTED_VALUE"""),13.0)</f>
        <v>13</v>
      </c>
      <c r="M1827">
        <f>IFERROR(__xludf.DUMMYFUNCTION("""COMPUTED_VALUE"""),18.0)</f>
        <v>18</v>
      </c>
      <c r="N1827" t="str">
        <f>IFERROR(__xludf.DUMMYFUNCTION("""COMPUTED_VALUE"""),"Model 3 SR+")</f>
        <v>Model 3 SR+</v>
      </c>
      <c r="O1827" t="str">
        <f>IFERROR(__xludf.DUMMYFUNCTION("""COMPUTED_VALUE"""),"Midnight Silver Metallic")</f>
        <v>Midnight Silver Metallic</v>
      </c>
      <c r="P1827" t="str">
        <f>IFERROR(__xludf.DUMMYFUNCTION("""COMPUTED_VALUE"""),"18 inch Aero")</f>
        <v>18 inch Aero</v>
      </c>
      <c r="Q1827" t="str">
        <f>IFERROR(__xludf.DUMMYFUNCTION("""COMPUTED_VALUE"""),"Black seats")</f>
        <v>Black seats</v>
      </c>
      <c r="R1827" t="str">
        <f>IFERROR(__xludf.DUMMYFUNCTION("""COMPUTED_VALUE"""),"Autopilot")</f>
        <v>Autopilot</v>
      </c>
      <c r="X1827" t="str">
        <f>IFERROR(__xludf.DUMMYFUNCTION("""COMPUTED_VALUE"""),"Very Good")</f>
        <v>Very Good</v>
      </c>
      <c r="Y1827" t="str">
        <f>IFERROR(__xludf.DUMMYFUNCTION("""COMPUTED_VALUE"""),"Very Good")</f>
        <v>Very Good</v>
      </c>
      <c r="Z1827" t="str">
        <f>IFERROR(__xludf.DUMMYFUNCTION("""COMPUTED_VALUE"""),"Fair")</f>
        <v>Fair</v>
      </c>
      <c r="AA1827" t="str">
        <f>IFERROR(__xludf.DUMMYFUNCTION("""COMPUTED_VALUE"""),"Good")</f>
        <v>Good</v>
      </c>
      <c r="AB1827" t="str">
        <f>IFERROR(__xludf.DUMMYFUNCTION("""COMPUTED_VALUE"""),"Very Good")</f>
        <v>Very Good</v>
      </c>
      <c r="AC1827">
        <f>IFERROR(__xludf.DUMMYFUNCTION("""COMPUTED_VALUE"""),1.0)</f>
        <v>1</v>
      </c>
      <c r="AH1827" s="189">
        <f>IFERROR(__xludf.DUMMYFUNCTION("""COMPUTED_VALUE"""),43640.53582739583)</f>
        <v>43640.53583</v>
      </c>
    </row>
    <row r="1828">
      <c r="A1828" t="str">
        <f>IFERROR(__xludf.DUMMYFUNCTION("""COMPUTED_VALUE"""),"garnrold54")</f>
        <v>garnrold54</v>
      </c>
      <c r="B1828" t="str">
        <f>IFERROR(__xludf.DUMMYFUNCTION("""COMPUTED_VALUE"""),"Vancouver")</f>
        <v>Vancouver</v>
      </c>
      <c r="C1828" t="str">
        <f>IFERROR(__xludf.DUMMYFUNCTION("""COMPUTED_VALUE"""),"BC")</f>
        <v>BC</v>
      </c>
      <c r="D1828" t="str">
        <f>IFERROR(__xludf.DUMMYFUNCTION("""COMPUTED_VALUE"""),"Canada")</f>
        <v>Canada</v>
      </c>
      <c r="E1828" s="188">
        <f>IFERROR(__xludf.DUMMYFUNCTION("""COMPUTED_VALUE"""),43594.0)</f>
        <v>43594</v>
      </c>
      <c r="F1828" s="188">
        <f>IFERROR(__xludf.DUMMYFUNCTION("""COMPUTED_VALUE"""),43623.0)</f>
        <v>43623</v>
      </c>
      <c r="H1828">
        <f>IFERROR(__xludf.DUMMYFUNCTION("""COMPUTED_VALUE"""),419043.0)</f>
        <v>419043</v>
      </c>
      <c r="I1828" t="str">
        <f>IFERROR(__xludf.DUMMYFUNCTION("""COMPUTED_VALUE"""),"05/19")</f>
        <v>05/19</v>
      </c>
      <c r="J1828" s="5">
        <f>IFERROR(__xludf.DUMMYFUNCTION("""COMPUTED_VALUE"""),43630.0)</f>
        <v>43630</v>
      </c>
      <c r="K1828">
        <f>IFERROR(__xludf.DUMMYFUNCTION("""COMPUTED_VALUE"""),29.0)</f>
        <v>29</v>
      </c>
      <c r="L1828">
        <f>IFERROR(__xludf.DUMMYFUNCTION("""COMPUTED_VALUE"""),7.0)</f>
        <v>7</v>
      </c>
      <c r="M1828">
        <f>IFERROR(__xludf.DUMMYFUNCTION("""COMPUTED_VALUE"""),36.0)</f>
        <v>36</v>
      </c>
      <c r="N1828" t="str">
        <f>IFERROR(__xludf.DUMMYFUNCTION("""COMPUTED_VALUE"""),"Model 3 SR+")</f>
        <v>Model 3 SR+</v>
      </c>
      <c r="O1828" t="str">
        <f>IFERROR(__xludf.DUMMYFUNCTION("""COMPUTED_VALUE"""),"Red Multi-Coat")</f>
        <v>Red Multi-Coat</v>
      </c>
      <c r="P1828" t="str">
        <f>IFERROR(__xludf.DUMMYFUNCTION("""COMPUTED_VALUE"""),"18 inch Aero")</f>
        <v>18 inch Aero</v>
      </c>
      <c r="Q1828" t="str">
        <f>IFERROR(__xludf.DUMMYFUNCTION("""COMPUTED_VALUE"""),"Black seats")</f>
        <v>Black seats</v>
      </c>
      <c r="R1828" t="str">
        <f>IFERROR(__xludf.DUMMYFUNCTION("""COMPUTED_VALUE"""),"Autopilot")</f>
        <v>Autopilot</v>
      </c>
      <c r="X1828" t="str">
        <f>IFERROR(__xludf.DUMMYFUNCTION("""COMPUTED_VALUE"""),"Excellent")</f>
        <v>Excellent</v>
      </c>
      <c r="Y1828" t="str">
        <f>IFERROR(__xludf.DUMMYFUNCTION("""COMPUTED_VALUE"""),"Very Good")</f>
        <v>Very Good</v>
      </c>
      <c r="Z1828" t="str">
        <f>IFERROR(__xludf.DUMMYFUNCTION("""COMPUTED_VALUE"""),"Very Good")</f>
        <v>Very Good</v>
      </c>
      <c r="AA1828" t="str">
        <f>IFERROR(__xludf.DUMMYFUNCTION("""COMPUTED_VALUE"""),"Good")</f>
        <v>Good</v>
      </c>
      <c r="AB1828" t="str">
        <f>IFERROR(__xludf.DUMMYFUNCTION("""COMPUTED_VALUE"""),"Good")</f>
        <v>Good</v>
      </c>
      <c r="AH1828" s="189">
        <f>IFERROR(__xludf.DUMMYFUNCTION("""COMPUTED_VALUE"""),43640.597931446755)</f>
        <v>43640.59793</v>
      </c>
    </row>
    <row r="1829">
      <c r="A1829" t="str">
        <f>IFERROR(__xludf.DUMMYFUNCTION("""COMPUTED_VALUE"""),"nneusiuis")</f>
        <v>nneusiuis</v>
      </c>
      <c r="B1829" t="str">
        <f>IFERROR(__xludf.DUMMYFUNCTION("""COMPUTED_VALUE"""),"Madison")</f>
        <v>Madison</v>
      </c>
      <c r="C1829" t="str">
        <f>IFERROR(__xludf.DUMMYFUNCTION("""COMPUTED_VALUE"""),"WI")</f>
        <v>WI</v>
      </c>
      <c r="D1829" t="str">
        <f>IFERROR(__xludf.DUMMYFUNCTION("""COMPUTED_VALUE"""),"USA")</f>
        <v>USA</v>
      </c>
      <c r="E1829" s="188">
        <f>IFERROR(__xludf.DUMMYFUNCTION("""COMPUTED_VALUE"""),43585.0)</f>
        <v>43585</v>
      </c>
      <c r="F1829" s="188">
        <f>IFERROR(__xludf.DUMMYFUNCTION("""COMPUTED_VALUE"""),43589.0)</f>
        <v>43589</v>
      </c>
      <c r="H1829">
        <f>IFERROR(__xludf.DUMMYFUNCTION("""COMPUTED_VALUE"""),208755.0)</f>
        <v>208755</v>
      </c>
      <c r="I1829" t="str">
        <f>IFERROR(__xludf.DUMMYFUNCTION("""COMPUTED_VALUE"""),"04/19")</f>
        <v>04/19</v>
      </c>
      <c r="J1829" s="5">
        <f>IFERROR(__xludf.DUMMYFUNCTION("""COMPUTED_VALUE"""),43596.0)</f>
        <v>43596</v>
      </c>
      <c r="K1829">
        <f>IFERROR(__xludf.DUMMYFUNCTION("""COMPUTED_VALUE"""),4.0)</f>
        <v>4</v>
      </c>
      <c r="L1829">
        <f>IFERROR(__xludf.DUMMYFUNCTION("""COMPUTED_VALUE"""),7.0)</f>
        <v>7</v>
      </c>
      <c r="M1829">
        <f>IFERROR(__xludf.DUMMYFUNCTION("""COMPUTED_VALUE"""),11.0)</f>
        <v>11</v>
      </c>
      <c r="N1829" t="str">
        <f>IFERROR(__xludf.DUMMYFUNCTION("""COMPUTED_VALUE"""),"Model 3 LR AWD")</f>
        <v>Model 3 LR AWD</v>
      </c>
      <c r="O1829" t="str">
        <f>IFERROR(__xludf.DUMMYFUNCTION("""COMPUTED_VALUE"""),"Solid Black")</f>
        <v>Solid Black</v>
      </c>
      <c r="P1829" t="str">
        <f>IFERROR(__xludf.DUMMYFUNCTION("""COMPUTED_VALUE"""),"18 inch Aero")</f>
        <v>18 inch Aero</v>
      </c>
      <c r="Q1829" t="str">
        <f>IFERROR(__xludf.DUMMYFUNCTION("""COMPUTED_VALUE"""),"Black seats")</f>
        <v>Black seats</v>
      </c>
      <c r="R1829" t="str">
        <f>IFERROR(__xludf.DUMMYFUNCTION("""COMPUTED_VALUE"""),"Full Self-Driving")</f>
        <v>Full Self-Driving</v>
      </c>
      <c r="X1829" t="str">
        <f>IFERROR(__xludf.DUMMYFUNCTION("""COMPUTED_VALUE"""),"Excellent")</f>
        <v>Excellent</v>
      </c>
      <c r="Y1829" t="str">
        <f>IFERROR(__xludf.DUMMYFUNCTION("""COMPUTED_VALUE"""),"Very Good")</f>
        <v>Very Good</v>
      </c>
      <c r="Z1829" t="str">
        <f>IFERROR(__xludf.DUMMYFUNCTION("""COMPUTED_VALUE"""),"Excellent")</f>
        <v>Excellent</v>
      </c>
      <c r="AA1829" t="str">
        <f>IFERROR(__xludf.DUMMYFUNCTION("""COMPUTED_VALUE"""),"Fair")</f>
        <v>Fair</v>
      </c>
      <c r="AB1829" t="str">
        <f>IFERROR(__xludf.DUMMYFUNCTION("""COMPUTED_VALUE"""),"Fair")</f>
        <v>Fair</v>
      </c>
      <c r="AC1829">
        <f>IFERROR(__xludf.DUMMYFUNCTION("""COMPUTED_VALUE"""),0.0)</f>
        <v>0</v>
      </c>
      <c r="AD1829">
        <f>IFERROR(__xludf.DUMMYFUNCTION("""COMPUTED_VALUE"""),0.0)</f>
        <v>0</v>
      </c>
      <c r="AE1829">
        <f>IFERROR(__xludf.DUMMYFUNCTION("""COMPUTED_VALUE"""),0.0)</f>
        <v>0</v>
      </c>
      <c r="AH1829" s="189">
        <f>IFERROR(__xludf.DUMMYFUNCTION("""COMPUTED_VALUE"""),43641.42722773148)</f>
        <v>43641.42723</v>
      </c>
    </row>
    <row r="1830">
      <c r="A1830" t="str">
        <f>IFERROR(__xludf.DUMMYFUNCTION("""COMPUTED_VALUE"""),"TiMath")</f>
        <v>TiMath</v>
      </c>
      <c r="B1830" t="str">
        <f>IFERROR(__xludf.DUMMYFUNCTION("""COMPUTED_VALUE"""),"Quebec")</f>
        <v>Quebec</v>
      </c>
      <c r="C1830" t="str">
        <f>IFERROR(__xludf.DUMMYFUNCTION("""COMPUTED_VALUE"""),"QC")</f>
        <v>QC</v>
      </c>
      <c r="D1830" t="str">
        <f>IFERROR(__xludf.DUMMYFUNCTION("""COMPUTED_VALUE"""),"Canada")</f>
        <v>Canada</v>
      </c>
      <c r="E1830" s="188">
        <f>IFERROR(__xludf.DUMMYFUNCTION("""COMPUTED_VALUE"""),43587.0)</f>
        <v>43587</v>
      </c>
      <c r="F1830" s="188">
        <f>IFERROR(__xludf.DUMMYFUNCTION("""COMPUTED_VALUE"""),43607.0)</f>
        <v>43607</v>
      </c>
      <c r="H1830">
        <f>IFERROR(__xludf.DUMMYFUNCTION("""COMPUTED_VALUE"""),403055.0)</f>
        <v>403055</v>
      </c>
      <c r="J1830" s="5">
        <f>IFERROR(__xludf.DUMMYFUNCTION("""COMPUTED_VALUE"""),43627.0)</f>
        <v>43627</v>
      </c>
      <c r="K1830">
        <f>IFERROR(__xludf.DUMMYFUNCTION("""COMPUTED_VALUE"""),20.0)</f>
        <v>20</v>
      </c>
      <c r="L1830">
        <f>IFERROR(__xludf.DUMMYFUNCTION("""COMPUTED_VALUE"""),20.0)</f>
        <v>20</v>
      </c>
      <c r="M1830">
        <f>IFERROR(__xludf.DUMMYFUNCTION("""COMPUTED_VALUE"""),40.0)</f>
        <v>40</v>
      </c>
      <c r="N1830" t="str">
        <f>IFERROR(__xludf.DUMMYFUNCTION("""COMPUTED_VALUE"""),"Model 3 SR+")</f>
        <v>Model 3 SR+</v>
      </c>
      <c r="O1830" t="str">
        <f>IFERROR(__xludf.DUMMYFUNCTION("""COMPUTED_VALUE"""),"Solid Black")</f>
        <v>Solid Black</v>
      </c>
      <c r="P1830" t="str">
        <f>IFERROR(__xludf.DUMMYFUNCTION("""COMPUTED_VALUE"""),"18 inch Aero")</f>
        <v>18 inch Aero</v>
      </c>
      <c r="Q1830" t="str">
        <f>IFERROR(__xludf.DUMMYFUNCTION("""COMPUTED_VALUE"""),"Black seats")</f>
        <v>Black seats</v>
      </c>
      <c r="R1830" t="str">
        <f>IFERROR(__xludf.DUMMYFUNCTION("""COMPUTED_VALUE"""),"Autopilot")</f>
        <v>Autopilot</v>
      </c>
      <c r="X1830" t="str">
        <f>IFERROR(__xludf.DUMMYFUNCTION("""COMPUTED_VALUE"""),"Excellent")</f>
        <v>Excellent</v>
      </c>
      <c r="Y1830" t="str">
        <f>IFERROR(__xludf.DUMMYFUNCTION("""COMPUTED_VALUE"""),"Very Good")</f>
        <v>Very Good</v>
      </c>
      <c r="Z1830" t="str">
        <f>IFERROR(__xludf.DUMMYFUNCTION("""COMPUTED_VALUE"""),"Very Good")</f>
        <v>Very Good</v>
      </c>
      <c r="AA1830" t="str">
        <f>IFERROR(__xludf.DUMMYFUNCTION("""COMPUTED_VALUE"""),"Poor")</f>
        <v>Poor</v>
      </c>
      <c r="AB1830" t="str">
        <f>IFERROR(__xludf.DUMMYFUNCTION("""COMPUTED_VALUE"""),"Very Good")</f>
        <v>Very Good</v>
      </c>
      <c r="AC1830">
        <f>IFERROR(__xludf.DUMMYFUNCTION("""COMPUTED_VALUE"""),3.0)</f>
        <v>3</v>
      </c>
      <c r="AD1830">
        <f>IFERROR(__xludf.DUMMYFUNCTION("""COMPUTED_VALUE"""),1.0)</f>
        <v>1</v>
      </c>
      <c r="AE1830">
        <f>IFERROR(__xludf.DUMMYFUNCTION("""COMPUTED_VALUE"""),1.0)</f>
        <v>1</v>
      </c>
      <c r="AG1830" t="str">
        <f>IFERROR(__xludf.DUMMYFUNCTION("""COMPUTED_VALUE"""),"Car was at service center on june 8 but no delevery appointment possible until june 11")</f>
        <v>Car was at service center on june 8 but no delevery appointment possible until june 11</v>
      </c>
      <c r="AH1830" s="189">
        <f>IFERROR(__xludf.DUMMYFUNCTION("""COMPUTED_VALUE"""),43641.522411550926)</f>
        <v>43641.52241</v>
      </c>
    </row>
    <row r="1831">
      <c r="A1831" t="str">
        <f>IFERROR(__xludf.DUMMYFUNCTION("""COMPUTED_VALUE"""),"Syed")</f>
        <v>Syed</v>
      </c>
      <c r="B1831" t="str">
        <f>IFERROR(__xludf.DUMMYFUNCTION("""COMPUTED_VALUE"""),"Lake Forest")</f>
        <v>Lake Forest</v>
      </c>
      <c r="C1831" t="str">
        <f>IFERROR(__xludf.DUMMYFUNCTION("""COMPUTED_VALUE"""),"CA")</f>
        <v>CA</v>
      </c>
      <c r="D1831" t="str">
        <f>IFERROR(__xludf.DUMMYFUNCTION("""COMPUTED_VALUE"""),"USA")</f>
        <v>USA</v>
      </c>
      <c r="E1831" s="188">
        <f>IFERROR(__xludf.DUMMYFUNCTION("""COMPUTED_VALUE"""),43625.0)</f>
        <v>43625</v>
      </c>
      <c r="F1831" s="188">
        <f>IFERROR(__xludf.DUMMYFUNCTION("""COMPUTED_VALUE"""),43630.0)</f>
        <v>43630</v>
      </c>
      <c r="H1831">
        <f>IFERROR(__xludf.DUMMYFUNCTION("""COMPUTED_VALUE"""),356677.0)</f>
        <v>356677</v>
      </c>
      <c r="J1831" s="5">
        <f>IFERROR(__xludf.DUMMYFUNCTION("""COMPUTED_VALUE"""),43638.0)</f>
        <v>43638</v>
      </c>
      <c r="K1831">
        <f>IFERROR(__xludf.DUMMYFUNCTION("""COMPUTED_VALUE"""),5.0)</f>
        <v>5</v>
      </c>
      <c r="L1831">
        <f>IFERROR(__xludf.DUMMYFUNCTION("""COMPUTED_VALUE"""),8.0)</f>
        <v>8</v>
      </c>
      <c r="M1831">
        <f>IFERROR(__xludf.DUMMYFUNCTION("""COMPUTED_VALUE"""),13.0)</f>
        <v>13</v>
      </c>
      <c r="N1831" t="str">
        <f>IFERROR(__xludf.DUMMYFUNCTION("""COMPUTED_VALUE"""),"Model 3 LR")</f>
        <v>Model 3 LR</v>
      </c>
      <c r="O1831" t="str">
        <f>IFERROR(__xludf.DUMMYFUNCTION("""COMPUTED_VALUE"""),"Deep Blue Metallic")</f>
        <v>Deep Blue Metallic</v>
      </c>
      <c r="P1831" t="str">
        <f>IFERROR(__xludf.DUMMYFUNCTION("""COMPUTED_VALUE"""),"18 inch Aero")</f>
        <v>18 inch Aero</v>
      </c>
      <c r="Q1831" t="str">
        <f>IFERROR(__xludf.DUMMYFUNCTION("""COMPUTED_VALUE"""),"Black seats")</f>
        <v>Black seats</v>
      </c>
      <c r="R1831" t="str">
        <f>IFERROR(__xludf.DUMMYFUNCTION("""COMPUTED_VALUE"""),"Autopilot")</f>
        <v>Autopilot</v>
      </c>
      <c r="X1831" t="str">
        <f>IFERROR(__xludf.DUMMYFUNCTION("""COMPUTED_VALUE"""),"Fair")</f>
        <v>Fair</v>
      </c>
      <c r="Y1831" t="str">
        <f>IFERROR(__xludf.DUMMYFUNCTION("""COMPUTED_VALUE"""),"Excellent")</f>
        <v>Excellent</v>
      </c>
      <c r="Z1831" t="str">
        <f>IFERROR(__xludf.DUMMYFUNCTION("""COMPUTED_VALUE"""),"Good")</f>
        <v>Good</v>
      </c>
      <c r="AA1831" t="str">
        <f>IFERROR(__xludf.DUMMYFUNCTION("""COMPUTED_VALUE"""),"Excellent")</f>
        <v>Excellent</v>
      </c>
      <c r="AB1831" t="str">
        <f>IFERROR(__xludf.DUMMYFUNCTION("""COMPUTED_VALUE"""),"Very Good")</f>
        <v>Very Good</v>
      </c>
      <c r="AG1831" t="str">
        <f>IFERROR(__xludf.DUMMYFUNCTION("""COMPUTED_VALUE"""),"Originally Ordered SR+")</f>
        <v>Originally Ordered SR+</v>
      </c>
      <c r="AH1831" s="189">
        <f>IFERROR(__xludf.DUMMYFUNCTION("""COMPUTED_VALUE"""),43641.61580226852)</f>
        <v>43641.6158</v>
      </c>
    </row>
    <row r="1832">
      <c r="A1832" t="str">
        <f>IFERROR(__xludf.DUMMYFUNCTION("""COMPUTED_VALUE"""),"drawde")</f>
        <v>drawde</v>
      </c>
      <c r="B1832" t="str">
        <f>IFERROR(__xludf.DUMMYFUNCTION("""COMPUTED_VALUE"""),"Jersey City")</f>
        <v>Jersey City</v>
      </c>
      <c r="C1832" t="str">
        <f>IFERROR(__xludf.DUMMYFUNCTION("""COMPUTED_VALUE"""),"NJ")</f>
        <v>NJ</v>
      </c>
      <c r="D1832" t="str">
        <f>IFERROR(__xludf.DUMMYFUNCTION("""COMPUTED_VALUE"""),"USA")</f>
        <v>USA</v>
      </c>
      <c r="E1832" s="188">
        <f>IFERROR(__xludf.DUMMYFUNCTION("""COMPUTED_VALUE"""),43622.0)</f>
        <v>43622</v>
      </c>
      <c r="F1832" s="188">
        <f>IFERROR(__xludf.DUMMYFUNCTION("""COMPUTED_VALUE"""),43631.0)</f>
        <v>43631</v>
      </c>
      <c r="H1832">
        <f>IFERROR(__xludf.DUMMYFUNCTION("""COMPUTED_VALUE"""),407355.0)</f>
        <v>407355</v>
      </c>
      <c r="I1832" t="str">
        <f>IFERROR(__xludf.DUMMYFUNCTION("""COMPUTED_VALUE"""),"06/19")</f>
        <v>06/19</v>
      </c>
      <c r="J1832" s="5">
        <f>IFERROR(__xludf.DUMMYFUNCTION("""COMPUTED_VALUE"""),43641.0)</f>
        <v>43641</v>
      </c>
      <c r="K1832">
        <f>IFERROR(__xludf.DUMMYFUNCTION("""COMPUTED_VALUE"""),9.0)</f>
        <v>9</v>
      </c>
      <c r="L1832">
        <f>IFERROR(__xludf.DUMMYFUNCTION("""COMPUTED_VALUE"""),10.0)</f>
        <v>10</v>
      </c>
      <c r="M1832">
        <f>IFERROR(__xludf.DUMMYFUNCTION("""COMPUTED_VALUE"""),19.0)</f>
        <v>19</v>
      </c>
      <c r="N1832" t="str">
        <f>IFERROR(__xludf.DUMMYFUNCTION("""COMPUTED_VALUE"""),"Model 3 Performance")</f>
        <v>Model 3 Performance</v>
      </c>
      <c r="O1832" t="str">
        <f>IFERROR(__xludf.DUMMYFUNCTION("""COMPUTED_VALUE"""),"Solid Black")</f>
        <v>Solid Black</v>
      </c>
      <c r="P1832" t="str">
        <f>IFERROR(__xludf.DUMMYFUNCTION("""COMPUTED_VALUE"""),"20 inch Sport")</f>
        <v>20 inch Sport</v>
      </c>
      <c r="Q1832" t="str">
        <f>IFERROR(__xludf.DUMMYFUNCTION("""COMPUTED_VALUE"""),"White seats")</f>
        <v>White seats</v>
      </c>
      <c r="R1832" t="str">
        <f>IFERROR(__xludf.DUMMYFUNCTION("""COMPUTED_VALUE"""),"Full Self-Driving")</f>
        <v>Full Self-Driving</v>
      </c>
      <c r="X1832" t="str">
        <f>IFERROR(__xludf.DUMMYFUNCTION("""COMPUTED_VALUE"""),"Very Good")</f>
        <v>Very Good</v>
      </c>
      <c r="Y1832" t="str">
        <f>IFERROR(__xludf.DUMMYFUNCTION("""COMPUTED_VALUE"""),"Very Good")</f>
        <v>Very Good</v>
      </c>
      <c r="Z1832" t="str">
        <f>IFERROR(__xludf.DUMMYFUNCTION("""COMPUTED_VALUE"""),"Poor")</f>
        <v>Poor</v>
      </c>
      <c r="AA1832" t="str">
        <f>IFERROR(__xludf.DUMMYFUNCTION("""COMPUTED_VALUE"""),"Good")</f>
        <v>Good</v>
      </c>
      <c r="AB1832" t="str">
        <f>IFERROR(__xludf.DUMMYFUNCTION("""COMPUTED_VALUE"""),"Very Good")</f>
        <v>Very Good</v>
      </c>
      <c r="AH1832" s="189">
        <f>IFERROR(__xludf.DUMMYFUNCTION("""COMPUTED_VALUE"""),43641.7434760301)</f>
        <v>43641.74348</v>
      </c>
    </row>
    <row r="1833">
      <c r="A1833" t="str">
        <f>IFERROR(__xludf.DUMMYFUNCTION("""COMPUTED_VALUE"""),"llluis")</f>
        <v>llluis</v>
      </c>
      <c r="B1833" t="str">
        <f>IFERROR(__xludf.DUMMYFUNCTION("""COMPUTED_VALUE"""),"Quebec")</f>
        <v>Quebec</v>
      </c>
      <c r="C1833" t="str">
        <f>IFERROR(__xludf.DUMMYFUNCTION("""COMPUTED_VALUE"""),"QC")</f>
        <v>QC</v>
      </c>
      <c r="D1833" t="str">
        <f>IFERROR(__xludf.DUMMYFUNCTION("""COMPUTED_VALUE"""),"Canada")</f>
        <v>Canada</v>
      </c>
      <c r="E1833" s="188">
        <f>IFERROR(__xludf.DUMMYFUNCTION("""COMPUTED_VALUE"""),43613.0)</f>
        <v>43613</v>
      </c>
      <c r="F1833" s="188">
        <f>IFERROR(__xludf.DUMMYFUNCTION("""COMPUTED_VALUE"""),43625.0)</f>
        <v>43625</v>
      </c>
      <c r="H1833">
        <f>IFERROR(__xludf.DUMMYFUNCTION("""COMPUTED_VALUE"""),419055.0)</f>
        <v>419055</v>
      </c>
      <c r="I1833" t="str">
        <f>IFERROR(__xludf.DUMMYFUNCTION("""COMPUTED_VALUE"""),"06/19")</f>
        <v>06/19</v>
      </c>
      <c r="J1833" s="5">
        <f>IFERROR(__xludf.DUMMYFUNCTION("""COMPUTED_VALUE"""),43641.0)</f>
        <v>43641</v>
      </c>
      <c r="K1833">
        <f>IFERROR(__xludf.DUMMYFUNCTION("""COMPUTED_VALUE"""),12.0)</f>
        <v>12</v>
      </c>
      <c r="L1833">
        <f>IFERROR(__xludf.DUMMYFUNCTION("""COMPUTED_VALUE"""),16.0)</f>
        <v>16</v>
      </c>
      <c r="M1833">
        <f>IFERROR(__xludf.DUMMYFUNCTION("""COMPUTED_VALUE"""),28.0)</f>
        <v>28</v>
      </c>
      <c r="N1833" t="str">
        <f>IFERROR(__xludf.DUMMYFUNCTION("""COMPUTED_VALUE"""),"Model 3 SR+")</f>
        <v>Model 3 SR+</v>
      </c>
      <c r="O1833" t="str">
        <f>IFERROR(__xludf.DUMMYFUNCTION("""COMPUTED_VALUE"""),"Deep Blue Metallic")</f>
        <v>Deep Blue Metallic</v>
      </c>
      <c r="P1833" t="str">
        <f>IFERROR(__xludf.DUMMYFUNCTION("""COMPUTED_VALUE"""),"18 inch Aero")</f>
        <v>18 inch Aero</v>
      </c>
      <c r="Q1833" t="str">
        <f>IFERROR(__xludf.DUMMYFUNCTION("""COMPUTED_VALUE"""),"Black seats")</f>
        <v>Black seats</v>
      </c>
      <c r="R1833" t="str">
        <f>IFERROR(__xludf.DUMMYFUNCTION("""COMPUTED_VALUE"""),"Full Self-Driving")</f>
        <v>Full Self-Driving</v>
      </c>
      <c r="X1833" t="str">
        <f>IFERROR(__xludf.DUMMYFUNCTION("""COMPUTED_VALUE"""),"Excellent")</f>
        <v>Excellent</v>
      </c>
      <c r="Y1833" t="str">
        <f>IFERROR(__xludf.DUMMYFUNCTION("""COMPUTED_VALUE"""),"Excellent")</f>
        <v>Excellent</v>
      </c>
      <c r="Z1833" t="str">
        <f>IFERROR(__xludf.DUMMYFUNCTION("""COMPUTED_VALUE"""),"Very Good")</f>
        <v>Very Good</v>
      </c>
      <c r="AA1833" t="str">
        <f>IFERROR(__xludf.DUMMYFUNCTION("""COMPUTED_VALUE"""),"Very Good")</f>
        <v>Very Good</v>
      </c>
      <c r="AB1833" t="str">
        <f>IFERROR(__xludf.DUMMYFUNCTION("""COMPUTED_VALUE"""),"Excellent")</f>
        <v>Excellent</v>
      </c>
      <c r="AC1833">
        <f>IFERROR(__xludf.DUMMYFUNCTION("""COMPUTED_VALUE"""),1.0)</f>
        <v>1</v>
      </c>
      <c r="AH1833" s="189">
        <f>IFERROR(__xludf.DUMMYFUNCTION("""COMPUTED_VALUE"""),43641.860776817135)</f>
        <v>43641.86078</v>
      </c>
    </row>
    <row r="1834">
      <c r="A1834" t="str">
        <f>IFERROR(__xludf.DUMMYFUNCTION("""COMPUTED_VALUE"""),"nightfury")</f>
        <v>nightfury</v>
      </c>
      <c r="B1834" t="str">
        <f>IFERROR(__xludf.DUMMYFUNCTION("""COMPUTED_VALUE"""),"San Jose")</f>
        <v>San Jose</v>
      </c>
      <c r="C1834" t="str">
        <f>IFERROR(__xludf.DUMMYFUNCTION("""COMPUTED_VALUE"""),"CA")</f>
        <v>CA</v>
      </c>
      <c r="D1834" t="str">
        <f>IFERROR(__xludf.DUMMYFUNCTION("""COMPUTED_VALUE"""),"USA")</f>
        <v>USA</v>
      </c>
      <c r="E1834" s="188">
        <f>IFERROR(__xludf.DUMMYFUNCTION("""COMPUTED_VALUE"""),43611.0)</f>
        <v>43611</v>
      </c>
      <c r="F1834" s="188">
        <f>IFERROR(__xludf.DUMMYFUNCTION("""COMPUTED_VALUE"""),40708.0)</f>
        <v>40708</v>
      </c>
      <c r="H1834">
        <f>IFERROR(__xludf.DUMMYFUNCTION("""COMPUTED_VALUE"""),337755.0)</f>
        <v>337755</v>
      </c>
      <c r="I1834" t="str">
        <f>IFERROR(__xludf.DUMMYFUNCTION("""COMPUTED_VALUE"""),"06/19")</f>
        <v>06/19</v>
      </c>
      <c r="J1834" s="5">
        <f>IFERROR(__xludf.DUMMYFUNCTION("""COMPUTED_VALUE"""),43640.0)</f>
        <v>43640</v>
      </c>
      <c r="M1834">
        <f>IFERROR(__xludf.DUMMYFUNCTION("""COMPUTED_VALUE"""),29.0)</f>
        <v>29</v>
      </c>
      <c r="N1834" t="str">
        <f>IFERROR(__xludf.DUMMYFUNCTION("""COMPUTED_VALUE"""),"Model 3 LR")</f>
        <v>Model 3 LR</v>
      </c>
      <c r="O1834" t="str">
        <f>IFERROR(__xludf.DUMMYFUNCTION("""COMPUTED_VALUE"""),"Solid Black")</f>
        <v>Solid Black</v>
      </c>
      <c r="P1834" t="str">
        <f>IFERROR(__xludf.DUMMYFUNCTION("""COMPUTED_VALUE"""),"19 inch Sport")</f>
        <v>19 inch Sport</v>
      </c>
      <c r="Q1834" t="str">
        <f>IFERROR(__xludf.DUMMYFUNCTION("""COMPUTED_VALUE"""),"Black seats")</f>
        <v>Black seats</v>
      </c>
      <c r="R1834" t="str">
        <f>IFERROR(__xludf.DUMMYFUNCTION("""COMPUTED_VALUE"""),"Autopilot")</f>
        <v>Autopilot</v>
      </c>
      <c r="X1834" t="str">
        <f>IFERROR(__xludf.DUMMYFUNCTION("""COMPUTED_VALUE"""),"Excellent")</f>
        <v>Excellent</v>
      </c>
      <c r="Y1834" t="str">
        <f>IFERROR(__xludf.DUMMYFUNCTION("""COMPUTED_VALUE"""),"Excellent")</f>
        <v>Excellent</v>
      </c>
      <c r="Z1834" t="str">
        <f>IFERROR(__xludf.DUMMYFUNCTION("""COMPUTED_VALUE"""),"Excellent")</f>
        <v>Excellent</v>
      </c>
      <c r="AA1834" t="str">
        <f>IFERROR(__xludf.DUMMYFUNCTION("""COMPUTED_VALUE"""),"Very Good")</f>
        <v>Very Good</v>
      </c>
      <c r="AB1834" t="str">
        <f>IFERROR(__xludf.DUMMYFUNCTION("""COMPUTED_VALUE"""),"Good")</f>
        <v>Good</v>
      </c>
      <c r="AH1834" s="189">
        <f>IFERROR(__xludf.DUMMYFUNCTION("""COMPUTED_VALUE"""),43642.36333744213)</f>
        <v>43642.36334</v>
      </c>
    </row>
    <row r="1835">
      <c r="A1835" t="str">
        <f>IFERROR(__xludf.DUMMYFUNCTION("""COMPUTED_VALUE"""),"waterbottleman")</f>
        <v>waterbottleman</v>
      </c>
      <c r="B1835" t="str">
        <f>IFERROR(__xludf.DUMMYFUNCTION("""COMPUTED_VALUE"""),"Bentonville")</f>
        <v>Bentonville</v>
      </c>
      <c r="C1835" t="str">
        <f>IFERROR(__xludf.DUMMYFUNCTION("""COMPUTED_VALUE"""),"AR")</f>
        <v>AR</v>
      </c>
      <c r="D1835" t="str">
        <f>IFERROR(__xludf.DUMMYFUNCTION("""COMPUTED_VALUE"""),"USA")</f>
        <v>USA</v>
      </c>
      <c r="E1835" s="188">
        <f>IFERROR(__xludf.DUMMYFUNCTION("""COMPUTED_VALUE"""),43625.0)</f>
        <v>43625</v>
      </c>
      <c r="F1835" s="188">
        <f>IFERROR(__xludf.DUMMYFUNCTION("""COMPUTED_VALUE"""),43633.0)</f>
        <v>43633</v>
      </c>
      <c r="H1835">
        <f>IFERROR(__xludf.DUMMYFUNCTION("""COMPUTED_VALUE"""),416605.0)</f>
        <v>416605</v>
      </c>
      <c r="J1835" s="5">
        <f>IFERROR(__xludf.DUMMYFUNCTION("""COMPUTED_VALUE"""),43640.0)</f>
        <v>43640</v>
      </c>
      <c r="K1835">
        <f>IFERROR(__xludf.DUMMYFUNCTION("""COMPUTED_VALUE"""),8.0)</f>
        <v>8</v>
      </c>
      <c r="L1835">
        <f>IFERROR(__xludf.DUMMYFUNCTION("""COMPUTED_VALUE"""),7.0)</f>
        <v>7</v>
      </c>
      <c r="M1835">
        <f>IFERROR(__xludf.DUMMYFUNCTION("""COMPUTED_VALUE"""),15.0)</f>
        <v>15</v>
      </c>
      <c r="N1835" t="str">
        <f>IFERROR(__xludf.DUMMYFUNCTION("""COMPUTED_VALUE"""),"Model 3 SR+")</f>
        <v>Model 3 SR+</v>
      </c>
      <c r="O1835" t="str">
        <f>IFERROR(__xludf.DUMMYFUNCTION("""COMPUTED_VALUE"""),"Pearl White Multi-Coat")</f>
        <v>Pearl White Multi-Coat</v>
      </c>
      <c r="P1835" t="str">
        <f>IFERROR(__xludf.DUMMYFUNCTION("""COMPUTED_VALUE"""),"18 inch Aero")</f>
        <v>18 inch Aero</v>
      </c>
      <c r="Q1835" t="str">
        <f>IFERROR(__xludf.DUMMYFUNCTION("""COMPUTED_VALUE"""),"Black seats")</f>
        <v>Black seats</v>
      </c>
      <c r="R1835" t="str">
        <f>IFERROR(__xludf.DUMMYFUNCTION("""COMPUTED_VALUE"""),"Full Self-Driving")</f>
        <v>Full Self-Driving</v>
      </c>
      <c r="X1835" t="str">
        <f>IFERROR(__xludf.DUMMYFUNCTION("""COMPUTED_VALUE"""),"Very Good")</f>
        <v>Very Good</v>
      </c>
      <c r="Y1835" t="str">
        <f>IFERROR(__xludf.DUMMYFUNCTION("""COMPUTED_VALUE"""),"Excellent")</f>
        <v>Excellent</v>
      </c>
      <c r="Z1835" t="str">
        <f>IFERROR(__xludf.DUMMYFUNCTION("""COMPUTED_VALUE"""),"Excellent")</f>
        <v>Excellent</v>
      </c>
      <c r="AA1835" t="str">
        <f>IFERROR(__xludf.DUMMYFUNCTION("""COMPUTED_VALUE"""),"Very Good")</f>
        <v>Very Good</v>
      </c>
      <c r="AB1835" t="str">
        <f>IFERROR(__xludf.DUMMYFUNCTION("""COMPUTED_VALUE"""),"Very Good")</f>
        <v>Very Good</v>
      </c>
      <c r="AC1835">
        <f>IFERROR(__xludf.DUMMYFUNCTION("""COMPUTED_VALUE"""),0.0)</f>
        <v>0</v>
      </c>
      <c r="AD1835">
        <f>IFERROR(__xludf.DUMMYFUNCTION("""COMPUTED_VALUE"""),0.0)</f>
        <v>0</v>
      </c>
      <c r="AE1835">
        <f>IFERROR(__xludf.DUMMYFUNCTION("""COMPUTED_VALUE"""),0.0)</f>
        <v>0</v>
      </c>
      <c r="AH1835" s="189">
        <f>IFERROR(__xludf.DUMMYFUNCTION("""COMPUTED_VALUE"""),43642.81136710648)</f>
        <v>43642.81137</v>
      </c>
    </row>
    <row r="1836">
      <c r="A1836" t="str">
        <f>IFERROR(__xludf.DUMMYFUNCTION("""COMPUTED_VALUE"""),"Hypn0s")</f>
        <v>Hypn0s</v>
      </c>
      <c r="B1836" t="str">
        <f>IFERROR(__xludf.DUMMYFUNCTION("""COMPUTED_VALUE"""),"Bay area")</f>
        <v>Bay area</v>
      </c>
      <c r="C1836" t="str">
        <f>IFERROR(__xludf.DUMMYFUNCTION("""COMPUTED_VALUE"""),"CA")</f>
        <v>CA</v>
      </c>
      <c r="D1836" t="str">
        <f>IFERROR(__xludf.DUMMYFUNCTION("""COMPUTED_VALUE"""),"USA")</f>
        <v>USA</v>
      </c>
      <c r="E1836" s="188">
        <f>IFERROR(__xludf.DUMMYFUNCTION("""COMPUTED_VALUE"""),43629.0)</f>
        <v>43629</v>
      </c>
      <c r="F1836" s="188">
        <f>IFERROR(__xludf.DUMMYFUNCTION("""COMPUTED_VALUE"""),43641.0)</f>
        <v>43641</v>
      </c>
      <c r="H1836">
        <f>IFERROR(__xludf.DUMMYFUNCTION("""COMPUTED_VALUE"""),421555.0)</f>
        <v>421555</v>
      </c>
      <c r="I1836" t="str">
        <f>IFERROR(__xludf.DUMMYFUNCTION("""COMPUTED_VALUE"""),"06/19")</f>
        <v>06/19</v>
      </c>
      <c r="J1836" s="5">
        <f>IFERROR(__xludf.DUMMYFUNCTION("""COMPUTED_VALUE"""),43642.0)</f>
        <v>43642</v>
      </c>
      <c r="K1836">
        <f>IFERROR(__xludf.DUMMYFUNCTION("""COMPUTED_VALUE"""),12.0)</f>
        <v>12</v>
      </c>
      <c r="L1836">
        <f>IFERROR(__xludf.DUMMYFUNCTION("""COMPUTED_VALUE"""),1.0)</f>
        <v>1</v>
      </c>
      <c r="M1836">
        <f>IFERROR(__xludf.DUMMYFUNCTION("""COMPUTED_VALUE"""),13.0)</f>
        <v>13</v>
      </c>
      <c r="N1836" t="str">
        <f>IFERROR(__xludf.DUMMYFUNCTION("""COMPUTED_VALUE"""),"Model 3 LR AWD")</f>
        <v>Model 3 LR AWD</v>
      </c>
      <c r="O1836" t="str">
        <f>IFERROR(__xludf.DUMMYFUNCTION("""COMPUTED_VALUE"""),"Pearl White Multi-Coat")</f>
        <v>Pearl White Multi-Coat</v>
      </c>
      <c r="P1836" t="str">
        <f>IFERROR(__xludf.DUMMYFUNCTION("""COMPUTED_VALUE"""),"18 inch Aero")</f>
        <v>18 inch Aero</v>
      </c>
      <c r="Q1836" t="str">
        <f>IFERROR(__xludf.DUMMYFUNCTION("""COMPUTED_VALUE"""),"White seats")</f>
        <v>White seats</v>
      </c>
      <c r="R1836" t="str">
        <f>IFERROR(__xludf.DUMMYFUNCTION("""COMPUTED_VALUE"""),"Full Self-Driving")</f>
        <v>Full Self-Driving</v>
      </c>
      <c r="X1836" t="str">
        <f>IFERROR(__xludf.DUMMYFUNCTION("""COMPUTED_VALUE"""),"Excellent")</f>
        <v>Excellent</v>
      </c>
      <c r="Y1836" t="str">
        <f>IFERROR(__xludf.DUMMYFUNCTION("""COMPUTED_VALUE"""),"Excellent")</f>
        <v>Excellent</v>
      </c>
      <c r="Z1836" t="str">
        <f>IFERROR(__xludf.DUMMYFUNCTION("""COMPUTED_VALUE"""),"Excellent")</f>
        <v>Excellent</v>
      </c>
      <c r="AA1836" t="str">
        <f>IFERROR(__xludf.DUMMYFUNCTION("""COMPUTED_VALUE"""),"Excellent")</f>
        <v>Excellent</v>
      </c>
      <c r="AB1836" t="str">
        <f>IFERROR(__xludf.DUMMYFUNCTION("""COMPUTED_VALUE"""),"Excellent")</f>
        <v>Excellent</v>
      </c>
      <c r="AH1836" s="189">
        <f>IFERROR(__xludf.DUMMYFUNCTION("""COMPUTED_VALUE"""),43643.38789254629)</f>
        <v>43643.38789</v>
      </c>
    </row>
    <row r="1837">
      <c r="A1837" t="str">
        <f>IFERROR(__xludf.DUMMYFUNCTION("""COMPUTED_VALUE"""),"murty34367")</f>
        <v>murty34367</v>
      </c>
      <c r="B1837" t="str">
        <f>IFERROR(__xludf.DUMMYFUNCTION("""COMPUTED_VALUE"""),"Omaha")</f>
        <v>Omaha</v>
      </c>
      <c r="C1837" t="str">
        <f>IFERROR(__xludf.DUMMYFUNCTION("""COMPUTED_VALUE"""),"NE")</f>
        <v>NE</v>
      </c>
      <c r="D1837" t="str">
        <f>IFERROR(__xludf.DUMMYFUNCTION("""COMPUTED_VALUE"""),"USA")</f>
        <v>USA</v>
      </c>
      <c r="E1837" s="188">
        <f>IFERROR(__xludf.DUMMYFUNCTION("""COMPUTED_VALUE"""),43634.0)</f>
        <v>43634</v>
      </c>
      <c r="F1837" s="188">
        <f>IFERROR(__xludf.DUMMYFUNCTION("""COMPUTED_VALUE"""),43636.0)</f>
        <v>43636</v>
      </c>
      <c r="H1837">
        <f>IFERROR(__xludf.DUMMYFUNCTION("""COMPUTED_VALUE"""),411755.0)</f>
        <v>411755</v>
      </c>
      <c r="J1837" s="5">
        <f>IFERROR(__xludf.DUMMYFUNCTION("""COMPUTED_VALUE"""),43643.0)</f>
        <v>43643</v>
      </c>
      <c r="K1837">
        <f>IFERROR(__xludf.DUMMYFUNCTION("""COMPUTED_VALUE"""),2.0)</f>
        <v>2</v>
      </c>
      <c r="L1837">
        <f>IFERROR(__xludf.DUMMYFUNCTION("""COMPUTED_VALUE"""),7.0)</f>
        <v>7</v>
      </c>
      <c r="M1837">
        <f>IFERROR(__xludf.DUMMYFUNCTION("""COMPUTED_VALUE"""),9.0)</f>
        <v>9</v>
      </c>
      <c r="N1837" t="str">
        <f>IFERROR(__xludf.DUMMYFUNCTION("""COMPUTED_VALUE"""),"Model 3 SR+")</f>
        <v>Model 3 SR+</v>
      </c>
      <c r="O1837" t="str">
        <f>IFERROR(__xludf.DUMMYFUNCTION("""COMPUTED_VALUE"""),"Deep Blue Metallic")</f>
        <v>Deep Blue Metallic</v>
      </c>
      <c r="P1837" t="str">
        <f>IFERROR(__xludf.DUMMYFUNCTION("""COMPUTED_VALUE"""),"18 inch Aero")</f>
        <v>18 inch Aero</v>
      </c>
      <c r="Q1837" t="str">
        <f>IFERROR(__xludf.DUMMYFUNCTION("""COMPUTED_VALUE"""),"Black seats")</f>
        <v>Black seats</v>
      </c>
      <c r="R1837" t="str">
        <f>IFERROR(__xludf.DUMMYFUNCTION("""COMPUTED_VALUE"""),"Full Self-Driving")</f>
        <v>Full Self-Driving</v>
      </c>
      <c r="X1837" t="str">
        <f>IFERROR(__xludf.DUMMYFUNCTION("""COMPUTED_VALUE"""),"Excellent")</f>
        <v>Excellent</v>
      </c>
      <c r="Y1837" t="str">
        <f>IFERROR(__xludf.DUMMYFUNCTION("""COMPUTED_VALUE"""),"Excellent")</f>
        <v>Excellent</v>
      </c>
      <c r="Z1837" t="str">
        <f>IFERROR(__xludf.DUMMYFUNCTION("""COMPUTED_VALUE"""),"Excellent")</f>
        <v>Excellent</v>
      </c>
      <c r="AA1837" t="str">
        <f>IFERROR(__xludf.DUMMYFUNCTION("""COMPUTED_VALUE"""),"Excellent")</f>
        <v>Excellent</v>
      </c>
      <c r="AB1837" t="str">
        <f>IFERROR(__xludf.DUMMYFUNCTION("""COMPUTED_VALUE"""),"Excellent")</f>
        <v>Excellent</v>
      </c>
      <c r="AG1837" t="str">
        <f>IFERROR(__xludf.DUMMYFUNCTION("""COMPUTED_VALUE"""),"My Model 3 was delivered at my house 2 days before the scheduled date")</f>
        <v>My Model 3 was delivered at my house 2 days before the scheduled date</v>
      </c>
      <c r="AH1837" s="189">
        <f>IFERROR(__xludf.DUMMYFUNCTION("""COMPUTED_VALUE"""),43643.59979769676)</f>
        <v>43643.5998</v>
      </c>
    </row>
    <row r="1838">
      <c r="A1838" t="str">
        <f>IFERROR(__xludf.DUMMYFUNCTION("""COMPUTED_VALUE"""),"RL")</f>
        <v>RL</v>
      </c>
      <c r="C1838" t="str">
        <f>IFERROR(__xludf.DUMMYFUNCTION("""COMPUTED_VALUE"""),"PA")</f>
        <v>PA</v>
      </c>
      <c r="D1838" t="str">
        <f>IFERROR(__xludf.DUMMYFUNCTION("""COMPUTED_VALUE"""),"USA")</f>
        <v>USA</v>
      </c>
      <c r="E1838" s="188">
        <f>IFERROR(__xludf.DUMMYFUNCTION("""COMPUTED_VALUE"""),43624.0)</f>
        <v>43624</v>
      </c>
      <c r="F1838" s="188">
        <f>IFERROR(__xludf.DUMMYFUNCTION("""COMPUTED_VALUE"""),43634.0)</f>
        <v>43634</v>
      </c>
      <c r="H1838">
        <f>IFERROR(__xludf.DUMMYFUNCTION("""COMPUTED_VALUE"""),396155.0)</f>
        <v>396155</v>
      </c>
      <c r="J1838" s="5">
        <f>IFERROR(__xludf.DUMMYFUNCTION("""COMPUTED_VALUE"""),43640.0)</f>
        <v>43640</v>
      </c>
      <c r="K1838">
        <f>IFERROR(__xludf.DUMMYFUNCTION("""COMPUTED_VALUE"""),10.0)</f>
        <v>10</v>
      </c>
      <c r="L1838">
        <f>IFERROR(__xludf.DUMMYFUNCTION("""COMPUTED_VALUE"""),6.0)</f>
        <v>6</v>
      </c>
      <c r="M1838">
        <f>IFERROR(__xludf.DUMMYFUNCTION("""COMPUTED_VALUE"""),16.0)</f>
        <v>16</v>
      </c>
      <c r="N1838" t="str">
        <f>IFERROR(__xludf.DUMMYFUNCTION("""COMPUTED_VALUE"""),"Model 3 SR")</f>
        <v>Model 3 SR</v>
      </c>
      <c r="O1838" t="str">
        <f>IFERROR(__xludf.DUMMYFUNCTION("""COMPUTED_VALUE"""),"Solid Black")</f>
        <v>Solid Black</v>
      </c>
      <c r="P1838" t="str">
        <f>IFERROR(__xludf.DUMMYFUNCTION("""COMPUTED_VALUE"""),"18 inch Aero")</f>
        <v>18 inch Aero</v>
      </c>
      <c r="Q1838" t="str">
        <f>IFERROR(__xludf.DUMMYFUNCTION("""COMPUTED_VALUE"""),"Black seats")</f>
        <v>Black seats</v>
      </c>
      <c r="R1838" t="str">
        <f>IFERROR(__xludf.DUMMYFUNCTION("""COMPUTED_VALUE"""),"None")</f>
        <v>None</v>
      </c>
      <c r="X1838" t="str">
        <f>IFERROR(__xludf.DUMMYFUNCTION("""COMPUTED_VALUE"""),"Good")</f>
        <v>Good</v>
      </c>
      <c r="Y1838" t="str">
        <f>IFERROR(__xludf.DUMMYFUNCTION("""COMPUTED_VALUE"""),"Good")</f>
        <v>Good</v>
      </c>
      <c r="Z1838" t="str">
        <f>IFERROR(__xludf.DUMMYFUNCTION("""COMPUTED_VALUE"""),"Poor")</f>
        <v>Poor</v>
      </c>
      <c r="AA1838" t="str">
        <f>IFERROR(__xludf.DUMMYFUNCTION("""COMPUTED_VALUE"""),"Good")</f>
        <v>Good</v>
      </c>
      <c r="AB1838" t="str">
        <f>IFERROR(__xludf.DUMMYFUNCTION("""COMPUTED_VALUE"""),"Fair")</f>
        <v>Fair</v>
      </c>
      <c r="AC1838">
        <f>IFERROR(__xludf.DUMMYFUNCTION("""COMPUTED_VALUE"""),4.0)</f>
        <v>4</v>
      </c>
      <c r="AH1838" s="189">
        <f>IFERROR(__xludf.DUMMYFUNCTION("""COMPUTED_VALUE"""),43644.18329747685)</f>
        <v>43644.1833</v>
      </c>
    </row>
    <row r="1839">
      <c r="A1839" t="str">
        <f>IFERROR(__xludf.DUMMYFUNCTION("""COMPUTED_VALUE"""),"m4ngosteen")</f>
        <v>m4ngosteen</v>
      </c>
      <c r="B1839" t="str">
        <f>IFERROR(__xludf.DUMMYFUNCTION("""COMPUTED_VALUE"""),"Dallas")</f>
        <v>Dallas</v>
      </c>
      <c r="C1839" t="str">
        <f>IFERROR(__xludf.DUMMYFUNCTION("""COMPUTED_VALUE"""),"TX")</f>
        <v>TX</v>
      </c>
      <c r="D1839" t="str">
        <f>IFERROR(__xludf.DUMMYFUNCTION("""COMPUTED_VALUE"""),"USA")</f>
        <v>USA</v>
      </c>
      <c r="E1839" s="188">
        <f>IFERROR(__xludf.DUMMYFUNCTION("""COMPUTED_VALUE"""),43632.0)</f>
        <v>43632</v>
      </c>
      <c r="F1839" s="188">
        <f>IFERROR(__xludf.DUMMYFUNCTION("""COMPUTED_VALUE"""),43632.0)</f>
        <v>43632</v>
      </c>
      <c r="J1839" s="5">
        <f>IFERROR(__xludf.DUMMYFUNCTION("""COMPUTED_VALUE"""),43645.0)</f>
        <v>43645</v>
      </c>
      <c r="K1839">
        <f>IFERROR(__xludf.DUMMYFUNCTION("""COMPUTED_VALUE"""),0.0)</f>
        <v>0</v>
      </c>
      <c r="L1839">
        <f>IFERROR(__xludf.DUMMYFUNCTION("""COMPUTED_VALUE"""),13.0)</f>
        <v>13</v>
      </c>
      <c r="M1839">
        <f>IFERROR(__xludf.DUMMYFUNCTION("""COMPUTED_VALUE"""),13.0)</f>
        <v>13</v>
      </c>
      <c r="N1839" t="str">
        <f>IFERROR(__xludf.DUMMYFUNCTION("""COMPUTED_VALUE"""),"Model 3 SR+")</f>
        <v>Model 3 SR+</v>
      </c>
      <c r="O1839" t="str">
        <f>IFERROR(__xludf.DUMMYFUNCTION("""COMPUTED_VALUE"""),"Pearl White Multi-Coat")</f>
        <v>Pearl White Multi-Coat</v>
      </c>
      <c r="P1839" t="str">
        <f>IFERROR(__xludf.DUMMYFUNCTION("""COMPUTED_VALUE"""),"19 inch Sport")</f>
        <v>19 inch Sport</v>
      </c>
      <c r="Q1839" t="str">
        <f>IFERROR(__xludf.DUMMYFUNCTION("""COMPUTED_VALUE"""),"Black seats")</f>
        <v>Black seats</v>
      </c>
      <c r="R1839" t="str">
        <f>IFERROR(__xludf.DUMMYFUNCTION("""COMPUTED_VALUE"""),"Autopilot")</f>
        <v>Autopilot</v>
      </c>
      <c r="X1839" t="str">
        <f>IFERROR(__xludf.DUMMYFUNCTION("""COMPUTED_VALUE"""),"Excellent")</f>
        <v>Excellent</v>
      </c>
      <c r="Y1839" t="str">
        <f>IFERROR(__xludf.DUMMYFUNCTION("""COMPUTED_VALUE"""),"Excellent")</f>
        <v>Excellent</v>
      </c>
      <c r="Z1839" t="str">
        <f>IFERROR(__xludf.DUMMYFUNCTION("""COMPUTED_VALUE"""),"Very Good")</f>
        <v>Very Good</v>
      </c>
      <c r="AA1839" t="str">
        <f>IFERROR(__xludf.DUMMYFUNCTION("""COMPUTED_VALUE"""),"Excellent")</f>
        <v>Excellent</v>
      </c>
      <c r="AB1839" t="str">
        <f>IFERROR(__xludf.DUMMYFUNCTION("""COMPUTED_VALUE"""),"Excellent")</f>
        <v>Excellent</v>
      </c>
      <c r="AH1839" s="189">
        <f>IFERROR(__xludf.DUMMYFUNCTION("""COMPUTED_VALUE"""),43646.88967655093)</f>
        <v>43646.88968</v>
      </c>
    </row>
    <row r="1840">
      <c r="A1840" t="str">
        <f>IFERROR(__xludf.DUMMYFUNCTION("""COMPUTED_VALUE"""),"HWEL")</f>
        <v>HWEL</v>
      </c>
      <c r="B1840" t="str">
        <f>IFERROR(__xludf.DUMMYFUNCTION("""COMPUTED_VALUE"""),"Madrid")</f>
        <v>Madrid</v>
      </c>
      <c r="D1840" t="str">
        <f>IFERROR(__xludf.DUMMYFUNCTION("""COMPUTED_VALUE"""),"Spain")</f>
        <v>Spain</v>
      </c>
      <c r="E1840" s="188">
        <f>IFERROR(__xludf.DUMMYFUNCTION("""COMPUTED_VALUE"""),43594.0)</f>
        <v>43594</v>
      </c>
      <c r="F1840" s="188">
        <f>IFERROR(__xludf.DUMMYFUNCTION("""COMPUTED_VALUE"""),43631.0)</f>
        <v>43631</v>
      </c>
      <c r="H1840">
        <f>IFERROR(__xludf.DUMMYFUNCTION("""COMPUTED_VALUE"""),320555.0)</f>
        <v>320555</v>
      </c>
      <c r="J1840" s="5">
        <f>IFERROR(__xludf.DUMMYFUNCTION("""COMPUTED_VALUE"""),43643.0)</f>
        <v>43643</v>
      </c>
      <c r="K1840">
        <f>IFERROR(__xludf.DUMMYFUNCTION("""COMPUTED_VALUE"""),37.0)</f>
        <v>37</v>
      </c>
      <c r="L1840">
        <f>IFERROR(__xludf.DUMMYFUNCTION("""COMPUTED_VALUE"""),12.0)</f>
        <v>12</v>
      </c>
      <c r="M1840">
        <f>IFERROR(__xludf.DUMMYFUNCTION("""COMPUTED_VALUE"""),49.0)</f>
        <v>49</v>
      </c>
      <c r="N1840" t="str">
        <f>IFERROR(__xludf.DUMMYFUNCTION("""COMPUTED_VALUE"""),"Model 3 LR AWD")</f>
        <v>Model 3 LR AWD</v>
      </c>
      <c r="O1840" t="str">
        <f>IFERROR(__xludf.DUMMYFUNCTION("""COMPUTED_VALUE"""),"Red Multi-Coat")</f>
        <v>Red Multi-Coat</v>
      </c>
      <c r="P1840" t="str">
        <f>IFERROR(__xludf.DUMMYFUNCTION("""COMPUTED_VALUE"""),"19 inch Sport")</f>
        <v>19 inch Sport</v>
      </c>
      <c r="Q1840" t="str">
        <f>IFERROR(__xludf.DUMMYFUNCTION("""COMPUTED_VALUE"""),"Black seats")</f>
        <v>Black seats</v>
      </c>
      <c r="R1840" t="str">
        <f>IFERROR(__xludf.DUMMYFUNCTION("""COMPUTED_VALUE"""),"Full Self-Driving")</f>
        <v>Full Self-Driving</v>
      </c>
      <c r="X1840" t="str">
        <f>IFERROR(__xludf.DUMMYFUNCTION("""COMPUTED_VALUE"""),"Very Good")</f>
        <v>Very Good</v>
      </c>
      <c r="Y1840" t="str">
        <f>IFERROR(__xludf.DUMMYFUNCTION("""COMPUTED_VALUE"""),"Very Good")</f>
        <v>Very Good</v>
      </c>
      <c r="Z1840" t="str">
        <f>IFERROR(__xludf.DUMMYFUNCTION("""COMPUTED_VALUE"""),"Good")</f>
        <v>Good</v>
      </c>
      <c r="AA1840" t="str">
        <f>IFERROR(__xludf.DUMMYFUNCTION("""COMPUTED_VALUE"""),"Very Good")</f>
        <v>Very Good</v>
      </c>
      <c r="AB1840" t="str">
        <f>IFERROR(__xludf.DUMMYFUNCTION("""COMPUTED_VALUE"""),"Good")</f>
        <v>Good</v>
      </c>
      <c r="AC1840">
        <f>IFERROR(__xludf.DUMMYFUNCTION("""COMPUTED_VALUE"""),2.0)</f>
        <v>2</v>
      </c>
      <c r="AE1840">
        <f>IFERROR(__xludf.DUMMYFUNCTION("""COMPUTED_VALUE"""),0.0)</f>
        <v>0</v>
      </c>
      <c r="AH1840" s="189">
        <f>IFERROR(__xludf.DUMMYFUNCTION("""COMPUTED_VALUE"""),43647.03483626158)</f>
        <v>43647.03484</v>
      </c>
    </row>
    <row r="1841">
      <c r="A1841" t="str">
        <f>IFERROR(__xludf.DUMMYFUNCTION("""COMPUTED_VALUE"""),"HE_Pennypacker")</f>
        <v>HE_Pennypacker</v>
      </c>
      <c r="B1841" t="str">
        <f>IFERROR(__xludf.DUMMYFUNCTION("""COMPUTED_VALUE"""),"Portland")</f>
        <v>Portland</v>
      </c>
      <c r="C1841" t="str">
        <f>IFERROR(__xludf.DUMMYFUNCTION("""COMPUTED_VALUE"""),"OR")</f>
        <v>OR</v>
      </c>
      <c r="D1841" t="str">
        <f>IFERROR(__xludf.DUMMYFUNCTION("""COMPUTED_VALUE"""),"USA")</f>
        <v>USA</v>
      </c>
      <c r="E1841" s="188">
        <f>IFERROR(__xludf.DUMMYFUNCTION("""COMPUTED_VALUE"""),43620.0)</f>
        <v>43620</v>
      </c>
      <c r="F1841" s="188">
        <f>IFERROR(__xludf.DUMMYFUNCTION("""COMPUTED_VALUE"""),43626.0)</f>
        <v>43626</v>
      </c>
      <c r="H1841">
        <f>IFERROR(__xludf.DUMMYFUNCTION("""COMPUTED_VALUE"""),392055.0)</f>
        <v>392055</v>
      </c>
      <c r="I1841" t="str">
        <f>IFERROR(__xludf.DUMMYFUNCTION("""COMPUTED_VALUE"""),"06/19")</f>
        <v>06/19</v>
      </c>
      <c r="J1841" s="5">
        <f>IFERROR(__xludf.DUMMYFUNCTION("""COMPUTED_VALUE"""),43634.0)</f>
        <v>43634</v>
      </c>
      <c r="K1841">
        <f>IFERROR(__xludf.DUMMYFUNCTION("""COMPUTED_VALUE"""),6.0)</f>
        <v>6</v>
      </c>
      <c r="L1841">
        <f>IFERROR(__xludf.DUMMYFUNCTION("""COMPUTED_VALUE"""),8.0)</f>
        <v>8</v>
      </c>
      <c r="M1841">
        <f>IFERROR(__xludf.DUMMYFUNCTION("""COMPUTED_VALUE"""),14.0)</f>
        <v>14</v>
      </c>
      <c r="N1841" t="str">
        <f>IFERROR(__xludf.DUMMYFUNCTION("""COMPUTED_VALUE"""),"Model 3 LR AWD")</f>
        <v>Model 3 LR AWD</v>
      </c>
      <c r="O1841" t="str">
        <f>IFERROR(__xludf.DUMMYFUNCTION("""COMPUTED_VALUE"""),"Deep Blue Metallic")</f>
        <v>Deep Blue Metallic</v>
      </c>
      <c r="P1841" t="str">
        <f>IFERROR(__xludf.DUMMYFUNCTION("""COMPUTED_VALUE"""),"19 inch Sport")</f>
        <v>19 inch Sport</v>
      </c>
      <c r="Q1841" t="str">
        <f>IFERROR(__xludf.DUMMYFUNCTION("""COMPUTED_VALUE"""),"White seats")</f>
        <v>White seats</v>
      </c>
      <c r="R1841" t="str">
        <f>IFERROR(__xludf.DUMMYFUNCTION("""COMPUTED_VALUE"""),"Full Self-Driving")</f>
        <v>Full Self-Driving</v>
      </c>
      <c r="X1841" t="str">
        <f>IFERROR(__xludf.DUMMYFUNCTION("""COMPUTED_VALUE"""),"Very Good")</f>
        <v>Very Good</v>
      </c>
      <c r="Y1841" t="str">
        <f>IFERROR(__xludf.DUMMYFUNCTION("""COMPUTED_VALUE"""),"Good")</f>
        <v>Good</v>
      </c>
      <c r="Z1841" t="str">
        <f>IFERROR(__xludf.DUMMYFUNCTION("""COMPUTED_VALUE"""),"Good")</f>
        <v>Good</v>
      </c>
      <c r="AA1841" t="str">
        <f>IFERROR(__xludf.DUMMYFUNCTION("""COMPUTED_VALUE"""),"Very Good")</f>
        <v>Very Good</v>
      </c>
      <c r="AB1841" t="str">
        <f>IFERROR(__xludf.DUMMYFUNCTION("""COMPUTED_VALUE"""),"Excellent")</f>
        <v>Excellent</v>
      </c>
      <c r="AC1841">
        <f>IFERROR(__xludf.DUMMYFUNCTION("""COMPUTED_VALUE"""),1.0)</f>
        <v>1</v>
      </c>
      <c r="AD1841">
        <f>IFERROR(__xludf.DUMMYFUNCTION("""COMPUTED_VALUE"""),0.0)</f>
        <v>0</v>
      </c>
      <c r="AH1841" s="189">
        <f>IFERROR(__xludf.DUMMYFUNCTION("""COMPUTED_VALUE"""),43647.738780949076)</f>
        <v>43647.73878</v>
      </c>
    </row>
    <row r="1842">
      <c r="A1842" t="str">
        <f>IFERROR(__xludf.DUMMYFUNCTION("""COMPUTED_VALUE"""),"T4zi114")</f>
        <v>T4zi114</v>
      </c>
      <c r="B1842" t="str">
        <f>IFERROR(__xludf.DUMMYFUNCTION("""COMPUTED_VALUE"""),"Tacoma")</f>
        <v>Tacoma</v>
      </c>
      <c r="C1842" t="str">
        <f>IFERROR(__xludf.DUMMYFUNCTION("""COMPUTED_VALUE"""),"WA")</f>
        <v>WA</v>
      </c>
      <c r="D1842" t="str">
        <f>IFERROR(__xludf.DUMMYFUNCTION("""COMPUTED_VALUE"""),"USA")</f>
        <v>USA</v>
      </c>
      <c r="E1842" s="188">
        <f>IFERROR(__xludf.DUMMYFUNCTION("""COMPUTED_VALUE"""),43613.0)</f>
        <v>43613</v>
      </c>
      <c r="F1842" s="188">
        <f>IFERROR(__xludf.DUMMYFUNCTION("""COMPUTED_VALUE"""),43631.0)</f>
        <v>43631</v>
      </c>
      <c r="H1842" s="4">
        <f>IFERROR(__xludf.DUMMYFUNCTION("""COMPUTED_VALUE"""),322792.0)</f>
        <v>322792</v>
      </c>
      <c r="I1842" t="str">
        <f>IFERROR(__xludf.DUMMYFUNCTION("""COMPUTED_VALUE"""),"03/19")</f>
        <v>03/19</v>
      </c>
      <c r="J1842" s="5">
        <f>IFERROR(__xludf.DUMMYFUNCTION("""COMPUTED_VALUE"""),43636.0)</f>
        <v>43636</v>
      </c>
      <c r="K1842">
        <f>IFERROR(__xludf.DUMMYFUNCTION("""COMPUTED_VALUE"""),18.0)</f>
        <v>18</v>
      </c>
      <c r="L1842">
        <f>IFERROR(__xludf.DUMMYFUNCTION("""COMPUTED_VALUE"""),5.0)</f>
        <v>5</v>
      </c>
      <c r="M1842">
        <f>IFERROR(__xludf.DUMMYFUNCTION("""COMPUTED_VALUE"""),23.0)</f>
        <v>23</v>
      </c>
      <c r="N1842" t="str">
        <f>IFERROR(__xludf.DUMMYFUNCTION("""COMPUTED_VALUE"""),"Model 3 LR")</f>
        <v>Model 3 LR</v>
      </c>
      <c r="O1842" t="str">
        <f>IFERROR(__xludf.DUMMYFUNCTION("""COMPUTED_VALUE"""),"Pearl White Multi-Coat")</f>
        <v>Pearl White Multi-Coat</v>
      </c>
      <c r="P1842" t="str">
        <f>IFERROR(__xludf.DUMMYFUNCTION("""COMPUTED_VALUE"""),"18 inch Aero")</f>
        <v>18 inch Aero</v>
      </c>
      <c r="Q1842" t="str">
        <f>IFERROR(__xludf.DUMMYFUNCTION("""COMPUTED_VALUE"""),"White seats")</f>
        <v>White seats</v>
      </c>
      <c r="R1842" t="str">
        <f>IFERROR(__xludf.DUMMYFUNCTION("""COMPUTED_VALUE"""),"Autopilot")</f>
        <v>Autopilot</v>
      </c>
      <c r="X1842" t="str">
        <f>IFERROR(__xludf.DUMMYFUNCTION("""COMPUTED_VALUE"""),"Excellent")</f>
        <v>Excellent</v>
      </c>
      <c r="Y1842" t="str">
        <f>IFERROR(__xludf.DUMMYFUNCTION("""COMPUTED_VALUE"""),"Very Good")</f>
        <v>Very Good</v>
      </c>
      <c r="Z1842" t="str">
        <f>IFERROR(__xludf.DUMMYFUNCTION("""COMPUTED_VALUE"""),"Excellent")</f>
        <v>Excellent</v>
      </c>
      <c r="AA1842" t="str">
        <f>IFERROR(__xludf.DUMMYFUNCTION("""COMPUTED_VALUE"""),"Good")</f>
        <v>Good</v>
      </c>
      <c r="AB1842" t="str">
        <f>IFERROR(__xludf.DUMMYFUNCTION("""COMPUTED_VALUE"""),"Very Good")</f>
        <v>Very Good</v>
      </c>
      <c r="AH1842" s="189">
        <f>IFERROR(__xludf.DUMMYFUNCTION("""COMPUTED_VALUE"""),43649.932354895835)</f>
        <v>43649.93235</v>
      </c>
    </row>
    <row r="1843">
      <c r="A1843" t="str">
        <f>IFERROR(__xludf.DUMMYFUNCTION("""COMPUTED_VALUE"""),"saesian")</f>
        <v>saesian</v>
      </c>
      <c r="B1843" t="str">
        <f>IFERROR(__xludf.DUMMYFUNCTION("""COMPUTED_VALUE"""),"Durham")</f>
        <v>Durham</v>
      </c>
      <c r="C1843" t="str">
        <f>IFERROR(__xludf.DUMMYFUNCTION("""COMPUTED_VALUE"""),"NC")</f>
        <v>NC</v>
      </c>
      <c r="D1843" t="str">
        <f>IFERROR(__xludf.DUMMYFUNCTION("""COMPUTED_VALUE"""),"USA")</f>
        <v>USA</v>
      </c>
      <c r="E1843" s="188">
        <f>IFERROR(__xludf.DUMMYFUNCTION("""COMPUTED_VALUE"""),43607.0)</f>
        <v>43607</v>
      </c>
      <c r="F1843" s="188">
        <f>IFERROR(__xludf.DUMMYFUNCTION("""COMPUTED_VALUE"""),43631.0)</f>
        <v>43631</v>
      </c>
      <c r="H1843">
        <f>IFERROR(__xludf.DUMMYFUNCTION("""COMPUTED_VALUE"""),356355.0)</f>
        <v>356355</v>
      </c>
      <c r="I1843" t="str">
        <f>IFERROR(__xludf.DUMMYFUNCTION("""COMPUTED_VALUE"""),"06/19")</f>
        <v>06/19</v>
      </c>
      <c r="J1843" s="5">
        <f>IFERROR(__xludf.DUMMYFUNCTION("""COMPUTED_VALUE"""),43639.0)</f>
        <v>43639</v>
      </c>
      <c r="K1843">
        <f>IFERROR(__xludf.DUMMYFUNCTION("""COMPUTED_VALUE"""),24.0)</f>
        <v>24</v>
      </c>
      <c r="L1843">
        <f>IFERROR(__xludf.DUMMYFUNCTION("""COMPUTED_VALUE"""),8.0)</f>
        <v>8</v>
      </c>
      <c r="M1843">
        <f>IFERROR(__xludf.DUMMYFUNCTION("""COMPUTED_VALUE"""),32.0)</f>
        <v>32</v>
      </c>
      <c r="N1843" t="str">
        <f>IFERROR(__xludf.DUMMYFUNCTION("""COMPUTED_VALUE"""),"Model 3 LR")</f>
        <v>Model 3 LR</v>
      </c>
      <c r="O1843" t="str">
        <f>IFERROR(__xludf.DUMMYFUNCTION("""COMPUTED_VALUE"""),"Deep Blue Metallic")</f>
        <v>Deep Blue Metallic</v>
      </c>
      <c r="P1843" t="str">
        <f>IFERROR(__xludf.DUMMYFUNCTION("""COMPUTED_VALUE"""),"18 inch Aero")</f>
        <v>18 inch Aero</v>
      </c>
      <c r="Q1843" t="str">
        <f>IFERROR(__xludf.DUMMYFUNCTION("""COMPUTED_VALUE"""),"Black seats")</f>
        <v>Black seats</v>
      </c>
      <c r="R1843" t="str">
        <f>IFERROR(__xludf.DUMMYFUNCTION("""COMPUTED_VALUE"""),"Autopilot")</f>
        <v>Autopilot</v>
      </c>
      <c r="X1843" t="str">
        <f>IFERROR(__xludf.DUMMYFUNCTION("""COMPUTED_VALUE"""),"Poor")</f>
        <v>Poor</v>
      </c>
      <c r="Y1843" t="str">
        <f>IFERROR(__xludf.DUMMYFUNCTION("""COMPUTED_VALUE"""),"Very Good")</f>
        <v>Very Good</v>
      </c>
      <c r="Z1843" t="str">
        <f>IFERROR(__xludf.DUMMYFUNCTION("""COMPUTED_VALUE"""),"Fair")</f>
        <v>Fair</v>
      </c>
      <c r="AA1843" t="str">
        <f>IFERROR(__xludf.DUMMYFUNCTION("""COMPUTED_VALUE"""),"Very Good")</f>
        <v>Very Good</v>
      </c>
      <c r="AB1843" t="str">
        <f>IFERROR(__xludf.DUMMYFUNCTION("""COMPUTED_VALUE"""),"Good")</f>
        <v>Good</v>
      </c>
      <c r="AC1843">
        <f>IFERROR(__xludf.DUMMYFUNCTION("""COMPUTED_VALUE"""),5.0)</f>
        <v>5</v>
      </c>
      <c r="AD1843">
        <f>IFERROR(__xludf.DUMMYFUNCTION("""COMPUTED_VALUE"""),2.0)</f>
        <v>2</v>
      </c>
      <c r="AE1843">
        <f>IFERROR(__xludf.DUMMYFUNCTION("""COMPUTED_VALUE"""),3.0)</f>
        <v>3</v>
      </c>
      <c r="AG1843" t="str">
        <f>IFERROR(__xludf.DUMMYFUNCTION("""COMPUTED_VALUE"""),"3 paint issues and AC not working on delivery.")</f>
        <v>3 paint issues and AC not working on delivery.</v>
      </c>
      <c r="AH1843" s="189">
        <f>IFERROR(__xludf.DUMMYFUNCTION("""COMPUTED_VALUE"""),43653.15566701389)</f>
        <v>43653.15567</v>
      </c>
    </row>
    <row r="1844">
      <c r="A1844" t="str">
        <f>IFERROR(__xludf.DUMMYFUNCTION("""COMPUTED_VALUE"""),"Can37")</f>
        <v>Can37</v>
      </c>
      <c r="B1844" t="str">
        <f>IFERROR(__xludf.DUMMYFUNCTION("""COMPUTED_VALUE"""),"Ottawa")</f>
        <v>Ottawa</v>
      </c>
      <c r="C1844" t="str">
        <f>IFERROR(__xludf.DUMMYFUNCTION("""COMPUTED_VALUE"""),"ON")</f>
        <v>ON</v>
      </c>
      <c r="D1844" t="str">
        <f>IFERROR(__xludf.DUMMYFUNCTION("""COMPUTED_VALUE"""),"Canada")</f>
        <v>Canada</v>
      </c>
      <c r="E1844" s="188">
        <f>IFERROR(__xludf.DUMMYFUNCTION("""COMPUTED_VALUE"""),43586.0)</f>
        <v>43586</v>
      </c>
      <c r="F1844" s="188">
        <f>IFERROR(__xludf.DUMMYFUNCTION("""COMPUTED_VALUE"""),43617.0)</f>
        <v>43617</v>
      </c>
      <c r="H1844">
        <f>IFERROR(__xludf.DUMMYFUNCTION("""COMPUTED_VALUE"""),414455.0)</f>
        <v>414455</v>
      </c>
      <c r="I1844" t="str">
        <f>IFERROR(__xludf.DUMMYFUNCTION("""COMPUTED_VALUE"""),"06/19")</f>
        <v>06/19</v>
      </c>
      <c r="J1844" s="5">
        <f>IFERROR(__xludf.DUMMYFUNCTION("""COMPUTED_VALUE"""),43633.0)</f>
        <v>43633</v>
      </c>
      <c r="K1844">
        <f>IFERROR(__xludf.DUMMYFUNCTION("""COMPUTED_VALUE"""),31.0)</f>
        <v>31</v>
      </c>
      <c r="L1844">
        <f>IFERROR(__xludf.DUMMYFUNCTION("""COMPUTED_VALUE"""),16.0)</f>
        <v>16</v>
      </c>
      <c r="M1844">
        <f>IFERROR(__xludf.DUMMYFUNCTION("""COMPUTED_VALUE"""),47.0)</f>
        <v>47</v>
      </c>
      <c r="N1844" t="str">
        <f>IFERROR(__xludf.DUMMYFUNCTION("""COMPUTED_VALUE"""),"Model 3 SR+")</f>
        <v>Model 3 SR+</v>
      </c>
      <c r="O1844" t="str">
        <f>IFERROR(__xludf.DUMMYFUNCTION("""COMPUTED_VALUE"""),"Pearl White Multi-Coat")</f>
        <v>Pearl White Multi-Coat</v>
      </c>
      <c r="P1844" t="str">
        <f>IFERROR(__xludf.DUMMYFUNCTION("""COMPUTED_VALUE"""),"18 inch Aero")</f>
        <v>18 inch Aero</v>
      </c>
      <c r="Q1844" t="str">
        <f>IFERROR(__xludf.DUMMYFUNCTION("""COMPUTED_VALUE"""),"Black seats")</f>
        <v>Black seats</v>
      </c>
      <c r="R1844" t="str">
        <f>IFERROR(__xludf.DUMMYFUNCTION("""COMPUTED_VALUE"""),"Autopilot")</f>
        <v>Autopilot</v>
      </c>
      <c r="X1844" t="str">
        <f>IFERROR(__xludf.DUMMYFUNCTION("""COMPUTED_VALUE"""),"Poor")</f>
        <v>Poor</v>
      </c>
      <c r="Y1844" t="str">
        <f>IFERROR(__xludf.DUMMYFUNCTION("""COMPUTED_VALUE"""),"Very Good")</f>
        <v>Very Good</v>
      </c>
      <c r="Z1844" t="str">
        <f>IFERROR(__xludf.DUMMYFUNCTION("""COMPUTED_VALUE"""),"Good")</f>
        <v>Good</v>
      </c>
      <c r="AA1844" t="str">
        <f>IFERROR(__xludf.DUMMYFUNCTION("""COMPUTED_VALUE"""),"Poor")</f>
        <v>Poor</v>
      </c>
      <c r="AB1844" t="str">
        <f>IFERROR(__xludf.DUMMYFUNCTION("""COMPUTED_VALUE"""),"Fair")</f>
        <v>Fair</v>
      </c>
      <c r="AC1844">
        <f>IFERROR(__xludf.DUMMYFUNCTION("""COMPUTED_VALUE"""),3.0)</f>
        <v>3</v>
      </c>
      <c r="AD1844">
        <f>IFERROR(__xludf.DUMMYFUNCTION("""COMPUTED_VALUE"""),1.0)</f>
        <v>1</v>
      </c>
      <c r="AE1844">
        <f>IFERROR(__xludf.DUMMYFUNCTION("""COMPUTED_VALUE"""),0.0)</f>
        <v>0</v>
      </c>
      <c r="AH1844" s="189">
        <f>IFERROR(__xludf.DUMMYFUNCTION("""COMPUTED_VALUE"""),43654.215103449074)</f>
        <v>43654.2151</v>
      </c>
    </row>
    <row r="1845">
      <c r="A1845" t="str">
        <f>IFERROR(__xludf.DUMMYFUNCTION("""COMPUTED_VALUE"""),"James88")</f>
        <v>James88</v>
      </c>
      <c r="B1845" t="str">
        <f>IFERROR(__xludf.DUMMYFUNCTION("""COMPUTED_VALUE"""),"Orlando")</f>
        <v>Orlando</v>
      </c>
      <c r="C1845" t="str">
        <f>IFERROR(__xludf.DUMMYFUNCTION("""COMPUTED_VALUE"""),"FL")</f>
        <v>FL</v>
      </c>
      <c r="D1845" t="str">
        <f>IFERROR(__xludf.DUMMYFUNCTION("""COMPUTED_VALUE"""),"Japan")</f>
        <v>Japan</v>
      </c>
      <c r="E1845" s="188">
        <f>IFERROR(__xludf.DUMMYFUNCTION("""COMPUTED_VALUE"""),43605.0)</f>
        <v>43605</v>
      </c>
      <c r="F1845" s="188">
        <f>IFERROR(__xludf.DUMMYFUNCTION("""COMPUTED_VALUE"""),43629.0)</f>
        <v>43629</v>
      </c>
      <c r="H1845">
        <f>IFERROR(__xludf.DUMMYFUNCTION("""COMPUTED_VALUE"""),345455.0)</f>
        <v>345455</v>
      </c>
      <c r="J1845" s="5">
        <f>IFERROR(__xludf.DUMMYFUNCTION("""COMPUTED_VALUE"""),43637.0)</f>
        <v>43637</v>
      </c>
      <c r="K1845">
        <f>IFERROR(__xludf.DUMMYFUNCTION("""COMPUTED_VALUE"""),24.0)</f>
        <v>24</v>
      </c>
      <c r="L1845">
        <f>IFERROR(__xludf.DUMMYFUNCTION("""COMPUTED_VALUE"""),8.0)</f>
        <v>8</v>
      </c>
      <c r="M1845">
        <f>IFERROR(__xludf.DUMMYFUNCTION("""COMPUTED_VALUE"""),32.0)</f>
        <v>32</v>
      </c>
      <c r="N1845" t="str">
        <f>IFERROR(__xludf.DUMMYFUNCTION("""COMPUTED_VALUE"""),"Model 3 LR")</f>
        <v>Model 3 LR</v>
      </c>
      <c r="O1845" t="str">
        <f>IFERROR(__xludf.DUMMYFUNCTION("""COMPUTED_VALUE"""),"Solid Black")</f>
        <v>Solid Black</v>
      </c>
      <c r="P1845" t="str">
        <f>IFERROR(__xludf.DUMMYFUNCTION("""COMPUTED_VALUE"""),"19 inch Sport")</f>
        <v>19 inch Sport</v>
      </c>
      <c r="Q1845" t="str">
        <f>IFERROR(__xludf.DUMMYFUNCTION("""COMPUTED_VALUE"""),"White seats")</f>
        <v>White seats</v>
      </c>
      <c r="R1845" t="str">
        <f>IFERROR(__xludf.DUMMYFUNCTION("""COMPUTED_VALUE"""),"Autopilot")</f>
        <v>Autopilot</v>
      </c>
      <c r="X1845" t="str">
        <f>IFERROR(__xludf.DUMMYFUNCTION("""COMPUTED_VALUE"""),"Excellent")</f>
        <v>Excellent</v>
      </c>
      <c r="Y1845" t="str">
        <f>IFERROR(__xludf.DUMMYFUNCTION("""COMPUTED_VALUE"""),"Excellent")</f>
        <v>Excellent</v>
      </c>
      <c r="Z1845" t="str">
        <f>IFERROR(__xludf.DUMMYFUNCTION("""COMPUTED_VALUE"""),"Very Good")</f>
        <v>Very Good</v>
      </c>
      <c r="AA1845" t="str">
        <f>IFERROR(__xludf.DUMMYFUNCTION("""COMPUTED_VALUE"""),"Fair")</f>
        <v>Fair</v>
      </c>
      <c r="AB1845" t="str">
        <f>IFERROR(__xludf.DUMMYFUNCTION("""COMPUTED_VALUE"""),"Good")</f>
        <v>Good</v>
      </c>
      <c r="AC1845">
        <f>IFERROR(__xludf.DUMMYFUNCTION("""COMPUTED_VALUE"""),4.0)</f>
        <v>4</v>
      </c>
      <c r="AD1845">
        <f>IFERROR(__xludf.DUMMYFUNCTION("""COMPUTED_VALUE"""),0.0)</f>
        <v>0</v>
      </c>
      <c r="AH1845" s="189">
        <f>IFERROR(__xludf.DUMMYFUNCTION("""COMPUTED_VALUE"""),43654.39203494213)</f>
        <v>43654.39203</v>
      </c>
    </row>
    <row r="1846">
      <c r="A1846" t="str">
        <f>IFERROR(__xludf.DUMMYFUNCTION("""COMPUTED_VALUE"""),"Grossie")</f>
        <v>Grossie</v>
      </c>
      <c r="B1846" t="str">
        <f>IFERROR(__xludf.DUMMYFUNCTION("""COMPUTED_VALUE"""),"Chicago")</f>
        <v>Chicago</v>
      </c>
      <c r="C1846" t="str">
        <f>IFERROR(__xludf.DUMMYFUNCTION("""COMPUTED_VALUE"""),"IL")</f>
        <v>IL</v>
      </c>
      <c r="D1846" t="str">
        <f>IFERROR(__xludf.DUMMYFUNCTION("""COMPUTED_VALUE"""),"USA")</f>
        <v>USA</v>
      </c>
      <c r="E1846" s="188">
        <f>IFERROR(__xludf.DUMMYFUNCTION("""COMPUTED_VALUE"""),43640.0)</f>
        <v>43640</v>
      </c>
      <c r="F1846" s="188">
        <f>IFERROR(__xludf.DUMMYFUNCTION("""COMPUTED_VALUE"""),43653.0)</f>
        <v>43653</v>
      </c>
      <c r="H1846">
        <f>IFERROR(__xludf.DUMMYFUNCTION("""COMPUTED_VALUE"""),385469.0)</f>
        <v>385469</v>
      </c>
      <c r="I1846" t="str">
        <f>IFERROR(__xludf.DUMMYFUNCTION("""COMPUTED_VALUE"""),"06/19")</f>
        <v>06/19</v>
      </c>
      <c r="J1846" s="5">
        <f>IFERROR(__xludf.DUMMYFUNCTION("""COMPUTED_VALUE"""),43654.0)</f>
        <v>43654</v>
      </c>
      <c r="K1846">
        <f>IFERROR(__xludf.DUMMYFUNCTION("""COMPUTED_VALUE"""),13.0)</f>
        <v>13</v>
      </c>
      <c r="L1846">
        <f>IFERROR(__xludf.DUMMYFUNCTION("""COMPUTED_VALUE"""),1.0)</f>
        <v>1</v>
      </c>
      <c r="M1846">
        <f>IFERROR(__xludf.DUMMYFUNCTION("""COMPUTED_VALUE"""),14.0)</f>
        <v>14</v>
      </c>
      <c r="N1846" t="str">
        <f>IFERROR(__xludf.DUMMYFUNCTION("""COMPUTED_VALUE"""),"Model 3 LR AWD")</f>
        <v>Model 3 LR AWD</v>
      </c>
      <c r="O1846" t="str">
        <f>IFERROR(__xludf.DUMMYFUNCTION("""COMPUTED_VALUE"""),"Solid Black")</f>
        <v>Solid Black</v>
      </c>
      <c r="P1846" t="str">
        <f>IFERROR(__xludf.DUMMYFUNCTION("""COMPUTED_VALUE"""),"18 inch Aero")</f>
        <v>18 inch Aero</v>
      </c>
      <c r="Q1846" t="str">
        <f>IFERROR(__xludf.DUMMYFUNCTION("""COMPUTED_VALUE"""),"Black seats")</f>
        <v>Black seats</v>
      </c>
      <c r="R1846" t="str">
        <f>IFERROR(__xludf.DUMMYFUNCTION("""COMPUTED_VALUE"""),"Autopilot")</f>
        <v>Autopilot</v>
      </c>
      <c r="X1846" t="str">
        <f>IFERROR(__xludf.DUMMYFUNCTION("""COMPUTED_VALUE"""),"Excellent")</f>
        <v>Excellent</v>
      </c>
      <c r="Y1846" t="str">
        <f>IFERROR(__xludf.DUMMYFUNCTION("""COMPUTED_VALUE"""),"Excellent")</f>
        <v>Excellent</v>
      </c>
      <c r="Z1846" t="str">
        <f>IFERROR(__xludf.DUMMYFUNCTION("""COMPUTED_VALUE"""),"Excellent")</f>
        <v>Excellent</v>
      </c>
      <c r="AA1846" t="str">
        <f>IFERROR(__xludf.DUMMYFUNCTION("""COMPUTED_VALUE"""),"Excellent")</f>
        <v>Excellent</v>
      </c>
      <c r="AB1846" t="str">
        <f>IFERROR(__xludf.DUMMYFUNCTION("""COMPUTED_VALUE"""),"Excellent")</f>
        <v>Excellent</v>
      </c>
      <c r="AC1846">
        <f>IFERROR(__xludf.DUMMYFUNCTION("""COMPUTED_VALUE"""),0.0)</f>
        <v>0</v>
      </c>
      <c r="AH1846" s="189">
        <f>IFERROR(__xludf.DUMMYFUNCTION("""COMPUTED_VALUE"""),43654.76586465278)</f>
        <v>43654.76586</v>
      </c>
    </row>
    <row r="1847">
      <c r="A1847" t="str">
        <f>IFERROR(__xludf.DUMMYFUNCTION("""COMPUTED_VALUE"""),"CoolRediska")</f>
        <v>CoolRediska</v>
      </c>
      <c r="B1847" t="str">
        <f>IFERROR(__xludf.DUMMYFUNCTION("""COMPUTED_VALUE"""),"Bay Area")</f>
        <v>Bay Area</v>
      </c>
      <c r="C1847" t="str">
        <f>IFERROR(__xludf.DUMMYFUNCTION("""COMPUTED_VALUE"""),"CA")</f>
        <v>CA</v>
      </c>
      <c r="D1847" t="str">
        <f>IFERROR(__xludf.DUMMYFUNCTION("""COMPUTED_VALUE"""),"USA")</f>
        <v>USA</v>
      </c>
      <c r="E1847" s="188">
        <f>IFERROR(__xludf.DUMMYFUNCTION("""COMPUTED_VALUE"""),43611.0)</f>
        <v>43611</v>
      </c>
      <c r="F1847" s="188">
        <f>IFERROR(__xludf.DUMMYFUNCTION("""COMPUTED_VALUE"""),43632.0)</f>
        <v>43632</v>
      </c>
      <c r="H1847">
        <f>IFERROR(__xludf.DUMMYFUNCTION("""COMPUTED_VALUE"""),356355.0)</f>
        <v>356355</v>
      </c>
      <c r="J1847" s="5">
        <f>IFERROR(__xludf.DUMMYFUNCTION("""COMPUTED_VALUE"""),43633.0)</f>
        <v>43633</v>
      </c>
      <c r="K1847">
        <f>IFERROR(__xludf.DUMMYFUNCTION("""COMPUTED_VALUE"""),21.0)</f>
        <v>21</v>
      </c>
      <c r="L1847">
        <f>IFERROR(__xludf.DUMMYFUNCTION("""COMPUTED_VALUE"""),1.0)</f>
        <v>1</v>
      </c>
      <c r="M1847">
        <f>IFERROR(__xludf.DUMMYFUNCTION("""COMPUTED_VALUE"""),22.0)</f>
        <v>22</v>
      </c>
      <c r="N1847" t="str">
        <f>IFERROR(__xludf.DUMMYFUNCTION("""COMPUTED_VALUE"""),"Model 3 LR")</f>
        <v>Model 3 LR</v>
      </c>
      <c r="O1847" t="str">
        <f>IFERROR(__xludf.DUMMYFUNCTION("""COMPUTED_VALUE"""),"Deep Blue Metallic")</f>
        <v>Deep Blue Metallic</v>
      </c>
      <c r="P1847" t="str">
        <f>IFERROR(__xludf.DUMMYFUNCTION("""COMPUTED_VALUE"""),"18 inch Aero")</f>
        <v>18 inch Aero</v>
      </c>
      <c r="Q1847" t="str">
        <f>IFERROR(__xludf.DUMMYFUNCTION("""COMPUTED_VALUE"""),"Black seats")</f>
        <v>Black seats</v>
      </c>
      <c r="R1847" t="str">
        <f>IFERROR(__xludf.DUMMYFUNCTION("""COMPUTED_VALUE"""),"Autopilot")</f>
        <v>Autopilot</v>
      </c>
      <c r="X1847" t="str">
        <f>IFERROR(__xludf.DUMMYFUNCTION("""COMPUTED_VALUE"""),"Excellent")</f>
        <v>Excellent</v>
      </c>
      <c r="Y1847" t="str">
        <f>IFERROR(__xludf.DUMMYFUNCTION("""COMPUTED_VALUE"""),"Excellent")</f>
        <v>Excellent</v>
      </c>
      <c r="Z1847" t="str">
        <f>IFERROR(__xludf.DUMMYFUNCTION("""COMPUTED_VALUE"""),"Excellent")</f>
        <v>Excellent</v>
      </c>
      <c r="AA1847" t="str">
        <f>IFERROR(__xludf.DUMMYFUNCTION("""COMPUTED_VALUE"""),"Fair")</f>
        <v>Fair</v>
      </c>
      <c r="AB1847" t="str">
        <f>IFERROR(__xludf.DUMMYFUNCTION("""COMPUTED_VALUE"""),"Good")</f>
        <v>Good</v>
      </c>
      <c r="AG1847" t="str">
        <f>IFERROR(__xludf.DUMMYFUNCTION("""COMPUTED_VALUE"""),"Homelink was not installed even if order made in May'19")</f>
        <v>Homelink was not installed even if order made in May'19</v>
      </c>
      <c r="AH1847" s="189">
        <f>IFERROR(__xludf.DUMMYFUNCTION("""COMPUTED_VALUE"""),43654.95565715278)</f>
        <v>43654.95566</v>
      </c>
    </row>
    <row r="1848">
      <c r="A1848" t="str">
        <f>IFERROR(__xludf.DUMMYFUNCTION("""COMPUTED_VALUE"""),"unusualbob")</f>
        <v>unusualbob</v>
      </c>
      <c r="B1848" t="str">
        <f>IFERROR(__xludf.DUMMYFUNCTION("""COMPUTED_VALUE"""),"Atlanta")</f>
        <v>Atlanta</v>
      </c>
      <c r="C1848" t="str">
        <f>IFERROR(__xludf.DUMMYFUNCTION("""COMPUTED_VALUE"""),"GA")</f>
        <v>GA</v>
      </c>
      <c r="D1848" t="str">
        <f>IFERROR(__xludf.DUMMYFUNCTION("""COMPUTED_VALUE"""),"USA")</f>
        <v>USA</v>
      </c>
      <c r="E1848" s="188">
        <f>IFERROR(__xludf.DUMMYFUNCTION("""COMPUTED_VALUE"""),43608.0)</f>
        <v>43608</v>
      </c>
      <c r="F1848" s="188">
        <f>IFERROR(__xludf.DUMMYFUNCTION("""COMPUTED_VALUE"""),43631.0)</f>
        <v>43631</v>
      </c>
      <c r="J1848" s="5">
        <f>IFERROR(__xludf.DUMMYFUNCTION("""COMPUTED_VALUE"""),43638.0)</f>
        <v>43638</v>
      </c>
      <c r="K1848">
        <f>IFERROR(__xludf.DUMMYFUNCTION("""COMPUTED_VALUE"""),23.0)</f>
        <v>23</v>
      </c>
      <c r="L1848">
        <f>IFERROR(__xludf.DUMMYFUNCTION("""COMPUTED_VALUE"""),7.0)</f>
        <v>7</v>
      </c>
      <c r="M1848">
        <f>IFERROR(__xludf.DUMMYFUNCTION("""COMPUTED_VALUE"""),30.0)</f>
        <v>30</v>
      </c>
      <c r="N1848" t="str">
        <f>IFERROR(__xludf.DUMMYFUNCTION("""COMPUTED_VALUE"""),"Model 3 LR")</f>
        <v>Model 3 LR</v>
      </c>
      <c r="O1848" t="str">
        <f>IFERROR(__xludf.DUMMYFUNCTION("""COMPUTED_VALUE"""),"Solid Black")</f>
        <v>Solid Black</v>
      </c>
      <c r="P1848" t="str">
        <f>IFERROR(__xludf.DUMMYFUNCTION("""COMPUTED_VALUE"""),"18 inch Aero")</f>
        <v>18 inch Aero</v>
      </c>
      <c r="Q1848" t="str">
        <f>IFERROR(__xludf.DUMMYFUNCTION("""COMPUTED_VALUE"""),"Black seats")</f>
        <v>Black seats</v>
      </c>
      <c r="R1848" t="str">
        <f>IFERROR(__xludf.DUMMYFUNCTION("""COMPUTED_VALUE"""),"Full Self-Driving")</f>
        <v>Full Self-Driving</v>
      </c>
      <c r="X1848" t="str">
        <f>IFERROR(__xludf.DUMMYFUNCTION("""COMPUTED_VALUE"""),"Fair")</f>
        <v>Fair</v>
      </c>
      <c r="Y1848" t="str">
        <f>IFERROR(__xludf.DUMMYFUNCTION("""COMPUTED_VALUE"""),"Good")</f>
        <v>Good</v>
      </c>
      <c r="Z1848" t="str">
        <f>IFERROR(__xludf.DUMMYFUNCTION("""COMPUTED_VALUE"""),"Good")</f>
        <v>Good</v>
      </c>
      <c r="AA1848" t="str">
        <f>IFERROR(__xludf.DUMMYFUNCTION("""COMPUTED_VALUE"""),"Fair")</f>
        <v>Fair</v>
      </c>
      <c r="AB1848" t="str">
        <f>IFERROR(__xludf.DUMMYFUNCTION("""COMPUTED_VALUE"""),"Fair")</f>
        <v>Fair</v>
      </c>
      <c r="AC1848">
        <f>IFERROR(__xludf.DUMMYFUNCTION("""COMPUTED_VALUE"""),2.0)</f>
        <v>2</v>
      </c>
      <c r="AD1848">
        <f>IFERROR(__xludf.DUMMYFUNCTION("""COMPUTED_VALUE"""),3.0)</f>
        <v>3</v>
      </c>
      <c r="AE1848">
        <f>IFERROR(__xludf.DUMMYFUNCTION("""COMPUTED_VALUE"""),1.0)</f>
        <v>1</v>
      </c>
      <c r="AG1848" t="str">
        <f>IFERROR(__xludf.DUMMYFUNCTION("""COMPUTED_VALUE"""),"Passenger door was rubbing the body. Windshield was incorrectly sealed. Issues were fixed by service center.")</f>
        <v>Passenger door was rubbing the body. Windshield was incorrectly sealed. Issues were fixed by service center.</v>
      </c>
      <c r="AH1848" s="189">
        <f>IFERROR(__xludf.DUMMYFUNCTION("""COMPUTED_VALUE"""),43655.540542523144)</f>
        <v>43655.54054</v>
      </c>
    </row>
    <row r="1849">
      <c r="A1849" t="str">
        <f>IFERROR(__xludf.DUMMYFUNCTION("""COMPUTED_VALUE"""),"blackfish")</f>
        <v>blackfish</v>
      </c>
      <c r="B1849" t="str">
        <f>IFERROR(__xludf.DUMMYFUNCTION("""COMPUTED_VALUE"""),"San Francisco")</f>
        <v>San Francisco</v>
      </c>
      <c r="C1849" t="str">
        <f>IFERROR(__xludf.DUMMYFUNCTION("""COMPUTED_VALUE"""),"CA")</f>
        <v>CA</v>
      </c>
      <c r="D1849" t="str">
        <f>IFERROR(__xludf.DUMMYFUNCTION("""COMPUTED_VALUE"""),"USA")</f>
        <v>USA</v>
      </c>
      <c r="E1849" s="188">
        <f>IFERROR(__xludf.DUMMYFUNCTION("""COMPUTED_VALUE"""),43585.0)</f>
        <v>43585</v>
      </c>
      <c r="F1849" s="188">
        <f>IFERROR(__xludf.DUMMYFUNCTION("""COMPUTED_VALUE"""),43620.0)</f>
        <v>43620</v>
      </c>
      <c r="H1849">
        <f>IFERROR(__xludf.DUMMYFUNCTION("""COMPUTED_VALUE"""),393455.0)</f>
        <v>393455</v>
      </c>
      <c r="J1849" s="5">
        <f>IFERROR(__xludf.DUMMYFUNCTION("""COMPUTED_VALUE"""),43621.0)</f>
        <v>43621</v>
      </c>
      <c r="K1849">
        <f>IFERROR(__xludf.DUMMYFUNCTION("""COMPUTED_VALUE"""),35.0)</f>
        <v>35</v>
      </c>
      <c r="L1849">
        <f>IFERROR(__xludf.DUMMYFUNCTION("""COMPUTED_VALUE"""),1.0)</f>
        <v>1</v>
      </c>
      <c r="M1849">
        <f>IFERROR(__xludf.DUMMYFUNCTION("""COMPUTED_VALUE"""),36.0)</f>
        <v>36</v>
      </c>
      <c r="N1849" t="str">
        <f>IFERROR(__xludf.DUMMYFUNCTION("""COMPUTED_VALUE"""),"Model 3 Performance")</f>
        <v>Model 3 Performance</v>
      </c>
      <c r="O1849" t="str">
        <f>IFERROR(__xludf.DUMMYFUNCTION("""COMPUTED_VALUE"""),"Red Multi-Coat")</f>
        <v>Red Multi-Coat</v>
      </c>
      <c r="P1849" t="str">
        <f>IFERROR(__xludf.DUMMYFUNCTION("""COMPUTED_VALUE"""),"20 inch Sport")</f>
        <v>20 inch Sport</v>
      </c>
      <c r="Q1849" t="str">
        <f>IFERROR(__xludf.DUMMYFUNCTION("""COMPUTED_VALUE"""),"White seats")</f>
        <v>White seats</v>
      </c>
      <c r="R1849" t="str">
        <f>IFERROR(__xludf.DUMMYFUNCTION("""COMPUTED_VALUE"""),"Full Self-Driving")</f>
        <v>Full Self-Driving</v>
      </c>
      <c r="X1849" t="str">
        <f>IFERROR(__xludf.DUMMYFUNCTION("""COMPUTED_VALUE"""),"Very Good")</f>
        <v>Very Good</v>
      </c>
      <c r="Y1849" t="str">
        <f>IFERROR(__xludf.DUMMYFUNCTION("""COMPUTED_VALUE"""),"Excellent")</f>
        <v>Excellent</v>
      </c>
      <c r="Z1849" t="str">
        <f>IFERROR(__xludf.DUMMYFUNCTION("""COMPUTED_VALUE"""),"Excellent")</f>
        <v>Excellent</v>
      </c>
      <c r="AA1849" t="str">
        <f>IFERROR(__xludf.DUMMYFUNCTION("""COMPUTED_VALUE"""),"Good")</f>
        <v>Good</v>
      </c>
      <c r="AB1849" t="str">
        <f>IFERROR(__xludf.DUMMYFUNCTION("""COMPUTED_VALUE"""),"Very Good")</f>
        <v>Very Good</v>
      </c>
      <c r="AC1849">
        <f>IFERROR(__xludf.DUMMYFUNCTION("""COMPUTED_VALUE"""),0.0)</f>
        <v>0</v>
      </c>
      <c r="AD1849">
        <f>IFERROR(__xludf.DUMMYFUNCTION("""COMPUTED_VALUE"""),2.0)</f>
        <v>2</v>
      </c>
      <c r="AE1849">
        <f>IFERROR(__xludf.DUMMYFUNCTION("""COMPUTED_VALUE"""),3.0)</f>
        <v>3</v>
      </c>
      <c r="AH1849" s="189">
        <f>IFERROR(__xludf.DUMMYFUNCTION("""COMPUTED_VALUE"""),43657.43099395833)</f>
        <v>43657.43099</v>
      </c>
    </row>
    <row r="1850">
      <c r="A1850" t="str">
        <f>IFERROR(__xludf.DUMMYFUNCTION("""COMPUTED_VALUE"""),"AdamMacDon")</f>
        <v>AdamMacDon</v>
      </c>
      <c r="B1850" t="str">
        <f>IFERROR(__xludf.DUMMYFUNCTION("""COMPUTED_VALUE"""),"Victoria")</f>
        <v>Victoria</v>
      </c>
      <c r="C1850" t="str">
        <f>IFERROR(__xludf.DUMMYFUNCTION("""COMPUTED_VALUE"""),"BC")</f>
        <v>BC</v>
      </c>
      <c r="D1850" t="str">
        <f>IFERROR(__xludf.DUMMYFUNCTION("""COMPUTED_VALUE"""),"Canada")</f>
        <v>Canada</v>
      </c>
      <c r="E1850" s="188">
        <f>IFERROR(__xludf.DUMMYFUNCTION("""COMPUTED_VALUE"""),43589.0)</f>
        <v>43589</v>
      </c>
      <c r="F1850" s="188">
        <f>IFERROR(__xludf.DUMMYFUNCTION("""COMPUTED_VALUE"""),43622.0)</f>
        <v>43622</v>
      </c>
      <c r="H1850">
        <f>IFERROR(__xludf.DUMMYFUNCTION("""COMPUTED_VALUE"""),396634.0)</f>
        <v>396634</v>
      </c>
      <c r="I1850" t="str">
        <f>IFERROR(__xludf.DUMMYFUNCTION("""COMPUTED_VALUE"""),"06/19")</f>
        <v>06/19</v>
      </c>
      <c r="J1850" s="5">
        <f>IFERROR(__xludf.DUMMYFUNCTION("""COMPUTED_VALUE"""),43629.0)</f>
        <v>43629</v>
      </c>
      <c r="K1850">
        <f>IFERROR(__xludf.DUMMYFUNCTION("""COMPUTED_VALUE"""),33.0)</f>
        <v>33</v>
      </c>
      <c r="L1850">
        <f>IFERROR(__xludf.DUMMYFUNCTION("""COMPUTED_VALUE"""),7.0)</f>
        <v>7</v>
      </c>
      <c r="M1850">
        <f>IFERROR(__xludf.DUMMYFUNCTION("""COMPUTED_VALUE"""),40.0)</f>
        <v>40</v>
      </c>
      <c r="N1850" t="str">
        <f>IFERROR(__xludf.DUMMYFUNCTION("""COMPUTED_VALUE"""),"Model 3 SR+")</f>
        <v>Model 3 SR+</v>
      </c>
      <c r="O1850" t="str">
        <f>IFERROR(__xludf.DUMMYFUNCTION("""COMPUTED_VALUE"""),"Deep Blue Metallic")</f>
        <v>Deep Blue Metallic</v>
      </c>
      <c r="P1850" t="str">
        <f>IFERROR(__xludf.DUMMYFUNCTION("""COMPUTED_VALUE"""),"18 inch Aero")</f>
        <v>18 inch Aero</v>
      </c>
      <c r="Q1850" t="str">
        <f>IFERROR(__xludf.DUMMYFUNCTION("""COMPUTED_VALUE"""),"Black seats")</f>
        <v>Black seats</v>
      </c>
      <c r="R1850" t="str">
        <f>IFERROR(__xludf.DUMMYFUNCTION("""COMPUTED_VALUE"""),"Autopilot")</f>
        <v>Autopilot</v>
      </c>
      <c r="X1850" t="str">
        <f>IFERROR(__xludf.DUMMYFUNCTION("""COMPUTED_VALUE"""),"Very Good")</f>
        <v>Very Good</v>
      </c>
      <c r="Y1850" t="str">
        <f>IFERROR(__xludf.DUMMYFUNCTION("""COMPUTED_VALUE"""),"Good")</f>
        <v>Good</v>
      </c>
      <c r="Z1850" t="str">
        <f>IFERROR(__xludf.DUMMYFUNCTION("""COMPUTED_VALUE"""),"Good")</f>
        <v>Good</v>
      </c>
      <c r="AA1850" t="str">
        <f>IFERROR(__xludf.DUMMYFUNCTION("""COMPUTED_VALUE"""),"Poor")</f>
        <v>Poor</v>
      </c>
      <c r="AB1850" t="str">
        <f>IFERROR(__xludf.DUMMYFUNCTION("""COMPUTED_VALUE"""),"Good")</f>
        <v>Good</v>
      </c>
      <c r="AC1850">
        <f>IFERROR(__xludf.DUMMYFUNCTION("""COMPUTED_VALUE"""),1.0)</f>
        <v>1</v>
      </c>
      <c r="AD1850">
        <f>IFERROR(__xludf.DUMMYFUNCTION("""COMPUTED_VALUE"""),1.0)</f>
        <v>1</v>
      </c>
      <c r="AE1850">
        <f>IFERROR(__xludf.DUMMYFUNCTION("""COMPUTED_VALUE"""),0.0)</f>
        <v>0</v>
      </c>
      <c r="AH1850" s="189">
        <f>IFERROR(__xludf.DUMMYFUNCTION("""COMPUTED_VALUE"""),43659.514623807874)</f>
        <v>43659.51462</v>
      </c>
    </row>
    <row r="1851">
      <c r="A1851" t="str">
        <f>IFERROR(__xludf.DUMMYFUNCTION("""COMPUTED_VALUE"""),"mikemi")</f>
        <v>mikemi</v>
      </c>
      <c r="B1851" t="str">
        <f>IFERROR(__xludf.DUMMYFUNCTION("""COMPUTED_VALUE"""),"Okemos")</f>
        <v>Okemos</v>
      </c>
      <c r="C1851" t="str">
        <f>IFERROR(__xludf.DUMMYFUNCTION("""COMPUTED_VALUE"""),"MI")</f>
        <v>MI</v>
      </c>
      <c r="D1851" t="str">
        <f>IFERROR(__xludf.DUMMYFUNCTION("""COMPUTED_VALUE"""),"USA")</f>
        <v>USA</v>
      </c>
      <c r="E1851" s="188">
        <f>IFERROR(__xludf.DUMMYFUNCTION("""COMPUTED_VALUE"""),43642.0)</f>
        <v>43642</v>
      </c>
      <c r="F1851" s="188">
        <f>IFERROR(__xludf.DUMMYFUNCTION("""COMPUTED_VALUE"""),43651.0)</f>
        <v>43651</v>
      </c>
      <c r="H1851">
        <f>IFERROR(__xludf.DUMMYFUNCTION("""COMPUTED_VALUE"""),429483.0)</f>
        <v>429483</v>
      </c>
      <c r="I1851" t="str">
        <f>IFERROR(__xludf.DUMMYFUNCTION("""COMPUTED_VALUE"""),"07/19")</f>
        <v>07/19</v>
      </c>
      <c r="J1851" s="5">
        <f>IFERROR(__xludf.DUMMYFUNCTION("""COMPUTED_VALUE"""),43657.0)</f>
        <v>43657</v>
      </c>
      <c r="K1851">
        <f>IFERROR(__xludf.DUMMYFUNCTION("""COMPUTED_VALUE"""),9.0)</f>
        <v>9</v>
      </c>
      <c r="L1851">
        <f>IFERROR(__xludf.DUMMYFUNCTION("""COMPUTED_VALUE"""),6.0)</f>
        <v>6</v>
      </c>
      <c r="M1851">
        <f>IFERROR(__xludf.DUMMYFUNCTION("""COMPUTED_VALUE"""),15.0)</f>
        <v>15</v>
      </c>
      <c r="N1851" t="str">
        <f>IFERROR(__xludf.DUMMYFUNCTION("""COMPUTED_VALUE"""),"Model 3 LR AWD")</f>
        <v>Model 3 LR AWD</v>
      </c>
      <c r="O1851" t="str">
        <f>IFERROR(__xludf.DUMMYFUNCTION("""COMPUTED_VALUE"""),"Pearl White Multi-Coat")</f>
        <v>Pearl White Multi-Coat</v>
      </c>
      <c r="P1851" t="str">
        <f>IFERROR(__xludf.DUMMYFUNCTION("""COMPUTED_VALUE"""),"19 inch Sport")</f>
        <v>19 inch Sport</v>
      </c>
      <c r="Q1851" t="str">
        <f>IFERROR(__xludf.DUMMYFUNCTION("""COMPUTED_VALUE"""),"Black seats")</f>
        <v>Black seats</v>
      </c>
      <c r="R1851" t="str">
        <f>IFERROR(__xludf.DUMMYFUNCTION("""COMPUTED_VALUE"""),"Full Self-Driving")</f>
        <v>Full Self-Driving</v>
      </c>
      <c r="X1851" t="str">
        <f>IFERROR(__xludf.DUMMYFUNCTION("""COMPUTED_VALUE"""),"Excellent")</f>
        <v>Excellent</v>
      </c>
      <c r="Y1851" t="str">
        <f>IFERROR(__xludf.DUMMYFUNCTION("""COMPUTED_VALUE"""),"Excellent")</f>
        <v>Excellent</v>
      </c>
      <c r="Z1851" t="str">
        <f>IFERROR(__xludf.DUMMYFUNCTION("""COMPUTED_VALUE"""),"Excellent")</f>
        <v>Excellent</v>
      </c>
      <c r="AA1851" t="str">
        <f>IFERROR(__xludf.DUMMYFUNCTION("""COMPUTED_VALUE"""),"Excellent")</f>
        <v>Excellent</v>
      </c>
      <c r="AB1851" t="str">
        <f>IFERROR(__xludf.DUMMYFUNCTION("""COMPUTED_VALUE"""),"Excellent")</f>
        <v>Excellent</v>
      </c>
      <c r="AH1851" s="189">
        <f>IFERROR(__xludf.DUMMYFUNCTION("""COMPUTED_VALUE"""),43660.137069097225)</f>
        <v>43660.13707</v>
      </c>
    </row>
    <row r="1852">
      <c r="A1852" t="str">
        <f>IFERROR(__xludf.DUMMYFUNCTION("""COMPUTED_VALUE"""),"bezwick")</f>
        <v>bezwick</v>
      </c>
      <c r="B1852" t="str">
        <f>IFERROR(__xludf.DUMMYFUNCTION("""COMPUTED_VALUE"""),"Los Angeles")</f>
        <v>Los Angeles</v>
      </c>
      <c r="C1852" t="str">
        <f>IFERROR(__xludf.DUMMYFUNCTION("""COMPUTED_VALUE"""),"CA")</f>
        <v>CA</v>
      </c>
      <c r="D1852" t="str">
        <f>IFERROR(__xludf.DUMMYFUNCTION("""COMPUTED_VALUE"""),"USA")</f>
        <v>USA</v>
      </c>
      <c r="E1852" s="188">
        <f>IFERROR(__xludf.DUMMYFUNCTION("""COMPUTED_VALUE"""),43646.0)</f>
        <v>43646</v>
      </c>
      <c r="F1852" s="188">
        <f>IFERROR(__xludf.DUMMYFUNCTION("""COMPUTED_VALUE"""),43653.0)</f>
        <v>43653</v>
      </c>
      <c r="I1852" t="str">
        <f>IFERROR(__xludf.DUMMYFUNCTION("""COMPUTED_VALUE"""),"06/19")</f>
        <v>06/19</v>
      </c>
      <c r="J1852" s="5">
        <f>IFERROR(__xludf.DUMMYFUNCTION("""COMPUTED_VALUE"""),43658.0)</f>
        <v>43658</v>
      </c>
      <c r="K1852">
        <f>IFERROR(__xludf.DUMMYFUNCTION("""COMPUTED_VALUE"""),7.0)</f>
        <v>7</v>
      </c>
      <c r="L1852">
        <f>IFERROR(__xludf.DUMMYFUNCTION("""COMPUTED_VALUE"""),5.0)</f>
        <v>5</v>
      </c>
      <c r="M1852">
        <f>IFERROR(__xludf.DUMMYFUNCTION("""COMPUTED_VALUE"""),12.0)</f>
        <v>12</v>
      </c>
      <c r="N1852" t="str">
        <f>IFERROR(__xludf.DUMMYFUNCTION("""COMPUTED_VALUE"""),"Model 3 SR+")</f>
        <v>Model 3 SR+</v>
      </c>
      <c r="O1852" t="str">
        <f>IFERROR(__xludf.DUMMYFUNCTION("""COMPUTED_VALUE"""),"Solid Black")</f>
        <v>Solid Black</v>
      </c>
      <c r="P1852" t="str">
        <f>IFERROR(__xludf.DUMMYFUNCTION("""COMPUTED_VALUE"""),"18 inch Aero")</f>
        <v>18 inch Aero</v>
      </c>
      <c r="Q1852" t="str">
        <f>IFERROR(__xludf.DUMMYFUNCTION("""COMPUTED_VALUE"""),"Black seats")</f>
        <v>Black seats</v>
      </c>
      <c r="R1852" t="str">
        <f>IFERROR(__xludf.DUMMYFUNCTION("""COMPUTED_VALUE"""),"Full Self-Driving")</f>
        <v>Full Self-Driving</v>
      </c>
      <c r="X1852" t="str">
        <f>IFERROR(__xludf.DUMMYFUNCTION("""COMPUTED_VALUE"""),"Very Good")</f>
        <v>Very Good</v>
      </c>
      <c r="Y1852" t="str">
        <f>IFERROR(__xludf.DUMMYFUNCTION("""COMPUTED_VALUE"""),"Very Good")</f>
        <v>Very Good</v>
      </c>
      <c r="Z1852" t="str">
        <f>IFERROR(__xludf.DUMMYFUNCTION("""COMPUTED_VALUE"""),"Good")</f>
        <v>Good</v>
      </c>
      <c r="AA1852" t="str">
        <f>IFERROR(__xludf.DUMMYFUNCTION("""COMPUTED_VALUE"""),"Fair")</f>
        <v>Fair</v>
      </c>
      <c r="AB1852" t="str">
        <f>IFERROR(__xludf.DUMMYFUNCTION("""COMPUTED_VALUE"""),"Good")</f>
        <v>Good</v>
      </c>
      <c r="AC1852">
        <f>IFERROR(__xludf.DUMMYFUNCTION("""COMPUTED_VALUE"""),4.0)</f>
        <v>4</v>
      </c>
      <c r="AG1852" t="str">
        <f>IFERROR(__xludf.DUMMYFUNCTION("""COMPUTED_VALUE"""),"Upon delivery on July 10th, discovered cracked windshield. They rescheduled delivery date for July 12th and repaired the windshield. No major issues on rescheduled delivery date.")</f>
        <v>Upon delivery on July 10th, discovered cracked windshield. They rescheduled delivery date for July 12th and repaired the windshield. No major issues on rescheduled delivery date.</v>
      </c>
      <c r="AH1852" s="189">
        <f>IFERROR(__xludf.DUMMYFUNCTION("""COMPUTED_VALUE"""),43660.489068703704)</f>
        <v>43660.48907</v>
      </c>
    </row>
    <row r="1853">
      <c r="A1853" t="str">
        <f>IFERROR(__xludf.DUMMYFUNCTION("""COMPUTED_VALUE"""),"marccastor")</f>
        <v>marccastor</v>
      </c>
      <c r="B1853" t="str">
        <f>IFERROR(__xludf.DUMMYFUNCTION("""COMPUTED_VALUE"""),"Barcelona")</f>
        <v>Barcelona</v>
      </c>
      <c r="D1853" t="str">
        <f>IFERROR(__xludf.DUMMYFUNCTION("""COMPUTED_VALUE"""),"Spain")</f>
        <v>Spain</v>
      </c>
      <c r="E1853" s="188">
        <f>IFERROR(__xludf.DUMMYFUNCTION("""COMPUTED_VALUE"""),43573.0)</f>
        <v>43573</v>
      </c>
      <c r="F1853" s="188">
        <f>IFERROR(__xludf.DUMMYFUNCTION("""COMPUTED_VALUE"""),43619.0)</f>
        <v>43619</v>
      </c>
      <c r="H1853" s="4">
        <f>IFERROR(__xludf.DUMMYFUNCTION("""COMPUTED_VALUE"""),376229.0)</f>
        <v>376229</v>
      </c>
      <c r="J1853" s="5">
        <f>IFERROR(__xludf.DUMMYFUNCTION("""COMPUTED_VALUE"""),43637.0)</f>
        <v>43637</v>
      </c>
      <c r="K1853">
        <f>IFERROR(__xludf.DUMMYFUNCTION("""COMPUTED_VALUE"""),46.0)</f>
        <v>46</v>
      </c>
      <c r="L1853">
        <f>IFERROR(__xludf.DUMMYFUNCTION("""COMPUTED_VALUE"""),18.0)</f>
        <v>18</v>
      </c>
      <c r="M1853">
        <f>IFERROR(__xludf.DUMMYFUNCTION("""COMPUTED_VALUE"""),64.0)</f>
        <v>64</v>
      </c>
      <c r="N1853" t="str">
        <f>IFERROR(__xludf.DUMMYFUNCTION("""COMPUTED_VALUE"""),"Model 3 SR+")</f>
        <v>Model 3 SR+</v>
      </c>
      <c r="O1853" t="str">
        <f>IFERROR(__xludf.DUMMYFUNCTION("""COMPUTED_VALUE"""),"Deep Blue Metallic")</f>
        <v>Deep Blue Metallic</v>
      </c>
      <c r="P1853" t="str">
        <f>IFERROR(__xludf.DUMMYFUNCTION("""COMPUTED_VALUE"""),"18 inch Aero")</f>
        <v>18 inch Aero</v>
      </c>
      <c r="Q1853" t="str">
        <f>IFERROR(__xludf.DUMMYFUNCTION("""COMPUTED_VALUE"""),"Black seats")</f>
        <v>Black seats</v>
      </c>
      <c r="R1853" t="str">
        <f>IFERROR(__xludf.DUMMYFUNCTION("""COMPUTED_VALUE"""),"Autopilot")</f>
        <v>Autopilot</v>
      </c>
      <c r="X1853" t="str">
        <f>IFERROR(__xludf.DUMMYFUNCTION("""COMPUTED_VALUE"""),"Excellent")</f>
        <v>Excellent</v>
      </c>
      <c r="Y1853" t="str">
        <f>IFERROR(__xludf.DUMMYFUNCTION("""COMPUTED_VALUE"""),"Excellent")</f>
        <v>Excellent</v>
      </c>
      <c r="Z1853" t="str">
        <f>IFERROR(__xludf.DUMMYFUNCTION("""COMPUTED_VALUE"""),"Excellent")</f>
        <v>Excellent</v>
      </c>
      <c r="AA1853" t="str">
        <f>IFERROR(__xludf.DUMMYFUNCTION("""COMPUTED_VALUE"""),"Very Good")</f>
        <v>Very Good</v>
      </c>
      <c r="AB1853" t="str">
        <f>IFERROR(__xludf.DUMMYFUNCTION("""COMPUTED_VALUE"""),"Very Good")</f>
        <v>Very Good</v>
      </c>
      <c r="AC1853">
        <f>IFERROR(__xludf.DUMMYFUNCTION("""COMPUTED_VALUE"""),0.0)</f>
        <v>0</v>
      </c>
      <c r="AD1853">
        <f>IFERROR(__xludf.DUMMYFUNCTION("""COMPUTED_VALUE"""),0.0)</f>
        <v>0</v>
      </c>
      <c r="AE1853">
        <f>IFERROR(__xludf.DUMMYFUNCTION("""COMPUTED_VALUE"""),0.0)</f>
        <v>0</v>
      </c>
      <c r="AH1853" s="189">
        <f>IFERROR(__xludf.DUMMYFUNCTION("""COMPUTED_VALUE"""),43661.13897690972)</f>
        <v>43661.13898</v>
      </c>
    </row>
    <row r="1854">
      <c r="A1854" t="str">
        <f>IFERROR(__xludf.DUMMYFUNCTION("""COMPUTED_VALUE"""),"lancep")</f>
        <v>lancep</v>
      </c>
      <c r="B1854" t="str">
        <f>IFERROR(__xludf.DUMMYFUNCTION("""COMPUTED_VALUE"""),"Loma Linda")</f>
        <v>Loma Linda</v>
      </c>
      <c r="C1854" t="str">
        <f>IFERROR(__xludf.DUMMYFUNCTION("""COMPUTED_VALUE"""),"CA")</f>
        <v>CA</v>
      </c>
      <c r="D1854" t="str">
        <f>IFERROR(__xludf.DUMMYFUNCTION("""COMPUTED_VALUE"""),"USA")</f>
        <v>USA</v>
      </c>
      <c r="E1854" s="188">
        <f>IFERROR(__xludf.DUMMYFUNCTION("""COMPUTED_VALUE"""),43632.0)</f>
        <v>43632</v>
      </c>
      <c r="F1854" s="188">
        <f>IFERROR(__xludf.DUMMYFUNCTION("""COMPUTED_VALUE"""),43635.0)</f>
        <v>43635</v>
      </c>
      <c r="H1854" s="4">
        <f>IFERROR(__xludf.DUMMYFUNCTION("""COMPUTED_VALUE"""),345074.0)</f>
        <v>345074</v>
      </c>
      <c r="I1854" t="str">
        <f>IFERROR(__xludf.DUMMYFUNCTION("""COMPUTED_VALUE"""),"06/19")</f>
        <v>06/19</v>
      </c>
      <c r="J1854" s="5">
        <f>IFERROR(__xludf.DUMMYFUNCTION("""COMPUTED_VALUE"""),43637.0)</f>
        <v>43637</v>
      </c>
      <c r="K1854">
        <f>IFERROR(__xludf.DUMMYFUNCTION("""COMPUTED_VALUE"""),3.0)</f>
        <v>3</v>
      </c>
      <c r="L1854">
        <f>IFERROR(__xludf.DUMMYFUNCTION("""COMPUTED_VALUE"""),2.0)</f>
        <v>2</v>
      </c>
      <c r="M1854">
        <f>IFERROR(__xludf.DUMMYFUNCTION("""COMPUTED_VALUE"""),5.0)</f>
        <v>5</v>
      </c>
      <c r="N1854" t="str">
        <f>IFERROR(__xludf.DUMMYFUNCTION("""COMPUTED_VALUE"""),"Model 3 LR")</f>
        <v>Model 3 LR</v>
      </c>
      <c r="O1854" t="str">
        <f>IFERROR(__xludf.DUMMYFUNCTION("""COMPUTED_VALUE"""),"Pearl White Multi-Coat")</f>
        <v>Pearl White Multi-Coat</v>
      </c>
      <c r="P1854" t="str">
        <f>IFERROR(__xludf.DUMMYFUNCTION("""COMPUTED_VALUE"""),"18 inch Aero")</f>
        <v>18 inch Aero</v>
      </c>
      <c r="Q1854" t="str">
        <f>IFERROR(__xludf.DUMMYFUNCTION("""COMPUTED_VALUE"""),"Black seats")</f>
        <v>Black seats</v>
      </c>
      <c r="R1854" t="str">
        <f>IFERROR(__xludf.DUMMYFUNCTION("""COMPUTED_VALUE"""),"Autopilot")</f>
        <v>Autopilot</v>
      </c>
      <c r="X1854" t="str">
        <f>IFERROR(__xludf.DUMMYFUNCTION("""COMPUTED_VALUE"""),"Good")</f>
        <v>Good</v>
      </c>
      <c r="Y1854" t="str">
        <f>IFERROR(__xludf.DUMMYFUNCTION("""COMPUTED_VALUE"""),"Excellent")</f>
        <v>Excellent</v>
      </c>
      <c r="Z1854" t="str">
        <f>IFERROR(__xludf.DUMMYFUNCTION("""COMPUTED_VALUE"""),"Very Good")</f>
        <v>Very Good</v>
      </c>
      <c r="AA1854" t="str">
        <f>IFERROR(__xludf.DUMMYFUNCTION("""COMPUTED_VALUE"""),"Excellent")</f>
        <v>Excellent</v>
      </c>
      <c r="AB1854" t="str">
        <f>IFERROR(__xludf.DUMMYFUNCTION("""COMPUTED_VALUE"""),"Very Good")</f>
        <v>Very Good</v>
      </c>
      <c r="AC1854">
        <f>IFERROR(__xludf.DUMMYFUNCTION("""COMPUTED_VALUE"""),4.0)</f>
        <v>4</v>
      </c>
      <c r="AD1854">
        <f>IFERROR(__xludf.DUMMYFUNCTION("""COMPUTED_VALUE"""),0.0)</f>
        <v>0</v>
      </c>
      <c r="AE1854">
        <f>IFERROR(__xludf.DUMMYFUNCTION("""COMPUTED_VALUE"""),0.0)</f>
        <v>0</v>
      </c>
      <c r="AG1854" t="str">
        <f>IFERROR(__xludf.DUMMYFUNCTION("""COMPUTED_VALUE"""),"Likely one of the last LR RWD models made")</f>
        <v>Likely one of the last LR RWD models made</v>
      </c>
      <c r="AH1854" s="189">
        <f>IFERROR(__xludf.DUMMYFUNCTION("""COMPUTED_VALUE"""),43661.65657559028)</f>
        <v>43661.65658</v>
      </c>
    </row>
    <row r="1855">
      <c r="A1855" t="str">
        <f>IFERROR(__xludf.DUMMYFUNCTION("""COMPUTED_VALUE"""),"Zorba")</f>
        <v>Zorba</v>
      </c>
      <c r="B1855" t="str">
        <f>IFERROR(__xludf.DUMMYFUNCTION("""COMPUTED_VALUE"""),"Loppem")</f>
        <v>Loppem</v>
      </c>
      <c r="D1855" t="str">
        <f>IFERROR(__xludf.DUMMYFUNCTION("""COMPUTED_VALUE"""),"Belgium")</f>
        <v>Belgium</v>
      </c>
      <c r="E1855" s="188">
        <f>IFERROR(__xludf.DUMMYFUNCTION("""COMPUTED_VALUE"""),43643.0)</f>
        <v>43643</v>
      </c>
      <c r="F1855" s="188">
        <f>IFERROR(__xludf.DUMMYFUNCTION("""COMPUTED_VALUE"""),43646.0)</f>
        <v>43646</v>
      </c>
      <c r="H1855">
        <f>IFERROR(__xludf.DUMMYFUNCTION("""COMPUTED_VALUE"""),364116.0)</f>
        <v>364116</v>
      </c>
      <c r="J1855" s="5">
        <f>IFERROR(__xludf.DUMMYFUNCTION("""COMPUTED_VALUE"""),43665.0)</f>
        <v>43665</v>
      </c>
      <c r="K1855">
        <f>IFERROR(__xludf.DUMMYFUNCTION("""COMPUTED_VALUE"""),3.0)</f>
        <v>3</v>
      </c>
      <c r="L1855">
        <f>IFERROR(__xludf.DUMMYFUNCTION("""COMPUTED_VALUE"""),19.0)</f>
        <v>19</v>
      </c>
      <c r="M1855">
        <f>IFERROR(__xludf.DUMMYFUNCTION("""COMPUTED_VALUE"""),22.0)</f>
        <v>22</v>
      </c>
      <c r="N1855" t="str">
        <f>IFERROR(__xludf.DUMMYFUNCTION("""COMPUTED_VALUE"""),"Model 3 LR AWD")</f>
        <v>Model 3 LR AWD</v>
      </c>
      <c r="O1855" t="str">
        <f>IFERROR(__xludf.DUMMYFUNCTION("""COMPUTED_VALUE"""),"Solid Black")</f>
        <v>Solid Black</v>
      </c>
      <c r="P1855" t="str">
        <f>IFERROR(__xludf.DUMMYFUNCTION("""COMPUTED_VALUE"""),"19 inch Sport")</f>
        <v>19 inch Sport</v>
      </c>
      <c r="Q1855" t="str">
        <f>IFERROR(__xludf.DUMMYFUNCTION("""COMPUTED_VALUE"""),"Black seats")</f>
        <v>Black seats</v>
      </c>
      <c r="R1855" t="str">
        <f>IFERROR(__xludf.DUMMYFUNCTION("""COMPUTED_VALUE"""),"Autopilot")</f>
        <v>Autopilot</v>
      </c>
      <c r="X1855" t="str">
        <f>IFERROR(__xludf.DUMMYFUNCTION("""COMPUTED_VALUE"""),"Excellent")</f>
        <v>Excellent</v>
      </c>
      <c r="Y1855" t="str">
        <f>IFERROR(__xludf.DUMMYFUNCTION("""COMPUTED_VALUE"""),"Good")</f>
        <v>Good</v>
      </c>
      <c r="AA1855" t="str">
        <f>IFERROR(__xludf.DUMMYFUNCTION("""COMPUTED_VALUE"""),"Good")</f>
        <v>Good</v>
      </c>
      <c r="AB1855" t="str">
        <f>IFERROR(__xludf.DUMMYFUNCTION("""COMPUTED_VALUE"""),"Excellent")</f>
        <v>Excellent</v>
      </c>
      <c r="AC1855">
        <f>IFERROR(__xludf.DUMMYFUNCTION("""COMPUTED_VALUE"""),2.0)</f>
        <v>2</v>
      </c>
      <c r="AD1855">
        <f>IFERROR(__xludf.DUMMYFUNCTION("""COMPUTED_VALUE"""),1.0)</f>
        <v>1</v>
      </c>
      <c r="AE1855">
        <f>IFERROR(__xludf.DUMMYFUNCTION("""COMPUTED_VALUE"""),0.0)</f>
        <v>0</v>
      </c>
      <c r="AH1855" s="189">
        <f>IFERROR(__xludf.DUMMYFUNCTION("""COMPUTED_VALUE"""),43665.43506846065)</f>
        <v>43665.43507</v>
      </c>
    </row>
    <row r="1856">
      <c r="A1856" t="str">
        <f>IFERROR(__xludf.DUMMYFUNCTION("""COMPUTED_VALUE"""),"lampcord")</f>
        <v>lampcord</v>
      </c>
      <c r="B1856" t="str">
        <f>IFERROR(__xludf.DUMMYFUNCTION("""COMPUTED_VALUE"""),"Fridley")</f>
        <v>Fridley</v>
      </c>
      <c r="C1856" t="str">
        <f>IFERROR(__xludf.DUMMYFUNCTION("""COMPUTED_VALUE"""),"MN")</f>
        <v>MN</v>
      </c>
      <c r="D1856" t="str">
        <f>IFERROR(__xludf.DUMMYFUNCTION("""COMPUTED_VALUE"""),"USA")</f>
        <v>USA</v>
      </c>
      <c r="E1856" s="188">
        <f>IFERROR(__xludf.DUMMYFUNCTION("""COMPUTED_VALUE"""),43616.0)</f>
        <v>43616</v>
      </c>
      <c r="F1856" s="188">
        <f>IFERROR(__xludf.DUMMYFUNCTION("""COMPUTED_VALUE"""),43628.0)</f>
        <v>43628</v>
      </c>
      <c r="H1856">
        <f>IFERROR(__xludf.DUMMYFUNCTION("""COMPUTED_VALUE"""),391655.0)</f>
        <v>391655</v>
      </c>
      <c r="I1856" t="str">
        <f>IFERROR(__xludf.DUMMYFUNCTION("""COMPUTED_VALUE"""),"06/19")</f>
        <v>06/19</v>
      </c>
      <c r="J1856" s="5">
        <f>IFERROR(__xludf.DUMMYFUNCTION("""COMPUTED_VALUE"""),43629.0)</f>
        <v>43629</v>
      </c>
      <c r="K1856">
        <f>IFERROR(__xludf.DUMMYFUNCTION("""COMPUTED_VALUE"""),12.0)</f>
        <v>12</v>
      </c>
      <c r="L1856">
        <f>IFERROR(__xludf.DUMMYFUNCTION("""COMPUTED_VALUE"""),1.0)</f>
        <v>1</v>
      </c>
      <c r="M1856">
        <f>IFERROR(__xludf.DUMMYFUNCTION("""COMPUTED_VALUE"""),13.0)</f>
        <v>13</v>
      </c>
      <c r="N1856" t="str">
        <f>IFERROR(__xludf.DUMMYFUNCTION("""COMPUTED_VALUE"""),"Model 3 LR AWD")</f>
        <v>Model 3 LR AWD</v>
      </c>
      <c r="O1856" t="str">
        <f>IFERROR(__xludf.DUMMYFUNCTION("""COMPUTED_VALUE"""),"Midnight Silver Metallic")</f>
        <v>Midnight Silver Metallic</v>
      </c>
      <c r="P1856" t="str">
        <f>IFERROR(__xludf.DUMMYFUNCTION("""COMPUTED_VALUE"""),"19 inch Sport")</f>
        <v>19 inch Sport</v>
      </c>
      <c r="Q1856" t="str">
        <f>IFERROR(__xludf.DUMMYFUNCTION("""COMPUTED_VALUE"""),"White seats")</f>
        <v>White seats</v>
      </c>
      <c r="R1856" t="str">
        <f>IFERROR(__xludf.DUMMYFUNCTION("""COMPUTED_VALUE"""),"Autopilot")</f>
        <v>Autopilot</v>
      </c>
      <c r="X1856" t="str">
        <f>IFERROR(__xludf.DUMMYFUNCTION("""COMPUTED_VALUE"""),"Excellent")</f>
        <v>Excellent</v>
      </c>
      <c r="Y1856" t="str">
        <f>IFERROR(__xludf.DUMMYFUNCTION("""COMPUTED_VALUE"""),"Excellent")</f>
        <v>Excellent</v>
      </c>
      <c r="Z1856" t="str">
        <f>IFERROR(__xludf.DUMMYFUNCTION("""COMPUTED_VALUE"""),"Excellent")</f>
        <v>Excellent</v>
      </c>
      <c r="AA1856" t="str">
        <f>IFERROR(__xludf.DUMMYFUNCTION("""COMPUTED_VALUE"""),"Very Good")</f>
        <v>Very Good</v>
      </c>
      <c r="AB1856" t="str">
        <f>IFERROR(__xludf.DUMMYFUNCTION("""COMPUTED_VALUE"""),"Very Good")</f>
        <v>Very Good</v>
      </c>
      <c r="AC1856">
        <f>IFERROR(__xludf.DUMMYFUNCTION("""COMPUTED_VALUE"""),0.0)</f>
        <v>0</v>
      </c>
      <c r="AD1856">
        <f>IFERROR(__xludf.DUMMYFUNCTION("""COMPUTED_VALUE"""),0.0)</f>
        <v>0</v>
      </c>
      <c r="AE1856">
        <f>IFERROR(__xludf.DUMMYFUNCTION("""COMPUTED_VALUE"""),0.0)</f>
        <v>0</v>
      </c>
      <c r="AG1856" t="str">
        <f>IFERROR(__xludf.DUMMYFUNCTION("""COMPUTED_VALUE"""),"Was SR+ Blue / Blk / 18Aero. Switched to in inventory on 6/10 through salesperson.")</f>
        <v>Was SR+ Blue / Blk / 18Aero. Switched to in inventory on 6/10 through salesperson.</v>
      </c>
      <c r="AH1856" s="189">
        <f>IFERROR(__xludf.DUMMYFUNCTION("""COMPUTED_VALUE"""),43665.85982957176)</f>
        <v>43665.85983</v>
      </c>
    </row>
    <row r="1857">
      <c r="A1857" t="str">
        <f>IFERROR(__xludf.DUMMYFUNCTION("""COMPUTED_VALUE"""),"Godlife")</f>
        <v>Godlife</v>
      </c>
      <c r="C1857" t="str">
        <f>IFERROR(__xludf.DUMMYFUNCTION("""COMPUTED_VALUE"""),"CA")</f>
        <v>CA</v>
      </c>
      <c r="D1857" t="str">
        <f>IFERROR(__xludf.DUMMYFUNCTION("""COMPUTED_VALUE"""),"USA")</f>
        <v>USA</v>
      </c>
      <c r="E1857" s="188">
        <f>IFERROR(__xludf.DUMMYFUNCTION("""COMPUTED_VALUE"""),43662.0)</f>
        <v>43662</v>
      </c>
      <c r="F1857" s="188">
        <f>IFERROR(__xludf.DUMMYFUNCTION("""COMPUTED_VALUE"""),43663.0)</f>
        <v>43663</v>
      </c>
      <c r="I1857" t="str">
        <f>IFERROR(__xludf.DUMMYFUNCTION("""COMPUTED_VALUE"""),"07/19")</f>
        <v>07/19</v>
      </c>
      <c r="J1857" s="5">
        <f>IFERROR(__xludf.DUMMYFUNCTION("""COMPUTED_VALUE"""),43665.0)</f>
        <v>43665</v>
      </c>
      <c r="K1857">
        <f>IFERROR(__xludf.DUMMYFUNCTION("""COMPUTED_VALUE"""),1.0)</f>
        <v>1</v>
      </c>
      <c r="L1857">
        <f>IFERROR(__xludf.DUMMYFUNCTION("""COMPUTED_VALUE"""),2.0)</f>
        <v>2</v>
      </c>
      <c r="M1857">
        <f>IFERROR(__xludf.DUMMYFUNCTION("""COMPUTED_VALUE"""),3.0)</f>
        <v>3</v>
      </c>
      <c r="N1857" t="str">
        <f>IFERROR(__xludf.DUMMYFUNCTION("""COMPUTED_VALUE"""),"Model 3 LR AWD")</f>
        <v>Model 3 LR AWD</v>
      </c>
      <c r="O1857" t="str">
        <f>IFERROR(__xludf.DUMMYFUNCTION("""COMPUTED_VALUE"""),"Pearl White Multi-Coat")</f>
        <v>Pearl White Multi-Coat</v>
      </c>
      <c r="P1857" t="str">
        <f>IFERROR(__xludf.DUMMYFUNCTION("""COMPUTED_VALUE"""),"19 inch Sport")</f>
        <v>19 inch Sport</v>
      </c>
      <c r="Q1857" t="str">
        <f>IFERROR(__xludf.DUMMYFUNCTION("""COMPUTED_VALUE"""),"Black seats")</f>
        <v>Black seats</v>
      </c>
      <c r="R1857" t="str">
        <f>IFERROR(__xludf.DUMMYFUNCTION("""COMPUTED_VALUE"""),"Autopilot")</f>
        <v>Autopilot</v>
      </c>
      <c r="X1857" t="str">
        <f>IFERROR(__xludf.DUMMYFUNCTION("""COMPUTED_VALUE"""),"Excellent")</f>
        <v>Excellent</v>
      </c>
      <c r="Y1857" t="str">
        <f>IFERROR(__xludf.DUMMYFUNCTION("""COMPUTED_VALUE"""),"Excellent")</f>
        <v>Excellent</v>
      </c>
      <c r="Z1857" t="str">
        <f>IFERROR(__xludf.DUMMYFUNCTION("""COMPUTED_VALUE"""),"Excellent")</f>
        <v>Excellent</v>
      </c>
      <c r="AA1857" t="str">
        <f>IFERROR(__xludf.DUMMYFUNCTION("""COMPUTED_VALUE"""),"Poor")</f>
        <v>Poor</v>
      </c>
      <c r="AB1857" t="str">
        <f>IFERROR(__xludf.DUMMYFUNCTION("""COMPUTED_VALUE"""),"Excellent")</f>
        <v>Excellent</v>
      </c>
      <c r="AH1857" s="189">
        <f>IFERROR(__xludf.DUMMYFUNCTION("""COMPUTED_VALUE"""),43666.302177233796)</f>
        <v>43666.30218</v>
      </c>
    </row>
    <row r="1858">
      <c r="A1858" t="str">
        <f>IFERROR(__xludf.DUMMYFUNCTION("""COMPUTED_VALUE"""),"Greglorious")</f>
        <v>Greglorious</v>
      </c>
      <c r="B1858" t="str">
        <f>IFERROR(__xludf.DUMMYFUNCTION("""COMPUTED_VALUE"""),"Jacksonville")</f>
        <v>Jacksonville</v>
      </c>
      <c r="C1858" t="str">
        <f>IFERROR(__xludf.DUMMYFUNCTION("""COMPUTED_VALUE"""),"FL")</f>
        <v>FL</v>
      </c>
      <c r="D1858" t="str">
        <f>IFERROR(__xludf.DUMMYFUNCTION("""COMPUTED_VALUE"""),"USA")</f>
        <v>USA</v>
      </c>
      <c r="E1858" s="188">
        <f>IFERROR(__xludf.DUMMYFUNCTION("""COMPUTED_VALUE"""),43638.0)</f>
        <v>43638</v>
      </c>
      <c r="F1858" s="188">
        <f>IFERROR(__xludf.DUMMYFUNCTION("""COMPUTED_VALUE"""),43639.0)</f>
        <v>43639</v>
      </c>
      <c r="H1858">
        <f>IFERROR(__xludf.DUMMYFUNCTION("""COMPUTED_VALUE"""),406437.0)</f>
        <v>406437</v>
      </c>
      <c r="I1858" t="str">
        <f>IFERROR(__xludf.DUMMYFUNCTION("""COMPUTED_VALUE"""),"06/19")</f>
        <v>06/19</v>
      </c>
      <c r="J1858" s="5">
        <f>IFERROR(__xludf.DUMMYFUNCTION("""COMPUTED_VALUE"""),43642.0)</f>
        <v>43642</v>
      </c>
      <c r="K1858">
        <f>IFERROR(__xludf.DUMMYFUNCTION("""COMPUTED_VALUE"""),1.0)</f>
        <v>1</v>
      </c>
      <c r="L1858">
        <f>IFERROR(__xludf.DUMMYFUNCTION("""COMPUTED_VALUE"""),3.0)</f>
        <v>3</v>
      </c>
      <c r="M1858">
        <f>IFERROR(__xludf.DUMMYFUNCTION("""COMPUTED_VALUE"""),4.0)</f>
        <v>4</v>
      </c>
      <c r="N1858" t="str">
        <f>IFERROR(__xludf.DUMMYFUNCTION("""COMPUTED_VALUE"""),"Model 3 SR+")</f>
        <v>Model 3 SR+</v>
      </c>
      <c r="O1858" t="str">
        <f>IFERROR(__xludf.DUMMYFUNCTION("""COMPUTED_VALUE"""),"Deep Blue Metallic")</f>
        <v>Deep Blue Metallic</v>
      </c>
      <c r="P1858" t="str">
        <f>IFERROR(__xludf.DUMMYFUNCTION("""COMPUTED_VALUE"""),"18 inch Aero")</f>
        <v>18 inch Aero</v>
      </c>
      <c r="Q1858" t="str">
        <f>IFERROR(__xludf.DUMMYFUNCTION("""COMPUTED_VALUE"""),"Black seats")</f>
        <v>Black seats</v>
      </c>
      <c r="R1858" t="str">
        <f>IFERROR(__xludf.DUMMYFUNCTION("""COMPUTED_VALUE"""),"Autopilot")</f>
        <v>Autopilot</v>
      </c>
      <c r="X1858" t="str">
        <f>IFERROR(__xludf.DUMMYFUNCTION("""COMPUTED_VALUE"""),"Excellent")</f>
        <v>Excellent</v>
      </c>
      <c r="Y1858" t="str">
        <f>IFERROR(__xludf.DUMMYFUNCTION("""COMPUTED_VALUE"""),"Excellent")</f>
        <v>Excellent</v>
      </c>
      <c r="Z1858" t="str">
        <f>IFERROR(__xludf.DUMMYFUNCTION("""COMPUTED_VALUE"""),"Excellent")</f>
        <v>Excellent</v>
      </c>
      <c r="AA1858" t="str">
        <f>IFERROR(__xludf.DUMMYFUNCTION("""COMPUTED_VALUE"""),"Excellent")</f>
        <v>Excellent</v>
      </c>
      <c r="AB1858" t="str">
        <f>IFERROR(__xludf.DUMMYFUNCTION("""COMPUTED_VALUE"""),"Excellent")</f>
        <v>Excellent</v>
      </c>
      <c r="AC1858">
        <f>IFERROR(__xludf.DUMMYFUNCTION("""COMPUTED_VALUE"""),0.0)</f>
        <v>0</v>
      </c>
      <c r="AH1858" s="189">
        <f>IFERROR(__xludf.DUMMYFUNCTION("""COMPUTED_VALUE"""),43667.25576148149)</f>
        <v>43667.25576</v>
      </c>
    </row>
    <row r="1859">
      <c r="A1859" t="str">
        <f>IFERROR(__xludf.DUMMYFUNCTION("""COMPUTED_VALUE"""),"NYCJONES")</f>
        <v>NYCJONES</v>
      </c>
      <c r="B1859" t="str">
        <f>IFERROR(__xludf.DUMMYFUNCTION("""COMPUTED_VALUE"""),"Wayne")</f>
        <v>Wayne</v>
      </c>
      <c r="C1859" t="str">
        <f>IFERROR(__xludf.DUMMYFUNCTION("""COMPUTED_VALUE"""),"NJ")</f>
        <v>NJ</v>
      </c>
      <c r="D1859" t="str">
        <f>IFERROR(__xludf.DUMMYFUNCTION("""COMPUTED_VALUE"""),"USA")</f>
        <v>USA</v>
      </c>
      <c r="E1859" s="188">
        <f>IFERROR(__xludf.DUMMYFUNCTION("""COMPUTED_VALUE"""),43651.0)</f>
        <v>43651</v>
      </c>
      <c r="F1859" s="188">
        <f>IFERROR(__xludf.DUMMYFUNCTION("""COMPUTED_VALUE"""),43665.0)</f>
        <v>43665</v>
      </c>
      <c r="H1859">
        <f>IFERROR(__xludf.DUMMYFUNCTION("""COMPUTED_VALUE"""),437723.0)</f>
        <v>437723</v>
      </c>
      <c r="J1859" s="5">
        <f>IFERROR(__xludf.DUMMYFUNCTION("""COMPUTED_VALUE"""),43666.0)</f>
        <v>43666</v>
      </c>
      <c r="K1859">
        <f>IFERROR(__xludf.DUMMYFUNCTION("""COMPUTED_VALUE"""),14.0)</f>
        <v>14</v>
      </c>
      <c r="L1859">
        <f>IFERROR(__xludf.DUMMYFUNCTION("""COMPUTED_VALUE"""),1.0)</f>
        <v>1</v>
      </c>
      <c r="M1859">
        <f>IFERROR(__xludf.DUMMYFUNCTION("""COMPUTED_VALUE"""),15.0)</f>
        <v>15</v>
      </c>
      <c r="N1859" t="str">
        <f>IFERROR(__xludf.DUMMYFUNCTION("""COMPUTED_VALUE"""),"Model 3 Performance")</f>
        <v>Model 3 Performance</v>
      </c>
      <c r="O1859" t="str">
        <f>IFERROR(__xludf.DUMMYFUNCTION("""COMPUTED_VALUE"""),"Pearl White Multi-Coat")</f>
        <v>Pearl White Multi-Coat</v>
      </c>
      <c r="P1859" t="str">
        <f>IFERROR(__xludf.DUMMYFUNCTION("""COMPUTED_VALUE"""),"19 inch Sport")</f>
        <v>19 inch Sport</v>
      </c>
      <c r="Q1859" t="str">
        <f>IFERROR(__xludf.DUMMYFUNCTION("""COMPUTED_VALUE"""),"Black seats")</f>
        <v>Black seats</v>
      </c>
      <c r="R1859" t="str">
        <f>IFERROR(__xludf.DUMMYFUNCTION("""COMPUTED_VALUE"""),"Full Self-Driving")</f>
        <v>Full Self-Driving</v>
      </c>
      <c r="X1859" t="str">
        <f>IFERROR(__xludf.DUMMYFUNCTION("""COMPUTED_VALUE"""),"Excellent")</f>
        <v>Excellent</v>
      </c>
      <c r="Y1859" t="str">
        <f>IFERROR(__xludf.DUMMYFUNCTION("""COMPUTED_VALUE"""),"Excellent")</f>
        <v>Excellent</v>
      </c>
      <c r="Z1859" t="str">
        <f>IFERROR(__xludf.DUMMYFUNCTION("""COMPUTED_VALUE"""),"Very Good")</f>
        <v>Very Good</v>
      </c>
      <c r="AA1859" t="str">
        <f>IFERROR(__xludf.DUMMYFUNCTION("""COMPUTED_VALUE"""),"Excellent")</f>
        <v>Excellent</v>
      </c>
      <c r="AB1859" t="str">
        <f>IFERROR(__xludf.DUMMYFUNCTION("""COMPUTED_VALUE"""),"Excellent")</f>
        <v>Excellent</v>
      </c>
      <c r="AG1859" t="str">
        <f>IFERROR(__xludf.DUMMYFUNCTION("""COMPUTED_VALUE"""),"7/15:Changed configuration; 7/17:Price Reduction has been reflected on Order; 7/19 Changed Configuration and a vehicle was in the region - took delivery on 7/20/19 - loving it")</f>
        <v>7/15:Changed configuration; 7/17:Price Reduction has been reflected on Order; 7/19 Changed Configuration and a vehicle was in the region - took delivery on 7/20/19 - loving it</v>
      </c>
      <c r="AH1859" s="189">
        <f>IFERROR(__xludf.DUMMYFUNCTION("""COMPUTED_VALUE"""),43668.36649431713)</f>
        <v>43668.36649</v>
      </c>
    </row>
    <row r="1860">
      <c r="A1860" t="str">
        <f>IFERROR(__xludf.DUMMYFUNCTION("""COMPUTED_VALUE"""),"electricM3")</f>
        <v>electricM3</v>
      </c>
      <c r="B1860" t="str">
        <f>IFERROR(__xludf.DUMMYFUNCTION("""COMPUTED_VALUE"""),"Toronto")</f>
        <v>Toronto</v>
      </c>
      <c r="C1860" t="str">
        <f>IFERROR(__xludf.DUMMYFUNCTION("""COMPUTED_VALUE"""),"ON")</f>
        <v>ON</v>
      </c>
      <c r="D1860" t="str">
        <f>IFERROR(__xludf.DUMMYFUNCTION("""COMPUTED_VALUE"""),"Canada")</f>
        <v>Canada</v>
      </c>
      <c r="E1860" s="188">
        <f>IFERROR(__xludf.DUMMYFUNCTION("""COMPUTED_VALUE"""),43636.0)</f>
        <v>43636</v>
      </c>
      <c r="F1860" s="188">
        <f>IFERROR(__xludf.DUMMYFUNCTION("""COMPUTED_VALUE"""),43652.0)</f>
        <v>43652</v>
      </c>
      <c r="H1860">
        <f>IFERROR(__xludf.DUMMYFUNCTION("""COMPUTED_VALUE"""),421055.0)</f>
        <v>421055</v>
      </c>
      <c r="I1860" t="str">
        <f>IFERROR(__xludf.DUMMYFUNCTION("""COMPUTED_VALUE"""),"07/19")</f>
        <v>07/19</v>
      </c>
      <c r="J1860" s="5">
        <f>IFERROR(__xludf.DUMMYFUNCTION("""COMPUTED_VALUE"""),43668.0)</f>
        <v>43668</v>
      </c>
      <c r="K1860">
        <f>IFERROR(__xludf.DUMMYFUNCTION("""COMPUTED_VALUE"""),16.0)</f>
        <v>16</v>
      </c>
      <c r="L1860">
        <f>IFERROR(__xludf.DUMMYFUNCTION("""COMPUTED_VALUE"""),16.0)</f>
        <v>16</v>
      </c>
      <c r="M1860">
        <f>IFERROR(__xludf.DUMMYFUNCTION("""COMPUTED_VALUE"""),32.0)</f>
        <v>32</v>
      </c>
      <c r="N1860" t="str">
        <f>IFERROR(__xludf.DUMMYFUNCTION("""COMPUTED_VALUE"""),"Model 3 SR+")</f>
        <v>Model 3 SR+</v>
      </c>
      <c r="O1860" t="str">
        <f>IFERROR(__xludf.DUMMYFUNCTION("""COMPUTED_VALUE"""),"Pearl White Multi-Coat")</f>
        <v>Pearl White Multi-Coat</v>
      </c>
      <c r="P1860" t="str">
        <f>IFERROR(__xludf.DUMMYFUNCTION("""COMPUTED_VALUE"""),"18 inch Aero")</f>
        <v>18 inch Aero</v>
      </c>
      <c r="Q1860" t="str">
        <f>IFERROR(__xludf.DUMMYFUNCTION("""COMPUTED_VALUE"""),"Black seats")</f>
        <v>Black seats</v>
      </c>
      <c r="R1860" t="str">
        <f>IFERROR(__xludf.DUMMYFUNCTION("""COMPUTED_VALUE"""),"Autopilot")</f>
        <v>Autopilot</v>
      </c>
      <c r="X1860" t="str">
        <f>IFERROR(__xludf.DUMMYFUNCTION("""COMPUTED_VALUE"""),"Excellent")</f>
        <v>Excellent</v>
      </c>
      <c r="Y1860" t="str">
        <f>IFERROR(__xludf.DUMMYFUNCTION("""COMPUTED_VALUE"""),"Excellent")</f>
        <v>Excellent</v>
      </c>
      <c r="Z1860" t="str">
        <f>IFERROR(__xludf.DUMMYFUNCTION("""COMPUTED_VALUE"""),"Excellent")</f>
        <v>Excellent</v>
      </c>
      <c r="AA1860" t="str">
        <f>IFERROR(__xludf.DUMMYFUNCTION("""COMPUTED_VALUE"""),"Fair")</f>
        <v>Fair</v>
      </c>
      <c r="AB1860" t="str">
        <f>IFERROR(__xludf.DUMMYFUNCTION("""COMPUTED_VALUE"""),"Very Good")</f>
        <v>Very Good</v>
      </c>
      <c r="AC1860">
        <f>IFERROR(__xludf.DUMMYFUNCTION("""COMPUTED_VALUE"""),5.0)</f>
        <v>5</v>
      </c>
      <c r="AH1860" s="189">
        <f>IFERROR(__xludf.DUMMYFUNCTION("""COMPUTED_VALUE"""),43668.858691608795)</f>
        <v>43668.85869</v>
      </c>
    </row>
    <row r="1861">
      <c r="A1861" t="str">
        <f>IFERROR(__xludf.DUMMYFUNCTION("""COMPUTED_VALUE"""),"JasonR67")</f>
        <v>JasonR67</v>
      </c>
      <c r="B1861" t="str">
        <f>IFERROR(__xludf.DUMMYFUNCTION("""COMPUTED_VALUE"""),"Raleigh")</f>
        <v>Raleigh</v>
      </c>
      <c r="C1861" t="str">
        <f>IFERROR(__xludf.DUMMYFUNCTION("""COMPUTED_VALUE"""),"NC")</f>
        <v>NC</v>
      </c>
      <c r="D1861" t="str">
        <f>IFERROR(__xludf.DUMMYFUNCTION("""COMPUTED_VALUE"""),"USA")</f>
        <v>USA</v>
      </c>
      <c r="E1861" s="188">
        <f>IFERROR(__xludf.DUMMYFUNCTION("""COMPUTED_VALUE"""),43663.0)</f>
        <v>43663</v>
      </c>
      <c r="F1861" s="188">
        <f>IFERROR(__xludf.DUMMYFUNCTION("""COMPUTED_VALUE"""),43663.0)</f>
        <v>43663</v>
      </c>
      <c r="H1861">
        <f>IFERROR(__xludf.DUMMYFUNCTION("""COMPUTED_VALUE"""),433255.0)</f>
        <v>433255</v>
      </c>
      <c r="J1861" s="5">
        <f>IFERROR(__xludf.DUMMYFUNCTION("""COMPUTED_VALUE"""),43669.0)</f>
        <v>43669</v>
      </c>
      <c r="K1861">
        <f>IFERROR(__xludf.DUMMYFUNCTION("""COMPUTED_VALUE"""),0.0)</f>
        <v>0</v>
      </c>
      <c r="L1861">
        <f>IFERROR(__xludf.DUMMYFUNCTION("""COMPUTED_VALUE"""),6.0)</f>
        <v>6</v>
      </c>
      <c r="M1861">
        <f>IFERROR(__xludf.DUMMYFUNCTION("""COMPUTED_VALUE"""),6.0)</f>
        <v>6</v>
      </c>
      <c r="N1861" t="str">
        <f>IFERROR(__xludf.DUMMYFUNCTION("""COMPUTED_VALUE"""),"Model 3 Performance")</f>
        <v>Model 3 Performance</v>
      </c>
      <c r="O1861" t="str">
        <f>IFERROR(__xludf.DUMMYFUNCTION("""COMPUTED_VALUE"""),"Pearl White Multi-Coat")</f>
        <v>Pearl White Multi-Coat</v>
      </c>
      <c r="P1861" t="str">
        <f>IFERROR(__xludf.DUMMYFUNCTION("""COMPUTED_VALUE"""),"18 inch Aero")</f>
        <v>18 inch Aero</v>
      </c>
      <c r="Q1861" t="str">
        <f>IFERROR(__xludf.DUMMYFUNCTION("""COMPUTED_VALUE"""),"Black seats")</f>
        <v>Black seats</v>
      </c>
      <c r="R1861" t="str">
        <f>IFERROR(__xludf.DUMMYFUNCTION("""COMPUTED_VALUE"""),"Autopilot")</f>
        <v>Autopilot</v>
      </c>
      <c r="X1861" t="str">
        <f>IFERROR(__xludf.DUMMYFUNCTION("""COMPUTED_VALUE"""),"Excellent")</f>
        <v>Excellent</v>
      </c>
      <c r="Y1861" t="str">
        <f>IFERROR(__xludf.DUMMYFUNCTION("""COMPUTED_VALUE"""),"Excellent")</f>
        <v>Excellent</v>
      </c>
      <c r="Z1861" t="str">
        <f>IFERROR(__xludf.DUMMYFUNCTION("""COMPUTED_VALUE"""),"Excellent")</f>
        <v>Excellent</v>
      </c>
      <c r="AA1861" t="str">
        <f>IFERROR(__xludf.DUMMYFUNCTION("""COMPUTED_VALUE"""),"Good")</f>
        <v>Good</v>
      </c>
      <c r="AB1861" t="str">
        <f>IFERROR(__xludf.DUMMYFUNCTION("""COMPUTED_VALUE"""),"Very Good")</f>
        <v>Very Good</v>
      </c>
      <c r="AG1861" t="str">
        <f>IFERROR(__xludf.DUMMYFUNCTION("""COMPUTED_VALUE"""),"m3p-")</f>
        <v>m3p-</v>
      </c>
      <c r="AH1861" s="189">
        <f>IFERROR(__xludf.DUMMYFUNCTION("""COMPUTED_VALUE"""),43669.58868130787)</f>
        <v>43669.58868</v>
      </c>
    </row>
    <row r="1862">
      <c r="A1862" t="str">
        <f>IFERROR(__xludf.DUMMYFUNCTION("""COMPUTED_VALUE"""),"Smiesguy")</f>
        <v>Smiesguy</v>
      </c>
      <c r="B1862" t="str">
        <f>IFERROR(__xludf.DUMMYFUNCTION("""COMPUTED_VALUE"""),"Delaware")</f>
        <v>Delaware</v>
      </c>
      <c r="C1862" t="str">
        <f>IFERROR(__xludf.DUMMYFUNCTION("""COMPUTED_VALUE"""),"OH")</f>
        <v>OH</v>
      </c>
      <c r="D1862" t="str">
        <f>IFERROR(__xludf.DUMMYFUNCTION("""COMPUTED_VALUE"""),"USA")</f>
        <v>USA</v>
      </c>
      <c r="E1862" s="188">
        <f>IFERROR(__xludf.DUMMYFUNCTION("""COMPUTED_VALUE"""),43666.0)</f>
        <v>43666</v>
      </c>
      <c r="F1862" s="188">
        <f>IFERROR(__xludf.DUMMYFUNCTION("""COMPUTED_VALUE"""),43671.0)</f>
        <v>43671</v>
      </c>
      <c r="H1862">
        <f>IFERROR(__xludf.DUMMYFUNCTION("""COMPUTED_VALUE"""),427427.0)</f>
        <v>427427</v>
      </c>
      <c r="I1862" t="str">
        <f>IFERROR(__xludf.DUMMYFUNCTION("""COMPUTED_VALUE"""),"07/19")</f>
        <v>07/19</v>
      </c>
      <c r="J1862" s="5">
        <f>IFERROR(__xludf.DUMMYFUNCTION("""COMPUTED_VALUE"""),43671.0)</f>
        <v>43671</v>
      </c>
      <c r="K1862">
        <f>IFERROR(__xludf.DUMMYFUNCTION("""COMPUTED_VALUE"""),5.0)</f>
        <v>5</v>
      </c>
      <c r="L1862">
        <f>IFERROR(__xludf.DUMMYFUNCTION("""COMPUTED_VALUE"""),0.0)</f>
        <v>0</v>
      </c>
      <c r="M1862">
        <f>IFERROR(__xludf.DUMMYFUNCTION("""COMPUTED_VALUE"""),5.0)</f>
        <v>5</v>
      </c>
      <c r="N1862" t="str">
        <f>IFERROR(__xludf.DUMMYFUNCTION("""COMPUTED_VALUE"""),"Model 3 Performance")</f>
        <v>Model 3 Performance</v>
      </c>
      <c r="O1862" t="str">
        <f>IFERROR(__xludf.DUMMYFUNCTION("""COMPUTED_VALUE"""),"Pearl White Multi-Coat")</f>
        <v>Pearl White Multi-Coat</v>
      </c>
      <c r="P1862" t="str">
        <f>IFERROR(__xludf.DUMMYFUNCTION("""COMPUTED_VALUE"""),"20 inch Sport")</f>
        <v>20 inch Sport</v>
      </c>
      <c r="Q1862" t="str">
        <f>IFERROR(__xludf.DUMMYFUNCTION("""COMPUTED_VALUE"""),"Black seats")</f>
        <v>Black seats</v>
      </c>
      <c r="R1862" t="str">
        <f>IFERROR(__xludf.DUMMYFUNCTION("""COMPUTED_VALUE"""),"Autopilot")</f>
        <v>Autopilot</v>
      </c>
      <c r="X1862" t="str">
        <f>IFERROR(__xludf.DUMMYFUNCTION("""COMPUTED_VALUE"""),"Good")</f>
        <v>Good</v>
      </c>
      <c r="Y1862" t="str">
        <f>IFERROR(__xludf.DUMMYFUNCTION("""COMPUTED_VALUE"""),"Very Good")</f>
        <v>Very Good</v>
      </c>
      <c r="Z1862" t="str">
        <f>IFERROR(__xludf.DUMMYFUNCTION("""COMPUTED_VALUE"""),"Very Good")</f>
        <v>Very Good</v>
      </c>
      <c r="AA1862" t="str">
        <f>IFERROR(__xludf.DUMMYFUNCTION("""COMPUTED_VALUE"""),"Excellent")</f>
        <v>Excellent</v>
      </c>
      <c r="AB1862" t="str">
        <f>IFERROR(__xludf.DUMMYFUNCTION("""COMPUTED_VALUE"""),"Excellent")</f>
        <v>Excellent</v>
      </c>
      <c r="AH1862" s="189">
        <f>IFERROR(__xludf.DUMMYFUNCTION("""COMPUTED_VALUE"""),43671.7768018287)</f>
        <v>43671.7768</v>
      </c>
    </row>
    <row r="1863">
      <c r="A1863" t="str">
        <f>IFERROR(__xludf.DUMMYFUNCTION("""COMPUTED_VALUE"""),"0cylinder")</f>
        <v>0cylinder</v>
      </c>
      <c r="B1863" t="str">
        <f>IFERROR(__xludf.DUMMYFUNCTION("""COMPUTED_VALUE"""),"Vancouver")</f>
        <v>Vancouver</v>
      </c>
      <c r="C1863" t="str">
        <f>IFERROR(__xludf.DUMMYFUNCTION("""COMPUTED_VALUE"""),"BC")</f>
        <v>BC</v>
      </c>
      <c r="D1863" t="str">
        <f>IFERROR(__xludf.DUMMYFUNCTION("""COMPUTED_VALUE"""),"Canada")</f>
        <v>Canada</v>
      </c>
      <c r="E1863" s="188">
        <f>IFERROR(__xludf.DUMMYFUNCTION("""COMPUTED_VALUE"""),43648.0)</f>
        <v>43648</v>
      </c>
      <c r="F1863" s="188">
        <f>IFERROR(__xludf.DUMMYFUNCTION("""COMPUTED_VALUE"""),43661.0)</f>
        <v>43661</v>
      </c>
      <c r="H1863">
        <f>IFERROR(__xludf.DUMMYFUNCTION("""COMPUTED_VALUE"""),419007.0)</f>
        <v>419007</v>
      </c>
      <c r="J1863" s="5">
        <f>IFERROR(__xludf.DUMMYFUNCTION("""COMPUTED_VALUE"""),43670.0)</f>
        <v>43670</v>
      </c>
      <c r="K1863">
        <f>IFERROR(__xludf.DUMMYFUNCTION("""COMPUTED_VALUE"""),13.0)</f>
        <v>13</v>
      </c>
      <c r="L1863">
        <f>IFERROR(__xludf.DUMMYFUNCTION("""COMPUTED_VALUE"""),9.0)</f>
        <v>9</v>
      </c>
      <c r="M1863">
        <f>IFERROR(__xludf.DUMMYFUNCTION("""COMPUTED_VALUE"""),22.0)</f>
        <v>22</v>
      </c>
      <c r="N1863" t="str">
        <f>IFERROR(__xludf.DUMMYFUNCTION("""COMPUTED_VALUE"""),"Model 3 SR+")</f>
        <v>Model 3 SR+</v>
      </c>
      <c r="O1863" t="str">
        <f>IFERROR(__xludf.DUMMYFUNCTION("""COMPUTED_VALUE"""),"Midnight Silver Metallic")</f>
        <v>Midnight Silver Metallic</v>
      </c>
      <c r="P1863" t="str">
        <f>IFERROR(__xludf.DUMMYFUNCTION("""COMPUTED_VALUE"""),"18 inch Aero")</f>
        <v>18 inch Aero</v>
      </c>
      <c r="Q1863" t="str">
        <f>IFERROR(__xludf.DUMMYFUNCTION("""COMPUTED_VALUE"""),"Black seats")</f>
        <v>Black seats</v>
      </c>
      <c r="R1863" t="str">
        <f>IFERROR(__xludf.DUMMYFUNCTION("""COMPUTED_VALUE"""),"Autopilot")</f>
        <v>Autopilot</v>
      </c>
      <c r="X1863" t="str">
        <f>IFERROR(__xludf.DUMMYFUNCTION("""COMPUTED_VALUE"""),"Excellent")</f>
        <v>Excellent</v>
      </c>
      <c r="Y1863" t="str">
        <f>IFERROR(__xludf.DUMMYFUNCTION("""COMPUTED_VALUE"""),"Excellent")</f>
        <v>Excellent</v>
      </c>
      <c r="Z1863" t="str">
        <f>IFERROR(__xludf.DUMMYFUNCTION("""COMPUTED_VALUE"""),"Excellent")</f>
        <v>Excellent</v>
      </c>
      <c r="AA1863" t="str">
        <f>IFERROR(__xludf.DUMMYFUNCTION("""COMPUTED_VALUE"""),"Fair")</f>
        <v>Fair</v>
      </c>
      <c r="AB1863" t="str">
        <f>IFERROR(__xludf.DUMMYFUNCTION("""COMPUTED_VALUE"""),"Fair")</f>
        <v>Fair</v>
      </c>
      <c r="AG1863" t="str">
        <f>IFERROR(__xludf.DUMMYFUNCTION("""COMPUTED_VALUE"""),"Vancouver Powell St delivery center is very unattractive")</f>
        <v>Vancouver Powell St delivery center is very unattractive</v>
      </c>
      <c r="AH1863" s="189">
        <f>IFERROR(__xludf.DUMMYFUNCTION("""COMPUTED_VALUE"""),43672.22661576389)</f>
        <v>43672.22662</v>
      </c>
    </row>
    <row r="1864">
      <c r="A1864" t="str">
        <f>IFERROR(__xludf.DUMMYFUNCTION("""COMPUTED_VALUE"""),"ExoWarren")</f>
        <v>ExoWarren</v>
      </c>
      <c r="B1864" t="str">
        <f>IFERROR(__xludf.DUMMYFUNCTION("""COMPUTED_VALUE"""),"San Jose")</f>
        <v>San Jose</v>
      </c>
      <c r="C1864" t="str">
        <f>IFERROR(__xludf.DUMMYFUNCTION("""COMPUTED_VALUE"""),"CA")</f>
        <v>CA</v>
      </c>
      <c r="D1864" t="str">
        <f>IFERROR(__xludf.DUMMYFUNCTION("""COMPUTED_VALUE"""),"USA")</f>
        <v>USA</v>
      </c>
      <c r="E1864" s="188">
        <f>IFERROR(__xludf.DUMMYFUNCTION("""COMPUTED_VALUE"""),43665.0)</f>
        <v>43665</v>
      </c>
      <c r="F1864" s="188">
        <f>IFERROR(__xludf.DUMMYFUNCTION("""COMPUTED_VALUE"""),43670.0)</f>
        <v>43670</v>
      </c>
      <c r="H1864">
        <f>IFERROR(__xludf.DUMMYFUNCTION("""COMPUTED_VALUE"""),422055.0)</f>
        <v>422055</v>
      </c>
      <c r="J1864" s="5">
        <f>IFERROR(__xludf.DUMMYFUNCTION("""COMPUTED_VALUE"""),43671.0)</f>
        <v>43671</v>
      </c>
      <c r="K1864">
        <f>IFERROR(__xludf.DUMMYFUNCTION("""COMPUTED_VALUE"""),5.0)</f>
        <v>5</v>
      </c>
      <c r="L1864">
        <f>IFERROR(__xludf.DUMMYFUNCTION("""COMPUTED_VALUE"""),1.0)</f>
        <v>1</v>
      </c>
      <c r="M1864">
        <f>IFERROR(__xludf.DUMMYFUNCTION("""COMPUTED_VALUE"""),6.0)</f>
        <v>6</v>
      </c>
      <c r="N1864" t="str">
        <f>IFERROR(__xludf.DUMMYFUNCTION("""COMPUTED_VALUE"""),"Model 3 Performance")</f>
        <v>Model 3 Performance</v>
      </c>
      <c r="O1864" t="str">
        <f>IFERROR(__xludf.DUMMYFUNCTION("""COMPUTED_VALUE"""),"Red Multi-Coat")</f>
        <v>Red Multi-Coat</v>
      </c>
      <c r="P1864" t="str">
        <f>IFERROR(__xludf.DUMMYFUNCTION("""COMPUTED_VALUE"""),"20 inch Sport")</f>
        <v>20 inch Sport</v>
      </c>
      <c r="Q1864" t="str">
        <f>IFERROR(__xludf.DUMMYFUNCTION("""COMPUTED_VALUE"""),"Black seats")</f>
        <v>Black seats</v>
      </c>
      <c r="R1864" t="str">
        <f>IFERROR(__xludf.DUMMYFUNCTION("""COMPUTED_VALUE"""),"Autopilot")</f>
        <v>Autopilot</v>
      </c>
      <c r="X1864" t="str">
        <f>IFERROR(__xludf.DUMMYFUNCTION("""COMPUTED_VALUE"""),"Very Good")</f>
        <v>Very Good</v>
      </c>
      <c r="Y1864" t="str">
        <f>IFERROR(__xludf.DUMMYFUNCTION("""COMPUTED_VALUE"""),"Excellent")</f>
        <v>Excellent</v>
      </c>
      <c r="Z1864" t="str">
        <f>IFERROR(__xludf.DUMMYFUNCTION("""COMPUTED_VALUE"""),"Excellent")</f>
        <v>Excellent</v>
      </c>
      <c r="AA1864" t="str">
        <f>IFERROR(__xludf.DUMMYFUNCTION("""COMPUTED_VALUE"""),"Good")</f>
        <v>Good</v>
      </c>
      <c r="AB1864" t="str">
        <f>IFERROR(__xludf.DUMMYFUNCTION("""COMPUTED_VALUE"""),"Very Good")</f>
        <v>Very Good</v>
      </c>
      <c r="AG1864" t="str">
        <f>IFERROR(__xludf.DUMMYFUNCTION("""COMPUTED_VALUE"""),"Switched to inventory car on 7/22")</f>
        <v>Switched to inventory car on 7/22</v>
      </c>
      <c r="AH1864" s="189">
        <f>IFERROR(__xludf.DUMMYFUNCTION("""COMPUTED_VALUE"""),43672.75836516204)</f>
        <v>43672.75837</v>
      </c>
    </row>
    <row r="1865">
      <c r="A1865" t="str">
        <f>IFERROR(__xludf.DUMMYFUNCTION("""COMPUTED_VALUE"""),"Markman69")</f>
        <v>Markman69</v>
      </c>
      <c r="B1865" t="str">
        <f>IFERROR(__xludf.DUMMYFUNCTION("""COMPUTED_VALUE"""),"Peyton")</f>
        <v>Peyton</v>
      </c>
      <c r="C1865" t="str">
        <f>IFERROR(__xludf.DUMMYFUNCTION("""COMPUTED_VALUE"""),"CO")</f>
        <v>CO</v>
      </c>
      <c r="D1865" t="str">
        <f>IFERROR(__xludf.DUMMYFUNCTION("""COMPUTED_VALUE"""),"USA")</f>
        <v>USA</v>
      </c>
      <c r="E1865" s="188">
        <f>IFERROR(__xludf.DUMMYFUNCTION("""COMPUTED_VALUE"""),43659.0)</f>
        <v>43659</v>
      </c>
      <c r="F1865" s="188">
        <f>IFERROR(__xludf.DUMMYFUNCTION("""COMPUTED_VALUE"""),43663.0)</f>
        <v>43663</v>
      </c>
      <c r="H1865">
        <f>IFERROR(__xludf.DUMMYFUNCTION("""COMPUTED_VALUE"""),427414.0)</f>
        <v>427414</v>
      </c>
      <c r="J1865" s="5">
        <f>IFERROR(__xludf.DUMMYFUNCTION("""COMPUTED_VALUE"""),43673.0)</f>
        <v>43673</v>
      </c>
      <c r="K1865">
        <f>IFERROR(__xludf.DUMMYFUNCTION("""COMPUTED_VALUE"""),4.0)</f>
        <v>4</v>
      </c>
      <c r="L1865">
        <f>IFERROR(__xludf.DUMMYFUNCTION("""COMPUTED_VALUE"""),10.0)</f>
        <v>10</v>
      </c>
      <c r="M1865">
        <f>IFERROR(__xludf.DUMMYFUNCTION("""COMPUTED_VALUE"""),14.0)</f>
        <v>14</v>
      </c>
      <c r="N1865" t="str">
        <f>IFERROR(__xludf.DUMMYFUNCTION("""COMPUTED_VALUE"""),"Model 3 Performance")</f>
        <v>Model 3 Performance</v>
      </c>
      <c r="O1865" t="str">
        <f>IFERROR(__xludf.DUMMYFUNCTION("""COMPUTED_VALUE"""),"Pearl White Multi-Coat")</f>
        <v>Pearl White Multi-Coat</v>
      </c>
      <c r="P1865" t="str">
        <f>IFERROR(__xludf.DUMMYFUNCTION("""COMPUTED_VALUE"""),"20 inch Sport")</f>
        <v>20 inch Sport</v>
      </c>
      <c r="Q1865" t="str">
        <f>IFERROR(__xludf.DUMMYFUNCTION("""COMPUTED_VALUE"""),"Black seats")</f>
        <v>Black seats</v>
      </c>
      <c r="R1865" t="str">
        <f>IFERROR(__xludf.DUMMYFUNCTION("""COMPUTED_VALUE"""),"Autopilot")</f>
        <v>Autopilot</v>
      </c>
      <c r="X1865" t="str">
        <f>IFERROR(__xludf.DUMMYFUNCTION("""COMPUTED_VALUE"""),"Excellent")</f>
        <v>Excellent</v>
      </c>
      <c r="Y1865" t="str">
        <f>IFERROR(__xludf.DUMMYFUNCTION("""COMPUTED_VALUE"""),"Excellent")</f>
        <v>Excellent</v>
      </c>
      <c r="Z1865" t="str">
        <f>IFERROR(__xludf.DUMMYFUNCTION("""COMPUTED_VALUE"""),"Good")</f>
        <v>Good</v>
      </c>
      <c r="AA1865" t="str">
        <f>IFERROR(__xludf.DUMMYFUNCTION("""COMPUTED_VALUE"""),"Fair")</f>
        <v>Fair</v>
      </c>
      <c r="AB1865" t="str">
        <f>IFERROR(__xludf.DUMMYFUNCTION("""COMPUTED_VALUE"""),"Good")</f>
        <v>Good</v>
      </c>
      <c r="AC1865">
        <f>IFERROR(__xludf.DUMMYFUNCTION("""COMPUTED_VALUE"""),3.0)</f>
        <v>3</v>
      </c>
      <c r="AH1865" s="189">
        <f>IFERROR(__xludf.DUMMYFUNCTION("""COMPUTED_VALUE"""),43673.884875601856)</f>
        <v>43673.88488</v>
      </c>
    </row>
    <row r="1866">
      <c r="A1866" t="str">
        <f>IFERROR(__xludf.DUMMYFUNCTION("""COMPUTED_VALUE"""),"mesla")</f>
        <v>mesla</v>
      </c>
      <c r="B1866" t="str">
        <f>IFERROR(__xludf.DUMMYFUNCTION("""COMPUTED_VALUE"""),"Santa Cruz")</f>
        <v>Santa Cruz</v>
      </c>
      <c r="C1866" t="str">
        <f>IFERROR(__xludf.DUMMYFUNCTION("""COMPUTED_VALUE"""),"CA")</f>
        <v>CA</v>
      </c>
      <c r="D1866" t="str">
        <f>IFERROR(__xludf.DUMMYFUNCTION("""COMPUTED_VALUE"""),"USA")</f>
        <v>USA</v>
      </c>
      <c r="E1866" s="188">
        <f>IFERROR(__xludf.DUMMYFUNCTION("""COMPUTED_VALUE"""),43664.0)</f>
        <v>43664</v>
      </c>
      <c r="F1866" s="188">
        <f>IFERROR(__xludf.DUMMYFUNCTION("""COMPUTED_VALUE"""),43665.0)</f>
        <v>43665</v>
      </c>
      <c r="H1866">
        <f>IFERROR(__xludf.DUMMYFUNCTION("""COMPUTED_VALUE"""),442255.0)</f>
        <v>442255</v>
      </c>
      <c r="I1866" t="str">
        <f>IFERROR(__xludf.DUMMYFUNCTION("""COMPUTED_VALUE"""),"07/19")</f>
        <v>07/19</v>
      </c>
      <c r="J1866" s="5">
        <f>IFERROR(__xludf.DUMMYFUNCTION("""COMPUTED_VALUE"""),43669.0)</f>
        <v>43669</v>
      </c>
      <c r="K1866">
        <f>IFERROR(__xludf.DUMMYFUNCTION("""COMPUTED_VALUE"""),1.0)</f>
        <v>1</v>
      </c>
      <c r="L1866">
        <f>IFERROR(__xludf.DUMMYFUNCTION("""COMPUTED_VALUE"""),4.0)</f>
        <v>4</v>
      </c>
      <c r="M1866">
        <f>IFERROR(__xludf.DUMMYFUNCTION("""COMPUTED_VALUE"""),5.0)</f>
        <v>5</v>
      </c>
      <c r="N1866" t="str">
        <f>IFERROR(__xludf.DUMMYFUNCTION("""COMPUTED_VALUE"""),"Model 3 Performance")</f>
        <v>Model 3 Performance</v>
      </c>
      <c r="O1866" t="str">
        <f>IFERROR(__xludf.DUMMYFUNCTION("""COMPUTED_VALUE"""),"Pearl White Multi-Coat")</f>
        <v>Pearl White Multi-Coat</v>
      </c>
      <c r="P1866" t="str">
        <f>IFERROR(__xludf.DUMMYFUNCTION("""COMPUTED_VALUE"""),"18 inch Aero")</f>
        <v>18 inch Aero</v>
      </c>
      <c r="Q1866" t="str">
        <f>IFERROR(__xludf.DUMMYFUNCTION("""COMPUTED_VALUE"""),"Black seats")</f>
        <v>Black seats</v>
      </c>
      <c r="R1866" t="str">
        <f>IFERROR(__xludf.DUMMYFUNCTION("""COMPUTED_VALUE"""),"Autopilot")</f>
        <v>Autopilot</v>
      </c>
      <c r="X1866" t="str">
        <f>IFERROR(__xludf.DUMMYFUNCTION("""COMPUTED_VALUE"""),"Very Good")</f>
        <v>Very Good</v>
      </c>
      <c r="Y1866" t="str">
        <f>IFERROR(__xludf.DUMMYFUNCTION("""COMPUTED_VALUE"""),"Very Good")</f>
        <v>Very Good</v>
      </c>
      <c r="Z1866" t="str">
        <f>IFERROR(__xludf.DUMMYFUNCTION("""COMPUTED_VALUE"""),"Very Good")</f>
        <v>Very Good</v>
      </c>
      <c r="AA1866" t="str">
        <f>IFERROR(__xludf.DUMMYFUNCTION("""COMPUTED_VALUE"""),"Very Good")</f>
        <v>Very Good</v>
      </c>
      <c r="AB1866" t="str">
        <f>IFERROR(__xludf.DUMMYFUNCTION("""COMPUTED_VALUE"""),"Excellent")</f>
        <v>Excellent</v>
      </c>
      <c r="AC1866">
        <f>IFERROR(__xludf.DUMMYFUNCTION("""COMPUTED_VALUE"""),3.0)</f>
        <v>3</v>
      </c>
      <c r="AD1866">
        <f>IFERROR(__xludf.DUMMYFUNCTION("""COMPUTED_VALUE"""),1.0)</f>
        <v>1</v>
      </c>
      <c r="AG1866" t="str">
        <f>IFERROR(__xludf.DUMMYFUNCTION("""COMPUTED_VALUE"""),"P3D- ""Steath Performance"", with no PUP upgrade")</f>
        <v>P3D- "Steath Performance", with no PUP upgrade</v>
      </c>
      <c r="AH1866" s="189">
        <f>IFERROR(__xludf.DUMMYFUNCTION("""COMPUTED_VALUE"""),43674.49275090278)</f>
        <v>43674.49275</v>
      </c>
    </row>
    <row r="1867">
      <c r="A1867" t="str">
        <f>IFERROR(__xludf.DUMMYFUNCTION("""COMPUTED_VALUE"""),"settleddown")</f>
        <v>settleddown</v>
      </c>
      <c r="B1867" t="str">
        <f>IFERROR(__xludf.DUMMYFUNCTION("""COMPUTED_VALUE"""),"Nashville")</f>
        <v>Nashville</v>
      </c>
      <c r="C1867" t="str">
        <f>IFERROR(__xludf.DUMMYFUNCTION("""COMPUTED_VALUE"""),"TN")</f>
        <v>TN</v>
      </c>
      <c r="D1867" t="str">
        <f>IFERROR(__xludf.DUMMYFUNCTION("""COMPUTED_VALUE"""),"USA")</f>
        <v>USA</v>
      </c>
      <c r="E1867" s="188">
        <f>IFERROR(__xludf.DUMMYFUNCTION("""COMPUTED_VALUE"""),43660.0)</f>
        <v>43660</v>
      </c>
      <c r="F1867" s="188">
        <f>IFERROR(__xludf.DUMMYFUNCTION("""COMPUTED_VALUE"""),43666.0)</f>
        <v>43666</v>
      </c>
      <c r="H1867">
        <f>IFERROR(__xludf.DUMMYFUNCTION("""COMPUTED_VALUE"""),448177.0)</f>
        <v>448177</v>
      </c>
      <c r="J1867" s="5">
        <f>IFERROR(__xludf.DUMMYFUNCTION("""COMPUTED_VALUE"""),43672.0)</f>
        <v>43672</v>
      </c>
      <c r="K1867">
        <f>IFERROR(__xludf.DUMMYFUNCTION("""COMPUTED_VALUE"""),6.0)</f>
        <v>6</v>
      </c>
      <c r="L1867">
        <f>IFERROR(__xludf.DUMMYFUNCTION("""COMPUTED_VALUE"""),6.0)</f>
        <v>6</v>
      </c>
      <c r="M1867">
        <f>IFERROR(__xludf.DUMMYFUNCTION("""COMPUTED_VALUE"""),12.0)</f>
        <v>12</v>
      </c>
      <c r="N1867" t="str">
        <f>IFERROR(__xludf.DUMMYFUNCTION("""COMPUTED_VALUE"""),"Model 3 LR AWD")</f>
        <v>Model 3 LR AWD</v>
      </c>
      <c r="O1867" t="str">
        <f>IFERROR(__xludf.DUMMYFUNCTION("""COMPUTED_VALUE"""),"Pearl White Multi-Coat")</f>
        <v>Pearl White Multi-Coat</v>
      </c>
      <c r="P1867" t="str">
        <f>IFERROR(__xludf.DUMMYFUNCTION("""COMPUTED_VALUE"""),"18 inch Aero")</f>
        <v>18 inch Aero</v>
      </c>
      <c r="Q1867" t="str">
        <f>IFERROR(__xludf.DUMMYFUNCTION("""COMPUTED_VALUE"""),"Black seats")</f>
        <v>Black seats</v>
      </c>
      <c r="R1867" t="str">
        <f>IFERROR(__xludf.DUMMYFUNCTION("""COMPUTED_VALUE"""),"Autopilot")</f>
        <v>Autopilot</v>
      </c>
      <c r="X1867" t="str">
        <f>IFERROR(__xludf.DUMMYFUNCTION("""COMPUTED_VALUE"""),"Excellent")</f>
        <v>Excellent</v>
      </c>
      <c r="Y1867" t="str">
        <f>IFERROR(__xludf.DUMMYFUNCTION("""COMPUTED_VALUE"""),"Excellent")</f>
        <v>Excellent</v>
      </c>
      <c r="Z1867" t="str">
        <f>IFERROR(__xludf.DUMMYFUNCTION("""COMPUTED_VALUE"""),"Very Good")</f>
        <v>Very Good</v>
      </c>
      <c r="AA1867" t="str">
        <f>IFERROR(__xludf.DUMMYFUNCTION("""COMPUTED_VALUE"""),"Excellent")</f>
        <v>Excellent</v>
      </c>
      <c r="AB1867" t="str">
        <f>IFERROR(__xludf.DUMMYFUNCTION("""COMPUTED_VALUE"""),"Excellent")</f>
        <v>Excellent</v>
      </c>
      <c r="AG1867" t="str">
        <f>IFERROR(__xludf.DUMMYFUNCTION("""COMPUTED_VALUE"""),"1 nick inside passenger door panel, but otherwise perfect condition")</f>
        <v>1 nick inside passenger door panel, but otherwise perfect condition</v>
      </c>
      <c r="AH1867" s="189">
        <f>IFERROR(__xludf.DUMMYFUNCTION("""COMPUTED_VALUE"""),43674.70576296296)</f>
        <v>43674.70576</v>
      </c>
    </row>
    <row r="1868">
      <c r="A1868" t="str">
        <f>IFERROR(__xludf.DUMMYFUNCTION("""COMPUTED_VALUE"""),"Troy_D")</f>
        <v>Troy_D</v>
      </c>
      <c r="B1868" t="str">
        <f>IFERROR(__xludf.DUMMYFUNCTION("""COMPUTED_VALUE"""),"Phoenix")</f>
        <v>Phoenix</v>
      </c>
      <c r="C1868" t="str">
        <f>IFERROR(__xludf.DUMMYFUNCTION("""COMPUTED_VALUE"""),"AZ")</f>
        <v>AZ</v>
      </c>
      <c r="D1868" t="str">
        <f>IFERROR(__xludf.DUMMYFUNCTION("""COMPUTED_VALUE"""),"USA")</f>
        <v>USA</v>
      </c>
      <c r="E1868" s="188">
        <f>IFERROR(__xludf.DUMMYFUNCTION("""COMPUTED_VALUE"""),43662.0)</f>
        <v>43662</v>
      </c>
      <c r="F1868" s="188">
        <f>IFERROR(__xludf.DUMMYFUNCTION("""COMPUTED_VALUE"""),43674.0)</f>
        <v>43674</v>
      </c>
      <c r="H1868">
        <f>IFERROR(__xludf.DUMMYFUNCTION("""COMPUTED_VALUE"""),442455.0)</f>
        <v>442455</v>
      </c>
      <c r="I1868" t="str">
        <f>IFERROR(__xludf.DUMMYFUNCTION("""COMPUTED_VALUE"""),"07/19")</f>
        <v>07/19</v>
      </c>
      <c r="J1868" s="5">
        <f>IFERROR(__xludf.DUMMYFUNCTION("""COMPUTED_VALUE"""),43677.0)</f>
        <v>43677</v>
      </c>
      <c r="K1868">
        <f>IFERROR(__xludf.DUMMYFUNCTION("""COMPUTED_VALUE"""),12.0)</f>
        <v>12</v>
      </c>
      <c r="L1868">
        <f>IFERROR(__xludf.DUMMYFUNCTION("""COMPUTED_VALUE"""),3.0)</f>
        <v>3</v>
      </c>
      <c r="M1868">
        <f>IFERROR(__xludf.DUMMYFUNCTION("""COMPUTED_VALUE"""),15.0)</f>
        <v>15</v>
      </c>
      <c r="N1868" t="str">
        <f>IFERROR(__xludf.DUMMYFUNCTION("""COMPUTED_VALUE"""),"Model 3 Performance")</f>
        <v>Model 3 Performance</v>
      </c>
      <c r="O1868" t="str">
        <f>IFERROR(__xludf.DUMMYFUNCTION("""COMPUTED_VALUE"""),"Pearl White Multi-Coat")</f>
        <v>Pearl White Multi-Coat</v>
      </c>
      <c r="P1868" t="str">
        <f>IFERROR(__xludf.DUMMYFUNCTION("""COMPUTED_VALUE"""),"20 inch Sport")</f>
        <v>20 inch Sport</v>
      </c>
      <c r="Q1868" t="str">
        <f>IFERROR(__xludf.DUMMYFUNCTION("""COMPUTED_VALUE"""),"White seats")</f>
        <v>White seats</v>
      </c>
      <c r="R1868" t="str">
        <f>IFERROR(__xludf.DUMMYFUNCTION("""COMPUTED_VALUE"""),"Autopilot")</f>
        <v>Autopilot</v>
      </c>
      <c r="X1868" t="str">
        <f>IFERROR(__xludf.DUMMYFUNCTION("""COMPUTED_VALUE"""),"Excellent")</f>
        <v>Excellent</v>
      </c>
      <c r="Y1868" t="str">
        <f>IFERROR(__xludf.DUMMYFUNCTION("""COMPUTED_VALUE"""),"Very Good")</f>
        <v>Very Good</v>
      </c>
      <c r="Z1868" t="str">
        <f>IFERROR(__xludf.DUMMYFUNCTION("""COMPUTED_VALUE"""),"Excellent")</f>
        <v>Excellent</v>
      </c>
      <c r="AA1868" t="str">
        <f>IFERROR(__xludf.DUMMYFUNCTION("""COMPUTED_VALUE"""),"Excellent")</f>
        <v>Excellent</v>
      </c>
      <c r="AB1868" t="str">
        <f>IFERROR(__xludf.DUMMYFUNCTION("""COMPUTED_VALUE"""),"Fair")</f>
        <v>Fair</v>
      </c>
      <c r="AC1868">
        <f>IFERROR(__xludf.DUMMYFUNCTION("""COMPUTED_VALUE"""),1.0)</f>
        <v>1</v>
      </c>
      <c r="AH1868" s="189">
        <f>IFERROR(__xludf.DUMMYFUNCTION("""COMPUTED_VALUE"""),43677.685339918986)</f>
        <v>43677.68534</v>
      </c>
    </row>
    <row r="1869">
      <c r="A1869" t="str">
        <f>IFERROR(__xludf.DUMMYFUNCTION("""COMPUTED_VALUE"""),"soTuesday")</f>
        <v>soTuesday</v>
      </c>
      <c r="B1869" t="str">
        <f>IFERROR(__xludf.DUMMYFUNCTION("""COMPUTED_VALUE"""),"Meridian")</f>
        <v>Meridian</v>
      </c>
      <c r="C1869" t="str">
        <f>IFERROR(__xludf.DUMMYFUNCTION("""COMPUTED_VALUE"""),"ID")</f>
        <v>ID</v>
      </c>
      <c r="D1869" t="str">
        <f>IFERROR(__xludf.DUMMYFUNCTION("""COMPUTED_VALUE"""),"USA")</f>
        <v>USA</v>
      </c>
      <c r="E1869" s="188">
        <f>IFERROR(__xludf.DUMMYFUNCTION("""COMPUTED_VALUE"""),43659.0)</f>
        <v>43659</v>
      </c>
      <c r="F1869" s="188">
        <f>IFERROR(__xludf.DUMMYFUNCTION("""COMPUTED_VALUE"""),43674.0)</f>
        <v>43674</v>
      </c>
      <c r="H1869">
        <f>IFERROR(__xludf.DUMMYFUNCTION("""COMPUTED_VALUE"""),450988.0)</f>
        <v>450988</v>
      </c>
      <c r="I1869" t="str">
        <f>IFERROR(__xludf.DUMMYFUNCTION("""COMPUTED_VALUE"""),"07/19")</f>
        <v>07/19</v>
      </c>
      <c r="J1869" s="5">
        <f>IFERROR(__xludf.DUMMYFUNCTION("""COMPUTED_VALUE"""),43676.0)</f>
        <v>43676</v>
      </c>
      <c r="K1869">
        <f>IFERROR(__xludf.DUMMYFUNCTION("""COMPUTED_VALUE"""),15.0)</f>
        <v>15</v>
      </c>
      <c r="L1869">
        <f>IFERROR(__xludf.DUMMYFUNCTION("""COMPUTED_VALUE"""),2.0)</f>
        <v>2</v>
      </c>
      <c r="M1869">
        <f>IFERROR(__xludf.DUMMYFUNCTION("""COMPUTED_VALUE"""),17.0)</f>
        <v>17</v>
      </c>
      <c r="N1869" t="str">
        <f>IFERROR(__xludf.DUMMYFUNCTION("""COMPUTED_VALUE"""),"Model 3 LR AWD")</f>
        <v>Model 3 LR AWD</v>
      </c>
      <c r="O1869" t="str">
        <f>IFERROR(__xludf.DUMMYFUNCTION("""COMPUTED_VALUE"""),"Pearl White Multi-Coat")</f>
        <v>Pearl White Multi-Coat</v>
      </c>
      <c r="P1869" t="str">
        <f>IFERROR(__xludf.DUMMYFUNCTION("""COMPUTED_VALUE"""),"19 inch Sport")</f>
        <v>19 inch Sport</v>
      </c>
      <c r="Q1869" t="str">
        <f>IFERROR(__xludf.DUMMYFUNCTION("""COMPUTED_VALUE"""),"White seats")</f>
        <v>White seats</v>
      </c>
      <c r="R1869" t="str">
        <f>IFERROR(__xludf.DUMMYFUNCTION("""COMPUTED_VALUE"""),"Full Self-Driving")</f>
        <v>Full Self-Driving</v>
      </c>
      <c r="X1869" t="str">
        <f>IFERROR(__xludf.DUMMYFUNCTION("""COMPUTED_VALUE"""),"Excellent")</f>
        <v>Excellent</v>
      </c>
      <c r="Y1869" t="str">
        <f>IFERROR(__xludf.DUMMYFUNCTION("""COMPUTED_VALUE"""),"Excellent")</f>
        <v>Excellent</v>
      </c>
      <c r="Z1869" t="str">
        <f>IFERROR(__xludf.DUMMYFUNCTION("""COMPUTED_VALUE"""),"Very Good")</f>
        <v>Very Good</v>
      </c>
      <c r="AA1869" t="str">
        <f>IFERROR(__xludf.DUMMYFUNCTION("""COMPUTED_VALUE"""),"Fair")</f>
        <v>Fair</v>
      </c>
      <c r="AB1869" t="str">
        <f>IFERROR(__xludf.DUMMYFUNCTION("""COMPUTED_VALUE"""),"Good")</f>
        <v>Good</v>
      </c>
      <c r="AG1869" t="str">
        <f>IFERROR(__xludf.DUMMYFUNCTION("""COMPUTED_VALUE"""),"VIN in source, Original VIN (and car) were not matched with my config. Went unnoticed until I was there for delivery. They luckily had another that did match my config. But still had to adjust all the peperwork (bank, insurance, etc.) to match the new VIN"&amp;". Fantasic service with it though.")</f>
        <v>VIN in source, Original VIN (and car) were not matched with my config. Went unnoticed until I was there for delivery. They luckily had another that did match my config. But still had to adjust all the peperwork (bank, insurance, etc.) to match the new VIN. Fantasic service with it though.</v>
      </c>
      <c r="AH1869" s="189">
        <f>IFERROR(__xludf.DUMMYFUNCTION("""COMPUTED_VALUE"""),43677.8309775463)</f>
        <v>43677.83098</v>
      </c>
    </row>
    <row r="1870">
      <c r="A1870" t="str">
        <f>IFERROR(__xludf.DUMMYFUNCTION("""COMPUTED_VALUE"""),"kchau")</f>
        <v>kchau</v>
      </c>
      <c r="B1870" t="str">
        <f>IFERROR(__xludf.DUMMYFUNCTION("""COMPUTED_VALUE"""),"Seattle")</f>
        <v>Seattle</v>
      </c>
      <c r="C1870" t="str">
        <f>IFERROR(__xludf.DUMMYFUNCTION("""COMPUTED_VALUE"""),"WA")</f>
        <v>WA</v>
      </c>
      <c r="D1870" t="str">
        <f>IFERROR(__xludf.DUMMYFUNCTION("""COMPUTED_VALUE"""),"USA")</f>
        <v>USA</v>
      </c>
      <c r="E1870" s="188">
        <f>IFERROR(__xludf.DUMMYFUNCTION("""COMPUTED_VALUE"""),43654.0)</f>
        <v>43654</v>
      </c>
      <c r="F1870" s="188">
        <f>IFERROR(__xludf.DUMMYFUNCTION("""COMPUTED_VALUE"""),43666.0)</f>
        <v>43666</v>
      </c>
      <c r="H1870">
        <f>IFERROR(__xludf.DUMMYFUNCTION("""COMPUTED_VALUE"""),437600.0)</f>
        <v>437600</v>
      </c>
      <c r="I1870" t="str">
        <f>IFERROR(__xludf.DUMMYFUNCTION("""COMPUTED_VALUE"""),"07/19")</f>
        <v>07/19</v>
      </c>
      <c r="J1870" s="5">
        <f>IFERROR(__xludf.DUMMYFUNCTION("""COMPUTED_VALUE"""),43671.0)</f>
        <v>43671</v>
      </c>
      <c r="K1870">
        <f>IFERROR(__xludf.DUMMYFUNCTION("""COMPUTED_VALUE"""),12.0)</f>
        <v>12</v>
      </c>
      <c r="L1870">
        <f>IFERROR(__xludf.DUMMYFUNCTION("""COMPUTED_VALUE"""),5.0)</f>
        <v>5</v>
      </c>
      <c r="M1870">
        <f>IFERROR(__xludf.DUMMYFUNCTION("""COMPUTED_VALUE"""),17.0)</f>
        <v>17</v>
      </c>
      <c r="N1870" t="str">
        <f>IFERROR(__xludf.DUMMYFUNCTION("""COMPUTED_VALUE"""),"Model 3 LR AWD")</f>
        <v>Model 3 LR AWD</v>
      </c>
      <c r="O1870" t="str">
        <f>IFERROR(__xludf.DUMMYFUNCTION("""COMPUTED_VALUE"""),"Red Multi-Coat")</f>
        <v>Red Multi-Coat</v>
      </c>
      <c r="P1870" t="str">
        <f>IFERROR(__xludf.DUMMYFUNCTION("""COMPUTED_VALUE"""),"18 inch Aero")</f>
        <v>18 inch Aero</v>
      </c>
      <c r="Q1870" t="str">
        <f>IFERROR(__xludf.DUMMYFUNCTION("""COMPUTED_VALUE"""),"White seats")</f>
        <v>White seats</v>
      </c>
      <c r="R1870" t="str">
        <f>IFERROR(__xludf.DUMMYFUNCTION("""COMPUTED_VALUE"""),"Full Self-Driving")</f>
        <v>Full Self-Driving</v>
      </c>
      <c r="X1870" t="str">
        <f>IFERROR(__xludf.DUMMYFUNCTION("""COMPUTED_VALUE"""),"Very Good")</f>
        <v>Very Good</v>
      </c>
      <c r="Y1870" t="str">
        <f>IFERROR(__xludf.DUMMYFUNCTION("""COMPUTED_VALUE"""),"Excellent")</f>
        <v>Excellent</v>
      </c>
      <c r="Z1870" t="str">
        <f>IFERROR(__xludf.DUMMYFUNCTION("""COMPUTED_VALUE"""),"Fair")</f>
        <v>Fair</v>
      </c>
      <c r="AA1870" t="str">
        <f>IFERROR(__xludf.DUMMYFUNCTION("""COMPUTED_VALUE"""),"Fair")</f>
        <v>Fair</v>
      </c>
      <c r="AB1870" t="str">
        <f>IFERROR(__xludf.DUMMYFUNCTION("""COMPUTED_VALUE"""),"Good")</f>
        <v>Good</v>
      </c>
      <c r="AC1870">
        <f>IFERROR(__xludf.DUMMYFUNCTION("""COMPUTED_VALUE"""),5.0)</f>
        <v>5</v>
      </c>
      <c r="AD1870">
        <f>IFERROR(__xludf.DUMMYFUNCTION("""COMPUTED_VALUE"""),1.0)</f>
        <v>1</v>
      </c>
      <c r="AG1870" t="str">
        <f>IFERROR(__xludf.DUMMYFUNCTION("""COMPUTED_VALUE"""),"VIN in Source Code 7/20")</f>
        <v>VIN in Source Code 7/20</v>
      </c>
      <c r="AH1870" s="189">
        <f>IFERROR(__xludf.DUMMYFUNCTION("""COMPUTED_VALUE"""),43678.33492204861)</f>
        <v>43678.33492</v>
      </c>
    </row>
    <row r="1871">
      <c r="A1871" t="str">
        <f>IFERROR(__xludf.DUMMYFUNCTION("""COMPUTED_VALUE"""),"VillainInc")</f>
        <v>VillainInc</v>
      </c>
      <c r="B1871" t="str">
        <f>IFERROR(__xludf.DUMMYFUNCTION("""COMPUTED_VALUE"""),"Denver")</f>
        <v>Denver</v>
      </c>
      <c r="C1871" t="str">
        <f>IFERROR(__xludf.DUMMYFUNCTION("""COMPUTED_VALUE"""),"CO")</f>
        <v>CO</v>
      </c>
      <c r="D1871" t="str">
        <f>IFERROR(__xludf.DUMMYFUNCTION("""COMPUTED_VALUE"""),"USA")</f>
        <v>USA</v>
      </c>
      <c r="E1871" s="188">
        <f>IFERROR(__xludf.DUMMYFUNCTION("""COMPUTED_VALUE"""),43658.0)</f>
        <v>43658</v>
      </c>
      <c r="F1871" s="188">
        <f>IFERROR(__xludf.DUMMYFUNCTION("""COMPUTED_VALUE"""),43672.0)</f>
        <v>43672</v>
      </c>
      <c r="H1871">
        <f>IFERROR(__xludf.DUMMYFUNCTION("""COMPUTED_VALUE"""),393439.0)</f>
        <v>393439</v>
      </c>
      <c r="J1871" s="5">
        <f>IFERROR(__xludf.DUMMYFUNCTION("""COMPUTED_VALUE"""),43677.0)</f>
        <v>43677</v>
      </c>
      <c r="K1871">
        <f>IFERROR(__xludf.DUMMYFUNCTION("""COMPUTED_VALUE"""),14.0)</f>
        <v>14</v>
      </c>
      <c r="L1871">
        <f>IFERROR(__xludf.DUMMYFUNCTION("""COMPUTED_VALUE"""),5.0)</f>
        <v>5</v>
      </c>
      <c r="M1871">
        <f>IFERROR(__xludf.DUMMYFUNCTION("""COMPUTED_VALUE"""),19.0)</f>
        <v>19</v>
      </c>
      <c r="N1871" t="str">
        <f>IFERROR(__xludf.DUMMYFUNCTION("""COMPUTED_VALUE"""),"Model 3 Performance")</f>
        <v>Model 3 Performance</v>
      </c>
      <c r="O1871" t="str">
        <f>IFERROR(__xludf.DUMMYFUNCTION("""COMPUTED_VALUE"""),"Midnight Silver Metallic")</f>
        <v>Midnight Silver Metallic</v>
      </c>
      <c r="P1871" t="str">
        <f>IFERROR(__xludf.DUMMYFUNCTION("""COMPUTED_VALUE"""),"20 inch Sport")</f>
        <v>20 inch Sport</v>
      </c>
      <c r="Q1871" t="str">
        <f>IFERROR(__xludf.DUMMYFUNCTION("""COMPUTED_VALUE"""),"White seats")</f>
        <v>White seats</v>
      </c>
      <c r="R1871" t="str">
        <f>IFERROR(__xludf.DUMMYFUNCTION("""COMPUTED_VALUE"""),"Full Self-Driving")</f>
        <v>Full Self-Driving</v>
      </c>
      <c r="X1871" t="str">
        <f>IFERROR(__xludf.DUMMYFUNCTION("""COMPUTED_VALUE"""),"Excellent")</f>
        <v>Excellent</v>
      </c>
      <c r="Y1871" t="str">
        <f>IFERROR(__xludf.DUMMYFUNCTION("""COMPUTED_VALUE"""),"Excellent")</f>
        <v>Excellent</v>
      </c>
      <c r="Z1871" t="str">
        <f>IFERROR(__xludf.DUMMYFUNCTION("""COMPUTED_VALUE"""),"Excellent")</f>
        <v>Excellent</v>
      </c>
      <c r="AA1871" t="str">
        <f>IFERROR(__xludf.DUMMYFUNCTION("""COMPUTED_VALUE"""),"Poor")</f>
        <v>Poor</v>
      </c>
      <c r="AB1871" t="str">
        <f>IFERROR(__xludf.DUMMYFUNCTION("""COMPUTED_VALUE"""),"Very Good")</f>
        <v>Very Good</v>
      </c>
      <c r="AH1871" s="189">
        <f>IFERROR(__xludf.DUMMYFUNCTION("""COMPUTED_VALUE"""),43679.37191997685)</f>
        <v>43679.37192</v>
      </c>
    </row>
    <row r="1872">
      <c r="A1872" t="str">
        <f>IFERROR(__xludf.DUMMYFUNCTION("""COMPUTED_VALUE"""),"techrossm")</f>
        <v>techrossm</v>
      </c>
      <c r="B1872" t="str">
        <f>IFERROR(__xludf.DUMMYFUNCTION("""COMPUTED_VALUE"""),"Delray Beach")</f>
        <v>Delray Beach</v>
      </c>
      <c r="C1872" t="str">
        <f>IFERROR(__xludf.DUMMYFUNCTION("""COMPUTED_VALUE"""),"FL")</f>
        <v>FL</v>
      </c>
      <c r="D1872" t="str">
        <f>IFERROR(__xludf.DUMMYFUNCTION("""COMPUTED_VALUE"""),"USA")</f>
        <v>USA</v>
      </c>
      <c r="E1872" s="188">
        <f>IFERROR(__xludf.DUMMYFUNCTION("""COMPUTED_VALUE"""),43659.0)</f>
        <v>43659</v>
      </c>
      <c r="F1872" s="188">
        <f>IFERROR(__xludf.DUMMYFUNCTION("""COMPUTED_VALUE"""),43669.0)</f>
        <v>43669</v>
      </c>
      <c r="H1872">
        <f>IFERROR(__xludf.DUMMYFUNCTION("""COMPUTED_VALUE"""),437255.0)</f>
        <v>437255</v>
      </c>
      <c r="J1872" s="5">
        <f>IFERROR(__xludf.DUMMYFUNCTION("""COMPUTED_VALUE"""),43676.0)</f>
        <v>43676</v>
      </c>
      <c r="K1872">
        <f>IFERROR(__xludf.DUMMYFUNCTION("""COMPUTED_VALUE"""),10.0)</f>
        <v>10</v>
      </c>
      <c r="L1872">
        <f>IFERROR(__xludf.DUMMYFUNCTION("""COMPUTED_VALUE"""),7.0)</f>
        <v>7</v>
      </c>
      <c r="M1872">
        <f>IFERROR(__xludf.DUMMYFUNCTION("""COMPUTED_VALUE"""),17.0)</f>
        <v>17</v>
      </c>
      <c r="N1872" t="str">
        <f>IFERROR(__xludf.DUMMYFUNCTION("""COMPUTED_VALUE"""),"Model 3 LR AWD")</f>
        <v>Model 3 LR AWD</v>
      </c>
      <c r="O1872" t="str">
        <f>IFERROR(__xludf.DUMMYFUNCTION("""COMPUTED_VALUE"""),"Pearl White Multi-Coat")</f>
        <v>Pearl White Multi-Coat</v>
      </c>
      <c r="P1872" t="str">
        <f>IFERROR(__xludf.DUMMYFUNCTION("""COMPUTED_VALUE"""),"19 inch Sport")</f>
        <v>19 inch Sport</v>
      </c>
      <c r="Q1872" t="str">
        <f>IFERROR(__xludf.DUMMYFUNCTION("""COMPUTED_VALUE"""),"White seats")</f>
        <v>White seats</v>
      </c>
      <c r="R1872" t="str">
        <f>IFERROR(__xludf.DUMMYFUNCTION("""COMPUTED_VALUE"""),"Full Self-Driving")</f>
        <v>Full Self-Driving</v>
      </c>
      <c r="X1872" t="str">
        <f>IFERROR(__xludf.DUMMYFUNCTION("""COMPUTED_VALUE"""),"Excellent")</f>
        <v>Excellent</v>
      </c>
      <c r="Y1872" t="str">
        <f>IFERROR(__xludf.DUMMYFUNCTION("""COMPUTED_VALUE"""),"Excellent")</f>
        <v>Excellent</v>
      </c>
      <c r="Z1872" t="str">
        <f>IFERROR(__xludf.DUMMYFUNCTION("""COMPUTED_VALUE"""),"Excellent")</f>
        <v>Excellent</v>
      </c>
      <c r="AA1872" t="str">
        <f>IFERROR(__xludf.DUMMYFUNCTION("""COMPUTED_VALUE"""),"Poor")</f>
        <v>Poor</v>
      </c>
      <c r="AB1872" t="str">
        <f>IFERROR(__xludf.DUMMYFUNCTION("""COMPUTED_VALUE"""),"Good")</f>
        <v>Good</v>
      </c>
      <c r="AH1872" s="189">
        <f>IFERROR(__xludf.DUMMYFUNCTION("""COMPUTED_VALUE"""),43679.4784130787)</f>
        <v>43679.47841</v>
      </c>
    </row>
    <row r="1873">
      <c r="A1873" t="str">
        <f>IFERROR(__xludf.DUMMYFUNCTION("""COMPUTED_VALUE"""),"Axar")</f>
        <v>Axar</v>
      </c>
      <c r="B1873" t="str">
        <f>IFERROR(__xludf.DUMMYFUNCTION("""COMPUTED_VALUE"""),"Brampton")</f>
        <v>Brampton</v>
      </c>
      <c r="C1873" t="str">
        <f>IFERROR(__xludf.DUMMYFUNCTION("""COMPUTED_VALUE"""),"ON")</f>
        <v>ON</v>
      </c>
      <c r="D1873" t="str">
        <f>IFERROR(__xludf.DUMMYFUNCTION("""COMPUTED_VALUE"""),"Canada")</f>
        <v>Canada</v>
      </c>
      <c r="E1873" s="188">
        <f>IFERROR(__xludf.DUMMYFUNCTION("""COMPUTED_VALUE"""),43662.0)</f>
        <v>43662</v>
      </c>
      <c r="F1873" s="188">
        <f>IFERROR(__xludf.DUMMYFUNCTION("""COMPUTED_VALUE"""),43664.0)</f>
        <v>43664</v>
      </c>
      <c r="H1873" s="4">
        <f>IFERROR(__xludf.DUMMYFUNCTION("""COMPUTED_VALUE"""),442293.0)</f>
        <v>442293</v>
      </c>
      <c r="J1873" s="5">
        <f>IFERROR(__xludf.DUMMYFUNCTION("""COMPUTED_VALUE"""),43680.0)</f>
        <v>43680</v>
      </c>
      <c r="K1873">
        <f>IFERROR(__xludf.DUMMYFUNCTION("""COMPUTED_VALUE"""),2.0)</f>
        <v>2</v>
      </c>
      <c r="L1873">
        <f>IFERROR(__xludf.DUMMYFUNCTION("""COMPUTED_VALUE"""),16.0)</f>
        <v>16</v>
      </c>
      <c r="M1873">
        <f>IFERROR(__xludf.DUMMYFUNCTION("""COMPUTED_VALUE"""),18.0)</f>
        <v>18</v>
      </c>
      <c r="N1873" t="str">
        <f>IFERROR(__xludf.DUMMYFUNCTION("""COMPUTED_VALUE"""),"Model 3 LR AWD")</f>
        <v>Model 3 LR AWD</v>
      </c>
      <c r="O1873" t="str">
        <f>IFERROR(__xludf.DUMMYFUNCTION("""COMPUTED_VALUE"""),"Pearl White Multi-Coat")</f>
        <v>Pearl White Multi-Coat</v>
      </c>
      <c r="P1873" t="str">
        <f>IFERROR(__xludf.DUMMYFUNCTION("""COMPUTED_VALUE"""),"18 inch Aero")</f>
        <v>18 inch Aero</v>
      </c>
      <c r="Q1873" t="str">
        <f>IFERROR(__xludf.DUMMYFUNCTION("""COMPUTED_VALUE"""),"Black seats")</f>
        <v>Black seats</v>
      </c>
      <c r="R1873" t="str">
        <f>IFERROR(__xludf.DUMMYFUNCTION("""COMPUTED_VALUE"""),"Autopilot")</f>
        <v>Autopilot</v>
      </c>
      <c r="X1873" t="str">
        <f>IFERROR(__xludf.DUMMYFUNCTION("""COMPUTED_VALUE"""),"Fair")</f>
        <v>Fair</v>
      </c>
      <c r="Y1873" t="str">
        <f>IFERROR(__xludf.DUMMYFUNCTION("""COMPUTED_VALUE"""),"Fair")</f>
        <v>Fair</v>
      </c>
      <c r="Z1873" t="str">
        <f>IFERROR(__xludf.DUMMYFUNCTION("""COMPUTED_VALUE"""),"Fair")</f>
        <v>Fair</v>
      </c>
      <c r="AA1873" t="str">
        <f>IFERROR(__xludf.DUMMYFUNCTION("""COMPUTED_VALUE"""),"Excellent")</f>
        <v>Excellent</v>
      </c>
      <c r="AB1873" t="str">
        <f>IFERROR(__xludf.DUMMYFUNCTION("""COMPUTED_VALUE"""),"Excellent")</f>
        <v>Excellent</v>
      </c>
      <c r="AC1873">
        <f>IFERROR(__xludf.DUMMYFUNCTION("""COMPUTED_VALUE"""),1.0)</f>
        <v>1</v>
      </c>
      <c r="AG1873" t="str">
        <f>IFERROR(__xludf.DUMMYFUNCTION("""COMPUTED_VALUE"""),"Delivery bumped up")</f>
        <v>Delivery bumped up</v>
      </c>
      <c r="AH1873" s="189">
        <f>IFERROR(__xludf.DUMMYFUNCTION("""COMPUTED_VALUE"""),43680.64135627315)</f>
        <v>43680.64136</v>
      </c>
    </row>
    <row r="1874">
      <c r="A1874" t="str">
        <f>IFERROR(__xludf.DUMMYFUNCTION("""COMPUTED_VALUE"""),"van_smile")</f>
        <v>van_smile</v>
      </c>
      <c r="B1874" t="str">
        <f>IFERROR(__xludf.DUMMYFUNCTION("""COMPUTED_VALUE"""),"Vancouver")</f>
        <v>Vancouver</v>
      </c>
      <c r="C1874" t="str">
        <f>IFERROR(__xludf.DUMMYFUNCTION("""COMPUTED_VALUE"""),"BC")</f>
        <v>BC</v>
      </c>
      <c r="D1874" t="str">
        <f>IFERROR(__xludf.DUMMYFUNCTION("""COMPUTED_VALUE"""),"Canada")</f>
        <v>Canada</v>
      </c>
      <c r="E1874" s="188">
        <f>IFERROR(__xludf.DUMMYFUNCTION("""COMPUTED_VALUE"""),43527.0)</f>
        <v>43527</v>
      </c>
      <c r="F1874" s="188">
        <f>IFERROR(__xludf.DUMMYFUNCTION("""COMPUTED_VALUE"""),43614.0)</f>
        <v>43614</v>
      </c>
      <c r="H1874">
        <f>IFERROR(__xludf.DUMMYFUNCTION("""COMPUTED_VALUE"""),108055.0)</f>
        <v>108055</v>
      </c>
      <c r="I1874" t="str">
        <f>IFERROR(__xludf.DUMMYFUNCTION("""COMPUTED_VALUE"""),"05/19")</f>
        <v>05/19</v>
      </c>
      <c r="J1874" s="5">
        <f>IFERROR(__xludf.DUMMYFUNCTION("""COMPUTED_VALUE"""),43626.0)</f>
        <v>43626</v>
      </c>
      <c r="K1874">
        <f>IFERROR(__xludf.DUMMYFUNCTION("""COMPUTED_VALUE"""),87.0)</f>
        <v>87</v>
      </c>
      <c r="L1874">
        <f>IFERROR(__xludf.DUMMYFUNCTION("""COMPUTED_VALUE"""),12.0)</f>
        <v>12</v>
      </c>
      <c r="M1874">
        <f>IFERROR(__xludf.DUMMYFUNCTION("""COMPUTED_VALUE"""),99.0)</f>
        <v>99</v>
      </c>
      <c r="N1874" t="str">
        <f>IFERROR(__xludf.DUMMYFUNCTION("""COMPUTED_VALUE"""),"Model 3 LR AWD")</f>
        <v>Model 3 LR AWD</v>
      </c>
      <c r="O1874" t="str">
        <f>IFERROR(__xludf.DUMMYFUNCTION("""COMPUTED_VALUE"""),"Red Multi-Coat")</f>
        <v>Red Multi-Coat</v>
      </c>
      <c r="P1874" t="str">
        <f>IFERROR(__xludf.DUMMYFUNCTION("""COMPUTED_VALUE"""),"18 inch Aero")</f>
        <v>18 inch Aero</v>
      </c>
      <c r="Q1874" t="str">
        <f>IFERROR(__xludf.DUMMYFUNCTION("""COMPUTED_VALUE"""),"White seats")</f>
        <v>White seats</v>
      </c>
      <c r="R1874" t="str">
        <f>IFERROR(__xludf.DUMMYFUNCTION("""COMPUTED_VALUE"""),"Full Self-Driving")</f>
        <v>Full Self-Driving</v>
      </c>
      <c r="X1874" t="str">
        <f>IFERROR(__xludf.DUMMYFUNCTION("""COMPUTED_VALUE"""),"Excellent")</f>
        <v>Excellent</v>
      </c>
      <c r="Y1874" t="str">
        <f>IFERROR(__xludf.DUMMYFUNCTION("""COMPUTED_VALUE"""),"Excellent")</f>
        <v>Excellent</v>
      </c>
      <c r="Z1874" t="str">
        <f>IFERROR(__xludf.DUMMYFUNCTION("""COMPUTED_VALUE"""),"Excellent")</f>
        <v>Excellent</v>
      </c>
      <c r="AA1874" t="str">
        <f>IFERROR(__xludf.DUMMYFUNCTION("""COMPUTED_VALUE"""),"Poor")</f>
        <v>Poor</v>
      </c>
      <c r="AB1874" t="str">
        <f>IFERROR(__xludf.DUMMYFUNCTION("""COMPUTED_VALUE"""),"Fair")</f>
        <v>Fair</v>
      </c>
      <c r="AC1874">
        <f>IFERROR(__xludf.DUMMYFUNCTION("""COMPUTED_VALUE"""),0.0)</f>
        <v>0</v>
      </c>
      <c r="AD1874">
        <f>IFERROR(__xludf.DUMMYFUNCTION("""COMPUTED_VALUE"""),0.0)</f>
        <v>0</v>
      </c>
      <c r="AE1874">
        <f>IFERROR(__xludf.DUMMYFUNCTION("""COMPUTED_VALUE"""),0.0)</f>
        <v>0</v>
      </c>
      <c r="AH1874" s="189">
        <f>IFERROR(__xludf.DUMMYFUNCTION("""COMPUTED_VALUE"""),43680.97889753472)</f>
        <v>43680.9789</v>
      </c>
    </row>
    <row r="1875">
      <c r="A1875" t="str">
        <f>IFERROR(__xludf.DUMMYFUNCTION("""COMPUTED_VALUE"""),"Sri")</f>
        <v>Sri</v>
      </c>
      <c r="B1875" t="str">
        <f>IFERROR(__xludf.DUMMYFUNCTION("""COMPUTED_VALUE"""),"Southlake")</f>
        <v>Southlake</v>
      </c>
      <c r="C1875" t="str">
        <f>IFERROR(__xludf.DUMMYFUNCTION("""COMPUTED_VALUE"""),"TX")</f>
        <v>TX</v>
      </c>
      <c r="D1875" t="str">
        <f>IFERROR(__xludf.DUMMYFUNCTION("""COMPUTED_VALUE"""),"USA")</f>
        <v>USA</v>
      </c>
      <c r="E1875" s="188">
        <f>IFERROR(__xludf.DUMMYFUNCTION("""COMPUTED_VALUE"""),43670.0)</f>
        <v>43670</v>
      </c>
      <c r="F1875" s="188">
        <f>IFERROR(__xludf.DUMMYFUNCTION("""COMPUTED_VALUE"""),43670.0)</f>
        <v>43670</v>
      </c>
      <c r="H1875">
        <f>IFERROR(__xludf.DUMMYFUNCTION("""COMPUTED_VALUE"""),442155.0)</f>
        <v>442155</v>
      </c>
      <c r="I1875" t="str">
        <f>IFERROR(__xludf.DUMMYFUNCTION("""COMPUTED_VALUE"""),"07/19")</f>
        <v>07/19</v>
      </c>
      <c r="J1875" s="5">
        <f>IFERROR(__xludf.DUMMYFUNCTION("""COMPUTED_VALUE"""),43679.0)</f>
        <v>43679</v>
      </c>
      <c r="K1875">
        <f>IFERROR(__xludf.DUMMYFUNCTION("""COMPUTED_VALUE"""),0.0)</f>
        <v>0</v>
      </c>
      <c r="L1875">
        <f>IFERROR(__xludf.DUMMYFUNCTION("""COMPUTED_VALUE"""),9.0)</f>
        <v>9</v>
      </c>
      <c r="M1875">
        <f>IFERROR(__xludf.DUMMYFUNCTION("""COMPUTED_VALUE"""),9.0)</f>
        <v>9</v>
      </c>
      <c r="N1875" t="str">
        <f>IFERROR(__xludf.DUMMYFUNCTION("""COMPUTED_VALUE"""),"Model 3 LR AWD")</f>
        <v>Model 3 LR AWD</v>
      </c>
      <c r="O1875" t="str">
        <f>IFERROR(__xludf.DUMMYFUNCTION("""COMPUTED_VALUE"""),"Deep Blue Metallic")</f>
        <v>Deep Blue Metallic</v>
      </c>
      <c r="P1875" t="str">
        <f>IFERROR(__xludf.DUMMYFUNCTION("""COMPUTED_VALUE"""),"18 inch Aero")</f>
        <v>18 inch Aero</v>
      </c>
      <c r="Q1875" t="str">
        <f>IFERROR(__xludf.DUMMYFUNCTION("""COMPUTED_VALUE"""),"Black seats")</f>
        <v>Black seats</v>
      </c>
      <c r="R1875" t="str">
        <f>IFERROR(__xludf.DUMMYFUNCTION("""COMPUTED_VALUE"""),"Full Self-Driving")</f>
        <v>Full Self-Driving</v>
      </c>
      <c r="X1875" t="str">
        <f>IFERROR(__xludf.DUMMYFUNCTION("""COMPUTED_VALUE"""),"Excellent")</f>
        <v>Excellent</v>
      </c>
      <c r="Y1875" t="str">
        <f>IFERROR(__xludf.DUMMYFUNCTION("""COMPUTED_VALUE"""),"Excellent")</f>
        <v>Excellent</v>
      </c>
      <c r="Z1875" t="str">
        <f>IFERROR(__xludf.DUMMYFUNCTION("""COMPUTED_VALUE"""),"Excellent")</f>
        <v>Excellent</v>
      </c>
      <c r="AA1875" t="str">
        <f>IFERROR(__xludf.DUMMYFUNCTION("""COMPUTED_VALUE"""),"Very Good")</f>
        <v>Very Good</v>
      </c>
      <c r="AB1875" t="str">
        <f>IFERROR(__xludf.DUMMYFUNCTION("""COMPUTED_VALUE"""),"Excellent")</f>
        <v>Excellent</v>
      </c>
      <c r="AH1875" s="189">
        <f>IFERROR(__xludf.DUMMYFUNCTION("""COMPUTED_VALUE"""),43682.17878986111)</f>
        <v>43682.17879</v>
      </c>
    </row>
    <row r="1876">
      <c r="A1876" t="str">
        <f>IFERROR(__xludf.DUMMYFUNCTION("""COMPUTED_VALUE"""),"Acererak")</f>
        <v>Acererak</v>
      </c>
      <c r="B1876" t="str">
        <f>IFERROR(__xludf.DUMMYFUNCTION("""COMPUTED_VALUE"""),"Neosho")</f>
        <v>Neosho</v>
      </c>
      <c r="C1876" t="str">
        <f>IFERROR(__xludf.DUMMYFUNCTION("""COMPUTED_VALUE"""),"MO")</f>
        <v>MO</v>
      </c>
      <c r="D1876" t="str">
        <f>IFERROR(__xludf.DUMMYFUNCTION("""COMPUTED_VALUE"""),"USA")</f>
        <v>USA</v>
      </c>
      <c r="E1876" s="188">
        <f>IFERROR(__xludf.DUMMYFUNCTION("""COMPUTED_VALUE"""),43641.0)</f>
        <v>43641</v>
      </c>
      <c r="F1876" s="188">
        <f>IFERROR(__xludf.DUMMYFUNCTION("""COMPUTED_VALUE"""),43672.0)</f>
        <v>43672</v>
      </c>
      <c r="H1876">
        <f>IFERROR(__xludf.DUMMYFUNCTION("""COMPUTED_VALUE"""),440358.0)</f>
        <v>440358</v>
      </c>
      <c r="J1876" s="5">
        <f>IFERROR(__xludf.DUMMYFUNCTION("""COMPUTED_VALUE"""),43680.0)</f>
        <v>43680</v>
      </c>
      <c r="K1876">
        <f>IFERROR(__xludf.DUMMYFUNCTION("""COMPUTED_VALUE"""),31.0)</f>
        <v>31</v>
      </c>
      <c r="L1876">
        <f>IFERROR(__xludf.DUMMYFUNCTION("""COMPUTED_VALUE"""),8.0)</f>
        <v>8</v>
      </c>
      <c r="M1876">
        <f>IFERROR(__xludf.DUMMYFUNCTION("""COMPUTED_VALUE"""),39.0)</f>
        <v>39</v>
      </c>
      <c r="N1876" t="str">
        <f>IFERROR(__xludf.DUMMYFUNCTION("""COMPUTED_VALUE"""),"Model 3 Performance")</f>
        <v>Model 3 Performance</v>
      </c>
      <c r="O1876" t="str">
        <f>IFERROR(__xludf.DUMMYFUNCTION("""COMPUTED_VALUE"""),"Deep Blue Metallic")</f>
        <v>Deep Blue Metallic</v>
      </c>
      <c r="P1876" t="str">
        <f>IFERROR(__xludf.DUMMYFUNCTION("""COMPUTED_VALUE"""),"20 inch Sport")</f>
        <v>20 inch Sport</v>
      </c>
      <c r="Q1876" t="str">
        <f>IFERROR(__xludf.DUMMYFUNCTION("""COMPUTED_VALUE"""),"White seats")</f>
        <v>White seats</v>
      </c>
      <c r="R1876" t="str">
        <f>IFERROR(__xludf.DUMMYFUNCTION("""COMPUTED_VALUE"""),"Full Self-Driving")</f>
        <v>Full Self-Driving</v>
      </c>
      <c r="X1876" t="str">
        <f>IFERROR(__xludf.DUMMYFUNCTION("""COMPUTED_VALUE"""),"Excellent")</f>
        <v>Excellent</v>
      </c>
      <c r="Y1876" t="str">
        <f>IFERROR(__xludf.DUMMYFUNCTION("""COMPUTED_VALUE"""),"Excellent")</f>
        <v>Excellent</v>
      </c>
      <c r="Z1876" t="str">
        <f>IFERROR(__xludf.DUMMYFUNCTION("""COMPUTED_VALUE"""),"Very Good")</f>
        <v>Very Good</v>
      </c>
      <c r="AA1876" t="str">
        <f>IFERROR(__xludf.DUMMYFUNCTION("""COMPUTED_VALUE"""),"Excellent")</f>
        <v>Excellent</v>
      </c>
      <c r="AB1876" t="str">
        <f>IFERROR(__xludf.DUMMYFUNCTION("""COMPUTED_VALUE"""),"Excellent")</f>
        <v>Excellent</v>
      </c>
      <c r="AC1876">
        <f>IFERROR(__xludf.DUMMYFUNCTION("""COMPUTED_VALUE"""),1.0)</f>
        <v>1</v>
      </c>
      <c r="AD1876">
        <f>IFERROR(__xludf.DUMMYFUNCTION("""COMPUTED_VALUE"""),1.0)</f>
        <v>1</v>
      </c>
      <c r="AE1876">
        <f>IFERROR(__xludf.DUMMYFUNCTION("""COMPUTED_VALUE"""),3.0)</f>
        <v>3</v>
      </c>
      <c r="AG1876" t="str">
        <f>IFERROR(__xludf.DUMMYFUNCTION("""COMPUTED_VALUE"""),"The called me to tell me they took some sticker off that caused paint damage and asked if I wanted to wait for them to fix or get it fixed later(I went with Veruca Salt) and will bring it back up after the homekit comes in to get both done at same time.")</f>
        <v>The called me to tell me they took some sticker off that caused paint damage and asked if I wanted to wait for them to fix or get it fixed later(I went with Veruca Salt) and will bring it back up after the homekit comes in to get both done at same time.</v>
      </c>
      <c r="AH1876" s="189">
        <f>IFERROR(__xludf.DUMMYFUNCTION("""COMPUTED_VALUE"""),43682.58894858796)</f>
        <v>43682.58895</v>
      </c>
    </row>
    <row r="1877">
      <c r="A1877" t="str">
        <f>IFERROR(__xludf.DUMMYFUNCTION("""COMPUTED_VALUE"""),"There Is A Fracture")</f>
        <v>There Is A Fracture</v>
      </c>
      <c r="B1877" t="str">
        <f>IFERROR(__xludf.DUMMYFUNCTION("""COMPUTED_VALUE"""),"Kansas City")</f>
        <v>Kansas City</v>
      </c>
      <c r="C1877" t="str">
        <f>IFERROR(__xludf.DUMMYFUNCTION("""COMPUTED_VALUE"""),"MO")</f>
        <v>MO</v>
      </c>
      <c r="D1877" t="str">
        <f>IFERROR(__xludf.DUMMYFUNCTION("""COMPUTED_VALUE"""),"USA")</f>
        <v>USA</v>
      </c>
      <c r="E1877" s="188">
        <f>IFERROR(__xludf.DUMMYFUNCTION("""COMPUTED_VALUE"""),43663.0)</f>
        <v>43663</v>
      </c>
      <c r="F1877" s="188">
        <f>IFERROR(__xludf.DUMMYFUNCTION("""COMPUTED_VALUE"""),43666.0)</f>
        <v>43666</v>
      </c>
      <c r="H1877">
        <f>IFERROR(__xludf.DUMMYFUNCTION("""COMPUTED_VALUE"""),418455.0)</f>
        <v>418455</v>
      </c>
      <c r="I1877" t="str">
        <f>IFERROR(__xludf.DUMMYFUNCTION("""COMPUTED_VALUE"""),"07/19")</f>
        <v>07/19</v>
      </c>
      <c r="J1877" s="5">
        <f>IFERROR(__xludf.DUMMYFUNCTION("""COMPUTED_VALUE"""),43682.0)</f>
        <v>43682</v>
      </c>
      <c r="K1877">
        <f>IFERROR(__xludf.DUMMYFUNCTION("""COMPUTED_VALUE"""),3.0)</f>
        <v>3</v>
      </c>
      <c r="L1877">
        <f>IFERROR(__xludf.DUMMYFUNCTION("""COMPUTED_VALUE"""),16.0)</f>
        <v>16</v>
      </c>
      <c r="M1877">
        <f>IFERROR(__xludf.DUMMYFUNCTION("""COMPUTED_VALUE"""),19.0)</f>
        <v>19</v>
      </c>
      <c r="N1877" t="str">
        <f>IFERROR(__xludf.DUMMYFUNCTION("""COMPUTED_VALUE"""),"Model 3 LR AWD")</f>
        <v>Model 3 LR AWD</v>
      </c>
      <c r="O1877" t="str">
        <f>IFERROR(__xludf.DUMMYFUNCTION("""COMPUTED_VALUE"""),"Midnight Silver Metallic")</f>
        <v>Midnight Silver Metallic</v>
      </c>
      <c r="P1877" t="str">
        <f>IFERROR(__xludf.DUMMYFUNCTION("""COMPUTED_VALUE"""),"19 inch Sport")</f>
        <v>19 inch Sport</v>
      </c>
      <c r="Q1877" t="str">
        <f>IFERROR(__xludf.DUMMYFUNCTION("""COMPUTED_VALUE"""),"Black seats")</f>
        <v>Black seats</v>
      </c>
      <c r="R1877" t="str">
        <f>IFERROR(__xludf.DUMMYFUNCTION("""COMPUTED_VALUE"""),"Full Self-Driving")</f>
        <v>Full Self-Driving</v>
      </c>
      <c r="X1877" t="str">
        <f>IFERROR(__xludf.DUMMYFUNCTION("""COMPUTED_VALUE"""),"Excellent")</f>
        <v>Excellent</v>
      </c>
      <c r="Y1877" t="str">
        <f>IFERROR(__xludf.DUMMYFUNCTION("""COMPUTED_VALUE"""),"Excellent")</f>
        <v>Excellent</v>
      </c>
      <c r="Z1877" t="str">
        <f>IFERROR(__xludf.DUMMYFUNCTION("""COMPUTED_VALUE"""),"Excellent")</f>
        <v>Excellent</v>
      </c>
      <c r="AA1877" t="str">
        <f>IFERROR(__xludf.DUMMYFUNCTION("""COMPUTED_VALUE"""),"Excellent")</f>
        <v>Excellent</v>
      </c>
      <c r="AB1877" t="str">
        <f>IFERROR(__xludf.DUMMYFUNCTION("""COMPUTED_VALUE"""),"Excellent")</f>
        <v>Excellent</v>
      </c>
      <c r="AH1877" s="189">
        <f>IFERROR(__xludf.DUMMYFUNCTION("""COMPUTED_VALUE"""),43683.88410476852)</f>
        <v>43683.8841</v>
      </c>
    </row>
    <row r="1878">
      <c r="A1878" t="str">
        <f>IFERROR(__xludf.DUMMYFUNCTION("""COMPUTED_VALUE"""),"fuji808")</f>
        <v>fuji808</v>
      </c>
      <c r="B1878" t="str">
        <f>IFERROR(__xludf.DUMMYFUNCTION("""COMPUTED_VALUE"""),"Honolulu")</f>
        <v>Honolulu</v>
      </c>
      <c r="C1878" t="str">
        <f>IFERROR(__xludf.DUMMYFUNCTION("""COMPUTED_VALUE"""),"HI")</f>
        <v>HI</v>
      </c>
      <c r="D1878" t="str">
        <f>IFERROR(__xludf.DUMMYFUNCTION("""COMPUTED_VALUE"""),"USA")</f>
        <v>USA</v>
      </c>
      <c r="E1878" s="188">
        <f>IFERROR(__xludf.DUMMYFUNCTION("""COMPUTED_VALUE"""),43643.0)</f>
        <v>43643</v>
      </c>
      <c r="F1878" s="188">
        <f>IFERROR(__xludf.DUMMYFUNCTION("""COMPUTED_VALUE"""),43662.0)</f>
        <v>43662</v>
      </c>
      <c r="H1878">
        <f>IFERROR(__xludf.DUMMYFUNCTION("""COMPUTED_VALUE"""),432160.0)</f>
        <v>432160</v>
      </c>
      <c r="I1878" t="str">
        <f>IFERROR(__xludf.DUMMYFUNCTION("""COMPUTED_VALUE"""),"07/19")</f>
        <v>07/19</v>
      </c>
      <c r="J1878" s="5">
        <f>IFERROR(__xludf.DUMMYFUNCTION("""COMPUTED_VALUE"""),43677.0)</f>
        <v>43677</v>
      </c>
      <c r="K1878">
        <f>IFERROR(__xludf.DUMMYFUNCTION("""COMPUTED_VALUE"""),19.0)</f>
        <v>19</v>
      </c>
      <c r="L1878">
        <f>IFERROR(__xludf.DUMMYFUNCTION("""COMPUTED_VALUE"""),15.0)</f>
        <v>15</v>
      </c>
      <c r="M1878">
        <f>IFERROR(__xludf.DUMMYFUNCTION("""COMPUTED_VALUE"""),34.0)</f>
        <v>34</v>
      </c>
      <c r="N1878" t="str">
        <f>IFERROR(__xludf.DUMMYFUNCTION("""COMPUTED_VALUE"""),"Model 3 SR+")</f>
        <v>Model 3 SR+</v>
      </c>
      <c r="O1878" t="str">
        <f>IFERROR(__xludf.DUMMYFUNCTION("""COMPUTED_VALUE"""),"Pearl White Multi-Coat")</f>
        <v>Pearl White Multi-Coat</v>
      </c>
      <c r="P1878" t="str">
        <f>IFERROR(__xludf.DUMMYFUNCTION("""COMPUTED_VALUE"""),"19 inch Sport")</f>
        <v>19 inch Sport</v>
      </c>
      <c r="Q1878" t="str">
        <f>IFERROR(__xludf.DUMMYFUNCTION("""COMPUTED_VALUE"""),"White seats")</f>
        <v>White seats</v>
      </c>
      <c r="R1878" t="str">
        <f>IFERROR(__xludf.DUMMYFUNCTION("""COMPUTED_VALUE"""),"Full Self-Driving")</f>
        <v>Full Self-Driving</v>
      </c>
      <c r="X1878" t="str">
        <f>IFERROR(__xludf.DUMMYFUNCTION("""COMPUTED_VALUE"""),"Excellent")</f>
        <v>Excellent</v>
      </c>
      <c r="Y1878" t="str">
        <f>IFERROR(__xludf.DUMMYFUNCTION("""COMPUTED_VALUE"""),"Very Good")</f>
        <v>Very Good</v>
      </c>
      <c r="Z1878" t="str">
        <f>IFERROR(__xludf.DUMMYFUNCTION("""COMPUTED_VALUE"""),"Excellent")</f>
        <v>Excellent</v>
      </c>
      <c r="AA1878" t="str">
        <f>IFERROR(__xludf.DUMMYFUNCTION("""COMPUTED_VALUE"""),"Good")</f>
        <v>Good</v>
      </c>
      <c r="AB1878" t="str">
        <f>IFERROR(__xludf.DUMMYFUNCTION("""COMPUTED_VALUE"""),"Excellent")</f>
        <v>Excellent</v>
      </c>
      <c r="AC1878">
        <f>IFERROR(__xludf.DUMMYFUNCTION("""COMPUTED_VALUE"""),0.0)</f>
        <v>0</v>
      </c>
      <c r="AD1878">
        <f>IFERROR(__xludf.DUMMYFUNCTION("""COMPUTED_VALUE"""),0.0)</f>
        <v>0</v>
      </c>
      <c r="AE1878">
        <f>IFERROR(__xludf.DUMMYFUNCTION("""COMPUTED_VALUE"""),0.0)</f>
        <v>0</v>
      </c>
      <c r="AH1878" s="189">
        <f>IFERROR(__xludf.DUMMYFUNCTION("""COMPUTED_VALUE"""),43683.90453028935)</f>
        <v>43683.90453</v>
      </c>
    </row>
    <row r="1879">
      <c r="A1879" t="str">
        <f>IFERROR(__xludf.DUMMYFUNCTION("""COMPUTED_VALUE"""),"nlmunro")</f>
        <v>nlmunro</v>
      </c>
      <c r="B1879" t="str">
        <f>IFERROR(__xludf.DUMMYFUNCTION("""COMPUTED_VALUE"""),"Lisbon, Portugal")</f>
        <v>Lisbon, Portugal</v>
      </c>
      <c r="D1879" t="str">
        <f>IFERROR(__xludf.DUMMYFUNCTION("""COMPUTED_VALUE"""),"Other (include country together with city)")</f>
        <v>Other (include country together with city)</v>
      </c>
      <c r="E1879" s="188">
        <f>IFERROR(__xludf.DUMMYFUNCTION("""COMPUTED_VALUE"""),43569.0)</f>
        <v>43569</v>
      </c>
      <c r="F1879" s="188">
        <f>IFERROR(__xludf.DUMMYFUNCTION("""COMPUTED_VALUE"""),43629.0)</f>
        <v>43629</v>
      </c>
      <c r="H1879">
        <f>IFERROR(__xludf.DUMMYFUNCTION("""COMPUTED_VALUE"""),376255.0)</f>
        <v>376255</v>
      </c>
      <c r="J1879" s="5">
        <f>IFERROR(__xludf.DUMMYFUNCTION("""COMPUTED_VALUE"""),43651.0)</f>
        <v>43651</v>
      </c>
      <c r="K1879">
        <f>IFERROR(__xludf.DUMMYFUNCTION("""COMPUTED_VALUE"""),60.0)</f>
        <v>60</v>
      </c>
      <c r="L1879">
        <f>IFERROR(__xludf.DUMMYFUNCTION("""COMPUTED_VALUE"""),22.0)</f>
        <v>22</v>
      </c>
      <c r="M1879">
        <f>IFERROR(__xludf.DUMMYFUNCTION("""COMPUTED_VALUE"""),82.0)</f>
        <v>82</v>
      </c>
      <c r="N1879" t="str">
        <f>IFERROR(__xludf.DUMMYFUNCTION("""COMPUTED_VALUE"""),"Model 3 SR+")</f>
        <v>Model 3 SR+</v>
      </c>
      <c r="O1879" t="str">
        <f>IFERROR(__xludf.DUMMYFUNCTION("""COMPUTED_VALUE"""),"Deep Blue Metallic")</f>
        <v>Deep Blue Metallic</v>
      </c>
      <c r="P1879" t="str">
        <f>IFERROR(__xludf.DUMMYFUNCTION("""COMPUTED_VALUE"""),"18 inch Aero")</f>
        <v>18 inch Aero</v>
      </c>
      <c r="Q1879" t="str">
        <f>IFERROR(__xludf.DUMMYFUNCTION("""COMPUTED_VALUE"""),"Black seats")</f>
        <v>Black seats</v>
      </c>
      <c r="R1879" t="str">
        <f>IFERROR(__xludf.DUMMYFUNCTION("""COMPUTED_VALUE"""),"Autopilot")</f>
        <v>Autopilot</v>
      </c>
      <c r="X1879" t="str">
        <f>IFERROR(__xludf.DUMMYFUNCTION("""COMPUTED_VALUE"""),"Excellent")</f>
        <v>Excellent</v>
      </c>
      <c r="Y1879" t="str">
        <f>IFERROR(__xludf.DUMMYFUNCTION("""COMPUTED_VALUE"""),"Excellent")</f>
        <v>Excellent</v>
      </c>
      <c r="Z1879" t="str">
        <f>IFERROR(__xludf.DUMMYFUNCTION("""COMPUTED_VALUE"""),"Very Good")</f>
        <v>Very Good</v>
      </c>
      <c r="AA1879" t="str">
        <f>IFERROR(__xludf.DUMMYFUNCTION("""COMPUTED_VALUE"""),"Very Good")</f>
        <v>Very Good</v>
      </c>
      <c r="AB1879" t="str">
        <f>IFERROR(__xludf.DUMMYFUNCTION("""COMPUTED_VALUE"""),"Very Good")</f>
        <v>Very Good</v>
      </c>
      <c r="AC1879">
        <f>IFERROR(__xludf.DUMMYFUNCTION("""COMPUTED_VALUE"""),0.0)</f>
        <v>0</v>
      </c>
      <c r="AD1879">
        <f>IFERROR(__xludf.DUMMYFUNCTION("""COMPUTED_VALUE"""),0.0)</f>
        <v>0</v>
      </c>
      <c r="AE1879">
        <f>IFERROR(__xludf.DUMMYFUNCTION("""COMPUTED_VALUE"""),0.0)</f>
        <v>0</v>
      </c>
      <c r="AG1879" t="str">
        <f>IFERROR(__xludf.DUMMYFUNCTION("""COMPUTED_VALUE"""),"1 month on, still delighted with it.")</f>
        <v>1 month on, still delighted with it.</v>
      </c>
      <c r="AH1879" s="189">
        <f>IFERROR(__xludf.DUMMYFUNCTION("""COMPUTED_VALUE"""),43686.106131747685)</f>
        <v>43686.10613</v>
      </c>
    </row>
    <row r="1880">
      <c r="A1880" t="str">
        <f>IFERROR(__xludf.DUMMYFUNCTION("""COMPUTED_VALUE"""),"patbaker82")</f>
        <v>patbaker82</v>
      </c>
      <c r="B1880" t="str">
        <f>IFERROR(__xludf.DUMMYFUNCTION("""COMPUTED_VALUE"""),"San Diego")</f>
        <v>San Diego</v>
      </c>
      <c r="C1880" t="str">
        <f>IFERROR(__xludf.DUMMYFUNCTION("""COMPUTED_VALUE"""),"CA")</f>
        <v>CA</v>
      </c>
      <c r="D1880" t="str">
        <f>IFERROR(__xludf.DUMMYFUNCTION("""COMPUTED_VALUE"""),"USA")</f>
        <v>USA</v>
      </c>
      <c r="E1880" s="188">
        <f>IFERROR(__xludf.DUMMYFUNCTION("""COMPUTED_VALUE"""),43676.0)</f>
        <v>43676</v>
      </c>
      <c r="F1880" s="188">
        <f>IFERROR(__xludf.DUMMYFUNCTION("""COMPUTED_VALUE"""),43679.0)</f>
        <v>43679</v>
      </c>
      <c r="H1880">
        <f>IFERROR(__xludf.DUMMYFUNCTION("""COMPUTED_VALUE"""),470055.0)</f>
        <v>470055</v>
      </c>
      <c r="J1880" s="5">
        <f>IFERROR(__xludf.DUMMYFUNCTION("""COMPUTED_VALUE"""),43685.0)</f>
        <v>43685</v>
      </c>
      <c r="K1880">
        <f>IFERROR(__xludf.DUMMYFUNCTION("""COMPUTED_VALUE"""),3.0)</f>
        <v>3</v>
      </c>
      <c r="L1880">
        <f>IFERROR(__xludf.DUMMYFUNCTION("""COMPUTED_VALUE"""),6.0)</f>
        <v>6</v>
      </c>
      <c r="M1880">
        <f>IFERROR(__xludf.DUMMYFUNCTION("""COMPUTED_VALUE"""),9.0)</f>
        <v>9</v>
      </c>
      <c r="N1880" t="str">
        <f>IFERROR(__xludf.DUMMYFUNCTION("""COMPUTED_VALUE"""),"Model 3 Performance")</f>
        <v>Model 3 Performance</v>
      </c>
      <c r="O1880" t="str">
        <f>IFERROR(__xludf.DUMMYFUNCTION("""COMPUTED_VALUE"""),"Red Multi-Coat")</f>
        <v>Red Multi-Coat</v>
      </c>
      <c r="P1880" t="str">
        <f>IFERROR(__xludf.DUMMYFUNCTION("""COMPUTED_VALUE"""),"20 inch Sport")</f>
        <v>20 inch Sport</v>
      </c>
      <c r="Q1880" t="str">
        <f>IFERROR(__xludf.DUMMYFUNCTION("""COMPUTED_VALUE"""),"Black seats")</f>
        <v>Black seats</v>
      </c>
      <c r="R1880" t="str">
        <f>IFERROR(__xludf.DUMMYFUNCTION("""COMPUTED_VALUE"""),"Full Self-Driving")</f>
        <v>Full Self-Driving</v>
      </c>
      <c r="X1880" t="str">
        <f>IFERROR(__xludf.DUMMYFUNCTION("""COMPUTED_VALUE"""),"Excellent")</f>
        <v>Excellent</v>
      </c>
      <c r="Y1880" t="str">
        <f>IFERROR(__xludf.DUMMYFUNCTION("""COMPUTED_VALUE"""),"Excellent")</f>
        <v>Excellent</v>
      </c>
      <c r="Z1880" t="str">
        <f>IFERROR(__xludf.DUMMYFUNCTION("""COMPUTED_VALUE"""),"Excellent")</f>
        <v>Excellent</v>
      </c>
      <c r="AA1880" t="str">
        <f>IFERROR(__xludf.DUMMYFUNCTION("""COMPUTED_VALUE"""),"Excellent")</f>
        <v>Excellent</v>
      </c>
      <c r="AB1880" t="str">
        <f>IFERROR(__xludf.DUMMYFUNCTION("""COMPUTED_VALUE"""),"Excellent")</f>
        <v>Excellent</v>
      </c>
      <c r="AC1880">
        <f>IFERROR(__xludf.DUMMYFUNCTION("""COMPUTED_VALUE"""),1.0)</f>
        <v>1</v>
      </c>
      <c r="AH1880" s="189">
        <f>IFERROR(__xludf.DUMMYFUNCTION("""COMPUTED_VALUE"""),43686.26587840277)</f>
        <v>43686.26588</v>
      </c>
    </row>
    <row r="1881">
      <c r="A1881" t="str">
        <f>IFERROR(__xludf.DUMMYFUNCTION("""COMPUTED_VALUE"""),"Tonby")</f>
        <v>Tonby</v>
      </c>
      <c r="B1881" t="str">
        <f>IFERROR(__xludf.DUMMYFUNCTION("""COMPUTED_VALUE"""),"Fullerton")</f>
        <v>Fullerton</v>
      </c>
      <c r="C1881" t="str">
        <f>IFERROR(__xludf.DUMMYFUNCTION("""COMPUTED_VALUE"""),"CA")</f>
        <v>CA</v>
      </c>
      <c r="D1881" t="str">
        <f>IFERROR(__xludf.DUMMYFUNCTION("""COMPUTED_VALUE"""),"USA")</f>
        <v>USA</v>
      </c>
      <c r="E1881" s="188">
        <f>IFERROR(__xludf.DUMMYFUNCTION("""COMPUTED_VALUE"""),43582.0)</f>
        <v>43582</v>
      </c>
      <c r="F1881" s="188">
        <f>IFERROR(__xludf.DUMMYFUNCTION("""COMPUTED_VALUE"""),43587.0)</f>
        <v>43587</v>
      </c>
      <c r="J1881" s="5">
        <f>IFERROR(__xludf.DUMMYFUNCTION("""COMPUTED_VALUE"""),43589.0)</f>
        <v>43589</v>
      </c>
      <c r="K1881">
        <f>IFERROR(__xludf.DUMMYFUNCTION("""COMPUTED_VALUE"""),5.0)</f>
        <v>5</v>
      </c>
      <c r="L1881">
        <f>IFERROR(__xludf.DUMMYFUNCTION("""COMPUTED_VALUE"""),2.0)</f>
        <v>2</v>
      </c>
      <c r="M1881">
        <f>IFERROR(__xludf.DUMMYFUNCTION("""COMPUTED_VALUE"""),7.0)</f>
        <v>7</v>
      </c>
      <c r="N1881" t="str">
        <f>IFERROR(__xludf.DUMMYFUNCTION("""COMPUTED_VALUE"""),"Model 3 Performance")</f>
        <v>Model 3 Performance</v>
      </c>
      <c r="O1881" t="str">
        <f>IFERROR(__xludf.DUMMYFUNCTION("""COMPUTED_VALUE"""),"Solid Black")</f>
        <v>Solid Black</v>
      </c>
      <c r="P1881" t="str">
        <f>IFERROR(__xludf.DUMMYFUNCTION("""COMPUTED_VALUE"""),"20 inch Sport")</f>
        <v>20 inch Sport</v>
      </c>
      <c r="Q1881" t="str">
        <f>IFERROR(__xludf.DUMMYFUNCTION("""COMPUTED_VALUE"""),"Black seats")</f>
        <v>Black seats</v>
      </c>
      <c r="R1881" t="str">
        <f>IFERROR(__xludf.DUMMYFUNCTION("""COMPUTED_VALUE"""),"Full Self-Driving")</f>
        <v>Full Self-Driving</v>
      </c>
      <c r="X1881" t="str">
        <f>IFERROR(__xludf.DUMMYFUNCTION("""COMPUTED_VALUE"""),"Good")</f>
        <v>Good</v>
      </c>
      <c r="Y1881" t="str">
        <f>IFERROR(__xludf.DUMMYFUNCTION("""COMPUTED_VALUE"""),"Good")</f>
        <v>Good</v>
      </c>
      <c r="Z1881" t="str">
        <f>IFERROR(__xludf.DUMMYFUNCTION("""COMPUTED_VALUE"""),"Good")</f>
        <v>Good</v>
      </c>
      <c r="AA1881" t="str">
        <f>IFERROR(__xludf.DUMMYFUNCTION("""COMPUTED_VALUE"""),"Fair")</f>
        <v>Fair</v>
      </c>
      <c r="AB1881" t="str">
        <f>IFERROR(__xludf.DUMMYFUNCTION("""COMPUTED_VALUE"""),"Excellent")</f>
        <v>Excellent</v>
      </c>
      <c r="AC1881">
        <f>IFERROR(__xludf.DUMMYFUNCTION("""COMPUTED_VALUE"""),4.0)</f>
        <v>4</v>
      </c>
      <c r="AD1881">
        <f>IFERROR(__xludf.DUMMYFUNCTION("""COMPUTED_VALUE"""),2.0)</f>
        <v>2</v>
      </c>
      <c r="AG1881" t="str">
        <f>IFERROR(__xludf.DUMMYFUNCTION("""COMPUTED_VALUE"""),"Cut in steering wheel, smudges on seats, few small scratches in paint, loose panels. All will be taken care of since I reported before 24 hours/ 100 miles of ownership. But the service is scheduled in a month as that is the earliest time available.")</f>
        <v>Cut in steering wheel, smudges on seats, few small scratches in paint, loose panels. All will be taken care of since I reported before 24 hours/ 100 miles of ownership. But the service is scheduled in a month as that is the earliest time available.</v>
      </c>
      <c r="AH1881" s="189">
        <f>IFERROR(__xludf.DUMMYFUNCTION("""COMPUTED_VALUE"""),43686.92017023148)</f>
        <v>43686.92017</v>
      </c>
    </row>
    <row r="1882">
      <c r="A1882" t="str">
        <f>IFERROR(__xludf.DUMMYFUNCTION("""COMPUTED_VALUE"""),"guidom")</f>
        <v>guidom</v>
      </c>
      <c r="B1882" t="str">
        <f>IFERROR(__xludf.DUMMYFUNCTION("""COMPUTED_VALUE"""),"Freiburg")</f>
        <v>Freiburg</v>
      </c>
      <c r="D1882" t="str">
        <f>IFERROR(__xludf.DUMMYFUNCTION("""COMPUTED_VALUE"""),"Germany")</f>
        <v>Germany</v>
      </c>
      <c r="E1882" s="188">
        <f>IFERROR(__xludf.DUMMYFUNCTION("""COMPUTED_VALUE"""),43455.0)</f>
        <v>43455</v>
      </c>
      <c r="F1882" s="188">
        <f>IFERROR(__xludf.DUMMYFUNCTION("""COMPUTED_VALUE"""),43521.0)</f>
        <v>43521</v>
      </c>
      <c r="H1882">
        <f>IFERROR(__xludf.DUMMYFUNCTION("""COMPUTED_VALUE"""),217417.0)</f>
        <v>217417</v>
      </c>
      <c r="J1882" s="5">
        <f>IFERROR(__xludf.DUMMYFUNCTION("""COMPUTED_VALUE"""),43524.0)</f>
        <v>43524</v>
      </c>
      <c r="K1882">
        <f>IFERROR(__xludf.DUMMYFUNCTION("""COMPUTED_VALUE"""),66.0)</f>
        <v>66</v>
      </c>
      <c r="L1882">
        <f>IFERROR(__xludf.DUMMYFUNCTION("""COMPUTED_VALUE"""),3.0)</f>
        <v>3</v>
      </c>
      <c r="M1882">
        <f>IFERROR(__xludf.DUMMYFUNCTION("""COMPUTED_VALUE"""),69.0)</f>
        <v>69</v>
      </c>
      <c r="N1882" t="str">
        <f>IFERROR(__xludf.DUMMYFUNCTION("""COMPUTED_VALUE"""),"Model 3 LR AWD")</f>
        <v>Model 3 LR AWD</v>
      </c>
      <c r="O1882" t="str">
        <f>IFERROR(__xludf.DUMMYFUNCTION("""COMPUTED_VALUE"""),"Solid Black")</f>
        <v>Solid Black</v>
      </c>
      <c r="P1882" t="str">
        <f>IFERROR(__xludf.DUMMYFUNCTION("""COMPUTED_VALUE"""),"18 inch Aero")</f>
        <v>18 inch Aero</v>
      </c>
      <c r="Q1882" t="str">
        <f>IFERROR(__xludf.DUMMYFUNCTION("""COMPUTED_VALUE"""),"Black seats")</f>
        <v>Black seats</v>
      </c>
      <c r="X1882" t="str">
        <f>IFERROR(__xludf.DUMMYFUNCTION("""COMPUTED_VALUE"""),"Excellent")</f>
        <v>Excellent</v>
      </c>
      <c r="Y1882" t="str">
        <f>IFERROR(__xludf.DUMMYFUNCTION("""COMPUTED_VALUE"""),"Excellent")</f>
        <v>Excellent</v>
      </c>
      <c r="Z1882" t="str">
        <f>IFERROR(__xludf.DUMMYFUNCTION("""COMPUTED_VALUE"""),"Excellent")</f>
        <v>Excellent</v>
      </c>
      <c r="AA1882" t="str">
        <f>IFERROR(__xludf.DUMMYFUNCTION("""COMPUTED_VALUE"""),"Poor")</f>
        <v>Poor</v>
      </c>
      <c r="AB1882" t="str">
        <f>IFERROR(__xludf.DUMMYFUNCTION("""COMPUTED_VALUE"""),"Fair")</f>
        <v>Fair</v>
      </c>
      <c r="AC1882">
        <f>IFERROR(__xludf.DUMMYFUNCTION("""COMPUTED_VALUE"""),1.0)</f>
        <v>1</v>
      </c>
      <c r="AD1882">
        <f>IFERROR(__xludf.DUMMYFUNCTION("""COMPUTED_VALUE"""),2.0)</f>
        <v>2</v>
      </c>
      <c r="AE1882">
        <f>IFERROR(__xludf.DUMMYFUNCTION("""COMPUTED_VALUE"""),0.0)</f>
        <v>0</v>
      </c>
      <c r="AG1882" t="str">
        <f>IFERROR(__xludf.DUMMYFUNCTION("""COMPUTED_VALUE"""),"was promised Autopilot upgrade after 1 March 2019 price drop, still not received. Some scratches in paint at delivery were buffed out by SC. SC staff are great but online and telephone staff in Germany are the worst I have ever seen.")</f>
        <v>was promised Autopilot upgrade after 1 March 2019 price drop, still not received. Some scratches in paint at delivery were buffed out by SC. SC staff are great but online and telephone staff in Germany are the worst I have ever seen.</v>
      </c>
      <c r="AH1882" s="189">
        <f>IFERROR(__xludf.DUMMYFUNCTION("""COMPUTED_VALUE"""),43687.605649907404)</f>
        <v>43687.60565</v>
      </c>
    </row>
    <row r="1883">
      <c r="A1883" t="str">
        <f>IFERROR(__xludf.DUMMYFUNCTION("""COMPUTED_VALUE"""),"andyc")</f>
        <v>andyc</v>
      </c>
      <c r="B1883" t="str">
        <f>IFERROR(__xludf.DUMMYFUNCTION("""COMPUTED_VALUE"""),"Roswell")</f>
        <v>Roswell</v>
      </c>
      <c r="C1883" t="str">
        <f>IFERROR(__xludf.DUMMYFUNCTION("""COMPUTED_VALUE"""),"GA")</f>
        <v>GA</v>
      </c>
      <c r="D1883" t="str">
        <f>IFERROR(__xludf.DUMMYFUNCTION("""COMPUTED_VALUE"""),"USA")</f>
        <v>USA</v>
      </c>
      <c r="E1883" s="188">
        <f>IFERROR(__xludf.DUMMYFUNCTION("""COMPUTED_VALUE"""),43674.0)</f>
        <v>43674</v>
      </c>
      <c r="F1883" s="188">
        <f>IFERROR(__xludf.DUMMYFUNCTION("""COMPUTED_VALUE"""),43686.0)</f>
        <v>43686</v>
      </c>
      <c r="H1883">
        <f>IFERROR(__xludf.DUMMYFUNCTION("""COMPUTED_VALUE"""),455017.0)</f>
        <v>455017</v>
      </c>
      <c r="I1883" t="str">
        <f>IFERROR(__xludf.DUMMYFUNCTION("""COMPUTED_VALUE"""),"08/19")</f>
        <v>08/19</v>
      </c>
      <c r="J1883" s="5">
        <f>IFERROR(__xludf.DUMMYFUNCTION("""COMPUTED_VALUE"""),43687.0)</f>
        <v>43687</v>
      </c>
      <c r="K1883">
        <f>IFERROR(__xludf.DUMMYFUNCTION("""COMPUTED_VALUE"""),12.0)</f>
        <v>12</v>
      </c>
      <c r="L1883">
        <f>IFERROR(__xludf.DUMMYFUNCTION("""COMPUTED_VALUE"""),1.0)</f>
        <v>1</v>
      </c>
      <c r="M1883">
        <f>IFERROR(__xludf.DUMMYFUNCTION("""COMPUTED_VALUE"""),13.0)</f>
        <v>13</v>
      </c>
      <c r="N1883" t="str">
        <f>IFERROR(__xludf.DUMMYFUNCTION("""COMPUTED_VALUE"""),"Model 3 Performance")</f>
        <v>Model 3 Performance</v>
      </c>
      <c r="O1883" t="str">
        <f>IFERROR(__xludf.DUMMYFUNCTION("""COMPUTED_VALUE"""),"Pearl White Multi-Coat")</f>
        <v>Pearl White Multi-Coat</v>
      </c>
      <c r="P1883" t="str">
        <f>IFERROR(__xludf.DUMMYFUNCTION("""COMPUTED_VALUE"""),"20 inch Sport")</f>
        <v>20 inch Sport</v>
      </c>
      <c r="Q1883" t="str">
        <f>IFERROR(__xludf.DUMMYFUNCTION("""COMPUTED_VALUE"""),"White seats")</f>
        <v>White seats</v>
      </c>
      <c r="R1883" t="str">
        <f>IFERROR(__xludf.DUMMYFUNCTION("""COMPUTED_VALUE"""),"Full Self-Driving")</f>
        <v>Full Self-Driving</v>
      </c>
      <c r="X1883" t="str">
        <f>IFERROR(__xludf.DUMMYFUNCTION("""COMPUTED_VALUE"""),"Good")</f>
        <v>Good</v>
      </c>
      <c r="Y1883" t="str">
        <f>IFERROR(__xludf.DUMMYFUNCTION("""COMPUTED_VALUE"""),"Excellent")</f>
        <v>Excellent</v>
      </c>
      <c r="Z1883" t="str">
        <f>IFERROR(__xludf.DUMMYFUNCTION("""COMPUTED_VALUE"""),"Very Good")</f>
        <v>Very Good</v>
      </c>
      <c r="AA1883" t="str">
        <f>IFERROR(__xludf.DUMMYFUNCTION("""COMPUTED_VALUE"""),"Excellent")</f>
        <v>Excellent</v>
      </c>
      <c r="AB1883" t="str">
        <f>IFERROR(__xludf.DUMMYFUNCTION("""COMPUTED_VALUE"""),"Very Good")</f>
        <v>Very Good</v>
      </c>
      <c r="AC1883">
        <f>IFERROR(__xludf.DUMMYFUNCTION("""COMPUTED_VALUE"""),1.0)</f>
        <v>1</v>
      </c>
      <c r="AH1883" s="189">
        <f>IFERROR(__xludf.DUMMYFUNCTION("""COMPUTED_VALUE"""),43688.219708599536)</f>
        <v>43688.21971</v>
      </c>
    </row>
    <row r="1884">
      <c r="A1884" t="str">
        <f>IFERROR(__xludf.DUMMYFUNCTION("""COMPUTED_VALUE"""),"WilliamQc")</f>
        <v>WilliamQc</v>
      </c>
      <c r="B1884" t="str">
        <f>IFERROR(__xludf.DUMMYFUNCTION("""COMPUTED_VALUE"""),"Quebec")</f>
        <v>Quebec</v>
      </c>
      <c r="C1884" t="str">
        <f>IFERROR(__xludf.DUMMYFUNCTION("""COMPUTED_VALUE"""),"QC")</f>
        <v>QC</v>
      </c>
      <c r="D1884" t="str">
        <f>IFERROR(__xludf.DUMMYFUNCTION("""COMPUTED_VALUE"""),"Canada")</f>
        <v>Canada</v>
      </c>
      <c r="E1884" s="188">
        <f>IFERROR(__xludf.DUMMYFUNCTION("""COMPUTED_VALUE"""),43651.0)</f>
        <v>43651</v>
      </c>
      <c r="F1884" s="188">
        <f>IFERROR(__xludf.DUMMYFUNCTION("""COMPUTED_VALUE"""),43673.0)</f>
        <v>43673</v>
      </c>
      <c r="H1884">
        <f>IFERROR(__xludf.DUMMYFUNCTION("""COMPUTED_VALUE"""),454855.0)</f>
        <v>454855</v>
      </c>
      <c r="J1884" s="5">
        <f>IFERROR(__xludf.DUMMYFUNCTION("""COMPUTED_VALUE"""),43686.0)</f>
        <v>43686</v>
      </c>
      <c r="K1884">
        <f>IFERROR(__xludf.DUMMYFUNCTION("""COMPUTED_VALUE"""),22.0)</f>
        <v>22</v>
      </c>
      <c r="L1884">
        <f>IFERROR(__xludf.DUMMYFUNCTION("""COMPUTED_VALUE"""),13.0)</f>
        <v>13</v>
      </c>
      <c r="M1884">
        <f>IFERROR(__xludf.DUMMYFUNCTION("""COMPUTED_VALUE"""),35.0)</f>
        <v>35</v>
      </c>
      <c r="N1884" t="str">
        <f>IFERROR(__xludf.DUMMYFUNCTION("""COMPUTED_VALUE"""),"Model 3 Performance")</f>
        <v>Model 3 Performance</v>
      </c>
      <c r="O1884" t="str">
        <f>IFERROR(__xludf.DUMMYFUNCTION("""COMPUTED_VALUE"""),"Pearl White Multi-Coat")</f>
        <v>Pearl White Multi-Coat</v>
      </c>
      <c r="P1884" t="str">
        <f>IFERROR(__xludf.DUMMYFUNCTION("""COMPUTED_VALUE"""),"20 inch Sport")</f>
        <v>20 inch Sport</v>
      </c>
      <c r="Q1884" t="str">
        <f>IFERROR(__xludf.DUMMYFUNCTION("""COMPUTED_VALUE"""),"Black seats")</f>
        <v>Black seats</v>
      </c>
      <c r="R1884" t="str">
        <f>IFERROR(__xludf.DUMMYFUNCTION("""COMPUTED_VALUE"""),"Full Self-Driving")</f>
        <v>Full Self-Driving</v>
      </c>
      <c r="X1884" t="str">
        <f>IFERROR(__xludf.DUMMYFUNCTION("""COMPUTED_VALUE"""),"Good")</f>
        <v>Good</v>
      </c>
      <c r="Y1884" t="str">
        <f>IFERROR(__xludf.DUMMYFUNCTION("""COMPUTED_VALUE"""),"Very Good")</f>
        <v>Very Good</v>
      </c>
      <c r="Z1884" t="str">
        <f>IFERROR(__xludf.DUMMYFUNCTION("""COMPUTED_VALUE"""),"Poor")</f>
        <v>Poor</v>
      </c>
      <c r="AA1884" t="str">
        <f>IFERROR(__xludf.DUMMYFUNCTION("""COMPUTED_VALUE"""),"Good")</f>
        <v>Good</v>
      </c>
      <c r="AB1884" t="str">
        <f>IFERROR(__xludf.DUMMYFUNCTION("""COMPUTED_VALUE"""),"Good")</f>
        <v>Good</v>
      </c>
      <c r="AC1884">
        <f>IFERROR(__xludf.DUMMYFUNCTION("""COMPUTED_VALUE"""),0.0)</f>
        <v>0</v>
      </c>
      <c r="AG1884" t="str">
        <f>IFERROR(__xludf.DUMMYFUNCTION("""COMPUTED_VALUE"""),"Refuse Delivery")</f>
        <v>Refuse Delivery</v>
      </c>
      <c r="AH1884" s="189">
        <f>IFERROR(__xludf.DUMMYFUNCTION("""COMPUTED_VALUE"""),43689.68791778936)</f>
        <v>43689.68792</v>
      </c>
    </row>
    <row r="1885">
      <c r="A1885" t="str">
        <f>IFERROR(__xludf.DUMMYFUNCTION("""COMPUTED_VALUE"""),"Bropain")</f>
        <v>Bropain</v>
      </c>
      <c r="B1885" t="str">
        <f>IFERROR(__xludf.DUMMYFUNCTION("""COMPUTED_VALUE"""),"Chapel Hill")</f>
        <v>Chapel Hill</v>
      </c>
      <c r="C1885" t="str">
        <f>IFERROR(__xludf.DUMMYFUNCTION("""COMPUTED_VALUE"""),"NC")</f>
        <v>NC</v>
      </c>
      <c r="D1885" t="str">
        <f>IFERROR(__xludf.DUMMYFUNCTION("""COMPUTED_VALUE"""),"USA")</f>
        <v>USA</v>
      </c>
      <c r="E1885" s="188">
        <f>IFERROR(__xludf.DUMMYFUNCTION("""COMPUTED_VALUE"""),43655.0)</f>
        <v>43655</v>
      </c>
      <c r="F1885" s="188">
        <f>IFERROR(__xludf.DUMMYFUNCTION("""COMPUTED_VALUE"""),43662.0)</f>
        <v>43662</v>
      </c>
      <c r="H1885">
        <f>IFERROR(__xludf.DUMMYFUNCTION("""COMPUTED_VALUE"""),432570.0)</f>
        <v>432570</v>
      </c>
      <c r="I1885" t="str">
        <f>IFERROR(__xludf.DUMMYFUNCTION("""COMPUTED_VALUE"""),"06/19")</f>
        <v>06/19</v>
      </c>
      <c r="J1885" s="5">
        <f>IFERROR(__xludf.DUMMYFUNCTION("""COMPUTED_VALUE"""),43683.0)</f>
        <v>43683</v>
      </c>
      <c r="K1885">
        <f>IFERROR(__xludf.DUMMYFUNCTION("""COMPUTED_VALUE"""),7.0)</f>
        <v>7</v>
      </c>
      <c r="L1885">
        <f>IFERROR(__xludf.DUMMYFUNCTION("""COMPUTED_VALUE"""),21.0)</f>
        <v>21</v>
      </c>
      <c r="M1885">
        <f>IFERROR(__xludf.DUMMYFUNCTION("""COMPUTED_VALUE"""),28.0)</f>
        <v>28</v>
      </c>
      <c r="N1885" t="str">
        <f>IFERROR(__xludf.DUMMYFUNCTION("""COMPUTED_VALUE"""),"Model 3 LR AWD")</f>
        <v>Model 3 LR AWD</v>
      </c>
      <c r="O1885" t="str">
        <f>IFERROR(__xludf.DUMMYFUNCTION("""COMPUTED_VALUE"""),"Midnight Silver Metallic")</f>
        <v>Midnight Silver Metallic</v>
      </c>
      <c r="P1885" t="str">
        <f>IFERROR(__xludf.DUMMYFUNCTION("""COMPUTED_VALUE"""),"18 inch Aero")</f>
        <v>18 inch Aero</v>
      </c>
      <c r="Q1885" t="str">
        <f>IFERROR(__xludf.DUMMYFUNCTION("""COMPUTED_VALUE"""),"Black seats")</f>
        <v>Black seats</v>
      </c>
      <c r="R1885" t="str">
        <f>IFERROR(__xludf.DUMMYFUNCTION("""COMPUTED_VALUE"""),"Full Self-Driving")</f>
        <v>Full Self-Driving</v>
      </c>
      <c r="X1885" t="str">
        <f>IFERROR(__xludf.DUMMYFUNCTION("""COMPUTED_VALUE"""),"Good")</f>
        <v>Good</v>
      </c>
      <c r="Y1885" t="str">
        <f>IFERROR(__xludf.DUMMYFUNCTION("""COMPUTED_VALUE"""),"Very Good")</f>
        <v>Very Good</v>
      </c>
      <c r="Z1885" t="str">
        <f>IFERROR(__xludf.DUMMYFUNCTION("""COMPUTED_VALUE"""),"Very Good")</f>
        <v>Very Good</v>
      </c>
      <c r="AA1885" t="str">
        <f>IFERROR(__xludf.DUMMYFUNCTION("""COMPUTED_VALUE"""),"Fair")</f>
        <v>Fair</v>
      </c>
      <c r="AB1885" t="str">
        <f>IFERROR(__xludf.DUMMYFUNCTION("""COMPUTED_VALUE"""),"Very Good")</f>
        <v>Very Good</v>
      </c>
      <c r="AG1885" t="str">
        <f>IFERROR(__xludf.DUMMYFUNCTION("""COMPUTED_VALUE"""),"VIN in Source Code on July 16, 2019. Delivery schedule July 17th.  VIN on Tesla Account July 23rd.  No word contact by Tesla so called on July 26th.  The car has not shipped and they moved the delivery date to Aug. 7th.  Arrived in Rahleigh on Aug. 3rd.  "&amp;"Delivery scheduled for Aug. 6.")</f>
        <v>VIN in Source Code on July 16, 2019. Delivery schedule July 17th.  VIN on Tesla Account July 23rd.  No word contact by Tesla so called on July 26th.  The car has not shipped and they moved the delivery date to Aug. 7th.  Arrived in Rahleigh on Aug. 3rd.  Delivery scheduled for Aug. 6.</v>
      </c>
      <c r="AH1885" s="189">
        <f>IFERROR(__xludf.DUMMYFUNCTION("""COMPUTED_VALUE"""),43690.31926363426)</f>
        <v>43690.31926</v>
      </c>
    </row>
    <row r="1886">
      <c r="A1886" t="str">
        <f>IFERROR(__xludf.DUMMYFUNCTION("""COMPUTED_VALUE"""),"Manhattaninoc ")</f>
        <v>Manhattaninoc </v>
      </c>
      <c r="B1886" t="str">
        <f>IFERROR(__xludf.DUMMYFUNCTION("""COMPUTED_VALUE"""),"Orange County")</f>
        <v>Orange County</v>
      </c>
      <c r="C1886" t="str">
        <f>IFERROR(__xludf.DUMMYFUNCTION("""COMPUTED_VALUE"""),"CA")</f>
        <v>CA</v>
      </c>
      <c r="D1886" t="str">
        <f>IFERROR(__xludf.DUMMYFUNCTION("""COMPUTED_VALUE"""),"USA")</f>
        <v>USA</v>
      </c>
      <c r="E1886" s="188">
        <f>IFERROR(__xludf.DUMMYFUNCTION("""COMPUTED_VALUE"""),43680.0)</f>
        <v>43680</v>
      </c>
      <c r="F1886" s="188">
        <f>IFERROR(__xludf.DUMMYFUNCTION("""COMPUTED_VALUE"""),43689.0)</f>
        <v>43689</v>
      </c>
      <c r="H1886">
        <f>IFERROR(__xludf.DUMMYFUNCTION("""COMPUTED_VALUE"""),494755.0)</f>
        <v>494755</v>
      </c>
      <c r="I1886" t="str">
        <f>IFERROR(__xludf.DUMMYFUNCTION("""COMPUTED_VALUE"""),"08/19")</f>
        <v>08/19</v>
      </c>
      <c r="J1886" s="5">
        <f>IFERROR(__xludf.DUMMYFUNCTION("""COMPUTED_VALUE"""),43690.0)</f>
        <v>43690</v>
      </c>
      <c r="K1886">
        <f>IFERROR(__xludf.DUMMYFUNCTION("""COMPUTED_VALUE"""),9.0)</f>
        <v>9</v>
      </c>
      <c r="L1886">
        <f>IFERROR(__xludf.DUMMYFUNCTION("""COMPUTED_VALUE"""),1.0)</f>
        <v>1</v>
      </c>
      <c r="M1886">
        <f>IFERROR(__xludf.DUMMYFUNCTION("""COMPUTED_VALUE"""),10.0)</f>
        <v>10</v>
      </c>
      <c r="N1886" t="str">
        <f>IFERROR(__xludf.DUMMYFUNCTION("""COMPUTED_VALUE"""),"Model 3 LR AWD")</f>
        <v>Model 3 LR AWD</v>
      </c>
      <c r="O1886" t="str">
        <f>IFERROR(__xludf.DUMMYFUNCTION("""COMPUTED_VALUE"""),"Pearl White Multi-Coat")</f>
        <v>Pearl White Multi-Coat</v>
      </c>
      <c r="P1886" t="str">
        <f>IFERROR(__xludf.DUMMYFUNCTION("""COMPUTED_VALUE"""),"19 inch Sport")</f>
        <v>19 inch Sport</v>
      </c>
      <c r="Q1886" t="str">
        <f>IFERROR(__xludf.DUMMYFUNCTION("""COMPUTED_VALUE"""),"White seats")</f>
        <v>White seats</v>
      </c>
      <c r="R1886" t="str">
        <f>IFERROR(__xludf.DUMMYFUNCTION("""COMPUTED_VALUE"""),"Autopilot")</f>
        <v>Autopilot</v>
      </c>
      <c r="X1886" t="str">
        <f>IFERROR(__xludf.DUMMYFUNCTION("""COMPUTED_VALUE"""),"Very Good")</f>
        <v>Very Good</v>
      </c>
      <c r="Y1886" t="str">
        <f>IFERROR(__xludf.DUMMYFUNCTION("""COMPUTED_VALUE"""),"Excellent")</f>
        <v>Excellent</v>
      </c>
      <c r="Z1886" t="str">
        <f>IFERROR(__xludf.DUMMYFUNCTION("""COMPUTED_VALUE"""),"Good")</f>
        <v>Good</v>
      </c>
      <c r="AA1886" t="str">
        <f>IFERROR(__xludf.DUMMYFUNCTION("""COMPUTED_VALUE"""),"Excellent")</f>
        <v>Excellent</v>
      </c>
      <c r="AB1886" t="str">
        <f>IFERROR(__xludf.DUMMYFUNCTION("""COMPUTED_VALUE"""),"Excellent")</f>
        <v>Excellent</v>
      </c>
      <c r="AC1886">
        <f>IFERROR(__xludf.DUMMYFUNCTION("""COMPUTED_VALUE"""),3.0)</f>
        <v>3</v>
      </c>
      <c r="AH1886" s="189">
        <f>IFERROR(__xludf.DUMMYFUNCTION("""COMPUTED_VALUE"""),43691.301030648145)</f>
        <v>43691.30103</v>
      </c>
    </row>
    <row r="1887">
      <c r="A1887" t="str">
        <f>IFERROR(__xludf.DUMMYFUNCTION("""COMPUTED_VALUE"""),"TrulyGoofy")</f>
        <v>TrulyGoofy</v>
      </c>
      <c r="B1887" t="str">
        <f>IFERROR(__xludf.DUMMYFUNCTION("""COMPUTED_VALUE"""),"Orange County")</f>
        <v>Orange County</v>
      </c>
      <c r="C1887" t="str">
        <f>IFERROR(__xludf.DUMMYFUNCTION("""COMPUTED_VALUE"""),"CA")</f>
        <v>CA</v>
      </c>
      <c r="D1887" t="str">
        <f>IFERROR(__xludf.DUMMYFUNCTION("""COMPUTED_VALUE"""),"USA")</f>
        <v>USA</v>
      </c>
      <c r="E1887" s="188">
        <f>IFERROR(__xludf.DUMMYFUNCTION("""COMPUTED_VALUE"""),43678.0)</f>
        <v>43678</v>
      </c>
      <c r="F1887" s="188">
        <f>IFERROR(__xludf.DUMMYFUNCTION("""COMPUTED_VALUE"""),43682.0)</f>
        <v>43682</v>
      </c>
      <c r="J1887" s="5">
        <f>IFERROR(__xludf.DUMMYFUNCTION("""COMPUTED_VALUE"""),43684.0)</f>
        <v>43684</v>
      </c>
      <c r="K1887">
        <f>IFERROR(__xludf.DUMMYFUNCTION("""COMPUTED_VALUE"""),4.0)</f>
        <v>4</v>
      </c>
      <c r="L1887">
        <f>IFERROR(__xludf.DUMMYFUNCTION("""COMPUTED_VALUE"""),2.0)</f>
        <v>2</v>
      </c>
      <c r="M1887">
        <f>IFERROR(__xludf.DUMMYFUNCTION("""COMPUTED_VALUE"""),6.0)</f>
        <v>6</v>
      </c>
      <c r="N1887" t="str">
        <f>IFERROR(__xludf.DUMMYFUNCTION("""COMPUTED_VALUE"""),"Model 3 SR+")</f>
        <v>Model 3 SR+</v>
      </c>
      <c r="O1887" t="str">
        <f>IFERROR(__xludf.DUMMYFUNCTION("""COMPUTED_VALUE"""),"Deep Blue Metallic")</f>
        <v>Deep Blue Metallic</v>
      </c>
      <c r="P1887" t="str">
        <f>IFERROR(__xludf.DUMMYFUNCTION("""COMPUTED_VALUE"""),"18 inch Aero")</f>
        <v>18 inch Aero</v>
      </c>
      <c r="Q1887" t="str">
        <f>IFERROR(__xludf.DUMMYFUNCTION("""COMPUTED_VALUE"""),"Black seats")</f>
        <v>Black seats</v>
      </c>
      <c r="X1887" t="str">
        <f>IFERROR(__xludf.DUMMYFUNCTION("""COMPUTED_VALUE"""),"Excellent")</f>
        <v>Excellent</v>
      </c>
      <c r="Y1887" t="str">
        <f>IFERROR(__xludf.DUMMYFUNCTION("""COMPUTED_VALUE"""),"Excellent")</f>
        <v>Excellent</v>
      </c>
      <c r="Z1887" t="str">
        <f>IFERROR(__xludf.DUMMYFUNCTION("""COMPUTED_VALUE"""),"Excellent")</f>
        <v>Excellent</v>
      </c>
      <c r="AA1887" t="str">
        <f>IFERROR(__xludf.DUMMYFUNCTION("""COMPUTED_VALUE"""),"Very Good")</f>
        <v>Very Good</v>
      </c>
      <c r="AB1887" t="str">
        <f>IFERROR(__xludf.DUMMYFUNCTION("""COMPUTED_VALUE"""),"Very Good")</f>
        <v>Very Good</v>
      </c>
      <c r="AC1887">
        <f>IFERROR(__xludf.DUMMYFUNCTION("""COMPUTED_VALUE"""),0.0)</f>
        <v>0</v>
      </c>
      <c r="AD1887">
        <f>IFERROR(__xludf.DUMMYFUNCTION("""COMPUTED_VALUE"""),0.0)</f>
        <v>0</v>
      </c>
      <c r="AE1887">
        <f>IFERROR(__xludf.DUMMYFUNCTION("""COMPUTED_VALUE"""),0.0)</f>
        <v>0</v>
      </c>
      <c r="AH1887" s="189">
        <f>IFERROR(__xludf.DUMMYFUNCTION("""COMPUTED_VALUE"""),43692.576603877314)</f>
        <v>43692.5766</v>
      </c>
    </row>
    <row r="1888">
      <c r="A1888" t="str">
        <f>IFERROR(__xludf.DUMMYFUNCTION("""COMPUTED_VALUE"""),"amped")</f>
        <v>amped</v>
      </c>
      <c r="C1888" t="str">
        <f>IFERROR(__xludf.DUMMYFUNCTION("""COMPUTED_VALUE"""),"AZ")</f>
        <v>AZ</v>
      </c>
      <c r="D1888" t="str">
        <f>IFERROR(__xludf.DUMMYFUNCTION("""COMPUTED_VALUE"""),"USA")</f>
        <v>USA</v>
      </c>
      <c r="E1888" s="188">
        <f>IFERROR(__xludf.DUMMYFUNCTION("""COMPUTED_VALUE"""),43672.0)</f>
        <v>43672</v>
      </c>
      <c r="F1888" s="188">
        <f>IFERROR(__xludf.DUMMYFUNCTION("""COMPUTED_VALUE"""),43673.0)</f>
        <v>43673</v>
      </c>
      <c r="H1888">
        <f>IFERROR(__xludf.DUMMYFUNCTION("""COMPUTED_VALUE"""),445155.0)</f>
        <v>445155</v>
      </c>
      <c r="I1888" t="str">
        <f>IFERROR(__xludf.DUMMYFUNCTION("""COMPUTED_VALUE"""),"07/19")</f>
        <v>07/19</v>
      </c>
      <c r="J1888" s="5">
        <f>IFERROR(__xludf.DUMMYFUNCTION("""COMPUTED_VALUE"""),43678.0)</f>
        <v>43678</v>
      </c>
      <c r="K1888">
        <f>IFERROR(__xludf.DUMMYFUNCTION("""COMPUTED_VALUE"""),1.0)</f>
        <v>1</v>
      </c>
      <c r="L1888">
        <f>IFERROR(__xludf.DUMMYFUNCTION("""COMPUTED_VALUE"""),5.0)</f>
        <v>5</v>
      </c>
      <c r="M1888">
        <f>IFERROR(__xludf.DUMMYFUNCTION("""COMPUTED_VALUE"""),6.0)</f>
        <v>6</v>
      </c>
      <c r="N1888" t="str">
        <f>IFERROR(__xludf.DUMMYFUNCTION("""COMPUTED_VALUE"""),"Model 3 SR+")</f>
        <v>Model 3 SR+</v>
      </c>
      <c r="O1888" t="str">
        <f>IFERROR(__xludf.DUMMYFUNCTION("""COMPUTED_VALUE"""),"Pearl White Multi-Coat")</f>
        <v>Pearl White Multi-Coat</v>
      </c>
      <c r="P1888" t="str">
        <f>IFERROR(__xludf.DUMMYFUNCTION("""COMPUTED_VALUE"""),"19 inch Sport")</f>
        <v>19 inch Sport</v>
      </c>
      <c r="Q1888" t="str">
        <f>IFERROR(__xludf.DUMMYFUNCTION("""COMPUTED_VALUE"""),"White seats")</f>
        <v>White seats</v>
      </c>
      <c r="R1888" t="str">
        <f>IFERROR(__xludf.DUMMYFUNCTION("""COMPUTED_VALUE"""),"Autopilot")</f>
        <v>Autopilot</v>
      </c>
      <c r="X1888" t="str">
        <f>IFERROR(__xludf.DUMMYFUNCTION("""COMPUTED_VALUE"""),"Good")</f>
        <v>Good</v>
      </c>
      <c r="Y1888" t="str">
        <f>IFERROR(__xludf.DUMMYFUNCTION("""COMPUTED_VALUE"""),"Very Good")</f>
        <v>Very Good</v>
      </c>
      <c r="Z1888" t="str">
        <f>IFERROR(__xludf.DUMMYFUNCTION("""COMPUTED_VALUE"""),"Excellent")</f>
        <v>Excellent</v>
      </c>
      <c r="AA1888" t="str">
        <f>IFERROR(__xludf.DUMMYFUNCTION("""COMPUTED_VALUE"""),"Good")</f>
        <v>Good</v>
      </c>
      <c r="AB1888" t="str">
        <f>IFERROR(__xludf.DUMMYFUNCTION("""COMPUTED_VALUE"""),"Very Good")</f>
        <v>Very Good</v>
      </c>
      <c r="AC1888">
        <f>IFERROR(__xludf.DUMMYFUNCTION("""COMPUTED_VALUE"""),1.0)</f>
        <v>1</v>
      </c>
      <c r="AD1888">
        <f>IFERROR(__xludf.DUMMYFUNCTION("""COMPUTED_VALUE"""),0.0)</f>
        <v>0</v>
      </c>
      <c r="AE1888">
        <f>IFERROR(__xludf.DUMMYFUNCTION("""COMPUTED_VALUE"""),0.0)</f>
        <v>0</v>
      </c>
      <c r="AH1888" s="189">
        <f>IFERROR(__xludf.DUMMYFUNCTION("""COMPUTED_VALUE"""),43692.93787995371)</f>
        <v>43692.93788</v>
      </c>
    </row>
    <row r="1889">
      <c r="A1889" t="str">
        <f>IFERROR(__xludf.DUMMYFUNCTION("""COMPUTED_VALUE"""),"smithre4")</f>
        <v>smithre4</v>
      </c>
      <c r="B1889" t="str">
        <f>IFERROR(__xludf.DUMMYFUNCTION("""COMPUTED_VALUE"""),"Bel Air")</f>
        <v>Bel Air</v>
      </c>
      <c r="C1889" t="str">
        <f>IFERROR(__xludf.DUMMYFUNCTION("""COMPUTED_VALUE"""),"MD")</f>
        <v>MD</v>
      </c>
      <c r="D1889" t="str">
        <f>IFERROR(__xludf.DUMMYFUNCTION("""COMPUTED_VALUE"""),"USA")</f>
        <v>USA</v>
      </c>
      <c r="E1889" s="188">
        <f>IFERROR(__xludf.DUMMYFUNCTION("""COMPUTED_VALUE"""),43670.0)</f>
        <v>43670</v>
      </c>
      <c r="F1889" s="188">
        <f>IFERROR(__xludf.DUMMYFUNCTION("""COMPUTED_VALUE"""),43680.0)</f>
        <v>43680</v>
      </c>
      <c r="H1889">
        <f>IFERROR(__xludf.DUMMYFUNCTION("""COMPUTED_VALUE"""),440388.0)</f>
        <v>440388</v>
      </c>
      <c r="J1889" s="5">
        <f>IFERROR(__xludf.DUMMYFUNCTION("""COMPUTED_VALUE"""),43687.0)</f>
        <v>43687</v>
      </c>
      <c r="K1889">
        <f>IFERROR(__xludf.DUMMYFUNCTION("""COMPUTED_VALUE"""),10.0)</f>
        <v>10</v>
      </c>
      <c r="L1889">
        <f>IFERROR(__xludf.DUMMYFUNCTION("""COMPUTED_VALUE"""),7.0)</f>
        <v>7</v>
      </c>
      <c r="M1889">
        <f>IFERROR(__xludf.DUMMYFUNCTION("""COMPUTED_VALUE"""),17.0)</f>
        <v>17</v>
      </c>
      <c r="N1889" t="str">
        <f>IFERROR(__xludf.DUMMYFUNCTION("""COMPUTED_VALUE"""),"Model 3 Performance")</f>
        <v>Model 3 Performance</v>
      </c>
      <c r="O1889" t="str">
        <f>IFERROR(__xludf.DUMMYFUNCTION("""COMPUTED_VALUE"""),"Red Multi-Coat")</f>
        <v>Red Multi-Coat</v>
      </c>
      <c r="P1889" t="str">
        <f>IFERROR(__xludf.DUMMYFUNCTION("""COMPUTED_VALUE"""),"20 inch Sport")</f>
        <v>20 inch Sport</v>
      </c>
      <c r="Q1889" t="str">
        <f>IFERROR(__xludf.DUMMYFUNCTION("""COMPUTED_VALUE"""),"White seats")</f>
        <v>White seats</v>
      </c>
      <c r="R1889" t="str">
        <f>IFERROR(__xludf.DUMMYFUNCTION("""COMPUTED_VALUE"""),"Autopilot")</f>
        <v>Autopilot</v>
      </c>
      <c r="X1889" t="str">
        <f>IFERROR(__xludf.DUMMYFUNCTION("""COMPUTED_VALUE"""),"Excellent")</f>
        <v>Excellent</v>
      </c>
      <c r="Y1889" t="str">
        <f>IFERROR(__xludf.DUMMYFUNCTION("""COMPUTED_VALUE"""),"Fair")</f>
        <v>Fair</v>
      </c>
      <c r="Z1889" t="str">
        <f>IFERROR(__xludf.DUMMYFUNCTION("""COMPUTED_VALUE"""),"Fair")</f>
        <v>Fair</v>
      </c>
      <c r="AA1889" t="str">
        <f>IFERROR(__xludf.DUMMYFUNCTION("""COMPUTED_VALUE"""),"Good")</f>
        <v>Good</v>
      </c>
      <c r="AB1889" t="str">
        <f>IFERROR(__xludf.DUMMYFUNCTION("""COMPUTED_VALUE"""),"Good")</f>
        <v>Good</v>
      </c>
      <c r="AC1889">
        <f>IFERROR(__xludf.DUMMYFUNCTION("""COMPUTED_VALUE"""),3.0)</f>
        <v>3</v>
      </c>
      <c r="AH1889" s="189">
        <f>IFERROR(__xludf.DUMMYFUNCTION("""COMPUTED_VALUE"""),43693.37249388889)</f>
        <v>43693.37249</v>
      </c>
    </row>
    <row r="1890">
      <c r="A1890" t="str">
        <f>IFERROR(__xludf.DUMMYFUNCTION("""COMPUTED_VALUE"""),"Gotham")</f>
        <v>Gotham</v>
      </c>
      <c r="B1890" t="str">
        <f>IFERROR(__xludf.DUMMYFUNCTION("""COMPUTED_VALUE"""),"San Jose")</f>
        <v>San Jose</v>
      </c>
      <c r="C1890" t="str">
        <f>IFERROR(__xludf.DUMMYFUNCTION("""COMPUTED_VALUE"""),"CA")</f>
        <v>CA</v>
      </c>
      <c r="D1890" t="str">
        <f>IFERROR(__xludf.DUMMYFUNCTION("""COMPUTED_VALUE"""),"USA")</f>
        <v>USA</v>
      </c>
      <c r="E1890" s="188">
        <f>IFERROR(__xludf.DUMMYFUNCTION("""COMPUTED_VALUE"""),43689.0)</f>
        <v>43689</v>
      </c>
      <c r="F1890" s="188">
        <f>IFERROR(__xludf.DUMMYFUNCTION("""COMPUTED_VALUE"""),43692.0)</f>
        <v>43692</v>
      </c>
      <c r="J1890" s="5">
        <f>IFERROR(__xludf.DUMMYFUNCTION("""COMPUTED_VALUE"""),43693.0)</f>
        <v>43693</v>
      </c>
      <c r="K1890">
        <f>IFERROR(__xludf.DUMMYFUNCTION("""COMPUTED_VALUE"""),3.0)</f>
        <v>3</v>
      </c>
      <c r="L1890">
        <f>IFERROR(__xludf.DUMMYFUNCTION("""COMPUTED_VALUE"""),1.0)</f>
        <v>1</v>
      </c>
      <c r="M1890">
        <f>IFERROR(__xludf.DUMMYFUNCTION("""COMPUTED_VALUE"""),4.0)</f>
        <v>4</v>
      </c>
      <c r="N1890" t="str">
        <f>IFERROR(__xludf.DUMMYFUNCTION("""COMPUTED_VALUE"""),"Model 3 LR AWD")</f>
        <v>Model 3 LR AWD</v>
      </c>
      <c r="O1890" t="str">
        <f>IFERROR(__xludf.DUMMYFUNCTION("""COMPUTED_VALUE"""),"Midnight Silver Metallic")</f>
        <v>Midnight Silver Metallic</v>
      </c>
      <c r="P1890" t="str">
        <f>IFERROR(__xludf.DUMMYFUNCTION("""COMPUTED_VALUE"""),"18 inch Aero")</f>
        <v>18 inch Aero</v>
      </c>
      <c r="Q1890" t="str">
        <f>IFERROR(__xludf.DUMMYFUNCTION("""COMPUTED_VALUE"""),"Black seats")</f>
        <v>Black seats</v>
      </c>
      <c r="R1890" t="str">
        <f>IFERROR(__xludf.DUMMYFUNCTION("""COMPUTED_VALUE"""),"Autopilot")</f>
        <v>Autopilot</v>
      </c>
      <c r="X1890" t="str">
        <f>IFERROR(__xludf.DUMMYFUNCTION("""COMPUTED_VALUE"""),"Excellent")</f>
        <v>Excellent</v>
      </c>
      <c r="Y1890" t="str">
        <f>IFERROR(__xludf.DUMMYFUNCTION("""COMPUTED_VALUE"""),"Excellent")</f>
        <v>Excellent</v>
      </c>
      <c r="Z1890" t="str">
        <f>IFERROR(__xludf.DUMMYFUNCTION("""COMPUTED_VALUE"""),"Excellent")</f>
        <v>Excellent</v>
      </c>
      <c r="AA1890" t="str">
        <f>IFERROR(__xludf.DUMMYFUNCTION("""COMPUTED_VALUE"""),"Excellent")</f>
        <v>Excellent</v>
      </c>
      <c r="AB1890" t="str">
        <f>IFERROR(__xludf.DUMMYFUNCTION("""COMPUTED_VALUE"""),"Excellent")</f>
        <v>Excellent</v>
      </c>
      <c r="AC1890">
        <f>IFERROR(__xludf.DUMMYFUNCTION("""COMPUTED_VALUE"""),0.0)</f>
        <v>0</v>
      </c>
      <c r="AD1890">
        <f>IFERROR(__xludf.DUMMYFUNCTION("""COMPUTED_VALUE"""),0.0)</f>
        <v>0</v>
      </c>
      <c r="AH1890" s="189">
        <f>IFERROR(__xludf.DUMMYFUNCTION("""COMPUTED_VALUE"""),43693.66324112269)</f>
        <v>43693.66324</v>
      </c>
    </row>
    <row r="1891">
      <c r="A1891" t="str">
        <f>IFERROR(__xludf.DUMMYFUNCTION("""COMPUTED_VALUE"""),"ValidAsian")</f>
        <v>ValidAsian</v>
      </c>
      <c r="B1891" t="str">
        <f>IFERROR(__xludf.DUMMYFUNCTION("""COMPUTED_VALUE"""),"Thousand Oaks")</f>
        <v>Thousand Oaks</v>
      </c>
      <c r="C1891" t="str">
        <f>IFERROR(__xludf.DUMMYFUNCTION("""COMPUTED_VALUE"""),"CA")</f>
        <v>CA</v>
      </c>
      <c r="D1891" t="str">
        <f>IFERROR(__xludf.DUMMYFUNCTION("""COMPUTED_VALUE"""),"USA")</f>
        <v>USA</v>
      </c>
      <c r="E1891" s="188">
        <f>IFERROR(__xludf.DUMMYFUNCTION("""COMPUTED_VALUE"""),43674.0)</f>
        <v>43674</v>
      </c>
      <c r="F1891" s="188">
        <f>IFERROR(__xludf.DUMMYFUNCTION("""COMPUTED_VALUE"""),43689.0)</f>
        <v>43689</v>
      </c>
      <c r="H1891">
        <f>IFERROR(__xludf.DUMMYFUNCTION("""COMPUTED_VALUE"""),469351.0)</f>
        <v>469351</v>
      </c>
      <c r="I1891" t="str">
        <f>IFERROR(__xludf.DUMMYFUNCTION("""COMPUTED_VALUE"""),"08/19")</f>
        <v>08/19</v>
      </c>
      <c r="J1891" s="5">
        <f>IFERROR(__xludf.DUMMYFUNCTION("""COMPUTED_VALUE"""),43691.0)</f>
        <v>43691</v>
      </c>
      <c r="K1891">
        <f>IFERROR(__xludf.DUMMYFUNCTION("""COMPUTED_VALUE"""),15.0)</f>
        <v>15</v>
      </c>
      <c r="L1891">
        <f>IFERROR(__xludf.DUMMYFUNCTION("""COMPUTED_VALUE"""),2.0)</f>
        <v>2</v>
      </c>
      <c r="M1891">
        <f>IFERROR(__xludf.DUMMYFUNCTION("""COMPUTED_VALUE"""),17.0)</f>
        <v>17</v>
      </c>
      <c r="N1891" t="str">
        <f>IFERROR(__xludf.DUMMYFUNCTION("""COMPUTED_VALUE"""),"Model 3 LR AWD")</f>
        <v>Model 3 LR AWD</v>
      </c>
      <c r="O1891" t="str">
        <f>IFERROR(__xludf.DUMMYFUNCTION("""COMPUTED_VALUE"""),"Pearl White Multi-Coat")</f>
        <v>Pearl White Multi-Coat</v>
      </c>
      <c r="P1891" t="str">
        <f>IFERROR(__xludf.DUMMYFUNCTION("""COMPUTED_VALUE"""),"19 inch Sport")</f>
        <v>19 inch Sport</v>
      </c>
      <c r="Q1891" t="str">
        <f>IFERROR(__xludf.DUMMYFUNCTION("""COMPUTED_VALUE"""),"Black seats")</f>
        <v>Black seats</v>
      </c>
      <c r="R1891" t="str">
        <f>IFERROR(__xludf.DUMMYFUNCTION("""COMPUTED_VALUE"""),"Autopilot")</f>
        <v>Autopilot</v>
      </c>
      <c r="X1891" t="str">
        <f>IFERROR(__xludf.DUMMYFUNCTION("""COMPUTED_VALUE"""),"Good")</f>
        <v>Good</v>
      </c>
      <c r="Y1891" t="str">
        <f>IFERROR(__xludf.DUMMYFUNCTION("""COMPUTED_VALUE"""),"Very Good")</f>
        <v>Very Good</v>
      </c>
      <c r="Z1891" t="str">
        <f>IFERROR(__xludf.DUMMYFUNCTION("""COMPUTED_VALUE"""),"Excellent")</f>
        <v>Excellent</v>
      </c>
      <c r="AA1891" t="str">
        <f>IFERROR(__xludf.DUMMYFUNCTION("""COMPUTED_VALUE"""),"Good")</f>
        <v>Good</v>
      </c>
      <c r="AB1891" t="str">
        <f>IFERROR(__xludf.DUMMYFUNCTION("""COMPUTED_VALUE"""),"Good")</f>
        <v>Good</v>
      </c>
      <c r="AH1891" s="189">
        <f>IFERROR(__xludf.DUMMYFUNCTION("""COMPUTED_VALUE"""),43694.83287008102)</f>
        <v>43694.83287</v>
      </c>
    </row>
    <row r="1892">
      <c r="A1892" t="str">
        <f>IFERROR(__xludf.DUMMYFUNCTION("""COMPUTED_VALUE"""),"EHarris")</f>
        <v>EHarris</v>
      </c>
      <c r="B1892" t="str">
        <f>IFERROR(__xludf.DUMMYFUNCTION("""COMPUTED_VALUE"""),"Fairfax County")</f>
        <v>Fairfax County</v>
      </c>
      <c r="C1892" t="str">
        <f>IFERROR(__xludf.DUMMYFUNCTION("""COMPUTED_VALUE"""),"VA")</f>
        <v>VA</v>
      </c>
      <c r="D1892" t="str">
        <f>IFERROR(__xludf.DUMMYFUNCTION("""COMPUTED_VALUE"""),"USA")</f>
        <v>USA</v>
      </c>
      <c r="E1892" s="188">
        <f>IFERROR(__xludf.DUMMYFUNCTION("""COMPUTED_VALUE"""),43279.0)</f>
        <v>43279</v>
      </c>
      <c r="F1892" s="188">
        <f>IFERROR(__xludf.DUMMYFUNCTION("""COMPUTED_VALUE"""),43281.0)</f>
        <v>43281</v>
      </c>
      <c r="H1892">
        <f>IFERROR(__xludf.DUMMYFUNCTION("""COMPUTED_VALUE"""),26355.0)</f>
        <v>26355</v>
      </c>
      <c r="J1892" s="5">
        <f>IFERROR(__xludf.DUMMYFUNCTION("""COMPUTED_VALUE"""),43296.0)</f>
        <v>43296</v>
      </c>
      <c r="K1892">
        <f>IFERROR(__xludf.DUMMYFUNCTION("""COMPUTED_VALUE"""),2.0)</f>
        <v>2</v>
      </c>
      <c r="L1892">
        <f>IFERROR(__xludf.DUMMYFUNCTION("""COMPUTED_VALUE"""),15.0)</f>
        <v>15</v>
      </c>
      <c r="M1892">
        <f>IFERROR(__xludf.DUMMYFUNCTION("""COMPUTED_VALUE"""),17.0)</f>
        <v>17</v>
      </c>
      <c r="N1892" t="str">
        <f>IFERROR(__xludf.DUMMYFUNCTION("""COMPUTED_VALUE"""),"Model 3 LR")</f>
        <v>Model 3 LR</v>
      </c>
      <c r="O1892" t="str">
        <f>IFERROR(__xludf.DUMMYFUNCTION("""COMPUTED_VALUE"""),"Deep Blue Metallic")</f>
        <v>Deep Blue Metallic</v>
      </c>
      <c r="P1892" t="str">
        <f>IFERROR(__xludf.DUMMYFUNCTION("""COMPUTED_VALUE"""),"18 inch Aero")</f>
        <v>18 inch Aero</v>
      </c>
      <c r="Q1892" t="str">
        <f>IFERROR(__xludf.DUMMYFUNCTION("""COMPUTED_VALUE"""),"Black seats")</f>
        <v>Black seats</v>
      </c>
      <c r="R1892" t="str">
        <f>IFERROR(__xludf.DUMMYFUNCTION("""COMPUTED_VALUE"""),"Full Self-Driving")</f>
        <v>Full Self-Driving</v>
      </c>
      <c r="X1892" t="str">
        <f>IFERROR(__xludf.DUMMYFUNCTION("""COMPUTED_VALUE"""),"Excellent")</f>
        <v>Excellent</v>
      </c>
      <c r="Y1892" t="str">
        <f>IFERROR(__xludf.DUMMYFUNCTION("""COMPUTED_VALUE"""),"Excellent")</f>
        <v>Excellent</v>
      </c>
      <c r="Z1892" t="str">
        <f>IFERROR(__xludf.DUMMYFUNCTION("""COMPUTED_VALUE"""),"Fair")</f>
        <v>Fair</v>
      </c>
      <c r="AA1892" t="str">
        <f>IFERROR(__xludf.DUMMYFUNCTION("""COMPUTED_VALUE"""),"Good")</f>
        <v>Good</v>
      </c>
      <c r="AB1892" t="str">
        <f>IFERROR(__xludf.DUMMYFUNCTION("""COMPUTED_VALUE"""),"Very Good")</f>
        <v>Very Good</v>
      </c>
      <c r="AC1892">
        <f>IFERROR(__xludf.DUMMYFUNCTION("""COMPUTED_VALUE"""),1.0)</f>
        <v>1</v>
      </c>
      <c r="AD1892">
        <f>IFERROR(__xludf.DUMMYFUNCTION("""COMPUTED_VALUE"""),1.0)</f>
        <v>1</v>
      </c>
      <c r="AE1892">
        <f>IFERROR(__xludf.DUMMYFUNCTION("""COMPUTED_VALUE"""),0.0)</f>
        <v>0</v>
      </c>
      <c r="AG1892" t="str">
        <f>IFERROR(__xludf.DUMMYFUNCTION("""COMPUTED_VALUE"""),"Warped, distorted windshield (3 weeks to order replacement). Various minor paint defects that I didn't bother going back to Tesla for.")</f>
        <v>Warped, distorted windshield (3 weeks to order replacement). Various minor paint defects that I didn't bother going back to Tesla for.</v>
      </c>
      <c r="AH1892" s="189">
        <f>IFERROR(__xludf.DUMMYFUNCTION("""COMPUTED_VALUE"""),43695.79504315973)</f>
        <v>43695.79504</v>
      </c>
    </row>
    <row r="1893">
      <c r="A1893" t="str">
        <f>IFERROR(__xludf.DUMMYFUNCTION("""COMPUTED_VALUE"""),"scenicroadways")</f>
        <v>scenicroadways</v>
      </c>
      <c r="B1893" t="str">
        <f>IFERROR(__xludf.DUMMYFUNCTION("""COMPUTED_VALUE"""),"Milwaukee")</f>
        <v>Milwaukee</v>
      </c>
      <c r="C1893" t="str">
        <f>IFERROR(__xludf.DUMMYFUNCTION("""COMPUTED_VALUE"""),"WI")</f>
        <v>WI</v>
      </c>
      <c r="D1893" t="str">
        <f>IFERROR(__xludf.DUMMYFUNCTION("""COMPUTED_VALUE"""),"USA")</f>
        <v>USA</v>
      </c>
      <c r="E1893" s="188">
        <f>IFERROR(__xludf.DUMMYFUNCTION("""COMPUTED_VALUE"""),43635.0)</f>
        <v>43635</v>
      </c>
      <c r="F1893" s="188">
        <f>IFERROR(__xludf.DUMMYFUNCTION("""COMPUTED_VALUE"""),44422.0)</f>
        <v>44422</v>
      </c>
      <c r="G1893" t="str">
        <f>IFERROR(__xludf.DUMMYFUNCTION("""COMPUTED_VALUE"""),"Manage order page (normal text)")</f>
        <v>Manage order page (normal text)</v>
      </c>
      <c r="J1893" s="188">
        <f>IFERROR(__xludf.DUMMYFUNCTION("""COMPUTED_VALUE"""),43694.0)</f>
        <v>43694</v>
      </c>
      <c r="M1893">
        <f>IFERROR(__xludf.DUMMYFUNCTION("""COMPUTED_VALUE"""),59.0)</f>
        <v>59</v>
      </c>
      <c r="N1893" t="str">
        <f>IFERROR(__xludf.DUMMYFUNCTION("""COMPUTED_VALUE"""),"Model 3 LR AWD")</f>
        <v>Model 3 LR AWD</v>
      </c>
      <c r="O1893" t="str">
        <f>IFERROR(__xludf.DUMMYFUNCTION("""COMPUTED_VALUE"""),"Solid Black")</f>
        <v>Solid Black</v>
      </c>
      <c r="P1893" t="str">
        <f>IFERROR(__xludf.DUMMYFUNCTION("""COMPUTED_VALUE"""),"18 inch")</f>
        <v>18 inch</v>
      </c>
      <c r="Q1893" t="str">
        <f>IFERROR(__xludf.DUMMYFUNCTION("""COMPUTED_VALUE"""),"Black and White")</f>
        <v>Black and White</v>
      </c>
      <c r="R1893" t="str">
        <f>IFERROR(__xludf.DUMMYFUNCTION("""COMPUTED_VALUE"""),"Autopilot included")</f>
        <v>Autopilot included</v>
      </c>
      <c r="S1893" t="str">
        <f>IFERROR(__xludf.DUMMYFUNCTION("""COMPUTED_VALUE"""),"Loan")</f>
        <v>Loan</v>
      </c>
      <c r="T1893" t="str">
        <f>IFERROR(__xludf.DUMMYFUNCTION("""COMPUTED_VALUE"""),"Tesla Model 3")</f>
        <v>Tesla Model 3</v>
      </c>
      <c r="U1893" t="str">
        <f>IFERROR(__xludf.DUMMYFUNCTION("""COMPUTED_VALUE"""),"power")</f>
        <v>power</v>
      </c>
      <c r="AH1893" s="189">
        <f>IFERROR(__xludf.DUMMYFUNCTION("""COMPUTED_VALUE"""),44422.60642678241)</f>
        <v>44422.60643</v>
      </c>
    </row>
    <row r="1894">
      <c r="A1894" t="str">
        <f>IFERROR(__xludf.DUMMYFUNCTION("""COMPUTED_VALUE"""),"cmiamh")</f>
        <v>cmiamh</v>
      </c>
      <c r="B1894" t="str">
        <f>IFERROR(__xludf.DUMMYFUNCTION("""COMPUTED_VALUE"""),"Atlanta")</f>
        <v>Atlanta</v>
      </c>
      <c r="C1894" t="str">
        <f>IFERROR(__xludf.DUMMYFUNCTION("""COMPUTED_VALUE"""),"GA")</f>
        <v>GA</v>
      </c>
      <c r="D1894" t="str">
        <f>IFERROR(__xludf.DUMMYFUNCTION("""COMPUTED_VALUE"""),"USA")</f>
        <v>USA</v>
      </c>
      <c r="E1894" s="188">
        <f>IFERROR(__xludf.DUMMYFUNCTION("""COMPUTED_VALUE"""),43673.0)</f>
        <v>43673</v>
      </c>
      <c r="F1894" s="188">
        <f>IFERROR(__xludf.DUMMYFUNCTION("""COMPUTED_VALUE"""),43684.0)</f>
        <v>43684</v>
      </c>
      <c r="H1894">
        <f>IFERROR(__xludf.DUMMYFUNCTION("""COMPUTED_VALUE"""),447537.0)</f>
        <v>447537</v>
      </c>
      <c r="I1894" t="str">
        <f>IFERROR(__xludf.DUMMYFUNCTION("""COMPUTED_VALUE"""),"08/19")</f>
        <v>08/19</v>
      </c>
      <c r="J1894" s="5">
        <f>IFERROR(__xludf.DUMMYFUNCTION("""COMPUTED_VALUE"""),43691.0)</f>
        <v>43691</v>
      </c>
      <c r="K1894">
        <f>IFERROR(__xludf.DUMMYFUNCTION("""COMPUTED_VALUE"""),11.0)</f>
        <v>11</v>
      </c>
      <c r="L1894">
        <f>IFERROR(__xludf.DUMMYFUNCTION("""COMPUTED_VALUE"""),7.0)</f>
        <v>7</v>
      </c>
      <c r="M1894">
        <f>IFERROR(__xludf.DUMMYFUNCTION("""COMPUTED_VALUE"""),18.0)</f>
        <v>18</v>
      </c>
      <c r="N1894" t="str">
        <f>IFERROR(__xludf.DUMMYFUNCTION("""COMPUTED_VALUE"""),"Model 3 SR+")</f>
        <v>Model 3 SR+</v>
      </c>
      <c r="O1894" t="str">
        <f>IFERROR(__xludf.DUMMYFUNCTION("""COMPUTED_VALUE"""),"Pearl White Multi-Coat")</f>
        <v>Pearl White Multi-Coat</v>
      </c>
      <c r="P1894" t="str">
        <f>IFERROR(__xludf.DUMMYFUNCTION("""COMPUTED_VALUE"""),"18 inch Aero")</f>
        <v>18 inch Aero</v>
      </c>
      <c r="Q1894" t="str">
        <f>IFERROR(__xludf.DUMMYFUNCTION("""COMPUTED_VALUE"""),"Black seats")</f>
        <v>Black seats</v>
      </c>
      <c r="R1894" t="str">
        <f>IFERROR(__xludf.DUMMYFUNCTION("""COMPUTED_VALUE"""),"Autopilot")</f>
        <v>Autopilot</v>
      </c>
      <c r="X1894" t="str">
        <f>IFERROR(__xludf.DUMMYFUNCTION("""COMPUTED_VALUE"""),"Excellent")</f>
        <v>Excellent</v>
      </c>
      <c r="Y1894" t="str">
        <f>IFERROR(__xludf.DUMMYFUNCTION("""COMPUTED_VALUE"""),"Excellent")</f>
        <v>Excellent</v>
      </c>
      <c r="Z1894" t="str">
        <f>IFERROR(__xludf.DUMMYFUNCTION("""COMPUTED_VALUE"""),"Very Good")</f>
        <v>Very Good</v>
      </c>
      <c r="AA1894" t="str">
        <f>IFERROR(__xludf.DUMMYFUNCTION("""COMPUTED_VALUE"""),"Excellent")</f>
        <v>Excellent</v>
      </c>
      <c r="AB1894" t="str">
        <f>IFERROR(__xludf.DUMMYFUNCTION("""COMPUTED_VALUE"""),"Very Good")</f>
        <v>Very Good</v>
      </c>
      <c r="AC1894">
        <f>IFERROR(__xludf.DUMMYFUNCTION("""COMPUTED_VALUE"""),0.0)</f>
        <v>0</v>
      </c>
      <c r="AD1894">
        <f>IFERROR(__xludf.DUMMYFUNCTION("""COMPUTED_VALUE"""),0.0)</f>
        <v>0</v>
      </c>
      <c r="AE1894">
        <f>IFERROR(__xludf.DUMMYFUNCTION("""COMPUTED_VALUE"""),0.0)</f>
        <v>0</v>
      </c>
      <c r="AH1894" s="189">
        <f>IFERROR(__xludf.DUMMYFUNCTION("""COMPUTED_VALUE"""),43697.762356990745)</f>
        <v>43697.76236</v>
      </c>
    </row>
    <row r="1895">
      <c r="A1895" t="str">
        <f>IFERROR(__xludf.DUMMYFUNCTION("""COMPUTED_VALUE"""),"SicEm2014")</f>
        <v>SicEm2014</v>
      </c>
      <c r="B1895" t="str">
        <f>IFERROR(__xludf.DUMMYFUNCTION("""COMPUTED_VALUE"""),"Houston")</f>
        <v>Houston</v>
      </c>
      <c r="C1895" t="str">
        <f>IFERROR(__xludf.DUMMYFUNCTION("""COMPUTED_VALUE"""),"TX")</f>
        <v>TX</v>
      </c>
      <c r="D1895" t="str">
        <f>IFERROR(__xludf.DUMMYFUNCTION("""COMPUTED_VALUE"""),"USA")</f>
        <v>USA</v>
      </c>
      <c r="E1895" s="188">
        <f>IFERROR(__xludf.DUMMYFUNCTION("""COMPUTED_VALUE"""),43651.0)</f>
        <v>43651</v>
      </c>
      <c r="F1895" s="188">
        <f>IFERROR(__xludf.DUMMYFUNCTION("""COMPUTED_VALUE"""),43670.0)</f>
        <v>43670</v>
      </c>
      <c r="H1895">
        <f>IFERROR(__xludf.DUMMYFUNCTION("""COMPUTED_VALUE"""),437255.0)</f>
        <v>437255</v>
      </c>
      <c r="I1895" t="str">
        <f>IFERROR(__xludf.DUMMYFUNCTION("""COMPUTED_VALUE"""),"07/19")</f>
        <v>07/19</v>
      </c>
      <c r="J1895" s="5">
        <f>IFERROR(__xludf.DUMMYFUNCTION("""COMPUTED_VALUE"""),43697.0)</f>
        <v>43697</v>
      </c>
      <c r="K1895">
        <f>IFERROR(__xludf.DUMMYFUNCTION("""COMPUTED_VALUE"""),19.0)</f>
        <v>19</v>
      </c>
      <c r="L1895">
        <f>IFERROR(__xludf.DUMMYFUNCTION("""COMPUTED_VALUE"""),27.0)</f>
        <v>27</v>
      </c>
      <c r="M1895">
        <f>IFERROR(__xludf.DUMMYFUNCTION("""COMPUTED_VALUE"""),46.0)</f>
        <v>46</v>
      </c>
      <c r="N1895" t="str">
        <f>IFERROR(__xludf.DUMMYFUNCTION("""COMPUTED_VALUE"""),"Model 3 LR AWD")</f>
        <v>Model 3 LR AWD</v>
      </c>
      <c r="O1895" t="str">
        <f>IFERROR(__xludf.DUMMYFUNCTION("""COMPUTED_VALUE"""),"Pearl White Multi-Coat")</f>
        <v>Pearl White Multi-Coat</v>
      </c>
      <c r="P1895" t="str">
        <f>IFERROR(__xludf.DUMMYFUNCTION("""COMPUTED_VALUE"""),"18 inch Aero")</f>
        <v>18 inch Aero</v>
      </c>
      <c r="Q1895" t="str">
        <f>IFERROR(__xludf.DUMMYFUNCTION("""COMPUTED_VALUE"""),"White seats")</f>
        <v>White seats</v>
      </c>
      <c r="R1895" t="str">
        <f>IFERROR(__xludf.DUMMYFUNCTION("""COMPUTED_VALUE"""),"Full Self-Driving")</f>
        <v>Full Self-Driving</v>
      </c>
      <c r="X1895" t="str">
        <f>IFERROR(__xludf.DUMMYFUNCTION("""COMPUTED_VALUE"""),"Excellent")</f>
        <v>Excellent</v>
      </c>
      <c r="Y1895" t="str">
        <f>IFERROR(__xludf.DUMMYFUNCTION("""COMPUTED_VALUE"""),"Excellent")</f>
        <v>Excellent</v>
      </c>
      <c r="Z1895" t="str">
        <f>IFERROR(__xludf.DUMMYFUNCTION("""COMPUTED_VALUE"""),"Excellent")</f>
        <v>Excellent</v>
      </c>
      <c r="AA1895" t="str">
        <f>IFERROR(__xludf.DUMMYFUNCTION("""COMPUTED_VALUE"""),"Fair")</f>
        <v>Fair</v>
      </c>
      <c r="AB1895" t="str">
        <f>IFERROR(__xludf.DUMMYFUNCTION("""COMPUTED_VALUE"""),"Very Good")</f>
        <v>Very Good</v>
      </c>
      <c r="AG1895" t="str">
        <f>IFERROR(__xludf.DUMMYFUNCTION("""COMPUTED_VALUE"""),"Delivery date pushed for 2 weeks due to Telsa making errors in paperwork, twice. Received VIN by contacting Delivery Advisor and requesting update for financing purposes.")</f>
        <v>Delivery date pushed for 2 weeks due to Telsa making errors in paperwork, twice. Received VIN by contacting Delivery Advisor and requesting update for financing purposes.</v>
      </c>
      <c r="AH1895" s="189">
        <f>IFERROR(__xludf.DUMMYFUNCTION("""COMPUTED_VALUE"""),43698.29496436343)</f>
        <v>43698.29496</v>
      </c>
    </row>
    <row r="1896">
      <c r="A1896" t="str">
        <f>IFERROR(__xludf.DUMMYFUNCTION("""COMPUTED_VALUE"""),"टेस्ला")</f>
        <v>टेस्ला</v>
      </c>
      <c r="B1896" t="str">
        <f>IFERROR(__xludf.DUMMYFUNCTION("""COMPUTED_VALUE"""),"Ottawa")</f>
        <v>Ottawa</v>
      </c>
      <c r="C1896" t="str">
        <f>IFERROR(__xludf.DUMMYFUNCTION("""COMPUTED_VALUE"""),"ON")</f>
        <v>ON</v>
      </c>
      <c r="D1896" t="str">
        <f>IFERROR(__xludf.DUMMYFUNCTION("""COMPUTED_VALUE"""),"Canada")</f>
        <v>Canada</v>
      </c>
      <c r="E1896" s="188">
        <f>IFERROR(__xludf.DUMMYFUNCTION("""COMPUTED_VALUE"""),43651.0)</f>
        <v>43651</v>
      </c>
      <c r="F1896" s="188">
        <f>IFERROR(__xludf.DUMMYFUNCTION("""COMPUTED_VALUE"""),43660.0)</f>
        <v>43660</v>
      </c>
      <c r="H1896">
        <f>IFERROR(__xludf.DUMMYFUNCTION("""COMPUTED_VALUE"""),399855.0)</f>
        <v>399855</v>
      </c>
      <c r="J1896" s="5">
        <f>IFERROR(__xludf.DUMMYFUNCTION("""COMPUTED_VALUE"""),43684.0)</f>
        <v>43684</v>
      </c>
      <c r="K1896">
        <f>IFERROR(__xludf.DUMMYFUNCTION("""COMPUTED_VALUE"""),9.0)</f>
        <v>9</v>
      </c>
      <c r="L1896">
        <f>IFERROR(__xludf.DUMMYFUNCTION("""COMPUTED_VALUE"""),24.0)</f>
        <v>24</v>
      </c>
      <c r="M1896">
        <f>IFERROR(__xludf.DUMMYFUNCTION("""COMPUTED_VALUE"""),33.0)</f>
        <v>33</v>
      </c>
      <c r="N1896" t="str">
        <f>IFERROR(__xludf.DUMMYFUNCTION("""COMPUTED_VALUE"""),"Model 3 SR+")</f>
        <v>Model 3 SR+</v>
      </c>
      <c r="O1896" t="str">
        <f>IFERROR(__xludf.DUMMYFUNCTION("""COMPUTED_VALUE"""),"Solid Black")</f>
        <v>Solid Black</v>
      </c>
      <c r="P1896" t="str">
        <f>IFERROR(__xludf.DUMMYFUNCTION("""COMPUTED_VALUE"""),"18 inch Aero")</f>
        <v>18 inch Aero</v>
      </c>
      <c r="Q1896" t="str">
        <f>IFERROR(__xludf.DUMMYFUNCTION("""COMPUTED_VALUE"""),"Black seats")</f>
        <v>Black seats</v>
      </c>
      <c r="R1896" t="str">
        <f>IFERROR(__xludf.DUMMYFUNCTION("""COMPUTED_VALUE"""),"Autopilot")</f>
        <v>Autopilot</v>
      </c>
      <c r="X1896" t="str">
        <f>IFERROR(__xludf.DUMMYFUNCTION("""COMPUTED_VALUE"""),"Excellent")</f>
        <v>Excellent</v>
      </c>
      <c r="Y1896" t="str">
        <f>IFERROR(__xludf.DUMMYFUNCTION("""COMPUTED_VALUE"""),"Excellent")</f>
        <v>Excellent</v>
      </c>
      <c r="Z1896" t="str">
        <f>IFERROR(__xludf.DUMMYFUNCTION("""COMPUTED_VALUE"""),"Excellent")</f>
        <v>Excellent</v>
      </c>
      <c r="AA1896" t="str">
        <f>IFERROR(__xludf.DUMMYFUNCTION("""COMPUTED_VALUE"""),"Poor")</f>
        <v>Poor</v>
      </c>
      <c r="AB1896" t="str">
        <f>IFERROR(__xludf.DUMMYFUNCTION("""COMPUTED_VALUE"""),"Poor")</f>
        <v>Poor</v>
      </c>
      <c r="AC1896">
        <f>IFERROR(__xludf.DUMMYFUNCTION("""COMPUTED_VALUE"""),2.0)</f>
        <v>2</v>
      </c>
      <c r="AH1896" s="189">
        <f>IFERROR(__xludf.DUMMYFUNCTION("""COMPUTED_VALUE"""),43700.24544225694)</f>
        <v>43700.24544</v>
      </c>
    </row>
    <row r="1897">
      <c r="A1897" t="str">
        <f>IFERROR(__xludf.DUMMYFUNCTION("""COMPUTED_VALUE"""),"stylophile")</f>
        <v>stylophile</v>
      </c>
      <c r="B1897" t="str">
        <f>IFERROR(__xludf.DUMMYFUNCTION("""COMPUTED_VALUE"""),"Orange County")</f>
        <v>Orange County</v>
      </c>
      <c r="C1897" t="str">
        <f>IFERROR(__xludf.DUMMYFUNCTION("""COMPUTED_VALUE"""),"CA")</f>
        <v>CA</v>
      </c>
      <c r="D1897" t="str">
        <f>IFERROR(__xludf.DUMMYFUNCTION("""COMPUTED_VALUE"""),"USA")</f>
        <v>USA</v>
      </c>
      <c r="E1897" s="188">
        <f>IFERROR(__xludf.DUMMYFUNCTION("""COMPUTED_VALUE"""),43688.0)</f>
        <v>43688</v>
      </c>
      <c r="F1897" s="188">
        <f>IFERROR(__xludf.DUMMYFUNCTION("""COMPUTED_VALUE"""),43697.0)</f>
        <v>43697</v>
      </c>
      <c r="H1897">
        <f>IFERROR(__xludf.DUMMYFUNCTION("""COMPUTED_VALUE"""),406855.0)</f>
        <v>406855</v>
      </c>
      <c r="J1897" s="5">
        <f>IFERROR(__xludf.DUMMYFUNCTION("""COMPUTED_VALUE"""),43699.0)</f>
        <v>43699</v>
      </c>
      <c r="K1897">
        <f>IFERROR(__xludf.DUMMYFUNCTION("""COMPUTED_VALUE"""),9.0)</f>
        <v>9</v>
      </c>
      <c r="L1897">
        <f>IFERROR(__xludf.DUMMYFUNCTION("""COMPUTED_VALUE"""),2.0)</f>
        <v>2</v>
      </c>
      <c r="M1897">
        <f>IFERROR(__xludf.DUMMYFUNCTION("""COMPUTED_VALUE"""),11.0)</f>
        <v>11</v>
      </c>
      <c r="N1897" t="str">
        <f>IFERROR(__xludf.DUMMYFUNCTION("""COMPUTED_VALUE"""),"Model 3 Performance")</f>
        <v>Model 3 Performance</v>
      </c>
      <c r="O1897" t="str">
        <f>IFERROR(__xludf.DUMMYFUNCTION("""COMPUTED_VALUE"""),"Midnight Silver Metallic")</f>
        <v>Midnight Silver Metallic</v>
      </c>
      <c r="P1897" t="str">
        <f>IFERROR(__xludf.DUMMYFUNCTION("""COMPUTED_VALUE"""),"19 inch Sport")</f>
        <v>19 inch Sport</v>
      </c>
      <c r="Q1897" t="str">
        <f>IFERROR(__xludf.DUMMYFUNCTION("""COMPUTED_VALUE"""),"White seats")</f>
        <v>White seats</v>
      </c>
      <c r="R1897" t="str">
        <f>IFERROR(__xludf.DUMMYFUNCTION("""COMPUTED_VALUE"""),"Autopilot")</f>
        <v>Autopilot</v>
      </c>
      <c r="X1897" t="str">
        <f>IFERROR(__xludf.DUMMYFUNCTION("""COMPUTED_VALUE"""),"Very Good")</f>
        <v>Very Good</v>
      </c>
      <c r="Y1897" t="str">
        <f>IFERROR(__xludf.DUMMYFUNCTION("""COMPUTED_VALUE"""),"Very Good")</f>
        <v>Very Good</v>
      </c>
      <c r="Z1897" t="str">
        <f>IFERROR(__xludf.DUMMYFUNCTION("""COMPUTED_VALUE"""),"Very Good")</f>
        <v>Very Good</v>
      </c>
      <c r="AA1897" t="str">
        <f>IFERROR(__xludf.DUMMYFUNCTION("""COMPUTED_VALUE"""),"Poor")</f>
        <v>Poor</v>
      </c>
      <c r="AB1897" t="str">
        <f>IFERROR(__xludf.DUMMYFUNCTION("""COMPUTED_VALUE"""),"Good")</f>
        <v>Good</v>
      </c>
      <c r="AC1897">
        <f>IFERROR(__xludf.DUMMYFUNCTION("""COMPUTED_VALUE"""),3.0)</f>
        <v>3</v>
      </c>
      <c r="AH1897" s="189">
        <f>IFERROR(__xludf.DUMMYFUNCTION("""COMPUTED_VALUE"""),43700.356067615736)</f>
        <v>43700.35607</v>
      </c>
    </row>
    <row r="1898">
      <c r="A1898" t="str">
        <f>IFERROR(__xludf.DUMMYFUNCTION("""COMPUTED_VALUE"""),"thederrrek")</f>
        <v>thederrrek</v>
      </c>
      <c r="B1898" t="str">
        <f>IFERROR(__xludf.DUMMYFUNCTION("""COMPUTED_VALUE"""),"Northwest")</f>
        <v>Northwest</v>
      </c>
      <c r="C1898" t="str">
        <f>IFERROR(__xludf.DUMMYFUNCTION("""COMPUTED_VALUE"""),"FL")</f>
        <v>FL</v>
      </c>
      <c r="D1898" t="str">
        <f>IFERROR(__xludf.DUMMYFUNCTION("""COMPUTED_VALUE"""),"USA")</f>
        <v>USA</v>
      </c>
      <c r="E1898" s="188">
        <f>IFERROR(__xludf.DUMMYFUNCTION("""COMPUTED_VALUE"""),44448.0)</f>
        <v>44448</v>
      </c>
      <c r="F1898" s="188">
        <f>IFERROR(__xludf.DUMMYFUNCTION("""COMPUTED_VALUE"""),44505.0)</f>
        <v>44505</v>
      </c>
      <c r="G1898" t="str">
        <f>IFERROR(__xludf.DUMMYFUNCTION("""COMPUTED_VALUE"""),"Manage order page (normal text)")</f>
        <v>Manage order page (normal text)</v>
      </c>
      <c r="I1898" t="str">
        <f>IFERROR(__xludf.DUMMYFUNCTION("""COMPUTED_VALUE"""),"10/21")</f>
        <v>10/21</v>
      </c>
      <c r="K1898">
        <f>IFERROR(__xludf.DUMMYFUNCTION("""COMPUTED_VALUE"""),57.0)</f>
        <v>57</v>
      </c>
      <c r="N1898" t="str">
        <f>IFERROR(__xludf.DUMMYFUNCTION("""COMPUTED_VALUE"""),"Model 3 LR AWD")</f>
        <v>Model 3 LR AWD</v>
      </c>
      <c r="O1898" t="str">
        <f>IFERROR(__xludf.DUMMYFUNCTION("""COMPUTED_VALUE"""),"Midnight Silver Metallic")</f>
        <v>Midnight Silver Metallic</v>
      </c>
      <c r="P1898" t="str">
        <f>IFERROR(__xludf.DUMMYFUNCTION("""COMPUTED_VALUE"""),"18 inch")</f>
        <v>18 inch</v>
      </c>
      <c r="Q1898" t="str">
        <f>IFERROR(__xludf.DUMMYFUNCTION("""COMPUTED_VALUE"""),"All Black")</f>
        <v>All Black</v>
      </c>
      <c r="R1898" t="str">
        <f>IFERROR(__xludf.DUMMYFUNCTION("""COMPUTED_VALUE"""),"Autopilot included")</f>
        <v>Autopilot included</v>
      </c>
      <c r="X1898" t="str">
        <f>IFERROR(__xludf.DUMMYFUNCTION("""COMPUTED_VALUE"""),"Excellent")</f>
        <v>Excellent</v>
      </c>
      <c r="Y1898" t="str">
        <f>IFERROR(__xludf.DUMMYFUNCTION("""COMPUTED_VALUE"""),"Excellent")</f>
        <v>Excellent</v>
      </c>
      <c r="Z1898" t="str">
        <f>IFERROR(__xludf.DUMMYFUNCTION("""COMPUTED_VALUE"""),"Excellent")</f>
        <v>Excellent</v>
      </c>
      <c r="AA1898" t="str">
        <f>IFERROR(__xludf.DUMMYFUNCTION("""COMPUTED_VALUE"""),"Very Good")</f>
        <v>Very Good</v>
      </c>
      <c r="AB1898" t="str">
        <f>IFERROR(__xludf.DUMMYFUNCTION("""COMPUTED_VALUE"""),"Fair")</f>
        <v>Fair</v>
      </c>
      <c r="AH1898" s="189">
        <f>IFERROR(__xludf.DUMMYFUNCTION("""COMPUTED_VALUE"""),44505.46596403935)</f>
        <v>44505.46596</v>
      </c>
    </row>
    <row r="1899">
      <c r="A1899" t="str">
        <f>IFERROR(__xludf.DUMMYFUNCTION("""COMPUTED_VALUE"""),"EVRD")</f>
        <v>EVRD</v>
      </c>
      <c r="B1899" t="str">
        <f>IFERROR(__xludf.DUMMYFUNCTION("""COMPUTED_VALUE"""),"Columbus")</f>
        <v>Columbus</v>
      </c>
      <c r="C1899" t="str">
        <f>IFERROR(__xludf.DUMMYFUNCTION("""COMPUTED_VALUE"""),"OH")</f>
        <v>OH</v>
      </c>
      <c r="D1899" t="str">
        <f>IFERROR(__xludf.DUMMYFUNCTION("""COMPUTED_VALUE"""),"USA")</f>
        <v>USA</v>
      </c>
      <c r="E1899" s="188">
        <f>IFERROR(__xludf.DUMMYFUNCTION("""COMPUTED_VALUE"""),43677.0)</f>
        <v>43677</v>
      </c>
      <c r="F1899" s="188">
        <f>IFERROR(__xludf.DUMMYFUNCTION("""COMPUTED_VALUE"""),43694.0)</f>
        <v>43694</v>
      </c>
      <c r="H1899">
        <f>IFERROR(__xludf.DUMMYFUNCTION("""COMPUTED_VALUE"""),469955.0)</f>
        <v>469955</v>
      </c>
      <c r="I1899" t="str">
        <f>IFERROR(__xludf.DUMMYFUNCTION("""COMPUTED_VALUE"""),"08/19")</f>
        <v>08/19</v>
      </c>
      <c r="J1899" s="5">
        <f>IFERROR(__xludf.DUMMYFUNCTION("""COMPUTED_VALUE"""),43700.0)</f>
        <v>43700</v>
      </c>
      <c r="K1899">
        <f>IFERROR(__xludf.DUMMYFUNCTION("""COMPUTED_VALUE"""),17.0)</f>
        <v>17</v>
      </c>
      <c r="L1899">
        <f>IFERROR(__xludf.DUMMYFUNCTION("""COMPUTED_VALUE"""),6.0)</f>
        <v>6</v>
      </c>
      <c r="M1899">
        <f>IFERROR(__xludf.DUMMYFUNCTION("""COMPUTED_VALUE"""),23.0)</f>
        <v>23</v>
      </c>
      <c r="N1899" t="str">
        <f>IFERROR(__xludf.DUMMYFUNCTION("""COMPUTED_VALUE"""),"Model 3 LR AWD")</f>
        <v>Model 3 LR AWD</v>
      </c>
      <c r="O1899" t="str">
        <f>IFERROR(__xludf.DUMMYFUNCTION("""COMPUTED_VALUE"""),"Pearl White Multi-Coat")</f>
        <v>Pearl White Multi-Coat</v>
      </c>
      <c r="P1899" t="str">
        <f>IFERROR(__xludf.DUMMYFUNCTION("""COMPUTED_VALUE"""),"19 inch Sport")</f>
        <v>19 inch Sport</v>
      </c>
      <c r="Q1899" t="str">
        <f>IFERROR(__xludf.DUMMYFUNCTION("""COMPUTED_VALUE"""),"White seats")</f>
        <v>White seats</v>
      </c>
      <c r="R1899" t="str">
        <f>IFERROR(__xludf.DUMMYFUNCTION("""COMPUTED_VALUE"""),"Autopilot")</f>
        <v>Autopilot</v>
      </c>
      <c r="X1899" t="str">
        <f>IFERROR(__xludf.DUMMYFUNCTION("""COMPUTED_VALUE"""),"Very Good")</f>
        <v>Very Good</v>
      </c>
      <c r="Y1899" t="str">
        <f>IFERROR(__xludf.DUMMYFUNCTION("""COMPUTED_VALUE"""),"Excellent")</f>
        <v>Excellent</v>
      </c>
      <c r="Z1899" t="str">
        <f>IFERROR(__xludf.DUMMYFUNCTION("""COMPUTED_VALUE"""),"Very Good")</f>
        <v>Very Good</v>
      </c>
      <c r="AA1899" t="str">
        <f>IFERROR(__xludf.DUMMYFUNCTION("""COMPUTED_VALUE"""),"Good")</f>
        <v>Good</v>
      </c>
      <c r="AB1899" t="str">
        <f>IFERROR(__xludf.DUMMYFUNCTION("""COMPUTED_VALUE"""),"Excellent")</f>
        <v>Excellent</v>
      </c>
      <c r="AH1899" s="189">
        <f>IFERROR(__xludf.DUMMYFUNCTION("""COMPUTED_VALUE"""),43701.3042591088)</f>
        <v>43701.30426</v>
      </c>
    </row>
    <row r="1900">
      <c r="A1900" t="str">
        <f>IFERROR(__xludf.DUMMYFUNCTION("""COMPUTED_VALUE"""),"NetworkPIMP")</f>
        <v>NetworkPIMP</v>
      </c>
      <c r="B1900" t="str">
        <f>IFERROR(__xludf.DUMMYFUNCTION("""COMPUTED_VALUE"""),"Indianapolis")</f>
        <v>Indianapolis</v>
      </c>
      <c r="C1900" t="str">
        <f>IFERROR(__xludf.DUMMYFUNCTION("""COMPUTED_VALUE"""),"IN")</f>
        <v>IN</v>
      </c>
      <c r="D1900" t="str">
        <f>IFERROR(__xludf.DUMMYFUNCTION("""COMPUTED_VALUE"""),"USA")</f>
        <v>USA</v>
      </c>
      <c r="E1900" s="188">
        <f>IFERROR(__xludf.DUMMYFUNCTION("""COMPUTED_VALUE"""),43671.0)</f>
        <v>43671</v>
      </c>
      <c r="F1900" s="188">
        <f>IFERROR(__xludf.DUMMYFUNCTION("""COMPUTED_VALUE"""),43684.0)</f>
        <v>43684</v>
      </c>
      <c r="H1900">
        <f>IFERROR(__xludf.DUMMYFUNCTION("""COMPUTED_VALUE"""),469653.0)</f>
        <v>469653</v>
      </c>
      <c r="I1900" t="str">
        <f>IFERROR(__xludf.DUMMYFUNCTION("""COMPUTED_VALUE"""),"08/19")</f>
        <v>08/19</v>
      </c>
      <c r="J1900" s="5">
        <f>IFERROR(__xludf.DUMMYFUNCTION("""COMPUTED_VALUE"""),43692.0)</f>
        <v>43692</v>
      </c>
      <c r="K1900">
        <f>IFERROR(__xludf.DUMMYFUNCTION("""COMPUTED_VALUE"""),13.0)</f>
        <v>13</v>
      </c>
      <c r="L1900">
        <f>IFERROR(__xludf.DUMMYFUNCTION("""COMPUTED_VALUE"""),8.0)</f>
        <v>8</v>
      </c>
      <c r="M1900">
        <f>IFERROR(__xludf.DUMMYFUNCTION("""COMPUTED_VALUE"""),21.0)</f>
        <v>21</v>
      </c>
      <c r="N1900" t="str">
        <f>IFERROR(__xludf.DUMMYFUNCTION("""COMPUTED_VALUE"""),"Model 3 Performance")</f>
        <v>Model 3 Performance</v>
      </c>
      <c r="O1900" t="str">
        <f>IFERROR(__xludf.DUMMYFUNCTION("""COMPUTED_VALUE"""),"Midnight Silver Metallic")</f>
        <v>Midnight Silver Metallic</v>
      </c>
      <c r="P1900" t="str">
        <f>IFERROR(__xludf.DUMMYFUNCTION("""COMPUTED_VALUE"""),"20 inch Sport")</f>
        <v>20 inch Sport</v>
      </c>
      <c r="Q1900" t="str">
        <f>IFERROR(__xludf.DUMMYFUNCTION("""COMPUTED_VALUE"""),"Black seats")</f>
        <v>Black seats</v>
      </c>
      <c r="R1900" t="str">
        <f>IFERROR(__xludf.DUMMYFUNCTION("""COMPUTED_VALUE"""),"Full Self-Driving")</f>
        <v>Full Self-Driving</v>
      </c>
      <c r="X1900" t="str">
        <f>IFERROR(__xludf.DUMMYFUNCTION("""COMPUTED_VALUE"""),"Good")</f>
        <v>Good</v>
      </c>
      <c r="Y1900" t="str">
        <f>IFERROR(__xludf.DUMMYFUNCTION("""COMPUTED_VALUE"""),"Very Good")</f>
        <v>Very Good</v>
      </c>
      <c r="Z1900" t="str">
        <f>IFERROR(__xludf.DUMMYFUNCTION("""COMPUTED_VALUE"""),"Very Good")</f>
        <v>Very Good</v>
      </c>
      <c r="AA1900" t="str">
        <f>IFERROR(__xludf.DUMMYFUNCTION("""COMPUTED_VALUE"""),"Fair")</f>
        <v>Fair</v>
      </c>
      <c r="AB1900" t="str">
        <f>IFERROR(__xludf.DUMMYFUNCTION("""COMPUTED_VALUE"""),"Very Good")</f>
        <v>Very Good</v>
      </c>
      <c r="AC1900">
        <f>IFERROR(__xludf.DUMMYFUNCTION("""COMPUTED_VALUE"""),1.0)</f>
        <v>1</v>
      </c>
      <c r="AD1900">
        <f>IFERROR(__xludf.DUMMYFUNCTION("""COMPUTED_VALUE"""),1.0)</f>
        <v>1</v>
      </c>
      <c r="AE1900">
        <f>IFERROR(__xludf.DUMMYFUNCTION("""COMPUTED_VALUE"""),2.0)</f>
        <v>2</v>
      </c>
      <c r="AG1900" t="str">
        <f>IFERROR(__xludf.DUMMYFUNCTION("""COMPUTED_VALUE"""),"2weeks in and we switched from W/W to MSM/Blk, and got matched inside 24 hours ... w/w gate date was 8/16, so we'll be delivered a day before that. ")</f>
        <v>2weeks in and we switched from W/W to MSM/Blk, and got matched inside 24 hours ... w/w gate date was 8/16, so we'll be delivered a day before that. </v>
      </c>
      <c r="AH1900" s="189">
        <f>IFERROR(__xludf.DUMMYFUNCTION("""COMPUTED_VALUE"""),43702.36439667824)</f>
        <v>43702.3644</v>
      </c>
    </row>
    <row r="1901">
      <c r="A1901" t="str">
        <f>IFERROR(__xludf.DUMMYFUNCTION("""COMPUTED_VALUE"""),"JGM3")</f>
        <v>JGM3</v>
      </c>
      <c r="B1901" t="str">
        <f>IFERROR(__xludf.DUMMYFUNCTION("""COMPUTED_VALUE"""),"Perry Hall")</f>
        <v>Perry Hall</v>
      </c>
      <c r="C1901" t="str">
        <f>IFERROR(__xludf.DUMMYFUNCTION("""COMPUTED_VALUE"""),"MD")</f>
        <v>MD</v>
      </c>
      <c r="D1901" t="str">
        <f>IFERROR(__xludf.DUMMYFUNCTION("""COMPUTED_VALUE"""),"USA")</f>
        <v>USA</v>
      </c>
      <c r="E1901" s="188">
        <f>IFERROR(__xludf.DUMMYFUNCTION("""COMPUTED_VALUE"""),43677.0)</f>
        <v>43677</v>
      </c>
      <c r="F1901" s="188">
        <f>IFERROR(__xludf.DUMMYFUNCTION("""COMPUTED_VALUE"""),43695.0)</f>
        <v>43695</v>
      </c>
      <c r="H1901">
        <f>IFERROR(__xludf.DUMMYFUNCTION("""COMPUTED_VALUE"""),469255.0)</f>
        <v>469255</v>
      </c>
      <c r="J1901" s="5">
        <f>IFERROR(__xludf.DUMMYFUNCTION("""COMPUTED_VALUE"""),43703.0)</f>
        <v>43703</v>
      </c>
      <c r="K1901">
        <f>IFERROR(__xludf.DUMMYFUNCTION("""COMPUTED_VALUE"""),18.0)</f>
        <v>18</v>
      </c>
      <c r="L1901">
        <f>IFERROR(__xludf.DUMMYFUNCTION("""COMPUTED_VALUE"""),8.0)</f>
        <v>8</v>
      </c>
      <c r="M1901">
        <f>IFERROR(__xludf.DUMMYFUNCTION("""COMPUTED_VALUE"""),26.0)</f>
        <v>26</v>
      </c>
      <c r="N1901" t="str">
        <f>IFERROR(__xludf.DUMMYFUNCTION("""COMPUTED_VALUE"""),"Model 3 LR AWD")</f>
        <v>Model 3 LR AWD</v>
      </c>
      <c r="O1901" t="str">
        <f>IFERROR(__xludf.DUMMYFUNCTION("""COMPUTED_VALUE"""),"Pearl White Multi-Coat")</f>
        <v>Pearl White Multi-Coat</v>
      </c>
      <c r="P1901" t="str">
        <f>IFERROR(__xludf.DUMMYFUNCTION("""COMPUTED_VALUE"""),"18 inch Aero")</f>
        <v>18 inch Aero</v>
      </c>
      <c r="Q1901" t="str">
        <f>IFERROR(__xludf.DUMMYFUNCTION("""COMPUTED_VALUE"""),"Black seats")</f>
        <v>Black seats</v>
      </c>
      <c r="R1901" t="str">
        <f>IFERROR(__xludf.DUMMYFUNCTION("""COMPUTED_VALUE"""),"Full Self-Driving")</f>
        <v>Full Self-Driving</v>
      </c>
      <c r="X1901" t="str">
        <f>IFERROR(__xludf.DUMMYFUNCTION("""COMPUTED_VALUE"""),"Good")</f>
        <v>Good</v>
      </c>
      <c r="Y1901" t="str">
        <f>IFERROR(__xludf.DUMMYFUNCTION("""COMPUTED_VALUE"""),"Excellent")</f>
        <v>Excellent</v>
      </c>
      <c r="Z1901" t="str">
        <f>IFERROR(__xludf.DUMMYFUNCTION("""COMPUTED_VALUE"""),"Excellent")</f>
        <v>Excellent</v>
      </c>
      <c r="AA1901" t="str">
        <f>IFERROR(__xludf.DUMMYFUNCTION("""COMPUTED_VALUE"""),"Excellent")</f>
        <v>Excellent</v>
      </c>
      <c r="AB1901" t="str">
        <f>IFERROR(__xludf.DUMMYFUNCTION("""COMPUTED_VALUE"""),"Very Good")</f>
        <v>Very Good</v>
      </c>
      <c r="AH1901" s="189">
        <f>IFERROR(__xludf.DUMMYFUNCTION("""COMPUTED_VALUE"""),43703.3828459838)</f>
        <v>43703.38285</v>
      </c>
    </row>
    <row r="1902">
      <c r="A1902" t="str">
        <f>IFERROR(__xludf.DUMMYFUNCTION("""COMPUTED_VALUE"""),"The Chickening")</f>
        <v>The Chickening</v>
      </c>
      <c r="B1902" t="str">
        <f>IFERROR(__xludf.DUMMYFUNCTION("""COMPUTED_VALUE"""),"Cerritos")</f>
        <v>Cerritos</v>
      </c>
      <c r="C1902" t="str">
        <f>IFERROR(__xludf.DUMMYFUNCTION("""COMPUTED_VALUE"""),"CA")</f>
        <v>CA</v>
      </c>
      <c r="D1902" t="str">
        <f>IFERROR(__xludf.DUMMYFUNCTION("""COMPUTED_VALUE"""),"USA")</f>
        <v>USA</v>
      </c>
      <c r="E1902" s="188">
        <f>IFERROR(__xludf.DUMMYFUNCTION("""COMPUTED_VALUE"""),43680.0)</f>
        <v>43680</v>
      </c>
      <c r="F1902" s="188">
        <f>IFERROR(__xludf.DUMMYFUNCTION("""COMPUTED_VALUE"""),43691.0)</f>
        <v>43691</v>
      </c>
      <c r="J1902" s="5">
        <f>IFERROR(__xludf.DUMMYFUNCTION("""COMPUTED_VALUE"""),43694.0)</f>
        <v>43694</v>
      </c>
      <c r="K1902">
        <f>IFERROR(__xludf.DUMMYFUNCTION("""COMPUTED_VALUE"""),11.0)</f>
        <v>11</v>
      </c>
      <c r="L1902">
        <f>IFERROR(__xludf.DUMMYFUNCTION("""COMPUTED_VALUE"""),3.0)</f>
        <v>3</v>
      </c>
      <c r="M1902">
        <f>IFERROR(__xludf.DUMMYFUNCTION("""COMPUTED_VALUE"""),14.0)</f>
        <v>14</v>
      </c>
      <c r="N1902" t="str">
        <f>IFERROR(__xludf.DUMMYFUNCTION("""COMPUTED_VALUE"""),"Model 3 LR AWD")</f>
        <v>Model 3 LR AWD</v>
      </c>
      <c r="O1902" t="str">
        <f>IFERROR(__xludf.DUMMYFUNCTION("""COMPUTED_VALUE"""),"Deep Blue Metallic")</f>
        <v>Deep Blue Metallic</v>
      </c>
      <c r="P1902" t="str">
        <f>IFERROR(__xludf.DUMMYFUNCTION("""COMPUTED_VALUE"""),"18 inch Aero")</f>
        <v>18 inch Aero</v>
      </c>
      <c r="Q1902" t="str">
        <f>IFERROR(__xludf.DUMMYFUNCTION("""COMPUTED_VALUE"""),"Black seats")</f>
        <v>Black seats</v>
      </c>
      <c r="R1902" t="str">
        <f>IFERROR(__xludf.DUMMYFUNCTION("""COMPUTED_VALUE"""),"Full Self-Driving")</f>
        <v>Full Self-Driving</v>
      </c>
      <c r="X1902" t="str">
        <f>IFERROR(__xludf.DUMMYFUNCTION("""COMPUTED_VALUE"""),"Excellent")</f>
        <v>Excellent</v>
      </c>
      <c r="Y1902" t="str">
        <f>IFERROR(__xludf.DUMMYFUNCTION("""COMPUTED_VALUE"""),"Excellent")</f>
        <v>Excellent</v>
      </c>
      <c r="Z1902" t="str">
        <f>IFERROR(__xludf.DUMMYFUNCTION("""COMPUTED_VALUE"""),"Very Good")</f>
        <v>Very Good</v>
      </c>
      <c r="AA1902" t="str">
        <f>IFERROR(__xludf.DUMMYFUNCTION("""COMPUTED_VALUE"""),"Excellent")</f>
        <v>Excellent</v>
      </c>
      <c r="AB1902" t="str">
        <f>IFERROR(__xludf.DUMMYFUNCTION("""COMPUTED_VALUE"""),"Excellent")</f>
        <v>Excellent</v>
      </c>
      <c r="AC1902">
        <f>IFERROR(__xludf.DUMMYFUNCTION("""COMPUTED_VALUE"""),0.0)</f>
        <v>0</v>
      </c>
      <c r="AD1902">
        <f>IFERROR(__xludf.DUMMYFUNCTION("""COMPUTED_VALUE"""),0.0)</f>
        <v>0</v>
      </c>
      <c r="AE1902">
        <f>IFERROR(__xludf.DUMMYFUNCTION("""COMPUTED_VALUE"""),0.0)</f>
        <v>0</v>
      </c>
      <c r="AH1902" s="189">
        <f>IFERROR(__xludf.DUMMYFUNCTION("""COMPUTED_VALUE"""),43707.516160451385)</f>
        <v>43707.51616</v>
      </c>
    </row>
    <row r="1903">
      <c r="A1903" t="str">
        <f>IFERROR(__xludf.DUMMYFUNCTION("""COMPUTED_VALUE"""),"bmmonahan")</f>
        <v>bmmonahan</v>
      </c>
      <c r="B1903" t="str">
        <f>IFERROR(__xludf.DUMMYFUNCTION("""COMPUTED_VALUE"""),"Phoenix")</f>
        <v>Phoenix</v>
      </c>
      <c r="C1903" t="str">
        <f>IFERROR(__xludf.DUMMYFUNCTION("""COMPUTED_VALUE"""),"AZ")</f>
        <v>AZ</v>
      </c>
      <c r="D1903" t="str">
        <f>IFERROR(__xludf.DUMMYFUNCTION("""COMPUTED_VALUE"""),"USA")</f>
        <v>USA</v>
      </c>
      <c r="E1903" s="188">
        <f>IFERROR(__xludf.DUMMYFUNCTION("""COMPUTED_VALUE"""),43654.0)</f>
        <v>43654</v>
      </c>
      <c r="F1903" s="188">
        <f>IFERROR(__xludf.DUMMYFUNCTION("""COMPUTED_VALUE"""),43669.0)</f>
        <v>43669</v>
      </c>
      <c r="H1903">
        <f>IFERROR(__xludf.DUMMYFUNCTION("""COMPUTED_VALUE"""),406855.0)</f>
        <v>406855</v>
      </c>
      <c r="I1903" t="str">
        <f>IFERROR(__xludf.DUMMYFUNCTION("""COMPUTED_VALUE"""),"06/19")</f>
        <v>06/19</v>
      </c>
      <c r="J1903" s="5">
        <f>IFERROR(__xludf.DUMMYFUNCTION("""COMPUTED_VALUE"""),43677.0)</f>
        <v>43677</v>
      </c>
      <c r="K1903">
        <f>IFERROR(__xludf.DUMMYFUNCTION("""COMPUTED_VALUE"""),15.0)</f>
        <v>15</v>
      </c>
      <c r="L1903">
        <f>IFERROR(__xludf.DUMMYFUNCTION("""COMPUTED_VALUE"""),8.0)</f>
        <v>8</v>
      </c>
      <c r="M1903">
        <f>IFERROR(__xludf.DUMMYFUNCTION("""COMPUTED_VALUE"""),23.0)</f>
        <v>23</v>
      </c>
      <c r="N1903" t="str">
        <f>IFERROR(__xludf.DUMMYFUNCTION("""COMPUTED_VALUE"""),"Model 3 LR AWD")</f>
        <v>Model 3 LR AWD</v>
      </c>
      <c r="O1903" t="str">
        <f>IFERROR(__xludf.DUMMYFUNCTION("""COMPUTED_VALUE"""),"Pearl White Multi-Coat")</f>
        <v>Pearl White Multi-Coat</v>
      </c>
      <c r="P1903" t="str">
        <f>IFERROR(__xludf.DUMMYFUNCTION("""COMPUTED_VALUE"""),"18 inch Aero")</f>
        <v>18 inch Aero</v>
      </c>
      <c r="Q1903" t="str">
        <f>IFERROR(__xludf.DUMMYFUNCTION("""COMPUTED_VALUE"""),"White seats")</f>
        <v>White seats</v>
      </c>
      <c r="R1903" t="str">
        <f>IFERROR(__xludf.DUMMYFUNCTION("""COMPUTED_VALUE"""),"Autopilot")</f>
        <v>Autopilot</v>
      </c>
      <c r="X1903" t="str">
        <f>IFERROR(__xludf.DUMMYFUNCTION("""COMPUTED_VALUE"""),"Good")</f>
        <v>Good</v>
      </c>
      <c r="Y1903" t="str">
        <f>IFERROR(__xludf.DUMMYFUNCTION("""COMPUTED_VALUE"""),"Good")</f>
        <v>Good</v>
      </c>
      <c r="Z1903" t="str">
        <f>IFERROR(__xludf.DUMMYFUNCTION("""COMPUTED_VALUE"""),"Very Good")</f>
        <v>Very Good</v>
      </c>
      <c r="AA1903" t="str">
        <f>IFERROR(__xludf.DUMMYFUNCTION("""COMPUTED_VALUE"""),"Very Good")</f>
        <v>Very Good</v>
      </c>
      <c r="AB1903" t="str">
        <f>IFERROR(__xludf.DUMMYFUNCTION("""COMPUTED_VALUE"""),"Very Good")</f>
        <v>Very Good</v>
      </c>
      <c r="AC1903">
        <f>IFERROR(__xludf.DUMMYFUNCTION("""COMPUTED_VALUE"""),0.0)</f>
        <v>0</v>
      </c>
      <c r="AD1903">
        <f>IFERROR(__xludf.DUMMYFUNCTION("""COMPUTED_VALUE"""),1.0)</f>
        <v>1</v>
      </c>
      <c r="AE1903">
        <f>IFERROR(__xludf.DUMMYFUNCTION("""COMPUTED_VALUE"""),0.0)</f>
        <v>0</v>
      </c>
      <c r="AG1903" t="str">
        <f>IFERROR(__xludf.DUMMYFUNCTION("""COMPUTED_VALUE"""),"No Issues so far.  Although Homelink is not 100%, still some issues to work out. Worried that this is one of the June 2019 models, that were rushed out to meet end of second quarter stats")</f>
        <v>No Issues so far.  Although Homelink is not 100%, still some issues to work out. Worried that this is one of the June 2019 models, that were rushed out to meet end of second quarter stats</v>
      </c>
      <c r="AH1903" s="189">
        <f>IFERROR(__xludf.DUMMYFUNCTION("""COMPUTED_VALUE"""),43707.52860130787)</f>
        <v>43707.5286</v>
      </c>
    </row>
    <row r="1904">
      <c r="A1904" t="str">
        <f>IFERROR(__xludf.DUMMYFUNCTION("""COMPUTED_VALUE"""),"Ben")</f>
        <v>Ben</v>
      </c>
      <c r="B1904" t="str">
        <f>IFERROR(__xludf.DUMMYFUNCTION("""COMPUTED_VALUE"""),"Maui")</f>
        <v>Maui</v>
      </c>
      <c r="C1904" t="str">
        <f>IFERROR(__xludf.DUMMYFUNCTION("""COMPUTED_VALUE"""),"HI")</f>
        <v>HI</v>
      </c>
      <c r="D1904" t="str">
        <f>IFERROR(__xludf.DUMMYFUNCTION("""COMPUTED_VALUE"""),"USA")</f>
        <v>USA</v>
      </c>
      <c r="E1904" s="188">
        <f>IFERROR(__xludf.DUMMYFUNCTION("""COMPUTED_VALUE"""),43635.0)</f>
        <v>43635</v>
      </c>
      <c r="F1904" s="188">
        <f>IFERROR(__xludf.DUMMYFUNCTION("""COMPUTED_VALUE"""),43692.0)</f>
        <v>43692</v>
      </c>
      <c r="H1904">
        <f>IFERROR(__xludf.DUMMYFUNCTION("""COMPUTED_VALUE"""),421655.0)</f>
        <v>421655</v>
      </c>
      <c r="J1904" s="5">
        <f>IFERROR(__xludf.DUMMYFUNCTION("""COMPUTED_VALUE"""),43703.0)</f>
        <v>43703</v>
      </c>
      <c r="K1904">
        <f>IFERROR(__xludf.DUMMYFUNCTION("""COMPUTED_VALUE"""),57.0)</f>
        <v>57</v>
      </c>
      <c r="L1904">
        <f>IFERROR(__xludf.DUMMYFUNCTION("""COMPUTED_VALUE"""),11.0)</f>
        <v>11</v>
      </c>
      <c r="M1904">
        <f>IFERROR(__xludf.DUMMYFUNCTION("""COMPUTED_VALUE"""),68.0)</f>
        <v>68</v>
      </c>
      <c r="N1904" t="str">
        <f>IFERROR(__xludf.DUMMYFUNCTION("""COMPUTED_VALUE"""),"Model 3 LR AWD")</f>
        <v>Model 3 LR AWD</v>
      </c>
      <c r="O1904" t="str">
        <f>IFERROR(__xludf.DUMMYFUNCTION("""COMPUTED_VALUE"""),"Pearl White Multi-Coat")</f>
        <v>Pearl White Multi-Coat</v>
      </c>
      <c r="P1904" t="str">
        <f>IFERROR(__xludf.DUMMYFUNCTION("""COMPUTED_VALUE"""),"18 inch Aero")</f>
        <v>18 inch Aero</v>
      </c>
      <c r="Q1904" t="str">
        <f>IFERROR(__xludf.DUMMYFUNCTION("""COMPUTED_VALUE"""),"White seats")</f>
        <v>White seats</v>
      </c>
      <c r="R1904" t="str">
        <f>IFERROR(__xludf.DUMMYFUNCTION("""COMPUTED_VALUE"""),"Autopilot")</f>
        <v>Autopilot</v>
      </c>
      <c r="X1904" t="str">
        <f>IFERROR(__xludf.DUMMYFUNCTION("""COMPUTED_VALUE"""),"Good")</f>
        <v>Good</v>
      </c>
      <c r="Y1904" t="str">
        <f>IFERROR(__xludf.DUMMYFUNCTION("""COMPUTED_VALUE"""),"Very Good")</f>
        <v>Very Good</v>
      </c>
      <c r="Z1904" t="str">
        <f>IFERROR(__xludf.DUMMYFUNCTION("""COMPUTED_VALUE"""),"Very Good")</f>
        <v>Very Good</v>
      </c>
      <c r="AA1904" t="str">
        <f>IFERROR(__xludf.DUMMYFUNCTION("""COMPUTED_VALUE"""),"Fair")</f>
        <v>Fair</v>
      </c>
      <c r="AB1904" t="str">
        <f>IFERROR(__xludf.DUMMYFUNCTION("""COMPUTED_VALUE"""),"Fair")</f>
        <v>Fair</v>
      </c>
      <c r="AH1904" s="189">
        <f>IFERROR(__xludf.DUMMYFUNCTION("""COMPUTED_VALUE"""),43708.10300996528)</f>
        <v>43708.10301</v>
      </c>
    </row>
    <row r="1905">
      <c r="A1905" t="str">
        <f>IFERROR(__xludf.DUMMYFUNCTION("""COMPUTED_VALUE"""),"NareMnats")</f>
        <v>NareMnats</v>
      </c>
      <c r="B1905" t="str">
        <f>IFERROR(__xludf.DUMMYFUNCTION("""COMPUTED_VALUE"""),"Los Angeles")</f>
        <v>Los Angeles</v>
      </c>
      <c r="C1905" t="str">
        <f>IFERROR(__xludf.DUMMYFUNCTION("""COMPUTED_VALUE"""),"CA")</f>
        <v>CA</v>
      </c>
      <c r="D1905" t="str">
        <f>IFERROR(__xludf.DUMMYFUNCTION("""COMPUTED_VALUE"""),"USA")</f>
        <v>USA</v>
      </c>
      <c r="E1905" s="188">
        <f>IFERROR(__xludf.DUMMYFUNCTION("""COMPUTED_VALUE"""),43691.0)</f>
        <v>43691</v>
      </c>
      <c r="F1905" s="188">
        <f>IFERROR(__xludf.DUMMYFUNCTION("""COMPUTED_VALUE"""),43706.0)</f>
        <v>43706</v>
      </c>
      <c r="J1905" s="5">
        <f>IFERROR(__xludf.DUMMYFUNCTION("""COMPUTED_VALUE"""),43707.0)</f>
        <v>43707</v>
      </c>
      <c r="K1905">
        <f>IFERROR(__xludf.DUMMYFUNCTION("""COMPUTED_VALUE"""),15.0)</f>
        <v>15</v>
      </c>
      <c r="L1905">
        <f>IFERROR(__xludf.DUMMYFUNCTION("""COMPUTED_VALUE"""),1.0)</f>
        <v>1</v>
      </c>
      <c r="M1905">
        <f>IFERROR(__xludf.DUMMYFUNCTION("""COMPUTED_VALUE"""),16.0)</f>
        <v>16</v>
      </c>
      <c r="N1905" t="str">
        <f>IFERROR(__xludf.DUMMYFUNCTION("""COMPUTED_VALUE"""),"Model 3 SR+")</f>
        <v>Model 3 SR+</v>
      </c>
      <c r="O1905" t="str">
        <f>IFERROR(__xludf.DUMMYFUNCTION("""COMPUTED_VALUE"""),"Pearl White Multi-Coat")</f>
        <v>Pearl White Multi-Coat</v>
      </c>
      <c r="P1905" t="str">
        <f>IFERROR(__xludf.DUMMYFUNCTION("""COMPUTED_VALUE"""),"18 inch Aero")</f>
        <v>18 inch Aero</v>
      </c>
      <c r="Q1905" t="str">
        <f>IFERROR(__xludf.DUMMYFUNCTION("""COMPUTED_VALUE"""),"Black seats")</f>
        <v>Black seats</v>
      </c>
      <c r="R1905" t="str">
        <f>IFERROR(__xludf.DUMMYFUNCTION("""COMPUTED_VALUE"""),"Autopilot")</f>
        <v>Autopilot</v>
      </c>
      <c r="X1905" t="str">
        <f>IFERROR(__xludf.DUMMYFUNCTION("""COMPUTED_VALUE"""),"Excellent")</f>
        <v>Excellent</v>
      </c>
      <c r="Y1905" t="str">
        <f>IFERROR(__xludf.DUMMYFUNCTION("""COMPUTED_VALUE"""),"Excellent")</f>
        <v>Excellent</v>
      </c>
      <c r="Z1905" t="str">
        <f>IFERROR(__xludf.DUMMYFUNCTION("""COMPUTED_VALUE"""),"Very Good")</f>
        <v>Very Good</v>
      </c>
      <c r="AA1905" t="str">
        <f>IFERROR(__xludf.DUMMYFUNCTION("""COMPUTED_VALUE"""),"Very Good")</f>
        <v>Very Good</v>
      </c>
      <c r="AB1905" t="str">
        <f>IFERROR(__xludf.DUMMYFUNCTION("""COMPUTED_VALUE"""),"Excellent")</f>
        <v>Excellent</v>
      </c>
      <c r="AC1905">
        <f>IFERROR(__xludf.DUMMYFUNCTION("""COMPUTED_VALUE"""),1.0)</f>
        <v>1</v>
      </c>
      <c r="AG1905" t="str">
        <f>IFERROR(__xludf.DUMMYFUNCTION("""COMPUTED_VALUE"""),"Very small paint scratch noticed during delivery that will be fixed once I schedule service.")</f>
        <v>Very small paint scratch noticed during delivery that will be fixed once I schedule service.</v>
      </c>
      <c r="AH1905" s="189">
        <f>IFERROR(__xludf.DUMMYFUNCTION("""COMPUTED_VALUE"""),43708.59275443287)</f>
        <v>43708.59275</v>
      </c>
    </row>
    <row r="1906">
      <c r="A1906" t="str">
        <f>IFERROR(__xludf.DUMMYFUNCTION("""COMPUTED_VALUE"""),"jboogie")</f>
        <v>jboogie</v>
      </c>
      <c r="B1906" t="str">
        <f>IFERROR(__xludf.DUMMYFUNCTION("""COMPUTED_VALUE"""),"Houston")</f>
        <v>Houston</v>
      </c>
      <c r="C1906" t="str">
        <f>IFERROR(__xludf.DUMMYFUNCTION("""COMPUTED_VALUE"""),"TX")</f>
        <v>TX</v>
      </c>
      <c r="D1906" t="str">
        <f>IFERROR(__xludf.DUMMYFUNCTION("""COMPUTED_VALUE"""),"USA")</f>
        <v>USA</v>
      </c>
      <c r="E1906" s="188">
        <f>IFERROR(__xludf.DUMMYFUNCTION("""COMPUTED_VALUE"""),43681.0)</f>
        <v>43681</v>
      </c>
      <c r="F1906" s="188">
        <f>IFERROR(__xludf.DUMMYFUNCTION("""COMPUTED_VALUE"""),43696.0)</f>
        <v>43696</v>
      </c>
      <c r="J1906" s="5">
        <f>IFERROR(__xludf.DUMMYFUNCTION("""COMPUTED_VALUE"""),43705.0)</f>
        <v>43705</v>
      </c>
      <c r="K1906">
        <f>IFERROR(__xludf.DUMMYFUNCTION("""COMPUTED_VALUE"""),15.0)</f>
        <v>15</v>
      </c>
      <c r="L1906">
        <f>IFERROR(__xludf.DUMMYFUNCTION("""COMPUTED_VALUE"""),9.0)</f>
        <v>9</v>
      </c>
      <c r="M1906">
        <f>IFERROR(__xludf.DUMMYFUNCTION("""COMPUTED_VALUE"""),24.0)</f>
        <v>24</v>
      </c>
      <c r="N1906" t="str">
        <f>IFERROR(__xludf.DUMMYFUNCTION("""COMPUTED_VALUE"""),"Model 3 SR+")</f>
        <v>Model 3 SR+</v>
      </c>
      <c r="O1906" t="str">
        <f>IFERROR(__xludf.DUMMYFUNCTION("""COMPUTED_VALUE"""),"Pearl White Multi-Coat")</f>
        <v>Pearl White Multi-Coat</v>
      </c>
      <c r="P1906" t="str">
        <f>IFERROR(__xludf.DUMMYFUNCTION("""COMPUTED_VALUE"""),"18 inch Aero")</f>
        <v>18 inch Aero</v>
      </c>
      <c r="Q1906" t="str">
        <f>IFERROR(__xludf.DUMMYFUNCTION("""COMPUTED_VALUE"""),"Black seats")</f>
        <v>Black seats</v>
      </c>
      <c r="R1906" t="str">
        <f>IFERROR(__xludf.DUMMYFUNCTION("""COMPUTED_VALUE"""),"Full Self-Driving")</f>
        <v>Full Self-Driving</v>
      </c>
      <c r="X1906" t="str">
        <f>IFERROR(__xludf.DUMMYFUNCTION("""COMPUTED_VALUE"""),"Excellent")</f>
        <v>Excellent</v>
      </c>
      <c r="Y1906" t="str">
        <f>IFERROR(__xludf.DUMMYFUNCTION("""COMPUTED_VALUE"""),"Excellent")</f>
        <v>Excellent</v>
      </c>
      <c r="Z1906" t="str">
        <f>IFERROR(__xludf.DUMMYFUNCTION("""COMPUTED_VALUE"""),"Excellent")</f>
        <v>Excellent</v>
      </c>
      <c r="AA1906" t="str">
        <f>IFERROR(__xludf.DUMMYFUNCTION("""COMPUTED_VALUE"""),"Excellent")</f>
        <v>Excellent</v>
      </c>
      <c r="AB1906" t="str">
        <f>IFERROR(__xludf.DUMMYFUNCTION("""COMPUTED_VALUE"""),"Excellent")</f>
        <v>Excellent</v>
      </c>
      <c r="AH1906" s="189">
        <f>IFERROR(__xludf.DUMMYFUNCTION("""COMPUTED_VALUE"""),43708.61151890046)</f>
        <v>43708.61152</v>
      </c>
    </row>
    <row r="1907">
      <c r="A1907" t="str">
        <f>IFERROR(__xludf.DUMMYFUNCTION("""COMPUTED_VALUE"""),"liantics")</f>
        <v>liantics</v>
      </c>
      <c r="C1907" t="str">
        <f>IFERROR(__xludf.DUMMYFUNCTION("""COMPUTED_VALUE"""),"MA")</f>
        <v>MA</v>
      </c>
      <c r="D1907" t="str">
        <f>IFERROR(__xludf.DUMMYFUNCTION("""COMPUTED_VALUE"""),"USA")</f>
        <v>USA</v>
      </c>
      <c r="E1907" s="188">
        <f>IFERROR(__xludf.DUMMYFUNCTION("""COMPUTED_VALUE"""),43697.0)</f>
        <v>43697</v>
      </c>
      <c r="F1907" s="188">
        <f>IFERROR(__xludf.DUMMYFUNCTION("""COMPUTED_VALUE"""),43704.0)</f>
        <v>43704</v>
      </c>
      <c r="H1907">
        <f>IFERROR(__xludf.DUMMYFUNCTION("""COMPUTED_VALUE"""),430855.0)</f>
        <v>430855</v>
      </c>
      <c r="J1907" s="5">
        <f>IFERROR(__xludf.DUMMYFUNCTION("""COMPUTED_VALUE"""),43708.0)</f>
        <v>43708</v>
      </c>
      <c r="K1907">
        <f>IFERROR(__xludf.DUMMYFUNCTION("""COMPUTED_VALUE"""),7.0)</f>
        <v>7</v>
      </c>
      <c r="L1907">
        <f>IFERROR(__xludf.DUMMYFUNCTION("""COMPUTED_VALUE"""),4.0)</f>
        <v>4</v>
      </c>
      <c r="M1907">
        <f>IFERROR(__xludf.DUMMYFUNCTION("""COMPUTED_VALUE"""),11.0)</f>
        <v>11</v>
      </c>
      <c r="N1907" t="str">
        <f>IFERROR(__xludf.DUMMYFUNCTION("""COMPUTED_VALUE"""),"Model 3 SR")</f>
        <v>Model 3 SR</v>
      </c>
      <c r="O1907" t="str">
        <f>IFERROR(__xludf.DUMMYFUNCTION("""COMPUTED_VALUE"""),"Pearl White Multi-Coat")</f>
        <v>Pearl White Multi-Coat</v>
      </c>
      <c r="P1907" t="str">
        <f>IFERROR(__xludf.DUMMYFUNCTION("""COMPUTED_VALUE"""),"18 inch Aero")</f>
        <v>18 inch Aero</v>
      </c>
      <c r="AB1907" t="str">
        <f>IFERROR(__xludf.DUMMYFUNCTION("""COMPUTED_VALUE"""),"Fair")</f>
        <v>Fair</v>
      </c>
      <c r="AH1907" s="189">
        <f>IFERROR(__xludf.DUMMYFUNCTION("""COMPUTED_VALUE"""),43709.94866895833)</f>
        <v>43709.94867</v>
      </c>
    </row>
    <row r="1908">
      <c r="A1908" t="str">
        <f>IFERROR(__xludf.DUMMYFUNCTION("""COMPUTED_VALUE"""),"PR")</f>
        <v>PR</v>
      </c>
      <c r="B1908" t="str">
        <f>IFERROR(__xludf.DUMMYFUNCTION("""COMPUTED_VALUE"""),"Charlottesville")</f>
        <v>Charlottesville</v>
      </c>
      <c r="C1908" t="str">
        <f>IFERROR(__xludf.DUMMYFUNCTION("""COMPUTED_VALUE"""),"VA")</f>
        <v>VA</v>
      </c>
      <c r="D1908" t="str">
        <f>IFERROR(__xludf.DUMMYFUNCTION("""COMPUTED_VALUE"""),"USA")</f>
        <v>USA</v>
      </c>
      <c r="E1908" s="188">
        <f>IFERROR(__xludf.DUMMYFUNCTION("""COMPUTED_VALUE"""),43583.0)</f>
        <v>43583</v>
      </c>
      <c r="F1908" s="188">
        <f>IFERROR(__xludf.DUMMYFUNCTION("""COMPUTED_VALUE"""),43586.0)</f>
        <v>43586</v>
      </c>
      <c r="H1908">
        <f>IFERROR(__xludf.DUMMYFUNCTION("""COMPUTED_VALUE"""),394555.0)</f>
        <v>394555</v>
      </c>
      <c r="I1908" t="str">
        <f>IFERROR(__xludf.DUMMYFUNCTION("""COMPUTED_VALUE"""),"04/19")</f>
        <v>04/19</v>
      </c>
      <c r="J1908" s="5">
        <f>IFERROR(__xludf.DUMMYFUNCTION("""COMPUTED_VALUE"""),43598.0)</f>
        <v>43598</v>
      </c>
      <c r="K1908">
        <f>IFERROR(__xludf.DUMMYFUNCTION("""COMPUTED_VALUE"""),3.0)</f>
        <v>3</v>
      </c>
      <c r="L1908">
        <f>IFERROR(__xludf.DUMMYFUNCTION("""COMPUTED_VALUE"""),12.0)</f>
        <v>12</v>
      </c>
      <c r="M1908">
        <f>IFERROR(__xludf.DUMMYFUNCTION("""COMPUTED_VALUE"""),15.0)</f>
        <v>15</v>
      </c>
      <c r="N1908" t="str">
        <f>IFERROR(__xludf.DUMMYFUNCTION("""COMPUTED_VALUE"""),"Model 3 SR+")</f>
        <v>Model 3 SR+</v>
      </c>
      <c r="O1908" t="str">
        <f>IFERROR(__xludf.DUMMYFUNCTION("""COMPUTED_VALUE"""),"Solid Black")</f>
        <v>Solid Black</v>
      </c>
      <c r="P1908" t="str">
        <f>IFERROR(__xludf.DUMMYFUNCTION("""COMPUTED_VALUE"""),"18 inch Aero")</f>
        <v>18 inch Aero</v>
      </c>
      <c r="Q1908" t="str">
        <f>IFERROR(__xludf.DUMMYFUNCTION("""COMPUTED_VALUE"""),"Black seats")</f>
        <v>Black seats</v>
      </c>
      <c r="R1908" t="str">
        <f>IFERROR(__xludf.DUMMYFUNCTION("""COMPUTED_VALUE"""),"Autopilot")</f>
        <v>Autopilot</v>
      </c>
      <c r="X1908" t="str">
        <f>IFERROR(__xludf.DUMMYFUNCTION("""COMPUTED_VALUE"""),"Excellent")</f>
        <v>Excellent</v>
      </c>
      <c r="Y1908" t="str">
        <f>IFERROR(__xludf.DUMMYFUNCTION("""COMPUTED_VALUE"""),"Excellent")</f>
        <v>Excellent</v>
      </c>
      <c r="Z1908" t="str">
        <f>IFERROR(__xludf.DUMMYFUNCTION("""COMPUTED_VALUE"""),"Very Good")</f>
        <v>Very Good</v>
      </c>
      <c r="AA1908" t="str">
        <f>IFERROR(__xludf.DUMMYFUNCTION("""COMPUTED_VALUE"""),"Good")</f>
        <v>Good</v>
      </c>
      <c r="AB1908" t="str">
        <f>IFERROR(__xludf.DUMMYFUNCTION("""COMPUTED_VALUE"""),"Excellent")</f>
        <v>Excellent</v>
      </c>
      <c r="AC1908">
        <f>IFERROR(__xludf.DUMMYFUNCTION("""COMPUTED_VALUE"""),0.0)</f>
        <v>0</v>
      </c>
      <c r="AD1908">
        <f>IFERROR(__xludf.DUMMYFUNCTION("""COMPUTED_VALUE"""),0.0)</f>
        <v>0</v>
      </c>
      <c r="AE1908">
        <f>IFERROR(__xludf.DUMMYFUNCTION("""COMPUTED_VALUE"""),0.0)</f>
        <v>0</v>
      </c>
      <c r="AH1908" s="189">
        <f>IFERROR(__xludf.DUMMYFUNCTION("""COMPUTED_VALUE"""),43710.36240528935)</f>
        <v>43710.36241</v>
      </c>
    </row>
    <row r="1909">
      <c r="A1909" t="str">
        <f>IFERROR(__xludf.DUMMYFUNCTION("""COMPUTED_VALUE"""),"Kuthedk")</f>
        <v>Kuthedk</v>
      </c>
      <c r="B1909" t="str">
        <f>IFERROR(__xludf.DUMMYFUNCTION("""COMPUTED_VALUE"""),"Huntsville")</f>
        <v>Huntsville</v>
      </c>
      <c r="C1909" t="str">
        <f>IFERROR(__xludf.DUMMYFUNCTION("""COMPUTED_VALUE"""),"AL")</f>
        <v>AL</v>
      </c>
      <c r="D1909" t="str">
        <f>IFERROR(__xludf.DUMMYFUNCTION("""COMPUTED_VALUE"""),"USA")</f>
        <v>USA</v>
      </c>
      <c r="E1909" s="188">
        <f>IFERROR(__xludf.DUMMYFUNCTION("""COMPUTED_VALUE"""),43694.0)</f>
        <v>43694</v>
      </c>
      <c r="F1909" s="188">
        <f>IFERROR(__xludf.DUMMYFUNCTION("""COMPUTED_VALUE"""),43703.0)</f>
        <v>43703</v>
      </c>
      <c r="H1909">
        <f>IFERROR(__xludf.DUMMYFUNCTION("""COMPUTED_VALUE"""),437777.0)</f>
        <v>437777</v>
      </c>
      <c r="I1909" t="str">
        <f>IFERROR(__xludf.DUMMYFUNCTION("""COMPUTED_VALUE"""),"08/19")</f>
        <v>08/19</v>
      </c>
      <c r="J1909" s="5">
        <f>IFERROR(__xludf.DUMMYFUNCTION("""COMPUTED_VALUE"""),43705.0)</f>
        <v>43705</v>
      </c>
      <c r="K1909">
        <f>IFERROR(__xludf.DUMMYFUNCTION("""COMPUTED_VALUE"""),9.0)</f>
        <v>9</v>
      </c>
      <c r="L1909">
        <f>IFERROR(__xludf.DUMMYFUNCTION("""COMPUTED_VALUE"""),2.0)</f>
        <v>2</v>
      </c>
      <c r="M1909">
        <f>IFERROR(__xludf.DUMMYFUNCTION("""COMPUTED_VALUE"""),11.0)</f>
        <v>11</v>
      </c>
      <c r="N1909" t="str">
        <f>IFERROR(__xludf.DUMMYFUNCTION("""COMPUTED_VALUE"""),"Model 3 LR AWD")</f>
        <v>Model 3 LR AWD</v>
      </c>
      <c r="O1909" t="str">
        <f>IFERROR(__xludf.DUMMYFUNCTION("""COMPUTED_VALUE"""),"Deep Blue Metallic")</f>
        <v>Deep Blue Metallic</v>
      </c>
      <c r="P1909" t="str">
        <f>IFERROR(__xludf.DUMMYFUNCTION("""COMPUTED_VALUE"""),"18 inch Aero")</f>
        <v>18 inch Aero</v>
      </c>
      <c r="Q1909" t="str">
        <f>IFERROR(__xludf.DUMMYFUNCTION("""COMPUTED_VALUE"""),"White seats")</f>
        <v>White seats</v>
      </c>
      <c r="R1909" t="str">
        <f>IFERROR(__xludf.DUMMYFUNCTION("""COMPUTED_VALUE"""),"Full Self-Driving")</f>
        <v>Full Self-Driving</v>
      </c>
      <c r="X1909" t="str">
        <f>IFERROR(__xludf.DUMMYFUNCTION("""COMPUTED_VALUE"""),"Excellent")</f>
        <v>Excellent</v>
      </c>
      <c r="Y1909" t="str">
        <f>IFERROR(__xludf.DUMMYFUNCTION("""COMPUTED_VALUE"""),"Good")</f>
        <v>Good</v>
      </c>
      <c r="Z1909" t="str">
        <f>IFERROR(__xludf.DUMMYFUNCTION("""COMPUTED_VALUE"""),"Very Good")</f>
        <v>Very Good</v>
      </c>
      <c r="AA1909" t="str">
        <f>IFERROR(__xludf.DUMMYFUNCTION("""COMPUTED_VALUE"""),"Good")</f>
        <v>Good</v>
      </c>
      <c r="AB1909" t="str">
        <f>IFERROR(__xludf.DUMMYFUNCTION("""COMPUTED_VALUE"""),"Fair")</f>
        <v>Fair</v>
      </c>
      <c r="AC1909">
        <f>IFERROR(__xludf.DUMMYFUNCTION("""COMPUTED_VALUE"""),2.0)</f>
        <v>2</v>
      </c>
      <c r="AD1909">
        <f>IFERROR(__xludf.DUMMYFUNCTION("""COMPUTED_VALUE"""),0.0)</f>
        <v>0</v>
      </c>
      <c r="AE1909">
        <f>IFERROR(__xludf.DUMMYFUNCTION("""COMPUTED_VALUE"""),0.0)</f>
        <v>0</v>
      </c>
      <c r="AH1909" s="189">
        <f>IFERROR(__xludf.DUMMYFUNCTION("""COMPUTED_VALUE"""),43711.297868587964)</f>
        <v>43711.29787</v>
      </c>
    </row>
    <row r="1910">
      <c r="A1910" t="str">
        <f>IFERROR(__xludf.DUMMYFUNCTION("""COMPUTED_VALUE"""),"yourmother")</f>
        <v>yourmother</v>
      </c>
      <c r="B1910" t="str">
        <f>IFERROR(__xludf.DUMMYFUNCTION("""COMPUTED_VALUE"""),"Franklin")</f>
        <v>Franklin</v>
      </c>
      <c r="C1910" t="str">
        <f>IFERROR(__xludf.DUMMYFUNCTION("""COMPUTED_VALUE"""),"TN")</f>
        <v>TN</v>
      </c>
      <c r="D1910" t="str">
        <f>IFERROR(__xludf.DUMMYFUNCTION("""COMPUTED_VALUE"""),"USA")</f>
        <v>USA</v>
      </c>
      <c r="E1910" s="188">
        <f>IFERROR(__xludf.DUMMYFUNCTION("""COMPUTED_VALUE"""),43691.0)</f>
        <v>43691</v>
      </c>
      <c r="F1910" s="188">
        <f>IFERROR(__xludf.DUMMYFUNCTION("""COMPUTED_VALUE"""),43691.0)</f>
        <v>43691</v>
      </c>
      <c r="H1910" s="4">
        <f>IFERROR(__xludf.DUMMYFUNCTION("""COMPUTED_VALUE"""),426915.0)</f>
        <v>426915</v>
      </c>
      <c r="J1910" s="5">
        <f>IFERROR(__xludf.DUMMYFUNCTION("""COMPUTED_VALUE"""),43692.0)</f>
        <v>43692</v>
      </c>
      <c r="K1910">
        <f>IFERROR(__xludf.DUMMYFUNCTION("""COMPUTED_VALUE"""),0.0)</f>
        <v>0</v>
      </c>
      <c r="L1910">
        <f>IFERROR(__xludf.DUMMYFUNCTION("""COMPUTED_VALUE"""),1.0)</f>
        <v>1</v>
      </c>
      <c r="M1910">
        <f>IFERROR(__xludf.DUMMYFUNCTION("""COMPUTED_VALUE"""),1.0)</f>
        <v>1</v>
      </c>
      <c r="N1910" t="str">
        <f>IFERROR(__xludf.DUMMYFUNCTION("""COMPUTED_VALUE"""),"Model 3 SR+")</f>
        <v>Model 3 SR+</v>
      </c>
      <c r="O1910" t="str">
        <f>IFERROR(__xludf.DUMMYFUNCTION("""COMPUTED_VALUE"""),"Deep Blue Metallic")</f>
        <v>Deep Blue Metallic</v>
      </c>
      <c r="P1910" t="str">
        <f>IFERROR(__xludf.DUMMYFUNCTION("""COMPUTED_VALUE"""),"18 inch Aero")</f>
        <v>18 inch Aero</v>
      </c>
      <c r="Q1910" t="str">
        <f>IFERROR(__xludf.DUMMYFUNCTION("""COMPUTED_VALUE"""),"Black seats")</f>
        <v>Black seats</v>
      </c>
      <c r="R1910" t="str">
        <f>IFERROR(__xludf.DUMMYFUNCTION("""COMPUTED_VALUE"""),"Autopilot")</f>
        <v>Autopilot</v>
      </c>
      <c r="X1910" t="str">
        <f>IFERROR(__xludf.DUMMYFUNCTION("""COMPUTED_VALUE"""),"Excellent")</f>
        <v>Excellent</v>
      </c>
      <c r="Y1910" t="str">
        <f>IFERROR(__xludf.DUMMYFUNCTION("""COMPUTED_VALUE"""),"Excellent")</f>
        <v>Excellent</v>
      </c>
      <c r="Z1910" t="str">
        <f>IFERROR(__xludf.DUMMYFUNCTION("""COMPUTED_VALUE"""),"Excellent")</f>
        <v>Excellent</v>
      </c>
      <c r="AA1910" t="str">
        <f>IFERROR(__xludf.DUMMYFUNCTION("""COMPUTED_VALUE"""),"Excellent")</f>
        <v>Excellent</v>
      </c>
      <c r="AB1910" t="str">
        <f>IFERROR(__xludf.DUMMYFUNCTION("""COMPUTED_VALUE"""),"Excellent")</f>
        <v>Excellent</v>
      </c>
      <c r="AC1910">
        <f>IFERROR(__xludf.DUMMYFUNCTION("""COMPUTED_VALUE"""),0.0)</f>
        <v>0</v>
      </c>
      <c r="AD1910">
        <f>IFERROR(__xludf.DUMMYFUNCTION("""COMPUTED_VALUE"""),0.0)</f>
        <v>0</v>
      </c>
      <c r="AE1910">
        <f>IFERROR(__xludf.DUMMYFUNCTION("""COMPUTED_VALUE"""),0.0)</f>
        <v>0</v>
      </c>
      <c r="AG1910" t="str">
        <f>IFERROR(__xludf.DUMMYFUNCTION("""COMPUTED_VALUE"""),"SO far, so good")</f>
        <v>SO far, so good</v>
      </c>
      <c r="AH1910" s="189">
        <f>IFERROR(__xludf.DUMMYFUNCTION("""COMPUTED_VALUE"""),43711.30339606482)</f>
        <v>43711.3034</v>
      </c>
    </row>
    <row r="1911">
      <c r="A1911" t="str">
        <f>IFERROR(__xludf.DUMMYFUNCTION("""COMPUTED_VALUE"""),"JoeC")</f>
        <v>JoeC</v>
      </c>
      <c r="B1911" t="str">
        <f>IFERROR(__xludf.DUMMYFUNCTION("""COMPUTED_VALUE"""),"Leesburg")</f>
        <v>Leesburg</v>
      </c>
      <c r="C1911" t="str">
        <f>IFERROR(__xludf.DUMMYFUNCTION("""COMPUTED_VALUE"""),"VA")</f>
        <v>VA</v>
      </c>
      <c r="D1911" t="str">
        <f>IFERROR(__xludf.DUMMYFUNCTION("""COMPUTED_VALUE"""),"USA")</f>
        <v>USA</v>
      </c>
      <c r="E1911" s="188">
        <f>IFERROR(__xludf.DUMMYFUNCTION("""COMPUTED_VALUE"""),43655.0)</f>
        <v>43655</v>
      </c>
      <c r="F1911" s="188">
        <f>IFERROR(__xludf.DUMMYFUNCTION("""COMPUTED_VALUE"""),43657.0)</f>
        <v>43657</v>
      </c>
      <c r="H1911" s="4">
        <f>IFERROR(__xludf.DUMMYFUNCTION("""COMPUTED_VALUE"""),425596.0)</f>
        <v>425596</v>
      </c>
      <c r="J1911" s="5">
        <f>IFERROR(__xludf.DUMMYFUNCTION("""COMPUTED_VALUE"""),43661.0)</f>
        <v>43661</v>
      </c>
      <c r="K1911">
        <f>IFERROR(__xludf.DUMMYFUNCTION("""COMPUTED_VALUE"""),2.0)</f>
        <v>2</v>
      </c>
      <c r="L1911">
        <f>IFERROR(__xludf.DUMMYFUNCTION("""COMPUTED_VALUE"""),4.0)</f>
        <v>4</v>
      </c>
      <c r="M1911">
        <f>IFERROR(__xludf.DUMMYFUNCTION("""COMPUTED_VALUE"""),6.0)</f>
        <v>6</v>
      </c>
      <c r="N1911" t="str">
        <f>IFERROR(__xludf.DUMMYFUNCTION("""COMPUTED_VALUE"""),"Model 3 Performance")</f>
        <v>Model 3 Performance</v>
      </c>
      <c r="O1911" t="str">
        <f>IFERROR(__xludf.DUMMYFUNCTION("""COMPUTED_VALUE"""),"Pearl White Multi-Coat")</f>
        <v>Pearl White Multi-Coat</v>
      </c>
      <c r="P1911" t="str">
        <f>IFERROR(__xludf.DUMMYFUNCTION("""COMPUTED_VALUE"""),"20 inch Sport")</f>
        <v>20 inch Sport</v>
      </c>
      <c r="Q1911" t="str">
        <f>IFERROR(__xludf.DUMMYFUNCTION("""COMPUTED_VALUE"""),"Black seats")</f>
        <v>Black seats</v>
      </c>
      <c r="R1911" t="str">
        <f>IFERROR(__xludf.DUMMYFUNCTION("""COMPUTED_VALUE"""),"Full Self-Driving")</f>
        <v>Full Self-Driving</v>
      </c>
      <c r="X1911" t="str">
        <f>IFERROR(__xludf.DUMMYFUNCTION("""COMPUTED_VALUE"""),"Fair")</f>
        <v>Fair</v>
      </c>
      <c r="Y1911" t="str">
        <f>IFERROR(__xludf.DUMMYFUNCTION("""COMPUTED_VALUE"""),"Very Good")</f>
        <v>Very Good</v>
      </c>
      <c r="Z1911" t="str">
        <f>IFERROR(__xludf.DUMMYFUNCTION("""COMPUTED_VALUE"""),"Excellent")</f>
        <v>Excellent</v>
      </c>
      <c r="AA1911" t="str">
        <f>IFERROR(__xludf.DUMMYFUNCTION("""COMPUTED_VALUE"""),"Excellent")</f>
        <v>Excellent</v>
      </c>
      <c r="AB1911" t="str">
        <f>IFERROR(__xludf.DUMMYFUNCTION("""COMPUTED_VALUE"""),"Good")</f>
        <v>Good</v>
      </c>
      <c r="AC1911">
        <f>IFERROR(__xludf.DUMMYFUNCTION("""COMPUTED_VALUE"""),0.0)</f>
        <v>0</v>
      </c>
      <c r="AD1911">
        <f>IFERROR(__xludf.DUMMYFUNCTION("""COMPUTED_VALUE"""),0.0)</f>
        <v>0</v>
      </c>
      <c r="AE1911">
        <f>IFERROR(__xludf.DUMMYFUNCTION("""COMPUTED_VALUE"""),0.0)</f>
        <v>0</v>
      </c>
      <c r="AG1911" t="str">
        <f>IFERROR(__xludf.DUMMYFUNCTION("""COMPUTED_VALUE"""),"Vehicle was returned 7/19/19; due to price drop.")</f>
        <v>Vehicle was returned 7/19/19; due to price drop.</v>
      </c>
      <c r="AH1911" s="189">
        <f>IFERROR(__xludf.DUMMYFUNCTION("""COMPUTED_VALUE"""),43713.317625173615)</f>
        <v>43713.31763</v>
      </c>
    </row>
    <row r="1912">
      <c r="A1912" t="str">
        <f>IFERROR(__xludf.DUMMYFUNCTION("""COMPUTED_VALUE"""),"ElonsBro")</f>
        <v>ElonsBro</v>
      </c>
      <c r="B1912" t="str">
        <f>IFERROR(__xludf.DUMMYFUNCTION("""COMPUTED_VALUE"""),"Denver")</f>
        <v>Denver</v>
      </c>
      <c r="C1912" t="str">
        <f>IFERROR(__xludf.DUMMYFUNCTION("""COMPUTED_VALUE"""),"CO")</f>
        <v>CO</v>
      </c>
      <c r="D1912" t="str">
        <f>IFERROR(__xludf.DUMMYFUNCTION("""COMPUTED_VALUE"""),"USA")</f>
        <v>USA</v>
      </c>
      <c r="E1912" s="188">
        <f>IFERROR(__xludf.DUMMYFUNCTION("""COMPUTED_VALUE"""),43637.0)</f>
        <v>43637</v>
      </c>
      <c r="J1912" s="5">
        <f>IFERROR(__xludf.DUMMYFUNCTION("""COMPUTED_VALUE"""),43644.0)</f>
        <v>43644</v>
      </c>
      <c r="M1912">
        <f>IFERROR(__xludf.DUMMYFUNCTION("""COMPUTED_VALUE"""),7.0)</f>
        <v>7</v>
      </c>
      <c r="N1912" t="str">
        <f>IFERROR(__xludf.DUMMYFUNCTION("""COMPUTED_VALUE"""),"Model 3 SR+")</f>
        <v>Model 3 SR+</v>
      </c>
      <c r="O1912" t="str">
        <f>IFERROR(__xludf.DUMMYFUNCTION("""COMPUTED_VALUE"""),"Deep Blue Metallic")</f>
        <v>Deep Blue Metallic</v>
      </c>
      <c r="P1912" t="str">
        <f>IFERROR(__xludf.DUMMYFUNCTION("""COMPUTED_VALUE"""),"19 inch Sport")</f>
        <v>19 inch Sport</v>
      </c>
      <c r="Q1912" t="str">
        <f>IFERROR(__xludf.DUMMYFUNCTION("""COMPUTED_VALUE"""),"White seats")</f>
        <v>White seats</v>
      </c>
      <c r="R1912" t="str">
        <f>IFERROR(__xludf.DUMMYFUNCTION("""COMPUTED_VALUE"""),"Autopilot")</f>
        <v>Autopilot</v>
      </c>
      <c r="X1912" t="str">
        <f>IFERROR(__xludf.DUMMYFUNCTION("""COMPUTED_VALUE"""),"Good")</f>
        <v>Good</v>
      </c>
      <c r="Y1912" t="str">
        <f>IFERROR(__xludf.DUMMYFUNCTION("""COMPUTED_VALUE"""),"Good")</f>
        <v>Good</v>
      </c>
      <c r="Z1912" t="str">
        <f>IFERROR(__xludf.DUMMYFUNCTION("""COMPUTED_VALUE"""),"Good")</f>
        <v>Good</v>
      </c>
      <c r="AA1912" t="str">
        <f>IFERROR(__xludf.DUMMYFUNCTION("""COMPUTED_VALUE"""),"Good")</f>
        <v>Good</v>
      </c>
      <c r="AC1912">
        <f>IFERROR(__xludf.DUMMYFUNCTION("""COMPUTED_VALUE"""),0.0)</f>
        <v>0</v>
      </c>
      <c r="AH1912" s="189">
        <f>IFERROR(__xludf.DUMMYFUNCTION("""COMPUTED_VALUE"""),43714.3450641088)</f>
        <v>43714.34506</v>
      </c>
    </row>
    <row r="1913">
      <c r="A1913" t="str">
        <f>IFERROR(__xludf.DUMMYFUNCTION("""COMPUTED_VALUE"""),"Manitoba Keith")</f>
        <v>Manitoba Keith</v>
      </c>
      <c r="B1913" t="str">
        <f>IFERROR(__xludf.DUMMYFUNCTION("""COMPUTED_VALUE"""),"Brandon")</f>
        <v>Brandon</v>
      </c>
      <c r="C1913" t="str">
        <f>IFERROR(__xludf.DUMMYFUNCTION("""COMPUTED_VALUE"""),"MB")</f>
        <v>MB</v>
      </c>
      <c r="D1913" t="str">
        <f>IFERROR(__xludf.DUMMYFUNCTION("""COMPUTED_VALUE"""),"Canada")</f>
        <v>Canada</v>
      </c>
      <c r="E1913" s="188">
        <f>IFERROR(__xludf.DUMMYFUNCTION("""COMPUTED_VALUE"""),43679.0)</f>
        <v>43679</v>
      </c>
      <c r="F1913" s="188">
        <f>IFERROR(__xludf.DUMMYFUNCTION("""COMPUTED_VALUE"""),43695.0)</f>
        <v>43695</v>
      </c>
      <c r="H1913">
        <f>IFERROR(__xludf.DUMMYFUNCTION("""COMPUTED_VALUE"""),415055.0)</f>
        <v>415055</v>
      </c>
      <c r="I1913" t="str">
        <f>IFERROR(__xludf.DUMMYFUNCTION("""COMPUTED_VALUE"""),"08/19")</f>
        <v>08/19</v>
      </c>
      <c r="J1913" s="5">
        <f>IFERROR(__xludf.DUMMYFUNCTION("""COMPUTED_VALUE"""),43713.0)</f>
        <v>43713</v>
      </c>
      <c r="K1913">
        <f>IFERROR(__xludf.DUMMYFUNCTION("""COMPUTED_VALUE"""),16.0)</f>
        <v>16</v>
      </c>
      <c r="L1913">
        <f>IFERROR(__xludf.DUMMYFUNCTION("""COMPUTED_VALUE"""),18.0)</f>
        <v>18</v>
      </c>
      <c r="M1913">
        <f>IFERROR(__xludf.DUMMYFUNCTION("""COMPUTED_VALUE"""),34.0)</f>
        <v>34</v>
      </c>
      <c r="N1913" t="str">
        <f>IFERROR(__xludf.DUMMYFUNCTION("""COMPUTED_VALUE"""),"Model 3 LR AWD")</f>
        <v>Model 3 LR AWD</v>
      </c>
      <c r="O1913" t="str">
        <f>IFERROR(__xludf.DUMMYFUNCTION("""COMPUTED_VALUE"""),"Pearl White Multi-Coat")</f>
        <v>Pearl White Multi-Coat</v>
      </c>
      <c r="P1913" t="str">
        <f>IFERROR(__xludf.DUMMYFUNCTION("""COMPUTED_VALUE"""),"18 inch Aero")</f>
        <v>18 inch Aero</v>
      </c>
      <c r="Q1913" t="str">
        <f>IFERROR(__xludf.DUMMYFUNCTION("""COMPUTED_VALUE"""),"Black seats")</f>
        <v>Black seats</v>
      </c>
      <c r="R1913" t="str">
        <f>IFERROR(__xludf.DUMMYFUNCTION("""COMPUTED_VALUE"""),"Full Self-Driving")</f>
        <v>Full Self-Driving</v>
      </c>
      <c r="X1913" t="str">
        <f>IFERROR(__xludf.DUMMYFUNCTION("""COMPUTED_VALUE"""),"Good")</f>
        <v>Good</v>
      </c>
      <c r="Y1913" t="str">
        <f>IFERROR(__xludf.DUMMYFUNCTION("""COMPUTED_VALUE"""),"Good")</f>
        <v>Good</v>
      </c>
      <c r="Z1913" t="str">
        <f>IFERROR(__xludf.DUMMYFUNCTION("""COMPUTED_VALUE"""),"Good")</f>
        <v>Good</v>
      </c>
      <c r="AA1913" t="str">
        <f>IFERROR(__xludf.DUMMYFUNCTION("""COMPUTED_VALUE"""),"Excellent")</f>
        <v>Excellent</v>
      </c>
      <c r="AB1913" t="str">
        <f>IFERROR(__xludf.DUMMYFUNCTION("""COMPUTED_VALUE"""),"Excellent")</f>
        <v>Excellent</v>
      </c>
      <c r="AG1913" t="str">
        <f>IFERROR(__xludf.DUMMYFUNCTION("""COMPUTED_VALUE"""),"First VIN disappeared this is the second")</f>
        <v>First VIN disappeared this is the second</v>
      </c>
      <c r="AH1913" s="189">
        <f>IFERROR(__xludf.DUMMYFUNCTION("""COMPUTED_VALUE"""),43714.47123274306)</f>
        <v>43714.47123</v>
      </c>
    </row>
    <row r="1914">
      <c r="A1914" t="str">
        <f>IFERROR(__xludf.DUMMYFUNCTION("""COMPUTED_VALUE"""),"bonkers818")</f>
        <v>bonkers818</v>
      </c>
      <c r="B1914" t="str">
        <f>IFERROR(__xludf.DUMMYFUNCTION("""COMPUTED_VALUE"""),"East Brunswick")</f>
        <v>East Brunswick</v>
      </c>
      <c r="C1914" t="str">
        <f>IFERROR(__xludf.DUMMYFUNCTION("""COMPUTED_VALUE"""),"NJ")</f>
        <v>NJ</v>
      </c>
      <c r="D1914" t="str">
        <f>IFERROR(__xludf.DUMMYFUNCTION("""COMPUTED_VALUE"""),"USA")</f>
        <v>USA</v>
      </c>
      <c r="E1914" s="188">
        <f>IFERROR(__xludf.DUMMYFUNCTION("""COMPUTED_VALUE"""),43695.0)</f>
        <v>43695</v>
      </c>
      <c r="F1914" s="188">
        <f>IFERROR(__xludf.DUMMYFUNCTION("""COMPUTED_VALUE"""),43703.0)</f>
        <v>43703</v>
      </c>
      <c r="H1914">
        <f>IFERROR(__xludf.DUMMYFUNCTION("""COMPUTED_VALUE"""),494455.0)</f>
        <v>494455</v>
      </c>
      <c r="I1914" t="str">
        <f>IFERROR(__xludf.DUMMYFUNCTION("""COMPUTED_VALUE"""),"08/19")</f>
        <v>08/19</v>
      </c>
      <c r="J1914" s="5">
        <f>IFERROR(__xludf.DUMMYFUNCTION("""COMPUTED_VALUE"""),43715.0)</f>
        <v>43715</v>
      </c>
      <c r="K1914">
        <f>IFERROR(__xludf.DUMMYFUNCTION("""COMPUTED_VALUE"""),8.0)</f>
        <v>8</v>
      </c>
      <c r="L1914">
        <f>IFERROR(__xludf.DUMMYFUNCTION("""COMPUTED_VALUE"""),12.0)</f>
        <v>12</v>
      </c>
      <c r="M1914">
        <f>IFERROR(__xludf.DUMMYFUNCTION("""COMPUTED_VALUE"""),20.0)</f>
        <v>20</v>
      </c>
      <c r="N1914" t="str">
        <f>IFERROR(__xludf.DUMMYFUNCTION("""COMPUTED_VALUE"""),"Model 3 LR AWD")</f>
        <v>Model 3 LR AWD</v>
      </c>
      <c r="O1914" t="str">
        <f>IFERROR(__xludf.DUMMYFUNCTION("""COMPUTED_VALUE"""),"Pearl White Multi-Coat")</f>
        <v>Pearl White Multi-Coat</v>
      </c>
      <c r="P1914" t="str">
        <f>IFERROR(__xludf.DUMMYFUNCTION("""COMPUTED_VALUE"""),"18 inch Aero")</f>
        <v>18 inch Aero</v>
      </c>
      <c r="Q1914" t="str">
        <f>IFERROR(__xludf.DUMMYFUNCTION("""COMPUTED_VALUE"""),"White seats")</f>
        <v>White seats</v>
      </c>
      <c r="R1914" t="str">
        <f>IFERROR(__xludf.DUMMYFUNCTION("""COMPUTED_VALUE"""),"Full Self-Driving")</f>
        <v>Full Self-Driving</v>
      </c>
      <c r="X1914" t="str">
        <f>IFERROR(__xludf.DUMMYFUNCTION("""COMPUTED_VALUE"""),"Very Good")</f>
        <v>Very Good</v>
      </c>
      <c r="Y1914" t="str">
        <f>IFERROR(__xludf.DUMMYFUNCTION("""COMPUTED_VALUE"""),"Very Good")</f>
        <v>Very Good</v>
      </c>
      <c r="Z1914" t="str">
        <f>IFERROR(__xludf.DUMMYFUNCTION("""COMPUTED_VALUE"""),"Very Good")</f>
        <v>Very Good</v>
      </c>
      <c r="AA1914" t="str">
        <f>IFERROR(__xludf.DUMMYFUNCTION("""COMPUTED_VALUE"""),"Good")</f>
        <v>Good</v>
      </c>
      <c r="AB1914" t="str">
        <f>IFERROR(__xludf.DUMMYFUNCTION("""COMPUTED_VALUE"""),"Very Good")</f>
        <v>Very Good</v>
      </c>
      <c r="AC1914">
        <f>IFERROR(__xludf.DUMMYFUNCTION("""COMPUTED_VALUE"""),2.0)</f>
        <v>2</v>
      </c>
      <c r="AH1914" s="189">
        <f>IFERROR(__xludf.DUMMYFUNCTION("""COMPUTED_VALUE"""),43715.72538376157)</f>
        <v>43715.72538</v>
      </c>
    </row>
    <row r="1915">
      <c r="A1915" t="str">
        <f>IFERROR(__xludf.DUMMYFUNCTION("""COMPUTED_VALUE"""),"homestead_j")</f>
        <v>homestead_j</v>
      </c>
      <c r="B1915" t="str">
        <f>IFERROR(__xludf.DUMMYFUNCTION("""COMPUTED_VALUE"""),"Sparks")</f>
        <v>Sparks</v>
      </c>
      <c r="C1915" t="str">
        <f>IFERROR(__xludf.DUMMYFUNCTION("""COMPUTED_VALUE"""),"NV")</f>
        <v>NV</v>
      </c>
      <c r="D1915" t="str">
        <f>IFERROR(__xludf.DUMMYFUNCTION("""COMPUTED_VALUE"""),"USA")</f>
        <v>USA</v>
      </c>
      <c r="E1915" s="188">
        <f>IFERROR(__xludf.DUMMYFUNCTION("""COMPUTED_VALUE"""),43701.0)</f>
        <v>43701</v>
      </c>
      <c r="F1915" s="188">
        <f>IFERROR(__xludf.DUMMYFUNCTION("""COMPUTED_VALUE"""),43702.0)</f>
        <v>43702</v>
      </c>
      <c r="H1915">
        <f>IFERROR(__xludf.DUMMYFUNCTION("""COMPUTED_VALUE"""),421909.0)</f>
        <v>421909</v>
      </c>
      <c r="I1915" t="str">
        <f>IFERROR(__xludf.DUMMYFUNCTION("""COMPUTED_VALUE"""),"06/19")</f>
        <v>06/19</v>
      </c>
      <c r="J1915" s="5">
        <f>IFERROR(__xludf.DUMMYFUNCTION("""COMPUTED_VALUE"""),43712.0)</f>
        <v>43712</v>
      </c>
      <c r="K1915">
        <f>IFERROR(__xludf.DUMMYFUNCTION("""COMPUTED_VALUE"""),1.0)</f>
        <v>1</v>
      </c>
      <c r="L1915">
        <f>IFERROR(__xludf.DUMMYFUNCTION("""COMPUTED_VALUE"""),10.0)</f>
        <v>10</v>
      </c>
      <c r="M1915">
        <f>IFERROR(__xludf.DUMMYFUNCTION("""COMPUTED_VALUE"""),11.0)</f>
        <v>11</v>
      </c>
      <c r="N1915" t="str">
        <f>IFERROR(__xludf.DUMMYFUNCTION("""COMPUTED_VALUE"""),"Model 3 LR AWD")</f>
        <v>Model 3 LR AWD</v>
      </c>
      <c r="O1915" t="str">
        <f>IFERROR(__xludf.DUMMYFUNCTION("""COMPUTED_VALUE"""),"Solid Black")</f>
        <v>Solid Black</v>
      </c>
      <c r="P1915" t="str">
        <f>IFERROR(__xludf.DUMMYFUNCTION("""COMPUTED_VALUE"""),"19 inch Sport")</f>
        <v>19 inch Sport</v>
      </c>
      <c r="Q1915" t="str">
        <f>IFERROR(__xludf.DUMMYFUNCTION("""COMPUTED_VALUE"""),"White seats")</f>
        <v>White seats</v>
      </c>
      <c r="R1915" t="str">
        <f>IFERROR(__xludf.DUMMYFUNCTION("""COMPUTED_VALUE"""),"Full Self-Driving")</f>
        <v>Full Self-Driving</v>
      </c>
      <c r="X1915" t="str">
        <f>IFERROR(__xludf.DUMMYFUNCTION("""COMPUTED_VALUE"""),"Very Good")</f>
        <v>Very Good</v>
      </c>
      <c r="Y1915" t="str">
        <f>IFERROR(__xludf.DUMMYFUNCTION("""COMPUTED_VALUE"""),"Excellent")</f>
        <v>Excellent</v>
      </c>
      <c r="Z1915" t="str">
        <f>IFERROR(__xludf.DUMMYFUNCTION("""COMPUTED_VALUE"""),"Excellent")</f>
        <v>Excellent</v>
      </c>
      <c r="AA1915" t="str">
        <f>IFERROR(__xludf.DUMMYFUNCTION("""COMPUTED_VALUE"""),"Very Good")</f>
        <v>Very Good</v>
      </c>
      <c r="AB1915" t="str">
        <f>IFERROR(__xludf.DUMMYFUNCTION("""COMPUTED_VALUE"""),"Excellent")</f>
        <v>Excellent</v>
      </c>
      <c r="AH1915" s="189">
        <f>IFERROR(__xludf.DUMMYFUNCTION("""COMPUTED_VALUE"""),43717.295370023145)</f>
        <v>43717.29537</v>
      </c>
    </row>
    <row r="1916">
      <c r="A1916" t="str">
        <f>IFERROR(__xludf.DUMMYFUNCTION("""COMPUTED_VALUE"""),"Mansonville")</f>
        <v>Mansonville</v>
      </c>
      <c r="B1916" t="str">
        <f>IFERROR(__xludf.DUMMYFUNCTION("""COMPUTED_VALUE"""),"Toronto")</f>
        <v>Toronto</v>
      </c>
      <c r="C1916" t="str">
        <f>IFERROR(__xludf.DUMMYFUNCTION("""COMPUTED_VALUE"""),"ON")</f>
        <v>ON</v>
      </c>
      <c r="D1916" t="str">
        <f>IFERROR(__xludf.DUMMYFUNCTION("""COMPUTED_VALUE"""),"Canada")</f>
        <v>Canada</v>
      </c>
      <c r="E1916" s="188">
        <f>IFERROR(__xludf.DUMMYFUNCTION("""COMPUTED_VALUE"""),43683.0)</f>
        <v>43683</v>
      </c>
      <c r="F1916" s="188">
        <f>IFERROR(__xludf.DUMMYFUNCTION("""COMPUTED_VALUE"""),43715.0)</f>
        <v>43715</v>
      </c>
      <c r="H1916">
        <f>IFERROR(__xludf.DUMMYFUNCTION("""COMPUTED_VALUE"""),427555.0)</f>
        <v>427555</v>
      </c>
      <c r="J1916" s="5">
        <f>IFERROR(__xludf.DUMMYFUNCTION("""COMPUTED_VALUE"""),43732.0)</f>
        <v>43732</v>
      </c>
      <c r="K1916">
        <f>IFERROR(__xludf.DUMMYFUNCTION("""COMPUTED_VALUE"""),32.0)</f>
        <v>32</v>
      </c>
      <c r="L1916">
        <f>IFERROR(__xludf.DUMMYFUNCTION("""COMPUTED_VALUE"""),17.0)</f>
        <v>17</v>
      </c>
      <c r="M1916">
        <f>IFERROR(__xludf.DUMMYFUNCTION("""COMPUTED_VALUE"""),49.0)</f>
        <v>49</v>
      </c>
      <c r="N1916" t="str">
        <f>IFERROR(__xludf.DUMMYFUNCTION("""COMPUTED_VALUE"""),"Model 3 Performance")</f>
        <v>Model 3 Performance</v>
      </c>
      <c r="O1916" t="str">
        <f>IFERROR(__xludf.DUMMYFUNCTION("""COMPUTED_VALUE"""),"Pearl White Multi-Coat")</f>
        <v>Pearl White Multi-Coat</v>
      </c>
      <c r="P1916" t="str">
        <f>IFERROR(__xludf.DUMMYFUNCTION("""COMPUTED_VALUE"""),"20 inch Sport")</f>
        <v>20 inch Sport</v>
      </c>
      <c r="Q1916" t="str">
        <f>IFERROR(__xludf.DUMMYFUNCTION("""COMPUTED_VALUE"""),"White seats")</f>
        <v>White seats</v>
      </c>
      <c r="R1916" t="str">
        <f>IFERROR(__xludf.DUMMYFUNCTION("""COMPUTED_VALUE"""),"Full Self-Driving")</f>
        <v>Full Self-Driving</v>
      </c>
      <c r="AA1916" t="str">
        <f>IFERROR(__xludf.DUMMYFUNCTION("""COMPUTED_VALUE"""),"Good")</f>
        <v>Good</v>
      </c>
      <c r="AH1916" s="189">
        <f>IFERROR(__xludf.DUMMYFUNCTION("""COMPUTED_VALUE"""),43717.82205396991)</f>
        <v>43717.82205</v>
      </c>
    </row>
    <row r="1917">
      <c r="A1917" t="str">
        <f>IFERROR(__xludf.DUMMYFUNCTION("""COMPUTED_VALUE"""),"Scohtay")</f>
        <v>Scohtay</v>
      </c>
      <c r="B1917" t="str">
        <f>IFERROR(__xludf.DUMMYFUNCTION("""COMPUTED_VALUE"""),"Weybridge")</f>
        <v>Weybridge</v>
      </c>
      <c r="D1917" t="str">
        <f>IFERROR(__xludf.DUMMYFUNCTION("""COMPUTED_VALUE"""),"United Kingdom")</f>
        <v>United Kingdom</v>
      </c>
      <c r="E1917" s="188">
        <f>IFERROR(__xludf.DUMMYFUNCTION("""COMPUTED_VALUE"""),43587.0)</f>
        <v>43587</v>
      </c>
      <c r="F1917" s="188">
        <f>IFERROR(__xludf.DUMMYFUNCTION("""COMPUTED_VALUE"""),43685.0)</f>
        <v>43685</v>
      </c>
      <c r="H1917">
        <f>IFERROR(__xludf.DUMMYFUNCTION("""COMPUTED_VALUE"""),439655.0)</f>
        <v>439655</v>
      </c>
      <c r="J1917" s="5">
        <f>IFERROR(__xludf.DUMMYFUNCTION("""COMPUTED_VALUE"""),43691.0)</f>
        <v>43691</v>
      </c>
      <c r="K1917">
        <f>IFERROR(__xludf.DUMMYFUNCTION("""COMPUTED_VALUE"""),98.0)</f>
        <v>98</v>
      </c>
      <c r="L1917">
        <f>IFERROR(__xludf.DUMMYFUNCTION("""COMPUTED_VALUE"""),6.0)</f>
        <v>6</v>
      </c>
      <c r="M1917">
        <f>IFERROR(__xludf.DUMMYFUNCTION("""COMPUTED_VALUE"""),104.0)</f>
        <v>104</v>
      </c>
      <c r="N1917" t="str">
        <f>IFERROR(__xludf.DUMMYFUNCTION("""COMPUTED_VALUE"""),"Model 3 Performance")</f>
        <v>Model 3 Performance</v>
      </c>
      <c r="O1917" t="str">
        <f>IFERROR(__xludf.DUMMYFUNCTION("""COMPUTED_VALUE"""),"Pearl White Multi-Coat")</f>
        <v>Pearl White Multi-Coat</v>
      </c>
      <c r="P1917" t="str">
        <f>IFERROR(__xludf.DUMMYFUNCTION("""COMPUTED_VALUE"""),"20 inch Sport")</f>
        <v>20 inch Sport</v>
      </c>
      <c r="Q1917" t="str">
        <f>IFERROR(__xludf.DUMMYFUNCTION("""COMPUTED_VALUE"""),"White seats")</f>
        <v>White seats</v>
      </c>
      <c r="R1917" t="str">
        <f>IFERROR(__xludf.DUMMYFUNCTION("""COMPUTED_VALUE"""),"Full Self-Driving")</f>
        <v>Full Self-Driving</v>
      </c>
      <c r="X1917" t="str">
        <f>IFERROR(__xludf.DUMMYFUNCTION("""COMPUTED_VALUE"""),"Excellent")</f>
        <v>Excellent</v>
      </c>
      <c r="Y1917" t="str">
        <f>IFERROR(__xludf.DUMMYFUNCTION("""COMPUTED_VALUE"""),"Excellent")</f>
        <v>Excellent</v>
      </c>
      <c r="Z1917" t="str">
        <f>IFERROR(__xludf.DUMMYFUNCTION("""COMPUTED_VALUE"""),"Very Good")</f>
        <v>Very Good</v>
      </c>
      <c r="AA1917" t="str">
        <f>IFERROR(__xludf.DUMMYFUNCTION("""COMPUTED_VALUE"""),"Excellent")</f>
        <v>Excellent</v>
      </c>
      <c r="AB1917" t="str">
        <f>IFERROR(__xludf.DUMMYFUNCTION("""COMPUTED_VALUE"""),"Excellent")</f>
        <v>Excellent</v>
      </c>
      <c r="AC1917">
        <f>IFERROR(__xludf.DUMMYFUNCTION("""COMPUTED_VALUE"""),0.0)</f>
        <v>0</v>
      </c>
      <c r="AD1917">
        <f>IFERROR(__xludf.DUMMYFUNCTION("""COMPUTED_VALUE"""),0.0)</f>
        <v>0</v>
      </c>
      <c r="AE1917">
        <f>IFERROR(__xludf.DUMMYFUNCTION("""COMPUTED_VALUE"""),0.0)</f>
        <v>0</v>
      </c>
      <c r="AH1917" s="189">
        <f>IFERROR(__xludf.DUMMYFUNCTION("""COMPUTED_VALUE"""),43718.197883298606)</f>
        <v>43718.19788</v>
      </c>
    </row>
    <row r="1918">
      <c r="A1918" t="str">
        <f>IFERROR(__xludf.DUMMYFUNCTION("""COMPUTED_VALUE"""),"DC")</f>
        <v>DC</v>
      </c>
      <c r="C1918" t="str">
        <f>IFERROR(__xludf.DUMMYFUNCTION("""COMPUTED_VALUE"""),"PE")</f>
        <v>PE</v>
      </c>
      <c r="D1918" t="str">
        <f>IFERROR(__xludf.DUMMYFUNCTION("""COMPUTED_VALUE"""),"Canada")</f>
        <v>Canada</v>
      </c>
      <c r="E1918" s="188">
        <f>IFERROR(__xludf.DUMMYFUNCTION("""COMPUTED_VALUE"""),43693.0)</f>
        <v>43693</v>
      </c>
      <c r="F1918" s="188">
        <f>IFERROR(__xludf.DUMMYFUNCTION("""COMPUTED_VALUE"""),43698.0)</f>
        <v>43698</v>
      </c>
      <c r="H1918">
        <f>IFERROR(__xludf.DUMMYFUNCTION("""COMPUTED_VALUE"""),480355.0)</f>
        <v>480355</v>
      </c>
      <c r="I1918" t="str">
        <f>IFERROR(__xludf.DUMMYFUNCTION("""COMPUTED_VALUE"""),"08/19")</f>
        <v>08/19</v>
      </c>
      <c r="J1918" s="5">
        <f>IFERROR(__xludf.DUMMYFUNCTION("""COMPUTED_VALUE"""),43718.0)</f>
        <v>43718</v>
      </c>
      <c r="K1918">
        <f>IFERROR(__xludf.DUMMYFUNCTION("""COMPUTED_VALUE"""),5.0)</f>
        <v>5</v>
      </c>
      <c r="L1918">
        <f>IFERROR(__xludf.DUMMYFUNCTION("""COMPUTED_VALUE"""),20.0)</f>
        <v>20</v>
      </c>
      <c r="M1918">
        <f>IFERROR(__xludf.DUMMYFUNCTION("""COMPUTED_VALUE"""),25.0)</f>
        <v>25</v>
      </c>
      <c r="N1918" t="str">
        <f>IFERROR(__xludf.DUMMYFUNCTION("""COMPUTED_VALUE"""),"Model 3 SR+")</f>
        <v>Model 3 SR+</v>
      </c>
      <c r="O1918" t="str">
        <f>IFERROR(__xludf.DUMMYFUNCTION("""COMPUTED_VALUE"""),"Pearl White Multi-Coat")</f>
        <v>Pearl White Multi-Coat</v>
      </c>
      <c r="P1918" t="str">
        <f>IFERROR(__xludf.DUMMYFUNCTION("""COMPUTED_VALUE"""),"18 inch Aero")</f>
        <v>18 inch Aero</v>
      </c>
      <c r="Q1918" t="str">
        <f>IFERROR(__xludf.DUMMYFUNCTION("""COMPUTED_VALUE"""),"Black seats")</f>
        <v>Black seats</v>
      </c>
      <c r="R1918" t="str">
        <f>IFERROR(__xludf.DUMMYFUNCTION("""COMPUTED_VALUE"""),"Autopilot")</f>
        <v>Autopilot</v>
      </c>
      <c r="X1918" t="str">
        <f>IFERROR(__xludf.DUMMYFUNCTION("""COMPUTED_VALUE"""),"Very Good")</f>
        <v>Very Good</v>
      </c>
      <c r="Y1918" t="str">
        <f>IFERROR(__xludf.DUMMYFUNCTION("""COMPUTED_VALUE"""),"Very Good")</f>
        <v>Very Good</v>
      </c>
      <c r="Z1918" t="str">
        <f>IFERROR(__xludf.DUMMYFUNCTION("""COMPUTED_VALUE"""),"Very Good")</f>
        <v>Very Good</v>
      </c>
      <c r="AA1918" t="str">
        <f>IFERROR(__xludf.DUMMYFUNCTION("""COMPUTED_VALUE"""),"Fair")</f>
        <v>Fair</v>
      </c>
      <c r="AB1918" t="str">
        <f>IFERROR(__xludf.DUMMYFUNCTION("""COMPUTED_VALUE"""),"Fair")</f>
        <v>Fair</v>
      </c>
      <c r="AH1918" s="189">
        <f>IFERROR(__xludf.DUMMYFUNCTION("""COMPUTED_VALUE"""),43719.27946423611)</f>
        <v>43719.27946</v>
      </c>
    </row>
    <row r="1919">
      <c r="A1919" t="str">
        <f>IFERROR(__xludf.DUMMYFUNCTION("""COMPUTED_VALUE"""),"Bosscat")</f>
        <v>Bosscat</v>
      </c>
      <c r="B1919" t="str">
        <f>IFERROR(__xludf.DUMMYFUNCTION("""COMPUTED_VALUE"""),"San Jose")</f>
        <v>San Jose</v>
      </c>
      <c r="C1919" t="str">
        <f>IFERROR(__xludf.DUMMYFUNCTION("""COMPUTED_VALUE"""),"CA")</f>
        <v>CA</v>
      </c>
      <c r="D1919" t="str">
        <f>IFERROR(__xludf.DUMMYFUNCTION("""COMPUTED_VALUE"""),"USA")</f>
        <v>USA</v>
      </c>
      <c r="E1919" s="188">
        <f>IFERROR(__xludf.DUMMYFUNCTION("""COMPUTED_VALUE"""),43694.0)</f>
        <v>43694</v>
      </c>
      <c r="F1919" s="188">
        <f>IFERROR(__xludf.DUMMYFUNCTION("""COMPUTED_VALUE"""),43715.0)</f>
        <v>43715</v>
      </c>
      <c r="H1919">
        <f>IFERROR(__xludf.DUMMYFUNCTION("""COMPUTED_VALUE"""),452239.0)</f>
        <v>452239</v>
      </c>
      <c r="I1919" t="str">
        <f>IFERROR(__xludf.DUMMYFUNCTION("""COMPUTED_VALUE"""),"09/19")</f>
        <v>09/19</v>
      </c>
      <c r="J1919" s="5">
        <f>IFERROR(__xludf.DUMMYFUNCTION("""COMPUTED_VALUE"""),43718.0)</f>
        <v>43718</v>
      </c>
      <c r="K1919">
        <f>IFERROR(__xludf.DUMMYFUNCTION("""COMPUTED_VALUE"""),21.0)</f>
        <v>21</v>
      </c>
      <c r="L1919">
        <f>IFERROR(__xludf.DUMMYFUNCTION("""COMPUTED_VALUE"""),3.0)</f>
        <v>3</v>
      </c>
      <c r="M1919">
        <f>IFERROR(__xludf.DUMMYFUNCTION("""COMPUTED_VALUE"""),24.0)</f>
        <v>24</v>
      </c>
      <c r="N1919" t="str">
        <f>IFERROR(__xludf.DUMMYFUNCTION("""COMPUTED_VALUE"""),"Model 3 LR AWD")</f>
        <v>Model 3 LR AWD</v>
      </c>
      <c r="O1919" t="str">
        <f>IFERROR(__xludf.DUMMYFUNCTION("""COMPUTED_VALUE"""),"Midnight Silver Metallic")</f>
        <v>Midnight Silver Metallic</v>
      </c>
      <c r="P1919" t="str">
        <f>IFERROR(__xludf.DUMMYFUNCTION("""COMPUTED_VALUE"""),"18 inch Aero")</f>
        <v>18 inch Aero</v>
      </c>
      <c r="Q1919" t="str">
        <f>IFERROR(__xludf.DUMMYFUNCTION("""COMPUTED_VALUE"""),"Black seats")</f>
        <v>Black seats</v>
      </c>
      <c r="R1919" t="str">
        <f>IFERROR(__xludf.DUMMYFUNCTION("""COMPUTED_VALUE"""),"Autopilot")</f>
        <v>Autopilot</v>
      </c>
      <c r="X1919" t="str">
        <f>IFERROR(__xludf.DUMMYFUNCTION("""COMPUTED_VALUE"""),"Very Good")</f>
        <v>Very Good</v>
      </c>
      <c r="Y1919" t="str">
        <f>IFERROR(__xludf.DUMMYFUNCTION("""COMPUTED_VALUE"""),"Very Good")</f>
        <v>Very Good</v>
      </c>
      <c r="Z1919" t="str">
        <f>IFERROR(__xludf.DUMMYFUNCTION("""COMPUTED_VALUE"""),"Very Good")</f>
        <v>Very Good</v>
      </c>
      <c r="AA1919" t="str">
        <f>IFERROR(__xludf.DUMMYFUNCTION("""COMPUTED_VALUE"""),"Good")</f>
        <v>Good</v>
      </c>
      <c r="AB1919" t="str">
        <f>IFERROR(__xludf.DUMMYFUNCTION("""COMPUTED_VALUE"""),"Fair")</f>
        <v>Fair</v>
      </c>
      <c r="AH1919" s="189">
        <f>IFERROR(__xludf.DUMMYFUNCTION("""COMPUTED_VALUE"""),43719.3847971412)</f>
        <v>43719.3848</v>
      </c>
    </row>
    <row r="1920">
      <c r="A1920" t="str">
        <f>IFERROR(__xludf.DUMMYFUNCTION("""COMPUTED_VALUE"""),"gursky")</f>
        <v>gursky</v>
      </c>
      <c r="B1920" t="str">
        <f>IFERROR(__xludf.DUMMYFUNCTION("""COMPUTED_VALUE"""),"Edmonton")</f>
        <v>Edmonton</v>
      </c>
      <c r="C1920" t="str">
        <f>IFERROR(__xludf.DUMMYFUNCTION("""COMPUTED_VALUE"""),"AB")</f>
        <v>AB</v>
      </c>
      <c r="D1920" t="str">
        <f>IFERROR(__xludf.DUMMYFUNCTION("""COMPUTED_VALUE"""),"Canada")</f>
        <v>Canada</v>
      </c>
      <c r="E1920" s="188">
        <f>IFERROR(__xludf.DUMMYFUNCTION("""COMPUTED_VALUE"""),43683.0)</f>
        <v>43683</v>
      </c>
      <c r="H1920">
        <f>IFERROR(__xludf.DUMMYFUNCTION("""COMPUTED_VALUE"""),429255.0)</f>
        <v>429255</v>
      </c>
      <c r="J1920" s="5">
        <f>IFERROR(__xludf.DUMMYFUNCTION("""COMPUTED_VALUE"""),43706.0)</f>
        <v>43706</v>
      </c>
      <c r="M1920">
        <f>IFERROR(__xludf.DUMMYFUNCTION("""COMPUTED_VALUE"""),23.0)</f>
        <v>23</v>
      </c>
      <c r="N1920" t="str">
        <f>IFERROR(__xludf.DUMMYFUNCTION("""COMPUTED_VALUE"""),"Model 3 SR+")</f>
        <v>Model 3 SR+</v>
      </c>
      <c r="O1920" t="str">
        <f>IFERROR(__xludf.DUMMYFUNCTION("""COMPUTED_VALUE"""),"Pearl White Multi-Coat")</f>
        <v>Pearl White Multi-Coat</v>
      </c>
      <c r="P1920" t="str">
        <f>IFERROR(__xludf.DUMMYFUNCTION("""COMPUTED_VALUE"""),"18 inch Aero")</f>
        <v>18 inch Aero</v>
      </c>
      <c r="Q1920" t="str">
        <f>IFERROR(__xludf.DUMMYFUNCTION("""COMPUTED_VALUE"""),"Black seats")</f>
        <v>Black seats</v>
      </c>
      <c r="R1920" t="str">
        <f>IFERROR(__xludf.DUMMYFUNCTION("""COMPUTED_VALUE"""),"Autopilot")</f>
        <v>Autopilot</v>
      </c>
      <c r="AD1920">
        <f>IFERROR(__xludf.DUMMYFUNCTION("""COMPUTED_VALUE"""),0.0)</f>
        <v>0</v>
      </c>
      <c r="AH1920" s="189">
        <f>IFERROR(__xludf.DUMMYFUNCTION("""COMPUTED_VALUE"""),43719.544449918976)</f>
        <v>43719.54445</v>
      </c>
    </row>
    <row r="1921">
      <c r="A1921" t="str">
        <f>IFERROR(__xludf.DUMMYFUNCTION("""COMPUTED_VALUE"""),"autonymous")</f>
        <v>autonymous</v>
      </c>
      <c r="C1921" t="str">
        <f>IFERROR(__xludf.DUMMYFUNCTION("""COMPUTED_VALUE"""),"VA")</f>
        <v>VA</v>
      </c>
      <c r="D1921" t="str">
        <f>IFERROR(__xludf.DUMMYFUNCTION("""COMPUTED_VALUE"""),"USA")</f>
        <v>USA</v>
      </c>
      <c r="E1921" s="188">
        <f>IFERROR(__xludf.DUMMYFUNCTION("""COMPUTED_VALUE"""),43690.0)</f>
        <v>43690</v>
      </c>
      <c r="F1921" s="188">
        <f>IFERROR(__xludf.DUMMYFUNCTION("""COMPUTED_VALUE"""),43718.0)</f>
        <v>43718</v>
      </c>
      <c r="H1921">
        <f>IFERROR(__xludf.DUMMYFUNCTION("""COMPUTED_VALUE"""),470055.0)</f>
        <v>470055</v>
      </c>
      <c r="J1921" s="5">
        <f>IFERROR(__xludf.DUMMYFUNCTION("""COMPUTED_VALUE"""),43725.0)</f>
        <v>43725</v>
      </c>
      <c r="K1921">
        <f>IFERROR(__xludf.DUMMYFUNCTION("""COMPUTED_VALUE"""),28.0)</f>
        <v>28</v>
      </c>
      <c r="L1921">
        <f>IFERROR(__xludf.DUMMYFUNCTION("""COMPUTED_VALUE"""),7.0)</f>
        <v>7</v>
      </c>
      <c r="M1921">
        <f>IFERROR(__xludf.DUMMYFUNCTION("""COMPUTED_VALUE"""),35.0)</f>
        <v>35</v>
      </c>
      <c r="N1921" t="str">
        <f>IFERROR(__xludf.DUMMYFUNCTION("""COMPUTED_VALUE"""),"Model 3 Performance")</f>
        <v>Model 3 Performance</v>
      </c>
      <c r="O1921" t="str">
        <f>IFERROR(__xludf.DUMMYFUNCTION("""COMPUTED_VALUE"""),"Pearl White Multi-Coat")</f>
        <v>Pearl White Multi-Coat</v>
      </c>
      <c r="P1921" t="str">
        <f>IFERROR(__xludf.DUMMYFUNCTION("""COMPUTED_VALUE"""),"20 inch Sport")</f>
        <v>20 inch Sport</v>
      </c>
      <c r="Q1921" t="str">
        <f>IFERROR(__xludf.DUMMYFUNCTION("""COMPUTED_VALUE"""),"Black seats")</f>
        <v>Black seats</v>
      </c>
      <c r="R1921" t="str">
        <f>IFERROR(__xludf.DUMMYFUNCTION("""COMPUTED_VALUE"""),"Full Self-Driving")</f>
        <v>Full Self-Driving</v>
      </c>
      <c r="AA1921" t="str">
        <f>IFERROR(__xludf.DUMMYFUNCTION("""COMPUTED_VALUE"""),"Poor")</f>
        <v>Poor</v>
      </c>
      <c r="AH1921" s="189">
        <f>IFERROR(__xludf.DUMMYFUNCTION("""COMPUTED_VALUE"""),43719.763991597225)</f>
        <v>43719.76399</v>
      </c>
    </row>
    <row r="1922">
      <c r="A1922" t="str">
        <f>IFERROR(__xludf.DUMMYFUNCTION("""COMPUTED_VALUE"""),"Yeldah")</f>
        <v>Yeldah</v>
      </c>
      <c r="B1922" t="str">
        <f>IFERROR(__xludf.DUMMYFUNCTION("""COMPUTED_VALUE"""),"SLC")</f>
        <v>SLC</v>
      </c>
      <c r="C1922" t="str">
        <f>IFERROR(__xludf.DUMMYFUNCTION("""COMPUTED_VALUE"""),"UT")</f>
        <v>UT</v>
      </c>
      <c r="D1922" t="str">
        <f>IFERROR(__xludf.DUMMYFUNCTION("""COMPUTED_VALUE"""),"USA")</f>
        <v>USA</v>
      </c>
      <c r="E1922" s="188">
        <f>IFERROR(__xludf.DUMMYFUNCTION("""COMPUTED_VALUE"""),43696.0)</f>
        <v>43696</v>
      </c>
      <c r="F1922" s="188">
        <f>IFERROR(__xludf.DUMMYFUNCTION("""COMPUTED_VALUE"""),43720.0)</f>
        <v>43720</v>
      </c>
      <c r="H1922">
        <f>IFERROR(__xludf.DUMMYFUNCTION("""COMPUTED_VALUE"""),477555.0)</f>
        <v>477555</v>
      </c>
      <c r="J1922" s="5">
        <f>IFERROR(__xludf.DUMMYFUNCTION("""COMPUTED_VALUE"""),43721.0)</f>
        <v>43721</v>
      </c>
      <c r="K1922">
        <f>IFERROR(__xludf.DUMMYFUNCTION("""COMPUTED_VALUE"""),24.0)</f>
        <v>24</v>
      </c>
      <c r="L1922">
        <f>IFERROR(__xludf.DUMMYFUNCTION("""COMPUTED_VALUE"""),1.0)</f>
        <v>1</v>
      </c>
      <c r="M1922">
        <f>IFERROR(__xludf.DUMMYFUNCTION("""COMPUTED_VALUE"""),25.0)</f>
        <v>25</v>
      </c>
      <c r="N1922" t="str">
        <f>IFERROR(__xludf.DUMMYFUNCTION("""COMPUTED_VALUE"""),"Model 3 LR AWD")</f>
        <v>Model 3 LR AWD</v>
      </c>
      <c r="O1922" t="str">
        <f>IFERROR(__xludf.DUMMYFUNCTION("""COMPUTED_VALUE"""),"Deep Blue Metallic")</f>
        <v>Deep Blue Metallic</v>
      </c>
      <c r="P1922" t="str">
        <f>IFERROR(__xludf.DUMMYFUNCTION("""COMPUTED_VALUE"""),"18 inch Aero")</f>
        <v>18 inch Aero</v>
      </c>
      <c r="Q1922" t="str">
        <f>IFERROR(__xludf.DUMMYFUNCTION("""COMPUTED_VALUE"""),"White seats")</f>
        <v>White seats</v>
      </c>
      <c r="R1922" t="str">
        <f>IFERROR(__xludf.DUMMYFUNCTION("""COMPUTED_VALUE"""),"Autopilot")</f>
        <v>Autopilot</v>
      </c>
      <c r="AA1922" t="str">
        <f>IFERROR(__xludf.DUMMYFUNCTION("""COMPUTED_VALUE"""),"Poor")</f>
        <v>Poor</v>
      </c>
      <c r="AH1922" s="189">
        <f>IFERROR(__xludf.DUMMYFUNCTION("""COMPUTED_VALUE"""),43720.47029351852)</f>
        <v>43720.47029</v>
      </c>
    </row>
    <row r="1923">
      <c r="A1923" t="str">
        <f>IFERROR(__xludf.DUMMYFUNCTION("""COMPUTED_VALUE"""),"Temporalis")</f>
        <v>Temporalis</v>
      </c>
      <c r="B1923" t="str">
        <f>IFERROR(__xludf.DUMMYFUNCTION("""COMPUTED_VALUE"""),"Bellevue")</f>
        <v>Bellevue</v>
      </c>
      <c r="C1923" t="str">
        <f>IFERROR(__xludf.DUMMYFUNCTION("""COMPUTED_VALUE"""),"WA")</f>
        <v>WA</v>
      </c>
      <c r="D1923" t="str">
        <f>IFERROR(__xludf.DUMMYFUNCTION("""COMPUTED_VALUE"""),"USA")</f>
        <v>USA</v>
      </c>
      <c r="E1923" s="188">
        <f>IFERROR(__xludf.DUMMYFUNCTION("""COMPUTED_VALUE"""),43705.0)</f>
        <v>43705</v>
      </c>
      <c r="F1923" s="188">
        <f>IFERROR(__xludf.DUMMYFUNCTION("""COMPUTED_VALUE"""),43714.0)</f>
        <v>43714</v>
      </c>
      <c r="H1923">
        <f>IFERROR(__xludf.DUMMYFUNCTION("""COMPUTED_VALUE"""),421655.0)</f>
        <v>421655</v>
      </c>
      <c r="I1923" t="str">
        <f>IFERROR(__xludf.DUMMYFUNCTION("""COMPUTED_VALUE"""),"06/19")</f>
        <v>06/19</v>
      </c>
      <c r="J1923" s="5">
        <f>IFERROR(__xludf.DUMMYFUNCTION("""COMPUTED_VALUE"""),43720.0)</f>
        <v>43720</v>
      </c>
      <c r="K1923">
        <f>IFERROR(__xludf.DUMMYFUNCTION("""COMPUTED_VALUE"""),9.0)</f>
        <v>9</v>
      </c>
      <c r="L1923">
        <f>IFERROR(__xludf.DUMMYFUNCTION("""COMPUTED_VALUE"""),6.0)</f>
        <v>6</v>
      </c>
      <c r="M1923">
        <f>IFERROR(__xludf.DUMMYFUNCTION("""COMPUTED_VALUE"""),15.0)</f>
        <v>15</v>
      </c>
      <c r="N1923" t="str">
        <f>IFERROR(__xludf.DUMMYFUNCTION("""COMPUTED_VALUE"""),"Model 3 LR AWD")</f>
        <v>Model 3 LR AWD</v>
      </c>
      <c r="O1923" t="str">
        <f>IFERROR(__xludf.DUMMYFUNCTION("""COMPUTED_VALUE"""),"Pearl White Multi-Coat")</f>
        <v>Pearl White Multi-Coat</v>
      </c>
      <c r="P1923" t="str">
        <f>IFERROR(__xludf.DUMMYFUNCTION("""COMPUTED_VALUE"""),"18 inch Aero")</f>
        <v>18 inch Aero</v>
      </c>
      <c r="Q1923" t="str">
        <f>IFERROR(__xludf.DUMMYFUNCTION("""COMPUTED_VALUE"""),"White seats")</f>
        <v>White seats</v>
      </c>
      <c r="R1923" t="str">
        <f>IFERROR(__xludf.DUMMYFUNCTION("""COMPUTED_VALUE"""),"Full Self-Driving")</f>
        <v>Full Self-Driving</v>
      </c>
      <c r="X1923" t="str">
        <f>IFERROR(__xludf.DUMMYFUNCTION("""COMPUTED_VALUE"""),"Very Good")</f>
        <v>Very Good</v>
      </c>
      <c r="Y1923" t="str">
        <f>IFERROR(__xludf.DUMMYFUNCTION("""COMPUTED_VALUE"""),"Excellent")</f>
        <v>Excellent</v>
      </c>
      <c r="Z1923" t="str">
        <f>IFERROR(__xludf.DUMMYFUNCTION("""COMPUTED_VALUE"""),"Excellent")</f>
        <v>Excellent</v>
      </c>
      <c r="AA1923" t="str">
        <f>IFERROR(__xludf.DUMMYFUNCTION("""COMPUTED_VALUE"""),"Poor")</f>
        <v>Poor</v>
      </c>
      <c r="AB1923" t="str">
        <f>IFERROR(__xludf.DUMMYFUNCTION("""COMPUTED_VALUE"""),"Excellent")</f>
        <v>Excellent</v>
      </c>
      <c r="AG1923" t="str">
        <f>IFERROR(__xludf.DUMMYFUNCTION("""COMPUTED_VALUE"""),"Matched to inventory vehicle")</f>
        <v>Matched to inventory vehicle</v>
      </c>
      <c r="AH1923" s="189">
        <f>IFERROR(__xludf.DUMMYFUNCTION("""COMPUTED_VALUE"""),43721.596299259254)</f>
        <v>43721.5963</v>
      </c>
    </row>
    <row r="1924">
      <c r="A1924" t="str">
        <f>IFERROR(__xludf.DUMMYFUNCTION("""COMPUTED_VALUE"""),"ashovik")</f>
        <v>ashovik</v>
      </c>
      <c r="B1924" t="str">
        <f>IFERROR(__xludf.DUMMYFUNCTION("""COMPUTED_VALUE"""),"Draper")</f>
        <v>Draper</v>
      </c>
      <c r="C1924" t="str">
        <f>IFERROR(__xludf.DUMMYFUNCTION("""COMPUTED_VALUE"""),"UT")</f>
        <v>UT</v>
      </c>
      <c r="D1924" t="str">
        <f>IFERROR(__xludf.DUMMYFUNCTION("""COMPUTED_VALUE"""),"USA")</f>
        <v>USA</v>
      </c>
      <c r="E1924" s="188">
        <f>IFERROR(__xludf.DUMMYFUNCTION("""COMPUTED_VALUE"""),43689.0)</f>
        <v>43689</v>
      </c>
      <c r="F1924" s="188">
        <f>IFERROR(__xludf.DUMMYFUNCTION("""COMPUTED_VALUE"""),43720.0)</f>
        <v>43720</v>
      </c>
      <c r="H1924">
        <f>IFERROR(__xludf.DUMMYFUNCTION("""COMPUTED_VALUE"""),481355.0)</f>
        <v>481355</v>
      </c>
      <c r="J1924" s="5">
        <f>IFERROR(__xludf.DUMMYFUNCTION("""COMPUTED_VALUE"""),43721.0)</f>
        <v>43721</v>
      </c>
      <c r="K1924">
        <f>IFERROR(__xludf.DUMMYFUNCTION("""COMPUTED_VALUE"""),31.0)</f>
        <v>31</v>
      </c>
      <c r="L1924">
        <f>IFERROR(__xludf.DUMMYFUNCTION("""COMPUTED_VALUE"""),1.0)</f>
        <v>1</v>
      </c>
      <c r="M1924">
        <f>IFERROR(__xludf.DUMMYFUNCTION("""COMPUTED_VALUE"""),32.0)</f>
        <v>32</v>
      </c>
      <c r="N1924" t="str">
        <f>IFERROR(__xludf.DUMMYFUNCTION("""COMPUTED_VALUE"""),"Model 3 LR AWD")</f>
        <v>Model 3 LR AWD</v>
      </c>
      <c r="O1924" t="str">
        <f>IFERROR(__xludf.DUMMYFUNCTION("""COMPUTED_VALUE"""),"Midnight Silver Metallic")</f>
        <v>Midnight Silver Metallic</v>
      </c>
      <c r="P1924" t="str">
        <f>IFERROR(__xludf.DUMMYFUNCTION("""COMPUTED_VALUE"""),"18 inch Aero")</f>
        <v>18 inch Aero</v>
      </c>
      <c r="Q1924" t="str">
        <f>IFERROR(__xludf.DUMMYFUNCTION("""COMPUTED_VALUE"""),"Black seats")</f>
        <v>Black seats</v>
      </c>
      <c r="R1924" t="str">
        <f>IFERROR(__xludf.DUMMYFUNCTION("""COMPUTED_VALUE"""),"Full Self-Driving")</f>
        <v>Full Self-Driving</v>
      </c>
      <c r="X1924" t="str">
        <f>IFERROR(__xludf.DUMMYFUNCTION("""COMPUTED_VALUE"""),"Excellent")</f>
        <v>Excellent</v>
      </c>
      <c r="Y1924" t="str">
        <f>IFERROR(__xludf.DUMMYFUNCTION("""COMPUTED_VALUE"""),"Very Good")</f>
        <v>Very Good</v>
      </c>
      <c r="Z1924" t="str">
        <f>IFERROR(__xludf.DUMMYFUNCTION("""COMPUTED_VALUE"""),"Excellent")</f>
        <v>Excellent</v>
      </c>
      <c r="AA1924" t="str">
        <f>IFERROR(__xludf.DUMMYFUNCTION("""COMPUTED_VALUE"""),"Excellent")</f>
        <v>Excellent</v>
      </c>
      <c r="AB1924" t="str">
        <f>IFERROR(__xludf.DUMMYFUNCTION("""COMPUTED_VALUE"""),"Excellent")</f>
        <v>Excellent</v>
      </c>
      <c r="AH1924" s="189">
        <f>IFERROR(__xludf.DUMMYFUNCTION("""COMPUTED_VALUE"""),43721.61183527778)</f>
        <v>43721.61184</v>
      </c>
    </row>
    <row r="1925">
      <c r="A1925" t="str">
        <f>IFERROR(__xludf.DUMMYFUNCTION("""COMPUTED_VALUE"""),"hunglngn")</f>
        <v>hunglngn</v>
      </c>
      <c r="B1925" t="str">
        <f>IFERROR(__xludf.DUMMYFUNCTION("""COMPUTED_VALUE"""),"San Jose")</f>
        <v>San Jose</v>
      </c>
      <c r="C1925" t="str">
        <f>IFERROR(__xludf.DUMMYFUNCTION("""COMPUTED_VALUE"""),"CA")</f>
        <v>CA</v>
      </c>
      <c r="D1925" t="str">
        <f>IFERROR(__xludf.DUMMYFUNCTION("""COMPUTED_VALUE"""),"USA")</f>
        <v>USA</v>
      </c>
      <c r="E1925" s="188">
        <f>IFERROR(__xludf.DUMMYFUNCTION("""COMPUTED_VALUE"""),43666.0)</f>
        <v>43666</v>
      </c>
      <c r="F1925" s="188">
        <f>IFERROR(__xludf.DUMMYFUNCTION("""COMPUTED_VALUE"""),43679.0)</f>
        <v>43679</v>
      </c>
      <c r="H1925">
        <f>IFERROR(__xludf.DUMMYFUNCTION("""COMPUTED_VALUE"""),469701.0)</f>
        <v>469701</v>
      </c>
      <c r="I1925" t="str">
        <f>IFERROR(__xludf.DUMMYFUNCTION("""COMPUTED_VALUE"""),"08/19")</f>
        <v>08/19</v>
      </c>
      <c r="J1925" s="5">
        <f>IFERROR(__xludf.DUMMYFUNCTION("""COMPUTED_VALUE"""),43683.0)</f>
        <v>43683</v>
      </c>
      <c r="K1925">
        <f>IFERROR(__xludf.DUMMYFUNCTION("""COMPUTED_VALUE"""),13.0)</f>
        <v>13</v>
      </c>
      <c r="L1925">
        <f>IFERROR(__xludf.DUMMYFUNCTION("""COMPUTED_VALUE"""),4.0)</f>
        <v>4</v>
      </c>
      <c r="M1925">
        <f>IFERROR(__xludf.DUMMYFUNCTION("""COMPUTED_VALUE"""),17.0)</f>
        <v>17</v>
      </c>
      <c r="N1925" t="str">
        <f>IFERROR(__xludf.DUMMYFUNCTION("""COMPUTED_VALUE"""),"Model 3 Performance")</f>
        <v>Model 3 Performance</v>
      </c>
      <c r="O1925" t="str">
        <f>IFERROR(__xludf.DUMMYFUNCTION("""COMPUTED_VALUE"""),"Pearl White Multi-Coat")</f>
        <v>Pearl White Multi-Coat</v>
      </c>
      <c r="P1925" t="str">
        <f>IFERROR(__xludf.DUMMYFUNCTION("""COMPUTED_VALUE"""),"20 inch Sport")</f>
        <v>20 inch Sport</v>
      </c>
      <c r="Q1925" t="str">
        <f>IFERROR(__xludf.DUMMYFUNCTION("""COMPUTED_VALUE"""),"White seats")</f>
        <v>White seats</v>
      </c>
      <c r="R1925" t="str">
        <f>IFERROR(__xludf.DUMMYFUNCTION("""COMPUTED_VALUE"""),"Autopilot")</f>
        <v>Autopilot</v>
      </c>
      <c r="X1925" t="str">
        <f>IFERROR(__xludf.DUMMYFUNCTION("""COMPUTED_VALUE"""),"Fair")</f>
        <v>Fair</v>
      </c>
      <c r="Y1925" t="str">
        <f>IFERROR(__xludf.DUMMYFUNCTION("""COMPUTED_VALUE"""),"Good")</f>
        <v>Good</v>
      </c>
      <c r="Z1925" t="str">
        <f>IFERROR(__xludf.DUMMYFUNCTION("""COMPUTED_VALUE"""),"Very Good")</f>
        <v>Very Good</v>
      </c>
      <c r="AA1925" t="str">
        <f>IFERROR(__xludf.DUMMYFUNCTION("""COMPUTED_VALUE"""),"Poor")</f>
        <v>Poor</v>
      </c>
      <c r="AB1925" t="str">
        <f>IFERROR(__xludf.DUMMYFUNCTION("""COMPUTED_VALUE"""),"Poor")</f>
        <v>Poor</v>
      </c>
      <c r="AC1925">
        <f>IFERROR(__xludf.DUMMYFUNCTION("""COMPUTED_VALUE"""),2.0)</f>
        <v>2</v>
      </c>
      <c r="AD1925">
        <f>IFERROR(__xludf.DUMMYFUNCTION("""COMPUTED_VALUE"""),1.0)</f>
        <v>1</v>
      </c>
      <c r="AE1925">
        <f>IFERROR(__xludf.DUMMYFUNCTION("""COMPUTED_VALUE"""),0.0)</f>
        <v>0</v>
      </c>
      <c r="AH1925" s="189">
        <f>IFERROR(__xludf.DUMMYFUNCTION("""COMPUTED_VALUE"""),43721.668389189814)</f>
        <v>43721.66839</v>
      </c>
    </row>
    <row r="1926">
      <c r="A1926" t="str">
        <f>IFERROR(__xludf.DUMMYFUNCTION("""COMPUTED_VALUE"""),"BillsFirstTesla")</f>
        <v>BillsFirstTesla</v>
      </c>
      <c r="B1926" t="str">
        <f>IFERROR(__xludf.DUMMYFUNCTION("""COMPUTED_VALUE"""),"Baltimore")</f>
        <v>Baltimore</v>
      </c>
      <c r="C1926" t="str">
        <f>IFERROR(__xludf.DUMMYFUNCTION("""COMPUTED_VALUE"""),"MD")</f>
        <v>MD</v>
      </c>
      <c r="D1926" t="str">
        <f>IFERROR(__xludf.DUMMYFUNCTION("""COMPUTED_VALUE"""),"USA")</f>
        <v>USA</v>
      </c>
      <c r="E1926" s="188">
        <f>IFERROR(__xludf.DUMMYFUNCTION("""COMPUTED_VALUE"""),43715.0)</f>
        <v>43715</v>
      </c>
      <c r="F1926" s="188">
        <f>IFERROR(__xludf.DUMMYFUNCTION("""COMPUTED_VALUE"""),43719.0)</f>
        <v>43719</v>
      </c>
      <c r="H1926">
        <f>IFERROR(__xludf.DUMMYFUNCTION("""COMPUTED_VALUE"""),493651.0)</f>
        <v>493651</v>
      </c>
      <c r="I1926" t="str">
        <f>IFERROR(__xludf.DUMMYFUNCTION("""COMPUTED_VALUE"""),"09/19")</f>
        <v>09/19</v>
      </c>
      <c r="J1926" s="5">
        <f>IFERROR(__xludf.DUMMYFUNCTION("""COMPUTED_VALUE"""),43721.0)</f>
        <v>43721</v>
      </c>
      <c r="K1926">
        <f>IFERROR(__xludf.DUMMYFUNCTION("""COMPUTED_VALUE"""),4.0)</f>
        <v>4</v>
      </c>
      <c r="L1926">
        <f>IFERROR(__xludf.DUMMYFUNCTION("""COMPUTED_VALUE"""),2.0)</f>
        <v>2</v>
      </c>
      <c r="M1926">
        <f>IFERROR(__xludf.DUMMYFUNCTION("""COMPUTED_VALUE"""),6.0)</f>
        <v>6</v>
      </c>
      <c r="N1926" t="str">
        <f>IFERROR(__xludf.DUMMYFUNCTION("""COMPUTED_VALUE"""),"Model 3 LR AWD")</f>
        <v>Model 3 LR AWD</v>
      </c>
      <c r="O1926" t="str">
        <f>IFERROR(__xludf.DUMMYFUNCTION("""COMPUTED_VALUE"""),"Pearl White Multi-Coat")</f>
        <v>Pearl White Multi-Coat</v>
      </c>
      <c r="P1926" t="str">
        <f>IFERROR(__xludf.DUMMYFUNCTION("""COMPUTED_VALUE"""),"18 inch Aero")</f>
        <v>18 inch Aero</v>
      </c>
      <c r="Q1926" t="str">
        <f>IFERROR(__xludf.DUMMYFUNCTION("""COMPUTED_VALUE"""),"Black seats")</f>
        <v>Black seats</v>
      </c>
      <c r="R1926" t="str">
        <f>IFERROR(__xludf.DUMMYFUNCTION("""COMPUTED_VALUE"""),"Autopilot")</f>
        <v>Autopilot</v>
      </c>
      <c r="X1926" t="str">
        <f>IFERROR(__xludf.DUMMYFUNCTION("""COMPUTED_VALUE"""),"Very Good")</f>
        <v>Very Good</v>
      </c>
      <c r="Y1926" t="str">
        <f>IFERROR(__xludf.DUMMYFUNCTION("""COMPUTED_VALUE"""),"Excellent")</f>
        <v>Excellent</v>
      </c>
      <c r="Z1926" t="str">
        <f>IFERROR(__xludf.DUMMYFUNCTION("""COMPUTED_VALUE"""),"Very Good")</f>
        <v>Very Good</v>
      </c>
      <c r="AA1926" t="str">
        <f>IFERROR(__xludf.DUMMYFUNCTION("""COMPUTED_VALUE"""),"Fair")</f>
        <v>Fair</v>
      </c>
      <c r="AB1926" t="str">
        <f>IFERROR(__xludf.DUMMYFUNCTION("""COMPUTED_VALUE"""),"Good")</f>
        <v>Good</v>
      </c>
      <c r="AH1926" s="189">
        <f>IFERROR(__xludf.DUMMYFUNCTION("""COMPUTED_VALUE"""),43721.887902546296)</f>
        <v>43721.8879</v>
      </c>
    </row>
    <row r="1927">
      <c r="A1927" t="str">
        <f>IFERROR(__xludf.DUMMYFUNCTION("""COMPUTED_VALUE"""),"XLR82XS")</f>
        <v>XLR82XS</v>
      </c>
      <c r="B1927" t="str">
        <f>IFERROR(__xludf.DUMMYFUNCTION("""COMPUTED_VALUE"""),"Naples")</f>
        <v>Naples</v>
      </c>
      <c r="C1927" t="str">
        <f>IFERROR(__xludf.DUMMYFUNCTION("""COMPUTED_VALUE"""),"FL")</f>
        <v>FL</v>
      </c>
      <c r="D1927" t="str">
        <f>IFERROR(__xludf.DUMMYFUNCTION("""COMPUTED_VALUE"""),"USA")</f>
        <v>USA</v>
      </c>
      <c r="E1927" s="188">
        <f>IFERROR(__xludf.DUMMYFUNCTION("""COMPUTED_VALUE"""),43671.0)</f>
        <v>43671</v>
      </c>
      <c r="F1927" s="188">
        <f>IFERROR(__xludf.DUMMYFUNCTION("""COMPUTED_VALUE"""),43681.0)</f>
        <v>43681</v>
      </c>
      <c r="H1927">
        <f>IFERROR(__xludf.DUMMYFUNCTION("""COMPUTED_VALUE"""),450981.0)</f>
        <v>450981</v>
      </c>
      <c r="I1927" t="str">
        <f>IFERROR(__xludf.DUMMYFUNCTION("""COMPUTED_VALUE"""),"07/19")</f>
        <v>07/19</v>
      </c>
      <c r="J1927" s="5">
        <f>IFERROR(__xludf.DUMMYFUNCTION("""COMPUTED_VALUE"""),43691.0)</f>
        <v>43691</v>
      </c>
      <c r="K1927">
        <f>IFERROR(__xludf.DUMMYFUNCTION("""COMPUTED_VALUE"""),10.0)</f>
        <v>10</v>
      </c>
      <c r="L1927">
        <f>IFERROR(__xludf.DUMMYFUNCTION("""COMPUTED_VALUE"""),10.0)</f>
        <v>10</v>
      </c>
      <c r="M1927">
        <f>IFERROR(__xludf.DUMMYFUNCTION("""COMPUTED_VALUE"""),20.0)</f>
        <v>20</v>
      </c>
      <c r="N1927" t="str">
        <f>IFERROR(__xludf.DUMMYFUNCTION("""COMPUTED_VALUE"""),"Model 3 LR AWD")</f>
        <v>Model 3 LR AWD</v>
      </c>
      <c r="O1927" t="str">
        <f>IFERROR(__xludf.DUMMYFUNCTION("""COMPUTED_VALUE"""),"Pearl White Multi-Coat")</f>
        <v>Pearl White Multi-Coat</v>
      </c>
      <c r="P1927" t="str">
        <f>IFERROR(__xludf.DUMMYFUNCTION("""COMPUTED_VALUE"""),"19 inch Sport")</f>
        <v>19 inch Sport</v>
      </c>
      <c r="Q1927" t="str">
        <f>IFERROR(__xludf.DUMMYFUNCTION("""COMPUTED_VALUE"""),"White seats")</f>
        <v>White seats</v>
      </c>
      <c r="R1927" t="str">
        <f>IFERROR(__xludf.DUMMYFUNCTION("""COMPUTED_VALUE"""),"Autopilot")</f>
        <v>Autopilot</v>
      </c>
      <c r="X1927" t="str">
        <f>IFERROR(__xludf.DUMMYFUNCTION("""COMPUTED_VALUE"""),"Excellent")</f>
        <v>Excellent</v>
      </c>
      <c r="Y1927" t="str">
        <f>IFERROR(__xludf.DUMMYFUNCTION("""COMPUTED_VALUE"""),"Excellent")</f>
        <v>Excellent</v>
      </c>
      <c r="Z1927" t="str">
        <f>IFERROR(__xludf.DUMMYFUNCTION("""COMPUTED_VALUE"""),"Very Good")</f>
        <v>Very Good</v>
      </c>
      <c r="AA1927" t="str">
        <f>IFERROR(__xludf.DUMMYFUNCTION("""COMPUTED_VALUE"""),"Excellent")</f>
        <v>Excellent</v>
      </c>
      <c r="AB1927" t="str">
        <f>IFERROR(__xludf.DUMMYFUNCTION("""COMPUTED_VALUE"""),"Very Good")</f>
        <v>Very Good</v>
      </c>
      <c r="AC1927">
        <f>IFERROR(__xludf.DUMMYFUNCTION("""COMPUTED_VALUE"""),5.0)</f>
        <v>5</v>
      </c>
      <c r="AD1927">
        <f>IFERROR(__xludf.DUMMYFUNCTION("""COMPUTED_VALUE"""),2.0)</f>
        <v>2</v>
      </c>
      <c r="AE1927">
        <f>IFERROR(__xludf.DUMMYFUNCTION("""COMPUTED_VALUE"""),0.0)</f>
        <v>0</v>
      </c>
      <c r="AG1927" t="str">
        <f>IFERROR(__xludf.DUMMYFUNCTION("""COMPUTED_VALUE"""),"Only paint defects were what looked to be rail fallout on the hood and tops of fenders. Remedied at Tesla before delivery.")</f>
        <v>Only paint defects were what looked to be rail fallout on the hood and tops of fenders. Remedied at Tesla before delivery.</v>
      </c>
      <c r="AH1927" s="189">
        <f>IFERROR(__xludf.DUMMYFUNCTION("""COMPUTED_VALUE"""),43723.341183599536)</f>
        <v>43723.34118</v>
      </c>
    </row>
    <row r="1928">
      <c r="A1928" t="str">
        <f>IFERROR(__xludf.DUMMYFUNCTION("""COMPUTED_VALUE"""),"bdelrizzo")</f>
        <v>bdelrizzo</v>
      </c>
      <c r="B1928" t="str">
        <f>IFERROR(__xludf.DUMMYFUNCTION("""COMPUTED_VALUE"""),"Tracy")</f>
        <v>Tracy</v>
      </c>
      <c r="C1928" t="str">
        <f>IFERROR(__xludf.DUMMYFUNCTION("""COMPUTED_VALUE"""),"CA")</f>
        <v>CA</v>
      </c>
      <c r="D1928" t="str">
        <f>IFERROR(__xludf.DUMMYFUNCTION("""COMPUTED_VALUE"""),"USA")</f>
        <v>USA</v>
      </c>
      <c r="E1928" s="188">
        <f>IFERROR(__xludf.DUMMYFUNCTION("""COMPUTED_VALUE"""),43680.0)</f>
        <v>43680</v>
      </c>
      <c r="F1928" s="188">
        <f>IFERROR(__xludf.DUMMYFUNCTION("""COMPUTED_VALUE"""),43718.0)</f>
        <v>43718</v>
      </c>
      <c r="H1928">
        <f>IFERROR(__xludf.DUMMYFUNCTION("""COMPUTED_VALUE"""),494655.0)</f>
        <v>494655</v>
      </c>
      <c r="I1928" t="str">
        <f>IFERROR(__xludf.DUMMYFUNCTION("""COMPUTED_VALUE"""),"09/19")</f>
        <v>09/19</v>
      </c>
      <c r="J1928" s="5">
        <f>IFERROR(__xludf.DUMMYFUNCTION("""COMPUTED_VALUE"""),43722.0)</f>
        <v>43722</v>
      </c>
      <c r="K1928">
        <f>IFERROR(__xludf.DUMMYFUNCTION("""COMPUTED_VALUE"""),38.0)</f>
        <v>38</v>
      </c>
      <c r="L1928">
        <f>IFERROR(__xludf.DUMMYFUNCTION("""COMPUTED_VALUE"""),4.0)</f>
        <v>4</v>
      </c>
      <c r="M1928">
        <f>IFERROR(__xludf.DUMMYFUNCTION("""COMPUTED_VALUE"""),42.0)</f>
        <v>42</v>
      </c>
      <c r="N1928" t="str">
        <f>IFERROR(__xludf.DUMMYFUNCTION("""COMPUTED_VALUE"""),"Model 3 LR AWD")</f>
        <v>Model 3 LR AWD</v>
      </c>
      <c r="O1928" t="str">
        <f>IFERROR(__xludf.DUMMYFUNCTION("""COMPUTED_VALUE"""),"Pearl White Multi-Coat")</f>
        <v>Pearl White Multi-Coat</v>
      </c>
      <c r="P1928" t="str">
        <f>IFERROR(__xludf.DUMMYFUNCTION("""COMPUTED_VALUE"""),"18 inch Aero")</f>
        <v>18 inch Aero</v>
      </c>
      <c r="Q1928" t="str">
        <f>IFERROR(__xludf.DUMMYFUNCTION("""COMPUTED_VALUE"""),"White seats")</f>
        <v>White seats</v>
      </c>
      <c r="R1928" t="str">
        <f>IFERROR(__xludf.DUMMYFUNCTION("""COMPUTED_VALUE"""),"Full Self-Driving")</f>
        <v>Full Self-Driving</v>
      </c>
      <c r="X1928" t="str">
        <f>IFERROR(__xludf.DUMMYFUNCTION("""COMPUTED_VALUE"""),"Excellent")</f>
        <v>Excellent</v>
      </c>
      <c r="Y1928" t="str">
        <f>IFERROR(__xludf.DUMMYFUNCTION("""COMPUTED_VALUE"""),"Excellent")</f>
        <v>Excellent</v>
      </c>
      <c r="Z1928" t="str">
        <f>IFERROR(__xludf.DUMMYFUNCTION("""COMPUTED_VALUE"""),"Excellent")</f>
        <v>Excellent</v>
      </c>
      <c r="AA1928" t="str">
        <f>IFERROR(__xludf.DUMMYFUNCTION("""COMPUTED_VALUE"""),"Excellent")</f>
        <v>Excellent</v>
      </c>
      <c r="AB1928" t="str">
        <f>IFERROR(__xludf.DUMMYFUNCTION("""COMPUTED_VALUE"""),"Excellent")</f>
        <v>Excellent</v>
      </c>
      <c r="AG1928" t="str">
        <f>IFERROR(__xludf.DUMMYFUNCTION("""COMPUTED_VALUE"""),"Given the forum comments, I was expecting the worst, but honestly, the car looks amazing. I took it straight from the factory to a detailer for PPF, ceramic, tint and more.")</f>
        <v>Given the forum comments, I was expecting the worst, but honestly, the car looks amazing. I took it straight from the factory to a detailer for PPF, ceramic, tint and more.</v>
      </c>
      <c r="AH1928" s="189">
        <f>IFERROR(__xludf.DUMMYFUNCTION("""COMPUTED_VALUE"""),43723.38710818287)</f>
        <v>43723.38711</v>
      </c>
    </row>
    <row r="1929">
      <c r="A1929" t="str">
        <f>IFERROR(__xludf.DUMMYFUNCTION("""COMPUTED_VALUE"""),"cgarcia0458")</f>
        <v>cgarcia0458</v>
      </c>
      <c r="B1929" t="str">
        <f>IFERROR(__xludf.DUMMYFUNCTION("""COMPUTED_VALUE"""),"Miami")</f>
        <v>Miami</v>
      </c>
      <c r="C1929" t="str">
        <f>IFERROR(__xludf.DUMMYFUNCTION("""COMPUTED_VALUE"""),"FL")</f>
        <v>FL</v>
      </c>
      <c r="D1929" t="str">
        <f>IFERROR(__xludf.DUMMYFUNCTION("""COMPUTED_VALUE"""),"USA")</f>
        <v>USA</v>
      </c>
      <c r="E1929" s="188">
        <f>IFERROR(__xludf.DUMMYFUNCTION("""COMPUTED_VALUE"""),43692.0)</f>
        <v>43692</v>
      </c>
      <c r="F1929" s="188">
        <f>IFERROR(__xludf.DUMMYFUNCTION("""COMPUTED_VALUE"""),43715.0)</f>
        <v>43715</v>
      </c>
      <c r="H1929" s="4">
        <f>IFERROR(__xludf.DUMMYFUNCTION("""COMPUTED_VALUE"""),413710.0)</f>
        <v>413710</v>
      </c>
      <c r="I1929" t="str">
        <f>IFERROR(__xludf.DUMMYFUNCTION("""COMPUTED_VALUE"""),"09/19")</f>
        <v>09/19</v>
      </c>
      <c r="J1929" s="5">
        <f>IFERROR(__xludf.DUMMYFUNCTION("""COMPUTED_VALUE"""),43722.0)</f>
        <v>43722</v>
      </c>
      <c r="K1929">
        <f>IFERROR(__xludf.DUMMYFUNCTION("""COMPUTED_VALUE"""),23.0)</f>
        <v>23</v>
      </c>
      <c r="L1929">
        <f>IFERROR(__xludf.DUMMYFUNCTION("""COMPUTED_VALUE"""),7.0)</f>
        <v>7</v>
      </c>
      <c r="M1929">
        <f>IFERROR(__xludf.DUMMYFUNCTION("""COMPUTED_VALUE"""),30.0)</f>
        <v>30</v>
      </c>
      <c r="N1929" t="str">
        <f>IFERROR(__xludf.DUMMYFUNCTION("""COMPUTED_VALUE"""),"Model 3 Performance")</f>
        <v>Model 3 Performance</v>
      </c>
      <c r="O1929" t="str">
        <f>IFERROR(__xludf.DUMMYFUNCTION("""COMPUTED_VALUE"""),"Solid Black")</f>
        <v>Solid Black</v>
      </c>
      <c r="P1929" t="str">
        <f>IFERROR(__xludf.DUMMYFUNCTION("""COMPUTED_VALUE"""),"20 inch Sport")</f>
        <v>20 inch Sport</v>
      </c>
      <c r="Q1929" t="str">
        <f>IFERROR(__xludf.DUMMYFUNCTION("""COMPUTED_VALUE"""),"White seats")</f>
        <v>White seats</v>
      </c>
      <c r="R1929" t="str">
        <f>IFERROR(__xludf.DUMMYFUNCTION("""COMPUTED_VALUE"""),"Autopilot")</f>
        <v>Autopilot</v>
      </c>
      <c r="X1929" t="str">
        <f>IFERROR(__xludf.DUMMYFUNCTION("""COMPUTED_VALUE"""),"Very Good")</f>
        <v>Very Good</v>
      </c>
      <c r="Y1929" t="str">
        <f>IFERROR(__xludf.DUMMYFUNCTION("""COMPUTED_VALUE"""),"Excellent")</f>
        <v>Excellent</v>
      </c>
      <c r="Z1929" t="str">
        <f>IFERROR(__xludf.DUMMYFUNCTION("""COMPUTED_VALUE"""),"Excellent")</f>
        <v>Excellent</v>
      </c>
      <c r="AA1929" t="str">
        <f>IFERROR(__xludf.DUMMYFUNCTION("""COMPUTED_VALUE"""),"Excellent")</f>
        <v>Excellent</v>
      </c>
      <c r="AB1929" t="str">
        <f>IFERROR(__xludf.DUMMYFUNCTION("""COMPUTED_VALUE"""),"Excellent")</f>
        <v>Excellent</v>
      </c>
      <c r="AH1929" s="189">
        <f>IFERROR(__xludf.DUMMYFUNCTION("""COMPUTED_VALUE"""),43724.3176422338)</f>
        <v>43724.31764</v>
      </c>
    </row>
    <row r="1930">
      <c r="A1930" t="str">
        <f>IFERROR(__xludf.DUMMYFUNCTION("""COMPUTED_VALUE"""),"zblaster")</f>
        <v>zblaster</v>
      </c>
      <c r="B1930" t="str">
        <f>IFERROR(__xludf.DUMMYFUNCTION("""COMPUTED_VALUE"""),"Bay Area")</f>
        <v>Bay Area</v>
      </c>
      <c r="C1930" t="str">
        <f>IFERROR(__xludf.DUMMYFUNCTION("""COMPUTED_VALUE"""),"CA")</f>
        <v>CA</v>
      </c>
      <c r="D1930" t="str">
        <f>IFERROR(__xludf.DUMMYFUNCTION("""COMPUTED_VALUE"""),"USA")</f>
        <v>USA</v>
      </c>
      <c r="E1930" s="188">
        <f>IFERROR(__xludf.DUMMYFUNCTION("""COMPUTED_VALUE"""),43702.0)</f>
        <v>43702</v>
      </c>
      <c r="F1930" s="188">
        <f>IFERROR(__xludf.DUMMYFUNCTION("""COMPUTED_VALUE"""),43720.0)</f>
        <v>43720</v>
      </c>
      <c r="H1930">
        <f>IFERROR(__xludf.DUMMYFUNCTION("""COMPUTED_VALUE"""),482355.0)</f>
        <v>482355</v>
      </c>
      <c r="J1930" s="5">
        <f>IFERROR(__xludf.DUMMYFUNCTION("""COMPUTED_VALUE"""),43722.0)</f>
        <v>43722</v>
      </c>
      <c r="K1930">
        <f>IFERROR(__xludf.DUMMYFUNCTION("""COMPUTED_VALUE"""),18.0)</f>
        <v>18</v>
      </c>
      <c r="L1930">
        <f>IFERROR(__xludf.DUMMYFUNCTION("""COMPUTED_VALUE"""),2.0)</f>
        <v>2</v>
      </c>
      <c r="M1930">
        <f>IFERROR(__xludf.DUMMYFUNCTION("""COMPUTED_VALUE"""),20.0)</f>
        <v>20</v>
      </c>
      <c r="N1930" t="str">
        <f>IFERROR(__xludf.DUMMYFUNCTION("""COMPUTED_VALUE"""),"Model 3 LR AWD")</f>
        <v>Model 3 LR AWD</v>
      </c>
      <c r="O1930" t="str">
        <f>IFERROR(__xludf.DUMMYFUNCTION("""COMPUTED_VALUE"""),"Deep Blue Metallic")</f>
        <v>Deep Blue Metallic</v>
      </c>
      <c r="P1930" t="str">
        <f>IFERROR(__xludf.DUMMYFUNCTION("""COMPUTED_VALUE"""),"18 inch Aero")</f>
        <v>18 inch Aero</v>
      </c>
      <c r="Q1930" t="str">
        <f>IFERROR(__xludf.DUMMYFUNCTION("""COMPUTED_VALUE"""),"White seats")</f>
        <v>White seats</v>
      </c>
      <c r="R1930" t="str">
        <f>IFERROR(__xludf.DUMMYFUNCTION("""COMPUTED_VALUE"""),"Autopilot")</f>
        <v>Autopilot</v>
      </c>
      <c r="X1930" t="str">
        <f>IFERROR(__xludf.DUMMYFUNCTION("""COMPUTED_VALUE"""),"Very Good")</f>
        <v>Very Good</v>
      </c>
      <c r="Y1930" t="str">
        <f>IFERROR(__xludf.DUMMYFUNCTION("""COMPUTED_VALUE"""),"Good")</f>
        <v>Good</v>
      </c>
      <c r="Z1930" t="str">
        <f>IFERROR(__xludf.DUMMYFUNCTION("""COMPUTED_VALUE"""),"Fair")</f>
        <v>Fair</v>
      </c>
      <c r="AA1930" t="str">
        <f>IFERROR(__xludf.DUMMYFUNCTION("""COMPUTED_VALUE"""),"Fair")</f>
        <v>Fair</v>
      </c>
      <c r="AB1930" t="str">
        <f>IFERROR(__xludf.DUMMYFUNCTION("""COMPUTED_VALUE"""),"Very Good")</f>
        <v>Very Good</v>
      </c>
      <c r="AG1930" t="str">
        <f>IFERROR(__xludf.DUMMYFUNCTION("""COMPUTED_VALUE"""),"Called the showroom to ask for what was in inventory. Found my build un-matched. Had him match it. Dirty Car. Tiny Dent.")</f>
        <v>Called the showroom to ask for what was in inventory. Found my build un-matched. Had him match it. Dirty Car. Tiny Dent.</v>
      </c>
      <c r="AH1930" s="189">
        <f>IFERROR(__xludf.DUMMYFUNCTION("""COMPUTED_VALUE"""),43724.34811762732)</f>
        <v>43724.34812</v>
      </c>
    </row>
    <row r="1931">
      <c r="A1931" t="str">
        <f>IFERROR(__xludf.DUMMYFUNCTION("""COMPUTED_VALUE"""),"c.E.c")</f>
        <v>c.E.c</v>
      </c>
      <c r="B1931" t="str">
        <f>IFERROR(__xludf.DUMMYFUNCTION("""COMPUTED_VALUE"""),"Avondale")</f>
        <v>Avondale</v>
      </c>
      <c r="C1931" t="str">
        <f>IFERROR(__xludf.DUMMYFUNCTION("""COMPUTED_VALUE"""),"CO")</f>
        <v>CO</v>
      </c>
      <c r="D1931" t="str">
        <f>IFERROR(__xludf.DUMMYFUNCTION("""COMPUTED_VALUE"""),"USA")</f>
        <v>USA</v>
      </c>
      <c r="E1931" s="188">
        <f>IFERROR(__xludf.DUMMYFUNCTION("""COMPUTED_VALUE"""),43693.0)</f>
        <v>43693</v>
      </c>
      <c r="F1931" s="188">
        <f>IFERROR(__xludf.DUMMYFUNCTION("""COMPUTED_VALUE"""),43719.0)</f>
        <v>43719</v>
      </c>
      <c r="H1931" s="4">
        <f>IFERROR(__xludf.DUMMYFUNCTION("""COMPUTED_VALUE"""),512974.0)</f>
        <v>512974</v>
      </c>
      <c r="J1931" s="5">
        <f>IFERROR(__xludf.DUMMYFUNCTION("""COMPUTED_VALUE"""),43722.0)</f>
        <v>43722</v>
      </c>
      <c r="K1931">
        <f>IFERROR(__xludf.DUMMYFUNCTION("""COMPUTED_VALUE"""),26.0)</f>
        <v>26</v>
      </c>
      <c r="L1931">
        <f>IFERROR(__xludf.DUMMYFUNCTION("""COMPUTED_VALUE"""),3.0)</f>
        <v>3</v>
      </c>
      <c r="M1931">
        <f>IFERROR(__xludf.DUMMYFUNCTION("""COMPUTED_VALUE"""),29.0)</f>
        <v>29</v>
      </c>
      <c r="N1931" t="str">
        <f>IFERROR(__xludf.DUMMYFUNCTION("""COMPUTED_VALUE"""),"Model 3 LR AWD")</f>
        <v>Model 3 LR AWD</v>
      </c>
      <c r="O1931" t="str">
        <f>IFERROR(__xludf.DUMMYFUNCTION("""COMPUTED_VALUE"""),"Pearl White Multi-Coat")</f>
        <v>Pearl White Multi-Coat</v>
      </c>
      <c r="P1931" t="str">
        <f>IFERROR(__xludf.DUMMYFUNCTION("""COMPUTED_VALUE"""),"18 inch Aero")</f>
        <v>18 inch Aero</v>
      </c>
      <c r="Q1931" t="str">
        <f>IFERROR(__xludf.DUMMYFUNCTION("""COMPUTED_VALUE"""),"White seats")</f>
        <v>White seats</v>
      </c>
      <c r="R1931" t="str">
        <f>IFERROR(__xludf.DUMMYFUNCTION("""COMPUTED_VALUE"""),"Full Self-Driving")</f>
        <v>Full Self-Driving</v>
      </c>
      <c r="X1931" t="str">
        <f>IFERROR(__xludf.DUMMYFUNCTION("""COMPUTED_VALUE"""),"Excellent")</f>
        <v>Excellent</v>
      </c>
      <c r="Y1931" t="str">
        <f>IFERROR(__xludf.DUMMYFUNCTION("""COMPUTED_VALUE"""),"Excellent")</f>
        <v>Excellent</v>
      </c>
      <c r="Z1931" t="str">
        <f>IFERROR(__xludf.DUMMYFUNCTION("""COMPUTED_VALUE"""),"Excellent")</f>
        <v>Excellent</v>
      </c>
      <c r="AA1931" t="str">
        <f>IFERROR(__xludf.DUMMYFUNCTION("""COMPUTED_VALUE"""),"Good")</f>
        <v>Good</v>
      </c>
      <c r="AB1931" t="str">
        <f>IFERROR(__xludf.DUMMYFUNCTION("""COMPUTED_VALUE"""),"Good")</f>
        <v>Good</v>
      </c>
      <c r="AG1931" t="str">
        <f>IFERROR(__xludf.DUMMYFUNCTION("""COMPUTED_VALUE"""),"Found VIN in source code 9/11, Recevied call 9/11 with delivery date, delivery day was busy and had nearly 3 hours worth of waiting for them to catch up with appointments.")</f>
        <v>Found VIN in source code 9/11, Recevied call 9/11 with delivery date, delivery day was busy and had nearly 3 hours worth of waiting for them to catch up with appointments.</v>
      </c>
      <c r="AH1931" s="189">
        <f>IFERROR(__xludf.DUMMYFUNCTION("""COMPUTED_VALUE"""),43724.55336579861)</f>
        <v>43724.55337</v>
      </c>
    </row>
    <row r="1932">
      <c r="A1932" t="str">
        <f>IFERROR(__xludf.DUMMYFUNCTION("""COMPUTED_VALUE"""),"emptyPromise")</f>
        <v>emptyPromise</v>
      </c>
      <c r="B1932" t="str">
        <f>IFERROR(__xludf.DUMMYFUNCTION("""COMPUTED_VALUE"""),"Vancouver")</f>
        <v>Vancouver</v>
      </c>
      <c r="C1932" t="str">
        <f>IFERROR(__xludf.DUMMYFUNCTION("""COMPUTED_VALUE"""),"BC")</f>
        <v>BC</v>
      </c>
      <c r="D1932" t="str">
        <f>IFERROR(__xludf.DUMMYFUNCTION("""COMPUTED_VALUE"""),"Canada")</f>
        <v>Canada</v>
      </c>
      <c r="E1932" s="188">
        <f>IFERROR(__xludf.DUMMYFUNCTION("""COMPUTED_VALUE"""),43695.0)</f>
        <v>43695</v>
      </c>
      <c r="F1932" s="188">
        <f>IFERROR(__xludf.DUMMYFUNCTION("""COMPUTED_VALUE"""),43713.0)</f>
        <v>43713</v>
      </c>
      <c r="H1932">
        <f>IFERROR(__xludf.DUMMYFUNCTION("""COMPUTED_VALUE"""),415106.0)</f>
        <v>415106</v>
      </c>
      <c r="I1932" t="str">
        <f>IFERROR(__xludf.DUMMYFUNCTION("""COMPUTED_VALUE"""),"09/19")</f>
        <v>09/19</v>
      </c>
      <c r="J1932" s="5">
        <f>IFERROR(__xludf.DUMMYFUNCTION("""COMPUTED_VALUE"""),43722.0)</f>
        <v>43722</v>
      </c>
      <c r="K1932">
        <f>IFERROR(__xludf.DUMMYFUNCTION("""COMPUTED_VALUE"""),18.0)</f>
        <v>18</v>
      </c>
      <c r="L1932">
        <f>IFERROR(__xludf.DUMMYFUNCTION("""COMPUTED_VALUE"""),9.0)</f>
        <v>9</v>
      </c>
      <c r="M1932">
        <f>IFERROR(__xludf.DUMMYFUNCTION("""COMPUTED_VALUE"""),27.0)</f>
        <v>27</v>
      </c>
      <c r="N1932" t="str">
        <f>IFERROR(__xludf.DUMMYFUNCTION("""COMPUTED_VALUE"""),"Model 3 LR AWD")</f>
        <v>Model 3 LR AWD</v>
      </c>
      <c r="O1932" t="str">
        <f>IFERROR(__xludf.DUMMYFUNCTION("""COMPUTED_VALUE"""),"Midnight Silver Metallic")</f>
        <v>Midnight Silver Metallic</v>
      </c>
      <c r="P1932" t="str">
        <f>IFERROR(__xludf.DUMMYFUNCTION("""COMPUTED_VALUE"""),"19 inch Sport")</f>
        <v>19 inch Sport</v>
      </c>
      <c r="Q1932" t="str">
        <f>IFERROR(__xludf.DUMMYFUNCTION("""COMPUTED_VALUE"""),"Black seats")</f>
        <v>Black seats</v>
      </c>
      <c r="R1932" t="str">
        <f>IFERROR(__xludf.DUMMYFUNCTION("""COMPUTED_VALUE"""),"Full Self-Driving")</f>
        <v>Full Self-Driving</v>
      </c>
      <c r="X1932" t="str">
        <f>IFERROR(__xludf.DUMMYFUNCTION("""COMPUTED_VALUE"""),"Very Good")</f>
        <v>Very Good</v>
      </c>
      <c r="Y1932" t="str">
        <f>IFERROR(__xludf.DUMMYFUNCTION("""COMPUTED_VALUE"""),"Good")</f>
        <v>Good</v>
      </c>
      <c r="Z1932" t="str">
        <f>IFERROR(__xludf.DUMMYFUNCTION("""COMPUTED_VALUE"""),"Very Good")</f>
        <v>Very Good</v>
      </c>
      <c r="AA1932" t="str">
        <f>IFERROR(__xludf.DUMMYFUNCTION("""COMPUTED_VALUE"""),"Poor")</f>
        <v>Poor</v>
      </c>
      <c r="AB1932" t="str">
        <f>IFERROR(__xludf.DUMMYFUNCTION("""COMPUTED_VALUE"""),"Fair")</f>
        <v>Fair</v>
      </c>
      <c r="AG1932" t="str">
        <f>IFERROR(__xludf.DUMMYFUNCTION("""COMPUTED_VALUE"""),"Had to find the car myself didn't match with me because it didn't have FSD enabled")</f>
        <v>Had to find the car myself didn't match with me because it didn't have FSD enabled</v>
      </c>
      <c r="AH1932" s="189">
        <f>IFERROR(__xludf.DUMMYFUNCTION("""COMPUTED_VALUE"""),43724.59425780093)</f>
        <v>43724.59426</v>
      </c>
    </row>
    <row r="1933">
      <c r="A1933" t="str">
        <f>IFERROR(__xludf.DUMMYFUNCTION("""COMPUTED_VALUE"""),"ek00000")</f>
        <v>ek00000</v>
      </c>
      <c r="B1933" t="str">
        <f>IFERROR(__xludf.DUMMYFUNCTION("""COMPUTED_VALUE"""),"Lake Forest")</f>
        <v>Lake Forest</v>
      </c>
      <c r="C1933" t="str">
        <f>IFERROR(__xludf.DUMMYFUNCTION("""COMPUTED_VALUE"""),"CA")</f>
        <v>CA</v>
      </c>
      <c r="D1933" t="str">
        <f>IFERROR(__xludf.DUMMYFUNCTION("""COMPUTED_VALUE"""),"USA")</f>
        <v>USA</v>
      </c>
      <c r="E1933" s="188">
        <f>IFERROR(__xludf.DUMMYFUNCTION("""COMPUTED_VALUE"""),43698.0)</f>
        <v>43698</v>
      </c>
      <c r="F1933" s="188">
        <f>IFERROR(__xludf.DUMMYFUNCTION("""COMPUTED_VALUE"""),43716.0)</f>
        <v>43716</v>
      </c>
      <c r="H1933">
        <f>IFERROR(__xludf.DUMMYFUNCTION("""COMPUTED_VALUE"""),485155.0)</f>
        <v>485155</v>
      </c>
      <c r="J1933" s="5">
        <f>IFERROR(__xludf.DUMMYFUNCTION("""COMPUTED_VALUE"""),43719.0)</f>
        <v>43719</v>
      </c>
      <c r="K1933">
        <f>IFERROR(__xludf.DUMMYFUNCTION("""COMPUTED_VALUE"""),18.0)</f>
        <v>18</v>
      </c>
      <c r="L1933">
        <f>IFERROR(__xludf.DUMMYFUNCTION("""COMPUTED_VALUE"""),3.0)</f>
        <v>3</v>
      </c>
      <c r="M1933">
        <f>IFERROR(__xludf.DUMMYFUNCTION("""COMPUTED_VALUE"""),21.0)</f>
        <v>21</v>
      </c>
      <c r="N1933" t="str">
        <f>IFERROR(__xludf.DUMMYFUNCTION("""COMPUTED_VALUE"""),"Model 3 SR+")</f>
        <v>Model 3 SR+</v>
      </c>
      <c r="O1933" t="str">
        <f>IFERROR(__xludf.DUMMYFUNCTION("""COMPUTED_VALUE"""),"Pearl White Multi-Coat")</f>
        <v>Pearl White Multi-Coat</v>
      </c>
      <c r="P1933" t="str">
        <f>IFERROR(__xludf.DUMMYFUNCTION("""COMPUTED_VALUE"""),"18 inch Aero")</f>
        <v>18 inch Aero</v>
      </c>
      <c r="Q1933" t="str">
        <f>IFERROR(__xludf.DUMMYFUNCTION("""COMPUTED_VALUE"""),"Black seats")</f>
        <v>Black seats</v>
      </c>
      <c r="R1933" t="str">
        <f>IFERROR(__xludf.DUMMYFUNCTION("""COMPUTED_VALUE"""),"Autopilot")</f>
        <v>Autopilot</v>
      </c>
      <c r="X1933" t="str">
        <f>IFERROR(__xludf.DUMMYFUNCTION("""COMPUTED_VALUE"""),"Excellent")</f>
        <v>Excellent</v>
      </c>
      <c r="Y1933" t="str">
        <f>IFERROR(__xludf.DUMMYFUNCTION("""COMPUTED_VALUE"""),"Excellent")</f>
        <v>Excellent</v>
      </c>
      <c r="Z1933" t="str">
        <f>IFERROR(__xludf.DUMMYFUNCTION("""COMPUTED_VALUE"""),"Excellent")</f>
        <v>Excellent</v>
      </c>
      <c r="AA1933" t="str">
        <f>IFERROR(__xludf.DUMMYFUNCTION("""COMPUTED_VALUE"""),"Very Good")</f>
        <v>Very Good</v>
      </c>
      <c r="AB1933" t="str">
        <f>IFERROR(__xludf.DUMMYFUNCTION("""COMPUTED_VALUE"""),"Excellent")</f>
        <v>Excellent</v>
      </c>
      <c r="AH1933" s="189">
        <f>IFERROR(__xludf.DUMMYFUNCTION("""COMPUTED_VALUE"""),43724.69377917824)</f>
        <v>43724.69378</v>
      </c>
    </row>
    <row r="1934">
      <c r="A1934" t="str">
        <f>IFERROR(__xludf.DUMMYFUNCTION("""COMPUTED_VALUE"""),"Sam1")</f>
        <v>Sam1</v>
      </c>
      <c r="C1934" t="str">
        <f>IFERROR(__xludf.DUMMYFUNCTION("""COMPUTED_VALUE"""),"NV")</f>
        <v>NV</v>
      </c>
      <c r="D1934" t="str">
        <f>IFERROR(__xludf.DUMMYFUNCTION("""COMPUTED_VALUE"""),"USA")</f>
        <v>USA</v>
      </c>
      <c r="E1934" s="188">
        <f>IFERROR(__xludf.DUMMYFUNCTION("""COMPUTED_VALUE"""),43710.0)</f>
        <v>43710</v>
      </c>
      <c r="F1934" s="188">
        <f>IFERROR(__xludf.DUMMYFUNCTION("""COMPUTED_VALUE"""),43724.0)</f>
        <v>43724</v>
      </c>
      <c r="J1934" s="5">
        <f>IFERROR(__xludf.DUMMYFUNCTION("""COMPUTED_VALUE"""),43724.0)</f>
        <v>43724</v>
      </c>
      <c r="K1934">
        <f>IFERROR(__xludf.DUMMYFUNCTION("""COMPUTED_VALUE"""),14.0)</f>
        <v>14</v>
      </c>
      <c r="L1934">
        <f>IFERROR(__xludf.DUMMYFUNCTION("""COMPUTED_VALUE"""),0.0)</f>
        <v>0</v>
      </c>
      <c r="M1934">
        <f>IFERROR(__xludf.DUMMYFUNCTION("""COMPUTED_VALUE"""),14.0)</f>
        <v>14</v>
      </c>
      <c r="N1934" t="str">
        <f>IFERROR(__xludf.DUMMYFUNCTION("""COMPUTED_VALUE"""),"Model 3 Performance")</f>
        <v>Model 3 Performance</v>
      </c>
      <c r="O1934" t="str">
        <f>IFERROR(__xludf.DUMMYFUNCTION("""COMPUTED_VALUE"""),"Pearl White Multi-Coat")</f>
        <v>Pearl White Multi-Coat</v>
      </c>
      <c r="P1934" t="str">
        <f>IFERROR(__xludf.DUMMYFUNCTION("""COMPUTED_VALUE"""),"19 inch Sport")</f>
        <v>19 inch Sport</v>
      </c>
      <c r="Q1934" t="str">
        <f>IFERROR(__xludf.DUMMYFUNCTION("""COMPUTED_VALUE"""),"Black seats")</f>
        <v>Black seats</v>
      </c>
      <c r="R1934" t="str">
        <f>IFERROR(__xludf.DUMMYFUNCTION("""COMPUTED_VALUE"""),"Full Self-Driving")</f>
        <v>Full Self-Driving</v>
      </c>
      <c r="X1934" t="str">
        <f>IFERROR(__xludf.DUMMYFUNCTION("""COMPUTED_VALUE"""),"Excellent")</f>
        <v>Excellent</v>
      </c>
      <c r="Y1934" t="str">
        <f>IFERROR(__xludf.DUMMYFUNCTION("""COMPUTED_VALUE"""),"Excellent")</f>
        <v>Excellent</v>
      </c>
      <c r="Z1934" t="str">
        <f>IFERROR(__xludf.DUMMYFUNCTION("""COMPUTED_VALUE"""),"Excellent")</f>
        <v>Excellent</v>
      </c>
      <c r="AA1934" t="str">
        <f>IFERROR(__xludf.DUMMYFUNCTION("""COMPUTED_VALUE"""),"Good")</f>
        <v>Good</v>
      </c>
      <c r="AB1934" t="str">
        <f>IFERROR(__xludf.DUMMYFUNCTION("""COMPUTED_VALUE"""),"Excellent")</f>
        <v>Excellent</v>
      </c>
      <c r="AH1934" s="189">
        <f>IFERROR(__xludf.DUMMYFUNCTION("""COMPUTED_VALUE"""),43724.81952138889)</f>
        <v>43724.81952</v>
      </c>
    </row>
    <row r="1935">
      <c r="A1935" t="str">
        <f>IFERROR(__xludf.DUMMYFUNCTION("""COMPUTED_VALUE"""),"DJ7676")</f>
        <v>DJ7676</v>
      </c>
      <c r="B1935" t="str">
        <f>IFERROR(__xludf.DUMMYFUNCTION("""COMPUTED_VALUE"""),"Bloomington")</f>
        <v>Bloomington</v>
      </c>
      <c r="C1935" t="str">
        <f>IFERROR(__xludf.DUMMYFUNCTION("""COMPUTED_VALUE"""),"IL")</f>
        <v>IL</v>
      </c>
      <c r="D1935" t="str">
        <f>IFERROR(__xludf.DUMMYFUNCTION("""COMPUTED_VALUE"""),"USA")</f>
        <v>USA</v>
      </c>
      <c r="E1935" s="188">
        <f>IFERROR(__xludf.DUMMYFUNCTION("""COMPUTED_VALUE"""),43624.0)</f>
        <v>43624</v>
      </c>
      <c r="F1935" s="188">
        <f>IFERROR(__xludf.DUMMYFUNCTION("""COMPUTED_VALUE"""),43666.0)</f>
        <v>43666</v>
      </c>
      <c r="H1935">
        <f>IFERROR(__xludf.DUMMYFUNCTION("""COMPUTED_VALUE"""),448310.0)</f>
        <v>448310</v>
      </c>
      <c r="I1935" t="str">
        <f>IFERROR(__xludf.DUMMYFUNCTION("""COMPUTED_VALUE"""),"08/19")</f>
        <v>08/19</v>
      </c>
      <c r="J1935" s="5">
        <f>IFERROR(__xludf.DUMMYFUNCTION("""COMPUTED_VALUE"""),43688.0)</f>
        <v>43688</v>
      </c>
      <c r="K1935">
        <f>IFERROR(__xludf.DUMMYFUNCTION("""COMPUTED_VALUE"""),42.0)</f>
        <v>42</v>
      </c>
      <c r="L1935">
        <f>IFERROR(__xludf.DUMMYFUNCTION("""COMPUTED_VALUE"""),22.0)</f>
        <v>22</v>
      </c>
      <c r="M1935">
        <f>IFERROR(__xludf.DUMMYFUNCTION("""COMPUTED_VALUE"""),64.0)</f>
        <v>64</v>
      </c>
      <c r="N1935" t="str">
        <f>IFERROR(__xludf.DUMMYFUNCTION("""COMPUTED_VALUE"""),"Model 3 LR AWD")</f>
        <v>Model 3 LR AWD</v>
      </c>
      <c r="O1935" t="str">
        <f>IFERROR(__xludf.DUMMYFUNCTION("""COMPUTED_VALUE"""),"Pearl White Multi-Coat")</f>
        <v>Pearl White Multi-Coat</v>
      </c>
      <c r="P1935" t="str">
        <f>IFERROR(__xludf.DUMMYFUNCTION("""COMPUTED_VALUE"""),"19 inch Sport")</f>
        <v>19 inch Sport</v>
      </c>
      <c r="Q1935" t="str">
        <f>IFERROR(__xludf.DUMMYFUNCTION("""COMPUTED_VALUE"""),"White seats")</f>
        <v>White seats</v>
      </c>
      <c r="R1935" t="str">
        <f>IFERROR(__xludf.DUMMYFUNCTION("""COMPUTED_VALUE"""),"Autopilot")</f>
        <v>Autopilot</v>
      </c>
      <c r="X1935" t="str">
        <f>IFERROR(__xludf.DUMMYFUNCTION("""COMPUTED_VALUE"""),"Excellent")</f>
        <v>Excellent</v>
      </c>
      <c r="Y1935" t="str">
        <f>IFERROR(__xludf.DUMMYFUNCTION("""COMPUTED_VALUE"""),"Excellent")</f>
        <v>Excellent</v>
      </c>
      <c r="Z1935" t="str">
        <f>IFERROR(__xludf.DUMMYFUNCTION("""COMPUTED_VALUE"""),"Excellent")</f>
        <v>Excellent</v>
      </c>
      <c r="AA1935" t="str">
        <f>IFERROR(__xludf.DUMMYFUNCTION("""COMPUTED_VALUE"""),"Good")</f>
        <v>Good</v>
      </c>
      <c r="AB1935" t="str">
        <f>IFERROR(__xludf.DUMMYFUNCTION("""COMPUTED_VALUE"""),"Very Good")</f>
        <v>Very Good</v>
      </c>
      <c r="AC1935">
        <f>IFERROR(__xludf.DUMMYFUNCTION("""COMPUTED_VALUE"""),1.0)</f>
        <v>1</v>
      </c>
      <c r="AD1935">
        <f>IFERROR(__xludf.DUMMYFUNCTION("""COMPUTED_VALUE"""),1.0)</f>
        <v>1</v>
      </c>
      <c r="AE1935">
        <f>IFERROR(__xludf.DUMMYFUNCTION("""COMPUTED_VALUE"""),0.0)</f>
        <v>0</v>
      </c>
      <c r="AH1935" s="189">
        <f>IFERROR(__xludf.DUMMYFUNCTION("""COMPUTED_VALUE"""),43725.47611966435)</f>
        <v>43725.47612</v>
      </c>
    </row>
    <row r="1936">
      <c r="A1936" t="str">
        <f>IFERROR(__xludf.DUMMYFUNCTION("""COMPUTED_VALUE"""),"GlennW")</f>
        <v>GlennW</v>
      </c>
      <c r="B1936" t="str">
        <f>IFERROR(__xludf.DUMMYFUNCTION("""COMPUTED_VALUE"""),"Marietta")</f>
        <v>Marietta</v>
      </c>
      <c r="C1936" t="str">
        <f>IFERROR(__xludf.DUMMYFUNCTION("""COMPUTED_VALUE"""),"GA")</f>
        <v>GA</v>
      </c>
      <c r="D1936" t="str">
        <f>IFERROR(__xludf.DUMMYFUNCTION("""COMPUTED_VALUE"""),"USA")</f>
        <v>USA</v>
      </c>
      <c r="E1936" s="188">
        <f>IFERROR(__xludf.DUMMYFUNCTION("""COMPUTED_VALUE"""),43685.0)</f>
        <v>43685</v>
      </c>
      <c r="F1936" s="188">
        <f>IFERROR(__xludf.DUMMYFUNCTION("""COMPUTED_VALUE"""),43716.0)</f>
        <v>43716</v>
      </c>
      <c r="H1936">
        <f>IFERROR(__xludf.DUMMYFUNCTION("""COMPUTED_VALUE"""),487355.0)</f>
        <v>487355</v>
      </c>
      <c r="I1936" t="str">
        <f>IFERROR(__xludf.DUMMYFUNCTION("""COMPUTED_VALUE"""),"09/19")</f>
        <v>09/19</v>
      </c>
      <c r="J1936" s="5">
        <f>IFERROR(__xludf.DUMMYFUNCTION("""COMPUTED_VALUE"""),43725.0)</f>
        <v>43725</v>
      </c>
      <c r="K1936">
        <f>IFERROR(__xludf.DUMMYFUNCTION("""COMPUTED_VALUE"""),31.0)</f>
        <v>31</v>
      </c>
      <c r="L1936">
        <f>IFERROR(__xludf.DUMMYFUNCTION("""COMPUTED_VALUE"""),9.0)</f>
        <v>9</v>
      </c>
      <c r="M1936">
        <f>IFERROR(__xludf.DUMMYFUNCTION("""COMPUTED_VALUE"""),40.0)</f>
        <v>40</v>
      </c>
      <c r="N1936" t="str">
        <f>IFERROR(__xludf.DUMMYFUNCTION("""COMPUTED_VALUE"""),"Model 3 Performance")</f>
        <v>Model 3 Performance</v>
      </c>
      <c r="O1936" t="str">
        <f>IFERROR(__xludf.DUMMYFUNCTION("""COMPUTED_VALUE"""),"Pearl White Multi-Coat")</f>
        <v>Pearl White Multi-Coat</v>
      </c>
      <c r="P1936" t="str">
        <f>IFERROR(__xludf.DUMMYFUNCTION("""COMPUTED_VALUE"""),"20 inch Sport")</f>
        <v>20 inch Sport</v>
      </c>
      <c r="Q1936" t="str">
        <f>IFERROR(__xludf.DUMMYFUNCTION("""COMPUTED_VALUE"""),"White seats")</f>
        <v>White seats</v>
      </c>
      <c r="R1936" t="str">
        <f>IFERROR(__xludf.DUMMYFUNCTION("""COMPUTED_VALUE"""),"Autopilot")</f>
        <v>Autopilot</v>
      </c>
      <c r="X1936" t="str">
        <f>IFERROR(__xludf.DUMMYFUNCTION("""COMPUTED_VALUE"""),"Excellent")</f>
        <v>Excellent</v>
      </c>
      <c r="Y1936" t="str">
        <f>IFERROR(__xludf.DUMMYFUNCTION("""COMPUTED_VALUE"""),"Excellent")</f>
        <v>Excellent</v>
      </c>
      <c r="Z1936" t="str">
        <f>IFERROR(__xludf.DUMMYFUNCTION("""COMPUTED_VALUE"""),"Excellent")</f>
        <v>Excellent</v>
      </c>
      <c r="AA1936" t="str">
        <f>IFERROR(__xludf.DUMMYFUNCTION("""COMPUTED_VALUE"""),"Excellent")</f>
        <v>Excellent</v>
      </c>
      <c r="AB1936" t="str">
        <f>IFERROR(__xludf.DUMMYFUNCTION("""COMPUTED_VALUE"""),"Excellent")</f>
        <v>Excellent</v>
      </c>
      <c r="AC1936">
        <f>IFERROR(__xludf.DUMMYFUNCTION("""COMPUTED_VALUE"""),0.0)</f>
        <v>0</v>
      </c>
      <c r="AD1936">
        <f>IFERROR(__xludf.DUMMYFUNCTION("""COMPUTED_VALUE"""),0.0)</f>
        <v>0</v>
      </c>
      <c r="AE1936">
        <f>IFERROR(__xludf.DUMMYFUNCTION("""COMPUTED_VALUE"""),0.0)</f>
        <v>0</v>
      </c>
      <c r="AG1936" t="str">
        <f>IFERROR(__xludf.DUMMYFUNCTION("""COMPUTED_VALUE"""),"Love my Model 3.")</f>
        <v>Love my Model 3.</v>
      </c>
      <c r="AH1936" s="189">
        <f>IFERROR(__xludf.DUMMYFUNCTION("""COMPUTED_VALUE"""),43725.493457847224)</f>
        <v>43725.49346</v>
      </c>
    </row>
    <row r="1937">
      <c r="A1937" t="str">
        <f>IFERROR(__xludf.DUMMYFUNCTION("""COMPUTED_VALUE"""),"clb")</f>
        <v>clb</v>
      </c>
      <c r="B1937" t="str">
        <f>IFERROR(__xludf.DUMMYFUNCTION("""COMPUTED_VALUE"""),"Medina")</f>
        <v>Medina</v>
      </c>
      <c r="C1937" t="str">
        <f>IFERROR(__xludf.DUMMYFUNCTION("""COMPUTED_VALUE"""),"OH")</f>
        <v>OH</v>
      </c>
      <c r="D1937" t="str">
        <f>IFERROR(__xludf.DUMMYFUNCTION("""COMPUTED_VALUE"""),"USA")</f>
        <v>USA</v>
      </c>
      <c r="E1937" s="188">
        <f>IFERROR(__xludf.DUMMYFUNCTION("""COMPUTED_VALUE"""),43696.0)</f>
        <v>43696</v>
      </c>
      <c r="F1937" s="188">
        <f>IFERROR(__xludf.DUMMYFUNCTION("""COMPUTED_VALUE"""),43717.0)</f>
        <v>43717</v>
      </c>
      <c r="H1937">
        <f>IFERROR(__xludf.DUMMYFUNCTION("""COMPUTED_VALUE"""),454955.0)</f>
        <v>454955</v>
      </c>
      <c r="I1937" t="str">
        <f>IFERROR(__xludf.DUMMYFUNCTION("""COMPUTED_VALUE"""),"09/19")</f>
        <v>09/19</v>
      </c>
      <c r="J1937" s="5">
        <f>IFERROR(__xludf.DUMMYFUNCTION("""COMPUTED_VALUE"""),43725.0)</f>
        <v>43725</v>
      </c>
      <c r="K1937">
        <f>IFERROR(__xludf.DUMMYFUNCTION("""COMPUTED_VALUE"""),21.0)</f>
        <v>21</v>
      </c>
      <c r="L1937">
        <f>IFERROR(__xludf.DUMMYFUNCTION("""COMPUTED_VALUE"""),8.0)</f>
        <v>8</v>
      </c>
      <c r="M1937">
        <f>IFERROR(__xludf.DUMMYFUNCTION("""COMPUTED_VALUE"""),29.0)</f>
        <v>29</v>
      </c>
      <c r="N1937" t="str">
        <f>IFERROR(__xludf.DUMMYFUNCTION("""COMPUTED_VALUE"""),"Model 3 Performance")</f>
        <v>Model 3 Performance</v>
      </c>
      <c r="O1937" t="str">
        <f>IFERROR(__xludf.DUMMYFUNCTION("""COMPUTED_VALUE"""),"Deep Blue Metallic")</f>
        <v>Deep Blue Metallic</v>
      </c>
      <c r="P1937" t="str">
        <f>IFERROR(__xludf.DUMMYFUNCTION("""COMPUTED_VALUE"""),"20 inch Sport")</f>
        <v>20 inch Sport</v>
      </c>
      <c r="Q1937" t="str">
        <f>IFERROR(__xludf.DUMMYFUNCTION("""COMPUTED_VALUE"""),"White seats")</f>
        <v>White seats</v>
      </c>
      <c r="R1937" t="str">
        <f>IFERROR(__xludf.DUMMYFUNCTION("""COMPUTED_VALUE"""),"Full Self-Driving")</f>
        <v>Full Self-Driving</v>
      </c>
      <c r="X1937" t="str">
        <f>IFERROR(__xludf.DUMMYFUNCTION("""COMPUTED_VALUE"""),"Very Good")</f>
        <v>Very Good</v>
      </c>
      <c r="Y1937" t="str">
        <f>IFERROR(__xludf.DUMMYFUNCTION("""COMPUTED_VALUE"""),"Very Good")</f>
        <v>Very Good</v>
      </c>
      <c r="Z1937" t="str">
        <f>IFERROR(__xludf.DUMMYFUNCTION("""COMPUTED_VALUE"""),"Very Good")</f>
        <v>Very Good</v>
      </c>
      <c r="AA1937" t="str">
        <f>IFERROR(__xludf.DUMMYFUNCTION("""COMPUTED_VALUE"""),"Fair")</f>
        <v>Fair</v>
      </c>
      <c r="AB1937" t="str">
        <f>IFERROR(__xludf.DUMMYFUNCTION("""COMPUTED_VALUE"""),"Very Good")</f>
        <v>Very Good</v>
      </c>
      <c r="AG1937" t="str">
        <f>IFERROR(__xludf.DUMMYFUNCTION("""COMPUTED_VALUE"""),"vin in source 9/9")</f>
        <v>vin in source 9/9</v>
      </c>
      <c r="AH1937" s="189">
        <f>IFERROR(__xludf.DUMMYFUNCTION("""COMPUTED_VALUE"""),43725.554659305555)</f>
        <v>43725.55466</v>
      </c>
    </row>
    <row r="1938">
      <c r="A1938" t="str">
        <f>IFERROR(__xludf.DUMMYFUNCTION("""COMPUTED_VALUE"""),"hclark1")</f>
        <v>hclark1</v>
      </c>
      <c r="B1938" t="str">
        <f>IFERROR(__xludf.DUMMYFUNCTION("""COMPUTED_VALUE"""),"Orange")</f>
        <v>Orange</v>
      </c>
      <c r="C1938" t="str">
        <f>IFERROR(__xludf.DUMMYFUNCTION("""COMPUTED_VALUE"""),"CA")</f>
        <v>CA</v>
      </c>
      <c r="D1938" t="str">
        <f>IFERROR(__xludf.DUMMYFUNCTION("""COMPUTED_VALUE"""),"USA")</f>
        <v>USA</v>
      </c>
      <c r="E1938" s="188">
        <f>IFERROR(__xludf.DUMMYFUNCTION("""COMPUTED_VALUE"""),43696.0)</f>
        <v>43696</v>
      </c>
      <c r="F1938" s="188">
        <f>IFERROR(__xludf.DUMMYFUNCTION("""COMPUTED_VALUE"""),43723.0)</f>
        <v>43723</v>
      </c>
      <c r="H1938">
        <f>IFERROR(__xludf.DUMMYFUNCTION("""COMPUTED_VALUE"""),529895.0)</f>
        <v>529895</v>
      </c>
      <c r="I1938" t="str">
        <f>IFERROR(__xludf.DUMMYFUNCTION("""COMPUTED_VALUE"""),"09/19")</f>
        <v>09/19</v>
      </c>
      <c r="J1938" s="5">
        <f>IFERROR(__xludf.DUMMYFUNCTION("""COMPUTED_VALUE"""),43723.0)</f>
        <v>43723</v>
      </c>
      <c r="K1938">
        <f>IFERROR(__xludf.DUMMYFUNCTION("""COMPUTED_VALUE"""),27.0)</f>
        <v>27</v>
      </c>
      <c r="L1938">
        <f>IFERROR(__xludf.DUMMYFUNCTION("""COMPUTED_VALUE"""),0.0)</f>
        <v>0</v>
      </c>
      <c r="M1938">
        <f>IFERROR(__xludf.DUMMYFUNCTION("""COMPUTED_VALUE"""),27.0)</f>
        <v>27</v>
      </c>
      <c r="N1938" t="str">
        <f>IFERROR(__xludf.DUMMYFUNCTION("""COMPUTED_VALUE"""),"Model 3 LR")</f>
        <v>Model 3 LR</v>
      </c>
      <c r="O1938" t="str">
        <f>IFERROR(__xludf.DUMMYFUNCTION("""COMPUTED_VALUE"""),"Pearl White Multi-Coat")</f>
        <v>Pearl White Multi-Coat</v>
      </c>
      <c r="P1938" t="str">
        <f>IFERROR(__xludf.DUMMYFUNCTION("""COMPUTED_VALUE"""),"19 inch Sport")</f>
        <v>19 inch Sport</v>
      </c>
      <c r="Q1938" t="str">
        <f>IFERROR(__xludf.DUMMYFUNCTION("""COMPUTED_VALUE"""),"Black seats")</f>
        <v>Black seats</v>
      </c>
      <c r="R1938" t="str">
        <f>IFERROR(__xludf.DUMMYFUNCTION("""COMPUTED_VALUE"""),"Full Self-Driving")</f>
        <v>Full Self-Driving</v>
      </c>
      <c r="X1938" t="str">
        <f>IFERROR(__xludf.DUMMYFUNCTION("""COMPUTED_VALUE"""),"Excellent")</f>
        <v>Excellent</v>
      </c>
      <c r="Y1938" t="str">
        <f>IFERROR(__xludf.DUMMYFUNCTION("""COMPUTED_VALUE"""),"Excellent")</f>
        <v>Excellent</v>
      </c>
      <c r="Z1938" t="str">
        <f>IFERROR(__xludf.DUMMYFUNCTION("""COMPUTED_VALUE"""),"Very Good")</f>
        <v>Very Good</v>
      </c>
      <c r="AA1938" t="str">
        <f>IFERROR(__xludf.DUMMYFUNCTION("""COMPUTED_VALUE"""),"Poor")</f>
        <v>Poor</v>
      </c>
      <c r="AB1938" t="str">
        <f>IFERROR(__xludf.DUMMYFUNCTION("""COMPUTED_VALUE"""),"Good")</f>
        <v>Good</v>
      </c>
      <c r="AC1938">
        <f>IFERROR(__xludf.DUMMYFUNCTION("""COMPUTED_VALUE"""),0.0)</f>
        <v>0</v>
      </c>
      <c r="AD1938">
        <f>IFERROR(__xludf.DUMMYFUNCTION("""COMPUTED_VALUE"""),0.0)</f>
        <v>0</v>
      </c>
      <c r="AE1938">
        <f>IFERROR(__xludf.DUMMYFUNCTION("""COMPUTED_VALUE"""),0.0)</f>
        <v>0</v>
      </c>
      <c r="AG1938" t="str">
        <f>IFERROR(__xludf.DUMMYFUNCTION("""COMPUTED_VALUE"""),"Ordered LR AWD but was matched to LR RWD sooner")</f>
        <v>Ordered LR AWD but was matched to LR RWD sooner</v>
      </c>
      <c r="AH1938" s="189">
        <f>IFERROR(__xludf.DUMMYFUNCTION("""COMPUTED_VALUE"""),43725.564291284725)</f>
        <v>43725.56429</v>
      </c>
    </row>
    <row r="1939">
      <c r="A1939" t="str">
        <f>IFERROR(__xludf.DUMMYFUNCTION("""COMPUTED_VALUE"""),"Ed")</f>
        <v>Ed</v>
      </c>
      <c r="B1939" t="str">
        <f>IFERROR(__xludf.DUMMYFUNCTION("""COMPUTED_VALUE"""),"Livermore")</f>
        <v>Livermore</v>
      </c>
      <c r="C1939" t="str">
        <f>IFERROR(__xludf.DUMMYFUNCTION("""COMPUTED_VALUE"""),"CA")</f>
        <v>CA</v>
      </c>
      <c r="D1939" t="str">
        <f>IFERROR(__xludf.DUMMYFUNCTION("""COMPUTED_VALUE"""),"USA")</f>
        <v>USA</v>
      </c>
      <c r="E1939" s="188">
        <f>IFERROR(__xludf.DUMMYFUNCTION("""COMPUTED_VALUE"""),43690.0)</f>
        <v>43690</v>
      </c>
      <c r="F1939" s="188">
        <f>IFERROR(__xludf.DUMMYFUNCTION("""COMPUTED_VALUE"""),43723.0)</f>
        <v>43723</v>
      </c>
      <c r="H1939" s="4">
        <f>IFERROR(__xludf.DUMMYFUNCTION("""COMPUTED_VALUE"""),530271.0)</f>
        <v>530271</v>
      </c>
      <c r="J1939" s="5">
        <f>IFERROR(__xludf.DUMMYFUNCTION("""COMPUTED_VALUE"""),43724.0)</f>
        <v>43724</v>
      </c>
      <c r="K1939">
        <f>IFERROR(__xludf.DUMMYFUNCTION("""COMPUTED_VALUE"""),33.0)</f>
        <v>33</v>
      </c>
      <c r="L1939">
        <f>IFERROR(__xludf.DUMMYFUNCTION("""COMPUTED_VALUE"""),1.0)</f>
        <v>1</v>
      </c>
      <c r="M1939">
        <f>IFERROR(__xludf.DUMMYFUNCTION("""COMPUTED_VALUE"""),34.0)</f>
        <v>34</v>
      </c>
      <c r="N1939" t="str">
        <f>IFERROR(__xludf.DUMMYFUNCTION("""COMPUTED_VALUE"""),"Model 3 Performance")</f>
        <v>Model 3 Performance</v>
      </c>
      <c r="O1939" t="str">
        <f>IFERROR(__xludf.DUMMYFUNCTION("""COMPUTED_VALUE"""),"Pearl White Multi-Coat")</f>
        <v>Pearl White Multi-Coat</v>
      </c>
      <c r="P1939" t="str">
        <f>IFERROR(__xludf.DUMMYFUNCTION("""COMPUTED_VALUE"""),"19 inch Sport")</f>
        <v>19 inch Sport</v>
      </c>
      <c r="Q1939" t="str">
        <f>IFERROR(__xludf.DUMMYFUNCTION("""COMPUTED_VALUE"""),"Black seats")</f>
        <v>Black seats</v>
      </c>
      <c r="R1939" t="str">
        <f>IFERROR(__xludf.DUMMYFUNCTION("""COMPUTED_VALUE"""),"Full Self-Driving")</f>
        <v>Full Self-Driving</v>
      </c>
      <c r="X1939" t="str">
        <f>IFERROR(__xludf.DUMMYFUNCTION("""COMPUTED_VALUE"""),"Very Good")</f>
        <v>Very Good</v>
      </c>
      <c r="Y1939" t="str">
        <f>IFERROR(__xludf.DUMMYFUNCTION("""COMPUTED_VALUE"""),"Excellent")</f>
        <v>Excellent</v>
      </c>
      <c r="Z1939" t="str">
        <f>IFERROR(__xludf.DUMMYFUNCTION("""COMPUTED_VALUE"""),"Excellent")</f>
        <v>Excellent</v>
      </c>
      <c r="AA1939" t="str">
        <f>IFERROR(__xludf.DUMMYFUNCTION("""COMPUTED_VALUE"""),"Fair")</f>
        <v>Fair</v>
      </c>
      <c r="AB1939" t="str">
        <f>IFERROR(__xludf.DUMMYFUNCTION("""COMPUTED_VALUE"""),"Fair")</f>
        <v>Fair</v>
      </c>
      <c r="AG1939" t="str">
        <f>IFERROR(__xludf.DUMMYFUNCTION("""COMPUTED_VALUE"""),"Delivery called me on 9/15 and asked if I would take a stealth PM3 with no red calipers In short supply now or CF spoiler or wait 2-3 more weeks, I took the Stealth!")</f>
        <v>Delivery called me on 9/15 and asked if I would take a stealth PM3 with no red calipers In short supply now or CF spoiler or wait 2-3 more weeks, I took the Stealth!</v>
      </c>
      <c r="AH1939" s="189">
        <f>IFERROR(__xludf.DUMMYFUNCTION("""COMPUTED_VALUE"""),43725.81683865741)</f>
        <v>43725.81684</v>
      </c>
    </row>
    <row r="1940">
      <c r="A1940" t="str">
        <f>IFERROR(__xludf.DUMMYFUNCTION("""COMPUTED_VALUE"""),"mattster98")</f>
        <v>mattster98</v>
      </c>
      <c r="B1940" t="str">
        <f>IFERROR(__xludf.DUMMYFUNCTION("""COMPUTED_VALUE"""),"Atlanta")</f>
        <v>Atlanta</v>
      </c>
      <c r="C1940" t="str">
        <f>IFERROR(__xludf.DUMMYFUNCTION("""COMPUTED_VALUE"""),"GA")</f>
        <v>GA</v>
      </c>
      <c r="D1940" t="str">
        <f>IFERROR(__xludf.DUMMYFUNCTION("""COMPUTED_VALUE"""),"USA")</f>
        <v>USA</v>
      </c>
      <c r="E1940" s="188">
        <f>IFERROR(__xludf.DUMMYFUNCTION("""COMPUTED_VALUE"""),43718.0)</f>
        <v>43718</v>
      </c>
      <c r="F1940" s="188">
        <f>IFERROR(__xludf.DUMMYFUNCTION("""COMPUTED_VALUE"""),43719.0)</f>
        <v>43719</v>
      </c>
      <c r="H1940">
        <f>IFERROR(__xludf.DUMMYFUNCTION("""COMPUTED_VALUE"""),454755.0)</f>
        <v>454755</v>
      </c>
      <c r="J1940" s="5">
        <f>IFERROR(__xludf.DUMMYFUNCTION("""COMPUTED_VALUE"""),43725.0)</f>
        <v>43725</v>
      </c>
      <c r="K1940">
        <f>IFERROR(__xludf.DUMMYFUNCTION("""COMPUTED_VALUE"""),1.0)</f>
        <v>1</v>
      </c>
      <c r="L1940">
        <f>IFERROR(__xludf.DUMMYFUNCTION("""COMPUTED_VALUE"""),6.0)</f>
        <v>6</v>
      </c>
      <c r="M1940">
        <f>IFERROR(__xludf.DUMMYFUNCTION("""COMPUTED_VALUE"""),7.0)</f>
        <v>7</v>
      </c>
      <c r="N1940" t="str">
        <f>IFERROR(__xludf.DUMMYFUNCTION("""COMPUTED_VALUE"""),"Model 3 LR AWD")</f>
        <v>Model 3 LR AWD</v>
      </c>
      <c r="O1940" t="str">
        <f>IFERROR(__xludf.DUMMYFUNCTION("""COMPUTED_VALUE"""),"Pearl White Multi-Coat")</f>
        <v>Pearl White Multi-Coat</v>
      </c>
      <c r="P1940" t="str">
        <f>IFERROR(__xludf.DUMMYFUNCTION("""COMPUTED_VALUE"""),"19 inch Sport")</f>
        <v>19 inch Sport</v>
      </c>
      <c r="Q1940" t="str">
        <f>IFERROR(__xludf.DUMMYFUNCTION("""COMPUTED_VALUE"""),"White seats")</f>
        <v>White seats</v>
      </c>
      <c r="R1940" t="str">
        <f>IFERROR(__xludf.DUMMYFUNCTION("""COMPUTED_VALUE"""),"Full Self-Driving")</f>
        <v>Full Self-Driving</v>
      </c>
      <c r="X1940" t="str">
        <f>IFERROR(__xludf.DUMMYFUNCTION("""COMPUTED_VALUE"""),"Excellent")</f>
        <v>Excellent</v>
      </c>
      <c r="Y1940" t="str">
        <f>IFERROR(__xludf.DUMMYFUNCTION("""COMPUTED_VALUE"""),"Excellent")</f>
        <v>Excellent</v>
      </c>
      <c r="Z1940" t="str">
        <f>IFERROR(__xludf.DUMMYFUNCTION("""COMPUTED_VALUE"""),"Excellent")</f>
        <v>Excellent</v>
      </c>
      <c r="AA1940" t="str">
        <f>IFERROR(__xludf.DUMMYFUNCTION("""COMPUTED_VALUE"""),"Very Good")</f>
        <v>Very Good</v>
      </c>
      <c r="AB1940" t="str">
        <f>IFERROR(__xludf.DUMMYFUNCTION("""COMPUTED_VALUE"""),"Excellent")</f>
        <v>Excellent</v>
      </c>
      <c r="AH1940" s="189">
        <f>IFERROR(__xludf.DUMMYFUNCTION("""COMPUTED_VALUE"""),43726.2978943287)</f>
        <v>43726.29789</v>
      </c>
    </row>
    <row r="1941">
      <c r="A1941" t="str">
        <f>IFERROR(__xludf.DUMMYFUNCTION("""COMPUTED_VALUE"""),"dm")</f>
        <v>dm</v>
      </c>
      <c r="B1941" t="str">
        <f>IFERROR(__xludf.DUMMYFUNCTION("""COMPUTED_VALUE"""),"Jacksonville, FL")</f>
        <v>Jacksonville, FL</v>
      </c>
      <c r="C1941" t="str">
        <f>IFERROR(__xludf.DUMMYFUNCTION("""COMPUTED_VALUE"""),"FL")</f>
        <v>FL</v>
      </c>
      <c r="D1941" t="str">
        <f>IFERROR(__xludf.DUMMYFUNCTION("""COMPUTED_VALUE"""),"USA")</f>
        <v>USA</v>
      </c>
      <c r="E1941" s="188">
        <f>IFERROR(__xludf.DUMMYFUNCTION("""COMPUTED_VALUE"""),43680.0)</f>
        <v>43680</v>
      </c>
      <c r="F1941" s="188">
        <f>IFERROR(__xludf.DUMMYFUNCTION("""COMPUTED_VALUE"""),43718.0)</f>
        <v>43718</v>
      </c>
      <c r="H1941">
        <f>IFERROR(__xludf.DUMMYFUNCTION("""COMPUTED_VALUE"""),440784.0)</f>
        <v>440784</v>
      </c>
      <c r="J1941" s="5">
        <f>IFERROR(__xludf.DUMMYFUNCTION("""COMPUTED_VALUE"""),43725.0)</f>
        <v>43725</v>
      </c>
      <c r="K1941">
        <f>IFERROR(__xludf.DUMMYFUNCTION("""COMPUTED_VALUE"""),38.0)</f>
        <v>38</v>
      </c>
      <c r="L1941">
        <f>IFERROR(__xludf.DUMMYFUNCTION("""COMPUTED_VALUE"""),7.0)</f>
        <v>7</v>
      </c>
      <c r="M1941">
        <f>IFERROR(__xludf.DUMMYFUNCTION("""COMPUTED_VALUE"""),45.0)</f>
        <v>45</v>
      </c>
      <c r="N1941" t="str">
        <f>IFERROR(__xludf.DUMMYFUNCTION("""COMPUTED_VALUE"""),"Model 3 Performance")</f>
        <v>Model 3 Performance</v>
      </c>
      <c r="O1941" t="str">
        <f>IFERROR(__xludf.DUMMYFUNCTION("""COMPUTED_VALUE"""),"Red Multi-Coat")</f>
        <v>Red Multi-Coat</v>
      </c>
      <c r="P1941" t="str">
        <f>IFERROR(__xludf.DUMMYFUNCTION("""COMPUTED_VALUE"""),"20 inch Sport")</f>
        <v>20 inch Sport</v>
      </c>
      <c r="Q1941" t="str">
        <f>IFERROR(__xludf.DUMMYFUNCTION("""COMPUTED_VALUE"""),"Black seats")</f>
        <v>Black seats</v>
      </c>
      <c r="R1941" t="str">
        <f>IFERROR(__xludf.DUMMYFUNCTION("""COMPUTED_VALUE"""),"Autopilot")</f>
        <v>Autopilot</v>
      </c>
      <c r="X1941" t="str">
        <f>IFERROR(__xludf.DUMMYFUNCTION("""COMPUTED_VALUE"""),"Good")</f>
        <v>Good</v>
      </c>
      <c r="Y1941" t="str">
        <f>IFERROR(__xludf.DUMMYFUNCTION("""COMPUTED_VALUE"""),"Very Good")</f>
        <v>Very Good</v>
      </c>
      <c r="Z1941" t="str">
        <f>IFERROR(__xludf.DUMMYFUNCTION("""COMPUTED_VALUE"""),"Very Good")</f>
        <v>Very Good</v>
      </c>
      <c r="AA1941" t="str">
        <f>IFERROR(__xludf.DUMMYFUNCTION("""COMPUTED_VALUE"""),"Fair")</f>
        <v>Fair</v>
      </c>
      <c r="AB1941" t="str">
        <f>IFERROR(__xludf.DUMMYFUNCTION("""COMPUTED_VALUE"""),"Good")</f>
        <v>Good</v>
      </c>
      <c r="AH1941" s="189">
        <f>IFERROR(__xludf.DUMMYFUNCTION("""COMPUTED_VALUE"""),43726.512269467596)</f>
        <v>43726.51227</v>
      </c>
    </row>
    <row r="1942">
      <c r="A1942" t="str">
        <f>IFERROR(__xludf.DUMMYFUNCTION("""COMPUTED_VALUE"""),"chudson")</f>
        <v>chudson</v>
      </c>
      <c r="B1942" t="str">
        <f>IFERROR(__xludf.DUMMYFUNCTION("""COMPUTED_VALUE"""),"Lynnwood")</f>
        <v>Lynnwood</v>
      </c>
      <c r="C1942" t="str">
        <f>IFERROR(__xludf.DUMMYFUNCTION("""COMPUTED_VALUE"""),"WA")</f>
        <v>WA</v>
      </c>
      <c r="D1942" t="str">
        <f>IFERROR(__xludf.DUMMYFUNCTION("""COMPUTED_VALUE"""),"USA")</f>
        <v>USA</v>
      </c>
      <c r="E1942" s="188">
        <f>IFERROR(__xludf.DUMMYFUNCTION("""COMPUTED_VALUE"""),43665.0)</f>
        <v>43665</v>
      </c>
      <c r="F1942" s="188">
        <f>IFERROR(__xludf.DUMMYFUNCTION("""COMPUTED_VALUE"""),43676.0)</f>
        <v>43676</v>
      </c>
      <c r="H1942">
        <f>IFERROR(__xludf.DUMMYFUNCTION("""COMPUTED_VALUE"""),435643.0)</f>
        <v>435643</v>
      </c>
      <c r="I1942" t="str">
        <f>IFERROR(__xludf.DUMMYFUNCTION("""COMPUTED_VALUE"""),"07/19")</f>
        <v>07/19</v>
      </c>
      <c r="J1942" s="5">
        <f>IFERROR(__xludf.DUMMYFUNCTION("""COMPUTED_VALUE"""),43683.0)</f>
        <v>43683</v>
      </c>
      <c r="K1942">
        <f>IFERROR(__xludf.DUMMYFUNCTION("""COMPUTED_VALUE"""),11.0)</f>
        <v>11</v>
      </c>
      <c r="L1942">
        <f>IFERROR(__xludf.DUMMYFUNCTION("""COMPUTED_VALUE"""),7.0)</f>
        <v>7</v>
      </c>
      <c r="M1942">
        <f>IFERROR(__xludf.DUMMYFUNCTION("""COMPUTED_VALUE"""),18.0)</f>
        <v>18</v>
      </c>
      <c r="N1942" t="str">
        <f>IFERROR(__xludf.DUMMYFUNCTION("""COMPUTED_VALUE"""),"Model 3 SR+")</f>
        <v>Model 3 SR+</v>
      </c>
      <c r="O1942" t="str">
        <f>IFERROR(__xludf.DUMMYFUNCTION("""COMPUTED_VALUE"""),"Pearl White Multi-Coat")</f>
        <v>Pearl White Multi-Coat</v>
      </c>
      <c r="P1942" t="str">
        <f>IFERROR(__xludf.DUMMYFUNCTION("""COMPUTED_VALUE"""),"18 inch Aero")</f>
        <v>18 inch Aero</v>
      </c>
      <c r="Q1942" t="str">
        <f>IFERROR(__xludf.DUMMYFUNCTION("""COMPUTED_VALUE"""),"Black seats")</f>
        <v>Black seats</v>
      </c>
      <c r="R1942" t="str">
        <f>IFERROR(__xludf.DUMMYFUNCTION("""COMPUTED_VALUE"""),"Autopilot")</f>
        <v>Autopilot</v>
      </c>
      <c r="X1942" t="str">
        <f>IFERROR(__xludf.DUMMYFUNCTION("""COMPUTED_VALUE"""),"Excellent")</f>
        <v>Excellent</v>
      </c>
      <c r="Y1942" t="str">
        <f>IFERROR(__xludf.DUMMYFUNCTION("""COMPUTED_VALUE"""),"Excellent")</f>
        <v>Excellent</v>
      </c>
      <c r="Z1942" t="str">
        <f>IFERROR(__xludf.DUMMYFUNCTION("""COMPUTED_VALUE"""),"Excellent")</f>
        <v>Excellent</v>
      </c>
      <c r="AA1942" t="str">
        <f>IFERROR(__xludf.DUMMYFUNCTION("""COMPUTED_VALUE"""),"Excellent")</f>
        <v>Excellent</v>
      </c>
      <c r="AB1942" t="str">
        <f>IFERROR(__xludf.DUMMYFUNCTION("""COMPUTED_VALUE"""),"Good")</f>
        <v>Good</v>
      </c>
      <c r="AC1942">
        <f>IFERROR(__xludf.DUMMYFUNCTION("""COMPUTED_VALUE"""),0.0)</f>
        <v>0</v>
      </c>
      <c r="AD1942">
        <f>IFERROR(__xludf.DUMMYFUNCTION("""COMPUTED_VALUE"""),0.0)</f>
        <v>0</v>
      </c>
      <c r="AE1942">
        <f>IFERROR(__xludf.DUMMYFUNCTION("""COMPUTED_VALUE"""),0.0)</f>
        <v>0</v>
      </c>
      <c r="AG1942" t="str">
        <f>IFERROR(__xludf.DUMMYFUNCTION("""COMPUTED_VALUE"""),"Had to bump my original delivery date by 5 days due to new WA state sales tax rebate that started Aug 1st.")</f>
        <v>Had to bump my original delivery date by 5 days due to new WA state sales tax rebate that started Aug 1st.</v>
      </c>
      <c r="AH1942" s="189">
        <f>IFERROR(__xludf.DUMMYFUNCTION("""COMPUTED_VALUE"""),43726.603670625)</f>
        <v>43726.60367</v>
      </c>
    </row>
    <row r="1943">
      <c r="A1943" t="str">
        <f>IFERROR(__xludf.DUMMYFUNCTION("""COMPUTED_VALUE"""),"bruinj26")</f>
        <v>bruinj26</v>
      </c>
      <c r="B1943" t="str">
        <f>IFERROR(__xludf.DUMMYFUNCTION("""COMPUTED_VALUE"""),"Vacaville")</f>
        <v>Vacaville</v>
      </c>
      <c r="C1943" t="str">
        <f>IFERROR(__xludf.DUMMYFUNCTION("""COMPUTED_VALUE"""),"CA")</f>
        <v>CA</v>
      </c>
      <c r="D1943" t="str">
        <f>IFERROR(__xludf.DUMMYFUNCTION("""COMPUTED_VALUE"""),"USA")</f>
        <v>USA</v>
      </c>
      <c r="E1943" s="188">
        <f>IFERROR(__xludf.DUMMYFUNCTION("""COMPUTED_VALUE"""),43701.0)</f>
        <v>43701</v>
      </c>
      <c r="F1943" s="188">
        <f>IFERROR(__xludf.DUMMYFUNCTION("""COMPUTED_VALUE"""),43725.0)</f>
        <v>43725</v>
      </c>
      <c r="H1943">
        <f>IFERROR(__xludf.DUMMYFUNCTION("""COMPUTED_VALUE"""),482288.0)</f>
        <v>482288</v>
      </c>
      <c r="J1943" s="5">
        <f>IFERROR(__xludf.DUMMYFUNCTION("""COMPUTED_VALUE"""),43726.0)</f>
        <v>43726</v>
      </c>
      <c r="K1943">
        <f>IFERROR(__xludf.DUMMYFUNCTION("""COMPUTED_VALUE"""),24.0)</f>
        <v>24</v>
      </c>
      <c r="L1943">
        <f>IFERROR(__xludf.DUMMYFUNCTION("""COMPUTED_VALUE"""),1.0)</f>
        <v>1</v>
      </c>
      <c r="M1943">
        <f>IFERROR(__xludf.DUMMYFUNCTION("""COMPUTED_VALUE"""),25.0)</f>
        <v>25</v>
      </c>
      <c r="N1943" t="str">
        <f>IFERROR(__xludf.DUMMYFUNCTION("""COMPUTED_VALUE"""),"Model 3 LR AWD")</f>
        <v>Model 3 LR AWD</v>
      </c>
      <c r="O1943" t="str">
        <f>IFERROR(__xludf.DUMMYFUNCTION("""COMPUTED_VALUE"""),"Midnight Silver Metallic")</f>
        <v>Midnight Silver Metallic</v>
      </c>
      <c r="P1943" t="str">
        <f>IFERROR(__xludf.DUMMYFUNCTION("""COMPUTED_VALUE"""),"18 inch Aero")</f>
        <v>18 inch Aero</v>
      </c>
      <c r="Q1943" t="str">
        <f>IFERROR(__xludf.DUMMYFUNCTION("""COMPUTED_VALUE"""),"Black seats")</f>
        <v>Black seats</v>
      </c>
      <c r="R1943" t="str">
        <f>IFERROR(__xludf.DUMMYFUNCTION("""COMPUTED_VALUE"""),"Autopilot")</f>
        <v>Autopilot</v>
      </c>
      <c r="X1943" t="str">
        <f>IFERROR(__xludf.DUMMYFUNCTION("""COMPUTED_VALUE"""),"Excellent")</f>
        <v>Excellent</v>
      </c>
      <c r="Y1943" t="str">
        <f>IFERROR(__xludf.DUMMYFUNCTION("""COMPUTED_VALUE"""),"Excellent")</f>
        <v>Excellent</v>
      </c>
      <c r="Z1943" t="str">
        <f>IFERROR(__xludf.DUMMYFUNCTION("""COMPUTED_VALUE"""),"Excellent")</f>
        <v>Excellent</v>
      </c>
      <c r="AA1943" t="str">
        <f>IFERROR(__xludf.DUMMYFUNCTION("""COMPUTED_VALUE"""),"Very Good")</f>
        <v>Very Good</v>
      </c>
      <c r="AB1943" t="str">
        <f>IFERROR(__xludf.DUMMYFUNCTION("""COMPUTED_VALUE"""),"Excellent")</f>
        <v>Excellent</v>
      </c>
      <c r="AH1943" s="189">
        <f>IFERROR(__xludf.DUMMYFUNCTION("""COMPUTED_VALUE"""),43726.983946886576)</f>
        <v>43726.98395</v>
      </c>
    </row>
    <row r="1944">
      <c r="A1944" t="str">
        <f>IFERROR(__xludf.DUMMYFUNCTION("""COMPUTED_VALUE"""),"Tremiata")</f>
        <v>Tremiata</v>
      </c>
      <c r="B1944" t="str">
        <f>IFERROR(__xludf.DUMMYFUNCTION("""COMPUTED_VALUE"""),"Bartow")</f>
        <v>Bartow</v>
      </c>
      <c r="C1944" t="str">
        <f>IFERROR(__xludf.DUMMYFUNCTION("""COMPUTED_VALUE"""),"FL")</f>
        <v>FL</v>
      </c>
      <c r="D1944" t="str">
        <f>IFERROR(__xludf.DUMMYFUNCTION("""COMPUTED_VALUE"""),"USA")</f>
        <v>USA</v>
      </c>
      <c r="E1944" s="188">
        <f>IFERROR(__xludf.DUMMYFUNCTION("""COMPUTED_VALUE"""),43703.0)</f>
        <v>43703</v>
      </c>
      <c r="F1944" s="188">
        <f>IFERROR(__xludf.DUMMYFUNCTION("""COMPUTED_VALUE"""),43704.0)</f>
        <v>43704</v>
      </c>
      <c r="H1944">
        <f>IFERROR(__xludf.DUMMYFUNCTION("""COMPUTED_VALUE"""),483155.0)</f>
        <v>483155</v>
      </c>
      <c r="I1944" t="str">
        <f>IFERROR(__xludf.DUMMYFUNCTION("""COMPUTED_VALUE"""),"08/19")</f>
        <v>08/19</v>
      </c>
      <c r="J1944" s="5">
        <f>IFERROR(__xludf.DUMMYFUNCTION("""COMPUTED_VALUE"""),43722.0)</f>
        <v>43722</v>
      </c>
      <c r="K1944">
        <f>IFERROR(__xludf.DUMMYFUNCTION("""COMPUTED_VALUE"""),1.0)</f>
        <v>1</v>
      </c>
      <c r="L1944">
        <f>IFERROR(__xludf.DUMMYFUNCTION("""COMPUTED_VALUE"""),18.0)</f>
        <v>18</v>
      </c>
      <c r="M1944">
        <f>IFERROR(__xludf.DUMMYFUNCTION("""COMPUTED_VALUE"""),19.0)</f>
        <v>19</v>
      </c>
      <c r="N1944" t="str">
        <f>IFERROR(__xludf.DUMMYFUNCTION("""COMPUTED_VALUE"""),"Model 3 SR+")</f>
        <v>Model 3 SR+</v>
      </c>
      <c r="O1944" t="str">
        <f>IFERROR(__xludf.DUMMYFUNCTION("""COMPUTED_VALUE"""),"Pearl White Multi-Coat")</f>
        <v>Pearl White Multi-Coat</v>
      </c>
      <c r="P1944" t="str">
        <f>IFERROR(__xludf.DUMMYFUNCTION("""COMPUTED_VALUE"""),"18 inch Aero")</f>
        <v>18 inch Aero</v>
      </c>
      <c r="Q1944" t="str">
        <f>IFERROR(__xludf.DUMMYFUNCTION("""COMPUTED_VALUE"""),"Black seats")</f>
        <v>Black seats</v>
      </c>
      <c r="R1944" t="str">
        <f>IFERROR(__xludf.DUMMYFUNCTION("""COMPUTED_VALUE"""),"Autopilot")</f>
        <v>Autopilot</v>
      </c>
      <c r="X1944" t="str">
        <f>IFERROR(__xludf.DUMMYFUNCTION("""COMPUTED_VALUE"""),"Excellent")</f>
        <v>Excellent</v>
      </c>
      <c r="Y1944" t="str">
        <f>IFERROR(__xludf.DUMMYFUNCTION("""COMPUTED_VALUE"""),"Excellent")</f>
        <v>Excellent</v>
      </c>
      <c r="Z1944" t="str">
        <f>IFERROR(__xludf.DUMMYFUNCTION("""COMPUTED_VALUE"""),"Excellent")</f>
        <v>Excellent</v>
      </c>
      <c r="AA1944" t="str">
        <f>IFERROR(__xludf.DUMMYFUNCTION("""COMPUTED_VALUE"""),"Good")</f>
        <v>Good</v>
      </c>
      <c r="AB1944" t="str">
        <f>IFERROR(__xludf.DUMMYFUNCTION("""COMPUTED_VALUE"""),"Good")</f>
        <v>Good</v>
      </c>
      <c r="AH1944" s="189">
        <f>IFERROR(__xludf.DUMMYFUNCTION("""COMPUTED_VALUE"""),43727.5336753588)</f>
        <v>43727.53368</v>
      </c>
    </row>
    <row r="1945">
      <c r="A1945" t="str">
        <f>IFERROR(__xludf.DUMMYFUNCTION("""COMPUTED_VALUE"""),"Blonde Aries")</f>
        <v>Blonde Aries</v>
      </c>
      <c r="B1945" t="str">
        <f>IFERROR(__xludf.DUMMYFUNCTION("""COMPUTED_VALUE"""),"Dallas")</f>
        <v>Dallas</v>
      </c>
      <c r="C1945" t="str">
        <f>IFERROR(__xludf.DUMMYFUNCTION("""COMPUTED_VALUE"""),"TX")</f>
        <v>TX</v>
      </c>
      <c r="D1945" t="str">
        <f>IFERROR(__xludf.DUMMYFUNCTION("""COMPUTED_VALUE"""),"USA")</f>
        <v>USA</v>
      </c>
      <c r="E1945" s="188">
        <f>IFERROR(__xludf.DUMMYFUNCTION("""COMPUTED_VALUE"""),43693.0)</f>
        <v>43693</v>
      </c>
      <c r="F1945" s="188">
        <f>IFERROR(__xludf.DUMMYFUNCTION("""COMPUTED_VALUE"""),43717.0)</f>
        <v>43717</v>
      </c>
      <c r="H1945">
        <f>IFERROR(__xludf.DUMMYFUNCTION("""COMPUTED_VALUE"""),421755.0)</f>
        <v>421755</v>
      </c>
      <c r="J1945" s="5">
        <f>IFERROR(__xludf.DUMMYFUNCTION("""COMPUTED_VALUE"""),43725.0)</f>
        <v>43725</v>
      </c>
      <c r="K1945">
        <f>IFERROR(__xludf.DUMMYFUNCTION("""COMPUTED_VALUE"""),24.0)</f>
        <v>24</v>
      </c>
      <c r="L1945">
        <f>IFERROR(__xludf.DUMMYFUNCTION("""COMPUTED_VALUE"""),8.0)</f>
        <v>8</v>
      </c>
      <c r="M1945">
        <f>IFERROR(__xludf.DUMMYFUNCTION("""COMPUTED_VALUE"""),32.0)</f>
        <v>32</v>
      </c>
      <c r="N1945" t="str">
        <f>IFERROR(__xludf.DUMMYFUNCTION("""COMPUTED_VALUE"""),"Model 3 LR AWD")</f>
        <v>Model 3 LR AWD</v>
      </c>
      <c r="O1945" t="str">
        <f>IFERROR(__xludf.DUMMYFUNCTION("""COMPUTED_VALUE"""),"Red Multi-Coat")</f>
        <v>Red Multi-Coat</v>
      </c>
      <c r="P1945" t="str">
        <f>IFERROR(__xludf.DUMMYFUNCTION("""COMPUTED_VALUE"""),"19 inch Sport")</f>
        <v>19 inch Sport</v>
      </c>
      <c r="Q1945" t="str">
        <f>IFERROR(__xludf.DUMMYFUNCTION("""COMPUTED_VALUE"""),"White seats")</f>
        <v>White seats</v>
      </c>
      <c r="R1945" t="str">
        <f>IFERROR(__xludf.DUMMYFUNCTION("""COMPUTED_VALUE"""),"Full Self-Driving")</f>
        <v>Full Self-Driving</v>
      </c>
      <c r="X1945" t="str">
        <f>IFERROR(__xludf.DUMMYFUNCTION("""COMPUTED_VALUE"""),"Excellent")</f>
        <v>Excellent</v>
      </c>
      <c r="Y1945" t="str">
        <f>IFERROR(__xludf.DUMMYFUNCTION("""COMPUTED_VALUE"""),"Excellent")</f>
        <v>Excellent</v>
      </c>
      <c r="Z1945" t="str">
        <f>IFERROR(__xludf.DUMMYFUNCTION("""COMPUTED_VALUE"""),"Excellent")</f>
        <v>Excellent</v>
      </c>
      <c r="AA1945" t="str">
        <f>IFERROR(__xludf.DUMMYFUNCTION("""COMPUTED_VALUE"""),"Excellent")</f>
        <v>Excellent</v>
      </c>
      <c r="AB1945" t="str">
        <f>IFERROR(__xludf.DUMMYFUNCTION("""COMPUTED_VALUE"""),"Excellent")</f>
        <v>Excellent</v>
      </c>
      <c r="AC1945">
        <f>IFERROR(__xludf.DUMMYFUNCTION("""COMPUTED_VALUE"""),0.0)</f>
        <v>0</v>
      </c>
      <c r="AD1945">
        <f>IFERROR(__xludf.DUMMYFUNCTION("""COMPUTED_VALUE"""),0.0)</f>
        <v>0</v>
      </c>
      <c r="AE1945">
        <f>IFERROR(__xludf.DUMMYFUNCTION("""COMPUTED_VALUE"""),0.0)</f>
        <v>0</v>
      </c>
      <c r="AH1945" s="189">
        <f>IFERROR(__xludf.DUMMYFUNCTION("""COMPUTED_VALUE"""),43728.34007708333)</f>
        <v>43728.34008</v>
      </c>
    </row>
    <row r="1946">
      <c r="A1946" t="str">
        <f>IFERROR(__xludf.DUMMYFUNCTION("""COMPUTED_VALUE"""),"kilbu")</f>
        <v>kilbu</v>
      </c>
      <c r="B1946" t="str">
        <f>IFERROR(__xludf.DUMMYFUNCTION("""COMPUTED_VALUE"""),"Fort Collins")</f>
        <v>Fort Collins</v>
      </c>
      <c r="C1946" t="str">
        <f>IFERROR(__xludf.DUMMYFUNCTION("""COMPUTED_VALUE"""),"CO")</f>
        <v>CO</v>
      </c>
      <c r="D1946" t="str">
        <f>IFERROR(__xludf.DUMMYFUNCTION("""COMPUTED_VALUE"""),"USA")</f>
        <v>USA</v>
      </c>
      <c r="E1946" s="188">
        <f>IFERROR(__xludf.DUMMYFUNCTION("""COMPUTED_VALUE"""),43692.0)</f>
        <v>43692</v>
      </c>
      <c r="F1946" s="188">
        <f>IFERROR(__xludf.DUMMYFUNCTION("""COMPUTED_VALUE"""),43724.0)</f>
        <v>43724</v>
      </c>
      <c r="H1946">
        <f>IFERROR(__xludf.DUMMYFUNCTION("""COMPUTED_VALUE"""),447655.0)</f>
        <v>447655</v>
      </c>
      <c r="I1946" t="str">
        <f>IFERROR(__xludf.DUMMYFUNCTION("""COMPUTED_VALUE"""),"09/19")</f>
        <v>09/19</v>
      </c>
      <c r="J1946" s="5">
        <f>IFERROR(__xludf.DUMMYFUNCTION("""COMPUTED_VALUE"""),43727.0)</f>
        <v>43727</v>
      </c>
      <c r="K1946">
        <f>IFERROR(__xludf.DUMMYFUNCTION("""COMPUTED_VALUE"""),32.0)</f>
        <v>32</v>
      </c>
      <c r="L1946">
        <f>IFERROR(__xludf.DUMMYFUNCTION("""COMPUTED_VALUE"""),3.0)</f>
        <v>3</v>
      </c>
      <c r="M1946">
        <f>IFERROR(__xludf.DUMMYFUNCTION("""COMPUTED_VALUE"""),35.0)</f>
        <v>35</v>
      </c>
      <c r="N1946" t="str">
        <f>IFERROR(__xludf.DUMMYFUNCTION("""COMPUTED_VALUE"""),"Model 3 Performance")</f>
        <v>Model 3 Performance</v>
      </c>
      <c r="O1946" t="str">
        <f>IFERROR(__xludf.DUMMYFUNCTION("""COMPUTED_VALUE"""),"Midnight Silver Metallic")</f>
        <v>Midnight Silver Metallic</v>
      </c>
      <c r="P1946" t="str">
        <f>IFERROR(__xludf.DUMMYFUNCTION("""COMPUTED_VALUE"""),"20 inch Sport")</f>
        <v>20 inch Sport</v>
      </c>
      <c r="Q1946" t="str">
        <f>IFERROR(__xludf.DUMMYFUNCTION("""COMPUTED_VALUE"""),"White seats")</f>
        <v>White seats</v>
      </c>
      <c r="R1946" t="str">
        <f>IFERROR(__xludf.DUMMYFUNCTION("""COMPUTED_VALUE"""),"Full Self-Driving")</f>
        <v>Full Self-Driving</v>
      </c>
      <c r="X1946" t="str">
        <f>IFERROR(__xludf.DUMMYFUNCTION("""COMPUTED_VALUE"""),"Excellent")</f>
        <v>Excellent</v>
      </c>
      <c r="Y1946" t="str">
        <f>IFERROR(__xludf.DUMMYFUNCTION("""COMPUTED_VALUE"""),"Excellent")</f>
        <v>Excellent</v>
      </c>
      <c r="Z1946" t="str">
        <f>IFERROR(__xludf.DUMMYFUNCTION("""COMPUTED_VALUE"""),"Very Good")</f>
        <v>Very Good</v>
      </c>
      <c r="AA1946" t="str">
        <f>IFERROR(__xludf.DUMMYFUNCTION("""COMPUTED_VALUE"""),"Fair")</f>
        <v>Fair</v>
      </c>
      <c r="AB1946" t="str">
        <f>IFERROR(__xludf.DUMMYFUNCTION("""COMPUTED_VALUE"""),"Good")</f>
        <v>Good</v>
      </c>
      <c r="AC1946">
        <f>IFERROR(__xludf.DUMMYFUNCTION("""COMPUTED_VALUE"""),0.0)</f>
        <v>0</v>
      </c>
      <c r="AD1946">
        <f>IFERROR(__xludf.DUMMYFUNCTION("""COMPUTED_VALUE"""),0.0)</f>
        <v>0</v>
      </c>
      <c r="AE1946">
        <f>IFERROR(__xludf.DUMMYFUNCTION("""COMPUTED_VALUE"""),0.0)</f>
        <v>0</v>
      </c>
      <c r="AH1946" s="189">
        <f>IFERROR(__xludf.DUMMYFUNCTION("""COMPUTED_VALUE"""),43728.35567445602)</f>
        <v>43728.35567</v>
      </c>
    </row>
    <row r="1947">
      <c r="A1947" t="str">
        <f>IFERROR(__xludf.DUMMYFUNCTION("""COMPUTED_VALUE"""),"PR")</f>
        <v>PR</v>
      </c>
      <c r="B1947" t="str">
        <f>IFERROR(__xludf.DUMMYFUNCTION("""COMPUTED_VALUE"""),"Charlottesville")</f>
        <v>Charlottesville</v>
      </c>
      <c r="C1947" t="str">
        <f>IFERROR(__xludf.DUMMYFUNCTION("""COMPUTED_VALUE"""),"VA")</f>
        <v>VA</v>
      </c>
      <c r="D1947" t="str">
        <f>IFERROR(__xludf.DUMMYFUNCTION("""COMPUTED_VALUE"""),"USA")</f>
        <v>USA</v>
      </c>
      <c r="E1947" s="188">
        <f>IFERROR(__xludf.DUMMYFUNCTION("""COMPUTED_VALUE"""),43691.0)</f>
        <v>43691</v>
      </c>
      <c r="F1947" s="188">
        <f>IFERROR(__xludf.DUMMYFUNCTION("""COMPUTED_VALUE"""),43719.0)</f>
        <v>43719</v>
      </c>
      <c r="H1947">
        <f>IFERROR(__xludf.DUMMYFUNCTION("""COMPUTED_VALUE"""),441355.0)</f>
        <v>441355</v>
      </c>
      <c r="I1947" t="str">
        <f>IFERROR(__xludf.DUMMYFUNCTION("""COMPUTED_VALUE"""),"09/19")</f>
        <v>09/19</v>
      </c>
      <c r="J1947" s="5">
        <f>IFERROR(__xludf.DUMMYFUNCTION("""COMPUTED_VALUE"""),43727.0)</f>
        <v>43727</v>
      </c>
      <c r="K1947">
        <f>IFERROR(__xludf.DUMMYFUNCTION("""COMPUTED_VALUE"""),28.0)</f>
        <v>28</v>
      </c>
      <c r="L1947">
        <f>IFERROR(__xludf.DUMMYFUNCTION("""COMPUTED_VALUE"""),8.0)</f>
        <v>8</v>
      </c>
      <c r="M1947">
        <f>IFERROR(__xludf.DUMMYFUNCTION("""COMPUTED_VALUE"""),36.0)</f>
        <v>36</v>
      </c>
      <c r="N1947" t="str">
        <f>IFERROR(__xludf.DUMMYFUNCTION("""COMPUTED_VALUE"""),"Model 3 Performance")</f>
        <v>Model 3 Performance</v>
      </c>
      <c r="O1947" t="str">
        <f>IFERROR(__xludf.DUMMYFUNCTION("""COMPUTED_VALUE"""),"Midnight Silver Metallic")</f>
        <v>Midnight Silver Metallic</v>
      </c>
      <c r="P1947" t="str">
        <f>IFERROR(__xludf.DUMMYFUNCTION("""COMPUTED_VALUE"""),"20 inch Sport")</f>
        <v>20 inch Sport</v>
      </c>
      <c r="Q1947" t="str">
        <f>IFERROR(__xludf.DUMMYFUNCTION("""COMPUTED_VALUE"""),"Black seats")</f>
        <v>Black seats</v>
      </c>
      <c r="R1947" t="str">
        <f>IFERROR(__xludf.DUMMYFUNCTION("""COMPUTED_VALUE"""),"Full Self-Driving")</f>
        <v>Full Self-Driving</v>
      </c>
      <c r="X1947" t="str">
        <f>IFERROR(__xludf.DUMMYFUNCTION("""COMPUTED_VALUE"""),"Excellent")</f>
        <v>Excellent</v>
      </c>
      <c r="Y1947" t="str">
        <f>IFERROR(__xludf.DUMMYFUNCTION("""COMPUTED_VALUE"""),"Excellent")</f>
        <v>Excellent</v>
      </c>
      <c r="Z1947" t="str">
        <f>IFERROR(__xludf.DUMMYFUNCTION("""COMPUTED_VALUE"""),"Very Good")</f>
        <v>Very Good</v>
      </c>
      <c r="AA1947" t="str">
        <f>IFERROR(__xludf.DUMMYFUNCTION("""COMPUTED_VALUE"""),"Very Good")</f>
        <v>Very Good</v>
      </c>
      <c r="AB1947" t="str">
        <f>IFERROR(__xludf.DUMMYFUNCTION("""COMPUTED_VALUE"""),"Very Good")</f>
        <v>Very Good</v>
      </c>
      <c r="AH1947" s="189">
        <f>IFERROR(__xludf.DUMMYFUNCTION("""COMPUTED_VALUE"""),43728.65674041667)</f>
        <v>43728.65674</v>
      </c>
    </row>
    <row r="1948">
      <c r="A1948" t="str">
        <f>IFERROR(__xludf.DUMMYFUNCTION("""COMPUTED_VALUE"""),"engineer")</f>
        <v>engineer</v>
      </c>
      <c r="B1948" t="str">
        <f>IFERROR(__xludf.DUMMYFUNCTION("""COMPUTED_VALUE"""),"Bedford")</f>
        <v>Bedford</v>
      </c>
      <c r="C1948" t="str">
        <f>IFERROR(__xludf.DUMMYFUNCTION("""COMPUTED_VALUE"""),"MA")</f>
        <v>MA</v>
      </c>
      <c r="D1948" t="str">
        <f>IFERROR(__xludf.DUMMYFUNCTION("""COMPUTED_VALUE"""),"USA")</f>
        <v>USA</v>
      </c>
      <c r="E1948" s="188">
        <f>IFERROR(__xludf.DUMMYFUNCTION("""COMPUTED_VALUE"""),43279.0)</f>
        <v>43279</v>
      </c>
      <c r="F1948" s="188">
        <f>IFERROR(__xludf.DUMMYFUNCTION("""COMPUTED_VALUE"""),43364.0)</f>
        <v>43364</v>
      </c>
      <c r="H1948">
        <f>IFERROR(__xludf.DUMMYFUNCTION("""COMPUTED_VALUE"""),90755.0)</f>
        <v>90755</v>
      </c>
      <c r="I1948" t="str">
        <f>IFERROR(__xludf.DUMMYFUNCTION("""COMPUTED_VALUE"""),"09/19")</f>
        <v>09/19</v>
      </c>
      <c r="J1948" s="5">
        <f>IFERROR(__xludf.DUMMYFUNCTION("""COMPUTED_VALUE"""),43371.0)</f>
        <v>43371</v>
      </c>
      <c r="K1948">
        <f>IFERROR(__xludf.DUMMYFUNCTION("""COMPUTED_VALUE"""),85.0)</f>
        <v>85</v>
      </c>
      <c r="L1948">
        <f>IFERROR(__xludf.DUMMYFUNCTION("""COMPUTED_VALUE"""),7.0)</f>
        <v>7</v>
      </c>
      <c r="M1948">
        <f>IFERROR(__xludf.DUMMYFUNCTION("""COMPUTED_VALUE"""),92.0)</f>
        <v>92</v>
      </c>
      <c r="N1948" t="str">
        <f>IFERROR(__xludf.DUMMYFUNCTION("""COMPUTED_VALUE"""),"Model 3 LR AWD")</f>
        <v>Model 3 LR AWD</v>
      </c>
      <c r="O1948" t="str">
        <f>IFERROR(__xludf.DUMMYFUNCTION("""COMPUTED_VALUE"""),"Midnight Silver Metallic")</f>
        <v>Midnight Silver Metallic</v>
      </c>
      <c r="P1948" t="str">
        <f>IFERROR(__xludf.DUMMYFUNCTION("""COMPUTED_VALUE"""),"18 inch Aero")</f>
        <v>18 inch Aero</v>
      </c>
      <c r="Q1948" t="str">
        <f>IFERROR(__xludf.DUMMYFUNCTION("""COMPUTED_VALUE"""),"Black seats")</f>
        <v>Black seats</v>
      </c>
      <c r="R1948" t="str">
        <f>IFERROR(__xludf.DUMMYFUNCTION("""COMPUTED_VALUE"""),"Autopilot")</f>
        <v>Autopilot</v>
      </c>
      <c r="X1948" t="str">
        <f>IFERROR(__xludf.DUMMYFUNCTION("""COMPUTED_VALUE"""),"Excellent")</f>
        <v>Excellent</v>
      </c>
      <c r="Y1948" t="str">
        <f>IFERROR(__xludf.DUMMYFUNCTION("""COMPUTED_VALUE"""),"Very Good")</f>
        <v>Very Good</v>
      </c>
      <c r="Z1948" t="str">
        <f>IFERROR(__xludf.DUMMYFUNCTION("""COMPUTED_VALUE"""),"Excellent")</f>
        <v>Excellent</v>
      </c>
      <c r="AA1948" t="str">
        <f>IFERROR(__xludf.DUMMYFUNCTION("""COMPUTED_VALUE"""),"Very Good")</f>
        <v>Very Good</v>
      </c>
      <c r="AB1948" t="str">
        <f>IFERROR(__xludf.DUMMYFUNCTION("""COMPUTED_VALUE"""),"Good")</f>
        <v>Good</v>
      </c>
      <c r="AC1948">
        <f>IFERROR(__xludf.DUMMYFUNCTION("""COMPUTED_VALUE"""),7.0)</f>
        <v>7</v>
      </c>
      <c r="AD1948">
        <f>IFERROR(__xludf.DUMMYFUNCTION("""COMPUTED_VALUE"""),1.0)</f>
        <v>1</v>
      </c>
      <c r="AE1948">
        <f>IFERROR(__xludf.DUMMYFUNCTION("""COMPUTED_VALUE"""),0.0)</f>
        <v>0</v>
      </c>
      <c r="AG1948" t="str">
        <f>IFERROR(__xludf.DUMMYFUNCTION("""COMPUTED_VALUE"""),"Manufacture date of 09/18 not available in drop down list")</f>
        <v>Manufacture date of 09/18 not available in drop down list</v>
      </c>
      <c r="AH1948" s="189">
        <f>IFERROR(__xludf.DUMMYFUNCTION("""COMPUTED_VALUE"""),43728.73621487268)</f>
        <v>43728.73621</v>
      </c>
    </row>
    <row r="1949">
      <c r="A1949" t="str">
        <f>IFERROR(__xludf.DUMMYFUNCTION("""COMPUTED_VALUE"""),"Oliveris")</f>
        <v>Oliveris</v>
      </c>
      <c r="B1949" t="str">
        <f>IFERROR(__xludf.DUMMYFUNCTION("""COMPUTED_VALUE"""),"Boise")</f>
        <v>Boise</v>
      </c>
      <c r="C1949" t="str">
        <f>IFERROR(__xludf.DUMMYFUNCTION("""COMPUTED_VALUE"""),"ID")</f>
        <v>ID</v>
      </c>
      <c r="D1949" t="str">
        <f>IFERROR(__xludf.DUMMYFUNCTION("""COMPUTED_VALUE"""),"USA")</f>
        <v>USA</v>
      </c>
      <c r="E1949" s="188">
        <f>IFERROR(__xludf.DUMMYFUNCTION("""COMPUTED_VALUE"""),43717.0)</f>
        <v>43717</v>
      </c>
      <c r="F1949" s="188">
        <f>IFERROR(__xludf.DUMMYFUNCTION("""COMPUTED_VALUE"""),43718.0)</f>
        <v>43718</v>
      </c>
      <c r="H1949">
        <f>IFERROR(__xludf.DUMMYFUNCTION("""COMPUTED_VALUE"""),454381.0)</f>
        <v>454381</v>
      </c>
      <c r="J1949" s="5">
        <f>IFERROR(__xludf.DUMMYFUNCTION("""COMPUTED_VALUE"""),43725.0)</f>
        <v>43725</v>
      </c>
      <c r="K1949">
        <f>IFERROR(__xludf.DUMMYFUNCTION("""COMPUTED_VALUE"""),1.0)</f>
        <v>1</v>
      </c>
      <c r="L1949">
        <f>IFERROR(__xludf.DUMMYFUNCTION("""COMPUTED_VALUE"""),7.0)</f>
        <v>7</v>
      </c>
      <c r="M1949">
        <f>IFERROR(__xludf.DUMMYFUNCTION("""COMPUTED_VALUE"""),8.0)</f>
        <v>8</v>
      </c>
      <c r="N1949" t="str">
        <f>IFERROR(__xludf.DUMMYFUNCTION("""COMPUTED_VALUE"""),"Model 3 LR AWD")</f>
        <v>Model 3 LR AWD</v>
      </c>
      <c r="O1949" t="str">
        <f>IFERROR(__xludf.DUMMYFUNCTION("""COMPUTED_VALUE"""),"Deep Blue Metallic")</f>
        <v>Deep Blue Metallic</v>
      </c>
      <c r="P1949" t="str">
        <f>IFERROR(__xludf.DUMMYFUNCTION("""COMPUTED_VALUE"""),"18 inch Aero")</f>
        <v>18 inch Aero</v>
      </c>
      <c r="Q1949" t="str">
        <f>IFERROR(__xludf.DUMMYFUNCTION("""COMPUTED_VALUE"""),"White seats")</f>
        <v>White seats</v>
      </c>
      <c r="R1949" t="str">
        <f>IFERROR(__xludf.DUMMYFUNCTION("""COMPUTED_VALUE"""),"Autopilot")</f>
        <v>Autopilot</v>
      </c>
      <c r="X1949" t="str">
        <f>IFERROR(__xludf.DUMMYFUNCTION("""COMPUTED_VALUE"""),"Very Good")</f>
        <v>Very Good</v>
      </c>
      <c r="Y1949" t="str">
        <f>IFERROR(__xludf.DUMMYFUNCTION("""COMPUTED_VALUE"""),"Good")</f>
        <v>Good</v>
      </c>
      <c r="Z1949" t="str">
        <f>IFERROR(__xludf.DUMMYFUNCTION("""COMPUTED_VALUE"""),"Excellent")</f>
        <v>Excellent</v>
      </c>
      <c r="AA1949" t="str">
        <f>IFERROR(__xludf.DUMMYFUNCTION("""COMPUTED_VALUE"""),"Poor")</f>
        <v>Poor</v>
      </c>
      <c r="AB1949" t="str">
        <f>IFERROR(__xludf.DUMMYFUNCTION("""COMPUTED_VALUE"""),"Good")</f>
        <v>Good</v>
      </c>
      <c r="AG1949" t="str">
        <f>IFERROR(__xludf.DUMMYFUNCTION("""COMPUTED_VALUE"""),"Delivery date was never communicated to me. They called when they were an hour away from my home to let me know it was being delivered. ")</f>
        <v>Delivery date was never communicated to me. They called when they were an hour away from my home to let me know it was being delivered. </v>
      </c>
      <c r="AH1949" s="189">
        <f>IFERROR(__xludf.DUMMYFUNCTION("""COMPUTED_VALUE"""),43728.75360305556)</f>
        <v>43728.7536</v>
      </c>
    </row>
    <row r="1950">
      <c r="A1950" t="str">
        <f>IFERROR(__xludf.DUMMYFUNCTION("""COMPUTED_VALUE"""),"losthillsguy")</f>
        <v>losthillsguy</v>
      </c>
      <c r="B1950" t="str">
        <f>IFERROR(__xludf.DUMMYFUNCTION("""COMPUTED_VALUE"""),"San Luis Obispo")</f>
        <v>San Luis Obispo</v>
      </c>
      <c r="C1950" t="str">
        <f>IFERROR(__xludf.DUMMYFUNCTION("""COMPUTED_VALUE"""),"CA")</f>
        <v>CA</v>
      </c>
      <c r="D1950" t="str">
        <f>IFERROR(__xludf.DUMMYFUNCTION("""COMPUTED_VALUE"""),"USA")</f>
        <v>USA</v>
      </c>
      <c r="E1950" s="188">
        <f>IFERROR(__xludf.DUMMYFUNCTION("""COMPUTED_VALUE"""),43709.0)</f>
        <v>43709</v>
      </c>
      <c r="F1950" s="188">
        <f>IFERROR(__xludf.DUMMYFUNCTION("""COMPUTED_VALUE"""),43726.0)</f>
        <v>43726</v>
      </c>
      <c r="H1950">
        <f>IFERROR(__xludf.DUMMYFUNCTION("""COMPUTED_VALUE"""),496655.0)</f>
        <v>496655</v>
      </c>
      <c r="J1950" s="5">
        <f>IFERROR(__xludf.DUMMYFUNCTION("""COMPUTED_VALUE"""),43728.0)</f>
        <v>43728</v>
      </c>
      <c r="K1950">
        <f>IFERROR(__xludf.DUMMYFUNCTION("""COMPUTED_VALUE"""),17.0)</f>
        <v>17</v>
      </c>
      <c r="L1950">
        <f>IFERROR(__xludf.DUMMYFUNCTION("""COMPUTED_VALUE"""),2.0)</f>
        <v>2</v>
      </c>
      <c r="M1950">
        <f>IFERROR(__xludf.DUMMYFUNCTION("""COMPUTED_VALUE"""),19.0)</f>
        <v>19</v>
      </c>
      <c r="N1950" t="str">
        <f>IFERROR(__xludf.DUMMYFUNCTION("""COMPUTED_VALUE"""),"Model 3 LR AWD")</f>
        <v>Model 3 LR AWD</v>
      </c>
      <c r="O1950" t="str">
        <f>IFERROR(__xludf.DUMMYFUNCTION("""COMPUTED_VALUE"""),"Red Multi-Coat")</f>
        <v>Red Multi-Coat</v>
      </c>
      <c r="P1950" t="str">
        <f>IFERROR(__xludf.DUMMYFUNCTION("""COMPUTED_VALUE"""),"18 inch Aero")</f>
        <v>18 inch Aero</v>
      </c>
      <c r="Q1950" t="str">
        <f>IFERROR(__xludf.DUMMYFUNCTION("""COMPUTED_VALUE"""),"Black seats")</f>
        <v>Black seats</v>
      </c>
      <c r="R1950" t="str">
        <f>IFERROR(__xludf.DUMMYFUNCTION("""COMPUTED_VALUE"""),"Full Self-Driving")</f>
        <v>Full Self-Driving</v>
      </c>
      <c r="X1950" t="str">
        <f>IFERROR(__xludf.DUMMYFUNCTION("""COMPUTED_VALUE"""),"Very Good")</f>
        <v>Very Good</v>
      </c>
      <c r="Y1950" t="str">
        <f>IFERROR(__xludf.DUMMYFUNCTION("""COMPUTED_VALUE"""),"Very Good")</f>
        <v>Very Good</v>
      </c>
      <c r="Z1950" t="str">
        <f>IFERROR(__xludf.DUMMYFUNCTION("""COMPUTED_VALUE"""),"Excellent")</f>
        <v>Excellent</v>
      </c>
      <c r="AA1950" t="str">
        <f>IFERROR(__xludf.DUMMYFUNCTION("""COMPUTED_VALUE"""),"Very Good")</f>
        <v>Very Good</v>
      </c>
      <c r="AB1950" t="str">
        <f>IFERROR(__xludf.DUMMYFUNCTION("""COMPUTED_VALUE"""),"Very Good")</f>
        <v>Very Good</v>
      </c>
      <c r="AC1950">
        <f>IFERROR(__xludf.DUMMYFUNCTION("""COMPUTED_VALUE"""),0.0)</f>
        <v>0</v>
      </c>
      <c r="AH1950" s="189">
        <f>IFERROR(__xludf.DUMMYFUNCTION("""COMPUTED_VALUE"""),43728.8867921412)</f>
        <v>43728.88679</v>
      </c>
    </row>
    <row r="1951">
      <c r="A1951" t="str">
        <f>IFERROR(__xludf.DUMMYFUNCTION("""COMPUTED_VALUE"""),"PatrickM")</f>
        <v>PatrickM</v>
      </c>
      <c r="B1951" t="str">
        <f>IFERROR(__xludf.DUMMYFUNCTION("""COMPUTED_VALUE"""),"Salt Lake City")</f>
        <v>Salt Lake City</v>
      </c>
      <c r="C1951" t="str">
        <f>IFERROR(__xludf.DUMMYFUNCTION("""COMPUTED_VALUE"""),"UT")</f>
        <v>UT</v>
      </c>
      <c r="D1951" t="str">
        <f>IFERROR(__xludf.DUMMYFUNCTION("""COMPUTED_VALUE"""),"USA")</f>
        <v>USA</v>
      </c>
      <c r="E1951" s="188">
        <f>IFERROR(__xludf.DUMMYFUNCTION("""COMPUTED_VALUE"""),43684.0)</f>
        <v>43684</v>
      </c>
      <c r="F1951" s="188">
        <f>IFERROR(__xludf.DUMMYFUNCTION("""COMPUTED_VALUE"""),43726.0)</f>
        <v>43726</v>
      </c>
      <c r="J1951" s="5">
        <f>IFERROR(__xludf.DUMMYFUNCTION("""COMPUTED_VALUE"""),43728.0)</f>
        <v>43728</v>
      </c>
      <c r="K1951">
        <f>IFERROR(__xludf.DUMMYFUNCTION("""COMPUTED_VALUE"""),42.0)</f>
        <v>42</v>
      </c>
      <c r="L1951">
        <f>IFERROR(__xludf.DUMMYFUNCTION("""COMPUTED_VALUE"""),2.0)</f>
        <v>2</v>
      </c>
      <c r="M1951">
        <f>IFERROR(__xludf.DUMMYFUNCTION("""COMPUTED_VALUE"""),44.0)</f>
        <v>44</v>
      </c>
      <c r="N1951" t="str">
        <f>IFERROR(__xludf.DUMMYFUNCTION("""COMPUTED_VALUE"""),"Model 3 Performance")</f>
        <v>Model 3 Performance</v>
      </c>
      <c r="O1951" t="str">
        <f>IFERROR(__xludf.DUMMYFUNCTION("""COMPUTED_VALUE"""),"Pearl White Multi-Coat")</f>
        <v>Pearl White Multi-Coat</v>
      </c>
      <c r="P1951" t="str">
        <f>IFERROR(__xludf.DUMMYFUNCTION("""COMPUTED_VALUE"""),"20 inch Sport")</f>
        <v>20 inch Sport</v>
      </c>
      <c r="Q1951" t="str">
        <f>IFERROR(__xludf.DUMMYFUNCTION("""COMPUTED_VALUE"""),"Black seats")</f>
        <v>Black seats</v>
      </c>
      <c r="R1951" t="str">
        <f>IFERROR(__xludf.DUMMYFUNCTION("""COMPUTED_VALUE"""),"Autopilot")</f>
        <v>Autopilot</v>
      </c>
      <c r="X1951" t="str">
        <f>IFERROR(__xludf.DUMMYFUNCTION("""COMPUTED_VALUE"""),"Excellent")</f>
        <v>Excellent</v>
      </c>
      <c r="Y1951" t="str">
        <f>IFERROR(__xludf.DUMMYFUNCTION("""COMPUTED_VALUE"""),"Excellent")</f>
        <v>Excellent</v>
      </c>
      <c r="Z1951" t="str">
        <f>IFERROR(__xludf.DUMMYFUNCTION("""COMPUTED_VALUE"""),"Excellent")</f>
        <v>Excellent</v>
      </c>
      <c r="AA1951" t="str">
        <f>IFERROR(__xludf.DUMMYFUNCTION("""COMPUTED_VALUE"""),"Excellent")</f>
        <v>Excellent</v>
      </c>
      <c r="AB1951" t="str">
        <f>IFERROR(__xludf.DUMMYFUNCTION("""COMPUTED_VALUE"""),"Excellent")</f>
        <v>Excellent</v>
      </c>
      <c r="AH1951" s="189">
        <f>IFERROR(__xludf.DUMMYFUNCTION("""COMPUTED_VALUE"""),43728.89636005787)</f>
        <v>43728.89636</v>
      </c>
    </row>
    <row r="1952">
      <c r="A1952" t="str">
        <f>IFERROR(__xludf.DUMMYFUNCTION("""COMPUTED_VALUE"""),"ACofNY")</f>
        <v>ACofNY</v>
      </c>
      <c r="B1952" t="str">
        <f>IFERROR(__xludf.DUMMYFUNCTION("""COMPUTED_VALUE"""),"Long Island")</f>
        <v>Long Island</v>
      </c>
      <c r="C1952" t="str">
        <f>IFERROR(__xludf.DUMMYFUNCTION("""COMPUTED_VALUE"""),"NY")</f>
        <v>NY</v>
      </c>
      <c r="D1952" t="str">
        <f>IFERROR(__xludf.DUMMYFUNCTION("""COMPUTED_VALUE"""),"USA")</f>
        <v>USA</v>
      </c>
      <c r="E1952" s="188">
        <f>IFERROR(__xludf.DUMMYFUNCTION("""COMPUTED_VALUE"""),43692.0)</f>
        <v>43692</v>
      </c>
      <c r="F1952" s="188">
        <f>IFERROR(__xludf.DUMMYFUNCTION("""COMPUTED_VALUE"""),43699.0)</f>
        <v>43699</v>
      </c>
      <c r="H1952">
        <f>IFERROR(__xludf.DUMMYFUNCTION("""COMPUTED_VALUE"""),482645.0)</f>
        <v>482645</v>
      </c>
      <c r="I1952" t="str">
        <f>IFERROR(__xludf.DUMMYFUNCTION("""COMPUTED_VALUE"""),"08/19")</f>
        <v>08/19</v>
      </c>
      <c r="J1952" s="5">
        <f>IFERROR(__xludf.DUMMYFUNCTION("""COMPUTED_VALUE"""),43707.0)</f>
        <v>43707</v>
      </c>
      <c r="K1952">
        <f>IFERROR(__xludf.DUMMYFUNCTION("""COMPUTED_VALUE"""),7.0)</f>
        <v>7</v>
      </c>
      <c r="L1952">
        <f>IFERROR(__xludf.DUMMYFUNCTION("""COMPUTED_VALUE"""),8.0)</f>
        <v>8</v>
      </c>
      <c r="M1952">
        <f>IFERROR(__xludf.DUMMYFUNCTION("""COMPUTED_VALUE"""),15.0)</f>
        <v>15</v>
      </c>
      <c r="N1952" t="str">
        <f>IFERROR(__xludf.DUMMYFUNCTION("""COMPUTED_VALUE"""),"Model 3 SR+")</f>
        <v>Model 3 SR+</v>
      </c>
      <c r="O1952" t="str">
        <f>IFERROR(__xludf.DUMMYFUNCTION("""COMPUTED_VALUE"""),"Pearl White Multi-Coat")</f>
        <v>Pearl White Multi-Coat</v>
      </c>
      <c r="P1952" t="str">
        <f>IFERROR(__xludf.DUMMYFUNCTION("""COMPUTED_VALUE"""),"18 inch Aero")</f>
        <v>18 inch Aero</v>
      </c>
      <c r="Q1952" t="str">
        <f>IFERROR(__xludf.DUMMYFUNCTION("""COMPUTED_VALUE"""),"Black seats")</f>
        <v>Black seats</v>
      </c>
      <c r="R1952" t="str">
        <f>IFERROR(__xludf.DUMMYFUNCTION("""COMPUTED_VALUE"""),"Autopilot")</f>
        <v>Autopilot</v>
      </c>
      <c r="X1952" t="str">
        <f>IFERROR(__xludf.DUMMYFUNCTION("""COMPUTED_VALUE"""),"Excellent")</f>
        <v>Excellent</v>
      </c>
      <c r="Y1952" t="str">
        <f>IFERROR(__xludf.DUMMYFUNCTION("""COMPUTED_VALUE"""),"Excellent")</f>
        <v>Excellent</v>
      </c>
      <c r="Z1952" t="str">
        <f>IFERROR(__xludf.DUMMYFUNCTION("""COMPUTED_VALUE"""),"Excellent")</f>
        <v>Excellent</v>
      </c>
      <c r="AA1952" t="str">
        <f>IFERROR(__xludf.DUMMYFUNCTION("""COMPUTED_VALUE"""),"Excellent")</f>
        <v>Excellent</v>
      </c>
      <c r="AB1952" t="str">
        <f>IFERROR(__xludf.DUMMYFUNCTION("""COMPUTED_VALUE"""),"Excellent")</f>
        <v>Excellent</v>
      </c>
      <c r="AC1952">
        <f>IFERROR(__xludf.DUMMYFUNCTION("""COMPUTED_VALUE"""),1.0)</f>
        <v>1</v>
      </c>
      <c r="AD1952">
        <f>IFERROR(__xludf.DUMMYFUNCTION("""COMPUTED_VALUE"""),0.0)</f>
        <v>0</v>
      </c>
      <c r="AE1952">
        <f>IFERROR(__xludf.DUMMYFUNCTION("""COMPUTED_VALUE"""),0.0)</f>
        <v>0</v>
      </c>
      <c r="AG1952" t="str">
        <f>IFERROR(__xludf.DUMMYFUNCTION("""COMPUTED_VALUE"""),"Just notice front hood has gap")</f>
        <v>Just notice front hood has gap</v>
      </c>
      <c r="AH1952" s="189">
        <f>IFERROR(__xludf.DUMMYFUNCTION("""COMPUTED_VALUE"""),43728.93748833334)</f>
        <v>43728.93749</v>
      </c>
    </row>
    <row r="1953">
      <c r="A1953" t="str">
        <f>IFERROR(__xludf.DUMMYFUNCTION("""COMPUTED_VALUE"""),"photonphil")</f>
        <v>photonphil</v>
      </c>
      <c r="B1953" t="str">
        <f>IFERROR(__xludf.DUMMYFUNCTION("""COMPUTED_VALUE"""),"SF Bay Area")</f>
        <v>SF Bay Area</v>
      </c>
      <c r="C1953" t="str">
        <f>IFERROR(__xludf.DUMMYFUNCTION("""COMPUTED_VALUE"""),"CA")</f>
        <v>CA</v>
      </c>
      <c r="D1953" t="str">
        <f>IFERROR(__xludf.DUMMYFUNCTION("""COMPUTED_VALUE"""),"USA")</f>
        <v>USA</v>
      </c>
      <c r="E1953" s="188">
        <f>IFERROR(__xludf.DUMMYFUNCTION("""COMPUTED_VALUE"""),43704.0)</f>
        <v>43704</v>
      </c>
      <c r="F1953" s="188">
        <f>IFERROR(__xludf.DUMMYFUNCTION("""COMPUTED_VALUE"""),43726.0)</f>
        <v>43726</v>
      </c>
      <c r="H1953">
        <f>IFERROR(__xludf.DUMMYFUNCTION("""COMPUTED_VALUE"""),447655.0)</f>
        <v>447655</v>
      </c>
      <c r="I1953" t="str">
        <f>IFERROR(__xludf.DUMMYFUNCTION("""COMPUTED_VALUE"""),"09/19")</f>
        <v>09/19</v>
      </c>
      <c r="J1953" s="5">
        <f>IFERROR(__xludf.DUMMYFUNCTION("""COMPUTED_VALUE"""),43729.0)</f>
        <v>43729</v>
      </c>
      <c r="K1953">
        <f>IFERROR(__xludf.DUMMYFUNCTION("""COMPUTED_VALUE"""),22.0)</f>
        <v>22</v>
      </c>
      <c r="L1953">
        <f>IFERROR(__xludf.DUMMYFUNCTION("""COMPUTED_VALUE"""),3.0)</f>
        <v>3</v>
      </c>
      <c r="M1953">
        <f>IFERROR(__xludf.DUMMYFUNCTION("""COMPUTED_VALUE"""),25.0)</f>
        <v>25</v>
      </c>
      <c r="N1953" t="str">
        <f>IFERROR(__xludf.DUMMYFUNCTION("""COMPUTED_VALUE"""),"Model 3 Performance")</f>
        <v>Model 3 Performance</v>
      </c>
      <c r="O1953" t="str">
        <f>IFERROR(__xludf.DUMMYFUNCTION("""COMPUTED_VALUE"""),"Midnight Silver Metallic")</f>
        <v>Midnight Silver Metallic</v>
      </c>
      <c r="P1953" t="str">
        <f>IFERROR(__xludf.DUMMYFUNCTION("""COMPUTED_VALUE"""),"20 inch Sport")</f>
        <v>20 inch Sport</v>
      </c>
      <c r="Q1953" t="str">
        <f>IFERROR(__xludf.DUMMYFUNCTION("""COMPUTED_VALUE"""),"White seats")</f>
        <v>White seats</v>
      </c>
      <c r="R1953" t="str">
        <f>IFERROR(__xludf.DUMMYFUNCTION("""COMPUTED_VALUE"""),"Full Self-Driving")</f>
        <v>Full Self-Driving</v>
      </c>
      <c r="X1953" t="str">
        <f>IFERROR(__xludf.DUMMYFUNCTION("""COMPUTED_VALUE"""),"Good")</f>
        <v>Good</v>
      </c>
      <c r="Y1953" t="str">
        <f>IFERROR(__xludf.DUMMYFUNCTION("""COMPUTED_VALUE"""),"Very Good")</f>
        <v>Very Good</v>
      </c>
      <c r="Z1953" t="str">
        <f>IFERROR(__xludf.DUMMYFUNCTION("""COMPUTED_VALUE"""),"Good")</f>
        <v>Good</v>
      </c>
      <c r="AA1953" t="str">
        <f>IFERROR(__xludf.DUMMYFUNCTION("""COMPUTED_VALUE"""),"Fair")</f>
        <v>Fair</v>
      </c>
      <c r="AB1953" t="str">
        <f>IFERROR(__xludf.DUMMYFUNCTION("""COMPUTED_VALUE"""),"Fair")</f>
        <v>Fair</v>
      </c>
      <c r="AC1953">
        <f>IFERROR(__xludf.DUMMYFUNCTION("""COMPUTED_VALUE"""),2.0)</f>
        <v>2</v>
      </c>
      <c r="AH1953" s="189">
        <f>IFERROR(__xludf.DUMMYFUNCTION("""COMPUTED_VALUE"""),43728.95012018518)</f>
        <v>43728.95012</v>
      </c>
    </row>
    <row r="1954">
      <c r="A1954" t="str">
        <f>IFERROR(__xludf.DUMMYFUNCTION("""COMPUTED_VALUE"""),"blackmesa6001")</f>
        <v>blackmesa6001</v>
      </c>
      <c r="B1954" t="str">
        <f>IFERROR(__xludf.DUMMYFUNCTION("""COMPUTED_VALUE"""),"Bay Area")</f>
        <v>Bay Area</v>
      </c>
      <c r="C1954" t="str">
        <f>IFERROR(__xludf.DUMMYFUNCTION("""COMPUTED_VALUE"""),"CA")</f>
        <v>CA</v>
      </c>
      <c r="D1954" t="str">
        <f>IFERROR(__xludf.DUMMYFUNCTION("""COMPUTED_VALUE"""),"USA")</f>
        <v>USA</v>
      </c>
      <c r="E1954" s="188">
        <f>IFERROR(__xludf.DUMMYFUNCTION("""COMPUTED_VALUE"""),43708.0)</f>
        <v>43708</v>
      </c>
      <c r="F1954" s="188">
        <f>IFERROR(__xludf.DUMMYFUNCTION("""COMPUTED_VALUE"""),43728.0)</f>
        <v>43728</v>
      </c>
      <c r="H1954">
        <f>IFERROR(__xludf.DUMMYFUNCTION("""COMPUTED_VALUE"""),511555.0)</f>
        <v>511555</v>
      </c>
      <c r="J1954" s="5">
        <f>IFERROR(__xludf.DUMMYFUNCTION("""COMPUTED_VALUE"""),43729.0)</f>
        <v>43729</v>
      </c>
      <c r="K1954">
        <f>IFERROR(__xludf.DUMMYFUNCTION("""COMPUTED_VALUE"""),20.0)</f>
        <v>20</v>
      </c>
      <c r="L1954">
        <f>IFERROR(__xludf.DUMMYFUNCTION("""COMPUTED_VALUE"""),1.0)</f>
        <v>1</v>
      </c>
      <c r="M1954">
        <f>IFERROR(__xludf.DUMMYFUNCTION("""COMPUTED_VALUE"""),21.0)</f>
        <v>21</v>
      </c>
      <c r="N1954" t="str">
        <f>IFERROR(__xludf.DUMMYFUNCTION("""COMPUTED_VALUE"""),"Model 3 LR AWD")</f>
        <v>Model 3 LR AWD</v>
      </c>
      <c r="O1954" t="str">
        <f>IFERROR(__xludf.DUMMYFUNCTION("""COMPUTED_VALUE"""),"Pearl White Multi-Coat")</f>
        <v>Pearl White Multi-Coat</v>
      </c>
      <c r="P1954" t="str">
        <f>IFERROR(__xludf.DUMMYFUNCTION("""COMPUTED_VALUE"""),"18 inch Aero")</f>
        <v>18 inch Aero</v>
      </c>
      <c r="Q1954" t="str">
        <f>IFERROR(__xludf.DUMMYFUNCTION("""COMPUTED_VALUE"""),"Black seats")</f>
        <v>Black seats</v>
      </c>
      <c r="R1954" t="str">
        <f>IFERROR(__xludf.DUMMYFUNCTION("""COMPUTED_VALUE"""),"Autopilot")</f>
        <v>Autopilot</v>
      </c>
      <c r="AA1954" t="str">
        <f>IFERROR(__xludf.DUMMYFUNCTION("""COMPUTED_VALUE"""),"Excellent")</f>
        <v>Excellent</v>
      </c>
      <c r="AH1954" s="189">
        <f>IFERROR(__xludf.DUMMYFUNCTION("""COMPUTED_VALUE"""),43728.96304015046)</f>
        <v>43728.96304</v>
      </c>
    </row>
    <row r="1955">
      <c r="A1955" t="str">
        <f>IFERROR(__xludf.DUMMYFUNCTION("""COMPUTED_VALUE"""),"Theune")</f>
        <v>Theune</v>
      </c>
      <c r="B1955" t="str">
        <f>IFERROR(__xludf.DUMMYFUNCTION("""COMPUTED_VALUE"""),"Denver")</f>
        <v>Denver</v>
      </c>
      <c r="C1955" t="str">
        <f>IFERROR(__xludf.DUMMYFUNCTION("""COMPUTED_VALUE"""),"CO")</f>
        <v>CO</v>
      </c>
      <c r="D1955" t="str">
        <f>IFERROR(__xludf.DUMMYFUNCTION("""COMPUTED_VALUE"""),"USA")</f>
        <v>USA</v>
      </c>
      <c r="E1955" s="188">
        <f>IFERROR(__xludf.DUMMYFUNCTION("""COMPUTED_VALUE"""),43689.0)</f>
        <v>43689</v>
      </c>
      <c r="F1955" s="188">
        <f>IFERROR(__xludf.DUMMYFUNCTION("""COMPUTED_VALUE"""),43724.0)</f>
        <v>43724</v>
      </c>
      <c r="J1955" s="5">
        <f>IFERROR(__xludf.DUMMYFUNCTION("""COMPUTED_VALUE"""),43728.0)</f>
        <v>43728</v>
      </c>
      <c r="K1955">
        <f>IFERROR(__xludf.DUMMYFUNCTION("""COMPUTED_VALUE"""),35.0)</f>
        <v>35</v>
      </c>
      <c r="L1955">
        <f>IFERROR(__xludf.DUMMYFUNCTION("""COMPUTED_VALUE"""),4.0)</f>
        <v>4</v>
      </c>
      <c r="M1955">
        <f>IFERROR(__xludf.DUMMYFUNCTION("""COMPUTED_VALUE"""),39.0)</f>
        <v>39</v>
      </c>
      <c r="N1955" t="str">
        <f>IFERROR(__xludf.DUMMYFUNCTION("""COMPUTED_VALUE"""),"Model 3 Performance")</f>
        <v>Model 3 Performance</v>
      </c>
      <c r="O1955" t="str">
        <f>IFERROR(__xludf.DUMMYFUNCTION("""COMPUTED_VALUE"""),"Pearl White Multi-Coat")</f>
        <v>Pearl White Multi-Coat</v>
      </c>
      <c r="P1955" t="str">
        <f>IFERROR(__xludf.DUMMYFUNCTION("""COMPUTED_VALUE"""),"19 inch Sport")</f>
        <v>19 inch Sport</v>
      </c>
      <c r="Q1955" t="str">
        <f>IFERROR(__xludf.DUMMYFUNCTION("""COMPUTED_VALUE"""),"Black seats")</f>
        <v>Black seats</v>
      </c>
      <c r="R1955" t="str">
        <f>IFERROR(__xludf.DUMMYFUNCTION("""COMPUTED_VALUE"""),"Full Self-Driving")</f>
        <v>Full Self-Driving</v>
      </c>
      <c r="X1955" t="str">
        <f>IFERROR(__xludf.DUMMYFUNCTION("""COMPUTED_VALUE"""),"Excellent")</f>
        <v>Excellent</v>
      </c>
      <c r="Y1955" t="str">
        <f>IFERROR(__xludf.DUMMYFUNCTION("""COMPUTED_VALUE"""),"Excellent")</f>
        <v>Excellent</v>
      </c>
      <c r="Z1955" t="str">
        <f>IFERROR(__xludf.DUMMYFUNCTION("""COMPUTED_VALUE"""),"Excellent")</f>
        <v>Excellent</v>
      </c>
      <c r="AA1955" t="str">
        <f>IFERROR(__xludf.DUMMYFUNCTION("""COMPUTED_VALUE"""),"Very Good")</f>
        <v>Very Good</v>
      </c>
      <c r="AB1955" t="str">
        <f>IFERROR(__xludf.DUMMYFUNCTION("""COMPUTED_VALUE"""),"Excellent")</f>
        <v>Excellent</v>
      </c>
      <c r="AG1955" t="str">
        <f>IFERROR(__xludf.DUMMYFUNCTION("""COMPUTED_VALUE"""),"Got update 9/16 that a P3D- with 19"" wheels was available. Still no VIN in source code, but I have one in email!")</f>
        <v>Got update 9/16 that a P3D- with 19" wheels was available. Still no VIN in source code, but I have one in email!</v>
      </c>
      <c r="AH1955" s="189">
        <f>IFERROR(__xludf.DUMMYFUNCTION("""COMPUTED_VALUE"""),43729.63863127315)</f>
        <v>43729.63863</v>
      </c>
    </row>
    <row r="1956">
      <c r="A1956" t="str">
        <f>IFERROR(__xludf.DUMMYFUNCTION("""COMPUTED_VALUE"""),"Sean")</f>
        <v>Sean</v>
      </c>
      <c r="B1956" t="str">
        <f>IFERROR(__xludf.DUMMYFUNCTION("""COMPUTED_VALUE"""),"Fremont")</f>
        <v>Fremont</v>
      </c>
      <c r="C1956" t="str">
        <f>IFERROR(__xludf.DUMMYFUNCTION("""COMPUTED_VALUE"""),"CA")</f>
        <v>CA</v>
      </c>
      <c r="D1956" t="str">
        <f>IFERROR(__xludf.DUMMYFUNCTION("""COMPUTED_VALUE"""),"USA")</f>
        <v>USA</v>
      </c>
      <c r="E1956" s="188">
        <f>IFERROR(__xludf.DUMMYFUNCTION("""COMPUTED_VALUE"""),43674.0)</f>
        <v>43674</v>
      </c>
      <c r="F1956" s="188">
        <f>IFERROR(__xludf.DUMMYFUNCTION("""COMPUTED_VALUE"""),43728.0)</f>
        <v>43728</v>
      </c>
      <c r="H1956">
        <f>IFERROR(__xludf.DUMMYFUNCTION("""COMPUTED_VALUE"""),487255.0)</f>
        <v>487255</v>
      </c>
      <c r="J1956" s="5">
        <f>IFERROR(__xludf.DUMMYFUNCTION("""COMPUTED_VALUE"""),43729.0)</f>
        <v>43729</v>
      </c>
      <c r="K1956">
        <f>IFERROR(__xludf.DUMMYFUNCTION("""COMPUTED_VALUE"""),54.0)</f>
        <v>54</v>
      </c>
      <c r="L1956">
        <f>IFERROR(__xludf.DUMMYFUNCTION("""COMPUTED_VALUE"""),1.0)</f>
        <v>1</v>
      </c>
      <c r="M1956">
        <f>IFERROR(__xludf.DUMMYFUNCTION("""COMPUTED_VALUE"""),55.0)</f>
        <v>55</v>
      </c>
      <c r="N1956" t="str">
        <f>IFERROR(__xludf.DUMMYFUNCTION("""COMPUTED_VALUE"""),"Model 3 Performance")</f>
        <v>Model 3 Performance</v>
      </c>
      <c r="O1956" t="str">
        <f>IFERROR(__xludf.DUMMYFUNCTION("""COMPUTED_VALUE"""),"Pearl White Multi-Coat")</f>
        <v>Pearl White Multi-Coat</v>
      </c>
      <c r="P1956" t="str">
        <f>IFERROR(__xludf.DUMMYFUNCTION("""COMPUTED_VALUE"""),"20 inch Sport")</f>
        <v>20 inch Sport</v>
      </c>
      <c r="Q1956" t="str">
        <f>IFERROR(__xludf.DUMMYFUNCTION("""COMPUTED_VALUE"""),"Black seats")</f>
        <v>Black seats</v>
      </c>
      <c r="R1956" t="str">
        <f>IFERROR(__xludf.DUMMYFUNCTION("""COMPUTED_VALUE"""),"Autopilot")</f>
        <v>Autopilot</v>
      </c>
      <c r="X1956" t="str">
        <f>IFERROR(__xludf.DUMMYFUNCTION("""COMPUTED_VALUE"""),"Good")</f>
        <v>Good</v>
      </c>
      <c r="Y1956" t="str">
        <f>IFERROR(__xludf.DUMMYFUNCTION("""COMPUTED_VALUE"""),"Excellent")</f>
        <v>Excellent</v>
      </c>
      <c r="Z1956" t="str">
        <f>IFERROR(__xludf.DUMMYFUNCTION("""COMPUTED_VALUE"""),"Good")</f>
        <v>Good</v>
      </c>
      <c r="AA1956" t="str">
        <f>IFERROR(__xludf.DUMMYFUNCTION("""COMPUTED_VALUE"""),"Good")</f>
        <v>Good</v>
      </c>
      <c r="AB1956" t="str">
        <f>IFERROR(__xludf.DUMMYFUNCTION("""COMPUTED_VALUE"""),"Excellent")</f>
        <v>Excellent</v>
      </c>
      <c r="AC1956">
        <f>IFERROR(__xludf.DUMMYFUNCTION("""COMPUTED_VALUE"""),2.0)</f>
        <v>2</v>
      </c>
      <c r="AH1956" s="189">
        <f>IFERROR(__xludf.DUMMYFUNCTION("""COMPUTED_VALUE"""),43729.950810243055)</f>
        <v>43729.95081</v>
      </c>
    </row>
    <row r="1957">
      <c r="A1957" t="str">
        <f>IFERROR(__xludf.DUMMYFUNCTION("""COMPUTED_VALUE"""),"BGOOCHY")</f>
        <v>BGOOCHY</v>
      </c>
      <c r="B1957" t="str">
        <f>IFERROR(__xludf.DUMMYFUNCTION("""COMPUTED_VALUE"""),"Crofton")</f>
        <v>Crofton</v>
      </c>
      <c r="C1957" t="str">
        <f>IFERROR(__xludf.DUMMYFUNCTION("""COMPUTED_VALUE"""),"MD")</f>
        <v>MD</v>
      </c>
      <c r="D1957" t="str">
        <f>IFERROR(__xludf.DUMMYFUNCTION("""COMPUTED_VALUE"""),"USA")</f>
        <v>USA</v>
      </c>
      <c r="E1957" s="188">
        <f>IFERROR(__xludf.DUMMYFUNCTION("""COMPUTED_VALUE"""),43682.0)</f>
        <v>43682</v>
      </c>
      <c r="F1957" s="188">
        <f>IFERROR(__xludf.DUMMYFUNCTION("""COMPUTED_VALUE"""),43718.0)</f>
        <v>43718</v>
      </c>
      <c r="H1957" s="4">
        <f>IFERROR(__xludf.DUMMYFUNCTION("""COMPUTED_VALUE"""),441299.0)</f>
        <v>441299</v>
      </c>
      <c r="I1957" t="str">
        <f>IFERROR(__xludf.DUMMYFUNCTION("""COMPUTED_VALUE"""),"09/19")</f>
        <v>09/19</v>
      </c>
      <c r="J1957" s="5">
        <f>IFERROR(__xludf.DUMMYFUNCTION("""COMPUTED_VALUE"""),43724.0)</f>
        <v>43724</v>
      </c>
      <c r="K1957">
        <f>IFERROR(__xludf.DUMMYFUNCTION("""COMPUTED_VALUE"""),36.0)</f>
        <v>36</v>
      </c>
      <c r="L1957">
        <f>IFERROR(__xludf.DUMMYFUNCTION("""COMPUTED_VALUE"""),6.0)</f>
        <v>6</v>
      </c>
      <c r="M1957">
        <f>IFERROR(__xludf.DUMMYFUNCTION("""COMPUTED_VALUE"""),42.0)</f>
        <v>42</v>
      </c>
      <c r="N1957" t="str">
        <f>IFERROR(__xludf.DUMMYFUNCTION("""COMPUTED_VALUE"""),"Model 3 Performance")</f>
        <v>Model 3 Performance</v>
      </c>
      <c r="O1957" t="str">
        <f>IFERROR(__xludf.DUMMYFUNCTION("""COMPUTED_VALUE"""),"Midnight Silver Metallic")</f>
        <v>Midnight Silver Metallic</v>
      </c>
      <c r="P1957" t="str">
        <f>IFERROR(__xludf.DUMMYFUNCTION("""COMPUTED_VALUE"""),"20 inch Sport")</f>
        <v>20 inch Sport</v>
      </c>
      <c r="Q1957" t="str">
        <f>IFERROR(__xludf.DUMMYFUNCTION("""COMPUTED_VALUE"""),"Black seats")</f>
        <v>Black seats</v>
      </c>
      <c r="R1957" t="str">
        <f>IFERROR(__xludf.DUMMYFUNCTION("""COMPUTED_VALUE"""),"Autopilot")</f>
        <v>Autopilot</v>
      </c>
      <c r="X1957" t="str">
        <f>IFERROR(__xludf.DUMMYFUNCTION("""COMPUTED_VALUE"""),"Very Good")</f>
        <v>Very Good</v>
      </c>
      <c r="Y1957" t="str">
        <f>IFERROR(__xludf.DUMMYFUNCTION("""COMPUTED_VALUE"""),"Very Good")</f>
        <v>Very Good</v>
      </c>
      <c r="Z1957" t="str">
        <f>IFERROR(__xludf.DUMMYFUNCTION("""COMPUTED_VALUE"""),"Poor")</f>
        <v>Poor</v>
      </c>
      <c r="AA1957" t="str">
        <f>IFERROR(__xludf.DUMMYFUNCTION("""COMPUTED_VALUE"""),"Fair")</f>
        <v>Fair</v>
      </c>
      <c r="AB1957" t="str">
        <f>IFERROR(__xludf.DUMMYFUNCTION("""COMPUTED_VALUE"""),"Fair")</f>
        <v>Fair</v>
      </c>
      <c r="AC1957">
        <f>IFERROR(__xludf.DUMMYFUNCTION("""COMPUTED_VALUE"""),3.0)</f>
        <v>3</v>
      </c>
      <c r="AD1957">
        <f>IFERROR(__xludf.DUMMYFUNCTION("""COMPUTED_VALUE"""),1.0)</f>
        <v>1</v>
      </c>
      <c r="AE1957">
        <f>IFERROR(__xludf.DUMMYFUNCTION("""COMPUTED_VALUE"""),1.0)</f>
        <v>1</v>
      </c>
      <c r="AG1957" t="str">
        <f>IFERROR(__xludf.DUMMYFUNCTION("""COMPUTED_VALUE"""),"Model 3 Performance MSM/Black - delivered with paint drips all along the rear bumper and a front passenger wheel with road rash. Both being replaced by Tesla Rockville service center.")</f>
        <v>Model 3 Performance MSM/Black - delivered with paint drips all along the rear bumper and a front passenger wheel with road rash. Both being replaced by Tesla Rockville service center.</v>
      </c>
      <c r="AH1957" s="189">
        <f>IFERROR(__xludf.DUMMYFUNCTION("""COMPUTED_VALUE"""),43730.171439513884)</f>
        <v>43730.17144</v>
      </c>
    </row>
    <row r="1958">
      <c r="A1958" t="str">
        <f>IFERROR(__xludf.DUMMYFUNCTION("""COMPUTED_VALUE"""),"OhioJoe49")</f>
        <v>OhioJoe49</v>
      </c>
      <c r="B1958" t="str">
        <f>IFERROR(__xludf.DUMMYFUNCTION("""COMPUTED_VALUE"""),"Benicia")</f>
        <v>Benicia</v>
      </c>
      <c r="C1958" t="str">
        <f>IFERROR(__xludf.DUMMYFUNCTION("""COMPUTED_VALUE"""),"CA")</f>
        <v>CA</v>
      </c>
      <c r="D1958" t="str">
        <f>IFERROR(__xludf.DUMMYFUNCTION("""COMPUTED_VALUE"""),"USA")</f>
        <v>USA</v>
      </c>
      <c r="E1958" s="188">
        <f>IFERROR(__xludf.DUMMYFUNCTION("""COMPUTED_VALUE"""),43678.0)</f>
        <v>43678</v>
      </c>
      <c r="F1958" s="188">
        <f>IFERROR(__xludf.DUMMYFUNCTION("""COMPUTED_VALUE"""),43718.0)</f>
        <v>43718</v>
      </c>
      <c r="H1958">
        <f>IFERROR(__xludf.DUMMYFUNCTION("""COMPUTED_VALUE"""),494655.0)</f>
        <v>494655</v>
      </c>
      <c r="I1958" t="str">
        <f>IFERROR(__xludf.DUMMYFUNCTION("""COMPUTED_VALUE"""),"09/19")</f>
        <v>09/19</v>
      </c>
      <c r="J1958" s="5">
        <f>IFERROR(__xludf.DUMMYFUNCTION("""COMPUTED_VALUE"""),43719.0)</f>
        <v>43719</v>
      </c>
      <c r="K1958">
        <f>IFERROR(__xludf.DUMMYFUNCTION("""COMPUTED_VALUE"""),40.0)</f>
        <v>40</v>
      </c>
      <c r="L1958">
        <f>IFERROR(__xludf.DUMMYFUNCTION("""COMPUTED_VALUE"""),1.0)</f>
        <v>1</v>
      </c>
      <c r="M1958">
        <f>IFERROR(__xludf.DUMMYFUNCTION("""COMPUTED_VALUE"""),41.0)</f>
        <v>41</v>
      </c>
      <c r="N1958" t="str">
        <f>IFERROR(__xludf.DUMMYFUNCTION("""COMPUTED_VALUE"""),"Model 3 LR AWD")</f>
        <v>Model 3 LR AWD</v>
      </c>
      <c r="O1958" t="str">
        <f>IFERROR(__xludf.DUMMYFUNCTION("""COMPUTED_VALUE"""),"Pearl White Multi-Coat")</f>
        <v>Pearl White Multi-Coat</v>
      </c>
      <c r="P1958" t="str">
        <f>IFERROR(__xludf.DUMMYFUNCTION("""COMPUTED_VALUE"""),"18 inch Aero")</f>
        <v>18 inch Aero</v>
      </c>
      <c r="Q1958" t="str">
        <f>IFERROR(__xludf.DUMMYFUNCTION("""COMPUTED_VALUE"""),"White seats")</f>
        <v>White seats</v>
      </c>
      <c r="R1958" t="str">
        <f>IFERROR(__xludf.DUMMYFUNCTION("""COMPUTED_VALUE"""),"Autopilot")</f>
        <v>Autopilot</v>
      </c>
      <c r="X1958" t="str">
        <f>IFERROR(__xludf.DUMMYFUNCTION("""COMPUTED_VALUE"""),"Very Good")</f>
        <v>Very Good</v>
      </c>
      <c r="Y1958" t="str">
        <f>IFERROR(__xludf.DUMMYFUNCTION("""COMPUTED_VALUE"""),"Very Good")</f>
        <v>Very Good</v>
      </c>
      <c r="Z1958" t="str">
        <f>IFERROR(__xludf.DUMMYFUNCTION("""COMPUTED_VALUE"""),"Excellent")</f>
        <v>Excellent</v>
      </c>
      <c r="AA1958" t="str">
        <f>IFERROR(__xludf.DUMMYFUNCTION("""COMPUTED_VALUE"""),"Poor")</f>
        <v>Poor</v>
      </c>
      <c r="AB1958" t="str">
        <f>IFERROR(__xludf.DUMMYFUNCTION("""COMPUTED_VALUE"""),"Excellent")</f>
        <v>Excellent</v>
      </c>
      <c r="AG1958" t="str">
        <f>IFERROR(__xludf.DUMMYFUNCTION("""COMPUTED_VALUE"""),"Walnut Creek salesperson never contacted us with actual delivery date. No follow up after delivery.  I searched the Source code page, found I had a VIN. Called WC to check if the VIN was 'real'. Was asked when I wanted to pick it up. Set my own delivery d"&amp;"ate!")</f>
        <v>Walnut Creek salesperson never contacted us with actual delivery date. No follow up after delivery.  I searched the Source code page, found I had a VIN. Called WC to check if the VIN was 'real'. Was asked when I wanted to pick it up. Set my own delivery date!</v>
      </c>
      <c r="AH1958" s="189">
        <f>IFERROR(__xludf.DUMMYFUNCTION("""COMPUTED_VALUE"""),43730.64697598379)</f>
        <v>43730.64698</v>
      </c>
    </row>
    <row r="1959">
      <c r="A1959" t="str">
        <f>IFERROR(__xludf.DUMMYFUNCTION("""COMPUTED_VALUE"""),"MrSchmidt")</f>
        <v>MrSchmidt</v>
      </c>
      <c r="B1959" t="str">
        <f>IFERROR(__xludf.DUMMYFUNCTION("""COMPUTED_VALUE"""),"Palo Alto")</f>
        <v>Palo Alto</v>
      </c>
      <c r="C1959" t="str">
        <f>IFERROR(__xludf.DUMMYFUNCTION("""COMPUTED_VALUE"""),"CA")</f>
        <v>CA</v>
      </c>
      <c r="D1959" t="str">
        <f>IFERROR(__xludf.DUMMYFUNCTION("""COMPUTED_VALUE"""),"USA")</f>
        <v>USA</v>
      </c>
      <c r="E1959" s="188">
        <f>IFERROR(__xludf.DUMMYFUNCTION("""COMPUTED_VALUE"""),43687.0)</f>
        <v>43687</v>
      </c>
      <c r="F1959" s="188">
        <f>IFERROR(__xludf.DUMMYFUNCTION("""COMPUTED_VALUE"""),43724.0)</f>
        <v>43724</v>
      </c>
      <c r="H1959">
        <f>IFERROR(__xludf.DUMMYFUNCTION("""COMPUTED_VALUE"""),464796.0)</f>
        <v>464796</v>
      </c>
      <c r="J1959" s="5">
        <f>IFERROR(__xludf.DUMMYFUNCTION("""COMPUTED_VALUE"""),43729.0)</f>
        <v>43729</v>
      </c>
      <c r="K1959">
        <f>IFERROR(__xludf.DUMMYFUNCTION("""COMPUTED_VALUE"""),37.0)</f>
        <v>37</v>
      </c>
      <c r="L1959">
        <f>IFERROR(__xludf.DUMMYFUNCTION("""COMPUTED_VALUE"""),5.0)</f>
        <v>5</v>
      </c>
      <c r="M1959">
        <f>IFERROR(__xludf.DUMMYFUNCTION("""COMPUTED_VALUE"""),42.0)</f>
        <v>42</v>
      </c>
      <c r="N1959" t="str">
        <f>IFERROR(__xludf.DUMMYFUNCTION("""COMPUTED_VALUE"""),"Model 3 Performance")</f>
        <v>Model 3 Performance</v>
      </c>
      <c r="O1959" t="str">
        <f>IFERROR(__xludf.DUMMYFUNCTION("""COMPUTED_VALUE"""),"Midnight Silver Metallic")</f>
        <v>Midnight Silver Metallic</v>
      </c>
      <c r="P1959" t="str">
        <f>IFERROR(__xludf.DUMMYFUNCTION("""COMPUTED_VALUE"""),"20 inch Sport")</f>
        <v>20 inch Sport</v>
      </c>
      <c r="Q1959" t="str">
        <f>IFERROR(__xludf.DUMMYFUNCTION("""COMPUTED_VALUE"""),"White seats")</f>
        <v>White seats</v>
      </c>
      <c r="R1959" t="str">
        <f>IFERROR(__xludf.DUMMYFUNCTION("""COMPUTED_VALUE"""),"Full Self-Driving")</f>
        <v>Full Self-Driving</v>
      </c>
      <c r="X1959" t="str">
        <f>IFERROR(__xludf.DUMMYFUNCTION("""COMPUTED_VALUE"""),"Excellent")</f>
        <v>Excellent</v>
      </c>
      <c r="Y1959" t="str">
        <f>IFERROR(__xludf.DUMMYFUNCTION("""COMPUTED_VALUE"""),"Excellent")</f>
        <v>Excellent</v>
      </c>
      <c r="Z1959" t="str">
        <f>IFERROR(__xludf.DUMMYFUNCTION("""COMPUTED_VALUE"""),"Excellent")</f>
        <v>Excellent</v>
      </c>
      <c r="AA1959" t="str">
        <f>IFERROR(__xludf.DUMMYFUNCTION("""COMPUTED_VALUE"""),"Poor")</f>
        <v>Poor</v>
      </c>
      <c r="AB1959" t="str">
        <f>IFERROR(__xludf.DUMMYFUNCTION("""COMPUTED_VALUE"""),"Excellent")</f>
        <v>Excellent</v>
      </c>
      <c r="AC1959">
        <f>IFERROR(__xludf.DUMMYFUNCTION("""COMPUTED_VALUE"""),0.0)</f>
        <v>0</v>
      </c>
      <c r="AH1959" s="189">
        <f>IFERROR(__xludf.DUMMYFUNCTION("""COMPUTED_VALUE"""),43730.85015302083)</f>
        <v>43730.85015</v>
      </c>
    </row>
    <row r="1960">
      <c r="A1960" t="str">
        <f>IFERROR(__xludf.DUMMYFUNCTION("""COMPUTED_VALUE"""),"CAHE4KA")</f>
        <v>CAHE4KA</v>
      </c>
      <c r="B1960" t="str">
        <f>IFERROR(__xludf.DUMMYFUNCTION("""COMPUTED_VALUE"""),"Newport Beach")</f>
        <v>Newport Beach</v>
      </c>
      <c r="C1960" t="str">
        <f>IFERROR(__xludf.DUMMYFUNCTION("""COMPUTED_VALUE"""),"CA")</f>
        <v>CA</v>
      </c>
      <c r="D1960" t="str">
        <f>IFERROR(__xludf.DUMMYFUNCTION("""COMPUTED_VALUE"""),"USA")</f>
        <v>USA</v>
      </c>
      <c r="E1960" s="188">
        <f>IFERROR(__xludf.DUMMYFUNCTION("""COMPUTED_VALUE"""),43716.0)</f>
        <v>43716</v>
      </c>
      <c r="F1960" s="188">
        <f>IFERROR(__xludf.DUMMYFUNCTION("""COMPUTED_VALUE"""),43720.0)</f>
        <v>43720</v>
      </c>
      <c r="H1960">
        <f>IFERROR(__xludf.DUMMYFUNCTION("""COMPUTED_VALUE"""),485055.0)</f>
        <v>485055</v>
      </c>
      <c r="I1960" t="str">
        <f>IFERROR(__xludf.DUMMYFUNCTION("""COMPUTED_VALUE"""),"09/19")</f>
        <v>09/19</v>
      </c>
      <c r="J1960" s="5">
        <f>IFERROR(__xludf.DUMMYFUNCTION("""COMPUTED_VALUE"""),43722.0)</f>
        <v>43722</v>
      </c>
      <c r="K1960">
        <f>IFERROR(__xludf.DUMMYFUNCTION("""COMPUTED_VALUE"""),4.0)</f>
        <v>4</v>
      </c>
      <c r="L1960">
        <f>IFERROR(__xludf.DUMMYFUNCTION("""COMPUTED_VALUE"""),2.0)</f>
        <v>2</v>
      </c>
      <c r="M1960">
        <f>IFERROR(__xludf.DUMMYFUNCTION("""COMPUTED_VALUE"""),6.0)</f>
        <v>6</v>
      </c>
      <c r="N1960" t="str">
        <f>IFERROR(__xludf.DUMMYFUNCTION("""COMPUTED_VALUE"""),"Model 3 SR+")</f>
        <v>Model 3 SR+</v>
      </c>
      <c r="O1960" t="str">
        <f>IFERROR(__xludf.DUMMYFUNCTION("""COMPUTED_VALUE"""),"Pearl White Multi-Coat")</f>
        <v>Pearl White Multi-Coat</v>
      </c>
      <c r="P1960" t="str">
        <f>IFERROR(__xludf.DUMMYFUNCTION("""COMPUTED_VALUE"""),"18 inch Aero")</f>
        <v>18 inch Aero</v>
      </c>
      <c r="Q1960" t="str">
        <f>IFERROR(__xludf.DUMMYFUNCTION("""COMPUTED_VALUE"""),"Black seats")</f>
        <v>Black seats</v>
      </c>
      <c r="R1960" t="str">
        <f>IFERROR(__xludf.DUMMYFUNCTION("""COMPUTED_VALUE"""),"Autopilot")</f>
        <v>Autopilot</v>
      </c>
      <c r="X1960" t="str">
        <f>IFERROR(__xludf.DUMMYFUNCTION("""COMPUTED_VALUE"""),"Very Good")</f>
        <v>Very Good</v>
      </c>
      <c r="Y1960" t="str">
        <f>IFERROR(__xludf.DUMMYFUNCTION("""COMPUTED_VALUE"""),"Good")</f>
        <v>Good</v>
      </c>
      <c r="Z1960" t="str">
        <f>IFERROR(__xludf.DUMMYFUNCTION("""COMPUTED_VALUE"""),"Very Good")</f>
        <v>Very Good</v>
      </c>
      <c r="AA1960" t="str">
        <f>IFERROR(__xludf.DUMMYFUNCTION("""COMPUTED_VALUE"""),"Excellent")</f>
        <v>Excellent</v>
      </c>
      <c r="AB1960" t="str">
        <f>IFERROR(__xludf.DUMMYFUNCTION("""COMPUTED_VALUE"""),"Excellent")</f>
        <v>Excellent</v>
      </c>
      <c r="AH1960" s="189">
        <f>IFERROR(__xludf.DUMMYFUNCTION("""COMPUTED_VALUE"""),43730.96123648148)</f>
        <v>43730.96124</v>
      </c>
    </row>
    <row r="1961">
      <c r="A1961" t="str">
        <f>IFERROR(__xludf.DUMMYFUNCTION("""COMPUTED_VALUE"""),"tillerty")</f>
        <v>tillerty</v>
      </c>
      <c r="B1961" t="str">
        <f>IFERROR(__xludf.DUMMYFUNCTION("""COMPUTED_VALUE"""),"San Diego")</f>
        <v>San Diego</v>
      </c>
      <c r="C1961" t="str">
        <f>IFERROR(__xludf.DUMMYFUNCTION("""COMPUTED_VALUE"""),"CA")</f>
        <v>CA</v>
      </c>
      <c r="D1961" t="str">
        <f>IFERROR(__xludf.DUMMYFUNCTION("""COMPUTED_VALUE"""),"USA")</f>
        <v>USA</v>
      </c>
      <c r="E1961" s="188">
        <f>IFERROR(__xludf.DUMMYFUNCTION("""COMPUTED_VALUE"""),43705.0)</f>
        <v>43705</v>
      </c>
      <c r="F1961" s="188">
        <f>IFERROR(__xludf.DUMMYFUNCTION("""COMPUTED_VALUE"""),43715.0)</f>
        <v>43715</v>
      </c>
      <c r="H1961">
        <f>IFERROR(__xludf.DUMMYFUNCTION("""COMPUTED_VALUE"""),469955.0)</f>
        <v>469955</v>
      </c>
      <c r="J1961" s="5">
        <f>IFERROR(__xludf.DUMMYFUNCTION("""COMPUTED_VALUE"""),43715.0)</f>
        <v>43715</v>
      </c>
      <c r="K1961">
        <f>IFERROR(__xludf.DUMMYFUNCTION("""COMPUTED_VALUE"""),10.0)</f>
        <v>10</v>
      </c>
      <c r="L1961">
        <f>IFERROR(__xludf.DUMMYFUNCTION("""COMPUTED_VALUE"""),0.0)</f>
        <v>0</v>
      </c>
      <c r="M1961">
        <f>IFERROR(__xludf.DUMMYFUNCTION("""COMPUTED_VALUE"""),10.0)</f>
        <v>10</v>
      </c>
      <c r="N1961" t="str">
        <f>IFERROR(__xludf.DUMMYFUNCTION("""COMPUTED_VALUE"""),"Model 3 LR AWD")</f>
        <v>Model 3 LR AWD</v>
      </c>
      <c r="O1961" t="str">
        <f>IFERROR(__xludf.DUMMYFUNCTION("""COMPUTED_VALUE"""),"Deep Blue Metallic")</f>
        <v>Deep Blue Metallic</v>
      </c>
      <c r="P1961" t="str">
        <f>IFERROR(__xludf.DUMMYFUNCTION("""COMPUTED_VALUE"""),"18 inch Aero")</f>
        <v>18 inch Aero</v>
      </c>
      <c r="Q1961" t="str">
        <f>IFERROR(__xludf.DUMMYFUNCTION("""COMPUTED_VALUE"""),"White seats")</f>
        <v>White seats</v>
      </c>
      <c r="R1961" t="str">
        <f>IFERROR(__xludf.DUMMYFUNCTION("""COMPUTED_VALUE"""),"Autopilot")</f>
        <v>Autopilot</v>
      </c>
      <c r="X1961" t="str">
        <f>IFERROR(__xludf.DUMMYFUNCTION("""COMPUTED_VALUE"""),"Very Good")</f>
        <v>Very Good</v>
      </c>
      <c r="Y1961" t="str">
        <f>IFERROR(__xludf.DUMMYFUNCTION("""COMPUTED_VALUE"""),"Excellent")</f>
        <v>Excellent</v>
      </c>
      <c r="Z1961" t="str">
        <f>IFERROR(__xludf.DUMMYFUNCTION("""COMPUTED_VALUE"""),"Very Good")</f>
        <v>Very Good</v>
      </c>
      <c r="AA1961" t="str">
        <f>IFERROR(__xludf.DUMMYFUNCTION("""COMPUTED_VALUE"""),"Very Good")</f>
        <v>Very Good</v>
      </c>
      <c r="AB1961" t="str">
        <f>IFERROR(__xludf.DUMMYFUNCTION("""COMPUTED_VALUE"""),"Very Good")</f>
        <v>Very Good</v>
      </c>
      <c r="AC1961">
        <f>IFERROR(__xludf.DUMMYFUNCTION("""COMPUTED_VALUE"""),5.0)</f>
        <v>5</v>
      </c>
      <c r="AD1961">
        <f>IFERROR(__xludf.DUMMYFUNCTION("""COMPUTED_VALUE"""),1.0)</f>
        <v>1</v>
      </c>
      <c r="AE1961">
        <f>IFERROR(__xludf.DUMMYFUNCTION("""COMPUTED_VALUE"""),3.0)</f>
        <v>3</v>
      </c>
      <c r="AG1961" t="str">
        <f>IFERROR(__xludf.DUMMYFUNCTION("""COMPUTED_VALUE"""),"Da found car in inventory")</f>
        <v>Da found car in inventory</v>
      </c>
      <c r="AH1961" s="189">
        <f>IFERROR(__xludf.DUMMYFUNCTION("""COMPUTED_VALUE"""),43730.9842188426)</f>
        <v>43730.98422</v>
      </c>
    </row>
    <row r="1962">
      <c r="A1962" t="str">
        <f>IFERROR(__xludf.DUMMYFUNCTION("""COMPUTED_VALUE"""),"mtt")</f>
        <v>mtt</v>
      </c>
      <c r="C1962" t="str">
        <f>IFERROR(__xludf.DUMMYFUNCTION("""COMPUTED_VALUE"""),"CA")</f>
        <v>CA</v>
      </c>
      <c r="D1962" t="str">
        <f>IFERROR(__xludf.DUMMYFUNCTION("""COMPUTED_VALUE"""),"USA")</f>
        <v>USA</v>
      </c>
      <c r="E1962" s="188">
        <f>IFERROR(__xludf.DUMMYFUNCTION("""COMPUTED_VALUE"""),43701.0)</f>
        <v>43701</v>
      </c>
      <c r="F1962" s="188">
        <f>IFERROR(__xludf.DUMMYFUNCTION("""COMPUTED_VALUE"""),43726.0)</f>
        <v>43726</v>
      </c>
      <c r="J1962" s="5">
        <f>IFERROR(__xludf.DUMMYFUNCTION("""COMPUTED_VALUE"""),43729.0)</f>
        <v>43729</v>
      </c>
      <c r="K1962">
        <f>IFERROR(__xludf.DUMMYFUNCTION("""COMPUTED_VALUE"""),25.0)</f>
        <v>25</v>
      </c>
      <c r="L1962">
        <f>IFERROR(__xludf.DUMMYFUNCTION("""COMPUTED_VALUE"""),3.0)</f>
        <v>3</v>
      </c>
      <c r="M1962">
        <f>IFERROR(__xludf.DUMMYFUNCTION("""COMPUTED_VALUE"""),28.0)</f>
        <v>28</v>
      </c>
      <c r="N1962" t="str">
        <f>IFERROR(__xludf.DUMMYFUNCTION("""COMPUTED_VALUE"""),"Model 3 LR AWD")</f>
        <v>Model 3 LR AWD</v>
      </c>
      <c r="O1962" t="str">
        <f>IFERROR(__xludf.DUMMYFUNCTION("""COMPUTED_VALUE"""),"Pearl White Multi-Coat")</f>
        <v>Pearl White Multi-Coat</v>
      </c>
      <c r="P1962" t="str">
        <f>IFERROR(__xludf.DUMMYFUNCTION("""COMPUTED_VALUE"""),"18 inch Aero")</f>
        <v>18 inch Aero</v>
      </c>
      <c r="Q1962" t="str">
        <f>IFERROR(__xludf.DUMMYFUNCTION("""COMPUTED_VALUE"""),"Black seats")</f>
        <v>Black seats</v>
      </c>
      <c r="R1962" t="str">
        <f>IFERROR(__xludf.DUMMYFUNCTION("""COMPUTED_VALUE"""),"Autopilot")</f>
        <v>Autopilot</v>
      </c>
      <c r="X1962" t="str">
        <f>IFERROR(__xludf.DUMMYFUNCTION("""COMPUTED_VALUE"""),"Excellent")</f>
        <v>Excellent</v>
      </c>
      <c r="Y1962" t="str">
        <f>IFERROR(__xludf.DUMMYFUNCTION("""COMPUTED_VALUE"""),"Excellent")</f>
        <v>Excellent</v>
      </c>
      <c r="Z1962" t="str">
        <f>IFERROR(__xludf.DUMMYFUNCTION("""COMPUTED_VALUE"""),"Excellent")</f>
        <v>Excellent</v>
      </c>
      <c r="AA1962" t="str">
        <f>IFERROR(__xludf.DUMMYFUNCTION("""COMPUTED_VALUE"""),"Fair")</f>
        <v>Fair</v>
      </c>
      <c r="AB1962" t="str">
        <f>IFERROR(__xludf.DUMMYFUNCTION("""COMPUTED_VALUE"""),"Good")</f>
        <v>Good</v>
      </c>
      <c r="AH1962" s="189">
        <f>IFERROR(__xludf.DUMMYFUNCTION("""COMPUTED_VALUE"""),43731.40050574074)</f>
        <v>43731.40051</v>
      </c>
    </row>
    <row r="1963">
      <c r="A1963" t="str">
        <f>IFERROR(__xludf.DUMMYFUNCTION("""COMPUTED_VALUE"""),"Zaphlectric")</f>
        <v>Zaphlectric</v>
      </c>
      <c r="B1963" t="str">
        <f>IFERROR(__xludf.DUMMYFUNCTION("""COMPUTED_VALUE"""),"Corona")</f>
        <v>Corona</v>
      </c>
      <c r="C1963" t="str">
        <f>IFERROR(__xludf.DUMMYFUNCTION("""COMPUTED_VALUE"""),"CA")</f>
        <v>CA</v>
      </c>
      <c r="D1963" t="str">
        <f>IFERROR(__xludf.DUMMYFUNCTION("""COMPUTED_VALUE"""),"USA")</f>
        <v>USA</v>
      </c>
      <c r="E1963" s="188">
        <f>IFERROR(__xludf.DUMMYFUNCTION("""COMPUTED_VALUE"""),43695.0)</f>
        <v>43695</v>
      </c>
      <c r="F1963" s="188">
        <f>IFERROR(__xludf.DUMMYFUNCTION("""COMPUTED_VALUE"""),43729.0)</f>
        <v>43729</v>
      </c>
      <c r="H1963">
        <f>IFERROR(__xludf.DUMMYFUNCTION("""COMPUTED_VALUE"""),391555.0)</f>
        <v>391555</v>
      </c>
      <c r="J1963" s="5">
        <f>IFERROR(__xludf.DUMMYFUNCTION("""COMPUTED_VALUE"""),43730.0)</f>
        <v>43730</v>
      </c>
      <c r="K1963">
        <f>IFERROR(__xludf.DUMMYFUNCTION("""COMPUTED_VALUE"""),34.0)</f>
        <v>34</v>
      </c>
      <c r="L1963">
        <f>IFERROR(__xludf.DUMMYFUNCTION("""COMPUTED_VALUE"""),1.0)</f>
        <v>1</v>
      </c>
      <c r="M1963">
        <f>IFERROR(__xludf.DUMMYFUNCTION("""COMPUTED_VALUE"""),35.0)</f>
        <v>35</v>
      </c>
      <c r="N1963" t="str">
        <f>IFERROR(__xludf.DUMMYFUNCTION("""COMPUTED_VALUE"""),"Model 3 LR AWD")</f>
        <v>Model 3 LR AWD</v>
      </c>
      <c r="O1963" t="str">
        <f>IFERROR(__xludf.DUMMYFUNCTION("""COMPUTED_VALUE"""),"Solid Black")</f>
        <v>Solid Black</v>
      </c>
      <c r="P1963" t="str">
        <f>IFERROR(__xludf.DUMMYFUNCTION("""COMPUTED_VALUE"""),"19 inch Sport")</f>
        <v>19 inch Sport</v>
      </c>
      <c r="Q1963" t="str">
        <f>IFERROR(__xludf.DUMMYFUNCTION("""COMPUTED_VALUE"""),"White seats")</f>
        <v>White seats</v>
      </c>
      <c r="R1963" t="str">
        <f>IFERROR(__xludf.DUMMYFUNCTION("""COMPUTED_VALUE"""),"Autopilot")</f>
        <v>Autopilot</v>
      </c>
      <c r="X1963" t="str">
        <f>IFERROR(__xludf.DUMMYFUNCTION("""COMPUTED_VALUE"""),"Excellent")</f>
        <v>Excellent</v>
      </c>
      <c r="Y1963" t="str">
        <f>IFERROR(__xludf.DUMMYFUNCTION("""COMPUTED_VALUE"""),"Excellent")</f>
        <v>Excellent</v>
      </c>
      <c r="Z1963" t="str">
        <f>IFERROR(__xludf.DUMMYFUNCTION("""COMPUTED_VALUE"""),"Excellent")</f>
        <v>Excellent</v>
      </c>
      <c r="AA1963" t="str">
        <f>IFERROR(__xludf.DUMMYFUNCTION("""COMPUTED_VALUE"""),"Excellent")</f>
        <v>Excellent</v>
      </c>
      <c r="AB1963" t="str">
        <f>IFERROR(__xludf.DUMMYFUNCTION("""COMPUTED_VALUE"""),"Fair")</f>
        <v>Fair</v>
      </c>
      <c r="AC1963">
        <f>IFERROR(__xludf.DUMMYFUNCTION("""COMPUTED_VALUE"""),0.0)</f>
        <v>0</v>
      </c>
      <c r="AD1963">
        <f>IFERROR(__xludf.DUMMYFUNCTION("""COMPUTED_VALUE"""),0.0)</f>
        <v>0</v>
      </c>
      <c r="AG1963" t="str">
        <f>IFERROR(__xludf.DUMMYFUNCTION("""COMPUTED_VALUE"""),"The renegged on the $1500 19"" wheel comp as I was standing next to the car ready to take delivery. They claimed I'd have to wait for another vehicle just to redo the paperwork. Center tried to compensate with 2 years of SuperChargning, but no way that co"&amp;"mpares dollar for dollar. I feel like I was swindled by a used Buick salesman.")</f>
        <v>The renegged on the $1500 19" wheel comp as I was standing next to the car ready to take delivery. They claimed I'd have to wait for another vehicle just to redo the paperwork. Center tried to compensate with 2 years of SuperChargning, but no way that compares dollar for dollar. I feel like I was swindled by a used Buick salesman.</v>
      </c>
      <c r="AH1963" s="189">
        <f>IFERROR(__xludf.DUMMYFUNCTION("""COMPUTED_VALUE"""),43731.462449768514)</f>
        <v>43731.46245</v>
      </c>
    </row>
    <row r="1964">
      <c r="A1964" t="str">
        <f>IFERROR(__xludf.DUMMYFUNCTION("""COMPUTED_VALUE"""),"HelpSlipFrank")</f>
        <v>HelpSlipFrank</v>
      </c>
      <c r="B1964" t="str">
        <f>IFERROR(__xludf.DUMMYFUNCTION("""COMPUTED_VALUE"""),"Denver")</f>
        <v>Denver</v>
      </c>
      <c r="C1964" t="str">
        <f>IFERROR(__xludf.DUMMYFUNCTION("""COMPUTED_VALUE"""),"CO")</f>
        <v>CO</v>
      </c>
      <c r="D1964" t="str">
        <f>IFERROR(__xludf.DUMMYFUNCTION("""COMPUTED_VALUE"""),"USA")</f>
        <v>USA</v>
      </c>
      <c r="E1964" s="188">
        <f>IFERROR(__xludf.DUMMYFUNCTION("""COMPUTED_VALUE"""),43690.0)</f>
        <v>43690</v>
      </c>
      <c r="F1964" s="188">
        <f>IFERROR(__xludf.DUMMYFUNCTION("""COMPUTED_VALUE"""),43728.0)</f>
        <v>43728</v>
      </c>
      <c r="H1964">
        <f>IFERROR(__xludf.DUMMYFUNCTION("""COMPUTED_VALUE"""),487255.0)</f>
        <v>487255</v>
      </c>
      <c r="J1964" s="5">
        <f>IFERROR(__xludf.DUMMYFUNCTION("""COMPUTED_VALUE"""),43731.0)</f>
        <v>43731</v>
      </c>
      <c r="K1964">
        <f>IFERROR(__xludf.DUMMYFUNCTION("""COMPUTED_VALUE"""),38.0)</f>
        <v>38</v>
      </c>
      <c r="L1964">
        <f>IFERROR(__xludf.DUMMYFUNCTION("""COMPUTED_VALUE"""),3.0)</f>
        <v>3</v>
      </c>
      <c r="M1964">
        <f>IFERROR(__xludf.DUMMYFUNCTION("""COMPUTED_VALUE"""),41.0)</f>
        <v>41</v>
      </c>
      <c r="N1964" t="str">
        <f>IFERROR(__xludf.DUMMYFUNCTION("""COMPUTED_VALUE"""),"Model 3 Performance")</f>
        <v>Model 3 Performance</v>
      </c>
      <c r="O1964" t="str">
        <f>IFERROR(__xludf.DUMMYFUNCTION("""COMPUTED_VALUE"""),"Pearl White Multi-Coat")</f>
        <v>Pearl White Multi-Coat</v>
      </c>
      <c r="P1964" t="str">
        <f>IFERROR(__xludf.DUMMYFUNCTION("""COMPUTED_VALUE"""),"20 inch Sport")</f>
        <v>20 inch Sport</v>
      </c>
      <c r="Q1964" t="str">
        <f>IFERROR(__xludf.DUMMYFUNCTION("""COMPUTED_VALUE"""),"Black seats")</f>
        <v>Black seats</v>
      </c>
      <c r="R1964" t="str">
        <f>IFERROR(__xludf.DUMMYFUNCTION("""COMPUTED_VALUE"""),"Full Self-Driving")</f>
        <v>Full Self-Driving</v>
      </c>
      <c r="X1964" t="str">
        <f>IFERROR(__xludf.DUMMYFUNCTION("""COMPUTED_VALUE"""),"Fair")</f>
        <v>Fair</v>
      </c>
      <c r="Y1964" t="str">
        <f>IFERROR(__xludf.DUMMYFUNCTION("""COMPUTED_VALUE"""),"Excellent")</f>
        <v>Excellent</v>
      </c>
      <c r="Z1964" t="str">
        <f>IFERROR(__xludf.DUMMYFUNCTION("""COMPUTED_VALUE"""),"Very Good")</f>
        <v>Very Good</v>
      </c>
      <c r="AA1964" t="str">
        <f>IFERROR(__xludf.DUMMYFUNCTION("""COMPUTED_VALUE"""),"Fair")</f>
        <v>Fair</v>
      </c>
      <c r="AB1964" t="str">
        <f>IFERROR(__xludf.DUMMYFUNCTION("""COMPUTED_VALUE"""),"Very Good")</f>
        <v>Very Good</v>
      </c>
      <c r="AH1964" s="189">
        <f>IFERROR(__xludf.DUMMYFUNCTION("""COMPUTED_VALUE"""),43732.27796403936)</f>
        <v>43732.27796</v>
      </c>
    </row>
    <row r="1965">
      <c r="A1965" t="str">
        <f>IFERROR(__xludf.DUMMYFUNCTION("""COMPUTED_VALUE"""),"guildner")</f>
        <v>guildner</v>
      </c>
      <c r="B1965" t="str">
        <f>IFERROR(__xludf.DUMMYFUNCTION("""COMPUTED_VALUE"""),"Arvada")</f>
        <v>Arvada</v>
      </c>
      <c r="C1965" t="str">
        <f>IFERROR(__xludf.DUMMYFUNCTION("""COMPUTED_VALUE"""),"CO")</f>
        <v>CO</v>
      </c>
      <c r="D1965" t="str">
        <f>IFERROR(__xludf.DUMMYFUNCTION("""COMPUTED_VALUE"""),"USA")</f>
        <v>USA</v>
      </c>
      <c r="E1965" s="188">
        <f>IFERROR(__xludf.DUMMYFUNCTION("""COMPUTED_VALUE"""),43686.0)</f>
        <v>43686</v>
      </c>
      <c r="F1965" s="188">
        <f>IFERROR(__xludf.DUMMYFUNCTION("""COMPUTED_VALUE"""),43724.0)</f>
        <v>43724</v>
      </c>
      <c r="H1965">
        <f>IFERROR(__xludf.DUMMYFUNCTION("""COMPUTED_VALUE"""),477655.0)</f>
        <v>477655</v>
      </c>
      <c r="J1965" s="5">
        <f>IFERROR(__xludf.DUMMYFUNCTION("""COMPUTED_VALUE"""),43728.0)</f>
        <v>43728</v>
      </c>
      <c r="K1965">
        <f>IFERROR(__xludf.DUMMYFUNCTION("""COMPUTED_VALUE"""),38.0)</f>
        <v>38</v>
      </c>
      <c r="L1965">
        <f>IFERROR(__xludf.DUMMYFUNCTION("""COMPUTED_VALUE"""),4.0)</f>
        <v>4</v>
      </c>
      <c r="M1965">
        <f>IFERROR(__xludf.DUMMYFUNCTION("""COMPUTED_VALUE"""),42.0)</f>
        <v>42</v>
      </c>
      <c r="N1965" t="str">
        <f>IFERROR(__xludf.DUMMYFUNCTION("""COMPUTED_VALUE"""),"Model 3 Performance")</f>
        <v>Model 3 Performance</v>
      </c>
      <c r="O1965" t="str">
        <f>IFERROR(__xludf.DUMMYFUNCTION("""COMPUTED_VALUE"""),"Deep Blue Metallic")</f>
        <v>Deep Blue Metallic</v>
      </c>
      <c r="P1965" t="str">
        <f>IFERROR(__xludf.DUMMYFUNCTION("""COMPUTED_VALUE"""),"20 inch Sport")</f>
        <v>20 inch Sport</v>
      </c>
      <c r="Q1965" t="str">
        <f>IFERROR(__xludf.DUMMYFUNCTION("""COMPUTED_VALUE"""),"White seats")</f>
        <v>White seats</v>
      </c>
      <c r="R1965" t="str">
        <f>IFERROR(__xludf.DUMMYFUNCTION("""COMPUTED_VALUE"""),"Autopilot")</f>
        <v>Autopilot</v>
      </c>
      <c r="X1965" t="str">
        <f>IFERROR(__xludf.DUMMYFUNCTION("""COMPUTED_VALUE"""),"Excellent")</f>
        <v>Excellent</v>
      </c>
      <c r="Y1965" t="str">
        <f>IFERROR(__xludf.DUMMYFUNCTION("""COMPUTED_VALUE"""),"Excellent")</f>
        <v>Excellent</v>
      </c>
      <c r="Z1965" t="str">
        <f>IFERROR(__xludf.DUMMYFUNCTION("""COMPUTED_VALUE"""),"Excellent")</f>
        <v>Excellent</v>
      </c>
      <c r="AA1965" t="str">
        <f>IFERROR(__xludf.DUMMYFUNCTION("""COMPUTED_VALUE"""),"Fair")</f>
        <v>Fair</v>
      </c>
      <c r="AB1965" t="str">
        <f>IFERROR(__xludf.DUMMYFUNCTION("""COMPUTED_VALUE"""),"Very Good")</f>
        <v>Very Good</v>
      </c>
      <c r="AC1965">
        <f>IFERROR(__xludf.DUMMYFUNCTION("""COMPUTED_VALUE"""),1.0)</f>
        <v>1</v>
      </c>
      <c r="AD1965">
        <f>IFERROR(__xludf.DUMMYFUNCTION("""COMPUTED_VALUE"""),1.0)</f>
        <v>1</v>
      </c>
      <c r="AE1965">
        <f>IFERROR(__xludf.DUMMYFUNCTION("""COMPUTED_VALUE"""),1.0)</f>
        <v>1</v>
      </c>
      <c r="AG1965" t="str">
        <f>IFERROR(__xludf.DUMMYFUNCTION("""COMPUTED_VALUE"""),"Called August 27th, told most orders are taking 4-5 weeks. Could not give me more information without an assigned VIN. Text on 9/14, delivery in the next 2 weeks. There was a 3 inch scratch in the bottom panel right behind the front right wheel. Service i"&amp;"s scheduled.")</f>
        <v>Called August 27th, told most orders are taking 4-5 weeks. Could not give me more information without an assigned VIN. Text on 9/14, delivery in the next 2 weeks. There was a 3 inch scratch in the bottom panel right behind the front right wheel. Service is scheduled.</v>
      </c>
      <c r="AH1965" s="189">
        <f>IFERROR(__xludf.DUMMYFUNCTION("""COMPUTED_VALUE"""),43732.33601222222)</f>
        <v>43732.33601</v>
      </c>
    </row>
    <row r="1966">
      <c r="A1966" t="str">
        <f>IFERROR(__xludf.DUMMYFUNCTION("""COMPUTED_VALUE"""),"MKVTDI")</f>
        <v>MKVTDI</v>
      </c>
      <c r="B1966" t="str">
        <f>IFERROR(__xludf.DUMMYFUNCTION("""COMPUTED_VALUE"""),"Frederick")</f>
        <v>Frederick</v>
      </c>
      <c r="C1966" t="str">
        <f>IFERROR(__xludf.DUMMYFUNCTION("""COMPUTED_VALUE"""),"MD")</f>
        <v>MD</v>
      </c>
      <c r="D1966" t="str">
        <f>IFERROR(__xludf.DUMMYFUNCTION("""COMPUTED_VALUE"""),"USA")</f>
        <v>USA</v>
      </c>
      <c r="E1966" s="188">
        <f>IFERROR(__xludf.DUMMYFUNCTION("""COMPUTED_VALUE"""),44413.0)</f>
        <v>44413</v>
      </c>
      <c r="F1966" s="188">
        <f>IFERROR(__xludf.DUMMYFUNCTION("""COMPUTED_VALUE"""),44433.0)</f>
        <v>44433</v>
      </c>
      <c r="G1966" t="str">
        <f>IFERROR(__xludf.DUMMYFUNCTION("""COMPUTED_VALUE"""),"Manage order page (normal text)")</f>
        <v>Manage order page (normal text)</v>
      </c>
      <c r="H1966" s="4">
        <f>IFERROR(__xludf.DUMMYFUNCTION("""COMPUTED_VALUE"""),50532.0)</f>
        <v>50532</v>
      </c>
      <c r="J1966" s="188">
        <f>IFERROR(__xludf.DUMMYFUNCTION("""COMPUTED_VALUE"""),44446.0)</f>
        <v>44446</v>
      </c>
      <c r="K1966">
        <f>IFERROR(__xludf.DUMMYFUNCTION("""COMPUTED_VALUE"""),20.0)</f>
        <v>20</v>
      </c>
      <c r="L1966">
        <f>IFERROR(__xludf.DUMMYFUNCTION("""COMPUTED_VALUE"""),13.0)</f>
        <v>13</v>
      </c>
      <c r="M1966">
        <f>IFERROR(__xludf.DUMMYFUNCTION("""COMPUTED_VALUE"""),33.0)</f>
        <v>33</v>
      </c>
      <c r="N1966" t="str">
        <f>IFERROR(__xludf.DUMMYFUNCTION("""COMPUTED_VALUE"""),"Model 3 Performance")</f>
        <v>Model 3 Performance</v>
      </c>
      <c r="O1966" t="str">
        <f>IFERROR(__xludf.DUMMYFUNCTION("""COMPUTED_VALUE"""),"Pearl White Multi-Coat")</f>
        <v>Pearl White Multi-Coat</v>
      </c>
      <c r="P1966" t="str">
        <f>IFERROR(__xludf.DUMMYFUNCTION("""COMPUTED_VALUE"""),"20 inch")</f>
        <v>20 inch</v>
      </c>
      <c r="Q1966" t="str">
        <f>IFERROR(__xludf.DUMMYFUNCTION("""COMPUTED_VALUE"""),"All Black")</f>
        <v>All Black</v>
      </c>
      <c r="R1966" t="str">
        <f>IFERROR(__xludf.DUMMYFUNCTION("""COMPUTED_VALUE"""),"Autopilot included")</f>
        <v>Autopilot included</v>
      </c>
      <c r="S1966" t="str">
        <f>IFERROR(__xludf.DUMMYFUNCTION("""COMPUTED_VALUE"""),"Cash")</f>
        <v>Cash</v>
      </c>
      <c r="T1966" t="str">
        <f>IFERROR(__xludf.DUMMYFUNCTION("""COMPUTED_VALUE"""),"Tesla Model 3")</f>
        <v>Tesla Model 3</v>
      </c>
      <c r="U1966" t="str">
        <f>IFERROR(__xludf.DUMMYFUNCTION("""COMPUTED_VALUE"""),"Electric!")</f>
        <v>Electric!</v>
      </c>
      <c r="V1966" t="str">
        <f>IFERROR(__xludf.DUMMYFUNCTION("""COMPUTED_VALUE"""),"HomeLink")</f>
        <v>HomeLink</v>
      </c>
      <c r="X1966" t="str">
        <f>IFERROR(__xludf.DUMMYFUNCTION("""COMPUTED_VALUE"""),"Good")</f>
        <v>Good</v>
      </c>
      <c r="Y1966" t="str">
        <f>IFERROR(__xludf.DUMMYFUNCTION("""COMPUTED_VALUE"""),"Excellent")</f>
        <v>Excellent</v>
      </c>
      <c r="Z1966" t="str">
        <f>IFERROR(__xludf.DUMMYFUNCTION("""COMPUTED_VALUE"""),"Very Good")</f>
        <v>Very Good</v>
      </c>
      <c r="AA1966" t="str">
        <f>IFERROR(__xludf.DUMMYFUNCTION("""COMPUTED_VALUE"""),"Fair")</f>
        <v>Fair</v>
      </c>
      <c r="AB1966" t="str">
        <f>IFERROR(__xludf.DUMMYFUNCTION("""COMPUTED_VALUE"""),"Good")</f>
        <v>Good</v>
      </c>
      <c r="AH1966" s="189">
        <f>IFERROR(__xludf.DUMMYFUNCTION("""COMPUTED_VALUE"""),44440.55645322917)</f>
        <v>44440.55645</v>
      </c>
    </row>
    <row r="1967">
      <c r="A1967" t="str">
        <f>IFERROR(__xludf.DUMMYFUNCTION("""COMPUTED_VALUE"""),"VPP")</f>
        <v>VPP</v>
      </c>
      <c r="B1967" t="str">
        <f>IFERROR(__xludf.DUMMYFUNCTION("""COMPUTED_VALUE"""),"Phoenix")</f>
        <v>Phoenix</v>
      </c>
      <c r="C1967" t="str">
        <f>IFERROR(__xludf.DUMMYFUNCTION("""COMPUTED_VALUE"""),"AZ")</f>
        <v>AZ</v>
      </c>
      <c r="D1967" t="str">
        <f>IFERROR(__xludf.DUMMYFUNCTION("""COMPUTED_VALUE"""),"USA")</f>
        <v>USA</v>
      </c>
      <c r="E1967" s="188">
        <f>IFERROR(__xludf.DUMMYFUNCTION("""COMPUTED_VALUE"""),43675.0)</f>
        <v>43675</v>
      </c>
      <c r="F1967" s="188">
        <f>IFERROR(__xludf.DUMMYFUNCTION("""COMPUTED_VALUE"""),43724.0)</f>
        <v>43724</v>
      </c>
      <c r="J1967" s="5">
        <f>IFERROR(__xludf.DUMMYFUNCTION("""COMPUTED_VALUE"""),43728.0)</f>
        <v>43728</v>
      </c>
      <c r="K1967">
        <f>IFERROR(__xludf.DUMMYFUNCTION("""COMPUTED_VALUE"""),49.0)</f>
        <v>49</v>
      </c>
      <c r="L1967">
        <f>IFERROR(__xludf.DUMMYFUNCTION("""COMPUTED_VALUE"""),4.0)</f>
        <v>4</v>
      </c>
      <c r="M1967">
        <f>IFERROR(__xludf.DUMMYFUNCTION("""COMPUTED_VALUE"""),53.0)</f>
        <v>53</v>
      </c>
      <c r="N1967" t="str">
        <f>IFERROR(__xludf.DUMMYFUNCTION("""COMPUTED_VALUE"""),"Model 3 Performance")</f>
        <v>Model 3 Performance</v>
      </c>
      <c r="O1967" t="str">
        <f>IFERROR(__xludf.DUMMYFUNCTION("""COMPUTED_VALUE"""),"Pearl White Multi-Coat")</f>
        <v>Pearl White Multi-Coat</v>
      </c>
      <c r="P1967" t="str">
        <f>IFERROR(__xludf.DUMMYFUNCTION("""COMPUTED_VALUE"""),"20 inch Sport")</f>
        <v>20 inch Sport</v>
      </c>
      <c r="Q1967" t="str">
        <f>IFERROR(__xludf.DUMMYFUNCTION("""COMPUTED_VALUE"""),"White seats")</f>
        <v>White seats</v>
      </c>
      <c r="R1967" t="str">
        <f>IFERROR(__xludf.DUMMYFUNCTION("""COMPUTED_VALUE"""),"Autopilot")</f>
        <v>Autopilot</v>
      </c>
      <c r="X1967" t="str">
        <f>IFERROR(__xludf.DUMMYFUNCTION("""COMPUTED_VALUE"""),"Excellent")</f>
        <v>Excellent</v>
      </c>
      <c r="Y1967" t="str">
        <f>IFERROR(__xludf.DUMMYFUNCTION("""COMPUTED_VALUE"""),"Excellent")</f>
        <v>Excellent</v>
      </c>
      <c r="Z1967" t="str">
        <f>IFERROR(__xludf.DUMMYFUNCTION("""COMPUTED_VALUE"""),"Excellent")</f>
        <v>Excellent</v>
      </c>
      <c r="AA1967" t="str">
        <f>IFERROR(__xludf.DUMMYFUNCTION("""COMPUTED_VALUE"""),"Poor")</f>
        <v>Poor</v>
      </c>
      <c r="AB1967" t="str">
        <f>IFERROR(__xludf.DUMMYFUNCTION("""COMPUTED_VALUE"""),"Very Good")</f>
        <v>Very Good</v>
      </c>
      <c r="AC1967">
        <f>IFERROR(__xludf.DUMMYFUNCTION("""COMPUTED_VALUE"""),1.0)</f>
        <v>1</v>
      </c>
      <c r="AD1967">
        <f>IFERROR(__xludf.DUMMYFUNCTION("""COMPUTED_VALUE"""),1.0)</f>
        <v>1</v>
      </c>
      <c r="AH1967" s="189">
        <f>IFERROR(__xludf.DUMMYFUNCTION("""COMPUTED_VALUE"""),43733.504672662035)</f>
        <v>43733.50467</v>
      </c>
    </row>
    <row r="1968">
      <c r="A1968" t="str">
        <f>IFERROR(__xludf.DUMMYFUNCTION("""COMPUTED_VALUE"""),"pbuyyala")</f>
        <v>pbuyyala</v>
      </c>
      <c r="B1968" t="str">
        <f>IFERROR(__xludf.DUMMYFUNCTION("""COMPUTED_VALUE"""),"Los Angeles")</f>
        <v>Los Angeles</v>
      </c>
      <c r="C1968" t="str">
        <f>IFERROR(__xludf.DUMMYFUNCTION("""COMPUTED_VALUE"""),"CA")</f>
        <v>CA</v>
      </c>
      <c r="D1968" t="str">
        <f>IFERROR(__xludf.DUMMYFUNCTION("""COMPUTED_VALUE"""),"USA")</f>
        <v>USA</v>
      </c>
      <c r="E1968" s="188">
        <f>IFERROR(__xludf.DUMMYFUNCTION("""COMPUTED_VALUE"""),43723.0)</f>
        <v>43723</v>
      </c>
      <c r="F1968" s="188">
        <f>IFERROR(__xludf.DUMMYFUNCTION("""COMPUTED_VALUE"""),43723.0)</f>
        <v>43723</v>
      </c>
      <c r="H1968">
        <f>IFERROR(__xludf.DUMMYFUNCTION("""COMPUTED_VALUE"""),530003.0)</f>
        <v>530003</v>
      </c>
      <c r="J1968" s="5">
        <f>IFERROR(__xludf.DUMMYFUNCTION("""COMPUTED_VALUE"""),43730.0)</f>
        <v>43730</v>
      </c>
      <c r="K1968">
        <f>IFERROR(__xludf.DUMMYFUNCTION("""COMPUTED_VALUE"""),0.0)</f>
        <v>0</v>
      </c>
      <c r="L1968">
        <f>IFERROR(__xludf.DUMMYFUNCTION("""COMPUTED_VALUE"""),7.0)</f>
        <v>7</v>
      </c>
      <c r="M1968">
        <f>IFERROR(__xludf.DUMMYFUNCTION("""COMPUTED_VALUE"""),7.0)</f>
        <v>7</v>
      </c>
      <c r="N1968" t="str">
        <f>IFERROR(__xludf.DUMMYFUNCTION("""COMPUTED_VALUE"""),"Model 3 Performance")</f>
        <v>Model 3 Performance</v>
      </c>
      <c r="O1968" t="str">
        <f>IFERROR(__xludf.DUMMYFUNCTION("""COMPUTED_VALUE"""),"Red Multi-Coat")</f>
        <v>Red Multi-Coat</v>
      </c>
      <c r="P1968" t="str">
        <f>IFERROR(__xludf.DUMMYFUNCTION("""COMPUTED_VALUE"""),"19 inch Sport")</f>
        <v>19 inch Sport</v>
      </c>
      <c r="Q1968" t="str">
        <f>IFERROR(__xludf.DUMMYFUNCTION("""COMPUTED_VALUE"""),"Black seats")</f>
        <v>Black seats</v>
      </c>
      <c r="R1968" t="str">
        <f>IFERROR(__xludf.DUMMYFUNCTION("""COMPUTED_VALUE"""),"Full Self-Driving")</f>
        <v>Full Self-Driving</v>
      </c>
      <c r="X1968" t="str">
        <f>IFERROR(__xludf.DUMMYFUNCTION("""COMPUTED_VALUE"""),"Excellent")</f>
        <v>Excellent</v>
      </c>
      <c r="Y1968" t="str">
        <f>IFERROR(__xludf.DUMMYFUNCTION("""COMPUTED_VALUE"""),"Excellent")</f>
        <v>Excellent</v>
      </c>
      <c r="Z1968" t="str">
        <f>IFERROR(__xludf.DUMMYFUNCTION("""COMPUTED_VALUE"""),"Excellent")</f>
        <v>Excellent</v>
      </c>
      <c r="AA1968" t="str">
        <f>IFERROR(__xludf.DUMMYFUNCTION("""COMPUTED_VALUE"""),"Good")</f>
        <v>Good</v>
      </c>
      <c r="AB1968" t="str">
        <f>IFERROR(__xludf.DUMMYFUNCTION("""COMPUTED_VALUE"""),"Excellent")</f>
        <v>Excellent</v>
      </c>
      <c r="AC1968">
        <f>IFERROR(__xludf.DUMMYFUNCTION("""COMPUTED_VALUE"""),0.0)</f>
        <v>0</v>
      </c>
      <c r="AD1968">
        <f>IFERROR(__xludf.DUMMYFUNCTION("""COMPUTED_VALUE"""),0.0)</f>
        <v>0</v>
      </c>
      <c r="AE1968">
        <f>IFERROR(__xludf.DUMMYFUNCTION("""COMPUTED_VALUE"""),0.0)</f>
        <v>0</v>
      </c>
      <c r="AH1968" s="189">
        <f>IFERROR(__xludf.DUMMYFUNCTION("""COMPUTED_VALUE"""),43733.56371743056)</f>
        <v>43733.56372</v>
      </c>
    </row>
    <row r="1969">
      <c r="A1969" t="str">
        <f>IFERROR(__xludf.DUMMYFUNCTION("""COMPUTED_VALUE"""),"Nebby")</f>
        <v>Nebby</v>
      </c>
      <c r="B1969" t="str">
        <f>IFERROR(__xludf.DUMMYFUNCTION("""COMPUTED_VALUE"""),"Irvine")</f>
        <v>Irvine</v>
      </c>
      <c r="C1969" t="str">
        <f>IFERROR(__xludf.DUMMYFUNCTION("""COMPUTED_VALUE"""),"CA")</f>
        <v>CA</v>
      </c>
      <c r="D1969" t="str">
        <f>IFERROR(__xludf.DUMMYFUNCTION("""COMPUTED_VALUE"""),"USA")</f>
        <v>USA</v>
      </c>
      <c r="E1969" s="188">
        <f>IFERROR(__xludf.DUMMYFUNCTION("""COMPUTED_VALUE"""),43700.0)</f>
        <v>43700</v>
      </c>
      <c r="F1969" s="188">
        <f>IFERROR(__xludf.DUMMYFUNCTION("""COMPUTED_VALUE"""),43731.0)</f>
        <v>43731</v>
      </c>
      <c r="H1969">
        <f>IFERROR(__xludf.DUMMYFUNCTION("""COMPUTED_VALUE"""),522507.0)</f>
        <v>522507</v>
      </c>
      <c r="J1969" s="5">
        <f>IFERROR(__xludf.DUMMYFUNCTION("""COMPUTED_VALUE"""),43733.0)</f>
        <v>43733</v>
      </c>
      <c r="K1969">
        <f>IFERROR(__xludf.DUMMYFUNCTION("""COMPUTED_VALUE"""),31.0)</f>
        <v>31</v>
      </c>
      <c r="L1969">
        <f>IFERROR(__xludf.DUMMYFUNCTION("""COMPUTED_VALUE"""),2.0)</f>
        <v>2</v>
      </c>
      <c r="M1969">
        <f>IFERROR(__xludf.DUMMYFUNCTION("""COMPUTED_VALUE"""),33.0)</f>
        <v>33</v>
      </c>
      <c r="N1969" t="str">
        <f>IFERROR(__xludf.DUMMYFUNCTION("""COMPUTED_VALUE"""),"Model 3 Performance")</f>
        <v>Model 3 Performance</v>
      </c>
      <c r="O1969" t="str">
        <f>IFERROR(__xludf.DUMMYFUNCTION("""COMPUTED_VALUE"""),"Deep Blue Metallic")</f>
        <v>Deep Blue Metallic</v>
      </c>
      <c r="P1969" t="str">
        <f>IFERROR(__xludf.DUMMYFUNCTION("""COMPUTED_VALUE"""),"20 inch Sport")</f>
        <v>20 inch Sport</v>
      </c>
      <c r="Q1969" t="str">
        <f>IFERROR(__xludf.DUMMYFUNCTION("""COMPUTED_VALUE"""),"White seats")</f>
        <v>White seats</v>
      </c>
      <c r="R1969" t="str">
        <f>IFERROR(__xludf.DUMMYFUNCTION("""COMPUTED_VALUE"""),"Full Self-Driving")</f>
        <v>Full Self-Driving</v>
      </c>
      <c r="X1969" t="str">
        <f>IFERROR(__xludf.DUMMYFUNCTION("""COMPUTED_VALUE"""),"Excellent")</f>
        <v>Excellent</v>
      </c>
      <c r="Y1969" t="str">
        <f>IFERROR(__xludf.DUMMYFUNCTION("""COMPUTED_VALUE"""),"Very Good")</f>
        <v>Very Good</v>
      </c>
      <c r="Z1969" t="str">
        <f>IFERROR(__xludf.DUMMYFUNCTION("""COMPUTED_VALUE"""),"Fair")</f>
        <v>Fair</v>
      </c>
      <c r="AA1969" t="str">
        <f>IFERROR(__xludf.DUMMYFUNCTION("""COMPUTED_VALUE"""),"Very Good")</f>
        <v>Very Good</v>
      </c>
      <c r="AB1969" t="str">
        <f>IFERROR(__xludf.DUMMYFUNCTION("""COMPUTED_VALUE"""),"Excellent")</f>
        <v>Excellent</v>
      </c>
      <c r="AC1969">
        <f>IFERROR(__xludf.DUMMYFUNCTION("""COMPUTED_VALUE"""),7.0)</f>
        <v>7</v>
      </c>
      <c r="AH1969" s="189">
        <f>IFERROR(__xludf.DUMMYFUNCTION("""COMPUTED_VALUE"""),43733.73170725694)</f>
        <v>43733.73171</v>
      </c>
    </row>
    <row r="1970">
      <c r="A1970" t="str">
        <f>IFERROR(__xludf.DUMMYFUNCTION("""COMPUTED_VALUE"""),"DrBranca")</f>
        <v>DrBranca</v>
      </c>
      <c r="C1970" t="str">
        <f>IFERROR(__xludf.DUMMYFUNCTION("""COMPUTED_VALUE"""),"UT")</f>
        <v>UT</v>
      </c>
      <c r="D1970" t="str">
        <f>IFERROR(__xludf.DUMMYFUNCTION("""COMPUTED_VALUE"""),"USA")</f>
        <v>USA</v>
      </c>
      <c r="E1970" s="188">
        <f>IFERROR(__xludf.DUMMYFUNCTION("""COMPUTED_VALUE"""),43701.0)</f>
        <v>43701</v>
      </c>
      <c r="F1970" s="188">
        <f>IFERROR(__xludf.DUMMYFUNCTION("""COMPUTED_VALUE"""),43730.0)</f>
        <v>43730</v>
      </c>
      <c r="H1970">
        <f>IFERROR(__xludf.DUMMYFUNCTION("""COMPUTED_VALUE"""),477655.0)</f>
        <v>477655</v>
      </c>
      <c r="I1970" t="str">
        <f>IFERROR(__xludf.DUMMYFUNCTION("""COMPUTED_VALUE"""),"09/19")</f>
        <v>09/19</v>
      </c>
      <c r="J1970" s="5">
        <f>IFERROR(__xludf.DUMMYFUNCTION("""COMPUTED_VALUE"""),43733.0)</f>
        <v>43733</v>
      </c>
      <c r="K1970">
        <f>IFERROR(__xludf.DUMMYFUNCTION("""COMPUTED_VALUE"""),29.0)</f>
        <v>29</v>
      </c>
      <c r="L1970">
        <f>IFERROR(__xludf.DUMMYFUNCTION("""COMPUTED_VALUE"""),3.0)</f>
        <v>3</v>
      </c>
      <c r="M1970">
        <f>IFERROR(__xludf.DUMMYFUNCTION("""COMPUTED_VALUE"""),32.0)</f>
        <v>32</v>
      </c>
      <c r="N1970" t="str">
        <f>IFERROR(__xludf.DUMMYFUNCTION("""COMPUTED_VALUE"""),"Model 3 Performance")</f>
        <v>Model 3 Performance</v>
      </c>
      <c r="O1970" t="str">
        <f>IFERROR(__xludf.DUMMYFUNCTION("""COMPUTED_VALUE"""),"Red Multi-Coat")</f>
        <v>Red Multi-Coat</v>
      </c>
      <c r="P1970" t="str">
        <f>IFERROR(__xludf.DUMMYFUNCTION("""COMPUTED_VALUE"""),"20 inch Sport")</f>
        <v>20 inch Sport</v>
      </c>
      <c r="Q1970" t="str">
        <f>IFERROR(__xludf.DUMMYFUNCTION("""COMPUTED_VALUE"""),"White seats")</f>
        <v>White seats</v>
      </c>
      <c r="R1970" t="str">
        <f>IFERROR(__xludf.DUMMYFUNCTION("""COMPUTED_VALUE"""),"Autopilot")</f>
        <v>Autopilot</v>
      </c>
      <c r="X1970" t="str">
        <f>IFERROR(__xludf.DUMMYFUNCTION("""COMPUTED_VALUE"""),"Good")</f>
        <v>Good</v>
      </c>
      <c r="Y1970" t="str">
        <f>IFERROR(__xludf.DUMMYFUNCTION("""COMPUTED_VALUE"""),"Very Good")</f>
        <v>Very Good</v>
      </c>
      <c r="Z1970" t="str">
        <f>IFERROR(__xludf.DUMMYFUNCTION("""COMPUTED_VALUE"""),"Very Good")</f>
        <v>Very Good</v>
      </c>
      <c r="AA1970" t="str">
        <f>IFERROR(__xludf.DUMMYFUNCTION("""COMPUTED_VALUE"""),"Very Good")</f>
        <v>Very Good</v>
      </c>
      <c r="AB1970" t="str">
        <f>IFERROR(__xludf.DUMMYFUNCTION("""COMPUTED_VALUE"""),"Good")</f>
        <v>Good</v>
      </c>
      <c r="AG1970" t="str">
        <f>IFERROR(__xludf.DUMMYFUNCTION("""COMPUTED_VALUE"""),"A few minor panel gap issues at pick up. Nothing that should not be easily repairable.")</f>
        <v>A few minor panel gap issues at pick up. Nothing that should not be easily repairable.</v>
      </c>
      <c r="AH1970" s="189">
        <f>IFERROR(__xludf.DUMMYFUNCTION("""COMPUTED_VALUE"""),43733.811765266204)</f>
        <v>43733.81177</v>
      </c>
    </row>
    <row r="1971">
      <c r="A1971" t="str">
        <f>IFERROR(__xludf.DUMMYFUNCTION("""COMPUTED_VALUE"""),"dhart001")</f>
        <v>dhart001</v>
      </c>
      <c r="B1971" t="str">
        <f>IFERROR(__xludf.DUMMYFUNCTION("""COMPUTED_VALUE"""),"Bay Area")</f>
        <v>Bay Area</v>
      </c>
      <c r="C1971" t="str">
        <f>IFERROR(__xludf.DUMMYFUNCTION("""COMPUTED_VALUE"""),"CA")</f>
        <v>CA</v>
      </c>
      <c r="D1971" t="str">
        <f>IFERROR(__xludf.DUMMYFUNCTION("""COMPUTED_VALUE"""),"USA")</f>
        <v>USA</v>
      </c>
      <c r="E1971" s="188">
        <f>IFERROR(__xludf.DUMMYFUNCTION("""COMPUTED_VALUE"""),43693.0)</f>
        <v>43693</v>
      </c>
      <c r="F1971" s="188">
        <f>IFERROR(__xludf.DUMMYFUNCTION("""COMPUTED_VALUE"""),43730.0)</f>
        <v>43730</v>
      </c>
      <c r="H1971">
        <f>IFERROR(__xludf.DUMMYFUNCTION("""COMPUTED_VALUE"""),514452.0)</f>
        <v>514452</v>
      </c>
      <c r="J1971" s="5">
        <f>IFERROR(__xludf.DUMMYFUNCTION("""COMPUTED_VALUE"""),43733.0)</f>
        <v>43733</v>
      </c>
      <c r="K1971">
        <f>IFERROR(__xludf.DUMMYFUNCTION("""COMPUTED_VALUE"""),37.0)</f>
        <v>37</v>
      </c>
      <c r="L1971">
        <f>IFERROR(__xludf.DUMMYFUNCTION("""COMPUTED_VALUE"""),3.0)</f>
        <v>3</v>
      </c>
      <c r="M1971">
        <f>IFERROR(__xludf.DUMMYFUNCTION("""COMPUTED_VALUE"""),40.0)</f>
        <v>40</v>
      </c>
      <c r="N1971" t="str">
        <f>IFERROR(__xludf.DUMMYFUNCTION("""COMPUTED_VALUE"""),"Model 3 Performance")</f>
        <v>Model 3 Performance</v>
      </c>
      <c r="O1971" t="str">
        <f>IFERROR(__xludf.DUMMYFUNCTION("""COMPUTED_VALUE"""),"Pearl White Multi-Coat")</f>
        <v>Pearl White Multi-Coat</v>
      </c>
      <c r="P1971" t="str">
        <f>IFERROR(__xludf.DUMMYFUNCTION("""COMPUTED_VALUE"""),"20 inch Sport")</f>
        <v>20 inch Sport</v>
      </c>
      <c r="Q1971" t="str">
        <f>IFERROR(__xludf.DUMMYFUNCTION("""COMPUTED_VALUE"""),"White seats")</f>
        <v>White seats</v>
      </c>
      <c r="R1971" t="str">
        <f>IFERROR(__xludf.DUMMYFUNCTION("""COMPUTED_VALUE"""),"Full Self-Driving")</f>
        <v>Full Self-Driving</v>
      </c>
      <c r="X1971" t="str">
        <f>IFERROR(__xludf.DUMMYFUNCTION("""COMPUTED_VALUE"""),"Excellent")</f>
        <v>Excellent</v>
      </c>
      <c r="Y1971" t="str">
        <f>IFERROR(__xludf.DUMMYFUNCTION("""COMPUTED_VALUE"""),"Excellent")</f>
        <v>Excellent</v>
      </c>
      <c r="Z1971" t="str">
        <f>IFERROR(__xludf.DUMMYFUNCTION("""COMPUTED_VALUE"""),"Excellent")</f>
        <v>Excellent</v>
      </c>
      <c r="AA1971" t="str">
        <f>IFERROR(__xludf.DUMMYFUNCTION("""COMPUTED_VALUE"""),"Fair")</f>
        <v>Fair</v>
      </c>
      <c r="AB1971" t="str">
        <f>IFERROR(__xludf.DUMMYFUNCTION("""COMPUTED_VALUE"""),"Excellent")</f>
        <v>Excellent</v>
      </c>
      <c r="AH1971" s="189">
        <f>IFERROR(__xludf.DUMMYFUNCTION("""COMPUTED_VALUE"""),43734.29531137731)</f>
        <v>43734.29531</v>
      </c>
    </row>
    <row r="1972">
      <c r="A1972" t="str">
        <f>IFERROR(__xludf.DUMMYFUNCTION("""COMPUTED_VALUE"""),"chewyc")</f>
        <v>chewyc</v>
      </c>
      <c r="B1972" t="str">
        <f>IFERROR(__xludf.DUMMYFUNCTION("""COMPUTED_VALUE"""),"Los Angeles")</f>
        <v>Los Angeles</v>
      </c>
      <c r="C1972" t="str">
        <f>IFERROR(__xludf.DUMMYFUNCTION("""COMPUTED_VALUE"""),"CA")</f>
        <v>CA</v>
      </c>
      <c r="D1972" t="str">
        <f>IFERROR(__xludf.DUMMYFUNCTION("""COMPUTED_VALUE"""),"USA")</f>
        <v>USA</v>
      </c>
      <c r="E1972" s="188">
        <f>IFERROR(__xludf.DUMMYFUNCTION("""COMPUTED_VALUE"""),43706.0)</f>
        <v>43706</v>
      </c>
      <c r="F1972" s="188">
        <f>IFERROR(__xludf.DUMMYFUNCTION("""COMPUTED_VALUE"""),43730.0)</f>
        <v>43730</v>
      </c>
      <c r="H1972">
        <f>IFERROR(__xludf.DUMMYFUNCTION("""COMPUTED_VALUE"""),441600.0)</f>
        <v>441600</v>
      </c>
      <c r="I1972" t="str">
        <f>IFERROR(__xludf.DUMMYFUNCTION("""COMPUTED_VALUE"""),"09/19")</f>
        <v>09/19</v>
      </c>
      <c r="J1972" s="5">
        <f>IFERROR(__xludf.DUMMYFUNCTION("""COMPUTED_VALUE"""),43732.0)</f>
        <v>43732</v>
      </c>
      <c r="K1972">
        <f>IFERROR(__xludf.DUMMYFUNCTION("""COMPUTED_VALUE"""),24.0)</f>
        <v>24</v>
      </c>
      <c r="L1972">
        <f>IFERROR(__xludf.DUMMYFUNCTION("""COMPUTED_VALUE"""),2.0)</f>
        <v>2</v>
      </c>
      <c r="M1972">
        <f>IFERROR(__xludf.DUMMYFUNCTION("""COMPUTED_VALUE"""),26.0)</f>
        <v>26</v>
      </c>
      <c r="N1972" t="str">
        <f>IFERROR(__xludf.DUMMYFUNCTION("""COMPUTED_VALUE"""),"Model 3 Performance")</f>
        <v>Model 3 Performance</v>
      </c>
      <c r="O1972" t="str">
        <f>IFERROR(__xludf.DUMMYFUNCTION("""COMPUTED_VALUE"""),"Solid Black")</f>
        <v>Solid Black</v>
      </c>
      <c r="P1972" t="str">
        <f>IFERROR(__xludf.DUMMYFUNCTION("""COMPUTED_VALUE"""),"20 inch Sport")</f>
        <v>20 inch Sport</v>
      </c>
      <c r="Q1972" t="str">
        <f>IFERROR(__xludf.DUMMYFUNCTION("""COMPUTED_VALUE"""),"Black seats")</f>
        <v>Black seats</v>
      </c>
      <c r="R1972" t="str">
        <f>IFERROR(__xludf.DUMMYFUNCTION("""COMPUTED_VALUE"""),"Autopilot")</f>
        <v>Autopilot</v>
      </c>
      <c r="X1972" t="str">
        <f>IFERROR(__xludf.DUMMYFUNCTION("""COMPUTED_VALUE"""),"Very Good")</f>
        <v>Very Good</v>
      </c>
      <c r="Y1972" t="str">
        <f>IFERROR(__xludf.DUMMYFUNCTION("""COMPUTED_VALUE"""),"Excellent")</f>
        <v>Excellent</v>
      </c>
      <c r="Z1972" t="str">
        <f>IFERROR(__xludf.DUMMYFUNCTION("""COMPUTED_VALUE"""),"Very Good")</f>
        <v>Very Good</v>
      </c>
      <c r="AA1972" t="str">
        <f>IFERROR(__xludf.DUMMYFUNCTION("""COMPUTED_VALUE"""),"Excellent")</f>
        <v>Excellent</v>
      </c>
      <c r="AB1972" t="str">
        <f>IFERROR(__xludf.DUMMYFUNCTION("""COMPUTED_VALUE"""),"Excellent")</f>
        <v>Excellent</v>
      </c>
      <c r="AC1972">
        <f>IFERROR(__xludf.DUMMYFUNCTION("""COMPUTED_VALUE"""),2.0)</f>
        <v>2</v>
      </c>
      <c r="AD1972">
        <f>IFERROR(__xludf.DUMMYFUNCTION("""COMPUTED_VALUE"""),1.0)</f>
        <v>1</v>
      </c>
      <c r="AH1972" s="189">
        <f>IFERROR(__xludf.DUMMYFUNCTION("""COMPUTED_VALUE"""),43734.38217085648)</f>
        <v>43734.38217</v>
      </c>
    </row>
    <row r="1973">
      <c r="A1973" t="str">
        <f>IFERROR(__xludf.DUMMYFUNCTION("""COMPUTED_VALUE"""),"whzkds")</f>
        <v>whzkds</v>
      </c>
      <c r="B1973" t="str">
        <f>IFERROR(__xludf.DUMMYFUNCTION("""COMPUTED_VALUE"""),"Portland")</f>
        <v>Portland</v>
      </c>
      <c r="C1973" t="str">
        <f>IFERROR(__xludf.DUMMYFUNCTION("""COMPUTED_VALUE"""),"OR")</f>
        <v>OR</v>
      </c>
      <c r="D1973" t="str">
        <f>IFERROR(__xludf.DUMMYFUNCTION("""COMPUTED_VALUE"""),"USA")</f>
        <v>USA</v>
      </c>
      <c r="E1973" s="188">
        <f>IFERROR(__xludf.DUMMYFUNCTION("""COMPUTED_VALUE"""),43726.0)</f>
        <v>43726</v>
      </c>
      <c r="F1973" s="188">
        <f>IFERROR(__xludf.DUMMYFUNCTION("""COMPUTED_VALUE"""),43729.0)</f>
        <v>43729</v>
      </c>
      <c r="H1973">
        <f>IFERROR(__xludf.DUMMYFUNCTION("""COMPUTED_VALUE"""),529655.0)</f>
        <v>529655</v>
      </c>
      <c r="J1973" s="5">
        <f>IFERROR(__xludf.DUMMYFUNCTION("""COMPUTED_VALUE"""),43734.0)</f>
        <v>43734</v>
      </c>
      <c r="K1973">
        <f>IFERROR(__xludf.DUMMYFUNCTION("""COMPUTED_VALUE"""),3.0)</f>
        <v>3</v>
      </c>
      <c r="L1973">
        <f>IFERROR(__xludf.DUMMYFUNCTION("""COMPUTED_VALUE"""),5.0)</f>
        <v>5</v>
      </c>
      <c r="M1973">
        <f>IFERROR(__xludf.DUMMYFUNCTION("""COMPUTED_VALUE"""),8.0)</f>
        <v>8</v>
      </c>
      <c r="N1973" t="str">
        <f>IFERROR(__xludf.DUMMYFUNCTION("""COMPUTED_VALUE"""),"Model 3 Performance")</f>
        <v>Model 3 Performance</v>
      </c>
      <c r="O1973" t="str">
        <f>IFERROR(__xludf.DUMMYFUNCTION("""COMPUTED_VALUE"""),"Midnight Silver Metallic")</f>
        <v>Midnight Silver Metallic</v>
      </c>
      <c r="P1973" t="str">
        <f>IFERROR(__xludf.DUMMYFUNCTION("""COMPUTED_VALUE"""),"20 inch Sport")</f>
        <v>20 inch Sport</v>
      </c>
      <c r="Q1973" t="str">
        <f>IFERROR(__xludf.DUMMYFUNCTION("""COMPUTED_VALUE"""),"White seats")</f>
        <v>White seats</v>
      </c>
      <c r="R1973" t="str">
        <f>IFERROR(__xludf.DUMMYFUNCTION("""COMPUTED_VALUE"""),"Full Self-Driving")</f>
        <v>Full Self-Driving</v>
      </c>
      <c r="X1973" t="str">
        <f>IFERROR(__xludf.DUMMYFUNCTION("""COMPUTED_VALUE"""),"Excellent")</f>
        <v>Excellent</v>
      </c>
      <c r="Y1973" t="str">
        <f>IFERROR(__xludf.DUMMYFUNCTION("""COMPUTED_VALUE"""),"Very Good")</f>
        <v>Very Good</v>
      </c>
      <c r="Z1973" t="str">
        <f>IFERROR(__xludf.DUMMYFUNCTION("""COMPUTED_VALUE"""),"Very Good")</f>
        <v>Very Good</v>
      </c>
      <c r="AA1973" t="str">
        <f>IFERROR(__xludf.DUMMYFUNCTION("""COMPUTED_VALUE"""),"Excellent")</f>
        <v>Excellent</v>
      </c>
      <c r="AB1973" t="str">
        <f>IFERROR(__xludf.DUMMYFUNCTION("""COMPUTED_VALUE"""),"Excellent")</f>
        <v>Excellent</v>
      </c>
      <c r="AC1973">
        <f>IFERROR(__xludf.DUMMYFUNCTION("""COMPUTED_VALUE"""),2.0)</f>
        <v>2</v>
      </c>
      <c r="AH1973" s="189">
        <f>IFERROR(__xludf.DUMMYFUNCTION("""COMPUTED_VALUE"""),43735.3485418287)</f>
        <v>43735.34854</v>
      </c>
    </row>
    <row r="1974">
      <c r="A1974" t="str">
        <f>IFERROR(__xludf.DUMMYFUNCTION("""COMPUTED_VALUE"""),"RAM_86")</f>
        <v>RAM_86</v>
      </c>
      <c r="B1974" t="str">
        <f>IFERROR(__xludf.DUMMYFUNCTION("""COMPUTED_VALUE"""),"Los Angeles")</f>
        <v>Los Angeles</v>
      </c>
      <c r="C1974" t="str">
        <f>IFERROR(__xludf.DUMMYFUNCTION("""COMPUTED_VALUE"""),"CA")</f>
        <v>CA</v>
      </c>
      <c r="D1974" t="str">
        <f>IFERROR(__xludf.DUMMYFUNCTION("""COMPUTED_VALUE"""),"USA")</f>
        <v>USA</v>
      </c>
      <c r="E1974" s="188">
        <f>IFERROR(__xludf.DUMMYFUNCTION("""COMPUTED_VALUE"""),43692.0)</f>
        <v>43692</v>
      </c>
      <c r="F1974" s="188">
        <f>IFERROR(__xludf.DUMMYFUNCTION("""COMPUTED_VALUE"""),43729.0)</f>
        <v>43729</v>
      </c>
      <c r="H1974">
        <f>IFERROR(__xludf.DUMMYFUNCTION("""COMPUTED_VALUE"""),487455.0)</f>
        <v>487455</v>
      </c>
      <c r="I1974" t="str">
        <f>IFERROR(__xludf.DUMMYFUNCTION("""COMPUTED_VALUE"""),"09/19")</f>
        <v>09/19</v>
      </c>
      <c r="J1974" s="5">
        <f>IFERROR(__xludf.DUMMYFUNCTION("""COMPUTED_VALUE"""),43734.0)</f>
        <v>43734</v>
      </c>
      <c r="K1974">
        <f>IFERROR(__xludf.DUMMYFUNCTION("""COMPUTED_VALUE"""),37.0)</f>
        <v>37</v>
      </c>
      <c r="L1974">
        <f>IFERROR(__xludf.DUMMYFUNCTION("""COMPUTED_VALUE"""),5.0)</f>
        <v>5</v>
      </c>
      <c r="M1974">
        <f>IFERROR(__xludf.DUMMYFUNCTION("""COMPUTED_VALUE"""),42.0)</f>
        <v>42</v>
      </c>
      <c r="N1974" t="str">
        <f>IFERROR(__xludf.DUMMYFUNCTION("""COMPUTED_VALUE"""),"Model 3 Performance")</f>
        <v>Model 3 Performance</v>
      </c>
      <c r="O1974" t="str">
        <f>IFERROR(__xludf.DUMMYFUNCTION("""COMPUTED_VALUE"""),"Pearl White Multi-Coat")</f>
        <v>Pearl White Multi-Coat</v>
      </c>
      <c r="P1974" t="str">
        <f>IFERROR(__xludf.DUMMYFUNCTION("""COMPUTED_VALUE"""),"20 inch Sport")</f>
        <v>20 inch Sport</v>
      </c>
      <c r="Q1974" t="str">
        <f>IFERROR(__xludf.DUMMYFUNCTION("""COMPUTED_VALUE"""),"White seats")</f>
        <v>White seats</v>
      </c>
      <c r="R1974" t="str">
        <f>IFERROR(__xludf.DUMMYFUNCTION("""COMPUTED_VALUE"""),"Full Self-Driving")</f>
        <v>Full Self-Driving</v>
      </c>
      <c r="X1974" t="str">
        <f>IFERROR(__xludf.DUMMYFUNCTION("""COMPUTED_VALUE"""),"Good")</f>
        <v>Good</v>
      </c>
      <c r="Y1974" t="str">
        <f>IFERROR(__xludf.DUMMYFUNCTION("""COMPUTED_VALUE"""),"Poor")</f>
        <v>Poor</v>
      </c>
      <c r="Z1974" t="str">
        <f>IFERROR(__xludf.DUMMYFUNCTION("""COMPUTED_VALUE"""),"Fair")</f>
        <v>Fair</v>
      </c>
      <c r="AA1974" t="str">
        <f>IFERROR(__xludf.DUMMYFUNCTION("""COMPUTED_VALUE"""),"Good")</f>
        <v>Good</v>
      </c>
      <c r="AB1974" t="str">
        <f>IFERROR(__xludf.DUMMYFUNCTION("""COMPUTED_VALUE"""),"Fair")</f>
        <v>Fair</v>
      </c>
      <c r="AC1974">
        <f>IFERROR(__xludf.DUMMYFUNCTION("""COMPUTED_VALUE"""),5.0)</f>
        <v>5</v>
      </c>
      <c r="AG1974" t="str">
        <f>IFERROR(__xludf.DUMMYFUNCTION("""COMPUTED_VALUE"""),"Found vin in source code on 9/21")</f>
        <v>Found vin in source code on 9/21</v>
      </c>
      <c r="AH1974" s="189">
        <f>IFERROR(__xludf.DUMMYFUNCTION("""COMPUTED_VALUE"""),43735.477555624995)</f>
        <v>43735.47756</v>
      </c>
    </row>
    <row r="1975">
      <c r="A1975" t="str">
        <f>IFERROR(__xludf.DUMMYFUNCTION("""COMPUTED_VALUE"""),"KGreb")</f>
        <v>KGreb</v>
      </c>
      <c r="B1975" t="str">
        <f>IFERROR(__xludf.DUMMYFUNCTION("""COMPUTED_VALUE"""),"Houston")</f>
        <v>Houston</v>
      </c>
      <c r="C1975" t="str">
        <f>IFERROR(__xludf.DUMMYFUNCTION("""COMPUTED_VALUE"""),"TX")</f>
        <v>TX</v>
      </c>
      <c r="D1975" t="str">
        <f>IFERROR(__xludf.DUMMYFUNCTION("""COMPUTED_VALUE"""),"USA")</f>
        <v>USA</v>
      </c>
      <c r="E1975" s="188">
        <f>IFERROR(__xludf.DUMMYFUNCTION("""COMPUTED_VALUE"""),43703.0)</f>
        <v>43703</v>
      </c>
      <c r="F1975" s="188">
        <f>IFERROR(__xludf.DUMMYFUNCTION("""COMPUTED_VALUE"""),43726.0)</f>
        <v>43726</v>
      </c>
      <c r="H1975">
        <f>IFERROR(__xludf.DUMMYFUNCTION("""COMPUTED_VALUE"""),487037.0)</f>
        <v>487037</v>
      </c>
      <c r="J1975" s="5">
        <f>IFERROR(__xludf.DUMMYFUNCTION("""COMPUTED_VALUE"""),43735.0)</f>
        <v>43735</v>
      </c>
      <c r="K1975">
        <f>IFERROR(__xludf.DUMMYFUNCTION("""COMPUTED_VALUE"""),23.0)</f>
        <v>23</v>
      </c>
      <c r="L1975">
        <f>IFERROR(__xludf.DUMMYFUNCTION("""COMPUTED_VALUE"""),9.0)</f>
        <v>9</v>
      </c>
      <c r="M1975">
        <f>IFERROR(__xludf.DUMMYFUNCTION("""COMPUTED_VALUE"""),32.0)</f>
        <v>32</v>
      </c>
      <c r="N1975" t="str">
        <f>IFERROR(__xludf.DUMMYFUNCTION("""COMPUTED_VALUE"""),"Model 3 Performance")</f>
        <v>Model 3 Performance</v>
      </c>
      <c r="O1975" t="str">
        <f>IFERROR(__xludf.DUMMYFUNCTION("""COMPUTED_VALUE"""),"Pearl White Multi-Coat")</f>
        <v>Pearl White Multi-Coat</v>
      </c>
      <c r="P1975" t="str">
        <f>IFERROR(__xludf.DUMMYFUNCTION("""COMPUTED_VALUE"""),"20 inch Sport")</f>
        <v>20 inch Sport</v>
      </c>
      <c r="Q1975" t="str">
        <f>IFERROR(__xludf.DUMMYFUNCTION("""COMPUTED_VALUE"""),"Black seats")</f>
        <v>Black seats</v>
      </c>
      <c r="R1975" t="str">
        <f>IFERROR(__xludf.DUMMYFUNCTION("""COMPUTED_VALUE"""),"Full Self-Driving")</f>
        <v>Full Self-Driving</v>
      </c>
      <c r="X1975" t="str">
        <f>IFERROR(__xludf.DUMMYFUNCTION("""COMPUTED_VALUE"""),"Very Good")</f>
        <v>Very Good</v>
      </c>
      <c r="Y1975" t="str">
        <f>IFERROR(__xludf.DUMMYFUNCTION("""COMPUTED_VALUE"""),"Very Good")</f>
        <v>Very Good</v>
      </c>
      <c r="Z1975" t="str">
        <f>IFERROR(__xludf.DUMMYFUNCTION("""COMPUTED_VALUE"""),"Very Good")</f>
        <v>Very Good</v>
      </c>
      <c r="AA1975" t="str">
        <f>IFERROR(__xludf.DUMMYFUNCTION("""COMPUTED_VALUE"""),"Poor")</f>
        <v>Poor</v>
      </c>
      <c r="AB1975" t="str">
        <f>IFERROR(__xludf.DUMMYFUNCTION("""COMPUTED_VALUE"""),"Good")</f>
        <v>Good</v>
      </c>
      <c r="AC1975">
        <f>IFERROR(__xludf.DUMMYFUNCTION("""COMPUTED_VALUE"""),1.0)</f>
        <v>1</v>
      </c>
      <c r="AD1975">
        <f>IFERROR(__xludf.DUMMYFUNCTION("""COMPUTED_VALUE"""),1.0)</f>
        <v>1</v>
      </c>
      <c r="AE1975">
        <f>IFERROR(__xludf.DUMMYFUNCTION("""COMPUTED_VALUE"""),1.0)</f>
        <v>1</v>
      </c>
      <c r="AG1975" t="str">
        <f>IFERROR(__xludf.DUMMYFUNCTION("""COMPUTED_VALUE"""),"A/C failed within 50 miles of delivery")</f>
        <v>A/C failed within 50 miles of delivery</v>
      </c>
      <c r="AH1975" s="189">
        <f>IFERROR(__xludf.DUMMYFUNCTION("""COMPUTED_VALUE"""),43735.757974016204)</f>
        <v>43735.75797</v>
      </c>
    </row>
    <row r="1976">
      <c r="A1976" t="str">
        <f>IFERROR(__xludf.DUMMYFUNCTION("""COMPUTED_VALUE"""),"RAP")</f>
        <v>RAP</v>
      </c>
      <c r="B1976" t="str">
        <f>IFERROR(__xludf.DUMMYFUNCTION("""COMPUTED_VALUE"""),"Chicago")</f>
        <v>Chicago</v>
      </c>
      <c r="C1976" t="str">
        <f>IFERROR(__xludf.DUMMYFUNCTION("""COMPUTED_VALUE"""),"IL")</f>
        <v>IL</v>
      </c>
      <c r="D1976" t="str">
        <f>IFERROR(__xludf.DUMMYFUNCTION("""COMPUTED_VALUE"""),"USA")</f>
        <v>USA</v>
      </c>
      <c r="E1976" s="188">
        <f>IFERROR(__xludf.DUMMYFUNCTION("""COMPUTED_VALUE"""),43707.0)</f>
        <v>43707</v>
      </c>
      <c r="F1976" s="188">
        <f>IFERROR(__xludf.DUMMYFUNCTION("""COMPUTED_VALUE"""),43724.0)</f>
        <v>43724</v>
      </c>
      <c r="H1976">
        <f>IFERROR(__xludf.DUMMYFUNCTION("""COMPUTED_VALUE"""),477655.0)</f>
        <v>477655</v>
      </c>
      <c r="J1976" s="5">
        <f>IFERROR(__xludf.DUMMYFUNCTION("""COMPUTED_VALUE"""),43735.0)</f>
        <v>43735</v>
      </c>
      <c r="K1976">
        <f>IFERROR(__xludf.DUMMYFUNCTION("""COMPUTED_VALUE"""),17.0)</f>
        <v>17</v>
      </c>
      <c r="L1976">
        <f>IFERROR(__xludf.DUMMYFUNCTION("""COMPUTED_VALUE"""),11.0)</f>
        <v>11</v>
      </c>
      <c r="M1976">
        <f>IFERROR(__xludf.DUMMYFUNCTION("""COMPUTED_VALUE"""),28.0)</f>
        <v>28</v>
      </c>
      <c r="N1976" t="str">
        <f>IFERROR(__xludf.DUMMYFUNCTION("""COMPUTED_VALUE"""),"Model 3 Performance")</f>
        <v>Model 3 Performance</v>
      </c>
      <c r="O1976" t="str">
        <f>IFERROR(__xludf.DUMMYFUNCTION("""COMPUTED_VALUE"""),"Deep Blue Metallic")</f>
        <v>Deep Blue Metallic</v>
      </c>
      <c r="P1976" t="str">
        <f>IFERROR(__xludf.DUMMYFUNCTION("""COMPUTED_VALUE"""),"20 inch Sport")</f>
        <v>20 inch Sport</v>
      </c>
      <c r="Q1976" t="str">
        <f>IFERROR(__xludf.DUMMYFUNCTION("""COMPUTED_VALUE"""),"White seats")</f>
        <v>White seats</v>
      </c>
      <c r="R1976" t="str">
        <f>IFERROR(__xludf.DUMMYFUNCTION("""COMPUTED_VALUE"""),"Full Self-Driving")</f>
        <v>Full Self-Driving</v>
      </c>
      <c r="X1976" t="str">
        <f>IFERROR(__xludf.DUMMYFUNCTION("""COMPUTED_VALUE"""),"Very Good")</f>
        <v>Very Good</v>
      </c>
      <c r="Y1976" t="str">
        <f>IFERROR(__xludf.DUMMYFUNCTION("""COMPUTED_VALUE"""),"Excellent")</f>
        <v>Excellent</v>
      </c>
      <c r="Z1976" t="str">
        <f>IFERROR(__xludf.DUMMYFUNCTION("""COMPUTED_VALUE"""),"Poor")</f>
        <v>Poor</v>
      </c>
      <c r="AA1976" t="str">
        <f>IFERROR(__xludf.DUMMYFUNCTION("""COMPUTED_VALUE"""),"Excellent")</f>
        <v>Excellent</v>
      </c>
      <c r="AB1976" t="str">
        <f>IFERROR(__xludf.DUMMYFUNCTION("""COMPUTED_VALUE"""),"Good")</f>
        <v>Good</v>
      </c>
      <c r="AC1976">
        <f>IFERROR(__xludf.DUMMYFUNCTION("""COMPUTED_VALUE"""),1.0)</f>
        <v>1</v>
      </c>
      <c r="AE1976">
        <f>IFERROR(__xludf.DUMMYFUNCTION("""COMPUTED_VALUE"""),1.0)</f>
        <v>1</v>
      </c>
      <c r="AG1976" t="str">
        <f>IFERROR(__xludf.DUMMYFUNCTION("""COMPUTED_VALUE"""),"VIN in source 9/16. Also added FSD earlier in the day. Delivery offered 9/24. Took delivery 9/27--large crack in sunroof found. Repaired next day.")</f>
        <v>VIN in source 9/16. Also added FSD earlier in the day. Delivery offered 9/24. Took delivery 9/27--large crack in sunroof found. Repaired next day.</v>
      </c>
      <c r="AH1976" s="189">
        <f>IFERROR(__xludf.DUMMYFUNCTION("""COMPUTED_VALUE"""),43736.23850559028)</f>
        <v>43736.23851</v>
      </c>
    </row>
    <row r="1977">
      <c r="A1977" t="str">
        <f>IFERROR(__xludf.DUMMYFUNCTION("""COMPUTED_VALUE"""),"EBG13579")</f>
        <v>EBG13579</v>
      </c>
      <c r="B1977" t="str">
        <f>IFERROR(__xludf.DUMMYFUNCTION("""COMPUTED_VALUE"""),"Frisco")</f>
        <v>Frisco</v>
      </c>
      <c r="C1977" t="str">
        <f>IFERROR(__xludf.DUMMYFUNCTION("""COMPUTED_VALUE"""),"TX")</f>
        <v>TX</v>
      </c>
      <c r="D1977" t="str">
        <f>IFERROR(__xludf.DUMMYFUNCTION("""COMPUTED_VALUE"""),"USA")</f>
        <v>USA</v>
      </c>
      <c r="E1977" s="188">
        <f>IFERROR(__xludf.DUMMYFUNCTION("""COMPUTED_VALUE"""),43692.0)</f>
        <v>43692</v>
      </c>
      <c r="F1977" s="188">
        <f>IFERROR(__xludf.DUMMYFUNCTION("""COMPUTED_VALUE"""),43725.0)</f>
        <v>43725</v>
      </c>
      <c r="H1977">
        <f>IFERROR(__xludf.DUMMYFUNCTION("""COMPUTED_VALUE"""),487490.0)</f>
        <v>487490</v>
      </c>
      <c r="J1977" s="5">
        <f>IFERROR(__xludf.DUMMYFUNCTION("""COMPUTED_VALUE"""),43737.0)</f>
        <v>43737</v>
      </c>
      <c r="K1977">
        <f>IFERROR(__xludf.DUMMYFUNCTION("""COMPUTED_VALUE"""),33.0)</f>
        <v>33</v>
      </c>
      <c r="L1977">
        <f>IFERROR(__xludf.DUMMYFUNCTION("""COMPUTED_VALUE"""),12.0)</f>
        <v>12</v>
      </c>
      <c r="M1977">
        <f>IFERROR(__xludf.DUMMYFUNCTION("""COMPUTED_VALUE"""),45.0)</f>
        <v>45</v>
      </c>
      <c r="N1977" t="str">
        <f>IFERROR(__xludf.DUMMYFUNCTION("""COMPUTED_VALUE"""),"Model 3 Performance")</f>
        <v>Model 3 Performance</v>
      </c>
      <c r="O1977" t="str">
        <f>IFERROR(__xludf.DUMMYFUNCTION("""COMPUTED_VALUE"""),"Pearl White Multi-Coat")</f>
        <v>Pearl White Multi-Coat</v>
      </c>
      <c r="P1977" t="str">
        <f>IFERROR(__xludf.DUMMYFUNCTION("""COMPUTED_VALUE"""),"20 inch Sport")</f>
        <v>20 inch Sport</v>
      </c>
      <c r="Q1977" t="str">
        <f>IFERROR(__xludf.DUMMYFUNCTION("""COMPUTED_VALUE"""),"White seats")</f>
        <v>White seats</v>
      </c>
      <c r="R1977" t="str">
        <f>IFERROR(__xludf.DUMMYFUNCTION("""COMPUTED_VALUE"""),"Full Self-Driving")</f>
        <v>Full Self-Driving</v>
      </c>
      <c r="X1977" t="str">
        <f>IFERROR(__xludf.DUMMYFUNCTION("""COMPUTED_VALUE"""),"Excellent")</f>
        <v>Excellent</v>
      </c>
      <c r="Y1977" t="str">
        <f>IFERROR(__xludf.DUMMYFUNCTION("""COMPUTED_VALUE"""),"Excellent")</f>
        <v>Excellent</v>
      </c>
      <c r="Z1977" t="str">
        <f>IFERROR(__xludf.DUMMYFUNCTION("""COMPUTED_VALUE"""),"Excellent")</f>
        <v>Excellent</v>
      </c>
      <c r="AA1977" t="str">
        <f>IFERROR(__xludf.DUMMYFUNCTION("""COMPUTED_VALUE"""),"Good")</f>
        <v>Good</v>
      </c>
      <c r="AB1977" t="str">
        <f>IFERROR(__xludf.DUMMYFUNCTION("""COMPUTED_VALUE"""),"Excellent")</f>
        <v>Excellent</v>
      </c>
      <c r="AC1977">
        <f>IFERROR(__xludf.DUMMYFUNCTION("""COMPUTED_VALUE"""),0.0)</f>
        <v>0</v>
      </c>
      <c r="AH1977" s="189">
        <f>IFERROR(__xludf.DUMMYFUNCTION("""COMPUTED_VALUE"""),43736.667308923614)</f>
        <v>43736.66731</v>
      </c>
    </row>
    <row r="1978">
      <c r="A1978" t="str">
        <f>IFERROR(__xludf.DUMMYFUNCTION("""COMPUTED_VALUE"""),"Brraap")</f>
        <v>Brraap</v>
      </c>
      <c r="B1978" t="str">
        <f>IFERROR(__xludf.DUMMYFUNCTION("""COMPUTED_VALUE"""),"Denver")</f>
        <v>Denver</v>
      </c>
      <c r="C1978" t="str">
        <f>IFERROR(__xludf.DUMMYFUNCTION("""COMPUTED_VALUE"""),"CO")</f>
        <v>CO</v>
      </c>
      <c r="D1978" t="str">
        <f>IFERROR(__xludf.DUMMYFUNCTION("""COMPUTED_VALUE"""),"USA")</f>
        <v>USA</v>
      </c>
      <c r="E1978" s="188">
        <f>IFERROR(__xludf.DUMMYFUNCTION("""COMPUTED_VALUE"""),43717.0)</f>
        <v>43717</v>
      </c>
      <c r="F1978" s="188">
        <f>IFERROR(__xludf.DUMMYFUNCTION("""COMPUTED_VALUE"""),43729.0)</f>
        <v>43729</v>
      </c>
      <c r="H1978">
        <f>IFERROR(__xludf.DUMMYFUNCTION("""COMPUTED_VALUE"""),514014.0)</f>
        <v>514014</v>
      </c>
      <c r="J1978" s="5">
        <f>IFERROR(__xludf.DUMMYFUNCTION("""COMPUTED_VALUE"""),43733.0)</f>
        <v>43733</v>
      </c>
      <c r="K1978">
        <f>IFERROR(__xludf.DUMMYFUNCTION("""COMPUTED_VALUE"""),12.0)</f>
        <v>12</v>
      </c>
      <c r="L1978">
        <f>IFERROR(__xludf.DUMMYFUNCTION("""COMPUTED_VALUE"""),4.0)</f>
        <v>4</v>
      </c>
      <c r="M1978">
        <f>IFERROR(__xludf.DUMMYFUNCTION("""COMPUTED_VALUE"""),16.0)</f>
        <v>16</v>
      </c>
      <c r="N1978" t="str">
        <f>IFERROR(__xludf.DUMMYFUNCTION("""COMPUTED_VALUE"""),"Model 3 Performance")</f>
        <v>Model 3 Performance</v>
      </c>
      <c r="O1978" t="str">
        <f>IFERROR(__xludf.DUMMYFUNCTION("""COMPUTED_VALUE"""),"Pearl White Multi-Coat")</f>
        <v>Pearl White Multi-Coat</v>
      </c>
      <c r="P1978" t="str">
        <f>IFERROR(__xludf.DUMMYFUNCTION("""COMPUTED_VALUE"""),"20 inch Sport")</f>
        <v>20 inch Sport</v>
      </c>
      <c r="Q1978" t="str">
        <f>IFERROR(__xludf.DUMMYFUNCTION("""COMPUTED_VALUE"""),"Black seats")</f>
        <v>Black seats</v>
      </c>
      <c r="R1978" t="str">
        <f>IFERROR(__xludf.DUMMYFUNCTION("""COMPUTED_VALUE"""),"Autopilot")</f>
        <v>Autopilot</v>
      </c>
      <c r="X1978" t="str">
        <f>IFERROR(__xludf.DUMMYFUNCTION("""COMPUTED_VALUE"""),"Very Good")</f>
        <v>Very Good</v>
      </c>
      <c r="Y1978" t="str">
        <f>IFERROR(__xludf.DUMMYFUNCTION("""COMPUTED_VALUE"""),"Excellent")</f>
        <v>Excellent</v>
      </c>
      <c r="Z1978" t="str">
        <f>IFERROR(__xludf.DUMMYFUNCTION("""COMPUTED_VALUE"""),"Excellent")</f>
        <v>Excellent</v>
      </c>
      <c r="AA1978" t="str">
        <f>IFERROR(__xludf.DUMMYFUNCTION("""COMPUTED_VALUE"""),"Good")</f>
        <v>Good</v>
      </c>
      <c r="AB1978" t="str">
        <f>IFERROR(__xludf.DUMMYFUNCTION("""COMPUTED_VALUE"""),"Good")</f>
        <v>Good</v>
      </c>
      <c r="AH1978" s="189">
        <f>IFERROR(__xludf.DUMMYFUNCTION("""COMPUTED_VALUE"""),43736.796388981486)</f>
        <v>43736.79639</v>
      </c>
    </row>
    <row r="1979">
      <c r="A1979" t="str">
        <f>IFERROR(__xludf.DUMMYFUNCTION("""COMPUTED_VALUE"""),"clegg")</f>
        <v>clegg</v>
      </c>
      <c r="B1979" t="str">
        <f>IFERROR(__xludf.DUMMYFUNCTION("""COMPUTED_VALUE"""),"Nelson")</f>
        <v>Nelson</v>
      </c>
      <c r="C1979" t="str">
        <f>IFERROR(__xludf.DUMMYFUNCTION("""COMPUTED_VALUE"""),"BC")</f>
        <v>BC</v>
      </c>
      <c r="D1979" t="str">
        <f>IFERROR(__xludf.DUMMYFUNCTION("""COMPUTED_VALUE"""),"Canada")</f>
        <v>Canada</v>
      </c>
      <c r="E1979" s="188">
        <f>IFERROR(__xludf.DUMMYFUNCTION("""COMPUTED_VALUE"""),43720.0)</f>
        <v>43720</v>
      </c>
      <c r="F1979" s="188">
        <f>IFERROR(__xludf.DUMMYFUNCTION("""COMPUTED_VALUE"""),43721.0)</f>
        <v>43721</v>
      </c>
      <c r="H1979">
        <f>IFERROR(__xludf.DUMMYFUNCTION("""COMPUTED_VALUE"""),517918.0)</f>
        <v>517918</v>
      </c>
      <c r="I1979" t="str">
        <f>IFERROR(__xludf.DUMMYFUNCTION("""COMPUTED_VALUE"""),"09/19")</f>
        <v>09/19</v>
      </c>
      <c r="J1979" s="5">
        <f>IFERROR(__xludf.DUMMYFUNCTION("""COMPUTED_VALUE"""),43728.0)</f>
        <v>43728</v>
      </c>
      <c r="K1979">
        <f>IFERROR(__xludf.DUMMYFUNCTION("""COMPUTED_VALUE"""),1.0)</f>
        <v>1</v>
      </c>
      <c r="L1979">
        <f>IFERROR(__xludf.DUMMYFUNCTION("""COMPUTED_VALUE"""),7.0)</f>
        <v>7</v>
      </c>
      <c r="M1979">
        <f>IFERROR(__xludf.DUMMYFUNCTION("""COMPUTED_VALUE"""),8.0)</f>
        <v>8</v>
      </c>
      <c r="N1979" t="str">
        <f>IFERROR(__xludf.DUMMYFUNCTION("""COMPUTED_VALUE"""),"Model 3 SR+")</f>
        <v>Model 3 SR+</v>
      </c>
      <c r="O1979" t="str">
        <f>IFERROR(__xludf.DUMMYFUNCTION("""COMPUTED_VALUE"""),"Pearl White Multi-Coat")</f>
        <v>Pearl White Multi-Coat</v>
      </c>
      <c r="P1979" t="str">
        <f>IFERROR(__xludf.DUMMYFUNCTION("""COMPUTED_VALUE"""),"18 inch Aero")</f>
        <v>18 inch Aero</v>
      </c>
      <c r="Q1979" t="str">
        <f>IFERROR(__xludf.DUMMYFUNCTION("""COMPUTED_VALUE"""),"Black seats")</f>
        <v>Black seats</v>
      </c>
      <c r="R1979" t="str">
        <f>IFERROR(__xludf.DUMMYFUNCTION("""COMPUTED_VALUE"""),"Autopilot")</f>
        <v>Autopilot</v>
      </c>
      <c r="X1979" t="str">
        <f>IFERROR(__xludf.DUMMYFUNCTION("""COMPUTED_VALUE"""),"Excellent")</f>
        <v>Excellent</v>
      </c>
      <c r="Y1979" t="str">
        <f>IFERROR(__xludf.DUMMYFUNCTION("""COMPUTED_VALUE"""),"Excellent")</f>
        <v>Excellent</v>
      </c>
      <c r="Z1979" t="str">
        <f>IFERROR(__xludf.DUMMYFUNCTION("""COMPUTED_VALUE"""),"Excellent")</f>
        <v>Excellent</v>
      </c>
      <c r="AA1979" t="str">
        <f>IFERROR(__xludf.DUMMYFUNCTION("""COMPUTED_VALUE"""),"Good")</f>
        <v>Good</v>
      </c>
      <c r="AB1979" t="str">
        <f>IFERROR(__xludf.DUMMYFUNCTION("""COMPUTED_VALUE"""),"Excellent")</f>
        <v>Excellent</v>
      </c>
      <c r="AC1979">
        <f>IFERROR(__xludf.DUMMYFUNCTION("""COMPUTED_VALUE"""),1.0)</f>
        <v>1</v>
      </c>
      <c r="AH1979" s="189">
        <f>IFERROR(__xludf.DUMMYFUNCTION("""COMPUTED_VALUE"""),43736.840887743056)</f>
        <v>43736.84089</v>
      </c>
    </row>
    <row r="1980">
      <c r="A1980" t="str">
        <f>IFERROR(__xludf.DUMMYFUNCTION("""COMPUTED_VALUE"""),"moltenfire")</f>
        <v>moltenfire</v>
      </c>
      <c r="B1980" t="str">
        <f>IFERROR(__xludf.DUMMYFUNCTION("""COMPUTED_VALUE"""),"Toronto")</f>
        <v>Toronto</v>
      </c>
      <c r="C1980" t="str">
        <f>IFERROR(__xludf.DUMMYFUNCTION("""COMPUTED_VALUE"""),"ON")</f>
        <v>ON</v>
      </c>
      <c r="D1980" t="str">
        <f>IFERROR(__xludf.DUMMYFUNCTION("""COMPUTED_VALUE"""),"Canada")</f>
        <v>Canada</v>
      </c>
      <c r="E1980" s="188">
        <f>IFERROR(__xludf.DUMMYFUNCTION("""COMPUTED_VALUE"""),43708.0)</f>
        <v>43708</v>
      </c>
      <c r="F1980" s="188">
        <f>IFERROR(__xludf.DUMMYFUNCTION("""COMPUTED_VALUE"""),43731.0)</f>
        <v>43731</v>
      </c>
      <c r="H1980">
        <f>IFERROR(__xludf.DUMMYFUNCTION("""COMPUTED_VALUE"""),487855.0)</f>
        <v>487855</v>
      </c>
      <c r="J1980" s="5">
        <f>IFERROR(__xludf.DUMMYFUNCTION("""COMPUTED_VALUE"""),43735.0)</f>
        <v>43735</v>
      </c>
      <c r="K1980">
        <f>IFERROR(__xludf.DUMMYFUNCTION("""COMPUTED_VALUE"""),23.0)</f>
        <v>23</v>
      </c>
      <c r="L1980">
        <f>IFERROR(__xludf.DUMMYFUNCTION("""COMPUTED_VALUE"""),4.0)</f>
        <v>4</v>
      </c>
      <c r="M1980">
        <f>IFERROR(__xludf.DUMMYFUNCTION("""COMPUTED_VALUE"""),27.0)</f>
        <v>27</v>
      </c>
      <c r="N1980" t="str">
        <f>IFERROR(__xludf.DUMMYFUNCTION("""COMPUTED_VALUE"""),"Model 3 Performance")</f>
        <v>Model 3 Performance</v>
      </c>
      <c r="O1980" t="str">
        <f>IFERROR(__xludf.DUMMYFUNCTION("""COMPUTED_VALUE"""),"Pearl White Multi-Coat")</f>
        <v>Pearl White Multi-Coat</v>
      </c>
      <c r="P1980" t="str">
        <f>IFERROR(__xludf.DUMMYFUNCTION("""COMPUTED_VALUE"""),"20 inch Sport")</f>
        <v>20 inch Sport</v>
      </c>
      <c r="Q1980" t="str">
        <f>IFERROR(__xludf.DUMMYFUNCTION("""COMPUTED_VALUE"""),"Black seats")</f>
        <v>Black seats</v>
      </c>
      <c r="R1980" t="str">
        <f>IFERROR(__xludf.DUMMYFUNCTION("""COMPUTED_VALUE"""),"Autopilot")</f>
        <v>Autopilot</v>
      </c>
      <c r="X1980" t="str">
        <f>IFERROR(__xludf.DUMMYFUNCTION("""COMPUTED_VALUE"""),"Very Good")</f>
        <v>Very Good</v>
      </c>
      <c r="Y1980" t="str">
        <f>IFERROR(__xludf.DUMMYFUNCTION("""COMPUTED_VALUE"""),"Very Good")</f>
        <v>Very Good</v>
      </c>
      <c r="Z1980" t="str">
        <f>IFERROR(__xludf.DUMMYFUNCTION("""COMPUTED_VALUE"""),"Excellent")</f>
        <v>Excellent</v>
      </c>
      <c r="AA1980" t="str">
        <f>IFERROR(__xludf.DUMMYFUNCTION("""COMPUTED_VALUE"""),"Very Good")</f>
        <v>Very Good</v>
      </c>
      <c r="AB1980" t="str">
        <f>IFERROR(__xludf.DUMMYFUNCTION("""COMPUTED_VALUE"""),"Excellent")</f>
        <v>Excellent</v>
      </c>
      <c r="AG1980" t="str">
        <f>IFERROR(__xludf.DUMMYFUNCTION("""COMPUTED_VALUE"""),"Had 397606 Sept 10 but was old VIN and removed Sept 19; new VIN Sept 23")</f>
        <v>Had 397606 Sept 10 but was old VIN and removed Sept 19; new VIN Sept 23</v>
      </c>
      <c r="AH1980" s="189">
        <f>IFERROR(__xludf.DUMMYFUNCTION("""COMPUTED_VALUE"""),43736.86126763889)</f>
        <v>43736.86127</v>
      </c>
    </row>
    <row r="1981">
      <c r="A1981" t="str">
        <f>IFERROR(__xludf.DUMMYFUNCTION("""COMPUTED_VALUE"""),"sstdk")</f>
        <v>sstdk</v>
      </c>
      <c r="B1981" t="str">
        <f>IFERROR(__xludf.DUMMYFUNCTION("""COMPUTED_VALUE"""),"Copenhagen, Denmark")</f>
        <v>Copenhagen, Denmark</v>
      </c>
      <c r="D1981" t="str">
        <f>IFERROR(__xludf.DUMMYFUNCTION("""COMPUTED_VALUE"""),"Other (include country together with city)")</f>
        <v>Other (include country together with city)</v>
      </c>
      <c r="E1981" s="188">
        <f>IFERROR(__xludf.DUMMYFUNCTION("""COMPUTED_VALUE"""),43724.0)</f>
        <v>43724</v>
      </c>
      <c r="F1981" s="188">
        <f>IFERROR(__xludf.DUMMYFUNCTION("""COMPUTED_VALUE"""),43732.0)</f>
        <v>43732</v>
      </c>
      <c r="J1981" s="5">
        <f>IFERROR(__xludf.DUMMYFUNCTION("""COMPUTED_VALUE"""),43735.0)</f>
        <v>43735</v>
      </c>
      <c r="K1981">
        <f>IFERROR(__xludf.DUMMYFUNCTION("""COMPUTED_VALUE"""),8.0)</f>
        <v>8</v>
      </c>
      <c r="L1981">
        <f>IFERROR(__xludf.DUMMYFUNCTION("""COMPUTED_VALUE"""),3.0)</f>
        <v>3</v>
      </c>
      <c r="M1981">
        <f>IFERROR(__xludf.DUMMYFUNCTION("""COMPUTED_VALUE"""),11.0)</f>
        <v>11</v>
      </c>
      <c r="N1981" t="str">
        <f>IFERROR(__xludf.DUMMYFUNCTION("""COMPUTED_VALUE"""),"Model 3 SR+")</f>
        <v>Model 3 SR+</v>
      </c>
      <c r="O1981" t="str">
        <f>IFERROR(__xludf.DUMMYFUNCTION("""COMPUTED_VALUE"""),"Deep Blue Metallic")</f>
        <v>Deep Blue Metallic</v>
      </c>
      <c r="P1981" t="str">
        <f>IFERROR(__xludf.DUMMYFUNCTION("""COMPUTED_VALUE"""),"19 inch Sport")</f>
        <v>19 inch Sport</v>
      </c>
      <c r="Q1981" t="str">
        <f>IFERROR(__xludf.DUMMYFUNCTION("""COMPUTED_VALUE"""),"White seats")</f>
        <v>White seats</v>
      </c>
      <c r="R1981" t="str">
        <f>IFERROR(__xludf.DUMMYFUNCTION("""COMPUTED_VALUE"""),"Autopilot")</f>
        <v>Autopilot</v>
      </c>
      <c r="X1981" t="str">
        <f>IFERROR(__xludf.DUMMYFUNCTION("""COMPUTED_VALUE"""),"Very Good")</f>
        <v>Very Good</v>
      </c>
      <c r="Y1981" t="str">
        <f>IFERROR(__xludf.DUMMYFUNCTION("""COMPUTED_VALUE"""),"Excellent")</f>
        <v>Excellent</v>
      </c>
      <c r="Z1981" t="str">
        <f>IFERROR(__xludf.DUMMYFUNCTION("""COMPUTED_VALUE"""),"Excellent")</f>
        <v>Excellent</v>
      </c>
      <c r="AA1981" t="str">
        <f>IFERROR(__xludf.DUMMYFUNCTION("""COMPUTED_VALUE"""),"Excellent")</f>
        <v>Excellent</v>
      </c>
      <c r="AB1981" t="str">
        <f>IFERROR(__xludf.DUMMYFUNCTION("""COMPUTED_VALUE"""),"Excellent")</f>
        <v>Excellent</v>
      </c>
      <c r="AG1981" t="str">
        <f>IFERROR(__xludf.DUMMYFUNCTION("""COMPUTED_VALUE"""),"Inventory car")</f>
        <v>Inventory car</v>
      </c>
      <c r="AH1981" s="189">
        <f>IFERROR(__xludf.DUMMYFUNCTION("""COMPUTED_VALUE"""),43737.560306851854)</f>
        <v>43737.56031</v>
      </c>
    </row>
    <row r="1982">
      <c r="A1982" t="str">
        <f>IFERROR(__xludf.DUMMYFUNCTION("""COMPUTED_VALUE"""),"TheKMAP")</f>
        <v>TheKMAP</v>
      </c>
      <c r="C1982" t="str">
        <f>IFERROR(__xludf.DUMMYFUNCTION("""COMPUTED_VALUE"""),"CA")</f>
        <v>CA</v>
      </c>
      <c r="D1982" t="str">
        <f>IFERROR(__xludf.DUMMYFUNCTION("""COMPUTED_VALUE"""),"USA")</f>
        <v>USA</v>
      </c>
      <c r="E1982" s="188">
        <f>IFERROR(__xludf.DUMMYFUNCTION("""COMPUTED_VALUE"""),43677.0)</f>
        <v>43677</v>
      </c>
      <c r="F1982" s="188">
        <f>IFERROR(__xludf.DUMMYFUNCTION("""COMPUTED_VALUE"""),43733.0)</f>
        <v>43733</v>
      </c>
      <c r="H1982">
        <f>IFERROR(__xludf.DUMMYFUNCTION("""COMPUTED_VALUE"""),477655.0)</f>
        <v>477655</v>
      </c>
      <c r="I1982" t="str">
        <f>IFERROR(__xludf.DUMMYFUNCTION("""COMPUTED_VALUE"""),"09/19")</f>
        <v>09/19</v>
      </c>
      <c r="J1982" s="5">
        <f>IFERROR(__xludf.DUMMYFUNCTION("""COMPUTED_VALUE"""),43734.0)</f>
        <v>43734</v>
      </c>
      <c r="K1982">
        <f>IFERROR(__xludf.DUMMYFUNCTION("""COMPUTED_VALUE"""),56.0)</f>
        <v>56</v>
      </c>
      <c r="L1982">
        <f>IFERROR(__xludf.DUMMYFUNCTION("""COMPUTED_VALUE"""),1.0)</f>
        <v>1</v>
      </c>
      <c r="M1982">
        <f>IFERROR(__xludf.DUMMYFUNCTION("""COMPUTED_VALUE"""),57.0)</f>
        <v>57</v>
      </c>
      <c r="N1982" t="str">
        <f>IFERROR(__xludf.DUMMYFUNCTION("""COMPUTED_VALUE"""),"Model 3 Performance")</f>
        <v>Model 3 Performance</v>
      </c>
      <c r="O1982" t="str">
        <f>IFERROR(__xludf.DUMMYFUNCTION("""COMPUTED_VALUE"""),"Red Multi-Coat")</f>
        <v>Red Multi-Coat</v>
      </c>
      <c r="P1982" t="str">
        <f>IFERROR(__xludf.DUMMYFUNCTION("""COMPUTED_VALUE"""),"20 inch Sport")</f>
        <v>20 inch Sport</v>
      </c>
      <c r="Q1982" t="str">
        <f>IFERROR(__xludf.DUMMYFUNCTION("""COMPUTED_VALUE"""),"White seats")</f>
        <v>White seats</v>
      </c>
      <c r="R1982" t="str">
        <f>IFERROR(__xludf.DUMMYFUNCTION("""COMPUTED_VALUE"""),"Full Self-Driving")</f>
        <v>Full Self-Driving</v>
      </c>
      <c r="X1982" t="str">
        <f>IFERROR(__xludf.DUMMYFUNCTION("""COMPUTED_VALUE"""),"Fair")</f>
        <v>Fair</v>
      </c>
      <c r="Y1982" t="str">
        <f>IFERROR(__xludf.DUMMYFUNCTION("""COMPUTED_VALUE"""),"Good")</f>
        <v>Good</v>
      </c>
      <c r="Z1982" t="str">
        <f>IFERROR(__xludf.DUMMYFUNCTION("""COMPUTED_VALUE"""),"Good")</f>
        <v>Good</v>
      </c>
      <c r="AA1982" t="str">
        <f>IFERROR(__xludf.DUMMYFUNCTION("""COMPUTED_VALUE"""),"Poor")</f>
        <v>Poor</v>
      </c>
      <c r="AB1982" t="str">
        <f>IFERROR(__xludf.DUMMYFUNCTION("""COMPUTED_VALUE"""),"Good")</f>
        <v>Good</v>
      </c>
      <c r="AH1982" s="189">
        <f>IFERROR(__xludf.DUMMYFUNCTION("""COMPUTED_VALUE"""),43737.57863790509)</f>
        <v>43737.57864</v>
      </c>
    </row>
    <row r="1983">
      <c r="A1983" t="str">
        <f>IFERROR(__xludf.DUMMYFUNCTION("""COMPUTED_VALUE"""),"merlyn64")</f>
        <v>merlyn64</v>
      </c>
      <c r="B1983" t="str">
        <f>IFERROR(__xludf.DUMMYFUNCTION("""COMPUTED_VALUE"""),"Parry Sound")</f>
        <v>Parry Sound</v>
      </c>
      <c r="C1983" t="str">
        <f>IFERROR(__xludf.DUMMYFUNCTION("""COMPUTED_VALUE"""),"ON")</f>
        <v>ON</v>
      </c>
      <c r="D1983" t="str">
        <f>IFERROR(__xludf.DUMMYFUNCTION("""COMPUTED_VALUE"""),"Canada")</f>
        <v>Canada</v>
      </c>
      <c r="E1983" s="188">
        <f>IFERROR(__xludf.DUMMYFUNCTION("""COMPUTED_VALUE"""),43700.0)</f>
        <v>43700</v>
      </c>
      <c r="F1983" s="188">
        <f>IFERROR(__xludf.DUMMYFUNCTION("""COMPUTED_VALUE"""),43719.0)</f>
        <v>43719</v>
      </c>
      <c r="H1983">
        <f>IFERROR(__xludf.DUMMYFUNCTION("""COMPUTED_VALUE"""),482035.0)</f>
        <v>482035</v>
      </c>
      <c r="J1983" s="5">
        <f>IFERROR(__xludf.DUMMYFUNCTION("""COMPUTED_VALUE"""),43734.0)</f>
        <v>43734</v>
      </c>
      <c r="K1983">
        <f>IFERROR(__xludf.DUMMYFUNCTION("""COMPUTED_VALUE"""),19.0)</f>
        <v>19</v>
      </c>
      <c r="L1983">
        <f>IFERROR(__xludf.DUMMYFUNCTION("""COMPUTED_VALUE"""),15.0)</f>
        <v>15</v>
      </c>
      <c r="M1983">
        <f>IFERROR(__xludf.DUMMYFUNCTION("""COMPUTED_VALUE"""),34.0)</f>
        <v>34</v>
      </c>
      <c r="N1983" t="str">
        <f>IFERROR(__xludf.DUMMYFUNCTION("""COMPUTED_VALUE"""),"Model 3 LR AWD")</f>
        <v>Model 3 LR AWD</v>
      </c>
      <c r="O1983" t="str">
        <f>IFERROR(__xludf.DUMMYFUNCTION("""COMPUTED_VALUE"""),"Pearl White Multi-Coat")</f>
        <v>Pearl White Multi-Coat</v>
      </c>
      <c r="P1983" t="str">
        <f>IFERROR(__xludf.DUMMYFUNCTION("""COMPUTED_VALUE"""),"18 inch Aero")</f>
        <v>18 inch Aero</v>
      </c>
      <c r="Q1983" t="str">
        <f>IFERROR(__xludf.DUMMYFUNCTION("""COMPUTED_VALUE"""),"White seats")</f>
        <v>White seats</v>
      </c>
      <c r="R1983" t="str">
        <f>IFERROR(__xludf.DUMMYFUNCTION("""COMPUTED_VALUE"""),"Full Self-Driving")</f>
        <v>Full Self-Driving</v>
      </c>
      <c r="X1983" t="str">
        <f>IFERROR(__xludf.DUMMYFUNCTION("""COMPUTED_VALUE"""),"Excellent")</f>
        <v>Excellent</v>
      </c>
      <c r="Y1983" t="str">
        <f>IFERROR(__xludf.DUMMYFUNCTION("""COMPUTED_VALUE"""),"Excellent")</f>
        <v>Excellent</v>
      </c>
      <c r="Z1983" t="str">
        <f>IFERROR(__xludf.DUMMYFUNCTION("""COMPUTED_VALUE"""),"Excellent")</f>
        <v>Excellent</v>
      </c>
      <c r="AA1983" t="str">
        <f>IFERROR(__xludf.DUMMYFUNCTION("""COMPUTED_VALUE"""),"Fair")</f>
        <v>Fair</v>
      </c>
      <c r="AB1983" t="str">
        <f>IFERROR(__xludf.DUMMYFUNCTION("""COMPUTED_VALUE"""),"Very Good")</f>
        <v>Very Good</v>
      </c>
      <c r="AG1983" t="str">
        <f>IFERROR(__xludf.DUMMYFUNCTION("""COMPUTED_VALUE"""),"VIN in source code - 09.11.18")</f>
        <v>VIN in source code - 09.11.18</v>
      </c>
      <c r="AH1983" s="189">
        <f>IFERROR(__xludf.DUMMYFUNCTION("""COMPUTED_VALUE"""),43738.70336583334)</f>
        <v>43738.70337</v>
      </c>
    </row>
    <row r="1984">
      <c r="A1984" t="str">
        <f>IFERROR(__xludf.DUMMYFUNCTION("""COMPUTED_VALUE"""),"Brian")</f>
        <v>Brian</v>
      </c>
      <c r="B1984" t="str">
        <f>IFERROR(__xludf.DUMMYFUNCTION("""COMPUTED_VALUE"""),"Burbank")</f>
        <v>Burbank</v>
      </c>
      <c r="C1984" t="str">
        <f>IFERROR(__xludf.DUMMYFUNCTION("""COMPUTED_VALUE"""),"CA")</f>
        <v>CA</v>
      </c>
      <c r="D1984" t="str">
        <f>IFERROR(__xludf.DUMMYFUNCTION("""COMPUTED_VALUE"""),"USA")</f>
        <v>USA</v>
      </c>
      <c r="E1984" s="188">
        <f>IFERROR(__xludf.DUMMYFUNCTION("""COMPUTED_VALUE"""),43713.0)</f>
        <v>43713</v>
      </c>
      <c r="F1984" s="188">
        <f>IFERROR(__xludf.DUMMYFUNCTION("""COMPUTED_VALUE"""),43731.0)</f>
        <v>43731</v>
      </c>
      <c r="H1984">
        <f>IFERROR(__xludf.DUMMYFUNCTION("""COMPUTED_VALUE"""),498017.0)</f>
        <v>498017</v>
      </c>
      <c r="I1984" t="str">
        <f>IFERROR(__xludf.DUMMYFUNCTION("""COMPUTED_VALUE"""),"09/19")</f>
        <v>09/19</v>
      </c>
      <c r="J1984" s="5">
        <f>IFERROR(__xludf.DUMMYFUNCTION("""COMPUTED_VALUE"""),43733.0)</f>
        <v>43733</v>
      </c>
      <c r="K1984">
        <f>IFERROR(__xludf.DUMMYFUNCTION("""COMPUTED_VALUE"""),18.0)</f>
        <v>18</v>
      </c>
      <c r="L1984">
        <f>IFERROR(__xludf.DUMMYFUNCTION("""COMPUTED_VALUE"""),2.0)</f>
        <v>2</v>
      </c>
      <c r="M1984">
        <f>IFERROR(__xludf.DUMMYFUNCTION("""COMPUTED_VALUE"""),20.0)</f>
        <v>20</v>
      </c>
      <c r="N1984" t="str">
        <f>IFERROR(__xludf.DUMMYFUNCTION("""COMPUTED_VALUE"""),"Model 3 Performance")</f>
        <v>Model 3 Performance</v>
      </c>
      <c r="O1984" t="str">
        <f>IFERROR(__xludf.DUMMYFUNCTION("""COMPUTED_VALUE"""),"Deep Blue Metallic")</f>
        <v>Deep Blue Metallic</v>
      </c>
      <c r="P1984" t="str">
        <f>IFERROR(__xludf.DUMMYFUNCTION("""COMPUTED_VALUE"""),"20 inch Sport")</f>
        <v>20 inch Sport</v>
      </c>
      <c r="Q1984" t="str">
        <f>IFERROR(__xludf.DUMMYFUNCTION("""COMPUTED_VALUE"""),"White seats")</f>
        <v>White seats</v>
      </c>
      <c r="R1984" t="str">
        <f>IFERROR(__xludf.DUMMYFUNCTION("""COMPUTED_VALUE"""),"Autopilot")</f>
        <v>Autopilot</v>
      </c>
      <c r="X1984" t="str">
        <f>IFERROR(__xludf.DUMMYFUNCTION("""COMPUTED_VALUE"""),"Excellent")</f>
        <v>Excellent</v>
      </c>
      <c r="Y1984" t="str">
        <f>IFERROR(__xludf.DUMMYFUNCTION("""COMPUTED_VALUE"""),"Excellent")</f>
        <v>Excellent</v>
      </c>
      <c r="Z1984" t="str">
        <f>IFERROR(__xludf.DUMMYFUNCTION("""COMPUTED_VALUE"""),"Good")</f>
        <v>Good</v>
      </c>
      <c r="AA1984" t="str">
        <f>IFERROR(__xludf.DUMMYFUNCTION("""COMPUTED_VALUE"""),"Poor")</f>
        <v>Poor</v>
      </c>
      <c r="AB1984" t="str">
        <f>IFERROR(__xludf.DUMMYFUNCTION("""COMPUTED_VALUE"""),"Fair")</f>
        <v>Fair</v>
      </c>
      <c r="AC1984">
        <f>IFERROR(__xludf.DUMMYFUNCTION("""COMPUTED_VALUE"""),2.0)</f>
        <v>2</v>
      </c>
      <c r="AG1984" t="str">
        <f>IFERROR(__xludf.DUMMYFUNCTION("""COMPUTED_VALUE"""),"VIN found in source code - text sent with link to schedule delivery, no actual delivery link on reservation page")</f>
        <v>VIN found in source code - text sent with link to schedule delivery, no actual delivery link on reservation page</v>
      </c>
      <c r="AH1984" s="189">
        <f>IFERROR(__xludf.DUMMYFUNCTION("""COMPUTED_VALUE"""),43738.880248125)</f>
        <v>43738.88025</v>
      </c>
    </row>
    <row r="1985">
      <c r="A1985" t="str">
        <f>IFERROR(__xludf.DUMMYFUNCTION("""COMPUTED_VALUE"""),"Snapyou")</f>
        <v>Snapyou</v>
      </c>
      <c r="B1985" t="str">
        <f>IFERROR(__xludf.DUMMYFUNCTION("""COMPUTED_VALUE"""),"Hemel Hempstead")</f>
        <v>Hemel Hempstead</v>
      </c>
      <c r="D1985" t="str">
        <f>IFERROR(__xludf.DUMMYFUNCTION("""COMPUTED_VALUE"""),"United Kingdom")</f>
        <v>United Kingdom</v>
      </c>
      <c r="E1985" s="188">
        <f>IFERROR(__xludf.DUMMYFUNCTION("""COMPUTED_VALUE"""),43586.0)</f>
        <v>43586</v>
      </c>
      <c r="F1985" s="188">
        <f>IFERROR(__xludf.DUMMYFUNCTION("""COMPUTED_VALUE"""),43725.0)</f>
        <v>43725</v>
      </c>
      <c r="H1985">
        <f>IFERROR(__xludf.DUMMYFUNCTION("""COMPUTED_VALUE"""),463225.0)</f>
        <v>463225</v>
      </c>
      <c r="J1985" s="5">
        <f>IFERROR(__xludf.DUMMYFUNCTION("""COMPUTED_VALUE"""),43736.0)</f>
        <v>43736</v>
      </c>
      <c r="K1985">
        <f>IFERROR(__xludf.DUMMYFUNCTION("""COMPUTED_VALUE"""),139.0)</f>
        <v>139</v>
      </c>
      <c r="L1985">
        <f>IFERROR(__xludf.DUMMYFUNCTION("""COMPUTED_VALUE"""),11.0)</f>
        <v>11</v>
      </c>
      <c r="M1985">
        <f>IFERROR(__xludf.DUMMYFUNCTION("""COMPUTED_VALUE"""),150.0)</f>
        <v>150</v>
      </c>
      <c r="N1985" t="str">
        <f>IFERROR(__xludf.DUMMYFUNCTION("""COMPUTED_VALUE"""),"Model 3 SR+")</f>
        <v>Model 3 SR+</v>
      </c>
      <c r="O1985" t="str">
        <f>IFERROR(__xludf.DUMMYFUNCTION("""COMPUTED_VALUE"""),"Deep Blue Metallic")</f>
        <v>Deep Blue Metallic</v>
      </c>
      <c r="P1985" t="str">
        <f>IFERROR(__xludf.DUMMYFUNCTION("""COMPUTED_VALUE"""),"18 inch Aero")</f>
        <v>18 inch Aero</v>
      </c>
      <c r="Q1985" t="str">
        <f>IFERROR(__xludf.DUMMYFUNCTION("""COMPUTED_VALUE"""),"Black seats")</f>
        <v>Black seats</v>
      </c>
      <c r="R1985" t="str">
        <f>IFERROR(__xludf.DUMMYFUNCTION("""COMPUTED_VALUE"""),"Autopilot")</f>
        <v>Autopilot</v>
      </c>
      <c r="X1985" t="str">
        <f>IFERROR(__xludf.DUMMYFUNCTION("""COMPUTED_VALUE"""),"Fair")</f>
        <v>Fair</v>
      </c>
      <c r="Y1985" t="str">
        <f>IFERROR(__xludf.DUMMYFUNCTION("""COMPUTED_VALUE"""),"Very Good")</f>
        <v>Very Good</v>
      </c>
      <c r="Z1985" t="str">
        <f>IFERROR(__xludf.DUMMYFUNCTION("""COMPUTED_VALUE"""),"Good")</f>
        <v>Good</v>
      </c>
      <c r="AA1985" t="str">
        <f>IFERROR(__xludf.DUMMYFUNCTION("""COMPUTED_VALUE"""),"Poor")</f>
        <v>Poor</v>
      </c>
      <c r="AB1985" t="str">
        <f>IFERROR(__xludf.DUMMYFUNCTION("""COMPUTED_VALUE"""),"Poor")</f>
        <v>Poor</v>
      </c>
      <c r="AC1985">
        <f>IFERROR(__xludf.DUMMYFUNCTION("""COMPUTED_VALUE"""),3.0)</f>
        <v>3</v>
      </c>
      <c r="AD1985">
        <f>IFERROR(__xludf.DUMMYFUNCTION("""COMPUTED_VALUE"""),1.0)</f>
        <v>1</v>
      </c>
      <c r="AH1985" s="189">
        <f>IFERROR(__xludf.DUMMYFUNCTION("""COMPUTED_VALUE"""),43739.27204403935)</f>
        <v>43739.27204</v>
      </c>
    </row>
    <row r="1986">
      <c r="A1986" t="str">
        <f>IFERROR(__xludf.DUMMYFUNCTION("""COMPUTED_VALUE"""),"FlatIron19")</f>
        <v>FlatIron19</v>
      </c>
      <c r="B1986" t="str">
        <f>IFERROR(__xludf.DUMMYFUNCTION("""COMPUTED_VALUE"""),"Spokane")</f>
        <v>Spokane</v>
      </c>
      <c r="C1986" t="str">
        <f>IFERROR(__xludf.DUMMYFUNCTION("""COMPUTED_VALUE"""),"WA")</f>
        <v>WA</v>
      </c>
      <c r="D1986" t="str">
        <f>IFERROR(__xludf.DUMMYFUNCTION("""COMPUTED_VALUE"""),"USA")</f>
        <v>USA</v>
      </c>
      <c r="E1986" s="188">
        <f>IFERROR(__xludf.DUMMYFUNCTION("""COMPUTED_VALUE"""),43691.0)</f>
        <v>43691</v>
      </c>
      <c r="F1986" s="188">
        <f>IFERROR(__xludf.DUMMYFUNCTION("""COMPUTED_VALUE"""),43729.0)</f>
        <v>43729</v>
      </c>
      <c r="H1986" s="4">
        <f>IFERROR(__xludf.DUMMYFUNCTION("""COMPUTED_VALUE"""),513448.0)</f>
        <v>513448</v>
      </c>
      <c r="I1986" t="str">
        <f>IFERROR(__xludf.DUMMYFUNCTION("""COMPUTED_VALUE"""),"09/19")</f>
        <v>09/19</v>
      </c>
      <c r="J1986" s="5">
        <f>IFERROR(__xludf.DUMMYFUNCTION("""COMPUTED_VALUE"""),43736.0)</f>
        <v>43736</v>
      </c>
      <c r="K1986">
        <f>IFERROR(__xludf.DUMMYFUNCTION("""COMPUTED_VALUE"""),38.0)</f>
        <v>38</v>
      </c>
      <c r="L1986">
        <f>IFERROR(__xludf.DUMMYFUNCTION("""COMPUTED_VALUE"""),7.0)</f>
        <v>7</v>
      </c>
      <c r="M1986">
        <f>IFERROR(__xludf.DUMMYFUNCTION("""COMPUTED_VALUE"""),45.0)</f>
        <v>45</v>
      </c>
      <c r="N1986" t="str">
        <f>IFERROR(__xludf.DUMMYFUNCTION("""COMPUTED_VALUE"""),"Model 3 LR AWD")</f>
        <v>Model 3 LR AWD</v>
      </c>
      <c r="O1986" t="str">
        <f>IFERROR(__xludf.DUMMYFUNCTION("""COMPUTED_VALUE"""),"Pearl White Multi-Coat")</f>
        <v>Pearl White Multi-Coat</v>
      </c>
      <c r="P1986" t="str">
        <f>IFERROR(__xludf.DUMMYFUNCTION("""COMPUTED_VALUE"""),"19 inch Sport")</f>
        <v>19 inch Sport</v>
      </c>
      <c r="Q1986" t="str">
        <f>IFERROR(__xludf.DUMMYFUNCTION("""COMPUTED_VALUE"""),"White seats")</f>
        <v>White seats</v>
      </c>
      <c r="R1986" t="str">
        <f>IFERROR(__xludf.DUMMYFUNCTION("""COMPUTED_VALUE"""),"Full Self-Driving")</f>
        <v>Full Self-Driving</v>
      </c>
      <c r="X1986" t="str">
        <f>IFERROR(__xludf.DUMMYFUNCTION("""COMPUTED_VALUE"""),"Very Good")</f>
        <v>Very Good</v>
      </c>
      <c r="Y1986" t="str">
        <f>IFERROR(__xludf.DUMMYFUNCTION("""COMPUTED_VALUE"""),"Excellent")</f>
        <v>Excellent</v>
      </c>
      <c r="Z1986" t="str">
        <f>IFERROR(__xludf.DUMMYFUNCTION("""COMPUTED_VALUE"""),"Excellent")</f>
        <v>Excellent</v>
      </c>
      <c r="AA1986" t="str">
        <f>IFERROR(__xludf.DUMMYFUNCTION("""COMPUTED_VALUE"""),"Good")</f>
        <v>Good</v>
      </c>
      <c r="AB1986" t="str">
        <f>IFERROR(__xludf.DUMMYFUNCTION("""COMPUTED_VALUE"""),"Very Good")</f>
        <v>Very Good</v>
      </c>
      <c r="AH1986" s="189">
        <f>IFERROR(__xludf.DUMMYFUNCTION("""COMPUTED_VALUE"""),43739.307799629634)</f>
        <v>43739.3078</v>
      </c>
    </row>
    <row r="1987">
      <c r="A1987" t="str">
        <f>IFERROR(__xludf.DUMMYFUNCTION("""COMPUTED_VALUE"""),"MMcKay")</f>
        <v>MMcKay</v>
      </c>
      <c r="C1987" t="str">
        <f>IFERROR(__xludf.DUMMYFUNCTION("""COMPUTED_VALUE"""),"FL")</f>
        <v>FL</v>
      </c>
      <c r="D1987" t="str">
        <f>IFERROR(__xludf.DUMMYFUNCTION("""COMPUTED_VALUE"""),"USA")</f>
        <v>USA</v>
      </c>
      <c r="E1987" s="188">
        <f>IFERROR(__xludf.DUMMYFUNCTION("""COMPUTED_VALUE"""),43731.0)</f>
        <v>43731</v>
      </c>
      <c r="F1987" s="188">
        <f>IFERROR(__xludf.DUMMYFUNCTION("""COMPUTED_VALUE"""),43732.0)</f>
        <v>43732</v>
      </c>
      <c r="H1987">
        <f>IFERROR(__xludf.DUMMYFUNCTION("""COMPUTED_VALUE"""),525355.0)</f>
        <v>525355</v>
      </c>
      <c r="I1987" t="str">
        <f>IFERROR(__xludf.DUMMYFUNCTION("""COMPUTED_VALUE"""),"09/19")</f>
        <v>09/19</v>
      </c>
      <c r="J1987" s="5">
        <f>IFERROR(__xludf.DUMMYFUNCTION("""COMPUTED_VALUE"""),43740.0)</f>
        <v>43740</v>
      </c>
      <c r="K1987">
        <f>IFERROR(__xludf.DUMMYFUNCTION("""COMPUTED_VALUE"""),1.0)</f>
        <v>1</v>
      </c>
      <c r="L1987">
        <f>IFERROR(__xludf.DUMMYFUNCTION("""COMPUTED_VALUE"""),8.0)</f>
        <v>8</v>
      </c>
      <c r="M1987">
        <f>IFERROR(__xludf.DUMMYFUNCTION("""COMPUTED_VALUE"""),9.0)</f>
        <v>9</v>
      </c>
      <c r="N1987" t="str">
        <f>IFERROR(__xludf.DUMMYFUNCTION("""COMPUTED_VALUE"""),"Model 3 LR AWD")</f>
        <v>Model 3 LR AWD</v>
      </c>
      <c r="O1987" t="str">
        <f>IFERROR(__xludf.DUMMYFUNCTION("""COMPUTED_VALUE"""),"Midnight Silver Metallic")</f>
        <v>Midnight Silver Metallic</v>
      </c>
      <c r="P1987" t="str">
        <f>IFERROR(__xludf.DUMMYFUNCTION("""COMPUTED_VALUE"""),"19 inch Sport")</f>
        <v>19 inch Sport</v>
      </c>
      <c r="Q1987" t="str">
        <f>IFERROR(__xludf.DUMMYFUNCTION("""COMPUTED_VALUE"""),"Black seats")</f>
        <v>Black seats</v>
      </c>
      <c r="R1987" t="str">
        <f>IFERROR(__xludf.DUMMYFUNCTION("""COMPUTED_VALUE"""),"Full Self-Driving")</f>
        <v>Full Self-Driving</v>
      </c>
      <c r="X1987" t="str">
        <f>IFERROR(__xludf.DUMMYFUNCTION("""COMPUTED_VALUE"""),"Excellent")</f>
        <v>Excellent</v>
      </c>
      <c r="Y1987" t="str">
        <f>IFERROR(__xludf.DUMMYFUNCTION("""COMPUTED_VALUE"""),"Excellent")</f>
        <v>Excellent</v>
      </c>
      <c r="Z1987" t="str">
        <f>IFERROR(__xludf.DUMMYFUNCTION("""COMPUTED_VALUE"""),"Excellent")</f>
        <v>Excellent</v>
      </c>
      <c r="AA1987" t="str">
        <f>IFERROR(__xludf.DUMMYFUNCTION("""COMPUTED_VALUE"""),"Very Good")</f>
        <v>Very Good</v>
      </c>
      <c r="AB1987" t="str">
        <f>IFERROR(__xludf.DUMMYFUNCTION("""COMPUTED_VALUE"""),"Excellent")</f>
        <v>Excellent</v>
      </c>
      <c r="AG1987" t="str">
        <f>IFERROR(__xludf.DUMMYFUNCTION("""COMPUTED_VALUE"""),"VIN Discovered in Tesla Website Source code")</f>
        <v>VIN Discovered in Tesla Website Source code</v>
      </c>
      <c r="AH1987" s="189">
        <f>IFERROR(__xludf.DUMMYFUNCTION("""COMPUTED_VALUE"""),43739.42731746528)</f>
        <v>43739.42732</v>
      </c>
    </row>
    <row r="1988">
      <c r="A1988" t="str">
        <f>IFERROR(__xludf.DUMMYFUNCTION("""COMPUTED_VALUE"""),"thebuilder")</f>
        <v>thebuilder</v>
      </c>
      <c r="B1988" t="str">
        <f>IFERROR(__xludf.DUMMYFUNCTION("""COMPUTED_VALUE"""),"Collierville")</f>
        <v>Collierville</v>
      </c>
      <c r="C1988" t="str">
        <f>IFERROR(__xludf.DUMMYFUNCTION("""COMPUTED_VALUE"""),"TN")</f>
        <v>TN</v>
      </c>
      <c r="D1988" t="str">
        <f>IFERROR(__xludf.DUMMYFUNCTION("""COMPUTED_VALUE"""),"USA")</f>
        <v>USA</v>
      </c>
      <c r="E1988" s="188">
        <f>IFERROR(__xludf.DUMMYFUNCTION("""COMPUTED_VALUE"""),43686.0)</f>
        <v>43686</v>
      </c>
      <c r="F1988" s="188">
        <f>IFERROR(__xludf.DUMMYFUNCTION("""COMPUTED_VALUE"""),43718.0)</f>
        <v>43718</v>
      </c>
      <c r="H1988">
        <f>IFERROR(__xludf.DUMMYFUNCTION("""COMPUTED_VALUE"""),441282.0)</f>
        <v>441282</v>
      </c>
      <c r="J1988" s="5">
        <f>IFERROR(__xludf.DUMMYFUNCTION("""COMPUTED_VALUE"""),43723.0)</f>
        <v>43723</v>
      </c>
      <c r="K1988">
        <f>IFERROR(__xludf.DUMMYFUNCTION("""COMPUTED_VALUE"""),32.0)</f>
        <v>32</v>
      </c>
      <c r="L1988">
        <f>IFERROR(__xludf.DUMMYFUNCTION("""COMPUTED_VALUE"""),5.0)</f>
        <v>5</v>
      </c>
      <c r="M1988">
        <f>IFERROR(__xludf.DUMMYFUNCTION("""COMPUTED_VALUE"""),37.0)</f>
        <v>37</v>
      </c>
      <c r="N1988" t="str">
        <f>IFERROR(__xludf.DUMMYFUNCTION("""COMPUTED_VALUE"""),"Model 3 Performance")</f>
        <v>Model 3 Performance</v>
      </c>
      <c r="O1988" t="str">
        <f>IFERROR(__xludf.DUMMYFUNCTION("""COMPUTED_VALUE"""),"Deep Blue Metallic")</f>
        <v>Deep Blue Metallic</v>
      </c>
      <c r="P1988" t="str">
        <f>IFERROR(__xludf.DUMMYFUNCTION("""COMPUTED_VALUE"""),"20 inch Sport")</f>
        <v>20 inch Sport</v>
      </c>
      <c r="Q1988" t="str">
        <f>IFERROR(__xludf.DUMMYFUNCTION("""COMPUTED_VALUE"""),"Black seats")</f>
        <v>Black seats</v>
      </c>
      <c r="R1988" t="str">
        <f>IFERROR(__xludf.DUMMYFUNCTION("""COMPUTED_VALUE"""),"Full Self-Driving")</f>
        <v>Full Self-Driving</v>
      </c>
      <c r="X1988" t="str">
        <f>IFERROR(__xludf.DUMMYFUNCTION("""COMPUTED_VALUE"""),"Very Good")</f>
        <v>Very Good</v>
      </c>
      <c r="Y1988" t="str">
        <f>IFERROR(__xludf.DUMMYFUNCTION("""COMPUTED_VALUE"""),"Excellent")</f>
        <v>Excellent</v>
      </c>
      <c r="Z1988" t="str">
        <f>IFERROR(__xludf.DUMMYFUNCTION("""COMPUTED_VALUE"""),"Very Good")</f>
        <v>Very Good</v>
      </c>
      <c r="AA1988" t="str">
        <f>IFERROR(__xludf.DUMMYFUNCTION("""COMPUTED_VALUE"""),"Fair")</f>
        <v>Fair</v>
      </c>
      <c r="AB1988" t="str">
        <f>IFERROR(__xludf.DUMMYFUNCTION("""COMPUTED_VALUE"""),"Very Good")</f>
        <v>Very Good</v>
      </c>
      <c r="AC1988">
        <f>IFERROR(__xludf.DUMMYFUNCTION("""COMPUTED_VALUE"""),0.0)</f>
        <v>0</v>
      </c>
      <c r="AD1988">
        <f>IFERROR(__xludf.DUMMYFUNCTION("""COMPUTED_VALUE"""),0.0)</f>
        <v>0</v>
      </c>
      <c r="AE1988">
        <f>IFERROR(__xludf.DUMMYFUNCTION("""COMPUTED_VALUE"""),0.0)</f>
        <v>0</v>
      </c>
      <c r="AH1988" s="189">
        <f>IFERROR(__xludf.DUMMYFUNCTION("""COMPUTED_VALUE"""),43739.532306180554)</f>
        <v>43739.53231</v>
      </c>
    </row>
    <row r="1989">
      <c r="A1989" t="str">
        <f>IFERROR(__xludf.DUMMYFUNCTION("""COMPUTED_VALUE"""),"bayx650")</f>
        <v>bayx650</v>
      </c>
      <c r="B1989" t="str">
        <f>IFERROR(__xludf.DUMMYFUNCTION("""COMPUTED_VALUE"""),"San Francisco")</f>
        <v>San Francisco</v>
      </c>
      <c r="C1989" t="str">
        <f>IFERROR(__xludf.DUMMYFUNCTION("""COMPUTED_VALUE"""),"CA")</f>
        <v>CA</v>
      </c>
      <c r="D1989" t="str">
        <f>IFERROR(__xludf.DUMMYFUNCTION("""COMPUTED_VALUE"""),"USA")</f>
        <v>USA</v>
      </c>
      <c r="E1989" s="188">
        <f>IFERROR(__xludf.DUMMYFUNCTION("""COMPUTED_VALUE"""),43678.0)</f>
        <v>43678</v>
      </c>
      <c r="F1989" s="188">
        <f>IFERROR(__xludf.DUMMYFUNCTION("""COMPUTED_VALUE"""),43728.0)</f>
        <v>43728</v>
      </c>
      <c r="H1989" s="4">
        <f>IFERROR(__xludf.DUMMYFUNCTION("""COMPUTED_VALUE"""),517775.0)</f>
        <v>517775</v>
      </c>
      <c r="J1989" s="5">
        <f>IFERROR(__xludf.DUMMYFUNCTION("""COMPUTED_VALUE"""),43731.0)</f>
        <v>43731</v>
      </c>
      <c r="K1989">
        <f>IFERROR(__xludf.DUMMYFUNCTION("""COMPUTED_VALUE"""),50.0)</f>
        <v>50</v>
      </c>
      <c r="L1989">
        <f>IFERROR(__xludf.DUMMYFUNCTION("""COMPUTED_VALUE"""),3.0)</f>
        <v>3</v>
      </c>
      <c r="M1989">
        <f>IFERROR(__xludf.DUMMYFUNCTION("""COMPUTED_VALUE"""),53.0)</f>
        <v>53</v>
      </c>
      <c r="N1989" t="str">
        <f>IFERROR(__xludf.DUMMYFUNCTION("""COMPUTED_VALUE"""),"Model 3 LR AWD")</f>
        <v>Model 3 LR AWD</v>
      </c>
      <c r="O1989" t="str">
        <f>IFERROR(__xludf.DUMMYFUNCTION("""COMPUTED_VALUE"""),"Pearl White Multi-Coat")</f>
        <v>Pearl White Multi-Coat</v>
      </c>
      <c r="P1989" t="str">
        <f>IFERROR(__xludf.DUMMYFUNCTION("""COMPUTED_VALUE"""),"18 inch Aero")</f>
        <v>18 inch Aero</v>
      </c>
      <c r="Q1989" t="str">
        <f>IFERROR(__xludf.DUMMYFUNCTION("""COMPUTED_VALUE"""),"White seats")</f>
        <v>White seats</v>
      </c>
      <c r="R1989" t="str">
        <f>IFERROR(__xludf.DUMMYFUNCTION("""COMPUTED_VALUE"""),"Full Self-Driving")</f>
        <v>Full Self-Driving</v>
      </c>
      <c r="X1989" t="str">
        <f>IFERROR(__xludf.DUMMYFUNCTION("""COMPUTED_VALUE"""),"Excellent")</f>
        <v>Excellent</v>
      </c>
      <c r="Y1989" t="str">
        <f>IFERROR(__xludf.DUMMYFUNCTION("""COMPUTED_VALUE"""),"Excellent")</f>
        <v>Excellent</v>
      </c>
      <c r="Z1989" t="str">
        <f>IFERROR(__xludf.DUMMYFUNCTION("""COMPUTED_VALUE"""),"Excellent")</f>
        <v>Excellent</v>
      </c>
      <c r="AA1989" t="str">
        <f>IFERROR(__xludf.DUMMYFUNCTION("""COMPUTED_VALUE"""),"Poor")</f>
        <v>Poor</v>
      </c>
      <c r="AB1989" t="str">
        <f>IFERROR(__xludf.DUMMYFUNCTION("""COMPUTED_VALUE"""),"Fair")</f>
        <v>Fair</v>
      </c>
      <c r="AC1989">
        <f>IFERROR(__xludf.DUMMYFUNCTION("""COMPUTED_VALUE"""),0.0)</f>
        <v>0</v>
      </c>
      <c r="AG1989" t="str">
        <f>IFERROR(__xludf.DUMMYFUNCTION("""COMPUTED_VALUE"""),"Weird Delivery Experience. Guy drove to my house. Didn't really explain the car features or anything like that. ")</f>
        <v>Weird Delivery Experience. Guy drove to my house. Didn't really explain the car features or anything like that. </v>
      </c>
      <c r="AH1989" s="189">
        <f>IFERROR(__xludf.DUMMYFUNCTION("""COMPUTED_VALUE"""),43739.61481480324)</f>
        <v>43739.61481</v>
      </c>
    </row>
    <row r="1990">
      <c r="A1990" t="str">
        <f>IFERROR(__xludf.DUMMYFUNCTION("""COMPUTED_VALUE"""),"randydief")</f>
        <v>randydief</v>
      </c>
      <c r="B1990" t="str">
        <f>IFERROR(__xludf.DUMMYFUNCTION("""COMPUTED_VALUE"""),"Houston")</f>
        <v>Houston</v>
      </c>
      <c r="C1990" t="str">
        <f>IFERROR(__xludf.DUMMYFUNCTION("""COMPUTED_VALUE"""),"TX")</f>
        <v>TX</v>
      </c>
      <c r="D1990" t="str">
        <f>IFERROR(__xludf.DUMMYFUNCTION("""COMPUTED_VALUE"""),"USA")</f>
        <v>USA</v>
      </c>
      <c r="E1990" s="188">
        <f>IFERROR(__xludf.DUMMYFUNCTION("""COMPUTED_VALUE"""),43701.0)</f>
        <v>43701</v>
      </c>
      <c r="F1990" s="188">
        <f>IFERROR(__xludf.DUMMYFUNCTION("""COMPUTED_VALUE"""),43726.0)</f>
        <v>43726</v>
      </c>
      <c r="H1990">
        <f>IFERROR(__xludf.DUMMYFUNCTION("""COMPUTED_VALUE"""),441251.0)</f>
        <v>441251</v>
      </c>
      <c r="I1990" t="str">
        <f>IFERROR(__xludf.DUMMYFUNCTION("""COMPUTED_VALUE"""),"09/19")</f>
        <v>09/19</v>
      </c>
      <c r="J1990" s="5">
        <f>IFERROR(__xludf.DUMMYFUNCTION("""COMPUTED_VALUE"""),43735.0)</f>
        <v>43735</v>
      </c>
      <c r="K1990">
        <f>IFERROR(__xludf.DUMMYFUNCTION("""COMPUTED_VALUE"""),25.0)</f>
        <v>25</v>
      </c>
      <c r="L1990">
        <f>IFERROR(__xludf.DUMMYFUNCTION("""COMPUTED_VALUE"""),9.0)</f>
        <v>9</v>
      </c>
      <c r="M1990">
        <f>IFERROR(__xludf.DUMMYFUNCTION("""COMPUTED_VALUE"""),34.0)</f>
        <v>34</v>
      </c>
      <c r="N1990" t="str">
        <f>IFERROR(__xludf.DUMMYFUNCTION("""COMPUTED_VALUE"""),"Model 3 Performance")</f>
        <v>Model 3 Performance</v>
      </c>
      <c r="O1990" t="str">
        <f>IFERROR(__xludf.DUMMYFUNCTION("""COMPUTED_VALUE"""),"Red Multi-Coat")</f>
        <v>Red Multi-Coat</v>
      </c>
      <c r="P1990" t="str">
        <f>IFERROR(__xludf.DUMMYFUNCTION("""COMPUTED_VALUE"""),"20 inch Sport")</f>
        <v>20 inch Sport</v>
      </c>
      <c r="Q1990" t="str">
        <f>IFERROR(__xludf.DUMMYFUNCTION("""COMPUTED_VALUE"""),"Black seats")</f>
        <v>Black seats</v>
      </c>
      <c r="R1990" t="str">
        <f>IFERROR(__xludf.DUMMYFUNCTION("""COMPUTED_VALUE"""),"Full Self-Driving")</f>
        <v>Full Self-Driving</v>
      </c>
      <c r="X1990" t="str">
        <f>IFERROR(__xludf.DUMMYFUNCTION("""COMPUTED_VALUE"""),"Excellent")</f>
        <v>Excellent</v>
      </c>
      <c r="Y1990" t="str">
        <f>IFERROR(__xludf.DUMMYFUNCTION("""COMPUTED_VALUE"""),"Excellent")</f>
        <v>Excellent</v>
      </c>
      <c r="Z1990" t="str">
        <f>IFERROR(__xludf.DUMMYFUNCTION("""COMPUTED_VALUE"""),"Excellent")</f>
        <v>Excellent</v>
      </c>
      <c r="AA1990" t="str">
        <f>IFERROR(__xludf.DUMMYFUNCTION("""COMPUTED_VALUE"""),"Very Good")</f>
        <v>Very Good</v>
      </c>
      <c r="AB1990" t="str">
        <f>IFERROR(__xludf.DUMMYFUNCTION("""COMPUTED_VALUE"""),"Very Good")</f>
        <v>Very Good</v>
      </c>
      <c r="AG1990" t="str">
        <f>IFERROR(__xludf.DUMMYFUNCTION("""COMPUTED_VALUE"""),"Original delivery date was 9/30/19")</f>
        <v>Original delivery date was 9/30/19</v>
      </c>
      <c r="AH1990" s="189">
        <f>IFERROR(__xludf.DUMMYFUNCTION("""COMPUTED_VALUE"""),43739.684977743054)</f>
        <v>43739.68498</v>
      </c>
    </row>
    <row r="1991">
      <c r="A1991" t="str">
        <f>IFERROR(__xludf.DUMMYFUNCTION("""COMPUTED_VALUE"""),"devaughn")</f>
        <v>devaughn</v>
      </c>
      <c r="B1991" t="str">
        <f>IFERROR(__xludf.DUMMYFUNCTION("""COMPUTED_VALUE"""),"Los Angeles")</f>
        <v>Los Angeles</v>
      </c>
      <c r="C1991" t="str">
        <f>IFERROR(__xludf.DUMMYFUNCTION("""COMPUTED_VALUE"""),"CA")</f>
        <v>CA</v>
      </c>
      <c r="D1991" t="str">
        <f>IFERROR(__xludf.DUMMYFUNCTION("""COMPUTED_VALUE"""),"USA")</f>
        <v>USA</v>
      </c>
      <c r="E1991" s="188">
        <f>IFERROR(__xludf.DUMMYFUNCTION("""COMPUTED_VALUE"""),43727.0)</f>
        <v>43727</v>
      </c>
      <c r="F1991" s="188">
        <f>IFERROR(__xludf.DUMMYFUNCTION("""COMPUTED_VALUE"""),43730.0)</f>
        <v>43730</v>
      </c>
      <c r="H1991" s="4">
        <f>IFERROR(__xludf.DUMMYFUNCTION("""COMPUTED_VALUE"""),517855.0)</f>
        <v>517855</v>
      </c>
      <c r="I1991" t="str">
        <f>IFERROR(__xludf.DUMMYFUNCTION("""COMPUTED_VALUE"""),"09/19")</f>
        <v>09/19</v>
      </c>
      <c r="J1991" s="5">
        <f>IFERROR(__xludf.DUMMYFUNCTION("""COMPUTED_VALUE"""),43733.0)</f>
        <v>43733</v>
      </c>
      <c r="K1991">
        <f>IFERROR(__xludf.DUMMYFUNCTION("""COMPUTED_VALUE"""),3.0)</f>
        <v>3</v>
      </c>
      <c r="L1991">
        <f>IFERROR(__xludf.DUMMYFUNCTION("""COMPUTED_VALUE"""),3.0)</f>
        <v>3</v>
      </c>
      <c r="M1991">
        <f>IFERROR(__xludf.DUMMYFUNCTION("""COMPUTED_VALUE"""),6.0)</f>
        <v>6</v>
      </c>
      <c r="N1991" t="str">
        <f>IFERROR(__xludf.DUMMYFUNCTION("""COMPUTED_VALUE"""),"Model 3 LR AWD")</f>
        <v>Model 3 LR AWD</v>
      </c>
      <c r="O1991" t="str">
        <f>IFERROR(__xludf.DUMMYFUNCTION("""COMPUTED_VALUE"""),"Deep Blue Metallic")</f>
        <v>Deep Blue Metallic</v>
      </c>
      <c r="P1991" t="str">
        <f>IFERROR(__xludf.DUMMYFUNCTION("""COMPUTED_VALUE"""),"19 inch Sport")</f>
        <v>19 inch Sport</v>
      </c>
      <c r="Q1991" t="str">
        <f>IFERROR(__xludf.DUMMYFUNCTION("""COMPUTED_VALUE"""),"White seats")</f>
        <v>White seats</v>
      </c>
      <c r="R1991" t="str">
        <f>IFERROR(__xludf.DUMMYFUNCTION("""COMPUTED_VALUE"""),"Full Self-Driving")</f>
        <v>Full Self-Driving</v>
      </c>
      <c r="X1991" t="str">
        <f>IFERROR(__xludf.DUMMYFUNCTION("""COMPUTED_VALUE"""),"Excellent")</f>
        <v>Excellent</v>
      </c>
      <c r="Y1991" t="str">
        <f>IFERROR(__xludf.DUMMYFUNCTION("""COMPUTED_VALUE"""),"Excellent")</f>
        <v>Excellent</v>
      </c>
      <c r="Z1991" t="str">
        <f>IFERROR(__xludf.DUMMYFUNCTION("""COMPUTED_VALUE"""),"Very Good")</f>
        <v>Very Good</v>
      </c>
      <c r="AA1991" t="str">
        <f>IFERROR(__xludf.DUMMYFUNCTION("""COMPUTED_VALUE"""),"Excellent")</f>
        <v>Excellent</v>
      </c>
      <c r="AB1991" t="str">
        <f>IFERROR(__xludf.DUMMYFUNCTION("""COMPUTED_VALUE"""),"Excellent")</f>
        <v>Excellent</v>
      </c>
      <c r="AC1991">
        <f>IFERROR(__xludf.DUMMYFUNCTION("""COMPUTED_VALUE"""),0.0)</f>
        <v>0</v>
      </c>
      <c r="AD1991">
        <f>IFERROR(__xludf.DUMMYFUNCTION("""COMPUTED_VALUE"""),0.0)</f>
        <v>0</v>
      </c>
      <c r="AE1991">
        <f>IFERROR(__xludf.DUMMYFUNCTION("""COMPUTED_VALUE"""),0.0)</f>
        <v>0</v>
      </c>
      <c r="AH1991" s="189">
        <f>IFERROR(__xludf.DUMMYFUNCTION("""COMPUTED_VALUE"""),43740.29177003472)</f>
        <v>43740.29177</v>
      </c>
    </row>
    <row r="1992">
      <c r="A1992" t="str">
        <f>IFERROR(__xludf.DUMMYFUNCTION("""COMPUTED_VALUE"""),"metaclass")</f>
        <v>metaclass</v>
      </c>
      <c r="B1992" t="str">
        <f>IFERROR(__xludf.DUMMYFUNCTION("""COMPUTED_VALUE"""),"San Jose")</f>
        <v>San Jose</v>
      </c>
      <c r="C1992" t="str">
        <f>IFERROR(__xludf.DUMMYFUNCTION("""COMPUTED_VALUE"""),"CA")</f>
        <v>CA</v>
      </c>
      <c r="D1992" t="str">
        <f>IFERROR(__xludf.DUMMYFUNCTION("""COMPUTED_VALUE"""),"USA")</f>
        <v>USA</v>
      </c>
      <c r="E1992" s="188">
        <f>IFERROR(__xludf.DUMMYFUNCTION("""COMPUTED_VALUE"""),43728.0)</f>
        <v>43728</v>
      </c>
      <c r="F1992" s="188">
        <f>IFERROR(__xludf.DUMMYFUNCTION("""COMPUTED_VALUE"""),43734.0)</f>
        <v>43734</v>
      </c>
      <c r="H1992">
        <f>IFERROR(__xludf.DUMMYFUNCTION("""COMPUTED_VALUE"""),485855.0)</f>
        <v>485855</v>
      </c>
      <c r="I1992" t="str">
        <f>IFERROR(__xludf.DUMMYFUNCTION("""COMPUTED_VALUE"""),"09/19")</f>
        <v>09/19</v>
      </c>
      <c r="J1992" s="5">
        <f>IFERROR(__xludf.DUMMYFUNCTION("""COMPUTED_VALUE"""),43736.0)</f>
        <v>43736</v>
      </c>
      <c r="K1992">
        <f>IFERROR(__xludf.DUMMYFUNCTION("""COMPUTED_VALUE"""),6.0)</f>
        <v>6</v>
      </c>
      <c r="L1992">
        <f>IFERROR(__xludf.DUMMYFUNCTION("""COMPUTED_VALUE"""),2.0)</f>
        <v>2</v>
      </c>
      <c r="M1992">
        <f>IFERROR(__xludf.DUMMYFUNCTION("""COMPUTED_VALUE"""),8.0)</f>
        <v>8</v>
      </c>
      <c r="N1992" t="str">
        <f>IFERROR(__xludf.DUMMYFUNCTION("""COMPUTED_VALUE"""),"Model 3 SR+")</f>
        <v>Model 3 SR+</v>
      </c>
      <c r="O1992" t="str">
        <f>IFERROR(__xludf.DUMMYFUNCTION("""COMPUTED_VALUE"""),"Pearl White Multi-Coat")</f>
        <v>Pearl White Multi-Coat</v>
      </c>
      <c r="P1992" t="str">
        <f>IFERROR(__xludf.DUMMYFUNCTION("""COMPUTED_VALUE"""),"18 inch Aero")</f>
        <v>18 inch Aero</v>
      </c>
      <c r="Q1992" t="str">
        <f>IFERROR(__xludf.DUMMYFUNCTION("""COMPUTED_VALUE"""),"Black seats")</f>
        <v>Black seats</v>
      </c>
      <c r="R1992" t="str">
        <f>IFERROR(__xludf.DUMMYFUNCTION("""COMPUTED_VALUE"""),"Autopilot")</f>
        <v>Autopilot</v>
      </c>
      <c r="X1992" t="str">
        <f>IFERROR(__xludf.DUMMYFUNCTION("""COMPUTED_VALUE"""),"Very Good")</f>
        <v>Very Good</v>
      </c>
      <c r="Y1992" t="str">
        <f>IFERROR(__xludf.DUMMYFUNCTION("""COMPUTED_VALUE"""),"Excellent")</f>
        <v>Excellent</v>
      </c>
      <c r="Z1992" t="str">
        <f>IFERROR(__xludf.DUMMYFUNCTION("""COMPUTED_VALUE"""),"Excellent")</f>
        <v>Excellent</v>
      </c>
      <c r="AA1992" t="str">
        <f>IFERROR(__xludf.DUMMYFUNCTION("""COMPUTED_VALUE"""),"Excellent")</f>
        <v>Excellent</v>
      </c>
      <c r="AB1992" t="str">
        <f>IFERROR(__xludf.DUMMYFUNCTION("""COMPUTED_VALUE"""),"Excellent")</f>
        <v>Excellent</v>
      </c>
      <c r="AH1992" s="189">
        <f>IFERROR(__xludf.DUMMYFUNCTION("""COMPUTED_VALUE"""),43740.57259777778)</f>
        <v>43740.5726</v>
      </c>
    </row>
    <row r="1993">
      <c r="A1993" t="str">
        <f>IFERROR(__xludf.DUMMYFUNCTION("""COMPUTED_VALUE"""),"brandx5")</f>
        <v>brandx5</v>
      </c>
      <c r="B1993" t="str">
        <f>IFERROR(__xludf.DUMMYFUNCTION("""COMPUTED_VALUE"""),"port moody")</f>
        <v>port moody</v>
      </c>
      <c r="C1993" t="str">
        <f>IFERROR(__xludf.DUMMYFUNCTION("""COMPUTED_VALUE"""),"BC")</f>
        <v>BC</v>
      </c>
      <c r="D1993" t="str">
        <f>IFERROR(__xludf.DUMMYFUNCTION("""COMPUTED_VALUE"""),"Canada")</f>
        <v>Canada</v>
      </c>
      <c r="E1993" s="188">
        <f>IFERROR(__xludf.DUMMYFUNCTION("""COMPUTED_VALUE"""),43669.0)</f>
        <v>43669</v>
      </c>
      <c r="F1993" s="188">
        <f>IFERROR(__xludf.DUMMYFUNCTION("""COMPUTED_VALUE"""),43687.0)</f>
        <v>43687</v>
      </c>
      <c r="H1993">
        <f>IFERROR(__xludf.DUMMYFUNCTION("""COMPUTED_VALUE"""),436655.0)</f>
        <v>436655</v>
      </c>
      <c r="I1993" t="str">
        <f>IFERROR(__xludf.DUMMYFUNCTION("""COMPUTED_VALUE"""),"08/19")</f>
        <v>08/19</v>
      </c>
      <c r="J1993" s="5">
        <f>IFERROR(__xludf.DUMMYFUNCTION("""COMPUTED_VALUE"""),43701.0)</f>
        <v>43701</v>
      </c>
      <c r="K1993">
        <f>IFERROR(__xludf.DUMMYFUNCTION("""COMPUTED_VALUE"""),18.0)</f>
        <v>18</v>
      </c>
      <c r="L1993">
        <f>IFERROR(__xludf.DUMMYFUNCTION("""COMPUTED_VALUE"""),14.0)</f>
        <v>14</v>
      </c>
      <c r="M1993">
        <f>IFERROR(__xludf.DUMMYFUNCTION("""COMPUTED_VALUE"""),32.0)</f>
        <v>32</v>
      </c>
      <c r="N1993" t="str">
        <f>IFERROR(__xludf.DUMMYFUNCTION("""COMPUTED_VALUE"""),"Model 3 SR+")</f>
        <v>Model 3 SR+</v>
      </c>
      <c r="O1993" t="str">
        <f>IFERROR(__xludf.DUMMYFUNCTION("""COMPUTED_VALUE"""),"Pearl White Multi-Coat")</f>
        <v>Pearl White Multi-Coat</v>
      </c>
      <c r="P1993" t="str">
        <f>IFERROR(__xludf.DUMMYFUNCTION("""COMPUTED_VALUE"""),"18 inch Aero")</f>
        <v>18 inch Aero</v>
      </c>
      <c r="Q1993" t="str">
        <f>IFERROR(__xludf.DUMMYFUNCTION("""COMPUTED_VALUE"""),"Black seats")</f>
        <v>Black seats</v>
      </c>
      <c r="R1993" t="str">
        <f>IFERROR(__xludf.DUMMYFUNCTION("""COMPUTED_VALUE"""),"Full Self-Driving")</f>
        <v>Full Self-Driving</v>
      </c>
      <c r="X1993" t="str">
        <f>IFERROR(__xludf.DUMMYFUNCTION("""COMPUTED_VALUE"""),"Good")</f>
        <v>Good</v>
      </c>
      <c r="Y1993" t="str">
        <f>IFERROR(__xludf.DUMMYFUNCTION("""COMPUTED_VALUE"""),"Very Good")</f>
        <v>Very Good</v>
      </c>
      <c r="Z1993" t="str">
        <f>IFERROR(__xludf.DUMMYFUNCTION("""COMPUTED_VALUE"""),"Very Good")</f>
        <v>Very Good</v>
      </c>
      <c r="AA1993" t="str">
        <f>IFERROR(__xludf.DUMMYFUNCTION("""COMPUTED_VALUE"""),"Fair")</f>
        <v>Fair</v>
      </c>
      <c r="AB1993" t="str">
        <f>IFERROR(__xludf.DUMMYFUNCTION("""COMPUTED_VALUE"""),"Very Good")</f>
        <v>Very Good</v>
      </c>
      <c r="AC1993">
        <f>IFERROR(__xludf.DUMMYFUNCTION("""COMPUTED_VALUE"""),0.0)</f>
        <v>0</v>
      </c>
      <c r="AD1993">
        <f>IFERROR(__xludf.DUMMYFUNCTION("""COMPUTED_VALUE"""),0.0)</f>
        <v>0</v>
      </c>
      <c r="AE1993">
        <f>IFERROR(__xludf.DUMMYFUNCTION("""COMPUTED_VALUE"""),0.0)</f>
        <v>0</v>
      </c>
      <c r="AH1993" s="189">
        <f>IFERROR(__xludf.DUMMYFUNCTION("""COMPUTED_VALUE"""),43740.789611203705)</f>
        <v>43740.78961</v>
      </c>
    </row>
    <row r="1994">
      <c r="A1994" t="str">
        <f>IFERROR(__xludf.DUMMYFUNCTION("""COMPUTED_VALUE"""),"mallocme")</f>
        <v>mallocme</v>
      </c>
      <c r="B1994" t="str">
        <f>IFERROR(__xludf.DUMMYFUNCTION("""COMPUTED_VALUE"""),"San Antonio")</f>
        <v>San Antonio</v>
      </c>
      <c r="C1994" t="str">
        <f>IFERROR(__xludf.DUMMYFUNCTION("""COMPUTED_VALUE"""),"TX")</f>
        <v>TX</v>
      </c>
      <c r="D1994" t="str">
        <f>IFERROR(__xludf.DUMMYFUNCTION("""COMPUTED_VALUE"""),"USA")</f>
        <v>USA</v>
      </c>
      <c r="E1994" s="188">
        <f>IFERROR(__xludf.DUMMYFUNCTION("""COMPUTED_VALUE"""),43628.0)</f>
        <v>43628</v>
      </c>
      <c r="F1994" s="188">
        <f>IFERROR(__xludf.DUMMYFUNCTION("""COMPUTED_VALUE"""),43633.0)</f>
        <v>43633</v>
      </c>
      <c r="H1994">
        <f>IFERROR(__xludf.DUMMYFUNCTION("""COMPUTED_VALUE"""),410055.0)</f>
        <v>410055</v>
      </c>
      <c r="I1994" t="str">
        <f>IFERROR(__xludf.DUMMYFUNCTION("""COMPUTED_VALUE"""),"06/19")</f>
        <v>06/19</v>
      </c>
      <c r="J1994" s="5">
        <f>IFERROR(__xludf.DUMMYFUNCTION("""COMPUTED_VALUE"""),43641.0)</f>
        <v>43641</v>
      </c>
      <c r="K1994">
        <f>IFERROR(__xludf.DUMMYFUNCTION("""COMPUTED_VALUE"""),5.0)</f>
        <v>5</v>
      </c>
      <c r="L1994">
        <f>IFERROR(__xludf.DUMMYFUNCTION("""COMPUTED_VALUE"""),8.0)</f>
        <v>8</v>
      </c>
      <c r="M1994">
        <f>IFERROR(__xludf.DUMMYFUNCTION("""COMPUTED_VALUE"""),13.0)</f>
        <v>13</v>
      </c>
      <c r="N1994" t="str">
        <f>IFERROR(__xludf.DUMMYFUNCTION("""COMPUTED_VALUE"""),"Model 3 SR+")</f>
        <v>Model 3 SR+</v>
      </c>
      <c r="O1994" t="str">
        <f>IFERROR(__xludf.DUMMYFUNCTION("""COMPUTED_VALUE"""),"Solid Black")</f>
        <v>Solid Black</v>
      </c>
      <c r="P1994" t="str">
        <f>IFERROR(__xludf.DUMMYFUNCTION("""COMPUTED_VALUE"""),"18 inch Aero")</f>
        <v>18 inch Aero</v>
      </c>
      <c r="Q1994" t="str">
        <f>IFERROR(__xludf.DUMMYFUNCTION("""COMPUTED_VALUE"""),"Black seats")</f>
        <v>Black seats</v>
      </c>
      <c r="R1994" t="str">
        <f>IFERROR(__xludf.DUMMYFUNCTION("""COMPUTED_VALUE"""),"Full Self-Driving")</f>
        <v>Full Self-Driving</v>
      </c>
      <c r="X1994" t="str">
        <f>IFERROR(__xludf.DUMMYFUNCTION("""COMPUTED_VALUE"""),"Excellent")</f>
        <v>Excellent</v>
      </c>
      <c r="Y1994" t="str">
        <f>IFERROR(__xludf.DUMMYFUNCTION("""COMPUTED_VALUE"""),"Very Good")</f>
        <v>Very Good</v>
      </c>
      <c r="Z1994" t="str">
        <f>IFERROR(__xludf.DUMMYFUNCTION("""COMPUTED_VALUE"""),"Excellent")</f>
        <v>Excellent</v>
      </c>
      <c r="AA1994" t="str">
        <f>IFERROR(__xludf.DUMMYFUNCTION("""COMPUTED_VALUE"""),"Excellent")</f>
        <v>Excellent</v>
      </c>
      <c r="AB1994" t="str">
        <f>IFERROR(__xludf.DUMMYFUNCTION("""COMPUTED_VALUE"""),"Good")</f>
        <v>Good</v>
      </c>
      <c r="AC1994">
        <f>IFERROR(__xludf.DUMMYFUNCTION("""COMPUTED_VALUE"""),2.0)</f>
        <v>2</v>
      </c>
      <c r="AD1994">
        <f>IFERROR(__xludf.DUMMYFUNCTION("""COMPUTED_VALUE"""),2.0)</f>
        <v>2</v>
      </c>
      <c r="AE1994">
        <f>IFERROR(__xludf.DUMMYFUNCTION("""COMPUTED_VALUE"""),1.0)</f>
        <v>1</v>
      </c>
      <c r="AH1994" s="189">
        <f>IFERROR(__xludf.DUMMYFUNCTION("""COMPUTED_VALUE"""),43740.91697034722)</f>
        <v>43740.91697</v>
      </c>
    </row>
    <row r="1995">
      <c r="A1995" t="str">
        <f>IFERROR(__xludf.DUMMYFUNCTION("""COMPUTED_VALUE"""),"judecop")</f>
        <v>judecop</v>
      </c>
      <c r="B1995" t="str">
        <f>IFERROR(__xludf.DUMMYFUNCTION("""COMPUTED_VALUE"""),"Pittsburgh")</f>
        <v>Pittsburgh</v>
      </c>
      <c r="C1995" t="str">
        <f>IFERROR(__xludf.DUMMYFUNCTION("""COMPUTED_VALUE"""),"PA")</f>
        <v>PA</v>
      </c>
      <c r="D1995" t="str">
        <f>IFERROR(__xludf.DUMMYFUNCTION("""COMPUTED_VALUE"""),"USA")</f>
        <v>USA</v>
      </c>
      <c r="E1995" s="188">
        <f>IFERROR(__xludf.DUMMYFUNCTION("""COMPUTED_VALUE"""),43696.0)</f>
        <v>43696</v>
      </c>
      <c r="F1995" s="188">
        <f>IFERROR(__xludf.DUMMYFUNCTION("""COMPUTED_VALUE"""),43716.0)</f>
        <v>43716</v>
      </c>
      <c r="H1995">
        <f>IFERROR(__xludf.DUMMYFUNCTION("""COMPUTED_VALUE"""),470098.0)</f>
        <v>470098</v>
      </c>
      <c r="I1995" t="str">
        <f>IFERROR(__xludf.DUMMYFUNCTION("""COMPUTED_VALUE"""),"09/19")</f>
        <v>09/19</v>
      </c>
      <c r="J1995" s="5">
        <f>IFERROR(__xludf.DUMMYFUNCTION("""COMPUTED_VALUE"""),43722.0)</f>
        <v>43722</v>
      </c>
      <c r="K1995">
        <f>IFERROR(__xludf.DUMMYFUNCTION("""COMPUTED_VALUE"""),20.0)</f>
        <v>20</v>
      </c>
      <c r="L1995">
        <f>IFERROR(__xludf.DUMMYFUNCTION("""COMPUTED_VALUE"""),6.0)</f>
        <v>6</v>
      </c>
      <c r="M1995">
        <f>IFERROR(__xludf.DUMMYFUNCTION("""COMPUTED_VALUE"""),26.0)</f>
        <v>26</v>
      </c>
      <c r="N1995" t="str">
        <f>IFERROR(__xludf.DUMMYFUNCTION("""COMPUTED_VALUE"""),"Model 3 Performance")</f>
        <v>Model 3 Performance</v>
      </c>
      <c r="O1995" t="str">
        <f>IFERROR(__xludf.DUMMYFUNCTION("""COMPUTED_VALUE"""),"Pearl White Multi-Coat")</f>
        <v>Pearl White Multi-Coat</v>
      </c>
      <c r="P1995" t="str">
        <f>IFERROR(__xludf.DUMMYFUNCTION("""COMPUTED_VALUE"""),"20 inch Sport")</f>
        <v>20 inch Sport</v>
      </c>
      <c r="Q1995" t="str">
        <f>IFERROR(__xludf.DUMMYFUNCTION("""COMPUTED_VALUE"""),"White seats")</f>
        <v>White seats</v>
      </c>
      <c r="R1995" t="str">
        <f>IFERROR(__xludf.DUMMYFUNCTION("""COMPUTED_VALUE"""),"Full Self-Driving")</f>
        <v>Full Self-Driving</v>
      </c>
      <c r="X1995" t="str">
        <f>IFERROR(__xludf.DUMMYFUNCTION("""COMPUTED_VALUE"""),"Very Good")</f>
        <v>Very Good</v>
      </c>
      <c r="Y1995" t="str">
        <f>IFERROR(__xludf.DUMMYFUNCTION("""COMPUTED_VALUE"""),"Excellent")</f>
        <v>Excellent</v>
      </c>
      <c r="Z1995" t="str">
        <f>IFERROR(__xludf.DUMMYFUNCTION("""COMPUTED_VALUE"""),"Excellent")</f>
        <v>Excellent</v>
      </c>
      <c r="AA1995" t="str">
        <f>IFERROR(__xludf.DUMMYFUNCTION("""COMPUTED_VALUE"""),"Excellent")</f>
        <v>Excellent</v>
      </c>
      <c r="AB1995" t="str">
        <f>IFERROR(__xludf.DUMMYFUNCTION("""COMPUTED_VALUE"""),"Excellent")</f>
        <v>Excellent</v>
      </c>
      <c r="AH1995" s="189">
        <f>IFERROR(__xludf.DUMMYFUNCTION("""COMPUTED_VALUE"""),43741.20860668982)</f>
        <v>43741.20861</v>
      </c>
    </row>
    <row r="1996">
      <c r="A1996" t="str">
        <f>IFERROR(__xludf.DUMMYFUNCTION("""COMPUTED_VALUE"""),"IamSUCK")</f>
        <v>IamSUCK</v>
      </c>
      <c r="B1996" t="str">
        <f>IFERROR(__xludf.DUMMYFUNCTION("""COMPUTED_VALUE"""),"Santa Clarita")</f>
        <v>Santa Clarita</v>
      </c>
      <c r="C1996" t="str">
        <f>IFERROR(__xludf.DUMMYFUNCTION("""COMPUTED_VALUE"""),"CA")</f>
        <v>CA</v>
      </c>
      <c r="D1996" t="str">
        <f>IFERROR(__xludf.DUMMYFUNCTION("""COMPUTED_VALUE"""),"USA")</f>
        <v>USA</v>
      </c>
      <c r="E1996" s="188">
        <f>IFERROR(__xludf.DUMMYFUNCTION("""COMPUTED_VALUE"""),43685.0)</f>
        <v>43685</v>
      </c>
      <c r="F1996" s="188">
        <f>IFERROR(__xludf.DUMMYFUNCTION("""COMPUTED_VALUE"""),43728.0)</f>
        <v>43728</v>
      </c>
      <c r="J1996" s="5">
        <f>IFERROR(__xludf.DUMMYFUNCTION("""COMPUTED_VALUE"""),43738.0)</f>
        <v>43738</v>
      </c>
      <c r="K1996">
        <f>IFERROR(__xludf.DUMMYFUNCTION("""COMPUTED_VALUE"""),43.0)</f>
        <v>43</v>
      </c>
      <c r="L1996">
        <f>IFERROR(__xludf.DUMMYFUNCTION("""COMPUTED_VALUE"""),10.0)</f>
        <v>10</v>
      </c>
      <c r="M1996">
        <f>IFERROR(__xludf.DUMMYFUNCTION("""COMPUTED_VALUE"""),53.0)</f>
        <v>53</v>
      </c>
      <c r="N1996" t="str">
        <f>IFERROR(__xludf.DUMMYFUNCTION("""COMPUTED_VALUE"""),"Model 3 Performance")</f>
        <v>Model 3 Performance</v>
      </c>
      <c r="O1996" t="str">
        <f>IFERROR(__xludf.DUMMYFUNCTION("""COMPUTED_VALUE"""),"Midnight Silver Metallic")</f>
        <v>Midnight Silver Metallic</v>
      </c>
      <c r="P1996" t="str">
        <f>IFERROR(__xludf.DUMMYFUNCTION("""COMPUTED_VALUE"""),"20 inch Sport")</f>
        <v>20 inch Sport</v>
      </c>
      <c r="Q1996" t="str">
        <f>IFERROR(__xludf.DUMMYFUNCTION("""COMPUTED_VALUE"""),"Black seats")</f>
        <v>Black seats</v>
      </c>
      <c r="R1996" t="str">
        <f>IFERROR(__xludf.DUMMYFUNCTION("""COMPUTED_VALUE"""),"Autopilot")</f>
        <v>Autopilot</v>
      </c>
      <c r="X1996" t="str">
        <f>IFERROR(__xludf.DUMMYFUNCTION("""COMPUTED_VALUE"""),"Very Good")</f>
        <v>Very Good</v>
      </c>
      <c r="Y1996" t="str">
        <f>IFERROR(__xludf.DUMMYFUNCTION("""COMPUTED_VALUE"""),"Very Good")</f>
        <v>Very Good</v>
      </c>
      <c r="Z1996" t="str">
        <f>IFERROR(__xludf.DUMMYFUNCTION("""COMPUTED_VALUE"""),"Very Good")</f>
        <v>Very Good</v>
      </c>
      <c r="AA1996" t="str">
        <f>IFERROR(__xludf.DUMMYFUNCTION("""COMPUTED_VALUE"""),"Poor")</f>
        <v>Poor</v>
      </c>
      <c r="AB1996" t="str">
        <f>IFERROR(__xludf.DUMMYFUNCTION("""COMPUTED_VALUE"""),"Fair")</f>
        <v>Fair</v>
      </c>
      <c r="AH1996" s="189">
        <f>IFERROR(__xludf.DUMMYFUNCTION("""COMPUTED_VALUE"""),43741.320063900464)</f>
        <v>43741.32006</v>
      </c>
    </row>
    <row r="1997">
      <c r="A1997" t="str">
        <f>IFERROR(__xludf.DUMMYFUNCTION("""COMPUTED_VALUE"""),"adamjg")</f>
        <v>adamjg</v>
      </c>
      <c r="B1997" t="str">
        <f>IFERROR(__xludf.DUMMYFUNCTION("""COMPUTED_VALUE"""),"Houston")</f>
        <v>Houston</v>
      </c>
      <c r="C1997" t="str">
        <f>IFERROR(__xludf.DUMMYFUNCTION("""COMPUTED_VALUE"""),"TX")</f>
        <v>TX</v>
      </c>
      <c r="D1997" t="str">
        <f>IFERROR(__xludf.DUMMYFUNCTION("""COMPUTED_VALUE"""),"USA")</f>
        <v>USA</v>
      </c>
      <c r="E1997" s="188">
        <f>IFERROR(__xludf.DUMMYFUNCTION("""COMPUTED_VALUE"""),43706.0)</f>
        <v>43706</v>
      </c>
      <c r="F1997" s="188">
        <f>IFERROR(__xludf.DUMMYFUNCTION("""COMPUTED_VALUE"""),43718.0)</f>
        <v>43718</v>
      </c>
      <c r="H1997">
        <f>IFERROR(__xludf.DUMMYFUNCTION("""COMPUTED_VALUE"""),441355.0)</f>
        <v>441355</v>
      </c>
      <c r="J1997" s="5">
        <f>IFERROR(__xludf.DUMMYFUNCTION("""COMPUTED_VALUE"""),43728.0)</f>
        <v>43728</v>
      </c>
      <c r="K1997">
        <f>IFERROR(__xludf.DUMMYFUNCTION("""COMPUTED_VALUE"""),12.0)</f>
        <v>12</v>
      </c>
      <c r="L1997">
        <f>IFERROR(__xludf.DUMMYFUNCTION("""COMPUTED_VALUE"""),10.0)</f>
        <v>10</v>
      </c>
      <c r="M1997">
        <f>IFERROR(__xludf.DUMMYFUNCTION("""COMPUTED_VALUE"""),22.0)</f>
        <v>22</v>
      </c>
      <c r="N1997" t="str">
        <f>IFERROR(__xludf.DUMMYFUNCTION("""COMPUTED_VALUE"""),"Model 3 SR+")</f>
        <v>Model 3 SR+</v>
      </c>
      <c r="O1997" t="str">
        <f>IFERROR(__xludf.DUMMYFUNCTION("""COMPUTED_VALUE"""),"Deep Blue Metallic")</f>
        <v>Deep Blue Metallic</v>
      </c>
      <c r="P1997" t="str">
        <f>IFERROR(__xludf.DUMMYFUNCTION("""COMPUTED_VALUE"""),"19 inch Sport")</f>
        <v>19 inch Sport</v>
      </c>
      <c r="Q1997" t="str">
        <f>IFERROR(__xludf.DUMMYFUNCTION("""COMPUTED_VALUE"""),"Black seats")</f>
        <v>Black seats</v>
      </c>
      <c r="R1997" t="str">
        <f>IFERROR(__xludf.DUMMYFUNCTION("""COMPUTED_VALUE"""),"Autopilot")</f>
        <v>Autopilot</v>
      </c>
      <c r="X1997" t="str">
        <f>IFERROR(__xludf.DUMMYFUNCTION("""COMPUTED_VALUE"""),"Very Good")</f>
        <v>Very Good</v>
      </c>
      <c r="Y1997" t="str">
        <f>IFERROR(__xludf.DUMMYFUNCTION("""COMPUTED_VALUE"""),"Excellent")</f>
        <v>Excellent</v>
      </c>
      <c r="Z1997" t="str">
        <f>IFERROR(__xludf.DUMMYFUNCTION("""COMPUTED_VALUE"""),"Excellent")</f>
        <v>Excellent</v>
      </c>
      <c r="AA1997" t="str">
        <f>IFERROR(__xludf.DUMMYFUNCTION("""COMPUTED_VALUE"""),"Very Good")</f>
        <v>Very Good</v>
      </c>
      <c r="AB1997" t="str">
        <f>IFERROR(__xludf.DUMMYFUNCTION("""COMPUTED_VALUE"""),"Excellent")</f>
        <v>Excellent</v>
      </c>
      <c r="AH1997" s="189">
        <f>IFERROR(__xludf.DUMMYFUNCTION("""COMPUTED_VALUE"""),43741.42960931713)</f>
        <v>43741.42961</v>
      </c>
    </row>
    <row r="1998">
      <c r="A1998" t="str">
        <f>IFERROR(__xludf.DUMMYFUNCTION("""COMPUTED_VALUE"""),"bluefin")</f>
        <v>bluefin</v>
      </c>
      <c r="B1998" t="str">
        <f>IFERROR(__xludf.DUMMYFUNCTION("""COMPUTED_VALUE"""),"Playa Del Rey")</f>
        <v>Playa Del Rey</v>
      </c>
      <c r="C1998" t="str">
        <f>IFERROR(__xludf.DUMMYFUNCTION("""COMPUTED_VALUE"""),"CA")</f>
        <v>CA</v>
      </c>
      <c r="D1998" t="str">
        <f>IFERROR(__xludf.DUMMYFUNCTION("""COMPUTED_VALUE"""),"USA")</f>
        <v>USA</v>
      </c>
      <c r="E1998" s="188">
        <f>IFERROR(__xludf.DUMMYFUNCTION("""COMPUTED_VALUE"""),43688.0)</f>
        <v>43688</v>
      </c>
      <c r="F1998" s="188">
        <f>IFERROR(__xludf.DUMMYFUNCTION("""COMPUTED_VALUE"""),43730.0)</f>
        <v>43730</v>
      </c>
      <c r="H1998">
        <f>IFERROR(__xludf.DUMMYFUNCTION("""COMPUTED_VALUE"""),498008.0)</f>
        <v>498008</v>
      </c>
      <c r="J1998" s="5">
        <f>IFERROR(__xludf.DUMMYFUNCTION("""COMPUTED_VALUE"""),43741.0)</f>
        <v>43741</v>
      </c>
      <c r="K1998">
        <f>IFERROR(__xludf.DUMMYFUNCTION("""COMPUTED_VALUE"""),42.0)</f>
        <v>42</v>
      </c>
      <c r="L1998">
        <f>IFERROR(__xludf.DUMMYFUNCTION("""COMPUTED_VALUE"""),11.0)</f>
        <v>11</v>
      </c>
      <c r="M1998">
        <f>IFERROR(__xludf.DUMMYFUNCTION("""COMPUTED_VALUE"""),53.0)</f>
        <v>53</v>
      </c>
      <c r="N1998" t="str">
        <f>IFERROR(__xludf.DUMMYFUNCTION("""COMPUTED_VALUE"""),"Model 3 Performance")</f>
        <v>Model 3 Performance</v>
      </c>
      <c r="O1998" t="str">
        <f>IFERROR(__xludf.DUMMYFUNCTION("""COMPUTED_VALUE"""),"Deep Blue Metallic")</f>
        <v>Deep Blue Metallic</v>
      </c>
      <c r="P1998" t="str">
        <f>IFERROR(__xludf.DUMMYFUNCTION("""COMPUTED_VALUE"""),"20 inch Sport")</f>
        <v>20 inch Sport</v>
      </c>
      <c r="Q1998" t="str">
        <f>IFERROR(__xludf.DUMMYFUNCTION("""COMPUTED_VALUE"""),"White seats")</f>
        <v>White seats</v>
      </c>
      <c r="R1998" t="str">
        <f>IFERROR(__xludf.DUMMYFUNCTION("""COMPUTED_VALUE"""),"Full Self-Driving")</f>
        <v>Full Self-Driving</v>
      </c>
      <c r="X1998" t="str">
        <f>IFERROR(__xludf.DUMMYFUNCTION("""COMPUTED_VALUE"""),"Good")</f>
        <v>Good</v>
      </c>
      <c r="Y1998" t="str">
        <f>IFERROR(__xludf.DUMMYFUNCTION("""COMPUTED_VALUE"""),"Fair")</f>
        <v>Fair</v>
      </c>
      <c r="Z1998" t="str">
        <f>IFERROR(__xludf.DUMMYFUNCTION("""COMPUTED_VALUE"""),"Good")</f>
        <v>Good</v>
      </c>
      <c r="AA1998" t="str">
        <f>IFERROR(__xludf.DUMMYFUNCTION("""COMPUTED_VALUE"""),"Fair")</f>
        <v>Fair</v>
      </c>
      <c r="AB1998" t="str">
        <f>IFERROR(__xludf.DUMMYFUNCTION("""COMPUTED_VALUE"""),"Excellent")</f>
        <v>Excellent</v>
      </c>
      <c r="AC1998">
        <f>IFERROR(__xludf.DUMMYFUNCTION("""COMPUTED_VALUE"""),1.0)</f>
        <v>1</v>
      </c>
      <c r="AD1998">
        <f>IFERROR(__xludf.DUMMYFUNCTION("""COMPUTED_VALUE"""),1.0)</f>
        <v>1</v>
      </c>
      <c r="AG1998" t="str">
        <f>IFERROR(__xludf.DUMMYFUNCTION("""COMPUTED_VALUE"""),"9/22 VIN in source code, 9/26 text with tentative delivery 9/27 text car is delayed and will not be delivered tomorrow. ")</f>
        <v>9/22 VIN in source code, 9/26 text with tentative delivery 9/27 text car is delayed and will not be delivered tomorrow. </v>
      </c>
      <c r="AH1998" s="189">
        <f>IFERROR(__xludf.DUMMYFUNCTION("""COMPUTED_VALUE"""),43741.88351646991)</f>
        <v>43741.88352</v>
      </c>
    </row>
    <row r="1999">
      <c r="A1999" t="str">
        <f>IFERROR(__xludf.DUMMYFUNCTION("""COMPUTED_VALUE"""),"MPLS_lakes")</f>
        <v>MPLS_lakes</v>
      </c>
      <c r="B1999" t="str">
        <f>IFERROR(__xludf.DUMMYFUNCTION("""COMPUTED_VALUE"""),"Minneapolis")</f>
        <v>Minneapolis</v>
      </c>
      <c r="C1999" t="str">
        <f>IFERROR(__xludf.DUMMYFUNCTION("""COMPUTED_VALUE"""),"MN")</f>
        <v>MN</v>
      </c>
      <c r="D1999" t="str">
        <f>IFERROR(__xludf.DUMMYFUNCTION("""COMPUTED_VALUE"""),"USA")</f>
        <v>USA</v>
      </c>
      <c r="E1999" s="188">
        <f>IFERROR(__xludf.DUMMYFUNCTION("""COMPUTED_VALUE"""),43699.0)</f>
        <v>43699</v>
      </c>
      <c r="F1999" s="188">
        <f>IFERROR(__xludf.DUMMYFUNCTION("""COMPUTED_VALUE"""),43725.0)</f>
        <v>43725</v>
      </c>
      <c r="H1999" s="4">
        <f>IFERROR(__xludf.DUMMYFUNCTION("""COMPUTED_VALUE"""),486999.0)</f>
        <v>486999</v>
      </c>
      <c r="I1999" t="str">
        <f>IFERROR(__xludf.DUMMYFUNCTION("""COMPUTED_VALUE"""),"09/19")</f>
        <v>09/19</v>
      </c>
      <c r="J1999" s="5">
        <f>IFERROR(__xludf.DUMMYFUNCTION("""COMPUTED_VALUE"""),43732.0)</f>
        <v>43732</v>
      </c>
      <c r="K1999">
        <f>IFERROR(__xludf.DUMMYFUNCTION("""COMPUTED_VALUE"""),26.0)</f>
        <v>26</v>
      </c>
      <c r="L1999">
        <f>IFERROR(__xludf.DUMMYFUNCTION("""COMPUTED_VALUE"""),7.0)</f>
        <v>7</v>
      </c>
      <c r="M1999">
        <f>IFERROR(__xludf.DUMMYFUNCTION("""COMPUTED_VALUE"""),33.0)</f>
        <v>33</v>
      </c>
      <c r="N1999" t="str">
        <f>IFERROR(__xludf.DUMMYFUNCTION("""COMPUTED_VALUE"""),"Model 3 Performance")</f>
        <v>Model 3 Performance</v>
      </c>
      <c r="O1999" t="str">
        <f>IFERROR(__xludf.DUMMYFUNCTION("""COMPUTED_VALUE"""),"Pearl White Multi-Coat")</f>
        <v>Pearl White Multi-Coat</v>
      </c>
      <c r="P1999" t="str">
        <f>IFERROR(__xludf.DUMMYFUNCTION("""COMPUTED_VALUE"""),"20 inch Sport")</f>
        <v>20 inch Sport</v>
      </c>
      <c r="Q1999" t="str">
        <f>IFERROR(__xludf.DUMMYFUNCTION("""COMPUTED_VALUE"""),"Black seats")</f>
        <v>Black seats</v>
      </c>
      <c r="R1999" t="str">
        <f>IFERROR(__xludf.DUMMYFUNCTION("""COMPUTED_VALUE"""),"Autopilot")</f>
        <v>Autopilot</v>
      </c>
      <c r="X1999" t="str">
        <f>IFERROR(__xludf.DUMMYFUNCTION("""COMPUTED_VALUE"""),"Excellent")</f>
        <v>Excellent</v>
      </c>
      <c r="Y1999" t="str">
        <f>IFERROR(__xludf.DUMMYFUNCTION("""COMPUTED_VALUE"""),"Very Good")</f>
        <v>Very Good</v>
      </c>
      <c r="Z1999" t="str">
        <f>IFERROR(__xludf.DUMMYFUNCTION("""COMPUTED_VALUE"""),"Very Good")</f>
        <v>Very Good</v>
      </c>
      <c r="AA1999" t="str">
        <f>IFERROR(__xludf.DUMMYFUNCTION("""COMPUTED_VALUE"""),"Very Good")</f>
        <v>Very Good</v>
      </c>
      <c r="AB1999" t="str">
        <f>IFERROR(__xludf.DUMMYFUNCTION("""COMPUTED_VALUE"""),"Very Good")</f>
        <v>Very Good</v>
      </c>
      <c r="AC1999">
        <f>IFERROR(__xludf.DUMMYFUNCTION("""COMPUTED_VALUE"""),1.0)</f>
        <v>1</v>
      </c>
      <c r="AG1999" t="str">
        <f>IFERROR(__xludf.DUMMYFUNCTION("""COMPUTED_VALUE"""),"Delivery taken early, 9/23 | Arrived at Dealer, 9/21 | Delivery Scheduled, 9/24 | VIN in Source Code, 9/17 | Text Received 9/14: Tesla Update � We expect to deliver your Model 3 in the next two weeks and will update you when your delivery appointment is r"&amp;"eady to be scheduled.")</f>
        <v>Delivery taken early, 9/23 | Arrived at Dealer, 9/21 | Delivery Scheduled, 9/24 | VIN in Source Code, 9/17 | Text Received 9/14: Tesla Update � We expect to deliver your Model 3 in the next two weeks and will update you when your delivery appointment is ready to be scheduled.</v>
      </c>
      <c r="AH1999" s="189">
        <f>IFERROR(__xludf.DUMMYFUNCTION("""COMPUTED_VALUE"""),43744.865025023144)</f>
        <v>43744.86503</v>
      </c>
    </row>
    <row r="2000">
      <c r="A2000" t="str">
        <f>IFERROR(__xludf.DUMMYFUNCTION("""COMPUTED_VALUE"""),"csl")</f>
        <v>csl</v>
      </c>
      <c r="B2000" t="str">
        <f>IFERROR(__xludf.DUMMYFUNCTION("""COMPUTED_VALUE"""),"tarpon springs")</f>
        <v>tarpon springs</v>
      </c>
      <c r="C2000" t="str">
        <f>IFERROR(__xludf.DUMMYFUNCTION("""COMPUTED_VALUE"""),"FL")</f>
        <v>FL</v>
      </c>
      <c r="D2000" t="str">
        <f>IFERROR(__xludf.DUMMYFUNCTION("""COMPUTED_VALUE"""),"USA")</f>
        <v>USA</v>
      </c>
      <c r="E2000" s="188">
        <f>IFERROR(__xludf.DUMMYFUNCTION("""COMPUTED_VALUE"""),43680.0)</f>
        <v>43680</v>
      </c>
      <c r="F2000" s="188">
        <f>IFERROR(__xludf.DUMMYFUNCTION("""COMPUTED_VALUE"""),43716.0)</f>
        <v>43716</v>
      </c>
      <c r="H2000" s="4">
        <f>IFERROR(__xludf.DUMMYFUNCTION("""COMPUTED_VALUE"""),487341.0)</f>
        <v>487341</v>
      </c>
      <c r="I2000" t="str">
        <f>IFERROR(__xludf.DUMMYFUNCTION("""COMPUTED_VALUE"""),"09/19")</f>
        <v>09/19</v>
      </c>
      <c r="J2000" s="5">
        <f>IFERROR(__xludf.DUMMYFUNCTION("""COMPUTED_VALUE"""),43723.0)</f>
        <v>43723</v>
      </c>
      <c r="K2000">
        <f>IFERROR(__xludf.DUMMYFUNCTION("""COMPUTED_VALUE"""),36.0)</f>
        <v>36</v>
      </c>
      <c r="L2000">
        <f>IFERROR(__xludf.DUMMYFUNCTION("""COMPUTED_VALUE"""),7.0)</f>
        <v>7</v>
      </c>
      <c r="M2000">
        <f>IFERROR(__xludf.DUMMYFUNCTION("""COMPUTED_VALUE"""),43.0)</f>
        <v>43</v>
      </c>
      <c r="N2000" t="str">
        <f>IFERROR(__xludf.DUMMYFUNCTION("""COMPUTED_VALUE"""),"Model 3 Performance")</f>
        <v>Model 3 Performance</v>
      </c>
      <c r="O2000" t="str">
        <f>IFERROR(__xludf.DUMMYFUNCTION("""COMPUTED_VALUE"""),"Pearl White Multi-Coat")</f>
        <v>Pearl White Multi-Coat</v>
      </c>
      <c r="P2000" t="str">
        <f>IFERROR(__xludf.DUMMYFUNCTION("""COMPUTED_VALUE"""),"20 inch Sport")</f>
        <v>20 inch Sport</v>
      </c>
      <c r="Q2000" t="str">
        <f>IFERROR(__xludf.DUMMYFUNCTION("""COMPUTED_VALUE"""),"White seats")</f>
        <v>White seats</v>
      </c>
      <c r="R2000" t="str">
        <f>IFERROR(__xludf.DUMMYFUNCTION("""COMPUTED_VALUE"""),"Full Self-Driving")</f>
        <v>Full Self-Driving</v>
      </c>
      <c r="X2000" t="str">
        <f>IFERROR(__xludf.DUMMYFUNCTION("""COMPUTED_VALUE"""),"Good")</f>
        <v>Good</v>
      </c>
      <c r="Y2000" t="str">
        <f>IFERROR(__xludf.DUMMYFUNCTION("""COMPUTED_VALUE"""),"Fair")</f>
        <v>Fair</v>
      </c>
      <c r="Z2000" t="str">
        <f>IFERROR(__xludf.DUMMYFUNCTION("""COMPUTED_VALUE"""),"Good")</f>
        <v>Good</v>
      </c>
      <c r="AA2000" t="str">
        <f>IFERROR(__xludf.DUMMYFUNCTION("""COMPUTED_VALUE"""),"Poor")</f>
        <v>Poor</v>
      </c>
      <c r="AB2000" t="str">
        <f>IFERROR(__xludf.DUMMYFUNCTION("""COMPUTED_VALUE"""),"Fair")</f>
        <v>Fair</v>
      </c>
      <c r="AC2000">
        <f>IFERROR(__xludf.DUMMYFUNCTION("""COMPUTED_VALUE"""),5.0)</f>
        <v>5</v>
      </c>
      <c r="AD2000">
        <f>IFERROR(__xludf.DUMMYFUNCTION("""COMPUTED_VALUE"""),1.0)</f>
        <v>1</v>
      </c>
      <c r="AE2000">
        <f>IFERROR(__xludf.DUMMYFUNCTION("""COMPUTED_VALUE"""),1.0)</f>
        <v>1</v>
      </c>
      <c r="AH2000" s="189">
        <f>IFERROR(__xludf.DUMMYFUNCTION("""COMPUTED_VALUE"""),43747.15945209491)</f>
        <v>43747.15945</v>
      </c>
    </row>
    <row r="2001">
      <c r="A2001" t="str">
        <f>IFERROR(__xludf.DUMMYFUNCTION("""COMPUTED_VALUE"""),"TexInFla")</f>
        <v>TexInFla</v>
      </c>
      <c r="B2001" t="str">
        <f>IFERROR(__xludf.DUMMYFUNCTION("""COMPUTED_VALUE"""),"Gainesville")</f>
        <v>Gainesville</v>
      </c>
      <c r="C2001" t="str">
        <f>IFERROR(__xludf.DUMMYFUNCTION("""COMPUTED_VALUE"""),"FL")</f>
        <v>FL</v>
      </c>
      <c r="D2001" t="str">
        <f>IFERROR(__xludf.DUMMYFUNCTION("""COMPUTED_VALUE"""),"USA")</f>
        <v>USA</v>
      </c>
      <c r="E2001" s="188">
        <f>IFERROR(__xludf.DUMMYFUNCTION("""COMPUTED_VALUE"""),43709.0)</f>
        <v>43709</v>
      </c>
      <c r="F2001" s="188">
        <f>IFERROR(__xludf.DUMMYFUNCTION("""COMPUTED_VALUE"""),43718.0)</f>
        <v>43718</v>
      </c>
      <c r="H2001">
        <f>IFERROR(__xludf.DUMMYFUNCTION("""COMPUTED_VALUE"""),450948.0)</f>
        <v>450948</v>
      </c>
      <c r="I2001" t="str">
        <f>IFERROR(__xludf.DUMMYFUNCTION("""COMPUTED_VALUE"""),"09/19")</f>
        <v>09/19</v>
      </c>
      <c r="J2001" s="5">
        <f>IFERROR(__xludf.DUMMYFUNCTION("""COMPUTED_VALUE"""),43725.0)</f>
        <v>43725</v>
      </c>
      <c r="K2001">
        <f>IFERROR(__xludf.DUMMYFUNCTION("""COMPUTED_VALUE"""),9.0)</f>
        <v>9</v>
      </c>
      <c r="L2001">
        <f>IFERROR(__xludf.DUMMYFUNCTION("""COMPUTED_VALUE"""),7.0)</f>
        <v>7</v>
      </c>
      <c r="M2001">
        <f>IFERROR(__xludf.DUMMYFUNCTION("""COMPUTED_VALUE"""),16.0)</f>
        <v>16</v>
      </c>
      <c r="N2001" t="str">
        <f>IFERROR(__xludf.DUMMYFUNCTION("""COMPUTED_VALUE"""),"Model 3 LR AWD")</f>
        <v>Model 3 LR AWD</v>
      </c>
      <c r="O2001" t="str">
        <f>IFERROR(__xludf.DUMMYFUNCTION("""COMPUTED_VALUE"""),"Deep Blue Metallic")</f>
        <v>Deep Blue Metallic</v>
      </c>
      <c r="P2001" t="str">
        <f>IFERROR(__xludf.DUMMYFUNCTION("""COMPUTED_VALUE"""),"19 inch Sport")</f>
        <v>19 inch Sport</v>
      </c>
      <c r="Q2001" t="str">
        <f>IFERROR(__xludf.DUMMYFUNCTION("""COMPUTED_VALUE"""),"White seats")</f>
        <v>White seats</v>
      </c>
      <c r="R2001" t="str">
        <f>IFERROR(__xludf.DUMMYFUNCTION("""COMPUTED_VALUE"""),"Full Self-Driving")</f>
        <v>Full Self-Driving</v>
      </c>
      <c r="X2001" t="str">
        <f>IFERROR(__xludf.DUMMYFUNCTION("""COMPUTED_VALUE"""),"Excellent")</f>
        <v>Excellent</v>
      </c>
      <c r="Y2001" t="str">
        <f>IFERROR(__xludf.DUMMYFUNCTION("""COMPUTED_VALUE"""),"Excellent")</f>
        <v>Excellent</v>
      </c>
      <c r="Z2001" t="str">
        <f>IFERROR(__xludf.DUMMYFUNCTION("""COMPUTED_VALUE"""),"Excellent")</f>
        <v>Excellent</v>
      </c>
      <c r="AA2001" t="str">
        <f>IFERROR(__xludf.DUMMYFUNCTION("""COMPUTED_VALUE"""),"Good")</f>
        <v>Good</v>
      </c>
      <c r="AB2001" t="str">
        <f>IFERROR(__xludf.DUMMYFUNCTION("""COMPUTED_VALUE"""),"Very Good")</f>
        <v>Very Good</v>
      </c>
      <c r="AC2001">
        <f>IFERROR(__xludf.DUMMYFUNCTION("""COMPUTED_VALUE"""),0.0)</f>
        <v>0</v>
      </c>
      <c r="AD2001">
        <f>IFERROR(__xludf.DUMMYFUNCTION("""COMPUTED_VALUE"""),1.0)</f>
        <v>1</v>
      </c>
      <c r="AE2001">
        <f>IFERROR(__xludf.DUMMYFUNCTION("""COMPUTED_VALUE"""),0.0)</f>
        <v>0</v>
      </c>
      <c r="AG2001" t="str">
        <f>IFERROR(__xludf.DUMMYFUNCTION("""COMPUTED_VALUE"""),"Best car I've ever owned!")</f>
        <v>Best car I've ever owned!</v>
      </c>
      <c r="AH2001" s="189">
        <f>IFERROR(__xludf.DUMMYFUNCTION("""COMPUTED_VALUE"""),43749.27261508102)</f>
        <v>43749.27262</v>
      </c>
    </row>
    <row r="2002">
      <c r="A2002" t="str">
        <f>IFERROR(__xludf.DUMMYFUNCTION("""COMPUTED_VALUE"""),"Mongenel")</f>
        <v>Mongenel</v>
      </c>
      <c r="B2002" t="str">
        <f>IFERROR(__xludf.DUMMYFUNCTION("""COMPUTED_VALUE"""),"Seattle")</f>
        <v>Seattle</v>
      </c>
      <c r="C2002" t="str">
        <f>IFERROR(__xludf.DUMMYFUNCTION("""COMPUTED_VALUE"""),"WA")</f>
        <v>WA</v>
      </c>
      <c r="D2002" t="str">
        <f>IFERROR(__xludf.DUMMYFUNCTION("""COMPUTED_VALUE"""),"USA")</f>
        <v>USA</v>
      </c>
      <c r="E2002" s="188">
        <f>IFERROR(__xludf.DUMMYFUNCTION("""COMPUTED_VALUE"""),43674.0)</f>
        <v>43674</v>
      </c>
      <c r="F2002" s="188">
        <f>IFERROR(__xludf.DUMMYFUNCTION("""COMPUTED_VALUE"""),43724.0)</f>
        <v>43724</v>
      </c>
      <c r="H2002">
        <f>IFERROR(__xludf.DUMMYFUNCTION("""COMPUTED_VALUE"""),487555.0)</f>
        <v>487555</v>
      </c>
      <c r="I2002" t="str">
        <f>IFERROR(__xludf.DUMMYFUNCTION("""COMPUTED_VALUE"""),"09/19")</f>
        <v>09/19</v>
      </c>
      <c r="J2002" s="5">
        <f>IFERROR(__xludf.DUMMYFUNCTION("""COMPUTED_VALUE"""),43728.0)</f>
        <v>43728</v>
      </c>
      <c r="K2002">
        <f>IFERROR(__xludf.DUMMYFUNCTION("""COMPUTED_VALUE"""),50.0)</f>
        <v>50</v>
      </c>
      <c r="L2002">
        <f>IFERROR(__xludf.DUMMYFUNCTION("""COMPUTED_VALUE"""),4.0)</f>
        <v>4</v>
      </c>
      <c r="M2002">
        <f>IFERROR(__xludf.DUMMYFUNCTION("""COMPUTED_VALUE"""),54.0)</f>
        <v>54</v>
      </c>
      <c r="N2002" t="str">
        <f>IFERROR(__xludf.DUMMYFUNCTION("""COMPUTED_VALUE"""),"Model 3 Performance")</f>
        <v>Model 3 Performance</v>
      </c>
      <c r="O2002" t="str">
        <f>IFERROR(__xludf.DUMMYFUNCTION("""COMPUTED_VALUE"""),"Pearl White Multi-Coat")</f>
        <v>Pearl White Multi-Coat</v>
      </c>
      <c r="P2002" t="str">
        <f>IFERROR(__xludf.DUMMYFUNCTION("""COMPUTED_VALUE"""),"20 inch Sport")</f>
        <v>20 inch Sport</v>
      </c>
      <c r="Q2002" t="str">
        <f>IFERROR(__xludf.DUMMYFUNCTION("""COMPUTED_VALUE"""),"White seats")</f>
        <v>White seats</v>
      </c>
      <c r="R2002" t="str">
        <f>IFERROR(__xludf.DUMMYFUNCTION("""COMPUTED_VALUE"""),"Full Self-Driving")</f>
        <v>Full Self-Driving</v>
      </c>
      <c r="X2002" t="str">
        <f>IFERROR(__xludf.DUMMYFUNCTION("""COMPUTED_VALUE"""),"Good")</f>
        <v>Good</v>
      </c>
      <c r="Y2002" t="str">
        <f>IFERROR(__xludf.DUMMYFUNCTION("""COMPUTED_VALUE"""),"Excellent")</f>
        <v>Excellent</v>
      </c>
      <c r="Z2002" t="str">
        <f>IFERROR(__xludf.DUMMYFUNCTION("""COMPUTED_VALUE"""),"Fair")</f>
        <v>Fair</v>
      </c>
      <c r="AA2002" t="str">
        <f>IFERROR(__xludf.DUMMYFUNCTION("""COMPUTED_VALUE"""),"Poor")</f>
        <v>Poor</v>
      </c>
      <c r="AB2002" t="str">
        <f>IFERROR(__xludf.DUMMYFUNCTION("""COMPUTED_VALUE"""),"Fair")</f>
        <v>Fair</v>
      </c>
      <c r="AC2002">
        <f>IFERROR(__xludf.DUMMYFUNCTION("""COMPUTED_VALUE"""),2.0)</f>
        <v>2</v>
      </c>
      <c r="AD2002">
        <f>IFERROR(__xludf.DUMMYFUNCTION("""COMPUTED_VALUE"""),0.0)</f>
        <v>0</v>
      </c>
      <c r="AG2002" t="str">
        <f>IFERROR(__xludf.DUMMYFUNCTION("""COMPUTED_VALUE"""),"VIN in source after 7 weeks")</f>
        <v>VIN in source after 7 weeks</v>
      </c>
      <c r="AH2002" s="189">
        <f>IFERROR(__xludf.DUMMYFUNCTION("""COMPUTED_VALUE"""),43751.38626630787)</f>
        <v>43751.38627</v>
      </c>
    </row>
    <row r="2003">
      <c r="A2003" t="str">
        <f>IFERROR(__xludf.DUMMYFUNCTION("""COMPUTED_VALUE"""),"DopeGhoti")</f>
        <v>DopeGhoti</v>
      </c>
      <c r="B2003" t="str">
        <f>IFERROR(__xludf.DUMMYFUNCTION("""COMPUTED_VALUE"""),"Scottsdale")</f>
        <v>Scottsdale</v>
      </c>
      <c r="C2003" t="str">
        <f>IFERROR(__xludf.DUMMYFUNCTION("""COMPUTED_VALUE"""),"AZ")</f>
        <v>AZ</v>
      </c>
      <c r="D2003" t="str">
        <f>IFERROR(__xludf.DUMMYFUNCTION("""COMPUTED_VALUE"""),"USA")</f>
        <v>USA</v>
      </c>
      <c r="E2003" s="188">
        <f>IFERROR(__xludf.DUMMYFUNCTION("""COMPUTED_VALUE"""),43698.0)</f>
        <v>43698</v>
      </c>
      <c r="F2003" s="188">
        <f>IFERROR(__xludf.DUMMYFUNCTION("""COMPUTED_VALUE"""),43720.0)</f>
        <v>43720</v>
      </c>
      <c r="H2003">
        <f>IFERROR(__xludf.DUMMYFUNCTION("""COMPUTED_VALUE"""),510455.0)</f>
        <v>510455</v>
      </c>
      <c r="I2003" t="str">
        <f>IFERROR(__xludf.DUMMYFUNCTION("""COMPUTED_VALUE"""),"09/19")</f>
        <v>09/19</v>
      </c>
      <c r="J2003" s="5">
        <f>IFERROR(__xludf.DUMMYFUNCTION("""COMPUTED_VALUE"""),43724.0)</f>
        <v>43724</v>
      </c>
      <c r="K2003">
        <f>IFERROR(__xludf.DUMMYFUNCTION("""COMPUTED_VALUE"""),22.0)</f>
        <v>22</v>
      </c>
      <c r="L2003">
        <f>IFERROR(__xludf.DUMMYFUNCTION("""COMPUTED_VALUE"""),4.0)</f>
        <v>4</v>
      </c>
      <c r="M2003">
        <f>IFERROR(__xludf.DUMMYFUNCTION("""COMPUTED_VALUE"""),26.0)</f>
        <v>26</v>
      </c>
      <c r="N2003" t="str">
        <f>IFERROR(__xludf.DUMMYFUNCTION("""COMPUTED_VALUE"""),"Model 3 LR AWD")</f>
        <v>Model 3 LR AWD</v>
      </c>
      <c r="O2003" t="str">
        <f>IFERROR(__xludf.DUMMYFUNCTION("""COMPUTED_VALUE"""),"Pearl White Multi-Coat")</f>
        <v>Pearl White Multi-Coat</v>
      </c>
      <c r="P2003" t="str">
        <f>IFERROR(__xludf.DUMMYFUNCTION("""COMPUTED_VALUE"""),"18 inch Aero")</f>
        <v>18 inch Aero</v>
      </c>
      <c r="Q2003" t="str">
        <f>IFERROR(__xludf.DUMMYFUNCTION("""COMPUTED_VALUE"""),"Black seats")</f>
        <v>Black seats</v>
      </c>
      <c r="R2003" t="str">
        <f>IFERROR(__xludf.DUMMYFUNCTION("""COMPUTED_VALUE"""),"Full Self-Driving")</f>
        <v>Full Self-Driving</v>
      </c>
      <c r="X2003" t="str">
        <f>IFERROR(__xludf.DUMMYFUNCTION("""COMPUTED_VALUE"""),"Good")</f>
        <v>Good</v>
      </c>
      <c r="Y2003" t="str">
        <f>IFERROR(__xludf.DUMMYFUNCTION("""COMPUTED_VALUE"""),"Very Good")</f>
        <v>Very Good</v>
      </c>
      <c r="Z2003" t="str">
        <f>IFERROR(__xludf.DUMMYFUNCTION("""COMPUTED_VALUE"""),"Excellent")</f>
        <v>Excellent</v>
      </c>
      <c r="AA2003" t="str">
        <f>IFERROR(__xludf.DUMMYFUNCTION("""COMPUTED_VALUE"""),"Poor")</f>
        <v>Poor</v>
      </c>
      <c r="AB2003" t="str">
        <f>IFERROR(__xludf.DUMMYFUNCTION("""COMPUTED_VALUE"""),"Good")</f>
        <v>Good</v>
      </c>
      <c r="AC2003">
        <f>IFERROR(__xludf.DUMMYFUNCTION("""COMPUTED_VALUE"""),1.0)</f>
        <v>1</v>
      </c>
      <c r="AD2003">
        <f>IFERROR(__xludf.DUMMYFUNCTION("""COMPUTED_VALUE"""),1.0)</f>
        <v>1</v>
      </c>
      <c r="AE2003">
        <f>IFERROR(__xludf.DUMMYFUNCTION("""COMPUTED_VALUE"""),0.0)</f>
        <v>0</v>
      </c>
      <c r="AG2003" t="str">
        <f>IFERROR(__xludf.DUMMYFUNCTION("""COMPUTED_VALUE"""),"Had trouble setting up phone-as-key and Summon; steering wheel canted clockwise from center.")</f>
        <v>Had trouble setting up phone-as-key and Summon; steering wheel canted clockwise from center.</v>
      </c>
      <c r="AH2003" s="189">
        <f>IFERROR(__xludf.DUMMYFUNCTION("""COMPUTED_VALUE"""),43751.45154844907)</f>
        <v>43751.45155</v>
      </c>
    </row>
    <row r="2004">
      <c r="A2004" t="str">
        <f>IFERROR(__xludf.DUMMYFUNCTION("""COMPUTED_VALUE"""),"obriensa24")</f>
        <v>obriensa24</v>
      </c>
      <c r="B2004" t="str">
        <f>IFERROR(__xludf.DUMMYFUNCTION("""COMPUTED_VALUE"""),"San Diego")</f>
        <v>San Diego</v>
      </c>
      <c r="C2004" t="str">
        <f>IFERROR(__xludf.DUMMYFUNCTION("""COMPUTED_VALUE"""),"CA")</f>
        <v>CA</v>
      </c>
      <c r="D2004" t="str">
        <f>IFERROR(__xludf.DUMMYFUNCTION("""COMPUTED_VALUE"""),"USA")</f>
        <v>USA</v>
      </c>
      <c r="E2004" s="188">
        <f>IFERROR(__xludf.DUMMYFUNCTION("""COMPUTED_VALUE"""),43688.0)</f>
        <v>43688</v>
      </c>
      <c r="F2004" s="188">
        <f>IFERROR(__xludf.DUMMYFUNCTION("""COMPUTED_VALUE"""),43712.0)</f>
        <v>43712</v>
      </c>
      <c r="H2004" s="4">
        <f>IFERROR(__xludf.DUMMYFUNCTION("""COMPUTED_VALUE"""),453594.0)</f>
        <v>453594</v>
      </c>
      <c r="I2004" t="str">
        <f>IFERROR(__xludf.DUMMYFUNCTION("""COMPUTED_VALUE"""),"09/19")</f>
        <v>09/19</v>
      </c>
      <c r="J2004" s="5">
        <f>IFERROR(__xludf.DUMMYFUNCTION("""COMPUTED_VALUE"""),43715.0)</f>
        <v>43715</v>
      </c>
      <c r="K2004">
        <f>IFERROR(__xludf.DUMMYFUNCTION("""COMPUTED_VALUE"""),24.0)</f>
        <v>24</v>
      </c>
      <c r="L2004">
        <f>IFERROR(__xludf.DUMMYFUNCTION("""COMPUTED_VALUE"""),3.0)</f>
        <v>3</v>
      </c>
      <c r="M2004">
        <f>IFERROR(__xludf.DUMMYFUNCTION("""COMPUTED_VALUE"""),27.0)</f>
        <v>27</v>
      </c>
      <c r="N2004" t="str">
        <f>IFERROR(__xludf.DUMMYFUNCTION("""COMPUTED_VALUE"""),"Model 3 LR AWD")</f>
        <v>Model 3 LR AWD</v>
      </c>
      <c r="O2004" t="str">
        <f>IFERROR(__xludf.DUMMYFUNCTION("""COMPUTED_VALUE"""),"Midnight Silver Metallic")</f>
        <v>Midnight Silver Metallic</v>
      </c>
      <c r="P2004" t="str">
        <f>IFERROR(__xludf.DUMMYFUNCTION("""COMPUTED_VALUE"""),"19 inch Sport")</f>
        <v>19 inch Sport</v>
      </c>
      <c r="Q2004" t="str">
        <f>IFERROR(__xludf.DUMMYFUNCTION("""COMPUTED_VALUE"""),"Black seats")</f>
        <v>Black seats</v>
      </c>
      <c r="R2004" t="str">
        <f>IFERROR(__xludf.DUMMYFUNCTION("""COMPUTED_VALUE"""),"Autopilot")</f>
        <v>Autopilot</v>
      </c>
      <c r="X2004" t="str">
        <f>IFERROR(__xludf.DUMMYFUNCTION("""COMPUTED_VALUE"""),"Very Good")</f>
        <v>Very Good</v>
      </c>
      <c r="Y2004" t="str">
        <f>IFERROR(__xludf.DUMMYFUNCTION("""COMPUTED_VALUE"""),"Very Good")</f>
        <v>Very Good</v>
      </c>
      <c r="Z2004" t="str">
        <f>IFERROR(__xludf.DUMMYFUNCTION("""COMPUTED_VALUE"""),"Very Good")</f>
        <v>Very Good</v>
      </c>
      <c r="AA2004" t="str">
        <f>IFERROR(__xludf.DUMMYFUNCTION("""COMPUTED_VALUE"""),"Very Good")</f>
        <v>Very Good</v>
      </c>
      <c r="AB2004" t="str">
        <f>IFERROR(__xludf.DUMMYFUNCTION("""COMPUTED_VALUE"""),"Fair")</f>
        <v>Fair</v>
      </c>
      <c r="AC2004">
        <f>IFERROR(__xludf.DUMMYFUNCTION("""COMPUTED_VALUE"""),3.0)</f>
        <v>3</v>
      </c>
      <c r="AD2004">
        <f>IFERROR(__xludf.DUMMYFUNCTION("""COMPUTED_VALUE"""),2.0)</f>
        <v>2</v>
      </c>
      <c r="AE2004">
        <f>IFERROR(__xludf.DUMMYFUNCTION("""COMPUTED_VALUE"""),1.0)</f>
        <v>1</v>
      </c>
      <c r="AG2004" t="str">
        <f>IFERROR(__xludf.DUMMYFUNCTION("""COMPUTED_VALUE"""),"Car quality great, a bit dirty inside, few minor issues to address (high speed rattle, squeak over bumps))")</f>
        <v>Car quality great, a bit dirty inside, few minor issues to address (high speed rattle, squeak over bumps))</v>
      </c>
      <c r="AH2004" s="189">
        <f>IFERROR(__xludf.DUMMYFUNCTION("""COMPUTED_VALUE"""),43753.61443918981)</f>
        <v>43753.61444</v>
      </c>
    </row>
    <row r="2005">
      <c r="A2005" t="str">
        <f>IFERROR(__xludf.DUMMYFUNCTION("""COMPUTED_VALUE"""),"mastervm")</f>
        <v>mastervm</v>
      </c>
      <c r="B2005" t="str">
        <f>IFERROR(__xludf.DUMMYFUNCTION("""COMPUTED_VALUE"""),"South San Francisco")</f>
        <v>South San Francisco</v>
      </c>
      <c r="C2005" t="str">
        <f>IFERROR(__xludf.DUMMYFUNCTION("""COMPUTED_VALUE"""),"CA")</f>
        <v>CA</v>
      </c>
      <c r="D2005" t="str">
        <f>IFERROR(__xludf.DUMMYFUNCTION("""COMPUTED_VALUE"""),"USA")</f>
        <v>USA</v>
      </c>
      <c r="E2005" s="188">
        <f>IFERROR(__xludf.DUMMYFUNCTION("""COMPUTED_VALUE"""),43675.0)</f>
        <v>43675</v>
      </c>
      <c r="F2005" s="188">
        <f>IFERROR(__xludf.DUMMYFUNCTION("""COMPUTED_VALUE"""),43716.0)</f>
        <v>43716</v>
      </c>
      <c r="H2005">
        <f>IFERROR(__xludf.DUMMYFUNCTION("""COMPUTED_VALUE"""),454937.0)</f>
        <v>454937</v>
      </c>
      <c r="I2005" t="str">
        <f>IFERROR(__xludf.DUMMYFUNCTION("""COMPUTED_VALUE"""),"09/19")</f>
        <v>09/19</v>
      </c>
      <c r="J2005" s="5">
        <f>IFERROR(__xludf.DUMMYFUNCTION("""COMPUTED_VALUE"""),43722.0)</f>
        <v>43722</v>
      </c>
      <c r="K2005">
        <f>IFERROR(__xludf.DUMMYFUNCTION("""COMPUTED_VALUE"""),41.0)</f>
        <v>41</v>
      </c>
      <c r="L2005">
        <f>IFERROR(__xludf.DUMMYFUNCTION("""COMPUTED_VALUE"""),6.0)</f>
        <v>6</v>
      </c>
      <c r="M2005">
        <f>IFERROR(__xludf.DUMMYFUNCTION("""COMPUTED_VALUE"""),47.0)</f>
        <v>47</v>
      </c>
      <c r="N2005" t="str">
        <f>IFERROR(__xludf.DUMMYFUNCTION("""COMPUTED_VALUE"""),"Model 3 Performance")</f>
        <v>Model 3 Performance</v>
      </c>
      <c r="O2005" t="str">
        <f>IFERROR(__xludf.DUMMYFUNCTION("""COMPUTED_VALUE"""),"Red Multi-Coat")</f>
        <v>Red Multi-Coat</v>
      </c>
      <c r="P2005" t="str">
        <f>IFERROR(__xludf.DUMMYFUNCTION("""COMPUTED_VALUE"""),"20 inch Sport")</f>
        <v>20 inch Sport</v>
      </c>
      <c r="Q2005" t="str">
        <f>IFERROR(__xludf.DUMMYFUNCTION("""COMPUTED_VALUE"""),"White seats")</f>
        <v>White seats</v>
      </c>
      <c r="R2005" t="str">
        <f>IFERROR(__xludf.DUMMYFUNCTION("""COMPUTED_VALUE"""),"Full Self-Driving")</f>
        <v>Full Self-Driving</v>
      </c>
      <c r="X2005" t="str">
        <f>IFERROR(__xludf.DUMMYFUNCTION("""COMPUTED_VALUE"""),"Excellent")</f>
        <v>Excellent</v>
      </c>
      <c r="Y2005" t="str">
        <f>IFERROR(__xludf.DUMMYFUNCTION("""COMPUTED_VALUE"""),"Excellent")</f>
        <v>Excellent</v>
      </c>
      <c r="Z2005" t="str">
        <f>IFERROR(__xludf.DUMMYFUNCTION("""COMPUTED_VALUE"""),"Very Good")</f>
        <v>Very Good</v>
      </c>
      <c r="AA2005" t="str">
        <f>IFERROR(__xludf.DUMMYFUNCTION("""COMPUTED_VALUE"""),"Poor")</f>
        <v>Poor</v>
      </c>
      <c r="AB2005" t="str">
        <f>IFERROR(__xludf.DUMMYFUNCTION("""COMPUTED_VALUE"""),"Very Good")</f>
        <v>Very Good</v>
      </c>
      <c r="AC2005">
        <f>IFERROR(__xludf.DUMMYFUNCTION("""COMPUTED_VALUE"""),6.0)</f>
        <v>6</v>
      </c>
      <c r="AD2005">
        <f>IFERROR(__xludf.DUMMYFUNCTION("""COMPUTED_VALUE"""),1.0)</f>
        <v>1</v>
      </c>
      <c r="AE2005">
        <f>IFERROR(__xludf.DUMMYFUNCTION("""COMPUTED_VALUE"""),1.0)</f>
        <v>1</v>
      </c>
      <c r="AG2005" t="str">
        <f>IFERROR(__xludf.DUMMYFUNCTION("""COMPUTED_VALUE"""),"Scratch, left rear side panel - topcoat sanded and buffed during delivery. Chip, right rear passenger door - SC fixed. Missing bolt, front passenger door, causes door to not stay open and is scratching joint area - SC fixed, Spoiler lifting - SC replaced,"&amp;" Windshield defect inside passenger-side - SC replaced.")</f>
        <v>Scratch, left rear side panel - topcoat sanded and buffed during delivery. Chip, right rear passenger door - SC fixed. Missing bolt, front passenger door, causes door to not stay open and is scratching joint area - SC fixed, Spoiler lifting - SC replaced, Windshield defect inside passenger-side - SC replaced.</v>
      </c>
      <c r="AH2005" s="189">
        <f>IFERROR(__xludf.DUMMYFUNCTION("""COMPUTED_VALUE"""),43755.3485846875)</f>
        <v>43755.34858</v>
      </c>
    </row>
    <row r="2006">
      <c r="A2006" t="str">
        <f>IFERROR(__xludf.DUMMYFUNCTION("""COMPUTED_VALUE"""),"Hiron")</f>
        <v>Hiron</v>
      </c>
      <c r="B2006" t="str">
        <f>IFERROR(__xludf.DUMMYFUNCTION("""COMPUTED_VALUE"""),"San Francisco")</f>
        <v>San Francisco</v>
      </c>
      <c r="C2006" t="str">
        <f>IFERROR(__xludf.DUMMYFUNCTION("""COMPUTED_VALUE"""),"CA")</f>
        <v>CA</v>
      </c>
      <c r="D2006" t="str">
        <f>IFERROR(__xludf.DUMMYFUNCTION("""COMPUTED_VALUE"""),"USA")</f>
        <v>USA</v>
      </c>
      <c r="E2006" s="188">
        <f>IFERROR(__xludf.DUMMYFUNCTION("""COMPUTED_VALUE"""),43698.0)</f>
        <v>43698</v>
      </c>
      <c r="F2006" s="188">
        <f>IFERROR(__xludf.DUMMYFUNCTION("""COMPUTED_VALUE"""),43729.0)</f>
        <v>43729</v>
      </c>
      <c r="H2006">
        <f>IFERROR(__xludf.DUMMYFUNCTION("""COMPUTED_VALUE"""),513848.0)</f>
        <v>513848</v>
      </c>
      <c r="J2006" s="5">
        <f>IFERROR(__xludf.DUMMYFUNCTION("""COMPUTED_VALUE"""),43731.0)</f>
        <v>43731</v>
      </c>
      <c r="K2006">
        <f>IFERROR(__xludf.DUMMYFUNCTION("""COMPUTED_VALUE"""),31.0)</f>
        <v>31</v>
      </c>
      <c r="L2006">
        <f>IFERROR(__xludf.DUMMYFUNCTION("""COMPUTED_VALUE"""),2.0)</f>
        <v>2</v>
      </c>
      <c r="M2006">
        <f>IFERROR(__xludf.DUMMYFUNCTION("""COMPUTED_VALUE"""),33.0)</f>
        <v>33</v>
      </c>
      <c r="N2006" t="str">
        <f>IFERROR(__xludf.DUMMYFUNCTION("""COMPUTED_VALUE"""),"Model 3 Performance")</f>
        <v>Model 3 Performance</v>
      </c>
      <c r="O2006" t="str">
        <f>IFERROR(__xludf.DUMMYFUNCTION("""COMPUTED_VALUE"""),"Midnight Silver Metallic")</f>
        <v>Midnight Silver Metallic</v>
      </c>
      <c r="P2006" t="str">
        <f>IFERROR(__xludf.DUMMYFUNCTION("""COMPUTED_VALUE"""),"20 inch Sport")</f>
        <v>20 inch Sport</v>
      </c>
      <c r="Q2006" t="str">
        <f>IFERROR(__xludf.DUMMYFUNCTION("""COMPUTED_VALUE"""),"Black seats")</f>
        <v>Black seats</v>
      </c>
      <c r="R2006" t="str">
        <f>IFERROR(__xludf.DUMMYFUNCTION("""COMPUTED_VALUE"""),"Full Self-Driving")</f>
        <v>Full Self-Driving</v>
      </c>
      <c r="X2006" t="str">
        <f>IFERROR(__xludf.DUMMYFUNCTION("""COMPUTED_VALUE"""),"Good")</f>
        <v>Good</v>
      </c>
      <c r="Y2006" t="str">
        <f>IFERROR(__xludf.DUMMYFUNCTION("""COMPUTED_VALUE"""),"Excellent")</f>
        <v>Excellent</v>
      </c>
      <c r="Z2006" t="str">
        <f>IFERROR(__xludf.DUMMYFUNCTION("""COMPUTED_VALUE"""),"Good")</f>
        <v>Good</v>
      </c>
      <c r="AA2006" t="str">
        <f>IFERROR(__xludf.DUMMYFUNCTION("""COMPUTED_VALUE"""),"Good")</f>
        <v>Good</v>
      </c>
      <c r="AB2006" t="str">
        <f>IFERROR(__xludf.DUMMYFUNCTION("""COMPUTED_VALUE"""),"Very Good")</f>
        <v>Very Good</v>
      </c>
      <c r="AC2006">
        <f>IFERROR(__xludf.DUMMYFUNCTION("""COMPUTED_VALUE"""),0.0)</f>
        <v>0</v>
      </c>
      <c r="AD2006">
        <f>IFERROR(__xludf.DUMMYFUNCTION("""COMPUTED_VALUE"""),0.0)</f>
        <v>0</v>
      </c>
      <c r="AE2006">
        <f>IFERROR(__xludf.DUMMYFUNCTION("""COMPUTED_VALUE"""),0.0)</f>
        <v>0</v>
      </c>
      <c r="AG2006" t="str">
        <f>IFERROR(__xludf.DUMMYFUNCTION("""COMPUTED_VALUE"""),"VIN Found in source code on 9/21/2019. Pickup at Fremont hub.")</f>
        <v>VIN Found in source code on 9/21/2019. Pickup at Fremont hub.</v>
      </c>
      <c r="AH2006" s="189">
        <f>IFERROR(__xludf.DUMMYFUNCTION("""COMPUTED_VALUE"""),43758.90042071759)</f>
        <v>43758.90042</v>
      </c>
    </row>
    <row r="2007">
      <c r="A2007" t="str">
        <f>IFERROR(__xludf.DUMMYFUNCTION("""COMPUTED_VALUE"""),"srjinatl")</f>
        <v>srjinatl</v>
      </c>
      <c r="B2007" t="str">
        <f>IFERROR(__xludf.DUMMYFUNCTION("""COMPUTED_VALUE"""),"Marietta")</f>
        <v>Marietta</v>
      </c>
      <c r="C2007" t="str">
        <f>IFERROR(__xludf.DUMMYFUNCTION("""COMPUTED_VALUE"""),"GA")</f>
        <v>GA</v>
      </c>
      <c r="D2007" t="str">
        <f>IFERROR(__xludf.DUMMYFUNCTION("""COMPUTED_VALUE"""),"USA")</f>
        <v>USA</v>
      </c>
      <c r="E2007" s="188">
        <f>IFERROR(__xludf.DUMMYFUNCTION("""COMPUTED_VALUE"""),43301.0)</f>
        <v>43301</v>
      </c>
      <c r="F2007" s="188">
        <f>IFERROR(__xludf.DUMMYFUNCTION("""COMPUTED_VALUE"""),43379.0)</f>
        <v>43379</v>
      </c>
      <c r="H2007">
        <f>IFERROR(__xludf.DUMMYFUNCTION("""COMPUTED_VALUE"""),94055.0)</f>
        <v>94055</v>
      </c>
      <c r="J2007" s="5">
        <f>IFERROR(__xludf.DUMMYFUNCTION("""COMPUTED_VALUE"""),43405.0)</f>
        <v>43405</v>
      </c>
      <c r="K2007">
        <f>IFERROR(__xludf.DUMMYFUNCTION("""COMPUTED_VALUE"""),78.0)</f>
        <v>78</v>
      </c>
      <c r="L2007">
        <f>IFERROR(__xludf.DUMMYFUNCTION("""COMPUTED_VALUE"""),26.0)</f>
        <v>26</v>
      </c>
      <c r="M2007">
        <f>IFERROR(__xludf.DUMMYFUNCTION("""COMPUTED_VALUE"""),104.0)</f>
        <v>104</v>
      </c>
      <c r="N2007" t="str">
        <f>IFERROR(__xludf.DUMMYFUNCTION("""COMPUTED_VALUE"""),"Model 3 LR AWD")</f>
        <v>Model 3 LR AWD</v>
      </c>
      <c r="O2007" t="str">
        <f>IFERROR(__xludf.DUMMYFUNCTION("""COMPUTED_VALUE"""),"Midnight Silver Metallic")</f>
        <v>Midnight Silver Metallic</v>
      </c>
      <c r="P2007" t="str">
        <f>IFERROR(__xludf.DUMMYFUNCTION("""COMPUTED_VALUE"""),"18 inch Aero")</f>
        <v>18 inch Aero</v>
      </c>
      <c r="Q2007" t="str">
        <f>IFERROR(__xludf.DUMMYFUNCTION("""COMPUTED_VALUE"""),"Black seats")</f>
        <v>Black seats</v>
      </c>
      <c r="R2007" t="str">
        <f>IFERROR(__xludf.DUMMYFUNCTION("""COMPUTED_VALUE"""),"Full Self-Driving")</f>
        <v>Full Self-Driving</v>
      </c>
      <c r="X2007" t="str">
        <f>IFERROR(__xludf.DUMMYFUNCTION("""COMPUTED_VALUE"""),"Excellent")</f>
        <v>Excellent</v>
      </c>
      <c r="Y2007" t="str">
        <f>IFERROR(__xludf.DUMMYFUNCTION("""COMPUTED_VALUE"""),"Excellent")</f>
        <v>Excellent</v>
      </c>
      <c r="Z2007" t="str">
        <f>IFERROR(__xludf.DUMMYFUNCTION("""COMPUTED_VALUE"""),"Excellent")</f>
        <v>Excellent</v>
      </c>
      <c r="AA2007" t="str">
        <f>IFERROR(__xludf.DUMMYFUNCTION("""COMPUTED_VALUE"""),"Good")</f>
        <v>Good</v>
      </c>
      <c r="AB2007" t="str">
        <f>IFERROR(__xludf.DUMMYFUNCTION("""COMPUTED_VALUE"""),"Good")</f>
        <v>Good</v>
      </c>
      <c r="AC2007">
        <f>IFERROR(__xludf.DUMMYFUNCTION("""COMPUTED_VALUE"""),0.0)</f>
        <v>0</v>
      </c>
      <c r="AD2007">
        <f>IFERROR(__xludf.DUMMYFUNCTION("""COMPUTED_VALUE"""),0.0)</f>
        <v>0</v>
      </c>
      <c r="AE2007">
        <f>IFERROR(__xludf.DUMMYFUNCTION("""COMPUTED_VALUE"""),0.0)</f>
        <v>0</v>
      </c>
      <c r="AH2007" s="189">
        <f>IFERROR(__xludf.DUMMYFUNCTION("""COMPUTED_VALUE"""),43760.23147363426)</f>
        <v>43760.23147</v>
      </c>
    </row>
    <row r="2008">
      <c r="A2008" t="str">
        <f>IFERROR(__xludf.DUMMYFUNCTION("""COMPUTED_VALUE"""),"sdm3")</f>
        <v>sdm3</v>
      </c>
      <c r="B2008" t="str">
        <f>IFERROR(__xludf.DUMMYFUNCTION("""COMPUTED_VALUE"""),"Sioux Falls")</f>
        <v>Sioux Falls</v>
      </c>
      <c r="C2008" t="str">
        <f>IFERROR(__xludf.DUMMYFUNCTION("""COMPUTED_VALUE"""),"SD")</f>
        <v>SD</v>
      </c>
      <c r="D2008" t="str">
        <f>IFERROR(__xludf.DUMMYFUNCTION("""COMPUTED_VALUE"""),"USA")</f>
        <v>USA</v>
      </c>
      <c r="E2008" s="188">
        <f>IFERROR(__xludf.DUMMYFUNCTION("""COMPUTED_VALUE"""),43748.0)</f>
        <v>43748</v>
      </c>
      <c r="F2008" s="188">
        <f>IFERROR(__xludf.DUMMYFUNCTION("""COMPUTED_VALUE"""),43748.0)</f>
        <v>43748</v>
      </c>
      <c r="H2008">
        <f>IFERROR(__xludf.DUMMYFUNCTION("""COMPUTED_VALUE"""),510355.0)</f>
        <v>510355</v>
      </c>
      <c r="J2008" s="5">
        <f>IFERROR(__xludf.DUMMYFUNCTION("""COMPUTED_VALUE"""),43761.0)</f>
        <v>43761</v>
      </c>
      <c r="K2008">
        <f>IFERROR(__xludf.DUMMYFUNCTION("""COMPUTED_VALUE"""),0.0)</f>
        <v>0</v>
      </c>
      <c r="L2008">
        <f>IFERROR(__xludf.DUMMYFUNCTION("""COMPUTED_VALUE"""),13.0)</f>
        <v>13</v>
      </c>
      <c r="M2008">
        <f>IFERROR(__xludf.DUMMYFUNCTION("""COMPUTED_VALUE"""),13.0)</f>
        <v>13</v>
      </c>
      <c r="N2008" t="str">
        <f>IFERROR(__xludf.DUMMYFUNCTION("""COMPUTED_VALUE"""),"Model 3 LR AWD")</f>
        <v>Model 3 LR AWD</v>
      </c>
      <c r="O2008" t="str">
        <f>IFERROR(__xludf.DUMMYFUNCTION("""COMPUTED_VALUE"""),"Midnight Silver Metallic")</f>
        <v>Midnight Silver Metallic</v>
      </c>
      <c r="P2008" t="str">
        <f>IFERROR(__xludf.DUMMYFUNCTION("""COMPUTED_VALUE"""),"18 inch Aero")</f>
        <v>18 inch Aero</v>
      </c>
      <c r="Q2008" t="str">
        <f>IFERROR(__xludf.DUMMYFUNCTION("""COMPUTED_VALUE"""),"Black seats")</f>
        <v>Black seats</v>
      </c>
      <c r="R2008" t="str">
        <f>IFERROR(__xludf.DUMMYFUNCTION("""COMPUTED_VALUE"""),"Full Self-Driving")</f>
        <v>Full Self-Driving</v>
      </c>
      <c r="X2008" t="str">
        <f>IFERROR(__xludf.DUMMYFUNCTION("""COMPUTED_VALUE"""),"Excellent")</f>
        <v>Excellent</v>
      </c>
      <c r="Y2008" t="str">
        <f>IFERROR(__xludf.DUMMYFUNCTION("""COMPUTED_VALUE"""),"Excellent")</f>
        <v>Excellent</v>
      </c>
      <c r="Z2008" t="str">
        <f>IFERROR(__xludf.DUMMYFUNCTION("""COMPUTED_VALUE"""),"Excellent")</f>
        <v>Excellent</v>
      </c>
      <c r="AA2008" t="str">
        <f>IFERROR(__xludf.DUMMYFUNCTION("""COMPUTED_VALUE"""),"Excellent")</f>
        <v>Excellent</v>
      </c>
      <c r="AB2008" t="str">
        <f>IFERROR(__xludf.DUMMYFUNCTION("""COMPUTED_VALUE"""),"Excellent")</f>
        <v>Excellent</v>
      </c>
      <c r="AG2008" t="str">
        <f>IFERROR(__xludf.DUMMYFUNCTION("""COMPUTED_VALUE"""),"Original delivery date was 10/30. Delivered 7 days sooner. Went through checklist. All looking good.")</f>
        <v>Original delivery date was 10/30. Delivered 7 days sooner. Went through checklist. All looking good.</v>
      </c>
      <c r="AH2008" s="189">
        <f>IFERROR(__xludf.DUMMYFUNCTION("""COMPUTED_VALUE"""),43761.40214515047)</f>
        <v>43761.40215</v>
      </c>
    </row>
    <row r="2009">
      <c r="A2009" t="str">
        <f>IFERROR(__xludf.DUMMYFUNCTION("""COMPUTED_VALUE"""),"INIKKOR")</f>
        <v>INIKKOR</v>
      </c>
      <c r="C2009" t="str">
        <f>IFERROR(__xludf.DUMMYFUNCTION("""COMPUTED_VALUE"""),"NH")</f>
        <v>NH</v>
      </c>
      <c r="D2009" t="str">
        <f>IFERROR(__xludf.DUMMYFUNCTION("""COMPUTED_VALUE"""),"USA")</f>
        <v>USA</v>
      </c>
      <c r="E2009" s="188">
        <f>IFERROR(__xludf.DUMMYFUNCTION("""COMPUTED_VALUE"""),43720.0)</f>
        <v>43720</v>
      </c>
      <c r="F2009" s="188">
        <f>IFERROR(__xludf.DUMMYFUNCTION("""COMPUTED_VALUE"""),43725.0)</f>
        <v>43725</v>
      </c>
      <c r="H2009">
        <f>IFERROR(__xludf.DUMMYFUNCTION("""COMPUTED_VALUE"""),530202.0)</f>
        <v>530202</v>
      </c>
      <c r="I2009" t="str">
        <f>IFERROR(__xludf.DUMMYFUNCTION("""COMPUTED_VALUE"""),"09/19")</f>
        <v>09/19</v>
      </c>
      <c r="J2009" s="5">
        <f>IFERROR(__xludf.DUMMYFUNCTION("""COMPUTED_VALUE"""),43738.0)</f>
        <v>43738</v>
      </c>
      <c r="K2009">
        <f>IFERROR(__xludf.DUMMYFUNCTION("""COMPUTED_VALUE"""),5.0)</f>
        <v>5</v>
      </c>
      <c r="L2009">
        <f>IFERROR(__xludf.DUMMYFUNCTION("""COMPUTED_VALUE"""),13.0)</f>
        <v>13</v>
      </c>
      <c r="M2009">
        <f>IFERROR(__xludf.DUMMYFUNCTION("""COMPUTED_VALUE"""),18.0)</f>
        <v>18</v>
      </c>
      <c r="N2009" t="str">
        <f>IFERROR(__xludf.DUMMYFUNCTION("""COMPUTED_VALUE"""),"Model 3 Performance")</f>
        <v>Model 3 Performance</v>
      </c>
      <c r="O2009" t="str">
        <f>IFERROR(__xludf.DUMMYFUNCTION("""COMPUTED_VALUE"""),"Pearl White Multi-Coat")</f>
        <v>Pearl White Multi-Coat</v>
      </c>
      <c r="P2009" t="str">
        <f>IFERROR(__xludf.DUMMYFUNCTION("""COMPUTED_VALUE"""),"19 inch Sport")</f>
        <v>19 inch Sport</v>
      </c>
      <c r="Q2009" t="str">
        <f>IFERROR(__xludf.DUMMYFUNCTION("""COMPUTED_VALUE"""),"Black seats")</f>
        <v>Black seats</v>
      </c>
      <c r="R2009" t="str">
        <f>IFERROR(__xludf.DUMMYFUNCTION("""COMPUTED_VALUE"""),"Autopilot")</f>
        <v>Autopilot</v>
      </c>
      <c r="X2009" t="str">
        <f>IFERROR(__xludf.DUMMYFUNCTION("""COMPUTED_VALUE"""),"Excellent")</f>
        <v>Excellent</v>
      </c>
      <c r="Y2009" t="str">
        <f>IFERROR(__xludf.DUMMYFUNCTION("""COMPUTED_VALUE"""),"Excellent")</f>
        <v>Excellent</v>
      </c>
      <c r="Z2009" t="str">
        <f>IFERROR(__xludf.DUMMYFUNCTION("""COMPUTED_VALUE"""),"Excellent")</f>
        <v>Excellent</v>
      </c>
      <c r="AA2009" t="str">
        <f>IFERROR(__xludf.DUMMYFUNCTION("""COMPUTED_VALUE"""),"Fair")</f>
        <v>Fair</v>
      </c>
      <c r="AB2009" t="str">
        <f>IFERROR(__xludf.DUMMYFUNCTION("""COMPUTED_VALUE"""),"Fair")</f>
        <v>Fair</v>
      </c>
      <c r="AC2009">
        <f>IFERROR(__xludf.DUMMYFUNCTION("""COMPUTED_VALUE"""),1.0)</f>
        <v>1</v>
      </c>
      <c r="AD2009">
        <f>IFERROR(__xludf.DUMMYFUNCTION("""COMPUTED_VALUE"""),2.0)</f>
        <v>2</v>
      </c>
      <c r="AE2009">
        <f>IFERROR(__xludf.DUMMYFUNCTION("""COMPUTED_VALUE"""),0.0)</f>
        <v>0</v>
      </c>
      <c r="AG2009" t="str">
        <f>IFERROR(__xludf.DUMMYFUNCTION("""COMPUTED_VALUE"""),"19"" road force on one tire was 18lb.  yellow")</f>
        <v>19" road force on one tire was 18lb.  yellow</v>
      </c>
      <c r="AH2009" s="189">
        <f>IFERROR(__xludf.DUMMYFUNCTION("""COMPUTED_VALUE"""),43764.84606298611)</f>
        <v>43764.84606</v>
      </c>
    </row>
    <row r="2010">
      <c r="A2010" t="str">
        <f>IFERROR(__xludf.DUMMYFUNCTION("""COMPUTED_VALUE"""),"itsilyas")</f>
        <v>itsilyas</v>
      </c>
      <c r="B2010" t="str">
        <f>IFERROR(__xludf.DUMMYFUNCTION("""COMPUTED_VALUE"""),"Lisbon, Portugal")</f>
        <v>Lisbon, Portugal</v>
      </c>
      <c r="D2010" t="str">
        <f>IFERROR(__xludf.DUMMYFUNCTION("""COMPUTED_VALUE"""),"Other (include country together with city)")</f>
        <v>Other (include country together with city)</v>
      </c>
      <c r="E2010" s="188">
        <f>IFERROR(__xludf.DUMMYFUNCTION("""COMPUTED_VALUE"""),43692.0)</f>
        <v>43692</v>
      </c>
      <c r="F2010" s="188">
        <f>IFERROR(__xludf.DUMMYFUNCTION("""COMPUTED_VALUE"""),43698.0)</f>
        <v>43698</v>
      </c>
      <c r="H2010">
        <f>IFERROR(__xludf.DUMMYFUNCTION("""COMPUTED_VALUE"""),467635.0)</f>
        <v>467635</v>
      </c>
      <c r="I2010" t="str">
        <f>IFERROR(__xludf.DUMMYFUNCTION("""COMPUTED_VALUE"""),"08/19")</f>
        <v>08/19</v>
      </c>
      <c r="J2010" s="5">
        <f>IFERROR(__xludf.DUMMYFUNCTION("""COMPUTED_VALUE"""),43738.0)</f>
        <v>43738</v>
      </c>
      <c r="K2010">
        <f>IFERROR(__xludf.DUMMYFUNCTION("""COMPUTED_VALUE"""),6.0)</f>
        <v>6</v>
      </c>
      <c r="L2010">
        <f>IFERROR(__xludf.DUMMYFUNCTION("""COMPUTED_VALUE"""),40.0)</f>
        <v>40</v>
      </c>
      <c r="M2010">
        <f>IFERROR(__xludf.DUMMYFUNCTION("""COMPUTED_VALUE"""),46.0)</f>
        <v>46</v>
      </c>
      <c r="N2010" t="str">
        <f>IFERROR(__xludf.DUMMYFUNCTION("""COMPUTED_VALUE"""),"Model 3 LR AWD")</f>
        <v>Model 3 LR AWD</v>
      </c>
      <c r="O2010" t="str">
        <f>IFERROR(__xludf.DUMMYFUNCTION("""COMPUTED_VALUE"""),"Pearl White Multi-Coat")</f>
        <v>Pearl White Multi-Coat</v>
      </c>
      <c r="P2010" t="str">
        <f>IFERROR(__xludf.DUMMYFUNCTION("""COMPUTED_VALUE"""),"18 inch Aero")</f>
        <v>18 inch Aero</v>
      </c>
      <c r="Q2010" t="str">
        <f>IFERROR(__xludf.DUMMYFUNCTION("""COMPUTED_VALUE"""),"Black seats")</f>
        <v>Black seats</v>
      </c>
      <c r="R2010" t="str">
        <f>IFERROR(__xludf.DUMMYFUNCTION("""COMPUTED_VALUE"""),"Autopilot")</f>
        <v>Autopilot</v>
      </c>
      <c r="X2010" t="str">
        <f>IFERROR(__xludf.DUMMYFUNCTION("""COMPUTED_VALUE"""),"Very Good")</f>
        <v>Very Good</v>
      </c>
      <c r="Y2010" t="str">
        <f>IFERROR(__xludf.DUMMYFUNCTION("""COMPUTED_VALUE"""),"Excellent")</f>
        <v>Excellent</v>
      </c>
      <c r="Z2010" t="str">
        <f>IFERROR(__xludf.DUMMYFUNCTION("""COMPUTED_VALUE"""),"Good")</f>
        <v>Good</v>
      </c>
      <c r="AA2010" t="str">
        <f>IFERROR(__xludf.DUMMYFUNCTION("""COMPUTED_VALUE"""),"Poor")</f>
        <v>Poor</v>
      </c>
      <c r="AB2010" t="str">
        <f>IFERROR(__xludf.DUMMYFUNCTION("""COMPUTED_VALUE"""),"Good")</f>
        <v>Good</v>
      </c>
      <c r="AC2010">
        <f>IFERROR(__xludf.DUMMYFUNCTION("""COMPUTED_VALUE"""),3.0)</f>
        <v>3</v>
      </c>
      <c r="AD2010">
        <f>IFERROR(__xludf.DUMMYFUNCTION("""COMPUTED_VALUE"""),1.0)</f>
        <v>1</v>
      </c>
      <c r="AE2010">
        <f>IFERROR(__xludf.DUMMYFUNCTION("""COMPUTED_VALUE"""),1.0)</f>
        <v>1</v>
      </c>
      <c r="AH2010" s="189">
        <f>IFERROR(__xludf.DUMMYFUNCTION("""COMPUTED_VALUE"""),43766.19403078704)</f>
        <v>43766.19403</v>
      </c>
    </row>
    <row r="2011">
      <c r="A2011" t="str">
        <f>IFERROR(__xludf.DUMMYFUNCTION("""COMPUTED_VALUE"""),"JustinM")</f>
        <v>JustinM</v>
      </c>
      <c r="B2011" t="str">
        <f>IFERROR(__xludf.DUMMYFUNCTION("""COMPUTED_VALUE"""),"Fremont")</f>
        <v>Fremont</v>
      </c>
      <c r="C2011" t="str">
        <f>IFERROR(__xludf.DUMMYFUNCTION("""COMPUTED_VALUE"""),"CA")</f>
        <v>CA</v>
      </c>
      <c r="D2011" t="str">
        <f>IFERROR(__xludf.DUMMYFUNCTION("""COMPUTED_VALUE"""),"USA")</f>
        <v>USA</v>
      </c>
      <c r="E2011" s="188">
        <f>IFERROR(__xludf.DUMMYFUNCTION("""COMPUTED_VALUE"""),43712.0)</f>
        <v>43712</v>
      </c>
      <c r="F2011" s="188">
        <f>IFERROR(__xludf.DUMMYFUNCTION("""COMPUTED_VALUE"""),43719.0)</f>
        <v>43719</v>
      </c>
      <c r="H2011">
        <f>IFERROR(__xludf.DUMMYFUNCTION("""COMPUTED_VALUE"""),454385.0)</f>
        <v>454385</v>
      </c>
      <c r="I2011" t="str">
        <f>IFERROR(__xludf.DUMMYFUNCTION("""COMPUTED_VALUE"""),"09/19")</f>
        <v>09/19</v>
      </c>
      <c r="J2011" s="5">
        <f>IFERROR(__xludf.DUMMYFUNCTION("""COMPUTED_VALUE"""),43724.0)</f>
        <v>43724</v>
      </c>
      <c r="K2011">
        <f>IFERROR(__xludf.DUMMYFUNCTION("""COMPUTED_VALUE"""),7.0)</f>
        <v>7</v>
      </c>
      <c r="L2011">
        <f>IFERROR(__xludf.DUMMYFUNCTION("""COMPUTED_VALUE"""),5.0)</f>
        <v>5</v>
      </c>
      <c r="M2011">
        <f>IFERROR(__xludf.DUMMYFUNCTION("""COMPUTED_VALUE"""),12.0)</f>
        <v>12</v>
      </c>
      <c r="N2011" t="str">
        <f>IFERROR(__xludf.DUMMYFUNCTION("""COMPUTED_VALUE"""),"Model 3 LR AWD")</f>
        <v>Model 3 LR AWD</v>
      </c>
      <c r="O2011" t="str">
        <f>IFERROR(__xludf.DUMMYFUNCTION("""COMPUTED_VALUE"""),"Deep Blue Metallic")</f>
        <v>Deep Blue Metallic</v>
      </c>
      <c r="P2011" t="str">
        <f>IFERROR(__xludf.DUMMYFUNCTION("""COMPUTED_VALUE"""),"18 inch Aero")</f>
        <v>18 inch Aero</v>
      </c>
      <c r="Q2011" t="str">
        <f>IFERROR(__xludf.DUMMYFUNCTION("""COMPUTED_VALUE"""),"White seats")</f>
        <v>White seats</v>
      </c>
      <c r="R2011" t="str">
        <f>IFERROR(__xludf.DUMMYFUNCTION("""COMPUTED_VALUE"""),"Full Self-Driving")</f>
        <v>Full Self-Driving</v>
      </c>
      <c r="X2011" t="str">
        <f>IFERROR(__xludf.DUMMYFUNCTION("""COMPUTED_VALUE"""),"Excellent")</f>
        <v>Excellent</v>
      </c>
      <c r="Y2011" t="str">
        <f>IFERROR(__xludf.DUMMYFUNCTION("""COMPUTED_VALUE"""),"Excellent")</f>
        <v>Excellent</v>
      </c>
      <c r="Z2011" t="str">
        <f>IFERROR(__xludf.DUMMYFUNCTION("""COMPUTED_VALUE"""),"Very Good")</f>
        <v>Very Good</v>
      </c>
      <c r="AA2011" t="str">
        <f>IFERROR(__xludf.DUMMYFUNCTION("""COMPUTED_VALUE"""),"Good")</f>
        <v>Good</v>
      </c>
      <c r="AB2011" t="str">
        <f>IFERROR(__xludf.DUMMYFUNCTION("""COMPUTED_VALUE"""),"Fair")</f>
        <v>Fair</v>
      </c>
      <c r="AC2011">
        <f>IFERROR(__xludf.DUMMYFUNCTION("""COMPUTED_VALUE"""),1.0)</f>
        <v>1</v>
      </c>
      <c r="AD2011">
        <f>IFERROR(__xludf.DUMMYFUNCTION("""COMPUTED_VALUE"""),1.0)</f>
        <v>1</v>
      </c>
      <c r="AE2011">
        <f>IFERROR(__xludf.DUMMYFUNCTION("""COMPUTED_VALUE"""),0.0)</f>
        <v>0</v>
      </c>
      <c r="AH2011" s="189">
        <f>IFERROR(__xludf.DUMMYFUNCTION("""COMPUTED_VALUE"""),43768.67774121527)</f>
        <v>43768.67774</v>
      </c>
    </row>
    <row r="2012">
      <c r="A2012" t="str">
        <f>IFERROR(__xludf.DUMMYFUNCTION("""COMPUTED_VALUE"""),"dryland")</f>
        <v>dryland</v>
      </c>
      <c r="B2012" t="str">
        <f>IFERROR(__xludf.DUMMYFUNCTION("""COMPUTED_VALUE"""),"Raleigh")</f>
        <v>Raleigh</v>
      </c>
      <c r="C2012" t="str">
        <f>IFERROR(__xludf.DUMMYFUNCTION("""COMPUTED_VALUE"""),"NC")</f>
        <v>NC</v>
      </c>
      <c r="D2012" t="str">
        <f>IFERROR(__xludf.DUMMYFUNCTION("""COMPUTED_VALUE"""),"USA")</f>
        <v>USA</v>
      </c>
      <c r="E2012" s="188">
        <f>IFERROR(__xludf.DUMMYFUNCTION("""COMPUTED_VALUE"""),43756.0)</f>
        <v>43756</v>
      </c>
      <c r="F2012" s="188">
        <f>IFERROR(__xludf.DUMMYFUNCTION("""COMPUTED_VALUE"""),43757.0)</f>
        <v>43757</v>
      </c>
      <c r="H2012">
        <f>IFERROR(__xludf.DUMMYFUNCTION("""COMPUTED_VALUE"""),472565.0)</f>
        <v>472565</v>
      </c>
      <c r="I2012" t="str">
        <f>IFERROR(__xludf.DUMMYFUNCTION("""COMPUTED_VALUE"""),"08/19")</f>
        <v>08/19</v>
      </c>
      <c r="J2012" s="5">
        <f>IFERROR(__xludf.DUMMYFUNCTION("""COMPUTED_VALUE"""),43767.0)</f>
        <v>43767</v>
      </c>
      <c r="K2012">
        <f>IFERROR(__xludf.DUMMYFUNCTION("""COMPUTED_VALUE"""),1.0)</f>
        <v>1</v>
      </c>
      <c r="L2012">
        <f>IFERROR(__xludf.DUMMYFUNCTION("""COMPUTED_VALUE"""),10.0)</f>
        <v>10</v>
      </c>
      <c r="M2012">
        <f>IFERROR(__xludf.DUMMYFUNCTION("""COMPUTED_VALUE"""),11.0)</f>
        <v>11</v>
      </c>
      <c r="N2012" t="str">
        <f>IFERROR(__xludf.DUMMYFUNCTION("""COMPUTED_VALUE"""),"Model 3 SR+")</f>
        <v>Model 3 SR+</v>
      </c>
      <c r="O2012" t="str">
        <f>IFERROR(__xludf.DUMMYFUNCTION("""COMPUTED_VALUE"""),"Pearl White Multi-Coat")</f>
        <v>Pearl White Multi-Coat</v>
      </c>
      <c r="P2012" t="str">
        <f>IFERROR(__xludf.DUMMYFUNCTION("""COMPUTED_VALUE"""),"19 inch Sport")</f>
        <v>19 inch Sport</v>
      </c>
      <c r="Q2012" t="str">
        <f>IFERROR(__xludf.DUMMYFUNCTION("""COMPUTED_VALUE"""),"Black seats")</f>
        <v>Black seats</v>
      </c>
      <c r="R2012" t="str">
        <f>IFERROR(__xludf.DUMMYFUNCTION("""COMPUTED_VALUE"""),"Autopilot")</f>
        <v>Autopilot</v>
      </c>
      <c r="X2012" t="str">
        <f>IFERROR(__xludf.DUMMYFUNCTION("""COMPUTED_VALUE"""),"Excellent")</f>
        <v>Excellent</v>
      </c>
      <c r="Y2012" t="str">
        <f>IFERROR(__xludf.DUMMYFUNCTION("""COMPUTED_VALUE"""),"Very Good")</f>
        <v>Very Good</v>
      </c>
      <c r="Z2012" t="str">
        <f>IFERROR(__xludf.DUMMYFUNCTION("""COMPUTED_VALUE"""),"Very Good")</f>
        <v>Very Good</v>
      </c>
      <c r="AA2012" t="str">
        <f>IFERROR(__xludf.DUMMYFUNCTION("""COMPUTED_VALUE"""),"Fair")</f>
        <v>Fair</v>
      </c>
      <c r="AB2012" t="str">
        <f>IFERROR(__xludf.DUMMYFUNCTION("""COMPUTED_VALUE"""),"Excellent")</f>
        <v>Excellent</v>
      </c>
      <c r="AG2012" t="str">
        <f>IFERROR(__xludf.DUMMYFUNCTION("""COMPUTED_VALUE"""),"Found exact config in inventory. Called local delivery center and had it assigned to me. 10/20 update: spoke with delivery advisor. Said the car should be in on Friday. Said I could pick up on Saturday. Agreed. Update 10/25: Delivery date rescheduled due "&amp;"to scratched rim during transportation.")</f>
        <v>Found exact config in inventory. Called local delivery center and had it assigned to me. 10/20 update: spoke with delivery advisor. Said the car should be in on Friday. Said I could pick up on Saturday. Agreed. Update 10/25: Delivery date rescheduled due to scratched rim during transportation.</v>
      </c>
      <c r="AH2012" s="189">
        <f>IFERROR(__xludf.DUMMYFUNCTION("""COMPUTED_VALUE"""),43768.76990745371)</f>
        <v>43768.76991</v>
      </c>
    </row>
    <row r="2013">
      <c r="A2013" t="str">
        <f>IFERROR(__xludf.DUMMYFUNCTION("""COMPUTED_VALUE"""),"Bazoo777")</f>
        <v>Bazoo777</v>
      </c>
      <c r="B2013" t="str">
        <f>IFERROR(__xludf.DUMMYFUNCTION("""COMPUTED_VALUE"""),"Montreal")</f>
        <v>Montreal</v>
      </c>
      <c r="C2013" t="str">
        <f>IFERROR(__xludf.DUMMYFUNCTION("""COMPUTED_VALUE"""),"QC")</f>
        <v>QC</v>
      </c>
      <c r="D2013" t="str">
        <f>IFERROR(__xludf.DUMMYFUNCTION("""COMPUTED_VALUE"""),"Canada")</f>
        <v>Canada</v>
      </c>
      <c r="E2013" s="188">
        <f>IFERROR(__xludf.DUMMYFUNCTION("""COMPUTED_VALUE"""),43392.0)</f>
        <v>43392</v>
      </c>
      <c r="H2013">
        <f>IFERROR(__xludf.DUMMYFUNCTION("""COMPUTED_VALUE"""),183115.0)</f>
        <v>183115</v>
      </c>
      <c r="J2013" s="5">
        <f>IFERROR(__xludf.DUMMYFUNCTION("""COMPUTED_VALUE"""),43459.0)</f>
        <v>43459</v>
      </c>
      <c r="M2013">
        <f>IFERROR(__xludf.DUMMYFUNCTION("""COMPUTED_VALUE"""),67.0)</f>
        <v>67</v>
      </c>
      <c r="N2013" t="str">
        <f>IFERROR(__xludf.DUMMYFUNCTION("""COMPUTED_VALUE"""),"Model 3 MR")</f>
        <v>Model 3 MR</v>
      </c>
      <c r="O2013" t="str">
        <f>IFERROR(__xludf.DUMMYFUNCTION("""COMPUTED_VALUE"""),"Solid Black")</f>
        <v>Solid Black</v>
      </c>
      <c r="P2013" t="str">
        <f>IFERROR(__xludf.DUMMYFUNCTION("""COMPUTED_VALUE"""),"19 inch Sport")</f>
        <v>19 inch Sport</v>
      </c>
      <c r="Q2013" t="str">
        <f>IFERROR(__xludf.DUMMYFUNCTION("""COMPUTED_VALUE"""),"White seats")</f>
        <v>White seats</v>
      </c>
      <c r="R2013" t="str">
        <f>IFERROR(__xludf.DUMMYFUNCTION("""COMPUTED_VALUE"""),"Full Self-Driving")</f>
        <v>Full Self-Driving</v>
      </c>
      <c r="X2013" t="str">
        <f>IFERROR(__xludf.DUMMYFUNCTION("""COMPUTED_VALUE"""),"Excellent")</f>
        <v>Excellent</v>
      </c>
      <c r="Y2013" t="str">
        <f>IFERROR(__xludf.DUMMYFUNCTION("""COMPUTED_VALUE"""),"Good")</f>
        <v>Good</v>
      </c>
      <c r="Z2013" t="str">
        <f>IFERROR(__xludf.DUMMYFUNCTION("""COMPUTED_VALUE"""),"Good")</f>
        <v>Good</v>
      </c>
      <c r="AA2013" t="str">
        <f>IFERROR(__xludf.DUMMYFUNCTION("""COMPUTED_VALUE"""),"Very Good")</f>
        <v>Very Good</v>
      </c>
      <c r="AB2013" t="str">
        <f>IFERROR(__xludf.DUMMYFUNCTION("""COMPUTED_VALUE"""),"Very Good")</f>
        <v>Very Good</v>
      </c>
      <c r="AC2013">
        <f>IFERROR(__xludf.DUMMYFUNCTION("""COMPUTED_VALUE"""),2.0)</f>
        <v>2</v>
      </c>
      <c r="AD2013">
        <f>IFERROR(__xludf.DUMMYFUNCTION("""COMPUTED_VALUE"""),1.0)</f>
        <v>1</v>
      </c>
      <c r="AE2013">
        <f>IFERROR(__xludf.DUMMYFUNCTION("""COMPUTED_VALUE"""),0.0)</f>
        <v>0</v>
      </c>
      <c r="AH2013" s="189">
        <f>IFERROR(__xludf.DUMMYFUNCTION("""COMPUTED_VALUE"""),43769.51949976852)</f>
        <v>43769.5195</v>
      </c>
    </row>
    <row r="2014">
      <c r="A2014" t="str">
        <f>IFERROR(__xludf.DUMMYFUNCTION("""COMPUTED_VALUE"""),"griznj")</f>
        <v>griznj</v>
      </c>
      <c r="C2014" t="str">
        <f>IFERROR(__xludf.DUMMYFUNCTION("""COMPUTED_VALUE"""),"NJ")</f>
        <v>NJ</v>
      </c>
      <c r="D2014" t="str">
        <f>IFERROR(__xludf.DUMMYFUNCTION("""COMPUTED_VALUE"""),"USA")</f>
        <v>USA</v>
      </c>
      <c r="E2014" s="188">
        <f>IFERROR(__xludf.DUMMYFUNCTION("""COMPUTED_VALUE"""),43747.0)</f>
        <v>43747</v>
      </c>
      <c r="F2014" s="188">
        <f>IFERROR(__xludf.DUMMYFUNCTION("""COMPUTED_VALUE"""),43759.0)</f>
        <v>43759</v>
      </c>
      <c r="H2014" s="4">
        <f>IFERROR(__xludf.DUMMYFUNCTION("""COMPUTED_VALUE"""),481396.0)</f>
        <v>481396</v>
      </c>
      <c r="I2014" t="str">
        <f>IFERROR(__xludf.DUMMYFUNCTION("""COMPUTED_VALUE"""),"09/19")</f>
        <v>09/19</v>
      </c>
      <c r="J2014" s="5">
        <f>IFERROR(__xludf.DUMMYFUNCTION("""COMPUTED_VALUE"""),43771.0)</f>
        <v>43771</v>
      </c>
      <c r="K2014">
        <f>IFERROR(__xludf.DUMMYFUNCTION("""COMPUTED_VALUE"""),12.0)</f>
        <v>12</v>
      </c>
      <c r="L2014">
        <f>IFERROR(__xludf.DUMMYFUNCTION("""COMPUTED_VALUE"""),12.0)</f>
        <v>12</v>
      </c>
      <c r="M2014">
        <f>IFERROR(__xludf.DUMMYFUNCTION("""COMPUTED_VALUE"""),24.0)</f>
        <v>24</v>
      </c>
      <c r="N2014" t="str">
        <f>IFERROR(__xludf.DUMMYFUNCTION("""COMPUTED_VALUE"""),"Model 3 LR AWD")</f>
        <v>Model 3 LR AWD</v>
      </c>
      <c r="O2014" t="str">
        <f>IFERROR(__xludf.DUMMYFUNCTION("""COMPUTED_VALUE"""),"Deep Blue Metallic")</f>
        <v>Deep Blue Metallic</v>
      </c>
      <c r="P2014" t="str">
        <f>IFERROR(__xludf.DUMMYFUNCTION("""COMPUTED_VALUE"""),"19 inch Sport")</f>
        <v>19 inch Sport</v>
      </c>
      <c r="Q2014" t="str">
        <f>IFERROR(__xludf.DUMMYFUNCTION("""COMPUTED_VALUE"""),"Black seats")</f>
        <v>Black seats</v>
      </c>
      <c r="R2014" t="str">
        <f>IFERROR(__xludf.DUMMYFUNCTION("""COMPUTED_VALUE"""),"Autopilot")</f>
        <v>Autopilot</v>
      </c>
      <c r="X2014" t="str">
        <f>IFERROR(__xludf.DUMMYFUNCTION("""COMPUTED_VALUE"""),"Very Good")</f>
        <v>Very Good</v>
      </c>
      <c r="Y2014" t="str">
        <f>IFERROR(__xludf.DUMMYFUNCTION("""COMPUTED_VALUE"""),"Very Good")</f>
        <v>Very Good</v>
      </c>
      <c r="Z2014" t="str">
        <f>IFERROR(__xludf.DUMMYFUNCTION("""COMPUTED_VALUE"""),"Very Good")</f>
        <v>Very Good</v>
      </c>
      <c r="AA2014" t="str">
        <f>IFERROR(__xludf.DUMMYFUNCTION("""COMPUTED_VALUE"""),"Excellent")</f>
        <v>Excellent</v>
      </c>
      <c r="AB2014" t="str">
        <f>IFERROR(__xludf.DUMMYFUNCTION("""COMPUTED_VALUE"""),"Excellent")</f>
        <v>Excellent</v>
      </c>
      <c r="AH2014" s="189">
        <f>IFERROR(__xludf.DUMMYFUNCTION("""COMPUTED_VALUE"""),43771.77079570602)</f>
        <v>43771.7708</v>
      </c>
    </row>
    <row r="2015">
      <c r="A2015" t="str">
        <f>IFERROR(__xludf.DUMMYFUNCTION("""COMPUTED_VALUE"""),"CRYPTICPHILDZ")</f>
        <v>CRYPTICPHILDZ</v>
      </c>
      <c r="B2015" t="str">
        <f>IFERROR(__xludf.DUMMYFUNCTION("""COMPUTED_VALUE"""),"DENVER")</f>
        <v>DENVER</v>
      </c>
      <c r="C2015" t="str">
        <f>IFERROR(__xludf.DUMMYFUNCTION("""COMPUTED_VALUE"""),"CO")</f>
        <v>CO</v>
      </c>
      <c r="D2015" t="str">
        <f>IFERROR(__xludf.DUMMYFUNCTION("""COMPUTED_VALUE"""),"USA")</f>
        <v>USA</v>
      </c>
      <c r="E2015" s="188">
        <f>IFERROR(__xludf.DUMMYFUNCTION("""COMPUTED_VALUE"""),43748.0)</f>
        <v>43748</v>
      </c>
      <c r="F2015" s="188">
        <f>IFERROR(__xludf.DUMMYFUNCTION("""COMPUTED_VALUE"""),43756.0)</f>
        <v>43756</v>
      </c>
      <c r="H2015">
        <f>IFERROR(__xludf.DUMMYFUNCTION("""COMPUTED_VALUE"""),508015.0)</f>
        <v>508015</v>
      </c>
      <c r="I2015" t="str">
        <f>IFERROR(__xludf.DUMMYFUNCTION("""COMPUTED_VALUE"""),"09/19")</f>
        <v>09/19</v>
      </c>
      <c r="J2015" s="5">
        <f>IFERROR(__xludf.DUMMYFUNCTION("""COMPUTED_VALUE"""),43769.0)</f>
        <v>43769</v>
      </c>
      <c r="K2015">
        <f>IFERROR(__xludf.DUMMYFUNCTION("""COMPUTED_VALUE"""),8.0)</f>
        <v>8</v>
      </c>
      <c r="L2015">
        <f>IFERROR(__xludf.DUMMYFUNCTION("""COMPUTED_VALUE"""),13.0)</f>
        <v>13</v>
      </c>
      <c r="M2015">
        <f>IFERROR(__xludf.DUMMYFUNCTION("""COMPUTED_VALUE"""),21.0)</f>
        <v>21</v>
      </c>
      <c r="N2015" t="str">
        <f>IFERROR(__xludf.DUMMYFUNCTION("""COMPUTED_VALUE"""),"Model 3 SR+")</f>
        <v>Model 3 SR+</v>
      </c>
      <c r="O2015" t="str">
        <f>IFERROR(__xludf.DUMMYFUNCTION("""COMPUTED_VALUE"""),"Pearl White Multi-Coat")</f>
        <v>Pearl White Multi-Coat</v>
      </c>
      <c r="P2015" t="str">
        <f>IFERROR(__xludf.DUMMYFUNCTION("""COMPUTED_VALUE"""),"19 inch Sport")</f>
        <v>19 inch Sport</v>
      </c>
      <c r="Q2015" t="str">
        <f>IFERROR(__xludf.DUMMYFUNCTION("""COMPUTED_VALUE"""),"Black seats")</f>
        <v>Black seats</v>
      </c>
      <c r="R2015" t="str">
        <f>IFERROR(__xludf.DUMMYFUNCTION("""COMPUTED_VALUE"""),"Autopilot")</f>
        <v>Autopilot</v>
      </c>
      <c r="X2015" t="str">
        <f>IFERROR(__xludf.DUMMYFUNCTION("""COMPUTED_VALUE"""),"Good")</f>
        <v>Good</v>
      </c>
      <c r="Y2015" t="str">
        <f>IFERROR(__xludf.DUMMYFUNCTION("""COMPUTED_VALUE"""),"Very Good")</f>
        <v>Very Good</v>
      </c>
      <c r="Z2015" t="str">
        <f>IFERROR(__xludf.DUMMYFUNCTION("""COMPUTED_VALUE"""),"Very Good")</f>
        <v>Very Good</v>
      </c>
      <c r="AA2015" t="str">
        <f>IFERROR(__xludf.DUMMYFUNCTION("""COMPUTED_VALUE"""),"Excellent")</f>
        <v>Excellent</v>
      </c>
      <c r="AB2015" t="str">
        <f>IFERROR(__xludf.DUMMYFUNCTION("""COMPUTED_VALUE"""),"Good")</f>
        <v>Good</v>
      </c>
      <c r="AC2015">
        <f>IFERROR(__xludf.DUMMYFUNCTION("""COMPUTED_VALUE"""),3.0)</f>
        <v>3</v>
      </c>
      <c r="AD2015">
        <f>IFERROR(__xludf.DUMMYFUNCTION("""COMPUTED_VALUE"""),0.0)</f>
        <v>0</v>
      </c>
      <c r="AE2015">
        <f>IFERROR(__xludf.DUMMYFUNCTION("""COMPUTED_VALUE"""),0.0)</f>
        <v>0</v>
      </c>
      <c r="AG2015" t="str">
        <f>IFERROR(__xludf.DUMMYFUNCTION("""COMPUTED_VALUE"""),"VIN In Source Code, Advisor Confirmed")</f>
        <v>VIN In Source Code, Advisor Confirmed</v>
      </c>
      <c r="AH2015" s="189">
        <f>IFERROR(__xludf.DUMMYFUNCTION("""COMPUTED_VALUE"""),43773.36000734953)</f>
        <v>43773.36001</v>
      </c>
    </row>
    <row r="2016">
      <c r="A2016" t="str">
        <f>IFERROR(__xludf.DUMMYFUNCTION("""COMPUTED_VALUE"""),"Pchima")</f>
        <v>Pchima</v>
      </c>
      <c r="B2016" t="str">
        <f>IFERROR(__xludf.DUMMYFUNCTION("""COMPUTED_VALUE"""),"Yuba City")</f>
        <v>Yuba City</v>
      </c>
      <c r="C2016" t="str">
        <f>IFERROR(__xludf.DUMMYFUNCTION("""COMPUTED_VALUE"""),"CA")</f>
        <v>CA</v>
      </c>
      <c r="D2016" t="str">
        <f>IFERROR(__xludf.DUMMYFUNCTION("""COMPUTED_VALUE"""),"USA")</f>
        <v>USA</v>
      </c>
      <c r="E2016" s="188">
        <f>IFERROR(__xludf.DUMMYFUNCTION("""COMPUTED_VALUE"""),43709.0)</f>
        <v>43709</v>
      </c>
      <c r="F2016" s="188">
        <f>IFERROR(__xludf.DUMMYFUNCTION("""COMPUTED_VALUE"""),43732.0)</f>
        <v>43732</v>
      </c>
      <c r="H2016">
        <f>IFERROR(__xludf.DUMMYFUNCTION("""COMPUTED_VALUE"""),514655.0)</f>
        <v>514655</v>
      </c>
      <c r="I2016" t="str">
        <f>IFERROR(__xludf.DUMMYFUNCTION("""COMPUTED_VALUE"""),"09/19")</f>
        <v>09/19</v>
      </c>
      <c r="J2016" s="5">
        <f>IFERROR(__xludf.DUMMYFUNCTION("""COMPUTED_VALUE"""),43737.0)</f>
        <v>43737</v>
      </c>
      <c r="K2016">
        <f>IFERROR(__xludf.DUMMYFUNCTION("""COMPUTED_VALUE"""),23.0)</f>
        <v>23</v>
      </c>
      <c r="L2016">
        <f>IFERROR(__xludf.DUMMYFUNCTION("""COMPUTED_VALUE"""),5.0)</f>
        <v>5</v>
      </c>
      <c r="M2016">
        <f>IFERROR(__xludf.DUMMYFUNCTION("""COMPUTED_VALUE"""),28.0)</f>
        <v>28</v>
      </c>
      <c r="N2016" t="str">
        <f>IFERROR(__xludf.DUMMYFUNCTION("""COMPUTED_VALUE"""),"Model 3 Performance")</f>
        <v>Model 3 Performance</v>
      </c>
      <c r="O2016" t="str">
        <f>IFERROR(__xludf.DUMMYFUNCTION("""COMPUTED_VALUE"""),"Pearl White Multi-Coat")</f>
        <v>Pearl White Multi-Coat</v>
      </c>
      <c r="P2016" t="str">
        <f>IFERROR(__xludf.DUMMYFUNCTION("""COMPUTED_VALUE"""),"20 inch Sport")</f>
        <v>20 inch Sport</v>
      </c>
      <c r="Q2016" t="str">
        <f>IFERROR(__xludf.DUMMYFUNCTION("""COMPUTED_VALUE"""),"White seats")</f>
        <v>White seats</v>
      </c>
      <c r="R2016" t="str">
        <f>IFERROR(__xludf.DUMMYFUNCTION("""COMPUTED_VALUE"""),"Autopilot")</f>
        <v>Autopilot</v>
      </c>
      <c r="X2016" t="str">
        <f>IFERROR(__xludf.DUMMYFUNCTION("""COMPUTED_VALUE"""),"Very Good")</f>
        <v>Very Good</v>
      </c>
      <c r="Y2016" t="str">
        <f>IFERROR(__xludf.DUMMYFUNCTION("""COMPUTED_VALUE"""),"Excellent")</f>
        <v>Excellent</v>
      </c>
      <c r="Z2016" t="str">
        <f>IFERROR(__xludf.DUMMYFUNCTION("""COMPUTED_VALUE"""),"Excellent")</f>
        <v>Excellent</v>
      </c>
      <c r="AA2016" t="str">
        <f>IFERROR(__xludf.DUMMYFUNCTION("""COMPUTED_VALUE"""),"Good")</f>
        <v>Good</v>
      </c>
      <c r="AB2016" t="str">
        <f>IFERROR(__xludf.DUMMYFUNCTION("""COMPUTED_VALUE"""),"Excellent")</f>
        <v>Excellent</v>
      </c>
      <c r="AC2016">
        <f>IFERROR(__xludf.DUMMYFUNCTION("""COMPUTED_VALUE"""),2.0)</f>
        <v>2</v>
      </c>
      <c r="AD2016">
        <f>IFERROR(__xludf.DUMMYFUNCTION("""COMPUTED_VALUE"""),2.0)</f>
        <v>2</v>
      </c>
      <c r="AE2016">
        <f>IFERROR(__xludf.DUMMYFUNCTION("""COMPUTED_VALUE"""),0.0)</f>
        <v>0</v>
      </c>
      <c r="AH2016" s="189">
        <f>IFERROR(__xludf.DUMMYFUNCTION("""COMPUTED_VALUE"""),43774.62758246528)</f>
        <v>43774.62758</v>
      </c>
    </row>
    <row r="2017">
      <c r="A2017" t="str">
        <f>IFERROR(__xludf.DUMMYFUNCTION("""COMPUTED_VALUE"""),"arcece")</f>
        <v>arcece</v>
      </c>
      <c r="B2017" t="str">
        <f>IFERROR(__xludf.DUMMYFUNCTION("""COMPUTED_VALUE"""),"Hummelstown")</f>
        <v>Hummelstown</v>
      </c>
      <c r="C2017" t="str">
        <f>IFERROR(__xludf.DUMMYFUNCTION("""COMPUTED_VALUE"""),"PA")</f>
        <v>PA</v>
      </c>
      <c r="D2017" t="str">
        <f>IFERROR(__xludf.DUMMYFUNCTION("""COMPUTED_VALUE"""),"USA")</f>
        <v>USA</v>
      </c>
      <c r="E2017" s="188">
        <f>IFERROR(__xludf.DUMMYFUNCTION("""COMPUTED_VALUE"""),43744.0)</f>
        <v>43744</v>
      </c>
      <c r="F2017" s="188">
        <f>IFERROR(__xludf.DUMMYFUNCTION("""COMPUTED_VALUE"""),43771.0)</f>
        <v>43771</v>
      </c>
      <c r="H2017">
        <f>IFERROR(__xludf.DUMMYFUNCTION("""COMPUTED_VALUE"""),520792.0)</f>
        <v>520792</v>
      </c>
      <c r="I2017" t="str">
        <f>IFERROR(__xludf.DUMMYFUNCTION("""COMPUTED_VALUE"""),"09/19")</f>
        <v>09/19</v>
      </c>
      <c r="J2017" s="5">
        <f>IFERROR(__xludf.DUMMYFUNCTION("""COMPUTED_VALUE"""),43774.0)</f>
        <v>43774</v>
      </c>
      <c r="K2017">
        <f>IFERROR(__xludf.DUMMYFUNCTION("""COMPUTED_VALUE"""),27.0)</f>
        <v>27</v>
      </c>
      <c r="L2017">
        <f>IFERROR(__xludf.DUMMYFUNCTION("""COMPUTED_VALUE"""),3.0)</f>
        <v>3</v>
      </c>
      <c r="M2017">
        <f>IFERROR(__xludf.DUMMYFUNCTION("""COMPUTED_VALUE"""),30.0)</f>
        <v>30</v>
      </c>
      <c r="N2017" t="str">
        <f>IFERROR(__xludf.DUMMYFUNCTION("""COMPUTED_VALUE"""),"Model 3 LR AWD")</f>
        <v>Model 3 LR AWD</v>
      </c>
      <c r="O2017" t="str">
        <f>IFERROR(__xludf.DUMMYFUNCTION("""COMPUTED_VALUE"""),"Red Multi-Coat")</f>
        <v>Red Multi-Coat</v>
      </c>
      <c r="P2017" t="str">
        <f>IFERROR(__xludf.DUMMYFUNCTION("""COMPUTED_VALUE"""),"18 inch Aero")</f>
        <v>18 inch Aero</v>
      </c>
      <c r="Q2017" t="str">
        <f>IFERROR(__xludf.DUMMYFUNCTION("""COMPUTED_VALUE"""),"Black seats")</f>
        <v>Black seats</v>
      </c>
      <c r="R2017" t="str">
        <f>IFERROR(__xludf.DUMMYFUNCTION("""COMPUTED_VALUE"""),"Autopilot")</f>
        <v>Autopilot</v>
      </c>
      <c r="X2017" t="str">
        <f>IFERROR(__xludf.DUMMYFUNCTION("""COMPUTED_VALUE"""),"Excellent")</f>
        <v>Excellent</v>
      </c>
      <c r="Y2017" t="str">
        <f>IFERROR(__xludf.DUMMYFUNCTION("""COMPUTED_VALUE"""),"Very Good")</f>
        <v>Very Good</v>
      </c>
      <c r="Z2017" t="str">
        <f>IFERROR(__xludf.DUMMYFUNCTION("""COMPUTED_VALUE"""),"Very Good")</f>
        <v>Very Good</v>
      </c>
      <c r="AA2017" t="str">
        <f>IFERROR(__xludf.DUMMYFUNCTION("""COMPUTED_VALUE"""),"Very Good")</f>
        <v>Very Good</v>
      </c>
      <c r="AB2017" t="str">
        <f>IFERROR(__xludf.DUMMYFUNCTION("""COMPUTED_VALUE"""),"Good")</f>
        <v>Good</v>
      </c>
      <c r="AC2017">
        <f>IFERROR(__xludf.DUMMYFUNCTION("""COMPUTED_VALUE"""),1.0)</f>
        <v>1</v>
      </c>
      <c r="AG2017" t="str">
        <f>IFERROR(__xludf.DUMMYFUNCTION("""COMPUTED_VALUE"""),"date built was 10/19, I couldn't select that")</f>
        <v>date built was 10/19, I couldn't select that</v>
      </c>
      <c r="AH2017" s="189">
        <f>IFERROR(__xludf.DUMMYFUNCTION("""COMPUTED_VALUE"""),43774.69234616898)</f>
        <v>43774.69235</v>
      </c>
    </row>
    <row r="2018">
      <c r="A2018" t="str">
        <f>IFERROR(__xludf.DUMMYFUNCTION("""COMPUTED_VALUE"""),"alexc")</f>
        <v>alexc</v>
      </c>
      <c r="B2018" t="str">
        <f>IFERROR(__xludf.DUMMYFUNCTION("""COMPUTED_VALUE"""),"boston")</f>
        <v>boston</v>
      </c>
      <c r="C2018" t="str">
        <f>IFERROR(__xludf.DUMMYFUNCTION("""COMPUTED_VALUE"""),"MA")</f>
        <v>MA</v>
      </c>
      <c r="D2018" t="str">
        <f>IFERROR(__xludf.DUMMYFUNCTION("""COMPUTED_VALUE"""),"USA")</f>
        <v>USA</v>
      </c>
      <c r="E2018" s="188">
        <f>IFERROR(__xludf.DUMMYFUNCTION("""COMPUTED_VALUE"""),43753.0)</f>
        <v>43753</v>
      </c>
      <c r="F2018" s="188">
        <f>IFERROR(__xludf.DUMMYFUNCTION("""COMPUTED_VALUE"""),43766.0)</f>
        <v>43766</v>
      </c>
      <c r="H2018" s="4">
        <f>IFERROR(__xludf.DUMMYFUNCTION("""COMPUTED_VALUE"""),535062.0)</f>
        <v>535062</v>
      </c>
      <c r="J2018" s="5">
        <f>IFERROR(__xludf.DUMMYFUNCTION("""COMPUTED_VALUE"""),43775.0)</f>
        <v>43775</v>
      </c>
      <c r="K2018">
        <f>IFERROR(__xludf.DUMMYFUNCTION("""COMPUTED_VALUE"""),13.0)</f>
        <v>13</v>
      </c>
      <c r="L2018">
        <f>IFERROR(__xludf.DUMMYFUNCTION("""COMPUTED_VALUE"""),9.0)</f>
        <v>9</v>
      </c>
      <c r="M2018">
        <f>IFERROR(__xludf.DUMMYFUNCTION("""COMPUTED_VALUE"""),22.0)</f>
        <v>22</v>
      </c>
      <c r="N2018" t="str">
        <f>IFERROR(__xludf.DUMMYFUNCTION("""COMPUTED_VALUE"""),"Model 3 LR AWD")</f>
        <v>Model 3 LR AWD</v>
      </c>
      <c r="O2018" t="str">
        <f>IFERROR(__xludf.DUMMYFUNCTION("""COMPUTED_VALUE"""),"Deep Blue Metallic")</f>
        <v>Deep Blue Metallic</v>
      </c>
      <c r="P2018" t="str">
        <f>IFERROR(__xludf.DUMMYFUNCTION("""COMPUTED_VALUE"""),"18 inch Aero")</f>
        <v>18 inch Aero</v>
      </c>
      <c r="Q2018" t="str">
        <f>IFERROR(__xludf.DUMMYFUNCTION("""COMPUTED_VALUE"""),"Black seats")</f>
        <v>Black seats</v>
      </c>
      <c r="R2018" t="str">
        <f>IFERROR(__xludf.DUMMYFUNCTION("""COMPUTED_VALUE"""),"Full Self-Driving")</f>
        <v>Full Self-Driving</v>
      </c>
      <c r="X2018" t="str">
        <f>IFERROR(__xludf.DUMMYFUNCTION("""COMPUTED_VALUE"""),"Very Good")</f>
        <v>Very Good</v>
      </c>
      <c r="Y2018" t="str">
        <f>IFERROR(__xludf.DUMMYFUNCTION("""COMPUTED_VALUE"""),"Very Good")</f>
        <v>Very Good</v>
      </c>
      <c r="Z2018" t="str">
        <f>IFERROR(__xludf.DUMMYFUNCTION("""COMPUTED_VALUE"""),"Very Good")</f>
        <v>Very Good</v>
      </c>
      <c r="AA2018" t="str">
        <f>IFERROR(__xludf.DUMMYFUNCTION("""COMPUTED_VALUE"""),"Fair")</f>
        <v>Fair</v>
      </c>
      <c r="AB2018" t="str">
        <f>IFERROR(__xludf.DUMMYFUNCTION("""COMPUTED_VALUE"""),"Fair")</f>
        <v>Fair</v>
      </c>
      <c r="AG2018" t="str">
        <f>IFERROR(__xludf.DUMMYFUNCTION("""COMPUTED_VALUE"""),"Configured 10/15, OA contacted 11/2, schedule delivery 11/5")</f>
        <v>Configured 10/15, OA contacted 11/2, schedule delivery 11/5</v>
      </c>
      <c r="AH2018" s="189">
        <f>IFERROR(__xludf.DUMMYFUNCTION("""COMPUTED_VALUE"""),43775.62805127315)</f>
        <v>43775.62805</v>
      </c>
    </row>
    <row r="2019">
      <c r="A2019" t="str">
        <f>IFERROR(__xludf.DUMMYFUNCTION("""COMPUTED_VALUE"""),"BradMBSC")</f>
        <v>BradMBSC</v>
      </c>
      <c r="B2019" t="str">
        <f>IFERROR(__xludf.DUMMYFUNCTION("""COMPUTED_VALUE"""),"Myrtle Beach")</f>
        <v>Myrtle Beach</v>
      </c>
      <c r="C2019" t="str">
        <f>IFERROR(__xludf.DUMMYFUNCTION("""COMPUTED_VALUE"""),"SC")</f>
        <v>SC</v>
      </c>
      <c r="D2019" t="str">
        <f>IFERROR(__xludf.DUMMYFUNCTION("""COMPUTED_VALUE"""),"USA")</f>
        <v>USA</v>
      </c>
      <c r="E2019" s="188">
        <f>IFERROR(__xludf.DUMMYFUNCTION("""COMPUTED_VALUE"""),43754.0)</f>
        <v>43754</v>
      </c>
      <c r="F2019" s="188">
        <f>IFERROR(__xludf.DUMMYFUNCTION("""COMPUTED_VALUE"""),43768.0)</f>
        <v>43768</v>
      </c>
      <c r="H2019">
        <f>IFERROR(__xludf.DUMMYFUNCTION("""COMPUTED_VALUE"""),535255.0)</f>
        <v>535255</v>
      </c>
      <c r="J2019" s="5">
        <f>IFERROR(__xludf.DUMMYFUNCTION("""COMPUTED_VALUE"""),43775.0)</f>
        <v>43775</v>
      </c>
      <c r="K2019">
        <f>IFERROR(__xludf.DUMMYFUNCTION("""COMPUTED_VALUE"""),14.0)</f>
        <v>14</v>
      </c>
      <c r="L2019">
        <f>IFERROR(__xludf.DUMMYFUNCTION("""COMPUTED_VALUE"""),7.0)</f>
        <v>7</v>
      </c>
      <c r="M2019">
        <f>IFERROR(__xludf.DUMMYFUNCTION("""COMPUTED_VALUE"""),21.0)</f>
        <v>21</v>
      </c>
      <c r="N2019" t="str">
        <f>IFERROR(__xludf.DUMMYFUNCTION("""COMPUTED_VALUE"""),"Model 3 LR AWD")</f>
        <v>Model 3 LR AWD</v>
      </c>
      <c r="O2019" t="str">
        <f>IFERROR(__xludf.DUMMYFUNCTION("""COMPUTED_VALUE"""),"Deep Blue Metallic")</f>
        <v>Deep Blue Metallic</v>
      </c>
      <c r="P2019" t="str">
        <f>IFERROR(__xludf.DUMMYFUNCTION("""COMPUTED_VALUE"""),"18 inch Aero")</f>
        <v>18 inch Aero</v>
      </c>
      <c r="Q2019" t="str">
        <f>IFERROR(__xludf.DUMMYFUNCTION("""COMPUTED_VALUE"""),"White seats")</f>
        <v>White seats</v>
      </c>
      <c r="R2019" t="str">
        <f>IFERROR(__xludf.DUMMYFUNCTION("""COMPUTED_VALUE"""),"Autopilot")</f>
        <v>Autopilot</v>
      </c>
      <c r="X2019" t="str">
        <f>IFERROR(__xludf.DUMMYFUNCTION("""COMPUTED_VALUE"""),"Excellent")</f>
        <v>Excellent</v>
      </c>
      <c r="Y2019" t="str">
        <f>IFERROR(__xludf.DUMMYFUNCTION("""COMPUTED_VALUE"""),"Excellent")</f>
        <v>Excellent</v>
      </c>
      <c r="Z2019" t="str">
        <f>IFERROR(__xludf.DUMMYFUNCTION("""COMPUTED_VALUE"""),"Excellent")</f>
        <v>Excellent</v>
      </c>
      <c r="AA2019" t="str">
        <f>IFERROR(__xludf.DUMMYFUNCTION("""COMPUTED_VALUE"""),"Excellent")</f>
        <v>Excellent</v>
      </c>
      <c r="AB2019" t="str">
        <f>IFERROR(__xludf.DUMMYFUNCTION("""COMPUTED_VALUE"""),"Excellent")</f>
        <v>Excellent</v>
      </c>
      <c r="AG2019" t="str">
        <f>IFERROR(__xludf.DUMMYFUNCTION("""COMPUTED_VALUE"""),"VIN on website Oct 31 (found in source code Oct 30).")</f>
        <v>VIN on website Oct 31 (found in source code Oct 30).</v>
      </c>
      <c r="AH2019" s="189">
        <f>IFERROR(__xludf.DUMMYFUNCTION("""COMPUTED_VALUE"""),43776.24973820602)</f>
        <v>43776.24974</v>
      </c>
    </row>
    <row r="2020">
      <c r="A2020" t="str">
        <f>IFERROR(__xludf.DUMMYFUNCTION("""COMPUTED_VALUE"""),"Gryliade9")</f>
        <v>Gryliade9</v>
      </c>
      <c r="B2020" t="str">
        <f>IFERROR(__xludf.DUMMYFUNCTION("""COMPUTED_VALUE"""),"Frankfort")</f>
        <v>Frankfort</v>
      </c>
      <c r="C2020" t="str">
        <f>IFERROR(__xludf.DUMMYFUNCTION("""COMPUTED_VALUE"""),"IL")</f>
        <v>IL</v>
      </c>
      <c r="D2020" t="str">
        <f>IFERROR(__xludf.DUMMYFUNCTION("""COMPUTED_VALUE"""),"USA")</f>
        <v>USA</v>
      </c>
      <c r="E2020" s="188">
        <f>IFERROR(__xludf.DUMMYFUNCTION("""COMPUTED_VALUE"""),43742.0)</f>
        <v>43742</v>
      </c>
      <c r="F2020" s="188">
        <f>IFERROR(__xludf.DUMMYFUNCTION("""COMPUTED_VALUE"""),43766.0)</f>
        <v>43766</v>
      </c>
      <c r="H2020">
        <f>IFERROR(__xludf.DUMMYFUNCTION("""COMPUTED_VALUE"""),513562.0)</f>
        <v>513562</v>
      </c>
      <c r="J2020" s="5">
        <f>IFERROR(__xludf.DUMMYFUNCTION("""COMPUTED_VALUE"""),43770.0)</f>
        <v>43770</v>
      </c>
      <c r="K2020">
        <f>IFERROR(__xludf.DUMMYFUNCTION("""COMPUTED_VALUE"""),24.0)</f>
        <v>24</v>
      </c>
      <c r="L2020">
        <f>IFERROR(__xludf.DUMMYFUNCTION("""COMPUTED_VALUE"""),4.0)</f>
        <v>4</v>
      </c>
      <c r="M2020">
        <f>IFERROR(__xludf.DUMMYFUNCTION("""COMPUTED_VALUE"""),28.0)</f>
        <v>28</v>
      </c>
      <c r="N2020" t="str">
        <f>IFERROR(__xludf.DUMMYFUNCTION("""COMPUTED_VALUE"""),"Model 3 LR AWD")</f>
        <v>Model 3 LR AWD</v>
      </c>
      <c r="O2020" t="str">
        <f>IFERROR(__xludf.DUMMYFUNCTION("""COMPUTED_VALUE"""),"Pearl White Multi-Coat")</f>
        <v>Pearl White Multi-Coat</v>
      </c>
      <c r="P2020" t="str">
        <f>IFERROR(__xludf.DUMMYFUNCTION("""COMPUTED_VALUE"""),"19 inch Sport")</f>
        <v>19 inch Sport</v>
      </c>
      <c r="Q2020" t="str">
        <f>IFERROR(__xludf.DUMMYFUNCTION("""COMPUTED_VALUE"""),"White seats")</f>
        <v>White seats</v>
      </c>
      <c r="R2020" t="str">
        <f>IFERROR(__xludf.DUMMYFUNCTION("""COMPUTED_VALUE"""),"Full Self-Driving")</f>
        <v>Full Self-Driving</v>
      </c>
      <c r="X2020" t="str">
        <f>IFERROR(__xludf.DUMMYFUNCTION("""COMPUTED_VALUE"""),"Excellent")</f>
        <v>Excellent</v>
      </c>
      <c r="Y2020" t="str">
        <f>IFERROR(__xludf.DUMMYFUNCTION("""COMPUTED_VALUE"""),"Excellent")</f>
        <v>Excellent</v>
      </c>
      <c r="Z2020" t="str">
        <f>IFERROR(__xludf.DUMMYFUNCTION("""COMPUTED_VALUE"""),"Very Good")</f>
        <v>Very Good</v>
      </c>
      <c r="AA2020" t="str">
        <f>IFERROR(__xludf.DUMMYFUNCTION("""COMPUTED_VALUE"""),"Good")</f>
        <v>Good</v>
      </c>
      <c r="AB2020" t="str">
        <f>IFERROR(__xludf.DUMMYFUNCTION("""COMPUTED_VALUE"""),"Excellent")</f>
        <v>Excellent</v>
      </c>
      <c r="AC2020">
        <f>IFERROR(__xludf.DUMMYFUNCTION("""COMPUTED_VALUE"""),1.0)</f>
        <v>1</v>
      </c>
      <c r="AH2020" s="189">
        <f>IFERROR(__xludf.DUMMYFUNCTION("""COMPUTED_VALUE"""),43776.56943458333)</f>
        <v>43776.56943</v>
      </c>
    </row>
    <row r="2021">
      <c r="A2021" t="str">
        <f>IFERROR(__xludf.DUMMYFUNCTION("""COMPUTED_VALUE"""),"Daedelous")</f>
        <v>Daedelous</v>
      </c>
      <c r="B2021" t="str">
        <f>IFERROR(__xludf.DUMMYFUNCTION("""COMPUTED_VALUE"""),"Sterling")</f>
        <v>Sterling</v>
      </c>
      <c r="C2021" t="str">
        <f>IFERROR(__xludf.DUMMYFUNCTION("""COMPUTED_VALUE"""),"VA")</f>
        <v>VA</v>
      </c>
      <c r="D2021" t="str">
        <f>IFERROR(__xludf.DUMMYFUNCTION("""COMPUTED_VALUE"""),"USA")</f>
        <v>USA</v>
      </c>
      <c r="E2021" s="188">
        <f>IFERROR(__xludf.DUMMYFUNCTION("""COMPUTED_VALUE"""),43736.0)</f>
        <v>43736</v>
      </c>
      <c r="F2021" s="188">
        <f>IFERROR(__xludf.DUMMYFUNCTION("""COMPUTED_VALUE"""),43759.0)</f>
        <v>43759</v>
      </c>
      <c r="H2021" s="4">
        <f>IFERROR(__xludf.DUMMYFUNCTION("""COMPUTED_VALUE"""),535282.0)</f>
        <v>535282</v>
      </c>
      <c r="I2021" t="str">
        <f>IFERROR(__xludf.DUMMYFUNCTION("""COMPUTED_VALUE"""),"10/19")</f>
        <v>10/19</v>
      </c>
      <c r="J2021" s="5">
        <f>IFERROR(__xludf.DUMMYFUNCTION("""COMPUTED_VALUE"""),43775.0)</f>
        <v>43775</v>
      </c>
      <c r="K2021">
        <f>IFERROR(__xludf.DUMMYFUNCTION("""COMPUTED_VALUE"""),23.0)</f>
        <v>23</v>
      </c>
      <c r="L2021">
        <f>IFERROR(__xludf.DUMMYFUNCTION("""COMPUTED_VALUE"""),16.0)</f>
        <v>16</v>
      </c>
      <c r="M2021">
        <f>IFERROR(__xludf.DUMMYFUNCTION("""COMPUTED_VALUE"""),39.0)</f>
        <v>39</v>
      </c>
      <c r="N2021" t="str">
        <f>IFERROR(__xludf.DUMMYFUNCTION("""COMPUTED_VALUE"""),"Model 3 LR AWD")</f>
        <v>Model 3 LR AWD</v>
      </c>
      <c r="O2021" t="str">
        <f>IFERROR(__xludf.DUMMYFUNCTION("""COMPUTED_VALUE"""),"Red Multi-Coat")</f>
        <v>Red Multi-Coat</v>
      </c>
      <c r="P2021" t="str">
        <f>IFERROR(__xludf.DUMMYFUNCTION("""COMPUTED_VALUE"""),"18 inch Aero")</f>
        <v>18 inch Aero</v>
      </c>
      <c r="Q2021" t="str">
        <f>IFERROR(__xludf.DUMMYFUNCTION("""COMPUTED_VALUE"""),"White seats")</f>
        <v>White seats</v>
      </c>
      <c r="R2021" t="str">
        <f>IFERROR(__xludf.DUMMYFUNCTION("""COMPUTED_VALUE"""),"Full Self-Driving")</f>
        <v>Full Self-Driving</v>
      </c>
      <c r="X2021" t="str">
        <f>IFERROR(__xludf.DUMMYFUNCTION("""COMPUTED_VALUE"""),"Very Good")</f>
        <v>Very Good</v>
      </c>
      <c r="Y2021" t="str">
        <f>IFERROR(__xludf.DUMMYFUNCTION("""COMPUTED_VALUE"""),"Excellent")</f>
        <v>Excellent</v>
      </c>
      <c r="Z2021" t="str">
        <f>IFERROR(__xludf.DUMMYFUNCTION("""COMPUTED_VALUE"""),"Fair")</f>
        <v>Fair</v>
      </c>
      <c r="AA2021" t="str">
        <f>IFERROR(__xludf.DUMMYFUNCTION("""COMPUTED_VALUE"""),"Fair")</f>
        <v>Fair</v>
      </c>
      <c r="AB2021" t="str">
        <f>IFERROR(__xludf.DUMMYFUNCTION("""COMPUTED_VALUE"""),"Excellent")</f>
        <v>Excellent</v>
      </c>
      <c r="AC2021">
        <f>IFERROR(__xludf.DUMMYFUNCTION("""COMPUTED_VALUE"""),0.0)</f>
        <v>0</v>
      </c>
      <c r="AD2021">
        <f>IFERROR(__xludf.DUMMYFUNCTION("""COMPUTED_VALUE"""),0.0)</f>
        <v>0</v>
      </c>
      <c r="AE2021">
        <f>IFERROR(__xludf.DUMMYFUNCTION("""COMPUTED_VALUE"""),0.0)</f>
        <v>0</v>
      </c>
      <c r="AH2021" s="189">
        <f>IFERROR(__xludf.DUMMYFUNCTION("""COMPUTED_VALUE"""),43777.60658332176)</f>
        <v>43777.60658</v>
      </c>
    </row>
    <row r="2022">
      <c r="A2022" t="str">
        <f>IFERROR(__xludf.DUMMYFUNCTION("""COMPUTED_VALUE"""),"SK360")</f>
        <v>SK360</v>
      </c>
      <c r="B2022" t="str">
        <f>IFERROR(__xludf.DUMMYFUNCTION("""COMPUTED_VALUE"""),"Pittsburgh")</f>
        <v>Pittsburgh</v>
      </c>
      <c r="C2022" t="str">
        <f>IFERROR(__xludf.DUMMYFUNCTION("""COMPUTED_VALUE"""),"PA")</f>
        <v>PA</v>
      </c>
      <c r="D2022" t="str">
        <f>IFERROR(__xludf.DUMMYFUNCTION("""COMPUTED_VALUE"""),"USA")</f>
        <v>USA</v>
      </c>
      <c r="E2022" s="188">
        <f>IFERROR(__xludf.DUMMYFUNCTION("""COMPUTED_VALUE"""),43715.0)</f>
        <v>43715</v>
      </c>
      <c r="F2022" s="188">
        <f>IFERROR(__xludf.DUMMYFUNCTION("""COMPUTED_VALUE"""),43726.0)</f>
        <v>43726</v>
      </c>
      <c r="H2022">
        <f>IFERROR(__xludf.DUMMYFUNCTION("""COMPUTED_VALUE"""),449515.0)</f>
        <v>449515</v>
      </c>
      <c r="I2022" t="str">
        <f>IFERROR(__xludf.DUMMYFUNCTION("""COMPUTED_VALUE"""),"09/19")</f>
        <v>09/19</v>
      </c>
      <c r="J2022" s="5">
        <f>IFERROR(__xludf.DUMMYFUNCTION("""COMPUTED_VALUE"""),43735.0)</f>
        <v>43735</v>
      </c>
      <c r="K2022">
        <f>IFERROR(__xludf.DUMMYFUNCTION("""COMPUTED_VALUE"""),11.0)</f>
        <v>11</v>
      </c>
      <c r="L2022">
        <f>IFERROR(__xludf.DUMMYFUNCTION("""COMPUTED_VALUE"""),9.0)</f>
        <v>9</v>
      </c>
      <c r="M2022">
        <f>IFERROR(__xludf.DUMMYFUNCTION("""COMPUTED_VALUE"""),20.0)</f>
        <v>20</v>
      </c>
      <c r="N2022" t="str">
        <f>IFERROR(__xludf.DUMMYFUNCTION("""COMPUTED_VALUE"""),"Model 3 Performance")</f>
        <v>Model 3 Performance</v>
      </c>
      <c r="O2022" t="str">
        <f>IFERROR(__xludf.DUMMYFUNCTION("""COMPUTED_VALUE"""),"Deep Blue Metallic")</f>
        <v>Deep Blue Metallic</v>
      </c>
      <c r="P2022" t="str">
        <f>IFERROR(__xludf.DUMMYFUNCTION("""COMPUTED_VALUE"""),"20 inch Sport")</f>
        <v>20 inch Sport</v>
      </c>
      <c r="Q2022" t="str">
        <f>IFERROR(__xludf.DUMMYFUNCTION("""COMPUTED_VALUE"""),"Black seats")</f>
        <v>Black seats</v>
      </c>
      <c r="R2022" t="str">
        <f>IFERROR(__xludf.DUMMYFUNCTION("""COMPUTED_VALUE"""),"Full Self-Driving")</f>
        <v>Full Self-Driving</v>
      </c>
      <c r="X2022" t="str">
        <f>IFERROR(__xludf.DUMMYFUNCTION("""COMPUTED_VALUE"""),"Excellent")</f>
        <v>Excellent</v>
      </c>
      <c r="Y2022" t="str">
        <f>IFERROR(__xludf.DUMMYFUNCTION("""COMPUTED_VALUE"""),"Excellent")</f>
        <v>Excellent</v>
      </c>
      <c r="Z2022" t="str">
        <f>IFERROR(__xludf.DUMMYFUNCTION("""COMPUTED_VALUE"""),"Very Good")</f>
        <v>Very Good</v>
      </c>
      <c r="AA2022" t="str">
        <f>IFERROR(__xludf.DUMMYFUNCTION("""COMPUTED_VALUE"""),"Excellent")</f>
        <v>Excellent</v>
      </c>
      <c r="AB2022" t="str">
        <f>IFERROR(__xludf.DUMMYFUNCTION("""COMPUTED_VALUE"""),"Excellent")</f>
        <v>Excellent</v>
      </c>
      <c r="AC2022">
        <f>IFERROR(__xludf.DUMMYFUNCTION("""COMPUTED_VALUE"""),1.0)</f>
        <v>1</v>
      </c>
      <c r="AD2022">
        <f>IFERROR(__xludf.DUMMYFUNCTION("""COMPUTED_VALUE"""),1.0)</f>
        <v>1</v>
      </c>
      <c r="AE2022">
        <f>IFERROR(__xludf.DUMMYFUNCTION("""COMPUTED_VALUE"""),1.0)</f>
        <v>1</v>
      </c>
      <c r="AH2022" s="189">
        <f>IFERROR(__xludf.DUMMYFUNCTION("""COMPUTED_VALUE"""),43777.663399259254)</f>
        <v>43777.6634</v>
      </c>
    </row>
    <row r="2023">
      <c r="A2023" t="str">
        <f>IFERROR(__xludf.DUMMYFUNCTION("""COMPUTED_VALUE"""),"chris3g")</f>
        <v>chris3g</v>
      </c>
      <c r="C2023" t="str">
        <f>IFERROR(__xludf.DUMMYFUNCTION("""COMPUTED_VALUE"""),"NJ")</f>
        <v>NJ</v>
      </c>
      <c r="D2023" t="str">
        <f>IFERROR(__xludf.DUMMYFUNCTION("""COMPUTED_VALUE"""),"USA")</f>
        <v>USA</v>
      </c>
      <c r="E2023" s="188">
        <f>IFERROR(__xludf.DUMMYFUNCTION("""COMPUTED_VALUE"""),43748.0)</f>
        <v>43748</v>
      </c>
      <c r="F2023" s="188">
        <f>IFERROR(__xludf.DUMMYFUNCTION("""COMPUTED_VALUE"""),43774.0)</f>
        <v>43774</v>
      </c>
      <c r="H2023">
        <f>IFERROR(__xludf.DUMMYFUNCTION("""COMPUTED_VALUE"""),586964.0)</f>
        <v>586964</v>
      </c>
      <c r="I2023" t="str">
        <f>IFERROR(__xludf.DUMMYFUNCTION("""COMPUTED_VALUE"""),"10/19")</f>
        <v>10/19</v>
      </c>
      <c r="J2023" s="5">
        <f>IFERROR(__xludf.DUMMYFUNCTION("""COMPUTED_VALUE"""),43777.0)</f>
        <v>43777</v>
      </c>
      <c r="K2023">
        <f>IFERROR(__xludf.DUMMYFUNCTION("""COMPUTED_VALUE"""),26.0)</f>
        <v>26</v>
      </c>
      <c r="L2023">
        <f>IFERROR(__xludf.DUMMYFUNCTION("""COMPUTED_VALUE"""),3.0)</f>
        <v>3</v>
      </c>
      <c r="M2023">
        <f>IFERROR(__xludf.DUMMYFUNCTION("""COMPUTED_VALUE"""),29.0)</f>
        <v>29</v>
      </c>
      <c r="N2023" t="str">
        <f>IFERROR(__xludf.DUMMYFUNCTION("""COMPUTED_VALUE"""),"Model 3 Performance")</f>
        <v>Model 3 Performance</v>
      </c>
      <c r="O2023" t="str">
        <f>IFERROR(__xludf.DUMMYFUNCTION("""COMPUTED_VALUE"""),"Pearl White Multi-Coat")</f>
        <v>Pearl White Multi-Coat</v>
      </c>
      <c r="P2023" t="str">
        <f>IFERROR(__xludf.DUMMYFUNCTION("""COMPUTED_VALUE"""),"19 inch Sport")</f>
        <v>19 inch Sport</v>
      </c>
      <c r="Q2023" t="str">
        <f>IFERROR(__xludf.DUMMYFUNCTION("""COMPUTED_VALUE"""),"Black seats")</f>
        <v>Black seats</v>
      </c>
      <c r="R2023" t="str">
        <f>IFERROR(__xludf.DUMMYFUNCTION("""COMPUTED_VALUE"""),"Autopilot")</f>
        <v>Autopilot</v>
      </c>
      <c r="X2023" t="str">
        <f>IFERROR(__xludf.DUMMYFUNCTION("""COMPUTED_VALUE"""),"Excellent")</f>
        <v>Excellent</v>
      </c>
      <c r="Y2023" t="str">
        <f>IFERROR(__xludf.DUMMYFUNCTION("""COMPUTED_VALUE"""),"Very Good")</f>
        <v>Very Good</v>
      </c>
      <c r="Z2023" t="str">
        <f>IFERROR(__xludf.DUMMYFUNCTION("""COMPUTED_VALUE"""),"Very Good")</f>
        <v>Very Good</v>
      </c>
      <c r="AA2023" t="str">
        <f>IFERROR(__xludf.DUMMYFUNCTION("""COMPUTED_VALUE"""),"Good")</f>
        <v>Good</v>
      </c>
      <c r="AB2023" t="str">
        <f>IFERROR(__xludf.DUMMYFUNCTION("""COMPUTED_VALUE"""),"Very Good")</f>
        <v>Very Good</v>
      </c>
      <c r="AG2023" t="str">
        <f>IFERROR(__xludf.DUMMYFUNCTION("""COMPUTED_VALUE"""),"switched order to inventory p3d-")</f>
        <v>switched order to inventory p3d-</v>
      </c>
      <c r="AH2023" s="189">
        <f>IFERROR(__xludf.DUMMYFUNCTION("""COMPUTED_VALUE"""),43778.35509351852)</f>
        <v>43778.35509</v>
      </c>
    </row>
    <row r="2024">
      <c r="A2024" t="str">
        <f>IFERROR(__xludf.DUMMYFUNCTION("""COMPUTED_VALUE"""),"IAmFleX")</f>
        <v>IAmFleX</v>
      </c>
      <c r="B2024" t="str">
        <f>IFERROR(__xludf.DUMMYFUNCTION("""COMPUTED_VALUE"""),"Raleigh")</f>
        <v>Raleigh</v>
      </c>
      <c r="C2024" t="str">
        <f>IFERROR(__xludf.DUMMYFUNCTION("""COMPUTED_VALUE"""),"NC")</f>
        <v>NC</v>
      </c>
      <c r="D2024" t="str">
        <f>IFERROR(__xludf.DUMMYFUNCTION("""COMPUTED_VALUE"""),"USA")</f>
        <v>USA</v>
      </c>
      <c r="E2024" s="188">
        <f>IFERROR(__xludf.DUMMYFUNCTION("""COMPUTED_VALUE"""),43755.0)</f>
        <v>43755</v>
      </c>
      <c r="F2024" s="188">
        <f>IFERROR(__xludf.DUMMYFUNCTION("""COMPUTED_VALUE"""),43767.0)</f>
        <v>43767</v>
      </c>
      <c r="H2024">
        <f>IFERROR(__xludf.DUMMYFUNCTION("""COMPUTED_VALUE"""),512265.0)</f>
        <v>512265</v>
      </c>
      <c r="J2024" s="5">
        <f>IFERROR(__xludf.DUMMYFUNCTION("""COMPUTED_VALUE"""),43778.0)</f>
        <v>43778</v>
      </c>
      <c r="K2024">
        <f>IFERROR(__xludf.DUMMYFUNCTION("""COMPUTED_VALUE"""),12.0)</f>
        <v>12</v>
      </c>
      <c r="L2024">
        <f>IFERROR(__xludf.DUMMYFUNCTION("""COMPUTED_VALUE"""),11.0)</f>
        <v>11</v>
      </c>
      <c r="M2024">
        <f>IFERROR(__xludf.DUMMYFUNCTION("""COMPUTED_VALUE"""),23.0)</f>
        <v>23</v>
      </c>
      <c r="N2024" t="str">
        <f>IFERROR(__xludf.DUMMYFUNCTION("""COMPUTED_VALUE"""),"Model 3 LR AWD")</f>
        <v>Model 3 LR AWD</v>
      </c>
      <c r="O2024" t="str">
        <f>IFERROR(__xludf.DUMMYFUNCTION("""COMPUTED_VALUE"""),"Pearl White Multi-Coat")</f>
        <v>Pearl White Multi-Coat</v>
      </c>
      <c r="P2024" t="str">
        <f>IFERROR(__xludf.DUMMYFUNCTION("""COMPUTED_VALUE"""),"19 inch Sport")</f>
        <v>19 inch Sport</v>
      </c>
      <c r="Q2024" t="str">
        <f>IFERROR(__xludf.DUMMYFUNCTION("""COMPUTED_VALUE"""),"Black seats")</f>
        <v>Black seats</v>
      </c>
      <c r="R2024" t="str">
        <f>IFERROR(__xludf.DUMMYFUNCTION("""COMPUTED_VALUE"""),"Autopilot")</f>
        <v>Autopilot</v>
      </c>
      <c r="X2024" t="str">
        <f>IFERROR(__xludf.DUMMYFUNCTION("""COMPUTED_VALUE"""),"Excellent")</f>
        <v>Excellent</v>
      </c>
      <c r="Y2024" t="str">
        <f>IFERROR(__xludf.DUMMYFUNCTION("""COMPUTED_VALUE"""),"Excellent")</f>
        <v>Excellent</v>
      </c>
      <c r="Z2024" t="str">
        <f>IFERROR(__xludf.DUMMYFUNCTION("""COMPUTED_VALUE"""),"Excellent")</f>
        <v>Excellent</v>
      </c>
      <c r="AA2024" t="str">
        <f>IFERROR(__xludf.DUMMYFUNCTION("""COMPUTED_VALUE"""),"Good")</f>
        <v>Good</v>
      </c>
      <c r="AB2024" t="str">
        <f>IFERROR(__xludf.DUMMYFUNCTION("""COMPUTED_VALUE"""),"Very Good")</f>
        <v>Very Good</v>
      </c>
      <c r="AG2024" t="str">
        <f>IFERROR(__xludf.DUMMYFUNCTION("""COMPUTED_VALUE"""),"Found VIN in source code. Delivery date changed car stuck in transit")</f>
        <v>Found VIN in source code. Delivery date changed car stuck in transit</v>
      </c>
      <c r="AH2024" s="189">
        <f>IFERROR(__xludf.DUMMYFUNCTION("""COMPUTED_VALUE"""),43780.24995582176)</f>
        <v>43780.24996</v>
      </c>
    </row>
    <row r="2025">
      <c r="A2025" t="str">
        <f>IFERROR(__xludf.DUMMYFUNCTION("""COMPUTED_VALUE"""),"anakondarh")</f>
        <v>anakondarh</v>
      </c>
      <c r="B2025" t="str">
        <f>IFERROR(__xludf.DUMMYFUNCTION("""COMPUTED_VALUE"""),"Stavanger")</f>
        <v>Stavanger</v>
      </c>
      <c r="D2025" t="str">
        <f>IFERROR(__xludf.DUMMYFUNCTION("""COMPUTED_VALUE"""),"Norway")</f>
        <v>Norway</v>
      </c>
      <c r="E2025" s="188">
        <f>IFERROR(__xludf.DUMMYFUNCTION("""COMPUTED_VALUE"""),43699.0)</f>
        <v>43699</v>
      </c>
      <c r="F2025" s="188">
        <f>IFERROR(__xludf.DUMMYFUNCTION("""COMPUTED_VALUE"""),43772.0)</f>
        <v>43772</v>
      </c>
      <c r="H2025">
        <f>IFERROR(__xludf.DUMMYFUNCTION("""COMPUTED_VALUE"""),455955.0)</f>
        <v>455955</v>
      </c>
      <c r="J2025" s="5">
        <f>IFERROR(__xludf.DUMMYFUNCTION("""COMPUTED_VALUE"""),43780.0)</f>
        <v>43780</v>
      </c>
      <c r="K2025">
        <f>IFERROR(__xludf.DUMMYFUNCTION("""COMPUTED_VALUE"""),73.0)</f>
        <v>73</v>
      </c>
      <c r="L2025">
        <f>IFERROR(__xludf.DUMMYFUNCTION("""COMPUTED_VALUE"""),8.0)</f>
        <v>8</v>
      </c>
      <c r="M2025">
        <f>IFERROR(__xludf.DUMMYFUNCTION("""COMPUTED_VALUE"""),81.0)</f>
        <v>81</v>
      </c>
      <c r="N2025" t="str">
        <f>IFERROR(__xludf.DUMMYFUNCTION("""COMPUTED_VALUE"""),"Model 3 LR AWD")</f>
        <v>Model 3 LR AWD</v>
      </c>
      <c r="O2025" t="str">
        <f>IFERROR(__xludf.DUMMYFUNCTION("""COMPUTED_VALUE"""),"Midnight Silver Metallic")</f>
        <v>Midnight Silver Metallic</v>
      </c>
      <c r="P2025" t="str">
        <f>IFERROR(__xludf.DUMMYFUNCTION("""COMPUTED_VALUE"""),"18 inch Aero")</f>
        <v>18 inch Aero</v>
      </c>
      <c r="Q2025" t="str">
        <f>IFERROR(__xludf.DUMMYFUNCTION("""COMPUTED_VALUE"""),"Black seats")</f>
        <v>Black seats</v>
      </c>
      <c r="R2025" t="str">
        <f>IFERROR(__xludf.DUMMYFUNCTION("""COMPUTED_VALUE"""),"Autopilot")</f>
        <v>Autopilot</v>
      </c>
      <c r="X2025" t="str">
        <f>IFERROR(__xludf.DUMMYFUNCTION("""COMPUTED_VALUE"""),"Excellent")</f>
        <v>Excellent</v>
      </c>
      <c r="Y2025" t="str">
        <f>IFERROR(__xludf.DUMMYFUNCTION("""COMPUTED_VALUE"""),"Excellent")</f>
        <v>Excellent</v>
      </c>
      <c r="Z2025" t="str">
        <f>IFERROR(__xludf.DUMMYFUNCTION("""COMPUTED_VALUE"""),"Excellent")</f>
        <v>Excellent</v>
      </c>
      <c r="AA2025" t="str">
        <f>IFERROR(__xludf.DUMMYFUNCTION("""COMPUTED_VALUE"""),"Very Good")</f>
        <v>Very Good</v>
      </c>
      <c r="AB2025" t="str">
        <f>IFERROR(__xludf.DUMMYFUNCTION("""COMPUTED_VALUE"""),"Excellent")</f>
        <v>Excellent</v>
      </c>
      <c r="AC2025">
        <f>IFERROR(__xludf.DUMMYFUNCTION("""COMPUTED_VALUE"""),1.0)</f>
        <v>1</v>
      </c>
      <c r="AD2025">
        <f>IFERROR(__xludf.DUMMYFUNCTION("""COMPUTED_VALUE"""),0.0)</f>
        <v>0</v>
      </c>
      <c r="AE2025">
        <f>IFERROR(__xludf.DUMMYFUNCTION("""COMPUTED_VALUE"""),0.0)</f>
        <v>0</v>
      </c>
      <c r="AH2025" s="189">
        <f>IFERROR(__xludf.DUMMYFUNCTION("""COMPUTED_VALUE"""),43781.059584930554)</f>
        <v>43781.05958</v>
      </c>
    </row>
    <row r="2026">
      <c r="A2026" t="str">
        <f>IFERROR(__xludf.DUMMYFUNCTION("""COMPUTED_VALUE"""),"forcedmodel3srp")</f>
        <v>forcedmodel3srp</v>
      </c>
      <c r="B2026" t="str">
        <f>IFERROR(__xludf.DUMMYFUNCTION("""COMPUTED_VALUE"""),"Burbank")</f>
        <v>Burbank</v>
      </c>
      <c r="C2026" t="str">
        <f>IFERROR(__xludf.DUMMYFUNCTION("""COMPUTED_VALUE"""),"CA")</f>
        <v>CA</v>
      </c>
      <c r="D2026" t="str">
        <f>IFERROR(__xludf.DUMMYFUNCTION("""COMPUTED_VALUE"""),"USA")</f>
        <v>USA</v>
      </c>
      <c r="E2026" s="188">
        <f>IFERROR(__xludf.DUMMYFUNCTION("""COMPUTED_VALUE"""),43767.0)</f>
        <v>43767</v>
      </c>
      <c r="F2026" s="188">
        <f>IFERROR(__xludf.DUMMYFUNCTION("""COMPUTED_VALUE"""),43767.0)</f>
        <v>43767</v>
      </c>
      <c r="H2026">
        <f>IFERROR(__xludf.DUMMYFUNCTION("""COMPUTED_VALUE"""),543055.0)</f>
        <v>543055</v>
      </c>
      <c r="J2026" s="5">
        <f>IFERROR(__xludf.DUMMYFUNCTION("""COMPUTED_VALUE"""),43778.0)</f>
        <v>43778</v>
      </c>
      <c r="K2026">
        <f>IFERROR(__xludf.DUMMYFUNCTION("""COMPUTED_VALUE"""),0.0)</f>
        <v>0</v>
      </c>
      <c r="L2026">
        <f>IFERROR(__xludf.DUMMYFUNCTION("""COMPUTED_VALUE"""),11.0)</f>
        <v>11</v>
      </c>
      <c r="M2026">
        <f>IFERROR(__xludf.DUMMYFUNCTION("""COMPUTED_VALUE"""),11.0)</f>
        <v>11</v>
      </c>
      <c r="N2026" t="str">
        <f>IFERROR(__xludf.DUMMYFUNCTION("""COMPUTED_VALUE"""),"Model 3 SR+")</f>
        <v>Model 3 SR+</v>
      </c>
      <c r="O2026" t="str">
        <f>IFERROR(__xludf.DUMMYFUNCTION("""COMPUTED_VALUE"""),"Red Multi-Coat")</f>
        <v>Red Multi-Coat</v>
      </c>
      <c r="P2026" t="str">
        <f>IFERROR(__xludf.DUMMYFUNCTION("""COMPUTED_VALUE"""),"19 inch Sport")</f>
        <v>19 inch Sport</v>
      </c>
      <c r="Q2026" t="str">
        <f>IFERROR(__xludf.DUMMYFUNCTION("""COMPUTED_VALUE"""),"White seats")</f>
        <v>White seats</v>
      </c>
      <c r="R2026" t="str">
        <f>IFERROR(__xludf.DUMMYFUNCTION("""COMPUTED_VALUE"""),"Autopilot")</f>
        <v>Autopilot</v>
      </c>
      <c r="X2026" t="str">
        <f>IFERROR(__xludf.DUMMYFUNCTION("""COMPUTED_VALUE"""),"Very Good")</f>
        <v>Very Good</v>
      </c>
      <c r="Y2026" t="str">
        <f>IFERROR(__xludf.DUMMYFUNCTION("""COMPUTED_VALUE"""),"Very Good")</f>
        <v>Very Good</v>
      </c>
      <c r="Z2026" t="str">
        <f>IFERROR(__xludf.DUMMYFUNCTION("""COMPUTED_VALUE"""),"Good")</f>
        <v>Good</v>
      </c>
      <c r="AA2026" t="str">
        <f>IFERROR(__xludf.DUMMYFUNCTION("""COMPUTED_VALUE"""),"Very Good")</f>
        <v>Very Good</v>
      </c>
      <c r="AB2026" t="str">
        <f>IFERROR(__xludf.DUMMYFUNCTION("""COMPUTED_VALUE"""),"Excellent")</f>
        <v>Excellent</v>
      </c>
      <c r="AC2026">
        <f>IFERROR(__xludf.DUMMYFUNCTION("""COMPUTED_VALUE"""),2.0)</f>
        <v>2</v>
      </c>
      <c r="AG2026" t="str">
        <f>IFERROR(__xludf.DUMMYFUNCTION("""COMPUTED_VALUE"""),"Inventory showed up in San Francisco on 10/29")</f>
        <v>Inventory showed up in San Francisco on 10/29</v>
      </c>
      <c r="AH2026" s="189">
        <f>IFERROR(__xludf.DUMMYFUNCTION("""COMPUTED_VALUE"""),43781.57329112268)</f>
        <v>43781.57329</v>
      </c>
    </row>
    <row r="2027">
      <c r="A2027" t="str">
        <f>IFERROR(__xludf.DUMMYFUNCTION("""COMPUTED_VALUE"""),"nsblue")</f>
        <v>nsblue</v>
      </c>
      <c r="B2027" t="str">
        <f>IFERROR(__xludf.DUMMYFUNCTION("""COMPUTED_VALUE"""),"Yarmouth")</f>
        <v>Yarmouth</v>
      </c>
      <c r="C2027" t="str">
        <f>IFERROR(__xludf.DUMMYFUNCTION("""COMPUTED_VALUE"""),"NS")</f>
        <v>NS</v>
      </c>
      <c r="D2027" t="str">
        <f>IFERROR(__xludf.DUMMYFUNCTION("""COMPUTED_VALUE"""),"Canada")</f>
        <v>Canada</v>
      </c>
      <c r="E2027" s="188">
        <f>IFERROR(__xludf.DUMMYFUNCTION("""COMPUTED_VALUE"""),43728.0)</f>
        <v>43728</v>
      </c>
      <c r="F2027" s="188">
        <f>IFERROR(__xludf.DUMMYFUNCTION("""COMPUTED_VALUE"""),43759.0)</f>
        <v>43759</v>
      </c>
      <c r="H2027" s="4">
        <f>IFERROR(__xludf.DUMMYFUNCTION("""COMPUTED_VALUE"""),522535.0)</f>
        <v>522535</v>
      </c>
      <c r="I2027" t="str">
        <f>IFERROR(__xludf.DUMMYFUNCTION("""COMPUTED_VALUE"""),"10/19")</f>
        <v>10/19</v>
      </c>
      <c r="J2027" s="5">
        <f>IFERROR(__xludf.DUMMYFUNCTION("""COMPUTED_VALUE"""),43781.0)</f>
        <v>43781</v>
      </c>
      <c r="K2027">
        <f>IFERROR(__xludf.DUMMYFUNCTION("""COMPUTED_VALUE"""),31.0)</f>
        <v>31</v>
      </c>
      <c r="L2027">
        <f>IFERROR(__xludf.DUMMYFUNCTION("""COMPUTED_VALUE"""),22.0)</f>
        <v>22</v>
      </c>
      <c r="M2027">
        <f>IFERROR(__xludf.DUMMYFUNCTION("""COMPUTED_VALUE"""),53.0)</f>
        <v>53</v>
      </c>
      <c r="N2027" t="str">
        <f>IFERROR(__xludf.DUMMYFUNCTION("""COMPUTED_VALUE"""),"Model 3 LR AWD")</f>
        <v>Model 3 LR AWD</v>
      </c>
      <c r="O2027" t="str">
        <f>IFERROR(__xludf.DUMMYFUNCTION("""COMPUTED_VALUE"""),"Midnight Silver Metallic")</f>
        <v>Midnight Silver Metallic</v>
      </c>
      <c r="P2027" t="str">
        <f>IFERROR(__xludf.DUMMYFUNCTION("""COMPUTED_VALUE"""),"18 inch Aero")</f>
        <v>18 inch Aero</v>
      </c>
      <c r="Q2027" t="str">
        <f>IFERROR(__xludf.DUMMYFUNCTION("""COMPUTED_VALUE"""),"Black seats")</f>
        <v>Black seats</v>
      </c>
      <c r="R2027" t="str">
        <f>IFERROR(__xludf.DUMMYFUNCTION("""COMPUTED_VALUE"""),"Full Self-Driving")</f>
        <v>Full Self-Driving</v>
      </c>
      <c r="X2027" t="str">
        <f>IFERROR(__xludf.DUMMYFUNCTION("""COMPUTED_VALUE"""),"Very Good")</f>
        <v>Very Good</v>
      </c>
      <c r="Y2027" t="str">
        <f>IFERROR(__xludf.DUMMYFUNCTION("""COMPUTED_VALUE"""),"Excellent")</f>
        <v>Excellent</v>
      </c>
      <c r="Z2027" t="str">
        <f>IFERROR(__xludf.DUMMYFUNCTION("""COMPUTED_VALUE"""),"Excellent")</f>
        <v>Excellent</v>
      </c>
      <c r="AA2027" t="str">
        <f>IFERROR(__xludf.DUMMYFUNCTION("""COMPUTED_VALUE"""),"Excellent")</f>
        <v>Excellent</v>
      </c>
      <c r="AB2027" t="str">
        <f>IFERROR(__xludf.DUMMYFUNCTION("""COMPUTED_VALUE"""),"Excellent")</f>
        <v>Excellent</v>
      </c>
      <c r="AG2027" t="str">
        <f>IFERROR(__xludf.DUMMYFUNCTION("""COMPUTED_VALUE"""),"VIN from Source Code")</f>
        <v>VIN from Source Code</v>
      </c>
      <c r="AH2027" s="189">
        <f>IFERROR(__xludf.DUMMYFUNCTION("""COMPUTED_VALUE"""),43781.69785622685)</f>
        <v>43781.69786</v>
      </c>
    </row>
    <row r="2028">
      <c r="A2028" t="str">
        <f>IFERROR(__xludf.DUMMYFUNCTION("""COMPUTED_VALUE"""),"shootstesla")</f>
        <v>shootstesla</v>
      </c>
      <c r="B2028" t="str">
        <f>IFERROR(__xludf.DUMMYFUNCTION("""COMPUTED_VALUE"""),"Morristown")</f>
        <v>Morristown</v>
      </c>
      <c r="C2028" t="str">
        <f>IFERROR(__xludf.DUMMYFUNCTION("""COMPUTED_VALUE"""),"NJ")</f>
        <v>NJ</v>
      </c>
      <c r="D2028" t="str">
        <f>IFERROR(__xludf.DUMMYFUNCTION("""COMPUTED_VALUE"""),"USA")</f>
        <v>USA</v>
      </c>
      <c r="E2028" s="188">
        <f>IFERROR(__xludf.DUMMYFUNCTION("""COMPUTED_VALUE"""),43745.0)</f>
        <v>43745</v>
      </c>
      <c r="F2028" s="188">
        <f>IFERROR(__xludf.DUMMYFUNCTION("""COMPUTED_VALUE"""),43770.0)</f>
        <v>43770</v>
      </c>
      <c r="H2028">
        <f>IFERROR(__xludf.DUMMYFUNCTION("""COMPUTED_VALUE"""),521455.0)</f>
        <v>521455</v>
      </c>
      <c r="J2028" s="5">
        <f>IFERROR(__xludf.DUMMYFUNCTION("""COMPUTED_VALUE"""),43782.0)</f>
        <v>43782</v>
      </c>
      <c r="K2028">
        <f>IFERROR(__xludf.DUMMYFUNCTION("""COMPUTED_VALUE"""),25.0)</f>
        <v>25</v>
      </c>
      <c r="L2028">
        <f>IFERROR(__xludf.DUMMYFUNCTION("""COMPUTED_VALUE"""),12.0)</f>
        <v>12</v>
      </c>
      <c r="M2028">
        <f>IFERROR(__xludf.DUMMYFUNCTION("""COMPUTED_VALUE"""),37.0)</f>
        <v>37</v>
      </c>
      <c r="N2028" t="str">
        <f>IFERROR(__xludf.DUMMYFUNCTION("""COMPUTED_VALUE"""),"Model 3 LR AWD")</f>
        <v>Model 3 LR AWD</v>
      </c>
      <c r="O2028" t="str">
        <f>IFERROR(__xludf.DUMMYFUNCTION("""COMPUTED_VALUE"""),"Solid Black")</f>
        <v>Solid Black</v>
      </c>
      <c r="P2028" t="str">
        <f>IFERROR(__xludf.DUMMYFUNCTION("""COMPUTED_VALUE"""),"18 inch Aero")</f>
        <v>18 inch Aero</v>
      </c>
      <c r="Q2028" t="str">
        <f>IFERROR(__xludf.DUMMYFUNCTION("""COMPUTED_VALUE"""),"Black seats")</f>
        <v>Black seats</v>
      </c>
      <c r="R2028" t="str">
        <f>IFERROR(__xludf.DUMMYFUNCTION("""COMPUTED_VALUE"""),"Full Self-Driving")</f>
        <v>Full Self-Driving</v>
      </c>
      <c r="X2028" t="str">
        <f>IFERROR(__xludf.DUMMYFUNCTION("""COMPUTED_VALUE"""),"Excellent")</f>
        <v>Excellent</v>
      </c>
      <c r="Y2028" t="str">
        <f>IFERROR(__xludf.DUMMYFUNCTION("""COMPUTED_VALUE"""),"Excellent")</f>
        <v>Excellent</v>
      </c>
      <c r="Z2028" t="str">
        <f>IFERROR(__xludf.DUMMYFUNCTION("""COMPUTED_VALUE"""),"Excellent")</f>
        <v>Excellent</v>
      </c>
      <c r="AA2028" t="str">
        <f>IFERROR(__xludf.DUMMYFUNCTION("""COMPUTED_VALUE"""),"Excellent")</f>
        <v>Excellent</v>
      </c>
      <c r="AB2028" t="str">
        <f>IFERROR(__xludf.DUMMYFUNCTION("""COMPUTED_VALUE"""),"Very Good")</f>
        <v>Very Good</v>
      </c>
      <c r="AH2028" s="189">
        <f>IFERROR(__xludf.DUMMYFUNCTION("""COMPUTED_VALUE"""),43782.58570831019)</f>
        <v>43782.58571</v>
      </c>
    </row>
    <row r="2029">
      <c r="A2029" t="str">
        <f>IFERROR(__xludf.DUMMYFUNCTION("""COMPUTED_VALUE"""),"Someguy4747")</f>
        <v>Someguy4747</v>
      </c>
      <c r="B2029" t="str">
        <f>IFERROR(__xludf.DUMMYFUNCTION("""COMPUTED_VALUE"""),"Albuquerque")</f>
        <v>Albuquerque</v>
      </c>
      <c r="C2029" t="str">
        <f>IFERROR(__xludf.DUMMYFUNCTION("""COMPUTED_VALUE"""),"NM")</f>
        <v>NM</v>
      </c>
      <c r="D2029" t="str">
        <f>IFERROR(__xludf.DUMMYFUNCTION("""COMPUTED_VALUE"""),"USA")</f>
        <v>USA</v>
      </c>
      <c r="E2029" s="188">
        <f>IFERROR(__xludf.DUMMYFUNCTION("""COMPUTED_VALUE"""),43741.0)</f>
        <v>43741</v>
      </c>
      <c r="F2029" s="188">
        <f>IFERROR(__xludf.DUMMYFUNCTION("""COMPUTED_VALUE"""),43766.0)</f>
        <v>43766</v>
      </c>
      <c r="H2029" s="4">
        <f>IFERROR(__xludf.DUMMYFUNCTION("""COMPUTED_VALUE"""),520928.0)</f>
        <v>520928</v>
      </c>
      <c r="I2029" t="str">
        <f>IFERROR(__xludf.DUMMYFUNCTION("""COMPUTED_VALUE"""),"10/19")</f>
        <v>10/19</v>
      </c>
      <c r="J2029" s="5">
        <f>IFERROR(__xludf.DUMMYFUNCTION("""COMPUTED_VALUE"""),43775.0)</f>
        <v>43775</v>
      </c>
      <c r="K2029">
        <f>IFERROR(__xludf.DUMMYFUNCTION("""COMPUTED_VALUE"""),25.0)</f>
        <v>25</v>
      </c>
      <c r="L2029">
        <f>IFERROR(__xludf.DUMMYFUNCTION("""COMPUTED_VALUE"""),9.0)</f>
        <v>9</v>
      </c>
      <c r="M2029">
        <f>IFERROR(__xludf.DUMMYFUNCTION("""COMPUTED_VALUE"""),34.0)</f>
        <v>34</v>
      </c>
      <c r="N2029" t="str">
        <f>IFERROR(__xludf.DUMMYFUNCTION("""COMPUTED_VALUE"""),"Model 3 LR AWD")</f>
        <v>Model 3 LR AWD</v>
      </c>
      <c r="O2029" t="str">
        <f>IFERROR(__xludf.DUMMYFUNCTION("""COMPUTED_VALUE"""),"Pearl White Multi-Coat")</f>
        <v>Pearl White Multi-Coat</v>
      </c>
      <c r="P2029" t="str">
        <f>IFERROR(__xludf.DUMMYFUNCTION("""COMPUTED_VALUE"""),"18 inch Aero")</f>
        <v>18 inch Aero</v>
      </c>
      <c r="Q2029" t="str">
        <f>IFERROR(__xludf.DUMMYFUNCTION("""COMPUTED_VALUE"""),"Black seats")</f>
        <v>Black seats</v>
      </c>
      <c r="R2029" t="str">
        <f>IFERROR(__xludf.DUMMYFUNCTION("""COMPUTED_VALUE"""),"Autopilot")</f>
        <v>Autopilot</v>
      </c>
      <c r="X2029" t="str">
        <f>IFERROR(__xludf.DUMMYFUNCTION("""COMPUTED_VALUE"""),"Excellent")</f>
        <v>Excellent</v>
      </c>
      <c r="Y2029" t="str">
        <f>IFERROR(__xludf.DUMMYFUNCTION("""COMPUTED_VALUE"""),"Excellent")</f>
        <v>Excellent</v>
      </c>
      <c r="Z2029" t="str">
        <f>IFERROR(__xludf.DUMMYFUNCTION("""COMPUTED_VALUE"""),"Excellent")</f>
        <v>Excellent</v>
      </c>
      <c r="AA2029" t="str">
        <f>IFERROR(__xludf.DUMMYFUNCTION("""COMPUTED_VALUE"""),"Fair")</f>
        <v>Fair</v>
      </c>
      <c r="AH2029" s="189">
        <f>IFERROR(__xludf.DUMMYFUNCTION("""COMPUTED_VALUE"""),43782.906116087965)</f>
        <v>43782.90612</v>
      </c>
    </row>
    <row r="2030">
      <c r="A2030" t="str">
        <f>IFERROR(__xludf.DUMMYFUNCTION("""COMPUTED_VALUE"""),"Schertz sr+")</f>
        <v>Schertz sr+</v>
      </c>
      <c r="B2030" t="str">
        <f>IFERROR(__xludf.DUMMYFUNCTION("""COMPUTED_VALUE"""),"San Antonio ")</f>
        <v>San Antonio </v>
      </c>
      <c r="C2030" t="str">
        <f>IFERROR(__xludf.DUMMYFUNCTION("""COMPUTED_VALUE"""),"TX")</f>
        <v>TX</v>
      </c>
      <c r="D2030" t="str">
        <f>IFERROR(__xludf.DUMMYFUNCTION("""COMPUTED_VALUE"""),"USA")</f>
        <v>USA</v>
      </c>
      <c r="E2030" s="188">
        <f>IFERROR(__xludf.DUMMYFUNCTION("""COMPUTED_VALUE"""),43743.0)</f>
        <v>43743</v>
      </c>
      <c r="F2030" s="188">
        <f>IFERROR(__xludf.DUMMYFUNCTION("""COMPUTED_VALUE"""),43773.0)</f>
        <v>43773</v>
      </c>
      <c r="H2030">
        <f>IFERROR(__xludf.DUMMYFUNCTION("""COMPUTED_VALUE"""),504525.0)</f>
        <v>504525</v>
      </c>
      <c r="I2030" t="str">
        <f>IFERROR(__xludf.DUMMYFUNCTION("""COMPUTED_VALUE"""),"11/19")</f>
        <v>11/19</v>
      </c>
      <c r="J2030" s="5">
        <f>IFERROR(__xludf.DUMMYFUNCTION("""COMPUTED_VALUE"""),43785.0)</f>
        <v>43785</v>
      </c>
      <c r="K2030">
        <f>IFERROR(__xludf.DUMMYFUNCTION("""COMPUTED_VALUE"""),30.0)</f>
        <v>30</v>
      </c>
      <c r="L2030">
        <f>IFERROR(__xludf.DUMMYFUNCTION("""COMPUTED_VALUE"""),12.0)</f>
        <v>12</v>
      </c>
      <c r="M2030">
        <f>IFERROR(__xludf.DUMMYFUNCTION("""COMPUTED_VALUE"""),42.0)</f>
        <v>42</v>
      </c>
      <c r="N2030" t="str">
        <f>IFERROR(__xludf.DUMMYFUNCTION("""COMPUTED_VALUE"""),"Model 3 SR+")</f>
        <v>Model 3 SR+</v>
      </c>
      <c r="O2030" t="str">
        <f>IFERROR(__xludf.DUMMYFUNCTION("""COMPUTED_VALUE"""),"Pearl White Multi-Coat")</f>
        <v>Pearl White Multi-Coat</v>
      </c>
      <c r="P2030" t="str">
        <f>IFERROR(__xludf.DUMMYFUNCTION("""COMPUTED_VALUE"""),"18 inch Aero")</f>
        <v>18 inch Aero</v>
      </c>
      <c r="Q2030" t="str">
        <f>IFERROR(__xludf.DUMMYFUNCTION("""COMPUTED_VALUE"""),"Black seats")</f>
        <v>Black seats</v>
      </c>
      <c r="R2030" t="str">
        <f>IFERROR(__xludf.DUMMYFUNCTION("""COMPUTED_VALUE"""),"Full Self-Driving")</f>
        <v>Full Self-Driving</v>
      </c>
      <c r="X2030" t="str">
        <f>IFERROR(__xludf.DUMMYFUNCTION("""COMPUTED_VALUE"""),"Excellent")</f>
        <v>Excellent</v>
      </c>
      <c r="Y2030" t="str">
        <f>IFERROR(__xludf.DUMMYFUNCTION("""COMPUTED_VALUE"""),"Excellent")</f>
        <v>Excellent</v>
      </c>
      <c r="Z2030" t="str">
        <f>IFERROR(__xludf.DUMMYFUNCTION("""COMPUTED_VALUE"""),"Excellent")</f>
        <v>Excellent</v>
      </c>
      <c r="AA2030" t="str">
        <f>IFERROR(__xludf.DUMMYFUNCTION("""COMPUTED_VALUE"""),"Excellent")</f>
        <v>Excellent</v>
      </c>
      <c r="AB2030" t="str">
        <f>IFERROR(__xludf.DUMMYFUNCTION("""COMPUTED_VALUE"""),"Excellent")</f>
        <v>Excellent</v>
      </c>
      <c r="AG2030" t="str">
        <f>IFERROR(__xludf.DUMMYFUNCTION("""COMPUTED_VALUE"""),"Found vin in source code at 10:30 pm.  Delivery 9 days ahead of scheduled date. ")</f>
        <v>Found vin in source code at 10:30 pm.  Delivery 9 days ahead of scheduled date. </v>
      </c>
      <c r="AH2030" s="189">
        <f>IFERROR(__xludf.DUMMYFUNCTION("""COMPUTED_VALUE"""),43785.412506747685)</f>
        <v>43785.41251</v>
      </c>
    </row>
    <row r="2031">
      <c r="A2031" t="str">
        <f>IFERROR(__xludf.DUMMYFUNCTION("""COMPUTED_VALUE"""),"The Hindenburg")</f>
        <v>The Hindenburg</v>
      </c>
      <c r="B2031" t="str">
        <f>IFERROR(__xludf.DUMMYFUNCTION("""COMPUTED_VALUE"""),"St. Louis")</f>
        <v>St. Louis</v>
      </c>
      <c r="C2031" t="str">
        <f>IFERROR(__xludf.DUMMYFUNCTION("""COMPUTED_VALUE"""),"MO")</f>
        <v>MO</v>
      </c>
      <c r="D2031" t="str">
        <f>IFERROR(__xludf.DUMMYFUNCTION("""COMPUTED_VALUE"""),"USA")</f>
        <v>USA</v>
      </c>
      <c r="E2031" s="188">
        <f>IFERROR(__xludf.DUMMYFUNCTION("""COMPUTED_VALUE"""),43747.0)</f>
        <v>43747</v>
      </c>
      <c r="F2031" s="188">
        <f>IFERROR(__xludf.DUMMYFUNCTION("""COMPUTED_VALUE"""),43766.0)</f>
        <v>43766</v>
      </c>
      <c r="H2031">
        <f>IFERROR(__xludf.DUMMYFUNCTION("""COMPUTED_VALUE"""),476248.0)</f>
        <v>476248</v>
      </c>
      <c r="I2031" t="str">
        <f>IFERROR(__xludf.DUMMYFUNCTION("""COMPUTED_VALUE"""),"10/19")</f>
        <v>10/19</v>
      </c>
      <c r="J2031" s="5">
        <f>IFERROR(__xludf.DUMMYFUNCTION("""COMPUTED_VALUE"""),43781.0)</f>
        <v>43781</v>
      </c>
      <c r="K2031">
        <f>IFERROR(__xludf.DUMMYFUNCTION("""COMPUTED_VALUE"""),19.0)</f>
        <v>19</v>
      </c>
      <c r="L2031">
        <f>IFERROR(__xludf.DUMMYFUNCTION("""COMPUTED_VALUE"""),15.0)</f>
        <v>15</v>
      </c>
      <c r="M2031">
        <f>IFERROR(__xludf.DUMMYFUNCTION("""COMPUTED_VALUE"""),34.0)</f>
        <v>34</v>
      </c>
      <c r="N2031" t="str">
        <f>IFERROR(__xludf.DUMMYFUNCTION("""COMPUTED_VALUE"""),"Model 3 SR+")</f>
        <v>Model 3 SR+</v>
      </c>
      <c r="O2031" t="str">
        <f>IFERROR(__xludf.DUMMYFUNCTION("""COMPUTED_VALUE"""),"Deep Blue Metallic")</f>
        <v>Deep Blue Metallic</v>
      </c>
      <c r="P2031" t="str">
        <f>IFERROR(__xludf.DUMMYFUNCTION("""COMPUTED_VALUE"""),"18 inch Aero")</f>
        <v>18 inch Aero</v>
      </c>
      <c r="Q2031" t="str">
        <f>IFERROR(__xludf.DUMMYFUNCTION("""COMPUTED_VALUE"""),"Black seats")</f>
        <v>Black seats</v>
      </c>
      <c r="R2031" t="str">
        <f>IFERROR(__xludf.DUMMYFUNCTION("""COMPUTED_VALUE"""),"Autopilot")</f>
        <v>Autopilot</v>
      </c>
      <c r="X2031" t="str">
        <f>IFERROR(__xludf.DUMMYFUNCTION("""COMPUTED_VALUE"""),"Very Good")</f>
        <v>Very Good</v>
      </c>
      <c r="Y2031" t="str">
        <f>IFERROR(__xludf.DUMMYFUNCTION("""COMPUTED_VALUE"""),"Excellent")</f>
        <v>Excellent</v>
      </c>
      <c r="Z2031" t="str">
        <f>IFERROR(__xludf.DUMMYFUNCTION("""COMPUTED_VALUE"""),"Excellent")</f>
        <v>Excellent</v>
      </c>
      <c r="AA2031" t="str">
        <f>IFERROR(__xludf.DUMMYFUNCTION("""COMPUTED_VALUE"""),"Very Good")</f>
        <v>Very Good</v>
      </c>
      <c r="AB2031" t="str">
        <f>IFERROR(__xludf.DUMMYFUNCTION("""COMPUTED_VALUE"""),"Very Good")</f>
        <v>Very Good</v>
      </c>
      <c r="AC2031">
        <f>IFERROR(__xludf.DUMMYFUNCTION("""COMPUTED_VALUE"""),1.0)</f>
        <v>1</v>
      </c>
      <c r="AD2031">
        <f>IFERROR(__xludf.DUMMYFUNCTION("""COMPUTED_VALUE"""),1.0)</f>
        <v>1</v>
      </c>
      <c r="AE2031">
        <f>IFERROR(__xludf.DUMMYFUNCTION("""COMPUTED_VALUE"""),0.0)</f>
        <v>0</v>
      </c>
      <c r="AG2031" t="str">
        <f>IFERROR(__xludf.DUMMYFUNCTION("""COMPUTED_VALUE"""),"Got home and mobile charger is defective. Tesla mobile service brought new one to the house next day.")</f>
        <v>Got home and mobile charger is defective. Tesla mobile service brought new one to the house next day.</v>
      </c>
      <c r="AH2031" s="189">
        <f>IFERROR(__xludf.DUMMYFUNCTION("""COMPUTED_VALUE"""),43785.479056956014)</f>
        <v>43785.47906</v>
      </c>
    </row>
    <row r="2032">
      <c r="A2032" t="str">
        <f>IFERROR(__xludf.DUMMYFUNCTION("""COMPUTED_VALUE"""),"tarballqc")</f>
        <v>tarballqc</v>
      </c>
      <c r="B2032" t="str">
        <f>IFERROR(__xludf.DUMMYFUNCTION("""COMPUTED_VALUE"""),"Montreal")</f>
        <v>Montreal</v>
      </c>
      <c r="C2032" t="str">
        <f>IFERROR(__xludf.DUMMYFUNCTION("""COMPUTED_VALUE"""),"QC")</f>
        <v>QC</v>
      </c>
      <c r="D2032" t="str">
        <f>IFERROR(__xludf.DUMMYFUNCTION("""COMPUTED_VALUE"""),"Canada")</f>
        <v>Canada</v>
      </c>
      <c r="E2032" s="188">
        <f>IFERROR(__xludf.DUMMYFUNCTION("""COMPUTED_VALUE"""),43744.0)</f>
        <v>43744</v>
      </c>
      <c r="F2032" s="188">
        <f>IFERROR(__xludf.DUMMYFUNCTION("""COMPUTED_VALUE"""),43775.0)</f>
        <v>43775</v>
      </c>
      <c r="H2032">
        <f>IFERROR(__xludf.DUMMYFUNCTION("""COMPUTED_VALUE"""),517655.0)</f>
        <v>517655</v>
      </c>
      <c r="J2032" s="5">
        <f>IFERROR(__xludf.DUMMYFUNCTION("""COMPUTED_VALUE"""),43784.0)</f>
        <v>43784</v>
      </c>
      <c r="K2032">
        <f>IFERROR(__xludf.DUMMYFUNCTION("""COMPUTED_VALUE"""),31.0)</f>
        <v>31</v>
      </c>
      <c r="L2032">
        <f>IFERROR(__xludf.DUMMYFUNCTION("""COMPUTED_VALUE"""),9.0)</f>
        <v>9</v>
      </c>
      <c r="M2032">
        <f>IFERROR(__xludf.DUMMYFUNCTION("""COMPUTED_VALUE"""),40.0)</f>
        <v>40</v>
      </c>
      <c r="N2032" t="str">
        <f>IFERROR(__xludf.DUMMYFUNCTION("""COMPUTED_VALUE"""),"Model 3 LR AWD")</f>
        <v>Model 3 LR AWD</v>
      </c>
      <c r="O2032" t="str">
        <f>IFERROR(__xludf.DUMMYFUNCTION("""COMPUTED_VALUE"""),"Pearl White Multi-Coat")</f>
        <v>Pearl White Multi-Coat</v>
      </c>
      <c r="P2032" t="str">
        <f>IFERROR(__xludf.DUMMYFUNCTION("""COMPUTED_VALUE"""),"18 inch Aero")</f>
        <v>18 inch Aero</v>
      </c>
      <c r="Q2032" t="str">
        <f>IFERROR(__xludf.DUMMYFUNCTION("""COMPUTED_VALUE"""),"White seats")</f>
        <v>White seats</v>
      </c>
      <c r="R2032" t="str">
        <f>IFERROR(__xludf.DUMMYFUNCTION("""COMPUTED_VALUE"""),"Autopilot")</f>
        <v>Autopilot</v>
      </c>
      <c r="X2032" t="str">
        <f>IFERROR(__xludf.DUMMYFUNCTION("""COMPUTED_VALUE"""),"Excellent")</f>
        <v>Excellent</v>
      </c>
      <c r="Y2032" t="str">
        <f>IFERROR(__xludf.DUMMYFUNCTION("""COMPUTED_VALUE"""),"Excellent")</f>
        <v>Excellent</v>
      </c>
      <c r="Z2032" t="str">
        <f>IFERROR(__xludf.DUMMYFUNCTION("""COMPUTED_VALUE"""),"Very Good")</f>
        <v>Very Good</v>
      </c>
      <c r="AA2032" t="str">
        <f>IFERROR(__xludf.DUMMYFUNCTION("""COMPUTED_VALUE"""),"Fair")</f>
        <v>Fair</v>
      </c>
      <c r="AB2032" t="str">
        <f>IFERROR(__xludf.DUMMYFUNCTION("""COMPUTED_VALUE"""),"Excellent")</f>
        <v>Excellent</v>
      </c>
      <c r="AG2032" t="str">
        <f>IFERROR(__xludf.DUMMYFUNCTION("""COMPUTED_VALUE"""),"Ordered SR+ on oct 6th. One month later, still no vin. Decided to buy a LR AWD that was in inventory. Delivery next week.")</f>
        <v>Ordered SR+ on oct 6th. One month later, still no vin. Decided to buy a LR AWD that was in inventory. Delivery next week.</v>
      </c>
      <c r="AH2032" s="189">
        <f>IFERROR(__xludf.DUMMYFUNCTION("""COMPUTED_VALUE"""),43785.504376157405)</f>
        <v>43785.50438</v>
      </c>
    </row>
    <row r="2033">
      <c r="A2033" t="str">
        <f>IFERROR(__xludf.DUMMYFUNCTION("""COMPUTED_VALUE"""),"MIAM3")</f>
        <v>MIAM3</v>
      </c>
      <c r="B2033" t="str">
        <f>IFERROR(__xludf.DUMMYFUNCTION("""COMPUTED_VALUE"""),"Miami")</f>
        <v>Miami</v>
      </c>
      <c r="C2033" t="str">
        <f>IFERROR(__xludf.DUMMYFUNCTION("""COMPUTED_VALUE"""),"FL")</f>
        <v>FL</v>
      </c>
      <c r="D2033" t="str">
        <f>IFERROR(__xludf.DUMMYFUNCTION("""COMPUTED_VALUE"""),"USA")</f>
        <v>USA</v>
      </c>
      <c r="E2033" s="188">
        <f>IFERROR(__xludf.DUMMYFUNCTION("""COMPUTED_VALUE"""),43755.0)</f>
        <v>43755</v>
      </c>
      <c r="F2033" s="188">
        <f>IFERROR(__xludf.DUMMYFUNCTION("""COMPUTED_VALUE"""),43773.0)</f>
        <v>43773</v>
      </c>
      <c r="H2033">
        <f>IFERROR(__xludf.DUMMYFUNCTION("""COMPUTED_VALUE"""),589229.0)</f>
        <v>589229</v>
      </c>
      <c r="J2033" s="5">
        <f>IFERROR(__xludf.DUMMYFUNCTION("""COMPUTED_VALUE"""),43785.0)</f>
        <v>43785</v>
      </c>
      <c r="K2033">
        <f>IFERROR(__xludf.DUMMYFUNCTION("""COMPUTED_VALUE"""),18.0)</f>
        <v>18</v>
      </c>
      <c r="L2033">
        <f>IFERROR(__xludf.DUMMYFUNCTION("""COMPUTED_VALUE"""),12.0)</f>
        <v>12</v>
      </c>
      <c r="M2033">
        <f>IFERROR(__xludf.DUMMYFUNCTION("""COMPUTED_VALUE"""),30.0)</f>
        <v>30</v>
      </c>
      <c r="N2033" t="str">
        <f>IFERROR(__xludf.DUMMYFUNCTION("""COMPUTED_VALUE"""),"Model 3 LR AWD")</f>
        <v>Model 3 LR AWD</v>
      </c>
      <c r="O2033" t="str">
        <f>IFERROR(__xludf.DUMMYFUNCTION("""COMPUTED_VALUE"""),"Pearl White Multi-Coat")</f>
        <v>Pearl White Multi-Coat</v>
      </c>
      <c r="P2033" t="str">
        <f>IFERROR(__xludf.DUMMYFUNCTION("""COMPUTED_VALUE"""),"18 inch Aero")</f>
        <v>18 inch Aero</v>
      </c>
      <c r="Q2033" t="str">
        <f>IFERROR(__xludf.DUMMYFUNCTION("""COMPUTED_VALUE"""),"Black seats")</f>
        <v>Black seats</v>
      </c>
      <c r="R2033" t="str">
        <f>IFERROR(__xludf.DUMMYFUNCTION("""COMPUTED_VALUE"""),"Full Self-Driving")</f>
        <v>Full Self-Driving</v>
      </c>
      <c r="X2033" t="str">
        <f>IFERROR(__xludf.DUMMYFUNCTION("""COMPUTED_VALUE"""),"Excellent")</f>
        <v>Excellent</v>
      </c>
      <c r="Y2033" t="str">
        <f>IFERROR(__xludf.DUMMYFUNCTION("""COMPUTED_VALUE"""),"Excellent")</f>
        <v>Excellent</v>
      </c>
      <c r="Z2033" t="str">
        <f>IFERROR(__xludf.DUMMYFUNCTION("""COMPUTED_VALUE"""),"Excellent")</f>
        <v>Excellent</v>
      </c>
      <c r="AA2033" t="str">
        <f>IFERROR(__xludf.DUMMYFUNCTION("""COMPUTED_VALUE"""),"Excellent")</f>
        <v>Excellent</v>
      </c>
      <c r="AB2033" t="str">
        <f>IFERROR(__xludf.DUMMYFUNCTION("""COMPUTED_VALUE"""),"Excellent")</f>
        <v>Excellent</v>
      </c>
      <c r="AC2033">
        <f>IFERROR(__xludf.DUMMYFUNCTION("""COMPUTED_VALUE"""),1.0)</f>
        <v>1</v>
      </c>
      <c r="AE2033">
        <f>IFERROR(__xludf.DUMMYFUNCTION("""COMPUTED_VALUE"""),1.0)</f>
        <v>1</v>
      </c>
      <c r="AG2033" t="str">
        <f>IFERROR(__xludf.DUMMYFUNCTION("""COMPUTED_VALUE"""),"Rear heat stack dead on arrival to local service center before delivery")</f>
        <v>Rear heat stack dead on arrival to local service center before delivery</v>
      </c>
      <c r="AH2033" s="189">
        <f>IFERROR(__xludf.DUMMYFUNCTION("""COMPUTED_VALUE"""),43785.59594109954)</f>
        <v>43785.59594</v>
      </c>
    </row>
    <row r="2034">
      <c r="A2034" t="str">
        <f>IFERROR(__xludf.DUMMYFUNCTION("""COMPUTED_VALUE"""),"Dirtman16")</f>
        <v>Dirtman16</v>
      </c>
      <c r="B2034" t="str">
        <f>IFERROR(__xludf.DUMMYFUNCTION("""COMPUTED_VALUE"""),"Madison")</f>
        <v>Madison</v>
      </c>
      <c r="C2034" t="str">
        <f>IFERROR(__xludf.DUMMYFUNCTION("""COMPUTED_VALUE"""),"AL")</f>
        <v>AL</v>
      </c>
      <c r="D2034" t="str">
        <f>IFERROR(__xludf.DUMMYFUNCTION("""COMPUTED_VALUE"""),"USA")</f>
        <v>USA</v>
      </c>
      <c r="E2034" s="188">
        <f>IFERROR(__xludf.DUMMYFUNCTION("""COMPUTED_VALUE"""),43624.0)</f>
        <v>43624</v>
      </c>
      <c r="F2034" s="188">
        <f>IFERROR(__xludf.DUMMYFUNCTION("""COMPUTED_VALUE"""),43631.0)</f>
        <v>43631</v>
      </c>
      <c r="H2034">
        <f>IFERROR(__xludf.DUMMYFUNCTION("""COMPUTED_VALUE"""),331655.0)</f>
        <v>331655</v>
      </c>
      <c r="I2034" t="str">
        <f>IFERROR(__xludf.DUMMYFUNCTION("""COMPUTED_VALUE"""),"06/19")</f>
        <v>06/19</v>
      </c>
      <c r="J2034" s="5">
        <f>IFERROR(__xludf.DUMMYFUNCTION("""COMPUTED_VALUE"""),43639.0)</f>
        <v>43639</v>
      </c>
      <c r="K2034">
        <f>IFERROR(__xludf.DUMMYFUNCTION("""COMPUTED_VALUE"""),7.0)</f>
        <v>7</v>
      </c>
      <c r="L2034">
        <f>IFERROR(__xludf.DUMMYFUNCTION("""COMPUTED_VALUE"""),8.0)</f>
        <v>8</v>
      </c>
      <c r="M2034">
        <f>IFERROR(__xludf.DUMMYFUNCTION("""COMPUTED_VALUE"""),15.0)</f>
        <v>15</v>
      </c>
      <c r="N2034" t="str">
        <f>IFERROR(__xludf.DUMMYFUNCTION("""COMPUTED_VALUE"""),"Model 3 LR")</f>
        <v>Model 3 LR</v>
      </c>
      <c r="O2034" t="str">
        <f>IFERROR(__xludf.DUMMYFUNCTION("""COMPUTED_VALUE"""),"Pearl White Multi-Coat")</f>
        <v>Pearl White Multi-Coat</v>
      </c>
      <c r="P2034" t="str">
        <f>IFERROR(__xludf.DUMMYFUNCTION("""COMPUTED_VALUE"""),"18 inch Aero")</f>
        <v>18 inch Aero</v>
      </c>
      <c r="Q2034" t="str">
        <f>IFERROR(__xludf.DUMMYFUNCTION("""COMPUTED_VALUE"""),"Black seats")</f>
        <v>Black seats</v>
      </c>
      <c r="R2034" t="str">
        <f>IFERROR(__xludf.DUMMYFUNCTION("""COMPUTED_VALUE"""),"Autopilot")</f>
        <v>Autopilot</v>
      </c>
      <c r="X2034" t="str">
        <f>IFERROR(__xludf.DUMMYFUNCTION("""COMPUTED_VALUE"""),"Very Good")</f>
        <v>Very Good</v>
      </c>
      <c r="Y2034" t="str">
        <f>IFERROR(__xludf.DUMMYFUNCTION("""COMPUTED_VALUE"""),"Excellent")</f>
        <v>Excellent</v>
      </c>
      <c r="Z2034" t="str">
        <f>IFERROR(__xludf.DUMMYFUNCTION("""COMPUTED_VALUE"""),"Excellent")</f>
        <v>Excellent</v>
      </c>
      <c r="AA2034" t="str">
        <f>IFERROR(__xludf.DUMMYFUNCTION("""COMPUTED_VALUE"""),"Very Good")</f>
        <v>Very Good</v>
      </c>
      <c r="AB2034" t="str">
        <f>IFERROR(__xludf.DUMMYFUNCTION("""COMPUTED_VALUE"""),"Very Good")</f>
        <v>Very Good</v>
      </c>
      <c r="AC2034">
        <f>IFERROR(__xludf.DUMMYFUNCTION("""COMPUTED_VALUE"""),0.0)</f>
        <v>0</v>
      </c>
      <c r="AD2034">
        <f>IFERROR(__xludf.DUMMYFUNCTION("""COMPUTED_VALUE"""),0.0)</f>
        <v>0</v>
      </c>
      <c r="AE2034">
        <f>IFERROR(__xludf.DUMMYFUNCTION("""COMPUTED_VALUE"""),0.0)</f>
        <v>0</v>
      </c>
      <c r="AH2034" s="189">
        <f>IFERROR(__xludf.DUMMYFUNCTION("""COMPUTED_VALUE"""),43786.52588991898)</f>
        <v>43786.52589</v>
      </c>
    </row>
    <row r="2035">
      <c r="A2035" t="str">
        <f>IFERROR(__xludf.DUMMYFUNCTION("""COMPUTED_VALUE"""),"sdr007")</f>
        <v>sdr007</v>
      </c>
      <c r="B2035" t="str">
        <f>IFERROR(__xludf.DUMMYFUNCTION("""COMPUTED_VALUE"""),"charlotte")</f>
        <v>charlotte</v>
      </c>
      <c r="C2035" t="str">
        <f>IFERROR(__xludf.DUMMYFUNCTION("""COMPUTED_VALUE"""),"NC")</f>
        <v>NC</v>
      </c>
      <c r="D2035" t="str">
        <f>IFERROR(__xludf.DUMMYFUNCTION("""COMPUTED_VALUE"""),"USA")</f>
        <v>USA</v>
      </c>
      <c r="E2035" s="188">
        <f>IFERROR(__xludf.DUMMYFUNCTION("""COMPUTED_VALUE"""),43756.0)</f>
        <v>43756</v>
      </c>
      <c r="F2035" s="188">
        <f>IFERROR(__xludf.DUMMYFUNCTION("""COMPUTED_VALUE"""),43777.0)</f>
        <v>43777</v>
      </c>
      <c r="H2035">
        <f>IFERROR(__xludf.DUMMYFUNCTION("""COMPUTED_VALUE"""),504255.0)</f>
        <v>504255</v>
      </c>
      <c r="J2035" s="5">
        <f>IFERROR(__xludf.DUMMYFUNCTION("""COMPUTED_VALUE"""),43785.0)</f>
        <v>43785</v>
      </c>
      <c r="K2035">
        <f>IFERROR(__xludf.DUMMYFUNCTION("""COMPUTED_VALUE"""),21.0)</f>
        <v>21</v>
      </c>
      <c r="L2035">
        <f>IFERROR(__xludf.DUMMYFUNCTION("""COMPUTED_VALUE"""),8.0)</f>
        <v>8</v>
      </c>
      <c r="M2035">
        <f>IFERROR(__xludf.DUMMYFUNCTION("""COMPUTED_VALUE"""),29.0)</f>
        <v>29</v>
      </c>
      <c r="N2035" t="str">
        <f>IFERROR(__xludf.DUMMYFUNCTION("""COMPUTED_VALUE"""),"Model 3 SR+")</f>
        <v>Model 3 SR+</v>
      </c>
      <c r="O2035" t="str">
        <f>IFERROR(__xludf.DUMMYFUNCTION("""COMPUTED_VALUE"""),"Pearl White Multi-Coat")</f>
        <v>Pearl White Multi-Coat</v>
      </c>
      <c r="P2035" t="str">
        <f>IFERROR(__xludf.DUMMYFUNCTION("""COMPUTED_VALUE"""),"18 inch Aero")</f>
        <v>18 inch Aero</v>
      </c>
      <c r="Q2035" t="str">
        <f>IFERROR(__xludf.DUMMYFUNCTION("""COMPUTED_VALUE"""),"Black seats")</f>
        <v>Black seats</v>
      </c>
      <c r="R2035" t="str">
        <f>IFERROR(__xludf.DUMMYFUNCTION("""COMPUTED_VALUE"""),"Autopilot")</f>
        <v>Autopilot</v>
      </c>
      <c r="X2035" t="str">
        <f>IFERROR(__xludf.DUMMYFUNCTION("""COMPUTED_VALUE"""),"Good")</f>
        <v>Good</v>
      </c>
      <c r="Y2035" t="str">
        <f>IFERROR(__xludf.DUMMYFUNCTION("""COMPUTED_VALUE"""),"Excellent")</f>
        <v>Excellent</v>
      </c>
      <c r="Z2035" t="str">
        <f>IFERROR(__xludf.DUMMYFUNCTION("""COMPUTED_VALUE"""),"Excellent")</f>
        <v>Excellent</v>
      </c>
      <c r="AA2035" t="str">
        <f>IFERROR(__xludf.DUMMYFUNCTION("""COMPUTED_VALUE"""),"Excellent")</f>
        <v>Excellent</v>
      </c>
      <c r="AB2035" t="str">
        <f>IFERROR(__xludf.DUMMYFUNCTION("""COMPUTED_VALUE"""),"Excellent")</f>
        <v>Excellent</v>
      </c>
      <c r="AG2035" t="str">
        <f>IFERROR(__xludf.DUMMYFUNCTION("""COMPUTED_VALUE"""),"Delivery date moved to 11/18 from 11/14 due to car unavailability. Delivered on 11/16")</f>
        <v>Delivery date moved to 11/18 from 11/14 due to car unavailability. Delivered on 11/16</v>
      </c>
      <c r="AH2035" s="189">
        <f>IFERROR(__xludf.DUMMYFUNCTION("""COMPUTED_VALUE"""),43787.336200694444)</f>
        <v>43787.3362</v>
      </c>
    </row>
    <row r="2036">
      <c r="A2036" t="str">
        <f>IFERROR(__xludf.DUMMYFUNCTION("""COMPUTED_VALUE"""),"Idkorcare")</f>
        <v>Idkorcare</v>
      </c>
      <c r="B2036" t="str">
        <f>IFERROR(__xludf.DUMMYFUNCTION("""COMPUTED_VALUE"""),"Atlanta")</f>
        <v>Atlanta</v>
      </c>
      <c r="C2036" t="str">
        <f>IFERROR(__xludf.DUMMYFUNCTION("""COMPUTED_VALUE"""),"GA")</f>
        <v>GA</v>
      </c>
      <c r="D2036" t="str">
        <f>IFERROR(__xludf.DUMMYFUNCTION("""COMPUTED_VALUE"""),"USA")</f>
        <v>USA</v>
      </c>
      <c r="E2036" s="188">
        <f>IFERROR(__xludf.DUMMYFUNCTION("""COMPUTED_VALUE"""),44494.0)</f>
        <v>44494</v>
      </c>
      <c r="N2036" t="str">
        <f>IFERROR(__xludf.DUMMYFUNCTION("""COMPUTED_VALUE"""),"Model 3 LR AWD")</f>
        <v>Model 3 LR AWD</v>
      </c>
      <c r="O2036" t="str">
        <f>IFERROR(__xludf.DUMMYFUNCTION("""COMPUTED_VALUE"""),"Deep Blue Metallic")</f>
        <v>Deep Blue Metallic</v>
      </c>
      <c r="P2036" t="str">
        <f>IFERROR(__xludf.DUMMYFUNCTION("""COMPUTED_VALUE"""),"18 inch")</f>
        <v>18 inch</v>
      </c>
      <c r="Q2036" t="str">
        <f>IFERROR(__xludf.DUMMYFUNCTION("""COMPUTED_VALUE"""),"Black and White")</f>
        <v>Black and White</v>
      </c>
      <c r="R2036" t="str">
        <f>IFERROR(__xludf.DUMMYFUNCTION("""COMPUTED_VALUE"""),"Autopilot included")</f>
        <v>Autopilot included</v>
      </c>
      <c r="S2036" t="str">
        <f>IFERROR(__xludf.DUMMYFUNCTION("""COMPUTED_VALUE"""),"Loan")</f>
        <v>Loan</v>
      </c>
      <c r="T2036" t="str">
        <f>IFERROR(__xludf.DUMMYFUNCTION("""COMPUTED_VALUE"""),"Tesla Model 3")</f>
        <v>Tesla Model 3</v>
      </c>
      <c r="U2036" t="str">
        <f>IFERROR(__xludf.DUMMYFUNCTION("""COMPUTED_VALUE"""),"Electric!")</f>
        <v>Electric!</v>
      </c>
      <c r="V2036" t="str">
        <f>IFERROR(__xludf.DUMMYFUNCTION("""COMPUTED_VALUE"""),"Apple CarPlay / Android Auto / SiriusXM Radio")</f>
        <v>Apple CarPlay / Android Auto / SiriusXM Radio</v>
      </c>
      <c r="AH2036" s="189">
        <f>IFERROR(__xludf.DUMMYFUNCTION("""COMPUTED_VALUE"""),44494.93992725694)</f>
        <v>44494.93993</v>
      </c>
    </row>
    <row r="2037">
      <c r="A2037" t="str">
        <f>IFERROR(__xludf.DUMMYFUNCTION("""COMPUTED_VALUE"""),"mattdf23")</f>
        <v>mattdf23</v>
      </c>
      <c r="B2037" t="str">
        <f>IFERROR(__xludf.DUMMYFUNCTION("""COMPUTED_VALUE"""),"Houston")</f>
        <v>Houston</v>
      </c>
      <c r="C2037" t="str">
        <f>IFERROR(__xludf.DUMMYFUNCTION("""COMPUTED_VALUE"""),"TX")</f>
        <v>TX</v>
      </c>
      <c r="D2037" t="str">
        <f>IFERROR(__xludf.DUMMYFUNCTION("""COMPUTED_VALUE"""),"USA")</f>
        <v>USA</v>
      </c>
      <c r="E2037" s="188">
        <f>IFERROR(__xludf.DUMMYFUNCTION("""COMPUTED_VALUE"""),43755.0)</f>
        <v>43755</v>
      </c>
      <c r="F2037" s="188">
        <f>IFERROR(__xludf.DUMMYFUNCTION("""COMPUTED_VALUE"""),43770.0)</f>
        <v>43770</v>
      </c>
      <c r="H2037" s="4">
        <f>IFERROR(__xludf.DUMMYFUNCTION("""COMPUTED_VALUE"""),477503.0)</f>
        <v>477503</v>
      </c>
      <c r="I2037" t="str">
        <f>IFERROR(__xludf.DUMMYFUNCTION("""COMPUTED_VALUE"""),"09/19")</f>
        <v>09/19</v>
      </c>
      <c r="J2037" s="5">
        <f>IFERROR(__xludf.DUMMYFUNCTION("""COMPUTED_VALUE"""),43784.0)</f>
        <v>43784</v>
      </c>
      <c r="K2037">
        <f>IFERROR(__xludf.DUMMYFUNCTION("""COMPUTED_VALUE"""),15.0)</f>
        <v>15</v>
      </c>
      <c r="L2037">
        <f>IFERROR(__xludf.DUMMYFUNCTION("""COMPUTED_VALUE"""),14.0)</f>
        <v>14</v>
      </c>
      <c r="M2037">
        <f>IFERROR(__xludf.DUMMYFUNCTION("""COMPUTED_VALUE"""),29.0)</f>
        <v>29</v>
      </c>
      <c r="N2037" t="str">
        <f>IFERROR(__xludf.DUMMYFUNCTION("""COMPUTED_VALUE"""),"Model 3 LR AWD")</f>
        <v>Model 3 LR AWD</v>
      </c>
      <c r="O2037" t="str">
        <f>IFERROR(__xludf.DUMMYFUNCTION("""COMPUTED_VALUE"""),"Deep Blue Metallic")</f>
        <v>Deep Blue Metallic</v>
      </c>
      <c r="P2037" t="str">
        <f>IFERROR(__xludf.DUMMYFUNCTION("""COMPUTED_VALUE"""),"18 inch Aero")</f>
        <v>18 inch Aero</v>
      </c>
      <c r="Q2037" t="str">
        <f>IFERROR(__xludf.DUMMYFUNCTION("""COMPUTED_VALUE"""),"White seats")</f>
        <v>White seats</v>
      </c>
      <c r="R2037" t="str">
        <f>IFERROR(__xludf.DUMMYFUNCTION("""COMPUTED_VALUE"""),"Full Self-Driving")</f>
        <v>Full Self-Driving</v>
      </c>
      <c r="X2037" t="str">
        <f>IFERROR(__xludf.DUMMYFUNCTION("""COMPUTED_VALUE"""),"Excellent")</f>
        <v>Excellent</v>
      </c>
      <c r="Y2037" t="str">
        <f>IFERROR(__xludf.DUMMYFUNCTION("""COMPUTED_VALUE"""),"Excellent")</f>
        <v>Excellent</v>
      </c>
      <c r="Z2037" t="str">
        <f>IFERROR(__xludf.DUMMYFUNCTION("""COMPUTED_VALUE"""),"Excellent")</f>
        <v>Excellent</v>
      </c>
      <c r="AA2037" t="str">
        <f>IFERROR(__xludf.DUMMYFUNCTION("""COMPUTED_VALUE"""),"Good")</f>
        <v>Good</v>
      </c>
      <c r="AB2037" t="str">
        <f>IFERROR(__xludf.DUMMYFUNCTION("""COMPUTED_VALUE"""),"Very Good")</f>
        <v>Very Good</v>
      </c>
      <c r="AH2037" s="189">
        <f>IFERROR(__xludf.DUMMYFUNCTION("""COMPUTED_VALUE"""),43788.45900596065)</f>
        <v>43788.45901</v>
      </c>
    </row>
    <row r="2038">
      <c r="A2038" t="str">
        <f>IFERROR(__xludf.DUMMYFUNCTION("""COMPUTED_VALUE"""),"Bellanova")</f>
        <v>Bellanova</v>
      </c>
      <c r="B2038" t="str">
        <f>IFERROR(__xludf.DUMMYFUNCTION("""COMPUTED_VALUE"""),"Dallas")</f>
        <v>Dallas</v>
      </c>
      <c r="C2038" t="str">
        <f>IFERROR(__xludf.DUMMYFUNCTION("""COMPUTED_VALUE"""),"TX")</f>
        <v>TX</v>
      </c>
      <c r="D2038" t="str">
        <f>IFERROR(__xludf.DUMMYFUNCTION("""COMPUTED_VALUE"""),"USA")</f>
        <v>USA</v>
      </c>
      <c r="E2038" s="188">
        <f>IFERROR(__xludf.DUMMYFUNCTION("""COMPUTED_VALUE"""),43742.0)</f>
        <v>43742</v>
      </c>
      <c r="F2038" s="188">
        <f>IFERROR(__xludf.DUMMYFUNCTION("""COMPUTED_VALUE"""),43774.0)</f>
        <v>43774</v>
      </c>
      <c r="H2038">
        <f>IFERROR(__xludf.DUMMYFUNCTION("""COMPUTED_VALUE"""),495866.0)</f>
        <v>495866</v>
      </c>
      <c r="J2038" s="5">
        <f>IFERROR(__xludf.DUMMYFUNCTION("""COMPUTED_VALUE"""),43788.0)</f>
        <v>43788</v>
      </c>
      <c r="K2038">
        <f>IFERROR(__xludf.DUMMYFUNCTION("""COMPUTED_VALUE"""),32.0)</f>
        <v>32</v>
      </c>
      <c r="L2038">
        <f>IFERROR(__xludf.DUMMYFUNCTION("""COMPUTED_VALUE"""),14.0)</f>
        <v>14</v>
      </c>
      <c r="M2038">
        <f>IFERROR(__xludf.DUMMYFUNCTION("""COMPUTED_VALUE"""),46.0)</f>
        <v>46</v>
      </c>
      <c r="N2038" t="str">
        <f>IFERROR(__xludf.DUMMYFUNCTION("""COMPUTED_VALUE"""),"Model 3 SR+")</f>
        <v>Model 3 SR+</v>
      </c>
      <c r="O2038" t="str">
        <f>IFERROR(__xludf.DUMMYFUNCTION("""COMPUTED_VALUE"""),"Midnight Silver Metallic")</f>
        <v>Midnight Silver Metallic</v>
      </c>
      <c r="P2038" t="str">
        <f>IFERROR(__xludf.DUMMYFUNCTION("""COMPUTED_VALUE"""),"18 inch Aero")</f>
        <v>18 inch Aero</v>
      </c>
      <c r="Q2038" t="str">
        <f>IFERROR(__xludf.DUMMYFUNCTION("""COMPUTED_VALUE"""),"Black seats")</f>
        <v>Black seats</v>
      </c>
      <c r="R2038" t="str">
        <f>IFERROR(__xludf.DUMMYFUNCTION("""COMPUTED_VALUE"""),"Autopilot")</f>
        <v>Autopilot</v>
      </c>
      <c r="X2038" t="str">
        <f>IFERROR(__xludf.DUMMYFUNCTION("""COMPUTED_VALUE"""),"Excellent")</f>
        <v>Excellent</v>
      </c>
      <c r="Y2038" t="str">
        <f>IFERROR(__xludf.DUMMYFUNCTION("""COMPUTED_VALUE"""),"Excellent")</f>
        <v>Excellent</v>
      </c>
      <c r="Z2038" t="str">
        <f>IFERROR(__xludf.DUMMYFUNCTION("""COMPUTED_VALUE"""),"Excellent")</f>
        <v>Excellent</v>
      </c>
      <c r="AA2038" t="str">
        <f>IFERROR(__xludf.DUMMYFUNCTION("""COMPUTED_VALUE"""),"Fair")</f>
        <v>Fair</v>
      </c>
      <c r="AB2038" t="str">
        <f>IFERROR(__xludf.DUMMYFUNCTION("""COMPUTED_VALUE"""),"Good")</f>
        <v>Good</v>
      </c>
      <c r="AG2038" t="str">
        <f>IFERROR(__xludf.DUMMYFUNCTION("""COMPUTED_VALUE"""),"Found VIN in source code")</f>
        <v>Found VIN in source code</v>
      </c>
      <c r="AH2038" s="189">
        <f>IFERROR(__xludf.DUMMYFUNCTION("""COMPUTED_VALUE"""),43788.56771832176)</f>
        <v>43788.56772</v>
      </c>
    </row>
    <row r="2039">
      <c r="A2039" t="str">
        <f>IFERROR(__xludf.DUMMYFUNCTION("""COMPUTED_VALUE"""),"hi2010")</f>
        <v>hi2010</v>
      </c>
      <c r="C2039" t="str">
        <f>IFERROR(__xludf.DUMMYFUNCTION("""COMPUTED_VALUE"""),"TX")</f>
        <v>TX</v>
      </c>
      <c r="D2039" t="str">
        <f>IFERROR(__xludf.DUMMYFUNCTION("""COMPUTED_VALUE"""),"USA")</f>
        <v>USA</v>
      </c>
      <c r="E2039" s="188">
        <f>IFERROR(__xludf.DUMMYFUNCTION("""COMPUTED_VALUE"""),43746.0)</f>
        <v>43746</v>
      </c>
      <c r="F2039" s="188">
        <f>IFERROR(__xludf.DUMMYFUNCTION("""COMPUTED_VALUE"""),43759.0)</f>
        <v>43759</v>
      </c>
      <c r="H2039" s="4">
        <f>IFERROR(__xludf.DUMMYFUNCTION("""COMPUTED_VALUE"""),512251.0)</f>
        <v>512251</v>
      </c>
      <c r="I2039" t="str">
        <f>IFERROR(__xludf.DUMMYFUNCTION("""COMPUTED_VALUE"""),"10/19")</f>
        <v>10/19</v>
      </c>
      <c r="J2039" s="5">
        <f>IFERROR(__xludf.DUMMYFUNCTION("""COMPUTED_VALUE"""),43790.0)</f>
        <v>43790</v>
      </c>
      <c r="K2039">
        <f>IFERROR(__xludf.DUMMYFUNCTION("""COMPUTED_VALUE"""),13.0)</f>
        <v>13</v>
      </c>
      <c r="L2039">
        <f>IFERROR(__xludf.DUMMYFUNCTION("""COMPUTED_VALUE"""),31.0)</f>
        <v>31</v>
      </c>
      <c r="M2039">
        <f>IFERROR(__xludf.DUMMYFUNCTION("""COMPUTED_VALUE"""),44.0)</f>
        <v>44</v>
      </c>
      <c r="N2039" t="str">
        <f>IFERROR(__xludf.DUMMYFUNCTION("""COMPUTED_VALUE"""),"Model 3 LR AWD")</f>
        <v>Model 3 LR AWD</v>
      </c>
      <c r="O2039" t="str">
        <f>IFERROR(__xludf.DUMMYFUNCTION("""COMPUTED_VALUE"""),"Pearl White Multi-Coat")</f>
        <v>Pearl White Multi-Coat</v>
      </c>
      <c r="P2039" t="str">
        <f>IFERROR(__xludf.DUMMYFUNCTION("""COMPUTED_VALUE"""),"19 inch Sport")</f>
        <v>19 inch Sport</v>
      </c>
      <c r="Q2039" t="str">
        <f>IFERROR(__xludf.DUMMYFUNCTION("""COMPUTED_VALUE"""),"Black seats")</f>
        <v>Black seats</v>
      </c>
      <c r="R2039" t="str">
        <f>IFERROR(__xludf.DUMMYFUNCTION("""COMPUTED_VALUE"""),"Full Self-Driving")</f>
        <v>Full Self-Driving</v>
      </c>
      <c r="X2039" t="str">
        <f>IFERROR(__xludf.DUMMYFUNCTION("""COMPUTED_VALUE"""),"Very Good")</f>
        <v>Very Good</v>
      </c>
      <c r="Y2039" t="str">
        <f>IFERROR(__xludf.DUMMYFUNCTION("""COMPUTED_VALUE"""),"Very Good")</f>
        <v>Very Good</v>
      </c>
      <c r="Z2039" t="str">
        <f>IFERROR(__xludf.DUMMYFUNCTION("""COMPUTED_VALUE"""),"Excellent")</f>
        <v>Excellent</v>
      </c>
      <c r="AA2039" t="str">
        <f>IFERROR(__xludf.DUMMYFUNCTION("""COMPUTED_VALUE"""),"Excellent")</f>
        <v>Excellent</v>
      </c>
      <c r="AB2039" t="str">
        <f>IFERROR(__xludf.DUMMYFUNCTION("""COMPUTED_VALUE"""),"Excellent")</f>
        <v>Excellent</v>
      </c>
      <c r="AC2039">
        <f>IFERROR(__xludf.DUMMYFUNCTION("""COMPUTED_VALUE"""),3.0)</f>
        <v>3</v>
      </c>
      <c r="AD2039">
        <f>IFERROR(__xludf.DUMMYFUNCTION("""COMPUTED_VALUE"""),0.0)</f>
        <v>0</v>
      </c>
      <c r="AE2039">
        <f>IFERROR(__xludf.DUMMYFUNCTION("""COMPUTED_VALUE"""),0.0)</f>
        <v>0</v>
      </c>
      <c r="AG2039" t="str">
        <f>IFERROR(__xludf.DUMMYFUNCTION("""COMPUTED_VALUE"""),"10/21 VIN in source code; 11/4 Make Payment button and MVPA form popped up on account with VIN matching in source code; 11/5 DS called and vehicle should arrive in DC by next week; 11/9 Account updated with Delivery Appointment date for 11/15; 11/15 Arriv"&amp;"ed in DC waiting for third party carrier to provide delivery date; 11/18 Delivery date scheduled 11/21; 11/20 Got Model 3 and now waiting for my Tesla account to update")</f>
        <v>10/21 VIN in source code; 11/4 Make Payment button and MVPA form popped up on account with VIN matching in source code; 11/5 DS called and vehicle should arrive in DC by next week; 11/9 Account updated with Delivery Appointment date for 11/15; 11/15 Arrived in DC waiting for third party carrier to provide delivery date; 11/18 Delivery date scheduled 11/21; 11/20 Got Model 3 and now waiting for my Tesla account to update</v>
      </c>
      <c r="AH2039" s="189">
        <f>IFERROR(__xludf.DUMMYFUNCTION("""COMPUTED_VALUE"""),43791.51484371528)</f>
        <v>43791.51484</v>
      </c>
    </row>
    <row r="2040">
      <c r="A2040" t="str">
        <f>IFERROR(__xludf.DUMMYFUNCTION("""COMPUTED_VALUE"""),"brycedb74")</f>
        <v>brycedb74</v>
      </c>
      <c r="B2040" t="str">
        <f>IFERROR(__xludf.DUMMYFUNCTION("""COMPUTED_VALUE"""),"Mesa")</f>
        <v>Mesa</v>
      </c>
      <c r="C2040" t="str">
        <f>IFERROR(__xludf.DUMMYFUNCTION("""COMPUTED_VALUE"""),"AZ")</f>
        <v>AZ</v>
      </c>
      <c r="D2040" t="str">
        <f>IFERROR(__xludf.DUMMYFUNCTION("""COMPUTED_VALUE"""),"USA")</f>
        <v>USA</v>
      </c>
      <c r="E2040" s="188">
        <f>IFERROR(__xludf.DUMMYFUNCTION("""COMPUTED_VALUE"""),43743.0)</f>
        <v>43743</v>
      </c>
      <c r="F2040" s="188">
        <f>IFERROR(__xludf.DUMMYFUNCTION("""COMPUTED_VALUE"""),43787.0)</f>
        <v>43787</v>
      </c>
      <c r="H2040" s="4">
        <f>IFERROR(__xludf.DUMMYFUNCTION("""COMPUTED_VALUE"""),591125.0)</f>
        <v>591125</v>
      </c>
      <c r="J2040" s="5">
        <f>IFERROR(__xludf.DUMMYFUNCTION("""COMPUTED_VALUE"""),43792.0)</f>
        <v>43792</v>
      </c>
      <c r="K2040">
        <f>IFERROR(__xludf.DUMMYFUNCTION("""COMPUTED_VALUE"""),44.0)</f>
        <v>44</v>
      </c>
      <c r="L2040">
        <f>IFERROR(__xludf.DUMMYFUNCTION("""COMPUTED_VALUE"""),5.0)</f>
        <v>5</v>
      </c>
      <c r="M2040">
        <f>IFERROR(__xludf.DUMMYFUNCTION("""COMPUTED_VALUE"""),49.0)</f>
        <v>49</v>
      </c>
      <c r="N2040" t="str">
        <f>IFERROR(__xludf.DUMMYFUNCTION("""COMPUTED_VALUE"""),"Model 3 SR+")</f>
        <v>Model 3 SR+</v>
      </c>
      <c r="O2040" t="str">
        <f>IFERROR(__xludf.DUMMYFUNCTION("""COMPUTED_VALUE"""),"Pearl White Multi-Coat")</f>
        <v>Pearl White Multi-Coat</v>
      </c>
      <c r="P2040" t="str">
        <f>IFERROR(__xludf.DUMMYFUNCTION("""COMPUTED_VALUE"""),"18 inch Aero")</f>
        <v>18 inch Aero</v>
      </c>
      <c r="Q2040" t="str">
        <f>IFERROR(__xludf.DUMMYFUNCTION("""COMPUTED_VALUE"""),"White seats")</f>
        <v>White seats</v>
      </c>
      <c r="R2040" t="str">
        <f>IFERROR(__xludf.DUMMYFUNCTION("""COMPUTED_VALUE"""),"Full Self-Driving")</f>
        <v>Full Self-Driving</v>
      </c>
      <c r="X2040" t="str">
        <f>IFERROR(__xludf.DUMMYFUNCTION("""COMPUTED_VALUE"""),"Good")</f>
        <v>Good</v>
      </c>
      <c r="Y2040" t="str">
        <f>IFERROR(__xludf.DUMMYFUNCTION("""COMPUTED_VALUE"""),"Very Good")</f>
        <v>Very Good</v>
      </c>
      <c r="Z2040" t="str">
        <f>IFERROR(__xludf.DUMMYFUNCTION("""COMPUTED_VALUE"""),"Very Good")</f>
        <v>Very Good</v>
      </c>
      <c r="AA2040" t="str">
        <f>IFERROR(__xludf.DUMMYFUNCTION("""COMPUTED_VALUE"""),"Poor")</f>
        <v>Poor</v>
      </c>
      <c r="AB2040" t="str">
        <f>IFERROR(__xludf.DUMMYFUNCTION("""COMPUTED_VALUE"""),"Good")</f>
        <v>Good</v>
      </c>
      <c r="AC2040">
        <f>IFERROR(__xludf.DUMMYFUNCTION("""COMPUTED_VALUE"""),2.0)</f>
        <v>2</v>
      </c>
      <c r="AG2040" t="str">
        <f>IFERROR(__xludf.DUMMYFUNCTION("""COMPUTED_VALUE"""),"Delivered 3 days early on 11/20, but with defective window and mirror, and old version software (v9, not v10 which is a HUGE update).")</f>
        <v>Delivered 3 days early on 11/20, but with defective window and mirror, and old version software (v9, not v10 which is a HUGE update).</v>
      </c>
      <c r="AH2040" s="189">
        <f>IFERROR(__xludf.DUMMYFUNCTION("""COMPUTED_VALUE"""),43792.499078796296)</f>
        <v>43792.49908</v>
      </c>
    </row>
    <row r="2041">
      <c r="A2041" t="str">
        <f>IFERROR(__xludf.DUMMYFUNCTION("""COMPUTED_VALUE"""),"ls1t56")</f>
        <v>ls1t56</v>
      </c>
      <c r="B2041" t="str">
        <f>IFERROR(__xludf.DUMMYFUNCTION("""COMPUTED_VALUE"""),"Princeton")</f>
        <v>Princeton</v>
      </c>
      <c r="C2041" t="str">
        <f>IFERROR(__xludf.DUMMYFUNCTION("""COMPUTED_VALUE"""),"NJ")</f>
        <v>NJ</v>
      </c>
      <c r="D2041" t="str">
        <f>IFERROR(__xludf.DUMMYFUNCTION("""COMPUTED_VALUE"""),"USA")</f>
        <v>USA</v>
      </c>
      <c r="E2041" s="188">
        <f>IFERROR(__xludf.DUMMYFUNCTION("""COMPUTED_VALUE"""),43767.0)</f>
        <v>43767</v>
      </c>
      <c r="F2041" s="188">
        <f>IFERROR(__xludf.DUMMYFUNCTION("""COMPUTED_VALUE"""),43791.0)</f>
        <v>43791</v>
      </c>
      <c r="H2041">
        <f>IFERROR(__xludf.DUMMYFUNCTION("""COMPUTED_VALUE"""),586931.0)</f>
        <v>586931</v>
      </c>
      <c r="I2041" t="str">
        <f>IFERROR(__xludf.DUMMYFUNCTION("""COMPUTED_VALUE"""),"10/19")</f>
        <v>10/19</v>
      </c>
      <c r="J2041" s="5">
        <f>IFERROR(__xludf.DUMMYFUNCTION("""COMPUTED_VALUE"""),43792.0)</f>
        <v>43792</v>
      </c>
      <c r="K2041">
        <f>IFERROR(__xludf.DUMMYFUNCTION("""COMPUTED_VALUE"""),24.0)</f>
        <v>24</v>
      </c>
      <c r="L2041">
        <f>IFERROR(__xludf.DUMMYFUNCTION("""COMPUTED_VALUE"""),1.0)</f>
        <v>1</v>
      </c>
      <c r="M2041">
        <f>IFERROR(__xludf.DUMMYFUNCTION("""COMPUTED_VALUE"""),25.0)</f>
        <v>25</v>
      </c>
      <c r="N2041" t="str">
        <f>IFERROR(__xludf.DUMMYFUNCTION("""COMPUTED_VALUE"""),"Model 3 LR AWD")</f>
        <v>Model 3 LR AWD</v>
      </c>
      <c r="O2041" t="str">
        <f>IFERROR(__xludf.DUMMYFUNCTION("""COMPUTED_VALUE"""),"Pearl White Multi-Coat")</f>
        <v>Pearl White Multi-Coat</v>
      </c>
      <c r="P2041" t="str">
        <f>IFERROR(__xludf.DUMMYFUNCTION("""COMPUTED_VALUE"""),"19 inch Sport")</f>
        <v>19 inch Sport</v>
      </c>
      <c r="Q2041" t="str">
        <f>IFERROR(__xludf.DUMMYFUNCTION("""COMPUTED_VALUE"""),"Black seats")</f>
        <v>Black seats</v>
      </c>
      <c r="R2041" t="str">
        <f>IFERROR(__xludf.DUMMYFUNCTION("""COMPUTED_VALUE"""),"Full Self-Driving")</f>
        <v>Full Self-Driving</v>
      </c>
      <c r="AA2041" t="str">
        <f>IFERROR(__xludf.DUMMYFUNCTION("""COMPUTED_VALUE"""),"Excellent")</f>
        <v>Excellent</v>
      </c>
      <c r="AB2041" t="str">
        <f>IFERROR(__xludf.DUMMYFUNCTION("""COMPUTED_VALUE"""),"Excellent")</f>
        <v>Excellent</v>
      </c>
      <c r="AG2041" t="str">
        <f>IFERROR(__xludf.DUMMYFUNCTION("""COMPUTED_VALUE"""),"Changed to Stealth Perf. bc SA found one in stock")</f>
        <v>Changed to Stealth Perf. bc SA found one in stock</v>
      </c>
      <c r="AH2041" s="189">
        <f>IFERROR(__xludf.DUMMYFUNCTION("""COMPUTED_VALUE"""),43794.199804421296)</f>
        <v>43794.1998</v>
      </c>
    </row>
    <row r="2042">
      <c r="A2042" t="str">
        <f>IFERROR(__xludf.DUMMYFUNCTION("""COMPUTED_VALUE"""),"p1l0t3")</f>
        <v>p1l0t3</v>
      </c>
      <c r="B2042" t="str">
        <f>IFERROR(__xludf.DUMMYFUNCTION("""COMPUTED_VALUE"""),"Quebec City")</f>
        <v>Quebec City</v>
      </c>
      <c r="C2042" t="str">
        <f>IFERROR(__xludf.DUMMYFUNCTION("""COMPUTED_VALUE"""),"QC")</f>
        <v>QC</v>
      </c>
      <c r="D2042" t="str">
        <f>IFERROR(__xludf.DUMMYFUNCTION("""COMPUTED_VALUE"""),"Canada")</f>
        <v>Canada</v>
      </c>
      <c r="E2042" s="188">
        <f>IFERROR(__xludf.DUMMYFUNCTION("""COMPUTED_VALUE"""),43714.0)</f>
        <v>43714</v>
      </c>
      <c r="F2042" s="188">
        <f>IFERROR(__xludf.DUMMYFUNCTION("""COMPUTED_VALUE"""),43768.0)</f>
        <v>43768</v>
      </c>
      <c r="H2042">
        <f>IFERROR(__xludf.DUMMYFUNCTION("""COMPUTED_VALUE"""),529133.0)</f>
        <v>529133</v>
      </c>
      <c r="J2042" s="5">
        <f>IFERROR(__xludf.DUMMYFUNCTION("""COMPUTED_VALUE"""),43798.0)</f>
        <v>43798</v>
      </c>
      <c r="K2042">
        <f>IFERROR(__xludf.DUMMYFUNCTION("""COMPUTED_VALUE"""),54.0)</f>
        <v>54</v>
      </c>
      <c r="L2042">
        <f>IFERROR(__xludf.DUMMYFUNCTION("""COMPUTED_VALUE"""),30.0)</f>
        <v>30</v>
      </c>
      <c r="M2042">
        <f>IFERROR(__xludf.DUMMYFUNCTION("""COMPUTED_VALUE"""),84.0)</f>
        <v>84</v>
      </c>
      <c r="N2042" t="str">
        <f>IFERROR(__xludf.DUMMYFUNCTION("""COMPUTED_VALUE"""),"Model 3 SR+")</f>
        <v>Model 3 SR+</v>
      </c>
      <c r="O2042" t="str">
        <f>IFERROR(__xludf.DUMMYFUNCTION("""COMPUTED_VALUE"""),"Deep Blue Metallic")</f>
        <v>Deep Blue Metallic</v>
      </c>
      <c r="P2042" t="str">
        <f>IFERROR(__xludf.DUMMYFUNCTION("""COMPUTED_VALUE"""),"18 inch Aero")</f>
        <v>18 inch Aero</v>
      </c>
      <c r="Q2042" t="str">
        <f>IFERROR(__xludf.DUMMYFUNCTION("""COMPUTED_VALUE"""),"Black seats")</f>
        <v>Black seats</v>
      </c>
      <c r="R2042" t="str">
        <f>IFERROR(__xludf.DUMMYFUNCTION("""COMPUTED_VALUE"""),"Autopilot")</f>
        <v>Autopilot</v>
      </c>
      <c r="X2042" t="str">
        <f>IFERROR(__xludf.DUMMYFUNCTION("""COMPUTED_VALUE"""),"Very Good")</f>
        <v>Very Good</v>
      </c>
      <c r="Y2042" t="str">
        <f>IFERROR(__xludf.DUMMYFUNCTION("""COMPUTED_VALUE"""),"Very Good")</f>
        <v>Very Good</v>
      </c>
      <c r="Z2042" t="str">
        <f>IFERROR(__xludf.DUMMYFUNCTION("""COMPUTED_VALUE"""),"Very Good")</f>
        <v>Very Good</v>
      </c>
      <c r="AA2042" t="str">
        <f>IFERROR(__xludf.DUMMYFUNCTION("""COMPUTED_VALUE"""),"Good")</f>
        <v>Good</v>
      </c>
      <c r="AB2042" t="str">
        <f>IFERROR(__xludf.DUMMYFUNCTION("""COMPUTED_VALUE"""),"Good")</f>
        <v>Good</v>
      </c>
      <c r="AH2042" s="189">
        <f>IFERROR(__xludf.DUMMYFUNCTION("""COMPUTED_VALUE"""),43794.28520825232)</f>
        <v>43794.28521</v>
      </c>
    </row>
    <row r="2043">
      <c r="A2043" t="str">
        <f>IFERROR(__xludf.DUMMYFUNCTION("""COMPUTED_VALUE"""),"SkavM3")</f>
        <v>SkavM3</v>
      </c>
      <c r="B2043" t="str">
        <f>IFERROR(__xludf.DUMMYFUNCTION("""COMPUTED_VALUE"""),"Milpitas")</f>
        <v>Milpitas</v>
      </c>
      <c r="C2043" t="str">
        <f>IFERROR(__xludf.DUMMYFUNCTION("""COMPUTED_VALUE"""),"CA")</f>
        <v>CA</v>
      </c>
      <c r="D2043" t="str">
        <f>IFERROR(__xludf.DUMMYFUNCTION("""COMPUTED_VALUE"""),"USA")</f>
        <v>USA</v>
      </c>
      <c r="E2043" s="188">
        <f>IFERROR(__xludf.DUMMYFUNCTION("""COMPUTED_VALUE"""),43737.0)</f>
        <v>43737</v>
      </c>
      <c r="F2043" s="188">
        <f>IFERROR(__xludf.DUMMYFUNCTION("""COMPUTED_VALUE"""),43787.0)</f>
        <v>43787</v>
      </c>
      <c r="H2043">
        <f>IFERROR(__xludf.DUMMYFUNCTION("""COMPUTED_VALUE"""),504758.0)</f>
        <v>504758</v>
      </c>
      <c r="J2043" s="5">
        <f>IFERROR(__xludf.DUMMYFUNCTION("""COMPUTED_VALUE"""),43789.0)</f>
        <v>43789</v>
      </c>
      <c r="K2043">
        <f>IFERROR(__xludf.DUMMYFUNCTION("""COMPUTED_VALUE"""),50.0)</f>
        <v>50</v>
      </c>
      <c r="L2043">
        <f>IFERROR(__xludf.DUMMYFUNCTION("""COMPUTED_VALUE"""),2.0)</f>
        <v>2</v>
      </c>
      <c r="M2043">
        <f>IFERROR(__xludf.DUMMYFUNCTION("""COMPUTED_VALUE"""),52.0)</f>
        <v>52</v>
      </c>
      <c r="N2043" t="str">
        <f>IFERROR(__xludf.DUMMYFUNCTION("""COMPUTED_VALUE"""),"Model 3 SR+")</f>
        <v>Model 3 SR+</v>
      </c>
      <c r="O2043" t="str">
        <f>IFERROR(__xludf.DUMMYFUNCTION("""COMPUTED_VALUE"""),"Pearl White Multi-Coat")</f>
        <v>Pearl White Multi-Coat</v>
      </c>
      <c r="P2043" t="str">
        <f>IFERROR(__xludf.DUMMYFUNCTION("""COMPUTED_VALUE"""),"18 inch Aero")</f>
        <v>18 inch Aero</v>
      </c>
      <c r="Q2043" t="str">
        <f>IFERROR(__xludf.DUMMYFUNCTION("""COMPUTED_VALUE"""),"Black seats")</f>
        <v>Black seats</v>
      </c>
      <c r="R2043" t="str">
        <f>IFERROR(__xludf.DUMMYFUNCTION("""COMPUTED_VALUE"""),"Autopilot")</f>
        <v>Autopilot</v>
      </c>
      <c r="X2043" t="str">
        <f>IFERROR(__xludf.DUMMYFUNCTION("""COMPUTED_VALUE"""),"Good")</f>
        <v>Good</v>
      </c>
      <c r="Y2043" t="str">
        <f>IFERROR(__xludf.DUMMYFUNCTION("""COMPUTED_VALUE"""),"Excellent")</f>
        <v>Excellent</v>
      </c>
      <c r="Z2043" t="str">
        <f>IFERROR(__xludf.DUMMYFUNCTION("""COMPUTED_VALUE"""),"Good")</f>
        <v>Good</v>
      </c>
      <c r="AA2043" t="str">
        <f>IFERROR(__xludf.DUMMYFUNCTION("""COMPUTED_VALUE"""),"Poor")</f>
        <v>Poor</v>
      </c>
      <c r="AB2043" t="str">
        <f>IFERROR(__xludf.DUMMYFUNCTION("""COMPUTED_VALUE"""),"Very Good")</f>
        <v>Very Good</v>
      </c>
      <c r="AH2043" s="189">
        <f>IFERROR(__xludf.DUMMYFUNCTION("""COMPUTED_VALUE"""),43794.36117721065)</f>
        <v>43794.36118</v>
      </c>
    </row>
    <row r="2044">
      <c r="A2044" t="str">
        <f>IFERROR(__xludf.DUMMYFUNCTION("""COMPUTED_VALUE"""),"JeremyE")</f>
        <v>JeremyE</v>
      </c>
      <c r="B2044" t="str">
        <f>IFERROR(__xludf.DUMMYFUNCTION("""COMPUTED_VALUE"""),"Northglenn")</f>
        <v>Northglenn</v>
      </c>
      <c r="C2044" t="str">
        <f>IFERROR(__xludf.DUMMYFUNCTION("""COMPUTED_VALUE"""),"CO")</f>
        <v>CO</v>
      </c>
      <c r="D2044" t="str">
        <f>IFERROR(__xludf.DUMMYFUNCTION("""COMPUTED_VALUE"""),"USA")</f>
        <v>USA</v>
      </c>
      <c r="E2044" s="188">
        <f>IFERROR(__xludf.DUMMYFUNCTION("""COMPUTED_VALUE"""),43756.0)</f>
        <v>43756</v>
      </c>
      <c r="F2044" s="188">
        <f>IFERROR(__xludf.DUMMYFUNCTION("""COMPUTED_VALUE"""),43785.0)</f>
        <v>43785</v>
      </c>
      <c r="H2044">
        <f>IFERROR(__xludf.DUMMYFUNCTION("""COMPUTED_VALUE"""),586719.0)</f>
        <v>586719</v>
      </c>
      <c r="J2044" s="5">
        <f>IFERROR(__xludf.DUMMYFUNCTION("""COMPUTED_VALUE"""),43792.0)</f>
        <v>43792</v>
      </c>
      <c r="K2044">
        <f>IFERROR(__xludf.DUMMYFUNCTION("""COMPUTED_VALUE"""),29.0)</f>
        <v>29</v>
      </c>
      <c r="L2044">
        <f>IFERROR(__xludf.DUMMYFUNCTION("""COMPUTED_VALUE"""),7.0)</f>
        <v>7</v>
      </c>
      <c r="M2044">
        <f>IFERROR(__xludf.DUMMYFUNCTION("""COMPUTED_VALUE"""),36.0)</f>
        <v>36</v>
      </c>
      <c r="N2044" t="str">
        <f>IFERROR(__xludf.DUMMYFUNCTION("""COMPUTED_VALUE"""),"Model 3 Performance")</f>
        <v>Model 3 Performance</v>
      </c>
      <c r="O2044" t="str">
        <f>IFERROR(__xludf.DUMMYFUNCTION("""COMPUTED_VALUE"""),"Midnight Silver Metallic")</f>
        <v>Midnight Silver Metallic</v>
      </c>
      <c r="P2044" t="str">
        <f>IFERROR(__xludf.DUMMYFUNCTION("""COMPUTED_VALUE"""),"19 inch Sport")</f>
        <v>19 inch Sport</v>
      </c>
      <c r="Q2044" t="str">
        <f>IFERROR(__xludf.DUMMYFUNCTION("""COMPUTED_VALUE"""),"Black seats")</f>
        <v>Black seats</v>
      </c>
      <c r="R2044" t="str">
        <f>IFERROR(__xludf.DUMMYFUNCTION("""COMPUTED_VALUE"""),"Autopilot")</f>
        <v>Autopilot</v>
      </c>
      <c r="X2044" t="str">
        <f>IFERROR(__xludf.DUMMYFUNCTION("""COMPUTED_VALUE"""),"Excellent")</f>
        <v>Excellent</v>
      </c>
      <c r="Y2044" t="str">
        <f>IFERROR(__xludf.DUMMYFUNCTION("""COMPUTED_VALUE"""),"Excellent")</f>
        <v>Excellent</v>
      </c>
      <c r="Z2044" t="str">
        <f>IFERROR(__xludf.DUMMYFUNCTION("""COMPUTED_VALUE"""),"Excellent")</f>
        <v>Excellent</v>
      </c>
      <c r="AA2044" t="str">
        <f>IFERROR(__xludf.DUMMYFUNCTION("""COMPUTED_VALUE"""),"Good")</f>
        <v>Good</v>
      </c>
      <c r="AB2044" t="str">
        <f>IFERROR(__xludf.DUMMYFUNCTION("""COMPUTED_VALUE"""),"Excellent")</f>
        <v>Excellent</v>
      </c>
      <c r="AH2044" s="189">
        <f>IFERROR(__xludf.DUMMYFUNCTION("""COMPUTED_VALUE"""),43795.914333761575)</f>
        <v>43795.91433</v>
      </c>
    </row>
    <row r="2045">
      <c r="A2045" t="str">
        <f>IFERROR(__xludf.DUMMYFUNCTION("""COMPUTED_VALUE"""),"Pharmerdav")</f>
        <v>Pharmerdav</v>
      </c>
      <c r="B2045" t="str">
        <f>IFERROR(__xludf.DUMMYFUNCTION("""COMPUTED_VALUE"""),"Clovis")</f>
        <v>Clovis</v>
      </c>
      <c r="C2045" t="str">
        <f>IFERROR(__xludf.DUMMYFUNCTION("""COMPUTED_VALUE"""),"CA")</f>
        <v>CA</v>
      </c>
      <c r="D2045" t="str">
        <f>IFERROR(__xludf.DUMMYFUNCTION("""COMPUTED_VALUE"""),"USA")</f>
        <v>USA</v>
      </c>
      <c r="E2045" s="188">
        <f>IFERROR(__xludf.DUMMYFUNCTION("""COMPUTED_VALUE"""),43750.0)</f>
        <v>43750</v>
      </c>
      <c r="F2045" s="188">
        <f>IFERROR(__xludf.DUMMYFUNCTION("""COMPUTED_VALUE"""),43791.0)</f>
        <v>43791</v>
      </c>
      <c r="H2045">
        <f>IFERROR(__xludf.DUMMYFUNCTION("""COMPUTED_VALUE"""),590980.0)</f>
        <v>590980</v>
      </c>
      <c r="J2045" s="5">
        <f>IFERROR(__xludf.DUMMYFUNCTION("""COMPUTED_VALUE"""),43796.0)</f>
        <v>43796</v>
      </c>
      <c r="K2045">
        <f>IFERROR(__xludf.DUMMYFUNCTION("""COMPUTED_VALUE"""),41.0)</f>
        <v>41</v>
      </c>
      <c r="L2045">
        <f>IFERROR(__xludf.DUMMYFUNCTION("""COMPUTED_VALUE"""),5.0)</f>
        <v>5</v>
      </c>
      <c r="M2045">
        <f>IFERROR(__xludf.DUMMYFUNCTION("""COMPUTED_VALUE"""),46.0)</f>
        <v>46</v>
      </c>
      <c r="N2045" t="str">
        <f>IFERROR(__xludf.DUMMYFUNCTION("""COMPUTED_VALUE"""),"Model 3 SR+")</f>
        <v>Model 3 SR+</v>
      </c>
      <c r="O2045" t="str">
        <f>IFERROR(__xludf.DUMMYFUNCTION("""COMPUTED_VALUE"""),"Pearl White Multi-Coat")</f>
        <v>Pearl White Multi-Coat</v>
      </c>
      <c r="P2045" t="str">
        <f>IFERROR(__xludf.DUMMYFUNCTION("""COMPUTED_VALUE"""),"19 inch Sport")</f>
        <v>19 inch Sport</v>
      </c>
      <c r="Q2045" t="str">
        <f>IFERROR(__xludf.DUMMYFUNCTION("""COMPUTED_VALUE"""),"Black seats")</f>
        <v>Black seats</v>
      </c>
      <c r="R2045" t="str">
        <f>IFERROR(__xludf.DUMMYFUNCTION("""COMPUTED_VALUE"""),"Autopilot")</f>
        <v>Autopilot</v>
      </c>
      <c r="X2045" t="str">
        <f>IFERROR(__xludf.DUMMYFUNCTION("""COMPUTED_VALUE"""),"Very Good")</f>
        <v>Very Good</v>
      </c>
      <c r="Y2045" t="str">
        <f>IFERROR(__xludf.DUMMYFUNCTION("""COMPUTED_VALUE"""),"Excellent")</f>
        <v>Excellent</v>
      </c>
      <c r="Z2045" t="str">
        <f>IFERROR(__xludf.DUMMYFUNCTION("""COMPUTED_VALUE"""),"Very Good")</f>
        <v>Very Good</v>
      </c>
      <c r="AA2045" t="str">
        <f>IFERROR(__xludf.DUMMYFUNCTION("""COMPUTED_VALUE"""),"Very Good")</f>
        <v>Very Good</v>
      </c>
      <c r="AB2045" t="str">
        <f>IFERROR(__xludf.DUMMYFUNCTION("""COMPUTED_VALUE"""),"Very Good")</f>
        <v>Very Good</v>
      </c>
      <c r="AC2045">
        <f>IFERROR(__xludf.DUMMYFUNCTION("""COMPUTED_VALUE"""),1.0)</f>
        <v>1</v>
      </c>
      <c r="AG2045" t="str">
        <f>IFERROR(__xludf.DUMMYFUNCTION("""COMPUTED_VALUE"""),"Got a text saying the M3 will be done and expected delivery to be between 11/22 - 11/30")</f>
        <v>Got a text saying the M3 will be done and expected delivery to be between 11/22 - 11/30</v>
      </c>
      <c r="AH2045" s="189">
        <f>IFERROR(__xludf.DUMMYFUNCTION("""COMPUTED_VALUE"""),43797.7839640625)</f>
        <v>43797.78396</v>
      </c>
    </row>
    <row r="2046">
      <c r="A2046" t="str">
        <f>IFERROR(__xludf.DUMMYFUNCTION("""COMPUTED_VALUE"""),"OverEZPZ")</f>
        <v>OverEZPZ</v>
      </c>
      <c r="B2046" t="str">
        <f>IFERROR(__xludf.DUMMYFUNCTION("""COMPUTED_VALUE"""),"Berkeley")</f>
        <v>Berkeley</v>
      </c>
      <c r="C2046" t="str">
        <f>IFERROR(__xludf.DUMMYFUNCTION("""COMPUTED_VALUE"""),"CA")</f>
        <v>CA</v>
      </c>
      <c r="D2046" t="str">
        <f>IFERROR(__xludf.DUMMYFUNCTION("""COMPUTED_VALUE"""),"USA")</f>
        <v>USA</v>
      </c>
      <c r="E2046" s="188">
        <f>IFERROR(__xludf.DUMMYFUNCTION("""COMPUTED_VALUE"""),43789.0)</f>
        <v>43789</v>
      </c>
      <c r="F2046" s="188">
        <f>IFERROR(__xludf.DUMMYFUNCTION("""COMPUTED_VALUE"""),43789.0)</f>
        <v>43789</v>
      </c>
      <c r="H2046">
        <f>IFERROR(__xludf.DUMMYFUNCTION("""COMPUTED_VALUE"""),627555.0)</f>
        <v>627555</v>
      </c>
      <c r="J2046" s="5">
        <f>IFERROR(__xludf.DUMMYFUNCTION("""COMPUTED_VALUE"""),43798.0)</f>
        <v>43798</v>
      </c>
      <c r="K2046">
        <f>IFERROR(__xludf.DUMMYFUNCTION("""COMPUTED_VALUE"""),0.0)</f>
        <v>0</v>
      </c>
      <c r="L2046">
        <f>IFERROR(__xludf.DUMMYFUNCTION("""COMPUTED_VALUE"""),9.0)</f>
        <v>9</v>
      </c>
      <c r="M2046">
        <f>IFERROR(__xludf.DUMMYFUNCTION("""COMPUTED_VALUE"""),9.0)</f>
        <v>9</v>
      </c>
      <c r="N2046" t="str">
        <f>IFERROR(__xludf.DUMMYFUNCTION("""COMPUTED_VALUE"""),"Model 3 Performance")</f>
        <v>Model 3 Performance</v>
      </c>
      <c r="O2046" t="str">
        <f>IFERROR(__xludf.DUMMYFUNCTION("""COMPUTED_VALUE"""),"Pearl White Multi-Coat")</f>
        <v>Pearl White Multi-Coat</v>
      </c>
      <c r="P2046" t="str">
        <f>IFERROR(__xludf.DUMMYFUNCTION("""COMPUTED_VALUE"""),"19 inch Sport")</f>
        <v>19 inch Sport</v>
      </c>
      <c r="Q2046" t="str">
        <f>IFERROR(__xludf.DUMMYFUNCTION("""COMPUTED_VALUE"""),"Black seats")</f>
        <v>Black seats</v>
      </c>
      <c r="R2046" t="str">
        <f>IFERROR(__xludf.DUMMYFUNCTION("""COMPUTED_VALUE"""),"Autopilot")</f>
        <v>Autopilot</v>
      </c>
      <c r="X2046" t="str">
        <f>IFERROR(__xludf.DUMMYFUNCTION("""COMPUTED_VALUE"""),"Very Good")</f>
        <v>Very Good</v>
      </c>
      <c r="Y2046" t="str">
        <f>IFERROR(__xludf.DUMMYFUNCTION("""COMPUTED_VALUE"""),"Excellent")</f>
        <v>Excellent</v>
      </c>
      <c r="Z2046" t="str">
        <f>IFERROR(__xludf.DUMMYFUNCTION("""COMPUTED_VALUE"""),"Excellent")</f>
        <v>Excellent</v>
      </c>
      <c r="AA2046" t="str">
        <f>IFERROR(__xludf.DUMMYFUNCTION("""COMPUTED_VALUE"""),"Poor")</f>
        <v>Poor</v>
      </c>
      <c r="AB2046" t="str">
        <f>IFERROR(__xludf.DUMMYFUNCTION("""COMPUTED_VALUE"""),"Excellent")</f>
        <v>Excellent</v>
      </c>
      <c r="AG2046" t="str">
        <f>IFERROR(__xludf.DUMMYFUNCTION("""COMPUTED_VALUE"""),"Ordered LR AWD on 10/3; modified order to Performance trim on 10/18; modified order to Stealth on 11/20/19. VIN found in source.")</f>
        <v>Ordered LR AWD on 10/3; modified order to Performance trim on 10/18; modified order to Stealth on 11/20/19. VIN found in source.</v>
      </c>
      <c r="AH2046" s="189">
        <f>IFERROR(__xludf.DUMMYFUNCTION("""COMPUTED_VALUE"""),43798.694505011576)</f>
        <v>43798.69451</v>
      </c>
    </row>
    <row r="2047">
      <c r="A2047" t="str">
        <f>IFERROR(__xludf.DUMMYFUNCTION("""COMPUTED_VALUE"""),"wyu177")</f>
        <v>wyu177</v>
      </c>
      <c r="B2047" t="str">
        <f>IFERROR(__xludf.DUMMYFUNCTION("""COMPUTED_VALUE"""),"Fremont")</f>
        <v>Fremont</v>
      </c>
      <c r="C2047" t="str">
        <f>IFERROR(__xludf.DUMMYFUNCTION("""COMPUTED_VALUE"""),"CA")</f>
        <v>CA</v>
      </c>
      <c r="D2047" t="str">
        <f>IFERROR(__xludf.DUMMYFUNCTION("""COMPUTED_VALUE"""),"USA")</f>
        <v>USA</v>
      </c>
      <c r="E2047" s="188">
        <f>IFERROR(__xludf.DUMMYFUNCTION("""COMPUTED_VALUE"""),43767.0)</f>
        <v>43767</v>
      </c>
      <c r="F2047" s="188">
        <f>IFERROR(__xludf.DUMMYFUNCTION("""COMPUTED_VALUE"""),43791.0)</f>
        <v>43791</v>
      </c>
      <c r="H2047">
        <f>IFERROR(__xludf.DUMMYFUNCTION("""COMPUTED_VALUE"""),602555.0)</f>
        <v>602555</v>
      </c>
      <c r="I2047" t="str">
        <f>IFERROR(__xludf.DUMMYFUNCTION("""COMPUTED_VALUE"""),"11/19")</f>
        <v>11/19</v>
      </c>
      <c r="J2047" s="5">
        <f>IFERROR(__xludf.DUMMYFUNCTION("""COMPUTED_VALUE"""),43798.0)</f>
        <v>43798</v>
      </c>
      <c r="K2047">
        <f>IFERROR(__xludf.DUMMYFUNCTION("""COMPUTED_VALUE"""),24.0)</f>
        <v>24</v>
      </c>
      <c r="L2047">
        <f>IFERROR(__xludf.DUMMYFUNCTION("""COMPUTED_VALUE"""),7.0)</f>
        <v>7</v>
      </c>
      <c r="M2047">
        <f>IFERROR(__xludf.DUMMYFUNCTION("""COMPUTED_VALUE"""),31.0)</f>
        <v>31</v>
      </c>
      <c r="N2047" t="str">
        <f>IFERROR(__xludf.DUMMYFUNCTION("""COMPUTED_VALUE"""),"Model 3 Performance")</f>
        <v>Model 3 Performance</v>
      </c>
      <c r="O2047" t="str">
        <f>IFERROR(__xludf.DUMMYFUNCTION("""COMPUTED_VALUE"""),"Pearl White Multi-Coat")</f>
        <v>Pearl White Multi-Coat</v>
      </c>
      <c r="P2047" t="str">
        <f>IFERROR(__xludf.DUMMYFUNCTION("""COMPUTED_VALUE"""),"18 inch Aero")</f>
        <v>18 inch Aero</v>
      </c>
      <c r="Q2047" t="str">
        <f>IFERROR(__xludf.DUMMYFUNCTION("""COMPUTED_VALUE"""),"Black seats")</f>
        <v>Black seats</v>
      </c>
      <c r="R2047" t="str">
        <f>IFERROR(__xludf.DUMMYFUNCTION("""COMPUTED_VALUE"""),"Autopilot")</f>
        <v>Autopilot</v>
      </c>
      <c r="X2047" t="str">
        <f>IFERROR(__xludf.DUMMYFUNCTION("""COMPUTED_VALUE"""),"Excellent")</f>
        <v>Excellent</v>
      </c>
      <c r="Y2047" t="str">
        <f>IFERROR(__xludf.DUMMYFUNCTION("""COMPUTED_VALUE"""),"Excellent")</f>
        <v>Excellent</v>
      </c>
      <c r="Z2047" t="str">
        <f>IFERROR(__xludf.DUMMYFUNCTION("""COMPUTED_VALUE"""),"Excellent")</f>
        <v>Excellent</v>
      </c>
      <c r="AA2047" t="str">
        <f>IFERROR(__xludf.DUMMYFUNCTION("""COMPUTED_VALUE"""),"Excellent")</f>
        <v>Excellent</v>
      </c>
      <c r="AB2047" t="str">
        <f>IFERROR(__xludf.DUMMYFUNCTION("""COMPUTED_VALUE"""),"Excellent")</f>
        <v>Excellent</v>
      </c>
      <c r="AG2047" t="str">
        <f>IFERROR(__xludf.DUMMYFUNCTION("""COMPUTED_VALUE"""),"Order changed from Performance to Performance Stealth on 11/22, vin was revealed via source code ")</f>
        <v>Order changed from Performance to Performance Stealth on 11/22, vin was revealed via source code </v>
      </c>
      <c r="AH2047" s="189">
        <f>IFERROR(__xludf.DUMMYFUNCTION("""COMPUTED_VALUE"""),43798.721671747684)</f>
        <v>43798.72167</v>
      </c>
    </row>
    <row r="2048">
      <c r="A2048" t="str">
        <f>IFERROR(__xludf.DUMMYFUNCTION("""COMPUTED_VALUE"""),"dogface")</f>
        <v>dogface</v>
      </c>
      <c r="B2048" t="str">
        <f>IFERROR(__xludf.DUMMYFUNCTION("""COMPUTED_VALUE"""),"SFBAY")</f>
        <v>SFBAY</v>
      </c>
      <c r="C2048" t="str">
        <f>IFERROR(__xludf.DUMMYFUNCTION("""COMPUTED_VALUE"""),"CA")</f>
        <v>CA</v>
      </c>
      <c r="D2048" t="str">
        <f>IFERROR(__xludf.DUMMYFUNCTION("""COMPUTED_VALUE"""),"USA")</f>
        <v>USA</v>
      </c>
      <c r="E2048" s="188">
        <f>IFERROR(__xludf.DUMMYFUNCTION("""COMPUTED_VALUE"""),43761.0)</f>
        <v>43761</v>
      </c>
      <c r="F2048" s="188">
        <f>IFERROR(__xludf.DUMMYFUNCTION("""COMPUTED_VALUE"""),43795.0)</f>
        <v>43795</v>
      </c>
      <c r="H2048">
        <f>IFERROR(__xludf.DUMMYFUNCTION("""COMPUTED_VALUE"""),627493.0)</f>
        <v>627493</v>
      </c>
      <c r="J2048" s="5">
        <f>IFERROR(__xludf.DUMMYFUNCTION("""COMPUTED_VALUE"""),43798.0)</f>
        <v>43798</v>
      </c>
      <c r="K2048">
        <f>IFERROR(__xludf.DUMMYFUNCTION("""COMPUTED_VALUE"""),34.0)</f>
        <v>34</v>
      </c>
      <c r="L2048">
        <f>IFERROR(__xludf.DUMMYFUNCTION("""COMPUTED_VALUE"""),3.0)</f>
        <v>3</v>
      </c>
      <c r="M2048">
        <f>IFERROR(__xludf.DUMMYFUNCTION("""COMPUTED_VALUE"""),37.0)</f>
        <v>37</v>
      </c>
      <c r="N2048" t="str">
        <f>IFERROR(__xludf.DUMMYFUNCTION("""COMPUTED_VALUE"""),"Model 3 Performance")</f>
        <v>Model 3 Performance</v>
      </c>
      <c r="O2048" t="str">
        <f>IFERROR(__xludf.DUMMYFUNCTION("""COMPUTED_VALUE"""),"Pearl White Multi-Coat")</f>
        <v>Pearl White Multi-Coat</v>
      </c>
      <c r="P2048" t="str">
        <f>IFERROR(__xludf.DUMMYFUNCTION("""COMPUTED_VALUE"""),"19 inch Sport")</f>
        <v>19 inch Sport</v>
      </c>
      <c r="Q2048" t="str">
        <f>IFERROR(__xludf.DUMMYFUNCTION("""COMPUTED_VALUE"""),"Black seats")</f>
        <v>Black seats</v>
      </c>
      <c r="R2048" t="str">
        <f>IFERROR(__xludf.DUMMYFUNCTION("""COMPUTED_VALUE"""),"Autopilot")</f>
        <v>Autopilot</v>
      </c>
      <c r="X2048" t="str">
        <f>IFERROR(__xludf.DUMMYFUNCTION("""COMPUTED_VALUE"""),"Fair")</f>
        <v>Fair</v>
      </c>
      <c r="Y2048" t="str">
        <f>IFERROR(__xludf.DUMMYFUNCTION("""COMPUTED_VALUE"""),"Excellent")</f>
        <v>Excellent</v>
      </c>
      <c r="AA2048" t="str">
        <f>IFERROR(__xludf.DUMMYFUNCTION("""COMPUTED_VALUE"""),"Excellent")</f>
        <v>Excellent</v>
      </c>
      <c r="AB2048" t="str">
        <f>IFERROR(__xludf.DUMMYFUNCTION("""COMPUTED_VALUE"""),"Excellent")</f>
        <v>Excellent</v>
      </c>
      <c r="AG2048" t="str">
        <f>IFERROR(__xludf.DUMMYFUNCTION("""COMPUTED_VALUE"""),"changed LRAWD order to stealth 11/25 - sourcecode shows MY2020")</f>
        <v>changed LRAWD order to stealth 11/25 - sourcecode shows MY2020</v>
      </c>
      <c r="AH2048" s="189">
        <f>IFERROR(__xludf.DUMMYFUNCTION("""COMPUTED_VALUE"""),43799.01877650463)</f>
        <v>43799.01878</v>
      </c>
    </row>
    <row r="2049">
      <c r="A2049" t="str">
        <f>IFERROR(__xludf.DUMMYFUNCTION("""COMPUTED_VALUE"""),"Dakza")</f>
        <v>Dakza</v>
      </c>
      <c r="B2049" t="str">
        <f>IFERROR(__xludf.DUMMYFUNCTION("""COMPUTED_VALUE"""),"Tucson")</f>
        <v>Tucson</v>
      </c>
      <c r="C2049" t="str">
        <f>IFERROR(__xludf.DUMMYFUNCTION("""COMPUTED_VALUE"""),"AZ")</f>
        <v>AZ</v>
      </c>
      <c r="D2049" t="str">
        <f>IFERROR(__xludf.DUMMYFUNCTION("""COMPUTED_VALUE"""),"USA")</f>
        <v>USA</v>
      </c>
      <c r="E2049" s="188">
        <f>IFERROR(__xludf.DUMMYFUNCTION("""COMPUTED_VALUE"""),43760.0)</f>
        <v>43760</v>
      </c>
      <c r="F2049" s="188">
        <f>IFERROR(__xludf.DUMMYFUNCTION("""COMPUTED_VALUE"""),43794.0)</f>
        <v>43794</v>
      </c>
      <c r="H2049">
        <f>IFERROR(__xludf.DUMMYFUNCTION("""COMPUTED_VALUE"""),606510.0)</f>
        <v>606510</v>
      </c>
      <c r="J2049" s="5">
        <f>IFERROR(__xludf.DUMMYFUNCTION("""COMPUTED_VALUE"""),43802.0)</f>
        <v>43802</v>
      </c>
      <c r="K2049">
        <f>IFERROR(__xludf.DUMMYFUNCTION("""COMPUTED_VALUE"""),34.0)</f>
        <v>34</v>
      </c>
      <c r="L2049">
        <f>IFERROR(__xludf.DUMMYFUNCTION("""COMPUTED_VALUE"""),8.0)</f>
        <v>8</v>
      </c>
      <c r="M2049">
        <f>IFERROR(__xludf.DUMMYFUNCTION("""COMPUTED_VALUE"""),42.0)</f>
        <v>42</v>
      </c>
      <c r="N2049" t="str">
        <f>IFERROR(__xludf.DUMMYFUNCTION("""COMPUTED_VALUE"""),"Model 3 SR+")</f>
        <v>Model 3 SR+</v>
      </c>
      <c r="O2049" t="str">
        <f>IFERROR(__xludf.DUMMYFUNCTION("""COMPUTED_VALUE"""),"Red Multi-Coat")</f>
        <v>Red Multi-Coat</v>
      </c>
      <c r="P2049" t="str">
        <f>IFERROR(__xludf.DUMMYFUNCTION("""COMPUTED_VALUE"""),"18 inch Aero")</f>
        <v>18 inch Aero</v>
      </c>
      <c r="Q2049" t="str">
        <f>IFERROR(__xludf.DUMMYFUNCTION("""COMPUTED_VALUE"""),"Black seats")</f>
        <v>Black seats</v>
      </c>
      <c r="R2049" t="str">
        <f>IFERROR(__xludf.DUMMYFUNCTION("""COMPUTED_VALUE"""),"Full Self-Driving")</f>
        <v>Full Self-Driving</v>
      </c>
      <c r="X2049" t="str">
        <f>IFERROR(__xludf.DUMMYFUNCTION("""COMPUTED_VALUE"""),"Very Good")</f>
        <v>Very Good</v>
      </c>
      <c r="Y2049" t="str">
        <f>IFERROR(__xludf.DUMMYFUNCTION("""COMPUTED_VALUE"""),"Excellent")</f>
        <v>Excellent</v>
      </c>
      <c r="Z2049" t="str">
        <f>IFERROR(__xludf.DUMMYFUNCTION("""COMPUTED_VALUE"""),"Excellent")</f>
        <v>Excellent</v>
      </c>
      <c r="AA2049" t="str">
        <f>IFERROR(__xludf.DUMMYFUNCTION("""COMPUTED_VALUE"""),"Very Good")</f>
        <v>Very Good</v>
      </c>
      <c r="AB2049" t="str">
        <f>IFERROR(__xludf.DUMMYFUNCTION("""COMPUTED_VALUE"""),"Very Good")</f>
        <v>Very Good</v>
      </c>
      <c r="AC2049">
        <f>IFERROR(__xludf.DUMMYFUNCTION("""COMPUTED_VALUE"""),1.0)</f>
        <v>1</v>
      </c>
      <c r="AG2049" t="str">
        <f>IFERROR(__xludf.DUMMYFUNCTION("""COMPUTED_VALUE"""),"Picked up car on 11/29")</f>
        <v>Picked up car on 11/29</v>
      </c>
      <c r="AH2049" s="189">
        <f>IFERROR(__xludf.DUMMYFUNCTION("""COMPUTED_VALUE"""),43799.202922337965)</f>
        <v>43799.20292</v>
      </c>
    </row>
    <row r="2050">
      <c r="A2050" t="str">
        <f>IFERROR(__xludf.DUMMYFUNCTION("""COMPUTED_VALUE"""),"archbish99")</f>
        <v>archbish99</v>
      </c>
      <c r="B2050" t="str">
        <f>IFERROR(__xludf.DUMMYFUNCTION("""COMPUTED_VALUE"""),"Cincinnati")</f>
        <v>Cincinnati</v>
      </c>
      <c r="C2050" t="str">
        <f>IFERROR(__xludf.DUMMYFUNCTION("""COMPUTED_VALUE"""),"OH")</f>
        <v>OH</v>
      </c>
      <c r="D2050" t="str">
        <f>IFERROR(__xludf.DUMMYFUNCTION("""COMPUTED_VALUE"""),"USA")</f>
        <v>USA</v>
      </c>
      <c r="E2050" s="188">
        <f>IFERROR(__xludf.DUMMYFUNCTION("""COMPUTED_VALUE"""),43752.0)</f>
        <v>43752</v>
      </c>
      <c r="F2050" s="188">
        <f>IFERROR(__xludf.DUMMYFUNCTION("""COMPUTED_VALUE"""),43759.0)</f>
        <v>43759</v>
      </c>
      <c r="H2050">
        <f>IFERROR(__xludf.DUMMYFUNCTION("""COMPUTED_VALUE"""),539565.0)</f>
        <v>539565</v>
      </c>
      <c r="I2050" t="str">
        <f>IFERROR(__xludf.DUMMYFUNCTION("""COMPUTED_VALUE"""),"10/19")</f>
        <v>10/19</v>
      </c>
      <c r="J2050" s="5">
        <f>IFERROR(__xludf.DUMMYFUNCTION("""COMPUTED_VALUE"""),43776.0)</f>
        <v>43776</v>
      </c>
      <c r="K2050">
        <f>IFERROR(__xludf.DUMMYFUNCTION("""COMPUTED_VALUE"""),7.0)</f>
        <v>7</v>
      </c>
      <c r="L2050">
        <f>IFERROR(__xludf.DUMMYFUNCTION("""COMPUTED_VALUE"""),17.0)</f>
        <v>17</v>
      </c>
      <c r="M2050">
        <f>IFERROR(__xludf.DUMMYFUNCTION("""COMPUTED_VALUE"""),24.0)</f>
        <v>24</v>
      </c>
      <c r="N2050" t="str">
        <f>IFERROR(__xludf.DUMMYFUNCTION("""COMPUTED_VALUE"""),"Model 3 LR AWD")</f>
        <v>Model 3 LR AWD</v>
      </c>
      <c r="O2050" t="str">
        <f>IFERROR(__xludf.DUMMYFUNCTION("""COMPUTED_VALUE"""),"Red Multi-Coat")</f>
        <v>Red Multi-Coat</v>
      </c>
      <c r="P2050" t="str">
        <f>IFERROR(__xludf.DUMMYFUNCTION("""COMPUTED_VALUE"""),"18 inch Aero")</f>
        <v>18 inch Aero</v>
      </c>
      <c r="Q2050" t="str">
        <f>IFERROR(__xludf.DUMMYFUNCTION("""COMPUTED_VALUE"""),"White seats")</f>
        <v>White seats</v>
      </c>
      <c r="R2050" t="str">
        <f>IFERROR(__xludf.DUMMYFUNCTION("""COMPUTED_VALUE"""),"Full Self-Driving")</f>
        <v>Full Self-Driving</v>
      </c>
      <c r="X2050" t="str">
        <f>IFERROR(__xludf.DUMMYFUNCTION("""COMPUTED_VALUE"""),"Good")</f>
        <v>Good</v>
      </c>
      <c r="Y2050" t="str">
        <f>IFERROR(__xludf.DUMMYFUNCTION("""COMPUTED_VALUE"""),"Excellent")</f>
        <v>Excellent</v>
      </c>
      <c r="Z2050" t="str">
        <f>IFERROR(__xludf.DUMMYFUNCTION("""COMPUTED_VALUE"""),"Excellent")</f>
        <v>Excellent</v>
      </c>
      <c r="AA2050" t="str">
        <f>IFERROR(__xludf.DUMMYFUNCTION("""COMPUTED_VALUE"""),"Very Good")</f>
        <v>Very Good</v>
      </c>
      <c r="AB2050" t="str">
        <f>IFERROR(__xludf.DUMMYFUNCTION("""COMPUTED_VALUE"""),"Very Good")</f>
        <v>Very Good</v>
      </c>
      <c r="AC2050">
        <f>IFERROR(__xludf.DUMMYFUNCTION("""COMPUTED_VALUE"""),2.0)</f>
        <v>2</v>
      </c>
      <c r="AD2050">
        <f>IFERROR(__xludf.DUMMYFUNCTION("""COMPUTED_VALUE"""),0.0)</f>
        <v>0</v>
      </c>
      <c r="AE2050">
        <f>IFERROR(__xludf.DUMMYFUNCTION("""COMPUTED_VALUE"""),0.0)</f>
        <v>0</v>
      </c>
      <c r="AG2050" t="str">
        <f>IFERROR(__xludf.DUMMYFUNCTION("""COMPUTED_VALUE"""),"Minor panel gaps that Tesla refused to fix when I inquired during delivery. Will try again the first time I need service for something else. ")</f>
        <v>Minor panel gaps that Tesla refused to fix when I inquired during delivery. Will try again the first time I need service for something else. </v>
      </c>
      <c r="AH2050" s="189">
        <f>IFERROR(__xludf.DUMMYFUNCTION("""COMPUTED_VALUE"""),43799.39503640046)</f>
        <v>43799.39504</v>
      </c>
    </row>
    <row r="2051">
      <c r="A2051" t="str">
        <f>IFERROR(__xludf.DUMMYFUNCTION("""COMPUTED_VALUE"""),"Hoololly")</f>
        <v>Hoololly</v>
      </c>
      <c r="B2051" t="str">
        <f>IFERROR(__xludf.DUMMYFUNCTION("""COMPUTED_VALUE"""),"Nashville")</f>
        <v>Nashville</v>
      </c>
      <c r="C2051" t="str">
        <f>IFERROR(__xludf.DUMMYFUNCTION("""COMPUTED_VALUE"""),"TN")</f>
        <v>TN</v>
      </c>
      <c r="D2051" t="str">
        <f>IFERROR(__xludf.DUMMYFUNCTION("""COMPUTED_VALUE"""),"USA")</f>
        <v>USA</v>
      </c>
      <c r="E2051" s="188">
        <f>IFERROR(__xludf.DUMMYFUNCTION("""COMPUTED_VALUE"""),43781.0)</f>
        <v>43781</v>
      </c>
      <c r="F2051" s="188">
        <f>IFERROR(__xludf.DUMMYFUNCTION("""COMPUTED_VALUE"""),43790.0)</f>
        <v>43790</v>
      </c>
      <c r="H2051">
        <f>IFERROR(__xludf.DUMMYFUNCTION("""COMPUTED_VALUE"""),586855.0)</f>
        <v>586855</v>
      </c>
      <c r="J2051" s="5">
        <f>IFERROR(__xludf.DUMMYFUNCTION("""COMPUTED_VALUE"""),43796.0)</f>
        <v>43796</v>
      </c>
      <c r="K2051">
        <f>IFERROR(__xludf.DUMMYFUNCTION("""COMPUTED_VALUE"""),9.0)</f>
        <v>9</v>
      </c>
      <c r="L2051">
        <f>IFERROR(__xludf.DUMMYFUNCTION("""COMPUTED_VALUE"""),6.0)</f>
        <v>6</v>
      </c>
      <c r="M2051">
        <f>IFERROR(__xludf.DUMMYFUNCTION("""COMPUTED_VALUE"""),15.0)</f>
        <v>15</v>
      </c>
      <c r="N2051" t="str">
        <f>IFERROR(__xludf.DUMMYFUNCTION("""COMPUTED_VALUE"""),"Model 3 LR AWD")</f>
        <v>Model 3 LR AWD</v>
      </c>
      <c r="O2051" t="str">
        <f>IFERROR(__xludf.DUMMYFUNCTION("""COMPUTED_VALUE"""),"Deep Blue Metallic")</f>
        <v>Deep Blue Metallic</v>
      </c>
      <c r="P2051" t="str">
        <f>IFERROR(__xludf.DUMMYFUNCTION("""COMPUTED_VALUE"""),"19 inch Sport")</f>
        <v>19 inch Sport</v>
      </c>
      <c r="Q2051" t="str">
        <f>IFERROR(__xludf.DUMMYFUNCTION("""COMPUTED_VALUE"""),"Black seats")</f>
        <v>Black seats</v>
      </c>
      <c r="R2051" t="str">
        <f>IFERROR(__xludf.DUMMYFUNCTION("""COMPUTED_VALUE"""),"Full Self-Driving")</f>
        <v>Full Self-Driving</v>
      </c>
      <c r="X2051" t="str">
        <f>IFERROR(__xludf.DUMMYFUNCTION("""COMPUTED_VALUE"""),"Excellent")</f>
        <v>Excellent</v>
      </c>
      <c r="Y2051" t="str">
        <f>IFERROR(__xludf.DUMMYFUNCTION("""COMPUTED_VALUE"""),"Excellent")</f>
        <v>Excellent</v>
      </c>
      <c r="Z2051" t="str">
        <f>IFERROR(__xludf.DUMMYFUNCTION("""COMPUTED_VALUE"""),"Excellent")</f>
        <v>Excellent</v>
      </c>
      <c r="AA2051" t="str">
        <f>IFERROR(__xludf.DUMMYFUNCTION("""COMPUTED_VALUE"""),"Excellent")</f>
        <v>Excellent</v>
      </c>
      <c r="AB2051" t="str">
        <f>IFERROR(__xludf.DUMMYFUNCTION("""COMPUTED_VALUE"""),"Excellent")</f>
        <v>Excellent</v>
      </c>
      <c r="AG2051" t="str">
        <f>IFERROR(__xludf.DUMMYFUNCTION("""COMPUTED_VALUE"""),"Upgraded original config to stealth by calling SA 11/21.  Matched immediately to inventory available in Pittsburgh, which they shipped. Delivery originally scheduled for 12/1, was able to pick up 11/27.")</f>
        <v>Upgraded original config to stealth by calling SA 11/21.  Matched immediately to inventory available in Pittsburgh, which they shipped. Delivery originally scheduled for 12/1, was able to pick up 11/27.</v>
      </c>
      <c r="AH2051" s="189">
        <f>IFERROR(__xludf.DUMMYFUNCTION("""COMPUTED_VALUE"""),43799.65063173611)</f>
        <v>43799.65063</v>
      </c>
    </row>
    <row r="2052">
      <c r="A2052" t="str">
        <f>IFERROR(__xludf.DUMMYFUNCTION("""COMPUTED_VALUE"""),"Zextraterrestrial")</f>
        <v>Zextraterrestrial</v>
      </c>
      <c r="B2052" t="str">
        <f>IFERROR(__xludf.DUMMYFUNCTION("""COMPUTED_VALUE"""),"Eureka")</f>
        <v>Eureka</v>
      </c>
      <c r="C2052" t="str">
        <f>IFERROR(__xludf.DUMMYFUNCTION("""COMPUTED_VALUE"""),"CA")</f>
        <v>CA</v>
      </c>
      <c r="D2052" t="str">
        <f>IFERROR(__xludf.DUMMYFUNCTION("""COMPUTED_VALUE"""),"USA")</f>
        <v>USA</v>
      </c>
      <c r="E2052" s="188">
        <f>IFERROR(__xludf.DUMMYFUNCTION("""COMPUTED_VALUE"""),43790.0)</f>
        <v>43790</v>
      </c>
      <c r="F2052" s="188">
        <f>IFERROR(__xludf.DUMMYFUNCTION("""COMPUTED_VALUE"""),43794.0)</f>
        <v>43794</v>
      </c>
      <c r="H2052">
        <f>IFERROR(__xludf.DUMMYFUNCTION("""COMPUTED_VALUE"""),601612.0)</f>
        <v>601612</v>
      </c>
      <c r="I2052" t="str">
        <f>IFERROR(__xludf.DUMMYFUNCTION("""COMPUTED_VALUE"""),"11/19")</f>
        <v>11/19</v>
      </c>
      <c r="J2052" s="5">
        <f>IFERROR(__xludf.DUMMYFUNCTION("""COMPUTED_VALUE"""),43798.0)</f>
        <v>43798</v>
      </c>
      <c r="K2052">
        <f>IFERROR(__xludf.DUMMYFUNCTION("""COMPUTED_VALUE"""),4.0)</f>
        <v>4</v>
      </c>
      <c r="L2052">
        <f>IFERROR(__xludf.DUMMYFUNCTION("""COMPUTED_VALUE"""),4.0)</f>
        <v>4</v>
      </c>
      <c r="M2052">
        <f>IFERROR(__xludf.DUMMYFUNCTION("""COMPUTED_VALUE"""),8.0)</f>
        <v>8</v>
      </c>
      <c r="N2052" t="str">
        <f>IFERROR(__xludf.DUMMYFUNCTION("""COMPUTED_VALUE"""),"Model 3 Performance")</f>
        <v>Model 3 Performance</v>
      </c>
      <c r="O2052" t="str">
        <f>IFERROR(__xludf.DUMMYFUNCTION("""COMPUTED_VALUE"""),"Pearl White Multi-Coat")</f>
        <v>Pearl White Multi-Coat</v>
      </c>
      <c r="P2052" t="str">
        <f>IFERROR(__xludf.DUMMYFUNCTION("""COMPUTED_VALUE"""),"18 inch Aero")</f>
        <v>18 inch Aero</v>
      </c>
      <c r="Q2052" t="str">
        <f>IFERROR(__xludf.DUMMYFUNCTION("""COMPUTED_VALUE"""),"Black seats")</f>
        <v>Black seats</v>
      </c>
      <c r="R2052" t="str">
        <f>IFERROR(__xludf.DUMMYFUNCTION("""COMPUTED_VALUE"""),"Full Self-Driving")</f>
        <v>Full Self-Driving</v>
      </c>
      <c r="X2052" t="str">
        <f>IFERROR(__xludf.DUMMYFUNCTION("""COMPUTED_VALUE"""),"Excellent")</f>
        <v>Excellent</v>
      </c>
      <c r="Y2052" t="str">
        <f>IFERROR(__xludf.DUMMYFUNCTION("""COMPUTED_VALUE"""),"Excellent")</f>
        <v>Excellent</v>
      </c>
      <c r="Z2052" t="str">
        <f>IFERROR(__xludf.DUMMYFUNCTION("""COMPUTED_VALUE"""),"Excellent")</f>
        <v>Excellent</v>
      </c>
      <c r="AA2052" t="str">
        <f>IFERROR(__xludf.DUMMYFUNCTION("""COMPUTED_VALUE"""),"Excellent")</f>
        <v>Excellent</v>
      </c>
      <c r="AB2052" t="str">
        <f>IFERROR(__xludf.DUMMYFUNCTION("""COMPUTED_VALUE"""),"Excellent")</f>
        <v>Excellent</v>
      </c>
      <c r="AH2052" s="189">
        <f>IFERROR(__xludf.DUMMYFUNCTION("""COMPUTED_VALUE"""),43799.7276953125)</f>
        <v>43799.7277</v>
      </c>
    </row>
    <row r="2053">
      <c r="A2053" t="str">
        <f>IFERROR(__xludf.DUMMYFUNCTION("""COMPUTED_VALUE"""),"djsincla")</f>
        <v>djsincla</v>
      </c>
      <c r="B2053" t="str">
        <f>IFERROR(__xludf.DUMMYFUNCTION("""COMPUTED_VALUE"""),"Redondo Beach, CA")</f>
        <v>Redondo Beach, CA</v>
      </c>
      <c r="C2053" t="str">
        <f>IFERROR(__xludf.DUMMYFUNCTION("""COMPUTED_VALUE"""),"CA")</f>
        <v>CA</v>
      </c>
      <c r="D2053" t="str">
        <f>IFERROR(__xludf.DUMMYFUNCTION("""COMPUTED_VALUE"""),"USA")</f>
        <v>USA</v>
      </c>
      <c r="E2053" s="188">
        <f>IFERROR(__xludf.DUMMYFUNCTION("""COMPUTED_VALUE"""),43791.0)</f>
        <v>43791</v>
      </c>
      <c r="F2053" s="188">
        <f>IFERROR(__xludf.DUMMYFUNCTION("""COMPUTED_VALUE"""),43796.0)</f>
        <v>43796</v>
      </c>
      <c r="H2053">
        <f>IFERROR(__xludf.DUMMYFUNCTION("""COMPUTED_VALUE"""),602455.0)</f>
        <v>602455</v>
      </c>
      <c r="I2053" t="str">
        <f>IFERROR(__xludf.DUMMYFUNCTION("""COMPUTED_VALUE"""),"11/19")</f>
        <v>11/19</v>
      </c>
      <c r="J2053" s="5">
        <f>IFERROR(__xludf.DUMMYFUNCTION("""COMPUTED_VALUE"""),43799.0)</f>
        <v>43799</v>
      </c>
      <c r="K2053">
        <f>IFERROR(__xludf.DUMMYFUNCTION("""COMPUTED_VALUE"""),5.0)</f>
        <v>5</v>
      </c>
      <c r="L2053">
        <f>IFERROR(__xludf.DUMMYFUNCTION("""COMPUTED_VALUE"""),3.0)</f>
        <v>3</v>
      </c>
      <c r="M2053">
        <f>IFERROR(__xludf.DUMMYFUNCTION("""COMPUTED_VALUE"""),8.0)</f>
        <v>8</v>
      </c>
      <c r="N2053" t="str">
        <f>IFERROR(__xludf.DUMMYFUNCTION("""COMPUTED_VALUE"""),"Model 3 Performance")</f>
        <v>Model 3 Performance</v>
      </c>
      <c r="O2053" t="str">
        <f>IFERROR(__xludf.DUMMYFUNCTION("""COMPUTED_VALUE"""),"Pearl White Multi-Coat")</f>
        <v>Pearl White Multi-Coat</v>
      </c>
      <c r="P2053" t="str">
        <f>IFERROR(__xludf.DUMMYFUNCTION("""COMPUTED_VALUE"""),"18 inch Aero")</f>
        <v>18 inch Aero</v>
      </c>
      <c r="Q2053" t="str">
        <f>IFERROR(__xludf.DUMMYFUNCTION("""COMPUTED_VALUE"""),"Black seats")</f>
        <v>Black seats</v>
      </c>
      <c r="R2053" t="str">
        <f>IFERROR(__xludf.DUMMYFUNCTION("""COMPUTED_VALUE"""),"Autopilot")</f>
        <v>Autopilot</v>
      </c>
      <c r="X2053" t="str">
        <f>IFERROR(__xludf.DUMMYFUNCTION("""COMPUTED_VALUE"""),"Excellent")</f>
        <v>Excellent</v>
      </c>
      <c r="Y2053" t="str">
        <f>IFERROR(__xludf.DUMMYFUNCTION("""COMPUTED_VALUE"""),"Excellent")</f>
        <v>Excellent</v>
      </c>
      <c r="Z2053" t="str">
        <f>IFERROR(__xludf.DUMMYFUNCTION("""COMPUTED_VALUE"""),"Excellent")</f>
        <v>Excellent</v>
      </c>
      <c r="AA2053" t="str">
        <f>IFERROR(__xludf.DUMMYFUNCTION("""COMPUTED_VALUE"""),"Excellent")</f>
        <v>Excellent</v>
      </c>
      <c r="AB2053" t="str">
        <f>IFERROR(__xludf.DUMMYFUNCTION("""COMPUTED_VALUE"""),"Excellent")</f>
        <v>Excellent</v>
      </c>
      <c r="AC2053">
        <f>IFERROR(__xludf.DUMMYFUNCTION("""COMPUTED_VALUE"""),0.0)</f>
        <v>0</v>
      </c>
      <c r="AD2053">
        <f>IFERROR(__xludf.DUMMYFUNCTION("""COMPUTED_VALUE"""),0.0)</f>
        <v>0</v>
      </c>
      <c r="AE2053">
        <f>IFERROR(__xludf.DUMMYFUNCTION("""COMPUTED_VALUE"""),0.0)</f>
        <v>0</v>
      </c>
      <c r="AH2053" s="189">
        <f>IFERROR(__xludf.DUMMYFUNCTION("""COMPUTED_VALUE"""),43799.81595392361)</f>
        <v>43799.81595</v>
      </c>
    </row>
    <row r="2054">
      <c r="A2054" t="str">
        <f>IFERROR(__xludf.DUMMYFUNCTION("""COMPUTED_VALUE"""),"Fifffff")</f>
        <v>Fifffff</v>
      </c>
      <c r="B2054" t="str">
        <f>IFERROR(__xludf.DUMMYFUNCTION("""COMPUTED_VALUE"""),"Phoenix")</f>
        <v>Phoenix</v>
      </c>
      <c r="C2054" t="str">
        <f>IFERROR(__xludf.DUMMYFUNCTION("""COMPUTED_VALUE"""),"AZ")</f>
        <v>AZ</v>
      </c>
      <c r="D2054" t="str">
        <f>IFERROR(__xludf.DUMMYFUNCTION("""COMPUTED_VALUE"""),"USA")</f>
        <v>USA</v>
      </c>
      <c r="E2054" s="188">
        <f>IFERROR(__xludf.DUMMYFUNCTION("""COMPUTED_VALUE"""),43785.0)</f>
        <v>43785</v>
      </c>
      <c r="F2054" s="188">
        <f>IFERROR(__xludf.DUMMYFUNCTION("""COMPUTED_VALUE"""),43794.0)</f>
        <v>43794</v>
      </c>
      <c r="H2054">
        <f>IFERROR(__xludf.DUMMYFUNCTION("""COMPUTED_VALUE"""),591155.0)</f>
        <v>591155</v>
      </c>
      <c r="J2054" s="5">
        <f>IFERROR(__xludf.DUMMYFUNCTION("""COMPUTED_VALUE"""),43799.0)</f>
        <v>43799</v>
      </c>
      <c r="K2054">
        <f>IFERROR(__xludf.DUMMYFUNCTION("""COMPUTED_VALUE"""),9.0)</f>
        <v>9</v>
      </c>
      <c r="L2054">
        <f>IFERROR(__xludf.DUMMYFUNCTION("""COMPUTED_VALUE"""),5.0)</f>
        <v>5</v>
      </c>
      <c r="M2054">
        <f>IFERROR(__xludf.DUMMYFUNCTION("""COMPUTED_VALUE"""),14.0)</f>
        <v>14</v>
      </c>
      <c r="N2054" t="str">
        <f>IFERROR(__xludf.DUMMYFUNCTION("""COMPUTED_VALUE"""),"Model 3 SR+")</f>
        <v>Model 3 SR+</v>
      </c>
      <c r="O2054" t="str">
        <f>IFERROR(__xludf.DUMMYFUNCTION("""COMPUTED_VALUE"""),"Pearl White Multi-Coat")</f>
        <v>Pearl White Multi-Coat</v>
      </c>
      <c r="P2054" t="str">
        <f>IFERROR(__xludf.DUMMYFUNCTION("""COMPUTED_VALUE"""),"18 inch Aero")</f>
        <v>18 inch Aero</v>
      </c>
      <c r="Q2054" t="str">
        <f>IFERROR(__xludf.DUMMYFUNCTION("""COMPUTED_VALUE"""),"White seats")</f>
        <v>White seats</v>
      </c>
      <c r="R2054" t="str">
        <f>IFERROR(__xludf.DUMMYFUNCTION("""COMPUTED_VALUE"""),"Autopilot")</f>
        <v>Autopilot</v>
      </c>
      <c r="Y2054" t="str">
        <f>IFERROR(__xludf.DUMMYFUNCTION("""COMPUTED_VALUE"""),"Good")</f>
        <v>Good</v>
      </c>
      <c r="Z2054" t="str">
        <f>IFERROR(__xludf.DUMMYFUNCTION("""COMPUTED_VALUE"""),"Good")</f>
        <v>Good</v>
      </c>
      <c r="AA2054" t="str">
        <f>IFERROR(__xludf.DUMMYFUNCTION("""COMPUTED_VALUE"""),"Good")</f>
        <v>Good</v>
      </c>
      <c r="AB2054" t="str">
        <f>IFERROR(__xludf.DUMMYFUNCTION("""COMPUTED_VALUE"""),"Fair")</f>
        <v>Fair</v>
      </c>
      <c r="AG2054" t="str">
        <f>IFERROR(__xludf.DUMMYFUNCTION("""COMPUTED_VALUE"""),"Found vin in source code")</f>
        <v>Found vin in source code</v>
      </c>
      <c r="AH2054" s="189">
        <f>IFERROR(__xludf.DUMMYFUNCTION("""COMPUTED_VALUE"""),43801.286245497686)</f>
        <v>43801.28625</v>
      </c>
    </row>
    <row r="2055">
      <c r="A2055" t="str">
        <f>IFERROR(__xludf.DUMMYFUNCTION("""COMPUTED_VALUE"""),"samchopps")</f>
        <v>samchopps</v>
      </c>
      <c r="B2055" t="str">
        <f>IFERROR(__xludf.DUMMYFUNCTION("""COMPUTED_VALUE"""),"Bay Area")</f>
        <v>Bay Area</v>
      </c>
      <c r="C2055" t="str">
        <f>IFERROR(__xludf.DUMMYFUNCTION("""COMPUTED_VALUE"""),"CA")</f>
        <v>CA</v>
      </c>
      <c r="D2055" t="str">
        <f>IFERROR(__xludf.DUMMYFUNCTION("""COMPUTED_VALUE"""),"USA")</f>
        <v>USA</v>
      </c>
      <c r="E2055" s="188">
        <f>IFERROR(__xludf.DUMMYFUNCTION("""COMPUTED_VALUE"""),43782.0)</f>
        <v>43782</v>
      </c>
      <c r="F2055" s="188">
        <f>IFERROR(__xludf.DUMMYFUNCTION("""COMPUTED_VALUE"""),43795.0)</f>
        <v>43795</v>
      </c>
      <c r="H2055">
        <f>IFERROR(__xludf.DUMMYFUNCTION("""COMPUTED_VALUE"""),627355.0)</f>
        <v>627355</v>
      </c>
      <c r="I2055" t="str">
        <f>IFERROR(__xludf.DUMMYFUNCTION("""COMPUTED_VALUE"""),"11/19")</f>
        <v>11/19</v>
      </c>
      <c r="J2055" s="5">
        <f>IFERROR(__xludf.DUMMYFUNCTION("""COMPUTED_VALUE"""),43800.0)</f>
        <v>43800</v>
      </c>
      <c r="K2055">
        <f>IFERROR(__xludf.DUMMYFUNCTION("""COMPUTED_VALUE"""),13.0)</f>
        <v>13</v>
      </c>
      <c r="L2055">
        <f>IFERROR(__xludf.DUMMYFUNCTION("""COMPUTED_VALUE"""),5.0)</f>
        <v>5</v>
      </c>
      <c r="M2055">
        <f>IFERROR(__xludf.DUMMYFUNCTION("""COMPUTED_VALUE"""),18.0)</f>
        <v>18</v>
      </c>
      <c r="N2055" t="str">
        <f>IFERROR(__xludf.DUMMYFUNCTION("""COMPUTED_VALUE"""),"Model 3 Performance")</f>
        <v>Model 3 Performance</v>
      </c>
      <c r="O2055" t="str">
        <f>IFERROR(__xludf.DUMMYFUNCTION("""COMPUTED_VALUE"""),"Deep Blue Metallic")</f>
        <v>Deep Blue Metallic</v>
      </c>
      <c r="P2055" t="str">
        <f>IFERROR(__xludf.DUMMYFUNCTION("""COMPUTED_VALUE"""),"19 inch Sport")</f>
        <v>19 inch Sport</v>
      </c>
      <c r="Q2055" t="str">
        <f>IFERROR(__xludf.DUMMYFUNCTION("""COMPUTED_VALUE"""),"Black seats")</f>
        <v>Black seats</v>
      </c>
      <c r="R2055" t="str">
        <f>IFERROR(__xludf.DUMMYFUNCTION("""COMPUTED_VALUE"""),"Full Self-Driving")</f>
        <v>Full Self-Driving</v>
      </c>
      <c r="X2055" t="str">
        <f>IFERROR(__xludf.DUMMYFUNCTION("""COMPUTED_VALUE"""),"Very Good")</f>
        <v>Very Good</v>
      </c>
      <c r="Y2055" t="str">
        <f>IFERROR(__xludf.DUMMYFUNCTION("""COMPUTED_VALUE"""),"Excellent")</f>
        <v>Excellent</v>
      </c>
      <c r="Z2055" t="str">
        <f>IFERROR(__xludf.DUMMYFUNCTION("""COMPUTED_VALUE"""),"Very Good")</f>
        <v>Very Good</v>
      </c>
      <c r="AA2055" t="str">
        <f>IFERROR(__xludf.DUMMYFUNCTION("""COMPUTED_VALUE"""),"Good")</f>
        <v>Good</v>
      </c>
      <c r="AB2055" t="str">
        <f>IFERROR(__xludf.DUMMYFUNCTION("""COMPUTED_VALUE"""),"Good")</f>
        <v>Good</v>
      </c>
      <c r="AG2055" t="str">
        <f>IFERROR(__xludf.DUMMYFUNCTION("""COMPUTED_VALUE"""),"upgraded from LRAWD to stealth on 11/24.  missing two wheel caps on delivery")</f>
        <v>upgraded from LRAWD to stealth on 11/24.  missing two wheel caps on delivery</v>
      </c>
      <c r="AH2055" s="189">
        <f>IFERROR(__xludf.DUMMYFUNCTION("""COMPUTED_VALUE"""),43801.463682835645)</f>
        <v>43801.46368</v>
      </c>
    </row>
    <row r="2056">
      <c r="A2056" t="str">
        <f>IFERROR(__xludf.DUMMYFUNCTION("""COMPUTED_VALUE"""),"zieg")</f>
        <v>zieg</v>
      </c>
      <c r="B2056" t="str">
        <f>IFERROR(__xludf.DUMMYFUNCTION("""COMPUTED_VALUE"""),"San Francisco")</f>
        <v>San Francisco</v>
      </c>
      <c r="C2056" t="str">
        <f>IFERROR(__xludf.DUMMYFUNCTION("""COMPUTED_VALUE"""),"CA")</f>
        <v>CA</v>
      </c>
      <c r="D2056" t="str">
        <f>IFERROR(__xludf.DUMMYFUNCTION("""COMPUTED_VALUE"""),"USA")</f>
        <v>USA</v>
      </c>
      <c r="E2056" s="188">
        <f>IFERROR(__xludf.DUMMYFUNCTION("""COMPUTED_VALUE"""),43748.0)</f>
        <v>43748</v>
      </c>
      <c r="F2056" s="188">
        <f>IFERROR(__xludf.DUMMYFUNCTION("""COMPUTED_VALUE"""),43790.0)</f>
        <v>43790</v>
      </c>
      <c r="H2056">
        <f>IFERROR(__xludf.DUMMYFUNCTION("""COMPUTED_VALUE"""),627555.0)</f>
        <v>627555</v>
      </c>
      <c r="J2056" s="5">
        <f>IFERROR(__xludf.DUMMYFUNCTION("""COMPUTED_VALUE"""),43801.0)</f>
        <v>43801</v>
      </c>
      <c r="K2056">
        <f>IFERROR(__xludf.DUMMYFUNCTION("""COMPUTED_VALUE"""),42.0)</f>
        <v>42</v>
      </c>
      <c r="L2056">
        <f>IFERROR(__xludf.DUMMYFUNCTION("""COMPUTED_VALUE"""),11.0)</f>
        <v>11</v>
      </c>
      <c r="M2056">
        <f>IFERROR(__xludf.DUMMYFUNCTION("""COMPUTED_VALUE"""),53.0)</f>
        <v>53</v>
      </c>
      <c r="N2056" t="str">
        <f>IFERROR(__xludf.DUMMYFUNCTION("""COMPUTED_VALUE"""),"Model 3 Performance")</f>
        <v>Model 3 Performance</v>
      </c>
      <c r="O2056" t="str">
        <f>IFERROR(__xludf.DUMMYFUNCTION("""COMPUTED_VALUE"""),"Pearl White Multi-Coat")</f>
        <v>Pearl White Multi-Coat</v>
      </c>
      <c r="P2056" t="str">
        <f>IFERROR(__xludf.DUMMYFUNCTION("""COMPUTED_VALUE"""),"19 inch Sport")</f>
        <v>19 inch Sport</v>
      </c>
      <c r="Q2056" t="str">
        <f>IFERROR(__xludf.DUMMYFUNCTION("""COMPUTED_VALUE"""),"Black seats")</f>
        <v>Black seats</v>
      </c>
      <c r="R2056" t="str">
        <f>IFERROR(__xludf.DUMMYFUNCTION("""COMPUTED_VALUE"""),"Full Self-Driving")</f>
        <v>Full Self-Driving</v>
      </c>
      <c r="X2056" t="str">
        <f>IFERROR(__xludf.DUMMYFUNCTION("""COMPUTED_VALUE"""),"Good")</f>
        <v>Good</v>
      </c>
      <c r="Y2056" t="str">
        <f>IFERROR(__xludf.DUMMYFUNCTION("""COMPUTED_VALUE"""),"Excellent")</f>
        <v>Excellent</v>
      </c>
      <c r="Z2056" t="str">
        <f>IFERROR(__xludf.DUMMYFUNCTION("""COMPUTED_VALUE"""),"Excellent")</f>
        <v>Excellent</v>
      </c>
      <c r="AA2056" t="str">
        <f>IFERROR(__xludf.DUMMYFUNCTION("""COMPUTED_VALUE"""),"Poor")</f>
        <v>Poor</v>
      </c>
      <c r="AB2056" t="str">
        <f>IFERROR(__xludf.DUMMYFUNCTION("""COMPUTED_VALUE"""),"Very Good")</f>
        <v>Very Good</v>
      </c>
      <c r="AC2056">
        <f>IFERROR(__xludf.DUMMYFUNCTION("""COMPUTED_VALUE"""),1.0)</f>
        <v>1</v>
      </c>
      <c r="AD2056">
        <f>IFERROR(__xludf.DUMMYFUNCTION("""COMPUTED_VALUE"""),1.0)</f>
        <v>1</v>
      </c>
      <c r="AG2056" t="str">
        <f>IFERROR(__xludf.DUMMYFUNCTION("""COMPUTED_VALUE"""),"Switched to Stealth Performance on 11/21 and got VIN right away")</f>
        <v>Switched to Stealth Performance on 11/21 and got VIN right away</v>
      </c>
      <c r="AH2056" s="189">
        <f>IFERROR(__xludf.DUMMYFUNCTION("""COMPUTED_VALUE"""),43801.90272694445)</f>
        <v>43801.90273</v>
      </c>
    </row>
    <row r="2057">
      <c r="A2057" t="str">
        <f>IFERROR(__xludf.DUMMYFUNCTION("""COMPUTED_VALUE"""),"Jes2885")</f>
        <v>Jes2885</v>
      </c>
      <c r="B2057" t="str">
        <f>IFERROR(__xludf.DUMMYFUNCTION("""COMPUTED_VALUE"""),"Raleigh")</f>
        <v>Raleigh</v>
      </c>
      <c r="C2057" t="str">
        <f>IFERROR(__xludf.DUMMYFUNCTION("""COMPUTED_VALUE"""),"NC")</f>
        <v>NC</v>
      </c>
      <c r="D2057" t="str">
        <f>IFERROR(__xludf.DUMMYFUNCTION("""COMPUTED_VALUE"""),"USA")</f>
        <v>USA</v>
      </c>
      <c r="E2057" s="188">
        <f>IFERROR(__xludf.DUMMYFUNCTION("""COMPUTED_VALUE"""),43755.0)</f>
        <v>43755</v>
      </c>
      <c r="F2057" s="188">
        <f>IFERROR(__xludf.DUMMYFUNCTION("""COMPUTED_VALUE"""),43767.0)</f>
        <v>43767</v>
      </c>
      <c r="H2057" s="4">
        <f>IFERROR(__xludf.DUMMYFUNCTION("""COMPUTED_VALUE"""),539992.0)</f>
        <v>539992</v>
      </c>
      <c r="J2057" s="5">
        <f>IFERROR(__xludf.DUMMYFUNCTION("""COMPUTED_VALUE"""),43771.0)</f>
        <v>43771</v>
      </c>
      <c r="K2057">
        <f>IFERROR(__xludf.DUMMYFUNCTION("""COMPUTED_VALUE"""),12.0)</f>
        <v>12</v>
      </c>
      <c r="L2057">
        <f>IFERROR(__xludf.DUMMYFUNCTION("""COMPUTED_VALUE"""),4.0)</f>
        <v>4</v>
      </c>
      <c r="M2057">
        <f>IFERROR(__xludf.DUMMYFUNCTION("""COMPUTED_VALUE"""),16.0)</f>
        <v>16</v>
      </c>
      <c r="N2057" t="str">
        <f>IFERROR(__xludf.DUMMYFUNCTION("""COMPUTED_VALUE"""),"Model 3 LR AWD")</f>
        <v>Model 3 LR AWD</v>
      </c>
      <c r="O2057" t="str">
        <f>IFERROR(__xludf.DUMMYFUNCTION("""COMPUTED_VALUE"""),"Deep Blue Metallic")</f>
        <v>Deep Blue Metallic</v>
      </c>
      <c r="P2057" t="str">
        <f>IFERROR(__xludf.DUMMYFUNCTION("""COMPUTED_VALUE"""),"19 inch Sport")</f>
        <v>19 inch Sport</v>
      </c>
      <c r="Q2057" t="str">
        <f>IFERROR(__xludf.DUMMYFUNCTION("""COMPUTED_VALUE"""),"White seats")</f>
        <v>White seats</v>
      </c>
      <c r="R2057" t="str">
        <f>IFERROR(__xludf.DUMMYFUNCTION("""COMPUTED_VALUE"""),"Autopilot")</f>
        <v>Autopilot</v>
      </c>
      <c r="X2057" t="str">
        <f>IFERROR(__xludf.DUMMYFUNCTION("""COMPUTED_VALUE"""),"Very Good")</f>
        <v>Very Good</v>
      </c>
      <c r="Y2057" t="str">
        <f>IFERROR(__xludf.DUMMYFUNCTION("""COMPUTED_VALUE"""),"Very Good")</f>
        <v>Very Good</v>
      </c>
      <c r="Z2057" t="str">
        <f>IFERROR(__xludf.DUMMYFUNCTION("""COMPUTED_VALUE"""),"Excellent")</f>
        <v>Excellent</v>
      </c>
      <c r="AA2057" t="str">
        <f>IFERROR(__xludf.DUMMYFUNCTION("""COMPUTED_VALUE"""),"Good")</f>
        <v>Good</v>
      </c>
      <c r="AB2057" t="str">
        <f>IFERROR(__xludf.DUMMYFUNCTION("""COMPUTED_VALUE"""),"Excellent")</f>
        <v>Excellent</v>
      </c>
      <c r="AC2057">
        <f>IFERROR(__xludf.DUMMYFUNCTION("""COMPUTED_VALUE"""),0.0)</f>
        <v>0</v>
      </c>
      <c r="AD2057">
        <f>IFERROR(__xludf.DUMMYFUNCTION("""COMPUTED_VALUE"""),0.0)</f>
        <v>0</v>
      </c>
      <c r="AE2057">
        <f>IFERROR(__xludf.DUMMYFUNCTION("""COMPUTED_VALUE"""),0.0)</f>
        <v>0</v>
      </c>
      <c r="AG2057" t="str">
        <f>IFERROR(__xludf.DUMMYFUNCTION("""COMPUTED_VALUE"""),"VIN in Source Code 10/29; delivery confirmation same day")</f>
        <v>VIN in Source Code 10/29; delivery confirmation same day</v>
      </c>
      <c r="AH2057" s="189">
        <f>IFERROR(__xludf.DUMMYFUNCTION("""COMPUTED_VALUE"""),43802.23903320602)</f>
        <v>43802.23903</v>
      </c>
    </row>
    <row r="2058">
      <c r="A2058" t="str">
        <f>IFERROR(__xludf.DUMMYFUNCTION("""COMPUTED_VALUE"""),"Paul_AZ")</f>
        <v>Paul_AZ</v>
      </c>
      <c r="B2058" t="str">
        <f>IFERROR(__xludf.DUMMYFUNCTION("""COMPUTED_VALUE"""),"Scottsdale")</f>
        <v>Scottsdale</v>
      </c>
      <c r="C2058" t="str">
        <f>IFERROR(__xludf.DUMMYFUNCTION("""COMPUTED_VALUE"""),"AZ")</f>
        <v>AZ</v>
      </c>
      <c r="D2058" t="str">
        <f>IFERROR(__xludf.DUMMYFUNCTION("""COMPUTED_VALUE"""),"USA")</f>
        <v>USA</v>
      </c>
      <c r="E2058" s="188">
        <f>IFERROR(__xludf.DUMMYFUNCTION("""COMPUTED_VALUE"""),43757.0)</f>
        <v>43757</v>
      </c>
      <c r="F2058" s="188">
        <f>IFERROR(__xludf.DUMMYFUNCTION("""COMPUTED_VALUE"""),43792.0)</f>
        <v>43792</v>
      </c>
      <c r="H2058">
        <f>IFERROR(__xludf.DUMMYFUNCTION("""COMPUTED_VALUE"""),627455.0)</f>
        <v>627455</v>
      </c>
      <c r="I2058" t="str">
        <f>IFERROR(__xludf.DUMMYFUNCTION("""COMPUTED_VALUE"""),"11/19")</f>
        <v>11/19</v>
      </c>
      <c r="J2058" s="5">
        <f>IFERROR(__xludf.DUMMYFUNCTION("""COMPUTED_VALUE"""),43799.0)</f>
        <v>43799</v>
      </c>
      <c r="K2058">
        <f>IFERROR(__xludf.DUMMYFUNCTION("""COMPUTED_VALUE"""),35.0)</f>
        <v>35</v>
      </c>
      <c r="L2058">
        <f>IFERROR(__xludf.DUMMYFUNCTION("""COMPUTED_VALUE"""),7.0)</f>
        <v>7</v>
      </c>
      <c r="M2058">
        <f>IFERROR(__xludf.DUMMYFUNCTION("""COMPUTED_VALUE"""),42.0)</f>
        <v>42</v>
      </c>
      <c r="N2058" t="str">
        <f>IFERROR(__xludf.DUMMYFUNCTION("""COMPUTED_VALUE"""),"Model 3 LR AWD")</f>
        <v>Model 3 LR AWD</v>
      </c>
      <c r="O2058" t="str">
        <f>IFERROR(__xludf.DUMMYFUNCTION("""COMPUTED_VALUE"""),"Pearl White Multi-Coat")</f>
        <v>Pearl White Multi-Coat</v>
      </c>
      <c r="P2058" t="str">
        <f>IFERROR(__xludf.DUMMYFUNCTION("""COMPUTED_VALUE"""),"19 inch Sport")</f>
        <v>19 inch Sport</v>
      </c>
      <c r="Q2058" t="str">
        <f>IFERROR(__xludf.DUMMYFUNCTION("""COMPUTED_VALUE"""),"Black seats")</f>
        <v>Black seats</v>
      </c>
      <c r="R2058" t="str">
        <f>IFERROR(__xludf.DUMMYFUNCTION("""COMPUTED_VALUE"""),"Autopilot")</f>
        <v>Autopilot</v>
      </c>
      <c r="X2058" t="str">
        <f>IFERROR(__xludf.DUMMYFUNCTION("""COMPUTED_VALUE"""),"Excellent")</f>
        <v>Excellent</v>
      </c>
      <c r="Y2058" t="str">
        <f>IFERROR(__xludf.DUMMYFUNCTION("""COMPUTED_VALUE"""),"Excellent")</f>
        <v>Excellent</v>
      </c>
      <c r="Z2058" t="str">
        <f>IFERROR(__xludf.DUMMYFUNCTION("""COMPUTED_VALUE"""),"Excellent")</f>
        <v>Excellent</v>
      </c>
      <c r="AA2058" t="str">
        <f>IFERROR(__xludf.DUMMYFUNCTION("""COMPUTED_VALUE"""),"Fair")</f>
        <v>Fair</v>
      </c>
      <c r="AB2058" t="str">
        <f>IFERROR(__xludf.DUMMYFUNCTION("""COMPUTED_VALUE"""),"Very Good")</f>
        <v>Very Good</v>
      </c>
      <c r="AC2058">
        <f>IFERROR(__xludf.DUMMYFUNCTION("""COMPUTED_VALUE"""),0.0)</f>
        <v>0</v>
      </c>
      <c r="AD2058">
        <f>IFERROR(__xludf.DUMMYFUNCTION("""COMPUTED_VALUE"""),0.0)</f>
        <v>0</v>
      </c>
      <c r="AE2058">
        <f>IFERROR(__xludf.DUMMYFUNCTION("""COMPUTED_VALUE"""),0.0)</f>
        <v>0</v>
      </c>
      <c r="AG2058" t="str">
        <f>IFERROR(__xludf.DUMMYFUNCTION("""COMPUTED_VALUE"""),"SA was useless, called a different SA and upgraded to Sleeper model, 7 days later picked up the car. ")</f>
        <v>SA was useless, called a different SA and upgraded to Sleeper model, 7 days later picked up the car. </v>
      </c>
      <c r="AH2058" s="189">
        <f>IFERROR(__xludf.DUMMYFUNCTION("""COMPUTED_VALUE"""),43802.67552866898)</f>
        <v>43802.67553</v>
      </c>
    </row>
    <row r="2059">
      <c r="A2059" t="str">
        <f>IFERROR(__xludf.DUMMYFUNCTION("""COMPUTED_VALUE"""),"tren01t")</f>
        <v>tren01t</v>
      </c>
      <c r="B2059" t="str">
        <f>IFERROR(__xludf.DUMMYFUNCTION("""COMPUTED_VALUE"""),"Moreno Valley")</f>
        <v>Moreno Valley</v>
      </c>
      <c r="C2059" t="str">
        <f>IFERROR(__xludf.DUMMYFUNCTION("""COMPUTED_VALUE"""),"CA")</f>
        <v>CA</v>
      </c>
      <c r="D2059" t="str">
        <f>IFERROR(__xludf.DUMMYFUNCTION("""COMPUTED_VALUE"""),"USA")</f>
        <v>USA</v>
      </c>
      <c r="E2059" s="188">
        <f>IFERROR(__xludf.DUMMYFUNCTION("""COMPUTED_VALUE"""),43760.0)</f>
        <v>43760</v>
      </c>
      <c r="F2059" s="188">
        <f>IFERROR(__xludf.DUMMYFUNCTION("""COMPUTED_VALUE"""),43794.0)</f>
        <v>43794</v>
      </c>
      <c r="H2059">
        <f>IFERROR(__xludf.DUMMYFUNCTION("""COMPUTED_VALUE"""),590575.0)</f>
        <v>590575</v>
      </c>
      <c r="J2059" s="5">
        <f>IFERROR(__xludf.DUMMYFUNCTION("""COMPUTED_VALUE"""),43803.0)</f>
        <v>43803</v>
      </c>
      <c r="K2059">
        <f>IFERROR(__xludf.DUMMYFUNCTION("""COMPUTED_VALUE"""),34.0)</f>
        <v>34</v>
      </c>
      <c r="L2059">
        <f>IFERROR(__xludf.DUMMYFUNCTION("""COMPUTED_VALUE"""),9.0)</f>
        <v>9</v>
      </c>
      <c r="M2059">
        <f>IFERROR(__xludf.DUMMYFUNCTION("""COMPUTED_VALUE"""),43.0)</f>
        <v>43</v>
      </c>
      <c r="N2059" t="str">
        <f>IFERROR(__xludf.DUMMYFUNCTION("""COMPUTED_VALUE"""),"Model 3 SR+")</f>
        <v>Model 3 SR+</v>
      </c>
      <c r="O2059" t="str">
        <f>IFERROR(__xludf.DUMMYFUNCTION("""COMPUTED_VALUE"""),"Pearl White Multi-Coat")</f>
        <v>Pearl White Multi-Coat</v>
      </c>
      <c r="P2059" t="str">
        <f>IFERROR(__xludf.DUMMYFUNCTION("""COMPUTED_VALUE"""),"18 inch Aero")</f>
        <v>18 inch Aero</v>
      </c>
      <c r="Q2059" t="str">
        <f>IFERROR(__xludf.DUMMYFUNCTION("""COMPUTED_VALUE"""),"Black seats")</f>
        <v>Black seats</v>
      </c>
      <c r="R2059" t="str">
        <f>IFERROR(__xludf.DUMMYFUNCTION("""COMPUTED_VALUE"""),"Autopilot")</f>
        <v>Autopilot</v>
      </c>
      <c r="X2059" t="str">
        <f>IFERROR(__xludf.DUMMYFUNCTION("""COMPUTED_VALUE"""),"Excellent")</f>
        <v>Excellent</v>
      </c>
      <c r="Y2059" t="str">
        <f>IFERROR(__xludf.DUMMYFUNCTION("""COMPUTED_VALUE"""),"Very Good")</f>
        <v>Very Good</v>
      </c>
      <c r="Z2059" t="str">
        <f>IFERROR(__xludf.DUMMYFUNCTION("""COMPUTED_VALUE"""),"Very Good")</f>
        <v>Very Good</v>
      </c>
      <c r="AA2059" t="str">
        <f>IFERROR(__xludf.DUMMYFUNCTION("""COMPUTED_VALUE"""),"Very Good")</f>
        <v>Very Good</v>
      </c>
      <c r="AB2059" t="str">
        <f>IFERROR(__xludf.DUMMYFUNCTION("""COMPUTED_VALUE"""),"Fair")</f>
        <v>Fair</v>
      </c>
      <c r="AG2059" t="str">
        <f>IFERROR(__xludf.DUMMYFUNCTION("""COMPUTED_VALUE"""),"Source code VIN as of 11/25/19")</f>
        <v>Source code VIN as of 11/25/19</v>
      </c>
      <c r="AH2059" s="189">
        <f>IFERROR(__xludf.DUMMYFUNCTION("""COMPUTED_VALUE"""),43803.29981899305)</f>
        <v>43803.29982</v>
      </c>
    </row>
    <row r="2060">
      <c r="A2060" t="str">
        <f>IFERROR(__xludf.DUMMYFUNCTION("""COMPUTED_VALUE"""),"Kmann1994")</f>
        <v>Kmann1994</v>
      </c>
      <c r="B2060" t="str">
        <f>IFERROR(__xludf.DUMMYFUNCTION("""COMPUTED_VALUE"""),"Phoenix")</f>
        <v>Phoenix</v>
      </c>
      <c r="C2060" t="str">
        <f>IFERROR(__xludf.DUMMYFUNCTION("""COMPUTED_VALUE"""),"AZ")</f>
        <v>AZ</v>
      </c>
      <c r="D2060" t="str">
        <f>IFERROR(__xludf.DUMMYFUNCTION("""COMPUTED_VALUE"""),"USA")</f>
        <v>USA</v>
      </c>
      <c r="E2060" s="188">
        <f>IFERROR(__xludf.DUMMYFUNCTION("""COMPUTED_VALUE"""),43743.0)</f>
        <v>43743</v>
      </c>
      <c r="F2060" s="188">
        <f>IFERROR(__xludf.DUMMYFUNCTION("""COMPUTED_VALUE"""),43789.0)</f>
        <v>43789</v>
      </c>
      <c r="H2060">
        <f>IFERROR(__xludf.DUMMYFUNCTION("""COMPUTED_VALUE"""),627560.0)</f>
        <v>627560</v>
      </c>
      <c r="I2060" t="str">
        <f>IFERROR(__xludf.DUMMYFUNCTION("""COMPUTED_VALUE"""),"11/19")</f>
        <v>11/19</v>
      </c>
      <c r="J2060" s="5">
        <f>IFERROR(__xludf.DUMMYFUNCTION("""COMPUTED_VALUE"""),43800.0)</f>
        <v>43800</v>
      </c>
      <c r="K2060">
        <f>IFERROR(__xludf.DUMMYFUNCTION("""COMPUTED_VALUE"""),46.0)</f>
        <v>46</v>
      </c>
      <c r="L2060">
        <f>IFERROR(__xludf.DUMMYFUNCTION("""COMPUTED_VALUE"""),11.0)</f>
        <v>11</v>
      </c>
      <c r="M2060">
        <f>IFERROR(__xludf.DUMMYFUNCTION("""COMPUTED_VALUE"""),57.0)</f>
        <v>57</v>
      </c>
      <c r="N2060" t="str">
        <f>IFERROR(__xludf.DUMMYFUNCTION("""COMPUTED_VALUE"""),"Model 3 Performance")</f>
        <v>Model 3 Performance</v>
      </c>
      <c r="O2060" t="str">
        <f>IFERROR(__xludf.DUMMYFUNCTION("""COMPUTED_VALUE"""),"Pearl White Multi-Coat")</f>
        <v>Pearl White Multi-Coat</v>
      </c>
      <c r="P2060" t="str">
        <f>IFERROR(__xludf.DUMMYFUNCTION("""COMPUTED_VALUE"""),"19 inch Sport")</f>
        <v>19 inch Sport</v>
      </c>
      <c r="Q2060" t="str">
        <f>IFERROR(__xludf.DUMMYFUNCTION("""COMPUTED_VALUE"""),"Black seats")</f>
        <v>Black seats</v>
      </c>
      <c r="R2060" t="str">
        <f>IFERROR(__xludf.DUMMYFUNCTION("""COMPUTED_VALUE"""),"Full Self-Driving")</f>
        <v>Full Self-Driving</v>
      </c>
      <c r="X2060" t="str">
        <f>IFERROR(__xludf.DUMMYFUNCTION("""COMPUTED_VALUE"""),"Excellent")</f>
        <v>Excellent</v>
      </c>
      <c r="Y2060" t="str">
        <f>IFERROR(__xludf.DUMMYFUNCTION("""COMPUTED_VALUE"""),"Excellent")</f>
        <v>Excellent</v>
      </c>
      <c r="Z2060" t="str">
        <f>IFERROR(__xludf.DUMMYFUNCTION("""COMPUTED_VALUE"""),"Excellent")</f>
        <v>Excellent</v>
      </c>
      <c r="AA2060" t="str">
        <f>IFERROR(__xludf.DUMMYFUNCTION("""COMPUTED_VALUE"""),"Good")</f>
        <v>Good</v>
      </c>
      <c r="AB2060" t="str">
        <f>IFERROR(__xludf.DUMMYFUNCTION("""COMPUTED_VALUE"""),"Excellent")</f>
        <v>Excellent</v>
      </c>
      <c r="AC2060">
        <f>IFERROR(__xludf.DUMMYFUNCTION("""COMPUTED_VALUE"""),2.0)</f>
        <v>2</v>
      </c>
      <c r="AD2060">
        <f>IFERROR(__xludf.DUMMYFUNCTION("""COMPUTED_VALUE"""),1.0)</f>
        <v>1</v>
      </c>
      <c r="AE2060">
        <f>IFERROR(__xludf.DUMMYFUNCTION("""COMPUTED_VALUE"""),0.0)</f>
        <v>0</v>
      </c>
      <c r="AG2060" t="str">
        <f>IFERROR(__xludf.DUMMYFUNCTION("""COMPUTED_VALUE"""),"Switched to Stealth Performance on Nov 20, got VIN right away in source code. Waiting for delivery text.")</f>
        <v>Switched to Stealth Performance on Nov 20, got VIN right away in source code. Waiting for delivery text.</v>
      </c>
      <c r="AH2060" s="189">
        <f>IFERROR(__xludf.DUMMYFUNCTION("""COMPUTED_VALUE"""),43803.3369466088)</f>
        <v>43803.33695</v>
      </c>
    </row>
    <row r="2061">
      <c r="A2061" t="str">
        <f>IFERROR(__xludf.DUMMYFUNCTION("""COMPUTED_VALUE"""),"ValXp")</f>
        <v>ValXp</v>
      </c>
      <c r="B2061" t="str">
        <f>IFERROR(__xludf.DUMMYFUNCTION("""COMPUTED_VALUE"""),"Denver")</f>
        <v>Denver</v>
      </c>
      <c r="C2061" t="str">
        <f>IFERROR(__xludf.DUMMYFUNCTION("""COMPUTED_VALUE"""),"CO")</f>
        <v>CO</v>
      </c>
      <c r="D2061" t="str">
        <f>IFERROR(__xludf.DUMMYFUNCTION("""COMPUTED_VALUE"""),"USA")</f>
        <v>USA</v>
      </c>
      <c r="E2061" s="188">
        <f>IFERROR(__xludf.DUMMYFUNCTION("""COMPUTED_VALUE"""),43760.0)</f>
        <v>43760</v>
      </c>
      <c r="F2061" s="188">
        <f>IFERROR(__xludf.DUMMYFUNCTION("""COMPUTED_VALUE"""),43789.0)</f>
        <v>43789</v>
      </c>
      <c r="H2061">
        <f>IFERROR(__xludf.DUMMYFUNCTION("""COMPUTED_VALUE"""),602570.0)</f>
        <v>602570</v>
      </c>
      <c r="I2061" t="str">
        <f>IFERROR(__xludf.DUMMYFUNCTION("""COMPUTED_VALUE"""),"11/19")</f>
        <v>11/19</v>
      </c>
      <c r="J2061" s="5">
        <f>IFERROR(__xludf.DUMMYFUNCTION("""COMPUTED_VALUE"""),43802.0)</f>
        <v>43802</v>
      </c>
      <c r="K2061">
        <f>IFERROR(__xludf.DUMMYFUNCTION("""COMPUTED_VALUE"""),29.0)</f>
        <v>29</v>
      </c>
      <c r="L2061">
        <f>IFERROR(__xludf.DUMMYFUNCTION("""COMPUTED_VALUE"""),13.0)</f>
        <v>13</v>
      </c>
      <c r="M2061">
        <f>IFERROR(__xludf.DUMMYFUNCTION("""COMPUTED_VALUE"""),42.0)</f>
        <v>42</v>
      </c>
      <c r="N2061" t="str">
        <f>IFERROR(__xludf.DUMMYFUNCTION("""COMPUTED_VALUE"""),"Model 3 Performance")</f>
        <v>Model 3 Performance</v>
      </c>
      <c r="O2061" t="str">
        <f>IFERROR(__xludf.DUMMYFUNCTION("""COMPUTED_VALUE"""),"Pearl White Multi-Coat")</f>
        <v>Pearl White Multi-Coat</v>
      </c>
      <c r="P2061" t="str">
        <f>IFERROR(__xludf.DUMMYFUNCTION("""COMPUTED_VALUE"""),"18 inch Aero")</f>
        <v>18 inch Aero</v>
      </c>
      <c r="Q2061" t="str">
        <f>IFERROR(__xludf.DUMMYFUNCTION("""COMPUTED_VALUE"""),"Black seats")</f>
        <v>Black seats</v>
      </c>
      <c r="R2061" t="str">
        <f>IFERROR(__xludf.DUMMYFUNCTION("""COMPUTED_VALUE"""),"Full Self-Driving")</f>
        <v>Full Self-Driving</v>
      </c>
      <c r="X2061" t="str">
        <f>IFERROR(__xludf.DUMMYFUNCTION("""COMPUTED_VALUE"""),"Good")</f>
        <v>Good</v>
      </c>
      <c r="Y2061" t="str">
        <f>IFERROR(__xludf.DUMMYFUNCTION("""COMPUTED_VALUE"""),"Excellent")</f>
        <v>Excellent</v>
      </c>
      <c r="Z2061" t="str">
        <f>IFERROR(__xludf.DUMMYFUNCTION("""COMPUTED_VALUE"""),"Excellent")</f>
        <v>Excellent</v>
      </c>
      <c r="AA2061" t="str">
        <f>IFERROR(__xludf.DUMMYFUNCTION("""COMPUTED_VALUE"""),"Good")</f>
        <v>Good</v>
      </c>
      <c r="AB2061" t="str">
        <f>IFERROR(__xludf.DUMMYFUNCTION("""COMPUTED_VALUE"""),"Excellent")</f>
        <v>Excellent</v>
      </c>
      <c r="AC2061">
        <f>IFERROR(__xludf.DUMMYFUNCTION("""COMPUTED_VALUE"""),1.0)</f>
        <v>1</v>
      </c>
      <c r="AD2061">
        <f>IFERROR(__xludf.DUMMYFUNCTION("""COMPUTED_VALUE"""),1.0)</f>
        <v>1</v>
      </c>
      <c r="AG2061" t="str">
        <f>IFERROR(__xludf.DUMMYFUNCTION("""COMPUTED_VALUE"""),"Originally SR+. Changed to LR AWD on 11/7. Got stealth on 11/20. Added FSD. Estimated delivery around 12/5. ")</f>
        <v>Originally SR+. Changed to LR AWD on 11/7. Got stealth on 11/20. Added FSD. Estimated delivery around 12/5. </v>
      </c>
      <c r="AH2061" s="189">
        <f>IFERROR(__xludf.DUMMYFUNCTION("""COMPUTED_VALUE"""),43803.36866864584)</f>
        <v>43803.36867</v>
      </c>
    </row>
    <row r="2062">
      <c r="A2062" t="str">
        <f>IFERROR(__xludf.DUMMYFUNCTION("""COMPUTED_VALUE"""),"ej10")</f>
        <v>ej10</v>
      </c>
      <c r="B2062" t="str">
        <f>IFERROR(__xludf.DUMMYFUNCTION("""COMPUTED_VALUE"""),"Santa Barbara")</f>
        <v>Santa Barbara</v>
      </c>
      <c r="C2062" t="str">
        <f>IFERROR(__xludf.DUMMYFUNCTION("""COMPUTED_VALUE"""),"CA")</f>
        <v>CA</v>
      </c>
      <c r="D2062" t="str">
        <f>IFERROR(__xludf.DUMMYFUNCTION("""COMPUTED_VALUE"""),"USA")</f>
        <v>USA</v>
      </c>
      <c r="E2062" s="188">
        <f>IFERROR(__xludf.DUMMYFUNCTION("""COMPUTED_VALUE"""),43758.0)</f>
        <v>43758</v>
      </c>
      <c r="F2062" s="188">
        <f>IFERROR(__xludf.DUMMYFUNCTION("""COMPUTED_VALUE"""),43795.0)</f>
        <v>43795</v>
      </c>
      <c r="H2062">
        <f>IFERROR(__xludf.DUMMYFUNCTION("""COMPUTED_VALUE"""),599355.0)</f>
        <v>599355</v>
      </c>
      <c r="J2062" s="5">
        <f>IFERROR(__xludf.DUMMYFUNCTION("""COMPUTED_VALUE"""),43802.0)</f>
        <v>43802</v>
      </c>
      <c r="K2062">
        <f>IFERROR(__xludf.DUMMYFUNCTION("""COMPUTED_VALUE"""),37.0)</f>
        <v>37</v>
      </c>
      <c r="L2062">
        <f>IFERROR(__xludf.DUMMYFUNCTION("""COMPUTED_VALUE"""),7.0)</f>
        <v>7</v>
      </c>
      <c r="M2062">
        <f>IFERROR(__xludf.DUMMYFUNCTION("""COMPUTED_VALUE"""),44.0)</f>
        <v>44</v>
      </c>
      <c r="N2062" t="str">
        <f>IFERROR(__xludf.DUMMYFUNCTION("""COMPUTED_VALUE"""),"Model 3 SR+")</f>
        <v>Model 3 SR+</v>
      </c>
      <c r="O2062" t="str">
        <f>IFERROR(__xludf.DUMMYFUNCTION("""COMPUTED_VALUE"""),"Pearl White Multi-Coat")</f>
        <v>Pearl White Multi-Coat</v>
      </c>
      <c r="P2062" t="str">
        <f>IFERROR(__xludf.DUMMYFUNCTION("""COMPUTED_VALUE"""),"19 inch Sport")</f>
        <v>19 inch Sport</v>
      </c>
      <c r="Q2062" t="str">
        <f>IFERROR(__xludf.DUMMYFUNCTION("""COMPUTED_VALUE"""),"White seats")</f>
        <v>White seats</v>
      </c>
      <c r="R2062" t="str">
        <f>IFERROR(__xludf.DUMMYFUNCTION("""COMPUTED_VALUE"""),"Autopilot")</f>
        <v>Autopilot</v>
      </c>
      <c r="X2062" t="str">
        <f>IFERROR(__xludf.DUMMYFUNCTION("""COMPUTED_VALUE"""),"Excellent")</f>
        <v>Excellent</v>
      </c>
      <c r="Y2062" t="str">
        <f>IFERROR(__xludf.DUMMYFUNCTION("""COMPUTED_VALUE"""),"Excellent")</f>
        <v>Excellent</v>
      </c>
      <c r="Z2062" t="str">
        <f>IFERROR(__xludf.DUMMYFUNCTION("""COMPUTED_VALUE"""),"Excellent")</f>
        <v>Excellent</v>
      </c>
      <c r="AA2062" t="str">
        <f>IFERROR(__xludf.DUMMYFUNCTION("""COMPUTED_VALUE"""),"Excellent")</f>
        <v>Excellent</v>
      </c>
      <c r="AB2062" t="str">
        <f>IFERROR(__xludf.DUMMYFUNCTION("""COMPUTED_VALUE"""),"Excellent")</f>
        <v>Excellent</v>
      </c>
      <c r="AC2062">
        <f>IFERROR(__xludf.DUMMYFUNCTION("""COMPUTED_VALUE"""),0.0)</f>
        <v>0</v>
      </c>
      <c r="AH2062" s="189">
        <f>IFERROR(__xludf.DUMMYFUNCTION("""COMPUTED_VALUE"""),43803.40720403935)</f>
        <v>43803.4072</v>
      </c>
    </row>
    <row r="2063">
      <c r="A2063" t="str">
        <f>IFERROR(__xludf.DUMMYFUNCTION("""COMPUTED_VALUE"""),"2020Reset")</f>
        <v>2020Reset</v>
      </c>
      <c r="B2063" t="str">
        <f>IFERROR(__xludf.DUMMYFUNCTION("""COMPUTED_VALUE"""),"San Diego")</f>
        <v>San Diego</v>
      </c>
      <c r="C2063" t="str">
        <f>IFERROR(__xludf.DUMMYFUNCTION("""COMPUTED_VALUE"""),"CA")</f>
        <v>CA</v>
      </c>
      <c r="D2063" t="str">
        <f>IFERROR(__xludf.DUMMYFUNCTION("""COMPUTED_VALUE"""),"USA")</f>
        <v>USA</v>
      </c>
      <c r="E2063" s="188">
        <f>IFERROR(__xludf.DUMMYFUNCTION("""COMPUTED_VALUE"""),43791.0)</f>
        <v>43791</v>
      </c>
      <c r="F2063" s="188">
        <f>IFERROR(__xludf.DUMMYFUNCTION("""COMPUTED_VALUE"""),43792.0)</f>
        <v>43792</v>
      </c>
      <c r="H2063">
        <f>IFERROR(__xludf.DUMMYFUNCTION("""COMPUTED_VALUE"""),601647.0)</f>
        <v>601647</v>
      </c>
      <c r="I2063" t="str">
        <f>IFERROR(__xludf.DUMMYFUNCTION("""COMPUTED_VALUE"""),"11/19")</f>
        <v>11/19</v>
      </c>
      <c r="J2063" s="5">
        <f>IFERROR(__xludf.DUMMYFUNCTION("""COMPUTED_VALUE"""),43799.0)</f>
        <v>43799</v>
      </c>
      <c r="K2063">
        <f>IFERROR(__xludf.DUMMYFUNCTION("""COMPUTED_VALUE"""),1.0)</f>
        <v>1</v>
      </c>
      <c r="L2063">
        <f>IFERROR(__xludf.DUMMYFUNCTION("""COMPUTED_VALUE"""),7.0)</f>
        <v>7</v>
      </c>
      <c r="M2063">
        <f>IFERROR(__xludf.DUMMYFUNCTION("""COMPUTED_VALUE"""),8.0)</f>
        <v>8</v>
      </c>
      <c r="N2063" t="str">
        <f>IFERROR(__xludf.DUMMYFUNCTION("""COMPUTED_VALUE"""),"Model 3 Performance")</f>
        <v>Model 3 Performance</v>
      </c>
      <c r="O2063" t="str">
        <f>IFERROR(__xludf.DUMMYFUNCTION("""COMPUTED_VALUE"""),"Midnight Silver Metallic")</f>
        <v>Midnight Silver Metallic</v>
      </c>
      <c r="P2063" t="str">
        <f>IFERROR(__xludf.DUMMYFUNCTION("""COMPUTED_VALUE"""),"18 inch Aero")</f>
        <v>18 inch Aero</v>
      </c>
      <c r="Q2063" t="str">
        <f>IFERROR(__xludf.DUMMYFUNCTION("""COMPUTED_VALUE"""),"Black seats")</f>
        <v>Black seats</v>
      </c>
      <c r="R2063" t="str">
        <f>IFERROR(__xludf.DUMMYFUNCTION("""COMPUTED_VALUE"""),"Full Self-Driving")</f>
        <v>Full Self-Driving</v>
      </c>
      <c r="X2063" t="str">
        <f>IFERROR(__xludf.DUMMYFUNCTION("""COMPUTED_VALUE"""),"Excellent")</f>
        <v>Excellent</v>
      </c>
      <c r="Y2063" t="str">
        <f>IFERROR(__xludf.DUMMYFUNCTION("""COMPUTED_VALUE"""),"Excellent")</f>
        <v>Excellent</v>
      </c>
      <c r="Z2063" t="str">
        <f>IFERROR(__xludf.DUMMYFUNCTION("""COMPUTED_VALUE"""),"Excellent")</f>
        <v>Excellent</v>
      </c>
      <c r="AA2063" t="str">
        <f>IFERROR(__xludf.DUMMYFUNCTION("""COMPUTED_VALUE"""),"Good")</f>
        <v>Good</v>
      </c>
      <c r="AB2063" t="str">
        <f>IFERROR(__xludf.DUMMYFUNCTION("""COMPUTED_VALUE"""),"Very Good")</f>
        <v>Very Good</v>
      </c>
      <c r="AH2063" s="189">
        <f>IFERROR(__xludf.DUMMYFUNCTION("""COMPUTED_VALUE"""),43803.413523090276)</f>
        <v>43803.41352</v>
      </c>
    </row>
    <row r="2064">
      <c r="A2064" t="str">
        <f>IFERROR(__xludf.DUMMYFUNCTION("""COMPUTED_VALUE"""),"Hockeyjon")</f>
        <v>Hockeyjon</v>
      </c>
      <c r="B2064" t="str">
        <f>IFERROR(__xludf.DUMMYFUNCTION("""COMPUTED_VALUE"""),"Los Angeles")</f>
        <v>Los Angeles</v>
      </c>
      <c r="C2064" t="str">
        <f>IFERROR(__xludf.DUMMYFUNCTION("""COMPUTED_VALUE"""),"CA")</f>
        <v>CA</v>
      </c>
      <c r="D2064" t="str">
        <f>IFERROR(__xludf.DUMMYFUNCTION("""COMPUTED_VALUE"""),"USA")</f>
        <v>USA</v>
      </c>
      <c r="E2064" s="188">
        <f>IFERROR(__xludf.DUMMYFUNCTION("""COMPUTED_VALUE"""),43757.0)</f>
        <v>43757</v>
      </c>
      <c r="F2064" s="188">
        <f>IFERROR(__xludf.DUMMYFUNCTION("""COMPUTED_VALUE"""),43796.0)</f>
        <v>43796</v>
      </c>
      <c r="H2064">
        <f>IFERROR(__xludf.DUMMYFUNCTION("""COMPUTED_VALUE"""),597255.0)</f>
        <v>597255</v>
      </c>
      <c r="J2064" s="5">
        <f>IFERROR(__xludf.DUMMYFUNCTION("""COMPUTED_VALUE"""),43802.0)</f>
        <v>43802</v>
      </c>
      <c r="K2064">
        <f>IFERROR(__xludf.DUMMYFUNCTION("""COMPUTED_VALUE"""),39.0)</f>
        <v>39</v>
      </c>
      <c r="L2064">
        <f>IFERROR(__xludf.DUMMYFUNCTION("""COMPUTED_VALUE"""),6.0)</f>
        <v>6</v>
      </c>
      <c r="M2064">
        <f>IFERROR(__xludf.DUMMYFUNCTION("""COMPUTED_VALUE"""),45.0)</f>
        <v>45</v>
      </c>
      <c r="N2064" t="str">
        <f>IFERROR(__xludf.DUMMYFUNCTION("""COMPUTED_VALUE"""),"Model 3 SR+")</f>
        <v>Model 3 SR+</v>
      </c>
      <c r="O2064" t="str">
        <f>IFERROR(__xludf.DUMMYFUNCTION("""COMPUTED_VALUE"""),"Deep Blue Metallic")</f>
        <v>Deep Blue Metallic</v>
      </c>
      <c r="P2064" t="str">
        <f>IFERROR(__xludf.DUMMYFUNCTION("""COMPUTED_VALUE"""),"18 inch Aero")</f>
        <v>18 inch Aero</v>
      </c>
      <c r="Q2064" t="str">
        <f>IFERROR(__xludf.DUMMYFUNCTION("""COMPUTED_VALUE"""),"Black seats")</f>
        <v>Black seats</v>
      </c>
      <c r="R2064" t="str">
        <f>IFERROR(__xludf.DUMMYFUNCTION("""COMPUTED_VALUE"""),"Autopilot")</f>
        <v>Autopilot</v>
      </c>
      <c r="X2064" t="str">
        <f>IFERROR(__xludf.DUMMYFUNCTION("""COMPUTED_VALUE"""),"Excellent")</f>
        <v>Excellent</v>
      </c>
      <c r="Y2064" t="str">
        <f>IFERROR(__xludf.DUMMYFUNCTION("""COMPUTED_VALUE"""),"Excellent")</f>
        <v>Excellent</v>
      </c>
      <c r="Z2064" t="str">
        <f>IFERROR(__xludf.DUMMYFUNCTION("""COMPUTED_VALUE"""),"Excellent")</f>
        <v>Excellent</v>
      </c>
      <c r="AA2064" t="str">
        <f>IFERROR(__xludf.DUMMYFUNCTION("""COMPUTED_VALUE"""),"Poor")</f>
        <v>Poor</v>
      </c>
      <c r="AB2064" t="str">
        <f>IFERROR(__xludf.DUMMYFUNCTION("""COMPUTED_VALUE"""),"Excellent")</f>
        <v>Excellent</v>
      </c>
      <c r="AH2064" s="189">
        <f>IFERROR(__xludf.DUMMYFUNCTION("""COMPUTED_VALUE"""),43803.639007708334)</f>
        <v>43803.63901</v>
      </c>
    </row>
    <row r="2065">
      <c r="A2065" t="str">
        <f>IFERROR(__xludf.DUMMYFUNCTION("""COMPUTED_VALUE"""),"djf")</f>
        <v>djf</v>
      </c>
      <c r="B2065" t="str">
        <f>IFERROR(__xludf.DUMMYFUNCTION("""COMPUTED_VALUE"""),"Santa Rosa")</f>
        <v>Santa Rosa</v>
      </c>
      <c r="C2065" t="str">
        <f>IFERROR(__xludf.DUMMYFUNCTION("""COMPUTED_VALUE"""),"CA")</f>
        <v>CA</v>
      </c>
      <c r="D2065" t="str">
        <f>IFERROR(__xludf.DUMMYFUNCTION("""COMPUTED_VALUE"""),"USA")</f>
        <v>USA</v>
      </c>
      <c r="E2065" s="188">
        <f>IFERROR(__xludf.DUMMYFUNCTION("""COMPUTED_VALUE"""),43762.0)</f>
        <v>43762</v>
      </c>
      <c r="F2065" s="188">
        <f>IFERROR(__xludf.DUMMYFUNCTION("""COMPUTED_VALUE"""),43799.0)</f>
        <v>43799</v>
      </c>
      <c r="H2065" s="4">
        <f>IFERROR(__xludf.DUMMYFUNCTION("""COMPUTED_VALUE"""),627388.0)</f>
        <v>627388</v>
      </c>
      <c r="I2065" t="str">
        <f>IFERROR(__xludf.DUMMYFUNCTION("""COMPUTED_VALUE"""),"11/19")</f>
        <v>11/19</v>
      </c>
      <c r="J2065" s="5">
        <f>IFERROR(__xludf.DUMMYFUNCTION("""COMPUTED_VALUE"""),43803.0)</f>
        <v>43803</v>
      </c>
      <c r="K2065">
        <f>IFERROR(__xludf.DUMMYFUNCTION("""COMPUTED_VALUE"""),37.0)</f>
        <v>37</v>
      </c>
      <c r="L2065">
        <f>IFERROR(__xludf.DUMMYFUNCTION("""COMPUTED_VALUE"""),4.0)</f>
        <v>4</v>
      </c>
      <c r="M2065">
        <f>IFERROR(__xludf.DUMMYFUNCTION("""COMPUTED_VALUE"""),41.0)</f>
        <v>41</v>
      </c>
      <c r="N2065" t="str">
        <f>IFERROR(__xludf.DUMMYFUNCTION("""COMPUTED_VALUE"""),"Model 3 Performance")</f>
        <v>Model 3 Performance</v>
      </c>
      <c r="O2065" t="str">
        <f>IFERROR(__xludf.DUMMYFUNCTION("""COMPUTED_VALUE"""),"Deep Blue Metallic")</f>
        <v>Deep Blue Metallic</v>
      </c>
      <c r="P2065" t="str">
        <f>IFERROR(__xludf.DUMMYFUNCTION("""COMPUTED_VALUE"""),"19 inch Sport")</f>
        <v>19 inch Sport</v>
      </c>
      <c r="Q2065" t="str">
        <f>IFERROR(__xludf.DUMMYFUNCTION("""COMPUTED_VALUE"""),"Black seats")</f>
        <v>Black seats</v>
      </c>
      <c r="R2065" t="str">
        <f>IFERROR(__xludf.DUMMYFUNCTION("""COMPUTED_VALUE"""),"Autopilot")</f>
        <v>Autopilot</v>
      </c>
      <c r="X2065" t="str">
        <f>IFERROR(__xludf.DUMMYFUNCTION("""COMPUTED_VALUE"""),"Excellent")</f>
        <v>Excellent</v>
      </c>
      <c r="Y2065" t="str">
        <f>IFERROR(__xludf.DUMMYFUNCTION("""COMPUTED_VALUE"""),"Excellent")</f>
        <v>Excellent</v>
      </c>
      <c r="Z2065" t="str">
        <f>IFERROR(__xludf.DUMMYFUNCTION("""COMPUTED_VALUE"""),"Excellent")</f>
        <v>Excellent</v>
      </c>
      <c r="AA2065" t="str">
        <f>IFERROR(__xludf.DUMMYFUNCTION("""COMPUTED_VALUE"""),"Excellent")</f>
        <v>Excellent</v>
      </c>
      <c r="AB2065" t="str">
        <f>IFERROR(__xludf.DUMMYFUNCTION("""COMPUTED_VALUE"""),"Excellent")</f>
        <v>Excellent</v>
      </c>
      <c r="AG2065" t="str">
        <f>IFERROR(__xludf.DUMMYFUNCTION("""COMPUTED_VALUE"""),"Upgraded from AWD to Stealth Performance")</f>
        <v>Upgraded from AWD to Stealth Performance</v>
      </c>
      <c r="AH2065" s="189">
        <f>IFERROR(__xludf.DUMMYFUNCTION("""COMPUTED_VALUE"""),43804.737736446754)</f>
        <v>43804.73774</v>
      </c>
    </row>
    <row r="2066">
      <c r="A2066" t="str">
        <f>IFERROR(__xludf.DUMMYFUNCTION("""COMPUTED_VALUE"""),"nofo0l")</f>
        <v>nofo0l</v>
      </c>
      <c r="B2066" t="str">
        <f>IFERROR(__xludf.DUMMYFUNCTION("""COMPUTED_VALUE"""),"Nashville")</f>
        <v>Nashville</v>
      </c>
      <c r="C2066" t="str">
        <f>IFERROR(__xludf.DUMMYFUNCTION("""COMPUTED_VALUE"""),"TN")</f>
        <v>TN</v>
      </c>
      <c r="D2066" t="str">
        <f>IFERROR(__xludf.DUMMYFUNCTION("""COMPUTED_VALUE"""),"USA")</f>
        <v>USA</v>
      </c>
      <c r="E2066" s="188">
        <f>IFERROR(__xludf.DUMMYFUNCTION("""COMPUTED_VALUE"""),43768.0)</f>
        <v>43768</v>
      </c>
      <c r="F2066" s="188">
        <f>IFERROR(__xludf.DUMMYFUNCTION("""COMPUTED_VALUE"""),43797.0)</f>
        <v>43797</v>
      </c>
      <c r="H2066">
        <f>IFERROR(__xludf.DUMMYFUNCTION("""COMPUTED_VALUE"""),598755.0)</f>
        <v>598755</v>
      </c>
      <c r="I2066" t="str">
        <f>IFERROR(__xludf.DUMMYFUNCTION("""COMPUTED_VALUE"""),"11/19")</f>
        <v>11/19</v>
      </c>
      <c r="J2066" s="5">
        <f>IFERROR(__xludf.DUMMYFUNCTION("""COMPUTED_VALUE"""),43805.0)</f>
        <v>43805</v>
      </c>
      <c r="K2066">
        <f>IFERROR(__xludf.DUMMYFUNCTION("""COMPUTED_VALUE"""),29.0)</f>
        <v>29</v>
      </c>
      <c r="L2066">
        <f>IFERROR(__xludf.DUMMYFUNCTION("""COMPUTED_VALUE"""),8.0)</f>
        <v>8</v>
      </c>
      <c r="M2066">
        <f>IFERROR(__xludf.DUMMYFUNCTION("""COMPUTED_VALUE"""),37.0)</f>
        <v>37</v>
      </c>
      <c r="N2066" t="str">
        <f>IFERROR(__xludf.DUMMYFUNCTION("""COMPUTED_VALUE"""),"Model 3 SR+")</f>
        <v>Model 3 SR+</v>
      </c>
      <c r="O2066" t="str">
        <f>IFERROR(__xludf.DUMMYFUNCTION("""COMPUTED_VALUE"""),"Pearl White Multi-Coat")</f>
        <v>Pearl White Multi-Coat</v>
      </c>
      <c r="P2066" t="str">
        <f>IFERROR(__xludf.DUMMYFUNCTION("""COMPUTED_VALUE"""),"19 inch Sport")</f>
        <v>19 inch Sport</v>
      </c>
      <c r="Q2066" t="str">
        <f>IFERROR(__xludf.DUMMYFUNCTION("""COMPUTED_VALUE"""),"Black seats")</f>
        <v>Black seats</v>
      </c>
      <c r="R2066" t="str">
        <f>IFERROR(__xludf.DUMMYFUNCTION("""COMPUTED_VALUE"""),"Autopilot")</f>
        <v>Autopilot</v>
      </c>
      <c r="X2066" t="str">
        <f>IFERROR(__xludf.DUMMYFUNCTION("""COMPUTED_VALUE"""),"Poor")</f>
        <v>Poor</v>
      </c>
      <c r="Y2066" t="str">
        <f>IFERROR(__xludf.DUMMYFUNCTION("""COMPUTED_VALUE"""),"Excellent")</f>
        <v>Excellent</v>
      </c>
      <c r="Z2066" t="str">
        <f>IFERROR(__xludf.DUMMYFUNCTION("""COMPUTED_VALUE"""),"Excellent")</f>
        <v>Excellent</v>
      </c>
      <c r="AA2066" t="str">
        <f>IFERROR(__xludf.DUMMYFUNCTION("""COMPUTED_VALUE"""),"Very Good")</f>
        <v>Very Good</v>
      </c>
      <c r="AB2066" t="str">
        <f>IFERROR(__xludf.DUMMYFUNCTION("""COMPUTED_VALUE"""),"Excellent")</f>
        <v>Excellent</v>
      </c>
      <c r="AC2066">
        <f>IFERROR(__xludf.DUMMYFUNCTION("""COMPUTED_VALUE"""),2.0)</f>
        <v>2</v>
      </c>
      <c r="AG2066" t="str">
        <f>IFERROR(__xludf.DUMMYFUNCTION("""COMPUTED_VALUE"""),"Had some panel gaps around the rear rubber lining on the rear doors")</f>
        <v>Had some panel gaps around the rear rubber lining on the rear doors</v>
      </c>
      <c r="AH2066" s="189">
        <f>IFERROR(__xludf.DUMMYFUNCTION("""COMPUTED_VALUE"""),43805.35247190972)</f>
        <v>43805.35247</v>
      </c>
    </row>
    <row r="2067">
      <c r="A2067" t="str">
        <f>IFERROR(__xludf.DUMMYFUNCTION("""COMPUTED_VALUE"""),"Muertes")</f>
        <v>Muertes</v>
      </c>
      <c r="B2067" t="str">
        <f>IFERROR(__xludf.DUMMYFUNCTION("""COMPUTED_VALUE"""),"Houston")</f>
        <v>Houston</v>
      </c>
      <c r="C2067" t="str">
        <f>IFERROR(__xludf.DUMMYFUNCTION("""COMPUTED_VALUE"""),"TX")</f>
        <v>TX</v>
      </c>
      <c r="D2067" t="str">
        <f>IFERROR(__xludf.DUMMYFUNCTION("""COMPUTED_VALUE"""),"USA")</f>
        <v>USA</v>
      </c>
      <c r="E2067" s="188">
        <f>IFERROR(__xludf.DUMMYFUNCTION("""COMPUTED_VALUE"""),43761.0)</f>
        <v>43761</v>
      </c>
      <c r="F2067" s="188">
        <f>IFERROR(__xludf.DUMMYFUNCTION("""COMPUTED_VALUE"""),43788.0)</f>
        <v>43788</v>
      </c>
      <c r="H2067">
        <f>IFERROR(__xludf.DUMMYFUNCTION("""COMPUTED_VALUE"""),519655.0)</f>
        <v>519655</v>
      </c>
      <c r="I2067" t="str">
        <f>IFERROR(__xludf.DUMMYFUNCTION("""COMPUTED_VALUE"""),"11/19")</f>
        <v>11/19</v>
      </c>
      <c r="J2067" s="5">
        <f>IFERROR(__xludf.DUMMYFUNCTION("""COMPUTED_VALUE"""),43803.0)</f>
        <v>43803</v>
      </c>
      <c r="K2067">
        <f>IFERROR(__xludf.DUMMYFUNCTION("""COMPUTED_VALUE"""),27.0)</f>
        <v>27</v>
      </c>
      <c r="L2067">
        <f>IFERROR(__xludf.DUMMYFUNCTION("""COMPUTED_VALUE"""),15.0)</f>
        <v>15</v>
      </c>
      <c r="M2067">
        <f>IFERROR(__xludf.DUMMYFUNCTION("""COMPUTED_VALUE"""),42.0)</f>
        <v>42</v>
      </c>
      <c r="N2067" t="str">
        <f>IFERROR(__xludf.DUMMYFUNCTION("""COMPUTED_VALUE"""),"Model 3 SR+")</f>
        <v>Model 3 SR+</v>
      </c>
      <c r="O2067" t="str">
        <f>IFERROR(__xludf.DUMMYFUNCTION("""COMPUTED_VALUE"""),"Deep Blue Metallic")</f>
        <v>Deep Blue Metallic</v>
      </c>
      <c r="P2067" t="str">
        <f>IFERROR(__xludf.DUMMYFUNCTION("""COMPUTED_VALUE"""),"18 inch Aero")</f>
        <v>18 inch Aero</v>
      </c>
      <c r="Q2067" t="str">
        <f>IFERROR(__xludf.DUMMYFUNCTION("""COMPUTED_VALUE"""),"White seats")</f>
        <v>White seats</v>
      </c>
      <c r="R2067" t="str">
        <f>IFERROR(__xludf.DUMMYFUNCTION("""COMPUTED_VALUE"""),"Autopilot")</f>
        <v>Autopilot</v>
      </c>
      <c r="X2067" t="str">
        <f>IFERROR(__xludf.DUMMYFUNCTION("""COMPUTED_VALUE"""),"Excellent")</f>
        <v>Excellent</v>
      </c>
      <c r="Y2067" t="str">
        <f>IFERROR(__xludf.DUMMYFUNCTION("""COMPUTED_VALUE"""),"Excellent")</f>
        <v>Excellent</v>
      </c>
      <c r="Z2067" t="str">
        <f>IFERROR(__xludf.DUMMYFUNCTION("""COMPUTED_VALUE"""),"Very Good")</f>
        <v>Very Good</v>
      </c>
      <c r="AA2067" t="str">
        <f>IFERROR(__xludf.DUMMYFUNCTION("""COMPUTED_VALUE"""),"Good")</f>
        <v>Good</v>
      </c>
      <c r="AB2067" t="str">
        <f>IFERROR(__xludf.DUMMYFUNCTION("""COMPUTED_VALUE"""),"Very Good")</f>
        <v>Very Good</v>
      </c>
      <c r="AC2067">
        <f>IFERROR(__xludf.DUMMYFUNCTION("""COMPUTED_VALUE"""),2.0)</f>
        <v>2</v>
      </c>
      <c r="AD2067">
        <f>IFERROR(__xludf.DUMMYFUNCTION("""COMPUTED_VALUE"""),1.0)</f>
        <v>1</v>
      </c>
      <c r="AE2067">
        <f>IFERROR(__xludf.DUMMYFUNCTION("""COMPUTED_VALUE"""),0.0)</f>
        <v>0</v>
      </c>
      <c r="AH2067" s="189">
        <f>IFERROR(__xludf.DUMMYFUNCTION("""COMPUTED_VALUE"""),43805.63114849537)</f>
        <v>43805.63115</v>
      </c>
    </row>
    <row r="2068">
      <c r="A2068" t="str">
        <f>IFERROR(__xludf.DUMMYFUNCTION("""COMPUTED_VALUE"""),"Genstov")</f>
        <v>Genstov</v>
      </c>
      <c r="B2068" t="str">
        <f>IFERROR(__xludf.DUMMYFUNCTION("""COMPUTED_VALUE"""),"Sun Valley")</f>
        <v>Sun Valley</v>
      </c>
      <c r="C2068" t="str">
        <f>IFERROR(__xludf.DUMMYFUNCTION("""COMPUTED_VALUE"""),"ID")</f>
        <v>ID</v>
      </c>
      <c r="D2068" t="str">
        <f>IFERROR(__xludf.DUMMYFUNCTION("""COMPUTED_VALUE"""),"USA")</f>
        <v>USA</v>
      </c>
      <c r="E2068" s="188">
        <f>IFERROR(__xludf.DUMMYFUNCTION("""COMPUTED_VALUE"""),43757.0)</f>
        <v>43757</v>
      </c>
      <c r="F2068" s="188">
        <f>IFERROR(__xludf.DUMMYFUNCTION("""COMPUTED_VALUE"""),43799.0)</f>
        <v>43799</v>
      </c>
      <c r="H2068">
        <f>IFERROR(__xludf.DUMMYFUNCTION("""COMPUTED_VALUE"""),606909.0)</f>
        <v>606909</v>
      </c>
      <c r="J2068" s="5">
        <f>IFERROR(__xludf.DUMMYFUNCTION("""COMPUTED_VALUE"""),43805.0)</f>
        <v>43805</v>
      </c>
      <c r="K2068">
        <f>IFERROR(__xludf.DUMMYFUNCTION("""COMPUTED_VALUE"""),42.0)</f>
        <v>42</v>
      </c>
      <c r="L2068">
        <f>IFERROR(__xludf.DUMMYFUNCTION("""COMPUTED_VALUE"""),6.0)</f>
        <v>6</v>
      </c>
      <c r="M2068">
        <f>IFERROR(__xludf.DUMMYFUNCTION("""COMPUTED_VALUE"""),48.0)</f>
        <v>48</v>
      </c>
      <c r="N2068" t="str">
        <f>IFERROR(__xludf.DUMMYFUNCTION("""COMPUTED_VALUE"""),"Model 3 LR AWD")</f>
        <v>Model 3 LR AWD</v>
      </c>
      <c r="O2068" t="str">
        <f>IFERROR(__xludf.DUMMYFUNCTION("""COMPUTED_VALUE"""),"Pearl White Multi-Coat")</f>
        <v>Pearl White Multi-Coat</v>
      </c>
      <c r="P2068" t="str">
        <f>IFERROR(__xludf.DUMMYFUNCTION("""COMPUTED_VALUE"""),"18 inch Aero")</f>
        <v>18 inch Aero</v>
      </c>
      <c r="Q2068" t="str">
        <f>IFERROR(__xludf.DUMMYFUNCTION("""COMPUTED_VALUE"""),"White seats")</f>
        <v>White seats</v>
      </c>
      <c r="R2068" t="str">
        <f>IFERROR(__xludf.DUMMYFUNCTION("""COMPUTED_VALUE"""),"Autopilot")</f>
        <v>Autopilot</v>
      </c>
      <c r="X2068" t="str">
        <f>IFERROR(__xludf.DUMMYFUNCTION("""COMPUTED_VALUE"""),"Excellent")</f>
        <v>Excellent</v>
      </c>
      <c r="Y2068" t="str">
        <f>IFERROR(__xludf.DUMMYFUNCTION("""COMPUTED_VALUE"""),"Excellent")</f>
        <v>Excellent</v>
      </c>
      <c r="Z2068" t="str">
        <f>IFERROR(__xludf.DUMMYFUNCTION("""COMPUTED_VALUE"""),"Excellent")</f>
        <v>Excellent</v>
      </c>
      <c r="AA2068" t="str">
        <f>IFERROR(__xludf.DUMMYFUNCTION("""COMPUTED_VALUE"""),"Fair")</f>
        <v>Fair</v>
      </c>
      <c r="AB2068" t="str">
        <f>IFERROR(__xludf.DUMMYFUNCTION("""COMPUTED_VALUE"""),"Very Good")</f>
        <v>Very Good</v>
      </c>
      <c r="AG2068" t="str">
        <f>IFERROR(__xludf.DUMMYFUNCTION("""COMPUTED_VALUE"""),"Found VIN in source code!!!! Did not know delivery date until 1 hour before delivery, from the transport company who called me and arranged for a place to drop off.")</f>
        <v>Found VIN in source code!!!! Did not know delivery date until 1 hour before delivery, from the transport company who called me and arranged for a place to drop off.</v>
      </c>
      <c r="AH2068" s="189">
        <f>IFERROR(__xludf.DUMMYFUNCTION("""COMPUTED_VALUE"""),43805.66755084491)</f>
        <v>43805.66755</v>
      </c>
    </row>
    <row r="2069">
      <c r="A2069" t="str">
        <f>IFERROR(__xludf.DUMMYFUNCTION("""COMPUTED_VALUE"""),"FLGator")</f>
        <v>FLGator</v>
      </c>
      <c r="B2069" t="str">
        <f>IFERROR(__xludf.DUMMYFUNCTION("""COMPUTED_VALUE"""),"Orlando")</f>
        <v>Orlando</v>
      </c>
      <c r="C2069" t="str">
        <f>IFERROR(__xludf.DUMMYFUNCTION("""COMPUTED_VALUE"""),"FL")</f>
        <v>FL</v>
      </c>
      <c r="D2069" t="str">
        <f>IFERROR(__xludf.DUMMYFUNCTION("""COMPUTED_VALUE"""),"USA")</f>
        <v>USA</v>
      </c>
      <c r="E2069" s="188">
        <f>IFERROR(__xludf.DUMMYFUNCTION("""COMPUTED_VALUE"""),43751.0)</f>
        <v>43751</v>
      </c>
      <c r="F2069" s="188">
        <f>IFERROR(__xludf.DUMMYFUNCTION("""COMPUTED_VALUE"""),43788.0)</f>
        <v>43788</v>
      </c>
      <c r="H2069">
        <f>IFERROR(__xludf.DUMMYFUNCTION("""COMPUTED_VALUE"""),504355.0)</f>
        <v>504355</v>
      </c>
      <c r="I2069" t="str">
        <f>IFERROR(__xludf.DUMMYFUNCTION("""COMPUTED_VALUE"""),"11/19")</f>
        <v>11/19</v>
      </c>
      <c r="J2069" s="5">
        <f>IFERROR(__xludf.DUMMYFUNCTION("""COMPUTED_VALUE"""),43799.0)</f>
        <v>43799</v>
      </c>
      <c r="K2069">
        <f>IFERROR(__xludf.DUMMYFUNCTION("""COMPUTED_VALUE"""),37.0)</f>
        <v>37</v>
      </c>
      <c r="L2069">
        <f>IFERROR(__xludf.DUMMYFUNCTION("""COMPUTED_VALUE"""),11.0)</f>
        <v>11</v>
      </c>
      <c r="M2069">
        <f>IFERROR(__xludf.DUMMYFUNCTION("""COMPUTED_VALUE"""),48.0)</f>
        <v>48</v>
      </c>
      <c r="N2069" t="str">
        <f>IFERROR(__xludf.DUMMYFUNCTION("""COMPUTED_VALUE"""),"Model 3 SR+")</f>
        <v>Model 3 SR+</v>
      </c>
      <c r="O2069" t="str">
        <f>IFERROR(__xludf.DUMMYFUNCTION("""COMPUTED_VALUE"""),"Pearl White Multi-Coat")</f>
        <v>Pearl White Multi-Coat</v>
      </c>
      <c r="P2069" t="str">
        <f>IFERROR(__xludf.DUMMYFUNCTION("""COMPUTED_VALUE"""),"18 inch Aero")</f>
        <v>18 inch Aero</v>
      </c>
      <c r="Q2069" t="str">
        <f>IFERROR(__xludf.DUMMYFUNCTION("""COMPUTED_VALUE"""),"Black seats")</f>
        <v>Black seats</v>
      </c>
      <c r="R2069" t="str">
        <f>IFERROR(__xludf.DUMMYFUNCTION("""COMPUTED_VALUE"""),"Autopilot")</f>
        <v>Autopilot</v>
      </c>
      <c r="X2069" t="str">
        <f>IFERROR(__xludf.DUMMYFUNCTION("""COMPUTED_VALUE"""),"Very Good")</f>
        <v>Very Good</v>
      </c>
      <c r="Y2069" t="str">
        <f>IFERROR(__xludf.DUMMYFUNCTION("""COMPUTED_VALUE"""),"Excellent")</f>
        <v>Excellent</v>
      </c>
      <c r="Z2069" t="str">
        <f>IFERROR(__xludf.DUMMYFUNCTION("""COMPUTED_VALUE"""),"Very Good")</f>
        <v>Very Good</v>
      </c>
      <c r="AA2069" t="str">
        <f>IFERROR(__xludf.DUMMYFUNCTION("""COMPUTED_VALUE"""),"Good")</f>
        <v>Good</v>
      </c>
      <c r="AB2069" t="str">
        <f>IFERROR(__xludf.DUMMYFUNCTION("""COMPUTED_VALUE"""),"Good")</f>
        <v>Good</v>
      </c>
      <c r="AH2069" s="189">
        <f>IFERROR(__xludf.DUMMYFUNCTION("""COMPUTED_VALUE"""),43805.76008413194)</f>
        <v>43805.76008</v>
      </c>
    </row>
    <row r="2070">
      <c r="A2070" t="str">
        <f>IFERROR(__xludf.DUMMYFUNCTION("""COMPUTED_VALUE"""),"jtblackm3p")</f>
        <v>jtblackm3p</v>
      </c>
      <c r="B2070" t="str">
        <f>IFERROR(__xludf.DUMMYFUNCTION("""COMPUTED_VALUE"""),"Seattle")</f>
        <v>Seattle</v>
      </c>
      <c r="C2070" t="str">
        <f>IFERROR(__xludf.DUMMYFUNCTION("""COMPUTED_VALUE"""),"WA")</f>
        <v>WA</v>
      </c>
      <c r="D2070" t="str">
        <f>IFERROR(__xludf.DUMMYFUNCTION("""COMPUTED_VALUE"""),"USA")</f>
        <v>USA</v>
      </c>
      <c r="E2070" s="188">
        <f>IFERROR(__xludf.DUMMYFUNCTION("""COMPUTED_VALUE"""),43763.0)</f>
        <v>43763</v>
      </c>
      <c r="F2070" s="188">
        <f>IFERROR(__xludf.DUMMYFUNCTION("""COMPUTED_VALUE"""),43801.0)</f>
        <v>43801</v>
      </c>
      <c r="H2070">
        <f>IFERROR(__xludf.DUMMYFUNCTION("""COMPUTED_VALUE"""),603325.0)</f>
        <v>603325</v>
      </c>
      <c r="J2070" s="5">
        <f>IFERROR(__xludf.DUMMYFUNCTION("""COMPUTED_VALUE"""),43807.0)</f>
        <v>43807</v>
      </c>
      <c r="K2070">
        <f>IFERROR(__xludf.DUMMYFUNCTION("""COMPUTED_VALUE"""),38.0)</f>
        <v>38</v>
      </c>
      <c r="L2070">
        <f>IFERROR(__xludf.DUMMYFUNCTION("""COMPUTED_VALUE"""),6.0)</f>
        <v>6</v>
      </c>
      <c r="M2070">
        <f>IFERROR(__xludf.DUMMYFUNCTION("""COMPUTED_VALUE"""),44.0)</f>
        <v>44</v>
      </c>
      <c r="N2070" t="str">
        <f>IFERROR(__xludf.DUMMYFUNCTION("""COMPUTED_VALUE"""),"Model 3 Performance")</f>
        <v>Model 3 Performance</v>
      </c>
      <c r="O2070" t="str">
        <f>IFERROR(__xludf.DUMMYFUNCTION("""COMPUTED_VALUE"""),"Solid Black")</f>
        <v>Solid Black</v>
      </c>
      <c r="P2070" t="str">
        <f>IFERROR(__xludf.DUMMYFUNCTION("""COMPUTED_VALUE"""),"20 inch Sport")</f>
        <v>20 inch Sport</v>
      </c>
      <c r="Q2070" t="str">
        <f>IFERROR(__xludf.DUMMYFUNCTION("""COMPUTED_VALUE"""),"White seats")</f>
        <v>White seats</v>
      </c>
      <c r="R2070" t="str">
        <f>IFERROR(__xludf.DUMMYFUNCTION("""COMPUTED_VALUE"""),"Full Self-Driving")</f>
        <v>Full Self-Driving</v>
      </c>
      <c r="X2070" t="str">
        <f>IFERROR(__xludf.DUMMYFUNCTION("""COMPUTED_VALUE"""),"Excellent")</f>
        <v>Excellent</v>
      </c>
      <c r="Y2070" t="str">
        <f>IFERROR(__xludf.DUMMYFUNCTION("""COMPUTED_VALUE"""),"Excellent")</f>
        <v>Excellent</v>
      </c>
      <c r="Z2070" t="str">
        <f>IFERROR(__xludf.DUMMYFUNCTION("""COMPUTED_VALUE"""),"Excellent")</f>
        <v>Excellent</v>
      </c>
      <c r="AA2070" t="str">
        <f>IFERROR(__xludf.DUMMYFUNCTION("""COMPUTED_VALUE"""),"Fair")</f>
        <v>Fair</v>
      </c>
      <c r="AB2070" t="str">
        <f>IFERROR(__xludf.DUMMYFUNCTION("""COMPUTED_VALUE"""),"Very Good")</f>
        <v>Very Good</v>
      </c>
      <c r="AG2070" t="str">
        <f>IFERROR(__xludf.DUMMYFUNCTION("""COMPUTED_VALUE"""),"Found VIN in source code 12/2")</f>
        <v>Found VIN in source code 12/2</v>
      </c>
      <c r="AH2070" s="189">
        <f>IFERROR(__xludf.DUMMYFUNCTION("""COMPUTED_VALUE"""),43806.05052716435)</f>
        <v>43806.05053</v>
      </c>
    </row>
    <row r="2071">
      <c r="A2071" t="str">
        <f>IFERROR(__xludf.DUMMYFUNCTION("""COMPUTED_VALUE"""),"PSJ")</f>
        <v>PSJ</v>
      </c>
      <c r="C2071" t="str">
        <f>IFERROR(__xludf.DUMMYFUNCTION("""COMPUTED_VALUE"""),"TX")</f>
        <v>TX</v>
      </c>
      <c r="D2071" t="str">
        <f>IFERROR(__xludf.DUMMYFUNCTION("""COMPUTED_VALUE"""),"USA")</f>
        <v>USA</v>
      </c>
      <c r="E2071" s="188">
        <f>IFERROR(__xludf.DUMMYFUNCTION("""COMPUTED_VALUE"""),43747.0)</f>
        <v>43747</v>
      </c>
      <c r="F2071" s="188">
        <f>IFERROR(__xludf.DUMMYFUNCTION("""COMPUTED_VALUE"""),43787.0)</f>
        <v>43787</v>
      </c>
      <c r="H2071">
        <f>IFERROR(__xludf.DUMMYFUNCTION("""COMPUTED_VALUE"""),504555.0)</f>
        <v>504555</v>
      </c>
      <c r="J2071" s="5">
        <f>IFERROR(__xludf.DUMMYFUNCTION("""COMPUTED_VALUE"""),43804.0)</f>
        <v>43804</v>
      </c>
      <c r="K2071">
        <f>IFERROR(__xludf.DUMMYFUNCTION("""COMPUTED_VALUE"""),40.0)</f>
        <v>40</v>
      </c>
      <c r="L2071">
        <f>IFERROR(__xludf.DUMMYFUNCTION("""COMPUTED_VALUE"""),17.0)</f>
        <v>17</v>
      </c>
      <c r="M2071">
        <f>IFERROR(__xludf.DUMMYFUNCTION("""COMPUTED_VALUE"""),57.0)</f>
        <v>57</v>
      </c>
      <c r="N2071" t="str">
        <f>IFERROR(__xludf.DUMMYFUNCTION("""COMPUTED_VALUE"""),"Model 3 SR+")</f>
        <v>Model 3 SR+</v>
      </c>
      <c r="O2071" t="str">
        <f>IFERROR(__xludf.DUMMYFUNCTION("""COMPUTED_VALUE"""),"Pearl White Multi-Coat")</f>
        <v>Pearl White Multi-Coat</v>
      </c>
      <c r="P2071" t="str">
        <f>IFERROR(__xludf.DUMMYFUNCTION("""COMPUTED_VALUE"""),"18 inch Aero")</f>
        <v>18 inch Aero</v>
      </c>
      <c r="Q2071" t="str">
        <f>IFERROR(__xludf.DUMMYFUNCTION("""COMPUTED_VALUE"""),"Black seats")</f>
        <v>Black seats</v>
      </c>
      <c r="R2071" t="str">
        <f>IFERROR(__xludf.DUMMYFUNCTION("""COMPUTED_VALUE"""),"Full Self-Driving")</f>
        <v>Full Self-Driving</v>
      </c>
      <c r="X2071" t="str">
        <f>IFERROR(__xludf.DUMMYFUNCTION("""COMPUTED_VALUE"""),"Very Good")</f>
        <v>Very Good</v>
      </c>
      <c r="Y2071" t="str">
        <f>IFERROR(__xludf.DUMMYFUNCTION("""COMPUTED_VALUE"""),"Very Good")</f>
        <v>Very Good</v>
      </c>
      <c r="Z2071" t="str">
        <f>IFERROR(__xludf.DUMMYFUNCTION("""COMPUTED_VALUE"""),"Very Good")</f>
        <v>Very Good</v>
      </c>
      <c r="AA2071" t="str">
        <f>IFERROR(__xludf.DUMMYFUNCTION("""COMPUTED_VALUE"""),"Poor")</f>
        <v>Poor</v>
      </c>
      <c r="AB2071" t="str">
        <f>IFERROR(__xludf.DUMMYFUNCTION("""COMPUTED_VALUE"""),"Fair")</f>
        <v>Fair</v>
      </c>
      <c r="AH2071" s="189">
        <f>IFERROR(__xludf.DUMMYFUNCTION("""COMPUTED_VALUE"""),43806.26569516204)</f>
        <v>43806.2657</v>
      </c>
    </row>
    <row r="2072">
      <c r="A2072" t="str">
        <f>IFERROR(__xludf.DUMMYFUNCTION("""COMPUTED_VALUE"""),"Solmors")</f>
        <v>Solmors</v>
      </c>
      <c r="B2072" t="str">
        <f>IFERROR(__xludf.DUMMYFUNCTION("""COMPUTED_VALUE"""),"Coeur d'Alene")</f>
        <v>Coeur d'Alene</v>
      </c>
      <c r="C2072" t="str">
        <f>IFERROR(__xludf.DUMMYFUNCTION("""COMPUTED_VALUE"""),"ID")</f>
        <v>ID</v>
      </c>
      <c r="D2072" t="str">
        <f>IFERROR(__xludf.DUMMYFUNCTION("""COMPUTED_VALUE"""),"USA")</f>
        <v>USA</v>
      </c>
      <c r="E2072" s="188">
        <f>IFERROR(__xludf.DUMMYFUNCTION("""COMPUTED_VALUE"""),43790.0)</f>
        <v>43790</v>
      </c>
      <c r="F2072" s="188">
        <f>IFERROR(__xludf.DUMMYFUNCTION("""COMPUTED_VALUE"""),43790.0)</f>
        <v>43790</v>
      </c>
      <c r="H2072">
        <f>IFERROR(__xludf.DUMMYFUNCTION("""COMPUTED_VALUE"""),602626.0)</f>
        <v>602626</v>
      </c>
      <c r="J2072" s="5">
        <f>IFERROR(__xludf.DUMMYFUNCTION("""COMPUTED_VALUE"""),43806.0)</f>
        <v>43806</v>
      </c>
      <c r="K2072">
        <f>IFERROR(__xludf.DUMMYFUNCTION("""COMPUTED_VALUE"""),0.0)</f>
        <v>0</v>
      </c>
      <c r="L2072">
        <f>IFERROR(__xludf.DUMMYFUNCTION("""COMPUTED_VALUE"""),16.0)</f>
        <v>16</v>
      </c>
      <c r="M2072">
        <f>IFERROR(__xludf.DUMMYFUNCTION("""COMPUTED_VALUE"""),16.0)</f>
        <v>16</v>
      </c>
      <c r="N2072" t="str">
        <f>IFERROR(__xludf.DUMMYFUNCTION("""COMPUTED_VALUE"""),"Model 3 Performance")</f>
        <v>Model 3 Performance</v>
      </c>
      <c r="O2072" t="str">
        <f>IFERROR(__xludf.DUMMYFUNCTION("""COMPUTED_VALUE"""),"Pearl White Multi-Coat")</f>
        <v>Pearl White Multi-Coat</v>
      </c>
      <c r="P2072" t="str">
        <f>IFERROR(__xludf.DUMMYFUNCTION("""COMPUTED_VALUE"""),"18 inch Aero")</f>
        <v>18 inch Aero</v>
      </c>
      <c r="Q2072" t="str">
        <f>IFERROR(__xludf.DUMMYFUNCTION("""COMPUTED_VALUE"""),"Black seats")</f>
        <v>Black seats</v>
      </c>
      <c r="R2072" t="str">
        <f>IFERROR(__xludf.DUMMYFUNCTION("""COMPUTED_VALUE"""),"Full Self-Driving")</f>
        <v>Full Self-Driving</v>
      </c>
      <c r="X2072" t="str">
        <f>IFERROR(__xludf.DUMMYFUNCTION("""COMPUTED_VALUE"""),"Very Good")</f>
        <v>Very Good</v>
      </c>
      <c r="Y2072" t="str">
        <f>IFERROR(__xludf.DUMMYFUNCTION("""COMPUTED_VALUE"""),"Excellent")</f>
        <v>Excellent</v>
      </c>
      <c r="Z2072" t="str">
        <f>IFERROR(__xludf.DUMMYFUNCTION("""COMPUTED_VALUE"""),"Excellent")</f>
        <v>Excellent</v>
      </c>
      <c r="AA2072" t="str">
        <f>IFERROR(__xludf.DUMMYFUNCTION("""COMPUTED_VALUE"""),"Good")</f>
        <v>Good</v>
      </c>
      <c r="AB2072" t="str">
        <f>IFERROR(__xludf.DUMMYFUNCTION("""COMPUTED_VALUE"""),"Very Good")</f>
        <v>Very Good</v>
      </c>
      <c r="AG2072" t="str">
        <f>IFERROR(__xludf.DUMMYFUNCTION("""COMPUTED_VALUE"""),"Swapped my order to Stealth from P3D+ on 11/21/2019, original order was 10/17/2019")</f>
        <v>Swapped my order to Stealth from P3D+ on 11/21/2019, original order was 10/17/2019</v>
      </c>
      <c r="AH2072" s="189">
        <f>IFERROR(__xludf.DUMMYFUNCTION("""COMPUTED_VALUE"""),43806.5827765625)</f>
        <v>43806.58278</v>
      </c>
    </row>
    <row r="2073">
      <c r="A2073" t="str">
        <f>IFERROR(__xludf.DUMMYFUNCTION("""COMPUTED_VALUE"""),"Apester")</f>
        <v>Apester</v>
      </c>
      <c r="B2073" t="str">
        <f>IFERROR(__xludf.DUMMYFUNCTION("""COMPUTED_VALUE"""),"Bellevue")</f>
        <v>Bellevue</v>
      </c>
      <c r="C2073" t="str">
        <f>IFERROR(__xludf.DUMMYFUNCTION("""COMPUTED_VALUE"""),"WA")</f>
        <v>WA</v>
      </c>
      <c r="D2073" t="str">
        <f>IFERROR(__xludf.DUMMYFUNCTION("""COMPUTED_VALUE"""),"USA")</f>
        <v>USA</v>
      </c>
      <c r="E2073" s="188">
        <f>IFERROR(__xludf.DUMMYFUNCTION("""COMPUTED_VALUE"""),43677.0)</f>
        <v>43677</v>
      </c>
      <c r="F2073" s="188">
        <f>IFERROR(__xludf.DUMMYFUNCTION("""COMPUTED_VALUE"""),43716.0)</f>
        <v>43716</v>
      </c>
      <c r="H2073">
        <f>IFERROR(__xludf.DUMMYFUNCTION("""COMPUTED_VALUE"""),493955.0)</f>
        <v>493955</v>
      </c>
      <c r="I2073" t="str">
        <f>IFERROR(__xludf.DUMMYFUNCTION("""COMPUTED_VALUE"""),"09/19")</f>
        <v>09/19</v>
      </c>
      <c r="J2073" s="5">
        <f>IFERROR(__xludf.DUMMYFUNCTION("""COMPUTED_VALUE"""),43721.0)</f>
        <v>43721</v>
      </c>
      <c r="K2073">
        <f>IFERROR(__xludf.DUMMYFUNCTION("""COMPUTED_VALUE"""),39.0)</f>
        <v>39</v>
      </c>
      <c r="L2073">
        <f>IFERROR(__xludf.DUMMYFUNCTION("""COMPUTED_VALUE"""),5.0)</f>
        <v>5</v>
      </c>
      <c r="M2073">
        <f>IFERROR(__xludf.DUMMYFUNCTION("""COMPUTED_VALUE"""),44.0)</f>
        <v>44</v>
      </c>
      <c r="N2073" t="str">
        <f>IFERROR(__xludf.DUMMYFUNCTION("""COMPUTED_VALUE"""),"Model 3 LR AWD")</f>
        <v>Model 3 LR AWD</v>
      </c>
      <c r="O2073" t="str">
        <f>IFERROR(__xludf.DUMMYFUNCTION("""COMPUTED_VALUE"""),"Pearl White Multi-Coat")</f>
        <v>Pearl White Multi-Coat</v>
      </c>
      <c r="P2073" t="str">
        <f>IFERROR(__xludf.DUMMYFUNCTION("""COMPUTED_VALUE"""),"18 inch Aero")</f>
        <v>18 inch Aero</v>
      </c>
      <c r="Q2073" t="str">
        <f>IFERROR(__xludf.DUMMYFUNCTION("""COMPUTED_VALUE"""),"Black seats")</f>
        <v>Black seats</v>
      </c>
      <c r="R2073" t="str">
        <f>IFERROR(__xludf.DUMMYFUNCTION("""COMPUTED_VALUE"""),"Full Self-Driving")</f>
        <v>Full Self-Driving</v>
      </c>
      <c r="X2073" t="str">
        <f>IFERROR(__xludf.DUMMYFUNCTION("""COMPUTED_VALUE"""),"Excellent")</f>
        <v>Excellent</v>
      </c>
      <c r="Y2073" t="str">
        <f>IFERROR(__xludf.DUMMYFUNCTION("""COMPUTED_VALUE"""),"Excellent")</f>
        <v>Excellent</v>
      </c>
      <c r="Z2073" t="str">
        <f>IFERROR(__xludf.DUMMYFUNCTION("""COMPUTED_VALUE"""),"Excellent")</f>
        <v>Excellent</v>
      </c>
      <c r="AA2073" t="str">
        <f>IFERROR(__xludf.DUMMYFUNCTION("""COMPUTED_VALUE"""),"Fair")</f>
        <v>Fair</v>
      </c>
      <c r="AB2073" t="str">
        <f>IFERROR(__xludf.DUMMYFUNCTION("""COMPUTED_VALUE"""),"Very Good")</f>
        <v>Very Good</v>
      </c>
      <c r="AC2073">
        <f>IFERROR(__xludf.DUMMYFUNCTION("""COMPUTED_VALUE"""),0.0)</f>
        <v>0</v>
      </c>
      <c r="AD2073">
        <f>IFERROR(__xludf.DUMMYFUNCTION("""COMPUTED_VALUE"""),0.0)</f>
        <v>0</v>
      </c>
      <c r="AE2073">
        <f>IFERROR(__xludf.DUMMYFUNCTION("""COMPUTED_VALUE"""),0.0)</f>
        <v>0</v>
      </c>
      <c r="AG2073" t="str">
        <f>IFERROR(__xludf.DUMMYFUNCTION("""COMPUTED_VALUE"""),"Aug 22nd, Initial vehicle was damaged in transit. Back to square one waiting. ")</f>
        <v>Aug 22nd, Initial vehicle was damaged in transit. Back to square one waiting. </v>
      </c>
      <c r="AH2073" s="189">
        <f>IFERROR(__xludf.DUMMYFUNCTION("""COMPUTED_VALUE"""),43806.62956163194)</f>
        <v>43806.62956</v>
      </c>
    </row>
    <row r="2074">
      <c r="A2074" t="str">
        <f>IFERROR(__xludf.DUMMYFUNCTION("""COMPUTED_VALUE"""),"rogerrabbit")</f>
        <v>rogerrabbit</v>
      </c>
      <c r="B2074" t="str">
        <f>IFERROR(__xludf.DUMMYFUNCTION("""COMPUTED_VALUE"""),"Orlando")</f>
        <v>Orlando</v>
      </c>
      <c r="C2074" t="str">
        <f>IFERROR(__xludf.DUMMYFUNCTION("""COMPUTED_VALUE"""),"FL")</f>
        <v>FL</v>
      </c>
      <c r="D2074" t="str">
        <f>IFERROR(__xludf.DUMMYFUNCTION("""COMPUTED_VALUE"""),"USA")</f>
        <v>USA</v>
      </c>
      <c r="E2074" s="188">
        <f>IFERROR(__xludf.DUMMYFUNCTION("""COMPUTED_VALUE"""),43760.0)</f>
        <v>43760</v>
      </c>
      <c r="F2074" s="188">
        <f>IFERROR(__xludf.DUMMYFUNCTION("""COMPUTED_VALUE"""),43800.0)</f>
        <v>43800</v>
      </c>
      <c r="H2074">
        <f>IFERROR(__xludf.DUMMYFUNCTION("""COMPUTED_VALUE"""),617255.0)</f>
        <v>617255</v>
      </c>
      <c r="J2074" s="5">
        <f>IFERROR(__xludf.DUMMYFUNCTION("""COMPUTED_VALUE"""),43806.0)</f>
        <v>43806</v>
      </c>
      <c r="K2074">
        <f>IFERROR(__xludf.DUMMYFUNCTION("""COMPUTED_VALUE"""),40.0)</f>
        <v>40</v>
      </c>
      <c r="L2074">
        <f>IFERROR(__xludf.DUMMYFUNCTION("""COMPUTED_VALUE"""),6.0)</f>
        <v>6</v>
      </c>
      <c r="M2074">
        <f>IFERROR(__xludf.DUMMYFUNCTION("""COMPUTED_VALUE"""),46.0)</f>
        <v>46</v>
      </c>
      <c r="N2074" t="str">
        <f>IFERROR(__xludf.DUMMYFUNCTION("""COMPUTED_VALUE"""),"Model 3 LR AWD")</f>
        <v>Model 3 LR AWD</v>
      </c>
      <c r="O2074" t="str">
        <f>IFERROR(__xludf.DUMMYFUNCTION("""COMPUTED_VALUE"""),"Deep Blue Metallic")</f>
        <v>Deep Blue Metallic</v>
      </c>
      <c r="P2074" t="str">
        <f>IFERROR(__xludf.DUMMYFUNCTION("""COMPUTED_VALUE"""),"18 inch Aero")</f>
        <v>18 inch Aero</v>
      </c>
      <c r="Q2074" t="str">
        <f>IFERROR(__xludf.DUMMYFUNCTION("""COMPUTED_VALUE"""),"Black seats")</f>
        <v>Black seats</v>
      </c>
      <c r="R2074" t="str">
        <f>IFERROR(__xludf.DUMMYFUNCTION("""COMPUTED_VALUE"""),"Full Self-Driving")</f>
        <v>Full Self-Driving</v>
      </c>
      <c r="X2074" t="str">
        <f>IFERROR(__xludf.DUMMYFUNCTION("""COMPUTED_VALUE"""),"Excellent")</f>
        <v>Excellent</v>
      </c>
      <c r="Y2074" t="str">
        <f>IFERROR(__xludf.DUMMYFUNCTION("""COMPUTED_VALUE"""),"Very Good")</f>
        <v>Very Good</v>
      </c>
      <c r="Z2074" t="str">
        <f>IFERROR(__xludf.DUMMYFUNCTION("""COMPUTED_VALUE"""),"Excellent")</f>
        <v>Excellent</v>
      </c>
      <c r="AA2074" t="str">
        <f>IFERROR(__xludf.DUMMYFUNCTION("""COMPUTED_VALUE"""),"Very Good")</f>
        <v>Very Good</v>
      </c>
      <c r="AB2074" t="str">
        <f>IFERROR(__xludf.DUMMYFUNCTION("""COMPUTED_VALUE"""),"Good")</f>
        <v>Good</v>
      </c>
      <c r="AH2074" s="189">
        <f>IFERROR(__xludf.DUMMYFUNCTION("""COMPUTED_VALUE"""),43806.840004178244)</f>
        <v>43806.84</v>
      </c>
    </row>
    <row r="2075">
      <c r="A2075" t="str">
        <f>IFERROR(__xludf.DUMMYFUNCTION("""COMPUTED_VALUE"""),"whiteM3SRplus")</f>
        <v>whiteM3SRplus</v>
      </c>
      <c r="B2075" t="str">
        <f>IFERROR(__xludf.DUMMYFUNCTION("""COMPUTED_VALUE"""),"San Juan Bautista")</f>
        <v>San Juan Bautista</v>
      </c>
      <c r="C2075" t="str">
        <f>IFERROR(__xludf.DUMMYFUNCTION("""COMPUTED_VALUE"""),"CA")</f>
        <v>CA</v>
      </c>
      <c r="D2075" t="str">
        <f>IFERROR(__xludf.DUMMYFUNCTION("""COMPUTED_VALUE"""),"USA")</f>
        <v>USA</v>
      </c>
      <c r="E2075" s="188">
        <f>IFERROR(__xludf.DUMMYFUNCTION("""COMPUTED_VALUE"""),43758.0)</f>
        <v>43758</v>
      </c>
      <c r="F2075" s="188">
        <f>IFERROR(__xludf.DUMMYFUNCTION("""COMPUTED_VALUE"""),43794.0)</f>
        <v>43794</v>
      </c>
      <c r="H2075">
        <f>IFERROR(__xludf.DUMMYFUNCTION("""COMPUTED_VALUE"""),599026.0)</f>
        <v>599026</v>
      </c>
      <c r="J2075" s="5">
        <f>IFERROR(__xludf.DUMMYFUNCTION("""COMPUTED_VALUE"""),43799.0)</f>
        <v>43799</v>
      </c>
      <c r="K2075">
        <f>IFERROR(__xludf.DUMMYFUNCTION("""COMPUTED_VALUE"""),36.0)</f>
        <v>36</v>
      </c>
      <c r="L2075">
        <f>IFERROR(__xludf.DUMMYFUNCTION("""COMPUTED_VALUE"""),5.0)</f>
        <v>5</v>
      </c>
      <c r="M2075">
        <f>IFERROR(__xludf.DUMMYFUNCTION("""COMPUTED_VALUE"""),41.0)</f>
        <v>41</v>
      </c>
      <c r="N2075" t="str">
        <f>IFERROR(__xludf.DUMMYFUNCTION("""COMPUTED_VALUE"""),"Model 3 SR+")</f>
        <v>Model 3 SR+</v>
      </c>
      <c r="O2075" t="str">
        <f>IFERROR(__xludf.DUMMYFUNCTION("""COMPUTED_VALUE"""),"Pearl White Multi-Coat")</f>
        <v>Pearl White Multi-Coat</v>
      </c>
      <c r="P2075" t="str">
        <f>IFERROR(__xludf.DUMMYFUNCTION("""COMPUTED_VALUE"""),"18 inch Aero")</f>
        <v>18 inch Aero</v>
      </c>
      <c r="Q2075" t="str">
        <f>IFERROR(__xludf.DUMMYFUNCTION("""COMPUTED_VALUE"""),"White seats")</f>
        <v>White seats</v>
      </c>
      <c r="R2075" t="str">
        <f>IFERROR(__xludf.DUMMYFUNCTION("""COMPUTED_VALUE"""),"Full Self-Driving")</f>
        <v>Full Self-Driving</v>
      </c>
      <c r="X2075" t="str">
        <f>IFERROR(__xludf.DUMMYFUNCTION("""COMPUTED_VALUE"""),"Good")</f>
        <v>Good</v>
      </c>
      <c r="Y2075" t="str">
        <f>IFERROR(__xludf.DUMMYFUNCTION("""COMPUTED_VALUE"""),"Very Good")</f>
        <v>Very Good</v>
      </c>
      <c r="Z2075" t="str">
        <f>IFERROR(__xludf.DUMMYFUNCTION("""COMPUTED_VALUE"""),"Excellent")</f>
        <v>Excellent</v>
      </c>
      <c r="AA2075" t="str">
        <f>IFERROR(__xludf.DUMMYFUNCTION("""COMPUTED_VALUE"""),"Excellent")</f>
        <v>Excellent</v>
      </c>
      <c r="AB2075" t="str">
        <f>IFERROR(__xludf.DUMMYFUNCTION("""COMPUTED_VALUE"""),"Excellent")</f>
        <v>Excellent</v>
      </c>
      <c r="AC2075">
        <f>IFERROR(__xludf.DUMMYFUNCTION("""COMPUTED_VALUE"""),1.0)</f>
        <v>1</v>
      </c>
      <c r="AD2075">
        <f>IFERROR(__xludf.DUMMYFUNCTION("""COMPUTED_VALUE"""),1.0)</f>
        <v>1</v>
      </c>
      <c r="AE2075">
        <f>IFERROR(__xludf.DUMMYFUNCTION("""COMPUTED_VALUE"""),0.0)</f>
        <v>0</v>
      </c>
      <c r="AH2075" s="189">
        <f>IFERROR(__xludf.DUMMYFUNCTION("""COMPUTED_VALUE"""),43807.246750624996)</f>
        <v>43807.24675</v>
      </c>
    </row>
    <row r="2076">
      <c r="A2076" t="str">
        <f>IFERROR(__xludf.DUMMYFUNCTION("""COMPUTED_VALUE"""),"rtrypilot")</f>
        <v>rtrypilot</v>
      </c>
      <c r="B2076" t="str">
        <f>IFERROR(__xludf.DUMMYFUNCTION("""COMPUTED_VALUE"""),"Puget Sound")</f>
        <v>Puget Sound</v>
      </c>
      <c r="C2076" t="str">
        <f>IFERROR(__xludf.DUMMYFUNCTION("""COMPUTED_VALUE"""),"WA")</f>
        <v>WA</v>
      </c>
      <c r="D2076" t="str">
        <f>IFERROR(__xludf.DUMMYFUNCTION("""COMPUTED_VALUE"""),"USA")</f>
        <v>USA</v>
      </c>
      <c r="E2076" s="188">
        <f>IFERROR(__xludf.DUMMYFUNCTION("""COMPUTED_VALUE"""),43772.0)</f>
        <v>43772</v>
      </c>
      <c r="F2076" s="188">
        <f>IFERROR(__xludf.DUMMYFUNCTION("""COMPUTED_VALUE"""),43795.0)</f>
        <v>43795</v>
      </c>
      <c r="H2076">
        <f>IFERROR(__xludf.DUMMYFUNCTION("""COMPUTED_VALUE"""),601555.0)</f>
        <v>601555</v>
      </c>
      <c r="I2076" t="str">
        <f>IFERROR(__xludf.DUMMYFUNCTION("""COMPUTED_VALUE"""),"11/19")</f>
        <v>11/19</v>
      </c>
      <c r="J2076" s="5">
        <f>IFERROR(__xludf.DUMMYFUNCTION("""COMPUTED_VALUE"""),43798.0)</f>
        <v>43798</v>
      </c>
      <c r="K2076">
        <f>IFERROR(__xludf.DUMMYFUNCTION("""COMPUTED_VALUE"""),23.0)</f>
        <v>23</v>
      </c>
      <c r="L2076">
        <f>IFERROR(__xludf.DUMMYFUNCTION("""COMPUTED_VALUE"""),3.0)</f>
        <v>3</v>
      </c>
      <c r="M2076">
        <f>IFERROR(__xludf.DUMMYFUNCTION("""COMPUTED_VALUE"""),26.0)</f>
        <v>26</v>
      </c>
      <c r="N2076" t="str">
        <f>IFERROR(__xludf.DUMMYFUNCTION("""COMPUTED_VALUE"""),"Model 3 LR AWD")</f>
        <v>Model 3 LR AWD</v>
      </c>
      <c r="O2076" t="str">
        <f>IFERROR(__xludf.DUMMYFUNCTION("""COMPUTED_VALUE"""),"Midnight Silver Metallic")</f>
        <v>Midnight Silver Metallic</v>
      </c>
      <c r="P2076" t="str">
        <f>IFERROR(__xludf.DUMMYFUNCTION("""COMPUTED_VALUE"""),"18 inch Aero")</f>
        <v>18 inch Aero</v>
      </c>
      <c r="Q2076" t="str">
        <f>IFERROR(__xludf.DUMMYFUNCTION("""COMPUTED_VALUE"""),"Black seats")</f>
        <v>Black seats</v>
      </c>
      <c r="R2076" t="str">
        <f>IFERROR(__xludf.DUMMYFUNCTION("""COMPUTED_VALUE"""),"Autopilot")</f>
        <v>Autopilot</v>
      </c>
      <c r="X2076" t="str">
        <f>IFERROR(__xludf.DUMMYFUNCTION("""COMPUTED_VALUE"""),"Excellent")</f>
        <v>Excellent</v>
      </c>
      <c r="Y2076" t="str">
        <f>IFERROR(__xludf.DUMMYFUNCTION("""COMPUTED_VALUE"""),"Excellent")</f>
        <v>Excellent</v>
      </c>
      <c r="Z2076" t="str">
        <f>IFERROR(__xludf.DUMMYFUNCTION("""COMPUTED_VALUE"""),"Very Good")</f>
        <v>Very Good</v>
      </c>
      <c r="AA2076" t="str">
        <f>IFERROR(__xludf.DUMMYFUNCTION("""COMPUTED_VALUE"""),"Very Good")</f>
        <v>Very Good</v>
      </c>
      <c r="AB2076" t="str">
        <f>IFERROR(__xludf.DUMMYFUNCTION("""COMPUTED_VALUE"""),"Very Good")</f>
        <v>Very Good</v>
      </c>
      <c r="AC2076">
        <f>IFERROR(__xludf.DUMMYFUNCTION("""COMPUTED_VALUE"""),1.0)</f>
        <v>1</v>
      </c>
      <c r="AG2076" t="str">
        <f>IFERROR(__xludf.DUMMYFUNCTION("""COMPUTED_VALUE"""),"Original order on 11/3 (Pearl White, 18"" Aero &amp; Black Interior); updated config in 11/7 to Midnight Silver Metallic. Updated configuration on 11/20 to sleeper with the same int/ext color &amp; aero wheels.")</f>
        <v>Original order on 11/3 (Pearl White, 18" Aero &amp; Black Interior); updated config in 11/7 to Midnight Silver Metallic. Updated configuration on 11/20 to sleeper with the same int/ext color &amp; aero wheels.</v>
      </c>
      <c r="AH2076" s="189">
        <f>IFERROR(__xludf.DUMMYFUNCTION("""COMPUTED_VALUE"""),43807.38663795139)</f>
        <v>43807.38664</v>
      </c>
    </row>
    <row r="2077">
      <c r="A2077" t="str">
        <f>IFERROR(__xludf.DUMMYFUNCTION("""COMPUTED_VALUE"""),"BURFlyer")</f>
        <v>BURFlyer</v>
      </c>
      <c r="C2077" t="str">
        <f>IFERROR(__xludf.DUMMYFUNCTION("""COMPUTED_VALUE"""),"CA")</f>
        <v>CA</v>
      </c>
      <c r="D2077" t="str">
        <f>IFERROR(__xludf.DUMMYFUNCTION("""COMPUTED_VALUE"""),"USA")</f>
        <v>USA</v>
      </c>
      <c r="E2077" s="188">
        <f>IFERROR(__xludf.DUMMYFUNCTION("""COMPUTED_VALUE"""),43760.0)</f>
        <v>43760</v>
      </c>
      <c r="F2077" s="188">
        <f>IFERROR(__xludf.DUMMYFUNCTION("""COMPUTED_VALUE"""),43796.0)</f>
        <v>43796</v>
      </c>
      <c r="H2077">
        <f>IFERROR(__xludf.DUMMYFUNCTION("""COMPUTED_VALUE"""),619855.0)</f>
        <v>619855</v>
      </c>
      <c r="J2077" s="5">
        <f>IFERROR(__xludf.DUMMYFUNCTION("""COMPUTED_VALUE"""),43806.0)</f>
        <v>43806</v>
      </c>
      <c r="K2077">
        <f>IFERROR(__xludf.DUMMYFUNCTION("""COMPUTED_VALUE"""),36.0)</f>
        <v>36</v>
      </c>
      <c r="L2077">
        <f>IFERROR(__xludf.DUMMYFUNCTION("""COMPUTED_VALUE"""),10.0)</f>
        <v>10</v>
      </c>
      <c r="M2077">
        <f>IFERROR(__xludf.DUMMYFUNCTION("""COMPUTED_VALUE"""),46.0)</f>
        <v>46</v>
      </c>
      <c r="N2077" t="str">
        <f>IFERROR(__xludf.DUMMYFUNCTION("""COMPUTED_VALUE"""),"Model 3 LR AWD")</f>
        <v>Model 3 LR AWD</v>
      </c>
      <c r="O2077" t="str">
        <f>IFERROR(__xludf.DUMMYFUNCTION("""COMPUTED_VALUE"""),"Midnight Silver Metallic")</f>
        <v>Midnight Silver Metallic</v>
      </c>
      <c r="P2077" t="str">
        <f>IFERROR(__xludf.DUMMYFUNCTION("""COMPUTED_VALUE"""),"19 inch Sport")</f>
        <v>19 inch Sport</v>
      </c>
      <c r="Q2077" t="str">
        <f>IFERROR(__xludf.DUMMYFUNCTION("""COMPUTED_VALUE"""),"Black seats")</f>
        <v>Black seats</v>
      </c>
      <c r="R2077" t="str">
        <f>IFERROR(__xludf.DUMMYFUNCTION("""COMPUTED_VALUE"""),"Autopilot")</f>
        <v>Autopilot</v>
      </c>
      <c r="X2077" t="str">
        <f>IFERROR(__xludf.DUMMYFUNCTION("""COMPUTED_VALUE"""),"Very Good")</f>
        <v>Very Good</v>
      </c>
      <c r="Y2077" t="str">
        <f>IFERROR(__xludf.DUMMYFUNCTION("""COMPUTED_VALUE"""),"Very Good")</f>
        <v>Very Good</v>
      </c>
      <c r="Z2077" t="str">
        <f>IFERROR(__xludf.DUMMYFUNCTION("""COMPUTED_VALUE"""),"Good")</f>
        <v>Good</v>
      </c>
      <c r="AA2077" t="str">
        <f>IFERROR(__xludf.DUMMYFUNCTION("""COMPUTED_VALUE"""),"Very Good")</f>
        <v>Very Good</v>
      </c>
      <c r="AB2077" t="str">
        <f>IFERROR(__xludf.DUMMYFUNCTION("""COMPUTED_VALUE"""),"Excellent")</f>
        <v>Excellent</v>
      </c>
      <c r="AC2077">
        <f>IFERROR(__xludf.DUMMYFUNCTION("""COMPUTED_VALUE"""),2.0)</f>
        <v>2</v>
      </c>
      <c r="AD2077">
        <f>IFERROR(__xludf.DUMMYFUNCTION("""COMPUTED_VALUE"""),1.0)</f>
        <v>1</v>
      </c>
      <c r="AH2077" s="189">
        <f>IFERROR(__xludf.DUMMYFUNCTION("""COMPUTED_VALUE"""),43807.44995355324)</f>
        <v>43807.44995</v>
      </c>
    </row>
    <row r="2078">
      <c r="A2078" t="str">
        <f>IFERROR(__xludf.DUMMYFUNCTION("""COMPUTED_VALUE"""),"steveb944")</f>
        <v>steveb944</v>
      </c>
      <c r="B2078" t="str">
        <f>IFERROR(__xludf.DUMMYFUNCTION("""COMPUTED_VALUE"""),"Davie")</f>
        <v>Davie</v>
      </c>
      <c r="C2078" t="str">
        <f>IFERROR(__xludf.DUMMYFUNCTION("""COMPUTED_VALUE"""),"FL")</f>
        <v>FL</v>
      </c>
      <c r="D2078" t="str">
        <f>IFERROR(__xludf.DUMMYFUNCTION("""COMPUTED_VALUE"""),"USA")</f>
        <v>USA</v>
      </c>
      <c r="E2078" s="188">
        <f>IFERROR(__xludf.DUMMYFUNCTION("""COMPUTED_VALUE"""),43764.0)</f>
        <v>43764</v>
      </c>
      <c r="F2078" s="188">
        <f>IFERROR(__xludf.DUMMYFUNCTION("""COMPUTED_VALUE"""),43800.0)</f>
        <v>43800</v>
      </c>
      <c r="I2078" t="str">
        <f>IFERROR(__xludf.DUMMYFUNCTION("""COMPUTED_VALUE"""),"11/19")</f>
        <v>11/19</v>
      </c>
      <c r="J2078" s="5">
        <f>IFERROR(__xludf.DUMMYFUNCTION("""COMPUTED_VALUE"""),43807.0)</f>
        <v>43807</v>
      </c>
      <c r="K2078">
        <f>IFERROR(__xludf.DUMMYFUNCTION("""COMPUTED_VALUE"""),36.0)</f>
        <v>36</v>
      </c>
      <c r="L2078">
        <f>IFERROR(__xludf.DUMMYFUNCTION("""COMPUTED_VALUE"""),7.0)</f>
        <v>7</v>
      </c>
      <c r="M2078">
        <f>IFERROR(__xludf.DUMMYFUNCTION("""COMPUTED_VALUE"""),43.0)</f>
        <v>43</v>
      </c>
      <c r="N2078" t="str">
        <f>IFERROR(__xludf.DUMMYFUNCTION("""COMPUTED_VALUE"""),"Model 3 LR AWD")</f>
        <v>Model 3 LR AWD</v>
      </c>
      <c r="O2078" t="str">
        <f>IFERROR(__xludf.DUMMYFUNCTION("""COMPUTED_VALUE"""),"Pearl White Multi-Coat")</f>
        <v>Pearl White Multi-Coat</v>
      </c>
      <c r="P2078" t="str">
        <f>IFERROR(__xludf.DUMMYFUNCTION("""COMPUTED_VALUE"""),"18 inch Aero")</f>
        <v>18 inch Aero</v>
      </c>
      <c r="Q2078" t="str">
        <f>IFERROR(__xludf.DUMMYFUNCTION("""COMPUTED_VALUE"""),"Black seats")</f>
        <v>Black seats</v>
      </c>
      <c r="R2078" t="str">
        <f>IFERROR(__xludf.DUMMYFUNCTION("""COMPUTED_VALUE"""),"Autopilot")</f>
        <v>Autopilot</v>
      </c>
      <c r="X2078" t="str">
        <f>IFERROR(__xludf.DUMMYFUNCTION("""COMPUTED_VALUE"""),"Excellent")</f>
        <v>Excellent</v>
      </c>
      <c r="Y2078" t="str">
        <f>IFERROR(__xludf.DUMMYFUNCTION("""COMPUTED_VALUE"""),"Very Good")</f>
        <v>Very Good</v>
      </c>
      <c r="Z2078" t="str">
        <f>IFERROR(__xludf.DUMMYFUNCTION("""COMPUTED_VALUE"""),"Excellent")</f>
        <v>Excellent</v>
      </c>
      <c r="AA2078" t="str">
        <f>IFERROR(__xludf.DUMMYFUNCTION("""COMPUTED_VALUE"""),"Excellent")</f>
        <v>Excellent</v>
      </c>
      <c r="AB2078" t="str">
        <f>IFERROR(__xludf.DUMMYFUNCTION("""COMPUTED_VALUE"""),"Excellent")</f>
        <v>Excellent</v>
      </c>
      <c r="AC2078">
        <f>IFERROR(__xludf.DUMMYFUNCTION("""COMPUTED_VALUE"""),1.0)</f>
        <v>1</v>
      </c>
      <c r="AD2078">
        <f>IFERROR(__xludf.DUMMYFUNCTION("""COMPUTED_VALUE"""),0.0)</f>
        <v>0</v>
      </c>
      <c r="AE2078">
        <f>IFERROR(__xludf.DUMMYFUNCTION("""COMPUTED_VALUE"""),0.0)</f>
        <v>0</v>
      </c>
      <c r="AG2078" t="str">
        <f>IFERROR(__xludf.DUMMYFUNCTION("""COMPUTED_VALUE"""),"Only defect, fixed on pickup, air filter panel loose")</f>
        <v>Only defect, fixed on pickup, air filter panel loose</v>
      </c>
      <c r="AH2078" s="189">
        <f>IFERROR(__xludf.DUMMYFUNCTION("""COMPUTED_VALUE"""),43807.63974788194)</f>
        <v>43807.63975</v>
      </c>
    </row>
    <row r="2079">
      <c r="A2079" t="str">
        <f>IFERROR(__xludf.DUMMYFUNCTION("""COMPUTED_VALUE"""),"afeudale")</f>
        <v>afeudale</v>
      </c>
      <c r="B2079" t="str">
        <f>IFERROR(__xludf.DUMMYFUNCTION("""COMPUTED_VALUE"""),"Toronto")</f>
        <v>Toronto</v>
      </c>
      <c r="C2079" t="str">
        <f>IFERROR(__xludf.DUMMYFUNCTION("""COMPUTED_VALUE"""),"ON")</f>
        <v>ON</v>
      </c>
      <c r="D2079" t="str">
        <f>IFERROR(__xludf.DUMMYFUNCTION("""COMPUTED_VALUE"""),"Canada")</f>
        <v>Canada</v>
      </c>
      <c r="E2079" s="188">
        <f>IFERROR(__xludf.DUMMYFUNCTION("""COMPUTED_VALUE"""),43761.0)</f>
        <v>43761</v>
      </c>
      <c r="F2079" s="188">
        <f>IFERROR(__xludf.DUMMYFUNCTION("""COMPUTED_VALUE"""),43788.0)</f>
        <v>43788</v>
      </c>
      <c r="H2079">
        <f>IFERROR(__xludf.DUMMYFUNCTION("""COMPUTED_VALUE"""),529455.0)</f>
        <v>529455</v>
      </c>
      <c r="J2079" s="5">
        <f>IFERROR(__xludf.DUMMYFUNCTION("""COMPUTED_VALUE"""),43804.0)</f>
        <v>43804</v>
      </c>
      <c r="K2079">
        <f>IFERROR(__xludf.DUMMYFUNCTION("""COMPUTED_VALUE"""),27.0)</f>
        <v>27</v>
      </c>
      <c r="L2079">
        <f>IFERROR(__xludf.DUMMYFUNCTION("""COMPUTED_VALUE"""),16.0)</f>
        <v>16</v>
      </c>
      <c r="M2079">
        <f>IFERROR(__xludf.DUMMYFUNCTION("""COMPUTED_VALUE"""),43.0)</f>
        <v>43</v>
      </c>
      <c r="N2079" t="str">
        <f>IFERROR(__xludf.DUMMYFUNCTION("""COMPUTED_VALUE"""),"Model 3 SR+")</f>
        <v>Model 3 SR+</v>
      </c>
      <c r="O2079" t="str">
        <f>IFERROR(__xludf.DUMMYFUNCTION("""COMPUTED_VALUE"""),"Pearl White Multi-Coat")</f>
        <v>Pearl White Multi-Coat</v>
      </c>
      <c r="P2079" t="str">
        <f>IFERROR(__xludf.DUMMYFUNCTION("""COMPUTED_VALUE"""),"18 inch Aero")</f>
        <v>18 inch Aero</v>
      </c>
      <c r="Q2079" t="str">
        <f>IFERROR(__xludf.DUMMYFUNCTION("""COMPUTED_VALUE"""),"Black seats")</f>
        <v>Black seats</v>
      </c>
      <c r="R2079" t="str">
        <f>IFERROR(__xludf.DUMMYFUNCTION("""COMPUTED_VALUE"""),"Autopilot")</f>
        <v>Autopilot</v>
      </c>
      <c r="X2079" t="str">
        <f>IFERROR(__xludf.DUMMYFUNCTION("""COMPUTED_VALUE"""),"Good")</f>
        <v>Good</v>
      </c>
      <c r="Y2079" t="str">
        <f>IFERROR(__xludf.DUMMYFUNCTION("""COMPUTED_VALUE"""),"Very Good")</f>
        <v>Very Good</v>
      </c>
      <c r="Z2079" t="str">
        <f>IFERROR(__xludf.DUMMYFUNCTION("""COMPUTED_VALUE"""),"Excellent")</f>
        <v>Excellent</v>
      </c>
      <c r="AA2079" t="str">
        <f>IFERROR(__xludf.DUMMYFUNCTION("""COMPUTED_VALUE"""),"Poor")</f>
        <v>Poor</v>
      </c>
      <c r="AB2079" t="str">
        <f>IFERROR(__xludf.DUMMYFUNCTION("""COMPUTED_VALUE"""),"Poor")</f>
        <v>Poor</v>
      </c>
      <c r="AG2079" t="str">
        <f>IFERROR(__xludf.DUMMYFUNCTION("""COMPUTED_VALUE"""),"Scheduling was a nightmare.  Originally scheduled for Dec 6, but when SA called, said we could come on the 4th to pickup - yay!  Showed up on the 4th, car not ready :(  They paid for Uber back home and Uber back to pickup the next day.  But what a waste o"&amp;"f time.  SA kept apologizing for messing up.")</f>
        <v>Scheduling was a nightmare.  Originally scheduled for Dec 6, but when SA called, said we could come on the 4th to pickup - yay!  Showed up on the 4th, car not ready :(  They paid for Uber back home and Uber back to pickup the next day.  But what a waste of time.  SA kept apologizing for messing up.</v>
      </c>
      <c r="AH2079" s="189">
        <f>IFERROR(__xludf.DUMMYFUNCTION("""COMPUTED_VALUE"""),43807.76319736111)</f>
        <v>43807.7632</v>
      </c>
    </row>
    <row r="2080">
      <c r="A2080" t="str">
        <f>IFERROR(__xludf.DUMMYFUNCTION("""COMPUTED_VALUE"""),"Chris3652")</f>
        <v>Chris3652</v>
      </c>
      <c r="B2080" t="str">
        <f>IFERROR(__xludf.DUMMYFUNCTION("""COMPUTED_VALUE"""),"Owings Mills")</f>
        <v>Owings Mills</v>
      </c>
      <c r="C2080" t="str">
        <f>IFERROR(__xludf.DUMMYFUNCTION("""COMPUTED_VALUE"""),"MD")</f>
        <v>MD</v>
      </c>
      <c r="D2080" t="str">
        <f>IFERROR(__xludf.DUMMYFUNCTION("""COMPUTED_VALUE"""),"USA")</f>
        <v>USA</v>
      </c>
      <c r="E2080" s="188">
        <f>IFERROR(__xludf.DUMMYFUNCTION("""COMPUTED_VALUE"""),43744.0)</f>
        <v>43744</v>
      </c>
      <c r="F2080" s="188">
        <f>IFERROR(__xludf.DUMMYFUNCTION("""COMPUTED_VALUE"""),43801.0)</f>
        <v>43801</v>
      </c>
      <c r="H2080">
        <f>IFERROR(__xludf.DUMMYFUNCTION("""COMPUTED_VALUE"""),602805.0)</f>
        <v>602805</v>
      </c>
      <c r="J2080" s="5">
        <f>IFERROR(__xludf.DUMMYFUNCTION("""COMPUTED_VALUE"""),43805.0)</f>
        <v>43805</v>
      </c>
      <c r="K2080">
        <f>IFERROR(__xludf.DUMMYFUNCTION("""COMPUTED_VALUE"""),57.0)</f>
        <v>57</v>
      </c>
      <c r="L2080">
        <f>IFERROR(__xludf.DUMMYFUNCTION("""COMPUTED_VALUE"""),4.0)</f>
        <v>4</v>
      </c>
      <c r="M2080">
        <f>IFERROR(__xludf.DUMMYFUNCTION("""COMPUTED_VALUE"""),61.0)</f>
        <v>61</v>
      </c>
      <c r="N2080" t="str">
        <f>IFERROR(__xludf.DUMMYFUNCTION("""COMPUTED_VALUE"""),"Model 3 Performance")</f>
        <v>Model 3 Performance</v>
      </c>
      <c r="O2080" t="str">
        <f>IFERROR(__xludf.DUMMYFUNCTION("""COMPUTED_VALUE"""),"Solid Black")</f>
        <v>Solid Black</v>
      </c>
      <c r="P2080" t="str">
        <f>IFERROR(__xludf.DUMMYFUNCTION("""COMPUTED_VALUE"""),"20 inch Sport")</f>
        <v>20 inch Sport</v>
      </c>
      <c r="Q2080" t="str">
        <f>IFERROR(__xludf.DUMMYFUNCTION("""COMPUTED_VALUE"""),"Black seats")</f>
        <v>Black seats</v>
      </c>
      <c r="R2080" t="str">
        <f>IFERROR(__xludf.DUMMYFUNCTION("""COMPUTED_VALUE"""),"Full Self-Driving")</f>
        <v>Full Self-Driving</v>
      </c>
      <c r="X2080" t="str">
        <f>IFERROR(__xludf.DUMMYFUNCTION("""COMPUTED_VALUE"""),"Excellent")</f>
        <v>Excellent</v>
      </c>
      <c r="Y2080" t="str">
        <f>IFERROR(__xludf.DUMMYFUNCTION("""COMPUTED_VALUE"""),"Good")</f>
        <v>Good</v>
      </c>
      <c r="Z2080" t="str">
        <f>IFERROR(__xludf.DUMMYFUNCTION("""COMPUTED_VALUE"""),"Excellent")</f>
        <v>Excellent</v>
      </c>
      <c r="AA2080" t="str">
        <f>IFERROR(__xludf.DUMMYFUNCTION("""COMPUTED_VALUE"""),"Very Good")</f>
        <v>Very Good</v>
      </c>
      <c r="AB2080" t="str">
        <f>IFERROR(__xludf.DUMMYFUNCTION("""COMPUTED_VALUE"""),"Excellent")</f>
        <v>Excellent</v>
      </c>
      <c r="AC2080">
        <f>IFERROR(__xludf.DUMMYFUNCTION("""COMPUTED_VALUE"""),3.0)</f>
        <v>3</v>
      </c>
      <c r="AD2080">
        <f>IFERROR(__xludf.DUMMYFUNCTION("""COMPUTED_VALUE"""),1.0)</f>
        <v>1</v>
      </c>
      <c r="AG2080" t="str">
        <f>IFERROR(__xludf.DUMMYFUNCTION("""COMPUTED_VALUE"""),"Missing frunk clips, gouged front passenger seat, interior panel above window falling off.. rear passenger ")</f>
        <v>Missing frunk clips, gouged front passenger seat, interior panel above window falling off.. rear passenger </v>
      </c>
      <c r="AH2080" s="189">
        <f>IFERROR(__xludf.DUMMYFUNCTION("""COMPUTED_VALUE"""),43807.76356425926)</f>
        <v>43807.76356</v>
      </c>
    </row>
    <row r="2081">
      <c r="A2081" t="str">
        <f>IFERROR(__xludf.DUMMYFUNCTION("""COMPUTED_VALUE"""),"kshah")</f>
        <v>kshah</v>
      </c>
      <c r="C2081" t="str">
        <f>IFERROR(__xludf.DUMMYFUNCTION("""COMPUTED_VALUE"""),"CA")</f>
        <v>CA</v>
      </c>
      <c r="D2081" t="str">
        <f>IFERROR(__xludf.DUMMYFUNCTION("""COMPUTED_VALUE"""),"USA")</f>
        <v>USA</v>
      </c>
      <c r="E2081" s="188">
        <f>IFERROR(__xludf.DUMMYFUNCTION("""COMPUTED_VALUE"""),43774.0)</f>
        <v>43774</v>
      </c>
      <c r="F2081" s="188">
        <f>IFERROR(__xludf.DUMMYFUNCTION("""COMPUTED_VALUE"""),43804.0)</f>
        <v>43804</v>
      </c>
      <c r="H2081">
        <f>IFERROR(__xludf.DUMMYFUNCTION("""COMPUTED_VALUE"""),601955.0)</f>
        <v>601955</v>
      </c>
      <c r="I2081" t="str">
        <f>IFERROR(__xludf.DUMMYFUNCTION("""COMPUTED_VALUE"""),"11/19")</f>
        <v>11/19</v>
      </c>
      <c r="J2081" s="5">
        <f>IFERROR(__xludf.DUMMYFUNCTION("""COMPUTED_VALUE"""),43807.0)</f>
        <v>43807</v>
      </c>
      <c r="K2081">
        <f>IFERROR(__xludf.DUMMYFUNCTION("""COMPUTED_VALUE"""),30.0)</f>
        <v>30</v>
      </c>
      <c r="L2081">
        <f>IFERROR(__xludf.DUMMYFUNCTION("""COMPUTED_VALUE"""),3.0)</f>
        <v>3</v>
      </c>
      <c r="M2081">
        <f>IFERROR(__xludf.DUMMYFUNCTION("""COMPUTED_VALUE"""),33.0)</f>
        <v>33</v>
      </c>
      <c r="N2081" t="str">
        <f>IFERROR(__xludf.DUMMYFUNCTION("""COMPUTED_VALUE"""),"Model 3 LR AWD")</f>
        <v>Model 3 LR AWD</v>
      </c>
      <c r="O2081" t="str">
        <f>IFERROR(__xludf.DUMMYFUNCTION("""COMPUTED_VALUE"""),"Red Multi-Coat")</f>
        <v>Red Multi-Coat</v>
      </c>
      <c r="P2081" t="str">
        <f>IFERROR(__xludf.DUMMYFUNCTION("""COMPUTED_VALUE"""),"18 inch Aero")</f>
        <v>18 inch Aero</v>
      </c>
      <c r="Q2081" t="str">
        <f>IFERROR(__xludf.DUMMYFUNCTION("""COMPUTED_VALUE"""),"Black seats")</f>
        <v>Black seats</v>
      </c>
      <c r="R2081" t="str">
        <f>IFERROR(__xludf.DUMMYFUNCTION("""COMPUTED_VALUE"""),"Full Self-Driving")</f>
        <v>Full Self-Driving</v>
      </c>
      <c r="X2081" t="str">
        <f>IFERROR(__xludf.DUMMYFUNCTION("""COMPUTED_VALUE"""),"Excellent")</f>
        <v>Excellent</v>
      </c>
      <c r="Y2081" t="str">
        <f>IFERROR(__xludf.DUMMYFUNCTION("""COMPUTED_VALUE"""),"Excellent")</f>
        <v>Excellent</v>
      </c>
      <c r="Z2081" t="str">
        <f>IFERROR(__xludf.DUMMYFUNCTION("""COMPUTED_VALUE"""),"Excellent")</f>
        <v>Excellent</v>
      </c>
      <c r="AA2081" t="str">
        <f>IFERROR(__xludf.DUMMYFUNCTION("""COMPUTED_VALUE"""),"Excellent")</f>
        <v>Excellent</v>
      </c>
      <c r="AB2081" t="str">
        <f>IFERROR(__xludf.DUMMYFUNCTION("""COMPUTED_VALUE"""),"Excellent")</f>
        <v>Excellent</v>
      </c>
      <c r="AG2081" t="str">
        <f>IFERROR(__xludf.DUMMYFUNCTION("""COMPUTED_VALUE"""),"Changed order to Stealth on 12/05")</f>
        <v>Changed order to Stealth on 12/05</v>
      </c>
      <c r="AH2081" s="189">
        <f>IFERROR(__xludf.DUMMYFUNCTION("""COMPUTED_VALUE"""),43807.95099399306)</f>
        <v>43807.95099</v>
      </c>
    </row>
    <row r="2082">
      <c r="A2082" t="str">
        <f>IFERROR(__xludf.DUMMYFUNCTION("""COMPUTED_VALUE"""),"SGM1980")</f>
        <v>SGM1980</v>
      </c>
      <c r="B2082" t="str">
        <f>IFERROR(__xludf.DUMMYFUNCTION("""COMPUTED_VALUE"""),"Raleigh")</f>
        <v>Raleigh</v>
      </c>
      <c r="C2082" t="str">
        <f>IFERROR(__xludf.DUMMYFUNCTION("""COMPUTED_VALUE"""),"NC")</f>
        <v>NC</v>
      </c>
      <c r="D2082" t="str">
        <f>IFERROR(__xludf.DUMMYFUNCTION("""COMPUTED_VALUE"""),"USA")</f>
        <v>USA</v>
      </c>
      <c r="E2082" s="188">
        <f>IFERROR(__xludf.DUMMYFUNCTION("""COMPUTED_VALUE"""),43766.0)</f>
        <v>43766</v>
      </c>
      <c r="F2082" s="188">
        <f>IFERROR(__xludf.DUMMYFUNCTION("""COMPUTED_VALUE"""),43803.0)</f>
        <v>43803</v>
      </c>
      <c r="H2082">
        <f>IFERROR(__xludf.DUMMYFUNCTION("""COMPUTED_VALUE"""),618355.0)</f>
        <v>618355</v>
      </c>
      <c r="J2082" s="5">
        <f>IFERROR(__xludf.DUMMYFUNCTION("""COMPUTED_VALUE"""),43807.0)</f>
        <v>43807</v>
      </c>
      <c r="K2082">
        <f>IFERROR(__xludf.DUMMYFUNCTION("""COMPUTED_VALUE"""),37.0)</f>
        <v>37</v>
      </c>
      <c r="L2082">
        <f>IFERROR(__xludf.DUMMYFUNCTION("""COMPUTED_VALUE"""),4.0)</f>
        <v>4</v>
      </c>
      <c r="M2082">
        <f>IFERROR(__xludf.DUMMYFUNCTION("""COMPUTED_VALUE"""),41.0)</f>
        <v>41</v>
      </c>
      <c r="N2082" t="str">
        <f>IFERROR(__xludf.DUMMYFUNCTION("""COMPUTED_VALUE"""),"Model 3 LR AWD")</f>
        <v>Model 3 LR AWD</v>
      </c>
      <c r="O2082" t="str">
        <f>IFERROR(__xludf.DUMMYFUNCTION("""COMPUTED_VALUE"""),"Pearl White Multi-Coat")</f>
        <v>Pearl White Multi-Coat</v>
      </c>
      <c r="P2082" t="str">
        <f>IFERROR(__xludf.DUMMYFUNCTION("""COMPUTED_VALUE"""),"18 inch Aero")</f>
        <v>18 inch Aero</v>
      </c>
      <c r="Q2082" t="str">
        <f>IFERROR(__xludf.DUMMYFUNCTION("""COMPUTED_VALUE"""),"Black seats")</f>
        <v>Black seats</v>
      </c>
      <c r="R2082" t="str">
        <f>IFERROR(__xludf.DUMMYFUNCTION("""COMPUTED_VALUE"""),"Autopilot")</f>
        <v>Autopilot</v>
      </c>
      <c r="X2082" t="str">
        <f>IFERROR(__xludf.DUMMYFUNCTION("""COMPUTED_VALUE"""),"Excellent")</f>
        <v>Excellent</v>
      </c>
      <c r="Y2082" t="str">
        <f>IFERROR(__xludf.DUMMYFUNCTION("""COMPUTED_VALUE"""),"Excellent")</f>
        <v>Excellent</v>
      </c>
      <c r="Z2082" t="str">
        <f>IFERROR(__xludf.DUMMYFUNCTION("""COMPUTED_VALUE"""),"Excellent")</f>
        <v>Excellent</v>
      </c>
      <c r="AA2082" t="str">
        <f>IFERROR(__xludf.DUMMYFUNCTION("""COMPUTED_VALUE"""),"Poor")</f>
        <v>Poor</v>
      </c>
      <c r="AB2082" t="str">
        <f>IFERROR(__xludf.DUMMYFUNCTION("""COMPUTED_VALUE"""),"Very Good")</f>
        <v>Very Good</v>
      </c>
      <c r="AH2082" s="189">
        <f>IFERROR(__xludf.DUMMYFUNCTION("""COMPUTED_VALUE"""),43808.296112118056)</f>
        <v>43808.29611</v>
      </c>
    </row>
    <row r="2083">
      <c r="A2083" t="str">
        <f>IFERROR(__xludf.DUMMYFUNCTION("""COMPUTED_VALUE"""),"SinNC")</f>
        <v>SinNC</v>
      </c>
      <c r="B2083" t="str">
        <f>IFERROR(__xludf.DUMMYFUNCTION("""COMPUTED_VALUE"""),"Raleigh ")</f>
        <v>Raleigh </v>
      </c>
      <c r="C2083" t="str">
        <f>IFERROR(__xludf.DUMMYFUNCTION("""COMPUTED_VALUE"""),"NC")</f>
        <v>NC</v>
      </c>
      <c r="D2083" t="str">
        <f>IFERROR(__xludf.DUMMYFUNCTION("""COMPUTED_VALUE"""),"USA")</f>
        <v>USA</v>
      </c>
      <c r="E2083" s="188">
        <f>IFERROR(__xludf.DUMMYFUNCTION("""COMPUTED_VALUE"""),43746.0)</f>
        <v>43746</v>
      </c>
      <c r="F2083" s="188">
        <f>IFERROR(__xludf.DUMMYFUNCTION("""COMPUTED_VALUE"""),43801.0)</f>
        <v>43801</v>
      </c>
      <c r="H2083">
        <f>IFERROR(__xludf.DUMMYFUNCTION("""COMPUTED_VALUE"""),602909.0)</f>
        <v>602909</v>
      </c>
      <c r="J2083" s="5">
        <f>IFERROR(__xludf.DUMMYFUNCTION("""COMPUTED_VALUE"""),43807.0)</f>
        <v>43807</v>
      </c>
      <c r="K2083">
        <f>IFERROR(__xludf.DUMMYFUNCTION("""COMPUTED_VALUE"""),55.0)</f>
        <v>55</v>
      </c>
      <c r="L2083">
        <f>IFERROR(__xludf.DUMMYFUNCTION("""COMPUTED_VALUE"""),6.0)</f>
        <v>6</v>
      </c>
      <c r="M2083">
        <f>IFERROR(__xludf.DUMMYFUNCTION("""COMPUTED_VALUE"""),61.0)</f>
        <v>61</v>
      </c>
      <c r="N2083" t="str">
        <f>IFERROR(__xludf.DUMMYFUNCTION("""COMPUTED_VALUE"""),"Model 3 Performance")</f>
        <v>Model 3 Performance</v>
      </c>
      <c r="O2083" t="str">
        <f>IFERROR(__xludf.DUMMYFUNCTION("""COMPUTED_VALUE"""),"Midnight Silver Metallic")</f>
        <v>Midnight Silver Metallic</v>
      </c>
      <c r="P2083" t="str">
        <f>IFERROR(__xludf.DUMMYFUNCTION("""COMPUTED_VALUE"""),"20 inch Sport")</f>
        <v>20 inch Sport</v>
      </c>
      <c r="Q2083" t="str">
        <f>IFERROR(__xludf.DUMMYFUNCTION("""COMPUTED_VALUE"""),"Black seats")</f>
        <v>Black seats</v>
      </c>
      <c r="R2083" t="str">
        <f>IFERROR(__xludf.DUMMYFUNCTION("""COMPUTED_VALUE"""),"Full Self-Driving")</f>
        <v>Full Self-Driving</v>
      </c>
      <c r="X2083" t="str">
        <f>IFERROR(__xludf.DUMMYFUNCTION("""COMPUTED_VALUE"""),"Excellent")</f>
        <v>Excellent</v>
      </c>
      <c r="Y2083" t="str">
        <f>IFERROR(__xludf.DUMMYFUNCTION("""COMPUTED_VALUE"""),"Excellent")</f>
        <v>Excellent</v>
      </c>
      <c r="Z2083" t="str">
        <f>IFERROR(__xludf.DUMMYFUNCTION("""COMPUTED_VALUE"""),"Excellent")</f>
        <v>Excellent</v>
      </c>
      <c r="AA2083" t="str">
        <f>IFERROR(__xludf.DUMMYFUNCTION("""COMPUTED_VALUE"""),"Fair")</f>
        <v>Fair</v>
      </c>
      <c r="AB2083" t="str">
        <f>IFERROR(__xludf.DUMMYFUNCTION("""COMPUTED_VALUE"""),"Excellent")</f>
        <v>Excellent</v>
      </c>
      <c r="AC2083">
        <f>IFERROR(__xludf.DUMMYFUNCTION("""COMPUTED_VALUE"""),0.0)</f>
        <v>0</v>
      </c>
      <c r="AG2083" t="str">
        <f>IFERROR(__xludf.DUMMYFUNCTION("""COMPUTED_VALUE"""),"VIN from source code")</f>
        <v>VIN from source code</v>
      </c>
      <c r="AH2083" s="189">
        <f>IFERROR(__xludf.DUMMYFUNCTION("""COMPUTED_VALUE"""),43808.37919659722)</f>
        <v>43808.3792</v>
      </c>
    </row>
    <row r="2084">
      <c r="A2084" t="str">
        <f>IFERROR(__xludf.DUMMYFUNCTION("""COMPUTED_VALUE"""),"ppopek")</f>
        <v>ppopek</v>
      </c>
      <c r="B2084" t="str">
        <f>IFERROR(__xludf.DUMMYFUNCTION("""COMPUTED_VALUE"""),"Boston")</f>
        <v>Boston</v>
      </c>
      <c r="C2084" t="str">
        <f>IFERROR(__xludf.DUMMYFUNCTION("""COMPUTED_VALUE"""),"MA")</f>
        <v>MA</v>
      </c>
      <c r="D2084" t="str">
        <f>IFERROR(__xludf.DUMMYFUNCTION("""COMPUTED_VALUE"""),"USA")</f>
        <v>USA</v>
      </c>
      <c r="E2084" s="188">
        <f>IFERROR(__xludf.DUMMYFUNCTION("""COMPUTED_VALUE"""),43742.0)</f>
        <v>43742</v>
      </c>
      <c r="F2084" s="188">
        <f>IFERROR(__xludf.DUMMYFUNCTION("""COMPUTED_VALUE"""),43768.0)</f>
        <v>43768</v>
      </c>
      <c r="H2084">
        <f>IFERROR(__xludf.DUMMYFUNCTION("""COMPUTED_VALUE"""),476255.0)</f>
        <v>476255</v>
      </c>
      <c r="J2084" s="5">
        <f>IFERROR(__xludf.DUMMYFUNCTION("""COMPUTED_VALUE"""),43784.0)</f>
        <v>43784</v>
      </c>
      <c r="K2084">
        <f>IFERROR(__xludf.DUMMYFUNCTION("""COMPUTED_VALUE"""),26.0)</f>
        <v>26</v>
      </c>
      <c r="L2084">
        <f>IFERROR(__xludf.DUMMYFUNCTION("""COMPUTED_VALUE"""),16.0)</f>
        <v>16</v>
      </c>
      <c r="M2084">
        <f>IFERROR(__xludf.DUMMYFUNCTION("""COMPUTED_VALUE"""),42.0)</f>
        <v>42</v>
      </c>
      <c r="N2084" t="str">
        <f>IFERROR(__xludf.DUMMYFUNCTION("""COMPUTED_VALUE"""),"Model 3 SR+")</f>
        <v>Model 3 SR+</v>
      </c>
      <c r="O2084" t="str">
        <f>IFERROR(__xludf.DUMMYFUNCTION("""COMPUTED_VALUE"""),"Deep Blue Metallic")</f>
        <v>Deep Blue Metallic</v>
      </c>
      <c r="P2084" t="str">
        <f>IFERROR(__xludf.DUMMYFUNCTION("""COMPUTED_VALUE"""),"18 inch Aero")</f>
        <v>18 inch Aero</v>
      </c>
      <c r="Q2084" t="str">
        <f>IFERROR(__xludf.DUMMYFUNCTION("""COMPUTED_VALUE"""),"Black seats")</f>
        <v>Black seats</v>
      </c>
      <c r="R2084" t="str">
        <f>IFERROR(__xludf.DUMMYFUNCTION("""COMPUTED_VALUE"""),"Autopilot")</f>
        <v>Autopilot</v>
      </c>
      <c r="X2084" t="str">
        <f>IFERROR(__xludf.DUMMYFUNCTION("""COMPUTED_VALUE"""),"Excellent")</f>
        <v>Excellent</v>
      </c>
      <c r="Y2084" t="str">
        <f>IFERROR(__xludf.DUMMYFUNCTION("""COMPUTED_VALUE"""),"Excellent")</f>
        <v>Excellent</v>
      </c>
      <c r="Z2084" t="str">
        <f>IFERROR(__xludf.DUMMYFUNCTION("""COMPUTED_VALUE"""),"Excellent")</f>
        <v>Excellent</v>
      </c>
      <c r="AA2084" t="str">
        <f>IFERROR(__xludf.DUMMYFUNCTION("""COMPUTED_VALUE"""),"Good")</f>
        <v>Good</v>
      </c>
      <c r="AB2084" t="str">
        <f>IFERROR(__xludf.DUMMYFUNCTION("""COMPUTED_VALUE"""),"Good")</f>
        <v>Good</v>
      </c>
      <c r="AC2084">
        <f>IFERROR(__xludf.DUMMYFUNCTION("""COMPUTED_VALUE"""),0.0)</f>
        <v>0</v>
      </c>
      <c r="AD2084">
        <f>IFERROR(__xludf.DUMMYFUNCTION("""COMPUTED_VALUE"""),0.0)</f>
        <v>0</v>
      </c>
      <c r="AE2084">
        <f>IFERROR(__xludf.DUMMYFUNCTION("""COMPUTED_VALUE"""),0.0)</f>
        <v>0</v>
      </c>
      <c r="AG2084" t="str">
        <f>IFERROR(__xludf.DUMMYFUNCTION("""COMPUTED_VALUE"""),"Texted VIN before it showed up in Account")</f>
        <v>Texted VIN before it showed up in Account</v>
      </c>
      <c r="AH2084" s="189">
        <f>IFERROR(__xludf.DUMMYFUNCTION("""COMPUTED_VALUE"""),43808.484027858794)</f>
        <v>43808.48403</v>
      </c>
    </row>
    <row r="2085">
      <c r="A2085" t="str">
        <f>IFERROR(__xludf.DUMMYFUNCTION("""COMPUTED_VALUE"""),"Jenova944")</f>
        <v>Jenova944</v>
      </c>
      <c r="B2085" t="str">
        <f>IFERROR(__xludf.DUMMYFUNCTION("""COMPUTED_VALUE"""),"Royal Leamington Spa")</f>
        <v>Royal Leamington Spa</v>
      </c>
      <c r="D2085" t="str">
        <f>IFERROR(__xludf.DUMMYFUNCTION("""COMPUTED_VALUE"""),"United Kingdom")</f>
        <v>United Kingdom</v>
      </c>
      <c r="E2085" s="188">
        <f>IFERROR(__xludf.DUMMYFUNCTION("""COMPUTED_VALUE"""),43744.0)</f>
        <v>43744</v>
      </c>
      <c r="F2085" s="188">
        <f>IFERROR(__xludf.DUMMYFUNCTION("""COMPUTED_VALUE"""),43794.0)</f>
        <v>43794</v>
      </c>
      <c r="H2085">
        <f>IFERROR(__xludf.DUMMYFUNCTION("""COMPUTED_VALUE"""),537253.0)</f>
        <v>537253</v>
      </c>
      <c r="J2085" s="5">
        <f>IFERROR(__xludf.DUMMYFUNCTION("""COMPUTED_VALUE"""),43808.0)</f>
        <v>43808</v>
      </c>
      <c r="K2085">
        <f>IFERROR(__xludf.DUMMYFUNCTION("""COMPUTED_VALUE"""),50.0)</f>
        <v>50</v>
      </c>
      <c r="L2085">
        <f>IFERROR(__xludf.DUMMYFUNCTION("""COMPUTED_VALUE"""),14.0)</f>
        <v>14</v>
      </c>
      <c r="M2085">
        <f>IFERROR(__xludf.DUMMYFUNCTION("""COMPUTED_VALUE"""),64.0)</f>
        <v>64</v>
      </c>
      <c r="N2085" t="str">
        <f>IFERROR(__xludf.DUMMYFUNCTION("""COMPUTED_VALUE"""),"Model 3 SR+")</f>
        <v>Model 3 SR+</v>
      </c>
      <c r="O2085" t="str">
        <f>IFERROR(__xludf.DUMMYFUNCTION("""COMPUTED_VALUE"""),"Midnight Silver Metallic")</f>
        <v>Midnight Silver Metallic</v>
      </c>
      <c r="P2085" t="str">
        <f>IFERROR(__xludf.DUMMYFUNCTION("""COMPUTED_VALUE"""),"18 inch Aero")</f>
        <v>18 inch Aero</v>
      </c>
      <c r="Q2085" t="str">
        <f>IFERROR(__xludf.DUMMYFUNCTION("""COMPUTED_VALUE"""),"Black seats")</f>
        <v>Black seats</v>
      </c>
      <c r="R2085" t="str">
        <f>IFERROR(__xludf.DUMMYFUNCTION("""COMPUTED_VALUE"""),"Autopilot")</f>
        <v>Autopilot</v>
      </c>
      <c r="X2085" t="str">
        <f>IFERROR(__xludf.DUMMYFUNCTION("""COMPUTED_VALUE"""),"Excellent")</f>
        <v>Excellent</v>
      </c>
      <c r="Y2085" t="str">
        <f>IFERROR(__xludf.DUMMYFUNCTION("""COMPUTED_VALUE"""),"Excellent")</f>
        <v>Excellent</v>
      </c>
      <c r="Z2085" t="str">
        <f>IFERROR(__xludf.DUMMYFUNCTION("""COMPUTED_VALUE"""),"Very Good")</f>
        <v>Very Good</v>
      </c>
      <c r="AA2085" t="str">
        <f>IFERROR(__xludf.DUMMYFUNCTION("""COMPUTED_VALUE"""),"Fair")</f>
        <v>Fair</v>
      </c>
      <c r="AB2085" t="str">
        <f>IFERROR(__xludf.DUMMYFUNCTION("""COMPUTED_VALUE"""),"Very Good")</f>
        <v>Very Good</v>
      </c>
      <c r="AC2085">
        <f>IFERROR(__xludf.DUMMYFUNCTION("""COMPUTED_VALUE"""),1.0)</f>
        <v>1</v>
      </c>
      <c r="AH2085" s="189">
        <f>IFERROR(__xludf.DUMMYFUNCTION("""COMPUTED_VALUE"""),43808.61320920139)</f>
        <v>43808.61321</v>
      </c>
    </row>
    <row r="2086">
      <c r="A2086" t="str">
        <f>IFERROR(__xludf.DUMMYFUNCTION("""COMPUTED_VALUE"""),"lilsteens")</f>
        <v>lilsteens</v>
      </c>
      <c r="B2086" t="str">
        <f>IFERROR(__xludf.DUMMYFUNCTION("""COMPUTED_VALUE"""),"Santa Barbara")</f>
        <v>Santa Barbara</v>
      </c>
      <c r="C2086" t="str">
        <f>IFERROR(__xludf.DUMMYFUNCTION("""COMPUTED_VALUE"""),"CA")</f>
        <v>CA</v>
      </c>
      <c r="D2086" t="str">
        <f>IFERROR(__xludf.DUMMYFUNCTION("""COMPUTED_VALUE"""),"USA")</f>
        <v>USA</v>
      </c>
      <c r="E2086" s="188">
        <f>IFERROR(__xludf.DUMMYFUNCTION("""COMPUTED_VALUE"""),43759.0)</f>
        <v>43759</v>
      </c>
      <c r="F2086" s="188">
        <f>IFERROR(__xludf.DUMMYFUNCTION("""COMPUTED_VALUE"""),43798.0)</f>
        <v>43798</v>
      </c>
      <c r="J2086" s="5">
        <f>IFERROR(__xludf.DUMMYFUNCTION("""COMPUTED_VALUE"""),43800.0)</f>
        <v>43800</v>
      </c>
      <c r="K2086">
        <f>IFERROR(__xludf.DUMMYFUNCTION("""COMPUTED_VALUE"""),39.0)</f>
        <v>39</v>
      </c>
      <c r="L2086">
        <f>IFERROR(__xludf.DUMMYFUNCTION("""COMPUTED_VALUE"""),2.0)</f>
        <v>2</v>
      </c>
      <c r="M2086">
        <f>IFERROR(__xludf.DUMMYFUNCTION("""COMPUTED_VALUE"""),41.0)</f>
        <v>41</v>
      </c>
      <c r="N2086" t="str">
        <f>IFERROR(__xludf.DUMMYFUNCTION("""COMPUTED_VALUE"""),"Model 3 SR+")</f>
        <v>Model 3 SR+</v>
      </c>
      <c r="O2086" t="str">
        <f>IFERROR(__xludf.DUMMYFUNCTION("""COMPUTED_VALUE"""),"Pearl White Multi-Coat")</f>
        <v>Pearl White Multi-Coat</v>
      </c>
      <c r="P2086" t="str">
        <f>IFERROR(__xludf.DUMMYFUNCTION("""COMPUTED_VALUE"""),"18 inch Aero")</f>
        <v>18 inch Aero</v>
      </c>
      <c r="Q2086" t="str">
        <f>IFERROR(__xludf.DUMMYFUNCTION("""COMPUTED_VALUE"""),"White seats")</f>
        <v>White seats</v>
      </c>
      <c r="R2086" t="str">
        <f>IFERROR(__xludf.DUMMYFUNCTION("""COMPUTED_VALUE"""),"Autopilot")</f>
        <v>Autopilot</v>
      </c>
      <c r="X2086" t="str">
        <f>IFERROR(__xludf.DUMMYFUNCTION("""COMPUTED_VALUE"""),"Fair")</f>
        <v>Fair</v>
      </c>
      <c r="Y2086" t="str">
        <f>IFERROR(__xludf.DUMMYFUNCTION("""COMPUTED_VALUE"""),"Good")</f>
        <v>Good</v>
      </c>
      <c r="Z2086" t="str">
        <f>IFERROR(__xludf.DUMMYFUNCTION("""COMPUTED_VALUE"""),"Excellent")</f>
        <v>Excellent</v>
      </c>
      <c r="AA2086" t="str">
        <f>IFERROR(__xludf.DUMMYFUNCTION("""COMPUTED_VALUE"""),"Excellent")</f>
        <v>Excellent</v>
      </c>
      <c r="AB2086" t="str">
        <f>IFERROR(__xludf.DUMMYFUNCTION("""COMPUTED_VALUE"""),"Excellent")</f>
        <v>Excellent</v>
      </c>
      <c r="AC2086">
        <f>IFERROR(__xludf.DUMMYFUNCTION("""COMPUTED_VALUE"""),2.0)</f>
        <v>2</v>
      </c>
      <c r="AD2086">
        <f>IFERROR(__xludf.DUMMYFUNCTION("""COMPUTED_VALUE"""),0.0)</f>
        <v>0</v>
      </c>
      <c r="AE2086">
        <f>IFERROR(__xludf.DUMMYFUNCTION("""COMPUTED_VALUE"""),0.0)</f>
        <v>0</v>
      </c>
      <c r="AH2086" s="189">
        <f>IFERROR(__xludf.DUMMYFUNCTION("""COMPUTED_VALUE"""),43808.61464017361)</f>
        <v>43808.61464</v>
      </c>
    </row>
    <row r="2087">
      <c r="A2087" t="str">
        <f>IFERROR(__xludf.DUMMYFUNCTION("""COMPUTED_VALUE"""),"VandalSibs")</f>
        <v>VandalSibs</v>
      </c>
      <c r="C2087" t="str">
        <f>IFERROR(__xludf.DUMMYFUNCTION("""COMPUTED_VALUE"""),"WA")</f>
        <v>WA</v>
      </c>
      <c r="D2087" t="str">
        <f>IFERROR(__xludf.DUMMYFUNCTION("""COMPUTED_VALUE"""),"USA")</f>
        <v>USA</v>
      </c>
      <c r="E2087" s="188">
        <f>IFERROR(__xludf.DUMMYFUNCTION("""COMPUTED_VALUE"""),43749.0)</f>
        <v>43749</v>
      </c>
      <c r="F2087" s="188">
        <f>IFERROR(__xludf.DUMMYFUNCTION("""COMPUTED_VALUE"""),43784.0)</f>
        <v>43784</v>
      </c>
      <c r="H2087">
        <f>IFERROR(__xludf.DUMMYFUNCTION("""COMPUTED_VALUE"""),476337.0)</f>
        <v>476337</v>
      </c>
      <c r="I2087" t="str">
        <f>IFERROR(__xludf.DUMMYFUNCTION("""COMPUTED_VALUE"""),"11/19")</f>
        <v>11/19</v>
      </c>
      <c r="J2087" s="5">
        <f>IFERROR(__xludf.DUMMYFUNCTION("""COMPUTED_VALUE"""),43791.0)</f>
        <v>43791</v>
      </c>
      <c r="K2087">
        <f>IFERROR(__xludf.DUMMYFUNCTION("""COMPUTED_VALUE"""),35.0)</f>
        <v>35</v>
      </c>
      <c r="L2087">
        <f>IFERROR(__xludf.DUMMYFUNCTION("""COMPUTED_VALUE"""),7.0)</f>
        <v>7</v>
      </c>
      <c r="M2087">
        <f>IFERROR(__xludf.DUMMYFUNCTION("""COMPUTED_VALUE"""),42.0)</f>
        <v>42</v>
      </c>
      <c r="N2087" t="str">
        <f>IFERROR(__xludf.DUMMYFUNCTION("""COMPUTED_VALUE"""),"Model 3 SR+")</f>
        <v>Model 3 SR+</v>
      </c>
      <c r="O2087" t="str">
        <f>IFERROR(__xludf.DUMMYFUNCTION("""COMPUTED_VALUE"""),"Deep Blue Metallic")</f>
        <v>Deep Blue Metallic</v>
      </c>
      <c r="P2087" t="str">
        <f>IFERROR(__xludf.DUMMYFUNCTION("""COMPUTED_VALUE"""),"18 inch Aero")</f>
        <v>18 inch Aero</v>
      </c>
      <c r="Q2087" t="str">
        <f>IFERROR(__xludf.DUMMYFUNCTION("""COMPUTED_VALUE"""),"Black seats")</f>
        <v>Black seats</v>
      </c>
      <c r="R2087" t="str">
        <f>IFERROR(__xludf.DUMMYFUNCTION("""COMPUTED_VALUE"""),"Autopilot")</f>
        <v>Autopilot</v>
      </c>
      <c r="X2087" t="str">
        <f>IFERROR(__xludf.DUMMYFUNCTION("""COMPUTED_VALUE"""),"Very Good")</f>
        <v>Very Good</v>
      </c>
      <c r="Y2087" t="str">
        <f>IFERROR(__xludf.DUMMYFUNCTION("""COMPUTED_VALUE"""),"Excellent")</f>
        <v>Excellent</v>
      </c>
      <c r="Z2087" t="str">
        <f>IFERROR(__xludf.DUMMYFUNCTION("""COMPUTED_VALUE"""),"Very Good")</f>
        <v>Very Good</v>
      </c>
      <c r="AA2087" t="str">
        <f>IFERROR(__xludf.DUMMYFUNCTION("""COMPUTED_VALUE"""),"Good")</f>
        <v>Good</v>
      </c>
      <c r="AB2087" t="str">
        <f>IFERROR(__xludf.DUMMYFUNCTION("""COMPUTED_VALUE"""),"Very Good")</f>
        <v>Very Good</v>
      </c>
      <c r="AC2087">
        <f>IFERROR(__xludf.DUMMYFUNCTION("""COMPUTED_VALUE"""),0.0)</f>
        <v>0</v>
      </c>
      <c r="AD2087">
        <f>IFERROR(__xludf.DUMMYFUNCTION("""COMPUTED_VALUE"""),0.0)</f>
        <v>0</v>
      </c>
      <c r="AE2087">
        <f>IFERROR(__xludf.DUMMYFUNCTION("""COMPUTED_VALUE"""),0.0)</f>
        <v>0</v>
      </c>
      <c r="AG2087" t="str">
        <f>IFERROR(__xludf.DUMMYFUNCTION("""COMPUTED_VALUE"""),"Pickup went awesomely!")</f>
        <v>Pickup went awesomely!</v>
      </c>
      <c r="AH2087" s="189">
        <f>IFERROR(__xludf.DUMMYFUNCTION("""COMPUTED_VALUE"""),43809.49763159722)</f>
        <v>43809.49763</v>
      </c>
    </row>
    <row r="2088">
      <c r="A2088" t="str">
        <f>IFERROR(__xludf.DUMMYFUNCTION("""COMPUTED_VALUE"""),"Anthony99994")</f>
        <v>Anthony99994</v>
      </c>
      <c r="B2088" t="str">
        <f>IFERROR(__xludf.DUMMYFUNCTION("""COMPUTED_VALUE"""),"Phoenix")</f>
        <v>Phoenix</v>
      </c>
      <c r="C2088" t="str">
        <f>IFERROR(__xludf.DUMMYFUNCTION("""COMPUTED_VALUE"""),"AZ")</f>
        <v>AZ</v>
      </c>
      <c r="D2088" t="str">
        <f>IFERROR(__xludf.DUMMYFUNCTION("""COMPUTED_VALUE"""),"USA")</f>
        <v>USA</v>
      </c>
      <c r="E2088" s="188">
        <f>IFERROR(__xludf.DUMMYFUNCTION("""COMPUTED_VALUE"""),44369.0)</f>
        <v>44369</v>
      </c>
      <c r="F2088" s="188">
        <f>IFERROR(__xludf.DUMMYFUNCTION("""COMPUTED_VALUE"""),44393.0)</f>
        <v>44393</v>
      </c>
      <c r="G2088" t="str">
        <f>IFERROR(__xludf.DUMMYFUNCTION("""COMPUTED_VALUE"""),"Text message")</f>
        <v>Text message</v>
      </c>
      <c r="H2088">
        <f>IFERROR(__xludf.DUMMYFUNCTION("""COMPUTED_VALUE"""),15555.0)</f>
        <v>15555</v>
      </c>
      <c r="J2088" s="188">
        <f>IFERROR(__xludf.DUMMYFUNCTION("""COMPUTED_VALUE"""),44396.0)</f>
        <v>44396</v>
      </c>
      <c r="K2088">
        <f>IFERROR(__xludf.DUMMYFUNCTION("""COMPUTED_VALUE"""),24.0)</f>
        <v>24</v>
      </c>
      <c r="L2088">
        <f>IFERROR(__xludf.DUMMYFUNCTION("""COMPUTED_VALUE"""),3.0)</f>
        <v>3</v>
      </c>
      <c r="M2088">
        <f>IFERROR(__xludf.DUMMYFUNCTION("""COMPUTED_VALUE"""),27.0)</f>
        <v>27</v>
      </c>
      <c r="N2088" t="str">
        <f>IFERROR(__xludf.DUMMYFUNCTION("""COMPUTED_VALUE"""),"Model 3 LR AWD")</f>
        <v>Model 3 LR AWD</v>
      </c>
      <c r="O2088" t="str">
        <f>IFERROR(__xludf.DUMMYFUNCTION("""COMPUTED_VALUE"""),"Pearl White Multi-Coat")</f>
        <v>Pearl White Multi-Coat</v>
      </c>
      <c r="P2088" t="str">
        <f>IFERROR(__xludf.DUMMYFUNCTION("""COMPUTED_VALUE"""),"19 inch")</f>
        <v>19 inch</v>
      </c>
      <c r="Q2088" t="str">
        <f>IFERROR(__xludf.DUMMYFUNCTION("""COMPUTED_VALUE"""),"Black and White")</f>
        <v>Black and White</v>
      </c>
      <c r="R2088" t="str">
        <f>IFERROR(__xludf.DUMMYFUNCTION("""COMPUTED_VALUE"""),"Autopilot included")</f>
        <v>Autopilot included</v>
      </c>
      <c r="S2088" t="str">
        <f>IFERROR(__xludf.DUMMYFUNCTION("""COMPUTED_VALUE"""),"Loan")</f>
        <v>Loan</v>
      </c>
      <c r="T2088" t="str">
        <f>IFERROR(__xludf.DUMMYFUNCTION("""COMPUTED_VALUE"""),"Tesla Model 3")</f>
        <v>Tesla Model 3</v>
      </c>
      <c r="U2088" t="str">
        <f>IFERROR(__xludf.DUMMYFUNCTION("""COMPUTED_VALUE"""),"Electric!")</f>
        <v>Electric!</v>
      </c>
      <c r="V2088" t="str">
        <f>IFERROR(__xludf.DUMMYFUNCTION("""COMPUTED_VALUE"""),"360° Bird's eye view")</f>
        <v>360° Bird's eye view</v>
      </c>
      <c r="X2088" t="str">
        <f>IFERROR(__xludf.DUMMYFUNCTION("""COMPUTED_VALUE"""),"Excellent")</f>
        <v>Excellent</v>
      </c>
      <c r="Y2088" t="str">
        <f>IFERROR(__xludf.DUMMYFUNCTION("""COMPUTED_VALUE"""),"Excellent")</f>
        <v>Excellent</v>
      </c>
      <c r="Z2088" t="str">
        <f>IFERROR(__xludf.DUMMYFUNCTION("""COMPUTED_VALUE"""),"Excellent")</f>
        <v>Excellent</v>
      </c>
      <c r="AA2088" t="str">
        <f>IFERROR(__xludf.DUMMYFUNCTION("""COMPUTED_VALUE"""),"Good")</f>
        <v>Good</v>
      </c>
      <c r="AB2088" t="str">
        <f>IFERROR(__xludf.DUMMYFUNCTION("""COMPUTED_VALUE"""),"Very Good")</f>
        <v>Very Good</v>
      </c>
      <c r="AC2088">
        <f>IFERROR(__xludf.DUMMYFUNCTION("""COMPUTED_VALUE"""),1.0)</f>
        <v>1</v>
      </c>
      <c r="AD2088">
        <f>IFERROR(__xludf.DUMMYFUNCTION("""COMPUTED_VALUE"""),1.0)</f>
        <v>1</v>
      </c>
      <c r="AF2088" t="str">
        <f>IFERROR(__xludf.DUMMYFUNCTION("""COMPUTED_VALUE"""),"No. I took delivery of the first car Tesla was able to deliver.")</f>
        <v>No. I took delivery of the first car Tesla was able to deliver.</v>
      </c>
      <c r="AH2088" s="189">
        <f>IFERROR(__xludf.DUMMYFUNCTION("""COMPUTED_VALUE"""),44396.604829606484)</f>
        <v>44396.60483</v>
      </c>
    </row>
    <row r="2089">
      <c r="A2089" t="str">
        <f>IFERROR(__xludf.DUMMYFUNCTION("""COMPUTED_VALUE"""),"stewy001")</f>
        <v>stewy001</v>
      </c>
      <c r="B2089" t="str">
        <f>IFERROR(__xludf.DUMMYFUNCTION("""COMPUTED_VALUE"""),"Seattle")</f>
        <v>Seattle</v>
      </c>
      <c r="C2089" t="str">
        <f>IFERROR(__xludf.DUMMYFUNCTION("""COMPUTED_VALUE"""),"WA")</f>
        <v>WA</v>
      </c>
      <c r="D2089" t="str">
        <f>IFERROR(__xludf.DUMMYFUNCTION("""COMPUTED_VALUE"""),"USA")</f>
        <v>USA</v>
      </c>
      <c r="E2089" s="188">
        <f>IFERROR(__xludf.DUMMYFUNCTION("""COMPUTED_VALUE"""),43749.0)</f>
        <v>43749</v>
      </c>
      <c r="F2089" s="188">
        <f>IFERROR(__xludf.DUMMYFUNCTION("""COMPUTED_VALUE"""),43805.0)</f>
        <v>43805</v>
      </c>
      <c r="H2089">
        <f>IFERROR(__xludf.DUMMYFUNCTION("""COMPUTED_VALUE"""),620955.0)</f>
        <v>620955</v>
      </c>
      <c r="J2089" s="5">
        <f>IFERROR(__xludf.DUMMYFUNCTION("""COMPUTED_VALUE"""),43809.0)</f>
        <v>43809</v>
      </c>
      <c r="K2089">
        <f>IFERROR(__xludf.DUMMYFUNCTION("""COMPUTED_VALUE"""),56.0)</f>
        <v>56</v>
      </c>
      <c r="L2089">
        <f>IFERROR(__xludf.DUMMYFUNCTION("""COMPUTED_VALUE"""),4.0)</f>
        <v>4</v>
      </c>
      <c r="M2089">
        <f>IFERROR(__xludf.DUMMYFUNCTION("""COMPUTED_VALUE"""),60.0)</f>
        <v>60</v>
      </c>
      <c r="N2089" t="str">
        <f>IFERROR(__xludf.DUMMYFUNCTION("""COMPUTED_VALUE"""),"Model 3 LR AWD")</f>
        <v>Model 3 LR AWD</v>
      </c>
      <c r="O2089" t="str">
        <f>IFERROR(__xludf.DUMMYFUNCTION("""COMPUTED_VALUE"""),"Pearl White Multi-Coat")</f>
        <v>Pearl White Multi-Coat</v>
      </c>
      <c r="P2089" t="str">
        <f>IFERROR(__xludf.DUMMYFUNCTION("""COMPUTED_VALUE"""),"19 inch Sport")</f>
        <v>19 inch Sport</v>
      </c>
      <c r="Q2089" t="str">
        <f>IFERROR(__xludf.DUMMYFUNCTION("""COMPUTED_VALUE"""),"Black seats")</f>
        <v>Black seats</v>
      </c>
      <c r="R2089" t="str">
        <f>IFERROR(__xludf.DUMMYFUNCTION("""COMPUTED_VALUE"""),"Autopilot")</f>
        <v>Autopilot</v>
      </c>
      <c r="X2089" t="str">
        <f>IFERROR(__xludf.DUMMYFUNCTION("""COMPUTED_VALUE"""),"Good")</f>
        <v>Good</v>
      </c>
      <c r="Y2089" t="str">
        <f>IFERROR(__xludf.DUMMYFUNCTION("""COMPUTED_VALUE"""),"Poor")</f>
        <v>Poor</v>
      </c>
      <c r="Z2089" t="str">
        <f>IFERROR(__xludf.DUMMYFUNCTION("""COMPUTED_VALUE"""),"Very Good")</f>
        <v>Very Good</v>
      </c>
      <c r="AA2089" t="str">
        <f>IFERROR(__xludf.DUMMYFUNCTION("""COMPUTED_VALUE"""),"Excellent")</f>
        <v>Excellent</v>
      </c>
      <c r="AB2089" t="str">
        <f>IFERROR(__xludf.DUMMYFUNCTION("""COMPUTED_VALUE"""),"Excellent")</f>
        <v>Excellent</v>
      </c>
      <c r="AC2089">
        <f>IFERROR(__xludf.DUMMYFUNCTION("""COMPUTED_VALUE"""),3.0)</f>
        <v>3</v>
      </c>
      <c r="AH2089" s="189">
        <f>IFERROR(__xludf.DUMMYFUNCTION("""COMPUTED_VALUE"""),43809.553201145834)</f>
        <v>43809.5532</v>
      </c>
    </row>
    <row r="2090">
      <c r="A2090" t="str">
        <f>IFERROR(__xludf.DUMMYFUNCTION("""COMPUTED_VALUE"""),"Sully")</f>
        <v>Sully</v>
      </c>
      <c r="B2090" t="str">
        <f>IFERROR(__xludf.DUMMYFUNCTION("""COMPUTED_VALUE"""),"Templeton")</f>
        <v>Templeton</v>
      </c>
      <c r="C2090" t="str">
        <f>IFERROR(__xludf.DUMMYFUNCTION("""COMPUTED_VALUE"""),"CA")</f>
        <v>CA</v>
      </c>
      <c r="D2090" t="str">
        <f>IFERROR(__xludf.DUMMYFUNCTION("""COMPUTED_VALUE"""),"USA")</f>
        <v>USA</v>
      </c>
      <c r="E2090" s="188">
        <f>IFERROR(__xludf.DUMMYFUNCTION("""COMPUTED_VALUE"""),43757.0)</f>
        <v>43757</v>
      </c>
      <c r="F2090" s="188">
        <f>IFERROR(__xludf.DUMMYFUNCTION("""COMPUTED_VALUE"""),43797.0)</f>
        <v>43797</v>
      </c>
      <c r="H2090">
        <f>IFERROR(__xludf.DUMMYFUNCTION("""COMPUTED_VALUE"""),600501.0)</f>
        <v>600501</v>
      </c>
      <c r="J2090" s="5">
        <f>IFERROR(__xludf.DUMMYFUNCTION("""COMPUTED_VALUE"""),43808.0)</f>
        <v>43808</v>
      </c>
      <c r="K2090">
        <f>IFERROR(__xludf.DUMMYFUNCTION("""COMPUTED_VALUE"""),40.0)</f>
        <v>40</v>
      </c>
      <c r="L2090">
        <f>IFERROR(__xludf.DUMMYFUNCTION("""COMPUTED_VALUE"""),11.0)</f>
        <v>11</v>
      </c>
      <c r="M2090">
        <f>IFERROR(__xludf.DUMMYFUNCTION("""COMPUTED_VALUE"""),51.0)</f>
        <v>51</v>
      </c>
      <c r="N2090" t="str">
        <f>IFERROR(__xludf.DUMMYFUNCTION("""COMPUTED_VALUE"""),"Model 3 LR AWD")</f>
        <v>Model 3 LR AWD</v>
      </c>
      <c r="O2090" t="str">
        <f>IFERROR(__xludf.DUMMYFUNCTION("""COMPUTED_VALUE"""),"Solid Black")</f>
        <v>Solid Black</v>
      </c>
      <c r="P2090" t="str">
        <f>IFERROR(__xludf.DUMMYFUNCTION("""COMPUTED_VALUE"""),"19 inch Sport")</f>
        <v>19 inch Sport</v>
      </c>
      <c r="Q2090" t="str">
        <f>IFERROR(__xludf.DUMMYFUNCTION("""COMPUTED_VALUE"""),"Black seats")</f>
        <v>Black seats</v>
      </c>
      <c r="R2090" t="str">
        <f>IFERROR(__xludf.DUMMYFUNCTION("""COMPUTED_VALUE"""),"Autopilot")</f>
        <v>Autopilot</v>
      </c>
      <c r="X2090" t="str">
        <f>IFERROR(__xludf.DUMMYFUNCTION("""COMPUTED_VALUE"""),"Excellent")</f>
        <v>Excellent</v>
      </c>
      <c r="Y2090" t="str">
        <f>IFERROR(__xludf.DUMMYFUNCTION("""COMPUTED_VALUE"""),"Excellent")</f>
        <v>Excellent</v>
      </c>
      <c r="Z2090" t="str">
        <f>IFERROR(__xludf.DUMMYFUNCTION("""COMPUTED_VALUE"""),"Excellent")</f>
        <v>Excellent</v>
      </c>
      <c r="AA2090" t="str">
        <f>IFERROR(__xludf.DUMMYFUNCTION("""COMPUTED_VALUE"""),"Excellent")</f>
        <v>Excellent</v>
      </c>
      <c r="AB2090" t="str">
        <f>IFERROR(__xludf.DUMMYFUNCTION("""COMPUTED_VALUE"""),"Excellent")</f>
        <v>Excellent</v>
      </c>
      <c r="AH2090" s="189">
        <f>IFERROR(__xludf.DUMMYFUNCTION("""COMPUTED_VALUE"""),43809.65615369213)</f>
        <v>43809.65615</v>
      </c>
    </row>
    <row r="2091">
      <c r="A2091" t="str">
        <f>IFERROR(__xludf.DUMMYFUNCTION("""COMPUTED_VALUE"""),"Mmitrani")</f>
        <v>Mmitrani</v>
      </c>
      <c r="B2091" t="str">
        <f>IFERROR(__xludf.DUMMYFUNCTION("""COMPUTED_VALUE"""),"PEMBROKE PINES")</f>
        <v>PEMBROKE PINES</v>
      </c>
      <c r="C2091" t="str">
        <f>IFERROR(__xludf.DUMMYFUNCTION("""COMPUTED_VALUE"""),"FL")</f>
        <v>FL</v>
      </c>
      <c r="D2091" t="str">
        <f>IFERROR(__xludf.DUMMYFUNCTION("""COMPUTED_VALUE"""),"USA")</f>
        <v>USA</v>
      </c>
      <c r="E2091" s="188">
        <f>IFERROR(__xludf.DUMMYFUNCTION("""COMPUTED_VALUE"""),43757.0)</f>
        <v>43757</v>
      </c>
      <c r="F2091" s="188">
        <f>IFERROR(__xludf.DUMMYFUNCTION("""COMPUTED_VALUE"""),43791.0)</f>
        <v>43791</v>
      </c>
      <c r="H2091">
        <f>IFERROR(__xludf.DUMMYFUNCTION("""COMPUTED_VALUE"""),590955.0)</f>
        <v>590955</v>
      </c>
      <c r="J2091" s="5">
        <f>IFERROR(__xludf.DUMMYFUNCTION("""COMPUTED_VALUE"""),43809.0)</f>
        <v>43809</v>
      </c>
      <c r="K2091">
        <f>IFERROR(__xludf.DUMMYFUNCTION("""COMPUTED_VALUE"""),34.0)</f>
        <v>34</v>
      </c>
      <c r="L2091">
        <f>IFERROR(__xludf.DUMMYFUNCTION("""COMPUTED_VALUE"""),18.0)</f>
        <v>18</v>
      </c>
      <c r="M2091">
        <f>IFERROR(__xludf.DUMMYFUNCTION("""COMPUTED_VALUE"""),52.0)</f>
        <v>52</v>
      </c>
      <c r="N2091" t="str">
        <f>IFERROR(__xludf.DUMMYFUNCTION("""COMPUTED_VALUE"""),"Model 3 SR+")</f>
        <v>Model 3 SR+</v>
      </c>
      <c r="O2091" t="str">
        <f>IFERROR(__xludf.DUMMYFUNCTION("""COMPUTED_VALUE"""),"Pearl White Multi-Coat")</f>
        <v>Pearl White Multi-Coat</v>
      </c>
      <c r="P2091" t="str">
        <f>IFERROR(__xludf.DUMMYFUNCTION("""COMPUTED_VALUE"""),"19 inch Sport")</f>
        <v>19 inch Sport</v>
      </c>
      <c r="Q2091" t="str">
        <f>IFERROR(__xludf.DUMMYFUNCTION("""COMPUTED_VALUE"""),"Black seats")</f>
        <v>Black seats</v>
      </c>
      <c r="R2091" t="str">
        <f>IFERROR(__xludf.DUMMYFUNCTION("""COMPUTED_VALUE"""),"Autopilot")</f>
        <v>Autopilot</v>
      </c>
      <c r="X2091" t="str">
        <f>IFERROR(__xludf.DUMMYFUNCTION("""COMPUTED_VALUE"""),"Excellent")</f>
        <v>Excellent</v>
      </c>
      <c r="Y2091" t="str">
        <f>IFERROR(__xludf.DUMMYFUNCTION("""COMPUTED_VALUE"""),"Excellent")</f>
        <v>Excellent</v>
      </c>
      <c r="Z2091" t="str">
        <f>IFERROR(__xludf.DUMMYFUNCTION("""COMPUTED_VALUE"""),"Excellent")</f>
        <v>Excellent</v>
      </c>
      <c r="AA2091" t="str">
        <f>IFERROR(__xludf.DUMMYFUNCTION("""COMPUTED_VALUE"""),"Excellent")</f>
        <v>Excellent</v>
      </c>
      <c r="AB2091" t="str">
        <f>IFERROR(__xludf.DUMMYFUNCTION("""COMPUTED_VALUE"""),"Very Good")</f>
        <v>Very Good</v>
      </c>
      <c r="AC2091">
        <f>IFERROR(__xludf.DUMMYFUNCTION("""COMPUTED_VALUE"""),1.0)</f>
        <v>1</v>
      </c>
      <c r="AG2091" t="str">
        <f>IFERROR(__xludf.DUMMYFUNCTION("""COMPUTED_VALUE"""),"11/23 Deliver date set for 12/11. VIN assigned on 11/22")</f>
        <v>11/23 Deliver date set for 12/11. VIN assigned on 11/22</v>
      </c>
      <c r="AH2091" s="189">
        <f>IFERROR(__xludf.DUMMYFUNCTION("""COMPUTED_VALUE"""),43809.73258105324)</f>
        <v>43809.73258</v>
      </c>
    </row>
    <row r="2092">
      <c r="A2092" t="str">
        <f>IFERROR(__xludf.DUMMYFUNCTION("""COMPUTED_VALUE"""),"f5f5f5")</f>
        <v>f5f5f5</v>
      </c>
      <c r="B2092" t="str">
        <f>IFERROR(__xludf.DUMMYFUNCTION("""COMPUTED_VALUE"""),"Paramus")</f>
        <v>Paramus</v>
      </c>
      <c r="C2092" t="str">
        <f>IFERROR(__xludf.DUMMYFUNCTION("""COMPUTED_VALUE"""),"NJ")</f>
        <v>NJ</v>
      </c>
      <c r="D2092" t="str">
        <f>IFERROR(__xludf.DUMMYFUNCTION("""COMPUTED_VALUE"""),"USA")</f>
        <v>USA</v>
      </c>
      <c r="E2092" s="188">
        <f>IFERROR(__xludf.DUMMYFUNCTION("""COMPUTED_VALUE"""),43757.0)</f>
        <v>43757</v>
      </c>
      <c r="F2092" s="188">
        <f>IFERROR(__xludf.DUMMYFUNCTION("""COMPUTED_VALUE"""),43797.0)</f>
        <v>43797</v>
      </c>
      <c r="J2092" s="5">
        <f>IFERROR(__xludf.DUMMYFUNCTION("""COMPUTED_VALUE"""),43809.0)</f>
        <v>43809</v>
      </c>
      <c r="K2092">
        <f>IFERROR(__xludf.DUMMYFUNCTION("""COMPUTED_VALUE"""),40.0)</f>
        <v>40</v>
      </c>
      <c r="L2092">
        <f>IFERROR(__xludf.DUMMYFUNCTION("""COMPUTED_VALUE"""),12.0)</f>
        <v>12</v>
      </c>
      <c r="M2092">
        <f>IFERROR(__xludf.DUMMYFUNCTION("""COMPUTED_VALUE"""),52.0)</f>
        <v>52</v>
      </c>
      <c r="N2092" t="str">
        <f>IFERROR(__xludf.DUMMYFUNCTION("""COMPUTED_VALUE"""),"Model 3 LR AWD")</f>
        <v>Model 3 LR AWD</v>
      </c>
      <c r="O2092" t="str">
        <f>IFERROR(__xludf.DUMMYFUNCTION("""COMPUTED_VALUE"""),"Pearl White Multi-Coat")</f>
        <v>Pearl White Multi-Coat</v>
      </c>
      <c r="P2092" t="str">
        <f>IFERROR(__xludf.DUMMYFUNCTION("""COMPUTED_VALUE"""),"18 inch Aero")</f>
        <v>18 inch Aero</v>
      </c>
      <c r="Q2092" t="str">
        <f>IFERROR(__xludf.DUMMYFUNCTION("""COMPUTED_VALUE"""),"Black seats")</f>
        <v>Black seats</v>
      </c>
      <c r="R2092" t="str">
        <f>IFERROR(__xludf.DUMMYFUNCTION("""COMPUTED_VALUE"""),"Autopilot")</f>
        <v>Autopilot</v>
      </c>
      <c r="X2092" t="str">
        <f>IFERROR(__xludf.DUMMYFUNCTION("""COMPUTED_VALUE"""),"Very Good")</f>
        <v>Very Good</v>
      </c>
      <c r="Y2092" t="str">
        <f>IFERROR(__xludf.DUMMYFUNCTION("""COMPUTED_VALUE"""),"Excellent")</f>
        <v>Excellent</v>
      </c>
      <c r="Z2092" t="str">
        <f>IFERROR(__xludf.DUMMYFUNCTION("""COMPUTED_VALUE"""),"Excellent")</f>
        <v>Excellent</v>
      </c>
      <c r="AA2092" t="str">
        <f>IFERROR(__xludf.DUMMYFUNCTION("""COMPUTED_VALUE"""),"Fair")</f>
        <v>Fair</v>
      </c>
      <c r="AB2092" t="str">
        <f>IFERROR(__xludf.DUMMYFUNCTION("""COMPUTED_VALUE"""),"Excellent")</f>
        <v>Excellent</v>
      </c>
      <c r="AG2092" t="str">
        <f>IFERROR(__xludf.DUMMYFUNCTION("""COMPUTED_VALUE"""),"originally scheduled delivery 12/16, contacted to pick up early.  Flawless car at delivery save one stain on headliner, they cleaned on the spot.")</f>
        <v>originally scheduled delivery 12/16, contacted to pick up early.  Flawless car at delivery save one stain on headliner, they cleaned on the spot.</v>
      </c>
      <c r="AH2092" s="189">
        <f>IFERROR(__xludf.DUMMYFUNCTION("""COMPUTED_VALUE"""),43809.91858628472)</f>
        <v>43809.91859</v>
      </c>
    </row>
    <row r="2093">
      <c r="A2093" t="str">
        <f>IFERROR(__xludf.DUMMYFUNCTION("""COMPUTED_VALUE"""),"Sioux Ya Ya")</f>
        <v>Sioux Ya Ya</v>
      </c>
      <c r="B2093" t="str">
        <f>IFERROR(__xludf.DUMMYFUNCTION("""COMPUTED_VALUE"""),"Bellevue")</f>
        <v>Bellevue</v>
      </c>
      <c r="C2093" t="str">
        <f>IFERROR(__xludf.DUMMYFUNCTION("""COMPUTED_VALUE"""),"WA")</f>
        <v>WA</v>
      </c>
      <c r="D2093" t="str">
        <f>IFERROR(__xludf.DUMMYFUNCTION("""COMPUTED_VALUE"""),"USA")</f>
        <v>USA</v>
      </c>
      <c r="E2093" s="188">
        <f>IFERROR(__xludf.DUMMYFUNCTION("""COMPUTED_VALUE"""),43782.0)</f>
        <v>43782</v>
      </c>
      <c r="F2093" s="188">
        <f>IFERROR(__xludf.DUMMYFUNCTION("""COMPUTED_VALUE"""),43806.0)</f>
        <v>43806</v>
      </c>
      <c r="H2093">
        <f>IFERROR(__xludf.DUMMYFUNCTION("""COMPUTED_VALUE"""),61555.0)</f>
        <v>61555</v>
      </c>
      <c r="J2093" s="5">
        <f>IFERROR(__xludf.DUMMYFUNCTION("""COMPUTED_VALUE"""),43809.0)</f>
        <v>43809</v>
      </c>
      <c r="K2093">
        <f>IFERROR(__xludf.DUMMYFUNCTION("""COMPUTED_VALUE"""),24.0)</f>
        <v>24</v>
      </c>
      <c r="L2093">
        <f>IFERROR(__xludf.DUMMYFUNCTION("""COMPUTED_VALUE"""),3.0)</f>
        <v>3</v>
      </c>
      <c r="M2093">
        <f>IFERROR(__xludf.DUMMYFUNCTION("""COMPUTED_VALUE"""),27.0)</f>
        <v>27</v>
      </c>
      <c r="N2093" t="str">
        <f>IFERROR(__xludf.DUMMYFUNCTION("""COMPUTED_VALUE"""),"Model 3 SR+")</f>
        <v>Model 3 SR+</v>
      </c>
      <c r="O2093" t="str">
        <f>IFERROR(__xludf.DUMMYFUNCTION("""COMPUTED_VALUE"""),"Deep Blue Metallic")</f>
        <v>Deep Blue Metallic</v>
      </c>
      <c r="P2093" t="str">
        <f>IFERROR(__xludf.DUMMYFUNCTION("""COMPUTED_VALUE"""),"18 inch Aero")</f>
        <v>18 inch Aero</v>
      </c>
      <c r="Q2093" t="str">
        <f>IFERROR(__xludf.DUMMYFUNCTION("""COMPUTED_VALUE"""),"White seats")</f>
        <v>White seats</v>
      </c>
      <c r="R2093" t="str">
        <f>IFERROR(__xludf.DUMMYFUNCTION("""COMPUTED_VALUE"""),"Autopilot")</f>
        <v>Autopilot</v>
      </c>
      <c r="X2093" t="str">
        <f>IFERROR(__xludf.DUMMYFUNCTION("""COMPUTED_VALUE"""),"Fair")</f>
        <v>Fair</v>
      </c>
      <c r="Y2093" t="str">
        <f>IFERROR(__xludf.DUMMYFUNCTION("""COMPUTED_VALUE"""),"Fair")</f>
        <v>Fair</v>
      </c>
      <c r="Z2093" t="str">
        <f>IFERROR(__xludf.DUMMYFUNCTION("""COMPUTED_VALUE"""),"Excellent")</f>
        <v>Excellent</v>
      </c>
      <c r="AA2093" t="str">
        <f>IFERROR(__xludf.DUMMYFUNCTION("""COMPUTED_VALUE"""),"Good")</f>
        <v>Good</v>
      </c>
      <c r="AB2093" t="str">
        <f>IFERROR(__xludf.DUMMYFUNCTION("""COMPUTED_VALUE"""),"Fair")</f>
        <v>Fair</v>
      </c>
      <c r="AC2093">
        <f>IFERROR(__xludf.DUMMYFUNCTION("""COMPUTED_VALUE"""),7.0)</f>
        <v>7</v>
      </c>
      <c r="AH2093" s="189">
        <f>IFERROR(__xludf.DUMMYFUNCTION("""COMPUTED_VALUE"""),43810.54523832176)</f>
        <v>43810.54524</v>
      </c>
    </row>
    <row r="2094">
      <c r="A2094" t="str">
        <f>IFERROR(__xludf.DUMMYFUNCTION("""COMPUTED_VALUE"""),"lukeleleT")</f>
        <v>lukeleleT</v>
      </c>
      <c r="B2094" t="str">
        <f>IFERROR(__xludf.DUMMYFUNCTION("""COMPUTED_VALUE"""),"Redwood City")</f>
        <v>Redwood City</v>
      </c>
      <c r="C2094" t="str">
        <f>IFERROR(__xludf.DUMMYFUNCTION("""COMPUTED_VALUE"""),"CA")</f>
        <v>CA</v>
      </c>
      <c r="D2094" t="str">
        <f>IFERROR(__xludf.DUMMYFUNCTION("""COMPUTED_VALUE"""),"USA")</f>
        <v>USA</v>
      </c>
      <c r="E2094" s="188">
        <f>IFERROR(__xludf.DUMMYFUNCTION("""COMPUTED_VALUE"""),43778.0)</f>
        <v>43778</v>
      </c>
      <c r="F2094" s="188">
        <f>IFERROR(__xludf.DUMMYFUNCTION("""COMPUTED_VALUE"""),43801.0)</f>
        <v>43801</v>
      </c>
      <c r="H2094">
        <f>IFERROR(__xludf.DUMMYFUNCTION("""COMPUTED_VALUE"""),602664.0)</f>
        <v>602664</v>
      </c>
      <c r="J2094" s="5">
        <f>IFERROR(__xludf.DUMMYFUNCTION("""COMPUTED_VALUE"""),43810.0)</f>
        <v>43810</v>
      </c>
      <c r="K2094">
        <f>IFERROR(__xludf.DUMMYFUNCTION("""COMPUTED_VALUE"""),23.0)</f>
        <v>23</v>
      </c>
      <c r="L2094">
        <f>IFERROR(__xludf.DUMMYFUNCTION("""COMPUTED_VALUE"""),9.0)</f>
        <v>9</v>
      </c>
      <c r="M2094">
        <f>IFERROR(__xludf.DUMMYFUNCTION("""COMPUTED_VALUE"""),32.0)</f>
        <v>32</v>
      </c>
      <c r="N2094" t="str">
        <f>IFERROR(__xludf.DUMMYFUNCTION("""COMPUTED_VALUE"""),"Model 3 Performance")</f>
        <v>Model 3 Performance</v>
      </c>
      <c r="O2094" t="str">
        <f>IFERROR(__xludf.DUMMYFUNCTION("""COMPUTED_VALUE"""),"Pearl White Multi-Coat")</f>
        <v>Pearl White Multi-Coat</v>
      </c>
      <c r="P2094" t="str">
        <f>IFERROR(__xludf.DUMMYFUNCTION("""COMPUTED_VALUE"""),"18 inch Aero")</f>
        <v>18 inch Aero</v>
      </c>
      <c r="Q2094" t="str">
        <f>IFERROR(__xludf.DUMMYFUNCTION("""COMPUTED_VALUE"""),"Black seats")</f>
        <v>Black seats</v>
      </c>
      <c r="R2094" t="str">
        <f>IFERROR(__xludf.DUMMYFUNCTION("""COMPUTED_VALUE"""),"Autopilot")</f>
        <v>Autopilot</v>
      </c>
      <c r="X2094" t="str">
        <f>IFERROR(__xludf.DUMMYFUNCTION("""COMPUTED_VALUE"""),"Excellent")</f>
        <v>Excellent</v>
      </c>
      <c r="Y2094" t="str">
        <f>IFERROR(__xludf.DUMMYFUNCTION("""COMPUTED_VALUE"""),"Excellent")</f>
        <v>Excellent</v>
      </c>
      <c r="Z2094" t="str">
        <f>IFERROR(__xludf.DUMMYFUNCTION("""COMPUTED_VALUE"""),"Very Good")</f>
        <v>Very Good</v>
      </c>
      <c r="AA2094" t="str">
        <f>IFERROR(__xludf.DUMMYFUNCTION("""COMPUTED_VALUE"""),"Fair")</f>
        <v>Fair</v>
      </c>
      <c r="AB2094" t="str">
        <f>IFERROR(__xludf.DUMMYFUNCTION("""COMPUTED_VALUE"""),"Excellent")</f>
        <v>Excellent</v>
      </c>
      <c r="AG2094" t="str">
        <f>IFERROR(__xludf.DUMMYFUNCTION("""COMPUTED_VALUE"""),"Ordered SR+ on 11/09. Switched to Stealth on 12/02")</f>
        <v>Ordered SR+ on 11/09. Switched to Stealth on 12/02</v>
      </c>
      <c r="AH2094" s="189">
        <f>IFERROR(__xludf.DUMMYFUNCTION("""COMPUTED_VALUE"""),43810.768678541666)</f>
        <v>43810.76868</v>
      </c>
    </row>
    <row r="2095">
      <c r="A2095" t="str">
        <f>IFERROR(__xludf.DUMMYFUNCTION("""COMPUTED_VALUE"""),"billimek")</f>
        <v>billimek</v>
      </c>
      <c r="B2095" t="str">
        <f>IFERROR(__xludf.DUMMYFUNCTION("""COMPUTED_VALUE"""),"Atlanta")</f>
        <v>Atlanta</v>
      </c>
      <c r="C2095" t="str">
        <f>IFERROR(__xludf.DUMMYFUNCTION("""COMPUTED_VALUE"""),"GA")</f>
        <v>GA</v>
      </c>
      <c r="D2095" t="str">
        <f>IFERROR(__xludf.DUMMYFUNCTION("""COMPUTED_VALUE"""),"USA")</f>
        <v>USA</v>
      </c>
      <c r="E2095" s="188">
        <f>IFERROR(__xludf.DUMMYFUNCTION("""COMPUTED_VALUE"""),43796.0)</f>
        <v>43796</v>
      </c>
      <c r="F2095" s="188">
        <f>IFERROR(__xludf.DUMMYFUNCTION("""COMPUTED_VALUE"""),43805.0)</f>
        <v>43805</v>
      </c>
      <c r="H2095">
        <f>IFERROR(__xludf.DUMMYFUNCTION("""COMPUTED_VALUE"""),620031.0)</f>
        <v>620031</v>
      </c>
      <c r="J2095" s="5">
        <f>IFERROR(__xludf.DUMMYFUNCTION("""COMPUTED_VALUE"""),43814.0)</f>
        <v>43814</v>
      </c>
      <c r="K2095">
        <f>IFERROR(__xludf.DUMMYFUNCTION("""COMPUTED_VALUE"""),9.0)</f>
        <v>9</v>
      </c>
      <c r="L2095">
        <f>IFERROR(__xludf.DUMMYFUNCTION("""COMPUTED_VALUE"""),9.0)</f>
        <v>9</v>
      </c>
      <c r="M2095">
        <f>IFERROR(__xludf.DUMMYFUNCTION("""COMPUTED_VALUE"""),18.0)</f>
        <v>18</v>
      </c>
      <c r="N2095" t="str">
        <f>IFERROR(__xludf.DUMMYFUNCTION("""COMPUTED_VALUE"""),"Model 3 LR AWD")</f>
        <v>Model 3 LR AWD</v>
      </c>
      <c r="O2095" t="str">
        <f>IFERROR(__xludf.DUMMYFUNCTION("""COMPUTED_VALUE"""),"Midnight Silver Metallic")</f>
        <v>Midnight Silver Metallic</v>
      </c>
      <c r="P2095" t="str">
        <f>IFERROR(__xludf.DUMMYFUNCTION("""COMPUTED_VALUE"""),"19 inch Sport")</f>
        <v>19 inch Sport</v>
      </c>
      <c r="Q2095" t="str">
        <f>IFERROR(__xludf.DUMMYFUNCTION("""COMPUTED_VALUE"""),"Black seats")</f>
        <v>Black seats</v>
      </c>
      <c r="R2095" t="str">
        <f>IFERROR(__xludf.DUMMYFUNCTION("""COMPUTED_VALUE"""),"Autopilot")</f>
        <v>Autopilot</v>
      </c>
      <c r="X2095" t="str">
        <f>IFERROR(__xludf.DUMMYFUNCTION("""COMPUTED_VALUE"""),"Very Good")</f>
        <v>Very Good</v>
      </c>
      <c r="Y2095" t="str">
        <f>IFERROR(__xludf.DUMMYFUNCTION("""COMPUTED_VALUE"""),"Excellent")</f>
        <v>Excellent</v>
      </c>
      <c r="Z2095" t="str">
        <f>IFERROR(__xludf.DUMMYFUNCTION("""COMPUTED_VALUE"""),"Very Good")</f>
        <v>Very Good</v>
      </c>
      <c r="AA2095" t="str">
        <f>IFERROR(__xludf.DUMMYFUNCTION("""COMPUTED_VALUE"""),"Good")</f>
        <v>Good</v>
      </c>
      <c r="AB2095" t="str">
        <f>IFERROR(__xludf.DUMMYFUNCTION("""COMPUTED_VALUE"""),"Very Good")</f>
        <v>Very Good</v>
      </c>
      <c r="AG2095" t="str">
        <f>IFERROR(__xludf.DUMMYFUNCTION("""COMPUTED_VALUE"""),"Originally ordered SR+/White on 2019-11-13 but changed to LR AWD/MSM")</f>
        <v>Originally ordered SR+/White on 2019-11-13 but changed to LR AWD/MSM</v>
      </c>
      <c r="AH2095" s="189">
        <f>IFERROR(__xludf.DUMMYFUNCTION("""COMPUTED_VALUE"""),43810.772245740736)</f>
        <v>43810.77225</v>
      </c>
    </row>
    <row r="2096">
      <c r="A2096" t="str">
        <f>IFERROR(__xludf.DUMMYFUNCTION("""COMPUTED_VALUE"""),"Gaizen")</f>
        <v>Gaizen</v>
      </c>
      <c r="B2096" t="str">
        <f>IFERROR(__xludf.DUMMYFUNCTION("""COMPUTED_VALUE"""),"Dallas")</f>
        <v>Dallas</v>
      </c>
      <c r="C2096" t="str">
        <f>IFERROR(__xludf.DUMMYFUNCTION("""COMPUTED_VALUE"""),"TX")</f>
        <v>TX</v>
      </c>
      <c r="D2096" t="str">
        <f>IFERROR(__xludf.DUMMYFUNCTION("""COMPUTED_VALUE"""),"USA")</f>
        <v>USA</v>
      </c>
      <c r="E2096" s="188">
        <f>IFERROR(__xludf.DUMMYFUNCTION("""COMPUTED_VALUE"""),43778.0)</f>
        <v>43778</v>
      </c>
      <c r="F2096" s="188">
        <f>IFERROR(__xludf.DUMMYFUNCTION("""COMPUTED_VALUE"""),43789.0)</f>
        <v>43789</v>
      </c>
      <c r="H2096">
        <f>IFERROR(__xludf.DUMMYFUNCTION("""COMPUTED_VALUE"""),602255.0)</f>
        <v>602255</v>
      </c>
      <c r="J2096" s="5">
        <f>IFERROR(__xludf.DUMMYFUNCTION("""COMPUTED_VALUE"""),43810.0)</f>
        <v>43810</v>
      </c>
      <c r="K2096">
        <f>IFERROR(__xludf.DUMMYFUNCTION("""COMPUTED_VALUE"""),11.0)</f>
        <v>11</v>
      </c>
      <c r="L2096">
        <f>IFERROR(__xludf.DUMMYFUNCTION("""COMPUTED_VALUE"""),21.0)</f>
        <v>21</v>
      </c>
      <c r="M2096">
        <f>IFERROR(__xludf.DUMMYFUNCTION("""COMPUTED_VALUE"""),32.0)</f>
        <v>32</v>
      </c>
      <c r="N2096" t="str">
        <f>IFERROR(__xludf.DUMMYFUNCTION("""COMPUTED_VALUE"""),"Model 3 Performance")</f>
        <v>Model 3 Performance</v>
      </c>
      <c r="O2096" t="str">
        <f>IFERROR(__xludf.DUMMYFUNCTION("""COMPUTED_VALUE"""),"Deep Blue Metallic")</f>
        <v>Deep Blue Metallic</v>
      </c>
      <c r="P2096" t="str">
        <f>IFERROR(__xludf.DUMMYFUNCTION("""COMPUTED_VALUE"""),"18 inch Aero")</f>
        <v>18 inch Aero</v>
      </c>
      <c r="Q2096" t="str">
        <f>IFERROR(__xludf.DUMMYFUNCTION("""COMPUTED_VALUE"""),"Black seats")</f>
        <v>Black seats</v>
      </c>
      <c r="R2096" t="str">
        <f>IFERROR(__xludf.DUMMYFUNCTION("""COMPUTED_VALUE"""),"Autopilot")</f>
        <v>Autopilot</v>
      </c>
      <c r="X2096" t="str">
        <f>IFERROR(__xludf.DUMMYFUNCTION("""COMPUTED_VALUE"""),"Excellent")</f>
        <v>Excellent</v>
      </c>
      <c r="Y2096" t="str">
        <f>IFERROR(__xludf.DUMMYFUNCTION("""COMPUTED_VALUE"""),"Excellent")</f>
        <v>Excellent</v>
      </c>
      <c r="Z2096" t="str">
        <f>IFERROR(__xludf.DUMMYFUNCTION("""COMPUTED_VALUE"""),"Very Good")</f>
        <v>Very Good</v>
      </c>
      <c r="AA2096" t="str">
        <f>IFERROR(__xludf.DUMMYFUNCTION("""COMPUTED_VALUE"""),"Fair")</f>
        <v>Fair</v>
      </c>
      <c r="AB2096" t="str">
        <f>IFERROR(__xludf.DUMMYFUNCTION("""COMPUTED_VALUE"""),"Good")</f>
        <v>Good</v>
      </c>
      <c r="AG2096" t="str">
        <f>IFERROR(__xludf.DUMMYFUNCTION("""COMPUTED_VALUE"""),"Changed from an AWD to a Stealth")</f>
        <v>Changed from an AWD to a Stealth</v>
      </c>
      <c r="AH2096" s="189">
        <f>IFERROR(__xludf.DUMMYFUNCTION("""COMPUTED_VALUE"""),43810.84640247685)</f>
        <v>43810.8464</v>
      </c>
    </row>
    <row r="2097">
      <c r="A2097" t="str">
        <f>IFERROR(__xludf.DUMMYFUNCTION("""COMPUTED_VALUE"""),"Rhaebus")</f>
        <v>Rhaebus</v>
      </c>
      <c r="B2097" t="str">
        <f>IFERROR(__xludf.DUMMYFUNCTION("""COMPUTED_VALUE"""),"Jacksonville")</f>
        <v>Jacksonville</v>
      </c>
      <c r="C2097" t="str">
        <f>IFERROR(__xludf.DUMMYFUNCTION("""COMPUTED_VALUE"""),"FL")</f>
        <v>FL</v>
      </c>
      <c r="D2097" t="str">
        <f>IFERROR(__xludf.DUMMYFUNCTION("""COMPUTED_VALUE"""),"USA")</f>
        <v>USA</v>
      </c>
      <c r="E2097" s="188">
        <f>IFERROR(__xludf.DUMMYFUNCTION("""COMPUTED_VALUE"""),43773.0)</f>
        <v>43773</v>
      </c>
      <c r="F2097" s="188">
        <f>IFERROR(__xludf.DUMMYFUNCTION("""COMPUTED_VALUE"""),43799.0)</f>
        <v>43799</v>
      </c>
      <c r="H2097">
        <f>IFERROR(__xludf.DUMMYFUNCTION("""COMPUTED_VALUE"""),616365.0)</f>
        <v>616365</v>
      </c>
      <c r="J2097" s="5">
        <f>IFERROR(__xludf.DUMMYFUNCTION("""COMPUTED_VALUE"""),43807.0)</f>
        <v>43807</v>
      </c>
      <c r="K2097">
        <f>IFERROR(__xludf.DUMMYFUNCTION("""COMPUTED_VALUE"""),26.0)</f>
        <v>26</v>
      </c>
      <c r="L2097">
        <f>IFERROR(__xludf.DUMMYFUNCTION("""COMPUTED_VALUE"""),8.0)</f>
        <v>8</v>
      </c>
      <c r="M2097">
        <f>IFERROR(__xludf.DUMMYFUNCTION("""COMPUTED_VALUE"""),34.0)</f>
        <v>34</v>
      </c>
      <c r="N2097" t="str">
        <f>IFERROR(__xludf.DUMMYFUNCTION("""COMPUTED_VALUE"""),"Model 3 LR AWD")</f>
        <v>Model 3 LR AWD</v>
      </c>
      <c r="O2097" t="str">
        <f>IFERROR(__xludf.DUMMYFUNCTION("""COMPUTED_VALUE"""),"Midnight Silver Metallic")</f>
        <v>Midnight Silver Metallic</v>
      </c>
      <c r="P2097" t="str">
        <f>IFERROR(__xludf.DUMMYFUNCTION("""COMPUTED_VALUE"""),"18 inch Aero")</f>
        <v>18 inch Aero</v>
      </c>
      <c r="Q2097" t="str">
        <f>IFERROR(__xludf.DUMMYFUNCTION("""COMPUTED_VALUE"""),"Black seats")</f>
        <v>Black seats</v>
      </c>
      <c r="R2097" t="str">
        <f>IFERROR(__xludf.DUMMYFUNCTION("""COMPUTED_VALUE"""),"Autopilot")</f>
        <v>Autopilot</v>
      </c>
      <c r="X2097" t="str">
        <f>IFERROR(__xludf.DUMMYFUNCTION("""COMPUTED_VALUE"""),"Good")</f>
        <v>Good</v>
      </c>
      <c r="Y2097" t="str">
        <f>IFERROR(__xludf.DUMMYFUNCTION("""COMPUTED_VALUE"""),"Very Good")</f>
        <v>Very Good</v>
      </c>
      <c r="Z2097" t="str">
        <f>IFERROR(__xludf.DUMMYFUNCTION("""COMPUTED_VALUE"""),"Excellent")</f>
        <v>Excellent</v>
      </c>
      <c r="AA2097" t="str">
        <f>IFERROR(__xludf.DUMMYFUNCTION("""COMPUTED_VALUE"""),"Very Good")</f>
        <v>Very Good</v>
      </c>
      <c r="AB2097" t="str">
        <f>IFERROR(__xludf.DUMMYFUNCTION("""COMPUTED_VALUE"""),"Very Good")</f>
        <v>Very Good</v>
      </c>
      <c r="AG2097" t="str">
        <f>IFERROR(__xludf.DUMMYFUNCTION("""COMPUTED_VALUE"""),"Delivered 8DEC19 as scheduled")</f>
        <v>Delivered 8DEC19 as scheduled</v>
      </c>
      <c r="AH2097" s="189">
        <f>IFERROR(__xludf.DUMMYFUNCTION("""COMPUTED_VALUE"""),43810.86676899306)</f>
        <v>43810.86677</v>
      </c>
    </row>
    <row r="2098">
      <c r="A2098" t="str">
        <f>IFERROR(__xludf.DUMMYFUNCTION("""COMPUTED_VALUE"""),"SergTheTower")</f>
        <v>SergTheTower</v>
      </c>
      <c r="B2098" t="str">
        <f>IFERROR(__xludf.DUMMYFUNCTION("""COMPUTED_VALUE"""),"Denver")</f>
        <v>Denver</v>
      </c>
      <c r="C2098" t="str">
        <f>IFERROR(__xludf.DUMMYFUNCTION("""COMPUTED_VALUE"""),"CO")</f>
        <v>CO</v>
      </c>
      <c r="D2098" t="str">
        <f>IFERROR(__xludf.DUMMYFUNCTION("""COMPUTED_VALUE"""),"USA")</f>
        <v>USA</v>
      </c>
      <c r="E2098" s="188">
        <f>IFERROR(__xludf.DUMMYFUNCTION("""COMPUTED_VALUE"""),43749.0)</f>
        <v>43749</v>
      </c>
      <c r="F2098" s="188">
        <f>IFERROR(__xludf.DUMMYFUNCTION("""COMPUTED_VALUE"""),43802.0)</f>
        <v>43802</v>
      </c>
      <c r="J2098" s="5">
        <f>IFERROR(__xludf.DUMMYFUNCTION("""COMPUTED_VALUE"""),43805.0)</f>
        <v>43805</v>
      </c>
      <c r="K2098">
        <f>IFERROR(__xludf.DUMMYFUNCTION("""COMPUTED_VALUE"""),53.0)</f>
        <v>53</v>
      </c>
      <c r="L2098">
        <f>IFERROR(__xludf.DUMMYFUNCTION("""COMPUTED_VALUE"""),3.0)</f>
        <v>3</v>
      </c>
      <c r="M2098">
        <f>IFERROR(__xludf.DUMMYFUNCTION("""COMPUTED_VALUE"""),56.0)</f>
        <v>56</v>
      </c>
      <c r="N2098" t="str">
        <f>IFERROR(__xludf.DUMMYFUNCTION("""COMPUTED_VALUE"""),"Model 3 Performance")</f>
        <v>Model 3 Performance</v>
      </c>
      <c r="O2098" t="str">
        <f>IFERROR(__xludf.DUMMYFUNCTION("""COMPUTED_VALUE"""),"Midnight Silver Metallic")</f>
        <v>Midnight Silver Metallic</v>
      </c>
      <c r="P2098" t="str">
        <f>IFERROR(__xludf.DUMMYFUNCTION("""COMPUTED_VALUE"""),"20 inch Sport")</f>
        <v>20 inch Sport</v>
      </c>
      <c r="Q2098" t="str">
        <f>IFERROR(__xludf.DUMMYFUNCTION("""COMPUTED_VALUE"""),"White seats")</f>
        <v>White seats</v>
      </c>
      <c r="R2098" t="str">
        <f>IFERROR(__xludf.DUMMYFUNCTION("""COMPUTED_VALUE"""),"Full Self-Driving")</f>
        <v>Full Self-Driving</v>
      </c>
      <c r="X2098" t="str">
        <f>IFERROR(__xludf.DUMMYFUNCTION("""COMPUTED_VALUE"""),"Excellent")</f>
        <v>Excellent</v>
      </c>
      <c r="Y2098" t="str">
        <f>IFERROR(__xludf.DUMMYFUNCTION("""COMPUTED_VALUE"""),"Excellent")</f>
        <v>Excellent</v>
      </c>
      <c r="Z2098" t="str">
        <f>IFERROR(__xludf.DUMMYFUNCTION("""COMPUTED_VALUE"""),"Good")</f>
        <v>Good</v>
      </c>
      <c r="AA2098" t="str">
        <f>IFERROR(__xludf.DUMMYFUNCTION("""COMPUTED_VALUE"""),"Excellent")</f>
        <v>Excellent</v>
      </c>
      <c r="AB2098" t="str">
        <f>IFERROR(__xludf.DUMMYFUNCTION("""COMPUTED_VALUE"""),"Good")</f>
        <v>Good</v>
      </c>
      <c r="AH2098" s="189">
        <f>IFERROR(__xludf.DUMMYFUNCTION("""COMPUTED_VALUE"""),43810.885138136575)</f>
        <v>43810.88514</v>
      </c>
    </row>
    <row r="2099">
      <c r="A2099" t="str">
        <f>IFERROR(__xludf.DUMMYFUNCTION("""COMPUTED_VALUE"""),"dkramos73")</f>
        <v>dkramos73</v>
      </c>
      <c r="B2099" t="str">
        <f>IFERROR(__xludf.DUMMYFUNCTION("""COMPUTED_VALUE"""),"Nolensville")</f>
        <v>Nolensville</v>
      </c>
      <c r="C2099" t="str">
        <f>IFERROR(__xludf.DUMMYFUNCTION("""COMPUTED_VALUE"""),"TN")</f>
        <v>TN</v>
      </c>
      <c r="D2099" t="str">
        <f>IFERROR(__xludf.DUMMYFUNCTION("""COMPUTED_VALUE"""),"USA")</f>
        <v>USA</v>
      </c>
      <c r="E2099" s="188">
        <f>IFERROR(__xludf.DUMMYFUNCTION("""COMPUTED_VALUE"""),43754.0)</f>
        <v>43754</v>
      </c>
      <c r="F2099" s="188">
        <f>IFERROR(__xludf.DUMMYFUNCTION("""COMPUTED_VALUE"""),43800.0)</f>
        <v>43800</v>
      </c>
      <c r="H2099">
        <f>IFERROR(__xludf.DUMMYFUNCTION("""COMPUTED_VALUE"""),603435.0)</f>
        <v>603435</v>
      </c>
      <c r="I2099" t="str">
        <f>IFERROR(__xludf.DUMMYFUNCTION("""COMPUTED_VALUE"""),"09/19")</f>
        <v>09/19</v>
      </c>
      <c r="J2099" s="5">
        <f>IFERROR(__xludf.DUMMYFUNCTION("""COMPUTED_VALUE"""),43817.0)</f>
        <v>43817</v>
      </c>
      <c r="K2099">
        <f>IFERROR(__xludf.DUMMYFUNCTION("""COMPUTED_VALUE"""),46.0)</f>
        <v>46</v>
      </c>
      <c r="L2099">
        <f>IFERROR(__xludf.DUMMYFUNCTION("""COMPUTED_VALUE"""),17.0)</f>
        <v>17</v>
      </c>
      <c r="M2099">
        <f>IFERROR(__xludf.DUMMYFUNCTION("""COMPUTED_VALUE"""),63.0)</f>
        <v>63</v>
      </c>
      <c r="N2099" t="str">
        <f>IFERROR(__xludf.DUMMYFUNCTION("""COMPUTED_VALUE"""),"Model 3 Performance")</f>
        <v>Model 3 Performance</v>
      </c>
      <c r="O2099" t="str">
        <f>IFERROR(__xludf.DUMMYFUNCTION("""COMPUTED_VALUE"""),"Red Multi-Coat")</f>
        <v>Red Multi-Coat</v>
      </c>
      <c r="P2099" t="str">
        <f>IFERROR(__xludf.DUMMYFUNCTION("""COMPUTED_VALUE"""),"20 inch Sport")</f>
        <v>20 inch Sport</v>
      </c>
      <c r="Q2099" t="str">
        <f>IFERROR(__xludf.DUMMYFUNCTION("""COMPUTED_VALUE"""),"White seats")</f>
        <v>White seats</v>
      </c>
      <c r="R2099" t="str">
        <f>IFERROR(__xludf.DUMMYFUNCTION("""COMPUTED_VALUE"""),"Full Self-Driving")</f>
        <v>Full Self-Driving</v>
      </c>
      <c r="AA2099" t="str">
        <f>IFERROR(__xludf.DUMMYFUNCTION("""COMPUTED_VALUE"""),"Poor")</f>
        <v>Poor</v>
      </c>
      <c r="AG2099" t="str">
        <f>IFERROR(__xludf.DUMMYFUNCTION("""COMPUTED_VALUE"""),"Received an email from Tesla on 11/17 inviting me to an orientation session for my new vehicle. They did not provide a delivery date but did say my VIN would be assigned shortly and that delivery is expected before the end of the year. 11/25 - Attended Mo"&amp;"del 3 orientation yesterday at the dealership. The sales manager informed me that I should expect a VIN to be issued by Dec 9th with delivery estimated a week and a half later.")</f>
        <v>Received an email from Tesla on 11/17 inviting me to an orientation session for my new vehicle. They did not provide a delivery date but did say my VIN would be assigned shortly and that delivery is expected before the end of the year. 11/25 - Attended Model 3 orientation yesterday at the dealership. The sales manager informed me that I should expect a VIN to be issued by Dec 9th with delivery estimated a week and a half later.</v>
      </c>
      <c r="AH2099" s="189">
        <f>IFERROR(__xludf.DUMMYFUNCTION("""COMPUTED_VALUE"""),43811.46212049769)</f>
        <v>43811.46212</v>
      </c>
    </row>
    <row r="2100">
      <c r="A2100" t="str">
        <f>IFERROR(__xludf.DUMMYFUNCTION("""COMPUTED_VALUE"""),"jessejanderson")</f>
        <v>jessejanderson</v>
      </c>
      <c r="B2100" t="str">
        <f>IFERROR(__xludf.DUMMYFUNCTION("""COMPUTED_VALUE"""),"Puyallup")</f>
        <v>Puyallup</v>
      </c>
      <c r="C2100" t="str">
        <f>IFERROR(__xludf.DUMMYFUNCTION("""COMPUTED_VALUE"""),"WA")</f>
        <v>WA</v>
      </c>
      <c r="D2100" t="str">
        <f>IFERROR(__xludf.DUMMYFUNCTION("""COMPUTED_VALUE"""),"USA")</f>
        <v>USA</v>
      </c>
      <c r="E2100" s="188">
        <f>IFERROR(__xludf.DUMMYFUNCTION("""COMPUTED_VALUE"""),43789.0)</f>
        <v>43789</v>
      </c>
      <c r="F2100" s="188">
        <f>IFERROR(__xludf.DUMMYFUNCTION("""COMPUTED_VALUE"""),43806.0)</f>
        <v>43806</v>
      </c>
      <c r="H2100">
        <f>IFERROR(__xludf.DUMMYFUNCTION("""COMPUTED_VALUE"""),611355.0)</f>
        <v>611355</v>
      </c>
      <c r="J2100" s="5">
        <f>IFERROR(__xludf.DUMMYFUNCTION("""COMPUTED_VALUE"""),43811.0)</f>
        <v>43811</v>
      </c>
      <c r="K2100">
        <f>IFERROR(__xludf.DUMMYFUNCTION("""COMPUTED_VALUE"""),17.0)</f>
        <v>17</v>
      </c>
      <c r="L2100">
        <f>IFERROR(__xludf.DUMMYFUNCTION("""COMPUTED_VALUE"""),5.0)</f>
        <v>5</v>
      </c>
      <c r="M2100">
        <f>IFERROR(__xludf.DUMMYFUNCTION("""COMPUTED_VALUE"""),22.0)</f>
        <v>22</v>
      </c>
      <c r="N2100" t="str">
        <f>IFERROR(__xludf.DUMMYFUNCTION("""COMPUTED_VALUE"""),"Model 3 SR+")</f>
        <v>Model 3 SR+</v>
      </c>
      <c r="O2100" t="str">
        <f>IFERROR(__xludf.DUMMYFUNCTION("""COMPUTED_VALUE"""),"Midnight Silver Metallic")</f>
        <v>Midnight Silver Metallic</v>
      </c>
      <c r="P2100" t="str">
        <f>IFERROR(__xludf.DUMMYFUNCTION("""COMPUTED_VALUE"""),"18 inch Aero")</f>
        <v>18 inch Aero</v>
      </c>
      <c r="Q2100" t="str">
        <f>IFERROR(__xludf.DUMMYFUNCTION("""COMPUTED_VALUE"""),"Black seats")</f>
        <v>Black seats</v>
      </c>
      <c r="R2100" t="str">
        <f>IFERROR(__xludf.DUMMYFUNCTION("""COMPUTED_VALUE"""),"Autopilot")</f>
        <v>Autopilot</v>
      </c>
      <c r="X2100" t="str">
        <f>IFERROR(__xludf.DUMMYFUNCTION("""COMPUTED_VALUE"""),"Very Good")</f>
        <v>Very Good</v>
      </c>
      <c r="Y2100" t="str">
        <f>IFERROR(__xludf.DUMMYFUNCTION("""COMPUTED_VALUE"""),"Very Good")</f>
        <v>Very Good</v>
      </c>
      <c r="Z2100" t="str">
        <f>IFERROR(__xludf.DUMMYFUNCTION("""COMPUTED_VALUE"""),"Good")</f>
        <v>Good</v>
      </c>
      <c r="AA2100" t="str">
        <f>IFERROR(__xludf.DUMMYFUNCTION("""COMPUTED_VALUE"""),"Fair")</f>
        <v>Fair</v>
      </c>
      <c r="AB2100" t="str">
        <f>IFERROR(__xludf.DUMMYFUNCTION("""COMPUTED_VALUE"""),"Good")</f>
        <v>Good</v>
      </c>
      <c r="AH2100" s="189">
        <f>IFERROR(__xludf.DUMMYFUNCTION("""COMPUTED_VALUE"""),43811.626253159724)</f>
        <v>43811.62625</v>
      </c>
    </row>
    <row r="2101">
      <c r="A2101" t="str">
        <f>IFERROR(__xludf.DUMMYFUNCTION("""COMPUTED_VALUE"""),"jacob_p94")</f>
        <v>jacob_p94</v>
      </c>
      <c r="B2101" t="str">
        <f>IFERROR(__xludf.DUMMYFUNCTION("""COMPUTED_VALUE"""),"Medford")</f>
        <v>Medford</v>
      </c>
      <c r="C2101" t="str">
        <f>IFERROR(__xludf.DUMMYFUNCTION("""COMPUTED_VALUE"""),"NJ")</f>
        <v>NJ</v>
      </c>
      <c r="D2101" t="str">
        <f>IFERROR(__xludf.DUMMYFUNCTION("""COMPUTED_VALUE"""),"USA")</f>
        <v>USA</v>
      </c>
      <c r="E2101" s="188">
        <f>IFERROR(__xludf.DUMMYFUNCTION("""COMPUTED_VALUE"""),43778.0)</f>
        <v>43778</v>
      </c>
      <c r="F2101" s="188">
        <f>IFERROR(__xludf.DUMMYFUNCTION("""COMPUTED_VALUE"""),43799.0)</f>
        <v>43799</v>
      </c>
      <c r="H2101">
        <f>IFERROR(__xludf.DUMMYFUNCTION("""COMPUTED_VALUE"""),597808.0)</f>
        <v>597808</v>
      </c>
      <c r="J2101" s="5">
        <f>IFERROR(__xludf.DUMMYFUNCTION("""COMPUTED_VALUE"""),43812.0)</f>
        <v>43812</v>
      </c>
      <c r="K2101">
        <f>IFERROR(__xludf.DUMMYFUNCTION("""COMPUTED_VALUE"""),21.0)</f>
        <v>21</v>
      </c>
      <c r="L2101">
        <f>IFERROR(__xludf.DUMMYFUNCTION("""COMPUTED_VALUE"""),13.0)</f>
        <v>13</v>
      </c>
      <c r="M2101">
        <f>IFERROR(__xludf.DUMMYFUNCTION("""COMPUTED_VALUE"""),34.0)</f>
        <v>34</v>
      </c>
      <c r="N2101" t="str">
        <f>IFERROR(__xludf.DUMMYFUNCTION("""COMPUTED_VALUE"""),"Model 3 SR+")</f>
        <v>Model 3 SR+</v>
      </c>
      <c r="O2101" t="str">
        <f>IFERROR(__xludf.DUMMYFUNCTION("""COMPUTED_VALUE"""),"Pearl White Multi-Coat")</f>
        <v>Pearl White Multi-Coat</v>
      </c>
      <c r="P2101" t="str">
        <f>IFERROR(__xludf.DUMMYFUNCTION("""COMPUTED_VALUE"""),"18 inch Aero")</f>
        <v>18 inch Aero</v>
      </c>
      <c r="Q2101" t="str">
        <f>IFERROR(__xludf.DUMMYFUNCTION("""COMPUTED_VALUE"""),"Black seats")</f>
        <v>Black seats</v>
      </c>
      <c r="R2101" t="str">
        <f>IFERROR(__xludf.DUMMYFUNCTION("""COMPUTED_VALUE"""),"Full Self-Driving")</f>
        <v>Full Self-Driving</v>
      </c>
      <c r="X2101" t="str">
        <f>IFERROR(__xludf.DUMMYFUNCTION("""COMPUTED_VALUE"""),"Excellent")</f>
        <v>Excellent</v>
      </c>
      <c r="Y2101" t="str">
        <f>IFERROR(__xludf.DUMMYFUNCTION("""COMPUTED_VALUE"""),"Excellent")</f>
        <v>Excellent</v>
      </c>
      <c r="Z2101" t="str">
        <f>IFERROR(__xludf.DUMMYFUNCTION("""COMPUTED_VALUE"""),"Excellent")</f>
        <v>Excellent</v>
      </c>
      <c r="AA2101" t="str">
        <f>IFERROR(__xludf.DUMMYFUNCTION("""COMPUTED_VALUE"""),"Excellent")</f>
        <v>Excellent</v>
      </c>
      <c r="AB2101" t="str">
        <f>IFERROR(__xludf.DUMMYFUNCTION("""COMPUTED_VALUE"""),"Excellent")</f>
        <v>Excellent</v>
      </c>
      <c r="AH2101" s="189">
        <f>IFERROR(__xludf.DUMMYFUNCTION("""COMPUTED_VALUE"""),43812.621055173615)</f>
        <v>43812.62106</v>
      </c>
    </row>
    <row r="2102">
      <c r="A2102" t="str">
        <f>IFERROR(__xludf.DUMMYFUNCTION("""COMPUTED_VALUE"""),"erikjohns")</f>
        <v>erikjohns</v>
      </c>
      <c r="B2102" t="str">
        <f>IFERROR(__xludf.DUMMYFUNCTION("""COMPUTED_VALUE"""),"Portland")</f>
        <v>Portland</v>
      </c>
      <c r="C2102" t="str">
        <f>IFERROR(__xludf.DUMMYFUNCTION("""COMPUTED_VALUE"""),"OR")</f>
        <v>OR</v>
      </c>
      <c r="D2102" t="str">
        <f>IFERROR(__xludf.DUMMYFUNCTION("""COMPUTED_VALUE"""),"USA")</f>
        <v>USA</v>
      </c>
      <c r="E2102" s="188">
        <f>IFERROR(__xludf.DUMMYFUNCTION("""COMPUTED_VALUE"""),43786.0)</f>
        <v>43786</v>
      </c>
      <c r="F2102" s="188">
        <f>IFERROR(__xludf.DUMMYFUNCTION("""COMPUTED_VALUE"""),43807.0)</f>
        <v>43807</v>
      </c>
      <c r="H2102">
        <f>IFERROR(__xludf.DUMMYFUNCTION("""COMPUTED_VALUE"""),612944.0)</f>
        <v>612944</v>
      </c>
      <c r="I2102" t="str">
        <f>IFERROR(__xludf.DUMMYFUNCTION("""COMPUTED_VALUE"""),"12/19")</f>
        <v>12/19</v>
      </c>
      <c r="J2102" s="5">
        <f>IFERROR(__xludf.DUMMYFUNCTION("""COMPUTED_VALUE"""),43812.0)</f>
        <v>43812</v>
      </c>
      <c r="K2102">
        <f>IFERROR(__xludf.DUMMYFUNCTION("""COMPUTED_VALUE"""),21.0)</f>
        <v>21</v>
      </c>
      <c r="L2102">
        <f>IFERROR(__xludf.DUMMYFUNCTION("""COMPUTED_VALUE"""),5.0)</f>
        <v>5</v>
      </c>
      <c r="M2102">
        <f>IFERROR(__xludf.DUMMYFUNCTION("""COMPUTED_VALUE"""),26.0)</f>
        <v>26</v>
      </c>
      <c r="N2102" t="str">
        <f>IFERROR(__xludf.DUMMYFUNCTION("""COMPUTED_VALUE"""),"Model 3 SR+")</f>
        <v>Model 3 SR+</v>
      </c>
      <c r="O2102" t="str">
        <f>IFERROR(__xludf.DUMMYFUNCTION("""COMPUTED_VALUE"""),"Pearl White Multi-Coat")</f>
        <v>Pearl White Multi-Coat</v>
      </c>
      <c r="P2102" t="str">
        <f>IFERROR(__xludf.DUMMYFUNCTION("""COMPUTED_VALUE"""),"18 inch Aero")</f>
        <v>18 inch Aero</v>
      </c>
      <c r="Q2102" t="str">
        <f>IFERROR(__xludf.DUMMYFUNCTION("""COMPUTED_VALUE"""),"Black seats")</f>
        <v>Black seats</v>
      </c>
      <c r="R2102" t="str">
        <f>IFERROR(__xludf.DUMMYFUNCTION("""COMPUTED_VALUE"""),"Autopilot")</f>
        <v>Autopilot</v>
      </c>
      <c r="X2102" t="str">
        <f>IFERROR(__xludf.DUMMYFUNCTION("""COMPUTED_VALUE"""),"Excellent")</f>
        <v>Excellent</v>
      </c>
      <c r="Y2102" t="str">
        <f>IFERROR(__xludf.DUMMYFUNCTION("""COMPUTED_VALUE"""),"Excellent")</f>
        <v>Excellent</v>
      </c>
      <c r="Z2102" t="str">
        <f>IFERROR(__xludf.DUMMYFUNCTION("""COMPUTED_VALUE"""),"Excellent")</f>
        <v>Excellent</v>
      </c>
      <c r="AA2102" t="str">
        <f>IFERROR(__xludf.DUMMYFUNCTION("""COMPUTED_VALUE"""),"Very Good")</f>
        <v>Very Good</v>
      </c>
      <c r="AB2102" t="str">
        <f>IFERROR(__xludf.DUMMYFUNCTION("""COMPUTED_VALUE"""),"Fair")</f>
        <v>Fair</v>
      </c>
      <c r="AH2102" s="189">
        <f>IFERROR(__xludf.DUMMYFUNCTION("""COMPUTED_VALUE"""),43812.66605763889)</f>
        <v>43812.66606</v>
      </c>
    </row>
    <row r="2103">
      <c r="A2103" t="str">
        <f>IFERROR(__xludf.DUMMYFUNCTION("""COMPUTED_VALUE"""),"TeslaVA")</f>
        <v>TeslaVA</v>
      </c>
      <c r="B2103" t="str">
        <f>IFERROR(__xludf.DUMMYFUNCTION("""COMPUTED_VALUE"""),"Charlottesville")</f>
        <v>Charlottesville</v>
      </c>
      <c r="C2103" t="str">
        <f>IFERROR(__xludf.DUMMYFUNCTION("""COMPUTED_VALUE"""),"VA")</f>
        <v>VA</v>
      </c>
      <c r="D2103" t="str">
        <f>IFERROR(__xludf.DUMMYFUNCTION("""COMPUTED_VALUE"""),"USA")</f>
        <v>USA</v>
      </c>
      <c r="E2103" s="188">
        <f>IFERROR(__xludf.DUMMYFUNCTION("""COMPUTED_VALUE"""),43765.0)</f>
        <v>43765</v>
      </c>
      <c r="F2103" s="188">
        <f>IFERROR(__xludf.DUMMYFUNCTION("""COMPUTED_VALUE"""),43790.0)</f>
        <v>43790</v>
      </c>
      <c r="H2103">
        <f>IFERROR(__xludf.DUMMYFUNCTION("""COMPUTED_VALUE"""),495955.0)</f>
        <v>495955</v>
      </c>
      <c r="I2103" t="str">
        <f>IFERROR(__xludf.DUMMYFUNCTION("""COMPUTED_VALUE"""),"11/19")</f>
        <v>11/19</v>
      </c>
      <c r="J2103" s="5">
        <f>IFERROR(__xludf.DUMMYFUNCTION("""COMPUTED_VALUE"""),43805.0)</f>
        <v>43805</v>
      </c>
      <c r="K2103">
        <f>IFERROR(__xludf.DUMMYFUNCTION("""COMPUTED_VALUE"""),25.0)</f>
        <v>25</v>
      </c>
      <c r="L2103">
        <f>IFERROR(__xludf.DUMMYFUNCTION("""COMPUTED_VALUE"""),15.0)</f>
        <v>15</v>
      </c>
      <c r="M2103">
        <f>IFERROR(__xludf.DUMMYFUNCTION("""COMPUTED_VALUE"""),40.0)</f>
        <v>40</v>
      </c>
      <c r="N2103" t="str">
        <f>IFERROR(__xludf.DUMMYFUNCTION("""COMPUTED_VALUE"""),"Model 3 SR+")</f>
        <v>Model 3 SR+</v>
      </c>
      <c r="O2103" t="str">
        <f>IFERROR(__xludf.DUMMYFUNCTION("""COMPUTED_VALUE"""),"Midnight Silver Metallic")</f>
        <v>Midnight Silver Metallic</v>
      </c>
      <c r="P2103" t="str">
        <f>IFERROR(__xludf.DUMMYFUNCTION("""COMPUTED_VALUE"""),"18 inch Aero")</f>
        <v>18 inch Aero</v>
      </c>
      <c r="Q2103" t="str">
        <f>IFERROR(__xludf.DUMMYFUNCTION("""COMPUTED_VALUE"""),"Black seats")</f>
        <v>Black seats</v>
      </c>
      <c r="R2103" t="str">
        <f>IFERROR(__xludf.DUMMYFUNCTION("""COMPUTED_VALUE"""),"Full Self-Driving")</f>
        <v>Full Self-Driving</v>
      </c>
      <c r="X2103" t="str">
        <f>IFERROR(__xludf.DUMMYFUNCTION("""COMPUTED_VALUE"""),"Excellent")</f>
        <v>Excellent</v>
      </c>
      <c r="Y2103" t="str">
        <f>IFERROR(__xludf.DUMMYFUNCTION("""COMPUTED_VALUE"""),"Excellent")</f>
        <v>Excellent</v>
      </c>
      <c r="Z2103" t="str">
        <f>IFERROR(__xludf.DUMMYFUNCTION("""COMPUTED_VALUE"""),"Excellent")</f>
        <v>Excellent</v>
      </c>
      <c r="AA2103" t="str">
        <f>IFERROR(__xludf.DUMMYFUNCTION("""COMPUTED_VALUE"""),"Fair")</f>
        <v>Fair</v>
      </c>
      <c r="AB2103" t="str">
        <f>IFERROR(__xludf.DUMMYFUNCTION("""COMPUTED_VALUE"""),"Very Good")</f>
        <v>Very Good</v>
      </c>
      <c r="AG2103" t="str">
        <f>IFERROR(__xludf.DUMMYFUNCTION("""COMPUTED_VALUE"""),"So far so good am loving my Model 3!")</f>
        <v>So far so good am loving my Model 3!</v>
      </c>
      <c r="AH2103" s="189">
        <f>IFERROR(__xludf.DUMMYFUNCTION("""COMPUTED_VALUE"""),43812.70892975695)</f>
        <v>43812.70893</v>
      </c>
    </row>
    <row r="2104">
      <c r="A2104" t="str">
        <f>IFERROR(__xludf.DUMMYFUNCTION("""COMPUTED_VALUE"""),"kolyant")</f>
        <v>kolyant</v>
      </c>
      <c r="B2104" t="str">
        <f>IFERROR(__xludf.DUMMYFUNCTION("""COMPUTED_VALUE"""),"Foster City")</f>
        <v>Foster City</v>
      </c>
      <c r="C2104" t="str">
        <f>IFERROR(__xludf.DUMMYFUNCTION("""COMPUTED_VALUE"""),"CA")</f>
        <v>CA</v>
      </c>
      <c r="D2104" t="str">
        <f>IFERROR(__xludf.DUMMYFUNCTION("""COMPUTED_VALUE"""),"USA")</f>
        <v>USA</v>
      </c>
      <c r="E2104" s="188">
        <f>IFERROR(__xludf.DUMMYFUNCTION("""COMPUTED_VALUE"""),43805.0)</f>
        <v>43805</v>
      </c>
      <c r="F2104" s="188">
        <f>IFERROR(__xludf.DUMMYFUNCTION("""COMPUTED_VALUE"""),43805.0)</f>
        <v>43805</v>
      </c>
      <c r="H2104">
        <f>IFERROR(__xludf.DUMMYFUNCTION("""COMPUTED_VALUE"""),627655.0)</f>
        <v>627655</v>
      </c>
      <c r="J2104" s="5">
        <f>IFERROR(__xludf.DUMMYFUNCTION("""COMPUTED_VALUE"""),43811.0)</f>
        <v>43811</v>
      </c>
      <c r="K2104">
        <f>IFERROR(__xludf.DUMMYFUNCTION("""COMPUTED_VALUE"""),0.0)</f>
        <v>0</v>
      </c>
      <c r="L2104">
        <f>IFERROR(__xludf.DUMMYFUNCTION("""COMPUTED_VALUE"""),6.0)</f>
        <v>6</v>
      </c>
      <c r="M2104">
        <f>IFERROR(__xludf.DUMMYFUNCTION("""COMPUTED_VALUE"""),6.0)</f>
        <v>6</v>
      </c>
      <c r="N2104" t="str">
        <f>IFERROR(__xludf.DUMMYFUNCTION("""COMPUTED_VALUE"""),"Model 3 Performance")</f>
        <v>Model 3 Performance</v>
      </c>
      <c r="O2104" t="str">
        <f>IFERROR(__xludf.DUMMYFUNCTION("""COMPUTED_VALUE"""),"Pearl White Multi-Coat")</f>
        <v>Pearl White Multi-Coat</v>
      </c>
      <c r="P2104" t="str">
        <f>IFERROR(__xludf.DUMMYFUNCTION("""COMPUTED_VALUE"""),"19 inch Sport")</f>
        <v>19 inch Sport</v>
      </c>
      <c r="Q2104" t="str">
        <f>IFERROR(__xludf.DUMMYFUNCTION("""COMPUTED_VALUE"""),"Black seats")</f>
        <v>Black seats</v>
      </c>
      <c r="R2104" t="str">
        <f>IFERROR(__xludf.DUMMYFUNCTION("""COMPUTED_VALUE"""),"Autopilot")</f>
        <v>Autopilot</v>
      </c>
      <c r="X2104" t="str">
        <f>IFERROR(__xludf.DUMMYFUNCTION("""COMPUTED_VALUE"""),"Very Good")</f>
        <v>Very Good</v>
      </c>
      <c r="Y2104" t="str">
        <f>IFERROR(__xludf.DUMMYFUNCTION("""COMPUTED_VALUE"""),"Excellent")</f>
        <v>Excellent</v>
      </c>
      <c r="Z2104" t="str">
        <f>IFERROR(__xludf.DUMMYFUNCTION("""COMPUTED_VALUE"""),"Very Good")</f>
        <v>Very Good</v>
      </c>
      <c r="AA2104" t="str">
        <f>IFERROR(__xludf.DUMMYFUNCTION("""COMPUTED_VALUE"""),"Excellent")</f>
        <v>Excellent</v>
      </c>
      <c r="AB2104" t="str">
        <f>IFERROR(__xludf.DUMMYFUNCTION("""COMPUTED_VALUE"""),"Good")</f>
        <v>Good</v>
      </c>
      <c r="AG2104" t="str">
        <f>IFERROR(__xludf.DUMMYFUNCTION("""COMPUTED_VALUE"""),"Switched to Stealth on 12/06/2019, original order on 10/13")</f>
        <v>Switched to Stealth on 12/06/2019, original order on 10/13</v>
      </c>
      <c r="AH2104" s="189">
        <f>IFERROR(__xludf.DUMMYFUNCTION("""COMPUTED_VALUE"""),43812.80501074074)</f>
        <v>43812.80501</v>
      </c>
    </row>
    <row r="2105">
      <c r="A2105" t="str">
        <f>IFERROR(__xludf.DUMMYFUNCTION("""COMPUTED_VALUE"""),"dogwiz")</f>
        <v>dogwiz</v>
      </c>
      <c r="B2105" t="str">
        <f>IFERROR(__xludf.DUMMYFUNCTION("""COMPUTED_VALUE"""),"Nashville")</f>
        <v>Nashville</v>
      </c>
      <c r="C2105" t="str">
        <f>IFERROR(__xludf.DUMMYFUNCTION("""COMPUTED_VALUE"""),"TN")</f>
        <v>TN</v>
      </c>
      <c r="D2105" t="str">
        <f>IFERROR(__xludf.DUMMYFUNCTION("""COMPUTED_VALUE"""),"USA")</f>
        <v>USA</v>
      </c>
      <c r="E2105" s="188">
        <f>IFERROR(__xludf.DUMMYFUNCTION("""COMPUTED_VALUE"""),43751.0)</f>
        <v>43751</v>
      </c>
      <c r="F2105" s="188">
        <f>IFERROR(__xludf.DUMMYFUNCTION("""COMPUTED_VALUE"""),43804.0)</f>
        <v>43804</v>
      </c>
      <c r="H2105">
        <f>IFERROR(__xludf.DUMMYFUNCTION("""COMPUTED_VALUE"""),623655.0)</f>
        <v>623655</v>
      </c>
      <c r="J2105" s="5">
        <f>IFERROR(__xludf.DUMMYFUNCTION("""COMPUTED_VALUE"""),43811.0)</f>
        <v>43811</v>
      </c>
      <c r="K2105">
        <f>IFERROR(__xludf.DUMMYFUNCTION("""COMPUTED_VALUE"""),53.0)</f>
        <v>53</v>
      </c>
      <c r="L2105">
        <f>IFERROR(__xludf.DUMMYFUNCTION("""COMPUTED_VALUE"""),7.0)</f>
        <v>7</v>
      </c>
      <c r="M2105">
        <f>IFERROR(__xludf.DUMMYFUNCTION("""COMPUTED_VALUE"""),60.0)</f>
        <v>60</v>
      </c>
      <c r="N2105" t="str">
        <f>IFERROR(__xludf.DUMMYFUNCTION("""COMPUTED_VALUE"""),"Model 3 Performance")</f>
        <v>Model 3 Performance</v>
      </c>
      <c r="O2105" t="str">
        <f>IFERROR(__xludf.DUMMYFUNCTION("""COMPUTED_VALUE"""),"Midnight Silver Metallic")</f>
        <v>Midnight Silver Metallic</v>
      </c>
      <c r="P2105" t="str">
        <f>IFERROR(__xludf.DUMMYFUNCTION("""COMPUTED_VALUE"""),"20 inch Sport")</f>
        <v>20 inch Sport</v>
      </c>
      <c r="Q2105" t="str">
        <f>IFERROR(__xludf.DUMMYFUNCTION("""COMPUTED_VALUE"""),"Black seats")</f>
        <v>Black seats</v>
      </c>
      <c r="R2105" t="str">
        <f>IFERROR(__xludf.DUMMYFUNCTION("""COMPUTED_VALUE"""),"Full Self-Driving")</f>
        <v>Full Self-Driving</v>
      </c>
      <c r="X2105" t="str">
        <f>IFERROR(__xludf.DUMMYFUNCTION("""COMPUTED_VALUE"""),"Excellent")</f>
        <v>Excellent</v>
      </c>
      <c r="Y2105" t="str">
        <f>IFERROR(__xludf.DUMMYFUNCTION("""COMPUTED_VALUE"""),"Excellent")</f>
        <v>Excellent</v>
      </c>
      <c r="Z2105" t="str">
        <f>IFERROR(__xludf.DUMMYFUNCTION("""COMPUTED_VALUE"""),"Excellent")</f>
        <v>Excellent</v>
      </c>
      <c r="AA2105" t="str">
        <f>IFERROR(__xludf.DUMMYFUNCTION("""COMPUTED_VALUE"""),"Fair")</f>
        <v>Fair</v>
      </c>
      <c r="AB2105" t="str">
        <f>IFERROR(__xludf.DUMMYFUNCTION("""COMPUTED_VALUE"""),"Very Good")</f>
        <v>Very Good</v>
      </c>
      <c r="AH2105" s="189">
        <f>IFERROR(__xludf.DUMMYFUNCTION("""COMPUTED_VALUE"""),43812.93245960648)</f>
        <v>43812.93246</v>
      </c>
    </row>
    <row r="2106">
      <c r="A2106" t="str">
        <f>IFERROR(__xludf.DUMMYFUNCTION("""COMPUTED_VALUE"""),"waiting4godot")</f>
        <v>waiting4godot</v>
      </c>
      <c r="B2106" t="str">
        <f>IFERROR(__xludf.DUMMYFUNCTION("""COMPUTED_VALUE"""),"SF Bay Area")</f>
        <v>SF Bay Area</v>
      </c>
      <c r="C2106" t="str">
        <f>IFERROR(__xludf.DUMMYFUNCTION("""COMPUTED_VALUE"""),"CA")</f>
        <v>CA</v>
      </c>
      <c r="D2106" t="str">
        <f>IFERROR(__xludf.DUMMYFUNCTION("""COMPUTED_VALUE"""),"USA")</f>
        <v>USA</v>
      </c>
      <c r="E2106" s="188">
        <f>IFERROR(__xludf.DUMMYFUNCTION("""COMPUTED_VALUE"""),43764.0)</f>
        <v>43764</v>
      </c>
      <c r="F2106" s="188">
        <f>IFERROR(__xludf.DUMMYFUNCTION("""COMPUTED_VALUE"""),43812.0)</f>
        <v>43812</v>
      </c>
      <c r="J2106" s="5">
        <f>IFERROR(__xludf.DUMMYFUNCTION("""COMPUTED_VALUE"""),43814.0)</f>
        <v>43814</v>
      </c>
      <c r="K2106">
        <f>IFERROR(__xludf.DUMMYFUNCTION("""COMPUTED_VALUE"""),48.0)</f>
        <v>48</v>
      </c>
      <c r="L2106">
        <f>IFERROR(__xludf.DUMMYFUNCTION("""COMPUTED_VALUE"""),2.0)</f>
        <v>2</v>
      </c>
      <c r="M2106">
        <f>IFERROR(__xludf.DUMMYFUNCTION("""COMPUTED_VALUE"""),50.0)</f>
        <v>50</v>
      </c>
      <c r="N2106" t="str">
        <f>IFERROR(__xludf.DUMMYFUNCTION("""COMPUTED_VALUE"""),"Model 3 LR AWD")</f>
        <v>Model 3 LR AWD</v>
      </c>
      <c r="O2106" t="str">
        <f>IFERROR(__xludf.DUMMYFUNCTION("""COMPUTED_VALUE"""),"Pearl White Multi-Coat")</f>
        <v>Pearl White Multi-Coat</v>
      </c>
      <c r="P2106" t="str">
        <f>IFERROR(__xludf.DUMMYFUNCTION("""COMPUTED_VALUE"""),"18 inch Aero")</f>
        <v>18 inch Aero</v>
      </c>
      <c r="Q2106" t="str">
        <f>IFERROR(__xludf.DUMMYFUNCTION("""COMPUTED_VALUE"""),"Black seats")</f>
        <v>Black seats</v>
      </c>
      <c r="R2106" t="str">
        <f>IFERROR(__xludf.DUMMYFUNCTION("""COMPUTED_VALUE"""),"Full Self-Driving")</f>
        <v>Full Self-Driving</v>
      </c>
      <c r="AA2106" t="str">
        <f>IFERROR(__xludf.DUMMYFUNCTION("""COMPUTED_VALUE"""),"Good")</f>
        <v>Good</v>
      </c>
      <c r="AH2106" s="189">
        <f>IFERROR(__xludf.DUMMYFUNCTION("""COMPUTED_VALUE"""),43813.369818252315)</f>
        <v>43813.36982</v>
      </c>
    </row>
    <row r="2107">
      <c r="A2107" t="str">
        <f>IFERROR(__xludf.DUMMYFUNCTION("""COMPUTED_VALUE"""),"Foody")</f>
        <v>Foody</v>
      </c>
      <c r="D2107" t="str">
        <f>IFERROR(__xludf.DUMMYFUNCTION("""COMPUTED_VALUE"""),"Netherlands")</f>
        <v>Netherlands</v>
      </c>
      <c r="E2107" s="188">
        <f>IFERROR(__xludf.DUMMYFUNCTION("""COMPUTED_VALUE"""),43748.0)</f>
        <v>43748</v>
      </c>
      <c r="F2107" s="188">
        <f>IFERROR(__xludf.DUMMYFUNCTION("""COMPUTED_VALUE"""),43762.0)</f>
        <v>43762</v>
      </c>
      <c r="H2107">
        <f>IFERROR(__xludf.DUMMYFUNCTION("""COMPUTED_VALUE"""),543493.0)</f>
        <v>543493</v>
      </c>
      <c r="J2107" s="5">
        <f>IFERROR(__xludf.DUMMYFUNCTION("""COMPUTED_VALUE"""),43798.0)</f>
        <v>43798</v>
      </c>
      <c r="K2107">
        <f>IFERROR(__xludf.DUMMYFUNCTION("""COMPUTED_VALUE"""),14.0)</f>
        <v>14</v>
      </c>
      <c r="L2107">
        <f>IFERROR(__xludf.DUMMYFUNCTION("""COMPUTED_VALUE"""),36.0)</f>
        <v>36</v>
      </c>
      <c r="M2107">
        <f>IFERROR(__xludf.DUMMYFUNCTION("""COMPUTED_VALUE"""),50.0)</f>
        <v>50</v>
      </c>
      <c r="N2107" t="str">
        <f>IFERROR(__xludf.DUMMYFUNCTION("""COMPUTED_VALUE"""),"Model 3 LR AWD")</f>
        <v>Model 3 LR AWD</v>
      </c>
      <c r="O2107" t="str">
        <f>IFERROR(__xludf.DUMMYFUNCTION("""COMPUTED_VALUE"""),"Midnight Silver Metallic")</f>
        <v>Midnight Silver Metallic</v>
      </c>
      <c r="P2107" t="str">
        <f>IFERROR(__xludf.DUMMYFUNCTION("""COMPUTED_VALUE"""),"18 inch Aero")</f>
        <v>18 inch Aero</v>
      </c>
      <c r="Q2107" t="str">
        <f>IFERROR(__xludf.DUMMYFUNCTION("""COMPUTED_VALUE"""),"Black seats")</f>
        <v>Black seats</v>
      </c>
      <c r="R2107" t="str">
        <f>IFERROR(__xludf.DUMMYFUNCTION("""COMPUTED_VALUE"""),"Autopilot")</f>
        <v>Autopilot</v>
      </c>
      <c r="X2107" t="str">
        <f>IFERROR(__xludf.DUMMYFUNCTION("""COMPUTED_VALUE"""),"Very Good")</f>
        <v>Very Good</v>
      </c>
      <c r="Y2107" t="str">
        <f>IFERROR(__xludf.DUMMYFUNCTION("""COMPUTED_VALUE"""),"Very Good")</f>
        <v>Very Good</v>
      </c>
      <c r="Z2107" t="str">
        <f>IFERROR(__xludf.DUMMYFUNCTION("""COMPUTED_VALUE"""),"Very Good")</f>
        <v>Very Good</v>
      </c>
      <c r="AA2107" t="str">
        <f>IFERROR(__xludf.DUMMYFUNCTION("""COMPUTED_VALUE"""),"Good")</f>
        <v>Good</v>
      </c>
      <c r="AB2107" t="str">
        <f>IFERROR(__xludf.DUMMYFUNCTION("""COMPUTED_VALUE"""),"Good")</f>
        <v>Good</v>
      </c>
      <c r="AC2107">
        <f>IFERROR(__xludf.DUMMYFUNCTION("""COMPUTED_VALUE"""),4.0)</f>
        <v>4</v>
      </c>
      <c r="AD2107">
        <f>IFERROR(__xludf.DUMMYFUNCTION("""COMPUTED_VALUE"""),2.0)</f>
        <v>2</v>
      </c>
      <c r="AE2107">
        <f>IFERROR(__xludf.DUMMYFUNCTION("""COMPUTED_VALUE"""),4.0)</f>
        <v>4</v>
      </c>
      <c r="AH2107" s="189">
        <f>IFERROR(__xludf.DUMMYFUNCTION("""COMPUTED_VALUE"""),43814.00550966435)</f>
        <v>43814.00551</v>
      </c>
    </row>
    <row r="2108">
      <c r="A2108" t="str">
        <f>IFERROR(__xludf.DUMMYFUNCTION("""COMPUTED_VALUE"""),"CDupuis")</f>
        <v>CDupuis</v>
      </c>
      <c r="B2108" t="str">
        <f>IFERROR(__xludf.DUMMYFUNCTION("""COMPUTED_VALUE"""),"Montreal")</f>
        <v>Montreal</v>
      </c>
      <c r="C2108" t="str">
        <f>IFERROR(__xludf.DUMMYFUNCTION("""COMPUTED_VALUE"""),"QC")</f>
        <v>QC</v>
      </c>
      <c r="D2108" t="str">
        <f>IFERROR(__xludf.DUMMYFUNCTION("""COMPUTED_VALUE"""),"Canada")</f>
        <v>Canada</v>
      </c>
      <c r="E2108" s="188">
        <f>IFERROR(__xludf.DUMMYFUNCTION("""COMPUTED_VALUE"""),43747.0)</f>
        <v>43747</v>
      </c>
      <c r="F2108" s="188">
        <f>IFERROR(__xludf.DUMMYFUNCTION("""COMPUTED_VALUE"""),43795.0)</f>
        <v>43795</v>
      </c>
      <c r="H2108">
        <f>IFERROR(__xludf.DUMMYFUNCTION("""COMPUTED_VALUE"""),626355.0)</f>
        <v>626355</v>
      </c>
      <c r="I2108" t="str">
        <f>IFERROR(__xludf.DUMMYFUNCTION("""COMPUTED_VALUE"""),"11/19")</f>
        <v>11/19</v>
      </c>
      <c r="J2108" s="5">
        <f>IFERROR(__xludf.DUMMYFUNCTION("""COMPUTED_VALUE"""),43810.0)</f>
        <v>43810</v>
      </c>
      <c r="K2108">
        <f>IFERROR(__xludf.DUMMYFUNCTION("""COMPUTED_VALUE"""),48.0)</f>
        <v>48</v>
      </c>
      <c r="L2108">
        <f>IFERROR(__xludf.DUMMYFUNCTION("""COMPUTED_VALUE"""),15.0)</f>
        <v>15</v>
      </c>
      <c r="M2108">
        <f>IFERROR(__xludf.DUMMYFUNCTION("""COMPUTED_VALUE"""),63.0)</f>
        <v>63</v>
      </c>
      <c r="N2108" t="str">
        <f>IFERROR(__xludf.DUMMYFUNCTION("""COMPUTED_VALUE"""),"Model 3 LR AWD")</f>
        <v>Model 3 LR AWD</v>
      </c>
      <c r="O2108" t="str">
        <f>IFERROR(__xludf.DUMMYFUNCTION("""COMPUTED_VALUE"""),"Deep Blue Metallic")</f>
        <v>Deep Blue Metallic</v>
      </c>
      <c r="P2108" t="str">
        <f>IFERROR(__xludf.DUMMYFUNCTION("""COMPUTED_VALUE"""),"18 inch Aero")</f>
        <v>18 inch Aero</v>
      </c>
      <c r="Q2108" t="str">
        <f>IFERROR(__xludf.DUMMYFUNCTION("""COMPUTED_VALUE"""),"Black seats")</f>
        <v>Black seats</v>
      </c>
      <c r="R2108" t="str">
        <f>IFERROR(__xludf.DUMMYFUNCTION("""COMPUTED_VALUE"""),"Full Self-Driving")</f>
        <v>Full Self-Driving</v>
      </c>
      <c r="X2108" t="str">
        <f>IFERROR(__xludf.DUMMYFUNCTION("""COMPUTED_VALUE"""),"Excellent")</f>
        <v>Excellent</v>
      </c>
      <c r="Y2108" t="str">
        <f>IFERROR(__xludf.DUMMYFUNCTION("""COMPUTED_VALUE"""),"Excellent")</f>
        <v>Excellent</v>
      </c>
      <c r="Z2108" t="str">
        <f>IFERROR(__xludf.DUMMYFUNCTION("""COMPUTED_VALUE"""),"Good")</f>
        <v>Good</v>
      </c>
      <c r="AA2108" t="str">
        <f>IFERROR(__xludf.DUMMYFUNCTION("""COMPUTED_VALUE"""),"Excellent")</f>
        <v>Excellent</v>
      </c>
      <c r="AB2108" t="str">
        <f>IFERROR(__xludf.DUMMYFUNCTION("""COMPUTED_VALUE"""),"Excellent")</f>
        <v>Excellent</v>
      </c>
      <c r="AG2108" t="str">
        <f>IFERROR(__xludf.DUMMYFUNCTION("""COMPUTED_VALUE"""),"1 rattle, 4 dents to be repaired")</f>
        <v>1 rattle, 4 dents to be repaired</v>
      </c>
      <c r="AH2108" s="189">
        <f>IFERROR(__xludf.DUMMYFUNCTION("""COMPUTED_VALUE"""),43814.258320231485)</f>
        <v>43814.25832</v>
      </c>
    </row>
    <row r="2109">
      <c r="A2109" t="str">
        <f>IFERROR(__xludf.DUMMYFUNCTION("""COMPUTED_VALUE"""),"toastermm")</f>
        <v>toastermm</v>
      </c>
      <c r="B2109" t="str">
        <f>IFERROR(__xludf.DUMMYFUNCTION("""COMPUTED_VALUE"""),"Seattle")</f>
        <v>Seattle</v>
      </c>
      <c r="C2109" t="str">
        <f>IFERROR(__xludf.DUMMYFUNCTION("""COMPUTED_VALUE"""),"WA")</f>
        <v>WA</v>
      </c>
      <c r="D2109" t="str">
        <f>IFERROR(__xludf.DUMMYFUNCTION("""COMPUTED_VALUE"""),"USA")</f>
        <v>USA</v>
      </c>
      <c r="E2109" s="188">
        <f>IFERROR(__xludf.DUMMYFUNCTION("""COMPUTED_VALUE"""),43779.0)</f>
        <v>43779</v>
      </c>
      <c r="F2109" s="188">
        <f>IFERROR(__xludf.DUMMYFUNCTION("""COMPUTED_VALUE"""),43809.0)</f>
        <v>43809</v>
      </c>
      <c r="J2109" s="5">
        <f>IFERROR(__xludf.DUMMYFUNCTION("""COMPUTED_VALUE"""),43810.0)</f>
        <v>43810</v>
      </c>
      <c r="K2109">
        <f>IFERROR(__xludf.DUMMYFUNCTION("""COMPUTED_VALUE"""),30.0)</f>
        <v>30</v>
      </c>
      <c r="L2109">
        <f>IFERROR(__xludf.DUMMYFUNCTION("""COMPUTED_VALUE"""),1.0)</f>
        <v>1</v>
      </c>
      <c r="M2109">
        <f>IFERROR(__xludf.DUMMYFUNCTION("""COMPUTED_VALUE"""),31.0)</f>
        <v>31</v>
      </c>
      <c r="N2109" t="str">
        <f>IFERROR(__xludf.DUMMYFUNCTION("""COMPUTED_VALUE"""),"Model 3 SR")</f>
        <v>Model 3 SR</v>
      </c>
      <c r="O2109" t="str">
        <f>IFERROR(__xludf.DUMMYFUNCTION("""COMPUTED_VALUE"""),"Pearl White Multi-Coat")</f>
        <v>Pearl White Multi-Coat</v>
      </c>
      <c r="P2109" t="str">
        <f>IFERROR(__xludf.DUMMYFUNCTION("""COMPUTED_VALUE"""),"18 inch Aero")</f>
        <v>18 inch Aero</v>
      </c>
      <c r="Q2109" t="str">
        <f>IFERROR(__xludf.DUMMYFUNCTION("""COMPUTED_VALUE"""),"Black seats")</f>
        <v>Black seats</v>
      </c>
      <c r="R2109" t="str">
        <f>IFERROR(__xludf.DUMMYFUNCTION("""COMPUTED_VALUE"""),"Autopilot")</f>
        <v>Autopilot</v>
      </c>
      <c r="X2109" t="str">
        <f>IFERROR(__xludf.DUMMYFUNCTION("""COMPUTED_VALUE"""),"Very Good")</f>
        <v>Very Good</v>
      </c>
      <c r="Y2109" t="str">
        <f>IFERROR(__xludf.DUMMYFUNCTION("""COMPUTED_VALUE"""),"Excellent")</f>
        <v>Excellent</v>
      </c>
      <c r="Z2109" t="str">
        <f>IFERROR(__xludf.DUMMYFUNCTION("""COMPUTED_VALUE"""),"Excellent")</f>
        <v>Excellent</v>
      </c>
      <c r="AA2109" t="str">
        <f>IFERROR(__xludf.DUMMYFUNCTION("""COMPUTED_VALUE"""),"Fair")</f>
        <v>Fair</v>
      </c>
      <c r="AB2109" t="str">
        <f>IFERROR(__xludf.DUMMYFUNCTION("""COMPUTED_VALUE"""),"Poor")</f>
        <v>Poor</v>
      </c>
      <c r="AH2109" s="189">
        <f>IFERROR(__xludf.DUMMYFUNCTION("""COMPUTED_VALUE"""),43814.429648923615)</f>
        <v>43814.42965</v>
      </c>
    </row>
    <row r="2110">
      <c r="A2110" t="str">
        <f>IFERROR(__xludf.DUMMYFUNCTION("""COMPUTED_VALUE"""),"houey")</f>
        <v>houey</v>
      </c>
      <c r="B2110" t="str">
        <f>IFERROR(__xludf.DUMMYFUNCTION("""COMPUTED_VALUE"""),"salina")</f>
        <v>salina</v>
      </c>
      <c r="C2110" t="str">
        <f>IFERROR(__xludf.DUMMYFUNCTION("""COMPUTED_VALUE"""),"KS")</f>
        <v>KS</v>
      </c>
      <c r="D2110" t="str">
        <f>IFERROR(__xludf.DUMMYFUNCTION("""COMPUTED_VALUE"""),"USA")</f>
        <v>USA</v>
      </c>
      <c r="E2110" s="188">
        <f>IFERROR(__xludf.DUMMYFUNCTION("""COMPUTED_VALUE"""),43764.0)</f>
        <v>43764</v>
      </c>
      <c r="F2110" s="188">
        <f>IFERROR(__xludf.DUMMYFUNCTION("""COMPUTED_VALUE"""),43800.0)</f>
        <v>43800</v>
      </c>
      <c r="H2110" s="4">
        <f>IFERROR(__xludf.DUMMYFUNCTION("""COMPUTED_VALUE"""),617792.0)</f>
        <v>617792</v>
      </c>
      <c r="J2110" s="5">
        <f>IFERROR(__xludf.DUMMYFUNCTION("""COMPUTED_VALUE"""),43812.0)</f>
        <v>43812</v>
      </c>
      <c r="K2110">
        <f>IFERROR(__xludf.DUMMYFUNCTION("""COMPUTED_VALUE"""),36.0)</f>
        <v>36</v>
      </c>
      <c r="L2110">
        <f>IFERROR(__xludf.DUMMYFUNCTION("""COMPUTED_VALUE"""),12.0)</f>
        <v>12</v>
      </c>
      <c r="M2110">
        <f>IFERROR(__xludf.DUMMYFUNCTION("""COMPUTED_VALUE"""),48.0)</f>
        <v>48</v>
      </c>
      <c r="N2110" t="str">
        <f>IFERROR(__xludf.DUMMYFUNCTION("""COMPUTED_VALUE"""),"Model 3 LR AWD")</f>
        <v>Model 3 LR AWD</v>
      </c>
      <c r="O2110" t="str">
        <f>IFERROR(__xludf.DUMMYFUNCTION("""COMPUTED_VALUE"""),"Pearl White Multi-Coat")</f>
        <v>Pearl White Multi-Coat</v>
      </c>
      <c r="P2110" t="str">
        <f>IFERROR(__xludf.DUMMYFUNCTION("""COMPUTED_VALUE"""),"18 inch Aero")</f>
        <v>18 inch Aero</v>
      </c>
      <c r="Q2110" t="str">
        <f>IFERROR(__xludf.DUMMYFUNCTION("""COMPUTED_VALUE"""),"Black seats")</f>
        <v>Black seats</v>
      </c>
      <c r="R2110" t="str">
        <f>IFERROR(__xludf.DUMMYFUNCTION("""COMPUTED_VALUE"""),"Autopilot")</f>
        <v>Autopilot</v>
      </c>
      <c r="X2110" t="str">
        <f>IFERROR(__xludf.DUMMYFUNCTION("""COMPUTED_VALUE"""),"Excellent")</f>
        <v>Excellent</v>
      </c>
      <c r="Y2110" t="str">
        <f>IFERROR(__xludf.DUMMYFUNCTION("""COMPUTED_VALUE"""),"Excellent")</f>
        <v>Excellent</v>
      </c>
      <c r="Z2110" t="str">
        <f>IFERROR(__xludf.DUMMYFUNCTION("""COMPUTED_VALUE"""),"Good")</f>
        <v>Good</v>
      </c>
      <c r="AA2110" t="str">
        <f>IFERROR(__xludf.DUMMYFUNCTION("""COMPUTED_VALUE"""),"Excellent")</f>
        <v>Excellent</v>
      </c>
      <c r="AB2110" t="str">
        <f>IFERROR(__xludf.DUMMYFUNCTION("""COMPUTED_VALUE"""),"Excellent")</f>
        <v>Excellent</v>
      </c>
      <c r="AC2110">
        <f>IFERROR(__xludf.DUMMYFUNCTION("""COMPUTED_VALUE"""),0.0)</f>
        <v>0</v>
      </c>
      <c r="AH2110" s="189">
        <f>IFERROR(__xludf.DUMMYFUNCTION("""COMPUTED_VALUE"""),43814.43947435185)</f>
        <v>43814.43947</v>
      </c>
    </row>
    <row r="2111">
      <c r="A2111" t="str">
        <f>IFERROR(__xludf.DUMMYFUNCTION("""COMPUTED_VALUE"""),"chenango")</f>
        <v>chenango</v>
      </c>
      <c r="B2111" t="str">
        <f>IFERROR(__xludf.DUMMYFUNCTION("""COMPUTED_VALUE"""),"Raleigh")</f>
        <v>Raleigh</v>
      </c>
      <c r="C2111" t="str">
        <f>IFERROR(__xludf.DUMMYFUNCTION("""COMPUTED_VALUE"""),"NC")</f>
        <v>NC</v>
      </c>
      <c r="D2111" t="str">
        <f>IFERROR(__xludf.DUMMYFUNCTION("""COMPUTED_VALUE"""),"USA")</f>
        <v>USA</v>
      </c>
      <c r="E2111" s="188">
        <f>IFERROR(__xludf.DUMMYFUNCTION("""COMPUTED_VALUE"""),43754.0)</f>
        <v>43754</v>
      </c>
      <c r="F2111" s="188">
        <f>IFERROR(__xludf.DUMMYFUNCTION("""COMPUTED_VALUE"""),43787.0)</f>
        <v>43787</v>
      </c>
      <c r="H2111">
        <f>IFERROR(__xludf.DUMMYFUNCTION("""COMPUTED_VALUE"""),504636.0)</f>
        <v>504636</v>
      </c>
      <c r="J2111" s="5">
        <f>IFERROR(__xludf.DUMMYFUNCTION("""COMPUTED_VALUE"""),43804.0)</f>
        <v>43804</v>
      </c>
      <c r="K2111">
        <f>IFERROR(__xludf.DUMMYFUNCTION("""COMPUTED_VALUE"""),33.0)</f>
        <v>33</v>
      </c>
      <c r="L2111">
        <f>IFERROR(__xludf.DUMMYFUNCTION("""COMPUTED_VALUE"""),17.0)</f>
        <v>17</v>
      </c>
      <c r="M2111">
        <f>IFERROR(__xludf.DUMMYFUNCTION("""COMPUTED_VALUE"""),50.0)</f>
        <v>50</v>
      </c>
      <c r="N2111" t="str">
        <f>IFERROR(__xludf.DUMMYFUNCTION("""COMPUTED_VALUE"""),"Model 3 SR+")</f>
        <v>Model 3 SR+</v>
      </c>
      <c r="O2111" t="str">
        <f>IFERROR(__xludf.DUMMYFUNCTION("""COMPUTED_VALUE"""),"Pearl White Multi-Coat")</f>
        <v>Pearl White Multi-Coat</v>
      </c>
      <c r="P2111" t="str">
        <f>IFERROR(__xludf.DUMMYFUNCTION("""COMPUTED_VALUE"""),"18 inch Aero")</f>
        <v>18 inch Aero</v>
      </c>
      <c r="Q2111" t="str">
        <f>IFERROR(__xludf.DUMMYFUNCTION("""COMPUTED_VALUE"""),"Black seats")</f>
        <v>Black seats</v>
      </c>
      <c r="R2111" t="str">
        <f>IFERROR(__xludf.DUMMYFUNCTION("""COMPUTED_VALUE"""),"Autopilot")</f>
        <v>Autopilot</v>
      </c>
      <c r="X2111" t="str">
        <f>IFERROR(__xludf.DUMMYFUNCTION("""COMPUTED_VALUE"""),"Excellent")</f>
        <v>Excellent</v>
      </c>
      <c r="Y2111" t="str">
        <f>IFERROR(__xludf.DUMMYFUNCTION("""COMPUTED_VALUE"""),"Excellent")</f>
        <v>Excellent</v>
      </c>
      <c r="Z2111" t="str">
        <f>IFERROR(__xludf.DUMMYFUNCTION("""COMPUTED_VALUE"""),"Excellent")</f>
        <v>Excellent</v>
      </c>
      <c r="AA2111" t="str">
        <f>IFERROR(__xludf.DUMMYFUNCTION("""COMPUTED_VALUE"""),"Fair")</f>
        <v>Fair</v>
      </c>
      <c r="AB2111" t="str">
        <f>IFERROR(__xludf.DUMMYFUNCTION("""COMPUTED_VALUE"""),"Excellent")</f>
        <v>Excellent</v>
      </c>
      <c r="AH2111" s="189">
        <f>IFERROR(__xludf.DUMMYFUNCTION("""COMPUTED_VALUE"""),43814.66312917824)</f>
        <v>43814.66313</v>
      </c>
    </row>
    <row r="2112">
      <c r="A2112" t="str">
        <f>IFERROR(__xludf.DUMMYFUNCTION("""COMPUTED_VALUE"""),"smithc21")</f>
        <v>smithc21</v>
      </c>
      <c r="B2112" t="str">
        <f>IFERROR(__xludf.DUMMYFUNCTION("""COMPUTED_VALUE"""),"Laguna Niguel")</f>
        <v>Laguna Niguel</v>
      </c>
      <c r="C2112" t="str">
        <f>IFERROR(__xludf.DUMMYFUNCTION("""COMPUTED_VALUE"""),"CA")</f>
        <v>CA</v>
      </c>
      <c r="D2112" t="str">
        <f>IFERROR(__xludf.DUMMYFUNCTION("""COMPUTED_VALUE"""),"USA")</f>
        <v>USA</v>
      </c>
      <c r="E2112" s="188">
        <f>IFERROR(__xludf.DUMMYFUNCTION("""COMPUTED_VALUE"""),43803.0)</f>
        <v>43803</v>
      </c>
      <c r="F2112" s="188">
        <f>IFERROR(__xludf.DUMMYFUNCTION("""COMPUTED_VALUE"""),43803.0)</f>
        <v>43803</v>
      </c>
      <c r="H2112">
        <f>IFERROR(__xludf.DUMMYFUNCTION("""COMPUTED_VALUE"""),627652.0)</f>
        <v>627652</v>
      </c>
      <c r="J2112" s="5">
        <f>IFERROR(__xludf.DUMMYFUNCTION("""COMPUTED_VALUE"""),43811.0)</f>
        <v>43811</v>
      </c>
      <c r="K2112">
        <f>IFERROR(__xludf.DUMMYFUNCTION("""COMPUTED_VALUE"""),0.0)</f>
        <v>0</v>
      </c>
      <c r="L2112">
        <f>IFERROR(__xludf.DUMMYFUNCTION("""COMPUTED_VALUE"""),8.0)</f>
        <v>8</v>
      </c>
      <c r="M2112">
        <f>IFERROR(__xludf.DUMMYFUNCTION("""COMPUTED_VALUE"""),8.0)</f>
        <v>8</v>
      </c>
      <c r="N2112" t="str">
        <f>IFERROR(__xludf.DUMMYFUNCTION("""COMPUTED_VALUE"""),"Model 3 Performance")</f>
        <v>Model 3 Performance</v>
      </c>
      <c r="O2112" t="str">
        <f>IFERROR(__xludf.DUMMYFUNCTION("""COMPUTED_VALUE"""),"Pearl White Multi-Coat")</f>
        <v>Pearl White Multi-Coat</v>
      </c>
      <c r="P2112" t="str">
        <f>IFERROR(__xludf.DUMMYFUNCTION("""COMPUTED_VALUE"""),"19 inch Sport")</f>
        <v>19 inch Sport</v>
      </c>
      <c r="Q2112" t="str">
        <f>IFERROR(__xludf.DUMMYFUNCTION("""COMPUTED_VALUE"""),"Black seats")</f>
        <v>Black seats</v>
      </c>
      <c r="R2112" t="str">
        <f>IFERROR(__xludf.DUMMYFUNCTION("""COMPUTED_VALUE"""),"Autopilot")</f>
        <v>Autopilot</v>
      </c>
      <c r="X2112" t="str">
        <f>IFERROR(__xludf.DUMMYFUNCTION("""COMPUTED_VALUE"""),"Very Good")</f>
        <v>Very Good</v>
      </c>
      <c r="Y2112" t="str">
        <f>IFERROR(__xludf.DUMMYFUNCTION("""COMPUTED_VALUE"""),"Very Good")</f>
        <v>Very Good</v>
      </c>
      <c r="Z2112" t="str">
        <f>IFERROR(__xludf.DUMMYFUNCTION("""COMPUTED_VALUE"""),"Good")</f>
        <v>Good</v>
      </c>
      <c r="AA2112" t="str">
        <f>IFERROR(__xludf.DUMMYFUNCTION("""COMPUTED_VALUE"""),"Very Good")</f>
        <v>Very Good</v>
      </c>
      <c r="AB2112" t="str">
        <f>IFERROR(__xludf.DUMMYFUNCTION("""COMPUTED_VALUE"""),"Very Good")</f>
        <v>Very Good</v>
      </c>
      <c r="AC2112">
        <f>IFERROR(__xludf.DUMMYFUNCTION("""COMPUTED_VALUE"""),1.0)</f>
        <v>1</v>
      </c>
      <c r="AD2112">
        <f>IFERROR(__xludf.DUMMYFUNCTION("""COMPUTED_VALUE"""),0.0)</f>
        <v>0</v>
      </c>
      <c r="AE2112">
        <f>IFERROR(__xludf.DUMMYFUNCTION("""COMPUTED_VALUE"""),0.0)</f>
        <v>0</v>
      </c>
      <c r="AG2112" t="str">
        <f>IFERROR(__xludf.DUMMYFUNCTION("""COMPUTED_VALUE"""),"Switched to Model 3 Sleeper, Still waiting for second 3, VIN in source code")</f>
        <v>Switched to Model 3 Sleeper, Still waiting for second 3, VIN in source code</v>
      </c>
      <c r="AH2112" s="189">
        <f>IFERROR(__xludf.DUMMYFUNCTION("""COMPUTED_VALUE"""),43814.72862241898)</f>
        <v>43814.72862</v>
      </c>
    </row>
    <row r="2113">
      <c r="A2113" t="str">
        <f>IFERROR(__xludf.DUMMYFUNCTION("""COMPUTED_VALUE"""),"harryph")</f>
        <v>harryph</v>
      </c>
      <c r="B2113" t="str">
        <f>IFERROR(__xludf.DUMMYFUNCTION("""COMPUTED_VALUE"""),"Albany")</f>
        <v>Albany</v>
      </c>
      <c r="C2113" t="str">
        <f>IFERROR(__xludf.DUMMYFUNCTION("""COMPUTED_VALUE"""),"CA")</f>
        <v>CA</v>
      </c>
      <c r="D2113" t="str">
        <f>IFERROR(__xludf.DUMMYFUNCTION("""COMPUTED_VALUE"""),"USA")</f>
        <v>USA</v>
      </c>
      <c r="E2113" s="188">
        <f>IFERROR(__xludf.DUMMYFUNCTION("""COMPUTED_VALUE"""),43747.0)</f>
        <v>43747</v>
      </c>
      <c r="F2113" s="188">
        <f>IFERROR(__xludf.DUMMYFUNCTION("""COMPUTED_VALUE"""),43813.0)</f>
        <v>43813</v>
      </c>
      <c r="H2113">
        <f>IFERROR(__xludf.DUMMYFUNCTION("""COMPUTED_VALUE"""),624055.0)</f>
        <v>624055</v>
      </c>
      <c r="J2113" s="5">
        <f>IFERROR(__xludf.DUMMYFUNCTION("""COMPUTED_VALUE"""),43814.0)</f>
        <v>43814</v>
      </c>
      <c r="K2113">
        <f>IFERROR(__xludf.DUMMYFUNCTION("""COMPUTED_VALUE"""),66.0)</f>
        <v>66</v>
      </c>
      <c r="L2113">
        <f>IFERROR(__xludf.DUMMYFUNCTION("""COMPUTED_VALUE"""),1.0)</f>
        <v>1</v>
      </c>
      <c r="M2113">
        <f>IFERROR(__xludf.DUMMYFUNCTION("""COMPUTED_VALUE"""),67.0)</f>
        <v>67</v>
      </c>
      <c r="N2113" t="str">
        <f>IFERROR(__xludf.DUMMYFUNCTION("""COMPUTED_VALUE"""),"Model 3 Performance")</f>
        <v>Model 3 Performance</v>
      </c>
      <c r="O2113" t="str">
        <f>IFERROR(__xludf.DUMMYFUNCTION("""COMPUTED_VALUE"""),"Pearl White Multi-Coat")</f>
        <v>Pearl White Multi-Coat</v>
      </c>
      <c r="P2113" t="str">
        <f>IFERROR(__xludf.DUMMYFUNCTION("""COMPUTED_VALUE"""),"20 inch Sport")</f>
        <v>20 inch Sport</v>
      </c>
      <c r="Q2113" t="str">
        <f>IFERROR(__xludf.DUMMYFUNCTION("""COMPUTED_VALUE"""),"Black seats")</f>
        <v>Black seats</v>
      </c>
      <c r="R2113" t="str">
        <f>IFERROR(__xludf.DUMMYFUNCTION("""COMPUTED_VALUE"""),"Full Self-Driving")</f>
        <v>Full Self-Driving</v>
      </c>
      <c r="X2113" t="str">
        <f>IFERROR(__xludf.DUMMYFUNCTION("""COMPUTED_VALUE"""),"Excellent")</f>
        <v>Excellent</v>
      </c>
      <c r="Y2113" t="str">
        <f>IFERROR(__xludf.DUMMYFUNCTION("""COMPUTED_VALUE"""),"Good")</f>
        <v>Good</v>
      </c>
      <c r="Z2113" t="str">
        <f>IFERROR(__xludf.DUMMYFUNCTION("""COMPUTED_VALUE"""),"Very Good")</f>
        <v>Very Good</v>
      </c>
      <c r="AA2113" t="str">
        <f>IFERROR(__xludf.DUMMYFUNCTION("""COMPUTED_VALUE"""),"Excellent")</f>
        <v>Excellent</v>
      </c>
      <c r="AB2113" t="str">
        <f>IFERROR(__xludf.DUMMYFUNCTION("""COMPUTED_VALUE"""),"Very Good")</f>
        <v>Very Good</v>
      </c>
      <c r="AH2113" s="189">
        <f>IFERROR(__xludf.DUMMYFUNCTION("""COMPUTED_VALUE"""),43814.77387075231)</f>
        <v>43814.77387</v>
      </c>
    </row>
    <row r="2114">
      <c r="A2114" t="str">
        <f>IFERROR(__xludf.DUMMYFUNCTION("""COMPUTED_VALUE"""),"sp0097")</f>
        <v>sp0097</v>
      </c>
      <c r="B2114" t="str">
        <f>IFERROR(__xludf.DUMMYFUNCTION("""COMPUTED_VALUE"""),"Folsom")</f>
        <v>Folsom</v>
      </c>
      <c r="C2114" t="str">
        <f>IFERROR(__xludf.DUMMYFUNCTION("""COMPUTED_VALUE"""),"CA")</f>
        <v>CA</v>
      </c>
      <c r="D2114" t="str">
        <f>IFERROR(__xludf.DUMMYFUNCTION("""COMPUTED_VALUE"""),"USA")</f>
        <v>USA</v>
      </c>
      <c r="E2114" s="188">
        <f>IFERROR(__xludf.DUMMYFUNCTION("""COMPUTED_VALUE"""),43758.0)</f>
        <v>43758</v>
      </c>
      <c r="F2114" s="188">
        <f>IFERROR(__xludf.DUMMYFUNCTION("""COMPUTED_VALUE"""),43810.0)</f>
        <v>43810</v>
      </c>
      <c r="J2114" s="5">
        <f>IFERROR(__xludf.DUMMYFUNCTION("""COMPUTED_VALUE"""),43812.0)</f>
        <v>43812</v>
      </c>
      <c r="K2114">
        <f>IFERROR(__xludf.DUMMYFUNCTION("""COMPUTED_VALUE"""),52.0)</f>
        <v>52</v>
      </c>
      <c r="L2114">
        <f>IFERROR(__xludf.DUMMYFUNCTION("""COMPUTED_VALUE"""),2.0)</f>
        <v>2</v>
      </c>
      <c r="M2114">
        <f>IFERROR(__xludf.DUMMYFUNCTION("""COMPUTED_VALUE"""),54.0)</f>
        <v>54</v>
      </c>
      <c r="N2114" t="str">
        <f>IFERROR(__xludf.DUMMYFUNCTION("""COMPUTED_VALUE"""),"Model 3 SR+")</f>
        <v>Model 3 SR+</v>
      </c>
      <c r="O2114" t="str">
        <f>IFERROR(__xludf.DUMMYFUNCTION("""COMPUTED_VALUE"""),"Pearl White Multi-Coat")</f>
        <v>Pearl White Multi-Coat</v>
      </c>
      <c r="P2114" t="str">
        <f>IFERROR(__xludf.DUMMYFUNCTION("""COMPUTED_VALUE"""),"18 inch Aero")</f>
        <v>18 inch Aero</v>
      </c>
      <c r="Q2114" t="str">
        <f>IFERROR(__xludf.DUMMYFUNCTION("""COMPUTED_VALUE"""),"Black seats")</f>
        <v>Black seats</v>
      </c>
      <c r="R2114" t="str">
        <f>IFERROR(__xludf.DUMMYFUNCTION("""COMPUTED_VALUE"""),"Full Self-Driving")</f>
        <v>Full Self-Driving</v>
      </c>
      <c r="X2114" t="str">
        <f>IFERROR(__xludf.DUMMYFUNCTION("""COMPUTED_VALUE"""),"Very Good")</f>
        <v>Very Good</v>
      </c>
      <c r="Y2114" t="str">
        <f>IFERROR(__xludf.DUMMYFUNCTION("""COMPUTED_VALUE"""),"Very Good")</f>
        <v>Very Good</v>
      </c>
      <c r="Z2114" t="str">
        <f>IFERROR(__xludf.DUMMYFUNCTION("""COMPUTED_VALUE"""),"Very Good")</f>
        <v>Very Good</v>
      </c>
      <c r="AA2114" t="str">
        <f>IFERROR(__xludf.DUMMYFUNCTION("""COMPUTED_VALUE"""),"Very Good")</f>
        <v>Very Good</v>
      </c>
      <c r="AB2114" t="str">
        <f>IFERROR(__xludf.DUMMYFUNCTION("""COMPUTED_VALUE"""),"Very Good")</f>
        <v>Very Good</v>
      </c>
      <c r="AC2114">
        <f>IFERROR(__xludf.DUMMYFUNCTION("""COMPUTED_VALUE"""),0.0)</f>
        <v>0</v>
      </c>
      <c r="AH2114" s="189">
        <f>IFERROR(__xludf.DUMMYFUNCTION("""COMPUTED_VALUE"""),43814.87604994213)</f>
        <v>43814.87605</v>
      </c>
    </row>
    <row r="2115">
      <c r="A2115" t="str">
        <f>IFERROR(__xludf.DUMMYFUNCTION("""COMPUTED_VALUE"""),"limmy")</f>
        <v>limmy</v>
      </c>
      <c r="B2115" t="str">
        <f>IFERROR(__xludf.DUMMYFUNCTION("""COMPUTED_VALUE"""),"Huntington Beach")</f>
        <v>Huntington Beach</v>
      </c>
      <c r="C2115" t="str">
        <f>IFERROR(__xludf.DUMMYFUNCTION("""COMPUTED_VALUE"""),"CA")</f>
        <v>CA</v>
      </c>
      <c r="D2115" t="str">
        <f>IFERROR(__xludf.DUMMYFUNCTION("""COMPUTED_VALUE"""),"USA")</f>
        <v>USA</v>
      </c>
      <c r="E2115" s="188">
        <f>IFERROR(__xludf.DUMMYFUNCTION("""COMPUTED_VALUE"""),43751.0)</f>
        <v>43751</v>
      </c>
      <c r="F2115" s="188">
        <f>IFERROR(__xludf.DUMMYFUNCTION("""COMPUTED_VALUE"""),43814.0)</f>
        <v>43814</v>
      </c>
      <c r="H2115">
        <f>IFERROR(__xludf.DUMMYFUNCTION("""COMPUTED_VALUE"""),616896.0)</f>
        <v>616896</v>
      </c>
      <c r="J2115" s="5">
        <f>IFERROR(__xludf.DUMMYFUNCTION("""COMPUTED_VALUE"""),43814.0)</f>
        <v>43814</v>
      </c>
      <c r="K2115">
        <f>IFERROR(__xludf.DUMMYFUNCTION("""COMPUTED_VALUE"""),63.0)</f>
        <v>63</v>
      </c>
      <c r="L2115">
        <f>IFERROR(__xludf.DUMMYFUNCTION("""COMPUTED_VALUE"""),0.0)</f>
        <v>0</v>
      </c>
      <c r="M2115">
        <f>IFERROR(__xludf.DUMMYFUNCTION("""COMPUTED_VALUE"""),63.0)</f>
        <v>63</v>
      </c>
      <c r="N2115" t="str">
        <f>IFERROR(__xludf.DUMMYFUNCTION("""COMPUTED_VALUE"""),"Model 3 LR AWD")</f>
        <v>Model 3 LR AWD</v>
      </c>
      <c r="O2115" t="str">
        <f>IFERROR(__xludf.DUMMYFUNCTION("""COMPUTED_VALUE"""),"Midnight Silver Metallic")</f>
        <v>Midnight Silver Metallic</v>
      </c>
      <c r="P2115" t="str">
        <f>IFERROR(__xludf.DUMMYFUNCTION("""COMPUTED_VALUE"""),"18 inch Aero")</f>
        <v>18 inch Aero</v>
      </c>
      <c r="Q2115" t="str">
        <f>IFERROR(__xludf.DUMMYFUNCTION("""COMPUTED_VALUE"""),"Black seats")</f>
        <v>Black seats</v>
      </c>
      <c r="R2115" t="str">
        <f>IFERROR(__xludf.DUMMYFUNCTION("""COMPUTED_VALUE"""),"Full Self-Driving")</f>
        <v>Full Self-Driving</v>
      </c>
      <c r="X2115" t="str">
        <f>IFERROR(__xludf.DUMMYFUNCTION("""COMPUTED_VALUE"""),"Excellent")</f>
        <v>Excellent</v>
      </c>
      <c r="Y2115" t="str">
        <f>IFERROR(__xludf.DUMMYFUNCTION("""COMPUTED_VALUE"""),"Excellent")</f>
        <v>Excellent</v>
      </c>
      <c r="Z2115" t="str">
        <f>IFERROR(__xludf.DUMMYFUNCTION("""COMPUTED_VALUE"""),"Excellent")</f>
        <v>Excellent</v>
      </c>
      <c r="AA2115" t="str">
        <f>IFERROR(__xludf.DUMMYFUNCTION("""COMPUTED_VALUE"""),"Good")</f>
        <v>Good</v>
      </c>
      <c r="AB2115" t="str">
        <f>IFERROR(__xludf.DUMMYFUNCTION("""COMPUTED_VALUE"""),"Excellent")</f>
        <v>Excellent</v>
      </c>
      <c r="AH2115" s="189">
        <f>IFERROR(__xludf.DUMMYFUNCTION("""COMPUTED_VALUE"""),43814.89208356482)</f>
        <v>43814.89208</v>
      </c>
    </row>
    <row r="2116">
      <c r="A2116" t="str">
        <f>IFERROR(__xludf.DUMMYFUNCTION("""COMPUTED_VALUE"""),"JazzCat")</f>
        <v>JazzCat</v>
      </c>
      <c r="B2116" t="str">
        <f>IFERROR(__xludf.DUMMYFUNCTION("""COMPUTED_VALUE"""),"Los Angeles")</f>
        <v>Los Angeles</v>
      </c>
      <c r="C2116" t="str">
        <f>IFERROR(__xludf.DUMMYFUNCTION("""COMPUTED_VALUE"""),"CA")</f>
        <v>CA</v>
      </c>
      <c r="D2116" t="str">
        <f>IFERROR(__xludf.DUMMYFUNCTION("""COMPUTED_VALUE"""),"USA")</f>
        <v>USA</v>
      </c>
      <c r="E2116" s="188">
        <f>IFERROR(__xludf.DUMMYFUNCTION("""COMPUTED_VALUE"""),43762.0)</f>
        <v>43762</v>
      </c>
      <c r="F2116" s="188">
        <f>IFERROR(__xludf.DUMMYFUNCTION("""COMPUTED_VALUE"""),43809.0)</f>
        <v>43809</v>
      </c>
      <c r="H2116">
        <f>IFERROR(__xludf.DUMMYFUNCTION("""COMPUTED_VALUE"""),475919.0)</f>
        <v>475919</v>
      </c>
      <c r="J2116" s="5">
        <f>IFERROR(__xludf.DUMMYFUNCTION("""COMPUTED_VALUE"""),43813.0)</f>
        <v>43813</v>
      </c>
      <c r="K2116">
        <f>IFERROR(__xludf.DUMMYFUNCTION("""COMPUTED_VALUE"""),47.0)</f>
        <v>47</v>
      </c>
      <c r="L2116">
        <f>IFERROR(__xludf.DUMMYFUNCTION("""COMPUTED_VALUE"""),4.0)</f>
        <v>4</v>
      </c>
      <c r="M2116">
        <f>IFERROR(__xludf.DUMMYFUNCTION("""COMPUTED_VALUE"""),51.0)</f>
        <v>51</v>
      </c>
      <c r="N2116" t="str">
        <f>IFERROR(__xludf.DUMMYFUNCTION("""COMPUTED_VALUE"""),"Model 3 SR+")</f>
        <v>Model 3 SR+</v>
      </c>
      <c r="O2116" t="str">
        <f>IFERROR(__xludf.DUMMYFUNCTION("""COMPUTED_VALUE"""),"Midnight Silver Metallic")</f>
        <v>Midnight Silver Metallic</v>
      </c>
      <c r="P2116" t="str">
        <f>IFERROR(__xludf.DUMMYFUNCTION("""COMPUTED_VALUE"""),"19 inch Sport")</f>
        <v>19 inch Sport</v>
      </c>
      <c r="Q2116" t="str">
        <f>IFERROR(__xludf.DUMMYFUNCTION("""COMPUTED_VALUE"""),"Black seats")</f>
        <v>Black seats</v>
      </c>
      <c r="R2116" t="str">
        <f>IFERROR(__xludf.DUMMYFUNCTION("""COMPUTED_VALUE"""),"Full Self-Driving")</f>
        <v>Full Self-Driving</v>
      </c>
      <c r="X2116" t="str">
        <f>IFERROR(__xludf.DUMMYFUNCTION("""COMPUTED_VALUE"""),"Very Good")</f>
        <v>Very Good</v>
      </c>
      <c r="Y2116" t="str">
        <f>IFERROR(__xludf.DUMMYFUNCTION("""COMPUTED_VALUE"""),"Very Good")</f>
        <v>Very Good</v>
      </c>
      <c r="Z2116" t="str">
        <f>IFERROR(__xludf.DUMMYFUNCTION("""COMPUTED_VALUE"""),"Good")</f>
        <v>Good</v>
      </c>
      <c r="AA2116" t="str">
        <f>IFERROR(__xludf.DUMMYFUNCTION("""COMPUTED_VALUE"""),"Very Good")</f>
        <v>Very Good</v>
      </c>
      <c r="AB2116" t="str">
        <f>IFERROR(__xludf.DUMMYFUNCTION("""COMPUTED_VALUE"""),"Very Good")</f>
        <v>Very Good</v>
      </c>
      <c r="AC2116">
        <f>IFERROR(__xludf.DUMMYFUNCTION("""COMPUTED_VALUE"""),1.0)</f>
        <v>1</v>
      </c>
      <c r="AG2116" t="str">
        <f>IFERROR(__xludf.DUMMYFUNCTION("""COMPUTED_VALUE"""),"originally ordered SR+ with 18"" on 10/24 - talked with delivery and sales on 12/10 to notify of upcoming trip, and desire to get delivery before.  offered a SR+ with 19"" wheels from showroom floor, 240 miles on odometer.  took delivery 12/14 - one small"&amp;" paint bubble on rear bumper, due biil assigned so just need to have repaired")</f>
        <v>originally ordered SR+ with 18" on 10/24 - talked with delivery and sales on 12/10 to notify of upcoming trip, and desire to get delivery before.  offered a SR+ with 19" wheels from showroom floor, 240 miles on odometer.  took delivery 12/14 - one small paint bubble on rear bumper, due biil assigned so just need to have repaired</v>
      </c>
      <c r="AH2116" s="189">
        <f>IFERROR(__xludf.DUMMYFUNCTION("""COMPUTED_VALUE"""),43815.30423913195)</f>
        <v>43815.30424</v>
      </c>
    </row>
    <row r="2117">
      <c r="A2117" t="str">
        <f>IFERROR(__xludf.DUMMYFUNCTION("""COMPUTED_VALUE"""),"rtshefe")</f>
        <v>rtshefe</v>
      </c>
      <c r="B2117" t="str">
        <f>IFERROR(__xludf.DUMMYFUNCTION("""COMPUTED_VALUE"""),"Raleigh")</f>
        <v>Raleigh</v>
      </c>
      <c r="C2117" t="str">
        <f>IFERROR(__xludf.DUMMYFUNCTION("""COMPUTED_VALUE"""),"NC")</f>
        <v>NC</v>
      </c>
      <c r="D2117" t="str">
        <f>IFERROR(__xludf.DUMMYFUNCTION("""COMPUTED_VALUE"""),"USA")</f>
        <v>USA</v>
      </c>
      <c r="E2117" s="188">
        <f>IFERROR(__xludf.DUMMYFUNCTION("""COMPUTED_VALUE"""),43737.0)</f>
        <v>43737</v>
      </c>
      <c r="F2117" s="188">
        <f>IFERROR(__xludf.DUMMYFUNCTION("""COMPUTED_VALUE"""),43800.0)</f>
        <v>43800</v>
      </c>
      <c r="H2117">
        <f>IFERROR(__xludf.DUMMYFUNCTION("""COMPUTED_VALUE"""),603589.0)</f>
        <v>603589</v>
      </c>
      <c r="J2117" s="5">
        <f>IFERROR(__xludf.DUMMYFUNCTION("""COMPUTED_VALUE"""),43815.0)</f>
        <v>43815</v>
      </c>
      <c r="K2117">
        <f>IFERROR(__xludf.DUMMYFUNCTION("""COMPUTED_VALUE"""),63.0)</f>
        <v>63</v>
      </c>
      <c r="L2117">
        <f>IFERROR(__xludf.DUMMYFUNCTION("""COMPUTED_VALUE"""),15.0)</f>
        <v>15</v>
      </c>
      <c r="M2117">
        <f>IFERROR(__xludf.DUMMYFUNCTION("""COMPUTED_VALUE"""),78.0)</f>
        <v>78</v>
      </c>
      <c r="N2117" t="str">
        <f>IFERROR(__xludf.DUMMYFUNCTION("""COMPUTED_VALUE"""),"Model 3 Performance")</f>
        <v>Model 3 Performance</v>
      </c>
      <c r="O2117" t="str">
        <f>IFERROR(__xludf.DUMMYFUNCTION("""COMPUTED_VALUE"""),"Pearl White Multi-Coat")</f>
        <v>Pearl White Multi-Coat</v>
      </c>
      <c r="P2117" t="str">
        <f>IFERROR(__xludf.DUMMYFUNCTION("""COMPUTED_VALUE"""),"20 inch Sport")</f>
        <v>20 inch Sport</v>
      </c>
      <c r="Q2117" t="str">
        <f>IFERROR(__xludf.DUMMYFUNCTION("""COMPUTED_VALUE"""),"White seats")</f>
        <v>White seats</v>
      </c>
      <c r="R2117" t="str">
        <f>IFERROR(__xludf.DUMMYFUNCTION("""COMPUTED_VALUE"""),"Full Self-Driving")</f>
        <v>Full Self-Driving</v>
      </c>
      <c r="X2117" t="str">
        <f>IFERROR(__xludf.DUMMYFUNCTION("""COMPUTED_VALUE"""),"Good")</f>
        <v>Good</v>
      </c>
      <c r="Y2117" t="str">
        <f>IFERROR(__xludf.DUMMYFUNCTION("""COMPUTED_VALUE"""),"Good")</f>
        <v>Good</v>
      </c>
      <c r="Z2117" t="str">
        <f>IFERROR(__xludf.DUMMYFUNCTION("""COMPUTED_VALUE"""),"Good")</f>
        <v>Good</v>
      </c>
      <c r="AA2117" t="str">
        <f>IFERROR(__xludf.DUMMYFUNCTION("""COMPUTED_VALUE"""),"Fair")</f>
        <v>Fair</v>
      </c>
      <c r="AB2117" t="str">
        <f>IFERROR(__xludf.DUMMYFUNCTION("""COMPUTED_VALUE"""),"Very Good")</f>
        <v>Very Good</v>
      </c>
      <c r="AH2117" s="189">
        <f>IFERROR(__xludf.DUMMYFUNCTION("""COMPUTED_VALUE"""),43815.32175045139)</f>
        <v>43815.32175</v>
      </c>
    </row>
    <row r="2118">
      <c r="A2118" t="str">
        <f>IFERROR(__xludf.DUMMYFUNCTION("""COMPUTED_VALUE"""),"CellarRat")</f>
        <v>CellarRat</v>
      </c>
      <c r="B2118" t="str">
        <f>IFERROR(__xludf.DUMMYFUNCTION("""COMPUTED_VALUE"""),"Renton")</f>
        <v>Renton</v>
      </c>
      <c r="C2118" t="str">
        <f>IFERROR(__xludf.DUMMYFUNCTION("""COMPUTED_VALUE"""),"WA")</f>
        <v>WA</v>
      </c>
      <c r="D2118" t="str">
        <f>IFERROR(__xludf.DUMMYFUNCTION("""COMPUTED_VALUE"""),"USA")</f>
        <v>USA</v>
      </c>
      <c r="E2118" s="188">
        <f>IFERROR(__xludf.DUMMYFUNCTION("""COMPUTED_VALUE"""),43799.0)</f>
        <v>43799</v>
      </c>
      <c r="F2118" s="188">
        <f>IFERROR(__xludf.DUMMYFUNCTION("""COMPUTED_VALUE"""),43799.0)</f>
        <v>43799</v>
      </c>
      <c r="H2118">
        <f>IFERROR(__xludf.DUMMYFUNCTION("""COMPUTED_VALUE"""),627584.0)</f>
        <v>627584</v>
      </c>
      <c r="I2118" t="str">
        <f>IFERROR(__xludf.DUMMYFUNCTION("""COMPUTED_VALUE"""),"12/19")</f>
        <v>12/19</v>
      </c>
      <c r="J2118" s="5">
        <f>IFERROR(__xludf.DUMMYFUNCTION("""COMPUTED_VALUE"""),43813.0)</f>
        <v>43813</v>
      </c>
      <c r="K2118">
        <f>IFERROR(__xludf.DUMMYFUNCTION("""COMPUTED_VALUE"""),0.0)</f>
        <v>0</v>
      </c>
      <c r="L2118">
        <f>IFERROR(__xludf.DUMMYFUNCTION("""COMPUTED_VALUE"""),14.0)</f>
        <v>14</v>
      </c>
      <c r="M2118">
        <f>IFERROR(__xludf.DUMMYFUNCTION("""COMPUTED_VALUE"""),14.0)</f>
        <v>14</v>
      </c>
      <c r="N2118" t="str">
        <f>IFERROR(__xludf.DUMMYFUNCTION("""COMPUTED_VALUE"""),"Model 3 Performance")</f>
        <v>Model 3 Performance</v>
      </c>
      <c r="O2118" t="str">
        <f>IFERROR(__xludf.DUMMYFUNCTION("""COMPUTED_VALUE"""),"Pearl White Multi-Coat")</f>
        <v>Pearl White Multi-Coat</v>
      </c>
      <c r="P2118" t="str">
        <f>IFERROR(__xludf.DUMMYFUNCTION("""COMPUTED_VALUE"""),"19 inch Sport")</f>
        <v>19 inch Sport</v>
      </c>
      <c r="Q2118" t="str">
        <f>IFERROR(__xludf.DUMMYFUNCTION("""COMPUTED_VALUE"""),"Black seats")</f>
        <v>Black seats</v>
      </c>
      <c r="R2118" t="str">
        <f>IFERROR(__xludf.DUMMYFUNCTION("""COMPUTED_VALUE"""),"Full Self-Driving")</f>
        <v>Full Self-Driving</v>
      </c>
      <c r="X2118" t="str">
        <f>IFERROR(__xludf.DUMMYFUNCTION("""COMPUTED_VALUE"""),"Excellent")</f>
        <v>Excellent</v>
      </c>
      <c r="Y2118" t="str">
        <f>IFERROR(__xludf.DUMMYFUNCTION("""COMPUTED_VALUE"""),"Excellent")</f>
        <v>Excellent</v>
      </c>
      <c r="Z2118" t="str">
        <f>IFERROR(__xludf.DUMMYFUNCTION("""COMPUTED_VALUE"""),"Excellent")</f>
        <v>Excellent</v>
      </c>
      <c r="AA2118" t="str">
        <f>IFERROR(__xludf.DUMMYFUNCTION("""COMPUTED_VALUE"""),"Fair")</f>
        <v>Fair</v>
      </c>
      <c r="AB2118" t="str">
        <f>IFERROR(__xludf.DUMMYFUNCTION("""COMPUTED_VALUE"""),"Excellent")</f>
        <v>Excellent</v>
      </c>
      <c r="AG2118" t="str">
        <f>IFERROR(__xludf.DUMMYFUNCTION("""COMPUTED_VALUE"""),"Model 3 LRAWD Performance")</f>
        <v>Model 3 LRAWD Performance</v>
      </c>
      <c r="AH2118" s="189">
        <f>IFERROR(__xludf.DUMMYFUNCTION("""COMPUTED_VALUE"""),43815.36904635417)</f>
        <v>43815.36905</v>
      </c>
    </row>
    <row r="2119">
      <c r="A2119" t="str">
        <f>IFERROR(__xludf.DUMMYFUNCTION("""COMPUTED_VALUE"""),"DiggieC")</f>
        <v>DiggieC</v>
      </c>
      <c r="B2119" t="str">
        <f>IFERROR(__xludf.DUMMYFUNCTION("""COMPUTED_VALUE"""),"Austin")</f>
        <v>Austin</v>
      </c>
      <c r="C2119" t="str">
        <f>IFERROR(__xludf.DUMMYFUNCTION("""COMPUTED_VALUE"""),"TX")</f>
        <v>TX</v>
      </c>
      <c r="D2119" t="str">
        <f>IFERROR(__xludf.DUMMYFUNCTION("""COMPUTED_VALUE"""),"USA")</f>
        <v>USA</v>
      </c>
      <c r="E2119" s="188">
        <f>IFERROR(__xludf.DUMMYFUNCTION("""COMPUTED_VALUE"""),43776.0)</f>
        <v>43776</v>
      </c>
      <c r="F2119" s="188">
        <f>IFERROR(__xludf.DUMMYFUNCTION("""COMPUTED_VALUE"""),43808.0)</f>
        <v>43808</v>
      </c>
      <c r="H2119">
        <f>IFERROR(__xludf.DUMMYFUNCTION("""COMPUTED_VALUE"""),624055.0)</f>
        <v>624055</v>
      </c>
      <c r="J2119" s="5">
        <f>IFERROR(__xludf.DUMMYFUNCTION("""COMPUTED_VALUE"""),43825.0)</f>
        <v>43825</v>
      </c>
      <c r="K2119">
        <f>IFERROR(__xludf.DUMMYFUNCTION("""COMPUTED_VALUE"""),32.0)</f>
        <v>32</v>
      </c>
      <c r="L2119">
        <f>IFERROR(__xludf.DUMMYFUNCTION("""COMPUTED_VALUE"""),17.0)</f>
        <v>17</v>
      </c>
      <c r="M2119">
        <f>IFERROR(__xludf.DUMMYFUNCTION("""COMPUTED_VALUE"""),49.0)</f>
        <v>49</v>
      </c>
      <c r="N2119" t="str">
        <f>IFERROR(__xludf.DUMMYFUNCTION("""COMPUTED_VALUE"""),"Model 3 Performance")</f>
        <v>Model 3 Performance</v>
      </c>
      <c r="O2119" t="str">
        <f>IFERROR(__xludf.DUMMYFUNCTION("""COMPUTED_VALUE"""),"Pearl White Multi-Coat")</f>
        <v>Pearl White Multi-Coat</v>
      </c>
      <c r="P2119" t="str">
        <f>IFERROR(__xludf.DUMMYFUNCTION("""COMPUTED_VALUE"""),"20 inch Sport")</f>
        <v>20 inch Sport</v>
      </c>
      <c r="Q2119" t="str">
        <f>IFERROR(__xludf.DUMMYFUNCTION("""COMPUTED_VALUE"""),"Black seats")</f>
        <v>Black seats</v>
      </c>
      <c r="R2119" t="str">
        <f>IFERROR(__xludf.DUMMYFUNCTION("""COMPUTED_VALUE"""),"Full Self-Driving")</f>
        <v>Full Self-Driving</v>
      </c>
      <c r="X2119" t="str">
        <f>IFERROR(__xludf.DUMMYFUNCTION("""COMPUTED_VALUE"""),"Excellent")</f>
        <v>Excellent</v>
      </c>
      <c r="Y2119" t="str">
        <f>IFERROR(__xludf.DUMMYFUNCTION("""COMPUTED_VALUE"""),"Excellent")</f>
        <v>Excellent</v>
      </c>
      <c r="Z2119" t="str">
        <f>IFERROR(__xludf.DUMMYFUNCTION("""COMPUTED_VALUE"""),"Excellent")</f>
        <v>Excellent</v>
      </c>
      <c r="AA2119" t="str">
        <f>IFERROR(__xludf.DUMMYFUNCTION("""COMPUTED_VALUE"""),"Very Good")</f>
        <v>Very Good</v>
      </c>
      <c r="AB2119" t="str">
        <f>IFERROR(__xludf.DUMMYFUNCTION("""COMPUTED_VALUE"""),"Excellent")</f>
        <v>Excellent</v>
      </c>
      <c r="AH2119" s="189">
        <f>IFERROR(__xludf.DUMMYFUNCTION("""COMPUTED_VALUE"""),43815.683103877316)</f>
        <v>43815.6831</v>
      </c>
    </row>
    <row r="2120">
      <c r="A2120" t="str">
        <f>IFERROR(__xludf.DUMMYFUNCTION("""COMPUTED_VALUE"""),"Mast3rm1nd")</f>
        <v>Mast3rm1nd</v>
      </c>
      <c r="C2120" t="str">
        <f>IFERROR(__xludf.DUMMYFUNCTION("""COMPUTED_VALUE"""),"FL")</f>
        <v>FL</v>
      </c>
      <c r="D2120" t="str">
        <f>IFERROR(__xludf.DUMMYFUNCTION("""COMPUTED_VALUE"""),"USA")</f>
        <v>USA</v>
      </c>
      <c r="E2120" s="188">
        <f>IFERROR(__xludf.DUMMYFUNCTION("""COMPUTED_VALUE"""),43796.0)</f>
        <v>43796</v>
      </c>
      <c r="F2120" s="188">
        <f>IFERROR(__xludf.DUMMYFUNCTION("""COMPUTED_VALUE"""),43809.0)</f>
        <v>43809</v>
      </c>
      <c r="H2120">
        <f>IFERROR(__xludf.DUMMYFUNCTION("""COMPUTED_VALUE"""),602355.0)</f>
        <v>602355</v>
      </c>
      <c r="J2120" s="5">
        <f>IFERROR(__xludf.DUMMYFUNCTION("""COMPUTED_VALUE"""),43816.0)</f>
        <v>43816</v>
      </c>
      <c r="K2120">
        <f>IFERROR(__xludf.DUMMYFUNCTION("""COMPUTED_VALUE"""),13.0)</f>
        <v>13</v>
      </c>
      <c r="L2120">
        <f>IFERROR(__xludf.DUMMYFUNCTION("""COMPUTED_VALUE"""),7.0)</f>
        <v>7</v>
      </c>
      <c r="M2120">
        <f>IFERROR(__xludf.DUMMYFUNCTION("""COMPUTED_VALUE"""),20.0)</f>
        <v>20</v>
      </c>
      <c r="N2120" t="str">
        <f>IFERROR(__xludf.DUMMYFUNCTION("""COMPUTED_VALUE"""),"Model 3 Performance")</f>
        <v>Model 3 Performance</v>
      </c>
      <c r="O2120" t="str">
        <f>IFERROR(__xludf.DUMMYFUNCTION("""COMPUTED_VALUE"""),"Deep Blue Metallic")</f>
        <v>Deep Blue Metallic</v>
      </c>
      <c r="P2120" t="str">
        <f>IFERROR(__xludf.DUMMYFUNCTION("""COMPUTED_VALUE"""),"18 inch Aero")</f>
        <v>18 inch Aero</v>
      </c>
      <c r="Q2120" t="str">
        <f>IFERROR(__xludf.DUMMYFUNCTION("""COMPUTED_VALUE"""),"Black seats")</f>
        <v>Black seats</v>
      </c>
      <c r="R2120" t="str">
        <f>IFERROR(__xludf.DUMMYFUNCTION("""COMPUTED_VALUE"""),"Autopilot")</f>
        <v>Autopilot</v>
      </c>
      <c r="AA2120" t="str">
        <f>IFERROR(__xludf.DUMMYFUNCTION("""COMPUTED_VALUE"""),"Good")</f>
        <v>Good</v>
      </c>
      <c r="AG2120" t="str">
        <f>IFERROR(__xludf.DUMMYFUNCTION("""COMPUTED_VALUE"""),"VIN found in source 12/10; Tesla called to confirm delivery on 12/16 and offered to move me up to 12/17 which I accepted")</f>
        <v>VIN found in source 12/10; Tesla called to confirm delivery on 12/16 and offered to move me up to 12/17 which I accepted</v>
      </c>
      <c r="AH2120" s="189">
        <f>IFERROR(__xludf.DUMMYFUNCTION("""COMPUTED_VALUE"""),43815.76068651621)</f>
        <v>43815.76069</v>
      </c>
    </row>
    <row r="2121">
      <c r="A2121" t="str">
        <f>IFERROR(__xludf.DUMMYFUNCTION("""COMPUTED_VALUE"""),"kcoms")</f>
        <v>kcoms</v>
      </c>
      <c r="B2121" t="str">
        <f>IFERROR(__xludf.DUMMYFUNCTION("""COMPUTED_VALUE"""),"Fairfax")</f>
        <v>Fairfax</v>
      </c>
      <c r="C2121" t="str">
        <f>IFERROR(__xludf.DUMMYFUNCTION("""COMPUTED_VALUE"""),"VA")</f>
        <v>VA</v>
      </c>
      <c r="D2121" t="str">
        <f>IFERROR(__xludf.DUMMYFUNCTION("""COMPUTED_VALUE"""),"USA")</f>
        <v>USA</v>
      </c>
      <c r="E2121" s="188">
        <f>IFERROR(__xludf.DUMMYFUNCTION("""COMPUTED_VALUE"""),43768.0)</f>
        <v>43768</v>
      </c>
      <c r="F2121" s="188">
        <f>IFERROR(__xludf.DUMMYFUNCTION("""COMPUTED_VALUE"""),43807.0)</f>
        <v>43807</v>
      </c>
      <c r="H2121" s="4">
        <f>IFERROR(__xludf.DUMMYFUNCTION("""COMPUTED_VALUE"""),603166.0)</f>
        <v>603166</v>
      </c>
      <c r="I2121" t="str">
        <f>IFERROR(__xludf.DUMMYFUNCTION("""COMPUTED_VALUE"""),"12/19")</f>
        <v>12/19</v>
      </c>
      <c r="J2121" s="5">
        <f>IFERROR(__xludf.DUMMYFUNCTION("""COMPUTED_VALUE"""),43813.0)</f>
        <v>43813</v>
      </c>
      <c r="K2121">
        <f>IFERROR(__xludf.DUMMYFUNCTION("""COMPUTED_VALUE"""),39.0)</f>
        <v>39</v>
      </c>
      <c r="L2121">
        <f>IFERROR(__xludf.DUMMYFUNCTION("""COMPUTED_VALUE"""),6.0)</f>
        <v>6</v>
      </c>
      <c r="M2121">
        <f>IFERROR(__xludf.DUMMYFUNCTION("""COMPUTED_VALUE"""),45.0)</f>
        <v>45</v>
      </c>
      <c r="N2121" t="str">
        <f>IFERROR(__xludf.DUMMYFUNCTION("""COMPUTED_VALUE"""),"Model 3 Performance")</f>
        <v>Model 3 Performance</v>
      </c>
      <c r="O2121" t="str">
        <f>IFERROR(__xludf.DUMMYFUNCTION("""COMPUTED_VALUE"""),"Deep Blue Metallic")</f>
        <v>Deep Blue Metallic</v>
      </c>
      <c r="P2121" t="str">
        <f>IFERROR(__xludf.DUMMYFUNCTION("""COMPUTED_VALUE"""),"20 inch Sport")</f>
        <v>20 inch Sport</v>
      </c>
      <c r="Q2121" t="str">
        <f>IFERROR(__xludf.DUMMYFUNCTION("""COMPUTED_VALUE"""),"Black seats")</f>
        <v>Black seats</v>
      </c>
      <c r="R2121" t="str">
        <f>IFERROR(__xludf.DUMMYFUNCTION("""COMPUTED_VALUE"""),"Full Self-Driving")</f>
        <v>Full Self-Driving</v>
      </c>
      <c r="X2121" t="str">
        <f>IFERROR(__xludf.DUMMYFUNCTION("""COMPUTED_VALUE"""),"Good")</f>
        <v>Good</v>
      </c>
      <c r="Y2121" t="str">
        <f>IFERROR(__xludf.DUMMYFUNCTION("""COMPUTED_VALUE"""),"Excellent")</f>
        <v>Excellent</v>
      </c>
      <c r="Z2121" t="str">
        <f>IFERROR(__xludf.DUMMYFUNCTION("""COMPUTED_VALUE"""),"Very Good")</f>
        <v>Very Good</v>
      </c>
      <c r="AA2121" t="str">
        <f>IFERROR(__xludf.DUMMYFUNCTION("""COMPUTED_VALUE"""),"Poor")</f>
        <v>Poor</v>
      </c>
      <c r="AB2121" t="str">
        <f>IFERROR(__xludf.DUMMYFUNCTION("""COMPUTED_VALUE"""),"Good")</f>
        <v>Good</v>
      </c>
      <c r="AC2121">
        <f>IFERROR(__xludf.DUMMYFUNCTION("""COMPUTED_VALUE"""),3.0)</f>
        <v>3</v>
      </c>
      <c r="AH2121" s="189">
        <f>IFERROR(__xludf.DUMMYFUNCTION("""COMPUTED_VALUE"""),43815.767197141206)</f>
        <v>43815.7672</v>
      </c>
    </row>
    <row r="2122">
      <c r="A2122" t="str">
        <f>IFERROR(__xludf.DUMMYFUNCTION("""COMPUTED_VALUE"""),"LindaMason")</f>
        <v>LindaMason</v>
      </c>
      <c r="B2122" t="str">
        <f>IFERROR(__xludf.DUMMYFUNCTION("""COMPUTED_VALUE"""),"Los Angeles")</f>
        <v>Los Angeles</v>
      </c>
      <c r="C2122" t="str">
        <f>IFERROR(__xludf.DUMMYFUNCTION("""COMPUTED_VALUE"""),"CA")</f>
        <v>CA</v>
      </c>
      <c r="D2122" t="str">
        <f>IFERROR(__xludf.DUMMYFUNCTION("""COMPUTED_VALUE"""),"USA")</f>
        <v>USA</v>
      </c>
      <c r="E2122" s="188">
        <f>IFERROR(__xludf.DUMMYFUNCTION("""COMPUTED_VALUE"""),43758.0)</f>
        <v>43758</v>
      </c>
      <c r="F2122" s="188">
        <f>IFERROR(__xludf.DUMMYFUNCTION("""COMPUTED_VALUE"""),43805.0)</f>
        <v>43805</v>
      </c>
      <c r="H2122" s="4">
        <f>IFERROR(__xludf.DUMMYFUNCTION("""COMPUTED_VALUE"""),615055.0)</f>
        <v>615055</v>
      </c>
      <c r="J2122" s="5">
        <f>IFERROR(__xludf.DUMMYFUNCTION("""COMPUTED_VALUE"""),43807.0)</f>
        <v>43807</v>
      </c>
      <c r="K2122">
        <f>IFERROR(__xludf.DUMMYFUNCTION("""COMPUTED_VALUE"""),47.0)</f>
        <v>47</v>
      </c>
      <c r="L2122">
        <f>IFERROR(__xludf.DUMMYFUNCTION("""COMPUTED_VALUE"""),2.0)</f>
        <v>2</v>
      </c>
      <c r="M2122">
        <f>IFERROR(__xludf.DUMMYFUNCTION("""COMPUTED_VALUE"""),49.0)</f>
        <v>49</v>
      </c>
      <c r="N2122" t="str">
        <f>IFERROR(__xludf.DUMMYFUNCTION("""COMPUTED_VALUE"""),"Model 3 SR+")</f>
        <v>Model 3 SR+</v>
      </c>
      <c r="O2122" t="str">
        <f>IFERROR(__xludf.DUMMYFUNCTION("""COMPUTED_VALUE"""),"Deep Blue Metallic")</f>
        <v>Deep Blue Metallic</v>
      </c>
      <c r="P2122" t="str">
        <f>IFERROR(__xludf.DUMMYFUNCTION("""COMPUTED_VALUE"""),"18 inch Aero")</f>
        <v>18 inch Aero</v>
      </c>
      <c r="Q2122" t="str">
        <f>IFERROR(__xludf.DUMMYFUNCTION("""COMPUTED_VALUE"""),"White seats")</f>
        <v>White seats</v>
      </c>
      <c r="R2122" t="str">
        <f>IFERROR(__xludf.DUMMYFUNCTION("""COMPUTED_VALUE"""),"Autopilot")</f>
        <v>Autopilot</v>
      </c>
      <c r="X2122" t="str">
        <f>IFERROR(__xludf.DUMMYFUNCTION("""COMPUTED_VALUE"""),"Excellent")</f>
        <v>Excellent</v>
      </c>
      <c r="Y2122" t="str">
        <f>IFERROR(__xludf.DUMMYFUNCTION("""COMPUTED_VALUE"""),"Poor")</f>
        <v>Poor</v>
      </c>
      <c r="Z2122" t="str">
        <f>IFERROR(__xludf.DUMMYFUNCTION("""COMPUTED_VALUE"""),"Good")</f>
        <v>Good</v>
      </c>
      <c r="AA2122" t="str">
        <f>IFERROR(__xludf.DUMMYFUNCTION("""COMPUTED_VALUE"""),"Poor")</f>
        <v>Poor</v>
      </c>
      <c r="AB2122" t="str">
        <f>IFERROR(__xludf.DUMMYFUNCTION("""COMPUTED_VALUE"""),"Poor")</f>
        <v>Poor</v>
      </c>
      <c r="AC2122">
        <f>IFERROR(__xludf.DUMMYFUNCTION("""COMPUTED_VALUE"""),4.0)</f>
        <v>4</v>
      </c>
      <c r="AD2122">
        <f>IFERROR(__xludf.DUMMYFUNCTION("""COMPUTED_VALUE"""),3.0)</f>
        <v>3</v>
      </c>
      <c r="AE2122">
        <f>IFERROR(__xludf.DUMMYFUNCTION("""COMPUTED_VALUE"""),3.0)</f>
        <v>3</v>
      </c>
      <c r="AG2122" t="str">
        <f>IFERROR(__xludf.DUMMYFUNCTION("""COMPUTED_VALUE"""),"Delivery consisted of signing paperwork, making payment, then told to go outside, use the app to honk the horn and leave. No assistance with going over the car until after waiting 20 minutes I demanded someone help with the vehicle flaws")</f>
        <v>Delivery consisted of signing paperwork, making payment, then told to go outside, use the app to honk the horn and leave. No assistance with going over the car until after waiting 20 minutes I demanded someone help with the vehicle flaws</v>
      </c>
      <c r="AH2122" s="189">
        <f>IFERROR(__xludf.DUMMYFUNCTION("""COMPUTED_VALUE"""),43815.906416134254)</f>
        <v>43815.90642</v>
      </c>
    </row>
    <row r="2123">
      <c r="A2123" t="str">
        <f>IFERROR(__xludf.DUMMYFUNCTION("""COMPUTED_VALUE"""),"Muleskinner")</f>
        <v>Muleskinner</v>
      </c>
      <c r="B2123" t="str">
        <f>IFERROR(__xludf.DUMMYFUNCTION("""COMPUTED_VALUE"""),"Chicago")</f>
        <v>Chicago</v>
      </c>
      <c r="C2123" t="str">
        <f>IFERROR(__xludf.DUMMYFUNCTION("""COMPUTED_VALUE"""),"IL")</f>
        <v>IL</v>
      </c>
      <c r="D2123" t="str">
        <f>IFERROR(__xludf.DUMMYFUNCTION("""COMPUTED_VALUE"""),"USA")</f>
        <v>USA</v>
      </c>
      <c r="E2123" s="188">
        <f>IFERROR(__xludf.DUMMYFUNCTION("""COMPUTED_VALUE"""),43777.0)</f>
        <v>43777</v>
      </c>
      <c r="F2123" s="188">
        <f>IFERROR(__xludf.DUMMYFUNCTION("""COMPUTED_VALUE"""),43800.0)</f>
        <v>43800</v>
      </c>
      <c r="H2123">
        <f>IFERROR(__xludf.DUMMYFUNCTION("""COMPUTED_VALUE"""),621844.0)</f>
        <v>621844</v>
      </c>
      <c r="J2123" s="5">
        <f>IFERROR(__xludf.DUMMYFUNCTION("""COMPUTED_VALUE"""),43813.0)</f>
        <v>43813</v>
      </c>
      <c r="K2123">
        <f>IFERROR(__xludf.DUMMYFUNCTION("""COMPUTED_VALUE"""),23.0)</f>
        <v>23</v>
      </c>
      <c r="L2123">
        <f>IFERROR(__xludf.DUMMYFUNCTION("""COMPUTED_VALUE"""),13.0)</f>
        <v>13</v>
      </c>
      <c r="M2123">
        <f>IFERROR(__xludf.DUMMYFUNCTION("""COMPUTED_VALUE"""),36.0)</f>
        <v>36</v>
      </c>
      <c r="N2123" t="str">
        <f>IFERROR(__xludf.DUMMYFUNCTION("""COMPUTED_VALUE"""),"Model 3 LR AWD")</f>
        <v>Model 3 LR AWD</v>
      </c>
      <c r="O2123" t="str">
        <f>IFERROR(__xludf.DUMMYFUNCTION("""COMPUTED_VALUE"""),"Midnight Silver Metallic")</f>
        <v>Midnight Silver Metallic</v>
      </c>
      <c r="P2123" t="str">
        <f>IFERROR(__xludf.DUMMYFUNCTION("""COMPUTED_VALUE"""),"18 inch Aero")</f>
        <v>18 inch Aero</v>
      </c>
      <c r="Q2123" t="str">
        <f>IFERROR(__xludf.DUMMYFUNCTION("""COMPUTED_VALUE"""),"White seats")</f>
        <v>White seats</v>
      </c>
      <c r="R2123" t="str">
        <f>IFERROR(__xludf.DUMMYFUNCTION("""COMPUTED_VALUE"""),"Full Self-Driving")</f>
        <v>Full Self-Driving</v>
      </c>
      <c r="X2123" t="str">
        <f>IFERROR(__xludf.DUMMYFUNCTION("""COMPUTED_VALUE"""),"Excellent")</f>
        <v>Excellent</v>
      </c>
      <c r="Y2123" t="str">
        <f>IFERROR(__xludf.DUMMYFUNCTION("""COMPUTED_VALUE"""),"Excellent")</f>
        <v>Excellent</v>
      </c>
      <c r="Z2123" t="str">
        <f>IFERROR(__xludf.DUMMYFUNCTION("""COMPUTED_VALUE"""),"Excellent")</f>
        <v>Excellent</v>
      </c>
      <c r="AA2123" t="str">
        <f>IFERROR(__xludf.DUMMYFUNCTION("""COMPUTED_VALUE"""),"Fair")</f>
        <v>Fair</v>
      </c>
      <c r="AB2123" t="str">
        <f>IFERROR(__xludf.DUMMYFUNCTION("""COMPUTED_VALUE"""),"Very Good")</f>
        <v>Very Good</v>
      </c>
      <c r="AH2123" s="189">
        <f>IFERROR(__xludf.DUMMYFUNCTION("""COMPUTED_VALUE"""),43816.237201296295)</f>
        <v>43816.2372</v>
      </c>
    </row>
    <row r="2124">
      <c r="A2124" t="str">
        <f>IFERROR(__xludf.DUMMYFUNCTION("""COMPUTED_VALUE"""),"Murrayq")</f>
        <v>Murrayq</v>
      </c>
      <c r="B2124" t="str">
        <f>IFERROR(__xludf.DUMMYFUNCTION("""COMPUTED_VALUE"""),"Longwood, ")</f>
        <v>Longwood, </v>
      </c>
      <c r="C2124" t="str">
        <f>IFERROR(__xludf.DUMMYFUNCTION("""COMPUTED_VALUE"""),"FL")</f>
        <v>FL</v>
      </c>
      <c r="D2124" t="str">
        <f>IFERROR(__xludf.DUMMYFUNCTION("""COMPUTED_VALUE"""),"USA")</f>
        <v>USA</v>
      </c>
      <c r="E2124" s="188">
        <f>IFERROR(__xludf.DUMMYFUNCTION("""COMPUTED_VALUE"""),43800.0)</f>
        <v>43800</v>
      </c>
      <c r="F2124" s="188">
        <f>IFERROR(__xludf.DUMMYFUNCTION("""COMPUTED_VALUE"""),43806.0)</f>
        <v>43806</v>
      </c>
      <c r="H2124">
        <f>IFERROR(__xludf.DUMMYFUNCTION("""COMPUTED_VALUE"""),621055.0)</f>
        <v>621055</v>
      </c>
      <c r="I2124" t="str">
        <f>IFERROR(__xludf.DUMMYFUNCTION("""COMPUTED_VALUE"""),"12/19")</f>
        <v>12/19</v>
      </c>
      <c r="J2124" s="5">
        <f>IFERROR(__xludf.DUMMYFUNCTION("""COMPUTED_VALUE"""),43815.0)</f>
        <v>43815</v>
      </c>
      <c r="K2124">
        <f>IFERROR(__xludf.DUMMYFUNCTION("""COMPUTED_VALUE"""),6.0)</f>
        <v>6</v>
      </c>
      <c r="L2124">
        <f>IFERROR(__xludf.DUMMYFUNCTION("""COMPUTED_VALUE"""),9.0)</f>
        <v>9</v>
      </c>
      <c r="M2124">
        <f>IFERROR(__xludf.DUMMYFUNCTION("""COMPUTED_VALUE"""),15.0)</f>
        <v>15</v>
      </c>
      <c r="N2124" t="str">
        <f>IFERROR(__xludf.DUMMYFUNCTION("""COMPUTED_VALUE"""),"Model 3 SR+")</f>
        <v>Model 3 SR+</v>
      </c>
      <c r="O2124" t="str">
        <f>IFERROR(__xludf.DUMMYFUNCTION("""COMPUTED_VALUE"""),"Pearl White Multi-Coat")</f>
        <v>Pearl White Multi-Coat</v>
      </c>
      <c r="P2124" t="str">
        <f>IFERROR(__xludf.DUMMYFUNCTION("""COMPUTED_VALUE"""),"19 inch Sport")</f>
        <v>19 inch Sport</v>
      </c>
      <c r="Q2124" t="str">
        <f>IFERROR(__xludf.DUMMYFUNCTION("""COMPUTED_VALUE"""),"Black seats")</f>
        <v>Black seats</v>
      </c>
      <c r="R2124" t="str">
        <f>IFERROR(__xludf.DUMMYFUNCTION("""COMPUTED_VALUE"""),"Autopilot")</f>
        <v>Autopilot</v>
      </c>
      <c r="X2124" t="str">
        <f>IFERROR(__xludf.DUMMYFUNCTION("""COMPUTED_VALUE"""),"Excellent")</f>
        <v>Excellent</v>
      </c>
      <c r="Y2124" t="str">
        <f>IFERROR(__xludf.DUMMYFUNCTION("""COMPUTED_VALUE"""),"Excellent")</f>
        <v>Excellent</v>
      </c>
      <c r="Z2124" t="str">
        <f>IFERROR(__xludf.DUMMYFUNCTION("""COMPUTED_VALUE"""),"Excellent")</f>
        <v>Excellent</v>
      </c>
      <c r="AA2124" t="str">
        <f>IFERROR(__xludf.DUMMYFUNCTION("""COMPUTED_VALUE"""),"Poor")</f>
        <v>Poor</v>
      </c>
      <c r="AB2124" t="str">
        <f>IFERROR(__xludf.DUMMYFUNCTION("""COMPUTED_VALUE"""),"Excellent")</f>
        <v>Excellent</v>
      </c>
      <c r="AH2124" s="189">
        <f>IFERROR(__xludf.DUMMYFUNCTION("""COMPUTED_VALUE"""),43816.26711159722)</f>
        <v>43816.26711</v>
      </c>
    </row>
    <row r="2125">
      <c r="A2125" t="str">
        <f>IFERROR(__xludf.DUMMYFUNCTION("""COMPUTED_VALUE"""),"Monsterzero")</f>
        <v>Monsterzero</v>
      </c>
      <c r="B2125" t="str">
        <f>IFERROR(__xludf.DUMMYFUNCTION("""COMPUTED_VALUE"""),"Bay Area")</f>
        <v>Bay Area</v>
      </c>
      <c r="C2125" t="str">
        <f>IFERROR(__xludf.DUMMYFUNCTION("""COMPUTED_VALUE"""),"CA")</f>
        <v>CA</v>
      </c>
      <c r="D2125" t="str">
        <f>IFERROR(__xludf.DUMMYFUNCTION("""COMPUTED_VALUE"""),"USA")</f>
        <v>USA</v>
      </c>
      <c r="E2125" s="188">
        <f>IFERROR(__xludf.DUMMYFUNCTION("""COMPUTED_VALUE"""),43758.0)</f>
        <v>43758</v>
      </c>
      <c r="F2125" s="188">
        <f>IFERROR(__xludf.DUMMYFUNCTION("""COMPUTED_VALUE"""),43811.0)</f>
        <v>43811</v>
      </c>
      <c r="H2125">
        <f>IFERROR(__xludf.DUMMYFUNCTION("""COMPUTED_VALUE"""),630757.0)</f>
        <v>630757</v>
      </c>
      <c r="J2125" s="5">
        <f>IFERROR(__xludf.DUMMYFUNCTION("""COMPUTED_VALUE"""),43814.0)</f>
        <v>43814</v>
      </c>
      <c r="K2125">
        <f>IFERROR(__xludf.DUMMYFUNCTION("""COMPUTED_VALUE"""),53.0)</f>
        <v>53</v>
      </c>
      <c r="L2125">
        <f>IFERROR(__xludf.DUMMYFUNCTION("""COMPUTED_VALUE"""),3.0)</f>
        <v>3</v>
      </c>
      <c r="M2125">
        <f>IFERROR(__xludf.DUMMYFUNCTION("""COMPUTED_VALUE"""),56.0)</f>
        <v>56</v>
      </c>
      <c r="N2125" t="str">
        <f>IFERROR(__xludf.DUMMYFUNCTION("""COMPUTED_VALUE"""),"Model 3 SR+")</f>
        <v>Model 3 SR+</v>
      </c>
      <c r="O2125" t="str">
        <f>IFERROR(__xludf.DUMMYFUNCTION("""COMPUTED_VALUE"""),"Red Multi-Coat")</f>
        <v>Red Multi-Coat</v>
      </c>
      <c r="P2125" t="str">
        <f>IFERROR(__xludf.DUMMYFUNCTION("""COMPUTED_VALUE"""),"18 inch Aero")</f>
        <v>18 inch Aero</v>
      </c>
      <c r="Q2125" t="str">
        <f>IFERROR(__xludf.DUMMYFUNCTION("""COMPUTED_VALUE"""),"Black seats")</f>
        <v>Black seats</v>
      </c>
      <c r="R2125" t="str">
        <f>IFERROR(__xludf.DUMMYFUNCTION("""COMPUTED_VALUE"""),"Full Self-Driving")</f>
        <v>Full Self-Driving</v>
      </c>
      <c r="X2125" t="str">
        <f>IFERROR(__xludf.DUMMYFUNCTION("""COMPUTED_VALUE"""),"Very Good")</f>
        <v>Very Good</v>
      </c>
      <c r="Y2125" t="str">
        <f>IFERROR(__xludf.DUMMYFUNCTION("""COMPUTED_VALUE"""),"Excellent")</f>
        <v>Excellent</v>
      </c>
      <c r="Z2125" t="str">
        <f>IFERROR(__xludf.DUMMYFUNCTION("""COMPUTED_VALUE"""),"Very Good")</f>
        <v>Very Good</v>
      </c>
      <c r="AA2125" t="str">
        <f>IFERROR(__xludf.DUMMYFUNCTION("""COMPUTED_VALUE"""),"Very Good")</f>
        <v>Very Good</v>
      </c>
      <c r="AB2125" t="str">
        <f>IFERROR(__xludf.DUMMYFUNCTION("""COMPUTED_VALUE"""),"Excellent")</f>
        <v>Excellent</v>
      </c>
      <c r="AG2125" t="str">
        <f>IFERROR(__xludf.DUMMYFUNCTION("""COMPUTED_VALUE"""),"Scheduled delivery was 12/15. Was able to pick up car on 12/13")</f>
        <v>Scheduled delivery was 12/15. Was able to pick up car on 12/13</v>
      </c>
      <c r="AH2125" s="189">
        <f>IFERROR(__xludf.DUMMYFUNCTION("""COMPUTED_VALUE"""),43816.270492766205)</f>
        <v>43816.27049</v>
      </c>
    </row>
    <row r="2126">
      <c r="A2126" t="str">
        <f>IFERROR(__xludf.DUMMYFUNCTION("""COMPUTED_VALUE"""),"DaveAMoore")</f>
        <v>DaveAMoore</v>
      </c>
      <c r="B2126" t="str">
        <f>IFERROR(__xludf.DUMMYFUNCTION("""COMPUTED_VALUE"""),"Kitchener")</f>
        <v>Kitchener</v>
      </c>
      <c r="C2126" t="str">
        <f>IFERROR(__xludf.DUMMYFUNCTION("""COMPUTED_VALUE"""),"ON")</f>
        <v>ON</v>
      </c>
      <c r="D2126" t="str">
        <f>IFERROR(__xludf.DUMMYFUNCTION("""COMPUTED_VALUE"""),"Canada")</f>
        <v>Canada</v>
      </c>
      <c r="E2126" s="188">
        <f>IFERROR(__xludf.DUMMYFUNCTION("""COMPUTED_VALUE"""),43790.0)</f>
        <v>43790</v>
      </c>
      <c r="F2126" s="188">
        <f>IFERROR(__xludf.DUMMYFUNCTION("""COMPUTED_VALUE"""),43803.0)</f>
        <v>43803</v>
      </c>
      <c r="H2126" s="4">
        <f>IFERROR(__xludf.DUMMYFUNCTION("""COMPUTED_VALUE"""),626296.0)</f>
        <v>626296</v>
      </c>
      <c r="I2126" t="str">
        <f>IFERROR(__xludf.DUMMYFUNCTION("""COMPUTED_VALUE"""),"12/19")</f>
        <v>12/19</v>
      </c>
      <c r="J2126" s="5">
        <f>IFERROR(__xludf.DUMMYFUNCTION("""COMPUTED_VALUE"""),43816.0)</f>
        <v>43816</v>
      </c>
      <c r="K2126">
        <f>IFERROR(__xludf.DUMMYFUNCTION("""COMPUTED_VALUE"""),13.0)</f>
        <v>13</v>
      </c>
      <c r="L2126">
        <f>IFERROR(__xludf.DUMMYFUNCTION("""COMPUTED_VALUE"""),13.0)</f>
        <v>13</v>
      </c>
      <c r="M2126">
        <f>IFERROR(__xludf.DUMMYFUNCTION("""COMPUTED_VALUE"""),26.0)</f>
        <v>26</v>
      </c>
      <c r="N2126" t="str">
        <f>IFERROR(__xludf.DUMMYFUNCTION("""COMPUTED_VALUE"""),"Model 3 LR AWD")</f>
        <v>Model 3 LR AWD</v>
      </c>
      <c r="O2126" t="str">
        <f>IFERROR(__xludf.DUMMYFUNCTION("""COMPUTED_VALUE"""),"Midnight Silver Metallic")</f>
        <v>Midnight Silver Metallic</v>
      </c>
      <c r="P2126" t="str">
        <f>IFERROR(__xludf.DUMMYFUNCTION("""COMPUTED_VALUE"""),"18 inch Aero")</f>
        <v>18 inch Aero</v>
      </c>
      <c r="Q2126" t="str">
        <f>IFERROR(__xludf.DUMMYFUNCTION("""COMPUTED_VALUE"""),"Black seats")</f>
        <v>Black seats</v>
      </c>
      <c r="R2126" t="str">
        <f>IFERROR(__xludf.DUMMYFUNCTION("""COMPUTED_VALUE"""),"Full Self-Driving")</f>
        <v>Full Self-Driving</v>
      </c>
      <c r="X2126" t="str">
        <f>IFERROR(__xludf.DUMMYFUNCTION("""COMPUTED_VALUE"""),"Very Good")</f>
        <v>Very Good</v>
      </c>
      <c r="Y2126" t="str">
        <f>IFERROR(__xludf.DUMMYFUNCTION("""COMPUTED_VALUE"""),"Excellent")</f>
        <v>Excellent</v>
      </c>
      <c r="Z2126" t="str">
        <f>IFERROR(__xludf.DUMMYFUNCTION("""COMPUTED_VALUE"""),"Very Good")</f>
        <v>Very Good</v>
      </c>
      <c r="AA2126" t="str">
        <f>IFERROR(__xludf.DUMMYFUNCTION("""COMPUTED_VALUE"""),"Poor")</f>
        <v>Poor</v>
      </c>
      <c r="AB2126" t="str">
        <f>IFERROR(__xludf.DUMMYFUNCTION("""COMPUTED_VALUE"""),"Poor")</f>
        <v>Poor</v>
      </c>
      <c r="AG2126" t="str">
        <f>IFERROR(__xludf.DUMMYFUNCTION("""COMPUTED_VALUE"""),"Found VIN in page source.")</f>
        <v>Found VIN in page source.</v>
      </c>
      <c r="AH2126" s="189">
        <f>IFERROR(__xludf.DUMMYFUNCTION("""COMPUTED_VALUE"""),43816.63443144676)</f>
        <v>43816.63443</v>
      </c>
    </row>
    <row r="2127">
      <c r="A2127" t="str">
        <f>IFERROR(__xludf.DUMMYFUNCTION("""COMPUTED_VALUE"""),"dw")</f>
        <v>dw</v>
      </c>
      <c r="B2127" t="str">
        <f>IFERROR(__xludf.DUMMYFUNCTION("""COMPUTED_VALUE"""),"San Jose")</f>
        <v>San Jose</v>
      </c>
      <c r="C2127" t="str">
        <f>IFERROR(__xludf.DUMMYFUNCTION("""COMPUTED_VALUE"""),"CA")</f>
        <v>CA</v>
      </c>
      <c r="D2127" t="str">
        <f>IFERROR(__xludf.DUMMYFUNCTION("""COMPUTED_VALUE"""),"USA")</f>
        <v>USA</v>
      </c>
      <c r="E2127" s="188">
        <f>IFERROR(__xludf.DUMMYFUNCTION("""COMPUTED_VALUE"""),43755.0)</f>
        <v>43755</v>
      </c>
      <c r="F2127" s="188">
        <f>IFERROR(__xludf.DUMMYFUNCTION("""COMPUTED_VALUE"""),43812.0)</f>
        <v>43812</v>
      </c>
      <c r="H2127">
        <f>IFERROR(__xludf.DUMMYFUNCTION("""COMPUTED_VALUE"""),619155.0)</f>
        <v>619155</v>
      </c>
      <c r="J2127" s="5">
        <f>IFERROR(__xludf.DUMMYFUNCTION("""COMPUTED_VALUE"""),43812.0)</f>
        <v>43812</v>
      </c>
      <c r="K2127">
        <f>IFERROR(__xludf.DUMMYFUNCTION("""COMPUTED_VALUE"""),57.0)</f>
        <v>57</v>
      </c>
      <c r="L2127">
        <f>IFERROR(__xludf.DUMMYFUNCTION("""COMPUTED_VALUE"""),0.0)</f>
        <v>0</v>
      </c>
      <c r="M2127">
        <f>IFERROR(__xludf.DUMMYFUNCTION("""COMPUTED_VALUE"""),57.0)</f>
        <v>57</v>
      </c>
      <c r="N2127" t="str">
        <f>IFERROR(__xludf.DUMMYFUNCTION("""COMPUTED_VALUE"""),"Model 3 LR AWD")</f>
        <v>Model 3 LR AWD</v>
      </c>
      <c r="O2127" t="str">
        <f>IFERROR(__xludf.DUMMYFUNCTION("""COMPUTED_VALUE"""),"Pearl White Multi-Coat")</f>
        <v>Pearl White Multi-Coat</v>
      </c>
      <c r="P2127" t="str">
        <f>IFERROR(__xludf.DUMMYFUNCTION("""COMPUTED_VALUE"""),"18 inch Aero")</f>
        <v>18 inch Aero</v>
      </c>
      <c r="Q2127" t="str">
        <f>IFERROR(__xludf.DUMMYFUNCTION("""COMPUTED_VALUE"""),"Black seats")</f>
        <v>Black seats</v>
      </c>
      <c r="R2127" t="str">
        <f>IFERROR(__xludf.DUMMYFUNCTION("""COMPUTED_VALUE"""),"Full Self-Driving")</f>
        <v>Full Self-Driving</v>
      </c>
      <c r="X2127" t="str">
        <f>IFERROR(__xludf.DUMMYFUNCTION("""COMPUTED_VALUE"""),"Fair")</f>
        <v>Fair</v>
      </c>
      <c r="Y2127" t="str">
        <f>IFERROR(__xludf.DUMMYFUNCTION("""COMPUTED_VALUE"""),"Good")</f>
        <v>Good</v>
      </c>
      <c r="Z2127" t="str">
        <f>IFERROR(__xludf.DUMMYFUNCTION("""COMPUTED_VALUE"""),"Excellent")</f>
        <v>Excellent</v>
      </c>
      <c r="AA2127" t="str">
        <f>IFERROR(__xludf.DUMMYFUNCTION("""COMPUTED_VALUE"""),"Excellent")</f>
        <v>Excellent</v>
      </c>
      <c r="AB2127" t="str">
        <f>IFERROR(__xludf.DUMMYFUNCTION("""COMPUTED_VALUE"""),"Excellent")</f>
        <v>Excellent</v>
      </c>
      <c r="AC2127">
        <f>IFERROR(__xludf.DUMMYFUNCTION("""COMPUTED_VALUE"""),0.0)</f>
        <v>0</v>
      </c>
      <c r="AD2127">
        <f>IFERROR(__xludf.DUMMYFUNCTION("""COMPUTED_VALUE"""),0.0)</f>
        <v>0</v>
      </c>
      <c r="AG2127" t="str">
        <f>IFERROR(__xludf.DUMMYFUNCTION("""COMPUTED_VALUE"""),"Found VIN in source code the morning of 12/13/2019. MVPA is avaliable to download from Tesla account. The CU wired the funding 1 hour after sending the MVPA and received the phone call form Tesla on 4:30 PM saying the car is finished production. I request"&amp;" to pick up the car immediately at Fremont and got approved. 6:30 pm got the car.")</f>
        <v>Found VIN in source code the morning of 12/13/2019. MVPA is avaliable to download from Tesla account. The CU wired the funding 1 hour after sending the MVPA and received the phone call form Tesla on 4:30 PM saying the car is finished production. I request to pick up the car immediately at Fremont and got approved. 6:30 pm got the car.</v>
      </c>
      <c r="AH2127" s="189">
        <f>IFERROR(__xludf.DUMMYFUNCTION("""COMPUTED_VALUE"""),43816.67596866898)</f>
        <v>43816.67597</v>
      </c>
    </row>
    <row r="2128">
      <c r="A2128" t="str">
        <f>IFERROR(__xludf.DUMMYFUNCTION("""COMPUTED_VALUE"""),"justinlindh")</f>
        <v>justinlindh</v>
      </c>
      <c r="B2128" t="str">
        <f>IFERROR(__xludf.DUMMYFUNCTION("""COMPUTED_VALUE"""),"Billings")</f>
        <v>Billings</v>
      </c>
      <c r="C2128" t="str">
        <f>IFERROR(__xludf.DUMMYFUNCTION("""COMPUTED_VALUE"""),"MT")</f>
        <v>MT</v>
      </c>
      <c r="D2128" t="str">
        <f>IFERROR(__xludf.DUMMYFUNCTION("""COMPUTED_VALUE"""),"USA")</f>
        <v>USA</v>
      </c>
      <c r="E2128" s="188">
        <f>IFERROR(__xludf.DUMMYFUNCTION("""COMPUTED_VALUE"""),43799.0)</f>
        <v>43799</v>
      </c>
      <c r="F2128" s="188">
        <f>IFERROR(__xludf.DUMMYFUNCTION("""COMPUTED_VALUE"""),43809.0)</f>
        <v>43809</v>
      </c>
      <c r="H2128">
        <f>IFERROR(__xludf.DUMMYFUNCTION("""COMPUTED_VALUE"""),628612.0)</f>
        <v>628612</v>
      </c>
      <c r="J2128" s="5">
        <f>IFERROR(__xludf.DUMMYFUNCTION("""COMPUTED_VALUE"""),43816.0)</f>
        <v>43816</v>
      </c>
      <c r="K2128">
        <f>IFERROR(__xludf.DUMMYFUNCTION("""COMPUTED_VALUE"""),10.0)</f>
        <v>10</v>
      </c>
      <c r="L2128">
        <f>IFERROR(__xludf.DUMMYFUNCTION("""COMPUTED_VALUE"""),7.0)</f>
        <v>7</v>
      </c>
      <c r="M2128">
        <f>IFERROR(__xludf.DUMMYFUNCTION("""COMPUTED_VALUE"""),17.0)</f>
        <v>17</v>
      </c>
      <c r="N2128" t="str">
        <f>IFERROR(__xludf.DUMMYFUNCTION("""COMPUTED_VALUE"""),"Model 3 LR AWD")</f>
        <v>Model 3 LR AWD</v>
      </c>
      <c r="O2128" t="str">
        <f>IFERROR(__xludf.DUMMYFUNCTION("""COMPUTED_VALUE"""),"Deep Blue Metallic")</f>
        <v>Deep Blue Metallic</v>
      </c>
      <c r="P2128" t="str">
        <f>IFERROR(__xludf.DUMMYFUNCTION("""COMPUTED_VALUE"""),"18 inch Aero")</f>
        <v>18 inch Aero</v>
      </c>
      <c r="Q2128" t="str">
        <f>IFERROR(__xludf.DUMMYFUNCTION("""COMPUTED_VALUE"""),"White seats")</f>
        <v>White seats</v>
      </c>
      <c r="R2128" t="str">
        <f>IFERROR(__xludf.DUMMYFUNCTION("""COMPUTED_VALUE"""),"Full Self-Driving")</f>
        <v>Full Self-Driving</v>
      </c>
      <c r="X2128" t="str">
        <f>IFERROR(__xludf.DUMMYFUNCTION("""COMPUTED_VALUE"""),"Excellent")</f>
        <v>Excellent</v>
      </c>
      <c r="Y2128" t="str">
        <f>IFERROR(__xludf.DUMMYFUNCTION("""COMPUTED_VALUE"""),"Excellent")</f>
        <v>Excellent</v>
      </c>
      <c r="Z2128" t="str">
        <f>IFERROR(__xludf.DUMMYFUNCTION("""COMPUTED_VALUE"""),"Excellent")</f>
        <v>Excellent</v>
      </c>
      <c r="AA2128" t="str">
        <f>IFERROR(__xludf.DUMMYFUNCTION("""COMPUTED_VALUE"""),"Poor")</f>
        <v>Poor</v>
      </c>
      <c r="AB2128" t="str">
        <f>IFERROR(__xludf.DUMMYFUNCTION("""COMPUTED_VALUE"""),"Excellent")</f>
        <v>Excellent</v>
      </c>
      <c r="AH2128" s="189">
        <f>IFERROR(__xludf.DUMMYFUNCTION("""COMPUTED_VALUE"""),43816.77754836806)</f>
        <v>43816.77755</v>
      </c>
    </row>
    <row r="2129">
      <c r="A2129" t="str">
        <f>IFERROR(__xludf.DUMMYFUNCTION("""COMPUTED_VALUE"""),"nathanm")</f>
        <v>nathanm</v>
      </c>
      <c r="B2129" t="str">
        <f>IFERROR(__xludf.DUMMYFUNCTION("""COMPUTED_VALUE"""),"Irvine")</f>
        <v>Irvine</v>
      </c>
      <c r="C2129" t="str">
        <f>IFERROR(__xludf.DUMMYFUNCTION("""COMPUTED_VALUE"""),"CA")</f>
        <v>CA</v>
      </c>
      <c r="D2129" t="str">
        <f>IFERROR(__xludf.DUMMYFUNCTION("""COMPUTED_VALUE"""),"USA")</f>
        <v>USA</v>
      </c>
      <c r="E2129" s="188">
        <f>IFERROR(__xludf.DUMMYFUNCTION("""COMPUTED_VALUE"""),43755.0)</f>
        <v>43755</v>
      </c>
      <c r="F2129" s="188">
        <f>IFERROR(__xludf.DUMMYFUNCTION("""COMPUTED_VALUE"""),43808.0)</f>
        <v>43808</v>
      </c>
      <c r="H2129">
        <f>IFERROR(__xludf.DUMMYFUNCTION("""COMPUTED_VALUE"""),611255.0)</f>
        <v>611255</v>
      </c>
      <c r="I2129" t="str">
        <f>IFERROR(__xludf.DUMMYFUNCTION("""COMPUTED_VALUE"""),"11/19")</f>
        <v>11/19</v>
      </c>
      <c r="J2129" s="5">
        <f>IFERROR(__xludf.DUMMYFUNCTION("""COMPUTED_VALUE"""),43816.0)</f>
        <v>43816</v>
      </c>
      <c r="K2129">
        <f>IFERROR(__xludf.DUMMYFUNCTION("""COMPUTED_VALUE"""),53.0)</f>
        <v>53</v>
      </c>
      <c r="L2129">
        <f>IFERROR(__xludf.DUMMYFUNCTION("""COMPUTED_VALUE"""),8.0)</f>
        <v>8</v>
      </c>
      <c r="M2129">
        <f>IFERROR(__xludf.DUMMYFUNCTION("""COMPUTED_VALUE"""),61.0)</f>
        <v>61</v>
      </c>
      <c r="N2129" t="str">
        <f>IFERROR(__xludf.DUMMYFUNCTION("""COMPUTED_VALUE"""),"Model 3 SR+")</f>
        <v>Model 3 SR+</v>
      </c>
      <c r="O2129" t="str">
        <f>IFERROR(__xludf.DUMMYFUNCTION("""COMPUTED_VALUE"""),"Solid Black")</f>
        <v>Solid Black</v>
      </c>
      <c r="P2129" t="str">
        <f>IFERROR(__xludf.DUMMYFUNCTION("""COMPUTED_VALUE"""),"18 inch Aero")</f>
        <v>18 inch Aero</v>
      </c>
      <c r="Q2129" t="str">
        <f>IFERROR(__xludf.DUMMYFUNCTION("""COMPUTED_VALUE"""),"Black seats")</f>
        <v>Black seats</v>
      </c>
      <c r="R2129" t="str">
        <f>IFERROR(__xludf.DUMMYFUNCTION("""COMPUTED_VALUE"""),"Autopilot")</f>
        <v>Autopilot</v>
      </c>
      <c r="X2129" t="str">
        <f>IFERROR(__xludf.DUMMYFUNCTION("""COMPUTED_VALUE"""),"Excellent")</f>
        <v>Excellent</v>
      </c>
      <c r="Y2129" t="str">
        <f>IFERROR(__xludf.DUMMYFUNCTION("""COMPUTED_VALUE"""),"Excellent")</f>
        <v>Excellent</v>
      </c>
      <c r="Z2129" t="str">
        <f>IFERROR(__xludf.DUMMYFUNCTION("""COMPUTED_VALUE"""),"Very Good")</f>
        <v>Very Good</v>
      </c>
      <c r="AA2129" t="str">
        <f>IFERROR(__xludf.DUMMYFUNCTION("""COMPUTED_VALUE"""),"Fair")</f>
        <v>Fair</v>
      </c>
      <c r="AB2129" t="str">
        <f>IFERROR(__xludf.DUMMYFUNCTION("""COMPUTED_VALUE"""),"Good")</f>
        <v>Good</v>
      </c>
      <c r="AC2129">
        <f>IFERROR(__xludf.DUMMYFUNCTION("""COMPUTED_VALUE"""),1.0)</f>
        <v>1</v>
      </c>
      <c r="AG2129" t="str">
        <f>IFERROR(__xludf.DUMMYFUNCTION("""COMPUTED_VALUE"""),"Original delivery date 12/14. Delayed due to paint issues they needed to fix.")</f>
        <v>Original delivery date 12/14. Delayed due to paint issues they needed to fix.</v>
      </c>
      <c r="AH2129" s="189">
        <f>IFERROR(__xludf.DUMMYFUNCTION("""COMPUTED_VALUE"""),43816.946918437505)</f>
        <v>43816.94692</v>
      </c>
    </row>
    <row r="2130">
      <c r="A2130" t="str">
        <f>IFERROR(__xludf.DUMMYFUNCTION("""COMPUTED_VALUE"""),"Wil")</f>
        <v>Wil</v>
      </c>
      <c r="B2130" t="str">
        <f>IFERROR(__xludf.DUMMYFUNCTION("""COMPUTED_VALUE"""),"East Bay")</f>
        <v>East Bay</v>
      </c>
      <c r="C2130" t="str">
        <f>IFERROR(__xludf.DUMMYFUNCTION("""COMPUTED_VALUE"""),"CA")</f>
        <v>CA</v>
      </c>
      <c r="D2130" t="str">
        <f>IFERROR(__xludf.DUMMYFUNCTION("""COMPUTED_VALUE"""),"USA")</f>
        <v>USA</v>
      </c>
      <c r="E2130" s="188">
        <f>IFERROR(__xludf.DUMMYFUNCTION("""COMPUTED_VALUE"""),43767.0)</f>
        <v>43767</v>
      </c>
      <c r="F2130" s="188">
        <f>IFERROR(__xludf.DUMMYFUNCTION("""COMPUTED_VALUE"""),43813.0)</f>
        <v>43813</v>
      </c>
      <c r="H2130">
        <f>IFERROR(__xludf.DUMMYFUNCTION("""COMPUTED_VALUE"""),615855.0)</f>
        <v>615855</v>
      </c>
      <c r="J2130" s="5">
        <f>IFERROR(__xludf.DUMMYFUNCTION("""COMPUTED_VALUE"""),43816.0)</f>
        <v>43816</v>
      </c>
      <c r="K2130">
        <f>IFERROR(__xludf.DUMMYFUNCTION("""COMPUTED_VALUE"""),46.0)</f>
        <v>46</v>
      </c>
      <c r="L2130">
        <f>IFERROR(__xludf.DUMMYFUNCTION("""COMPUTED_VALUE"""),3.0)</f>
        <v>3</v>
      </c>
      <c r="M2130">
        <f>IFERROR(__xludf.DUMMYFUNCTION("""COMPUTED_VALUE"""),49.0)</f>
        <v>49</v>
      </c>
      <c r="N2130" t="str">
        <f>IFERROR(__xludf.DUMMYFUNCTION("""COMPUTED_VALUE"""),"Model 3 SR+")</f>
        <v>Model 3 SR+</v>
      </c>
      <c r="O2130" t="str">
        <f>IFERROR(__xludf.DUMMYFUNCTION("""COMPUTED_VALUE"""),"Deep Blue Metallic")</f>
        <v>Deep Blue Metallic</v>
      </c>
      <c r="P2130" t="str">
        <f>IFERROR(__xludf.DUMMYFUNCTION("""COMPUTED_VALUE"""),"19 inch Sport")</f>
        <v>19 inch Sport</v>
      </c>
      <c r="Q2130" t="str">
        <f>IFERROR(__xludf.DUMMYFUNCTION("""COMPUTED_VALUE"""),"White seats")</f>
        <v>White seats</v>
      </c>
      <c r="R2130" t="str">
        <f>IFERROR(__xludf.DUMMYFUNCTION("""COMPUTED_VALUE"""),"Autopilot")</f>
        <v>Autopilot</v>
      </c>
      <c r="X2130" t="str">
        <f>IFERROR(__xludf.DUMMYFUNCTION("""COMPUTED_VALUE"""),"Excellent")</f>
        <v>Excellent</v>
      </c>
      <c r="Y2130" t="str">
        <f>IFERROR(__xludf.DUMMYFUNCTION("""COMPUTED_VALUE"""),"Excellent")</f>
        <v>Excellent</v>
      </c>
      <c r="Z2130" t="str">
        <f>IFERROR(__xludf.DUMMYFUNCTION("""COMPUTED_VALUE"""),"Very Good")</f>
        <v>Very Good</v>
      </c>
      <c r="AA2130" t="str">
        <f>IFERROR(__xludf.DUMMYFUNCTION("""COMPUTED_VALUE"""),"Good")</f>
        <v>Good</v>
      </c>
      <c r="AB2130" t="str">
        <f>IFERROR(__xludf.DUMMYFUNCTION("""COMPUTED_VALUE"""),"Very Good")</f>
        <v>Very Good</v>
      </c>
      <c r="AH2130" s="189">
        <f>IFERROR(__xludf.DUMMYFUNCTION("""COMPUTED_VALUE"""),43816.95831543981)</f>
        <v>43816.95832</v>
      </c>
    </row>
    <row r="2131">
      <c r="A2131" t="str">
        <f>IFERROR(__xludf.DUMMYFUNCTION("""COMPUTED_VALUE"""),"daytonadweller")</f>
        <v>daytonadweller</v>
      </c>
      <c r="B2131" t="str">
        <f>IFERROR(__xludf.DUMMYFUNCTION("""COMPUTED_VALUE"""),"Denver")</f>
        <v>Denver</v>
      </c>
      <c r="C2131" t="str">
        <f>IFERROR(__xludf.DUMMYFUNCTION("""COMPUTED_VALUE"""),"CO")</f>
        <v>CO</v>
      </c>
      <c r="D2131" t="str">
        <f>IFERROR(__xludf.DUMMYFUNCTION("""COMPUTED_VALUE"""),"USA")</f>
        <v>USA</v>
      </c>
      <c r="E2131" s="188">
        <f>IFERROR(__xludf.DUMMYFUNCTION("""COMPUTED_VALUE"""),43755.0)</f>
        <v>43755</v>
      </c>
      <c r="F2131" s="188">
        <f>IFERROR(__xludf.DUMMYFUNCTION("""COMPUTED_VALUE"""),43807.0)</f>
        <v>43807</v>
      </c>
      <c r="H2131">
        <f>IFERROR(__xludf.DUMMYFUNCTION("""COMPUTED_VALUE"""),624013.0)</f>
        <v>624013</v>
      </c>
      <c r="I2131" t="str">
        <f>IFERROR(__xludf.DUMMYFUNCTION("""COMPUTED_VALUE"""),"12/19")</f>
        <v>12/19</v>
      </c>
      <c r="J2131" s="5">
        <f>IFERROR(__xludf.DUMMYFUNCTION("""COMPUTED_VALUE"""),43813.0)</f>
        <v>43813</v>
      </c>
      <c r="K2131">
        <f>IFERROR(__xludf.DUMMYFUNCTION("""COMPUTED_VALUE"""),52.0)</f>
        <v>52</v>
      </c>
      <c r="L2131">
        <f>IFERROR(__xludf.DUMMYFUNCTION("""COMPUTED_VALUE"""),6.0)</f>
        <v>6</v>
      </c>
      <c r="M2131">
        <f>IFERROR(__xludf.DUMMYFUNCTION("""COMPUTED_VALUE"""),58.0)</f>
        <v>58</v>
      </c>
      <c r="N2131" t="str">
        <f>IFERROR(__xludf.DUMMYFUNCTION("""COMPUTED_VALUE"""),"Model 3 Performance")</f>
        <v>Model 3 Performance</v>
      </c>
      <c r="O2131" t="str">
        <f>IFERROR(__xludf.DUMMYFUNCTION("""COMPUTED_VALUE"""),"Pearl White Multi-Coat")</f>
        <v>Pearl White Multi-Coat</v>
      </c>
      <c r="P2131" t="str">
        <f>IFERROR(__xludf.DUMMYFUNCTION("""COMPUTED_VALUE"""),"20 inch Sport")</f>
        <v>20 inch Sport</v>
      </c>
      <c r="Q2131" t="str">
        <f>IFERROR(__xludf.DUMMYFUNCTION("""COMPUTED_VALUE"""),"Black seats")</f>
        <v>Black seats</v>
      </c>
      <c r="R2131" t="str">
        <f>IFERROR(__xludf.DUMMYFUNCTION("""COMPUTED_VALUE"""),"Full Self-Driving")</f>
        <v>Full Self-Driving</v>
      </c>
      <c r="X2131" t="str">
        <f>IFERROR(__xludf.DUMMYFUNCTION("""COMPUTED_VALUE"""),"Very Good")</f>
        <v>Very Good</v>
      </c>
      <c r="Y2131" t="str">
        <f>IFERROR(__xludf.DUMMYFUNCTION("""COMPUTED_VALUE"""),"Excellent")</f>
        <v>Excellent</v>
      </c>
      <c r="Z2131" t="str">
        <f>IFERROR(__xludf.DUMMYFUNCTION("""COMPUTED_VALUE"""),"Very Good")</f>
        <v>Very Good</v>
      </c>
      <c r="AA2131" t="str">
        <f>IFERROR(__xludf.DUMMYFUNCTION("""COMPUTED_VALUE"""),"Poor")</f>
        <v>Poor</v>
      </c>
      <c r="AB2131" t="str">
        <f>IFERROR(__xludf.DUMMYFUNCTION("""COMPUTED_VALUE"""),"Excellent")</f>
        <v>Excellent</v>
      </c>
      <c r="AC2131">
        <f>IFERROR(__xludf.DUMMYFUNCTION("""COMPUTED_VALUE"""),3.0)</f>
        <v>3</v>
      </c>
      <c r="AH2131" s="189">
        <f>IFERROR(__xludf.DUMMYFUNCTION("""COMPUTED_VALUE"""),43817.33158706018)</f>
        <v>43817.33159</v>
      </c>
    </row>
    <row r="2132">
      <c r="A2132" t="str">
        <f>IFERROR(__xludf.DUMMYFUNCTION("""COMPUTED_VALUE"""),"mthomas87")</f>
        <v>mthomas87</v>
      </c>
      <c r="B2132" t="str">
        <f>IFERROR(__xludf.DUMMYFUNCTION("""COMPUTED_VALUE"""),"Viera")</f>
        <v>Viera</v>
      </c>
      <c r="C2132" t="str">
        <f>IFERROR(__xludf.DUMMYFUNCTION("""COMPUTED_VALUE"""),"FL")</f>
        <v>FL</v>
      </c>
      <c r="D2132" t="str">
        <f>IFERROR(__xludf.DUMMYFUNCTION("""COMPUTED_VALUE"""),"USA")</f>
        <v>USA</v>
      </c>
      <c r="E2132" s="188">
        <f>IFERROR(__xludf.DUMMYFUNCTION("""COMPUTED_VALUE"""),43775.0)</f>
        <v>43775</v>
      </c>
      <c r="F2132" s="188">
        <f>IFERROR(__xludf.DUMMYFUNCTION("""COMPUTED_VALUE"""),43803.0)</f>
        <v>43803</v>
      </c>
      <c r="H2132">
        <f>IFERROR(__xludf.DUMMYFUNCTION("""COMPUTED_VALUE"""),616455.0)</f>
        <v>616455</v>
      </c>
      <c r="I2132" t="str">
        <f>IFERROR(__xludf.DUMMYFUNCTION("""COMPUTED_VALUE"""),"12/19")</f>
        <v>12/19</v>
      </c>
      <c r="J2132" s="5">
        <f>IFERROR(__xludf.DUMMYFUNCTION("""COMPUTED_VALUE"""),43810.0)</f>
        <v>43810</v>
      </c>
      <c r="K2132">
        <f>IFERROR(__xludf.DUMMYFUNCTION("""COMPUTED_VALUE"""),28.0)</f>
        <v>28</v>
      </c>
      <c r="L2132">
        <f>IFERROR(__xludf.DUMMYFUNCTION("""COMPUTED_VALUE"""),7.0)</f>
        <v>7</v>
      </c>
      <c r="M2132">
        <f>IFERROR(__xludf.DUMMYFUNCTION("""COMPUTED_VALUE"""),35.0)</f>
        <v>35</v>
      </c>
      <c r="N2132" t="str">
        <f>IFERROR(__xludf.DUMMYFUNCTION("""COMPUTED_VALUE"""),"Model 3 LR AWD")</f>
        <v>Model 3 LR AWD</v>
      </c>
      <c r="O2132" t="str">
        <f>IFERROR(__xludf.DUMMYFUNCTION("""COMPUTED_VALUE"""),"Midnight Silver Metallic")</f>
        <v>Midnight Silver Metallic</v>
      </c>
      <c r="P2132" t="str">
        <f>IFERROR(__xludf.DUMMYFUNCTION("""COMPUTED_VALUE"""),"18 inch Aero")</f>
        <v>18 inch Aero</v>
      </c>
      <c r="Q2132" t="str">
        <f>IFERROR(__xludf.DUMMYFUNCTION("""COMPUTED_VALUE"""),"Black seats")</f>
        <v>Black seats</v>
      </c>
      <c r="R2132" t="str">
        <f>IFERROR(__xludf.DUMMYFUNCTION("""COMPUTED_VALUE"""),"Autopilot")</f>
        <v>Autopilot</v>
      </c>
      <c r="X2132" t="str">
        <f>IFERROR(__xludf.DUMMYFUNCTION("""COMPUTED_VALUE"""),"Excellent")</f>
        <v>Excellent</v>
      </c>
      <c r="Y2132" t="str">
        <f>IFERROR(__xludf.DUMMYFUNCTION("""COMPUTED_VALUE"""),"Excellent")</f>
        <v>Excellent</v>
      </c>
      <c r="Z2132" t="str">
        <f>IFERROR(__xludf.DUMMYFUNCTION("""COMPUTED_VALUE"""),"Excellent")</f>
        <v>Excellent</v>
      </c>
      <c r="AA2132" t="str">
        <f>IFERROR(__xludf.DUMMYFUNCTION("""COMPUTED_VALUE"""),"Fair")</f>
        <v>Fair</v>
      </c>
      <c r="AB2132" t="str">
        <f>IFERROR(__xludf.DUMMYFUNCTION("""COMPUTED_VALUE"""),"Good")</f>
        <v>Good</v>
      </c>
      <c r="AC2132">
        <f>IFERROR(__xludf.DUMMYFUNCTION("""COMPUTED_VALUE"""),1.0)</f>
        <v>1</v>
      </c>
      <c r="AD2132">
        <f>IFERROR(__xludf.DUMMYFUNCTION("""COMPUTED_VALUE"""),1.0)</f>
        <v>1</v>
      </c>
      <c r="AE2132">
        <f>IFERROR(__xludf.DUMMYFUNCTION("""COMPUTED_VALUE"""),0.0)</f>
        <v>0</v>
      </c>
      <c r="AG2132" t="str">
        <f>IFERROR(__xludf.DUMMYFUNCTION("""COMPUTED_VALUE"""),"UMC was faulty and required a replacement on day 2")</f>
        <v>UMC was faulty and required a replacement on day 2</v>
      </c>
      <c r="AH2132" s="189">
        <f>IFERROR(__xludf.DUMMYFUNCTION("""COMPUTED_VALUE"""),43817.42228842592)</f>
        <v>43817.42229</v>
      </c>
    </row>
    <row r="2133">
      <c r="A2133" t="str">
        <f>IFERROR(__xludf.DUMMYFUNCTION("""COMPUTED_VALUE"""),"ihearthiking")</f>
        <v>ihearthiking</v>
      </c>
      <c r="B2133" t="str">
        <f>IFERROR(__xludf.DUMMYFUNCTION("""COMPUTED_VALUE"""),"Erie")</f>
        <v>Erie</v>
      </c>
      <c r="C2133" t="str">
        <f>IFERROR(__xludf.DUMMYFUNCTION("""COMPUTED_VALUE"""),"CO")</f>
        <v>CO</v>
      </c>
      <c r="D2133" t="str">
        <f>IFERROR(__xludf.DUMMYFUNCTION("""COMPUTED_VALUE"""),"USA")</f>
        <v>USA</v>
      </c>
      <c r="E2133" s="188">
        <f>IFERROR(__xludf.DUMMYFUNCTION("""COMPUTED_VALUE"""),43712.0)</f>
        <v>43712</v>
      </c>
      <c r="F2133" s="188">
        <f>IFERROR(__xludf.DUMMYFUNCTION("""COMPUTED_VALUE"""),43800.0)</f>
        <v>43800</v>
      </c>
      <c r="H2133">
        <f>IFERROR(__xludf.DUMMYFUNCTION("""COMPUTED_VALUE"""),603568.0)</f>
        <v>603568</v>
      </c>
      <c r="J2133" s="5">
        <f>IFERROR(__xludf.DUMMYFUNCTION("""COMPUTED_VALUE"""),43804.0)</f>
        <v>43804</v>
      </c>
      <c r="K2133">
        <f>IFERROR(__xludf.DUMMYFUNCTION("""COMPUTED_VALUE"""),88.0)</f>
        <v>88</v>
      </c>
      <c r="L2133">
        <f>IFERROR(__xludf.DUMMYFUNCTION("""COMPUTED_VALUE"""),4.0)</f>
        <v>4</v>
      </c>
      <c r="M2133">
        <f>IFERROR(__xludf.DUMMYFUNCTION("""COMPUTED_VALUE"""),92.0)</f>
        <v>92</v>
      </c>
      <c r="N2133" t="str">
        <f>IFERROR(__xludf.DUMMYFUNCTION("""COMPUTED_VALUE"""),"Model 3 Performance")</f>
        <v>Model 3 Performance</v>
      </c>
      <c r="O2133" t="str">
        <f>IFERROR(__xludf.DUMMYFUNCTION("""COMPUTED_VALUE"""),"Pearl White Multi-Coat")</f>
        <v>Pearl White Multi-Coat</v>
      </c>
      <c r="P2133" t="str">
        <f>IFERROR(__xludf.DUMMYFUNCTION("""COMPUTED_VALUE"""),"20 inch Sport")</f>
        <v>20 inch Sport</v>
      </c>
      <c r="Q2133" t="str">
        <f>IFERROR(__xludf.DUMMYFUNCTION("""COMPUTED_VALUE"""),"White seats")</f>
        <v>White seats</v>
      </c>
      <c r="R2133" t="str">
        <f>IFERROR(__xludf.DUMMYFUNCTION("""COMPUTED_VALUE"""),"Full Self-Driving")</f>
        <v>Full Self-Driving</v>
      </c>
      <c r="X2133" t="str">
        <f>IFERROR(__xludf.DUMMYFUNCTION("""COMPUTED_VALUE"""),"Fair")</f>
        <v>Fair</v>
      </c>
      <c r="Y2133" t="str">
        <f>IFERROR(__xludf.DUMMYFUNCTION("""COMPUTED_VALUE"""),"Good")</f>
        <v>Good</v>
      </c>
      <c r="Z2133" t="str">
        <f>IFERROR(__xludf.DUMMYFUNCTION("""COMPUTED_VALUE"""),"Very Good")</f>
        <v>Very Good</v>
      </c>
      <c r="AA2133" t="str">
        <f>IFERROR(__xludf.DUMMYFUNCTION("""COMPUTED_VALUE"""),"Poor")</f>
        <v>Poor</v>
      </c>
      <c r="AB2133" t="str">
        <f>IFERROR(__xludf.DUMMYFUNCTION("""COMPUTED_VALUE"""),"Poor")</f>
        <v>Poor</v>
      </c>
      <c r="AC2133">
        <f>IFERROR(__xludf.DUMMYFUNCTION("""COMPUTED_VALUE"""),0.0)</f>
        <v>0</v>
      </c>
      <c r="AG2133" t="str">
        <f>IFERROR(__xludf.DUMMYFUNCTION("""COMPUTED_VALUE"""),"12/2: Received delivery scheduling email. 12/1: Found VIN in source code. 11/21: Told by Tesla rep that vehicles will be delivered in the last 2 weeks of December. 10/11: told by Tesla representative that no vehicle will be produced until December '19. ")</f>
        <v>12/2: Received delivery scheduling email. 12/1: Found VIN in source code. 11/21: Told by Tesla rep that vehicles will be delivered in the last 2 weeks of December. 10/11: told by Tesla representative that no vehicle will be produced until December '19. </v>
      </c>
      <c r="AH2133" s="189">
        <f>IFERROR(__xludf.DUMMYFUNCTION("""COMPUTED_VALUE"""),43817.42367346065)</f>
        <v>43817.42367</v>
      </c>
    </row>
    <row r="2134">
      <c r="A2134" t="str">
        <f>IFERROR(__xludf.DUMMYFUNCTION("""COMPUTED_VALUE"""),"MiltTDdriver")</f>
        <v>MiltTDdriver</v>
      </c>
      <c r="B2134" t="str">
        <f>IFERROR(__xludf.DUMMYFUNCTION("""COMPUTED_VALUE"""),"Boston")</f>
        <v>Boston</v>
      </c>
      <c r="C2134" t="str">
        <f>IFERROR(__xludf.DUMMYFUNCTION("""COMPUTED_VALUE"""),"MA")</f>
        <v>MA</v>
      </c>
      <c r="D2134" t="str">
        <f>IFERROR(__xludf.DUMMYFUNCTION("""COMPUTED_VALUE"""),"USA")</f>
        <v>USA</v>
      </c>
      <c r="E2134" s="188">
        <f>IFERROR(__xludf.DUMMYFUNCTION("""COMPUTED_VALUE"""),43776.0)</f>
        <v>43776</v>
      </c>
      <c r="F2134" s="188">
        <f>IFERROR(__xludf.DUMMYFUNCTION("""COMPUTED_VALUE"""),43795.0)</f>
        <v>43795</v>
      </c>
      <c r="H2134">
        <f>IFERROR(__xludf.DUMMYFUNCTION("""COMPUTED_VALUE"""),620342.0)</f>
        <v>620342</v>
      </c>
      <c r="J2134" s="5">
        <f>IFERROR(__xludf.DUMMYFUNCTION("""COMPUTED_VALUE"""),43815.0)</f>
        <v>43815</v>
      </c>
      <c r="K2134">
        <f>IFERROR(__xludf.DUMMYFUNCTION("""COMPUTED_VALUE"""),19.0)</f>
        <v>19</v>
      </c>
      <c r="L2134">
        <f>IFERROR(__xludf.DUMMYFUNCTION("""COMPUTED_VALUE"""),20.0)</f>
        <v>20</v>
      </c>
      <c r="M2134">
        <f>IFERROR(__xludf.DUMMYFUNCTION("""COMPUTED_VALUE"""),39.0)</f>
        <v>39</v>
      </c>
      <c r="N2134" t="str">
        <f>IFERROR(__xludf.DUMMYFUNCTION("""COMPUTED_VALUE"""),"Model 3 LR AWD")</f>
        <v>Model 3 LR AWD</v>
      </c>
      <c r="O2134" t="str">
        <f>IFERROR(__xludf.DUMMYFUNCTION("""COMPUTED_VALUE"""),"Red Multi-Coat")</f>
        <v>Red Multi-Coat</v>
      </c>
      <c r="P2134" t="str">
        <f>IFERROR(__xludf.DUMMYFUNCTION("""COMPUTED_VALUE"""),"19 inch Sport")</f>
        <v>19 inch Sport</v>
      </c>
      <c r="Q2134" t="str">
        <f>IFERROR(__xludf.DUMMYFUNCTION("""COMPUTED_VALUE"""),"Black seats")</f>
        <v>Black seats</v>
      </c>
      <c r="R2134" t="str">
        <f>IFERROR(__xludf.DUMMYFUNCTION("""COMPUTED_VALUE"""),"Autopilot")</f>
        <v>Autopilot</v>
      </c>
      <c r="X2134" t="str">
        <f>IFERROR(__xludf.DUMMYFUNCTION("""COMPUTED_VALUE"""),"Good")</f>
        <v>Good</v>
      </c>
      <c r="Y2134" t="str">
        <f>IFERROR(__xludf.DUMMYFUNCTION("""COMPUTED_VALUE"""),"Excellent")</f>
        <v>Excellent</v>
      </c>
      <c r="Z2134" t="str">
        <f>IFERROR(__xludf.DUMMYFUNCTION("""COMPUTED_VALUE"""),"Excellent")</f>
        <v>Excellent</v>
      </c>
      <c r="AA2134" t="str">
        <f>IFERROR(__xludf.DUMMYFUNCTION("""COMPUTED_VALUE"""),"Poor")</f>
        <v>Poor</v>
      </c>
      <c r="AB2134" t="str">
        <f>IFERROR(__xludf.DUMMYFUNCTION("""COMPUTED_VALUE"""),"Very Good")</f>
        <v>Very Good</v>
      </c>
      <c r="AG2134" t="str">
        <f>IFERROR(__xludf.DUMMYFUNCTION("""COMPUTED_VALUE"""),"Original order 11/2/19; modified configuration to drop FSD on 11/7/2019; Shipping 12/6/19, supposed to get week later.")</f>
        <v>Original order 11/2/19; modified configuration to drop FSD on 11/7/2019; Shipping 12/6/19, supposed to get week later.</v>
      </c>
      <c r="AH2134" s="189">
        <f>IFERROR(__xludf.DUMMYFUNCTION("""COMPUTED_VALUE"""),43817.53826774306)</f>
        <v>43817.53827</v>
      </c>
    </row>
    <row r="2135">
      <c r="A2135" t="str">
        <f>IFERROR(__xludf.DUMMYFUNCTION("""COMPUTED_VALUE"""),"TWilson")</f>
        <v>TWilson</v>
      </c>
      <c r="B2135" t="str">
        <f>IFERROR(__xludf.DUMMYFUNCTION("""COMPUTED_VALUE"""),"Pittsburgh")</f>
        <v>Pittsburgh</v>
      </c>
      <c r="C2135" t="str">
        <f>IFERROR(__xludf.DUMMYFUNCTION("""COMPUTED_VALUE"""),"PA")</f>
        <v>PA</v>
      </c>
      <c r="D2135" t="str">
        <f>IFERROR(__xludf.DUMMYFUNCTION("""COMPUTED_VALUE"""),"USA")</f>
        <v>USA</v>
      </c>
      <c r="E2135" s="188">
        <f>IFERROR(__xludf.DUMMYFUNCTION("""COMPUTED_VALUE"""),43766.0)</f>
        <v>43766</v>
      </c>
      <c r="H2135">
        <f>IFERROR(__xludf.DUMMYFUNCTION("""COMPUTED_VALUE"""),601055.0)</f>
        <v>601055</v>
      </c>
      <c r="J2135" s="5">
        <f>IFERROR(__xludf.DUMMYFUNCTION("""COMPUTED_VALUE"""),43816.0)</f>
        <v>43816</v>
      </c>
      <c r="M2135">
        <f>IFERROR(__xludf.DUMMYFUNCTION("""COMPUTED_VALUE"""),50.0)</f>
        <v>50</v>
      </c>
      <c r="N2135" t="str">
        <f>IFERROR(__xludf.DUMMYFUNCTION("""COMPUTED_VALUE"""),"Model 3 LR AWD")</f>
        <v>Model 3 LR AWD</v>
      </c>
      <c r="O2135" t="str">
        <f>IFERROR(__xludf.DUMMYFUNCTION("""COMPUTED_VALUE"""),"Midnight Silver Metallic")</f>
        <v>Midnight Silver Metallic</v>
      </c>
      <c r="P2135" t="str">
        <f>IFERROR(__xludf.DUMMYFUNCTION("""COMPUTED_VALUE"""),"18 inch Aero")</f>
        <v>18 inch Aero</v>
      </c>
      <c r="Q2135" t="str">
        <f>IFERROR(__xludf.DUMMYFUNCTION("""COMPUTED_VALUE"""),"White seats")</f>
        <v>White seats</v>
      </c>
      <c r="R2135" t="str">
        <f>IFERROR(__xludf.DUMMYFUNCTION("""COMPUTED_VALUE"""),"Full Self-Driving")</f>
        <v>Full Self-Driving</v>
      </c>
      <c r="X2135" t="str">
        <f>IFERROR(__xludf.DUMMYFUNCTION("""COMPUTED_VALUE"""),"Excellent")</f>
        <v>Excellent</v>
      </c>
      <c r="Y2135" t="str">
        <f>IFERROR(__xludf.DUMMYFUNCTION("""COMPUTED_VALUE"""),"Excellent")</f>
        <v>Excellent</v>
      </c>
      <c r="Z2135" t="str">
        <f>IFERROR(__xludf.DUMMYFUNCTION("""COMPUTED_VALUE"""),"Excellent")</f>
        <v>Excellent</v>
      </c>
      <c r="AA2135" t="str">
        <f>IFERROR(__xludf.DUMMYFUNCTION("""COMPUTED_VALUE"""),"Very Good")</f>
        <v>Very Good</v>
      </c>
      <c r="AB2135" t="str">
        <f>IFERROR(__xludf.DUMMYFUNCTION("""COMPUTED_VALUE"""),"Excellent")</f>
        <v>Excellent</v>
      </c>
      <c r="AG2135" t="str">
        <f>IFERROR(__xludf.DUMMYFUNCTION("""COMPUTED_VALUE"""),"VIN in source Dec. 1")</f>
        <v>VIN in source Dec. 1</v>
      </c>
      <c r="AH2135" s="189">
        <f>IFERROR(__xludf.DUMMYFUNCTION("""COMPUTED_VALUE"""),43817.56127633102)</f>
        <v>43817.56128</v>
      </c>
    </row>
    <row r="2136">
      <c r="A2136" t="str">
        <f>IFERROR(__xludf.DUMMYFUNCTION("""COMPUTED_VALUE"""),"rmchrger")</f>
        <v>rmchrger</v>
      </c>
      <c r="B2136" t="str">
        <f>IFERROR(__xludf.DUMMYFUNCTION("""COMPUTED_VALUE"""),"Seattle")</f>
        <v>Seattle</v>
      </c>
      <c r="C2136" t="str">
        <f>IFERROR(__xludf.DUMMYFUNCTION("""COMPUTED_VALUE"""),"WA")</f>
        <v>WA</v>
      </c>
      <c r="D2136" t="str">
        <f>IFERROR(__xludf.DUMMYFUNCTION("""COMPUTED_VALUE"""),"USA")</f>
        <v>USA</v>
      </c>
      <c r="E2136" s="188">
        <f>IFERROR(__xludf.DUMMYFUNCTION("""COMPUTED_VALUE"""),43798.0)</f>
        <v>43798</v>
      </c>
      <c r="F2136" s="188">
        <f>IFERROR(__xludf.DUMMYFUNCTION("""COMPUTED_VALUE"""),43798.0)</f>
        <v>43798</v>
      </c>
      <c r="H2136">
        <f>IFERROR(__xludf.DUMMYFUNCTION("""COMPUTED_VALUE"""),627344.0)</f>
        <v>627344</v>
      </c>
      <c r="I2136" t="str">
        <f>IFERROR(__xludf.DUMMYFUNCTION("""COMPUTED_VALUE"""),"12/19")</f>
        <v>12/19</v>
      </c>
      <c r="J2136" s="5">
        <f>IFERROR(__xludf.DUMMYFUNCTION("""COMPUTED_VALUE"""),43814.0)</f>
        <v>43814</v>
      </c>
      <c r="K2136">
        <f>IFERROR(__xludf.DUMMYFUNCTION("""COMPUTED_VALUE"""),0.0)</f>
        <v>0</v>
      </c>
      <c r="L2136">
        <f>IFERROR(__xludf.DUMMYFUNCTION("""COMPUTED_VALUE"""),16.0)</f>
        <v>16</v>
      </c>
      <c r="M2136">
        <f>IFERROR(__xludf.DUMMYFUNCTION("""COMPUTED_VALUE"""),16.0)</f>
        <v>16</v>
      </c>
      <c r="N2136" t="str">
        <f>IFERROR(__xludf.DUMMYFUNCTION("""COMPUTED_VALUE"""),"Model 3 Performance")</f>
        <v>Model 3 Performance</v>
      </c>
      <c r="O2136" t="str">
        <f>IFERROR(__xludf.DUMMYFUNCTION("""COMPUTED_VALUE"""),"Solid Black")</f>
        <v>Solid Black</v>
      </c>
      <c r="P2136" t="str">
        <f>IFERROR(__xludf.DUMMYFUNCTION("""COMPUTED_VALUE"""),"19 inch Sport")</f>
        <v>19 inch Sport</v>
      </c>
      <c r="Q2136" t="str">
        <f>IFERROR(__xludf.DUMMYFUNCTION("""COMPUTED_VALUE"""),"Black seats")</f>
        <v>Black seats</v>
      </c>
      <c r="R2136" t="str">
        <f>IFERROR(__xludf.DUMMYFUNCTION("""COMPUTED_VALUE"""),"Autopilot")</f>
        <v>Autopilot</v>
      </c>
      <c r="X2136" t="str">
        <f>IFERROR(__xludf.DUMMYFUNCTION("""COMPUTED_VALUE"""),"Excellent")</f>
        <v>Excellent</v>
      </c>
      <c r="Y2136" t="str">
        <f>IFERROR(__xludf.DUMMYFUNCTION("""COMPUTED_VALUE"""),"Excellent")</f>
        <v>Excellent</v>
      </c>
      <c r="Z2136" t="str">
        <f>IFERROR(__xludf.DUMMYFUNCTION("""COMPUTED_VALUE"""),"Very Good")</f>
        <v>Very Good</v>
      </c>
      <c r="AA2136" t="str">
        <f>IFERROR(__xludf.DUMMYFUNCTION("""COMPUTED_VALUE"""),"Very Good")</f>
        <v>Very Good</v>
      </c>
      <c r="AB2136" t="str">
        <f>IFERROR(__xludf.DUMMYFUNCTION("""COMPUTED_VALUE"""),"Excellent")</f>
        <v>Excellent</v>
      </c>
      <c r="AC2136">
        <f>IFERROR(__xludf.DUMMYFUNCTION("""COMPUTED_VALUE"""),3.0)</f>
        <v>3</v>
      </c>
      <c r="AD2136">
        <f>IFERROR(__xludf.DUMMYFUNCTION("""COMPUTED_VALUE"""),1.0)</f>
        <v>1</v>
      </c>
      <c r="AG2136" t="str">
        <f>IFERROR(__xludf.DUMMYFUNCTION("""COMPUTED_VALUE"""),"Stealth, SA sent VIN 627092 on 11-29 on 12-09 changed to 627344.")</f>
        <v>Stealth, SA sent VIN 627092 on 11-29 on 12-09 changed to 627344.</v>
      </c>
      <c r="AH2136" s="189">
        <f>IFERROR(__xludf.DUMMYFUNCTION("""COMPUTED_VALUE"""),43817.75669390046)</f>
        <v>43817.75669</v>
      </c>
    </row>
    <row r="2137">
      <c r="A2137" t="str">
        <f>IFERROR(__xludf.DUMMYFUNCTION("""COMPUTED_VALUE"""),"GtiMart")</f>
        <v>GtiMart</v>
      </c>
      <c r="B2137" t="str">
        <f>IFERROR(__xludf.DUMMYFUNCTION("""COMPUTED_VALUE"""),"Quebec City")</f>
        <v>Quebec City</v>
      </c>
      <c r="C2137" t="str">
        <f>IFERROR(__xludf.DUMMYFUNCTION("""COMPUTED_VALUE"""),"QC")</f>
        <v>QC</v>
      </c>
      <c r="D2137" t="str">
        <f>IFERROR(__xludf.DUMMYFUNCTION("""COMPUTED_VALUE"""),"Canada")</f>
        <v>Canada</v>
      </c>
      <c r="E2137" s="188">
        <f>IFERROR(__xludf.DUMMYFUNCTION("""COMPUTED_VALUE"""),43770.0)</f>
        <v>43770</v>
      </c>
      <c r="F2137" s="188">
        <f>IFERROR(__xludf.DUMMYFUNCTION("""COMPUTED_VALUE"""),43797.0)</f>
        <v>43797</v>
      </c>
      <c r="J2137" s="5">
        <f>IFERROR(__xludf.DUMMYFUNCTION("""COMPUTED_VALUE"""),43817.0)</f>
        <v>43817</v>
      </c>
      <c r="K2137">
        <f>IFERROR(__xludf.DUMMYFUNCTION("""COMPUTED_VALUE"""),27.0)</f>
        <v>27</v>
      </c>
      <c r="L2137">
        <f>IFERROR(__xludf.DUMMYFUNCTION("""COMPUTED_VALUE"""),20.0)</f>
        <v>20</v>
      </c>
      <c r="M2137">
        <f>IFERROR(__xludf.DUMMYFUNCTION("""COMPUTED_VALUE"""),47.0)</f>
        <v>47</v>
      </c>
      <c r="N2137" t="str">
        <f>IFERROR(__xludf.DUMMYFUNCTION("""COMPUTED_VALUE"""),"Model 3 LR AWD")</f>
        <v>Model 3 LR AWD</v>
      </c>
      <c r="O2137" t="str">
        <f>IFERROR(__xludf.DUMMYFUNCTION("""COMPUTED_VALUE"""),"Solid Black")</f>
        <v>Solid Black</v>
      </c>
      <c r="P2137" t="str">
        <f>IFERROR(__xludf.DUMMYFUNCTION("""COMPUTED_VALUE"""),"18 inch Aero")</f>
        <v>18 inch Aero</v>
      </c>
      <c r="Q2137" t="str">
        <f>IFERROR(__xludf.DUMMYFUNCTION("""COMPUTED_VALUE"""),"Black seats")</f>
        <v>Black seats</v>
      </c>
      <c r="R2137" t="str">
        <f>IFERROR(__xludf.DUMMYFUNCTION("""COMPUTED_VALUE"""),"Autopilot")</f>
        <v>Autopilot</v>
      </c>
      <c r="X2137" t="str">
        <f>IFERROR(__xludf.DUMMYFUNCTION("""COMPUTED_VALUE"""),"Excellent")</f>
        <v>Excellent</v>
      </c>
      <c r="Y2137" t="str">
        <f>IFERROR(__xludf.DUMMYFUNCTION("""COMPUTED_VALUE"""),"Excellent")</f>
        <v>Excellent</v>
      </c>
      <c r="Z2137" t="str">
        <f>IFERROR(__xludf.DUMMYFUNCTION("""COMPUTED_VALUE"""),"Very Good")</f>
        <v>Very Good</v>
      </c>
      <c r="AA2137" t="str">
        <f>IFERROR(__xludf.DUMMYFUNCTION("""COMPUTED_VALUE"""),"Good")</f>
        <v>Good</v>
      </c>
      <c r="AB2137" t="str">
        <f>IFERROR(__xludf.DUMMYFUNCTION("""COMPUTED_VALUE"""),"Good")</f>
        <v>Good</v>
      </c>
      <c r="AH2137" s="189">
        <f>IFERROR(__xludf.DUMMYFUNCTION("""COMPUTED_VALUE"""),43817.83117012732)</f>
        <v>43817.83117</v>
      </c>
    </row>
    <row r="2138">
      <c r="A2138" t="str">
        <f>IFERROR(__xludf.DUMMYFUNCTION("""COMPUTED_VALUE"""),"personthing")</f>
        <v>personthing</v>
      </c>
      <c r="B2138" t="str">
        <f>IFERROR(__xludf.DUMMYFUNCTION("""COMPUTED_VALUE"""),"Minneapolis")</f>
        <v>Minneapolis</v>
      </c>
      <c r="C2138" t="str">
        <f>IFERROR(__xludf.DUMMYFUNCTION("""COMPUTED_VALUE"""),"MN")</f>
        <v>MN</v>
      </c>
      <c r="D2138" t="str">
        <f>IFERROR(__xludf.DUMMYFUNCTION("""COMPUTED_VALUE"""),"USA")</f>
        <v>USA</v>
      </c>
      <c r="E2138" s="188">
        <f>IFERROR(__xludf.DUMMYFUNCTION("""COMPUTED_VALUE"""),43805.0)</f>
        <v>43805</v>
      </c>
      <c r="F2138" s="188">
        <f>IFERROR(__xludf.DUMMYFUNCTION("""COMPUTED_VALUE"""),43810.0)</f>
        <v>43810</v>
      </c>
      <c r="H2138">
        <f>IFERROR(__xludf.DUMMYFUNCTION("""COMPUTED_VALUE"""),602005.0)</f>
        <v>602005</v>
      </c>
      <c r="J2138" s="5">
        <f>IFERROR(__xludf.DUMMYFUNCTION("""COMPUTED_VALUE"""),43817.0)</f>
        <v>43817</v>
      </c>
      <c r="K2138">
        <f>IFERROR(__xludf.DUMMYFUNCTION("""COMPUTED_VALUE"""),5.0)</f>
        <v>5</v>
      </c>
      <c r="L2138">
        <f>IFERROR(__xludf.DUMMYFUNCTION("""COMPUTED_VALUE"""),7.0)</f>
        <v>7</v>
      </c>
      <c r="M2138">
        <f>IFERROR(__xludf.DUMMYFUNCTION("""COMPUTED_VALUE"""),12.0)</f>
        <v>12</v>
      </c>
      <c r="N2138" t="str">
        <f>IFERROR(__xludf.DUMMYFUNCTION("""COMPUTED_VALUE"""),"Model 3 Performance")</f>
        <v>Model 3 Performance</v>
      </c>
      <c r="O2138" t="str">
        <f>IFERROR(__xludf.DUMMYFUNCTION("""COMPUTED_VALUE"""),"Midnight Silver Metallic")</f>
        <v>Midnight Silver Metallic</v>
      </c>
      <c r="P2138" t="str">
        <f>IFERROR(__xludf.DUMMYFUNCTION("""COMPUTED_VALUE"""),"18 inch Aero")</f>
        <v>18 inch Aero</v>
      </c>
      <c r="Q2138" t="str">
        <f>IFERROR(__xludf.DUMMYFUNCTION("""COMPUTED_VALUE"""),"Black seats")</f>
        <v>Black seats</v>
      </c>
      <c r="R2138" t="str">
        <f>IFERROR(__xludf.DUMMYFUNCTION("""COMPUTED_VALUE"""),"Autopilot")</f>
        <v>Autopilot</v>
      </c>
      <c r="X2138" t="str">
        <f>IFERROR(__xludf.DUMMYFUNCTION("""COMPUTED_VALUE"""),"Very Good")</f>
        <v>Very Good</v>
      </c>
      <c r="Y2138" t="str">
        <f>IFERROR(__xludf.DUMMYFUNCTION("""COMPUTED_VALUE"""),"Excellent")</f>
        <v>Excellent</v>
      </c>
      <c r="Z2138" t="str">
        <f>IFERROR(__xludf.DUMMYFUNCTION("""COMPUTED_VALUE"""),"Excellent")</f>
        <v>Excellent</v>
      </c>
      <c r="AA2138" t="str">
        <f>IFERROR(__xludf.DUMMYFUNCTION("""COMPUTED_VALUE"""),"Very Good")</f>
        <v>Very Good</v>
      </c>
      <c r="AB2138" t="str">
        <f>IFERROR(__xludf.DUMMYFUNCTION("""COMPUTED_VALUE"""),"Excellent")</f>
        <v>Excellent</v>
      </c>
      <c r="AH2138" s="189">
        <f>IFERROR(__xludf.DUMMYFUNCTION("""COMPUTED_VALUE"""),43817.83512173611)</f>
        <v>43817.83512</v>
      </c>
    </row>
    <row r="2139">
      <c r="A2139" t="str">
        <f>IFERROR(__xludf.DUMMYFUNCTION("""COMPUTED_VALUE"""),"t0xic")</f>
        <v>t0xic</v>
      </c>
      <c r="B2139" t="str">
        <f>IFERROR(__xludf.DUMMYFUNCTION("""COMPUTED_VALUE"""),"San Diego")</f>
        <v>San Diego</v>
      </c>
      <c r="C2139" t="str">
        <f>IFERROR(__xludf.DUMMYFUNCTION("""COMPUTED_VALUE"""),"CA")</f>
        <v>CA</v>
      </c>
      <c r="D2139" t="str">
        <f>IFERROR(__xludf.DUMMYFUNCTION("""COMPUTED_VALUE"""),"USA")</f>
        <v>USA</v>
      </c>
      <c r="E2139" s="188">
        <f>IFERROR(__xludf.DUMMYFUNCTION("""COMPUTED_VALUE"""),43757.0)</f>
        <v>43757</v>
      </c>
      <c r="F2139" s="188">
        <f>IFERROR(__xludf.DUMMYFUNCTION("""COMPUTED_VALUE"""),43813.0)</f>
        <v>43813</v>
      </c>
      <c r="H2139">
        <f>IFERROR(__xludf.DUMMYFUNCTION("""COMPUTED_VALUE"""),627955.0)</f>
        <v>627955</v>
      </c>
      <c r="J2139" s="5">
        <f>IFERROR(__xludf.DUMMYFUNCTION("""COMPUTED_VALUE"""),43816.0)</f>
        <v>43816</v>
      </c>
      <c r="K2139">
        <f>IFERROR(__xludf.DUMMYFUNCTION("""COMPUTED_VALUE"""),56.0)</f>
        <v>56</v>
      </c>
      <c r="L2139">
        <f>IFERROR(__xludf.DUMMYFUNCTION("""COMPUTED_VALUE"""),3.0)</f>
        <v>3</v>
      </c>
      <c r="M2139">
        <f>IFERROR(__xludf.DUMMYFUNCTION("""COMPUTED_VALUE"""),59.0)</f>
        <v>59</v>
      </c>
      <c r="N2139" t="str">
        <f>IFERROR(__xludf.DUMMYFUNCTION("""COMPUTED_VALUE"""),"Model 3 LR AWD")</f>
        <v>Model 3 LR AWD</v>
      </c>
      <c r="O2139" t="str">
        <f>IFERROR(__xludf.DUMMYFUNCTION("""COMPUTED_VALUE"""),"Deep Blue Metallic")</f>
        <v>Deep Blue Metallic</v>
      </c>
      <c r="P2139" t="str">
        <f>IFERROR(__xludf.DUMMYFUNCTION("""COMPUTED_VALUE"""),"18 inch Aero")</f>
        <v>18 inch Aero</v>
      </c>
      <c r="Q2139" t="str">
        <f>IFERROR(__xludf.DUMMYFUNCTION("""COMPUTED_VALUE"""),"Black seats")</f>
        <v>Black seats</v>
      </c>
      <c r="R2139" t="str">
        <f>IFERROR(__xludf.DUMMYFUNCTION("""COMPUTED_VALUE"""),"Autopilot")</f>
        <v>Autopilot</v>
      </c>
      <c r="X2139" t="str">
        <f>IFERROR(__xludf.DUMMYFUNCTION("""COMPUTED_VALUE"""),"Excellent")</f>
        <v>Excellent</v>
      </c>
      <c r="Y2139" t="str">
        <f>IFERROR(__xludf.DUMMYFUNCTION("""COMPUTED_VALUE"""),"Excellent")</f>
        <v>Excellent</v>
      </c>
      <c r="Z2139" t="str">
        <f>IFERROR(__xludf.DUMMYFUNCTION("""COMPUTED_VALUE"""),"Very Good")</f>
        <v>Very Good</v>
      </c>
      <c r="AA2139" t="str">
        <f>IFERROR(__xludf.DUMMYFUNCTION("""COMPUTED_VALUE"""),"Very Good")</f>
        <v>Very Good</v>
      </c>
      <c r="AB2139" t="str">
        <f>IFERROR(__xludf.DUMMYFUNCTION("""COMPUTED_VALUE"""),"Excellent")</f>
        <v>Excellent</v>
      </c>
      <c r="AC2139">
        <f>IFERROR(__xludf.DUMMYFUNCTION("""COMPUTED_VALUE"""),0.0)</f>
        <v>0</v>
      </c>
      <c r="AD2139">
        <f>IFERROR(__xludf.DUMMYFUNCTION("""COMPUTED_VALUE"""),1.0)</f>
        <v>1</v>
      </c>
      <c r="AG2139" t="str">
        <f>IFERROR(__xludf.DUMMYFUNCTION("""COMPUTED_VALUE"""),"Delivery specialist contacted me 11/29 5:30pm to make sure profile is filled out, Called 12/09 and Delivery Specialist said there is a ""large shipment"" coming into carlsbad EOW (12/13). VIN found in source (12/13)")</f>
        <v>Delivery specialist contacted me 11/29 5:30pm to make sure profile is filled out, Called 12/09 and Delivery Specialist said there is a "large shipment" coming into carlsbad EOW (12/13). VIN found in source (12/13)</v>
      </c>
      <c r="AH2139" s="189">
        <f>IFERROR(__xludf.DUMMYFUNCTION("""COMPUTED_VALUE"""),43817.90127549769)</f>
        <v>43817.90128</v>
      </c>
    </row>
    <row r="2140">
      <c r="A2140" t="str">
        <f>IFERROR(__xludf.DUMMYFUNCTION("""COMPUTED_VALUE"""),"copacetic")</f>
        <v>copacetic</v>
      </c>
      <c r="B2140" t="str">
        <f>IFERROR(__xludf.DUMMYFUNCTION("""COMPUTED_VALUE"""),"Asheville")</f>
        <v>Asheville</v>
      </c>
      <c r="C2140" t="str">
        <f>IFERROR(__xludf.DUMMYFUNCTION("""COMPUTED_VALUE"""),"NC")</f>
        <v>NC</v>
      </c>
      <c r="D2140" t="str">
        <f>IFERROR(__xludf.DUMMYFUNCTION("""COMPUTED_VALUE"""),"USA")</f>
        <v>USA</v>
      </c>
      <c r="E2140" s="188">
        <f>IFERROR(__xludf.DUMMYFUNCTION("""COMPUTED_VALUE"""),43762.0)</f>
        <v>43762</v>
      </c>
      <c r="F2140" s="188">
        <f>IFERROR(__xludf.DUMMYFUNCTION("""COMPUTED_VALUE"""),43801.0)</f>
        <v>43801</v>
      </c>
      <c r="H2140">
        <f>IFERROR(__xludf.DUMMYFUNCTION("""COMPUTED_VALUE"""),616315.0)</f>
        <v>616315</v>
      </c>
      <c r="J2140" s="5">
        <f>IFERROR(__xludf.DUMMYFUNCTION("""COMPUTED_VALUE"""),43817.0)</f>
        <v>43817</v>
      </c>
      <c r="K2140">
        <f>IFERROR(__xludf.DUMMYFUNCTION("""COMPUTED_VALUE"""),39.0)</f>
        <v>39</v>
      </c>
      <c r="L2140">
        <f>IFERROR(__xludf.DUMMYFUNCTION("""COMPUTED_VALUE"""),16.0)</f>
        <v>16</v>
      </c>
      <c r="M2140">
        <f>IFERROR(__xludf.DUMMYFUNCTION("""COMPUTED_VALUE"""),55.0)</f>
        <v>55</v>
      </c>
      <c r="N2140" t="str">
        <f>IFERROR(__xludf.DUMMYFUNCTION("""COMPUTED_VALUE"""),"Model 3 LR AWD")</f>
        <v>Model 3 LR AWD</v>
      </c>
      <c r="O2140" t="str">
        <f>IFERROR(__xludf.DUMMYFUNCTION("""COMPUTED_VALUE"""),"Midnight Silver Metallic")</f>
        <v>Midnight Silver Metallic</v>
      </c>
      <c r="P2140" t="str">
        <f>IFERROR(__xludf.DUMMYFUNCTION("""COMPUTED_VALUE"""),"18 inch Aero")</f>
        <v>18 inch Aero</v>
      </c>
      <c r="Q2140" t="str">
        <f>IFERROR(__xludf.DUMMYFUNCTION("""COMPUTED_VALUE"""),"Black seats")</f>
        <v>Black seats</v>
      </c>
      <c r="R2140" t="str">
        <f>IFERROR(__xludf.DUMMYFUNCTION("""COMPUTED_VALUE"""),"Autopilot")</f>
        <v>Autopilot</v>
      </c>
      <c r="X2140" t="str">
        <f>IFERROR(__xludf.DUMMYFUNCTION("""COMPUTED_VALUE"""),"Very Good")</f>
        <v>Very Good</v>
      </c>
      <c r="Y2140" t="str">
        <f>IFERROR(__xludf.DUMMYFUNCTION("""COMPUTED_VALUE"""),"Excellent")</f>
        <v>Excellent</v>
      </c>
      <c r="Z2140" t="str">
        <f>IFERROR(__xludf.DUMMYFUNCTION("""COMPUTED_VALUE"""),"Excellent")</f>
        <v>Excellent</v>
      </c>
      <c r="AA2140" t="str">
        <f>IFERROR(__xludf.DUMMYFUNCTION("""COMPUTED_VALUE"""),"Poor")</f>
        <v>Poor</v>
      </c>
      <c r="AB2140" t="str">
        <f>IFERROR(__xludf.DUMMYFUNCTION("""COMPUTED_VALUE"""),"Poor")</f>
        <v>Poor</v>
      </c>
      <c r="AH2140" s="189">
        <f>IFERROR(__xludf.DUMMYFUNCTION("""COMPUTED_VALUE"""),43818.233776180554)</f>
        <v>43818.23378</v>
      </c>
    </row>
    <row r="2141">
      <c r="A2141" t="str">
        <f>IFERROR(__xludf.DUMMYFUNCTION("""COMPUTED_VALUE"""),"turanga")</f>
        <v>turanga</v>
      </c>
      <c r="B2141" t="str">
        <f>IFERROR(__xludf.DUMMYFUNCTION("""COMPUTED_VALUE"""),"Homedale")</f>
        <v>Homedale</v>
      </c>
      <c r="C2141" t="str">
        <f>IFERROR(__xludf.DUMMYFUNCTION("""COMPUTED_VALUE"""),"ID")</f>
        <v>ID</v>
      </c>
      <c r="D2141" t="str">
        <f>IFERROR(__xludf.DUMMYFUNCTION("""COMPUTED_VALUE"""),"USA")</f>
        <v>USA</v>
      </c>
      <c r="E2141" s="188">
        <f>IFERROR(__xludf.DUMMYFUNCTION("""COMPUTED_VALUE"""),43804.0)</f>
        <v>43804</v>
      </c>
      <c r="F2141" s="188">
        <f>IFERROR(__xludf.DUMMYFUNCTION("""COMPUTED_VALUE"""),43814.0)</f>
        <v>43814</v>
      </c>
      <c r="H2141">
        <f>IFERROR(__xludf.DUMMYFUNCTION("""COMPUTED_VALUE"""),639055.0)</f>
        <v>639055</v>
      </c>
      <c r="I2141" t="str">
        <f>IFERROR(__xludf.DUMMYFUNCTION("""COMPUTED_VALUE"""),"12/19")</f>
        <v>12/19</v>
      </c>
      <c r="J2141" s="5">
        <f>IFERROR(__xludf.DUMMYFUNCTION("""COMPUTED_VALUE"""),43814.0)</f>
        <v>43814</v>
      </c>
      <c r="K2141">
        <f>IFERROR(__xludf.DUMMYFUNCTION("""COMPUTED_VALUE"""),10.0)</f>
        <v>10</v>
      </c>
      <c r="L2141">
        <f>IFERROR(__xludf.DUMMYFUNCTION("""COMPUTED_VALUE"""),0.0)</f>
        <v>0</v>
      </c>
      <c r="M2141">
        <f>IFERROR(__xludf.DUMMYFUNCTION("""COMPUTED_VALUE"""),10.0)</f>
        <v>10</v>
      </c>
      <c r="N2141" t="str">
        <f>IFERROR(__xludf.DUMMYFUNCTION("""COMPUTED_VALUE"""),"Model 3 LR AWD")</f>
        <v>Model 3 LR AWD</v>
      </c>
      <c r="O2141" t="str">
        <f>IFERROR(__xludf.DUMMYFUNCTION("""COMPUTED_VALUE"""),"Midnight Silver Metallic")</f>
        <v>Midnight Silver Metallic</v>
      </c>
      <c r="P2141" t="str">
        <f>IFERROR(__xludf.DUMMYFUNCTION("""COMPUTED_VALUE"""),"18 inch Aero")</f>
        <v>18 inch Aero</v>
      </c>
      <c r="Q2141" t="str">
        <f>IFERROR(__xludf.DUMMYFUNCTION("""COMPUTED_VALUE"""),"White seats")</f>
        <v>White seats</v>
      </c>
      <c r="R2141" t="str">
        <f>IFERROR(__xludf.DUMMYFUNCTION("""COMPUTED_VALUE"""),"Autopilot")</f>
        <v>Autopilot</v>
      </c>
      <c r="X2141" t="str">
        <f>IFERROR(__xludf.DUMMYFUNCTION("""COMPUTED_VALUE"""),"Very Good")</f>
        <v>Very Good</v>
      </c>
      <c r="Y2141" t="str">
        <f>IFERROR(__xludf.DUMMYFUNCTION("""COMPUTED_VALUE"""),"Very Good")</f>
        <v>Very Good</v>
      </c>
      <c r="Z2141" t="str">
        <f>IFERROR(__xludf.DUMMYFUNCTION("""COMPUTED_VALUE"""),"Excellent")</f>
        <v>Excellent</v>
      </c>
      <c r="AA2141" t="str">
        <f>IFERROR(__xludf.DUMMYFUNCTION("""COMPUTED_VALUE"""),"Good")</f>
        <v>Good</v>
      </c>
      <c r="AB2141" t="str">
        <f>IFERROR(__xludf.DUMMYFUNCTION("""COMPUTED_VALUE"""),"Good")</f>
        <v>Good</v>
      </c>
      <c r="AC2141">
        <f>IFERROR(__xludf.DUMMYFUNCTION("""COMPUTED_VALUE"""),2.0)</f>
        <v>2</v>
      </c>
      <c r="AD2141">
        <f>IFERROR(__xludf.DUMMYFUNCTION("""COMPUTED_VALUE"""),1.0)</f>
        <v>1</v>
      </c>
      <c r="AE2141">
        <f>IFERROR(__xludf.DUMMYFUNCTION("""COMPUTED_VALUE"""),0.0)</f>
        <v>0</v>
      </c>
      <c r="AH2141" s="189">
        <f>IFERROR(__xludf.DUMMYFUNCTION("""COMPUTED_VALUE"""),43818.30750037037)</f>
        <v>43818.3075</v>
      </c>
    </row>
    <row r="2142">
      <c r="A2142" t="str">
        <f>IFERROR(__xludf.DUMMYFUNCTION("""COMPUTED_VALUE"""),"ApolloLA")</f>
        <v>ApolloLA</v>
      </c>
      <c r="B2142" t="str">
        <f>IFERROR(__xludf.DUMMYFUNCTION("""COMPUTED_VALUE"""),"Baton Rouge")</f>
        <v>Baton Rouge</v>
      </c>
      <c r="C2142" t="str">
        <f>IFERROR(__xludf.DUMMYFUNCTION("""COMPUTED_VALUE"""),"LA")</f>
        <v>LA</v>
      </c>
      <c r="D2142" t="str">
        <f>IFERROR(__xludf.DUMMYFUNCTION("""COMPUTED_VALUE"""),"USA")</f>
        <v>USA</v>
      </c>
      <c r="E2142" s="188">
        <f>IFERROR(__xludf.DUMMYFUNCTION("""COMPUTED_VALUE"""),43771.0)</f>
        <v>43771</v>
      </c>
      <c r="F2142" s="188">
        <f>IFERROR(__xludf.DUMMYFUNCTION("""COMPUTED_VALUE"""),43812.0)</f>
        <v>43812</v>
      </c>
      <c r="J2142" s="5">
        <f>IFERROR(__xludf.DUMMYFUNCTION("""COMPUTED_VALUE"""),43817.0)</f>
        <v>43817</v>
      </c>
      <c r="K2142">
        <f>IFERROR(__xludf.DUMMYFUNCTION("""COMPUTED_VALUE"""),41.0)</f>
        <v>41</v>
      </c>
      <c r="L2142">
        <f>IFERROR(__xludf.DUMMYFUNCTION("""COMPUTED_VALUE"""),5.0)</f>
        <v>5</v>
      </c>
      <c r="M2142">
        <f>IFERROR(__xludf.DUMMYFUNCTION("""COMPUTED_VALUE"""),46.0)</f>
        <v>46</v>
      </c>
      <c r="N2142" t="str">
        <f>IFERROR(__xludf.DUMMYFUNCTION("""COMPUTED_VALUE"""),"Model 3 Performance")</f>
        <v>Model 3 Performance</v>
      </c>
      <c r="O2142" t="str">
        <f>IFERROR(__xludf.DUMMYFUNCTION("""COMPUTED_VALUE"""),"Pearl White Multi-Coat")</f>
        <v>Pearl White Multi-Coat</v>
      </c>
      <c r="P2142" t="str">
        <f>IFERROR(__xludf.DUMMYFUNCTION("""COMPUTED_VALUE"""),"20 inch Sport")</f>
        <v>20 inch Sport</v>
      </c>
      <c r="Q2142" t="str">
        <f>IFERROR(__xludf.DUMMYFUNCTION("""COMPUTED_VALUE"""),"White seats")</f>
        <v>White seats</v>
      </c>
      <c r="R2142" t="str">
        <f>IFERROR(__xludf.DUMMYFUNCTION("""COMPUTED_VALUE"""),"Full Self-Driving")</f>
        <v>Full Self-Driving</v>
      </c>
      <c r="X2142" t="str">
        <f>IFERROR(__xludf.DUMMYFUNCTION("""COMPUTED_VALUE"""),"Excellent")</f>
        <v>Excellent</v>
      </c>
      <c r="Y2142" t="str">
        <f>IFERROR(__xludf.DUMMYFUNCTION("""COMPUTED_VALUE"""),"Excellent")</f>
        <v>Excellent</v>
      </c>
      <c r="Z2142" t="str">
        <f>IFERROR(__xludf.DUMMYFUNCTION("""COMPUTED_VALUE"""),"Excellent")</f>
        <v>Excellent</v>
      </c>
      <c r="AA2142" t="str">
        <f>IFERROR(__xludf.DUMMYFUNCTION("""COMPUTED_VALUE"""),"Fair")</f>
        <v>Fair</v>
      </c>
      <c r="AB2142" t="str">
        <f>IFERROR(__xludf.DUMMYFUNCTION("""COMPUTED_VALUE"""),"Very Good")</f>
        <v>Very Good</v>
      </c>
      <c r="AH2142" s="189">
        <f>IFERROR(__xludf.DUMMYFUNCTION("""COMPUTED_VALUE"""),43818.330235671296)</f>
        <v>43818.33024</v>
      </c>
    </row>
    <row r="2143">
      <c r="A2143" t="str">
        <f>IFERROR(__xludf.DUMMYFUNCTION("""COMPUTED_VALUE"""),"c77m")</f>
        <v>c77m</v>
      </c>
      <c r="B2143" t="str">
        <f>IFERROR(__xludf.DUMMYFUNCTION("""COMPUTED_VALUE"""),"Washington")</f>
        <v>Washington</v>
      </c>
      <c r="C2143" t="str">
        <f>IFERROR(__xludf.DUMMYFUNCTION("""COMPUTED_VALUE"""),"DC")</f>
        <v>DC</v>
      </c>
      <c r="D2143" t="str">
        <f>IFERROR(__xludf.DUMMYFUNCTION("""COMPUTED_VALUE"""),"USA")</f>
        <v>USA</v>
      </c>
      <c r="E2143" s="188">
        <f>IFERROR(__xludf.DUMMYFUNCTION("""COMPUTED_VALUE"""),43788.0)</f>
        <v>43788</v>
      </c>
      <c r="F2143" s="188">
        <f>IFERROR(__xludf.DUMMYFUNCTION("""COMPUTED_VALUE"""),43802.0)</f>
        <v>43802</v>
      </c>
      <c r="H2143">
        <f>IFERROR(__xludf.DUMMYFUNCTION("""COMPUTED_VALUE"""),627255.0)</f>
        <v>627255</v>
      </c>
      <c r="J2143" s="5">
        <f>IFERROR(__xludf.DUMMYFUNCTION("""COMPUTED_VALUE"""),43816.0)</f>
        <v>43816</v>
      </c>
      <c r="K2143">
        <f>IFERROR(__xludf.DUMMYFUNCTION("""COMPUTED_VALUE"""),14.0)</f>
        <v>14</v>
      </c>
      <c r="L2143">
        <f>IFERROR(__xludf.DUMMYFUNCTION("""COMPUTED_VALUE"""),14.0)</f>
        <v>14</v>
      </c>
      <c r="M2143">
        <f>IFERROR(__xludf.DUMMYFUNCTION("""COMPUTED_VALUE"""),28.0)</f>
        <v>28</v>
      </c>
      <c r="N2143" t="str">
        <f>IFERROR(__xludf.DUMMYFUNCTION("""COMPUTED_VALUE"""),"Model 3 LR AWD")</f>
        <v>Model 3 LR AWD</v>
      </c>
      <c r="O2143" t="str">
        <f>IFERROR(__xludf.DUMMYFUNCTION("""COMPUTED_VALUE"""),"Midnight Silver Metallic")</f>
        <v>Midnight Silver Metallic</v>
      </c>
      <c r="P2143" t="str">
        <f>IFERROR(__xludf.DUMMYFUNCTION("""COMPUTED_VALUE"""),"19 inch Sport")</f>
        <v>19 inch Sport</v>
      </c>
      <c r="Q2143" t="str">
        <f>IFERROR(__xludf.DUMMYFUNCTION("""COMPUTED_VALUE"""),"Black seats")</f>
        <v>Black seats</v>
      </c>
      <c r="R2143" t="str">
        <f>IFERROR(__xludf.DUMMYFUNCTION("""COMPUTED_VALUE"""),"Autopilot")</f>
        <v>Autopilot</v>
      </c>
      <c r="X2143" t="str">
        <f>IFERROR(__xludf.DUMMYFUNCTION("""COMPUTED_VALUE"""),"Very Good")</f>
        <v>Very Good</v>
      </c>
      <c r="Y2143" t="str">
        <f>IFERROR(__xludf.DUMMYFUNCTION("""COMPUTED_VALUE"""),"Excellent")</f>
        <v>Excellent</v>
      </c>
      <c r="Z2143" t="str">
        <f>IFERROR(__xludf.DUMMYFUNCTION("""COMPUTED_VALUE"""),"Very Good")</f>
        <v>Very Good</v>
      </c>
      <c r="AA2143" t="str">
        <f>IFERROR(__xludf.DUMMYFUNCTION("""COMPUTED_VALUE"""),"Poor")</f>
        <v>Poor</v>
      </c>
      <c r="AB2143" t="str">
        <f>IFERROR(__xludf.DUMMYFUNCTION("""COMPUTED_VALUE"""),"Good")</f>
        <v>Good</v>
      </c>
      <c r="AG2143" t="str">
        <f>IFERROR(__xludf.DUMMYFUNCTION("""COMPUTED_VALUE"""),"Ordered 11/19 ; changed to stealth 12/3 ; delivered 12/17")</f>
        <v>Ordered 11/19 ; changed to stealth 12/3 ; delivered 12/17</v>
      </c>
      <c r="AH2143" s="189">
        <f>IFERROR(__xludf.DUMMYFUNCTION("""COMPUTED_VALUE"""),43818.379494479166)</f>
        <v>43818.37949</v>
      </c>
    </row>
    <row r="2144">
      <c r="A2144" t="str">
        <f>IFERROR(__xludf.DUMMYFUNCTION("""COMPUTED_VALUE"""),"ArtificialSugar")</f>
        <v>ArtificialSugar</v>
      </c>
      <c r="B2144" t="str">
        <f>IFERROR(__xludf.DUMMYFUNCTION("""COMPUTED_VALUE"""),"Boise")</f>
        <v>Boise</v>
      </c>
      <c r="C2144" t="str">
        <f>IFERROR(__xludf.DUMMYFUNCTION("""COMPUTED_VALUE"""),"ID")</f>
        <v>ID</v>
      </c>
      <c r="D2144" t="str">
        <f>IFERROR(__xludf.DUMMYFUNCTION("""COMPUTED_VALUE"""),"USA")</f>
        <v>USA</v>
      </c>
      <c r="E2144" s="188">
        <f>IFERROR(__xludf.DUMMYFUNCTION("""COMPUTED_VALUE"""),43769.0)</f>
        <v>43769</v>
      </c>
      <c r="F2144" s="188">
        <f>IFERROR(__xludf.DUMMYFUNCTION("""COMPUTED_VALUE"""),43817.0)</f>
        <v>43817</v>
      </c>
      <c r="H2144">
        <f>IFERROR(__xludf.DUMMYFUNCTION("""COMPUTED_VALUE"""),628172.0)</f>
        <v>628172</v>
      </c>
      <c r="J2144" s="5">
        <f>IFERROR(__xludf.DUMMYFUNCTION("""COMPUTED_VALUE"""),43822.0)</f>
        <v>43822</v>
      </c>
      <c r="K2144">
        <f>IFERROR(__xludf.DUMMYFUNCTION("""COMPUTED_VALUE"""),48.0)</f>
        <v>48</v>
      </c>
      <c r="L2144">
        <f>IFERROR(__xludf.DUMMYFUNCTION("""COMPUTED_VALUE"""),5.0)</f>
        <v>5</v>
      </c>
      <c r="M2144">
        <f>IFERROR(__xludf.DUMMYFUNCTION("""COMPUTED_VALUE"""),53.0)</f>
        <v>53</v>
      </c>
      <c r="N2144" t="str">
        <f>IFERROR(__xludf.DUMMYFUNCTION("""COMPUTED_VALUE"""),"Model 3 LR AWD")</f>
        <v>Model 3 LR AWD</v>
      </c>
      <c r="O2144" t="str">
        <f>IFERROR(__xludf.DUMMYFUNCTION("""COMPUTED_VALUE"""),"Pearl White Multi-Coat")</f>
        <v>Pearl White Multi-Coat</v>
      </c>
      <c r="P2144" t="str">
        <f>IFERROR(__xludf.DUMMYFUNCTION("""COMPUTED_VALUE"""),"18 inch Aero")</f>
        <v>18 inch Aero</v>
      </c>
      <c r="Q2144" t="str">
        <f>IFERROR(__xludf.DUMMYFUNCTION("""COMPUTED_VALUE"""),"Black seats")</f>
        <v>Black seats</v>
      </c>
      <c r="R2144" t="str">
        <f>IFERROR(__xludf.DUMMYFUNCTION("""COMPUTED_VALUE"""),"Full Self-Driving")</f>
        <v>Full Self-Driving</v>
      </c>
      <c r="AA2144" t="str">
        <f>IFERROR(__xludf.DUMMYFUNCTION("""COMPUTED_VALUE"""),"Poor")</f>
        <v>Poor</v>
      </c>
      <c r="AH2144" s="189">
        <f>IFERROR(__xludf.DUMMYFUNCTION("""COMPUTED_VALUE"""),43818.56490442129)</f>
        <v>43818.5649</v>
      </c>
    </row>
    <row r="2145">
      <c r="A2145" t="str">
        <f>IFERROR(__xludf.DUMMYFUNCTION("""COMPUTED_VALUE"""),"FFR6288")</f>
        <v>FFR6288</v>
      </c>
      <c r="B2145" t="str">
        <f>IFERROR(__xludf.DUMMYFUNCTION("""COMPUTED_VALUE"""),"Mesa")</f>
        <v>Mesa</v>
      </c>
      <c r="C2145" t="str">
        <f>IFERROR(__xludf.DUMMYFUNCTION("""COMPUTED_VALUE"""),"AZ")</f>
        <v>AZ</v>
      </c>
      <c r="D2145" t="str">
        <f>IFERROR(__xludf.DUMMYFUNCTION("""COMPUTED_VALUE"""),"USA")</f>
        <v>USA</v>
      </c>
      <c r="E2145" s="188">
        <f>IFERROR(__xludf.DUMMYFUNCTION("""COMPUTED_VALUE"""),43766.0)</f>
        <v>43766</v>
      </c>
      <c r="F2145" s="188">
        <f>IFERROR(__xludf.DUMMYFUNCTION("""COMPUTED_VALUE"""),43813.0)</f>
        <v>43813</v>
      </c>
      <c r="H2145">
        <f>IFERROR(__xludf.DUMMYFUNCTION("""COMPUTED_VALUE"""),624903.0)</f>
        <v>624903</v>
      </c>
      <c r="I2145" t="str">
        <f>IFERROR(__xludf.DUMMYFUNCTION("""COMPUTED_VALUE"""),"12/19")</f>
        <v>12/19</v>
      </c>
      <c r="J2145" s="5">
        <f>IFERROR(__xludf.DUMMYFUNCTION("""COMPUTED_VALUE"""),43817.0)</f>
        <v>43817</v>
      </c>
      <c r="K2145">
        <f>IFERROR(__xludf.DUMMYFUNCTION("""COMPUTED_VALUE"""),47.0)</f>
        <v>47</v>
      </c>
      <c r="L2145">
        <f>IFERROR(__xludf.DUMMYFUNCTION("""COMPUTED_VALUE"""),4.0)</f>
        <v>4</v>
      </c>
      <c r="M2145">
        <f>IFERROR(__xludf.DUMMYFUNCTION("""COMPUTED_VALUE"""),51.0)</f>
        <v>51</v>
      </c>
      <c r="N2145" t="str">
        <f>IFERROR(__xludf.DUMMYFUNCTION("""COMPUTED_VALUE"""),"Model 3 Performance")</f>
        <v>Model 3 Performance</v>
      </c>
      <c r="O2145" t="str">
        <f>IFERROR(__xludf.DUMMYFUNCTION("""COMPUTED_VALUE"""),"Pearl White Multi-Coat")</f>
        <v>Pearl White Multi-Coat</v>
      </c>
      <c r="P2145" t="str">
        <f>IFERROR(__xludf.DUMMYFUNCTION("""COMPUTED_VALUE"""),"20 inch Sport")</f>
        <v>20 inch Sport</v>
      </c>
      <c r="Q2145" t="str">
        <f>IFERROR(__xludf.DUMMYFUNCTION("""COMPUTED_VALUE"""),"White seats")</f>
        <v>White seats</v>
      </c>
      <c r="R2145" t="str">
        <f>IFERROR(__xludf.DUMMYFUNCTION("""COMPUTED_VALUE"""),"Full Self-Driving")</f>
        <v>Full Self-Driving</v>
      </c>
      <c r="X2145" t="str">
        <f>IFERROR(__xludf.DUMMYFUNCTION("""COMPUTED_VALUE"""),"Very Good")</f>
        <v>Very Good</v>
      </c>
      <c r="Y2145" t="str">
        <f>IFERROR(__xludf.DUMMYFUNCTION("""COMPUTED_VALUE"""),"Excellent")</f>
        <v>Excellent</v>
      </c>
      <c r="Z2145" t="str">
        <f>IFERROR(__xludf.DUMMYFUNCTION("""COMPUTED_VALUE"""),"Excellent")</f>
        <v>Excellent</v>
      </c>
      <c r="AA2145" t="str">
        <f>IFERROR(__xludf.DUMMYFUNCTION("""COMPUTED_VALUE"""),"Poor")</f>
        <v>Poor</v>
      </c>
      <c r="AB2145" t="str">
        <f>IFERROR(__xludf.DUMMYFUNCTION("""COMPUTED_VALUE"""),"Fair")</f>
        <v>Fair</v>
      </c>
      <c r="AH2145" s="189">
        <f>IFERROR(__xludf.DUMMYFUNCTION("""COMPUTED_VALUE"""),43818.80679685185)</f>
        <v>43818.8068</v>
      </c>
    </row>
    <row r="2146">
      <c r="A2146" t="str">
        <f>IFERROR(__xludf.DUMMYFUNCTION("""COMPUTED_VALUE"""),"tiguidou")</f>
        <v>tiguidou</v>
      </c>
      <c r="C2146" t="str">
        <f>IFERROR(__xludf.DUMMYFUNCTION("""COMPUTED_VALUE"""),"QC")</f>
        <v>QC</v>
      </c>
      <c r="D2146" t="str">
        <f>IFERROR(__xludf.DUMMYFUNCTION("""COMPUTED_VALUE"""),"Canada")</f>
        <v>Canada</v>
      </c>
      <c r="E2146" s="188">
        <f>IFERROR(__xludf.DUMMYFUNCTION("""COMPUTED_VALUE"""),43748.0)</f>
        <v>43748</v>
      </c>
      <c r="F2146" s="188">
        <f>IFERROR(__xludf.DUMMYFUNCTION("""COMPUTED_VALUE"""),43780.0)</f>
        <v>43780</v>
      </c>
      <c r="H2146">
        <f>IFERROR(__xludf.DUMMYFUNCTION("""COMPUTED_VALUE"""),604255.0)</f>
        <v>604255</v>
      </c>
      <c r="J2146" s="5">
        <f>IFERROR(__xludf.DUMMYFUNCTION("""COMPUTED_VALUE"""),43798.0)</f>
        <v>43798</v>
      </c>
      <c r="K2146">
        <f>IFERROR(__xludf.DUMMYFUNCTION("""COMPUTED_VALUE"""),32.0)</f>
        <v>32</v>
      </c>
      <c r="L2146">
        <f>IFERROR(__xludf.DUMMYFUNCTION("""COMPUTED_VALUE"""),18.0)</f>
        <v>18</v>
      </c>
      <c r="M2146">
        <f>IFERROR(__xludf.DUMMYFUNCTION("""COMPUTED_VALUE"""),50.0)</f>
        <v>50</v>
      </c>
      <c r="N2146" t="str">
        <f>IFERROR(__xludf.DUMMYFUNCTION("""COMPUTED_VALUE"""),"Model 3 SR+")</f>
        <v>Model 3 SR+</v>
      </c>
      <c r="O2146" t="str">
        <f>IFERROR(__xludf.DUMMYFUNCTION("""COMPUTED_VALUE"""),"Red Multi-Coat")</f>
        <v>Red Multi-Coat</v>
      </c>
      <c r="P2146" t="str">
        <f>IFERROR(__xludf.DUMMYFUNCTION("""COMPUTED_VALUE"""),"18 inch Aero")</f>
        <v>18 inch Aero</v>
      </c>
      <c r="Q2146" t="str">
        <f>IFERROR(__xludf.DUMMYFUNCTION("""COMPUTED_VALUE"""),"White seats")</f>
        <v>White seats</v>
      </c>
      <c r="R2146" t="str">
        <f>IFERROR(__xludf.DUMMYFUNCTION("""COMPUTED_VALUE"""),"Full Self-Driving")</f>
        <v>Full Self-Driving</v>
      </c>
      <c r="X2146" t="str">
        <f>IFERROR(__xludf.DUMMYFUNCTION("""COMPUTED_VALUE"""),"Very Good")</f>
        <v>Very Good</v>
      </c>
      <c r="Y2146" t="str">
        <f>IFERROR(__xludf.DUMMYFUNCTION("""COMPUTED_VALUE"""),"Excellent")</f>
        <v>Excellent</v>
      </c>
      <c r="Z2146" t="str">
        <f>IFERROR(__xludf.DUMMYFUNCTION("""COMPUTED_VALUE"""),"Excellent")</f>
        <v>Excellent</v>
      </c>
      <c r="AA2146" t="str">
        <f>IFERROR(__xludf.DUMMYFUNCTION("""COMPUTED_VALUE"""),"Good")</f>
        <v>Good</v>
      </c>
      <c r="AB2146" t="str">
        <f>IFERROR(__xludf.DUMMYFUNCTION("""COMPUTED_VALUE"""),"Good")</f>
        <v>Good</v>
      </c>
      <c r="AC2146">
        <f>IFERROR(__xludf.DUMMYFUNCTION("""COMPUTED_VALUE"""),0.0)</f>
        <v>0</v>
      </c>
      <c r="AD2146">
        <f>IFERROR(__xludf.DUMMYFUNCTION("""COMPUTED_VALUE"""),1.0)</f>
        <v>1</v>
      </c>
      <c r="AE2146">
        <f>IFERROR(__xludf.DUMMYFUNCTION("""COMPUTED_VALUE"""),0.0)</f>
        <v>0</v>
      </c>
      <c r="AG2146" t="str">
        <f>IFERROR(__xludf.DUMMYFUNCTION("""COMPUTED_VALUE"""),"vin in source 2019-11-11, delivery date of 11-27 given on 2019-11-14. changed several times before confirming 28th. pre-delivery inspection found paint faults which were fixed and delivery was scheduled for the 29th.")</f>
        <v>vin in source 2019-11-11, delivery date of 11-27 given on 2019-11-14. changed several times before confirming 28th. pre-delivery inspection found paint faults which were fixed and delivery was scheduled for the 29th.</v>
      </c>
      <c r="AH2146" s="189">
        <f>IFERROR(__xludf.DUMMYFUNCTION("""COMPUTED_VALUE"""),43819.188719618054)</f>
        <v>43819.18872</v>
      </c>
    </row>
    <row r="2147">
      <c r="A2147" t="str">
        <f>IFERROR(__xludf.DUMMYFUNCTION("""COMPUTED_VALUE"""),"WhatToDoWithHands")</f>
        <v>WhatToDoWithHands</v>
      </c>
      <c r="B2147" t="str">
        <f>IFERROR(__xludf.DUMMYFUNCTION("""COMPUTED_VALUE"""),"West Palm Beach")</f>
        <v>West Palm Beach</v>
      </c>
      <c r="C2147" t="str">
        <f>IFERROR(__xludf.DUMMYFUNCTION("""COMPUTED_VALUE"""),"FL")</f>
        <v>FL</v>
      </c>
      <c r="D2147" t="str">
        <f>IFERROR(__xludf.DUMMYFUNCTION("""COMPUTED_VALUE"""),"USA")</f>
        <v>USA</v>
      </c>
      <c r="E2147" s="188">
        <f>IFERROR(__xludf.DUMMYFUNCTION("""COMPUTED_VALUE"""),43750.0)</f>
        <v>43750</v>
      </c>
      <c r="F2147" s="188">
        <f>IFERROR(__xludf.DUMMYFUNCTION("""COMPUTED_VALUE"""),43793.0)</f>
        <v>43793</v>
      </c>
      <c r="H2147">
        <f>IFERROR(__xludf.DUMMYFUNCTION("""COMPUTED_VALUE"""),509855.0)</f>
        <v>509855</v>
      </c>
      <c r="J2147" s="5">
        <f>IFERROR(__xludf.DUMMYFUNCTION("""COMPUTED_VALUE"""),43813.0)</f>
        <v>43813</v>
      </c>
      <c r="K2147">
        <f>IFERROR(__xludf.DUMMYFUNCTION("""COMPUTED_VALUE"""),43.0)</f>
        <v>43</v>
      </c>
      <c r="L2147">
        <f>IFERROR(__xludf.DUMMYFUNCTION("""COMPUTED_VALUE"""),20.0)</f>
        <v>20</v>
      </c>
      <c r="M2147">
        <f>IFERROR(__xludf.DUMMYFUNCTION("""COMPUTED_VALUE"""),63.0)</f>
        <v>63</v>
      </c>
      <c r="N2147" t="str">
        <f>IFERROR(__xludf.DUMMYFUNCTION("""COMPUTED_VALUE"""),"Model 3 SR+")</f>
        <v>Model 3 SR+</v>
      </c>
      <c r="O2147" t="str">
        <f>IFERROR(__xludf.DUMMYFUNCTION("""COMPUTED_VALUE"""),"Pearl White Multi-Coat")</f>
        <v>Pearl White Multi-Coat</v>
      </c>
      <c r="P2147" t="str">
        <f>IFERROR(__xludf.DUMMYFUNCTION("""COMPUTED_VALUE"""),"19 inch Sport")</f>
        <v>19 inch Sport</v>
      </c>
      <c r="Q2147" t="str">
        <f>IFERROR(__xludf.DUMMYFUNCTION("""COMPUTED_VALUE"""),"White seats")</f>
        <v>White seats</v>
      </c>
      <c r="R2147" t="str">
        <f>IFERROR(__xludf.DUMMYFUNCTION("""COMPUTED_VALUE"""),"Autopilot")</f>
        <v>Autopilot</v>
      </c>
      <c r="X2147" t="str">
        <f>IFERROR(__xludf.DUMMYFUNCTION("""COMPUTED_VALUE"""),"Very Good")</f>
        <v>Very Good</v>
      </c>
      <c r="Y2147" t="str">
        <f>IFERROR(__xludf.DUMMYFUNCTION("""COMPUTED_VALUE"""),"Excellent")</f>
        <v>Excellent</v>
      </c>
      <c r="Z2147" t="str">
        <f>IFERROR(__xludf.DUMMYFUNCTION("""COMPUTED_VALUE"""),"Very Good")</f>
        <v>Very Good</v>
      </c>
      <c r="AA2147" t="str">
        <f>IFERROR(__xludf.DUMMYFUNCTION("""COMPUTED_VALUE"""),"Good")</f>
        <v>Good</v>
      </c>
      <c r="AB2147" t="str">
        <f>IFERROR(__xludf.DUMMYFUNCTION("""COMPUTED_VALUE"""),"Excellent")</f>
        <v>Excellent</v>
      </c>
      <c r="AC2147">
        <f>IFERROR(__xludf.DUMMYFUNCTION("""COMPUTED_VALUE"""),0.0)</f>
        <v>0</v>
      </c>
      <c r="AD2147">
        <f>IFERROR(__xludf.DUMMYFUNCTION("""COMPUTED_VALUE"""),0.0)</f>
        <v>0</v>
      </c>
      <c r="AE2147">
        <f>IFERROR(__xludf.DUMMYFUNCTION("""COMPUTED_VALUE"""),0.0)</f>
        <v>0</v>
      </c>
      <c r="AG2147" t="str">
        <f>IFERROR(__xludf.DUMMYFUNCTION("""COMPUTED_VALUE"""),"Amazing delivery Experience")</f>
        <v>Amazing delivery Experience</v>
      </c>
      <c r="AH2147" s="189">
        <f>IFERROR(__xludf.DUMMYFUNCTION("""COMPUTED_VALUE"""),43819.238461817135)</f>
        <v>43819.23846</v>
      </c>
    </row>
    <row r="2148">
      <c r="A2148" t="str">
        <f>IFERROR(__xludf.DUMMYFUNCTION("""COMPUTED_VALUE"""),"Sxgt ")</f>
        <v>Sxgt </v>
      </c>
      <c r="B2148" t="str">
        <f>IFERROR(__xludf.DUMMYFUNCTION("""COMPUTED_VALUE"""),"Cornelius")</f>
        <v>Cornelius</v>
      </c>
      <c r="C2148" t="str">
        <f>IFERROR(__xludf.DUMMYFUNCTION("""COMPUTED_VALUE"""),"NC")</f>
        <v>NC</v>
      </c>
      <c r="D2148" t="str">
        <f>IFERROR(__xludf.DUMMYFUNCTION("""COMPUTED_VALUE"""),"USA")</f>
        <v>USA</v>
      </c>
      <c r="E2148" s="188">
        <f>IFERROR(__xludf.DUMMYFUNCTION("""COMPUTED_VALUE"""),43800.0)</f>
        <v>43800</v>
      </c>
      <c r="F2148" s="188">
        <f>IFERROR(__xludf.DUMMYFUNCTION("""COMPUTED_VALUE"""),43808.0)</f>
        <v>43808</v>
      </c>
      <c r="H2148">
        <f>IFERROR(__xludf.DUMMYFUNCTION("""COMPUTED_VALUE"""),624860.0)</f>
        <v>624860</v>
      </c>
      <c r="J2148" s="5">
        <f>IFERROR(__xludf.DUMMYFUNCTION("""COMPUTED_VALUE"""),43815.0)</f>
        <v>43815</v>
      </c>
      <c r="K2148">
        <f>IFERROR(__xludf.DUMMYFUNCTION("""COMPUTED_VALUE"""),8.0)</f>
        <v>8</v>
      </c>
      <c r="L2148">
        <f>IFERROR(__xludf.DUMMYFUNCTION("""COMPUTED_VALUE"""),7.0)</f>
        <v>7</v>
      </c>
      <c r="M2148">
        <f>IFERROR(__xludf.DUMMYFUNCTION("""COMPUTED_VALUE"""),15.0)</f>
        <v>15</v>
      </c>
      <c r="N2148" t="str">
        <f>IFERROR(__xludf.DUMMYFUNCTION("""COMPUTED_VALUE"""),"Model 3 Performance")</f>
        <v>Model 3 Performance</v>
      </c>
      <c r="O2148" t="str">
        <f>IFERROR(__xludf.DUMMYFUNCTION("""COMPUTED_VALUE"""),"Pearl White Multi-Coat")</f>
        <v>Pearl White Multi-Coat</v>
      </c>
      <c r="P2148" t="str">
        <f>IFERROR(__xludf.DUMMYFUNCTION("""COMPUTED_VALUE"""),"20 inch Sport")</f>
        <v>20 inch Sport</v>
      </c>
      <c r="Q2148" t="str">
        <f>IFERROR(__xludf.DUMMYFUNCTION("""COMPUTED_VALUE"""),"White seats")</f>
        <v>White seats</v>
      </c>
      <c r="R2148" t="str">
        <f>IFERROR(__xludf.DUMMYFUNCTION("""COMPUTED_VALUE"""),"Autopilot")</f>
        <v>Autopilot</v>
      </c>
      <c r="X2148" t="str">
        <f>IFERROR(__xludf.DUMMYFUNCTION("""COMPUTED_VALUE"""),"Excellent")</f>
        <v>Excellent</v>
      </c>
      <c r="Y2148" t="str">
        <f>IFERROR(__xludf.DUMMYFUNCTION("""COMPUTED_VALUE"""),"Excellent")</f>
        <v>Excellent</v>
      </c>
      <c r="Z2148" t="str">
        <f>IFERROR(__xludf.DUMMYFUNCTION("""COMPUTED_VALUE"""),"Excellent")</f>
        <v>Excellent</v>
      </c>
      <c r="AA2148" t="str">
        <f>IFERROR(__xludf.DUMMYFUNCTION("""COMPUTED_VALUE"""),"Poor")</f>
        <v>Poor</v>
      </c>
      <c r="AB2148" t="str">
        <f>IFERROR(__xludf.DUMMYFUNCTION("""COMPUTED_VALUE"""),"Fair")</f>
        <v>Fair</v>
      </c>
      <c r="AH2148" s="189">
        <f>IFERROR(__xludf.DUMMYFUNCTION("""COMPUTED_VALUE"""),43819.29015561343)</f>
        <v>43819.29016</v>
      </c>
    </row>
    <row r="2149">
      <c r="A2149" t="str">
        <f>IFERROR(__xludf.DUMMYFUNCTION("""COMPUTED_VALUE"""),"mtlove")</f>
        <v>mtlove</v>
      </c>
      <c r="B2149" t="str">
        <f>IFERROR(__xludf.DUMMYFUNCTION("""COMPUTED_VALUE"""),"Blackwood")</f>
        <v>Blackwood</v>
      </c>
      <c r="C2149" t="str">
        <f>IFERROR(__xludf.DUMMYFUNCTION("""COMPUTED_VALUE"""),"NJ")</f>
        <v>NJ</v>
      </c>
      <c r="D2149" t="str">
        <f>IFERROR(__xludf.DUMMYFUNCTION("""COMPUTED_VALUE"""),"USA")</f>
        <v>USA</v>
      </c>
      <c r="E2149" s="188">
        <f>IFERROR(__xludf.DUMMYFUNCTION("""COMPUTED_VALUE"""),43775.0)</f>
        <v>43775</v>
      </c>
      <c r="F2149" s="188">
        <f>IFERROR(__xludf.DUMMYFUNCTION("""COMPUTED_VALUE"""),43803.0)</f>
        <v>43803</v>
      </c>
      <c r="H2149">
        <f>IFERROR(__xludf.DUMMYFUNCTION("""COMPUTED_VALUE"""),603155.0)</f>
        <v>603155</v>
      </c>
      <c r="I2149" t="str">
        <f>IFERROR(__xludf.DUMMYFUNCTION("""COMPUTED_VALUE"""),"12/19")</f>
        <v>12/19</v>
      </c>
      <c r="J2149" s="5">
        <f>IFERROR(__xludf.DUMMYFUNCTION("""COMPUTED_VALUE"""),43819.0)</f>
        <v>43819</v>
      </c>
      <c r="K2149">
        <f>IFERROR(__xludf.DUMMYFUNCTION("""COMPUTED_VALUE"""),28.0)</f>
        <v>28</v>
      </c>
      <c r="L2149">
        <f>IFERROR(__xludf.DUMMYFUNCTION("""COMPUTED_VALUE"""),16.0)</f>
        <v>16</v>
      </c>
      <c r="M2149">
        <f>IFERROR(__xludf.DUMMYFUNCTION("""COMPUTED_VALUE"""),44.0)</f>
        <v>44</v>
      </c>
      <c r="N2149" t="str">
        <f>IFERROR(__xludf.DUMMYFUNCTION("""COMPUTED_VALUE"""),"Model 3 Performance")</f>
        <v>Model 3 Performance</v>
      </c>
      <c r="O2149" t="str">
        <f>IFERROR(__xludf.DUMMYFUNCTION("""COMPUTED_VALUE"""),"Deep Blue Metallic")</f>
        <v>Deep Blue Metallic</v>
      </c>
      <c r="P2149" t="str">
        <f>IFERROR(__xludf.DUMMYFUNCTION("""COMPUTED_VALUE"""),"20 inch Sport")</f>
        <v>20 inch Sport</v>
      </c>
      <c r="Q2149" t="str">
        <f>IFERROR(__xludf.DUMMYFUNCTION("""COMPUTED_VALUE"""),"Black seats")</f>
        <v>Black seats</v>
      </c>
      <c r="R2149" t="str">
        <f>IFERROR(__xludf.DUMMYFUNCTION("""COMPUTED_VALUE"""),"Full Self-Driving")</f>
        <v>Full Self-Driving</v>
      </c>
      <c r="X2149" t="str">
        <f>IFERROR(__xludf.DUMMYFUNCTION("""COMPUTED_VALUE"""),"Fair")</f>
        <v>Fair</v>
      </c>
      <c r="Y2149" t="str">
        <f>IFERROR(__xludf.DUMMYFUNCTION("""COMPUTED_VALUE"""),"Very Good")</f>
        <v>Very Good</v>
      </c>
      <c r="Z2149" t="str">
        <f>IFERROR(__xludf.DUMMYFUNCTION("""COMPUTED_VALUE"""),"Very Good")</f>
        <v>Very Good</v>
      </c>
      <c r="AA2149" t="str">
        <f>IFERROR(__xludf.DUMMYFUNCTION("""COMPUTED_VALUE"""),"Poor")</f>
        <v>Poor</v>
      </c>
      <c r="AB2149" t="str">
        <f>IFERROR(__xludf.DUMMYFUNCTION("""COMPUTED_VALUE"""),"Good")</f>
        <v>Good</v>
      </c>
      <c r="AC2149">
        <f>IFERROR(__xludf.DUMMYFUNCTION("""COMPUTED_VALUE"""),2.0)</f>
        <v>2</v>
      </c>
      <c r="AH2149" s="189">
        <f>IFERROR(__xludf.DUMMYFUNCTION("""COMPUTED_VALUE"""),43819.70866671296)</f>
        <v>43819.70867</v>
      </c>
    </row>
    <row r="2150">
      <c r="A2150" t="str">
        <f>IFERROR(__xludf.DUMMYFUNCTION("""COMPUTED_VALUE"""),"Joe85sti")</f>
        <v>Joe85sti</v>
      </c>
      <c r="B2150" t="str">
        <f>IFERROR(__xludf.DUMMYFUNCTION("""COMPUTED_VALUE"""),"Worcester")</f>
        <v>Worcester</v>
      </c>
      <c r="C2150" t="str">
        <f>IFERROR(__xludf.DUMMYFUNCTION("""COMPUTED_VALUE"""),"MA")</f>
        <v>MA</v>
      </c>
      <c r="D2150" t="str">
        <f>IFERROR(__xludf.DUMMYFUNCTION("""COMPUTED_VALUE"""),"USA")</f>
        <v>USA</v>
      </c>
      <c r="E2150" s="188">
        <f>IFERROR(__xludf.DUMMYFUNCTION("""COMPUTED_VALUE"""),43740.0)</f>
        <v>43740</v>
      </c>
      <c r="F2150" s="188">
        <f>IFERROR(__xludf.DUMMYFUNCTION("""COMPUTED_VALUE"""),43801.0)</f>
        <v>43801</v>
      </c>
      <c r="H2150">
        <f>IFERROR(__xludf.DUMMYFUNCTION("""COMPUTED_VALUE"""),603201.0)</f>
        <v>603201</v>
      </c>
      <c r="I2150" t="str">
        <f>IFERROR(__xludf.DUMMYFUNCTION("""COMPUTED_VALUE"""),"12/19")</f>
        <v>12/19</v>
      </c>
      <c r="J2150" s="5">
        <f>IFERROR(__xludf.DUMMYFUNCTION("""COMPUTED_VALUE"""),43815.0)</f>
        <v>43815</v>
      </c>
      <c r="K2150">
        <f>IFERROR(__xludf.DUMMYFUNCTION("""COMPUTED_VALUE"""),61.0)</f>
        <v>61</v>
      </c>
      <c r="L2150">
        <f>IFERROR(__xludf.DUMMYFUNCTION("""COMPUTED_VALUE"""),14.0)</f>
        <v>14</v>
      </c>
      <c r="M2150">
        <f>IFERROR(__xludf.DUMMYFUNCTION("""COMPUTED_VALUE"""),75.0)</f>
        <v>75</v>
      </c>
      <c r="N2150" t="str">
        <f>IFERROR(__xludf.DUMMYFUNCTION("""COMPUTED_VALUE"""),"Model 3 Performance")</f>
        <v>Model 3 Performance</v>
      </c>
      <c r="O2150" t="str">
        <f>IFERROR(__xludf.DUMMYFUNCTION("""COMPUTED_VALUE"""),"Pearl White Multi-Coat")</f>
        <v>Pearl White Multi-Coat</v>
      </c>
      <c r="P2150" t="str">
        <f>IFERROR(__xludf.DUMMYFUNCTION("""COMPUTED_VALUE"""),"20 inch Sport")</f>
        <v>20 inch Sport</v>
      </c>
      <c r="Q2150" t="str">
        <f>IFERROR(__xludf.DUMMYFUNCTION("""COMPUTED_VALUE"""),"Black seats")</f>
        <v>Black seats</v>
      </c>
      <c r="R2150" t="str">
        <f>IFERROR(__xludf.DUMMYFUNCTION("""COMPUTED_VALUE"""),"Full Self-Driving")</f>
        <v>Full Self-Driving</v>
      </c>
      <c r="X2150" t="str">
        <f>IFERROR(__xludf.DUMMYFUNCTION("""COMPUTED_VALUE"""),"Excellent")</f>
        <v>Excellent</v>
      </c>
      <c r="Y2150" t="str">
        <f>IFERROR(__xludf.DUMMYFUNCTION("""COMPUTED_VALUE"""),"Excellent")</f>
        <v>Excellent</v>
      </c>
      <c r="Z2150" t="str">
        <f>IFERROR(__xludf.DUMMYFUNCTION("""COMPUTED_VALUE"""),"Excellent")</f>
        <v>Excellent</v>
      </c>
      <c r="AA2150" t="str">
        <f>IFERROR(__xludf.DUMMYFUNCTION("""COMPUTED_VALUE"""),"Excellent")</f>
        <v>Excellent</v>
      </c>
      <c r="AB2150" t="str">
        <f>IFERROR(__xludf.DUMMYFUNCTION("""COMPUTED_VALUE"""),"Excellent")</f>
        <v>Excellent</v>
      </c>
      <c r="AH2150" s="189">
        <f>IFERROR(__xludf.DUMMYFUNCTION("""COMPUTED_VALUE"""),43819.7744039699)</f>
        <v>43819.7744</v>
      </c>
    </row>
    <row r="2151">
      <c r="A2151" t="str">
        <f>IFERROR(__xludf.DUMMYFUNCTION("""COMPUTED_VALUE"""),"Marashka")</f>
        <v>Marashka</v>
      </c>
      <c r="B2151" t="str">
        <f>IFERROR(__xludf.DUMMYFUNCTION("""COMPUTED_VALUE"""),"Las Vegas")</f>
        <v>Las Vegas</v>
      </c>
      <c r="C2151" t="str">
        <f>IFERROR(__xludf.DUMMYFUNCTION("""COMPUTED_VALUE"""),"NV")</f>
        <v>NV</v>
      </c>
      <c r="D2151" t="str">
        <f>IFERROR(__xludf.DUMMYFUNCTION("""COMPUTED_VALUE"""),"USA")</f>
        <v>USA</v>
      </c>
      <c r="E2151" s="188">
        <f>IFERROR(__xludf.DUMMYFUNCTION("""COMPUTED_VALUE"""),43752.0)</f>
        <v>43752</v>
      </c>
      <c r="F2151" s="188">
        <f>IFERROR(__xludf.DUMMYFUNCTION("""COMPUTED_VALUE"""),43807.0)</f>
        <v>43807</v>
      </c>
      <c r="H2151" s="4">
        <f>IFERROR(__xludf.DUMMYFUNCTION("""COMPUTED_VALUE"""),623996.0)</f>
        <v>623996</v>
      </c>
      <c r="J2151" s="5">
        <f>IFERROR(__xludf.DUMMYFUNCTION("""COMPUTED_VALUE"""),43812.0)</f>
        <v>43812</v>
      </c>
      <c r="K2151">
        <f>IFERROR(__xludf.DUMMYFUNCTION("""COMPUTED_VALUE"""),55.0)</f>
        <v>55</v>
      </c>
      <c r="L2151">
        <f>IFERROR(__xludf.DUMMYFUNCTION("""COMPUTED_VALUE"""),5.0)</f>
        <v>5</v>
      </c>
      <c r="M2151">
        <f>IFERROR(__xludf.DUMMYFUNCTION("""COMPUTED_VALUE"""),60.0)</f>
        <v>60</v>
      </c>
      <c r="N2151" t="str">
        <f>IFERROR(__xludf.DUMMYFUNCTION("""COMPUTED_VALUE"""),"Model 3 Performance")</f>
        <v>Model 3 Performance</v>
      </c>
      <c r="O2151" t="str">
        <f>IFERROR(__xludf.DUMMYFUNCTION("""COMPUTED_VALUE"""),"Pearl White Multi-Coat")</f>
        <v>Pearl White Multi-Coat</v>
      </c>
      <c r="P2151" t="str">
        <f>IFERROR(__xludf.DUMMYFUNCTION("""COMPUTED_VALUE"""),"20 inch Sport")</f>
        <v>20 inch Sport</v>
      </c>
      <c r="Q2151" t="str">
        <f>IFERROR(__xludf.DUMMYFUNCTION("""COMPUTED_VALUE"""),"Black seats")</f>
        <v>Black seats</v>
      </c>
      <c r="R2151" t="str">
        <f>IFERROR(__xludf.DUMMYFUNCTION("""COMPUTED_VALUE"""),"Autopilot")</f>
        <v>Autopilot</v>
      </c>
      <c r="X2151" t="str">
        <f>IFERROR(__xludf.DUMMYFUNCTION("""COMPUTED_VALUE"""),"Excellent")</f>
        <v>Excellent</v>
      </c>
      <c r="Y2151" t="str">
        <f>IFERROR(__xludf.DUMMYFUNCTION("""COMPUTED_VALUE"""),"Very Good")</f>
        <v>Very Good</v>
      </c>
      <c r="Z2151" t="str">
        <f>IFERROR(__xludf.DUMMYFUNCTION("""COMPUTED_VALUE"""),"Fair")</f>
        <v>Fair</v>
      </c>
      <c r="AA2151" t="str">
        <f>IFERROR(__xludf.DUMMYFUNCTION("""COMPUTED_VALUE"""),"Excellent")</f>
        <v>Excellent</v>
      </c>
      <c r="AB2151" t="str">
        <f>IFERROR(__xludf.DUMMYFUNCTION("""COMPUTED_VALUE"""),"Excellent")</f>
        <v>Excellent</v>
      </c>
      <c r="AC2151">
        <f>IFERROR(__xludf.DUMMYFUNCTION("""COMPUTED_VALUE"""),5.0)</f>
        <v>5</v>
      </c>
      <c r="AD2151">
        <f>IFERROR(__xludf.DUMMYFUNCTION("""COMPUTED_VALUE"""),1.0)</f>
        <v>1</v>
      </c>
      <c r="AE2151">
        <f>IFERROR(__xludf.DUMMYFUNCTION("""COMPUTED_VALUE"""),4.0)</f>
        <v>4</v>
      </c>
      <c r="AH2151" s="189">
        <f>IFERROR(__xludf.DUMMYFUNCTION("""COMPUTED_VALUE"""),43819.81077443287)</f>
        <v>43819.81077</v>
      </c>
    </row>
    <row r="2152">
      <c r="A2152" t="str">
        <f>IFERROR(__xludf.DUMMYFUNCTION("""COMPUTED_VALUE"""),"Mr. T")</f>
        <v>Mr. T</v>
      </c>
      <c r="B2152" t="str">
        <f>IFERROR(__xludf.DUMMYFUNCTION("""COMPUTED_VALUE"""),"Herriman")</f>
        <v>Herriman</v>
      </c>
      <c r="C2152" t="str">
        <f>IFERROR(__xludf.DUMMYFUNCTION("""COMPUTED_VALUE"""),"UT")</f>
        <v>UT</v>
      </c>
      <c r="D2152" t="str">
        <f>IFERROR(__xludf.DUMMYFUNCTION("""COMPUTED_VALUE"""),"USA")</f>
        <v>USA</v>
      </c>
      <c r="E2152" s="188">
        <f>IFERROR(__xludf.DUMMYFUNCTION("""COMPUTED_VALUE"""),43764.0)</f>
        <v>43764</v>
      </c>
      <c r="F2152" s="188">
        <f>IFERROR(__xludf.DUMMYFUNCTION("""COMPUTED_VALUE"""),43817.0)</f>
        <v>43817</v>
      </c>
      <c r="H2152">
        <f>IFERROR(__xludf.DUMMYFUNCTION("""COMPUTED_VALUE"""),600055.0)</f>
        <v>600055</v>
      </c>
      <c r="J2152" s="5">
        <f>IFERROR(__xludf.DUMMYFUNCTION("""COMPUTED_VALUE"""),43819.0)</f>
        <v>43819</v>
      </c>
      <c r="K2152">
        <f>IFERROR(__xludf.DUMMYFUNCTION("""COMPUTED_VALUE"""),53.0)</f>
        <v>53</v>
      </c>
      <c r="L2152">
        <f>IFERROR(__xludf.DUMMYFUNCTION("""COMPUTED_VALUE"""),2.0)</f>
        <v>2</v>
      </c>
      <c r="M2152">
        <f>IFERROR(__xludf.DUMMYFUNCTION("""COMPUTED_VALUE"""),55.0)</f>
        <v>55</v>
      </c>
      <c r="N2152" t="str">
        <f>IFERROR(__xludf.DUMMYFUNCTION("""COMPUTED_VALUE"""),"Model 3 LR AWD")</f>
        <v>Model 3 LR AWD</v>
      </c>
      <c r="O2152" t="str">
        <f>IFERROR(__xludf.DUMMYFUNCTION("""COMPUTED_VALUE"""),"Solid Black")</f>
        <v>Solid Black</v>
      </c>
      <c r="P2152" t="str">
        <f>IFERROR(__xludf.DUMMYFUNCTION("""COMPUTED_VALUE"""),"18 inch Aero")</f>
        <v>18 inch Aero</v>
      </c>
      <c r="Q2152" t="str">
        <f>IFERROR(__xludf.DUMMYFUNCTION("""COMPUTED_VALUE"""),"Black seats")</f>
        <v>Black seats</v>
      </c>
      <c r="R2152" t="str">
        <f>IFERROR(__xludf.DUMMYFUNCTION("""COMPUTED_VALUE"""),"Autopilot")</f>
        <v>Autopilot</v>
      </c>
      <c r="X2152" t="str">
        <f>IFERROR(__xludf.DUMMYFUNCTION("""COMPUTED_VALUE"""),"Good")</f>
        <v>Good</v>
      </c>
      <c r="Y2152" t="str">
        <f>IFERROR(__xludf.DUMMYFUNCTION("""COMPUTED_VALUE"""),"Excellent")</f>
        <v>Excellent</v>
      </c>
      <c r="Z2152" t="str">
        <f>IFERROR(__xludf.DUMMYFUNCTION("""COMPUTED_VALUE"""),"Fair")</f>
        <v>Fair</v>
      </c>
      <c r="AA2152" t="str">
        <f>IFERROR(__xludf.DUMMYFUNCTION("""COMPUTED_VALUE"""),"Fair")</f>
        <v>Fair</v>
      </c>
      <c r="AB2152" t="str">
        <f>IFERROR(__xludf.DUMMYFUNCTION("""COMPUTED_VALUE"""),"Very Good")</f>
        <v>Very Good</v>
      </c>
      <c r="AC2152">
        <f>IFERROR(__xludf.DUMMYFUNCTION("""COMPUTED_VALUE"""),1.0)</f>
        <v>1</v>
      </c>
      <c r="AD2152">
        <f>IFERROR(__xludf.DUMMYFUNCTION("""COMPUTED_VALUE"""),1.0)</f>
        <v>1</v>
      </c>
      <c r="AE2152">
        <f>IFERROR(__xludf.DUMMYFUNCTION("""COMPUTED_VALUE"""),0.0)</f>
        <v>0</v>
      </c>
      <c r="AG2152" t="str">
        <f>IFERROR(__xludf.DUMMYFUNCTION("""COMPUTED_VALUE"""),"Found VIN in source code")</f>
        <v>Found VIN in source code</v>
      </c>
      <c r="AH2152" s="189">
        <f>IFERROR(__xludf.DUMMYFUNCTION("""COMPUTED_VALUE"""),43819.884752384256)</f>
        <v>43819.88475</v>
      </c>
    </row>
    <row r="2153">
      <c r="A2153" t="str">
        <f>IFERROR(__xludf.DUMMYFUNCTION("""COMPUTED_VALUE"""),"Csami")</f>
        <v>Csami</v>
      </c>
      <c r="B2153" t="str">
        <f>IFERROR(__xludf.DUMMYFUNCTION("""COMPUTED_VALUE"""),"Los Angeles")</f>
        <v>Los Angeles</v>
      </c>
      <c r="C2153" t="str">
        <f>IFERROR(__xludf.DUMMYFUNCTION("""COMPUTED_VALUE"""),"CA")</f>
        <v>CA</v>
      </c>
      <c r="D2153" t="str">
        <f>IFERROR(__xludf.DUMMYFUNCTION("""COMPUTED_VALUE"""),"USA")</f>
        <v>USA</v>
      </c>
      <c r="E2153" s="188">
        <f>IFERROR(__xludf.DUMMYFUNCTION("""COMPUTED_VALUE"""),43749.0)</f>
        <v>43749</v>
      </c>
      <c r="F2153" s="188">
        <f>IFERROR(__xludf.DUMMYFUNCTION("""COMPUTED_VALUE"""),43815.0)</f>
        <v>43815</v>
      </c>
      <c r="H2153">
        <f>IFERROR(__xludf.DUMMYFUNCTION("""COMPUTED_VALUE"""),613355.0)</f>
        <v>613355</v>
      </c>
      <c r="I2153" t="str">
        <f>IFERROR(__xludf.DUMMYFUNCTION("""COMPUTED_VALUE"""),"12/19")</f>
        <v>12/19</v>
      </c>
      <c r="J2153" s="5">
        <f>IFERROR(__xludf.DUMMYFUNCTION("""COMPUTED_VALUE"""),43818.0)</f>
        <v>43818</v>
      </c>
      <c r="K2153">
        <f>IFERROR(__xludf.DUMMYFUNCTION("""COMPUTED_VALUE"""),66.0)</f>
        <v>66</v>
      </c>
      <c r="L2153">
        <f>IFERROR(__xludf.DUMMYFUNCTION("""COMPUTED_VALUE"""),3.0)</f>
        <v>3</v>
      </c>
      <c r="M2153">
        <f>IFERROR(__xludf.DUMMYFUNCTION("""COMPUTED_VALUE"""),69.0)</f>
        <v>69</v>
      </c>
      <c r="N2153" t="str">
        <f>IFERROR(__xludf.DUMMYFUNCTION("""COMPUTED_VALUE"""),"Model 3 SR+")</f>
        <v>Model 3 SR+</v>
      </c>
      <c r="O2153" t="str">
        <f>IFERROR(__xludf.DUMMYFUNCTION("""COMPUTED_VALUE"""),"Pearl White Multi-Coat")</f>
        <v>Pearl White Multi-Coat</v>
      </c>
      <c r="P2153" t="str">
        <f>IFERROR(__xludf.DUMMYFUNCTION("""COMPUTED_VALUE"""),"18 inch Aero")</f>
        <v>18 inch Aero</v>
      </c>
      <c r="Q2153" t="str">
        <f>IFERROR(__xludf.DUMMYFUNCTION("""COMPUTED_VALUE"""),"Black seats")</f>
        <v>Black seats</v>
      </c>
      <c r="R2153" t="str">
        <f>IFERROR(__xludf.DUMMYFUNCTION("""COMPUTED_VALUE"""),"Autopilot")</f>
        <v>Autopilot</v>
      </c>
      <c r="X2153" t="str">
        <f>IFERROR(__xludf.DUMMYFUNCTION("""COMPUTED_VALUE"""),"Very Good")</f>
        <v>Very Good</v>
      </c>
      <c r="Y2153" t="str">
        <f>IFERROR(__xludf.DUMMYFUNCTION("""COMPUTED_VALUE"""),"Very Good")</f>
        <v>Very Good</v>
      </c>
      <c r="Z2153" t="str">
        <f>IFERROR(__xludf.DUMMYFUNCTION("""COMPUTED_VALUE"""),"Excellent")</f>
        <v>Excellent</v>
      </c>
      <c r="AA2153" t="str">
        <f>IFERROR(__xludf.DUMMYFUNCTION("""COMPUTED_VALUE"""),"Fair")</f>
        <v>Fair</v>
      </c>
      <c r="AB2153" t="str">
        <f>IFERROR(__xludf.DUMMYFUNCTION("""COMPUTED_VALUE"""),"Good")</f>
        <v>Good</v>
      </c>
      <c r="AH2153" s="189">
        <f>IFERROR(__xludf.DUMMYFUNCTION("""COMPUTED_VALUE"""),43820.022131736114)</f>
        <v>43820.02213</v>
      </c>
    </row>
    <row r="2154">
      <c r="A2154" t="str">
        <f>IFERROR(__xludf.DUMMYFUNCTION("""COMPUTED_VALUE"""),"elperrofumando")</f>
        <v>elperrofumando</v>
      </c>
      <c r="B2154" t="str">
        <f>IFERROR(__xludf.DUMMYFUNCTION("""COMPUTED_VALUE"""),"Cherry Hill")</f>
        <v>Cherry Hill</v>
      </c>
      <c r="C2154" t="str">
        <f>IFERROR(__xludf.DUMMYFUNCTION("""COMPUTED_VALUE"""),"NJ")</f>
        <v>NJ</v>
      </c>
      <c r="D2154" t="str">
        <f>IFERROR(__xludf.DUMMYFUNCTION("""COMPUTED_VALUE"""),"USA")</f>
        <v>USA</v>
      </c>
      <c r="E2154" s="188">
        <f>IFERROR(__xludf.DUMMYFUNCTION("""COMPUTED_VALUE"""),43750.0)</f>
        <v>43750</v>
      </c>
      <c r="F2154" s="188">
        <f>IFERROR(__xludf.DUMMYFUNCTION("""COMPUTED_VALUE"""),43802.0)</f>
        <v>43802</v>
      </c>
      <c r="H2154">
        <f>IFERROR(__xludf.DUMMYFUNCTION("""COMPUTED_VALUE"""),602914.0)</f>
        <v>602914</v>
      </c>
      <c r="I2154" t="str">
        <f>IFERROR(__xludf.DUMMYFUNCTION("""COMPUTED_VALUE"""),"12/19")</f>
        <v>12/19</v>
      </c>
      <c r="J2154" s="5">
        <f>IFERROR(__xludf.DUMMYFUNCTION("""COMPUTED_VALUE"""),43819.0)</f>
        <v>43819</v>
      </c>
      <c r="K2154">
        <f>IFERROR(__xludf.DUMMYFUNCTION("""COMPUTED_VALUE"""),52.0)</f>
        <v>52</v>
      </c>
      <c r="L2154">
        <f>IFERROR(__xludf.DUMMYFUNCTION("""COMPUTED_VALUE"""),17.0)</f>
        <v>17</v>
      </c>
      <c r="M2154">
        <f>IFERROR(__xludf.DUMMYFUNCTION("""COMPUTED_VALUE"""),69.0)</f>
        <v>69</v>
      </c>
      <c r="N2154" t="str">
        <f>IFERROR(__xludf.DUMMYFUNCTION("""COMPUTED_VALUE"""),"Model 3 Performance")</f>
        <v>Model 3 Performance</v>
      </c>
      <c r="O2154" t="str">
        <f>IFERROR(__xludf.DUMMYFUNCTION("""COMPUTED_VALUE"""),"Midnight Silver Metallic")</f>
        <v>Midnight Silver Metallic</v>
      </c>
      <c r="P2154" t="str">
        <f>IFERROR(__xludf.DUMMYFUNCTION("""COMPUTED_VALUE"""),"20 inch Sport")</f>
        <v>20 inch Sport</v>
      </c>
      <c r="Q2154" t="str">
        <f>IFERROR(__xludf.DUMMYFUNCTION("""COMPUTED_VALUE"""),"Black seats")</f>
        <v>Black seats</v>
      </c>
      <c r="R2154" t="str">
        <f>IFERROR(__xludf.DUMMYFUNCTION("""COMPUTED_VALUE"""),"Full Self-Driving")</f>
        <v>Full Self-Driving</v>
      </c>
      <c r="X2154" t="str">
        <f>IFERROR(__xludf.DUMMYFUNCTION("""COMPUTED_VALUE"""),"Very Good")</f>
        <v>Very Good</v>
      </c>
      <c r="Y2154" t="str">
        <f>IFERROR(__xludf.DUMMYFUNCTION("""COMPUTED_VALUE"""),"Excellent")</f>
        <v>Excellent</v>
      </c>
      <c r="Z2154" t="str">
        <f>IFERROR(__xludf.DUMMYFUNCTION("""COMPUTED_VALUE"""),"Very Good")</f>
        <v>Very Good</v>
      </c>
      <c r="AA2154" t="str">
        <f>IFERROR(__xludf.DUMMYFUNCTION("""COMPUTED_VALUE"""),"Excellent")</f>
        <v>Excellent</v>
      </c>
      <c r="AB2154" t="str">
        <f>IFERROR(__xludf.DUMMYFUNCTION("""COMPUTED_VALUE"""),"Excellent")</f>
        <v>Excellent</v>
      </c>
      <c r="AH2154" s="189">
        <f>IFERROR(__xludf.DUMMYFUNCTION("""COMPUTED_VALUE"""),43820.0763941551)</f>
        <v>43820.07639</v>
      </c>
    </row>
    <row r="2155">
      <c r="A2155" t="str">
        <f>IFERROR(__xludf.DUMMYFUNCTION("""COMPUTED_VALUE"""),"lethargicus")</f>
        <v>lethargicus</v>
      </c>
      <c r="B2155" t="str">
        <f>IFERROR(__xludf.DUMMYFUNCTION("""COMPUTED_VALUE"""),"Ellicott City")</f>
        <v>Ellicott City</v>
      </c>
      <c r="C2155" t="str">
        <f>IFERROR(__xludf.DUMMYFUNCTION("""COMPUTED_VALUE"""),"MD")</f>
        <v>MD</v>
      </c>
      <c r="D2155" t="str">
        <f>IFERROR(__xludf.DUMMYFUNCTION("""COMPUTED_VALUE"""),"USA")</f>
        <v>USA</v>
      </c>
      <c r="E2155" s="188">
        <f>IFERROR(__xludf.DUMMYFUNCTION("""COMPUTED_VALUE"""),43791.0)</f>
        <v>43791</v>
      </c>
      <c r="F2155" s="188">
        <f>IFERROR(__xludf.DUMMYFUNCTION("""COMPUTED_VALUE"""),43813.0)</f>
        <v>43813</v>
      </c>
      <c r="H2155">
        <f>IFERROR(__xludf.DUMMYFUNCTION("""COMPUTED_VALUE"""),617397.0)</f>
        <v>617397</v>
      </c>
      <c r="J2155" s="5">
        <f>IFERROR(__xludf.DUMMYFUNCTION("""COMPUTED_VALUE"""),43820.0)</f>
        <v>43820</v>
      </c>
      <c r="K2155">
        <f>IFERROR(__xludf.DUMMYFUNCTION("""COMPUTED_VALUE"""),22.0)</f>
        <v>22</v>
      </c>
      <c r="L2155">
        <f>IFERROR(__xludf.DUMMYFUNCTION("""COMPUTED_VALUE"""),7.0)</f>
        <v>7</v>
      </c>
      <c r="M2155">
        <f>IFERROR(__xludf.DUMMYFUNCTION("""COMPUTED_VALUE"""),29.0)</f>
        <v>29</v>
      </c>
      <c r="N2155" t="str">
        <f>IFERROR(__xludf.DUMMYFUNCTION("""COMPUTED_VALUE"""),"Model 3 LR AWD")</f>
        <v>Model 3 LR AWD</v>
      </c>
      <c r="O2155" t="str">
        <f>IFERROR(__xludf.DUMMYFUNCTION("""COMPUTED_VALUE"""),"Deep Blue Metallic")</f>
        <v>Deep Blue Metallic</v>
      </c>
      <c r="P2155" t="str">
        <f>IFERROR(__xludf.DUMMYFUNCTION("""COMPUTED_VALUE"""),"18 inch Aero")</f>
        <v>18 inch Aero</v>
      </c>
      <c r="Q2155" t="str">
        <f>IFERROR(__xludf.DUMMYFUNCTION("""COMPUTED_VALUE"""),"Black seats")</f>
        <v>Black seats</v>
      </c>
      <c r="R2155" t="str">
        <f>IFERROR(__xludf.DUMMYFUNCTION("""COMPUTED_VALUE"""),"Full Self-Driving")</f>
        <v>Full Self-Driving</v>
      </c>
      <c r="X2155" t="str">
        <f>IFERROR(__xludf.DUMMYFUNCTION("""COMPUTED_VALUE"""),"Excellent")</f>
        <v>Excellent</v>
      </c>
      <c r="Y2155" t="str">
        <f>IFERROR(__xludf.DUMMYFUNCTION("""COMPUTED_VALUE"""),"Excellent")</f>
        <v>Excellent</v>
      </c>
      <c r="Z2155" t="str">
        <f>IFERROR(__xludf.DUMMYFUNCTION("""COMPUTED_VALUE"""),"Excellent")</f>
        <v>Excellent</v>
      </c>
      <c r="AA2155" t="str">
        <f>IFERROR(__xludf.DUMMYFUNCTION("""COMPUTED_VALUE"""),"Poor")</f>
        <v>Poor</v>
      </c>
      <c r="AB2155" t="str">
        <f>IFERROR(__xludf.DUMMYFUNCTION("""COMPUTED_VALUE"""),"Excellent")</f>
        <v>Excellent</v>
      </c>
      <c r="AH2155" s="189">
        <f>IFERROR(__xludf.DUMMYFUNCTION("""COMPUTED_VALUE"""),43820.45070584491)</f>
        <v>43820.45071</v>
      </c>
    </row>
    <row r="2156">
      <c r="A2156" t="str">
        <f>IFERROR(__xludf.DUMMYFUNCTION("""COMPUTED_VALUE"""),"RUN-TMC")</f>
        <v>RUN-TMC</v>
      </c>
      <c r="B2156" t="str">
        <f>IFERROR(__xludf.DUMMYFUNCTION("""COMPUTED_VALUE"""),"Provo")</f>
        <v>Provo</v>
      </c>
      <c r="C2156" t="str">
        <f>IFERROR(__xludf.DUMMYFUNCTION("""COMPUTED_VALUE"""),"UT")</f>
        <v>UT</v>
      </c>
      <c r="D2156" t="str">
        <f>IFERROR(__xludf.DUMMYFUNCTION("""COMPUTED_VALUE"""),"USA")</f>
        <v>USA</v>
      </c>
      <c r="E2156" s="188">
        <f>IFERROR(__xludf.DUMMYFUNCTION("""COMPUTED_VALUE"""),43795.0)</f>
        <v>43795</v>
      </c>
      <c r="F2156" s="188">
        <f>IFERROR(__xludf.DUMMYFUNCTION("""COMPUTED_VALUE"""),43817.0)</f>
        <v>43817</v>
      </c>
      <c r="H2156">
        <f>IFERROR(__xludf.DUMMYFUNCTION("""COMPUTED_VALUE"""),619855.0)</f>
        <v>619855</v>
      </c>
      <c r="I2156" t="str">
        <f>IFERROR(__xludf.DUMMYFUNCTION("""COMPUTED_VALUE"""),"12/19")</f>
        <v>12/19</v>
      </c>
      <c r="J2156" s="5">
        <f>IFERROR(__xludf.DUMMYFUNCTION("""COMPUTED_VALUE"""),43819.0)</f>
        <v>43819</v>
      </c>
      <c r="K2156">
        <f>IFERROR(__xludf.DUMMYFUNCTION("""COMPUTED_VALUE"""),22.0)</f>
        <v>22</v>
      </c>
      <c r="L2156">
        <f>IFERROR(__xludf.DUMMYFUNCTION("""COMPUTED_VALUE"""),2.0)</f>
        <v>2</v>
      </c>
      <c r="M2156">
        <f>IFERROR(__xludf.DUMMYFUNCTION("""COMPUTED_VALUE"""),24.0)</f>
        <v>24</v>
      </c>
      <c r="N2156" t="str">
        <f>IFERROR(__xludf.DUMMYFUNCTION("""COMPUTED_VALUE"""),"Model 3 LR AWD")</f>
        <v>Model 3 LR AWD</v>
      </c>
      <c r="O2156" t="str">
        <f>IFERROR(__xludf.DUMMYFUNCTION("""COMPUTED_VALUE"""),"Pearl White Multi-Coat")</f>
        <v>Pearl White Multi-Coat</v>
      </c>
      <c r="P2156" t="str">
        <f>IFERROR(__xludf.DUMMYFUNCTION("""COMPUTED_VALUE"""),"18 inch Aero")</f>
        <v>18 inch Aero</v>
      </c>
      <c r="Q2156" t="str">
        <f>IFERROR(__xludf.DUMMYFUNCTION("""COMPUTED_VALUE"""),"Black seats")</f>
        <v>Black seats</v>
      </c>
      <c r="R2156" t="str">
        <f>IFERROR(__xludf.DUMMYFUNCTION("""COMPUTED_VALUE"""),"Autopilot")</f>
        <v>Autopilot</v>
      </c>
      <c r="X2156" t="str">
        <f>IFERROR(__xludf.DUMMYFUNCTION("""COMPUTED_VALUE"""),"Excellent")</f>
        <v>Excellent</v>
      </c>
      <c r="Y2156" t="str">
        <f>IFERROR(__xludf.DUMMYFUNCTION("""COMPUTED_VALUE"""),"Excellent")</f>
        <v>Excellent</v>
      </c>
      <c r="Z2156" t="str">
        <f>IFERROR(__xludf.DUMMYFUNCTION("""COMPUTED_VALUE"""),"Excellent")</f>
        <v>Excellent</v>
      </c>
      <c r="AA2156" t="str">
        <f>IFERROR(__xludf.DUMMYFUNCTION("""COMPUTED_VALUE"""),"Good")</f>
        <v>Good</v>
      </c>
      <c r="AB2156" t="str">
        <f>IFERROR(__xludf.DUMMYFUNCTION("""COMPUTED_VALUE"""),"Good")</f>
        <v>Good</v>
      </c>
      <c r="AH2156" s="189">
        <f>IFERROR(__xludf.DUMMYFUNCTION("""COMPUTED_VALUE"""),43820.459531898145)</f>
        <v>43820.45953</v>
      </c>
    </row>
    <row r="2157">
      <c r="A2157" t="str">
        <f>IFERROR(__xludf.DUMMYFUNCTION("""COMPUTED_VALUE"""),"dhbax")</f>
        <v>dhbax</v>
      </c>
      <c r="B2157" t="str">
        <f>IFERROR(__xludf.DUMMYFUNCTION("""COMPUTED_VALUE"""),"Portland")</f>
        <v>Portland</v>
      </c>
      <c r="C2157" t="str">
        <f>IFERROR(__xludf.DUMMYFUNCTION("""COMPUTED_VALUE"""),"OR")</f>
        <v>OR</v>
      </c>
      <c r="D2157" t="str">
        <f>IFERROR(__xludf.DUMMYFUNCTION("""COMPUTED_VALUE"""),"USA")</f>
        <v>USA</v>
      </c>
      <c r="E2157" s="188">
        <f>IFERROR(__xludf.DUMMYFUNCTION("""COMPUTED_VALUE"""),43762.0)</f>
        <v>43762</v>
      </c>
      <c r="F2157" s="188">
        <f>IFERROR(__xludf.DUMMYFUNCTION("""COMPUTED_VALUE"""),43811.0)</f>
        <v>43811</v>
      </c>
      <c r="H2157">
        <f>IFERROR(__xludf.DUMMYFUNCTION("""COMPUTED_VALUE"""),627967.0)</f>
        <v>627967</v>
      </c>
      <c r="I2157" t="str">
        <f>IFERROR(__xludf.DUMMYFUNCTION("""COMPUTED_VALUE"""),"12/19")</f>
        <v>12/19</v>
      </c>
      <c r="J2157" s="5">
        <f>IFERROR(__xludf.DUMMYFUNCTION("""COMPUTED_VALUE"""),43816.0)</f>
        <v>43816</v>
      </c>
      <c r="K2157">
        <f>IFERROR(__xludf.DUMMYFUNCTION("""COMPUTED_VALUE"""),49.0)</f>
        <v>49</v>
      </c>
      <c r="L2157">
        <f>IFERROR(__xludf.DUMMYFUNCTION("""COMPUTED_VALUE"""),5.0)</f>
        <v>5</v>
      </c>
      <c r="M2157">
        <f>IFERROR(__xludf.DUMMYFUNCTION("""COMPUTED_VALUE"""),54.0)</f>
        <v>54</v>
      </c>
      <c r="N2157" t="str">
        <f>IFERROR(__xludf.DUMMYFUNCTION("""COMPUTED_VALUE"""),"Model 3 LR AWD")</f>
        <v>Model 3 LR AWD</v>
      </c>
      <c r="O2157" t="str">
        <f>IFERROR(__xludf.DUMMYFUNCTION("""COMPUTED_VALUE"""),"Deep Blue Metallic")</f>
        <v>Deep Blue Metallic</v>
      </c>
      <c r="P2157" t="str">
        <f>IFERROR(__xludf.DUMMYFUNCTION("""COMPUTED_VALUE"""),"18 inch Aero")</f>
        <v>18 inch Aero</v>
      </c>
      <c r="Q2157" t="str">
        <f>IFERROR(__xludf.DUMMYFUNCTION("""COMPUTED_VALUE"""),"Black seats")</f>
        <v>Black seats</v>
      </c>
      <c r="R2157" t="str">
        <f>IFERROR(__xludf.DUMMYFUNCTION("""COMPUTED_VALUE"""),"Full Self-Driving")</f>
        <v>Full Self-Driving</v>
      </c>
      <c r="X2157" t="str">
        <f>IFERROR(__xludf.DUMMYFUNCTION("""COMPUTED_VALUE"""),"Excellent")</f>
        <v>Excellent</v>
      </c>
      <c r="Y2157" t="str">
        <f>IFERROR(__xludf.DUMMYFUNCTION("""COMPUTED_VALUE"""),"Excellent")</f>
        <v>Excellent</v>
      </c>
      <c r="Z2157" t="str">
        <f>IFERROR(__xludf.DUMMYFUNCTION("""COMPUTED_VALUE"""),"Excellent")</f>
        <v>Excellent</v>
      </c>
      <c r="AA2157" t="str">
        <f>IFERROR(__xludf.DUMMYFUNCTION("""COMPUTED_VALUE"""),"Good")</f>
        <v>Good</v>
      </c>
      <c r="AB2157" t="str">
        <f>IFERROR(__xludf.DUMMYFUNCTION("""COMPUTED_VALUE"""),"Fair")</f>
        <v>Fair</v>
      </c>
      <c r="AC2157">
        <f>IFERROR(__xludf.DUMMYFUNCTION("""COMPUTED_VALUE"""),1.0)</f>
        <v>1</v>
      </c>
      <c r="AD2157">
        <f>IFERROR(__xludf.DUMMYFUNCTION("""COMPUTED_VALUE"""),1.0)</f>
        <v>1</v>
      </c>
      <c r="AE2157">
        <f>IFERROR(__xludf.DUMMYFUNCTION("""COMPUTED_VALUE"""),0.0)</f>
        <v>0</v>
      </c>
      <c r="AH2157" s="189">
        <f>IFERROR(__xludf.DUMMYFUNCTION("""COMPUTED_VALUE"""),43820.48818015047)</f>
        <v>43820.48818</v>
      </c>
    </row>
    <row r="2158">
      <c r="A2158" t="str">
        <f>IFERROR(__xludf.DUMMYFUNCTION("""COMPUTED_VALUE"""),"kenobe")</f>
        <v>kenobe</v>
      </c>
      <c r="B2158" t="str">
        <f>IFERROR(__xludf.DUMMYFUNCTION("""COMPUTED_VALUE"""),"san diego")</f>
        <v>san diego</v>
      </c>
      <c r="C2158" t="str">
        <f>IFERROR(__xludf.DUMMYFUNCTION("""COMPUTED_VALUE"""),"CA")</f>
        <v>CA</v>
      </c>
      <c r="D2158" t="str">
        <f>IFERROR(__xludf.DUMMYFUNCTION("""COMPUTED_VALUE"""),"USA")</f>
        <v>USA</v>
      </c>
      <c r="E2158" s="188">
        <f>IFERROR(__xludf.DUMMYFUNCTION("""COMPUTED_VALUE"""),43764.0)</f>
        <v>43764</v>
      </c>
      <c r="F2158" s="188">
        <f>IFERROR(__xludf.DUMMYFUNCTION("""COMPUTED_VALUE"""),43818.0)</f>
        <v>43818</v>
      </c>
      <c r="J2158" s="5">
        <f>IFERROR(__xludf.DUMMYFUNCTION("""COMPUTED_VALUE"""),43819.0)</f>
        <v>43819</v>
      </c>
      <c r="K2158">
        <f>IFERROR(__xludf.DUMMYFUNCTION("""COMPUTED_VALUE"""),54.0)</f>
        <v>54</v>
      </c>
      <c r="L2158">
        <f>IFERROR(__xludf.DUMMYFUNCTION("""COMPUTED_VALUE"""),1.0)</f>
        <v>1</v>
      </c>
      <c r="M2158">
        <f>IFERROR(__xludf.DUMMYFUNCTION("""COMPUTED_VALUE"""),55.0)</f>
        <v>55</v>
      </c>
      <c r="N2158" t="str">
        <f>IFERROR(__xludf.DUMMYFUNCTION("""COMPUTED_VALUE"""),"Model 3 SR+")</f>
        <v>Model 3 SR+</v>
      </c>
      <c r="O2158" t="str">
        <f>IFERROR(__xludf.DUMMYFUNCTION("""COMPUTED_VALUE"""),"Midnight Silver Metallic")</f>
        <v>Midnight Silver Metallic</v>
      </c>
      <c r="P2158" t="str">
        <f>IFERROR(__xludf.DUMMYFUNCTION("""COMPUTED_VALUE"""),"18 inch Aero")</f>
        <v>18 inch Aero</v>
      </c>
      <c r="Q2158" t="str">
        <f>IFERROR(__xludf.DUMMYFUNCTION("""COMPUTED_VALUE"""),"Black seats")</f>
        <v>Black seats</v>
      </c>
      <c r="R2158" t="str">
        <f>IFERROR(__xludf.DUMMYFUNCTION("""COMPUTED_VALUE"""),"Autopilot")</f>
        <v>Autopilot</v>
      </c>
      <c r="X2158" t="str">
        <f>IFERROR(__xludf.DUMMYFUNCTION("""COMPUTED_VALUE"""),"Good")</f>
        <v>Good</v>
      </c>
      <c r="Y2158" t="str">
        <f>IFERROR(__xludf.DUMMYFUNCTION("""COMPUTED_VALUE"""),"Very Good")</f>
        <v>Very Good</v>
      </c>
      <c r="AA2158" t="str">
        <f>IFERROR(__xludf.DUMMYFUNCTION("""COMPUTED_VALUE"""),"Good")</f>
        <v>Good</v>
      </c>
      <c r="AB2158" t="str">
        <f>IFERROR(__xludf.DUMMYFUNCTION("""COMPUTED_VALUE"""),"Good")</f>
        <v>Good</v>
      </c>
      <c r="AC2158">
        <f>IFERROR(__xludf.DUMMYFUNCTION("""COMPUTED_VALUE"""),2.0)</f>
        <v>2</v>
      </c>
      <c r="AH2158" s="189">
        <f>IFERROR(__xludf.DUMMYFUNCTION("""COMPUTED_VALUE"""),43820.62665618055)</f>
        <v>43820.62666</v>
      </c>
    </row>
    <row r="2159">
      <c r="A2159" t="str">
        <f>IFERROR(__xludf.DUMMYFUNCTION("""COMPUTED_VALUE"""),"Snake")</f>
        <v>Snake</v>
      </c>
      <c r="B2159" t="str">
        <f>IFERROR(__xludf.DUMMYFUNCTION("""COMPUTED_VALUE"""),"Tampa")</f>
        <v>Tampa</v>
      </c>
      <c r="C2159" t="str">
        <f>IFERROR(__xludf.DUMMYFUNCTION("""COMPUTED_VALUE"""),"FL")</f>
        <v>FL</v>
      </c>
      <c r="D2159" t="str">
        <f>IFERROR(__xludf.DUMMYFUNCTION("""COMPUTED_VALUE"""),"USA")</f>
        <v>USA</v>
      </c>
      <c r="E2159" s="188">
        <f>IFERROR(__xludf.DUMMYFUNCTION("""COMPUTED_VALUE"""),43741.0)</f>
        <v>43741</v>
      </c>
      <c r="F2159" s="188">
        <f>IFERROR(__xludf.DUMMYFUNCTION("""COMPUTED_VALUE"""),43801.0)</f>
        <v>43801</v>
      </c>
      <c r="H2159">
        <f>IFERROR(__xludf.DUMMYFUNCTION("""COMPUTED_VALUE"""),603202.0)</f>
        <v>603202</v>
      </c>
      <c r="J2159" s="5">
        <f>IFERROR(__xludf.DUMMYFUNCTION("""COMPUTED_VALUE"""),43820.0)</f>
        <v>43820</v>
      </c>
      <c r="K2159">
        <f>IFERROR(__xludf.DUMMYFUNCTION("""COMPUTED_VALUE"""),60.0)</f>
        <v>60</v>
      </c>
      <c r="L2159">
        <f>IFERROR(__xludf.DUMMYFUNCTION("""COMPUTED_VALUE"""),19.0)</f>
        <v>19</v>
      </c>
      <c r="M2159">
        <f>IFERROR(__xludf.DUMMYFUNCTION("""COMPUTED_VALUE"""),79.0)</f>
        <v>79</v>
      </c>
      <c r="N2159" t="str">
        <f>IFERROR(__xludf.DUMMYFUNCTION("""COMPUTED_VALUE"""),"Model 3 Performance")</f>
        <v>Model 3 Performance</v>
      </c>
      <c r="O2159" t="str">
        <f>IFERROR(__xludf.DUMMYFUNCTION("""COMPUTED_VALUE"""),"Pearl White Multi-Coat")</f>
        <v>Pearl White Multi-Coat</v>
      </c>
      <c r="P2159" t="str">
        <f>IFERROR(__xludf.DUMMYFUNCTION("""COMPUTED_VALUE"""),"20 inch Sport")</f>
        <v>20 inch Sport</v>
      </c>
      <c r="Q2159" t="str">
        <f>IFERROR(__xludf.DUMMYFUNCTION("""COMPUTED_VALUE"""),"Black seats")</f>
        <v>Black seats</v>
      </c>
      <c r="R2159" t="str">
        <f>IFERROR(__xludf.DUMMYFUNCTION("""COMPUTED_VALUE"""),"Full Self-Driving")</f>
        <v>Full Self-Driving</v>
      </c>
      <c r="X2159" t="str">
        <f>IFERROR(__xludf.DUMMYFUNCTION("""COMPUTED_VALUE"""),"Very Good")</f>
        <v>Very Good</v>
      </c>
      <c r="Y2159" t="str">
        <f>IFERROR(__xludf.DUMMYFUNCTION("""COMPUTED_VALUE"""),"Excellent")</f>
        <v>Excellent</v>
      </c>
      <c r="Z2159" t="str">
        <f>IFERROR(__xludf.DUMMYFUNCTION("""COMPUTED_VALUE"""),"Very Good")</f>
        <v>Very Good</v>
      </c>
      <c r="AA2159" t="str">
        <f>IFERROR(__xludf.DUMMYFUNCTION("""COMPUTED_VALUE"""),"Good")</f>
        <v>Good</v>
      </c>
      <c r="AB2159" t="str">
        <f>IFERROR(__xludf.DUMMYFUNCTION("""COMPUTED_VALUE"""),"Excellent")</f>
        <v>Excellent</v>
      </c>
      <c r="AH2159" s="189">
        <f>IFERROR(__xludf.DUMMYFUNCTION("""COMPUTED_VALUE"""),43820.64345658565)</f>
        <v>43820.64346</v>
      </c>
    </row>
    <row r="2160">
      <c r="A2160" t="str">
        <f>IFERROR(__xludf.DUMMYFUNCTION("""COMPUTED_VALUE"""),"imPatientZero")</f>
        <v>imPatientZero</v>
      </c>
      <c r="B2160" t="str">
        <f>IFERROR(__xludf.DUMMYFUNCTION("""COMPUTED_VALUE"""),"Denver")</f>
        <v>Denver</v>
      </c>
      <c r="C2160" t="str">
        <f>IFERROR(__xludf.DUMMYFUNCTION("""COMPUTED_VALUE"""),"CO")</f>
        <v>CO</v>
      </c>
      <c r="D2160" t="str">
        <f>IFERROR(__xludf.DUMMYFUNCTION("""COMPUTED_VALUE"""),"USA")</f>
        <v>USA</v>
      </c>
      <c r="E2160" s="188">
        <f>IFERROR(__xludf.DUMMYFUNCTION("""COMPUTED_VALUE"""),43800.0)</f>
        <v>43800</v>
      </c>
      <c r="F2160" s="188">
        <f>IFERROR(__xludf.DUMMYFUNCTION("""COMPUTED_VALUE"""),43815.0)</f>
        <v>43815</v>
      </c>
      <c r="H2160">
        <f>IFERROR(__xludf.DUMMYFUNCTION("""COMPUTED_VALUE"""),635255.0)</f>
        <v>635255</v>
      </c>
      <c r="J2160" s="5">
        <f>IFERROR(__xludf.DUMMYFUNCTION("""COMPUTED_VALUE"""),43822.0)</f>
        <v>43822</v>
      </c>
      <c r="K2160">
        <f>IFERROR(__xludf.DUMMYFUNCTION("""COMPUTED_VALUE"""),15.0)</f>
        <v>15</v>
      </c>
      <c r="L2160">
        <f>IFERROR(__xludf.DUMMYFUNCTION("""COMPUTED_VALUE"""),7.0)</f>
        <v>7</v>
      </c>
      <c r="M2160">
        <f>IFERROR(__xludf.DUMMYFUNCTION("""COMPUTED_VALUE"""),22.0)</f>
        <v>22</v>
      </c>
      <c r="N2160" t="str">
        <f>IFERROR(__xludf.DUMMYFUNCTION("""COMPUTED_VALUE"""),"Model 3 LR AWD")</f>
        <v>Model 3 LR AWD</v>
      </c>
      <c r="O2160" t="str">
        <f>IFERROR(__xludf.DUMMYFUNCTION("""COMPUTED_VALUE"""),"Midnight Silver Metallic")</f>
        <v>Midnight Silver Metallic</v>
      </c>
      <c r="P2160" t="str">
        <f>IFERROR(__xludf.DUMMYFUNCTION("""COMPUTED_VALUE"""),"18 inch Aero")</f>
        <v>18 inch Aero</v>
      </c>
      <c r="Q2160" t="str">
        <f>IFERROR(__xludf.DUMMYFUNCTION("""COMPUTED_VALUE"""),"Black seats")</f>
        <v>Black seats</v>
      </c>
      <c r="R2160" t="str">
        <f>IFERROR(__xludf.DUMMYFUNCTION("""COMPUTED_VALUE"""),"Full Self-Driving")</f>
        <v>Full Self-Driving</v>
      </c>
      <c r="X2160" t="str">
        <f>IFERROR(__xludf.DUMMYFUNCTION("""COMPUTED_VALUE"""),"Excellent")</f>
        <v>Excellent</v>
      </c>
      <c r="Y2160" t="str">
        <f>IFERROR(__xludf.DUMMYFUNCTION("""COMPUTED_VALUE"""),"Excellent")</f>
        <v>Excellent</v>
      </c>
      <c r="Z2160" t="str">
        <f>IFERROR(__xludf.DUMMYFUNCTION("""COMPUTED_VALUE"""),"Very Good")</f>
        <v>Very Good</v>
      </c>
      <c r="AA2160" t="str">
        <f>IFERROR(__xludf.DUMMYFUNCTION("""COMPUTED_VALUE"""),"Good")</f>
        <v>Good</v>
      </c>
      <c r="AB2160" t="str">
        <f>IFERROR(__xludf.DUMMYFUNCTION("""COMPUTED_VALUE"""),"Very Good")</f>
        <v>Very Good</v>
      </c>
      <c r="AG2160" t="str">
        <f>IFERROR(__xludf.DUMMYFUNCTION("""COMPUTED_VALUE"""),"Got contacted 1 day after VIN in source")</f>
        <v>Got contacted 1 day after VIN in source</v>
      </c>
      <c r="AH2160" s="189">
        <f>IFERROR(__xludf.DUMMYFUNCTION("""COMPUTED_VALUE"""),43820.80976664352)</f>
        <v>43820.80977</v>
      </c>
    </row>
    <row r="2161">
      <c r="A2161" t="str">
        <f>IFERROR(__xludf.DUMMYFUNCTION("""COMPUTED_VALUE"""),"WatcherXP")</f>
        <v>WatcherXP</v>
      </c>
      <c r="B2161" t="str">
        <f>IFERROR(__xludf.DUMMYFUNCTION("""COMPUTED_VALUE"""),"Manteca")</f>
        <v>Manteca</v>
      </c>
      <c r="C2161" t="str">
        <f>IFERROR(__xludf.DUMMYFUNCTION("""COMPUTED_VALUE"""),"CA")</f>
        <v>CA</v>
      </c>
      <c r="D2161" t="str">
        <f>IFERROR(__xludf.DUMMYFUNCTION("""COMPUTED_VALUE"""),"USA")</f>
        <v>USA</v>
      </c>
      <c r="E2161" s="188">
        <f>IFERROR(__xludf.DUMMYFUNCTION("""COMPUTED_VALUE"""),43770.0)</f>
        <v>43770</v>
      </c>
      <c r="F2161" s="188">
        <f>IFERROR(__xludf.DUMMYFUNCTION("""COMPUTED_VALUE"""),43818.0)</f>
        <v>43818</v>
      </c>
      <c r="H2161">
        <f>IFERROR(__xludf.DUMMYFUNCTION("""COMPUTED_VALUE"""),630939.0)</f>
        <v>630939</v>
      </c>
      <c r="J2161" s="5">
        <f>IFERROR(__xludf.DUMMYFUNCTION("""COMPUTED_VALUE"""),43820.0)</f>
        <v>43820</v>
      </c>
      <c r="K2161">
        <f>IFERROR(__xludf.DUMMYFUNCTION("""COMPUTED_VALUE"""),48.0)</f>
        <v>48</v>
      </c>
      <c r="L2161">
        <f>IFERROR(__xludf.DUMMYFUNCTION("""COMPUTED_VALUE"""),2.0)</f>
        <v>2</v>
      </c>
      <c r="M2161">
        <f>IFERROR(__xludf.DUMMYFUNCTION("""COMPUTED_VALUE"""),50.0)</f>
        <v>50</v>
      </c>
      <c r="N2161" t="str">
        <f>IFERROR(__xludf.DUMMYFUNCTION("""COMPUTED_VALUE"""),"Model 3 SR+")</f>
        <v>Model 3 SR+</v>
      </c>
      <c r="O2161" t="str">
        <f>IFERROR(__xludf.DUMMYFUNCTION("""COMPUTED_VALUE"""),"Deep Blue Metallic")</f>
        <v>Deep Blue Metallic</v>
      </c>
      <c r="P2161" t="str">
        <f>IFERROR(__xludf.DUMMYFUNCTION("""COMPUTED_VALUE"""),"18 inch Aero")</f>
        <v>18 inch Aero</v>
      </c>
      <c r="Q2161" t="str">
        <f>IFERROR(__xludf.DUMMYFUNCTION("""COMPUTED_VALUE"""),"Black seats")</f>
        <v>Black seats</v>
      </c>
      <c r="R2161" t="str">
        <f>IFERROR(__xludf.DUMMYFUNCTION("""COMPUTED_VALUE"""),"Autopilot")</f>
        <v>Autopilot</v>
      </c>
      <c r="X2161" t="str">
        <f>IFERROR(__xludf.DUMMYFUNCTION("""COMPUTED_VALUE"""),"Very Good")</f>
        <v>Very Good</v>
      </c>
      <c r="Y2161" t="str">
        <f>IFERROR(__xludf.DUMMYFUNCTION("""COMPUTED_VALUE"""),"Very Good")</f>
        <v>Very Good</v>
      </c>
      <c r="Z2161" t="str">
        <f>IFERROR(__xludf.DUMMYFUNCTION("""COMPUTED_VALUE"""),"Very Good")</f>
        <v>Very Good</v>
      </c>
      <c r="AA2161" t="str">
        <f>IFERROR(__xludf.DUMMYFUNCTION("""COMPUTED_VALUE"""),"Poor")</f>
        <v>Poor</v>
      </c>
      <c r="AB2161" t="str">
        <f>IFERROR(__xludf.DUMMYFUNCTION("""COMPUTED_VALUE"""),"Poor")</f>
        <v>Poor</v>
      </c>
      <c r="AC2161">
        <f>IFERROR(__xludf.DUMMYFUNCTION("""COMPUTED_VALUE"""),1.0)</f>
        <v>1</v>
      </c>
      <c r="AG2161" t="str">
        <f>IFERROR(__xludf.DUMMYFUNCTION("""COMPUTED_VALUE"""),"VIn in source 12/19, on page 12/20, delivery scheduled for 12/21")</f>
        <v>VIn in source 12/19, on page 12/20, delivery scheduled for 12/21</v>
      </c>
      <c r="AH2161" s="189">
        <f>IFERROR(__xludf.DUMMYFUNCTION("""COMPUTED_VALUE"""),43820.90607491898)</f>
        <v>43820.90607</v>
      </c>
    </row>
    <row r="2162">
      <c r="A2162" t="str">
        <f>IFERROR(__xludf.DUMMYFUNCTION("""COMPUTED_VALUE"""),"DCJoe")</f>
        <v>DCJoe</v>
      </c>
      <c r="B2162" t="str">
        <f>IFERROR(__xludf.DUMMYFUNCTION("""COMPUTED_VALUE"""),"Washington")</f>
        <v>Washington</v>
      </c>
      <c r="C2162" t="str">
        <f>IFERROR(__xludf.DUMMYFUNCTION("""COMPUTED_VALUE"""),"DC")</f>
        <v>DC</v>
      </c>
      <c r="D2162" t="str">
        <f>IFERROR(__xludf.DUMMYFUNCTION("""COMPUTED_VALUE"""),"USA")</f>
        <v>USA</v>
      </c>
      <c r="E2162" s="188">
        <f>IFERROR(__xludf.DUMMYFUNCTION("""COMPUTED_VALUE"""),43750.0)</f>
        <v>43750</v>
      </c>
      <c r="F2162" s="188">
        <f>IFERROR(__xludf.DUMMYFUNCTION("""COMPUTED_VALUE"""),43801.0)</f>
        <v>43801</v>
      </c>
      <c r="H2162">
        <f>IFERROR(__xludf.DUMMYFUNCTION("""COMPUTED_VALUE"""),621955.0)</f>
        <v>621955</v>
      </c>
      <c r="J2162" s="5">
        <f>IFERROR(__xludf.DUMMYFUNCTION("""COMPUTED_VALUE"""),43819.0)</f>
        <v>43819</v>
      </c>
      <c r="K2162">
        <f>IFERROR(__xludf.DUMMYFUNCTION("""COMPUTED_VALUE"""),51.0)</f>
        <v>51</v>
      </c>
      <c r="L2162">
        <f>IFERROR(__xludf.DUMMYFUNCTION("""COMPUTED_VALUE"""),18.0)</f>
        <v>18</v>
      </c>
      <c r="M2162">
        <f>IFERROR(__xludf.DUMMYFUNCTION("""COMPUTED_VALUE"""),69.0)</f>
        <v>69</v>
      </c>
      <c r="N2162" t="str">
        <f>IFERROR(__xludf.DUMMYFUNCTION("""COMPUTED_VALUE"""),"Model 3 LR AWD")</f>
        <v>Model 3 LR AWD</v>
      </c>
      <c r="O2162" t="str">
        <f>IFERROR(__xludf.DUMMYFUNCTION("""COMPUTED_VALUE"""),"Deep Blue Metallic")</f>
        <v>Deep Blue Metallic</v>
      </c>
      <c r="P2162" t="str">
        <f>IFERROR(__xludf.DUMMYFUNCTION("""COMPUTED_VALUE"""),"18 inch Aero")</f>
        <v>18 inch Aero</v>
      </c>
      <c r="Q2162" t="str">
        <f>IFERROR(__xludf.DUMMYFUNCTION("""COMPUTED_VALUE"""),"White seats")</f>
        <v>White seats</v>
      </c>
      <c r="R2162" t="str">
        <f>IFERROR(__xludf.DUMMYFUNCTION("""COMPUTED_VALUE"""),"Full Self-Driving")</f>
        <v>Full Self-Driving</v>
      </c>
      <c r="X2162" t="str">
        <f>IFERROR(__xludf.DUMMYFUNCTION("""COMPUTED_VALUE"""),"Excellent")</f>
        <v>Excellent</v>
      </c>
      <c r="Y2162" t="str">
        <f>IFERROR(__xludf.DUMMYFUNCTION("""COMPUTED_VALUE"""),"Excellent")</f>
        <v>Excellent</v>
      </c>
      <c r="Z2162" t="str">
        <f>IFERROR(__xludf.DUMMYFUNCTION("""COMPUTED_VALUE"""),"Excellent")</f>
        <v>Excellent</v>
      </c>
      <c r="AA2162" t="str">
        <f>IFERROR(__xludf.DUMMYFUNCTION("""COMPUTED_VALUE"""),"Excellent")</f>
        <v>Excellent</v>
      </c>
      <c r="AB2162" t="str">
        <f>IFERROR(__xludf.DUMMYFUNCTION("""COMPUTED_VALUE"""),"Excellent")</f>
        <v>Excellent</v>
      </c>
      <c r="AC2162">
        <f>IFERROR(__xludf.DUMMYFUNCTION("""COMPUTED_VALUE"""),0.0)</f>
        <v>0</v>
      </c>
      <c r="AD2162">
        <f>IFERROR(__xludf.DUMMYFUNCTION("""COMPUTED_VALUE"""),0.0)</f>
        <v>0</v>
      </c>
      <c r="AE2162">
        <f>IFERROR(__xludf.DUMMYFUNCTION("""COMPUTED_VALUE"""),0.0)</f>
        <v>0</v>
      </c>
      <c r="AH2162" s="189">
        <f>IFERROR(__xludf.DUMMYFUNCTION("""COMPUTED_VALUE"""),43820.95240596065)</f>
        <v>43820.95241</v>
      </c>
    </row>
    <row r="2163">
      <c r="A2163" t="str">
        <f>IFERROR(__xludf.DUMMYFUNCTION("""COMPUTED_VALUE"""),"KHarg")</f>
        <v>KHarg</v>
      </c>
      <c r="B2163" t="str">
        <f>IFERROR(__xludf.DUMMYFUNCTION("""COMPUTED_VALUE"""),"Fresno")</f>
        <v>Fresno</v>
      </c>
      <c r="C2163" t="str">
        <f>IFERROR(__xludf.DUMMYFUNCTION("""COMPUTED_VALUE"""),"CA")</f>
        <v>CA</v>
      </c>
      <c r="D2163" t="str">
        <f>IFERROR(__xludf.DUMMYFUNCTION("""COMPUTED_VALUE"""),"USA")</f>
        <v>USA</v>
      </c>
      <c r="E2163" s="188">
        <f>IFERROR(__xludf.DUMMYFUNCTION("""COMPUTED_VALUE"""),43753.0)</f>
        <v>43753</v>
      </c>
      <c r="F2163" s="188">
        <f>IFERROR(__xludf.DUMMYFUNCTION("""COMPUTED_VALUE"""),43816.0)</f>
        <v>43816</v>
      </c>
      <c r="H2163">
        <f>IFERROR(__xludf.DUMMYFUNCTION("""COMPUTED_VALUE"""),613735.0)</f>
        <v>613735</v>
      </c>
      <c r="I2163" t="str">
        <f>IFERROR(__xludf.DUMMYFUNCTION("""COMPUTED_VALUE"""),"12/19")</f>
        <v>12/19</v>
      </c>
      <c r="J2163" s="5">
        <f>IFERROR(__xludf.DUMMYFUNCTION("""COMPUTED_VALUE"""),43819.0)</f>
        <v>43819</v>
      </c>
      <c r="K2163">
        <f>IFERROR(__xludf.DUMMYFUNCTION("""COMPUTED_VALUE"""),63.0)</f>
        <v>63</v>
      </c>
      <c r="L2163">
        <f>IFERROR(__xludf.DUMMYFUNCTION("""COMPUTED_VALUE"""),3.0)</f>
        <v>3</v>
      </c>
      <c r="M2163">
        <f>IFERROR(__xludf.DUMMYFUNCTION("""COMPUTED_VALUE"""),66.0)</f>
        <v>66</v>
      </c>
      <c r="N2163" t="str">
        <f>IFERROR(__xludf.DUMMYFUNCTION("""COMPUTED_VALUE"""),"Model 3 SR+")</f>
        <v>Model 3 SR+</v>
      </c>
      <c r="O2163" t="str">
        <f>IFERROR(__xludf.DUMMYFUNCTION("""COMPUTED_VALUE"""),"Pearl White Multi-Coat")</f>
        <v>Pearl White Multi-Coat</v>
      </c>
      <c r="P2163" t="str">
        <f>IFERROR(__xludf.DUMMYFUNCTION("""COMPUTED_VALUE"""),"18 inch Aero")</f>
        <v>18 inch Aero</v>
      </c>
      <c r="Q2163" t="str">
        <f>IFERROR(__xludf.DUMMYFUNCTION("""COMPUTED_VALUE"""),"Black seats")</f>
        <v>Black seats</v>
      </c>
      <c r="R2163" t="str">
        <f>IFERROR(__xludf.DUMMYFUNCTION("""COMPUTED_VALUE"""),"Full Self-Driving")</f>
        <v>Full Self-Driving</v>
      </c>
      <c r="X2163" t="str">
        <f>IFERROR(__xludf.DUMMYFUNCTION("""COMPUTED_VALUE"""),"Excellent")</f>
        <v>Excellent</v>
      </c>
      <c r="Y2163" t="str">
        <f>IFERROR(__xludf.DUMMYFUNCTION("""COMPUTED_VALUE"""),"Excellent")</f>
        <v>Excellent</v>
      </c>
      <c r="Z2163" t="str">
        <f>IFERROR(__xludf.DUMMYFUNCTION("""COMPUTED_VALUE"""),"Excellent")</f>
        <v>Excellent</v>
      </c>
      <c r="AA2163" t="str">
        <f>IFERROR(__xludf.DUMMYFUNCTION("""COMPUTED_VALUE"""),"Poor")</f>
        <v>Poor</v>
      </c>
      <c r="AB2163" t="str">
        <f>IFERROR(__xludf.DUMMYFUNCTION("""COMPUTED_VALUE"""),"Excellent")</f>
        <v>Excellent</v>
      </c>
      <c r="AH2163" s="189">
        <f>IFERROR(__xludf.DUMMYFUNCTION("""COMPUTED_VALUE"""),43821.43840976852)</f>
        <v>43821.43841</v>
      </c>
    </row>
    <row r="2164">
      <c r="A2164" t="str">
        <f>IFERROR(__xludf.DUMMYFUNCTION("""COMPUTED_VALUE"""),"Kenadak")</f>
        <v>Kenadak</v>
      </c>
      <c r="B2164" t="str">
        <f>IFERROR(__xludf.DUMMYFUNCTION("""COMPUTED_VALUE"""),"Atlanta")</f>
        <v>Atlanta</v>
      </c>
      <c r="C2164" t="str">
        <f>IFERROR(__xludf.DUMMYFUNCTION("""COMPUTED_VALUE"""),"GA")</f>
        <v>GA</v>
      </c>
      <c r="D2164" t="str">
        <f>IFERROR(__xludf.DUMMYFUNCTION("""COMPUTED_VALUE"""),"USA")</f>
        <v>USA</v>
      </c>
      <c r="E2164" s="188">
        <f>IFERROR(__xludf.DUMMYFUNCTION("""COMPUTED_VALUE"""),43763.0)</f>
        <v>43763</v>
      </c>
      <c r="F2164" s="188">
        <f>IFERROR(__xludf.DUMMYFUNCTION("""COMPUTED_VALUE"""),43787.0)</f>
        <v>43787</v>
      </c>
      <c r="H2164">
        <f>IFERROR(__xludf.DUMMYFUNCTION("""COMPUTED_VALUE"""),525455.0)</f>
        <v>525455</v>
      </c>
      <c r="I2164" t="str">
        <f>IFERROR(__xludf.DUMMYFUNCTION("""COMPUTED_VALUE"""),"10/19")</f>
        <v>10/19</v>
      </c>
      <c r="J2164" s="5">
        <f>IFERROR(__xludf.DUMMYFUNCTION("""COMPUTED_VALUE"""),43789.0)</f>
        <v>43789</v>
      </c>
      <c r="K2164">
        <f>IFERROR(__xludf.DUMMYFUNCTION("""COMPUTED_VALUE"""),24.0)</f>
        <v>24</v>
      </c>
      <c r="L2164">
        <f>IFERROR(__xludf.DUMMYFUNCTION("""COMPUTED_VALUE"""),2.0)</f>
        <v>2</v>
      </c>
      <c r="M2164">
        <f>IFERROR(__xludf.DUMMYFUNCTION("""COMPUTED_VALUE"""),26.0)</f>
        <v>26</v>
      </c>
      <c r="N2164" t="str">
        <f>IFERROR(__xludf.DUMMYFUNCTION("""COMPUTED_VALUE"""),"Model 3 LR AWD")</f>
        <v>Model 3 LR AWD</v>
      </c>
      <c r="O2164" t="str">
        <f>IFERROR(__xludf.DUMMYFUNCTION("""COMPUTED_VALUE"""),"Pearl White Multi-Coat")</f>
        <v>Pearl White Multi-Coat</v>
      </c>
      <c r="P2164" t="str">
        <f>IFERROR(__xludf.DUMMYFUNCTION("""COMPUTED_VALUE"""),"18 inch Aero")</f>
        <v>18 inch Aero</v>
      </c>
      <c r="Q2164" t="str">
        <f>IFERROR(__xludf.DUMMYFUNCTION("""COMPUTED_VALUE"""),"White seats")</f>
        <v>White seats</v>
      </c>
      <c r="R2164" t="str">
        <f>IFERROR(__xludf.DUMMYFUNCTION("""COMPUTED_VALUE"""),"Full Self-Driving")</f>
        <v>Full Self-Driving</v>
      </c>
      <c r="X2164" t="str">
        <f>IFERROR(__xludf.DUMMYFUNCTION("""COMPUTED_VALUE"""),"Excellent")</f>
        <v>Excellent</v>
      </c>
      <c r="Y2164" t="str">
        <f>IFERROR(__xludf.DUMMYFUNCTION("""COMPUTED_VALUE"""),"Excellent")</f>
        <v>Excellent</v>
      </c>
      <c r="Z2164" t="str">
        <f>IFERROR(__xludf.DUMMYFUNCTION("""COMPUTED_VALUE"""),"Excellent")</f>
        <v>Excellent</v>
      </c>
      <c r="AA2164" t="str">
        <f>IFERROR(__xludf.DUMMYFUNCTION("""COMPUTED_VALUE"""),"Poor")</f>
        <v>Poor</v>
      </c>
      <c r="AB2164" t="str">
        <f>IFERROR(__xludf.DUMMYFUNCTION("""COMPUTED_VALUE"""),"Very Good")</f>
        <v>Very Good</v>
      </c>
      <c r="AC2164">
        <f>IFERROR(__xludf.DUMMYFUNCTION("""COMPUTED_VALUE"""),0.0)</f>
        <v>0</v>
      </c>
      <c r="AD2164">
        <f>IFERROR(__xludf.DUMMYFUNCTION("""COMPUTED_VALUE"""),0.0)</f>
        <v>0</v>
      </c>
      <c r="AE2164">
        <f>IFERROR(__xludf.DUMMYFUNCTION("""COMPUTED_VALUE"""),0.0)</f>
        <v>0</v>
      </c>
      <c r="AH2164" s="189">
        <f>IFERROR(__xludf.DUMMYFUNCTION("""COMPUTED_VALUE"""),43821.47918401621)</f>
        <v>43821.47918</v>
      </c>
    </row>
    <row r="2165">
      <c r="A2165" t="str">
        <f>IFERROR(__xludf.DUMMYFUNCTION("""COMPUTED_VALUE"""),"MobbsThree")</f>
        <v>MobbsThree</v>
      </c>
      <c r="B2165" t="str">
        <f>IFERROR(__xludf.DUMMYFUNCTION("""COMPUTED_VALUE"""),"Bay Area")</f>
        <v>Bay Area</v>
      </c>
      <c r="C2165" t="str">
        <f>IFERROR(__xludf.DUMMYFUNCTION("""COMPUTED_VALUE"""),"CA")</f>
        <v>CA</v>
      </c>
      <c r="D2165" t="str">
        <f>IFERROR(__xludf.DUMMYFUNCTION("""COMPUTED_VALUE"""),"USA")</f>
        <v>USA</v>
      </c>
      <c r="E2165" s="188">
        <f>IFERROR(__xludf.DUMMYFUNCTION("""COMPUTED_VALUE"""),43789.0)</f>
        <v>43789</v>
      </c>
      <c r="F2165" s="188">
        <f>IFERROR(__xludf.DUMMYFUNCTION("""COMPUTED_VALUE"""),43794.0)</f>
        <v>43794</v>
      </c>
      <c r="H2165">
        <f>IFERROR(__xludf.DUMMYFUNCTION("""COMPUTED_VALUE"""),627455.0)</f>
        <v>627455</v>
      </c>
      <c r="J2165" s="5">
        <f>IFERROR(__xludf.DUMMYFUNCTION("""COMPUTED_VALUE"""),43798.0)</f>
        <v>43798</v>
      </c>
      <c r="K2165">
        <f>IFERROR(__xludf.DUMMYFUNCTION("""COMPUTED_VALUE"""),5.0)</f>
        <v>5</v>
      </c>
      <c r="L2165">
        <f>IFERROR(__xludf.DUMMYFUNCTION("""COMPUTED_VALUE"""),4.0)</f>
        <v>4</v>
      </c>
      <c r="M2165">
        <f>IFERROR(__xludf.DUMMYFUNCTION("""COMPUTED_VALUE"""),9.0)</f>
        <v>9</v>
      </c>
      <c r="N2165" t="str">
        <f>IFERROR(__xludf.DUMMYFUNCTION("""COMPUTED_VALUE"""),"Model 3 Performance")</f>
        <v>Model 3 Performance</v>
      </c>
      <c r="O2165" t="str">
        <f>IFERROR(__xludf.DUMMYFUNCTION("""COMPUTED_VALUE"""),"Pearl White Multi-Coat")</f>
        <v>Pearl White Multi-Coat</v>
      </c>
      <c r="P2165" t="str">
        <f>IFERROR(__xludf.DUMMYFUNCTION("""COMPUTED_VALUE"""),"19 inch Sport")</f>
        <v>19 inch Sport</v>
      </c>
      <c r="Q2165" t="str">
        <f>IFERROR(__xludf.DUMMYFUNCTION("""COMPUTED_VALUE"""),"Black seats")</f>
        <v>Black seats</v>
      </c>
      <c r="R2165" t="str">
        <f>IFERROR(__xludf.DUMMYFUNCTION("""COMPUTED_VALUE"""),"Full Self-Driving")</f>
        <v>Full Self-Driving</v>
      </c>
      <c r="X2165" t="str">
        <f>IFERROR(__xludf.DUMMYFUNCTION("""COMPUTED_VALUE"""),"Excellent")</f>
        <v>Excellent</v>
      </c>
      <c r="Y2165" t="str">
        <f>IFERROR(__xludf.DUMMYFUNCTION("""COMPUTED_VALUE"""),"Excellent")</f>
        <v>Excellent</v>
      </c>
      <c r="Z2165" t="str">
        <f>IFERROR(__xludf.DUMMYFUNCTION("""COMPUTED_VALUE"""),"Excellent")</f>
        <v>Excellent</v>
      </c>
      <c r="AA2165" t="str">
        <f>IFERROR(__xludf.DUMMYFUNCTION("""COMPUTED_VALUE"""),"Very Good")</f>
        <v>Very Good</v>
      </c>
      <c r="AB2165" t="str">
        <f>IFERROR(__xludf.DUMMYFUNCTION("""COMPUTED_VALUE"""),"Excellent")</f>
        <v>Excellent</v>
      </c>
      <c r="AC2165">
        <f>IFERROR(__xludf.DUMMYFUNCTION("""COMPUTED_VALUE"""),0.0)</f>
        <v>0</v>
      </c>
      <c r="AD2165">
        <f>IFERROR(__xludf.DUMMYFUNCTION("""COMPUTED_VALUE"""),1.0)</f>
        <v>1</v>
      </c>
      <c r="AE2165">
        <f>IFERROR(__xludf.DUMMYFUNCTION("""COMPUTED_VALUE"""),0.0)</f>
        <v>0</v>
      </c>
      <c r="AG2165" t="str">
        <f>IFERROR(__xludf.DUMMYFUNCTION("""COMPUTED_VALUE"""),"Easy delivery on 11/29. Flat tire repair at service center on 12/12 was a quick in and out. ")</f>
        <v>Easy delivery on 11/29. Flat tire repair at service center on 12/12 was a quick in and out. </v>
      </c>
      <c r="AH2165" s="189">
        <f>IFERROR(__xludf.DUMMYFUNCTION("""COMPUTED_VALUE"""),43821.68104966435)</f>
        <v>43821.68105</v>
      </c>
    </row>
    <row r="2166">
      <c r="A2166" t="str">
        <f>IFERROR(__xludf.DUMMYFUNCTION("""COMPUTED_VALUE"""),"Terwyn82")</f>
        <v>Terwyn82</v>
      </c>
      <c r="B2166" t="str">
        <f>IFERROR(__xludf.DUMMYFUNCTION("""COMPUTED_VALUE"""),"Los Angeles")</f>
        <v>Los Angeles</v>
      </c>
      <c r="C2166" t="str">
        <f>IFERROR(__xludf.DUMMYFUNCTION("""COMPUTED_VALUE"""),"CA")</f>
        <v>CA</v>
      </c>
      <c r="D2166" t="str">
        <f>IFERROR(__xludf.DUMMYFUNCTION("""COMPUTED_VALUE"""),"USA")</f>
        <v>USA</v>
      </c>
      <c r="E2166" s="188">
        <f>IFERROR(__xludf.DUMMYFUNCTION("""COMPUTED_VALUE"""),43765.0)</f>
        <v>43765</v>
      </c>
      <c r="F2166" s="188">
        <f>IFERROR(__xludf.DUMMYFUNCTION("""COMPUTED_VALUE"""),43802.0)</f>
        <v>43802</v>
      </c>
      <c r="H2166">
        <f>IFERROR(__xludf.DUMMYFUNCTION("""COMPUTED_VALUE"""),602655.0)</f>
        <v>602655</v>
      </c>
      <c r="I2166" t="str">
        <f>IFERROR(__xludf.DUMMYFUNCTION("""COMPUTED_VALUE"""),"12/19")</f>
        <v>12/19</v>
      </c>
      <c r="J2166" s="5">
        <f>IFERROR(__xludf.DUMMYFUNCTION("""COMPUTED_VALUE"""),43813.0)</f>
        <v>43813</v>
      </c>
      <c r="K2166">
        <f>IFERROR(__xludf.DUMMYFUNCTION("""COMPUTED_VALUE"""),37.0)</f>
        <v>37</v>
      </c>
      <c r="L2166">
        <f>IFERROR(__xludf.DUMMYFUNCTION("""COMPUTED_VALUE"""),11.0)</f>
        <v>11</v>
      </c>
      <c r="M2166">
        <f>IFERROR(__xludf.DUMMYFUNCTION("""COMPUTED_VALUE"""),48.0)</f>
        <v>48</v>
      </c>
      <c r="N2166" t="str">
        <f>IFERROR(__xludf.DUMMYFUNCTION("""COMPUTED_VALUE"""),"Model 3 Performance")</f>
        <v>Model 3 Performance</v>
      </c>
      <c r="O2166" t="str">
        <f>IFERROR(__xludf.DUMMYFUNCTION("""COMPUTED_VALUE"""),"Pearl White Multi-Coat")</f>
        <v>Pearl White Multi-Coat</v>
      </c>
      <c r="P2166" t="str">
        <f>IFERROR(__xludf.DUMMYFUNCTION("""COMPUTED_VALUE"""),"18 inch Aero")</f>
        <v>18 inch Aero</v>
      </c>
      <c r="Q2166" t="str">
        <f>IFERROR(__xludf.DUMMYFUNCTION("""COMPUTED_VALUE"""),"Black seats")</f>
        <v>Black seats</v>
      </c>
      <c r="R2166" t="str">
        <f>IFERROR(__xludf.DUMMYFUNCTION("""COMPUTED_VALUE"""),"Full Self-Driving")</f>
        <v>Full Self-Driving</v>
      </c>
      <c r="X2166" t="str">
        <f>IFERROR(__xludf.DUMMYFUNCTION("""COMPUTED_VALUE"""),"Excellent")</f>
        <v>Excellent</v>
      </c>
      <c r="Y2166" t="str">
        <f>IFERROR(__xludf.DUMMYFUNCTION("""COMPUTED_VALUE"""),"Excellent")</f>
        <v>Excellent</v>
      </c>
      <c r="Z2166" t="str">
        <f>IFERROR(__xludf.DUMMYFUNCTION("""COMPUTED_VALUE"""),"Very Good")</f>
        <v>Very Good</v>
      </c>
      <c r="AA2166" t="str">
        <f>IFERROR(__xludf.DUMMYFUNCTION("""COMPUTED_VALUE"""),"Very Good")</f>
        <v>Very Good</v>
      </c>
      <c r="AB2166" t="str">
        <f>IFERROR(__xludf.DUMMYFUNCTION("""COMPUTED_VALUE"""),"Excellent")</f>
        <v>Excellent</v>
      </c>
      <c r="AC2166">
        <f>IFERROR(__xludf.DUMMYFUNCTION("""COMPUTED_VALUE"""),1.0)</f>
        <v>1</v>
      </c>
      <c r="AH2166" s="189">
        <f>IFERROR(__xludf.DUMMYFUNCTION("""COMPUTED_VALUE"""),43821.74676978009)</f>
        <v>43821.74677</v>
      </c>
    </row>
    <row r="2167">
      <c r="A2167" t="str">
        <f>IFERROR(__xludf.DUMMYFUNCTION("""COMPUTED_VALUE"""),"dillpickle")</f>
        <v>dillpickle</v>
      </c>
      <c r="B2167" t="str">
        <f>IFERROR(__xludf.DUMMYFUNCTION("""COMPUTED_VALUE"""),"San Diego")</f>
        <v>San Diego</v>
      </c>
      <c r="C2167" t="str">
        <f>IFERROR(__xludf.DUMMYFUNCTION("""COMPUTED_VALUE"""),"CA")</f>
        <v>CA</v>
      </c>
      <c r="D2167" t="str">
        <f>IFERROR(__xludf.DUMMYFUNCTION("""COMPUTED_VALUE"""),"USA")</f>
        <v>USA</v>
      </c>
      <c r="E2167" s="188">
        <f>IFERROR(__xludf.DUMMYFUNCTION("""COMPUTED_VALUE"""),43756.0)</f>
        <v>43756</v>
      </c>
      <c r="F2167" s="188">
        <f>IFERROR(__xludf.DUMMYFUNCTION("""COMPUTED_VALUE"""),43817.0)</f>
        <v>43817</v>
      </c>
      <c r="H2167">
        <f>IFERROR(__xludf.DUMMYFUNCTION("""COMPUTED_VALUE"""),619755.0)</f>
        <v>619755</v>
      </c>
      <c r="I2167" t="str">
        <f>IFERROR(__xludf.DUMMYFUNCTION("""COMPUTED_VALUE"""),"12/19")</f>
        <v>12/19</v>
      </c>
      <c r="J2167" s="5">
        <f>IFERROR(__xludf.DUMMYFUNCTION("""COMPUTED_VALUE"""),43820.0)</f>
        <v>43820</v>
      </c>
      <c r="K2167">
        <f>IFERROR(__xludf.DUMMYFUNCTION("""COMPUTED_VALUE"""),61.0)</f>
        <v>61</v>
      </c>
      <c r="L2167">
        <f>IFERROR(__xludf.DUMMYFUNCTION("""COMPUTED_VALUE"""),3.0)</f>
        <v>3</v>
      </c>
      <c r="M2167">
        <f>IFERROR(__xludf.DUMMYFUNCTION("""COMPUTED_VALUE"""),64.0)</f>
        <v>64</v>
      </c>
      <c r="N2167" t="str">
        <f>IFERROR(__xludf.DUMMYFUNCTION("""COMPUTED_VALUE"""),"Model 3 LR AWD")</f>
        <v>Model 3 LR AWD</v>
      </c>
      <c r="O2167" t="str">
        <f>IFERROR(__xludf.DUMMYFUNCTION("""COMPUTED_VALUE"""),"Pearl White Multi-Coat")</f>
        <v>Pearl White Multi-Coat</v>
      </c>
      <c r="P2167" t="str">
        <f>IFERROR(__xludf.DUMMYFUNCTION("""COMPUTED_VALUE"""),"18 inch Aero")</f>
        <v>18 inch Aero</v>
      </c>
      <c r="Q2167" t="str">
        <f>IFERROR(__xludf.DUMMYFUNCTION("""COMPUTED_VALUE"""),"Black seats")</f>
        <v>Black seats</v>
      </c>
      <c r="R2167" t="str">
        <f>IFERROR(__xludf.DUMMYFUNCTION("""COMPUTED_VALUE"""),"Autopilot")</f>
        <v>Autopilot</v>
      </c>
      <c r="X2167" t="str">
        <f>IFERROR(__xludf.DUMMYFUNCTION("""COMPUTED_VALUE"""),"Very Good")</f>
        <v>Very Good</v>
      </c>
      <c r="Y2167" t="str">
        <f>IFERROR(__xludf.DUMMYFUNCTION("""COMPUTED_VALUE"""),"Very Good")</f>
        <v>Very Good</v>
      </c>
      <c r="Z2167" t="str">
        <f>IFERROR(__xludf.DUMMYFUNCTION("""COMPUTED_VALUE"""),"Fair")</f>
        <v>Fair</v>
      </c>
      <c r="AA2167" t="str">
        <f>IFERROR(__xludf.DUMMYFUNCTION("""COMPUTED_VALUE"""),"Excellent")</f>
        <v>Excellent</v>
      </c>
      <c r="AB2167" t="str">
        <f>IFERROR(__xludf.DUMMYFUNCTION("""COMPUTED_VALUE"""),"Excellent")</f>
        <v>Excellent</v>
      </c>
      <c r="AC2167">
        <f>IFERROR(__xludf.DUMMYFUNCTION("""COMPUTED_VALUE"""),1.0)</f>
        <v>1</v>
      </c>
      <c r="AD2167">
        <f>IFERROR(__xludf.DUMMYFUNCTION("""COMPUTED_VALUE"""),1.0)</f>
        <v>1</v>
      </c>
      <c r="AH2167" s="189">
        <f>IFERROR(__xludf.DUMMYFUNCTION("""COMPUTED_VALUE"""),43821.894165694444)</f>
        <v>43821.89417</v>
      </c>
    </row>
    <row r="2168">
      <c r="A2168" t="str">
        <f>IFERROR(__xludf.DUMMYFUNCTION("""COMPUTED_VALUE"""),"zachabney")</f>
        <v>zachabney</v>
      </c>
      <c r="B2168" t="str">
        <f>IFERROR(__xludf.DUMMYFUNCTION("""COMPUTED_VALUE"""),"Richardson")</f>
        <v>Richardson</v>
      </c>
      <c r="C2168" t="str">
        <f>IFERROR(__xludf.DUMMYFUNCTION("""COMPUTED_VALUE"""),"TX")</f>
        <v>TX</v>
      </c>
      <c r="D2168" t="str">
        <f>IFERROR(__xludf.DUMMYFUNCTION("""COMPUTED_VALUE"""),"USA")</f>
        <v>USA</v>
      </c>
      <c r="E2168" s="188">
        <f>IFERROR(__xludf.DUMMYFUNCTION("""COMPUTED_VALUE"""),43769.0)</f>
        <v>43769</v>
      </c>
      <c r="F2168" s="188">
        <f>IFERROR(__xludf.DUMMYFUNCTION("""COMPUTED_VALUE"""),43805.0)</f>
        <v>43805</v>
      </c>
      <c r="H2168" s="4">
        <f>IFERROR(__xludf.DUMMYFUNCTION("""COMPUTED_VALUE"""),601172.0)</f>
        <v>601172</v>
      </c>
      <c r="J2168" s="5">
        <f>IFERROR(__xludf.DUMMYFUNCTION("""COMPUTED_VALUE"""),43821.0)</f>
        <v>43821</v>
      </c>
      <c r="K2168">
        <f>IFERROR(__xludf.DUMMYFUNCTION("""COMPUTED_VALUE"""),36.0)</f>
        <v>36</v>
      </c>
      <c r="L2168">
        <f>IFERROR(__xludf.DUMMYFUNCTION("""COMPUTED_VALUE"""),16.0)</f>
        <v>16</v>
      </c>
      <c r="M2168">
        <f>IFERROR(__xludf.DUMMYFUNCTION("""COMPUTED_VALUE"""),52.0)</f>
        <v>52</v>
      </c>
      <c r="N2168" t="str">
        <f>IFERROR(__xludf.DUMMYFUNCTION("""COMPUTED_VALUE"""),"Model 3 LR AWD")</f>
        <v>Model 3 LR AWD</v>
      </c>
      <c r="O2168" t="str">
        <f>IFERROR(__xludf.DUMMYFUNCTION("""COMPUTED_VALUE"""),"Deep Blue Metallic")</f>
        <v>Deep Blue Metallic</v>
      </c>
      <c r="P2168" t="str">
        <f>IFERROR(__xludf.DUMMYFUNCTION("""COMPUTED_VALUE"""),"19 inch Sport")</f>
        <v>19 inch Sport</v>
      </c>
      <c r="Q2168" t="str">
        <f>IFERROR(__xludf.DUMMYFUNCTION("""COMPUTED_VALUE"""),"White seats")</f>
        <v>White seats</v>
      </c>
      <c r="R2168" t="str">
        <f>IFERROR(__xludf.DUMMYFUNCTION("""COMPUTED_VALUE"""),"Full Self-Driving")</f>
        <v>Full Self-Driving</v>
      </c>
      <c r="X2168" t="str">
        <f>IFERROR(__xludf.DUMMYFUNCTION("""COMPUTED_VALUE"""),"Excellent")</f>
        <v>Excellent</v>
      </c>
      <c r="Y2168" t="str">
        <f>IFERROR(__xludf.DUMMYFUNCTION("""COMPUTED_VALUE"""),"Excellent")</f>
        <v>Excellent</v>
      </c>
      <c r="Z2168" t="str">
        <f>IFERROR(__xludf.DUMMYFUNCTION("""COMPUTED_VALUE"""),"Excellent")</f>
        <v>Excellent</v>
      </c>
      <c r="AA2168" t="str">
        <f>IFERROR(__xludf.DUMMYFUNCTION("""COMPUTED_VALUE"""),"Fair")</f>
        <v>Fair</v>
      </c>
      <c r="AB2168" t="str">
        <f>IFERROR(__xludf.DUMMYFUNCTION("""COMPUTED_VALUE"""),"Good")</f>
        <v>Good</v>
      </c>
      <c r="AG2168" t="str">
        <f>IFERROR(__xludf.DUMMYFUNCTION("""COMPUTED_VALUE"""),"vin in source code 12/6. ")</f>
        <v>vin in source code 12/6. </v>
      </c>
      <c r="AH2168" s="189">
        <f>IFERROR(__xludf.DUMMYFUNCTION("""COMPUTED_VALUE"""),43821.92075931713)</f>
        <v>43821.92076</v>
      </c>
    </row>
    <row r="2169">
      <c r="A2169" t="str">
        <f>IFERROR(__xludf.DUMMYFUNCTION("""COMPUTED_VALUE"""),"payce")</f>
        <v>payce</v>
      </c>
      <c r="B2169" t="str">
        <f>IFERROR(__xludf.DUMMYFUNCTION("""COMPUTED_VALUE"""),"Montreal")</f>
        <v>Montreal</v>
      </c>
      <c r="C2169" t="str">
        <f>IFERROR(__xludf.DUMMYFUNCTION("""COMPUTED_VALUE"""),"QC")</f>
        <v>QC</v>
      </c>
      <c r="D2169" t="str">
        <f>IFERROR(__xludf.DUMMYFUNCTION("""COMPUTED_VALUE"""),"Canada")</f>
        <v>Canada</v>
      </c>
      <c r="E2169" s="188">
        <f>IFERROR(__xludf.DUMMYFUNCTION("""COMPUTED_VALUE"""),43738.0)</f>
        <v>43738</v>
      </c>
      <c r="F2169" s="188">
        <f>IFERROR(__xludf.DUMMYFUNCTION("""COMPUTED_VALUE"""),43781.0)</f>
        <v>43781</v>
      </c>
      <c r="H2169">
        <f>IFERROR(__xludf.DUMMYFUNCTION("""COMPUTED_VALUE"""),603907.0)</f>
        <v>603907</v>
      </c>
      <c r="J2169" s="5">
        <f>IFERROR(__xludf.DUMMYFUNCTION("""COMPUTED_VALUE"""),43799.0)</f>
        <v>43799</v>
      </c>
      <c r="K2169">
        <f>IFERROR(__xludf.DUMMYFUNCTION("""COMPUTED_VALUE"""),43.0)</f>
        <v>43</v>
      </c>
      <c r="L2169">
        <f>IFERROR(__xludf.DUMMYFUNCTION("""COMPUTED_VALUE"""),18.0)</f>
        <v>18</v>
      </c>
      <c r="M2169">
        <f>IFERROR(__xludf.DUMMYFUNCTION("""COMPUTED_VALUE"""),61.0)</f>
        <v>61</v>
      </c>
      <c r="N2169" t="str">
        <f>IFERROR(__xludf.DUMMYFUNCTION("""COMPUTED_VALUE"""),"Model 3 SR+")</f>
        <v>Model 3 SR+</v>
      </c>
      <c r="O2169" t="str">
        <f>IFERROR(__xludf.DUMMYFUNCTION("""COMPUTED_VALUE"""),"Solid Black")</f>
        <v>Solid Black</v>
      </c>
      <c r="P2169" t="str">
        <f>IFERROR(__xludf.DUMMYFUNCTION("""COMPUTED_VALUE"""),"19 inch Sport")</f>
        <v>19 inch Sport</v>
      </c>
      <c r="Q2169" t="str">
        <f>IFERROR(__xludf.DUMMYFUNCTION("""COMPUTED_VALUE"""),"Black seats")</f>
        <v>Black seats</v>
      </c>
      <c r="R2169" t="str">
        <f>IFERROR(__xludf.DUMMYFUNCTION("""COMPUTED_VALUE"""),"Autopilot")</f>
        <v>Autopilot</v>
      </c>
      <c r="X2169" t="str">
        <f>IFERROR(__xludf.DUMMYFUNCTION("""COMPUTED_VALUE"""),"Poor")</f>
        <v>Poor</v>
      </c>
      <c r="Y2169" t="str">
        <f>IFERROR(__xludf.DUMMYFUNCTION("""COMPUTED_VALUE"""),"Good")</f>
        <v>Good</v>
      </c>
      <c r="Z2169" t="str">
        <f>IFERROR(__xludf.DUMMYFUNCTION("""COMPUTED_VALUE"""),"Good")</f>
        <v>Good</v>
      </c>
      <c r="AA2169" t="str">
        <f>IFERROR(__xludf.DUMMYFUNCTION("""COMPUTED_VALUE"""),"Poor")</f>
        <v>Poor</v>
      </c>
      <c r="AB2169" t="str">
        <f>IFERROR(__xludf.DUMMYFUNCTION("""COMPUTED_VALUE"""),"Very Good")</f>
        <v>Very Good</v>
      </c>
      <c r="AC2169">
        <f>IFERROR(__xludf.DUMMYFUNCTION("""COMPUTED_VALUE"""),4.0)</f>
        <v>4</v>
      </c>
      <c r="AD2169">
        <f>IFERROR(__xludf.DUMMYFUNCTION("""COMPUTED_VALUE"""),2.0)</f>
        <v>2</v>
      </c>
      <c r="AE2169">
        <f>IFERROR(__xludf.DUMMYFUNCTION("""COMPUTED_VALUE"""),2.0)</f>
        <v>2</v>
      </c>
      <c r="AH2169" s="189">
        <f>IFERROR(__xludf.DUMMYFUNCTION("""COMPUTED_VALUE"""),43822.19258700231)</f>
        <v>43822.19259</v>
      </c>
    </row>
    <row r="2170">
      <c r="A2170" t="str">
        <f>IFERROR(__xludf.DUMMYFUNCTION("""COMPUTED_VALUE"""),"duedter")</f>
        <v>duedter</v>
      </c>
      <c r="B2170" t="str">
        <f>IFERROR(__xludf.DUMMYFUNCTION("""COMPUTED_VALUE"""),"Tempe")</f>
        <v>Tempe</v>
      </c>
      <c r="C2170" t="str">
        <f>IFERROR(__xludf.DUMMYFUNCTION("""COMPUTED_VALUE"""),"AZ")</f>
        <v>AZ</v>
      </c>
      <c r="D2170" t="str">
        <f>IFERROR(__xludf.DUMMYFUNCTION("""COMPUTED_VALUE"""),"USA")</f>
        <v>USA</v>
      </c>
      <c r="E2170" s="188">
        <f>IFERROR(__xludf.DUMMYFUNCTION("""COMPUTED_VALUE"""),43793.0)</f>
        <v>43793</v>
      </c>
      <c r="F2170" s="188">
        <f>IFERROR(__xludf.DUMMYFUNCTION("""COMPUTED_VALUE"""),43814.0)</f>
        <v>43814</v>
      </c>
      <c r="H2170">
        <f>IFERROR(__xludf.DUMMYFUNCTION("""COMPUTED_VALUE"""),616855.0)</f>
        <v>616855</v>
      </c>
      <c r="J2170" s="5">
        <f>IFERROR(__xludf.DUMMYFUNCTION("""COMPUTED_VALUE"""),43817.0)</f>
        <v>43817</v>
      </c>
      <c r="K2170">
        <f>IFERROR(__xludf.DUMMYFUNCTION("""COMPUTED_VALUE"""),21.0)</f>
        <v>21</v>
      </c>
      <c r="L2170">
        <f>IFERROR(__xludf.DUMMYFUNCTION("""COMPUTED_VALUE"""),3.0)</f>
        <v>3</v>
      </c>
      <c r="M2170">
        <f>IFERROR(__xludf.DUMMYFUNCTION("""COMPUTED_VALUE"""),24.0)</f>
        <v>24</v>
      </c>
      <c r="N2170" t="str">
        <f>IFERROR(__xludf.DUMMYFUNCTION("""COMPUTED_VALUE"""),"Model 3 LR AWD")</f>
        <v>Model 3 LR AWD</v>
      </c>
      <c r="O2170" t="str">
        <f>IFERROR(__xludf.DUMMYFUNCTION("""COMPUTED_VALUE"""),"Midnight Silver Metallic")</f>
        <v>Midnight Silver Metallic</v>
      </c>
      <c r="P2170" t="str">
        <f>IFERROR(__xludf.DUMMYFUNCTION("""COMPUTED_VALUE"""),"18 inch Aero")</f>
        <v>18 inch Aero</v>
      </c>
      <c r="Q2170" t="str">
        <f>IFERROR(__xludf.DUMMYFUNCTION("""COMPUTED_VALUE"""),"Black seats")</f>
        <v>Black seats</v>
      </c>
      <c r="R2170" t="str">
        <f>IFERROR(__xludf.DUMMYFUNCTION("""COMPUTED_VALUE"""),"Full Self-Driving")</f>
        <v>Full Self-Driving</v>
      </c>
      <c r="X2170" t="str">
        <f>IFERROR(__xludf.DUMMYFUNCTION("""COMPUTED_VALUE"""),"Good")</f>
        <v>Good</v>
      </c>
      <c r="Y2170" t="str">
        <f>IFERROR(__xludf.DUMMYFUNCTION("""COMPUTED_VALUE"""),"Very Good")</f>
        <v>Very Good</v>
      </c>
      <c r="Z2170" t="str">
        <f>IFERROR(__xludf.DUMMYFUNCTION("""COMPUTED_VALUE"""),"Fair")</f>
        <v>Fair</v>
      </c>
      <c r="AA2170" t="str">
        <f>IFERROR(__xludf.DUMMYFUNCTION("""COMPUTED_VALUE"""),"Fair")</f>
        <v>Fair</v>
      </c>
      <c r="AB2170" t="str">
        <f>IFERROR(__xludf.DUMMYFUNCTION("""COMPUTED_VALUE"""),"Excellent")</f>
        <v>Excellent</v>
      </c>
      <c r="AH2170" s="189">
        <f>IFERROR(__xludf.DUMMYFUNCTION("""COMPUTED_VALUE"""),43822.271846574076)</f>
        <v>43822.27185</v>
      </c>
    </row>
    <row r="2171">
      <c r="A2171" t="str">
        <f>IFERROR(__xludf.DUMMYFUNCTION("""COMPUTED_VALUE"""),"kinger")</f>
        <v>kinger</v>
      </c>
      <c r="B2171" t="str">
        <f>IFERROR(__xludf.DUMMYFUNCTION("""COMPUTED_VALUE"""),"Raleigh ")</f>
        <v>Raleigh </v>
      </c>
      <c r="C2171" t="str">
        <f>IFERROR(__xludf.DUMMYFUNCTION("""COMPUTED_VALUE"""),"NC")</f>
        <v>NC</v>
      </c>
      <c r="D2171" t="str">
        <f>IFERROR(__xludf.DUMMYFUNCTION("""COMPUTED_VALUE"""),"USA")</f>
        <v>USA</v>
      </c>
      <c r="E2171" s="188">
        <f>IFERROR(__xludf.DUMMYFUNCTION("""COMPUTED_VALUE"""),43802.0)</f>
        <v>43802</v>
      </c>
      <c r="F2171" s="188">
        <f>IFERROR(__xludf.DUMMYFUNCTION("""COMPUTED_VALUE"""),42736.0)</f>
        <v>42736</v>
      </c>
      <c r="H2171">
        <f>IFERROR(__xludf.DUMMYFUNCTION("""COMPUTED_VALUE"""),611955.0)</f>
        <v>611955</v>
      </c>
      <c r="J2171" s="5">
        <f>IFERROR(__xludf.DUMMYFUNCTION("""COMPUTED_VALUE"""),43820.0)</f>
        <v>43820</v>
      </c>
      <c r="M2171">
        <f>IFERROR(__xludf.DUMMYFUNCTION("""COMPUTED_VALUE"""),18.0)</f>
        <v>18</v>
      </c>
      <c r="N2171" t="str">
        <f>IFERROR(__xludf.DUMMYFUNCTION("""COMPUTED_VALUE"""),"Model 3 SR+")</f>
        <v>Model 3 SR+</v>
      </c>
      <c r="O2171" t="str">
        <f>IFERROR(__xludf.DUMMYFUNCTION("""COMPUTED_VALUE"""),"Deep Blue Metallic")</f>
        <v>Deep Blue Metallic</v>
      </c>
      <c r="P2171" t="str">
        <f>IFERROR(__xludf.DUMMYFUNCTION("""COMPUTED_VALUE"""),"18 inch Aero")</f>
        <v>18 inch Aero</v>
      </c>
      <c r="Q2171" t="str">
        <f>IFERROR(__xludf.DUMMYFUNCTION("""COMPUTED_VALUE"""),"Black seats")</f>
        <v>Black seats</v>
      </c>
      <c r="R2171" t="str">
        <f>IFERROR(__xludf.DUMMYFUNCTION("""COMPUTED_VALUE"""),"Autopilot")</f>
        <v>Autopilot</v>
      </c>
      <c r="X2171" t="str">
        <f>IFERROR(__xludf.DUMMYFUNCTION("""COMPUTED_VALUE"""),"Excellent")</f>
        <v>Excellent</v>
      </c>
      <c r="Y2171" t="str">
        <f>IFERROR(__xludf.DUMMYFUNCTION("""COMPUTED_VALUE"""),"Excellent")</f>
        <v>Excellent</v>
      </c>
      <c r="Z2171" t="str">
        <f>IFERROR(__xludf.DUMMYFUNCTION("""COMPUTED_VALUE"""),"Excellent")</f>
        <v>Excellent</v>
      </c>
      <c r="AA2171" t="str">
        <f>IFERROR(__xludf.DUMMYFUNCTION("""COMPUTED_VALUE"""),"Poor")</f>
        <v>Poor</v>
      </c>
      <c r="AB2171" t="str">
        <f>IFERROR(__xludf.DUMMYFUNCTION("""COMPUTED_VALUE"""),"Very Good")</f>
        <v>Very Good</v>
      </c>
      <c r="AG2171" t="str">
        <f>IFERROR(__xludf.DUMMYFUNCTION("""COMPUTED_VALUE"""),"Was provided VIN on 12/7 but later taken away due to corporate transport limits of 250 miles")</f>
        <v>Was provided VIN on 12/7 but later taken away due to corporate transport limits of 250 miles</v>
      </c>
      <c r="AH2171" s="189">
        <f>IFERROR(__xludf.DUMMYFUNCTION("""COMPUTED_VALUE"""),43822.29431024306)</f>
        <v>43822.29431</v>
      </c>
    </row>
    <row r="2172">
      <c r="A2172" t="str">
        <f>IFERROR(__xludf.DUMMYFUNCTION("""COMPUTED_VALUE"""),"MadisonTeslaFan")</f>
        <v>MadisonTeslaFan</v>
      </c>
      <c r="B2172" t="str">
        <f>IFERROR(__xludf.DUMMYFUNCTION("""COMPUTED_VALUE"""),"Madison")</f>
        <v>Madison</v>
      </c>
      <c r="C2172" t="str">
        <f>IFERROR(__xludf.DUMMYFUNCTION("""COMPUTED_VALUE"""),"WI")</f>
        <v>WI</v>
      </c>
      <c r="D2172" t="str">
        <f>IFERROR(__xludf.DUMMYFUNCTION("""COMPUTED_VALUE"""),"USA")</f>
        <v>USA</v>
      </c>
      <c r="E2172" s="188">
        <f>IFERROR(__xludf.DUMMYFUNCTION("""COMPUTED_VALUE"""),43795.0)</f>
        <v>43795</v>
      </c>
      <c r="F2172" s="188">
        <f>IFERROR(__xludf.DUMMYFUNCTION("""COMPUTED_VALUE"""),43803.0)</f>
        <v>43803</v>
      </c>
      <c r="H2172">
        <f>IFERROR(__xludf.DUMMYFUNCTION("""COMPUTED_VALUE"""),616723.0)</f>
        <v>616723</v>
      </c>
      <c r="J2172" s="5">
        <f>IFERROR(__xludf.DUMMYFUNCTION("""COMPUTED_VALUE"""),43819.0)</f>
        <v>43819</v>
      </c>
      <c r="K2172">
        <f>IFERROR(__xludf.DUMMYFUNCTION("""COMPUTED_VALUE"""),8.0)</f>
        <v>8</v>
      </c>
      <c r="L2172">
        <f>IFERROR(__xludf.DUMMYFUNCTION("""COMPUTED_VALUE"""),16.0)</f>
        <v>16</v>
      </c>
      <c r="M2172">
        <f>IFERROR(__xludf.DUMMYFUNCTION("""COMPUTED_VALUE"""),24.0)</f>
        <v>24</v>
      </c>
      <c r="N2172" t="str">
        <f>IFERROR(__xludf.DUMMYFUNCTION("""COMPUTED_VALUE"""),"Model 3 LR AWD")</f>
        <v>Model 3 LR AWD</v>
      </c>
      <c r="O2172" t="str">
        <f>IFERROR(__xludf.DUMMYFUNCTION("""COMPUTED_VALUE"""),"Midnight Silver Metallic")</f>
        <v>Midnight Silver Metallic</v>
      </c>
      <c r="P2172" t="str">
        <f>IFERROR(__xludf.DUMMYFUNCTION("""COMPUTED_VALUE"""),"18 inch Aero")</f>
        <v>18 inch Aero</v>
      </c>
      <c r="Q2172" t="str">
        <f>IFERROR(__xludf.DUMMYFUNCTION("""COMPUTED_VALUE"""),"Black seats")</f>
        <v>Black seats</v>
      </c>
      <c r="R2172" t="str">
        <f>IFERROR(__xludf.DUMMYFUNCTION("""COMPUTED_VALUE"""),"Autopilot")</f>
        <v>Autopilot</v>
      </c>
      <c r="X2172" t="str">
        <f>IFERROR(__xludf.DUMMYFUNCTION("""COMPUTED_VALUE"""),"Excellent")</f>
        <v>Excellent</v>
      </c>
      <c r="Y2172" t="str">
        <f>IFERROR(__xludf.DUMMYFUNCTION("""COMPUTED_VALUE"""),"Very Good")</f>
        <v>Very Good</v>
      </c>
      <c r="Z2172" t="str">
        <f>IFERROR(__xludf.DUMMYFUNCTION("""COMPUTED_VALUE"""),"Excellent")</f>
        <v>Excellent</v>
      </c>
      <c r="AA2172" t="str">
        <f>IFERROR(__xludf.DUMMYFUNCTION("""COMPUTED_VALUE"""),"Fair")</f>
        <v>Fair</v>
      </c>
      <c r="AB2172" t="str">
        <f>IFERROR(__xludf.DUMMYFUNCTION("""COMPUTED_VALUE"""),"Very Good")</f>
        <v>Very Good</v>
      </c>
      <c r="AC2172">
        <f>IFERROR(__xludf.DUMMYFUNCTION("""COMPUTED_VALUE"""),0.0)</f>
        <v>0</v>
      </c>
      <c r="AD2172">
        <f>IFERROR(__xludf.DUMMYFUNCTION("""COMPUTED_VALUE"""),0.0)</f>
        <v>0</v>
      </c>
      <c r="AE2172">
        <f>IFERROR(__xludf.DUMMYFUNCTION("""COMPUTED_VALUE"""),0.0)</f>
        <v>0</v>
      </c>
      <c r="AG2172" t="str">
        <f>IFERROR(__xludf.DUMMYFUNCTION("""COMPUTED_VALUE"""),"VIN found in source code.  Vehicle flawless at delivery.")</f>
        <v>VIN found in source code.  Vehicle flawless at delivery.</v>
      </c>
      <c r="AH2172" s="189">
        <f>IFERROR(__xludf.DUMMYFUNCTION("""COMPUTED_VALUE"""),43822.35429587963)</f>
        <v>43822.3543</v>
      </c>
    </row>
    <row r="2173">
      <c r="A2173" t="str">
        <f>IFERROR(__xludf.DUMMYFUNCTION("""COMPUTED_VALUE"""),"aledesma")</f>
        <v>aledesma</v>
      </c>
      <c r="B2173" t="str">
        <f>IFERROR(__xludf.DUMMYFUNCTION("""COMPUTED_VALUE"""),"Plano")</f>
        <v>Plano</v>
      </c>
      <c r="C2173" t="str">
        <f>IFERROR(__xludf.DUMMYFUNCTION("""COMPUTED_VALUE"""),"TX")</f>
        <v>TX</v>
      </c>
      <c r="D2173" t="str">
        <f>IFERROR(__xludf.DUMMYFUNCTION("""COMPUTED_VALUE"""),"USA")</f>
        <v>USA</v>
      </c>
      <c r="E2173" s="188">
        <f>IFERROR(__xludf.DUMMYFUNCTION("""COMPUTED_VALUE"""),43736.0)</f>
        <v>43736</v>
      </c>
      <c r="F2173" s="188">
        <f>IFERROR(__xludf.DUMMYFUNCTION("""COMPUTED_VALUE"""),43801.0)</f>
        <v>43801</v>
      </c>
      <c r="H2173">
        <f>IFERROR(__xludf.DUMMYFUNCTION("""COMPUTED_VALUE"""),603455.0)</f>
        <v>603455</v>
      </c>
      <c r="I2173" t="str">
        <f>IFERROR(__xludf.DUMMYFUNCTION("""COMPUTED_VALUE"""),"12/19")</f>
        <v>12/19</v>
      </c>
      <c r="J2173" s="5">
        <f>IFERROR(__xludf.DUMMYFUNCTION("""COMPUTED_VALUE"""),43816.0)</f>
        <v>43816</v>
      </c>
      <c r="K2173">
        <f>IFERROR(__xludf.DUMMYFUNCTION("""COMPUTED_VALUE"""),65.0)</f>
        <v>65</v>
      </c>
      <c r="L2173">
        <f>IFERROR(__xludf.DUMMYFUNCTION("""COMPUTED_VALUE"""),15.0)</f>
        <v>15</v>
      </c>
      <c r="M2173">
        <f>IFERROR(__xludf.DUMMYFUNCTION("""COMPUTED_VALUE"""),80.0)</f>
        <v>80</v>
      </c>
      <c r="N2173" t="str">
        <f>IFERROR(__xludf.DUMMYFUNCTION("""COMPUTED_VALUE"""),"Model 3 Performance")</f>
        <v>Model 3 Performance</v>
      </c>
      <c r="O2173" t="str">
        <f>IFERROR(__xludf.DUMMYFUNCTION("""COMPUTED_VALUE"""),"Midnight Silver Metallic")</f>
        <v>Midnight Silver Metallic</v>
      </c>
      <c r="P2173" t="str">
        <f>IFERROR(__xludf.DUMMYFUNCTION("""COMPUTED_VALUE"""),"20 inch Sport")</f>
        <v>20 inch Sport</v>
      </c>
      <c r="Q2173" t="str">
        <f>IFERROR(__xludf.DUMMYFUNCTION("""COMPUTED_VALUE"""),"White seats")</f>
        <v>White seats</v>
      </c>
      <c r="R2173" t="str">
        <f>IFERROR(__xludf.DUMMYFUNCTION("""COMPUTED_VALUE"""),"Full Self-Driving")</f>
        <v>Full Self-Driving</v>
      </c>
      <c r="X2173" t="str">
        <f>IFERROR(__xludf.DUMMYFUNCTION("""COMPUTED_VALUE"""),"Excellent")</f>
        <v>Excellent</v>
      </c>
      <c r="Y2173" t="str">
        <f>IFERROR(__xludf.DUMMYFUNCTION("""COMPUTED_VALUE"""),"Excellent")</f>
        <v>Excellent</v>
      </c>
      <c r="Z2173" t="str">
        <f>IFERROR(__xludf.DUMMYFUNCTION("""COMPUTED_VALUE"""),"Excellent")</f>
        <v>Excellent</v>
      </c>
      <c r="AA2173" t="str">
        <f>IFERROR(__xludf.DUMMYFUNCTION("""COMPUTED_VALUE"""),"Good")</f>
        <v>Good</v>
      </c>
      <c r="AB2173" t="str">
        <f>IFERROR(__xludf.DUMMYFUNCTION("""COMPUTED_VALUE"""),"Very Good")</f>
        <v>Very Good</v>
      </c>
      <c r="AC2173">
        <f>IFERROR(__xludf.DUMMYFUNCTION("""COMPUTED_VALUE"""),0.0)</f>
        <v>0</v>
      </c>
      <c r="AD2173">
        <f>IFERROR(__xludf.DUMMYFUNCTION("""COMPUTED_VALUE"""),0.0)</f>
        <v>0</v>
      </c>
      <c r="AE2173">
        <f>IFERROR(__xludf.DUMMYFUNCTION("""COMPUTED_VALUE"""),0.0)</f>
        <v>0</v>
      </c>
      <c r="AG2173" t="str">
        <f>IFERROR(__xludf.DUMMYFUNCTION("""COMPUTED_VALUE"""),"2019/12/02 VIN in source")</f>
        <v>2019/12/02 VIN in source</v>
      </c>
      <c r="AH2173" s="189">
        <f>IFERROR(__xludf.DUMMYFUNCTION("""COMPUTED_VALUE"""),43822.44247959491)</f>
        <v>43822.44248</v>
      </c>
    </row>
    <row r="2174">
      <c r="A2174" t="str">
        <f>IFERROR(__xludf.DUMMYFUNCTION("""COMPUTED_VALUE"""),"jxpresto")</f>
        <v>jxpresto</v>
      </c>
      <c r="B2174" t="str">
        <f>IFERROR(__xludf.DUMMYFUNCTION("""COMPUTED_VALUE"""),"Phoenix")</f>
        <v>Phoenix</v>
      </c>
      <c r="C2174" t="str">
        <f>IFERROR(__xludf.DUMMYFUNCTION("""COMPUTED_VALUE"""),"AZ")</f>
        <v>AZ</v>
      </c>
      <c r="D2174" t="str">
        <f>IFERROR(__xludf.DUMMYFUNCTION("""COMPUTED_VALUE"""),"USA")</f>
        <v>USA</v>
      </c>
      <c r="E2174" s="188">
        <f>IFERROR(__xludf.DUMMYFUNCTION("""COMPUTED_VALUE"""),43816.0)</f>
        <v>43816</v>
      </c>
      <c r="F2174" s="188">
        <f>IFERROR(__xludf.DUMMYFUNCTION("""COMPUTED_VALUE"""),43818.0)</f>
        <v>43818</v>
      </c>
      <c r="H2174" s="4">
        <f>IFERROR(__xludf.DUMMYFUNCTION("""COMPUTED_VALUE"""),624131.0)</f>
        <v>624131</v>
      </c>
      <c r="J2174" s="5">
        <f>IFERROR(__xludf.DUMMYFUNCTION("""COMPUTED_VALUE"""),43819.0)</f>
        <v>43819</v>
      </c>
      <c r="K2174">
        <f>IFERROR(__xludf.DUMMYFUNCTION("""COMPUTED_VALUE"""),2.0)</f>
        <v>2</v>
      </c>
      <c r="L2174">
        <f>IFERROR(__xludf.DUMMYFUNCTION("""COMPUTED_VALUE"""),1.0)</f>
        <v>1</v>
      </c>
      <c r="M2174">
        <f>IFERROR(__xludf.DUMMYFUNCTION("""COMPUTED_VALUE"""),3.0)</f>
        <v>3</v>
      </c>
      <c r="N2174" t="str">
        <f>IFERROR(__xludf.DUMMYFUNCTION("""COMPUTED_VALUE"""),"Model 3 Performance")</f>
        <v>Model 3 Performance</v>
      </c>
      <c r="O2174" t="str">
        <f>IFERROR(__xludf.DUMMYFUNCTION("""COMPUTED_VALUE"""),"Pearl White Multi-Coat")</f>
        <v>Pearl White Multi-Coat</v>
      </c>
      <c r="P2174" t="str">
        <f>IFERROR(__xludf.DUMMYFUNCTION("""COMPUTED_VALUE"""),"20 inch Sport")</f>
        <v>20 inch Sport</v>
      </c>
      <c r="Q2174" t="str">
        <f>IFERROR(__xludf.DUMMYFUNCTION("""COMPUTED_VALUE"""),"Black seats")</f>
        <v>Black seats</v>
      </c>
      <c r="R2174" t="str">
        <f>IFERROR(__xludf.DUMMYFUNCTION("""COMPUTED_VALUE"""),"Autopilot")</f>
        <v>Autopilot</v>
      </c>
      <c r="X2174" t="str">
        <f>IFERROR(__xludf.DUMMYFUNCTION("""COMPUTED_VALUE"""),"Very Good")</f>
        <v>Very Good</v>
      </c>
      <c r="Y2174" t="str">
        <f>IFERROR(__xludf.DUMMYFUNCTION("""COMPUTED_VALUE"""),"Very Good")</f>
        <v>Very Good</v>
      </c>
      <c r="Z2174" t="str">
        <f>IFERROR(__xludf.DUMMYFUNCTION("""COMPUTED_VALUE"""),"Very Good")</f>
        <v>Very Good</v>
      </c>
      <c r="AA2174" t="str">
        <f>IFERROR(__xludf.DUMMYFUNCTION("""COMPUTED_VALUE"""),"Very Good")</f>
        <v>Very Good</v>
      </c>
      <c r="AB2174" t="str">
        <f>IFERROR(__xludf.DUMMYFUNCTION("""COMPUTED_VALUE"""),"Good")</f>
        <v>Good</v>
      </c>
      <c r="AH2174" s="189">
        <f>IFERROR(__xludf.DUMMYFUNCTION("""COMPUTED_VALUE"""),43822.446096099535)</f>
        <v>43822.4461</v>
      </c>
    </row>
    <row r="2175">
      <c r="A2175" t="str">
        <f>IFERROR(__xludf.DUMMYFUNCTION("""COMPUTED_VALUE"""),"Cardville")</f>
        <v>Cardville</v>
      </c>
      <c r="B2175" t="str">
        <f>IFERROR(__xludf.DUMMYFUNCTION("""COMPUTED_VALUE"""),"SoCal")</f>
        <v>SoCal</v>
      </c>
      <c r="C2175" t="str">
        <f>IFERROR(__xludf.DUMMYFUNCTION("""COMPUTED_VALUE"""),"CA")</f>
        <v>CA</v>
      </c>
      <c r="D2175" t="str">
        <f>IFERROR(__xludf.DUMMYFUNCTION("""COMPUTED_VALUE"""),"USA")</f>
        <v>USA</v>
      </c>
      <c r="E2175" s="188">
        <f>IFERROR(__xludf.DUMMYFUNCTION("""COMPUTED_VALUE"""),43764.0)</f>
        <v>43764</v>
      </c>
      <c r="F2175" s="188">
        <f>IFERROR(__xludf.DUMMYFUNCTION("""COMPUTED_VALUE"""),43815.0)</f>
        <v>43815</v>
      </c>
      <c r="J2175" s="5">
        <f>IFERROR(__xludf.DUMMYFUNCTION("""COMPUTED_VALUE"""),43818.0)</f>
        <v>43818</v>
      </c>
      <c r="K2175">
        <f>IFERROR(__xludf.DUMMYFUNCTION("""COMPUTED_VALUE"""),51.0)</f>
        <v>51</v>
      </c>
      <c r="L2175">
        <f>IFERROR(__xludf.DUMMYFUNCTION("""COMPUTED_VALUE"""),3.0)</f>
        <v>3</v>
      </c>
      <c r="M2175">
        <f>IFERROR(__xludf.DUMMYFUNCTION("""COMPUTED_VALUE"""),54.0)</f>
        <v>54</v>
      </c>
      <c r="N2175" t="str">
        <f>IFERROR(__xludf.DUMMYFUNCTION("""COMPUTED_VALUE"""),"Model 3 LR AWD")</f>
        <v>Model 3 LR AWD</v>
      </c>
      <c r="O2175" t="str">
        <f>IFERROR(__xludf.DUMMYFUNCTION("""COMPUTED_VALUE"""),"Red Multi-Coat")</f>
        <v>Red Multi-Coat</v>
      </c>
      <c r="P2175" t="str">
        <f>IFERROR(__xludf.DUMMYFUNCTION("""COMPUTED_VALUE"""),"19 inch Sport")</f>
        <v>19 inch Sport</v>
      </c>
      <c r="Q2175" t="str">
        <f>IFERROR(__xludf.DUMMYFUNCTION("""COMPUTED_VALUE"""),"Black seats")</f>
        <v>Black seats</v>
      </c>
      <c r="R2175" t="str">
        <f>IFERROR(__xludf.DUMMYFUNCTION("""COMPUTED_VALUE"""),"Full Self-Driving")</f>
        <v>Full Self-Driving</v>
      </c>
      <c r="X2175" t="str">
        <f>IFERROR(__xludf.DUMMYFUNCTION("""COMPUTED_VALUE"""),"Excellent")</f>
        <v>Excellent</v>
      </c>
      <c r="Y2175" t="str">
        <f>IFERROR(__xludf.DUMMYFUNCTION("""COMPUTED_VALUE"""),"Excellent")</f>
        <v>Excellent</v>
      </c>
      <c r="Z2175" t="str">
        <f>IFERROR(__xludf.DUMMYFUNCTION("""COMPUTED_VALUE"""),"Excellent")</f>
        <v>Excellent</v>
      </c>
      <c r="AA2175" t="str">
        <f>IFERROR(__xludf.DUMMYFUNCTION("""COMPUTED_VALUE"""),"Good")</f>
        <v>Good</v>
      </c>
      <c r="AB2175" t="str">
        <f>IFERROR(__xludf.DUMMYFUNCTION("""COMPUTED_VALUE"""),"Excellent")</f>
        <v>Excellent</v>
      </c>
      <c r="AH2175" s="189">
        <f>IFERROR(__xludf.DUMMYFUNCTION("""COMPUTED_VALUE"""),43822.45117939815)</f>
        <v>43822.45118</v>
      </c>
    </row>
    <row r="2176">
      <c r="A2176" t="str">
        <f>IFERROR(__xludf.DUMMYFUNCTION("""COMPUTED_VALUE"""),"a901")</f>
        <v>a901</v>
      </c>
      <c r="B2176" t="str">
        <f>IFERROR(__xludf.DUMMYFUNCTION("""COMPUTED_VALUE"""),"Austin")</f>
        <v>Austin</v>
      </c>
      <c r="C2176" t="str">
        <f>IFERROR(__xludf.DUMMYFUNCTION("""COMPUTED_VALUE"""),"TX")</f>
        <v>TX</v>
      </c>
      <c r="D2176" t="str">
        <f>IFERROR(__xludf.DUMMYFUNCTION("""COMPUTED_VALUE"""),"USA")</f>
        <v>USA</v>
      </c>
      <c r="E2176" s="188">
        <f>IFERROR(__xludf.DUMMYFUNCTION("""COMPUTED_VALUE"""),43771.0)</f>
        <v>43771</v>
      </c>
      <c r="F2176" s="188">
        <f>IFERROR(__xludf.DUMMYFUNCTION("""COMPUTED_VALUE"""),43806.0)</f>
        <v>43806</v>
      </c>
      <c r="H2176">
        <f>IFERROR(__xludf.DUMMYFUNCTION("""COMPUTED_VALUE"""),620905.0)</f>
        <v>620905</v>
      </c>
      <c r="I2176" t="str">
        <f>IFERROR(__xludf.DUMMYFUNCTION("""COMPUTED_VALUE"""),"12/19")</f>
        <v>12/19</v>
      </c>
      <c r="J2176" s="5">
        <f>IFERROR(__xludf.DUMMYFUNCTION("""COMPUTED_VALUE"""),43816.0)</f>
        <v>43816</v>
      </c>
      <c r="K2176">
        <f>IFERROR(__xludf.DUMMYFUNCTION("""COMPUTED_VALUE"""),35.0)</f>
        <v>35</v>
      </c>
      <c r="L2176">
        <f>IFERROR(__xludf.DUMMYFUNCTION("""COMPUTED_VALUE"""),10.0)</f>
        <v>10</v>
      </c>
      <c r="M2176">
        <f>IFERROR(__xludf.DUMMYFUNCTION("""COMPUTED_VALUE"""),45.0)</f>
        <v>45</v>
      </c>
      <c r="N2176" t="str">
        <f>IFERROR(__xludf.DUMMYFUNCTION("""COMPUTED_VALUE"""),"Model 3 LR AWD")</f>
        <v>Model 3 LR AWD</v>
      </c>
      <c r="O2176" t="str">
        <f>IFERROR(__xludf.DUMMYFUNCTION("""COMPUTED_VALUE"""),"Pearl White Multi-Coat")</f>
        <v>Pearl White Multi-Coat</v>
      </c>
      <c r="P2176" t="str">
        <f>IFERROR(__xludf.DUMMYFUNCTION("""COMPUTED_VALUE"""),"19 inch Sport")</f>
        <v>19 inch Sport</v>
      </c>
      <c r="Q2176" t="str">
        <f>IFERROR(__xludf.DUMMYFUNCTION("""COMPUTED_VALUE"""),"Black seats")</f>
        <v>Black seats</v>
      </c>
      <c r="R2176" t="str">
        <f>IFERROR(__xludf.DUMMYFUNCTION("""COMPUTED_VALUE"""),"Full Self-Driving")</f>
        <v>Full Self-Driving</v>
      </c>
      <c r="X2176" t="str">
        <f>IFERROR(__xludf.DUMMYFUNCTION("""COMPUTED_VALUE"""),"Excellent")</f>
        <v>Excellent</v>
      </c>
      <c r="Y2176" t="str">
        <f>IFERROR(__xludf.DUMMYFUNCTION("""COMPUTED_VALUE"""),"Excellent")</f>
        <v>Excellent</v>
      </c>
      <c r="Z2176" t="str">
        <f>IFERROR(__xludf.DUMMYFUNCTION("""COMPUTED_VALUE"""),"Excellent")</f>
        <v>Excellent</v>
      </c>
      <c r="AA2176" t="str">
        <f>IFERROR(__xludf.DUMMYFUNCTION("""COMPUTED_VALUE"""),"Good")</f>
        <v>Good</v>
      </c>
      <c r="AB2176" t="str">
        <f>IFERROR(__xludf.DUMMYFUNCTION("""COMPUTED_VALUE"""),"Excellent")</f>
        <v>Excellent</v>
      </c>
      <c r="AC2176">
        <f>IFERROR(__xludf.DUMMYFUNCTION("""COMPUTED_VALUE"""),0.0)</f>
        <v>0</v>
      </c>
      <c r="AD2176">
        <f>IFERROR(__xludf.DUMMYFUNCTION("""COMPUTED_VALUE"""),0.0)</f>
        <v>0</v>
      </c>
      <c r="AE2176">
        <f>IFERROR(__xludf.DUMMYFUNCTION("""COMPUTED_VALUE"""),0.0)</f>
        <v>0</v>
      </c>
      <c r="AH2176" s="189">
        <f>IFERROR(__xludf.DUMMYFUNCTION("""COMPUTED_VALUE"""),43822.501824039355)</f>
        <v>43822.50182</v>
      </c>
    </row>
    <row r="2177">
      <c r="A2177" t="str">
        <f>IFERROR(__xludf.DUMMYFUNCTION("""COMPUTED_VALUE"""),"habeeb")</f>
        <v>habeeb</v>
      </c>
      <c r="B2177" t="str">
        <f>IFERROR(__xludf.DUMMYFUNCTION("""COMPUTED_VALUE"""),"Seattle")</f>
        <v>Seattle</v>
      </c>
      <c r="C2177" t="str">
        <f>IFERROR(__xludf.DUMMYFUNCTION("""COMPUTED_VALUE"""),"WA")</f>
        <v>WA</v>
      </c>
      <c r="D2177" t="str">
        <f>IFERROR(__xludf.DUMMYFUNCTION("""COMPUTED_VALUE"""),"USA")</f>
        <v>USA</v>
      </c>
      <c r="E2177" s="188">
        <f>IFERROR(__xludf.DUMMYFUNCTION("""COMPUTED_VALUE"""),43763.0)</f>
        <v>43763</v>
      </c>
      <c r="F2177" s="188">
        <f>IFERROR(__xludf.DUMMYFUNCTION("""COMPUTED_VALUE"""),43815.0)</f>
        <v>43815</v>
      </c>
      <c r="H2177">
        <f>IFERROR(__xludf.DUMMYFUNCTION("""COMPUTED_VALUE"""),619455.0)</f>
        <v>619455</v>
      </c>
      <c r="J2177" s="5">
        <f>IFERROR(__xludf.DUMMYFUNCTION("""COMPUTED_VALUE"""),43821.0)</f>
        <v>43821</v>
      </c>
      <c r="K2177">
        <f>IFERROR(__xludf.DUMMYFUNCTION("""COMPUTED_VALUE"""),52.0)</f>
        <v>52</v>
      </c>
      <c r="L2177">
        <f>IFERROR(__xludf.DUMMYFUNCTION("""COMPUTED_VALUE"""),6.0)</f>
        <v>6</v>
      </c>
      <c r="M2177">
        <f>IFERROR(__xludf.DUMMYFUNCTION("""COMPUTED_VALUE"""),58.0)</f>
        <v>58</v>
      </c>
      <c r="N2177" t="str">
        <f>IFERROR(__xludf.DUMMYFUNCTION("""COMPUTED_VALUE"""),"Model 3 LR AWD")</f>
        <v>Model 3 LR AWD</v>
      </c>
      <c r="O2177" t="str">
        <f>IFERROR(__xludf.DUMMYFUNCTION("""COMPUTED_VALUE"""),"Pearl White Multi-Coat")</f>
        <v>Pearl White Multi-Coat</v>
      </c>
      <c r="P2177" t="str">
        <f>IFERROR(__xludf.DUMMYFUNCTION("""COMPUTED_VALUE"""),"18 inch Aero")</f>
        <v>18 inch Aero</v>
      </c>
      <c r="Q2177" t="str">
        <f>IFERROR(__xludf.DUMMYFUNCTION("""COMPUTED_VALUE"""),"Black seats")</f>
        <v>Black seats</v>
      </c>
      <c r="R2177" t="str">
        <f>IFERROR(__xludf.DUMMYFUNCTION("""COMPUTED_VALUE"""),"Autopilot")</f>
        <v>Autopilot</v>
      </c>
      <c r="X2177" t="str">
        <f>IFERROR(__xludf.DUMMYFUNCTION("""COMPUTED_VALUE"""),"Good")</f>
        <v>Good</v>
      </c>
      <c r="Y2177" t="str">
        <f>IFERROR(__xludf.DUMMYFUNCTION("""COMPUTED_VALUE"""),"Excellent")</f>
        <v>Excellent</v>
      </c>
      <c r="Z2177" t="str">
        <f>IFERROR(__xludf.DUMMYFUNCTION("""COMPUTED_VALUE"""),"Very Good")</f>
        <v>Very Good</v>
      </c>
      <c r="AA2177" t="str">
        <f>IFERROR(__xludf.DUMMYFUNCTION("""COMPUTED_VALUE"""),"Fair")</f>
        <v>Fair</v>
      </c>
      <c r="AB2177" t="str">
        <f>IFERROR(__xludf.DUMMYFUNCTION("""COMPUTED_VALUE"""),"Good")</f>
        <v>Good</v>
      </c>
      <c r="AH2177" s="189">
        <f>IFERROR(__xludf.DUMMYFUNCTION("""COMPUTED_VALUE"""),43822.54818837963)</f>
        <v>43822.54819</v>
      </c>
    </row>
    <row r="2178">
      <c r="A2178" t="str">
        <f>IFERROR(__xludf.DUMMYFUNCTION("""COMPUTED_VALUE"""),"d-8")</f>
        <v>d-8</v>
      </c>
      <c r="B2178" t="str">
        <f>IFERROR(__xludf.DUMMYFUNCTION("""COMPUTED_VALUE"""),"Mountain View")</f>
        <v>Mountain View</v>
      </c>
      <c r="C2178" t="str">
        <f>IFERROR(__xludf.DUMMYFUNCTION("""COMPUTED_VALUE"""),"CA")</f>
        <v>CA</v>
      </c>
      <c r="D2178" t="str">
        <f>IFERROR(__xludf.DUMMYFUNCTION("""COMPUTED_VALUE"""),"USA")</f>
        <v>USA</v>
      </c>
      <c r="E2178" s="188">
        <f>IFERROR(__xludf.DUMMYFUNCTION("""COMPUTED_VALUE"""),43752.0)</f>
        <v>43752</v>
      </c>
      <c r="F2178" s="188">
        <f>IFERROR(__xludf.DUMMYFUNCTION("""COMPUTED_VALUE"""),43816.0)</f>
        <v>43816</v>
      </c>
      <c r="H2178">
        <f>IFERROR(__xludf.DUMMYFUNCTION("""COMPUTED_VALUE"""),613455.0)</f>
        <v>613455</v>
      </c>
      <c r="I2178" t="str">
        <f>IFERROR(__xludf.DUMMYFUNCTION("""COMPUTED_VALUE"""),"12/19")</f>
        <v>12/19</v>
      </c>
      <c r="J2178" s="5">
        <f>IFERROR(__xludf.DUMMYFUNCTION("""COMPUTED_VALUE"""),43820.0)</f>
        <v>43820</v>
      </c>
      <c r="K2178">
        <f>IFERROR(__xludf.DUMMYFUNCTION("""COMPUTED_VALUE"""),64.0)</f>
        <v>64</v>
      </c>
      <c r="L2178">
        <f>IFERROR(__xludf.DUMMYFUNCTION("""COMPUTED_VALUE"""),4.0)</f>
        <v>4</v>
      </c>
      <c r="M2178">
        <f>IFERROR(__xludf.DUMMYFUNCTION("""COMPUTED_VALUE"""),68.0)</f>
        <v>68</v>
      </c>
      <c r="N2178" t="str">
        <f>IFERROR(__xludf.DUMMYFUNCTION("""COMPUTED_VALUE"""),"Model 3 SR+")</f>
        <v>Model 3 SR+</v>
      </c>
      <c r="O2178" t="str">
        <f>IFERROR(__xludf.DUMMYFUNCTION("""COMPUTED_VALUE"""),"Pearl White Multi-Coat")</f>
        <v>Pearl White Multi-Coat</v>
      </c>
      <c r="P2178" t="str">
        <f>IFERROR(__xludf.DUMMYFUNCTION("""COMPUTED_VALUE"""),"18 inch Aero")</f>
        <v>18 inch Aero</v>
      </c>
      <c r="Q2178" t="str">
        <f>IFERROR(__xludf.DUMMYFUNCTION("""COMPUTED_VALUE"""),"Black seats")</f>
        <v>Black seats</v>
      </c>
      <c r="R2178" t="str">
        <f>IFERROR(__xludf.DUMMYFUNCTION("""COMPUTED_VALUE"""),"Autopilot")</f>
        <v>Autopilot</v>
      </c>
      <c r="X2178" t="str">
        <f>IFERROR(__xludf.DUMMYFUNCTION("""COMPUTED_VALUE"""),"Excellent")</f>
        <v>Excellent</v>
      </c>
      <c r="Y2178" t="str">
        <f>IFERROR(__xludf.DUMMYFUNCTION("""COMPUTED_VALUE"""),"Excellent")</f>
        <v>Excellent</v>
      </c>
      <c r="Z2178" t="str">
        <f>IFERROR(__xludf.DUMMYFUNCTION("""COMPUTED_VALUE"""),"Excellent")</f>
        <v>Excellent</v>
      </c>
      <c r="AA2178" t="str">
        <f>IFERROR(__xludf.DUMMYFUNCTION("""COMPUTED_VALUE"""),"Poor")</f>
        <v>Poor</v>
      </c>
      <c r="AB2178" t="str">
        <f>IFERROR(__xludf.DUMMYFUNCTION("""COMPUTED_VALUE"""),"Good")</f>
        <v>Good</v>
      </c>
      <c r="AH2178" s="189">
        <f>IFERROR(__xludf.DUMMYFUNCTION("""COMPUTED_VALUE"""),43822.613902893514)</f>
        <v>43822.6139</v>
      </c>
    </row>
    <row r="2179">
      <c r="A2179" t="str">
        <f>IFERROR(__xludf.DUMMYFUNCTION("""COMPUTED_VALUE"""),"Jayk82")</f>
        <v>Jayk82</v>
      </c>
      <c r="B2179" t="str">
        <f>IFERROR(__xludf.DUMMYFUNCTION("""COMPUTED_VALUE"""),"Houston")</f>
        <v>Houston</v>
      </c>
      <c r="C2179" t="str">
        <f>IFERROR(__xludf.DUMMYFUNCTION("""COMPUTED_VALUE"""),"TX")</f>
        <v>TX</v>
      </c>
      <c r="D2179" t="str">
        <f>IFERROR(__xludf.DUMMYFUNCTION("""COMPUTED_VALUE"""),"USA")</f>
        <v>USA</v>
      </c>
      <c r="E2179" s="188">
        <f>IFERROR(__xludf.DUMMYFUNCTION("""COMPUTED_VALUE"""),43798.0)</f>
        <v>43798</v>
      </c>
      <c r="F2179" s="188">
        <f>IFERROR(__xludf.DUMMYFUNCTION("""COMPUTED_VALUE"""),43812.0)</f>
        <v>43812</v>
      </c>
      <c r="H2179">
        <f>IFERROR(__xludf.DUMMYFUNCTION("""COMPUTED_VALUE"""),619255.0)</f>
        <v>619255</v>
      </c>
      <c r="I2179" t="str">
        <f>IFERROR(__xludf.DUMMYFUNCTION("""COMPUTED_VALUE"""),"12/19")</f>
        <v>12/19</v>
      </c>
      <c r="J2179" s="5">
        <f>IFERROR(__xludf.DUMMYFUNCTION("""COMPUTED_VALUE"""),43820.0)</f>
        <v>43820</v>
      </c>
      <c r="K2179">
        <f>IFERROR(__xludf.DUMMYFUNCTION("""COMPUTED_VALUE"""),14.0)</f>
        <v>14</v>
      </c>
      <c r="L2179">
        <f>IFERROR(__xludf.DUMMYFUNCTION("""COMPUTED_VALUE"""),8.0)</f>
        <v>8</v>
      </c>
      <c r="M2179">
        <f>IFERROR(__xludf.DUMMYFUNCTION("""COMPUTED_VALUE"""),22.0)</f>
        <v>22</v>
      </c>
      <c r="N2179" t="str">
        <f>IFERROR(__xludf.DUMMYFUNCTION("""COMPUTED_VALUE"""),"Model 3 LR AWD")</f>
        <v>Model 3 LR AWD</v>
      </c>
      <c r="O2179" t="str">
        <f>IFERROR(__xludf.DUMMYFUNCTION("""COMPUTED_VALUE"""),"Pearl White Multi-Coat")</f>
        <v>Pearl White Multi-Coat</v>
      </c>
      <c r="P2179" t="str">
        <f>IFERROR(__xludf.DUMMYFUNCTION("""COMPUTED_VALUE"""),"18 inch Aero")</f>
        <v>18 inch Aero</v>
      </c>
      <c r="Q2179" t="str">
        <f>IFERROR(__xludf.DUMMYFUNCTION("""COMPUTED_VALUE"""),"Black seats")</f>
        <v>Black seats</v>
      </c>
      <c r="R2179" t="str">
        <f>IFERROR(__xludf.DUMMYFUNCTION("""COMPUTED_VALUE"""),"Autopilot")</f>
        <v>Autopilot</v>
      </c>
      <c r="X2179" t="str">
        <f>IFERROR(__xludf.DUMMYFUNCTION("""COMPUTED_VALUE"""),"Excellent")</f>
        <v>Excellent</v>
      </c>
      <c r="Y2179" t="str">
        <f>IFERROR(__xludf.DUMMYFUNCTION("""COMPUTED_VALUE"""),"Excellent")</f>
        <v>Excellent</v>
      </c>
      <c r="Z2179" t="str">
        <f>IFERROR(__xludf.DUMMYFUNCTION("""COMPUTED_VALUE"""),"Excellent")</f>
        <v>Excellent</v>
      </c>
      <c r="AA2179" t="str">
        <f>IFERROR(__xludf.DUMMYFUNCTION("""COMPUTED_VALUE"""),"Fair")</f>
        <v>Fair</v>
      </c>
      <c r="AB2179" t="str">
        <f>IFERROR(__xludf.DUMMYFUNCTION("""COMPUTED_VALUE"""),"Excellent")</f>
        <v>Excellent</v>
      </c>
      <c r="AG2179" t="str">
        <f>IFERROR(__xludf.DUMMYFUNCTION("""COMPUTED_VALUE"""),"VIN found in Source Code 12/13")</f>
        <v>VIN found in Source Code 12/13</v>
      </c>
      <c r="AH2179" s="189">
        <f>IFERROR(__xludf.DUMMYFUNCTION("""COMPUTED_VALUE"""),43822.62675015046)</f>
        <v>43822.62675</v>
      </c>
    </row>
    <row r="2180">
      <c r="A2180" t="str">
        <f>IFERROR(__xludf.DUMMYFUNCTION("""COMPUTED_VALUE"""),"AZFrosty")</f>
        <v>AZFrosty</v>
      </c>
      <c r="B2180" t="str">
        <f>IFERROR(__xludf.DUMMYFUNCTION("""COMPUTED_VALUE"""),"Buckeye")</f>
        <v>Buckeye</v>
      </c>
      <c r="C2180" t="str">
        <f>IFERROR(__xludf.DUMMYFUNCTION("""COMPUTED_VALUE"""),"AZ")</f>
        <v>AZ</v>
      </c>
      <c r="D2180" t="str">
        <f>IFERROR(__xludf.DUMMYFUNCTION("""COMPUTED_VALUE"""),"USA")</f>
        <v>USA</v>
      </c>
      <c r="E2180" s="188">
        <f>IFERROR(__xludf.DUMMYFUNCTION("""COMPUTED_VALUE"""),43787.0)</f>
        <v>43787</v>
      </c>
      <c r="F2180" s="188">
        <f>IFERROR(__xludf.DUMMYFUNCTION("""COMPUTED_VALUE"""),43818.0)</f>
        <v>43818</v>
      </c>
      <c r="H2180">
        <f>IFERROR(__xludf.DUMMYFUNCTION("""COMPUTED_VALUE"""),629055.0)</f>
        <v>629055</v>
      </c>
      <c r="J2180" s="5">
        <f>IFERROR(__xludf.DUMMYFUNCTION("""COMPUTED_VALUE"""),43825.0)</f>
        <v>43825</v>
      </c>
      <c r="K2180">
        <f>IFERROR(__xludf.DUMMYFUNCTION("""COMPUTED_VALUE"""),31.0)</f>
        <v>31</v>
      </c>
      <c r="L2180">
        <f>IFERROR(__xludf.DUMMYFUNCTION("""COMPUTED_VALUE"""),7.0)</f>
        <v>7</v>
      </c>
      <c r="M2180">
        <f>IFERROR(__xludf.DUMMYFUNCTION("""COMPUTED_VALUE"""),38.0)</f>
        <v>38</v>
      </c>
      <c r="N2180" t="str">
        <f>IFERROR(__xludf.DUMMYFUNCTION("""COMPUTED_VALUE"""),"Model 3 LR AWD")</f>
        <v>Model 3 LR AWD</v>
      </c>
      <c r="O2180" t="str">
        <f>IFERROR(__xludf.DUMMYFUNCTION("""COMPUTED_VALUE"""),"Pearl White Multi-Coat")</f>
        <v>Pearl White Multi-Coat</v>
      </c>
      <c r="P2180" t="str">
        <f>IFERROR(__xludf.DUMMYFUNCTION("""COMPUTED_VALUE"""),"18 inch Aero")</f>
        <v>18 inch Aero</v>
      </c>
      <c r="Q2180" t="str">
        <f>IFERROR(__xludf.DUMMYFUNCTION("""COMPUTED_VALUE"""),"Black seats")</f>
        <v>Black seats</v>
      </c>
      <c r="R2180" t="str">
        <f>IFERROR(__xludf.DUMMYFUNCTION("""COMPUTED_VALUE"""),"Full Self-Driving")</f>
        <v>Full Self-Driving</v>
      </c>
      <c r="X2180" t="str">
        <f>IFERROR(__xludf.DUMMYFUNCTION("""COMPUTED_VALUE"""),"Very Good")</f>
        <v>Very Good</v>
      </c>
      <c r="Y2180" t="str">
        <f>IFERROR(__xludf.DUMMYFUNCTION("""COMPUTED_VALUE"""),"Very Good")</f>
        <v>Very Good</v>
      </c>
      <c r="Z2180" t="str">
        <f>IFERROR(__xludf.DUMMYFUNCTION("""COMPUTED_VALUE"""),"Very Good")</f>
        <v>Very Good</v>
      </c>
      <c r="AA2180" t="str">
        <f>IFERROR(__xludf.DUMMYFUNCTION("""COMPUTED_VALUE"""),"Good")</f>
        <v>Good</v>
      </c>
      <c r="AB2180" t="str">
        <f>IFERROR(__xludf.DUMMYFUNCTION("""COMPUTED_VALUE"""),"Good")</f>
        <v>Good</v>
      </c>
      <c r="AC2180">
        <f>IFERROR(__xludf.DUMMYFUNCTION("""COMPUTED_VALUE"""),0.0)</f>
        <v>0</v>
      </c>
      <c r="AH2180" s="189">
        <f>IFERROR(__xludf.DUMMYFUNCTION("""COMPUTED_VALUE"""),43822.79256636574)</f>
        <v>43822.79257</v>
      </c>
    </row>
    <row r="2181">
      <c r="A2181" t="str">
        <f>IFERROR(__xludf.DUMMYFUNCTION("""COMPUTED_VALUE"""),"46chevy")</f>
        <v>46chevy</v>
      </c>
      <c r="B2181" t="str">
        <f>IFERROR(__xludf.DUMMYFUNCTION("""COMPUTED_VALUE"""),"Oconomowoc ")</f>
        <v>Oconomowoc </v>
      </c>
      <c r="C2181" t="str">
        <f>IFERROR(__xludf.DUMMYFUNCTION("""COMPUTED_VALUE"""),"WI")</f>
        <v>WI</v>
      </c>
      <c r="D2181" t="str">
        <f>IFERROR(__xludf.DUMMYFUNCTION("""COMPUTED_VALUE"""),"USA")</f>
        <v>USA</v>
      </c>
      <c r="E2181" s="188">
        <f>IFERROR(__xludf.DUMMYFUNCTION("""COMPUTED_VALUE"""),43762.0)</f>
        <v>43762</v>
      </c>
      <c r="F2181" s="188">
        <f>IFERROR(__xludf.DUMMYFUNCTION("""COMPUTED_VALUE"""),43807.0)</f>
        <v>43807</v>
      </c>
      <c r="H2181">
        <f>IFERROR(__xludf.DUMMYFUNCTION("""COMPUTED_VALUE"""),623455.0)</f>
        <v>623455</v>
      </c>
      <c r="I2181" t="str">
        <f>IFERROR(__xludf.DUMMYFUNCTION("""COMPUTED_VALUE"""),"12/19")</f>
        <v>12/19</v>
      </c>
      <c r="J2181" s="5">
        <f>IFERROR(__xludf.DUMMYFUNCTION("""COMPUTED_VALUE"""),43822.0)</f>
        <v>43822</v>
      </c>
      <c r="K2181">
        <f>IFERROR(__xludf.DUMMYFUNCTION("""COMPUTED_VALUE"""),45.0)</f>
        <v>45</v>
      </c>
      <c r="L2181">
        <f>IFERROR(__xludf.DUMMYFUNCTION("""COMPUTED_VALUE"""),15.0)</f>
        <v>15</v>
      </c>
      <c r="M2181">
        <f>IFERROR(__xludf.DUMMYFUNCTION("""COMPUTED_VALUE"""),60.0)</f>
        <v>60</v>
      </c>
      <c r="N2181" t="str">
        <f>IFERROR(__xludf.DUMMYFUNCTION("""COMPUTED_VALUE"""),"Model 3 Performance")</f>
        <v>Model 3 Performance</v>
      </c>
      <c r="O2181" t="str">
        <f>IFERROR(__xludf.DUMMYFUNCTION("""COMPUTED_VALUE"""),"Solid Black")</f>
        <v>Solid Black</v>
      </c>
      <c r="P2181" t="str">
        <f>IFERROR(__xludf.DUMMYFUNCTION("""COMPUTED_VALUE"""),"20 inch Sport")</f>
        <v>20 inch Sport</v>
      </c>
      <c r="Q2181" t="str">
        <f>IFERROR(__xludf.DUMMYFUNCTION("""COMPUTED_VALUE"""),"Black seats")</f>
        <v>Black seats</v>
      </c>
      <c r="R2181" t="str">
        <f>IFERROR(__xludf.DUMMYFUNCTION("""COMPUTED_VALUE"""),"Autopilot")</f>
        <v>Autopilot</v>
      </c>
      <c r="X2181" t="str">
        <f>IFERROR(__xludf.DUMMYFUNCTION("""COMPUTED_VALUE"""),"Very Good")</f>
        <v>Very Good</v>
      </c>
      <c r="Y2181" t="str">
        <f>IFERROR(__xludf.DUMMYFUNCTION("""COMPUTED_VALUE"""),"Fair")</f>
        <v>Fair</v>
      </c>
      <c r="Z2181" t="str">
        <f>IFERROR(__xludf.DUMMYFUNCTION("""COMPUTED_VALUE"""),"Very Good")</f>
        <v>Very Good</v>
      </c>
      <c r="AA2181" t="str">
        <f>IFERROR(__xludf.DUMMYFUNCTION("""COMPUTED_VALUE"""),"Poor")</f>
        <v>Poor</v>
      </c>
      <c r="AB2181" t="str">
        <f>IFERROR(__xludf.DUMMYFUNCTION("""COMPUTED_VALUE"""),"Fair")</f>
        <v>Fair</v>
      </c>
      <c r="AC2181">
        <f>IFERROR(__xludf.DUMMYFUNCTION("""COMPUTED_VALUE"""),1.0)</f>
        <v>1</v>
      </c>
      <c r="AG2181" t="str">
        <f>IFERROR(__xludf.DUMMYFUNCTION("""COMPUTED_VALUE"""),"Center console side panel has bubbles in it. Needs to be replaced. Noted at delivery ")</f>
        <v>Center console side panel has bubbles in it. Needs to be replaced. Noted at delivery </v>
      </c>
      <c r="AH2181" s="189">
        <f>IFERROR(__xludf.DUMMYFUNCTION("""COMPUTED_VALUE"""),43822.80250314815)</f>
        <v>43822.8025</v>
      </c>
    </row>
    <row r="2182">
      <c r="A2182" t="str">
        <f>IFERROR(__xludf.DUMMYFUNCTION("""COMPUTED_VALUE"""),"w1n78")</f>
        <v>w1n78</v>
      </c>
      <c r="B2182" t="str">
        <f>IFERROR(__xludf.DUMMYFUNCTION("""COMPUTED_VALUE"""),"Los Angeles")</f>
        <v>Los Angeles</v>
      </c>
      <c r="C2182" t="str">
        <f>IFERROR(__xludf.DUMMYFUNCTION("""COMPUTED_VALUE"""),"CA")</f>
        <v>CA</v>
      </c>
      <c r="D2182" t="str">
        <f>IFERROR(__xludf.DUMMYFUNCTION("""COMPUTED_VALUE"""),"USA")</f>
        <v>USA</v>
      </c>
      <c r="E2182" s="188">
        <f>IFERROR(__xludf.DUMMYFUNCTION("""COMPUTED_VALUE"""),43757.0)</f>
        <v>43757</v>
      </c>
      <c r="F2182" s="188">
        <f>IFERROR(__xludf.DUMMYFUNCTION("""COMPUTED_VALUE"""),43820.0)</f>
        <v>43820</v>
      </c>
      <c r="H2182">
        <f>IFERROR(__xludf.DUMMYFUNCTION("""COMPUTED_VALUE"""),622855.0)</f>
        <v>622855</v>
      </c>
      <c r="J2182" s="5">
        <f>IFERROR(__xludf.DUMMYFUNCTION("""COMPUTED_VALUE"""),43822.0)</f>
        <v>43822</v>
      </c>
      <c r="K2182">
        <f>IFERROR(__xludf.DUMMYFUNCTION("""COMPUTED_VALUE"""),63.0)</f>
        <v>63</v>
      </c>
      <c r="L2182">
        <f>IFERROR(__xludf.DUMMYFUNCTION("""COMPUTED_VALUE"""),2.0)</f>
        <v>2</v>
      </c>
      <c r="M2182">
        <f>IFERROR(__xludf.DUMMYFUNCTION("""COMPUTED_VALUE"""),65.0)</f>
        <v>65</v>
      </c>
      <c r="N2182" t="str">
        <f>IFERROR(__xludf.DUMMYFUNCTION("""COMPUTED_VALUE"""),"Model 3 LR AWD")</f>
        <v>Model 3 LR AWD</v>
      </c>
      <c r="O2182" t="str">
        <f>IFERROR(__xludf.DUMMYFUNCTION("""COMPUTED_VALUE"""),"Pearl White Multi-Coat")</f>
        <v>Pearl White Multi-Coat</v>
      </c>
      <c r="P2182" t="str">
        <f>IFERROR(__xludf.DUMMYFUNCTION("""COMPUTED_VALUE"""),"19 inch Sport")</f>
        <v>19 inch Sport</v>
      </c>
      <c r="Q2182" t="str">
        <f>IFERROR(__xludf.DUMMYFUNCTION("""COMPUTED_VALUE"""),"White seats")</f>
        <v>White seats</v>
      </c>
      <c r="R2182" t="str">
        <f>IFERROR(__xludf.DUMMYFUNCTION("""COMPUTED_VALUE"""),"Full Self-Driving")</f>
        <v>Full Self-Driving</v>
      </c>
      <c r="X2182" t="str">
        <f>IFERROR(__xludf.DUMMYFUNCTION("""COMPUTED_VALUE"""),"Fair")</f>
        <v>Fair</v>
      </c>
      <c r="Y2182" t="str">
        <f>IFERROR(__xludf.DUMMYFUNCTION("""COMPUTED_VALUE"""),"Excellent")</f>
        <v>Excellent</v>
      </c>
      <c r="Z2182" t="str">
        <f>IFERROR(__xludf.DUMMYFUNCTION("""COMPUTED_VALUE"""),"Excellent")</f>
        <v>Excellent</v>
      </c>
      <c r="AA2182" t="str">
        <f>IFERROR(__xludf.DUMMYFUNCTION("""COMPUTED_VALUE"""),"Fair")</f>
        <v>Fair</v>
      </c>
      <c r="AB2182" t="str">
        <f>IFERROR(__xludf.DUMMYFUNCTION("""COMPUTED_VALUE"""),"Good")</f>
        <v>Good</v>
      </c>
      <c r="AG2182" t="str">
        <f>IFERROR(__xludf.DUMMYFUNCTION("""COMPUTED_VALUE"""),"passenger, rear door gap/alignment issue. taking it to service center to get it looked at.")</f>
        <v>passenger, rear door gap/alignment issue. taking it to service center to get it looked at.</v>
      </c>
      <c r="AH2182" s="189">
        <f>IFERROR(__xludf.DUMMYFUNCTION("""COMPUTED_VALUE"""),43823.02015217593)</f>
        <v>43823.02015</v>
      </c>
    </row>
    <row r="2183">
      <c r="A2183" t="str">
        <f>IFERROR(__xludf.DUMMYFUNCTION("""COMPUTED_VALUE"""),"*adam")</f>
        <v>*adam</v>
      </c>
      <c r="D2183" t="str">
        <f>IFERROR(__xludf.DUMMYFUNCTION("""COMPUTED_VALUE"""),"United Kingdom")</f>
        <v>United Kingdom</v>
      </c>
      <c r="E2183" s="188">
        <f>IFERROR(__xludf.DUMMYFUNCTION("""COMPUTED_VALUE"""),43762.0)</f>
        <v>43762</v>
      </c>
      <c r="H2183">
        <f>IFERROR(__xludf.DUMMYFUNCTION("""COMPUTED_VALUE"""),490422.0)</f>
        <v>490422</v>
      </c>
      <c r="J2183" s="5">
        <f>IFERROR(__xludf.DUMMYFUNCTION("""COMPUTED_VALUE"""),43796.0)</f>
        <v>43796</v>
      </c>
      <c r="M2183">
        <f>IFERROR(__xludf.DUMMYFUNCTION("""COMPUTED_VALUE"""),34.0)</f>
        <v>34</v>
      </c>
      <c r="N2183" t="str">
        <f>IFERROR(__xludf.DUMMYFUNCTION("""COMPUTED_VALUE"""),"Model 3 SR+")</f>
        <v>Model 3 SR+</v>
      </c>
      <c r="O2183" t="str">
        <f>IFERROR(__xludf.DUMMYFUNCTION("""COMPUTED_VALUE"""),"Pearl White Multi-Coat")</f>
        <v>Pearl White Multi-Coat</v>
      </c>
      <c r="P2183" t="str">
        <f>IFERROR(__xludf.DUMMYFUNCTION("""COMPUTED_VALUE"""),"18 inch Aero")</f>
        <v>18 inch Aero</v>
      </c>
      <c r="Q2183" t="str">
        <f>IFERROR(__xludf.DUMMYFUNCTION("""COMPUTED_VALUE"""),"Black seats")</f>
        <v>Black seats</v>
      </c>
      <c r="R2183" t="str">
        <f>IFERROR(__xludf.DUMMYFUNCTION("""COMPUTED_VALUE"""),"Autopilot")</f>
        <v>Autopilot</v>
      </c>
      <c r="X2183" t="str">
        <f>IFERROR(__xludf.DUMMYFUNCTION("""COMPUTED_VALUE"""),"Good")</f>
        <v>Good</v>
      </c>
      <c r="Y2183" t="str">
        <f>IFERROR(__xludf.DUMMYFUNCTION("""COMPUTED_VALUE"""),"Excellent")</f>
        <v>Excellent</v>
      </c>
      <c r="Z2183" t="str">
        <f>IFERROR(__xludf.DUMMYFUNCTION("""COMPUTED_VALUE"""),"Fair")</f>
        <v>Fair</v>
      </c>
      <c r="AA2183" t="str">
        <f>IFERROR(__xludf.DUMMYFUNCTION("""COMPUTED_VALUE"""),"Good")</f>
        <v>Good</v>
      </c>
      <c r="AB2183" t="str">
        <f>IFERROR(__xludf.DUMMYFUNCTION("""COMPUTED_VALUE"""),"Fair")</f>
        <v>Fair</v>
      </c>
      <c r="AC2183">
        <f>IFERROR(__xludf.DUMMYFUNCTION("""COMPUTED_VALUE"""),1.0)</f>
        <v>1</v>
      </c>
      <c r="AD2183">
        <f>IFERROR(__xludf.DUMMYFUNCTION("""COMPUTED_VALUE"""),1.0)</f>
        <v>1</v>
      </c>
      <c r="AE2183">
        <f>IFERROR(__xludf.DUMMYFUNCTION("""COMPUTED_VALUE"""),1.0)</f>
        <v>1</v>
      </c>
      <c r="AG2183" t="str">
        <f>IFERROR(__xludf.DUMMYFUNCTION("""COMPUTED_VALUE"""),"Dent on wing")</f>
        <v>Dent on wing</v>
      </c>
      <c r="AH2183" s="189">
        <f>IFERROR(__xludf.DUMMYFUNCTION("""COMPUTED_VALUE"""),43823.25700945602)</f>
        <v>43823.25701</v>
      </c>
    </row>
    <row r="2184">
      <c r="A2184" t="str">
        <f>IFERROR(__xludf.DUMMYFUNCTION("""COMPUTED_VALUE"""),"KOAZ")</f>
        <v>KOAZ</v>
      </c>
      <c r="B2184" t="str">
        <f>IFERROR(__xludf.DUMMYFUNCTION("""COMPUTED_VALUE"""),"Phoenix")</f>
        <v>Phoenix</v>
      </c>
      <c r="C2184" t="str">
        <f>IFERROR(__xludf.DUMMYFUNCTION("""COMPUTED_VALUE"""),"AZ")</f>
        <v>AZ</v>
      </c>
      <c r="D2184" t="str">
        <f>IFERROR(__xludf.DUMMYFUNCTION("""COMPUTED_VALUE"""),"USA")</f>
        <v>USA</v>
      </c>
      <c r="E2184" s="188">
        <f>IFERROR(__xludf.DUMMYFUNCTION("""COMPUTED_VALUE"""),43796.0)</f>
        <v>43796</v>
      </c>
      <c r="F2184" s="188">
        <f>IFERROR(__xludf.DUMMYFUNCTION("""COMPUTED_VALUE"""),43808.0)</f>
        <v>43808</v>
      </c>
      <c r="H2184" s="4">
        <f>IFERROR(__xludf.DUMMYFUNCTION("""COMPUTED_VALUE"""),597146.0)</f>
        <v>597146</v>
      </c>
      <c r="I2184" t="str">
        <f>IFERROR(__xludf.DUMMYFUNCTION("""COMPUTED_VALUE"""),"12/19")</f>
        <v>12/19</v>
      </c>
      <c r="J2184" s="5">
        <f>IFERROR(__xludf.DUMMYFUNCTION("""COMPUTED_VALUE"""),43810.0)</f>
        <v>43810</v>
      </c>
      <c r="K2184">
        <f>IFERROR(__xludf.DUMMYFUNCTION("""COMPUTED_VALUE"""),12.0)</f>
        <v>12</v>
      </c>
      <c r="L2184">
        <f>IFERROR(__xludf.DUMMYFUNCTION("""COMPUTED_VALUE"""),2.0)</f>
        <v>2</v>
      </c>
      <c r="M2184">
        <f>IFERROR(__xludf.DUMMYFUNCTION("""COMPUTED_VALUE"""),14.0)</f>
        <v>14</v>
      </c>
      <c r="N2184" t="str">
        <f>IFERROR(__xludf.DUMMYFUNCTION("""COMPUTED_VALUE"""),"Model 3 SR+")</f>
        <v>Model 3 SR+</v>
      </c>
      <c r="O2184" t="str">
        <f>IFERROR(__xludf.DUMMYFUNCTION("""COMPUTED_VALUE"""),"Midnight Silver Metallic")</f>
        <v>Midnight Silver Metallic</v>
      </c>
      <c r="P2184" t="str">
        <f>IFERROR(__xludf.DUMMYFUNCTION("""COMPUTED_VALUE"""),"18 inch Aero")</f>
        <v>18 inch Aero</v>
      </c>
      <c r="Q2184" t="str">
        <f>IFERROR(__xludf.DUMMYFUNCTION("""COMPUTED_VALUE"""),"Black seats")</f>
        <v>Black seats</v>
      </c>
      <c r="R2184" t="str">
        <f>IFERROR(__xludf.DUMMYFUNCTION("""COMPUTED_VALUE"""),"Autopilot")</f>
        <v>Autopilot</v>
      </c>
      <c r="X2184" t="str">
        <f>IFERROR(__xludf.DUMMYFUNCTION("""COMPUTED_VALUE"""),"Excellent")</f>
        <v>Excellent</v>
      </c>
      <c r="Y2184" t="str">
        <f>IFERROR(__xludf.DUMMYFUNCTION("""COMPUTED_VALUE"""),"Excellent")</f>
        <v>Excellent</v>
      </c>
      <c r="Z2184" t="str">
        <f>IFERROR(__xludf.DUMMYFUNCTION("""COMPUTED_VALUE"""),"Excellent")</f>
        <v>Excellent</v>
      </c>
      <c r="AA2184" t="str">
        <f>IFERROR(__xludf.DUMMYFUNCTION("""COMPUTED_VALUE"""),"Very Good")</f>
        <v>Very Good</v>
      </c>
      <c r="AB2184" t="str">
        <f>IFERROR(__xludf.DUMMYFUNCTION("""COMPUTED_VALUE"""),"Excellent")</f>
        <v>Excellent</v>
      </c>
      <c r="AC2184">
        <f>IFERROR(__xludf.DUMMYFUNCTION("""COMPUTED_VALUE"""),0.0)</f>
        <v>0</v>
      </c>
      <c r="AG2184" t="str">
        <f>IFERROR(__xludf.DUMMYFUNCTION("""COMPUTED_VALUE"""),"Windshield cracked with rock on day 11 - Service Center rejected appointment because they're ""too busy"" and send me to a local repair company instead.")</f>
        <v>Windshield cracked with rock on day 11 - Service Center rejected appointment because they're "too busy" and send me to a local repair company instead.</v>
      </c>
      <c r="AH2184" s="189">
        <f>IFERROR(__xludf.DUMMYFUNCTION("""COMPUTED_VALUE"""),43823.3910208912)</f>
        <v>43823.39102</v>
      </c>
    </row>
    <row r="2185">
      <c r="A2185" t="str">
        <f>IFERROR(__xludf.DUMMYFUNCTION("""COMPUTED_VALUE"""),"iringem")</f>
        <v>iringem</v>
      </c>
      <c r="B2185" t="str">
        <f>IFERROR(__xludf.DUMMYFUNCTION("""COMPUTED_VALUE"""),"Richmond")</f>
        <v>Richmond</v>
      </c>
      <c r="C2185" t="str">
        <f>IFERROR(__xludf.DUMMYFUNCTION("""COMPUTED_VALUE"""),"VA")</f>
        <v>VA</v>
      </c>
      <c r="D2185" t="str">
        <f>IFERROR(__xludf.DUMMYFUNCTION("""COMPUTED_VALUE"""),"USA")</f>
        <v>USA</v>
      </c>
      <c r="E2185" s="188">
        <f>IFERROR(__xludf.DUMMYFUNCTION("""COMPUTED_VALUE"""),43751.0)</f>
        <v>43751</v>
      </c>
      <c r="F2185" s="188">
        <f>IFERROR(__xludf.DUMMYFUNCTION("""COMPUTED_VALUE"""),43802.0)</f>
        <v>43802</v>
      </c>
      <c r="H2185" s="4">
        <f>IFERROR(__xludf.DUMMYFUNCTION("""COMPUTED_VALUE"""),602993.0)</f>
        <v>602993</v>
      </c>
      <c r="J2185" s="5">
        <f>IFERROR(__xludf.DUMMYFUNCTION("""COMPUTED_VALUE"""),43810.0)</f>
        <v>43810</v>
      </c>
      <c r="K2185">
        <f>IFERROR(__xludf.DUMMYFUNCTION("""COMPUTED_VALUE"""),51.0)</f>
        <v>51</v>
      </c>
      <c r="L2185">
        <f>IFERROR(__xludf.DUMMYFUNCTION("""COMPUTED_VALUE"""),8.0)</f>
        <v>8</v>
      </c>
      <c r="M2185">
        <f>IFERROR(__xludf.DUMMYFUNCTION("""COMPUTED_VALUE"""),59.0)</f>
        <v>59</v>
      </c>
      <c r="N2185" t="str">
        <f>IFERROR(__xludf.DUMMYFUNCTION("""COMPUTED_VALUE"""),"Model 3 Performance")</f>
        <v>Model 3 Performance</v>
      </c>
      <c r="O2185" t="str">
        <f>IFERROR(__xludf.DUMMYFUNCTION("""COMPUTED_VALUE"""),"Red Multi-Coat")</f>
        <v>Red Multi-Coat</v>
      </c>
      <c r="P2185" t="str">
        <f>IFERROR(__xludf.DUMMYFUNCTION("""COMPUTED_VALUE"""),"20 inch Sport")</f>
        <v>20 inch Sport</v>
      </c>
      <c r="Q2185" t="str">
        <f>IFERROR(__xludf.DUMMYFUNCTION("""COMPUTED_VALUE"""),"Black seats")</f>
        <v>Black seats</v>
      </c>
      <c r="R2185" t="str">
        <f>IFERROR(__xludf.DUMMYFUNCTION("""COMPUTED_VALUE"""),"Autopilot")</f>
        <v>Autopilot</v>
      </c>
      <c r="X2185" t="str">
        <f>IFERROR(__xludf.DUMMYFUNCTION("""COMPUTED_VALUE"""),"Very Good")</f>
        <v>Very Good</v>
      </c>
      <c r="Y2185" t="str">
        <f>IFERROR(__xludf.DUMMYFUNCTION("""COMPUTED_VALUE"""),"Excellent")</f>
        <v>Excellent</v>
      </c>
      <c r="Z2185" t="str">
        <f>IFERROR(__xludf.DUMMYFUNCTION("""COMPUTED_VALUE"""),"Good")</f>
        <v>Good</v>
      </c>
      <c r="AA2185" t="str">
        <f>IFERROR(__xludf.DUMMYFUNCTION("""COMPUTED_VALUE"""),"Fair")</f>
        <v>Fair</v>
      </c>
      <c r="AB2185" t="str">
        <f>IFERROR(__xludf.DUMMYFUNCTION("""COMPUTED_VALUE"""),"Fair")</f>
        <v>Fair</v>
      </c>
      <c r="AD2185">
        <f>IFERROR(__xludf.DUMMYFUNCTION("""COMPUTED_VALUE"""),0.0)</f>
        <v>0</v>
      </c>
      <c r="AE2185">
        <f>IFERROR(__xludf.DUMMYFUNCTION("""COMPUTED_VALUE"""),0.0)</f>
        <v>0</v>
      </c>
      <c r="AG2185" t="str">
        <f>IFERROR(__xludf.DUMMYFUNCTION("""COMPUTED_VALUE"""),"This car was up to the fit and finish standards of BMW and Mercedes.")</f>
        <v>This car was up to the fit and finish standards of BMW and Mercedes.</v>
      </c>
      <c r="AH2185" s="189">
        <f>IFERROR(__xludf.DUMMYFUNCTION("""COMPUTED_VALUE"""),43823.42691454861)</f>
        <v>43823.42691</v>
      </c>
    </row>
    <row r="2186">
      <c r="A2186" t="str">
        <f>IFERROR(__xludf.DUMMYFUNCTION("""COMPUTED_VALUE"""),"RJM668")</f>
        <v>RJM668</v>
      </c>
      <c r="B2186" t="str">
        <f>IFERROR(__xludf.DUMMYFUNCTION("""COMPUTED_VALUE"""),"Albany Area")</f>
        <v>Albany Area</v>
      </c>
      <c r="C2186" t="str">
        <f>IFERROR(__xludf.DUMMYFUNCTION("""COMPUTED_VALUE"""),"NY")</f>
        <v>NY</v>
      </c>
      <c r="D2186" t="str">
        <f>IFERROR(__xludf.DUMMYFUNCTION("""COMPUTED_VALUE"""),"USA")</f>
        <v>USA</v>
      </c>
      <c r="E2186" s="188">
        <f>IFERROR(__xludf.DUMMYFUNCTION("""COMPUTED_VALUE"""),43743.0)</f>
        <v>43743</v>
      </c>
      <c r="F2186" s="188">
        <f>IFERROR(__xludf.DUMMYFUNCTION("""COMPUTED_VALUE"""),43804.0)</f>
        <v>43804</v>
      </c>
      <c r="H2186">
        <f>IFERROR(__xludf.DUMMYFUNCTION("""COMPUTED_VALUE"""),603055.0)</f>
        <v>603055</v>
      </c>
      <c r="J2186" s="5">
        <f>IFERROR(__xludf.DUMMYFUNCTION("""COMPUTED_VALUE"""),43819.0)</f>
        <v>43819</v>
      </c>
      <c r="K2186">
        <f>IFERROR(__xludf.DUMMYFUNCTION("""COMPUTED_VALUE"""),61.0)</f>
        <v>61</v>
      </c>
      <c r="L2186">
        <f>IFERROR(__xludf.DUMMYFUNCTION("""COMPUTED_VALUE"""),15.0)</f>
        <v>15</v>
      </c>
      <c r="M2186">
        <f>IFERROR(__xludf.DUMMYFUNCTION("""COMPUTED_VALUE"""),76.0)</f>
        <v>76</v>
      </c>
      <c r="N2186" t="str">
        <f>IFERROR(__xludf.DUMMYFUNCTION("""COMPUTED_VALUE"""),"Model 3 Performance")</f>
        <v>Model 3 Performance</v>
      </c>
      <c r="O2186" t="str">
        <f>IFERROR(__xludf.DUMMYFUNCTION("""COMPUTED_VALUE"""),"Deep Blue Metallic")</f>
        <v>Deep Blue Metallic</v>
      </c>
      <c r="P2186" t="str">
        <f>IFERROR(__xludf.DUMMYFUNCTION("""COMPUTED_VALUE"""),"20 inch Sport")</f>
        <v>20 inch Sport</v>
      </c>
      <c r="Q2186" t="str">
        <f>IFERROR(__xludf.DUMMYFUNCTION("""COMPUTED_VALUE"""),"Black seats")</f>
        <v>Black seats</v>
      </c>
      <c r="R2186" t="str">
        <f>IFERROR(__xludf.DUMMYFUNCTION("""COMPUTED_VALUE"""),"Full Self-Driving")</f>
        <v>Full Self-Driving</v>
      </c>
      <c r="X2186" t="str">
        <f>IFERROR(__xludf.DUMMYFUNCTION("""COMPUTED_VALUE"""),"Excellent")</f>
        <v>Excellent</v>
      </c>
      <c r="Y2186" t="str">
        <f>IFERROR(__xludf.DUMMYFUNCTION("""COMPUTED_VALUE"""),"Excellent")</f>
        <v>Excellent</v>
      </c>
      <c r="Z2186" t="str">
        <f>IFERROR(__xludf.DUMMYFUNCTION("""COMPUTED_VALUE"""),"Excellent")</f>
        <v>Excellent</v>
      </c>
      <c r="AA2186" t="str">
        <f>IFERROR(__xludf.DUMMYFUNCTION("""COMPUTED_VALUE"""),"Fair")</f>
        <v>Fair</v>
      </c>
      <c r="AB2186" t="str">
        <f>IFERROR(__xludf.DUMMYFUNCTION("""COMPUTED_VALUE"""),"Poor")</f>
        <v>Poor</v>
      </c>
      <c r="AG2186" t="str">
        <f>IFERROR(__xludf.DUMMYFUNCTION("""COMPUTED_VALUE"""),"I do not believe the vehicle was prep'd.  Just unloaded and turned over to me and after 11wks I just wanted to get out of there in one piece. ")</f>
        <v>I do not believe the vehicle was prep'd.  Just unloaded and turned over to me and after 11wks I just wanted to get out of there in one piece. </v>
      </c>
      <c r="AH2186" s="189">
        <f>IFERROR(__xludf.DUMMYFUNCTION("""COMPUTED_VALUE"""),43823.51798350694)</f>
        <v>43823.51798</v>
      </c>
    </row>
    <row r="2187">
      <c r="A2187" t="str">
        <f>IFERROR(__xludf.DUMMYFUNCTION("""COMPUTED_VALUE"""),"VAA123")</f>
        <v>VAA123</v>
      </c>
      <c r="B2187" t="str">
        <f>IFERROR(__xludf.DUMMYFUNCTION("""COMPUTED_VALUE"""),"Simi Valley")</f>
        <v>Simi Valley</v>
      </c>
      <c r="C2187" t="str">
        <f>IFERROR(__xludf.DUMMYFUNCTION("""COMPUTED_VALUE"""),"CA")</f>
        <v>CA</v>
      </c>
      <c r="D2187" t="str">
        <f>IFERROR(__xludf.DUMMYFUNCTION("""COMPUTED_VALUE"""),"USA")</f>
        <v>USA</v>
      </c>
      <c r="E2187" s="188">
        <f>IFERROR(__xludf.DUMMYFUNCTION("""COMPUTED_VALUE"""),43803.0)</f>
        <v>43803</v>
      </c>
      <c r="F2187" s="188">
        <f>IFERROR(__xludf.DUMMYFUNCTION("""COMPUTED_VALUE"""),43815.0)</f>
        <v>43815</v>
      </c>
      <c r="H2187">
        <f>IFERROR(__xludf.DUMMYFUNCTION("""COMPUTED_VALUE"""),619555.0)</f>
        <v>619555</v>
      </c>
      <c r="I2187" t="str">
        <f>IFERROR(__xludf.DUMMYFUNCTION("""COMPUTED_VALUE"""),"12/19")</f>
        <v>12/19</v>
      </c>
      <c r="J2187" s="5">
        <f>IFERROR(__xludf.DUMMYFUNCTION("""COMPUTED_VALUE"""),43822.0)</f>
        <v>43822</v>
      </c>
      <c r="K2187">
        <f>IFERROR(__xludf.DUMMYFUNCTION("""COMPUTED_VALUE"""),12.0)</f>
        <v>12</v>
      </c>
      <c r="L2187">
        <f>IFERROR(__xludf.DUMMYFUNCTION("""COMPUTED_VALUE"""),7.0)</f>
        <v>7</v>
      </c>
      <c r="M2187">
        <f>IFERROR(__xludf.DUMMYFUNCTION("""COMPUTED_VALUE"""),19.0)</f>
        <v>19</v>
      </c>
      <c r="N2187" t="str">
        <f>IFERROR(__xludf.DUMMYFUNCTION("""COMPUTED_VALUE"""),"Model 3 LR AWD")</f>
        <v>Model 3 LR AWD</v>
      </c>
      <c r="O2187" t="str">
        <f>IFERROR(__xludf.DUMMYFUNCTION("""COMPUTED_VALUE"""),"Pearl White Multi-Coat")</f>
        <v>Pearl White Multi-Coat</v>
      </c>
      <c r="P2187" t="str">
        <f>IFERROR(__xludf.DUMMYFUNCTION("""COMPUTED_VALUE"""),"18 inch Aero")</f>
        <v>18 inch Aero</v>
      </c>
      <c r="Q2187" t="str">
        <f>IFERROR(__xludf.DUMMYFUNCTION("""COMPUTED_VALUE"""),"Black seats")</f>
        <v>Black seats</v>
      </c>
      <c r="R2187" t="str">
        <f>IFERROR(__xludf.DUMMYFUNCTION("""COMPUTED_VALUE"""),"Full Self-Driving")</f>
        <v>Full Self-Driving</v>
      </c>
      <c r="X2187" t="str">
        <f>IFERROR(__xludf.DUMMYFUNCTION("""COMPUTED_VALUE"""),"Excellent")</f>
        <v>Excellent</v>
      </c>
      <c r="Y2187" t="str">
        <f>IFERROR(__xludf.DUMMYFUNCTION("""COMPUTED_VALUE"""),"Excellent")</f>
        <v>Excellent</v>
      </c>
      <c r="Z2187" t="str">
        <f>IFERROR(__xludf.DUMMYFUNCTION("""COMPUTED_VALUE"""),"Excellent")</f>
        <v>Excellent</v>
      </c>
      <c r="AA2187" t="str">
        <f>IFERROR(__xludf.DUMMYFUNCTION("""COMPUTED_VALUE"""),"Excellent")</f>
        <v>Excellent</v>
      </c>
      <c r="AB2187" t="str">
        <f>IFERROR(__xludf.DUMMYFUNCTION("""COMPUTED_VALUE"""),"Excellent")</f>
        <v>Excellent</v>
      </c>
      <c r="AH2187" s="189">
        <f>IFERROR(__xludf.DUMMYFUNCTION("""COMPUTED_VALUE"""),43823.55397951389)</f>
        <v>43823.55398</v>
      </c>
    </row>
    <row r="2188">
      <c r="A2188" t="str">
        <f>IFERROR(__xludf.DUMMYFUNCTION("""COMPUTED_VALUE"""),"KendoNagasaki ")</f>
        <v>KendoNagasaki </v>
      </c>
      <c r="B2188" t="str">
        <f>IFERROR(__xludf.DUMMYFUNCTION("""COMPUTED_VALUE"""),"Edinburgh")</f>
        <v>Edinburgh</v>
      </c>
      <c r="D2188" t="str">
        <f>IFERROR(__xludf.DUMMYFUNCTION("""COMPUTED_VALUE"""),"United Kingdom")</f>
        <v>United Kingdom</v>
      </c>
      <c r="E2188" s="188">
        <f>IFERROR(__xludf.DUMMYFUNCTION("""COMPUTED_VALUE"""),43747.0)</f>
        <v>43747</v>
      </c>
      <c r="F2188" s="188">
        <f>IFERROR(__xludf.DUMMYFUNCTION("""COMPUTED_VALUE"""),43801.0)</f>
        <v>43801</v>
      </c>
      <c r="H2188">
        <f>IFERROR(__xludf.DUMMYFUNCTION("""COMPUTED_VALUE"""),572255.0)</f>
        <v>572255</v>
      </c>
      <c r="J2188" s="5">
        <f>IFERROR(__xludf.DUMMYFUNCTION("""COMPUTED_VALUE"""),43818.0)</f>
        <v>43818</v>
      </c>
      <c r="K2188">
        <f>IFERROR(__xludf.DUMMYFUNCTION("""COMPUTED_VALUE"""),54.0)</f>
        <v>54</v>
      </c>
      <c r="L2188">
        <f>IFERROR(__xludf.DUMMYFUNCTION("""COMPUTED_VALUE"""),17.0)</f>
        <v>17</v>
      </c>
      <c r="M2188">
        <f>IFERROR(__xludf.DUMMYFUNCTION("""COMPUTED_VALUE"""),71.0)</f>
        <v>71</v>
      </c>
      <c r="N2188" t="str">
        <f>IFERROR(__xludf.DUMMYFUNCTION("""COMPUTED_VALUE"""),"Model 3 SR+")</f>
        <v>Model 3 SR+</v>
      </c>
      <c r="O2188" t="str">
        <f>IFERROR(__xludf.DUMMYFUNCTION("""COMPUTED_VALUE"""),"Deep Blue Metallic")</f>
        <v>Deep Blue Metallic</v>
      </c>
      <c r="P2188" t="str">
        <f>IFERROR(__xludf.DUMMYFUNCTION("""COMPUTED_VALUE"""),"18 inch Aero")</f>
        <v>18 inch Aero</v>
      </c>
      <c r="Q2188" t="str">
        <f>IFERROR(__xludf.DUMMYFUNCTION("""COMPUTED_VALUE"""),"Black seats")</f>
        <v>Black seats</v>
      </c>
      <c r="R2188" t="str">
        <f>IFERROR(__xludf.DUMMYFUNCTION("""COMPUTED_VALUE"""),"Autopilot")</f>
        <v>Autopilot</v>
      </c>
      <c r="X2188" t="str">
        <f>IFERROR(__xludf.DUMMYFUNCTION("""COMPUTED_VALUE"""),"Very Good")</f>
        <v>Very Good</v>
      </c>
      <c r="Y2188" t="str">
        <f>IFERROR(__xludf.DUMMYFUNCTION("""COMPUTED_VALUE"""),"Excellent")</f>
        <v>Excellent</v>
      </c>
      <c r="Z2188" t="str">
        <f>IFERROR(__xludf.DUMMYFUNCTION("""COMPUTED_VALUE"""),"Very Good")</f>
        <v>Very Good</v>
      </c>
      <c r="AA2188" t="str">
        <f>IFERROR(__xludf.DUMMYFUNCTION("""COMPUTED_VALUE"""),"Poor")</f>
        <v>Poor</v>
      </c>
      <c r="AB2188" t="str">
        <f>IFERROR(__xludf.DUMMYFUNCTION("""COMPUTED_VALUE"""),"Very Good")</f>
        <v>Very Good</v>
      </c>
      <c r="AC2188">
        <f>IFERROR(__xludf.DUMMYFUNCTION("""COMPUTED_VALUE"""),1.0)</f>
        <v>1</v>
      </c>
      <c r="AH2188" s="189">
        <f>IFERROR(__xludf.DUMMYFUNCTION("""COMPUTED_VALUE"""),43823.56234304398)</f>
        <v>43823.56234</v>
      </c>
    </row>
    <row r="2189">
      <c r="A2189" t="str">
        <f>IFERROR(__xludf.DUMMYFUNCTION("""COMPUTED_VALUE"""),"marshpaw")</f>
        <v>marshpaw</v>
      </c>
      <c r="B2189" t="str">
        <f>IFERROR(__xludf.DUMMYFUNCTION("""COMPUTED_VALUE"""),"Bay Area")</f>
        <v>Bay Area</v>
      </c>
      <c r="C2189" t="str">
        <f>IFERROR(__xludf.DUMMYFUNCTION("""COMPUTED_VALUE"""),"CA")</f>
        <v>CA</v>
      </c>
      <c r="D2189" t="str">
        <f>IFERROR(__xludf.DUMMYFUNCTION("""COMPUTED_VALUE"""),"USA")</f>
        <v>USA</v>
      </c>
      <c r="E2189" s="188">
        <f>IFERROR(__xludf.DUMMYFUNCTION("""COMPUTED_VALUE"""),43789.0)</f>
        <v>43789</v>
      </c>
      <c r="F2189" s="188">
        <f>IFERROR(__xludf.DUMMYFUNCTION("""COMPUTED_VALUE"""),43818.0)</f>
        <v>43818</v>
      </c>
      <c r="H2189" s="4">
        <f>IFERROR(__xludf.DUMMYFUNCTION("""COMPUTED_VALUE"""),628343.0)</f>
        <v>628343</v>
      </c>
      <c r="J2189" s="5">
        <f>IFERROR(__xludf.DUMMYFUNCTION("""COMPUTED_VALUE"""),43823.0)</f>
        <v>43823</v>
      </c>
      <c r="K2189">
        <f>IFERROR(__xludf.DUMMYFUNCTION("""COMPUTED_VALUE"""),29.0)</f>
        <v>29</v>
      </c>
      <c r="L2189">
        <f>IFERROR(__xludf.DUMMYFUNCTION("""COMPUTED_VALUE"""),5.0)</f>
        <v>5</v>
      </c>
      <c r="M2189">
        <f>IFERROR(__xludf.DUMMYFUNCTION("""COMPUTED_VALUE"""),34.0)</f>
        <v>34</v>
      </c>
      <c r="N2189" t="str">
        <f>IFERROR(__xludf.DUMMYFUNCTION("""COMPUTED_VALUE"""),"Model 3 LR AWD")</f>
        <v>Model 3 LR AWD</v>
      </c>
      <c r="O2189" t="str">
        <f>IFERROR(__xludf.DUMMYFUNCTION("""COMPUTED_VALUE"""),"Deep Blue Metallic")</f>
        <v>Deep Blue Metallic</v>
      </c>
      <c r="P2189" t="str">
        <f>IFERROR(__xludf.DUMMYFUNCTION("""COMPUTED_VALUE"""),"19 inch Sport")</f>
        <v>19 inch Sport</v>
      </c>
      <c r="Q2189" t="str">
        <f>IFERROR(__xludf.DUMMYFUNCTION("""COMPUTED_VALUE"""),"Black seats")</f>
        <v>Black seats</v>
      </c>
      <c r="R2189" t="str">
        <f>IFERROR(__xludf.DUMMYFUNCTION("""COMPUTED_VALUE"""),"Full Self-Driving")</f>
        <v>Full Self-Driving</v>
      </c>
      <c r="X2189" t="str">
        <f>IFERROR(__xludf.DUMMYFUNCTION("""COMPUTED_VALUE"""),"Excellent")</f>
        <v>Excellent</v>
      </c>
      <c r="Y2189" t="str">
        <f>IFERROR(__xludf.DUMMYFUNCTION("""COMPUTED_VALUE"""),"Excellent")</f>
        <v>Excellent</v>
      </c>
      <c r="Z2189" t="str">
        <f>IFERROR(__xludf.DUMMYFUNCTION("""COMPUTED_VALUE"""),"Excellent")</f>
        <v>Excellent</v>
      </c>
      <c r="AA2189" t="str">
        <f>IFERROR(__xludf.DUMMYFUNCTION("""COMPUTED_VALUE"""),"Very Good")</f>
        <v>Very Good</v>
      </c>
      <c r="AB2189" t="str">
        <f>IFERROR(__xludf.DUMMYFUNCTION("""COMPUTED_VALUE"""),"Good")</f>
        <v>Good</v>
      </c>
      <c r="AC2189">
        <f>IFERROR(__xludf.DUMMYFUNCTION("""COMPUTED_VALUE"""),4.0)</f>
        <v>4</v>
      </c>
      <c r="AH2189" s="189">
        <f>IFERROR(__xludf.DUMMYFUNCTION("""COMPUTED_VALUE"""),43823.57197440972)</f>
        <v>43823.57197</v>
      </c>
    </row>
    <row r="2190">
      <c r="A2190" t="str">
        <f>IFERROR(__xludf.DUMMYFUNCTION("""COMPUTED_VALUE"""),"Autovoid")</f>
        <v>Autovoid</v>
      </c>
      <c r="B2190" t="str">
        <f>IFERROR(__xludf.DUMMYFUNCTION("""COMPUTED_VALUE"""),"Los Angeles")</f>
        <v>Los Angeles</v>
      </c>
      <c r="C2190" t="str">
        <f>IFERROR(__xludf.DUMMYFUNCTION("""COMPUTED_VALUE"""),"CA")</f>
        <v>CA</v>
      </c>
      <c r="D2190" t="str">
        <f>IFERROR(__xludf.DUMMYFUNCTION("""COMPUTED_VALUE"""),"USA")</f>
        <v>USA</v>
      </c>
      <c r="E2190" s="188">
        <f>IFERROR(__xludf.DUMMYFUNCTION("""COMPUTED_VALUE"""),43766.0)</f>
        <v>43766</v>
      </c>
      <c r="F2190" s="188">
        <f>IFERROR(__xludf.DUMMYFUNCTION("""COMPUTED_VALUE"""),43820.0)</f>
        <v>43820</v>
      </c>
      <c r="H2190">
        <f>IFERROR(__xludf.DUMMYFUNCTION("""COMPUTED_VALUE"""),622833.0)</f>
        <v>622833</v>
      </c>
      <c r="I2190" t="str">
        <f>IFERROR(__xludf.DUMMYFUNCTION("""COMPUTED_VALUE"""),"12/19")</f>
        <v>12/19</v>
      </c>
      <c r="J2190" s="5">
        <f>IFERROR(__xludf.DUMMYFUNCTION("""COMPUTED_VALUE"""),43823.0)</f>
        <v>43823</v>
      </c>
      <c r="K2190">
        <f>IFERROR(__xludf.DUMMYFUNCTION("""COMPUTED_VALUE"""),54.0)</f>
        <v>54</v>
      </c>
      <c r="L2190">
        <f>IFERROR(__xludf.DUMMYFUNCTION("""COMPUTED_VALUE"""),3.0)</f>
        <v>3</v>
      </c>
      <c r="M2190">
        <f>IFERROR(__xludf.DUMMYFUNCTION("""COMPUTED_VALUE"""),57.0)</f>
        <v>57</v>
      </c>
      <c r="N2190" t="str">
        <f>IFERROR(__xludf.DUMMYFUNCTION("""COMPUTED_VALUE"""),"Model 3 LR AWD")</f>
        <v>Model 3 LR AWD</v>
      </c>
      <c r="O2190" t="str">
        <f>IFERROR(__xludf.DUMMYFUNCTION("""COMPUTED_VALUE"""),"Pearl White Multi-Coat")</f>
        <v>Pearl White Multi-Coat</v>
      </c>
      <c r="P2190" t="str">
        <f>IFERROR(__xludf.DUMMYFUNCTION("""COMPUTED_VALUE"""),"19 inch Sport")</f>
        <v>19 inch Sport</v>
      </c>
      <c r="Q2190" t="str">
        <f>IFERROR(__xludf.DUMMYFUNCTION("""COMPUTED_VALUE"""),"White seats")</f>
        <v>White seats</v>
      </c>
      <c r="R2190" t="str">
        <f>IFERROR(__xludf.DUMMYFUNCTION("""COMPUTED_VALUE"""),"Autopilot")</f>
        <v>Autopilot</v>
      </c>
      <c r="X2190" t="str">
        <f>IFERROR(__xludf.DUMMYFUNCTION("""COMPUTED_VALUE"""),"Excellent")</f>
        <v>Excellent</v>
      </c>
      <c r="Y2190" t="str">
        <f>IFERROR(__xludf.DUMMYFUNCTION("""COMPUTED_VALUE"""),"Excellent")</f>
        <v>Excellent</v>
      </c>
      <c r="Z2190" t="str">
        <f>IFERROR(__xludf.DUMMYFUNCTION("""COMPUTED_VALUE"""),"Excellent")</f>
        <v>Excellent</v>
      </c>
      <c r="AA2190" t="str">
        <f>IFERROR(__xludf.DUMMYFUNCTION("""COMPUTED_VALUE"""),"Fair")</f>
        <v>Fair</v>
      </c>
      <c r="AB2190" t="str">
        <f>IFERROR(__xludf.DUMMYFUNCTION("""COMPUTED_VALUE"""),"Very Good")</f>
        <v>Very Good</v>
      </c>
      <c r="AH2190" s="189">
        <f>IFERROR(__xludf.DUMMYFUNCTION("""COMPUTED_VALUE"""),43823.57521576389)</f>
        <v>43823.57522</v>
      </c>
    </row>
    <row r="2191">
      <c r="A2191" t="str">
        <f>IFERROR(__xludf.DUMMYFUNCTION("""COMPUTED_VALUE"""),"tomcatt1")</f>
        <v>tomcatt1</v>
      </c>
      <c r="B2191" t="str">
        <f>IFERROR(__xludf.DUMMYFUNCTION("""COMPUTED_VALUE"""),"Honea Path")</f>
        <v>Honea Path</v>
      </c>
      <c r="C2191" t="str">
        <f>IFERROR(__xludf.DUMMYFUNCTION("""COMPUTED_VALUE"""),"SC")</f>
        <v>SC</v>
      </c>
      <c r="D2191" t="str">
        <f>IFERROR(__xludf.DUMMYFUNCTION("""COMPUTED_VALUE"""),"USA")</f>
        <v>USA</v>
      </c>
      <c r="E2191" s="188">
        <f>IFERROR(__xludf.DUMMYFUNCTION("""COMPUTED_VALUE"""),43756.0)</f>
        <v>43756</v>
      </c>
      <c r="F2191" s="188">
        <f>IFERROR(__xludf.DUMMYFUNCTION("""COMPUTED_VALUE"""),43774.0)</f>
        <v>43774</v>
      </c>
      <c r="H2191">
        <f>IFERROR(__xludf.DUMMYFUNCTION("""COMPUTED_VALUE"""),495555.0)</f>
        <v>495555</v>
      </c>
      <c r="I2191" t="str">
        <f>IFERROR(__xludf.DUMMYFUNCTION("""COMPUTED_VALUE"""),"10/19")</f>
        <v>10/19</v>
      </c>
      <c r="J2191" s="5">
        <f>IFERROR(__xludf.DUMMYFUNCTION("""COMPUTED_VALUE"""),43792.0)</f>
        <v>43792</v>
      </c>
      <c r="K2191">
        <f>IFERROR(__xludf.DUMMYFUNCTION("""COMPUTED_VALUE"""),18.0)</f>
        <v>18</v>
      </c>
      <c r="L2191">
        <f>IFERROR(__xludf.DUMMYFUNCTION("""COMPUTED_VALUE"""),18.0)</f>
        <v>18</v>
      </c>
      <c r="M2191">
        <f>IFERROR(__xludf.DUMMYFUNCTION("""COMPUTED_VALUE"""),36.0)</f>
        <v>36</v>
      </c>
      <c r="N2191" t="str">
        <f>IFERROR(__xludf.DUMMYFUNCTION("""COMPUTED_VALUE"""),"Model 3 SR+")</f>
        <v>Model 3 SR+</v>
      </c>
      <c r="O2191" t="str">
        <f>IFERROR(__xludf.DUMMYFUNCTION("""COMPUTED_VALUE"""),"Midnight Silver Metallic")</f>
        <v>Midnight Silver Metallic</v>
      </c>
      <c r="P2191" t="str">
        <f>IFERROR(__xludf.DUMMYFUNCTION("""COMPUTED_VALUE"""),"18 inch Aero")</f>
        <v>18 inch Aero</v>
      </c>
      <c r="Q2191" t="str">
        <f>IFERROR(__xludf.DUMMYFUNCTION("""COMPUTED_VALUE"""),"Black seats")</f>
        <v>Black seats</v>
      </c>
      <c r="R2191" t="str">
        <f>IFERROR(__xludf.DUMMYFUNCTION("""COMPUTED_VALUE"""),"Autopilot")</f>
        <v>Autopilot</v>
      </c>
      <c r="X2191" t="str">
        <f>IFERROR(__xludf.DUMMYFUNCTION("""COMPUTED_VALUE"""),"Excellent")</f>
        <v>Excellent</v>
      </c>
      <c r="Y2191" t="str">
        <f>IFERROR(__xludf.DUMMYFUNCTION("""COMPUTED_VALUE"""),"Excellent")</f>
        <v>Excellent</v>
      </c>
      <c r="Z2191" t="str">
        <f>IFERROR(__xludf.DUMMYFUNCTION("""COMPUTED_VALUE"""),"Excellent")</f>
        <v>Excellent</v>
      </c>
      <c r="AA2191" t="str">
        <f>IFERROR(__xludf.DUMMYFUNCTION("""COMPUTED_VALUE"""),"Fair")</f>
        <v>Fair</v>
      </c>
      <c r="AB2191" t="str">
        <f>IFERROR(__xludf.DUMMYFUNCTION("""COMPUTED_VALUE"""),"Very Good")</f>
        <v>Very Good</v>
      </c>
      <c r="AC2191">
        <f>IFERROR(__xludf.DUMMYFUNCTION("""COMPUTED_VALUE"""),2.0)</f>
        <v>2</v>
      </c>
      <c r="AD2191">
        <f>IFERROR(__xludf.DUMMYFUNCTION("""COMPUTED_VALUE"""),1.0)</f>
        <v>1</v>
      </c>
      <c r="AE2191">
        <f>IFERROR(__xludf.DUMMYFUNCTION("""COMPUTED_VALUE"""),1.0)</f>
        <v>1</v>
      </c>
      <c r="AG2191" t="str">
        <f>IFERROR(__xludf.DUMMYFUNCTION("""COMPUTED_VALUE"""),"Original delivery date was set to Nov 15, but was changed the day before by Tesla to a new date of Nov 21 - The reason that was given was that a door interior needed to be repainted. Update on 11/20....delivery date changed to 11/23. Delivery on 11/23. MC"&amp;"U inoperative.")</f>
        <v>Original delivery date was set to Nov 15, but was changed the day before by Tesla to a new date of Nov 21 - The reason that was given was that a door interior needed to be repainted. Update on 11/20....delivery date changed to 11/23. Delivery on 11/23. MCU inoperative.</v>
      </c>
      <c r="AH2191" s="189">
        <f>IFERROR(__xludf.DUMMYFUNCTION("""COMPUTED_VALUE"""),43823.85426045139)</f>
        <v>43823.85426</v>
      </c>
    </row>
    <row r="2192">
      <c r="A2192" t="str">
        <f>IFERROR(__xludf.DUMMYFUNCTION("""COMPUTED_VALUE"""),"KleanKar")</f>
        <v>KleanKar</v>
      </c>
      <c r="B2192" t="str">
        <f>IFERROR(__xludf.DUMMYFUNCTION("""COMPUTED_VALUE"""),"Sunnyvale")</f>
        <v>Sunnyvale</v>
      </c>
      <c r="C2192" t="str">
        <f>IFERROR(__xludf.DUMMYFUNCTION("""COMPUTED_VALUE"""),"CA")</f>
        <v>CA</v>
      </c>
      <c r="D2192" t="str">
        <f>IFERROR(__xludf.DUMMYFUNCTION("""COMPUTED_VALUE"""),"USA")</f>
        <v>USA</v>
      </c>
      <c r="E2192" s="188">
        <f>IFERROR(__xludf.DUMMYFUNCTION("""COMPUTED_VALUE"""),43772.0)</f>
        <v>43772</v>
      </c>
      <c r="F2192" s="188">
        <f>IFERROR(__xludf.DUMMYFUNCTION("""COMPUTED_VALUE"""),43821.0)</f>
        <v>43821</v>
      </c>
      <c r="H2192">
        <f>IFERROR(__xludf.DUMMYFUNCTION("""COMPUTED_VALUE"""),633950.0)</f>
        <v>633950</v>
      </c>
      <c r="J2192" s="5">
        <f>IFERROR(__xludf.DUMMYFUNCTION("""COMPUTED_VALUE"""),43822.0)</f>
        <v>43822</v>
      </c>
      <c r="K2192">
        <f>IFERROR(__xludf.DUMMYFUNCTION("""COMPUTED_VALUE"""),49.0)</f>
        <v>49</v>
      </c>
      <c r="L2192">
        <f>IFERROR(__xludf.DUMMYFUNCTION("""COMPUTED_VALUE"""),1.0)</f>
        <v>1</v>
      </c>
      <c r="M2192">
        <f>IFERROR(__xludf.DUMMYFUNCTION("""COMPUTED_VALUE"""),50.0)</f>
        <v>50</v>
      </c>
      <c r="N2192" t="str">
        <f>IFERROR(__xludf.DUMMYFUNCTION("""COMPUTED_VALUE"""),"Model 3 SR")</f>
        <v>Model 3 SR</v>
      </c>
      <c r="O2192" t="str">
        <f>IFERROR(__xludf.DUMMYFUNCTION("""COMPUTED_VALUE"""),"Deep Blue Metallic")</f>
        <v>Deep Blue Metallic</v>
      </c>
      <c r="P2192" t="str">
        <f>IFERROR(__xludf.DUMMYFUNCTION("""COMPUTED_VALUE"""),"19 inch Sport")</f>
        <v>19 inch Sport</v>
      </c>
      <c r="Q2192" t="str">
        <f>IFERROR(__xludf.DUMMYFUNCTION("""COMPUTED_VALUE"""),"Black seats")</f>
        <v>Black seats</v>
      </c>
      <c r="R2192" t="str">
        <f>IFERROR(__xludf.DUMMYFUNCTION("""COMPUTED_VALUE"""),"Full Self-Driving")</f>
        <v>Full Self-Driving</v>
      </c>
      <c r="X2192" t="str">
        <f>IFERROR(__xludf.DUMMYFUNCTION("""COMPUTED_VALUE"""),"Good")</f>
        <v>Good</v>
      </c>
      <c r="Y2192" t="str">
        <f>IFERROR(__xludf.DUMMYFUNCTION("""COMPUTED_VALUE"""),"Very Good")</f>
        <v>Very Good</v>
      </c>
      <c r="Z2192" t="str">
        <f>IFERROR(__xludf.DUMMYFUNCTION("""COMPUTED_VALUE"""),"Very Good")</f>
        <v>Very Good</v>
      </c>
      <c r="AA2192" t="str">
        <f>IFERROR(__xludf.DUMMYFUNCTION("""COMPUTED_VALUE"""),"Good")</f>
        <v>Good</v>
      </c>
      <c r="AB2192" t="str">
        <f>IFERROR(__xludf.DUMMYFUNCTION("""COMPUTED_VALUE"""),"Very Good")</f>
        <v>Very Good</v>
      </c>
      <c r="AH2192" s="189">
        <f>IFERROR(__xludf.DUMMYFUNCTION("""COMPUTED_VALUE"""),43823.930703391205)</f>
        <v>43823.9307</v>
      </c>
    </row>
    <row r="2193">
      <c r="A2193" t="str">
        <f>IFERROR(__xludf.DUMMYFUNCTION("""COMPUTED_VALUE"""),"C1215")</f>
        <v>C1215</v>
      </c>
      <c r="B2193" t="str">
        <f>IFERROR(__xludf.DUMMYFUNCTION("""COMPUTED_VALUE"""),"San Francisco")</f>
        <v>San Francisco</v>
      </c>
      <c r="C2193" t="str">
        <f>IFERROR(__xludf.DUMMYFUNCTION("""COMPUTED_VALUE"""),"CA")</f>
        <v>CA</v>
      </c>
      <c r="D2193" t="str">
        <f>IFERROR(__xludf.DUMMYFUNCTION("""COMPUTED_VALUE"""),"USA")</f>
        <v>USA</v>
      </c>
      <c r="E2193" s="188">
        <f>IFERROR(__xludf.DUMMYFUNCTION("""COMPUTED_VALUE"""),43807.0)</f>
        <v>43807</v>
      </c>
      <c r="F2193" s="188">
        <f>IFERROR(__xludf.DUMMYFUNCTION("""COMPUTED_VALUE"""),43818.0)</f>
        <v>43818</v>
      </c>
      <c r="H2193" s="4">
        <f>IFERROR(__xludf.DUMMYFUNCTION("""COMPUTED_VALUE"""),613228.0)</f>
        <v>613228</v>
      </c>
      <c r="J2193" s="5">
        <f>IFERROR(__xludf.DUMMYFUNCTION("""COMPUTED_VALUE"""),43821.0)</f>
        <v>43821</v>
      </c>
      <c r="K2193">
        <f>IFERROR(__xludf.DUMMYFUNCTION("""COMPUTED_VALUE"""),11.0)</f>
        <v>11</v>
      </c>
      <c r="L2193">
        <f>IFERROR(__xludf.DUMMYFUNCTION("""COMPUTED_VALUE"""),3.0)</f>
        <v>3</v>
      </c>
      <c r="M2193">
        <f>IFERROR(__xludf.DUMMYFUNCTION("""COMPUTED_VALUE"""),14.0)</f>
        <v>14</v>
      </c>
      <c r="N2193" t="str">
        <f>IFERROR(__xludf.DUMMYFUNCTION("""COMPUTED_VALUE"""),"Model 3 SR+")</f>
        <v>Model 3 SR+</v>
      </c>
      <c r="O2193" t="str">
        <f>IFERROR(__xludf.DUMMYFUNCTION("""COMPUTED_VALUE"""),"Pearl White Multi-Coat")</f>
        <v>Pearl White Multi-Coat</v>
      </c>
      <c r="P2193" t="str">
        <f>IFERROR(__xludf.DUMMYFUNCTION("""COMPUTED_VALUE"""),"18 inch Aero")</f>
        <v>18 inch Aero</v>
      </c>
      <c r="Q2193" t="str">
        <f>IFERROR(__xludf.DUMMYFUNCTION("""COMPUTED_VALUE"""),"Black seats")</f>
        <v>Black seats</v>
      </c>
      <c r="R2193" t="str">
        <f>IFERROR(__xludf.DUMMYFUNCTION("""COMPUTED_VALUE"""),"Full Self-Driving")</f>
        <v>Full Self-Driving</v>
      </c>
      <c r="X2193" t="str">
        <f>IFERROR(__xludf.DUMMYFUNCTION("""COMPUTED_VALUE"""),"Fair")</f>
        <v>Fair</v>
      </c>
      <c r="Y2193" t="str">
        <f>IFERROR(__xludf.DUMMYFUNCTION("""COMPUTED_VALUE"""),"Poor")</f>
        <v>Poor</v>
      </c>
      <c r="Z2193" t="str">
        <f>IFERROR(__xludf.DUMMYFUNCTION("""COMPUTED_VALUE"""),"Very Good")</f>
        <v>Very Good</v>
      </c>
      <c r="AA2193" t="str">
        <f>IFERROR(__xludf.DUMMYFUNCTION("""COMPUTED_VALUE"""),"Very Good")</f>
        <v>Very Good</v>
      </c>
      <c r="AB2193" t="str">
        <f>IFERROR(__xludf.DUMMYFUNCTION("""COMPUTED_VALUE"""),"Very Good")</f>
        <v>Very Good</v>
      </c>
      <c r="AC2193">
        <f>IFERROR(__xludf.DUMMYFUNCTION("""COMPUTED_VALUE"""),2.0)</f>
        <v>2</v>
      </c>
      <c r="AD2193">
        <f>IFERROR(__xludf.DUMMYFUNCTION("""COMPUTED_VALUE"""),1.0)</f>
        <v>1</v>
      </c>
      <c r="AH2193" s="189">
        <f>IFERROR(__xludf.DUMMYFUNCTION("""COMPUTED_VALUE"""),43824.61301153935)</f>
        <v>43824.61301</v>
      </c>
    </row>
    <row r="2194">
      <c r="A2194" t="str">
        <f>IFERROR(__xludf.DUMMYFUNCTION("""COMPUTED_VALUE"""),"Anker")</f>
        <v>Anker</v>
      </c>
      <c r="C2194" t="str">
        <f>IFERROR(__xludf.DUMMYFUNCTION("""COMPUTED_VALUE"""),"MD")</f>
        <v>MD</v>
      </c>
      <c r="D2194" t="str">
        <f>IFERROR(__xludf.DUMMYFUNCTION("""COMPUTED_VALUE"""),"USA")</f>
        <v>USA</v>
      </c>
      <c r="E2194" s="188">
        <f>IFERROR(__xludf.DUMMYFUNCTION("""COMPUTED_VALUE"""),43795.0)</f>
        <v>43795</v>
      </c>
      <c r="F2194" s="188">
        <f>IFERROR(__xludf.DUMMYFUNCTION("""COMPUTED_VALUE"""),43805.0)</f>
        <v>43805</v>
      </c>
      <c r="H2194">
        <f>IFERROR(__xludf.DUMMYFUNCTION("""COMPUTED_VALUE"""),598255.0)</f>
        <v>598255</v>
      </c>
      <c r="I2194" t="str">
        <f>IFERROR(__xludf.DUMMYFUNCTION("""COMPUTED_VALUE"""),"12/19")</f>
        <v>12/19</v>
      </c>
      <c r="J2194" s="5">
        <f>IFERROR(__xludf.DUMMYFUNCTION("""COMPUTED_VALUE"""),43812.0)</f>
        <v>43812</v>
      </c>
      <c r="K2194">
        <f>IFERROR(__xludf.DUMMYFUNCTION("""COMPUTED_VALUE"""),10.0)</f>
        <v>10</v>
      </c>
      <c r="L2194">
        <f>IFERROR(__xludf.DUMMYFUNCTION("""COMPUTED_VALUE"""),7.0)</f>
        <v>7</v>
      </c>
      <c r="M2194">
        <f>IFERROR(__xludf.DUMMYFUNCTION("""COMPUTED_VALUE"""),17.0)</f>
        <v>17</v>
      </c>
      <c r="N2194" t="str">
        <f>IFERROR(__xludf.DUMMYFUNCTION("""COMPUTED_VALUE"""),"Model 3 SR+")</f>
        <v>Model 3 SR+</v>
      </c>
      <c r="O2194" t="str">
        <f>IFERROR(__xludf.DUMMYFUNCTION("""COMPUTED_VALUE"""),"Pearl White Multi-Coat")</f>
        <v>Pearl White Multi-Coat</v>
      </c>
      <c r="P2194" t="str">
        <f>IFERROR(__xludf.DUMMYFUNCTION("""COMPUTED_VALUE"""),"18 inch Aero")</f>
        <v>18 inch Aero</v>
      </c>
      <c r="Q2194" t="str">
        <f>IFERROR(__xludf.DUMMYFUNCTION("""COMPUTED_VALUE"""),"Black seats")</f>
        <v>Black seats</v>
      </c>
      <c r="R2194" t="str">
        <f>IFERROR(__xludf.DUMMYFUNCTION("""COMPUTED_VALUE"""),"Autopilot")</f>
        <v>Autopilot</v>
      </c>
      <c r="X2194" t="str">
        <f>IFERROR(__xludf.DUMMYFUNCTION("""COMPUTED_VALUE"""),"Very Good")</f>
        <v>Very Good</v>
      </c>
      <c r="Y2194" t="str">
        <f>IFERROR(__xludf.DUMMYFUNCTION("""COMPUTED_VALUE"""),"Very Good")</f>
        <v>Very Good</v>
      </c>
      <c r="Z2194" t="str">
        <f>IFERROR(__xludf.DUMMYFUNCTION("""COMPUTED_VALUE"""),"Very Good")</f>
        <v>Very Good</v>
      </c>
      <c r="AA2194" t="str">
        <f>IFERROR(__xludf.DUMMYFUNCTION("""COMPUTED_VALUE"""),"Very Good")</f>
        <v>Very Good</v>
      </c>
      <c r="AB2194" t="str">
        <f>IFERROR(__xludf.DUMMYFUNCTION("""COMPUTED_VALUE"""),"Very Good")</f>
        <v>Very Good</v>
      </c>
      <c r="AH2194" s="189">
        <f>IFERROR(__xludf.DUMMYFUNCTION("""COMPUTED_VALUE"""),43824.73627203704)</f>
        <v>43824.73627</v>
      </c>
    </row>
    <row r="2195">
      <c r="A2195" t="str">
        <f>IFERROR(__xludf.DUMMYFUNCTION("""COMPUTED_VALUE"""),"mikesanders")</f>
        <v>mikesanders</v>
      </c>
      <c r="D2195" t="str">
        <f>IFERROR(__xludf.DUMMYFUNCTION("""COMPUTED_VALUE"""),"Belgium")</f>
        <v>Belgium</v>
      </c>
      <c r="E2195" s="188">
        <f>IFERROR(__xludf.DUMMYFUNCTION("""COMPUTED_VALUE"""),43765.0)</f>
        <v>43765</v>
      </c>
      <c r="F2195" s="188">
        <f>IFERROR(__xludf.DUMMYFUNCTION("""COMPUTED_VALUE"""),43797.0)</f>
        <v>43797</v>
      </c>
      <c r="J2195" s="5">
        <f>IFERROR(__xludf.DUMMYFUNCTION("""COMPUTED_VALUE"""),43813.0)</f>
        <v>43813</v>
      </c>
      <c r="K2195">
        <f>IFERROR(__xludf.DUMMYFUNCTION("""COMPUTED_VALUE"""),32.0)</f>
        <v>32</v>
      </c>
      <c r="L2195">
        <f>IFERROR(__xludf.DUMMYFUNCTION("""COMPUTED_VALUE"""),16.0)</f>
        <v>16</v>
      </c>
      <c r="M2195">
        <f>IFERROR(__xludf.DUMMYFUNCTION("""COMPUTED_VALUE"""),48.0)</f>
        <v>48</v>
      </c>
      <c r="N2195" t="str">
        <f>IFERROR(__xludf.DUMMYFUNCTION("""COMPUTED_VALUE"""),"Model 3 LR AWD")</f>
        <v>Model 3 LR AWD</v>
      </c>
      <c r="O2195" t="str">
        <f>IFERROR(__xludf.DUMMYFUNCTION("""COMPUTED_VALUE"""),"Pearl White Multi-Coat")</f>
        <v>Pearl White Multi-Coat</v>
      </c>
      <c r="P2195" t="str">
        <f>IFERROR(__xludf.DUMMYFUNCTION("""COMPUTED_VALUE"""),"18 inch Aero")</f>
        <v>18 inch Aero</v>
      </c>
      <c r="Q2195" t="str">
        <f>IFERROR(__xludf.DUMMYFUNCTION("""COMPUTED_VALUE"""),"Black seats")</f>
        <v>Black seats</v>
      </c>
      <c r="R2195" t="str">
        <f>IFERROR(__xludf.DUMMYFUNCTION("""COMPUTED_VALUE"""),"Autopilot")</f>
        <v>Autopilot</v>
      </c>
      <c r="X2195" t="str">
        <f>IFERROR(__xludf.DUMMYFUNCTION("""COMPUTED_VALUE"""),"Fair")</f>
        <v>Fair</v>
      </c>
      <c r="Y2195" t="str">
        <f>IFERROR(__xludf.DUMMYFUNCTION("""COMPUTED_VALUE"""),"Very Good")</f>
        <v>Very Good</v>
      </c>
      <c r="Z2195" t="str">
        <f>IFERROR(__xludf.DUMMYFUNCTION("""COMPUTED_VALUE"""),"Good")</f>
        <v>Good</v>
      </c>
      <c r="AA2195" t="str">
        <f>IFERROR(__xludf.DUMMYFUNCTION("""COMPUTED_VALUE"""),"Good")</f>
        <v>Good</v>
      </c>
      <c r="AB2195" t="str">
        <f>IFERROR(__xludf.DUMMYFUNCTION("""COMPUTED_VALUE"""),"Very Good")</f>
        <v>Very Good</v>
      </c>
      <c r="AH2195" s="189">
        <f>IFERROR(__xludf.DUMMYFUNCTION("""COMPUTED_VALUE"""),43825.3308625)</f>
        <v>43825.33086</v>
      </c>
    </row>
    <row r="2196">
      <c r="A2196" t="str">
        <f>IFERROR(__xludf.DUMMYFUNCTION("""COMPUTED_VALUE"""),"Goclimbarock14")</f>
        <v>Goclimbarock14</v>
      </c>
      <c r="B2196" t="str">
        <f>IFERROR(__xludf.DUMMYFUNCTION("""COMPUTED_VALUE"""),"Los Angeles")</f>
        <v>Los Angeles</v>
      </c>
      <c r="C2196" t="str">
        <f>IFERROR(__xludf.DUMMYFUNCTION("""COMPUTED_VALUE"""),"CA")</f>
        <v>CA</v>
      </c>
      <c r="D2196" t="str">
        <f>IFERROR(__xludf.DUMMYFUNCTION("""COMPUTED_VALUE"""),"USA")</f>
        <v>USA</v>
      </c>
      <c r="E2196" s="188">
        <f>IFERROR(__xludf.DUMMYFUNCTION("""COMPUTED_VALUE"""),43771.0)</f>
        <v>43771</v>
      </c>
      <c r="F2196" s="188">
        <f>IFERROR(__xludf.DUMMYFUNCTION("""COMPUTED_VALUE"""),43817.0)</f>
        <v>43817</v>
      </c>
      <c r="H2196">
        <f>IFERROR(__xludf.DUMMYFUNCTION("""COMPUTED_VALUE"""),630355.0)</f>
        <v>630355</v>
      </c>
      <c r="I2196" t="str">
        <f>IFERROR(__xludf.DUMMYFUNCTION("""COMPUTED_VALUE"""),"12/19")</f>
        <v>12/19</v>
      </c>
      <c r="J2196" s="5">
        <f>IFERROR(__xludf.DUMMYFUNCTION("""COMPUTED_VALUE"""),43820.0)</f>
        <v>43820</v>
      </c>
      <c r="K2196">
        <f>IFERROR(__xludf.DUMMYFUNCTION("""COMPUTED_VALUE"""),46.0)</f>
        <v>46</v>
      </c>
      <c r="L2196">
        <f>IFERROR(__xludf.DUMMYFUNCTION("""COMPUTED_VALUE"""),3.0)</f>
        <v>3</v>
      </c>
      <c r="M2196">
        <f>IFERROR(__xludf.DUMMYFUNCTION("""COMPUTED_VALUE"""),49.0)</f>
        <v>49</v>
      </c>
      <c r="N2196" t="str">
        <f>IFERROR(__xludf.DUMMYFUNCTION("""COMPUTED_VALUE"""),"Model 3 SR+")</f>
        <v>Model 3 SR+</v>
      </c>
      <c r="O2196" t="str">
        <f>IFERROR(__xludf.DUMMYFUNCTION("""COMPUTED_VALUE"""),"Midnight Silver Metallic")</f>
        <v>Midnight Silver Metallic</v>
      </c>
      <c r="P2196" t="str">
        <f>IFERROR(__xludf.DUMMYFUNCTION("""COMPUTED_VALUE"""),"18 inch Aero")</f>
        <v>18 inch Aero</v>
      </c>
      <c r="Q2196" t="str">
        <f>IFERROR(__xludf.DUMMYFUNCTION("""COMPUTED_VALUE"""),"Black seats")</f>
        <v>Black seats</v>
      </c>
      <c r="R2196" t="str">
        <f>IFERROR(__xludf.DUMMYFUNCTION("""COMPUTED_VALUE"""),"Autopilot")</f>
        <v>Autopilot</v>
      </c>
      <c r="X2196" t="str">
        <f>IFERROR(__xludf.DUMMYFUNCTION("""COMPUTED_VALUE"""),"Very Good")</f>
        <v>Very Good</v>
      </c>
      <c r="Y2196" t="str">
        <f>IFERROR(__xludf.DUMMYFUNCTION("""COMPUTED_VALUE"""),"Excellent")</f>
        <v>Excellent</v>
      </c>
      <c r="Z2196" t="str">
        <f>IFERROR(__xludf.DUMMYFUNCTION("""COMPUTED_VALUE"""),"Excellent")</f>
        <v>Excellent</v>
      </c>
      <c r="AA2196" t="str">
        <f>IFERROR(__xludf.DUMMYFUNCTION("""COMPUTED_VALUE"""),"Good")</f>
        <v>Good</v>
      </c>
      <c r="AB2196" t="str">
        <f>IFERROR(__xludf.DUMMYFUNCTION("""COMPUTED_VALUE"""),"Good")</f>
        <v>Good</v>
      </c>
      <c r="AC2196">
        <f>IFERROR(__xludf.DUMMYFUNCTION("""COMPUTED_VALUE"""),1.0)</f>
        <v>1</v>
      </c>
      <c r="AD2196">
        <f>IFERROR(__xludf.DUMMYFUNCTION("""COMPUTED_VALUE"""),1.0)</f>
        <v>1</v>
      </c>
      <c r="AE2196">
        <f>IFERROR(__xludf.DUMMYFUNCTION("""COMPUTED_VALUE"""),1.0)</f>
        <v>1</v>
      </c>
      <c r="AH2196" s="189">
        <f>IFERROR(__xludf.DUMMYFUNCTION("""COMPUTED_VALUE"""),43825.331014525465)</f>
        <v>43825.33101</v>
      </c>
    </row>
    <row r="2197">
      <c r="A2197" t="str">
        <f>IFERROR(__xludf.DUMMYFUNCTION("""COMPUTED_VALUE"""),"Punjabi510")</f>
        <v>Punjabi510</v>
      </c>
      <c r="B2197" t="str">
        <f>IFERROR(__xludf.DUMMYFUNCTION("""COMPUTED_VALUE"""),"Bay Area")</f>
        <v>Bay Area</v>
      </c>
      <c r="C2197" t="str">
        <f>IFERROR(__xludf.DUMMYFUNCTION("""COMPUTED_VALUE"""),"CA")</f>
        <v>CA</v>
      </c>
      <c r="D2197" t="str">
        <f>IFERROR(__xludf.DUMMYFUNCTION("""COMPUTED_VALUE"""),"USA")</f>
        <v>USA</v>
      </c>
      <c r="E2197" s="188">
        <f>IFERROR(__xludf.DUMMYFUNCTION("""COMPUTED_VALUE"""),43766.0)</f>
        <v>43766</v>
      </c>
      <c r="F2197" s="188">
        <f>IFERROR(__xludf.DUMMYFUNCTION("""COMPUTED_VALUE"""),43822.0)</f>
        <v>43822</v>
      </c>
      <c r="H2197">
        <f>IFERROR(__xludf.DUMMYFUNCTION("""COMPUTED_VALUE"""),641960.0)</f>
        <v>641960</v>
      </c>
      <c r="J2197" s="5">
        <f>IFERROR(__xludf.DUMMYFUNCTION("""COMPUTED_VALUE"""),43823.0)</f>
        <v>43823</v>
      </c>
      <c r="K2197">
        <f>IFERROR(__xludf.DUMMYFUNCTION("""COMPUTED_VALUE"""),56.0)</f>
        <v>56</v>
      </c>
      <c r="L2197">
        <f>IFERROR(__xludf.DUMMYFUNCTION("""COMPUTED_VALUE"""),1.0)</f>
        <v>1</v>
      </c>
      <c r="M2197">
        <f>IFERROR(__xludf.DUMMYFUNCTION("""COMPUTED_VALUE"""),57.0)</f>
        <v>57</v>
      </c>
      <c r="N2197" t="str">
        <f>IFERROR(__xludf.DUMMYFUNCTION("""COMPUTED_VALUE"""),"Model 3 Performance")</f>
        <v>Model 3 Performance</v>
      </c>
      <c r="O2197" t="str">
        <f>IFERROR(__xludf.DUMMYFUNCTION("""COMPUTED_VALUE"""),"Pearl White Multi-Coat")</f>
        <v>Pearl White Multi-Coat</v>
      </c>
      <c r="P2197" t="str">
        <f>IFERROR(__xludf.DUMMYFUNCTION("""COMPUTED_VALUE"""),"20 inch Sport")</f>
        <v>20 inch Sport</v>
      </c>
      <c r="Q2197" t="str">
        <f>IFERROR(__xludf.DUMMYFUNCTION("""COMPUTED_VALUE"""),"White seats")</f>
        <v>White seats</v>
      </c>
      <c r="R2197" t="str">
        <f>IFERROR(__xludf.DUMMYFUNCTION("""COMPUTED_VALUE"""),"Autopilot")</f>
        <v>Autopilot</v>
      </c>
      <c r="X2197" t="str">
        <f>IFERROR(__xludf.DUMMYFUNCTION("""COMPUTED_VALUE"""),"Very Good")</f>
        <v>Very Good</v>
      </c>
      <c r="Y2197" t="str">
        <f>IFERROR(__xludf.DUMMYFUNCTION("""COMPUTED_VALUE"""),"Excellent")</f>
        <v>Excellent</v>
      </c>
      <c r="Z2197" t="str">
        <f>IFERROR(__xludf.DUMMYFUNCTION("""COMPUTED_VALUE"""),"Excellent")</f>
        <v>Excellent</v>
      </c>
      <c r="AA2197" t="str">
        <f>IFERROR(__xludf.DUMMYFUNCTION("""COMPUTED_VALUE"""),"Excellent")</f>
        <v>Excellent</v>
      </c>
      <c r="AB2197" t="str">
        <f>IFERROR(__xludf.DUMMYFUNCTION("""COMPUTED_VALUE"""),"Excellent")</f>
        <v>Excellent</v>
      </c>
      <c r="AG2197" t="str">
        <f>IFERROR(__xludf.DUMMYFUNCTION("""COMPUTED_VALUE"""),"I was able to convince the delivery hub to give me my car two days earlier since it was ready and I was ready with everything to pick it up. ")</f>
        <v>I was able to convince the delivery hub to give me my car two days earlier since it was ready and I was ready with everything to pick it up. </v>
      </c>
      <c r="AH2197" s="189">
        <f>IFERROR(__xludf.DUMMYFUNCTION("""COMPUTED_VALUE"""),43825.35673600694)</f>
        <v>43825.35674</v>
      </c>
    </row>
    <row r="2198">
      <c r="A2198" t="str">
        <f>IFERROR(__xludf.DUMMYFUNCTION("""COMPUTED_VALUE"""),"krank")</f>
        <v>krank</v>
      </c>
      <c r="B2198" t="str">
        <f>IFERROR(__xludf.DUMMYFUNCTION("""COMPUTED_VALUE"""),"Fremont")</f>
        <v>Fremont</v>
      </c>
      <c r="C2198" t="str">
        <f>IFERROR(__xludf.DUMMYFUNCTION("""COMPUTED_VALUE"""),"CA")</f>
        <v>CA</v>
      </c>
      <c r="D2198" t="str">
        <f>IFERROR(__xludf.DUMMYFUNCTION("""COMPUTED_VALUE"""),"USA")</f>
        <v>USA</v>
      </c>
      <c r="E2198" s="188">
        <f>IFERROR(__xludf.DUMMYFUNCTION("""COMPUTED_VALUE"""),43786.0)</f>
        <v>43786</v>
      </c>
      <c r="F2198" s="188">
        <f>IFERROR(__xludf.DUMMYFUNCTION("""COMPUTED_VALUE"""),43819.0)</f>
        <v>43819</v>
      </c>
      <c r="J2198" s="5">
        <f>IFERROR(__xludf.DUMMYFUNCTION("""COMPUTED_VALUE"""),43820.0)</f>
        <v>43820</v>
      </c>
      <c r="K2198">
        <f>IFERROR(__xludf.DUMMYFUNCTION("""COMPUTED_VALUE"""),33.0)</f>
        <v>33</v>
      </c>
      <c r="L2198">
        <f>IFERROR(__xludf.DUMMYFUNCTION("""COMPUTED_VALUE"""),1.0)</f>
        <v>1</v>
      </c>
      <c r="M2198">
        <f>IFERROR(__xludf.DUMMYFUNCTION("""COMPUTED_VALUE"""),34.0)</f>
        <v>34</v>
      </c>
      <c r="N2198" t="str">
        <f>IFERROR(__xludf.DUMMYFUNCTION("""COMPUTED_VALUE"""),"Model 3 SR+")</f>
        <v>Model 3 SR+</v>
      </c>
      <c r="O2198" t="str">
        <f>IFERROR(__xludf.DUMMYFUNCTION("""COMPUTED_VALUE"""),"Deep Blue Metallic")</f>
        <v>Deep Blue Metallic</v>
      </c>
      <c r="P2198" t="str">
        <f>IFERROR(__xludf.DUMMYFUNCTION("""COMPUTED_VALUE"""),"18 inch Aero")</f>
        <v>18 inch Aero</v>
      </c>
      <c r="Q2198" t="str">
        <f>IFERROR(__xludf.DUMMYFUNCTION("""COMPUTED_VALUE"""),"Black seats")</f>
        <v>Black seats</v>
      </c>
      <c r="R2198" t="str">
        <f>IFERROR(__xludf.DUMMYFUNCTION("""COMPUTED_VALUE"""),"Autopilot")</f>
        <v>Autopilot</v>
      </c>
      <c r="X2198" t="str">
        <f>IFERROR(__xludf.DUMMYFUNCTION("""COMPUTED_VALUE"""),"Very Good")</f>
        <v>Very Good</v>
      </c>
      <c r="Y2198" t="str">
        <f>IFERROR(__xludf.DUMMYFUNCTION("""COMPUTED_VALUE"""),"Very Good")</f>
        <v>Very Good</v>
      </c>
      <c r="Z2198" t="str">
        <f>IFERROR(__xludf.DUMMYFUNCTION("""COMPUTED_VALUE"""),"Poor")</f>
        <v>Poor</v>
      </c>
      <c r="AA2198" t="str">
        <f>IFERROR(__xludf.DUMMYFUNCTION("""COMPUTED_VALUE"""),"Good")</f>
        <v>Good</v>
      </c>
      <c r="AB2198" t="str">
        <f>IFERROR(__xludf.DUMMYFUNCTION("""COMPUTED_VALUE"""),"Good")</f>
        <v>Good</v>
      </c>
      <c r="AC2198">
        <f>IFERROR(__xludf.DUMMYFUNCTION("""COMPUTED_VALUE"""),2.0)</f>
        <v>2</v>
      </c>
      <c r="AH2198" s="189">
        <f>IFERROR(__xludf.DUMMYFUNCTION("""COMPUTED_VALUE"""),43825.54600560185)</f>
        <v>43825.54601</v>
      </c>
    </row>
    <row r="2199">
      <c r="A2199" t="str">
        <f>IFERROR(__xludf.DUMMYFUNCTION("""COMPUTED_VALUE"""),"LoboKittyMan")</f>
        <v>LoboKittyMan</v>
      </c>
      <c r="B2199" t="str">
        <f>IFERROR(__xludf.DUMMYFUNCTION("""COMPUTED_VALUE"""),"Long Beach")</f>
        <v>Long Beach</v>
      </c>
      <c r="C2199" t="str">
        <f>IFERROR(__xludf.DUMMYFUNCTION("""COMPUTED_VALUE"""),"CA")</f>
        <v>CA</v>
      </c>
      <c r="D2199" t="str">
        <f>IFERROR(__xludf.DUMMYFUNCTION("""COMPUTED_VALUE"""),"USA")</f>
        <v>USA</v>
      </c>
      <c r="E2199" s="188">
        <f>IFERROR(__xludf.DUMMYFUNCTION("""COMPUTED_VALUE"""),43753.0)</f>
        <v>43753</v>
      </c>
      <c r="F2199" s="188">
        <f>IFERROR(__xludf.DUMMYFUNCTION("""COMPUTED_VALUE"""),43824.0)</f>
        <v>43824</v>
      </c>
      <c r="H2199">
        <f>IFERROR(__xludf.DUMMYFUNCTION("""COMPUTED_VALUE"""),651455.0)</f>
        <v>651455</v>
      </c>
      <c r="J2199" s="5">
        <f>IFERROR(__xludf.DUMMYFUNCTION("""COMPUTED_VALUE"""),43825.0)</f>
        <v>43825</v>
      </c>
      <c r="K2199">
        <f>IFERROR(__xludf.DUMMYFUNCTION("""COMPUTED_VALUE"""),71.0)</f>
        <v>71</v>
      </c>
      <c r="L2199">
        <f>IFERROR(__xludf.DUMMYFUNCTION("""COMPUTED_VALUE"""),1.0)</f>
        <v>1</v>
      </c>
      <c r="M2199">
        <f>IFERROR(__xludf.DUMMYFUNCTION("""COMPUTED_VALUE"""),72.0)</f>
        <v>72</v>
      </c>
      <c r="N2199" t="str">
        <f>IFERROR(__xludf.DUMMYFUNCTION("""COMPUTED_VALUE"""),"Model 3 LR AWD")</f>
        <v>Model 3 LR AWD</v>
      </c>
      <c r="O2199" t="str">
        <f>IFERROR(__xludf.DUMMYFUNCTION("""COMPUTED_VALUE"""),"Pearl White Multi-Coat")</f>
        <v>Pearl White Multi-Coat</v>
      </c>
      <c r="P2199" t="str">
        <f>IFERROR(__xludf.DUMMYFUNCTION("""COMPUTED_VALUE"""),"18 inch Aero")</f>
        <v>18 inch Aero</v>
      </c>
      <c r="Q2199" t="str">
        <f>IFERROR(__xludf.DUMMYFUNCTION("""COMPUTED_VALUE"""),"White seats")</f>
        <v>White seats</v>
      </c>
      <c r="R2199" t="str">
        <f>IFERROR(__xludf.DUMMYFUNCTION("""COMPUTED_VALUE"""),"Autopilot")</f>
        <v>Autopilot</v>
      </c>
      <c r="X2199" t="str">
        <f>IFERROR(__xludf.DUMMYFUNCTION("""COMPUTED_VALUE"""),"Very Good")</f>
        <v>Very Good</v>
      </c>
      <c r="Y2199" t="str">
        <f>IFERROR(__xludf.DUMMYFUNCTION("""COMPUTED_VALUE"""),"Very Good")</f>
        <v>Very Good</v>
      </c>
      <c r="Z2199" t="str">
        <f>IFERROR(__xludf.DUMMYFUNCTION("""COMPUTED_VALUE"""),"Excellent")</f>
        <v>Excellent</v>
      </c>
      <c r="AA2199" t="str">
        <f>IFERROR(__xludf.DUMMYFUNCTION("""COMPUTED_VALUE"""),"Fair")</f>
        <v>Fair</v>
      </c>
      <c r="AB2199" t="str">
        <f>IFERROR(__xludf.DUMMYFUNCTION("""COMPUTED_VALUE"""),"Very Good")</f>
        <v>Very Good</v>
      </c>
      <c r="AH2199" s="189">
        <f>IFERROR(__xludf.DUMMYFUNCTION("""COMPUTED_VALUE"""),43825.71127517361)</f>
        <v>43825.71128</v>
      </c>
    </row>
    <row r="2200">
      <c r="A2200" t="str">
        <f>IFERROR(__xludf.DUMMYFUNCTION("""COMPUTED_VALUE"""),"JigLewPuff")</f>
        <v>JigLewPuff</v>
      </c>
      <c r="B2200" t="str">
        <f>IFERROR(__xludf.DUMMYFUNCTION("""COMPUTED_VALUE"""),"Los Angeles")</f>
        <v>Los Angeles</v>
      </c>
      <c r="C2200" t="str">
        <f>IFERROR(__xludf.DUMMYFUNCTION("""COMPUTED_VALUE"""),"CA")</f>
        <v>CA</v>
      </c>
      <c r="D2200" t="str">
        <f>IFERROR(__xludf.DUMMYFUNCTION("""COMPUTED_VALUE"""),"USA")</f>
        <v>USA</v>
      </c>
      <c r="E2200" s="188">
        <f>IFERROR(__xludf.DUMMYFUNCTION("""COMPUTED_VALUE"""),43766.0)</f>
        <v>43766</v>
      </c>
      <c r="F2200" s="188">
        <f>IFERROR(__xludf.DUMMYFUNCTION("""COMPUTED_VALUE"""),43820.0)</f>
        <v>43820</v>
      </c>
      <c r="J2200" s="5">
        <f>IFERROR(__xludf.DUMMYFUNCTION("""COMPUTED_VALUE"""),43822.0)</f>
        <v>43822</v>
      </c>
      <c r="K2200">
        <f>IFERROR(__xludf.DUMMYFUNCTION("""COMPUTED_VALUE"""),54.0)</f>
        <v>54</v>
      </c>
      <c r="L2200">
        <f>IFERROR(__xludf.DUMMYFUNCTION("""COMPUTED_VALUE"""),2.0)</f>
        <v>2</v>
      </c>
      <c r="M2200">
        <f>IFERROR(__xludf.DUMMYFUNCTION("""COMPUTED_VALUE"""),56.0)</f>
        <v>56</v>
      </c>
      <c r="N2200" t="str">
        <f>IFERROR(__xludf.DUMMYFUNCTION("""COMPUTED_VALUE"""),"Model 3 LR AWD")</f>
        <v>Model 3 LR AWD</v>
      </c>
      <c r="O2200" t="str">
        <f>IFERROR(__xludf.DUMMYFUNCTION("""COMPUTED_VALUE"""),"Red Multi-Coat")</f>
        <v>Red Multi-Coat</v>
      </c>
      <c r="P2200" t="str">
        <f>IFERROR(__xludf.DUMMYFUNCTION("""COMPUTED_VALUE"""),"19 inch Sport")</f>
        <v>19 inch Sport</v>
      </c>
      <c r="Q2200" t="str">
        <f>IFERROR(__xludf.DUMMYFUNCTION("""COMPUTED_VALUE"""),"Black seats")</f>
        <v>Black seats</v>
      </c>
      <c r="R2200" t="str">
        <f>IFERROR(__xludf.DUMMYFUNCTION("""COMPUTED_VALUE"""),"Autopilot")</f>
        <v>Autopilot</v>
      </c>
      <c r="X2200" t="str">
        <f>IFERROR(__xludf.DUMMYFUNCTION("""COMPUTED_VALUE"""),"Fair")</f>
        <v>Fair</v>
      </c>
      <c r="Y2200" t="str">
        <f>IFERROR(__xludf.DUMMYFUNCTION("""COMPUTED_VALUE"""),"Excellent")</f>
        <v>Excellent</v>
      </c>
      <c r="Z2200" t="str">
        <f>IFERROR(__xludf.DUMMYFUNCTION("""COMPUTED_VALUE"""),"Excellent")</f>
        <v>Excellent</v>
      </c>
      <c r="AA2200" t="str">
        <f>IFERROR(__xludf.DUMMYFUNCTION("""COMPUTED_VALUE"""),"Good")</f>
        <v>Good</v>
      </c>
      <c r="AB2200" t="str">
        <f>IFERROR(__xludf.DUMMYFUNCTION("""COMPUTED_VALUE"""),"Very Good")</f>
        <v>Very Good</v>
      </c>
      <c r="AC2200">
        <f>IFERROR(__xludf.DUMMYFUNCTION("""COMPUTED_VALUE"""),1.0)</f>
        <v>1</v>
      </c>
      <c r="AD2200">
        <f>IFERROR(__xludf.DUMMYFUNCTION("""COMPUTED_VALUE"""),1.0)</f>
        <v>1</v>
      </c>
      <c r="AH2200" s="189">
        <f>IFERROR(__xludf.DUMMYFUNCTION("""COMPUTED_VALUE"""),43825.728331631944)</f>
        <v>43825.72833</v>
      </c>
    </row>
    <row r="2201">
      <c r="A2201" t="str">
        <f>IFERROR(__xludf.DUMMYFUNCTION("""COMPUTED_VALUE"""),"lyncea")</f>
        <v>lyncea</v>
      </c>
      <c r="B2201" t="str">
        <f>IFERROR(__xludf.DUMMYFUNCTION("""COMPUTED_VALUE"""),"Las Vegas")</f>
        <v>Las Vegas</v>
      </c>
      <c r="C2201" t="str">
        <f>IFERROR(__xludf.DUMMYFUNCTION("""COMPUTED_VALUE"""),"NV")</f>
        <v>NV</v>
      </c>
      <c r="D2201" t="str">
        <f>IFERROR(__xludf.DUMMYFUNCTION("""COMPUTED_VALUE"""),"USA")</f>
        <v>USA</v>
      </c>
      <c r="E2201" s="188">
        <f>IFERROR(__xludf.DUMMYFUNCTION("""COMPUTED_VALUE"""),43777.0)</f>
        <v>43777</v>
      </c>
      <c r="F2201" s="188">
        <f>IFERROR(__xludf.DUMMYFUNCTION("""COMPUTED_VALUE"""),43809.0)</f>
        <v>43809</v>
      </c>
      <c r="H2201">
        <f>IFERROR(__xludf.DUMMYFUNCTION("""COMPUTED_VALUE"""),613155.0)</f>
        <v>613155</v>
      </c>
      <c r="J2201" s="5">
        <f>IFERROR(__xludf.DUMMYFUNCTION("""COMPUTED_VALUE"""),43812.0)</f>
        <v>43812</v>
      </c>
      <c r="K2201">
        <f>IFERROR(__xludf.DUMMYFUNCTION("""COMPUTED_VALUE"""),32.0)</f>
        <v>32</v>
      </c>
      <c r="L2201">
        <f>IFERROR(__xludf.DUMMYFUNCTION("""COMPUTED_VALUE"""),3.0)</f>
        <v>3</v>
      </c>
      <c r="M2201">
        <f>IFERROR(__xludf.DUMMYFUNCTION("""COMPUTED_VALUE"""),35.0)</f>
        <v>35</v>
      </c>
      <c r="N2201" t="str">
        <f>IFERROR(__xludf.DUMMYFUNCTION("""COMPUTED_VALUE"""),"Model 3 SR+")</f>
        <v>Model 3 SR+</v>
      </c>
      <c r="O2201" t="str">
        <f>IFERROR(__xludf.DUMMYFUNCTION("""COMPUTED_VALUE"""),"Pearl White Multi-Coat")</f>
        <v>Pearl White Multi-Coat</v>
      </c>
      <c r="P2201" t="str">
        <f>IFERROR(__xludf.DUMMYFUNCTION("""COMPUTED_VALUE"""),"18 inch Aero")</f>
        <v>18 inch Aero</v>
      </c>
      <c r="Q2201" t="str">
        <f>IFERROR(__xludf.DUMMYFUNCTION("""COMPUTED_VALUE"""),"Black seats")</f>
        <v>Black seats</v>
      </c>
      <c r="R2201" t="str">
        <f>IFERROR(__xludf.DUMMYFUNCTION("""COMPUTED_VALUE"""),"Full Self-Driving")</f>
        <v>Full Self-Driving</v>
      </c>
      <c r="X2201" t="str">
        <f>IFERROR(__xludf.DUMMYFUNCTION("""COMPUTED_VALUE"""),"Good")</f>
        <v>Good</v>
      </c>
      <c r="Y2201" t="str">
        <f>IFERROR(__xludf.DUMMYFUNCTION("""COMPUTED_VALUE"""),"Excellent")</f>
        <v>Excellent</v>
      </c>
      <c r="Z2201" t="str">
        <f>IFERROR(__xludf.DUMMYFUNCTION("""COMPUTED_VALUE"""),"Excellent")</f>
        <v>Excellent</v>
      </c>
      <c r="AA2201" t="str">
        <f>IFERROR(__xludf.DUMMYFUNCTION("""COMPUTED_VALUE"""),"Excellent")</f>
        <v>Excellent</v>
      </c>
      <c r="AB2201" t="str">
        <f>IFERROR(__xludf.DUMMYFUNCTION("""COMPUTED_VALUE"""),"Excellent")</f>
        <v>Excellent</v>
      </c>
      <c r="AC2201">
        <f>IFERROR(__xludf.DUMMYFUNCTION("""COMPUTED_VALUE"""),6.0)</f>
        <v>6</v>
      </c>
      <c r="AD2201">
        <f>IFERROR(__xludf.DUMMYFUNCTION("""COMPUTED_VALUE"""),1.0)</f>
        <v>1</v>
      </c>
      <c r="AG2201" t="str">
        <f>IFERROR(__xludf.DUMMYFUNCTION("""COMPUTED_VALUE"""),"VIN in source 12/10. Called for delivery on 12/12 12/12.")</f>
        <v>VIN in source 12/10. Called for delivery on 12/12 12/12.</v>
      </c>
      <c r="AH2201" s="189">
        <f>IFERROR(__xludf.DUMMYFUNCTION("""COMPUTED_VALUE"""),43825.7546891088)</f>
        <v>43825.75469</v>
      </c>
    </row>
    <row r="2202">
      <c r="A2202" t="str">
        <f>IFERROR(__xludf.DUMMYFUNCTION("""COMPUTED_VALUE"""),"shawngregory")</f>
        <v>shawngregory</v>
      </c>
      <c r="B2202" t="str">
        <f>IFERROR(__xludf.DUMMYFUNCTION("""COMPUTED_VALUE"""),"Arlington")</f>
        <v>Arlington</v>
      </c>
      <c r="C2202" t="str">
        <f>IFERROR(__xludf.DUMMYFUNCTION("""COMPUTED_VALUE"""),"TX")</f>
        <v>TX</v>
      </c>
      <c r="D2202" t="str">
        <f>IFERROR(__xludf.DUMMYFUNCTION("""COMPUTED_VALUE"""),"USA")</f>
        <v>USA</v>
      </c>
      <c r="E2202" s="188">
        <f>IFERROR(__xludf.DUMMYFUNCTION("""COMPUTED_VALUE"""),43772.0)</f>
        <v>43772</v>
      </c>
      <c r="F2202" s="188">
        <f>IFERROR(__xludf.DUMMYFUNCTION("""COMPUTED_VALUE"""),43804.0)</f>
        <v>43804</v>
      </c>
      <c r="H2202" s="4">
        <f>IFERROR(__xludf.DUMMYFUNCTION("""COMPUTED_VALUE"""),618662.0)</f>
        <v>618662</v>
      </c>
      <c r="I2202" t="str">
        <f>IFERROR(__xludf.DUMMYFUNCTION("""COMPUTED_VALUE"""),"11/19")</f>
        <v>11/19</v>
      </c>
      <c r="J2202" s="5">
        <f>IFERROR(__xludf.DUMMYFUNCTION("""COMPUTED_VALUE"""),43816.0)</f>
        <v>43816</v>
      </c>
      <c r="K2202">
        <f>IFERROR(__xludf.DUMMYFUNCTION("""COMPUTED_VALUE"""),32.0)</f>
        <v>32</v>
      </c>
      <c r="L2202">
        <f>IFERROR(__xludf.DUMMYFUNCTION("""COMPUTED_VALUE"""),12.0)</f>
        <v>12</v>
      </c>
      <c r="M2202">
        <f>IFERROR(__xludf.DUMMYFUNCTION("""COMPUTED_VALUE"""),44.0)</f>
        <v>44</v>
      </c>
      <c r="N2202" t="str">
        <f>IFERROR(__xludf.DUMMYFUNCTION("""COMPUTED_VALUE"""),"Model 3 LR AWD")</f>
        <v>Model 3 LR AWD</v>
      </c>
      <c r="O2202" t="str">
        <f>IFERROR(__xludf.DUMMYFUNCTION("""COMPUTED_VALUE"""),"Pearl White Multi-Coat")</f>
        <v>Pearl White Multi-Coat</v>
      </c>
      <c r="P2202" t="str">
        <f>IFERROR(__xludf.DUMMYFUNCTION("""COMPUTED_VALUE"""),"18 inch Aero")</f>
        <v>18 inch Aero</v>
      </c>
      <c r="Q2202" t="str">
        <f>IFERROR(__xludf.DUMMYFUNCTION("""COMPUTED_VALUE"""),"Black seats")</f>
        <v>Black seats</v>
      </c>
      <c r="R2202" t="str">
        <f>IFERROR(__xludf.DUMMYFUNCTION("""COMPUTED_VALUE"""),"Full Self-Driving")</f>
        <v>Full Self-Driving</v>
      </c>
      <c r="X2202" t="str">
        <f>IFERROR(__xludf.DUMMYFUNCTION("""COMPUTED_VALUE"""),"Excellent")</f>
        <v>Excellent</v>
      </c>
      <c r="Y2202" t="str">
        <f>IFERROR(__xludf.DUMMYFUNCTION("""COMPUTED_VALUE"""),"Excellent")</f>
        <v>Excellent</v>
      </c>
      <c r="Z2202" t="str">
        <f>IFERROR(__xludf.DUMMYFUNCTION("""COMPUTED_VALUE"""),"Excellent")</f>
        <v>Excellent</v>
      </c>
      <c r="AA2202" t="str">
        <f>IFERROR(__xludf.DUMMYFUNCTION("""COMPUTED_VALUE"""),"Excellent")</f>
        <v>Excellent</v>
      </c>
      <c r="AB2202" t="str">
        <f>IFERROR(__xludf.DUMMYFUNCTION("""COMPUTED_VALUE"""),"Good")</f>
        <v>Good</v>
      </c>
      <c r="AC2202">
        <f>IFERROR(__xludf.DUMMYFUNCTION("""COMPUTED_VALUE"""),0.0)</f>
        <v>0</v>
      </c>
      <c r="AD2202">
        <f>IFERROR(__xludf.DUMMYFUNCTION("""COMPUTED_VALUE"""),0.0)</f>
        <v>0</v>
      </c>
      <c r="AE2202">
        <f>IFERROR(__xludf.DUMMYFUNCTION("""COMPUTED_VALUE"""),0.0)</f>
        <v>0</v>
      </c>
      <c r="AH2202" s="189">
        <f>IFERROR(__xludf.DUMMYFUNCTION("""COMPUTED_VALUE"""),43825.89372980324)</f>
        <v>43825.89373</v>
      </c>
    </row>
    <row r="2203">
      <c r="A2203" t="str">
        <f>IFERROR(__xludf.DUMMYFUNCTION("""COMPUTED_VALUE"""),"bidgly")</f>
        <v>bidgly</v>
      </c>
      <c r="B2203" t="str">
        <f>IFERROR(__xludf.DUMMYFUNCTION("""COMPUTED_VALUE"""),"Menlo Park")</f>
        <v>Menlo Park</v>
      </c>
      <c r="C2203" t="str">
        <f>IFERROR(__xludf.DUMMYFUNCTION("""COMPUTED_VALUE"""),"CA")</f>
        <v>CA</v>
      </c>
      <c r="D2203" t="str">
        <f>IFERROR(__xludf.DUMMYFUNCTION("""COMPUTED_VALUE"""),"USA")</f>
        <v>USA</v>
      </c>
      <c r="E2203" s="188">
        <f>IFERROR(__xludf.DUMMYFUNCTION("""COMPUTED_VALUE"""),43733.0)</f>
        <v>43733</v>
      </c>
      <c r="F2203" s="188">
        <f>IFERROR(__xludf.DUMMYFUNCTION("""COMPUTED_VALUE"""),43734.0)</f>
        <v>43734</v>
      </c>
      <c r="H2203">
        <f>IFERROR(__xludf.DUMMYFUNCTION("""COMPUTED_VALUE"""),497855.0)</f>
        <v>497855</v>
      </c>
      <c r="J2203" s="5">
        <f>IFERROR(__xludf.DUMMYFUNCTION("""COMPUTED_VALUE"""),43734.0)</f>
        <v>43734</v>
      </c>
      <c r="K2203">
        <f>IFERROR(__xludf.DUMMYFUNCTION("""COMPUTED_VALUE"""),1.0)</f>
        <v>1</v>
      </c>
      <c r="L2203">
        <f>IFERROR(__xludf.DUMMYFUNCTION("""COMPUTED_VALUE"""),0.0)</f>
        <v>0</v>
      </c>
      <c r="M2203">
        <f>IFERROR(__xludf.DUMMYFUNCTION("""COMPUTED_VALUE"""),1.0)</f>
        <v>1</v>
      </c>
      <c r="N2203" t="str">
        <f>IFERROR(__xludf.DUMMYFUNCTION("""COMPUTED_VALUE"""),"Model 3 LR AWD")</f>
        <v>Model 3 LR AWD</v>
      </c>
      <c r="O2203" t="str">
        <f>IFERROR(__xludf.DUMMYFUNCTION("""COMPUTED_VALUE"""),"Deep Blue Metallic")</f>
        <v>Deep Blue Metallic</v>
      </c>
      <c r="P2203" t="str">
        <f>IFERROR(__xludf.DUMMYFUNCTION("""COMPUTED_VALUE"""),"19 inch Sport")</f>
        <v>19 inch Sport</v>
      </c>
      <c r="Q2203" t="str">
        <f>IFERROR(__xludf.DUMMYFUNCTION("""COMPUTED_VALUE"""),"Black seats")</f>
        <v>Black seats</v>
      </c>
      <c r="R2203" t="str">
        <f>IFERROR(__xludf.DUMMYFUNCTION("""COMPUTED_VALUE"""),"Full Self-Driving")</f>
        <v>Full Self-Driving</v>
      </c>
      <c r="X2203" t="str">
        <f>IFERROR(__xludf.DUMMYFUNCTION("""COMPUTED_VALUE"""),"Excellent")</f>
        <v>Excellent</v>
      </c>
      <c r="Y2203" t="str">
        <f>IFERROR(__xludf.DUMMYFUNCTION("""COMPUTED_VALUE"""),"Excellent")</f>
        <v>Excellent</v>
      </c>
      <c r="Z2203" t="str">
        <f>IFERROR(__xludf.DUMMYFUNCTION("""COMPUTED_VALUE"""),"Excellent")</f>
        <v>Excellent</v>
      </c>
      <c r="AA2203" t="str">
        <f>IFERROR(__xludf.DUMMYFUNCTION("""COMPUTED_VALUE"""),"Excellent")</f>
        <v>Excellent</v>
      </c>
      <c r="AB2203" t="str">
        <f>IFERROR(__xludf.DUMMYFUNCTION("""COMPUTED_VALUE"""),"Good")</f>
        <v>Good</v>
      </c>
      <c r="AC2203">
        <f>IFERROR(__xludf.DUMMYFUNCTION("""COMPUTED_VALUE"""),0.0)</f>
        <v>0</v>
      </c>
      <c r="AD2203">
        <f>IFERROR(__xludf.DUMMYFUNCTION("""COMPUTED_VALUE"""),0.0)</f>
        <v>0</v>
      </c>
      <c r="AE2203">
        <f>IFERROR(__xludf.DUMMYFUNCTION("""COMPUTED_VALUE"""),0.0)</f>
        <v>0</v>
      </c>
      <c r="AH2203" s="189">
        <f>IFERROR(__xludf.DUMMYFUNCTION("""COMPUTED_VALUE"""),43825.939534756944)</f>
        <v>43825.93953</v>
      </c>
    </row>
    <row r="2204">
      <c r="A2204" t="str">
        <f>IFERROR(__xludf.DUMMYFUNCTION("""COMPUTED_VALUE"""),"tttt")</f>
        <v>tttt</v>
      </c>
      <c r="B2204" t="str">
        <f>IFERROR(__xludf.DUMMYFUNCTION("""COMPUTED_VALUE"""),"Long Island")</f>
        <v>Long Island</v>
      </c>
      <c r="C2204" t="str">
        <f>IFERROR(__xludf.DUMMYFUNCTION("""COMPUTED_VALUE"""),"NY")</f>
        <v>NY</v>
      </c>
      <c r="D2204" t="str">
        <f>IFERROR(__xludf.DUMMYFUNCTION("""COMPUTED_VALUE"""),"USA")</f>
        <v>USA</v>
      </c>
      <c r="E2204" s="188">
        <f>IFERROR(__xludf.DUMMYFUNCTION("""COMPUTED_VALUE"""),43769.0)</f>
        <v>43769</v>
      </c>
      <c r="F2204" s="188">
        <f>IFERROR(__xludf.DUMMYFUNCTION("""COMPUTED_VALUE"""),43808.0)</f>
        <v>43808</v>
      </c>
      <c r="H2204">
        <f>IFERROR(__xludf.DUMMYFUNCTION("""COMPUTED_VALUE"""),623982.0)</f>
        <v>623982</v>
      </c>
      <c r="J2204" s="5">
        <f>IFERROR(__xludf.DUMMYFUNCTION("""COMPUTED_VALUE"""),43826.0)</f>
        <v>43826</v>
      </c>
      <c r="K2204">
        <f>IFERROR(__xludf.DUMMYFUNCTION("""COMPUTED_VALUE"""),39.0)</f>
        <v>39</v>
      </c>
      <c r="L2204">
        <f>IFERROR(__xludf.DUMMYFUNCTION("""COMPUTED_VALUE"""),18.0)</f>
        <v>18</v>
      </c>
      <c r="M2204">
        <f>IFERROR(__xludf.DUMMYFUNCTION("""COMPUTED_VALUE"""),57.0)</f>
        <v>57</v>
      </c>
      <c r="N2204" t="str">
        <f>IFERROR(__xludf.DUMMYFUNCTION("""COMPUTED_VALUE"""),"Model 3 Performance")</f>
        <v>Model 3 Performance</v>
      </c>
      <c r="O2204" t="str">
        <f>IFERROR(__xludf.DUMMYFUNCTION("""COMPUTED_VALUE"""),"Pearl White Multi-Coat")</f>
        <v>Pearl White Multi-Coat</v>
      </c>
      <c r="P2204" t="str">
        <f>IFERROR(__xludf.DUMMYFUNCTION("""COMPUTED_VALUE"""),"20 inch Sport")</f>
        <v>20 inch Sport</v>
      </c>
      <c r="Q2204" t="str">
        <f>IFERROR(__xludf.DUMMYFUNCTION("""COMPUTED_VALUE"""),"Black seats")</f>
        <v>Black seats</v>
      </c>
      <c r="R2204" t="str">
        <f>IFERROR(__xludf.DUMMYFUNCTION("""COMPUTED_VALUE"""),"Autopilot")</f>
        <v>Autopilot</v>
      </c>
      <c r="X2204" t="str">
        <f>IFERROR(__xludf.DUMMYFUNCTION("""COMPUTED_VALUE"""),"Good")</f>
        <v>Good</v>
      </c>
      <c r="Y2204" t="str">
        <f>IFERROR(__xludf.DUMMYFUNCTION("""COMPUTED_VALUE"""),"Good")</f>
        <v>Good</v>
      </c>
      <c r="Z2204" t="str">
        <f>IFERROR(__xludf.DUMMYFUNCTION("""COMPUTED_VALUE"""),"Good")</f>
        <v>Good</v>
      </c>
      <c r="AA2204" t="str">
        <f>IFERROR(__xludf.DUMMYFUNCTION("""COMPUTED_VALUE"""),"Fair")</f>
        <v>Fair</v>
      </c>
      <c r="AB2204" t="str">
        <f>IFERROR(__xludf.DUMMYFUNCTION("""COMPUTED_VALUE"""),"Very Good")</f>
        <v>Very Good</v>
      </c>
      <c r="AH2204" s="189">
        <f>IFERROR(__xludf.DUMMYFUNCTION("""COMPUTED_VALUE"""),43826.46905049769)</f>
        <v>43826.46905</v>
      </c>
    </row>
    <row r="2205">
      <c r="A2205" t="str">
        <f>IFERROR(__xludf.DUMMYFUNCTION("""COMPUTED_VALUE"""),"rbailey64bit")</f>
        <v>rbailey64bit</v>
      </c>
      <c r="B2205" t="str">
        <f>IFERROR(__xludf.DUMMYFUNCTION("""COMPUTED_VALUE"""),"Bow")</f>
        <v>Bow</v>
      </c>
      <c r="C2205" t="str">
        <f>IFERROR(__xludf.DUMMYFUNCTION("""COMPUTED_VALUE"""),"NH")</f>
        <v>NH</v>
      </c>
      <c r="D2205" t="str">
        <f>IFERROR(__xludf.DUMMYFUNCTION("""COMPUTED_VALUE"""),"USA")</f>
        <v>USA</v>
      </c>
      <c r="E2205" s="188">
        <f>IFERROR(__xludf.DUMMYFUNCTION("""COMPUTED_VALUE"""),43780.0)</f>
        <v>43780</v>
      </c>
      <c r="F2205" s="188">
        <f>IFERROR(__xludf.DUMMYFUNCTION("""COMPUTED_VALUE"""),43807.0)</f>
        <v>43807</v>
      </c>
      <c r="H2205">
        <f>IFERROR(__xludf.DUMMYFUNCTION("""COMPUTED_VALUE"""),607085.0)</f>
        <v>607085</v>
      </c>
      <c r="J2205" s="5">
        <f>IFERROR(__xludf.DUMMYFUNCTION("""COMPUTED_VALUE"""),43823.0)</f>
        <v>43823</v>
      </c>
      <c r="K2205">
        <f>IFERROR(__xludf.DUMMYFUNCTION("""COMPUTED_VALUE"""),27.0)</f>
        <v>27</v>
      </c>
      <c r="L2205">
        <f>IFERROR(__xludf.DUMMYFUNCTION("""COMPUTED_VALUE"""),16.0)</f>
        <v>16</v>
      </c>
      <c r="M2205">
        <f>IFERROR(__xludf.DUMMYFUNCTION("""COMPUTED_VALUE"""),43.0)</f>
        <v>43</v>
      </c>
      <c r="N2205" t="str">
        <f>IFERROR(__xludf.DUMMYFUNCTION("""COMPUTED_VALUE"""),"Model 3 LR AWD")</f>
        <v>Model 3 LR AWD</v>
      </c>
      <c r="O2205" t="str">
        <f>IFERROR(__xludf.DUMMYFUNCTION("""COMPUTED_VALUE"""),"Pearl White Multi-Coat")</f>
        <v>Pearl White Multi-Coat</v>
      </c>
      <c r="P2205" t="str">
        <f>IFERROR(__xludf.DUMMYFUNCTION("""COMPUTED_VALUE"""),"18 inch Aero")</f>
        <v>18 inch Aero</v>
      </c>
      <c r="Q2205" t="str">
        <f>IFERROR(__xludf.DUMMYFUNCTION("""COMPUTED_VALUE"""),"White seats")</f>
        <v>White seats</v>
      </c>
      <c r="R2205" t="str">
        <f>IFERROR(__xludf.DUMMYFUNCTION("""COMPUTED_VALUE"""),"Full Self-Driving")</f>
        <v>Full Self-Driving</v>
      </c>
      <c r="X2205" t="str">
        <f>IFERROR(__xludf.DUMMYFUNCTION("""COMPUTED_VALUE"""),"Excellent")</f>
        <v>Excellent</v>
      </c>
      <c r="Y2205" t="str">
        <f>IFERROR(__xludf.DUMMYFUNCTION("""COMPUTED_VALUE"""),"Excellent")</f>
        <v>Excellent</v>
      </c>
      <c r="Z2205" t="str">
        <f>IFERROR(__xludf.DUMMYFUNCTION("""COMPUTED_VALUE"""),"Excellent")</f>
        <v>Excellent</v>
      </c>
      <c r="AA2205" t="str">
        <f>IFERROR(__xludf.DUMMYFUNCTION("""COMPUTED_VALUE"""),"Fair")</f>
        <v>Fair</v>
      </c>
      <c r="AB2205" t="str">
        <f>IFERROR(__xludf.DUMMYFUNCTION("""COMPUTED_VALUE"""),"Very Good")</f>
        <v>Very Good</v>
      </c>
      <c r="AG2205" t="str">
        <f>IFERROR(__xludf.DUMMYFUNCTION("""COMPUTED_VALUE"""),"biggest issue was communication between Alliant Credit Union and Tesla")</f>
        <v>biggest issue was communication between Alliant Credit Union and Tesla</v>
      </c>
      <c r="AH2205" s="189">
        <f>IFERROR(__xludf.DUMMYFUNCTION("""COMPUTED_VALUE"""),43826.589480254625)</f>
        <v>43826.58948</v>
      </c>
    </row>
    <row r="2206">
      <c r="A2206" t="str">
        <f>IFERROR(__xludf.DUMMYFUNCTION("""COMPUTED_VALUE"""),"Gvs")</f>
        <v>Gvs</v>
      </c>
      <c r="B2206" t="str">
        <f>IFERROR(__xludf.DUMMYFUNCTION("""COMPUTED_VALUE"""),"Houston")</f>
        <v>Houston</v>
      </c>
      <c r="C2206" t="str">
        <f>IFERROR(__xludf.DUMMYFUNCTION("""COMPUTED_VALUE"""),"TX")</f>
        <v>TX</v>
      </c>
      <c r="D2206" t="str">
        <f>IFERROR(__xludf.DUMMYFUNCTION("""COMPUTED_VALUE"""),"USA")</f>
        <v>USA</v>
      </c>
      <c r="E2206" s="188">
        <f>IFERROR(__xludf.DUMMYFUNCTION("""COMPUTED_VALUE"""),43805.0)</f>
        <v>43805</v>
      </c>
      <c r="F2206" s="188">
        <f>IFERROR(__xludf.DUMMYFUNCTION("""COMPUTED_VALUE"""),43822.0)</f>
        <v>43822</v>
      </c>
      <c r="H2206">
        <f>IFERROR(__xludf.DUMMYFUNCTION("""COMPUTED_VALUE"""),639057.0)</f>
        <v>639057</v>
      </c>
      <c r="I2206" t="str">
        <f>IFERROR(__xludf.DUMMYFUNCTION("""COMPUTED_VALUE"""),"12/19")</f>
        <v>12/19</v>
      </c>
      <c r="J2206" s="5">
        <f>IFERROR(__xludf.DUMMYFUNCTION("""COMPUTED_VALUE"""),43826.0)</f>
        <v>43826</v>
      </c>
      <c r="K2206">
        <f>IFERROR(__xludf.DUMMYFUNCTION("""COMPUTED_VALUE"""),17.0)</f>
        <v>17</v>
      </c>
      <c r="L2206">
        <f>IFERROR(__xludf.DUMMYFUNCTION("""COMPUTED_VALUE"""),4.0)</f>
        <v>4</v>
      </c>
      <c r="M2206">
        <f>IFERROR(__xludf.DUMMYFUNCTION("""COMPUTED_VALUE"""),21.0)</f>
        <v>21</v>
      </c>
      <c r="N2206" t="str">
        <f>IFERROR(__xludf.DUMMYFUNCTION("""COMPUTED_VALUE"""),"Model 3 LR AWD")</f>
        <v>Model 3 LR AWD</v>
      </c>
      <c r="O2206" t="str">
        <f>IFERROR(__xludf.DUMMYFUNCTION("""COMPUTED_VALUE"""),"Midnight Silver Metallic")</f>
        <v>Midnight Silver Metallic</v>
      </c>
      <c r="P2206" t="str">
        <f>IFERROR(__xludf.DUMMYFUNCTION("""COMPUTED_VALUE"""),"19 inch Sport")</f>
        <v>19 inch Sport</v>
      </c>
      <c r="Q2206" t="str">
        <f>IFERROR(__xludf.DUMMYFUNCTION("""COMPUTED_VALUE"""),"White seats")</f>
        <v>White seats</v>
      </c>
      <c r="R2206" t="str">
        <f>IFERROR(__xludf.DUMMYFUNCTION("""COMPUTED_VALUE"""),"Autopilot")</f>
        <v>Autopilot</v>
      </c>
      <c r="X2206" t="str">
        <f>IFERROR(__xludf.DUMMYFUNCTION("""COMPUTED_VALUE"""),"Very Good")</f>
        <v>Very Good</v>
      </c>
      <c r="Y2206" t="str">
        <f>IFERROR(__xludf.DUMMYFUNCTION("""COMPUTED_VALUE"""),"Excellent")</f>
        <v>Excellent</v>
      </c>
      <c r="Z2206" t="str">
        <f>IFERROR(__xludf.DUMMYFUNCTION("""COMPUTED_VALUE"""),"Excellent")</f>
        <v>Excellent</v>
      </c>
      <c r="AA2206" t="str">
        <f>IFERROR(__xludf.DUMMYFUNCTION("""COMPUTED_VALUE"""),"Excellent")</f>
        <v>Excellent</v>
      </c>
      <c r="AB2206" t="str">
        <f>IFERROR(__xludf.DUMMYFUNCTION("""COMPUTED_VALUE"""),"Excellent")</f>
        <v>Excellent</v>
      </c>
      <c r="AC2206">
        <f>IFERROR(__xludf.DUMMYFUNCTION("""COMPUTED_VALUE"""),1.0)</f>
        <v>1</v>
      </c>
      <c r="AD2206">
        <f>IFERROR(__xludf.DUMMYFUNCTION("""COMPUTED_VALUE"""),1.0)</f>
        <v>1</v>
      </c>
      <c r="AE2206">
        <f>IFERROR(__xludf.DUMMYFUNCTION("""COMPUTED_VALUE"""),0.0)</f>
        <v>0</v>
      </c>
      <c r="AH2206" s="189">
        <f>IFERROR(__xludf.DUMMYFUNCTION("""COMPUTED_VALUE"""),43827.173524004626)</f>
        <v>43827.17352</v>
      </c>
    </row>
    <row r="2207">
      <c r="A2207" t="str">
        <f>IFERROR(__xludf.DUMMYFUNCTION("""COMPUTED_VALUE"""),"nicolag")</f>
        <v>nicolag</v>
      </c>
      <c r="B2207" t="str">
        <f>IFERROR(__xludf.DUMMYFUNCTION("""COMPUTED_VALUE"""),"Long Island")</f>
        <v>Long Island</v>
      </c>
      <c r="C2207" t="str">
        <f>IFERROR(__xludf.DUMMYFUNCTION("""COMPUTED_VALUE"""),"NY")</f>
        <v>NY</v>
      </c>
      <c r="D2207" t="str">
        <f>IFERROR(__xludf.DUMMYFUNCTION("""COMPUTED_VALUE"""),"USA")</f>
        <v>USA</v>
      </c>
      <c r="E2207" s="188">
        <f>IFERROR(__xludf.DUMMYFUNCTION("""COMPUTED_VALUE"""),43801.0)</f>
        <v>43801</v>
      </c>
      <c r="F2207" s="188">
        <f>IFERROR(__xludf.DUMMYFUNCTION("""COMPUTED_VALUE"""),43805.0)</f>
        <v>43805</v>
      </c>
      <c r="H2207">
        <f>IFERROR(__xludf.DUMMYFUNCTION("""COMPUTED_VALUE"""),618955.0)</f>
        <v>618955</v>
      </c>
      <c r="I2207" t="str">
        <f>IFERROR(__xludf.DUMMYFUNCTION("""COMPUTED_VALUE"""),"12/19")</f>
        <v>12/19</v>
      </c>
      <c r="J2207" s="5">
        <f>IFERROR(__xludf.DUMMYFUNCTION("""COMPUTED_VALUE"""),43822.0)</f>
        <v>43822</v>
      </c>
      <c r="K2207">
        <f>IFERROR(__xludf.DUMMYFUNCTION("""COMPUTED_VALUE"""),4.0)</f>
        <v>4</v>
      </c>
      <c r="L2207">
        <f>IFERROR(__xludf.DUMMYFUNCTION("""COMPUTED_VALUE"""),17.0)</f>
        <v>17</v>
      </c>
      <c r="M2207">
        <f>IFERROR(__xludf.DUMMYFUNCTION("""COMPUTED_VALUE"""),21.0)</f>
        <v>21</v>
      </c>
      <c r="N2207" t="str">
        <f>IFERROR(__xludf.DUMMYFUNCTION("""COMPUTED_VALUE"""),"Model 3 LR AWD")</f>
        <v>Model 3 LR AWD</v>
      </c>
      <c r="P2207" t="str">
        <f>IFERROR(__xludf.DUMMYFUNCTION("""COMPUTED_VALUE"""),"18 inch Aero")</f>
        <v>18 inch Aero</v>
      </c>
      <c r="R2207" t="str">
        <f>IFERROR(__xludf.DUMMYFUNCTION("""COMPUTED_VALUE"""),"Autopilot")</f>
        <v>Autopilot</v>
      </c>
      <c r="X2207" t="str">
        <f>IFERROR(__xludf.DUMMYFUNCTION("""COMPUTED_VALUE"""),"Very Good")</f>
        <v>Very Good</v>
      </c>
      <c r="Y2207" t="str">
        <f>IFERROR(__xludf.DUMMYFUNCTION("""COMPUTED_VALUE"""),"Excellent")</f>
        <v>Excellent</v>
      </c>
      <c r="Z2207" t="str">
        <f>IFERROR(__xludf.DUMMYFUNCTION("""COMPUTED_VALUE"""),"Excellent")</f>
        <v>Excellent</v>
      </c>
      <c r="AA2207" t="str">
        <f>IFERROR(__xludf.DUMMYFUNCTION("""COMPUTED_VALUE"""),"Very Good")</f>
        <v>Very Good</v>
      </c>
      <c r="AB2207" t="str">
        <f>IFERROR(__xludf.DUMMYFUNCTION("""COMPUTED_VALUE"""),"Very Good")</f>
        <v>Very Good</v>
      </c>
      <c r="AH2207" s="189">
        <f>IFERROR(__xludf.DUMMYFUNCTION("""COMPUTED_VALUE"""),43827.600027569446)</f>
        <v>43827.60003</v>
      </c>
    </row>
    <row r="2208">
      <c r="A2208" t="str">
        <f>IFERROR(__xludf.DUMMYFUNCTION("""COMPUTED_VALUE"""),"voxelman")</f>
        <v>voxelman</v>
      </c>
      <c r="B2208" t="str">
        <f>IFERROR(__xludf.DUMMYFUNCTION("""COMPUTED_VALUE"""),"Fairfield")</f>
        <v>Fairfield</v>
      </c>
      <c r="C2208" t="str">
        <f>IFERROR(__xludf.DUMMYFUNCTION("""COMPUTED_VALUE"""),"IA")</f>
        <v>IA</v>
      </c>
      <c r="D2208" t="str">
        <f>IFERROR(__xludf.DUMMYFUNCTION("""COMPUTED_VALUE"""),"USA")</f>
        <v>USA</v>
      </c>
      <c r="E2208" s="188">
        <f>IFERROR(__xludf.DUMMYFUNCTION("""COMPUTED_VALUE"""),43769.0)</f>
        <v>43769</v>
      </c>
      <c r="F2208" s="188">
        <f>IFERROR(__xludf.DUMMYFUNCTION("""COMPUTED_VALUE"""),43803.0)</f>
        <v>43803</v>
      </c>
      <c r="H2208" s="4">
        <f>IFERROR(__xludf.DUMMYFUNCTION("""COMPUTED_VALUE"""),513758.0)</f>
        <v>513758</v>
      </c>
      <c r="I2208" t="str">
        <f>IFERROR(__xludf.DUMMYFUNCTION("""COMPUTED_VALUE"""),"12/19")</f>
        <v>12/19</v>
      </c>
      <c r="J2208" s="5">
        <f>IFERROR(__xludf.DUMMYFUNCTION("""COMPUTED_VALUE"""),43817.0)</f>
        <v>43817</v>
      </c>
      <c r="K2208">
        <f>IFERROR(__xludf.DUMMYFUNCTION("""COMPUTED_VALUE"""),34.0)</f>
        <v>34</v>
      </c>
      <c r="L2208">
        <f>IFERROR(__xludf.DUMMYFUNCTION("""COMPUTED_VALUE"""),14.0)</f>
        <v>14</v>
      </c>
      <c r="M2208">
        <f>IFERROR(__xludf.DUMMYFUNCTION("""COMPUTED_VALUE"""),48.0)</f>
        <v>48</v>
      </c>
      <c r="N2208" t="str">
        <f>IFERROR(__xludf.DUMMYFUNCTION("""COMPUTED_VALUE"""),"Model 3 LR AWD")</f>
        <v>Model 3 LR AWD</v>
      </c>
      <c r="O2208" t="str">
        <f>IFERROR(__xludf.DUMMYFUNCTION("""COMPUTED_VALUE"""),"Pearl White Multi-Coat")</f>
        <v>Pearl White Multi-Coat</v>
      </c>
      <c r="P2208" t="str">
        <f>IFERROR(__xludf.DUMMYFUNCTION("""COMPUTED_VALUE"""),"19 inch Sport")</f>
        <v>19 inch Sport</v>
      </c>
      <c r="Q2208" t="str">
        <f>IFERROR(__xludf.DUMMYFUNCTION("""COMPUTED_VALUE"""),"White seats")</f>
        <v>White seats</v>
      </c>
      <c r="R2208" t="str">
        <f>IFERROR(__xludf.DUMMYFUNCTION("""COMPUTED_VALUE"""),"Full Self-Driving")</f>
        <v>Full Self-Driving</v>
      </c>
      <c r="X2208" t="str">
        <f>IFERROR(__xludf.DUMMYFUNCTION("""COMPUTED_VALUE"""),"Very Good")</f>
        <v>Very Good</v>
      </c>
      <c r="Y2208" t="str">
        <f>IFERROR(__xludf.DUMMYFUNCTION("""COMPUTED_VALUE"""),"Excellent")</f>
        <v>Excellent</v>
      </c>
      <c r="Z2208" t="str">
        <f>IFERROR(__xludf.DUMMYFUNCTION("""COMPUTED_VALUE"""),"Excellent")</f>
        <v>Excellent</v>
      </c>
      <c r="AA2208" t="str">
        <f>IFERROR(__xludf.DUMMYFUNCTION("""COMPUTED_VALUE"""),"Good")</f>
        <v>Good</v>
      </c>
      <c r="AB2208" t="str">
        <f>IFERROR(__xludf.DUMMYFUNCTION("""COMPUTED_VALUE"""),"Excellent")</f>
        <v>Excellent</v>
      </c>
      <c r="AC2208">
        <f>IFERROR(__xludf.DUMMYFUNCTION("""COMPUTED_VALUE"""),0.0)</f>
        <v>0</v>
      </c>
      <c r="AD2208">
        <f>IFERROR(__xludf.DUMMYFUNCTION("""COMPUTED_VALUE"""),0.0)</f>
        <v>0</v>
      </c>
      <c r="AE2208">
        <f>IFERROR(__xludf.DUMMYFUNCTION("""COMPUTED_VALUE"""),0.0)</f>
        <v>0</v>
      </c>
      <c r="AH2208" s="189">
        <f>IFERROR(__xludf.DUMMYFUNCTION("""COMPUTED_VALUE"""),43827.831033333336)</f>
        <v>43827.83103</v>
      </c>
    </row>
    <row r="2209">
      <c r="A2209" t="str">
        <f>IFERROR(__xludf.DUMMYFUNCTION("""COMPUTED_VALUE"""),"vkp-m3")</f>
        <v>vkp-m3</v>
      </c>
      <c r="B2209" t="str">
        <f>IFERROR(__xludf.DUMMYFUNCTION("""COMPUTED_VALUE"""),"Natick")</f>
        <v>Natick</v>
      </c>
      <c r="C2209" t="str">
        <f>IFERROR(__xludf.DUMMYFUNCTION("""COMPUTED_VALUE"""),"MA")</f>
        <v>MA</v>
      </c>
      <c r="D2209" t="str">
        <f>IFERROR(__xludf.DUMMYFUNCTION("""COMPUTED_VALUE"""),"USA")</f>
        <v>USA</v>
      </c>
      <c r="E2209" s="188">
        <f>IFERROR(__xludf.DUMMYFUNCTION("""COMPUTED_VALUE"""),43780.0)</f>
        <v>43780</v>
      </c>
      <c r="F2209" s="188">
        <f>IFERROR(__xludf.DUMMYFUNCTION("""COMPUTED_VALUE"""),43800.0)</f>
        <v>43800</v>
      </c>
      <c r="I2209" t="str">
        <f>IFERROR(__xludf.DUMMYFUNCTION("""COMPUTED_VALUE"""),"12/19")</f>
        <v>12/19</v>
      </c>
      <c r="J2209" s="5">
        <f>IFERROR(__xludf.DUMMYFUNCTION("""COMPUTED_VALUE"""),43817.0)</f>
        <v>43817</v>
      </c>
      <c r="K2209">
        <f>IFERROR(__xludf.DUMMYFUNCTION("""COMPUTED_VALUE"""),20.0)</f>
        <v>20</v>
      </c>
      <c r="L2209">
        <f>IFERROR(__xludf.DUMMYFUNCTION("""COMPUTED_VALUE"""),17.0)</f>
        <v>17</v>
      </c>
      <c r="M2209">
        <f>IFERROR(__xludf.DUMMYFUNCTION("""COMPUTED_VALUE"""),37.0)</f>
        <v>37</v>
      </c>
      <c r="N2209" t="str">
        <f>IFERROR(__xludf.DUMMYFUNCTION("""COMPUTED_VALUE"""),"Model 3 LR AWD")</f>
        <v>Model 3 LR AWD</v>
      </c>
      <c r="O2209" t="str">
        <f>IFERROR(__xludf.DUMMYFUNCTION("""COMPUTED_VALUE"""),"Midnight Silver Metallic")</f>
        <v>Midnight Silver Metallic</v>
      </c>
      <c r="P2209" t="str">
        <f>IFERROR(__xludf.DUMMYFUNCTION("""COMPUTED_VALUE"""),"19 inch Sport")</f>
        <v>19 inch Sport</v>
      </c>
      <c r="Q2209" t="str">
        <f>IFERROR(__xludf.DUMMYFUNCTION("""COMPUTED_VALUE"""),"White seats")</f>
        <v>White seats</v>
      </c>
      <c r="R2209" t="str">
        <f>IFERROR(__xludf.DUMMYFUNCTION("""COMPUTED_VALUE"""),"Autopilot")</f>
        <v>Autopilot</v>
      </c>
      <c r="X2209" t="str">
        <f>IFERROR(__xludf.DUMMYFUNCTION("""COMPUTED_VALUE"""),"Excellent")</f>
        <v>Excellent</v>
      </c>
      <c r="Y2209" t="str">
        <f>IFERROR(__xludf.DUMMYFUNCTION("""COMPUTED_VALUE"""),"Excellent")</f>
        <v>Excellent</v>
      </c>
      <c r="Z2209" t="str">
        <f>IFERROR(__xludf.DUMMYFUNCTION("""COMPUTED_VALUE"""),"Fair")</f>
        <v>Fair</v>
      </c>
      <c r="AA2209" t="str">
        <f>IFERROR(__xludf.DUMMYFUNCTION("""COMPUTED_VALUE"""),"Poor")</f>
        <v>Poor</v>
      </c>
      <c r="AB2209" t="str">
        <f>IFERROR(__xludf.DUMMYFUNCTION("""COMPUTED_VALUE"""),"Poor")</f>
        <v>Poor</v>
      </c>
      <c r="AC2209">
        <f>IFERROR(__xludf.DUMMYFUNCTION("""COMPUTED_VALUE"""),2.0)</f>
        <v>2</v>
      </c>
      <c r="AD2209">
        <f>IFERROR(__xludf.DUMMYFUNCTION("""COMPUTED_VALUE"""),1.0)</f>
        <v>1</v>
      </c>
      <c r="AE2209">
        <f>IFERROR(__xludf.DUMMYFUNCTION("""COMPUTED_VALUE"""),0.0)</f>
        <v>0</v>
      </c>
      <c r="AH2209" s="189">
        <f>IFERROR(__xludf.DUMMYFUNCTION("""COMPUTED_VALUE"""),43827.890611006944)</f>
        <v>43827.89061</v>
      </c>
    </row>
    <row r="2210">
      <c r="A2210" t="str">
        <f>IFERROR(__xludf.DUMMYFUNCTION("""COMPUTED_VALUE"""),"cbattlew")</f>
        <v>cbattlew</v>
      </c>
      <c r="B2210" t="str">
        <f>IFERROR(__xludf.DUMMYFUNCTION("""COMPUTED_VALUE"""),"Dedham")</f>
        <v>Dedham</v>
      </c>
      <c r="C2210" t="str">
        <f>IFERROR(__xludf.DUMMYFUNCTION("""COMPUTED_VALUE"""),"MA")</f>
        <v>MA</v>
      </c>
      <c r="D2210" t="str">
        <f>IFERROR(__xludf.DUMMYFUNCTION("""COMPUTED_VALUE"""),"USA")</f>
        <v>USA</v>
      </c>
      <c r="E2210" s="188">
        <f>IFERROR(__xludf.DUMMYFUNCTION("""COMPUTED_VALUE"""),43795.0)</f>
        <v>43795</v>
      </c>
      <c r="F2210" s="188">
        <f>IFERROR(__xludf.DUMMYFUNCTION("""COMPUTED_VALUE"""),43806.0)</f>
        <v>43806</v>
      </c>
      <c r="H2210">
        <f>IFERROR(__xludf.DUMMYFUNCTION("""COMPUTED_VALUE"""),606757.0)</f>
        <v>606757</v>
      </c>
      <c r="J2210" s="5">
        <f>IFERROR(__xludf.DUMMYFUNCTION("""COMPUTED_VALUE"""),43821.0)</f>
        <v>43821</v>
      </c>
      <c r="K2210">
        <f>IFERROR(__xludf.DUMMYFUNCTION("""COMPUTED_VALUE"""),11.0)</f>
        <v>11</v>
      </c>
      <c r="L2210">
        <f>IFERROR(__xludf.DUMMYFUNCTION("""COMPUTED_VALUE"""),15.0)</f>
        <v>15</v>
      </c>
      <c r="M2210">
        <f>IFERROR(__xludf.DUMMYFUNCTION("""COMPUTED_VALUE"""),26.0)</f>
        <v>26</v>
      </c>
      <c r="N2210" t="str">
        <f>IFERROR(__xludf.DUMMYFUNCTION("""COMPUTED_VALUE"""),"Model 3 SR+")</f>
        <v>Model 3 SR+</v>
      </c>
      <c r="O2210" t="str">
        <f>IFERROR(__xludf.DUMMYFUNCTION("""COMPUTED_VALUE"""),"Solid Black")</f>
        <v>Solid Black</v>
      </c>
      <c r="P2210" t="str">
        <f>IFERROR(__xludf.DUMMYFUNCTION("""COMPUTED_VALUE"""),"18 inch Aero")</f>
        <v>18 inch Aero</v>
      </c>
      <c r="Q2210" t="str">
        <f>IFERROR(__xludf.DUMMYFUNCTION("""COMPUTED_VALUE"""),"White seats")</f>
        <v>White seats</v>
      </c>
      <c r="R2210" t="str">
        <f>IFERROR(__xludf.DUMMYFUNCTION("""COMPUTED_VALUE"""),"Autopilot")</f>
        <v>Autopilot</v>
      </c>
      <c r="X2210" t="str">
        <f>IFERROR(__xludf.DUMMYFUNCTION("""COMPUTED_VALUE"""),"Excellent")</f>
        <v>Excellent</v>
      </c>
      <c r="Y2210" t="str">
        <f>IFERROR(__xludf.DUMMYFUNCTION("""COMPUTED_VALUE"""),"Very Good")</f>
        <v>Very Good</v>
      </c>
      <c r="Z2210" t="str">
        <f>IFERROR(__xludf.DUMMYFUNCTION("""COMPUTED_VALUE"""),"Very Good")</f>
        <v>Very Good</v>
      </c>
      <c r="AA2210" t="str">
        <f>IFERROR(__xludf.DUMMYFUNCTION("""COMPUTED_VALUE"""),"Excellent")</f>
        <v>Excellent</v>
      </c>
      <c r="AB2210" t="str">
        <f>IFERROR(__xludf.DUMMYFUNCTION("""COMPUTED_VALUE"""),"Excellent")</f>
        <v>Excellent</v>
      </c>
      <c r="AH2210" s="189">
        <f>IFERROR(__xludf.DUMMYFUNCTION("""COMPUTED_VALUE"""),43828.61728550926)</f>
        <v>43828.61729</v>
      </c>
    </row>
    <row r="2211">
      <c r="A2211" t="str">
        <f>IFERROR(__xludf.DUMMYFUNCTION("""COMPUTED_VALUE"""),"twitter007")</f>
        <v>twitter007</v>
      </c>
      <c r="B2211" t="str">
        <f>IFERROR(__xludf.DUMMYFUNCTION("""COMPUTED_VALUE"""),"Fremont")</f>
        <v>Fremont</v>
      </c>
      <c r="C2211" t="str">
        <f>IFERROR(__xludf.DUMMYFUNCTION("""COMPUTED_VALUE"""),"CA")</f>
        <v>CA</v>
      </c>
      <c r="D2211" t="str">
        <f>IFERROR(__xludf.DUMMYFUNCTION("""COMPUTED_VALUE"""),"USA")</f>
        <v>USA</v>
      </c>
      <c r="E2211" s="188">
        <f>IFERROR(__xludf.DUMMYFUNCTION("""COMPUTED_VALUE"""),43770.0)</f>
        <v>43770</v>
      </c>
      <c r="F2211" s="188">
        <f>IFERROR(__xludf.DUMMYFUNCTION("""COMPUTED_VALUE"""),43826.0)</f>
        <v>43826</v>
      </c>
      <c r="H2211">
        <f>IFERROR(__xludf.DUMMYFUNCTION("""COMPUTED_VALUE"""),615455.0)</f>
        <v>615455</v>
      </c>
      <c r="I2211" t="str">
        <f>IFERROR(__xludf.DUMMYFUNCTION("""COMPUTED_VALUE"""),"12/19")</f>
        <v>12/19</v>
      </c>
      <c r="J2211" s="5">
        <f>IFERROR(__xludf.DUMMYFUNCTION("""COMPUTED_VALUE"""),43826.0)</f>
        <v>43826</v>
      </c>
      <c r="K2211">
        <f>IFERROR(__xludf.DUMMYFUNCTION("""COMPUTED_VALUE"""),56.0)</f>
        <v>56</v>
      </c>
      <c r="L2211">
        <f>IFERROR(__xludf.DUMMYFUNCTION("""COMPUTED_VALUE"""),0.0)</f>
        <v>0</v>
      </c>
      <c r="M2211">
        <f>IFERROR(__xludf.DUMMYFUNCTION("""COMPUTED_VALUE"""),56.0)</f>
        <v>56</v>
      </c>
      <c r="N2211" t="str">
        <f>IFERROR(__xludf.DUMMYFUNCTION("""COMPUTED_VALUE"""),"Model 3 SR+")</f>
        <v>Model 3 SR+</v>
      </c>
      <c r="O2211" t="str">
        <f>IFERROR(__xludf.DUMMYFUNCTION("""COMPUTED_VALUE"""),"Pearl White Multi-Coat")</f>
        <v>Pearl White Multi-Coat</v>
      </c>
      <c r="P2211" t="str">
        <f>IFERROR(__xludf.DUMMYFUNCTION("""COMPUTED_VALUE"""),"18 inch Aero")</f>
        <v>18 inch Aero</v>
      </c>
      <c r="Q2211" t="str">
        <f>IFERROR(__xludf.DUMMYFUNCTION("""COMPUTED_VALUE"""),"White seats")</f>
        <v>White seats</v>
      </c>
      <c r="R2211" t="str">
        <f>IFERROR(__xludf.DUMMYFUNCTION("""COMPUTED_VALUE"""),"Autopilot")</f>
        <v>Autopilot</v>
      </c>
      <c r="X2211" t="str">
        <f>IFERROR(__xludf.DUMMYFUNCTION("""COMPUTED_VALUE"""),"Good")</f>
        <v>Good</v>
      </c>
      <c r="Y2211" t="str">
        <f>IFERROR(__xludf.DUMMYFUNCTION("""COMPUTED_VALUE"""),"Very Good")</f>
        <v>Very Good</v>
      </c>
      <c r="Z2211" t="str">
        <f>IFERROR(__xludf.DUMMYFUNCTION("""COMPUTED_VALUE"""),"Very Good")</f>
        <v>Very Good</v>
      </c>
      <c r="AA2211" t="str">
        <f>IFERROR(__xludf.DUMMYFUNCTION("""COMPUTED_VALUE"""),"Good")</f>
        <v>Good</v>
      </c>
      <c r="AB2211" t="str">
        <f>IFERROR(__xludf.DUMMYFUNCTION("""COMPUTED_VALUE"""),"Very Good")</f>
        <v>Very Good</v>
      </c>
      <c r="AH2211" s="189">
        <f>IFERROR(__xludf.DUMMYFUNCTION("""COMPUTED_VALUE"""),43828.783507569446)</f>
        <v>43828.78351</v>
      </c>
    </row>
    <row r="2212">
      <c r="A2212" t="str">
        <f>IFERROR(__xludf.DUMMYFUNCTION("""COMPUTED_VALUE"""),"jwc")</f>
        <v>jwc</v>
      </c>
      <c r="B2212" t="str">
        <f>IFERROR(__xludf.DUMMYFUNCTION("""COMPUTED_VALUE"""),"Seattle")</f>
        <v>Seattle</v>
      </c>
      <c r="C2212" t="str">
        <f>IFERROR(__xludf.DUMMYFUNCTION("""COMPUTED_VALUE"""),"WA")</f>
        <v>WA</v>
      </c>
      <c r="D2212" t="str">
        <f>IFERROR(__xludf.DUMMYFUNCTION("""COMPUTED_VALUE"""),"USA")</f>
        <v>USA</v>
      </c>
      <c r="E2212" s="188">
        <f>IFERROR(__xludf.DUMMYFUNCTION("""COMPUTED_VALUE"""),43794.0)</f>
        <v>43794</v>
      </c>
      <c r="F2212" s="188">
        <f>IFERROR(__xludf.DUMMYFUNCTION("""COMPUTED_VALUE"""),43824.0)</f>
        <v>43824</v>
      </c>
      <c r="H2212">
        <f>IFERROR(__xludf.DUMMYFUNCTION("""COMPUTED_VALUE"""),647697.0)</f>
        <v>647697</v>
      </c>
      <c r="I2212" t="str">
        <f>IFERROR(__xludf.DUMMYFUNCTION("""COMPUTED_VALUE"""),"12/19")</f>
        <v>12/19</v>
      </c>
      <c r="J2212" s="5">
        <f>IFERROR(__xludf.DUMMYFUNCTION("""COMPUTED_VALUE"""),43828.0)</f>
        <v>43828</v>
      </c>
      <c r="K2212">
        <f>IFERROR(__xludf.DUMMYFUNCTION("""COMPUTED_VALUE"""),30.0)</f>
        <v>30</v>
      </c>
      <c r="L2212">
        <f>IFERROR(__xludf.DUMMYFUNCTION("""COMPUTED_VALUE"""),4.0)</f>
        <v>4</v>
      </c>
      <c r="M2212">
        <f>IFERROR(__xludf.DUMMYFUNCTION("""COMPUTED_VALUE"""),34.0)</f>
        <v>34</v>
      </c>
      <c r="N2212" t="str">
        <f>IFERROR(__xludf.DUMMYFUNCTION("""COMPUTED_VALUE"""),"Model 3 LR AWD")</f>
        <v>Model 3 LR AWD</v>
      </c>
      <c r="O2212" t="str">
        <f>IFERROR(__xludf.DUMMYFUNCTION("""COMPUTED_VALUE"""),"Deep Blue Metallic")</f>
        <v>Deep Blue Metallic</v>
      </c>
      <c r="P2212" t="str">
        <f>IFERROR(__xludf.DUMMYFUNCTION("""COMPUTED_VALUE"""),"18 inch Aero")</f>
        <v>18 inch Aero</v>
      </c>
      <c r="Q2212" t="str">
        <f>IFERROR(__xludf.DUMMYFUNCTION("""COMPUTED_VALUE"""),"Black seats")</f>
        <v>Black seats</v>
      </c>
      <c r="R2212" t="str">
        <f>IFERROR(__xludf.DUMMYFUNCTION("""COMPUTED_VALUE"""),"Autopilot")</f>
        <v>Autopilot</v>
      </c>
      <c r="X2212" t="str">
        <f>IFERROR(__xludf.DUMMYFUNCTION("""COMPUTED_VALUE"""),"Excellent")</f>
        <v>Excellent</v>
      </c>
      <c r="Y2212" t="str">
        <f>IFERROR(__xludf.DUMMYFUNCTION("""COMPUTED_VALUE"""),"Excellent")</f>
        <v>Excellent</v>
      </c>
      <c r="Z2212" t="str">
        <f>IFERROR(__xludf.DUMMYFUNCTION("""COMPUTED_VALUE"""),"Good")</f>
        <v>Good</v>
      </c>
      <c r="AA2212" t="str">
        <f>IFERROR(__xludf.DUMMYFUNCTION("""COMPUTED_VALUE"""),"Fair")</f>
        <v>Fair</v>
      </c>
      <c r="AB2212" t="str">
        <f>IFERROR(__xludf.DUMMYFUNCTION("""COMPUTED_VALUE"""),"Very Good")</f>
        <v>Very Good</v>
      </c>
      <c r="AC2212">
        <f>IFERROR(__xludf.DUMMYFUNCTION("""COMPUTED_VALUE"""),1.0)</f>
        <v>1</v>
      </c>
      <c r="AG2212" t="str">
        <f>IFERROR(__xludf.DUMMYFUNCTION("""COMPUTED_VALUE"""),"Delivery pushed back from 12/28 on 12/26.")</f>
        <v>Delivery pushed back from 12/28 on 12/26.</v>
      </c>
      <c r="AH2212" s="189">
        <f>IFERROR(__xludf.DUMMYFUNCTION("""COMPUTED_VALUE"""),43828.88875907408)</f>
        <v>43828.88876</v>
      </c>
    </row>
    <row r="2213">
      <c r="A2213" t="str">
        <f>IFERROR(__xludf.DUMMYFUNCTION("""COMPUTED_VALUE"""),"Zorrobazz")</f>
        <v>Zorrobazz</v>
      </c>
      <c r="B2213" t="str">
        <f>IFERROR(__xludf.DUMMYFUNCTION("""COMPUTED_VALUE"""),"Drammen ")</f>
        <v>Drammen </v>
      </c>
      <c r="D2213" t="str">
        <f>IFERROR(__xludf.DUMMYFUNCTION("""COMPUTED_VALUE"""),"Norway")</f>
        <v>Norway</v>
      </c>
      <c r="E2213" s="188">
        <f>IFERROR(__xludf.DUMMYFUNCTION("""COMPUTED_VALUE"""),43789.0)</f>
        <v>43789</v>
      </c>
      <c r="F2213" s="188">
        <f>IFERROR(__xludf.DUMMYFUNCTION("""COMPUTED_VALUE"""),43813.0)</f>
        <v>43813</v>
      </c>
      <c r="H2213">
        <f>IFERROR(__xludf.DUMMYFUNCTION("""COMPUTED_VALUE"""),579955.0)</f>
        <v>579955</v>
      </c>
      <c r="J2213" s="5">
        <f>IFERROR(__xludf.DUMMYFUNCTION("""COMPUTED_VALUE"""),43815.0)</f>
        <v>43815</v>
      </c>
      <c r="K2213">
        <f>IFERROR(__xludf.DUMMYFUNCTION("""COMPUTED_VALUE"""),24.0)</f>
        <v>24</v>
      </c>
      <c r="L2213">
        <f>IFERROR(__xludf.DUMMYFUNCTION("""COMPUTED_VALUE"""),2.0)</f>
        <v>2</v>
      </c>
      <c r="M2213">
        <f>IFERROR(__xludf.DUMMYFUNCTION("""COMPUTED_VALUE"""),26.0)</f>
        <v>26</v>
      </c>
      <c r="N2213" t="str">
        <f>IFERROR(__xludf.DUMMYFUNCTION("""COMPUTED_VALUE"""),"Model 3 Performance")</f>
        <v>Model 3 Performance</v>
      </c>
      <c r="O2213" t="str">
        <f>IFERROR(__xludf.DUMMYFUNCTION("""COMPUTED_VALUE"""),"Midnight Silver Metallic")</f>
        <v>Midnight Silver Metallic</v>
      </c>
      <c r="P2213" t="str">
        <f>IFERROR(__xludf.DUMMYFUNCTION("""COMPUTED_VALUE"""),"20 inch Sport")</f>
        <v>20 inch Sport</v>
      </c>
      <c r="Q2213" t="str">
        <f>IFERROR(__xludf.DUMMYFUNCTION("""COMPUTED_VALUE"""),"Black seats")</f>
        <v>Black seats</v>
      </c>
      <c r="R2213" t="str">
        <f>IFERROR(__xludf.DUMMYFUNCTION("""COMPUTED_VALUE"""),"Full Self-Driving")</f>
        <v>Full Self-Driving</v>
      </c>
      <c r="X2213" t="str">
        <f>IFERROR(__xludf.DUMMYFUNCTION("""COMPUTED_VALUE"""),"Very Good")</f>
        <v>Very Good</v>
      </c>
      <c r="Y2213" t="str">
        <f>IFERROR(__xludf.DUMMYFUNCTION("""COMPUTED_VALUE"""),"Very Good")</f>
        <v>Very Good</v>
      </c>
      <c r="Z2213" t="str">
        <f>IFERROR(__xludf.DUMMYFUNCTION("""COMPUTED_VALUE"""),"Very Good")</f>
        <v>Very Good</v>
      </c>
      <c r="AA2213" t="str">
        <f>IFERROR(__xludf.DUMMYFUNCTION("""COMPUTED_VALUE"""),"Good")</f>
        <v>Good</v>
      </c>
      <c r="AB2213" t="str">
        <f>IFERROR(__xludf.DUMMYFUNCTION("""COMPUTED_VALUE"""),"Good")</f>
        <v>Good</v>
      </c>
      <c r="AC2213">
        <f>IFERROR(__xludf.DUMMYFUNCTION("""COMPUTED_VALUE"""),0.0)</f>
        <v>0</v>
      </c>
      <c r="AD2213">
        <f>IFERROR(__xludf.DUMMYFUNCTION("""COMPUTED_VALUE"""),0.0)</f>
        <v>0</v>
      </c>
      <c r="AH2213" s="189">
        <f>IFERROR(__xludf.DUMMYFUNCTION("""COMPUTED_VALUE"""),43828.909993761576)</f>
        <v>43828.90999</v>
      </c>
    </row>
    <row r="2214">
      <c r="A2214" t="str">
        <f>IFERROR(__xludf.DUMMYFUNCTION("""COMPUTED_VALUE"""),"JohnNsandiego")</f>
        <v>JohnNsandiego</v>
      </c>
      <c r="B2214" t="str">
        <f>IFERROR(__xludf.DUMMYFUNCTION("""COMPUTED_VALUE"""),"San Diego")</f>
        <v>San Diego</v>
      </c>
      <c r="C2214" t="str">
        <f>IFERROR(__xludf.DUMMYFUNCTION("""COMPUTED_VALUE"""),"CA")</f>
        <v>CA</v>
      </c>
      <c r="D2214" t="str">
        <f>IFERROR(__xludf.DUMMYFUNCTION("""COMPUTED_VALUE"""),"USA")</f>
        <v>USA</v>
      </c>
      <c r="E2214" s="188">
        <f>IFERROR(__xludf.DUMMYFUNCTION("""COMPUTED_VALUE"""),43779.0)</f>
        <v>43779</v>
      </c>
      <c r="F2214" s="188">
        <f>IFERROR(__xludf.DUMMYFUNCTION("""COMPUTED_VALUE"""),43818.0)</f>
        <v>43818</v>
      </c>
      <c r="H2214">
        <f>IFERROR(__xludf.DUMMYFUNCTION("""COMPUTED_VALUE"""),638155.0)</f>
        <v>638155</v>
      </c>
      <c r="I2214" t="str">
        <f>IFERROR(__xludf.DUMMYFUNCTION("""COMPUTED_VALUE"""),"12/19")</f>
        <v>12/19</v>
      </c>
      <c r="J2214" s="5">
        <f>IFERROR(__xludf.DUMMYFUNCTION("""COMPUTED_VALUE"""),43823.0)</f>
        <v>43823</v>
      </c>
      <c r="K2214">
        <f>IFERROR(__xludf.DUMMYFUNCTION("""COMPUTED_VALUE"""),39.0)</f>
        <v>39</v>
      </c>
      <c r="L2214">
        <f>IFERROR(__xludf.DUMMYFUNCTION("""COMPUTED_VALUE"""),5.0)</f>
        <v>5</v>
      </c>
      <c r="M2214">
        <f>IFERROR(__xludf.DUMMYFUNCTION("""COMPUTED_VALUE"""),44.0)</f>
        <v>44</v>
      </c>
      <c r="N2214" t="str">
        <f>IFERROR(__xludf.DUMMYFUNCTION("""COMPUTED_VALUE"""),"Model 3 LR AWD")</f>
        <v>Model 3 LR AWD</v>
      </c>
      <c r="O2214" t="str">
        <f>IFERROR(__xludf.DUMMYFUNCTION("""COMPUTED_VALUE"""),"Red Multi-Coat")</f>
        <v>Red Multi-Coat</v>
      </c>
      <c r="P2214" t="str">
        <f>IFERROR(__xludf.DUMMYFUNCTION("""COMPUTED_VALUE"""),"19 inch Sport")</f>
        <v>19 inch Sport</v>
      </c>
      <c r="Q2214" t="str">
        <f>IFERROR(__xludf.DUMMYFUNCTION("""COMPUTED_VALUE"""),"Black seats")</f>
        <v>Black seats</v>
      </c>
      <c r="R2214" t="str">
        <f>IFERROR(__xludf.DUMMYFUNCTION("""COMPUTED_VALUE"""),"Full Self-Driving")</f>
        <v>Full Self-Driving</v>
      </c>
      <c r="X2214" t="str">
        <f>IFERROR(__xludf.DUMMYFUNCTION("""COMPUTED_VALUE"""),"Excellent")</f>
        <v>Excellent</v>
      </c>
      <c r="Y2214" t="str">
        <f>IFERROR(__xludf.DUMMYFUNCTION("""COMPUTED_VALUE"""),"Excellent")</f>
        <v>Excellent</v>
      </c>
      <c r="Z2214" t="str">
        <f>IFERROR(__xludf.DUMMYFUNCTION("""COMPUTED_VALUE"""),"Very Good")</f>
        <v>Very Good</v>
      </c>
      <c r="AA2214" t="str">
        <f>IFERROR(__xludf.DUMMYFUNCTION("""COMPUTED_VALUE"""),"Excellent")</f>
        <v>Excellent</v>
      </c>
      <c r="AB2214" t="str">
        <f>IFERROR(__xludf.DUMMYFUNCTION("""COMPUTED_VALUE"""),"Very Good")</f>
        <v>Very Good</v>
      </c>
      <c r="AC2214">
        <f>IFERROR(__xludf.DUMMYFUNCTION("""COMPUTED_VALUE"""),1.0)</f>
        <v>1</v>
      </c>
      <c r="AG2214" t="str">
        <f>IFERROR(__xludf.DUMMYFUNCTION("""COMPUTED_VALUE"""),"Smooth Christmas eve delivery, we were the last ones out just after 5pm")</f>
        <v>Smooth Christmas eve delivery, we were the last ones out just after 5pm</v>
      </c>
      <c r="AH2214" s="189">
        <f>IFERROR(__xludf.DUMMYFUNCTION("""COMPUTED_VALUE"""),43828.98748070602)</f>
        <v>43828.98748</v>
      </c>
    </row>
    <row r="2215">
      <c r="A2215" t="str">
        <f>IFERROR(__xludf.DUMMYFUNCTION("""COMPUTED_VALUE"""),"PurdueGuy")</f>
        <v>PurdueGuy</v>
      </c>
      <c r="B2215" t="str">
        <f>IFERROR(__xludf.DUMMYFUNCTION("""COMPUTED_VALUE"""),"Los Angeles")</f>
        <v>Los Angeles</v>
      </c>
      <c r="C2215" t="str">
        <f>IFERROR(__xludf.DUMMYFUNCTION("""COMPUTED_VALUE"""),"CA")</f>
        <v>CA</v>
      </c>
      <c r="D2215" t="str">
        <f>IFERROR(__xludf.DUMMYFUNCTION("""COMPUTED_VALUE"""),"USA")</f>
        <v>USA</v>
      </c>
      <c r="E2215" s="188">
        <f>IFERROR(__xludf.DUMMYFUNCTION("""COMPUTED_VALUE"""),43812.0)</f>
        <v>43812</v>
      </c>
      <c r="F2215" s="188">
        <f>IFERROR(__xludf.DUMMYFUNCTION("""COMPUTED_VALUE"""),43826.0)</f>
        <v>43826</v>
      </c>
      <c r="H2215">
        <f>IFERROR(__xludf.DUMMYFUNCTION("""COMPUTED_VALUE"""),649855.0)</f>
        <v>649855</v>
      </c>
      <c r="J2215" s="5">
        <f>IFERROR(__xludf.DUMMYFUNCTION("""COMPUTED_VALUE"""),43828.0)</f>
        <v>43828</v>
      </c>
      <c r="K2215">
        <f>IFERROR(__xludf.DUMMYFUNCTION("""COMPUTED_VALUE"""),14.0)</f>
        <v>14</v>
      </c>
      <c r="L2215">
        <f>IFERROR(__xludf.DUMMYFUNCTION("""COMPUTED_VALUE"""),2.0)</f>
        <v>2</v>
      </c>
      <c r="M2215">
        <f>IFERROR(__xludf.DUMMYFUNCTION("""COMPUTED_VALUE"""),16.0)</f>
        <v>16</v>
      </c>
      <c r="N2215" t="str">
        <f>IFERROR(__xludf.DUMMYFUNCTION("""COMPUTED_VALUE"""),"Model 3 LR AWD")</f>
        <v>Model 3 LR AWD</v>
      </c>
      <c r="O2215" t="str">
        <f>IFERROR(__xludf.DUMMYFUNCTION("""COMPUTED_VALUE"""),"Deep Blue Metallic")</f>
        <v>Deep Blue Metallic</v>
      </c>
      <c r="P2215" t="str">
        <f>IFERROR(__xludf.DUMMYFUNCTION("""COMPUTED_VALUE"""),"18 inch Aero")</f>
        <v>18 inch Aero</v>
      </c>
      <c r="Q2215" t="str">
        <f>IFERROR(__xludf.DUMMYFUNCTION("""COMPUTED_VALUE"""),"Black seats")</f>
        <v>Black seats</v>
      </c>
      <c r="R2215" t="str">
        <f>IFERROR(__xludf.DUMMYFUNCTION("""COMPUTED_VALUE"""),"Autopilot")</f>
        <v>Autopilot</v>
      </c>
      <c r="AA2215" t="str">
        <f>IFERROR(__xludf.DUMMYFUNCTION("""COMPUTED_VALUE"""),"Fair")</f>
        <v>Fair</v>
      </c>
      <c r="AH2215" s="189">
        <f>IFERROR(__xludf.DUMMYFUNCTION("""COMPUTED_VALUE"""),43829.02345061343)</f>
        <v>43829.02345</v>
      </c>
    </row>
    <row r="2216">
      <c r="A2216" t="str">
        <f>IFERROR(__xludf.DUMMYFUNCTION("""COMPUTED_VALUE"""),"resetjet")</f>
        <v>resetjet</v>
      </c>
      <c r="B2216" t="str">
        <f>IFERROR(__xludf.DUMMYFUNCTION("""COMPUTED_VALUE"""),"Atlanta")</f>
        <v>Atlanta</v>
      </c>
      <c r="C2216" t="str">
        <f>IFERROR(__xludf.DUMMYFUNCTION("""COMPUTED_VALUE"""),"GA")</f>
        <v>GA</v>
      </c>
      <c r="D2216" t="str">
        <f>IFERROR(__xludf.DUMMYFUNCTION("""COMPUTED_VALUE"""),"USA")</f>
        <v>USA</v>
      </c>
      <c r="E2216" s="188">
        <f>IFERROR(__xludf.DUMMYFUNCTION("""COMPUTED_VALUE"""),43807.0)</f>
        <v>43807</v>
      </c>
      <c r="F2216" s="188">
        <f>IFERROR(__xludf.DUMMYFUNCTION("""COMPUTED_VALUE"""),43820.0)</f>
        <v>43820</v>
      </c>
      <c r="H2216">
        <f>IFERROR(__xludf.DUMMYFUNCTION("""COMPUTED_VALUE"""),618444.0)</f>
        <v>618444</v>
      </c>
      <c r="J2216" s="5">
        <f>IFERROR(__xludf.DUMMYFUNCTION("""COMPUTED_VALUE"""),43822.0)</f>
        <v>43822</v>
      </c>
      <c r="K2216">
        <f>IFERROR(__xludf.DUMMYFUNCTION("""COMPUTED_VALUE"""),13.0)</f>
        <v>13</v>
      </c>
      <c r="L2216">
        <f>IFERROR(__xludf.DUMMYFUNCTION("""COMPUTED_VALUE"""),2.0)</f>
        <v>2</v>
      </c>
      <c r="M2216">
        <f>IFERROR(__xludf.DUMMYFUNCTION("""COMPUTED_VALUE"""),15.0)</f>
        <v>15</v>
      </c>
      <c r="N2216" t="str">
        <f>IFERROR(__xludf.DUMMYFUNCTION("""COMPUTED_VALUE"""),"Model 3 LR AWD")</f>
        <v>Model 3 LR AWD</v>
      </c>
      <c r="O2216" t="str">
        <f>IFERROR(__xludf.DUMMYFUNCTION("""COMPUTED_VALUE"""),"Pearl White Multi-Coat")</f>
        <v>Pearl White Multi-Coat</v>
      </c>
      <c r="P2216" t="str">
        <f>IFERROR(__xludf.DUMMYFUNCTION("""COMPUTED_VALUE"""),"18 inch Aero")</f>
        <v>18 inch Aero</v>
      </c>
      <c r="Q2216" t="str">
        <f>IFERROR(__xludf.DUMMYFUNCTION("""COMPUTED_VALUE"""),"Black seats")</f>
        <v>Black seats</v>
      </c>
      <c r="R2216" t="str">
        <f>IFERROR(__xludf.DUMMYFUNCTION("""COMPUTED_VALUE"""),"Full Self-Driving")</f>
        <v>Full Self-Driving</v>
      </c>
      <c r="X2216" t="str">
        <f>IFERROR(__xludf.DUMMYFUNCTION("""COMPUTED_VALUE"""),"Excellent")</f>
        <v>Excellent</v>
      </c>
      <c r="Y2216" t="str">
        <f>IFERROR(__xludf.DUMMYFUNCTION("""COMPUTED_VALUE"""),"Excellent")</f>
        <v>Excellent</v>
      </c>
      <c r="Z2216" t="str">
        <f>IFERROR(__xludf.DUMMYFUNCTION("""COMPUTED_VALUE"""),"Excellent")</f>
        <v>Excellent</v>
      </c>
      <c r="AA2216" t="str">
        <f>IFERROR(__xludf.DUMMYFUNCTION("""COMPUTED_VALUE"""),"Good")</f>
        <v>Good</v>
      </c>
      <c r="AB2216" t="str">
        <f>IFERROR(__xludf.DUMMYFUNCTION("""COMPUTED_VALUE"""),"Poor")</f>
        <v>Poor</v>
      </c>
      <c r="AH2216" s="189">
        <f>IFERROR(__xludf.DUMMYFUNCTION("""COMPUTED_VALUE"""),43829.23457877315)</f>
        <v>43829.23458</v>
      </c>
    </row>
    <row r="2217">
      <c r="A2217" t="str">
        <f>IFERROR(__xludf.DUMMYFUNCTION("""COMPUTED_VALUE"""),"seb_SD")</f>
        <v>seb_SD</v>
      </c>
      <c r="B2217" t="str">
        <f>IFERROR(__xludf.DUMMYFUNCTION("""COMPUTED_VALUE"""),"San Diego")</f>
        <v>San Diego</v>
      </c>
      <c r="C2217" t="str">
        <f>IFERROR(__xludf.DUMMYFUNCTION("""COMPUTED_VALUE"""),"CA")</f>
        <v>CA</v>
      </c>
      <c r="D2217" t="str">
        <f>IFERROR(__xludf.DUMMYFUNCTION("""COMPUTED_VALUE"""),"USA")</f>
        <v>USA</v>
      </c>
      <c r="E2217" s="188">
        <f>IFERROR(__xludf.DUMMYFUNCTION("""COMPUTED_VALUE"""),43763.0)</f>
        <v>43763</v>
      </c>
      <c r="F2217" s="188">
        <f>IFERROR(__xludf.DUMMYFUNCTION("""COMPUTED_VALUE"""),43823.0)</f>
        <v>43823</v>
      </c>
      <c r="H2217">
        <f>IFERROR(__xludf.DUMMYFUNCTION("""COMPUTED_VALUE"""),651655.0)</f>
        <v>651655</v>
      </c>
      <c r="J2217" s="5">
        <f>IFERROR(__xludf.DUMMYFUNCTION("""COMPUTED_VALUE"""),43826.0)</f>
        <v>43826</v>
      </c>
      <c r="K2217">
        <f>IFERROR(__xludf.DUMMYFUNCTION("""COMPUTED_VALUE"""),60.0)</f>
        <v>60</v>
      </c>
      <c r="L2217">
        <f>IFERROR(__xludf.DUMMYFUNCTION("""COMPUTED_VALUE"""),3.0)</f>
        <v>3</v>
      </c>
      <c r="M2217">
        <f>IFERROR(__xludf.DUMMYFUNCTION("""COMPUTED_VALUE"""),63.0)</f>
        <v>63</v>
      </c>
      <c r="N2217" t="str">
        <f>IFERROR(__xludf.DUMMYFUNCTION("""COMPUTED_VALUE"""),"Model 3 LR AWD")</f>
        <v>Model 3 LR AWD</v>
      </c>
      <c r="O2217" t="str">
        <f>IFERROR(__xludf.DUMMYFUNCTION("""COMPUTED_VALUE"""),"Pearl White Multi-Coat")</f>
        <v>Pearl White Multi-Coat</v>
      </c>
      <c r="P2217" t="str">
        <f>IFERROR(__xludf.DUMMYFUNCTION("""COMPUTED_VALUE"""),"18 inch Aero")</f>
        <v>18 inch Aero</v>
      </c>
      <c r="Q2217" t="str">
        <f>IFERROR(__xludf.DUMMYFUNCTION("""COMPUTED_VALUE"""),"White seats")</f>
        <v>White seats</v>
      </c>
      <c r="R2217" t="str">
        <f>IFERROR(__xludf.DUMMYFUNCTION("""COMPUTED_VALUE"""),"Full Self-Driving")</f>
        <v>Full Self-Driving</v>
      </c>
      <c r="X2217" t="str">
        <f>IFERROR(__xludf.DUMMYFUNCTION("""COMPUTED_VALUE"""),"Excellent")</f>
        <v>Excellent</v>
      </c>
      <c r="Y2217" t="str">
        <f>IFERROR(__xludf.DUMMYFUNCTION("""COMPUTED_VALUE"""),"Excellent")</f>
        <v>Excellent</v>
      </c>
      <c r="Z2217" t="str">
        <f>IFERROR(__xludf.DUMMYFUNCTION("""COMPUTED_VALUE"""),"Excellent")</f>
        <v>Excellent</v>
      </c>
      <c r="AA2217" t="str">
        <f>IFERROR(__xludf.DUMMYFUNCTION("""COMPUTED_VALUE"""),"Good")</f>
        <v>Good</v>
      </c>
      <c r="AB2217" t="str">
        <f>IFERROR(__xludf.DUMMYFUNCTION("""COMPUTED_VALUE"""),"Excellent")</f>
        <v>Excellent</v>
      </c>
      <c r="AG2217" t="str">
        <f>IFERROR(__xludf.DUMMYFUNCTION("""COMPUTED_VALUE"""),"Scheduled delivery date postponed by a day due to winter storm in I5")</f>
        <v>Scheduled delivery date postponed by a day due to winter storm in I5</v>
      </c>
      <c r="AH2217" s="189">
        <f>IFERROR(__xludf.DUMMYFUNCTION("""COMPUTED_VALUE"""),43829.40872054399)</f>
        <v>43829.40872</v>
      </c>
    </row>
    <row r="2218">
      <c r="A2218" t="str">
        <f>IFERROR(__xludf.DUMMYFUNCTION("""COMPUTED_VALUE"""),"m34m")</f>
        <v>m34m</v>
      </c>
      <c r="B2218" t="str">
        <f>IFERROR(__xludf.DUMMYFUNCTION("""COMPUTED_VALUE"""),"Seattle")</f>
        <v>Seattle</v>
      </c>
      <c r="C2218" t="str">
        <f>IFERROR(__xludf.DUMMYFUNCTION("""COMPUTED_VALUE"""),"WA")</f>
        <v>WA</v>
      </c>
      <c r="D2218" t="str">
        <f>IFERROR(__xludf.DUMMYFUNCTION("""COMPUTED_VALUE"""),"USA")</f>
        <v>USA</v>
      </c>
      <c r="E2218" s="188">
        <f>IFERROR(__xludf.DUMMYFUNCTION("""COMPUTED_VALUE"""),43788.0)</f>
        <v>43788</v>
      </c>
      <c r="F2218" s="188">
        <f>IFERROR(__xludf.DUMMYFUNCTION("""COMPUTED_VALUE"""),43815.0)</f>
        <v>43815</v>
      </c>
      <c r="J2218" s="5">
        <f>IFERROR(__xludf.DUMMYFUNCTION("""COMPUTED_VALUE"""),43819.0)</f>
        <v>43819</v>
      </c>
      <c r="K2218">
        <f>IFERROR(__xludf.DUMMYFUNCTION("""COMPUTED_VALUE"""),27.0)</f>
        <v>27</v>
      </c>
      <c r="L2218">
        <f>IFERROR(__xludf.DUMMYFUNCTION("""COMPUTED_VALUE"""),4.0)</f>
        <v>4</v>
      </c>
      <c r="M2218">
        <f>IFERROR(__xludf.DUMMYFUNCTION("""COMPUTED_VALUE"""),31.0)</f>
        <v>31</v>
      </c>
      <c r="N2218" t="str">
        <f>IFERROR(__xludf.DUMMYFUNCTION("""COMPUTED_VALUE"""),"Model 3 LR AWD")</f>
        <v>Model 3 LR AWD</v>
      </c>
      <c r="O2218" t="str">
        <f>IFERROR(__xludf.DUMMYFUNCTION("""COMPUTED_VALUE"""),"Midnight Silver Metallic")</f>
        <v>Midnight Silver Metallic</v>
      </c>
      <c r="P2218" t="str">
        <f>IFERROR(__xludf.DUMMYFUNCTION("""COMPUTED_VALUE"""),"19 inch Sport")</f>
        <v>19 inch Sport</v>
      </c>
      <c r="Q2218" t="str">
        <f>IFERROR(__xludf.DUMMYFUNCTION("""COMPUTED_VALUE"""),"Black seats")</f>
        <v>Black seats</v>
      </c>
      <c r="R2218" t="str">
        <f>IFERROR(__xludf.DUMMYFUNCTION("""COMPUTED_VALUE"""),"Full Self-Driving")</f>
        <v>Full Self-Driving</v>
      </c>
      <c r="X2218" t="str">
        <f>IFERROR(__xludf.DUMMYFUNCTION("""COMPUTED_VALUE"""),"Very Good")</f>
        <v>Very Good</v>
      </c>
      <c r="Y2218" t="str">
        <f>IFERROR(__xludf.DUMMYFUNCTION("""COMPUTED_VALUE"""),"Very Good")</f>
        <v>Very Good</v>
      </c>
      <c r="Z2218" t="str">
        <f>IFERROR(__xludf.DUMMYFUNCTION("""COMPUTED_VALUE"""),"Very Good")</f>
        <v>Very Good</v>
      </c>
      <c r="AA2218" t="str">
        <f>IFERROR(__xludf.DUMMYFUNCTION("""COMPUTED_VALUE"""),"Poor")</f>
        <v>Poor</v>
      </c>
      <c r="AB2218" t="str">
        <f>IFERROR(__xludf.DUMMYFUNCTION("""COMPUTED_VALUE"""),"Fair")</f>
        <v>Fair</v>
      </c>
      <c r="AD2218">
        <f>IFERROR(__xludf.DUMMYFUNCTION("""COMPUTED_VALUE"""),1.0)</f>
        <v>1</v>
      </c>
      <c r="AH2218" s="189">
        <f>IFERROR(__xludf.DUMMYFUNCTION("""COMPUTED_VALUE"""),43829.45643439815)</f>
        <v>43829.45643</v>
      </c>
    </row>
    <row r="2219">
      <c r="A2219" t="str">
        <f>IFERROR(__xludf.DUMMYFUNCTION("""COMPUTED_VALUE"""),"yorbalinda206")</f>
        <v>yorbalinda206</v>
      </c>
      <c r="C2219" t="str">
        <f>IFERROR(__xludf.DUMMYFUNCTION("""COMPUTED_VALUE"""),"CA")</f>
        <v>CA</v>
      </c>
      <c r="D2219" t="str">
        <f>IFERROR(__xludf.DUMMYFUNCTION("""COMPUTED_VALUE"""),"USA")</f>
        <v>USA</v>
      </c>
      <c r="E2219" s="188">
        <f>IFERROR(__xludf.DUMMYFUNCTION("""COMPUTED_VALUE"""),43784.0)</f>
        <v>43784</v>
      </c>
      <c r="F2219" s="188">
        <f>IFERROR(__xludf.DUMMYFUNCTION("""COMPUTED_VALUE"""),43814.0)</f>
        <v>43814</v>
      </c>
      <c r="H2219">
        <f>IFERROR(__xludf.DUMMYFUNCTION("""COMPUTED_VALUE"""),617055.0)</f>
        <v>617055</v>
      </c>
      <c r="I2219" t="str">
        <f>IFERROR(__xludf.DUMMYFUNCTION("""COMPUTED_VALUE"""),"12/19")</f>
        <v>12/19</v>
      </c>
      <c r="J2219" s="5">
        <f>IFERROR(__xludf.DUMMYFUNCTION("""COMPUTED_VALUE"""),43821.0)</f>
        <v>43821</v>
      </c>
      <c r="K2219">
        <f>IFERROR(__xludf.DUMMYFUNCTION("""COMPUTED_VALUE"""),30.0)</f>
        <v>30</v>
      </c>
      <c r="L2219">
        <f>IFERROR(__xludf.DUMMYFUNCTION("""COMPUTED_VALUE"""),7.0)</f>
        <v>7</v>
      </c>
      <c r="M2219">
        <f>IFERROR(__xludf.DUMMYFUNCTION("""COMPUTED_VALUE"""),37.0)</f>
        <v>37</v>
      </c>
      <c r="N2219" t="str">
        <f>IFERROR(__xludf.DUMMYFUNCTION("""COMPUTED_VALUE"""),"Model 3 LR AWD")</f>
        <v>Model 3 LR AWD</v>
      </c>
      <c r="O2219" t="str">
        <f>IFERROR(__xludf.DUMMYFUNCTION("""COMPUTED_VALUE"""),"Red Multi-Coat")</f>
        <v>Red Multi-Coat</v>
      </c>
      <c r="P2219" t="str">
        <f>IFERROR(__xludf.DUMMYFUNCTION("""COMPUTED_VALUE"""),"18 inch Aero")</f>
        <v>18 inch Aero</v>
      </c>
      <c r="Q2219" t="str">
        <f>IFERROR(__xludf.DUMMYFUNCTION("""COMPUTED_VALUE"""),"Black seats")</f>
        <v>Black seats</v>
      </c>
      <c r="R2219" t="str">
        <f>IFERROR(__xludf.DUMMYFUNCTION("""COMPUTED_VALUE"""),"Full Self-Driving")</f>
        <v>Full Self-Driving</v>
      </c>
      <c r="X2219" t="str">
        <f>IFERROR(__xludf.DUMMYFUNCTION("""COMPUTED_VALUE"""),"Excellent")</f>
        <v>Excellent</v>
      </c>
      <c r="Y2219" t="str">
        <f>IFERROR(__xludf.DUMMYFUNCTION("""COMPUTED_VALUE"""),"Excellent")</f>
        <v>Excellent</v>
      </c>
      <c r="Z2219" t="str">
        <f>IFERROR(__xludf.DUMMYFUNCTION("""COMPUTED_VALUE"""),"Very Good")</f>
        <v>Very Good</v>
      </c>
      <c r="AA2219" t="str">
        <f>IFERROR(__xludf.DUMMYFUNCTION("""COMPUTED_VALUE"""),"Excellent")</f>
        <v>Excellent</v>
      </c>
      <c r="AB2219" t="str">
        <f>IFERROR(__xludf.DUMMYFUNCTION("""COMPUTED_VALUE"""),"Excellent")</f>
        <v>Excellent</v>
      </c>
      <c r="AC2219">
        <f>IFERROR(__xludf.DUMMYFUNCTION("""COMPUTED_VALUE"""),2.0)</f>
        <v>2</v>
      </c>
      <c r="AD2219">
        <f>IFERROR(__xludf.DUMMYFUNCTION("""COMPUTED_VALUE"""),0.0)</f>
        <v>0</v>
      </c>
      <c r="AE2219">
        <f>IFERROR(__xludf.DUMMYFUNCTION("""COMPUTED_VALUE"""),0.0)</f>
        <v>0</v>
      </c>
      <c r="AH2219" s="189">
        <f>IFERROR(__xludf.DUMMYFUNCTION("""COMPUTED_VALUE"""),43829.46707309027)</f>
        <v>43829.46707</v>
      </c>
    </row>
    <row r="2220">
      <c r="A2220" t="str">
        <f>IFERROR(__xludf.DUMMYFUNCTION("""COMPUTED_VALUE"""),"sm1th")</f>
        <v>sm1th</v>
      </c>
      <c r="B2220" t="str">
        <f>IFERROR(__xludf.DUMMYFUNCTION("""COMPUTED_VALUE"""),"San Jose")</f>
        <v>San Jose</v>
      </c>
      <c r="C2220" t="str">
        <f>IFERROR(__xludf.DUMMYFUNCTION("""COMPUTED_VALUE"""),"CA")</f>
        <v>CA</v>
      </c>
      <c r="D2220" t="str">
        <f>IFERROR(__xludf.DUMMYFUNCTION("""COMPUTED_VALUE"""),"USA")</f>
        <v>USA</v>
      </c>
      <c r="E2220" s="188">
        <f>IFERROR(__xludf.DUMMYFUNCTION("""COMPUTED_VALUE"""),43801.0)</f>
        <v>43801</v>
      </c>
      <c r="F2220" s="188">
        <f>IFERROR(__xludf.DUMMYFUNCTION("""COMPUTED_VALUE"""),43823.0)</f>
        <v>43823</v>
      </c>
      <c r="H2220">
        <f>IFERROR(__xludf.DUMMYFUNCTION("""COMPUTED_VALUE"""),640755.0)</f>
        <v>640755</v>
      </c>
      <c r="J2220" s="5">
        <f>IFERROR(__xludf.DUMMYFUNCTION("""COMPUTED_VALUE"""),43825.0)</f>
        <v>43825</v>
      </c>
      <c r="K2220">
        <f>IFERROR(__xludf.DUMMYFUNCTION("""COMPUTED_VALUE"""),22.0)</f>
        <v>22</v>
      </c>
      <c r="L2220">
        <f>IFERROR(__xludf.DUMMYFUNCTION("""COMPUTED_VALUE"""),2.0)</f>
        <v>2</v>
      </c>
      <c r="M2220">
        <f>IFERROR(__xludf.DUMMYFUNCTION("""COMPUTED_VALUE"""),24.0)</f>
        <v>24</v>
      </c>
      <c r="N2220" t="str">
        <f>IFERROR(__xludf.DUMMYFUNCTION("""COMPUTED_VALUE"""),"Model 3 Performance")</f>
        <v>Model 3 Performance</v>
      </c>
      <c r="O2220" t="str">
        <f>IFERROR(__xludf.DUMMYFUNCTION("""COMPUTED_VALUE"""),"Solid Black")</f>
        <v>Solid Black</v>
      </c>
      <c r="P2220" t="str">
        <f>IFERROR(__xludf.DUMMYFUNCTION("""COMPUTED_VALUE"""),"20 inch Sport")</f>
        <v>20 inch Sport</v>
      </c>
      <c r="Q2220" t="str">
        <f>IFERROR(__xludf.DUMMYFUNCTION("""COMPUTED_VALUE"""),"Black seats")</f>
        <v>Black seats</v>
      </c>
      <c r="R2220" t="str">
        <f>IFERROR(__xludf.DUMMYFUNCTION("""COMPUTED_VALUE"""),"Autopilot")</f>
        <v>Autopilot</v>
      </c>
      <c r="X2220" t="str">
        <f>IFERROR(__xludf.DUMMYFUNCTION("""COMPUTED_VALUE"""),"Good")</f>
        <v>Good</v>
      </c>
      <c r="Y2220" t="str">
        <f>IFERROR(__xludf.DUMMYFUNCTION("""COMPUTED_VALUE"""),"Good")</f>
        <v>Good</v>
      </c>
      <c r="Z2220" t="str">
        <f>IFERROR(__xludf.DUMMYFUNCTION("""COMPUTED_VALUE"""),"Poor")</f>
        <v>Poor</v>
      </c>
      <c r="AA2220" t="str">
        <f>IFERROR(__xludf.DUMMYFUNCTION("""COMPUTED_VALUE"""),"Good")</f>
        <v>Good</v>
      </c>
      <c r="AB2220" t="str">
        <f>IFERROR(__xludf.DUMMYFUNCTION("""COMPUTED_VALUE"""),"Good")</f>
        <v>Good</v>
      </c>
      <c r="AC2220">
        <f>IFERROR(__xludf.DUMMYFUNCTION("""COMPUTED_VALUE"""),3.0)</f>
        <v>3</v>
      </c>
      <c r="AH2220" s="189">
        <f>IFERROR(__xludf.DUMMYFUNCTION("""COMPUTED_VALUE"""),43829.5602643287)</f>
        <v>43829.56026</v>
      </c>
    </row>
    <row r="2221">
      <c r="A2221" t="str">
        <f>IFERROR(__xludf.DUMMYFUNCTION("""COMPUTED_VALUE"""),"TTesla")</f>
        <v>TTesla</v>
      </c>
      <c r="B2221" t="str">
        <f>IFERROR(__xludf.DUMMYFUNCTION("""COMPUTED_VALUE"""),"Denver")</f>
        <v>Denver</v>
      </c>
      <c r="C2221" t="str">
        <f>IFERROR(__xludf.DUMMYFUNCTION("""COMPUTED_VALUE"""),"CO")</f>
        <v>CO</v>
      </c>
      <c r="D2221" t="str">
        <f>IFERROR(__xludf.DUMMYFUNCTION("""COMPUTED_VALUE"""),"USA")</f>
        <v>USA</v>
      </c>
      <c r="E2221" s="188">
        <f>IFERROR(__xludf.DUMMYFUNCTION("""COMPUTED_VALUE"""),43778.0)</f>
        <v>43778</v>
      </c>
      <c r="F2221" s="188">
        <f>IFERROR(__xludf.DUMMYFUNCTION("""COMPUTED_VALUE"""),43823.0)</f>
        <v>43823</v>
      </c>
      <c r="H2221">
        <f>IFERROR(__xludf.DUMMYFUNCTION("""COMPUTED_VALUE"""),639355.0)</f>
        <v>639355</v>
      </c>
      <c r="I2221" t="str">
        <f>IFERROR(__xludf.DUMMYFUNCTION("""COMPUTED_VALUE"""),"12/19")</f>
        <v>12/19</v>
      </c>
      <c r="J2221" s="5">
        <f>IFERROR(__xludf.DUMMYFUNCTION("""COMPUTED_VALUE"""),43829.0)</f>
        <v>43829</v>
      </c>
      <c r="K2221">
        <f>IFERROR(__xludf.DUMMYFUNCTION("""COMPUTED_VALUE"""),45.0)</f>
        <v>45</v>
      </c>
      <c r="L2221">
        <f>IFERROR(__xludf.DUMMYFUNCTION("""COMPUTED_VALUE"""),6.0)</f>
        <v>6</v>
      </c>
      <c r="M2221">
        <f>IFERROR(__xludf.DUMMYFUNCTION("""COMPUTED_VALUE"""),51.0)</f>
        <v>51</v>
      </c>
      <c r="N2221" t="str">
        <f>IFERROR(__xludf.DUMMYFUNCTION("""COMPUTED_VALUE"""),"Model 3 LR AWD")</f>
        <v>Model 3 LR AWD</v>
      </c>
      <c r="O2221" t="str">
        <f>IFERROR(__xludf.DUMMYFUNCTION("""COMPUTED_VALUE"""),"Deep Blue Metallic")</f>
        <v>Deep Blue Metallic</v>
      </c>
      <c r="P2221" t="str">
        <f>IFERROR(__xludf.DUMMYFUNCTION("""COMPUTED_VALUE"""),"18 inch Aero")</f>
        <v>18 inch Aero</v>
      </c>
      <c r="Q2221" t="str">
        <f>IFERROR(__xludf.DUMMYFUNCTION("""COMPUTED_VALUE"""),"White seats")</f>
        <v>White seats</v>
      </c>
      <c r="R2221" t="str">
        <f>IFERROR(__xludf.DUMMYFUNCTION("""COMPUTED_VALUE"""),"Autopilot")</f>
        <v>Autopilot</v>
      </c>
      <c r="X2221" t="str">
        <f>IFERROR(__xludf.DUMMYFUNCTION("""COMPUTED_VALUE"""),"Excellent")</f>
        <v>Excellent</v>
      </c>
      <c r="Y2221" t="str">
        <f>IFERROR(__xludf.DUMMYFUNCTION("""COMPUTED_VALUE"""),"Excellent")</f>
        <v>Excellent</v>
      </c>
      <c r="Z2221" t="str">
        <f>IFERROR(__xludf.DUMMYFUNCTION("""COMPUTED_VALUE"""),"Excellent")</f>
        <v>Excellent</v>
      </c>
      <c r="AA2221" t="str">
        <f>IFERROR(__xludf.DUMMYFUNCTION("""COMPUTED_VALUE"""),"Poor")</f>
        <v>Poor</v>
      </c>
      <c r="AB2221" t="str">
        <f>IFERROR(__xludf.DUMMYFUNCTION("""COMPUTED_VALUE"""),"Excellent")</f>
        <v>Excellent</v>
      </c>
      <c r="AH2221" s="189">
        <f>IFERROR(__xludf.DUMMYFUNCTION("""COMPUTED_VALUE"""),43829.65826429398)</f>
        <v>43829.65826</v>
      </c>
    </row>
    <row r="2222">
      <c r="A2222" t="str">
        <f>IFERROR(__xludf.DUMMYFUNCTION("""COMPUTED_VALUE"""),"GREYSTEED")</f>
        <v>GREYSTEED</v>
      </c>
      <c r="B2222" t="str">
        <f>IFERROR(__xludf.DUMMYFUNCTION("""COMPUTED_VALUE"""),"Arnold")</f>
        <v>Arnold</v>
      </c>
      <c r="C2222" t="str">
        <f>IFERROR(__xludf.DUMMYFUNCTION("""COMPUTED_VALUE"""),"MD")</f>
        <v>MD</v>
      </c>
      <c r="D2222" t="str">
        <f>IFERROR(__xludf.DUMMYFUNCTION("""COMPUTED_VALUE"""),"USA")</f>
        <v>USA</v>
      </c>
      <c r="E2222" s="188">
        <f>IFERROR(__xludf.DUMMYFUNCTION("""COMPUTED_VALUE"""),43772.0)</f>
        <v>43772</v>
      </c>
      <c r="F2222" s="188">
        <f>IFERROR(__xludf.DUMMYFUNCTION("""COMPUTED_VALUE"""),43799.0)</f>
        <v>43799</v>
      </c>
      <c r="H2222" s="4">
        <f>IFERROR(__xludf.DUMMYFUNCTION("""COMPUTED_VALUE"""),616311.0)</f>
        <v>616311</v>
      </c>
      <c r="I2222" t="str">
        <f>IFERROR(__xludf.DUMMYFUNCTION("""COMPUTED_VALUE"""),"11/19")</f>
        <v>11/19</v>
      </c>
      <c r="J2222" s="5">
        <f>IFERROR(__xludf.DUMMYFUNCTION("""COMPUTED_VALUE"""),43812.0)</f>
        <v>43812</v>
      </c>
      <c r="K2222">
        <f>IFERROR(__xludf.DUMMYFUNCTION("""COMPUTED_VALUE"""),27.0)</f>
        <v>27</v>
      </c>
      <c r="L2222">
        <f>IFERROR(__xludf.DUMMYFUNCTION("""COMPUTED_VALUE"""),13.0)</f>
        <v>13</v>
      </c>
      <c r="M2222">
        <f>IFERROR(__xludf.DUMMYFUNCTION("""COMPUTED_VALUE"""),40.0)</f>
        <v>40</v>
      </c>
      <c r="N2222" t="str">
        <f>IFERROR(__xludf.DUMMYFUNCTION("""COMPUTED_VALUE"""),"Model 3 LR AWD")</f>
        <v>Model 3 LR AWD</v>
      </c>
      <c r="O2222" t="str">
        <f>IFERROR(__xludf.DUMMYFUNCTION("""COMPUTED_VALUE"""),"Midnight Silver Metallic")</f>
        <v>Midnight Silver Metallic</v>
      </c>
      <c r="P2222" t="str">
        <f>IFERROR(__xludf.DUMMYFUNCTION("""COMPUTED_VALUE"""),"18 inch Aero")</f>
        <v>18 inch Aero</v>
      </c>
      <c r="Q2222" t="str">
        <f>IFERROR(__xludf.DUMMYFUNCTION("""COMPUTED_VALUE"""),"Black seats")</f>
        <v>Black seats</v>
      </c>
      <c r="R2222" t="str">
        <f>IFERROR(__xludf.DUMMYFUNCTION("""COMPUTED_VALUE"""),"Full Self-Driving")</f>
        <v>Full Self-Driving</v>
      </c>
      <c r="X2222" t="str">
        <f>IFERROR(__xludf.DUMMYFUNCTION("""COMPUTED_VALUE"""),"Excellent")</f>
        <v>Excellent</v>
      </c>
      <c r="Y2222" t="str">
        <f>IFERROR(__xludf.DUMMYFUNCTION("""COMPUTED_VALUE"""),"Excellent")</f>
        <v>Excellent</v>
      </c>
      <c r="Z2222" t="str">
        <f>IFERROR(__xludf.DUMMYFUNCTION("""COMPUTED_VALUE"""),"Excellent")</f>
        <v>Excellent</v>
      </c>
      <c r="AA2222" t="str">
        <f>IFERROR(__xludf.DUMMYFUNCTION("""COMPUTED_VALUE"""),"Very Good")</f>
        <v>Very Good</v>
      </c>
      <c r="AB2222" t="str">
        <f>IFERROR(__xludf.DUMMYFUNCTION("""COMPUTED_VALUE"""),"Good")</f>
        <v>Good</v>
      </c>
      <c r="AC2222">
        <f>IFERROR(__xludf.DUMMYFUNCTION("""COMPUTED_VALUE"""),1.0)</f>
        <v>1</v>
      </c>
      <c r="AD2222">
        <f>IFERROR(__xludf.DUMMYFUNCTION("""COMPUTED_VALUE"""),1.0)</f>
        <v>1</v>
      </c>
      <c r="AE2222">
        <f>IFERROR(__xludf.DUMMYFUNCTION("""COMPUTED_VALUE"""),1.0)</f>
        <v>1</v>
      </c>
      <c r="AG2222" t="str">
        <f>IFERROR(__xludf.DUMMYFUNCTION("""COMPUTED_VALUE"""),"VIN in source code.")</f>
        <v>VIN in source code.</v>
      </c>
      <c r="AH2222" s="189">
        <f>IFERROR(__xludf.DUMMYFUNCTION("""COMPUTED_VALUE"""),43829.87650484954)</f>
        <v>43829.8765</v>
      </c>
    </row>
    <row r="2223">
      <c r="A2223" t="str">
        <f>IFERROR(__xludf.DUMMYFUNCTION("""COMPUTED_VALUE"""),"Ryanide")</f>
        <v>Ryanide</v>
      </c>
      <c r="B2223" t="str">
        <f>IFERROR(__xludf.DUMMYFUNCTION("""COMPUTED_VALUE"""),"Los Angeles")</f>
        <v>Los Angeles</v>
      </c>
      <c r="C2223" t="str">
        <f>IFERROR(__xludf.DUMMYFUNCTION("""COMPUTED_VALUE"""),"CA")</f>
        <v>CA</v>
      </c>
      <c r="D2223" t="str">
        <f>IFERROR(__xludf.DUMMYFUNCTION("""COMPUTED_VALUE"""),"USA")</f>
        <v>USA</v>
      </c>
      <c r="E2223" s="188">
        <f>IFERROR(__xludf.DUMMYFUNCTION("""COMPUTED_VALUE"""),43807.0)</f>
        <v>43807</v>
      </c>
      <c r="F2223" s="188">
        <f>IFERROR(__xludf.DUMMYFUNCTION("""COMPUTED_VALUE"""),43822.0)</f>
        <v>43822</v>
      </c>
      <c r="I2223" t="str">
        <f>IFERROR(__xludf.DUMMYFUNCTION("""COMPUTED_VALUE"""),"12/19")</f>
        <v>12/19</v>
      </c>
      <c r="J2223" s="5">
        <f>IFERROR(__xludf.DUMMYFUNCTION("""COMPUTED_VALUE"""),43829.0)</f>
        <v>43829</v>
      </c>
      <c r="K2223">
        <f>IFERROR(__xludf.DUMMYFUNCTION("""COMPUTED_VALUE"""),15.0)</f>
        <v>15</v>
      </c>
      <c r="L2223">
        <f>IFERROR(__xludf.DUMMYFUNCTION("""COMPUTED_VALUE"""),7.0)</f>
        <v>7</v>
      </c>
      <c r="M2223">
        <f>IFERROR(__xludf.DUMMYFUNCTION("""COMPUTED_VALUE"""),22.0)</f>
        <v>22</v>
      </c>
      <c r="N2223" t="str">
        <f>IFERROR(__xludf.DUMMYFUNCTION("""COMPUTED_VALUE"""),"Model 3 Performance")</f>
        <v>Model 3 Performance</v>
      </c>
      <c r="O2223" t="str">
        <f>IFERROR(__xludf.DUMMYFUNCTION("""COMPUTED_VALUE"""),"Pearl White Multi-Coat")</f>
        <v>Pearl White Multi-Coat</v>
      </c>
      <c r="P2223" t="str">
        <f>IFERROR(__xludf.DUMMYFUNCTION("""COMPUTED_VALUE"""),"20 inch Sport")</f>
        <v>20 inch Sport</v>
      </c>
      <c r="Q2223" t="str">
        <f>IFERROR(__xludf.DUMMYFUNCTION("""COMPUTED_VALUE"""),"Black seats")</f>
        <v>Black seats</v>
      </c>
      <c r="R2223" t="str">
        <f>IFERROR(__xludf.DUMMYFUNCTION("""COMPUTED_VALUE"""),"Autopilot")</f>
        <v>Autopilot</v>
      </c>
      <c r="X2223" t="str">
        <f>IFERROR(__xludf.DUMMYFUNCTION("""COMPUTED_VALUE"""),"Very Good")</f>
        <v>Very Good</v>
      </c>
      <c r="Y2223" t="str">
        <f>IFERROR(__xludf.DUMMYFUNCTION("""COMPUTED_VALUE"""),"Very Good")</f>
        <v>Very Good</v>
      </c>
      <c r="Z2223" t="str">
        <f>IFERROR(__xludf.DUMMYFUNCTION("""COMPUTED_VALUE"""),"Excellent")</f>
        <v>Excellent</v>
      </c>
      <c r="AA2223" t="str">
        <f>IFERROR(__xludf.DUMMYFUNCTION("""COMPUTED_VALUE"""),"Very Good")</f>
        <v>Very Good</v>
      </c>
      <c r="AB2223" t="str">
        <f>IFERROR(__xludf.DUMMYFUNCTION("""COMPUTED_VALUE"""),"Good")</f>
        <v>Good</v>
      </c>
      <c r="AC2223">
        <f>IFERROR(__xludf.DUMMYFUNCTION("""COMPUTED_VALUE"""),2.0)</f>
        <v>2</v>
      </c>
      <c r="AH2223" s="189">
        <f>IFERROR(__xludf.DUMMYFUNCTION("""COMPUTED_VALUE"""),43829.89293939815)</f>
        <v>43829.89294</v>
      </c>
    </row>
    <row r="2224">
      <c r="A2224" t="str">
        <f>IFERROR(__xludf.DUMMYFUNCTION("""COMPUTED_VALUE"""),"jipvk")</f>
        <v>jipvk</v>
      </c>
      <c r="B2224" t="str">
        <f>IFERROR(__xludf.DUMMYFUNCTION("""COMPUTED_VALUE"""),"Zürich")</f>
        <v>Zürich</v>
      </c>
      <c r="D2224" t="str">
        <f>IFERROR(__xludf.DUMMYFUNCTION("""COMPUTED_VALUE"""),"Switzerland")</f>
        <v>Switzerland</v>
      </c>
      <c r="E2224" s="188">
        <f>IFERROR(__xludf.DUMMYFUNCTION("""COMPUTED_VALUE"""),43793.0)</f>
        <v>43793</v>
      </c>
      <c r="F2224" s="188">
        <f>IFERROR(__xludf.DUMMYFUNCTION("""COMPUTED_VALUE"""),43793.0)</f>
        <v>43793</v>
      </c>
      <c r="H2224" s="4">
        <f>IFERROR(__xludf.DUMMYFUNCTION("""COMPUTED_VALUE"""),579041.0)</f>
        <v>579041</v>
      </c>
      <c r="J2224" s="5">
        <f>IFERROR(__xludf.DUMMYFUNCTION("""COMPUTED_VALUE"""),43816.0)</f>
        <v>43816</v>
      </c>
      <c r="K2224">
        <f>IFERROR(__xludf.DUMMYFUNCTION("""COMPUTED_VALUE"""),0.0)</f>
        <v>0</v>
      </c>
      <c r="L2224">
        <f>IFERROR(__xludf.DUMMYFUNCTION("""COMPUTED_VALUE"""),23.0)</f>
        <v>23</v>
      </c>
      <c r="M2224">
        <f>IFERROR(__xludf.DUMMYFUNCTION("""COMPUTED_VALUE"""),23.0)</f>
        <v>23</v>
      </c>
      <c r="N2224" t="str">
        <f>IFERROR(__xludf.DUMMYFUNCTION("""COMPUTED_VALUE"""),"Model 3 Performance")</f>
        <v>Model 3 Performance</v>
      </c>
      <c r="O2224" t="str">
        <f>IFERROR(__xludf.DUMMYFUNCTION("""COMPUTED_VALUE"""),"Pearl White Multi-Coat")</f>
        <v>Pearl White Multi-Coat</v>
      </c>
      <c r="P2224" t="str">
        <f>IFERROR(__xludf.DUMMYFUNCTION("""COMPUTED_VALUE"""),"20 inch Sport")</f>
        <v>20 inch Sport</v>
      </c>
      <c r="Q2224" t="str">
        <f>IFERROR(__xludf.DUMMYFUNCTION("""COMPUTED_VALUE"""),"White seats")</f>
        <v>White seats</v>
      </c>
      <c r="R2224" t="str">
        <f>IFERROR(__xludf.DUMMYFUNCTION("""COMPUTED_VALUE"""),"Full Self-Driving")</f>
        <v>Full Self-Driving</v>
      </c>
      <c r="X2224" t="str">
        <f>IFERROR(__xludf.DUMMYFUNCTION("""COMPUTED_VALUE"""),"Poor")</f>
        <v>Poor</v>
      </c>
      <c r="Y2224" t="str">
        <f>IFERROR(__xludf.DUMMYFUNCTION("""COMPUTED_VALUE"""),"Good")</f>
        <v>Good</v>
      </c>
      <c r="Z2224" t="str">
        <f>IFERROR(__xludf.DUMMYFUNCTION("""COMPUTED_VALUE"""),"Good")</f>
        <v>Good</v>
      </c>
      <c r="AA2224" t="str">
        <f>IFERROR(__xludf.DUMMYFUNCTION("""COMPUTED_VALUE"""),"Fair")</f>
        <v>Fair</v>
      </c>
      <c r="AB2224" t="str">
        <f>IFERROR(__xludf.DUMMYFUNCTION("""COMPUTED_VALUE"""),"Poor")</f>
        <v>Poor</v>
      </c>
      <c r="AC2224">
        <f>IFERROR(__xludf.DUMMYFUNCTION("""COMPUTED_VALUE"""),5.0)</f>
        <v>5</v>
      </c>
      <c r="AD2224">
        <f>IFERROR(__xludf.DUMMYFUNCTION("""COMPUTED_VALUE"""),2.0)</f>
        <v>2</v>
      </c>
      <c r="AE2224">
        <f>IFERROR(__xludf.DUMMYFUNCTION("""COMPUTED_VALUE"""),0.0)</f>
        <v>0</v>
      </c>
      <c r="AH2224" s="189">
        <f>IFERROR(__xludf.DUMMYFUNCTION("""COMPUTED_VALUE"""),43830.175711909724)</f>
        <v>43830.17571</v>
      </c>
    </row>
    <row r="2225">
      <c r="A2225" t="str">
        <f>IFERROR(__xludf.DUMMYFUNCTION("""COMPUTED_VALUE"""),"rose0529")</f>
        <v>rose0529</v>
      </c>
      <c r="B2225" t="str">
        <f>IFERROR(__xludf.DUMMYFUNCTION("""COMPUTED_VALUE"""),"Minneapolis")</f>
        <v>Minneapolis</v>
      </c>
      <c r="C2225" t="str">
        <f>IFERROR(__xludf.DUMMYFUNCTION("""COMPUTED_VALUE"""),"MN")</f>
        <v>MN</v>
      </c>
      <c r="D2225" t="str">
        <f>IFERROR(__xludf.DUMMYFUNCTION("""COMPUTED_VALUE"""),"USA")</f>
        <v>USA</v>
      </c>
      <c r="E2225" s="188">
        <f>IFERROR(__xludf.DUMMYFUNCTION("""COMPUTED_VALUE"""),43767.0)</f>
        <v>43767</v>
      </c>
      <c r="F2225" s="188">
        <f>IFERROR(__xludf.DUMMYFUNCTION("""COMPUTED_VALUE"""),43789.0)</f>
        <v>43789</v>
      </c>
      <c r="H2225">
        <f>IFERROR(__xludf.DUMMYFUNCTION("""COMPUTED_VALUE"""),601295.0)</f>
        <v>601295</v>
      </c>
      <c r="I2225" t="str">
        <f>IFERROR(__xludf.DUMMYFUNCTION("""COMPUTED_VALUE"""),"11/19")</f>
        <v>11/19</v>
      </c>
      <c r="J2225" s="5">
        <f>IFERROR(__xludf.DUMMYFUNCTION("""COMPUTED_VALUE"""),43811.0)</f>
        <v>43811</v>
      </c>
      <c r="K2225">
        <f>IFERROR(__xludf.DUMMYFUNCTION("""COMPUTED_VALUE"""),22.0)</f>
        <v>22</v>
      </c>
      <c r="L2225">
        <f>IFERROR(__xludf.DUMMYFUNCTION("""COMPUTED_VALUE"""),22.0)</f>
        <v>22</v>
      </c>
      <c r="M2225">
        <f>IFERROR(__xludf.DUMMYFUNCTION("""COMPUTED_VALUE"""),44.0)</f>
        <v>44</v>
      </c>
      <c r="N2225" t="str">
        <f>IFERROR(__xludf.DUMMYFUNCTION("""COMPUTED_VALUE"""),"Model 3 Performance")</f>
        <v>Model 3 Performance</v>
      </c>
      <c r="O2225" t="str">
        <f>IFERROR(__xludf.DUMMYFUNCTION("""COMPUTED_VALUE"""),"Solid Black")</f>
        <v>Solid Black</v>
      </c>
      <c r="P2225" t="str">
        <f>IFERROR(__xludf.DUMMYFUNCTION("""COMPUTED_VALUE"""),"18 inch Aero")</f>
        <v>18 inch Aero</v>
      </c>
      <c r="Q2225" t="str">
        <f>IFERROR(__xludf.DUMMYFUNCTION("""COMPUTED_VALUE"""),"Black seats")</f>
        <v>Black seats</v>
      </c>
      <c r="R2225" t="str">
        <f>IFERROR(__xludf.DUMMYFUNCTION("""COMPUTED_VALUE"""),"Autopilot")</f>
        <v>Autopilot</v>
      </c>
      <c r="X2225" t="str">
        <f>IFERROR(__xludf.DUMMYFUNCTION("""COMPUTED_VALUE"""),"Excellent")</f>
        <v>Excellent</v>
      </c>
      <c r="Y2225" t="str">
        <f>IFERROR(__xludf.DUMMYFUNCTION("""COMPUTED_VALUE"""),"Excellent")</f>
        <v>Excellent</v>
      </c>
      <c r="Z2225" t="str">
        <f>IFERROR(__xludf.DUMMYFUNCTION("""COMPUTED_VALUE"""),"Excellent")</f>
        <v>Excellent</v>
      </c>
      <c r="AA2225" t="str">
        <f>IFERROR(__xludf.DUMMYFUNCTION("""COMPUTED_VALUE"""),"Excellent")</f>
        <v>Excellent</v>
      </c>
      <c r="AB2225" t="str">
        <f>IFERROR(__xludf.DUMMYFUNCTION("""COMPUTED_VALUE"""),"Excellent")</f>
        <v>Excellent</v>
      </c>
      <c r="AC2225">
        <f>IFERROR(__xludf.DUMMYFUNCTION("""COMPUTED_VALUE"""),0.0)</f>
        <v>0</v>
      </c>
      <c r="AD2225">
        <f>IFERROR(__xludf.DUMMYFUNCTION("""COMPUTED_VALUE"""),0.0)</f>
        <v>0</v>
      </c>
      <c r="AE2225">
        <f>IFERROR(__xludf.DUMMYFUNCTION("""COMPUTED_VALUE"""),0.0)</f>
        <v>0</v>
      </c>
      <c r="AG2225" t="str">
        <f>IFERROR(__xludf.DUMMYFUNCTION("""COMPUTED_VALUE"""),"Stealth Performance")</f>
        <v>Stealth Performance</v>
      </c>
      <c r="AH2225" s="189">
        <f>IFERROR(__xludf.DUMMYFUNCTION("""COMPUTED_VALUE"""),43830.224738460645)</f>
        <v>43830.22474</v>
      </c>
    </row>
    <row r="2226">
      <c r="A2226" t="str">
        <f>IFERROR(__xludf.DUMMYFUNCTION("""COMPUTED_VALUE"""),"Anthony99994")</f>
        <v>Anthony99994</v>
      </c>
      <c r="B2226" t="str">
        <f>IFERROR(__xludf.DUMMYFUNCTION("""COMPUTED_VALUE"""),"Phoenix")</f>
        <v>Phoenix</v>
      </c>
      <c r="C2226" t="str">
        <f>IFERROR(__xludf.DUMMYFUNCTION("""COMPUTED_VALUE"""),"AZ")</f>
        <v>AZ</v>
      </c>
      <c r="D2226" t="str">
        <f>IFERROR(__xludf.DUMMYFUNCTION("""COMPUTED_VALUE"""),"USA")</f>
        <v>USA</v>
      </c>
      <c r="E2226" s="188">
        <f>IFERROR(__xludf.DUMMYFUNCTION("""COMPUTED_VALUE"""),43807.0)</f>
        <v>43807</v>
      </c>
      <c r="F2226" s="188">
        <f>IFERROR(__xludf.DUMMYFUNCTION("""COMPUTED_VALUE"""),43818.0)</f>
        <v>43818</v>
      </c>
      <c r="H2226">
        <f>IFERROR(__xludf.DUMMYFUNCTION("""COMPUTED_VALUE"""),613555.0)</f>
        <v>613555</v>
      </c>
      <c r="I2226" t="str">
        <f>IFERROR(__xludf.DUMMYFUNCTION("""COMPUTED_VALUE"""),"12/19")</f>
        <v>12/19</v>
      </c>
      <c r="J2226" s="5">
        <f>IFERROR(__xludf.DUMMYFUNCTION("""COMPUTED_VALUE"""),43825.0)</f>
        <v>43825</v>
      </c>
      <c r="K2226">
        <f>IFERROR(__xludf.DUMMYFUNCTION("""COMPUTED_VALUE"""),11.0)</f>
        <v>11</v>
      </c>
      <c r="L2226">
        <f>IFERROR(__xludf.DUMMYFUNCTION("""COMPUTED_VALUE"""),7.0)</f>
        <v>7</v>
      </c>
      <c r="M2226">
        <f>IFERROR(__xludf.DUMMYFUNCTION("""COMPUTED_VALUE"""),18.0)</f>
        <v>18</v>
      </c>
      <c r="N2226" t="str">
        <f>IFERROR(__xludf.DUMMYFUNCTION("""COMPUTED_VALUE"""),"Model 3 SR+")</f>
        <v>Model 3 SR+</v>
      </c>
      <c r="O2226" t="str">
        <f>IFERROR(__xludf.DUMMYFUNCTION("""COMPUTED_VALUE"""),"Pearl White Multi-Coat")</f>
        <v>Pearl White Multi-Coat</v>
      </c>
      <c r="P2226" t="str">
        <f>IFERROR(__xludf.DUMMYFUNCTION("""COMPUTED_VALUE"""),"18 inch Aero")</f>
        <v>18 inch Aero</v>
      </c>
      <c r="Q2226" t="str">
        <f>IFERROR(__xludf.DUMMYFUNCTION("""COMPUTED_VALUE"""),"Black seats")</f>
        <v>Black seats</v>
      </c>
      <c r="R2226" t="str">
        <f>IFERROR(__xludf.DUMMYFUNCTION("""COMPUTED_VALUE"""),"Autopilot")</f>
        <v>Autopilot</v>
      </c>
      <c r="X2226" t="str">
        <f>IFERROR(__xludf.DUMMYFUNCTION("""COMPUTED_VALUE"""),"Very Good")</f>
        <v>Very Good</v>
      </c>
      <c r="Y2226" t="str">
        <f>IFERROR(__xludf.DUMMYFUNCTION("""COMPUTED_VALUE"""),"Very Good")</f>
        <v>Very Good</v>
      </c>
      <c r="Z2226" t="str">
        <f>IFERROR(__xludf.DUMMYFUNCTION("""COMPUTED_VALUE"""),"Excellent")</f>
        <v>Excellent</v>
      </c>
      <c r="AA2226" t="str">
        <f>IFERROR(__xludf.DUMMYFUNCTION("""COMPUTED_VALUE"""),"Fair")</f>
        <v>Fair</v>
      </c>
      <c r="AB2226" t="str">
        <f>IFERROR(__xludf.DUMMYFUNCTION("""COMPUTED_VALUE"""),"Good")</f>
        <v>Good</v>
      </c>
      <c r="AG2226" t="str">
        <f>IFERROR(__xludf.DUMMYFUNCTION("""COMPUTED_VALUE"""),"VIN in source on 12/10; Out of town during scheduled delivery on 12/23, rescheduled for 12/26")</f>
        <v>VIN in source on 12/10; Out of town during scheduled delivery on 12/23, rescheduled for 12/26</v>
      </c>
      <c r="AH2226" s="189">
        <f>IFERROR(__xludf.DUMMYFUNCTION("""COMPUTED_VALUE"""),43830.29743344907)</f>
        <v>43830.29743</v>
      </c>
    </row>
    <row r="2227">
      <c r="A2227" t="str">
        <f>IFERROR(__xludf.DUMMYFUNCTION("""COMPUTED_VALUE"""),"Mexzilian")</f>
        <v>Mexzilian</v>
      </c>
      <c r="B2227" t="str">
        <f>IFERROR(__xludf.DUMMYFUNCTION("""COMPUTED_VALUE"""),"Los Angeles")</f>
        <v>Los Angeles</v>
      </c>
      <c r="C2227" t="str">
        <f>IFERROR(__xludf.DUMMYFUNCTION("""COMPUTED_VALUE"""),"CA")</f>
        <v>CA</v>
      </c>
      <c r="D2227" t="str">
        <f>IFERROR(__xludf.DUMMYFUNCTION("""COMPUTED_VALUE"""),"USA")</f>
        <v>USA</v>
      </c>
      <c r="E2227" s="188">
        <f>IFERROR(__xludf.DUMMYFUNCTION("""COMPUTED_VALUE"""),43800.0)</f>
        <v>43800</v>
      </c>
      <c r="F2227" s="188">
        <f>IFERROR(__xludf.DUMMYFUNCTION("""COMPUTED_VALUE"""),43825.0)</f>
        <v>43825</v>
      </c>
      <c r="H2227">
        <f>IFERROR(__xludf.DUMMYFUNCTION("""COMPUTED_VALUE"""),649579.0)</f>
        <v>649579</v>
      </c>
      <c r="J2227" s="5">
        <f>IFERROR(__xludf.DUMMYFUNCTION("""COMPUTED_VALUE"""),43829.0)</f>
        <v>43829</v>
      </c>
      <c r="K2227">
        <f>IFERROR(__xludf.DUMMYFUNCTION("""COMPUTED_VALUE"""),25.0)</f>
        <v>25</v>
      </c>
      <c r="L2227">
        <f>IFERROR(__xludf.DUMMYFUNCTION("""COMPUTED_VALUE"""),4.0)</f>
        <v>4</v>
      </c>
      <c r="M2227">
        <f>IFERROR(__xludf.DUMMYFUNCTION("""COMPUTED_VALUE"""),29.0)</f>
        <v>29</v>
      </c>
      <c r="N2227" t="str">
        <f>IFERROR(__xludf.DUMMYFUNCTION("""COMPUTED_VALUE"""),"Model 3 LR AWD")</f>
        <v>Model 3 LR AWD</v>
      </c>
      <c r="O2227" t="str">
        <f>IFERROR(__xludf.DUMMYFUNCTION("""COMPUTED_VALUE"""),"Midnight Silver Metallic")</f>
        <v>Midnight Silver Metallic</v>
      </c>
      <c r="P2227" t="str">
        <f>IFERROR(__xludf.DUMMYFUNCTION("""COMPUTED_VALUE"""),"18 inch Aero")</f>
        <v>18 inch Aero</v>
      </c>
      <c r="Q2227" t="str">
        <f>IFERROR(__xludf.DUMMYFUNCTION("""COMPUTED_VALUE"""),"Black seats")</f>
        <v>Black seats</v>
      </c>
      <c r="R2227" t="str">
        <f>IFERROR(__xludf.DUMMYFUNCTION("""COMPUTED_VALUE"""),"Autopilot")</f>
        <v>Autopilot</v>
      </c>
      <c r="X2227" t="str">
        <f>IFERROR(__xludf.DUMMYFUNCTION("""COMPUTED_VALUE"""),"Very Good")</f>
        <v>Very Good</v>
      </c>
      <c r="Y2227" t="str">
        <f>IFERROR(__xludf.DUMMYFUNCTION("""COMPUTED_VALUE"""),"Very Good")</f>
        <v>Very Good</v>
      </c>
      <c r="Z2227" t="str">
        <f>IFERROR(__xludf.DUMMYFUNCTION("""COMPUTED_VALUE"""),"Fair")</f>
        <v>Fair</v>
      </c>
      <c r="AA2227" t="str">
        <f>IFERROR(__xludf.DUMMYFUNCTION("""COMPUTED_VALUE"""),"Poor")</f>
        <v>Poor</v>
      </c>
      <c r="AB2227" t="str">
        <f>IFERROR(__xludf.DUMMYFUNCTION("""COMPUTED_VALUE"""),"Good")</f>
        <v>Good</v>
      </c>
      <c r="AC2227">
        <f>IFERROR(__xludf.DUMMYFUNCTION("""COMPUTED_VALUE"""),1.0)</f>
        <v>1</v>
      </c>
      <c r="AH2227" s="189">
        <f>IFERROR(__xludf.DUMMYFUNCTION("""COMPUTED_VALUE"""),43830.32949369213)</f>
        <v>43830.32949</v>
      </c>
    </row>
    <row r="2228">
      <c r="A2228" t="str">
        <f>IFERROR(__xludf.DUMMYFUNCTION("""COMPUTED_VALUE"""),"Jserrano")</f>
        <v>Jserrano</v>
      </c>
      <c r="B2228" t="str">
        <f>IFERROR(__xludf.DUMMYFUNCTION("""COMPUTED_VALUE"""),"Pasadena")</f>
        <v>Pasadena</v>
      </c>
      <c r="C2228" t="str">
        <f>IFERROR(__xludf.DUMMYFUNCTION("""COMPUTED_VALUE"""),"CA")</f>
        <v>CA</v>
      </c>
      <c r="D2228" t="str">
        <f>IFERROR(__xludf.DUMMYFUNCTION("""COMPUTED_VALUE"""),"USA")</f>
        <v>USA</v>
      </c>
      <c r="E2228" s="188">
        <f>IFERROR(__xludf.DUMMYFUNCTION("""COMPUTED_VALUE"""),43764.0)</f>
        <v>43764</v>
      </c>
      <c r="F2228" s="188">
        <f>IFERROR(__xludf.DUMMYFUNCTION("""COMPUTED_VALUE"""),43825.0)</f>
        <v>43825</v>
      </c>
      <c r="J2228" s="5">
        <f>IFERROR(__xludf.DUMMYFUNCTION("""COMPUTED_VALUE"""),43825.0)</f>
        <v>43825</v>
      </c>
      <c r="K2228">
        <f>IFERROR(__xludf.DUMMYFUNCTION("""COMPUTED_VALUE"""),61.0)</f>
        <v>61</v>
      </c>
      <c r="L2228">
        <f>IFERROR(__xludf.DUMMYFUNCTION("""COMPUTED_VALUE"""),0.0)</f>
        <v>0</v>
      </c>
      <c r="M2228">
        <f>IFERROR(__xludf.DUMMYFUNCTION("""COMPUTED_VALUE"""),61.0)</f>
        <v>61</v>
      </c>
      <c r="N2228" t="str">
        <f>IFERROR(__xludf.DUMMYFUNCTION("""COMPUTED_VALUE"""),"Model 3 SR+")</f>
        <v>Model 3 SR+</v>
      </c>
      <c r="O2228" t="str">
        <f>IFERROR(__xludf.DUMMYFUNCTION("""COMPUTED_VALUE"""),"Pearl White Multi-Coat")</f>
        <v>Pearl White Multi-Coat</v>
      </c>
      <c r="P2228" t="str">
        <f>IFERROR(__xludf.DUMMYFUNCTION("""COMPUTED_VALUE"""),"18 inch Aero")</f>
        <v>18 inch Aero</v>
      </c>
      <c r="Q2228" t="str">
        <f>IFERROR(__xludf.DUMMYFUNCTION("""COMPUTED_VALUE"""),"Black seats")</f>
        <v>Black seats</v>
      </c>
      <c r="R2228" t="str">
        <f>IFERROR(__xludf.DUMMYFUNCTION("""COMPUTED_VALUE"""),"Autopilot")</f>
        <v>Autopilot</v>
      </c>
      <c r="X2228" t="str">
        <f>IFERROR(__xludf.DUMMYFUNCTION("""COMPUTED_VALUE"""),"Fair")</f>
        <v>Fair</v>
      </c>
      <c r="Y2228" t="str">
        <f>IFERROR(__xludf.DUMMYFUNCTION("""COMPUTED_VALUE"""),"Fair")</f>
        <v>Fair</v>
      </c>
      <c r="Z2228" t="str">
        <f>IFERROR(__xludf.DUMMYFUNCTION("""COMPUTED_VALUE"""),"Good")</f>
        <v>Good</v>
      </c>
      <c r="AA2228" t="str">
        <f>IFERROR(__xludf.DUMMYFUNCTION("""COMPUTED_VALUE"""),"Poor")</f>
        <v>Poor</v>
      </c>
      <c r="AB2228" t="str">
        <f>IFERROR(__xludf.DUMMYFUNCTION("""COMPUTED_VALUE"""),"Good")</f>
        <v>Good</v>
      </c>
      <c r="AC2228">
        <f>IFERROR(__xludf.DUMMYFUNCTION("""COMPUTED_VALUE"""),1.0)</f>
        <v>1</v>
      </c>
      <c r="AH2228" s="189">
        <f>IFERROR(__xludf.DUMMYFUNCTION("""COMPUTED_VALUE"""),43830.40694981482)</f>
        <v>43830.40695</v>
      </c>
    </row>
    <row r="2229">
      <c r="A2229" t="str">
        <f>IFERROR(__xludf.DUMMYFUNCTION("""COMPUTED_VALUE"""),"lkmad")</f>
        <v>lkmad</v>
      </c>
      <c r="B2229" t="str">
        <f>IFERROR(__xludf.DUMMYFUNCTION("""COMPUTED_VALUE"""),"Sacramento")</f>
        <v>Sacramento</v>
      </c>
      <c r="C2229" t="str">
        <f>IFERROR(__xludf.DUMMYFUNCTION("""COMPUTED_VALUE"""),"CA")</f>
        <v>CA</v>
      </c>
      <c r="D2229" t="str">
        <f>IFERROR(__xludf.DUMMYFUNCTION("""COMPUTED_VALUE"""),"USA")</f>
        <v>USA</v>
      </c>
      <c r="E2229" s="188">
        <f>IFERROR(__xludf.DUMMYFUNCTION("""COMPUTED_VALUE"""),43803.0)</f>
        <v>43803</v>
      </c>
      <c r="F2229" s="188">
        <f>IFERROR(__xludf.DUMMYFUNCTION("""COMPUTED_VALUE"""),43829.0)</f>
        <v>43829</v>
      </c>
      <c r="H2229">
        <f>IFERROR(__xludf.DUMMYFUNCTION("""COMPUTED_VALUE"""),644875.0)</f>
        <v>644875</v>
      </c>
      <c r="J2229" s="5">
        <f>IFERROR(__xludf.DUMMYFUNCTION("""COMPUTED_VALUE"""),43830.0)</f>
        <v>43830</v>
      </c>
      <c r="K2229">
        <f>IFERROR(__xludf.DUMMYFUNCTION("""COMPUTED_VALUE"""),26.0)</f>
        <v>26</v>
      </c>
      <c r="L2229">
        <f>IFERROR(__xludf.DUMMYFUNCTION("""COMPUTED_VALUE"""),1.0)</f>
        <v>1</v>
      </c>
      <c r="M2229">
        <f>IFERROR(__xludf.DUMMYFUNCTION("""COMPUTED_VALUE"""),27.0)</f>
        <v>27</v>
      </c>
      <c r="N2229" t="str">
        <f>IFERROR(__xludf.DUMMYFUNCTION("""COMPUTED_VALUE"""),"Model 3 SR+")</f>
        <v>Model 3 SR+</v>
      </c>
      <c r="O2229" t="str">
        <f>IFERROR(__xludf.DUMMYFUNCTION("""COMPUTED_VALUE"""),"Pearl White Multi-Coat")</f>
        <v>Pearl White Multi-Coat</v>
      </c>
      <c r="P2229" t="str">
        <f>IFERROR(__xludf.DUMMYFUNCTION("""COMPUTED_VALUE"""),"18 inch Aero")</f>
        <v>18 inch Aero</v>
      </c>
      <c r="Q2229" t="str">
        <f>IFERROR(__xludf.DUMMYFUNCTION("""COMPUTED_VALUE"""),"Black seats")</f>
        <v>Black seats</v>
      </c>
      <c r="R2229" t="str">
        <f>IFERROR(__xludf.DUMMYFUNCTION("""COMPUTED_VALUE"""),"Full Self-Driving")</f>
        <v>Full Self-Driving</v>
      </c>
      <c r="X2229" t="str">
        <f>IFERROR(__xludf.DUMMYFUNCTION("""COMPUTED_VALUE"""),"Excellent")</f>
        <v>Excellent</v>
      </c>
      <c r="Y2229" t="str">
        <f>IFERROR(__xludf.DUMMYFUNCTION("""COMPUTED_VALUE"""),"Excellent")</f>
        <v>Excellent</v>
      </c>
      <c r="Z2229" t="str">
        <f>IFERROR(__xludf.DUMMYFUNCTION("""COMPUTED_VALUE"""),"Good")</f>
        <v>Good</v>
      </c>
      <c r="AA2229" t="str">
        <f>IFERROR(__xludf.DUMMYFUNCTION("""COMPUTED_VALUE"""),"Good")</f>
        <v>Good</v>
      </c>
      <c r="AB2229" t="str">
        <f>IFERROR(__xludf.DUMMYFUNCTION("""COMPUTED_VALUE"""),"Good")</f>
        <v>Good</v>
      </c>
      <c r="AC2229">
        <f>IFERROR(__xludf.DUMMYFUNCTION("""COMPUTED_VALUE"""),1.0)</f>
        <v>1</v>
      </c>
      <c r="AG2229" t="str">
        <f>IFERROR(__xludf.DUMMYFUNCTION("""COMPUTED_VALUE"""),"Matched to 1 VIN then changed when sure deal identified rather than the possible delivery before 12/31 VIN I first received. Took delivery at 8 pm - 2 scrapes/dents on lower front bumper that were ID'd and photgraphed for service. A few adhesive marks rem"&amp;"oved. Good experience at the end. ")</f>
        <v>Matched to 1 VIN then changed when sure deal identified rather than the possible delivery before 12/31 VIN I first received. Took delivery at 8 pm - 2 scrapes/dents on lower front bumper that were ID'd and photgraphed for service. A few adhesive marks removed. Good experience at the end. </v>
      </c>
      <c r="AH2229" s="189">
        <f>IFERROR(__xludf.DUMMYFUNCTION("""COMPUTED_VALUE"""),43830.461376481486)</f>
        <v>43830.46138</v>
      </c>
    </row>
    <row r="2230">
      <c r="A2230" t="str">
        <f>IFERROR(__xludf.DUMMYFUNCTION("""COMPUTED_VALUE"""),"candies")</f>
        <v>candies</v>
      </c>
      <c r="B2230" t="str">
        <f>IFERROR(__xludf.DUMMYFUNCTION("""COMPUTED_VALUE"""),"fremont")</f>
        <v>fremont</v>
      </c>
      <c r="C2230" t="str">
        <f>IFERROR(__xludf.DUMMYFUNCTION("""COMPUTED_VALUE"""),"CA")</f>
        <v>CA</v>
      </c>
      <c r="D2230" t="str">
        <f>IFERROR(__xludf.DUMMYFUNCTION("""COMPUTED_VALUE"""),"USA")</f>
        <v>USA</v>
      </c>
      <c r="E2230" s="188">
        <f>IFERROR(__xludf.DUMMYFUNCTION("""COMPUTED_VALUE"""),43768.0)</f>
        <v>43768</v>
      </c>
      <c r="F2230" s="188">
        <f>IFERROR(__xludf.DUMMYFUNCTION("""COMPUTED_VALUE"""),43826.0)</f>
        <v>43826</v>
      </c>
      <c r="J2230" s="5">
        <f>IFERROR(__xludf.DUMMYFUNCTION("""COMPUTED_VALUE"""),43830.0)</f>
        <v>43830</v>
      </c>
      <c r="K2230">
        <f>IFERROR(__xludf.DUMMYFUNCTION("""COMPUTED_VALUE"""),58.0)</f>
        <v>58</v>
      </c>
      <c r="L2230">
        <f>IFERROR(__xludf.DUMMYFUNCTION("""COMPUTED_VALUE"""),4.0)</f>
        <v>4</v>
      </c>
      <c r="M2230">
        <f>IFERROR(__xludf.DUMMYFUNCTION("""COMPUTED_VALUE"""),62.0)</f>
        <v>62</v>
      </c>
      <c r="N2230" t="str">
        <f>IFERROR(__xludf.DUMMYFUNCTION("""COMPUTED_VALUE"""),"Model 3 SR+")</f>
        <v>Model 3 SR+</v>
      </c>
      <c r="O2230" t="str">
        <f>IFERROR(__xludf.DUMMYFUNCTION("""COMPUTED_VALUE"""),"Pearl White Multi-Coat")</f>
        <v>Pearl White Multi-Coat</v>
      </c>
      <c r="P2230" t="str">
        <f>IFERROR(__xludf.DUMMYFUNCTION("""COMPUTED_VALUE"""),"18 inch Aero")</f>
        <v>18 inch Aero</v>
      </c>
      <c r="Q2230" t="str">
        <f>IFERROR(__xludf.DUMMYFUNCTION("""COMPUTED_VALUE"""),"Black seats")</f>
        <v>Black seats</v>
      </c>
      <c r="R2230" t="str">
        <f>IFERROR(__xludf.DUMMYFUNCTION("""COMPUTED_VALUE"""),"Autopilot")</f>
        <v>Autopilot</v>
      </c>
      <c r="X2230" t="str">
        <f>IFERROR(__xludf.DUMMYFUNCTION("""COMPUTED_VALUE"""),"Very Good")</f>
        <v>Very Good</v>
      </c>
      <c r="Y2230" t="str">
        <f>IFERROR(__xludf.DUMMYFUNCTION("""COMPUTED_VALUE"""),"Very Good")</f>
        <v>Very Good</v>
      </c>
      <c r="Z2230" t="str">
        <f>IFERROR(__xludf.DUMMYFUNCTION("""COMPUTED_VALUE"""),"Excellent")</f>
        <v>Excellent</v>
      </c>
      <c r="AA2230" t="str">
        <f>IFERROR(__xludf.DUMMYFUNCTION("""COMPUTED_VALUE"""),"Fair")</f>
        <v>Fair</v>
      </c>
      <c r="AB2230" t="str">
        <f>IFERROR(__xludf.DUMMYFUNCTION("""COMPUTED_VALUE"""),"Excellent")</f>
        <v>Excellent</v>
      </c>
      <c r="AH2230" s="189">
        <f>IFERROR(__xludf.DUMMYFUNCTION("""COMPUTED_VALUE"""),43830.59931450231)</f>
        <v>43830.59931</v>
      </c>
    </row>
    <row r="2231">
      <c r="A2231" t="str">
        <f>IFERROR(__xludf.DUMMYFUNCTION("""COMPUTED_VALUE"""),"ocjosh")</f>
        <v>ocjosh</v>
      </c>
      <c r="B2231" t="str">
        <f>IFERROR(__xludf.DUMMYFUNCTION("""COMPUTED_VALUE"""),"Anaheim")</f>
        <v>Anaheim</v>
      </c>
      <c r="C2231" t="str">
        <f>IFERROR(__xludf.DUMMYFUNCTION("""COMPUTED_VALUE"""),"CA")</f>
        <v>CA</v>
      </c>
      <c r="D2231" t="str">
        <f>IFERROR(__xludf.DUMMYFUNCTION("""COMPUTED_VALUE"""),"USA")</f>
        <v>USA</v>
      </c>
      <c r="E2231" s="188">
        <f>IFERROR(__xludf.DUMMYFUNCTION("""COMPUTED_VALUE"""),43801.0)</f>
        <v>43801</v>
      </c>
      <c r="F2231" s="188">
        <f>IFERROR(__xludf.DUMMYFUNCTION("""COMPUTED_VALUE"""),43826.0)</f>
        <v>43826</v>
      </c>
      <c r="I2231" t="str">
        <f>IFERROR(__xludf.DUMMYFUNCTION("""COMPUTED_VALUE"""),"12/19")</f>
        <v>12/19</v>
      </c>
      <c r="J2231" s="5">
        <f>IFERROR(__xludf.DUMMYFUNCTION("""COMPUTED_VALUE"""),43829.0)</f>
        <v>43829</v>
      </c>
      <c r="K2231">
        <f>IFERROR(__xludf.DUMMYFUNCTION("""COMPUTED_VALUE"""),25.0)</f>
        <v>25</v>
      </c>
      <c r="L2231">
        <f>IFERROR(__xludf.DUMMYFUNCTION("""COMPUTED_VALUE"""),3.0)</f>
        <v>3</v>
      </c>
      <c r="M2231">
        <f>IFERROR(__xludf.DUMMYFUNCTION("""COMPUTED_VALUE"""),28.0)</f>
        <v>28</v>
      </c>
      <c r="N2231" t="str">
        <f>IFERROR(__xludf.DUMMYFUNCTION("""COMPUTED_VALUE"""),"Model 3 LR AWD")</f>
        <v>Model 3 LR AWD</v>
      </c>
      <c r="O2231" t="str">
        <f>IFERROR(__xludf.DUMMYFUNCTION("""COMPUTED_VALUE"""),"Pearl White Multi-Coat")</f>
        <v>Pearl White Multi-Coat</v>
      </c>
      <c r="P2231" t="str">
        <f>IFERROR(__xludf.DUMMYFUNCTION("""COMPUTED_VALUE"""),"19 inch Sport")</f>
        <v>19 inch Sport</v>
      </c>
      <c r="Q2231" t="str">
        <f>IFERROR(__xludf.DUMMYFUNCTION("""COMPUTED_VALUE"""),"Black seats")</f>
        <v>Black seats</v>
      </c>
      <c r="R2231" t="str">
        <f>IFERROR(__xludf.DUMMYFUNCTION("""COMPUTED_VALUE"""),"Autopilot")</f>
        <v>Autopilot</v>
      </c>
      <c r="X2231" t="str">
        <f>IFERROR(__xludf.DUMMYFUNCTION("""COMPUTED_VALUE"""),"Good")</f>
        <v>Good</v>
      </c>
      <c r="Y2231" t="str">
        <f>IFERROR(__xludf.DUMMYFUNCTION("""COMPUTED_VALUE"""),"Very Good")</f>
        <v>Very Good</v>
      </c>
      <c r="Z2231" t="str">
        <f>IFERROR(__xludf.DUMMYFUNCTION("""COMPUTED_VALUE"""),"Fair")</f>
        <v>Fair</v>
      </c>
      <c r="AA2231" t="str">
        <f>IFERROR(__xludf.DUMMYFUNCTION("""COMPUTED_VALUE"""),"Poor")</f>
        <v>Poor</v>
      </c>
      <c r="AB2231" t="str">
        <f>IFERROR(__xludf.DUMMYFUNCTION("""COMPUTED_VALUE"""),"Good")</f>
        <v>Good</v>
      </c>
      <c r="AH2231" s="189">
        <f>IFERROR(__xludf.DUMMYFUNCTION("""COMPUTED_VALUE"""),43830.88128888889)</f>
        <v>43830.88129</v>
      </c>
    </row>
    <row r="2232">
      <c r="A2232" t="str">
        <f>IFERROR(__xludf.DUMMYFUNCTION("""COMPUTED_VALUE"""),"TorukMakto")</f>
        <v>TorukMakto</v>
      </c>
      <c r="B2232" t="str">
        <f>IFERROR(__xludf.DUMMYFUNCTION("""COMPUTED_VALUE"""),"Downingtown")</f>
        <v>Downingtown</v>
      </c>
      <c r="C2232" t="str">
        <f>IFERROR(__xludf.DUMMYFUNCTION("""COMPUTED_VALUE"""),"PA")</f>
        <v>PA</v>
      </c>
      <c r="D2232" t="str">
        <f>IFERROR(__xludf.DUMMYFUNCTION("""COMPUTED_VALUE"""),"USA")</f>
        <v>USA</v>
      </c>
      <c r="E2232" s="188">
        <f>IFERROR(__xludf.DUMMYFUNCTION("""COMPUTED_VALUE"""),43790.0)</f>
        <v>43790</v>
      </c>
      <c r="F2232" s="188">
        <f>IFERROR(__xludf.DUMMYFUNCTION("""COMPUTED_VALUE"""),43807.0)</f>
        <v>43807</v>
      </c>
      <c r="J2232" s="5">
        <f>IFERROR(__xludf.DUMMYFUNCTION("""COMPUTED_VALUE"""),43829.0)</f>
        <v>43829</v>
      </c>
      <c r="K2232">
        <f>IFERROR(__xludf.DUMMYFUNCTION("""COMPUTED_VALUE"""),17.0)</f>
        <v>17</v>
      </c>
      <c r="L2232">
        <f>IFERROR(__xludf.DUMMYFUNCTION("""COMPUTED_VALUE"""),22.0)</f>
        <v>22</v>
      </c>
      <c r="M2232">
        <f>IFERROR(__xludf.DUMMYFUNCTION("""COMPUTED_VALUE"""),39.0)</f>
        <v>39</v>
      </c>
      <c r="N2232" t="str">
        <f>IFERROR(__xludf.DUMMYFUNCTION("""COMPUTED_VALUE"""),"Model 3 Performance")</f>
        <v>Model 3 Performance</v>
      </c>
      <c r="O2232" t="str">
        <f>IFERROR(__xludf.DUMMYFUNCTION("""COMPUTED_VALUE"""),"Solid Black")</f>
        <v>Solid Black</v>
      </c>
      <c r="P2232" t="str">
        <f>IFERROR(__xludf.DUMMYFUNCTION("""COMPUTED_VALUE"""),"20 inch Sport")</f>
        <v>20 inch Sport</v>
      </c>
      <c r="Q2232" t="str">
        <f>IFERROR(__xludf.DUMMYFUNCTION("""COMPUTED_VALUE"""),"White seats")</f>
        <v>White seats</v>
      </c>
      <c r="R2232" t="str">
        <f>IFERROR(__xludf.DUMMYFUNCTION("""COMPUTED_VALUE"""),"Full Self-Driving")</f>
        <v>Full Self-Driving</v>
      </c>
      <c r="X2232" t="str">
        <f>IFERROR(__xludf.DUMMYFUNCTION("""COMPUTED_VALUE"""),"Excellent")</f>
        <v>Excellent</v>
      </c>
      <c r="Y2232" t="str">
        <f>IFERROR(__xludf.DUMMYFUNCTION("""COMPUTED_VALUE"""),"Excellent")</f>
        <v>Excellent</v>
      </c>
      <c r="Z2232" t="str">
        <f>IFERROR(__xludf.DUMMYFUNCTION("""COMPUTED_VALUE"""),"Excellent")</f>
        <v>Excellent</v>
      </c>
      <c r="AA2232" t="str">
        <f>IFERROR(__xludf.DUMMYFUNCTION("""COMPUTED_VALUE"""),"Good")</f>
        <v>Good</v>
      </c>
      <c r="AB2232" t="str">
        <f>IFERROR(__xludf.DUMMYFUNCTION("""COMPUTED_VALUE"""),"Excellent")</f>
        <v>Excellent</v>
      </c>
      <c r="AH2232" s="189">
        <f>IFERROR(__xludf.DUMMYFUNCTION("""COMPUTED_VALUE"""),43831.41800021991)</f>
        <v>43831.418</v>
      </c>
    </row>
    <row r="2233">
      <c r="A2233" t="str">
        <f>IFERROR(__xludf.DUMMYFUNCTION("""COMPUTED_VALUE"""),"Adeian")</f>
        <v>Adeian</v>
      </c>
      <c r="B2233" t="str">
        <f>IFERROR(__xludf.DUMMYFUNCTION("""COMPUTED_VALUE"""),"Denver")</f>
        <v>Denver</v>
      </c>
      <c r="C2233" t="str">
        <f>IFERROR(__xludf.DUMMYFUNCTION("""COMPUTED_VALUE"""),"CO")</f>
        <v>CO</v>
      </c>
      <c r="D2233" t="str">
        <f>IFERROR(__xludf.DUMMYFUNCTION("""COMPUTED_VALUE"""),"USA")</f>
        <v>USA</v>
      </c>
      <c r="E2233" s="188">
        <f>IFERROR(__xludf.DUMMYFUNCTION("""COMPUTED_VALUE"""),43803.0)</f>
        <v>43803</v>
      </c>
      <c r="F2233" s="188">
        <f>IFERROR(__xludf.DUMMYFUNCTION("""COMPUTED_VALUE"""),43817.0)</f>
        <v>43817</v>
      </c>
      <c r="I2233" t="str">
        <f>IFERROR(__xludf.DUMMYFUNCTION("""COMPUTED_VALUE"""),"12/19")</f>
        <v>12/19</v>
      </c>
      <c r="J2233" s="5">
        <f>IFERROR(__xludf.DUMMYFUNCTION("""COMPUTED_VALUE"""),43825.0)</f>
        <v>43825</v>
      </c>
      <c r="K2233">
        <f>IFERROR(__xludf.DUMMYFUNCTION("""COMPUTED_VALUE"""),14.0)</f>
        <v>14</v>
      </c>
      <c r="L2233">
        <f>IFERROR(__xludf.DUMMYFUNCTION("""COMPUTED_VALUE"""),8.0)</f>
        <v>8</v>
      </c>
      <c r="M2233">
        <f>IFERROR(__xludf.DUMMYFUNCTION("""COMPUTED_VALUE"""),22.0)</f>
        <v>22</v>
      </c>
      <c r="N2233" t="str">
        <f>IFERROR(__xludf.DUMMYFUNCTION("""COMPUTED_VALUE"""),"Model 3 LR AWD")</f>
        <v>Model 3 LR AWD</v>
      </c>
      <c r="O2233" t="str">
        <f>IFERROR(__xludf.DUMMYFUNCTION("""COMPUTED_VALUE"""),"Deep Blue Metallic")</f>
        <v>Deep Blue Metallic</v>
      </c>
      <c r="P2233" t="str">
        <f>IFERROR(__xludf.DUMMYFUNCTION("""COMPUTED_VALUE"""),"18 inch Aero")</f>
        <v>18 inch Aero</v>
      </c>
      <c r="Q2233" t="str">
        <f>IFERROR(__xludf.DUMMYFUNCTION("""COMPUTED_VALUE"""),"Black seats")</f>
        <v>Black seats</v>
      </c>
      <c r="R2233" t="str">
        <f>IFERROR(__xludf.DUMMYFUNCTION("""COMPUTED_VALUE"""),"Full Self-Driving")</f>
        <v>Full Self-Driving</v>
      </c>
      <c r="X2233" t="str">
        <f>IFERROR(__xludf.DUMMYFUNCTION("""COMPUTED_VALUE"""),"Very Good")</f>
        <v>Very Good</v>
      </c>
      <c r="Y2233" t="str">
        <f>IFERROR(__xludf.DUMMYFUNCTION("""COMPUTED_VALUE"""),"Very Good")</f>
        <v>Very Good</v>
      </c>
      <c r="Z2233" t="str">
        <f>IFERROR(__xludf.DUMMYFUNCTION("""COMPUTED_VALUE"""),"Very Good")</f>
        <v>Very Good</v>
      </c>
      <c r="AA2233" t="str">
        <f>IFERROR(__xludf.DUMMYFUNCTION("""COMPUTED_VALUE"""),"Fair")</f>
        <v>Fair</v>
      </c>
      <c r="AB2233" t="str">
        <f>IFERROR(__xludf.DUMMYFUNCTION("""COMPUTED_VALUE"""),"Good")</f>
        <v>Good</v>
      </c>
      <c r="AH2233" s="189">
        <f>IFERROR(__xludf.DUMMYFUNCTION("""COMPUTED_VALUE"""),43831.44939944445)</f>
        <v>43831.4494</v>
      </c>
    </row>
    <row r="2234">
      <c r="A2234" t="str">
        <f>IFERROR(__xludf.DUMMYFUNCTION("""COMPUTED_VALUE"""),"srankin1826")</f>
        <v>srankin1826</v>
      </c>
      <c r="B2234" t="str">
        <f>IFERROR(__xludf.DUMMYFUNCTION("""COMPUTED_VALUE"""),"Phoenix")</f>
        <v>Phoenix</v>
      </c>
      <c r="C2234" t="str">
        <f>IFERROR(__xludf.DUMMYFUNCTION("""COMPUTED_VALUE"""),"AZ")</f>
        <v>AZ</v>
      </c>
      <c r="D2234" t="str">
        <f>IFERROR(__xludf.DUMMYFUNCTION("""COMPUTED_VALUE"""),"USA")</f>
        <v>USA</v>
      </c>
      <c r="E2234" s="188">
        <f>IFERROR(__xludf.DUMMYFUNCTION("""COMPUTED_VALUE"""),43799.0)</f>
        <v>43799</v>
      </c>
      <c r="F2234" s="188">
        <f>IFERROR(__xludf.DUMMYFUNCTION("""COMPUTED_VALUE"""),43825.0)</f>
        <v>43825</v>
      </c>
      <c r="H2234">
        <f>IFERROR(__xludf.DUMMYFUNCTION("""COMPUTED_VALUE"""),650016.0)</f>
        <v>650016</v>
      </c>
      <c r="J2234" s="5">
        <f>IFERROR(__xludf.DUMMYFUNCTION("""COMPUTED_VALUE"""),43829.0)</f>
        <v>43829</v>
      </c>
      <c r="K2234">
        <f>IFERROR(__xludf.DUMMYFUNCTION("""COMPUTED_VALUE"""),26.0)</f>
        <v>26</v>
      </c>
      <c r="L2234">
        <f>IFERROR(__xludf.DUMMYFUNCTION("""COMPUTED_VALUE"""),4.0)</f>
        <v>4</v>
      </c>
      <c r="M2234">
        <f>IFERROR(__xludf.DUMMYFUNCTION("""COMPUTED_VALUE"""),30.0)</f>
        <v>30</v>
      </c>
      <c r="N2234" t="str">
        <f>IFERROR(__xludf.DUMMYFUNCTION("""COMPUTED_VALUE"""),"Model 3 LR AWD")</f>
        <v>Model 3 LR AWD</v>
      </c>
      <c r="O2234" t="str">
        <f>IFERROR(__xludf.DUMMYFUNCTION("""COMPUTED_VALUE"""),"Pearl White Multi-Coat")</f>
        <v>Pearl White Multi-Coat</v>
      </c>
      <c r="P2234" t="str">
        <f>IFERROR(__xludf.DUMMYFUNCTION("""COMPUTED_VALUE"""),"18 inch Aero")</f>
        <v>18 inch Aero</v>
      </c>
      <c r="Q2234" t="str">
        <f>IFERROR(__xludf.DUMMYFUNCTION("""COMPUTED_VALUE"""),"Black seats")</f>
        <v>Black seats</v>
      </c>
      <c r="R2234" t="str">
        <f>IFERROR(__xludf.DUMMYFUNCTION("""COMPUTED_VALUE"""),"Autopilot")</f>
        <v>Autopilot</v>
      </c>
      <c r="X2234" t="str">
        <f>IFERROR(__xludf.DUMMYFUNCTION("""COMPUTED_VALUE"""),"Good")</f>
        <v>Good</v>
      </c>
      <c r="Y2234" t="str">
        <f>IFERROR(__xludf.DUMMYFUNCTION("""COMPUTED_VALUE"""),"Very Good")</f>
        <v>Very Good</v>
      </c>
      <c r="Z2234" t="str">
        <f>IFERROR(__xludf.DUMMYFUNCTION("""COMPUTED_VALUE"""),"Very Good")</f>
        <v>Very Good</v>
      </c>
      <c r="AA2234" t="str">
        <f>IFERROR(__xludf.DUMMYFUNCTION("""COMPUTED_VALUE"""),"Fair")</f>
        <v>Fair</v>
      </c>
      <c r="AB2234" t="str">
        <f>IFERROR(__xludf.DUMMYFUNCTION("""COMPUTED_VALUE"""),"Very Good")</f>
        <v>Very Good</v>
      </c>
      <c r="AH2234" s="189">
        <f>IFERROR(__xludf.DUMMYFUNCTION("""COMPUTED_VALUE"""),43831.57959521991)</f>
        <v>43831.5796</v>
      </c>
    </row>
    <row r="2235">
      <c r="A2235" t="str">
        <f>IFERROR(__xludf.DUMMYFUNCTION("""COMPUTED_VALUE"""),"jackgopack4")</f>
        <v>jackgopack4</v>
      </c>
      <c r="B2235" t="str">
        <f>IFERROR(__xludf.DUMMYFUNCTION("""COMPUTED_VALUE"""),"OKC")</f>
        <v>OKC</v>
      </c>
      <c r="C2235" t="str">
        <f>IFERROR(__xludf.DUMMYFUNCTION("""COMPUTED_VALUE"""),"OK")</f>
        <v>OK</v>
      </c>
      <c r="D2235" t="str">
        <f>IFERROR(__xludf.DUMMYFUNCTION("""COMPUTED_VALUE"""),"USA")</f>
        <v>USA</v>
      </c>
      <c r="E2235" s="188">
        <f>IFERROR(__xludf.DUMMYFUNCTION("""COMPUTED_VALUE"""),43770.0)</f>
        <v>43770</v>
      </c>
      <c r="F2235" s="188">
        <f>IFERROR(__xludf.DUMMYFUNCTION("""COMPUTED_VALUE"""),43799.0)</f>
        <v>43799</v>
      </c>
      <c r="H2235">
        <f>IFERROR(__xludf.DUMMYFUNCTION("""COMPUTED_VALUE"""),597055.0)</f>
        <v>597055</v>
      </c>
      <c r="I2235" t="str">
        <f>IFERROR(__xludf.DUMMYFUNCTION("""COMPUTED_VALUE"""),"11/19")</f>
        <v>11/19</v>
      </c>
      <c r="J2235" s="5">
        <f>IFERROR(__xludf.DUMMYFUNCTION("""COMPUTED_VALUE"""),43811.0)</f>
        <v>43811</v>
      </c>
      <c r="K2235">
        <f>IFERROR(__xludf.DUMMYFUNCTION("""COMPUTED_VALUE"""),29.0)</f>
        <v>29</v>
      </c>
      <c r="L2235">
        <f>IFERROR(__xludf.DUMMYFUNCTION("""COMPUTED_VALUE"""),12.0)</f>
        <v>12</v>
      </c>
      <c r="M2235">
        <f>IFERROR(__xludf.DUMMYFUNCTION("""COMPUTED_VALUE"""),41.0)</f>
        <v>41</v>
      </c>
      <c r="N2235" t="str">
        <f>IFERROR(__xludf.DUMMYFUNCTION("""COMPUTED_VALUE"""),"Model 3 SR+")</f>
        <v>Model 3 SR+</v>
      </c>
      <c r="O2235" t="str">
        <f>IFERROR(__xludf.DUMMYFUNCTION("""COMPUTED_VALUE"""),"Midnight Silver Metallic")</f>
        <v>Midnight Silver Metallic</v>
      </c>
      <c r="P2235" t="str">
        <f>IFERROR(__xludf.DUMMYFUNCTION("""COMPUTED_VALUE"""),"18 inch Aero")</f>
        <v>18 inch Aero</v>
      </c>
      <c r="Q2235" t="str">
        <f>IFERROR(__xludf.DUMMYFUNCTION("""COMPUTED_VALUE"""),"Black seats")</f>
        <v>Black seats</v>
      </c>
      <c r="R2235" t="str">
        <f>IFERROR(__xludf.DUMMYFUNCTION("""COMPUTED_VALUE"""),"Full Self-Driving")</f>
        <v>Full Self-Driving</v>
      </c>
      <c r="X2235" t="str">
        <f>IFERROR(__xludf.DUMMYFUNCTION("""COMPUTED_VALUE"""),"Fair")</f>
        <v>Fair</v>
      </c>
      <c r="Y2235" t="str">
        <f>IFERROR(__xludf.DUMMYFUNCTION("""COMPUTED_VALUE"""),"Good")</f>
        <v>Good</v>
      </c>
      <c r="Z2235" t="str">
        <f>IFERROR(__xludf.DUMMYFUNCTION("""COMPUTED_VALUE"""),"Very Good")</f>
        <v>Very Good</v>
      </c>
      <c r="AA2235" t="str">
        <f>IFERROR(__xludf.DUMMYFUNCTION("""COMPUTED_VALUE"""),"Poor")</f>
        <v>Poor</v>
      </c>
      <c r="AB2235" t="str">
        <f>IFERROR(__xludf.DUMMYFUNCTION("""COMPUTED_VALUE"""),"Poor")</f>
        <v>Poor</v>
      </c>
      <c r="AG2235" t="str">
        <f>IFERROR(__xludf.DUMMYFUNCTION("""COMPUTED_VALUE"""),"Horrible communication from Tesla. Carrier delivery company (TFI Transport) were the ones who made it work. Tesla emailed me in the afternoon saying delivery was scheduled for tomorrow, but got a call from TFI later that day asking to deliver to a truck s"&amp;"top (not my house) at 10pm that night. Since I was not home, they agreed to deliver and drive it into my assigned parking spot. However, this was no thanks to my Tesla delivery specialist (Joshua) and all in me to arrange while I was over 1,000 miles away"&amp;" for work.  No paperwork to register and drive three weeks after delivery. Unsatisfactory. ")</f>
        <v>Horrible communication from Tesla. Carrier delivery company (TFI Transport) were the ones who made it work. Tesla emailed me in the afternoon saying delivery was scheduled for tomorrow, but got a call from TFI later that day asking to deliver to a truck stop (not my house) at 10pm that night. Since I was not home, they agreed to deliver and drive it into my assigned parking spot. However, this was no thanks to my Tesla delivery specialist (Joshua) and all in me to arrange while I was over 1,000 miles away for work.  No paperwork to register and drive three weeks after delivery. Unsatisfactory. </v>
      </c>
      <c r="AH2235" s="189">
        <f>IFERROR(__xludf.DUMMYFUNCTION("""COMPUTED_VALUE"""),43831.70338688657)</f>
        <v>43831.70339</v>
      </c>
    </row>
    <row r="2236">
      <c r="A2236" t="str">
        <f>IFERROR(__xludf.DUMMYFUNCTION("""COMPUTED_VALUE"""),"Guitar_Dude")</f>
        <v>Guitar_Dude</v>
      </c>
      <c r="B2236" t="str">
        <f>IFERROR(__xludf.DUMMYFUNCTION("""COMPUTED_VALUE"""),"Houston")</f>
        <v>Houston</v>
      </c>
      <c r="C2236" t="str">
        <f>IFERROR(__xludf.DUMMYFUNCTION("""COMPUTED_VALUE"""),"TX")</f>
        <v>TX</v>
      </c>
      <c r="D2236" t="str">
        <f>IFERROR(__xludf.DUMMYFUNCTION("""COMPUTED_VALUE"""),"USA")</f>
        <v>USA</v>
      </c>
      <c r="E2236" s="188">
        <f>IFERROR(__xludf.DUMMYFUNCTION("""COMPUTED_VALUE"""),43818.0)</f>
        <v>43818</v>
      </c>
      <c r="F2236" s="188">
        <f>IFERROR(__xludf.DUMMYFUNCTION("""COMPUTED_VALUE"""),43827.0)</f>
        <v>43827</v>
      </c>
      <c r="I2236" t="str">
        <f>IFERROR(__xludf.DUMMYFUNCTION("""COMPUTED_VALUE"""),"12/19")</f>
        <v>12/19</v>
      </c>
      <c r="J2236" s="5">
        <f>IFERROR(__xludf.DUMMYFUNCTION("""COMPUTED_VALUE"""),43830.0)</f>
        <v>43830</v>
      </c>
      <c r="K2236">
        <f>IFERROR(__xludf.DUMMYFUNCTION("""COMPUTED_VALUE"""),9.0)</f>
        <v>9</v>
      </c>
      <c r="L2236">
        <f>IFERROR(__xludf.DUMMYFUNCTION("""COMPUTED_VALUE"""),3.0)</f>
        <v>3</v>
      </c>
      <c r="M2236">
        <f>IFERROR(__xludf.DUMMYFUNCTION("""COMPUTED_VALUE"""),12.0)</f>
        <v>12</v>
      </c>
      <c r="N2236" t="str">
        <f>IFERROR(__xludf.DUMMYFUNCTION("""COMPUTED_VALUE"""),"Model 3 SR+")</f>
        <v>Model 3 SR+</v>
      </c>
      <c r="O2236" t="str">
        <f>IFERROR(__xludf.DUMMYFUNCTION("""COMPUTED_VALUE"""),"Pearl White Multi-Coat")</f>
        <v>Pearl White Multi-Coat</v>
      </c>
      <c r="P2236" t="str">
        <f>IFERROR(__xludf.DUMMYFUNCTION("""COMPUTED_VALUE"""),"19 inch Sport")</f>
        <v>19 inch Sport</v>
      </c>
      <c r="Q2236" t="str">
        <f>IFERROR(__xludf.DUMMYFUNCTION("""COMPUTED_VALUE"""),"Black seats")</f>
        <v>Black seats</v>
      </c>
      <c r="R2236" t="str">
        <f>IFERROR(__xludf.DUMMYFUNCTION("""COMPUTED_VALUE"""),"Autopilot")</f>
        <v>Autopilot</v>
      </c>
      <c r="X2236" t="str">
        <f>IFERROR(__xludf.DUMMYFUNCTION("""COMPUTED_VALUE"""),"Good")</f>
        <v>Good</v>
      </c>
      <c r="Y2236" t="str">
        <f>IFERROR(__xludf.DUMMYFUNCTION("""COMPUTED_VALUE"""),"Very Good")</f>
        <v>Very Good</v>
      </c>
      <c r="Z2236" t="str">
        <f>IFERROR(__xludf.DUMMYFUNCTION("""COMPUTED_VALUE"""),"Very Good")</f>
        <v>Very Good</v>
      </c>
      <c r="AA2236" t="str">
        <f>IFERROR(__xludf.DUMMYFUNCTION("""COMPUTED_VALUE"""),"Good")</f>
        <v>Good</v>
      </c>
      <c r="AB2236" t="str">
        <f>IFERROR(__xludf.DUMMYFUNCTION("""COMPUTED_VALUE"""),"Fair")</f>
        <v>Fair</v>
      </c>
      <c r="AC2236">
        <f>IFERROR(__xludf.DUMMYFUNCTION("""COMPUTED_VALUE"""),0.0)</f>
        <v>0</v>
      </c>
      <c r="AH2236" s="189">
        <f>IFERROR(__xludf.DUMMYFUNCTION("""COMPUTED_VALUE"""),43831.75331238426)</f>
        <v>43831.75331</v>
      </c>
    </row>
    <row r="2237">
      <c r="A2237" t="str">
        <f>IFERROR(__xludf.DUMMYFUNCTION("""COMPUTED_VALUE"""),"LittleMonster")</f>
        <v>LittleMonster</v>
      </c>
      <c r="B2237" t="str">
        <f>IFERROR(__xludf.DUMMYFUNCTION("""COMPUTED_VALUE"""),"Los Angeles")</f>
        <v>Los Angeles</v>
      </c>
      <c r="C2237" t="str">
        <f>IFERROR(__xludf.DUMMYFUNCTION("""COMPUTED_VALUE"""),"CA")</f>
        <v>CA</v>
      </c>
      <c r="D2237" t="str">
        <f>IFERROR(__xludf.DUMMYFUNCTION("""COMPUTED_VALUE"""),"USA")</f>
        <v>USA</v>
      </c>
      <c r="E2237" s="188">
        <f>IFERROR(__xludf.DUMMYFUNCTION("""COMPUTED_VALUE"""),43799.0)</f>
        <v>43799</v>
      </c>
      <c r="F2237" s="188">
        <f>IFERROR(__xludf.DUMMYFUNCTION("""COMPUTED_VALUE"""),43826.0)</f>
        <v>43826</v>
      </c>
      <c r="J2237" s="5">
        <f>IFERROR(__xludf.DUMMYFUNCTION("""COMPUTED_VALUE"""),43829.0)</f>
        <v>43829</v>
      </c>
      <c r="K2237">
        <f>IFERROR(__xludf.DUMMYFUNCTION("""COMPUTED_VALUE"""),27.0)</f>
        <v>27</v>
      </c>
      <c r="L2237">
        <f>IFERROR(__xludf.DUMMYFUNCTION("""COMPUTED_VALUE"""),3.0)</f>
        <v>3</v>
      </c>
      <c r="M2237">
        <f>IFERROR(__xludf.DUMMYFUNCTION("""COMPUTED_VALUE"""),30.0)</f>
        <v>30</v>
      </c>
      <c r="N2237" t="str">
        <f>IFERROR(__xludf.DUMMYFUNCTION("""COMPUTED_VALUE"""),"Model 3 LR AWD")</f>
        <v>Model 3 LR AWD</v>
      </c>
      <c r="O2237" t="str">
        <f>IFERROR(__xludf.DUMMYFUNCTION("""COMPUTED_VALUE"""),"Midnight Silver Metallic")</f>
        <v>Midnight Silver Metallic</v>
      </c>
      <c r="P2237" t="str">
        <f>IFERROR(__xludf.DUMMYFUNCTION("""COMPUTED_VALUE"""),"18 inch Aero")</f>
        <v>18 inch Aero</v>
      </c>
      <c r="Q2237" t="str">
        <f>IFERROR(__xludf.DUMMYFUNCTION("""COMPUTED_VALUE"""),"Black seats")</f>
        <v>Black seats</v>
      </c>
      <c r="R2237" t="str">
        <f>IFERROR(__xludf.DUMMYFUNCTION("""COMPUTED_VALUE"""),"Autopilot")</f>
        <v>Autopilot</v>
      </c>
      <c r="X2237" t="str">
        <f>IFERROR(__xludf.DUMMYFUNCTION("""COMPUTED_VALUE"""),"Excellent")</f>
        <v>Excellent</v>
      </c>
      <c r="Y2237" t="str">
        <f>IFERROR(__xludf.DUMMYFUNCTION("""COMPUTED_VALUE"""),"Very Good")</f>
        <v>Very Good</v>
      </c>
      <c r="Z2237" t="str">
        <f>IFERROR(__xludf.DUMMYFUNCTION("""COMPUTED_VALUE"""),"Very Good")</f>
        <v>Very Good</v>
      </c>
      <c r="AA2237" t="str">
        <f>IFERROR(__xludf.DUMMYFUNCTION("""COMPUTED_VALUE"""),"Poor")</f>
        <v>Poor</v>
      </c>
      <c r="AB2237" t="str">
        <f>IFERROR(__xludf.DUMMYFUNCTION("""COMPUTED_VALUE"""),"Excellent")</f>
        <v>Excellent</v>
      </c>
      <c r="AC2237">
        <f>IFERROR(__xludf.DUMMYFUNCTION("""COMPUTED_VALUE"""),1.0)</f>
        <v>1</v>
      </c>
      <c r="AH2237" s="189">
        <f>IFERROR(__xludf.DUMMYFUNCTION("""COMPUTED_VALUE"""),43832.071640752314)</f>
        <v>43832.07164</v>
      </c>
    </row>
    <row r="2238">
      <c r="A2238" t="str">
        <f>IFERROR(__xludf.DUMMYFUNCTION("""COMPUTED_VALUE"""),"Random2512")</f>
        <v>Random2512</v>
      </c>
      <c r="B2238" t="str">
        <f>IFERROR(__xludf.DUMMYFUNCTION("""COMPUTED_VALUE"""),"Santa Barbara")</f>
        <v>Santa Barbara</v>
      </c>
      <c r="C2238" t="str">
        <f>IFERROR(__xludf.DUMMYFUNCTION("""COMPUTED_VALUE"""),"CA")</f>
        <v>CA</v>
      </c>
      <c r="D2238" t="str">
        <f>IFERROR(__xludf.DUMMYFUNCTION("""COMPUTED_VALUE"""),"USA")</f>
        <v>USA</v>
      </c>
      <c r="E2238" s="188">
        <f>IFERROR(__xludf.DUMMYFUNCTION("""COMPUTED_VALUE"""),43796.0)</f>
        <v>43796</v>
      </c>
      <c r="F2238" s="188">
        <f>IFERROR(__xludf.DUMMYFUNCTION("""COMPUTED_VALUE"""),43826.0)</f>
        <v>43826</v>
      </c>
      <c r="H2238">
        <f>IFERROR(__xludf.DUMMYFUNCTION("""COMPUTED_VALUE"""),650355.0)</f>
        <v>650355</v>
      </c>
      <c r="J2238" s="5">
        <f>IFERROR(__xludf.DUMMYFUNCTION("""COMPUTED_VALUE"""),43830.0)</f>
        <v>43830</v>
      </c>
      <c r="K2238">
        <f>IFERROR(__xludf.DUMMYFUNCTION("""COMPUTED_VALUE"""),30.0)</f>
        <v>30</v>
      </c>
      <c r="L2238">
        <f>IFERROR(__xludf.DUMMYFUNCTION("""COMPUTED_VALUE"""),4.0)</f>
        <v>4</v>
      </c>
      <c r="M2238">
        <f>IFERROR(__xludf.DUMMYFUNCTION("""COMPUTED_VALUE"""),34.0)</f>
        <v>34</v>
      </c>
      <c r="N2238" t="str">
        <f>IFERROR(__xludf.DUMMYFUNCTION("""COMPUTED_VALUE"""),"Model 3 LR AWD")</f>
        <v>Model 3 LR AWD</v>
      </c>
      <c r="O2238" t="str">
        <f>IFERROR(__xludf.DUMMYFUNCTION("""COMPUTED_VALUE"""),"Pearl White Multi-Coat")</f>
        <v>Pearl White Multi-Coat</v>
      </c>
      <c r="P2238" t="str">
        <f>IFERROR(__xludf.DUMMYFUNCTION("""COMPUTED_VALUE"""),"18 inch Aero")</f>
        <v>18 inch Aero</v>
      </c>
      <c r="Q2238" t="str">
        <f>IFERROR(__xludf.DUMMYFUNCTION("""COMPUTED_VALUE"""),"Black seats")</f>
        <v>Black seats</v>
      </c>
      <c r="R2238" t="str">
        <f>IFERROR(__xludf.DUMMYFUNCTION("""COMPUTED_VALUE"""),"Autopilot")</f>
        <v>Autopilot</v>
      </c>
      <c r="X2238" t="str">
        <f>IFERROR(__xludf.DUMMYFUNCTION("""COMPUTED_VALUE"""),"Excellent")</f>
        <v>Excellent</v>
      </c>
      <c r="Y2238" t="str">
        <f>IFERROR(__xludf.DUMMYFUNCTION("""COMPUTED_VALUE"""),"Excellent")</f>
        <v>Excellent</v>
      </c>
      <c r="Z2238" t="str">
        <f>IFERROR(__xludf.DUMMYFUNCTION("""COMPUTED_VALUE"""),"Excellent")</f>
        <v>Excellent</v>
      </c>
      <c r="AA2238" t="str">
        <f>IFERROR(__xludf.DUMMYFUNCTION("""COMPUTED_VALUE"""),"Poor")</f>
        <v>Poor</v>
      </c>
      <c r="AB2238" t="str">
        <f>IFERROR(__xludf.DUMMYFUNCTION("""COMPUTED_VALUE"""),"Good")</f>
        <v>Good</v>
      </c>
      <c r="AH2238" s="189">
        <f>IFERROR(__xludf.DUMMYFUNCTION("""COMPUTED_VALUE"""),43832.22302771991)</f>
        <v>43832.22303</v>
      </c>
    </row>
    <row r="2239">
      <c r="A2239" t="str">
        <f>IFERROR(__xludf.DUMMYFUNCTION("""COMPUTED_VALUE"""),"dadawinsk")</f>
        <v>dadawinsk</v>
      </c>
      <c r="B2239" t="str">
        <f>IFERROR(__xludf.DUMMYFUNCTION("""COMPUTED_VALUE"""),"Gloucester")</f>
        <v>Gloucester</v>
      </c>
      <c r="D2239" t="str">
        <f>IFERROR(__xludf.DUMMYFUNCTION("""COMPUTED_VALUE"""),"United Kingdom")</f>
        <v>United Kingdom</v>
      </c>
      <c r="E2239" s="188">
        <f>IFERROR(__xludf.DUMMYFUNCTION("""COMPUTED_VALUE"""),43789.0)</f>
        <v>43789</v>
      </c>
      <c r="F2239" s="188">
        <f>IFERROR(__xludf.DUMMYFUNCTION("""COMPUTED_VALUE"""),43794.0)</f>
        <v>43794</v>
      </c>
      <c r="H2239">
        <f>IFERROR(__xludf.DUMMYFUNCTION("""COMPUTED_VALUE"""),573655.0)</f>
        <v>573655</v>
      </c>
      <c r="J2239" s="5">
        <f>IFERROR(__xludf.DUMMYFUNCTION("""COMPUTED_VALUE"""),43819.0)</f>
        <v>43819</v>
      </c>
      <c r="K2239">
        <f>IFERROR(__xludf.DUMMYFUNCTION("""COMPUTED_VALUE"""),5.0)</f>
        <v>5</v>
      </c>
      <c r="L2239">
        <f>IFERROR(__xludf.DUMMYFUNCTION("""COMPUTED_VALUE"""),25.0)</f>
        <v>25</v>
      </c>
      <c r="M2239">
        <f>IFERROR(__xludf.DUMMYFUNCTION("""COMPUTED_VALUE"""),30.0)</f>
        <v>30</v>
      </c>
      <c r="N2239" t="str">
        <f>IFERROR(__xludf.DUMMYFUNCTION("""COMPUTED_VALUE"""),"Model 3 LR AWD")</f>
        <v>Model 3 LR AWD</v>
      </c>
      <c r="O2239" t="str">
        <f>IFERROR(__xludf.DUMMYFUNCTION("""COMPUTED_VALUE"""),"Deep Blue Metallic")</f>
        <v>Deep Blue Metallic</v>
      </c>
      <c r="P2239" t="str">
        <f>IFERROR(__xludf.DUMMYFUNCTION("""COMPUTED_VALUE"""),"18 inch Aero")</f>
        <v>18 inch Aero</v>
      </c>
      <c r="Q2239" t="str">
        <f>IFERROR(__xludf.DUMMYFUNCTION("""COMPUTED_VALUE"""),"Black seats")</f>
        <v>Black seats</v>
      </c>
      <c r="R2239" t="str">
        <f>IFERROR(__xludf.DUMMYFUNCTION("""COMPUTED_VALUE"""),"Autopilot")</f>
        <v>Autopilot</v>
      </c>
      <c r="X2239" t="str">
        <f>IFERROR(__xludf.DUMMYFUNCTION("""COMPUTED_VALUE"""),"Very Good")</f>
        <v>Very Good</v>
      </c>
      <c r="Y2239" t="str">
        <f>IFERROR(__xludf.DUMMYFUNCTION("""COMPUTED_VALUE"""),"Good")</f>
        <v>Good</v>
      </c>
      <c r="Z2239" t="str">
        <f>IFERROR(__xludf.DUMMYFUNCTION("""COMPUTED_VALUE"""),"Good")</f>
        <v>Good</v>
      </c>
      <c r="AA2239" t="str">
        <f>IFERROR(__xludf.DUMMYFUNCTION("""COMPUTED_VALUE"""),"Very Good")</f>
        <v>Very Good</v>
      </c>
      <c r="AB2239" t="str">
        <f>IFERROR(__xludf.DUMMYFUNCTION("""COMPUTED_VALUE"""),"Very Good")</f>
        <v>Very Good</v>
      </c>
      <c r="AH2239" s="189">
        <f>IFERROR(__xludf.DUMMYFUNCTION("""COMPUTED_VALUE"""),43832.31385324074)</f>
        <v>43832.31385</v>
      </c>
    </row>
    <row r="2240">
      <c r="A2240" t="str">
        <f>IFERROR(__xludf.DUMMYFUNCTION("""COMPUTED_VALUE"""),"Sto_")</f>
        <v>Sto_</v>
      </c>
      <c r="B2240" t="str">
        <f>IFERROR(__xludf.DUMMYFUNCTION("""COMPUTED_VALUE"""),"Salt Lake City")</f>
        <v>Salt Lake City</v>
      </c>
      <c r="C2240" t="str">
        <f>IFERROR(__xludf.DUMMYFUNCTION("""COMPUTED_VALUE"""),"UT")</f>
        <v>UT</v>
      </c>
      <c r="D2240" t="str">
        <f>IFERROR(__xludf.DUMMYFUNCTION("""COMPUTED_VALUE"""),"USA")</f>
        <v>USA</v>
      </c>
      <c r="E2240" s="188">
        <f>IFERROR(__xludf.DUMMYFUNCTION("""COMPUTED_VALUE"""),43753.0)</f>
        <v>43753</v>
      </c>
      <c r="F2240" s="188">
        <f>IFERROR(__xludf.DUMMYFUNCTION("""COMPUTED_VALUE"""),43813.0)</f>
        <v>43813</v>
      </c>
      <c r="H2240">
        <f>IFERROR(__xludf.DUMMYFUNCTION("""COMPUTED_VALUE"""),624889.0)</f>
        <v>624889</v>
      </c>
      <c r="J2240" s="5">
        <f>IFERROR(__xludf.DUMMYFUNCTION("""COMPUTED_VALUE"""),43816.0)</f>
        <v>43816</v>
      </c>
      <c r="K2240">
        <f>IFERROR(__xludf.DUMMYFUNCTION("""COMPUTED_VALUE"""),60.0)</f>
        <v>60</v>
      </c>
      <c r="L2240">
        <f>IFERROR(__xludf.DUMMYFUNCTION("""COMPUTED_VALUE"""),3.0)</f>
        <v>3</v>
      </c>
      <c r="M2240">
        <f>IFERROR(__xludf.DUMMYFUNCTION("""COMPUTED_VALUE"""),63.0)</f>
        <v>63</v>
      </c>
      <c r="N2240" t="str">
        <f>IFERROR(__xludf.DUMMYFUNCTION("""COMPUTED_VALUE"""),"Model 3 Performance")</f>
        <v>Model 3 Performance</v>
      </c>
      <c r="O2240" t="str">
        <f>IFERROR(__xludf.DUMMYFUNCTION("""COMPUTED_VALUE"""),"Pearl White Multi-Coat")</f>
        <v>Pearl White Multi-Coat</v>
      </c>
      <c r="P2240" t="str">
        <f>IFERROR(__xludf.DUMMYFUNCTION("""COMPUTED_VALUE"""),"20 inch Sport")</f>
        <v>20 inch Sport</v>
      </c>
      <c r="Q2240" t="str">
        <f>IFERROR(__xludf.DUMMYFUNCTION("""COMPUTED_VALUE"""),"White seats")</f>
        <v>White seats</v>
      </c>
      <c r="R2240" t="str">
        <f>IFERROR(__xludf.DUMMYFUNCTION("""COMPUTED_VALUE"""),"Full Self-Driving")</f>
        <v>Full Self-Driving</v>
      </c>
      <c r="X2240" t="str">
        <f>IFERROR(__xludf.DUMMYFUNCTION("""COMPUTED_VALUE"""),"Very Good")</f>
        <v>Very Good</v>
      </c>
      <c r="Y2240" t="str">
        <f>IFERROR(__xludf.DUMMYFUNCTION("""COMPUTED_VALUE"""),"Good")</f>
        <v>Good</v>
      </c>
      <c r="Z2240" t="str">
        <f>IFERROR(__xludf.DUMMYFUNCTION("""COMPUTED_VALUE"""),"Very Good")</f>
        <v>Very Good</v>
      </c>
      <c r="AA2240" t="str">
        <f>IFERROR(__xludf.DUMMYFUNCTION("""COMPUTED_VALUE"""),"Fair")</f>
        <v>Fair</v>
      </c>
      <c r="AB2240" t="str">
        <f>IFERROR(__xludf.DUMMYFUNCTION("""COMPUTED_VALUE"""),"Good")</f>
        <v>Good</v>
      </c>
      <c r="AC2240">
        <f>IFERROR(__xludf.DUMMYFUNCTION("""COMPUTED_VALUE"""),1.0)</f>
        <v>1</v>
      </c>
      <c r="AD2240">
        <f>IFERROR(__xludf.DUMMYFUNCTION("""COMPUTED_VALUE"""),0.0)</f>
        <v>0</v>
      </c>
      <c r="AE2240">
        <f>IFERROR(__xludf.DUMMYFUNCTION("""COMPUTED_VALUE"""),0.0)</f>
        <v>0</v>
      </c>
      <c r="AH2240" s="189">
        <f>IFERROR(__xludf.DUMMYFUNCTION("""COMPUTED_VALUE"""),43832.36458376158)</f>
        <v>43832.36458</v>
      </c>
    </row>
    <row r="2241">
      <c r="A2241" t="str">
        <f>IFERROR(__xludf.DUMMYFUNCTION("""COMPUTED_VALUE"""),"Spamyuk")</f>
        <v>Spamyuk</v>
      </c>
      <c r="B2241" t="str">
        <f>IFERROR(__xludf.DUMMYFUNCTION("""COMPUTED_VALUE"""),"San Jose")</f>
        <v>San Jose</v>
      </c>
      <c r="C2241" t="str">
        <f>IFERROR(__xludf.DUMMYFUNCTION("""COMPUTED_VALUE"""),"CA")</f>
        <v>CA</v>
      </c>
      <c r="D2241" t="str">
        <f>IFERROR(__xludf.DUMMYFUNCTION("""COMPUTED_VALUE"""),"USA")</f>
        <v>USA</v>
      </c>
      <c r="E2241" s="188">
        <f>IFERROR(__xludf.DUMMYFUNCTION("""COMPUTED_VALUE"""),43764.0)</f>
        <v>43764</v>
      </c>
      <c r="F2241" s="188">
        <f>IFERROR(__xludf.DUMMYFUNCTION("""COMPUTED_VALUE"""),43823.0)</f>
        <v>43823</v>
      </c>
      <c r="H2241">
        <f>IFERROR(__xludf.DUMMYFUNCTION("""COMPUTED_VALUE"""),640755.0)</f>
        <v>640755</v>
      </c>
      <c r="J2241" s="5">
        <f>IFERROR(__xludf.DUMMYFUNCTION("""COMPUTED_VALUE"""),43826.0)</f>
        <v>43826</v>
      </c>
      <c r="K2241">
        <f>IFERROR(__xludf.DUMMYFUNCTION("""COMPUTED_VALUE"""),59.0)</f>
        <v>59</v>
      </c>
      <c r="L2241">
        <f>IFERROR(__xludf.DUMMYFUNCTION("""COMPUTED_VALUE"""),3.0)</f>
        <v>3</v>
      </c>
      <c r="M2241">
        <f>IFERROR(__xludf.DUMMYFUNCTION("""COMPUTED_VALUE"""),62.0)</f>
        <v>62</v>
      </c>
      <c r="N2241" t="str">
        <f>IFERROR(__xludf.DUMMYFUNCTION("""COMPUTED_VALUE"""),"Model 3 Performance")</f>
        <v>Model 3 Performance</v>
      </c>
      <c r="O2241" t="str">
        <f>IFERROR(__xludf.DUMMYFUNCTION("""COMPUTED_VALUE"""),"Solid Black")</f>
        <v>Solid Black</v>
      </c>
      <c r="P2241" t="str">
        <f>IFERROR(__xludf.DUMMYFUNCTION("""COMPUTED_VALUE"""),"20 inch Sport")</f>
        <v>20 inch Sport</v>
      </c>
      <c r="Q2241" t="str">
        <f>IFERROR(__xludf.DUMMYFUNCTION("""COMPUTED_VALUE"""),"Black seats")</f>
        <v>Black seats</v>
      </c>
      <c r="R2241" t="str">
        <f>IFERROR(__xludf.DUMMYFUNCTION("""COMPUTED_VALUE"""),"Full Self-Driving")</f>
        <v>Full Self-Driving</v>
      </c>
      <c r="X2241" t="str">
        <f>IFERROR(__xludf.DUMMYFUNCTION("""COMPUTED_VALUE"""),"Very Good")</f>
        <v>Very Good</v>
      </c>
      <c r="Y2241" t="str">
        <f>IFERROR(__xludf.DUMMYFUNCTION("""COMPUTED_VALUE"""),"Very Good")</f>
        <v>Very Good</v>
      </c>
      <c r="Z2241" t="str">
        <f>IFERROR(__xludf.DUMMYFUNCTION("""COMPUTED_VALUE"""),"Very Good")</f>
        <v>Very Good</v>
      </c>
      <c r="AA2241" t="str">
        <f>IFERROR(__xludf.DUMMYFUNCTION("""COMPUTED_VALUE"""),"Good")</f>
        <v>Good</v>
      </c>
      <c r="AB2241" t="str">
        <f>IFERROR(__xludf.DUMMYFUNCTION("""COMPUTED_VALUE"""),"Very Good")</f>
        <v>Very Good</v>
      </c>
      <c r="AH2241" s="189">
        <f>IFERROR(__xludf.DUMMYFUNCTION("""COMPUTED_VALUE"""),43832.58796451389)</f>
        <v>43832.58796</v>
      </c>
    </row>
    <row r="2242">
      <c r="A2242" t="str">
        <f>IFERROR(__xludf.DUMMYFUNCTION("""COMPUTED_VALUE"""),"ixs0792")</f>
        <v>ixs0792</v>
      </c>
      <c r="B2242" t="str">
        <f>IFERROR(__xludf.DUMMYFUNCTION("""COMPUTED_VALUE"""),"Buffalo")</f>
        <v>Buffalo</v>
      </c>
      <c r="C2242" t="str">
        <f>IFERROR(__xludf.DUMMYFUNCTION("""COMPUTED_VALUE"""),"NY")</f>
        <v>NY</v>
      </c>
      <c r="D2242" t="str">
        <f>IFERROR(__xludf.DUMMYFUNCTION("""COMPUTED_VALUE"""),"USA")</f>
        <v>USA</v>
      </c>
      <c r="E2242" s="188">
        <f>IFERROR(__xludf.DUMMYFUNCTION("""COMPUTED_VALUE"""),43807.0)</f>
        <v>43807</v>
      </c>
      <c r="F2242" s="188">
        <f>IFERROR(__xludf.DUMMYFUNCTION("""COMPUTED_VALUE"""),43811.0)</f>
        <v>43811</v>
      </c>
      <c r="H2242">
        <f>IFERROR(__xludf.DUMMYFUNCTION("""COMPUTED_VALUE"""),616865.0)</f>
        <v>616865</v>
      </c>
      <c r="J2242" s="5">
        <f>IFERROR(__xludf.DUMMYFUNCTION("""COMPUTED_VALUE"""),43827.0)</f>
        <v>43827</v>
      </c>
      <c r="K2242">
        <f>IFERROR(__xludf.DUMMYFUNCTION("""COMPUTED_VALUE"""),4.0)</f>
        <v>4</v>
      </c>
      <c r="L2242">
        <f>IFERROR(__xludf.DUMMYFUNCTION("""COMPUTED_VALUE"""),16.0)</f>
        <v>16</v>
      </c>
      <c r="M2242">
        <f>IFERROR(__xludf.DUMMYFUNCTION("""COMPUTED_VALUE"""),20.0)</f>
        <v>20</v>
      </c>
      <c r="N2242" t="str">
        <f>IFERROR(__xludf.DUMMYFUNCTION("""COMPUTED_VALUE"""),"Model 3 LR AWD")</f>
        <v>Model 3 LR AWD</v>
      </c>
      <c r="O2242" t="str">
        <f>IFERROR(__xludf.DUMMYFUNCTION("""COMPUTED_VALUE"""),"Midnight Silver Metallic")</f>
        <v>Midnight Silver Metallic</v>
      </c>
      <c r="P2242" t="str">
        <f>IFERROR(__xludf.DUMMYFUNCTION("""COMPUTED_VALUE"""),"18 inch Aero")</f>
        <v>18 inch Aero</v>
      </c>
      <c r="Q2242" t="str">
        <f>IFERROR(__xludf.DUMMYFUNCTION("""COMPUTED_VALUE"""),"Black seats")</f>
        <v>Black seats</v>
      </c>
      <c r="R2242" t="str">
        <f>IFERROR(__xludf.DUMMYFUNCTION("""COMPUTED_VALUE"""),"Full Self-Driving")</f>
        <v>Full Self-Driving</v>
      </c>
      <c r="X2242" t="str">
        <f>IFERROR(__xludf.DUMMYFUNCTION("""COMPUTED_VALUE"""),"Very Good")</f>
        <v>Very Good</v>
      </c>
      <c r="Y2242" t="str">
        <f>IFERROR(__xludf.DUMMYFUNCTION("""COMPUTED_VALUE"""),"Excellent")</f>
        <v>Excellent</v>
      </c>
      <c r="Z2242" t="str">
        <f>IFERROR(__xludf.DUMMYFUNCTION("""COMPUTED_VALUE"""),"Excellent")</f>
        <v>Excellent</v>
      </c>
      <c r="AA2242" t="str">
        <f>IFERROR(__xludf.DUMMYFUNCTION("""COMPUTED_VALUE"""),"Fair")</f>
        <v>Fair</v>
      </c>
      <c r="AB2242" t="str">
        <f>IFERROR(__xludf.DUMMYFUNCTION("""COMPUTED_VALUE"""),"Good")</f>
        <v>Good</v>
      </c>
      <c r="AH2242" s="189">
        <f>IFERROR(__xludf.DUMMYFUNCTION("""COMPUTED_VALUE"""),43832.78913452546)</f>
        <v>43832.78913</v>
      </c>
    </row>
    <row r="2243">
      <c r="A2243" t="str">
        <f>IFERROR(__xludf.DUMMYFUNCTION("""COMPUTED_VALUE"""),"Clh79")</f>
        <v>Clh79</v>
      </c>
      <c r="B2243" t="str">
        <f>IFERROR(__xludf.DUMMYFUNCTION("""COMPUTED_VALUE"""),"San Dimas")</f>
        <v>San Dimas</v>
      </c>
      <c r="C2243" t="str">
        <f>IFERROR(__xludf.DUMMYFUNCTION("""COMPUTED_VALUE"""),"CA")</f>
        <v>CA</v>
      </c>
      <c r="D2243" t="str">
        <f>IFERROR(__xludf.DUMMYFUNCTION("""COMPUTED_VALUE"""),"USA")</f>
        <v>USA</v>
      </c>
      <c r="E2243" s="188">
        <f>IFERROR(__xludf.DUMMYFUNCTION("""COMPUTED_VALUE"""),43777.0)</f>
        <v>43777</v>
      </c>
      <c r="F2243" s="188">
        <f>IFERROR(__xludf.DUMMYFUNCTION("""COMPUTED_VALUE"""),43823.0)</f>
        <v>43823</v>
      </c>
      <c r="H2243">
        <f>IFERROR(__xludf.DUMMYFUNCTION("""COMPUTED_VALUE"""),651455.0)</f>
        <v>651455</v>
      </c>
      <c r="J2243" s="5">
        <f>IFERROR(__xludf.DUMMYFUNCTION("""COMPUTED_VALUE"""),43825.0)</f>
        <v>43825</v>
      </c>
      <c r="K2243">
        <f>IFERROR(__xludf.DUMMYFUNCTION("""COMPUTED_VALUE"""),46.0)</f>
        <v>46</v>
      </c>
      <c r="L2243">
        <f>IFERROR(__xludf.DUMMYFUNCTION("""COMPUTED_VALUE"""),2.0)</f>
        <v>2</v>
      </c>
      <c r="M2243">
        <f>IFERROR(__xludf.DUMMYFUNCTION("""COMPUTED_VALUE"""),48.0)</f>
        <v>48</v>
      </c>
      <c r="N2243" t="str">
        <f>IFERROR(__xludf.DUMMYFUNCTION("""COMPUTED_VALUE"""),"Model 3 LR AWD")</f>
        <v>Model 3 LR AWD</v>
      </c>
      <c r="O2243" t="str">
        <f>IFERROR(__xludf.DUMMYFUNCTION("""COMPUTED_VALUE"""),"Pearl White Multi-Coat")</f>
        <v>Pearl White Multi-Coat</v>
      </c>
      <c r="P2243" t="str">
        <f>IFERROR(__xludf.DUMMYFUNCTION("""COMPUTED_VALUE"""),"18 inch Aero")</f>
        <v>18 inch Aero</v>
      </c>
      <c r="Q2243" t="str">
        <f>IFERROR(__xludf.DUMMYFUNCTION("""COMPUTED_VALUE"""),"White seats")</f>
        <v>White seats</v>
      </c>
      <c r="R2243" t="str">
        <f>IFERROR(__xludf.DUMMYFUNCTION("""COMPUTED_VALUE"""),"Full Self-Driving")</f>
        <v>Full Self-Driving</v>
      </c>
      <c r="X2243" t="str">
        <f>IFERROR(__xludf.DUMMYFUNCTION("""COMPUTED_VALUE"""),"Good")</f>
        <v>Good</v>
      </c>
      <c r="Y2243" t="str">
        <f>IFERROR(__xludf.DUMMYFUNCTION("""COMPUTED_VALUE"""),"Very Good")</f>
        <v>Very Good</v>
      </c>
      <c r="Z2243" t="str">
        <f>IFERROR(__xludf.DUMMYFUNCTION("""COMPUTED_VALUE"""),"Excellent")</f>
        <v>Excellent</v>
      </c>
      <c r="AA2243" t="str">
        <f>IFERROR(__xludf.DUMMYFUNCTION("""COMPUTED_VALUE"""),"Good")</f>
        <v>Good</v>
      </c>
      <c r="AB2243" t="str">
        <f>IFERROR(__xludf.DUMMYFUNCTION("""COMPUTED_VALUE"""),"Very Good")</f>
        <v>Very Good</v>
      </c>
      <c r="AG2243" t="str">
        <f>IFERROR(__xludf.DUMMYFUNCTION("""COMPUTED_VALUE"""),"Changed config 11/27")</f>
        <v>Changed config 11/27</v>
      </c>
      <c r="AH2243" s="189">
        <f>IFERROR(__xludf.DUMMYFUNCTION("""COMPUTED_VALUE"""),43833.31029864583)</f>
        <v>43833.3103</v>
      </c>
    </row>
    <row r="2244">
      <c r="A2244" t="str">
        <f>IFERROR(__xludf.DUMMYFUNCTION("""COMPUTED_VALUE"""),"JakeMoore")</f>
        <v>JakeMoore</v>
      </c>
      <c r="B2244" t="str">
        <f>IFERROR(__xludf.DUMMYFUNCTION("""COMPUTED_VALUE"""),"Costa Mesa")</f>
        <v>Costa Mesa</v>
      </c>
      <c r="C2244" t="str">
        <f>IFERROR(__xludf.DUMMYFUNCTION("""COMPUTED_VALUE"""),"CA")</f>
        <v>CA</v>
      </c>
      <c r="D2244" t="str">
        <f>IFERROR(__xludf.DUMMYFUNCTION("""COMPUTED_VALUE"""),"USA")</f>
        <v>USA</v>
      </c>
      <c r="E2244" s="188">
        <f>IFERROR(__xludf.DUMMYFUNCTION("""COMPUTED_VALUE"""),43821.0)</f>
        <v>43821</v>
      </c>
      <c r="F2244" s="188">
        <f>IFERROR(__xludf.DUMMYFUNCTION("""COMPUTED_VALUE"""),43826.0)</f>
        <v>43826</v>
      </c>
      <c r="J2244" s="5">
        <f>IFERROR(__xludf.DUMMYFUNCTION("""COMPUTED_VALUE"""),43859.0)</f>
        <v>43859</v>
      </c>
      <c r="K2244">
        <f>IFERROR(__xludf.DUMMYFUNCTION("""COMPUTED_VALUE"""),5.0)</f>
        <v>5</v>
      </c>
      <c r="L2244">
        <f>IFERROR(__xludf.DUMMYFUNCTION("""COMPUTED_VALUE"""),33.0)</f>
        <v>33</v>
      </c>
      <c r="M2244">
        <f>IFERROR(__xludf.DUMMYFUNCTION("""COMPUTED_VALUE"""),38.0)</f>
        <v>38</v>
      </c>
      <c r="N2244" t="str">
        <f>IFERROR(__xludf.DUMMYFUNCTION("""COMPUTED_VALUE"""),"Model 3 SR+")</f>
        <v>Model 3 SR+</v>
      </c>
      <c r="O2244" t="str">
        <f>IFERROR(__xludf.DUMMYFUNCTION("""COMPUTED_VALUE"""),"Red Multi-Coat")</f>
        <v>Red Multi-Coat</v>
      </c>
      <c r="P2244" t="str">
        <f>IFERROR(__xludf.DUMMYFUNCTION("""COMPUTED_VALUE"""),"18 inch Aero")</f>
        <v>18 inch Aero</v>
      </c>
      <c r="Q2244" t="str">
        <f>IFERROR(__xludf.DUMMYFUNCTION("""COMPUTED_VALUE"""),"Black seats")</f>
        <v>Black seats</v>
      </c>
      <c r="R2244" t="str">
        <f>IFERROR(__xludf.DUMMYFUNCTION("""COMPUTED_VALUE"""),"Full Self-Driving")</f>
        <v>Full Self-Driving</v>
      </c>
      <c r="X2244" t="str">
        <f>IFERROR(__xludf.DUMMYFUNCTION("""COMPUTED_VALUE"""),"Excellent")</f>
        <v>Excellent</v>
      </c>
      <c r="Y2244" t="str">
        <f>IFERROR(__xludf.DUMMYFUNCTION("""COMPUTED_VALUE"""),"Very Good")</f>
        <v>Very Good</v>
      </c>
      <c r="Z2244" t="str">
        <f>IFERROR(__xludf.DUMMYFUNCTION("""COMPUTED_VALUE"""),"Good")</f>
        <v>Good</v>
      </c>
      <c r="AA2244" t="str">
        <f>IFERROR(__xludf.DUMMYFUNCTION("""COMPUTED_VALUE"""),"Fair")</f>
        <v>Fair</v>
      </c>
      <c r="AB2244" t="str">
        <f>IFERROR(__xludf.DUMMYFUNCTION("""COMPUTED_VALUE"""),"Excellent")</f>
        <v>Excellent</v>
      </c>
      <c r="AC2244">
        <f>IFERROR(__xludf.DUMMYFUNCTION("""COMPUTED_VALUE"""),0.0)</f>
        <v>0</v>
      </c>
      <c r="AD2244">
        <f>IFERROR(__xludf.DUMMYFUNCTION("""COMPUTED_VALUE"""),0.0)</f>
        <v>0</v>
      </c>
      <c r="AE2244">
        <f>IFERROR(__xludf.DUMMYFUNCTION("""COMPUTED_VALUE"""),0.0)</f>
        <v>0</v>
      </c>
      <c r="AG2244" t="str">
        <f>IFERROR(__xludf.DUMMYFUNCTION("""COMPUTED_VALUE"""),"Got delivery text on 12/24 for delivery on 12/27. Just called DC and they said my date will probably be pushed back. No MVPA/VIN on 12/26.")</f>
        <v>Got delivery text on 12/24 for delivery on 12/27. Just called DC and they said my date will probably be pushed back. No MVPA/VIN on 12/26.</v>
      </c>
      <c r="AH2244" s="189">
        <f>IFERROR(__xludf.DUMMYFUNCTION("""COMPUTED_VALUE"""),43833.47835469907)</f>
        <v>43833.47835</v>
      </c>
    </row>
    <row r="2245">
      <c r="A2245" t="str">
        <f>IFERROR(__xludf.DUMMYFUNCTION("""COMPUTED_VALUE"""),"gblinckmann")</f>
        <v>gblinckmann</v>
      </c>
      <c r="B2245" t="str">
        <f>IFERROR(__xludf.DUMMYFUNCTION("""COMPUTED_VALUE"""),"Schenectady")</f>
        <v>Schenectady</v>
      </c>
      <c r="C2245" t="str">
        <f>IFERROR(__xludf.DUMMYFUNCTION("""COMPUTED_VALUE"""),"NY")</f>
        <v>NY</v>
      </c>
      <c r="D2245" t="str">
        <f>IFERROR(__xludf.DUMMYFUNCTION("""COMPUTED_VALUE"""),"USA")</f>
        <v>USA</v>
      </c>
      <c r="E2245" s="188">
        <f>IFERROR(__xludf.DUMMYFUNCTION("""COMPUTED_VALUE"""),43798.0)</f>
        <v>43798</v>
      </c>
      <c r="F2245" s="188">
        <f>IFERROR(__xludf.DUMMYFUNCTION("""COMPUTED_VALUE"""),43811.0)</f>
        <v>43811</v>
      </c>
      <c r="H2245">
        <f>IFERROR(__xludf.DUMMYFUNCTION("""COMPUTED_VALUE"""),617555.0)</f>
        <v>617555</v>
      </c>
      <c r="I2245" t="str">
        <f>IFERROR(__xludf.DUMMYFUNCTION("""COMPUTED_VALUE"""),"12/19")</f>
        <v>12/19</v>
      </c>
      <c r="J2245" s="5">
        <f>IFERROR(__xludf.DUMMYFUNCTION("""COMPUTED_VALUE"""),44187.0)</f>
        <v>44187</v>
      </c>
      <c r="K2245">
        <f>IFERROR(__xludf.DUMMYFUNCTION("""COMPUTED_VALUE"""),13.0)</f>
        <v>13</v>
      </c>
      <c r="L2245">
        <f>IFERROR(__xludf.DUMMYFUNCTION("""COMPUTED_VALUE"""),376.0)</f>
        <v>376</v>
      </c>
      <c r="M2245">
        <f>IFERROR(__xludf.DUMMYFUNCTION("""COMPUTED_VALUE"""),389.0)</f>
        <v>389</v>
      </c>
      <c r="N2245" t="str">
        <f>IFERROR(__xludf.DUMMYFUNCTION("""COMPUTED_VALUE"""),"Model 3 LR AWD")</f>
        <v>Model 3 LR AWD</v>
      </c>
      <c r="O2245" t="str">
        <f>IFERROR(__xludf.DUMMYFUNCTION("""COMPUTED_VALUE"""),"Deep Blue Metallic")</f>
        <v>Deep Blue Metallic</v>
      </c>
      <c r="P2245" t="str">
        <f>IFERROR(__xludf.DUMMYFUNCTION("""COMPUTED_VALUE"""),"18 inch Aero")</f>
        <v>18 inch Aero</v>
      </c>
      <c r="Q2245" t="str">
        <f>IFERROR(__xludf.DUMMYFUNCTION("""COMPUTED_VALUE"""),"Black seats")</f>
        <v>Black seats</v>
      </c>
      <c r="R2245" t="str">
        <f>IFERROR(__xludf.DUMMYFUNCTION("""COMPUTED_VALUE"""),"Autopilot")</f>
        <v>Autopilot</v>
      </c>
      <c r="X2245" t="str">
        <f>IFERROR(__xludf.DUMMYFUNCTION("""COMPUTED_VALUE"""),"Fair")</f>
        <v>Fair</v>
      </c>
      <c r="Y2245" t="str">
        <f>IFERROR(__xludf.DUMMYFUNCTION("""COMPUTED_VALUE"""),"Excellent")</f>
        <v>Excellent</v>
      </c>
      <c r="Z2245" t="str">
        <f>IFERROR(__xludf.DUMMYFUNCTION("""COMPUTED_VALUE"""),"Excellent")</f>
        <v>Excellent</v>
      </c>
      <c r="AA2245" t="str">
        <f>IFERROR(__xludf.DUMMYFUNCTION("""COMPUTED_VALUE"""),"Poor")</f>
        <v>Poor</v>
      </c>
      <c r="AB2245" t="str">
        <f>IFERROR(__xludf.DUMMYFUNCTION("""COMPUTED_VALUE"""),"Poor")</f>
        <v>Poor</v>
      </c>
      <c r="AH2245" s="189">
        <f>IFERROR(__xludf.DUMMYFUNCTION("""COMPUTED_VALUE"""),43833.56612880787)</f>
        <v>43833.56613</v>
      </c>
    </row>
    <row r="2246">
      <c r="A2246" t="str">
        <f>IFERROR(__xludf.DUMMYFUNCTION("""COMPUTED_VALUE"""),"cx")</f>
        <v>cx</v>
      </c>
      <c r="B2246" t="str">
        <f>IFERROR(__xludf.DUMMYFUNCTION("""COMPUTED_VALUE"""),"Vancouver")</f>
        <v>Vancouver</v>
      </c>
      <c r="C2246" t="str">
        <f>IFERROR(__xludf.DUMMYFUNCTION("""COMPUTED_VALUE"""),"BC")</f>
        <v>BC</v>
      </c>
      <c r="D2246" t="str">
        <f>IFERROR(__xludf.DUMMYFUNCTION("""COMPUTED_VALUE"""),"Canada")</f>
        <v>Canada</v>
      </c>
      <c r="E2246" s="188">
        <f>IFERROR(__xludf.DUMMYFUNCTION("""COMPUTED_VALUE"""),43803.0)</f>
        <v>43803</v>
      </c>
      <c r="F2246" s="188">
        <f>IFERROR(__xludf.DUMMYFUNCTION("""COMPUTED_VALUE"""),43820.0)</f>
        <v>43820</v>
      </c>
      <c r="H2246">
        <f>IFERROR(__xludf.DUMMYFUNCTION("""COMPUTED_VALUE"""),604055.0)</f>
        <v>604055</v>
      </c>
      <c r="J2246" s="5">
        <f>IFERROR(__xludf.DUMMYFUNCTION("""COMPUTED_VALUE"""),43826.0)</f>
        <v>43826</v>
      </c>
      <c r="K2246">
        <f>IFERROR(__xludf.DUMMYFUNCTION("""COMPUTED_VALUE"""),17.0)</f>
        <v>17</v>
      </c>
      <c r="L2246">
        <f>IFERROR(__xludf.DUMMYFUNCTION("""COMPUTED_VALUE"""),6.0)</f>
        <v>6</v>
      </c>
      <c r="M2246">
        <f>IFERROR(__xludf.DUMMYFUNCTION("""COMPUTED_VALUE"""),23.0)</f>
        <v>23</v>
      </c>
      <c r="N2246" t="str">
        <f>IFERROR(__xludf.DUMMYFUNCTION("""COMPUTED_VALUE"""),"Model 3 SR+")</f>
        <v>Model 3 SR+</v>
      </c>
      <c r="O2246" t="str">
        <f>IFERROR(__xludf.DUMMYFUNCTION("""COMPUTED_VALUE"""),"Pearl White Multi-Coat")</f>
        <v>Pearl White Multi-Coat</v>
      </c>
      <c r="P2246" t="str">
        <f>IFERROR(__xludf.DUMMYFUNCTION("""COMPUTED_VALUE"""),"18 inch Aero")</f>
        <v>18 inch Aero</v>
      </c>
      <c r="Q2246" t="str">
        <f>IFERROR(__xludf.DUMMYFUNCTION("""COMPUTED_VALUE"""),"White seats")</f>
        <v>White seats</v>
      </c>
      <c r="R2246" t="str">
        <f>IFERROR(__xludf.DUMMYFUNCTION("""COMPUTED_VALUE"""),"Autopilot")</f>
        <v>Autopilot</v>
      </c>
      <c r="X2246" t="str">
        <f>IFERROR(__xludf.DUMMYFUNCTION("""COMPUTED_VALUE"""),"Excellent")</f>
        <v>Excellent</v>
      </c>
      <c r="Y2246" t="str">
        <f>IFERROR(__xludf.DUMMYFUNCTION("""COMPUTED_VALUE"""),"Excellent")</f>
        <v>Excellent</v>
      </c>
      <c r="Z2246" t="str">
        <f>IFERROR(__xludf.DUMMYFUNCTION("""COMPUTED_VALUE"""),"Excellent")</f>
        <v>Excellent</v>
      </c>
      <c r="AA2246" t="str">
        <f>IFERROR(__xludf.DUMMYFUNCTION("""COMPUTED_VALUE"""),"Excellent")</f>
        <v>Excellent</v>
      </c>
      <c r="AB2246" t="str">
        <f>IFERROR(__xludf.DUMMYFUNCTION("""COMPUTED_VALUE"""),"Excellent")</f>
        <v>Excellent</v>
      </c>
      <c r="AG2246" t="str">
        <f>IFERROR(__xludf.DUMMYFUNCTION("""COMPUTED_VALUE"""),"vin found in source")</f>
        <v>vin found in source</v>
      </c>
      <c r="AH2246" s="189">
        <f>IFERROR(__xludf.DUMMYFUNCTION("""COMPUTED_VALUE"""),43833.591948622685)</f>
        <v>43833.59195</v>
      </c>
    </row>
    <row r="2247">
      <c r="A2247" t="str">
        <f>IFERROR(__xludf.DUMMYFUNCTION("""COMPUTED_VALUE"""),"ash1057")</f>
        <v>ash1057</v>
      </c>
      <c r="B2247" t="str">
        <f>IFERROR(__xludf.DUMMYFUNCTION("""COMPUTED_VALUE"""),"Anaheim")</f>
        <v>Anaheim</v>
      </c>
      <c r="C2247" t="str">
        <f>IFERROR(__xludf.DUMMYFUNCTION("""COMPUTED_VALUE"""),"CA")</f>
        <v>CA</v>
      </c>
      <c r="D2247" t="str">
        <f>IFERROR(__xludf.DUMMYFUNCTION("""COMPUTED_VALUE"""),"USA")</f>
        <v>USA</v>
      </c>
      <c r="E2247" s="188">
        <f>IFERROR(__xludf.DUMMYFUNCTION("""COMPUTED_VALUE"""),43792.0)</f>
        <v>43792</v>
      </c>
      <c r="F2247" s="188">
        <f>IFERROR(__xludf.DUMMYFUNCTION("""COMPUTED_VALUE"""),43826.0)</f>
        <v>43826</v>
      </c>
      <c r="H2247">
        <f>IFERROR(__xludf.DUMMYFUNCTION("""COMPUTED_VALUE"""),650155.0)</f>
        <v>650155</v>
      </c>
      <c r="I2247" t="str">
        <f>IFERROR(__xludf.DUMMYFUNCTION("""COMPUTED_VALUE"""),"12/19")</f>
        <v>12/19</v>
      </c>
      <c r="J2247" s="5">
        <f>IFERROR(__xludf.DUMMYFUNCTION("""COMPUTED_VALUE"""),43828.0)</f>
        <v>43828</v>
      </c>
      <c r="K2247">
        <f>IFERROR(__xludf.DUMMYFUNCTION("""COMPUTED_VALUE"""),34.0)</f>
        <v>34</v>
      </c>
      <c r="L2247">
        <f>IFERROR(__xludf.DUMMYFUNCTION("""COMPUTED_VALUE"""),2.0)</f>
        <v>2</v>
      </c>
      <c r="M2247">
        <f>IFERROR(__xludf.DUMMYFUNCTION("""COMPUTED_VALUE"""),36.0)</f>
        <v>36</v>
      </c>
      <c r="N2247" t="str">
        <f>IFERROR(__xludf.DUMMYFUNCTION("""COMPUTED_VALUE"""),"Model 3 LR AWD")</f>
        <v>Model 3 LR AWD</v>
      </c>
      <c r="O2247" t="str">
        <f>IFERROR(__xludf.DUMMYFUNCTION("""COMPUTED_VALUE"""),"Pearl White Multi-Coat")</f>
        <v>Pearl White Multi-Coat</v>
      </c>
      <c r="P2247" t="str">
        <f>IFERROR(__xludf.DUMMYFUNCTION("""COMPUTED_VALUE"""),"18 inch Aero")</f>
        <v>18 inch Aero</v>
      </c>
      <c r="Q2247" t="str">
        <f>IFERROR(__xludf.DUMMYFUNCTION("""COMPUTED_VALUE"""),"Black seats")</f>
        <v>Black seats</v>
      </c>
      <c r="R2247" t="str">
        <f>IFERROR(__xludf.DUMMYFUNCTION("""COMPUTED_VALUE"""),"Autopilot")</f>
        <v>Autopilot</v>
      </c>
      <c r="X2247" t="str">
        <f>IFERROR(__xludf.DUMMYFUNCTION("""COMPUTED_VALUE"""),"Very Good")</f>
        <v>Very Good</v>
      </c>
      <c r="Y2247" t="str">
        <f>IFERROR(__xludf.DUMMYFUNCTION("""COMPUTED_VALUE"""),"Very Good")</f>
        <v>Very Good</v>
      </c>
      <c r="Z2247" t="str">
        <f>IFERROR(__xludf.DUMMYFUNCTION("""COMPUTED_VALUE"""),"Very Good")</f>
        <v>Very Good</v>
      </c>
      <c r="AA2247" t="str">
        <f>IFERROR(__xludf.DUMMYFUNCTION("""COMPUTED_VALUE"""),"Fair")</f>
        <v>Fair</v>
      </c>
      <c r="AB2247" t="str">
        <f>IFERROR(__xludf.DUMMYFUNCTION("""COMPUTED_VALUE"""),"Good")</f>
        <v>Good</v>
      </c>
      <c r="AH2247" s="189">
        <f>IFERROR(__xludf.DUMMYFUNCTION("""COMPUTED_VALUE"""),43833.62096539352)</f>
        <v>43833.62097</v>
      </c>
    </row>
    <row r="2248">
      <c r="A2248" t="str">
        <f>IFERROR(__xludf.DUMMYFUNCTION("""COMPUTED_VALUE"""),"spazmonkey")</f>
        <v>spazmonkey</v>
      </c>
      <c r="B2248" t="str">
        <f>IFERROR(__xludf.DUMMYFUNCTION("""COMPUTED_VALUE"""),"Los Angeles")</f>
        <v>Los Angeles</v>
      </c>
      <c r="C2248" t="str">
        <f>IFERROR(__xludf.DUMMYFUNCTION("""COMPUTED_VALUE"""),"CA")</f>
        <v>CA</v>
      </c>
      <c r="D2248" t="str">
        <f>IFERROR(__xludf.DUMMYFUNCTION("""COMPUTED_VALUE"""),"USA")</f>
        <v>USA</v>
      </c>
      <c r="E2248" s="188">
        <f>IFERROR(__xludf.DUMMYFUNCTION("""COMPUTED_VALUE"""),43750.0)</f>
        <v>43750</v>
      </c>
      <c r="F2248" s="188">
        <f>IFERROR(__xludf.DUMMYFUNCTION("""COMPUTED_VALUE"""),43812.0)</f>
        <v>43812</v>
      </c>
      <c r="H2248">
        <f>IFERROR(__xludf.DUMMYFUNCTION("""COMPUTED_VALUE"""),618855.0)</f>
        <v>618855</v>
      </c>
      <c r="I2248" t="str">
        <f>IFERROR(__xludf.DUMMYFUNCTION("""COMPUTED_VALUE"""),"12/19")</f>
        <v>12/19</v>
      </c>
      <c r="J2248" s="5">
        <f>IFERROR(__xludf.DUMMYFUNCTION("""COMPUTED_VALUE"""),43814.0)</f>
        <v>43814</v>
      </c>
      <c r="K2248">
        <f>IFERROR(__xludf.DUMMYFUNCTION("""COMPUTED_VALUE"""),62.0)</f>
        <v>62</v>
      </c>
      <c r="L2248">
        <f>IFERROR(__xludf.DUMMYFUNCTION("""COMPUTED_VALUE"""),2.0)</f>
        <v>2</v>
      </c>
      <c r="M2248">
        <f>IFERROR(__xludf.DUMMYFUNCTION("""COMPUTED_VALUE"""),64.0)</f>
        <v>64</v>
      </c>
      <c r="N2248" t="str">
        <f>IFERROR(__xludf.DUMMYFUNCTION("""COMPUTED_VALUE"""),"Model 3 LR AWD")</f>
        <v>Model 3 LR AWD</v>
      </c>
      <c r="O2248" t="str">
        <f>IFERROR(__xludf.DUMMYFUNCTION("""COMPUTED_VALUE"""),"Pearl White Multi-Coat")</f>
        <v>Pearl White Multi-Coat</v>
      </c>
      <c r="P2248" t="str">
        <f>IFERROR(__xludf.DUMMYFUNCTION("""COMPUTED_VALUE"""),"18 inch Aero")</f>
        <v>18 inch Aero</v>
      </c>
      <c r="Q2248" t="str">
        <f>IFERROR(__xludf.DUMMYFUNCTION("""COMPUTED_VALUE"""),"Black seats")</f>
        <v>Black seats</v>
      </c>
      <c r="R2248" t="str">
        <f>IFERROR(__xludf.DUMMYFUNCTION("""COMPUTED_VALUE"""),"Full Self-Driving")</f>
        <v>Full Self-Driving</v>
      </c>
      <c r="X2248" t="str">
        <f>IFERROR(__xludf.DUMMYFUNCTION("""COMPUTED_VALUE"""),"Good")</f>
        <v>Good</v>
      </c>
      <c r="Y2248" t="str">
        <f>IFERROR(__xludf.DUMMYFUNCTION("""COMPUTED_VALUE"""),"Good")</f>
        <v>Good</v>
      </c>
      <c r="Z2248" t="str">
        <f>IFERROR(__xludf.DUMMYFUNCTION("""COMPUTED_VALUE"""),"Good")</f>
        <v>Good</v>
      </c>
      <c r="AA2248" t="str">
        <f>IFERROR(__xludf.DUMMYFUNCTION("""COMPUTED_VALUE"""),"Poor")</f>
        <v>Poor</v>
      </c>
      <c r="AB2248" t="str">
        <f>IFERROR(__xludf.DUMMYFUNCTION("""COMPUTED_VALUE"""),"Very Good")</f>
        <v>Very Good</v>
      </c>
      <c r="AG2248" t="str">
        <f>IFERROR(__xludf.DUMMYFUNCTION("""COMPUTED_VALUE"""),"Plastic film stuck under some trim and gaskets not fully seated in numerous locations.")</f>
        <v>Plastic film stuck under some trim and gaskets not fully seated in numerous locations.</v>
      </c>
      <c r="AH2248" s="189">
        <f>IFERROR(__xludf.DUMMYFUNCTION("""COMPUTED_VALUE"""),43834.684794479166)</f>
        <v>43834.68479</v>
      </c>
    </row>
    <row r="2249">
      <c r="A2249" t="str">
        <f>IFERROR(__xludf.DUMMYFUNCTION("""COMPUTED_VALUE"""),"MrMustard")</f>
        <v>MrMustard</v>
      </c>
      <c r="C2249" t="str">
        <f>IFERROR(__xludf.DUMMYFUNCTION("""COMPUTED_VALUE"""),"TN")</f>
        <v>TN</v>
      </c>
      <c r="D2249" t="str">
        <f>IFERROR(__xludf.DUMMYFUNCTION("""COMPUTED_VALUE"""),"USA")</f>
        <v>USA</v>
      </c>
      <c r="E2249" s="188">
        <f>IFERROR(__xludf.DUMMYFUNCTION("""COMPUTED_VALUE"""),43750.0)</f>
        <v>43750</v>
      </c>
      <c r="F2249" s="188">
        <f>IFERROR(__xludf.DUMMYFUNCTION("""COMPUTED_VALUE"""),43767.0)</f>
        <v>43767</v>
      </c>
      <c r="H2249">
        <f>IFERROR(__xludf.DUMMYFUNCTION("""COMPUTED_VALUE"""),476255.0)</f>
        <v>476255</v>
      </c>
      <c r="I2249" t="str">
        <f>IFERROR(__xludf.DUMMYFUNCTION("""COMPUTED_VALUE"""),"11/19")</f>
        <v>11/19</v>
      </c>
      <c r="J2249" s="5">
        <f>IFERROR(__xludf.DUMMYFUNCTION("""COMPUTED_VALUE"""),43789.0)</f>
        <v>43789</v>
      </c>
      <c r="K2249">
        <f>IFERROR(__xludf.DUMMYFUNCTION("""COMPUTED_VALUE"""),17.0)</f>
        <v>17</v>
      </c>
      <c r="L2249">
        <f>IFERROR(__xludf.DUMMYFUNCTION("""COMPUTED_VALUE"""),22.0)</f>
        <v>22</v>
      </c>
      <c r="M2249">
        <f>IFERROR(__xludf.DUMMYFUNCTION("""COMPUTED_VALUE"""),39.0)</f>
        <v>39</v>
      </c>
      <c r="N2249" t="str">
        <f>IFERROR(__xludf.DUMMYFUNCTION("""COMPUTED_VALUE"""),"Model 3 SR+")</f>
        <v>Model 3 SR+</v>
      </c>
      <c r="O2249" t="str">
        <f>IFERROR(__xludf.DUMMYFUNCTION("""COMPUTED_VALUE"""),"Deep Blue Metallic")</f>
        <v>Deep Blue Metallic</v>
      </c>
      <c r="P2249" t="str">
        <f>IFERROR(__xludf.DUMMYFUNCTION("""COMPUTED_VALUE"""),"18 inch Aero")</f>
        <v>18 inch Aero</v>
      </c>
      <c r="Q2249" t="str">
        <f>IFERROR(__xludf.DUMMYFUNCTION("""COMPUTED_VALUE"""),"Black seats")</f>
        <v>Black seats</v>
      </c>
      <c r="R2249" t="str">
        <f>IFERROR(__xludf.DUMMYFUNCTION("""COMPUTED_VALUE"""),"Full Self-Driving")</f>
        <v>Full Self-Driving</v>
      </c>
      <c r="X2249" t="str">
        <f>IFERROR(__xludf.DUMMYFUNCTION("""COMPUTED_VALUE"""),"Good")</f>
        <v>Good</v>
      </c>
      <c r="Y2249" t="str">
        <f>IFERROR(__xludf.DUMMYFUNCTION("""COMPUTED_VALUE"""),"Excellent")</f>
        <v>Excellent</v>
      </c>
      <c r="Z2249" t="str">
        <f>IFERROR(__xludf.DUMMYFUNCTION("""COMPUTED_VALUE"""),"Excellent")</f>
        <v>Excellent</v>
      </c>
      <c r="AA2249" t="str">
        <f>IFERROR(__xludf.DUMMYFUNCTION("""COMPUTED_VALUE"""),"Poor")</f>
        <v>Poor</v>
      </c>
      <c r="AB2249" t="str">
        <f>IFERROR(__xludf.DUMMYFUNCTION("""COMPUTED_VALUE"""),"Fair")</f>
        <v>Fair</v>
      </c>
      <c r="AC2249">
        <f>IFERROR(__xludf.DUMMYFUNCTION("""COMPUTED_VALUE"""),1.0)</f>
        <v>1</v>
      </c>
      <c r="AD2249">
        <f>IFERROR(__xludf.DUMMYFUNCTION("""COMPUTED_VALUE"""),1.0)</f>
        <v>1</v>
      </c>
      <c r="AE2249">
        <f>IFERROR(__xludf.DUMMYFUNCTION("""COMPUTED_VALUE"""),0.0)</f>
        <v>0</v>
      </c>
      <c r="AG2249" t="str">
        <f>IFERROR(__xludf.DUMMYFUNCTION("""COMPUTED_VALUE"""),"Delivery date got bumped at the last minute, was original Nov. 4th, then Nov. 8th and now we're looking at Nov. 24th... finally picked it up on Nov. 20th")</f>
        <v>Delivery date got bumped at the last minute, was original Nov. 4th, then Nov. 8th and now we're looking at Nov. 24th... finally picked it up on Nov. 20th</v>
      </c>
      <c r="AH2249" s="189">
        <f>IFERROR(__xludf.DUMMYFUNCTION("""COMPUTED_VALUE"""),43834.85052868056)</f>
        <v>43834.85053</v>
      </c>
    </row>
    <row r="2250">
      <c r="A2250" t="str">
        <f>IFERROR(__xludf.DUMMYFUNCTION("""COMPUTED_VALUE"""),"Venom21")</f>
        <v>Venom21</v>
      </c>
      <c r="B2250" t="str">
        <f>IFERROR(__xludf.DUMMYFUNCTION("""COMPUTED_VALUE"""),"Calgary")</f>
        <v>Calgary</v>
      </c>
      <c r="C2250" t="str">
        <f>IFERROR(__xludf.DUMMYFUNCTION("""COMPUTED_VALUE"""),"AB")</f>
        <v>AB</v>
      </c>
      <c r="D2250" t="str">
        <f>IFERROR(__xludf.DUMMYFUNCTION("""COMPUTED_VALUE"""),"Canada")</f>
        <v>Canada</v>
      </c>
      <c r="E2250" s="188">
        <f>IFERROR(__xludf.DUMMYFUNCTION("""COMPUTED_VALUE"""),43807.0)</f>
        <v>43807</v>
      </c>
      <c r="H2250" s="4">
        <f>IFERROR(__xludf.DUMMYFUNCTION("""COMPUTED_VALUE"""),626254.0)</f>
        <v>626254</v>
      </c>
      <c r="J2250" s="5">
        <f>IFERROR(__xludf.DUMMYFUNCTION("""COMPUTED_VALUE"""),43840.0)</f>
        <v>43840</v>
      </c>
      <c r="M2250">
        <f>IFERROR(__xludf.DUMMYFUNCTION("""COMPUTED_VALUE"""),33.0)</f>
        <v>33</v>
      </c>
      <c r="N2250" t="str">
        <f>IFERROR(__xludf.DUMMYFUNCTION("""COMPUTED_VALUE"""),"Model 3 LR AWD")</f>
        <v>Model 3 LR AWD</v>
      </c>
      <c r="O2250" t="str">
        <f>IFERROR(__xludf.DUMMYFUNCTION("""COMPUTED_VALUE"""),"Solid Black")</f>
        <v>Solid Black</v>
      </c>
      <c r="P2250" t="str">
        <f>IFERROR(__xludf.DUMMYFUNCTION("""COMPUTED_VALUE"""),"18 inch Aero")</f>
        <v>18 inch Aero</v>
      </c>
      <c r="Q2250" t="str">
        <f>IFERROR(__xludf.DUMMYFUNCTION("""COMPUTED_VALUE"""),"Black seats")</f>
        <v>Black seats</v>
      </c>
      <c r="R2250" t="str">
        <f>IFERROR(__xludf.DUMMYFUNCTION("""COMPUTED_VALUE"""),"Full Self-Driving")</f>
        <v>Full Self-Driving</v>
      </c>
      <c r="AB2250" t="str">
        <f>IFERROR(__xludf.DUMMYFUNCTION("""COMPUTED_VALUE"""),"Fair")</f>
        <v>Fair</v>
      </c>
      <c r="AH2250" s="189">
        <f>IFERROR(__xludf.DUMMYFUNCTION("""COMPUTED_VALUE"""),43835.36942346065)</f>
        <v>43835.36942</v>
      </c>
    </row>
    <row r="2251">
      <c r="A2251" t="str">
        <f>IFERROR(__xludf.DUMMYFUNCTION("""COMPUTED_VALUE"""),"Eve")</f>
        <v>Eve</v>
      </c>
      <c r="B2251" t="str">
        <f>IFERROR(__xludf.DUMMYFUNCTION("""COMPUTED_VALUE"""),"Tallahassee, FL")</f>
        <v>Tallahassee, FL</v>
      </c>
      <c r="C2251" t="str">
        <f>IFERROR(__xludf.DUMMYFUNCTION("""COMPUTED_VALUE"""),"FL")</f>
        <v>FL</v>
      </c>
      <c r="D2251" t="str">
        <f>IFERROR(__xludf.DUMMYFUNCTION("""COMPUTED_VALUE"""),"USA")</f>
        <v>USA</v>
      </c>
      <c r="E2251" s="188">
        <f>IFERROR(__xludf.DUMMYFUNCTION("""COMPUTED_VALUE"""),43780.0)</f>
        <v>43780</v>
      </c>
      <c r="F2251" s="188">
        <f>IFERROR(__xludf.DUMMYFUNCTION("""COMPUTED_VALUE"""),43805.0)</f>
        <v>43805</v>
      </c>
      <c r="H2251">
        <f>IFERROR(__xludf.DUMMYFUNCTION("""COMPUTED_VALUE"""),607055.0)</f>
        <v>607055</v>
      </c>
      <c r="I2251" t="str">
        <f>IFERROR(__xludf.DUMMYFUNCTION("""COMPUTED_VALUE"""),"12/19")</f>
        <v>12/19</v>
      </c>
      <c r="J2251" s="5">
        <f>IFERROR(__xludf.DUMMYFUNCTION("""COMPUTED_VALUE"""),43813.0)</f>
        <v>43813</v>
      </c>
      <c r="K2251">
        <f>IFERROR(__xludf.DUMMYFUNCTION("""COMPUTED_VALUE"""),25.0)</f>
        <v>25</v>
      </c>
      <c r="L2251">
        <f>IFERROR(__xludf.DUMMYFUNCTION("""COMPUTED_VALUE"""),8.0)</f>
        <v>8</v>
      </c>
      <c r="M2251">
        <f>IFERROR(__xludf.DUMMYFUNCTION("""COMPUTED_VALUE"""),33.0)</f>
        <v>33</v>
      </c>
      <c r="N2251" t="str">
        <f>IFERROR(__xludf.DUMMYFUNCTION("""COMPUTED_VALUE"""),"Model 3 LR AWD")</f>
        <v>Model 3 LR AWD</v>
      </c>
      <c r="O2251" t="str">
        <f>IFERROR(__xludf.DUMMYFUNCTION("""COMPUTED_VALUE"""),"Pearl White Multi-Coat")</f>
        <v>Pearl White Multi-Coat</v>
      </c>
      <c r="P2251" t="str">
        <f>IFERROR(__xludf.DUMMYFUNCTION("""COMPUTED_VALUE"""),"18 inch Aero")</f>
        <v>18 inch Aero</v>
      </c>
      <c r="Q2251" t="str">
        <f>IFERROR(__xludf.DUMMYFUNCTION("""COMPUTED_VALUE"""),"White seats")</f>
        <v>White seats</v>
      </c>
      <c r="R2251" t="str">
        <f>IFERROR(__xludf.DUMMYFUNCTION("""COMPUTED_VALUE"""),"Full Self-Driving")</f>
        <v>Full Self-Driving</v>
      </c>
      <c r="X2251" t="str">
        <f>IFERROR(__xludf.DUMMYFUNCTION("""COMPUTED_VALUE"""),"Excellent")</f>
        <v>Excellent</v>
      </c>
      <c r="Y2251" t="str">
        <f>IFERROR(__xludf.DUMMYFUNCTION("""COMPUTED_VALUE"""),"Very Good")</f>
        <v>Very Good</v>
      </c>
      <c r="Z2251" t="str">
        <f>IFERROR(__xludf.DUMMYFUNCTION("""COMPUTED_VALUE"""),"Excellent")</f>
        <v>Excellent</v>
      </c>
      <c r="AA2251" t="str">
        <f>IFERROR(__xludf.DUMMYFUNCTION("""COMPUTED_VALUE"""),"Good")</f>
        <v>Good</v>
      </c>
      <c r="AB2251" t="str">
        <f>IFERROR(__xludf.DUMMYFUNCTION("""COMPUTED_VALUE"""),"Excellent")</f>
        <v>Excellent</v>
      </c>
      <c r="AC2251">
        <f>IFERROR(__xludf.DUMMYFUNCTION("""COMPUTED_VALUE"""),4.0)</f>
        <v>4</v>
      </c>
      <c r="AD2251">
        <f>IFERROR(__xludf.DUMMYFUNCTION("""COMPUTED_VALUE"""),1.0)</f>
        <v>1</v>
      </c>
      <c r="AE2251">
        <f>IFERROR(__xludf.DUMMYFUNCTION("""COMPUTED_VALUE"""),2.0)</f>
        <v>2</v>
      </c>
      <c r="AG2251" t="str">
        <f>IFERROR(__xludf.DUMMYFUNCTION("""COMPUTED_VALUE"""),"Had to have the back glass replaced due to stress crack")</f>
        <v>Had to have the back glass replaced due to stress crack</v>
      </c>
      <c r="AH2251" s="189">
        <f>IFERROR(__xludf.DUMMYFUNCTION("""COMPUTED_VALUE"""),43836.21735358796)</f>
        <v>43836.21735</v>
      </c>
    </row>
    <row r="2252">
      <c r="A2252" t="str">
        <f>IFERROR(__xludf.DUMMYFUNCTION("""COMPUTED_VALUE"""),"nuggettttzzzzz")</f>
        <v>nuggettttzzzzz</v>
      </c>
      <c r="B2252" t="str">
        <f>IFERROR(__xludf.DUMMYFUNCTION("""COMPUTED_VALUE"""),"Los Angeles")</f>
        <v>Los Angeles</v>
      </c>
      <c r="C2252" t="str">
        <f>IFERROR(__xludf.DUMMYFUNCTION("""COMPUTED_VALUE"""),"CA")</f>
        <v>CA</v>
      </c>
      <c r="D2252" t="str">
        <f>IFERROR(__xludf.DUMMYFUNCTION("""COMPUTED_VALUE"""),"USA")</f>
        <v>USA</v>
      </c>
      <c r="E2252" s="188">
        <f>IFERROR(__xludf.DUMMYFUNCTION("""COMPUTED_VALUE"""),43751.0)</f>
        <v>43751</v>
      </c>
      <c r="F2252" s="188">
        <f>IFERROR(__xludf.DUMMYFUNCTION("""COMPUTED_VALUE"""),43825.0)</f>
        <v>43825</v>
      </c>
      <c r="H2252">
        <f>IFERROR(__xludf.DUMMYFUNCTION("""COMPUTED_VALUE"""),651455.0)</f>
        <v>651455</v>
      </c>
      <c r="I2252" t="str">
        <f>IFERROR(__xludf.DUMMYFUNCTION("""COMPUTED_VALUE"""),"12/19")</f>
        <v>12/19</v>
      </c>
      <c r="J2252" s="5">
        <f>IFERROR(__xludf.DUMMYFUNCTION("""COMPUTED_VALUE"""),43835.0)</f>
        <v>43835</v>
      </c>
      <c r="K2252">
        <f>IFERROR(__xludf.DUMMYFUNCTION("""COMPUTED_VALUE"""),74.0)</f>
        <v>74</v>
      </c>
      <c r="L2252">
        <f>IFERROR(__xludf.DUMMYFUNCTION("""COMPUTED_VALUE"""),10.0)</f>
        <v>10</v>
      </c>
      <c r="M2252">
        <f>IFERROR(__xludf.DUMMYFUNCTION("""COMPUTED_VALUE"""),84.0)</f>
        <v>84</v>
      </c>
      <c r="N2252" t="str">
        <f>IFERROR(__xludf.DUMMYFUNCTION("""COMPUTED_VALUE"""),"Model 3 LR AWD")</f>
        <v>Model 3 LR AWD</v>
      </c>
      <c r="O2252" t="str">
        <f>IFERROR(__xludf.DUMMYFUNCTION("""COMPUTED_VALUE"""),"Red Multi-Coat")</f>
        <v>Red Multi-Coat</v>
      </c>
      <c r="P2252" t="str">
        <f>IFERROR(__xludf.DUMMYFUNCTION("""COMPUTED_VALUE"""),"18 inch Aero")</f>
        <v>18 inch Aero</v>
      </c>
      <c r="Q2252" t="str">
        <f>IFERROR(__xludf.DUMMYFUNCTION("""COMPUTED_VALUE"""),"White seats")</f>
        <v>White seats</v>
      </c>
      <c r="R2252" t="str">
        <f>IFERROR(__xludf.DUMMYFUNCTION("""COMPUTED_VALUE"""),"Full Self-Driving")</f>
        <v>Full Self-Driving</v>
      </c>
      <c r="X2252" t="str">
        <f>IFERROR(__xludf.DUMMYFUNCTION("""COMPUTED_VALUE"""),"Good")</f>
        <v>Good</v>
      </c>
      <c r="Y2252" t="str">
        <f>IFERROR(__xludf.DUMMYFUNCTION("""COMPUTED_VALUE"""),"Excellent")</f>
        <v>Excellent</v>
      </c>
      <c r="Z2252" t="str">
        <f>IFERROR(__xludf.DUMMYFUNCTION("""COMPUTED_VALUE"""),"Fair")</f>
        <v>Fair</v>
      </c>
      <c r="AA2252" t="str">
        <f>IFERROR(__xludf.DUMMYFUNCTION("""COMPUTED_VALUE"""),"Poor")</f>
        <v>Poor</v>
      </c>
      <c r="AB2252" t="str">
        <f>IFERROR(__xludf.DUMMYFUNCTION("""COMPUTED_VALUE"""),"Good")</f>
        <v>Good</v>
      </c>
      <c r="AC2252">
        <f>IFERROR(__xludf.DUMMYFUNCTION("""COMPUTED_VALUE"""),4.0)</f>
        <v>4</v>
      </c>
      <c r="AH2252" s="189">
        <f>IFERROR(__xludf.DUMMYFUNCTION("""COMPUTED_VALUE"""),43836.41811355324)</f>
        <v>43836.41811</v>
      </c>
    </row>
    <row r="2253">
      <c r="A2253" t="str">
        <f>IFERROR(__xludf.DUMMYFUNCTION("""COMPUTED_VALUE"""),"bjwinkel")</f>
        <v>bjwinkel</v>
      </c>
      <c r="B2253" t="str">
        <f>IFERROR(__xludf.DUMMYFUNCTION("""COMPUTED_VALUE"""),"Calgary")</f>
        <v>Calgary</v>
      </c>
      <c r="C2253" t="str">
        <f>IFERROR(__xludf.DUMMYFUNCTION("""COMPUTED_VALUE"""),"AB")</f>
        <v>AB</v>
      </c>
      <c r="D2253" t="str">
        <f>IFERROR(__xludf.DUMMYFUNCTION("""COMPUTED_VALUE"""),"Canada")</f>
        <v>Canada</v>
      </c>
      <c r="E2253" s="188">
        <f>IFERROR(__xludf.DUMMYFUNCTION("""COMPUTED_VALUE"""),43779.0)</f>
        <v>43779</v>
      </c>
      <c r="F2253" s="188">
        <f>IFERROR(__xludf.DUMMYFUNCTION("""COMPUTED_VALUE"""),43821.0)</f>
        <v>43821</v>
      </c>
      <c r="H2253">
        <f>IFERROR(__xludf.DUMMYFUNCTION("""COMPUTED_VALUE"""),643555.0)</f>
        <v>643555</v>
      </c>
      <c r="I2253" t="str">
        <f>IFERROR(__xludf.DUMMYFUNCTION("""COMPUTED_VALUE"""),"12/19")</f>
        <v>12/19</v>
      </c>
      <c r="J2253" s="5">
        <f>IFERROR(__xludf.DUMMYFUNCTION("""COMPUTED_VALUE"""),43826.0)</f>
        <v>43826</v>
      </c>
      <c r="K2253">
        <f>IFERROR(__xludf.DUMMYFUNCTION("""COMPUTED_VALUE"""),42.0)</f>
        <v>42</v>
      </c>
      <c r="L2253">
        <f>IFERROR(__xludf.DUMMYFUNCTION("""COMPUTED_VALUE"""),5.0)</f>
        <v>5</v>
      </c>
      <c r="M2253">
        <f>IFERROR(__xludf.DUMMYFUNCTION("""COMPUTED_VALUE"""),47.0)</f>
        <v>47</v>
      </c>
      <c r="N2253" t="str">
        <f>IFERROR(__xludf.DUMMYFUNCTION("""COMPUTED_VALUE"""),"Model 3 Performance")</f>
        <v>Model 3 Performance</v>
      </c>
      <c r="O2253" t="str">
        <f>IFERROR(__xludf.DUMMYFUNCTION("""COMPUTED_VALUE"""),"Midnight Silver Metallic")</f>
        <v>Midnight Silver Metallic</v>
      </c>
      <c r="P2253" t="str">
        <f>IFERROR(__xludf.DUMMYFUNCTION("""COMPUTED_VALUE"""),"20 inch Sport")</f>
        <v>20 inch Sport</v>
      </c>
      <c r="Q2253" t="str">
        <f>IFERROR(__xludf.DUMMYFUNCTION("""COMPUTED_VALUE"""),"Black seats")</f>
        <v>Black seats</v>
      </c>
      <c r="R2253" t="str">
        <f>IFERROR(__xludf.DUMMYFUNCTION("""COMPUTED_VALUE"""),"Autopilot")</f>
        <v>Autopilot</v>
      </c>
      <c r="X2253" t="str">
        <f>IFERROR(__xludf.DUMMYFUNCTION("""COMPUTED_VALUE"""),"Very Good")</f>
        <v>Very Good</v>
      </c>
      <c r="Y2253" t="str">
        <f>IFERROR(__xludf.DUMMYFUNCTION("""COMPUTED_VALUE"""),"Very Good")</f>
        <v>Very Good</v>
      </c>
      <c r="Z2253" t="str">
        <f>IFERROR(__xludf.DUMMYFUNCTION("""COMPUTED_VALUE"""),"Good")</f>
        <v>Good</v>
      </c>
      <c r="AA2253" t="str">
        <f>IFERROR(__xludf.DUMMYFUNCTION("""COMPUTED_VALUE"""),"Good")</f>
        <v>Good</v>
      </c>
      <c r="AB2253" t="str">
        <f>IFERROR(__xludf.DUMMYFUNCTION("""COMPUTED_VALUE"""),"Very Good")</f>
        <v>Very Good</v>
      </c>
      <c r="AH2253" s="189">
        <f>IFERROR(__xludf.DUMMYFUNCTION("""COMPUTED_VALUE"""),43836.500101446756)</f>
        <v>43836.5001</v>
      </c>
    </row>
    <row r="2254">
      <c r="A2254" t="str">
        <f>IFERROR(__xludf.DUMMYFUNCTION("""COMPUTED_VALUE"""),"DKM3D")</f>
        <v>DKM3D</v>
      </c>
      <c r="B2254" t="str">
        <f>IFERROR(__xludf.DUMMYFUNCTION("""COMPUTED_VALUE"""),"Bay Area")</f>
        <v>Bay Area</v>
      </c>
      <c r="C2254" t="str">
        <f>IFERROR(__xludf.DUMMYFUNCTION("""COMPUTED_VALUE"""),"CA")</f>
        <v>CA</v>
      </c>
      <c r="D2254" t="str">
        <f>IFERROR(__xludf.DUMMYFUNCTION("""COMPUTED_VALUE"""),"USA")</f>
        <v>USA</v>
      </c>
      <c r="E2254" s="188">
        <f>IFERROR(__xludf.DUMMYFUNCTION("""COMPUTED_VALUE"""),43789.0)</f>
        <v>43789</v>
      </c>
      <c r="F2254" s="188">
        <f>IFERROR(__xludf.DUMMYFUNCTION("""COMPUTED_VALUE"""),43790.0)</f>
        <v>43790</v>
      </c>
      <c r="H2254">
        <f>IFERROR(__xludf.DUMMYFUNCTION("""COMPUTED_VALUE"""),602207.0)</f>
        <v>602207</v>
      </c>
      <c r="J2254" s="5">
        <f>IFERROR(__xludf.DUMMYFUNCTION("""COMPUTED_VALUE"""),43800.0)</f>
        <v>43800</v>
      </c>
      <c r="K2254">
        <f>IFERROR(__xludf.DUMMYFUNCTION("""COMPUTED_VALUE"""),1.0)</f>
        <v>1</v>
      </c>
      <c r="L2254">
        <f>IFERROR(__xludf.DUMMYFUNCTION("""COMPUTED_VALUE"""),10.0)</f>
        <v>10</v>
      </c>
      <c r="M2254">
        <f>IFERROR(__xludf.DUMMYFUNCTION("""COMPUTED_VALUE"""),11.0)</f>
        <v>11</v>
      </c>
      <c r="N2254" t="str">
        <f>IFERROR(__xludf.DUMMYFUNCTION("""COMPUTED_VALUE"""),"Model 3 Performance")</f>
        <v>Model 3 Performance</v>
      </c>
      <c r="O2254" t="str">
        <f>IFERROR(__xludf.DUMMYFUNCTION("""COMPUTED_VALUE"""),"Deep Blue Metallic")</f>
        <v>Deep Blue Metallic</v>
      </c>
      <c r="P2254" t="str">
        <f>IFERROR(__xludf.DUMMYFUNCTION("""COMPUTED_VALUE"""),"18 inch Aero")</f>
        <v>18 inch Aero</v>
      </c>
      <c r="Q2254" t="str">
        <f>IFERROR(__xludf.DUMMYFUNCTION("""COMPUTED_VALUE"""),"Black seats")</f>
        <v>Black seats</v>
      </c>
      <c r="R2254" t="str">
        <f>IFERROR(__xludf.DUMMYFUNCTION("""COMPUTED_VALUE"""),"Full Self-Driving")</f>
        <v>Full Self-Driving</v>
      </c>
      <c r="X2254" t="str">
        <f>IFERROR(__xludf.DUMMYFUNCTION("""COMPUTED_VALUE"""),"Good")</f>
        <v>Good</v>
      </c>
      <c r="Y2254" t="str">
        <f>IFERROR(__xludf.DUMMYFUNCTION("""COMPUTED_VALUE"""),"Very Good")</f>
        <v>Very Good</v>
      </c>
      <c r="Z2254" t="str">
        <f>IFERROR(__xludf.DUMMYFUNCTION("""COMPUTED_VALUE"""),"Very Good")</f>
        <v>Very Good</v>
      </c>
      <c r="AA2254" t="str">
        <f>IFERROR(__xludf.DUMMYFUNCTION("""COMPUTED_VALUE"""),"Very Good")</f>
        <v>Very Good</v>
      </c>
      <c r="AB2254" t="str">
        <f>IFERROR(__xludf.DUMMYFUNCTION("""COMPUTED_VALUE"""),"Excellent")</f>
        <v>Excellent</v>
      </c>
      <c r="AC2254">
        <f>IFERROR(__xludf.DUMMYFUNCTION("""COMPUTED_VALUE"""),1.0)</f>
        <v>1</v>
      </c>
      <c r="AE2254">
        <f>IFERROR(__xludf.DUMMYFUNCTION("""COMPUTED_VALUE"""),0.0)</f>
        <v>0</v>
      </c>
      <c r="AG2254" t="str">
        <f>IFERROR(__xludf.DUMMYFUNCTION("""COMPUTED_VALUE"""),"Ordered LR AWD on 10/31, Changed to Stealth performance 11/20")</f>
        <v>Ordered LR AWD on 10/31, Changed to Stealth performance 11/20</v>
      </c>
      <c r="AH2254" s="189">
        <f>IFERROR(__xludf.DUMMYFUNCTION("""COMPUTED_VALUE"""),43836.57560820602)</f>
        <v>43836.57561</v>
      </c>
    </row>
    <row r="2255">
      <c r="A2255" t="str">
        <f>IFERROR(__xludf.DUMMYFUNCTION("""COMPUTED_VALUE"""),"chughes3")</f>
        <v>chughes3</v>
      </c>
      <c r="B2255" t="str">
        <f>IFERROR(__xludf.DUMMYFUNCTION("""COMPUTED_VALUE"""),"Seattle")</f>
        <v>Seattle</v>
      </c>
      <c r="C2255" t="str">
        <f>IFERROR(__xludf.DUMMYFUNCTION("""COMPUTED_VALUE"""),"WA")</f>
        <v>WA</v>
      </c>
      <c r="D2255" t="str">
        <f>IFERROR(__xludf.DUMMYFUNCTION("""COMPUTED_VALUE"""),"USA")</f>
        <v>USA</v>
      </c>
      <c r="E2255" s="188">
        <f>IFERROR(__xludf.DUMMYFUNCTION("""COMPUTED_VALUE"""),43792.0)</f>
        <v>43792</v>
      </c>
      <c r="F2255" s="188">
        <f>IFERROR(__xludf.DUMMYFUNCTION("""COMPUTED_VALUE"""),43816.0)</f>
        <v>43816</v>
      </c>
      <c r="H2255">
        <f>IFERROR(__xludf.DUMMYFUNCTION("""COMPUTED_VALUE"""),635211.0)</f>
        <v>635211</v>
      </c>
      <c r="J2255" s="5">
        <f>IFERROR(__xludf.DUMMYFUNCTION("""COMPUTED_VALUE"""),43820.0)</f>
        <v>43820</v>
      </c>
      <c r="K2255">
        <f>IFERROR(__xludf.DUMMYFUNCTION("""COMPUTED_VALUE"""),24.0)</f>
        <v>24</v>
      </c>
      <c r="L2255">
        <f>IFERROR(__xludf.DUMMYFUNCTION("""COMPUTED_VALUE"""),4.0)</f>
        <v>4</v>
      </c>
      <c r="M2255">
        <f>IFERROR(__xludf.DUMMYFUNCTION("""COMPUTED_VALUE"""),28.0)</f>
        <v>28</v>
      </c>
      <c r="N2255" t="str">
        <f>IFERROR(__xludf.DUMMYFUNCTION("""COMPUTED_VALUE"""),"Model 3 LR AWD")</f>
        <v>Model 3 LR AWD</v>
      </c>
      <c r="O2255" t="str">
        <f>IFERROR(__xludf.DUMMYFUNCTION("""COMPUTED_VALUE"""),"Midnight Silver Metallic")</f>
        <v>Midnight Silver Metallic</v>
      </c>
      <c r="P2255" t="str">
        <f>IFERROR(__xludf.DUMMYFUNCTION("""COMPUTED_VALUE"""),"18 inch Aero")</f>
        <v>18 inch Aero</v>
      </c>
      <c r="Q2255" t="str">
        <f>IFERROR(__xludf.DUMMYFUNCTION("""COMPUTED_VALUE"""),"Black seats")</f>
        <v>Black seats</v>
      </c>
      <c r="R2255" t="str">
        <f>IFERROR(__xludf.DUMMYFUNCTION("""COMPUTED_VALUE"""),"Full Self-Driving")</f>
        <v>Full Self-Driving</v>
      </c>
      <c r="X2255" t="str">
        <f>IFERROR(__xludf.DUMMYFUNCTION("""COMPUTED_VALUE"""),"Very Good")</f>
        <v>Very Good</v>
      </c>
      <c r="Y2255" t="str">
        <f>IFERROR(__xludf.DUMMYFUNCTION("""COMPUTED_VALUE"""),"Very Good")</f>
        <v>Very Good</v>
      </c>
      <c r="Z2255" t="str">
        <f>IFERROR(__xludf.DUMMYFUNCTION("""COMPUTED_VALUE"""),"Very Good")</f>
        <v>Very Good</v>
      </c>
      <c r="AA2255" t="str">
        <f>IFERROR(__xludf.DUMMYFUNCTION("""COMPUTED_VALUE"""),"Very Good")</f>
        <v>Very Good</v>
      </c>
      <c r="AB2255" t="str">
        <f>IFERROR(__xludf.DUMMYFUNCTION("""COMPUTED_VALUE"""),"Very Good")</f>
        <v>Very Good</v>
      </c>
      <c r="AC2255">
        <f>IFERROR(__xludf.DUMMYFUNCTION("""COMPUTED_VALUE"""),0.0)</f>
        <v>0</v>
      </c>
      <c r="AD2255">
        <f>IFERROR(__xludf.DUMMYFUNCTION("""COMPUTED_VALUE"""),0.0)</f>
        <v>0</v>
      </c>
      <c r="AE2255">
        <f>IFERROR(__xludf.DUMMYFUNCTION("""COMPUTED_VALUE"""),0.0)</f>
        <v>0</v>
      </c>
      <c r="AG2255" t="str">
        <f>IFERROR(__xludf.DUMMYFUNCTION("""COMPUTED_VALUE"""),"Vin in source")</f>
        <v>Vin in source</v>
      </c>
      <c r="AH2255" s="189">
        <f>IFERROR(__xludf.DUMMYFUNCTION("""COMPUTED_VALUE"""),43836.6324778125)</f>
        <v>43836.63248</v>
      </c>
    </row>
    <row r="2256">
      <c r="A2256" t="str">
        <f>IFERROR(__xludf.DUMMYFUNCTION("""COMPUTED_VALUE"""),"taguilar")</f>
        <v>taguilar</v>
      </c>
      <c r="B2256" t="str">
        <f>IFERROR(__xludf.DUMMYFUNCTION("""COMPUTED_VALUE"""),"Playa Del Rey")</f>
        <v>Playa Del Rey</v>
      </c>
      <c r="C2256" t="str">
        <f>IFERROR(__xludf.DUMMYFUNCTION("""COMPUTED_VALUE"""),"CA")</f>
        <v>CA</v>
      </c>
      <c r="D2256" t="str">
        <f>IFERROR(__xludf.DUMMYFUNCTION("""COMPUTED_VALUE"""),"USA")</f>
        <v>USA</v>
      </c>
      <c r="E2256" s="188">
        <f>IFERROR(__xludf.DUMMYFUNCTION("""COMPUTED_VALUE"""),43772.0)</f>
        <v>43772</v>
      </c>
      <c r="F2256" s="188">
        <f>IFERROR(__xludf.DUMMYFUNCTION("""COMPUTED_VALUE"""),43820.0)</f>
        <v>43820</v>
      </c>
      <c r="J2256" s="5">
        <f>IFERROR(__xludf.DUMMYFUNCTION("""COMPUTED_VALUE"""),43833.0)</f>
        <v>43833</v>
      </c>
      <c r="K2256">
        <f>IFERROR(__xludf.DUMMYFUNCTION("""COMPUTED_VALUE"""),48.0)</f>
        <v>48</v>
      </c>
      <c r="L2256">
        <f>IFERROR(__xludf.DUMMYFUNCTION("""COMPUTED_VALUE"""),13.0)</f>
        <v>13</v>
      </c>
      <c r="M2256">
        <f>IFERROR(__xludf.DUMMYFUNCTION("""COMPUTED_VALUE"""),61.0)</f>
        <v>61</v>
      </c>
      <c r="N2256" t="str">
        <f>IFERROR(__xludf.DUMMYFUNCTION("""COMPUTED_VALUE"""),"Model 3 LR AWD")</f>
        <v>Model 3 LR AWD</v>
      </c>
      <c r="O2256" t="str">
        <f>IFERROR(__xludf.DUMMYFUNCTION("""COMPUTED_VALUE"""),"Midnight Silver Metallic")</f>
        <v>Midnight Silver Metallic</v>
      </c>
      <c r="P2256" t="str">
        <f>IFERROR(__xludf.DUMMYFUNCTION("""COMPUTED_VALUE"""),"19 inch Sport")</f>
        <v>19 inch Sport</v>
      </c>
      <c r="Q2256" t="str">
        <f>IFERROR(__xludf.DUMMYFUNCTION("""COMPUTED_VALUE"""),"Black seats")</f>
        <v>Black seats</v>
      </c>
      <c r="R2256" t="str">
        <f>IFERROR(__xludf.DUMMYFUNCTION("""COMPUTED_VALUE"""),"Autopilot")</f>
        <v>Autopilot</v>
      </c>
      <c r="X2256" t="str">
        <f>IFERROR(__xludf.DUMMYFUNCTION("""COMPUTED_VALUE"""),"Very Good")</f>
        <v>Very Good</v>
      </c>
      <c r="Y2256" t="str">
        <f>IFERROR(__xludf.DUMMYFUNCTION("""COMPUTED_VALUE"""),"Excellent")</f>
        <v>Excellent</v>
      </c>
      <c r="Z2256" t="str">
        <f>IFERROR(__xludf.DUMMYFUNCTION("""COMPUTED_VALUE"""),"Very Good")</f>
        <v>Very Good</v>
      </c>
      <c r="AA2256" t="str">
        <f>IFERROR(__xludf.DUMMYFUNCTION("""COMPUTED_VALUE"""),"Poor")</f>
        <v>Poor</v>
      </c>
      <c r="AB2256" t="str">
        <f>IFERROR(__xludf.DUMMYFUNCTION("""COMPUTED_VALUE"""),"Good")</f>
        <v>Good</v>
      </c>
      <c r="AH2256" s="189">
        <f>IFERROR(__xludf.DUMMYFUNCTION("""COMPUTED_VALUE"""),43836.649571863425)</f>
        <v>43836.64957</v>
      </c>
    </row>
    <row r="2257">
      <c r="A2257" t="str">
        <f>IFERROR(__xludf.DUMMYFUNCTION("""COMPUTED_VALUE"""),"TeslaRod")</f>
        <v>TeslaRod</v>
      </c>
      <c r="B2257" t="str">
        <f>IFERROR(__xludf.DUMMYFUNCTION("""COMPUTED_VALUE"""),"Bellingham")</f>
        <v>Bellingham</v>
      </c>
      <c r="C2257" t="str">
        <f>IFERROR(__xludf.DUMMYFUNCTION("""COMPUTED_VALUE"""),"WA")</f>
        <v>WA</v>
      </c>
      <c r="D2257" t="str">
        <f>IFERROR(__xludf.DUMMYFUNCTION("""COMPUTED_VALUE"""),"USA")</f>
        <v>USA</v>
      </c>
      <c r="E2257" s="188">
        <f>IFERROR(__xludf.DUMMYFUNCTION("""COMPUTED_VALUE"""),43803.0)</f>
        <v>43803</v>
      </c>
      <c r="F2257" s="188">
        <f>IFERROR(__xludf.DUMMYFUNCTION("""COMPUTED_VALUE"""),43814.0)</f>
        <v>43814</v>
      </c>
      <c r="H2257" s="4">
        <f>IFERROR(__xludf.DUMMYFUNCTION("""COMPUTED_VALUE"""),624592.0)</f>
        <v>624592</v>
      </c>
      <c r="I2257" t="str">
        <f>IFERROR(__xludf.DUMMYFUNCTION("""COMPUTED_VALUE"""),"12/19")</f>
        <v>12/19</v>
      </c>
      <c r="J2257" s="5">
        <f>IFERROR(__xludf.DUMMYFUNCTION("""COMPUTED_VALUE"""),43818.0)</f>
        <v>43818</v>
      </c>
      <c r="K2257">
        <f>IFERROR(__xludf.DUMMYFUNCTION("""COMPUTED_VALUE"""),11.0)</f>
        <v>11</v>
      </c>
      <c r="L2257">
        <f>IFERROR(__xludf.DUMMYFUNCTION("""COMPUTED_VALUE"""),4.0)</f>
        <v>4</v>
      </c>
      <c r="M2257">
        <f>IFERROR(__xludf.DUMMYFUNCTION("""COMPUTED_VALUE"""),15.0)</f>
        <v>15</v>
      </c>
      <c r="N2257" t="str">
        <f>IFERROR(__xludf.DUMMYFUNCTION("""COMPUTED_VALUE"""),"Model 3 Performance")</f>
        <v>Model 3 Performance</v>
      </c>
      <c r="O2257" t="str">
        <f>IFERROR(__xludf.DUMMYFUNCTION("""COMPUTED_VALUE"""),"Deep Blue Metallic")</f>
        <v>Deep Blue Metallic</v>
      </c>
      <c r="P2257" t="str">
        <f>IFERROR(__xludf.DUMMYFUNCTION("""COMPUTED_VALUE"""),"20 inch Sport")</f>
        <v>20 inch Sport</v>
      </c>
      <c r="Q2257" t="str">
        <f>IFERROR(__xludf.DUMMYFUNCTION("""COMPUTED_VALUE"""),"White seats")</f>
        <v>White seats</v>
      </c>
      <c r="R2257" t="str">
        <f>IFERROR(__xludf.DUMMYFUNCTION("""COMPUTED_VALUE"""),"Full Self-Driving")</f>
        <v>Full Self-Driving</v>
      </c>
      <c r="X2257" t="str">
        <f>IFERROR(__xludf.DUMMYFUNCTION("""COMPUTED_VALUE"""),"Excellent")</f>
        <v>Excellent</v>
      </c>
      <c r="Y2257" t="str">
        <f>IFERROR(__xludf.DUMMYFUNCTION("""COMPUTED_VALUE"""),"Excellent")</f>
        <v>Excellent</v>
      </c>
      <c r="Z2257" t="str">
        <f>IFERROR(__xludf.DUMMYFUNCTION("""COMPUTED_VALUE"""),"Excellent")</f>
        <v>Excellent</v>
      </c>
      <c r="AA2257" t="str">
        <f>IFERROR(__xludf.DUMMYFUNCTION("""COMPUTED_VALUE"""),"Excellent")</f>
        <v>Excellent</v>
      </c>
      <c r="AB2257" t="str">
        <f>IFERROR(__xludf.DUMMYFUNCTION("""COMPUTED_VALUE"""),"Excellent")</f>
        <v>Excellent</v>
      </c>
      <c r="AC2257">
        <f>IFERROR(__xludf.DUMMYFUNCTION("""COMPUTED_VALUE"""),1.0)</f>
        <v>1</v>
      </c>
      <c r="AD2257">
        <f>IFERROR(__xludf.DUMMYFUNCTION("""COMPUTED_VALUE"""),0.0)</f>
        <v>0</v>
      </c>
      <c r="AH2257" s="189">
        <f>IFERROR(__xludf.DUMMYFUNCTION("""COMPUTED_VALUE"""),43836.88356853009)</f>
        <v>43836.88357</v>
      </c>
    </row>
    <row r="2258">
      <c r="A2258" t="str">
        <f>IFERROR(__xludf.DUMMYFUNCTION("""COMPUTED_VALUE"""),"mindfreeze")</f>
        <v>mindfreeze</v>
      </c>
      <c r="B2258" t="str">
        <f>IFERROR(__xludf.DUMMYFUNCTION("""COMPUTED_VALUE"""),"Berlin")</f>
        <v>Berlin</v>
      </c>
      <c r="D2258" t="str">
        <f>IFERROR(__xludf.DUMMYFUNCTION("""COMPUTED_VALUE"""),"Germany")</f>
        <v>Germany</v>
      </c>
      <c r="E2258" s="188">
        <f>IFERROR(__xludf.DUMMYFUNCTION("""COMPUTED_VALUE"""),43713.0)</f>
        <v>43713</v>
      </c>
      <c r="F2258" s="188">
        <f>IFERROR(__xludf.DUMMYFUNCTION("""COMPUTED_VALUE"""),43796.0)</f>
        <v>43796</v>
      </c>
      <c r="H2258">
        <f>IFERROR(__xludf.DUMMYFUNCTION("""COMPUTED_VALUE"""),571214.0)</f>
        <v>571214</v>
      </c>
      <c r="J2258" s="5">
        <f>IFERROR(__xludf.DUMMYFUNCTION("""COMPUTED_VALUE"""),43818.0)</f>
        <v>43818</v>
      </c>
      <c r="K2258">
        <f>IFERROR(__xludf.DUMMYFUNCTION("""COMPUTED_VALUE"""),83.0)</f>
        <v>83</v>
      </c>
      <c r="L2258">
        <f>IFERROR(__xludf.DUMMYFUNCTION("""COMPUTED_VALUE"""),22.0)</f>
        <v>22</v>
      </c>
      <c r="M2258">
        <f>IFERROR(__xludf.DUMMYFUNCTION("""COMPUTED_VALUE"""),105.0)</f>
        <v>105</v>
      </c>
      <c r="N2258" t="str">
        <f>IFERROR(__xludf.DUMMYFUNCTION("""COMPUTED_VALUE"""),"Model 3 LR AWD")</f>
        <v>Model 3 LR AWD</v>
      </c>
      <c r="O2258" t="str">
        <f>IFERROR(__xludf.DUMMYFUNCTION("""COMPUTED_VALUE"""),"Pearl White Multi-Coat")</f>
        <v>Pearl White Multi-Coat</v>
      </c>
      <c r="P2258" t="str">
        <f>IFERROR(__xludf.DUMMYFUNCTION("""COMPUTED_VALUE"""),"18 inch Aero")</f>
        <v>18 inch Aero</v>
      </c>
      <c r="Q2258" t="str">
        <f>IFERROR(__xludf.DUMMYFUNCTION("""COMPUTED_VALUE"""),"White seats")</f>
        <v>White seats</v>
      </c>
      <c r="R2258" t="str">
        <f>IFERROR(__xludf.DUMMYFUNCTION("""COMPUTED_VALUE"""),"Autopilot")</f>
        <v>Autopilot</v>
      </c>
      <c r="X2258" t="str">
        <f>IFERROR(__xludf.DUMMYFUNCTION("""COMPUTED_VALUE"""),"Very Good")</f>
        <v>Very Good</v>
      </c>
      <c r="Y2258" t="str">
        <f>IFERROR(__xludf.DUMMYFUNCTION("""COMPUTED_VALUE"""),"Very Good")</f>
        <v>Very Good</v>
      </c>
      <c r="Z2258" t="str">
        <f>IFERROR(__xludf.DUMMYFUNCTION("""COMPUTED_VALUE"""),"Very Good")</f>
        <v>Very Good</v>
      </c>
      <c r="AA2258" t="str">
        <f>IFERROR(__xludf.DUMMYFUNCTION("""COMPUTED_VALUE"""),"Poor")</f>
        <v>Poor</v>
      </c>
      <c r="AB2258" t="str">
        <f>IFERROR(__xludf.DUMMYFUNCTION("""COMPUTED_VALUE"""),"Excellent")</f>
        <v>Excellent</v>
      </c>
      <c r="AC2258">
        <f>IFERROR(__xludf.DUMMYFUNCTION("""COMPUTED_VALUE"""),0.0)</f>
        <v>0</v>
      </c>
      <c r="AD2258">
        <f>IFERROR(__xludf.DUMMYFUNCTION("""COMPUTED_VALUE"""),0.0)</f>
        <v>0</v>
      </c>
      <c r="AE2258">
        <f>IFERROR(__xludf.DUMMYFUNCTION("""COMPUTED_VALUE"""),0.0)</f>
        <v>0</v>
      </c>
      <c r="AH2258" s="189">
        <f>IFERROR(__xludf.DUMMYFUNCTION("""COMPUTED_VALUE"""),43838.0420633912)</f>
        <v>43838.04206</v>
      </c>
    </row>
    <row r="2259">
      <c r="A2259" t="str">
        <f>IFERROR(__xludf.DUMMYFUNCTION("""COMPUTED_VALUE"""),"DWalk")</f>
        <v>DWalk</v>
      </c>
      <c r="B2259" t="str">
        <f>IFERROR(__xludf.DUMMYFUNCTION("""COMPUTED_VALUE"""),"Oakland")</f>
        <v>Oakland</v>
      </c>
      <c r="C2259" t="str">
        <f>IFERROR(__xludf.DUMMYFUNCTION("""COMPUTED_VALUE"""),"CA")</f>
        <v>CA</v>
      </c>
      <c r="D2259" t="str">
        <f>IFERROR(__xludf.DUMMYFUNCTION("""COMPUTED_VALUE"""),"USA")</f>
        <v>USA</v>
      </c>
      <c r="E2259" s="188">
        <f>IFERROR(__xludf.DUMMYFUNCTION("""COMPUTED_VALUE"""),43763.0)</f>
        <v>43763</v>
      </c>
      <c r="F2259" s="188">
        <f>IFERROR(__xludf.DUMMYFUNCTION("""COMPUTED_VALUE"""),43803.0)</f>
        <v>43803</v>
      </c>
      <c r="H2259">
        <f>IFERROR(__xludf.DUMMYFUNCTION("""COMPUTED_VALUE"""),599251.0)</f>
        <v>599251</v>
      </c>
      <c r="J2259" s="5">
        <f>IFERROR(__xludf.DUMMYFUNCTION("""COMPUTED_VALUE"""),43591.0)</f>
        <v>43591</v>
      </c>
      <c r="K2259">
        <f>IFERROR(__xludf.DUMMYFUNCTION("""COMPUTED_VALUE"""),40.0)</f>
        <v>40</v>
      </c>
      <c r="N2259" t="str">
        <f>IFERROR(__xludf.DUMMYFUNCTION("""COMPUTED_VALUE"""),"Model 3 SR+")</f>
        <v>Model 3 SR+</v>
      </c>
      <c r="O2259" t="str">
        <f>IFERROR(__xludf.DUMMYFUNCTION("""COMPUTED_VALUE"""),"Deep Blue Metallic")</f>
        <v>Deep Blue Metallic</v>
      </c>
      <c r="P2259" t="str">
        <f>IFERROR(__xludf.DUMMYFUNCTION("""COMPUTED_VALUE"""),"19 inch Sport")</f>
        <v>19 inch Sport</v>
      </c>
      <c r="Q2259" t="str">
        <f>IFERROR(__xludf.DUMMYFUNCTION("""COMPUTED_VALUE"""),"White seats")</f>
        <v>White seats</v>
      </c>
      <c r="R2259" t="str">
        <f>IFERROR(__xludf.DUMMYFUNCTION("""COMPUTED_VALUE"""),"Full Self-Driving")</f>
        <v>Full Self-Driving</v>
      </c>
      <c r="X2259" t="str">
        <f>IFERROR(__xludf.DUMMYFUNCTION("""COMPUTED_VALUE"""),"Excellent")</f>
        <v>Excellent</v>
      </c>
      <c r="Y2259" t="str">
        <f>IFERROR(__xludf.DUMMYFUNCTION("""COMPUTED_VALUE"""),"Excellent")</f>
        <v>Excellent</v>
      </c>
      <c r="Z2259" t="str">
        <f>IFERROR(__xludf.DUMMYFUNCTION("""COMPUTED_VALUE"""),"Poor")</f>
        <v>Poor</v>
      </c>
      <c r="AA2259" t="str">
        <f>IFERROR(__xludf.DUMMYFUNCTION("""COMPUTED_VALUE"""),"Very Good")</f>
        <v>Very Good</v>
      </c>
      <c r="AB2259" t="str">
        <f>IFERROR(__xludf.DUMMYFUNCTION("""COMPUTED_VALUE"""),"Good")</f>
        <v>Good</v>
      </c>
      <c r="AC2259">
        <f>IFERROR(__xludf.DUMMYFUNCTION("""COMPUTED_VALUE"""),7.0)</f>
        <v>7</v>
      </c>
      <c r="AD2259">
        <f>IFERROR(__xludf.DUMMYFUNCTION("""COMPUTED_VALUE"""),1.0)</f>
        <v>1</v>
      </c>
      <c r="AE2259">
        <f>IFERROR(__xludf.DUMMYFUNCTION("""COMPUTED_VALUE"""),15.0)</f>
        <v>15</v>
      </c>
      <c r="AH2259" s="189">
        <f>IFERROR(__xludf.DUMMYFUNCTION("""COMPUTED_VALUE"""),43838.29801384259)</f>
        <v>43838.29801</v>
      </c>
    </row>
    <row r="2260">
      <c r="A2260" t="str">
        <f>IFERROR(__xludf.DUMMYFUNCTION("""COMPUTED_VALUE"""),"GarZ")</f>
        <v>GarZ</v>
      </c>
      <c r="B2260" t="str">
        <f>IFERROR(__xludf.DUMMYFUNCTION("""COMPUTED_VALUE"""),"San Diego")</f>
        <v>San Diego</v>
      </c>
      <c r="C2260" t="str">
        <f>IFERROR(__xludf.DUMMYFUNCTION("""COMPUTED_VALUE"""),"CA")</f>
        <v>CA</v>
      </c>
      <c r="D2260" t="str">
        <f>IFERROR(__xludf.DUMMYFUNCTION("""COMPUTED_VALUE"""),"USA")</f>
        <v>USA</v>
      </c>
      <c r="E2260" s="188">
        <f>IFERROR(__xludf.DUMMYFUNCTION("""COMPUTED_VALUE"""),43800.0)</f>
        <v>43800</v>
      </c>
      <c r="F2260" s="188">
        <f>IFERROR(__xludf.DUMMYFUNCTION("""COMPUTED_VALUE"""),43822.0)</f>
        <v>43822</v>
      </c>
      <c r="H2260">
        <f>IFERROR(__xludf.DUMMYFUNCTION("""COMPUTED_VALUE"""),640555.0)</f>
        <v>640555</v>
      </c>
      <c r="J2260" s="5">
        <f>IFERROR(__xludf.DUMMYFUNCTION("""COMPUTED_VALUE"""),43830.0)</f>
        <v>43830</v>
      </c>
      <c r="K2260">
        <f>IFERROR(__xludf.DUMMYFUNCTION("""COMPUTED_VALUE"""),22.0)</f>
        <v>22</v>
      </c>
      <c r="L2260">
        <f>IFERROR(__xludf.DUMMYFUNCTION("""COMPUTED_VALUE"""),8.0)</f>
        <v>8</v>
      </c>
      <c r="M2260">
        <f>IFERROR(__xludf.DUMMYFUNCTION("""COMPUTED_VALUE"""),30.0)</f>
        <v>30</v>
      </c>
      <c r="N2260" t="str">
        <f>IFERROR(__xludf.DUMMYFUNCTION("""COMPUTED_VALUE"""),"Model 3 LR AWD")</f>
        <v>Model 3 LR AWD</v>
      </c>
      <c r="O2260" t="str">
        <f>IFERROR(__xludf.DUMMYFUNCTION("""COMPUTED_VALUE"""),"Pearl White Multi-Coat")</f>
        <v>Pearl White Multi-Coat</v>
      </c>
      <c r="P2260" t="str">
        <f>IFERROR(__xludf.DUMMYFUNCTION("""COMPUTED_VALUE"""),"19 inch Sport")</f>
        <v>19 inch Sport</v>
      </c>
      <c r="Q2260" t="str">
        <f>IFERROR(__xludf.DUMMYFUNCTION("""COMPUTED_VALUE"""),"White seats")</f>
        <v>White seats</v>
      </c>
      <c r="R2260" t="str">
        <f>IFERROR(__xludf.DUMMYFUNCTION("""COMPUTED_VALUE"""),"Autopilot")</f>
        <v>Autopilot</v>
      </c>
      <c r="X2260" t="str">
        <f>IFERROR(__xludf.DUMMYFUNCTION("""COMPUTED_VALUE"""),"Very Good")</f>
        <v>Very Good</v>
      </c>
      <c r="Y2260" t="str">
        <f>IFERROR(__xludf.DUMMYFUNCTION("""COMPUTED_VALUE"""),"Very Good")</f>
        <v>Very Good</v>
      </c>
      <c r="Z2260" t="str">
        <f>IFERROR(__xludf.DUMMYFUNCTION("""COMPUTED_VALUE"""),"Very Good")</f>
        <v>Very Good</v>
      </c>
      <c r="AA2260" t="str">
        <f>IFERROR(__xludf.DUMMYFUNCTION("""COMPUTED_VALUE"""),"Very Good")</f>
        <v>Very Good</v>
      </c>
      <c r="AB2260" t="str">
        <f>IFERROR(__xludf.DUMMYFUNCTION("""COMPUTED_VALUE"""),"Good")</f>
        <v>Good</v>
      </c>
      <c r="AC2260">
        <f>IFERROR(__xludf.DUMMYFUNCTION("""COMPUTED_VALUE"""),4.0)</f>
        <v>4</v>
      </c>
      <c r="AD2260">
        <f>IFERROR(__xludf.DUMMYFUNCTION("""COMPUTED_VALUE"""),1.0)</f>
        <v>1</v>
      </c>
      <c r="AH2260" s="189">
        <f>IFERROR(__xludf.DUMMYFUNCTION("""COMPUTED_VALUE"""),43838.57163142361)</f>
        <v>43838.57163</v>
      </c>
    </row>
    <row r="2261">
      <c r="A2261" t="str">
        <f>IFERROR(__xludf.DUMMYFUNCTION("""COMPUTED_VALUE"""),"bmt1012")</f>
        <v>bmt1012</v>
      </c>
      <c r="B2261" t="str">
        <f>IFERROR(__xludf.DUMMYFUNCTION("""COMPUTED_VALUE"""),"Santa Clara, CA")</f>
        <v>Santa Clara, CA</v>
      </c>
      <c r="C2261" t="str">
        <f>IFERROR(__xludf.DUMMYFUNCTION("""COMPUTED_VALUE"""),"CA")</f>
        <v>CA</v>
      </c>
      <c r="D2261" t="str">
        <f>IFERROR(__xludf.DUMMYFUNCTION("""COMPUTED_VALUE"""),"USA")</f>
        <v>USA</v>
      </c>
      <c r="E2261" s="188">
        <f>IFERROR(__xludf.DUMMYFUNCTION("""COMPUTED_VALUE"""),43784.0)</f>
        <v>43784</v>
      </c>
      <c r="F2261" s="188">
        <f>IFERROR(__xludf.DUMMYFUNCTION("""COMPUTED_VALUE"""),43824.0)</f>
        <v>43824</v>
      </c>
      <c r="I2261" t="str">
        <f>IFERROR(__xludf.DUMMYFUNCTION("""COMPUTED_VALUE"""),"12/19")</f>
        <v>12/19</v>
      </c>
      <c r="J2261" s="5">
        <f>IFERROR(__xludf.DUMMYFUNCTION("""COMPUTED_VALUE"""),43830.0)</f>
        <v>43830</v>
      </c>
      <c r="K2261">
        <f>IFERROR(__xludf.DUMMYFUNCTION("""COMPUTED_VALUE"""),40.0)</f>
        <v>40</v>
      </c>
      <c r="L2261">
        <f>IFERROR(__xludf.DUMMYFUNCTION("""COMPUTED_VALUE"""),6.0)</f>
        <v>6</v>
      </c>
      <c r="M2261">
        <f>IFERROR(__xludf.DUMMYFUNCTION("""COMPUTED_VALUE"""),46.0)</f>
        <v>46</v>
      </c>
      <c r="N2261" t="str">
        <f>IFERROR(__xludf.DUMMYFUNCTION("""COMPUTED_VALUE"""),"Model 3 SR")</f>
        <v>Model 3 SR</v>
      </c>
      <c r="O2261" t="str">
        <f>IFERROR(__xludf.DUMMYFUNCTION("""COMPUTED_VALUE"""),"Pearl White Multi-Coat")</f>
        <v>Pearl White Multi-Coat</v>
      </c>
      <c r="P2261" t="str">
        <f>IFERROR(__xludf.DUMMYFUNCTION("""COMPUTED_VALUE"""),"18 inch Aero")</f>
        <v>18 inch Aero</v>
      </c>
      <c r="Q2261" t="str">
        <f>IFERROR(__xludf.DUMMYFUNCTION("""COMPUTED_VALUE"""),"Black seats")</f>
        <v>Black seats</v>
      </c>
      <c r="X2261" t="str">
        <f>IFERROR(__xludf.DUMMYFUNCTION("""COMPUTED_VALUE"""),"Good")</f>
        <v>Good</v>
      </c>
      <c r="Y2261" t="str">
        <f>IFERROR(__xludf.DUMMYFUNCTION("""COMPUTED_VALUE"""),"Very Good")</f>
        <v>Very Good</v>
      </c>
      <c r="Z2261" t="str">
        <f>IFERROR(__xludf.DUMMYFUNCTION("""COMPUTED_VALUE"""),"Very Good")</f>
        <v>Very Good</v>
      </c>
      <c r="AA2261" t="str">
        <f>IFERROR(__xludf.DUMMYFUNCTION("""COMPUTED_VALUE"""),"Poor")</f>
        <v>Poor</v>
      </c>
      <c r="AB2261" t="str">
        <f>IFERROR(__xludf.DUMMYFUNCTION("""COMPUTED_VALUE"""),"Fair")</f>
        <v>Fair</v>
      </c>
      <c r="AC2261">
        <f>IFERROR(__xludf.DUMMYFUNCTION("""COMPUTED_VALUE"""),1.0)</f>
        <v>1</v>
      </c>
      <c r="AD2261">
        <f>IFERROR(__xludf.DUMMYFUNCTION("""COMPUTED_VALUE"""),1.0)</f>
        <v>1</v>
      </c>
      <c r="AE2261">
        <f>IFERROR(__xludf.DUMMYFUNCTION("""COMPUTED_VALUE"""),0.0)</f>
        <v>0</v>
      </c>
      <c r="AH2261" s="189">
        <f>IFERROR(__xludf.DUMMYFUNCTION("""COMPUTED_VALUE"""),43842.86144104166)</f>
        <v>43842.86144</v>
      </c>
    </row>
    <row r="2262">
      <c r="A2262" t="str">
        <f>IFERROR(__xludf.DUMMYFUNCTION("""COMPUTED_VALUE"""),"SCsocal")</f>
        <v>SCsocal</v>
      </c>
      <c r="B2262" t="str">
        <f>IFERROR(__xludf.DUMMYFUNCTION("""COMPUTED_VALUE"""),"Buena Park")</f>
        <v>Buena Park</v>
      </c>
      <c r="C2262" t="str">
        <f>IFERROR(__xludf.DUMMYFUNCTION("""COMPUTED_VALUE"""),"CA")</f>
        <v>CA</v>
      </c>
      <c r="D2262" t="str">
        <f>IFERROR(__xludf.DUMMYFUNCTION("""COMPUTED_VALUE"""),"USA")</f>
        <v>USA</v>
      </c>
      <c r="E2262" s="188">
        <f>IFERROR(__xludf.DUMMYFUNCTION("""COMPUTED_VALUE"""),43765.0)</f>
        <v>43765</v>
      </c>
      <c r="F2262" s="188">
        <f>IFERROR(__xludf.DUMMYFUNCTION("""COMPUTED_VALUE"""),43819.0)</f>
        <v>43819</v>
      </c>
      <c r="H2262">
        <f>IFERROR(__xludf.DUMMYFUNCTION("""COMPUTED_VALUE"""),638069.0)</f>
        <v>638069</v>
      </c>
      <c r="J2262" s="5">
        <f>IFERROR(__xludf.DUMMYFUNCTION("""COMPUTED_VALUE"""),43822.0)</f>
        <v>43822</v>
      </c>
      <c r="K2262">
        <f>IFERROR(__xludf.DUMMYFUNCTION("""COMPUTED_VALUE"""),54.0)</f>
        <v>54</v>
      </c>
      <c r="L2262">
        <f>IFERROR(__xludf.DUMMYFUNCTION("""COMPUTED_VALUE"""),3.0)</f>
        <v>3</v>
      </c>
      <c r="M2262">
        <f>IFERROR(__xludf.DUMMYFUNCTION("""COMPUTED_VALUE"""),57.0)</f>
        <v>57</v>
      </c>
      <c r="N2262" t="str">
        <f>IFERROR(__xludf.DUMMYFUNCTION("""COMPUTED_VALUE"""),"Model 3 LR AWD")</f>
        <v>Model 3 LR AWD</v>
      </c>
      <c r="O2262" t="str">
        <f>IFERROR(__xludf.DUMMYFUNCTION("""COMPUTED_VALUE"""),"Midnight Silver Metallic")</f>
        <v>Midnight Silver Metallic</v>
      </c>
      <c r="P2262" t="str">
        <f>IFERROR(__xludf.DUMMYFUNCTION("""COMPUTED_VALUE"""),"19 inch Sport")</f>
        <v>19 inch Sport</v>
      </c>
      <c r="Q2262" t="str">
        <f>IFERROR(__xludf.DUMMYFUNCTION("""COMPUTED_VALUE"""),"Black seats")</f>
        <v>Black seats</v>
      </c>
      <c r="R2262" t="str">
        <f>IFERROR(__xludf.DUMMYFUNCTION("""COMPUTED_VALUE"""),"Autopilot")</f>
        <v>Autopilot</v>
      </c>
      <c r="X2262" t="str">
        <f>IFERROR(__xludf.DUMMYFUNCTION("""COMPUTED_VALUE"""),"Excellent")</f>
        <v>Excellent</v>
      </c>
      <c r="Y2262" t="str">
        <f>IFERROR(__xludf.DUMMYFUNCTION("""COMPUTED_VALUE"""),"Excellent")</f>
        <v>Excellent</v>
      </c>
      <c r="Z2262" t="str">
        <f>IFERROR(__xludf.DUMMYFUNCTION("""COMPUTED_VALUE"""),"Excellent")</f>
        <v>Excellent</v>
      </c>
      <c r="AA2262" t="str">
        <f>IFERROR(__xludf.DUMMYFUNCTION("""COMPUTED_VALUE"""),"Excellent")</f>
        <v>Excellent</v>
      </c>
      <c r="AB2262" t="str">
        <f>IFERROR(__xludf.DUMMYFUNCTION("""COMPUTED_VALUE"""),"Excellent")</f>
        <v>Excellent</v>
      </c>
      <c r="AH2262" s="189">
        <f>IFERROR(__xludf.DUMMYFUNCTION("""COMPUTED_VALUE"""),43842.91227364584)</f>
        <v>43842.91227</v>
      </c>
    </row>
    <row r="2263">
      <c r="A2263" t="str">
        <f>IFERROR(__xludf.DUMMYFUNCTION("""COMPUTED_VALUE"""),"Teslinator")</f>
        <v>Teslinator</v>
      </c>
      <c r="B2263" t="str">
        <f>IFERROR(__xludf.DUMMYFUNCTION("""COMPUTED_VALUE"""),"Portland")</f>
        <v>Portland</v>
      </c>
      <c r="C2263" t="str">
        <f>IFERROR(__xludf.DUMMYFUNCTION("""COMPUTED_VALUE"""),"OR")</f>
        <v>OR</v>
      </c>
      <c r="D2263" t="str">
        <f>IFERROR(__xludf.DUMMYFUNCTION("""COMPUTED_VALUE"""),"USA")</f>
        <v>USA</v>
      </c>
      <c r="E2263" s="188">
        <f>IFERROR(__xludf.DUMMYFUNCTION("""COMPUTED_VALUE"""),43803.0)</f>
        <v>43803</v>
      </c>
      <c r="F2263" s="188">
        <f>IFERROR(__xludf.DUMMYFUNCTION("""COMPUTED_VALUE"""),43815.0)</f>
        <v>43815</v>
      </c>
      <c r="H2263">
        <f>IFERROR(__xludf.DUMMYFUNCTION("""COMPUTED_VALUE"""),624595.0)</f>
        <v>624595</v>
      </c>
      <c r="I2263" t="str">
        <f>IFERROR(__xludf.DUMMYFUNCTION("""COMPUTED_VALUE"""),"12/19")</f>
        <v>12/19</v>
      </c>
      <c r="J2263" s="5">
        <f>IFERROR(__xludf.DUMMYFUNCTION("""COMPUTED_VALUE"""),43818.0)</f>
        <v>43818</v>
      </c>
      <c r="K2263">
        <f>IFERROR(__xludf.DUMMYFUNCTION("""COMPUTED_VALUE"""),12.0)</f>
        <v>12</v>
      </c>
      <c r="L2263">
        <f>IFERROR(__xludf.DUMMYFUNCTION("""COMPUTED_VALUE"""),3.0)</f>
        <v>3</v>
      </c>
      <c r="M2263">
        <f>IFERROR(__xludf.DUMMYFUNCTION("""COMPUTED_VALUE"""),15.0)</f>
        <v>15</v>
      </c>
      <c r="N2263" t="str">
        <f>IFERROR(__xludf.DUMMYFUNCTION("""COMPUTED_VALUE"""),"Model 3 Performance")</f>
        <v>Model 3 Performance</v>
      </c>
      <c r="O2263" t="str">
        <f>IFERROR(__xludf.DUMMYFUNCTION("""COMPUTED_VALUE"""),"Deep Blue Metallic")</f>
        <v>Deep Blue Metallic</v>
      </c>
      <c r="P2263" t="str">
        <f>IFERROR(__xludf.DUMMYFUNCTION("""COMPUTED_VALUE"""),"20 inch Sport")</f>
        <v>20 inch Sport</v>
      </c>
      <c r="Q2263" t="str">
        <f>IFERROR(__xludf.DUMMYFUNCTION("""COMPUTED_VALUE"""),"White seats")</f>
        <v>White seats</v>
      </c>
      <c r="R2263" t="str">
        <f>IFERROR(__xludf.DUMMYFUNCTION("""COMPUTED_VALUE"""),"Full Self-Driving")</f>
        <v>Full Self-Driving</v>
      </c>
      <c r="X2263" t="str">
        <f>IFERROR(__xludf.DUMMYFUNCTION("""COMPUTED_VALUE"""),"Excellent")</f>
        <v>Excellent</v>
      </c>
      <c r="Y2263" t="str">
        <f>IFERROR(__xludf.DUMMYFUNCTION("""COMPUTED_VALUE"""),"Excellent")</f>
        <v>Excellent</v>
      </c>
      <c r="Z2263" t="str">
        <f>IFERROR(__xludf.DUMMYFUNCTION("""COMPUTED_VALUE"""),"Very Good")</f>
        <v>Very Good</v>
      </c>
      <c r="AA2263" t="str">
        <f>IFERROR(__xludf.DUMMYFUNCTION("""COMPUTED_VALUE"""),"Excellent")</f>
        <v>Excellent</v>
      </c>
      <c r="AB2263" t="str">
        <f>IFERROR(__xludf.DUMMYFUNCTION("""COMPUTED_VALUE"""),"Excellent")</f>
        <v>Excellent</v>
      </c>
      <c r="AC2263">
        <f>IFERROR(__xludf.DUMMYFUNCTION("""COMPUTED_VALUE"""),0.0)</f>
        <v>0</v>
      </c>
      <c r="AD2263">
        <f>IFERROR(__xludf.DUMMYFUNCTION("""COMPUTED_VALUE"""),1.0)</f>
        <v>1</v>
      </c>
      <c r="AE2263">
        <f>IFERROR(__xludf.DUMMYFUNCTION("""COMPUTED_VALUE"""),0.0)</f>
        <v>0</v>
      </c>
      <c r="AH2263" s="189">
        <f>IFERROR(__xludf.DUMMYFUNCTION("""COMPUTED_VALUE"""),43843.42862368056)</f>
        <v>43843.42862</v>
      </c>
    </row>
    <row r="2264">
      <c r="A2264" t="str">
        <f>IFERROR(__xludf.DUMMYFUNCTION("""COMPUTED_VALUE"""),"TydalForce")</f>
        <v>TydalForce</v>
      </c>
      <c r="B2264" t="str">
        <f>IFERROR(__xludf.DUMMYFUNCTION("""COMPUTED_VALUE"""),"West Chester, PA")</f>
        <v>West Chester, PA</v>
      </c>
      <c r="C2264" t="str">
        <f>IFERROR(__xludf.DUMMYFUNCTION("""COMPUTED_VALUE"""),"PA")</f>
        <v>PA</v>
      </c>
      <c r="D2264" t="str">
        <f>IFERROR(__xludf.DUMMYFUNCTION("""COMPUTED_VALUE"""),"USA")</f>
        <v>USA</v>
      </c>
      <c r="E2264" s="188">
        <f>IFERROR(__xludf.DUMMYFUNCTION("""COMPUTED_VALUE"""),43750.0)</f>
        <v>43750</v>
      </c>
      <c r="F2264" s="188">
        <f>IFERROR(__xludf.DUMMYFUNCTION("""COMPUTED_VALUE"""),43800.0)</f>
        <v>43800</v>
      </c>
      <c r="H2264">
        <f>IFERROR(__xludf.DUMMYFUNCTION("""COMPUTED_VALUE"""),600930.0)</f>
        <v>600930</v>
      </c>
      <c r="I2264" t="str">
        <f>IFERROR(__xludf.DUMMYFUNCTION("""COMPUTED_VALUE"""),"12/19")</f>
        <v>12/19</v>
      </c>
      <c r="J2264" s="5">
        <f>IFERROR(__xludf.DUMMYFUNCTION("""COMPUTED_VALUE"""),43813.0)</f>
        <v>43813</v>
      </c>
      <c r="K2264">
        <f>IFERROR(__xludf.DUMMYFUNCTION("""COMPUTED_VALUE"""),50.0)</f>
        <v>50</v>
      </c>
      <c r="L2264">
        <f>IFERROR(__xludf.DUMMYFUNCTION("""COMPUTED_VALUE"""),13.0)</f>
        <v>13</v>
      </c>
      <c r="M2264">
        <f>IFERROR(__xludf.DUMMYFUNCTION("""COMPUTED_VALUE"""),63.0)</f>
        <v>63</v>
      </c>
      <c r="N2264" t="str">
        <f>IFERROR(__xludf.DUMMYFUNCTION("""COMPUTED_VALUE"""),"Model 3 LR AWD")</f>
        <v>Model 3 LR AWD</v>
      </c>
      <c r="O2264" t="str">
        <f>IFERROR(__xludf.DUMMYFUNCTION("""COMPUTED_VALUE"""),"Solid Black")</f>
        <v>Solid Black</v>
      </c>
      <c r="P2264" t="str">
        <f>IFERROR(__xludf.DUMMYFUNCTION("""COMPUTED_VALUE"""),"18 inch Aero")</f>
        <v>18 inch Aero</v>
      </c>
      <c r="Q2264" t="str">
        <f>IFERROR(__xludf.DUMMYFUNCTION("""COMPUTED_VALUE"""),"White seats")</f>
        <v>White seats</v>
      </c>
      <c r="R2264" t="str">
        <f>IFERROR(__xludf.DUMMYFUNCTION("""COMPUTED_VALUE"""),"Autopilot")</f>
        <v>Autopilot</v>
      </c>
      <c r="X2264" t="str">
        <f>IFERROR(__xludf.DUMMYFUNCTION("""COMPUTED_VALUE"""),"Excellent")</f>
        <v>Excellent</v>
      </c>
      <c r="Y2264" t="str">
        <f>IFERROR(__xludf.DUMMYFUNCTION("""COMPUTED_VALUE"""),"Excellent")</f>
        <v>Excellent</v>
      </c>
      <c r="Z2264" t="str">
        <f>IFERROR(__xludf.DUMMYFUNCTION("""COMPUTED_VALUE"""),"Excellent")</f>
        <v>Excellent</v>
      </c>
      <c r="AA2264" t="str">
        <f>IFERROR(__xludf.DUMMYFUNCTION("""COMPUTED_VALUE"""),"Very Good")</f>
        <v>Very Good</v>
      </c>
      <c r="AB2264" t="str">
        <f>IFERROR(__xludf.DUMMYFUNCTION("""COMPUTED_VALUE"""),"Excellent")</f>
        <v>Excellent</v>
      </c>
      <c r="AC2264">
        <f>IFERROR(__xludf.DUMMYFUNCTION("""COMPUTED_VALUE"""),0.0)</f>
        <v>0</v>
      </c>
      <c r="AD2264">
        <f>IFERROR(__xludf.DUMMYFUNCTION("""COMPUTED_VALUE"""),0.0)</f>
        <v>0</v>
      </c>
      <c r="AE2264">
        <f>IFERROR(__xludf.DUMMYFUNCTION("""COMPUTED_VALUE"""),0.0)</f>
        <v>0</v>
      </c>
      <c r="AG2264" t="str">
        <f>IFERROR(__xludf.DUMMYFUNCTION("""COMPUTED_VALUE"""),"VIN in Source Code 1 Dec; on Manage page 11 Dec. Delivery originally 18 Dec but upped to the 14th")</f>
        <v>VIN in Source Code 1 Dec; on Manage page 11 Dec. Delivery originally 18 Dec but upped to the 14th</v>
      </c>
      <c r="AH2264" s="189">
        <f>IFERROR(__xludf.DUMMYFUNCTION("""COMPUTED_VALUE"""),43845.133892453705)</f>
        <v>43845.13389</v>
      </c>
    </row>
    <row r="2265">
      <c r="A2265" t="str">
        <f>IFERROR(__xludf.DUMMYFUNCTION("""COMPUTED_VALUE"""),"gcardona")</f>
        <v>gcardona</v>
      </c>
      <c r="B2265" t="str">
        <f>IFERROR(__xludf.DUMMYFUNCTION("""COMPUTED_VALUE"""),"Richardson")</f>
        <v>Richardson</v>
      </c>
      <c r="C2265" t="str">
        <f>IFERROR(__xludf.DUMMYFUNCTION("""COMPUTED_VALUE"""),"TX")</f>
        <v>TX</v>
      </c>
      <c r="D2265" t="str">
        <f>IFERROR(__xludf.DUMMYFUNCTION("""COMPUTED_VALUE"""),"USA")</f>
        <v>USA</v>
      </c>
      <c r="E2265" s="188">
        <f>IFERROR(__xludf.DUMMYFUNCTION("""COMPUTED_VALUE"""),43604.0)</f>
        <v>43604</v>
      </c>
      <c r="F2265" s="188">
        <f>IFERROR(__xludf.DUMMYFUNCTION("""COMPUTED_VALUE"""),43617.0)</f>
        <v>43617</v>
      </c>
      <c r="H2265">
        <f>IFERROR(__xludf.DUMMYFUNCTION("""COMPUTED_VALUE"""),393555.0)</f>
        <v>393555</v>
      </c>
      <c r="I2265" t="str">
        <f>IFERROR(__xludf.DUMMYFUNCTION("""COMPUTED_VALUE"""),"06/19")</f>
        <v>06/19</v>
      </c>
      <c r="J2265" s="5">
        <f>IFERROR(__xludf.DUMMYFUNCTION("""COMPUTED_VALUE"""),43630.0)</f>
        <v>43630</v>
      </c>
      <c r="K2265">
        <f>IFERROR(__xludf.DUMMYFUNCTION("""COMPUTED_VALUE"""),13.0)</f>
        <v>13</v>
      </c>
      <c r="L2265">
        <f>IFERROR(__xludf.DUMMYFUNCTION("""COMPUTED_VALUE"""),13.0)</f>
        <v>13</v>
      </c>
      <c r="M2265">
        <f>IFERROR(__xludf.DUMMYFUNCTION("""COMPUTED_VALUE"""),26.0)</f>
        <v>26</v>
      </c>
      <c r="N2265" t="str">
        <f>IFERROR(__xludf.DUMMYFUNCTION("""COMPUTED_VALUE"""),"Model 3 Performance")</f>
        <v>Model 3 Performance</v>
      </c>
      <c r="O2265" t="str">
        <f>IFERROR(__xludf.DUMMYFUNCTION("""COMPUTED_VALUE"""),"Deep Blue Metallic")</f>
        <v>Deep Blue Metallic</v>
      </c>
      <c r="P2265" t="str">
        <f>IFERROR(__xludf.DUMMYFUNCTION("""COMPUTED_VALUE"""),"20 inch Sport")</f>
        <v>20 inch Sport</v>
      </c>
      <c r="Q2265" t="str">
        <f>IFERROR(__xludf.DUMMYFUNCTION("""COMPUTED_VALUE"""),"White seats")</f>
        <v>White seats</v>
      </c>
      <c r="R2265" t="str">
        <f>IFERROR(__xludf.DUMMYFUNCTION("""COMPUTED_VALUE"""),"Full Self-Driving")</f>
        <v>Full Self-Driving</v>
      </c>
      <c r="X2265" t="str">
        <f>IFERROR(__xludf.DUMMYFUNCTION("""COMPUTED_VALUE"""),"Excellent")</f>
        <v>Excellent</v>
      </c>
      <c r="Y2265" t="str">
        <f>IFERROR(__xludf.DUMMYFUNCTION("""COMPUTED_VALUE"""),"Excellent")</f>
        <v>Excellent</v>
      </c>
      <c r="Z2265" t="str">
        <f>IFERROR(__xludf.DUMMYFUNCTION("""COMPUTED_VALUE"""),"Excellent")</f>
        <v>Excellent</v>
      </c>
      <c r="AA2265" t="str">
        <f>IFERROR(__xludf.DUMMYFUNCTION("""COMPUTED_VALUE"""),"Good")</f>
        <v>Good</v>
      </c>
      <c r="AB2265" t="str">
        <f>IFERROR(__xludf.DUMMYFUNCTION("""COMPUTED_VALUE"""),"Excellent")</f>
        <v>Excellent</v>
      </c>
      <c r="AC2265">
        <f>IFERROR(__xludf.DUMMYFUNCTION("""COMPUTED_VALUE"""),0.0)</f>
        <v>0</v>
      </c>
      <c r="AD2265">
        <f>IFERROR(__xludf.DUMMYFUNCTION("""COMPUTED_VALUE"""),0.0)</f>
        <v>0</v>
      </c>
      <c r="AE2265">
        <f>IFERROR(__xludf.DUMMYFUNCTION("""COMPUTED_VALUE"""),0.0)</f>
        <v>0</v>
      </c>
      <c r="AH2265" s="189">
        <f>IFERROR(__xludf.DUMMYFUNCTION("""COMPUTED_VALUE"""),43846.66525024305)</f>
        <v>43846.66525</v>
      </c>
    </row>
    <row r="2266">
      <c r="A2266" t="str">
        <f>IFERROR(__xludf.DUMMYFUNCTION("""COMPUTED_VALUE"""),"amvinson")</f>
        <v>amvinson</v>
      </c>
      <c r="B2266" t="str">
        <f>IFERROR(__xludf.DUMMYFUNCTION("""COMPUTED_VALUE"""),"Orlando")</f>
        <v>Orlando</v>
      </c>
      <c r="C2266" t="str">
        <f>IFERROR(__xludf.DUMMYFUNCTION("""COMPUTED_VALUE"""),"FL")</f>
        <v>FL</v>
      </c>
      <c r="D2266" t="str">
        <f>IFERROR(__xludf.DUMMYFUNCTION("""COMPUTED_VALUE"""),"USA")</f>
        <v>USA</v>
      </c>
      <c r="E2266" s="188">
        <f>IFERROR(__xludf.DUMMYFUNCTION("""COMPUTED_VALUE"""),43812.0)</f>
        <v>43812</v>
      </c>
      <c r="F2266" s="188">
        <f>IFERROR(__xludf.DUMMYFUNCTION("""COMPUTED_VALUE"""),43812.0)</f>
        <v>43812</v>
      </c>
      <c r="H2266">
        <f>IFERROR(__xludf.DUMMYFUNCTION("""COMPUTED_VALUE"""),601897.0)</f>
        <v>601897</v>
      </c>
      <c r="I2266" t="str">
        <f>IFERROR(__xludf.DUMMYFUNCTION("""COMPUTED_VALUE"""),"11/19")</f>
        <v>11/19</v>
      </c>
      <c r="J2266" s="5">
        <f>IFERROR(__xludf.DUMMYFUNCTION("""COMPUTED_VALUE"""),43818.0)</f>
        <v>43818</v>
      </c>
      <c r="K2266">
        <f>IFERROR(__xludf.DUMMYFUNCTION("""COMPUTED_VALUE"""),0.0)</f>
        <v>0</v>
      </c>
      <c r="L2266">
        <f>IFERROR(__xludf.DUMMYFUNCTION("""COMPUTED_VALUE"""),6.0)</f>
        <v>6</v>
      </c>
      <c r="M2266">
        <f>IFERROR(__xludf.DUMMYFUNCTION("""COMPUTED_VALUE"""),6.0)</f>
        <v>6</v>
      </c>
      <c r="N2266" t="str">
        <f>IFERROR(__xludf.DUMMYFUNCTION("""COMPUTED_VALUE"""),"Model 3 Performance")</f>
        <v>Model 3 Performance</v>
      </c>
      <c r="O2266" t="str">
        <f>IFERROR(__xludf.DUMMYFUNCTION("""COMPUTED_VALUE"""),"Red Multi-Coat")</f>
        <v>Red Multi-Coat</v>
      </c>
      <c r="P2266" t="str">
        <f>IFERROR(__xludf.DUMMYFUNCTION("""COMPUTED_VALUE"""),"18 inch Aero")</f>
        <v>18 inch Aero</v>
      </c>
      <c r="Q2266" t="str">
        <f>IFERROR(__xludf.DUMMYFUNCTION("""COMPUTED_VALUE"""),"Black seats")</f>
        <v>Black seats</v>
      </c>
      <c r="R2266" t="str">
        <f>IFERROR(__xludf.DUMMYFUNCTION("""COMPUTED_VALUE"""),"Autopilot")</f>
        <v>Autopilot</v>
      </c>
      <c r="X2266" t="str">
        <f>IFERROR(__xludf.DUMMYFUNCTION("""COMPUTED_VALUE"""),"Very Good")</f>
        <v>Very Good</v>
      </c>
      <c r="Y2266" t="str">
        <f>IFERROR(__xludf.DUMMYFUNCTION("""COMPUTED_VALUE"""),"Excellent")</f>
        <v>Excellent</v>
      </c>
      <c r="Z2266" t="str">
        <f>IFERROR(__xludf.DUMMYFUNCTION("""COMPUTED_VALUE"""),"Very Good")</f>
        <v>Very Good</v>
      </c>
      <c r="AA2266" t="str">
        <f>IFERROR(__xludf.DUMMYFUNCTION("""COMPUTED_VALUE"""),"Excellent")</f>
        <v>Excellent</v>
      </c>
      <c r="AB2266" t="str">
        <f>IFERROR(__xludf.DUMMYFUNCTION("""COMPUTED_VALUE"""),"Very Good")</f>
        <v>Very Good</v>
      </c>
      <c r="AC2266">
        <f>IFERROR(__xludf.DUMMYFUNCTION("""COMPUTED_VALUE"""),2.0)</f>
        <v>2</v>
      </c>
      <c r="AD2266">
        <f>IFERROR(__xludf.DUMMYFUNCTION("""COMPUTED_VALUE"""),0.0)</f>
        <v>0</v>
      </c>
      <c r="AE2266">
        <f>IFERROR(__xludf.DUMMYFUNCTION("""COMPUTED_VALUE"""),0.0)</f>
        <v>0</v>
      </c>
      <c r="AH2266" s="189">
        <f>IFERROR(__xludf.DUMMYFUNCTION("""COMPUTED_VALUE"""),43846.802583125)</f>
        <v>43846.80258</v>
      </c>
    </row>
    <row r="2267">
      <c r="A2267" t="str">
        <f>IFERROR(__xludf.DUMMYFUNCTION("""COMPUTED_VALUE"""),"shoeboy")</f>
        <v>shoeboy</v>
      </c>
      <c r="C2267" t="str">
        <f>IFERROR(__xludf.DUMMYFUNCTION("""COMPUTED_VALUE"""),"CA")</f>
        <v>CA</v>
      </c>
      <c r="D2267" t="str">
        <f>IFERROR(__xludf.DUMMYFUNCTION("""COMPUTED_VALUE"""),"USA")</f>
        <v>USA</v>
      </c>
      <c r="E2267" s="188">
        <f>IFERROR(__xludf.DUMMYFUNCTION("""COMPUTED_VALUE"""),43567.0)</f>
        <v>43567</v>
      </c>
      <c r="F2267" s="188">
        <f>IFERROR(__xludf.DUMMYFUNCTION("""COMPUTED_VALUE"""),43579.0)</f>
        <v>43579</v>
      </c>
      <c r="I2267" t="str">
        <f>IFERROR(__xludf.DUMMYFUNCTION("""COMPUTED_VALUE"""),"05/19")</f>
        <v>05/19</v>
      </c>
      <c r="J2267" s="5">
        <f>IFERROR(__xludf.DUMMYFUNCTION("""COMPUTED_VALUE"""),43581.0)</f>
        <v>43581</v>
      </c>
      <c r="K2267">
        <f>IFERROR(__xludf.DUMMYFUNCTION("""COMPUTED_VALUE"""),12.0)</f>
        <v>12</v>
      </c>
      <c r="L2267">
        <f>IFERROR(__xludf.DUMMYFUNCTION("""COMPUTED_VALUE"""),2.0)</f>
        <v>2</v>
      </c>
      <c r="M2267">
        <f>IFERROR(__xludf.DUMMYFUNCTION("""COMPUTED_VALUE"""),14.0)</f>
        <v>14</v>
      </c>
      <c r="N2267" t="str">
        <f>IFERROR(__xludf.DUMMYFUNCTION("""COMPUTED_VALUE"""),"Model 3 SR")</f>
        <v>Model 3 SR</v>
      </c>
      <c r="O2267" t="str">
        <f>IFERROR(__xludf.DUMMYFUNCTION("""COMPUTED_VALUE"""),"Solid Black")</f>
        <v>Solid Black</v>
      </c>
      <c r="P2267" t="str">
        <f>IFERROR(__xludf.DUMMYFUNCTION("""COMPUTED_VALUE"""),"18 inch Aero")</f>
        <v>18 inch Aero</v>
      </c>
      <c r="Q2267" t="str">
        <f>IFERROR(__xludf.DUMMYFUNCTION("""COMPUTED_VALUE"""),"Black seats")</f>
        <v>Black seats</v>
      </c>
      <c r="X2267" t="str">
        <f>IFERROR(__xludf.DUMMYFUNCTION("""COMPUTED_VALUE"""),"Very Good")</f>
        <v>Very Good</v>
      </c>
      <c r="Y2267" t="str">
        <f>IFERROR(__xludf.DUMMYFUNCTION("""COMPUTED_VALUE"""),"Very Good")</f>
        <v>Very Good</v>
      </c>
      <c r="Z2267" t="str">
        <f>IFERROR(__xludf.DUMMYFUNCTION("""COMPUTED_VALUE"""),"Very Good")</f>
        <v>Very Good</v>
      </c>
      <c r="AA2267" t="str">
        <f>IFERROR(__xludf.DUMMYFUNCTION("""COMPUTED_VALUE"""),"Very Good")</f>
        <v>Very Good</v>
      </c>
      <c r="AB2267" t="str">
        <f>IFERROR(__xludf.DUMMYFUNCTION("""COMPUTED_VALUE"""),"Excellent")</f>
        <v>Excellent</v>
      </c>
      <c r="AC2267">
        <f>IFERROR(__xludf.DUMMYFUNCTION("""COMPUTED_VALUE"""),3.0)</f>
        <v>3</v>
      </c>
      <c r="AD2267">
        <f>IFERROR(__xludf.DUMMYFUNCTION("""COMPUTED_VALUE"""),1.0)</f>
        <v>1</v>
      </c>
      <c r="AE2267">
        <f>IFERROR(__xludf.DUMMYFUNCTION("""COMPUTED_VALUE"""),1.0)</f>
        <v>1</v>
      </c>
      <c r="AH2267" s="189">
        <f>IFERROR(__xludf.DUMMYFUNCTION("""COMPUTED_VALUE"""),43847.33311905093)</f>
        <v>43847.33312</v>
      </c>
    </row>
    <row r="2268">
      <c r="A2268" t="str">
        <f>IFERROR(__xludf.DUMMYFUNCTION("""COMPUTED_VALUE"""),"wolv_in_socal")</f>
        <v>wolv_in_socal</v>
      </c>
      <c r="B2268" t="str">
        <f>IFERROR(__xludf.DUMMYFUNCTION("""COMPUTED_VALUE"""),"Monrovia")</f>
        <v>Monrovia</v>
      </c>
      <c r="C2268" t="str">
        <f>IFERROR(__xludf.DUMMYFUNCTION("""COMPUTED_VALUE"""),"CA")</f>
        <v>CA</v>
      </c>
      <c r="D2268" t="str">
        <f>IFERROR(__xludf.DUMMYFUNCTION("""COMPUTED_VALUE"""),"USA")</f>
        <v>USA</v>
      </c>
      <c r="E2268" s="188">
        <f>IFERROR(__xludf.DUMMYFUNCTION("""COMPUTED_VALUE"""),43835.0)</f>
        <v>43835</v>
      </c>
      <c r="F2268" s="188">
        <f>IFERROR(__xludf.DUMMYFUNCTION("""COMPUTED_VALUE"""),43845.0)</f>
        <v>43845</v>
      </c>
      <c r="J2268" s="5">
        <f>IFERROR(__xludf.DUMMYFUNCTION("""COMPUTED_VALUE"""),43846.0)</f>
        <v>43846</v>
      </c>
      <c r="K2268">
        <f>IFERROR(__xludf.DUMMYFUNCTION("""COMPUTED_VALUE"""),10.0)</f>
        <v>10</v>
      </c>
      <c r="L2268">
        <f>IFERROR(__xludf.DUMMYFUNCTION("""COMPUTED_VALUE"""),1.0)</f>
        <v>1</v>
      </c>
      <c r="M2268">
        <f>IFERROR(__xludf.DUMMYFUNCTION("""COMPUTED_VALUE"""),11.0)</f>
        <v>11</v>
      </c>
      <c r="N2268" t="str">
        <f>IFERROR(__xludf.DUMMYFUNCTION("""COMPUTED_VALUE"""),"Model 3 LR AWD")</f>
        <v>Model 3 LR AWD</v>
      </c>
      <c r="O2268" t="str">
        <f>IFERROR(__xludf.DUMMYFUNCTION("""COMPUTED_VALUE"""),"Deep Blue Metallic")</f>
        <v>Deep Blue Metallic</v>
      </c>
      <c r="P2268" t="str">
        <f>IFERROR(__xludf.DUMMYFUNCTION("""COMPUTED_VALUE"""),"18 inch Aero")</f>
        <v>18 inch Aero</v>
      </c>
      <c r="Q2268" t="str">
        <f>IFERROR(__xludf.DUMMYFUNCTION("""COMPUTED_VALUE"""),"Black seats")</f>
        <v>Black seats</v>
      </c>
      <c r="R2268" t="str">
        <f>IFERROR(__xludf.DUMMYFUNCTION("""COMPUTED_VALUE"""),"Autopilot")</f>
        <v>Autopilot</v>
      </c>
      <c r="X2268" t="str">
        <f>IFERROR(__xludf.DUMMYFUNCTION("""COMPUTED_VALUE"""),"Excellent")</f>
        <v>Excellent</v>
      </c>
      <c r="Y2268" t="str">
        <f>IFERROR(__xludf.DUMMYFUNCTION("""COMPUTED_VALUE"""),"Excellent")</f>
        <v>Excellent</v>
      </c>
      <c r="Z2268" t="str">
        <f>IFERROR(__xludf.DUMMYFUNCTION("""COMPUTED_VALUE"""),"Excellent")</f>
        <v>Excellent</v>
      </c>
      <c r="AA2268" t="str">
        <f>IFERROR(__xludf.DUMMYFUNCTION("""COMPUTED_VALUE"""),"Good")</f>
        <v>Good</v>
      </c>
      <c r="AB2268" t="str">
        <f>IFERROR(__xludf.DUMMYFUNCTION("""COMPUTED_VALUE"""),"Excellent")</f>
        <v>Excellent</v>
      </c>
      <c r="AG2268" t="str">
        <f>IFERROR(__xludf.DUMMYFUNCTION("""COMPUTED_VALUE"""),"Upgraded to LR AWD on 1/11/20")</f>
        <v>Upgraded to LR AWD on 1/11/20</v>
      </c>
      <c r="AH2268" s="189">
        <f>IFERROR(__xludf.DUMMYFUNCTION("""COMPUTED_VALUE"""),43847.40216533565)</f>
        <v>43847.40217</v>
      </c>
    </row>
    <row r="2269">
      <c r="A2269" t="str">
        <f>IFERROR(__xludf.DUMMYFUNCTION("""COMPUTED_VALUE"""),"huangm777")</f>
        <v>huangm777</v>
      </c>
      <c r="B2269" t="str">
        <f>IFERROR(__xludf.DUMMYFUNCTION("""COMPUTED_VALUE"""),"Chino")</f>
        <v>Chino</v>
      </c>
      <c r="C2269" t="str">
        <f>IFERROR(__xludf.DUMMYFUNCTION("""COMPUTED_VALUE"""),"CA")</f>
        <v>CA</v>
      </c>
      <c r="D2269" t="str">
        <f>IFERROR(__xludf.DUMMYFUNCTION("""COMPUTED_VALUE"""),"USA")</f>
        <v>USA</v>
      </c>
      <c r="E2269" s="188">
        <f>IFERROR(__xludf.DUMMYFUNCTION("""COMPUTED_VALUE"""),43770.0)</f>
        <v>43770</v>
      </c>
      <c r="F2269" s="188">
        <f>IFERROR(__xludf.DUMMYFUNCTION("""COMPUTED_VALUE"""),43806.0)</f>
        <v>43806</v>
      </c>
      <c r="H2269">
        <f>IFERROR(__xludf.DUMMYFUNCTION("""COMPUTED_VALUE"""),601955.0)</f>
        <v>601955</v>
      </c>
      <c r="I2269" t="str">
        <f>IFERROR(__xludf.DUMMYFUNCTION("""COMPUTED_VALUE"""),"11/19")</f>
        <v>11/19</v>
      </c>
      <c r="J2269" s="5">
        <f>IFERROR(__xludf.DUMMYFUNCTION("""COMPUTED_VALUE"""),43813.0)</f>
        <v>43813</v>
      </c>
      <c r="K2269">
        <f>IFERROR(__xludf.DUMMYFUNCTION("""COMPUTED_VALUE"""),36.0)</f>
        <v>36</v>
      </c>
      <c r="L2269">
        <f>IFERROR(__xludf.DUMMYFUNCTION("""COMPUTED_VALUE"""),7.0)</f>
        <v>7</v>
      </c>
      <c r="M2269">
        <f>IFERROR(__xludf.DUMMYFUNCTION("""COMPUTED_VALUE"""),43.0)</f>
        <v>43</v>
      </c>
      <c r="N2269" t="str">
        <f>IFERROR(__xludf.DUMMYFUNCTION("""COMPUTED_VALUE"""),"Model 3 Performance")</f>
        <v>Model 3 Performance</v>
      </c>
      <c r="O2269" t="str">
        <f>IFERROR(__xludf.DUMMYFUNCTION("""COMPUTED_VALUE"""),"Red Multi-Coat")</f>
        <v>Red Multi-Coat</v>
      </c>
      <c r="P2269" t="str">
        <f>IFERROR(__xludf.DUMMYFUNCTION("""COMPUTED_VALUE"""),"18 inch Aero")</f>
        <v>18 inch Aero</v>
      </c>
      <c r="Q2269" t="str">
        <f>IFERROR(__xludf.DUMMYFUNCTION("""COMPUTED_VALUE"""),"Black seats")</f>
        <v>Black seats</v>
      </c>
      <c r="R2269" t="str">
        <f>IFERROR(__xludf.DUMMYFUNCTION("""COMPUTED_VALUE"""),"Autopilot")</f>
        <v>Autopilot</v>
      </c>
      <c r="X2269" t="str">
        <f>IFERROR(__xludf.DUMMYFUNCTION("""COMPUTED_VALUE"""),"Excellent")</f>
        <v>Excellent</v>
      </c>
      <c r="Y2269" t="str">
        <f>IFERROR(__xludf.DUMMYFUNCTION("""COMPUTED_VALUE"""),"Excellent")</f>
        <v>Excellent</v>
      </c>
      <c r="Z2269" t="str">
        <f>IFERROR(__xludf.DUMMYFUNCTION("""COMPUTED_VALUE"""),"Excellent")</f>
        <v>Excellent</v>
      </c>
      <c r="AA2269" t="str">
        <f>IFERROR(__xludf.DUMMYFUNCTION("""COMPUTED_VALUE"""),"Very Good")</f>
        <v>Very Good</v>
      </c>
      <c r="AB2269" t="str">
        <f>IFERROR(__xludf.DUMMYFUNCTION("""COMPUTED_VALUE"""),"Excellent")</f>
        <v>Excellent</v>
      </c>
      <c r="AC2269">
        <f>IFERROR(__xludf.DUMMYFUNCTION("""COMPUTED_VALUE"""),0.0)</f>
        <v>0</v>
      </c>
      <c r="AD2269">
        <f>IFERROR(__xludf.DUMMYFUNCTION("""COMPUTED_VALUE"""),0.0)</f>
        <v>0</v>
      </c>
      <c r="AE2269">
        <f>IFERROR(__xludf.DUMMYFUNCTION("""COMPUTED_VALUE"""),0.0)</f>
        <v>0</v>
      </c>
      <c r="AG2269" t="str">
        <f>IFERROR(__xludf.DUMMYFUNCTION("""COMPUTED_VALUE"""),"Changed on 12/7 to P3D-, was already available at Marina Del Rey. Will have it delivered to Buena Park on 12/14.")</f>
        <v>Changed on 12/7 to P3D-, was already available at Marina Del Rey. Will have it delivered to Buena Park on 12/14.</v>
      </c>
      <c r="AH2269" s="189">
        <f>IFERROR(__xludf.DUMMYFUNCTION("""COMPUTED_VALUE"""),43847.64198246528)</f>
        <v>43847.64198</v>
      </c>
    </row>
    <row r="2270">
      <c r="A2270" t="str">
        <f>IFERROR(__xludf.DUMMYFUNCTION("""COMPUTED_VALUE"""),"tablan")</f>
        <v>tablan</v>
      </c>
      <c r="B2270" t="str">
        <f>IFERROR(__xludf.DUMMYFUNCTION("""COMPUTED_VALUE"""),"Mesa")</f>
        <v>Mesa</v>
      </c>
      <c r="C2270" t="str">
        <f>IFERROR(__xludf.DUMMYFUNCTION("""COMPUTED_VALUE"""),"AZ")</f>
        <v>AZ</v>
      </c>
      <c r="D2270" t="str">
        <f>IFERROR(__xludf.DUMMYFUNCTION("""COMPUTED_VALUE"""),"USA")</f>
        <v>USA</v>
      </c>
      <c r="E2270" s="188">
        <f>IFERROR(__xludf.DUMMYFUNCTION("""COMPUTED_VALUE"""),43804.0)</f>
        <v>43804</v>
      </c>
      <c r="F2270" s="188">
        <f>IFERROR(__xludf.DUMMYFUNCTION("""COMPUTED_VALUE"""),43815.0)</f>
        <v>43815</v>
      </c>
      <c r="H2270">
        <f>IFERROR(__xludf.DUMMYFUNCTION("""COMPUTED_VALUE"""),619608.0)</f>
        <v>619608</v>
      </c>
      <c r="I2270" t="str">
        <f>IFERROR(__xludf.DUMMYFUNCTION("""COMPUTED_VALUE"""),"12/19")</f>
        <v>12/19</v>
      </c>
      <c r="J2270" s="5">
        <f>IFERROR(__xludf.DUMMYFUNCTION("""COMPUTED_VALUE"""),43820.0)</f>
        <v>43820</v>
      </c>
      <c r="K2270">
        <f>IFERROR(__xludf.DUMMYFUNCTION("""COMPUTED_VALUE"""),11.0)</f>
        <v>11</v>
      </c>
      <c r="L2270">
        <f>IFERROR(__xludf.DUMMYFUNCTION("""COMPUTED_VALUE"""),5.0)</f>
        <v>5</v>
      </c>
      <c r="M2270">
        <f>IFERROR(__xludf.DUMMYFUNCTION("""COMPUTED_VALUE"""),16.0)</f>
        <v>16</v>
      </c>
      <c r="N2270" t="str">
        <f>IFERROR(__xludf.DUMMYFUNCTION("""COMPUTED_VALUE"""),"Model 3 LR AWD")</f>
        <v>Model 3 LR AWD</v>
      </c>
      <c r="O2270" t="str">
        <f>IFERROR(__xludf.DUMMYFUNCTION("""COMPUTED_VALUE"""),"Pearl White Multi-Coat")</f>
        <v>Pearl White Multi-Coat</v>
      </c>
      <c r="P2270" t="str">
        <f>IFERROR(__xludf.DUMMYFUNCTION("""COMPUTED_VALUE"""),"18 inch Aero")</f>
        <v>18 inch Aero</v>
      </c>
      <c r="Q2270" t="str">
        <f>IFERROR(__xludf.DUMMYFUNCTION("""COMPUTED_VALUE"""),"Black seats")</f>
        <v>Black seats</v>
      </c>
      <c r="R2270" t="str">
        <f>IFERROR(__xludf.DUMMYFUNCTION("""COMPUTED_VALUE"""),"Full Self-Driving")</f>
        <v>Full Self-Driving</v>
      </c>
      <c r="X2270" t="str">
        <f>IFERROR(__xludf.DUMMYFUNCTION("""COMPUTED_VALUE"""),"Excellent")</f>
        <v>Excellent</v>
      </c>
      <c r="Y2270" t="str">
        <f>IFERROR(__xludf.DUMMYFUNCTION("""COMPUTED_VALUE"""),"Excellent")</f>
        <v>Excellent</v>
      </c>
      <c r="Z2270" t="str">
        <f>IFERROR(__xludf.DUMMYFUNCTION("""COMPUTED_VALUE"""),"Excellent")</f>
        <v>Excellent</v>
      </c>
      <c r="AA2270" t="str">
        <f>IFERROR(__xludf.DUMMYFUNCTION("""COMPUTED_VALUE"""),"Fair")</f>
        <v>Fair</v>
      </c>
      <c r="AB2270" t="str">
        <f>IFERROR(__xludf.DUMMYFUNCTION("""COMPUTED_VALUE"""),"Very Good")</f>
        <v>Very Good</v>
      </c>
      <c r="AC2270">
        <f>IFERROR(__xludf.DUMMYFUNCTION("""COMPUTED_VALUE"""),0.0)</f>
        <v>0</v>
      </c>
      <c r="AD2270">
        <f>IFERROR(__xludf.DUMMYFUNCTION("""COMPUTED_VALUE"""),0.0)</f>
        <v>0</v>
      </c>
      <c r="AE2270">
        <f>IFERROR(__xludf.DUMMYFUNCTION("""COMPUTED_VALUE"""),0.0)</f>
        <v>0</v>
      </c>
      <c r="AH2270" s="189">
        <f>IFERROR(__xludf.DUMMYFUNCTION("""COMPUTED_VALUE"""),43848.75486731481)</f>
        <v>43848.75487</v>
      </c>
    </row>
    <row r="2271">
      <c r="A2271" t="str">
        <f>IFERROR(__xludf.DUMMYFUNCTION("""COMPUTED_VALUE"""),"jgarand")</f>
        <v>jgarand</v>
      </c>
      <c r="B2271" t="str">
        <f>IFERROR(__xludf.DUMMYFUNCTION("""COMPUTED_VALUE"""),"Bellevue")</f>
        <v>Bellevue</v>
      </c>
      <c r="C2271" t="str">
        <f>IFERROR(__xludf.DUMMYFUNCTION("""COMPUTED_VALUE"""),"WA")</f>
        <v>WA</v>
      </c>
      <c r="D2271" t="str">
        <f>IFERROR(__xludf.DUMMYFUNCTION("""COMPUTED_VALUE"""),"USA")</f>
        <v>USA</v>
      </c>
      <c r="E2271" s="188">
        <f>IFERROR(__xludf.DUMMYFUNCTION("""COMPUTED_VALUE"""),43785.0)</f>
        <v>43785</v>
      </c>
      <c r="F2271" s="188">
        <f>IFERROR(__xludf.DUMMYFUNCTION("""COMPUTED_VALUE"""),43816.0)</f>
        <v>43816</v>
      </c>
      <c r="H2271">
        <f>IFERROR(__xludf.DUMMYFUNCTION("""COMPUTED_VALUE"""),635203.0)</f>
        <v>635203</v>
      </c>
      <c r="J2271" s="5">
        <f>IFERROR(__xludf.DUMMYFUNCTION("""COMPUTED_VALUE"""),43825.0)</f>
        <v>43825</v>
      </c>
      <c r="K2271">
        <f>IFERROR(__xludf.DUMMYFUNCTION("""COMPUTED_VALUE"""),31.0)</f>
        <v>31</v>
      </c>
      <c r="L2271">
        <f>IFERROR(__xludf.DUMMYFUNCTION("""COMPUTED_VALUE"""),9.0)</f>
        <v>9</v>
      </c>
      <c r="M2271">
        <f>IFERROR(__xludf.DUMMYFUNCTION("""COMPUTED_VALUE"""),40.0)</f>
        <v>40</v>
      </c>
      <c r="N2271" t="str">
        <f>IFERROR(__xludf.DUMMYFUNCTION("""COMPUTED_VALUE"""),"Model 3 LR AWD")</f>
        <v>Model 3 LR AWD</v>
      </c>
      <c r="O2271" t="str">
        <f>IFERROR(__xludf.DUMMYFUNCTION("""COMPUTED_VALUE"""),"Midnight Silver Metallic")</f>
        <v>Midnight Silver Metallic</v>
      </c>
      <c r="P2271" t="str">
        <f>IFERROR(__xludf.DUMMYFUNCTION("""COMPUTED_VALUE"""),"18 inch Aero")</f>
        <v>18 inch Aero</v>
      </c>
      <c r="Q2271" t="str">
        <f>IFERROR(__xludf.DUMMYFUNCTION("""COMPUTED_VALUE"""),"Black seats")</f>
        <v>Black seats</v>
      </c>
      <c r="R2271" t="str">
        <f>IFERROR(__xludf.DUMMYFUNCTION("""COMPUTED_VALUE"""),"Full Self-Driving")</f>
        <v>Full Self-Driving</v>
      </c>
      <c r="X2271" t="str">
        <f>IFERROR(__xludf.DUMMYFUNCTION("""COMPUTED_VALUE"""),"Good")</f>
        <v>Good</v>
      </c>
      <c r="Y2271" t="str">
        <f>IFERROR(__xludf.DUMMYFUNCTION("""COMPUTED_VALUE"""),"Good")</f>
        <v>Good</v>
      </c>
      <c r="Z2271" t="str">
        <f>IFERROR(__xludf.DUMMYFUNCTION("""COMPUTED_VALUE"""),"Good")</f>
        <v>Good</v>
      </c>
      <c r="AA2271" t="str">
        <f>IFERROR(__xludf.DUMMYFUNCTION("""COMPUTED_VALUE"""),"Fair")</f>
        <v>Fair</v>
      </c>
      <c r="AB2271" t="str">
        <f>IFERROR(__xludf.DUMMYFUNCTION("""COMPUTED_VALUE"""),"Fair")</f>
        <v>Fair</v>
      </c>
      <c r="AC2271">
        <f>IFERROR(__xludf.DUMMYFUNCTION("""COMPUTED_VALUE"""),1.0)</f>
        <v>1</v>
      </c>
      <c r="AD2271">
        <f>IFERROR(__xludf.DUMMYFUNCTION("""COMPUTED_VALUE"""),1.0)</f>
        <v>1</v>
      </c>
      <c r="AE2271">
        <f>IFERROR(__xludf.DUMMYFUNCTION("""COMPUTED_VALUE"""),0.0)</f>
        <v>0</v>
      </c>
      <c r="AG2271" t="str">
        <f>IFERROR(__xludf.DUMMYFUNCTION("""COMPUTED_VALUE"""),"VIN found in Source code. Could have taken delivery as early as 12/21 but wife was out of town and on the title.")</f>
        <v>VIN found in Source code. Could have taken delivery as early as 12/21 but wife was out of town and on the title.</v>
      </c>
      <c r="AH2271" s="189">
        <f>IFERROR(__xludf.DUMMYFUNCTION("""COMPUTED_VALUE"""),43849.44819902778)</f>
        <v>43849.4482</v>
      </c>
    </row>
    <row r="2272">
      <c r="A2272" t="str">
        <f>IFERROR(__xludf.DUMMYFUNCTION("""COMPUTED_VALUE"""),"Model3 White AWD LR")</f>
        <v>Model3 White AWD LR</v>
      </c>
      <c r="B2272" t="str">
        <f>IFERROR(__xludf.DUMMYFUNCTION("""COMPUTED_VALUE"""),"Salt Lake City")</f>
        <v>Salt Lake City</v>
      </c>
      <c r="C2272" t="str">
        <f>IFERROR(__xludf.DUMMYFUNCTION("""COMPUTED_VALUE"""),"UT")</f>
        <v>UT</v>
      </c>
      <c r="D2272" t="str">
        <f>IFERROR(__xludf.DUMMYFUNCTION("""COMPUTED_VALUE"""),"USA")</f>
        <v>USA</v>
      </c>
      <c r="E2272" s="188">
        <f>IFERROR(__xludf.DUMMYFUNCTION("""COMPUTED_VALUE"""),43838.0)</f>
        <v>43838</v>
      </c>
      <c r="F2272" s="188">
        <f>IFERROR(__xludf.DUMMYFUNCTION("""COMPUTED_VALUE"""),43848.0)</f>
        <v>43848</v>
      </c>
      <c r="J2272" s="5">
        <f>IFERROR(__xludf.DUMMYFUNCTION("""COMPUTED_VALUE"""),43848.0)</f>
        <v>43848</v>
      </c>
      <c r="K2272">
        <f>IFERROR(__xludf.DUMMYFUNCTION("""COMPUTED_VALUE"""),10.0)</f>
        <v>10</v>
      </c>
      <c r="L2272">
        <f>IFERROR(__xludf.DUMMYFUNCTION("""COMPUTED_VALUE"""),0.0)</f>
        <v>0</v>
      </c>
      <c r="M2272">
        <f>IFERROR(__xludf.DUMMYFUNCTION("""COMPUTED_VALUE"""),10.0)</f>
        <v>10</v>
      </c>
      <c r="N2272" t="str">
        <f>IFERROR(__xludf.DUMMYFUNCTION("""COMPUTED_VALUE"""),"Model 3 LR AWD")</f>
        <v>Model 3 LR AWD</v>
      </c>
      <c r="O2272" t="str">
        <f>IFERROR(__xludf.DUMMYFUNCTION("""COMPUTED_VALUE"""),"Pearl White Multi-Coat")</f>
        <v>Pearl White Multi-Coat</v>
      </c>
      <c r="P2272" t="str">
        <f>IFERROR(__xludf.DUMMYFUNCTION("""COMPUTED_VALUE"""),"18 inch Aero")</f>
        <v>18 inch Aero</v>
      </c>
      <c r="Q2272" t="str">
        <f>IFERROR(__xludf.DUMMYFUNCTION("""COMPUTED_VALUE"""),"Black seats")</f>
        <v>Black seats</v>
      </c>
      <c r="R2272" t="str">
        <f>IFERROR(__xludf.DUMMYFUNCTION("""COMPUTED_VALUE"""),"Autopilot")</f>
        <v>Autopilot</v>
      </c>
      <c r="X2272" t="str">
        <f>IFERROR(__xludf.DUMMYFUNCTION("""COMPUTED_VALUE"""),"Fair")</f>
        <v>Fair</v>
      </c>
      <c r="Y2272" t="str">
        <f>IFERROR(__xludf.DUMMYFUNCTION("""COMPUTED_VALUE"""),"Fair")</f>
        <v>Fair</v>
      </c>
      <c r="Z2272" t="str">
        <f>IFERROR(__xludf.DUMMYFUNCTION("""COMPUTED_VALUE"""),"Fair")</f>
        <v>Fair</v>
      </c>
      <c r="AA2272" t="str">
        <f>IFERROR(__xludf.DUMMYFUNCTION("""COMPUTED_VALUE"""),"Fair")</f>
        <v>Fair</v>
      </c>
      <c r="AB2272" t="str">
        <f>IFERROR(__xludf.DUMMYFUNCTION("""COMPUTED_VALUE"""),"Very Good")</f>
        <v>Very Good</v>
      </c>
      <c r="AG2272" t="str">
        <f>IFERROR(__xludf.DUMMYFUNCTION("""COMPUTED_VALUE"""),"The car was meant for someone else who could not take delivery so they gave it to me. ")</f>
        <v>The car was meant for someone else who could not take delivery so they gave it to me. </v>
      </c>
      <c r="AH2272" s="189">
        <f>IFERROR(__xludf.DUMMYFUNCTION("""COMPUTED_VALUE"""),43849.4949987963)</f>
        <v>43849.495</v>
      </c>
    </row>
    <row r="2273">
      <c r="A2273" t="str">
        <f>IFERROR(__xludf.DUMMYFUNCTION("""COMPUTED_VALUE"""),"mbb")</f>
        <v>mbb</v>
      </c>
      <c r="C2273" t="str">
        <f>IFERROR(__xludf.DUMMYFUNCTION("""COMPUTED_VALUE"""),"TX")</f>
        <v>TX</v>
      </c>
      <c r="D2273" t="str">
        <f>IFERROR(__xludf.DUMMYFUNCTION("""COMPUTED_VALUE"""),"USA")</f>
        <v>USA</v>
      </c>
      <c r="E2273" s="188">
        <f>IFERROR(__xludf.DUMMYFUNCTION("""COMPUTED_VALUE"""),43836.0)</f>
        <v>43836</v>
      </c>
      <c r="F2273" s="188">
        <f>IFERROR(__xludf.DUMMYFUNCTION("""COMPUTED_VALUE"""),43838.0)</f>
        <v>43838</v>
      </c>
      <c r="H2273">
        <f>IFERROR(__xludf.DUMMYFUNCTION("""COMPUTED_VALUE"""),647655.0)</f>
        <v>647655</v>
      </c>
      <c r="J2273" s="5">
        <f>IFERROR(__xludf.DUMMYFUNCTION("""COMPUTED_VALUE"""),43848.0)</f>
        <v>43848</v>
      </c>
      <c r="K2273">
        <f>IFERROR(__xludf.DUMMYFUNCTION("""COMPUTED_VALUE"""),2.0)</f>
        <v>2</v>
      </c>
      <c r="L2273">
        <f>IFERROR(__xludf.DUMMYFUNCTION("""COMPUTED_VALUE"""),10.0)</f>
        <v>10</v>
      </c>
      <c r="M2273">
        <f>IFERROR(__xludf.DUMMYFUNCTION("""COMPUTED_VALUE"""),12.0)</f>
        <v>12</v>
      </c>
      <c r="N2273" t="str">
        <f>IFERROR(__xludf.DUMMYFUNCTION("""COMPUTED_VALUE"""),"Model 3 LR AWD")</f>
        <v>Model 3 LR AWD</v>
      </c>
      <c r="O2273" t="str">
        <f>IFERROR(__xludf.DUMMYFUNCTION("""COMPUTED_VALUE"""),"Pearl White Multi-Coat")</f>
        <v>Pearl White Multi-Coat</v>
      </c>
      <c r="P2273" t="str">
        <f>IFERROR(__xludf.DUMMYFUNCTION("""COMPUTED_VALUE"""),"18 inch Aero")</f>
        <v>18 inch Aero</v>
      </c>
      <c r="Q2273" t="str">
        <f>IFERROR(__xludf.DUMMYFUNCTION("""COMPUTED_VALUE"""),"Black seats")</f>
        <v>Black seats</v>
      </c>
      <c r="R2273" t="str">
        <f>IFERROR(__xludf.DUMMYFUNCTION("""COMPUTED_VALUE"""),"Full Self-Driving")</f>
        <v>Full Self-Driving</v>
      </c>
      <c r="X2273" t="str">
        <f>IFERROR(__xludf.DUMMYFUNCTION("""COMPUTED_VALUE"""),"Excellent")</f>
        <v>Excellent</v>
      </c>
      <c r="Y2273" t="str">
        <f>IFERROR(__xludf.DUMMYFUNCTION("""COMPUTED_VALUE"""),"Excellent")</f>
        <v>Excellent</v>
      </c>
      <c r="Z2273" t="str">
        <f>IFERROR(__xludf.DUMMYFUNCTION("""COMPUTED_VALUE"""),"Excellent")</f>
        <v>Excellent</v>
      </c>
      <c r="AA2273" t="str">
        <f>IFERROR(__xludf.DUMMYFUNCTION("""COMPUTED_VALUE"""),"Excellent")</f>
        <v>Excellent</v>
      </c>
      <c r="AB2273" t="str">
        <f>IFERROR(__xludf.DUMMYFUNCTION("""COMPUTED_VALUE"""),"Excellent")</f>
        <v>Excellent</v>
      </c>
      <c r="AC2273">
        <f>IFERROR(__xludf.DUMMYFUNCTION("""COMPUTED_VALUE"""),0.0)</f>
        <v>0</v>
      </c>
      <c r="AD2273">
        <f>IFERROR(__xludf.DUMMYFUNCTION("""COMPUTED_VALUE"""),0.0)</f>
        <v>0</v>
      </c>
      <c r="AE2273">
        <f>IFERROR(__xludf.DUMMYFUNCTION("""COMPUTED_VALUE"""),0.0)</f>
        <v>0</v>
      </c>
      <c r="AG2273" t="str">
        <f>IFERROR(__xludf.DUMMYFUNCTION("""COMPUTED_VALUE"""),"Much better experience than expected during delivery, and car was nearly flawless. Only some orange peel on the frunk, which doesn't bother me. ")</f>
        <v>Much better experience than expected during delivery, and car was nearly flawless. Only some orange peel on the frunk, which doesn't bother me. </v>
      </c>
      <c r="AH2273" s="189">
        <f>IFERROR(__xludf.DUMMYFUNCTION("""COMPUTED_VALUE"""),43849.55415252315)</f>
        <v>43849.55415</v>
      </c>
    </row>
    <row r="2274">
      <c r="A2274" t="str">
        <f>IFERROR(__xludf.DUMMYFUNCTION("""COMPUTED_VALUE"""),"Beto")</f>
        <v>Beto</v>
      </c>
      <c r="B2274" t="str">
        <f>IFERROR(__xludf.DUMMYFUNCTION("""COMPUTED_VALUE"""),"Buena Park")</f>
        <v>Buena Park</v>
      </c>
      <c r="C2274" t="str">
        <f>IFERROR(__xludf.DUMMYFUNCTION("""COMPUTED_VALUE"""),"CA")</f>
        <v>CA</v>
      </c>
      <c r="D2274" t="str">
        <f>IFERROR(__xludf.DUMMYFUNCTION("""COMPUTED_VALUE"""),"USA")</f>
        <v>USA</v>
      </c>
      <c r="E2274" s="188">
        <f>IFERROR(__xludf.DUMMYFUNCTION("""COMPUTED_VALUE"""),43838.0)</f>
        <v>43838</v>
      </c>
      <c r="F2274" s="188">
        <f>IFERROR(__xludf.DUMMYFUNCTION("""COMPUTED_VALUE"""),43846.0)</f>
        <v>43846</v>
      </c>
      <c r="H2274">
        <f>IFERROR(__xludf.DUMMYFUNCTION("""COMPUTED_VALUE"""),635701.0)</f>
        <v>635701</v>
      </c>
      <c r="J2274" s="5">
        <f>IFERROR(__xludf.DUMMYFUNCTION("""COMPUTED_VALUE"""),43854.0)</f>
        <v>43854</v>
      </c>
      <c r="K2274">
        <f>IFERROR(__xludf.DUMMYFUNCTION("""COMPUTED_VALUE"""),8.0)</f>
        <v>8</v>
      </c>
      <c r="L2274">
        <f>IFERROR(__xludf.DUMMYFUNCTION("""COMPUTED_VALUE"""),8.0)</f>
        <v>8</v>
      </c>
      <c r="M2274">
        <f>IFERROR(__xludf.DUMMYFUNCTION("""COMPUTED_VALUE"""),16.0)</f>
        <v>16</v>
      </c>
      <c r="N2274" t="str">
        <f>IFERROR(__xludf.DUMMYFUNCTION("""COMPUTED_VALUE"""),"Model 3 LR AWD")</f>
        <v>Model 3 LR AWD</v>
      </c>
      <c r="O2274" t="str">
        <f>IFERROR(__xludf.DUMMYFUNCTION("""COMPUTED_VALUE"""),"Midnight Silver Metallic")</f>
        <v>Midnight Silver Metallic</v>
      </c>
      <c r="P2274" t="str">
        <f>IFERROR(__xludf.DUMMYFUNCTION("""COMPUTED_VALUE"""),"18 inch Aero")</f>
        <v>18 inch Aero</v>
      </c>
      <c r="Q2274" t="str">
        <f>IFERROR(__xludf.DUMMYFUNCTION("""COMPUTED_VALUE"""),"Black seats")</f>
        <v>Black seats</v>
      </c>
      <c r="R2274" t="str">
        <f>IFERROR(__xludf.DUMMYFUNCTION("""COMPUTED_VALUE"""),"Autopilot")</f>
        <v>Autopilot</v>
      </c>
      <c r="AC2274">
        <f>IFERROR(__xludf.DUMMYFUNCTION("""COMPUTED_VALUE"""),1.0)</f>
        <v>1</v>
      </c>
      <c r="AG2274" t="str">
        <f>IFERROR(__xludf.DUMMYFUNCTION("""COMPUTED_VALUE"""),"Keep delaying delivery due to chipped windshield repair, no clue when it’ll come on. ")</f>
        <v>Keep delaying delivery due to chipped windshield repair, no clue when it’ll come on. </v>
      </c>
      <c r="AH2274" s="189">
        <f>IFERROR(__xludf.DUMMYFUNCTION("""COMPUTED_VALUE"""),43849.85949422454)</f>
        <v>43849.85949</v>
      </c>
    </row>
    <row r="2275">
      <c r="A2275" t="str">
        <f>IFERROR(__xludf.DUMMYFUNCTION("""COMPUTED_VALUE"""),"MonkeyC")</f>
        <v>MonkeyC</v>
      </c>
      <c r="B2275" t="str">
        <f>IFERROR(__xludf.DUMMYFUNCTION("""COMPUTED_VALUE"""),"Colonie")</f>
        <v>Colonie</v>
      </c>
      <c r="C2275" t="str">
        <f>IFERROR(__xludf.DUMMYFUNCTION("""COMPUTED_VALUE"""),"NY")</f>
        <v>NY</v>
      </c>
      <c r="D2275" t="str">
        <f>IFERROR(__xludf.DUMMYFUNCTION("""COMPUTED_VALUE"""),"USA")</f>
        <v>USA</v>
      </c>
      <c r="E2275" s="188">
        <f>IFERROR(__xludf.DUMMYFUNCTION("""COMPUTED_VALUE"""),43755.0)</f>
        <v>43755</v>
      </c>
      <c r="F2275" s="188">
        <f>IFERROR(__xludf.DUMMYFUNCTION("""COMPUTED_VALUE"""),43795.0)</f>
        <v>43795</v>
      </c>
      <c r="H2275" s="4">
        <f>IFERROR(__xludf.DUMMYFUNCTION("""COMPUTED_VALUE"""),617134.0)</f>
        <v>617134</v>
      </c>
      <c r="I2275" t="str">
        <f>IFERROR(__xludf.DUMMYFUNCTION("""COMPUTED_VALUE"""),"11/19")</f>
        <v>11/19</v>
      </c>
      <c r="J2275" s="5">
        <f>IFERROR(__xludf.DUMMYFUNCTION("""COMPUTED_VALUE"""),43811.0)</f>
        <v>43811</v>
      </c>
      <c r="K2275">
        <f>IFERROR(__xludf.DUMMYFUNCTION("""COMPUTED_VALUE"""),40.0)</f>
        <v>40</v>
      </c>
      <c r="L2275">
        <f>IFERROR(__xludf.DUMMYFUNCTION("""COMPUTED_VALUE"""),16.0)</f>
        <v>16</v>
      </c>
      <c r="M2275">
        <f>IFERROR(__xludf.DUMMYFUNCTION("""COMPUTED_VALUE"""),56.0)</f>
        <v>56</v>
      </c>
      <c r="N2275" t="str">
        <f>IFERROR(__xludf.DUMMYFUNCTION("""COMPUTED_VALUE"""),"Model 3 LR AWD")</f>
        <v>Model 3 LR AWD</v>
      </c>
      <c r="O2275" t="str">
        <f>IFERROR(__xludf.DUMMYFUNCTION("""COMPUTED_VALUE"""),"Deep Blue Metallic")</f>
        <v>Deep Blue Metallic</v>
      </c>
      <c r="P2275" t="str">
        <f>IFERROR(__xludf.DUMMYFUNCTION("""COMPUTED_VALUE"""),"18 inch Aero")</f>
        <v>18 inch Aero</v>
      </c>
      <c r="Q2275" t="str">
        <f>IFERROR(__xludf.DUMMYFUNCTION("""COMPUTED_VALUE"""),"Black seats")</f>
        <v>Black seats</v>
      </c>
      <c r="R2275" t="str">
        <f>IFERROR(__xludf.DUMMYFUNCTION("""COMPUTED_VALUE"""),"Full Self-Driving")</f>
        <v>Full Self-Driving</v>
      </c>
      <c r="X2275" t="str">
        <f>IFERROR(__xludf.DUMMYFUNCTION("""COMPUTED_VALUE"""),"Excellent")</f>
        <v>Excellent</v>
      </c>
      <c r="Y2275" t="str">
        <f>IFERROR(__xludf.DUMMYFUNCTION("""COMPUTED_VALUE"""),"Excellent")</f>
        <v>Excellent</v>
      </c>
      <c r="Z2275" t="str">
        <f>IFERROR(__xludf.DUMMYFUNCTION("""COMPUTED_VALUE"""),"Excellent")</f>
        <v>Excellent</v>
      </c>
      <c r="AA2275" t="str">
        <f>IFERROR(__xludf.DUMMYFUNCTION("""COMPUTED_VALUE"""),"Poor")</f>
        <v>Poor</v>
      </c>
      <c r="AB2275" t="str">
        <f>IFERROR(__xludf.DUMMYFUNCTION("""COMPUTED_VALUE"""),"Good")</f>
        <v>Good</v>
      </c>
      <c r="AC2275">
        <f>IFERROR(__xludf.DUMMYFUNCTION("""COMPUTED_VALUE"""),5.0)</f>
        <v>5</v>
      </c>
      <c r="AD2275">
        <f>IFERROR(__xludf.DUMMYFUNCTION("""COMPUTED_VALUE"""),2.0)</f>
        <v>2</v>
      </c>
      <c r="AE2275">
        <f>IFERROR(__xludf.DUMMYFUNCTION("""COMPUTED_VALUE"""),1.0)</f>
        <v>1</v>
      </c>
      <c r="AH2275" s="189">
        <f>IFERROR(__xludf.DUMMYFUNCTION("""COMPUTED_VALUE"""),43850.324937314814)</f>
        <v>43850.32494</v>
      </c>
    </row>
    <row r="2276">
      <c r="A2276" t="str">
        <f>IFERROR(__xludf.DUMMYFUNCTION("""COMPUTED_VALUE"""),"Mintyish")</f>
        <v>Mintyish</v>
      </c>
      <c r="B2276" t="str">
        <f>IFERROR(__xludf.DUMMYFUNCTION("""COMPUTED_VALUE"""),"Auckland, New Zealand")</f>
        <v>Auckland, New Zealand</v>
      </c>
      <c r="D2276" t="str">
        <f>IFERROR(__xludf.DUMMYFUNCTION("""COMPUTED_VALUE"""),"Other (include country together with city)")</f>
        <v>Other (include country together with city)</v>
      </c>
      <c r="E2276" s="188">
        <f>IFERROR(__xludf.DUMMYFUNCTION("""COMPUTED_VALUE"""),43842.0)</f>
        <v>43842</v>
      </c>
      <c r="F2276" s="188">
        <f>IFERROR(__xludf.DUMMYFUNCTION("""COMPUTED_VALUE"""),43844.0)</f>
        <v>43844</v>
      </c>
      <c r="H2276">
        <f>IFERROR(__xludf.DUMMYFUNCTION("""COMPUTED_VALUE"""),589816.0)</f>
        <v>589816</v>
      </c>
      <c r="I2276" t="str">
        <f>IFERROR(__xludf.DUMMYFUNCTION("""COMPUTED_VALUE"""),"10/19")</f>
        <v>10/19</v>
      </c>
      <c r="J2276" s="5">
        <f>IFERROR(__xludf.DUMMYFUNCTION("""COMPUTED_VALUE"""),43851.0)</f>
        <v>43851</v>
      </c>
      <c r="K2276">
        <f>IFERROR(__xludf.DUMMYFUNCTION("""COMPUTED_VALUE"""),2.0)</f>
        <v>2</v>
      </c>
      <c r="L2276">
        <f>IFERROR(__xludf.DUMMYFUNCTION("""COMPUTED_VALUE"""),7.0)</f>
        <v>7</v>
      </c>
      <c r="M2276">
        <f>IFERROR(__xludf.DUMMYFUNCTION("""COMPUTED_VALUE"""),9.0)</f>
        <v>9</v>
      </c>
      <c r="N2276" t="str">
        <f>IFERROR(__xludf.DUMMYFUNCTION("""COMPUTED_VALUE"""),"Model 3 SR+")</f>
        <v>Model 3 SR+</v>
      </c>
      <c r="O2276" t="str">
        <f>IFERROR(__xludf.DUMMYFUNCTION("""COMPUTED_VALUE"""),"Midnight Silver Metallic")</f>
        <v>Midnight Silver Metallic</v>
      </c>
      <c r="P2276" t="str">
        <f>IFERROR(__xludf.DUMMYFUNCTION("""COMPUTED_VALUE"""),"18 inch Aero")</f>
        <v>18 inch Aero</v>
      </c>
      <c r="Q2276" t="str">
        <f>IFERROR(__xludf.DUMMYFUNCTION("""COMPUTED_VALUE"""),"Black seats")</f>
        <v>Black seats</v>
      </c>
      <c r="R2276" t="str">
        <f>IFERROR(__xludf.DUMMYFUNCTION("""COMPUTED_VALUE"""),"Autopilot")</f>
        <v>Autopilot</v>
      </c>
      <c r="X2276" t="str">
        <f>IFERROR(__xludf.DUMMYFUNCTION("""COMPUTED_VALUE"""),"Very Good")</f>
        <v>Very Good</v>
      </c>
      <c r="Y2276" t="str">
        <f>IFERROR(__xludf.DUMMYFUNCTION("""COMPUTED_VALUE"""),"Very Good")</f>
        <v>Very Good</v>
      </c>
      <c r="Z2276" t="str">
        <f>IFERROR(__xludf.DUMMYFUNCTION("""COMPUTED_VALUE"""),"Good")</f>
        <v>Good</v>
      </c>
      <c r="AA2276" t="str">
        <f>IFERROR(__xludf.DUMMYFUNCTION("""COMPUTED_VALUE"""),"Very Good")</f>
        <v>Very Good</v>
      </c>
      <c r="AB2276" t="str">
        <f>IFERROR(__xludf.DUMMYFUNCTION("""COMPUTED_VALUE"""),"Very Good")</f>
        <v>Very Good</v>
      </c>
      <c r="AC2276">
        <f>IFERROR(__xludf.DUMMYFUNCTION("""COMPUTED_VALUE"""),4.0)</f>
        <v>4</v>
      </c>
      <c r="AD2276">
        <f>IFERROR(__xludf.DUMMYFUNCTION("""COMPUTED_VALUE"""),1.0)</f>
        <v>1</v>
      </c>
      <c r="AE2276">
        <f>IFERROR(__xludf.DUMMYFUNCTION("""COMPUTED_VALUE"""),0.0)</f>
        <v>0</v>
      </c>
      <c r="AH2276" s="189">
        <f>IFERROR(__xludf.DUMMYFUNCTION("""COMPUTED_VALUE"""),43850.81639471065)</f>
        <v>43850.81639</v>
      </c>
    </row>
    <row r="2277">
      <c r="A2277" t="str">
        <f>IFERROR(__xludf.DUMMYFUNCTION("""COMPUTED_VALUE"""),"VV1975")</f>
        <v>VV1975</v>
      </c>
      <c r="B2277" t="str">
        <f>IFERROR(__xludf.DUMMYFUNCTION("""COMPUTED_VALUE"""),"North Jersey")</f>
        <v>North Jersey</v>
      </c>
      <c r="C2277" t="str">
        <f>IFERROR(__xludf.DUMMYFUNCTION("""COMPUTED_VALUE"""),"NJ")</f>
        <v>NJ</v>
      </c>
      <c r="D2277" t="str">
        <f>IFERROR(__xludf.DUMMYFUNCTION("""COMPUTED_VALUE"""),"USA")</f>
        <v>USA</v>
      </c>
      <c r="E2277" s="188">
        <f>IFERROR(__xludf.DUMMYFUNCTION("""COMPUTED_VALUE"""),43790.0)</f>
        <v>43790</v>
      </c>
      <c r="F2277" s="188">
        <f>IFERROR(__xludf.DUMMYFUNCTION("""COMPUTED_VALUE"""),43804.0)</f>
        <v>43804</v>
      </c>
      <c r="H2277">
        <f>IFERROR(__xludf.DUMMYFUNCTION("""COMPUTED_VALUE"""),601655.0)</f>
        <v>601655</v>
      </c>
      <c r="I2277" t="str">
        <f>IFERROR(__xludf.DUMMYFUNCTION("""COMPUTED_VALUE"""),"12/19")</f>
        <v>12/19</v>
      </c>
      <c r="J2277" s="5">
        <f>IFERROR(__xludf.DUMMYFUNCTION("""COMPUTED_VALUE"""),43816.0)</f>
        <v>43816</v>
      </c>
      <c r="K2277">
        <f>IFERROR(__xludf.DUMMYFUNCTION("""COMPUTED_VALUE"""),14.0)</f>
        <v>14</v>
      </c>
      <c r="L2277">
        <f>IFERROR(__xludf.DUMMYFUNCTION("""COMPUTED_VALUE"""),12.0)</f>
        <v>12</v>
      </c>
      <c r="M2277">
        <f>IFERROR(__xludf.DUMMYFUNCTION("""COMPUTED_VALUE"""),26.0)</f>
        <v>26</v>
      </c>
      <c r="N2277" t="str">
        <f>IFERROR(__xludf.DUMMYFUNCTION("""COMPUTED_VALUE"""),"Model 3 Performance")</f>
        <v>Model 3 Performance</v>
      </c>
      <c r="O2277" t="str">
        <f>IFERROR(__xludf.DUMMYFUNCTION("""COMPUTED_VALUE"""),"Midnight Silver Metallic")</f>
        <v>Midnight Silver Metallic</v>
      </c>
      <c r="P2277" t="str">
        <f>IFERROR(__xludf.DUMMYFUNCTION("""COMPUTED_VALUE"""),"18 inch Aero")</f>
        <v>18 inch Aero</v>
      </c>
      <c r="Q2277" t="str">
        <f>IFERROR(__xludf.DUMMYFUNCTION("""COMPUTED_VALUE"""),"Black seats")</f>
        <v>Black seats</v>
      </c>
      <c r="R2277" t="str">
        <f>IFERROR(__xludf.DUMMYFUNCTION("""COMPUTED_VALUE"""),"Autopilot")</f>
        <v>Autopilot</v>
      </c>
      <c r="X2277" t="str">
        <f>IFERROR(__xludf.DUMMYFUNCTION("""COMPUTED_VALUE"""),"Poor")</f>
        <v>Poor</v>
      </c>
      <c r="Y2277" t="str">
        <f>IFERROR(__xludf.DUMMYFUNCTION("""COMPUTED_VALUE"""),"Excellent")</f>
        <v>Excellent</v>
      </c>
      <c r="Z2277" t="str">
        <f>IFERROR(__xludf.DUMMYFUNCTION("""COMPUTED_VALUE"""),"Excellent")</f>
        <v>Excellent</v>
      </c>
      <c r="AA2277" t="str">
        <f>IFERROR(__xludf.DUMMYFUNCTION("""COMPUTED_VALUE"""),"Excellent")</f>
        <v>Excellent</v>
      </c>
      <c r="AB2277" t="str">
        <f>IFERROR(__xludf.DUMMYFUNCTION("""COMPUTED_VALUE"""),"Very Good")</f>
        <v>Very Good</v>
      </c>
      <c r="AC2277">
        <f>IFERROR(__xludf.DUMMYFUNCTION("""COMPUTED_VALUE"""),1.0)</f>
        <v>1</v>
      </c>
      <c r="AD2277">
        <f>IFERROR(__xludf.DUMMYFUNCTION("""COMPUTED_VALUE"""),1.0)</f>
        <v>1</v>
      </c>
      <c r="AE2277">
        <f>IFERROR(__xludf.DUMMYFUNCTION("""COMPUTED_VALUE"""),0.0)</f>
        <v>0</v>
      </c>
      <c r="AG2277" t="str">
        <f>IFERROR(__xludf.DUMMYFUNCTION("""COMPUTED_VALUE"""),"12/5 found vin through source 12/3 Switched out from LR AWD to Stealth Performance")</f>
        <v>12/5 found vin through source 12/3 Switched out from LR AWD to Stealth Performance</v>
      </c>
      <c r="AH2277" s="189">
        <f>IFERROR(__xludf.DUMMYFUNCTION("""COMPUTED_VALUE"""),43850.84220459491)</f>
        <v>43850.8422</v>
      </c>
    </row>
    <row r="2278">
      <c r="A2278" t="str">
        <f>IFERROR(__xludf.DUMMYFUNCTION("""COMPUTED_VALUE"""),"Jerry G")</f>
        <v>Jerry G</v>
      </c>
      <c r="B2278" t="str">
        <f>IFERROR(__xludf.DUMMYFUNCTION("""COMPUTED_VALUE"""),"Toronto")</f>
        <v>Toronto</v>
      </c>
      <c r="C2278" t="str">
        <f>IFERROR(__xludf.DUMMYFUNCTION("""COMPUTED_VALUE"""),"ON")</f>
        <v>ON</v>
      </c>
      <c r="D2278" t="str">
        <f>IFERROR(__xludf.DUMMYFUNCTION("""COMPUTED_VALUE"""),"Canada")</f>
        <v>Canada</v>
      </c>
      <c r="E2278" s="188">
        <f>IFERROR(__xludf.DUMMYFUNCTION("""COMPUTED_VALUE"""),43720.0)</f>
        <v>43720</v>
      </c>
      <c r="F2278" s="188">
        <f>IFERROR(__xludf.DUMMYFUNCTION("""COMPUTED_VALUE"""),43720.0)</f>
        <v>43720</v>
      </c>
      <c r="H2278" s="4">
        <f>IFERROR(__xludf.DUMMYFUNCTION("""COMPUTED_VALUE"""),415191.0)</f>
        <v>415191</v>
      </c>
      <c r="I2278" t="str">
        <f>IFERROR(__xludf.DUMMYFUNCTION("""COMPUTED_VALUE"""),"09/19")</f>
        <v>09/19</v>
      </c>
      <c r="J2278" s="5">
        <f>IFERROR(__xludf.DUMMYFUNCTION("""COMPUTED_VALUE"""),43725.0)</f>
        <v>43725</v>
      </c>
      <c r="K2278">
        <f>IFERROR(__xludf.DUMMYFUNCTION("""COMPUTED_VALUE"""),0.0)</f>
        <v>0</v>
      </c>
      <c r="L2278">
        <f>IFERROR(__xludf.DUMMYFUNCTION("""COMPUTED_VALUE"""),5.0)</f>
        <v>5</v>
      </c>
      <c r="M2278">
        <f>IFERROR(__xludf.DUMMYFUNCTION("""COMPUTED_VALUE"""),5.0)</f>
        <v>5</v>
      </c>
      <c r="N2278" t="str">
        <f>IFERROR(__xludf.DUMMYFUNCTION("""COMPUTED_VALUE"""),"Model 3 LR AWD")</f>
        <v>Model 3 LR AWD</v>
      </c>
      <c r="O2278" t="str">
        <f>IFERROR(__xludf.DUMMYFUNCTION("""COMPUTED_VALUE"""),"Pearl White Multi-Coat")</f>
        <v>Pearl White Multi-Coat</v>
      </c>
      <c r="P2278" t="str">
        <f>IFERROR(__xludf.DUMMYFUNCTION("""COMPUTED_VALUE"""),"19 inch Sport")</f>
        <v>19 inch Sport</v>
      </c>
      <c r="Q2278" t="str">
        <f>IFERROR(__xludf.DUMMYFUNCTION("""COMPUTED_VALUE"""),"Black seats")</f>
        <v>Black seats</v>
      </c>
      <c r="R2278" t="str">
        <f>IFERROR(__xludf.DUMMYFUNCTION("""COMPUTED_VALUE"""),"Full Self-Driving")</f>
        <v>Full Self-Driving</v>
      </c>
      <c r="X2278" t="str">
        <f>IFERROR(__xludf.DUMMYFUNCTION("""COMPUTED_VALUE"""),"Excellent")</f>
        <v>Excellent</v>
      </c>
      <c r="Y2278" t="str">
        <f>IFERROR(__xludf.DUMMYFUNCTION("""COMPUTED_VALUE"""),"Excellent")</f>
        <v>Excellent</v>
      </c>
      <c r="Z2278" t="str">
        <f>IFERROR(__xludf.DUMMYFUNCTION("""COMPUTED_VALUE"""),"Excellent")</f>
        <v>Excellent</v>
      </c>
      <c r="AA2278" t="str">
        <f>IFERROR(__xludf.DUMMYFUNCTION("""COMPUTED_VALUE"""),"Excellent")</f>
        <v>Excellent</v>
      </c>
      <c r="AB2278" t="str">
        <f>IFERROR(__xludf.DUMMYFUNCTION("""COMPUTED_VALUE"""),"Excellent")</f>
        <v>Excellent</v>
      </c>
      <c r="AC2278">
        <f>IFERROR(__xludf.DUMMYFUNCTION("""COMPUTED_VALUE"""),0.0)</f>
        <v>0</v>
      </c>
      <c r="AD2278">
        <f>IFERROR(__xludf.DUMMYFUNCTION("""COMPUTED_VALUE"""),0.0)</f>
        <v>0</v>
      </c>
      <c r="AE2278">
        <f>IFERROR(__xludf.DUMMYFUNCTION("""COMPUTED_VALUE"""),0.0)</f>
        <v>0</v>
      </c>
      <c r="AG2278" t="str">
        <f>IFERROR(__xludf.DUMMYFUNCTION("""COMPUTED_VALUE"""),"Extremely satisfied, no concerns whatsoever!")</f>
        <v>Extremely satisfied, no concerns whatsoever!</v>
      </c>
      <c r="AH2278" s="189">
        <f>IFERROR(__xludf.DUMMYFUNCTION("""COMPUTED_VALUE"""),43851.73146173611)</f>
        <v>43851.73146</v>
      </c>
    </row>
    <row r="2279">
      <c r="A2279" t="str">
        <f>IFERROR(__xludf.DUMMYFUNCTION("""COMPUTED_VALUE"""),"dreamgt")</f>
        <v>dreamgt</v>
      </c>
      <c r="B2279" t="str">
        <f>IFERROR(__xludf.DUMMYFUNCTION("""COMPUTED_VALUE"""),"Los Angeles")</f>
        <v>Los Angeles</v>
      </c>
      <c r="C2279" t="str">
        <f>IFERROR(__xludf.DUMMYFUNCTION("""COMPUTED_VALUE"""),"CA")</f>
        <v>CA</v>
      </c>
      <c r="D2279" t="str">
        <f>IFERROR(__xludf.DUMMYFUNCTION("""COMPUTED_VALUE"""),"USA")</f>
        <v>USA</v>
      </c>
      <c r="E2279" s="188">
        <f>IFERROR(__xludf.DUMMYFUNCTION("""COMPUTED_VALUE"""),43842.0)</f>
        <v>43842</v>
      </c>
      <c r="F2279" s="188">
        <f>IFERROR(__xludf.DUMMYFUNCTION("""COMPUTED_VALUE"""),43850.0)</f>
        <v>43850</v>
      </c>
      <c r="H2279">
        <f>IFERROR(__xludf.DUMMYFUNCTION("""COMPUTED_VALUE"""),646985.0)</f>
        <v>646985</v>
      </c>
      <c r="J2279" s="5">
        <f>IFERROR(__xludf.DUMMYFUNCTION("""COMPUTED_VALUE"""),43851.0)</f>
        <v>43851</v>
      </c>
      <c r="K2279">
        <f>IFERROR(__xludf.DUMMYFUNCTION("""COMPUTED_VALUE"""),8.0)</f>
        <v>8</v>
      </c>
      <c r="L2279">
        <f>IFERROR(__xludf.DUMMYFUNCTION("""COMPUTED_VALUE"""),1.0)</f>
        <v>1</v>
      </c>
      <c r="M2279">
        <f>IFERROR(__xludf.DUMMYFUNCTION("""COMPUTED_VALUE"""),9.0)</f>
        <v>9</v>
      </c>
      <c r="N2279" t="str">
        <f>IFERROR(__xludf.DUMMYFUNCTION("""COMPUTED_VALUE"""),"Model 3 Performance")</f>
        <v>Model 3 Performance</v>
      </c>
      <c r="O2279" t="str">
        <f>IFERROR(__xludf.DUMMYFUNCTION("""COMPUTED_VALUE"""),"Pearl White Multi-Coat")</f>
        <v>Pearl White Multi-Coat</v>
      </c>
      <c r="P2279" t="str">
        <f>IFERROR(__xludf.DUMMYFUNCTION("""COMPUTED_VALUE"""),"20 inch Sport")</f>
        <v>20 inch Sport</v>
      </c>
      <c r="Q2279" t="str">
        <f>IFERROR(__xludf.DUMMYFUNCTION("""COMPUTED_VALUE"""),"Black seats")</f>
        <v>Black seats</v>
      </c>
      <c r="R2279" t="str">
        <f>IFERROR(__xludf.DUMMYFUNCTION("""COMPUTED_VALUE"""),"Autopilot")</f>
        <v>Autopilot</v>
      </c>
      <c r="X2279" t="str">
        <f>IFERROR(__xludf.DUMMYFUNCTION("""COMPUTED_VALUE"""),"Very Good")</f>
        <v>Very Good</v>
      </c>
      <c r="Y2279" t="str">
        <f>IFERROR(__xludf.DUMMYFUNCTION("""COMPUTED_VALUE"""),"Excellent")</f>
        <v>Excellent</v>
      </c>
      <c r="Z2279" t="str">
        <f>IFERROR(__xludf.DUMMYFUNCTION("""COMPUTED_VALUE"""),"Excellent")</f>
        <v>Excellent</v>
      </c>
      <c r="AA2279" t="str">
        <f>IFERROR(__xludf.DUMMYFUNCTION("""COMPUTED_VALUE"""),"Excellent")</f>
        <v>Excellent</v>
      </c>
      <c r="AB2279" t="str">
        <f>IFERROR(__xludf.DUMMYFUNCTION("""COMPUTED_VALUE"""),"Excellent")</f>
        <v>Excellent</v>
      </c>
      <c r="AG2279" t="str">
        <f>IFERROR(__xludf.DUMMYFUNCTION("""COMPUTED_VALUE"""),"Original recipient decided to forgo delivery on 1-18, I was matched a couple of days later with delivery scheduled for 1/23. I called a SA and asked if I could pick up the car 1/21 instead. Burbank location reached out to me a few hours later to pickup fo"&amp;"r 3:30pm on 1/21.")</f>
        <v>Original recipient decided to forgo delivery on 1-18, I was matched a couple of days later with delivery scheduled for 1/23. I called a SA and asked if I could pick up the car 1/21 instead. Burbank location reached out to me a few hours later to pickup for 3:30pm on 1/21.</v>
      </c>
      <c r="AH2279" s="189">
        <f>IFERROR(__xludf.DUMMYFUNCTION("""COMPUTED_VALUE"""),43852.48482221065)</f>
        <v>43852.48482</v>
      </c>
    </row>
    <row r="2280">
      <c r="A2280" t="str">
        <f>IFERROR(__xludf.DUMMYFUNCTION("""COMPUTED_VALUE"""),"rhorwitz")</f>
        <v>rhorwitz</v>
      </c>
      <c r="B2280" t="str">
        <f>IFERROR(__xludf.DUMMYFUNCTION("""COMPUTED_VALUE"""),"Ventura")</f>
        <v>Ventura</v>
      </c>
      <c r="C2280" t="str">
        <f>IFERROR(__xludf.DUMMYFUNCTION("""COMPUTED_VALUE"""),"CA")</f>
        <v>CA</v>
      </c>
      <c r="D2280" t="str">
        <f>IFERROR(__xludf.DUMMYFUNCTION("""COMPUTED_VALUE"""),"USA")</f>
        <v>USA</v>
      </c>
      <c r="E2280" s="188">
        <f>IFERROR(__xludf.DUMMYFUNCTION("""COMPUTED_VALUE"""),43796.0)</f>
        <v>43796</v>
      </c>
      <c r="F2280" s="188">
        <f>IFERROR(__xludf.DUMMYFUNCTION("""COMPUTED_VALUE"""),43850.0)</f>
        <v>43850</v>
      </c>
      <c r="H2280" s="4">
        <f>IFERROR(__xludf.DUMMYFUNCTION("""COMPUTED_VALUE"""),632231.0)</f>
        <v>632231</v>
      </c>
      <c r="I2280" t="str">
        <f>IFERROR(__xludf.DUMMYFUNCTION("""COMPUTED_VALUE"""),"12/19")</f>
        <v>12/19</v>
      </c>
      <c r="J2280" s="5">
        <f>IFERROR(__xludf.DUMMYFUNCTION("""COMPUTED_VALUE"""),43853.0)</f>
        <v>43853</v>
      </c>
      <c r="K2280">
        <f>IFERROR(__xludf.DUMMYFUNCTION("""COMPUTED_VALUE"""),54.0)</f>
        <v>54</v>
      </c>
      <c r="L2280">
        <f>IFERROR(__xludf.DUMMYFUNCTION("""COMPUTED_VALUE"""),3.0)</f>
        <v>3</v>
      </c>
      <c r="M2280">
        <f>IFERROR(__xludf.DUMMYFUNCTION("""COMPUTED_VALUE"""),57.0)</f>
        <v>57</v>
      </c>
      <c r="N2280" t="str">
        <f>IFERROR(__xludf.DUMMYFUNCTION("""COMPUTED_VALUE"""),"Model 3 SR+")</f>
        <v>Model 3 SR+</v>
      </c>
      <c r="O2280" t="str">
        <f>IFERROR(__xludf.DUMMYFUNCTION("""COMPUTED_VALUE"""),"Pearl White Multi-Coat")</f>
        <v>Pearl White Multi-Coat</v>
      </c>
      <c r="P2280" t="str">
        <f>IFERROR(__xludf.DUMMYFUNCTION("""COMPUTED_VALUE"""),"18 inch Aero")</f>
        <v>18 inch Aero</v>
      </c>
      <c r="Q2280" t="str">
        <f>IFERROR(__xludf.DUMMYFUNCTION("""COMPUTED_VALUE"""),"Black seats")</f>
        <v>Black seats</v>
      </c>
      <c r="R2280" t="str">
        <f>IFERROR(__xludf.DUMMYFUNCTION("""COMPUTED_VALUE"""),"Autopilot")</f>
        <v>Autopilot</v>
      </c>
      <c r="X2280" t="str">
        <f>IFERROR(__xludf.DUMMYFUNCTION("""COMPUTED_VALUE"""),"Excellent")</f>
        <v>Excellent</v>
      </c>
      <c r="Y2280" t="str">
        <f>IFERROR(__xludf.DUMMYFUNCTION("""COMPUTED_VALUE"""),"Excellent")</f>
        <v>Excellent</v>
      </c>
      <c r="Z2280" t="str">
        <f>IFERROR(__xludf.DUMMYFUNCTION("""COMPUTED_VALUE"""),"Excellent")</f>
        <v>Excellent</v>
      </c>
      <c r="AA2280" t="str">
        <f>IFERROR(__xludf.DUMMYFUNCTION("""COMPUTED_VALUE"""),"Poor")</f>
        <v>Poor</v>
      </c>
      <c r="AB2280" t="str">
        <f>IFERROR(__xludf.DUMMYFUNCTION("""COMPUTED_VALUE"""),"Excellent")</f>
        <v>Excellent</v>
      </c>
      <c r="AC2280">
        <f>IFERROR(__xludf.DUMMYFUNCTION("""COMPUTED_VALUE"""),0.0)</f>
        <v>0</v>
      </c>
      <c r="AE2280">
        <f>IFERROR(__xludf.DUMMYFUNCTION("""COMPUTED_VALUE"""),0.0)</f>
        <v>0</v>
      </c>
      <c r="AH2280" s="189">
        <f>IFERROR(__xludf.DUMMYFUNCTION("""COMPUTED_VALUE"""),43853.66389928241)</f>
        <v>43853.6639</v>
      </c>
    </row>
    <row r="2281">
      <c r="A2281" t="str">
        <f>IFERROR(__xludf.DUMMYFUNCTION("""COMPUTED_VALUE"""),"Thomas")</f>
        <v>Thomas</v>
      </c>
      <c r="B2281" t="str">
        <f>IFERROR(__xludf.DUMMYFUNCTION("""COMPUTED_VALUE"""),"Phoenix")</f>
        <v>Phoenix</v>
      </c>
      <c r="C2281" t="str">
        <f>IFERROR(__xludf.DUMMYFUNCTION("""COMPUTED_VALUE"""),"AZ")</f>
        <v>AZ</v>
      </c>
      <c r="D2281" t="str">
        <f>IFERROR(__xludf.DUMMYFUNCTION("""COMPUTED_VALUE"""),"USA")</f>
        <v>USA</v>
      </c>
      <c r="E2281" s="188">
        <f>IFERROR(__xludf.DUMMYFUNCTION("""COMPUTED_VALUE"""),43832.0)</f>
        <v>43832</v>
      </c>
      <c r="F2281" s="188">
        <f>IFERROR(__xludf.DUMMYFUNCTION("""COMPUTED_VALUE"""),43845.0)</f>
        <v>43845</v>
      </c>
      <c r="I2281" t="str">
        <f>IFERROR(__xludf.DUMMYFUNCTION("""COMPUTED_VALUE"""),"12/19")</f>
        <v>12/19</v>
      </c>
      <c r="J2281" s="5">
        <f>IFERROR(__xludf.DUMMYFUNCTION("""COMPUTED_VALUE"""),43852.0)</f>
        <v>43852</v>
      </c>
      <c r="K2281">
        <f>IFERROR(__xludf.DUMMYFUNCTION("""COMPUTED_VALUE"""),13.0)</f>
        <v>13</v>
      </c>
      <c r="L2281">
        <f>IFERROR(__xludf.DUMMYFUNCTION("""COMPUTED_VALUE"""),7.0)</f>
        <v>7</v>
      </c>
      <c r="M2281">
        <f>IFERROR(__xludf.DUMMYFUNCTION("""COMPUTED_VALUE"""),20.0)</f>
        <v>20</v>
      </c>
      <c r="N2281" t="str">
        <f>IFERROR(__xludf.DUMMYFUNCTION("""COMPUTED_VALUE"""),"Model 3 LR AWD")</f>
        <v>Model 3 LR AWD</v>
      </c>
      <c r="O2281" t="str">
        <f>IFERROR(__xludf.DUMMYFUNCTION("""COMPUTED_VALUE"""),"Pearl White Multi-Coat")</f>
        <v>Pearl White Multi-Coat</v>
      </c>
      <c r="P2281" t="str">
        <f>IFERROR(__xludf.DUMMYFUNCTION("""COMPUTED_VALUE"""),"18 inch Aero")</f>
        <v>18 inch Aero</v>
      </c>
      <c r="Q2281" t="str">
        <f>IFERROR(__xludf.DUMMYFUNCTION("""COMPUTED_VALUE"""),"White seats")</f>
        <v>White seats</v>
      </c>
      <c r="R2281" t="str">
        <f>IFERROR(__xludf.DUMMYFUNCTION("""COMPUTED_VALUE"""),"Autopilot")</f>
        <v>Autopilot</v>
      </c>
      <c r="X2281" t="str">
        <f>IFERROR(__xludf.DUMMYFUNCTION("""COMPUTED_VALUE"""),"Excellent")</f>
        <v>Excellent</v>
      </c>
      <c r="Y2281" t="str">
        <f>IFERROR(__xludf.DUMMYFUNCTION("""COMPUTED_VALUE"""),"Excellent")</f>
        <v>Excellent</v>
      </c>
      <c r="Z2281" t="str">
        <f>IFERROR(__xludf.DUMMYFUNCTION("""COMPUTED_VALUE"""),"Excellent")</f>
        <v>Excellent</v>
      </c>
      <c r="AA2281" t="str">
        <f>IFERROR(__xludf.DUMMYFUNCTION("""COMPUTED_VALUE"""),"Excellent")</f>
        <v>Excellent</v>
      </c>
      <c r="AB2281" t="str">
        <f>IFERROR(__xludf.DUMMYFUNCTION("""COMPUTED_VALUE"""),"Excellent")</f>
        <v>Excellent</v>
      </c>
      <c r="AC2281">
        <f>IFERROR(__xludf.DUMMYFUNCTION("""COMPUTED_VALUE"""),1.0)</f>
        <v>1</v>
      </c>
      <c r="AD2281">
        <f>IFERROR(__xludf.DUMMYFUNCTION("""COMPUTED_VALUE"""),1.0)</f>
        <v>1</v>
      </c>
      <c r="AE2281">
        <f>IFERROR(__xludf.DUMMYFUNCTION("""COMPUTED_VALUE"""),1.0)</f>
        <v>1</v>
      </c>
      <c r="AH2281" s="189">
        <f>IFERROR(__xludf.DUMMYFUNCTION("""COMPUTED_VALUE"""),43854.35282400463)</f>
        <v>43854.35282</v>
      </c>
    </row>
    <row r="2282">
      <c r="A2282" t="str">
        <f>IFERROR(__xludf.DUMMYFUNCTION("""COMPUTED_VALUE"""),"Snowie")</f>
        <v>Snowie</v>
      </c>
      <c r="B2282" t="str">
        <f>IFERROR(__xludf.DUMMYFUNCTION("""COMPUTED_VALUE"""),"Toronto")</f>
        <v>Toronto</v>
      </c>
      <c r="C2282" t="str">
        <f>IFERROR(__xludf.DUMMYFUNCTION("""COMPUTED_VALUE"""),"ON")</f>
        <v>ON</v>
      </c>
      <c r="D2282" t="str">
        <f>IFERROR(__xludf.DUMMYFUNCTION("""COMPUTED_VALUE"""),"Canada")</f>
        <v>Canada</v>
      </c>
      <c r="E2282" s="188">
        <f>IFERROR(__xludf.DUMMYFUNCTION("""COMPUTED_VALUE"""),43848.0)</f>
        <v>43848</v>
      </c>
      <c r="F2282" s="188">
        <f>IFERROR(__xludf.DUMMYFUNCTION("""COMPUTED_VALUE"""),43849.0)</f>
        <v>43849</v>
      </c>
      <c r="H2282" s="4">
        <f>IFERROR(__xludf.DUMMYFUNCTION("""COMPUTED_VALUE"""),642933.0)</f>
        <v>642933</v>
      </c>
      <c r="I2282" t="str">
        <f>IFERROR(__xludf.DUMMYFUNCTION("""COMPUTED_VALUE"""),"12/19")</f>
        <v>12/19</v>
      </c>
      <c r="J2282" s="5">
        <f>IFERROR(__xludf.DUMMYFUNCTION("""COMPUTED_VALUE"""),43855.0)</f>
        <v>43855</v>
      </c>
      <c r="K2282">
        <f>IFERROR(__xludf.DUMMYFUNCTION("""COMPUTED_VALUE"""),1.0)</f>
        <v>1</v>
      </c>
      <c r="L2282">
        <f>IFERROR(__xludf.DUMMYFUNCTION("""COMPUTED_VALUE"""),6.0)</f>
        <v>6</v>
      </c>
      <c r="M2282">
        <f>IFERROR(__xludf.DUMMYFUNCTION("""COMPUTED_VALUE"""),7.0)</f>
        <v>7</v>
      </c>
      <c r="N2282" t="str">
        <f>IFERROR(__xludf.DUMMYFUNCTION("""COMPUTED_VALUE"""),"Model 3 LR AWD")</f>
        <v>Model 3 LR AWD</v>
      </c>
      <c r="O2282" t="str">
        <f>IFERROR(__xludf.DUMMYFUNCTION("""COMPUTED_VALUE"""),"Pearl White Multi-Coat")</f>
        <v>Pearl White Multi-Coat</v>
      </c>
      <c r="P2282" t="str">
        <f>IFERROR(__xludf.DUMMYFUNCTION("""COMPUTED_VALUE"""),"18 inch Aero")</f>
        <v>18 inch Aero</v>
      </c>
      <c r="Q2282" t="str">
        <f>IFERROR(__xludf.DUMMYFUNCTION("""COMPUTED_VALUE"""),"Black seats")</f>
        <v>Black seats</v>
      </c>
      <c r="R2282" t="str">
        <f>IFERROR(__xludf.DUMMYFUNCTION("""COMPUTED_VALUE"""),"Autopilot")</f>
        <v>Autopilot</v>
      </c>
      <c r="X2282" t="str">
        <f>IFERROR(__xludf.DUMMYFUNCTION("""COMPUTED_VALUE"""),"Good")</f>
        <v>Good</v>
      </c>
      <c r="Y2282" t="str">
        <f>IFERROR(__xludf.DUMMYFUNCTION("""COMPUTED_VALUE"""),"Very Good")</f>
        <v>Very Good</v>
      </c>
      <c r="Z2282" t="str">
        <f>IFERROR(__xludf.DUMMYFUNCTION("""COMPUTED_VALUE"""),"Very Good")</f>
        <v>Very Good</v>
      </c>
      <c r="AA2282" t="str">
        <f>IFERROR(__xludf.DUMMYFUNCTION("""COMPUTED_VALUE"""),"Very Good")</f>
        <v>Very Good</v>
      </c>
      <c r="AB2282" t="str">
        <f>IFERROR(__xludf.DUMMYFUNCTION("""COMPUTED_VALUE"""),"Excellent")</f>
        <v>Excellent</v>
      </c>
      <c r="AC2282">
        <f>IFERROR(__xludf.DUMMYFUNCTION("""COMPUTED_VALUE"""),4.0)</f>
        <v>4</v>
      </c>
      <c r="AH2282" s="189">
        <f>IFERROR(__xludf.DUMMYFUNCTION("""COMPUTED_VALUE"""),43855.91135335648)</f>
        <v>43855.91135</v>
      </c>
    </row>
    <row r="2283">
      <c r="A2283" t="str">
        <f>IFERROR(__xludf.DUMMYFUNCTION("""COMPUTED_VALUE"""),"topscrt")</f>
        <v>topscrt</v>
      </c>
      <c r="B2283" t="str">
        <f>IFERROR(__xludf.DUMMYFUNCTION("""COMPUTED_VALUE"""),"Charleston")</f>
        <v>Charleston</v>
      </c>
      <c r="C2283" t="str">
        <f>IFERROR(__xludf.DUMMYFUNCTION("""COMPUTED_VALUE"""),"SC")</f>
        <v>SC</v>
      </c>
      <c r="D2283" t="str">
        <f>IFERROR(__xludf.DUMMYFUNCTION("""COMPUTED_VALUE"""),"USA")</f>
        <v>USA</v>
      </c>
      <c r="E2283" s="188">
        <f>IFERROR(__xludf.DUMMYFUNCTION("""COMPUTED_VALUE"""),43827.0)</f>
        <v>43827</v>
      </c>
      <c r="F2283" s="188">
        <f>IFERROR(__xludf.DUMMYFUNCTION("""COMPUTED_VALUE"""),43836.0)</f>
        <v>43836</v>
      </c>
      <c r="H2283">
        <f>IFERROR(__xludf.DUMMYFUNCTION("""COMPUTED_VALUE"""),637695.0)</f>
        <v>637695</v>
      </c>
      <c r="J2283" s="5">
        <f>IFERROR(__xludf.DUMMYFUNCTION("""COMPUTED_VALUE"""),43853.0)</f>
        <v>43853</v>
      </c>
      <c r="K2283">
        <f>IFERROR(__xludf.DUMMYFUNCTION("""COMPUTED_VALUE"""),9.0)</f>
        <v>9</v>
      </c>
      <c r="L2283">
        <f>IFERROR(__xludf.DUMMYFUNCTION("""COMPUTED_VALUE"""),17.0)</f>
        <v>17</v>
      </c>
      <c r="M2283">
        <f>IFERROR(__xludf.DUMMYFUNCTION("""COMPUTED_VALUE"""),26.0)</f>
        <v>26</v>
      </c>
      <c r="N2283" t="str">
        <f>IFERROR(__xludf.DUMMYFUNCTION("""COMPUTED_VALUE"""),"Model 3 LR AWD")</f>
        <v>Model 3 LR AWD</v>
      </c>
      <c r="O2283" t="str">
        <f>IFERROR(__xludf.DUMMYFUNCTION("""COMPUTED_VALUE"""),"Pearl White Multi-Coat")</f>
        <v>Pearl White Multi-Coat</v>
      </c>
      <c r="P2283" t="str">
        <f>IFERROR(__xludf.DUMMYFUNCTION("""COMPUTED_VALUE"""),"18 inch Aero")</f>
        <v>18 inch Aero</v>
      </c>
      <c r="Q2283" t="str">
        <f>IFERROR(__xludf.DUMMYFUNCTION("""COMPUTED_VALUE"""),"Black seats")</f>
        <v>Black seats</v>
      </c>
      <c r="R2283" t="str">
        <f>IFERROR(__xludf.DUMMYFUNCTION("""COMPUTED_VALUE"""),"Autopilot")</f>
        <v>Autopilot</v>
      </c>
      <c r="X2283" t="str">
        <f>IFERROR(__xludf.DUMMYFUNCTION("""COMPUTED_VALUE"""),"Excellent")</f>
        <v>Excellent</v>
      </c>
      <c r="Y2283" t="str">
        <f>IFERROR(__xludf.DUMMYFUNCTION("""COMPUTED_VALUE"""),"Excellent")</f>
        <v>Excellent</v>
      </c>
      <c r="Z2283" t="str">
        <f>IFERROR(__xludf.DUMMYFUNCTION("""COMPUTED_VALUE"""),"Very Good")</f>
        <v>Very Good</v>
      </c>
      <c r="AA2283" t="str">
        <f>IFERROR(__xludf.DUMMYFUNCTION("""COMPUTED_VALUE"""),"Very Good")</f>
        <v>Very Good</v>
      </c>
      <c r="AB2283" t="str">
        <f>IFERROR(__xludf.DUMMYFUNCTION("""COMPUTED_VALUE"""),"Excellent")</f>
        <v>Excellent</v>
      </c>
      <c r="AC2283">
        <f>IFERROR(__xludf.DUMMYFUNCTION("""COMPUTED_VALUE"""),1.0)</f>
        <v>1</v>
      </c>
      <c r="AD2283">
        <f>IFERROR(__xludf.DUMMYFUNCTION("""COMPUTED_VALUE"""),0.0)</f>
        <v>0</v>
      </c>
      <c r="AE2283">
        <f>IFERROR(__xludf.DUMMYFUNCTION("""COMPUTED_VALUE"""),0.0)</f>
        <v>0</v>
      </c>
      <c r="AG2283" t="str">
        <f>IFERROR(__xludf.DUMMYFUNCTION("""COMPUTED_VALUE"""),"Vehicle ready for pickup 19 Jan 2020")</f>
        <v>Vehicle ready for pickup 19 Jan 2020</v>
      </c>
      <c r="AH2283" s="189">
        <f>IFERROR(__xludf.DUMMYFUNCTION("""COMPUTED_VALUE"""),43856.297140891205)</f>
        <v>43856.29714</v>
      </c>
    </row>
    <row r="2284">
      <c r="A2284" t="str">
        <f>IFERROR(__xludf.DUMMYFUNCTION("""COMPUTED_VALUE"""),"Evjaime")</f>
        <v>Evjaime</v>
      </c>
      <c r="B2284" t="str">
        <f>IFERROR(__xludf.DUMMYFUNCTION("""COMPUTED_VALUE"""),"Phoenix")</f>
        <v>Phoenix</v>
      </c>
      <c r="C2284" t="str">
        <f>IFERROR(__xludf.DUMMYFUNCTION("""COMPUTED_VALUE"""),"AZ")</f>
        <v>AZ</v>
      </c>
      <c r="D2284" t="str">
        <f>IFERROR(__xludf.DUMMYFUNCTION("""COMPUTED_VALUE"""),"USA")</f>
        <v>USA</v>
      </c>
      <c r="E2284" s="188">
        <f>IFERROR(__xludf.DUMMYFUNCTION("""COMPUTED_VALUE"""),44439.0)</f>
        <v>44439</v>
      </c>
      <c r="N2284" t="str">
        <f>IFERROR(__xludf.DUMMYFUNCTION("""COMPUTED_VALUE"""),"Model 3 LR AWD")</f>
        <v>Model 3 LR AWD</v>
      </c>
      <c r="O2284" t="str">
        <f>IFERROR(__xludf.DUMMYFUNCTION("""COMPUTED_VALUE"""),"Solid Black")</f>
        <v>Solid Black</v>
      </c>
      <c r="P2284" t="str">
        <f>IFERROR(__xludf.DUMMYFUNCTION("""COMPUTED_VALUE"""),"18 inch")</f>
        <v>18 inch</v>
      </c>
      <c r="Q2284" t="str">
        <f>IFERROR(__xludf.DUMMYFUNCTION("""COMPUTED_VALUE"""),"All Black")</f>
        <v>All Black</v>
      </c>
      <c r="R2284" t="str">
        <f>IFERROR(__xludf.DUMMYFUNCTION("""COMPUTED_VALUE"""),"Autopilot included")</f>
        <v>Autopilot included</v>
      </c>
      <c r="S2284" t="str">
        <f>IFERROR(__xludf.DUMMYFUNCTION("""COMPUTED_VALUE"""),"Loan")</f>
        <v>Loan</v>
      </c>
      <c r="T2284" t="str">
        <f>IFERROR(__xludf.DUMMYFUNCTION("""COMPUTED_VALUE"""),"Tesla Model 3")</f>
        <v>Tesla Model 3</v>
      </c>
      <c r="AH2284" s="189">
        <f>IFERROR(__xludf.DUMMYFUNCTION("""COMPUTED_VALUE"""),44455.847814733796)</f>
        <v>44455.84781</v>
      </c>
    </row>
    <row r="2285">
      <c r="A2285" t="str">
        <f>IFERROR(__xludf.DUMMYFUNCTION("""COMPUTED_VALUE"""),"RedCad")</f>
        <v>RedCad</v>
      </c>
      <c r="C2285" t="str">
        <f>IFERROR(__xludf.DUMMYFUNCTION("""COMPUTED_VALUE"""),"OH")</f>
        <v>OH</v>
      </c>
      <c r="D2285" t="str">
        <f>IFERROR(__xludf.DUMMYFUNCTION("""COMPUTED_VALUE"""),"USA")</f>
        <v>USA</v>
      </c>
      <c r="E2285" s="188">
        <f>IFERROR(__xludf.DUMMYFUNCTION("""COMPUTED_VALUE"""),43838.0)</f>
        <v>43838</v>
      </c>
      <c r="F2285" s="188">
        <f>IFERROR(__xludf.DUMMYFUNCTION("""COMPUTED_VALUE"""),43852.0)</f>
        <v>43852</v>
      </c>
      <c r="H2285">
        <f>IFERROR(__xludf.DUMMYFUNCTION("""COMPUTED_VALUE"""),635755.0)</f>
        <v>635755</v>
      </c>
      <c r="J2285" s="5">
        <f>IFERROR(__xludf.DUMMYFUNCTION("""COMPUTED_VALUE"""),43855.0)</f>
        <v>43855</v>
      </c>
      <c r="K2285">
        <f>IFERROR(__xludf.DUMMYFUNCTION("""COMPUTED_VALUE"""),14.0)</f>
        <v>14</v>
      </c>
      <c r="L2285">
        <f>IFERROR(__xludf.DUMMYFUNCTION("""COMPUTED_VALUE"""),3.0)</f>
        <v>3</v>
      </c>
      <c r="M2285">
        <f>IFERROR(__xludf.DUMMYFUNCTION("""COMPUTED_VALUE"""),17.0)</f>
        <v>17</v>
      </c>
      <c r="N2285" t="str">
        <f>IFERROR(__xludf.DUMMYFUNCTION("""COMPUTED_VALUE"""),"Model 3 LR AWD")</f>
        <v>Model 3 LR AWD</v>
      </c>
      <c r="O2285" t="str">
        <f>IFERROR(__xludf.DUMMYFUNCTION("""COMPUTED_VALUE"""),"Midnight Silver Metallic")</f>
        <v>Midnight Silver Metallic</v>
      </c>
      <c r="P2285" t="str">
        <f>IFERROR(__xludf.DUMMYFUNCTION("""COMPUTED_VALUE"""),"18 inch Aero")</f>
        <v>18 inch Aero</v>
      </c>
      <c r="Q2285" t="str">
        <f>IFERROR(__xludf.DUMMYFUNCTION("""COMPUTED_VALUE"""),"Black seats")</f>
        <v>Black seats</v>
      </c>
      <c r="R2285" t="str">
        <f>IFERROR(__xludf.DUMMYFUNCTION("""COMPUTED_VALUE"""),"Autopilot")</f>
        <v>Autopilot</v>
      </c>
      <c r="X2285" t="str">
        <f>IFERROR(__xludf.DUMMYFUNCTION("""COMPUTED_VALUE"""),"Excellent")</f>
        <v>Excellent</v>
      </c>
      <c r="Y2285" t="str">
        <f>IFERROR(__xludf.DUMMYFUNCTION("""COMPUTED_VALUE"""),"Excellent")</f>
        <v>Excellent</v>
      </c>
      <c r="Z2285" t="str">
        <f>IFERROR(__xludf.DUMMYFUNCTION("""COMPUTED_VALUE"""),"Excellent")</f>
        <v>Excellent</v>
      </c>
      <c r="AA2285" t="str">
        <f>IFERROR(__xludf.DUMMYFUNCTION("""COMPUTED_VALUE"""),"Excellent")</f>
        <v>Excellent</v>
      </c>
      <c r="AB2285" t="str">
        <f>IFERROR(__xludf.DUMMYFUNCTION("""COMPUTED_VALUE"""),"Excellent")</f>
        <v>Excellent</v>
      </c>
      <c r="AH2285" s="189">
        <f>IFERROR(__xludf.DUMMYFUNCTION("""COMPUTED_VALUE"""),43857.45874449074)</f>
        <v>43857.45874</v>
      </c>
    </row>
    <row r="2286">
      <c r="A2286" t="str">
        <f>IFERROR(__xludf.DUMMYFUNCTION("""COMPUTED_VALUE"""),"CleanPl8r")</f>
        <v>CleanPl8r</v>
      </c>
      <c r="B2286" t="str">
        <f>IFERROR(__xludf.DUMMYFUNCTION("""COMPUTED_VALUE"""),"Hilliard")</f>
        <v>Hilliard</v>
      </c>
      <c r="C2286" t="str">
        <f>IFERROR(__xludf.DUMMYFUNCTION("""COMPUTED_VALUE"""),"OH")</f>
        <v>OH</v>
      </c>
      <c r="D2286" t="str">
        <f>IFERROR(__xludf.DUMMYFUNCTION("""COMPUTED_VALUE"""),"USA")</f>
        <v>USA</v>
      </c>
      <c r="E2286" s="188">
        <f>IFERROR(__xludf.DUMMYFUNCTION("""COMPUTED_VALUE"""),43800.0)</f>
        <v>43800</v>
      </c>
      <c r="F2286" s="188">
        <f>IFERROR(__xludf.DUMMYFUNCTION("""COMPUTED_VALUE"""),43804.0)</f>
        <v>43804</v>
      </c>
      <c r="H2286">
        <f>IFERROR(__xludf.DUMMYFUNCTION("""COMPUTED_VALUE"""),617455.0)</f>
        <v>617455</v>
      </c>
      <c r="I2286" t="str">
        <f>IFERROR(__xludf.DUMMYFUNCTION("""COMPUTED_VALUE"""),"12/19")</f>
        <v>12/19</v>
      </c>
      <c r="J2286" s="5">
        <f>IFERROR(__xludf.DUMMYFUNCTION("""COMPUTED_VALUE"""),43825.0)</f>
        <v>43825</v>
      </c>
      <c r="K2286">
        <f>IFERROR(__xludf.DUMMYFUNCTION("""COMPUTED_VALUE"""),4.0)</f>
        <v>4</v>
      </c>
      <c r="L2286">
        <f>IFERROR(__xludf.DUMMYFUNCTION("""COMPUTED_VALUE"""),21.0)</f>
        <v>21</v>
      </c>
      <c r="M2286">
        <f>IFERROR(__xludf.DUMMYFUNCTION("""COMPUTED_VALUE"""),25.0)</f>
        <v>25</v>
      </c>
      <c r="N2286" t="str">
        <f>IFERROR(__xludf.DUMMYFUNCTION("""COMPUTED_VALUE"""),"Model 3 LR AWD")</f>
        <v>Model 3 LR AWD</v>
      </c>
      <c r="O2286" t="str">
        <f>IFERROR(__xludf.DUMMYFUNCTION("""COMPUTED_VALUE"""),"Deep Blue Metallic")</f>
        <v>Deep Blue Metallic</v>
      </c>
      <c r="P2286" t="str">
        <f>IFERROR(__xludf.DUMMYFUNCTION("""COMPUTED_VALUE"""),"18 inch Aero")</f>
        <v>18 inch Aero</v>
      </c>
      <c r="Q2286" t="str">
        <f>IFERROR(__xludf.DUMMYFUNCTION("""COMPUTED_VALUE"""),"Black seats")</f>
        <v>Black seats</v>
      </c>
      <c r="R2286" t="str">
        <f>IFERROR(__xludf.DUMMYFUNCTION("""COMPUTED_VALUE"""),"Full Self-Driving")</f>
        <v>Full Self-Driving</v>
      </c>
      <c r="X2286" t="str">
        <f>IFERROR(__xludf.DUMMYFUNCTION("""COMPUTED_VALUE"""),"Excellent")</f>
        <v>Excellent</v>
      </c>
      <c r="Y2286" t="str">
        <f>IFERROR(__xludf.DUMMYFUNCTION("""COMPUTED_VALUE"""),"Excellent")</f>
        <v>Excellent</v>
      </c>
      <c r="Z2286" t="str">
        <f>IFERROR(__xludf.DUMMYFUNCTION("""COMPUTED_VALUE"""),"Very Good")</f>
        <v>Very Good</v>
      </c>
      <c r="AA2286" t="str">
        <f>IFERROR(__xludf.DUMMYFUNCTION("""COMPUTED_VALUE"""),"Excellent")</f>
        <v>Excellent</v>
      </c>
      <c r="AB2286" t="str">
        <f>IFERROR(__xludf.DUMMYFUNCTION("""COMPUTED_VALUE"""),"Excellent")</f>
        <v>Excellent</v>
      </c>
      <c r="AC2286">
        <f>IFERROR(__xludf.DUMMYFUNCTION("""COMPUTED_VALUE"""),0.0)</f>
        <v>0</v>
      </c>
      <c r="AD2286">
        <f>IFERROR(__xludf.DUMMYFUNCTION("""COMPUTED_VALUE"""),0.0)</f>
        <v>0</v>
      </c>
      <c r="AE2286">
        <f>IFERROR(__xludf.DUMMYFUNCTION("""COMPUTED_VALUE"""),0.0)</f>
        <v>0</v>
      </c>
      <c r="AG2286" t="str">
        <f>IFERROR(__xludf.DUMMYFUNCTION("""COMPUTED_VALUE"""),"Delivery was delayed from 12/23 to 12/26 due to transportation issue.")</f>
        <v>Delivery was delayed from 12/23 to 12/26 due to transportation issue.</v>
      </c>
      <c r="AH2286" s="189">
        <f>IFERROR(__xludf.DUMMYFUNCTION("""COMPUTED_VALUE"""),43857.56916013889)</f>
        <v>43857.56916</v>
      </c>
    </row>
    <row r="2287">
      <c r="A2287" t="str">
        <f>IFERROR(__xludf.DUMMYFUNCTION("""COMPUTED_VALUE"""),"cjaffree1")</f>
        <v>cjaffree1</v>
      </c>
      <c r="B2287" t="str">
        <f>IFERROR(__xludf.DUMMYFUNCTION("""COMPUTED_VALUE"""),"Madison")</f>
        <v>Madison</v>
      </c>
      <c r="C2287" t="str">
        <f>IFERROR(__xludf.DUMMYFUNCTION("""COMPUTED_VALUE"""),"AL")</f>
        <v>AL</v>
      </c>
      <c r="D2287" t="str">
        <f>IFERROR(__xludf.DUMMYFUNCTION("""COMPUTED_VALUE"""),"USA")</f>
        <v>USA</v>
      </c>
      <c r="E2287" s="188">
        <f>IFERROR(__xludf.DUMMYFUNCTION("""COMPUTED_VALUE"""),44493.0)</f>
        <v>44493</v>
      </c>
      <c r="F2287" s="188">
        <f>IFERROR(__xludf.DUMMYFUNCTION("""COMPUTED_VALUE"""),44502.0)</f>
        <v>44502</v>
      </c>
      <c r="G2287" t="str">
        <f>IFERROR(__xludf.DUMMYFUNCTION("""COMPUTED_VALUE"""),"Manage order page (normal text)")</f>
        <v>Manage order page (normal text)</v>
      </c>
      <c r="H2287">
        <f>IFERROR(__xludf.DUMMYFUNCTION("""COMPUTED_VALUE"""),105955.0)</f>
        <v>105955</v>
      </c>
      <c r="K2287">
        <f>IFERROR(__xludf.DUMMYFUNCTION("""COMPUTED_VALUE"""),9.0)</f>
        <v>9</v>
      </c>
      <c r="N2287" t="str">
        <f>IFERROR(__xludf.DUMMYFUNCTION("""COMPUTED_VALUE"""),"Model 3 Performance")</f>
        <v>Model 3 Performance</v>
      </c>
      <c r="O2287" t="str">
        <f>IFERROR(__xludf.DUMMYFUNCTION("""COMPUTED_VALUE"""),"Deep Blue Metallic")</f>
        <v>Deep Blue Metallic</v>
      </c>
      <c r="P2287" t="str">
        <f>IFERROR(__xludf.DUMMYFUNCTION("""COMPUTED_VALUE"""),"20 inch")</f>
        <v>20 inch</v>
      </c>
      <c r="Q2287" t="str">
        <f>IFERROR(__xludf.DUMMYFUNCTION("""COMPUTED_VALUE"""),"All Black")</f>
        <v>All Black</v>
      </c>
      <c r="R2287" t="str">
        <f>IFERROR(__xludf.DUMMYFUNCTION("""COMPUTED_VALUE"""),"Autopilot included")</f>
        <v>Autopilot included</v>
      </c>
      <c r="S2287" t="str">
        <f>IFERROR(__xludf.DUMMYFUNCTION("""COMPUTED_VALUE"""),"Loan")</f>
        <v>Loan</v>
      </c>
      <c r="T2287" t="str">
        <f>IFERROR(__xludf.DUMMYFUNCTION("""COMPUTED_VALUE"""),"Tesla Model 3")</f>
        <v>Tesla Model 3</v>
      </c>
      <c r="U2287" t="str">
        <f>IFERROR(__xludf.DUMMYFUNCTION("""COMPUTED_VALUE"""),"Electric!")</f>
        <v>Electric!</v>
      </c>
      <c r="V2287" t="str">
        <f>IFERROR(__xludf.DUMMYFUNCTION("""COMPUTED_VALUE"""),"Apple CarPlay / Android Auto / SiriusXM Radio")</f>
        <v>Apple CarPlay / Android Auto / SiriusXM Radio</v>
      </c>
      <c r="AH2287" s="189">
        <f>IFERROR(__xludf.DUMMYFUNCTION("""COMPUTED_VALUE"""),44503.63784898148)</f>
        <v>44503.63785</v>
      </c>
    </row>
    <row r="2288">
      <c r="A2288" t="str">
        <f>IFERROR(__xludf.DUMMYFUNCTION("""COMPUTED_VALUE"""),"teslamike")</f>
        <v>teslamike</v>
      </c>
      <c r="B2288" t="str">
        <f>IFERROR(__xludf.DUMMYFUNCTION("""COMPUTED_VALUE"""),"Charlotte")</f>
        <v>Charlotte</v>
      </c>
      <c r="C2288" t="str">
        <f>IFERROR(__xludf.DUMMYFUNCTION("""COMPUTED_VALUE"""),"NC")</f>
        <v>NC</v>
      </c>
      <c r="D2288" t="str">
        <f>IFERROR(__xludf.DUMMYFUNCTION("""COMPUTED_VALUE"""),"USA")</f>
        <v>USA</v>
      </c>
      <c r="E2288" s="188">
        <f>IFERROR(__xludf.DUMMYFUNCTION("""COMPUTED_VALUE"""),43769.0)</f>
        <v>43769</v>
      </c>
      <c r="F2288" s="188">
        <f>IFERROR(__xludf.DUMMYFUNCTION("""COMPUTED_VALUE"""),43805.0)</f>
        <v>43805</v>
      </c>
      <c r="H2288">
        <f>IFERROR(__xludf.DUMMYFUNCTION("""COMPUTED_VALUE"""),607089.0)</f>
        <v>607089</v>
      </c>
      <c r="I2288" t="str">
        <f>IFERROR(__xludf.DUMMYFUNCTION("""COMPUTED_VALUE"""),"12/19")</f>
        <v>12/19</v>
      </c>
      <c r="J2288" s="5">
        <f>IFERROR(__xludf.DUMMYFUNCTION("""COMPUTED_VALUE"""),43828.0)</f>
        <v>43828</v>
      </c>
      <c r="K2288">
        <f>IFERROR(__xludf.DUMMYFUNCTION("""COMPUTED_VALUE"""),36.0)</f>
        <v>36</v>
      </c>
      <c r="L2288">
        <f>IFERROR(__xludf.DUMMYFUNCTION("""COMPUTED_VALUE"""),23.0)</f>
        <v>23</v>
      </c>
      <c r="M2288">
        <f>IFERROR(__xludf.DUMMYFUNCTION("""COMPUTED_VALUE"""),59.0)</f>
        <v>59</v>
      </c>
      <c r="N2288" t="str">
        <f>IFERROR(__xludf.DUMMYFUNCTION("""COMPUTED_VALUE"""),"Model 3 LR AWD")</f>
        <v>Model 3 LR AWD</v>
      </c>
      <c r="O2288" t="str">
        <f>IFERROR(__xludf.DUMMYFUNCTION("""COMPUTED_VALUE"""),"Pearl White Multi-Coat")</f>
        <v>Pearl White Multi-Coat</v>
      </c>
      <c r="P2288" t="str">
        <f>IFERROR(__xludf.DUMMYFUNCTION("""COMPUTED_VALUE"""),"18 inch Aero")</f>
        <v>18 inch Aero</v>
      </c>
      <c r="Q2288" t="str">
        <f>IFERROR(__xludf.DUMMYFUNCTION("""COMPUTED_VALUE"""),"White seats")</f>
        <v>White seats</v>
      </c>
      <c r="R2288" t="str">
        <f>IFERROR(__xludf.DUMMYFUNCTION("""COMPUTED_VALUE"""),"Autopilot")</f>
        <v>Autopilot</v>
      </c>
      <c r="X2288" t="str">
        <f>IFERROR(__xludf.DUMMYFUNCTION("""COMPUTED_VALUE"""),"Excellent")</f>
        <v>Excellent</v>
      </c>
      <c r="Y2288" t="str">
        <f>IFERROR(__xludf.DUMMYFUNCTION("""COMPUTED_VALUE"""),"Excellent")</f>
        <v>Excellent</v>
      </c>
      <c r="Z2288" t="str">
        <f>IFERROR(__xludf.DUMMYFUNCTION("""COMPUTED_VALUE"""),"Excellent")</f>
        <v>Excellent</v>
      </c>
      <c r="AA2288" t="str">
        <f>IFERROR(__xludf.DUMMYFUNCTION("""COMPUTED_VALUE"""),"Fair")</f>
        <v>Fair</v>
      </c>
      <c r="AB2288" t="str">
        <f>IFERROR(__xludf.DUMMYFUNCTION("""COMPUTED_VALUE"""),"Fair")</f>
        <v>Fair</v>
      </c>
      <c r="AC2288">
        <f>IFERROR(__xludf.DUMMYFUNCTION("""COMPUTED_VALUE"""),0.0)</f>
        <v>0</v>
      </c>
      <c r="AD2288">
        <f>IFERROR(__xludf.DUMMYFUNCTION("""COMPUTED_VALUE"""),1.0)</f>
        <v>1</v>
      </c>
      <c r="AE2288">
        <f>IFERROR(__xludf.DUMMYFUNCTION("""COMPUTED_VALUE"""),0.0)</f>
        <v>0</v>
      </c>
      <c r="AH2288" s="189">
        <f>IFERROR(__xludf.DUMMYFUNCTION("""COMPUTED_VALUE"""),43858.56121646991)</f>
        <v>43858.56122</v>
      </c>
    </row>
    <row r="2289">
      <c r="A2289" t="str">
        <f>IFERROR(__xludf.DUMMYFUNCTION("""COMPUTED_VALUE"""),"Bkfarrell")</f>
        <v>Bkfarrell</v>
      </c>
      <c r="B2289" t="str">
        <f>IFERROR(__xludf.DUMMYFUNCTION("""COMPUTED_VALUE"""),"Northern VA")</f>
        <v>Northern VA</v>
      </c>
      <c r="C2289" t="str">
        <f>IFERROR(__xludf.DUMMYFUNCTION("""COMPUTED_VALUE"""),"VA")</f>
        <v>VA</v>
      </c>
      <c r="D2289" t="str">
        <f>IFERROR(__xludf.DUMMYFUNCTION("""COMPUTED_VALUE"""),"USA")</f>
        <v>USA</v>
      </c>
      <c r="E2289" s="188">
        <f>IFERROR(__xludf.DUMMYFUNCTION("""COMPUTED_VALUE"""),43826.0)</f>
        <v>43826</v>
      </c>
      <c r="F2289" s="188">
        <f>IFERROR(__xludf.DUMMYFUNCTION("""COMPUTED_VALUE"""),43859.0)</f>
        <v>43859</v>
      </c>
      <c r="H2289" s="4">
        <f>IFERROR(__xludf.DUMMYFUNCTION("""COMPUTED_VALUE"""),639497.0)</f>
        <v>639497</v>
      </c>
      <c r="J2289" s="5">
        <f>IFERROR(__xludf.DUMMYFUNCTION("""COMPUTED_VALUE"""),43872.0)</f>
        <v>43872</v>
      </c>
      <c r="K2289">
        <f>IFERROR(__xludf.DUMMYFUNCTION("""COMPUTED_VALUE"""),33.0)</f>
        <v>33</v>
      </c>
      <c r="L2289">
        <f>IFERROR(__xludf.DUMMYFUNCTION("""COMPUTED_VALUE"""),13.0)</f>
        <v>13</v>
      </c>
      <c r="M2289">
        <f>IFERROR(__xludf.DUMMYFUNCTION("""COMPUTED_VALUE"""),46.0)</f>
        <v>46</v>
      </c>
      <c r="N2289" t="str">
        <f>IFERROR(__xludf.DUMMYFUNCTION("""COMPUTED_VALUE"""),"Model 3 LR AWD")</f>
        <v>Model 3 LR AWD</v>
      </c>
      <c r="O2289" t="str">
        <f>IFERROR(__xludf.DUMMYFUNCTION("""COMPUTED_VALUE"""),"Pearl White Multi-Coat")</f>
        <v>Pearl White Multi-Coat</v>
      </c>
      <c r="P2289" t="str">
        <f>IFERROR(__xludf.DUMMYFUNCTION("""COMPUTED_VALUE"""),"18 inch Aero")</f>
        <v>18 inch Aero</v>
      </c>
      <c r="Q2289" t="str">
        <f>IFERROR(__xludf.DUMMYFUNCTION("""COMPUTED_VALUE"""),"White seats")</f>
        <v>White seats</v>
      </c>
      <c r="R2289" t="str">
        <f>IFERROR(__xludf.DUMMYFUNCTION("""COMPUTED_VALUE"""),"Full Self-Driving")</f>
        <v>Full Self-Driving</v>
      </c>
      <c r="X2289" t="str">
        <f>IFERROR(__xludf.DUMMYFUNCTION("""COMPUTED_VALUE"""),"Very Good")</f>
        <v>Very Good</v>
      </c>
      <c r="Y2289" t="str">
        <f>IFERROR(__xludf.DUMMYFUNCTION("""COMPUTED_VALUE"""),"Very Good")</f>
        <v>Very Good</v>
      </c>
      <c r="Z2289" t="str">
        <f>IFERROR(__xludf.DUMMYFUNCTION("""COMPUTED_VALUE"""),"Very Good")</f>
        <v>Very Good</v>
      </c>
      <c r="AA2289" t="str">
        <f>IFERROR(__xludf.DUMMYFUNCTION("""COMPUTED_VALUE"""),"Poor")</f>
        <v>Poor</v>
      </c>
      <c r="AB2289" t="str">
        <f>IFERROR(__xludf.DUMMYFUNCTION("""COMPUTED_VALUE"""),"Very Good")</f>
        <v>Very Good</v>
      </c>
      <c r="AG2289" t="str">
        <f>IFERROR(__xludf.DUMMYFUNCTION("""COMPUTED_VALUE"""),"Just got my scheduled date and official VIN")</f>
        <v>Just got my scheduled date and official VIN</v>
      </c>
      <c r="AH2289" s="189">
        <f>IFERROR(__xludf.DUMMYFUNCTION("""COMPUTED_VALUE"""),43859.33716633102)</f>
        <v>43859.33717</v>
      </c>
    </row>
    <row r="2290">
      <c r="A2290" t="str">
        <f>IFERROR(__xludf.DUMMYFUNCTION("""COMPUTED_VALUE"""),"indiana1")</f>
        <v>indiana1</v>
      </c>
      <c r="B2290" t="str">
        <f>IFERROR(__xludf.DUMMYFUNCTION("""COMPUTED_VALUE"""),"Indianapolis")</f>
        <v>Indianapolis</v>
      </c>
      <c r="C2290" t="str">
        <f>IFERROR(__xludf.DUMMYFUNCTION("""COMPUTED_VALUE"""),"IN")</f>
        <v>IN</v>
      </c>
      <c r="D2290" t="str">
        <f>IFERROR(__xludf.DUMMYFUNCTION("""COMPUTED_VALUE"""),"USA")</f>
        <v>USA</v>
      </c>
      <c r="E2290" s="188">
        <f>IFERROR(__xludf.DUMMYFUNCTION("""COMPUTED_VALUE"""),43804.0)</f>
        <v>43804</v>
      </c>
      <c r="F2290" s="188">
        <f>IFERROR(__xludf.DUMMYFUNCTION("""COMPUTED_VALUE"""),43827.0)</f>
        <v>43827</v>
      </c>
      <c r="J2290" s="5">
        <f>IFERROR(__xludf.DUMMYFUNCTION("""COMPUTED_VALUE"""),43848.0)</f>
        <v>43848</v>
      </c>
      <c r="K2290">
        <f>IFERROR(__xludf.DUMMYFUNCTION("""COMPUTED_VALUE"""),23.0)</f>
        <v>23</v>
      </c>
      <c r="L2290">
        <f>IFERROR(__xludf.DUMMYFUNCTION("""COMPUTED_VALUE"""),21.0)</f>
        <v>21</v>
      </c>
      <c r="M2290">
        <f>IFERROR(__xludf.DUMMYFUNCTION("""COMPUTED_VALUE"""),44.0)</f>
        <v>44</v>
      </c>
      <c r="N2290" t="str">
        <f>IFERROR(__xludf.DUMMYFUNCTION("""COMPUTED_VALUE"""),"Model 3 LR AWD")</f>
        <v>Model 3 LR AWD</v>
      </c>
      <c r="O2290" t="str">
        <f>IFERROR(__xludf.DUMMYFUNCTION("""COMPUTED_VALUE"""),"Red Multi-Coat")</f>
        <v>Red Multi-Coat</v>
      </c>
      <c r="P2290" t="str">
        <f>IFERROR(__xludf.DUMMYFUNCTION("""COMPUTED_VALUE"""),"18 inch Aero")</f>
        <v>18 inch Aero</v>
      </c>
      <c r="Q2290" t="str">
        <f>IFERROR(__xludf.DUMMYFUNCTION("""COMPUTED_VALUE"""),"Black seats")</f>
        <v>Black seats</v>
      </c>
      <c r="R2290" t="str">
        <f>IFERROR(__xludf.DUMMYFUNCTION("""COMPUTED_VALUE"""),"Full Self-Driving")</f>
        <v>Full Self-Driving</v>
      </c>
      <c r="X2290" t="str">
        <f>IFERROR(__xludf.DUMMYFUNCTION("""COMPUTED_VALUE"""),"Good")</f>
        <v>Good</v>
      </c>
      <c r="Y2290" t="str">
        <f>IFERROR(__xludf.DUMMYFUNCTION("""COMPUTED_VALUE"""),"Excellent")</f>
        <v>Excellent</v>
      </c>
      <c r="Z2290" t="str">
        <f>IFERROR(__xludf.DUMMYFUNCTION("""COMPUTED_VALUE"""),"Excellent")</f>
        <v>Excellent</v>
      </c>
      <c r="AA2290" t="str">
        <f>IFERROR(__xludf.DUMMYFUNCTION("""COMPUTED_VALUE"""),"Fair")</f>
        <v>Fair</v>
      </c>
      <c r="AB2290" t="str">
        <f>IFERROR(__xludf.DUMMYFUNCTION("""COMPUTED_VALUE"""),"Very Good")</f>
        <v>Very Good</v>
      </c>
      <c r="AG2290" t="str">
        <f>IFERROR(__xludf.DUMMYFUNCTION("""COMPUTED_VALUE"""),"Original pick scheduled Jan 4, on Jan 3 changed to Jan 25 and VIN disappeared from the web page, but still shows in source code. VIN changed on Dec 29 but now shows on the page. Originally VIN was taken from page source on Dec 28. Jan 17 got a call my car"&amp;" was in and I could pick it up Jan 18")</f>
        <v>Original pick scheduled Jan 4, on Jan 3 changed to Jan 25 and VIN disappeared from the web page, but still shows in source code. VIN changed on Dec 29 but now shows on the page. Originally VIN was taken from page source on Dec 28. Jan 17 got a call my car was in and I could pick it up Jan 18</v>
      </c>
      <c r="AH2290" s="189">
        <f>IFERROR(__xludf.DUMMYFUNCTION("""COMPUTED_VALUE"""),43859.4956432176)</f>
        <v>43859.49564</v>
      </c>
    </row>
    <row r="2291">
      <c r="A2291" t="str">
        <f>IFERROR(__xludf.DUMMYFUNCTION("""COMPUTED_VALUE"""),"cybersp78")</f>
        <v>cybersp78</v>
      </c>
      <c r="B2291" t="str">
        <f>IFERROR(__xludf.DUMMYFUNCTION("""COMPUTED_VALUE"""),"Columbus")</f>
        <v>Columbus</v>
      </c>
      <c r="C2291" t="str">
        <f>IFERROR(__xludf.DUMMYFUNCTION("""COMPUTED_VALUE"""),"OH")</f>
        <v>OH</v>
      </c>
      <c r="D2291" t="str">
        <f>IFERROR(__xludf.DUMMYFUNCTION("""COMPUTED_VALUE"""),"USA")</f>
        <v>USA</v>
      </c>
      <c r="E2291" s="188">
        <f>IFERROR(__xludf.DUMMYFUNCTION("""COMPUTED_VALUE"""),43833.0)</f>
        <v>43833</v>
      </c>
      <c r="F2291" s="188">
        <f>IFERROR(__xludf.DUMMYFUNCTION("""COMPUTED_VALUE"""),43854.0)</f>
        <v>43854</v>
      </c>
      <c r="H2291" s="4">
        <f>IFERROR(__xludf.DUMMYFUNCTION("""COMPUTED_VALUE"""),635137.0)</f>
        <v>635137</v>
      </c>
      <c r="J2291" s="5">
        <f>IFERROR(__xludf.DUMMYFUNCTION("""COMPUTED_VALUE"""),43857.0)</f>
        <v>43857</v>
      </c>
      <c r="K2291">
        <f>IFERROR(__xludf.DUMMYFUNCTION("""COMPUTED_VALUE"""),21.0)</f>
        <v>21</v>
      </c>
      <c r="L2291">
        <f>IFERROR(__xludf.DUMMYFUNCTION("""COMPUTED_VALUE"""),3.0)</f>
        <v>3</v>
      </c>
      <c r="M2291">
        <f>IFERROR(__xludf.DUMMYFUNCTION("""COMPUTED_VALUE"""),24.0)</f>
        <v>24</v>
      </c>
      <c r="N2291" t="str">
        <f>IFERROR(__xludf.DUMMYFUNCTION("""COMPUTED_VALUE"""),"Model 3 LR AWD")</f>
        <v>Model 3 LR AWD</v>
      </c>
      <c r="O2291" t="str">
        <f>IFERROR(__xludf.DUMMYFUNCTION("""COMPUTED_VALUE"""),"Solid Black")</f>
        <v>Solid Black</v>
      </c>
      <c r="P2291" t="str">
        <f>IFERROR(__xludf.DUMMYFUNCTION("""COMPUTED_VALUE"""),"18 inch Aero")</f>
        <v>18 inch Aero</v>
      </c>
      <c r="Q2291" t="str">
        <f>IFERROR(__xludf.DUMMYFUNCTION("""COMPUTED_VALUE"""),"Black seats")</f>
        <v>Black seats</v>
      </c>
      <c r="R2291" t="str">
        <f>IFERROR(__xludf.DUMMYFUNCTION("""COMPUTED_VALUE"""),"Full Self-Driving")</f>
        <v>Full Self-Driving</v>
      </c>
      <c r="X2291" t="str">
        <f>IFERROR(__xludf.DUMMYFUNCTION("""COMPUTED_VALUE"""),"Excellent")</f>
        <v>Excellent</v>
      </c>
      <c r="Y2291" t="str">
        <f>IFERROR(__xludf.DUMMYFUNCTION("""COMPUTED_VALUE"""),"Excellent")</f>
        <v>Excellent</v>
      </c>
      <c r="Z2291" t="str">
        <f>IFERROR(__xludf.DUMMYFUNCTION("""COMPUTED_VALUE"""),"Excellent")</f>
        <v>Excellent</v>
      </c>
      <c r="AA2291" t="str">
        <f>IFERROR(__xludf.DUMMYFUNCTION("""COMPUTED_VALUE"""),"Fair")</f>
        <v>Fair</v>
      </c>
      <c r="AB2291" t="str">
        <f>IFERROR(__xludf.DUMMYFUNCTION("""COMPUTED_VALUE"""),"Fair")</f>
        <v>Fair</v>
      </c>
      <c r="AH2291" s="189">
        <f>IFERROR(__xludf.DUMMYFUNCTION("""COMPUTED_VALUE"""),43859.604003263885)</f>
        <v>43859.604</v>
      </c>
    </row>
    <row r="2292">
      <c r="A2292" t="str">
        <f>IFERROR(__xludf.DUMMYFUNCTION("""COMPUTED_VALUE"""),"bjcarlton")</f>
        <v>bjcarlton</v>
      </c>
      <c r="B2292" t="str">
        <f>IFERROR(__xludf.DUMMYFUNCTION("""COMPUTED_VALUE"""),"El Cajon")</f>
        <v>El Cajon</v>
      </c>
      <c r="C2292" t="str">
        <f>IFERROR(__xludf.DUMMYFUNCTION("""COMPUTED_VALUE"""),"CA")</f>
        <v>CA</v>
      </c>
      <c r="D2292" t="str">
        <f>IFERROR(__xludf.DUMMYFUNCTION("""COMPUTED_VALUE"""),"USA")</f>
        <v>USA</v>
      </c>
      <c r="E2292" s="188">
        <f>IFERROR(__xludf.DUMMYFUNCTION("""COMPUTED_VALUE"""),43744.0)</f>
        <v>43744</v>
      </c>
      <c r="F2292" s="188">
        <f>IFERROR(__xludf.DUMMYFUNCTION("""COMPUTED_VALUE"""),43828.0)</f>
        <v>43828</v>
      </c>
      <c r="H2292">
        <f>IFERROR(__xludf.DUMMYFUNCTION("""COMPUTED_VALUE"""),651655.0)</f>
        <v>651655</v>
      </c>
      <c r="I2292" t="str">
        <f>IFERROR(__xludf.DUMMYFUNCTION("""COMPUTED_VALUE"""),"12/19")</f>
        <v>12/19</v>
      </c>
      <c r="J2292" s="5">
        <f>IFERROR(__xludf.DUMMYFUNCTION("""COMPUTED_VALUE"""),43828.0)</f>
        <v>43828</v>
      </c>
      <c r="K2292">
        <f>IFERROR(__xludf.DUMMYFUNCTION("""COMPUTED_VALUE"""),84.0)</f>
        <v>84</v>
      </c>
      <c r="L2292">
        <f>IFERROR(__xludf.DUMMYFUNCTION("""COMPUTED_VALUE"""),0.0)</f>
        <v>0</v>
      </c>
      <c r="M2292">
        <f>IFERROR(__xludf.DUMMYFUNCTION("""COMPUTED_VALUE"""),84.0)</f>
        <v>84</v>
      </c>
      <c r="N2292" t="str">
        <f>IFERROR(__xludf.DUMMYFUNCTION("""COMPUTED_VALUE"""),"Model 3 LR AWD")</f>
        <v>Model 3 LR AWD</v>
      </c>
      <c r="O2292" t="str">
        <f>IFERROR(__xludf.DUMMYFUNCTION("""COMPUTED_VALUE"""),"Pearl White Multi-Coat")</f>
        <v>Pearl White Multi-Coat</v>
      </c>
      <c r="P2292" t="str">
        <f>IFERROR(__xludf.DUMMYFUNCTION("""COMPUTED_VALUE"""),"18 inch Aero")</f>
        <v>18 inch Aero</v>
      </c>
      <c r="Q2292" t="str">
        <f>IFERROR(__xludf.DUMMYFUNCTION("""COMPUTED_VALUE"""),"White seats")</f>
        <v>White seats</v>
      </c>
      <c r="R2292" t="str">
        <f>IFERROR(__xludf.DUMMYFUNCTION("""COMPUTED_VALUE"""),"Autopilot")</f>
        <v>Autopilot</v>
      </c>
      <c r="X2292" t="str">
        <f>IFERROR(__xludf.DUMMYFUNCTION("""COMPUTED_VALUE"""),"Excellent")</f>
        <v>Excellent</v>
      </c>
      <c r="Y2292" t="str">
        <f>IFERROR(__xludf.DUMMYFUNCTION("""COMPUTED_VALUE"""),"Excellent")</f>
        <v>Excellent</v>
      </c>
      <c r="Z2292" t="str">
        <f>IFERROR(__xludf.DUMMYFUNCTION("""COMPUTED_VALUE"""),"Excellent")</f>
        <v>Excellent</v>
      </c>
      <c r="AA2292" t="str">
        <f>IFERROR(__xludf.DUMMYFUNCTION("""COMPUTED_VALUE"""),"Fair")</f>
        <v>Fair</v>
      </c>
      <c r="AB2292" t="str">
        <f>IFERROR(__xludf.DUMMYFUNCTION("""COMPUTED_VALUE"""),"Excellent")</f>
        <v>Excellent</v>
      </c>
      <c r="AC2292">
        <f>IFERROR(__xludf.DUMMYFUNCTION("""COMPUTED_VALUE"""),1.0)</f>
        <v>1</v>
      </c>
      <c r="AD2292">
        <f>IFERROR(__xludf.DUMMYFUNCTION("""COMPUTED_VALUE"""),1.0)</f>
        <v>1</v>
      </c>
      <c r="AE2292">
        <f>IFERROR(__xludf.DUMMYFUNCTION("""COMPUTED_VALUE"""),0.0)</f>
        <v>0</v>
      </c>
      <c r="AG2292" t="str">
        <f>IFERROR(__xludf.DUMMYFUNCTION("""COMPUTED_VALUE"""),"Order website promised two weeks. Hah.")</f>
        <v>Order website promised two weeks. Hah.</v>
      </c>
      <c r="AH2292" s="189">
        <f>IFERROR(__xludf.DUMMYFUNCTION("""COMPUTED_VALUE"""),43860.41560415509)</f>
        <v>43860.4156</v>
      </c>
    </row>
    <row r="2293">
      <c r="A2293" t="str">
        <f>IFERROR(__xludf.DUMMYFUNCTION("""COMPUTED_VALUE"""),"Civrock")</f>
        <v>Civrock</v>
      </c>
      <c r="B2293" t="str">
        <f>IFERROR(__xludf.DUMMYFUNCTION("""COMPUTED_VALUE"""),"Wilkesboro")</f>
        <v>Wilkesboro</v>
      </c>
      <c r="C2293" t="str">
        <f>IFERROR(__xludf.DUMMYFUNCTION("""COMPUTED_VALUE"""),"NC")</f>
        <v>NC</v>
      </c>
      <c r="D2293" t="str">
        <f>IFERROR(__xludf.DUMMYFUNCTION("""COMPUTED_VALUE"""),"USA")</f>
        <v>USA</v>
      </c>
      <c r="E2293" s="188">
        <f>IFERROR(__xludf.DUMMYFUNCTION("""COMPUTED_VALUE"""),43841.0)</f>
        <v>43841</v>
      </c>
      <c r="F2293" s="188">
        <f>IFERROR(__xludf.DUMMYFUNCTION("""COMPUTED_VALUE"""),43844.0)</f>
        <v>43844</v>
      </c>
      <c r="H2293">
        <f>IFERROR(__xludf.DUMMYFUNCTION("""COMPUTED_VALUE"""),635655.0)</f>
        <v>635655</v>
      </c>
      <c r="I2293" t="str">
        <f>IFERROR(__xludf.DUMMYFUNCTION("""COMPUTED_VALUE"""),"12/19")</f>
        <v>12/19</v>
      </c>
      <c r="J2293" s="5">
        <f>IFERROR(__xludf.DUMMYFUNCTION("""COMPUTED_VALUE"""),43862.0)</f>
        <v>43862</v>
      </c>
      <c r="K2293">
        <f>IFERROR(__xludf.DUMMYFUNCTION("""COMPUTED_VALUE"""),3.0)</f>
        <v>3</v>
      </c>
      <c r="L2293">
        <f>IFERROR(__xludf.DUMMYFUNCTION("""COMPUTED_VALUE"""),18.0)</f>
        <v>18</v>
      </c>
      <c r="M2293">
        <f>IFERROR(__xludf.DUMMYFUNCTION("""COMPUTED_VALUE"""),21.0)</f>
        <v>21</v>
      </c>
      <c r="N2293" t="str">
        <f>IFERROR(__xludf.DUMMYFUNCTION("""COMPUTED_VALUE"""),"Model 3 LR AWD")</f>
        <v>Model 3 LR AWD</v>
      </c>
      <c r="O2293" t="str">
        <f>IFERROR(__xludf.DUMMYFUNCTION("""COMPUTED_VALUE"""),"Midnight Silver Metallic")</f>
        <v>Midnight Silver Metallic</v>
      </c>
      <c r="P2293" t="str">
        <f>IFERROR(__xludf.DUMMYFUNCTION("""COMPUTED_VALUE"""),"18 inch Aero")</f>
        <v>18 inch Aero</v>
      </c>
      <c r="Q2293" t="str">
        <f>IFERROR(__xludf.DUMMYFUNCTION("""COMPUTED_VALUE"""),"Black seats")</f>
        <v>Black seats</v>
      </c>
      <c r="R2293" t="str">
        <f>IFERROR(__xludf.DUMMYFUNCTION("""COMPUTED_VALUE"""),"Full Self-Driving")</f>
        <v>Full Self-Driving</v>
      </c>
      <c r="X2293" t="str">
        <f>IFERROR(__xludf.DUMMYFUNCTION("""COMPUTED_VALUE"""),"Excellent")</f>
        <v>Excellent</v>
      </c>
      <c r="Y2293" t="str">
        <f>IFERROR(__xludf.DUMMYFUNCTION("""COMPUTED_VALUE"""),"Excellent")</f>
        <v>Excellent</v>
      </c>
      <c r="Z2293" t="str">
        <f>IFERROR(__xludf.DUMMYFUNCTION("""COMPUTED_VALUE"""),"Excellent")</f>
        <v>Excellent</v>
      </c>
      <c r="AA2293" t="str">
        <f>IFERROR(__xludf.DUMMYFUNCTION("""COMPUTED_VALUE"""),"Excellent")</f>
        <v>Excellent</v>
      </c>
      <c r="AB2293" t="str">
        <f>IFERROR(__xludf.DUMMYFUNCTION("""COMPUTED_VALUE"""),"Excellent")</f>
        <v>Excellent</v>
      </c>
      <c r="AG2293" t="str">
        <f>IFERROR(__xludf.DUMMYFUNCTION("""COMPUTED_VALUE"""),"(Feb 1) Took delivery today, door frame sticker shows 1/20 but not an option on this spreadsheet. Everything looks great. (Jan 14) Tesla advisor located M3 matching my order, expected in ""2 weeks or less"" instead of ""4-7 weeks."" WOW!")</f>
        <v>(Feb 1) Took delivery today, door frame sticker shows 1/20 but not an option on this spreadsheet. Everything looks great. (Jan 14) Tesla advisor located M3 matching my order, expected in "2 weeks or less" instead of "4-7 weeks." WOW!</v>
      </c>
      <c r="AH2293" s="189">
        <f>IFERROR(__xludf.DUMMYFUNCTION("""COMPUTED_VALUE"""),43862.71970596065)</f>
        <v>43862.71971</v>
      </c>
    </row>
    <row r="2294">
      <c r="A2294" t="str">
        <f>IFERROR(__xludf.DUMMYFUNCTION("""COMPUTED_VALUE"""),"ALTesla")</f>
        <v>ALTesla</v>
      </c>
      <c r="C2294" t="str">
        <f>IFERROR(__xludf.DUMMYFUNCTION("""COMPUTED_VALUE"""),"AL")</f>
        <v>AL</v>
      </c>
      <c r="D2294" t="str">
        <f>IFERROR(__xludf.DUMMYFUNCTION("""COMPUTED_VALUE"""),"USA")</f>
        <v>USA</v>
      </c>
      <c r="E2294" s="188">
        <f>IFERROR(__xludf.DUMMYFUNCTION("""COMPUTED_VALUE"""),43854.0)</f>
        <v>43854</v>
      </c>
      <c r="F2294" s="188">
        <f>IFERROR(__xludf.DUMMYFUNCTION("""COMPUTED_VALUE"""),43859.0)</f>
        <v>43859</v>
      </c>
      <c r="H2294">
        <f>IFERROR(__xludf.DUMMYFUNCTION("""COMPUTED_VALUE"""),639455.0)</f>
        <v>639455</v>
      </c>
      <c r="J2294" s="5">
        <f>IFERROR(__xludf.DUMMYFUNCTION("""COMPUTED_VALUE"""),43862.0)</f>
        <v>43862</v>
      </c>
      <c r="K2294">
        <f>IFERROR(__xludf.DUMMYFUNCTION("""COMPUTED_VALUE"""),5.0)</f>
        <v>5</v>
      </c>
      <c r="L2294">
        <f>IFERROR(__xludf.DUMMYFUNCTION("""COMPUTED_VALUE"""),3.0)</f>
        <v>3</v>
      </c>
      <c r="M2294">
        <f>IFERROR(__xludf.DUMMYFUNCTION("""COMPUTED_VALUE"""),8.0)</f>
        <v>8</v>
      </c>
      <c r="N2294" t="str">
        <f>IFERROR(__xludf.DUMMYFUNCTION("""COMPUTED_VALUE"""),"Model 3 LR AWD")</f>
        <v>Model 3 LR AWD</v>
      </c>
      <c r="O2294" t="str">
        <f>IFERROR(__xludf.DUMMYFUNCTION("""COMPUTED_VALUE"""),"Midnight Silver Metallic")</f>
        <v>Midnight Silver Metallic</v>
      </c>
      <c r="P2294" t="str">
        <f>IFERROR(__xludf.DUMMYFUNCTION("""COMPUTED_VALUE"""),"18 inch Aero")</f>
        <v>18 inch Aero</v>
      </c>
      <c r="Q2294" t="str">
        <f>IFERROR(__xludf.DUMMYFUNCTION("""COMPUTED_VALUE"""),"White seats")</f>
        <v>White seats</v>
      </c>
      <c r="R2294" t="str">
        <f>IFERROR(__xludf.DUMMYFUNCTION("""COMPUTED_VALUE"""),"Full Self-Driving")</f>
        <v>Full Self-Driving</v>
      </c>
      <c r="X2294" t="str">
        <f>IFERROR(__xludf.DUMMYFUNCTION("""COMPUTED_VALUE"""),"Excellent")</f>
        <v>Excellent</v>
      </c>
      <c r="Y2294" t="str">
        <f>IFERROR(__xludf.DUMMYFUNCTION("""COMPUTED_VALUE"""),"Excellent")</f>
        <v>Excellent</v>
      </c>
      <c r="Z2294" t="str">
        <f>IFERROR(__xludf.DUMMYFUNCTION("""COMPUTED_VALUE"""),"Very Good")</f>
        <v>Very Good</v>
      </c>
      <c r="AA2294" t="str">
        <f>IFERROR(__xludf.DUMMYFUNCTION("""COMPUTED_VALUE"""),"Excellent")</f>
        <v>Excellent</v>
      </c>
      <c r="AB2294" t="str">
        <f>IFERROR(__xludf.DUMMYFUNCTION("""COMPUTED_VALUE"""),"Fair")</f>
        <v>Fair</v>
      </c>
      <c r="AC2294">
        <f>IFERROR(__xludf.DUMMYFUNCTION("""COMPUTED_VALUE"""),3.0)</f>
        <v>3</v>
      </c>
      <c r="AG2294" t="str">
        <f>IFERROR(__xludf.DUMMYFUNCTION("""COMPUTED_VALUE"""),"received email 1/29 AM that car would soon be ready for delivery, completed financing and received VIN 30 minutes later along with notification it would be available for pickup on 2/1")</f>
        <v>received email 1/29 AM that car would soon be ready for delivery, completed financing and received VIN 30 minutes later along with notification it would be available for pickup on 2/1</v>
      </c>
      <c r="AH2294" s="189">
        <f>IFERROR(__xludf.DUMMYFUNCTION("""COMPUTED_VALUE"""),43862.853573437504)</f>
        <v>43862.85357</v>
      </c>
    </row>
    <row r="2295">
      <c r="A2295" t="str">
        <f>IFERROR(__xludf.DUMMYFUNCTION("""COMPUTED_VALUE"""),"maxQdeltaV")</f>
        <v>maxQdeltaV</v>
      </c>
      <c r="B2295" t="str">
        <f>IFERROR(__xludf.DUMMYFUNCTION("""COMPUTED_VALUE"""),"Charlotte")</f>
        <v>Charlotte</v>
      </c>
      <c r="C2295" t="str">
        <f>IFERROR(__xludf.DUMMYFUNCTION("""COMPUTED_VALUE"""),"NC")</f>
        <v>NC</v>
      </c>
      <c r="D2295" t="str">
        <f>IFERROR(__xludf.DUMMYFUNCTION("""COMPUTED_VALUE"""),"USA")</f>
        <v>USA</v>
      </c>
      <c r="E2295" s="188">
        <f>IFERROR(__xludf.DUMMYFUNCTION("""COMPUTED_VALUE"""),43846.0)</f>
        <v>43846</v>
      </c>
      <c r="F2295" s="188">
        <f>IFERROR(__xludf.DUMMYFUNCTION("""COMPUTED_VALUE"""),43863.0)</f>
        <v>43863</v>
      </c>
      <c r="H2295">
        <f>IFERROR(__xludf.DUMMYFUNCTION("""COMPUTED_VALUE"""),636775.0)</f>
        <v>636775</v>
      </c>
      <c r="J2295" s="188">
        <f>IFERROR(__xludf.DUMMYFUNCTION("""COMPUTED_VALUE"""),43867.0)</f>
        <v>43867</v>
      </c>
      <c r="K2295">
        <f>IFERROR(__xludf.DUMMYFUNCTION("""COMPUTED_VALUE"""),17.0)</f>
        <v>17</v>
      </c>
      <c r="L2295">
        <f>IFERROR(__xludf.DUMMYFUNCTION("""COMPUTED_VALUE"""),4.0)</f>
        <v>4</v>
      </c>
      <c r="M2295">
        <f>IFERROR(__xludf.DUMMYFUNCTION("""COMPUTED_VALUE"""),21.0)</f>
        <v>21</v>
      </c>
      <c r="N2295" t="str">
        <f>IFERROR(__xludf.DUMMYFUNCTION("""COMPUTED_VALUE"""),"Model 3 LR AWD")</f>
        <v>Model 3 LR AWD</v>
      </c>
      <c r="O2295" t="str">
        <f>IFERROR(__xludf.DUMMYFUNCTION("""COMPUTED_VALUE"""),"Pearl White Multi-Coat")</f>
        <v>Pearl White Multi-Coat</v>
      </c>
      <c r="P2295" t="str">
        <f>IFERROR(__xludf.DUMMYFUNCTION("""COMPUTED_VALUE"""),"18 inch Aero")</f>
        <v>18 inch Aero</v>
      </c>
      <c r="Q2295" t="str">
        <f>IFERROR(__xludf.DUMMYFUNCTION("""COMPUTED_VALUE"""),"Black seats")</f>
        <v>Black seats</v>
      </c>
      <c r="R2295" t="str">
        <f>IFERROR(__xludf.DUMMYFUNCTION("""COMPUTED_VALUE"""),"Full Self-Driving")</f>
        <v>Full Self-Driving</v>
      </c>
      <c r="S2295" t="str">
        <f>IFERROR(__xludf.DUMMYFUNCTION("""COMPUTED_VALUE"""),"Loan")</f>
        <v>Loan</v>
      </c>
      <c r="T2295" t="str">
        <f>IFERROR(__xludf.DUMMYFUNCTION("""COMPUTED_VALUE"""),"Model 3 will be my first car!")</f>
        <v>Model 3 will be my first car!</v>
      </c>
      <c r="AG2295" t="str">
        <f>IFERROR(__xludf.DUMMYFUNCTION("""COMPUTED_VALUE"""),"Text on 2/2 to schedule delivery /// Text on 1/23 - 2-6 weeks estimated delivery")</f>
        <v>Text on 2/2 to schedule delivery /// Text on 1/23 - 2-6 weeks estimated delivery</v>
      </c>
      <c r="AH2295" s="189">
        <f>IFERROR(__xludf.DUMMYFUNCTION("""COMPUTED_VALUE"""),44439.31282453703)</f>
        <v>44439.31282</v>
      </c>
    </row>
    <row r="2296">
      <c r="A2296" t="str">
        <f>IFERROR(__xludf.DUMMYFUNCTION("""COMPUTED_VALUE"""),"Bee_Wry")</f>
        <v>Bee_Wry</v>
      </c>
      <c r="B2296" t="str">
        <f>IFERROR(__xludf.DUMMYFUNCTION("""COMPUTED_VALUE"""),"Seattle")</f>
        <v>Seattle</v>
      </c>
      <c r="C2296" t="str">
        <f>IFERROR(__xludf.DUMMYFUNCTION("""COMPUTED_VALUE"""),"WA")</f>
        <v>WA</v>
      </c>
      <c r="D2296" t="str">
        <f>IFERROR(__xludf.DUMMYFUNCTION("""COMPUTED_VALUE"""),"USA")</f>
        <v>USA</v>
      </c>
      <c r="E2296" s="188">
        <f>IFERROR(__xludf.DUMMYFUNCTION("""COMPUTED_VALUE"""),43779.0)</f>
        <v>43779</v>
      </c>
      <c r="F2296" s="188">
        <f>IFERROR(__xludf.DUMMYFUNCTION("""COMPUTED_VALUE"""),43808.0)</f>
        <v>43808</v>
      </c>
      <c r="H2296">
        <f>IFERROR(__xludf.DUMMYFUNCTION("""COMPUTED_VALUE"""),612355.0)</f>
        <v>612355</v>
      </c>
      <c r="J2296" s="5">
        <f>IFERROR(__xludf.DUMMYFUNCTION("""COMPUTED_VALUE"""),44176.0)</f>
        <v>44176</v>
      </c>
      <c r="K2296">
        <f>IFERROR(__xludf.DUMMYFUNCTION("""COMPUTED_VALUE"""),29.0)</f>
        <v>29</v>
      </c>
      <c r="L2296">
        <f>IFERROR(__xludf.DUMMYFUNCTION("""COMPUTED_VALUE"""),368.0)</f>
        <v>368</v>
      </c>
      <c r="M2296">
        <f>IFERROR(__xludf.DUMMYFUNCTION("""COMPUTED_VALUE"""),397.0)</f>
        <v>397</v>
      </c>
      <c r="N2296" t="str">
        <f>IFERROR(__xludf.DUMMYFUNCTION("""COMPUTED_VALUE"""),"Model 3 SR+")</f>
        <v>Model 3 SR+</v>
      </c>
      <c r="O2296" t="str">
        <f>IFERROR(__xludf.DUMMYFUNCTION("""COMPUTED_VALUE"""),"Pearl White Multi-Coat")</f>
        <v>Pearl White Multi-Coat</v>
      </c>
      <c r="P2296" t="str">
        <f>IFERROR(__xludf.DUMMYFUNCTION("""COMPUTED_VALUE"""),"18 inch Aero")</f>
        <v>18 inch Aero</v>
      </c>
      <c r="Q2296" t="str">
        <f>IFERROR(__xludf.DUMMYFUNCTION("""COMPUTED_VALUE"""),"Black seats")</f>
        <v>Black seats</v>
      </c>
      <c r="R2296" t="str">
        <f>IFERROR(__xludf.DUMMYFUNCTION("""COMPUTED_VALUE"""),"Autopilot")</f>
        <v>Autopilot</v>
      </c>
      <c r="X2296" t="str">
        <f>IFERROR(__xludf.DUMMYFUNCTION("""COMPUTED_VALUE"""),"Excellent")</f>
        <v>Excellent</v>
      </c>
      <c r="Y2296" t="str">
        <f>IFERROR(__xludf.DUMMYFUNCTION("""COMPUTED_VALUE"""),"Excellent")</f>
        <v>Excellent</v>
      </c>
      <c r="Z2296" t="str">
        <f>IFERROR(__xludf.DUMMYFUNCTION("""COMPUTED_VALUE"""),"Excellent")</f>
        <v>Excellent</v>
      </c>
      <c r="AA2296" t="str">
        <f>IFERROR(__xludf.DUMMYFUNCTION("""COMPUTED_VALUE"""),"Very Good")</f>
        <v>Very Good</v>
      </c>
      <c r="AB2296" t="str">
        <f>IFERROR(__xludf.DUMMYFUNCTION("""COMPUTED_VALUE"""),"Very Good")</f>
        <v>Very Good</v>
      </c>
      <c r="AC2296">
        <f>IFERROR(__xludf.DUMMYFUNCTION("""COMPUTED_VALUE"""),0.0)</f>
        <v>0</v>
      </c>
      <c r="AD2296">
        <f>IFERROR(__xludf.DUMMYFUNCTION("""COMPUTED_VALUE"""),0.0)</f>
        <v>0</v>
      </c>
      <c r="AE2296">
        <f>IFERROR(__xludf.DUMMYFUNCTION("""COMPUTED_VALUE"""),0.0)</f>
        <v>0</v>
      </c>
      <c r="AG2296" t="str">
        <f>IFERROR(__xludf.DUMMYFUNCTION("""COMPUTED_VALUE"""),"VIN found in source")</f>
        <v>VIN found in source</v>
      </c>
      <c r="AH2296" s="189">
        <f>IFERROR(__xludf.DUMMYFUNCTION("""COMPUTED_VALUE"""),43865.5914347338)</f>
        <v>43865.59143</v>
      </c>
    </row>
    <row r="2297">
      <c r="A2297" t="str">
        <f>IFERROR(__xludf.DUMMYFUNCTION("""COMPUTED_VALUE"""),"huss_bus")</f>
        <v>huss_bus</v>
      </c>
      <c r="B2297" t="str">
        <f>IFERROR(__xludf.DUMMYFUNCTION("""COMPUTED_VALUE"""),"STL")</f>
        <v>STL</v>
      </c>
      <c r="C2297" t="str">
        <f>IFERROR(__xludf.DUMMYFUNCTION("""COMPUTED_VALUE"""),"MO")</f>
        <v>MO</v>
      </c>
      <c r="D2297" t="str">
        <f>IFERROR(__xludf.DUMMYFUNCTION("""COMPUTED_VALUE"""),"USA")</f>
        <v>USA</v>
      </c>
      <c r="E2297" s="188">
        <f>IFERROR(__xludf.DUMMYFUNCTION("""COMPUTED_VALUE"""),43836.0)</f>
        <v>43836</v>
      </c>
      <c r="F2297" s="188">
        <f>IFERROR(__xludf.DUMMYFUNCTION("""COMPUTED_VALUE"""),43851.0)</f>
        <v>43851</v>
      </c>
      <c r="H2297">
        <f>IFERROR(__xludf.DUMMYFUNCTION("""COMPUTED_VALUE"""),631079.0)</f>
        <v>631079</v>
      </c>
      <c r="J2297" s="5">
        <f>IFERROR(__xludf.DUMMYFUNCTION("""COMPUTED_VALUE"""),43865.0)</f>
        <v>43865</v>
      </c>
      <c r="K2297">
        <f>IFERROR(__xludf.DUMMYFUNCTION("""COMPUTED_VALUE"""),15.0)</f>
        <v>15</v>
      </c>
      <c r="L2297">
        <f>IFERROR(__xludf.DUMMYFUNCTION("""COMPUTED_VALUE"""),14.0)</f>
        <v>14</v>
      </c>
      <c r="M2297">
        <f>IFERROR(__xludf.DUMMYFUNCTION("""COMPUTED_VALUE"""),29.0)</f>
        <v>29</v>
      </c>
      <c r="N2297" t="str">
        <f>IFERROR(__xludf.DUMMYFUNCTION("""COMPUTED_VALUE"""),"Model 3 SR")</f>
        <v>Model 3 SR</v>
      </c>
      <c r="O2297" t="str">
        <f>IFERROR(__xludf.DUMMYFUNCTION("""COMPUTED_VALUE"""),"Deep Blue Metallic")</f>
        <v>Deep Blue Metallic</v>
      </c>
      <c r="P2297" t="str">
        <f>IFERROR(__xludf.DUMMYFUNCTION("""COMPUTED_VALUE"""),"18 inch Aero")</f>
        <v>18 inch Aero</v>
      </c>
      <c r="Q2297" t="str">
        <f>IFERROR(__xludf.DUMMYFUNCTION("""COMPUTED_VALUE"""),"Black seats")</f>
        <v>Black seats</v>
      </c>
      <c r="R2297" t="str">
        <f>IFERROR(__xludf.DUMMYFUNCTION("""COMPUTED_VALUE"""),"Autopilot")</f>
        <v>Autopilot</v>
      </c>
      <c r="X2297" t="str">
        <f>IFERROR(__xludf.DUMMYFUNCTION("""COMPUTED_VALUE"""),"Excellent")</f>
        <v>Excellent</v>
      </c>
      <c r="Y2297" t="str">
        <f>IFERROR(__xludf.DUMMYFUNCTION("""COMPUTED_VALUE"""),"Excellent")</f>
        <v>Excellent</v>
      </c>
      <c r="Z2297" t="str">
        <f>IFERROR(__xludf.DUMMYFUNCTION("""COMPUTED_VALUE"""),"Excellent")</f>
        <v>Excellent</v>
      </c>
      <c r="AA2297" t="str">
        <f>IFERROR(__xludf.DUMMYFUNCTION("""COMPUTED_VALUE"""),"Good")</f>
        <v>Good</v>
      </c>
      <c r="AB2297" t="str">
        <f>IFERROR(__xludf.DUMMYFUNCTION("""COMPUTED_VALUE"""),"Excellent")</f>
        <v>Excellent</v>
      </c>
      <c r="AG2297" t="str">
        <f>IFERROR(__xludf.DUMMYFUNCTION("""COMPUTED_VALUE"""),"found vin in source code day before getting delivery notification. all before officially seeing the vin. officially saw vin the week of delivery")</f>
        <v>found vin in source code day before getting delivery notification. all before officially seeing the vin. officially saw vin the week of delivery</v>
      </c>
      <c r="AH2297" s="189">
        <f>IFERROR(__xludf.DUMMYFUNCTION("""COMPUTED_VALUE"""),43865.844707337965)</f>
        <v>43865.84471</v>
      </c>
    </row>
    <row r="2298">
      <c r="A2298" t="str">
        <f>IFERROR(__xludf.DUMMYFUNCTION("""COMPUTED_VALUE"""),"Mchesnoff")</f>
        <v>Mchesnoff</v>
      </c>
      <c r="B2298" t="str">
        <f>IFERROR(__xludf.DUMMYFUNCTION("""COMPUTED_VALUE"""),"Los Angeles")</f>
        <v>Los Angeles</v>
      </c>
      <c r="C2298" t="str">
        <f>IFERROR(__xludf.DUMMYFUNCTION("""COMPUTED_VALUE"""),"CA")</f>
        <v>CA</v>
      </c>
      <c r="D2298" t="str">
        <f>IFERROR(__xludf.DUMMYFUNCTION("""COMPUTED_VALUE"""),"USA")</f>
        <v>USA</v>
      </c>
      <c r="E2298" s="188">
        <f>IFERROR(__xludf.DUMMYFUNCTION("""COMPUTED_VALUE"""),43838.0)</f>
        <v>43838</v>
      </c>
      <c r="F2298" s="188">
        <f>IFERROR(__xludf.DUMMYFUNCTION("""COMPUTED_VALUE"""),43850.0)</f>
        <v>43850</v>
      </c>
      <c r="H2298">
        <f>IFERROR(__xludf.DUMMYFUNCTION("""COMPUTED_VALUE"""),601355.0)</f>
        <v>601355</v>
      </c>
      <c r="I2298" t="str">
        <f>IFERROR(__xludf.DUMMYFUNCTION("""COMPUTED_VALUE"""),"11/19")</f>
        <v>11/19</v>
      </c>
      <c r="J2298" s="5">
        <f>IFERROR(__xludf.DUMMYFUNCTION("""COMPUTED_VALUE"""),43853.0)</f>
        <v>43853</v>
      </c>
      <c r="K2298">
        <f>IFERROR(__xludf.DUMMYFUNCTION("""COMPUTED_VALUE"""),12.0)</f>
        <v>12</v>
      </c>
      <c r="L2298">
        <f>IFERROR(__xludf.DUMMYFUNCTION("""COMPUTED_VALUE"""),3.0)</f>
        <v>3</v>
      </c>
      <c r="M2298">
        <f>IFERROR(__xludf.DUMMYFUNCTION("""COMPUTED_VALUE"""),15.0)</f>
        <v>15</v>
      </c>
      <c r="N2298" t="str">
        <f>IFERROR(__xludf.DUMMYFUNCTION("""COMPUTED_VALUE"""),"Model 3 LR AWD")</f>
        <v>Model 3 LR AWD</v>
      </c>
      <c r="O2298" t="str">
        <f>IFERROR(__xludf.DUMMYFUNCTION("""COMPUTED_VALUE"""),"Solid Black")</f>
        <v>Solid Black</v>
      </c>
      <c r="P2298" t="str">
        <f>IFERROR(__xludf.DUMMYFUNCTION("""COMPUTED_VALUE"""),"18 inch Aero")</f>
        <v>18 inch Aero</v>
      </c>
      <c r="Q2298" t="str">
        <f>IFERROR(__xludf.DUMMYFUNCTION("""COMPUTED_VALUE"""),"Black seats")</f>
        <v>Black seats</v>
      </c>
      <c r="R2298" t="str">
        <f>IFERROR(__xludf.DUMMYFUNCTION("""COMPUTED_VALUE"""),"Autopilot")</f>
        <v>Autopilot</v>
      </c>
      <c r="X2298" t="str">
        <f>IFERROR(__xludf.DUMMYFUNCTION("""COMPUTED_VALUE"""),"Good")</f>
        <v>Good</v>
      </c>
      <c r="Y2298" t="str">
        <f>IFERROR(__xludf.DUMMYFUNCTION("""COMPUTED_VALUE"""),"Good")</f>
        <v>Good</v>
      </c>
      <c r="Z2298" t="str">
        <f>IFERROR(__xludf.DUMMYFUNCTION("""COMPUTED_VALUE"""),"Good")</f>
        <v>Good</v>
      </c>
      <c r="AA2298" t="str">
        <f>IFERROR(__xludf.DUMMYFUNCTION("""COMPUTED_VALUE"""),"Poor")</f>
        <v>Poor</v>
      </c>
      <c r="AB2298" t="str">
        <f>IFERROR(__xludf.DUMMYFUNCTION("""COMPUTED_VALUE"""),"Very Good")</f>
        <v>Very Good</v>
      </c>
      <c r="AC2298">
        <f>IFERROR(__xludf.DUMMYFUNCTION("""COMPUTED_VALUE"""),2.0)</f>
        <v>2</v>
      </c>
      <c r="AG2298" t="str">
        <f>IFERROR(__xludf.DUMMYFUNCTION("""COMPUTED_VALUE"""),"Got Matched to a P3D-")</f>
        <v>Got Matched to a P3D-</v>
      </c>
      <c r="AH2298" s="189">
        <f>IFERROR(__xludf.DUMMYFUNCTION("""COMPUTED_VALUE"""),43865.90369085648)</f>
        <v>43865.90369</v>
      </c>
    </row>
    <row r="2299">
      <c r="A2299" t="str">
        <f>IFERROR(__xludf.DUMMYFUNCTION("""COMPUTED_VALUE"""),"ImTheBA")</f>
        <v>ImTheBA</v>
      </c>
      <c r="B2299" t="str">
        <f>IFERROR(__xludf.DUMMYFUNCTION("""COMPUTED_VALUE"""),"Orange County")</f>
        <v>Orange County</v>
      </c>
      <c r="C2299" t="str">
        <f>IFERROR(__xludf.DUMMYFUNCTION("""COMPUTED_VALUE"""),"CA")</f>
        <v>CA</v>
      </c>
      <c r="D2299" t="str">
        <f>IFERROR(__xludf.DUMMYFUNCTION("""COMPUTED_VALUE"""),"USA")</f>
        <v>USA</v>
      </c>
      <c r="E2299" s="188">
        <f>IFERROR(__xludf.DUMMYFUNCTION("""COMPUTED_VALUE"""),43829.0)</f>
        <v>43829</v>
      </c>
      <c r="F2299" s="188">
        <f>IFERROR(__xludf.DUMMYFUNCTION("""COMPUTED_VALUE"""),43865.0)</f>
        <v>43865</v>
      </c>
      <c r="H2299">
        <f>IFERROR(__xludf.DUMMYFUNCTION("""COMPUTED_VALUE"""),648055.0)</f>
        <v>648055</v>
      </c>
      <c r="J2299" s="5">
        <f>IFERROR(__xludf.DUMMYFUNCTION("""COMPUTED_VALUE"""),43868.0)</f>
        <v>43868</v>
      </c>
      <c r="K2299">
        <f>IFERROR(__xludf.DUMMYFUNCTION("""COMPUTED_VALUE"""),36.0)</f>
        <v>36</v>
      </c>
      <c r="L2299">
        <f>IFERROR(__xludf.DUMMYFUNCTION("""COMPUTED_VALUE"""),3.0)</f>
        <v>3</v>
      </c>
      <c r="M2299">
        <f>IFERROR(__xludf.DUMMYFUNCTION("""COMPUTED_VALUE"""),39.0)</f>
        <v>39</v>
      </c>
      <c r="N2299" t="str">
        <f>IFERROR(__xludf.DUMMYFUNCTION("""COMPUTED_VALUE"""),"Model 3 LR AWD")</f>
        <v>Model 3 LR AWD</v>
      </c>
      <c r="O2299" t="str">
        <f>IFERROR(__xludf.DUMMYFUNCTION("""COMPUTED_VALUE"""),"Deep Blue Metallic")</f>
        <v>Deep Blue Metallic</v>
      </c>
      <c r="P2299" t="str">
        <f>IFERROR(__xludf.DUMMYFUNCTION("""COMPUTED_VALUE"""),"19 inch Sport")</f>
        <v>19 inch Sport</v>
      </c>
      <c r="Q2299" t="str">
        <f>IFERROR(__xludf.DUMMYFUNCTION("""COMPUTED_VALUE"""),"Black seats")</f>
        <v>Black seats</v>
      </c>
      <c r="R2299" t="str">
        <f>IFERROR(__xludf.DUMMYFUNCTION("""COMPUTED_VALUE"""),"Full Self-Driving")</f>
        <v>Full Self-Driving</v>
      </c>
      <c r="X2299" t="str">
        <f>IFERROR(__xludf.DUMMYFUNCTION("""COMPUTED_VALUE"""),"Excellent")</f>
        <v>Excellent</v>
      </c>
      <c r="Y2299" t="str">
        <f>IFERROR(__xludf.DUMMYFUNCTION("""COMPUTED_VALUE"""),"Excellent")</f>
        <v>Excellent</v>
      </c>
      <c r="Z2299" t="str">
        <f>IFERROR(__xludf.DUMMYFUNCTION("""COMPUTED_VALUE"""),"Excellent")</f>
        <v>Excellent</v>
      </c>
      <c r="AA2299" t="str">
        <f>IFERROR(__xludf.DUMMYFUNCTION("""COMPUTED_VALUE"""),"Excellent")</f>
        <v>Excellent</v>
      </c>
      <c r="AB2299" t="str">
        <f>IFERROR(__xludf.DUMMYFUNCTION("""COMPUTED_VALUE"""),"Excellent")</f>
        <v>Excellent</v>
      </c>
      <c r="AH2299" s="189">
        <f>IFERROR(__xludf.DUMMYFUNCTION("""COMPUTED_VALUE"""),43868.49203891204)</f>
        <v>43868.49204</v>
      </c>
    </row>
    <row r="2300">
      <c r="A2300" t="str">
        <f>IFERROR(__xludf.DUMMYFUNCTION("""COMPUTED_VALUE"""),"S3XYmontreal")</f>
        <v>S3XYmontreal</v>
      </c>
      <c r="B2300" t="str">
        <f>IFERROR(__xludf.DUMMYFUNCTION("""COMPUTED_VALUE"""),"Montreal")</f>
        <v>Montreal</v>
      </c>
      <c r="C2300" t="str">
        <f>IFERROR(__xludf.DUMMYFUNCTION("""COMPUTED_VALUE"""),"QC")</f>
        <v>QC</v>
      </c>
      <c r="D2300" t="str">
        <f>IFERROR(__xludf.DUMMYFUNCTION("""COMPUTED_VALUE"""),"Canada")</f>
        <v>Canada</v>
      </c>
      <c r="E2300" s="188">
        <f>IFERROR(__xludf.DUMMYFUNCTION("""COMPUTED_VALUE"""),43846.0)</f>
        <v>43846</v>
      </c>
      <c r="F2300" s="188">
        <f>IFERROR(__xludf.DUMMYFUNCTION("""COMPUTED_VALUE"""),43856.0)</f>
        <v>43856</v>
      </c>
      <c r="H2300" s="4">
        <f>IFERROR(__xludf.DUMMYFUNCTION("""COMPUTED_VALUE"""),648022.0)</f>
        <v>648022</v>
      </c>
      <c r="I2300" t="str">
        <f>IFERROR(__xludf.DUMMYFUNCTION("""COMPUTED_VALUE"""),"12/19")</f>
        <v>12/19</v>
      </c>
      <c r="J2300" s="5">
        <f>IFERROR(__xludf.DUMMYFUNCTION("""COMPUTED_VALUE"""),43864.0)</f>
        <v>43864</v>
      </c>
      <c r="K2300">
        <f>IFERROR(__xludf.DUMMYFUNCTION("""COMPUTED_VALUE"""),10.0)</f>
        <v>10</v>
      </c>
      <c r="L2300">
        <f>IFERROR(__xludf.DUMMYFUNCTION("""COMPUTED_VALUE"""),8.0)</f>
        <v>8</v>
      </c>
      <c r="M2300">
        <f>IFERROR(__xludf.DUMMYFUNCTION("""COMPUTED_VALUE"""),18.0)</f>
        <v>18</v>
      </c>
      <c r="N2300" t="str">
        <f>IFERROR(__xludf.DUMMYFUNCTION("""COMPUTED_VALUE"""),"Model 3 SR+")</f>
        <v>Model 3 SR+</v>
      </c>
      <c r="O2300" t="str">
        <f>IFERROR(__xludf.DUMMYFUNCTION("""COMPUTED_VALUE"""),"Pearl White Multi-Coat")</f>
        <v>Pearl White Multi-Coat</v>
      </c>
      <c r="P2300" t="str">
        <f>IFERROR(__xludf.DUMMYFUNCTION("""COMPUTED_VALUE"""),"19 inch Sport")</f>
        <v>19 inch Sport</v>
      </c>
      <c r="Q2300" t="str">
        <f>IFERROR(__xludf.DUMMYFUNCTION("""COMPUTED_VALUE"""),"Black seats")</f>
        <v>Black seats</v>
      </c>
      <c r="R2300" t="str">
        <f>IFERROR(__xludf.DUMMYFUNCTION("""COMPUTED_VALUE"""),"Autopilot")</f>
        <v>Autopilot</v>
      </c>
      <c r="X2300" t="str">
        <f>IFERROR(__xludf.DUMMYFUNCTION("""COMPUTED_VALUE"""),"Excellent")</f>
        <v>Excellent</v>
      </c>
      <c r="Y2300" t="str">
        <f>IFERROR(__xludf.DUMMYFUNCTION("""COMPUTED_VALUE"""),"Excellent")</f>
        <v>Excellent</v>
      </c>
      <c r="Z2300" t="str">
        <f>IFERROR(__xludf.DUMMYFUNCTION("""COMPUTED_VALUE"""),"Poor")</f>
        <v>Poor</v>
      </c>
      <c r="AA2300" t="str">
        <f>IFERROR(__xludf.DUMMYFUNCTION("""COMPUTED_VALUE"""),"Very Good")</f>
        <v>Very Good</v>
      </c>
      <c r="AB2300" t="str">
        <f>IFERROR(__xludf.DUMMYFUNCTION("""COMPUTED_VALUE"""),"Very Good")</f>
        <v>Very Good</v>
      </c>
      <c r="AC2300">
        <f>IFERROR(__xludf.DUMMYFUNCTION("""COMPUTED_VALUE"""),1.0)</f>
        <v>1</v>
      </c>
      <c r="AH2300" s="189">
        <f>IFERROR(__xludf.DUMMYFUNCTION("""COMPUTED_VALUE"""),43868.51293319445)</f>
        <v>43868.51293</v>
      </c>
    </row>
    <row r="2301">
      <c r="A2301" t="str">
        <f>IFERROR(__xludf.DUMMYFUNCTION("""COMPUTED_VALUE"""),"craigdolson80")</f>
        <v>craigdolson80</v>
      </c>
      <c r="B2301" t="str">
        <f>IFERROR(__xludf.DUMMYFUNCTION("""COMPUTED_VALUE"""),"Loves Park")</f>
        <v>Loves Park</v>
      </c>
      <c r="C2301" t="str">
        <f>IFERROR(__xludf.DUMMYFUNCTION("""COMPUTED_VALUE"""),"IL")</f>
        <v>IL</v>
      </c>
      <c r="D2301" t="str">
        <f>IFERROR(__xludf.DUMMYFUNCTION("""COMPUTED_VALUE"""),"USA")</f>
        <v>USA</v>
      </c>
      <c r="E2301" s="188">
        <f>IFERROR(__xludf.DUMMYFUNCTION("""COMPUTED_VALUE"""),43839.0)</f>
        <v>43839</v>
      </c>
      <c r="F2301" s="188">
        <f>IFERROR(__xludf.DUMMYFUNCTION("""COMPUTED_VALUE"""),43857.0)</f>
        <v>43857</v>
      </c>
      <c r="H2301">
        <f>IFERROR(__xludf.DUMMYFUNCTION("""COMPUTED_VALUE"""),628555.0)</f>
        <v>628555</v>
      </c>
      <c r="J2301" s="5">
        <f>IFERROR(__xludf.DUMMYFUNCTION("""COMPUTED_VALUE"""),43871.0)</f>
        <v>43871</v>
      </c>
      <c r="K2301">
        <f>IFERROR(__xludf.DUMMYFUNCTION("""COMPUTED_VALUE"""),18.0)</f>
        <v>18</v>
      </c>
      <c r="L2301">
        <f>IFERROR(__xludf.DUMMYFUNCTION("""COMPUTED_VALUE"""),14.0)</f>
        <v>14</v>
      </c>
      <c r="M2301">
        <f>IFERROR(__xludf.DUMMYFUNCTION("""COMPUTED_VALUE"""),32.0)</f>
        <v>32</v>
      </c>
      <c r="N2301" t="str">
        <f>IFERROR(__xludf.DUMMYFUNCTION("""COMPUTED_VALUE"""),"Model 3 LR AWD")</f>
        <v>Model 3 LR AWD</v>
      </c>
      <c r="O2301" t="str">
        <f>IFERROR(__xludf.DUMMYFUNCTION("""COMPUTED_VALUE"""),"Pearl White Multi-Coat")</f>
        <v>Pearl White Multi-Coat</v>
      </c>
      <c r="P2301" t="str">
        <f>IFERROR(__xludf.DUMMYFUNCTION("""COMPUTED_VALUE"""),"19 inch Sport")</f>
        <v>19 inch Sport</v>
      </c>
      <c r="Q2301" t="str">
        <f>IFERROR(__xludf.DUMMYFUNCTION("""COMPUTED_VALUE"""),"Black seats")</f>
        <v>Black seats</v>
      </c>
      <c r="R2301" t="str">
        <f>IFERROR(__xludf.DUMMYFUNCTION("""COMPUTED_VALUE"""),"Autopilot")</f>
        <v>Autopilot</v>
      </c>
      <c r="X2301" t="str">
        <f>IFERROR(__xludf.DUMMYFUNCTION("""COMPUTED_VALUE"""),"Very Good")</f>
        <v>Very Good</v>
      </c>
      <c r="Y2301" t="str">
        <f>IFERROR(__xludf.DUMMYFUNCTION("""COMPUTED_VALUE"""),"Excellent")</f>
        <v>Excellent</v>
      </c>
      <c r="Z2301" t="str">
        <f>IFERROR(__xludf.DUMMYFUNCTION("""COMPUTED_VALUE"""),"Excellent")</f>
        <v>Excellent</v>
      </c>
      <c r="AA2301" t="str">
        <f>IFERROR(__xludf.DUMMYFUNCTION("""COMPUTED_VALUE"""),"Very Good")</f>
        <v>Very Good</v>
      </c>
      <c r="AB2301" t="str">
        <f>IFERROR(__xludf.DUMMYFUNCTION("""COMPUTED_VALUE"""),"Excellent")</f>
        <v>Excellent</v>
      </c>
      <c r="AG2301" t="str">
        <f>IFERROR(__xludf.DUMMYFUNCTION("""COMPUTED_VALUE"""),"Text message received on 1/23. Estimated delivery 1-6 weeks. New txt on 1/29 to schedule appointment for pickup on 2/10")</f>
        <v>Text message received on 1/23. Estimated delivery 1-6 weeks. New txt on 1/29 to schedule appointment for pickup on 2/10</v>
      </c>
      <c r="AH2301" s="189">
        <f>IFERROR(__xludf.DUMMYFUNCTION("""COMPUTED_VALUE"""),43870.27791693287)</f>
        <v>43870.27792</v>
      </c>
    </row>
    <row r="2302">
      <c r="A2302" t="str">
        <f>IFERROR(__xludf.DUMMYFUNCTION("""COMPUTED_VALUE"""),"skiwhe")</f>
        <v>skiwhe</v>
      </c>
      <c r="B2302" t="str">
        <f>IFERROR(__xludf.DUMMYFUNCTION("""COMPUTED_VALUE"""),"San Antonio")</f>
        <v>San Antonio</v>
      </c>
      <c r="C2302" t="str">
        <f>IFERROR(__xludf.DUMMYFUNCTION("""COMPUTED_VALUE"""),"TX")</f>
        <v>TX</v>
      </c>
      <c r="D2302" t="str">
        <f>IFERROR(__xludf.DUMMYFUNCTION("""COMPUTED_VALUE"""),"USA")</f>
        <v>USA</v>
      </c>
      <c r="E2302" s="188">
        <f>IFERROR(__xludf.DUMMYFUNCTION("""COMPUTED_VALUE"""),43838.0)</f>
        <v>43838</v>
      </c>
      <c r="F2302" s="188">
        <f>IFERROR(__xludf.DUMMYFUNCTION("""COMPUTED_VALUE"""),43858.0)</f>
        <v>43858</v>
      </c>
      <c r="H2302">
        <f>IFERROR(__xludf.DUMMYFUNCTION("""COMPUTED_VALUE"""),630055.0)</f>
        <v>630055</v>
      </c>
      <c r="I2302" t="str">
        <f>IFERROR(__xludf.DUMMYFUNCTION("""COMPUTED_VALUE"""),"05/19")</f>
        <v>05/19</v>
      </c>
      <c r="J2302" s="5">
        <f>IFERROR(__xludf.DUMMYFUNCTION("""COMPUTED_VALUE"""),43865.0)</f>
        <v>43865</v>
      </c>
      <c r="K2302">
        <f>IFERROR(__xludf.DUMMYFUNCTION("""COMPUTED_VALUE"""),20.0)</f>
        <v>20</v>
      </c>
      <c r="L2302">
        <f>IFERROR(__xludf.DUMMYFUNCTION("""COMPUTED_VALUE"""),7.0)</f>
        <v>7</v>
      </c>
      <c r="M2302">
        <f>IFERROR(__xludf.DUMMYFUNCTION("""COMPUTED_VALUE"""),27.0)</f>
        <v>27</v>
      </c>
      <c r="N2302" t="str">
        <f>IFERROR(__xludf.DUMMYFUNCTION("""COMPUTED_VALUE"""),"Model 3 SR+")</f>
        <v>Model 3 SR+</v>
      </c>
      <c r="O2302" t="str">
        <f>IFERROR(__xludf.DUMMYFUNCTION("""COMPUTED_VALUE"""),"Solid Black")</f>
        <v>Solid Black</v>
      </c>
      <c r="P2302" t="str">
        <f>IFERROR(__xludf.DUMMYFUNCTION("""COMPUTED_VALUE"""),"18 inch Aero")</f>
        <v>18 inch Aero</v>
      </c>
      <c r="Q2302" t="str">
        <f>IFERROR(__xludf.DUMMYFUNCTION("""COMPUTED_VALUE"""),"Black seats")</f>
        <v>Black seats</v>
      </c>
      <c r="R2302" t="str">
        <f>IFERROR(__xludf.DUMMYFUNCTION("""COMPUTED_VALUE"""),"Full Self-Driving")</f>
        <v>Full Self-Driving</v>
      </c>
      <c r="X2302" t="str">
        <f>IFERROR(__xludf.DUMMYFUNCTION("""COMPUTED_VALUE"""),"Excellent")</f>
        <v>Excellent</v>
      </c>
      <c r="Y2302" t="str">
        <f>IFERROR(__xludf.DUMMYFUNCTION("""COMPUTED_VALUE"""),"Excellent")</f>
        <v>Excellent</v>
      </c>
      <c r="Z2302" t="str">
        <f>IFERROR(__xludf.DUMMYFUNCTION("""COMPUTED_VALUE"""),"Very Good")</f>
        <v>Very Good</v>
      </c>
      <c r="AA2302" t="str">
        <f>IFERROR(__xludf.DUMMYFUNCTION("""COMPUTED_VALUE"""),"Very Good")</f>
        <v>Very Good</v>
      </c>
      <c r="AB2302" t="str">
        <f>IFERROR(__xludf.DUMMYFUNCTION("""COMPUTED_VALUE"""),"Good")</f>
        <v>Good</v>
      </c>
      <c r="AH2302" s="189">
        <f>IFERROR(__xludf.DUMMYFUNCTION("""COMPUTED_VALUE"""),43870.30151789352)</f>
        <v>43870.30152</v>
      </c>
    </row>
    <row r="2303">
      <c r="A2303" t="str">
        <f>IFERROR(__xludf.DUMMYFUNCTION("""COMPUTED_VALUE"""),"TeslaTime!")</f>
        <v>TeslaTime!</v>
      </c>
      <c r="B2303" t="str">
        <f>IFERROR(__xludf.DUMMYFUNCTION("""COMPUTED_VALUE"""),"Tracy")</f>
        <v>Tracy</v>
      </c>
      <c r="C2303" t="str">
        <f>IFERROR(__xludf.DUMMYFUNCTION("""COMPUTED_VALUE"""),"CA")</f>
        <v>CA</v>
      </c>
      <c r="D2303" t="str">
        <f>IFERROR(__xludf.DUMMYFUNCTION("""COMPUTED_VALUE"""),"USA")</f>
        <v>USA</v>
      </c>
      <c r="E2303" s="188">
        <f>IFERROR(__xludf.DUMMYFUNCTION("""COMPUTED_VALUE"""),43803.0)</f>
        <v>43803</v>
      </c>
      <c r="F2303" s="188">
        <f>IFERROR(__xludf.DUMMYFUNCTION("""COMPUTED_VALUE"""),43822.0)</f>
        <v>43822</v>
      </c>
      <c r="H2303">
        <f>IFERROR(__xludf.DUMMYFUNCTION("""COMPUTED_VALUE"""),641355.0)</f>
        <v>641355</v>
      </c>
      <c r="I2303" t="str">
        <f>IFERROR(__xludf.DUMMYFUNCTION("""COMPUTED_VALUE"""),"12/19")</f>
        <v>12/19</v>
      </c>
      <c r="J2303" s="5">
        <f>IFERROR(__xludf.DUMMYFUNCTION("""COMPUTED_VALUE"""),43825.0)</f>
        <v>43825</v>
      </c>
      <c r="K2303">
        <f>IFERROR(__xludf.DUMMYFUNCTION("""COMPUTED_VALUE"""),19.0)</f>
        <v>19</v>
      </c>
      <c r="L2303">
        <f>IFERROR(__xludf.DUMMYFUNCTION("""COMPUTED_VALUE"""),3.0)</f>
        <v>3</v>
      </c>
      <c r="M2303">
        <f>IFERROR(__xludf.DUMMYFUNCTION("""COMPUTED_VALUE"""),22.0)</f>
        <v>22</v>
      </c>
      <c r="N2303" t="str">
        <f>IFERROR(__xludf.DUMMYFUNCTION("""COMPUTED_VALUE"""),"Model 3 Performance")</f>
        <v>Model 3 Performance</v>
      </c>
      <c r="O2303" t="str">
        <f>IFERROR(__xludf.DUMMYFUNCTION("""COMPUTED_VALUE"""),"Pearl White Multi-Coat")</f>
        <v>Pearl White Multi-Coat</v>
      </c>
      <c r="P2303" t="str">
        <f>IFERROR(__xludf.DUMMYFUNCTION("""COMPUTED_VALUE"""),"20 inch Sport")</f>
        <v>20 inch Sport</v>
      </c>
      <c r="Q2303" t="str">
        <f>IFERROR(__xludf.DUMMYFUNCTION("""COMPUTED_VALUE"""),"Black seats")</f>
        <v>Black seats</v>
      </c>
      <c r="R2303" t="str">
        <f>IFERROR(__xludf.DUMMYFUNCTION("""COMPUTED_VALUE"""),"Autopilot")</f>
        <v>Autopilot</v>
      </c>
      <c r="X2303" t="str">
        <f>IFERROR(__xludf.DUMMYFUNCTION("""COMPUTED_VALUE"""),"Very Good")</f>
        <v>Very Good</v>
      </c>
      <c r="Y2303" t="str">
        <f>IFERROR(__xludf.DUMMYFUNCTION("""COMPUTED_VALUE"""),"Excellent")</f>
        <v>Excellent</v>
      </c>
      <c r="Z2303" t="str">
        <f>IFERROR(__xludf.DUMMYFUNCTION("""COMPUTED_VALUE"""),"Very Good")</f>
        <v>Very Good</v>
      </c>
      <c r="AA2303" t="str">
        <f>IFERROR(__xludf.DUMMYFUNCTION("""COMPUTED_VALUE"""),"Good")</f>
        <v>Good</v>
      </c>
      <c r="AB2303" t="str">
        <f>IFERROR(__xludf.DUMMYFUNCTION("""COMPUTED_VALUE"""),"Excellent")</f>
        <v>Excellent</v>
      </c>
      <c r="AC2303">
        <f>IFERROR(__xludf.DUMMYFUNCTION("""COMPUTED_VALUE"""),0.0)</f>
        <v>0</v>
      </c>
      <c r="AD2303">
        <f>IFERROR(__xludf.DUMMYFUNCTION("""COMPUTED_VALUE"""),0.0)</f>
        <v>0</v>
      </c>
      <c r="AE2303">
        <f>IFERROR(__xludf.DUMMYFUNCTION("""COMPUTED_VALUE"""),0.0)</f>
        <v>0</v>
      </c>
      <c r="AH2303" s="189">
        <f>IFERROR(__xludf.DUMMYFUNCTION("""COMPUTED_VALUE"""),43870.744532916666)</f>
        <v>43870.74453</v>
      </c>
    </row>
    <row r="2304">
      <c r="A2304" t="str">
        <f>IFERROR(__xludf.DUMMYFUNCTION("""COMPUTED_VALUE"""),"PhiREflY")</f>
        <v>PhiREflY</v>
      </c>
      <c r="B2304" t="str">
        <f>IFERROR(__xludf.DUMMYFUNCTION("""COMPUTED_VALUE"""),"Mason")</f>
        <v>Mason</v>
      </c>
      <c r="C2304" t="str">
        <f>IFERROR(__xludf.DUMMYFUNCTION("""COMPUTED_VALUE"""),"OH")</f>
        <v>OH</v>
      </c>
      <c r="D2304" t="str">
        <f>IFERROR(__xludf.DUMMYFUNCTION("""COMPUTED_VALUE"""),"USA")</f>
        <v>USA</v>
      </c>
      <c r="E2304" s="188">
        <f>IFERROR(__xludf.DUMMYFUNCTION("""COMPUTED_VALUE"""),43839.0)</f>
        <v>43839</v>
      </c>
      <c r="F2304" s="188">
        <f>IFERROR(__xludf.DUMMYFUNCTION("""COMPUTED_VALUE"""),43863.0)</f>
        <v>43863</v>
      </c>
      <c r="H2304">
        <f>IFERROR(__xludf.DUMMYFUNCTION("""COMPUTED_VALUE"""),636829.0)</f>
        <v>636829</v>
      </c>
      <c r="J2304" s="5">
        <f>IFERROR(__xludf.DUMMYFUNCTION("""COMPUTED_VALUE"""),43870.0)</f>
        <v>43870</v>
      </c>
      <c r="K2304">
        <f>IFERROR(__xludf.DUMMYFUNCTION("""COMPUTED_VALUE"""),24.0)</f>
        <v>24</v>
      </c>
      <c r="L2304">
        <f>IFERROR(__xludf.DUMMYFUNCTION("""COMPUTED_VALUE"""),7.0)</f>
        <v>7</v>
      </c>
      <c r="M2304">
        <f>IFERROR(__xludf.DUMMYFUNCTION("""COMPUTED_VALUE"""),31.0)</f>
        <v>31</v>
      </c>
      <c r="N2304" t="str">
        <f>IFERROR(__xludf.DUMMYFUNCTION("""COMPUTED_VALUE"""),"Model 3 LR AWD")</f>
        <v>Model 3 LR AWD</v>
      </c>
      <c r="O2304" t="str">
        <f>IFERROR(__xludf.DUMMYFUNCTION("""COMPUTED_VALUE"""),"Pearl White Multi-Coat")</f>
        <v>Pearl White Multi-Coat</v>
      </c>
      <c r="P2304" t="str">
        <f>IFERROR(__xludf.DUMMYFUNCTION("""COMPUTED_VALUE"""),"18 inch Aero")</f>
        <v>18 inch Aero</v>
      </c>
      <c r="Q2304" t="str">
        <f>IFERROR(__xludf.DUMMYFUNCTION("""COMPUTED_VALUE"""),"Black seats")</f>
        <v>Black seats</v>
      </c>
      <c r="R2304" t="str">
        <f>IFERROR(__xludf.DUMMYFUNCTION("""COMPUTED_VALUE"""),"Autopilot")</f>
        <v>Autopilot</v>
      </c>
      <c r="X2304" t="str">
        <f>IFERROR(__xludf.DUMMYFUNCTION("""COMPUTED_VALUE"""),"Excellent")</f>
        <v>Excellent</v>
      </c>
      <c r="Y2304" t="str">
        <f>IFERROR(__xludf.DUMMYFUNCTION("""COMPUTED_VALUE"""),"Very Good")</f>
        <v>Very Good</v>
      </c>
      <c r="Z2304" t="str">
        <f>IFERROR(__xludf.DUMMYFUNCTION("""COMPUTED_VALUE"""),"Excellent")</f>
        <v>Excellent</v>
      </c>
      <c r="AA2304" t="str">
        <f>IFERROR(__xludf.DUMMYFUNCTION("""COMPUTED_VALUE"""),"Good")</f>
        <v>Good</v>
      </c>
      <c r="AB2304" t="str">
        <f>IFERROR(__xludf.DUMMYFUNCTION("""COMPUTED_VALUE"""),"Excellent")</f>
        <v>Excellent</v>
      </c>
      <c r="AC2304">
        <f>IFERROR(__xludf.DUMMYFUNCTION("""COMPUTED_VALUE"""),1.0)</f>
        <v>1</v>
      </c>
      <c r="AH2304" s="189">
        <f>IFERROR(__xludf.DUMMYFUNCTION("""COMPUTED_VALUE"""),43870.79936568287)</f>
        <v>43870.79937</v>
      </c>
    </row>
    <row r="2305">
      <c r="A2305" t="str">
        <f>IFERROR(__xludf.DUMMYFUNCTION("""COMPUTED_VALUE"""),"Vapoff")</f>
        <v>Vapoff</v>
      </c>
      <c r="B2305" t="str">
        <f>IFERROR(__xludf.DUMMYFUNCTION("""COMPUTED_VALUE"""),"Modesto")</f>
        <v>Modesto</v>
      </c>
      <c r="C2305" t="str">
        <f>IFERROR(__xludf.DUMMYFUNCTION("""COMPUTED_VALUE"""),"CA")</f>
        <v>CA</v>
      </c>
      <c r="D2305" t="str">
        <f>IFERROR(__xludf.DUMMYFUNCTION("""COMPUTED_VALUE"""),"USA")</f>
        <v>USA</v>
      </c>
      <c r="E2305" s="188">
        <f>IFERROR(__xludf.DUMMYFUNCTION("""COMPUTED_VALUE"""),43544.0)</f>
        <v>43544</v>
      </c>
      <c r="F2305" s="188">
        <f>IFERROR(__xludf.DUMMYFUNCTION("""COMPUTED_VALUE"""),43550.0)</f>
        <v>43550</v>
      </c>
      <c r="H2305">
        <f>IFERROR(__xludf.DUMMYFUNCTION("""COMPUTED_VALUE"""),325036.0)</f>
        <v>325036</v>
      </c>
      <c r="J2305" s="5">
        <f>IFERROR(__xludf.DUMMYFUNCTION("""COMPUTED_VALUE"""),43552.0)</f>
        <v>43552</v>
      </c>
      <c r="K2305">
        <f>IFERROR(__xludf.DUMMYFUNCTION("""COMPUTED_VALUE"""),6.0)</f>
        <v>6</v>
      </c>
      <c r="L2305">
        <f>IFERROR(__xludf.DUMMYFUNCTION("""COMPUTED_VALUE"""),2.0)</f>
        <v>2</v>
      </c>
      <c r="M2305">
        <f>IFERROR(__xludf.DUMMYFUNCTION("""COMPUTED_VALUE"""),8.0)</f>
        <v>8</v>
      </c>
      <c r="N2305" t="str">
        <f>IFERROR(__xludf.DUMMYFUNCTION("""COMPUTED_VALUE"""),"Model 3 LR")</f>
        <v>Model 3 LR</v>
      </c>
      <c r="O2305" t="str">
        <f>IFERROR(__xludf.DUMMYFUNCTION("""COMPUTED_VALUE"""),"Solid Black")</f>
        <v>Solid Black</v>
      </c>
      <c r="P2305" t="str">
        <f>IFERROR(__xludf.DUMMYFUNCTION("""COMPUTED_VALUE"""),"18 inch Aero")</f>
        <v>18 inch Aero</v>
      </c>
      <c r="Q2305" t="str">
        <f>IFERROR(__xludf.DUMMYFUNCTION("""COMPUTED_VALUE"""),"Black seats")</f>
        <v>Black seats</v>
      </c>
      <c r="X2305" t="str">
        <f>IFERROR(__xludf.DUMMYFUNCTION("""COMPUTED_VALUE"""),"Excellent")</f>
        <v>Excellent</v>
      </c>
      <c r="Y2305" t="str">
        <f>IFERROR(__xludf.DUMMYFUNCTION("""COMPUTED_VALUE"""),"Excellent")</f>
        <v>Excellent</v>
      </c>
      <c r="Z2305" t="str">
        <f>IFERROR(__xludf.DUMMYFUNCTION("""COMPUTED_VALUE"""),"Excellent")</f>
        <v>Excellent</v>
      </c>
      <c r="AA2305" t="str">
        <f>IFERROR(__xludf.DUMMYFUNCTION("""COMPUTED_VALUE"""),"Excellent")</f>
        <v>Excellent</v>
      </c>
      <c r="AB2305" t="str">
        <f>IFERROR(__xludf.DUMMYFUNCTION("""COMPUTED_VALUE"""),"Very Good")</f>
        <v>Very Good</v>
      </c>
      <c r="AC2305">
        <f>IFERROR(__xludf.DUMMYFUNCTION("""COMPUTED_VALUE"""),0.0)</f>
        <v>0</v>
      </c>
      <c r="AD2305">
        <f>IFERROR(__xludf.DUMMYFUNCTION("""COMPUTED_VALUE"""),0.0)</f>
        <v>0</v>
      </c>
      <c r="AE2305">
        <f>IFERROR(__xludf.DUMMYFUNCTION("""COMPUTED_VALUE"""),0.0)</f>
        <v>0</v>
      </c>
      <c r="AH2305" s="189">
        <f>IFERROR(__xludf.DUMMYFUNCTION("""COMPUTED_VALUE"""),43871.576966504625)</f>
        <v>43871.57697</v>
      </c>
    </row>
    <row r="2306">
      <c r="A2306" t="str">
        <f>IFERROR(__xludf.DUMMYFUNCTION("""COMPUTED_VALUE"""),"Ollyb15")</f>
        <v>Ollyb15</v>
      </c>
      <c r="B2306" t="str">
        <f>IFERROR(__xludf.DUMMYFUNCTION("""COMPUTED_VALUE"""),"Lexington")</f>
        <v>Lexington</v>
      </c>
      <c r="C2306" t="str">
        <f>IFERROR(__xludf.DUMMYFUNCTION("""COMPUTED_VALUE"""),"KY")</f>
        <v>KY</v>
      </c>
      <c r="D2306" t="str">
        <f>IFERROR(__xludf.DUMMYFUNCTION("""COMPUTED_VALUE"""),"USA")</f>
        <v>USA</v>
      </c>
      <c r="E2306" s="188">
        <f>IFERROR(__xludf.DUMMYFUNCTION("""COMPUTED_VALUE"""),43853.0)</f>
        <v>43853</v>
      </c>
      <c r="F2306" s="188">
        <f>IFERROR(__xludf.DUMMYFUNCTION("""COMPUTED_VALUE"""),43867.0)</f>
        <v>43867</v>
      </c>
      <c r="H2306">
        <f>IFERROR(__xludf.DUMMYFUNCTION("""COMPUTED_VALUE"""),195655.0)</f>
        <v>195655</v>
      </c>
      <c r="J2306" s="5">
        <f>IFERROR(__xludf.DUMMYFUNCTION("""COMPUTED_VALUE"""),43870.0)</f>
        <v>43870</v>
      </c>
      <c r="K2306">
        <f>IFERROR(__xludf.DUMMYFUNCTION("""COMPUTED_VALUE"""),14.0)</f>
        <v>14</v>
      </c>
      <c r="L2306">
        <f>IFERROR(__xludf.DUMMYFUNCTION("""COMPUTED_VALUE"""),3.0)</f>
        <v>3</v>
      </c>
      <c r="M2306">
        <f>IFERROR(__xludf.DUMMYFUNCTION("""COMPUTED_VALUE"""),17.0)</f>
        <v>17</v>
      </c>
      <c r="N2306" t="str">
        <f>IFERROR(__xludf.DUMMYFUNCTION("""COMPUTED_VALUE"""),"Model 3 Performance")</f>
        <v>Model 3 Performance</v>
      </c>
      <c r="O2306" t="str">
        <f>IFERROR(__xludf.DUMMYFUNCTION("""COMPUTED_VALUE"""),"Pearl White Multi-Coat")</f>
        <v>Pearl White Multi-Coat</v>
      </c>
      <c r="P2306" t="str">
        <f>IFERROR(__xludf.DUMMYFUNCTION("""COMPUTED_VALUE"""),"20 inch Sport")</f>
        <v>20 inch Sport</v>
      </c>
      <c r="Q2306" t="str">
        <f>IFERROR(__xludf.DUMMYFUNCTION("""COMPUTED_VALUE"""),"White seats")</f>
        <v>White seats</v>
      </c>
      <c r="R2306" t="str">
        <f>IFERROR(__xludf.DUMMYFUNCTION("""COMPUTED_VALUE"""),"Full Self-Driving")</f>
        <v>Full Self-Driving</v>
      </c>
      <c r="X2306" t="str">
        <f>IFERROR(__xludf.DUMMYFUNCTION("""COMPUTED_VALUE"""),"Good")</f>
        <v>Good</v>
      </c>
      <c r="Y2306" t="str">
        <f>IFERROR(__xludf.DUMMYFUNCTION("""COMPUTED_VALUE"""),"Excellent")</f>
        <v>Excellent</v>
      </c>
      <c r="Z2306" t="str">
        <f>IFERROR(__xludf.DUMMYFUNCTION("""COMPUTED_VALUE"""),"Very Good")</f>
        <v>Very Good</v>
      </c>
      <c r="AA2306" t="str">
        <f>IFERROR(__xludf.DUMMYFUNCTION("""COMPUTED_VALUE"""),"Excellent")</f>
        <v>Excellent</v>
      </c>
      <c r="AB2306" t="str">
        <f>IFERROR(__xludf.DUMMYFUNCTION("""COMPUTED_VALUE"""),"Excellent")</f>
        <v>Excellent</v>
      </c>
      <c r="AC2306">
        <f>IFERROR(__xludf.DUMMYFUNCTION("""COMPUTED_VALUE"""),0.0)</f>
        <v>0</v>
      </c>
      <c r="AH2306" s="189">
        <f>IFERROR(__xludf.DUMMYFUNCTION("""COMPUTED_VALUE"""),43871.7779690625)</f>
        <v>43871.77797</v>
      </c>
    </row>
    <row r="2307">
      <c r="A2307" t="str">
        <f>IFERROR(__xludf.DUMMYFUNCTION("""COMPUTED_VALUE"""),"mlatorre323")</f>
        <v>mlatorre323</v>
      </c>
      <c r="B2307" t="str">
        <f>IFERROR(__xludf.DUMMYFUNCTION("""COMPUTED_VALUE"""),"Columbus")</f>
        <v>Columbus</v>
      </c>
      <c r="C2307" t="str">
        <f>IFERROR(__xludf.DUMMYFUNCTION("""COMPUTED_VALUE"""),"OH")</f>
        <v>OH</v>
      </c>
      <c r="D2307" t="str">
        <f>IFERROR(__xludf.DUMMYFUNCTION("""COMPUTED_VALUE"""),"USA")</f>
        <v>USA</v>
      </c>
      <c r="E2307" s="188">
        <f>IFERROR(__xludf.DUMMYFUNCTION("""COMPUTED_VALUE"""),43806.0)</f>
        <v>43806</v>
      </c>
      <c r="F2307" s="188">
        <f>IFERROR(__xludf.DUMMYFUNCTION("""COMPUTED_VALUE"""),43811.0)</f>
        <v>43811</v>
      </c>
      <c r="H2307">
        <f>IFERROR(__xludf.DUMMYFUNCTION("""COMPUTED_VALUE"""),627255.0)</f>
        <v>627255</v>
      </c>
      <c r="J2307" s="5">
        <f>IFERROR(__xludf.DUMMYFUNCTION("""COMPUTED_VALUE"""),43815.0)</f>
        <v>43815</v>
      </c>
      <c r="K2307">
        <f>IFERROR(__xludf.DUMMYFUNCTION("""COMPUTED_VALUE"""),5.0)</f>
        <v>5</v>
      </c>
      <c r="L2307">
        <f>IFERROR(__xludf.DUMMYFUNCTION("""COMPUTED_VALUE"""),4.0)</f>
        <v>4</v>
      </c>
      <c r="M2307">
        <f>IFERROR(__xludf.DUMMYFUNCTION("""COMPUTED_VALUE"""),9.0)</f>
        <v>9</v>
      </c>
      <c r="N2307" t="str">
        <f>IFERROR(__xludf.DUMMYFUNCTION("""COMPUTED_VALUE"""),"Model 3 LR AWD")</f>
        <v>Model 3 LR AWD</v>
      </c>
      <c r="O2307" t="str">
        <f>IFERROR(__xludf.DUMMYFUNCTION("""COMPUTED_VALUE"""),"Midnight Silver Metallic")</f>
        <v>Midnight Silver Metallic</v>
      </c>
      <c r="P2307" t="str">
        <f>IFERROR(__xludf.DUMMYFUNCTION("""COMPUTED_VALUE"""),"19 inch Sport")</f>
        <v>19 inch Sport</v>
      </c>
      <c r="Q2307" t="str">
        <f>IFERROR(__xludf.DUMMYFUNCTION("""COMPUTED_VALUE"""),"Black seats")</f>
        <v>Black seats</v>
      </c>
      <c r="R2307" t="str">
        <f>IFERROR(__xludf.DUMMYFUNCTION("""COMPUTED_VALUE"""),"Full Self-Driving")</f>
        <v>Full Self-Driving</v>
      </c>
      <c r="X2307" t="str">
        <f>IFERROR(__xludf.DUMMYFUNCTION("""COMPUTED_VALUE"""),"Very Good")</f>
        <v>Very Good</v>
      </c>
      <c r="Y2307" t="str">
        <f>IFERROR(__xludf.DUMMYFUNCTION("""COMPUTED_VALUE"""),"Excellent")</f>
        <v>Excellent</v>
      </c>
      <c r="Z2307" t="str">
        <f>IFERROR(__xludf.DUMMYFUNCTION("""COMPUTED_VALUE"""),"Very Good")</f>
        <v>Very Good</v>
      </c>
      <c r="AA2307" t="str">
        <f>IFERROR(__xludf.DUMMYFUNCTION("""COMPUTED_VALUE"""),"Very Good")</f>
        <v>Very Good</v>
      </c>
      <c r="AB2307" t="str">
        <f>IFERROR(__xludf.DUMMYFUNCTION("""COMPUTED_VALUE"""),"Very Good")</f>
        <v>Very Good</v>
      </c>
      <c r="AC2307">
        <f>IFERROR(__xludf.DUMMYFUNCTION("""COMPUTED_VALUE"""),0.0)</f>
        <v>0</v>
      </c>
      <c r="AD2307">
        <f>IFERROR(__xludf.DUMMYFUNCTION("""COMPUTED_VALUE"""),0.0)</f>
        <v>0</v>
      </c>
      <c r="AE2307">
        <f>IFERROR(__xludf.DUMMYFUNCTION("""COMPUTED_VALUE"""),0.0)</f>
        <v>0</v>
      </c>
      <c r="AH2307" s="189">
        <f>IFERROR(__xludf.DUMMYFUNCTION("""COMPUTED_VALUE"""),43872.24619027778)</f>
        <v>43872.24619</v>
      </c>
    </row>
    <row r="2308">
      <c r="A2308" t="str">
        <f>IFERROR(__xludf.DUMMYFUNCTION("""COMPUTED_VALUE"""),"BrewerGlyph")</f>
        <v>BrewerGlyph</v>
      </c>
      <c r="C2308" t="str">
        <f>IFERROR(__xludf.DUMMYFUNCTION("""COMPUTED_VALUE"""),"NH")</f>
        <v>NH</v>
      </c>
      <c r="D2308" t="str">
        <f>IFERROR(__xludf.DUMMYFUNCTION("""COMPUTED_VALUE"""),"USA")</f>
        <v>USA</v>
      </c>
      <c r="E2308" s="188">
        <f>IFERROR(__xludf.DUMMYFUNCTION("""COMPUTED_VALUE"""),43807.0)</f>
        <v>43807</v>
      </c>
      <c r="F2308" s="188">
        <f>IFERROR(__xludf.DUMMYFUNCTION("""COMPUTED_VALUE"""),43864.0)</f>
        <v>43864</v>
      </c>
      <c r="H2308">
        <f>IFERROR(__xludf.DUMMYFUNCTION("""COMPUTED_VALUE"""),640255.0)</f>
        <v>640255</v>
      </c>
      <c r="J2308" s="5">
        <f>IFERROR(__xludf.DUMMYFUNCTION("""COMPUTED_VALUE"""),43880.0)</f>
        <v>43880</v>
      </c>
      <c r="K2308">
        <f>IFERROR(__xludf.DUMMYFUNCTION("""COMPUTED_VALUE"""),57.0)</f>
        <v>57</v>
      </c>
      <c r="L2308">
        <f>IFERROR(__xludf.DUMMYFUNCTION("""COMPUTED_VALUE"""),16.0)</f>
        <v>16</v>
      </c>
      <c r="M2308">
        <f>IFERROR(__xludf.DUMMYFUNCTION("""COMPUTED_VALUE"""),73.0)</f>
        <v>73</v>
      </c>
      <c r="N2308" t="str">
        <f>IFERROR(__xludf.DUMMYFUNCTION("""COMPUTED_VALUE"""),"Model 3 LR AWD")</f>
        <v>Model 3 LR AWD</v>
      </c>
      <c r="O2308" t="str">
        <f>IFERROR(__xludf.DUMMYFUNCTION("""COMPUTED_VALUE"""),"Deep Blue Metallic")</f>
        <v>Deep Blue Metallic</v>
      </c>
      <c r="P2308" t="str">
        <f>IFERROR(__xludf.DUMMYFUNCTION("""COMPUTED_VALUE"""),"19 inch Sport")</f>
        <v>19 inch Sport</v>
      </c>
      <c r="Q2308" t="str">
        <f>IFERROR(__xludf.DUMMYFUNCTION("""COMPUTED_VALUE"""),"White seats")</f>
        <v>White seats</v>
      </c>
      <c r="R2308" t="str">
        <f>IFERROR(__xludf.DUMMYFUNCTION("""COMPUTED_VALUE"""),"Autopilot")</f>
        <v>Autopilot</v>
      </c>
      <c r="AA2308" t="str">
        <f>IFERROR(__xludf.DUMMYFUNCTION("""COMPUTED_VALUE"""),"Poor")</f>
        <v>Poor</v>
      </c>
      <c r="AG2308" t="str">
        <f>IFERROR(__xludf.DUMMYFUNCTION("""COMPUTED_VALUE"""),"Original estimate was 2-3 weeks from order date, TXT on 1/23/2019 indicates it is now 3-8 weeks out, VIN in source 2/3/2020, Delivery TXT 2/11/2020, VIN visible 2/13/2020")</f>
        <v>Original estimate was 2-3 weeks from order date, TXT on 1/23/2019 indicates it is now 3-8 weeks out, VIN in source 2/3/2020, Delivery TXT 2/11/2020, VIN visible 2/13/2020</v>
      </c>
      <c r="AH2308" s="189">
        <f>IFERROR(__xludf.DUMMYFUNCTION("""COMPUTED_VALUE"""),43874.187893738424)</f>
        <v>43874.18789</v>
      </c>
    </row>
    <row r="2309">
      <c r="A2309" t="str">
        <f>IFERROR(__xludf.DUMMYFUNCTION("""COMPUTED_VALUE"""),"Jackalope")</f>
        <v>Jackalope</v>
      </c>
      <c r="B2309" t="str">
        <f>IFERROR(__xludf.DUMMYFUNCTION("""COMPUTED_VALUE"""),"Princeton")</f>
        <v>Princeton</v>
      </c>
      <c r="C2309" t="str">
        <f>IFERROR(__xludf.DUMMYFUNCTION("""COMPUTED_VALUE"""),"NJ")</f>
        <v>NJ</v>
      </c>
      <c r="D2309" t="str">
        <f>IFERROR(__xludf.DUMMYFUNCTION("""COMPUTED_VALUE"""),"USA")</f>
        <v>USA</v>
      </c>
      <c r="E2309" s="188">
        <f>IFERROR(__xludf.DUMMYFUNCTION("""COMPUTED_VALUE"""),43850.0)</f>
        <v>43850</v>
      </c>
      <c r="F2309" s="188">
        <f>IFERROR(__xludf.DUMMYFUNCTION("""COMPUTED_VALUE"""),43866.0)</f>
        <v>43866</v>
      </c>
      <c r="J2309" s="5">
        <f>IFERROR(__xludf.DUMMYFUNCTION("""COMPUTED_VALUE"""),43872.0)</f>
        <v>43872</v>
      </c>
      <c r="K2309">
        <f>IFERROR(__xludf.DUMMYFUNCTION("""COMPUTED_VALUE"""),16.0)</f>
        <v>16</v>
      </c>
      <c r="L2309">
        <f>IFERROR(__xludf.DUMMYFUNCTION("""COMPUTED_VALUE"""),6.0)</f>
        <v>6</v>
      </c>
      <c r="M2309">
        <f>IFERROR(__xludf.DUMMYFUNCTION("""COMPUTED_VALUE"""),22.0)</f>
        <v>22</v>
      </c>
      <c r="N2309" t="str">
        <f>IFERROR(__xludf.DUMMYFUNCTION("""COMPUTED_VALUE"""),"Model 3 LR AWD")</f>
        <v>Model 3 LR AWD</v>
      </c>
      <c r="O2309" t="str">
        <f>IFERROR(__xludf.DUMMYFUNCTION("""COMPUTED_VALUE"""),"Midnight Silver Metallic")</f>
        <v>Midnight Silver Metallic</v>
      </c>
      <c r="P2309" t="str">
        <f>IFERROR(__xludf.DUMMYFUNCTION("""COMPUTED_VALUE"""),"19 inch Sport")</f>
        <v>19 inch Sport</v>
      </c>
      <c r="Q2309" t="str">
        <f>IFERROR(__xludf.DUMMYFUNCTION("""COMPUTED_VALUE"""),"Black seats")</f>
        <v>Black seats</v>
      </c>
      <c r="R2309" t="str">
        <f>IFERROR(__xludf.DUMMYFUNCTION("""COMPUTED_VALUE"""),"Autopilot")</f>
        <v>Autopilot</v>
      </c>
      <c r="X2309" t="str">
        <f>IFERROR(__xludf.DUMMYFUNCTION("""COMPUTED_VALUE"""),"Very Good")</f>
        <v>Very Good</v>
      </c>
      <c r="Y2309" t="str">
        <f>IFERROR(__xludf.DUMMYFUNCTION("""COMPUTED_VALUE"""),"Excellent")</f>
        <v>Excellent</v>
      </c>
      <c r="Z2309" t="str">
        <f>IFERROR(__xludf.DUMMYFUNCTION("""COMPUTED_VALUE"""),"Excellent")</f>
        <v>Excellent</v>
      </c>
      <c r="AA2309" t="str">
        <f>IFERROR(__xludf.DUMMYFUNCTION("""COMPUTED_VALUE"""),"Excellent")</f>
        <v>Excellent</v>
      </c>
      <c r="AB2309" t="str">
        <f>IFERROR(__xludf.DUMMYFUNCTION("""COMPUTED_VALUE"""),"Excellent")</f>
        <v>Excellent</v>
      </c>
      <c r="AH2309" s="189">
        <f>IFERROR(__xludf.DUMMYFUNCTION("""COMPUTED_VALUE"""),43875.453316851854)</f>
        <v>43875.45332</v>
      </c>
    </row>
    <row r="2310">
      <c r="A2310" t="str">
        <f>IFERROR(__xludf.DUMMYFUNCTION("""COMPUTED_VALUE"""),"linuxguyInMD")</f>
        <v>linuxguyInMD</v>
      </c>
      <c r="B2310" t="str">
        <f>IFERROR(__xludf.DUMMYFUNCTION("""COMPUTED_VALUE"""),"Ellicott City")</f>
        <v>Ellicott City</v>
      </c>
      <c r="C2310" t="str">
        <f>IFERROR(__xludf.DUMMYFUNCTION("""COMPUTED_VALUE"""),"MD")</f>
        <v>MD</v>
      </c>
      <c r="D2310" t="str">
        <f>IFERROR(__xludf.DUMMYFUNCTION("""COMPUTED_VALUE"""),"USA")</f>
        <v>USA</v>
      </c>
      <c r="E2310" s="188">
        <f>IFERROR(__xludf.DUMMYFUNCTION("""COMPUTED_VALUE"""),43768.0)</f>
        <v>43768</v>
      </c>
      <c r="F2310" s="188">
        <f>IFERROR(__xludf.DUMMYFUNCTION("""COMPUTED_VALUE"""),43800.0)</f>
        <v>43800</v>
      </c>
      <c r="H2310">
        <f>IFERROR(__xludf.DUMMYFUNCTION("""COMPUTED_VALUE"""),617206.0)</f>
        <v>617206</v>
      </c>
      <c r="I2310" t="str">
        <f>IFERROR(__xludf.DUMMYFUNCTION("""COMPUTED_VALUE"""),"11/19")</f>
        <v>11/19</v>
      </c>
      <c r="J2310" s="5">
        <f>IFERROR(__xludf.DUMMYFUNCTION("""COMPUTED_VALUE"""),43808.0)</f>
        <v>43808</v>
      </c>
      <c r="K2310">
        <f>IFERROR(__xludf.DUMMYFUNCTION("""COMPUTED_VALUE"""),32.0)</f>
        <v>32</v>
      </c>
      <c r="L2310">
        <f>IFERROR(__xludf.DUMMYFUNCTION("""COMPUTED_VALUE"""),8.0)</f>
        <v>8</v>
      </c>
      <c r="M2310">
        <f>IFERROR(__xludf.DUMMYFUNCTION("""COMPUTED_VALUE"""),40.0)</f>
        <v>40</v>
      </c>
      <c r="N2310" t="str">
        <f>IFERROR(__xludf.DUMMYFUNCTION("""COMPUTED_VALUE"""),"Model 3 LR AWD")</f>
        <v>Model 3 LR AWD</v>
      </c>
      <c r="O2310" t="str">
        <f>IFERROR(__xludf.DUMMYFUNCTION("""COMPUTED_VALUE"""),"Deep Blue Metallic")</f>
        <v>Deep Blue Metallic</v>
      </c>
      <c r="P2310" t="str">
        <f>IFERROR(__xludf.DUMMYFUNCTION("""COMPUTED_VALUE"""),"18 inch Aero")</f>
        <v>18 inch Aero</v>
      </c>
      <c r="Q2310" t="str">
        <f>IFERROR(__xludf.DUMMYFUNCTION("""COMPUTED_VALUE"""),"Black seats")</f>
        <v>Black seats</v>
      </c>
      <c r="R2310" t="str">
        <f>IFERROR(__xludf.DUMMYFUNCTION("""COMPUTED_VALUE"""),"Autopilot")</f>
        <v>Autopilot</v>
      </c>
      <c r="X2310" t="str">
        <f>IFERROR(__xludf.DUMMYFUNCTION("""COMPUTED_VALUE"""),"Very Good")</f>
        <v>Very Good</v>
      </c>
      <c r="Y2310" t="str">
        <f>IFERROR(__xludf.DUMMYFUNCTION("""COMPUTED_VALUE"""),"Very Good")</f>
        <v>Very Good</v>
      </c>
      <c r="Z2310" t="str">
        <f>IFERROR(__xludf.DUMMYFUNCTION("""COMPUTED_VALUE"""),"Fair")</f>
        <v>Fair</v>
      </c>
      <c r="AA2310" t="str">
        <f>IFERROR(__xludf.DUMMYFUNCTION("""COMPUTED_VALUE"""),"Excellent")</f>
        <v>Excellent</v>
      </c>
      <c r="AB2310" t="str">
        <f>IFERROR(__xludf.DUMMYFUNCTION("""COMPUTED_VALUE"""),"Good")</f>
        <v>Good</v>
      </c>
      <c r="AC2310">
        <f>IFERROR(__xludf.DUMMYFUNCTION("""COMPUTED_VALUE"""),1.0)</f>
        <v>1</v>
      </c>
      <c r="AD2310">
        <f>IFERROR(__xludf.DUMMYFUNCTION("""COMPUTED_VALUE"""),1.0)</f>
        <v>1</v>
      </c>
      <c r="AE2310">
        <f>IFERROR(__xludf.DUMMYFUNCTION("""COMPUTED_VALUE"""),0.0)</f>
        <v>0</v>
      </c>
      <c r="AH2310" s="189">
        <f>IFERROR(__xludf.DUMMYFUNCTION("""COMPUTED_VALUE"""),43877.40258375)</f>
        <v>43877.40258</v>
      </c>
    </row>
    <row r="2311">
      <c r="A2311" t="str">
        <f>IFERROR(__xludf.DUMMYFUNCTION("""COMPUTED_VALUE"""),"Jack!")</f>
        <v>Jack!</v>
      </c>
      <c r="B2311" t="str">
        <f>IFERROR(__xludf.DUMMYFUNCTION("""COMPUTED_VALUE"""),"Columbus")</f>
        <v>Columbus</v>
      </c>
      <c r="C2311" t="str">
        <f>IFERROR(__xludf.DUMMYFUNCTION("""COMPUTED_VALUE"""),"OH")</f>
        <v>OH</v>
      </c>
      <c r="D2311" t="str">
        <f>IFERROR(__xludf.DUMMYFUNCTION("""COMPUTED_VALUE"""),"USA")</f>
        <v>USA</v>
      </c>
      <c r="E2311" s="188">
        <f>IFERROR(__xludf.DUMMYFUNCTION("""COMPUTED_VALUE"""),43840.0)</f>
        <v>43840</v>
      </c>
      <c r="F2311" s="188">
        <f>IFERROR(__xludf.DUMMYFUNCTION("""COMPUTED_VALUE"""),43856.0)</f>
        <v>43856</v>
      </c>
      <c r="H2311">
        <f>IFERROR(__xludf.DUMMYFUNCTION("""COMPUTED_VALUE"""),639503.0)</f>
        <v>639503</v>
      </c>
      <c r="J2311" s="5">
        <f>IFERROR(__xludf.DUMMYFUNCTION("""COMPUTED_VALUE"""),43875.0)</f>
        <v>43875</v>
      </c>
      <c r="K2311">
        <f>IFERROR(__xludf.DUMMYFUNCTION("""COMPUTED_VALUE"""),16.0)</f>
        <v>16</v>
      </c>
      <c r="L2311">
        <f>IFERROR(__xludf.DUMMYFUNCTION("""COMPUTED_VALUE"""),19.0)</f>
        <v>19</v>
      </c>
      <c r="M2311">
        <f>IFERROR(__xludf.DUMMYFUNCTION("""COMPUTED_VALUE"""),35.0)</f>
        <v>35</v>
      </c>
      <c r="N2311" t="str">
        <f>IFERROR(__xludf.DUMMYFUNCTION("""COMPUTED_VALUE"""),"Model 3 LR AWD")</f>
        <v>Model 3 LR AWD</v>
      </c>
      <c r="O2311" t="str">
        <f>IFERROR(__xludf.DUMMYFUNCTION("""COMPUTED_VALUE"""),"Pearl White Multi-Coat")</f>
        <v>Pearl White Multi-Coat</v>
      </c>
      <c r="P2311" t="str">
        <f>IFERROR(__xludf.DUMMYFUNCTION("""COMPUTED_VALUE"""),"18 inch Aero")</f>
        <v>18 inch Aero</v>
      </c>
      <c r="Q2311" t="str">
        <f>IFERROR(__xludf.DUMMYFUNCTION("""COMPUTED_VALUE"""),"White seats")</f>
        <v>White seats</v>
      </c>
      <c r="R2311" t="str">
        <f>IFERROR(__xludf.DUMMYFUNCTION("""COMPUTED_VALUE"""),"Autopilot")</f>
        <v>Autopilot</v>
      </c>
      <c r="X2311" t="str">
        <f>IFERROR(__xludf.DUMMYFUNCTION("""COMPUTED_VALUE"""),"Excellent")</f>
        <v>Excellent</v>
      </c>
      <c r="Y2311" t="str">
        <f>IFERROR(__xludf.DUMMYFUNCTION("""COMPUTED_VALUE"""),"Excellent")</f>
        <v>Excellent</v>
      </c>
      <c r="Z2311" t="str">
        <f>IFERROR(__xludf.DUMMYFUNCTION("""COMPUTED_VALUE"""),"Excellent")</f>
        <v>Excellent</v>
      </c>
      <c r="AA2311" t="str">
        <f>IFERROR(__xludf.DUMMYFUNCTION("""COMPUTED_VALUE"""),"Excellent")</f>
        <v>Excellent</v>
      </c>
      <c r="AB2311" t="str">
        <f>IFERROR(__xludf.DUMMYFUNCTION("""COMPUTED_VALUE"""),"Excellent")</f>
        <v>Excellent</v>
      </c>
      <c r="AC2311">
        <f>IFERROR(__xludf.DUMMYFUNCTION("""COMPUTED_VALUE"""),0.0)</f>
        <v>0</v>
      </c>
      <c r="AD2311">
        <f>IFERROR(__xludf.DUMMYFUNCTION("""COMPUTED_VALUE"""),0.0)</f>
        <v>0</v>
      </c>
      <c r="AE2311">
        <f>IFERROR(__xludf.DUMMYFUNCTION("""COMPUTED_VALUE"""),0.0)</f>
        <v>0</v>
      </c>
      <c r="AG2311" t="str">
        <f>IFERROR(__xludf.DUMMYFUNCTION("""COMPUTED_VALUE"""),"VIN in Source Code 1/26. Delivery appt. for 2/12. Ready on 2/11, I postponed to 2/14.")</f>
        <v>VIN in Source Code 1/26. Delivery appt. for 2/12. Ready on 2/11, I postponed to 2/14.</v>
      </c>
      <c r="AH2311" s="189">
        <f>IFERROR(__xludf.DUMMYFUNCTION("""COMPUTED_VALUE"""),43879.42601136574)</f>
        <v>43879.42601</v>
      </c>
    </row>
    <row r="2312">
      <c r="A2312" t="str">
        <f>IFERROR(__xludf.DUMMYFUNCTION("""COMPUTED_VALUE"""),"IslandMan")</f>
        <v>IslandMan</v>
      </c>
      <c r="B2312" t="str">
        <f>IFERROR(__xludf.DUMMYFUNCTION("""COMPUTED_VALUE"""),"Seattle")</f>
        <v>Seattle</v>
      </c>
      <c r="C2312" t="str">
        <f>IFERROR(__xludf.DUMMYFUNCTION("""COMPUTED_VALUE"""),"WA")</f>
        <v>WA</v>
      </c>
      <c r="D2312" t="str">
        <f>IFERROR(__xludf.DUMMYFUNCTION("""COMPUTED_VALUE"""),"USA")</f>
        <v>USA</v>
      </c>
      <c r="E2312" s="188">
        <f>IFERROR(__xludf.DUMMYFUNCTION("""COMPUTED_VALUE"""),43878.0)</f>
        <v>43878</v>
      </c>
      <c r="F2312" s="188">
        <f>IFERROR(__xludf.DUMMYFUNCTION("""COMPUTED_VALUE"""),43878.0)</f>
        <v>43878</v>
      </c>
      <c r="H2312" s="4">
        <f>IFERROR(__xludf.DUMMYFUNCTION("""COMPUTED_VALUE"""),632594.0)</f>
        <v>632594</v>
      </c>
      <c r="I2312" t="str">
        <f>IFERROR(__xludf.DUMMYFUNCTION("""COMPUTED_VALUE"""),"12/19")</f>
        <v>12/19</v>
      </c>
      <c r="J2312" s="5">
        <f>IFERROR(__xludf.DUMMYFUNCTION("""COMPUTED_VALUE"""),43882.0)</f>
        <v>43882</v>
      </c>
      <c r="K2312">
        <f>IFERROR(__xludf.DUMMYFUNCTION("""COMPUTED_VALUE"""),0.0)</f>
        <v>0</v>
      </c>
      <c r="L2312">
        <f>IFERROR(__xludf.DUMMYFUNCTION("""COMPUTED_VALUE"""),4.0)</f>
        <v>4</v>
      </c>
      <c r="M2312">
        <f>IFERROR(__xludf.DUMMYFUNCTION("""COMPUTED_VALUE"""),4.0)</f>
        <v>4</v>
      </c>
      <c r="N2312" t="str">
        <f>IFERROR(__xludf.DUMMYFUNCTION("""COMPUTED_VALUE"""),"Model 3 SR+")</f>
        <v>Model 3 SR+</v>
      </c>
      <c r="O2312" t="str">
        <f>IFERROR(__xludf.DUMMYFUNCTION("""COMPUTED_VALUE"""),"Pearl White Multi-Coat")</f>
        <v>Pearl White Multi-Coat</v>
      </c>
      <c r="P2312" t="str">
        <f>IFERROR(__xludf.DUMMYFUNCTION("""COMPUTED_VALUE"""),"18 inch Aero")</f>
        <v>18 inch Aero</v>
      </c>
      <c r="Q2312" t="str">
        <f>IFERROR(__xludf.DUMMYFUNCTION("""COMPUTED_VALUE"""),"Black seats")</f>
        <v>Black seats</v>
      </c>
      <c r="R2312" t="str">
        <f>IFERROR(__xludf.DUMMYFUNCTION("""COMPUTED_VALUE"""),"Autopilot")</f>
        <v>Autopilot</v>
      </c>
      <c r="X2312" t="str">
        <f>IFERROR(__xludf.DUMMYFUNCTION("""COMPUTED_VALUE"""),"Excellent")</f>
        <v>Excellent</v>
      </c>
      <c r="Y2312" t="str">
        <f>IFERROR(__xludf.DUMMYFUNCTION("""COMPUTED_VALUE"""),"Excellent")</f>
        <v>Excellent</v>
      </c>
      <c r="Z2312" t="str">
        <f>IFERROR(__xludf.DUMMYFUNCTION("""COMPUTED_VALUE"""),"Excellent")</f>
        <v>Excellent</v>
      </c>
      <c r="AA2312" t="str">
        <f>IFERROR(__xludf.DUMMYFUNCTION("""COMPUTED_VALUE"""),"Excellent")</f>
        <v>Excellent</v>
      </c>
      <c r="AB2312" t="str">
        <f>IFERROR(__xludf.DUMMYFUNCTION("""COMPUTED_VALUE"""),"Excellent")</f>
        <v>Excellent</v>
      </c>
      <c r="AC2312">
        <f>IFERROR(__xludf.DUMMYFUNCTION("""COMPUTED_VALUE"""),0.0)</f>
        <v>0</v>
      </c>
      <c r="AD2312">
        <f>IFERROR(__xludf.DUMMYFUNCTION("""COMPUTED_VALUE"""),0.0)</f>
        <v>0</v>
      </c>
      <c r="AE2312">
        <f>IFERROR(__xludf.DUMMYFUNCTION("""COMPUTED_VALUE"""),0.0)</f>
        <v>0</v>
      </c>
      <c r="AH2312" s="189">
        <f>IFERROR(__xludf.DUMMYFUNCTION("""COMPUTED_VALUE"""),43883.810619317126)</f>
        <v>43883.81062</v>
      </c>
    </row>
    <row r="2313">
      <c r="A2313" t="str">
        <f>IFERROR(__xludf.DUMMYFUNCTION("""COMPUTED_VALUE"""),"leonine0")</f>
        <v>leonine0</v>
      </c>
      <c r="B2313" t="str">
        <f>IFERROR(__xludf.DUMMYFUNCTION("""COMPUTED_VALUE"""),"Santa Clara")</f>
        <v>Santa Clara</v>
      </c>
      <c r="C2313" t="str">
        <f>IFERROR(__xludf.DUMMYFUNCTION("""COMPUTED_VALUE"""),"CA")</f>
        <v>CA</v>
      </c>
      <c r="D2313" t="str">
        <f>IFERROR(__xludf.DUMMYFUNCTION("""COMPUTED_VALUE"""),"USA")</f>
        <v>USA</v>
      </c>
      <c r="E2313" s="188">
        <f>IFERROR(__xludf.DUMMYFUNCTION("""COMPUTED_VALUE"""),43860.0)</f>
        <v>43860</v>
      </c>
      <c r="F2313" s="188">
        <f>IFERROR(__xludf.DUMMYFUNCTION("""COMPUTED_VALUE"""),43883.0)</f>
        <v>43883</v>
      </c>
      <c r="J2313" s="5">
        <f>IFERROR(__xludf.DUMMYFUNCTION("""COMPUTED_VALUE"""),43884.0)</f>
        <v>43884</v>
      </c>
      <c r="K2313">
        <f>IFERROR(__xludf.DUMMYFUNCTION("""COMPUTED_VALUE"""),23.0)</f>
        <v>23</v>
      </c>
      <c r="L2313">
        <f>IFERROR(__xludf.DUMMYFUNCTION("""COMPUTED_VALUE"""),1.0)</f>
        <v>1</v>
      </c>
      <c r="M2313">
        <f>IFERROR(__xludf.DUMMYFUNCTION("""COMPUTED_VALUE"""),24.0)</f>
        <v>24</v>
      </c>
      <c r="N2313" t="str">
        <f>IFERROR(__xludf.DUMMYFUNCTION("""COMPUTED_VALUE"""),"Model 3 SR")</f>
        <v>Model 3 SR</v>
      </c>
      <c r="O2313" t="str">
        <f>IFERROR(__xludf.DUMMYFUNCTION("""COMPUTED_VALUE"""),"Midnight Silver Metallic")</f>
        <v>Midnight Silver Metallic</v>
      </c>
      <c r="P2313" t="str">
        <f>IFERROR(__xludf.DUMMYFUNCTION("""COMPUTED_VALUE"""),"18 inch Aero")</f>
        <v>18 inch Aero</v>
      </c>
      <c r="Q2313" t="str">
        <f>IFERROR(__xludf.DUMMYFUNCTION("""COMPUTED_VALUE"""),"Black seats")</f>
        <v>Black seats</v>
      </c>
      <c r="AA2313" t="str">
        <f>IFERROR(__xludf.DUMMYFUNCTION("""COMPUTED_VALUE"""),"Very Good")</f>
        <v>Very Good</v>
      </c>
      <c r="AB2313" t="str">
        <f>IFERROR(__xludf.DUMMYFUNCTION("""COMPUTED_VALUE"""),"Very Good")</f>
        <v>Very Good</v>
      </c>
      <c r="AC2313">
        <f>IFERROR(__xludf.DUMMYFUNCTION("""COMPUTED_VALUE"""),0.0)</f>
        <v>0</v>
      </c>
      <c r="AH2313" s="189">
        <f>IFERROR(__xludf.DUMMYFUNCTION("""COMPUTED_VALUE"""),43885.52576015046)</f>
        <v>43885.52576</v>
      </c>
    </row>
    <row r="2314">
      <c r="A2314" t="str">
        <f>IFERROR(__xludf.DUMMYFUNCTION("""COMPUTED_VALUE"""),"wendy1969")</f>
        <v>wendy1969</v>
      </c>
      <c r="B2314" t="str">
        <f>IFERROR(__xludf.DUMMYFUNCTION("""COMPUTED_VALUE"""),"Redondo Beach")</f>
        <v>Redondo Beach</v>
      </c>
      <c r="C2314" t="str">
        <f>IFERROR(__xludf.DUMMYFUNCTION("""COMPUTED_VALUE"""),"CA")</f>
        <v>CA</v>
      </c>
      <c r="D2314" t="str">
        <f>IFERROR(__xludf.DUMMYFUNCTION("""COMPUTED_VALUE"""),"USA")</f>
        <v>USA</v>
      </c>
      <c r="E2314" s="188">
        <f>IFERROR(__xludf.DUMMYFUNCTION("""COMPUTED_VALUE"""),43845.0)</f>
        <v>43845</v>
      </c>
      <c r="F2314" s="188">
        <f>IFERROR(__xludf.DUMMYFUNCTION("""COMPUTED_VALUE"""),43882.0)</f>
        <v>43882</v>
      </c>
      <c r="H2314">
        <f>IFERROR(__xludf.DUMMYFUNCTION("""COMPUTED_VALUE"""),639547.0)</f>
        <v>639547</v>
      </c>
      <c r="J2314" s="5">
        <f>IFERROR(__xludf.DUMMYFUNCTION("""COMPUTED_VALUE"""),43884.0)</f>
        <v>43884</v>
      </c>
      <c r="K2314">
        <f>IFERROR(__xludf.DUMMYFUNCTION("""COMPUTED_VALUE"""),37.0)</f>
        <v>37</v>
      </c>
      <c r="L2314">
        <f>IFERROR(__xludf.DUMMYFUNCTION("""COMPUTED_VALUE"""),2.0)</f>
        <v>2</v>
      </c>
      <c r="M2314">
        <f>IFERROR(__xludf.DUMMYFUNCTION("""COMPUTED_VALUE"""),39.0)</f>
        <v>39</v>
      </c>
      <c r="N2314" t="str">
        <f>IFERROR(__xludf.DUMMYFUNCTION("""COMPUTED_VALUE"""),"Model 3 LR AWD")</f>
        <v>Model 3 LR AWD</v>
      </c>
      <c r="O2314" t="str">
        <f>IFERROR(__xludf.DUMMYFUNCTION("""COMPUTED_VALUE"""),"Pearl White Multi-Coat")</f>
        <v>Pearl White Multi-Coat</v>
      </c>
      <c r="P2314" t="str">
        <f>IFERROR(__xludf.DUMMYFUNCTION("""COMPUTED_VALUE"""),"18 inch Aero")</f>
        <v>18 inch Aero</v>
      </c>
      <c r="Q2314" t="str">
        <f>IFERROR(__xludf.DUMMYFUNCTION("""COMPUTED_VALUE"""),"White seats")</f>
        <v>White seats</v>
      </c>
      <c r="R2314" t="str">
        <f>IFERROR(__xludf.DUMMYFUNCTION("""COMPUTED_VALUE"""),"Autopilot")</f>
        <v>Autopilot</v>
      </c>
      <c r="X2314" t="str">
        <f>IFERROR(__xludf.DUMMYFUNCTION("""COMPUTED_VALUE"""),"Excellent")</f>
        <v>Excellent</v>
      </c>
      <c r="Y2314" t="str">
        <f>IFERROR(__xludf.DUMMYFUNCTION("""COMPUTED_VALUE"""),"Excellent")</f>
        <v>Excellent</v>
      </c>
      <c r="Z2314" t="str">
        <f>IFERROR(__xludf.DUMMYFUNCTION("""COMPUTED_VALUE"""),"Excellent")</f>
        <v>Excellent</v>
      </c>
      <c r="AA2314" t="str">
        <f>IFERROR(__xludf.DUMMYFUNCTION("""COMPUTED_VALUE"""),"Fair")</f>
        <v>Fair</v>
      </c>
      <c r="AB2314" t="str">
        <f>IFERROR(__xludf.DUMMYFUNCTION("""COMPUTED_VALUE"""),"Excellent")</f>
        <v>Excellent</v>
      </c>
      <c r="AH2314" s="189">
        <f>IFERROR(__xludf.DUMMYFUNCTION("""COMPUTED_VALUE"""),43885.60772487269)</f>
        <v>43885.60772</v>
      </c>
    </row>
    <row r="2315">
      <c r="A2315" t="str">
        <f>IFERROR(__xludf.DUMMYFUNCTION("""COMPUTED_VALUE"""),"originalzaphod")</f>
        <v>originalzaphod</v>
      </c>
      <c r="B2315" t="str">
        <f>IFERROR(__xludf.DUMMYFUNCTION("""COMPUTED_VALUE"""),"Dublin, Ireland")</f>
        <v>Dublin, Ireland</v>
      </c>
      <c r="D2315" t="str">
        <f>IFERROR(__xludf.DUMMYFUNCTION("""COMPUTED_VALUE"""),"Other (include country together with city)")</f>
        <v>Other (include country together with city)</v>
      </c>
      <c r="E2315" s="188">
        <f>IFERROR(__xludf.DUMMYFUNCTION("""COMPUTED_VALUE"""),43839.0)</f>
        <v>43839</v>
      </c>
      <c r="F2315" s="188">
        <f>IFERROR(__xludf.DUMMYFUNCTION("""COMPUTED_VALUE"""),43846.0)</f>
        <v>43846</v>
      </c>
      <c r="H2315">
        <f>IFERROR(__xludf.DUMMYFUNCTION("""COMPUTED_VALUE"""),582955.0)</f>
        <v>582955</v>
      </c>
      <c r="J2315" s="5">
        <f>IFERROR(__xludf.DUMMYFUNCTION("""COMPUTED_VALUE"""),43873.0)</f>
        <v>43873</v>
      </c>
      <c r="K2315">
        <f>IFERROR(__xludf.DUMMYFUNCTION("""COMPUTED_VALUE"""),7.0)</f>
        <v>7</v>
      </c>
      <c r="L2315">
        <f>IFERROR(__xludf.DUMMYFUNCTION("""COMPUTED_VALUE"""),27.0)</f>
        <v>27</v>
      </c>
      <c r="M2315">
        <f>IFERROR(__xludf.DUMMYFUNCTION("""COMPUTED_VALUE"""),34.0)</f>
        <v>34</v>
      </c>
      <c r="N2315" t="str">
        <f>IFERROR(__xludf.DUMMYFUNCTION("""COMPUTED_VALUE"""),"Model 3 Performance")</f>
        <v>Model 3 Performance</v>
      </c>
      <c r="O2315" t="str">
        <f>IFERROR(__xludf.DUMMYFUNCTION("""COMPUTED_VALUE"""),"Pearl White Multi-Coat")</f>
        <v>Pearl White Multi-Coat</v>
      </c>
      <c r="P2315" t="str">
        <f>IFERROR(__xludf.DUMMYFUNCTION("""COMPUTED_VALUE"""),"20 inch Sport")</f>
        <v>20 inch Sport</v>
      </c>
      <c r="Q2315" t="str">
        <f>IFERROR(__xludf.DUMMYFUNCTION("""COMPUTED_VALUE"""),"Black seats")</f>
        <v>Black seats</v>
      </c>
      <c r="R2315" t="str">
        <f>IFERROR(__xludf.DUMMYFUNCTION("""COMPUTED_VALUE"""),"Autopilot")</f>
        <v>Autopilot</v>
      </c>
      <c r="X2315" t="str">
        <f>IFERROR(__xludf.DUMMYFUNCTION("""COMPUTED_VALUE"""),"Very Good")</f>
        <v>Very Good</v>
      </c>
      <c r="Y2315" t="str">
        <f>IFERROR(__xludf.DUMMYFUNCTION("""COMPUTED_VALUE"""),"Good")</f>
        <v>Good</v>
      </c>
      <c r="Z2315" t="str">
        <f>IFERROR(__xludf.DUMMYFUNCTION("""COMPUTED_VALUE"""),"Very Good")</f>
        <v>Very Good</v>
      </c>
      <c r="AA2315" t="str">
        <f>IFERROR(__xludf.DUMMYFUNCTION("""COMPUTED_VALUE"""),"Very Good")</f>
        <v>Very Good</v>
      </c>
      <c r="AB2315" t="str">
        <f>IFERROR(__xludf.DUMMYFUNCTION("""COMPUTED_VALUE"""),"Very Good")</f>
        <v>Very Good</v>
      </c>
      <c r="AC2315">
        <f>IFERROR(__xludf.DUMMYFUNCTION("""COMPUTED_VALUE"""),2.0)</f>
        <v>2</v>
      </c>
      <c r="AD2315">
        <f>IFERROR(__xludf.DUMMYFUNCTION("""COMPUTED_VALUE"""),1.0)</f>
        <v>1</v>
      </c>
      <c r="AH2315" s="189">
        <f>IFERROR(__xludf.DUMMYFUNCTION("""COMPUTED_VALUE"""),43887.52420305555)</f>
        <v>43887.5242</v>
      </c>
    </row>
    <row r="2316">
      <c r="A2316" t="str">
        <f>IFERROR(__xludf.DUMMYFUNCTION("""COMPUTED_VALUE"""),"Wardenclyffe")</f>
        <v>Wardenclyffe</v>
      </c>
      <c r="B2316" t="str">
        <f>IFERROR(__xludf.DUMMYFUNCTION("""COMPUTED_VALUE"""),"Fresno")</f>
        <v>Fresno</v>
      </c>
      <c r="C2316" t="str">
        <f>IFERROR(__xludf.DUMMYFUNCTION("""COMPUTED_VALUE"""),"CA")</f>
        <v>CA</v>
      </c>
      <c r="D2316" t="str">
        <f>IFERROR(__xludf.DUMMYFUNCTION("""COMPUTED_VALUE"""),"USA")</f>
        <v>USA</v>
      </c>
      <c r="E2316" s="188">
        <f>IFERROR(__xludf.DUMMYFUNCTION("""COMPUTED_VALUE"""),43858.0)</f>
        <v>43858</v>
      </c>
      <c r="F2316" s="188">
        <f>IFERROR(__xludf.DUMMYFUNCTION("""COMPUTED_VALUE"""),43881.0)</f>
        <v>43881</v>
      </c>
      <c r="H2316">
        <f>IFERROR(__xludf.DUMMYFUNCTION("""COMPUTED_VALUE"""),642655.0)</f>
        <v>642655</v>
      </c>
      <c r="J2316" s="5">
        <f>IFERROR(__xludf.DUMMYFUNCTION("""COMPUTED_VALUE"""),43886.0)</f>
        <v>43886</v>
      </c>
      <c r="K2316">
        <f>IFERROR(__xludf.DUMMYFUNCTION("""COMPUTED_VALUE"""),23.0)</f>
        <v>23</v>
      </c>
      <c r="L2316">
        <f>IFERROR(__xludf.DUMMYFUNCTION("""COMPUTED_VALUE"""),5.0)</f>
        <v>5</v>
      </c>
      <c r="M2316">
        <f>IFERROR(__xludf.DUMMYFUNCTION("""COMPUTED_VALUE"""),28.0)</f>
        <v>28</v>
      </c>
      <c r="N2316" t="str">
        <f>IFERROR(__xludf.DUMMYFUNCTION("""COMPUTED_VALUE"""),"Model 3 SR+")</f>
        <v>Model 3 SR+</v>
      </c>
      <c r="O2316" t="str">
        <f>IFERROR(__xludf.DUMMYFUNCTION("""COMPUTED_VALUE"""),"Pearl White Multi-Coat")</f>
        <v>Pearl White Multi-Coat</v>
      </c>
      <c r="P2316" t="str">
        <f>IFERROR(__xludf.DUMMYFUNCTION("""COMPUTED_VALUE"""),"18 inch Aero")</f>
        <v>18 inch Aero</v>
      </c>
      <c r="Q2316" t="str">
        <f>IFERROR(__xludf.DUMMYFUNCTION("""COMPUTED_VALUE"""),"Black seats")</f>
        <v>Black seats</v>
      </c>
      <c r="R2316" t="str">
        <f>IFERROR(__xludf.DUMMYFUNCTION("""COMPUTED_VALUE"""),"Autopilot")</f>
        <v>Autopilot</v>
      </c>
      <c r="X2316" t="str">
        <f>IFERROR(__xludf.DUMMYFUNCTION("""COMPUTED_VALUE"""),"Excellent")</f>
        <v>Excellent</v>
      </c>
      <c r="Y2316" t="str">
        <f>IFERROR(__xludf.DUMMYFUNCTION("""COMPUTED_VALUE"""),"Excellent")</f>
        <v>Excellent</v>
      </c>
      <c r="Z2316" t="str">
        <f>IFERROR(__xludf.DUMMYFUNCTION("""COMPUTED_VALUE"""),"Excellent")</f>
        <v>Excellent</v>
      </c>
      <c r="AA2316" t="str">
        <f>IFERROR(__xludf.DUMMYFUNCTION("""COMPUTED_VALUE"""),"Poor")</f>
        <v>Poor</v>
      </c>
      <c r="AB2316" t="str">
        <f>IFERROR(__xludf.DUMMYFUNCTION("""COMPUTED_VALUE"""),"Good")</f>
        <v>Good</v>
      </c>
      <c r="AG2316" t="str">
        <f>IFERROR(__xludf.DUMMYFUNCTION("""COMPUTED_VALUE"""),"2/25 - picked up and drive 190 miles, slight pull to the right, which has lessened.  2/20 - VIN is in Source Code &amp; payment request.  Received a 2/6 text notification saying 2-5 weeks, got another text 2/13 saying the same thing")</f>
        <v>2/25 - picked up and drive 190 miles, slight pull to the right, which has lessened.  2/20 - VIN is in Source Code &amp; payment request.  Received a 2/6 text notification saying 2-5 weeks, got another text 2/13 saying the same thing</v>
      </c>
      <c r="AH2316" s="189">
        <f>IFERROR(__xludf.DUMMYFUNCTION("""COMPUTED_VALUE"""),43887.52628831018)</f>
        <v>43887.52629</v>
      </c>
    </row>
    <row r="2317">
      <c r="A2317" t="str">
        <f>IFERROR(__xludf.DUMMYFUNCTION("""COMPUTED_VALUE"""),"Taco-Time")</f>
        <v>Taco-Time</v>
      </c>
      <c r="B2317" t="str">
        <f>IFERROR(__xludf.DUMMYFUNCTION("""COMPUTED_VALUE"""),"Seattle")</f>
        <v>Seattle</v>
      </c>
      <c r="C2317" t="str">
        <f>IFERROR(__xludf.DUMMYFUNCTION("""COMPUTED_VALUE"""),"WA")</f>
        <v>WA</v>
      </c>
      <c r="D2317" t="str">
        <f>IFERROR(__xludf.DUMMYFUNCTION("""COMPUTED_VALUE"""),"USA")</f>
        <v>USA</v>
      </c>
      <c r="E2317" s="188">
        <f>IFERROR(__xludf.DUMMYFUNCTION("""COMPUTED_VALUE"""),43204.0)</f>
        <v>43204</v>
      </c>
      <c r="F2317" s="188">
        <f>IFERROR(__xludf.DUMMYFUNCTION("""COMPUTED_VALUE"""),43222.0)</f>
        <v>43222</v>
      </c>
      <c r="H2317">
        <f>IFERROR(__xludf.DUMMYFUNCTION("""COMPUTED_VALUE"""),18555.0)</f>
        <v>18555</v>
      </c>
      <c r="J2317" s="5">
        <f>IFERROR(__xludf.DUMMYFUNCTION("""COMPUTED_VALUE"""),43239.0)</f>
        <v>43239</v>
      </c>
      <c r="K2317">
        <f>IFERROR(__xludf.DUMMYFUNCTION("""COMPUTED_VALUE"""),18.0)</f>
        <v>18</v>
      </c>
      <c r="L2317">
        <f>IFERROR(__xludf.DUMMYFUNCTION("""COMPUTED_VALUE"""),17.0)</f>
        <v>17</v>
      </c>
      <c r="M2317">
        <f>IFERROR(__xludf.DUMMYFUNCTION("""COMPUTED_VALUE"""),35.0)</f>
        <v>35</v>
      </c>
      <c r="N2317" t="str">
        <f>IFERROR(__xludf.DUMMYFUNCTION("""COMPUTED_VALUE"""),"Model 3 LR")</f>
        <v>Model 3 LR</v>
      </c>
      <c r="O2317" t="str">
        <f>IFERROR(__xludf.DUMMYFUNCTION("""COMPUTED_VALUE"""),"Solid Black")</f>
        <v>Solid Black</v>
      </c>
      <c r="P2317" t="str">
        <f>IFERROR(__xludf.DUMMYFUNCTION("""COMPUTED_VALUE"""),"18 inch Aero")</f>
        <v>18 inch Aero</v>
      </c>
      <c r="Q2317" t="str">
        <f>IFERROR(__xludf.DUMMYFUNCTION("""COMPUTED_VALUE"""),"Black seats")</f>
        <v>Black seats</v>
      </c>
      <c r="AC2317">
        <f>IFERROR(__xludf.DUMMYFUNCTION("""COMPUTED_VALUE"""),0.0)</f>
        <v>0</v>
      </c>
      <c r="AD2317">
        <f>IFERROR(__xludf.DUMMYFUNCTION("""COMPUTED_VALUE"""),1.0)</f>
        <v>1</v>
      </c>
      <c r="AH2317" s="189">
        <f>IFERROR(__xludf.DUMMYFUNCTION("""COMPUTED_VALUE"""),43887.68020701389)</f>
        <v>43887.68021</v>
      </c>
    </row>
    <row r="2318">
      <c r="A2318" t="str">
        <f>IFERROR(__xludf.DUMMYFUNCTION("""COMPUTED_VALUE"""),"fiddlerwoaroof")</f>
        <v>fiddlerwoaroof</v>
      </c>
      <c r="B2318" t="str">
        <f>IFERROR(__xludf.DUMMYFUNCTION("""COMPUTED_VALUE"""),"Ventura")</f>
        <v>Ventura</v>
      </c>
      <c r="C2318" t="str">
        <f>IFERROR(__xludf.DUMMYFUNCTION("""COMPUTED_VALUE"""),"CA")</f>
        <v>CA</v>
      </c>
      <c r="D2318" t="str">
        <f>IFERROR(__xludf.DUMMYFUNCTION("""COMPUTED_VALUE"""),"USA")</f>
        <v>USA</v>
      </c>
      <c r="E2318" s="188">
        <f>IFERROR(__xludf.DUMMYFUNCTION("""COMPUTED_VALUE"""),43862.0)</f>
        <v>43862</v>
      </c>
      <c r="F2318" s="188">
        <f>IFERROR(__xludf.DUMMYFUNCTION("""COMPUTED_VALUE"""),43886.0)</f>
        <v>43886</v>
      </c>
      <c r="H2318">
        <f>IFERROR(__xludf.DUMMYFUNCTION("""COMPUTED_VALUE"""),650955.0)</f>
        <v>650955</v>
      </c>
      <c r="J2318" s="5">
        <f>IFERROR(__xludf.DUMMYFUNCTION("""COMPUTED_VALUE"""),43887.0)</f>
        <v>43887</v>
      </c>
      <c r="K2318">
        <f>IFERROR(__xludf.DUMMYFUNCTION("""COMPUTED_VALUE"""),24.0)</f>
        <v>24</v>
      </c>
      <c r="L2318">
        <f>IFERROR(__xludf.DUMMYFUNCTION("""COMPUTED_VALUE"""),1.0)</f>
        <v>1</v>
      </c>
      <c r="M2318">
        <f>IFERROR(__xludf.DUMMYFUNCTION("""COMPUTED_VALUE"""),25.0)</f>
        <v>25</v>
      </c>
      <c r="N2318" t="str">
        <f>IFERROR(__xludf.DUMMYFUNCTION("""COMPUTED_VALUE"""),"Model 3 LR AWD")</f>
        <v>Model 3 LR AWD</v>
      </c>
      <c r="O2318" t="str">
        <f>IFERROR(__xludf.DUMMYFUNCTION("""COMPUTED_VALUE"""),"Midnight Silver Metallic")</f>
        <v>Midnight Silver Metallic</v>
      </c>
      <c r="P2318" t="str">
        <f>IFERROR(__xludf.DUMMYFUNCTION("""COMPUTED_VALUE"""),"19 inch Sport")</f>
        <v>19 inch Sport</v>
      </c>
      <c r="Q2318" t="str">
        <f>IFERROR(__xludf.DUMMYFUNCTION("""COMPUTED_VALUE"""),"Black seats")</f>
        <v>Black seats</v>
      </c>
      <c r="R2318" t="str">
        <f>IFERROR(__xludf.DUMMYFUNCTION("""COMPUTED_VALUE"""),"Autopilot")</f>
        <v>Autopilot</v>
      </c>
      <c r="X2318" t="str">
        <f>IFERROR(__xludf.DUMMYFUNCTION("""COMPUTED_VALUE"""),"Excellent")</f>
        <v>Excellent</v>
      </c>
      <c r="Y2318" t="str">
        <f>IFERROR(__xludf.DUMMYFUNCTION("""COMPUTED_VALUE"""),"Excellent")</f>
        <v>Excellent</v>
      </c>
      <c r="Z2318" t="str">
        <f>IFERROR(__xludf.DUMMYFUNCTION("""COMPUTED_VALUE"""),"Excellent")</f>
        <v>Excellent</v>
      </c>
      <c r="AA2318" t="str">
        <f>IFERROR(__xludf.DUMMYFUNCTION("""COMPUTED_VALUE"""),"Excellent")</f>
        <v>Excellent</v>
      </c>
      <c r="AB2318" t="str">
        <f>IFERROR(__xludf.DUMMYFUNCTION("""COMPUTED_VALUE"""),"Excellent")</f>
        <v>Excellent</v>
      </c>
      <c r="AH2318" s="189">
        <f>IFERROR(__xludf.DUMMYFUNCTION("""COMPUTED_VALUE"""),43888.01374498842)</f>
        <v>43888.01374</v>
      </c>
    </row>
    <row r="2319">
      <c r="A2319" t="str">
        <f>IFERROR(__xludf.DUMMYFUNCTION("""COMPUTED_VALUE"""),"trescomas")</f>
        <v>trescomas</v>
      </c>
      <c r="B2319" t="str">
        <f>IFERROR(__xludf.DUMMYFUNCTION("""COMPUTED_VALUE"""),"SF")</f>
        <v>SF</v>
      </c>
      <c r="C2319" t="str">
        <f>IFERROR(__xludf.DUMMYFUNCTION("""COMPUTED_VALUE"""),"CA")</f>
        <v>CA</v>
      </c>
      <c r="D2319" t="str">
        <f>IFERROR(__xludf.DUMMYFUNCTION("""COMPUTED_VALUE"""),"USA")</f>
        <v>USA</v>
      </c>
      <c r="E2319" s="188">
        <f>IFERROR(__xludf.DUMMYFUNCTION("""COMPUTED_VALUE"""),43846.0)</f>
        <v>43846</v>
      </c>
      <c r="F2319" s="188">
        <f>IFERROR(__xludf.DUMMYFUNCTION("""COMPUTED_VALUE"""),43885.0)</f>
        <v>43885</v>
      </c>
      <c r="H2319">
        <f>IFERROR(__xludf.DUMMYFUNCTION("""COMPUTED_VALUE"""),636935.0)</f>
        <v>636935</v>
      </c>
      <c r="J2319" s="5">
        <f>IFERROR(__xludf.DUMMYFUNCTION("""COMPUTED_VALUE"""),43888.0)</f>
        <v>43888</v>
      </c>
      <c r="K2319">
        <f>IFERROR(__xludf.DUMMYFUNCTION("""COMPUTED_VALUE"""),39.0)</f>
        <v>39</v>
      </c>
      <c r="L2319">
        <f>IFERROR(__xludf.DUMMYFUNCTION("""COMPUTED_VALUE"""),3.0)</f>
        <v>3</v>
      </c>
      <c r="M2319">
        <f>IFERROR(__xludf.DUMMYFUNCTION("""COMPUTED_VALUE"""),42.0)</f>
        <v>42</v>
      </c>
      <c r="N2319" t="str">
        <f>IFERROR(__xludf.DUMMYFUNCTION("""COMPUTED_VALUE"""),"Model 3 LR AWD")</f>
        <v>Model 3 LR AWD</v>
      </c>
      <c r="O2319" t="str">
        <f>IFERROR(__xludf.DUMMYFUNCTION("""COMPUTED_VALUE"""),"Pearl White Multi-Coat")</f>
        <v>Pearl White Multi-Coat</v>
      </c>
      <c r="P2319" t="str">
        <f>IFERROR(__xludf.DUMMYFUNCTION("""COMPUTED_VALUE"""),"18 inch Aero")</f>
        <v>18 inch Aero</v>
      </c>
      <c r="Q2319" t="str">
        <f>IFERROR(__xludf.DUMMYFUNCTION("""COMPUTED_VALUE"""),"Black seats")</f>
        <v>Black seats</v>
      </c>
      <c r="R2319" t="str">
        <f>IFERROR(__xludf.DUMMYFUNCTION("""COMPUTED_VALUE"""),"Autopilot")</f>
        <v>Autopilot</v>
      </c>
      <c r="X2319" t="str">
        <f>IFERROR(__xludf.DUMMYFUNCTION("""COMPUTED_VALUE"""),"Very Good")</f>
        <v>Very Good</v>
      </c>
      <c r="Y2319" t="str">
        <f>IFERROR(__xludf.DUMMYFUNCTION("""COMPUTED_VALUE"""),"Very Good")</f>
        <v>Very Good</v>
      </c>
      <c r="Z2319" t="str">
        <f>IFERROR(__xludf.DUMMYFUNCTION("""COMPUTED_VALUE"""),"Very Good")</f>
        <v>Very Good</v>
      </c>
      <c r="AA2319" t="str">
        <f>IFERROR(__xludf.DUMMYFUNCTION("""COMPUTED_VALUE"""),"Very Good")</f>
        <v>Very Good</v>
      </c>
      <c r="AB2319" t="str">
        <f>IFERROR(__xludf.DUMMYFUNCTION("""COMPUTED_VALUE"""),"Very Good")</f>
        <v>Very Good</v>
      </c>
      <c r="AG2319" t="str">
        <f>IFERROR(__xludf.DUMMYFUNCTION("""COMPUTED_VALUE"""),"Text on 1/24 - Estimated delivery in 1-5 weeks.")</f>
        <v>Text on 1/24 - Estimated delivery in 1-5 weeks.</v>
      </c>
      <c r="AH2319" s="189">
        <f>IFERROR(__xludf.DUMMYFUNCTION("""COMPUTED_VALUE"""),43888.68282960648)</f>
        <v>43888.68283</v>
      </c>
    </row>
    <row r="2320">
      <c r="A2320" t="str">
        <f>IFERROR(__xludf.DUMMYFUNCTION("""COMPUTED_VALUE"""),"Monk3y")</f>
        <v>Monk3y</v>
      </c>
      <c r="B2320" t="str">
        <f>IFERROR(__xludf.DUMMYFUNCTION("""COMPUTED_VALUE"""),"Plymouth")</f>
        <v>Plymouth</v>
      </c>
      <c r="C2320" t="str">
        <f>IFERROR(__xludf.DUMMYFUNCTION("""COMPUTED_VALUE"""),"CA")</f>
        <v>CA</v>
      </c>
      <c r="D2320" t="str">
        <f>IFERROR(__xludf.DUMMYFUNCTION("""COMPUTED_VALUE"""),"USA")</f>
        <v>USA</v>
      </c>
      <c r="E2320" s="188">
        <f>IFERROR(__xludf.DUMMYFUNCTION("""COMPUTED_VALUE"""),43864.0)</f>
        <v>43864</v>
      </c>
      <c r="F2320" s="188">
        <f>IFERROR(__xludf.DUMMYFUNCTION("""COMPUTED_VALUE"""),43885.0)</f>
        <v>43885</v>
      </c>
      <c r="H2320" s="4">
        <f>IFERROR(__xludf.DUMMYFUNCTION("""COMPUTED_VALUE"""),638421.0)</f>
        <v>638421</v>
      </c>
      <c r="J2320" s="5">
        <f>IFERROR(__xludf.DUMMYFUNCTION("""COMPUTED_VALUE"""),43887.0)</f>
        <v>43887</v>
      </c>
      <c r="K2320">
        <f>IFERROR(__xludf.DUMMYFUNCTION("""COMPUTED_VALUE"""),21.0)</f>
        <v>21</v>
      </c>
      <c r="L2320">
        <f>IFERROR(__xludf.DUMMYFUNCTION("""COMPUTED_VALUE"""),2.0)</f>
        <v>2</v>
      </c>
      <c r="M2320">
        <f>IFERROR(__xludf.DUMMYFUNCTION("""COMPUTED_VALUE"""),23.0)</f>
        <v>23</v>
      </c>
      <c r="N2320" t="str">
        <f>IFERROR(__xludf.DUMMYFUNCTION("""COMPUTED_VALUE"""),"Model 3 LR AWD")</f>
        <v>Model 3 LR AWD</v>
      </c>
      <c r="O2320" t="str">
        <f>IFERROR(__xludf.DUMMYFUNCTION("""COMPUTED_VALUE"""),"Pearl White Multi-Coat")</f>
        <v>Pearl White Multi-Coat</v>
      </c>
      <c r="P2320" t="str">
        <f>IFERROR(__xludf.DUMMYFUNCTION("""COMPUTED_VALUE"""),"19 inch Sport")</f>
        <v>19 inch Sport</v>
      </c>
      <c r="Q2320" t="str">
        <f>IFERROR(__xludf.DUMMYFUNCTION("""COMPUTED_VALUE"""),"Black seats")</f>
        <v>Black seats</v>
      </c>
      <c r="R2320" t="str">
        <f>IFERROR(__xludf.DUMMYFUNCTION("""COMPUTED_VALUE"""),"Autopilot")</f>
        <v>Autopilot</v>
      </c>
      <c r="X2320" t="str">
        <f>IFERROR(__xludf.DUMMYFUNCTION("""COMPUTED_VALUE"""),"Excellent")</f>
        <v>Excellent</v>
      </c>
      <c r="Y2320" t="str">
        <f>IFERROR(__xludf.DUMMYFUNCTION("""COMPUTED_VALUE"""),"Excellent")</f>
        <v>Excellent</v>
      </c>
      <c r="Z2320" t="str">
        <f>IFERROR(__xludf.DUMMYFUNCTION("""COMPUTED_VALUE"""),"Excellent")</f>
        <v>Excellent</v>
      </c>
      <c r="AA2320" t="str">
        <f>IFERROR(__xludf.DUMMYFUNCTION("""COMPUTED_VALUE"""),"Excellent")</f>
        <v>Excellent</v>
      </c>
      <c r="AB2320" t="str">
        <f>IFERROR(__xludf.DUMMYFUNCTION("""COMPUTED_VALUE"""),"Excellent")</f>
        <v>Excellent</v>
      </c>
      <c r="AG2320" t="str">
        <f>IFERROR(__xludf.DUMMYFUNCTION("""COMPUTED_VALUE"""),"2/24/20: VIN displayed in Source Code. Tesla called, said I could pickup on 2/26/2020")</f>
        <v>2/24/20: VIN displayed in Source Code. Tesla called, said I could pickup on 2/26/2020</v>
      </c>
      <c r="AH2320" s="189">
        <f>IFERROR(__xludf.DUMMYFUNCTION("""COMPUTED_VALUE"""),43889.88450936343)</f>
        <v>43889.88451</v>
      </c>
    </row>
    <row r="2321">
      <c r="A2321" t="str">
        <f>IFERROR(__xludf.DUMMYFUNCTION("""COMPUTED_VALUE"""),"Feard")</f>
        <v>Feard</v>
      </c>
      <c r="B2321" t="str">
        <f>IFERROR(__xludf.DUMMYFUNCTION("""COMPUTED_VALUE"""),"Austin ")</f>
        <v>Austin </v>
      </c>
      <c r="C2321" t="str">
        <f>IFERROR(__xludf.DUMMYFUNCTION("""COMPUTED_VALUE"""),"TX")</f>
        <v>TX</v>
      </c>
      <c r="D2321" t="str">
        <f>IFERROR(__xludf.DUMMYFUNCTION("""COMPUTED_VALUE"""),"USA")</f>
        <v>USA</v>
      </c>
      <c r="E2321" s="188">
        <f>IFERROR(__xludf.DUMMYFUNCTION("""COMPUTED_VALUE"""),43865.0)</f>
        <v>43865</v>
      </c>
      <c r="F2321" s="188">
        <f>IFERROR(__xludf.DUMMYFUNCTION("""COMPUTED_VALUE"""),43879.0)</f>
        <v>43879</v>
      </c>
      <c r="H2321" s="4">
        <f>IFERROR(__xludf.DUMMYFUNCTION("""COMPUTED_VALUE"""),615624.0)</f>
        <v>615624</v>
      </c>
      <c r="J2321" s="5">
        <f>IFERROR(__xludf.DUMMYFUNCTION("""COMPUTED_VALUE"""),43889.0)</f>
        <v>43889</v>
      </c>
      <c r="K2321">
        <f>IFERROR(__xludf.DUMMYFUNCTION("""COMPUTED_VALUE"""),14.0)</f>
        <v>14</v>
      </c>
      <c r="L2321">
        <f>IFERROR(__xludf.DUMMYFUNCTION("""COMPUTED_VALUE"""),10.0)</f>
        <v>10</v>
      </c>
      <c r="M2321">
        <f>IFERROR(__xludf.DUMMYFUNCTION("""COMPUTED_VALUE"""),24.0)</f>
        <v>24</v>
      </c>
      <c r="N2321" t="str">
        <f>IFERROR(__xludf.DUMMYFUNCTION("""COMPUTED_VALUE"""),"Model 3 SR+")</f>
        <v>Model 3 SR+</v>
      </c>
      <c r="O2321" t="str">
        <f>IFERROR(__xludf.DUMMYFUNCTION("""COMPUTED_VALUE"""),"Pearl White Multi-Coat")</f>
        <v>Pearl White Multi-Coat</v>
      </c>
      <c r="P2321" t="str">
        <f>IFERROR(__xludf.DUMMYFUNCTION("""COMPUTED_VALUE"""),"18 inch Aero")</f>
        <v>18 inch Aero</v>
      </c>
      <c r="Q2321" t="str">
        <f>IFERROR(__xludf.DUMMYFUNCTION("""COMPUTED_VALUE"""),"White seats")</f>
        <v>White seats</v>
      </c>
      <c r="R2321" t="str">
        <f>IFERROR(__xludf.DUMMYFUNCTION("""COMPUTED_VALUE"""),"Autopilot")</f>
        <v>Autopilot</v>
      </c>
      <c r="X2321" t="str">
        <f>IFERROR(__xludf.DUMMYFUNCTION("""COMPUTED_VALUE"""),"Excellent")</f>
        <v>Excellent</v>
      </c>
      <c r="Y2321" t="str">
        <f>IFERROR(__xludf.DUMMYFUNCTION("""COMPUTED_VALUE"""),"Excellent")</f>
        <v>Excellent</v>
      </c>
      <c r="Z2321" t="str">
        <f>IFERROR(__xludf.DUMMYFUNCTION("""COMPUTED_VALUE"""),"Excellent")</f>
        <v>Excellent</v>
      </c>
      <c r="AA2321" t="str">
        <f>IFERROR(__xludf.DUMMYFUNCTION("""COMPUTED_VALUE"""),"Excellent")</f>
        <v>Excellent</v>
      </c>
      <c r="AB2321" t="str">
        <f>IFERROR(__xludf.DUMMYFUNCTION("""COMPUTED_VALUE"""),"Excellent")</f>
        <v>Excellent</v>
      </c>
      <c r="AC2321">
        <f>IFERROR(__xludf.DUMMYFUNCTION("""COMPUTED_VALUE"""),0.0)</f>
        <v>0</v>
      </c>
      <c r="AH2321" s="189">
        <f>IFERROR(__xludf.DUMMYFUNCTION("""COMPUTED_VALUE"""),43890.25070538194)</f>
        <v>43890.25071</v>
      </c>
    </row>
    <row r="2322">
      <c r="A2322" t="str">
        <f>IFERROR(__xludf.DUMMYFUNCTION("""COMPUTED_VALUE"""),"baronlf")</f>
        <v>baronlf</v>
      </c>
      <c r="B2322" t="str">
        <f>IFERROR(__xludf.DUMMYFUNCTION("""COMPUTED_VALUE"""),"Miami")</f>
        <v>Miami</v>
      </c>
      <c r="C2322" t="str">
        <f>IFERROR(__xludf.DUMMYFUNCTION("""COMPUTED_VALUE"""),"FL")</f>
        <v>FL</v>
      </c>
      <c r="D2322" t="str">
        <f>IFERROR(__xludf.DUMMYFUNCTION("""COMPUTED_VALUE"""),"USA")</f>
        <v>USA</v>
      </c>
      <c r="E2322" s="188">
        <f>IFERROR(__xludf.DUMMYFUNCTION("""COMPUTED_VALUE"""),43844.0)</f>
        <v>43844</v>
      </c>
      <c r="F2322" s="188">
        <f>IFERROR(__xludf.DUMMYFUNCTION("""COMPUTED_VALUE"""),43878.0)</f>
        <v>43878</v>
      </c>
      <c r="H2322">
        <f>IFERROR(__xludf.DUMMYFUNCTION("""COMPUTED_VALUE"""),631090.0)</f>
        <v>631090</v>
      </c>
      <c r="J2322" s="5">
        <f>IFERROR(__xludf.DUMMYFUNCTION("""COMPUTED_VALUE"""),43889.0)</f>
        <v>43889</v>
      </c>
      <c r="K2322">
        <f>IFERROR(__xludf.DUMMYFUNCTION("""COMPUTED_VALUE"""),34.0)</f>
        <v>34</v>
      </c>
      <c r="L2322">
        <f>IFERROR(__xludf.DUMMYFUNCTION("""COMPUTED_VALUE"""),11.0)</f>
        <v>11</v>
      </c>
      <c r="M2322">
        <f>IFERROR(__xludf.DUMMYFUNCTION("""COMPUTED_VALUE"""),45.0)</f>
        <v>45</v>
      </c>
      <c r="N2322" t="str">
        <f>IFERROR(__xludf.DUMMYFUNCTION("""COMPUTED_VALUE"""),"Model 3 SR+")</f>
        <v>Model 3 SR+</v>
      </c>
      <c r="O2322" t="str">
        <f>IFERROR(__xludf.DUMMYFUNCTION("""COMPUTED_VALUE"""),"Deep Blue Metallic")</f>
        <v>Deep Blue Metallic</v>
      </c>
      <c r="P2322" t="str">
        <f>IFERROR(__xludf.DUMMYFUNCTION("""COMPUTED_VALUE"""),"18 inch Aero")</f>
        <v>18 inch Aero</v>
      </c>
      <c r="Q2322" t="str">
        <f>IFERROR(__xludf.DUMMYFUNCTION("""COMPUTED_VALUE"""),"Black seats")</f>
        <v>Black seats</v>
      </c>
      <c r="R2322" t="str">
        <f>IFERROR(__xludf.DUMMYFUNCTION("""COMPUTED_VALUE"""),"Autopilot")</f>
        <v>Autopilot</v>
      </c>
      <c r="X2322" t="str">
        <f>IFERROR(__xludf.DUMMYFUNCTION("""COMPUTED_VALUE"""),"Excellent")</f>
        <v>Excellent</v>
      </c>
      <c r="Y2322" t="str">
        <f>IFERROR(__xludf.DUMMYFUNCTION("""COMPUTED_VALUE"""),"Excellent")</f>
        <v>Excellent</v>
      </c>
      <c r="Z2322" t="str">
        <f>IFERROR(__xludf.DUMMYFUNCTION("""COMPUTED_VALUE"""),"Excellent")</f>
        <v>Excellent</v>
      </c>
      <c r="AA2322" t="str">
        <f>IFERROR(__xludf.DUMMYFUNCTION("""COMPUTED_VALUE"""),"Excellent")</f>
        <v>Excellent</v>
      </c>
      <c r="AB2322" t="str">
        <f>IFERROR(__xludf.DUMMYFUNCTION("""COMPUTED_VALUE"""),"Good")</f>
        <v>Good</v>
      </c>
      <c r="AC2322">
        <f>IFERROR(__xludf.DUMMYFUNCTION("""COMPUTED_VALUE"""),0.0)</f>
        <v>0</v>
      </c>
      <c r="AG2322" t="str">
        <f>IFERROR(__xludf.DUMMYFUNCTION("""COMPUTED_VALUE"""),"Delivered 2/28/20")</f>
        <v>Delivered 2/28/20</v>
      </c>
      <c r="AH2322" s="189">
        <f>IFERROR(__xludf.DUMMYFUNCTION("""COMPUTED_VALUE"""),43890.47559108796)</f>
        <v>43890.47559</v>
      </c>
    </row>
    <row r="2323">
      <c r="A2323" t="str">
        <f>IFERROR(__xludf.DUMMYFUNCTION("""COMPUTED_VALUE"""),"ajcarpenter")</f>
        <v>ajcarpenter</v>
      </c>
      <c r="B2323" t="str">
        <f>IFERROR(__xludf.DUMMYFUNCTION("""COMPUTED_VALUE"""),"London")</f>
        <v>London</v>
      </c>
      <c r="D2323" t="str">
        <f>IFERROR(__xludf.DUMMYFUNCTION("""COMPUTED_VALUE"""),"United Kingdom")</f>
        <v>United Kingdom</v>
      </c>
      <c r="E2323" s="188">
        <f>IFERROR(__xludf.DUMMYFUNCTION("""COMPUTED_VALUE"""),43805.0)</f>
        <v>43805</v>
      </c>
      <c r="F2323" s="188">
        <f>IFERROR(__xludf.DUMMYFUNCTION("""COMPUTED_VALUE"""),43850.0)</f>
        <v>43850</v>
      </c>
      <c r="H2323">
        <f>IFERROR(__xludf.DUMMYFUNCTION("""COMPUTED_VALUE"""),610955.0)</f>
        <v>610955</v>
      </c>
      <c r="J2323" s="5">
        <f>IFERROR(__xludf.DUMMYFUNCTION("""COMPUTED_VALUE"""),43879.0)</f>
        <v>43879</v>
      </c>
      <c r="K2323">
        <f>IFERROR(__xludf.DUMMYFUNCTION("""COMPUTED_VALUE"""),45.0)</f>
        <v>45</v>
      </c>
      <c r="L2323">
        <f>IFERROR(__xludf.DUMMYFUNCTION("""COMPUTED_VALUE"""),29.0)</f>
        <v>29</v>
      </c>
      <c r="M2323">
        <f>IFERROR(__xludf.DUMMYFUNCTION("""COMPUTED_VALUE"""),74.0)</f>
        <v>74</v>
      </c>
      <c r="N2323" t="str">
        <f>IFERROR(__xludf.DUMMYFUNCTION("""COMPUTED_VALUE"""),"Model 3 LR AWD")</f>
        <v>Model 3 LR AWD</v>
      </c>
      <c r="O2323" t="str">
        <f>IFERROR(__xludf.DUMMYFUNCTION("""COMPUTED_VALUE"""),"Midnight Silver Metallic")</f>
        <v>Midnight Silver Metallic</v>
      </c>
      <c r="P2323" t="str">
        <f>IFERROR(__xludf.DUMMYFUNCTION("""COMPUTED_VALUE"""),"18 inch Aero")</f>
        <v>18 inch Aero</v>
      </c>
      <c r="Q2323" t="str">
        <f>IFERROR(__xludf.DUMMYFUNCTION("""COMPUTED_VALUE"""),"Black seats")</f>
        <v>Black seats</v>
      </c>
      <c r="R2323" t="str">
        <f>IFERROR(__xludf.DUMMYFUNCTION("""COMPUTED_VALUE"""),"Autopilot")</f>
        <v>Autopilot</v>
      </c>
      <c r="X2323" t="str">
        <f>IFERROR(__xludf.DUMMYFUNCTION("""COMPUTED_VALUE"""),"Very Good")</f>
        <v>Very Good</v>
      </c>
      <c r="Y2323" t="str">
        <f>IFERROR(__xludf.DUMMYFUNCTION("""COMPUTED_VALUE"""),"Very Good")</f>
        <v>Very Good</v>
      </c>
      <c r="Z2323" t="str">
        <f>IFERROR(__xludf.DUMMYFUNCTION("""COMPUTED_VALUE"""),"Excellent")</f>
        <v>Excellent</v>
      </c>
      <c r="AA2323" t="str">
        <f>IFERROR(__xludf.DUMMYFUNCTION("""COMPUTED_VALUE"""),"Fair")</f>
        <v>Fair</v>
      </c>
      <c r="AB2323" t="str">
        <f>IFERROR(__xludf.DUMMYFUNCTION("""COMPUTED_VALUE"""),"Very Good")</f>
        <v>Very Good</v>
      </c>
      <c r="AC2323">
        <f>IFERROR(__xludf.DUMMYFUNCTION("""COMPUTED_VALUE"""),0.0)</f>
        <v>0</v>
      </c>
      <c r="AD2323">
        <f>IFERROR(__xludf.DUMMYFUNCTION("""COMPUTED_VALUE"""),0.0)</f>
        <v>0</v>
      </c>
      <c r="AE2323">
        <f>IFERROR(__xludf.DUMMYFUNCTION("""COMPUTED_VALUE"""),0.0)</f>
        <v>0</v>
      </c>
      <c r="AH2323" s="189">
        <f>IFERROR(__xludf.DUMMYFUNCTION("""COMPUTED_VALUE"""),43890.65322104166)</f>
        <v>43890.65322</v>
      </c>
    </row>
    <row r="2324">
      <c r="A2324" t="str">
        <f>IFERROR(__xludf.DUMMYFUNCTION("""COMPUTED_VALUE"""),"HexCoder")</f>
        <v>HexCoder</v>
      </c>
      <c r="B2324" t="str">
        <f>IFERROR(__xludf.DUMMYFUNCTION("""COMPUTED_VALUE"""),"Torrance, CA")</f>
        <v>Torrance, CA</v>
      </c>
      <c r="C2324" t="str">
        <f>IFERROR(__xludf.DUMMYFUNCTION("""COMPUTED_VALUE"""),"CA")</f>
        <v>CA</v>
      </c>
      <c r="D2324" t="str">
        <f>IFERROR(__xludf.DUMMYFUNCTION("""COMPUTED_VALUE"""),"USA")</f>
        <v>USA</v>
      </c>
      <c r="E2324" s="188">
        <f>IFERROR(__xludf.DUMMYFUNCTION("""COMPUTED_VALUE"""),43863.0)</f>
        <v>43863</v>
      </c>
      <c r="F2324" s="188">
        <f>IFERROR(__xludf.DUMMYFUNCTION("""COMPUTED_VALUE"""),43887.0)</f>
        <v>43887</v>
      </c>
      <c r="J2324" s="5">
        <f>IFERROR(__xludf.DUMMYFUNCTION("""COMPUTED_VALUE"""),43890.0)</f>
        <v>43890</v>
      </c>
      <c r="K2324">
        <f>IFERROR(__xludf.DUMMYFUNCTION("""COMPUTED_VALUE"""),24.0)</f>
        <v>24</v>
      </c>
      <c r="L2324">
        <f>IFERROR(__xludf.DUMMYFUNCTION("""COMPUTED_VALUE"""),3.0)</f>
        <v>3</v>
      </c>
      <c r="M2324">
        <f>IFERROR(__xludf.DUMMYFUNCTION("""COMPUTED_VALUE"""),27.0)</f>
        <v>27</v>
      </c>
      <c r="N2324" t="str">
        <f>IFERROR(__xludf.DUMMYFUNCTION("""COMPUTED_VALUE"""),"Model 3 SR+")</f>
        <v>Model 3 SR+</v>
      </c>
      <c r="O2324" t="str">
        <f>IFERROR(__xludf.DUMMYFUNCTION("""COMPUTED_VALUE"""),"Solid Black")</f>
        <v>Solid Black</v>
      </c>
      <c r="P2324" t="str">
        <f>IFERROR(__xludf.DUMMYFUNCTION("""COMPUTED_VALUE"""),"19 inch Sport")</f>
        <v>19 inch Sport</v>
      </c>
      <c r="Q2324" t="str">
        <f>IFERROR(__xludf.DUMMYFUNCTION("""COMPUTED_VALUE"""),"Black seats")</f>
        <v>Black seats</v>
      </c>
      <c r="R2324" t="str">
        <f>IFERROR(__xludf.DUMMYFUNCTION("""COMPUTED_VALUE"""),"Autopilot")</f>
        <v>Autopilot</v>
      </c>
      <c r="X2324" t="str">
        <f>IFERROR(__xludf.DUMMYFUNCTION("""COMPUTED_VALUE"""),"Excellent")</f>
        <v>Excellent</v>
      </c>
      <c r="Y2324" t="str">
        <f>IFERROR(__xludf.DUMMYFUNCTION("""COMPUTED_VALUE"""),"Excellent")</f>
        <v>Excellent</v>
      </c>
      <c r="Z2324" t="str">
        <f>IFERROR(__xludf.DUMMYFUNCTION("""COMPUTED_VALUE"""),"Excellent")</f>
        <v>Excellent</v>
      </c>
      <c r="AA2324" t="str">
        <f>IFERROR(__xludf.DUMMYFUNCTION("""COMPUTED_VALUE"""),"Excellent")</f>
        <v>Excellent</v>
      </c>
      <c r="AB2324" t="str">
        <f>IFERROR(__xludf.DUMMYFUNCTION("""COMPUTED_VALUE"""),"Excellent")</f>
        <v>Excellent</v>
      </c>
      <c r="AH2324" s="189">
        <f>IFERROR(__xludf.DUMMYFUNCTION("""COMPUTED_VALUE"""),43891.64525951388)</f>
        <v>43891.64526</v>
      </c>
    </row>
    <row r="2325">
      <c r="A2325" t="str">
        <f>IFERROR(__xludf.DUMMYFUNCTION("""COMPUTED_VALUE"""),"AAAPTY")</f>
        <v>AAAPTY</v>
      </c>
      <c r="B2325" t="str">
        <f>IFERROR(__xludf.DUMMYFUNCTION("""COMPUTED_VALUE"""),"Tampa")</f>
        <v>Tampa</v>
      </c>
      <c r="C2325" t="str">
        <f>IFERROR(__xludf.DUMMYFUNCTION("""COMPUTED_VALUE"""),"FL")</f>
        <v>FL</v>
      </c>
      <c r="D2325" t="str">
        <f>IFERROR(__xludf.DUMMYFUNCTION("""COMPUTED_VALUE"""),"USA")</f>
        <v>USA</v>
      </c>
      <c r="E2325" s="188">
        <f>IFERROR(__xludf.DUMMYFUNCTION("""COMPUTED_VALUE"""),43841.0)</f>
        <v>43841</v>
      </c>
      <c r="J2325" s="5">
        <f>IFERROR(__xludf.DUMMYFUNCTION("""COMPUTED_VALUE"""),43890.0)</f>
        <v>43890</v>
      </c>
      <c r="M2325">
        <f>IFERROR(__xludf.DUMMYFUNCTION("""COMPUTED_VALUE"""),49.0)</f>
        <v>49</v>
      </c>
      <c r="N2325" t="str">
        <f>IFERROR(__xludf.DUMMYFUNCTION("""COMPUTED_VALUE"""),"Model 3 LR AWD")</f>
        <v>Model 3 LR AWD</v>
      </c>
      <c r="O2325" t="str">
        <f>IFERROR(__xludf.DUMMYFUNCTION("""COMPUTED_VALUE"""),"Deep Blue Metallic")</f>
        <v>Deep Blue Metallic</v>
      </c>
      <c r="P2325" t="str">
        <f>IFERROR(__xludf.DUMMYFUNCTION("""COMPUTED_VALUE"""),"18 inch Aero")</f>
        <v>18 inch Aero</v>
      </c>
      <c r="Q2325" t="str">
        <f>IFERROR(__xludf.DUMMYFUNCTION("""COMPUTED_VALUE"""),"Black seats")</f>
        <v>Black seats</v>
      </c>
      <c r="R2325" t="str">
        <f>IFERROR(__xludf.DUMMYFUNCTION("""COMPUTED_VALUE"""),"Autopilot")</f>
        <v>Autopilot</v>
      </c>
      <c r="X2325" t="str">
        <f>IFERROR(__xludf.DUMMYFUNCTION("""COMPUTED_VALUE"""),"Good")</f>
        <v>Good</v>
      </c>
      <c r="Y2325" t="str">
        <f>IFERROR(__xludf.DUMMYFUNCTION("""COMPUTED_VALUE"""),"Good")</f>
        <v>Good</v>
      </c>
      <c r="Z2325" t="str">
        <f>IFERROR(__xludf.DUMMYFUNCTION("""COMPUTED_VALUE"""),"Good")</f>
        <v>Good</v>
      </c>
      <c r="AA2325" t="str">
        <f>IFERROR(__xludf.DUMMYFUNCTION("""COMPUTED_VALUE"""),"Good")</f>
        <v>Good</v>
      </c>
      <c r="AB2325" t="str">
        <f>IFERROR(__xludf.DUMMYFUNCTION("""COMPUTED_VALUE"""),"Good")</f>
        <v>Good</v>
      </c>
      <c r="AG2325" t="str">
        <f>IFERROR(__xludf.DUMMYFUNCTION("""COMPUTED_VALUE"""),"Didn't get VIN information just notification of delivery schedule")</f>
        <v>Didn't get VIN information just notification of delivery schedule</v>
      </c>
      <c r="AH2325" s="189">
        <f>IFERROR(__xludf.DUMMYFUNCTION("""COMPUTED_VALUE"""),43891.7627464699)</f>
        <v>43891.76275</v>
      </c>
    </row>
    <row r="2326">
      <c r="A2326" t="str">
        <f>IFERROR(__xludf.DUMMYFUNCTION("""COMPUTED_VALUE"""),"sparkz")</f>
        <v>sparkz</v>
      </c>
      <c r="C2326" t="str">
        <f>IFERROR(__xludf.DUMMYFUNCTION("""COMPUTED_VALUE"""),"CA")</f>
        <v>CA</v>
      </c>
      <c r="D2326" t="str">
        <f>IFERROR(__xludf.DUMMYFUNCTION("""COMPUTED_VALUE"""),"USA")</f>
        <v>USA</v>
      </c>
      <c r="E2326" s="188">
        <f>IFERROR(__xludf.DUMMYFUNCTION("""COMPUTED_VALUE"""),43841.0)</f>
        <v>43841</v>
      </c>
      <c r="F2326" s="188">
        <f>IFERROR(__xludf.DUMMYFUNCTION("""COMPUTED_VALUE"""),43889.0)</f>
        <v>43889</v>
      </c>
      <c r="H2326">
        <f>IFERROR(__xludf.DUMMYFUNCTION("""COMPUTED_VALUE"""),634655.0)</f>
        <v>634655</v>
      </c>
      <c r="J2326" s="5">
        <f>IFERROR(__xludf.DUMMYFUNCTION("""COMPUTED_VALUE"""),43891.0)</f>
        <v>43891</v>
      </c>
      <c r="K2326">
        <f>IFERROR(__xludf.DUMMYFUNCTION("""COMPUTED_VALUE"""),48.0)</f>
        <v>48</v>
      </c>
      <c r="L2326">
        <f>IFERROR(__xludf.DUMMYFUNCTION("""COMPUTED_VALUE"""),2.0)</f>
        <v>2</v>
      </c>
      <c r="M2326">
        <f>IFERROR(__xludf.DUMMYFUNCTION("""COMPUTED_VALUE"""),50.0)</f>
        <v>50</v>
      </c>
      <c r="N2326" t="str">
        <f>IFERROR(__xludf.DUMMYFUNCTION("""COMPUTED_VALUE"""),"Model 3 SR+")</f>
        <v>Model 3 SR+</v>
      </c>
      <c r="O2326" t="str">
        <f>IFERROR(__xludf.DUMMYFUNCTION("""COMPUTED_VALUE"""),"Pearl White Multi-Coat")</f>
        <v>Pearl White Multi-Coat</v>
      </c>
      <c r="P2326" t="str">
        <f>IFERROR(__xludf.DUMMYFUNCTION("""COMPUTED_VALUE"""),"18 inch Aero")</f>
        <v>18 inch Aero</v>
      </c>
      <c r="Q2326" t="str">
        <f>IFERROR(__xludf.DUMMYFUNCTION("""COMPUTED_VALUE"""),"White seats")</f>
        <v>White seats</v>
      </c>
      <c r="R2326" t="str">
        <f>IFERROR(__xludf.DUMMYFUNCTION("""COMPUTED_VALUE"""),"Full Self-Driving")</f>
        <v>Full Self-Driving</v>
      </c>
      <c r="X2326" t="str">
        <f>IFERROR(__xludf.DUMMYFUNCTION("""COMPUTED_VALUE"""),"Excellent")</f>
        <v>Excellent</v>
      </c>
      <c r="Y2326" t="str">
        <f>IFERROR(__xludf.DUMMYFUNCTION("""COMPUTED_VALUE"""),"Excellent")</f>
        <v>Excellent</v>
      </c>
      <c r="Z2326" t="str">
        <f>IFERROR(__xludf.DUMMYFUNCTION("""COMPUTED_VALUE"""),"Excellent")</f>
        <v>Excellent</v>
      </c>
      <c r="AA2326" t="str">
        <f>IFERROR(__xludf.DUMMYFUNCTION("""COMPUTED_VALUE"""),"Good")</f>
        <v>Good</v>
      </c>
      <c r="AB2326" t="str">
        <f>IFERROR(__xludf.DUMMYFUNCTION("""COMPUTED_VALUE"""),"Excellent")</f>
        <v>Excellent</v>
      </c>
      <c r="AG2326" t="str">
        <f>IFERROR(__xludf.DUMMYFUNCTION("""COMPUTED_VALUE"""),"Matched early on 02/28. Picked up 03/31/2020")</f>
        <v>Matched early on 02/28. Picked up 03/31/2020</v>
      </c>
      <c r="AH2326" s="189">
        <f>IFERROR(__xludf.DUMMYFUNCTION("""COMPUTED_VALUE"""),43892.2986762963)</f>
        <v>43892.29868</v>
      </c>
    </row>
    <row r="2327">
      <c r="A2327" t="str">
        <f>IFERROR(__xludf.DUMMYFUNCTION("""COMPUTED_VALUE"""),"ckeelen")</f>
        <v>ckeelen</v>
      </c>
      <c r="B2327" t="str">
        <f>IFERROR(__xludf.DUMMYFUNCTION("""COMPUTED_VALUE"""),"Tehachapi")</f>
        <v>Tehachapi</v>
      </c>
      <c r="C2327" t="str">
        <f>IFERROR(__xludf.DUMMYFUNCTION("""COMPUTED_VALUE"""),"CA")</f>
        <v>CA</v>
      </c>
      <c r="D2327" t="str">
        <f>IFERROR(__xludf.DUMMYFUNCTION("""COMPUTED_VALUE"""),"USA")</f>
        <v>USA</v>
      </c>
      <c r="E2327" s="188">
        <f>IFERROR(__xludf.DUMMYFUNCTION("""COMPUTED_VALUE"""),43839.0)</f>
        <v>43839</v>
      </c>
      <c r="F2327" s="188">
        <f>IFERROR(__xludf.DUMMYFUNCTION("""COMPUTED_VALUE"""),43881.0)</f>
        <v>43881</v>
      </c>
      <c r="H2327">
        <f>IFERROR(__xludf.DUMMYFUNCTION("""COMPUTED_VALUE"""),642374.0)</f>
        <v>642374</v>
      </c>
      <c r="J2327" s="5">
        <f>IFERROR(__xludf.DUMMYFUNCTION("""COMPUTED_VALUE"""),43886.0)</f>
        <v>43886</v>
      </c>
      <c r="K2327">
        <f>IFERROR(__xludf.DUMMYFUNCTION("""COMPUTED_VALUE"""),42.0)</f>
        <v>42</v>
      </c>
      <c r="L2327">
        <f>IFERROR(__xludf.DUMMYFUNCTION("""COMPUTED_VALUE"""),5.0)</f>
        <v>5</v>
      </c>
      <c r="M2327">
        <f>IFERROR(__xludf.DUMMYFUNCTION("""COMPUTED_VALUE"""),47.0)</f>
        <v>47</v>
      </c>
      <c r="N2327" t="str">
        <f>IFERROR(__xludf.DUMMYFUNCTION("""COMPUTED_VALUE"""),"Model 3 SR+")</f>
        <v>Model 3 SR+</v>
      </c>
      <c r="O2327" t="str">
        <f>IFERROR(__xludf.DUMMYFUNCTION("""COMPUTED_VALUE"""),"Midnight Silver Metallic")</f>
        <v>Midnight Silver Metallic</v>
      </c>
      <c r="P2327" t="str">
        <f>IFERROR(__xludf.DUMMYFUNCTION("""COMPUTED_VALUE"""),"18 inch Aero")</f>
        <v>18 inch Aero</v>
      </c>
      <c r="Q2327" t="str">
        <f>IFERROR(__xludf.DUMMYFUNCTION("""COMPUTED_VALUE"""),"Black seats")</f>
        <v>Black seats</v>
      </c>
      <c r="R2327" t="str">
        <f>IFERROR(__xludf.DUMMYFUNCTION("""COMPUTED_VALUE"""),"Autopilot")</f>
        <v>Autopilot</v>
      </c>
      <c r="X2327" t="str">
        <f>IFERROR(__xludf.DUMMYFUNCTION("""COMPUTED_VALUE"""),"Excellent")</f>
        <v>Excellent</v>
      </c>
      <c r="Y2327" t="str">
        <f>IFERROR(__xludf.DUMMYFUNCTION("""COMPUTED_VALUE"""),"Excellent")</f>
        <v>Excellent</v>
      </c>
      <c r="Z2327" t="str">
        <f>IFERROR(__xludf.DUMMYFUNCTION("""COMPUTED_VALUE"""),"Good")</f>
        <v>Good</v>
      </c>
      <c r="AA2327" t="str">
        <f>IFERROR(__xludf.DUMMYFUNCTION("""COMPUTED_VALUE"""),"Excellent")</f>
        <v>Excellent</v>
      </c>
      <c r="AB2327" t="str">
        <f>IFERROR(__xludf.DUMMYFUNCTION("""COMPUTED_VALUE"""),"Excellent")</f>
        <v>Excellent</v>
      </c>
      <c r="AC2327">
        <f>IFERROR(__xludf.DUMMYFUNCTION("""COMPUTED_VALUE"""),2.0)</f>
        <v>2</v>
      </c>
      <c r="AD2327">
        <f>IFERROR(__xludf.DUMMYFUNCTION("""COMPUTED_VALUE"""),1.0)</f>
        <v>1</v>
      </c>
      <c r="AG2327" t="str">
        <f>IFERROR(__xludf.DUMMYFUNCTION("""COMPUTED_VALUE"""),"Found a gouge in the passenger side window during my walkthrough")</f>
        <v>Found a gouge in the passenger side window during my walkthrough</v>
      </c>
      <c r="AH2327" s="189">
        <f>IFERROR(__xludf.DUMMYFUNCTION("""COMPUTED_VALUE"""),43892.3673255787)</f>
        <v>43892.36733</v>
      </c>
    </row>
    <row r="2328">
      <c r="A2328" t="str">
        <f>IFERROR(__xludf.DUMMYFUNCTION("""COMPUTED_VALUE"""),"RichBB")</f>
        <v>RichBB</v>
      </c>
      <c r="B2328" t="str">
        <f>IFERROR(__xludf.DUMMYFUNCTION("""COMPUTED_VALUE"""),"Montreal")</f>
        <v>Montreal</v>
      </c>
      <c r="C2328" t="str">
        <f>IFERROR(__xludf.DUMMYFUNCTION("""COMPUTED_VALUE"""),"QC")</f>
        <v>QC</v>
      </c>
      <c r="D2328" t="str">
        <f>IFERROR(__xludf.DUMMYFUNCTION("""COMPUTED_VALUE"""),"Canada")</f>
        <v>Canada</v>
      </c>
      <c r="E2328" s="188">
        <f>IFERROR(__xludf.DUMMYFUNCTION("""COMPUTED_VALUE"""),43849.0)</f>
        <v>43849</v>
      </c>
      <c r="F2328" s="188">
        <f>IFERROR(__xludf.DUMMYFUNCTION("""COMPUTED_VALUE"""),43877.0)</f>
        <v>43877</v>
      </c>
      <c r="H2328">
        <f>IFERROR(__xludf.DUMMYFUNCTION("""COMPUTED_VALUE"""),642955.0)</f>
        <v>642955</v>
      </c>
      <c r="J2328" s="5">
        <f>IFERROR(__xludf.DUMMYFUNCTION("""COMPUTED_VALUE"""),43890.0)</f>
        <v>43890</v>
      </c>
      <c r="K2328">
        <f>IFERROR(__xludf.DUMMYFUNCTION("""COMPUTED_VALUE"""),28.0)</f>
        <v>28</v>
      </c>
      <c r="L2328">
        <f>IFERROR(__xludf.DUMMYFUNCTION("""COMPUTED_VALUE"""),13.0)</f>
        <v>13</v>
      </c>
      <c r="M2328">
        <f>IFERROR(__xludf.DUMMYFUNCTION("""COMPUTED_VALUE"""),41.0)</f>
        <v>41</v>
      </c>
      <c r="N2328" t="str">
        <f>IFERROR(__xludf.DUMMYFUNCTION("""COMPUTED_VALUE"""),"Model 3 LR AWD")</f>
        <v>Model 3 LR AWD</v>
      </c>
      <c r="O2328" t="str">
        <f>IFERROR(__xludf.DUMMYFUNCTION("""COMPUTED_VALUE"""),"Solid Black")</f>
        <v>Solid Black</v>
      </c>
      <c r="P2328" t="str">
        <f>IFERROR(__xludf.DUMMYFUNCTION("""COMPUTED_VALUE"""),"18 inch Aero")</f>
        <v>18 inch Aero</v>
      </c>
      <c r="Q2328" t="str">
        <f>IFERROR(__xludf.DUMMYFUNCTION("""COMPUTED_VALUE"""),"Black seats")</f>
        <v>Black seats</v>
      </c>
      <c r="R2328" t="str">
        <f>IFERROR(__xludf.DUMMYFUNCTION("""COMPUTED_VALUE"""),"Autopilot")</f>
        <v>Autopilot</v>
      </c>
      <c r="X2328" t="str">
        <f>IFERROR(__xludf.DUMMYFUNCTION("""COMPUTED_VALUE"""),"Very Good")</f>
        <v>Very Good</v>
      </c>
      <c r="Y2328" t="str">
        <f>IFERROR(__xludf.DUMMYFUNCTION("""COMPUTED_VALUE"""),"Very Good")</f>
        <v>Very Good</v>
      </c>
      <c r="Z2328" t="str">
        <f>IFERROR(__xludf.DUMMYFUNCTION("""COMPUTED_VALUE"""),"Poor")</f>
        <v>Poor</v>
      </c>
      <c r="AA2328" t="str">
        <f>IFERROR(__xludf.DUMMYFUNCTION("""COMPUTED_VALUE"""),"Fair")</f>
        <v>Fair</v>
      </c>
      <c r="AB2328" t="str">
        <f>IFERROR(__xludf.DUMMYFUNCTION("""COMPUTED_VALUE"""),"Fair")</f>
        <v>Fair</v>
      </c>
      <c r="AG2328" t="str">
        <f>IFERROR(__xludf.DUMMYFUNCTION("""COMPUTED_VALUE"""),"Some minor scratches on the paint at delivery. All the cars had some. ALL OF THEM. Check your car and get it fixed people! Appt moved to Feb 29 from Mar 3. Can't say no to that! Appt scheduled on feb 18. Vin found in source code on feb 16;Text message on "&amp;"Jan 23 saying delivery would be in 4-8 weeks")</f>
        <v>Some minor scratches on the paint at delivery. All the cars had some. ALL OF THEM. Check your car and get it fixed people! Appt moved to Feb 29 from Mar 3. Can't say no to that! Appt scheduled on feb 18. Vin found in source code on feb 16;Text message on Jan 23 saying delivery would be in 4-8 weeks</v>
      </c>
      <c r="AH2328" s="189">
        <f>IFERROR(__xludf.DUMMYFUNCTION("""COMPUTED_VALUE"""),43892.409839687505)</f>
        <v>43892.40984</v>
      </c>
    </row>
    <row r="2329">
      <c r="A2329" t="str">
        <f>IFERROR(__xludf.DUMMYFUNCTION("""COMPUTED_VALUE"""),"Drubby82")</f>
        <v>Drubby82</v>
      </c>
      <c r="B2329" t="str">
        <f>IFERROR(__xludf.DUMMYFUNCTION("""COMPUTED_VALUE"""),"Cullman")</f>
        <v>Cullman</v>
      </c>
      <c r="C2329" t="str">
        <f>IFERROR(__xludf.DUMMYFUNCTION("""COMPUTED_VALUE"""),"AL")</f>
        <v>AL</v>
      </c>
      <c r="D2329" t="str">
        <f>IFERROR(__xludf.DUMMYFUNCTION("""COMPUTED_VALUE"""),"USA")</f>
        <v>USA</v>
      </c>
      <c r="E2329" s="188">
        <f>IFERROR(__xludf.DUMMYFUNCTION("""COMPUTED_VALUE"""),43833.0)</f>
        <v>43833</v>
      </c>
      <c r="F2329" s="188">
        <f>IFERROR(__xludf.DUMMYFUNCTION("""COMPUTED_VALUE"""),43857.0)</f>
        <v>43857</v>
      </c>
      <c r="H2329">
        <f>IFERROR(__xludf.DUMMYFUNCTION("""COMPUTED_VALUE"""),628455.0)</f>
        <v>628455</v>
      </c>
      <c r="J2329" s="5">
        <f>IFERROR(__xludf.DUMMYFUNCTION("""COMPUTED_VALUE"""),43870.0)</f>
        <v>43870</v>
      </c>
      <c r="K2329">
        <f>IFERROR(__xludf.DUMMYFUNCTION("""COMPUTED_VALUE"""),24.0)</f>
        <v>24</v>
      </c>
      <c r="L2329">
        <f>IFERROR(__xludf.DUMMYFUNCTION("""COMPUTED_VALUE"""),13.0)</f>
        <v>13</v>
      </c>
      <c r="M2329">
        <f>IFERROR(__xludf.DUMMYFUNCTION("""COMPUTED_VALUE"""),37.0)</f>
        <v>37</v>
      </c>
      <c r="N2329" t="str">
        <f>IFERROR(__xludf.DUMMYFUNCTION("""COMPUTED_VALUE"""),"Model 3 LR AWD")</f>
        <v>Model 3 LR AWD</v>
      </c>
      <c r="O2329" t="str">
        <f>IFERROR(__xludf.DUMMYFUNCTION("""COMPUTED_VALUE"""),"Pearl White Multi-Coat")</f>
        <v>Pearl White Multi-Coat</v>
      </c>
      <c r="P2329" t="str">
        <f>IFERROR(__xludf.DUMMYFUNCTION("""COMPUTED_VALUE"""),"19 inch Sport")</f>
        <v>19 inch Sport</v>
      </c>
      <c r="Q2329" t="str">
        <f>IFERROR(__xludf.DUMMYFUNCTION("""COMPUTED_VALUE"""),"Black seats")</f>
        <v>Black seats</v>
      </c>
      <c r="R2329" t="str">
        <f>IFERROR(__xludf.DUMMYFUNCTION("""COMPUTED_VALUE"""),"Full Self-Driving")</f>
        <v>Full Self-Driving</v>
      </c>
      <c r="X2329" t="str">
        <f>IFERROR(__xludf.DUMMYFUNCTION("""COMPUTED_VALUE"""),"Very Good")</f>
        <v>Very Good</v>
      </c>
      <c r="Y2329" t="str">
        <f>IFERROR(__xludf.DUMMYFUNCTION("""COMPUTED_VALUE"""),"Excellent")</f>
        <v>Excellent</v>
      </c>
      <c r="Z2329" t="str">
        <f>IFERROR(__xludf.DUMMYFUNCTION("""COMPUTED_VALUE"""),"Excellent")</f>
        <v>Excellent</v>
      </c>
      <c r="AA2329" t="str">
        <f>IFERROR(__xludf.DUMMYFUNCTION("""COMPUTED_VALUE"""),"Excellent")</f>
        <v>Excellent</v>
      </c>
      <c r="AB2329" t="str">
        <f>IFERROR(__xludf.DUMMYFUNCTION("""COMPUTED_VALUE"""),"Excellent")</f>
        <v>Excellent</v>
      </c>
      <c r="AC2329">
        <f>IFERROR(__xludf.DUMMYFUNCTION("""COMPUTED_VALUE"""),0.0)</f>
        <v>0</v>
      </c>
      <c r="AD2329">
        <f>IFERROR(__xludf.DUMMYFUNCTION("""COMPUTED_VALUE"""),0.0)</f>
        <v>0</v>
      </c>
      <c r="AE2329">
        <f>IFERROR(__xludf.DUMMYFUNCTION("""COMPUTED_VALUE"""),0.0)</f>
        <v>0</v>
      </c>
      <c r="AH2329" s="189">
        <f>IFERROR(__xludf.DUMMYFUNCTION("""COMPUTED_VALUE"""),43892.5104574537)</f>
        <v>43892.51046</v>
      </c>
    </row>
    <row r="2330">
      <c r="A2330" t="str">
        <f>IFERROR(__xludf.DUMMYFUNCTION("""COMPUTED_VALUE"""),"tcpilot")</f>
        <v>tcpilot</v>
      </c>
      <c r="B2330" t="str">
        <f>IFERROR(__xludf.DUMMYFUNCTION("""COMPUTED_VALUE"""),"Los Altos")</f>
        <v>Los Altos</v>
      </c>
      <c r="C2330" t="str">
        <f>IFERROR(__xludf.DUMMYFUNCTION("""COMPUTED_VALUE"""),"CA")</f>
        <v>CA</v>
      </c>
      <c r="D2330" t="str">
        <f>IFERROR(__xludf.DUMMYFUNCTION("""COMPUTED_VALUE"""),"USA")</f>
        <v>USA</v>
      </c>
      <c r="E2330" s="188">
        <f>IFERROR(__xludf.DUMMYFUNCTION("""COMPUTED_VALUE"""),43848.0)</f>
        <v>43848</v>
      </c>
      <c r="F2330" s="188">
        <f>IFERROR(__xludf.DUMMYFUNCTION("""COMPUTED_VALUE"""),43890.0)</f>
        <v>43890</v>
      </c>
      <c r="H2330" s="4">
        <f>IFERROR(__xludf.DUMMYFUNCTION("""COMPUTED_VALUE"""),641440.0)</f>
        <v>641440</v>
      </c>
      <c r="J2330" s="5">
        <f>IFERROR(__xludf.DUMMYFUNCTION("""COMPUTED_VALUE"""),43893.0)</f>
        <v>43893</v>
      </c>
      <c r="K2330">
        <f>IFERROR(__xludf.DUMMYFUNCTION("""COMPUTED_VALUE"""),42.0)</f>
        <v>42</v>
      </c>
      <c r="L2330">
        <f>IFERROR(__xludf.DUMMYFUNCTION("""COMPUTED_VALUE"""),3.0)</f>
        <v>3</v>
      </c>
      <c r="M2330">
        <f>IFERROR(__xludf.DUMMYFUNCTION("""COMPUTED_VALUE"""),45.0)</f>
        <v>45</v>
      </c>
      <c r="N2330" t="str">
        <f>IFERROR(__xludf.DUMMYFUNCTION("""COMPUTED_VALUE"""),"Model 3 Performance")</f>
        <v>Model 3 Performance</v>
      </c>
      <c r="O2330" t="str">
        <f>IFERROR(__xludf.DUMMYFUNCTION("""COMPUTED_VALUE"""),"Pearl White Multi-Coat")</f>
        <v>Pearl White Multi-Coat</v>
      </c>
      <c r="P2330" t="str">
        <f>IFERROR(__xludf.DUMMYFUNCTION("""COMPUTED_VALUE"""),"20 inch Sport")</f>
        <v>20 inch Sport</v>
      </c>
      <c r="Q2330" t="str">
        <f>IFERROR(__xludf.DUMMYFUNCTION("""COMPUTED_VALUE"""),"Black seats")</f>
        <v>Black seats</v>
      </c>
      <c r="R2330" t="str">
        <f>IFERROR(__xludf.DUMMYFUNCTION("""COMPUTED_VALUE"""),"Full Self-Driving")</f>
        <v>Full Self-Driving</v>
      </c>
      <c r="X2330" t="str">
        <f>IFERROR(__xludf.DUMMYFUNCTION("""COMPUTED_VALUE"""),"Very Good")</f>
        <v>Very Good</v>
      </c>
      <c r="Y2330" t="str">
        <f>IFERROR(__xludf.DUMMYFUNCTION("""COMPUTED_VALUE"""),"Excellent")</f>
        <v>Excellent</v>
      </c>
      <c r="Z2330" t="str">
        <f>IFERROR(__xludf.DUMMYFUNCTION("""COMPUTED_VALUE"""),"Excellent")</f>
        <v>Excellent</v>
      </c>
      <c r="AA2330" t="str">
        <f>IFERROR(__xludf.DUMMYFUNCTION("""COMPUTED_VALUE"""),"Excellent")</f>
        <v>Excellent</v>
      </c>
      <c r="AB2330" t="str">
        <f>IFERROR(__xludf.DUMMYFUNCTION("""COMPUTED_VALUE"""),"Excellent")</f>
        <v>Excellent</v>
      </c>
      <c r="AG2330" t="str">
        <f>IFERROR(__xludf.DUMMYFUNCTION("""COMPUTED_VALUE"""),"Text received 2/24/20 - build date within 2 weeks")</f>
        <v>Text received 2/24/20 - build date within 2 weeks</v>
      </c>
      <c r="AH2330" s="189">
        <f>IFERROR(__xludf.DUMMYFUNCTION("""COMPUTED_VALUE"""),43893.48204241898)</f>
        <v>43893.48204</v>
      </c>
    </row>
    <row r="2331">
      <c r="A2331" t="str">
        <f>IFERROR(__xludf.DUMMYFUNCTION("""COMPUTED_VALUE"""),"plutonic")</f>
        <v>plutonic</v>
      </c>
      <c r="B2331" t="str">
        <f>IFERROR(__xludf.DUMMYFUNCTION("""COMPUTED_VALUE"""),"Vancouver")</f>
        <v>Vancouver</v>
      </c>
      <c r="C2331" t="str">
        <f>IFERROR(__xludf.DUMMYFUNCTION("""COMPUTED_VALUE"""),"BC")</f>
        <v>BC</v>
      </c>
      <c r="D2331" t="str">
        <f>IFERROR(__xludf.DUMMYFUNCTION("""COMPUTED_VALUE"""),"Canada")</f>
        <v>Canada</v>
      </c>
      <c r="E2331" s="188">
        <f>IFERROR(__xludf.DUMMYFUNCTION("""COMPUTED_VALUE"""),43863.0)</f>
        <v>43863</v>
      </c>
      <c r="F2331" s="188">
        <f>IFERROR(__xludf.DUMMYFUNCTION("""COMPUTED_VALUE"""),43889.0)</f>
        <v>43889</v>
      </c>
      <c r="H2331">
        <f>IFERROR(__xludf.DUMMYFUNCTION("""COMPUTED_VALUE"""),703837.0)</f>
        <v>703837</v>
      </c>
      <c r="J2331" s="5">
        <f>IFERROR(__xludf.DUMMYFUNCTION("""COMPUTED_VALUE"""),43893.0)</f>
        <v>43893</v>
      </c>
      <c r="K2331">
        <f>IFERROR(__xludf.DUMMYFUNCTION("""COMPUTED_VALUE"""),26.0)</f>
        <v>26</v>
      </c>
      <c r="L2331">
        <f>IFERROR(__xludf.DUMMYFUNCTION("""COMPUTED_VALUE"""),4.0)</f>
        <v>4</v>
      </c>
      <c r="M2331">
        <f>IFERROR(__xludf.DUMMYFUNCTION("""COMPUTED_VALUE"""),30.0)</f>
        <v>30</v>
      </c>
      <c r="N2331" t="str">
        <f>IFERROR(__xludf.DUMMYFUNCTION("""COMPUTED_VALUE"""),"Model 3 SR+")</f>
        <v>Model 3 SR+</v>
      </c>
      <c r="O2331" t="str">
        <f>IFERROR(__xludf.DUMMYFUNCTION("""COMPUTED_VALUE"""),"Midnight Silver Metallic")</f>
        <v>Midnight Silver Metallic</v>
      </c>
      <c r="P2331" t="str">
        <f>IFERROR(__xludf.DUMMYFUNCTION("""COMPUTED_VALUE"""),"18 inch Aero")</f>
        <v>18 inch Aero</v>
      </c>
      <c r="Q2331" t="str">
        <f>IFERROR(__xludf.DUMMYFUNCTION("""COMPUTED_VALUE"""),"Black seats")</f>
        <v>Black seats</v>
      </c>
      <c r="R2331" t="str">
        <f>IFERROR(__xludf.DUMMYFUNCTION("""COMPUTED_VALUE"""),"Autopilot")</f>
        <v>Autopilot</v>
      </c>
      <c r="X2331" t="str">
        <f>IFERROR(__xludf.DUMMYFUNCTION("""COMPUTED_VALUE"""),"Good")</f>
        <v>Good</v>
      </c>
      <c r="Y2331" t="str">
        <f>IFERROR(__xludf.DUMMYFUNCTION("""COMPUTED_VALUE"""),"Very Good")</f>
        <v>Very Good</v>
      </c>
      <c r="Z2331" t="str">
        <f>IFERROR(__xludf.DUMMYFUNCTION("""COMPUTED_VALUE"""),"Good")</f>
        <v>Good</v>
      </c>
      <c r="AA2331" t="str">
        <f>IFERROR(__xludf.DUMMYFUNCTION("""COMPUTED_VALUE"""),"Good")</f>
        <v>Good</v>
      </c>
      <c r="AB2331" t="str">
        <f>IFERROR(__xludf.DUMMYFUNCTION("""COMPUTED_VALUE"""),"Excellent")</f>
        <v>Excellent</v>
      </c>
      <c r="AG2331" t="str">
        <f>IFERROR(__xludf.DUMMYFUNCTION("""COMPUTED_VALUE"""),"2/28 VIN in source code, called for delivery March 1")</f>
        <v>2/28 VIN in source code, called for delivery March 1</v>
      </c>
      <c r="AH2331" s="189">
        <f>IFERROR(__xludf.DUMMYFUNCTION("""COMPUTED_VALUE"""),43893.80092820602)</f>
        <v>43893.80093</v>
      </c>
    </row>
    <row r="2332">
      <c r="A2332" t="str">
        <f>IFERROR(__xludf.DUMMYFUNCTION("""COMPUTED_VALUE"""),"JD383")</f>
        <v>JD383</v>
      </c>
      <c r="B2332" t="str">
        <f>IFERROR(__xludf.DUMMYFUNCTION("""COMPUTED_VALUE"""),"Seattle")</f>
        <v>Seattle</v>
      </c>
      <c r="C2332" t="str">
        <f>IFERROR(__xludf.DUMMYFUNCTION("""COMPUTED_VALUE"""),"WA")</f>
        <v>WA</v>
      </c>
      <c r="D2332" t="str">
        <f>IFERROR(__xludf.DUMMYFUNCTION("""COMPUTED_VALUE"""),"USA")</f>
        <v>USA</v>
      </c>
      <c r="E2332" s="188">
        <f>IFERROR(__xludf.DUMMYFUNCTION("""COMPUTED_VALUE"""),43850.0)</f>
        <v>43850</v>
      </c>
      <c r="F2332" s="188">
        <f>IFERROR(__xludf.DUMMYFUNCTION("""COMPUTED_VALUE"""),43887.0)</f>
        <v>43887</v>
      </c>
      <c r="H2332">
        <f>IFERROR(__xludf.DUMMYFUNCTION("""COMPUTED_VALUE"""),637155.0)</f>
        <v>637155</v>
      </c>
      <c r="J2332" s="5">
        <f>IFERROR(__xludf.DUMMYFUNCTION("""COMPUTED_VALUE"""),43891.0)</f>
        <v>43891</v>
      </c>
      <c r="K2332">
        <f>IFERROR(__xludf.DUMMYFUNCTION("""COMPUTED_VALUE"""),37.0)</f>
        <v>37</v>
      </c>
      <c r="L2332">
        <f>IFERROR(__xludf.DUMMYFUNCTION("""COMPUTED_VALUE"""),4.0)</f>
        <v>4</v>
      </c>
      <c r="M2332">
        <f>IFERROR(__xludf.DUMMYFUNCTION("""COMPUTED_VALUE"""),41.0)</f>
        <v>41</v>
      </c>
      <c r="N2332" t="str">
        <f>IFERROR(__xludf.DUMMYFUNCTION("""COMPUTED_VALUE"""),"Model 3 LR AWD")</f>
        <v>Model 3 LR AWD</v>
      </c>
      <c r="O2332" t="str">
        <f>IFERROR(__xludf.DUMMYFUNCTION("""COMPUTED_VALUE"""),"Pearl White Multi-Coat")</f>
        <v>Pearl White Multi-Coat</v>
      </c>
      <c r="P2332" t="str">
        <f>IFERROR(__xludf.DUMMYFUNCTION("""COMPUTED_VALUE"""),"18 inch Aero")</f>
        <v>18 inch Aero</v>
      </c>
      <c r="Q2332" t="str">
        <f>IFERROR(__xludf.DUMMYFUNCTION("""COMPUTED_VALUE"""),"Black seats")</f>
        <v>Black seats</v>
      </c>
      <c r="R2332" t="str">
        <f>IFERROR(__xludf.DUMMYFUNCTION("""COMPUTED_VALUE"""),"Autopilot")</f>
        <v>Autopilot</v>
      </c>
      <c r="X2332" t="str">
        <f>IFERROR(__xludf.DUMMYFUNCTION("""COMPUTED_VALUE"""),"Very Good")</f>
        <v>Very Good</v>
      </c>
      <c r="Y2332" t="str">
        <f>IFERROR(__xludf.DUMMYFUNCTION("""COMPUTED_VALUE"""),"Very Good")</f>
        <v>Very Good</v>
      </c>
      <c r="Z2332" t="str">
        <f>IFERROR(__xludf.DUMMYFUNCTION("""COMPUTED_VALUE"""),"Excellent")</f>
        <v>Excellent</v>
      </c>
      <c r="AA2332" t="str">
        <f>IFERROR(__xludf.DUMMYFUNCTION("""COMPUTED_VALUE"""),"Excellent")</f>
        <v>Excellent</v>
      </c>
      <c r="AB2332" t="str">
        <f>IFERROR(__xludf.DUMMYFUNCTION("""COMPUTED_VALUE"""),"Excellent")</f>
        <v>Excellent</v>
      </c>
      <c r="AH2332" s="189">
        <f>IFERROR(__xludf.DUMMYFUNCTION("""COMPUTED_VALUE"""),43894.23458292824)</f>
        <v>43894.23458</v>
      </c>
    </row>
    <row r="2333">
      <c r="A2333" t="str">
        <f>IFERROR(__xludf.DUMMYFUNCTION("""COMPUTED_VALUE"""),"Bubbatech")</f>
        <v>Bubbatech</v>
      </c>
      <c r="B2333" t="str">
        <f>IFERROR(__xludf.DUMMYFUNCTION("""COMPUTED_VALUE"""),"Birmingham ")</f>
        <v>Birmingham </v>
      </c>
      <c r="C2333" t="str">
        <f>IFERROR(__xludf.DUMMYFUNCTION("""COMPUTED_VALUE"""),"AL")</f>
        <v>AL</v>
      </c>
      <c r="D2333" t="str">
        <f>IFERROR(__xludf.DUMMYFUNCTION("""COMPUTED_VALUE"""),"USA")</f>
        <v>USA</v>
      </c>
      <c r="E2333" s="188">
        <f>IFERROR(__xludf.DUMMYFUNCTION("""COMPUTED_VALUE"""),43832.0)</f>
        <v>43832</v>
      </c>
      <c r="F2333" s="188">
        <f>IFERROR(__xludf.DUMMYFUNCTION("""COMPUTED_VALUE"""),43854.0)</f>
        <v>43854</v>
      </c>
      <c r="H2333">
        <f>IFERROR(__xludf.DUMMYFUNCTION("""COMPUTED_VALUE"""),635955.0)</f>
        <v>635955</v>
      </c>
      <c r="J2333" s="5">
        <f>IFERROR(__xludf.DUMMYFUNCTION("""COMPUTED_VALUE"""),43857.0)</f>
        <v>43857</v>
      </c>
      <c r="K2333">
        <f>IFERROR(__xludf.DUMMYFUNCTION("""COMPUTED_VALUE"""),22.0)</f>
        <v>22</v>
      </c>
      <c r="L2333">
        <f>IFERROR(__xludf.DUMMYFUNCTION("""COMPUTED_VALUE"""),3.0)</f>
        <v>3</v>
      </c>
      <c r="M2333">
        <f>IFERROR(__xludf.DUMMYFUNCTION("""COMPUTED_VALUE"""),25.0)</f>
        <v>25</v>
      </c>
      <c r="N2333" t="str">
        <f>IFERROR(__xludf.DUMMYFUNCTION("""COMPUTED_VALUE"""),"Model 3 LR AWD")</f>
        <v>Model 3 LR AWD</v>
      </c>
      <c r="O2333" t="str">
        <f>IFERROR(__xludf.DUMMYFUNCTION("""COMPUTED_VALUE"""),"Pearl White Multi-Coat")</f>
        <v>Pearl White Multi-Coat</v>
      </c>
      <c r="P2333" t="str">
        <f>IFERROR(__xludf.DUMMYFUNCTION("""COMPUTED_VALUE"""),"18 inch Aero")</f>
        <v>18 inch Aero</v>
      </c>
      <c r="Q2333" t="str">
        <f>IFERROR(__xludf.DUMMYFUNCTION("""COMPUTED_VALUE"""),"Black seats")</f>
        <v>Black seats</v>
      </c>
      <c r="R2333" t="str">
        <f>IFERROR(__xludf.DUMMYFUNCTION("""COMPUTED_VALUE"""),"Autopilot")</f>
        <v>Autopilot</v>
      </c>
      <c r="X2333" t="str">
        <f>IFERROR(__xludf.DUMMYFUNCTION("""COMPUTED_VALUE"""),"Excellent")</f>
        <v>Excellent</v>
      </c>
      <c r="Y2333" t="str">
        <f>IFERROR(__xludf.DUMMYFUNCTION("""COMPUTED_VALUE"""),"Excellent")</f>
        <v>Excellent</v>
      </c>
      <c r="Z2333" t="str">
        <f>IFERROR(__xludf.DUMMYFUNCTION("""COMPUTED_VALUE"""),"Excellent")</f>
        <v>Excellent</v>
      </c>
      <c r="AA2333" t="str">
        <f>IFERROR(__xludf.DUMMYFUNCTION("""COMPUTED_VALUE"""),"Excellent")</f>
        <v>Excellent</v>
      </c>
      <c r="AB2333" t="str">
        <f>IFERROR(__xludf.DUMMYFUNCTION("""COMPUTED_VALUE"""),"Excellent")</f>
        <v>Excellent</v>
      </c>
      <c r="AC2333">
        <f>IFERROR(__xludf.DUMMYFUNCTION("""COMPUTED_VALUE"""),0.0)</f>
        <v>0</v>
      </c>
      <c r="AD2333">
        <f>IFERROR(__xludf.DUMMYFUNCTION("""COMPUTED_VALUE"""),0.0)</f>
        <v>0</v>
      </c>
      <c r="AE2333">
        <f>IFERROR(__xludf.DUMMYFUNCTION("""COMPUTED_VALUE"""),0.0)</f>
        <v>0</v>
      </c>
      <c r="AG2333" t="str">
        <f>IFERROR(__xludf.DUMMYFUNCTION("""COMPUTED_VALUE"""),"Flawless. No problems of any kind found.")</f>
        <v>Flawless. No problems of any kind found.</v>
      </c>
      <c r="AH2333" s="189">
        <f>IFERROR(__xludf.DUMMYFUNCTION("""COMPUTED_VALUE"""),43894.49058986111)</f>
        <v>43894.49059</v>
      </c>
    </row>
    <row r="2334">
      <c r="A2334" t="str">
        <f>IFERROR(__xludf.DUMMYFUNCTION("""COMPUTED_VALUE"""),"merkman")</f>
        <v>merkman</v>
      </c>
      <c r="B2334" t="str">
        <f>IFERROR(__xludf.DUMMYFUNCTION("""COMPUTED_VALUE"""),"Brookfield")</f>
        <v>Brookfield</v>
      </c>
      <c r="C2334" t="str">
        <f>IFERROR(__xludf.DUMMYFUNCTION("""COMPUTED_VALUE"""),"WI")</f>
        <v>WI</v>
      </c>
      <c r="D2334" t="str">
        <f>IFERROR(__xludf.DUMMYFUNCTION("""COMPUTED_VALUE"""),"USA")</f>
        <v>USA</v>
      </c>
      <c r="E2334" s="188">
        <f>IFERROR(__xludf.DUMMYFUNCTION("""COMPUTED_VALUE"""),43746.0)</f>
        <v>43746</v>
      </c>
      <c r="F2334" s="188">
        <f>IFERROR(__xludf.DUMMYFUNCTION("""COMPUTED_VALUE"""),43782.0)</f>
        <v>43782</v>
      </c>
      <c r="I2334" t="str">
        <f>IFERROR(__xludf.DUMMYFUNCTION("""COMPUTED_VALUE"""),"10/19")</f>
        <v>10/19</v>
      </c>
      <c r="J2334" s="5">
        <f>IFERROR(__xludf.DUMMYFUNCTION("""COMPUTED_VALUE"""),43784.0)</f>
        <v>43784</v>
      </c>
      <c r="K2334">
        <f>IFERROR(__xludf.DUMMYFUNCTION("""COMPUTED_VALUE"""),36.0)</f>
        <v>36</v>
      </c>
      <c r="L2334">
        <f>IFERROR(__xludf.DUMMYFUNCTION("""COMPUTED_VALUE"""),2.0)</f>
        <v>2</v>
      </c>
      <c r="M2334">
        <f>IFERROR(__xludf.DUMMYFUNCTION("""COMPUTED_VALUE"""),38.0)</f>
        <v>38</v>
      </c>
      <c r="N2334" t="str">
        <f>IFERROR(__xludf.DUMMYFUNCTION("""COMPUTED_VALUE"""),"Model 3 Performance")</f>
        <v>Model 3 Performance</v>
      </c>
      <c r="O2334" t="str">
        <f>IFERROR(__xludf.DUMMYFUNCTION("""COMPUTED_VALUE"""),"Red Multi-Coat")</f>
        <v>Red Multi-Coat</v>
      </c>
      <c r="P2334" t="str">
        <f>IFERROR(__xludf.DUMMYFUNCTION("""COMPUTED_VALUE"""),"18 inch Aero")</f>
        <v>18 inch Aero</v>
      </c>
      <c r="Q2334" t="str">
        <f>IFERROR(__xludf.DUMMYFUNCTION("""COMPUTED_VALUE"""),"Black seats")</f>
        <v>Black seats</v>
      </c>
      <c r="R2334" t="str">
        <f>IFERROR(__xludf.DUMMYFUNCTION("""COMPUTED_VALUE"""),"Full Self-Driving")</f>
        <v>Full Self-Driving</v>
      </c>
      <c r="X2334" t="str">
        <f>IFERROR(__xludf.DUMMYFUNCTION("""COMPUTED_VALUE"""),"Excellent")</f>
        <v>Excellent</v>
      </c>
      <c r="Y2334" t="str">
        <f>IFERROR(__xludf.DUMMYFUNCTION("""COMPUTED_VALUE"""),"Excellent")</f>
        <v>Excellent</v>
      </c>
      <c r="Z2334" t="str">
        <f>IFERROR(__xludf.DUMMYFUNCTION("""COMPUTED_VALUE"""),"Excellent")</f>
        <v>Excellent</v>
      </c>
      <c r="AA2334" t="str">
        <f>IFERROR(__xludf.DUMMYFUNCTION("""COMPUTED_VALUE"""),"Excellent")</f>
        <v>Excellent</v>
      </c>
      <c r="AB2334" t="str">
        <f>IFERROR(__xludf.DUMMYFUNCTION("""COMPUTED_VALUE"""),"Excellent")</f>
        <v>Excellent</v>
      </c>
      <c r="AC2334">
        <f>IFERROR(__xludf.DUMMYFUNCTION("""COMPUTED_VALUE"""),1.0)</f>
        <v>1</v>
      </c>
      <c r="AD2334">
        <f>IFERROR(__xludf.DUMMYFUNCTION("""COMPUTED_VALUE"""),2.0)</f>
        <v>2</v>
      </c>
      <c r="AH2334" s="189">
        <f>IFERROR(__xludf.DUMMYFUNCTION("""COMPUTED_VALUE"""),43894.64787197916)</f>
        <v>43894.64787</v>
      </c>
    </row>
    <row r="2335">
      <c r="A2335" t="str">
        <f>IFERROR(__xludf.DUMMYFUNCTION("""COMPUTED_VALUE"""),"BlueSteel24")</f>
        <v>BlueSteel24</v>
      </c>
      <c r="B2335" t="str">
        <f>IFERROR(__xludf.DUMMYFUNCTION("""COMPUTED_VALUE"""),"PDX Area")</f>
        <v>PDX Area</v>
      </c>
      <c r="C2335" t="str">
        <f>IFERROR(__xludf.DUMMYFUNCTION("""COMPUTED_VALUE"""),"WA")</f>
        <v>WA</v>
      </c>
      <c r="D2335" t="str">
        <f>IFERROR(__xludf.DUMMYFUNCTION("""COMPUTED_VALUE"""),"USA")</f>
        <v>USA</v>
      </c>
      <c r="E2335" s="188">
        <f>IFERROR(__xludf.DUMMYFUNCTION("""COMPUTED_VALUE"""),43842.0)</f>
        <v>43842</v>
      </c>
      <c r="F2335" s="188">
        <f>IFERROR(__xludf.DUMMYFUNCTION("""COMPUTED_VALUE"""),43890.0)</f>
        <v>43890</v>
      </c>
      <c r="H2335" s="4">
        <f>IFERROR(__xludf.DUMMYFUNCTION("""COMPUTED_VALUE"""),647082.0)</f>
        <v>647082</v>
      </c>
      <c r="J2335" s="5">
        <f>IFERROR(__xludf.DUMMYFUNCTION("""COMPUTED_VALUE"""),43894.0)</f>
        <v>43894</v>
      </c>
      <c r="K2335">
        <f>IFERROR(__xludf.DUMMYFUNCTION("""COMPUTED_VALUE"""),48.0)</f>
        <v>48</v>
      </c>
      <c r="L2335">
        <f>IFERROR(__xludf.DUMMYFUNCTION("""COMPUTED_VALUE"""),4.0)</f>
        <v>4</v>
      </c>
      <c r="M2335">
        <f>IFERROR(__xludf.DUMMYFUNCTION("""COMPUTED_VALUE"""),52.0)</f>
        <v>52</v>
      </c>
      <c r="N2335" t="str">
        <f>IFERROR(__xludf.DUMMYFUNCTION("""COMPUTED_VALUE"""),"Model 3 Performance")</f>
        <v>Model 3 Performance</v>
      </c>
      <c r="O2335" t="str">
        <f>IFERROR(__xludf.DUMMYFUNCTION("""COMPUTED_VALUE"""),"Deep Blue Metallic")</f>
        <v>Deep Blue Metallic</v>
      </c>
      <c r="P2335" t="str">
        <f>IFERROR(__xludf.DUMMYFUNCTION("""COMPUTED_VALUE"""),"20 inch Sport")</f>
        <v>20 inch Sport</v>
      </c>
      <c r="Q2335" t="str">
        <f>IFERROR(__xludf.DUMMYFUNCTION("""COMPUTED_VALUE"""),"Black seats")</f>
        <v>Black seats</v>
      </c>
      <c r="R2335" t="str">
        <f>IFERROR(__xludf.DUMMYFUNCTION("""COMPUTED_VALUE"""),"Full Self-Driving")</f>
        <v>Full Self-Driving</v>
      </c>
      <c r="X2335" t="str">
        <f>IFERROR(__xludf.DUMMYFUNCTION("""COMPUTED_VALUE"""),"Excellent")</f>
        <v>Excellent</v>
      </c>
      <c r="Y2335" t="str">
        <f>IFERROR(__xludf.DUMMYFUNCTION("""COMPUTED_VALUE"""),"Excellent")</f>
        <v>Excellent</v>
      </c>
      <c r="Z2335" t="str">
        <f>IFERROR(__xludf.DUMMYFUNCTION("""COMPUTED_VALUE"""),"Excellent")</f>
        <v>Excellent</v>
      </c>
      <c r="AA2335" t="str">
        <f>IFERROR(__xludf.DUMMYFUNCTION("""COMPUTED_VALUE"""),"Good")</f>
        <v>Good</v>
      </c>
      <c r="AB2335" t="str">
        <f>IFERROR(__xludf.DUMMYFUNCTION("""COMPUTED_VALUE"""),"Excellent")</f>
        <v>Excellent</v>
      </c>
      <c r="AG2335" t="str">
        <f>IFERROR(__xludf.DUMMYFUNCTION("""COMPUTED_VALUE"""),"Picked up on 3/4!! 2/30 - Scheduled delivery -- 2/29 - VIN in source --- 2/24 text: 2-5 weeks --- 2/6 text: 4-7 weeks --- 1/23 text: 4-10 weeks")</f>
        <v>Picked up on 3/4!! 2/30 - Scheduled delivery -- 2/29 - VIN in source --- 2/24 text: 2-5 weeks --- 2/6 text: 4-7 weeks --- 1/23 text: 4-10 weeks</v>
      </c>
      <c r="AH2335" s="189">
        <f>IFERROR(__xludf.DUMMYFUNCTION("""COMPUTED_VALUE"""),43894.86278260416)</f>
        <v>43894.86278</v>
      </c>
    </row>
    <row r="2336">
      <c r="A2336" t="str">
        <f>IFERROR(__xludf.DUMMYFUNCTION("""COMPUTED_VALUE"""),"WMHome")</f>
        <v>WMHome</v>
      </c>
      <c r="B2336" t="str">
        <f>IFERROR(__xludf.DUMMYFUNCTION("""COMPUTED_VALUE"""),"NE NJ")</f>
        <v>NE NJ</v>
      </c>
      <c r="C2336" t="str">
        <f>IFERROR(__xludf.DUMMYFUNCTION("""COMPUTED_VALUE"""),"NJ")</f>
        <v>NJ</v>
      </c>
      <c r="D2336" t="str">
        <f>IFERROR(__xludf.DUMMYFUNCTION("""COMPUTED_VALUE"""),"USA")</f>
        <v>USA</v>
      </c>
      <c r="E2336" s="188">
        <f>IFERROR(__xludf.DUMMYFUNCTION("""COMPUTED_VALUE"""),43858.0)</f>
        <v>43858</v>
      </c>
      <c r="F2336" s="188">
        <f>IFERROR(__xludf.DUMMYFUNCTION("""COMPUTED_VALUE"""),43881.0)</f>
        <v>43881</v>
      </c>
      <c r="H2336">
        <f>IFERROR(__xludf.DUMMYFUNCTION("""COMPUTED_VALUE"""),646255.0)</f>
        <v>646255</v>
      </c>
      <c r="J2336" s="5">
        <f>IFERROR(__xludf.DUMMYFUNCTION("""COMPUTED_VALUE"""),43894.0)</f>
        <v>43894</v>
      </c>
      <c r="K2336">
        <f>IFERROR(__xludf.DUMMYFUNCTION("""COMPUTED_VALUE"""),23.0)</f>
        <v>23</v>
      </c>
      <c r="L2336">
        <f>IFERROR(__xludf.DUMMYFUNCTION("""COMPUTED_VALUE"""),13.0)</f>
        <v>13</v>
      </c>
      <c r="M2336">
        <f>IFERROR(__xludf.DUMMYFUNCTION("""COMPUTED_VALUE"""),36.0)</f>
        <v>36</v>
      </c>
      <c r="N2336" t="str">
        <f>IFERROR(__xludf.DUMMYFUNCTION("""COMPUTED_VALUE"""),"Model 3 LR AWD")</f>
        <v>Model 3 LR AWD</v>
      </c>
      <c r="O2336" t="str">
        <f>IFERROR(__xludf.DUMMYFUNCTION("""COMPUTED_VALUE"""),"Midnight Silver Metallic")</f>
        <v>Midnight Silver Metallic</v>
      </c>
      <c r="P2336" t="str">
        <f>IFERROR(__xludf.DUMMYFUNCTION("""COMPUTED_VALUE"""),"18 inch Aero")</f>
        <v>18 inch Aero</v>
      </c>
      <c r="Q2336" t="str">
        <f>IFERROR(__xludf.DUMMYFUNCTION("""COMPUTED_VALUE"""),"Black seats")</f>
        <v>Black seats</v>
      </c>
      <c r="R2336" t="str">
        <f>IFERROR(__xludf.DUMMYFUNCTION("""COMPUTED_VALUE"""),"Autopilot")</f>
        <v>Autopilot</v>
      </c>
      <c r="X2336" t="str">
        <f>IFERROR(__xludf.DUMMYFUNCTION("""COMPUTED_VALUE"""),"Excellent")</f>
        <v>Excellent</v>
      </c>
      <c r="Y2336" t="str">
        <f>IFERROR(__xludf.DUMMYFUNCTION("""COMPUTED_VALUE"""),"Excellent")</f>
        <v>Excellent</v>
      </c>
      <c r="Z2336" t="str">
        <f>IFERROR(__xludf.DUMMYFUNCTION("""COMPUTED_VALUE"""),"Excellent")</f>
        <v>Excellent</v>
      </c>
      <c r="AA2336" t="str">
        <f>IFERROR(__xludf.DUMMYFUNCTION("""COMPUTED_VALUE"""),"Excellent")</f>
        <v>Excellent</v>
      </c>
      <c r="AB2336" t="str">
        <f>IFERROR(__xludf.DUMMYFUNCTION("""COMPUTED_VALUE"""),"Excellent")</f>
        <v>Excellent</v>
      </c>
      <c r="AG2336" t="str">
        <f>IFERROR(__xludf.DUMMYFUNCTION("""COMPUTED_VALUE"""),"VIN in source on Feb 20, scheduling delivery same morning, called 2 days earlier than scheduled")</f>
        <v>VIN in source on Feb 20, scheduling delivery same morning, called 2 days earlier than scheduled</v>
      </c>
      <c r="AH2336" s="189">
        <f>IFERROR(__xludf.DUMMYFUNCTION("""COMPUTED_VALUE"""),43895.102859293984)</f>
        <v>43895.10286</v>
      </c>
    </row>
    <row r="2337">
      <c r="A2337" t="str">
        <f>IFERROR(__xludf.DUMMYFUNCTION("""COMPUTED_VALUE"""),"pacopico")</f>
        <v>pacopico</v>
      </c>
      <c r="B2337" t="str">
        <f>IFERROR(__xludf.DUMMYFUNCTION("""COMPUTED_VALUE"""),"Gig Harbor")</f>
        <v>Gig Harbor</v>
      </c>
      <c r="C2337" t="str">
        <f>IFERROR(__xludf.DUMMYFUNCTION("""COMPUTED_VALUE"""),"WA")</f>
        <v>WA</v>
      </c>
      <c r="D2337" t="str">
        <f>IFERROR(__xludf.DUMMYFUNCTION("""COMPUTED_VALUE"""),"USA")</f>
        <v>USA</v>
      </c>
      <c r="E2337" s="188">
        <f>IFERROR(__xludf.DUMMYFUNCTION("""COMPUTED_VALUE"""),43887.0)</f>
        <v>43887</v>
      </c>
      <c r="I2337" t="str">
        <f>IFERROR(__xludf.DUMMYFUNCTION("""COMPUTED_VALUE"""),"12/19")</f>
        <v>12/19</v>
      </c>
      <c r="J2337" s="5">
        <f>IFERROR(__xludf.DUMMYFUNCTION("""COMPUTED_VALUE"""),43894.0)</f>
        <v>43894</v>
      </c>
      <c r="M2337">
        <f>IFERROR(__xludf.DUMMYFUNCTION("""COMPUTED_VALUE"""),7.0)</f>
        <v>7</v>
      </c>
      <c r="N2337" t="str">
        <f>IFERROR(__xludf.DUMMYFUNCTION("""COMPUTED_VALUE"""),"Model 3 Performance")</f>
        <v>Model 3 Performance</v>
      </c>
      <c r="O2337" t="str">
        <f>IFERROR(__xludf.DUMMYFUNCTION("""COMPUTED_VALUE"""),"Deep Blue Metallic")</f>
        <v>Deep Blue Metallic</v>
      </c>
      <c r="P2337" t="str">
        <f>IFERROR(__xludf.DUMMYFUNCTION("""COMPUTED_VALUE"""),"20 inch Sport")</f>
        <v>20 inch Sport</v>
      </c>
      <c r="Q2337" t="str">
        <f>IFERROR(__xludf.DUMMYFUNCTION("""COMPUTED_VALUE"""),"Black seats")</f>
        <v>Black seats</v>
      </c>
      <c r="R2337" t="str">
        <f>IFERROR(__xludf.DUMMYFUNCTION("""COMPUTED_VALUE"""),"Autopilot")</f>
        <v>Autopilot</v>
      </c>
      <c r="X2337" t="str">
        <f>IFERROR(__xludf.DUMMYFUNCTION("""COMPUTED_VALUE"""),"Excellent")</f>
        <v>Excellent</v>
      </c>
      <c r="Y2337" t="str">
        <f>IFERROR(__xludf.DUMMYFUNCTION("""COMPUTED_VALUE"""),"Excellent")</f>
        <v>Excellent</v>
      </c>
      <c r="Z2337" t="str">
        <f>IFERROR(__xludf.DUMMYFUNCTION("""COMPUTED_VALUE"""),"Excellent")</f>
        <v>Excellent</v>
      </c>
      <c r="AA2337" t="str">
        <f>IFERROR(__xludf.DUMMYFUNCTION("""COMPUTED_VALUE"""),"Excellent")</f>
        <v>Excellent</v>
      </c>
      <c r="AB2337" t="str">
        <f>IFERROR(__xludf.DUMMYFUNCTION("""COMPUTED_VALUE"""),"Poor")</f>
        <v>Poor</v>
      </c>
      <c r="AG2337" t="str">
        <f>IFERROR(__xludf.DUMMYFUNCTION("""COMPUTED_VALUE"""),"Switched reservation car to a demo car that was in stock")</f>
        <v>Switched reservation car to a demo car that was in stock</v>
      </c>
      <c r="AH2337" s="189">
        <f>IFERROR(__xludf.DUMMYFUNCTION("""COMPUTED_VALUE"""),43895.32274584491)</f>
        <v>43895.32275</v>
      </c>
    </row>
    <row r="2338">
      <c r="A2338" t="str">
        <f>IFERROR(__xludf.DUMMYFUNCTION("""COMPUTED_VALUE"""),"Technological")</f>
        <v>Technological</v>
      </c>
      <c r="B2338" t="str">
        <f>IFERROR(__xludf.DUMMYFUNCTION("""COMPUTED_VALUE"""),"Abbotsford")</f>
        <v>Abbotsford</v>
      </c>
      <c r="C2338" t="str">
        <f>IFERROR(__xludf.DUMMYFUNCTION("""COMPUTED_VALUE"""),"BC")</f>
        <v>BC</v>
      </c>
      <c r="D2338" t="str">
        <f>IFERROR(__xludf.DUMMYFUNCTION("""COMPUTED_VALUE"""),"Canada")</f>
        <v>Canada</v>
      </c>
      <c r="E2338" s="188">
        <f>IFERROR(__xludf.DUMMYFUNCTION("""COMPUTED_VALUE"""),43840.0)</f>
        <v>43840</v>
      </c>
      <c r="F2338" s="188">
        <f>IFERROR(__xludf.DUMMYFUNCTION("""COMPUTED_VALUE"""),43874.0)</f>
        <v>43874</v>
      </c>
      <c r="H2338">
        <f>IFERROR(__xludf.DUMMYFUNCTION("""COMPUTED_VALUE"""),643675.0)</f>
        <v>643675</v>
      </c>
      <c r="I2338" t="str">
        <f>IFERROR(__xludf.DUMMYFUNCTION("""COMPUTED_VALUE"""),"12/19")</f>
        <v>12/19</v>
      </c>
      <c r="J2338" s="5">
        <f>IFERROR(__xludf.DUMMYFUNCTION("""COMPUTED_VALUE"""),43877.0)</f>
        <v>43877</v>
      </c>
      <c r="K2338">
        <f>IFERROR(__xludf.DUMMYFUNCTION("""COMPUTED_VALUE"""),34.0)</f>
        <v>34</v>
      </c>
      <c r="L2338">
        <f>IFERROR(__xludf.DUMMYFUNCTION("""COMPUTED_VALUE"""),3.0)</f>
        <v>3</v>
      </c>
      <c r="M2338">
        <f>IFERROR(__xludf.DUMMYFUNCTION("""COMPUTED_VALUE"""),37.0)</f>
        <v>37</v>
      </c>
      <c r="N2338" t="str">
        <f>IFERROR(__xludf.DUMMYFUNCTION("""COMPUTED_VALUE"""),"Model 3 Performance")</f>
        <v>Model 3 Performance</v>
      </c>
      <c r="O2338" t="str">
        <f>IFERROR(__xludf.DUMMYFUNCTION("""COMPUTED_VALUE"""),"Deep Blue Metallic")</f>
        <v>Deep Blue Metallic</v>
      </c>
      <c r="P2338" t="str">
        <f>IFERROR(__xludf.DUMMYFUNCTION("""COMPUTED_VALUE"""),"20 inch Sport")</f>
        <v>20 inch Sport</v>
      </c>
      <c r="Q2338" t="str">
        <f>IFERROR(__xludf.DUMMYFUNCTION("""COMPUTED_VALUE"""),"Black seats")</f>
        <v>Black seats</v>
      </c>
      <c r="R2338" t="str">
        <f>IFERROR(__xludf.DUMMYFUNCTION("""COMPUTED_VALUE"""),"Full Self-Driving")</f>
        <v>Full Self-Driving</v>
      </c>
      <c r="X2338" t="str">
        <f>IFERROR(__xludf.DUMMYFUNCTION("""COMPUTED_VALUE"""),"Excellent")</f>
        <v>Excellent</v>
      </c>
      <c r="Y2338" t="str">
        <f>IFERROR(__xludf.DUMMYFUNCTION("""COMPUTED_VALUE"""),"Good")</f>
        <v>Good</v>
      </c>
      <c r="Z2338" t="str">
        <f>IFERROR(__xludf.DUMMYFUNCTION("""COMPUTED_VALUE"""),"Very Good")</f>
        <v>Very Good</v>
      </c>
      <c r="AA2338" t="str">
        <f>IFERROR(__xludf.DUMMYFUNCTION("""COMPUTED_VALUE"""),"Good")</f>
        <v>Good</v>
      </c>
      <c r="AB2338" t="str">
        <f>IFERROR(__xludf.DUMMYFUNCTION("""COMPUTED_VALUE"""),"Very Good")</f>
        <v>Very Good</v>
      </c>
      <c r="AC2338">
        <f>IFERROR(__xludf.DUMMYFUNCTION("""COMPUTED_VALUE"""),0.0)</f>
        <v>0</v>
      </c>
      <c r="AD2338">
        <f>IFERROR(__xludf.DUMMYFUNCTION("""COMPUTED_VALUE"""),1.0)</f>
        <v>1</v>
      </c>
      <c r="AE2338">
        <f>IFERROR(__xludf.DUMMYFUNCTION("""COMPUTED_VALUE"""),0.0)</f>
        <v>0</v>
      </c>
      <c r="AG2338" t="str">
        <f>IFERROR(__xludf.DUMMYFUNCTION("""COMPUTED_VALUE"""),"Original order was due mid march. On Feb 13th I noticed a Deep Blue Metallic Performance showing in inventory and emailed my SA to swap. Still waiting confirmation but order switched same say and page populated with hidden VIN within an hour of my convers"&amp;"ation. ")</f>
        <v>Original order was due mid march. On Feb 13th I noticed a Deep Blue Metallic Performance showing in inventory and emailed my SA to swap. Still waiting confirmation but order switched same say and page populated with hidden VIN within an hour of my conversation. </v>
      </c>
      <c r="AH2338" s="189">
        <f>IFERROR(__xludf.DUMMYFUNCTION("""COMPUTED_VALUE"""),43895.44909230324)</f>
        <v>43895.44909</v>
      </c>
    </row>
    <row r="2339">
      <c r="A2339" t="str">
        <f>IFERROR(__xludf.DUMMYFUNCTION("""COMPUTED_VALUE"""),"JG ")</f>
        <v>JG </v>
      </c>
      <c r="B2339" t="str">
        <f>IFERROR(__xludf.DUMMYFUNCTION("""COMPUTED_VALUE"""),"Luxembourg")</f>
        <v>Luxembourg</v>
      </c>
      <c r="D2339" t="str">
        <f>IFERROR(__xludf.DUMMYFUNCTION("""COMPUTED_VALUE"""),"Other (include country together with city)")</f>
        <v>Other (include country together with city)</v>
      </c>
      <c r="E2339" s="188">
        <f>IFERROR(__xludf.DUMMYFUNCTION("""COMPUTED_VALUE"""),43813.0)</f>
        <v>43813</v>
      </c>
      <c r="F2339" s="188">
        <f>IFERROR(__xludf.DUMMYFUNCTION("""COMPUTED_VALUE"""),43866.0)</f>
        <v>43866</v>
      </c>
      <c r="H2339">
        <f>IFERROR(__xludf.DUMMYFUNCTION("""COMPUTED_VALUE"""),652986.0)</f>
        <v>652986</v>
      </c>
      <c r="J2339" s="5">
        <f>IFERROR(__xludf.DUMMYFUNCTION("""COMPUTED_VALUE"""),43895.0)</f>
        <v>43895</v>
      </c>
      <c r="K2339">
        <f>IFERROR(__xludf.DUMMYFUNCTION("""COMPUTED_VALUE"""),53.0)</f>
        <v>53</v>
      </c>
      <c r="L2339">
        <f>IFERROR(__xludf.DUMMYFUNCTION("""COMPUTED_VALUE"""),29.0)</f>
        <v>29</v>
      </c>
      <c r="M2339">
        <f>IFERROR(__xludf.DUMMYFUNCTION("""COMPUTED_VALUE"""),82.0)</f>
        <v>82</v>
      </c>
      <c r="N2339" t="str">
        <f>IFERROR(__xludf.DUMMYFUNCTION("""COMPUTED_VALUE"""),"Model 3 Performance")</f>
        <v>Model 3 Performance</v>
      </c>
      <c r="O2339" t="str">
        <f>IFERROR(__xludf.DUMMYFUNCTION("""COMPUTED_VALUE"""),"Deep Blue Metallic")</f>
        <v>Deep Blue Metallic</v>
      </c>
      <c r="P2339" t="str">
        <f>IFERROR(__xludf.DUMMYFUNCTION("""COMPUTED_VALUE"""),"20 inch Sport")</f>
        <v>20 inch Sport</v>
      </c>
      <c r="Q2339" t="str">
        <f>IFERROR(__xludf.DUMMYFUNCTION("""COMPUTED_VALUE"""),"White seats")</f>
        <v>White seats</v>
      </c>
      <c r="R2339" t="str">
        <f>IFERROR(__xludf.DUMMYFUNCTION("""COMPUTED_VALUE"""),"Full Self-Driving")</f>
        <v>Full Self-Driving</v>
      </c>
      <c r="X2339" t="str">
        <f>IFERROR(__xludf.DUMMYFUNCTION("""COMPUTED_VALUE"""),"Excellent")</f>
        <v>Excellent</v>
      </c>
      <c r="Y2339" t="str">
        <f>IFERROR(__xludf.DUMMYFUNCTION("""COMPUTED_VALUE"""),"Very Good")</f>
        <v>Very Good</v>
      </c>
      <c r="Z2339" t="str">
        <f>IFERROR(__xludf.DUMMYFUNCTION("""COMPUTED_VALUE"""),"Very Good")</f>
        <v>Very Good</v>
      </c>
      <c r="AA2339" t="str">
        <f>IFERROR(__xludf.DUMMYFUNCTION("""COMPUTED_VALUE"""),"Excellent")</f>
        <v>Excellent</v>
      </c>
      <c r="AB2339" t="str">
        <f>IFERROR(__xludf.DUMMYFUNCTION("""COMPUTED_VALUE"""),"Excellent")</f>
        <v>Excellent</v>
      </c>
      <c r="AC2339">
        <f>IFERROR(__xludf.DUMMYFUNCTION("""COMPUTED_VALUE"""),3.0)</f>
        <v>3</v>
      </c>
      <c r="AD2339">
        <f>IFERROR(__xludf.DUMMYFUNCTION("""COMPUTED_VALUE"""),1.0)</f>
        <v>1</v>
      </c>
      <c r="AH2339" s="189">
        <f>IFERROR(__xludf.DUMMYFUNCTION("""COMPUTED_VALUE"""),43895.4542787963)</f>
        <v>43895.45428</v>
      </c>
    </row>
    <row r="2340">
      <c r="A2340" t="str">
        <f>IFERROR(__xludf.DUMMYFUNCTION("""COMPUTED_VALUE"""),"bigt4203")</f>
        <v>bigt4203</v>
      </c>
      <c r="B2340" t="str">
        <f>IFERROR(__xludf.DUMMYFUNCTION("""COMPUTED_VALUE"""),"Oak Harbor")</f>
        <v>Oak Harbor</v>
      </c>
      <c r="C2340" t="str">
        <f>IFERROR(__xludf.DUMMYFUNCTION("""COMPUTED_VALUE"""),"WA")</f>
        <v>WA</v>
      </c>
      <c r="D2340" t="str">
        <f>IFERROR(__xludf.DUMMYFUNCTION("""COMPUTED_VALUE"""),"USA")</f>
        <v>USA</v>
      </c>
      <c r="E2340" s="188">
        <f>IFERROR(__xludf.DUMMYFUNCTION("""COMPUTED_VALUE"""),43841.0)</f>
        <v>43841</v>
      </c>
      <c r="F2340" s="188">
        <f>IFERROR(__xludf.DUMMYFUNCTION("""COMPUTED_VALUE"""),43890.0)</f>
        <v>43890</v>
      </c>
      <c r="H2340">
        <f>IFERROR(__xludf.DUMMYFUNCTION("""COMPUTED_VALUE"""),641434.0)</f>
        <v>641434</v>
      </c>
      <c r="J2340" s="5">
        <f>IFERROR(__xludf.DUMMYFUNCTION("""COMPUTED_VALUE"""),43893.0)</f>
        <v>43893</v>
      </c>
      <c r="K2340">
        <f>IFERROR(__xludf.DUMMYFUNCTION("""COMPUTED_VALUE"""),49.0)</f>
        <v>49</v>
      </c>
      <c r="L2340">
        <f>IFERROR(__xludf.DUMMYFUNCTION("""COMPUTED_VALUE"""),3.0)</f>
        <v>3</v>
      </c>
      <c r="M2340">
        <f>IFERROR(__xludf.DUMMYFUNCTION("""COMPUTED_VALUE"""),52.0)</f>
        <v>52</v>
      </c>
      <c r="N2340" t="str">
        <f>IFERROR(__xludf.DUMMYFUNCTION("""COMPUTED_VALUE"""),"Model 3 Performance")</f>
        <v>Model 3 Performance</v>
      </c>
      <c r="O2340" t="str">
        <f>IFERROR(__xludf.DUMMYFUNCTION("""COMPUTED_VALUE"""),"Pearl White Multi-Coat")</f>
        <v>Pearl White Multi-Coat</v>
      </c>
      <c r="P2340" t="str">
        <f>IFERROR(__xludf.DUMMYFUNCTION("""COMPUTED_VALUE"""),"20 inch Sport")</f>
        <v>20 inch Sport</v>
      </c>
      <c r="Q2340" t="str">
        <f>IFERROR(__xludf.DUMMYFUNCTION("""COMPUTED_VALUE"""),"Black seats")</f>
        <v>Black seats</v>
      </c>
      <c r="R2340" t="str">
        <f>IFERROR(__xludf.DUMMYFUNCTION("""COMPUTED_VALUE"""),"Autopilot")</f>
        <v>Autopilot</v>
      </c>
      <c r="X2340" t="str">
        <f>IFERROR(__xludf.DUMMYFUNCTION("""COMPUTED_VALUE"""),"Excellent")</f>
        <v>Excellent</v>
      </c>
      <c r="Y2340" t="str">
        <f>IFERROR(__xludf.DUMMYFUNCTION("""COMPUTED_VALUE"""),"Very Good")</f>
        <v>Very Good</v>
      </c>
      <c r="Z2340" t="str">
        <f>IFERROR(__xludf.DUMMYFUNCTION("""COMPUTED_VALUE"""),"Excellent")</f>
        <v>Excellent</v>
      </c>
      <c r="AA2340" t="str">
        <f>IFERROR(__xludf.DUMMYFUNCTION("""COMPUTED_VALUE"""),"Fair")</f>
        <v>Fair</v>
      </c>
      <c r="AB2340" t="str">
        <f>IFERROR(__xludf.DUMMYFUNCTION("""COMPUTED_VALUE"""),"Excellent")</f>
        <v>Excellent</v>
      </c>
      <c r="AC2340">
        <f>IFERROR(__xludf.DUMMYFUNCTION("""COMPUTED_VALUE"""),1.0)</f>
        <v>1</v>
      </c>
      <c r="AD2340">
        <f>IFERROR(__xludf.DUMMYFUNCTION("""COMPUTED_VALUE"""),0.0)</f>
        <v>0</v>
      </c>
      <c r="AE2340">
        <f>IFERROR(__xludf.DUMMYFUNCTION("""COMPUTED_VALUE"""),0.0)</f>
        <v>0</v>
      </c>
      <c r="AG2340" t="str">
        <f>IFERROR(__xludf.DUMMYFUNCTION("""COMPUTED_VALUE"""),"My SA was awesome, answered any questions I had.")</f>
        <v>My SA was awesome, answered any questions I had.</v>
      </c>
      <c r="AH2340" s="189">
        <f>IFERROR(__xludf.DUMMYFUNCTION("""COMPUTED_VALUE"""),43895.82241864583)</f>
        <v>43895.82242</v>
      </c>
    </row>
    <row r="2341">
      <c r="A2341" t="str">
        <f>IFERROR(__xludf.DUMMYFUNCTION("""COMPUTED_VALUE"""),"Dallen")</f>
        <v>Dallen</v>
      </c>
      <c r="B2341" t="str">
        <f>IFERROR(__xludf.DUMMYFUNCTION("""COMPUTED_VALUE"""),"Boulder")</f>
        <v>Boulder</v>
      </c>
      <c r="C2341" t="str">
        <f>IFERROR(__xludf.DUMMYFUNCTION("""COMPUTED_VALUE"""),"CO")</f>
        <v>CO</v>
      </c>
      <c r="D2341" t="str">
        <f>IFERROR(__xludf.DUMMYFUNCTION("""COMPUTED_VALUE"""),"USA")</f>
        <v>USA</v>
      </c>
      <c r="E2341" s="188">
        <f>IFERROR(__xludf.DUMMYFUNCTION("""COMPUTED_VALUE"""),43867.0)</f>
        <v>43867</v>
      </c>
      <c r="F2341" s="188">
        <f>IFERROR(__xludf.DUMMYFUNCTION("""COMPUTED_VALUE"""),43889.0)</f>
        <v>43889</v>
      </c>
      <c r="H2341">
        <f>IFERROR(__xludf.DUMMYFUNCTION("""COMPUTED_VALUE"""),663426.0)</f>
        <v>663426</v>
      </c>
      <c r="J2341" s="5">
        <f>IFERROR(__xludf.DUMMYFUNCTION("""COMPUTED_VALUE"""),43895.0)</f>
        <v>43895</v>
      </c>
      <c r="K2341">
        <f>IFERROR(__xludf.DUMMYFUNCTION("""COMPUTED_VALUE"""),22.0)</f>
        <v>22</v>
      </c>
      <c r="L2341">
        <f>IFERROR(__xludf.DUMMYFUNCTION("""COMPUTED_VALUE"""),6.0)</f>
        <v>6</v>
      </c>
      <c r="M2341">
        <f>IFERROR(__xludf.DUMMYFUNCTION("""COMPUTED_VALUE"""),28.0)</f>
        <v>28</v>
      </c>
      <c r="N2341" t="str">
        <f>IFERROR(__xludf.DUMMYFUNCTION("""COMPUTED_VALUE"""),"Model 3 LR AWD")</f>
        <v>Model 3 LR AWD</v>
      </c>
      <c r="O2341" t="str">
        <f>IFERROR(__xludf.DUMMYFUNCTION("""COMPUTED_VALUE"""),"Midnight Silver Metallic")</f>
        <v>Midnight Silver Metallic</v>
      </c>
      <c r="P2341" t="str">
        <f>IFERROR(__xludf.DUMMYFUNCTION("""COMPUTED_VALUE"""),"18 inch Aero")</f>
        <v>18 inch Aero</v>
      </c>
      <c r="Q2341" t="str">
        <f>IFERROR(__xludf.DUMMYFUNCTION("""COMPUTED_VALUE"""),"Black seats")</f>
        <v>Black seats</v>
      </c>
      <c r="R2341" t="str">
        <f>IFERROR(__xludf.DUMMYFUNCTION("""COMPUTED_VALUE"""),"Autopilot")</f>
        <v>Autopilot</v>
      </c>
      <c r="X2341" t="str">
        <f>IFERROR(__xludf.DUMMYFUNCTION("""COMPUTED_VALUE"""),"Very Good")</f>
        <v>Very Good</v>
      </c>
      <c r="Y2341" t="str">
        <f>IFERROR(__xludf.DUMMYFUNCTION("""COMPUTED_VALUE"""),"Very Good")</f>
        <v>Very Good</v>
      </c>
      <c r="Z2341" t="str">
        <f>IFERROR(__xludf.DUMMYFUNCTION("""COMPUTED_VALUE"""),"Very Good")</f>
        <v>Very Good</v>
      </c>
      <c r="AA2341" t="str">
        <f>IFERROR(__xludf.DUMMYFUNCTION("""COMPUTED_VALUE"""),"Fair")</f>
        <v>Fair</v>
      </c>
      <c r="AB2341" t="str">
        <f>IFERROR(__xludf.DUMMYFUNCTION("""COMPUTED_VALUE"""),"Poor")</f>
        <v>Poor</v>
      </c>
      <c r="AG2341" t="str">
        <f>IFERROR(__xludf.DUMMYFUNCTION("""COMPUTED_VALUE"""),"2/24/2020 received txt that delivery will be in 2-6 weeks. ")</f>
        <v>2/24/2020 received txt that delivery will be in 2-6 weeks. </v>
      </c>
      <c r="AH2341" s="189">
        <f>IFERROR(__xludf.DUMMYFUNCTION("""COMPUTED_VALUE"""),43895.907288912036)</f>
        <v>43895.90729</v>
      </c>
    </row>
    <row r="2342">
      <c r="A2342" t="str">
        <f>IFERROR(__xludf.DUMMYFUNCTION("""COMPUTED_VALUE"""),"_dr4k3")</f>
        <v>_dr4k3</v>
      </c>
      <c r="B2342" t="str">
        <f>IFERROR(__xludf.DUMMYFUNCTION("""COMPUTED_VALUE"""),"Prague, Czech Republic")</f>
        <v>Prague, Czech Republic</v>
      </c>
      <c r="D2342" t="str">
        <f>IFERROR(__xludf.DUMMYFUNCTION("""COMPUTED_VALUE"""),"Other (include country together with city)")</f>
        <v>Other (include country together with city)</v>
      </c>
      <c r="E2342" s="188">
        <f>IFERROR(__xludf.DUMMYFUNCTION("""COMPUTED_VALUE"""),43745.0)</f>
        <v>43745</v>
      </c>
      <c r="F2342" s="188">
        <f>IFERROR(__xludf.DUMMYFUNCTION("""COMPUTED_VALUE"""),43889.0)</f>
        <v>43889</v>
      </c>
      <c r="H2342">
        <f>IFERROR(__xludf.DUMMYFUNCTION("""COMPUTED_VALUE"""),674355.0)</f>
        <v>674355</v>
      </c>
      <c r="J2342" s="5">
        <f>IFERROR(__xludf.DUMMYFUNCTION("""COMPUTED_VALUE"""),43895.0)</f>
        <v>43895</v>
      </c>
      <c r="K2342">
        <f>IFERROR(__xludf.DUMMYFUNCTION("""COMPUTED_VALUE"""),144.0)</f>
        <v>144</v>
      </c>
      <c r="L2342">
        <f>IFERROR(__xludf.DUMMYFUNCTION("""COMPUTED_VALUE"""),6.0)</f>
        <v>6</v>
      </c>
      <c r="M2342">
        <f>IFERROR(__xludf.DUMMYFUNCTION("""COMPUTED_VALUE"""),150.0)</f>
        <v>150</v>
      </c>
      <c r="N2342" t="str">
        <f>IFERROR(__xludf.DUMMYFUNCTION("""COMPUTED_VALUE"""),"Model 3 LR AWD")</f>
        <v>Model 3 LR AWD</v>
      </c>
      <c r="O2342" t="str">
        <f>IFERROR(__xludf.DUMMYFUNCTION("""COMPUTED_VALUE"""),"Deep Blue Metallic")</f>
        <v>Deep Blue Metallic</v>
      </c>
      <c r="P2342" t="str">
        <f>IFERROR(__xludf.DUMMYFUNCTION("""COMPUTED_VALUE"""),"18 inch Aero")</f>
        <v>18 inch Aero</v>
      </c>
      <c r="Q2342" t="str">
        <f>IFERROR(__xludf.DUMMYFUNCTION("""COMPUTED_VALUE"""),"Black seats")</f>
        <v>Black seats</v>
      </c>
      <c r="R2342" t="str">
        <f>IFERROR(__xludf.DUMMYFUNCTION("""COMPUTED_VALUE"""),"Autopilot")</f>
        <v>Autopilot</v>
      </c>
      <c r="X2342" t="str">
        <f>IFERROR(__xludf.DUMMYFUNCTION("""COMPUTED_VALUE"""),"Excellent")</f>
        <v>Excellent</v>
      </c>
      <c r="Y2342" t="str">
        <f>IFERROR(__xludf.DUMMYFUNCTION("""COMPUTED_VALUE"""),"Excellent")</f>
        <v>Excellent</v>
      </c>
      <c r="Z2342" t="str">
        <f>IFERROR(__xludf.DUMMYFUNCTION("""COMPUTED_VALUE"""),"Excellent")</f>
        <v>Excellent</v>
      </c>
      <c r="AA2342" t="str">
        <f>IFERROR(__xludf.DUMMYFUNCTION("""COMPUTED_VALUE"""),"Fair")</f>
        <v>Fair</v>
      </c>
      <c r="AB2342" t="str">
        <f>IFERROR(__xludf.DUMMYFUNCTION("""COMPUTED_VALUE"""),"Good")</f>
        <v>Good</v>
      </c>
      <c r="AH2342" s="189">
        <f>IFERROR(__xludf.DUMMYFUNCTION("""COMPUTED_VALUE"""),43896.276094733796)</f>
        <v>43896.27609</v>
      </c>
    </row>
    <row r="2343">
      <c r="A2343" t="str">
        <f>IFERROR(__xludf.DUMMYFUNCTION("""COMPUTED_VALUE"""),"jerkstore")</f>
        <v>jerkstore</v>
      </c>
      <c r="C2343" t="str">
        <f>IFERROR(__xludf.DUMMYFUNCTION("""COMPUTED_VALUE"""),"CO")</f>
        <v>CO</v>
      </c>
      <c r="D2343" t="str">
        <f>IFERROR(__xludf.DUMMYFUNCTION("""COMPUTED_VALUE"""),"USA")</f>
        <v>USA</v>
      </c>
      <c r="E2343" s="188">
        <f>IFERROR(__xludf.DUMMYFUNCTION("""COMPUTED_VALUE"""),43862.0)</f>
        <v>43862</v>
      </c>
      <c r="F2343" s="188">
        <f>IFERROR(__xludf.DUMMYFUNCTION("""COMPUTED_VALUE"""),43889.0)</f>
        <v>43889</v>
      </c>
      <c r="H2343" s="4">
        <f>IFERROR(__xludf.DUMMYFUNCTION("""COMPUTED_VALUE"""),640113.0)</f>
        <v>640113</v>
      </c>
      <c r="J2343" s="5">
        <f>IFERROR(__xludf.DUMMYFUNCTION("""COMPUTED_VALUE"""),43895.0)</f>
        <v>43895</v>
      </c>
      <c r="K2343">
        <f>IFERROR(__xludf.DUMMYFUNCTION("""COMPUTED_VALUE"""),27.0)</f>
        <v>27</v>
      </c>
      <c r="L2343">
        <f>IFERROR(__xludf.DUMMYFUNCTION("""COMPUTED_VALUE"""),6.0)</f>
        <v>6</v>
      </c>
      <c r="M2343">
        <f>IFERROR(__xludf.DUMMYFUNCTION("""COMPUTED_VALUE"""),33.0)</f>
        <v>33</v>
      </c>
      <c r="N2343" t="str">
        <f>IFERROR(__xludf.DUMMYFUNCTION("""COMPUTED_VALUE"""),"Model 3 LR AWD")</f>
        <v>Model 3 LR AWD</v>
      </c>
      <c r="O2343" t="str">
        <f>IFERROR(__xludf.DUMMYFUNCTION("""COMPUTED_VALUE"""),"Midnight Silver Metallic")</f>
        <v>Midnight Silver Metallic</v>
      </c>
      <c r="P2343" t="str">
        <f>IFERROR(__xludf.DUMMYFUNCTION("""COMPUTED_VALUE"""),"19 inch Sport")</f>
        <v>19 inch Sport</v>
      </c>
      <c r="Q2343" t="str">
        <f>IFERROR(__xludf.DUMMYFUNCTION("""COMPUTED_VALUE"""),"White seats")</f>
        <v>White seats</v>
      </c>
      <c r="R2343" t="str">
        <f>IFERROR(__xludf.DUMMYFUNCTION("""COMPUTED_VALUE"""),"Autopilot")</f>
        <v>Autopilot</v>
      </c>
      <c r="X2343" t="str">
        <f>IFERROR(__xludf.DUMMYFUNCTION("""COMPUTED_VALUE"""),"Excellent")</f>
        <v>Excellent</v>
      </c>
      <c r="Y2343" t="str">
        <f>IFERROR(__xludf.DUMMYFUNCTION("""COMPUTED_VALUE"""),"Very Good")</f>
        <v>Very Good</v>
      </c>
      <c r="Z2343" t="str">
        <f>IFERROR(__xludf.DUMMYFUNCTION("""COMPUTED_VALUE"""),"Excellent")</f>
        <v>Excellent</v>
      </c>
      <c r="AA2343" t="str">
        <f>IFERROR(__xludf.DUMMYFUNCTION("""COMPUTED_VALUE"""),"Excellent")</f>
        <v>Excellent</v>
      </c>
      <c r="AB2343" t="str">
        <f>IFERROR(__xludf.DUMMYFUNCTION("""COMPUTED_VALUE"""),"Excellent")</f>
        <v>Excellent</v>
      </c>
      <c r="AH2343" s="189">
        <f>IFERROR(__xludf.DUMMYFUNCTION("""COMPUTED_VALUE"""),43896.320964513885)</f>
        <v>43896.32096</v>
      </c>
    </row>
    <row r="2344">
      <c r="A2344" t="str">
        <f>IFERROR(__xludf.DUMMYFUNCTION("""COMPUTED_VALUE"""),"unicus76")</f>
        <v>unicus76</v>
      </c>
      <c r="B2344" t="str">
        <f>IFERROR(__xludf.DUMMYFUNCTION("""COMPUTED_VALUE"""),"Cupertino")</f>
        <v>Cupertino</v>
      </c>
      <c r="C2344" t="str">
        <f>IFERROR(__xludf.DUMMYFUNCTION("""COMPUTED_VALUE"""),"CA")</f>
        <v>CA</v>
      </c>
      <c r="D2344" t="str">
        <f>IFERROR(__xludf.DUMMYFUNCTION("""COMPUTED_VALUE"""),"USA")</f>
        <v>USA</v>
      </c>
      <c r="E2344" s="188">
        <f>IFERROR(__xludf.DUMMYFUNCTION("""COMPUTED_VALUE"""),43841.0)</f>
        <v>43841</v>
      </c>
      <c r="F2344" s="188">
        <f>IFERROR(__xludf.DUMMYFUNCTION("""COMPUTED_VALUE"""),43890.0)</f>
        <v>43890</v>
      </c>
      <c r="H2344">
        <f>IFERROR(__xludf.DUMMYFUNCTION("""COMPUTED_VALUE"""),669289.0)</f>
        <v>669289</v>
      </c>
      <c r="J2344" s="5">
        <f>IFERROR(__xludf.DUMMYFUNCTION("""COMPUTED_VALUE"""),43893.0)</f>
        <v>43893</v>
      </c>
      <c r="K2344">
        <f>IFERROR(__xludf.DUMMYFUNCTION("""COMPUTED_VALUE"""),49.0)</f>
        <v>49</v>
      </c>
      <c r="L2344">
        <f>IFERROR(__xludf.DUMMYFUNCTION("""COMPUTED_VALUE"""),3.0)</f>
        <v>3</v>
      </c>
      <c r="M2344">
        <f>IFERROR(__xludf.DUMMYFUNCTION("""COMPUTED_VALUE"""),52.0)</f>
        <v>52</v>
      </c>
      <c r="N2344" t="str">
        <f>IFERROR(__xludf.DUMMYFUNCTION("""COMPUTED_VALUE"""),"Model 3 Performance")</f>
        <v>Model 3 Performance</v>
      </c>
      <c r="O2344" t="str">
        <f>IFERROR(__xludf.DUMMYFUNCTION("""COMPUTED_VALUE"""),"Red Multi-Coat")</f>
        <v>Red Multi-Coat</v>
      </c>
      <c r="P2344" t="str">
        <f>IFERROR(__xludf.DUMMYFUNCTION("""COMPUTED_VALUE"""),"20 inch Sport")</f>
        <v>20 inch Sport</v>
      </c>
      <c r="Q2344" t="str">
        <f>IFERROR(__xludf.DUMMYFUNCTION("""COMPUTED_VALUE"""),"Black seats")</f>
        <v>Black seats</v>
      </c>
      <c r="R2344" t="str">
        <f>IFERROR(__xludf.DUMMYFUNCTION("""COMPUTED_VALUE"""),"Full Self-Driving")</f>
        <v>Full Self-Driving</v>
      </c>
      <c r="X2344" t="str">
        <f>IFERROR(__xludf.DUMMYFUNCTION("""COMPUTED_VALUE"""),"Excellent")</f>
        <v>Excellent</v>
      </c>
      <c r="Y2344" t="str">
        <f>IFERROR(__xludf.DUMMYFUNCTION("""COMPUTED_VALUE"""),"Excellent")</f>
        <v>Excellent</v>
      </c>
      <c r="Z2344" t="str">
        <f>IFERROR(__xludf.DUMMYFUNCTION("""COMPUTED_VALUE"""),"Excellent")</f>
        <v>Excellent</v>
      </c>
      <c r="AA2344" t="str">
        <f>IFERROR(__xludf.DUMMYFUNCTION("""COMPUTED_VALUE"""),"Fair")</f>
        <v>Fair</v>
      </c>
      <c r="AB2344" t="str">
        <f>IFERROR(__xludf.DUMMYFUNCTION("""COMPUTED_VALUE"""),"Very Good")</f>
        <v>Very Good</v>
      </c>
      <c r="AC2344">
        <f>IFERROR(__xludf.DUMMYFUNCTION("""COMPUTED_VALUE"""),0.0)</f>
        <v>0</v>
      </c>
      <c r="AD2344">
        <f>IFERROR(__xludf.DUMMYFUNCTION("""COMPUTED_VALUE"""),0.0)</f>
        <v>0</v>
      </c>
      <c r="AE2344">
        <f>IFERROR(__xludf.DUMMYFUNCTION("""COMPUTED_VALUE"""),0.0)</f>
        <v>0</v>
      </c>
      <c r="AH2344" s="189">
        <f>IFERROR(__xludf.DUMMYFUNCTION("""COMPUTED_VALUE"""),43896.375446273145)</f>
        <v>43896.37545</v>
      </c>
    </row>
    <row r="2345">
      <c r="A2345" t="str">
        <f>IFERROR(__xludf.DUMMYFUNCTION("""COMPUTED_VALUE"""),"buttdrunk")</f>
        <v>buttdrunk</v>
      </c>
      <c r="B2345" t="str">
        <f>IFERROR(__xludf.DUMMYFUNCTION("""COMPUTED_VALUE"""),"Fullerton")</f>
        <v>Fullerton</v>
      </c>
      <c r="C2345" t="str">
        <f>IFERROR(__xludf.DUMMYFUNCTION("""COMPUTED_VALUE"""),"CA")</f>
        <v>CA</v>
      </c>
      <c r="D2345" t="str">
        <f>IFERROR(__xludf.DUMMYFUNCTION("""COMPUTED_VALUE"""),"USA")</f>
        <v>USA</v>
      </c>
      <c r="E2345" s="188">
        <f>IFERROR(__xludf.DUMMYFUNCTION("""COMPUTED_VALUE"""),43835.0)</f>
        <v>43835</v>
      </c>
      <c r="F2345" s="188">
        <f>IFERROR(__xludf.DUMMYFUNCTION("""COMPUTED_VALUE"""),43881.0)</f>
        <v>43881</v>
      </c>
      <c r="H2345">
        <f>IFERROR(__xludf.DUMMYFUNCTION("""COMPUTED_VALUE"""),669876.0)</f>
        <v>669876</v>
      </c>
      <c r="J2345" s="5">
        <f>IFERROR(__xludf.DUMMYFUNCTION("""COMPUTED_VALUE"""),43884.0)</f>
        <v>43884</v>
      </c>
      <c r="K2345">
        <f>IFERROR(__xludf.DUMMYFUNCTION("""COMPUTED_VALUE"""),46.0)</f>
        <v>46</v>
      </c>
      <c r="L2345">
        <f>IFERROR(__xludf.DUMMYFUNCTION("""COMPUTED_VALUE"""),3.0)</f>
        <v>3</v>
      </c>
      <c r="M2345">
        <f>IFERROR(__xludf.DUMMYFUNCTION("""COMPUTED_VALUE"""),49.0)</f>
        <v>49</v>
      </c>
      <c r="N2345" t="str">
        <f>IFERROR(__xludf.DUMMYFUNCTION("""COMPUTED_VALUE"""),"Model 3 SR+")</f>
        <v>Model 3 SR+</v>
      </c>
      <c r="O2345" t="str">
        <f>IFERROR(__xludf.DUMMYFUNCTION("""COMPUTED_VALUE"""),"Pearl White Multi-Coat")</f>
        <v>Pearl White Multi-Coat</v>
      </c>
      <c r="P2345" t="str">
        <f>IFERROR(__xludf.DUMMYFUNCTION("""COMPUTED_VALUE"""),"18 inch Aero")</f>
        <v>18 inch Aero</v>
      </c>
      <c r="Q2345" t="str">
        <f>IFERROR(__xludf.DUMMYFUNCTION("""COMPUTED_VALUE"""),"Black seats")</f>
        <v>Black seats</v>
      </c>
      <c r="R2345" t="str">
        <f>IFERROR(__xludf.DUMMYFUNCTION("""COMPUTED_VALUE"""),"Autopilot")</f>
        <v>Autopilot</v>
      </c>
      <c r="X2345" t="str">
        <f>IFERROR(__xludf.DUMMYFUNCTION("""COMPUTED_VALUE"""),"Very Good")</f>
        <v>Very Good</v>
      </c>
      <c r="Y2345" t="str">
        <f>IFERROR(__xludf.DUMMYFUNCTION("""COMPUTED_VALUE"""),"Very Good")</f>
        <v>Very Good</v>
      </c>
      <c r="Z2345" t="str">
        <f>IFERROR(__xludf.DUMMYFUNCTION("""COMPUTED_VALUE"""),"Very Good")</f>
        <v>Very Good</v>
      </c>
      <c r="AA2345" t="str">
        <f>IFERROR(__xludf.DUMMYFUNCTION("""COMPUTED_VALUE"""),"Fair")</f>
        <v>Fair</v>
      </c>
      <c r="AB2345" t="str">
        <f>IFERROR(__xludf.DUMMYFUNCTION("""COMPUTED_VALUE"""),"Fair")</f>
        <v>Fair</v>
      </c>
      <c r="AC2345">
        <f>IFERROR(__xludf.DUMMYFUNCTION("""COMPUTED_VALUE"""),1.0)</f>
        <v>1</v>
      </c>
      <c r="AG2345" t="str">
        <f>IFERROR(__xludf.DUMMYFUNCTION("""COMPUTED_VALUE"""),"Quality assurance was lacking on delivery.  It looked like one of the service guys sat in the car and failed to clean up after himself.  Very disappointing for such an expensive car.")</f>
        <v>Quality assurance was lacking on delivery.  It looked like one of the service guys sat in the car and failed to clean up after himself.  Very disappointing for such an expensive car.</v>
      </c>
      <c r="AH2345" s="189">
        <f>IFERROR(__xludf.DUMMYFUNCTION("""COMPUTED_VALUE"""),43896.57785714121)</f>
        <v>43896.57786</v>
      </c>
    </row>
    <row r="2346">
      <c r="A2346" t="str">
        <f>IFERROR(__xludf.DUMMYFUNCTION("""COMPUTED_VALUE"""),"MustangGT")</f>
        <v>MustangGT</v>
      </c>
      <c r="B2346" t="str">
        <f>IFERROR(__xludf.DUMMYFUNCTION("""COMPUTED_VALUE"""),"Turlock")</f>
        <v>Turlock</v>
      </c>
      <c r="C2346" t="str">
        <f>IFERROR(__xludf.DUMMYFUNCTION("""COMPUTED_VALUE"""),"CA")</f>
        <v>CA</v>
      </c>
      <c r="D2346" t="str">
        <f>IFERROR(__xludf.DUMMYFUNCTION("""COMPUTED_VALUE"""),"USA")</f>
        <v>USA</v>
      </c>
      <c r="E2346" s="188">
        <f>IFERROR(__xludf.DUMMYFUNCTION("""COMPUTED_VALUE"""),43865.0)</f>
        <v>43865</v>
      </c>
      <c r="F2346" s="188">
        <f>IFERROR(__xludf.DUMMYFUNCTION("""COMPUTED_VALUE"""),43892.0)</f>
        <v>43892</v>
      </c>
      <c r="H2346">
        <f>IFERROR(__xludf.DUMMYFUNCTION("""COMPUTED_VALUE"""),641555.0)</f>
        <v>641555</v>
      </c>
      <c r="J2346" s="5">
        <f>IFERROR(__xludf.DUMMYFUNCTION("""COMPUTED_VALUE"""),43896.0)</f>
        <v>43896</v>
      </c>
      <c r="K2346">
        <f>IFERROR(__xludf.DUMMYFUNCTION("""COMPUTED_VALUE"""),27.0)</f>
        <v>27</v>
      </c>
      <c r="L2346">
        <f>IFERROR(__xludf.DUMMYFUNCTION("""COMPUTED_VALUE"""),4.0)</f>
        <v>4</v>
      </c>
      <c r="M2346">
        <f>IFERROR(__xludf.DUMMYFUNCTION("""COMPUTED_VALUE"""),31.0)</f>
        <v>31</v>
      </c>
      <c r="N2346" t="str">
        <f>IFERROR(__xludf.DUMMYFUNCTION("""COMPUTED_VALUE"""),"Model 3 Performance")</f>
        <v>Model 3 Performance</v>
      </c>
      <c r="O2346" t="str">
        <f>IFERROR(__xludf.DUMMYFUNCTION("""COMPUTED_VALUE"""),"Pearl White Multi-Coat")</f>
        <v>Pearl White Multi-Coat</v>
      </c>
      <c r="P2346" t="str">
        <f>IFERROR(__xludf.DUMMYFUNCTION("""COMPUTED_VALUE"""),"20 inch Sport")</f>
        <v>20 inch Sport</v>
      </c>
      <c r="Q2346" t="str">
        <f>IFERROR(__xludf.DUMMYFUNCTION("""COMPUTED_VALUE"""),"Black seats")</f>
        <v>Black seats</v>
      </c>
      <c r="R2346" t="str">
        <f>IFERROR(__xludf.DUMMYFUNCTION("""COMPUTED_VALUE"""),"Autopilot")</f>
        <v>Autopilot</v>
      </c>
      <c r="X2346" t="str">
        <f>IFERROR(__xludf.DUMMYFUNCTION("""COMPUTED_VALUE"""),"Very Good")</f>
        <v>Very Good</v>
      </c>
      <c r="Y2346" t="str">
        <f>IFERROR(__xludf.DUMMYFUNCTION("""COMPUTED_VALUE"""),"Very Good")</f>
        <v>Very Good</v>
      </c>
      <c r="Z2346" t="str">
        <f>IFERROR(__xludf.DUMMYFUNCTION("""COMPUTED_VALUE"""),"Fair")</f>
        <v>Fair</v>
      </c>
      <c r="AA2346" t="str">
        <f>IFERROR(__xludf.DUMMYFUNCTION("""COMPUTED_VALUE"""),"Good")</f>
        <v>Good</v>
      </c>
      <c r="AB2346" t="str">
        <f>IFERROR(__xludf.DUMMYFUNCTION("""COMPUTED_VALUE"""),"Very Good")</f>
        <v>Very Good</v>
      </c>
      <c r="AC2346">
        <f>IFERROR(__xludf.DUMMYFUNCTION("""COMPUTED_VALUE"""),3.0)</f>
        <v>3</v>
      </c>
      <c r="AD2346">
        <f>IFERROR(__xludf.DUMMYFUNCTION("""COMPUTED_VALUE"""),0.0)</f>
        <v>0</v>
      </c>
      <c r="AE2346">
        <f>IFERROR(__xludf.DUMMYFUNCTION("""COMPUTED_VALUE"""),0.0)</f>
        <v>0</v>
      </c>
      <c r="AG2346" t="str">
        <f>IFERROR(__xludf.DUMMYFUNCTION("""COMPUTED_VALUE"""),"The total of 3 paint and interior issues at the delivery center while I waited. ")</f>
        <v>The total of 3 paint and interior issues at the delivery center while I waited. </v>
      </c>
      <c r="AH2346" s="189">
        <f>IFERROR(__xludf.DUMMYFUNCTION("""COMPUTED_VALUE"""),43897.47385708333)</f>
        <v>43897.47386</v>
      </c>
    </row>
    <row r="2347">
      <c r="A2347" t="str">
        <f>IFERROR(__xludf.DUMMYFUNCTION("""COMPUTED_VALUE"""),"slowjim360")</f>
        <v>slowjim360</v>
      </c>
      <c r="B2347" t="str">
        <f>IFERROR(__xludf.DUMMYFUNCTION("""COMPUTED_VALUE"""),"Seattle")</f>
        <v>Seattle</v>
      </c>
      <c r="C2347" t="str">
        <f>IFERROR(__xludf.DUMMYFUNCTION("""COMPUTED_VALUE"""),"WA")</f>
        <v>WA</v>
      </c>
      <c r="D2347" t="str">
        <f>IFERROR(__xludf.DUMMYFUNCTION("""COMPUTED_VALUE"""),"USA")</f>
        <v>USA</v>
      </c>
      <c r="E2347" s="188">
        <f>IFERROR(__xludf.DUMMYFUNCTION("""COMPUTED_VALUE"""),43866.0)</f>
        <v>43866</v>
      </c>
      <c r="F2347" s="188">
        <f>IFERROR(__xludf.DUMMYFUNCTION("""COMPUTED_VALUE"""),43892.0)</f>
        <v>43892</v>
      </c>
      <c r="H2347">
        <f>IFERROR(__xludf.DUMMYFUNCTION("""COMPUTED_VALUE"""),659335.0)</f>
        <v>659335</v>
      </c>
      <c r="J2347" s="5">
        <f>IFERROR(__xludf.DUMMYFUNCTION("""COMPUTED_VALUE"""),43896.0)</f>
        <v>43896</v>
      </c>
      <c r="K2347">
        <f>IFERROR(__xludf.DUMMYFUNCTION("""COMPUTED_VALUE"""),26.0)</f>
        <v>26</v>
      </c>
      <c r="L2347">
        <f>IFERROR(__xludf.DUMMYFUNCTION("""COMPUTED_VALUE"""),4.0)</f>
        <v>4</v>
      </c>
      <c r="M2347">
        <f>IFERROR(__xludf.DUMMYFUNCTION("""COMPUTED_VALUE"""),30.0)</f>
        <v>30</v>
      </c>
      <c r="N2347" t="str">
        <f>IFERROR(__xludf.DUMMYFUNCTION("""COMPUTED_VALUE"""),"Model 3 SR+")</f>
        <v>Model 3 SR+</v>
      </c>
      <c r="O2347" t="str">
        <f>IFERROR(__xludf.DUMMYFUNCTION("""COMPUTED_VALUE"""),"Pearl White Multi-Coat")</f>
        <v>Pearl White Multi-Coat</v>
      </c>
      <c r="P2347" t="str">
        <f>IFERROR(__xludf.DUMMYFUNCTION("""COMPUTED_VALUE"""),"18 inch Aero")</f>
        <v>18 inch Aero</v>
      </c>
      <c r="Q2347" t="str">
        <f>IFERROR(__xludf.DUMMYFUNCTION("""COMPUTED_VALUE"""),"Black seats")</f>
        <v>Black seats</v>
      </c>
      <c r="R2347" t="str">
        <f>IFERROR(__xludf.DUMMYFUNCTION("""COMPUTED_VALUE"""),"Autopilot")</f>
        <v>Autopilot</v>
      </c>
      <c r="X2347" t="str">
        <f>IFERROR(__xludf.DUMMYFUNCTION("""COMPUTED_VALUE"""),"Very Good")</f>
        <v>Very Good</v>
      </c>
      <c r="Y2347" t="str">
        <f>IFERROR(__xludf.DUMMYFUNCTION("""COMPUTED_VALUE"""),"Very Good")</f>
        <v>Very Good</v>
      </c>
      <c r="Z2347" t="str">
        <f>IFERROR(__xludf.DUMMYFUNCTION("""COMPUTED_VALUE"""),"Very Good")</f>
        <v>Very Good</v>
      </c>
      <c r="AA2347" t="str">
        <f>IFERROR(__xludf.DUMMYFUNCTION("""COMPUTED_VALUE"""),"Very Good")</f>
        <v>Very Good</v>
      </c>
      <c r="AB2347" t="str">
        <f>IFERROR(__xludf.DUMMYFUNCTION("""COMPUTED_VALUE"""),"Very Good")</f>
        <v>Very Good</v>
      </c>
      <c r="AH2347" s="189">
        <f>IFERROR(__xludf.DUMMYFUNCTION("""COMPUTED_VALUE"""),43897.65854241898)</f>
        <v>43897.65854</v>
      </c>
    </row>
    <row r="2348">
      <c r="A2348" t="str">
        <f>IFERROR(__xludf.DUMMYFUNCTION("""COMPUTED_VALUE"""),"astro")</f>
        <v>astro</v>
      </c>
      <c r="B2348" t="str">
        <f>IFERROR(__xludf.DUMMYFUNCTION("""COMPUTED_VALUE"""),"Houston")</f>
        <v>Houston</v>
      </c>
      <c r="C2348" t="str">
        <f>IFERROR(__xludf.DUMMYFUNCTION("""COMPUTED_VALUE"""),"TX")</f>
        <v>TX</v>
      </c>
      <c r="D2348" t="str">
        <f>IFERROR(__xludf.DUMMYFUNCTION("""COMPUTED_VALUE"""),"USA")</f>
        <v>USA</v>
      </c>
      <c r="E2348" s="188">
        <f>IFERROR(__xludf.DUMMYFUNCTION("""COMPUTED_VALUE"""),43833.0)</f>
        <v>43833</v>
      </c>
      <c r="F2348" s="188">
        <f>IFERROR(__xludf.DUMMYFUNCTION("""COMPUTED_VALUE"""),43881.0)</f>
        <v>43881</v>
      </c>
      <c r="H2348">
        <f>IFERROR(__xludf.DUMMYFUNCTION("""COMPUTED_VALUE"""),646055.0)</f>
        <v>646055</v>
      </c>
      <c r="J2348" s="5">
        <f>IFERROR(__xludf.DUMMYFUNCTION("""COMPUTED_VALUE"""),43888.0)</f>
        <v>43888</v>
      </c>
      <c r="K2348">
        <f>IFERROR(__xludf.DUMMYFUNCTION("""COMPUTED_VALUE"""),48.0)</f>
        <v>48</v>
      </c>
      <c r="L2348">
        <f>IFERROR(__xludf.DUMMYFUNCTION("""COMPUTED_VALUE"""),7.0)</f>
        <v>7</v>
      </c>
      <c r="M2348">
        <f>IFERROR(__xludf.DUMMYFUNCTION("""COMPUTED_VALUE"""),55.0)</f>
        <v>55</v>
      </c>
      <c r="N2348" t="str">
        <f>IFERROR(__xludf.DUMMYFUNCTION("""COMPUTED_VALUE"""),"Model 3 LR AWD")</f>
        <v>Model 3 LR AWD</v>
      </c>
      <c r="O2348" t="str">
        <f>IFERROR(__xludf.DUMMYFUNCTION("""COMPUTED_VALUE"""),"Midnight Silver Metallic")</f>
        <v>Midnight Silver Metallic</v>
      </c>
      <c r="P2348" t="str">
        <f>IFERROR(__xludf.DUMMYFUNCTION("""COMPUTED_VALUE"""),"18 inch Aero")</f>
        <v>18 inch Aero</v>
      </c>
      <c r="Q2348" t="str">
        <f>IFERROR(__xludf.DUMMYFUNCTION("""COMPUTED_VALUE"""),"Black seats")</f>
        <v>Black seats</v>
      </c>
      <c r="R2348" t="str">
        <f>IFERROR(__xludf.DUMMYFUNCTION("""COMPUTED_VALUE"""),"Full Self-Driving")</f>
        <v>Full Self-Driving</v>
      </c>
      <c r="X2348" t="str">
        <f>IFERROR(__xludf.DUMMYFUNCTION("""COMPUTED_VALUE"""),"Excellent")</f>
        <v>Excellent</v>
      </c>
      <c r="Y2348" t="str">
        <f>IFERROR(__xludf.DUMMYFUNCTION("""COMPUTED_VALUE"""),"Excellent")</f>
        <v>Excellent</v>
      </c>
      <c r="Z2348" t="str">
        <f>IFERROR(__xludf.DUMMYFUNCTION("""COMPUTED_VALUE"""),"Excellent")</f>
        <v>Excellent</v>
      </c>
      <c r="AA2348" t="str">
        <f>IFERROR(__xludf.DUMMYFUNCTION("""COMPUTED_VALUE"""),"Excellent")</f>
        <v>Excellent</v>
      </c>
      <c r="AB2348" t="str">
        <f>IFERROR(__xludf.DUMMYFUNCTION("""COMPUTED_VALUE"""),"Excellent")</f>
        <v>Excellent</v>
      </c>
      <c r="AC2348">
        <f>IFERROR(__xludf.DUMMYFUNCTION("""COMPUTED_VALUE"""),0.0)</f>
        <v>0</v>
      </c>
      <c r="AD2348">
        <f>IFERROR(__xludf.DUMMYFUNCTION("""COMPUTED_VALUE"""),0.0)</f>
        <v>0</v>
      </c>
      <c r="AE2348">
        <f>IFERROR(__xludf.DUMMYFUNCTION("""COMPUTED_VALUE"""),0.0)</f>
        <v>0</v>
      </c>
      <c r="AH2348" s="189">
        <f>IFERROR(__xludf.DUMMYFUNCTION("""COMPUTED_VALUE"""),43898.55495796296)</f>
        <v>43898.55496</v>
      </c>
    </row>
    <row r="2349">
      <c r="A2349" t="str">
        <f>IFERROR(__xludf.DUMMYFUNCTION("""COMPUTED_VALUE"""),"forthecross99")</f>
        <v>forthecross99</v>
      </c>
      <c r="B2349" t="str">
        <f>IFERROR(__xludf.DUMMYFUNCTION("""COMPUTED_VALUE"""),"Palo Alto")</f>
        <v>Palo Alto</v>
      </c>
      <c r="C2349" t="str">
        <f>IFERROR(__xludf.DUMMYFUNCTION("""COMPUTED_VALUE"""),"CA")</f>
        <v>CA</v>
      </c>
      <c r="D2349" t="str">
        <f>IFERROR(__xludf.DUMMYFUNCTION("""COMPUTED_VALUE"""),"USA")</f>
        <v>USA</v>
      </c>
      <c r="E2349" s="188">
        <f>IFERROR(__xludf.DUMMYFUNCTION("""COMPUTED_VALUE"""),43867.0)</f>
        <v>43867</v>
      </c>
      <c r="F2349" s="188">
        <f>IFERROR(__xludf.DUMMYFUNCTION("""COMPUTED_VALUE"""),43894.0)</f>
        <v>43894</v>
      </c>
      <c r="H2349" s="4">
        <f>IFERROR(__xludf.DUMMYFUNCTION("""COMPUTED_VALUE"""),666873.0)</f>
        <v>666873</v>
      </c>
      <c r="J2349" s="5">
        <f>IFERROR(__xludf.DUMMYFUNCTION("""COMPUTED_VALUE"""),43897.0)</f>
        <v>43897</v>
      </c>
      <c r="K2349">
        <f>IFERROR(__xludf.DUMMYFUNCTION("""COMPUTED_VALUE"""),27.0)</f>
        <v>27</v>
      </c>
      <c r="L2349">
        <f>IFERROR(__xludf.DUMMYFUNCTION("""COMPUTED_VALUE"""),3.0)</f>
        <v>3</v>
      </c>
      <c r="M2349">
        <f>IFERROR(__xludf.DUMMYFUNCTION("""COMPUTED_VALUE"""),30.0)</f>
        <v>30</v>
      </c>
      <c r="N2349" t="str">
        <f>IFERROR(__xludf.DUMMYFUNCTION("""COMPUTED_VALUE"""),"Model 3 LR AWD")</f>
        <v>Model 3 LR AWD</v>
      </c>
      <c r="O2349" t="str">
        <f>IFERROR(__xludf.DUMMYFUNCTION("""COMPUTED_VALUE"""),"Red Multi-Coat")</f>
        <v>Red Multi-Coat</v>
      </c>
      <c r="P2349" t="str">
        <f>IFERROR(__xludf.DUMMYFUNCTION("""COMPUTED_VALUE"""),"19 inch Sport")</f>
        <v>19 inch Sport</v>
      </c>
      <c r="Q2349" t="str">
        <f>IFERROR(__xludf.DUMMYFUNCTION("""COMPUTED_VALUE"""),"Black seats")</f>
        <v>Black seats</v>
      </c>
      <c r="R2349" t="str">
        <f>IFERROR(__xludf.DUMMYFUNCTION("""COMPUTED_VALUE"""),"Autopilot")</f>
        <v>Autopilot</v>
      </c>
      <c r="X2349" t="str">
        <f>IFERROR(__xludf.DUMMYFUNCTION("""COMPUTED_VALUE"""),"Very Good")</f>
        <v>Very Good</v>
      </c>
      <c r="Y2349" t="str">
        <f>IFERROR(__xludf.DUMMYFUNCTION("""COMPUTED_VALUE"""),"Excellent")</f>
        <v>Excellent</v>
      </c>
      <c r="Z2349" t="str">
        <f>IFERROR(__xludf.DUMMYFUNCTION("""COMPUTED_VALUE"""),"Excellent")</f>
        <v>Excellent</v>
      </c>
      <c r="AA2349" t="str">
        <f>IFERROR(__xludf.DUMMYFUNCTION("""COMPUTED_VALUE"""),"Excellent")</f>
        <v>Excellent</v>
      </c>
      <c r="AB2349" t="str">
        <f>IFERROR(__xludf.DUMMYFUNCTION("""COMPUTED_VALUE"""),"Excellent")</f>
        <v>Excellent</v>
      </c>
      <c r="AG2349" t="str">
        <f>IFERROR(__xludf.DUMMYFUNCTION("""COMPUTED_VALUE"""),"On config date, was told 5 to 7 weeks delivery est.")</f>
        <v>On config date, was told 5 to 7 weeks delivery est.</v>
      </c>
      <c r="AH2349" s="189">
        <f>IFERROR(__xludf.DUMMYFUNCTION("""COMPUTED_VALUE"""),43898.56397909722)</f>
        <v>43898.56398</v>
      </c>
    </row>
    <row r="2350">
      <c r="A2350" t="str">
        <f>IFERROR(__xludf.DUMMYFUNCTION("""COMPUTED_VALUE"""),"jac91")</f>
        <v>jac91</v>
      </c>
      <c r="B2350" t="str">
        <f>IFERROR(__xludf.DUMMYFUNCTION("""COMPUTED_VALUE"""),"Sherbrooke")</f>
        <v>Sherbrooke</v>
      </c>
      <c r="C2350" t="str">
        <f>IFERROR(__xludf.DUMMYFUNCTION("""COMPUTED_VALUE"""),"QC")</f>
        <v>QC</v>
      </c>
      <c r="D2350" t="str">
        <f>IFERROR(__xludf.DUMMYFUNCTION("""COMPUTED_VALUE"""),"Canada")</f>
        <v>Canada</v>
      </c>
      <c r="E2350" s="188">
        <f>IFERROR(__xludf.DUMMYFUNCTION("""COMPUTED_VALUE"""),43829.0)</f>
        <v>43829</v>
      </c>
      <c r="F2350" s="188">
        <f>IFERROR(__xludf.DUMMYFUNCTION("""COMPUTED_VALUE"""),43881.0)</f>
        <v>43881</v>
      </c>
      <c r="H2350">
        <f>IFERROR(__xludf.DUMMYFUNCTION("""COMPUTED_VALUE"""),625432.0)</f>
        <v>625432</v>
      </c>
      <c r="J2350" s="5">
        <f>IFERROR(__xludf.DUMMYFUNCTION("""COMPUTED_VALUE"""),43897.0)</f>
        <v>43897</v>
      </c>
      <c r="K2350">
        <f>IFERROR(__xludf.DUMMYFUNCTION("""COMPUTED_VALUE"""),52.0)</f>
        <v>52</v>
      </c>
      <c r="L2350">
        <f>IFERROR(__xludf.DUMMYFUNCTION("""COMPUTED_VALUE"""),16.0)</f>
        <v>16</v>
      </c>
      <c r="M2350">
        <f>IFERROR(__xludf.DUMMYFUNCTION("""COMPUTED_VALUE"""),68.0)</f>
        <v>68</v>
      </c>
      <c r="N2350" t="str">
        <f>IFERROR(__xludf.DUMMYFUNCTION("""COMPUTED_VALUE"""),"Model 3 SR+")</f>
        <v>Model 3 SR+</v>
      </c>
      <c r="O2350" t="str">
        <f>IFERROR(__xludf.DUMMYFUNCTION("""COMPUTED_VALUE"""),"Deep Blue Metallic")</f>
        <v>Deep Blue Metallic</v>
      </c>
      <c r="P2350" t="str">
        <f>IFERROR(__xludf.DUMMYFUNCTION("""COMPUTED_VALUE"""),"18 inch Aero")</f>
        <v>18 inch Aero</v>
      </c>
      <c r="Q2350" t="str">
        <f>IFERROR(__xludf.DUMMYFUNCTION("""COMPUTED_VALUE"""),"Black seats")</f>
        <v>Black seats</v>
      </c>
      <c r="R2350" t="str">
        <f>IFERROR(__xludf.DUMMYFUNCTION("""COMPUTED_VALUE"""),"Autopilot")</f>
        <v>Autopilot</v>
      </c>
      <c r="X2350" t="str">
        <f>IFERROR(__xludf.DUMMYFUNCTION("""COMPUTED_VALUE"""),"Very Good")</f>
        <v>Very Good</v>
      </c>
      <c r="Y2350" t="str">
        <f>IFERROR(__xludf.DUMMYFUNCTION("""COMPUTED_VALUE"""),"Excellent")</f>
        <v>Excellent</v>
      </c>
      <c r="Z2350" t="str">
        <f>IFERROR(__xludf.DUMMYFUNCTION("""COMPUTED_VALUE"""),"Very Good")</f>
        <v>Very Good</v>
      </c>
      <c r="AA2350" t="str">
        <f>IFERROR(__xludf.DUMMYFUNCTION("""COMPUTED_VALUE"""),"Excellent")</f>
        <v>Excellent</v>
      </c>
      <c r="AB2350" t="str">
        <f>IFERROR(__xludf.DUMMYFUNCTION("""COMPUTED_VALUE"""),"Excellent")</f>
        <v>Excellent</v>
      </c>
      <c r="AC2350">
        <f>IFERROR(__xludf.DUMMYFUNCTION("""COMPUTED_VALUE"""),0.0)</f>
        <v>0</v>
      </c>
      <c r="AD2350">
        <f>IFERROR(__xludf.DUMMYFUNCTION("""COMPUTED_VALUE"""),0.0)</f>
        <v>0</v>
      </c>
      <c r="AE2350">
        <f>IFERROR(__xludf.DUMMYFUNCTION("""COMPUTED_VALUE"""),0.0)</f>
        <v>0</v>
      </c>
      <c r="AH2350" s="189">
        <f>IFERROR(__xludf.DUMMYFUNCTION("""COMPUTED_VALUE"""),43899.2802102662)</f>
        <v>43899.28021</v>
      </c>
    </row>
    <row r="2351">
      <c r="A2351" t="str">
        <f>IFERROR(__xludf.DUMMYFUNCTION("""COMPUTED_VALUE"""),"nubsmagee")</f>
        <v>nubsmagee</v>
      </c>
      <c r="B2351" t="str">
        <f>IFERROR(__xludf.DUMMYFUNCTION("""COMPUTED_VALUE"""),"Santa Clarita")</f>
        <v>Santa Clarita</v>
      </c>
      <c r="C2351" t="str">
        <f>IFERROR(__xludf.DUMMYFUNCTION("""COMPUTED_VALUE"""),"CA")</f>
        <v>CA</v>
      </c>
      <c r="D2351" t="str">
        <f>IFERROR(__xludf.DUMMYFUNCTION("""COMPUTED_VALUE"""),"USA")</f>
        <v>USA</v>
      </c>
      <c r="E2351" s="188">
        <f>IFERROR(__xludf.DUMMYFUNCTION("""COMPUTED_VALUE"""),43852.0)</f>
        <v>43852</v>
      </c>
      <c r="F2351" s="188">
        <f>IFERROR(__xludf.DUMMYFUNCTION("""COMPUTED_VALUE"""),43883.0)</f>
        <v>43883</v>
      </c>
      <c r="H2351">
        <f>IFERROR(__xludf.DUMMYFUNCTION("""COMPUTED_VALUE"""),630655.0)</f>
        <v>630655</v>
      </c>
      <c r="J2351" s="5">
        <f>IFERROR(__xludf.DUMMYFUNCTION("""COMPUTED_VALUE"""),43888.0)</f>
        <v>43888</v>
      </c>
      <c r="K2351">
        <f>IFERROR(__xludf.DUMMYFUNCTION("""COMPUTED_VALUE"""),31.0)</f>
        <v>31</v>
      </c>
      <c r="L2351">
        <f>IFERROR(__xludf.DUMMYFUNCTION("""COMPUTED_VALUE"""),5.0)</f>
        <v>5</v>
      </c>
      <c r="M2351">
        <f>IFERROR(__xludf.DUMMYFUNCTION("""COMPUTED_VALUE"""),36.0)</f>
        <v>36</v>
      </c>
      <c r="N2351" t="str">
        <f>IFERROR(__xludf.DUMMYFUNCTION("""COMPUTED_VALUE"""),"Model 3 SR+")</f>
        <v>Model 3 SR+</v>
      </c>
      <c r="O2351" t="str">
        <f>IFERROR(__xludf.DUMMYFUNCTION("""COMPUTED_VALUE"""),"Midnight Silver Metallic")</f>
        <v>Midnight Silver Metallic</v>
      </c>
      <c r="P2351" t="str">
        <f>IFERROR(__xludf.DUMMYFUNCTION("""COMPUTED_VALUE"""),"18 inch Aero")</f>
        <v>18 inch Aero</v>
      </c>
      <c r="Q2351" t="str">
        <f>IFERROR(__xludf.DUMMYFUNCTION("""COMPUTED_VALUE"""),"Black seats")</f>
        <v>Black seats</v>
      </c>
      <c r="R2351" t="str">
        <f>IFERROR(__xludf.DUMMYFUNCTION("""COMPUTED_VALUE"""),"Autopilot")</f>
        <v>Autopilot</v>
      </c>
      <c r="X2351" t="str">
        <f>IFERROR(__xludf.DUMMYFUNCTION("""COMPUTED_VALUE"""),"Very Good")</f>
        <v>Very Good</v>
      </c>
      <c r="Y2351" t="str">
        <f>IFERROR(__xludf.DUMMYFUNCTION("""COMPUTED_VALUE"""),"Excellent")</f>
        <v>Excellent</v>
      </c>
      <c r="Z2351" t="str">
        <f>IFERROR(__xludf.DUMMYFUNCTION("""COMPUTED_VALUE"""),"Excellent")</f>
        <v>Excellent</v>
      </c>
      <c r="AA2351" t="str">
        <f>IFERROR(__xludf.DUMMYFUNCTION("""COMPUTED_VALUE"""),"Very Good")</f>
        <v>Very Good</v>
      </c>
      <c r="AB2351" t="str">
        <f>IFERROR(__xludf.DUMMYFUNCTION("""COMPUTED_VALUE"""),"Very Good")</f>
        <v>Very Good</v>
      </c>
      <c r="AC2351">
        <f>IFERROR(__xludf.DUMMYFUNCTION("""COMPUTED_VALUE"""),1.0)</f>
        <v>1</v>
      </c>
      <c r="AD2351">
        <f>IFERROR(__xludf.DUMMYFUNCTION("""COMPUTED_VALUE"""),1.0)</f>
        <v>1</v>
      </c>
      <c r="AE2351">
        <f>IFERROR(__xludf.DUMMYFUNCTION("""COMPUTED_VALUE"""),0.0)</f>
        <v>0</v>
      </c>
      <c r="AG2351" t="str">
        <f>IFERROR(__xludf.DUMMYFUNCTION("""COMPUTED_VALUE"""),"Opening action for glove box lost cushioning on day 5 of ownership, opened violently - Door sticker says 02/2020")</f>
        <v>Opening action for glove box lost cushioning on day 5 of ownership, opened violently - Door sticker says 02/2020</v>
      </c>
      <c r="AH2351" s="189">
        <f>IFERROR(__xludf.DUMMYFUNCTION("""COMPUTED_VALUE"""),43899.46784787037)</f>
        <v>43899.46785</v>
      </c>
    </row>
    <row r="2352">
      <c r="A2352" t="str">
        <f>IFERROR(__xludf.DUMMYFUNCTION("""COMPUTED_VALUE"""),"outdoordawg")</f>
        <v>outdoordawg</v>
      </c>
      <c r="B2352" t="str">
        <f>IFERROR(__xludf.DUMMYFUNCTION("""COMPUTED_VALUE"""),"Central TX")</f>
        <v>Central TX</v>
      </c>
      <c r="C2352" t="str">
        <f>IFERROR(__xludf.DUMMYFUNCTION("""COMPUTED_VALUE"""),"TX")</f>
        <v>TX</v>
      </c>
      <c r="D2352" t="str">
        <f>IFERROR(__xludf.DUMMYFUNCTION("""COMPUTED_VALUE"""),"USA")</f>
        <v>USA</v>
      </c>
      <c r="E2352" s="188">
        <f>IFERROR(__xludf.DUMMYFUNCTION("""COMPUTED_VALUE"""),43842.0)</f>
        <v>43842</v>
      </c>
      <c r="F2352" s="188">
        <f>IFERROR(__xludf.DUMMYFUNCTION("""COMPUTED_VALUE"""),43885.0)</f>
        <v>43885</v>
      </c>
      <c r="J2352" s="5">
        <f>IFERROR(__xludf.DUMMYFUNCTION("""COMPUTED_VALUE"""),43899.0)</f>
        <v>43899</v>
      </c>
      <c r="K2352">
        <f>IFERROR(__xludf.DUMMYFUNCTION("""COMPUTED_VALUE"""),43.0)</f>
        <v>43</v>
      </c>
      <c r="L2352">
        <f>IFERROR(__xludf.DUMMYFUNCTION("""COMPUTED_VALUE"""),14.0)</f>
        <v>14</v>
      </c>
      <c r="M2352">
        <f>IFERROR(__xludf.DUMMYFUNCTION("""COMPUTED_VALUE"""),57.0)</f>
        <v>57</v>
      </c>
      <c r="N2352" t="str">
        <f>IFERROR(__xludf.DUMMYFUNCTION("""COMPUTED_VALUE"""),"Model 3 LR AWD")</f>
        <v>Model 3 LR AWD</v>
      </c>
      <c r="O2352" t="str">
        <f>IFERROR(__xludf.DUMMYFUNCTION("""COMPUTED_VALUE"""),"Pearl White Multi-Coat")</f>
        <v>Pearl White Multi-Coat</v>
      </c>
      <c r="P2352" t="str">
        <f>IFERROR(__xludf.DUMMYFUNCTION("""COMPUTED_VALUE"""),"18 inch Aero")</f>
        <v>18 inch Aero</v>
      </c>
      <c r="Q2352" t="str">
        <f>IFERROR(__xludf.DUMMYFUNCTION("""COMPUTED_VALUE"""),"Black seats")</f>
        <v>Black seats</v>
      </c>
      <c r="R2352" t="str">
        <f>IFERROR(__xludf.DUMMYFUNCTION("""COMPUTED_VALUE"""),"Full Self-Driving")</f>
        <v>Full Self-Driving</v>
      </c>
      <c r="X2352" t="str">
        <f>IFERROR(__xludf.DUMMYFUNCTION("""COMPUTED_VALUE"""),"Good")</f>
        <v>Good</v>
      </c>
      <c r="Y2352" t="str">
        <f>IFERROR(__xludf.DUMMYFUNCTION("""COMPUTED_VALUE"""),"Good")</f>
        <v>Good</v>
      </c>
      <c r="Z2352" t="str">
        <f>IFERROR(__xludf.DUMMYFUNCTION("""COMPUTED_VALUE"""),"Good")</f>
        <v>Good</v>
      </c>
      <c r="AA2352" t="str">
        <f>IFERROR(__xludf.DUMMYFUNCTION("""COMPUTED_VALUE"""),"Poor")</f>
        <v>Poor</v>
      </c>
      <c r="AB2352" t="str">
        <f>IFERROR(__xludf.DUMMYFUNCTION("""COMPUTED_VALUE"""),"Fair")</f>
        <v>Fair</v>
      </c>
      <c r="AG2352" t="str">
        <f>IFERROR(__xludf.DUMMYFUNCTION("""COMPUTED_VALUE"""),"Took delivery")</f>
        <v>Took delivery</v>
      </c>
      <c r="AH2352" s="189">
        <f>IFERROR(__xludf.DUMMYFUNCTION("""COMPUTED_VALUE"""),43899.61958817129)</f>
        <v>43899.61959</v>
      </c>
    </row>
    <row r="2353">
      <c r="A2353" t="str">
        <f>IFERROR(__xludf.DUMMYFUNCTION("""COMPUTED_VALUE"""),"Knoxx")</f>
        <v>Knoxx</v>
      </c>
      <c r="C2353" t="str">
        <f>IFERROR(__xludf.DUMMYFUNCTION("""COMPUTED_VALUE"""),"NJ")</f>
        <v>NJ</v>
      </c>
      <c r="D2353" t="str">
        <f>IFERROR(__xludf.DUMMYFUNCTION("""COMPUTED_VALUE"""),"USA")</f>
        <v>USA</v>
      </c>
      <c r="E2353" s="188">
        <f>IFERROR(__xludf.DUMMYFUNCTION("""COMPUTED_VALUE"""),43854.0)</f>
        <v>43854</v>
      </c>
      <c r="F2353" s="188">
        <f>IFERROR(__xludf.DUMMYFUNCTION("""COMPUTED_VALUE"""),43882.0)</f>
        <v>43882</v>
      </c>
      <c r="H2353">
        <f>IFERROR(__xludf.DUMMYFUNCTION("""COMPUTED_VALUE"""),647806.0)</f>
        <v>647806</v>
      </c>
      <c r="J2353" s="5">
        <f>IFERROR(__xludf.DUMMYFUNCTION("""COMPUTED_VALUE"""),43897.0)</f>
        <v>43897</v>
      </c>
      <c r="K2353">
        <f>IFERROR(__xludf.DUMMYFUNCTION("""COMPUTED_VALUE"""),28.0)</f>
        <v>28</v>
      </c>
      <c r="L2353">
        <f>IFERROR(__xludf.DUMMYFUNCTION("""COMPUTED_VALUE"""),15.0)</f>
        <v>15</v>
      </c>
      <c r="M2353">
        <f>IFERROR(__xludf.DUMMYFUNCTION("""COMPUTED_VALUE"""),43.0)</f>
        <v>43</v>
      </c>
      <c r="N2353" t="str">
        <f>IFERROR(__xludf.DUMMYFUNCTION("""COMPUTED_VALUE"""),"Model 3 LR AWD")</f>
        <v>Model 3 LR AWD</v>
      </c>
      <c r="O2353" t="str">
        <f>IFERROR(__xludf.DUMMYFUNCTION("""COMPUTED_VALUE"""),"Solid Black")</f>
        <v>Solid Black</v>
      </c>
      <c r="P2353" t="str">
        <f>IFERROR(__xludf.DUMMYFUNCTION("""COMPUTED_VALUE"""),"19 inch Sport")</f>
        <v>19 inch Sport</v>
      </c>
      <c r="Q2353" t="str">
        <f>IFERROR(__xludf.DUMMYFUNCTION("""COMPUTED_VALUE"""),"Black seats")</f>
        <v>Black seats</v>
      </c>
      <c r="R2353" t="str">
        <f>IFERROR(__xludf.DUMMYFUNCTION("""COMPUTED_VALUE"""),"Autopilot")</f>
        <v>Autopilot</v>
      </c>
      <c r="X2353" t="str">
        <f>IFERROR(__xludf.DUMMYFUNCTION("""COMPUTED_VALUE"""),"Very Good")</f>
        <v>Very Good</v>
      </c>
      <c r="Y2353" t="str">
        <f>IFERROR(__xludf.DUMMYFUNCTION("""COMPUTED_VALUE"""),"Excellent")</f>
        <v>Excellent</v>
      </c>
      <c r="Z2353" t="str">
        <f>IFERROR(__xludf.DUMMYFUNCTION("""COMPUTED_VALUE"""),"Good")</f>
        <v>Good</v>
      </c>
      <c r="AA2353" t="str">
        <f>IFERROR(__xludf.DUMMYFUNCTION("""COMPUTED_VALUE"""),"Excellent")</f>
        <v>Excellent</v>
      </c>
      <c r="AB2353" t="str">
        <f>IFERROR(__xludf.DUMMYFUNCTION("""COMPUTED_VALUE"""),"Excellent")</f>
        <v>Excellent</v>
      </c>
      <c r="AH2353" s="189">
        <f>IFERROR(__xludf.DUMMYFUNCTION("""COMPUTED_VALUE"""),43899.62273553241)</f>
        <v>43899.62274</v>
      </c>
    </row>
    <row r="2354">
      <c r="A2354" t="str">
        <f>IFERROR(__xludf.DUMMYFUNCTION("""COMPUTED_VALUE"""),"OllieEdge")</f>
        <v>OllieEdge</v>
      </c>
      <c r="B2354" t="str">
        <f>IFERROR(__xludf.DUMMYFUNCTION("""COMPUTED_VALUE"""),"London")</f>
        <v>London</v>
      </c>
      <c r="D2354" t="str">
        <f>IFERROR(__xludf.DUMMYFUNCTION("""COMPUTED_VALUE"""),"United Kingdom")</f>
        <v>United Kingdom</v>
      </c>
      <c r="E2354" s="188">
        <f>IFERROR(__xludf.DUMMYFUNCTION("""COMPUTED_VALUE"""),44421.0)</f>
        <v>44421</v>
      </c>
      <c r="F2354" s="188">
        <f>IFERROR(__xludf.DUMMYFUNCTION("""COMPUTED_VALUE"""),44421.0)</f>
        <v>44421</v>
      </c>
      <c r="G2354" t="str">
        <f>IFERROR(__xludf.DUMMYFUNCTION("""COMPUTED_VALUE"""),"Invoice")</f>
        <v>Invoice</v>
      </c>
      <c r="H2354">
        <f>IFERROR(__xludf.DUMMYFUNCTION("""COMPUTED_VALUE"""),322555.0)</f>
        <v>322555</v>
      </c>
      <c r="J2354" s="188">
        <f>IFERROR(__xludf.DUMMYFUNCTION("""COMPUTED_VALUE"""),44466.0)</f>
        <v>44466</v>
      </c>
      <c r="K2354">
        <f>IFERROR(__xludf.DUMMYFUNCTION("""COMPUTED_VALUE"""),0.0)</f>
        <v>0</v>
      </c>
      <c r="L2354">
        <f>IFERROR(__xludf.DUMMYFUNCTION("""COMPUTED_VALUE"""),45.0)</f>
        <v>45</v>
      </c>
      <c r="M2354">
        <f>IFERROR(__xludf.DUMMYFUNCTION("""COMPUTED_VALUE"""),45.0)</f>
        <v>45</v>
      </c>
      <c r="N2354" t="str">
        <f>IFERROR(__xludf.DUMMYFUNCTION("""COMPUTED_VALUE"""),"Model 3 LR AWD")</f>
        <v>Model 3 LR AWD</v>
      </c>
      <c r="O2354" t="str">
        <f>IFERROR(__xludf.DUMMYFUNCTION("""COMPUTED_VALUE"""),"Red Multi-Coat")</f>
        <v>Red Multi-Coat</v>
      </c>
      <c r="P2354" t="str">
        <f>IFERROR(__xludf.DUMMYFUNCTION("""COMPUTED_VALUE"""),"18 inch")</f>
        <v>18 inch</v>
      </c>
      <c r="Q2354" t="str">
        <f>IFERROR(__xludf.DUMMYFUNCTION("""COMPUTED_VALUE"""),"All Black")</f>
        <v>All Black</v>
      </c>
      <c r="R2354" t="str">
        <f>IFERROR(__xludf.DUMMYFUNCTION("""COMPUTED_VALUE"""),"Autopilot included")</f>
        <v>Autopilot included</v>
      </c>
      <c r="S2354" t="str">
        <f>IFERROR(__xludf.DUMMYFUNCTION("""COMPUTED_VALUE"""),"Lease")</f>
        <v>Lease</v>
      </c>
      <c r="T2354" t="str">
        <f>IFERROR(__xludf.DUMMYFUNCTION("""COMPUTED_VALUE"""),"Hyundai SantaFe '15")</f>
        <v>Hyundai SantaFe '15</v>
      </c>
      <c r="U2354" t="str">
        <f>IFERROR(__xludf.DUMMYFUNCTION("""COMPUTED_VALUE"""),"Electric!")</f>
        <v>Electric!</v>
      </c>
      <c r="V2354" t="str">
        <f>IFERROR(__xludf.DUMMYFUNCTION("""COMPUTED_VALUE"""),"360° Bird's eye view")</f>
        <v>360° Bird's eye view</v>
      </c>
      <c r="AH2354" s="189">
        <f>IFERROR(__xludf.DUMMYFUNCTION("""COMPUTED_VALUE"""),44441.23890354167)</f>
        <v>44441.2389</v>
      </c>
    </row>
    <row r="2355">
      <c r="A2355" t="str">
        <f>IFERROR(__xludf.DUMMYFUNCTION("""COMPUTED_VALUE"""),"ZoomZoomin")</f>
        <v>ZoomZoomin</v>
      </c>
      <c r="B2355" t="str">
        <f>IFERROR(__xludf.DUMMYFUNCTION("""COMPUTED_VALUE"""),"Winter Haven")</f>
        <v>Winter Haven</v>
      </c>
      <c r="C2355" t="str">
        <f>IFERROR(__xludf.DUMMYFUNCTION("""COMPUTED_VALUE"""),"FL")</f>
        <v>FL</v>
      </c>
      <c r="D2355" t="str">
        <f>IFERROR(__xludf.DUMMYFUNCTION("""COMPUTED_VALUE"""),"USA")</f>
        <v>USA</v>
      </c>
      <c r="E2355" s="188">
        <f>IFERROR(__xludf.DUMMYFUNCTION("""COMPUTED_VALUE"""),43860.0)</f>
        <v>43860</v>
      </c>
      <c r="F2355" s="188">
        <f>IFERROR(__xludf.DUMMYFUNCTION("""COMPUTED_VALUE"""),43882.0)</f>
        <v>43882</v>
      </c>
      <c r="H2355">
        <f>IFERROR(__xludf.DUMMYFUNCTION("""COMPUTED_VALUE"""),644255.0)</f>
        <v>644255</v>
      </c>
      <c r="J2355" s="5">
        <f>IFERROR(__xludf.DUMMYFUNCTION("""COMPUTED_VALUE"""),43897.0)</f>
        <v>43897</v>
      </c>
      <c r="K2355">
        <f>IFERROR(__xludf.DUMMYFUNCTION("""COMPUTED_VALUE"""),22.0)</f>
        <v>22</v>
      </c>
      <c r="L2355">
        <f>IFERROR(__xludf.DUMMYFUNCTION("""COMPUTED_VALUE"""),15.0)</f>
        <v>15</v>
      </c>
      <c r="M2355">
        <f>IFERROR(__xludf.DUMMYFUNCTION("""COMPUTED_VALUE"""),37.0)</f>
        <v>37</v>
      </c>
      <c r="N2355" t="str">
        <f>IFERROR(__xludf.DUMMYFUNCTION("""COMPUTED_VALUE"""),"Model 3 SR+")</f>
        <v>Model 3 SR+</v>
      </c>
      <c r="O2355" t="str">
        <f>IFERROR(__xludf.DUMMYFUNCTION("""COMPUTED_VALUE"""),"Midnight Silver Metallic")</f>
        <v>Midnight Silver Metallic</v>
      </c>
      <c r="P2355" t="str">
        <f>IFERROR(__xludf.DUMMYFUNCTION("""COMPUTED_VALUE"""),"18 inch Aero")</f>
        <v>18 inch Aero</v>
      </c>
      <c r="Q2355" t="str">
        <f>IFERROR(__xludf.DUMMYFUNCTION("""COMPUTED_VALUE"""),"Black seats")</f>
        <v>Black seats</v>
      </c>
      <c r="R2355" t="str">
        <f>IFERROR(__xludf.DUMMYFUNCTION("""COMPUTED_VALUE"""),"Autopilot")</f>
        <v>Autopilot</v>
      </c>
      <c r="X2355" t="str">
        <f>IFERROR(__xludf.DUMMYFUNCTION("""COMPUTED_VALUE"""),"Excellent")</f>
        <v>Excellent</v>
      </c>
      <c r="Y2355" t="str">
        <f>IFERROR(__xludf.DUMMYFUNCTION("""COMPUTED_VALUE"""),"Excellent")</f>
        <v>Excellent</v>
      </c>
      <c r="Z2355" t="str">
        <f>IFERROR(__xludf.DUMMYFUNCTION("""COMPUTED_VALUE"""),"Excellent")</f>
        <v>Excellent</v>
      </c>
      <c r="AA2355" t="str">
        <f>IFERROR(__xludf.DUMMYFUNCTION("""COMPUTED_VALUE"""),"Good")</f>
        <v>Good</v>
      </c>
      <c r="AB2355" t="str">
        <f>IFERROR(__xludf.DUMMYFUNCTION("""COMPUTED_VALUE"""),"Good")</f>
        <v>Good</v>
      </c>
      <c r="AG2355" t="str">
        <f>IFERROR(__xludf.DUMMYFUNCTION("""COMPUTED_VALUE"""),"Got delivery on 3/7, hour &amp; 1/2 wait on “paperwork”")</f>
        <v>Got delivery on 3/7, hour &amp; 1/2 wait on “paperwork”</v>
      </c>
      <c r="AH2355" s="189">
        <f>IFERROR(__xludf.DUMMYFUNCTION("""COMPUTED_VALUE"""),43900.62007451389)</f>
        <v>43900.62007</v>
      </c>
    </row>
    <row r="2356">
      <c r="A2356" t="str">
        <f>IFERROR(__xludf.DUMMYFUNCTION("""COMPUTED_VALUE"""),"shortbird")</f>
        <v>shortbird</v>
      </c>
      <c r="B2356" t="str">
        <f>IFERROR(__xludf.DUMMYFUNCTION("""COMPUTED_VALUE"""),"Salt Lake City")</f>
        <v>Salt Lake City</v>
      </c>
      <c r="C2356" t="str">
        <f>IFERROR(__xludf.DUMMYFUNCTION("""COMPUTED_VALUE"""),"UT")</f>
        <v>UT</v>
      </c>
      <c r="D2356" t="str">
        <f>IFERROR(__xludf.DUMMYFUNCTION("""COMPUTED_VALUE"""),"USA")</f>
        <v>USA</v>
      </c>
      <c r="E2356" s="188">
        <f>IFERROR(__xludf.DUMMYFUNCTION("""COMPUTED_VALUE"""),43872.0)</f>
        <v>43872</v>
      </c>
      <c r="F2356" s="188">
        <f>IFERROR(__xludf.DUMMYFUNCTION("""COMPUTED_VALUE"""),43894.0)</f>
        <v>43894</v>
      </c>
      <c r="H2356">
        <f>IFERROR(__xludf.DUMMYFUNCTION("""COMPUTED_VALUE"""),666529.0)</f>
        <v>666529</v>
      </c>
      <c r="J2356" s="5">
        <f>IFERROR(__xludf.DUMMYFUNCTION("""COMPUTED_VALUE"""),43896.0)</f>
        <v>43896</v>
      </c>
      <c r="K2356">
        <f>IFERROR(__xludf.DUMMYFUNCTION("""COMPUTED_VALUE"""),22.0)</f>
        <v>22</v>
      </c>
      <c r="L2356">
        <f>IFERROR(__xludf.DUMMYFUNCTION("""COMPUTED_VALUE"""),2.0)</f>
        <v>2</v>
      </c>
      <c r="M2356">
        <f>IFERROR(__xludf.DUMMYFUNCTION("""COMPUTED_VALUE"""),24.0)</f>
        <v>24</v>
      </c>
      <c r="N2356" t="str">
        <f>IFERROR(__xludf.DUMMYFUNCTION("""COMPUTED_VALUE"""),"Model 3 LR AWD")</f>
        <v>Model 3 LR AWD</v>
      </c>
      <c r="O2356" t="str">
        <f>IFERROR(__xludf.DUMMYFUNCTION("""COMPUTED_VALUE"""),"Midnight Silver Metallic")</f>
        <v>Midnight Silver Metallic</v>
      </c>
      <c r="P2356" t="str">
        <f>IFERROR(__xludf.DUMMYFUNCTION("""COMPUTED_VALUE"""),"19 inch Sport")</f>
        <v>19 inch Sport</v>
      </c>
      <c r="Q2356" t="str">
        <f>IFERROR(__xludf.DUMMYFUNCTION("""COMPUTED_VALUE"""),"Black seats")</f>
        <v>Black seats</v>
      </c>
      <c r="R2356" t="str">
        <f>IFERROR(__xludf.DUMMYFUNCTION("""COMPUTED_VALUE"""),"Full Self-Driving")</f>
        <v>Full Self-Driving</v>
      </c>
      <c r="X2356" t="str">
        <f>IFERROR(__xludf.DUMMYFUNCTION("""COMPUTED_VALUE"""),"Excellent")</f>
        <v>Excellent</v>
      </c>
      <c r="Y2356" t="str">
        <f>IFERROR(__xludf.DUMMYFUNCTION("""COMPUTED_VALUE"""),"Excellent")</f>
        <v>Excellent</v>
      </c>
      <c r="Z2356" t="str">
        <f>IFERROR(__xludf.DUMMYFUNCTION("""COMPUTED_VALUE"""),"Excellent")</f>
        <v>Excellent</v>
      </c>
      <c r="AA2356" t="str">
        <f>IFERROR(__xludf.DUMMYFUNCTION("""COMPUTED_VALUE"""),"Fair")</f>
        <v>Fair</v>
      </c>
      <c r="AB2356" t="str">
        <f>IFERROR(__xludf.DUMMYFUNCTION("""COMPUTED_VALUE"""),"Excellent")</f>
        <v>Excellent</v>
      </c>
      <c r="AC2356">
        <f>IFERROR(__xludf.DUMMYFUNCTION("""COMPUTED_VALUE"""),0.0)</f>
        <v>0</v>
      </c>
      <c r="AD2356">
        <f>IFERROR(__xludf.DUMMYFUNCTION("""COMPUTED_VALUE"""),0.0)</f>
        <v>0</v>
      </c>
      <c r="AE2356">
        <f>IFERROR(__xludf.DUMMYFUNCTION("""COMPUTED_VALUE"""),0.0)</f>
        <v>0</v>
      </c>
      <c r="AH2356" s="189">
        <f>IFERROR(__xludf.DUMMYFUNCTION("""COMPUTED_VALUE"""),43900.67317375)</f>
        <v>43900.67317</v>
      </c>
    </row>
    <row r="2357">
      <c r="A2357" t="str">
        <f>IFERROR(__xludf.DUMMYFUNCTION("""COMPUTED_VALUE"""),"mbbQNX")</f>
        <v>mbbQNX</v>
      </c>
      <c r="B2357" t="str">
        <f>IFERROR(__xludf.DUMMYFUNCTION("""COMPUTED_VALUE"""),"Ottawa")</f>
        <v>Ottawa</v>
      </c>
      <c r="C2357" t="str">
        <f>IFERROR(__xludf.DUMMYFUNCTION("""COMPUTED_VALUE"""),"ON")</f>
        <v>ON</v>
      </c>
      <c r="D2357" t="str">
        <f>IFERROR(__xludf.DUMMYFUNCTION("""COMPUTED_VALUE"""),"Canada")</f>
        <v>Canada</v>
      </c>
      <c r="E2357" s="188">
        <f>IFERROR(__xludf.DUMMYFUNCTION("""COMPUTED_VALUE"""),43846.0)</f>
        <v>43846</v>
      </c>
      <c r="F2357" s="188">
        <f>IFERROR(__xludf.DUMMYFUNCTION("""COMPUTED_VALUE"""),43882.0)</f>
        <v>43882</v>
      </c>
      <c r="H2357" s="4">
        <f>IFERROR(__xludf.DUMMYFUNCTION("""COMPUTED_VALUE"""),625253.0)</f>
        <v>625253</v>
      </c>
      <c r="I2357" t="str">
        <f>IFERROR(__xludf.DUMMYFUNCTION("""COMPUTED_VALUE"""),"12/19")</f>
        <v>12/19</v>
      </c>
      <c r="J2357" s="5">
        <f>IFERROR(__xludf.DUMMYFUNCTION("""COMPUTED_VALUE"""),43900.0)</f>
        <v>43900</v>
      </c>
      <c r="K2357">
        <f>IFERROR(__xludf.DUMMYFUNCTION("""COMPUTED_VALUE"""),36.0)</f>
        <v>36</v>
      </c>
      <c r="L2357">
        <f>IFERROR(__xludf.DUMMYFUNCTION("""COMPUTED_VALUE"""),18.0)</f>
        <v>18</v>
      </c>
      <c r="M2357">
        <f>IFERROR(__xludf.DUMMYFUNCTION("""COMPUTED_VALUE"""),54.0)</f>
        <v>54</v>
      </c>
      <c r="N2357" t="str">
        <f>IFERROR(__xludf.DUMMYFUNCTION("""COMPUTED_VALUE"""),"Model 3 SR+")</f>
        <v>Model 3 SR+</v>
      </c>
      <c r="O2357" t="str">
        <f>IFERROR(__xludf.DUMMYFUNCTION("""COMPUTED_VALUE"""),"Solid Black")</f>
        <v>Solid Black</v>
      </c>
      <c r="P2357" t="str">
        <f>IFERROR(__xludf.DUMMYFUNCTION("""COMPUTED_VALUE"""),"18 inch Aero")</f>
        <v>18 inch Aero</v>
      </c>
      <c r="Q2357" t="str">
        <f>IFERROR(__xludf.DUMMYFUNCTION("""COMPUTED_VALUE"""),"Black seats")</f>
        <v>Black seats</v>
      </c>
      <c r="R2357" t="str">
        <f>IFERROR(__xludf.DUMMYFUNCTION("""COMPUTED_VALUE"""),"Autopilot")</f>
        <v>Autopilot</v>
      </c>
      <c r="X2357" t="str">
        <f>IFERROR(__xludf.DUMMYFUNCTION("""COMPUTED_VALUE"""),"Excellent")</f>
        <v>Excellent</v>
      </c>
      <c r="Y2357" t="str">
        <f>IFERROR(__xludf.DUMMYFUNCTION("""COMPUTED_VALUE"""),"Excellent")</f>
        <v>Excellent</v>
      </c>
      <c r="Z2357" t="str">
        <f>IFERROR(__xludf.DUMMYFUNCTION("""COMPUTED_VALUE"""),"Excellent")</f>
        <v>Excellent</v>
      </c>
      <c r="AA2357" t="str">
        <f>IFERROR(__xludf.DUMMYFUNCTION("""COMPUTED_VALUE"""),"Very Good")</f>
        <v>Very Good</v>
      </c>
      <c r="AB2357" t="str">
        <f>IFERROR(__xludf.DUMMYFUNCTION("""COMPUTED_VALUE"""),"Good")</f>
        <v>Good</v>
      </c>
      <c r="AC2357">
        <f>IFERROR(__xludf.DUMMYFUNCTION("""COMPUTED_VALUE"""),0.0)</f>
        <v>0</v>
      </c>
      <c r="AD2357">
        <f>IFERROR(__xludf.DUMMYFUNCTION("""COMPUTED_VALUE"""),0.0)</f>
        <v>0</v>
      </c>
      <c r="AH2357" s="189">
        <f>IFERROR(__xludf.DUMMYFUNCTION("""COMPUTED_VALUE"""),43900.779695254634)</f>
        <v>43900.7797</v>
      </c>
    </row>
    <row r="2358">
      <c r="A2358" t="str">
        <f>IFERROR(__xludf.DUMMYFUNCTION("""COMPUTED_VALUE"""),"Brianwong")</f>
        <v>Brianwong</v>
      </c>
      <c r="B2358" t="str">
        <f>IFERROR(__xludf.DUMMYFUNCTION("""COMPUTED_VALUE"""),"Hong Kong")</f>
        <v>Hong Kong</v>
      </c>
      <c r="D2358" t="str">
        <f>IFERROR(__xludf.DUMMYFUNCTION("""COMPUTED_VALUE"""),"China")</f>
        <v>China</v>
      </c>
      <c r="E2358" s="188">
        <f>IFERROR(__xludf.DUMMYFUNCTION("""COMPUTED_VALUE"""),43853.0)</f>
        <v>43853</v>
      </c>
      <c r="F2358" s="188">
        <f>IFERROR(__xludf.DUMMYFUNCTION("""COMPUTED_VALUE"""),43854.0)</f>
        <v>43854</v>
      </c>
      <c r="H2358">
        <f>IFERROR(__xludf.DUMMYFUNCTION("""COMPUTED_VALUE"""),695755.0)</f>
        <v>695755</v>
      </c>
      <c r="I2358" t="str">
        <f>IFERROR(__xludf.DUMMYFUNCTION("""COMPUTED_VALUE"""),"11/19")</f>
        <v>11/19</v>
      </c>
      <c r="J2358" s="5">
        <f>IFERROR(__xludf.DUMMYFUNCTION("""COMPUTED_VALUE"""),43878.0)</f>
        <v>43878</v>
      </c>
      <c r="K2358">
        <f>IFERROR(__xludf.DUMMYFUNCTION("""COMPUTED_VALUE"""),1.0)</f>
        <v>1</v>
      </c>
      <c r="L2358">
        <f>IFERROR(__xludf.DUMMYFUNCTION("""COMPUTED_VALUE"""),24.0)</f>
        <v>24</v>
      </c>
      <c r="M2358">
        <f>IFERROR(__xludf.DUMMYFUNCTION("""COMPUTED_VALUE"""),25.0)</f>
        <v>25</v>
      </c>
      <c r="N2358" t="str">
        <f>IFERROR(__xludf.DUMMYFUNCTION("""COMPUTED_VALUE"""),"Model 3 Performance")</f>
        <v>Model 3 Performance</v>
      </c>
      <c r="O2358" t="str">
        <f>IFERROR(__xludf.DUMMYFUNCTION("""COMPUTED_VALUE"""),"Pearl White Multi-Coat")</f>
        <v>Pearl White Multi-Coat</v>
      </c>
      <c r="P2358" t="str">
        <f>IFERROR(__xludf.DUMMYFUNCTION("""COMPUTED_VALUE"""),"20 inch Sport")</f>
        <v>20 inch Sport</v>
      </c>
      <c r="Q2358" t="str">
        <f>IFERROR(__xludf.DUMMYFUNCTION("""COMPUTED_VALUE"""),"Black seats")</f>
        <v>Black seats</v>
      </c>
      <c r="R2358" t="str">
        <f>IFERROR(__xludf.DUMMYFUNCTION("""COMPUTED_VALUE"""),"Autopilot")</f>
        <v>Autopilot</v>
      </c>
      <c r="X2358" t="str">
        <f>IFERROR(__xludf.DUMMYFUNCTION("""COMPUTED_VALUE"""),"Very Good")</f>
        <v>Very Good</v>
      </c>
      <c r="Y2358" t="str">
        <f>IFERROR(__xludf.DUMMYFUNCTION("""COMPUTED_VALUE"""),"Very Good")</f>
        <v>Very Good</v>
      </c>
      <c r="Z2358" t="str">
        <f>IFERROR(__xludf.DUMMYFUNCTION("""COMPUTED_VALUE"""),"Excellent")</f>
        <v>Excellent</v>
      </c>
      <c r="AA2358" t="str">
        <f>IFERROR(__xludf.DUMMYFUNCTION("""COMPUTED_VALUE"""),"Poor")</f>
        <v>Poor</v>
      </c>
      <c r="AB2358" t="str">
        <f>IFERROR(__xludf.DUMMYFUNCTION("""COMPUTED_VALUE"""),"Fair")</f>
        <v>Fair</v>
      </c>
      <c r="AC2358">
        <f>IFERROR(__xludf.DUMMYFUNCTION("""COMPUTED_VALUE"""),0.0)</f>
        <v>0</v>
      </c>
      <c r="AD2358">
        <f>IFERROR(__xludf.DUMMYFUNCTION("""COMPUTED_VALUE"""),0.0)</f>
        <v>0</v>
      </c>
      <c r="AE2358">
        <f>IFERROR(__xludf.DUMMYFUNCTION("""COMPUTED_VALUE"""),0.0)</f>
        <v>0</v>
      </c>
      <c r="AH2358" s="189">
        <f>IFERROR(__xludf.DUMMYFUNCTION("""COMPUTED_VALUE"""),43900.95354650463)</f>
        <v>43900.95355</v>
      </c>
    </row>
    <row r="2359">
      <c r="A2359" t="str">
        <f>IFERROR(__xludf.DUMMYFUNCTION("""COMPUTED_VALUE"""),"SpartanZim")</f>
        <v>SpartanZim</v>
      </c>
      <c r="B2359" t="str">
        <f>IFERROR(__xludf.DUMMYFUNCTION("""COMPUTED_VALUE"""),"Youngstown")</f>
        <v>Youngstown</v>
      </c>
      <c r="C2359" t="str">
        <f>IFERROR(__xludf.DUMMYFUNCTION("""COMPUTED_VALUE"""),"OH")</f>
        <v>OH</v>
      </c>
      <c r="D2359" t="str">
        <f>IFERROR(__xludf.DUMMYFUNCTION("""COMPUTED_VALUE"""),"USA")</f>
        <v>USA</v>
      </c>
      <c r="E2359" s="188">
        <f>IFERROR(__xludf.DUMMYFUNCTION("""COMPUTED_VALUE"""),43860.0)</f>
        <v>43860</v>
      </c>
      <c r="F2359" s="188">
        <f>IFERROR(__xludf.DUMMYFUNCTION("""COMPUTED_VALUE"""),43885.0)</f>
        <v>43885</v>
      </c>
      <c r="J2359" s="5">
        <f>IFERROR(__xludf.DUMMYFUNCTION("""COMPUTED_VALUE"""),43899.0)</f>
        <v>43899</v>
      </c>
      <c r="K2359">
        <f>IFERROR(__xludf.DUMMYFUNCTION("""COMPUTED_VALUE"""),25.0)</f>
        <v>25</v>
      </c>
      <c r="L2359">
        <f>IFERROR(__xludf.DUMMYFUNCTION("""COMPUTED_VALUE"""),14.0)</f>
        <v>14</v>
      </c>
      <c r="M2359">
        <f>IFERROR(__xludf.DUMMYFUNCTION("""COMPUTED_VALUE"""),39.0)</f>
        <v>39</v>
      </c>
      <c r="N2359" t="str">
        <f>IFERROR(__xludf.DUMMYFUNCTION("""COMPUTED_VALUE"""),"Model 3 LR AWD")</f>
        <v>Model 3 LR AWD</v>
      </c>
      <c r="O2359" t="str">
        <f>IFERROR(__xludf.DUMMYFUNCTION("""COMPUTED_VALUE"""),"Red Multi-Coat")</f>
        <v>Red Multi-Coat</v>
      </c>
      <c r="P2359" t="str">
        <f>IFERROR(__xludf.DUMMYFUNCTION("""COMPUTED_VALUE"""),"18 inch Aero")</f>
        <v>18 inch Aero</v>
      </c>
      <c r="Q2359" t="str">
        <f>IFERROR(__xludf.DUMMYFUNCTION("""COMPUTED_VALUE"""),"Black seats")</f>
        <v>Black seats</v>
      </c>
      <c r="R2359" t="str">
        <f>IFERROR(__xludf.DUMMYFUNCTION("""COMPUTED_VALUE"""),"Autopilot")</f>
        <v>Autopilot</v>
      </c>
      <c r="X2359" t="str">
        <f>IFERROR(__xludf.DUMMYFUNCTION("""COMPUTED_VALUE"""),"Very Good")</f>
        <v>Very Good</v>
      </c>
      <c r="Y2359" t="str">
        <f>IFERROR(__xludf.DUMMYFUNCTION("""COMPUTED_VALUE"""),"Excellent")</f>
        <v>Excellent</v>
      </c>
      <c r="Z2359" t="str">
        <f>IFERROR(__xludf.DUMMYFUNCTION("""COMPUTED_VALUE"""),"Excellent")</f>
        <v>Excellent</v>
      </c>
      <c r="AA2359" t="str">
        <f>IFERROR(__xludf.DUMMYFUNCTION("""COMPUTED_VALUE"""),"Very Good")</f>
        <v>Very Good</v>
      </c>
      <c r="AB2359" t="str">
        <f>IFERROR(__xludf.DUMMYFUNCTION("""COMPUTED_VALUE"""),"Excellent")</f>
        <v>Excellent</v>
      </c>
      <c r="AH2359" s="189">
        <f>IFERROR(__xludf.DUMMYFUNCTION("""COMPUTED_VALUE"""),43901.35995155093)</f>
        <v>43901.35995</v>
      </c>
    </row>
    <row r="2360">
      <c r="A2360" t="str">
        <f>IFERROR(__xludf.DUMMYFUNCTION("""COMPUTED_VALUE"""),"Jeeperrs")</f>
        <v>Jeeperrs</v>
      </c>
      <c r="B2360" t="str">
        <f>IFERROR(__xludf.DUMMYFUNCTION("""COMPUTED_VALUE"""),"Oklahoma City")</f>
        <v>Oklahoma City</v>
      </c>
      <c r="C2360" t="str">
        <f>IFERROR(__xludf.DUMMYFUNCTION("""COMPUTED_VALUE"""),"OK")</f>
        <v>OK</v>
      </c>
      <c r="D2360" t="str">
        <f>IFERROR(__xludf.DUMMYFUNCTION("""COMPUTED_VALUE"""),"USA")</f>
        <v>USA</v>
      </c>
      <c r="E2360" s="188">
        <f>IFERROR(__xludf.DUMMYFUNCTION("""COMPUTED_VALUE"""),43833.0)</f>
        <v>43833</v>
      </c>
      <c r="F2360" s="188">
        <f>IFERROR(__xludf.DUMMYFUNCTION("""COMPUTED_VALUE"""),43857.0)</f>
        <v>43857</v>
      </c>
      <c r="H2360" s="4">
        <f>IFERROR(__xludf.DUMMYFUNCTION("""COMPUTED_VALUE"""),641358.0)</f>
        <v>641358</v>
      </c>
      <c r="I2360" t="str">
        <f>IFERROR(__xludf.DUMMYFUNCTION("""COMPUTED_VALUE"""),"01/20")</f>
        <v>01/20</v>
      </c>
      <c r="J2360" s="5">
        <f>IFERROR(__xludf.DUMMYFUNCTION("""COMPUTED_VALUE"""),43871.0)</f>
        <v>43871</v>
      </c>
      <c r="K2360">
        <f>IFERROR(__xludf.DUMMYFUNCTION("""COMPUTED_VALUE"""),24.0)</f>
        <v>24</v>
      </c>
      <c r="L2360">
        <f>IFERROR(__xludf.DUMMYFUNCTION("""COMPUTED_VALUE"""),14.0)</f>
        <v>14</v>
      </c>
      <c r="M2360">
        <f>IFERROR(__xludf.DUMMYFUNCTION("""COMPUTED_VALUE"""),38.0)</f>
        <v>38</v>
      </c>
      <c r="N2360" t="str">
        <f>IFERROR(__xludf.DUMMYFUNCTION("""COMPUTED_VALUE"""),"Model 3 Performance")</f>
        <v>Model 3 Performance</v>
      </c>
      <c r="O2360" t="str">
        <f>IFERROR(__xludf.DUMMYFUNCTION("""COMPUTED_VALUE"""),"Pearl White Multi-Coat")</f>
        <v>Pearl White Multi-Coat</v>
      </c>
      <c r="P2360" t="str">
        <f>IFERROR(__xludf.DUMMYFUNCTION("""COMPUTED_VALUE"""),"20 inch Sport")</f>
        <v>20 inch Sport</v>
      </c>
      <c r="Q2360" t="str">
        <f>IFERROR(__xludf.DUMMYFUNCTION("""COMPUTED_VALUE"""),"Black seats")</f>
        <v>Black seats</v>
      </c>
      <c r="R2360" t="str">
        <f>IFERROR(__xludf.DUMMYFUNCTION("""COMPUTED_VALUE"""),"Autopilot")</f>
        <v>Autopilot</v>
      </c>
      <c r="X2360" t="str">
        <f>IFERROR(__xludf.DUMMYFUNCTION("""COMPUTED_VALUE"""),"Excellent")</f>
        <v>Excellent</v>
      </c>
      <c r="Y2360" t="str">
        <f>IFERROR(__xludf.DUMMYFUNCTION("""COMPUTED_VALUE"""),"Excellent")</f>
        <v>Excellent</v>
      </c>
      <c r="Z2360" t="str">
        <f>IFERROR(__xludf.DUMMYFUNCTION("""COMPUTED_VALUE"""),"Excellent")</f>
        <v>Excellent</v>
      </c>
      <c r="AA2360" t="str">
        <f>IFERROR(__xludf.DUMMYFUNCTION("""COMPUTED_VALUE"""),"Very Good")</f>
        <v>Very Good</v>
      </c>
      <c r="AB2360" t="str">
        <f>IFERROR(__xludf.DUMMYFUNCTION("""COMPUTED_VALUE"""),"Very Good")</f>
        <v>Very Good</v>
      </c>
      <c r="AC2360">
        <f>IFERROR(__xludf.DUMMYFUNCTION("""COMPUTED_VALUE"""),0.0)</f>
        <v>0</v>
      </c>
      <c r="AD2360">
        <f>IFERROR(__xludf.DUMMYFUNCTION("""COMPUTED_VALUE"""),0.0)</f>
        <v>0</v>
      </c>
      <c r="AE2360">
        <f>IFERROR(__xludf.DUMMYFUNCTION("""COMPUTED_VALUE"""),0.0)</f>
        <v>0</v>
      </c>
      <c r="AH2360" s="189">
        <f>IFERROR(__xludf.DUMMYFUNCTION("""COMPUTED_VALUE"""),43901.4064865625)</f>
        <v>43901.40649</v>
      </c>
    </row>
    <row r="2361">
      <c r="A2361" t="str">
        <f>IFERROR(__xludf.DUMMYFUNCTION("""COMPUTED_VALUE"""),"CanCPAx2")</f>
        <v>CanCPAx2</v>
      </c>
      <c r="B2361" t="str">
        <f>IFERROR(__xludf.DUMMYFUNCTION("""COMPUTED_VALUE"""),"Halton Hills")</f>
        <v>Halton Hills</v>
      </c>
      <c r="C2361" t="str">
        <f>IFERROR(__xludf.DUMMYFUNCTION("""COMPUTED_VALUE"""),"ON")</f>
        <v>ON</v>
      </c>
      <c r="D2361" t="str">
        <f>IFERROR(__xludf.DUMMYFUNCTION("""COMPUTED_VALUE"""),"Canada")</f>
        <v>Canada</v>
      </c>
      <c r="E2361" s="188">
        <f>IFERROR(__xludf.DUMMYFUNCTION("""COMPUTED_VALUE"""),43863.0)</f>
        <v>43863</v>
      </c>
      <c r="F2361" s="188">
        <f>IFERROR(__xludf.DUMMYFUNCTION("""COMPUTED_VALUE"""),43883.0)</f>
        <v>43883</v>
      </c>
      <c r="H2361">
        <f>IFERROR(__xludf.DUMMYFUNCTION("""COMPUTED_VALUE"""),669987.0)</f>
        <v>669987</v>
      </c>
      <c r="I2361" t="str">
        <f>IFERROR(__xludf.DUMMYFUNCTION("""COMPUTED_VALUE"""),"02/20")</f>
        <v>02/20</v>
      </c>
      <c r="J2361" s="5">
        <f>IFERROR(__xludf.DUMMYFUNCTION("""COMPUTED_VALUE"""),43897.0)</f>
        <v>43897</v>
      </c>
      <c r="K2361">
        <f>IFERROR(__xludf.DUMMYFUNCTION("""COMPUTED_VALUE"""),20.0)</f>
        <v>20</v>
      </c>
      <c r="L2361">
        <f>IFERROR(__xludf.DUMMYFUNCTION("""COMPUTED_VALUE"""),14.0)</f>
        <v>14</v>
      </c>
      <c r="M2361">
        <f>IFERROR(__xludf.DUMMYFUNCTION("""COMPUTED_VALUE"""),34.0)</f>
        <v>34</v>
      </c>
      <c r="N2361" t="str">
        <f>IFERROR(__xludf.DUMMYFUNCTION("""COMPUTED_VALUE"""),"Model 3 SR+")</f>
        <v>Model 3 SR+</v>
      </c>
      <c r="O2361" t="str">
        <f>IFERROR(__xludf.DUMMYFUNCTION("""COMPUTED_VALUE"""),"Pearl White Multi-Coat")</f>
        <v>Pearl White Multi-Coat</v>
      </c>
      <c r="P2361" t="str">
        <f>IFERROR(__xludf.DUMMYFUNCTION("""COMPUTED_VALUE"""),"18 inch Aero")</f>
        <v>18 inch Aero</v>
      </c>
      <c r="Q2361" t="str">
        <f>IFERROR(__xludf.DUMMYFUNCTION("""COMPUTED_VALUE"""),"Black seats")</f>
        <v>Black seats</v>
      </c>
      <c r="R2361" t="str">
        <f>IFERROR(__xludf.DUMMYFUNCTION("""COMPUTED_VALUE"""),"Autopilot")</f>
        <v>Autopilot</v>
      </c>
      <c r="X2361" t="str">
        <f>IFERROR(__xludf.DUMMYFUNCTION("""COMPUTED_VALUE"""),"Very Good")</f>
        <v>Very Good</v>
      </c>
      <c r="Y2361" t="str">
        <f>IFERROR(__xludf.DUMMYFUNCTION("""COMPUTED_VALUE"""),"Very Good")</f>
        <v>Very Good</v>
      </c>
      <c r="Z2361" t="str">
        <f>IFERROR(__xludf.DUMMYFUNCTION("""COMPUTED_VALUE"""),"Very Good")</f>
        <v>Very Good</v>
      </c>
      <c r="AA2361" t="str">
        <f>IFERROR(__xludf.DUMMYFUNCTION("""COMPUTED_VALUE"""),"Very Good")</f>
        <v>Very Good</v>
      </c>
      <c r="AB2361" t="str">
        <f>IFERROR(__xludf.DUMMYFUNCTION("""COMPUTED_VALUE"""),"Very Good")</f>
        <v>Very Good</v>
      </c>
      <c r="AH2361" s="189">
        <f>IFERROR(__xludf.DUMMYFUNCTION("""COMPUTED_VALUE"""),43901.49090971064)</f>
        <v>43901.49091</v>
      </c>
    </row>
    <row r="2362">
      <c r="A2362" t="str">
        <f>IFERROR(__xludf.DUMMYFUNCTION("""COMPUTED_VALUE"""),"poolevault")</f>
        <v>poolevault</v>
      </c>
      <c r="B2362" t="str">
        <f>IFERROR(__xludf.DUMMYFUNCTION("""COMPUTED_VALUE"""),"Sammamish")</f>
        <v>Sammamish</v>
      </c>
      <c r="C2362" t="str">
        <f>IFERROR(__xludf.DUMMYFUNCTION("""COMPUTED_VALUE"""),"WA")</f>
        <v>WA</v>
      </c>
      <c r="D2362" t="str">
        <f>IFERROR(__xludf.DUMMYFUNCTION("""COMPUTED_VALUE"""),"USA")</f>
        <v>USA</v>
      </c>
      <c r="E2362" s="188">
        <f>IFERROR(__xludf.DUMMYFUNCTION("""COMPUTED_VALUE"""),43856.0)</f>
        <v>43856</v>
      </c>
      <c r="F2362" s="188">
        <f>IFERROR(__xludf.DUMMYFUNCTION("""COMPUTED_VALUE"""),43887.0)</f>
        <v>43887</v>
      </c>
      <c r="I2362" t="str">
        <f>IFERROR(__xludf.DUMMYFUNCTION("""COMPUTED_VALUE"""),"02/20")</f>
        <v>02/20</v>
      </c>
      <c r="J2362" s="5">
        <f>IFERROR(__xludf.DUMMYFUNCTION("""COMPUTED_VALUE"""),43894.0)</f>
        <v>43894</v>
      </c>
      <c r="K2362">
        <f>IFERROR(__xludf.DUMMYFUNCTION("""COMPUTED_VALUE"""),31.0)</f>
        <v>31</v>
      </c>
      <c r="L2362">
        <f>IFERROR(__xludf.DUMMYFUNCTION("""COMPUTED_VALUE"""),7.0)</f>
        <v>7</v>
      </c>
      <c r="M2362">
        <f>IFERROR(__xludf.DUMMYFUNCTION("""COMPUTED_VALUE"""),38.0)</f>
        <v>38</v>
      </c>
      <c r="N2362" t="str">
        <f>IFERROR(__xludf.DUMMYFUNCTION("""COMPUTED_VALUE"""),"Model 3 LR AWD")</f>
        <v>Model 3 LR AWD</v>
      </c>
      <c r="O2362" t="str">
        <f>IFERROR(__xludf.DUMMYFUNCTION("""COMPUTED_VALUE"""),"Midnight Silver Metallic")</f>
        <v>Midnight Silver Metallic</v>
      </c>
      <c r="P2362" t="str">
        <f>IFERROR(__xludf.DUMMYFUNCTION("""COMPUTED_VALUE"""),"18 inch Aero")</f>
        <v>18 inch Aero</v>
      </c>
      <c r="Q2362" t="str">
        <f>IFERROR(__xludf.DUMMYFUNCTION("""COMPUTED_VALUE"""),"Black seats")</f>
        <v>Black seats</v>
      </c>
      <c r="R2362" t="str">
        <f>IFERROR(__xludf.DUMMYFUNCTION("""COMPUTED_VALUE"""),"Autopilot")</f>
        <v>Autopilot</v>
      </c>
      <c r="X2362" t="str">
        <f>IFERROR(__xludf.DUMMYFUNCTION("""COMPUTED_VALUE"""),"Excellent")</f>
        <v>Excellent</v>
      </c>
      <c r="Y2362" t="str">
        <f>IFERROR(__xludf.DUMMYFUNCTION("""COMPUTED_VALUE"""),"Excellent")</f>
        <v>Excellent</v>
      </c>
      <c r="Z2362" t="str">
        <f>IFERROR(__xludf.DUMMYFUNCTION("""COMPUTED_VALUE"""),"Excellent")</f>
        <v>Excellent</v>
      </c>
      <c r="AA2362" t="str">
        <f>IFERROR(__xludf.DUMMYFUNCTION("""COMPUTED_VALUE"""),"Very Good")</f>
        <v>Very Good</v>
      </c>
      <c r="AB2362" t="str">
        <f>IFERROR(__xludf.DUMMYFUNCTION("""COMPUTED_VALUE"""),"Excellent")</f>
        <v>Excellent</v>
      </c>
      <c r="AG2362" t="str">
        <f>IFERROR(__xludf.DUMMYFUNCTION("""COMPUTED_VALUE"""),"2/7 text 2-6 weeks. 2/14 text 2-5 weeks.")</f>
        <v>2/7 text 2-6 weeks. 2/14 text 2-5 weeks.</v>
      </c>
      <c r="AH2362" s="189">
        <f>IFERROR(__xludf.DUMMYFUNCTION("""COMPUTED_VALUE"""),43901.531650370365)</f>
        <v>43901.53165</v>
      </c>
    </row>
    <row r="2363">
      <c r="A2363" t="str">
        <f>IFERROR(__xludf.DUMMYFUNCTION("""COMPUTED_VALUE"""),"boink717")</f>
        <v>boink717</v>
      </c>
      <c r="B2363" t="str">
        <f>IFERROR(__xludf.DUMMYFUNCTION("""COMPUTED_VALUE"""),"Los Angeles")</f>
        <v>Los Angeles</v>
      </c>
      <c r="C2363" t="str">
        <f>IFERROR(__xludf.DUMMYFUNCTION("""COMPUTED_VALUE"""),"CA")</f>
        <v>CA</v>
      </c>
      <c r="D2363" t="str">
        <f>IFERROR(__xludf.DUMMYFUNCTION("""COMPUTED_VALUE"""),"USA")</f>
        <v>USA</v>
      </c>
      <c r="E2363" s="188">
        <f>IFERROR(__xludf.DUMMYFUNCTION("""COMPUTED_VALUE"""),43823.0)</f>
        <v>43823</v>
      </c>
      <c r="F2363" s="188">
        <f>IFERROR(__xludf.DUMMYFUNCTION("""COMPUTED_VALUE"""),43893.0)</f>
        <v>43893</v>
      </c>
      <c r="H2363">
        <f>IFERROR(__xludf.DUMMYFUNCTION("""COMPUTED_VALUE"""),651255.0)</f>
        <v>651255</v>
      </c>
      <c r="I2363" t="str">
        <f>IFERROR(__xludf.DUMMYFUNCTION("""COMPUTED_VALUE"""),"03/20")</f>
        <v>03/20</v>
      </c>
      <c r="J2363" s="5">
        <f>IFERROR(__xludf.DUMMYFUNCTION("""COMPUTED_VALUE"""),43896.0)</f>
        <v>43896</v>
      </c>
      <c r="K2363">
        <f>IFERROR(__xludf.DUMMYFUNCTION("""COMPUTED_VALUE"""),70.0)</f>
        <v>70</v>
      </c>
      <c r="L2363">
        <f>IFERROR(__xludf.DUMMYFUNCTION("""COMPUTED_VALUE"""),3.0)</f>
        <v>3</v>
      </c>
      <c r="M2363">
        <f>IFERROR(__xludf.DUMMYFUNCTION("""COMPUTED_VALUE"""),73.0)</f>
        <v>73</v>
      </c>
      <c r="N2363" t="str">
        <f>IFERROR(__xludf.DUMMYFUNCTION("""COMPUTED_VALUE"""),"Model 3 LR AWD")</f>
        <v>Model 3 LR AWD</v>
      </c>
      <c r="O2363" t="str">
        <f>IFERROR(__xludf.DUMMYFUNCTION("""COMPUTED_VALUE"""),"Pearl White Multi-Coat")</f>
        <v>Pearl White Multi-Coat</v>
      </c>
      <c r="P2363" t="str">
        <f>IFERROR(__xludf.DUMMYFUNCTION("""COMPUTED_VALUE"""),"19 inch Sport")</f>
        <v>19 inch Sport</v>
      </c>
      <c r="Q2363" t="str">
        <f>IFERROR(__xludf.DUMMYFUNCTION("""COMPUTED_VALUE"""),"Black seats")</f>
        <v>Black seats</v>
      </c>
      <c r="R2363" t="str">
        <f>IFERROR(__xludf.DUMMYFUNCTION("""COMPUTED_VALUE"""),"Autopilot")</f>
        <v>Autopilot</v>
      </c>
      <c r="X2363" t="str">
        <f>IFERROR(__xludf.DUMMYFUNCTION("""COMPUTED_VALUE"""),"Excellent")</f>
        <v>Excellent</v>
      </c>
      <c r="Y2363" t="str">
        <f>IFERROR(__xludf.DUMMYFUNCTION("""COMPUTED_VALUE"""),"Excellent")</f>
        <v>Excellent</v>
      </c>
      <c r="Z2363" t="str">
        <f>IFERROR(__xludf.DUMMYFUNCTION("""COMPUTED_VALUE"""),"Excellent")</f>
        <v>Excellent</v>
      </c>
      <c r="AA2363" t="str">
        <f>IFERROR(__xludf.DUMMYFUNCTION("""COMPUTED_VALUE"""),"Excellent")</f>
        <v>Excellent</v>
      </c>
      <c r="AB2363" t="str">
        <f>IFERROR(__xludf.DUMMYFUNCTION("""COMPUTED_VALUE"""),"Excellent")</f>
        <v>Excellent</v>
      </c>
      <c r="AG2363" t="str">
        <f>IFERROR(__xludf.DUMMYFUNCTION("""COMPUTED_VALUE"""),"Modified order on 1/5 to 19' Sport Wheels")</f>
        <v>Modified order on 1/5 to 19' Sport Wheels</v>
      </c>
      <c r="AH2363" s="189">
        <f>IFERROR(__xludf.DUMMYFUNCTION("""COMPUTED_VALUE"""),43901.58538355324)</f>
        <v>43901.58538</v>
      </c>
    </row>
    <row r="2364">
      <c r="A2364" t="str">
        <f>IFERROR(__xludf.DUMMYFUNCTION("""COMPUTED_VALUE"""),"ChicagoSox")</f>
        <v>ChicagoSox</v>
      </c>
      <c r="B2364" t="str">
        <f>IFERROR(__xludf.DUMMYFUNCTION("""COMPUTED_VALUE"""),"Palos Heights")</f>
        <v>Palos Heights</v>
      </c>
      <c r="C2364" t="str">
        <f>IFERROR(__xludf.DUMMYFUNCTION("""COMPUTED_VALUE"""),"IL")</f>
        <v>IL</v>
      </c>
      <c r="D2364" t="str">
        <f>IFERROR(__xludf.DUMMYFUNCTION("""COMPUTED_VALUE"""),"USA")</f>
        <v>USA</v>
      </c>
      <c r="E2364" s="188">
        <f>IFERROR(__xludf.DUMMYFUNCTION("""COMPUTED_VALUE"""),43889.0)</f>
        <v>43889</v>
      </c>
      <c r="F2364" s="188">
        <f>IFERROR(__xludf.DUMMYFUNCTION("""COMPUTED_VALUE"""),43891.0)</f>
        <v>43891</v>
      </c>
      <c r="H2364">
        <f>IFERROR(__xludf.DUMMYFUNCTION("""COMPUTED_VALUE"""),637655.0)</f>
        <v>637655</v>
      </c>
      <c r="I2364" t="str">
        <f>IFERROR(__xludf.DUMMYFUNCTION("""COMPUTED_VALUE"""),"02/20")</f>
        <v>02/20</v>
      </c>
      <c r="J2364" s="5">
        <f>IFERROR(__xludf.DUMMYFUNCTION("""COMPUTED_VALUE"""),43900.0)</f>
        <v>43900</v>
      </c>
      <c r="K2364">
        <f>IFERROR(__xludf.DUMMYFUNCTION("""COMPUTED_VALUE"""),2.0)</f>
        <v>2</v>
      </c>
      <c r="L2364">
        <f>IFERROR(__xludf.DUMMYFUNCTION("""COMPUTED_VALUE"""),9.0)</f>
        <v>9</v>
      </c>
      <c r="M2364">
        <f>IFERROR(__xludf.DUMMYFUNCTION("""COMPUTED_VALUE"""),11.0)</f>
        <v>11</v>
      </c>
      <c r="N2364" t="str">
        <f>IFERROR(__xludf.DUMMYFUNCTION("""COMPUTED_VALUE"""),"Model 3 LR AWD")</f>
        <v>Model 3 LR AWD</v>
      </c>
      <c r="O2364" t="str">
        <f>IFERROR(__xludf.DUMMYFUNCTION("""COMPUTED_VALUE"""),"Pearl White Multi-Coat")</f>
        <v>Pearl White Multi-Coat</v>
      </c>
      <c r="P2364" t="str">
        <f>IFERROR(__xludf.DUMMYFUNCTION("""COMPUTED_VALUE"""),"18 inch Aero")</f>
        <v>18 inch Aero</v>
      </c>
      <c r="Q2364" t="str">
        <f>IFERROR(__xludf.DUMMYFUNCTION("""COMPUTED_VALUE"""),"Black seats")</f>
        <v>Black seats</v>
      </c>
      <c r="R2364" t="str">
        <f>IFERROR(__xludf.DUMMYFUNCTION("""COMPUTED_VALUE"""),"Autopilot")</f>
        <v>Autopilot</v>
      </c>
      <c r="X2364" t="str">
        <f>IFERROR(__xludf.DUMMYFUNCTION("""COMPUTED_VALUE"""),"Excellent")</f>
        <v>Excellent</v>
      </c>
      <c r="Y2364" t="str">
        <f>IFERROR(__xludf.DUMMYFUNCTION("""COMPUTED_VALUE"""),"Excellent")</f>
        <v>Excellent</v>
      </c>
      <c r="Z2364" t="str">
        <f>IFERROR(__xludf.DUMMYFUNCTION("""COMPUTED_VALUE"""),"Excellent")</f>
        <v>Excellent</v>
      </c>
      <c r="AA2364" t="str">
        <f>IFERROR(__xludf.DUMMYFUNCTION("""COMPUTED_VALUE"""),"Excellent")</f>
        <v>Excellent</v>
      </c>
      <c r="AB2364" t="str">
        <f>IFERROR(__xludf.DUMMYFUNCTION("""COMPUTED_VALUE"""),"Excellent")</f>
        <v>Excellent</v>
      </c>
      <c r="AH2364" s="189">
        <f>IFERROR(__xludf.DUMMYFUNCTION("""COMPUTED_VALUE"""),43901.76257122685)</f>
        <v>43901.76257</v>
      </c>
    </row>
    <row r="2365">
      <c r="A2365" t="str">
        <f>IFERROR(__xludf.DUMMYFUNCTION("""COMPUTED_VALUE"""),"Kev4E")</f>
        <v>Kev4E</v>
      </c>
      <c r="B2365" t="str">
        <f>IFERROR(__xludf.DUMMYFUNCTION("""COMPUTED_VALUE"""),"Hartford")</f>
        <v>Hartford</v>
      </c>
      <c r="C2365" t="str">
        <f>IFERROR(__xludf.DUMMYFUNCTION("""COMPUTED_VALUE"""),"CT")</f>
        <v>CT</v>
      </c>
      <c r="D2365" t="str">
        <f>IFERROR(__xludf.DUMMYFUNCTION("""COMPUTED_VALUE"""),"USA")</f>
        <v>USA</v>
      </c>
      <c r="E2365" s="188">
        <f>IFERROR(__xludf.DUMMYFUNCTION("""COMPUTED_VALUE"""),43878.0)</f>
        <v>43878</v>
      </c>
      <c r="F2365" s="188">
        <f>IFERROR(__xludf.DUMMYFUNCTION("""COMPUTED_VALUE"""),43886.0)</f>
        <v>43886</v>
      </c>
      <c r="H2365">
        <f>IFERROR(__xludf.DUMMYFUNCTION("""COMPUTED_VALUE"""),666455.0)</f>
        <v>666455</v>
      </c>
      <c r="I2365" t="str">
        <f>IFERROR(__xludf.DUMMYFUNCTION("""COMPUTED_VALUE"""),"02/20")</f>
        <v>02/20</v>
      </c>
      <c r="J2365" s="5">
        <f>IFERROR(__xludf.DUMMYFUNCTION("""COMPUTED_VALUE"""),43902.0)</f>
        <v>43902</v>
      </c>
      <c r="K2365">
        <f>IFERROR(__xludf.DUMMYFUNCTION("""COMPUTED_VALUE"""),8.0)</f>
        <v>8</v>
      </c>
      <c r="L2365">
        <f>IFERROR(__xludf.DUMMYFUNCTION("""COMPUTED_VALUE"""),16.0)</f>
        <v>16</v>
      </c>
      <c r="M2365">
        <f>IFERROR(__xludf.DUMMYFUNCTION("""COMPUTED_VALUE"""),24.0)</f>
        <v>24</v>
      </c>
      <c r="N2365" t="str">
        <f>IFERROR(__xludf.DUMMYFUNCTION("""COMPUTED_VALUE"""),"Model 3 LR AWD")</f>
        <v>Model 3 LR AWD</v>
      </c>
      <c r="O2365" t="str">
        <f>IFERROR(__xludf.DUMMYFUNCTION("""COMPUTED_VALUE"""),"Midnight Silver Metallic")</f>
        <v>Midnight Silver Metallic</v>
      </c>
      <c r="P2365" t="str">
        <f>IFERROR(__xludf.DUMMYFUNCTION("""COMPUTED_VALUE"""),"19 inch Sport")</f>
        <v>19 inch Sport</v>
      </c>
      <c r="Q2365" t="str">
        <f>IFERROR(__xludf.DUMMYFUNCTION("""COMPUTED_VALUE"""),"Black seats")</f>
        <v>Black seats</v>
      </c>
      <c r="R2365" t="str">
        <f>IFERROR(__xludf.DUMMYFUNCTION("""COMPUTED_VALUE"""),"Full Self-Driving")</f>
        <v>Full Self-Driving</v>
      </c>
      <c r="X2365" t="str">
        <f>IFERROR(__xludf.DUMMYFUNCTION("""COMPUTED_VALUE"""),"Excellent")</f>
        <v>Excellent</v>
      </c>
      <c r="Y2365" t="str">
        <f>IFERROR(__xludf.DUMMYFUNCTION("""COMPUTED_VALUE"""),"Excellent")</f>
        <v>Excellent</v>
      </c>
      <c r="Z2365" t="str">
        <f>IFERROR(__xludf.DUMMYFUNCTION("""COMPUTED_VALUE"""),"Good")</f>
        <v>Good</v>
      </c>
      <c r="AA2365" t="str">
        <f>IFERROR(__xludf.DUMMYFUNCTION("""COMPUTED_VALUE"""),"Fair")</f>
        <v>Fair</v>
      </c>
      <c r="AB2365" t="str">
        <f>IFERROR(__xludf.DUMMYFUNCTION("""COMPUTED_VALUE"""),"Excellent")</f>
        <v>Excellent</v>
      </c>
      <c r="AG2365" t="str">
        <f>IFERROR(__xludf.DUMMYFUNCTION("""COMPUTED_VALUE"""),"Car is amazing")</f>
        <v>Car is amazing</v>
      </c>
      <c r="AH2365" s="189">
        <f>IFERROR(__xludf.DUMMYFUNCTION("""COMPUTED_VALUE"""),43902.84451113426)</f>
        <v>43902.84451</v>
      </c>
    </row>
    <row r="2366">
      <c r="A2366" t="str">
        <f>IFERROR(__xludf.DUMMYFUNCTION("""COMPUTED_VALUE"""),"VTShaggy")</f>
        <v>VTShaggy</v>
      </c>
      <c r="B2366" t="str">
        <f>IFERROR(__xludf.DUMMYFUNCTION("""COMPUTED_VALUE"""),"Springfield")</f>
        <v>Springfield</v>
      </c>
      <c r="C2366" t="str">
        <f>IFERROR(__xludf.DUMMYFUNCTION("""COMPUTED_VALUE"""),"VA")</f>
        <v>VA</v>
      </c>
      <c r="D2366" t="str">
        <f>IFERROR(__xludf.DUMMYFUNCTION("""COMPUTED_VALUE"""),"USA")</f>
        <v>USA</v>
      </c>
      <c r="E2366" s="188">
        <f>IFERROR(__xludf.DUMMYFUNCTION("""COMPUTED_VALUE"""),44426.0)</f>
        <v>44426</v>
      </c>
      <c r="I2366" t="str">
        <f>IFERROR(__xludf.DUMMYFUNCTION("""COMPUTED_VALUE"""),"01/21")</f>
        <v>01/21</v>
      </c>
      <c r="N2366" t="str">
        <f>IFERROR(__xludf.DUMMYFUNCTION("""COMPUTED_VALUE"""),"Model 3 SR+")</f>
        <v>Model 3 SR+</v>
      </c>
      <c r="O2366" t="str">
        <f>IFERROR(__xludf.DUMMYFUNCTION("""COMPUTED_VALUE"""),"Pearl White Multi-Coat")</f>
        <v>Pearl White Multi-Coat</v>
      </c>
      <c r="P2366" t="str">
        <f>IFERROR(__xludf.DUMMYFUNCTION("""COMPUTED_VALUE"""),"18 inch")</f>
        <v>18 inch</v>
      </c>
      <c r="Q2366" t="str">
        <f>IFERROR(__xludf.DUMMYFUNCTION("""COMPUTED_VALUE"""),"All Black")</f>
        <v>All Black</v>
      </c>
      <c r="R2366" t="str">
        <f>IFERROR(__xludf.DUMMYFUNCTION("""COMPUTED_VALUE"""),"Autopilot included")</f>
        <v>Autopilot included</v>
      </c>
      <c r="S2366" t="str">
        <f>IFERROR(__xludf.DUMMYFUNCTION("""COMPUTED_VALUE"""),"Loan")</f>
        <v>Loan</v>
      </c>
      <c r="T2366" t="str">
        <f>IFERROR(__xludf.DUMMYFUNCTION("""COMPUTED_VALUE"""),"Tesla Model 3")</f>
        <v>Tesla Model 3</v>
      </c>
      <c r="U2366" t="str">
        <f>IFERROR(__xludf.DUMMYFUNCTION("""COMPUTED_VALUE"""),"Supercharger V3 support")</f>
        <v>Supercharger V3 support</v>
      </c>
      <c r="V2366" t="str">
        <f>IFERROR(__xludf.DUMMYFUNCTION("""COMPUTED_VALUE"""),"Mega castings")</f>
        <v>Mega castings</v>
      </c>
      <c r="X2366" t="str">
        <f>IFERROR(__xludf.DUMMYFUNCTION("""COMPUTED_VALUE"""),"Excellent")</f>
        <v>Excellent</v>
      </c>
      <c r="Y2366" t="str">
        <f>IFERROR(__xludf.DUMMYFUNCTION("""COMPUTED_VALUE"""),"Excellent")</f>
        <v>Excellent</v>
      </c>
      <c r="Z2366" t="str">
        <f>IFERROR(__xludf.DUMMYFUNCTION("""COMPUTED_VALUE"""),"Excellent")</f>
        <v>Excellent</v>
      </c>
      <c r="AA2366" t="str">
        <f>IFERROR(__xludf.DUMMYFUNCTION("""COMPUTED_VALUE"""),"Excellent")</f>
        <v>Excellent</v>
      </c>
      <c r="AB2366" t="str">
        <f>IFERROR(__xludf.DUMMYFUNCTION("""COMPUTED_VALUE"""),"Excellent")</f>
        <v>Excellent</v>
      </c>
      <c r="AH2366" s="189">
        <f>IFERROR(__xludf.DUMMYFUNCTION("""COMPUTED_VALUE"""),44468.23524285879)</f>
        <v>44468.23524</v>
      </c>
    </row>
    <row r="2367">
      <c r="A2367" t="str">
        <f>IFERROR(__xludf.DUMMYFUNCTION("""COMPUTED_VALUE"""),"Dimevivo")</f>
        <v>Dimevivo</v>
      </c>
      <c r="B2367" t="str">
        <f>IFERROR(__xludf.DUMMYFUNCTION("""COMPUTED_VALUE"""),"Columbus")</f>
        <v>Columbus</v>
      </c>
      <c r="C2367" t="str">
        <f>IFERROR(__xludf.DUMMYFUNCTION("""COMPUTED_VALUE"""),"OH")</f>
        <v>OH</v>
      </c>
      <c r="D2367" t="str">
        <f>IFERROR(__xludf.DUMMYFUNCTION("""COMPUTED_VALUE"""),"USA")</f>
        <v>USA</v>
      </c>
      <c r="E2367" s="188">
        <f>IFERROR(__xludf.DUMMYFUNCTION("""COMPUTED_VALUE"""),43871.0)</f>
        <v>43871</v>
      </c>
      <c r="F2367" s="188">
        <f>IFERROR(__xludf.DUMMYFUNCTION("""COMPUTED_VALUE"""),43892.0)</f>
        <v>43892</v>
      </c>
      <c r="H2367" s="4">
        <f>IFERROR(__xludf.DUMMYFUNCTION("""COMPUTED_VALUE"""),703797.0)</f>
        <v>703797</v>
      </c>
      <c r="I2367" t="str">
        <f>IFERROR(__xludf.DUMMYFUNCTION("""COMPUTED_VALUE"""),"03/20")</f>
        <v>03/20</v>
      </c>
      <c r="J2367" s="5">
        <f>IFERROR(__xludf.DUMMYFUNCTION("""COMPUTED_VALUE"""),43902.0)</f>
        <v>43902</v>
      </c>
      <c r="K2367">
        <f>IFERROR(__xludf.DUMMYFUNCTION("""COMPUTED_VALUE"""),21.0)</f>
        <v>21</v>
      </c>
      <c r="L2367">
        <f>IFERROR(__xludf.DUMMYFUNCTION("""COMPUTED_VALUE"""),10.0)</f>
        <v>10</v>
      </c>
      <c r="M2367">
        <f>IFERROR(__xludf.DUMMYFUNCTION("""COMPUTED_VALUE"""),31.0)</f>
        <v>31</v>
      </c>
      <c r="N2367" t="str">
        <f>IFERROR(__xludf.DUMMYFUNCTION("""COMPUTED_VALUE"""),"Model 3 Performance")</f>
        <v>Model 3 Performance</v>
      </c>
      <c r="O2367" t="str">
        <f>IFERROR(__xludf.DUMMYFUNCTION("""COMPUTED_VALUE"""),"Pearl White Multi-Coat")</f>
        <v>Pearl White Multi-Coat</v>
      </c>
      <c r="P2367" t="str">
        <f>IFERROR(__xludf.DUMMYFUNCTION("""COMPUTED_VALUE"""),"20 inch Sport")</f>
        <v>20 inch Sport</v>
      </c>
      <c r="Q2367" t="str">
        <f>IFERROR(__xludf.DUMMYFUNCTION("""COMPUTED_VALUE"""),"Black seats")</f>
        <v>Black seats</v>
      </c>
      <c r="R2367" t="str">
        <f>IFERROR(__xludf.DUMMYFUNCTION("""COMPUTED_VALUE"""),"Autopilot")</f>
        <v>Autopilot</v>
      </c>
      <c r="X2367" t="str">
        <f>IFERROR(__xludf.DUMMYFUNCTION("""COMPUTED_VALUE"""),"Excellent")</f>
        <v>Excellent</v>
      </c>
      <c r="Y2367" t="str">
        <f>IFERROR(__xludf.DUMMYFUNCTION("""COMPUTED_VALUE"""),"Excellent")</f>
        <v>Excellent</v>
      </c>
      <c r="Z2367" t="str">
        <f>IFERROR(__xludf.DUMMYFUNCTION("""COMPUTED_VALUE"""),"Excellent")</f>
        <v>Excellent</v>
      </c>
      <c r="AA2367" t="str">
        <f>IFERROR(__xludf.DUMMYFUNCTION("""COMPUTED_VALUE"""),"Very Good")</f>
        <v>Very Good</v>
      </c>
      <c r="AB2367" t="str">
        <f>IFERROR(__xludf.DUMMYFUNCTION("""COMPUTED_VALUE"""),"Excellent")</f>
        <v>Excellent</v>
      </c>
      <c r="AH2367" s="189">
        <f>IFERROR(__xludf.DUMMYFUNCTION("""COMPUTED_VALUE"""),43903.37529268519)</f>
        <v>43903.37529</v>
      </c>
    </row>
    <row r="2368">
      <c r="A2368" t="str">
        <f>IFERROR(__xludf.DUMMYFUNCTION("""COMPUTED_VALUE"""),"chinanderm")</f>
        <v>chinanderm</v>
      </c>
      <c r="B2368" t="str">
        <f>IFERROR(__xludf.DUMMYFUNCTION("""COMPUTED_VALUE"""),"North Liberty")</f>
        <v>North Liberty</v>
      </c>
      <c r="C2368" t="str">
        <f>IFERROR(__xludf.DUMMYFUNCTION("""COMPUTED_VALUE"""),"IA")</f>
        <v>IA</v>
      </c>
      <c r="D2368" t="str">
        <f>IFERROR(__xludf.DUMMYFUNCTION("""COMPUTED_VALUE"""),"USA")</f>
        <v>USA</v>
      </c>
      <c r="E2368" s="188">
        <f>IFERROR(__xludf.DUMMYFUNCTION("""COMPUTED_VALUE"""),43833.0)</f>
        <v>43833</v>
      </c>
      <c r="F2368" s="188">
        <f>IFERROR(__xludf.DUMMYFUNCTION("""COMPUTED_VALUE"""),43881.0)</f>
        <v>43881</v>
      </c>
      <c r="H2368">
        <f>IFERROR(__xludf.DUMMYFUNCTION("""COMPUTED_VALUE"""),637155.0)</f>
        <v>637155</v>
      </c>
      <c r="I2368" t="str">
        <f>IFERROR(__xludf.DUMMYFUNCTION("""COMPUTED_VALUE"""),"02/20")</f>
        <v>02/20</v>
      </c>
      <c r="J2368" s="5">
        <f>IFERROR(__xludf.DUMMYFUNCTION("""COMPUTED_VALUE"""),43896.0)</f>
        <v>43896</v>
      </c>
      <c r="K2368">
        <f>IFERROR(__xludf.DUMMYFUNCTION("""COMPUTED_VALUE"""),48.0)</f>
        <v>48</v>
      </c>
      <c r="L2368">
        <f>IFERROR(__xludf.DUMMYFUNCTION("""COMPUTED_VALUE"""),15.0)</f>
        <v>15</v>
      </c>
      <c r="M2368">
        <f>IFERROR(__xludf.DUMMYFUNCTION("""COMPUTED_VALUE"""),63.0)</f>
        <v>63</v>
      </c>
      <c r="N2368" t="str">
        <f>IFERROR(__xludf.DUMMYFUNCTION("""COMPUTED_VALUE"""),"Model 3 LR AWD")</f>
        <v>Model 3 LR AWD</v>
      </c>
      <c r="O2368" t="str">
        <f>IFERROR(__xludf.DUMMYFUNCTION("""COMPUTED_VALUE"""),"Pearl White Multi-Coat")</f>
        <v>Pearl White Multi-Coat</v>
      </c>
      <c r="P2368" t="str">
        <f>IFERROR(__xludf.DUMMYFUNCTION("""COMPUTED_VALUE"""),"18 inch Aero")</f>
        <v>18 inch Aero</v>
      </c>
      <c r="Q2368" t="str">
        <f>IFERROR(__xludf.DUMMYFUNCTION("""COMPUTED_VALUE"""),"Black seats")</f>
        <v>Black seats</v>
      </c>
      <c r="R2368" t="str">
        <f>IFERROR(__xludf.DUMMYFUNCTION("""COMPUTED_VALUE"""),"Autopilot")</f>
        <v>Autopilot</v>
      </c>
      <c r="X2368" t="str">
        <f>IFERROR(__xludf.DUMMYFUNCTION("""COMPUTED_VALUE"""),"Excellent")</f>
        <v>Excellent</v>
      </c>
      <c r="Y2368" t="str">
        <f>IFERROR(__xludf.DUMMYFUNCTION("""COMPUTED_VALUE"""),"Excellent")</f>
        <v>Excellent</v>
      </c>
      <c r="Z2368" t="str">
        <f>IFERROR(__xludf.DUMMYFUNCTION("""COMPUTED_VALUE"""),"Excellent")</f>
        <v>Excellent</v>
      </c>
      <c r="AA2368" t="str">
        <f>IFERROR(__xludf.DUMMYFUNCTION("""COMPUTED_VALUE"""),"Poor")</f>
        <v>Poor</v>
      </c>
      <c r="AB2368" t="str">
        <f>IFERROR(__xludf.DUMMYFUNCTION("""COMPUTED_VALUE"""),"Excellent")</f>
        <v>Excellent</v>
      </c>
      <c r="AD2368">
        <f>IFERROR(__xludf.DUMMYFUNCTION("""COMPUTED_VALUE"""),1.0)</f>
        <v>1</v>
      </c>
      <c r="AH2368" s="189">
        <f>IFERROR(__xludf.DUMMYFUNCTION("""COMPUTED_VALUE"""),43903.54979255787)</f>
        <v>43903.54979</v>
      </c>
    </row>
    <row r="2369">
      <c r="A2369" t="str">
        <f>IFERROR(__xludf.DUMMYFUNCTION("""COMPUTED_VALUE"""),"scorcherdarkly")</f>
        <v>scorcherdarkly</v>
      </c>
      <c r="B2369" t="str">
        <f>IFERROR(__xludf.DUMMYFUNCTION("""COMPUTED_VALUE"""),"Kansas City")</f>
        <v>Kansas City</v>
      </c>
      <c r="C2369" t="str">
        <f>IFERROR(__xludf.DUMMYFUNCTION("""COMPUTED_VALUE"""),"MO")</f>
        <v>MO</v>
      </c>
      <c r="D2369" t="str">
        <f>IFERROR(__xludf.DUMMYFUNCTION("""COMPUTED_VALUE"""),"USA")</f>
        <v>USA</v>
      </c>
      <c r="E2369" s="188">
        <f>IFERROR(__xludf.DUMMYFUNCTION("""COMPUTED_VALUE"""),43862.0)</f>
        <v>43862</v>
      </c>
      <c r="F2369" s="188">
        <f>IFERROR(__xludf.DUMMYFUNCTION("""COMPUTED_VALUE"""),43885.0)</f>
        <v>43885</v>
      </c>
      <c r="H2369">
        <f>IFERROR(__xludf.DUMMYFUNCTION("""COMPUTED_VALUE"""),636039.0)</f>
        <v>636039</v>
      </c>
      <c r="I2369" t="str">
        <f>IFERROR(__xludf.DUMMYFUNCTION("""COMPUTED_VALUE"""),"02/20")</f>
        <v>02/20</v>
      </c>
      <c r="J2369" s="5">
        <f>IFERROR(__xludf.DUMMYFUNCTION("""COMPUTED_VALUE"""),43901.0)</f>
        <v>43901</v>
      </c>
      <c r="K2369">
        <f>IFERROR(__xludf.DUMMYFUNCTION("""COMPUTED_VALUE"""),23.0)</f>
        <v>23</v>
      </c>
      <c r="L2369">
        <f>IFERROR(__xludf.DUMMYFUNCTION("""COMPUTED_VALUE"""),16.0)</f>
        <v>16</v>
      </c>
      <c r="M2369">
        <f>IFERROR(__xludf.DUMMYFUNCTION("""COMPUTED_VALUE"""),39.0)</f>
        <v>39</v>
      </c>
      <c r="N2369" t="str">
        <f>IFERROR(__xludf.DUMMYFUNCTION("""COMPUTED_VALUE"""),"Model 3 LR AWD")</f>
        <v>Model 3 LR AWD</v>
      </c>
      <c r="O2369" t="str">
        <f>IFERROR(__xludf.DUMMYFUNCTION("""COMPUTED_VALUE"""),"Red Multi-Coat")</f>
        <v>Red Multi-Coat</v>
      </c>
      <c r="P2369" t="str">
        <f>IFERROR(__xludf.DUMMYFUNCTION("""COMPUTED_VALUE"""),"18 inch Aero")</f>
        <v>18 inch Aero</v>
      </c>
      <c r="Q2369" t="str">
        <f>IFERROR(__xludf.DUMMYFUNCTION("""COMPUTED_VALUE"""),"Black seats")</f>
        <v>Black seats</v>
      </c>
      <c r="R2369" t="str">
        <f>IFERROR(__xludf.DUMMYFUNCTION("""COMPUTED_VALUE"""),"Autopilot")</f>
        <v>Autopilot</v>
      </c>
      <c r="X2369" t="str">
        <f>IFERROR(__xludf.DUMMYFUNCTION("""COMPUTED_VALUE"""),"Excellent")</f>
        <v>Excellent</v>
      </c>
      <c r="Y2369" t="str">
        <f>IFERROR(__xludf.DUMMYFUNCTION("""COMPUTED_VALUE"""),"Very Good")</f>
        <v>Very Good</v>
      </c>
      <c r="Z2369" t="str">
        <f>IFERROR(__xludf.DUMMYFUNCTION("""COMPUTED_VALUE"""),"Very Good")</f>
        <v>Very Good</v>
      </c>
      <c r="AA2369" t="str">
        <f>IFERROR(__xludf.DUMMYFUNCTION("""COMPUTED_VALUE"""),"Excellent")</f>
        <v>Excellent</v>
      </c>
      <c r="AB2369" t="str">
        <f>IFERROR(__xludf.DUMMYFUNCTION("""COMPUTED_VALUE"""),"Excellent")</f>
        <v>Excellent</v>
      </c>
      <c r="AG2369" t="str">
        <f>IFERROR(__xludf.DUMMYFUNCTION("""COMPUTED_VALUE"""),"Delivery delayed from 3/9/20 to 3/11/20 after the train got stuck in Chicago.")</f>
        <v>Delivery delayed from 3/9/20 to 3/11/20 after the train got stuck in Chicago.</v>
      </c>
      <c r="AH2369" s="189">
        <f>IFERROR(__xludf.DUMMYFUNCTION("""COMPUTED_VALUE"""),43903.91633262731)</f>
        <v>43903.91633</v>
      </c>
    </row>
    <row r="2370">
      <c r="A2370" t="str">
        <f>IFERROR(__xludf.DUMMYFUNCTION("""COMPUTED_VALUE"""),"loho ")</f>
        <v>loho </v>
      </c>
      <c r="B2370" t="str">
        <f>IFERROR(__xludf.DUMMYFUNCTION("""COMPUTED_VALUE"""),"Santa Clara")</f>
        <v>Santa Clara</v>
      </c>
      <c r="C2370" t="str">
        <f>IFERROR(__xludf.DUMMYFUNCTION("""COMPUTED_VALUE"""),"CA")</f>
        <v>CA</v>
      </c>
      <c r="D2370" t="str">
        <f>IFERROR(__xludf.DUMMYFUNCTION("""COMPUTED_VALUE"""),"USA")</f>
        <v>USA</v>
      </c>
      <c r="E2370" s="188">
        <f>IFERROR(__xludf.DUMMYFUNCTION("""COMPUTED_VALUE"""),43847.0)</f>
        <v>43847</v>
      </c>
      <c r="F2370" s="188">
        <f>IFERROR(__xludf.DUMMYFUNCTION("""COMPUTED_VALUE"""),43900.0)</f>
        <v>43900</v>
      </c>
      <c r="H2370">
        <f>IFERROR(__xludf.DUMMYFUNCTION("""COMPUTED_VALUE"""),712755.0)</f>
        <v>712755</v>
      </c>
      <c r="J2370" s="5">
        <f>IFERROR(__xludf.DUMMYFUNCTION("""COMPUTED_VALUE"""),43902.0)</f>
        <v>43902</v>
      </c>
      <c r="K2370">
        <f>IFERROR(__xludf.DUMMYFUNCTION("""COMPUTED_VALUE"""),53.0)</f>
        <v>53</v>
      </c>
      <c r="L2370">
        <f>IFERROR(__xludf.DUMMYFUNCTION("""COMPUTED_VALUE"""),2.0)</f>
        <v>2</v>
      </c>
      <c r="M2370">
        <f>IFERROR(__xludf.DUMMYFUNCTION("""COMPUTED_VALUE"""),55.0)</f>
        <v>55</v>
      </c>
      <c r="N2370" t="str">
        <f>IFERROR(__xludf.DUMMYFUNCTION("""COMPUTED_VALUE"""),"Model 3 LR AWD")</f>
        <v>Model 3 LR AWD</v>
      </c>
      <c r="O2370" t="str">
        <f>IFERROR(__xludf.DUMMYFUNCTION("""COMPUTED_VALUE"""),"Pearl White Multi-Coat")</f>
        <v>Pearl White Multi-Coat</v>
      </c>
      <c r="P2370" t="str">
        <f>IFERROR(__xludf.DUMMYFUNCTION("""COMPUTED_VALUE"""),"18 inch Aero")</f>
        <v>18 inch Aero</v>
      </c>
      <c r="Q2370" t="str">
        <f>IFERROR(__xludf.DUMMYFUNCTION("""COMPUTED_VALUE"""),"White seats")</f>
        <v>White seats</v>
      </c>
      <c r="R2370" t="str">
        <f>IFERROR(__xludf.DUMMYFUNCTION("""COMPUTED_VALUE"""),"Full Self-Driving")</f>
        <v>Full Self-Driving</v>
      </c>
      <c r="X2370" t="str">
        <f>IFERROR(__xludf.DUMMYFUNCTION("""COMPUTED_VALUE"""),"Excellent")</f>
        <v>Excellent</v>
      </c>
      <c r="Y2370" t="str">
        <f>IFERROR(__xludf.DUMMYFUNCTION("""COMPUTED_VALUE"""),"Excellent")</f>
        <v>Excellent</v>
      </c>
      <c r="Z2370" t="str">
        <f>IFERROR(__xludf.DUMMYFUNCTION("""COMPUTED_VALUE"""),"Very Good")</f>
        <v>Very Good</v>
      </c>
      <c r="AA2370" t="str">
        <f>IFERROR(__xludf.DUMMYFUNCTION("""COMPUTED_VALUE"""),"Good")</f>
        <v>Good</v>
      </c>
      <c r="AB2370" t="str">
        <f>IFERROR(__xludf.DUMMYFUNCTION("""COMPUTED_VALUE"""),"Very Good")</f>
        <v>Very Good</v>
      </c>
      <c r="AC2370">
        <f>IFERROR(__xludf.DUMMYFUNCTION("""COMPUTED_VALUE"""),0.0)</f>
        <v>0</v>
      </c>
      <c r="AD2370">
        <f>IFERROR(__xludf.DUMMYFUNCTION("""COMPUTED_VALUE"""),0.0)</f>
        <v>0</v>
      </c>
      <c r="AE2370">
        <f>IFERROR(__xludf.DUMMYFUNCTION("""COMPUTED_VALUE"""),0.0)</f>
        <v>0</v>
      </c>
      <c r="AH2370" s="189">
        <f>IFERROR(__xludf.DUMMYFUNCTION("""COMPUTED_VALUE"""),43903.945325243054)</f>
        <v>43903.94533</v>
      </c>
    </row>
    <row r="2371">
      <c r="A2371" t="str">
        <f>IFERROR(__xludf.DUMMYFUNCTION("""COMPUTED_VALUE"""),"Sinjis")</f>
        <v>Sinjis</v>
      </c>
      <c r="B2371" t="str">
        <f>IFERROR(__xludf.DUMMYFUNCTION("""COMPUTED_VALUE"""),"Cleveland")</f>
        <v>Cleveland</v>
      </c>
      <c r="C2371" t="str">
        <f>IFERROR(__xludf.DUMMYFUNCTION("""COMPUTED_VALUE"""),"OH")</f>
        <v>OH</v>
      </c>
      <c r="D2371" t="str">
        <f>IFERROR(__xludf.DUMMYFUNCTION("""COMPUTED_VALUE"""),"USA")</f>
        <v>USA</v>
      </c>
      <c r="E2371" s="188">
        <f>IFERROR(__xludf.DUMMYFUNCTION("""COMPUTED_VALUE"""),43873.0)</f>
        <v>43873</v>
      </c>
      <c r="F2371" s="188">
        <f>IFERROR(__xludf.DUMMYFUNCTION("""COMPUTED_VALUE"""),43887.0)</f>
        <v>43887</v>
      </c>
      <c r="H2371">
        <f>IFERROR(__xludf.DUMMYFUNCTION("""COMPUTED_VALUE"""),663200.0)</f>
        <v>663200</v>
      </c>
      <c r="I2371" t="str">
        <f>IFERROR(__xludf.DUMMYFUNCTION("""COMPUTED_VALUE"""),"02/20")</f>
        <v>02/20</v>
      </c>
      <c r="J2371" s="5">
        <f>IFERROR(__xludf.DUMMYFUNCTION("""COMPUTED_VALUE"""),43904.0)</f>
        <v>43904</v>
      </c>
      <c r="K2371">
        <f>IFERROR(__xludf.DUMMYFUNCTION("""COMPUTED_VALUE"""),14.0)</f>
        <v>14</v>
      </c>
      <c r="L2371">
        <f>IFERROR(__xludf.DUMMYFUNCTION("""COMPUTED_VALUE"""),17.0)</f>
        <v>17</v>
      </c>
      <c r="M2371">
        <f>IFERROR(__xludf.DUMMYFUNCTION("""COMPUTED_VALUE"""),31.0)</f>
        <v>31</v>
      </c>
      <c r="N2371" t="str">
        <f>IFERROR(__xludf.DUMMYFUNCTION("""COMPUTED_VALUE"""),"Model 3 LR AWD")</f>
        <v>Model 3 LR AWD</v>
      </c>
      <c r="O2371" t="str">
        <f>IFERROR(__xludf.DUMMYFUNCTION("""COMPUTED_VALUE"""),"Midnight Silver Metallic")</f>
        <v>Midnight Silver Metallic</v>
      </c>
      <c r="P2371" t="str">
        <f>IFERROR(__xludf.DUMMYFUNCTION("""COMPUTED_VALUE"""),"18 inch Aero")</f>
        <v>18 inch Aero</v>
      </c>
      <c r="Q2371" t="str">
        <f>IFERROR(__xludf.DUMMYFUNCTION("""COMPUTED_VALUE"""),"Black seats")</f>
        <v>Black seats</v>
      </c>
      <c r="R2371" t="str">
        <f>IFERROR(__xludf.DUMMYFUNCTION("""COMPUTED_VALUE"""),"Autopilot")</f>
        <v>Autopilot</v>
      </c>
      <c r="X2371" t="str">
        <f>IFERROR(__xludf.DUMMYFUNCTION("""COMPUTED_VALUE"""),"Good")</f>
        <v>Good</v>
      </c>
      <c r="Y2371" t="str">
        <f>IFERROR(__xludf.DUMMYFUNCTION("""COMPUTED_VALUE"""),"Excellent")</f>
        <v>Excellent</v>
      </c>
      <c r="Z2371" t="str">
        <f>IFERROR(__xludf.DUMMYFUNCTION("""COMPUTED_VALUE"""),"Very Good")</f>
        <v>Very Good</v>
      </c>
      <c r="AA2371" t="str">
        <f>IFERROR(__xludf.DUMMYFUNCTION("""COMPUTED_VALUE"""),"Very Good")</f>
        <v>Very Good</v>
      </c>
      <c r="AB2371" t="str">
        <f>IFERROR(__xludf.DUMMYFUNCTION("""COMPUTED_VALUE"""),"Very Good")</f>
        <v>Very Good</v>
      </c>
      <c r="AH2371" s="189">
        <f>IFERROR(__xludf.DUMMYFUNCTION("""COMPUTED_VALUE"""),43904.82940383102)</f>
        <v>43904.8294</v>
      </c>
    </row>
    <row r="2372">
      <c r="A2372" t="str">
        <f>IFERROR(__xludf.DUMMYFUNCTION("""COMPUTED_VALUE"""),"that_HMMWV_guy")</f>
        <v>that_HMMWV_guy</v>
      </c>
      <c r="B2372" t="str">
        <f>IFERROR(__xludf.DUMMYFUNCTION("""COMPUTED_VALUE"""),"Somerset")</f>
        <v>Somerset</v>
      </c>
      <c r="C2372" t="str">
        <f>IFERROR(__xludf.DUMMYFUNCTION("""COMPUTED_VALUE"""),"KY")</f>
        <v>KY</v>
      </c>
      <c r="D2372" t="str">
        <f>IFERROR(__xludf.DUMMYFUNCTION("""COMPUTED_VALUE"""),"USA")</f>
        <v>USA</v>
      </c>
      <c r="E2372" s="188">
        <f>IFERROR(__xludf.DUMMYFUNCTION("""COMPUTED_VALUE"""),43850.0)</f>
        <v>43850</v>
      </c>
      <c r="F2372" s="188">
        <f>IFERROR(__xludf.DUMMYFUNCTION("""COMPUTED_VALUE"""),43887.0)</f>
        <v>43887</v>
      </c>
      <c r="H2372" s="4">
        <f>IFERROR(__xludf.DUMMYFUNCTION("""COMPUTED_VALUE"""),639695.0)</f>
        <v>639695</v>
      </c>
      <c r="I2372" t="str">
        <f>IFERROR(__xludf.DUMMYFUNCTION("""COMPUTED_VALUE"""),"02/20")</f>
        <v>02/20</v>
      </c>
      <c r="J2372" s="5">
        <f>IFERROR(__xludf.DUMMYFUNCTION("""COMPUTED_VALUE"""),43902.0)</f>
        <v>43902</v>
      </c>
      <c r="K2372">
        <f>IFERROR(__xludf.DUMMYFUNCTION("""COMPUTED_VALUE"""),37.0)</f>
        <v>37</v>
      </c>
      <c r="L2372">
        <f>IFERROR(__xludf.DUMMYFUNCTION("""COMPUTED_VALUE"""),15.0)</f>
        <v>15</v>
      </c>
      <c r="M2372">
        <f>IFERROR(__xludf.DUMMYFUNCTION("""COMPUTED_VALUE"""),52.0)</f>
        <v>52</v>
      </c>
      <c r="N2372" t="str">
        <f>IFERROR(__xludf.DUMMYFUNCTION("""COMPUTED_VALUE"""),"Model 3 LR AWD")</f>
        <v>Model 3 LR AWD</v>
      </c>
      <c r="O2372" t="str">
        <f>IFERROR(__xludf.DUMMYFUNCTION("""COMPUTED_VALUE"""),"Pearl White Multi-Coat")</f>
        <v>Pearl White Multi-Coat</v>
      </c>
      <c r="P2372" t="str">
        <f>IFERROR(__xludf.DUMMYFUNCTION("""COMPUTED_VALUE"""),"18 inch Aero")</f>
        <v>18 inch Aero</v>
      </c>
      <c r="Q2372" t="str">
        <f>IFERROR(__xludf.DUMMYFUNCTION("""COMPUTED_VALUE"""),"White seats")</f>
        <v>White seats</v>
      </c>
      <c r="R2372" t="str">
        <f>IFERROR(__xludf.DUMMYFUNCTION("""COMPUTED_VALUE"""),"Autopilot")</f>
        <v>Autopilot</v>
      </c>
      <c r="X2372" t="str">
        <f>IFERROR(__xludf.DUMMYFUNCTION("""COMPUTED_VALUE"""),"Excellent")</f>
        <v>Excellent</v>
      </c>
      <c r="Y2372" t="str">
        <f>IFERROR(__xludf.DUMMYFUNCTION("""COMPUTED_VALUE"""),"Good")</f>
        <v>Good</v>
      </c>
      <c r="Z2372" t="str">
        <f>IFERROR(__xludf.DUMMYFUNCTION("""COMPUTED_VALUE"""),"Excellent")</f>
        <v>Excellent</v>
      </c>
      <c r="AA2372" t="str">
        <f>IFERROR(__xludf.DUMMYFUNCTION("""COMPUTED_VALUE"""),"Fair")</f>
        <v>Fair</v>
      </c>
      <c r="AB2372" t="str">
        <f>IFERROR(__xludf.DUMMYFUNCTION("""COMPUTED_VALUE"""),"Very Good")</f>
        <v>Very Good</v>
      </c>
      <c r="AC2372">
        <f>IFERROR(__xludf.DUMMYFUNCTION("""COMPUTED_VALUE"""),2.0)</f>
        <v>2</v>
      </c>
      <c r="AG2372" t="str">
        <f>IFERROR(__xludf.DUMMYFUNCTION("""COMPUTED_VALUE"""),"Original delivery estimate was 7-10 weeks, but I received a text on 1/23 saying 5-10 week delivery estimate. ")</f>
        <v>Original delivery estimate was 7-10 weeks, but I received a text on 1/23 saying 5-10 week delivery estimate. </v>
      </c>
      <c r="AH2372" s="189">
        <f>IFERROR(__xludf.DUMMYFUNCTION("""COMPUTED_VALUE"""),43905.351211851856)</f>
        <v>43905.35121</v>
      </c>
    </row>
    <row r="2373">
      <c r="A2373" t="str">
        <f>IFERROR(__xludf.DUMMYFUNCTION("""COMPUTED_VALUE"""),"jslazzara")</f>
        <v>jslazzara</v>
      </c>
      <c r="B2373" t="str">
        <f>IFERROR(__xludf.DUMMYFUNCTION("""COMPUTED_VALUE"""),"Pleasanton")</f>
        <v>Pleasanton</v>
      </c>
      <c r="C2373" t="str">
        <f>IFERROR(__xludf.DUMMYFUNCTION("""COMPUTED_VALUE"""),"CA")</f>
        <v>CA</v>
      </c>
      <c r="D2373" t="str">
        <f>IFERROR(__xludf.DUMMYFUNCTION("""COMPUTED_VALUE"""),"USA")</f>
        <v>USA</v>
      </c>
      <c r="E2373" s="188">
        <f>IFERROR(__xludf.DUMMYFUNCTION("""COMPUTED_VALUE"""),43862.0)</f>
        <v>43862</v>
      </c>
      <c r="F2373" s="188">
        <f>IFERROR(__xludf.DUMMYFUNCTION("""COMPUTED_VALUE"""),43890.0)</f>
        <v>43890</v>
      </c>
      <c r="J2373" s="5">
        <f>IFERROR(__xludf.DUMMYFUNCTION("""COMPUTED_VALUE"""),43892.0)</f>
        <v>43892</v>
      </c>
      <c r="K2373">
        <f>IFERROR(__xludf.DUMMYFUNCTION("""COMPUTED_VALUE"""),28.0)</f>
        <v>28</v>
      </c>
      <c r="L2373">
        <f>IFERROR(__xludf.DUMMYFUNCTION("""COMPUTED_VALUE"""),2.0)</f>
        <v>2</v>
      </c>
      <c r="M2373">
        <f>IFERROR(__xludf.DUMMYFUNCTION("""COMPUTED_VALUE"""),30.0)</f>
        <v>30</v>
      </c>
      <c r="N2373" t="str">
        <f>IFERROR(__xludf.DUMMYFUNCTION("""COMPUTED_VALUE"""),"Model 3 SR+")</f>
        <v>Model 3 SR+</v>
      </c>
      <c r="O2373" t="str">
        <f>IFERROR(__xludf.DUMMYFUNCTION("""COMPUTED_VALUE"""),"Pearl White Multi-Coat")</f>
        <v>Pearl White Multi-Coat</v>
      </c>
      <c r="P2373" t="str">
        <f>IFERROR(__xludf.DUMMYFUNCTION("""COMPUTED_VALUE"""),"18 inch Aero")</f>
        <v>18 inch Aero</v>
      </c>
      <c r="Q2373" t="str">
        <f>IFERROR(__xludf.DUMMYFUNCTION("""COMPUTED_VALUE"""),"Black seats")</f>
        <v>Black seats</v>
      </c>
      <c r="R2373" t="str">
        <f>IFERROR(__xludf.DUMMYFUNCTION("""COMPUTED_VALUE"""),"Autopilot")</f>
        <v>Autopilot</v>
      </c>
      <c r="X2373" t="str">
        <f>IFERROR(__xludf.DUMMYFUNCTION("""COMPUTED_VALUE"""),"Excellent")</f>
        <v>Excellent</v>
      </c>
      <c r="Y2373" t="str">
        <f>IFERROR(__xludf.DUMMYFUNCTION("""COMPUTED_VALUE"""),"Excellent")</f>
        <v>Excellent</v>
      </c>
      <c r="Z2373" t="str">
        <f>IFERROR(__xludf.DUMMYFUNCTION("""COMPUTED_VALUE"""),"Excellent")</f>
        <v>Excellent</v>
      </c>
      <c r="AA2373" t="str">
        <f>IFERROR(__xludf.DUMMYFUNCTION("""COMPUTED_VALUE"""),"Fair")</f>
        <v>Fair</v>
      </c>
      <c r="AB2373" t="str">
        <f>IFERROR(__xludf.DUMMYFUNCTION("""COMPUTED_VALUE"""),"Very Good")</f>
        <v>Very Good</v>
      </c>
      <c r="AC2373">
        <f>IFERROR(__xludf.DUMMYFUNCTION("""COMPUTED_VALUE"""),0.0)</f>
        <v>0</v>
      </c>
      <c r="AD2373">
        <f>IFERROR(__xludf.DUMMYFUNCTION("""COMPUTED_VALUE"""),0.0)</f>
        <v>0</v>
      </c>
      <c r="AE2373">
        <f>IFERROR(__xludf.DUMMYFUNCTION("""COMPUTED_VALUE"""),0.0)</f>
        <v>0</v>
      </c>
      <c r="AH2373" s="189">
        <f>IFERROR(__xludf.DUMMYFUNCTION("""COMPUTED_VALUE"""),43905.73137898148)</f>
        <v>43905.73138</v>
      </c>
    </row>
    <row r="2374">
      <c r="A2374" t="str">
        <f>IFERROR(__xludf.DUMMYFUNCTION("""COMPUTED_VALUE"""),"SSM")</f>
        <v>SSM</v>
      </c>
      <c r="B2374" t="str">
        <f>IFERROR(__xludf.DUMMYFUNCTION("""COMPUTED_VALUE"""),"SF Bay Area")</f>
        <v>SF Bay Area</v>
      </c>
      <c r="C2374" t="str">
        <f>IFERROR(__xludf.DUMMYFUNCTION("""COMPUTED_VALUE"""),"CA")</f>
        <v>CA</v>
      </c>
      <c r="D2374" t="str">
        <f>IFERROR(__xludf.DUMMYFUNCTION("""COMPUTED_VALUE"""),"USA")</f>
        <v>USA</v>
      </c>
      <c r="E2374" s="188">
        <f>IFERROR(__xludf.DUMMYFUNCTION("""COMPUTED_VALUE"""),43875.0)</f>
        <v>43875</v>
      </c>
      <c r="F2374" s="188">
        <f>IFERROR(__xludf.DUMMYFUNCTION("""COMPUTED_VALUE"""),43903.0)</f>
        <v>43903</v>
      </c>
      <c r="H2374">
        <f>IFERROR(__xludf.DUMMYFUNCTION("""COMPUTED_VALUE"""),711955.0)</f>
        <v>711955</v>
      </c>
      <c r="J2374" s="5">
        <f>IFERROR(__xludf.DUMMYFUNCTION("""COMPUTED_VALUE"""),43903.0)</f>
        <v>43903</v>
      </c>
      <c r="K2374">
        <f>IFERROR(__xludf.DUMMYFUNCTION("""COMPUTED_VALUE"""),28.0)</f>
        <v>28</v>
      </c>
      <c r="L2374">
        <f>IFERROR(__xludf.DUMMYFUNCTION("""COMPUTED_VALUE"""),0.0)</f>
        <v>0</v>
      </c>
      <c r="M2374">
        <f>IFERROR(__xludf.DUMMYFUNCTION("""COMPUTED_VALUE"""),28.0)</f>
        <v>28</v>
      </c>
      <c r="N2374" t="str">
        <f>IFERROR(__xludf.DUMMYFUNCTION("""COMPUTED_VALUE"""),"Model 3 LR AWD")</f>
        <v>Model 3 LR AWD</v>
      </c>
      <c r="O2374" t="str">
        <f>IFERROR(__xludf.DUMMYFUNCTION("""COMPUTED_VALUE"""),"Red Multi-Coat")</f>
        <v>Red Multi-Coat</v>
      </c>
      <c r="P2374" t="str">
        <f>IFERROR(__xludf.DUMMYFUNCTION("""COMPUTED_VALUE"""),"19 inch Sport")</f>
        <v>19 inch Sport</v>
      </c>
      <c r="Q2374" t="str">
        <f>IFERROR(__xludf.DUMMYFUNCTION("""COMPUTED_VALUE"""),"Black seats")</f>
        <v>Black seats</v>
      </c>
      <c r="R2374" t="str">
        <f>IFERROR(__xludf.DUMMYFUNCTION("""COMPUTED_VALUE"""),"Full Self-Driving")</f>
        <v>Full Self-Driving</v>
      </c>
      <c r="X2374" t="str">
        <f>IFERROR(__xludf.DUMMYFUNCTION("""COMPUTED_VALUE"""),"Excellent")</f>
        <v>Excellent</v>
      </c>
      <c r="Y2374" t="str">
        <f>IFERROR(__xludf.DUMMYFUNCTION("""COMPUTED_VALUE"""),"Excellent")</f>
        <v>Excellent</v>
      </c>
      <c r="Z2374" t="str">
        <f>IFERROR(__xludf.DUMMYFUNCTION("""COMPUTED_VALUE"""),"Excellent")</f>
        <v>Excellent</v>
      </c>
      <c r="AA2374" t="str">
        <f>IFERROR(__xludf.DUMMYFUNCTION("""COMPUTED_VALUE"""),"Excellent")</f>
        <v>Excellent</v>
      </c>
      <c r="AB2374" t="str">
        <f>IFERROR(__xludf.DUMMYFUNCTION("""COMPUTED_VALUE"""),"Excellent")</f>
        <v>Excellent</v>
      </c>
      <c r="AG2374" t="str">
        <f>IFERROR(__xludf.DUMMYFUNCTION("""COMPUTED_VALUE"""),"Brand new inventory car! No previous owner/reservation")</f>
        <v>Brand new inventory car! No previous owner/reservation</v>
      </c>
      <c r="AH2374" s="189">
        <f>IFERROR(__xludf.DUMMYFUNCTION("""COMPUTED_VALUE"""),43905.83399392361)</f>
        <v>43905.83399</v>
      </c>
    </row>
    <row r="2375">
      <c r="A2375" t="str">
        <f>IFERROR(__xludf.DUMMYFUNCTION("""COMPUTED_VALUE"""),"blazeform")</f>
        <v>blazeform</v>
      </c>
      <c r="B2375" t="str">
        <f>IFERROR(__xludf.DUMMYFUNCTION("""COMPUTED_VALUE"""),"Fort Lauderdale")</f>
        <v>Fort Lauderdale</v>
      </c>
      <c r="C2375" t="str">
        <f>IFERROR(__xludf.DUMMYFUNCTION("""COMPUTED_VALUE"""),"FL")</f>
        <v>FL</v>
      </c>
      <c r="D2375" t="str">
        <f>IFERROR(__xludf.DUMMYFUNCTION("""COMPUTED_VALUE"""),"USA")</f>
        <v>USA</v>
      </c>
      <c r="E2375" s="188">
        <f>IFERROR(__xludf.DUMMYFUNCTION("""COMPUTED_VALUE"""),43867.0)</f>
        <v>43867</v>
      </c>
      <c r="F2375" s="188">
        <f>IFERROR(__xludf.DUMMYFUNCTION("""COMPUTED_VALUE"""),43883.0)</f>
        <v>43883</v>
      </c>
      <c r="J2375" s="5">
        <f>IFERROR(__xludf.DUMMYFUNCTION("""COMPUTED_VALUE"""),43903.0)</f>
        <v>43903</v>
      </c>
      <c r="K2375">
        <f>IFERROR(__xludf.DUMMYFUNCTION("""COMPUTED_VALUE"""),16.0)</f>
        <v>16</v>
      </c>
      <c r="L2375">
        <f>IFERROR(__xludf.DUMMYFUNCTION("""COMPUTED_VALUE"""),20.0)</f>
        <v>20</v>
      </c>
      <c r="M2375">
        <f>IFERROR(__xludf.DUMMYFUNCTION("""COMPUTED_VALUE"""),36.0)</f>
        <v>36</v>
      </c>
      <c r="N2375" t="str">
        <f>IFERROR(__xludf.DUMMYFUNCTION("""COMPUTED_VALUE"""),"Model 3 LR AWD")</f>
        <v>Model 3 LR AWD</v>
      </c>
      <c r="O2375" t="str">
        <f>IFERROR(__xludf.DUMMYFUNCTION("""COMPUTED_VALUE"""),"Midnight Silver Metallic")</f>
        <v>Midnight Silver Metallic</v>
      </c>
      <c r="P2375" t="str">
        <f>IFERROR(__xludf.DUMMYFUNCTION("""COMPUTED_VALUE"""),"19 inch Sport")</f>
        <v>19 inch Sport</v>
      </c>
      <c r="Q2375" t="str">
        <f>IFERROR(__xludf.DUMMYFUNCTION("""COMPUTED_VALUE"""),"White seats")</f>
        <v>White seats</v>
      </c>
      <c r="R2375" t="str">
        <f>IFERROR(__xludf.DUMMYFUNCTION("""COMPUTED_VALUE"""),"Autopilot")</f>
        <v>Autopilot</v>
      </c>
      <c r="X2375" t="str">
        <f>IFERROR(__xludf.DUMMYFUNCTION("""COMPUTED_VALUE"""),"Excellent")</f>
        <v>Excellent</v>
      </c>
      <c r="Y2375" t="str">
        <f>IFERROR(__xludf.DUMMYFUNCTION("""COMPUTED_VALUE"""),"Excellent")</f>
        <v>Excellent</v>
      </c>
      <c r="Z2375" t="str">
        <f>IFERROR(__xludf.DUMMYFUNCTION("""COMPUTED_VALUE"""),"Excellent")</f>
        <v>Excellent</v>
      </c>
      <c r="AA2375" t="str">
        <f>IFERROR(__xludf.DUMMYFUNCTION("""COMPUTED_VALUE"""),"Very Good")</f>
        <v>Very Good</v>
      </c>
      <c r="AB2375" t="str">
        <f>IFERROR(__xludf.DUMMYFUNCTION("""COMPUTED_VALUE"""),"Excellent")</f>
        <v>Excellent</v>
      </c>
      <c r="AH2375" s="189">
        <f>IFERROR(__xludf.DUMMYFUNCTION("""COMPUTED_VALUE"""),43905.83692021991)</f>
        <v>43905.83692</v>
      </c>
    </row>
    <row r="2376">
      <c r="A2376" t="str">
        <f>IFERROR(__xludf.DUMMYFUNCTION("""COMPUTED_VALUE"""),"Ravire")</f>
        <v>Ravire</v>
      </c>
      <c r="B2376" t="str">
        <f>IFERROR(__xludf.DUMMYFUNCTION("""COMPUTED_VALUE"""),"Rancho Cucamonga")</f>
        <v>Rancho Cucamonga</v>
      </c>
      <c r="C2376" t="str">
        <f>IFERROR(__xludf.DUMMYFUNCTION("""COMPUTED_VALUE"""),"CA")</f>
        <v>CA</v>
      </c>
      <c r="D2376" t="str">
        <f>IFERROR(__xludf.DUMMYFUNCTION("""COMPUTED_VALUE"""),"USA")</f>
        <v>USA</v>
      </c>
      <c r="E2376" s="188">
        <f>IFERROR(__xludf.DUMMYFUNCTION("""COMPUTED_VALUE"""),43861.0)</f>
        <v>43861</v>
      </c>
      <c r="F2376" s="188">
        <f>IFERROR(__xludf.DUMMYFUNCTION("""COMPUTED_VALUE"""),43904.0)</f>
        <v>43904</v>
      </c>
      <c r="H2376">
        <f>IFERROR(__xludf.DUMMYFUNCTION("""COMPUTED_VALUE"""),720055.0)</f>
        <v>720055</v>
      </c>
      <c r="J2376" s="5">
        <f>IFERROR(__xludf.DUMMYFUNCTION("""COMPUTED_VALUE"""),43905.0)</f>
        <v>43905</v>
      </c>
      <c r="K2376">
        <f>IFERROR(__xludf.DUMMYFUNCTION("""COMPUTED_VALUE"""),43.0)</f>
        <v>43</v>
      </c>
      <c r="L2376">
        <f>IFERROR(__xludf.DUMMYFUNCTION("""COMPUTED_VALUE"""),1.0)</f>
        <v>1</v>
      </c>
      <c r="M2376">
        <f>IFERROR(__xludf.DUMMYFUNCTION("""COMPUTED_VALUE"""),44.0)</f>
        <v>44</v>
      </c>
      <c r="N2376" t="str">
        <f>IFERROR(__xludf.DUMMYFUNCTION("""COMPUTED_VALUE"""),"Model 3 LR AWD")</f>
        <v>Model 3 LR AWD</v>
      </c>
      <c r="O2376" t="str">
        <f>IFERROR(__xludf.DUMMYFUNCTION("""COMPUTED_VALUE"""),"Pearl White Multi-Coat")</f>
        <v>Pearl White Multi-Coat</v>
      </c>
      <c r="P2376" t="str">
        <f>IFERROR(__xludf.DUMMYFUNCTION("""COMPUTED_VALUE"""),"18 inch Aero")</f>
        <v>18 inch Aero</v>
      </c>
      <c r="Q2376" t="str">
        <f>IFERROR(__xludf.DUMMYFUNCTION("""COMPUTED_VALUE"""),"White seats")</f>
        <v>White seats</v>
      </c>
      <c r="R2376" t="str">
        <f>IFERROR(__xludf.DUMMYFUNCTION("""COMPUTED_VALUE"""),"Autopilot")</f>
        <v>Autopilot</v>
      </c>
      <c r="X2376" t="str">
        <f>IFERROR(__xludf.DUMMYFUNCTION("""COMPUTED_VALUE"""),"Excellent")</f>
        <v>Excellent</v>
      </c>
      <c r="Y2376" t="str">
        <f>IFERROR(__xludf.DUMMYFUNCTION("""COMPUTED_VALUE"""),"Excellent")</f>
        <v>Excellent</v>
      </c>
      <c r="Z2376" t="str">
        <f>IFERROR(__xludf.DUMMYFUNCTION("""COMPUTED_VALUE"""),"Excellent")</f>
        <v>Excellent</v>
      </c>
      <c r="AA2376" t="str">
        <f>IFERROR(__xludf.DUMMYFUNCTION("""COMPUTED_VALUE"""),"Poor")</f>
        <v>Poor</v>
      </c>
      <c r="AB2376" t="str">
        <f>IFERROR(__xludf.DUMMYFUNCTION("""COMPUTED_VALUE"""),"Excellent")</f>
        <v>Excellent</v>
      </c>
      <c r="AG2376" t="str">
        <f>IFERROR(__xludf.DUMMYFUNCTION("""COMPUTED_VALUE"""),"Found identical build in inventory, called and got matched to VIN")</f>
        <v>Found identical build in inventory, called and got matched to VIN</v>
      </c>
      <c r="AH2376" s="189">
        <f>IFERROR(__xludf.DUMMYFUNCTION("""COMPUTED_VALUE"""),43905.8941925463)</f>
        <v>43905.89419</v>
      </c>
    </row>
    <row r="2377">
      <c r="A2377" t="str">
        <f>IFERROR(__xludf.DUMMYFUNCTION("""COMPUTED_VALUE"""),"Yvette5107")</f>
        <v>Yvette5107</v>
      </c>
      <c r="B2377" t="str">
        <f>IFERROR(__xludf.DUMMYFUNCTION("""COMPUTED_VALUE"""),"Rancho Cucamonga")</f>
        <v>Rancho Cucamonga</v>
      </c>
      <c r="C2377" t="str">
        <f>IFERROR(__xludf.DUMMYFUNCTION("""COMPUTED_VALUE"""),"CA")</f>
        <v>CA</v>
      </c>
      <c r="D2377" t="str">
        <f>IFERROR(__xludf.DUMMYFUNCTION("""COMPUTED_VALUE"""),"USA")</f>
        <v>USA</v>
      </c>
      <c r="E2377" s="188">
        <f>IFERROR(__xludf.DUMMYFUNCTION("""COMPUTED_VALUE"""),43842.0)</f>
        <v>43842</v>
      </c>
      <c r="F2377" s="188">
        <f>IFERROR(__xludf.DUMMYFUNCTION("""COMPUTED_VALUE"""),43842.0)</f>
        <v>43842</v>
      </c>
      <c r="J2377" s="5">
        <f>IFERROR(__xludf.DUMMYFUNCTION("""COMPUTED_VALUE"""),43845.0)</f>
        <v>43845</v>
      </c>
      <c r="K2377">
        <f>IFERROR(__xludf.DUMMYFUNCTION("""COMPUTED_VALUE"""),0.0)</f>
        <v>0</v>
      </c>
      <c r="L2377">
        <f>IFERROR(__xludf.DUMMYFUNCTION("""COMPUTED_VALUE"""),3.0)</f>
        <v>3</v>
      </c>
      <c r="M2377">
        <f>IFERROR(__xludf.DUMMYFUNCTION("""COMPUTED_VALUE"""),3.0)</f>
        <v>3</v>
      </c>
      <c r="N2377" t="str">
        <f>IFERROR(__xludf.DUMMYFUNCTION("""COMPUTED_VALUE"""),"Model 3 LR AWD")</f>
        <v>Model 3 LR AWD</v>
      </c>
      <c r="O2377" t="str">
        <f>IFERROR(__xludf.DUMMYFUNCTION("""COMPUTED_VALUE"""),"Pearl White Multi-Coat")</f>
        <v>Pearl White Multi-Coat</v>
      </c>
      <c r="P2377" t="str">
        <f>IFERROR(__xludf.DUMMYFUNCTION("""COMPUTED_VALUE"""),"18 inch Aero")</f>
        <v>18 inch Aero</v>
      </c>
      <c r="Q2377" t="str">
        <f>IFERROR(__xludf.DUMMYFUNCTION("""COMPUTED_VALUE"""),"Black seats")</f>
        <v>Black seats</v>
      </c>
      <c r="R2377" t="str">
        <f>IFERROR(__xludf.DUMMYFUNCTION("""COMPUTED_VALUE"""),"Autopilot")</f>
        <v>Autopilot</v>
      </c>
      <c r="X2377" t="str">
        <f>IFERROR(__xludf.DUMMYFUNCTION("""COMPUTED_VALUE"""),"Excellent")</f>
        <v>Excellent</v>
      </c>
      <c r="Y2377" t="str">
        <f>IFERROR(__xludf.DUMMYFUNCTION("""COMPUTED_VALUE"""),"Excellent")</f>
        <v>Excellent</v>
      </c>
      <c r="Z2377" t="str">
        <f>IFERROR(__xludf.DUMMYFUNCTION("""COMPUTED_VALUE"""),"Excellent")</f>
        <v>Excellent</v>
      </c>
      <c r="AA2377" t="str">
        <f>IFERROR(__xludf.DUMMYFUNCTION("""COMPUTED_VALUE"""),"Excellent")</f>
        <v>Excellent</v>
      </c>
      <c r="AB2377" t="str">
        <f>IFERROR(__xludf.DUMMYFUNCTION("""COMPUTED_VALUE"""),"Excellent")</f>
        <v>Excellent</v>
      </c>
      <c r="AC2377">
        <f>IFERROR(__xludf.DUMMYFUNCTION("""COMPUTED_VALUE"""),0.0)</f>
        <v>0</v>
      </c>
      <c r="AD2377">
        <f>IFERROR(__xludf.DUMMYFUNCTION("""COMPUTED_VALUE"""),0.0)</f>
        <v>0</v>
      </c>
      <c r="AE2377">
        <f>IFERROR(__xludf.DUMMYFUNCTION("""COMPUTED_VALUE"""),0.0)</f>
        <v>0</v>
      </c>
      <c r="AH2377" s="189">
        <f>IFERROR(__xludf.DUMMYFUNCTION("""COMPUTED_VALUE"""),43906.31693638889)</f>
        <v>43906.31694</v>
      </c>
    </row>
    <row r="2378">
      <c r="A2378" t="str">
        <f>IFERROR(__xludf.DUMMYFUNCTION("""COMPUTED_VALUE"""),"DJPoisson")</f>
        <v>DJPoisson</v>
      </c>
      <c r="B2378" t="str">
        <f>IFERROR(__xludf.DUMMYFUNCTION("""COMPUTED_VALUE"""),"Atlanta")</f>
        <v>Atlanta</v>
      </c>
      <c r="C2378" t="str">
        <f>IFERROR(__xludf.DUMMYFUNCTION("""COMPUTED_VALUE"""),"GA")</f>
        <v>GA</v>
      </c>
      <c r="D2378" t="str">
        <f>IFERROR(__xludf.DUMMYFUNCTION("""COMPUTED_VALUE"""),"USA")</f>
        <v>USA</v>
      </c>
      <c r="E2378" s="188">
        <f>IFERROR(__xludf.DUMMYFUNCTION("""COMPUTED_VALUE"""),43860.0)</f>
        <v>43860</v>
      </c>
      <c r="F2378" s="188">
        <f>IFERROR(__xludf.DUMMYFUNCTION("""COMPUTED_VALUE"""),43890.0)</f>
        <v>43890</v>
      </c>
      <c r="H2378" s="4">
        <f>IFERROR(__xludf.DUMMYFUNCTION("""COMPUTED_VALUE"""),641503.0)</f>
        <v>641503</v>
      </c>
      <c r="J2378" s="5">
        <f>IFERROR(__xludf.DUMMYFUNCTION("""COMPUTED_VALUE"""),43905.0)</f>
        <v>43905</v>
      </c>
      <c r="K2378">
        <f>IFERROR(__xludf.DUMMYFUNCTION("""COMPUTED_VALUE"""),30.0)</f>
        <v>30</v>
      </c>
      <c r="L2378">
        <f>IFERROR(__xludf.DUMMYFUNCTION("""COMPUTED_VALUE"""),15.0)</f>
        <v>15</v>
      </c>
      <c r="M2378">
        <f>IFERROR(__xludf.DUMMYFUNCTION("""COMPUTED_VALUE"""),45.0)</f>
        <v>45</v>
      </c>
      <c r="N2378" t="str">
        <f>IFERROR(__xludf.DUMMYFUNCTION("""COMPUTED_VALUE"""),"Model 3 Performance")</f>
        <v>Model 3 Performance</v>
      </c>
      <c r="O2378" t="str">
        <f>IFERROR(__xludf.DUMMYFUNCTION("""COMPUTED_VALUE"""),"Pearl White Multi-Coat")</f>
        <v>Pearl White Multi-Coat</v>
      </c>
      <c r="P2378" t="str">
        <f>IFERROR(__xludf.DUMMYFUNCTION("""COMPUTED_VALUE"""),"20 inch Sport")</f>
        <v>20 inch Sport</v>
      </c>
      <c r="Q2378" t="str">
        <f>IFERROR(__xludf.DUMMYFUNCTION("""COMPUTED_VALUE"""),"Black seats")</f>
        <v>Black seats</v>
      </c>
      <c r="R2378" t="str">
        <f>IFERROR(__xludf.DUMMYFUNCTION("""COMPUTED_VALUE"""),"Full Self-Driving")</f>
        <v>Full Self-Driving</v>
      </c>
      <c r="X2378" t="str">
        <f>IFERROR(__xludf.DUMMYFUNCTION("""COMPUTED_VALUE"""),"Excellent")</f>
        <v>Excellent</v>
      </c>
      <c r="Y2378" t="str">
        <f>IFERROR(__xludf.DUMMYFUNCTION("""COMPUTED_VALUE"""),"Excellent")</f>
        <v>Excellent</v>
      </c>
      <c r="Z2378" t="str">
        <f>IFERROR(__xludf.DUMMYFUNCTION("""COMPUTED_VALUE"""),"Excellent")</f>
        <v>Excellent</v>
      </c>
      <c r="AA2378" t="str">
        <f>IFERROR(__xludf.DUMMYFUNCTION("""COMPUTED_VALUE"""),"Poor")</f>
        <v>Poor</v>
      </c>
      <c r="AB2378" t="str">
        <f>IFERROR(__xludf.DUMMYFUNCTION("""COMPUTED_VALUE"""),"Excellent")</f>
        <v>Excellent</v>
      </c>
      <c r="AH2378" s="189">
        <f>IFERROR(__xludf.DUMMYFUNCTION("""COMPUTED_VALUE"""),43906.413348842594)</f>
        <v>43906.41335</v>
      </c>
    </row>
    <row r="2379">
      <c r="A2379" t="str">
        <f>IFERROR(__xludf.DUMMYFUNCTION("""COMPUTED_VALUE"""),"callendurst")</f>
        <v>callendurst</v>
      </c>
      <c r="B2379" t="str">
        <f>IFERROR(__xludf.DUMMYFUNCTION("""COMPUTED_VALUE"""),"Naples")</f>
        <v>Naples</v>
      </c>
      <c r="C2379" t="str">
        <f>IFERROR(__xludf.DUMMYFUNCTION("""COMPUTED_VALUE"""),"FL")</f>
        <v>FL</v>
      </c>
      <c r="D2379" t="str">
        <f>IFERROR(__xludf.DUMMYFUNCTION("""COMPUTED_VALUE"""),"USA")</f>
        <v>USA</v>
      </c>
      <c r="E2379" s="188">
        <f>IFERROR(__xludf.DUMMYFUNCTION("""COMPUTED_VALUE"""),43849.0)</f>
        <v>43849</v>
      </c>
      <c r="F2379" s="188">
        <f>IFERROR(__xludf.DUMMYFUNCTION("""COMPUTED_VALUE"""),43888.0)</f>
        <v>43888</v>
      </c>
      <c r="H2379" s="4">
        <f>IFERROR(__xludf.DUMMYFUNCTION("""COMPUTED_VALUE"""),662829.0)</f>
        <v>662829</v>
      </c>
      <c r="J2379" s="5">
        <f>IFERROR(__xludf.DUMMYFUNCTION("""COMPUTED_VALUE"""),43907.0)</f>
        <v>43907</v>
      </c>
      <c r="K2379">
        <f>IFERROR(__xludf.DUMMYFUNCTION("""COMPUTED_VALUE"""),39.0)</f>
        <v>39</v>
      </c>
      <c r="L2379">
        <f>IFERROR(__xludf.DUMMYFUNCTION("""COMPUTED_VALUE"""),19.0)</f>
        <v>19</v>
      </c>
      <c r="M2379">
        <f>IFERROR(__xludf.DUMMYFUNCTION("""COMPUTED_VALUE"""),58.0)</f>
        <v>58</v>
      </c>
      <c r="N2379" t="str">
        <f>IFERROR(__xludf.DUMMYFUNCTION("""COMPUTED_VALUE"""),"Model 3 LR AWD")</f>
        <v>Model 3 LR AWD</v>
      </c>
      <c r="O2379" t="str">
        <f>IFERROR(__xludf.DUMMYFUNCTION("""COMPUTED_VALUE"""),"Solid Black")</f>
        <v>Solid Black</v>
      </c>
      <c r="P2379" t="str">
        <f>IFERROR(__xludf.DUMMYFUNCTION("""COMPUTED_VALUE"""),"18 inch Aero")</f>
        <v>18 inch Aero</v>
      </c>
      <c r="Q2379" t="str">
        <f>IFERROR(__xludf.DUMMYFUNCTION("""COMPUTED_VALUE"""),"Black seats")</f>
        <v>Black seats</v>
      </c>
      <c r="R2379" t="str">
        <f>IFERROR(__xludf.DUMMYFUNCTION("""COMPUTED_VALUE"""),"Full Self-Driving")</f>
        <v>Full Self-Driving</v>
      </c>
      <c r="X2379" t="str">
        <f>IFERROR(__xludf.DUMMYFUNCTION("""COMPUTED_VALUE"""),"Excellent")</f>
        <v>Excellent</v>
      </c>
      <c r="Y2379" t="str">
        <f>IFERROR(__xludf.DUMMYFUNCTION("""COMPUTED_VALUE"""),"Very Good")</f>
        <v>Very Good</v>
      </c>
      <c r="Z2379" t="str">
        <f>IFERROR(__xludf.DUMMYFUNCTION("""COMPUTED_VALUE"""),"Excellent")</f>
        <v>Excellent</v>
      </c>
      <c r="AA2379" t="str">
        <f>IFERROR(__xludf.DUMMYFUNCTION("""COMPUTED_VALUE"""),"Good")</f>
        <v>Good</v>
      </c>
      <c r="AB2379" t="str">
        <f>IFERROR(__xludf.DUMMYFUNCTION("""COMPUTED_VALUE"""),"Excellent")</f>
        <v>Excellent</v>
      </c>
      <c r="AH2379" s="189">
        <f>IFERROR(__xludf.DUMMYFUNCTION("""COMPUTED_VALUE"""),43906.57158510417)</f>
        <v>43906.57159</v>
      </c>
    </row>
    <row r="2380">
      <c r="A2380" t="str">
        <f>IFERROR(__xludf.DUMMYFUNCTION("""COMPUTED_VALUE"""),"cpverne")</f>
        <v>cpverne</v>
      </c>
      <c r="B2380" t="str">
        <f>IFERROR(__xludf.DUMMYFUNCTION("""COMPUTED_VALUE"""),"Raleigh")</f>
        <v>Raleigh</v>
      </c>
      <c r="C2380" t="str">
        <f>IFERROR(__xludf.DUMMYFUNCTION("""COMPUTED_VALUE"""),"NC")</f>
        <v>NC</v>
      </c>
      <c r="D2380" t="str">
        <f>IFERROR(__xludf.DUMMYFUNCTION("""COMPUTED_VALUE"""),"USA")</f>
        <v>USA</v>
      </c>
      <c r="E2380" s="188">
        <f>IFERROR(__xludf.DUMMYFUNCTION("""COMPUTED_VALUE"""),43841.0)</f>
        <v>43841</v>
      </c>
      <c r="H2380">
        <f>IFERROR(__xludf.DUMMYFUNCTION("""COMPUTED_VALUE"""),637740.0)</f>
        <v>637740</v>
      </c>
      <c r="J2380" s="5">
        <f>IFERROR(__xludf.DUMMYFUNCTION("""COMPUTED_VALUE"""),43904.0)</f>
        <v>43904</v>
      </c>
      <c r="M2380">
        <f>IFERROR(__xludf.DUMMYFUNCTION("""COMPUTED_VALUE"""),63.0)</f>
        <v>63</v>
      </c>
      <c r="N2380" t="str">
        <f>IFERROR(__xludf.DUMMYFUNCTION("""COMPUTED_VALUE"""),"Model 3 LR AWD")</f>
        <v>Model 3 LR AWD</v>
      </c>
      <c r="O2380" t="str">
        <f>IFERROR(__xludf.DUMMYFUNCTION("""COMPUTED_VALUE"""),"Pearl White Multi-Coat")</f>
        <v>Pearl White Multi-Coat</v>
      </c>
      <c r="P2380" t="str">
        <f>IFERROR(__xludf.DUMMYFUNCTION("""COMPUTED_VALUE"""),"18 inch Aero")</f>
        <v>18 inch Aero</v>
      </c>
      <c r="Q2380" t="str">
        <f>IFERROR(__xludf.DUMMYFUNCTION("""COMPUTED_VALUE"""),"Black seats")</f>
        <v>Black seats</v>
      </c>
      <c r="R2380" t="str">
        <f>IFERROR(__xludf.DUMMYFUNCTION("""COMPUTED_VALUE"""),"Autopilot")</f>
        <v>Autopilot</v>
      </c>
      <c r="X2380" t="str">
        <f>IFERROR(__xludf.DUMMYFUNCTION("""COMPUTED_VALUE"""),"Excellent")</f>
        <v>Excellent</v>
      </c>
      <c r="Y2380" t="str">
        <f>IFERROR(__xludf.DUMMYFUNCTION("""COMPUTED_VALUE"""),"Very Good")</f>
        <v>Very Good</v>
      </c>
      <c r="Z2380" t="str">
        <f>IFERROR(__xludf.DUMMYFUNCTION("""COMPUTED_VALUE"""),"Very Good")</f>
        <v>Very Good</v>
      </c>
      <c r="AA2380" t="str">
        <f>IFERROR(__xludf.DUMMYFUNCTION("""COMPUTED_VALUE"""),"Good")</f>
        <v>Good</v>
      </c>
      <c r="AB2380" t="str">
        <f>IFERROR(__xludf.DUMMYFUNCTION("""COMPUTED_VALUE"""),"Good")</f>
        <v>Good</v>
      </c>
      <c r="AC2380">
        <f>IFERROR(__xludf.DUMMYFUNCTION("""COMPUTED_VALUE"""),1.0)</f>
        <v>1</v>
      </c>
      <c r="AG2380" t="str">
        <f>IFERROR(__xludf.DUMMYFUNCTION("""COMPUTED_VALUE"""),"Delivered 3/14.. Pi Day!")</f>
        <v>Delivered 3/14.. Pi Day!</v>
      </c>
      <c r="AH2380" s="189">
        <f>IFERROR(__xludf.DUMMYFUNCTION("""COMPUTED_VALUE"""),43906.59128083334)</f>
        <v>43906.59128</v>
      </c>
    </row>
    <row r="2381">
      <c r="A2381" t="str">
        <f>IFERROR(__xludf.DUMMYFUNCTION("""COMPUTED_VALUE"""),"CYIMBRK")</f>
        <v>CYIMBRK</v>
      </c>
      <c r="B2381" t="str">
        <f>IFERROR(__xludf.DUMMYFUNCTION("""COMPUTED_VALUE"""),"Burlington,")</f>
        <v>Burlington,</v>
      </c>
      <c r="C2381" t="str">
        <f>IFERROR(__xludf.DUMMYFUNCTION("""COMPUTED_VALUE"""),"WA")</f>
        <v>WA</v>
      </c>
      <c r="D2381" t="str">
        <f>IFERROR(__xludf.DUMMYFUNCTION("""COMPUTED_VALUE"""),"USA")</f>
        <v>USA</v>
      </c>
      <c r="E2381" s="188">
        <f>IFERROR(__xludf.DUMMYFUNCTION("""COMPUTED_VALUE"""),43876.0)</f>
        <v>43876</v>
      </c>
      <c r="F2381" s="188">
        <f>IFERROR(__xludf.DUMMYFUNCTION("""COMPUTED_VALUE"""),43894.0)</f>
        <v>43894</v>
      </c>
      <c r="H2381">
        <f>IFERROR(__xludf.DUMMYFUNCTION("""COMPUTED_VALUE"""),668155.0)</f>
        <v>668155</v>
      </c>
      <c r="J2381" s="5">
        <f>IFERROR(__xludf.DUMMYFUNCTION("""COMPUTED_VALUE"""),43904.0)</f>
        <v>43904</v>
      </c>
      <c r="K2381">
        <f>IFERROR(__xludf.DUMMYFUNCTION("""COMPUTED_VALUE"""),18.0)</f>
        <v>18</v>
      </c>
      <c r="L2381">
        <f>IFERROR(__xludf.DUMMYFUNCTION("""COMPUTED_VALUE"""),10.0)</f>
        <v>10</v>
      </c>
      <c r="M2381">
        <f>IFERROR(__xludf.DUMMYFUNCTION("""COMPUTED_VALUE"""),28.0)</f>
        <v>28</v>
      </c>
      <c r="N2381" t="str">
        <f>IFERROR(__xludf.DUMMYFUNCTION("""COMPUTED_VALUE"""),"Model 3 LR AWD")</f>
        <v>Model 3 LR AWD</v>
      </c>
      <c r="O2381" t="str">
        <f>IFERROR(__xludf.DUMMYFUNCTION("""COMPUTED_VALUE"""),"Red Multi-Coat")</f>
        <v>Red Multi-Coat</v>
      </c>
      <c r="P2381" t="str">
        <f>IFERROR(__xludf.DUMMYFUNCTION("""COMPUTED_VALUE"""),"18 inch Aero")</f>
        <v>18 inch Aero</v>
      </c>
      <c r="Q2381" t="str">
        <f>IFERROR(__xludf.DUMMYFUNCTION("""COMPUTED_VALUE"""),"White seats")</f>
        <v>White seats</v>
      </c>
      <c r="R2381" t="str">
        <f>IFERROR(__xludf.DUMMYFUNCTION("""COMPUTED_VALUE"""),"Autopilot")</f>
        <v>Autopilot</v>
      </c>
      <c r="X2381" t="str">
        <f>IFERROR(__xludf.DUMMYFUNCTION("""COMPUTED_VALUE"""),"Excellent")</f>
        <v>Excellent</v>
      </c>
      <c r="Y2381" t="str">
        <f>IFERROR(__xludf.DUMMYFUNCTION("""COMPUTED_VALUE"""),"Excellent")</f>
        <v>Excellent</v>
      </c>
      <c r="Z2381" t="str">
        <f>IFERROR(__xludf.DUMMYFUNCTION("""COMPUTED_VALUE"""),"Excellent")</f>
        <v>Excellent</v>
      </c>
      <c r="AA2381" t="str">
        <f>IFERROR(__xludf.DUMMYFUNCTION("""COMPUTED_VALUE"""),"Excellent")</f>
        <v>Excellent</v>
      </c>
      <c r="AB2381" t="str">
        <f>IFERROR(__xludf.DUMMYFUNCTION("""COMPUTED_VALUE"""),"Excellent")</f>
        <v>Excellent</v>
      </c>
      <c r="AG2381" t="str">
        <f>IFERROR(__xludf.DUMMYFUNCTION("""COMPUTED_VALUE"""),"Delivery update via text from Tesla 2/24/2020.  Expected delivery 3-6 weeks from 2/24.    Expected delivery ")</f>
        <v>Delivery update via text from Tesla 2/24/2020.  Expected delivery 3-6 weeks from 2/24.    Expected delivery </v>
      </c>
      <c r="AH2381" s="189">
        <f>IFERROR(__xludf.DUMMYFUNCTION("""COMPUTED_VALUE"""),43906.817537766205)</f>
        <v>43906.81754</v>
      </c>
    </row>
    <row r="2382">
      <c r="A2382" t="str">
        <f>IFERROR(__xludf.DUMMYFUNCTION("""COMPUTED_VALUE"""),"Ideaslug")</f>
        <v>Ideaslug</v>
      </c>
      <c r="B2382" t="str">
        <f>IFERROR(__xludf.DUMMYFUNCTION("""COMPUTED_VALUE"""),"Louisville")</f>
        <v>Louisville</v>
      </c>
      <c r="C2382" t="str">
        <f>IFERROR(__xludf.DUMMYFUNCTION("""COMPUTED_VALUE"""),"KY")</f>
        <v>KY</v>
      </c>
      <c r="D2382" t="str">
        <f>IFERROR(__xludf.DUMMYFUNCTION("""COMPUTED_VALUE"""),"USA")</f>
        <v>USA</v>
      </c>
      <c r="E2382" s="188">
        <f>IFERROR(__xludf.DUMMYFUNCTION("""COMPUTED_VALUE"""),43902.0)</f>
        <v>43902</v>
      </c>
      <c r="F2382" s="188">
        <f>IFERROR(__xludf.DUMMYFUNCTION("""COMPUTED_VALUE"""),43903.0)</f>
        <v>43903</v>
      </c>
      <c r="H2382">
        <f>IFERROR(__xludf.DUMMYFUNCTION("""COMPUTED_VALUE"""),712655.0)</f>
        <v>712655</v>
      </c>
      <c r="I2382" t="str">
        <f>IFERROR(__xludf.DUMMYFUNCTION("""COMPUTED_VALUE"""),"03/20")</f>
        <v>03/20</v>
      </c>
      <c r="J2382" s="5">
        <f>IFERROR(__xludf.DUMMYFUNCTION("""COMPUTED_VALUE"""),43906.0)</f>
        <v>43906</v>
      </c>
      <c r="K2382">
        <f>IFERROR(__xludf.DUMMYFUNCTION("""COMPUTED_VALUE"""),1.0)</f>
        <v>1</v>
      </c>
      <c r="L2382">
        <f>IFERROR(__xludf.DUMMYFUNCTION("""COMPUTED_VALUE"""),3.0)</f>
        <v>3</v>
      </c>
      <c r="M2382">
        <f>IFERROR(__xludf.DUMMYFUNCTION("""COMPUTED_VALUE"""),4.0)</f>
        <v>4</v>
      </c>
      <c r="N2382" t="str">
        <f>IFERROR(__xludf.DUMMYFUNCTION("""COMPUTED_VALUE"""),"Model 3 LR AWD")</f>
        <v>Model 3 LR AWD</v>
      </c>
      <c r="O2382" t="str">
        <f>IFERROR(__xludf.DUMMYFUNCTION("""COMPUTED_VALUE"""),"Pearl White Multi-Coat")</f>
        <v>Pearl White Multi-Coat</v>
      </c>
      <c r="P2382" t="str">
        <f>IFERROR(__xludf.DUMMYFUNCTION("""COMPUTED_VALUE"""),"18 inch Aero")</f>
        <v>18 inch Aero</v>
      </c>
      <c r="Q2382" t="str">
        <f>IFERROR(__xludf.DUMMYFUNCTION("""COMPUTED_VALUE"""),"White seats")</f>
        <v>White seats</v>
      </c>
      <c r="R2382" t="str">
        <f>IFERROR(__xludf.DUMMYFUNCTION("""COMPUTED_VALUE"""),"Full Self-Driving")</f>
        <v>Full Self-Driving</v>
      </c>
      <c r="X2382" t="str">
        <f>IFERROR(__xludf.DUMMYFUNCTION("""COMPUTED_VALUE"""),"Excellent")</f>
        <v>Excellent</v>
      </c>
      <c r="Y2382" t="str">
        <f>IFERROR(__xludf.DUMMYFUNCTION("""COMPUTED_VALUE"""),"Excellent")</f>
        <v>Excellent</v>
      </c>
      <c r="Z2382" t="str">
        <f>IFERROR(__xludf.DUMMYFUNCTION("""COMPUTED_VALUE"""),"Excellent")</f>
        <v>Excellent</v>
      </c>
      <c r="AA2382" t="str">
        <f>IFERROR(__xludf.DUMMYFUNCTION("""COMPUTED_VALUE"""),"Excellent")</f>
        <v>Excellent</v>
      </c>
      <c r="AB2382" t="str">
        <f>IFERROR(__xludf.DUMMYFUNCTION("""COMPUTED_VALUE"""),"Excellent")</f>
        <v>Excellent</v>
      </c>
      <c r="AC2382">
        <f>IFERROR(__xludf.DUMMYFUNCTION("""COMPUTED_VALUE"""),0.0)</f>
        <v>0</v>
      </c>
      <c r="AD2382">
        <f>IFERROR(__xludf.DUMMYFUNCTION("""COMPUTED_VALUE"""),0.0)</f>
        <v>0</v>
      </c>
      <c r="AE2382">
        <f>IFERROR(__xludf.DUMMYFUNCTION("""COMPUTED_VALUE"""),0.0)</f>
        <v>0</v>
      </c>
      <c r="AG2382" t="str">
        <f>IFERROR(__xludf.DUMMYFUNCTION("""COMPUTED_VALUE"""),"manufactured new for me yet received incredibly fast, even moved my delivery date up a day")</f>
        <v>manufactured new for me yet received incredibly fast, even moved my delivery date up a day</v>
      </c>
      <c r="AH2382" s="189">
        <f>IFERROR(__xludf.DUMMYFUNCTION("""COMPUTED_VALUE"""),43906.86722510417)</f>
        <v>43906.86723</v>
      </c>
    </row>
    <row r="2383">
      <c r="A2383" t="str">
        <f>IFERROR(__xludf.DUMMYFUNCTION("""COMPUTED_VALUE"""),"CLLACAB ")</f>
        <v>CLLACAB </v>
      </c>
      <c r="B2383" t="str">
        <f>IFERROR(__xludf.DUMMYFUNCTION("""COMPUTED_VALUE"""),"Las Vegas ")</f>
        <v>Las Vegas </v>
      </c>
      <c r="C2383" t="str">
        <f>IFERROR(__xludf.DUMMYFUNCTION("""COMPUTED_VALUE"""),"NV")</f>
        <v>NV</v>
      </c>
      <c r="D2383" t="str">
        <f>IFERROR(__xludf.DUMMYFUNCTION("""COMPUTED_VALUE"""),"USA")</f>
        <v>USA</v>
      </c>
      <c r="E2383" s="188">
        <f>IFERROR(__xludf.DUMMYFUNCTION("""COMPUTED_VALUE"""),43856.0)</f>
        <v>43856</v>
      </c>
      <c r="F2383" s="188">
        <f>IFERROR(__xludf.DUMMYFUNCTION("""COMPUTED_VALUE"""),43897.0)</f>
        <v>43897</v>
      </c>
      <c r="H2383">
        <f>IFERROR(__xludf.DUMMYFUNCTION("""COMPUTED_VALUE"""),669326.0)</f>
        <v>669326</v>
      </c>
      <c r="J2383" s="5">
        <f>IFERROR(__xludf.DUMMYFUNCTION("""COMPUTED_VALUE"""),43901.0)</f>
        <v>43901</v>
      </c>
      <c r="K2383">
        <f>IFERROR(__xludf.DUMMYFUNCTION("""COMPUTED_VALUE"""),41.0)</f>
        <v>41</v>
      </c>
      <c r="L2383">
        <f>IFERROR(__xludf.DUMMYFUNCTION("""COMPUTED_VALUE"""),4.0)</f>
        <v>4</v>
      </c>
      <c r="M2383">
        <f>IFERROR(__xludf.DUMMYFUNCTION("""COMPUTED_VALUE"""),45.0)</f>
        <v>45</v>
      </c>
      <c r="N2383" t="str">
        <f>IFERROR(__xludf.DUMMYFUNCTION("""COMPUTED_VALUE"""),"Model 3 Performance")</f>
        <v>Model 3 Performance</v>
      </c>
      <c r="O2383" t="str">
        <f>IFERROR(__xludf.DUMMYFUNCTION("""COMPUTED_VALUE"""),"Red Multi-Coat")</f>
        <v>Red Multi-Coat</v>
      </c>
      <c r="P2383" t="str">
        <f>IFERROR(__xludf.DUMMYFUNCTION("""COMPUTED_VALUE"""),"20 inch Sport")</f>
        <v>20 inch Sport</v>
      </c>
      <c r="Q2383" t="str">
        <f>IFERROR(__xludf.DUMMYFUNCTION("""COMPUTED_VALUE"""),"Black seats")</f>
        <v>Black seats</v>
      </c>
      <c r="R2383" t="str">
        <f>IFERROR(__xludf.DUMMYFUNCTION("""COMPUTED_VALUE"""),"Autopilot")</f>
        <v>Autopilot</v>
      </c>
      <c r="X2383" t="str">
        <f>IFERROR(__xludf.DUMMYFUNCTION("""COMPUTED_VALUE"""),"Excellent")</f>
        <v>Excellent</v>
      </c>
      <c r="Y2383" t="str">
        <f>IFERROR(__xludf.DUMMYFUNCTION("""COMPUTED_VALUE"""),"Excellent")</f>
        <v>Excellent</v>
      </c>
      <c r="Z2383" t="str">
        <f>IFERROR(__xludf.DUMMYFUNCTION("""COMPUTED_VALUE"""),"Very Good")</f>
        <v>Very Good</v>
      </c>
      <c r="AA2383" t="str">
        <f>IFERROR(__xludf.DUMMYFUNCTION("""COMPUTED_VALUE"""),"Very Good")</f>
        <v>Very Good</v>
      </c>
      <c r="AB2383" t="str">
        <f>IFERROR(__xludf.DUMMYFUNCTION("""COMPUTED_VALUE"""),"Excellent")</f>
        <v>Excellent</v>
      </c>
      <c r="AC2383">
        <f>IFERROR(__xludf.DUMMYFUNCTION("""COMPUTED_VALUE"""),1.0)</f>
        <v>1</v>
      </c>
      <c r="AH2383" s="189">
        <f>IFERROR(__xludf.DUMMYFUNCTION("""COMPUTED_VALUE"""),43907.292683761574)</f>
        <v>43907.29268</v>
      </c>
    </row>
    <row r="2384">
      <c r="A2384" t="str">
        <f>IFERROR(__xludf.DUMMYFUNCTION("""COMPUTED_VALUE"""),"cajunpanda")</f>
        <v>cajunpanda</v>
      </c>
      <c r="B2384" t="str">
        <f>IFERROR(__xludf.DUMMYFUNCTION("""COMPUTED_VALUE"""),"Omaha")</f>
        <v>Omaha</v>
      </c>
      <c r="C2384" t="str">
        <f>IFERROR(__xludf.DUMMYFUNCTION("""COMPUTED_VALUE"""),"NE")</f>
        <v>NE</v>
      </c>
      <c r="D2384" t="str">
        <f>IFERROR(__xludf.DUMMYFUNCTION("""COMPUTED_VALUE"""),"USA")</f>
        <v>USA</v>
      </c>
      <c r="E2384" s="188">
        <f>IFERROR(__xludf.DUMMYFUNCTION("""COMPUTED_VALUE"""),43860.0)</f>
        <v>43860</v>
      </c>
      <c r="F2384" s="188">
        <f>IFERROR(__xludf.DUMMYFUNCTION("""COMPUTED_VALUE"""),43892.0)</f>
        <v>43892</v>
      </c>
      <c r="H2384">
        <f>IFERROR(__xludf.DUMMYFUNCTION("""COMPUTED_VALUE"""),641655.0)</f>
        <v>641655</v>
      </c>
      <c r="I2384" t="str">
        <f>IFERROR(__xludf.DUMMYFUNCTION("""COMPUTED_VALUE"""),"02/20")</f>
        <v>02/20</v>
      </c>
      <c r="J2384" s="5">
        <f>IFERROR(__xludf.DUMMYFUNCTION("""COMPUTED_VALUE"""),43902.0)</f>
        <v>43902</v>
      </c>
      <c r="K2384">
        <f>IFERROR(__xludf.DUMMYFUNCTION("""COMPUTED_VALUE"""),32.0)</f>
        <v>32</v>
      </c>
      <c r="L2384">
        <f>IFERROR(__xludf.DUMMYFUNCTION("""COMPUTED_VALUE"""),10.0)</f>
        <v>10</v>
      </c>
      <c r="M2384">
        <f>IFERROR(__xludf.DUMMYFUNCTION("""COMPUTED_VALUE"""),42.0)</f>
        <v>42</v>
      </c>
      <c r="N2384" t="str">
        <f>IFERROR(__xludf.DUMMYFUNCTION("""COMPUTED_VALUE"""),"Model 3 Performance")</f>
        <v>Model 3 Performance</v>
      </c>
      <c r="O2384" t="str">
        <f>IFERROR(__xludf.DUMMYFUNCTION("""COMPUTED_VALUE"""),"Solid Black")</f>
        <v>Solid Black</v>
      </c>
      <c r="P2384" t="str">
        <f>IFERROR(__xludf.DUMMYFUNCTION("""COMPUTED_VALUE"""),"20 inch Sport")</f>
        <v>20 inch Sport</v>
      </c>
      <c r="Q2384" t="str">
        <f>IFERROR(__xludf.DUMMYFUNCTION("""COMPUTED_VALUE"""),"White seats")</f>
        <v>White seats</v>
      </c>
      <c r="R2384" t="str">
        <f>IFERROR(__xludf.DUMMYFUNCTION("""COMPUTED_VALUE"""),"Full Self-Driving")</f>
        <v>Full Self-Driving</v>
      </c>
      <c r="X2384" t="str">
        <f>IFERROR(__xludf.DUMMYFUNCTION("""COMPUTED_VALUE"""),"Excellent")</f>
        <v>Excellent</v>
      </c>
      <c r="Y2384" t="str">
        <f>IFERROR(__xludf.DUMMYFUNCTION("""COMPUTED_VALUE"""),"Excellent")</f>
        <v>Excellent</v>
      </c>
      <c r="Z2384" t="str">
        <f>IFERROR(__xludf.DUMMYFUNCTION("""COMPUTED_VALUE"""),"Excellent")</f>
        <v>Excellent</v>
      </c>
      <c r="AA2384" t="str">
        <f>IFERROR(__xludf.DUMMYFUNCTION("""COMPUTED_VALUE"""),"Fair")</f>
        <v>Fair</v>
      </c>
      <c r="AB2384" t="str">
        <f>IFERROR(__xludf.DUMMYFUNCTION("""COMPUTED_VALUE"""),"Good")</f>
        <v>Good</v>
      </c>
      <c r="AH2384" s="189">
        <f>IFERROR(__xludf.DUMMYFUNCTION("""COMPUTED_VALUE"""),43907.31577016204)</f>
        <v>43907.31577</v>
      </c>
    </row>
    <row r="2385">
      <c r="A2385" t="str">
        <f>IFERROR(__xludf.DUMMYFUNCTION("""COMPUTED_VALUE"""),"Thaack99 ")</f>
        <v>Thaack99 </v>
      </c>
      <c r="B2385" t="str">
        <f>IFERROR(__xludf.DUMMYFUNCTION("""COMPUTED_VALUE"""),"Redlands")</f>
        <v>Redlands</v>
      </c>
      <c r="C2385" t="str">
        <f>IFERROR(__xludf.DUMMYFUNCTION("""COMPUTED_VALUE"""),"CA")</f>
        <v>CA</v>
      </c>
      <c r="D2385" t="str">
        <f>IFERROR(__xludf.DUMMYFUNCTION("""COMPUTED_VALUE"""),"USA")</f>
        <v>USA</v>
      </c>
      <c r="E2385" s="188">
        <f>IFERROR(__xludf.DUMMYFUNCTION("""COMPUTED_VALUE"""),43829.0)</f>
        <v>43829</v>
      </c>
      <c r="F2385" s="188">
        <f>IFERROR(__xludf.DUMMYFUNCTION("""COMPUTED_VALUE"""),43882.0)</f>
        <v>43882</v>
      </c>
      <c r="H2385">
        <f>IFERROR(__xludf.DUMMYFUNCTION("""COMPUTED_VALUE"""),669870.0)</f>
        <v>669870</v>
      </c>
      <c r="J2385" s="5">
        <f>IFERROR(__xludf.DUMMYFUNCTION("""COMPUTED_VALUE"""),43881.0)</f>
        <v>43881</v>
      </c>
      <c r="K2385">
        <f>IFERROR(__xludf.DUMMYFUNCTION("""COMPUTED_VALUE"""),53.0)</f>
        <v>53</v>
      </c>
      <c r="M2385">
        <f>IFERROR(__xludf.DUMMYFUNCTION("""COMPUTED_VALUE"""),52.0)</f>
        <v>52</v>
      </c>
      <c r="N2385" t="str">
        <f>IFERROR(__xludf.DUMMYFUNCTION("""COMPUTED_VALUE"""),"Model 3 SR+")</f>
        <v>Model 3 SR+</v>
      </c>
      <c r="O2385" t="str">
        <f>IFERROR(__xludf.DUMMYFUNCTION("""COMPUTED_VALUE"""),"Pearl White Multi-Coat")</f>
        <v>Pearl White Multi-Coat</v>
      </c>
      <c r="P2385" t="str">
        <f>IFERROR(__xludf.DUMMYFUNCTION("""COMPUTED_VALUE"""),"18 inch Aero")</f>
        <v>18 inch Aero</v>
      </c>
      <c r="Q2385" t="str">
        <f>IFERROR(__xludf.DUMMYFUNCTION("""COMPUTED_VALUE"""),"Black seats")</f>
        <v>Black seats</v>
      </c>
      <c r="R2385" t="str">
        <f>IFERROR(__xludf.DUMMYFUNCTION("""COMPUTED_VALUE"""),"Autopilot")</f>
        <v>Autopilot</v>
      </c>
      <c r="X2385" t="str">
        <f>IFERROR(__xludf.DUMMYFUNCTION("""COMPUTED_VALUE"""),"Excellent")</f>
        <v>Excellent</v>
      </c>
      <c r="Y2385" t="str">
        <f>IFERROR(__xludf.DUMMYFUNCTION("""COMPUTED_VALUE"""),"Excellent")</f>
        <v>Excellent</v>
      </c>
      <c r="Z2385" t="str">
        <f>IFERROR(__xludf.DUMMYFUNCTION("""COMPUTED_VALUE"""),"Excellent")</f>
        <v>Excellent</v>
      </c>
      <c r="AA2385" t="str">
        <f>IFERROR(__xludf.DUMMYFUNCTION("""COMPUTED_VALUE"""),"Excellent")</f>
        <v>Excellent</v>
      </c>
      <c r="AB2385" t="str">
        <f>IFERROR(__xludf.DUMMYFUNCTION("""COMPUTED_VALUE"""),"Excellent")</f>
        <v>Excellent</v>
      </c>
      <c r="AH2385" s="189">
        <f>IFERROR(__xludf.DUMMYFUNCTION("""COMPUTED_VALUE"""),43907.331232372686)</f>
        <v>43907.33123</v>
      </c>
    </row>
    <row r="2386">
      <c r="A2386" t="str">
        <f>IFERROR(__xludf.DUMMYFUNCTION("""COMPUTED_VALUE"""),"t00shay")</f>
        <v>t00shay</v>
      </c>
      <c r="B2386" t="str">
        <f>IFERROR(__xludf.DUMMYFUNCTION("""COMPUTED_VALUE"""),"Temecula ")</f>
        <v>Temecula </v>
      </c>
      <c r="C2386" t="str">
        <f>IFERROR(__xludf.DUMMYFUNCTION("""COMPUTED_VALUE"""),"CA")</f>
        <v>CA</v>
      </c>
      <c r="D2386" t="str">
        <f>IFERROR(__xludf.DUMMYFUNCTION("""COMPUTED_VALUE"""),"USA")</f>
        <v>USA</v>
      </c>
      <c r="E2386" s="188">
        <f>IFERROR(__xludf.DUMMYFUNCTION("""COMPUTED_VALUE"""),43880.0)</f>
        <v>43880</v>
      </c>
      <c r="F2386" s="188">
        <f>IFERROR(__xludf.DUMMYFUNCTION("""COMPUTED_VALUE"""),43903.0)</f>
        <v>43903</v>
      </c>
      <c r="I2386" t="str">
        <f>IFERROR(__xludf.DUMMYFUNCTION("""COMPUTED_VALUE"""),"03/20")</f>
        <v>03/20</v>
      </c>
      <c r="J2386" s="5">
        <f>IFERROR(__xludf.DUMMYFUNCTION("""COMPUTED_VALUE"""),43906.0)</f>
        <v>43906</v>
      </c>
      <c r="K2386">
        <f>IFERROR(__xludf.DUMMYFUNCTION("""COMPUTED_VALUE"""),23.0)</f>
        <v>23</v>
      </c>
      <c r="L2386">
        <f>IFERROR(__xludf.DUMMYFUNCTION("""COMPUTED_VALUE"""),3.0)</f>
        <v>3</v>
      </c>
      <c r="M2386">
        <f>IFERROR(__xludf.DUMMYFUNCTION("""COMPUTED_VALUE"""),26.0)</f>
        <v>26</v>
      </c>
      <c r="N2386" t="str">
        <f>IFERROR(__xludf.DUMMYFUNCTION("""COMPUTED_VALUE"""),"Model 3 Performance")</f>
        <v>Model 3 Performance</v>
      </c>
      <c r="O2386" t="str">
        <f>IFERROR(__xludf.DUMMYFUNCTION("""COMPUTED_VALUE"""),"Pearl White Multi-Coat")</f>
        <v>Pearl White Multi-Coat</v>
      </c>
      <c r="P2386" t="str">
        <f>IFERROR(__xludf.DUMMYFUNCTION("""COMPUTED_VALUE"""),"20 inch Sport")</f>
        <v>20 inch Sport</v>
      </c>
      <c r="Q2386" t="str">
        <f>IFERROR(__xludf.DUMMYFUNCTION("""COMPUTED_VALUE"""),"White seats")</f>
        <v>White seats</v>
      </c>
      <c r="R2386" t="str">
        <f>IFERROR(__xludf.DUMMYFUNCTION("""COMPUTED_VALUE"""),"Autopilot")</f>
        <v>Autopilot</v>
      </c>
      <c r="X2386" t="str">
        <f>IFERROR(__xludf.DUMMYFUNCTION("""COMPUTED_VALUE"""),"Very Good")</f>
        <v>Very Good</v>
      </c>
      <c r="Y2386" t="str">
        <f>IFERROR(__xludf.DUMMYFUNCTION("""COMPUTED_VALUE"""),"Very Good")</f>
        <v>Very Good</v>
      </c>
      <c r="Z2386" t="str">
        <f>IFERROR(__xludf.DUMMYFUNCTION("""COMPUTED_VALUE"""),"Very Good")</f>
        <v>Very Good</v>
      </c>
      <c r="AA2386" t="str">
        <f>IFERROR(__xludf.DUMMYFUNCTION("""COMPUTED_VALUE"""),"Fair")</f>
        <v>Fair</v>
      </c>
      <c r="AB2386" t="str">
        <f>IFERROR(__xludf.DUMMYFUNCTION("""COMPUTED_VALUE"""),"Fair")</f>
        <v>Fair</v>
      </c>
      <c r="AH2386" s="189">
        <f>IFERROR(__xludf.DUMMYFUNCTION("""COMPUTED_VALUE"""),43907.56893238426)</f>
        <v>43907.56893</v>
      </c>
    </row>
    <row r="2387">
      <c r="A2387" t="str">
        <f>IFERROR(__xludf.DUMMYFUNCTION("""COMPUTED_VALUE"""),"smark")</f>
        <v>smark</v>
      </c>
      <c r="B2387" t="str">
        <f>IFERROR(__xludf.DUMMYFUNCTION("""COMPUTED_VALUE"""),"Fremont")</f>
        <v>Fremont</v>
      </c>
      <c r="C2387" t="str">
        <f>IFERROR(__xludf.DUMMYFUNCTION("""COMPUTED_VALUE"""),"CA")</f>
        <v>CA</v>
      </c>
      <c r="D2387" t="str">
        <f>IFERROR(__xludf.DUMMYFUNCTION("""COMPUTED_VALUE"""),"USA")</f>
        <v>USA</v>
      </c>
      <c r="E2387" s="188">
        <f>IFERROR(__xludf.DUMMYFUNCTION("""COMPUTED_VALUE"""),43884.0)</f>
        <v>43884</v>
      </c>
      <c r="F2387" s="188">
        <f>IFERROR(__xludf.DUMMYFUNCTION("""COMPUTED_VALUE"""),43900.0)</f>
        <v>43900</v>
      </c>
      <c r="H2387">
        <f>IFERROR(__xludf.DUMMYFUNCTION("""COMPUTED_VALUE"""),660555.0)</f>
        <v>660555</v>
      </c>
      <c r="J2387" s="5">
        <f>IFERROR(__xludf.DUMMYFUNCTION("""COMPUTED_VALUE"""),43905.0)</f>
        <v>43905</v>
      </c>
      <c r="K2387">
        <f>IFERROR(__xludf.DUMMYFUNCTION("""COMPUTED_VALUE"""),16.0)</f>
        <v>16</v>
      </c>
      <c r="L2387">
        <f>IFERROR(__xludf.DUMMYFUNCTION("""COMPUTED_VALUE"""),5.0)</f>
        <v>5</v>
      </c>
      <c r="M2387">
        <f>IFERROR(__xludf.DUMMYFUNCTION("""COMPUTED_VALUE"""),21.0)</f>
        <v>21</v>
      </c>
      <c r="N2387" t="str">
        <f>IFERROR(__xludf.DUMMYFUNCTION("""COMPUTED_VALUE"""),"Model 3 SR+")</f>
        <v>Model 3 SR+</v>
      </c>
      <c r="O2387" t="str">
        <f>IFERROR(__xludf.DUMMYFUNCTION("""COMPUTED_VALUE"""),"Pearl White Multi-Coat")</f>
        <v>Pearl White Multi-Coat</v>
      </c>
      <c r="P2387" t="str">
        <f>IFERROR(__xludf.DUMMYFUNCTION("""COMPUTED_VALUE"""),"18 inch Aero")</f>
        <v>18 inch Aero</v>
      </c>
      <c r="Q2387" t="str">
        <f>IFERROR(__xludf.DUMMYFUNCTION("""COMPUTED_VALUE"""),"Black seats")</f>
        <v>Black seats</v>
      </c>
      <c r="R2387" t="str">
        <f>IFERROR(__xludf.DUMMYFUNCTION("""COMPUTED_VALUE"""),"Autopilot")</f>
        <v>Autopilot</v>
      </c>
      <c r="AA2387" t="str">
        <f>IFERROR(__xludf.DUMMYFUNCTION("""COMPUTED_VALUE"""),"Fair")</f>
        <v>Fair</v>
      </c>
      <c r="AG2387" t="str">
        <f>IFERROR(__xludf.DUMMYFUNCTION("""COMPUTED_VALUE"""),"24 Feb - Text saying 2-6 weeks for delivery. 9 Mar - Built in next 10 days. 10 Mar - VIN in source.")</f>
        <v>24 Feb - Text saying 2-6 weeks for delivery. 9 Mar - Built in next 10 days. 10 Mar - VIN in source.</v>
      </c>
      <c r="AH2387" s="189">
        <f>IFERROR(__xludf.DUMMYFUNCTION("""COMPUTED_VALUE"""),43907.58528827546)</f>
        <v>43907.58529</v>
      </c>
    </row>
    <row r="2388">
      <c r="A2388" t="str">
        <f>IFERROR(__xludf.DUMMYFUNCTION("""COMPUTED_VALUE"""),"vdeshpande89")</f>
        <v>vdeshpande89</v>
      </c>
      <c r="B2388" t="str">
        <f>IFERROR(__xludf.DUMMYFUNCTION("""COMPUTED_VALUE"""),"San Jose")</f>
        <v>San Jose</v>
      </c>
      <c r="C2388" t="str">
        <f>IFERROR(__xludf.DUMMYFUNCTION("""COMPUTED_VALUE"""),"CA")</f>
        <v>CA</v>
      </c>
      <c r="D2388" t="str">
        <f>IFERROR(__xludf.DUMMYFUNCTION("""COMPUTED_VALUE"""),"USA")</f>
        <v>USA</v>
      </c>
      <c r="E2388" s="188">
        <f>IFERROR(__xludf.DUMMYFUNCTION("""COMPUTED_VALUE"""),43860.0)</f>
        <v>43860</v>
      </c>
      <c r="F2388" s="188">
        <f>IFERROR(__xludf.DUMMYFUNCTION("""COMPUTED_VALUE"""),43900.0)</f>
        <v>43900</v>
      </c>
      <c r="H2388">
        <f>IFERROR(__xludf.DUMMYFUNCTION("""COMPUTED_VALUE"""),664355.0)</f>
        <v>664355</v>
      </c>
      <c r="J2388" s="5">
        <f>IFERROR(__xludf.DUMMYFUNCTION("""COMPUTED_VALUE"""),43905.0)</f>
        <v>43905</v>
      </c>
      <c r="K2388">
        <f>IFERROR(__xludf.DUMMYFUNCTION("""COMPUTED_VALUE"""),40.0)</f>
        <v>40</v>
      </c>
      <c r="L2388">
        <f>IFERROR(__xludf.DUMMYFUNCTION("""COMPUTED_VALUE"""),5.0)</f>
        <v>5</v>
      </c>
      <c r="M2388">
        <f>IFERROR(__xludf.DUMMYFUNCTION("""COMPUTED_VALUE"""),45.0)</f>
        <v>45</v>
      </c>
      <c r="N2388" t="str">
        <f>IFERROR(__xludf.DUMMYFUNCTION("""COMPUTED_VALUE"""),"Model 3 LR AWD")</f>
        <v>Model 3 LR AWD</v>
      </c>
      <c r="O2388" t="str">
        <f>IFERROR(__xludf.DUMMYFUNCTION("""COMPUTED_VALUE"""),"Red Multi-Coat")</f>
        <v>Red Multi-Coat</v>
      </c>
      <c r="P2388" t="str">
        <f>IFERROR(__xludf.DUMMYFUNCTION("""COMPUTED_VALUE"""),"18 inch Aero")</f>
        <v>18 inch Aero</v>
      </c>
      <c r="Q2388" t="str">
        <f>IFERROR(__xludf.DUMMYFUNCTION("""COMPUTED_VALUE"""),"Black seats")</f>
        <v>Black seats</v>
      </c>
      <c r="R2388" t="str">
        <f>IFERROR(__xludf.DUMMYFUNCTION("""COMPUTED_VALUE"""),"Autopilot")</f>
        <v>Autopilot</v>
      </c>
      <c r="X2388" t="str">
        <f>IFERROR(__xludf.DUMMYFUNCTION("""COMPUTED_VALUE"""),"Good")</f>
        <v>Good</v>
      </c>
      <c r="Y2388" t="str">
        <f>IFERROR(__xludf.DUMMYFUNCTION("""COMPUTED_VALUE"""),"Very Good")</f>
        <v>Very Good</v>
      </c>
      <c r="Z2388" t="str">
        <f>IFERROR(__xludf.DUMMYFUNCTION("""COMPUTED_VALUE"""),"Poor")</f>
        <v>Poor</v>
      </c>
      <c r="AA2388" t="str">
        <f>IFERROR(__xludf.DUMMYFUNCTION("""COMPUTED_VALUE"""),"Good")</f>
        <v>Good</v>
      </c>
      <c r="AB2388" t="str">
        <f>IFERROR(__xludf.DUMMYFUNCTION("""COMPUTED_VALUE"""),"Fair")</f>
        <v>Fair</v>
      </c>
      <c r="AC2388">
        <f>IFERROR(__xludf.DUMMYFUNCTION("""COMPUTED_VALUE"""),4.0)</f>
        <v>4</v>
      </c>
      <c r="AH2388" s="189">
        <f>IFERROR(__xludf.DUMMYFUNCTION("""COMPUTED_VALUE"""),43907.613879745375)</f>
        <v>43907.61388</v>
      </c>
    </row>
    <row r="2389">
      <c r="A2389" t="str">
        <f>IFERROR(__xludf.DUMMYFUNCTION("""COMPUTED_VALUE"""),"Blofeld")</f>
        <v>Blofeld</v>
      </c>
      <c r="B2389" t="str">
        <f>IFERROR(__xludf.DUMMYFUNCTION("""COMPUTED_VALUE"""),"SF Bay Area")</f>
        <v>SF Bay Area</v>
      </c>
      <c r="C2389" t="str">
        <f>IFERROR(__xludf.DUMMYFUNCTION("""COMPUTED_VALUE"""),"CA")</f>
        <v>CA</v>
      </c>
      <c r="D2389" t="str">
        <f>IFERROR(__xludf.DUMMYFUNCTION("""COMPUTED_VALUE"""),"USA")</f>
        <v>USA</v>
      </c>
      <c r="E2389" s="188">
        <f>IFERROR(__xludf.DUMMYFUNCTION("""COMPUTED_VALUE"""),43884.0)</f>
        <v>43884</v>
      </c>
      <c r="F2389" s="188">
        <f>IFERROR(__xludf.DUMMYFUNCTION("""COMPUTED_VALUE"""),43906.0)</f>
        <v>43906</v>
      </c>
      <c r="H2389">
        <f>IFERROR(__xludf.DUMMYFUNCTION("""COMPUTED_VALUE"""),716955.0)</f>
        <v>716955</v>
      </c>
      <c r="J2389" s="5">
        <f>IFERROR(__xludf.DUMMYFUNCTION("""COMPUTED_VALUE"""),43907.0)</f>
        <v>43907</v>
      </c>
      <c r="K2389">
        <f>IFERROR(__xludf.DUMMYFUNCTION("""COMPUTED_VALUE"""),22.0)</f>
        <v>22</v>
      </c>
      <c r="L2389">
        <f>IFERROR(__xludf.DUMMYFUNCTION("""COMPUTED_VALUE"""),1.0)</f>
        <v>1</v>
      </c>
      <c r="M2389">
        <f>IFERROR(__xludf.DUMMYFUNCTION("""COMPUTED_VALUE"""),23.0)</f>
        <v>23</v>
      </c>
      <c r="N2389" t="str">
        <f>IFERROR(__xludf.DUMMYFUNCTION("""COMPUTED_VALUE"""),"Model 3 Performance")</f>
        <v>Model 3 Performance</v>
      </c>
      <c r="O2389" t="str">
        <f>IFERROR(__xludf.DUMMYFUNCTION("""COMPUTED_VALUE"""),"Midnight Silver Metallic")</f>
        <v>Midnight Silver Metallic</v>
      </c>
      <c r="P2389" t="str">
        <f>IFERROR(__xludf.DUMMYFUNCTION("""COMPUTED_VALUE"""),"20 inch Sport")</f>
        <v>20 inch Sport</v>
      </c>
      <c r="Q2389" t="str">
        <f>IFERROR(__xludf.DUMMYFUNCTION("""COMPUTED_VALUE"""),"Black seats")</f>
        <v>Black seats</v>
      </c>
      <c r="R2389" t="str">
        <f>IFERROR(__xludf.DUMMYFUNCTION("""COMPUTED_VALUE"""),"Autopilot")</f>
        <v>Autopilot</v>
      </c>
      <c r="X2389" t="str">
        <f>IFERROR(__xludf.DUMMYFUNCTION("""COMPUTED_VALUE"""),"Excellent")</f>
        <v>Excellent</v>
      </c>
      <c r="Y2389" t="str">
        <f>IFERROR(__xludf.DUMMYFUNCTION("""COMPUTED_VALUE"""),"Very Good")</f>
        <v>Very Good</v>
      </c>
      <c r="Z2389" t="str">
        <f>IFERROR(__xludf.DUMMYFUNCTION("""COMPUTED_VALUE"""),"Very Good")</f>
        <v>Very Good</v>
      </c>
      <c r="AA2389" t="str">
        <f>IFERROR(__xludf.DUMMYFUNCTION("""COMPUTED_VALUE"""),"Good")</f>
        <v>Good</v>
      </c>
      <c r="AB2389" t="str">
        <f>IFERROR(__xludf.DUMMYFUNCTION("""COMPUTED_VALUE"""),"Good")</f>
        <v>Good</v>
      </c>
      <c r="AG2389" t="str">
        <f>IFERROR(__xludf.DUMMYFUNCTION("""COMPUTED_VALUE"""),"Text 3/9 “delivery 2 - 3 weeks from today.”")</f>
        <v>Text 3/9 “delivery 2 - 3 weeks from today.”</v>
      </c>
      <c r="AH2389" s="189">
        <f>IFERROR(__xludf.DUMMYFUNCTION("""COMPUTED_VALUE"""),43907.67938177084)</f>
        <v>43907.67938</v>
      </c>
    </row>
    <row r="2390">
      <c r="A2390" t="str">
        <f>IFERROR(__xludf.DUMMYFUNCTION("""COMPUTED_VALUE"""),"doubledz")</f>
        <v>doubledz</v>
      </c>
      <c r="B2390" t="str">
        <f>IFERROR(__xludf.DUMMYFUNCTION("""COMPUTED_VALUE"""),"Devon")</f>
        <v>Devon</v>
      </c>
      <c r="C2390" t="str">
        <f>IFERROR(__xludf.DUMMYFUNCTION("""COMPUTED_VALUE"""),"PA")</f>
        <v>PA</v>
      </c>
      <c r="D2390" t="str">
        <f>IFERROR(__xludf.DUMMYFUNCTION("""COMPUTED_VALUE"""),"USA")</f>
        <v>USA</v>
      </c>
      <c r="E2390" s="188">
        <f>IFERROR(__xludf.DUMMYFUNCTION("""COMPUTED_VALUE"""),43867.0)</f>
        <v>43867</v>
      </c>
      <c r="F2390" s="188">
        <f>IFERROR(__xludf.DUMMYFUNCTION("""COMPUTED_VALUE"""),43890.0)</f>
        <v>43890</v>
      </c>
      <c r="H2390" s="4">
        <f>IFERROR(__xludf.DUMMYFUNCTION("""COMPUTED_VALUE"""),659013.0)</f>
        <v>659013</v>
      </c>
      <c r="I2390" t="str">
        <f>IFERROR(__xludf.DUMMYFUNCTION("""COMPUTED_VALUE"""),"02/20")</f>
        <v>02/20</v>
      </c>
      <c r="J2390" s="5">
        <f>IFERROR(__xludf.DUMMYFUNCTION("""COMPUTED_VALUE"""),43906.0)</f>
        <v>43906</v>
      </c>
      <c r="K2390">
        <f>IFERROR(__xludf.DUMMYFUNCTION("""COMPUTED_VALUE"""),23.0)</f>
        <v>23</v>
      </c>
      <c r="L2390">
        <f>IFERROR(__xludf.DUMMYFUNCTION("""COMPUTED_VALUE"""),16.0)</f>
        <v>16</v>
      </c>
      <c r="M2390">
        <f>IFERROR(__xludf.DUMMYFUNCTION("""COMPUTED_VALUE"""),39.0)</f>
        <v>39</v>
      </c>
      <c r="N2390" t="str">
        <f>IFERROR(__xludf.DUMMYFUNCTION("""COMPUTED_VALUE"""),"Model 3 SR")</f>
        <v>Model 3 SR</v>
      </c>
      <c r="O2390" t="str">
        <f>IFERROR(__xludf.DUMMYFUNCTION("""COMPUTED_VALUE"""),"Pearl White Multi-Coat")</f>
        <v>Pearl White Multi-Coat</v>
      </c>
      <c r="P2390" t="str">
        <f>IFERROR(__xludf.DUMMYFUNCTION("""COMPUTED_VALUE"""),"18 inch Aero")</f>
        <v>18 inch Aero</v>
      </c>
      <c r="Q2390" t="str">
        <f>IFERROR(__xludf.DUMMYFUNCTION("""COMPUTED_VALUE"""),"Black seats")</f>
        <v>Black seats</v>
      </c>
      <c r="X2390" t="str">
        <f>IFERROR(__xludf.DUMMYFUNCTION("""COMPUTED_VALUE"""),"Excellent")</f>
        <v>Excellent</v>
      </c>
      <c r="Y2390" t="str">
        <f>IFERROR(__xludf.DUMMYFUNCTION("""COMPUTED_VALUE"""),"Excellent")</f>
        <v>Excellent</v>
      </c>
      <c r="Z2390" t="str">
        <f>IFERROR(__xludf.DUMMYFUNCTION("""COMPUTED_VALUE"""),"Excellent")</f>
        <v>Excellent</v>
      </c>
      <c r="AA2390" t="str">
        <f>IFERROR(__xludf.DUMMYFUNCTION("""COMPUTED_VALUE"""),"Very Good")</f>
        <v>Very Good</v>
      </c>
      <c r="AB2390" t="str">
        <f>IFERROR(__xludf.DUMMYFUNCTION("""COMPUTED_VALUE"""),"Excellent")</f>
        <v>Excellent</v>
      </c>
      <c r="AH2390" s="189">
        <f>IFERROR(__xludf.DUMMYFUNCTION("""COMPUTED_VALUE"""),43907.70741640046)</f>
        <v>43907.70742</v>
      </c>
    </row>
    <row r="2391">
      <c r="A2391" t="str">
        <f>IFERROR(__xludf.DUMMYFUNCTION("""COMPUTED_VALUE"""),"rob25")</f>
        <v>rob25</v>
      </c>
      <c r="B2391" t="str">
        <f>IFERROR(__xludf.DUMMYFUNCTION("""COMPUTED_VALUE"""),"Highlands Ranch")</f>
        <v>Highlands Ranch</v>
      </c>
      <c r="C2391" t="str">
        <f>IFERROR(__xludf.DUMMYFUNCTION("""COMPUTED_VALUE"""),"CO")</f>
        <v>CO</v>
      </c>
      <c r="D2391" t="str">
        <f>IFERROR(__xludf.DUMMYFUNCTION("""COMPUTED_VALUE"""),"USA")</f>
        <v>USA</v>
      </c>
      <c r="E2391" s="188">
        <f>IFERROR(__xludf.DUMMYFUNCTION("""COMPUTED_VALUE"""),43876.0)</f>
        <v>43876</v>
      </c>
      <c r="F2391" s="188">
        <f>IFERROR(__xludf.DUMMYFUNCTION("""COMPUTED_VALUE"""),43904.0)</f>
        <v>43904</v>
      </c>
      <c r="H2391">
        <f>IFERROR(__xludf.DUMMYFUNCTION("""COMPUTED_VALUE"""),669173.0)</f>
        <v>669173</v>
      </c>
      <c r="I2391" t="str">
        <f>IFERROR(__xludf.DUMMYFUNCTION("""COMPUTED_VALUE"""),"03/20")</f>
        <v>03/20</v>
      </c>
      <c r="J2391" s="5">
        <f>IFERROR(__xludf.DUMMYFUNCTION("""COMPUTED_VALUE"""),43907.0)</f>
        <v>43907</v>
      </c>
      <c r="K2391">
        <f>IFERROR(__xludf.DUMMYFUNCTION("""COMPUTED_VALUE"""),28.0)</f>
        <v>28</v>
      </c>
      <c r="L2391">
        <f>IFERROR(__xludf.DUMMYFUNCTION("""COMPUTED_VALUE"""),3.0)</f>
        <v>3</v>
      </c>
      <c r="M2391">
        <f>IFERROR(__xludf.DUMMYFUNCTION("""COMPUTED_VALUE"""),31.0)</f>
        <v>31</v>
      </c>
      <c r="N2391" t="str">
        <f>IFERROR(__xludf.DUMMYFUNCTION("""COMPUTED_VALUE"""),"Model 3 LR AWD")</f>
        <v>Model 3 LR AWD</v>
      </c>
      <c r="O2391" t="str">
        <f>IFERROR(__xludf.DUMMYFUNCTION("""COMPUTED_VALUE"""),"Deep Blue Metallic")</f>
        <v>Deep Blue Metallic</v>
      </c>
      <c r="P2391" t="str">
        <f>IFERROR(__xludf.DUMMYFUNCTION("""COMPUTED_VALUE"""),"19 inch Sport")</f>
        <v>19 inch Sport</v>
      </c>
      <c r="Q2391" t="str">
        <f>IFERROR(__xludf.DUMMYFUNCTION("""COMPUTED_VALUE"""),"White seats")</f>
        <v>White seats</v>
      </c>
      <c r="R2391" t="str">
        <f>IFERROR(__xludf.DUMMYFUNCTION("""COMPUTED_VALUE"""),"Full Self-Driving")</f>
        <v>Full Self-Driving</v>
      </c>
      <c r="X2391" t="str">
        <f>IFERROR(__xludf.DUMMYFUNCTION("""COMPUTED_VALUE"""),"Excellent")</f>
        <v>Excellent</v>
      </c>
      <c r="Y2391" t="str">
        <f>IFERROR(__xludf.DUMMYFUNCTION("""COMPUTED_VALUE"""),"Excellent")</f>
        <v>Excellent</v>
      </c>
      <c r="Z2391" t="str">
        <f>IFERROR(__xludf.DUMMYFUNCTION("""COMPUTED_VALUE"""),"Excellent")</f>
        <v>Excellent</v>
      </c>
      <c r="AA2391" t="str">
        <f>IFERROR(__xludf.DUMMYFUNCTION("""COMPUTED_VALUE"""),"Excellent")</f>
        <v>Excellent</v>
      </c>
      <c r="AB2391" t="str">
        <f>IFERROR(__xludf.DUMMYFUNCTION("""COMPUTED_VALUE"""),"Excellent")</f>
        <v>Excellent</v>
      </c>
      <c r="AG2391" t="str">
        <f>IFERROR(__xludf.DUMMYFUNCTION("""COMPUTED_VALUE"""),"VIN in Source date 3/14/2020")</f>
        <v>VIN in Source date 3/14/2020</v>
      </c>
      <c r="AH2391" s="189">
        <f>IFERROR(__xludf.DUMMYFUNCTION("""COMPUTED_VALUE"""),43907.714288993055)</f>
        <v>43907.71429</v>
      </c>
    </row>
    <row r="2392">
      <c r="A2392" t="str">
        <f>IFERROR(__xludf.DUMMYFUNCTION("""COMPUTED_VALUE"""),"BoilerSim")</f>
        <v>BoilerSim</v>
      </c>
      <c r="B2392" t="str">
        <f>IFERROR(__xludf.DUMMYFUNCTION("""COMPUTED_VALUE"""),"Orlando")</f>
        <v>Orlando</v>
      </c>
      <c r="C2392" t="str">
        <f>IFERROR(__xludf.DUMMYFUNCTION("""COMPUTED_VALUE"""),"FL")</f>
        <v>FL</v>
      </c>
      <c r="D2392" t="str">
        <f>IFERROR(__xludf.DUMMYFUNCTION("""COMPUTED_VALUE"""),"USA")</f>
        <v>USA</v>
      </c>
      <c r="E2392" s="188">
        <f>IFERROR(__xludf.DUMMYFUNCTION("""COMPUTED_VALUE"""),43847.0)</f>
        <v>43847</v>
      </c>
      <c r="F2392" s="188">
        <f>IFERROR(__xludf.DUMMYFUNCTION("""COMPUTED_VALUE"""),43890.0)</f>
        <v>43890</v>
      </c>
      <c r="H2392">
        <f>IFERROR(__xludf.DUMMYFUNCTION("""COMPUTED_VALUE"""),669555.0)</f>
        <v>669555</v>
      </c>
      <c r="I2392" t="str">
        <f>IFERROR(__xludf.DUMMYFUNCTION("""COMPUTED_VALUE"""),"02/20")</f>
        <v>02/20</v>
      </c>
      <c r="J2392" s="5">
        <f>IFERROR(__xludf.DUMMYFUNCTION("""COMPUTED_VALUE"""),43907.0)</f>
        <v>43907</v>
      </c>
      <c r="K2392">
        <f>IFERROR(__xludf.DUMMYFUNCTION("""COMPUTED_VALUE"""),43.0)</f>
        <v>43</v>
      </c>
      <c r="L2392">
        <f>IFERROR(__xludf.DUMMYFUNCTION("""COMPUTED_VALUE"""),17.0)</f>
        <v>17</v>
      </c>
      <c r="M2392">
        <f>IFERROR(__xludf.DUMMYFUNCTION("""COMPUTED_VALUE"""),60.0)</f>
        <v>60</v>
      </c>
      <c r="N2392" t="str">
        <f>IFERROR(__xludf.DUMMYFUNCTION("""COMPUTED_VALUE"""),"Model 3 Performance")</f>
        <v>Model 3 Performance</v>
      </c>
      <c r="O2392" t="str">
        <f>IFERROR(__xludf.DUMMYFUNCTION("""COMPUTED_VALUE"""),"Midnight Silver Metallic")</f>
        <v>Midnight Silver Metallic</v>
      </c>
      <c r="P2392" t="str">
        <f>IFERROR(__xludf.DUMMYFUNCTION("""COMPUTED_VALUE"""),"20 inch Sport")</f>
        <v>20 inch Sport</v>
      </c>
      <c r="Q2392" t="str">
        <f>IFERROR(__xludf.DUMMYFUNCTION("""COMPUTED_VALUE"""),"White seats")</f>
        <v>White seats</v>
      </c>
      <c r="R2392" t="str">
        <f>IFERROR(__xludf.DUMMYFUNCTION("""COMPUTED_VALUE"""),"Full Self-Driving")</f>
        <v>Full Self-Driving</v>
      </c>
      <c r="X2392" t="str">
        <f>IFERROR(__xludf.DUMMYFUNCTION("""COMPUTED_VALUE"""),"Fair")</f>
        <v>Fair</v>
      </c>
      <c r="Y2392" t="str">
        <f>IFERROR(__xludf.DUMMYFUNCTION("""COMPUTED_VALUE"""),"Very Good")</f>
        <v>Very Good</v>
      </c>
      <c r="Z2392" t="str">
        <f>IFERROR(__xludf.DUMMYFUNCTION("""COMPUTED_VALUE"""),"Excellent")</f>
        <v>Excellent</v>
      </c>
      <c r="AA2392" t="str">
        <f>IFERROR(__xludf.DUMMYFUNCTION("""COMPUTED_VALUE"""),"Good")</f>
        <v>Good</v>
      </c>
      <c r="AB2392" t="str">
        <f>IFERROR(__xludf.DUMMYFUNCTION("""COMPUTED_VALUE"""),"Good")</f>
        <v>Good</v>
      </c>
      <c r="AH2392" s="189">
        <f>IFERROR(__xludf.DUMMYFUNCTION("""COMPUTED_VALUE"""),43907.83237561343)</f>
        <v>43907.83238</v>
      </c>
    </row>
    <row r="2393">
      <c r="A2393" t="str">
        <f>IFERROR(__xludf.DUMMYFUNCTION("""COMPUTED_VALUE"""),"lifedistroy")</f>
        <v>lifedistroy</v>
      </c>
      <c r="B2393" t="str">
        <f>IFERROR(__xludf.DUMMYFUNCTION("""COMPUTED_VALUE"""),"Montville")</f>
        <v>Montville</v>
      </c>
      <c r="C2393" t="str">
        <f>IFERROR(__xludf.DUMMYFUNCTION("""COMPUTED_VALUE"""),"NJ")</f>
        <v>NJ</v>
      </c>
      <c r="D2393" t="str">
        <f>IFERROR(__xludf.DUMMYFUNCTION("""COMPUTED_VALUE"""),"USA")</f>
        <v>USA</v>
      </c>
      <c r="E2393" s="188">
        <f>IFERROR(__xludf.DUMMYFUNCTION("""COMPUTED_VALUE"""),43873.0)</f>
        <v>43873</v>
      </c>
      <c r="F2393" s="188">
        <f>IFERROR(__xludf.DUMMYFUNCTION("""COMPUTED_VALUE"""),43887.0)</f>
        <v>43887</v>
      </c>
      <c r="H2393">
        <f>IFERROR(__xludf.DUMMYFUNCTION("""COMPUTED_VALUE"""),663197.0)</f>
        <v>663197</v>
      </c>
      <c r="I2393" t="str">
        <f>IFERROR(__xludf.DUMMYFUNCTION("""COMPUTED_VALUE"""),"02/20")</f>
        <v>02/20</v>
      </c>
      <c r="J2393" s="5">
        <f>IFERROR(__xludf.DUMMYFUNCTION("""COMPUTED_VALUE"""),43907.0)</f>
        <v>43907</v>
      </c>
      <c r="K2393">
        <f>IFERROR(__xludf.DUMMYFUNCTION("""COMPUTED_VALUE"""),14.0)</f>
        <v>14</v>
      </c>
      <c r="L2393">
        <f>IFERROR(__xludf.DUMMYFUNCTION("""COMPUTED_VALUE"""),20.0)</f>
        <v>20</v>
      </c>
      <c r="M2393">
        <f>IFERROR(__xludf.DUMMYFUNCTION("""COMPUTED_VALUE"""),34.0)</f>
        <v>34</v>
      </c>
      <c r="N2393" t="str">
        <f>IFERROR(__xludf.DUMMYFUNCTION("""COMPUTED_VALUE"""),"Model 3 LR AWD")</f>
        <v>Model 3 LR AWD</v>
      </c>
      <c r="O2393" t="str">
        <f>IFERROR(__xludf.DUMMYFUNCTION("""COMPUTED_VALUE"""),"Midnight Silver Metallic")</f>
        <v>Midnight Silver Metallic</v>
      </c>
      <c r="P2393" t="str">
        <f>IFERROR(__xludf.DUMMYFUNCTION("""COMPUTED_VALUE"""),"18 inch Aero")</f>
        <v>18 inch Aero</v>
      </c>
      <c r="Q2393" t="str">
        <f>IFERROR(__xludf.DUMMYFUNCTION("""COMPUTED_VALUE"""),"Black seats")</f>
        <v>Black seats</v>
      </c>
      <c r="R2393" t="str">
        <f>IFERROR(__xludf.DUMMYFUNCTION("""COMPUTED_VALUE"""),"Autopilot")</f>
        <v>Autopilot</v>
      </c>
      <c r="X2393" t="str">
        <f>IFERROR(__xludf.DUMMYFUNCTION("""COMPUTED_VALUE"""),"Fair")</f>
        <v>Fair</v>
      </c>
      <c r="Y2393" t="str">
        <f>IFERROR(__xludf.DUMMYFUNCTION("""COMPUTED_VALUE"""),"Very Good")</f>
        <v>Very Good</v>
      </c>
      <c r="Z2393" t="str">
        <f>IFERROR(__xludf.DUMMYFUNCTION("""COMPUTED_VALUE"""),"Very Good")</f>
        <v>Very Good</v>
      </c>
      <c r="AA2393" t="str">
        <f>IFERROR(__xludf.DUMMYFUNCTION("""COMPUTED_VALUE"""),"Fair")</f>
        <v>Fair</v>
      </c>
      <c r="AB2393" t="str">
        <f>IFERROR(__xludf.DUMMYFUNCTION("""COMPUTED_VALUE"""),"Good")</f>
        <v>Good</v>
      </c>
      <c r="AD2393">
        <f>IFERROR(__xludf.DUMMYFUNCTION("""COMPUTED_VALUE"""),1.0)</f>
        <v>1</v>
      </c>
      <c r="AE2393">
        <f>IFERROR(__xludf.DUMMYFUNCTION("""COMPUTED_VALUE"""),2.0)</f>
        <v>2</v>
      </c>
      <c r="AG2393" t="str">
        <f>IFERROR(__xludf.DUMMYFUNCTION("""COMPUTED_VALUE"""),"SA called and said car had a software issue and had to delay delivery. Unknown delivery for now.")</f>
        <v>SA called and said car had a software issue and had to delay delivery. Unknown delivery for now.</v>
      </c>
      <c r="AH2393" s="189">
        <f>IFERROR(__xludf.DUMMYFUNCTION("""COMPUTED_VALUE"""),43908.291259618054)</f>
        <v>43908.29126</v>
      </c>
    </row>
    <row r="2394">
      <c r="A2394" t="str">
        <f>IFERROR(__xludf.DUMMYFUNCTION("""COMPUTED_VALUE"""),"tyson82225")</f>
        <v>tyson82225</v>
      </c>
      <c r="B2394" t="str">
        <f>IFERROR(__xludf.DUMMYFUNCTION("""COMPUTED_VALUE"""),"Ottawa")</f>
        <v>Ottawa</v>
      </c>
      <c r="C2394" t="str">
        <f>IFERROR(__xludf.DUMMYFUNCTION("""COMPUTED_VALUE"""),"ON")</f>
        <v>ON</v>
      </c>
      <c r="D2394" t="str">
        <f>IFERROR(__xludf.DUMMYFUNCTION("""COMPUTED_VALUE"""),"Canada")</f>
        <v>Canada</v>
      </c>
      <c r="E2394" s="188">
        <f>IFERROR(__xludf.DUMMYFUNCTION("""COMPUTED_VALUE"""),43847.0)</f>
        <v>43847</v>
      </c>
      <c r="F2394" s="188">
        <f>IFERROR(__xludf.DUMMYFUNCTION("""COMPUTED_VALUE"""),43882.0)</f>
        <v>43882</v>
      </c>
      <c r="H2394">
        <f>IFERROR(__xludf.DUMMYFUNCTION("""COMPUTED_VALUE"""),669983.0)</f>
        <v>669983</v>
      </c>
      <c r="J2394" s="5">
        <f>IFERROR(__xludf.DUMMYFUNCTION("""COMPUTED_VALUE"""),43902.0)</f>
        <v>43902</v>
      </c>
      <c r="K2394">
        <f>IFERROR(__xludf.DUMMYFUNCTION("""COMPUTED_VALUE"""),35.0)</f>
        <v>35</v>
      </c>
      <c r="L2394">
        <f>IFERROR(__xludf.DUMMYFUNCTION("""COMPUTED_VALUE"""),20.0)</f>
        <v>20</v>
      </c>
      <c r="M2394">
        <f>IFERROR(__xludf.DUMMYFUNCTION("""COMPUTED_VALUE"""),55.0)</f>
        <v>55</v>
      </c>
      <c r="N2394" t="str">
        <f>IFERROR(__xludf.DUMMYFUNCTION("""COMPUTED_VALUE"""),"Model 3 SR+")</f>
        <v>Model 3 SR+</v>
      </c>
      <c r="O2394" t="str">
        <f>IFERROR(__xludf.DUMMYFUNCTION("""COMPUTED_VALUE"""),"Pearl White Multi-Coat")</f>
        <v>Pearl White Multi-Coat</v>
      </c>
      <c r="P2394" t="str">
        <f>IFERROR(__xludf.DUMMYFUNCTION("""COMPUTED_VALUE"""),"18 inch Aero")</f>
        <v>18 inch Aero</v>
      </c>
      <c r="Q2394" t="str">
        <f>IFERROR(__xludf.DUMMYFUNCTION("""COMPUTED_VALUE"""),"Black seats")</f>
        <v>Black seats</v>
      </c>
      <c r="R2394" t="str">
        <f>IFERROR(__xludf.DUMMYFUNCTION("""COMPUTED_VALUE"""),"Autopilot")</f>
        <v>Autopilot</v>
      </c>
      <c r="X2394" t="str">
        <f>IFERROR(__xludf.DUMMYFUNCTION("""COMPUTED_VALUE"""),"Very Good")</f>
        <v>Very Good</v>
      </c>
      <c r="Y2394" t="str">
        <f>IFERROR(__xludf.DUMMYFUNCTION("""COMPUTED_VALUE"""),"Excellent")</f>
        <v>Excellent</v>
      </c>
      <c r="Z2394" t="str">
        <f>IFERROR(__xludf.DUMMYFUNCTION("""COMPUTED_VALUE"""),"Excellent")</f>
        <v>Excellent</v>
      </c>
      <c r="AA2394" t="str">
        <f>IFERROR(__xludf.DUMMYFUNCTION("""COMPUTED_VALUE"""),"Good")</f>
        <v>Good</v>
      </c>
      <c r="AB2394" t="str">
        <f>IFERROR(__xludf.DUMMYFUNCTION("""COMPUTED_VALUE"""),"Excellent")</f>
        <v>Excellent</v>
      </c>
      <c r="AC2394">
        <f>IFERROR(__xludf.DUMMYFUNCTION("""COMPUTED_VALUE"""),1.0)</f>
        <v>1</v>
      </c>
      <c r="AD2394">
        <f>IFERROR(__xludf.DUMMYFUNCTION("""COMPUTED_VALUE"""),1.0)</f>
        <v>1</v>
      </c>
      <c r="AE2394">
        <f>IFERROR(__xludf.DUMMYFUNCTION("""COMPUTED_VALUE"""),0.0)</f>
        <v>0</v>
      </c>
      <c r="AH2394" s="189">
        <f>IFERROR(__xludf.DUMMYFUNCTION("""COMPUTED_VALUE"""),43908.30098153935)</f>
        <v>43908.30098</v>
      </c>
    </row>
    <row r="2395">
      <c r="A2395" t="str">
        <f>IFERROR(__xludf.DUMMYFUNCTION("""COMPUTED_VALUE"""),"mma777")</f>
        <v>mma777</v>
      </c>
      <c r="D2395" t="str">
        <f>IFERROR(__xludf.DUMMYFUNCTION("""COMPUTED_VALUE"""),"United Kingdom")</f>
        <v>United Kingdom</v>
      </c>
      <c r="E2395" s="188">
        <f>IFERROR(__xludf.DUMMYFUNCTION("""COMPUTED_VALUE"""),43883.0)</f>
        <v>43883</v>
      </c>
      <c r="F2395" s="188">
        <f>IFERROR(__xludf.DUMMYFUNCTION("""COMPUTED_VALUE"""),43890.0)</f>
        <v>43890</v>
      </c>
      <c r="H2395">
        <f>IFERROR(__xludf.DUMMYFUNCTION("""COMPUTED_VALUE"""),702055.0)</f>
        <v>702055</v>
      </c>
      <c r="J2395" s="5">
        <f>IFERROR(__xludf.DUMMYFUNCTION("""COMPUTED_VALUE"""),43908.0)</f>
        <v>43908</v>
      </c>
      <c r="K2395">
        <f>IFERROR(__xludf.DUMMYFUNCTION("""COMPUTED_VALUE"""),7.0)</f>
        <v>7</v>
      </c>
      <c r="L2395">
        <f>IFERROR(__xludf.DUMMYFUNCTION("""COMPUTED_VALUE"""),18.0)</f>
        <v>18</v>
      </c>
      <c r="M2395">
        <f>IFERROR(__xludf.DUMMYFUNCTION("""COMPUTED_VALUE"""),25.0)</f>
        <v>25</v>
      </c>
      <c r="N2395" t="str">
        <f>IFERROR(__xludf.DUMMYFUNCTION("""COMPUTED_VALUE"""),"Model 3 LR AWD")</f>
        <v>Model 3 LR AWD</v>
      </c>
      <c r="O2395" t="str">
        <f>IFERROR(__xludf.DUMMYFUNCTION("""COMPUTED_VALUE"""),"Midnight Silver Metallic")</f>
        <v>Midnight Silver Metallic</v>
      </c>
      <c r="P2395" t="str">
        <f>IFERROR(__xludf.DUMMYFUNCTION("""COMPUTED_VALUE"""),"18 inch Aero")</f>
        <v>18 inch Aero</v>
      </c>
      <c r="Q2395" t="str">
        <f>IFERROR(__xludf.DUMMYFUNCTION("""COMPUTED_VALUE"""),"Black seats")</f>
        <v>Black seats</v>
      </c>
      <c r="R2395" t="str">
        <f>IFERROR(__xludf.DUMMYFUNCTION("""COMPUTED_VALUE"""),"Autopilot")</f>
        <v>Autopilot</v>
      </c>
      <c r="X2395" t="str">
        <f>IFERROR(__xludf.DUMMYFUNCTION("""COMPUTED_VALUE"""),"Fair")</f>
        <v>Fair</v>
      </c>
      <c r="Y2395" t="str">
        <f>IFERROR(__xludf.DUMMYFUNCTION("""COMPUTED_VALUE"""),"Good")</f>
        <v>Good</v>
      </c>
      <c r="Z2395" t="str">
        <f>IFERROR(__xludf.DUMMYFUNCTION("""COMPUTED_VALUE"""),"Good")</f>
        <v>Good</v>
      </c>
      <c r="AA2395" t="str">
        <f>IFERROR(__xludf.DUMMYFUNCTION("""COMPUTED_VALUE"""),"Good")</f>
        <v>Good</v>
      </c>
      <c r="AB2395" t="str">
        <f>IFERROR(__xludf.DUMMYFUNCTION("""COMPUTED_VALUE"""),"Good")</f>
        <v>Good</v>
      </c>
      <c r="AH2395" s="189">
        <f>IFERROR(__xludf.DUMMYFUNCTION("""COMPUTED_VALUE"""),43908.34433190972)</f>
        <v>43908.34433</v>
      </c>
    </row>
    <row r="2396">
      <c r="A2396" t="str">
        <f>IFERROR(__xludf.DUMMYFUNCTION("""COMPUTED_VALUE"""),"carys4")</f>
        <v>carys4</v>
      </c>
      <c r="B2396" t="str">
        <f>IFERROR(__xludf.DUMMYFUNCTION("""COMPUTED_VALUE"""),"San Francisco")</f>
        <v>San Francisco</v>
      </c>
      <c r="C2396" t="str">
        <f>IFERROR(__xludf.DUMMYFUNCTION("""COMPUTED_VALUE"""),"CA")</f>
        <v>CA</v>
      </c>
      <c r="D2396" t="str">
        <f>IFERROR(__xludf.DUMMYFUNCTION("""COMPUTED_VALUE"""),"USA")</f>
        <v>USA</v>
      </c>
      <c r="E2396" s="188">
        <f>IFERROR(__xludf.DUMMYFUNCTION("""COMPUTED_VALUE"""),43897.0)</f>
        <v>43897</v>
      </c>
      <c r="F2396" s="188">
        <f>IFERROR(__xludf.DUMMYFUNCTION("""COMPUTED_VALUE"""),43903.0)</f>
        <v>43903</v>
      </c>
      <c r="J2396" s="5">
        <f>IFERROR(__xludf.DUMMYFUNCTION("""COMPUTED_VALUE"""),43904.0)</f>
        <v>43904</v>
      </c>
      <c r="K2396">
        <f>IFERROR(__xludf.DUMMYFUNCTION("""COMPUTED_VALUE"""),6.0)</f>
        <v>6</v>
      </c>
      <c r="L2396">
        <f>IFERROR(__xludf.DUMMYFUNCTION("""COMPUTED_VALUE"""),1.0)</f>
        <v>1</v>
      </c>
      <c r="M2396">
        <f>IFERROR(__xludf.DUMMYFUNCTION("""COMPUTED_VALUE"""),7.0)</f>
        <v>7</v>
      </c>
      <c r="N2396" t="str">
        <f>IFERROR(__xludf.DUMMYFUNCTION("""COMPUTED_VALUE"""),"Model 3 Performance")</f>
        <v>Model 3 Performance</v>
      </c>
      <c r="O2396" t="str">
        <f>IFERROR(__xludf.DUMMYFUNCTION("""COMPUTED_VALUE"""),"Deep Blue Metallic")</f>
        <v>Deep Blue Metallic</v>
      </c>
      <c r="P2396" t="str">
        <f>IFERROR(__xludf.DUMMYFUNCTION("""COMPUTED_VALUE"""),"20 inch Sport")</f>
        <v>20 inch Sport</v>
      </c>
      <c r="Q2396" t="str">
        <f>IFERROR(__xludf.DUMMYFUNCTION("""COMPUTED_VALUE"""),"White seats")</f>
        <v>White seats</v>
      </c>
      <c r="R2396" t="str">
        <f>IFERROR(__xludf.DUMMYFUNCTION("""COMPUTED_VALUE"""),"Autopilot")</f>
        <v>Autopilot</v>
      </c>
      <c r="X2396" t="str">
        <f>IFERROR(__xludf.DUMMYFUNCTION("""COMPUTED_VALUE"""),"Excellent")</f>
        <v>Excellent</v>
      </c>
      <c r="Y2396" t="str">
        <f>IFERROR(__xludf.DUMMYFUNCTION("""COMPUTED_VALUE"""),"Excellent")</f>
        <v>Excellent</v>
      </c>
      <c r="Z2396" t="str">
        <f>IFERROR(__xludf.DUMMYFUNCTION("""COMPUTED_VALUE"""),"Excellent")</f>
        <v>Excellent</v>
      </c>
      <c r="AA2396" t="str">
        <f>IFERROR(__xludf.DUMMYFUNCTION("""COMPUTED_VALUE"""),"Fair")</f>
        <v>Fair</v>
      </c>
      <c r="AB2396" t="str">
        <f>IFERROR(__xludf.DUMMYFUNCTION("""COMPUTED_VALUE"""),"Very Good")</f>
        <v>Very Good</v>
      </c>
      <c r="AG2396" t="str">
        <f>IFERROR(__xludf.DUMMYFUNCTION("""COMPUTED_VALUE"""),"Extremely fast turn around. Config to delivery in exactly a week.")</f>
        <v>Extremely fast turn around. Config to delivery in exactly a week.</v>
      </c>
      <c r="AH2396" s="189">
        <f>IFERROR(__xludf.DUMMYFUNCTION("""COMPUTED_VALUE"""),43908.445173726854)</f>
        <v>43908.44517</v>
      </c>
    </row>
    <row r="2397">
      <c r="A2397" t="str">
        <f>IFERROR(__xludf.DUMMYFUNCTION("""COMPUTED_VALUE"""),"pkh")</f>
        <v>pkh</v>
      </c>
      <c r="B2397" t="str">
        <f>IFERROR(__xludf.DUMMYFUNCTION("""COMPUTED_VALUE"""),"San Jose")</f>
        <v>San Jose</v>
      </c>
      <c r="C2397" t="str">
        <f>IFERROR(__xludf.DUMMYFUNCTION("""COMPUTED_VALUE"""),"CA")</f>
        <v>CA</v>
      </c>
      <c r="D2397" t="str">
        <f>IFERROR(__xludf.DUMMYFUNCTION("""COMPUTED_VALUE"""),"USA")</f>
        <v>USA</v>
      </c>
      <c r="E2397" s="188">
        <f>IFERROR(__xludf.DUMMYFUNCTION("""COMPUTED_VALUE"""),43891.0)</f>
        <v>43891</v>
      </c>
      <c r="F2397" s="188">
        <f>IFERROR(__xludf.DUMMYFUNCTION("""COMPUTED_VALUE"""),43906.0)</f>
        <v>43906</v>
      </c>
      <c r="H2397">
        <f>IFERROR(__xludf.DUMMYFUNCTION("""COMPUTED_VALUE"""),667163.0)</f>
        <v>667163</v>
      </c>
      <c r="J2397" s="5">
        <f>IFERROR(__xludf.DUMMYFUNCTION("""COMPUTED_VALUE"""),43907.0)</f>
        <v>43907</v>
      </c>
      <c r="K2397">
        <f>IFERROR(__xludf.DUMMYFUNCTION("""COMPUTED_VALUE"""),15.0)</f>
        <v>15</v>
      </c>
      <c r="L2397">
        <f>IFERROR(__xludf.DUMMYFUNCTION("""COMPUTED_VALUE"""),1.0)</f>
        <v>1</v>
      </c>
      <c r="M2397">
        <f>IFERROR(__xludf.DUMMYFUNCTION("""COMPUTED_VALUE"""),16.0)</f>
        <v>16</v>
      </c>
      <c r="N2397" t="str">
        <f>IFERROR(__xludf.DUMMYFUNCTION("""COMPUTED_VALUE"""),"Model 3 LR AWD")</f>
        <v>Model 3 LR AWD</v>
      </c>
      <c r="O2397" t="str">
        <f>IFERROR(__xludf.DUMMYFUNCTION("""COMPUTED_VALUE"""),"Deep Blue Metallic")</f>
        <v>Deep Blue Metallic</v>
      </c>
      <c r="P2397" t="str">
        <f>IFERROR(__xludf.DUMMYFUNCTION("""COMPUTED_VALUE"""),"19 inch Sport")</f>
        <v>19 inch Sport</v>
      </c>
      <c r="Q2397" t="str">
        <f>IFERROR(__xludf.DUMMYFUNCTION("""COMPUTED_VALUE"""),"Black seats")</f>
        <v>Black seats</v>
      </c>
      <c r="R2397" t="str">
        <f>IFERROR(__xludf.DUMMYFUNCTION("""COMPUTED_VALUE"""),"Full Self-Driving")</f>
        <v>Full Self-Driving</v>
      </c>
      <c r="X2397" t="str">
        <f>IFERROR(__xludf.DUMMYFUNCTION("""COMPUTED_VALUE"""),"Excellent")</f>
        <v>Excellent</v>
      </c>
      <c r="Y2397" t="str">
        <f>IFERROR(__xludf.DUMMYFUNCTION("""COMPUTED_VALUE"""),"Excellent")</f>
        <v>Excellent</v>
      </c>
      <c r="Z2397" t="str">
        <f>IFERROR(__xludf.DUMMYFUNCTION("""COMPUTED_VALUE"""),"Excellent")</f>
        <v>Excellent</v>
      </c>
      <c r="AA2397" t="str">
        <f>IFERROR(__xludf.DUMMYFUNCTION("""COMPUTED_VALUE"""),"Excellent")</f>
        <v>Excellent</v>
      </c>
      <c r="AB2397" t="str">
        <f>IFERROR(__xludf.DUMMYFUNCTION("""COMPUTED_VALUE"""),"Excellent")</f>
        <v>Excellent</v>
      </c>
      <c r="AG2397" t="str">
        <f>IFERROR(__xludf.DUMMYFUNCTION("""COMPUTED_VALUE"""),"Find a similar match in the inventory, Changed interior from white to blackReceived text  on 03/09 for delivery in 2 to 3 weeks, Received a text on 3/14 from my buying adviser that I will be assigned a VIN next week")</f>
        <v>Find a similar match in the inventory, Changed interior from white to blackReceived text  on 03/09 for delivery in 2 to 3 weeks, Received a text on 3/14 from my buying adviser that I will be assigned a VIN next week</v>
      </c>
      <c r="AH2397" s="189">
        <f>IFERROR(__xludf.DUMMYFUNCTION("""COMPUTED_VALUE"""),43908.66436243056)</f>
        <v>43908.66436</v>
      </c>
    </row>
    <row r="2398">
      <c r="A2398" t="str">
        <f>IFERROR(__xludf.DUMMYFUNCTION("""COMPUTED_VALUE"""),"superbyte")</f>
        <v>superbyte</v>
      </c>
      <c r="B2398" t="str">
        <f>IFERROR(__xludf.DUMMYFUNCTION("""COMPUTED_VALUE"""),"phoenixville")</f>
        <v>phoenixville</v>
      </c>
      <c r="C2398" t="str">
        <f>IFERROR(__xludf.DUMMYFUNCTION("""COMPUTED_VALUE"""),"PA")</f>
        <v>PA</v>
      </c>
      <c r="D2398" t="str">
        <f>IFERROR(__xludf.DUMMYFUNCTION("""COMPUTED_VALUE"""),"USA")</f>
        <v>USA</v>
      </c>
      <c r="E2398" s="188">
        <f>IFERROR(__xludf.DUMMYFUNCTION("""COMPUTED_VALUE"""),43861.0)</f>
        <v>43861</v>
      </c>
      <c r="F2398" s="188">
        <f>IFERROR(__xludf.DUMMYFUNCTION("""COMPUTED_VALUE"""),43883.0)</f>
        <v>43883</v>
      </c>
      <c r="H2398" s="4">
        <f>IFERROR(__xludf.DUMMYFUNCTION("""COMPUTED_VALUE"""),644357.0)</f>
        <v>644357</v>
      </c>
      <c r="J2398" s="5">
        <f>IFERROR(__xludf.DUMMYFUNCTION("""COMPUTED_VALUE"""),43908.0)</f>
        <v>43908</v>
      </c>
      <c r="K2398">
        <f>IFERROR(__xludf.DUMMYFUNCTION("""COMPUTED_VALUE"""),22.0)</f>
        <v>22</v>
      </c>
      <c r="L2398">
        <f>IFERROR(__xludf.DUMMYFUNCTION("""COMPUTED_VALUE"""),25.0)</f>
        <v>25</v>
      </c>
      <c r="M2398">
        <f>IFERROR(__xludf.DUMMYFUNCTION("""COMPUTED_VALUE"""),47.0)</f>
        <v>47</v>
      </c>
      <c r="N2398" t="str">
        <f>IFERROR(__xludf.DUMMYFUNCTION("""COMPUTED_VALUE"""),"Model 3 SR+")</f>
        <v>Model 3 SR+</v>
      </c>
      <c r="O2398" t="str">
        <f>IFERROR(__xludf.DUMMYFUNCTION("""COMPUTED_VALUE"""),"Midnight Silver Metallic")</f>
        <v>Midnight Silver Metallic</v>
      </c>
      <c r="P2398" t="str">
        <f>IFERROR(__xludf.DUMMYFUNCTION("""COMPUTED_VALUE"""),"18 inch Aero")</f>
        <v>18 inch Aero</v>
      </c>
      <c r="Q2398" t="str">
        <f>IFERROR(__xludf.DUMMYFUNCTION("""COMPUTED_VALUE"""),"Black seats")</f>
        <v>Black seats</v>
      </c>
      <c r="R2398" t="str">
        <f>IFERROR(__xludf.DUMMYFUNCTION("""COMPUTED_VALUE"""),"Autopilot")</f>
        <v>Autopilot</v>
      </c>
      <c r="X2398" t="str">
        <f>IFERROR(__xludf.DUMMYFUNCTION("""COMPUTED_VALUE"""),"Very Good")</f>
        <v>Very Good</v>
      </c>
      <c r="Y2398" t="str">
        <f>IFERROR(__xludf.DUMMYFUNCTION("""COMPUTED_VALUE"""),"Very Good")</f>
        <v>Very Good</v>
      </c>
      <c r="Z2398" t="str">
        <f>IFERROR(__xludf.DUMMYFUNCTION("""COMPUTED_VALUE"""),"Excellent")</f>
        <v>Excellent</v>
      </c>
      <c r="AA2398" t="str">
        <f>IFERROR(__xludf.DUMMYFUNCTION("""COMPUTED_VALUE"""),"Fair")</f>
        <v>Fair</v>
      </c>
      <c r="AB2398" t="str">
        <f>IFERROR(__xludf.DUMMYFUNCTION("""COMPUTED_VALUE"""),"Poor")</f>
        <v>Poor</v>
      </c>
      <c r="AC2398">
        <f>IFERROR(__xludf.DUMMYFUNCTION("""COMPUTED_VALUE"""),1.0)</f>
        <v>1</v>
      </c>
      <c r="AG2398" t="str">
        <f>IFERROR(__xludf.DUMMYFUNCTION("""COMPUTED_VALUE"""),"Front bumper had a defect so they replaced before delivery. Annoyed that they didn't give me some form of compensation for getting delayed 5 times")</f>
        <v>Front bumper had a defect so they replaced before delivery. Annoyed that they didn't give me some form of compensation for getting delayed 5 times</v>
      </c>
      <c r="AH2398" s="189">
        <f>IFERROR(__xludf.DUMMYFUNCTION("""COMPUTED_VALUE"""),43908.76338337963)</f>
        <v>43908.76338</v>
      </c>
    </row>
    <row r="2399">
      <c r="A2399" t="str">
        <f>IFERROR(__xludf.DUMMYFUNCTION("""COMPUTED_VALUE"""),"hellocar")</f>
        <v>hellocar</v>
      </c>
      <c r="B2399" t="str">
        <f>IFERROR(__xludf.DUMMYFUNCTION("""COMPUTED_VALUE"""),"New York City")</f>
        <v>New York City</v>
      </c>
      <c r="C2399" t="str">
        <f>IFERROR(__xludf.DUMMYFUNCTION("""COMPUTED_VALUE"""),"NY")</f>
        <v>NY</v>
      </c>
      <c r="D2399" t="str">
        <f>IFERROR(__xludf.DUMMYFUNCTION("""COMPUTED_VALUE"""),"USA")</f>
        <v>USA</v>
      </c>
      <c r="E2399" s="188">
        <f>IFERROR(__xludf.DUMMYFUNCTION("""COMPUTED_VALUE"""),43858.0)</f>
        <v>43858</v>
      </c>
      <c r="F2399" s="188">
        <f>IFERROR(__xludf.DUMMYFUNCTION("""COMPUTED_VALUE"""),43885.0)</f>
        <v>43885</v>
      </c>
      <c r="H2399">
        <f>IFERROR(__xludf.DUMMYFUNCTION("""COMPUTED_VALUE"""),635955.0)</f>
        <v>635955</v>
      </c>
      <c r="I2399" t="str">
        <f>IFERROR(__xludf.DUMMYFUNCTION("""COMPUTED_VALUE"""),"02/20")</f>
        <v>02/20</v>
      </c>
      <c r="J2399" s="5">
        <f>IFERROR(__xludf.DUMMYFUNCTION("""COMPUTED_VALUE"""),43902.0)</f>
        <v>43902</v>
      </c>
      <c r="K2399">
        <f>IFERROR(__xludf.DUMMYFUNCTION("""COMPUTED_VALUE"""),27.0)</f>
        <v>27</v>
      </c>
      <c r="L2399">
        <f>IFERROR(__xludf.DUMMYFUNCTION("""COMPUTED_VALUE"""),17.0)</f>
        <v>17</v>
      </c>
      <c r="M2399">
        <f>IFERROR(__xludf.DUMMYFUNCTION("""COMPUTED_VALUE"""),44.0)</f>
        <v>44</v>
      </c>
      <c r="N2399" t="str">
        <f>IFERROR(__xludf.DUMMYFUNCTION("""COMPUTED_VALUE"""),"Model 3 LR AWD")</f>
        <v>Model 3 LR AWD</v>
      </c>
      <c r="O2399" t="str">
        <f>IFERROR(__xludf.DUMMYFUNCTION("""COMPUTED_VALUE"""),"Red Multi-Coat")</f>
        <v>Red Multi-Coat</v>
      </c>
      <c r="P2399" t="str">
        <f>IFERROR(__xludf.DUMMYFUNCTION("""COMPUTED_VALUE"""),"18 inch Aero")</f>
        <v>18 inch Aero</v>
      </c>
      <c r="Q2399" t="str">
        <f>IFERROR(__xludf.DUMMYFUNCTION("""COMPUTED_VALUE"""),"Black seats")</f>
        <v>Black seats</v>
      </c>
      <c r="R2399" t="str">
        <f>IFERROR(__xludf.DUMMYFUNCTION("""COMPUTED_VALUE"""),"Autopilot")</f>
        <v>Autopilot</v>
      </c>
      <c r="X2399" t="str">
        <f>IFERROR(__xludf.DUMMYFUNCTION("""COMPUTED_VALUE"""),"Excellent")</f>
        <v>Excellent</v>
      </c>
      <c r="Y2399" t="str">
        <f>IFERROR(__xludf.DUMMYFUNCTION("""COMPUTED_VALUE"""),"Excellent")</f>
        <v>Excellent</v>
      </c>
      <c r="Z2399" t="str">
        <f>IFERROR(__xludf.DUMMYFUNCTION("""COMPUTED_VALUE"""),"Very Good")</f>
        <v>Very Good</v>
      </c>
      <c r="AA2399" t="str">
        <f>IFERROR(__xludf.DUMMYFUNCTION("""COMPUTED_VALUE"""),"Good")</f>
        <v>Good</v>
      </c>
      <c r="AB2399" t="str">
        <f>IFERROR(__xludf.DUMMYFUNCTION("""COMPUTED_VALUE"""),"Excellent")</f>
        <v>Excellent</v>
      </c>
      <c r="AC2399">
        <f>IFERROR(__xludf.DUMMYFUNCTION("""COMPUTED_VALUE"""),2.0)</f>
        <v>2</v>
      </c>
      <c r="AD2399">
        <f>IFERROR(__xludf.DUMMYFUNCTION("""COMPUTED_VALUE"""),0.0)</f>
        <v>0</v>
      </c>
      <c r="AE2399">
        <f>IFERROR(__xludf.DUMMYFUNCTION("""COMPUTED_VALUE"""),0.0)</f>
        <v>0</v>
      </c>
      <c r="AH2399" s="189">
        <f>IFERROR(__xludf.DUMMYFUNCTION("""COMPUTED_VALUE"""),43909.588151805554)</f>
        <v>43909.58815</v>
      </c>
    </row>
    <row r="2400">
      <c r="A2400" t="str">
        <f>IFERROR(__xludf.DUMMYFUNCTION("""COMPUTED_VALUE"""),"CodeMan123")</f>
        <v>CodeMan123</v>
      </c>
      <c r="B2400" t="str">
        <f>IFERROR(__xludf.DUMMYFUNCTION("""COMPUTED_VALUE"""),"Salt Lake City")</f>
        <v>Salt Lake City</v>
      </c>
      <c r="C2400" t="str">
        <f>IFERROR(__xludf.DUMMYFUNCTION("""COMPUTED_VALUE"""),"UT")</f>
        <v>UT</v>
      </c>
      <c r="D2400" t="str">
        <f>IFERROR(__xludf.DUMMYFUNCTION("""COMPUTED_VALUE"""),"USA")</f>
        <v>USA</v>
      </c>
      <c r="E2400" s="188">
        <f>IFERROR(__xludf.DUMMYFUNCTION("""COMPUTED_VALUE"""),43824.0)</f>
        <v>43824</v>
      </c>
      <c r="F2400" s="188">
        <f>IFERROR(__xludf.DUMMYFUNCTION("""COMPUTED_VALUE"""),43904.0)</f>
        <v>43904</v>
      </c>
      <c r="H2400">
        <f>IFERROR(__xludf.DUMMYFUNCTION("""COMPUTED_VALUE"""),641858.0)</f>
        <v>641858</v>
      </c>
      <c r="J2400" s="5">
        <f>IFERROR(__xludf.DUMMYFUNCTION("""COMPUTED_VALUE"""),43908.0)</f>
        <v>43908</v>
      </c>
      <c r="K2400">
        <f>IFERROR(__xludf.DUMMYFUNCTION("""COMPUTED_VALUE"""),80.0)</f>
        <v>80</v>
      </c>
      <c r="L2400">
        <f>IFERROR(__xludf.DUMMYFUNCTION("""COMPUTED_VALUE"""),4.0)</f>
        <v>4</v>
      </c>
      <c r="M2400">
        <f>IFERROR(__xludf.DUMMYFUNCTION("""COMPUTED_VALUE"""),84.0)</f>
        <v>84</v>
      </c>
      <c r="N2400" t="str">
        <f>IFERROR(__xludf.DUMMYFUNCTION("""COMPUTED_VALUE"""),"Model 3 Performance")</f>
        <v>Model 3 Performance</v>
      </c>
      <c r="O2400" t="str">
        <f>IFERROR(__xludf.DUMMYFUNCTION("""COMPUTED_VALUE"""),"Red Multi-Coat")</f>
        <v>Red Multi-Coat</v>
      </c>
      <c r="P2400" t="str">
        <f>IFERROR(__xludf.DUMMYFUNCTION("""COMPUTED_VALUE"""),"20 inch Sport")</f>
        <v>20 inch Sport</v>
      </c>
      <c r="Q2400" t="str">
        <f>IFERROR(__xludf.DUMMYFUNCTION("""COMPUTED_VALUE"""),"White seats")</f>
        <v>White seats</v>
      </c>
      <c r="R2400" t="str">
        <f>IFERROR(__xludf.DUMMYFUNCTION("""COMPUTED_VALUE"""),"Full Self-Driving")</f>
        <v>Full Self-Driving</v>
      </c>
      <c r="X2400" t="str">
        <f>IFERROR(__xludf.DUMMYFUNCTION("""COMPUTED_VALUE"""),"Excellent")</f>
        <v>Excellent</v>
      </c>
      <c r="Y2400" t="str">
        <f>IFERROR(__xludf.DUMMYFUNCTION("""COMPUTED_VALUE"""),"Excellent")</f>
        <v>Excellent</v>
      </c>
      <c r="Z2400" t="str">
        <f>IFERROR(__xludf.DUMMYFUNCTION("""COMPUTED_VALUE"""),"Excellent")</f>
        <v>Excellent</v>
      </c>
      <c r="AA2400" t="str">
        <f>IFERROR(__xludf.DUMMYFUNCTION("""COMPUTED_VALUE"""),"Excellent")</f>
        <v>Excellent</v>
      </c>
      <c r="AB2400" t="str">
        <f>IFERROR(__xludf.DUMMYFUNCTION("""COMPUTED_VALUE"""),"Excellent")</f>
        <v>Excellent</v>
      </c>
      <c r="AG2400" t="str">
        <f>IFERROR(__xludf.DUMMYFUNCTION("""COMPUTED_VALUE"""),"TXT 3/9 delivery 2-3 weeks from today. TXT 2/24 delivery 2-5 weeks. TXT 2/6 estimated delivery 4-7 weeks from today (not happy about that). Rep says it will be a lot sooner. TXT on 1/23 changing delivery estimate to 5-9 weeks. Originally 4-7 weeks.")</f>
        <v>TXT 3/9 delivery 2-3 weeks from today. TXT 2/24 delivery 2-5 weeks. TXT 2/6 estimated delivery 4-7 weeks from today (not happy about that). Rep says it will be a lot sooner. TXT on 1/23 changing delivery estimate to 5-9 weeks. Originally 4-7 weeks.</v>
      </c>
      <c r="AH2400" s="189">
        <f>IFERROR(__xludf.DUMMYFUNCTION("""COMPUTED_VALUE"""),43909.63741142361)</f>
        <v>43909.63741</v>
      </c>
    </row>
    <row r="2401">
      <c r="A2401" t="str">
        <f>IFERROR(__xludf.DUMMYFUNCTION("""COMPUTED_VALUE"""),"KenC")</f>
        <v>KenC</v>
      </c>
      <c r="B2401" t="str">
        <f>IFERROR(__xludf.DUMMYFUNCTION("""COMPUTED_VALUE"""),"Fredericksburg")</f>
        <v>Fredericksburg</v>
      </c>
      <c r="C2401" t="str">
        <f>IFERROR(__xludf.DUMMYFUNCTION("""COMPUTED_VALUE"""),"VA")</f>
        <v>VA</v>
      </c>
      <c r="D2401" t="str">
        <f>IFERROR(__xludf.DUMMYFUNCTION("""COMPUTED_VALUE"""),"USA")</f>
        <v>USA</v>
      </c>
      <c r="E2401" s="188">
        <f>IFERROR(__xludf.DUMMYFUNCTION("""COMPUTED_VALUE"""),43870.0)</f>
        <v>43870</v>
      </c>
      <c r="F2401" s="188">
        <f>IFERROR(__xludf.DUMMYFUNCTION("""COMPUTED_VALUE"""),43896.0)</f>
        <v>43896</v>
      </c>
      <c r="H2401">
        <f>IFERROR(__xludf.DUMMYFUNCTION("""COMPUTED_VALUE"""),713366.0)</f>
        <v>713366</v>
      </c>
      <c r="J2401" s="5">
        <f>IFERROR(__xludf.DUMMYFUNCTION("""COMPUTED_VALUE"""),43910.0)</f>
        <v>43910</v>
      </c>
      <c r="K2401">
        <f>IFERROR(__xludf.DUMMYFUNCTION("""COMPUTED_VALUE"""),26.0)</f>
        <v>26</v>
      </c>
      <c r="L2401">
        <f>IFERROR(__xludf.DUMMYFUNCTION("""COMPUTED_VALUE"""),14.0)</f>
        <v>14</v>
      </c>
      <c r="M2401">
        <f>IFERROR(__xludf.DUMMYFUNCTION("""COMPUTED_VALUE"""),40.0)</f>
        <v>40</v>
      </c>
      <c r="N2401" t="str">
        <f>IFERROR(__xludf.DUMMYFUNCTION("""COMPUTED_VALUE"""),"Model 3 Performance")</f>
        <v>Model 3 Performance</v>
      </c>
      <c r="O2401" t="str">
        <f>IFERROR(__xludf.DUMMYFUNCTION("""COMPUTED_VALUE"""),"Midnight Silver Metallic")</f>
        <v>Midnight Silver Metallic</v>
      </c>
      <c r="P2401" t="str">
        <f>IFERROR(__xludf.DUMMYFUNCTION("""COMPUTED_VALUE"""),"20 inch Sport")</f>
        <v>20 inch Sport</v>
      </c>
      <c r="Q2401" t="str">
        <f>IFERROR(__xludf.DUMMYFUNCTION("""COMPUTED_VALUE"""),"Black seats")</f>
        <v>Black seats</v>
      </c>
      <c r="R2401" t="str">
        <f>IFERROR(__xludf.DUMMYFUNCTION("""COMPUTED_VALUE"""),"Full Self-Driving")</f>
        <v>Full Self-Driving</v>
      </c>
      <c r="AA2401" t="str">
        <f>IFERROR(__xludf.DUMMYFUNCTION("""COMPUTED_VALUE"""),"Fair")</f>
        <v>Fair</v>
      </c>
      <c r="AH2401" s="189">
        <f>IFERROR(__xludf.DUMMYFUNCTION("""COMPUTED_VALUE"""),43909.77567538194)</f>
        <v>43909.77568</v>
      </c>
    </row>
    <row r="2402">
      <c r="A2402" t="str">
        <f>IFERROR(__xludf.DUMMYFUNCTION("""COMPUTED_VALUE"""),"sdodds")</f>
        <v>sdodds</v>
      </c>
      <c r="B2402" t="str">
        <f>IFERROR(__xludf.DUMMYFUNCTION("""COMPUTED_VALUE"""),"Maple Ridge")</f>
        <v>Maple Ridge</v>
      </c>
      <c r="C2402" t="str">
        <f>IFERROR(__xludf.DUMMYFUNCTION("""COMPUTED_VALUE"""),"BC")</f>
        <v>BC</v>
      </c>
      <c r="D2402" t="str">
        <f>IFERROR(__xludf.DUMMYFUNCTION("""COMPUTED_VALUE"""),"Canada")</f>
        <v>Canada</v>
      </c>
      <c r="E2402" s="188">
        <f>IFERROR(__xludf.DUMMYFUNCTION("""COMPUTED_VALUE"""),43884.0)</f>
        <v>43884</v>
      </c>
      <c r="F2402" s="188">
        <f>IFERROR(__xludf.DUMMYFUNCTION("""COMPUTED_VALUE"""),43908.0)</f>
        <v>43908</v>
      </c>
      <c r="H2402">
        <f>IFERROR(__xludf.DUMMYFUNCTION("""COMPUTED_VALUE"""),718375.0)</f>
        <v>718375</v>
      </c>
      <c r="J2402" s="5">
        <f>IFERROR(__xludf.DUMMYFUNCTION("""COMPUTED_VALUE"""),43909.0)</f>
        <v>43909</v>
      </c>
      <c r="K2402">
        <f>IFERROR(__xludf.DUMMYFUNCTION("""COMPUTED_VALUE"""),24.0)</f>
        <v>24</v>
      </c>
      <c r="L2402">
        <f>IFERROR(__xludf.DUMMYFUNCTION("""COMPUTED_VALUE"""),1.0)</f>
        <v>1</v>
      </c>
      <c r="M2402">
        <f>IFERROR(__xludf.DUMMYFUNCTION("""COMPUTED_VALUE"""),25.0)</f>
        <v>25</v>
      </c>
      <c r="N2402" t="str">
        <f>IFERROR(__xludf.DUMMYFUNCTION("""COMPUTED_VALUE"""),"Model 3 SR+")</f>
        <v>Model 3 SR+</v>
      </c>
      <c r="O2402" t="str">
        <f>IFERROR(__xludf.DUMMYFUNCTION("""COMPUTED_VALUE"""),"Pearl White Multi-Coat")</f>
        <v>Pearl White Multi-Coat</v>
      </c>
      <c r="P2402" t="str">
        <f>IFERROR(__xludf.DUMMYFUNCTION("""COMPUTED_VALUE"""),"18 inch Aero")</f>
        <v>18 inch Aero</v>
      </c>
      <c r="Q2402" t="str">
        <f>IFERROR(__xludf.DUMMYFUNCTION("""COMPUTED_VALUE"""),"Black seats")</f>
        <v>Black seats</v>
      </c>
      <c r="R2402" t="str">
        <f>IFERROR(__xludf.DUMMYFUNCTION("""COMPUTED_VALUE"""),"Autopilot")</f>
        <v>Autopilot</v>
      </c>
      <c r="X2402" t="str">
        <f>IFERROR(__xludf.DUMMYFUNCTION("""COMPUTED_VALUE"""),"Excellent")</f>
        <v>Excellent</v>
      </c>
      <c r="Y2402" t="str">
        <f>IFERROR(__xludf.DUMMYFUNCTION("""COMPUTED_VALUE"""),"Excellent")</f>
        <v>Excellent</v>
      </c>
      <c r="Z2402" t="str">
        <f>IFERROR(__xludf.DUMMYFUNCTION("""COMPUTED_VALUE"""),"Excellent")</f>
        <v>Excellent</v>
      </c>
      <c r="AA2402" t="str">
        <f>IFERROR(__xludf.DUMMYFUNCTION("""COMPUTED_VALUE"""),"Excellent")</f>
        <v>Excellent</v>
      </c>
      <c r="AB2402" t="str">
        <f>IFERROR(__xludf.DUMMYFUNCTION("""COMPUTED_VALUE"""),"Excellent")</f>
        <v>Excellent</v>
      </c>
      <c r="AH2402" s="189">
        <f>IFERROR(__xludf.DUMMYFUNCTION("""COMPUTED_VALUE"""),43909.8718246875)</f>
        <v>43909.87182</v>
      </c>
    </row>
    <row r="2403">
      <c r="A2403" t="str">
        <f>IFERROR(__xludf.DUMMYFUNCTION("""COMPUTED_VALUE"""),"CantLetMyWifeKnow")</f>
        <v>CantLetMyWifeKnow</v>
      </c>
      <c r="B2403" t="str">
        <f>IFERROR(__xludf.DUMMYFUNCTION("""COMPUTED_VALUE"""),"Taipei, Taiwan.")</f>
        <v>Taipei, Taiwan.</v>
      </c>
      <c r="D2403" t="str">
        <f>IFERROR(__xludf.DUMMYFUNCTION("""COMPUTED_VALUE"""),"Other (include country together with city)")</f>
        <v>Other (include country together with city)</v>
      </c>
      <c r="E2403" s="188">
        <f>IFERROR(__xludf.DUMMYFUNCTION("""COMPUTED_VALUE"""),43858.0)</f>
        <v>43858</v>
      </c>
      <c r="F2403" s="188">
        <f>IFERROR(__xludf.DUMMYFUNCTION("""COMPUTED_VALUE"""),43866.0)</f>
        <v>43866</v>
      </c>
      <c r="H2403">
        <f>IFERROR(__xludf.DUMMYFUNCTION("""COMPUTED_VALUE"""),699275.0)</f>
        <v>699275</v>
      </c>
      <c r="I2403" t="str">
        <f>IFERROR(__xludf.DUMMYFUNCTION("""COMPUTED_VALUE"""),"01/20")</f>
        <v>01/20</v>
      </c>
      <c r="J2403" s="5">
        <f>IFERROR(__xludf.DUMMYFUNCTION("""COMPUTED_VALUE"""),43908.0)</f>
        <v>43908</v>
      </c>
      <c r="K2403">
        <f>IFERROR(__xludf.DUMMYFUNCTION("""COMPUTED_VALUE"""),8.0)</f>
        <v>8</v>
      </c>
      <c r="L2403">
        <f>IFERROR(__xludf.DUMMYFUNCTION("""COMPUTED_VALUE"""),42.0)</f>
        <v>42</v>
      </c>
      <c r="M2403">
        <f>IFERROR(__xludf.DUMMYFUNCTION("""COMPUTED_VALUE"""),50.0)</f>
        <v>50</v>
      </c>
      <c r="N2403" t="str">
        <f>IFERROR(__xludf.DUMMYFUNCTION("""COMPUTED_VALUE"""),"Model 3 LR")</f>
        <v>Model 3 LR</v>
      </c>
      <c r="O2403" t="str">
        <f>IFERROR(__xludf.DUMMYFUNCTION("""COMPUTED_VALUE"""),"Pearl White Multi-Coat")</f>
        <v>Pearl White Multi-Coat</v>
      </c>
      <c r="P2403" t="str">
        <f>IFERROR(__xludf.DUMMYFUNCTION("""COMPUTED_VALUE"""),"18 inch Aero")</f>
        <v>18 inch Aero</v>
      </c>
      <c r="Q2403" t="str">
        <f>IFERROR(__xludf.DUMMYFUNCTION("""COMPUTED_VALUE"""),"Black seats")</f>
        <v>Black seats</v>
      </c>
      <c r="R2403" t="str">
        <f>IFERROR(__xludf.DUMMYFUNCTION("""COMPUTED_VALUE"""),"Full Self-Driving")</f>
        <v>Full Self-Driving</v>
      </c>
      <c r="X2403" t="str">
        <f>IFERROR(__xludf.DUMMYFUNCTION("""COMPUTED_VALUE"""),"Very Good")</f>
        <v>Very Good</v>
      </c>
      <c r="Y2403" t="str">
        <f>IFERROR(__xludf.DUMMYFUNCTION("""COMPUTED_VALUE"""),"Excellent")</f>
        <v>Excellent</v>
      </c>
      <c r="Z2403" t="str">
        <f>IFERROR(__xludf.DUMMYFUNCTION("""COMPUTED_VALUE"""),"Excellent")</f>
        <v>Excellent</v>
      </c>
      <c r="AA2403" t="str">
        <f>IFERROR(__xludf.DUMMYFUNCTION("""COMPUTED_VALUE"""),"Excellent")</f>
        <v>Excellent</v>
      </c>
      <c r="AB2403" t="str">
        <f>IFERROR(__xludf.DUMMYFUNCTION("""COMPUTED_VALUE"""),"Excellent")</f>
        <v>Excellent</v>
      </c>
      <c r="AG2403" t="str">
        <f>IFERROR(__xludf.DUMMYFUNCTION("""COMPUTED_VALUE"""),"VIN appears in the source code of finalize webpage. Got contacted saying will be delivered in mid-Feb ~ March. Confirmed will deliver at 18th March Today (18 Feb)")</f>
        <v>VIN appears in the source code of finalize webpage. Got contacted saying will be delivered in mid-Feb ~ March. Confirmed will deliver at 18th March Today (18 Feb)</v>
      </c>
      <c r="AH2403" s="189">
        <f>IFERROR(__xludf.DUMMYFUNCTION("""COMPUTED_VALUE"""),43909.900836851855)</f>
        <v>43909.90084</v>
      </c>
    </row>
    <row r="2404">
      <c r="A2404" t="str">
        <f>IFERROR(__xludf.DUMMYFUNCTION("""COMPUTED_VALUE"""),"Garuda")</f>
        <v>Garuda</v>
      </c>
      <c r="B2404" t="str">
        <f>IFERROR(__xludf.DUMMYFUNCTION("""COMPUTED_VALUE"""),"Houston")</f>
        <v>Houston</v>
      </c>
      <c r="C2404" t="str">
        <f>IFERROR(__xludf.DUMMYFUNCTION("""COMPUTED_VALUE"""),"TX")</f>
        <v>TX</v>
      </c>
      <c r="D2404" t="str">
        <f>IFERROR(__xludf.DUMMYFUNCTION("""COMPUTED_VALUE"""),"USA")</f>
        <v>USA</v>
      </c>
      <c r="E2404" s="188">
        <f>IFERROR(__xludf.DUMMYFUNCTION("""COMPUTED_VALUE"""),43848.0)</f>
        <v>43848</v>
      </c>
      <c r="F2404" s="188">
        <f>IFERROR(__xludf.DUMMYFUNCTION("""COMPUTED_VALUE"""),43893.0)</f>
        <v>43893</v>
      </c>
      <c r="H2404">
        <f>IFERROR(__xludf.DUMMYFUNCTION("""COMPUTED_VALUE"""),668942.0)</f>
        <v>668942</v>
      </c>
      <c r="J2404" s="5">
        <f>IFERROR(__xludf.DUMMYFUNCTION("""COMPUTED_VALUE"""),43908.0)</f>
        <v>43908</v>
      </c>
      <c r="K2404">
        <f>IFERROR(__xludf.DUMMYFUNCTION("""COMPUTED_VALUE"""),45.0)</f>
        <v>45</v>
      </c>
      <c r="L2404">
        <f>IFERROR(__xludf.DUMMYFUNCTION("""COMPUTED_VALUE"""),15.0)</f>
        <v>15</v>
      </c>
      <c r="M2404">
        <f>IFERROR(__xludf.DUMMYFUNCTION("""COMPUTED_VALUE"""),60.0)</f>
        <v>60</v>
      </c>
      <c r="N2404" t="str">
        <f>IFERROR(__xludf.DUMMYFUNCTION("""COMPUTED_VALUE"""),"Model 3 LR AWD")</f>
        <v>Model 3 LR AWD</v>
      </c>
      <c r="O2404" t="str">
        <f>IFERROR(__xludf.DUMMYFUNCTION("""COMPUTED_VALUE"""),"Red Multi-Coat")</f>
        <v>Red Multi-Coat</v>
      </c>
      <c r="P2404" t="str">
        <f>IFERROR(__xludf.DUMMYFUNCTION("""COMPUTED_VALUE"""),"19 inch Sport")</f>
        <v>19 inch Sport</v>
      </c>
      <c r="Q2404" t="str">
        <f>IFERROR(__xludf.DUMMYFUNCTION("""COMPUTED_VALUE"""),"White seats")</f>
        <v>White seats</v>
      </c>
      <c r="R2404" t="str">
        <f>IFERROR(__xludf.DUMMYFUNCTION("""COMPUTED_VALUE"""),"Autopilot")</f>
        <v>Autopilot</v>
      </c>
      <c r="X2404" t="str">
        <f>IFERROR(__xludf.DUMMYFUNCTION("""COMPUTED_VALUE"""),"Excellent")</f>
        <v>Excellent</v>
      </c>
      <c r="Y2404" t="str">
        <f>IFERROR(__xludf.DUMMYFUNCTION("""COMPUTED_VALUE"""),"Excellent")</f>
        <v>Excellent</v>
      </c>
      <c r="Z2404" t="str">
        <f>IFERROR(__xludf.DUMMYFUNCTION("""COMPUTED_VALUE"""),"Excellent")</f>
        <v>Excellent</v>
      </c>
      <c r="AA2404" t="str">
        <f>IFERROR(__xludf.DUMMYFUNCTION("""COMPUTED_VALUE"""),"Excellent")</f>
        <v>Excellent</v>
      </c>
      <c r="AB2404" t="str">
        <f>IFERROR(__xludf.DUMMYFUNCTION("""COMPUTED_VALUE"""),"Excellent")</f>
        <v>Excellent</v>
      </c>
      <c r="AG2404" t="str">
        <f>IFERROR(__xludf.DUMMYFUNCTION("""COMPUTED_VALUE"""),"VIN in source and MVPA showed up together on 3/3")</f>
        <v>VIN in source and MVPA showed up together on 3/3</v>
      </c>
      <c r="AH2404" s="189">
        <f>IFERROR(__xludf.DUMMYFUNCTION("""COMPUTED_VALUE"""),43910.881116840275)</f>
        <v>43910.88112</v>
      </c>
    </row>
    <row r="2405">
      <c r="A2405" t="str">
        <f>IFERROR(__xludf.DUMMYFUNCTION("""COMPUTED_VALUE"""),"freethink")</f>
        <v>freethink</v>
      </c>
      <c r="B2405" t="str">
        <f>IFERROR(__xludf.DUMMYFUNCTION("""COMPUTED_VALUE"""),"Roseville, CA")</f>
        <v>Roseville, CA</v>
      </c>
      <c r="C2405" t="str">
        <f>IFERROR(__xludf.DUMMYFUNCTION("""COMPUTED_VALUE"""),"CA")</f>
        <v>CA</v>
      </c>
      <c r="D2405" t="str">
        <f>IFERROR(__xludf.DUMMYFUNCTION("""COMPUTED_VALUE"""),"USA")</f>
        <v>USA</v>
      </c>
      <c r="E2405" s="188">
        <f>IFERROR(__xludf.DUMMYFUNCTION("""COMPUTED_VALUE"""),43879.0)</f>
        <v>43879</v>
      </c>
      <c r="F2405" s="188">
        <f>IFERROR(__xludf.DUMMYFUNCTION("""COMPUTED_VALUE"""),43910.0)</f>
        <v>43910</v>
      </c>
      <c r="J2405" s="5">
        <f>IFERROR(__xludf.DUMMYFUNCTION("""COMPUTED_VALUE"""),43910.0)</f>
        <v>43910</v>
      </c>
      <c r="K2405">
        <f>IFERROR(__xludf.DUMMYFUNCTION("""COMPUTED_VALUE"""),31.0)</f>
        <v>31</v>
      </c>
      <c r="L2405">
        <f>IFERROR(__xludf.DUMMYFUNCTION("""COMPUTED_VALUE"""),0.0)</f>
        <v>0</v>
      </c>
      <c r="M2405">
        <f>IFERROR(__xludf.DUMMYFUNCTION("""COMPUTED_VALUE"""),31.0)</f>
        <v>31</v>
      </c>
      <c r="N2405" t="str">
        <f>IFERROR(__xludf.DUMMYFUNCTION("""COMPUTED_VALUE"""),"Model 3 LR AWD")</f>
        <v>Model 3 LR AWD</v>
      </c>
      <c r="O2405" t="str">
        <f>IFERROR(__xludf.DUMMYFUNCTION("""COMPUTED_VALUE"""),"Midnight Silver Metallic")</f>
        <v>Midnight Silver Metallic</v>
      </c>
      <c r="P2405" t="str">
        <f>IFERROR(__xludf.DUMMYFUNCTION("""COMPUTED_VALUE"""),"18 inch Aero")</f>
        <v>18 inch Aero</v>
      </c>
      <c r="Q2405" t="str">
        <f>IFERROR(__xludf.DUMMYFUNCTION("""COMPUTED_VALUE"""),"Black seats")</f>
        <v>Black seats</v>
      </c>
      <c r="R2405" t="str">
        <f>IFERROR(__xludf.DUMMYFUNCTION("""COMPUTED_VALUE"""),"Autopilot")</f>
        <v>Autopilot</v>
      </c>
      <c r="X2405" t="str">
        <f>IFERROR(__xludf.DUMMYFUNCTION("""COMPUTED_VALUE"""),"Excellent")</f>
        <v>Excellent</v>
      </c>
      <c r="Y2405" t="str">
        <f>IFERROR(__xludf.DUMMYFUNCTION("""COMPUTED_VALUE"""),"Excellent")</f>
        <v>Excellent</v>
      </c>
      <c r="Z2405" t="str">
        <f>IFERROR(__xludf.DUMMYFUNCTION("""COMPUTED_VALUE"""),"Excellent")</f>
        <v>Excellent</v>
      </c>
      <c r="AA2405" t="str">
        <f>IFERROR(__xludf.DUMMYFUNCTION("""COMPUTED_VALUE"""),"Excellent")</f>
        <v>Excellent</v>
      </c>
      <c r="AB2405" t="str">
        <f>IFERROR(__xludf.DUMMYFUNCTION("""COMPUTED_VALUE"""),"Excellent")</f>
        <v>Excellent</v>
      </c>
      <c r="AH2405" s="189">
        <f>IFERROR(__xludf.DUMMYFUNCTION("""COMPUTED_VALUE"""),43911.70218679398)</f>
        <v>43911.70219</v>
      </c>
    </row>
    <row r="2406">
      <c r="A2406" t="str">
        <f>IFERROR(__xludf.DUMMYFUNCTION("""COMPUTED_VALUE"""),"Fencer308")</f>
        <v>Fencer308</v>
      </c>
      <c r="B2406" t="str">
        <f>IFERROR(__xludf.DUMMYFUNCTION("""COMPUTED_VALUE"""),"Houston")</f>
        <v>Houston</v>
      </c>
      <c r="C2406" t="str">
        <f>IFERROR(__xludf.DUMMYFUNCTION("""COMPUTED_VALUE"""),"TX")</f>
        <v>TX</v>
      </c>
      <c r="D2406" t="str">
        <f>IFERROR(__xludf.DUMMYFUNCTION("""COMPUTED_VALUE"""),"USA")</f>
        <v>USA</v>
      </c>
      <c r="E2406" s="188">
        <f>IFERROR(__xludf.DUMMYFUNCTION("""COMPUTED_VALUE"""),43870.0)</f>
        <v>43870</v>
      </c>
      <c r="F2406" s="188">
        <f>IFERROR(__xludf.DUMMYFUNCTION("""COMPUTED_VALUE"""),43888.0)</f>
        <v>43888</v>
      </c>
      <c r="H2406">
        <f>IFERROR(__xludf.DUMMYFUNCTION("""COMPUTED_VALUE"""),637755.0)</f>
        <v>637755</v>
      </c>
      <c r="J2406" s="5">
        <f>IFERROR(__xludf.DUMMYFUNCTION("""COMPUTED_VALUE"""),43909.0)</f>
        <v>43909</v>
      </c>
      <c r="K2406">
        <f>IFERROR(__xludf.DUMMYFUNCTION("""COMPUTED_VALUE"""),18.0)</f>
        <v>18</v>
      </c>
      <c r="L2406">
        <f>IFERROR(__xludf.DUMMYFUNCTION("""COMPUTED_VALUE"""),21.0)</f>
        <v>21</v>
      </c>
      <c r="M2406">
        <f>IFERROR(__xludf.DUMMYFUNCTION("""COMPUTED_VALUE"""),39.0)</f>
        <v>39</v>
      </c>
      <c r="N2406" t="str">
        <f>IFERROR(__xludf.DUMMYFUNCTION("""COMPUTED_VALUE"""),"Model 3 LR AWD")</f>
        <v>Model 3 LR AWD</v>
      </c>
      <c r="O2406" t="str">
        <f>IFERROR(__xludf.DUMMYFUNCTION("""COMPUTED_VALUE"""),"Pearl White Multi-Coat")</f>
        <v>Pearl White Multi-Coat</v>
      </c>
      <c r="P2406" t="str">
        <f>IFERROR(__xludf.DUMMYFUNCTION("""COMPUTED_VALUE"""),"18 inch Aero")</f>
        <v>18 inch Aero</v>
      </c>
      <c r="Q2406" t="str">
        <f>IFERROR(__xludf.DUMMYFUNCTION("""COMPUTED_VALUE"""),"Black seats")</f>
        <v>Black seats</v>
      </c>
      <c r="R2406" t="str">
        <f>IFERROR(__xludf.DUMMYFUNCTION("""COMPUTED_VALUE"""),"Autopilot")</f>
        <v>Autopilot</v>
      </c>
      <c r="X2406" t="str">
        <f>IFERROR(__xludf.DUMMYFUNCTION("""COMPUTED_VALUE"""),"Very Good")</f>
        <v>Very Good</v>
      </c>
      <c r="Y2406" t="str">
        <f>IFERROR(__xludf.DUMMYFUNCTION("""COMPUTED_VALUE"""),"Excellent")</f>
        <v>Excellent</v>
      </c>
      <c r="Z2406" t="str">
        <f>IFERROR(__xludf.DUMMYFUNCTION("""COMPUTED_VALUE"""),"Excellent")</f>
        <v>Excellent</v>
      </c>
      <c r="AA2406" t="str">
        <f>IFERROR(__xludf.DUMMYFUNCTION("""COMPUTED_VALUE"""),"Good")</f>
        <v>Good</v>
      </c>
      <c r="AB2406" t="str">
        <f>IFERROR(__xludf.DUMMYFUNCTION("""COMPUTED_VALUE"""),"Excellent")</f>
        <v>Excellent</v>
      </c>
      <c r="AH2406" s="189">
        <f>IFERROR(__xludf.DUMMYFUNCTION("""COMPUTED_VALUE"""),43912.50193704861)</f>
        <v>43912.50194</v>
      </c>
    </row>
    <row r="2407">
      <c r="A2407" t="str">
        <f>IFERROR(__xludf.DUMMYFUNCTION("""COMPUTED_VALUE"""),"cdk5")</f>
        <v>cdk5</v>
      </c>
      <c r="B2407" t="str">
        <f>IFERROR(__xludf.DUMMYFUNCTION("""COMPUTED_VALUE"""),"Irvine")</f>
        <v>Irvine</v>
      </c>
      <c r="C2407" t="str">
        <f>IFERROR(__xludf.DUMMYFUNCTION("""COMPUTED_VALUE"""),"CA")</f>
        <v>CA</v>
      </c>
      <c r="D2407" t="str">
        <f>IFERROR(__xludf.DUMMYFUNCTION("""COMPUTED_VALUE"""),"USA")</f>
        <v>USA</v>
      </c>
      <c r="E2407" s="188">
        <f>IFERROR(__xludf.DUMMYFUNCTION("""COMPUTED_VALUE"""),43896.0)</f>
        <v>43896</v>
      </c>
      <c r="F2407" s="188">
        <f>IFERROR(__xludf.DUMMYFUNCTION("""COMPUTED_VALUE"""),43910.0)</f>
        <v>43910</v>
      </c>
      <c r="H2407">
        <f>IFERROR(__xludf.DUMMYFUNCTION("""COMPUTED_VALUE"""),705055.0)</f>
        <v>705055</v>
      </c>
      <c r="J2407" s="5">
        <f>IFERROR(__xludf.DUMMYFUNCTION("""COMPUTED_VALUE"""),43911.0)</f>
        <v>43911</v>
      </c>
      <c r="K2407">
        <f>IFERROR(__xludf.DUMMYFUNCTION("""COMPUTED_VALUE"""),14.0)</f>
        <v>14</v>
      </c>
      <c r="L2407">
        <f>IFERROR(__xludf.DUMMYFUNCTION("""COMPUTED_VALUE"""),1.0)</f>
        <v>1</v>
      </c>
      <c r="M2407">
        <f>IFERROR(__xludf.DUMMYFUNCTION("""COMPUTED_VALUE"""),15.0)</f>
        <v>15</v>
      </c>
      <c r="N2407" t="str">
        <f>IFERROR(__xludf.DUMMYFUNCTION("""COMPUTED_VALUE"""),"Model 3 SR+")</f>
        <v>Model 3 SR+</v>
      </c>
      <c r="O2407" t="str">
        <f>IFERROR(__xludf.DUMMYFUNCTION("""COMPUTED_VALUE"""),"Midnight Silver Metallic")</f>
        <v>Midnight Silver Metallic</v>
      </c>
      <c r="P2407" t="str">
        <f>IFERROR(__xludf.DUMMYFUNCTION("""COMPUTED_VALUE"""),"18 inch Aero")</f>
        <v>18 inch Aero</v>
      </c>
      <c r="Q2407" t="str">
        <f>IFERROR(__xludf.DUMMYFUNCTION("""COMPUTED_VALUE"""),"Black seats")</f>
        <v>Black seats</v>
      </c>
      <c r="R2407" t="str">
        <f>IFERROR(__xludf.DUMMYFUNCTION("""COMPUTED_VALUE"""),"Autopilot")</f>
        <v>Autopilot</v>
      </c>
      <c r="X2407" t="str">
        <f>IFERROR(__xludf.DUMMYFUNCTION("""COMPUTED_VALUE"""),"Excellent")</f>
        <v>Excellent</v>
      </c>
      <c r="Y2407" t="str">
        <f>IFERROR(__xludf.DUMMYFUNCTION("""COMPUTED_VALUE"""),"Excellent")</f>
        <v>Excellent</v>
      </c>
      <c r="Z2407" t="str">
        <f>IFERROR(__xludf.DUMMYFUNCTION("""COMPUTED_VALUE"""),"Excellent")</f>
        <v>Excellent</v>
      </c>
      <c r="AA2407" t="str">
        <f>IFERROR(__xludf.DUMMYFUNCTION("""COMPUTED_VALUE"""),"Very Good")</f>
        <v>Very Good</v>
      </c>
      <c r="AB2407" t="str">
        <f>IFERROR(__xludf.DUMMYFUNCTION("""COMPUTED_VALUE"""),"Good")</f>
        <v>Good</v>
      </c>
      <c r="AG2407" t="str">
        <f>IFERROR(__xludf.DUMMYFUNCTION("""COMPUTED_VALUE"""),"Switched to inventory car from custom order before 3/23 factory closure. Tesla ""drop"" delivery due to Covid-19, app did not update to allow me to unlock for several hours. Helpful roadside service was able to remote lock so that I could at least get the"&amp;" key cards and complete the paperwork (and DRIVE!)")</f>
        <v>Switched to inventory car from custom order before 3/23 factory closure. Tesla "drop" delivery due to Covid-19, app did not update to allow me to unlock for several hours. Helpful roadside service was able to remote lock so that I could at least get the key cards and complete the paperwork (and DRIVE!)</v>
      </c>
      <c r="AH2407" s="189">
        <f>IFERROR(__xludf.DUMMYFUNCTION("""COMPUTED_VALUE"""),43913.43031969907)</f>
        <v>43913.43032</v>
      </c>
    </row>
    <row r="2408">
      <c r="A2408" t="str">
        <f>IFERROR(__xludf.DUMMYFUNCTION("""COMPUTED_VALUE"""),"scottee28")</f>
        <v>scottee28</v>
      </c>
      <c r="B2408" t="str">
        <f>IFERROR(__xludf.DUMMYFUNCTION("""COMPUTED_VALUE"""),"Midway City")</f>
        <v>Midway City</v>
      </c>
      <c r="C2408" t="str">
        <f>IFERROR(__xludf.DUMMYFUNCTION("""COMPUTED_VALUE"""),"CA")</f>
        <v>CA</v>
      </c>
      <c r="D2408" t="str">
        <f>IFERROR(__xludf.DUMMYFUNCTION("""COMPUTED_VALUE"""),"USA")</f>
        <v>USA</v>
      </c>
      <c r="E2408" s="188">
        <f>IFERROR(__xludf.DUMMYFUNCTION("""COMPUTED_VALUE"""),43862.0)</f>
        <v>43862</v>
      </c>
      <c r="F2408" s="188">
        <f>IFERROR(__xludf.DUMMYFUNCTION("""COMPUTED_VALUE"""),43910.0)</f>
        <v>43910</v>
      </c>
      <c r="I2408" t="str">
        <f>IFERROR(__xludf.DUMMYFUNCTION("""COMPUTED_VALUE"""),"03/20")</f>
        <v>03/20</v>
      </c>
      <c r="J2408" s="5">
        <f>IFERROR(__xludf.DUMMYFUNCTION("""COMPUTED_VALUE"""),43912.0)</f>
        <v>43912</v>
      </c>
      <c r="K2408">
        <f>IFERROR(__xludf.DUMMYFUNCTION("""COMPUTED_VALUE"""),48.0)</f>
        <v>48</v>
      </c>
      <c r="L2408">
        <f>IFERROR(__xludf.DUMMYFUNCTION("""COMPUTED_VALUE"""),2.0)</f>
        <v>2</v>
      </c>
      <c r="M2408">
        <f>IFERROR(__xludf.DUMMYFUNCTION("""COMPUTED_VALUE"""),50.0)</f>
        <v>50</v>
      </c>
      <c r="N2408" t="str">
        <f>IFERROR(__xludf.DUMMYFUNCTION("""COMPUTED_VALUE"""),"Model 3 LR AWD")</f>
        <v>Model 3 LR AWD</v>
      </c>
      <c r="O2408" t="str">
        <f>IFERROR(__xludf.DUMMYFUNCTION("""COMPUTED_VALUE"""),"Red Multi-Coat")</f>
        <v>Red Multi-Coat</v>
      </c>
      <c r="P2408" t="str">
        <f>IFERROR(__xludf.DUMMYFUNCTION("""COMPUTED_VALUE"""),"19 inch Sport")</f>
        <v>19 inch Sport</v>
      </c>
      <c r="Q2408" t="str">
        <f>IFERROR(__xludf.DUMMYFUNCTION("""COMPUTED_VALUE"""),"White seats")</f>
        <v>White seats</v>
      </c>
      <c r="R2408" t="str">
        <f>IFERROR(__xludf.DUMMYFUNCTION("""COMPUTED_VALUE"""),"Full Self-Driving")</f>
        <v>Full Self-Driving</v>
      </c>
      <c r="X2408" t="str">
        <f>IFERROR(__xludf.DUMMYFUNCTION("""COMPUTED_VALUE"""),"Good")</f>
        <v>Good</v>
      </c>
      <c r="Y2408" t="str">
        <f>IFERROR(__xludf.DUMMYFUNCTION("""COMPUTED_VALUE"""),"Fair")</f>
        <v>Fair</v>
      </c>
      <c r="Z2408" t="str">
        <f>IFERROR(__xludf.DUMMYFUNCTION("""COMPUTED_VALUE"""),"Fair")</f>
        <v>Fair</v>
      </c>
      <c r="AA2408" t="str">
        <f>IFERROR(__xludf.DUMMYFUNCTION("""COMPUTED_VALUE"""),"Fair")</f>
        <v>Fair</v>
      </c>
      <c r="AB2408" t="str">
        <f>IFERROR(__xludf.DUMMYFUNCTION("""COMPUTED_VALUE"""),"Good")</f>
        <v>Good</v>
      </c>
      <c r="AC2408">
        <f>IFERROR(__xludf.DUMMYFUNCTION("""COMPUTED_VALUE"""),4.0)</f>
        <v>4</v>
      </c>
      <c r="AD2408">
        <f>IFERROR(__xludf.DUMMYFUNCTION("""COMPUTED_VALUE"""),1.0)</f>
        <v>1</v>
      </c>
      <c r="AG2408" t="str">
        <f>IFERROR(__xludf.DUMMYFUNCTION("""COMPUTED_VALUE"""),"Red Paint Upgrade had two paint chips on hood, White Dash Trim on Dash is damaged, Dealer Prep was bad, White Seats had marks, Black plastics were not wiped down")</f>
        <v>Red Paint Upgrade had two paint chips on hood, White Dash Trim on Dash is damaged, Dealer Prep was bad, White Seats had marks, Black plastics were not wiped down</v>
      </c>
      <c r="AH2408" s="189">
        <f>IFERROR(__xludf.DUMMYFUNCTION("""COMPUTED_VALUE"""),43913.43626253473)</f>
        <v>43913.43626</v>
      </c>
    </row>
    <row r="2409">
      <c r="A2409" t="str">
        <f>IFERROR(__xludf.DUMMYFUNCTION("""COMPUTED_VALUE"""),"IceBreakerG")</f>
        <v>IceBreakerG</v>
      </c>
      <c r="B2409" t="str">
        <f>IFERROR(__xludf.DUMMYFUNCTION("""COMPUTED_VALUE"""),"Memphis")</f>
        <v>Memphis</v>
      </c>
      <c r="C2409" t="str">
        <f>IFERROR(__xludf.DUMMYFUNCTION("""COMPUTED_VALUE"""),"TN")</f>
        <v>TN</v>
      </c>
      <c r="D2409" t="str">
        <f>IFERROR(__xludf.DUMMYFUNCTION("""COMPUTED_VALUE"""),"USA")</f>
        <v>USA</v>
      </c>
      <c r="E2409" s="188">
        <f>IFERROR(__xludf.DUMMYFUNCTION("""COMPUTED_VALUE"""),43853.0)</f>
        <v>43853</v>
      </c>
      <c r="F2409" s="188">
        <f>IFERROR(__xludf.DUMMYFUNCTION("""COMPUTED_VALUE"""),43900.0)</f>
        <v>43900</v>
      </c>
      <c r="H2409" s="4">
        <f>IFERROR(__xludf.DUMMYFUNCTION("""COMPUTED_VALUE"""),641833.0)</f>
        <v>641833</v>
      </c>
      <c r="I2409" t="str">
        <f>IFERROR(__xludf.DUMMYFUNCTION("""COMPUTED_VALUE"""),"03/20")</f>
        <v>03/20</v>
      </c>
      <c r="J2409" s="5">
        <f>IFERROR(__xludf.DUMMYFUNCTION("""COMPUTED_VALUE"""),43911.0)</f>
        <v>43911</v>
      </c>
      <c r="K2409">
        <f>IFERROR(__xludf.DUMMYFUNCTION("""COMPUTED_VALUE"""),47.0)</f>
        <v>47</v>
      </c>
      <c r="L2409">
        <f>IFERROR(__xludf.DUMMYFUNCTION("""COMPUTED_VALUE"""),11.0)</f>
        <v>11</v>
      </c>
      <c r="M2409">
        <f>IFERROR(__xludf.DUMMYFUNCTION("""COMPUTED_VALUE"""),58.0)</f>
        <v>58</v>
      </c>
      <c r="N2409" t="str">
        <f>IFERROR(__xludf.DUMMYFUNCTION("""COMPUTED_VALUE"""),"Model 3 Performance")</f>
        <v>Model 3 Performance</v>
      </c>
      <c r="O2409" t="str">
        <f>IFERROR(__xludf.DUMMYFUNCTION("""COMPUTED_VALUE"""),"Red Multi-Coat")</f>
        <v>Red Multi-Coat</v>
      </c>
      <c r="P2409" t="str">
        <f>IFERROR(__xludf.DUMMYFUNCTION("""COMPUTED_VALUE"""),"20 inch Sport")</f>
        <v>20 inch Sport</v>
      </c>
      <c r="Q2409" t="str">
        <f>IFERROR(__xludf.DUMMYFUNCTION("""COMPUTED_VALUE"""),"White seats")</f>
        <v>White seats</v>
      </c>
      <c r="R2409" t="str">
        <f>IFERROR(__xludf.DUMMYFUNCTION("""COMPUTED_VALUE"""),"Autopilot")</f>
        <v>Autopilot</v>
      </c>
      <c r="X2409" t="str">
        <f>IFERROR(__xludf.DUMMYFUNCTION("""COMPUTED_VALUE"""),"Very Good")</f>
        <v>Very Good</v>
      </c>
      <c r="Y2409" t="str">
        <f>IFERROR(__xludf.DUMMYFUNCTION("""COMPUTED_VALUE"""),"Excellent")</f>
        <v>Excellent</v>
      </c>
      <c r="Z2409" t="str">
        <f>IFERROR(__xludf.DUMMYFUNCTION("""COMPUTED_VALUE"""),"Very Good")</f>
        <v>Very Good</v>
      </c>
      <c r="AA2409" t="str">
        <f>IFERROR(__xludf.DUMMYFUNCTION("""COMPUTED_VALUE"""),"Good")</f>
        <v>Good</v>
      </c>
      <c r="AB2409" t="str">
        <f>IFERROR(__xludf.DUMMYFUNCTION("""COMPUTED_VALUE"""),"Very Good")</f>
        <v>Very Good</v>
      </c>
      <c r="AC2409">
        <f>IFERROR(__xludf.DUMMYFUNCTION("""COMPUTED_VALUE"""),2.0)</f>
        <v>2</v>
      </c>
      <c r="AD2409">
        <f>IFERROR(__xludf.DUMMYFUNCTION("""COMPUTED_VALUE"""),1.0)</f>
        <v>1</v>
      </c>
      <c r="AE2409">
        <f>IFERROR(__xludf.DUMMYFUNCTION("""COMPUTED_VALUE"""),0.0)</f>
        <v>0</v>
      </c>
      <c r="AG2409" t="str">
        <f>IFERROR(__xludf.DUMMYFUNCTION("""COMPUTED_VALUE"""),"2/13/2020 - Delivery timing update is 3-6 weeks, 2/24/2020, Delivery timing update is 4-6 weeks, 3/10/2020 received VIN, 3/12/2020 was able to schedule delivery")</f>
        <v>2/13/2020 - Delivery timing update is 3-6 weeks, 2/24/2020, Delivery timing update is 4-6 weeks, 3/10/2020 received VIN, 3/12/2020 was able to schedule delivery</v>
      </c>
      <c r="AH2409" s="189">
        <f>IFERROR(__xludf.DUMMYFUNCTION("""COMPUTED_VALUE"""),43913.52237229167)</f>
        <v>43913.52237</v>
      </c>
    </row>
    <row r="2410">
      <c r="A2410" t="str">
        <f>IFERROR(__xludf.DUMMYFUNCTION("""COMPUTED_VALUE"""),"Tremaine")</f>
        <v>Tremaine</v>
      </c>
      <c r="B2410" t="str">
        <f>IFERROR(__xludf.DUMMYFUNCTION("""COMPUTED_VALUE"""),"Novato")</f>
        <v>Novato</v>
      </c>
      <c r="C2410" t="str">
        <f>IFERROR(__xludf.DUMMYFUNCTION("""COMPUTED_VALUE"""),"CA")</f>
        <v>CA</v>
      </c>
      <c r="D2410" t="str">
        <f>IFERROR(__xludf.DUMMYFUNCTION("""COMPUTED_VALUE"""),"USA")</f>
        <v>USA</v>
      </c>
      <c r="E2410" s="188">
        <f>IFERROR(__xludf.DUMMYFUNCTION("""COMPUTED_VALUE"""),43877.0)</f>
        <v>43877</v>
      </c>
      <c r="F2410" s="188">
        <f>IFERROR(__xludf.DUMMYFUNCTION("""COMPUTED_VALUE"""),43911.0)</f>
        <v>43911</v>
      </c>
      <c r="H2410">
        <f>IFERROR(__xludf.DUMMYFUNCTION("""COMPUTED_VALUE"""),661179.0)</f>
        <v>661179</v>
      </c>
      <c r="I2410" t="str">
        <f>IFERROR(__xludf.DUMMYFUNCTION("""COMPUTED_VALUE"""),"03/20")</f>
        <v>03/20</v>
      </c>
      <c r="J2410" s="5">
        <f>IFERROR(__xludf.DUMMYFUNCTION("""COMPUTED_VALUE"""),43912.0)</f>
        <v>43912</v>
      </c>
      <c r="K2410">
        <f>IFERROR(__xludf.DUMMYFUNCTION("""COMPUTED_VALUE"""),34.0)</f>
        <v>34</v>
      </c>
      <c r="L2410">
        <f>IFERROR(__xludf.DUMMYFUNCTION("""COMPUTED_VALUE"""),1.0)</f>
        <v>1</v>
      </c>
      <c r="M2410">
        <f>IFERROR(__xludf.DUMMYFUNCTION("""COMPUTED_VALUE"""),35.0)</f>
        <v>35</v>
      </c>
      <c r="N2410" t="str">
        <f>IFERROR(__xludf.DUMMYFUNCTION("""COMPUTED_VALUE"""),"Model 3 SR+")</f>
        <v>Model 3 SR+</v>
      </c>
      <c r="O2410" t="str">
        <f>IFERROR(__xludf.DUMMYFUNCTION("""COMPUTED_VALUE"""),"Midnight Silver Metallic")</f>
        <v>Midnight Silver Metallic</v>
      </c>
      <c r="P2410" t="str">
        <f>IFERROR(__xludf.DUMMYFUNCTION("""COMPUTED_VALUE"""),"19 inch Sport")</f>
        <v>19 inch Sport</v>
      </c>
      <c r="Q2410" t="str">
        <f>IFERROR(__xludf.DUMMYFUNCTION("""COMPUTED_VALUE"""),"Black seats")</f>
        <v>Black seats</v>
      </c>
      <c r="R2410" t="str">
        <f>IFERROR(__xludf.DUMMYFUNCTION("""COMPUTED_VALUE"""),"Autopilot")</f>
        <v>Autopilot</v>
      </c>
      <c r="X2410" t="str">
        <f>IFERROR(__xludf.DUMMYFUNCTION("""COMPUTED_VALUE"""),"Good")</f>
        <v>Good</v>
      </c>
      <c r="Y2410" t="str">
        <f>IFERROR(__xludf.DUMMYFUNCTION("""COMPUTED_VALUE"""),"Very Good")</f>
        <v>Very Good</v>
      </c>
      <c r="Z2410" t="str">
        <f>IFERROR(__xludf.DUMMYFUNCTION("""COMPUTED_VALUE"""),"Very Good")</f>
        <v>Very Good</v>
      </c>
      <c r="AA2410" t="str">
        <f>IFERROR(__xludf.DUMMYFUNCTION("""COMPUTED_VALUE"""),"Excellent")</f>
        <v>Excellent</v>
      </c>
      <c r="AB2410" t="str">
        <f>IFERROR(__xludf.DUMMYFUNCTION("""COMPUTED_VALUE"""),"Excellent")</f>
        <v>Excellent</v>
      </c>
      <c r="AC2410">
        <f>IFERROR(__xludf.DUMMYFUNCTION("""COMPUTED_VALUE"""),2.0)</f>
        <v>2</v>
      </c>
      <c r="AG2410" t="str">
        <f>IFERROR(__xludf.DUMMYFUNCTION("""COMPUTED_VALUE"""),"Text 2/24 - 2 to 6 weeks, text 3/9 - 1 to 2 weeks")</f>
        <v>Text 2/24 - 2 to 6 weeks, text 3/9 - 1 to 2 weeks</v>
      </c>
      <c r="AH2410" s="189">
        <f>IFERROR(__xludf.DUMMYFUNCTION("""COMPUTED_VALUE"""),43913.667095717596)</f>
        <v>43913.6671</v>
      </c>
    </row>
    <row r="2411">
      <c r="A2411" t="str">
        <f>IFERROR(__xludf.DUMMYFUNCTION("""COMPUTED_VALUE"""),"Charlos214")</f>
        <v>Charlos214</v>
      </c>
      <c r="B2411" t="str">
        <f>IFERROR(__xludf.DUMMYFUNCTION("""COMPUTED_VALUE"""),"Dallas")</f>
        <v>Dallas</v>
      </c>
      <c r="C2411" t="str">
        <f>IFERROR(__xludf.DUMMYFUNCTION("""COMPUTED_VALUE"""),"TX")</f>
        <v>TX</v>
      </c>
      <c r="D2411" t="str">
        <f>IFERROR(__xludf.DUMMYFUNCTION("""COMPUTED_VALUE"""),"USA")</f>
        <v>USA</v>
      </c>
      <c r="E2411" s="188">
        <f>IFERROR(__xludf.DUMMYFUNCTION("""COMPUTED_VALUE"""),43832.0)</f>
        <v>43832</v>
      </c>
      <c r="F2411" s="188">
        <f>IFERROR(__xludf.DUMMYFUNCTION("""COMPUTED_VALUE"""),43900.0)</f>
        <v>43900</v>
      </c>
      <c r="H2411">
        <f>IFERROR(__xludf.DUMMYFUNCTION("""COMPUTED_VALUE"""),713126.0)</f>
        <v>713126</v>
      </c>
      <c r="J2411" s="5">
        <f>IFERROR(__xludf.DUMMYFUNCTION("""COMPUTED_VALUE"""),43916.0)</f>
        <v>43916</v>
      </c>
      <c r="K2411">
        <f>IFERROR(__xludf.DUMMYFUNCTION("""COMPUTED_VALUE"""),68.0)</f>
        <v>68</v>
      </c>
      <c r="L2411">
        <f>IFERROR(__xludf.DUMMYFUNCTION("""COMPUTED_VALUE"""),16.0)</f>
        <v>16</v>
      </c>
      <c r="M2411">
        <f>IFERROR(__xludf.DUMMYFUNCTION("""COMPUTED_VALUE"""),84.0)</f>
        <v>84</v>
      </c>
      <c r="N2411" t="str">
        <f>IFERROR(__xludf.DUMMYFUNCTION("""COMPUTED_VALUE"""),"Model 3 Performance")</f>
        <v>Model 3 Performance</v>
      </c>
      <c r="O2411" t="str">
        <f>IFERROR(__xludf.DUMMYFUNCTION("""COMPUTED_VALUE"""),"Solid Black")</f>
        <v>Solid Black</v>
      </c>
      <c r="P2411" t="str">
        <f>IFERROR(__xludf.DUMMYFUNCTION("""COMPUTED_VALUE"""),"20 inch Sport")</f>
        <v>20 inch Sport</v>
      </c>
      <c r="Q2411" t="str">
        <f>IFERROR(__xludf.DUMMYFUNCTION("""COMPUTED_VALUE"""),"Black seats")</f>
        <v>Black seats</v>
      </c>
      <c r="R2411" t="str">
        <f>IFERROR(__xludf.DUMMYFUNCTION("""COMPUTED_VALUE"""),"Autopilot")</f>
        <v>Autopilot</v>
      </c>
      <c r="X2411" t="str">
        <f>IFERROR(__xludf.DUMMYFUNCTION("""COMPUTED_VALUE"""),"Excellent")</f>
        <v>Excellent</v>
      </c>
      <c r="Y2411" t="str">
        <f>IFERROR(__xludf.DUMMYFUNCTION("""COMPUTED_VALUE"""),"Excellent")</f>
        <v>Excellent</v>
      </c>
      <c r="Z2411" t="str">
        <f>IFERROR(__xludf.DUMMYFUNCTION("""COMPUTED_VALUE"""),"Excellent")</f>
        <v>Excellent</v>
      </c>
      <c r="AA2411" t="str">
        <f>IFERROR(__xludf.DUMMYFUNCTION("""COMPUTED_VALUE"""),"Excellent")</f>
        <v>Excellent</v>
      </c>
      <c r="AB2411" t="str">
        <f>IFERROR(__xludf.DUMMYFUNCTION("""COMPUTED_VALUE"""),"Excellent")</f>
        <v>Excellent</v>
      </c>
      <c r="AH2411" s="189">
        <f>IFERROR(__xludf.DUMMYFUNCTION("""COMPUTED_VALUE"""),43915.75590045139)</f>
        <v>43915.7559</v>
      </c>
    </row>
    <row r="2412">
      <c r="A2412" t="str">
        <f>IFERROR(__xludf.DUMMYFUNCTION("""COMPUTED_VALUE"""),"adamy80")</f>
        <v>adamy80</v>
      </c>
      <c r="B2412" t="str">
        <f>IFERROR(__xludf.DUMMYFUNCTION("""COMPUTED_VALUE"""),"Indianapolis")</f>
        <v>Indianapolis</v>
      </c>
      <c r="C2412" t="str">
        <f>IFERROR(__xludf.DUMMYFUNCTION("""COMPUTED_VALUE"""),"IN")</f>
        <v>IN</v>
      </c>
      <c r="D2412" t="str">
        <f>IFERROR(__xludf.DUMMYFUNCTION("""COMPUTED_VALUE"""),"USA")</f>
        <v>USA</v>
      </c>
      <c r="E2412" s="188">
        <f>IFERROR(__xludf.DUMMYFUNCTION("""COMPUTED_VALUE"""),43855.0)</f>
        <v>43855</v>
      </c>
      <c r="F2412" s="188">
        <f>IFERROR(__xludf.DUMMYFUNCTION("""COMPUTED_VALUE"""),43897.0)</f>
        <v>43897</v>
      </c>
      <c r="H2412" s="4">
        <f>IFERROR(__xludf.DUMMYFUNCTION("""COMPUTED_VALUE"""),713044.0)</f>
        <v>713044</v>
      </c>
      <c r="I2412" t="str">
        <f>IFERROR(__xludf.DUMMYFUNCTION("""COMPUTED_VALUE"""),"03/20")</f>
        <v>03/20</v>
      </c>
      <c r="J2412" s="5">
        <f>IFERROR(__xludf.DUMMYFUNCTION("""COMPUTED_VALUE"""),43915.0)</f>
        <v>43915</v>
      </c>
      <c r="K2412">
        <f>IFERROR(__xludf.DUMMYFUNCTION("""COMPUTED_VALUE"""),42.0)</f>
        <v>42</v>
      </c>
      <c r="L2412">
        <f>IFERROR(__xludf.DUMMYFUNCTION("""COMPUTED_VALUE"""),18.0)</f>
        <v>18</v>
      </c>
      <c r="M2412">
        <f>IFERROR(__xludf.DUMMYFUNCTION("""COMPUTED_VALUE"""),60.0)</f>
        <v>60</v>
      </c>
      <c r="N2412" t="str">
        <f>IFERROR(__xludf.DUMMYFUNCTION("""COMPUTED_VALUE"""),"Model 3 Performance")</f>
        <v>Model 3 Performance</v>
      </c>
      <c r="O2412" t="str">
        <f>IFERROR(__xludf.DUMMYFUNCTION("""COMPUTED_VALUE"""),"Solid Black")</f>
        <v>Solid Black</v>
      </c>
      <c r="P2412" t="str">
        <f>IFERROR(__xludf.DUMMYFUNCTION("""COMPUTED_VALUE"""),"20 inch Sport")</f>
        <v>20 inch Sport</v>
      </c>
      <c r="Q2412" t="str">
        <f>IFERROR(__xludf.DUMMYFUNCTION("""COMPUTED_VALUE"""),"Black seats")</f>
        <v>Black seats</v>
      </c>
      <c r="R2412" t="str">
        <f>IFERROR(__xludf.DUMMYFUNCTION("""COMPUTED_VALUE"""),"Autopilot")</f>
        <v>Autopilot</v>
      </c>
      <c r="X2412" t="str">
        <f>IFERROR(__xludf.DUMMYFUNCTION("""COMPUTED_VALUE"""),"Excellent")</f>
        <v>Excellent</v>
      </c>
      <c r="Y2412" t="str">
        <f>IFERROR(__xludf.DUMMYFUNCTION("""COMPUTED_VALUE"""),"Excellent")</f>
        <v>Excellent</v>
      </c>
      <c r="Z2412" t="str">
        <f>IFERROR(__xludf.DUMMYFUNCTION("""COMPUTED_VALUE"""),"Very Good")</f>
        <v>Very Good</v>
      </c>
      <c r="AA2412" t="str">
        <f>IFERROR(__xludf.DUMMYFUNCTION("""COMPUTED_VALUE"""),"Excellent")</f>
        <v>Excellent</v>
      </c>
      <c r="AB2412" t="str">
        <f>IFERROR(__xludf.DUMMYFUNCTION("""COMPUTED_VALUE"""),"Excellent")</f>
        <v>Excellent</v>
      </c>
      <c r="AC2412">
        <f>IFERROR(__xludf.DUMMYFUNCTION("""COMPUTED_VALUE"""),1.0)</f>
        <v>1</v>
      </c>
      <c r="AD2412">
        <f>IFERROR(__xludf.DUMMYFUNCTION("""COMPUTED_VALUE"""),1.0)</f>
        <v>1</v>
      </c>
      <c r="AH2412" s="189">
        <f>IFERROR(__xludf.DUMMYFUNCTION("""COMPUTED_VALUE"""),43915.85976015046)</f>
        <v>43915.85976</v>
      </c>
    </row>
    <row r="2413">
      <c r="A2413" t="str">
        <f>IFERROR(__xludf.DUMMYFUNCTION("""COMPUTED_VALUE"""),"6Times")</f>
        <v>6Times</v>
      </c>
      <c r="B2413" t="str">
        <f>IFERROR(__xludf.DUMMYFUNCTION("""COMPUTED_VALUE"""),"Houston")</f>
        <v>Houston</v>
      </c>
      <c r="C2413" t="str">
        <f>IFERROR(__xludf.DUMMYFUNCTION("""COMPUTED_VALUE"""),"TX")</f>
        <v>TX</v>
      </c>
      <c r="D2413" t="str">
        <f>IFERROR(__xludf.DUMMYFUNCTION("""COMPUTED_VALUE"""),"USA")</f>
        <v>USA</v>
      </c>
      <c r="E2413" s="188">
        <f>IFERROR(__xludf.DUMMYFUNCTION("""COMPUTED_VALUE"""),43882.0)</f>
        <v>43882</v>
      </c>
      <c r="F2413" s="188">
        <f>IFERROR(__xludf.DUMMYFUNCTION("""COMPUTED_VALUE"""),43887.0)</f>
        <v>43887</v>
      </c>
      <c r="H2413">
        <f>IFERROR(__xludf.DUMMYFUNCTION("""COMPUTED_VALUE"""),650055.0)</f>
        <v>650055</v>
      </c>
      <c r="J2413" s="5">
        <f>IFERROR(__xludf.DUMMYFUNCTION("""COMPUTED_VALUE"""),43911.0)</f>
        <v>43911</v>
      </c>
      <c r="K2413">
        <f>IFERROR(__xludf.DUMMYFUNCTION("""COMPUTED_VALUE"""),5.0)</f>
        <v>5</v>
      </c>
      <c r="L2413">
        <f>IFERROR(__xludf.DUMMYFUNCTION("""COMPUTED_VALUE"""),24.0)</f>
        <v>24</v>
      </c>
      <c r="M2413">
        <f>IFERROR(__xludf.DUMMYFUNCTION("""COMPUTED_VALUE"""),29.0)</f>
        <v>29</v>
      </c>
      <c r="N2413" t="str">
        <f>IFERROR(__xludf.DUMMYFUNCTION("""COMPUTED_VALUE"""),"Model 3 LR AWD")</f>
        <v>Model 3 LR AWD</v>
      </c>
      <c r="O2413" t="str">
        <f>IFERROR(__xludf.DUMMYFUNCTION("""COMPUTED_VALUE"""),"Deep Blue Metallic")</f>
        <v>Deep Blue Metallic</v>
      </c>
      <c r="P2413" t="str">
        <f>IFERROR(__xludf.DUMMYFUNCTION("""COMPUTED_VALUE"""),"18 inch Aero")</f>
        <v>18 inch Aero</v>
      </c>
      <c r="Q2413" t="str">
        <f>IFERROR(__xludf.DUMMYFUNCTION("""COMPUTED_VALUE"""),"Black seats")</f>
        <v>Black seats</v>
      </c>
      <c r="R2413" t="str">
        <f>IFERROR(__xludf.DUMMYFUNCTION("""COMPUTED_VALUE"""),"Autopilot")</f>
        <v>Autopilot</v>
      </c>
      <c r="X2413" t="str">
        <f>IFERROR(__xludf.DUMMYFUNCTION("""COMPUTED_VALUE"""),"Excellent")</f>
        <v>Excellent</v>
      </c>
      <c r="Y2413" t="str">
        <f>IFERROR(__xludf.DUMMYFUNCTION("""COMPUTED_VALUE"""),"Excellent")</f>
        <v>Excellent</v>
      </c>
      <c r="Z2413" t="str">
        <f>IFERROR(__xludf.DUMMYFUNCTION("""COMPUTED_VALUE"""),"Excellent")</f>
        <v>Excellent</v>
      </c>
      <c r="AA2413" t="str">
        <f>IFERROR(__xludf.DUMMYFUNCTION("""COMPUTED_VALUE"""),"Excellent")</f>
        <v>Excellent</v>
      </c>
      <c r="AB2413" t="str">
        <f>IFERROR(__xludf.DUMMYFUNCTION("""COMPUTED_VALUE"""),"Excellent")</f>
        <v>Excellent</v>
      </c>
      <c r="AC2413">
        <f>IFERROR(__xludf.DUMMYFUNCTION("""COMPUTED_VALUE"""),0.0)</f>
        <v>0</v>
      </c>
      <c r="AH2413" s="189">
        <f>IFERROR(__xludf.DUMMYFUNCTION("""COMPUTED_VALUE"""),43916.307103125)</f>
        <v>43916.3071</v>
      </c>
    </row>
    <row r="2414">
      <c r="A2414" t="str">
        <f>IFERROR(__xludf.DUMMYFUNCTION("""COMPUTED_VALUE"""),"BIGKIDZFUN")</f>
        <v>BIGKIDZFUN</v>
      </c>
      <c r="B2414" t="str">
        <f>IFERROR(__xludf.DUMMYFUNCTION("""COMPUTED_VALUE"""),"Litchfield Park")</f>
        <v>Litchfield Park</v>
      </c>
      <c r="C2414" t="str">
        <f>IFERROR(__xludf.DUMMYFUNCTION("""COMPUTED_VALUE"""),"AZ")</f>
        <v>AZ</v>
      </c>
      <c r="D2414" t="str">
        <f>IFERROR(__xludf.DUMMYFUNCTION("""COMPUTED_VALUE"""),"USA")</f>
        <v>USA</v>
      </c>
      <c r="E2414" s="188">
        <f>IFERROR(__xludf.DUMMYFUNCTION("""COMPUTED_VALUE"""),43888.0)</f>
        <v>43888</v>
      </c>
      <c r="F2414" s="188">
        <f>IFERROR(__xludf.DUMMYFUNCTION("""COMPUTED_VALUE"""),43906.0)</f>
        <v>43906</v>
      </c>
      <c r="H2414">
        <f>IFERROR(__xludf.DUMMYFUNCTION("""COMPUTED_VALUE"""),713655.0)</f>
        <v>713655</v>
      </c>
      <c r="I2414" t="str">
        <f>IFERROR(__xludf.DUMMYFUNCTION("""COMPUTED_VALUE"""),"03/20")</f>
        <v>03/20</v>
      </c>
      <c r="J2414" s="5">
        <f>IFERROR(__xludf.DUMMYFUNCTION("""COMPUTED_VALUE"""),43911.0)</f>
        <v>43911</v>
      </c>
      <c r="K2414">
        <f>IFERROR(__xludf.DUMMYFUNCTION("""COMPUTED_VALUE"""),18.0)</f>
        <v>18</v>
      </c>
      <c r="L2414">
        <f>IFERROR(__xludf.DUMMYFUNCTION("""COMPUTED_VALUE"""),5.0)</f>
        <v>5</v>
      </c>
      <c r="M2414">
        <f>IFERROR(__xludf.DUMMYFUNCTION("""COMPUTED_VALUE"""),23.0)</f>
        <v>23</v>
      </c>
      <c r="N2414" t="str">
        <f>IFERROR(__xludf.DUMMYFUNCTION("""COMPUTED_VALUE"""),"Model 3 Performance")</f>
        <v>Model 3 Performance</v>
      </c>
      <c r="O2414" t="str">
        <f>IFERROR(__xludf.DUMMYFUNCTION("""COMPUTED_VALUE"""),"Midnight Silver Metallic")</f>
        <v>Midnight Silver Metallic</v>
      </c>
      <c r="P2414" t="str">
        <f>IFERROR(__xludf.DUMMYFUNCTION("""COMPUTED_VALUE"""),"20 inch Sport")</f>
        <v>20 inch Sport</v>
      </c>
      <c r="Q2414" t="str">
        <f>IFERROR(__xludf.DUMMYFUNCTION("""COMPUTED_VALUE"""),"Black seats")</f>
        <v>Black seats</v>
      </c>
      <c r="R2414" t="str">
        <f>IFERROR(__xludf.DUMMYFUNCTION("""COMPUTED_VALUE"""),"Autopilot")</f>
        <v>Autopilot</v>
      </c>
      <c r="X2414" t="str">
        <f>IFERROR(__xludf.DUMMYFUNCTION("""COMPUTED_VALUE"""),"Excellent")</f>
        <v>Excellent</v>
      </c>
      <c r="Y2414" t="str">
        <f>IFERROR(__xludf.DUMMYFUNCTION("""COMPUTED_VALUE"""),"Excellent")</f>
        <v>Excellent</v>
      </c>
      <c r="Z2414" t="str">
        <f>IFERROR(__xludf.DUMMYFUNCTION("""COMPUTED_VALUE"""),"Very Good")</f>
        <v>Very Good</v>
      </c>
      <c r="AA2414" t="str">
        <f>IFERROR(__xludf.DUMMYFUNCTION("""COMPUTED_VALUE"""),"Very Good")</f>
        <v>Very Good</v>
      </c>
      <c r="AB2414" t="str">
        <f>IFERROR(__xludf.DUMMYFUNCTION("""COMPUTED_VALUE"""),"Good")</f>
        <v>Good</v>
      </c>
      <c r="AC2414">
        <f>IFERROR(__xludf.DUMMYFUNCTION("""COMPUTED_VALUE"""),3.0)</f>
        <v>3</v>
      </c>
      <c r="AH2414" s="189">
        <f>IFERROR(__xludf.DUMMYFUNCTION("""COMPUTED_VALUE"""),43916.4913499074)</f>
        <v>43916.49135</v>
      </c>
    </row>
    <row r="2415">
      <c r="A2415" t="str">
        <f>IFERROR(__xludf.DUMMYFUNCTION("""COMPUTED_VALUE"""),"egolab")</f>
        <v>egolab</v>
      </c>
      <c r="B2415" t="str">
        <f>IFERROR(__xludf.DUMMYFUNCTION("""COMPUTED_VALUE"""),"San Jose")</f>
        <v>San Jose</v>
      </c>
      <c r="C2415" t="str">
        <f>IFERROR(__xludf.DUMMYFUNCTION("""COMPUTED_VALUE"""),"CA")</f>
        <v>CA</v>
      </c>
      <c r="D2415" t="str">
        <f>IFERROR(__xludf.DUMMYFUNCTION("""COMPUTED_VALUE"""),"USA")</f>
        <v>USA</v>
      </c>
      <c r="E2415" s="188">
        <f>IFERROR(__xludf.DUMMYFUNCTION("""COMPUTED_VALUE"""),43909.0)</f>
        <v>43909</v>
      </c>
      <c r="F2415" s="188">
        <f>IFERROR(__xludf.DUMMYFUNCTION("""COMPUTED_VALUE"""),43911.0)</f>
        <v>43911</v>
      </c>
      <c r="I2415" t="str">
        <f>IFERROR(__xludf.DUMMYFUNCTION("""COMPUTED_VALUE"""),"03/20")</f>
        <v>03/20</v>
      </c>
      <c r="J2415" s="5">
        <f>IFERROR(__xludf.DUMMYFUNCTION("""COMPUTED_VALUE"""),43911.0)</f>
        <v>43911</v>
      </c>
      <c r="K2415">
        <f>IFERROR(__xludf.DUMMYFUNCTION("""COMPUTED_VALUE"""),2.0)</f>
        <v>2</v>
      </c>
      <c r="L2415">
        <f>IFERROR(__xludf.DUMMYFUNCTION("""COMPUTED_VALUE"""),0.0)</f>
        <v>0</v>
      </c>
      <c r="M2415">
        <f>IFERROR(__xludf.DUMMYFUNCTION("""COMPUTED_VALUE"""),2.0)</f>
        <v>2</v>
      </c>
      <c r="N2415" t="str">
        <f>IFERROR(__xludf.DUMMYFUNCTION("""COMPUTED_VALUE"""),"Model 3 LR AWD")</f>
        <v>Model 3 LR AWD</v>
      </c>
      <c r="O2415" t="str">
        <f>IFERROR(__xludf.DUMMYFUNCTION("""COMPUTED_VALUE"""),"Pearl White Multi-Coat")</f>
        <v>Pearl White Multi-Coat</v>
      </c>
      <c r="P2415" t="str">
        <f>IFERROR(__xludf.DUMMYFUNCTION("""COMPUTED_VALUE"""),"19 inch Sport")</f>
        <v>19 inch Sport</v>
      </c>
      <c r="Q2415" t="str">
        <f>IFERROR(__xludf.DUMMYFUNCTION("""COMPUTED_VALUE"""),"Black seats")</f>
        <v>Black seats</v>
      </c>
      <c r="R2415" t="str">
        <f>IFERROR(__xludf.DUMMYFUNCTION("""COMPUTED_VALUE"""),"Full Self-Driving")</f>
        <v>Full Self-Driving</v>
      </c>
      <c r="X2415" t="str">
        <f>IFERROR(__xludf.DUMMYFUNCTION("""COMPUTED_VALUE"""),"Excellent")</f>
        <v>Excellent</v>
      </c>
      <c r="Y2415" t="str">
        <f>IFERROR(__xludf.DUMMYFUNCTION("""COMPUTED_VALUE"""),"Excellent")</f>
        <v>Excellent</v>
      </c>
      <c r="Z2415" t="str">
        <f>IFERROR(__xludf.DUMMYFUNCTION("""COMPUTED_VALUE"""),"Excellent")</f>
        <v>Excellent</v>
      </c>
      <c r="AA2415" t="str">
        <f>IFERROR(__xludf.DUMMYFUNCTION("""COMPUTED_VALUE"""),"Poor")</f>
        <v>Poor</v>
      </c>
      <c r="AB2415" t="str">
        <f>IFERROR(__xludf.DUMMYFUNCTION("""COMPUTED_VALUE"""),"Very Good")</f>
        <v>Very Good</v>
      </c>
      <c r="AC2415">
        <f>IFERROR(__xludf.DUMMYFUNCTION("""COMPUTED_VALUE"""),0.0)</f>
        <v>0</v>
      </c>
      <c r="AD2415">
        <f>IFERROR(__xludf.DUMMYFUNCTION("""COMPUTED_VALUE"""),0.0)</f>
        <v>0</v>
      </c>
      <c r="AE2415">
        <f>IFERROR(__xludf.DUMMYFUNCTION("""COMPUTED_VALUE"""),0.0)</f>
        <v>0</v>
      </c>
      <c r="AG2415" t="str">
        <f>IFERROR(__xludf.DUMMYFUNCTION("""COMPUTED_VALUE"""),"Delivery team called me on 3/21 to schedule a delivery date for the following week but I asked if I could have the car dropped off that day. They were able to accommodate so I received the car that same day. ")</f>
        <v>Delivery team called me on 3/21 to schedule a delivery date for the following week but I asked if I could have the car dropped off that day. They were able to accommodate so I received the car that same day. </v>
      </c>
      <c r="AH2415" s="189">
        <f>IFERROR(__xludf.DUMMYFUNCTION("""COMPUTED_VALUE"""),43916.55467456019)</f>
        <v>43916.55467</v>
      </c>
    </row>
    <row r="2416">
      <c r="A2416" t="str">
        <f>IFERROR(__xludf.DUMMYFUNCTION("""COMPUTED_VALUE"""),"TheSocey")</f>
        <v>TheSocey</v>
      </c>
      <c r="B2416" t="str">
        <f>IFERROR(__xludf.DUMMYFUNCTION("""COMPUTED_VALUE"""),"Sonora")</f>
        <v>Sonora</v>
      </c>
      <c r="C2416" t="str">
        <f>IFERROR(__xludf.DUMMYFUNCTION("""COMPUTED_VALUE"""),"CA")</f>
        <v>CA</v>
      </c>
      <c r="D2416" t="str">
        <f>IFERROR(__xludf.DUMMYFUNCTION("""COMPUTED_VALUE"""),"USA")</f>
        <v>USA</v>
      </c>
      <c r="E2416" s="188">
        <f>IFERROR(__xludf.DUMMYFUNCTION("""COMPUTED_VALUE"""),43863.0)</f>
        <v>43863</v>
      </c>
      <c r="F2416" s="188">
        <f>IFERROR(__xludf.DUMMYFUNCTION("""COMPUTED_VALUE"""),43885.0)</f>
        <v>43885</v>
      </c>
      <c r="H2416">
        <f>IFERROR(__xludf.DUMMYFUNCTION("""COMPUTED_VALUE"""),638653.0)</f>
        <v>638653</v>
      </c>
      <c r="J2416" s="5">
        <f>IFERROR(__xludf.DUMMYFUNCTION("""COMPUTED_VALUE"""),43886.0)</f>
        <v>43886</v>
      </c>
      <c r="K2416">
        <f>IFERROR(__xludf.DUMMYFUNCTION("""COMPUTED_VALUE"""),22.0)</f>
        <v>22</v>
      </c>
      <c r="L2416">
        <f>IFERROR(__xludf.DUMMYFUNCTION("""COMPUTED_VALUE"""),1.0)</f>
        <v>1</v>
      </c>
      <c r="M2416">
        <f>IFERROR(__xludf.DUMMYFUNCTION("""COMPUTED_VALUE"""),23.0)</f>
        <v>23</v>
      </c>
      <c r="N2416" t="str">
        <f>IFERROR(__xludf.DUMMYFUNCTION("""COMPUTED_VALUE"""),"Model 3 LR AWD")</f>
        <v>Model 3 LR AWD</v>
      </c>
      <c r="O2416" t="str">
        <f>IFERROR(__xludf.DUMMYFUNCTION("""COMPUTED_VALUE"""),"Pearl White Multi-Coat")</f>
        <v>Pearl White Multi-Coat</v>
      </c>
      <c r="P2416" t="str">
        <f>IFERROR(__xludf.DUMMYFUNCTION("""COMPUTED_VALUE"""),"19 inch Sport")</f>
        <v>19 inch Sport</v>
      </c>
      <c r="Q2416" t="str">
        <f>IFERROR(__xludf.DUMMYFUNCTION("""COMPUTED_VALUE"""),"Black seats")</f>
        <v>Black seats</v>
      </c>
      <c r="R2416" t="str">
        <f>IFERROR(__xludf.DUMMYFUNCTION("""COMPUTED_VALUE"""),"Autopilot")</f>
        <v>Autopilot</v>
      </c>
      <c r="X2416" t="str">
        <f>IFERROR(__xludf.DUMMYFUNCTION("""COMPUTED_VALUE"""),"Excellent")</f>
        <v>Excellent</v>
      </c>
      <c r="Y2416" t="str">
        <f>IFERROR(__xludf.DUMMYFUNCTION("""COMPUTED_VALUE"""),"Excellent")</f>
        <v>Excellent</v>
      </c>
      <c r="Z2416" t="str">
        <f>IFERROR(__xludf.DUMMYFUNCTION("""COMPUTED_VALUE"""),"Excellent")</f>
        <v>Excellent</v>
      </c>
      <c r="AA2416" t="str">
        <f>IFERROR(__xludf.DUMMYFUNCTION("""COMPUTED_VALUE"""),"Poor")</f>
        <v>Poor</v>
      </c>
      <c r="AB2416" t="str">
        <f>IFERROR(__xludf.DUMMYFUNCTION("""COMPUTED_VALUE"""),"Very Good")</f>
        <v>Very Good</v>
      </c>
      <c r="AC2416">
        <f>IFERROR(__xludf.DUMMYFUNCTION("""COMPUTED_VALUE"""),1.0)</f>
        <v>1</v>
      </c>
      <c r="AE2416">
        <f>IFERROR(__xludf.DUMMYFUNCTION("""COMPUTED_VALUE"""),18.0)</f>
        <v>18</v>
      </c>
      <c r="AG2416" t="str">
        <f>IFERROR(__xludf.DUMMYFUNCTION("""COMPUTED_VALUE"""),"Battery Conversion System Failed 8 days into ownership")</f>
        <v>Battery Conversion System Failed 8 days into ownership</v>
      </c>
      <c r="AH2416" s="189">
        <f>IFERROR(__xludf.DUMMYFUNCTION("""COMPUTED_VALUE"""),43917.33403372685)</f>
        <v>43917.33403</v>
      </c>
    </row>
    <row r="2417">
      <c r="A2417" t="str">
        <f>IFERROR(__xludf.DUMMYFUNCTION("""COMPUTED_VALUE"""),"WendelJones")</f>
        <v>WendelJones</v>
      </c>
      <c r="B2417" t="str">
        <f>IFERROR(__xludf.DUMMYFUNCTION("""COMPUTED_VALUE"""),"Orange County")</f>
        <v>Orange County</v>
      </c>
      <c r="C2417" t="str">
        <f>IFERROR(__xludf.DUMMYFUNCTION("""COMPUTED_VALUE"""),"CA")</f>
        <v>CA</v>
      </c>
      <c r="D2417" t="str">
        <f>IFERROR(__xludf.DUMMYFUNCTION("""COMPUTED_VALUE"""),"USA")</f>
        <v>USA</v>
      </c>
      <c r="E2417" s="188">
        <f>IFERROR(__xludf.DUMMYFUNCTION("""COMPUTED_VALUE"""),43875.0)</f>
        <v>43875</v>
      </c>
      <c r="H2417">
        <f>IFERROR(__xludf.DUMMYFUNCTION("""COMPUTED_VALUE"""),711955.0)</f>
        <v>711955</v>
      </c>
      <c r="I2417" t="str">
        <f>IFERROR(__xludf.DUMMYFUNCTION("""COMPUTED_VALUE"""),"03/20")</f>
        <v>03/20</v>
      </c>
      <c r="J2417" s="5">
        <f>IFERROR(__xludf.DUMMYFUNCTION("""COMPUTED_VALUE"""),43909.0)</f>
        <v>43909</v>
      </c>
      <c r="M2417">
        <f>IFERROR(__xludf.DUMMYFUNCTION("""COMPUTED_VALUE"""),34.0)</f>
        <v>34</v>
      </c>
      <c r="N2417" t="str">
        <f>IFERROR(__xludf.DUMMYFUNCTION("""COMPUTED_VALUE"""),"Model 3 LR AWD")</f>
        <v>Model 3 LR AWD</v>
      </c>
      <c r="O2417" t="str">
        <f>IFERROR(__xludf.DUMMYFUNCTION("""COMPUTED_VALUE"""),"Midnight Silver Metallic")</f>
        <v>Midnight Silver Metallic</v>
      </c>
      <c r="P2417" t="str">
        <f>IFERROR(__xludf.DUMMYFUNCTION("""COMPUTED_VALUE"""),"19 inch Sport")</f>
        <v>19 inch Sport</v>
      </c>
      <c r="Q2417" t="str">
        <f>IFERROR(__xludf.DUMMYFUNCTION("""COMPUTED_VALUE"""),"Black seats")</f>
        <v>Black seats</v>
      </c>
      <c r="R2417" t="str">
        <f>IFERROR(__xludf.DUMMYFUNCTION("""COMPUTED_VALUE"""),"Full Self-Driving")</f>
        <v>Full Self-Driving</v>
      </c>
      <c r="X2417" t="str">
        <f>IFERROR(__xludf.DUMMYFUNCTION("""COMPUTED_VALUE"""),"Excellent")</f>
        <v>Excellent</v>
      </c>
      <c r="Y2417" t="str">
        <f>IFERROR(__xludf.DUMMYFUNCTION("""COMPUTED_VALUE"""),"Excellent")</f>
        <v>Excellent</v>
      </c>
      <c r="Z2417" t="str">
        <f>IFERROR(__xludf.DUMMYFUNCTION("""COMPUTED_VALUE"""),"Good")</f>
        <v>Good</v>
      </c>
      <c r="AA2417" t="str">
        <f>IFERROR(__xludf.DUMMYFUNCTION("""COMPUTED_VALUE"""),"Fair")</f>
        <v>Fair</v>
      </c>
      <c r="AB2417" t="str">
        <f>IFERROR(__xludf.DUMMYFUNCTION("""COMPUTED_VALUE"""),"Fair")</f>
        <v>Fair</v>
      </c>
      <c r="AC2417">
        <f>IFERROR(__xludf.DUMMYFUNCTION("""COMPUTED_VALUE"""),1.0)</f>
        <v>1</v>
      </c>
      <c r="AD2417">
        <f>IFERROR(__xludf.DUMMYFUNCTION("""COMPUTED_VALUE"""),1.0)</f>
        <v>1</v>
      </c>
      <c r="AH2417" s="189">
        <f>IFERROR(__xludf.DUMMYFUNCTION("""COMPUTED_VALUE"""),43917.35573660879)</f>
        <v>43917.35574</v>
      </c>
    </row>
    <row r="2418">
      <c r="A2418" t="str">
        <f>IFERROR(__xludf.DUMMYFUNCTION("""COMPUTED_VALUE"""),"AutoXer")</f>
        <v>AutoXer</v>
      </c>
      <c r="B2418" t="str">
        <f>IFERROR(__xludf.DUMMYFUNCTION("""COMPUTED_VALUE"""),"Winnipeg")</f>
        <v>Winnipeg</v>
      </c>
      <c r="C2418" t="str">
        <f>IFERROR(__xludf.DUMMYFUNCTION("""COMPUTED_VALUE"""),"MB")</f>
        <v>MB</v>
      </c>
      <c r="D2418" t="str">
        <f>IFERROR(__xludf.DUMMYFUNCTION("""COMPUTED_VALUE"""),"Canada")</f>
        <v>Canada</v>
      </c>
      <c r="E2418" s="188">
        <f>IFERROR(__xludf.DUMMYFUNCTION("""COMPUTED_VALUE"""),43829.0)</f>
        <v>43829</v>
      </c>
      <c r="F2418" s="188">
        <f>IFERROR(__xludf.DUMMYFUNCTION("""COMPUTED_VALUE"""),43890.0)</f>
        <v>43890</v>
      </c>
      <c r="H2418">
        <f>IFERROR(__xludf.DUMMYFUNCTION("""COMPUTED_VALUE"""),643614.0)</f>
        <v>643614</v>
      </c>
      <c r="J2418" s="5">
        <f>IFERROR(__xludf.DUMMYFUNCTION("""COMPUTED_VALUE"""),43904.0)</f>
        <v>43904</v>
      </c>
      <c r="K2418">
        <f>IFERROR(__xludf.DUMMYFUNCTION("""COMPUTED_VALUE"""),61.0)</f>
        <v>61</v>
      </c>
      <c r="L2418">
        <f>IFERROR(__xludf.DUMMYFUNCTION("""COMPUTED_VALUE"""),14.0)</f>
        <v>14</v>
      </c>
      <c r="M2418">
        <f>IFERROR(__xludf.DUMMYFUNCTION("""COMPUTED_VALUE"""),75.0)</f>
        <v>75</v>
      </c>
      <c r="N2418" t="str">
        <f>IFERROR(__xludf.DUMMYFUNCTION("""COMPUTED_VALUE"""),"Model 3 Performance")</f>
        <v>Model 3 Performance</v>
      </c>
      <c r="O2418" t="str">
        <f>IFERROR(__xludf.DUMMYFUNCTION("""COMPUTED_VALUE"""),"Pearl White Multi-Coat")</f>
        <v>Pearl White Multi-Coat</v>
      </c>
      <c r="P2418" t="str">
        <f>IFERROR(__xludf.DUMMYFUNCTION("""COMPUTED_VALUE"""),"20 inch Sport")</f>
        <v>20 inch Sport</v>
      </c>
      <c r="Q2418" t="str">
        <f>IFERROR(__xludf.DUMMYFUNCTION("""COMPUTED_VALUE"""),"White seats")</f>
        <v>White seats</v>
      </c>
      <c r="R2418" t="str">
        <f>IFERROR(__xludf.DUMMYFUNCTION("""COMPUTED_VALUE"""),"Autopilot")</f>
        <v>Autopilot</v>
      </c>
      <c r="X2418" t="str">
        <f>IFERROR(__xludf.DUMMYFUNCTION("""COMPUTED_VALUE"""),"Very Good")</f>
        <v>Very Good</v>
      </c>
      <c r="Y2418" t="str">
        <f>IFERROR(__xludf.DUMMYFUNCTION("""COMPUTED_VALUE"""),"Very Good")</f>
        <v>Very Good</v>
      </c>
      <c r="Z2418" t="str">
        <f>IFERROR(__xludf.DUMMYFUNCTION("""COMPUTED_VALUE"""),"Good")</f>
        <v>Good</v>
      </c>
      <c r="AA2418" t="str">
        <f>IFERROR(__xludf.DUMMYFUNCTION("""COMPUTED_VALUE"""),"Excellent")</f>
        <v>Excellent</v>
      </c>
      <c r="AB2418" t="str">
        <f>IFERROR(__xludf.DUMMYFUNCTION("""COMPUTED_VALUE"""),"Excellent")</f>
        <v>Excellent</v>
      </c>
      <c r="AC2418">
        <f>IFERROR(__xludf.DUMMYFUNCTION("""COMPUTED_VALUE"""),1.0)</f>
        <v>1</v>
      </c>
      <c r="AD2418">
        <f>IFERROR(__xludf.DUMMYFUNCTION("""COMPUTED_VALUE"""),1.0)</f>
        <v>1</v>
      </c>
      <c r="AE2418">
        <f>IFERROR(__xludf.DUMMYFUNCTION("""COMPUTED_VALUE"""),0.0)</f>
        <v>0</v>
      </c>
      <c r="AG2418" t="str">
        <f>IFERROR(__xludf.DUMMYFUNCTION("""COMPUTED_VALUE"""),"One 2"" scratch on front bumper")</f>
        <v>One 2" scratch on front bumper</v>
      </c>
      <c r="AH2418" s="189">
        <f>IFERROR(__xludf.DUMMYFUNCTION("""COMPUTED_VALUE"""),43917.45668707176)</f>
        <v>43917.45669</v>
      </c>
    </row>
    <row r="2419">
      <c r="A2419" t="str">
        <f>IFERROR(__xludf.DUMMYFUNCTION("""COMPUTED_VALUE"""),"migeho")</f>
        <v>migeho</v>
      </c>
      <c r="B2419" t="str">
        <f>IFERROR(__xludf.DUMMYFUNCTION("""COMPUTED_VALUE"""),"Irvine")</f>
        <v>Irvine</v>
      </c>
      <c r="C2419" t="str">
        <f>IFERROR(__xludf.DUMMYFUNCTION("""COMPUTED_VALUE"""),"CA")</f>
        <v>CA</v>
      </c>
      <c r="D2419" t="str">
        <f>IFERROR(__xludf.DUMMYFUNCTION("""COMPUTED_VALUE"""),"USA")</f>
        <v>USA</v>
      </c>
      <c r="E2419" s="188">
        <f>IFERROR(__xludf.DUMMYFUNCTION("""COMPUTED_VALUE"""),43905.0)</f>
        <v>43905</v>
      </c>
      <c r="F2419" s="188">
        <f>IFERROR(__xludf.DUMMYFUNCTION("""COMPUTED_VALUE"""),43916.0)</f>
        <v>43916</v>
      </c>
      <c r="H2419">
        <f>IFERROR(__xludf.DUMMYFUNCTION("""COMPUTED_VALUE"""),713055.0)</f>
        <v>713055</v>
      </c>
      <c r="I2419" t="str">
        <f>IFERROR(__xludf.DUMMYFUNCTION("""COMPUTED_VALUE"""),"03/20")</f>
        <v>03/20</v>
      </c>
      <c r="J2419" s="5">
        <f>IFERROR(__xludf.DUMMYFUNCTION("""COMPUTED_VALUE"""),43917.0)</f>
        <v>43917</v>
      </c>
      <c r="K2419">
        <f>IFERROR(__xludf.DUMMYFUNCTION("""COMPUTED_VALUE"""),11.0)</f>
        <v>11</v>
      </c>
      <c r="L2419">
        <f>IFERROR(__xludf.DUMMYFUNCTION("""COMPUTED_VALUE"""),1.0)</f>
        <v>1</v>
      </c>
      <c r="M2419">
        <f>IFERROR(__xludf.DUMMYFUNCTION("""COMPUTED_VALUE"""),12.0)</f>
        <v>12</v>
      </c>
      <c r="N2419" t="str">
        <f>IFERROR(__xludf.DUMMYFUNCTION("""COMPUTED_VALUE"""),"Model 3 LR AWD")</f>
        <v>Model 3 LR AWD</v>
      </c>
      <c r="O2419" t="str">
        <f>IFERROR(__xludf.DUMMYFUNCTION("""COMPUTED_VALUE"""),"Pearl White Multi-Coat")</f>
        <v>Pearl White Multi-Coat</v>
      </c>
      <c r="P2419" t="str">
        <f>IFERROR(__xludf.DUMMYFUNCTION("""COMPUTED_VALUE"""),"19 inch Sport")</f>
        <v>19 inch Sport</v>
      </c>
      <c r="Q2419" t="str">
        <f>IFERROR(__xludf.DUMMYFUNCTION("""COMPUTED_VALUE"""),"White seats")</f>
        <v>White seats</v>
      </c>
      <c r="R2419" t="str">
        <f>IFERROR(__xludf.DUMMYFUNCTION("""COMPUTED_VALUE"""),"Full Self-Driving")</f>
        <v>Full Self-Driving</v>
      </c>
      <c r="X2419" t="str">
        <f>IFERROR(__xludf.DUMMYFUNCTION("""COMPUTED_VALUE"""),"Very Good")</f>
        <v>Very Good</v>
      </c>
      <c r="Y2419" t="str">
        <f>IFERROR(__xludf.DUMMYFUNCTION("""COMPUTED_VALUE"""),"Excellent")</f>
        <v>Excellent</v>
      </c>
      <c r="Z2419" t="str">
        <f>IFERROR(__xludf.DUMMYFUNCTION("""COMPUTED_VALUE"""),"Excellent")</f>
        <v>Excellent</v>
      </c>
      <c r="AA2419" t="str">
        <f>IFERROR(__xludf.DUMMYFUNCTION("""COMPUTED_VALUE"""),"Very Good")</f>
        <v>Very Good</v>
      </c>
      <c r="AB2419" t="str">
        <f>IFERROR(__xludf.DUMMYFUNCTION("""COMPUTED_VALUE"""),"Excellent")</f>
        <v>Excellent</v>
      </c>
      <c r="AH2419" s="189">
        <f>IFERROR(__xludf.DUMMYFUNCTION("""COMPUTED_VALUE"""),43917.60845975694)</f>
        <v>43917.60846</v>
      </c>
    </row>
    <row r="2420">
      <c r="A2420" t="str">
        <f>IFERROR(__xludf.DUMMYFUNCTION("""COMPUTED_VALUE"""),"Jas0nWhite")</f>
        <v>Jas0nWhite</v>
      </c>
      <c r="B2420" t="str">
        <f>IFERROR(__xludf.DUMMYFUNCTION("""COMPUTED_VALUE"""),"Roanoke")</f>
        <v>Roanoke</v>
      </c>
      <c r="C2420" t="str">
        <f>IFERROR(__xludf.DUMMYFUNCTION("""COMPUTED_VALUE"""),"VA")</f>
        <v>VA</v>
      </c>
      <c r="D2420" t="str">
        <f>IFERROR(__xludf.DUMMYFUNCTION("""COMPUTED_VALUE"""),"USA")</f>
        <v>USA</v>
      </c>
      <c r="E2420" s="188">
        <f>IFERROR(__xludf.DUMMYFUNCTION("""COMPUTED_VALUE"""),43853.0)</f>
        <v>43853</v>
      </c>
      <c r="F2420" s="188">
        <f>IFERROR(__xludf.DUMMYFUNCTION("""COMPUTED_VALUE"""),43900.0)</f>
        <v>43900</v>
      </c>
      <c r="H2420">
        <f>IFERROR(__xludf.DUMMYFUNCTION("""COMPUTED_VALUE"""),669639.0)</f>
        <v>669639</v>
      </c>
      <c r="I2420" t="str">
        <f>IFERROR(__xludf.DUMMYFUNCTION("""COMPUTED_VALUE"""),"03/20")</f>
        <v>03/20</v>
      </c>
      <c r="J2420" s="5">
        <f>IFERROR(__xludf.DUMMYFUNCTION("""COMPUTED_VALUE"""),43915.0)</f>
        <v>43915</v>
      </c>
      <c r="K2420">
        <f>IFERROR(__xludf.DUMMYFUNCTION("""COMPUTED_VALUE"""),47.0)</f>
        <v>47</v>
      </c>
      <c r="L2420">
        <f>IFERROR(__xludf.DUMMYFUNCTION("""COMPUTED_VALUE"""),15.0)</f>
        <v>15</v>
      </c>
      <c r="M2420">
        <f>IFERROR(__xludf.DUMMYFUNCTION("""COMPUTED_VALUE"""),62.0)</f>
        <v>62</v>
      </c>
      <c r="N2420" t="str">
        <f>IFERROR(__xludf.DUMMYFUNCTION("""COMPUTED_VALUE"""),"Model 3 Performance")</f>
        <v>Model 3 Performance</v>
      </c>
      <c r="O2420" t="str">
        <f>IFERROR(__xludf.DUMMYFUNCTION("""COMPUTED_VALUE"""),"Deep Blue Metallic")</f>
        <v>Deep Blue Metallic</v>
      </c>
      <c r="P2420" t="str">
        <f>IFERROR(__xludf.DUMMYFUNCTION("""COMPUTED_VALUE"""),"20 inch Sport")</f>
        <v>20 inch Sport</v>
      </c>
      <c r="Q2420" t="str">
        <f>IFERROR(__xludf.DUMMYFUNCTION("""COMPUTED_VALUE"""),"White seats")</f>
        <v>White seats</v>
      </c>
      <c r="R2420" t="str">
        <f>IFERROR(__xludf.DUMMYFUNCTION("""COMPUTED_VALUE"""),"Full Self-Driving")</f>
        <v>Full Self-Driving</v>
      </c>
      <c r="X2420" t="str">
        <f>IFERROR(__xludf.DUMMYFUNCTION("""COMPUTED_VALUE"""),"Very Good")</f>
        <v>Very Good</v>
      </c>
      <c r="Y2420" t="str">
        <f>IFERROR(__xludf.DUMMYFUNCTION("""COMPUTED_VALUE"""),"Excellent")</f>
        <v>Excellent</v>
      </c>
      <c r="Z2420" t="str">
        <f>IFERROR(__xludf.DUMMYFUNCTION("""COMPUTED_VALUE"""),"Excellent")</f>
        <v>Excellent</v>
      </c>
      <c r="AA2420" t="str">
        <f>IFERROR(__xludf.DUMMYFUNCTION("""COMPUTED_VALUE"""),"Very Good")</f>
        <v>Very Good</v>
      </c>
      <c r="AB2420" t="str">
        <f>IFERROR(__xludf.DUMMYFUNCTION("""COMPUTED_VALUE"""),"Excellent")</f>
        <v>Excellent</v>
      </c>
      <c r="AH2420" s="189">
        <f>IFERROR(__xludf.DUMMYFUNCTION("""COMPUTED_VALUE"""),43919.536296631944)</f>
        <v>43919.5363</v>
      </c>
    </row>
    <row r="2421">
      <c r="A2421" t="str">
        <f>IFERROR(__xludf.DUMMYFUNCTION("""COMPUTED_VALUE"""),"johngfitzgerald")</f>
        <v>johngfitzgerald</v>
      </c>
      <c r="B2421" t="str">
        <f>IFERROR(__xludf.DUMMYFUNCTION("""COMPUTED_VALUE"""),"Lancaster")</f>
        <v>Lancaster</v>
      </c>
      <c r="D2421" t="str">
        <f>IFERROR(__xludf.DUMMYFUNCTION("""COMPUTED_VALUE"""),"United Kingdom")</f>
        <v>United Kingdom</v>
      </c>
      <c r="E2421" s="188">
        <f>IFERROR(__xludf.DUMMYFUNCTION("""COMPUTED_VALUE"""),43868.0)</f>
        <v>43868</v>
      </c>
      <c r="F2421" s="188">
        <f>IFERROR(__xludf.DUMMYFUNCTION("""COMPUTED_VALUE"""),43878.0)</f>
        <v>43878</v>
      </c>
      <c r="H2421">
        <f>IFERROR(__xludf.DUMMYFUNCTION("""COMPUTED_VALUE"""),685455.0)</f>
        <v>685455</v>
      </c>
      <c r="J2421" s="5">
        <f>IFERROR(__xludf.DUMMYFUNCTION("""COMPUTED_VALUE"""),43907.0)</f>
        <v>43907</v>
      </c>
      <c r="K2421">
        <f>IFERROR(__xludf.DUMMYFUNCTION("""COMPUTED_VALUE"""),10.0)</f>
        <v>10</v>
      </c>
      <c r="L2421">
        <f>IFERROR(__xludf.DUMMYFUNCTION("""COMPUTED_VALUE"""),29.0)</f>
        <v>29</v>
      </c>
      <c r="M2421">
        <f>IFERROR(__xludf.DUMMYFUNCTION("""COMPUTED_VALUE"""),39.0)</f>
        <v>39</v>
      </c>
      <c r="N2421" t="str">
        <f>IFERROR(__xludf.DUMMYFUNCTION("""COMPUTED_VALUE"""),"Model 3 SR+")</f>
        <v>Model 3 SR+</v>
      </c>
      <c r="O2421" t="str">
        <f>IFERROR(__xludf.DUMMYFUNCTION("""COMPUTED_VALUE"""),"Deep Blue Metallic")</f>
        <v>Deep Blue Metallic</v>
      </c>
      <c r="P2421" t="str">
        <f>IFERROR(__xludf.DUMMYFUNCTION("""COMPUTED_VALUE"""),"18 inch Aero")</f>
        <v>18 inch Aero</v>
      </c>
      <c r="Q2421" t="str">
        <f>IFERROR(__xludf.DUMMYFUNCTION("""COMPUTED_VALUE"""),"Black seats")</f>
        <v>Black seats</v>
      </c>
      <c r="R2421" t="str">
        <f>IFERROR(__xludf.DUMMYFUNCTION("""COMPUTED_VALUE"""),"Autopilot")</f>
        <v>Autopilot</v>
      </c>
      <c r="X2421" t="str">
        <f>IFERROR(__xludf.DUMMYFUNCTION("""COMPUTED_VALUE"""),"Excellent")</f>
        <v>Excellent</v>
      </c>
      <c r="Y2421" t="str">
        <f>IFERROR(__xludf.DUMMYFUNCTION("""COMPUTED_VALUE"""),"Excellent")</f>
        <v>Excellent</v>
      </c>
      <c r="Z2421" t="str">
        <f>IFERROR(__xludf.DUMMYFUNCTION("""COMPUTED_VALUE"""),"Excellent")</f>
        <v>Excellent</v>
      </c>
      <c r="AA2421" t="str">
        <f>IFERROR(__xludf.DUMMYFUNCTION("""COMPUTED_VALUE"""),"Excellent")</f>
        <v>Excellent</v>
      </c>
      <c r="AB2421" t="str">
        <f>IFERROR(__xludf.DUMMYFUNCTION("""COMPUTED_VALUE"""),"Excellent")</f>
        <v>Excellent</v>
      </c>
      <c r="AC2421">
        <f>IFERROR(__xludf.DUMMYFUNCTION("""COMPUTED_VALUE"""),0.0)</f>
        <v>0</v>
      </c>
      <c r="AD2421">
        <f>IFERROR(__xludf.DUMMYFUNCTION("""COMPUTED_VALUE"""),0.0)</f>
        <v>0</v>
      </c>
      <c r="AE2421">
        <f>IFERROR(__xludf.DUMMYFUNCTION("""COMPUTED_VALUE"""),0.0)</f>
        <v>0</v>
      </c>
      <c r="AH2421" s="189">
        <f>IFERROR(__xludf.DUMMYFUNCTION("""COMPUTED_VALUE"""),43920.07752378473)</f>
        <v>43920.07752</v>
      </c>
    </row>
    <row r="2422">
      <c r="A2422" t="str">
        <f>IFERROR(__xludf.DUMMYFUNCTION("""COMPUTED_VALUE"""),"Smog")</f>
        <v>Smog</v>
      </c>
      <c r="B2422" t="str">
        <f>IFERROR(__xludf.DUMMYFUNCTION("""COMPUTED_VALUE"""),"Leeds")</f>
        <v>Leeds</v>
      </c>
      <c r="D2422" t="str">
        <f>IFERROR(__xludf.DUMMYFUNCTION("""COMPUTED_VALUE"""),"United Kingdom")</f>
        <v>United Kingdom</v>
      </c>
      <c r="E2422" s="188">
        <f>IFERROR(__xludf.DUMMYFUNCTION("""COMPUTED_VALUE"""),43892.0)</f>
        <v>43892</v>
      </c>
      <c r="F2422" s="188">
        <f>IFERROR(__xludf.DUMMYFUNCTION("""COMPUTED_VALUE"""),43918.0)</f>
        <v>43918</v>
      </c>
      <c r="H2422">
        <f>IFERROR(__xludf.DUMMYFUNCTION("""COMPUTED_VALUE"""),697255.0)</f>
        <v>697255</v>
      </c>
      <c r="J2422" s="5">
        <f>IFERROR(__xludf.DUMMYFUNCTION("""COMPUTED_VALUE"""),43916.0)</f>
        <v>43916</v>
      </c>
      <c r="K2422">
        <f>IFERROR(__xludf.DUMMYFUNCTION("""COMPUTED_VALUE"""),26.0)</f>
        <v>26</v>
      </c>
      <c r="M2422">
        <f>IFERROR(__xludf.DUMMYFUNCTION("""COMPUTED_VALUE"""),24.0)</f>
        <v>24</v>
      </c>
      <c r="N2422" t="str">
        <f>IFERROR(__xludf.DUMMYFUNCTION("""COMPUTED_VALUE"""),"Model 3 Performance")</f>
        <v>Model 3 Performance</v>
      </c>
      <c r="O2422" t="str">
        <f>IFERROR(__xludf.DUMMYFUNCTION("""COMPUTED_VALUE"""),"Pearl White Multi-Coat")</f>
        <v>Pearl White Multi-Coat</v>
      </c>
      <c r="P2422" t="str">
        <f>IFERROR(__xludf.DUMMYFUNCTION("""COMPUTED_VALUE"""),"20 inch Sport")</f>
        <v>20 inch Sport</v>
      </c>
      <c r="Q2422" t="str">
        <f>IFERROR(__xludf.DUMMYFUNCTION("""COMPUTED_VALUE"""),"Black seats")</f>
        <v>Black seats</v>
      </c>
      <c r="R2422" t="str">
        <f>IFERROR(__xludf.DUMMYFUNCTION("""COMPUTED_VALUE"""),"Autopilot")</f>
        <v>Autopilot</v>
      </c>
      <c r="X2422" t="str">
        <f>IFERROR(__xludf.DUMMYFUNCTION("""COMPUTED_VALUE"""),"Excellent")</f>
        <v>Excellent</v>
      </c>
      <c r="Y2422" t="str">
        <f>IFERROR(__xludf.DUMMYFUNCTION("""COMPUTED_VALUE"""),"Very Good")</f>
        <v>Very Good</v>
      </c>
      <c r="Z2422" t="str">
        <f>IFERROR(__xludf.DUMMYFUNCTION("""COMPUTED_VALUE"""),"Excellent")</f>
        <v>Excellent</v>
      </c>
      <c r="AA2422" t="str">
        <f>IFERROR(__xludf.DUMMYFUNCTION("""COMPUTED_VALUE"""),"Poor")</f>
        <v>Poor</v>
      </c>
      <c r="AB2422" t="str">
        <f>IFERROR(__xludf.DUMMYFUNCTION("""COMPUTED_VALUE"""),"Very Good")</f>
        <v>Very Good</v>
      </c>
      <c r="AH2422" s="189">
        <f>IFERROR(__xludf.DUMMYFUNCTION("""COMPUTED_VALUE"""),43920.594788703704)</f>
        <v>43920.59479</v>
      </c>
    </row>
    <row r="2423">
      <c r="A2423" t="str">
        <f>IFERROR(__xludf.DUMMYFUNCTION("""COMPUTED_VALUE"""),"Newbl")</f>
        <v>Newbl</v>
      </c>
      <c r="B2423" t="str">
        <f>IFERROR(__xludf.DUMMYFUNCTION("""COMPUTED_VALUE"""),"Vancouver")</f>
        <v>Vancouver</v>
      </c>
      <c r="C2423" t="str">
        <f>IFERROR(__xludf.DUMMYFUNCTION("""COMPUTED_VALUE"""),"BC")</f>
        <v>BC</v>
      </c>
      <c r="D2423" t="str">
        <f>IFERROR(__xludf.DUMMYFUNCTION("""COMPUTED_VALUE"""),"Canada")</f>
        <v>Canada</v>
      </c>
      <c r="E2423" s="188">
        <f>IFERROR(__xludf.DUMMYFUNCTION("""COMPUTED_VALUE"""),43877.0)</f>
        <v>43877</v>
      </c>
      <c r="F2423" s="188">
        <f>IFERROR(__xludf.DUMMYFUNCTION("""COMPUTED_VALUE"""),43908.0)</f>
        <v>43908</v>
      </c>
      <c r="H2423">
        <f>IFERROR(__xludf.DUMMYFUNCTION("""COMPUTED_VALUE"""),718941.0)</f>
        <v>718941</v>
      </c>
      <c r="I2423" t="str">
        <f>IFERROR(__xludf.DUMMYFUNCTION("""COMPUTED_VALUE"""),"03/20")</f>
        <v>03/20</v>
      </c>
      <c r="J2423" s="5">
        <f>IFERROR(__xludf.DUMMYFUNCTION("""COMPUTED_VALUE"""),43911.0)</f>
        <v>43911</v>
      </c>
      <c r="K2423">
        <f>IFERROR(__xludf.DUMMYFUNCTION("""COMPUTED_VALUE"""),31.0)</f>
        <v>31</v>
      </c>
      <c r="L2423">
        <f>IFERROR(__xludf.DUMMYFUNCTION("""COMPUTED_VALUE"""),3.0)</f>
        <v>3</v>
      </c>
      <c r="M2423">
        <f>IFERROR(__xludf.DUMMYFUNCTION("""COMPUTED_VALUE"""),34.0)</f>
        <v>34</v>
      </c>
      <c r="N2423" t="str">
        <f>IFERROR(__xludf.DUMMYFUNCTION("""COMPUTED_VALUE"""),"Model 3 SR+")</f>
        <v>Model 3 SR+</v>
      </c>
      <c r="O2423" t="str">
        <f>IFERROR(__xludf.DUMMYFUNCTION("""COMPUTED_VALUE"""),"Midnight Silver Metallic")</f>
        <v>Midnight Silver Metallic</v>
      </c>
      <c r="P2423" t="str">
        <f>IFERROR(__xludf.DUMMYFUNCTION("""COMPUTED_VALUE"""),"18 inch Aero")</f>
        <v>18 inch Aero</v>
      </c>
      <c r="Q2423" t="str">
        <f>IFERROR(__xludf.DUMMYFUNCTION("""COMPUTED_VALUE"""),"Black seats")</f>
        <v>Black seats</v>
      </c>
      <c r="R2423" t="str">
        <f>IFERROR(__xludf.DUMMYFUNCTION("""COMPUTED_VALUE"""),"Autopilot")</f>
        <v>Autopilot</v>
      </c>
      <c r="X2423" t="str">
        <f>IFERROR(__xludf.DUMMYFUNCTION("""COMPUTED_VALUE"""),"Very Good")</f>
        <v>Very Good</v>
      </c>
      <c r="Y2423" t="str">
        <f>IFERROR(__xludf.DUMMYFUNCTION("""COMPUTED_VALUE"""),"Excellent")</f>
        <v>Excellent</v>
      </c>
      <c r="Z2423" t="str">
        <f>IFERROR(__xludf.DUMMYFUNCTION("""COMPUTED_VALUE"""),"Excellent")</f>
        <v>Excellent</v>
      </c>
      <c r="AA2423" t="str">
        <f>IFERROR(__xludf.DUMMYFUNCTION("""COMPUTED_VALUE"""),"Excellent")</f>
        <v>Excellent</v>
      </c>
      <c r="AB2423" t="str">
        <f>IFERROR(__xludf.DUMMYFUNCTION("""COMPUTED_VALUE"""),"Very Good")</f>
        <v>Very Good</v>
      </c>
      <c r="AG2423" t="str">
        <f>IFERROR(__xludf.DUMMYFUNCTION("""COMPUTED_VALUE"""),"Was matched with a cancelled order inventory car.  May not have gotten one otherwise, as the factory line is apparently shut down due to Covid-19.")</f>
        <v>Was matched with a cancelled order inventory car.  May not have gotten one otherwise, as the factory line is apparently shut down due to Covid-19.</v>
      </c>
      <c r="AH2423" s="189">
        <f>IFERROR(__xludf.DUMMYFUNCTION("""COMPUTED_VALUE"""),43920.61223128472)</f>
        <v>43920.61223</v>
      </c>
    </row>
    <row r="2424">
      <c r="A2424" t="str">
        <f>IFERROR(__xludf.DUMMYFUNCTION("""COMPUTED_VALUE"""),"TravisRauh")</f>
        <v>TravisRauh</v>
      </c>
      <c r="B2424" t="str">
        <f>IFERROR(__xludf.DUMMYFUNCTION("""COMPUTED_VALUE"""),"Sterling")</f>
        <v>Sterling</v>
      </c>
      <c r="C2424" t="str">
        <f>IFERROR(__xludf.DUMMYFUNCTION("""COMPUTED_VALUE"""),"MA")</f>
        <v>MA</v>
      </c>
      <c r="D2424" t="str">
        <f>IFERROR(__xludf.DUMMYFUNCTION("""COMPUTED_VALUE"""),"USA")</f>
        <v>USA</v>
      </c>
      <c r="E2424" s="188">
        <f>IFERROR(__xludf.DUMMYFUNCTION("""COMPUTED_VALUE"""),43864.0)</f>
        <v>43864</v>
      </c>
      <c r="F2424" s="188">
        <f>IFERROR(__xludf.DUMMYFUNCTION("""COMPUTED_VALUE"""),43885.0)</f>
        <v>43885</v>
      </c>
      <c r="H2424">
        <f>IFERROR(__xludf.DUMMYFUNCTION("""COMPUTED_VALUE"""),649555.0)</f>
        <v>649555</v>
      </c>
      <c r="J2424" s="5">
        <f>IFERROR(__xludf.DUMMYFUNCTION("""COMPUTED_VALUE"""),43904.0)</f>
        <v>43904</v>
      </c>
      <c r="K2424">
        <f>IFERROR(__xludf.DUMMYFUNCTION("""COMPUTED_VALUE"""),21.0)</f>
        <v>21</v>
      </c>
      <c r="L2424">
        <f>IFERROR(__xludf.DUMMYFUNCTION("""COMPUTED_VALUE"""),19.0)</f>
        <v>19</v>
      </c>
      <c r="M2424">
        <f>IFERROR(__xludf.DUMMYFUNCTION("""COMPUTED_VALUE"""),40.0)</f>
        <v>40</v>
      </c>
      <c r="N2424" t="str">
        <f>IFERROR(__xludf.DUMMYFUNCTION("""COMPUTED_VALUE"""),"Model 3 LR AWD")</f>
        <v>Model 3 LR AWD</v>
      </c>
      <c r="O2424" t="str">
        <f>IFERROR(__xludf.DUMMYFUNCTION("""COMPUTED_VALUE"""),"Midnight Silver Metallic")</f>
        <v>Midnight Silver Metallic</v>
      </c>
      <c r="P2424" t="str">
        <f>IFERROR(__xludf.DUMMYFUNCTION("""COMPUTED_VALUE"""),"18 inch Aero")</f>
        <v>18 inch Aero</v>
      </c>
      <c r="Q2424" t="str">
        <f>IFERROR(__xludf.DUMMYFUNCTION("""COMPUTED_VALUE"""),"Black seats")</f>
        <v>Black seats</v>
      </c>
      <c r="R2424" t="str">
        <f>IFERROR(__xludf.DUMMYFUNCTION("""COMPUTED_VALUE"""),"Autopilot")</f>
        <v>Autopilot</v>
      </c>
      <c r="X2424" t="str">
        <f>IFERROR(__xludf.DUMMYFUNCTION("""COMPUTED_VALUE"""),"Excellent")</f>
        <v>Excellent</v>
      </c>
      <c r="Y2424" t="str">
        <f>IFERROR(__xludf.DUMMYFUNCTION("""COMPUTED_VALUE"""),"Excellent")</f>
        <v>Excellent</v>
      </c>
      <c r="Z2424" t="str">
        <f>IFERROR(__xludf.DUMMYFUNCTION("""COMPUTED_VALUE"""),"Excellent")</f>
        <v>Excellent</v>
      </c>
      <c r="AA2424" t="str">
        <f>IFERROR(__xludf.DUMMYFUNCTION("""COMPUTED_VALUE"""),"Very Good")</f>
        <v>Very Good</v>
      </c>
      <c r="AB2424" t="str">
        <f>IFERROR(__xludf.DUMMYFUNCTION("""COMPUTED_VALUE"""),"Excellent")</f>
        <v>Excellent</v>
      </c>
      <c r="AC2424">
        <f>IFERROR(__xludf.DUMMYFUNCTION("""COMPUTED_VALUE"""),2.0)</f>
        <v>2</v>
      </c>
      <c r="AD2424">
        <f>IFERROR(__xludf.DUMMYFUNCTION("""COMPUTED_VALUE"""),1.0)</f>
        <v>1</v>
      </c>
      <c r="AE2424">
        <f>IFERROR(__xludf.DUMMYFUNCTION("""COMPUTED_VALUE"""),0.0)</f>
        <v>0</v>
      </c>
      <c r="AH2424" s="189">
        <f>IFERROR(__xludf.DUMMYFUNCTION("""COMPUTED_VALUE"""),43922.367498865744)</f>
        <v>43922.3675</v>
      </c>
    </row>
    <row r="2425">
      <c r="A2425" t="str">
        <f>IFERROR(__xludf.DUMMYFUNCTION("""COMPUTED_VALUE"""),"ohutchie")</f>
        <v>ohutchie</v>
      </c>
      <c r="B2425" t="str">
        <f>IFERROR(__xludf.DUMMYFUNCTION("""COMPUTED_VALUE"""),"Concord")</f>
        <v>Concord</v>
      </c>
      <c r="C2425" t="str">
        <f>IFERROR(__xludf.DUMMYFUNCTION("""COMPUTED_VALUE"""),"MA")</f>
        <v>MA</v>
      </c>
      <c r="D2425" t="str">
        <f>IFERROR(__xludf.DUMMYFUNCTION("""COMPUTED_VALUE"""),"USA")</f>
        <v>USA</v>
      </c>
      <c r="E2425" s="188">
        <f>IFERROR(__xludf.DUMMYFUNCTION("""COMPUTED_VALUE"""),43863.0)</f>
        <v>43863</v>
      </c>
      <c r="F2425" s="188">
        <f>IFERROR(__xludf.DUMMYFUNCTION("""COMPUTED_VALUE"""),43892.0)</f>
        <v>43892</v>
      </c>
      <c r="H2425">
        <f>IFERROR(__xludf.DUMMYFUNCTION("""COMPUTED_VALUE"""),659455.0)</f>
        <v>659455</v>
      </c>
      <c r="I2425" t="str">
        <f>IFERROR(__xludf.DUMMYFUNCTION("""COMPUTED_VALUE"""),"03/20")</f>
        <v>03/20</v>
      </c>
      <c r="J2425" s="5">
        <f>IFERROR(__xludf.DUMMYFUNCTION("""COMPUTED_VALUE"""),43913.0)</f>
        <v>43913</v>
      </c>
      <c r="K2425">
        <f>IFERROR(__xludf.DUMMYFUNCTION("""COMPUTED_VALUE"""),29.0)</f>
        <v>29</v>
      </c>
      <c r="L2425">
        <f>IFERROR(__xludf.DUMMYFUNCTION("""COMPUTED_VALUE"""),21.0)</f>
        <v>21</v>
      </c>
      <c r="M2425">
        <f>IFERROR(__xludf.DUMMYFUNCTION("""COMPUTED_VALUE"""),50.0)</f>
        <v>50</v>
      </c>
      <c r="N2425" t="str">
        <f>IFERROR(__xludf.DUMMYFUNCTION("""COMPUTED_VALUE"""),"Model 3 SR")</f>
        <v>Model 3 SR</v>
      </c>
      <c r="O2425" t="str">
        <f>IFERROR(__xludf.DUMMYFUNCTION("""COMPUTED_VALUE"""),"Pearl White Multi-Coat")</f>
        <v>Pearl White Multi-Coat</v>
      </c>
      <c r="P2425" t="str">
        <f>IFERROR(__xludf.DUMMYFUNCTION("""COMPUTED_VALUE"""),"18 inch Aero")</f>
        <v>18 inch Aero</v>
      </c>
      <c r="Q2425" t="str">
        <f>IFERROR(__xludf.DUMMYFUNCTION("""COMPUTED_VALUE"""),"Black seats")</f>
        <v>Black seats</v>
      </c>
      <c r="X2425" t="str">
        <f>IFERROR(__xludf.DUMMYFUNCTION("""COMPUTED_VALUE"""),"Good")</f>
        <v>Good</v>
      </c>
      <c r="Y2425" t="str">
        <f>IFERROR(__xludf.DUMMYFUNCTION("""COMPUTED_VALUE"""),"Very Good")</f>
        <v>Very Good</v>
      </c>
      <c r="Z2425" t="str">
        <f>IFERROR(__xludf.DUMMYFUNCTION("""COMPUTED_VALUE"""),"Excellent")</f>
        <v>Excellent</v>
      </c>
      <c r="AA2425" t="str">
        <f>IFERROR(__xludf.DUMMYFUNCTION("""COMPUTED_VALUE"""),"Very Good")</f>
        <v>Very Good</v>
      </c>
      <c r="AB2425" t="str">
        <f>IFERROR(__xludf.DUMMYFUNCTION("""COMPUTED_VALUE"""),"Excellent")</f>
        <v>Excellent</v>
      </c>
      <c r="AC2425">
        <f>IFERROR(__xludf.DUMMYFUNCTION("""COMPUTED_VALUE"""),0.0)</f>
        <v>0</v>
      </c>
      <c r="AD2425">
        <f>IFERROR(__xludf.DUMMYFUNCTION("""COMPUTED_VALUE"""),0.0)</f>
        <v>0</v>
      </c>
      <c r="AE2425">
        <f>IFERROR(__xludf.DUMMYFUNCTION("""COMPUTED_VALUE"""),0.0)</f>
        <v>0</v>
      </c>
      <c r="AG2425" t="str">
        <f>IFERROR(__xludf.DUMMYFUNCTION("""COMPUTED_VALUE"""),"Fantastic car! 190 miles highway range, 240 miles city")</f>
        <v>Fantastic car! 190 miles highway range, 240 miles city</v>
      </c>
      <c r="AH2425" s="189">
        <f>IFERROR(__xludf.DUMMYFUNCTION("""COMPUTED_VALUE"""),43922.42379277778)</f>
        <v>43922.42379</v>
      </c>
    </row>
    <row r="2426">
      <c r="A2426" t="str">
        <f>IFERROR(__xludf.DUMMYFUNCTION("""COMPUTED_VALUE"""),"skierjs")</f>
        <v>skierjs</v>
      </c>
      <c r="B2426" t="str">
        <f>IFERROR(__xludf.DUMMYFUNCTION("""COMPUTED_VALUE"""),"Saskatoon")</f>
        <v>Saskatoon</v>
      </c>
      <c r="C2426" t="str">
        <f>IFERROR(__xludf.DUMMYFUNCTION("""COMPUTED_VALUE"""),"SK")</f>
        <v>SK</v>
      </c>
      <c r="D2426" t="str">
        <f>IFERROR(__xludf.DUMMYFUNCTION("""COMPUTED_VALUE"""),"Canada")</f>
        <v>Canada</v>
      </c>
      <c r="E2426" s="188">
        <f>IFERROR(__xludf.DUMMYFUNCTION("""COMPUTED_VALUE"""),43854.0)</f>
        <v>43854</v>
      </c>
      <c r="F2426" s="188">
        <f>IFERROR(__xludf.DUMMYFUNCTION("""COMPUTED_VALUE"""),43896.0)</f>
        <v>43896</v>
      </c>
      <c r="H2426">
        <f>IFERROR(__xludf.DUMMYFUNCTION("""COMPUTED_VALUE"""),721295.0)</f>
        <v>721295</v>
      </c>
      <c r="I2426" t="str">
        <f>IFERROR(__xludf.DUMMYFUNCTION("""COMPUTED_VALUE"""),"03/20")</f>
        <v>03/20</v>
      </c>
      <c r="J2426" s="5">
        <f>IFERROR(__xludf.DUMMYFUNCTION("""COMPUTED_VALUE"""),43921.0)</f>
        <v>43921</v>
      </c>
      <c r="K2426">
        <f>IFERROR(__xludf.DUMMYFUNCTION("""COMPUTED_VALUE"""),42.0)</f>
        <v>42</v>
      </c>
      <c r="L2426">
        <f>IFERROR(__xludf.DUMMYFUNCTION("""COMPUTED_VALUE"""),25.0)</f>
        <v>25</v>
      </c>
      <c r="M2426">
        <f>IFERROR(__xludf.DUMMYFUNCTION("""COMPUTED_VALUE"""),67.0)</f>
        <v>67</v>
      </c>
      <c r="N2426" t="str">
        <f>IFERROR(__xludf.DUMMYFUNCTION("""COMPUTED_VALUE"""),"Model 3 Performance")</f>
        <v>Model 3 Performance</v>
      </c>
      <c r="O2426" t="str">
        <f>IFERROR(__xludf.DUMMYFUNCTION("""COMPUTED_VALUE"""),"Red Multi-Coat")</f>
        <v>Red Multi-Coat</v>
      </c>
      <c r="P2426" t="str">
        <f>IFERROR(__xludf.DUMMYFUNCTION("""COMPUTED_VALUE"""),"20 inch Sport")</f>
        <v>20 inch Sport</v>
      </c>
      <c r="Q2426" t="str">
        <f>IFERROR(__xludf.DUMMYFUNCTION("""COMPUTED_VALUE"""),"Black seats")</f>
        <v>Black seats</v>
      </c>
      <c r="R2426" t="str">
        <f>IFERROR(__xludf.DUMMYFUNCTION("""COMPUTED_VALUE"""),"Autopilot")</f>
        <v>Autopilot</v>
      </c>
      <c r="X2426" t="str">
        <f>IFERROR(__xludf.DUMMYFUNCTION("""COMPUTED_VALUE"""),"Very Good")</f>
        <v>Very Good</v>
      </c>
      <c r="Y2426" t="str">
        <f>IFERROR(__xludf.DUMMYFUNCTION("""COMPUTED_VALUE"""),"Very Good")</f>
        <v>Very Good</v>
      </c>
      <c r="Z2426" t="str">
        <f>IFERROR(__xludf.DUMMYFUNCTION("""COMPUTED_VALUE"""),"Very Good")</f>
        <v>Very Good</v>
      </c>
      <c r="AA2426" t="str">
        <f>IFERROR(__xludf.DUMMYFUNCTION("""COMPUTED_VALUE"""),"Good")</f>
        <v>Good</v>
      </c>
      <c r="AB2426" t="str">
        <f>IFERROR(__xludf.DUMMYFUNCTION("""COMPUTED_VALUE"""),"Very Good")</f>
        <v>Very Good</v>
      </c>
      <c r="AG2426" t="str">
        <f>IFERROR(__xludf.DUMMYFUNCTION("""COMPUTED_VALUE"""),"Received 1st VIN on Mar 6th, Vehicle failed inspection, received a new VIN on March 25 ")</f>
        <v>Received 1st VIN on Mar 6th, Vehicle failed inspection, received a new VIN on March 25 </v>
      </c>
      <c r="AH2426" s="189">
        <f>IFERROR(__xludf.DUMMYFUNCTION("""COMPUTED_VALUE"""),43922.434329247684)</f>
        <v>43922.43433</v>
      </c>
    </row>
    <row r="2427">
      <c r="A2427" t="str">
        <f>IFERROR(__xludf.DUMMYFUNCTION("""COMPUTED_VALUE"""),"Birdsquared")</f>
        <v>Birdsquared</v>
      </c>
      <c r="B2427" t="str">
        <f>IFERROR(__xludf.DUMMYFUNCTION("""COMPUTED_VALUE"""),"Vancouver")</f>
        <v>Vancouver</v>
      </c>
      <c r="C2427" t="str">
        <f>IFERROR(__xludf.DUMMYFUNCTION("""COMPUTED_VALUE"""),"BC")</f>
        <v>BC</v>
      </c>
      <c r="D2427" t="str">
        <f>IFERROR(__xludf.DUMMYFUNCTION("""COMPUTED_VALUE"""),"Canada")</f>
        <v>Canada</v>
      </c>
      <c r="E2427" s="188">
        <f>IFERROR(__xludf.DUMMYFUNCTION("""COMPUTED_VALUE"""),43878.0)</f>
        <v>43878</v>
      </c>
      <c r="F2427" s="188">
        <f>IFERROR(__xludf.DUMMYFUNCTION("""COMPUTED_VALUE"""),43895.0)</f>
        <v>43895</v>
      </c>
      <c r="H2427">
        <f>IFERROR(__xludf.DUMMYFUNCTION("""COMPUTED_VALUE"""),716335.0)</f>
        <v>716335</v>
      </c>
      <c r="I2427" t="str">
        <f>IFERROR(__xludf.DUMMYFUNCTION("""COMPUTED_VALUE"""),"03/20")</f>
        <v>03/20</v>
      </c>
      <c r="J2427" s="5">
        <f>IFERROR(__xludf.DUMMYFUNCTION("""COMPUTED_VALUE"""),43899.0)</f>
        <v>43899</v>
      </c>
      <c r="K2427">
        <f>IFERROR(__xludf.DUMMYFUNCTION("""COMPUTED_VALUE"""),17.0)</f>
        <v>17</v>
      </c>
      <c r="L2427">
        <f>IFERROR(__xludf.DUMMYFUNCTION("""COMPUTED_VALUE"""),4.0)</f>
        <v>4</v>
      </c>
      <c r="M2427">
        <f>IFERROR(__xludf.DUMMYFUNCTION("""COMPUTED_VALUE"""),21.0)</f>
        <v>21</v>
      </c>
      <c r="N2427" t="str">
        <f>IFERROR(__xludf.DUMMYFUNCTION("""COMPUTED_VALUE"""),"Model 3 LR AWD")</f>
        <v>Model 3 LR AWD</v>
      </c>
      <c r="O2427" t="str">
        <f>IFERROR(__xludf.DUMMYFUNCTION("""COMPUTED_VALUE"""),"Midnight Silver Metallic")</f>
        <v>Midnight Silver Metallic</v>
      </c>
      <c r="P2427" t="str">
        <f>IFERROR(__xludf.DUMMYFUNCTION("""COMPUTED_VALUE"""),"18 inch Aero")</f>
        <v>18 inch Aero</v>
      </c>
      <c r="Q2427" t="str">
        <f>IFERROR(__xludf.DUMMYFUNCTION("""COMPUTED_VALUE"""),"Black seats")</f>
        <v>Black seats</v>
      </c>
      <c r="R2427" t="str">
        <f>IFERROR(__xludf.DUMMYFUNCTION("""COMPUTED_VALUE"""),"Autopilot")</f>
        <v>Autopilot</v>
      </c>
      <c r="X2427" t="str">
        <f>IFERROR(__xludf.DUMMYFUNCTION("""COMPUTED_VALUE"""),"Excellent")</f>
        <v>Excellent</v>
      </c>
      <c r="Y2427" t="str">
        <f>IFERROR(__xludf.DUMMYFUNCTION("""COMPUTED_VALUE"""),"Excellent")</f>
        <v>Excellent</v>
      </c>
      <c r="Z2427" t="str">
        <f>IFERROR(__xludf.DUMMYFUNCTION("""COMPUTED_VALUE"""),"Excellent")</f>
        <v>Excellent</v>
      </c>
      <c r="AA2427" t="str">
        <f>IFERROR(__xludf.DUMMYFUNCTION("""COMPUTED_VALUE"""),"Fair")</f>
        <v>Fair</v>
      </c>
      <c r="AB2427" t="str">
        <f>IFERROR(__xludf.DUMMYFUNCTION("""COMPUTED_VALUE"""),"Very Good")</f>
        <v>Very Good</v>
      </c>
      <c r="AC2427">
        <f>IFERROR(__xludf.DUMMYFUNCTION("""COMPUTED_VALUE"""),1.0)</f>
        <v>1</v>
      </c>
      <c r="AD2427">
        <f>IFERROR(__xludf.DUMMYFUNCTION("""COMPUTED_VALUE"""),1.0)</f>
        <v>1</v>
      </c>
      <c r="AE2427">
        <f>IFERROR(__xludf.DUMMYFUNCTION("""COMPUTED_VALUE"""),0.0)</f>
        <v>0</v>
      </c>
      <c r="AG2427" t="str">
        <f>IFERROR(__xludf.DUMMYFUNCTION("""COMPUTED_VALUE"""),"The driver's side windshield wiper needed a 5 minute adjustment to stop hitting the A pillar.")</f>
        <v>The driver's side windshield wiper needed a 5 minute adjustment to stop hitting the A pillar.</v>
      </c>
      <c r="AH2427" s="189">
        <f>IFERROR(__xludf.DUMMYFUNCTION("""COMPUTED_VALUE"""),43922.792315729166)</f>
        <v>43922.79232</v>
      </c>
    </row>
    <row r="2428">
      <c r="A2428" t="str">
        <f>IFERROR(__xludf.DUMMYFUNCTION("""COMPUTED_VALUE"""),"scottwith1t")</f>
        <v>scottwith1t</v>
      </c>
      <c r="B2428" t="str">
        <f>IFERROR(__xludf.DUMMYFUNCTION("""COMPUTED_VALUE"""),"Jacksonville")</f>
        <v>Jacksonville</v>
      </c>
      <c r="C2428" t="str">
        <f>IFERROR(__xludf.DUMMYFUNCTION("""COMPUTED_VALUE"""),"FL")</f>
        <v>FL</v>
      </c>
      <c r="D2428" t="str">
        <f>IFERROR(__xludf.DUMMYFUNCTION("""COMPUTED_VALUE"""),"USA")</f>
        <v>USA</v>
      </c>
      <c r="E2428" s="188">
        <f>IFERROR(__xludf.DUMMYFUNCTION("""COMPUTED_VALUE"""),43880.0)</f>
        <v>43880</v>
      </c>
      <c r="F2428" s="188">
        <f>IFERROR(__xludf.DUMMYFUNCTION("""COMPUTED_VALUE"""),43888.0)</f>
        <v>43888</v>
      </c>
      <c r="H2428">
        <f>IFERROR(__xludf.DUMMYFUNCTION("""COMPUTED_VALUE"""),650485.0)</f>
        <v>650485</v>
      </c>
      <c r="I2428" t="str">
        <f>IFERROR(__xludf.DUMMYFUNCTION("""COMPUTED_VALUE"""),"02/20")</f>
        <v>02/20</v>
      </c>
      <c r="J2428" s="5">
        <f>IFERROR(__xludf.DUMMYFUNCTION("""COMPUTED_VALUE"""),43904.0)</f>
        <v>43904</v>
      </c>
      <c r="K2428">
        <f>IFERROR(__xludf.DUMMYFUNCTION("""COMPUTED_VALUE"""),8.0)</f>
        <v>8</v>
      </c>
      <c r="L2428">
        <f>IFERROR(__xludf.DUMMYFUNCTION("""COMPUTED_VALUE"""),16.0)</f>
        <v>16</v>
      </c>
      <c r="M2428">
        <f>IFERROR(__xludf.DUMMYFUNCTION("""COMPUTED_VALUE"""),24.0)</f>
        <v>24</v>
      </c>
      <c r="N2428" t="str">
        <f>IFERROR(__xludf.DUMMYFUNCTION("""COMPUTED_VALUE"""),"Model 3 LR AWD")</f>
        <v>Model 3 LR AWD</v>
      </c>
      <c r="O2428" t="str">
        <f>IFERROR(__xludf.DUMMYFUNCTION("""COMPUTED_VALUE"""),"Pearl White Multi-Coat")</f>
        <v>Pearl White Multi-Coat</v>
      </c>
      <c r="P2428" t="str">
        <f>IFERROR(__xludf.DUMMYFUNCTION("""COMPUTED_VALUE"""),"18 inch Aero")</f>
        <v>18 inch Aero</v>
      </c>
      <c r="Q2428" t="str">
        <f>IFERROR(__xludf.DUMMYFUNCTION("""COMPUTED_VALUE"""),"Black seats")</f>
        <v>Black seats</v>
      </c>
      <c r="R2428" t="str">
        <f>IFERROR(__xludf.DUMMYFUNCTION("""COMPUTED_VALUE"""),"Autopilot")</f>
        <v>Autopilot</v>
      </c>
      <c r="X2428" t="str">
        <f>IFERROR(__xludf.DUMMYFUNCTION("""COMPUTED_VALUE"""),"Good")</f>
        <v>Good</v>
      </c>
      <c r="Y2428" t="str">
        <f>IFERROR(__xludf.DUMMYFUNCTION("""COMPUTED_VALUE"""),"Very Good")</f>
        <v>Very Good</v>
      </c>
      <c r="Z2428" t="str">
        <f>IFERROR(__xludf.DUMMYFUNCTION("""COMPUTED_VALUE"""),"Fair")</f>
        <v>Fair</v>
      </c>
      <c r="AA2428" t="str">
        <f>IFERROR(__xludf.DUMMYFUNCTION("""COMPUTED_VALUE"""),"Good")</f>
        <v>Good</v>
      </c>
      <c r="AB2428" t="str">
        <f>IFERROR(__xludf.DUMMYFUNCTION("""COMPUTED_VALUE"""),"Good")</f>
        <v>Good</v>
      </c>
      <c r="AC2428">
        <f>IFERROR(__xludf.DUMMYFUNCTION("""COMPUTED_VALUE"""),0.0)</f>
        <v>0</v>
      </c>
      <c r="AD2428">
        <f>IFERROR(__xludf.DUMMYFUNCTION("""COMPUTED_VALUE"""),0.0)</f>
        <v>0</v>
      </c>
      <c r="AE2428">
        <f>IFERROR(__xludf.DUMMYFUNCTION("""COMPUTED_VALUE"""),0.0)</f>
        <v>0</v>
      </c>
      <c r="AG2428" t="str">
        <f>IFERROR(__xludf.DUMMYFUNCTION("""COMPUTED_VALUE"""),"rear right panel slightly mis-aligned, welded into place so unable to be adjusted. Not a deal breaker, but annoying. Car was washed by Tesla prior to delivery adding significant scratches. Car should not have been washed prior to delivery if they weren't "&amp;"going to wash it properly. ")</f>
        <v>rear right panel slightly mis-aligned, welded into place so unable to be adjusted. Not a deal breaker, but annoying. Car was washed by Tesla prior to delivery adding significant scratches. Car should not have been washed prior to delivery if they weren't going to wash it properly. </v>
      </c>
      <c r="AH2428" s="189">
        <f>IFERROR(__xludf.DUMMYFUNCTION("""COMPUTED_VALUE"""),43923.2077575463)</f>
        <v>43923.20776</v>
      </c>
    </row>
    <row r="2429">
      <c r="A2429" t="str">
        <f>IFERROR(__xludf.DUMMYFUNCTION("""COMPUTED_VALUE"""),"GeneralSpecific")</f>
        <v>GeneralSpecific</v>
      </c>
      <c r="B2429" t="str">
        <f>IFERROR(__xludf.DUMMYFUNCTION("""COMPUTED_VALUE"""),"Brooklyn")</f>
        <v>Brooklyn</v>
      </c>
      <c r="C2429" t="str">
        <f>IFERROR(__xludf.DUMMYFUNCTION("""COMPUTED_VALUE"""),"WI")</f>
        <v>WI</v>
      </c>
      <c r="D2429" t="str">
        <f>IFERROR(__xludf.DUMMYFUNCTION("""COMPUTED_VALUE"""),"USA")</f>
        <v>USA</v>
      </c>
      <c r="E2429" s="188">
        <f>IFERROR(__xludf.DUMMYFUNCTION("""COMPUTED_VALUE"""),43890.0)</f>
        <v>43890</v>
      </c>
      <c r="F2429" s="188">
        <f>IFERROR(__xludf.DUMMYFUNCTION("""COMPUTED_VALUE"""),43900.0)</f>
        <v>43900</v>
      </c>
      <c r="H2429">
        <f>IFERROR(__xludf.DUMMYFUNCTION("""COMPUTED_VALUE"""),668186.0)</f>
        <v>668186</v>
      </c>
      <c r="I2429" t="str">
        <f>IFERROR(__xludf.DUMMYFUNCTION("""COMPUTED_VALUE"""),"03/20")</f>
        <v>03/20</v>
      </c>
      <c r="J2429" s="5">
        <f>IFERROR(__xludf.DUMMYFUNCTION("""COMPUTED_VALUE"""),43907.0)</f>
        <v>43907</v>
      </c>
      <c r="K2429">
        <f>IFERROR(__xludf.DUMMYFUNCTION("""COMPUTED_VALUE"""),10.0)</f>
        <v>10</v>
      </c>
      <c r="L2429">
        <f>IFERROR(__xludf.DUMMYFUNCTION("""COMPUTED_VALUE"""),7.0)</f>
        <v>7</v>
      </c>
      <c r="M2429">
        <f>IFERROR(__xludf.DUMMYFUNCTION("""COMPUTED_VALUE"""),17.0)</f>
        <v>17</v>
      </c>
      <c r="N2429" t="str">
        <f>IFERROR(__xludf.DUMMYFUNCTION("""COMPUTED_VALUE"""),"Model 3 LR AWD")</f>
        <v>Model 3 LR AWD</v>
      </c>
      <c r="O2429" t="str">
        <f>IFERROR(__xludf.DUMMYFUNCTION("""COMPUTED_VALUE"""),"Red Multi-Coat")</f>
        <v>Red Multi-Coat</v>
      </c>
      <c r="P2429" t="str">
        <f>IFERROR(__xludf.DUMMYFUNCTION("""COMPUTED_VALUE"""),"18 inch Aero")</f>
        <v>18 inch Aero</v>
      </c>
      <c r="Q2429" t="str">
        <f>IFERROR(__xludf.DUMMYFUNCTION("""COMPUTED_VALUE"""),"White seats")</f>
        <v>White seats</v>
      </c>
      <c r="R2429" t="str">
        <f>IFERROR(__xludf.DUMMYFUNCTION("""COMPUTED_VALUE"""),"Full Self-Driving")</f>
        <v>Full Self-Driving</v>
      </c>
      <c r="X2429" t="str">
        <f>IFERROR(__xludf.DUMMYFUNCTION("""COMPUTED_VALUE"""),"Excellent")</f>
        <v>Excellent</v>
      </c>
      <c r="Y2429" t="str">
        <f>IFERROR(__xludf.DUMMYFUNCTION("""COMPUTED_VALUE"""),"Very Good")</f>
        <v>Very Good</v>
      </c>
      <c r="Z2429" t="str">
        <f>IFERROR(__xludf.DUMMYFUNCTION("""COMPUTED_VALUE"""),"Good")</f>
        <v>Good</v>
      </c>
      <c r="AA2429" t="str">
        <f>IFERROR(__xludf.DUMMYFUNCTION("""COMPUTED_VALUE"""),"Fair")</f>
        <v>Fair</v>
      </c>
      <c r="AB2429" t="str">
        <f>IFERROR(__xludf.DUMMYFUNCTION("""COMPUTED_VALUE"""),"Excellent")</f>
        <v>Excellent</v>
      </c>
      <c r="AC2429">
        <f>IFERROR(__xludf.DUMMYFUNCTION("""COMPUTED_VALUE"""),1.0)</f>
        <v>1</v>
      </c>
      <c r="AD2429">
        <f>IFERROR(__xludf.DUMMYFUNCTION("""COMPUTED_VALUE"""),1.0)</f>
        <v>1</v>
      </c>
      <c r="AE2429">
        <f>IFERROR(__xludf.DUMMYFUNCTION("""COMPUTED_VALUE"""),0.0)</f>
        <v>0</v>
      </c>
      <c r="AG2429" t="str">
        <f>IFERROR(__xludf.DUMMYFUNCTION("""COMPUTED_VALUE"""),"Fantastic experience all the way thought. The only issue was a small ding on the rear view mirror which they didn’t have on hand at the delivery center. ")</f>
        <v>Fantastic experience all the way thought. The only issue was a small ding on the rear view mirror which they didn’t have on hand at the delivery center. </v>
      </c>
      <c r="AH2429" s="189">
        <f>IFERROR(__xludf.DUMMYFUNCTION("""COMPUTED_VALUE"""),43925.48472421296)</f>
        <v>43925.48472</v>
      </c>
    </row>
    <row r="2430">
      <c r="A2430" t="str">
        <f>IFERROR(__xludf.DUMMYFUNCTION("""COMPUTED_VALUE"""),"schmluss")</f>
        <v>schmluss</v>
      </c>
      <c r="B2430" t="str">
        <f>IFERROR(__xludf.DUMMYFUNCTION("""COMPUTED_VALUE"""),"Redondo Beach")</f>
        <v>Redondo Beach</v>
      </c>
      <c r="C2430" t="str">
        <f>IFERROR(__xludf.DUMMYFUNCTION("""COMPUTED_VALUE"""),"CA")</f>
        <v>CA</v>
      </c>
      <c r="D2430" t="str">
        <f>IFERROR(__xludf.DUMMYFUNCTION("""COMPUTED_VALUE"""),"USA")</f>
        <v>USA</v>
      </c>
      <c r="E2430" s="188">
        <f>IFERROR(__xludf.DUMMYFUNCTION("""COMPUTED_VALUE"""),43865.0)</f>
        <v>43865</v>
      </c>
      <c r="F2430" s="188">
        <f>IFERROR(__xludf.DUMMYFUNCTION("""COMPUTED_VALUE"""),43891.0)</f>
        <v>43891</v>
      </c>
      <c r="H2430" s="4">
        <f>IFERROR(__xludf.DUMMYFUNCTION("""COMPUTED_VALUE"""),658862.0)</f>
        <v>658862</v>
      </c>
      <c r="J2430" s="5">
        <f>IFERROR(__xludf.DUMMYFUNCTION("""COMPUTED_VALUE"""),43893.0)</f>
        <v>43893</v>
      </c>
      <c r="K2430">
        <f>IFERROR(__xludf.DUMMYFUNCTION("""COMPUTED_VALUE"""),26.0)</f>
        <v>26</v>
      </c>
      <c r="L2430">
        <f>IFERROR(__xludf.DUMMYFUNCTION("""COMPUTED_VALUE"""),2.0)</f>
        <v>2</v>
      </c>
      <c r="M2430">
        <f>IFERROR(__xludf.DUMMYFUNCTION("""COMPUTED_VALUE"""),28.0)</f>
        <v>28</v>
      </c>
      <c r="N2430" t="str">
        <f>IFERROR(__xludf.DUMMYFUNCTION("""COMPUTED_VALUE"""),"Model 3 SR+")</f>
        <v>Model 3 SR+</v>
      </c>
      <c r="O2430" t="str">
        <f>IFERROR(__xludf.DUMMYFUNCTION("""COMPUTED_VALUE"""),"Pearl White Multi-Coat")</f>
        <v>Pearl White Multi-Coat</v>
      </c>
      <c r="P2430" t="str">
        <f>IFERROR(__xludf.DUMMYFUNCTION("""COMPUTED_VALUE"""),"18 inch Aero")</f>
        <v>18 inch Aero</v>
      </c>
      <c r="Q2430" t="str">
        <f>IFERROR(__xludf.DUMMYFUNCTION("""COMPUTED_VALUE"""),"Black seats")</f>
        <v>Black seats</v>
      </c>
      <c r="R2430" t="str">
        <f>IFERROR(__xludf.DUMMYFUNCTION("""COMPUTED_VALUE"""),"Autopilot")</f>
        <v>Autopilot</v>
      </c>
      <c r="X2430" t="str">
        <f>IFERROR(__xludf.DUMMYFUNCTION("""COMPUTED_VALUE"""),"Very Good")</f>
        <v>Very Good</v>
      </c>
      <c r="Y2430" t="str">
        <f>IFERROR(__xludf.DUMMYFUNCTION("""COMPUTED_VALUE"""),"Excellent")</f>
        <v>Excellent</v>
      </c>
      <c r="Z2430" t="str">
        <f>IFERROR(__xludf.DUMMYFUNCTION("""COMPUTED_VALUE"""),"Very Good")</f>
        <v>Very Good</v>
      </c>
      <c r="AA2430" t="str">
        <f>IFERROR(__xludf.DUMMYFUNCTION("""COMPUTED_VALUE"""),"Very Good")</f>
        <v>Very Good</v>
      </c>
      <c r="AB2430" t="str">
        <f>IFERROR(__xludf.DUMMYFUNCTION("""COMPUTED_VALUE"""),"Excellent")</f>
        <v>Excellent</v>
      </c>
      <c r="AC2430">
        <f>IFERROR(__xludf.DUMMYFUNCTION("""COMPUTED_VALUE"""),1.0)</f>
        <v>1</v>
      </c>
      <c r="AD2430">
        <f>IFERROR(__xludf.DUMMYFUNCTION("""COMPUTED_VALUE"""),1.0)</f>
        <v>1</v>
      </c>
      <c r="AE2430">
        <f>IFERROR(__xludf.DUMMYFUNCTION("""COMPUTED_VALUE"""),0.0)</f>
        <v>0</v>
      </c>
      <c r="AH2430" s="189">
        <f>IFERROR(__xludf.DUMMYFUNCTION("""COMPUTED_VALUE"""),43925.91609409722)</f>
        <v>43925.91609</v>
      </c>
    </row>
    <row r="2431">
      <c r="A2431" t="str">
        <f>IFERROR(__xludf.DUMMYFUNCTION("""COMPUTED_VALUE"""),"WaitingForTesla")</f>
        <v>WaitingForTesla</v>
      </c>
      <c r="B2431" t="str">
        <f>IFERROR(__xludf.DUMMYFUNCTION("""COMPUTED_VALUE"""),"Bellevue")</f>
        <v>Bellevue</v>
      </c>
      <c r="C2431" t="str">
        <f>IFERROR(__xludf.DUMMYFUNCTION("""COMPUTED_VALUE"""),"WA")</f>
        <v>WA</v>
      </c>
      <c r="D2431" t="str">
        <f>IFERROR(__xludf.DUMMYFUNCTION("""COMPUTED_VALUE"""),"USA")</f>
        <v>USA</v>
      </c>
      <c r="E2431" s="188">
        <f>IFERROR(__xludf.DUMMYFUNCTION("""COMPUTED_VALUE"""),43857.0)</f>
        <v>43857</v>
      </c>
      <c r="F2431" s="188">
        <f>IFERROR(__xludf.DUMMYFUNCTION("""COMPUTED_VALUE"""),43890.0)</f>
        <v>43890</v>
      </c>
      <c r="H2431">
        <f>IFERROR(__xludf.DUMMYFUNCTION("""COMPUTED_VALUE"""),641455.0)</f>
        <v>641455</v>
      </c>
      <c r="I2431" t="str">
        <f>IFERROR(__xludf.DUMMYFUNCTION("""COMPUTED_VALUE"""),"02/20")</f>
        <v>02/20</v>
      </c>
      <c r="J2431" s="5">
        <f>IFERROR(__xludf.DUMMYFUNCTION("""COMPUTED_VALUE"""),43894.0)</f>
        <v>43894</v>
      </c>
      <c r="K2431">
        <f>IFERROR(__xludf.DUMMYFUNCTION("""COMPUTED_VALUE"""),33.0)</f>
        <v>33</v>
      </c>
      <c r="L2431">
        <f>IFERROR(__xludf.DUMMYFUNCTION("""COMPUTED_VALUE"""),4.0)</f>
        <v>4</v>
      </c>
      <c r="M2431">
        <f>IFERROR(__xludf.DUMMYFUNCTION("""COMPUTED_VALUE"""),37.0)</f>
        <v>37</v>
      </c>
      <c r="N2431" t="str">
        <f>IFERROR(__xludf.DUMMYFUNCTION("""COMPUTED_VALUE"""),"Model 3 Performance")</f>
        <v>Model 3 Performance</v>
      </c>
      <c r="O2431" t="str">
        <f>IFERROR(__xludf.DUMMYFUNCTION("""COMPUTED_VALUE"""),"Pearl White Multi-Coat")</f>
        <v>Pearl White Multi-Coat</v>
      </c>
      <c r="P2431" t="str">
        <f>IFERROR(__xludf.DUMMYFUNCTION("""COMPUTED_VALUE"""),"20 inch Sport")</f>
        <v>20 inch Sport</v>
      </c>
      <c r="Q2431" t="str">
        <f>IFERROR(__xludf.DUMMYFUNCTION("""COMPUTED_VALUE"""),"Black seats")</f>
        <v>Black seats</v>
      </c>
      <c r="R2431" t="str">
        <f>IFERROR(__xludf.DUMMYFUNCTION("""COMPUTED_VALUE"""),"Autopilot")</f>
        <v>Autopilot</v>
      </c>
      <c r="X2431" t="str">
        <f>IFERROR(__xludf.DUMMYFUNCTION("""COMPUTED_VALUE"""),"Very Good")</f>
        <v>Very Good</v>
      </c>
      <c r="Y2431" t="str">
        <f>IFERROR(__xludf.DUMMYFUNCTION("""COMPUTED_VALUE"""),"Very Good")</f>
        <v>Very Good</v>
      </c>
      <c r="Z2431" t="str">
        <f>IFERROR(__xludf.DUMMYFUNCTION("""COMPUTED_VALUE"""),"Very Good")</f>
        <v>Very Good</v>
      </c>
      <c r="AA2431" t="str">
        <f>IFERROR(__xludf.DUMMYFUNCTION("""COMPUTED_VALUE"""),"Fair")</f>
        <v>Fair</v>
      </c>
      <c r="AB2431" t="str">
        <f>IFERROR(__xludf.DUMMYFUNCTION("""COMPUTED_VALUE"""),"Excellent")</f>
        <v>Excellent</v>
      </c>
      <c r="AC2431">
        <f>IFERROR(__xludf.DUMMYFUNCTION("""COMPUTED_VALUE"""),0.0)</f>
        <v>0</v>
      </c>
      <c r="AD2431">
        <f>IFERROR(__xludf.DUMMYFUNCTION("""COMPUTED_VALUE"""),0.0)</f>
        <v>0</v>
      </c>
      <c r="AE2431">
        <f>IFERROR(__xludf.DUMMYFUNCTION("""COMPUTED_VALUE"""),0.0)</f>
        <v>0</v>
      </c>
      <c r="AH2431" s="189">
        <f>IFERROR(__xludf.DUMMYFUNCTION("""COMPUTED_VALUE"""),43927.544060949076)</f>
        <v>43927.54406</v>
      </c>
    </row>
    <row r="2432">
      <c r="A2432" t="str">
        <f>IFERROR(__xludf.DUMMYFUNCTION("""COMPUTED_VALUE"""),"supraphonic")</f>
        <v>supraphonic</v>
      </c>
      <c r="B2432" t="str">
        <f>IFERROR(__xludf.DUMMYFUNCTION("""COMPUTED_VALUE"""),"San Diego")</f>
        <v>San Diego</v>
      </c>
      <c r="C2432" t="str">
        <f>IFERROR(__xludf.DUMMYFUNCTION("""COMPUTED_VALUE"""),"CA")</f>
        <v>CA</v>
      </c>
      <c r="D2432" t="str">
        <f>IFERROR(__xludf.DUMMYFUNCTION("""COMPUTED_VALUE"""),"USA")</f>
        <v>USA</v>
      </c>
      <c r="E2432" s="188">
        <f>IFERROR(__xludf.DUMMYFUNCTION("""COMPUTED_VALUE"""),43902.0)</f>
        <v>43902</v>
      </c>
      <c r="F2432" s="188">
        <f>IFERROR(__xludf.DUMMYFUNCTION("""COMPUTED_VALUE"""),43912.0)</f>
        <v>43912</v>
      </c>
      <c r="H2432">
        <f>IFERROR(__xludf.DUMMYFUNCTION("""COMPUTED_VALUE"""),706412.0)</f>
        <v>706412</v>
      </c>
      <c r="I2432" t="str">
        <f>IFERROR(__xludf.DUMMYFUNCTION("""COMPUTED_VALUE"""),"03/20")</f>
        <v>03/20</v>
      </c>
      <c r="J2432" s="5">
        <f>IFERROR(__xludf.DUMMYFUNCTION("""COMPUTED_VALUE"""),43916.0)</f>
        <v>43916</v>
      </c>
      <c r="K2432">
        <f>IFERROR(__xludf.DUMMYFUNCTION("""COMPUTED_VALUE"""),10.0)</f>
        <v>10</v>
      </c>
      <c r="L2432">
        <f>IFERROR(__xludf.DUMMYFUNCTION("""COMPUTED_VALUE"""),4.0)</f>
        <v>4</v>
      </c>
      <c r="M2432">
        <f>IFERROR(__xludf.DUMMYFUNCTION("""COMPUTED_VALUE"""),14.0)</f>
        <v>14</v>
      </c>
      <c r="N2432" t="str">
        <f>IFERROR(__xludf.DUMMYFUNCTION("""COMPUTED_VALUE"""),"Model 3 SR")</f>
        <v>Model 3 SR</v>
      </c>
      <c r="O2432" t="str">
        <f>IFERROR(__xludf.DUMMYFUNCTION("""COMPUTED_VALUE"""),"Pearl White Multi-Coat")</f>
        <v>Pearl White Multi-Coat</v>
      </c>
      <c r="P2432" t="str">
        <f>IFERROR(__xludf.DUMMYFUNCTION("""COMPUTED_VALUE"""),"18 inch Aero")</f>
        <v>18 inch Aero</v>
      </c>
      <c r="Q2432" t="str">
        <f>IFERROR(__xludf.DUMMYFUNCTION("""COMPUTED_VALUE"""),"Black seats")</f>
        <v>Black seats</v>
      </c>
      <c r="X2432" t="str">
        <f>IFERROR(__xludf.DUMMYFUNCTION("""COMPUTED_VALUE"""),"Very Good")</f>
        <v>Very Good</v>
      </c>
      <c r="Y2432" t="str">
        <f>IFERROR(__xludf.DUMMYFUNCTION("""COMPUTED_VALUE"""),"Good")</f>
        <v>Good</v>
      </c>
      <c r="Z2432" t="str">
        <f>IFERROR(__xludf.DUMMYFUNCTION("""COMPUTED_VALUE"""),"Good")</f>
        <v>Good</v>
      </c>
      <c r="AA2432" t="str">
        <f>IFERROR(__xludf.DUMMYFUNCTION("""COMPUTED_VALUE"""),"Very Good")</f>
        <v>Very Good</v>
      </c>
      <c r="AB2432" t="str">
        <f>IFERROR(__xludf.DUMMYFUNCTION("""COMPUTED_VALUE"""),"Very Good")</f>
        <v>Very Good</v>
      </c>
      <c r="AC2432">
        <f>IFERROR(__xludf.DUMMYFUNCTION("""COMPUTED_VALUE"""),2.0)</f>
        <v>2</v>
      </c>
      <c r="AH2432" s="189">
        <f>IFERROR(__xludf.DUMMYFUNCTION("""COMPUTED_VALUE"""),43928.63182807871)</f>
        <v>43928.63183</v>
      </c>
    </row>
    <row r="2433">
      <c r="A2433" t="str">
        <f>IFERROR(__xludf.DUMMYFUNCTION("""COMPUTED_VALUE"""),"Mantlepiece01")</f>
        <v>Mantlepiece01</v>
      </c>
      <c r="B2433" t="str">
        <f>IFERROR(__xludf.DUMMYFUNCTION("""COMPUTED_VALUE"""),"Redditch")</f>
        <v>Redditch</v>
      </c>
      <c r="D2433" t="str">
        <f>IFERROR(__xludf.DUMMYFUNCTION("""COMPUTED_VALUE"""),"United Kingdom")</f>
        <v>United Kingdom</v>
      </c>
      <c r="E2433" s="188">
        <f>IFERROR(__xludf.DUMMYFUNCTION("""COMPUTED_VALUE"""),43850.0)</f>
        <v>43850</v>
      </c>
      <c r="F2433" s="188">
        <f>IFERROR(__xludf.DUMMYFUNCTION("""COMPUTED_VALUE"""),43873.0)</f>
        <v>43873</v>
      </c>
      <c r="H2433" s="4">
        <f>IFERROR(__xludf.DUMMYFUNCTION("""COMPUTED_VALUE"""),702088.0)</f>
        <v>702088</v>
      </c>
      <c r="I2433" t="str">
        <f>IFERROR(__xludf.DUMMYFUNCTION("""COMPUTED_VALUE"""),"03/20")</f>
        <v>03/20</v>
      </c>
      <c r="J2433" s="5">
        <f>IFERROR(__xludf.DUMMYFUNCTION("""COMPUTED_VALUE"""),43910.0)</f>
        <v>43910</v>
      </c>
      <c r="K2433">
        <f>IFERROR(__xludf.DUMMYFUNCTION("""COMPUTED_VALUE"""),23.0)</f>
        <v>23</v>
      </c>
      <c r="L2433">
        <f>IFERROR(__xludf.DUMMYFUNCTION("""COMPUTED_VALUE"""),37.0)</f>
        <v>37</v>
      </c>
      <c r="M2433">
        <f>IFERROR(__xludf.DUMMYFUNCTION("""COMPUTED_VALUE"""),60.0)</f>
        <v>60</v>
      </c>
      <c r="N2433" t="str">
        <f>IFERROR(__xludf.DUMMYFUNCTION("""COMPUTED_VALUE"""),"Model 3 LR AWD")</f>
        <v>Model 3 LR AWD</v>
      </c>
      <c r="O2433" t="str">
        <f>IFERROR(__xludf.DUMMYFUNCTION("""COMPUTED_VALUE"""),"Midnight Silver Metallic")</f>
        <v>Midnight Silver Metallic</v>
      </c>
      <c r="P2433" t="str">
        <f>IFERROR(__xludf.DUMMYFUNCTION("""COMPUTED_VALUE"""),"18 inch Aero")</f>
        <v>18 inch Aero</v>
      </c>
      <c r="Q2433" t="str">
        <f>IFERROR(__xludf.DUMMYFUNCTION("""COMPUTED_VALUE"""),"Black seats")</f>
        <v>Black seats</v>
      </c>
      <c r="R2433" t="str">
        <f>IFERROR(__xludf.DUMMYFUNCTION("""COMPUTED_VALUE"""),"Autopilot")</f>
        <v>Autopilot</v>
      </c>
      <c r="X2433" t="str">
        <f>IFERROR(__xludf.DUMMYFUNCTION("""COMPUTED_VALUE"""),"Very Good")</f>
        <v>Very Good</v>
      </c>
      <c r="Y2433" t="str">
        <f>IFERROR(__xludf.DUMMYFUNCTION("""COMPUTED_VALUE"""),"Excellent")</f>
        <v>Excellent</v>
      </c>
      <c r="Z2433" t="str">
        <f>IFERROR(__xludf.DUMMYFUNCTION("""COMPUTED_VALUE"""),"Fair")</f>
        <v>Fair</v>
      </c>
      <c r="AA2433" t="str">
        <f>IFERROR(__xludf.DUMMYFUNCTION("""COMPUTED_VALUE"""),"Excellent")</f>
        <v>Excellent</v>
      </c>
      <c r="AB2433" t="str">
        <f>IFERROR(__xludf.DUMMYFUNCTION("""COMPUTED_VALUE"""),"Very Good")</f>
        <v>Very Good</v>
      </c>
      <c r="AC2433">
        <f>IFERROR(__xludf.DUMMYFUNCTION("""COMPUTED_VALUE"""),4.0)</f>
        <v>4</v>
      </c>
      <c r="AD2433">
        <f>IFERROR(__xludf.DUMMYFUNCTION("""COMPUTED_VALUE"""),1.0)</f>
        <v>1</v>
      </c>
      <c r="AE2433">
        <f>IFERROR(__xludf.DUMMYFUNCTION("""COMPUTED_VALUE"""),1.0)</f>
        <v>1</v>
      </c>
      <c r="AH2433" s="189">
        <f>IFERROR(__xludf.DUMMYFUNCTION("""COMPUTED_VALUE"""),43929.54003231481)</f>
        <v>43929.54003</v>
      </c>
    </row>
    <row r="2434">
      <c r="A2434" t="str">
        <f>IFERROR(__xludf.DUMMYFUNCTION("""COMPUTED_VALUE"""),"AZEV")</f>
        <v>AZEV</v>
      </c>
      <c r="B2434" t="str">
        <f>IFERROR(__xludf.DUMMYFUNCTION("""COMPUTED_VALUE"""),"Phoenix")</f>
        <v>Phoenix</v>
      </c>
      <c r="C2434" t="str">
        <f>IFERROR(__xludf.DUMMYFUNCTION("""COMPUTED_VALUE"""),"AZ")</f>
        <v>AZ</v>
      </c>
      <c r="D2434" t="str">
        <f>IFERROR(__xludf.DUMMYFUNCTION("""COMPUTED_VALUE"""),"USA")</f>
        <v>USA</v>
      </c>
      <c r="E2434" s="188">
        <f>IFERROR(__xludf.DUMMYFUNCTION("""COMPUTED_VALUE"""),43848.0)</f>
        <v>43848</v>
      </c>
      <c r="F2434" s="188">
        <f>IFERROR(__xludf.DUMMYFUNCTION("""COMPUTED_VALUE"""),43886.0)</f>
        <v>43886</v>
      </c>
      <c r="H2434">
        <f>IFERROR(__xludf.DUMMYFUNCTION("""COMPUTED_VALUE"""),651255.0)</f>
        <v>651255</v>
      </c>
      <c r="I2434" t="str">
        <f>IFERROR(__xludf.DUMMYFUNCTION("""COMPUTED_VALUE"""),"02/20")</f>
        <v>02/20</v>
      </c>
      <c r="J2434" s="5">
        <f>IFERROR(__xludf.DUMMYFUNCTION("""COMPUTED_VALUE"""),43888.0)</f>
        <v>43888</v>
      </c>
      <c r="K2434">
        <f>IFERROR(__xludf.DUMMYFUNCTION("""COMPUTED_VALUE"""),38.0)</f>
        <v>38</v>
      </c>
      <c r="L2434">
        <f>IFERROR(__xludf.DUMMYFUNCTION("""COMPUTED_VALUE"""),2.0)</f>
        <v>2</v>
      </c>
      <c r="M2434">
        <f>IFERROR(__xludf.DUMMYFUNCTION("""COMPUTED_VALUE"""),40.0)</f>
        <v>40</v>
      </c>
      <c r="N2434" t="str">
        <f>IFERROR(__xludf.DUMMYFUNCTION("""COMPUTED_VALUE"""),"Model 3 LR AWD")</f>
        <v>Model 3 LR AWD</v>
      </c>
      <c r="O2434" t="str">
        <f>IFERROR(__xludf.DUMMYFUNCTION("""COMPUTED_VALUE"""),"Pearl White Multi-Coat")</f>
        <v>Pearl White Multi-Coat</v>
      </c>
      <c r="P2434" t="str">
        <f>IFERROR(__xludf.DUMMYFUNCTION("""COMPUTED_VALUE"""),"19 inch Sport")</f>
        <v>19 inch Sport</v>
      </c>
      <c r="Q2434" t="str">
        <f>IFERROR(__xludf.DUMMYFUNCTION("""COMPUTED_VALUE"""),"Black seats")</f>
        <v>Black seats</v>
      </c>
      <c r="R2434" t="str">
        <f>IFERROR(__xludf.DUMMYFUNCTION("""COMPUTED_VALUE"""),"Full Self-Driving")</f>
        <v>Full Self-Driving</v>
      </c>
      <c r="X2434" t="str">
        <f>IFERROR(__xludf.DUMMYFUNCTION("""COMPUTED_VALUE"""),"Good")</f>
        <v>Good</v>
      </c>
      <c r="Y2434" t="str">
        <f>IFERROR(__xludf.DUMMYFUNCTION("""COMPUTED_VALUE"""),"Excellent")</f>
        <v>Excellent</v>
      </c>
      <c r="Z2434" t="str">
        <f>IFERROR(__xludf.DUMMYFUNCTION("""COMPUTED_VALUE"""),"Fair")</f>
        <v>Fair</v>
      </c>
      <c r="AA2434" t="str">
        <f>IFERROR(__xludf.DUMMYFUNCTION("""COMPUTED_VALUE"""),"Very Good")</f>
        <v>Very Good</v>
      </c>
      <c r="AB2434" t="str">
        <f>IFERROR(__xludf.DUMMYFUNCTION("""COMPUTED_VALUE"""),"Poor")</f>
        <v>Poor</v>
      </c>
      <c r="AC2434">
        <f>IFERROR(__xludf.DUMMYFUNCTION("""COMPUTED_VALUE"""),2.0)</f>
        <v>2</v>
      </c>
      <c r="AD2434">
        <f>IFERROR(__xludf.DUMMYFUNCTION("""COMPUTED_VALUE"""),1.0)</f>
        <v>1</v>
      </c>
      <c r="AE2434">
        <f>IFERROR(__xludf.DUMMYFUNCTION("""COMPUTED_VALUE"""),7.0)</f>
        <v>7</v>
      </c>
      <c r="AG2434" t="str">
        <f>IFERROR(__xludf.DUMMYFUNCTION("""COMPUTED_VALUE"""),"Text 1/24: DD=4-8w; Text 2/6: DD=2-5w; Text 2/13: DD=2-4w. Call to SA 2/21: 1-2w. Text 2/25 to sched delivery, and VIN appeared in source code same day 2/25")</f>
        <v>Text 1/24: DD=4-8w; Text 2/6: DD=2-5w; Text 2/13: DD=2-4w. Call to SA 2/21: 1-2w. Text 2/25 to sched delivery, and VIN appeared in source code same day 2/25</v>
      </c>
      <c r="AH2434" s="189">
        <f>IFERROR(__xludf.DUMMYFUNCTION("""COMPUTED_VALUE"""),43932.62726061343)</f>
        <v>43932.62726</v>
      </c>
    </row>
    <row r="2435">
      <c r="A2435" t="str">
        <f>IFERROR(__xludf.DUMMYFUNCTION("""COMPUTED_VALUE"""),"kevjwils")</f>
        <v>kevjwils</v>
      </c>
      <c r="B2435" t="str">
        <f>IFERROR(__xludf.DUMMYFUNCTION("""COMPUTED_VALUE"""),"Vancouver")</f>
        <v>Vancouver</v>
      </c>
      <c r="C2435" t="str">
        <f>IFERROR(__xludf.DUMMYFUNCTION("""COMPUTED_VALUE"""),"BC")</f>
        <v>BC</v>
      </c>
      <c r="D2435" t="str">
        <f>IFERROR(__xludf.DUMMYFUNCTION("""COMPUTED_VALUE"""),"Canada")</f>
        <v>Canada</v>
      </c>
      <c r="E2435" s="188">
        <f>IFERROR(__xludf.DUMMYFUNCTION("""COMPUTED_VALUE"""),43838.0)</f>
        <v>43838</v>
      </c>
      <c r="F2435" s="188">
        <f>IFERROR(__xludf.DUMMYFUNCTION("""COMPUTED_VALUE"""),43881.0)</f>
        <v>43881</v>
      </c>
      <c r="H2435" s="4">
        <f>IFERROR(__xludf.DUMMYFUNCTION("""COMPUTED_VALUE"""),703150.0)</f>
        <v>703150</v>
      </c>
      <c r="I2435" t="str">
        <f>IFERROR(__xludf.DUMMYFUNCTION("""COMPUTED_VALUE"""),"01/20")</f>
        <v>01/20</v>
      </c>
      <c r="J2435" s="5">
        <f>IFERROR(__xludf.DUMMYFUNCTION("""COMPUTED_VALUE"""),43886.0)</f>
        <v>43886</v>
      </c>
      <c r="K2435">
        <f>IFERROR(__xludf.DUMMYFUNCTION("""COMPUTED_VALUE"""),43.0)</f>
        <v>43</v>
      </c>
      <c r="L2435">
        <f>IFERROR(__xludf.DUMMYFUNCTION("""COMPUTED_VALUE"""),5.0)</f>
        <v>5</v>
      </c>
      <c r="M2435">
        <f>IFERROR(__xludf.DUMMYFUNCTION("""COMPUTED_VALUE"""),48.0)</f>
        <v>48</v>
      </c>
      <c r="N2435" t="str">
        <f>IFERROR(__xludf.DUMMYFUNCTION("""COMPUTED_VALUE"""),"Model 3 SR+")</f>
        <v>Model 3 SR+</v>
      </c>
      <c r="O2435" t="str">
        <f>IFERROR(__xludf.DUMMYFUNCTION("""COMPUTED_VALUE"""),"Midnight Silver Metallic")</f>
        <v>Midnight Silver Metallic</v>
      </c>
      <c r="P2435" t="str">
        <f>IFERROR(__xludf.DUMMYFUNCTION("""COMPUTED_VALUE"""),"18 inch Aero")</f>
        <v>18 inch Aero</v>
      </c>
      <c r="Q2435" t="str">
        <f>IFERROR(__xludf.DUMMYFUNCTION("""COMPUTED_VALUE"""),"Black seats")</f>
        <v>Black seats</v>
      </c>
      <c r="R2435" t="str">
        <f>IFERROR(__xludf.DUMMYFUNCTION("""COMPUTED_VALUE"""),"Autopilot")</f>
        <v>Autopilot</v>
      </c>
      <c r="X2435" t="str">
        <f>IFERROR(__xludf.DUMMYFUNCTION("""COMPUTED_VALUE"""),"Excellent")</f>
        <v>Excellent</v>
      </c>
      <c r="Y2435" t="str">
        <f>IFERROR(__xludf.DUMMYFUNCTION("""COMPUTED_VALUE"""),"Excellent")</f>
        <v>Excellent</v>
      </c>
      <c r="Z2435" t="str">
        <f>IFERROR(__xludf.DUMMYFUNCTION("""COMPUTED_VALUE"""),"Excellent")</f>
        <v>Excellent</v>
      </c>
      <c r="AA2435" t="str">
        <f>IFERROR(__xludf.DUMMYFUNCTION("""COMPUTED_VALUE"""),"Excellent")</f>
        <v>Excellent</v>
      </c>
      <c r="AB2435" t="str">
        <f>IFERROR(__xludf.DUMMYFUNCTION("""COMPUTED_VALUE"""),"Very Good")</f>
        <v>Very Good</v>
      </c>
      <c r="AC2435">
        <f>IFERROR(__xludf.DUMMYFUNCTION("""COMPUTED_VALUE"""),0.0)</f>
        <v>0</v>
      </c>
      <c r="AD2435">
        <f>IFERROR(__xludf.DUMMYFUNCTION("""COMPUTED_VALUE"""),0.0)</f>
        <v>0</v>
      </c>
      <c r="AE2435">
        <f>IFERROR(__xludf.DUMMYFUNCTION("""COMPUTED_VALUE"""),0.0)</f>
        <v>0</v>
      </c>
      <c r="AG2435" t="str">
        <f>IFERROR(__xludf.DUMMYFUNCTION("""COMPUTED_VALUE"""),"Received text update - Feb 13: 2-4 weeks for delivery. VIN in source on Feb 20, Delivery Appointment confirmed same day on website")</f>
        <v>Received text update - Feb 13: 2-4 weeks for delivery. VIN in source on Feb 20, Delivery Appointment confirmed same day on website</v>
      </c>
      <c r="AH2435" s="189">
        <f>IFERROR(__xludf.DUMMYFUNCTION("""COMPUTED_VALUE"""),43933.516366365744)</f>
        <v>43933.51637</v>
      </c>
    </row>
    <row r="2436">
      <c r="A2436" t="str">
        <f>IFERROR(__xludf.DUMMYFUNCTION("""COMPUTED_VALUE"""),"BOUNCER")</f>
        <v>BOUNCER</v>
      </c>
      <c r="B2436" t="str">
        <f>IFERROR(__xludf.DUMMYFUNCTION("""COMPUTED_VALUE"""),"San Diego")</f>
        <v>San Diego</v>
      </c>
      <c r="C2436" t="str">
        <f>IFERROR(__xludf.DUMMYFUNCTION("""COMPUTED_VALUE"""),"CA")</f>
        <v>CA</v>
      </c>
      <c r="D2436" t="str">
        <f>IFERROR(__xludf.DUMMYFUNCTION("""COMPUTED_VALUE"""),"USA")</f>
        <v>USA</v>
      </c>
      <c r="E2436" s="188">
        <f>IFERROR(__xludf.DUMMYFUNCTION("""COMPUTED_VALUE"""),43853.0)</f>
        <v>43853</v>
      </c>
      <c r="F2436" s="188">
        <f>IFERROR(__xludf.DUMMYFUNCTION("""COMPUTED_VALUE"""),43900.0)</f>
        <v>43900</v>
      </c>
      <c r="H2436">
        <f>IFERROR(__xludf.DUMMYFUNCTION("""COMPUTED_VALUE"""),669444.0)</f>
        <v>669444</v>
      </c>
      <c r="I2436" t="str">
        <f>IFERROR(__xludf.DUMMYFUNCTION("""COMPUTED_VALUE"""),"03/20")</f>
        <v>03/20</v>
      </c>
      <c r="J2436" s="5">
        <f>IFERROR(__xludf.DUMMYFUNCTION("""COMPUTED_VALUE"""),43903.0)</f>
        <v>43903</v>
      </c>
      <c r="K2436">
        <f>IFERROR(__xludf.DUMMYFUNCTION("""COMPUTED_VALUE"""),47.0)</f>
        <v>47</v>
      </c>
      <c r="L2436">
        <f>IFERROR(__xludf.DUMMYFUNCTION("""COMPUTED_VALUE"""),3.0)</f>
        <v>3</v>
      </c>
      <c r="M2436">
        <f>IFERROR(__xludf.DUMMYFUNCTION("""COMPUTED_VALUE"""),50.0)</f>
        <v>50</v>
      </c>
      <c r="N2436" t="str">
        <f>IFERROR(__xludf.DUMMYFUNCTION("""COMPUTED_VALUE"""),"Model 3 Performance")</f>
        <v>Model 3 Performance</v>
      </c>
      <c r="O2436" t="str">
        <f>IFERROR(__xludf.DUMMYFUNCTION("""COMPUTED_VALUE"""),"Deep Blue Metallic")</f>
        <v>Deep Blue Metallic</v>
      </c>
      <c r="P2436" t="str">
        <f>IFERROR(__xludf.DUMMYFUNCTION("""COMPUTED_VALUE"""),"20 inch Sport")</f>
        <v>20 inch Sport</v>
      </c>
      <c r="Q2436" t="str">
        <f>IFERROR(__xludf.DUMMYFUNCTION("""COMPUTED_VALUE"""),"Black seats")</f>
        <v>Black seats</v>
      </c>
      <c r="R2436" t="str">
        <f>IFERROR(__xludf.DUMMYFUNCTION("""COMPUTED_VALUE"""),"Full Self-Driving")</f>
        <v>Full Self-Driving</v>
      </c>
      <c r="X2436" t="str">
        <f>IFERROR(__xludf.DUMMYFUNCTION("""COMPUTED_VALUE"""),"Very Good")</f>
        <v>Very Good</v>
      </c>
      <c r="Y2436" t="str">
        <f>IFERROR(__xludf.DUMMYFUNCTION("""COMPUTED_VALUE"""),"Excellent")</f>
        <v>Excellent</v>
      </c>
      <c r="Z2436" t="str">
        <f>IFERROR(__xludf.DUMMYFUNCTION("""COMPUTED_VALUE"""),"Very Good")</f>
        <v>Very Good</v>
      </c>
      <c r="AA2436" t="str">
        <f>IFERROR(__xludf.DUMMYFUNCTION("""COMPUTED_VALUE"""),"Fair")</f>
        <v>Fair</v>
      </c>
      <c r="AB2436" t="str">
        <f>IFERROR(__xludf.DUMMYFUNCTION("""COMPUTED_VALUE"""),"Very Good")</f>
        <v>Very Good</v>
      </c>
      <c r="AC2436">
        <f>IFERROR(__xludf.DUMMYFUNCTION("""COMPUTED_VALUE"""),0.0)</f>
        <v>0</v>
      </c>
      <c r="AD2436">
        <f>IFERROR(__xludf.DUMMYFUNCTION("""COMPUTED_VALUE"""),0.0)</f>
        <v>0</v>
      </c>
      <c r="AE2436">
        <f>IFERROR(__xludf.DUMMYFUNCTION("""COMPUTED_VALUE"""),0.0)</f>
        <v>0</v>
      </c>
      <c r="AH2436" s="189">
        <f>IFERROR(__xludf.DUMMYFUNCTION("""COMPUTED_VALUE"""),43933.56042246528)</f>
        <v>43933.56042</v>
      </c>
    </row>
    <row r="2437">
      <c r="A2437" t="str">
        <f>IFERROR(__xludf.DUMMYFUNCTION("""COMPUTED_VALUE"""),"Bearman")</f>
        <v>Bearman</v>
      </c>
      <c r="C2437" t="str">
        <f>IFERROR(__xludf.DUMMYFUNCTION("""COMPUTED_VALUE"""),"MI")</f>
        <v>MI</v>
      </c>
      <c r="D2437" t="str">
        <f>IFERROR(__xludf.DUMMYFUNCTION("""COMPUTED_VALUE"""),"USA")</f>
        <v>USA</v>
      </c>
      <c r="E2437" s="188">
        <f>IFERROR(__xludf.DUMMYFUNCTION("""COMPUTED_VALUE"""),43894.0)</f>
        <v>43894</v>
      </c>
      <c r="F2437" s="188">
        <f>IFERROR(__xludf.DUMMYFUNCTION("""COMPUTED_VALUE"""),43895.0)</f>
        <v>43895</v>
      </c>
      <c r="H2437">
        <f>IFERROR(__xludf.DUMMYFUNCTION("""COMPUTED_VALUE"""),663585.0)</f>
        <v>663585</v>
      </c>
      <c r="J2437" s="5">
        <f>IFERROR(__xludf.DUMMYFUNCTION("""COMPUTED_VALUE"""),43910.0)</f>
        <v>43910</v>
      </c>
      <c r="K2437">
        <f>IFERROR(__xludf.DUMMYFUNCTION("""COMPUTED_VALUE"""),1.0)</f>
        <v>1</v>
      </c>
      <c r="L2437">
        <f>IFERROR(__xludf.DUMMYFUNCTION("""COMPUTED_VALUE"""),15.0)</f>
        <v>15</v>
      </c>
      <c r="M2437">
        <f>IFERROR(__xludf.DUMMYFUNCTION("""COMPUTED_VALUE"""),16.0)</f>
        <v>16</v>
      </c>
      <c r="N2437" t="str">
        <f>IFERROR(__xludf.DUMMYFUNCTION("""COMPUTED_VALUE"""),"Model 3 LR AWD")</f>
        <v>Model 3 LR AWD</v>
      </c>
      <c r="O2437" t="str">
        <f>IFERROR(__xludf.DUMMYFUNCTION("""COMPUTED_VALUE"""),"Midnight Silver Metallic")</f>
        <v>Midnight Silver Metallic</v>
      </c>
      <c r="P2437" t="str">
        <f>IFERROR(__xludf.DUMMYFUNCTION("""COMPUTED_VALUE"""),"18 inch Aero")</f>
        <v>18 inch Aero</v>
      </c>
      <c r="Q2437" t="str">
        <f>IFERROR(__xludf.DUMMYFUNCTION("""COMPUTED_VALUE"""),"Black seats")</f>
        <v>Black seats</v>
      </c>
      <c r="R2437" t="str">
        <f>IFERROR(__xludf.DUMMYFUNCTION("""COMPUTED_VALUE"""),"Autopilot")</f>
        <v>Autopilot</v>
      </c>
      <c r="X2437" t="str">
        <f>IFERROR(__xludf.DUMMYFUNCTION("""COMPUTED_VALUE"""),"Excellent")</f>
        <v>Excellent</v>
      </c>
      <c r="Y2437" t="str">
        <f>IFERROR(__xludf.DUMMYFUNCTION("""COMPUTED_VALUE"""),"Excellent")</f>
        <v>Excellent</v>
      </c>
      <c r="Z2437" t="str">
        <f>IFERROR(__xludf.DUMMYFUNCTION("""COMPUTED_VALUE"""),"Excellent")</f>
        <v>Excellent</v>
      </c>
      <c r="AA2437" t="str">
        <f>IFERROR(__xludf.DUMMYFUNCTION("""COMPUTED_VALUE"""),"Excellent")</f>
        <v>Excellent</v>
      </c>
      <c r="AB2437" t="str">
        <f>IFERROR(__xludf.DUMMYFUNCTION("""COMPUTED_VALUE"""),"Excellent")</f>
        <v>Excellent</v>
      </c>
      <c r="AC2437">
        <f>IFERROR(__xludf.DUMMYFUNCTION("""COMPUTED_VALUE"""),0.0)</f>
        <v>0</v>
      </c>
      <c r="AD2437">
        <f>IFERROR(__xludf.DUMMYFUNCTION("""COMPUTED_VALUE"""),0.0)</f>
        <v>0</v>
      </c>
      <c r="AE2437">
        <f>IFERROR(__xludf.DUMMYFUNCTION("""COMPUTED_VALUE"""),0.0)</f>
        <v>0</v>
      </c>
      <c r="AH2437" s="189">
        <f>IFERROR(__xludf.DUMMYFUNCTION("""COMPUTED_VALUE"""),43934.48152887731)</f>
        <v>43934.48153</v>
      </c>
    </row>
    <row r="2438">
      <c r="A2438" t="str">
        <f>IFERROR(__xludf.DUMMYFUNCTION("""COMPUTED_VALUE"""),"Pete1988")</f>
        <v>Pete1988</v>
      </c>
      <c r="B2438" t="str">
        <f>IFERROR(__xludf.DUMMYFUNCTION("""COMPUTED_VALUE"""),"Bern")</f>
        <v>Bern</v>
      </c>
      <c r="D2438" t="str">
        <f>IFERROR(__xludf.DUMMYFUNCTION("""COMPUTED_VALUE"""),"Switzerland")</f>
        <v>Switzerland</v>
      </c>
      <c r="E2438" s="188">
        <f>IFERROR(__xludf.DUMMYFUNCTION("""COMPUTED_VALUE"""),43869.0)</f>
        <v>43869</v>
      </c>
      <c r="F2438" s="188">
        <f>IFERROR(__xludf.DUMMYFUNCTION("""COMPUTED_VALUE"""),43880.0)</f>
        <v>43880</v>
      </c>
      <c r="H2438">
        <f>IFERROR(__xludf.DUMMYFUNCTION("""COMPUTED_VALUE"""),682255.0)</f>
        <v>682255</v>
      </c>
      <c r="J2438" s="5">
        <f>IFERROR(__xludf.DUMMYFUNCTION("""COMPUTED_VALUE"""),43902.0)</f>
        <v>43902</v>
      </c>
      <c r="K2438">
        <f>IFERROR(__xludf.DUMMYFUNCTION("""COMPUTED_VALUE"""),11.0)</f>
        <v>11</v>
      </c>
      <c r="L2438">
        <f>IFERROR(__xludf.DUMMYFUNCTION("""COMPUTED_VALUE"""),22.0)</f>
        <v>22</v>
      </c>
      <c r="M2438">
        <f>IFERROR(__xludf.DUMMYFUNCTION("""COMPUTED_VALUE"""),33.0)</f>
        <v>33</v>
      </c>
      <c r="N2438" t="str">
        <f>IFERROR(__xludf.DUMMYFUNCTION("""COMPUTED_VALUE"""),"Model 3 Performance")</f>
        <v>Model 3 Performance</v>
      </c>
      <c r="O2438" t="str">
        <f>IFERROR(__xludf.DUMMYFUNCTION("""COMPUTED_VALUE"""),"Red Multi-Coat")</f>
        <v>Red Multi-Coat</v>
      </c>
      <c r="P2438" t="str">
        <f>IFERROR(__xludf.DUMMYFUNCTION("""COMPUTED_VALUE"""),"20 inch Sport")</f>
        <v>20 inch Sport</v>
      </c>
      <c r="Q2438" t="str">
        <f>IFERROR(__xludf.DUMMYFUNCTION("""COMPUTED_VALUE"""),"Black seats")</f>
        <v>Black seats</v>
      </c>
      <c r="R2438" t="str">
        <f>IFERROR(__xludf.DUMMYFUNCTION("""COMPUTED_VALUE"""),"Full Self-Driving")</f>
        <v>Full Self-Driving</v>
      </c>
      <c r="X2438" t="str">
        <f>IFERROR(__xludf.DUMMYFUNCTION("""COMPUTED_VALUE"""),"Excellent")</f>
        <v>Excellent</v>
      </c>
      <c r="Y2438" t="str">
        <f>IFERROR(__xludf.DUMMYFUNCTION("""COMPUTED_VALUE"""),"Excellent")</f>
        <v>Excellent</v>
      </c>
      <c r="Z2438" t="str">
        <f>IFERROR(__xludf.DUMMYFUNCTION("""COMPUTED_VALUE"""),"Excellent")</f>
        <v>Excellent</v>
      </c>
      <c r="AA2438" t="str">
        <f>IFERROR(__xludf.DUMMYFUNCTION("""COMPUTED_VALUE"""),"Very Good")</f>
        <v>Very Good</v>
      </c>
      <c r="AB2438" t="str">
        <f>IFERROR(__xludf.DUMMYFUNCTION("""COMPUTED_VALUE"""),"Very Good")</f>
        <v>Very Good</v>
      </c>
      <c r="AC2438">
        <f>IFERROR(__xludf.DUMMYFUNCTION("""COMPUTED_VALUE"""),2.0)</f>
        <v>2</v>
      </c>
      <c r="AD2438">
        <f>IFERROR(__xludf.DUMMYFUNCTION("""COMPUTED_VALUE"""),1.0)</f>
        <v>1</v>
      </c>
      <c r="AE2438">
        <f>IFERROR(__xludf.DUMMYFUNCTION("""COMPUTED_VALUE"""),0.0)</f>
        <v>0</v>
      </c>
      <c r="AG2438" t="str">
        <f>IFERROR(__xludf.DUMMYFUNCTION("""COMPUTED_VALUE"""),"Vin was in the sourcecode. My Tesla was in the ship ""Grand Mark"" and will be arriving in Switzerland on the 6th of March. I received a text for scheduling delivery 2 weeks prior do deliverydate.")</f>
        <v>Vin was in the sourcecode. My Tesla was in the ship "Grand Mark" and will be arriving in Switzerland on the 6th of March. I received a text for scheduling delivery 2 weeks prior do deliverydate.</v>
      </c>
      <c r="AH2438" s="189">
        <f>IFERROR(__xludf.DUMMYFUNCTION("""COMPUTED_VALUE"""),43935.01759321759)</f>
        <v>43935.01759</v>
      </c>
    </row>
    <row r="2439">
      <c r="A2439" t="str">
        <f>IFERROR(__xludf.DUMMYFUNCTION("""COMPUTED_VALUE"""),"Asanti")</f>
        <v>Asanti</v>
      </c>
      <c r="B2439" t="str">
        <f>IFERROR(__xludf.DUMMYFUNCTION("""COMPUTED_VALUE"""),"Verona")</f>
        <v>Verona</v>
      </c>
      <c r="C2439" t="str">
        <f>IFERROR(__xludf.DUMMYFUNCTION("""COMPUTED_VALUE"""),"NJ")</f>
        <v>NJ</v>
      </c>
      <c r="D2439" t="str">
        <f>IFERROR(__xludf.DUMMYFUNCTION("""COMPUTED_VALUE"""),"USA")</f>
        <v>USA</v>
      </c>
      <c r="E2439" s="188">
        <f>IFERROR(__xludf.DUMMYFUNCTION("""COMPUTED_VALUE"""),43904.0)</f>
        <v>43904</v>
      </c>
      <c r="F2439" s="188">
        <f>IFERROR(__xludf.DUMMYFUNCTION("""COMPUTED_VALUE"""),43904.0)</f>
        <v>43904</v>
      </c>
      <c r="H2439" s="4">
        <f>IFERROR(__xludf.DUMMYFUNCTION("""COMPUTED_VALUE"""),664773.0)</f>
        <v>664773</v>
      </c>
      <c r="J2439" s="5">
        <f>IFERROR(__xludf.DUMMYFUNCTION("""COMPUTED_VALUE"""),43921.0)</f>
        <v>43921</v>
      </c>
      <c r="K2439">
        <f>IFERROR(__xludf.DUMMYFUNCTION("""COMPUTED_VALUE"""),0.0)</f>
        <v>0</v>
      </c>
      <c r="L2439">
        <f>IFERROR(__xludf.DUMMYFUNCTION("""COMPUTED_VALUE"""),17.0)</f>
        <v>17</v>
      </c>
      <c r="M2439">
        <f>IFERROR(__xludf.DUMMYFUNCTION("""COMPUTED_VALUE"""),17.0)</f>
        <v>17</v>
      </c>
      <c r="N2439" t="str">
        <f>IFERROR(__xludf.DUMMYFUNCTION("""COMPUTED_VALUE"""),"Model 3 LR AWD")</f>
        <v>Model 3 LR AWD</v>
      </c>
      <c r="O2439" t="str">
        <f>IFERROR(__xludf.DUMMYFUNCTION("""COMPUTED_VALUE"""),"Deep Blue Metallic")</f>
        <v>Deep Blue Metallic</v>
      </c>
      <c r="P2439" t="str">
        <f>IFERROR(__xludf.DUMMYFUNCTION("""COMPUTED_VALUE"""),"18 inch Aero")</f>
        <v>18 inch Aero</v>
      </c>
      <c r="Q2439" t="str">
        <f>IFERROR(__xludf.DUMMYFUNCTION("""COMPUTED_VALUE"""),"Black seats")</f>
        <v>Black seats</v>
      </c>
      <c r="R2439" t="str">
        <f>IFERROR(__xludf.DUMMYFUNCTION("""COMPUTED_VALUE"""),"Autopilot")</f>
        <v>Autopilot</v>
      </c>
      <c r="X2439" t="str">
        <f>IFERROR(__xludf.DUMMYFUNCTION("""COMPUTED_VALUE"""),"Very Good")</f>
        <v>Very Good</v>
      </c>
      <c r="Y2439" t="str">
        <f>IFERROR(__xludf.DUMMYFUNCTION("""COMPUTED_VALUE"""),"Very Good")</f>
        <v>Very Good</v>
      </c>
      <c r="Z2439" t="str">
        <f>IFERROR(__xludf.DUMMYFUNCTION("""COMPUTED_VALUE"""),"Very Good")</f>
        <v>Very Good</v>
      </c>
      <c r="AA2439" t="str">
        <f>IFERROR(__xludf.DUMMYFUNCTION("""COMPUTED_VALUE"""),"Fair")</f>
        <v>Fair</v>
      </c>
      <c r="AB2439" t="str">
        <f>IFERROR(__xludf.DUMMYFUNCTION("""COMPUTED_VALUE"""),"Very Good")</f>
        <v>Very Good</v>
      </c>
      <c r="AH2439" s="189">
        <f>IFERROR(__xludf.DUMMYFUNCTION("""COMPUTED_VALUE"""),43936.705120983795)</f>
        <v>43936.70512</v>
      </c>
    </row>
    <row r="2440">
      <c r="A2440" t="str">
        <f>IFERROR(__xludf.DUMMYFUNCTION("""COMPUTED_VALUE"""),"BLUR")</f>
        <v>BLUR</v>
      </c>
      <c r="B2440" t="str">
        <f>IFERROR(__xludf.DUMMYFUNCTION("""COMPUTED_VALUE"""),"Seattle")</f>
        <v>Seattle</v>
      </c>
      <c r="C2440" t="str">
        <f>IFERROR(__xludf.DUMMYFUNCTION("""COMPUTED_VALUE"""),"WA")</f>
        <v>WA</v>
      </c>
      <c r="D2440" t="str">
        <f>IFERROR(__xludf.DUMMYFUNCTION("""COMPUTED_VALUE"""),"USA")</f>
        <v>USA</v>
      </c>
      <c r="E2440" s="188">
        <f>IFERROR(__xludf.DUMMYFUNCTION("""COMPUTED_VALUE"""),43040.0)</f>
        <v>43040</v>
      </c>
      <c r="F2440" s="188">
        <f>IFERROR(__xludf.DUMMYFUNCTION("""COMPUTED_VALUE"""),43300.0)</f>
        <v>43300</v>
      </c>
      <c r="H2440">
        <f>IFERROR(__xludf.DUMMYFUNCTION("""COMPUTED_VALUE"""),73348.0)</f>
        <v>73348</v>
      </c>
      <c r="J2440" s="5">
        <f>IFERROR(__xludf.DUMMYFUNCTION("""COMPUTED_VALUE"""),43305.0)</f>
        <v>43305</v>
      </c>
      <c r="K2440">
        <f>IFERROR(__xludf.DUMMYFUNCTION("""COMPUTED_VALUE"""),260.0)</f>
        <v>260</v>
      </c>
      <c r="L2440">
        <f>IFERROR(__xludf.DUMMYFUNCTION("""COMPUTED_VALUE"""),5.0)</f>
        <v>5</v>
      </c>
      <c r="M2440">
        <f>IFERROR(__xludf.DUMMYFUNCTION("""COMPUTED_VALUE"""),265.0)</f>
        <v>265</v>
      </c>
      <c r="N2440" t="str">
        <f>IFERROR(__xludf.DUMMYFUNCTION("""COMPUTED_VALUE"""),"Model 3 Performance")</f>
        <v>Model 3 Performance</v>
      </c>
      <c r="O2440" t="str">
        <f>IFERROR(__xludf.DUMMYFUNCTION("""COMPUTED_VALUE"""),"Red Multi-Coat")</f>
        <v>Red Multi-Coat</v>
      </c>
      <c r="P2440" t="str">
        <f>IFERROR(__xludf.DUMMYFUNCTION("""COMPUTED_VALUE"""),"18 inch Aero")</f>
        <v>18 inch Aero</v>
      </c>
      <c r="Q2440" t="str">
        <f>IFERROR(__xludf.DUMMYFUNCTION("""COMPUTED_VALUE"""),"Black seats")</f>
        <v>Black seats</v>
      </c>
      <c r="X2440" t="str">
        <f>IFERROR(__xludf.DUMMYFUNCTION("""COMPUTED_VALUE"""),"Fair")</f>
        <v>Fair</v>
      </c>
      <c r="Y2440" t="str">
        <f>IFERROR(__xludf.DUMMYFUNCTION("""COMPUTED_VALUE"""),"Good")</f>
        <v>Good</v>
      </c>
      <c r="Z2440" t="str">
        <f>IFERROR(__xludf.DUMMYFUNCTION("""COMPUTED_VALUE"""),"Fair")</f>
        <v>Fair</v>
      </c>
      <c r="AA2440" t="str">
        <f>IFERROR(__xludf.DUMMYFUNCTION("""COMPUTED_VALUE"""),"Fair")</f>
        <v>Fair</v>
      </c>
      <c r="AB2440" t="str">
        <f>IFERROR(__xludf.DUMMYFUNCTION("""COMPUTED_VALUE"""),"Fair")</f>
        <v>Fair</v>
      </c>
      <c r="AC2440">
        <f>IFERROR(__xludf.DUMMYFUNCTION("""COMPUTED_VALUE"""),4.0)</f>
        <v>4</v>
      </c>
      <c r="AD2440">
        <f>IFERROR(__xludf.DUMMYFUNCTION("""COMPUTED_VALUE"""),1.0)</f>
        <v>1</v>
      </c>
      <c r="AE2440">
        <f>IFERROR(__xludf.DUMMYFUNCTION("""COMPUTED_VALUE"""),0.0)</f>
        <v>0</v>
      </c>
      <c r="AH2440" s="189">
        <f>IFERROR(__xludf.DUMMYFUNCTION("""COMPUTED_VALUE"""),43940.47323133102)</f>
        <v>43940.47323</v>
      </c>
    </row>
    <row r="2441">
      <c r="A2441" t="str">
        <f>IFERROR(__xludf.DUMMYFUNCTION("""COMPUTED_VALUE"""),"dasilva13")</f>
        <v>dasilva13</v>
      </c>
      <c r="B2441" t="str">
        <f>IFERROR(__xludf.DUMMYFUNCTION("""COMPUTED_VALUE"""),"Holland")</f>
        <v>Holland</v>
      </c>
      <c r="C2441" t="str">
        <f>IFERROR(__xludf.DUMMYFUNCTION("""COMPUTED_VALUE"""),"PA")</f>
        <v>PA</v>
      </c>
      <c r="D2441" t="str">
        <f>IFERROR(__xludf.DUMMYFUNCTION("""COMPUTED_VALUE"""),"USA")</f>
        <v>USA</v>
      </c>
      <c r="E2441" s="188">
        <f>IFERROR(__xludf.DUMMYFUNCTION("""COMPUTED_VALUE"""),43868.0)</f>
        <v>43868</v>
      </c>
      <c r="F2441" s="188">
        <f>IFERROR(__xludf.DUMMYFUNCTION("""COMPUTED_VALUE"""),43900.0)</f>
        <v>43900</v>
      </c>
      <c r="H2441" s="4">
        <f>IFERROR(__xludf.DUMMYFUNCTION("""COMPUTED_VALUE"""),713069.0)</f>
        <v>713069</v>
      </c>
      <c r="I2441" t="str">
        <f>IFERROR(__xludf.DUMMYFUNCTION("""COMPUTED_VALUE"""),"03/20")</f>
        <v>03/20</v>
      </c>
      <c r="J2441" s="5">
        <f>IFERROR(__xludf.DUMMYFUNCTION("""COMPUTED_VALUE"""),43911.0)</f>
        <v>43911</v>
      </c>
      <c r="K2441">
        <f>IFERROR(__xludf.DUMMYFUNCTION("""COMPUTED_VALUE"""),32.0)</f>
        <v>32</v>
      </c>
      <c r="L2441">
        <f>IFERROR(__xludf.DUMMYFUNCTION("""COMPUTED_VALUE"""),11.0)</f>
        <v>11</v>
      </c>
      <c r="M2441">
        <f>IFERROR(__xludf.DUMMYFUNCTION("""COMPUTED_VALUE"""),43.0)</f>
        <v>43</v>
      </c>
      <c r="N2441" t="str">
        <f>IFERROR(__xludf.DUMMYFUNCTION("""COMPUTED_VALUE"""),"Model 3 Performance")</f>
        <v>Model 3 Performance</v>
      </c>
      <c r="O2441" t="str">
        <f>IFERROR(__xludf.DUMMYFUNCTION("""COMPUTED_VALUE"""),"Solid Black")</f>
        <v>Solid Black</v>
      </c>
      <c r="P2441" t="str">
        <f>IFERROR(__xludf.DUMMYFUNCTION("""COMPUTED_VALUE"""),"20 inch Sport")</f>
        <v>20 inch Sport</v>
      </c>
      <c r="Q2441" t="str">
        <f>IFERROR(__xludf.DUMMYFUNCTION("""COMPUTED_VALUE"""),"Black seats")</f>
        <v>Black seats</v>
      </c>
      <c r="R2441" t="str">
        <f>IFERROR(__xludf.DUMMYFUNCTION("""COMPUTED_VALUE"""),"Full Self-Driving")</f>
        <v>Full Self-Driving</v>
      </c>
      <c r="X2441" t="str">
        <f>IFERROR(__xludf.DUMMYFUNCTION("""COMPUTED_VALUE"""),"Fair")</f>
        <v>Fair</v>
      </c>
      <c r="Y2441" t="str">
        <f>IFERROR(__xludf.DUMMYFUNCTION("""COMPUTED_VALUE"""),"Very Good")</f>
        <v>Very Good</v>
      </c>
      <c r="Z2441" t="str">
        <f>IFERROR(__xludf.DUMMYFUNCTION("""COMPUTED_VALUE"""),"Very Good")</f>
        <v>Very Good</v>
      </c>
      <c r="AA2441" t="str">
        <f>IFERROR(__xludf.DUMMYFUNCTION("""COMPUTED_VALUE"""),"Good")</f>
        <v>Good</v>
      </c>
      <c r="AB2441" t="str">
        <f>IFERROR(__xludf.DUMMYFUNCTION("""COMPUTED_VALUE"""),"Very Good")</f>
        <v>Very Good</v>
      </c>
      <c r="AG2441" t="str">
        <f>IFERROR(__xludf.DUMMYFUNCTION("""COMPUTED_VALUE"""),"2-13 - Text Delivery Update 4-6 weeks/2-24 - Built in next two weeks/3-20 - PA Stay at home orders Delership closed/4/23/2020 - Finally Picked up!")</f>
        <v>2-13 - Text Delivery Update 4-6 weeks/2-24 - Built in next two weeks/3-20 - PA Stay at home orders Delership closed/4/23/2020 - Finally Picked up!</v>
      </c>
      <c r="AH2441" s="189">
        <f>IFERROR(__xludf.DUMMYFUNCTION("""COMPUTED_VALUE"""),43945.31007608796)</f>
        <v>43945.31008</v>
      </c>
    </row>
    <row r="2442">
      <c r="A2442" t="str">
        <f>IFERROR(__xludf.DUMMYFUNCTION("""COMPUTED_VALUE"""),"tilt")</f>
        <v>tilt</v>
      </c>
      <c r="B2442" t="str">
        <f>IFERROR(__xludf.DUMMYFUNCTION("""COMPUTED_VALUE"""),"Kansas City")</f>
        <v>Kansas City</v>
      </c>
      <c r="C2442" t="str">
        <f>IFERROR(__xludf.DUMMYFUNCTION("""COMPUTED_VALUE"""),"KS")</f>
        <v>KS</v>
      </c>
      <c r="D2442" t="str">
        <f>IFERROR(__xludf.DUMMYFUNCTION("""COMPUTED_VALUE"""),"USA")</f>
        <v>USA</v>
      </c>
      <c r="E2442" s="188">
        <f>IFERROR(__xludf.DUMMYFUNCTION("""COMPUTED_VALUE"""),43882.0)</f>
        <v>43882</v>
      </c>
      <c r="F2442" s="188">
        <f>IFERROR(__xludf.DUMMYFUNCTION("""COMPUTED_VALUE"""),43895.0)</f>
        <v>43895</v>
      </c>
      <c r="H2442">
        <f>IFERROR(__xludf.DUMMYFUNCTION("""COMPUTED_VALUE"""),664955.0)</f>
        <v>664955</v>
      </c>
      <c r="I2442" t="str">
        <f>IFERROR(__xludf.DUMMYFUNCTION("""COMPUTED_VALUE"""),"03/20")</f>
        <v>03/20</v>
      </c>
      <c r="J2442" s="5">
        <f>IFERROR(__xludf.DUMMYFUNCTION("""COMPUTED_VALUE"""),43907.0)</f>
        <v>43907</v>
      </c>
      <c r="K2442">
        <f>IFERROR(__xludf.DUMMYFUNCTION("""COMPUTED_VALUE"""),13.0)</f>
        <v>13</v>
      </c>
      <c r="L2442">
        <f>IFERROR(__xludf.DUMMYFUNCTION("""COMPUTED_VALUE"""),12.0)</f>
        <v>12</v>
      </c>
      <c r="M2442">
        <f>IFERROR(__xludf.DUMMYFUNCTION("""COMPUTED_VALUE"""),25.0)</f>
        <v>25</v>
      </c>
      <c r="N2442" t="str">
        <f>IFERROR(__xludf.DUMMYFUNCTION("""COMPUTED_VALUE"""),"Model 3 LR AWD")</f>
        <v>Model 3 LR AWD</v>
      </c>
      <c r="O2442" t="str">
        <f>IFERROR(__xludf.DUMMYFUNCTION("""COMPUTED_VALUE"""),"Pearl White Multi-Coat")</f>
        <v>Pearl White Multi-Coat</v>
      </c>
      <c r="P2442" t="str">
        <f>IFERROR(__xludf.DUMMYFUNCTION("""COMPUTED_VALUE"""),"18 inch Aero")</f>
        <v>18 inch Aero</v>
      </c>
      <c r="Q2442" t="str">
        <f>IFERROR(__xludf.DUMMYFUNCTION("""COMPUTED_VALUE"""),"Black seats")</f>
        <v>Black seats</v>
      </c>
      <c r="R2442" t="str">
        <f>IFERROR(__xludf.DUMMYFUNCTION("""COMPUTED_VALUE"""),"Autopilot")</f>
        <v>Autopilot</v>
      </c>
      <c r="X2442" t="str">
        <f>IFERROR(__xludf.DUMMYFUNCTION("""COMPUTED_VALUE"""),"Good")</f>
        <v>Good</v>
      </c>
      <c r="Y2442" t="str">
        <f>IFERROR(__xludf.DUMMYFUNCTION("""COMPUTED_VALUE"""),"Excellent")</f>
        <v>Excellent</v>
      </c>
      <c r="Z2442" t="str">
        <f>IFERROR(__xludf.DUMMYFUNCTION("""COMPUTED_VALUE"""),"Very Good")</f>
        <v>Very Good</v>
      </c>
      <c r="AA2442" t="str">
        <f>IFERROR(__xludf.DUMMYFUNCTION("""COMPUTED_VALUE"""),"Fair")</f>
        <v>Fair</v>
      </c>
      <c r="AB2442" t="str">
        <f>IFERROR(__xludf.DUMMYFUNCTION("""COMPUTED_VALUE"""),"Excellent")</f>
        <v>Excellent</v>
      </c>
      <c r="AC2442">
        <f>IFERROR(__xludf.DUMMYFUNCTION("""COMPUTED_VALUE"""),0.0)</f>
        <v>0</v>
      </c>
      <c r="AD2442">
        <f>IFERROR(__xludf.DUMMYFUNCTION("""COMPUTED_VALUE"""),0.0)</f>
        <v>0</v>
      </c>
      <c r="AE2442">
        <f>IFERROR(__xludf.DUMMYFUNCTION("""COMPUTED_VALUE"""),0.0)</f>
        <v>0</v>
      </c>
      <c r="AG2442" t="str">
        <f>IFERROR(__xludf.DUMMYFUNCTION("""COMPUTED_VALUE"""),"I tweaked a few little things after delivery, but nothing big that would have required a service visit.")</f>
        <v>I tweaked a few little things after delivery, but nothing big that would have required a service visit.</v>
      </c>
      <c r="AH2442" s="189">
        <f>IFERROR(__xludf.DUMMYFUNCTION("""COMPUTED_VALUE"""),43948.57298236111)</f>
        <v>43948.57298</v>
      </c>
    </row>
    <row r="2443">
      <c r="A2443" t="str">
        <f>IFERROR(__xludf.DUMMYFUNCTION("""COMPUTED_VALUE"""),"bvarianlvr")</f>
        <v>bvarianlvr</v>
      </c>
      <c r="B2443" t="str">
        <f>IFERROR(__xludf.DUMMYFUNCTION("""COMPUTED_VALUE"""),"Alexandria")</f>
        <v>Alexandria</v>
      </c>
      <c r="C2443" t="str">
        <f>IFERROR(__xludf.DUMMYFUNCTION("""COMPUTED_VALUE"""),"VA")</f>
        <v>VA</v>
      </c>
      <c r="D2443" t="str">
        <f>IFERROR(__xludf.DUMMYFUNCTION("""COMPUTED_VALUE"""),"USA")</f>
        <v>USA</v>
      </c>
      <c r="E2443" s="188">
        <f>IFERROR(__xludf.DUMMYFUNCTION("""COMPUTED_VALUE"""),43864.0)</f>
        <v>43864</v>
      </c>
      <c r="F2443" s="188">
        <f>IFERROR(__xludf.DUMMYFUNCTION("""COMPUTED_VALUE"""),43902.0)</f>
        <v>43902</v>
      </c>
      <c r="H2443">
        <f>IFERROR(__xludf.DUMMYFUNCTION("""COMPUTED_VALUE"""),650550.0)</f>
        <v>650550</v>
      </c>
      <c r="I2443" t="str">
        <f>IFERROR(__xludf.DUMMYFUNCTION("""COMPUTED_VALUE"""),"03/20")</f>
        <v>03/20</v>
      </c>
      <c r="J2443" s="5">
        <f>IFERROR(__xludf.DUMMYFUNCTION("""COMPUTED_VALUE"""),43904.0)</f>
        <v>43904</v>
      </c>
      <c r="K2443">
        <f>IFERROR(__xludf.DUMMYFUNCTION("""COMPUTED_VALUE"""),38.0)</f>
        <v>38</v>
      </c>
      <c r="L2443">
        <f>IFERROR(__xludf.DUMMYFUNCTION("""COMPUTED_VALUE"""),2.0)</f>
        <v>2</v>
      </c>
      <c r="M2443">
        <f>IFERROR(__xludf.DUMMYFUNCTION("""COMPUTED_VALUE"""),40.0)</f>
        <v>40</v>
      </c>
      <c r="N2443" t="str">
        <f>IFERROR(__xludf.DUMMYFUNCTION("""COMPUTED_VALUE"""),"Model 3 LR AWD")</f>
        <v>Model 3 LR AWD</v>
      </c>
      <c r="O2443" t="str">
        <f>IFERROR(__xludf.DUMMYFUNCTION("""COMPUTED_VALUE"""),"Pearl White Multi-Coat")</f>
        <v>Pearl White Multi-Coat</v>
      </c>
      <c r="P2443" t="str">
        <f>IFERROR(__xludf.DUMMYFUNCTION("""COMPUTED_VALUE"""),"18 inch Aero")</f>
        <v>18 inch Aero</v>
      </c>
      <c r="Q2443" t="str">
        <f>IFERROR(__xludf.DUMMYFUNCTION("""COMPUTED_VALUE"""),"Black seats")</f>
        <v>Black seats</v>
      </c>
      <c r="R2443" t="str">
        <f>IFERROR(__xludf.DUMMYFUNCTION("""COMPUTED_VALUE"""),"Full Self-Driving")</f>
        <v>Full Self-Driving</v>
      </c>
      <c r="X2443" t="str">
        <f>IFERROR(__xludf.DUMMYFUNCTION("""COMPUTED_VALUE"""),"Excellent")</f>
        <v>Excellent</v>
      </c>
      <c r="Y2443" t="str">
        <f>IFERROR(__xludf.DUMMYFUNCTION("""COMPUTED_VALUE"""),"Excellent")</f>
        <v>Excellent</v>
      </c>
      <c r="Z2443" t="str">
        <f>IFERROR(__xludf.DUMMYFUNCTION("""COMPUTED_VALUE"""),"Excellent")</f>
        <v>Excellent</v>
      </c>
      <c r="AA2443" t="str">
        <f>IFERROR(__xludf.DUMMYFUNCTION("""COMPUTED_VALUE"""),"Good")</f>
        <v>Good</v>
      </c>
      <c r="AB2443" t="str">
        <f>IFERROR(__xludf.DUMMYFUNCTION("""COMPUTED_VALUE"""),"Good")</f>
        <v>Good</v>
      </c>
      <c r="AC2443">
        <f>IFERROR(__xludf.DUMMYFUNCTION("""COMPUTED_VALUE"""),0.0)</f>
        <v>0</v>
      </c>
      <c r="AD2443">
        <f>IFERROR(__xludf.DUMMYFUNCTION("""COMPUTED_VALUE"""),0.0)</f>
        <v>0</v>
      </c>
      <c r="AE2443">
        <f>IFERROR(__xludf.DUMMYFUNCTION("""COMPUTED_VALUE"""),0.0)</f>
        <v>0</v>
      </c>
      <c r="AG2443" t="str">
        <f>IFERROR(__xludf.DUMMYFUNCTION("""COMPUTED_VALUE"""),"03/03/2020 - vehicle left factory. no vin; 04/28/2020 - excellent experience! pandemic prevented commuting but otherwise, great car.")</f>
        <v>03/03/2020 - vehicle left factory. no vin; 04/28/2020 - excellent experience! pandemic prevented commuting but otherwise, great car.</v>
      </c>
      <c r="AH2443" s="189">
        <f>IFERROR(__xludf.DUMMYFUNCTION("""COMPUTED_VALUE"""),43949.171266006946)</f>
        <v>43949.17127</v>
      </c>
    </row>
    <row r="2444">
      <c r="A2444" t="str">
        <f>IFERROR(__xludf.DUMMYFUNCTION("""COMPUTED_VALUE"""),"WCRacing")</f>
        <v>WCRacing</v>
      </c>
      <c r="B2444" t="str">
        <f>IFERROR(__xludf.DUMMYFUNCTION("""COMPUTED_VALUE"""),"Bay Area")</f>
        <v>Bay Area</v>
      </c>
      <c r="C2444" t="str">
        <f>IFERROR(__xludf.DUMMYFUNCTION("""COMPUTED_VALUE"""),"CA")</f>
        <v>CA</v>
      </c>
      <c r="D2444" t="str">
        <f>IFERROR(__xludf.DUMMYFUNCTION("""COMPUTED_VALUE"""),"USA")</f>
        <v>USA</v>
      </c>
      <c r="E2444" s="188">
        <f>IFERROR(__xludf.DUMMYFUNCTION("""COMPUTED_VALUE"""),43870.0)</f>
        <v>43870</v>
      </c>
      <c r="I2444" t="str">
        <f>IFERROR(__xludf.DUMMYFUNCTION("""COMPUTED_VALUE"""),"03/20")</f>
        <v>03/20</v>
      </c>
      <c r="J2444" s="5">
        <f>IFERROR(__xludf.DUMMYFUNCTION("""COMPUTED_VALUE"""),43904.0)</f>
        <v>43904</v>
      </c>
      <c r="M2444">
        <f>IFERROR(__xludf.DUMMYFUNCTION("""COMPUTED_VALUE"""),34.0)</f>
        <v>34</v>
      </c>
      <c r="N2444" t="str">
        <f>IFERROR(__xludf.DUMMYFUNCTION("""COMPUTED_VALUE"""),"Model 3 LR AWD")</f>
        <v>Model 3 LR AWD</v>
      </c>
      <c r="O2444" t="str">
        <f>IFERROR(__xludf.DUMMYFUNCTION("""COMPUTED_VALUE"""),"Pearl White Multi-Coat")</f>
        <v>Pearl White Multi-Coat</v>
      </c>
      <c r="P2444" t="str">
        <f>IFERROR(__xludf.DUMMYFUNCTION("""COMPUTED_VALUE"""),"18 inch Aero")</f>
        <v>18 inch Aero</v>
      </c>
      <c r="Q2444" t="str">
        <f>IFERROR(__xludf.DUMMYFUNCTION("""COMPUTED_VALUE"""),"Black seats")</f>
        <v>Black seats</v>
      </c>
      <c r="R2444" t="str">
        <f>IFERROR(__xludf.DUMMYFUNCTION("""COMPUTED_VALUE"""),"Autopilot")</f>
        <v>Autopilot</v>
      </c>
      <c r="X2444" t="str">
        <f>IFERROR(__xludf.DUMMYFUNCTION("""COMPUTED_VALUE"""),"Poor")</f>
        <v>Poor</v>
      </c>
      <c r="Y2444" t="str">
        <f>IFERROR(__xludf.DUMMYFUNCTION("""COMPUTED_VALUE"""),"Excellent")</f>
        <v>Excellent</v>
      </c>
      <c r="Z2444" t="str">
        <f>IFERROR(__xludf.DUMMYFUNCTION("""COMPUTED_VALUE"""),"Good")</f>
        <v>Good</v>
      </c>
      <c r="AA2444" t="str">
        <f>IFERROR(__xludf.DUMMYFUNCTION("""COMPUTED_VALUE"""),"Good")</f>
        <v>Good</v>
      </c>
      <c r="AB2444" t="str">
        <f>IFERROR(__xludf.DUMMYFUNCTION("""COMPUTED_VALUE"""),"Poor")</f>
        <v>Poor</v>
      </c>
      <c r="AC2444">
        <f>IFERROR(__xludf.DUMMYFUNCTION("""COMPUTED_VALUE"""),6.0)</f>
        <v>6</v>
      </c>
      <c r="AD2444">
        <f>IFERROR(__xludf.DUMMYFUNCTION("""COMPUTED_VALUE"""),1.0)</f>
        <v>1</v>
      </c>
      <c r="AE2444">
        <f>IFERROR(__xludf.DUMMYFUNCTION("""COMPUTED_VALUE"""),1.0)</f>
        <v>1</v>
      </c>
      <c r="AH2444" s="189">
        <f>IFERROR(__xludf.DUMMYFUNCTION("""COMPUTED_VALUE"""),43950.7412044213)</f>
        <v>43950.7412</v>
      </c>
    </row>
    <row r="2445">
      <c r="A2445" t="str">
        <f>IFERROR(__xludf.DUMMYFUNCTION("""COMPUTED_VALUE"""),"Doog")</f>
        <v>Doog</v>
      </c>
      <c r="C2445" t="str">
        <f>IFERROR(__xludf.DUMMYFUNCTION("""COMPUTED_VALUE"""),"UT")</f>
        <v>UT</v>
      </c>
      <c r="D2445" t="str">
        <f>IFERROR(__xludf.DUMMYFUNCTION("""COMPUTED_VALUE"""),"USA")</f>
        <v>USA</v>
      </c>
      <c r="E2445" s="188">
        <f>IFERROR(__xludf.DUMMYFUNCTION("""COMPUTED_VALUE"""),43889.0)</f>
        <v>43889</v>
      </c>
      <c r="F2445" s="188">
        <f>IFERROR(__xludf.DUMMYFUNCTION("""COMPUTED_VALUE"""),43908.0)</f>
        <v>43908</v>
      </c>
      <c r="H2445">
        <f>IFERROR(__xludf.DUMMYFUNCTION("""COMPUTED_VALUE"""),714855.0)</f>
        <v>714855</v>
      </c>
      <c r="J2445" s="5">
        <f>IFERROR(__xludf.DUMMYFUNCTION("""COMPUTED_VALUE"""),43910.0)</f>
        <v>43910</v>
      </c>
      <c r="K2445">
        <f>IFERROR(__xludf.DUMMYFUNCTION("""COMPUTED_VALUE"""),19.0)</f>
        <v>19</v>
      </c>
      <c r="L2445">
        <f>IFERROR(__xludf.DUMMYFUNCTION("""COMPUTED_VALUE"""),2.0)</f>
        <v>2</v>
      </c>
      <c r="M2445">
        <f>IFERROR(__xludf.DUMMYFUNCTION("""COMPUTED_VALUE"""),21.0)</f>
        <v>21</v>
      </c>
      <c r="N2445" t="str">
        <f>IFERROR(__xludf.DUMMYFUNCTION("""COMPUTED_VALUE"""),"Model 3 Performance")</f>
        <v>Model 3 Performance</v>
      </c>
      <c r="O2445" t="str">
        <f>IFERROR(__xludf.DUMMYFUNCTION("""COMPUTED_VALUE"""),"Deep Blue Metallic")</f>
        <v>Deep Blue Metallic</v>
      </c>
      <c r="P2445" t="str">
        <f>IFERROR(__xludf.DUMMYFUNCTION("""COMPUTED_VALUE"""),"20 inch Sport")</f>
        <v>20 inch Sport</v>
      </c>
      <c r="Q2445" t="str">
        <f>IFERROR(__xludf.DUMMYFUNCTION("""COMPUTED_VALUE"""),"White seats")</f>
        <v>White seats</v>
      </c>
      <c r="R2445" t="str">
        <f>IFERROR(__xludf.DUMMYFUNCTION("""COMPUTED_VALUE"""),"Autopilot")</f>
        <v>Autopilot</v>
      </c>
      <c r="X2445" t="str">
        <f>IFERROR(__xludf.DUMMYFUNCTION("""COMPUTED_VALUE"""),"Very Good")</f>
        <v>Very Good</v>
      </c>
      <c r="Y2445" t="str">
        <f>IFERROR(__xludf.DUMMYFUNCTION("""COMPUTED_VALUE"""),"Excellent")</f>
        <v>Excellent</v>
      </c>
      <c r="Z2445" t="str">
        <f>IFERROR(__xludf.DUMMYFUNCTION("""COMPUTED_VALUE"""),"Excellent")</f>
        <v>Excellent</v>
      </c>
      <c r="AA2445" t="str">
        <f>IFERROR(__xludf.DUMMYFUNCTION("""COMPUTED_VALUE"""),"Very Good")</f>
        <v>Very Good</v>
      </c>
      <c r="AB2445" t="str">
        <f>IFERROR(__xludf.DUMMYFUNCTION("""COMPUTED_VALUE"""),"Excellent")</f>
        <v>Excellent</v>
      </c>
      <c r="AC2445">
        <f>IFERROR(__xludf.DUMMYFUNCTION("""COMPUTED_VALUE"""),0.0)</f>
        <v>0</v>
      </c>
      <c r="AD2445">
        <f>IFERROR(__xludf.DUMMYFUNCTION("""COMPUTED_VALUE"""),0.0)</f>
        <v>0</v>
      </c>
      <c r="AE2445">
        <f>IFERROR(__xludf.DUMMYFUNCTION("""COMPUTED_VALUE"""),0.0)</f>
        <v>0</v>
      </c>
      <c r="AH2445" s="189">
        <f>IFERROR(__xludf.DUMMYFUNCTION("""COMPUTED_VALUE"""),43953.85448681713)</f>
        <v>43953.85449</v>
      </c>
    </row>
    <row r="2446">
      <c r="A2446" t="str">
        <f>IFERROR(__xludf.DUMMYFUNCTION("""COMPUTED_VALUE"""),"Dark Matter - VA")</f>
        <v>Dark Matter - VA</v>
      </c>
      <c r="B2446" t="str">
        <f>IFERROR(__xludf.DUMMYFUNCTION("""COMPUTED_VALUE"""),"Waynesboro")</f>
        <v>Waynesboro</v>
      </c>
      <c r="C2446" t="str">
        <f>IFERROR(__xludf.DUMMYFUNCTION("""COMPUTED_VALUE"""),"VA")</f>
        <v>VA</v>
      </c>
      <c r="D2446" t="str">
        <f>IFERROR(__xludf.DUMMYFUNCTION("""COMPUTED_VALUE"""),"USA")</f>
        <v>USA</v>
      </c>
      <c r="E2446" s="188">
        <f>IFERROR(__xludf.DUMMYFUNCTION("""COMPUTED_VALUE"""),43721.0)</f>
        <v>43721</v>
      </c>
      <c r="F2446" s="188">
        <f>IFERROR(__xludf.DUMMYFUNCTION("""COMPUTED_VALUE"""),43721.0)</f>
        <v>43721</v>
      </c>
      <c r="H2446">
        <f>IFERROR(__xludf.DUMMYFUNCTION("""COMPUTED_VALUE"""),432305.0)</f>
        <v>432305</v>
      </c>
      <c r="I2446" t="str">
        <f>IFERROR(__xludf.DUMMYFUNCTION("""COMPUTED_VALUE"""),"08/19")</f>
        <v>08/19</v>
      </c>
      <c r="J2446" s="5">
        <f>IFERROR(__xludf.DUMMYFUNCTION("""COMPUTED_VALUE"""),43729.0)</f>
        <v>43729</v>
      </c>
      <c r="K2446">
        <f>IFERROR(__xludf.DUMMYFUNCTION("""COMPUTED_VALUE"""),0.0)</f>
        <v>0</v>
      </c>
      <c r="L2446">
        <f>IFERROR(__xludf.DUMMYFUNCTION("""COMPUTED_VALUE"""),8.0)</f>
        <v>8</v>
      </c>
      <c r="M2446">
        <f>IFERROR(__xludf.DUMMYFUNCTION("""COMPUTED_VALUE"""),8.0)</f>
        <v>8</v>
      </c>
      <c r="N2446" t="str">
        <f>IFERROR(__xludf.DUMMYFUNCTION("""COMPUTED_VALUE"""),"Model 3 Performance")</f>
        <v>Model 3 Performance</v>
      </c>
      <c r="O2446" t="str">
        <f>IFERROR(__xludf.DUMMYFUNCTION("""COMPUTED_VALUE"""),"Solid Black")</f>
        <v>Solid Black</v>
      </c>
      <c r="P2446" t="str">
        <f>IFERROR(__xludf.DUMMYFUNCTION("""COMPUTED_VALUE"""),"18 inch Aero")</f>
        <v>18 inch Aero</v>
      </c>
      <c r="Q2446" t="str">
        <f>IFERROR(__xludf.DUMMYFUNCTION("""COMPUTED_VALUE"""),"Black seats")</f>
        <v>Black seats</v>
      </c>
      <c r="R2446" t="str">
        <f>IFERROR(__xludf.DUMMYFUNCTION("""COMPUTED_VALUE"""),"Full Self-Driving")</f>
        <v>Full Self-Driving</v>
      </c>
      <c r="X2446" t="str">
        <f>IFERROR(__xludf.DUMMYFUNCTION("""COMPUTED_VALUE"""),"Excellent")</f>
        <v>Excellent</v>
      </c>
      <c r="Y2446" t="str">
        <f>IFERROR(__xludf.DUMMYFUNCTION("""COMPUTED_VALUE"""),"Very Good")</f>
        <v>Very Good</v>
      </c>
      <c r="Z2446" t="str">
        <f>IFERROR(__xludf.DUMMYFUNCTION("""COMPUTED_VALUE"""),"Fair")</f>
        <v>Fair</v>
      </c>
      <c r="AA2446" t="str">
        <f>IFERROR(__xludf.DUMMYFUNCTION("""COMPUTED_VALUE"""),"Excellent")</f>
        <v>Excellent</v>
      </c>
      <c r="AB2446" t="str">
        <f>IFERROR(__xludf.DUMMYFUNCTION("""COMPUTED_VALUE"""),"Very Good")</f>
        <v>Very Good</v>
      </c>
      <c r="AC2446">
        <f>IFERROR(__xludf.DUMMYFUNCTION("""COMPUTED_VALUE"""),4.0)</f>
        <v>4</v>
      </c>
      <c r="AD2446">
        <f>IFERROR(__xludf.DUMMYFUNCTION("""COMPUTED_VALUE"""),2.0)</f>
        <v>2</v>
      </c>
      <c r="AE2446">
        <f>IFERROR(__xludf.DUMMYFUNCTION("""COMPUTED_VALUE"""),0.0)</f>
        <v>0</v>
      </c>
      <c r="AH2446" s="189">
        <f>IFERROR(__xludf.DUMMYFUNCTION("""COMPUTED_VALUE"""),43956.685415925924)</f>
        <v>43956.68542</v>
      </c>
    </row>
    <row r="2447">
      <c r="A2447" t="str">
        <f>IFERROR(__xludf.DUMMYFUNCTION("""COMPUTED_VALUE"""),"cateslamodel3")</f>
        <v>cateslamodel3</v>
      </c>
      <c r="B2447" t="str">
        <f>IFERROR(__xludf.DUMMYFUNCTION("""COMPUTED_VALUE"""),"Los Angeles")</f>
        <v>Los Angeles</v>
      </c>
      <c r="C2447" t="str">
        <f>IFERROR(__xludf.DUMMYFUNCTION("""COMPUTED_VALUE"""),"CA")</f>
        <v>CA</v>
      </c>
      <c r="D2447" t="str">
        <f>IFERROR(__xludf.DUMMYFUNCTION("""COMPUTED_VALUE"""),"USA")</f>
        <v>USA</v>
      </c>
      <c r="E2447" s="188">
        <f>IFERROR(__xludf.DUMMYFUNCTION("""COMPUTED_VALUE"""),43828.0)</f>
        <v>43828</v>
      </c>
      <c r="F2447" s="188">
        <f>IFERROR(__xludf.DUMMYFUNCTION("""COMPUTED_VALUE"""),43828.0)</f>
        <v>43828</v>
      </c>
      <c r="H2447">
        <f>IFERROR(__xludf.DUMMYFUNCTION("""COMPUTED_VALUE"""),648055.0)</f>
        <v>648055</v>
      </c>
      <c r="I2447" t="str">
        <f>IFERROR(__xludf.DUMMYFUNCTION("""COMPUTED_VALUE"""),"12/19")</f>
        <v>12/19</v>
      </c>
      <c r="J2447" s="5">
        <f>IFERROR(__xludf.DUMMYFUNCTION("""COMPUTED_VALUE"""),43830.0)</f>
        <v>43830</v>
      </c>
      <c r="K2447">
        <f>IFERROR(__xludf.DUMMYFUNCTION("""COMPUTED_VALUE"""),0.0)</f>
        <v>0</v>
      </c>
      <c r="L2447">
        <f>IFERROR(__xludf.DUMMYFUNCTION("""COMPUTED_VALUE"""),2.0)</f>
        <v>2</v>
      </c>
      <c r="M2447">
        <f>IFERROR(__xludf.DUMMYFUNCTION("""COMPUTED_VALUE"""),2.0)</f>
        <v>2</v>
      </c>
      <c r="N2447" t="str">
        <f>IFERROR(__xludf.DUMMYFUNCTION("""COMPUTED_VALUE"""),"Model 3 Performance")</f>
        <v>Model 3 Performance</v>
      </c>
      <c r="O2447" t="str">
        <f>IFERROR(__xludf.DUMMYFUNCTION("""COMPUTED_VALUE"""),"Pearl White Multi-Coat")</f>
        <v>Pearl White Multi-Coat</v>
      </c>
      <c r="P2447" t="str">
        <f>IFERROR(__xludf.DUMMYFUNCTION("""COMPUTED_VALUE"""),"20 inch Sport")</f>
        <v>20 inch Sport</v>
      </c>
      <c r="Q2447" t="str">
        <f>IFERROR(__xludf.DUMMYFUNCTION("""COMPUTED_VALUE"""),"Black seats")</f>
        <v>Black seats</v>
      </c>
      <c r="R2447" t="str">
        <f>IFERROR(__xludf.DUMMYFUNCTION("""COMPUTED_VALUE"""),"Full Self-Driving")</f>
        <v>Full Self-Driving</v>
      </c>
      <c r="X2447" t="str">
        <f>IFERROR(__xludf.DUMMYFUNCTION("""COMPUTED_VALUE"""),"Excellent")</f>
        <v>Excellent</v>
      </c>
      <c r="Y2447" t="str">
        <f>IFERROR(__xludf.DUMMYFUNCTION("""COMPUTED_VALUE"""),"Excellent")</f>
        <v>Excellent</v>
      </c>
      <c r="Z2447" t="str">
        <f>IFERROR(__xludf.DUMMYFUNCTION("""COMPUTED_VALUE"""),"Excellent")</f>
        <v>Excellent</v>
      </c>
      <c r="AA2447" t="str">
        <f>IFERROR(__xludf.DUMMYFUNCTION("""COMPUTED_VALUE"""),"Excellent")</f>
        <v>Excellent</v>
      </c>
      <c r="AB2447" t="str">
        <f>IFERROR(__xludf.DUMMYFUNCTION("""COMPUTED_VALUE"""),"Excellent")</f>
        <v>Excellent</v>
      </c>
      <c r="AC2447">
        <f>IFERROR(__xludf.DUMMYFUNCTION("""COMPUTED_VALUE"""),1.0)</f>
        <v>1</v>
      </c>
      <c r="AH2447" s="189">
        <f>IFERROR(__xludf.DUMMYFUNCTION("""COMPUTED_VALUE"""),43970.89369653935)</f>
        <v>43970.8937</v>
      </c>
    </row>
    <row r="2448">
      <c r="A2448" t="str">
        <f>IFERROR(__xludf.DUMMYFUNCTION("""COMPUTED_VALUE"""),"Figo7966651")</f>
        <v>Figo7966651</v>
      </c>
      <c r="B2448" t="str">
        <f>IFERROR(__xludf.DUMMYFUNCTION("""COMPUTED_VALUE"""),"Sunnyvale")</f>
        <v>Sunnyvale</v>
      </c>
      <c r="C2448" t="str">
        <f>IFERROR(__xludf.DUMMYFUNCTION("""COMPUTED_VALUE"""),"CA")</f>
        <v>CA</v>
      </c>
      <c r="D2448" t="str">
        <f>IFERROR(__xludf.DUMMYFUNCTION("""COMPUTED_VALUE"""),"USA")</f>
        <v>USA</v>
      </c>
      <c r="E2448" s="188">
        <f>IFERROR(__xludf.DUMMYFUNCTION("""COMPUTED_VALUE"""),43540.0)</f>
        <v>43540</v>
      </c>
      <c r="H2448">
        <f>IFERROR(__xludf.DUMMYFUNCTION("""COMPUTED_VALUE"""),397755.0)</f>
        <v>397755</v>
      </c>
      <c r="J2448" s="5">
        <f>IFERROR(__xludf.DUMMYFUNCTION("""COMPUTED_VALUE"""),43603.0)</f>
        <v>43603</v>
      </c>
      <c r="M2448">
        <f>IFERROR(__xludf.DUMMYFUNCTION("""COMPUTED_VALUE"""),63.0)</f>
        <v>63</v>
      </c>
      <c r="N2448" t="str">
        <f>IFERROR(__xludf.DUMMYFUNCTION("""COMPUTED_VALUE"""),"Model 3 SR")</f>
        <v>Model 3 SR</v>
      </c>
      <c r="O2448" t="str">
        <f>IFERROR(__xludf.DUMMYFUNCTION("""COMPUTED_VALUE"""),"Solid Black")</f>
        <v>Solid Black</v>
      </c>
      <c r="P2448" t="str">
        <f>IFERROR(__xludf.DUMMYFUNCTION("""COMPUTED_VALUE"""),"18 inch Aero")</f>
        <v>18 inch Aero</v>
      </c>
      <c r="Q2448" t="str">
        <f>IFERROR(__xludf.DUMMYFUNCTION("""COMPUTED_VALUE"""),"Black seats")</f>
        <v>Black seats</v>
      </c>
      <c r="R2448" t="str">
        <f>IFERROR(__xludf.DUMMYFUNCTION("""COMPUTED_VALUE"""),"Autopilot")</f>
        <v>Autopilot</v>
      </c>
      <c r="X2448" t="str">
        <f>IFERROR(__xludf.DUMMYFUNCTION("""COMPUTED_VALUE"""),"Very Good")</f>
        <v>Very Good</v>
      </c>
      <c r="Y2448" t="str">
        <f>IFERROR(__xludf.DUMMYFUNCTION("""COMPUTED_VALUE"""),"Very Good")</f>
        <v>Very Good</v>
      </c>
      <c r="Z2448" t="str">
        <f>IFERROR(__xludf.DUMMYFUNCTION("""COMPUTED_VALUE"""),"Fair")</f>
        <v>Fair</v>
      </c>
      <c r="AA2448" t="str">
        <f>IFERROR(__xludf.DUMMYFUNCTION("""COMPUTED_VALUE"""),"Poor")</f>
        <v>Poor</v>
      </c>
      <c r="AB2448" t="str">
        <f>IFERROR(__xludf.DUMMYFUNCTION("""COMPUTED_VALUE"""),"Good")</f>
        <v>Good</v>
      </c>
      <c r="AC2448">
        <f>IFERROR(__xludf.DUMMYFUNCTION("""COMPUTED_VALUE"""),3.0)</f>
        <v>3</v>
      </c>
      <c r="AD2448">
        <f>IFERROR(__xludf.DUMMYFUNCTION("""COMPUTED_VALUE"""),1.0)</f>
        <v>1</v>
      </c>
      <c r="AE2448">
        <f>IFERROR(__xludf.DUMMYFUNCTION("""COMPUTED_VALUE"""),0.0)</f>
        <v>0</v>
      </c>
      <c r="AH2448" s="189">
        <f>IFERROR(__xludf.DUMMYFUNCTION("""COMPUTED_VALUE"""),43977.67120128473)</f>
        <v>43977.6712</v>
      </c>
    </row>
    <row r="2449">
      <c r="A2449" t="str">
        <f>IFERROR(__xludf.DUMMYFUNCTION("""COMPUTED_VALUE"""),"flb46169")</f>
        <v>flb46169</v>
      </c>
      <c r="B2449" t="str">
        <f>IFERROR(__xludf.DUMMYFUNCTION("""COMPUTED_VALUE"""),"Orlando")</f>
        <v>Orlando</v>
      </c>
      <c r="C2449" t="str">
        <f>IFERROR(__xludf.DUMMYFUNCTION("""COMPUTED_VALUE"""),"FL")</f>
        <v>FL</v>
      </c>
      <c r="D2449" t="str">
        <f>IFERROR(__xludf.DUMMYFUNCTION("""COMPUTED_VALUE"""),"USA")</f>
        <v>USA</v>
      </c>
      <c r="E2449" s="188">
        <f>IFERROR(__xludf.DUMMYFUNCTION("""COMPUTED_VALUE"""),43861.0)</f>
        <v>43861</v>
      </c>
      <c r="F2449" s="188">
        <f>IFERROR(__xludf.DUMMYFUNCTION("""COMPUTED_VALUE"""),43897.0)</f>
        <v>43897</v>
      </c>
      <c r="H2449">
        <f>IFERROR(__xludf.DUMMYFUNCTION("""COMPUTED_VALUE"""),669355.0)</f>
        <v>669355</v>
      </c>
      <c r="I2449" t="str">
        <f>IFERROR(__xludf.DUMMYFUNCTION("""COMPUTED_VALUE"""),"03/20")</f>
        <v>03/20</v>
      </c>
      <c r="J2449" s="5">
        <f>IFERROR(__xludf.DUMMYFUNCTION("""COMPUTED_VALUE"""),43910.0)</f>
        <v>43910</v>
      </c>
      <c r="K2449">
        <f>IFERROR(__xludf.DUMMYFUNCTION("""COMPUTED_VALUE"""),36.0)</f>
        <v>36</v>
      </c>
      <c r="L2449">
        <f>IFERROR(__xludf.DUMMYFUNCTION("""COMPUTED_VALUE"""),13.0)</f>
        <v>13</v>
      </c>
      <c r="M2449">
        <f>IFERROR(__xludf.DUMMYFUNCTION("""COMPUTED_VALUE"""),49.0)</f>
        <v>49</v>
      </c>
      <c r="N2449" t="str">
        <f>IFERROR(__xludf.DUMMYFUNCTION("""COMPUTED_VALUE"""),"Model 3 Performance")</f>
        <v>Model 3 Performance</v>
      </c>
      <c r="O2449" t="str">
        <f>IFERROR(__xludf.DUMMYFUNCTION("""COMPUTED_VALUE"""),"Red Multi-Coat")</f>
        <v>Red Multi-Coat</v>
      </c>
      <c r="P2449" t="str">
        <f>IFERROR(__xludf.DUMMYFUNCTION("""COMPUTED_VALUE"""),"20 inch Sport")</f>
        <v>20 inch Sport</v>
      </c>
      <c r="Q2449" t="str">
        <f>IFERROR(__xludf.DUMMYFUNCTION("""COMPUTED_VALUE"""),"Black seats")</f>
        <v>Black seats</v>
      </c>
      <c r="R2449" t="str">
        <f>IFERROR(__xludf.DUMMYFUNCTION("""COMPUTED_VALUE"""),"Autopilot")</f>
        <v>Autopilot</v>
      </c>
      <c r="X2449" t="str">
        <f>IFERROR(__xludf.DUMMYFUNCTION("""COMPUTED_VALUE"""),"Excellent")</f>
        <v>Excellent</v>
      </c>
      <c r="Y2449" t="str">
        <f>IFERROR(__xludf.DUMMYFUNCTION("""COMPUTED_VALUE"""),"Excellent")</f>
        <v>Excellent</v>
      </c>
      <c r="Z2449" t="str">
        <f>IFERROR(__xludf.DUMMYFUNCTION("""COMPUTED_VALUE"""),"Good")</f>
        <v>Good</v>
      </c>
      <c r="AA2449" t="str">
        <f>IFERROR(__xludf.DUMMYFUNCTION("""COMPUTED_VALUE"""),"Good")</f>
        <v>Good</v>
      </c>
      <c r="AB2449" t="str">
        <f>IFERROR(__xludf.DUMMYFUNCTION("""COMPUTED_VALUE"""),"Good")</f>
        <v>Good</v>
      </c>
      <c r="AC2449">
        <f>IFERROR(__xludf.DUMMYFUNCTION("""COMPUTED_VALUE"""),3.0)</f>
        <v>3</v>
      </c>
      <c r="AD2449">
        <f>IFERROR(__xludf.DUMMYFUNCTION("""COMPUTED_VALUE"""),0.0)</f>
        <v>0</v>
      </c>
      <c r="AE2449">
        <f>IFERROR(__xludf.DUMMYFUNCTION("""COMPUTED_VALUE"""),0.0)</f>
        <v>0</v>
      </c>
      <c r="AH2449" s="189">
        <f>IFERROR(__xludf.DUMMYFUNCTION("""COMPUTED_VALUE"""),43978.49674165509)</f>
        <v>43978.49674</v>
      </c>
    </row>
    <row r="2450">
      <c r="A2450" t="str">
        <f>IFERROR(__xludf.DUMMYFUNCTION("""COMPUTED_VALUE"""),"epicsurf")</f>
        <v>epicsurf</v>
      </c>
      <c r="B2450" t="str">
        <f>IFERROR(__xludf.DUMMYFUNCTION("""COMPUTED_VALUE"""),"Chicago")</f>
        <v>Chicago</v>
      </c>
      <c r="C2450" t="str">
        <f>IFERROR(__xludf.DUMMYFUNCTION("""COMPUTED_VALUE"""),"IL")</f>
        <v>IL</v>
      </c>
      <c r="D2450" t="str">
        <f>IFERROR(__xludf.DUMMYFUNCTION("""COMPUTED_VALUE"""),"USA")</f>
        <v>USA</v>
      </c>
      <c r="E2450" s="188">
        <f>IFERROR(__xludf.DUMMYFUNCTION("""COMPUTED_VALUE"""),43976.0)</f>
        <v>43976</v>
      </c>
      <c r="F2450" s="188">
        <f>IFERROR(__xludf.DUMMYFUNCTION("""COMPUTED_VALUE"""),43980.0)</f>
        <v>43980</v>
      </c>
      <c r="H2450" s="4">
        <f>IFERROR(__xludf.DUMMYFUNCTION("""COMPUTED_VALUE"""),719201.0)</f>
        <v>719201</v>
      </c>
      <c r="J2450" s="5">
        <f>IFERROR(__xludf.DUMMYFUNCTION("""COMPUTED_VALUE"""),43993.0)</f>
        <v>43993</v>
      </c>
      <c r="K2450">
        <f>IFERROR(__xludf.DUMMYFUNCTION("""COMPUTED_VALUE"""),4.0)</f>
        <v>4</v>
      </c>
      <c r="L2450">
        <f>IFERROR(__xludf.DUMMYFUNCTION("""COMPUTED_VALUE"""),13.0)</f>
        <v>13</v>
      </c>
      <c r="M2450">
        <f>IFERROR(__xludf.DUMMYFUNCTION("""COMPUTED_VALUE"""),17.0)</f>
        <v>17</v>
      </c>
      <c r="N2450" t="str">
        <f>IFERROR(__xludf.DUMMYFUNCTION("""COMPUTED_VALUE"""),"Model 3 Performance")</f>
        <v>Model 3 Performance</v>
      </c>
      <c r="O2450" t="str">
        <f>IFERROR(__xludf.DUMMYFUNCTION("""COMPUTED_VALUE"""),"Pearl White Multi-Coat")</f>
        <v>Pearl White Multi-Coat</v>
      </c>
      <c r="P2450" t="str">
        <f>IFERROR(__xludf.DUMMYFUNCTION("""COMPUTED_VALUE"""),"20 inch Sport")</f>
        <v>20 inch Sport</v>
      </c>
      <c r="Q2450" t="str">
        <f>IFERROR(__xludf.DUMMYFUNCTION("""COMPUTED_VALUE"""),"White seats")</f>
        <v>White seats</v>
      </c>
      <c r="R2450" t="str">
        <f>IFERROR(__xludf.DUMMYFUNCTION("""COMPUTED_VALUE"""),"Full Self-Driving")</f>
        <v>Full Self-Driving</v>
      </c>
      <c r="X2450" t="str">
        <f>IFERROR(__xludf.DUMMYFUNCTION("""COMPUTED_VALUE"""),"Very Good")</f>
        <v>Very Good</v>
      </c>
      <c r="Y2450" t="str">
        <f>IFERROR(__xludf.DUMMYFUNCTION("""COMPUTED_VALUE"""),"Very Good")</f>
        <v>Very Good</v>
      </c>
      <c r="Z2450" t="str">
        <f>IFERROR(__xludf.DUMMYFUNCTION("""COMPUTED_VALUE"""),"Very Good")</f>
        <v>Very Good</v>
      </c>
      <c r="AA2450" t="str">
        <f>IFERROR(__xludf.DUMMYFUNCTION("""COMPUTED_VALUE"""),"Poor")</f>
        <v>Poor</v>
      </c>
      <c r="AB2450" t="str">
        <f>IFERROR(__xludf.DUMMYFUNCTION("""COMPUTED_VALUE"""),"Fair")</f>
        <v>Fair</v>
      </c>
      <c r="AH2450" s="189">
        <f>IFERROR(__xludf.DUMMYFUNCTION("""COMPUTED_VALUE"""),43993.60523335648)</f>
        <v>43993.60523</v>
      </c>
    </row>
    <row r="2451">
      <c r="A2451" t="str">
        <f>IFERROR(__xludf.DUMMYFUNCTION("""COMPUTED_VALUE"""),"duckdude555")</f>
        <v>duckdude555</v>
      </c>
      <c r="B2451" t="str">
        <f>IFERROR(__xludf.DUMMYFUNCTION("""COMPUTED_VALUE"""),"Baltimore")</f>
        <v>Baltimore</v>
      </c>
      <c r="C2451" t="str">
        <f>IFERROR(__xludf.DUMMYFUNCTION("""COMPUTED_VALUE"""),"MD")</f>
        <v>MD</v>
      </c>
      <c r="D2451" t="str">
        <f>IFERROR(__xludf.DUMMYFUNCTION("""COMPUTED_VALUE"""),"USA")</f>
        <v>USA</v>
      </c>
      <c r="E2451" s="188">
        <f>IFERROR(__xludf.DUMMYFUNCTION("""COMPUTED_VALUE"""),43982.0)</f>
        <v>43982</v>
      </c>
      <c r="F2451" s="188">
        <f>IFERROR(__xludf.DUMMYFUNCTION("""COMPUTED_VALUE"""),43984.0)</f>
        <v>43984</v>
      </c>
      <c r="H2451">
        <f>IFERROR(__xludf.DUMMYFUNCTION("""COMPUTED_VALUE"""),710785.0)</f>
        <v>710785</v>
      </c>
      <c r="I2451" t="str">
        <f>IFERROR(__xludf.DUMMYFUNCTION("""COMPUTED_VALUE"""),"05/20")</f>
        <v>05/20</v>
      </c>
      <c r="J2451" s="5">
        <f>IFERROR(__xludf.DUMMYFUNCTION("""COMPUTED_VALUE"""),43998.0)</f>
        <v>43998</v>
      </c>
      <c r="K2451">
        <f>IFERROR(__xludf.DUMMYFUNCTION("""COMPUTED_VALUE"""),2.0)</f>
        <v>2</v>
      </c>
      <c r="L2451">
        <f>IFERROR(__xludf.DUMMYFUNCTION("""COMPUTED_VALUE"""),14.0)</f>
        <v>14</v>
      </c>
      <c r="M2451">
        <f>IFERROR(__xludf.DUMMYFUNCTION("""COMPUTED_VALUE"""),16.0)</f>
        <v>16</v>
      </c>
      <c r="N2451" t="str">
        <f>IFERROR(__xludf.DUMMYFUNCTION("""COMPUTED_VALUE"""),"Model 3 LR AWD")</f>
        <v>Model 3 LR AWD</v>
      </c>
      <c r="O2451" t="str">
        <f>IFERROR(__xludf.DUMMYFUNCTION("""COMPUTED_VALUE"""),"Midnight Silver Metallic")</f>
        <v>Midnight Silver Metallic</v>
      </c>
      <c r="P2451" t="str">
        <f>IFERROR(__xludf.DUMMYFUNCTION("""COMPUTED_VALUE"""),"18 inch Aero")</f>
        <v>18 inch Aero</v>
      </c>
      <c r="Q2451" t="str">
        <f>IFERROR(__xludf.DUMMYFUNCTION("""COMPUTED_VALUE"""),"Black seats")</f>
        <v>Black seats</v>
      </c>
      <c r="R2451" t="str">
        <f>IFERROR(__xludf.DUMMYFUNCTION("""COMPUTED_VALUE"""),"Full Self-Driving")</f>
        <v>Full Self-Driving</v>
      </c>
      <c r="X2451" t="str">
        <f>IFERROR(__xludf.DUMMYFUNCTION("""COMPUTED_VALUE"""),"Excellent")</f>
        <v>Excellent</v>
      </c>
      <c r="Y2451" t="str">
        <f>IFERROR(__xludf.DUMMYFUNCTION("""COMPUTED_VALUE"""),"Excellent")</f>
        <v>Excellent</v>
      </c>
      <c r="Z2451" t="str">
        <f>IFERROR(__xludf.DUMMYFUNCTION("""COMPUTED_VALUE"""),"Very Good")</f>
        <v>Very Good</v>
      </c>
      <c r="AA2451" t="str">
        <f>IFERROR(__xludf.DUMMYFUNCTION("""COMPUTED_VALUE"""),"Good")</f>
        <v>Good</v>
      </c>
      <c r="AB2451" t="str">
        <f>IFERROR(__xludf.DUMMYFUNCTION("""COMPUTED_VALUE"""),"Very Good")</f>
        <v>Very Good</v>
      </c>
      <c r="AH2451" s="189">
        <f>IFERROR(__xludf.DUMMYFUNCTION("""COMPUTED_VALUE"""),43998.77117118056)</f>
        <v>43998.77117</v>
      </c>
    </row>
    <row r="2452">
      <c r="A2452" t="str">
        <f>IFERROR(__xludf.DUMMYFUNCTION("""COMPUTED_VALUE"""),"jeddy5702")</f>
        <v>jeddy5702</v>
      </c>
      <c r="B2452" t="str">
        <f>IFERROR(__xludf.DUMMYFUNCTION("""COMPUTED_VALUE"""),"Orlando")</f>
        <v>Orlando</v>
      </c>
      <c r="C2452" t="str">
        <f>IFERROR(__xludf.DUMMYFUNCTION("""COMPUTED_VALUE"""),"FL")</f>
        <v>FL</v>
      </c>
      <c r="D2452" t="str">
        <f>IFERROR(__xludf.DUMMYFUNCTION("""COMPUTED_VALUE"""),"USA")</f>
        <v>USA</v>
      </c>
      <c r="E2452" s="188">
        <f>IFERROR(__xludf.DUMMYFUNCTION("""COMPUTED_VALUE"""),43972.0)</f>
        <v>43972</v>
      </c>
      <c r="F2452" s="188">
        <f>IFERROR(__xludf.DUMMYFUNCTION("""COMPUTED_VALUE"""),43981.0)</f>
        <v>43981</v>
      </c>
      <c r="H2452" s="4">
        <f>IFERROR(__xludf.DUMMYFUNCTION("""COMPUTED_VALUE"""),713649.0)</f>
        <v>713649</v>
      </c>
      <c r="J2452" s="5">
        <f>IFERROR(__xludf.DUMMYFUNCTION("""COMPUTED_VALUE"""),43997.0)</f>
        <v>43997</v>
      </c>
      <c r="K2452">
        <f>IFERROR(__xludf.DUMMYFUNCTION("""COMPUTED_VALUE"""),9.0)</f>
        <v>9</v>
      </c>
      <c r="L2452">
        <f>IFERROR(__xludf.DUMMYFUNCTION("""COMPUTED_VALUE"""),16.0)</f>
        <v>16</v>
      </c>
      <c r="M2452">
        <f>IFERROR(__xludf.DUMMYFUNCTION("""COMPUTED_VALUE"""),25.0)</f>
        <v>25</v>
      </c>
      <c r="N2452" t="str">
        <f>IFERROR(__xludf.DUMMYFUNCTION("""COMPUTED_VALUE"""),"Model 3 Performance")</f>
        <v>Model 3 Performance</v>
      </c>
      <c r="O2452" t="str">
        <f>IFERROR(__xludf.DUMMYFUNCTION("""COMPUTED_VALUE"""),"Red Multi-Coat")</f>
        <v>Red Multi-Coat</v>
      </c>
      <c r="P2452" t="str">
        <f>IFERROR(__xludf.DUMMYFUNCTION("""COMPUTED_VALUE"""),"20 inch Sport")</f>
        <v>20 inch Sport</v>
      </c>
      <c r="Q2452" t="str">
        <f>IFERROR(__xludf.DUMMYFUNCTION("""COMPUTED_VALUE"""),"Black seats")</f>
        <v>Black seats</v>
      </c>
      <c r="R2452" t="str">
        <f>IFERROR(__xludf.DUMMYFUNCTION("""COMPUTED_VALUE"""),"Full Self-Driving")</f>
        <v>Full Self-Driving</v>
      </c>
      <c r="X2452" t="str">
        <f>IFERROR(__xludf.DUMMYFUNCTION("""COMPUTED_VALUE"""),"Very Good")</f>
        <v>Very Good</v>
      </c>
      <c r="Y2452" t="str">
        <f>IFERROR(__xludf.DUMMYFUNCTION("""COMPUTED_VALUE"""),"Very Good")</f>
        <v>Very Good</v>
      </c>
      <c r="Z2452" t="str">
        <f>IFERROR(__xludf.DUMMYFUNCTION("""COMPUTED_VALUE"""),"Very Good")</f>
        <v>Very Good</v>
      </c>
      <c r="AA2452" t="str">
        <f>IFERROR(__xludf.DUMMYFUNCTION("""COMPUTED_VALUE"""),"Excellent")</f>
        <v>Excellent</v>
      </c>
      <c r="AB2452" t="str">
        <f>IFERROR(__xludf.DUMMYFUNCTION("""COMPUTED_VALUE"""),"Excellent")</f>
        <v>Excellent</v>
      </c>
      <c r="AC2452">
        <f>IFERROR(__xludf.DUMMYFUNCTION("""COMPUTED_VALUE"""),2.0)</f>
        <v>2</v>
      </c>
      <c r="AD2452">
        <f>IFERROR(__xludf.DUMMYFUNCTION("""COMPUTED_VALUE"""),1.0)</f>
        <v>1</v>
      </c>
      <c r="AH2452" s="189">
        <f>IFERROR(__xludf.DUMMYFUNCTION("""COMPUTED_VALUE"""),43999.35166597222)</f>
        <v>43999.35167</v>
      </c>
    </row>
    <row r="2453">
      <c r="A2453" t="str">
        <f>IFERROR(__xludf.DUMMYFUNCTION("""COMPUTED_VALUE"""),"JAR897")</f>
        <v>JAR897</v>
      </c>
      <c r="B2453" t="str">
        <f>IFERROR(__xludf.DUMMYFUNCTION("""COMPUTED_VALUE"""),"Nottingham")</f>
        <v>Nottingham</v>
      </c>
      <c r="D2453" t="str">
        <f>IFERROR(__xludf.DUMMYFUNCTION("""COMPUTED_VALUE"""),"United Kingdom")</f>
        <v>United Kingdom</v>
      </c>
      <c r="E2453" s="188">
        <f>IFERROR(__xludf.DUMMYFUNCTION("""COMPUTED_VALUE"""),43986.0)</f>
        <v>43986</v>
      </c>
      <c r="H2453">
        <f>IFERROR(__xludf.DUMMYFUNCTION("""COMPUTED_VALUE"""),608615.0)</f>
        <v>608615</v>
      </c>
      <c r="I2453" t="str">
        <f>IFERROR(__xludf.DUMMYFUNCTION("""COMPUTED_VALUE"""),"02/20")</f>
        <v>02/20</v>
      </c>
      <c r="J2453" s="5">
        <f>IFERROR(__xludf.DUMMYFUNCTION("""COMPUTED_VALUE"""),44012.0)</f>
        <v>44012</v>
      </c>
      <c r="M2453">
        <f>IFERROR(__xludf.DUMMYFUNCTION("""COMPUTED_VALUE"""),26.0)</f>
        <v>26</v>
      </c>
      <c r="N2453" t="str">
        <f>IFERROR(__xludf.DUMMYFUNCTION("""COMPUTED_VALUE"""),"Model 3 Performance")</f>
        <v>Model 3 Performance</v>
      </c>
      <c r="O2453" t="str">
        <f>IFERROR(__xludf.DUMMYFUNCTION("""COMPUTED_VALUE"""),"Pearl White Multi-Coat")</f>
        <v>Pearl White Multi-Coat</v>
      </c>
      <c r="P2453" t="str">
        <f>IFERROR(__xludf.DUMMYFUNCTION("""COMPUTED_VALUE"""),"20 inch Sport")</f>
        <v>20 inch Sport</v>
      </c>
      <c r="Q2453" t="str">
        <f>IFERROR(__xludf.DUMMYFUNCTION("""COMPUTED_VALUE"""),"White seats")</f>
        <v>White seats</v>
      </c>
      <c r="R2453" t="str">
        <f>IFERROR(__xludf.DUMMYFUNCTION("""COMPUTED_VALUE"""),"Full Self-Driving")</f>
        <v>Full Self-Driving</v>
      </c>
      <c r="X2453" t="str">
        <f>IFERROR(__xludf.DUMMYFUNCTION("""COMPUTED_VALUE"""),"Very Good")</f>
        <v>Very Good</v>
      </c>
      <c r="Y2453" t="str">
        <f>IFERROR(__xludf.DUMMYFUNCTION("""COMPUTED_VALUE"""),"Very Good")</f>
        <v>Very Good</v>
      </c>
      <c r="Z2453" t="str">
        <f>IFERROR(__xludf.DUMMYFUNCTION("""COMPUTED_VALUE"""),"Very Good")</f>
        <v>Very Good</v>
      </c>
      <c r="AA2453" t="str">
        <f>IFERROR(__xludf.DUMMYFUNCTION("""COMPUTED_VALUE"""),"Very Good")</f>
        <v>Very Good</v>
      </c>
      <c r="AB2453" t="str">
        <f>IFERROR(__xludf.DUMMYFUNCTION("""COMPUTED_VALUE"""),"Very Good")</f>
        <v>Very Good</v>
      </c>
      <c r="AC2453">
        <f>IFERROR(__xludf.DUMMYFUNCTION("""COMPUTED_VALUE"""),0.0)</f>
        <v>0</v>
      </c>
      <c r="AH2453" s="189">
        <f>IFERROR(__xludf.DUMMYFUNCTION("""COMPUTED_VALUE"""),44001.243976805556)</f>
        <v>44001.24398</v>
      </c>
    </row>
    <row r="2454">
      <c r="A2454" t="str">
        <f>IFERROR(__xludf.DUMMYFUNCTION("""COMPUTED_VALUE"""),"pd")</f>
        <v>pd</v>
      </c>
      <c r="B2454" t="str">
        <f>IFERROR(__xludf.DUMMYFUNCTION("""COMPUTED_VALUE"""),"DFW")</f>
        <v>DFW</v>
      </c>
      <c r="C2454" t="str">
        <f>IFERROR(__xludf.DUMMYFUNCTION("""COMPUTED_VALUE"""),"TX")</f>
        <v>TX</v>
      </c>
      <c r="D2454" t="str">
        <f>IFERROR(__xludf.DUMMYFUNCTION("""COMPUTED_VALUE"""),"USA")</f>
        <v>USA</v>
      </c>
      <c r="E2454" s="188">
        <f>IFERROR(__xludf.DUMMYFUNCTION("""COMPUTED_VALUE"""),43982.0)</f>
        <v>43982</v>
      </c>
      <c r="F2454" s="188">
        <f>IFERROR(__xludf.DUMMYFUNCTION("""COMPUTED_VALUE"""),43990.0)</f>
        <v>43990</v>
      </c>
      <c r="H2454">
        <f>IFERROR(__xludf.DUMMYFUNCTION("""COMPUTED_VALUE"""),705255.0)</f>
        <v>705255</v>
      </c>
      <c r="I2454" t="str">
        <f>IFERROR(__xludf.DUMMYFUNCTION("""COMPUTED_VALUE"""),"06/20")</f>
        <v>06/20</v>
      </c>
      <c r="J2454" s="5">
        <f>IFERROR(__xludf.DUMMYFUNCTION("""COMPUTED_VALUE"""),44003.0)</f>
        <v>44003</v>
      </c>
      <c r="K2454">
        <f>IFERROR(__xludf.DUMMYFUNCTION("""COMPUTED_VALUE"""),8.0)</f>
        <v>8</v>
      </c>
      <c r="L2454">
        <f>IFERROR(__xludf.DUMMYFUNCTION("""COMPUTED_VALUE"""),13.0)</f>
        <v>13</v>
      </c>
      <c r="M2454">
        <f>IFERROR(__xludf.DUMMYFUNCTION("""COMPUTED_VALUE"""),21.0)</f>
        <v>21</v>
      </c>
      <c r="N2454" t="str">
        <f>IFERROR(__xludf.DUMMYFUNCTION("""COMPUTED_VALUE"""),"Model 3 SR+")</f>
        <v>Model 3 SR+</v>
      </c>
      <c r="O2454" t="str">
        <f>IFERROR(__xludf.DUMMYFUNCTION("""COMPUTED_VALUE"""),"Midnight Silver Metallic")</f>
        <v>Midnight Silver Metallic</v>
      </c>
      <c r="P2454" t="str">
        <f>IFERROR(__xludf.DUMMYFUNCTION("""COMPUTED_VALUE"""),"18 inch Aero")</f>
        <v>18 inch Aero</v>
      </c>
      <c r="Q2454" t="str">
        <f>IFERROR(__xludf.DUMMYFUNCTION("""COMPUTED_VALUE"""),"Black seats")</f>
        <v>Black seats</v>
      </c>
      <c r="R2454" t="str">
        <f>IFERROR(__xludf.DUMMYFUNCTION("""COMPUTED_VALUE"""),"Autopilot")</f>
        <v>Autopilot</v>
      </c>
      <c r="X2454" t="str">
        <f>IFERROR(__xludf.DUMMYFUNCTION("""COMPUTED_VALUE"""),"Very Good")</f>
        <v>Very Good</v>
      </c>
      <c r="Y2454" t="str">
        <f>IFERROR(__xludf.DUMMYFUNCTION("""COMPUTED_VALUE"""),"Excellent")</f>
        <v>Excellent</v>
      </c>
      <c r="Z2454" t="str">
        <f>IFERROR(__xludf.DUMMYFUNCTION("""COMPUTED_VALUE"""),"Excellent")</f>
        <v>Excellent</v>
      </c>
      <c r="AA2454" t="str">
        <f>IFERROR(__xludf.DUMMYFUNCTION("""COMPUTED_VALUE"""),"Good")</f>
        <v>Good</v>
      </c>
      <c r="AB2454" t="str">
        <f>IFERROR(__xludf.DUMMYFUNCTION("""COMPUTED_VALUE"""),"Excellent")</f>
        <v>Excellent</v>
      </c>
      <c r="AG2454" t="str">
        <f>IFERROR(__xludf.DUMMYFUNCTION("""COMPUTED_VALUE"""),"Had USB C and wireless charging")</f>
        <v>Had USB C and wireless charging</v>
      </c>
      <c r="AH2454" s="189">
        <f>IFERROR(__xludf.DUMMYFUNCTION("""COMPUTED_VALUE"""),44003.85282141204)</f>
        <v>44003.85282</v>
      </c>
    </row>
    <row r="2455">
      <c r="A2455" t="str">
        <f>IFERROR(__xludf.DUMMYFUNCTION("""COMPUTED_VALUE"""),"wtoh")</f>
        <v>wtoh</v>
      </c>
      <c r="B2455" t="str">
        <f>IFERROR(__xludf.DUMMYFUNCTION("""COMPUTED_VALUE"""),"Vancouver")</f>
        <v>Vancouver</v>
      </c>
      <c r="C2455" t="str">
        <f>IFERROR(__xludf.DUMMYFUNCTION("""COMPUTED_VALUE"""),"BC")</f>
        <v>BC</v>
      </c>
      <c r="D2455" t="str">
        <f>IFERROR(__xludf.DUMMYFUNCTION("""COMPUTED_VALUE"""),"Canada")</f>
        <v>Canada</v>
      </c>
      <c r="E2455" s="188">
        <f>IFERROR(__xludf.DUMMYFUNCTION("""COMPUTED_VALUE"""),43947.0)</f>
        <v>43947</v>
      </c>
      <c r="F2455" s="188">
        <f>IFERROR(__xludf.DUMMYFUNCTION("""COMPUTED_VALUE"""),43998.0)</f>
        <v>43998</v>
      </c>
      <c r="H2455">
        <f>IFERROR(__xludf.DUMMYFUNCTION("""COMPUTED_VALUE"""),734455.0)</f>
        <v>734455</v>
      </c>
      <c r="J2455" s="5">
        <f>IFERROR(__xludf.DUMMYFUNCTION("""COMPUTED_VALUE"""),44002.0)</f>
        <v>44002</v>
      </c>
      <c r="K2455">
        <f>IFERROR(__xludf.DUMMYFUNCTION("""COMPUTED_VALUE"""),51.0)</f>
        <v>51</v>
      </c>
      <c r="L2455">
        <f>IFERROR(__xludf.DUMMYFUNCTION("""COMPUTED_VALUE"""),4.0)</f>
        <v>4</v>
      </c>
      <c r="M2455">
        <f>IFERROR(__xludf.DUMMYFUNCTION("""COMPUTED_VALUE"""),55.0)</f>
        <v>55</v>
      </c>
      <c r="N2455" t="str">
        <f>IFERROR(__xludf.DUMMYFUNCTION("""COMPUTED_VALUE"""),"Model 3 SR+")</f>
        <v>Model 3 SR+</v>
      </c>
      <c r="O2455" t="str">
        <f>IFERROR(__xludf.DUMMYFUNCTION("""COMPUTED_VALUE"""),"Pearl White Multi-Coat")</f>
        <v>Pearl White Multi-Coat</v>
      </c>
      <c r="P2455" t="str">
        <f>IFERROR(__xludf.DUMMYFUNCTION("""COMPUTED_VALUE"""),"18 inch Aero")</f>
        <v>18 inch Aero</v>
      </c>
      <c r="Q2455" t="str">
        <f>IFERROR(__xludf.DUMMYFUNCTION("""COMPUTED_VALUE"""),"Black seats")</f>
        <v>Black seats</v>
      </c>
      <c r="R2455" t="str">
        <f>IFERROR(__xludf.DUMMYFUNCTION("""COMPUTED_VALUE"""),"Autopilot")</f>
        <v>Autopilot</v>
      </c>
      <c r="X2455" t="str">
        <f>IFERROR(__xludf.DUMMYFUNCTION("""COMPUTED_VALUE"""),"Excellent")</f>
        <v>Excellent</v>
      </c>
      <c r="Y2455" t="str">
        <f>IFERROR(__xludf.DUMMYFUNCTION("""COMPUTED_VALUE"""),"Excellent")</f>
        <v>Excellent</v>
      </c>
      <c r="Z2455" t="str">
        <f>IFERROR(__xludf.DUMMYFUNCTION("""COMPUTED_VALUE"""),"Excellent")</f>
        <v>Excellent</v>
      </c>
      <c r="AA2455" t="str">
        <f>IFERROR(__xludf.DUMMYFUNCTION("""COMPUTED_VALUE"""),"Good")</f>
        <v>Good</v>
      </c>
      <c r="AB2455" t="str">
        <f>IFERROR(__xludf.DUMMYFUNCTION("""COMPUTED_VALUE"""),"Good")</f>
        <v>Good</v>
      </c>
      <c r="AH2455" s="189">
        <f>IFERROR(__xludf.DUMMYFUNCTION("""COMPUTED_VALUE"""),44008.78753954861)</f>
        <v>44008.78754</v>
      </c>
    </row>
    <row r="2456">
      <c r="A2456" t="str">
        <f>IFERROR(__xludf.DUMMYFUNCTION("""COMPUTED_VALUE"""),"quamrana")</f>
        <v>quamrana</v>
      </c>
      <c r="B2456" t="str">
        <f>IFERROR(__xludf.DUMMYFUNCTION("""COMPUTED_VALUE"""),"Nottingham")</f>
        <v>Nottingham</v>
      </c>
      <c r="D2456" t="str">
        <f>IFERROR(__xludf.DUMMYFUNCTION("""COMPUTED_VALUE"""),"United Kingdom")</f>
        <v>United Kingdom</v>
      </c>
      <c r="E2456" s="188">
        <f>IFERROR(__xludf.DUMMYFUNCTION("""COMPUTED_VALUE"""),43890.0)</f>
        <v>43890</v>
      </c>
      <c r="F2456" s="188">
        <f>IFERROR(__xludf.DUMMYFUNCTION("""COMPUTED_VALUE"""),43994.0)</f>
        <v>43994</v>
      </c>
      <c r="H2456">
        <f>IFERROR(__xludf.DUMMYFUNCTION("""COMPUTED_VALUE"""),732357.0)</f>
        <v>732357</v>
      </c>
      <c r="J2456" s="5">
        <f>IFERROR(__xludf.DUMMYFUNCTION("""COMPUTED_VALUE"""),44008.0)</f>
        <v>44008</v>
      </c>
      <c r="K2456">
        <f>IFERROR(__xludf.DUMMYFUNCTION("""COMPUTED_VALUE"""),104.0)</f>
        <v>104</v>
      </c>
      <c r="L2456">
        <f>IFERROR(__xludf.DUMMYFUNCTION("""COMPUTED_VALUE"""),14.0)</f>
        <v>14</v>
      </c>
      <c r="M2456">
        <f>IFERROR(__xludf.DUMMYFUNCTION("""COMPUTED_VALUE"""),118.0)</f>
        <v>118</v>
      </c>
      <c r="N2456" t="str">
        <f>IFERROR(__xludf.DUMMYFUNCTION("""COMPUTED_VALUE"""),"Model 3 SR+")</f>
        <v>Model 3 SR+</v>
      </c>
      <c r="O2456" t="str">
        <f>IFERROR(__xludf.DUMMYFUNCTION("""COMPUTED_VALUE"""),"Deep Blue Metallic")</f>
        <v>Deep Blue Metallic</v>
      </c>
      <c r="P2456" t="str">
        <f>IFERROR(__xludf.DUMMYFUNCTION("""COMPUTED_VALUE"""),"18 inch Aero")</f>
        <v>18 inch Aero</v>
      </c>
      <c r="Q2456" t="str">
        <f>IFERROR(__xludf.DUMMYFUNCTION("""COMPUTED_VALUE"""),"Black seats")</f>
        <v>Black seats</v>
      </c>
      <c r="R2456" t="str">
        <f>IFERROR(__xludf.DUMMYFUNCTION("""COMPUTED_VALUE"""),"Autopilot")</f>
        <v>Autopilot</v>
      </c>
      <c r="AA2456" t="str">
        <f>IFERROR(__xludf.DUMMYFUNCTION("""COMPUTED_VALUE"""),"Very Good")</f>
        <v>Very Good</v>
      </c>
      <c r="AB2456" t="str">
        <f>IFERROR(__xludf.DUMMYFUNCTION("""COMPUTED_VALUE"""),"Very Good")</f>
        <v>Very Good</v>
      </c>
      <c r="AH2456" s="189">
        <f>IFERROR(__xludf.DUMMYFUNCTION("""COMPUTED_VALUE"""),44009.02603692129)</f>
        <v>44009.02604</v>
      </c>
    </row>
    <row r="2457">
      <c r="A2457" t="str">
        <f>IFERROR(__xludf.DUMMYFUNCTION("""COMPUTED_VALUE"""),"Burro7075")</f>
        <v>Burro7075</v>
      </c>
      <c r="B2457" t="str">
        <f>IFERROR(__xludf.DUMMYFUNCTION("""COMPUTED_VALUE"""),"DFW")</f>
        <v>DFW</v>
      </c>
      <c r="C2457" t="str">
        <f>IFERROR(__xludf.DUMMYFUNCTION("""COMPUTED_VALUE"""),"TX")</f>
        <v>TX</v>
      </c>
      <c r="D2457" t="str">
        <f>IFERROR(__xludf.DUMMYFUNCTION("""COMPUTED_VALUE"""),"USA")</f>
        <v>USA</v>
      </c>
      <c r="E2457" s="188">
        <f>IFERROR(__xludf.DUMMYFUNCTION("""COMPUTED_VALUE"""),43978.0)</f>
        <v>43978</v>
      </c>
      <c r="F2457" s="188">
        <f>IFERROR(__xludf.DUMMYFUNCTION("""COMPUTED_VALUE"""),43987.0)</f>
        <v>43987</v>
      </c>
      <c r="H2457">
        <f>IFERROR(__xludf.DUMMYFUNCTION("""COMPUTED_VALUE"""),720155.0)</f>
        <v>720155</v>
      </c>
      <c r="I2457" t="str">
        <f>IFERROR(__xludf.DUMMYFUNCTION("""COMPUTED_VALUE"""),"06/20")</f>
        <v>06/20</v>
      </c>
      <c r="J2457" s="5">
        <f>IFERROR(__xludf.DUMMYFUNCTION("""COMPUTED_VALUE"""),44008.0)</f>
        <v>44008</v>
      </c>
      <c r="K2457">
        <f>IFERROR(__xludf.DUMMYFUNCTION("""COMPUTED_VALUE"""),9.0)</f>
        <v>9</v>
      </c>
      <c r="L2457">
        <f>IFERROR(__xludf.DUMMYFUNCTION("""COMPUTED_VALUE"""),21.0)</f>
        <v>21</v>
      </c>
      <c r="M2457">
        <f>IFERROR(__xludf.DUMMYFUNCTION("""COMPUTED_VALUE"""),30.0)</f>
        <v>30</v>
      </c>
      <c r="N2457" t="str">
        <f>IFERROR(__xludf.DUMMYFUNCTION("""COMPUTED_VALUE"""),"Model 3 LR AWD")</f>
        <v>Model 3 LR AWD</v>
      </c>
      <c r="O2457" t="str">
        <f>IFERROR(__xludf.DUMMYFUNCTION("""COMPUTED_VALUE"""),"Pearl White Multi-Coat")</f>
        <v>Pearl White Multi-Coat</v>
      </c>
      <c r="P2457" t="str">
        <f>IFERROR(__xludf.DUMMYFUNCTION("""COMPUTED_VALUE"""),"18 inch Aero")</f>
        <v>18 inch Aero</v>
      </c>
      <c r="Q2457" t="str">
        <f>IFERROR(__xludf.DUMMYFUNCTION("""COMPUTED_VALUE"""),"White seats")</f>
        <v>White seats</v>
      </c>
      <c r="R2457" t="str">
        <f>IFERROR(__xludf.DUMMYFUNCTION("""COMPUTED_VALUE"""),"Autopilot")</f>
        <v>Autopilot</v>
      </c>
      <c r="X2457" t="str">
        <f>IFERROR(__xludf.DUMMYFUNCTION("""COMPUTED_VALUE"""),"Excellent")</f>
        <v>Excellent</v>
      </c>
      <c r="Y2457" t="str">
        <f>IFERROR(__xludf.DUMMYFUNCTION("""COMPUTED_VALUE"""),"Excellent")</f>
        <v>Excellent</v>
      </c>
      <c r="Z2457" t="str">
        <f>IFERROR(__xludf.DUMMYFUNCTION("""COMPUTED_VALUE"""),"Excellent")</f>
        <v>Excellent</v>
      </c>
      <c r="AA2457" t="str">
        <f>IFERROR(__xludf.DUMMYFUNCTION("""COMPUTED_VALUE"""),"Very Good")</f>
        <v>Very Good</v>
      </c>
      <c r="AB2457" t="str">
        <f>IFERROR(__xludf.DUMMYFUNCTION("""COMPUTED_VALUE"""),"Excellent")</f>
        <v>Excellent</v>
      </c>
      <c r="AC2457">
        <f>IFERROR(__xludf.DUMMYFUNCTION("""COMPUTED_VALUE"""),0.0)</f>
        <v>0</v>
      </c>
      <c r="AD2457">
        <f>IFERROR(__xludf.DUMMYFUNCTION("""COMPUTED_VALUE"""),0.0)</f>
        <v>0</v>
      </c>
      <c r="AE2457">
        <f>IFERROR(__xludf.DUMMYFUNCTION("""COMPUTED_VALUE"""),0.0)</f>
        <v>0</v>
      </c>
      <c r="AH2457" s="189">
        <f>IFERROR(__xludf.DUMMYFUNCTION("""COMPUTED_VALUE"""),44009.15075292824)</f>
        <v>44009.15075</v>
      </c>
    </row>
    <row r="2458">
      <c r="A2458" t="str">
        <f>IFERROR(__xludf.DUMMYFUNCTION("""COMPUTED_VALUE"""),"Deesh")</f>
        <v>Deesh</v>
      </c>
      <c r="B2458" t="str">
        <f>IFERROR(__xludf.DUMMYFUNCTION("""COMPUTED_VALUE"""),"Winnipeg")</f>
        <v>Winnipeg</v>
      </c>
      <c r="C2458" t="str">
        <f>IFERROR(__xludf.DUMMYFUNCTION("""COMPUTED_VALUE"""),"MB")</f>
        <v>MB</v>
      </c>
      <c r="D2458" t="str">
        <f>IFERROR(__xludf.DUMMYFUNCTION("""COMPUTED_VALUE"""),"Canada")</f>
        <v>Canada</v>
      </c>
      <c r="E2458" s="188">
        <f>IFERROR(__xludf.DUMMYFUNCTION("""COMPUTED_VALUE"""),43978.0)</f>
        <v>43978</v>
      </c>
      <c r="F2458" s="188">
        <f>IFERROR(__xludf.DUMMYFUNCTION("""COMPUTED_VALUE"""),44000.0)</f>
        <v>44000</v>
      </c>
      <c r="H2458">
        <f>IFERROR(__xludf.DUMMYFUNCTION("""COMPUTED_VALUE"""),734355.0)</f>
        <v>734355</v>
      </c>
      <c r="I2458" t="str">
        <f>IFERROR(__xludf.DUMMYFUNCTION("""COMPUTED_VALUE"""),"06/20")</f>
        <v>06/20</v>
      </c>
      <c r="J2458" s="5">
        <f>IFERROR(__xludf.DUMMYFUNCTION("""COMPUTED_VALUE"""),44007.0)</f>
        <v>44007</v>
      </c>
      <c r="K2458">
        <f>IFERROR(__xludf.DUMMYFUNCTION("""COMPUTED_VALUE"""),22.0)</f>
        <v>22</v>
      </c>
      <c r="L2458">
        <f>IFERROR(__xludf.DUMMYFUNCTION("""COMPUTED_VALUE"""),7.0)</f>
        <v>7</v>
      </c>
      <c r="M2458">
        <f>IFERROR(__xludf.DUMMYFUNCTION("""COMPUTED_VALUE"""),29.0)</f>
        <v>29</v>
      </c>
      <c r="N2458" t="str">
        <f>IFERROR(__xludf.DUMMYFUNCTION("""COMPUTED_VALUE"""),"Model 3 SR+")</f>
        <v>Model 3 SR+</v>
      </c>
      <c r="O2458" t="str">
        <f>IFERROR(__xludf.DUMMYFUNCTION("""COMPUTED_VALUE"""),"Pearl White Multi-Coat")</f>
        <v>Pearl White Multi-Coat</v>
      </c>
      <c r="P2458" t="str">
        <f>IFERROR(__xludf.DUMMYFUNCTION("""COMPUTED_VALUE"""),"18 inch Aero")</f>
        <v>18 inch Aero</v>
      </c>
      <c r="Q2458" t="str">
        <f>IFERROR(__xludf.DUMMYFUNCTION("""COMPUTED_VALUE"""),"Black seats")</f>
        <v>Black seats</v>
      </c>
      <c r="R2458" t="str">
        <f>IFERROR(__xludf.DUMMYFUNCTION("""COMPUTED_VALUE"""),"Autopilot")</f>
        <v>Autopilot</v>
      </c>
      <c r="X2458" t="str">
        <f>IFERROR(__xludf.DUMMYFUNCTION("""COMPUTED_VALUE"""),"Very Good")</f>
        <v>Very Good</v>
      </c>
      <c r="Y2458" t="str">
        <f>IFERROR(__xludf.DUMMYFUNCTION("""COMPUTED_VALUE"""),"Excellent")</f>
        <v>Excellent</v>
      </c>
      <c r="Z2458" t="str">
        <f>IFERROR(__xludf.DUMMYFUNCTION("""COMPUTED_VALUE"""),"Excellent")</f>
        <v>Excellent</v>
      </c>
      <c r="AA2458" t="str">
        <f>IFERROR(__xludf.DUMMYFUNCTION("""COMPUTED_VALUE"""),"Very Good")</f>
        <v>Very Good</v>
      </c>
      <c r="AB2458" t="str">
        <f>IFERROR(__xludf.DUMMYFUNCTION("""COMPUTED_VALUE"""),"Very Good")</f>
        <v>Very Good</v>
      </c>
      <c r="AH2458" s="189">
        <f>IFERROR(__xludf.DUMMYFUNCTION("""COMPUTED_VALUE"""),44011.85486637731)</f>
        <v>44011.85487</v>
      </c>
    </row>
    <row r="2459">
      <c r="A2459" t="str">
        <f>IFERROR(__xludf.DUMMYFUNCTION("""COMPUTED_VALUE"""),"Scaliatine")</f>
        <v>Scaliatine</v>
      </c>
      <c r="B2459" t="str">
        <f>IFERROR(__xludf.DUMMYFUNCTION("""COMPUTED_VALUE"""),"San Antonio")</f>
        <v>San Antonio</v>
      </c>
      <c r="C2459" t="str">
        <f>IFERROR(__xludf.DUMMYFUNCTION("""COMPUTED_VALUE"""),"TX")</f>
        <v>TX</v>
      </c>
      <c r="D2459" t="str">
        <f>IFERROR(__xludf.DUMMYFUNCTION("""COMPUTED_VALUE"""),"USA")</f>
        <v>USA</v>
      </c>
      <c r="E2459" s="188">
        <f>IFERROR(__xludf.DUMMYFUNCTION("""COMPUTED_VALUE"""),43970.0)</f>
        <v>43970</v>
      </c>
      <c r="F2459" s="188">
        <f>IFERROR(__xludf.DUMMYFUNCTION("""COMPUTED_VALUE"""),43994.0)</f>
        <v>43994</v>
      </c>
      <c r="H2459">
        <f>IFERROR(__xludf.DUMMYFUNCTION("""COMPUTED_VALUE"""),705230.0)</f>
        <v>705230</v>
      </c>
      <c r="I2459" t="str">
        <f>IFERROR(__xludf.DUMMYFUNCTION("""COMPUTED_VALUE"""),"06/20")</f>
        <v>06/20</v>
      </c>
      <c r="J2459" s="5">
        <f>IFERROR(__xludf.DUMMYFUNCTION("""COMPUTED_VALUE"""),44011.0)</f>
        <v>44011</v>
      </c>
      <c r="K2459">
        <f>IFERROR(__xludf.DUMMYFUNCTION("""COMPUTED_VALUE"""),24.0)</f>
        <v>24</v>
      </c>
      <c r="L2459">
        <f>IFERROR(__xludf.DUMMYFUNCTION("""COMPUTED_VALUE"""),17.0)</f>
        <v>17</v>
      </c>
      <c r="M2459">
        <f>IFERROR(__xludf.DUMMYFUNCTION("""COMPUTED_VALUE"""),41.0)</f>
        <v>41</v>
      </c>
      <c r="N2459" t="str">
        <f>IFERROR(__xludf.DUMMYFUNCTION("""COMPUTED_VALUE"""),"Model 3 SR+")</f>
        <v>Model 3 SR+</v>
      </c>
      <c r="O2459" t="str">
        <f>IFERROR(__xludf.DUMMYFUNCTION("""COMPUTED_VALUE"""),"Midnight Silver Metallic")</f>
        <v>Midnight Silver Metallic</v>
      </c>
      <c r="P2459" t="str">
        <f>IFERROR(__xludf.DUMMYFUNCTION("""COMPUTED_VALUE"""),"18 inch Aero")</f>
        <v>18 inch Aero</v>
      </c>
      <c r="Q2459" t="str">
        <f>IFERROR(__xludf.DUMMYFUNCTION("""COMPUTED_VALUE"""),"Black seats")</f>
        <v>Black seats</v>
      </c>
      <c r="R2459" t="str">
        <f>IFERROR(__xludf.DUMMYFUNCTION("""COMPUTED_VALUE"""),"Autopilot")</f>
        <v>Autopilot</v>
      </c>
      <c r="X2459" t="str">
        <f>IFERROR(__xludf.DUMMYFUNCTION("""COMPUTED_VALUE"""),"Excellent")</f>
        <v>Excellent</v>
      </c>
      <c r="Y2459" t="str">
        <f>IFERROR(__xludf.DUMMYFUNCTION("""COMPUTED_VALUE"""),"Excellent")</f>
        <v>Excellent</v>
      </c>
      <c r="Z2459" t="str">
        <f>IFERROR(__xludf.DUMMYFUNCTION("""COMPUTED_VALUE"""),"Excellent")</f>
        <v>Excellent</v>
      </c>
      <c r="AA2459" t="str">
        <f>IFERROR(__xludf.DUMMYFUNCTION("""COMPUTED_VALUE"""),"Fair")</f>
        <v>Fair</v>
      </c>
      <c r="AB2459" t="str">
        <f>IFERROR(__xludf.DUMMYFUNCTION("""COMPUTED_VALUE"""),"Very Good")</f>
        <v>Very Good</v>
      </c>
      <c r="AG2459" t="str">
        <f>IFERROR(__xludf.DUMMYFUNCTION("""COMPUTED_VALUE"""),"Had USB-C and Wireless Charging Pad")</f>
        <v>Had USB-C and Wireless Charging Pad</v>
      </c>
      <c r="AH2459" s="189">
        <f>IFERROR(__xludf.DUMMYFUNCTION("""COMPUTED_VALUE"""),44011.886159166665)</f>
        <v>44011.88616</v>
      </c>
    </row>
    <row r="2460">
      <c r="A2460" t="str">
        <f>IFERROR(__xludf.DUMMYFUNCTION("""COMPUTED_VALUE"""),"jbbrann")</f>
        <v>jbbrann</v>
      </c>
      <c r="B2460" t="str">
        <f>IFERROR(__xludf.DUMMYFUNCTION("""COMPUTED_VALUE"""),"Little Rock")</f>
        <v>Little Rock</v>
      </c>
      <c r="C2460" t="str">
        <f>IFERROR(__xludf.DUMMYFUNCTION("""COMPUTED_VALUE"""),"AR")</f>
        <v>AR</v>
      </c>
      <c r="D2460" t="str">
        <f>IFERROR(__xludf.DUMMYFUNCTION("""COMPUTED_VALUE"""),"USA")</f>
        <v>USA</v>
      </c>
      <c r="E2460" s="188">
        <f>IFERROR(__xludf.DUMMYFUNCTION("""COMPUTED_VALUE"""),43905.0)</f>
        <v>43905</v>
      </c>
      <c r="F2460" s="188">
        <f>IFERROR(__xludf.DUMMYFUNCTION("""COMPUTED_VALUE"""),43980.0)</f>
        <v>43980</v>
      </c>
      <c r="H2460">
        <f>IFERROR(__xludf.DUMMYFUNCTION("""COMPUTED_VALUE"""),719155.0)</f>
        <v>719155</v>
      </c>
      <c r="I2460" t="str">
        <f>IFERROR(__xludf.DUMMYFUNCTION("""COMPUTED_VALUE"""),"05/20")</f>
        <v>05/20</v>
      </c>
      <c r="J2460" s="5">
        <f>IFERROR(__xludf.DUMMYFUNCTION("""COMPUTED_VALUE"""),44008.0)</f>
        <v>44008</v>
      </c>
      <c r="K2460">
        <f>IFERROR(__xludf.DUMMYFUNCTION("""COMPUTED_VALUE"""),75.0)</f>
        <v>75</v>
      </c>
      <c r="L2460">
        <f>IFERROR(__xludf.DUMMYFUNCTION("""COMPUTED_VALUE"""),28.0)</f>
        <v>28</v>
      </c>
      <c r="M2460">
        <f>IFERROR(__xludf.DUMMYFUNCTION("""COMPUTED_VALUE"""),103.0)</f>
        <v>103</v>
      </c>
      <c r="N2460" t="str">
        <f>IFERROR(__xludf.DUMMYFUNCTION("""COMPUTED_VALUE"""),"Model 3 Performance")</f>
        <v>Model 3 Performance</v>
      </c>
      <c r="O2460" t="str">
        <f>IFERROR(__xludf.DUMMYFUNCTION("""COMPUTED_VALUE"""),"Pearl White Multi-Coat")</f>
        <v>Pearl White Multi-Coat</v>
      </c>
      <c r="P2460" t="str">
        <f>IFERROR(__xludf.DUMMYFUNCTION("""COMPUTED_VALUE"""),"20 inch Sport")</f>
        <v>20 inch Sport</v>
      </c>
      <c r="Q2460" t="str">
        <f>IFERROR(__xludf.DUMMYFUNCTION("""COMPUTED_VALUE"""),"White seats")</f>
        <v>White seats</v>
      </c>
      <c r="R2460" t="str">
        <f>IFERROR(__xludf.DUMMYFUNCTION("""COMPUTED_VALUE"""),"Autopilot")</f>
        <v>Autopilot</v>
      </c>
      <c r="X2460" t="str">
        <f>IFERROR(__xludf.DUMMYFUNCTION("""COMPUTED_VALUE"""),"Very Good")</f>
        <v>Very Good</v>
      </c>
      <c r="Y2460" t="str">
        <f>IFERROR(__xludf.DUMMYFUNCTION("""COMPUTED_VALUE"""),"Excellent")</f>
        <v>Excellent</v>
      </c>
      <c r="Z2460" t="str">
        <f>IFERROR(__xludf.DUMMYFUNCTION("""COMPUTED_VALUE"""),"Good")</f>
        <v>Good</v>
      </c>
      <c r="AA2460" t="str">
        <f>IFERROR(__xludf.DUMMYFUNCTION("""COMPUTED_VALUE"""),"Poor")</f>
        <v>Poor</v>
      </c>
      <c r="AB2460" t="str">
        <f>IFERROR(__xludf.DUMMYFUNCTION("""COMPUTED_VALUE"""),"Good")</f>
        <v>Good</v>
      </c>
      <c r="AC2460">
        <f>IFERROR(__xludf.DUMMYFUNCTION("""COMPUTED_VALUE"""),0.0)</f>
        <v>0</v>
      </c>
      <c r="AG2460" t="str">
        <f>IFERROR(__xludf.DUMMYFUNCTION("""COMPUTED_VALUE"""),"Received delivery date of 3/25, but put on hold due to current lease")</f>
        <v>Received delivery date of 3/25, but put on hold due to current lease</v>
      </c>
      <c r="AH2460" s="189">
        <f>IFERROR(__xludf.DUMMYFUNCTION("""COMPUTED_VALUE"""),44012.755119814814)</f>
        <v>44012.75512</v>
      </c>
    </row>
    <row r="2461">
      <c r="A2461" t="str">
        <f>IFERROR(__xludf.DUMMYFUNCTION("""COMPUTED_VALUE"""),"launahele")</f>
        <v>launahele</v>
      </c>
      <c r="B2461" t="str">
        <f>IFERROR(__xludf.DUMMYFUNCTION("""COMPUTED_VALUE"""),"Honolulu")</f>
        <v>Honolulu</v>
      </c>
      <c r="C2461" t="str">
        <f>IFERROR(__xludf.DUMMYFUNCTION("""COMPUTED_VALUE"""),"HI")</f>
        <v>HI</v>
      </c>
      <c r="D2461" t="str">
        <f>IFERROR(__xludf.DUMMYFUNCTION("""COMPUTED_VALUE"""),"USA")</f>
        <v>USA</v>
      </c>
      <c r="E2461" s="188">
        <f>IFERROR(__xludf.DUMMYFUNCTION("""COMPUTED_VALUE"""),43896.0)</f>
        <v>43896</v>
      </c>
      <c r="F2461" s="188">
        <f>IFERROR(__xludf.DUMMYFUNCTION("""COMPUTED_VALUE"""),43997.0)</f>
        <v>43997</v>
      </c>
      <c r="H2461">
        <f>IFERROR(__xludf.DUMMYFUNCTION("""COMPUTED_VALUE"""),708525.0)</f>
        <v>708525</v>
      </c>
      <c r="I2461" t="str">
        <f>IFERROR(__xludf.DUMMYFUNCTION("""COMPUTED_VALUE"""),"06/20")</f>
        <v>06/20</v>
      </c>
      <c r="J2461" s="5">
        <f>IFERROR(__xludf.DUMMYFUNCTION("""COMPUTED_VALUE"""),44002.0)</f>
        <v>44002</v>
      </c>
      <c r="K2461">
        <f>IFERROR(__xludf.DUMMYFUNCTION("""COMPUTED_VALUE"""),101.0)</f>
        <v>101</v>
      </c>
      <c r="L2461">
        <f>IFERROR(__xludf.DUMMYFUNCTION("""COMPUTED_VALUE"""),5.0)</f>
        <v>5</v>
      </c>
      <c r="M2461">
        <f>IFERROR(__xludf.DUMMYFUNCTION("""COMPUTED_VALUE"""),106.0)</f>
        <v>106</v>
      </c>
      <c r="N2461" t="str">
        <f>IFERROR(__xludf.DUMMYFUNCTION("""COMPUTED_VALUE"""),"Model 3 SR+")</f>
        <v>Model 3 SR+</v>
      </c>
      <c r="O2461" t="str">
        <f>IFERROR(__xludf.DUMMYFUNCTION("""COMPUTED_VALUE"""),"Midnight Silver Metallic")</f>
        <v>Midnight Silver Metallic</v>
      </c>
      <c r="P2461" t="str">
        <f>IFERROR(__xludf.DUMMYFUNCTION("""COMPUTED_VALUE"""),"19 inch Sport")</f>
        <v>19 inch Sport</v>
      </c>
      <c r="Q2461" t="str">
        <f>IFERROR(__xludf.DUMMYFUNCTION("""COMPUTED_VALUE"""),"Black seats")</f>
        <v>Black seats</v>
      </c>
      <c r="R2461" t="str">
        <f>IFERROR(__xludf.DUMMYFUNCTION("""COMPUTED_VALUE"""),"Autopilot")</f>
        <v>Autopilot</v>
      </c>
      <c r="X2461" t="str">
        <f>IFERROR(__xludf.DUMMYFUNCTION("""COMPUTED_VALUE"""),"Good")</f>
        <v>Good</v>
      </c>
      <c r="Y2461" t="str">
        <f>IFERROR(__xludf.DUMMYFUNCTION("""COMPUTED_VALUE"""),"Very Good")</f>
        <v>Very Good</v>
      </c>
      <c r="Z2461" t="str">
        <f>IFERROR(__xludf.DUMMYFUNCTION("""COMPUTED_VALUE"""),"Very Good")</f>
        <v>Very Good</v>
      </c>
      <c r="AA2461" t="str">
        <f>IFERROR(__xludf.DUMMYFUNCTION("""COMPUTED_VALUE"""),"Very Good")</f>
        <v>Very Good</v>
      </c>
      <c r="AB2461" t="str">
        <f>IFERROR(__xludf.DUMMYFUNCTION("""COMPUTED_VALUE"""),"Very Good")</f>
        <v>Very Good</v>
      </c>
      <c r="AC2461">
        <f>IFERROR(__xludf.DUMMYFUNCTION("""COMPUTED_VALUE"""),0.0)</f>
        <v>0</v>
      </c>
      <c r="AH2461" s="189">
        <f>IFERROR(__xludf.DUMMYFUNCTION("""COMPUTED_VALUE"""),44013.69966416666)</f>
        <v>44013.69966</v>
      </c>
    </row>
    <row r="2462">
      <c r="A2462" t="str">
        <f>IFERROR(__xludf.DUMMYFUNCTION("""COMPUTED_VALUE"""),"caric")</f>
        <v>caric</v>
      </c>
      <c r="B2462" t="str">
        <f>IFERROR(__xludf.DUMMYFUNCTION("""COMPUTED_VALUE"""),"peoria")</f>
        <v>peoria</v>
      </c>
      <c r="C2462" t="str">
        <f>IFERROR(__xludf.DUMMYFUNCTION("""COMPUTED_VALUE"""),"AZ")</f>
        <v>AZ</v>
      </c>
      <c r="D2462" t="str">
        <f>IFERROR(__xludf.DUMMYFUNCTION("""COMPUTED_VALUE"""),"USA")</f>
        <v>USA</v>
      </c>
      <c r="E2462" s="188">
        <f>IFERROR(__xludf.DUMMYFUNCTION("""COMPUTED_VALUE"""),43998.0)</f>
        <v>43998</v>
      </c>
      <c r="F2462" s="188">
        <f>IFERROR(__xludf.DUMMYFUNCTION("""COMPUTED_VALUE"""),44008.0)</f>
        <v>44008</v>
      </c>
      <c r="H2462">
        <f>IFERROR(__xludf.DUMMYFUNCTION("""COMPUTED_VALUE"""),742855.0)</f>
        <v>742855</v>
      </c>
      <c r="J2462" s="5">
        <f>IFERROR(__xludf.DUMMYFUNCTION("""COMPUTED_VALUE"""),44010.0)</f>
        <v>44010</v>
      </c>
      <c r="K2462">
        <f>IFERROR(__xludf.DUMMYFUNCTION("""COMPUTED_VALUE"""),10.0)</f>
        <v>10</v>
      </c>
      <c r="L2462">
        <f>IFERROR(__xludf.DUMMYFUNCTION("""COMPUTED_VALUE"""),2.0)</f>
        <v>2</v>
      </c>
      <c r="M2462">
        <f>IFERROR(__xludf.DUMMYFUNCTION("""COMPUTED_VALUE"""),12.0)</f>
        <v>12</v>
      </c>
      <c r="N2462" t="str">
        <f>IFERROR(__xludf.DUMMYFUNCTION("""COMPUTED_VALUE"""),"Model 3 Performance")</f>
        <v>Model 3 Performance</v>
      </c>
      <c r="O2462" t="str">
        <f>IFERROR(__xludf.DUMMYFUNCTION("""COMPUTED_VALUE"""),"Red Multi-Coat")</f>
        <v>Red Multi-Coat</v>
      </c>
      <c r="P2462" t="str">
        <f>IFERROR(__xludf.DUMMYFUNCTION("""COMPUTED_VALUE"""),"20 inch Sport")</f>
        <v>20 inch Sport</v>
      </c>
      <c r="Q2462" t="str">
        <f>IFERROR(__xludf.DUMMYFUNCTION("""COMPUTED_VALUE"""),"White seats")</f>
        <v>White seats</v>
      </c>
      <c r="R2462" t="str">
        <f>IFERROR(__xludf.DUMMYFUNCTION("""COMPUTED_VALUE"""),"Autopilot")</f>
        <v>Autopilot</v>
      </c>
      <c r="X2462" t="str">
        <f>IFERROR(__xludf.DUMMYFUNCTION("""COMPUTED_VALUE"""),"Good")</f>
        <v>Good</v>
      </c>
      <c r="Y2462" t="str">
        <f>IFERROR(__xludf.DUMMYFUNCTION("""COMPUTED_VALUE"""),"Very Good")</f>
        <v>Very Good</v>
      </c>
      <c r="Z2462" t="str">
        <f>IFERROR(__xludf.DUMMYFUNCTION("""COMPUTED_VALUE"""),"Very Good")</f>
        <v>Very Good</v>
      </c>
      <c r="AA2462" t="str">
        <f>IFERROR(__xludf.DUMMYFUNCTION("""COMPUTED_VALUE"""),"Poor")</f>
        <v>Poor</v>
      </c>
      <c r="AB2462" t="str">
        <f>IFERROR(__xludf.DUMMYFUNCTION("""COMPUTED_VALUE"""),"Good")</f>
        <v>Good</v>
      </c>
      <c r="AH2462" s="189">
        <f>IFERROR(__xludf.DUMMYFUNCTION("""COMPUTED_VALUE"""),44016.9060540625)</f>
        <v>44016.90605</v>
      </c>
    </row>
    <row r="2463">
      <c r="A2463" t="str">
        <f>IFERROR(__xludf.DUMMYFUNCTION("""COMPUTED_VALUE"""),"Arctic_White")</f>
        <v>Arctic_White</v>
      </c>
      <c r="C2463" t="str">
        <f>IFERROR(__xludf.DUMMYFUNCTION("""COMPUTED_VALUE"""),"AB")</f>
        <v>AB</v>
      </c>
      <c r="D2463" t="str">
        <f>IFERROR(__xludf.DUMMYFUNCTION("""COMPUTED_VALUE"""),"Canada")</f>
        <v>Canada</v>
      </c>
      <c r="E2463" s="188">
        <f>IFERROR(__xludf.DUMMYFUNCTION("""COMPUTED_VALUE"""),43979.0)</f>
        <v>43979</v>
      </c>
      <c r="H2463">
        <f>IFERROR(__xludf.DUMMYFUNCTION("""COMPUTED_VALUE"""),738955.0)</f>
        <v>738955</v>
      </c>
      <c r="I2463" t="str">
        <f>IFERROR(__xludf.DUMMYFUNCTION("""COMPUTED_VALUE"""),"06/20")</f>
        <v>06/20</v>
      </c>
      <c r="J2463" s="5">
        <f>IFERROR(__xludf.DUMMYFUNCTION("""COMPUTED_VALUE"""),44001.0)</f>
        <v>44001</v>
      </c>
      <c r="M2463">
        <f>IFERROR(__xludf.DUMMYFUNCTION("""COMPUTED_VALUE"""),22.0)</f>
        <v>22</v>
      </c>
      <c r="N2463" t="str">
        <f>IFERROR(__xludf.DUMMYFUNCTION("""COMPUTED_VALUE"""),"Model 3 LR AWD")</f>
        <v>Model 3 LR AWD</v>
      </c>
      <c r="O2463" t="str">
        <f>IFERROR(__xludf.DUMMYFUNCTION("""COMPUTED_VALUE"""),"Pearl White Multi-Coat")</f>
        <v>Pearl White Multi-Coat</v>
      </c>
      <c r="P2463" t="str">
        <f>IFERROR(__xludf.DUMMYFUNCTION("""COMPUTED_VALUE"""),"18 inch Aero")</f>
        <v>18 inch Aero</v>
      </c>
      <c r="Q2463" t="str">
        <f>IFERROR(__xludf.DUMMYFUNCTION("""COMPUTED_VALUE"""),"Black seats")</f>
        <v>Black seats</v>
      </c>
      <c r="R2463" t="str">
        <f>IFERROR(__xludf.DUMMYFUNCTION("""COMPUTED_VALUE"""),"Autopilot")</f>
        <v>Autopilot</v>
      </c>
      <c r="X2463" t="str">
        <f>IFERROR(__xludf.DUMMYFUNCTION("""COMPUTED_VALUE"""),"Fair")</f>
        <v>Fair</v>
      </c>
      <c r="Y2463" t="str">
        <f>IFERROR(__xludf.DUMMYFUNCTION("""COMPUTED_VALUE"""),"Excellent")</f>
        <v>Excellent</v>
      </c>
      <c r="Z2463" t="str">
        <f>IFERROR(__xludf.DUMMYFUNCTION("""COMPUTED_VALUE"""),"Very Good")</f>
        <v>Very Good</v>
      </c>
      <c r="AA2463" t="str">
        <f>IFERROR(__xludf.DUMMYFUNCTION("""COMPUTED_VALUE"""),"Good")</f>
        <v>Good</v>
      </c>
      <c r="AB2463" t="str">
        <f>IFERROR(__xludf.DUMMYFUNCTION("""COMPUTED_VALUE"""),"Excellent")</f>
        <v>Excellent</v>
      </c>
      <c r="AC2463">
        <f>IFERROR(__xludf.DUMMYFUNCTION("""COMPUTED_VALUE"""),2.0)</f>
        <v>2</v>
      </c>
      <c r="AD2463">
        <f>IFERROR(__xludf.DUMMYFUNCTION("""COMPUTED_VALUE"""),0.0)</f>
        <v>0</v>
      </c>
      <c r="AE2463">
        <f>IFERROR(__xludf.DUMMYFUNCTION("""COMPUTED_VALUE"""),0.0)</f>
        <v>0</v>
      </c>
      <c r="AH2463" s="189">
        <f>IFERROR(__xludf.DUMMYFUNCTION("""COMPUTED_VALUE"""),44018.511731875)</f>
        <v>44018.51173</v>
      </c>
    </row>
    <row r="2464">
      <c r="A2464" t="str">
        <f>IFERROR(__xludf.DUMMYFUNCTION("""COMPUTED_VALUE"""),"mrcrassic")</f>
        <v>mrcrassic</v>
      </c>
      <c r="B2464" t="str">
        <f>IFERROR(__xludf.DUMMYFUNCTION("""COMPUTED_VALUE"""),"Dallas")</f>
        <v>Dallas</v>
      </c>
      <c r="C2464" t="str">
        <f>IFERROR(__xludf.DUMMYFUNCTION("""COMPUTED_VALUE"""),"TX")</f>
        <v>TX</v>
      </c>
      <c r="D2464" t="str">
        <f>IFERROR(__xludf.DUMMYFUNCTION("""COMPUTED_VALUE"""),"USA")</f>
        <v>USA</v>
      </c>
      <c r="E2464" s="188">
        <f>IFERROR(__xludf.DUMMYFUNCTION("""COMPUTED_VALUE"""),44001.0)</f>
        <v>44001</v>
      </c>
      <c r="F2464" s="188">
        <f>IFERROR(__xludf.DUMMYFUNCTION("""COMPUTED_VALUE"""),44002.0)</f>
        <v>44002</v>
      </c>
      <c r="H2464">
        <f>IFERROR(__xludf.DUMMYFUNCTION("""COMPUTED_VALUE"""),711616.0)</f>
        <v>711616</v>
      </c>
      <c r="I2464" t="str">
        <f>IFERROR(__xludf.DUMMYFUNCTION("""COMPUTED_VALUE"""),"05/20")</f>
        <v>05/20</v>
      </c>
      <c r="J2464" s="5">
        <f>IFERROR(__xludf.DUMMYFUNCTION("""COMPUTED_VALUE"""),44011.0)</f>
        <v>44011</v>
      </c>
      <c r="K2464">
        <f>IFERROR(__xludf.DUMMYFUNCTION("""COMPUTED_VALUE"""),1.0)</f>
        <v>1</v>
      </c>
      <c r="L2464">
        <f>IFERROR(__xludf.DUMMYFUNCTION("""COMPUTED_VALUE"""),9.0)</f>
        <v>9</v>
      </c>
      <c r="M2464">
        <f>IFERROR(__xludf.DUMMYFUNCTION("""COMPUTED_VALUE"""),10.0)</f>
        <v>10</v>
      </c>
      <c r="N2464" t="str">
        <f>IFERROR(__xludf.DUMMYFUNCTION("""COMPUTED_VALUE"""),"Model 3 LR AWD")</f>
        <v>Model 3 LR AWD</v>
      </c>
      <c r="O2464" t="str">
        <f>IFERROR(__xludf.DUMMYFUNCTION("""COMPUTED_VALUE"""),"Pearl White Multi-Coat")</f>
        <v>Pearl White Multi-Coat</v>
      </c>
      <c r="P2464" t="str">
        <f>IFERROR(__xludf.DUMMYFUNCTION("""COMPUTED_VALUE"""),"18 inch Aero")</f>
        <v>18 inch Aero</v>
      </c>
      <c r="Q2464" t="str">
        <f>IFERROR(__xludf.DUMMYFUNCTION("""COMPUTED_VALUE"""),"Black seats")</f>
        <v>Black seats</v>
      </c>
      <c r="R2464" t="str">
        <f>IFERROR(__xludf.DUMMYFUNCTION("""COMPUTED_VALUE"""),"Full Self-Driving")</f>
        <v>Full Self-Driving</v>
      </c>
      <c r="X2464" t="str">
        <f>IFERROR(__xludf.DUMMYFUNCTION("""COMPUTED_VALUE"""),"Very Good")</f>
        <v>Very Good</v>
      </c>
      <c r="Y2464" t="str">
        <f>IFERROR(__xludf.DUMMYFUNCTION("""COMPUTED_VALUE"""),"Excellent")</f>
        <v>Excellent</v>
      </c>
      <c r="Z2464" t="str">
        <f>IFERROR(__xludf.DUMMYFUNCTION("""COMPUTED_VALUE"""),"Excellent")</f>
        <v>Excellent</v>
      </c>
      <c r="AA2464" t="str">
        <f>IFERROR(__xludf.DUMMYFUNCTION("""COMPUTED_VALUE"""),"Good")</f>
        <v>Good</v>
      </c>
      <c r="AB2464" t="str">
        <f>IFERROR(__xludf.DUMMYFUNCTION("""COMPUTED_VALUE"""),"Fair")</f>
        <v>Fair</v>
      </c>
      <c r="AC2464">
        <f>IFERROR(__xludf.DUMMYFUNCTION("""COMPUTED_VALUE"""),0.0)</f>
        <v>0</v>
      </c>
      <c r="AG2464" t="str">
        <f>IFERROR(__xludf.DUMMYFUNCTION("""COMPUTED_VALUE"""),"Yes, you can take delivery of the car without tags or with 72-hour tags in Texas. Trade-in and financed. Ran into delays getting the trade-in paperwork and in getting my loan provider to wire the money over to Tesla.")</f>
        <v>Yes, you can take delivery of the car without tags or with 72-hour tags in Texas. Trade-in and financed. Ran into delays getting the trade-in paperwork and in getting my loan provider to wire the money over to Tesla.</v>
      </c>
      <c r="AH2464" s="189">
        <f>IFERROR(__xludf.DUMMYFUNCTION("""COMPUTED_VALUE"""),44022.741756655094)</f>
        <v>44022.74176</v>
      </c>
    </row>
    <row r="2465">
      <c r="A2465" t="str">
        <f>IFERROR(__xludf.DUMMYFUNCTION("""COMPUTED_VALUE"""),"EagleCoach")</f>
        <v>EagleCoach</v>
      </c>
      <c r="B2465" t="str">
        <f>IFERROR(__xludf.DUMMYFUNCTION("""COMPUTED_VALUE"""),"Louisville")</f>
        <v>Louisville</v>
      </c>
      <c r="C2465" t="str">
        <f>IFERROR(__xludf.DUMMYFUNCTION("""COMPUTED_VALUE"""),"KY")</f>
        <v>KY</v>
      </c>
      <c r="D2465" t="str">
        <f>IFERROR(__xludf.DUMMYFUNCTION("""COMPUTED_VALUE"""),"USA")</f>
        <v>USA</v>
      </c>
      <c r="E2465" s="188">
        <f>IFERROR(__xludf.DUMMYFUNCTION("""COMPUTED_VALUE"""),43882.0)</f>
        <v>43882</v>
      </c>
      <c r="F2465" s="188">
        <f>IFERROR(__xludf.DUMMYFUNCTION("""COMPUTED_VALUE"""),43895.0)</f>
        <v>43895</v>
      </c>
      <c r="H2465">
        <f>IFERROR(__xludf.DUMMYFUNCTION("""COMPUTED_VALUE"""),667379.0)</f>
        <v>667379</v>
      </c>
      <c r="I2465" t="str">
        <f>IFERROR(__xludf.DUMMYFUNCTION("""COMPUTED_VALUE"""),"03/20")</f>
        <v>03/20</v>
      </c>
      <c r="J2465" s="5">
        <f>IFERROR(__xludf.DUMMYFUNCTION("""COMPUTED_VALUE"""),43909.0)</f>
        <v>43909</v>
      </c>
      <c r="K2465">
        <f>IFERROR(__xludf.DUMMYFUNCTION("""COMPUTED_VALUE"""),13.0)</f>
        <v>13</v>
      </c>
      <c r="L2465">
        <f>IFERROR(__xludf.DUMMYFUNCTION("""COMPUTED_VALUE"""),14.0)</f>
        <v>14</v>
      </c>
      <c r="M2465">
        <f>IFERROR(__xludf.DUMMYFUNCTION("""COMPUTED_VALUE"""),27.0)</f>
        <v>27</v>
      </c>
      <c r="N2465" t="str">
        <f>IFERROR(__xludf.DUMMYFUNCTION("""COMPUTED_VALUE"""),"Model 3 LR AWD")</f>
        <v>Model 3 LR AWD</v>
      </c>
      <c r="O2465" t="str">
        <f>IFERROR(__xludf.DUMMYFUNCTION("""COMPUTED_VALUE"""),"Pearl White Multi-Coat")</f>
        <v>Pearl White Multi-Coat</v>
      </c>
      <c r="P2465" t="str">
        <f>IFERROR(__xludf.DUMMYFUNCTION("""COMPUTED_VALUE"""),"19 inch Sport")</f>
        <v>19 inch Sport</v>
      </c>
      <c r="Q2465" t="str">
        <f>IFERROR(__xludf.DUMMYFUNCTION("""COMPUTED_VALUE"""),"Black seats")</f>
        <v>Black seats</v>
      </c>
      <c r="R2465" t="str">
        <f>IFERROR(__xludf.DUMMYFUNCTION("""COMPUTED_VALUE"""),"Autopilot")</f>
        <v>Autopilot</v>
      </c>
      <c r="X2465" t="str">
        <f>IFERROR(__xludf.DUMMYFUNCTION("""COMPUTED_VALUE"""),"Excellent")</f>
        <v>Excellent</v>
      </c>
      <c r="Y2465" t="str">
        <f>IFERROR(__xludf.DUMMYFUNCTION("""COMPUTED_VALUE"""),"Excellent")</f>
        <v>Excellent</v>
      </c>
      <c r="Z2465" t="str">
        <f>IFERROR(__xludf.DUMMYFUNCTION("""COMPUTED_VALUE"""),"Excellent")</f>
        <v>Excellent</v>
      </c>
      <c r="AA2465" t="str">
        <f>IFERROR(__xludf.DUMMYFUNCTION("""COMPUTED_VALUE"""),"Poor")</f>
        <v>Poor</v>
      </c>
      <c r="AB2465" t="str">
        <f>IFERROR(__xludf.DUMMYFUNCTION("""COMPUTED_VALUE"""),"Very Good")</f>
        <v>Very Good</v>
      </c>
      <c r="AC2465">
        <f>IFERROR(__xludf.DUMMYFUNCTION("""COMPUTED_VALUE"""),0.0)</f>
        <v>0</v>
      </c>
      <c r="AD2465">
        <f>IFERROR(__xludf.DUMMYFUNCTION("""COMPUTED_VALUE"""),0.0)</f>
        <v>0</v>
      </c>
      <c r="AE2465">
        <f>IFERROR(__xludf.DUMMYFUNCTION("""COMPUTED_VALUE"""),0.0)</f>
        <v>0</v>
      </c>
      <c r="AG2465" t="str">
        <f>IFERROR(__xludf.DUMMYFUNCTION("""COMPUTED_VALUE"""),"2/24 - Text saying 3-6 weeks for delivery.  3/5 - Changed to 19"" wheels.")</f>
        <v>2/24 - Text saying 3-6 weeks for delivery.  3/5 - Changed to 19" wheels.</v>
      </c>
      <c r="AH2465" s="189">
        <f>IFERROR(__xludf.DUMMYFUNCTION("""COMPUTED_VALUE"""),44024.87160398148)</f>
        <v>44024.8716</v>
      </c>
    </row>
    <row r="2466">
      <c r="A2466" t="str">
        <f>IFERROR(__xludf.DUMMYFUNCTION("""COMPUTED_VALUE"""),"srajan94")</f>
        <v>srajan94</v>
      </c>
      <c r="B2466" t="str">
        <f>IFERROR(__xludf.DUMMYFUNCTION("""COMPUTED_VALUE"""),"King of Prussia")</f>
        <v>King of Prussia</v>
      </c>
      <c r="C2466" t="str">
        <f>IFERROR(__xludf.DUMMYFUNCTION("""COMPUTED_VALUE"""),"PA")</f>
        <v>PA</v>
      </c>
      <c r="D2466" t="str">
        <f>IFERROR(__xludf.DUMMYFUNCTION("""COMPUTED_VALUE"""),"USA")</f>
        <v>USA</v>
      </c>
      <c r="E2466" s="188">
        <f>IFERROR(__xludf.DUMMYFUNCTION("""COMPUTED_VALUE"""),43983.0)</f>
        <v>43983</v>
      </c>
      <c r="F2466" s="188">
        <f>IFERROR(__xludf.DUMMYFUNCTION("""COMPUTED_VALUE"""),43997.0)</f>
        <v>43997</v>
      </c>
      <c r="G2466" t="str">
        <f>IFERROR(__xludf.DUMMYFUNCTION("""COMPUTED_VALUE"""),"Manage order page (normal text)")</f>
        <v>Manage order page (normal text)</v>
      </c>
      <c r="H2466">
        <f>IFERROR(__xludf.DUMMYFUNCTION("""COMPUTED_VALUE"""),718155.0)</f>
        <v>718155</v>
      </c>
      <c r="I2466" t="str">
        <f>IFERROR(__xludf.DUMMYFUNCTION("""COMPUTED_VALUE"""),"05/20")</f>
        <v>05/20</v>
      </c>
      <c r="J2466" s="5">
        <f>IFERROR(__xludf.DUMMYFUNCTION("""COMPUTED_VALUE"""),44002.0)</f>
        <v>44002</v>
      </c>
      <c r="K2466">
        <f>IFERROR(__xludf.DUMMYFUNCTION("""COMPUTED_VALUE"""),14.0)</f>
        <v>14</v>
      </c>
      <c r="L2466">
        <f>IFERROR(__xludf.DUMMYFUNCTION("""COMPUTED_VALUE"""),5.0)</f>
        <v>5</v>
      </c>
      <c r="M2466">
        <f>IFERROR(__xludf.DUMMYFUNCTION("""COMPUTED_VALUE"""),19.0)</f>
        <v>19</v>
      </c>
      <c r="N2466" t="str">
        <f>IFERROR(__xludf.DUMMYFUNCTION("""COMPUTED_VALUE"""),"Model 3 SR+")</f>
        <v>Model 3 SR+</v>
      </c>
      <c r="O2466" t="str">
        <f>IFERROR(__xludf.DUMMYFUNCTION("""COMPUTED_VALUE"""),"Pearl White Multi-Coat")</f>
        <v>Pearl White Multi-Coat</v>
      </c>
      <c r="P2466" t="str">
        <f>IFERROR(__xludf.DUMMYFUNCTION("""COMPUTED_VALUE"""),"18 inch")</f>
        <v>18 inch</v>
      </c>
      <c r="Q2466" t="str">
        <f>IFERROR(__xludf.DUMMYFUNCTION("""COMPUTED_VALUE"""),"Black and White")</f>
        <v>Black and White</v>
      </c>
      <c r="R2466" t="str">
        <f>IFERROR(__xludf.DUMMYFUNCTION("""COMPUTED_VALUE"""),"Autopilot included")</f>
        <v>Autopilot included</v>
      </c>
      <c r="S2466" t="str">
        <f>IFERROR(__xludf.DUMMYFUNCTION("""COMPUTED_VALUE"""),"Loan")</f>
        <v>Loan</v>
      </c>
      <c r="T2466" t="str">
        <f>IFERROR(__xludf.DUMMYFUNCTION("""COMPUTED_VALUE"""),"Mercedes C300")</f>
        <v>Mercedes C300</v>
      </c>
      <c r="U2466" t="str">
        <f>IFERROR(__xludf.DUMMYFUNCTION("""COMPUTED_VALUE"""),"Everything")</f>
        <v>Everything</v>
      </c>
      <c r="V2466" t="str">
        <f>IFERROR(__xludf.DUMMYFUNCTION("""COMPUTED_VALUE"""),"Blind spot indicators + change-lane right/left camera view on center console")</f>
        <v>Blind spot indicators + change-lane right/left camera view on center console</v>
      </c>
      <c r="W2466" t="str">
        <f>IFERROR(__xludf.DUMMYFUNCTION("""COMPUTED_VALUE"""),"The post-sale fulfillment process leaves much to be desired. Establishing a more personal relationship/line of communication with an employee at your local dealer will help your visibility.")</f>
        <v>The post-sale fulfillment process leaves much to be desired. Establishing a more personal relationship/line of communication with an employee at your local dealer will help your visibility.</v>
      </c>
      <c r="X2466" t="str">
        <f>IFERROR(__xludf.DUMMYFUNCTION("""COMPUTED_VALUE"""),"Very Good")</f>
        <v>Very Good</v>
      </c>
      <c r="Y2466" t="str">
        <f>IFERROR(__xludf.DUMMYFUNCTION("""COMPUTED_VALUE"""),"Excellent")</f>
        <v>Excellent</v>
      </c>
      <c r="Z2466" t="str">
        <f>IFERROR(__xludf.DUMMYFUNCTION("""COMPUTED_VALUE"""),"Very Good")</f>
        <v>Very Good</v>
      </c>
      <c r="AA2466" t="str">
        <f>IFERROR(__xludf.DUMMYFUNCTION("""COMPUTED_VALUE"""),"Poor")</f>
        <v>Poor</v>
      </c>
      <c r="AB2466" t="str">
        <f>IFERROR(__xludf.DUMMYFUNCTION("""COMPUTED_VALUE"""),"Very Good")</f>
        <v>Very Good</v>
      </c>
      <c r="AC2466">
        <f>IFERROR(__xludf.DUMMYFUNCTION("""COMPUTED_VALUE"""),0.0)</f>
        <v>0</v>
      </c>
      <c r="AD2466">
        <f>IFERROR(__xludf.DUMMYFUNCTION("""COMPUTED_VALUE"""),0.0)</f>
        <v>0</v>
      </c>
      <c r="AE2466">
        <f>IFERROR(__xludf.DUMMYFUNCTION("""COMPUTED_VALUE"""),0.0)</f>
        <v>0</v>
      </c>
      <c r="AF2466" t="str">
        <f>IFERROR(__xludf.DUMMYFUNCTION("""COMPUTED_VALUE"""),"No. I took delivery of the first car Tesla was able to deliver.")</f>
        <v>No. I took delivery of the first car Tesla was able to deliver.</v>
      </c>
      <c r="AH2466" s="189">
        <f>IFERROR(__xludf.DUMMYFUNCTION("""COMPUTED_VALUE"""),44186.46618449074)</f>
        <v>44186.46618</v>
      </c>
    </row>
    <row r="2467">
      <c r="A2467" t="str">
        <f>IFERROR(__xludf.DUMMYFUNCTION("""COMPUTED_VALUE"""),"barryo")</f>
        <v>barryo</v>
      </c>
      <c r="B2467" t="str">
        <f>IFERROR(__xludf.DUMMYFUNCTION("""COMPUTED_VALUE"""),"San Jorge")</f>
        <v>San Jorge</v>
      </c>
      <c r="C2467" t="str">
        <f>IFERROR(__xludf.DUMMYFUNCTION("""COMPUTED_VALUE"""),"UT")</f>
        <v>UT</v>
      </c>
      <c r="D2467" t="str">
        <f>IFERROR(__xludf.DUMMYFUNCTION("""COMPUTED_VALUE"""),"USA")</f>
        <v>USA</v>
      </c>
      <c r="E2467" s="188">
        <f>IFERROR(__xludf.DUMMYFUNCTION("""COMPUTED_VALUE"""),44017.0)</f>
        <v>44017</v>
      </c>
      <c r="F2467" s="188">
        <f>IFERROR(__xludf.DUMMYFUNCTION("""COMPUTED_VALUE"""),44018.0)</f>
        <v>44018</v>
      </c>
      <c r="H2467">
        <f>IFERROR(__xludf.DUMMYFUNCTION("""COMPUTED_VALUE"""),742431.0)</f>
        <v>742431</v>
      </c>
      <c r="I2467" t="str">
        <f>IFERROR(__xludf.DUMMYFUNCTION("""COMPUTED_VALUE"""),"06/20")</f>
        <v>06/20</v>
      </c>
      <c r="J2467" s="5">
        <f>IFERROR(__xludf.DUMMYFUNCTION("""COMPUTED_VALUE"""),44023.0)</f>
        <v>44023</v>
      </c>
      <c r="K2467">
        <f>IFERROR(__xludf.DUMMYFUNCTION("""COMPUTED_VALUE"""),1.0)</f>
        <v>1</v>
      </c>
      <c r="L2467">
        <f>IFERROR(__xludf.DUMMYFUNCTION("""COMPUTED_VALUE"""),5.0)</f>
        <v>5</v>
      </c>
      <c r="M2467">
        <f>IFERROR(__xludf.DUMMYFUNCTION("""COMPUTED_VALUE"""),6.0)</f>
        <v>6</v>
      </c>
      <c r="N2467" t="str">
        <f>IFERROR(__xludf.DUMMYFUNCTION("""COMPUTED_VALUE"""),"Model 3 Performance")</f>
        <v>Model 3 Performance</v>
      </c>
      <c r="O2467" t="str">
        <f>IFERROR(__xludf.DUMMYFUNCTION("""COMPUTED_VALUE"""),"Red Multi-Coat")</f>
        <v>Red Multi-Coat</v>
      </c>
      <c r="P2467" t="str">
        <f>IFERROR(__xludf.DUMMYFUNCTION("""COMPUTED_VALUE"""),"20 inch Sport")</f>
        <v>20 inch Sport</v>
      </c>
      <c r="Q2467" t="str">
        <f>IFERROR(__xludf.DUMMYFUNCTION("""COMPUTED_VALUE"""),"White seats")</f>
        <v>White seats</v>
      </c>
      <c r="R2467" t="str">
        <f>IFERROR(__xludf.DUMMYFUNCTION("""COMPUTED_VALUE"""),"Autopilot")</f>
        <v>Autopilot</v>
      </c>
      <c r="X2467" t="str">
        <f>IFERROR(__xludf.DUMMYFUNCTION("""COMPUTED_VALUE"""),"Good")</f>
        <v>Good</v>
      </c>
      <c r="Y2467" t="str">
        <f>IFERROR(__xludf.DUMMYFUNCTION("""COMPUTED_VALUE"""),"Very Good")</f>
        <v>Very Good</v>
      </c>
      <c r="Z2467" t="str">
        <f>IFERROR(__xludf.DUMMYFUNCTION("""COMPUTED_VALUE"""),"Good")</f>
        <v>Good</v>
      </c>
      <c r="AA2467" t="str">
        <f>IFERROR(__xludf.DUMMYFUNCTION("""COMPUTED_VALUE"""),"Poor")</f>
        <v>Poor</v>
      </c>
      <c r="AB2467" t="str">
        <f>IFERROR(__xludf.DUMMYFUNCTION("""COMPUTED_VALUE"""),"Fair")</f>
        <v>Fair</v>
      </c>
      <c r="AH2467" s="189">
        <f>IFERROR(__xludf.DUMMYFUNCTION("""COMPUTED_VALUE"""),44026.31346722222)</f>
        <v>44026.31347</v>
      </c>
    </row>
    <row r="2468">
      <c r="A2468" t="str">
        <f>IFERROR(__xludf.DUMMYFUNCTION("""COMPUTED_VALUE"""),"spoons")</f>
        <v>spoons</v>
      </c>
      <c r="B2468" t="str">
        <f>IFERROR(__xludf.DUMMYFUNCTION("""COMPUTED_VALUE"""),"Jersey Shore")</f>
        <v>Jersey Shore</v>
      </c>
      <c r="C2468" t="str">
        <f>IFERROR(__xludf.DUMMYFUNCTION("""COMPUTED_VALUE"""),"NJ")</f>
        <v>NJ</v>
      </c>
      <c r="D2468" t="str">
        <f>IFERROR(__xludf.DUMMYFUNCTION("""COMPUTED_VALUE"""),"USA")</f>
        <v>USA</v>
      </c>
      <c r="E2468" s="188">
        <f>IFERROR(__xludf.DUMMYFUNCTION("""COMPUTED_VALUE"""),44013.0)</f>
        <v>44013</v>
      </c>
      <c r="F2468" s="188">
        <f>IFERROR(__xludf.DUMMYFUNCTION("""COMPUTED_VALUE"""),44029.0)</f>
        <v>44029</v>
      </c>
      <c r="H2468">
        <f>IFERROR(__xludf.DUMMYFUNCTION("""COMPUTED_VALUE"""),746233.0)</f>
        <v>746233</v>
      </c>
      <c r="I2468" t="str">
        <f>IFERROR(__xludf.DUMMYFUNCTION("""COMPUTED_VALUE"""),"06/20")</f>
        <v>06/20</v>
      </c>
      <c r="J2468" s="5">
        <f>IFERROR(__xludf.DUMMYFUNCTION("""COMPUTED_VALUE"""),44030.0)</f>
        <v>44030</v>
      </c>
      <c r="K2468">
        <f>IFERROR(__xludf.DUMMYFUNCTION("""COMPUTED_VALUE"""),16.0)</f>
        <v>16</v>
      </c>
      <c r="L2468">
        <f>IFERROR(__xludf.DUMMYFUNCTION("""COMPUTED_VALUE"""),1.0)</f>
        <v>1</v>
      </c>
      <c r="M2468">
        <f>IFERROR(__xludf.DUMMYFUNCTION("""COMPUTED_VALUE"""),17.0)</f>
        <v>17</v>
      </c>
      <c r="N2468" t="str">
        <f>IFERROR(__xludf.DUMMYFUNCTION("""COMPUTED_VALUE"""),"Model 3 LR AWD")</f>
        <v>Model 3 LR AWD</v>
      </c>
      <c r="O2468" t="str">
        <f>IFERROR(__xludf.DUMMYFUNCTION("""COMPUTED_VALUE"""),"Solid Black")</f>
        <v>Solid Black</v>
      </c>
      <c r="P2468" t="str">
        <f>IFERROR(__xludf.DUMMYFUNCTION("""COMPUTED_VALUE"""),"18 inch Aero")</f>
        <v>18 inch Aero</v>
      </c>
      <c r="Q2468" t="str">
        <f>IFERROR(__xludf.DUMMYFUNCTION("""COMPUTED_VALUE"""),"Black seats")</f>
        <v>Black seats</v>
      </c>
      <c r="R2468" t="str">
        <f>IFERROR(__xludf.DUMMYFUNCTION("""COMPUTED_VALUE"""),"Autopilot")</f>
        <v>Autopilot</v>
      </c>
      <c r="X2468" t="str">
        <f>IFERROR(__xludf.DUMMYFUNCTION("""COMPUTED_VALUE"""),"Excellent")</f>
        <v>Excellent</v>
      </c>
      <c r="Y2468" t="str">
        <f>IFERROR(__xludf.DUMMYFUNCTION("""COMPUTED_VALUE"""),"Very Good")</f>
        <v>Very Good</v>
      </c>
      <c r="Z2468" t="str">
        <f>IFERROR(__xludf.DUMMYFUNCTION("""COMPUTED_VALUE"""),"Excellent")</f>
        <v>Excellent</v>
      </c>
      <c r="AA2468" t="str">
        <f>IFERROR(__xludf.DUMMYFUNCTION("""COMPUTED_VALUE"""),"Good")</f>
        <v>Good</v>
      </c>
      <c r="AB2468" t="str">
        <f>IFERROR(__xludf.DUMMYFUNCTION("""COMPUTED_VALUE"""),"Excellent")</f>
        <v>Excellent</v>
      </c>
      <c r="AH2468" s="189">
        <f>IFERROR(__xludf.DUMMYFUNCTION("""COMPUTED_VALUE"""),44031.56296045139)</f>
        <v>44031.56296</v>
      </c>
    </row>
    <row r="2469">
      <c r="A2469" t="str">
        <f>IFERROR(__xludf.DUMMYFUNCTION("""COMPUTED_VALUE"""),"csto7")</f>
        <v>csto7</v>
      </c>
      <c r="B2469" t="str">
        <f>IFERROR(__xludf.DUMMYFUNCTION("""COMPUTED_VALUE"""),"Seattle")</f>
        <v>Seattle</v>
      </c>
      <c r="C2469" t="str">
        <f>IFERROR(__xludf.DUMMYFUNCTION("""COMPUTED_VALUE"""),"WA")</f>
        <v>WA</v>
      </c>
      <c r="D2469" t="str">
        <f>IFERROR(__xludf.DUMMYFUNCTION("""COMPUTED_VALUE"""),"USA")</f>
        <v>USA</v>
      </c>
      <c r="E2469" s="188">
        <f>IFERROR(__xludf.DUMMYFUNCTION("""COMPUTED_VALUE"""),43877.0)</f>
        <v>43877</v>
      </c>
      <c r="F2469" s="188">
        <f>IFERROR(__xludf.DUMMYFUNCTION("""COMPUTED_VALUE"""),43903.0)</f>
        <v>43903</v>
      </c>
      <c r="I2469" t="str">
        <f>IFERROR(__xludf.DUMMYFUNCTION("""COMPUTED_VALUE"""),"03/20")</f>
        <v>03/20</v>
      </c>
      <c r="J2469" s="5">
        <f>IFERROR(__xludf.DUMMYFUNCTION("""COMPUTED_VALUE"""),43908.0)</f>
        <v>43908</v>
      </c>
      <c r="K2469">
        <f>IFERROR(__xludf.DUMMYFUNCTION("""COMPUTED_VALUE"""),26.0)</f>
        <v>26</v>
      </c>
      <c r="L2469">
        <f>IFERROR(__xludf.DUMMYFUNCTION("""COMPUTED_VALUE"""),5.0)</f>
        <v>5</v>
      </c>
      <c r="M2469">
        <f>IFERROR(__xludf.DUMMYFUNCTION("""COMPUTED_VALUE"""),31.0)</f>
        <v>31</v>
      </c>
      <c r="N2469" t="str">
        <f>IFERROR(__xludf.DUMMYFUNCTION("""COMPUTED_VALUE"""),"Model 3 SR+")</f>
        <v>Model 3 SR+</v>
      </c>
      <c r="O2469" t="str">
        <f>IFERROR(__xludf.DUMMYFUNCTION("""COMPUTED_VALUE"""),"Midnight Silver Metallic")</f>
        <v>Midnight Silver Metallic</v>
      </c>
      <c r="P2469" t="str">
        <f>IFERROR(__xludf.DUMMYFUNCTION("""COMPUTED_VALUE"""),"18 inch Aero")</f>
        <v>18 inch Aero</v>
      </c>
      <c r="Q2469" t="str">
        <f>IFERROR(__xludf.DUMMYFUNCTION("""COMPUTED_VALUE"""),"Black seats")</f>
        <v>Black seats</v>
      </c>
      <c r="R2469" t="str">
        <f>IFERROR(__xludf.DUMMYFUNCTION("""COMPUTED_VALUE"""),"Autopilot")</f>
        <v>Autopilot</v>
      </c>
      <c r="X2469" t="str">
        <f>IFERROR(__xludf.DUMMYFUNCTION("""COMPUTED_VALUE"""),"Excellent")</f>
        <v>Excellent</v>
      </c>
      <c r="Y2469" t="str">
        <f>IFERROR(__xludf.DUMMYFUNCTION("""COMPUTED_VALUE"""),"Good")</f>
        <v>Good</v>
      </c>
      <c r="Z2469" t="str">
        <f>IFERROR(__xludf.DUMMYFUNCTION("""COMPUTED_VALUE"""),"Fair")</f>
        <v>Fair</v>
      </c>
      <c r="AA2469" t="str">
        <f>IFERROR(__xludf.DUMMYFUNCTION("""COMPUTED_VALUE"""),"Good")</f>
        <v>Good</v>
      </c>
      <c r="AB2469" t="str">
        <f>IFERROR(__xludf.DUMMYFUNCTION("""COMPUTED_VALUE"""),"Fair")</f>
        <v>Fair</v>
      </c>
      <c r="AC2469">
        <f>IFERROR(__xludf.DUMMYFUNCTION("""COMPUTED_VALUE"""),9.0)</f>
        <v>9</v>
      </c>
      <c r="AD2469">
        <f>IFERROR(__xludf.DUMMYFUNCTION("""COMPUTED_VALUE"""),4.0)</f>
        <v>4</v>
      </c>
      <c r="AE2469">
        <f>IFERROR(__xludf.DUMMYFUNCTION("""COMPUTED_VALUE"""),1.0)</f>
        <v>1</v>
      </c>
      <c r="AG2469" t="str">
        <f>IFERROR(__xludf.DUMMYFUNCTION("""COMPUTED_VALUE"""),"front lip damage not repaired. extra material on side mirror install, paint defects, loose rubber trim, stained chrome, scratches")</f>
        <v>front lip damage not repaired. extra material on side mirror install, paint defects, loose rubber trim, stained chrome, scratches</v>
      </c>
      <c r="AH2469" s="189">
        <f>IFERROR(__xludf.DUMMYFUNCTION("""COMPUTED_VALUE"""),44032.41157037037)</f>
        <v>44032.41157</v>
      </c>
    </row>
    <row r="2470">
      <c r="A2470" t="str">
        <f>IFERROR(__xludf.DUMMYFUNCTION("""COMPUTED_VALUE"""),"model3perf")</f>
        <v>model3perf</v>
      </c>
      <c r="B2470" t="str">
        <f>IFERROR(__xludf.DUMMYFUNCTION("""COMPUTED_VALUE"""),"Pittsburgh")</f>
        <v>Pittsburgh</v>
      </c>
      <c r="C2470" t="str">
        <f>IFERROR(__xludf.DUMMYFUNCTION("""COMPUTED_VALUE"""),"PA")</f>
        <v>PA</v>
      </c>
      <c r="D2470" t="str">
        <f>IFERROR(__xludf.DUMMYFUNCTION("""COMPUTED_VALUE"""),"USA")</f>
        <v>USA</v>
      </c>
      <c r="E2470" s="188">
        <f>IFERROR(__xludf.DUMMYFUNCTION("""COMPUTED_VALUE"""),43999.0)</f>
        <v>43999</v>
      </c>
      <c r="F2470" s="188">
        <f>IFERROR(__xludf.DUMMYFUNCTION("""COMPUTED_VALUE"""),44002.0)</f>
        <v>44002</v>
      </c>
      <c r="H2470">
        <f>IFERROR(__xludf.DUMMYFUNCTION("""COMPUTED_VALUE"""),714755.0)</f>
        <v>714755</v>
      </c>
      <c r="I2470" t="str">
        <f>IFERROR(__xludf.DUMMYFUNCTION("""COMPUTED_VALUE"""),"06/20")</f>
        <v>06/20</v>
      </c>
      <c r="J2470" s="5">
        <f>IFERROR(__xludf.DUMMYFUNCTION("""COMPUTED_VALUE"""),44006.0)</f>
        <v>44006</v>
      </c>
      <c r="K2470">
        <f>IFERROR(__xludf.DUMMYFUNCTION("""COMPUTED_VALUE"""),3.0)</f>
        <v>3</v>
      </c>
      <c r="L2470">
        <f>IFERROR(__xludf.DUMMYFUNCTION("""COMPUTED_VALUE"""),4.0)</f>
        <v>4</v>
      </c>
      <c r="M2470">
        <f>IFERROR(__xludf.DUMMYFUNCTION("""COMPUTED_VALUE"""),7.0)</f>
        <v>7</v>
      </c>
      <c r="N2470" t="str">
        <f>IFERROR(__xludf.DUMMYFUNCTION("""COMPUTED_VALUE"""),"Model 3 Performance")</f>
        <v>Model 3 Performance</v>
      </c>
      <c r="O2470" t="str">
        <f>IFERROR(__xludf.DUMMYFUNCTION("""COMPUTED_VALUE"""),"Red Multi-Coat")</f>
        <v>Red Multi-Coat</v>
      </c>
      <c r="P2470" t="str">
        <f>IFERROR(__xludf.DUMMYFUNCTION("""COMPUTED_VALUE"""),"20 inch Sport")</f>
        <v>20 inch Sport</v>
      </c>
      <c r="Q2470" t="str">
        <f>IFERROR(__xludf.DUMMYFUNCTION("""COMPUTED_VALUE"""),"White seats")</f>
        <v>White seats</v>
      </c>
      <c r="R2470" t="str">
        <f>IFERROR(__xludf.DUMMYFUNCTION("""COMPUTED_VALUE"""),"Full Self-Driving")</f>
        <v>Full Self-Driving</v>
      </c>
      <c r="X2470" t="str">
        <f>IFERROR(__xludf.DUMMYFUNCTION("""COMPUTED_VALUE"""),"Very Good")</f>
        <v>Very Good</v>
      </c>
      <c r="Y2470" t="str">
        <f>IFERROR(__xludf.DUMMYFUNCTION("""COMPUTED_VALUE"""),"Very Good")</f>
        <v>Very Good</v>
      </c>
      <c r="Z2470" t="str">
        <f>IFERROR(__xludf.DUMMYFUNCTION("""COMPUTED_VALUE"""),"Very Good")</f>
        <v>Very Good</v>
      </c>
      <c r="AA2470" t="str">
        <f>IFERROR(__xludf.DUMMYFUNCTION("""COMPUTED_VALUE"""),"Excellent")</f>
        <v>Excellent</v>
      </c>
      <c r="AB2470" t="str">
        <f>IFERROR(__xludf.DUMMYFUNCTION("""COMPUTED_VALUE"""),"Excellent")</f>
        <v>Excellent</v>
      </c>
      <c r="AC2470">
        <f>IFERROR(__xludf.DUMMYFUNCTION("""COMPUTED_VALUE"""),3.0)</f>
        <v>3</v>
      </c>
      <c r="AD2470">
        <f>IFERROR(__xludf.DUMMYFUNCTION("""COMPUTED_VALUE"""),1.0)</f>
        <v>1</v>
      </c>
      <c r="AE2470">
        <f>IFERROR(__xludf.DUMMYFUNCTION("""COMPUTED_VALUE"""),0.0)</f>
        <v>0</v>
      </c>
      <c r="AH2470" s="189">
        <f>IFERROR(__xludf.DUMMYFUNCTION("""COMPUTED_VALUE"""),44032.50214700232)</f>
        <v>44032.50215</v>
      </c>
    </row>
    <row r="2471">
      <c r="A2471" t="str">
        <f>IFERROR(__xludf.DUMMYFUNCTION("""COMPUTED_VALUE"""),"wrath5120")</f>
        <v>wrath5120</v>
      </c>
      <c r="B2471" t="str">
        <f>IFERROR(__xludf.DUMMYFUNCTION("""COMPUTED_VALUE"""),"Pittsburgh")</f>
        <v>Pittsburgh</v>
      </c>
      <c r="C2471" t="str">
        <f>IFERROR(__xludf.DUMMYFUNCTION("""COMPUTED_VALUE"""),"PA")</f>
        <v>PA</v>
      </c>
      <c r="D2471" t="str">
        <f>IFERROR(__xludf.DUMMYFUNCTION("""COMPUTED_VALUE"""),"USA")</f>
        <v>USA</v>
      </c>
      <c r="E2471" s="188">
        <f>IFERROR(__xludf.DUMMYFUNCTION("""COMPUTED_VALUE"""),43870.0)</f>
        <v>43870</v>
      </c>
      <c r="F2471" s="188">
        <f>IFERROR(__xludf.DUMMYFUNCTION("""COMPUTED_VALUE"""),43887.0)</f>
        <v>43887</v>
      </c>
      <c r="H2471">
        <f>IFERROR(__xludf.DUMMYFUNCTION("""COMPUTED_VALUE"""),663155.0)</f>
        <v>663155</v>
      </c>
      <c r="J2471" s="5">
        <f>IFERROR(__xludf.DUMMYFUNCTION("""COMPUTED_VALUE"""),43901.0)</f>
        <v>43901</v>
      </c>
      <c r="K2471">
        <f>IFERROR(__xludf.DUMMYFUNCTION("""COMPUTED_VALUE"""),17.0)</f>
        <v>17</v>
      </c>
      <c r="L2471">
        <f>IFERROR(__xludf.DUMMYFUNCTION("""COMPUTED_VALUE"""),14.0)</f>
        <v>14</v>
      </c>
      <c r="M2471">
        <f>IFERROR(__xludf.DUMMYFUNCTION("""COMPUTED_VALUE"""),31.0)</f>
        <v>31</v>
      </c>
      <c r="N2471" t="str">
        <f>IFERROR(__xludf.DUMMYFUNCTION("""COMPUTED_VALUE"""),"Model 3 LR AWD")</f>
        <v>Model 3 LR AWD</v>
      </c>
      <c r="O2471" t="str">
        <f>IFERROR(__xludf.DUMMYFUNCTION("""COMPUTED_VALUE"""),"Midnight Silver Metallic")</f>
        <v>Midnight Silver Metallic</v>
      </c>
      <c r="P2471" t="str">
        <f>IFERROR(__xludf.DUMMYFUNCTION("""COMPUTED_VALUE"""),"18 inch Aero")</f>
        <v>18 inch Aero</v>
      </c>
      <c r="Q2471" t="str">
        <f>IFERROR(__xludf.DUMMYFUNCTION("""COMPUTED_VALUE"""),"Black seats")</f>
        <v>Black seats</v>
      </c>
      <c r="R2471" t="str">
        <f>IFERROR(__xludf.DUMMYFUNCTION("""COMPUTED_VALUE"""),"Autopilot")</f>
        <v>Autopilot</v>
      </c>
      <c r="X2471" t="str">
        <f>IFERROR(__xludf.DUMMYFUNCTION("""COMPUTED_VALUE"""),"Excellent")</f>
        <v>Excellent</v>
      </c>
      <c r="Y2471" t="str">
        <f>IFERROR(__xludf.DUMMYFUNCTION("""COMPUTED_VALUE"""),"Excellent")</f>
        <v>Excellent</v>
      </c>
      <c r="Z2471" t="str">
        <f>IFERROR(__xludf.DUMMYFUNCTION("""COMPUTED_VALUE"""),"Very Good")</f>
        <v>Very Good</v>
      </c>
      <c r="AA2471" t="str">
        <f>IFERROR(__xludf.DUMMYFUNCTION("""COMPUTED_VALUE"""),"Very Good")</f>
        <v>Very Good</v>
      </c>
      <c r="AB2471" t="str">
        <f>IFERROR(__xludf.DUMMYFUNCTION("""COMPUTED_VALUE"""),"Fair")</f>
        <v>Fair</v>
      </c>
      <c r="AC2471">
        <f>IFERROR(__xludf.DUMMYFUNCTION("""COMPUTED_VALUE"""),0.0)</f>
        <v>0</v>
      </c>
      <c r="AD2471">
        <f>IFERROR(__xludf.DUMMYFUNCTION("""COMPUTED_VALUE"""),0.0)</f>
        <v>0</v>
      </c>
      <c r="AE2471">
        <f>IFERROR(__xludf.DUMMYFUNCTION("""COMPUTED_VALUE"""),0.0)</f>
        <v>0</v>
      </c>
      <c r="AG2471" t="str">
        <f>IFERROR(__xludf.DUMMYFUNCTION("""COMPUTED_VALUE"""),"Got a text 02/13/2020 delivery will be in 3-5 weeks., VIN in the source 02/26/2020. Update to move delivery date up to 03/11/2020 if desired. Tesla forgot to give me the pink slip to register, but this was right before COVID-19 and they expressed it to me"&amp;" very quickly after.")</f>
        <v>Got a text 02/13/2020 delivery will be in 3-5 weeks., VIN in the source 02/26/2020. Update to move delivery date up to 03/11/2020 if desired. Tesla forgot to give me the pink slip to register, but this was right before COVID-19 and they expressed it to me very quickly after.</v>
      </c>
      <c r="AH2471" s="189">
        <f>IFERROR(__xludf.DUMMYFUNCTION("""COMPUTED_VALUE"""),44033.40202137732)</f>
        <v>44033.40202</v>
      </c>
    </row>
    <row r="2472">
      <c r="A2472" t="str">
        <f>IFERROR(__xludf.DUMMYFUNCTION("""COMPUTED_VALUE"""),"Jordizzle")</f>
        <v>Jordizzle</v>
      </c>
      <c r="B2472" t="str">
        <f>IFERROR(__xludf.DUMMYFUNCTION("""COMPUTED_VALUE"""),"Chico")</f>
        <v>Chico</v>
      </c>
      <c r="C2472" t="str">
        <f>IFERROR(__xludf.DUMMYFUNCTION("""COMPUTED_VALUE"""),"CA")</f>
        <v>CA</v>
      </c>
      <c r="D2472" t="str">
        <f>IFERROR(__xludf.DUMMYFUNCTION("""COMPUTED_VALUE"""),"USA")</f>
        <v>USA</v>
      </c>
      <c r="E2472" s="188">
        <f>IFERROR(__xludf.DUMMYFUNCTION("""COMPUTED_VALUE"""),44382.0)</f>
        <v>44382</v>
      </c>
      <c r="F2472" s="188">
        <f>IFERROR(__xludf.DUMMYFUNCTION("""COMPUTED_VALUE"""),44433.0)</f>
        <v>44433</v>
      </c>
      <c r="G2472" t="str">
        <f>IFERROR(__xludf.DUMMYFUNCTION("""COMPUTED_VALUE"""),"Manage order page (normal text)")</f>
        <v>Manage order page (normal text)</v>
      </c>
      <c r="H2472">
        <f>IFERROR(__xludf.DUMMYFUNCTION("""COMPUTED_VALUE"""),54455.0)</f>
        <v>54455</v>
      </c>
      <c r="I2472" t="str">
        <f>IFERROR(__xludf.DUMMYFUNCTION("""COMPUTED_VALUE"""),"08/21")</f>
        <v>08/21</v>
      </c>
      <c r="J2472" s="188">
        <f>IFERROR(__xludf.DUMMYFUNCTION("""COMPUTED_VALUE"""),44508.0)</f>
        <v>44508</v>
      </c>
      <c r="K2472">
        <f>IFERROR(__xludf.DUMMYFUNCTION("""COMPUTED_VALUE"""),51.0)</f>
        <v>51</v>
      </c>
      <c r="L2472">
        <f>IFERROR(__xludf.DUMMYFUNCTION("""COMPUTED_VALUE"""),75.0)</f>
        <v>75</v>
      </c>
      <c r="M2472">
        <f>IFERROR(__xludf.DUMMYFUNCTION("""COMPUTED_VALUE"""),126.0)</f>
        <v>126</v>
      </c>
      <c r="N2472" t="str">
        <f>IFERROR(__xludf.DUMMYFUNCTION("""COMPUTED_VALUE"""),"Model 3 Performance")</f>
        <v>Model 3 Performance</v>
      </c>
      <c r="O2472" t="str">
        <f>IFERROR(__xludf.DUMMYFUNCTION("""COMPUTED_VALUE"""),"Pearl White Multi-Coat")</f>
        <v>Pearl White Multi-Coat</v>
      </c>
      <c r="P2472" t="str">
        <f>IFERROR(__xludf.DUMMYFUNCTION("""COMPUTED_VALUE"""),"20 inch")</f>
        <v>20 inch</v>
      </c>
      <c r="Q2472" t="str">
        <f>IFERROR(__xludf.DUMMYFUNCTION("""COMPUTED_VALUE"""),"Black and White")</f>
        <v>Black and White</v>
      </c>
      <c r="R2472" t="str">
        <f>IFERROR(__xludf.DUMMYFUNCTION("""COMPUTED_VALUE"""),"Autopilot included")</f>
        <v>Autopilot included</v>
      </c>
      <c r="S2472" t="str">
        <f>IFERROR(__xludf.DUMMYFUNCTION("""COMPUTED_VALUE"""),"Loan")</f>
        <v>Loan</v>
      </c>
      <c r="T2472" t="str">
        <f>IFERROR(__xludf.DUMMYFUNCTION("""COMPUTED_VALUE"""),"Toyota Camry")</f>
        <v>Toyota Camry</v>
      </c>
      <c r="U2472" t="str">
        <f>IFERROR(__xludf.DUMMYFUNCTION("""COMPUTED_VALUE"""),"Electric!")</f>
        <v>Electric!</v>
      </c>
      <c r="V2472" t="str">
        <f>IFERROR(__xludf.DUMMYFUNCTION("""COMPUTED_VALUE"""),"Air suspension")</f>
        <v>Air suspension</v>
      </c>
      <c r="X2472" t="str">
        <f>IFERROR(__xludf.DUMMYFUNCTION("""COMPUTED_VALUE"""),"Excellent")</f>
        <v>Excellent</v>
      </c>
      <c r="Y2472" t="str">
        <f>IFERROR(__xludf.DUMMYFUNCTION("""COMPUTED_VALUE"""),"Excellent")</f>
        <v>Excellent</v>
      </c>
      <c r="Z2472" t="str">
        <f>IFERROR(__xludf.DUMMYFUNCTION("""COMPUTED_VALUE"""),"Excellent")</f>
        <v>Excellent</v>
      </c>
      <c r="AA2472" t="str">
        <f>IFERROR(__xludf.DUMMYFUNCTION("""COMPUTED_VALUE"""),"Very Good")</f>
        <v>Very Good</v>
      </c>
      <c r="AB2472" t="str">
        <f>IFERROR(__xludf.DUMMYFUNCTION("""COMPUTED_VALUE"""),"Very Good")</f>
        <v>Very Good</v>
      </c>
      <c r="AC2472">
        <f>IFERROR(__xludf.DUMMYFUNCTION("""COMPUTED_VALUE"""),0.0)</f>
        <v>0</v>
      </c>
      <c r="AD2472">
        <f>IFERROR(__xludf.DUMMYFUNCTION("""COMPUTED_VALUE"""),0.0)</f>
        <v>0</v>
      </c>
      <c r="AE2472">
        <f>IFERROR(__xludf.DUMMYFUNCTION("""COMPUTED_VALUE"""),0.0)</f>
        <v>0</v>
      </c>
      <c r="AF2472" t="str">
        <f>IFERROR(__xludf.DUMMYFUNCTION("""COMPUTED_VALUE"""),"No. I took delivery of the first car Tesla was able to deliver.")</f>
        <v>No. I took delivery of the first car Tesla was able to deliver.</v>
      </c>
      <c r="AH2472" s="189">
        <f>IFERROR(__xludf.DUMMYFUNCTION("""COMPUTED_VALUE"""),44468.57530561343)</f>
        <v>44468.57531</v>
      </c>
    </row>
    <row r="2473">
      <c r="A2473" t="str">
        <f>IFERROR(__xludf.DUMMYFUNCTION("""COMPUTED_VALUE"""),"Zhurd10")</f>
        <v>Zhurd10</v>
      </c>
      <c r="B2473" t="str">
        <f>IFERROR(__xludf.DUMMYFUNCTION("""COMPUTED_VALUE"""),"Cleveland")</f>
        <v>Cleveland</v>
      </c>
      <c r="C2473" t="str">
        <f>IFERROR(__xludf.DUMMYFUNCTION("""COMPUTED_VALUE"""),"OH")</f>
        <v>OH</v>
      </c>
      <c r="D2473" t="str">
        <f>IFERROR(__xludf.DUMMYFUNCTION("""COMPUTED_VALUE"""),"USA")</f>
        <v>USA</v>
      </c>
      <c r="E2473" s="188">
        <f>IFERROR(__xludf.DUMMYFUNCTION("""COMPUTED_VALUE"""),44018.0)</f>
        <v>44018</v>
      </c>
      <c r="F2473" s="188">
        <f>IFERROR(__xludf.DUMMYFUNCTION("""COMPUTED_VALUE"""),44037.0)</f>
        <v>44037</v>
      </c>
      <c r="H2473">
        <f>IFERROR(__xludf.DUMMYFUNCTION("""COMPUTED_VALUE"""),746816.0)</f>
        <v>746816</v>
      </c>
      <c r="I2473" t="str">
        <f>IFERROR(__xludf.DUMMYFUNCTION("""COMPUTED_VALUE"""),"06/20")</f>
        <v>06/20</v>
      </c>
      <c r="J2473" s="5">
        <f>IFERROR(__xludf.DUMMYFUNCTION("""COMPUTED_VALUE"""),44039.0)</f>
        <v>44039</v>
      </c>
      <c r="K2473">
        <f>IFERROR(__xludf.DUMMYFUNCTION("""COMPUTED_VALUE"""),19.0)</f>
        <v>19</v>
      </c>
      <c r="L2473">
        <f>IFERROR(__xludf.DUMMYFUNCTION("""COMPUTED_VALUE"""),2.0)</f>
        <v>2</v>
      </c>
      <c r="M2473">
        <f>IFERROR(__xludf.DUMMYFUNCTION("""COMPUTED_VALUE"""),21.0)</f>
        <v>21</v>
      </c>
      <c r="N2473" t="str">
        <f>IFERROR(__xludf.DUMMYFUNCTION("""COMPUTED_VALUE"""),"Model 3 LR AWD")</f>
        <v>Model 3 LR AWD</v>
      </c>
      <c r="O2473" t="str">
        <f>IFERROR(__xludf.DUMMYFUNCTION("""COMPUTED_VALUE"""),"Pearl White Multi-Coat")</f>
        <v>Pearl White Multi-Coat</v>
      </c>
      <c r="P2473" t="str">
        <f>IFERROR(__xludf.DUMMYFUNCTION("""COMPUTED_VALUE"""),"19 inch Sport")</f>
        <v>19 inch Sport</v>
      </c>
      <c r="Q2473" t="str">
        <f>IFERROR(__xludf.DUMMYFUNCTION("""COMPUTED_VALUE"""),"Black seats")</f>
        <v>Black seats</v>
      </c>
      <c r="R2473" t="str">
        <f>IFERROR(__xludf.DUMMYFUNCTION("""COMPUTED_VALUE"""),"Autopilot")</f>
        <v>Autopilot</v>
      </c>
      <c r="X2473" t="str">
        <f>IFERROR(__xludf.DUMMYFUNCTION("""COMPUTED_VALUE"""),"Excellent")</f>
        <v>Excellent</v>
      </c>
      <c r="Y2473" t="str">
        <f>IFERROR(__xludf.DUMMYFUNCTION("""COMPUTED_VALUE"""),"Very Good")</f>
        <v>Very Good</v>
      </c>
      <c r="Z2473" t="str">
        <f>IFERROR(__xludf.DUMMYFUNCTION("""COMPUTED_VALUE"""),"Excellent")</f>
        <v>Excellent</v>
      </c>
      <c r="AA2473" t="str">
        <f>IFERROR(__xludf.DUMMYFUNCTION("""COMPUTED_VALUE"""),"Poor")</f>
        <v>Poor</v>
      </c>
      <c r="AH2473" s="189">
        <f>IFERROR(__xludf.DUMMYFUNCTION("""COMPUTED_VALUE"""),44040.49787791667)</f>
        <v>44040.49788</v>
      </c>
    </row>
    <row r="2474">
      <c r="A2474" t="str">
        <f>IFERROR(__xludf.DUMMYFUNCTION("""COMPUTED_VALUE"""),"adayley")</f>
        <v>adayley</v>
      </c>
      <c r="B2474" t="str">
        <f>IFERROR(__xludf.DUMMYFUNCTION("""COMPUTED_VALUE"""),"Gilbert")</f>
        <v>Gilbert</v>
      </c>
      <c r="C2474" t="str">
        <f>IFERROR(__xludf.DUMMYFUNCTION("""COMPUTED_VALUE"""),"AZ")</f>
        <v>AZ</v>
      </c>
      <c r="D2474" t="str">
        <f>IFERROR(__xludf.DUMMYFUNCTION("""COMPUTED_VALUE"""),"USA")</f>
        <v>USA</v>
      </c>
      <c r="E2474" s="188">
        <f>IFERROR(__xludf.DUMMYFUNCTION("""COMPUTED_VALUE"""),43983.0)</f>
        <v>43983</v>
      </c>
      <c r="F2474" s="188">
        <f>IFERROR(__xludf.DUMMYFUNCTION("""COMPUTED_VALUE"""),44004.0)</f>
        <v>44004</v>
      </c>
      <c r="H2474">
        <f>IFERROR(__xludf.DUMMYFUNCTION("""COMPUTED_VALUE"""),739755.0)</f>
        <v>739755</v>
      </c>
      <c r="I2474" t="str">
        <f>IFERROR(__xludf.DUMMYFUNCTION("""COMPUTED_VALUE"""),"06/20")</f>
        <v>06/20</v>
      </c>
      <c r="J2474" s="5">
        <f>IFERROR(__xludf.DUMMYFUNCTION("""COMPUTED_VALUE"""),44008.0)</f>
        <v>44008</v>
      </c>
      <c r="K2474">
        <f>IFERROR(__xludf.DUMMYFUNCTION("""COMPUTED_VALUE"""),21.0)</f>
        <v>21</v>
      </c>
      <c r="L2474">
        <f>IFERROR(__xludf.DUMMYFUNCTION("""COMPUTED_VALUE"""),4.0)</f>
        <v>4</v>
      </c>
      <c r="M2474">
        <f>IFERROR(__xludf.DUMMYFUNCTION("""COMPUTED_VALUE"""),25.0)</f>
        <v>25</v>
      </c>
      <c r="N2474" t="str">
        <f>IFERROR(__xludf.DUMMYFUNCTION("""COMPUTED_VALUE"""),"Model 3 SR+")</f>
        <v>Model 3 SR+</v>
      </c>
      <c r="O2474" t="str">
        <f>IFERROR(__xludf.DUMMYFUNCTION("""COMPUTED_VALUE"""),"Deep Blue Metallic")</f>
        <v>Deep Blue Metallic</v>
      </c>
      <c r="P2474" t="str">
        <f>IFERROR(__xludf.DUMMYFUNCTION("""COMPUTED_VALUE"""),"18 inch Aero")</f>
        <v>18 inch Aero</v>
      </c>
      <c r="Q2474" t="str">
        <f>IFERROR(__xludf.DUMMYFUNCTION("""COMPUTED_VALUE"""),"Black seats")</f>
        <v>Black seats</v>
      </c>
      <c r="R2474" t="str">
        <f>IFERROR(__xludf.DUMMYFUNCTION("""COMPUTED_VALUE"""),"Full Self-Driving")</f>
        <v>Full Self-Driving</v>
      </c>
      <c r="X2474" t="str">
        <f>IFERROR(__xludf.DUMMYFUNCTION("""COMPUTED_VALUE"""),"Good")</f>
        <v>Good</v>
      </c>
      <c r="Y2474" t="str">
        <f>IFERROR(__xludf.DUMMYFUNCTION("""COMPUTED_VALUE"""),"Excellent")</f>
        <v>Excellent</v>
      </c>
      <c r="Z2474" t="str">
        <f>IFERROR(__xludf.DUMMYFUNCTION("""COMPUTED_VALUE"""),"Very Good")</f>
        <v>Very Good</v>
      </c>
      <c r="AA2474" t="str">
        <f>IFERROR(__xludf.DUMMYFUNCTION("""COMPUTED_VALUE"""),"Good")</f>
        <v>Good</v>
      </c>
      <c r="AB2474" t="str">
        <f>IFERROR(__xludf.DUMMYFUNCTION("""COMPUTED_VALUE"""),"Excellent")</f>
        <v>Excellent</v>
      </c>
      <c r="AC2474">
        <f>IFERROR(__xludf.DUMMYFUNCTION("""COMPUTED_VALUE"""),6.0)</f>
        <v>6</v>
      </c>
      <c r="AD2474">
        <f>IFERROR(__xludf.DUMMYFUNCTION("""COMPUTED_VALUE"""),1.0)</f>
        <v>1</v>
      </c>
      <c r="AE2474">
        <f>IFERROR(__xludf.DUMMYFUNCTION("""COMPUTED_VALUE"""),13.0)</f>
        <v>13</v>
      </c>
      <c r="AH2474" s="189">
        <f>IFERROR(__xludf.DUMMYFUNCTION("""COMPUTED_VALUE"""),44048.590932743056)</f>
        <v>44048.59093</v>
      </c>
    </row>
    <row r="2475">
      <c r="A2475" t="str">
        <f>IFERROR(__xludf.DUMMYFUNCTION("""COMPUTED_VALUE"""),"chamsters")</f>
        <v>chamsters</v>
      </c>
      <c r="B2475" t="str">
        <f>IFERROR(__xludf.DUMMYFUNCTION("""COMPUTED_VALUE"""),"London")</f>
        <v>London</v>
      </c>
      <c r="D2475" t="str">
        <f>IFERROR(__xludf.DUMMYFUNCTION("""COMPUTED_VALUE"""),"United Kingdom")</f>
        <v>United Kingdom</v>
      </c>
      <c r="E2475" s="188">
        <f>IFERROR(__xludf.DUMMYFUNCTION("""COMPUTED_VALUE"""),44034.0)</f>
        <v>44034</v>
      </c>
      <c r="F2475" s="188">
        <f>IFERROR(__xludf.DUMMYFUNCTION("""COMPUTED_VALUE"""),44047.0)</f>
        <v>44047</v>
      </c>
      <c r="H2475">
        <f>IFERROR(__xludf.DUMMYFUNCTION("""COMPUTED_VALUE"""),772855.0)</f>
        <v>772855</v>
      </c>
      <c r="J2475" s="5">
        <f>IFERROR(__xludf.DUMMYFUNCTION("""COMPUTED_VALUE"""),44082.0)</f>
        <v>44082</v>
      </c>
      <c r="K2475">
        <f>IFERROR(__xludf.DUMMYFUNCTION("""COMPUTED_VALUE"""),13.0)</f>
        <v>13</v>
      </c>
      <c r="L2475">
        <f>IFERROR(__xludf.DUMMYFUNCTION("""COMPUTED_VALUE"""),35.0)</f>
        <v>35</v>
      </c>
      <c r="M2475">
        <f>IFERROR(__xludf.DUMMYFUNCTION("""COMPUTED_VALUE"""),48.0)</f>
        <v>48</v>
      </c>
      <c r="N2475" t="str">
        <f>IFERROR(__xludf.DUMMYFUNCTION("""COMPUTED_VALUE"""),"Model 3 LR AWD")</f>
        <v>Model 3 LR AWD</v>
      </c>
      <c r="O2475" t="str">
        <f>IFERROR(__xludf.DUMMYFUNCTION("""COMPUTED_VALUE"""),"Pearl White Multi-Coat")</f>
        <v>Pearl White Multi-Coat</v>
      </c>
      <c r="P2475" t="str">
        <f>IFERROR(__xludf.DUMMYFUNCTION("""COMPUTED_VALUE"""),"19 inch Sport")</f>
        <v>19 inch Sport</v>
      </c>
      <c r="Q2475" t="str">
        <f>IFERROR(__xludf.DUMMYFUNCTION("""COMPUTED_VALUE"""),"Black seats")</f>
        <v>Black seats</v>
      </c>
      <c r="R2475" t="str">
        <f>IFERROR(__xludf.DUMMYFUNCTION("""COMPUTED_VALUE"""),"Autopilot")</f>
        <v>Autopilot</v>
      </c>
      <c r="AA2475" t="str">
        <f>IFERROR(__xludf.DUMMYFUNCTION("""COMPUTED_VALUE"""),"Very Good")</f>
        <v>Very Good</v>
      </c>
      <c r="AH2475" s="189">
        <f>IFERROR(__xludf.DUMMYFUNCTION("""COMPUTED_VALUE"""),44058.435805925925)</f>
        <v>44058.43581</v>
      </c>
    </row>
    <row r="2476">
      <c r="A2476" t="str">
        <f>IFERROR(__xludf.DUMMYFUNCTION("""COMPUTED_VALUE"""),"jschmitt3")</f>
        <v>jschmitt3</v>
      </c>
      <c r="B2476" t="str">
        <f>IFERROR(__xludf.DUMMYFUNCTION("""COMPUTED_VALUE"""),"Audubon, PA")</f>
        <v>Audubon, PA</v>
      </c>
      <c r="C2476" t="str">
        <f>IFERROR(__xludf.DUMMYFUNCTION("""COMPUTED_VALUE"""),"PA")</f>
        <v>PA</v>
      </c>
      <c r="D2476" t="str">
        <f>IFERROR(__xludf.DUMMYFUNCTION("""COMPUTED_VALUE"""),"USA")</f>
        <v>USA</v>
      </c>
      <c r="E2476" s="188">
        <f>IFERROR(__xludf.DUMMYFUNCTION("""COMPUTED_VALUE"""),44017.0)</f>
        <v>44017</v>
      </c>
      <c r="F2476" s="188">
        <f>IFERROR(__xludf.DUMMYFUNCTION("""COMPUTED_VALUE"""),44048.0)</f>
        <v>44048</v>
      </c>
      <c r="H2476" s="4">
        <f>IFERROR(__xludf.DUMMYFUNCTION("""COMPUTED_VALUE"""),769731.0)</f>
        <v>769731</v>
      </c>
      <c r="I2476" t="str">
        <f>IFERROR(__xludf.DUMMYFUNCTION("""COMPUTED_VALUE"""),"08/20")</f>
        <v>08/20</v>
      </c>
      <c r="J2476" s="5">
        <f>IFERROR(__xludf.DUMMYFUNCTION("""COMPUTED_VALUE"""),44058.0)</f>
        <v>44058</v>
      </c>
      <c r="K2476">
        <f>IFERROR(__xludf.DUMMYFUNCTION("""COMPUTED_VALUE"""),31.0)</f>
        <v>31</v>
      </c>
      <c r="L2476">
        <f>IFERROR(__xludf.DUMMYFUNCTION("""COMPUTED_VALUE"""),10.0)</f>
        <v>10</v>
      </c>
      <c r="M2476">
        <f>IFERROR(__xludf.DUMMYFUNCTION("""COMPUTED_VALUE"""),41.0)</f>
        <v>41</v>
      </c>
      <c r="N2476" t="str">
        <f>IFERROR(__xludf.DUMMYFUNCTION("""COMPUTED_VALUE"""),"Model 3 LR AWD")</f>
        <v>Model 3 LR AWD</v>
      </c>
      <c r="O2476" t="str">
        <f>IFERROR(__xludf.DUMMYFUNCTION("""COMPUTED_VALUE"""),"Red Multi-Coat")</f>
        <v>Red Multi-Coat</v>
      </c>
      <c r="P2476" t="str">
        <f>IFERROR(__xludf.DUMMYFUNCTION("""COMPUTED_VALUE"""),"19 inch Sport")</f>
        <v>19 inch Sport</v>
      </c>
      <c r="Q2476" t="str">
        <f>IFERROR(__xludf.DUMMYFUNCTION("""COMPUTED_VALUE"""),"White seats")</f>
        <v>White seats</v>
      </c>
      <c r="R2476" t="str">
        <f>IFERROR(__xludf.DUMMYFUNCTION("""COMPUTED_VALUE"""),"Full Self-Driving")</f>
        <v>Full Self-Driving</v>
      </c>
      <c r="X2476" t="str">
        <f>IFERROR(__xludf.DUMMYFUNCTION("""COMPUTED_VALUE"""),"Excellent")</f>
        <v>Excellent</v>
      </c>
      <c r="Y2476" t="str">
        <f>IFERROR(__xludf.DUMMYFUNCTION("""COMPUTED_VALUE"""),"Excellent")</f>
        <v>Excellent</v>
      </c>
      <c r="Z2476" t="str">
        <f>IFERROR(__xludf.DUMMYFUNCTION("""COMPUTED_VALUE"""),"Very Good")</f>
        <v>Very Good</v>
      </c>
      <c r="AA2476" t="str">
        <f>IFERROR(__xludf.DUMMYFUNCTION("""COMPUTED_VALUE"""),"Excellent")</f>
        <v>Excellent</v>
      </c>
      <c r="AB2476" t="str">
        <f>IFERROR(__xludf.DUMMYFUNCTION("""COMPUTED_VALUE"""),"Excellent")</f>
        <v>Excellent</v>
      </c>
      <c r="AC2476">
        <f>IFERROR(__xludf.DUMMYFUNCTION("""COMPUTED_VALUE"""),2.0)</f>
        <v>2</v>
      </c>
      <c r="AH2476" s="189">
        <f>IFERROR(__xludf.DUMMYFUNCTION("""COMPUTED_VALUE"""),44058.51842596065)</f>
        <v>44058.51843</v>
      </c>
    </row>
    <row r="2477">
      <c r="A2477" t="str">
        <f>IFERROR(__xludf.DUMMYFUNCTION("""COMPUTED_VALUE"""),"AmitabhBachchan")</f>
        <v>AmitabhBachchan</v>
      </c>
      <c r="B2477" t="str">
        <f>IFERROR(__xludf.DUMMYFUNCTION("""COMPUTED_VALUE"""),"San Jose")</f>
        <v>San Jose</v>
      </c>
      <c r="C2477" t="str">
        <f>IFERROR(__xludf.DUMMYFUNCTION("""COMPUTED_VALUE"""),"CA")</f>
        <v>CA</v>
      </c>
      <c r="D2477" t="str">
        <f>IFERROR(__xludf.DUMMYFUNCTION("""COMPUTED_VALUE"""),"USA")</f>
        <v>USA</v>
      </c>
      <c r="E2477" s="188">
        <f>IFERROR(__xludf.DUMMYFUNCTION("""COMPUTED_VALUE"""),43991.0)</f>
        <v>43991</v>
      </c>
      <c r="F2477" s="188">
        <f>IFERROR(__xludf.DUMMYFUNCTION("""COMPUTED_VALUE"""),43996.0)</f>
        <v>43996</v>
      </c>
      <c r="H2477" s="4">
        <f>IFERROR(__xludf.DUMMYFUNCTION("""COMPUTED_VALUE"""),740599.0)</f>
        <v>740599</v>
      </c>
      <c r="J2477" s="5">
        <f>IFERROR(__xludf.DUMMYFUNCTION("""COMPUTED_VALUE"""),44001.0)</f>
        <v>44001</v>
      </c>
      <c r="K2477">
        <f>IFERROR(__xludf.DUMMYFUNCTION("""COMPUTED_VALUE"""),5.0)</f>
        <v>5</v>
      </c>
      <c r="L2477">
        <f>IFERROR(__xludf.DUMMYFUNCTION("""COMPUTED_VALUE"""),5.0)</f>
        <v>5</v>
      </c>
      <c r="M2477">
        <f>IFERROR(__xludf.DUMMYFUNCTION("""COMPUTED_VALUE"""),10.0)</f>
        <v>10</v>
      </c>
      <c r="N2477" t="str">
        <f>IFERROR(__xludf.DUMMYFUNCTION("""COMPUTED_VALUE"""),"Model 3 SR+")</f>
        <v>Model 3 SR+</v>
      </c>
      <c r="O2477" t="str">
        <f>IFERROR(__xludf.DUMMYFUNCTION("""COMPUTED_VALUE"""),"Solid Black")</f>
        <v>Solid Black</v>
      </c>
      <c r="P2477" t="str">
        <f>IFERROR(__xludf.DUMMYFUNCTION("""COMPUTED_VALUE"""),"19 inch Sport")</f>
        <v>19 inch Sport</v>
      </c>
      <c r="Q2477" t="str">
        <f>IFERROR(__xludf.DUMMYFUNCTION("""COMPUTED_VALUE"""),"Black seats")</f>
        <v>Black seats</v>
      </c>
      <c r="R2477" t="str">
        <f>IFERROR(__xludf.DUMMYFUNCTION("""COMPUTED_VALUE"""),"Autopilot")</f>
        <v>Autopilot</v>
      </c>
      <c r="X2477" t="str">
        <f>IFERROR(__xludf.DUMMYFUNCTION("""COMPUTED_VALUE"""),"Excellent")</f>
        <v>Excellent</v>
      </c>
      <c r="Y2477" t="str">
        <f>IFERROR(__xludf.DUMMYFUNCTION("""COMPUTED_VALUE"""),"Very Good")</f>
        <v>Very Good</v>
      </c>
      <c r="Z2477" t="str">
        <f>IFERROR(__xludf.DUMMYFUNCTION("""COMPUTED_VALUE"""),"Very Good")</f>
        <v>Very Good</v>
      </c>
      <c r="AA2477" t="str">
        <f>IFERROR(__xludf.DUMMYFUNCTION("""COMPUTED_VALUE"""),"Poor")</f>
        <v>Poor</v>
      </c>
      <c r="AB2477" t="str">
        <f>IFERROR(__xludf.DUMMYFUNCTION("""COMPUTED_VALUE"""),"Excellent")</f>
        <v>Excellent</v>
      </c>
      <c r="AC2477">
        <f>IFERROR(__xludf.DUMMYFUNCTION("""COMPUTED_VALUE"""),0.0)</f>
        <v>0</v>
      </c>
      <c r="AD2477">
        <f>IFERROR(__xludf.DUMMYFUNCTION("""COMPUTED_VALUE"""),0.0)</f>
        <v>0</v>
      </c>
      <c r="AE2477">
        <f>IFERROR(__xludf.DUMMYFUNCTION("""COMPUTED_VALUE"""),0.0)</f>
        <v>0</v>
      </c>
      <c r="AG2477" t="str">
        <f>IFERROR(__xludf.DUMMYFUNCTION("""COMPUTED_VALUE"""),"Got a call from Tesla on 6/14/2020 asking to schedule delivery even before VIN was shown. Telsa notified me the VIN has been issued. Scheduled delivery for 6/17/2020. When the delivery date was confirmed, the online account showed the VIN ")</f>
        <v>Got a call from Tesla on 6/14/2020 asking to schedule delivery even before VIN was shown. Telsa notified me the VIN has been issued. Scheduled delivery for 6/17/2020. When the delivery date was confirmed, the online account showed the VIN </v>
      </c>
      <c r="AH2477" s="189">
        <f>IFERROR(__xludf.DUMMYFUNCTION("""COMPUTED_VALUE"""),44058.53999666667)</f>
        <v>44058.54</v>
      </c>
    </row>
    <row r="2478">
      <c r="A2478" t="str">
        <f>IFERROR(__xludf.DUMMYFUNCTION("""COMPUTED_VALUE"""),"ZBS")</f>
        <v>ZBS</v>
      </c>
      <c r="B2478" t="str">
        <f>IFERROR(__xludf.DUMMYFUNCTION("""COMPUTED_VALUE"""),"Washington DC")</f>
        <v>Washington DC</v>
      </c>
      <c r="C2478" t="str">
        <f>IFERROR(__xludf.DUMMYFUNCTION("""COMPUTED_VALUE"""),"DC")</f>
        <v>DC</v>
      </c>
      <c r="D2478" t="str">
        <f>IFERROR(__xludf.DUMMYFUNCTION("""COMPUTED_VALUE"""),"USA")</f>
        <v>USA</v>
      </c>
      <c r="E2478" s="188">
        <f>IFERROR(__xludf.DUMMYFUNCTION("""COMPUTED_VALUE"""),44056.0)</f>
        <v>44056</v>
      </c>
      <c r="F2478" s="188">
        <f>IFERROR(__xludf.DUMMYFUNCTION("""COMPUTED_VALUE"""),44058.0)</f>
        <v>44058</v>
      </c>
      <c r="H2478">
        <f>IFERROR(__xludf.DUMMYFUNCTION("""COMPUTED_VALUE"""),769785.0)</f>
        <v>769785</v>
      </c>
      <c r="J2478" s="5">
        <f>IFERROR(__xludf.DUMMYFUNCTION("""COMPUTED_VALUE"""),44058.0)</f>
        <v>44058</v>
      </c>
      <c r="K2478">
        <f>IFERROR(__xludf.DUMMYFUNCTION("""COMPUTED_VALUE"""),2.0)</f>
        <v>2</v>
      </c>
      <c r="L2478">
        <f>IFERROR(__xludf.DUMMYFUNCTION("""COMPUTED_VALUE"""),0.0)</f>
        <v>0</v>
      </c>
      <c r="M2478">
        <f>IFERROR(__xludf.DUMMYFUNCTION("""COMPUTED_VALUE"""),2.0)</f>
        <v>2</v>
      </c>
      <c r="N2478" t="str">
        <f>IFERROR(__xludf.DUMMYFUNCTION("""COMPUTED_VALUE"""),"Model 3 Performance")</f>
        <v>Model 3 Performance</v>
      </c>
      <c r="O2478" t="str">
        <f>IFERROR(__xludf.DUMMYFUNCTION("""COMPUTED_VALUE"""),"Solid Black")</f>
        <v>Solid Black</v>
      </c>
      <c r="P2478" t="str">
        <f>IFERROR(__xludf.DUMMYFUNCTION("""COMPUTED_VALUE"""),"20 inch Sport")</f>
        <v>20 inch Sport</v>
      </c>
      <c r="Q2478" t="str">
        <f>IFERROR(__xludf.DUMMYFUNCTION("""COMPUTED_VALUE"""),"Black seats")</f>
        <v>Black seats</v>
      </c>
      <c r="R2478" t="str">
        <f>IFERROR(__xludf.DUMMYFUNCTION("""COMPUTED_VALUE"""),"Autopilot")</f>
        <v>Autopilot</v>
      </c>
      <c r="X2478" t="str">
        <f>IFERROR(__xludf.DUMMYFUNCTION("""COMPUTED_VALUE"""),"Good")</f>
        <v>Good</v>
      </c>
      <c r="Y2478" t="str">
        <f>IFERROR(__xludf.DUMMYFUNCTION("""COMPUTED_VALUE"""),"Very Good")</f>
        <v>Very Good</v>
      </c>
      <c r="Z2478" t="str">
        <f>IFERROR(__xludf.DUMMYFUNCTION("""COMPUTED_VALUE"""),"Very Good")</f>
        <v>Very Good</v>
      </c>
      <c r="AA2478" t="str">
        <f>IFERROR(__xludf.DUMMYFUNCTION("""COMPUTED_VALUE"""),"Very Good")</f>
        <v>Very Good</v>
      </c>
      <c r="AB2478" t="str">
        <f>IFERROR(__xludf.DUMMYFUNCTION("""COMPUTED_VALUE"""),"Good")</f>
        <v>Good</v>
      </c>
      <c r="AH2478" s="189">
        <f>IFERROR(__xludf.DUMMYFUNCTION("""COMPUTED_VALUE"""),44058.571347986115)</f>
        <v>44058.57135</v>
      </c>
    </row>
    <row r="2479">
      <c r="A2479" t="str">
        <f>IFERROR(__xludf.DUMMYFUNCTION("""COMPUTED_VALUE"""),"mr_puddles")</f>
        <v>mr_puddles</v>
      </c>
      <c r="B2479" t="str">
        <f>IFERROR(__xludf.DUMMYFUNCTION("""COMPUTED_VALUE"""),"Stowe")</f>
        <v>Stowe</v>
      </c>
      <c r="C2479" t="str">
        <f>IFERROR(__xludf.DUMMYFUNCTION("""COMPUTED_VALUE"""),"VT")</f>
        <v>VT</v>
      </c>
      <c r="D2479" t="str">
        <f>IFERROR(__xludf.DUMMYFUNCTION("""COMPUTED_VALUE"""),"USA")</f>
        <v>USA</v>
      </c>
      <c r="E2479" s="188">
        <f>IFERROR(__xludf.DUMMYFUNCTION("""COMPUTED_VALUE"""),44025.0)</f>
        <v>44025</v>
      </c>
      <c r="F2479" s="188">
        <f>IFERROR(__xludf.DUMMYFUNCTION("""COMPUTED_VALUE"""),44029.0)</f>
        <v>44029</v>
      </c>
      <c r="H2479">
        <f>IFERROR(__xludf.DUMMYFUNCTION("""COMPUTED_VALUE"""),747029.0)</f>
        <v>747029</v>
      </c>
      <c r="I2479" t="str">
        <f>IFERROR(__xludf.DUMMYFUNCTION("""COMPUTED_VALUE"""),"06/20")</f>
        <v>06/20</v>
      </c>
      <c r="J2479" s="5">
        <f>IFERROR(__xludf.DUMMYFUNCTION("""COMPUTED_VALUE"""),44042.0)</f>
        <v>44042</v>
      </c>
      <c r="K2479">
        <f>IFERROR(__xludf.DUMMYFUNCTION("""COMPUTED_VALUE"""),4.0)</f>
        <v>4</v>
      </c>
      <c r="L2479">
        <f>IFERROR(__xludf.DUMMYFUNCTION("""COMPUTED_VALUE"""),13.0)</f>
        <v>13</v>
      </c>
      <c r="M2479">
        <f>IFERROR(__xludf.DUMMYFUNCTION("""COMPUTED_VALUE"""),17.0)</f>
        <v>17</v>
      </c>
      <c r="N2479" t="str">
        <f>IFERROR(__xludf.DUMMYFUNCTION("""COMPUTED_VALUE"""),"Model 3 SR+")</f>
        <v>Model 3 SR+</v>
      </c>
      <c r="O2479" t="str">
        <f>IFERROR(__xludf.DUMMYFUNCTION("""COMPUTED_VALUE"""),"Pearl White Multi-Coat")</f>
        <v>Pearl White Multi-Coat</v>
      </c>
      <c r="P2479" t="str">
        <f>IFERROR(__xludf.DUMMYFUNCTION("""COMPUTED_VALUE"""),"18 inch Aero")</f>
        <v>18 inch Aero</v>
      </c>
      <c r="Q2479" t="str">
        <f>IFERROR(__xludf.DUMMYFUNCTION("""COMPUTED_VALUE"""),"Black seats")</f>
        <v>Black seats</v>
      </c>
      <c r="R2479" t="str">
        <f>IFERROR(__xludf.DUMMYFUNCTION("""COMPUTED_VALUE"""),"Autopilot")</f>
        <v>Autopilot</v>
      </c>
      <c r="X2479" t="str">
        <f>IFERROR(__xludf.DUMMYFUNCTION("""COMPUTED_VALUE"""),"Excellent")</f>
        <v>Excellent</v>
      </c>
      <c r="Y2479" t="str">
        <f>IFERROR(__xludf.DUMMYFUNCTION("""COMPUTED_VALUE"""),"Excellent")</f>
        <v>Excellent</v>
      </c>
      <c r="Z2479" t="str">
        <f>IFERROR(__xludf.DUMMYFUNCTION("""COMPUTED_VALUE"""),"Very Good")</f>
        <v>Very Good</v>
      </c>
      <c r="AA2479" t="str">
        <f>IFERROR(__xludf.DUMMYFUNCTION("""COMPUTED_VALUE"""),"Good")</f>
        <v>Good</v>
      </c>
      <c r="AB2479" t="str">
        <f>IFERROR(__xludf.DUMMYFUNCTION("""COMPUTED_VALUE"""),"Very Good")</f>
        <v>Very Good</v>
      </c>
      <c r="AC2479">
        <f>IFERROR(__xludf.DUMMYFUNCTION("""COMPUTED_VALUE"""),0.0)</f>
        <v>0</v>
      </c>
      <c r="AD2479">
        <f>IFERROR(__xludf.DUMMYFUNCTION("""COMPUTED_VALUE"""),0.0)</f>
        <v>0</v>
      </c>
      <c r="AE2479">
        <f>IFERROR(__xludf.DUMMYFUNCTION("""COMPUTED_VALUE"""),0.0)</f>
        <v>0</v>
      </c>
      <c r="AH2479" s="189">
        <f>IFERROR(__xludf.DUMMYFUNCTION("""COMPUTED_VALUE"""),44059.18522431713)</f>
        <v>44059.18522</v>
      </c>
    </row>
    <row r="2480">
      <c r="A2480" t="str">
        <f>IFERROR(__xludf.DUMMYFUNCTION("""COMPUTED_VALUE"""),"wattsbrw")</f>
        <v>wattsbrw</v>
      </c>
      <c r="B2480" t="str">
        <f>IFERROR(__xludf.DUMMYFUNCTION("""COMPUTED_VALUE"""),"Raleigh")</f>
        <v>Raleigh</v>
      </c>
      <c r="C2480" t="str">
        <f>IFERROR(__xludf.DUMMYFUNCTION("""COMPUTED_VALUE"""),"NC")</f>
        <v>NC</v>
      </c>
      <c r="D2480" t="str">
        <f>IFERROR(__xludf.DUMMYFUNCTION("""COMPUTED_VALUE"""),"USA")</f>
        <v>USA</v>
      </c>
      <c r="E2480" s="188">
        <f>IFERROR(__xludf.DUMMYFUNCTION("""COMPUTED_VALUE"""),44033.0)</f>
        <v>44033</v>
      </c>
      <c r="F2480" s="188">
        <f>IFERROR(__xludf.DUMMYFUNCTION("""COMPUTED_VALUE"""),44055.0)</f>
        <v>44055</v>
      </c>
      <c r="H2480">
        <f>IFERROR(__xludf.DUMMYFUNCTION("""COMPUTED_VALUE"""),744355.0)</f>
        <v>744355</v>
      </c>
      <c r="I2480" t="str">
        <f>IFERROR(__xludf.DUMMYFUNCTION("""COMPUTED_VALUE"""),"08/20")</f>
        <v>08/20</v>
      </c>
      <c r="J2480" s="5">
        <f>IFERROR(__xludf.DUMMYFUNCTION("""COMPUTED_VALUE"""),44059.0)</f>
        <v>44059</v>
      </c>
      <c r="K2480">
        <f>IFERROR(__xludf.DUMMYFUNCTION("""COMPUTED_VALUE"""),22.0)</f>
        <v>22</v>
      </c>
      <c r="L2480">
        <f>IFERROR(__xludf.DUMMYFUNCTION("""COMPUTED_VALUE"""),4.0)</f>
        <v>4</v>
      </c>
      <c r="M2480">
        <f>IFERROR(__xludf.DUMMYFUNCTION("""COMPUTED_VALUE"""),26.0)</f>
        <v>26</v>
      </c>
      <c r="N2480" t="str">
        <f>IFERROR(__xludf.DUMMYFUNCTION("""COMPUTED_VALUE"""),"Model 3 LR AWD")</f>
        <v>Model 3 LR AWD</v>
      </c>
      <c r="O2480" t="str">
        <f>IFERROR(__xludf.DUMMYFUNCTION("""COMPUTED_VALUE"""),"Deep Blue Metallic")</f>
        <v>Deep Blue Metallic</v>
      </c>
      <c r="P2480" t="str">
        <f>IFERROR(__xludf.DUMMYFUNCTION("""COMPUTED_VALUE"""),"18 inch Aero")</f>
        <v>18 inch Aero</v>
      </c>
      <c r="Q2480" t="str">
        <f>IFERROR(__xludf.DUMMYFUNCTION("""COMPUTED_VALUE"""),"Black seats")</f>
        <v>Black seats</v>
      </c>
      <c r="R2480" t="str">
        <f>IFERROR(__xludf.DUMMYFUNCTION("""COMPUTED_VALUE"""),"Autopilot")</f>
        <v>Autopilot</v>
      </c>
      <c r="X2480" t="str">
        <f>IFERROR(__xludf.DUMMYFUNCTION("""COMPUTED_VALUE"""),"Excellent")</f>
        <v>Excellent</v>
      </c>
      <c r="Y2480" t="str">
        <f>IFERROR(__xludf.DUMMYFUNCTION("""COMPUTED_VALUE"""),"Excellent")</f>
        <v>Excellent</v>
      </c>
      <c r="Z2480" t="str">
        <f>IFERROR(__xludf.DUMMYFUNCTION("""COMPUTED_VALUE"""),"Excellent")</f>
        <v>Excellent</v>
      </c>
      <c r="AA2480" t="str">
        <f>IFERROR(__xludf.DUMMYFUNCTION("""COMPUTED_VALUE"""),"Excellent")</f>
        <v>Excellent</v>
      </c>
      <c r="AB2480" t="str">
        <f>IFERROR(__xludf.DUMMYFUNCTION("""COMPUTED_VALUE"""),"Excellent")</f>
        <v>Excellent</v>
      </c>
      <c r="AH2480" s="189">
        <f>IFERROR(__xludf.DUMMYFUNCTION("""COMPUTED_VALUE"""),44059.85521197917)</f>
        <v>44059.85521</v>
      </c>
    </row>
    <row r="2481">
      <c r="A2481" t="str">
        <f>IFERROR(__xludf.DUMMYFUNCTION("""COMPUTED_VALUE"""),"Carl T")</f>
        <v>Carl T</v>
      </c>
      <c r="B2481" t="str">
        <f>IFERROR(__xludf.DUMMYFUNCTION("""COMPUTED_VALUE"""),"Richmond")</f>
        <v>Richmond</v>
      </c>
      <c r="C2481" t="str">
        <f>IFERROR(__xludf.DUMMYFUNCTION("""COMPUTED_VALUE"""),"VA")</f>
        <v>VA</v>
      </c>
      <c r="D2481" t="str">
        <f>IFERROR(__xludf.DUMMYFUNCTION("""COMPUTED_VALUE"""),"USA")</f>
        <v>USA</v>
      </c>
      <c r="E2481" s="188">
        <f>IFERROR(__xludf.DUMMYFUNCTION("""COMPUTED_VALUE"""),44011.0)</f>
        <v>44011</v>
      </c>
      <c r="F2481" s="188">
        <f>IFERROR(__xludf.DUMMYFUNCTION("""COMPUTED_VALUE"""),44048.0)</f>
        <v>44048</v>
      </c>
      <c r="H2481">
        <f>IFERROR(__xludf.DUMMYFUNCTION("""COMPUTED_VALUE"""),741138.0)</f>
        <v>741138</v>
      </c>
      <c r="I2481" t="str">
        <f>IFERROR(__xludf.DUMMYFUNCTION("""COMPUTED_VALUE"""),"08/20")</f>
        <v>08/20</v>
      </c>
      <c r="J2481" s="5">
        <f>IFERROR(__xludf.DUMMYFUNCTION("""COMPUTED_VALUE"""),44065.0)</f>
        <v>44065</v>
      </c>
      <c r="K2481">
        <f>IFERROR(__xludf.DUMMYFUNCTION("""COMPUTED_VALUE"""),37.0)</f>
        <v>37</v>
      </c>
      <c r="L2481">
        <f>IFERROR(__xludf.DUMMYFUNCTION("""COMPUTED_VALUE"""),17.0)</f>
        <v>17</v>
      </c>
      <c r="M2481">
        <f>IFERROR(__xludf.DUMMYFUNCTION("""COMPUTED_VALUE"""),54.0)</f>
        <v>54</v>
      </c>
      <c r="N2481" t="str">
        <f>IFERROR(__xludf.DUMMYFUNCTION("""COMPUTED_VALUE"""),"Model 3 SR+")</f>
        <v>Model 3 SR+</v>
      </c>
      <c r="O2481" t="str">
        <f>IFERROR(__xludf.DUMMYFUNCTION("""COMPUTED_VALUE"""),"Pearl White Multi-Coat")</f>
        <v>Pearl White Multi-Coat</v>
      </c>
      <c r="P2481" t="str">
        <f>IFERROR(__xludf.DUMMYFUNCTION("""COMPUTED_VALUE"""),"18 inch")</f>
        <v>18 inch</v>
      </c>
      <c r="Q2481" t="str">
        <f>IFERROR(__xludf.DUMMYFUNCTION("""COMPUTED_VALUE"""),"Black and White")</f>
        <v>Black and White</v>
      </c>
      <c r="R2481" t="str">
        <f>IFERROR(__xludf.DUMMYFUNCTION("""COMPUTED_VALUE"""),"Autopilot included")</f>
        <v>Autopilot included</v>
      </c>
      <c r="S2481" t="str">
        <f>IFERROR(__xludf.DUMMYFUNCTION("""COMPUTED_VALUE"""),"Loan")</f>
        <v>Loan</v>
      </c>
      <c r="T2481" t="str">
        <f>IFERROR(__xludf.DUMMYFUNCTION("""COMPUTED_VALUE"""),"BMW 5 Series")</f>
        <v>BMW 5 Series</v>
      </c>
      <c r="U2481" t="str">
        <f>IFERROR(__xludf.DUMMYFUNCTION("""COMPUTED_VALUE"""),"Autopilot")</f>
        <v>Autopilot</v>
      </c>
      <c r="V2481" t="str">
        <f>IFERROR(__xludf.DUMMYFUNCTION("""COMPUTED_VALUE"""),"360° Bird's eye view")</f>
        <v>360° Bird's eye view</v>
      </c>
      <c r="W2481" t="str">
        <f>IFERROR(__xludf.DUMMYFUNCTION("""COMPUTED_VALUE"""),"Thoroughly inspect at delivery")</f>
        <v>Thoroughly inspect at delivery</v>
      </c>
      <c r="X2481" t="str">
        <f>IFERROR(__xludf.DUMMYFUNCTION("""COMPUTED_VALUE"""),"Good")</f>
        <v>Good</v>
      </c>
      <c r="Y2481" t="str">
        <f>IFERROR(__xludf.DUMMYFUNCTION("""COMPUTED_VALUE"""),"Very Good")</f>
        <v>Very Good</v>
      </c>
      <c r="Z2481" t="str">
        <f>IFERROR(__xludf.DUMMYFUNCTION("""COMPUTED_VALUE"""),"Very Good")</f>
        <v>Very Good</v>
      </c>
      <c r="AA2481" t="str">
        <f>IFERROR(__xludf.DUMMYFUNCTION("""COMPUTED_VALUE"""),"Excellent")</f>
        <v>Excellent</v>
      </c>
      <c r="AB2481" t="str">
        <f>IFERROR(__xludf.DUMMYFUNCTION("""COMPUTED_VALUE"""),"Excellent")</f>
        <v>Excellent</v>
      </c>
      <c r="AC2481">
        <f>IFERROR(__xludf.DUMMYFUNCTION("""COMPUTED_VALUE"""),3.0)</f>
        <v>3</v>
      </c>
      <c r="AD2481">
        <f>IFERROR(__xludf.DUMMYFUNCTION("""COMPUTED_VALUE"""),1.0)</f>
        <v>1</v>
      </c>
      <c r="AE2481">
        <f>IFERROR(__xludf.DUMMYFUNCTION("""COMPUTED_VALUE"""),0.0)</f>
        <v>0</v>
      </c>
      <c r="AF2481" t="str">
        <f>IFERROR(__xludf.DUMMYFUNCTION("""COMPUTED_VALUE"""),"No. I took delivery of the first car Tesla was able to deliver.")</f>
        <v>No. I took delivery of the first car Tesla was able to deliver.</v>
      </c>
      <c r="AG2481" t="str">
        <f>IFERROR(__xludf.DUMMYFUNCTION("""COMPUTED_VALUE"""),"Called today 17 Aug 2020 said transport delay and now scheduled for arrival of 21 Aug 2020. Will pickup 22 Aug 2020 :(")</f>
        <v>Called today 17 Aug 2020 said transport delay and now scheduled for arrival of 21 Aug 2020. Will pickup 22 Aug 2020 :(</v>
      </c>
      <c r="AH2481" s="189">
        <f>IFERROR(__xludf.DUMMYFUNCTION("""COMPUTED_VALUE"""),44205.51732733796)</f>
        <v>44205.51733</v>
      </c>
    </row>
    <row r="2482">
      <c r="A2482" t="str">
        <f>IFERROR(__xludf.DUMMYFUNCTION("""COMPUTED_VALUE"""),"Sassanach")</f>
        <v>Sassanach</v>
      </c>
      <c r="B2482" t="str">
        <f>IFERROR(__xludf.DUMMYFUNCTION("""COMPUTED_VALUE"""),"Milwaukee")</f>
        <v>Milwaukee</v>
      </c>
      <c r="C2482" t="str">
        <f>IFERROR(__xludf.DUMMYFUNCTION("""COMPUTED_VALUE"""),"WI")</f>
        <v>WI</v>
      </c>
      <c r="D2482" t="str">
        <f>IFERROR(__xludf.DUMMYFUNCTION("""COMPUTED_VALUE"""),"USA")</f>
        <v>USA</v>
      </c>
      <c r="E2482" s="188">
        <f>IFERROR(__xludf.DUMMYFUNCTION("""COMPUTED_VALUE"""),44023.0)</f>
        <v>44023</v>
      </c>
      <c r="F2482" s="188">
        <f>IFERROR(__xludf.DUMMYFUNCTION("""COMPUTED_VALUE"""),44048.0)</f>
        <v>44048</v>
      </c>
      <c r="H2482">
        <f>IFERROR(__xludf.DUMMYFUNCTION("""COMPUTED_VALUE"""),770255.0)</f>
        <v>770255</v>
      </c>
      <c r="J2482" s="5">
        <f>IFERROR(__xludf.DUMMYFUNCTION("""COMPUTED_VALUE"""),44058.0)</f>
        <v>44058</v>
      </c>
      <c r="K2482">
        <f>IFERROR(__xludf.DUMMYFUNCTION("""COMPUTED_VALUE"""),25.0)</f>
        <v>25</v>
      </c>
      <c r="L2482">
        <f>IFERROR(__xludf.DUMMYFUNCTION("""COMPUTED_VALUE"""),10.0)</f>
        <v>10</v>
      </c>
      <c r="M2482">
        <f>IFERROR(__xludf.DUMMYFUNCTION("""COMPUTED_VALUE"""),35.0)</f>
        <v>35</v>
      </c>
      <c r="N2482" t="str">
        <f>IFERROR(__xludf.DUMMYFUNCTION("""COMPUTED_VALUE"""),"Model 3 LR AWD")</f>
        <v>Model 3 LR AWD</v>
      </c>
      <c r="O2482" t="str">
        <f>IFERROR(__xludf.DUMMYFUNCTION("""COMPUTED_VALUE"""),"Midnight Silver Metallic")</f>
        <v>Midnight Silver Metallic</v>
      </c>
      <c r="P2482" t="str">
        <f>IFERROR(__xludf.DUMMYFUNCTION("""COMPUTED_VALUE"""),"18 inch Aero")</f>
        <v>18 inch Aero</v>
      </c>
      <c r="Q2482" t="str">
        <f>IFERROR(__xludf.DUMMYFUNCTION("""COMPUTED_VALUE"""),"Black seats")</f>
        <v>Black seats</v>
      </c>
      <c r="R2482" t="str">
        <f>IFERROR(__xludf.DUMMYFUNCTION("""COMPUTED_VALUE"""),"Autopilot")</f>
        <v>Autopilot</v>
      </c>
      <c r="X2482" t="str">
        <f>IFERROR(__xludf.DUMMYFUNCTION("""COMPUTED_VALUE"""),"Very Good")</f>
        <v>Very Good</v>
      </c>
      <c r="Y2482" t="str">
        <f>IFERROR(__xludf.DUMMYFUNCTION("""COMPUTED_VALUE"""),"Excellent")</f>
        <v>Excellent</v>
      </c>
      <c r="Z2482" t="str">
        <f>IFERROR(__xludf.DUMMYFUNCTION("""COMPUTED_VALUE"""),"Excellent")</f>
        <v>Excellent</v>
      </c>
      <c r="AA2482" t="str">
        <f>IFERROR(__xludf.DUMMYFUNCTION("""COMPUTED_VALUE"""),"Very Good")</f>
        <v>Very Good</v>
      </c>
      <c r="AB2482" t="str">
        <f>IFERROR(__xludf.DUMMYFUNCTION("""COMPUTED_VALUE"""),"Very Good")</f>
        <v>Very Good</v>
      </c>
      <c r="AC2482">
        <f>IFERROR(__xludf.DUMMYFUNCTION("""COMPUTED_VALUE"""),1.0)</f>
        <v>1</v>
      </c>
      <c r="AD2482">
        <f>IFERROR(__xludf.DUMMYFUNCTION("""COMPUTED_VALUE"""),0.0)</f>
        <v>0</v>
      </c>
      <c r="AE2482">
        <f>IFERROR(__xludf.DUMMYFUNCTION("""COMPUTED_VALUE"""),0.0)</f>
        <v>0</v>
      </c>
      <c r="AH2482" s="189">
        <f>IFERROR(__xludf.DUMMYFUNCTION("""COMPUTED_VALUE"""),44060.64328131944)</f>
        <v>44060.64328</v>
      </c>
    </row>
    <row r="2483">
      <c r="A2483" t="str">
        <f>IFERROR(__xludf.DUMMYFUNCTION("""COMPUTED_VALUE"""),"Terrykwms")</f>
        <v>Terrykwms</v>
      </c>
      <c r="C2483" t="str">
        <f>IFERROR(__xludf.DUMMYFUNCTION("""COMPUTED_VALUE"""),"TX")</f>
        <v>TX</v>
      </c>
      <c r="D2483" t="str">
        <f>IFERROR(__xludf.DUMMYFUNCTION("""COMPUTED_VALUE"""),"USA")</f>
        <v>USA</v>
      </c>
      <c r="E2483" s="188">
        <f>IFERROR(__xludf.DUMMYFUNCTION("""COMPUTED_VALUE"""),44027.0)</f>
        <v>44027</v>
      </c>
      <c r="F2483" s="188">
        <f>IFERROR(__xludf.DUMMYFUNCTION("""COMPUTED_VALUE"""),44053.0)</f>
        <v>44053</v>
      </c>
      <c r="H2483">
        <f>IFERROR(__xludf.DUMMYFUNCTION("""COMPUTED_VALUE"""),742052.0)</f>
        <v>742052</v>
      </c>
      <c r="I2483" t="str">
        <f>IFERROR(__xludf.DUMMYFUNCTION("""COMPUTED_VALUE"""),"06/20")</f>
        <v>06/20</v>
      </c>
      <c r="J2483" s="5">
        <f>IFERROR(__xludf.DUMMYFUNCTION("""COMPUTED_VALUE"""),44064.0)</f>
        <v>44064</v>
      </c>
      <c r="K2483">
        <f>IFERROR(__xludf.DUMMYFUNCTION("""COMPUTED_VALUE"""),26.0)</f>
        <v>26</v>
      </c>
      <c r="L2483">
        <f>IFERROR(__xludf.DUMMYFUNCTION("""COMPUTED_VALUE"""),11.0)</f>
        <v>11</v>
      </c>
      <c r="M2483">
        <f>IFERROR(__xludf.DUMMYFUNCTION("""COMPUTED_VALUE"""),37.0)</f>
        <v>37</v>
      </c>
      <c r="N2483" t="str">
        <f>IFERROR(__xludf.DUMMYFUNCTION("""COMPUTED_VALUE"""),"Model 3 Performance")</f>
        <v>Model 3 Performance</v>
      </c>
      <c r="O2483" t="str">
        <f>IFERROR(__xludf.DUMMYFUNCTION("""COMPUTED_VALUE"""),"Midnight Silver Metallic")</f>
        <v>Midnight Silver Metallic</v>
      </c>
      <c r="P2483" t="str">
        <f>IFERROR(__xludf.DUMMYFUNCTION("""COMPUTED_VALUE"""),"18 inch Aero")</f>
        <v>18 inch Aero</v>
      </c>
      <c r="Q2483" t="str">
        <f>IFERROR(__xludf.DUMMYFUNCTION("""COMPUTED_VALUE"""),"Black seats")</f>
        <v>Black seats</v>
      </c>
      <c r="R2483" t="str">
        <f>IFERROR(__xludf.DUMMYFUNCTION("""COMPUTED_VALUE"""),"Autopilot")</f>
        <v>Autopilot</v>
      </c>
      <c r="X2483" t="str">
        <f>IFERROR(__xludf.DUMMYFUNCTION("""COMPUTED_VALUE"""),"Excellent")</f>
        <v>Excellent</v>
      </c>
      <c r="Y2483" t="str">
        <f>IFERROR(__xludf.DUMMYFUNCTION("""COMPUTED_VALUE"""),"Excellent")</f>
        <v>Excellent</v>
      </c>
      <c r="Z2483" t="str">
        <f>IFERROR(__xludf.DUMMYFUNCTION("""COMPUTED_VALUE"""),"Excellent")</f>
        <v>Excellent</v>
      </c>
      <c r="AA2483" t="str">
        <f>IFERROR(__xludf.DUMMYFUNCTION("""COMPUTED_VALUE"""),"Excellent")</f>
        <v>Excellent</v>
      </c>
      <c r="AB2483" t="str">
        <f>IFERROR(__xludf.DUMMYFUNCTION("""COMPUTED_VALUE"""),"Excellent")</f>
        <v>Excellent</v>
      </c>
      <c r="AG2483" t="str">
        <f>IFERROR(__xludf.DUMMYFUNCTION("""COMPUTED_VALUE"""),"Had a LR AWD order in. Tesla SA called today 8/6 and asked if I'd be interested in a sleeper model. Called the credit union and now have it on the way!")</f>
        <v>Had a LR AWD order in. Tesla SA called today 8/6 and asked if I'd be interested in a sleeper model. Called the credit union and now have it on the way!</v>
      </c>
      <c r="AH2483" s="189">
        <f>IFERROR(__xludf.DUMMYFUNCTION("""COMPUTED_VALUE"""),44062.748391030094)</f>
        <v>44062.74839</v>
      </c>
    </row>
    <row r="2484">
      <c r="A2484" t="str">
        <f>IFERROR(__xludf.DUMMYFUNCTION("""COMPUTED_VALUE"""),"capitalj78")</f>
        <v>capitalj78</v>
      </c>
      <c r="B2484" t="str">
        <f>IFERROR(__xludf.DUMMYFUNCTION("""COMPUTED_VALUE"""),"Tampa")</f>
        <v>Tampa</v>
      </c>
      <c r="C2484" t="str">
        <f>IFERROR(__xludf.DUMMYFUNCTION("""COMPUTED_VALUE"""),"FL")</f>
        <v>FL</v>
      </c>
      <c r="D2484" t="str">
        <f>IFERROR(__xludf.DUMMYFUNCTION("""COMPUTED_VALUE"""),"USA")</f>
        <v>USA</v>
      </c>
      <c r="E2484" s="188">
        <f>IFERROR(__xludf.DUMMYFUNCTION("""COMPUTED_VALUE"""),44013.0)</f>
        <v>44013</v>
      </c>
      <c r="F2484" s="188">
        <f>IFERROR(__xludf.DUMMYFUNCTION("""COMPUTED_VALUE"""),44056.0)</f>
        <v>44056</v>
      </c>
      <c r="H2484">
        <f>IFERROR(__xludf.DUMMYFUNCTION("""COMPUTED_VALUE"""),739555.0)</f>
        <v>739555</v>
      </c>
      <c r="I2484" t="str">
        <f>IFERROR(__xludf.DUMMYFUNCTION("""COMPUTED_VALUE"""),"08/20")</f>
        <v>08/20</v>
      </c>
      <c r="J2484" s="5">
        <f>IFERROR(__xludf.DUMMYFUNCTION("""COMPUTED_VALUE"""),44064.0)</f>
        <v>44064</v>
      </c>
      <c r="K2484">
        <f>IFERROR(__xludf.DUMMYFUNCTION("""COMPUTED_VALUE"""),43.0)</f>
        <v>43</v>
      </c>
      <c r="L2484">
        <f>IFERROR(__xludf.DUMMYFUNCTION("""COMPUTED_VALUE"""),8.0)</f>
        <v>8</v>
      </c>
      <c r="M2484">
        <f>IFERROR(__xludf.DUMMYFUNCTION("""COMPUTED_VALUE"""),51.0)</f>
        <v>51</v>
      </c>
      <c r="N2484" t="str">
        <f>IFERROR(__xludf.DUMMYFUNCTION("""COMPUTED_VALUE"""),"Model 3 SR+")</f>
        <v>Model 3 SR+</v>
      </c>
      <c r="O2484" t="str">
        <f>IFERROR(__xludf.DUMMYFUNCTION("""COMPUTED_VALUE"""),"Midnight Silver Metallic")</f>
        <v>Midnight Silver Metallic</v>
      </c>
      <c r="P2484" t="str">
        <f>IFERROR(__xludf.DUMMYFUNCTION("""COMPUTED_VALUE"""),"18 inch Aero")</f>
        <v>18 inch Aero</v>
      </c>
      <c r="Q2484" t="str">
        <f>IFERROR(__xludf.DUMMYFUNCTION("""COMPUTED_VALUE"""),"Black seats")</f>
        <v>Black seats</v>
      </c>
      <c r="R2484" t="str">
        <f>IFERROR(__xludf.DUMMYFUNCTION("""COMPUTED_VALUE"""),"Full Self-Driving")</f>
        <v>Full Self-Driving</v>
      </c>
      <c r="X2484" t="str">
        <f>IFERROR(__xludf.DUMMYFUNCTION("""COMPUTED_VALUE"""),"Excellent")</f>
        <v>Excellent</v>
      </c>
      <c r="Y2484" t="str">
        <f>IFERROR(__xludf.DUMMYFUNCTION("""COMPUTED_VALUE"""),"Excellent")</f>
        <v>Excellent</v>
      </c>
      <c r="Z2484" t="str">
        <f>IFERROR(__xludf.DUMMYFUNCTION("""COMPUTED_VALUE"""),"Excellent")</f>
        <v>Excellent</v>
      </c>
      <c r="AA2484" t="str">
        <f>IFERROR(__xludf.DUMMYFUNCTION("""COMPUTED_VALUE"""),"Very Good")</f>
        <v>Very Good</v>
      </c>
      <c r="AB2484" t="str">
        <f>IFERROR(__xludf.DUMMYFUNCTION("""COMPUTED_VALUE"""),"Excellent")</f>
        <v>Excellent</v>
      </c>
      <c r="AH2484" s="189">
        <f>IFERROR(__xludf.DUMMYFUNCTION("""COMPUTED_VALUE"""),44067.61944944445)</f>
        <v>44067.61945</v>
      </c>
    </row>
    <row r="2485">
      <c r="A2485" t="str">
        <f>IFERROR(__xludf.DUMMYFUNCTION("""COMPUTED_VALUE"""),"Hewks")</f>
        <v>Hewks</v>
      </c>
      <c r="B2485" t="str">
        <f>IFERROR(__xludf.DUMMYFUNCTION("""COMPUTED_VALUE"""),"Calgary")</f>
        <v>Calgary</v>
      </c>
      <c r="C2485" t="str">
        <f>IFERROR(__xludf.DUMMYFUNCTION("""COMPUTED_VALUE"""),"AB")</f>
        <v>AB</v>
      </c>
      <c r="D2485" t="str">
        <f>IFERROR(__xludf.DUMMYFUNCTION("""COMPUTED_VALUE"""),"Canada")</f>
        <v>Canada</v>
      </c>
      <c r="E2485" s="188">
        <f>IFERROR(__xludf.DUMMYFUNCTION("""COMPUTED_VALUE"""),44015.0)</f>
        <v>44015</v>
      </c>
      <c r="F2485" s="188">
        <f>IFERROR(__xludf.DUMMYFUNCTION("""COMPUTED_VALUE"""),44065.0)</f>
        <v>44065</v>
      </c>
      <c r="H2485">
        <f>IFERROR(__xludf.DUMMYFUNCTION("""COMPUTED_VALUE"""),784055.0)</f>
        <v>784055</v>
      </c>
      <c r="J2485" s="5">
        <f>IFERROR(__xludf.DUMMYFUNCTION("""COMPUTED_VALUE"""),44072.0)</f>
        <v>44072</v>
      </c>
      <c r="K2485">
        <f>IFERROR(__xludf.DUMMYFUNCTION("""COMPUTED_VALUE"""),50.0)</f>
        <v>50</v>
      </c>
      <c r="L2485">
        <f>IFERROR(__xludf.DUMMYFUNCTION("""COMPUTED_VALUE"""),7.0)</f>
        <v>7</v>
      </c>
      <c r="M2485">
        <f>IFERROR(__xludf.DUMMYFUNCTION("""COMPUTED_VALUE"""),57.0)</f>
        <v>57</v>
      </c>
      <c r="N2485" t="str">
        <f>IFERROR(__xludf.DUMMYFUNCTION("""COMPUTED_VALUE"""),"Model 3 SR+")</f>
        <v>Model 3 SR+</v>
      </c>
      <c r="O2485" t="str">
        <f>IFERROR(__xludf.DUMMYFUNCTION("""COMPUTED_VALUE"""),"Midnight Silver Metallic")</f>
        <v>Midnight Silver Metallic</v>
      </c>
      <c r="P2485" t="str">
        <f>IFERROR(__xludf.DUMMYFUNCTION("""COMPUTED_VALUE"""),"18 inch Aero")</f>
        <v>18 inch Aero</v>
      </c>
      <c r="Q2485" t="str">
        <f>IFERROR(__xludf.DUMMYFUNCTION("""COMPUTED_VALUE"""),"Black seats")</f>
        <v>Black seats</v>
      </c>
      <c r="R2485" t="str">
        <f>IFERROR(__xludf.DUMMYFUNCTION("""COMPUTED_VALUE"""),"Autopilot")</f>
        <v>Autopilot</v>
      </c>
      <c r="X2485" t="str">
        <f>IFERROR(__xludf.DUMMYFUNCTION("""COMPUTED_VALUE"""),"Excellent")</f>
        <v>Excellent</v>
      </c>
      <c r="Y2485" t="str">
        <f>IFERROR(__xludf.DUMMYFUNCTION("""COMPUTED_VALUE"""),"Very Good")</f>
        <v>Very Good</v>
      </c>
      <c r="Z2485" t="str">
        <f>IFERROR(__xludf.DUMMYFUNCTION("""COMPUTED_VALUE"""),"Excellent")</f>
        <v>Excellent</v>
      </c>
      <c r="AA2485" t="str">
        <f>IFERROR(__xludf.DUMMYFUNCTION("""COMPUTED_VALUE"""),"Excellent")</f>
        <v>Excellent</v>
      </c>
      <c r="AB2485" t="str">
        <f>IFERROR(__xludf.DUMMYFUNCTION("""COMPUTED_VALUE"""),"Excellent")</f>
        <v>Excellent</v>
      </c>
      <c r="AC2485">
        <f>IFERROR(__xludf.DUMMYFUNCTION("""COMPUTED_VALUE"""),1.0)</f>
        <v>1</v>
      </c>
      <c r="AH2485" s="189">
        <f>IFERROR(__xludf.DUMMYFUNCTION("""COMPUTED_VALUE"""),44072.81064012731)</f>
        <v>44072.81064</v>
      </c>
    </row>
    <row r="2486">
      <c r="A2486" t="str">
        <f>IFERROR(__xludf.DUMMYFUNCTION("""COMPUTED_VALUE"""),"Daryll")</f>
        <v>Daryll</v>
      </c>
      <c r="B2486" t="str">
        <f>IFERROR(__xludf.DUMMYFUNCTION("""COMPUTED_VALUE"""),"SF Bay Area")</f>
        <v>SF Bay Area</v>
      </c>
      <c r="C2486" t="str">
        <f>IFERROR(__xludf.DUMMYFUNCTION("""COMPUTED_VALUE"""),"CA")</f>
        <v>CA</v>
      </c>
      <c r="D2486" t="str">
        <f>IFERROR(__xludf.DUMMYFUNCTION("""COMPUTED_VALUE"""),"USA")</f>
        <v>USA</v>
      </c>
      <c r="E2486" s="188">
        <f>IFERROR(__xludf.DUMMYFUNCTION("""COMPUTED_VALUE"""),44023.0)</f>
        <v>44023</v>
      </c>
      <c r="F2486" s="188">
        <f>IFERROR(__xludf.DUMMYFUNCTION("""COMPUTED_VALUE"""),44046.0)</f>
        <v>44046</v>
      </c>
      <c r="H2486">
        <f>IFERROR(__xludf.DUMMYFUNCTION("""COMPUTED_VALUE"""),769755.0)</f>
        <v>769755</v>
      </c>
      <c r="I2486" t="str">
        <f>IFERROR(__xludf.DUMMYFUNCTION("""COMPUTED_VALUE"""),"08/20")</f>
        <v>08/20</v>
      </c>
      <c r="J2486" s="5">
        <f>IFERROR(__xludf.DUMMYFUNCTION("""COMPUTED_VALUE"""),44048.0)</f>
        <v>44048</v>
      </c>
      <c r="K2486">
        <f>IFERROR(__xludf.DUMMYFUNCTION("""COMPUTED_VALUE"""),23.0)</f>
        <v>23</v>
      </c>
      <c r="L2486">
        <f>IFERROR(__xludf.DUMMYFUNCTION("""COMPUTED_VALUE"""),2.0)</f>
        <v>2</v>
      </c>
      <c r="M2486">
        <f>IFERROR(__xludf.DUMMYFUNCTION("""COMPUTED_VALUE"""),25.0)</f>
        <v>25</v>
      </c>
      <c r="N2486" t="str">
        <f>IFERROR(__xludf.DUMMYFUNCTION("""COMPUTED_VALUE"""),"Model 3 LR AWD")</f>
        <v>Model 3 LR AWD</v>
      </c>
      <c r="O2486" t="str">
        <f>IFERROR(__xludf.DUMMYFUNCTION("""COMPUTED_VALUE"""),"Pearl White Multi-Coat")</f>
        <v>Pearl White Multi-Coat</v>
      </c>
      <c r="P2486" t="str">
        <f>IFERROR(__xludf.DUMMYFUNCTION("""COMPUTED_VALUE"""),"19 inch Sport")</f>
        <v>19 inch Sport</v>
      </c>
      <c r="Q2486" t="str">
        <f>IFERROR(__xludf.DUMMYFUNCTION("""COMPUTED_VALUE"""),"White seats")</f>
        <v>White seats</v>
      </c>
      <c r="R2486" t="str">
        <f>IFERROR(__xludf.DUMMYFUNCTION("""COMPUTED_VALUE"""),"Autopilot")</f>
        <v>Autopilot</v>
      </c>
      <c r="X2486" t="str">
        <f>IFERROR(__xludf.DUMMYFUNCTION("""COMPUTED_VALUE"""),"Excellent")</f>
        <v>Excellent</v>
      </c>
      <c r="Y2486" t="str">
        <f>IFERROR(__xludf.DUMMYFUNCTION("""COMPUTED_VALUE"""),"Excellent")</f>
        <v>Excellent</v>
      </c>
      <c r="Z2486" t="str">
        <f>IFERROR(__xludf.DUMMYFUNCTION("""COMPUTED_VALUE"""),"Excellent")</f>
        <v>Excellent</v>
      </c>
      <c r="AA2486" t="str">
        <f>IFERROR(__xludf.DUMMYFUNCTION("""COMPUTED_VALUE"""),"Good")</f>
        <v>Good</v>
      </c>
      <c r="AB2486" t="str">
        <f>IFERROR(__xludf.DUMMYFUNCTION("""COMPUTED_VALUE"""),"Good")</f>
        <v>Good</v>
      </c>
      <c r="AC2486">
        <f>IFERROR(__xludf.DUMMYFUNCTION("""COMPUTED_VALUE"""),2.0)</f>
        <v>2</v>
      </c>
      <c r="AD2486">
        <f>IFERROR(__xludf.DUMMYFUNCTION("""COMPUTED_VALUE"""),1.0)</f>
        <v>1</v>
      </c>
      <c r="AE2486">
        <f>IFERROR(__xludf.DUMMYFUNCTION("""COMPUTED_VALUE"""),0.0)</f>
        <v>0</v>
      </c>
      <c r="AH2486" s="189">
        <f>IFERROR(__xludf.DUMMYFUNCTION("""COMPUTED_VALUE"""),44073.82802509259)</f>
        <v>44073.82803</v>
      </c>
    </row>
    <row r="2487">
      <c r="A2487" t="str">
        <f>IFERROR(__xludf.DUMMYFUNCTION("""COMPUTED_VALUE"""),"jdr42")</f>
        <v>jdr42</v>
      </c>
      <c r="B2487" t="str">
        <f>IFERROR(__xludf.DUMMYFUNCTION("""COMPUTED_VALUE"""),"Ottawa")</f>
        <v>Ottawa</v>
      </c>
      <c r="C2487" t="str">
        <f>IFERROR(__xludf.DUMMYFUNCTION("""COMPUTED_VALUE"""),"ON")</f>
        <v>ON</v>
      </c>
      <c r="D2487" t="str">
        <f>IFERROR(__xludf.DUMMYFUNCTION("""COMPUTED_VALUE"""),"Canada")</f>
        <v>Canada</v>
      </c>
      <c r="E2487" s="188">
        <f>IFERROR(__xludf.DUMMYFUNCTION("""COMPUTED_VALUE"""),44018.0)</f>
        <v>44018</v>
      </c>
      <c r="F2487" s="188">
        <f>IFERROR(__xludf.DUMMYFUNCTION("""COMPUTED_VALUE"""),44034.0)</f>
        <v>44034</v>
      </c>
      <c r="H2487">
        <f>IFERROR(__xludf.DUMMYFUNCTION("""COMPUTED_VALUE"""),703255.0)</f>
        <v>703255</v>
      </c>
      <c r="I2487" t="str">
        <f>IFERROR(__xludf.DUMMYFUNCTION("""COMPUTED_VALUE"""),"02/20")</f>
        <v>02/20</v>
      </c>
      <c r="J2487" s="5">
        <f>IFERROR(__xludf.DUMMYFUNCTION("""COMPUTED_VALUE"""),44043.0)</f>
        <v>44043</v>
      </c>
      <c r="K2487">
        <f>IFERROR(__xludf.DUMMYFUNCTION("""COMPUTED_VALUE"""),16.0)</f>
        <v>16</v>
      </c>
      <c r="L2487">
        <f>IFERROR(__xludf.DUMMYFUNCTION("""COMPUTED_VALUE"""),9.0)</f>
        <v>9</v>
      </c>
      <c r="M2487">
        <f>IFERROR(__xludf.DUMMYFUNCTION("""COMPUTED_VALUE"""),25.0)</f>
        <v>25</v>
      </c>
      <c r="N2487" t="str">
        <f>IFERROR(__xludf.DUMMYFUNCTION("""COMPUTED_VALUE"""),"Model 3 LR AWD")</f>
        <v>Model 3 LR AWD</v>
      </c>
      <c r="O2487" t="str">
        <f>IFERROR(__xludf.DUMMYFUNCTION("""COMPUTED_VALUE"""),"Deep Blue Metallic")</f>
        <v>Deep Blue Metallic</v>
      </c>
      <c r="P2487" t="str">
        <f>IFERROR(__xludf.DUMMYFUNCTION("""COMPUTED_VALUE"""),"18 inch Aero")</f>
        <v>18 inch Aero</v>
      </c>
      <c r="Q2487" t="str">
        <f>IFERROR(__xludf.DUMMYFUNCTION("""COMPUTED_VALUE"""),"Black seats")</f>
        <v>Black seats</v>
      </c>
      <c r="R2487" t="str">
        <f>IFERROR(__xludf.DUMMYFUNCTION("""COMPUTED_VALUE"""),"Autopilot")</f>
        <v>Autopilot</v>
      </c>
      <c r="X2487" t="str">
        <f>IFERROR(__xludf.DUMMYFUNCTION("""COMPUTED_VALUE"""),"Very Good")</f>
        <v>Very Good</v>
      </c>
      <c r="Y2487" t="str">
        <f>IFERROR(__xludf.DUMMYFUNCTION("""COMPUTED_VALUE"""),"Excellent")</f>
        <v>Excellent</v>
      </c>
      <c r="Z2487" t="str">
        <f>IFERROR(__xludf.DUMMYFUNCTION("""COMPUTED_VALUE"""),"Good")</f>
        <v>Good</v>
      </c>
      <c r="AA2487" t="str">
        <f>IFERROR(__xludf.DUMMYFUNCTION("""COMPUTED_VALUE"""),"Fair")</f>
        <v>Fair</v>
      </c>
      <c r="AB2487" t="str">
        <f>IFERROR(__xludf.DUMMYFUNCTION("""COMPUTED_VALUE"""),"Fair")</f>
        <v>Fair</v>
      </c>
      <c r="AC2487">
        <f>IFERROR(__xludf.DUMMYFUNCTION("""COMPUTED_VALUE"""),1.0)</f>
        <v>1</v>
      </c>
      <c r="AD2487">
        <f>IFERROR(__xludf.DUMMYFUNCTION("""COMPUTED_VALUE"""),1.0)</f>
        <v>1</v>
      </c>
      <c r="AE2487">
        <f>IFERROR(__xludf.DUMMYFUNCTION("""COMPUTED_VALUE"""),0.0)</f>
        <v>0</v>
      </c>
      <c r="AG2487" t="str">
        <f>IFERROR(__xludf.DUMMYFUNCTION("""COMPUTED_VALUE"""),"At delivery (mostly done over phone at service centre) the technician had to come out and fix the trunk gaps (simple fix) and clean the inside (dusty). Mobile service visit to fix small paint issues (buffed out).")</f>
        <v>At delivery (mostly done over phone at service centre) the technician had to come out and fix the trunk gaps (simple fix) and clean the inside (dusty). Mobile service visit to fix small paint issues (buffed out).</v>
      </c>
      <c r="AH2487" s="189">
        <f>IFERROR(__xludf.DUMMYFUNCTION("""COMPUTED_VALUE"""),44074.566315358796)</f>
        <v>44074.56632</v>
      </c>
    </row>
    <row r="2488">
      <c r="A2488" t="str">
        <f>IFERROR(__xludf.DUMMYFUNCTION("""COMPUTED_VALUE"""),"allThingsT")</f>
        <v>allThingsT</v>
      </c>
      <c r="C2488" t="str">
        <f>IFERROR(__xludf.DUMMYFUNCTION("""COMPUTED_VALUE"""),"MN")</f>
        <v>MN</v>
      </c>
      <c r="D2488" t="str">
        <f>IFERROR(__xludf.DUMMYFUNCTION("""COMPUTED_VALUE"""),"USA")</f>
        <v>USA</v>
      </c>
      <c r="E2488" s="188">
        <f>IFERROR(__xludf.DUMMYFUNCTION("""COMPUTED_VALUE"""),44016.0)</f>
        <v>44016</v>
      </c>
      <c r="F2488" s="188">
        <f>IFERROR(__xludf.DUMMYFUNCTION("""COMPUTED_VALUE"""),44070.0)</f>
        <v>44070</v>
      </c>
      <c r="H2488">
        <f>IFERROR(__xludf.DUMMYFUNCTION("""COMPUTED_VALUE"""),783455.0)</f>
        <v>783455</v>
      </c>
      <c r="J2488" s="5">
        <f>IFERROR(__xludf.DUMMYFUNCTION("""COMPUTED_VALUE"""),44075.0)</f>
        <v>44075</v>
      </c>
      <c r="K2488">
        <f>IFERROR(__xludf.DUMMYFUNCTION("""COMPUTED_VALUE"""),54.0)</f>
        <v>54</v>
      </c>
      <c r="L2488">
        <f>IFERROR(__xludf.DUMMYFUNCTION("""COMPUTED_VALUE"""),5.0)</f>
        <v>5</v>
      </c>
      <c r="M2488">
        <f>IFERROR(__xludf.DUMMYFUNCTION("""COMPUTED_VALUE"""),59.0)</f>
        <v>59</v>
      </c>
      <c r="N2488" t="str">
        <f>IFERROR(__xludf.DUMMYFUNCTION("""COMPUTED_VALUE"""),"Model 3 Performance")</f>
        <v>Model 3 Performance</v>
      </c>
      <c r="O2488" t="str">
        <f>IFERROR(__xludf.DUMMYFUNCTION("""COMPUTED_VALUE"""),"Pearl White Multi-Coat")</f>
        <v>Pearl White Multi-Coat</v>
      </c>
      <c r="P2488" t="str">
        <f>IFERROR(__xludf.DUMMYFUNCTION("""COMPUTED_VALUE"""),"20 inch Sport")</f>
        <v>20 inch Sport</v>
      </c>
      <c r="Q2488" t="str">
        <f>IFERROR(__xludf.DUMMYFUNCTION("""COMPUTED_VALUE"""),"White seats")</f>
        <v>White seats</v>
      </c>
      <c r="R2488" t="str">
        <f>IFERROR(__xludf.DUMMYFUNCTION("""COMPUTED_VALUE"""),"Autopilot")</f>
        <v>Autopilot</v>
      </c>
      <c r="X2488" t="str">
        <f>IFERROR(__xludf.DUMMYFUNCTION("""COMPUTED_VALUE"""),"Very Good")</f>
        <v>Very Good</v>
      </c>
      <c r="Y2488" t="str">
        <f>IFERROR(__xludf.DUMMYFUNCTION("""COMPUTED_VALUE"""),"Very Good")</f>
        <v>Very Good</v>
      </c>
      <c r="Z2488" t="str">
        <f>IFERROR(__xludf.DUMMYFUNCTION("""COMPUTED_VALUE"""),"Good")</f>
        <v>Good</v>
      </c>
      <c r="AA2488" t="str">
        <f>IFERROR(__xludf.DUMMYFUNCTION("""COMPUTED_VALUE"""),"Excellent")</f>
        <v>Excellent</v>
      </c>
      <c r="AB2488" t="str">
        <f>IFERROR(__xludf.DUMMYFUNCTION("""COMPUTED_VALUE"""),"Excellent")</f>
        <v>Excellent</v>
      </c>
      <c r="AH2488" s="189">
        <f>IFERROR(__xludf.DUMMYFUNCTION("""COMPUTED_VALUE"""),44076.242126377314)</f>
        <v>44076.24213</v>
      </c>
    </row>
    <row r="2489">
      <c r="A2489" t="str">
        <f>IFERROR(__xludf.DUMMYFUNCTION("""COMPUTED_VALUE"""),"_Frank")</f>
        <v>_Frank</v>
      </c>
      <c r="B2489" t="str">
        <f>IFERROR(__xludf.DUMMYFUNCTION("""COMPUTED_VALUE"""),"Montreal")</f>
        <v>Montreal</v>
      </c>
      <c r="C2489" t="str">
        <f>IFERROR(__xludf.DUMMYFUNCTION("""COMPUTED_VALUE"""),"QC")</f>
        <v>QC</v>
      </c>
      <c r="D2489" t="str">
        <f>IFERROR(__xludf.DUMMYFUNCTION("""COMPUTED_VALUE"""),"Canada")</f>
        <v>Canada</v>
      </c>
      <c r="E2489" s="188">
        <f>IFERROR(__xludf.DUMMYFUNCTION("""COMPUTED_VALUE"""),44054.0)</f>
        <v>44054</v>
      </c>
      <c r="F2489" s="188">
        <f>IFERROR(__xludf.DUMMYFUNCTION("""COMPUTED_VALUE"""),44066.0)</f>
        <v>44066</v>
      </c>
      <c r="I2489" t="str">
        <f>IFERROR(__xludf.DUMMYFUNCTION("""COMPUTED_VALUE"""),"08/20")</f>
        <v>08/20</v>
      </c>
      <c r="J2489" s="5">
        <f>IFERROR(__xludf.DUMMYFUNCTION("""COMPUTED_VALUE"""),44075.0)</f>
        <v>44075</v>
      </c>
      <c r="K2489">
        <f>IFERROR(__xludf.DUMMYFUNCTION("""COMPUTED_VALUE"""),12.0)</f>
        <v>12</v>
      </c>
      <c r="L2489">
        <f>IFERROR(__xludf.DUMMYFUNCTION("""COMPUTED_VALUE"""),9.0)</f>
        <v>9</v>
      </c>
      <c r="M2489">
        <f>IFERROR(__xludf.DUMMYFUNCTION("""COMPUTED_VALUE"""),21.0)</f>
        <v>21</v>
      </c>
      <c r="N2489" t="str">
        <f>IFERROR(__xludf.DUMMYFUNCTION("""COMPUTED_VALUE"""),"Model 3 SR+")</f>
        <v>Model 3 SR+</v>
      </c>
      <c r="O2489" t="str">
        <f>IFERROR(__xludf.DUMMYFUNCTION("""COMPUTED_VALUE"""),"Deep Blue Metallic")</f>
        <v>Deep Blue Metallic</v>
      </c>
      <c r="P2489" t="str">
        <f>IFERROR(__xludf.DUMMYFUNCTION("""COMPUTED_VALUE"""),"19 inch Sport")</f>
        <v>19 inch Sport</v>
      </c>
      <c r="Q2489" t="str">
        <f>IFERROR(__xludf.DUMMYFUNCTION("""COMPUTED_VALUE"""),"Black seats")</f>
        <v>Black seats</v>
      </c>
      <c r="R2489" t="str">
        <f>IFERROR(__xludf.DUMMYFUNCTION("""COMPUTED_VALUE"""),"Autopilot")</f>
        <v>Autopilot</v>
      </c>
      <c r="X2489" t="str">
        <f>IFERROR(__xludf.DUMMYFUNCTION("""COMPUTED_VALUE"""),"Good")</f>
        <v>Good</v>
      </c>
      <c r="Y2489" t="str">
        <f>IFERROR(__xludf.DUMMYFUNCTION("""COMPUTED_VALUE"""),"Good")</f>
        <v>Good</v>
      </c>
      <c r="Z2489" t="str">
        <f>IFERROR(__xludf.DUMMYFUNCTION("""COMPUTED_VALUE"""),"Good")</f>
        <v>Good</v>
      </c>
      <c r="AA2489" t="str">
        <f>IFERROR(__xludf.DUMMYFUNCTION("""COMPUTED_VALUE"""),"Excellent")</f>
        <v>Excellent</v>
      </c>
      <c r="AB2489" t="str">
        <f>IFERROR(__xludf.DUMMYFUNCTION("""COMPUTED_VALUE"""),"Very Good")</f>
        <v>Very Good</v>
      </c>
      <c r="AD2489">
        <f>IFERROR(__xludf.DUMMYFUNCTION("""COMPUTED_VALUE"""),1.0)</f>
        <v>1</v>
      </c>
      <c r="AH2489" s="189">
        <f>IFERROR(__xludf.DUMMYFUNCTION("""COMPUTED_VALUE"""),44078.12607409722)</f>
        <v>44078.12607</v>
      </c>
    </row>
    <row r="2490">
      <c r="A2490" t="str">
        <f>IFERROR(__xludf.DUMMYFUNCTION("""COMPUTED_VALUE"""),"Rafe")</f>
        <v>Rafe</v>
      </c>
      <c r="B2490" t="str">
        <f>IFERROR(__xludf.DUMMYFUNCTION("""COMPUTED_VALUE"""),"Montreal")</f>
        <v>Montreal</v>
      </c>
      <c r="C2490" t="str">
        <f>IFERROR(__xludf.DUMMYFUNCTION("""COMPUTED_VALUE"""),"QC")</f>
        <v>QC</v>
      </c>
      <c r="D2490" t="str">
        <f>IFERROR(__xludf.DUMMYFUNCTION("""COMPUTED_VALUE"""),"Canada")</f>
        <v>Canada</v>
      </c>
      <c r="E2490" s="188">
        <f>IFERROR(__xludf.DUMMYFUNCTION("""COMPUTED_VALUE"""),44031.0)</f>
        <v>44031</v>
      </c>
      <c r="F2490" s="188">
        <f>IFERROR(__xludf.DUMMYFUNCTION("""COMPUTED_VALUE"""),44066.0)</f>
        <v>44066</v>
      </c>
      <c r="H2490">
        <f>IFERROR(__xludf.DUMMYFUNCTION("""COMPUTED_VALUE"""),770855.0)</f>
        <v>770855</v>
      </c>
      <c r="I2490" t="str">
        <f>IFERROR(__xludf.DUMMYFUNCTION("""COMPUTED_VALUE"""),"08/20")</f>
        <v>08/20</v>
      </c>
      <c r="J2490" s="5">
        <f>IFERROR(__xludf.DUMMYFUNCTION("""COMPUTED_VALUE"""),44076.0)</f>
        <v>44076</v>
      </c>
      <c r="K2490">
        <f>IFERROR(__xludf.DUMMYFUNCTION("""COMPUTED_VALUE"""),35.0)</f>
        <v>35</v>
      </c>
      <c r="L2490">
        <f>IFERROR(__xludf.DUMMYFUNCTION("""COMPUTED_VALUE"""),10.0)</f>
        <v>10</v>
      </c>
      <c r="M2490">
        <f>IFERROR(__xludf.DUMMYFUNCTION("""COMPUTED_VALUE"""),45.0)</f>
        <v>45</v>
      </c>
      <c r="N2490" t="str">
        <f>IFERROR(__xludf.DUMMYFUNCTION("""COMPUTED_VALUE"""),"Model 3 SR+")</f>
        <v>Model 3 SR+</v>
      </c>
      <c r="O2490" t="str">
        <f>IFERROR(__xludf.DUMMYFUNCTION("""COMPUTED_VALUE"""),"Deep Blue Metallic")</f>
        <v>Deep Blue Metallic</v>
      </c>
      <c r="P2490" t="str">
        <f>IFERROR(__xludf.DUMMYFUNCTION("""COMPUTED_VALUE"""),"18 inch Aero")</f>
        <v>18 inch Aero</v>
      </c>
      <c r="Q2490" t="str">
        <f>IFERROR(__xludf.DUMMYFUNCTION("""COMPUTED_VALUE"""),"Black seats")</f>
        <v>Black seats</v>
      </c>
      <c r="R2490" t="str">
        <f>IFERROR(__xludf.DUMMYFUNCTION("""COMPUTED_VALUE"""),"Autopilot")</f>
        <v>Autopilot</v>
      </c>
      <c r="X2490" t="str">
        <f>IFERROR(__xludf.DUMMYFUNCTION("""COMPUTED_VALUE"""),"Very Good")</f>
        <v>Very Good</v>
      </c>
      <c r="Y2490" t="str">
        <f>IFERROR(__xludf.DUMMYFUNCTION("""COMPUTED_VALUE"""),"Very Good")</f>
        <v>Very Good</v>
      </c>
      <c r="Z2490" t="str">
        <f>IFERROR(__xludf.DUMMYFUNCTION("""COMPUTED_VALUE"""),"Very Good")</f>
        <v>Very Good</v>
      </c>
      <c r="AA2490" t="str">
        <f>IFERROR(__xludf.DUMMYFUNCTION("""COMPUTED_VALUE"""),"Very Good")</f>
        <v>Very Good</v>
      </c>
      <c r="AB2490" t="str">
        <f>IFERROR(__xludf.DUMMYFUNCTION("""COMPUTED_VALUE"""),"Excellent")</f>
        <v>Excellent</v>
      </c>
      <c r="AH2490" s="189">
        <f>IFERROR(__xludf.DUMMYFUNCTION("""COMPUTED_VALUE"""),44078.54809856482)</f>
        <v>44078.5481</v>
      </c>
    </row>
    <row r="2491">
      <c r="A2491" t="str">
        <f>IFERROR(__xludf.DUMMYFUNCTION("""COMPUTED_VALUE"""),"JC_finance")</f>
        <v>JC_finance</v>
      </c>
      <c r="B2491" t="str">
        <f>IFERROR(__xludf.DUMMYFUNCTION("""COMPUTED_VALUE"""),"Boston")</f>
        <v>Boston</v>
      </c>
      <c r="C2491" t="str">
        <f>IFERROR(__xludf.DUMMYFUNCTION("""COMPUTED_VALUE"""),"MA")</f>
        <v>MA</v>
      </c>
      <c r="D2491" t="str">
        <f>IFERROR(__xludf.DUMMYFUNCTION("""COMPUTED_VALUE"""),"USA")</f>
        <v>USA</v>
      </c>
      <c r="E2491" s="188">
        <f>IFERROR(__xludf.DUMMYFUNCTION("""COMPUTED_VALUE"""),44012.0)</f>
        <v>44012</v>
      </c>
      <c r="F2491" s="188">
        <f>IFERROR(__xludf.DUMMYFUNCTION("""COMPUTED_VALUE"""),44044.0)</f>
        <v>44044</v>
      </c>
      <c r="H2491">
        <f>IFERROR(__xludf.DUMMYFUNCTION("""COMPUTED_VALUE"""),745455.0)</f>
        <v>745455</v>
      </c>
      <c r="I2491" t="str">
        <f>IFERROR(__xludf.DUMMYFUNCTION("""COMPUTED_VALUE"""),"08/20")</f>
        <v>08/20</v>
      </c>
      <c r="J2491" s="5">
        <f>IFERROR(__xludf.DUMMYFUNCTION("""COMPUTED_VALUE"""),44055.0)</f>
        <v>44055</v>
      </c>
      <c r="K2491">
        <f>IFERROR(__xludf.DUMMYFUNCTION("""COMPUTED_VALUE"""),32.0)</f>
        <v>32</v>
      </c>
      <c r="L2491">
        <f>IFERROR(__xludf.DUMMYFUNCTION("""COMPUTED_VALUE"""),11.0)</f>
        <v>11</v>
      </c>
      <c r="M2491">
        <f>IFERROR(__xludf.DUMMYFUNCTION("""COMPUTED_VALUE"""),43.0)</f>
        <v>43</v>
      </c>
      <c r="N2491" t="str">
        <f>IFERROR(__xludf.DUMMYFUNCTION("""COMPUTED_VALUE"""),"Model 3 LR AWD")</f>
        <v>Model 3 LR AWD</v>
      </c>
      <c r="O2491" t="str">
        <f>IFERROR(__xludf.DUMMYFUNCTION("""COMPUTED_VALUE"""),"Pearl White Multi-Coat")</f>
        <v>Pearl White Multi-Coat</v>
      </c>
      <c r="P2491" t="str">
        <f>IFERROR(__xludf.DUMMYFUNCTION("""COMPUTED_VALUE"""),"18 inch Aero")</f>
        <v>18 inch Aero</v>
      </c>
      <c r="Q2491" t="str">
        <f>IFERROR(__xludf.DUMMYFUNCTION("""COMPUTED_VALUE"""),"White seats")</f>
        <v>White seats</v>
      </c>
      <c r="R2491" t="str">
        <f>IFERROR(__xludf.DUMMYFUNCTION("""COMPUTED_VALUE"""),"Autopilot")</f>
        <v>Autopilot</v>
      </c>
      <c r="X2491" t="str">
        <f>IFERROR(__xludf.DUMMYFUNCTION("""COMPUTED_VALUE"""),"Very Good")</f>
        <v>Very Good</v>
      </c>
      <c r="Y2491" t="str">
        <f>IFERROR(__xludf.DUMMYFUNCTION("""COMPUTED_VALUE"""),"Excellent")</f>
        <v>Excellent</v>
      </c>
      <c r="Z2491" t="str">
        <f>IFERROR(__xludf.DUMMYFUNCTION("""COMPUTED_VALUE"""),"Very Good")</f>
        <v>Very Good</v>
      </c>
      <c r="AA2491" t="str">
        <f>IFERROR(__xludf.DUMMYFUNCTION("""COMPUTED_VALUE"""),"Excellent")</f>
        <v>Excellent</v>
      </c>
      <c r="AB2491" t="str">
        <f>IFERROR(__xludf.DUMMYFUNCTION("""COMPUTED_VALUE"""),"Excellent")</f>
        <v>Excellent</v>
      </c>
      <c r="AC2491">
        <f>IFERROR(__xludf.DUMMYFUNCTION("""COMPUTED_VALUE"""),0.0)</f>
        <v>0</v>
      </c>
      <c r="AD2491">
        <f>IFERROR(__xludf.DUMMYFUNCTION("""COMPUTED_VALUE"""),0.0)</f>
        <v>0</v>
      </c>
      <c r="AE2491">
        <f>IFERROR(__xludf.DUMMYFUNCTION("""COMPUTED_VALUE"""),0.0)</f>
        <v>0</v>
      </c>
      <c r="AH2491" s="189">
        <f>IFERROR(__xludf.DUMMYFUNCTION("""COMPUTED_VALUE"""),44079.228156122685)</f>
        <v>44079.22816</v>
      </c>
    </row>
    <row r="2492">
      <c r="A2492" t="str">
        <f>IFERROR(__xludf.DUMMYFUNCTION("""COMPUTED_VALUE"""),"BabyJ")</f>
        <v>BabyJ</v>
      </c>
      <c r="B2492" t="str">
        <f>IFERROR(__xludf.DUMMYFUNCTION("""COMPUTED_VALUE"""),"Atlanta ")</f>
        <v>Atlanta </v>
      </c>
      <c r="C2492" t="str">
        <f>IFERROR(__xludf.DUMMYFUNCTION("""COMPUTED_VALUE"""),"GA")</f>
        <v>GA</v>
      </c>
      <c r="D2492" t="str">
        <f>IFERROR(__xludf.DUMMYFUNCTION("""COMPUTED_VALUE"""),"USA")</f>
        <v>USA</v>
      </c>
      <c r="E2492" s="188">
        <f>IFERROR(__xludf.DUMMYFUNCTION("""COMPUTED_VALUE"""),43938.0)</f>
        <v>43938</v>
      </c>
      <c r="F2492" s="188">
        <f>IFERROR(__xludf.DUMMYFUNCTION("""COMPUTED_VALUE"""),44063.0)</f>
        <v>44063</v>
      </c>
      <c r="H2492">
        <f>IFERROR(__xludf.DUMMYFUNCTION("""COMPUTED_VALUE"""),775155.0)</f>
        <v>775155</v>
      </c>
      <c r="I2492" t="str">
        <f>IFERROR(__xludf.DUMMYFUNCTION("""COMPUTED_VALUE"""),"08/20")</f>
        <v>08/20</v>
      </c>
      <c r="J2492" s="5">
        <f>IFERROR(__xludf.DUMMYFUNCTION("""COMPUTED_VALUE"""),44079.0)</f>
        <v>44079</v>
      </c>
      <c r="K2492">
        <f>IFERROR(__xludf.DUMMYFUNCTION("""COMPUTED_VALUE"""),125.0)</f>
        <v>125</v>
      </c>
      <c r="L2492">
        <f>IFERROR(__xludf.DUMMYFUNCTION("""COMPUTED_VALUE"""),16.0)</f>
        <v>16</v>
      </c>
      <c r="M2492">
        <f>IFERROR(__xludf.DUMMYFUNCTION("""COMPUTED_VALUE"""),141.0)</f>
        <v>141</v>
      </c>
      <c r="N2492" t="str">
        <f>IFERROR(__xludf.DUMMYFUNCTION("""COMPUTED_VALUE"""),"Model 3 SR+")</f>
        <v>Model 3 SR+</v>
      </c>
      <c r="O2492" t="str">
        <f>IFERROR(__xludf.DUMMYFUNCTION("""COMPUTED_VALUE"""),"Pearl White Multi-Coat")</f>
        <v>Pearl White Multi-Coat</v>
      </c>
      <c r="P2492" t="str">
        <f>IFERROR(__xludf.DUMMYFUNCTION("""COMPUTED_VALUE"""),"18 inch Aero")</f>
        <v>18 inch Aero</v>
      </c>
      <c r="Q2492" t="str">
        <f>IFERROR(__xludf.DUMMYFUNCTION("""COMPUTED_VALUE"""),"Black seats")</f>
        <v>Black seats</v>
      </c>
      <c r="R2492" t="str">
        <f>IFERROR(__xludf.DUMMYFUNCTION("""COMPUTED_VALUE"""),"Autopilot")</f>
        <v>Autopilot</v>
      </c>
      <c r="X2492" t="str">
        <f>IFERROR(__xludf.DUMMYFUNCTION("""COMPUTED_VALUE"""),"Good")</f>
        <v>Good</v>
      </c>
      <c r="Y2492" t="str">
        <f>IFERROR(__xludf.DUMMYFUNCTION("""COMPUTED_VALUE"""),"Very Good")</f>
        <v>Very Good</v>
      </c>
      <c r="Z2492" t="str">
        <f>IFERROR(__xludf.DUMMYFUNCTION("""COMPUTED_VALUE"""),"Very Good")</f>
        <v>Very Good</v>
      </c>
      <c r="AA2492" t="str">
        <f>IFERROR(__xludf.DUMMYFUNCTION("""COMPUTED_VALUE"""),"Fair")</f>
        <v>Fair</v>
      </c>
      <c r="AB2492" t="str">
        <f>IFERROR(__xludf.DUMMYFUNCTION("""COMPUTED_VALUE"""),"Very Good")</f>
        <v>Very Good</v>
      </c>
      <c r="AG2492" t="str">
        <f>IFERROR(__xludf.DUMMYFUNCTION("""COMPUTED_VALUE"""),"I reached out to SA original date my car was to make it to Atlanta was 9/1 now is 9/4. Hoping my pick up date of 9/5 will not change")</f>
        <v>I reached out to SA original date my car was to make it to Atlanta was 9/1 now is 9/4. Hoping my pick up date of 9/5 will not change</v>
      </c>
      <c r="AH2492" s="189">
        <f>IFERROR(__xludf.DUMMYFUNCTION("""COMPUTED_VALUE"""),44079.75943148148)</f>
        <v>44079.75943</v>
      </c>
    </row>
    <row r="2493">
      <c r="A2493" t="str">
        <f>IFERROR(__xludf.DUMMYFUNCTION("""COMPUTED_VALUE"""),"asinha")</f>
        <v>asinha</v>
      </c>
      <c r="B2493" t="str">
        <f>IFERROR(__xludf.DUMMYFUNCTION("""COMPUTED_VALUE"""),"Chicago Subrubs ")</f>
        <v>Chicago Subrubs </v>
      </c>
      <c r="C2493" t="str">
        <f>IFERROR(__xludf.DUMMYFUNCTION("""COMPUTED_VALUE"""),"IL")</f>
        <v>IL</v>
      </c>
      <c r="D2493" t="str">
        <f>IFERROR(__xludf.DUMMYFUNCTION("""COMPUTED_VALUE"""),"USA")</f>
        <v>USA</v>
      </c>
      <c r="E2493" s="188">
        <f>IFERROR(__xludf.DUMMYFUNCTION("""COMPUTED_VALUE"""),44038.0)</f>
        <v>44038</v>
      </c>
      <c r="F2493" s="188">
        <f>IFERROR(__xludf.DUMMYFUNCTION("""COMPUTED_VALUE"""),44070.0)</f>
        <v>44070</v>
      </c>
      <c r="H2493" s="4">
        <f>IFERROR(__xludf.DUMMYFUNCTION("""COMPUTED_VALUE"""),784563.0)</f>
        <v>784563</v>
      </c>
      <c r="J2493" s="5">
        <f>IFERROR(__xludf.DUMMYFUNCTION("""COMPUTED_VALUE"""),44077.0)</f>
        <v>44077</v>
      </c>
      <c r="K2493">
        <f>IFERROR(__xludf.DUMMYFUNCTION("""COMPUTED_VALUE"""),32.0)</f>
        <v>32</v>
      </c>
      <c r="L2493">
        <f>IFERROR(__xludf.DUMMYFUNCTION("""COMPUTED_VALUE"""),7.0)</f>
        <v>7</v>
      </c>
      <c r="M2493">
        <f>IFERROR(__xludf.DUMMYFUNCTION("""COMPUTED_VALUE"""),39.0)</f>
        <v>39</v>
      </c>
      <c r="N2493" t="str">
        <f>IFERROR(__xludf.DUMMYFUNCTION("""COMPUTED_VALUE"""),"Model 3 Performance")</f>
        <v>Model 3 Performance</v>
      </c>
      <c r="O2493" t="str">
        <f>IFERROR(__xludf.DUMMYFUNCTION("""COMPUTED_VALUE"""),"Pearl White Multi-Coat")</f>
        <v>Pearl White Multi-Coat</v>
      </c>
      <c r="P2493" t="str">
        <f>IFERROR(__xludf.DUMMYFUNCTION("""COMPUTED_VALUE"""),"20 inch Sport")</f>
        <v>20 inch Sport</v>
      </c>
      <c r="Q2493" t="str">
        <f>IFERROR(__xludf.DUMMYFUNCTION("""COMPUTED_VALUE"""),"Black seats")</f>
        <v>Black seats</v>
      </c>
      <c r="R2493" t="str">
        <f>IFERROR(__xludf.DUMMYFUNCTION("""COMPUTED_VALUE"""),"Full Self-Driving")</f>
        <v>Full Self-Driving</v>
      </c>
      <c r="X2493" t="str">
        <f>IFERROR(__xludf.DUMMYFUNCTION("""COMPUTED_VALUE"""),"Excellent")</f>
        <v>Excellent</v>
      </c>
      <c r="Y2493" t="str">
        <f>IFERROR(__xludf.DUMMYFUNCTION("""COMPUTED_VALUE"""),"Excellent")</f>
        <v>Excellent</v>
      </c>
      <c r="Z2493" t="str">
        <f>IFERROR(__xludf.DUMMYFUNCTION("""COMPUTED_VALUE"""),"Excellent")</f>
        <v>Excellent</v>
      </c>
      <c r="AA2493" t="str">
        <f>IFERROR(__xludf.DUMMYFUNCTION("""COMPUTED_VALUE"""),"Very Good")</f>
        <v>Very Good</v>
      </c>
      <c r="AB2493" t="str">
        <f>IFERROR(__xludf.DUMMYFUNCTION("""COMPUTED_VALUE"""),"Very Good")</f>
        <v>Very Good</v>
      </c>
      <c r="AC2493">
        <f>IFERROR(__xludf.DUMMYFUNCTION("""COMPUTED_VALUE"""),2.0)</f>
        <v>2</v>
      </c>
      <c r="AG2493" t="str">
        <f>IFERROR(__xludf.DUMMYFUNCTION("""COMPUTED_VALUE"""),"08/10 Update Text - Expected delivery in 3-6 weeks. Checked with advisor on 8/27 and he said VIN was assigned. Scheduled delivery for 09/07 but got early text saying car was ready on 09/03. 2 issues - front trunk misalignment and rear panel (behind back s"&amp;"eats) misaligned.")</f>
        <v>08/10 Update Text - Expected delivery in 3-6 weeks. Checked with advisor on 8/27 and he said VIN was assigned. Scheduled delivery for 09/07 but got early text saying car was ready on 09/03. 2 issues - front trunk misalignment and rear panel (behind back seats) misaligned.</v>
      </c>
      <c r="AH2493" s="189">
        <f>IFERROR(__xludf.DUMMYFUNCTION("""COMPUTED_VALUE"""),44080.386100752316)</f>
        <v>44080.3861</v>
      </c>
    </row>
    <row r="2494">
      <c r="A2494" t="str">
        <f>IFERROR(__xludf.DUMMYFUNCTION("""COMPUTED_VALUE"""),"Ten0r")</f>
        <v>Ten0r</v>
      </c>
      <c r="C2494" t="str">
        <f>IFERROR(__xludf.DUMMYFUNCTION("""COMPUTED_VALUE"""),"TX")</f>
        <v>TX</v>
      </c>
      <c r="D2494" t="str">
        <f>IFERROR(__xludf.DUMMYFUNCTION("""COMPUTED_VALUE"""),"USA")</f>
        <v>USA</v>
      </c>
      <c r="E2494" s="188">
        <f>IFERROR(__xludf.DUMMYFUNCTION("""COMPUTED_VALUE"""),44012.0)</f>
        <v>44012</v>
      </c>
      <c r="F2494" s="188">
        <f>IFERROR(__xludf.DUMMYFUNCTION("""COMPUTED_VALUE"""),44062.0)</f>
        <v>44062</v>
      </c>
      <c r="H2494">
        <f>IFERROR(__xludf.DUMMYFUNCTION("""COMPUTED_VALUE"""),783055.0)</f>
        <v>783055</v>
      </c>
      <c r="J2494" s="5">
        <f>IFERROR(__xludf.DUMMYFUNCTION("""COMPUTED_VALUE"""),44080.0)</f>
        <v>44080</v>
      </c>
      <c r="K2494">
        <f>IFERROR(__xludf.DUMMYFUNCTION("""COMPUTED_VALUE"""),50.0)</f>
        <v>50</v>
      </c>
      <c r="L2494">
        <f>IFERROR(__xludf.DUMMYFUNCTION("""COMPUTED_VALUE"""),18.0)</f>
        <v>18</v>
      </c>
      <c r="M2494">
        <f>IFERROR(__xludf.DUMMYFUNCTION("""COMPUTED_VALUE"""),68.0)</f>
        <v>68</v>
      </c>
      <c r="N2494" t="str">
        <f>IFERROR(__xludf.DUMMYFUNCTION("""COMPUTED_VALUE"""),"Model 3 LR AWD")</f>
        <v>Model 3 LR AWD</v>
      </c>
      <c r="O2494" t="str">
        <f>IFERROR(__xludf.DUMMYFUNCTION("""COMPUTED_VALUE"""),"Deep Blue Metallic")</f>
        <v>Deep Blue Metallic</v>
      </c>
      <c r="P2494" t="str">
        <f>IFERROR(__xludf.DUMMYFUNCTION("""COMPUTED_VALUE"""),"19 inch Sport")</f>
        <v>19 inch Sport</v>
      </c>
      <c r="Q2494" t="str">
        <f>IFERROR(__xludf.DUMMYFUNCTION("""COMPUTED_VALUE"""),"Black seats")</f>
        <v>Black seats</v>
      </c>
      <c r="R2494" t="str">
        <f>IFERROR(__xludf.DUMMYFUNCTION("""COMPUTED_VALUE"""),"Autopilot")</f>
        <v>Autopilot</v>
      </c>
      <c r="X2494" t="str">
        <f>IFERROR(__xludf.DUMMYFUNCTION("""COMPUTED_VALUE"""),"Very Good")</f>
        <v>Very Good</v>
      </c>
      <c r="Y2494" t="str">
        <f>IFERROR(__xludf.DUMMYFUNCTION("""COMPUTED_VALUE"""),"Very Good")</f>
        <v>Very Good</v>
      </c>
      <c r="Z2494" t="str">
        <f>IFERROR(__xludf.DUMMYFUNCTION("""COMPUTED_VALUE"""),"Fair")</f>
        <v>Fair</v>
      </c>
      <c r="AA2494" t="str">
        <f>IFERROR(__xludf.DUMMYFUNCTION("""COMPUTED_VALUE"""),"Excellent")</f>
        <v>Excellent</v>
      </c>
      <c r="AB2494" t="str">
        <f>IFERROR(__xludf.DUMMYFUNCTION("""COMPUTED_VALUE"""),"Good")</f>
        <v>Good</v>
      </c>
      <c r="AC2494">
        <f>IFERROR(__xludf.DUMMYFUNCTION("""COMPUTED_VALUE"""),2.0)</f>
        <v>2</v>
      </c>
      <c r="AH2494" s="189">
        <f>IFERROR(__xludf.DUMMYFUNCTION("""COMPUTED_VALUE"""),44080.517577708335)</f>
        <v>44080.51758</v>
      </c>
    </row>
    <row r="2495">
      <c r="A2495" t="str">
        <f>IFERROR(__xludf.DUMMYFUNCTION("""COMPUTED_VALUE"""),"MrCrumbz")</f>
        <v>MrCrumbz</v>
      </c>
      <c r="B2495" t="str">
        <f>IFERROR(__xludf.DUMMYFUNCTION("""COMPUTED_VALUE"""),"Vancouver")</f>
        <v>Vancouver</v>
      </c>
      <c r="C2495" t="str">
        <f>IFERROR(__xludf.DUMMYFUNCTION("""COMPUTED_VALUE"""),"BC")</f>
        <v>BC</v>
      </c>
      <c r="D2495" t="str">
        <f>IFERROR(__xludf.DUMMYFUNCTION("""COMPUTED_VALUE"""),"Canada")</f>
        <v>Canada</v>
      </c>
      <c r="E2495" s="188">
        <f>IFERROR(__xludf.DUMMYFUNCTION("""COMPUTED_VALUE"""),44045.0)</f>
        <v>44045</v>
      </c>
      <c r="F2495" s="188">
        <f>IFERROR(__xludf.DUMMYFUNCTION("""COMPUTED_VALUE"""),44071.0)</f>
        <v>44071</v>
      </c>
      <c r="H2495">
        <f>IFERROR(__xludf.DUMMYFUNCTION("""COMPUTED_VALUE"""),786455.0)</f>
        <v>786455</v>
      </c>
      <c r="I2495" t="str">
        <f>IFERROR(__xludf.DUMMYFUNCTION("""COMPUTED_VALUE"""),"08/20")</f>
        <v>08/20</v>
      </c>
      <c r="J2495" s="5">
        <f>IFERROR(__xludf.DUMMYFUNCTION("""COMPUTED_VALUE"""),44073.0)</f>
        <v>44073</v>
      </c>
      <c r="K2495">
        <f>IFERROR(__xludf.DUMMYFUNCTION("""COMPUTED_VALUE"""),26.0)</f>
        <v>26</v>
      </c>
      <c r="L2495">
        <f>IFERROR(__xludf.DUMMYFUNCTION("""COMPUTED_VALUE"""),2.0)</f>
        <v>2</v>
      </c>
      <c r="M2495">
        <f>IFERROR(__xludf.DUMMYFUNCTION("""COMPUTED_VALUE"""),28.0)</f>
        <v>28</v>
      </c>
      <c r="N2495" t="str">
        <f>IFERROR(__xludf.DUMMYFUNCTION("""COMPUTED_VALUE"""),"Model 3 SR+")</f>
        <v>Model 3 SR+</v>
      </c>
      <c r="O2495" t="str">
        <f>IFERROR(__xludf.DUMMYFUNCTION("""COMPUTED_VALUE"""),"Pearl White Multi-Coat")</f>
        <v>Pearl White Multi-Coat</v>
      </c>
      <c r="P2495" t="str">
        <f>IFERROR(__xludf.DUMMYFUNCTION("""COMPUTED_VALUE"""),"18 inch Aero")</f>
        <v>18 inch Aero</v>
      </c>
      <c r="Q2495" t="str">
        <f>IFERROR(__xludf.DUMMYFUNCTION("""COMPUTED_VALUE"""),"Black seats")</f>
        <v>Black seats</v>
      </c>
      <c r="R2495" t="str">
        <f>IFERROR(__xludf.DUMMYFUNCTION("""COMPUTED_VALUE"""),"Autopilot")</f>
        <v>Autopilot</v>
      </c>
      <c r="X2495" t="str">
        <f>IFERROR(__xludf.DUMMYFUNCTION("""COMPUTED_VALUE"""),"Excellent")</f>
        <v>Excellent</v>
      </c>
      <c r="Y2495" t="str">
        <f>IFERROR(__xludf.DUMMYFUNCTION("""COMPUTED_VALUE"""),"Excellent")</f>
        <v>Excellent</v>
      </c>
      <c r="Z2495" t="str">
        <f>IFERROR(__xludf.DUMMYFUNCTION("""COMPUTED_VALUE"""),"Very Good")</f>
        <v>Very Good</v>
      </c>
      <c r="AA2495" t="str">
        <f>IFERROR(__xludf.DUMMYFUNCTION("""COMPUTED_VALUE"""),"Good")</f>
        <v>Good</v>
      </c>
      <c r="AB2495" t="str">
        <f>IFERROR(__xludf.DUMMYFUNCTION("""COMPUTED_VALUE"""),"Excellent")</f>
        <v>Excellent</v>
      </c>
      <c r="AG2495" t="str">
        <f>IFERROR(__xludf.DUMMYFUNCTION("""COMPUTED_VALUE"""),"One instance of phantom touch on screen during initial trip home. One small pin head blemish in paint on R/F quarter panel (only paint issue; whole vehicle clause and waxed by hand). Slight raised edge on drivers side frunk corrected by adjusting stops (i"&amp;"n on drivers side, out on passenger side) to flex hood in to submission. ")</f>
        <v>One instance of phantom touch on screen during initial trip home. One small pin head blemish in paint on R/F quarter panel (only paint issue; whole vehicle clause and waxed by hand). Slight raised edge on drivers side frunk corrected by adjusting stops (in on drivers side, out on passenger side) to flex hood in to submission. </v>
      </c>
      <c r="AH2495" s="189">
        <f>IFERROR(__xludf.DUMMYFUNCTION("""COMPUTED_VALUE"""),44080.8578833912)</f>
        <v>44080.85788</v>
      </c>
    </row>
    <row r="2496">
      <c r="A2496" t="str">
        <f>IFERROR(__xludf.DUMMYFUNCTION("""COMPUTED_VALUE"""),"tman66")</f>
        <v>tman66</v>
      </c>
      <c r="B2496" t="str">
        <f>IFERROR(__xludf.DUMMYFUNCTION("""COMPUTED_VALUE"""),"Guelph")</f>
        <v>Guelph</v>
      </c>
      <c r="C2496" t="str">
        <f>IFERROR(__xludf.DUMMYFUNCTION("""COMPUTED_VALUE"""),"ON")</f>
        <v>ON</v>
      </c>
      <c r="D2496" t="str">
        <f>IFERROR(__xludf.DUMMYFUNCTION("""COMPUTED_VALUE"""),"Canada")</f>
        <v>Canada</v>
      </c>
      <c r="E2496" s="188">
        <f>IFERROR(__xludf.DUMMYFUNCTION("""COMPUTED_VALUE"""),44035.0)</f>
        <v>44035</v>
      </c>
      <c r="F2496" s="188">
        <f>IFERROR(__xludf.DUMMYFUNCTION("""COMPUTED_VALUE"""),44068.0)</f>
        <v>44068</v>
      </c>
      <c r="H2496" s="4">
        <f>IFERROR(__xludf.DUMMYFUNCTION("""COMPUTED_VALUE"""),786610.0)</f>
        <v>786610</v>
      </c>
      <c r="I2496" t="str">
        <f>IFERROR(__xludf.DUMMYFUNCTION("""COMPUTED_VALUE"""),"08/20")</f>
        <v>08/20</v>
      </c>
      <c r="J2496" s="5">
        <f>IFERROR(__xludf.DUMMYFUNCTION("""COMPUTED_VALUE"""),43930.0)</f>
        <v>43930</v>
      </c>
      <c r="K2496">
        <f>IFERROR(__xludf.DUMMYFUNCTION("""COMPUTED_VALUE"""),33.0)</f>
        <v>33</v>
      </c>
      <c r="N2496" t="str">
        <f>IFERROR(__xludf.DUMMYFUNCTION("""COMPUTED_VALUE"""),"Model 3 SR+")</f>
        <v>Model 3 SR+</v>
      </c>
      <c r="O2496" t="str">
        <f>IFERROR(__xludf.DUMMYFUNCTION("""COMPUTED_VALUE"""),"Red Multi-Coat")</f>
        <v>Red Multi-Coat</v>
      </c>
      <c r="P2496" t="str">
        <f>IFERROR(__xludf.DUMMYFUNCTION("""COMPUTED_VALUE"""),"19 inch Sport")</f>
        <v>19 inch Sport</v>
      </c>
      <c r="Q2496" t="str">
        <f>IFERROR(__xludf.DUMMYFUNCTION("""COMPUTED_VALUE"""),"Black seats")</f>
        <v>Black seats</v>
      </c>
      <c r="R2496" t="str">
        <f>IFERROR(__xludf.DUMMYFUNCTION("""COMPUTED_VALUE"""),"Autopilot")</f>
        <v>Autopilot</v>
      </c>
      <c r="X2496" t="str">
        <f>IFERROR(__xludf.DUMMYFUNCTION("""COMPUTED_VALUE"""),"Very Good")</f>
        <v>Very Good</v>
      </c>
      <c r="Y2496" t="str">
        <f>IFERROR(__xludf.DUMMYFUNCTION("""COMPUTED_VALUE"""),"Excellent")</f>
        <v>Excellent</v>
      </c>
      <c r="Z2496" t="str">
        <f>IFERROR(__xludf.DUMMYFUNCTION("""COMPUTED_VALUE"""),"Excellent")</f>
        <v>Excellent</v>
      </c>
      <c r="AA2496" t="str">
        <f>IFERROR(__xludf.DUMMYFUNCTION("""COMPUTED_VALUE"""),"Excellent")</f>
        <v>Excellent</v>
      </c>
      <c r="AB2496" t="str">
        <f>IFERROR(__xludf.DUMMYFUNCTION("""COMPUTED_VALUE"""),"Excellent")</f>
        <v>Excellent</v>
      </c>
      <c r="AC2496">
        <f>IFERROR(__xludf.DUMMYFUNCTION("""COMPUTED_VALUE"""),2.0)</f>
        <v>2</v>
      </c>
      <c r="AG2496" t="str">
        <f>IFERROR(__xludf.DUMMYFUNCTION("""COMPUTED_VALUE"""),"Except for one paint chip, paint was in excellent condition. Very surprised.")</f>
        <v>Except for one paint chip, paint was in excellent condition. Very surprised.</v>
      </c>
      <c r="AH2496" s="189">
        <f>IFERROR(__xludf.DUMMYFUNCTION("""COMPUTED_VALUE"""),44082.24288118056)</f>
        <v>44082.24288</v>
      </c>
    </row>
    <row r="2497">
      <c r="A2497" t="str">
        <f>IFERROR(__xludf.DUMMYFUNCTION("""COMPUTED_VALUE"""),"swb2734")</f>
        <v>swb2734</v>
      </c>
      <c r="B2497" t="str">
        <f>IFERROR(__xludf.DUMMYFUNCTION("""COMPUTED_VALUE"""),"Austin")</f>
        <v>Austin</v>
      </c>
      <c r="C2497" t="str">
        <f>IFERROR(__xludf.DUMMYFUNCTION("""COMPUTED_VALUE"""),"TX")</f>
        <v>TX</v>
      </c>
      <c r="D2497" t="str">
        <f>IFERROR(__xludf.DUMMYFUNCTION("""COMPUTED_VALUE"""),"USA")</f>
        <v>USA</v>
      </c>
      <c r="E2497" s="188">
        <f>IFERROR(__xludf.DUMMYFUNCTION("""COMPUTED_VALUE"""),44029.0)</f>
        <v>44029</v>
      </c>
      <c r="F2497" s="188">
        <f>IFERROR(__xludf.DUMMYFUNCTION("""COMPUTED_VALUE"""),44068.0)</f>
        <v>44068</v>
      </c>
      <c r="H2497">
        <f>IFERROR(__xludf.DUMMYFUNCTION("""COMPUTED_VALUE"""),774855.0)</f>
        <v>774855</v>
      </c>
      <c r="J2497" s="5">
        <f>IFERROR(__xludf.DUMMYFUNCTION("""COMPUTED_VALUE"""),44082.0)</f>
        <v>44082</v>
      </c>
      <c r="K2497">
        <f>IFERROR(__xludf.DUMMYFUNCTION("""COMPUTED_VALUE"""),39.0)</f>
        <v>39</v>
      </c>
      <c r="L2497">
        <f>IFERROR(__xludf.DUMMYFUNCTION("""COMPUTED_VALUE"""),14.0)</f>
        <v>14</v>
      </c>
      <c r="M2497">
        <f>IFERROR(__xludf.DUMMYFUNCTION("""COMPUTED_VALUE"""),53.0)</f>
        <v>53</v>
      </c>
      <c r="N2497" t="str">
        <f>IFERROR(__xludf.DUMMYFUNCTION("""COMPUTED_VALUE"""),"Model 3 LR AWD")</f>
        <v>Model 3 LR AWD</v>
      </c>
      <c r="O2497" t="str">
        <f>IFERROR(__xludf.DUMMYFUNCTION("""COMPUTED_VALUE"""),"Deep Blue Metallic")</f>
        <v>Deep Blue Metallic</v>
      </c>
      <c r="P2497" t="str">
        <f>IFERROR(__xludf.DUMMYFUNCTION("""COMPUTED_VALUE"""),"18 inch Aero")</f>
        <v>18 inch Aero</v>
      </c>
      <c r="Q2497" t="str">
        <f>IFERROR(__xludf.DUMMYFUNCTION("""COMPUTED_VALUE"""),"Black seats")</f>
        <v>Black seats</v>
      </c>
      <c r="R2497" t="str">
        <f>IFERROR(__xludf.DUMMYFUNCTION("""COMPUTED_VALUE"""),"Autopilot")</f>
        <v>Autopilot</v>
      </c>
      <c r="X2497" t="str">
        <f>IFERROR(__xludf.DUMMYFUNCTION("""COMPUTED_VALUE"""),"Excellent")</f>
        <v>Excellent</v>
      </c>
      <c r="Y2497" t="str">
        <f>IFERROR(__xludf.DUMMYFUNCTION("""COMPUTED_VALUE"""),"Very Good")</f>
        <v>Very Good</v>
      </c>
      <c r="Z2497" t="str">
        <f>IFERROR(__xludf.DUMMYFUNCTION("""COMPUTED_VALUE"""),"Excellent")</f>
        <v>Excellent</v>
      </c>
      <c r="AA2497" t="str">
        <f>IFERROR(__xludf.DUMMYFUNCTION("""COMPUTED_VALUE"""),"Excellent")</f>
        <v>Excellent</v>
      </c>
      <c r="AB2497" t="str">
        <f>IFERROR(__xludf.DUMMYFUNCTION("""COMPUTED_VALUE"""),"Excellent")</f>
        <v>Excellent</v>
      </c>
      <c r="AC2497">
        <f>IFERROR(__xludf.DUMMYFUNCTION("""COMPUTED_VALUE"""),3.0)</f>
        <v>3</v>
      </c>
      <c r="AH2497" s="189">
        <f>IFERROR(__xludf.DUMMYFUNCTION("""COMPUTED_VALUE"""),44082.97945850695)</f>
        <v>44082.97946</v>
      </c>
    </row>
    <row r="2498">
      <c r="A2498" t="str">
        <f>IFERROR(__xludf.DUMMYFUNCTION("""COMPUTED_VALUE"""),"Paradigm")</f>
        <v>Paradigm</v>
      </c>
      <c r="B2498" t="str">
        <f>IFERROR(__xludf.DUMMYFUNCTION("""COMPUTED_VALUE"""),"Keyport")</f>
        <v>Keyport</v>
      </c>
      <c r="C2498" t="str">
        <f>IFERROR(__xludf.DUMMYFUNCTION("""COMPUTED_VALUE"""),"NJ")</f>
        <v>NJ</v>
      </c>
      <c r="D2498" t="str">
        <f>IFERROR(__xludf.DUMMYFUNCTION("""COMPUTED_VALUE"""),"USA")</f>
        <v>USA</v>
      </c>
      <c r="E2498" s="188">
        <f>IFERROR(__xludf.DUMMYFUNCTION("""COMPUTED_VALUE"""),44035.0)</f>
        <v>44035</v>
      </c>
      <c r="F2498" s="188">
        <f>IFERROR(__xludf.DUMMYFUNCTION("""COMPUTED_VALUE"""),44069.0)</f>
        <v>44069</v>
      </c>
      <c r="H2498">
        <f>IFERROR(__xludf.DUMMYFUNCTION("""COMPUTED_VALUE"""),774955.0)</f>
        <v>774955</v>
      </c>
      <c r="J2498" s="5">
        <f>IFERROR(__xludf.DUMMYFUNCTION("""COMPUTED_VALUE"""),44084.0)</f>
        <v>44084</v>
      </c>
      <c r="K2498">
        <f>IFERROR(__xludf.DUMMYFUNCTION("""COMPUTED_VALUE"""),34.0)</f>
        <v>34</v>
      </c>
      <c r="L2498">
        <f>IFERROR(__xludf.DUMMYFUNCTION("""COMPUTED_VALUE"""),15.0)</f>
        <v>15</v>
      </c>
      <c r="M2498">
        <f>IFERROR(__xludf.DUMMYFUNCTION("""COMPUTED_VALUE"""),49.0)</f>
        <v>49</v>
      </c>
      <c r="N2498" t="str">
        <f>IFERROR(__xludf.DUMMYFUNCTION("""COMPUTED_VALUE"""),"Model 3 LR AWD")</f>
        <v>Model 3 LR AWD</v>
      </c>
      <c r="O2498" t="str">
        <f>IFERROR(__xludf.DUMMYFUNCTION("""COMPUTED_VALUE"""),"Pearl White Multi-Coat")</f>
        <v>Pearl White Multi-Coat</v>
      </c>
      <c r="P2498" t="str">
        <f>IFERROR(__xludf.DUMMYFUNCTION("""COMPUTED_VALUE"""),"18 inch Aero")</f>
        <v>18 inch Aero</v>
      </c>
      <c r="Q2498" t="str">
        <f>IFERROR(__xludf.DUMMYFUNCTION("""COMPUTED_VALUE"""),"Black seats")</f>
        <v>Black seats</v>
      </c>
      <c r="R2498" t="str">
        <f>IFERROR(__xludf.DUMMYFUNCTION("""COMPUTED_VALUE"""),"Full Self-Driving")</f>
        <v>Full Self-Driving</v>
      </c>
      <c r="X2498" t="str">
        <f>IFERROR(__xludf.DUMMYFUNCTION("""COMPUTED_VALUE"""),"Excellent")</f>
        <v>Excellent</v>
      </c>
      <c r="Y2498" t="str">
        <f>IFERROR(__xludf.DUMMYFUNCTION("""COMPUTED_VALUE"""),"Excellent")</f>
        <v>Excellent</v>
      </c>
      <c r="Z2498" t="str">
        <f>IFERROR(__xludf.DUMMYFUNCTION("""COMPUTED_VALUE"""),"Excellent")</f>
        <v>Excellent</v>
      </c>
      <c r="AA2498" t="str">
        <f>IFERROR(__xludf.DUMMYFUNCTION("""COMPUTED_VALUE"""),"Very Good")</f>
        <v>Very Good</v>
      </c>
      <c r="AB2498" t="str">
        <f>IFERROR(__xludf.DUMMYFUNCTION("""COMPUTED_VALUE"""),"Very Good")</f>
        <v>Very Good</v>
      </c>
      <c r="AG2498" t="str">
        <f>IFERROR(__xludf.DUMMYFUNCTION("""COMPUTED_VALUE"""),"Delivery 09/08/20")</f>
        <v>Delivery 09/08/20</v>
      </c>
      <c r="AH2498" s="189">
        <f>IFERROR(__xludf.DUMMYFUNCTION("""COMPUTED_VALUE"""),44083.20855325232)</f>
        <v>44083.20855</v>
      </c>
    </row>
    <row r="2499">
      <c r="A2499" t="str">
        <f>IFERROR(__xludf.DUMMYFUNCTION("""COMPUTED_VALUE"""),"jakieemma")</f>
        <v>jakieemma</v>
      </c>
      <c r="B2499" t="str">
        <f>IFERROR(__xludf.DUMMYFUNCTION("""COMPUTED_VALUE"""),"Boston")</f>
        <v>Boston</v>
      </c>
      <c r="C2499" t="str">
        <f>IFERROR(__xludf.DUMMYFUNCTION("""COMPUTED_VALUE"""),"MA")</f>
        <v>MA</v>
      </c>
      <c r="D2499" t="str">
        <f>IFERROR(__xludf.DUMMYFUNCTION("""COMPUTED_VALUE"""),"USA")</f>
        <v>USA</v>
      </c>
      <c r="E2499" s="188">
        <f>IFERROR(__xludf.DUMMYFUNCTION("""COMPUTED_VALUE"""),44030.0)</f>
        <v>44030</v>
      </c>
      <c r="F2499" s="188">
        <f>IFERROR(__xludf.DUMMYFUNCTION("""COMPUTED_VALUE"""),44061.0)</f>
        <v>44061</v>
      </c>
      <c r="H2499" s="4">
        <f>IFERROR(__xludf.DUMMYFUNCTION("""COMPUTED_VALUE"""),783468.0)</f>
        <v>783468</v>
      </c>
      <c r="I2499" t="str">
        <f>IFERROR(__xludf.DUMMYFUNCTION("""COMPUTED_VALUE"""),"08/20")</f>
        <v>08/20</v>
      </c>
      <c r="J2499" s="5">
        <f>IFERROR(__xludf.DUMMYFUNCTION("""COMPUTED_VALUE"""),44079.0)</f>
        <v>44079</v>
      </c>
      <c r="K2499">
        <f>IFERROR(__xludf.DUMMYFUNCTION("""COMPUTED_VALUE"""),31.0)</f>
        <v>31</v>
      </c>
      <c r="L2499">
        <f>IFERROR(__xludf.DUMMYFUNCTION("""COMPUTED_VALUE"""),18.0)</f>
        <v>18</v>
      </c>
      <c r="M2499">
        <f>IFERROR(__xludf.DUMMYFUNCTION("""COMPUTED_VALUE"""),49.0)</f>
        <v>49</v>
      </c>
      <c r="N2499" t="str">
        <f>IFERROR(__xludf.DUMMYFUNCTION("""COMPUTED_VALUE"""),"Model 3 SR+")</f>
        <v>Model 3 SR+</v>
      </c>
      <c r="O2499" t="str">
        <f>IFERROR(__xludf.DUMMYFUNCTION("""COMPUTED_VALUE"""),"Solid Black")</f>
        <v>Solid Black</v>
      </c>
      <c r="P2499" t="str">
        <f>IFERROR(__xludf.DUMMYFUNCTION("""COMPUTED_VALUE"""),"18 inch Aero")</f>
        <v>18 inch Aero</v>
      </c>
      <c r="Q2499" t="str">
        <f>IFERROR(__xludf.DUMMYFUNCTION("""COMPUTED_VALUE"""),"Black seats")</f>
        <v>Black seats</v>
      </c>
      <c r="R2499" t="str">
        <f>IFERROR(__xludf.DUMMYFUNCTION("""COMPUTED_VALUE"""),"Autopilot")</f>
        <v>Autopilot</v>
      </c>
      <c r="X2499" t="str">
        <f>IFERROR(__xludf.DUMMYFUNCTION("""COMPUTED_VALUE"""),"Excellent")</f>
        <v>Excellent</v>
      </c>
      <c r="Y2499" t="str">
        <f>IFERROR(__xludf.DUMMYFUNCTION("""COMPUTED_VALUE"""),"Very Good")</f>
        <v>Very Good</v>
      </c>
      <c r="Z2499" t="str">
        <f>IFERROR(__xludf.DUMMYFUNCTION("""COMPUTED_VALUE"""),"Fair")</f>
        <v>Fair</v>
      </c>
      <c r="AA2499" t="str">
        <f>IFERROR(__xludf.DUMMYFUNCTION("""COMPUTED_VALUE"""),"Excellent")</f>
        <v>Excellent</v>
      </c>
      <c r="AB2499" t="str">
        <f>IFERROR(__xludf.DUMMYFUNCTION("""COMPUTED_VALUE"""),"Good")</f>
        <v>Good</v>
      </c>
      <c r="AC2499">
        <f>IFERROR(__xludf.DUMMYFUNCTION("""COMPUTED_VALUE"""),6.0)</f>
        <v>6</v>
      </c>
      <c r="AH2499" s="189">
        <f>IFERROR(__xludf.DUMMYFUNCTION("""COMPUTED_VALUE"""),44083.35169696759)</f>
        <v>44083.3517</v>
      </c>
    </row>
    <row r="2500">
      <c r="A2500" t="str">
        <f>IFERROR(__xludf.DUMMYFUNCTION("""COMPUTED_VALUE"""),"CollegeShorts")</f>
        <v>CollegeShorts</v>
      </c>
      <c r="B2500" t="str">
        <f>IFERROR(__xludf.DUMMYFUNCTION("""COMPUTED_VALUE"""),"Omaha")</f>
        <v>Omaha</v>
      </c>
      <c r="C2500" t="str">
        <f>IFERROR(__xludf.DUMMYFUNCTION("""COMPUTED_VALUE"""),"NE")</f>
        <v>NE</v>
      </c>
      <c r="D2500" t="str">
        <f>IFERROR(__xludf.DUMMYFUNCTION("""COMPUTED_VALUE"""),"USA")</f>
        <v>USA</v>
      </c>
      <c r="E2500" s="188">
        <f>IFERROR(__xludf.DUMMYFUNCTION("""COMPUTED_VALUE"""),44028.0)</f>
        <v>44028</v>
      </c>
      <c r="F2500" s="188">
        <f>IFERROR(__xludf.DUMMYFUNCTION("""COMPUTED_VALUE"""),44076.0)</f>
        <v>44076</v>
      </c>
      <c r="H2500" s="4">
        <f>IFERROR(__xludf.DUMMYFUNCTION("""COMPUTED_VALUE"""),785456.0)</f>
        <v>785456</v>
      </c>
      <c r="J2500" s="5">
        <f>IFERROR(__xludf.DUMMYFUNCTION("""COMPUTED_VALUE"""),44088.0)</f>
        <v>44088</v>
      </c>
      <c r="K2500">
        <f>IFERROR(__xludf.DUMMYFUNCTION("""COMPUTED_VALUE"""),48.0)</f>
        <v>48</v>
      </c>
      <c r="L2500">
        <f>IFERROR(__xludf.DUMMYFUNCTION("""COMPUTED_VALUE"""),12.0)</f>
        <v>12</v>
      </c>
      <c r="M2500">
        <f>IFERROR(__xludf.DUMMYFUNCTION("""COMPUTED_VALUE"""),60.0)</f>
        <v>60</v>
      </c>
      <c r="N2500" t="str">
        <f>IFERROR(__xludf.DUMMYFUNCTION("""COMPUTED_VALUE"""),"Model 3 SR+")</f>
        <v>Model 3 SR+</v>
      </c>
      <c r="O2500" t="str">
        <f>IFERROR(__xludf.DUMMYFUNCTION("""COMPUTED_VALUE"""),"Pearl White Multi-Coat")</f>
        <v>Pearl White Multi-Coat</v>
      </c>
      <c r="P2500" t="str">
        <f>IFERROR(__xludf.DUMMYFUNCTION("""COMPUTED_VALUE"""),"18 inch Aero")</f>
        <v>18 inch Aero</v>
      </c>
      <c r="Q2500" t="str">
        <f>IFERROR(__xludf.DUMMYFUNCTION("""COMPUTED_VALUE"""),"Black seats")</f>
        <v>Black seats</v>
      </c>
      <c r="R2500" t="str">
        <f>IFERROR(__xludf.DUMMYFUNCTION("""COMPUTED_VALUE"""),"Autopilot")</f>
        <v>Autopilot</v>
      </c>
      <c r="AA2500" t="str">
        <f>IFERROR(__xludf.DUMMYFUNCTION("""COMPUTED_VALUE"""),"Poor")</f>
        <v>Poor</v>
      </c>
      <c r="AB2500" t="str">
        <f>IFERROR(__xludf.DUMMYFUNCTION("""COMPUTED_VALUE"""),"Fair")</f>
        <v>Fair</v>
      </c>
      <c r="AH2500" s="189">
        <f>IFERROR(__xludf.DUMMYFUNCTION("""COMPUTED_VALUE"""),44083.49903560185)</f>
        <v>44083.49904</v>
      </c>
    </row>
    <row r="2501">
      <c r="A2501" t="str">
        <f>IFERROR(__xludf.DUMMYFUNCTION("""COMPUTED_VALUE"""),"AlexParker")</f>
        <v>AlexParker</v>
      </c>
      <c r="B2501" t="str">
        <f>IFERROR(__xludf.DUMMYFUNCTION("""COMPUTED_VALUE"""),"Denver")</f>
        <v>Denver</v>
      </c>
      <c r="C2501" t="str">
        <f>IFERROR(__xludf.DUMMYFUNCTION("""COMPUTED_VALUE"""),"CO")</f>
        <v>CO</v>
      </c>
      <c r="D2501" t="str">
        <f>IFERROR(__xludf.DUMMYFUNCTION("""COMPUTED_VALUE"""),"USA")</f>
        <v>USA</v>
      </c>
      <c r="E2501" s="188">
        <f>IFERROR(__xludf.DUMMYFUNCTION("""COMPUTED_VALUE"""),44043.0)</f>
        <v>44043</v>
      </c>
      <c r="F2501" s="188">
        <f>IFERROR(__xludf.DUMMYFUNCTION("""COMPUTED_VALUE"""),44081.0)</f>
        <v>44081</v>
      </c>
      <c r="H2501">
        <f>IFERROR(__xludf.DUMMYFUNCTION("""COMPUTED_VALUE"""),791255.0)</f>
        <v>791255</v>
      </c>
      <c r="I2501" t="str">
        <f>IFERROR(__xludf.DUMMYFUNCTION("""COMPUTED_VALUE"""),"09/20")</f>
        <v>09/20</v>
      </c>
      <c r="J2501" s="5">
        <f>IFERROR(__xludf.DUMMYFUNCTION("""COMPUTED_VALUE"""),44082.0)</f>
        <v>44082</v>
      </c>
      <c r="K2501">
        <f>IFERROR(__xludf.DUMMYFUNCTION("""COMPUTED_VALUE"""),38.0)</f>
        <v>38</v>
      </c>
      <c r="L2501">
        <f>IFERROR(__xludf.DUMMYFUNCTION("""COMPUTED_VALUE"""),1.0)</f>
        <v>1</v>
      </c>
      <c r="M2501">
        <f>IFERROR(__xludf.DUMMYFUNCTION("""COMPUTED_VALUE"""),39.0)</f>
        <v>39</v>
      </c>
      <c r="N2501" t="str">
        <f>IFERROR(__xludf.DUMMYFUNCTION("""COMPUTED_VALUE"""),"Model 3 LR AWD")</f>
        <v>Model 3 LR AWD</v>
      </c>
      <c r="O2501" t="str">
        <f>IFERROR(__xludf.DUMMYFUNCTION("""COMPUTED_VALUE"""),"Pearl White Multi-Coat")</f>
        <v>Pearl White Multi-Coat</v>
      </c>
      <c r="P2501" t="str">
        <f>IFERROR(__xludf.DUMMYFUNCTION("""COMPUTED_VALUE"""),"18 inch Aero")</f>
        <v>18 inch Aero</v>
      </c>
      <c r="Q2501" t="str">
        <f>IFERROR(__xludf.DUMMYFUNCTION("""COMPUTED_VALUE"""),"White seats")</f>
        <v>White seats</v>
      </c>
      <c r="R2501" t="str">
        <f>IFERROR(__xludf.DUMMYFUNCTION("""COMPUTED_VALUE"""),"Autopilot")</f>
        <v>Autopilot</v>
      </c>
      <c r="X2501" t="str">
        <f>IFERROR(__xludf.DUMMYFUNCTION("""COMPUTED_VALUE"""),"Excellent")</f>
        <v>Excellent</v>
      </c>
      <c r="Y2501" t="str">
        <f>IFERROR(__xludf.DUMMYFUNCTION("""COMPUTED_VALUE"""),"Excellent")</f>
        <v>Excellent</v>
      </c>
      <c r="Z2501" t="str">
        <f>IFERROR(__xludf.DUMMYFUNCTION("""COMPUTED_VALUE"""),"Excellent")</f>
        <v>Excellent</v>
      </c>
      <c r="AA2501" t="str">
        <f>IFERROR(__xludf.DUMMYFUNCTION("""COMPUTED_VALUE"""),"Good")</f>
        <v>Good</v>
      </c>
      <c r="AB2501" t="str">
        <f>IFERROR(__xludf.DUMMYFUNCTION("""COMPUTED_VALUE"""),"Excellent")</f>
        <v>Excellent</v>
      </c>
      <c r="AC2501">
        <f>IFERROR(__xludf.DUMMYFUNCTION("""COMPUTED_VALUE"""),0.0)</f>
        <v>0</v>
      </c>
      <c r="AD2501">
        <f>IFERROR(__xludf.DUMMYFUNCTION("""COMPUTED_VALUE"""),0.0)</f>
        <v>0</v>
      </c>
      <c r="AE2501">
        <f>IFERROR(__xludf.DUMMYFUNCTION("""COMPUTED_VALUE"""),0.0)</f>
        <v>0</v>
      </c>
      <c r="AG2501" t="str">
        <f>IFERROR(__xludf.DUMMYFUNCTION("""COMPUTED_VALUE"""),"Very different delivery experience than my wife’s. Much better.")</f>
        <v>Very different delivery experience than my wife’s. Much better.</v>
      </c>
      <c r="AH2501" s="189">
        <f>IFERROR(__xludf.DUMMYFUNCTION("""COMPUTED_VALUE"""),44083.83078402778)</f>
        <v>44083.83078</v>
      </c>
    </row>
    <row r="2502">
      <c r="A2502" t="str">
        <f>IFERROR(__xludf.DUMMYFUNCTION("""COMPUTED_VALUE"""),"Ndukauba")</f>
        <v>Ndukauba</v>
      </c>
      <c r="B2502" t="str">
        <f>IFERROR(__xludf.DUMMYFUNCTION("""COMPUTED_VALUE"""),"Mesa")</f>
        <v>Mesa</v>
      </c>
      <c r="C2502" t="str">
        <f>IFERROR(__xludf.DUMMYFUNCTION("""COMPUTED_VALUE"""),"AZ")</f>
        <v>AZ</v>
      </c>
      <c r="D2502" t="str">
        <f>IFERROR(__xludf.DUMMYFUNCTION("""COMPUTED_VALUE"""),"USA")</f>
        <v>USA</v>
      </c>
      <c r="E2502" s="188">
        <f>IFERROR(__xludf.DUMMYFUNCTION("""COMPUTED_VALUE"""),44037.0)</f>
        <v>44037</v>
      </c>
      <c r="F2502" s="188">
        <f>IFERROR(__xludf.DUMMYFUNCTION("""COMPUTED_VALUE"""),44079.0)</f>
        <v>44079</v>
      </c>
      <c r="H2502">
        <f>IFERROR(__xludf.DUMMYFUNCTION("""COMPUTED_VALUE"""),791455.0)</f>
        <v>791455</v>
      </c>
      <c r="J2502" s="5">
        <f>IFERROR(__xludf.DUMMYFUNCTION("""COMPUTED_VALUE"""),44083.0)</f>
        <v>44083</v>
      </c>
      <c r="K2502">
        <f>IFERROR(__xludf.DUMMYFUNCTION("""COMPUTED_VALUE"""),42.0)</f>
        <v>42</v>
      </c>
      <c r="L2502">
        <f>IFERROR(__xludf.DUMMYFUNCTION("""COMPUTED_VALUE"""),4.0)</f>
        <v>4</v>
      </c>
      <c r="M2502">
        <f>IFERROR(__xludf.DUMMYFUNCTION("""COMPUTED_VALUE"""),46.0)</f>
        <v>46</v>
      </c>
      <c r="N2502" t="str">
        <f>IFERROR(__xludf.DUMMYFUNCTION("""COMPUTED_VALUE"""),"Model 3 LR AWD")</f>
        <v>Model 3 LR AWD</v>
      </c>
      <c r="O2502" t="str">
        <f>IFERROR(__xludf.DUMMYFUNCTION("""COMPUTED_VALUE"""),"Midnight Silver Metallic")</f>
        <v>Midnight Silver Metallic</v>
      </c>
      <c r="P2502" t="str">
        <f>IFERROR(__xludf.DUMMYFUNCTION("""COMPUTED_VALUE"""),"19 inch Sport")</f>
        <v>19 inch Sport</v>
      </c>
      <c r="Q2502" t="str">
        <f>IFERROR(__xludf.DUMMYFUNCTION("""COMPUTED_VALUE"""),"White seats")</f>
        <v>White seats</v>
      </c>
      <c r="R2502" t="str">
        <f>IFERROR(__xludf.DUMMYFUNCTION("""COMPUTED_VALUE"""),"Autopilot")</f>
        <v>Autopilot</v>
      </c>
      <c r="X2502" t="str">
        <f>IFERROR(__xludf.DUMMYFUNCTION("""COMPUTED_VALUE"""),"Excellent")</f>
        <v>Excellent</v>
      </c>
      <c r="Y2502" t="str">
        <f>IFERROR(__xludf.DUMMYFUNCTION("""COMPUTED_VALUE"""),"Excellent")</f>
        <v>Excellent</v>
      </c>
      <c r="Z2502" t="str">
        <f>IFERROR(__xludf.DUMMYFUNCTION("""COMPUTED_VALUE"""),"Excellent")</f>
        <v>Excellent</v>
      </c>
      <c r="AA2502" t="str">
        <f>IFERROR(__xludf.DUMMYFUNCTION("""COMPUTED_VALUE"""),"Excellent")</f>
        <v>Excellent</v>
      </c>
      <c r="AB2502" t="str">
        <f>IFERROR(__xludf.DUMMYFUNCTION("""COMPUTED_VALUE"""),"Excellent")</f>
        <v>Excellent</v>
      </c>
      <c r="AG2502" t="str">
        <f>IFERROR(__xludf.DUMMYFUNCTION("""COMPUTED_VALUE"""),"Received car on 9/9. Entirely worth it. Buy it!")</f>
        <v>Received car on 9/9. Entirely worth it. Buy it!</v>
      </c>
      <c r="AH2502" s="189">
        <f>IFERROR(__xludf.DUMMYFUNCTION("""COMPUTED_VALUE"""),44083.83239681713)</f>
        <v>44083.8324</v>
      </c>
    </row>
    <row r="2503">
      <c r="A2503" t="str">
        <f>IFERROR(__xludf.DUMMYFUNCTION("""COMPUTED_VALUE"""),"SnarkNerd")</f>
        <v>SnarkNerd</v>
      </c>
      <c r="B2503" t="str">
        <f>IFERROR(__xludf.DUMMYFUNCTION("""COMPUTED_VALUE"""),"Brooklyn")</f>
        <v>Brooklyn</v>
      </c>
      <c r="C2503" t="str">
        <f>IFERROR(__xludf.DUMMYFUNCTION("""COMPUTED_VALUE"""),"NY")</f>
        <v>NY</v>
      </c>
      <c r="D2503" t="str">
        <f>IFERROR(__xludf.DUMMYFUNCTION("""COMPUTED_VALUE"""),"USA")</f>
        <v>USA</v>
      </c>
      <c r="E2503" s="188">
        <f>IFERROR(__xludf.DUMMYFUNCTION("""COMPUTED_VALUE"""),44037.0)</f>
        <v>44037</v>
      </c>
      <c r="F2503" s="188">
        <f>IFERROR(__xludf.DUMMYFUNCTION("""COMPUTED_VALUE"""),44069.0)</f>
        <v>44069</v>
      </c>
      <c r="H2503">
        <f>IFERROR(__xludf.DUMMYFUNCTION("""COMPUTED_VALUE"""),783055.0)</f>
        <v>783055</v>
      </c>
      <c r="J2503" s="5">
        <f>IFERROR(__xludf.DUMMYFUNCTION("""COMPUTED_VALUE"""),44072.0)</f>
        <v>44072</v>
      </c>
      <c r="K2503">
        <f>IFERROR(__xludf.DUMMYFUNCTION("""COMPUTED_VALUE"""),32.0)</f>
        <v>32</v>
      </c>
      <c r="L2503">
        <f>IFERROR(__xludf.DUMMYFUNCTION("""COMPUTED_VALUE"""),3.0)</f>
        <v>3</v>
      </c>
      <c r="M2503">
        <f>IFERROR(__xludf.DUMMYFUNCTION("""COMPUTED_VALUE"""),35.0)</f>
        <v>35</v>
      </c>
      <c r="N2503" t="str">
        <f>IFERROR(__xludf.DUMMYFUNCTION("""COMPUTED_VALUE"""),"Model 3 LR AWD")</f>
        <v>Model 3 LR AWD</v>
      </c>
      <c r="O2503" t="str">
        <f>IFERROR(__xludf.DUMMYFUNCTION("""COMPUTED_VALUE"""),"Solid Black")</f>
        <v>Solid Black</v>
      </c>
      <c r="P2503" t="str">
        <f>IFERROR(__xludf.DUMMYFUNCTION("""COMPUTED_VALUE"""),"19 inch Sport")</f>
        <v>19 inch Sport</v>
      </c>
      <c r="Q2503" t="str">
        <f>IFERROR(__xludf.DUMMYFUNCTION("""COMPUTED_VALUE"""),"Black seats")</f>
        <v>Black seats</v>
      </c>
      <c r="R2503" t="str">
        <f>IFERROR(__xludf.DUMMYFUNCTION("""COMPUTED_VALUE"""),"Autopilot")</f>
        <v>Autopilot</v>
      </c>
      <c r="X2503" t="str">
        <f>IFERROR(__xludf.DUMMYFUNCTION("""COMPUTED_VALUE"""),"Very Good")</f>
        <v>Very Good</v>
      </c>
      <c r="Y2503" t="str">
        <f>IFERROR(__xludf.DUMMYFUNCTION("""COMPUTED_VALUE"""),"Excellent")</f>
        <v>Excellent</v>
      </c>
      <c r="Z2503" t="str">
        <f>IFERROR(__xludf.DUMMYFUNCTION("""COMPUTED_VALUE"""),"Very Good")</f>
        <v>Very Good</v>
      </c>
      <c r="AA2503" t="str">
        <f>IFERROR(__xludf.DUMMYFUNCTION("""COMPUTED_VALUE"""),"Fair")</f>
        <v>Fair</v>
      </c>
      <c r="AB2503" t="str">
        <f>IFERROR(__xludf.DUMMYFUNCTION("""COMPUTED_VALUE"""),"Excellent")</f>
        <v>Excellent</v>
      </c>
      <c r="AC2503">
        <f>IFERROR(__xludf.DUMMYFUNCTION("""COMPUTED_VALUE"""),1.0)</f>
        <v>1</v>
      </c>
      <c r="AD2503">
        <f>IFERROR(__xludf.DUMMYFUNCTION("""COMPUTED_VALUE"""),1.0)</f>
        <v>1</v>
      </c>
      <c r="AE2503">
        <f>IFERROR(__xludf.DUMMYFUNCTION("""COMPUTED_VALUE"""),1.0)</f>
        <v>1</v>
      </c>
      <c r="AH2503" s="189">
        <f>IFERROR(__xludf.DUMMYFUNCTION("""COMPUTED_VALUE"""),44084.574363761574)</f>
        <v>44084.57436</v>
      </c>
    </row>
    <row r="2504">
      <c r="A2504" t="str">
        <f>IFERROR(__xludf.DUMMYFUNCTION("""COMPUTED_VALUE"""),"blizza87")</f>
        <v>blizza87</v>
      </c>
      <c r="B2504" t="str">
        <f>IFERROR(__xludf.DUMMYFUNCTION("""COMPUTED_VALUE"""),"Philadelphia")</f>
        <v>Philadelphia</v>
      </c>
      <c r="C2504" t="str">
        <f>IFERROR(__xludf.DUMMYFUNCTION("""COMPUTED_VALUE"""),"PA")</f>
        <v>PA</v>
      </c>
      <c r="D2504" t="str">
        <f>IFERROR(__xludf.DUMMYFUNCTION("""COMPUTED_VALUE"""),"USA")</f>
        <v>USA</v>
      </c>
      <c r="E2504" s="188">
        <f>IFERROR(__xludf.DUMMYFUNCTION("""COMPUTED_VALUE"""),44046.0)</f>
        <v>44046</v>
      </c>
      <c r="F2504" s="188">
        <f>IFERROR(__xludf.DUMMYFUNCTION("""COMPUTED_VALUE"""),44068.0)</f>
        <v>44068</v>
      </c>
      <c r="H2504">
        <f>IFERROR(__xludf.DUMMYFUNCTION("""COMPUTED_VALUE"""),784245.0)</f>
        <v>784245</v>
      </c>
      <c r="J2504" s="5">
        <f>IFERROR(__xludf.DUMMYFUNCTION("""COMPUTED_VALUE"""),44082.0)</f>
        <v>44082</v>
      </c>
      <c r="K2504">
        <f>IFERROR(__xludf.DUMMYFUNCTION("""COMPUTED_VALUE"""),22.0)</f>
        <v>22</v>
      </c>
      <c r="L2504">
        <f>IFERROR(__xludf.DUMMYFUNCTION("""COMPUTED_VALUE"""),14.0)</f>
        <v>14</v>
      </c>
      <c r="M2504">
        <f>IFERROR(__xludf.DUMMYFUNCTION("""COMPUTED_VALUE"""),36.0)</f>
        <v>36</v>
      </c>
      <c r="N2504" t="str">
        <f>IFERROR(__xludf.DUMMYFUNCTION("""COMPUTED_VALUE"""),"Model 3 Performance")</f>
        <v>Model 3 Performance</v>
      </c>
      <c r="O2504" t="str">
        <f>IFERROR(__xludf.DUMMYFUNCTION("""COMPUTED_VALUE"""),"Pearl White Multi-Coat")</f>
        <v>Pearl White Multi-Coat</v>
      </c>
      <c r="P2504" t="str">
        <f>IFERROR(__xludf.DUMMYFUNCTION("""COMPUTED_VALUE"""),"20 inch Sport")</f>
        <v>20 inch Sport</v>
      </c>
      <c r="Q2504" t="str">
        <f>IFERROR(__xludf.DUMMYFUNCTION("""COMPUTED_VALUE"""),"White seats")</f>
        <v>White seats</v>
      </c>
      <c r="R2504" t="str">
        <f>IFERROR(__xludf.DUMMYFUNCTION("""COMPUTED_VALUE"""),"Autopilot")</f>
        <v>Autopilot</v>
      </c>
      <c r="X2504" t="str">
        <f>IFERROR(__xludf.DUMMYFUNCTION("""COMPUTED_VALUE"""),"Excellent")</f>
        <v>Excellent</v>
      </c>
      <c r="Y2504" t="str">
        <f>IFERROR(__xludf.DUMMYFUNCTION("""COMPUTED_VALUE"""),"Excellent")</f>
        <v>Excellent</v>
      </c>
      <c r="Z2504" t="str">
        <f>IFERROR(__xludf.DUMMYFUNCTION("""COMPUTED_VALUE"""),"Excellent")</f>
        <v>Excellent</v>
      </c>
      <c r="AA2504" t="str">
        <f>IFERROR(__xludf.DUMMYFUNCTION("""COMPUTED_VALUE"""),"Excellent")</f>
        <v>Excellent</v>
      </c>
      <c r="AB2504" t="str">
        <f>IFERROR(__xludf.DUMMYFUNCTION("""COMPUTED_VALUE"""),"Excellent")</f>
        <v>Excellent</v>
      </c>
      <c r="AH2504" s="189">
        <f>IFERROR(__xludf.DUMMYFUNCTION("""COMPUTED_VALUE"""),44084.81281148148)</f>
        <v>44084.81281</v>
      </c>
    </row>
    <row r="2505">
      <c r="A2505" t="str">
        <f>IFERROR(__xludf.DUMMYFUNCTION("""COMPUTED_VALUE"""),"TheGreatRanger1")</f>
        <v>TheGreatRanger1</v>
      </c>
      <c r="B2505" t="str">
        <f>IFERROR(__xludf.DUMMYFUNCTION("""COMPUTED_VALUE"""),"Bakersfield")</f>
        <v>Bakersfield</v>
      </c>
      <c r="C2505" t="str">
        <f>IFERROR(__xludf.DUMMYFUNCTION("""COMPUTED_VALUE"""),"CA")</f>
        <v>CA</v>
      </c>
      <c r="D2505" t="str">
        <f>IFERROR(__xludf.DUMMYFUNCTION("""COMPUTED_VALUE"""),"USA")</f>
        <v>USA</v>
      </c>
      <c r="E2505" s="188">
        <f>IFERROR(__xludf.DUMMYFUNCTION("""COMPUTED_VALUE"""),44006.0)</f>
        <v>44006</v>
      </c>
      <c r="F2505" s="188">
        <f>IFERROR(__xludf.DUMMYFUNCTION("""COMPUTED_VALUE"""),44081.0)</f>
        <v>44081</v>
      </c>
      <c r="H2505">
        <f>IFERROR(__xludf.DUMMYFUNCTION("""COMPUTED_VALUE"""),790455.0)</f>
        <v>790455</v>
      </c>
      <c r="I2505" t="str">
        <f>IFERROR(__xludf.DUMMYFUNCTION("""COMPUTED_VALUE"""),"09/20")</f>
        <v>09/20</v>
      </c>
      <c r="J2505" s="5">
        <f>IFERROR(__xludf.DUMMYFUNCTION("""COMPUTED_VALUE"""),44084.0)</f>
        <v>44084</v>
      </c>
      <c r="K2505">
        <f>IFERROR(__xludf.DUMMYFUNCTION("""COMPUTED_VALUE"""),75.0)</f>
        <v>75</v>
      </c>
      <c r="L2505">
        <f>IFERROR(__xludf.DUMMYFUNCTION("""COMPUTED_VALUE"""),3.0)</f>
        <v>3</v>
      </c>
      <c r="M2505">
        <f>IFERROR(__xludf.DUMMYFUNCTION("""COMPUTED_VALUE"""),78.0)</f>
        <v>78</v>
      </c>
      <c r="N2505" t="str">
        <f>IFERROR(__xludf.DUMMYFUNCTION("""COMPUTED_VALUE"""),"Model 3 LR AWD")</f>
        <v>Model 3 LR AWD</v>
      </c>
      <c r="O2505" t="str">
        <f>IFERROR(__xludf.DUMMYFUNCTION("""COMPUTED_VALUE"""),"Deep Blue Metallic")</f>
        <v>Deep Blue Metallic</v>
      </c>
      <c r="P2505" t="str">
        <f>IFERROR(__xludf.DUMMYFUNCTION("""COMPUTED_VALUE"""),"18 inch Aero")</f>
        <v>18 inch Aero</v>
      </c>
      <c r="Q2505" t="str">
        <f>IFERROR(__xludf.DUMMYFUNCTION("""COMPUTED_VALUE"""),"Black seats")</f>
        <v>Black seats</v>
      </c>
      <c r="R2505" t="str">
        <f>IFERROR(__xludf.DUMMYFUNCTION("""COMPUTED_VALUE"""),"Full Self-Driving")</f>
        <v>Full Self-Driving</v>
      </c>
      <c r="X2505" t="str">
        <f>IFERROR(__xludf.DUMMYFUNCTION("""COMPUTED_VALUE"""),"Excellent")</f>
        <v>Excellent</v>
      </c>
      <c r="Y2505" t="str">
        <f>IFERROR(__xludf.DUMMYFUNCTION("""COMPUTED_VALUE"""),"Good")</f>
        <v>Good</v>
      </c>
      <c r="Z2505" t="str">
        <f>IFERROR(__xludf.DUMMYFUNCTION("""COMPUTED_VALUE"""),"Excellent")</f>
        <v>Excellent</v>
      </c>
      <c r="AA2505" t="str">
        <f>IFERROR(__xludf.DUMMYFUNCTION("""COMPUTED_VALUE"""),"Excellent")</f>
        <v>Excellent</v>
      </c>
      <c r="AB2505" t="str">
        <f>IFERROR(__xludf.DUMMYFUNCTION("""COMPUTED_VALUE"""),"Very Good")</f>
        <v>Very Good</v>
      </c>
      <c r="AC2505">
        <f>IFERROR(__xludf.DUMMYFUNCTION("""COMPUTED_VALUE"""),1.0)</f>
        <v>1</v>
      </c>
      <c r="AD2505">
        <f>IFERROR(__xludf.DUMMYFUNCTION("""COMPUTED_VALUE"""),1.0)</f>
        <v>1</v>
      </c>
      <c r="AE2505">
        <f>IFERROR(__xludf.DUMMYFUNCTION("""COMPUTED_VALUE"""),0.0)</f>
        <v>0</v>
      </c>
      <c r="AG2505" t="str">
        <f>IFERROR(__xludf.DUMMYFUNCTION("""COMPUTED_VALUE"""),"Declined inital June delivery date which came a week after order due to being out of the state. Just matched after Tesla started the matching process on August 1st.")</f>
        <v>Declined inital June delivery date which came a week after order due to being out of the state. Just matched after Tesla started the matching process on August 1st.</v>
      </c>
      <c r="AH2505" s="189">
        <f>IFERROR(__xludf.DUMMYFUNCTION("""COMPUTED_VALUE"""),44085.226561689815)</f>
        <v>44085.22656</v>
      </c>
    </row>
    <row r="2506">
      <c r="A2506" t="str">
        <f>IFERROR(__xludf.DUMMYFUNCTION("""COMPUTED_VALUE"""),"quick")</f>
        <v>quick</v>
      </c>
      <c r="B2506" t="str">
        <f>IFERROR(__xludf.DUMMYFUNCTION("""COMPUTED_VALUE"""),"Montreal")</f>
        <v>Montreal</v>
      </c>
      <c r="C2506" t="str">
        <f>IFERROR(__xludf.DUMMYFUNCTION("""COMPUTED_VALUE"""),"QC")</f>
        <v>QC</v>
      </c>
      <c r="D2506" t="str">
        <f>IFERROR(__xludf.DUMMYFUNCTION("""COMPUTED_VALUE"""),"Canada")</f>
        <v>Canada</v>
      </c>
      <c r="E2506" s="188">
        <f>IFERROR(__xludf.DUMMYFUNCTION("""COMPUTED_VALUE"""),44053.0)</f>
        <v>44053</v>
      </c>
      <c r="F2506" s="188">
        <f>IFERROR(__xludf.DUMMYFUNCTION("""COMPUTED_VALUE"""),44070.0)</f>
        <v>44070</v>
      </c>
      <c r="H2506">
        <f>IFERROR(__xludf.DUMMYFUNCTION("""COMPUTED_VALUE"""),786555.0)</f>
        <v>786555</v>
      </c>
      <c r="J2506" s="5">
        <f>IFERROR(__xludf.DUMMYFUNCTION("""COMPUTED_VALUE"""),44084.0)</f>
        <v>44084</v>
      </c>
      <c r="K2506">
        <f>IFERROR(__xludf.DUMMYFUNCTION("""COMPUTED_VALUE"""),17.0)</f>
        <v>17</v>
      </c>
      <c r="L2506">
        <f>IFERROR(__xludf.DUMMYFUNCTION("""COMPUTED_VALUE"""),14.0)</f>
        <v>14</v>
      </c>
      <c r="M2506">
        <f>IFERROR(__xludf.DUMMYFUNCTION("""COMPUTED_VALUE"""),31.0)</f>
        <v>31</v>
      </c>
      <c r="N2506" t="str">
        <f>IFERROR(__xludf.DUMMYFUNCTION("""COMPUTED_VALUE"""),"Model 3 SR+")</f>
        <v>Model 3 SR+</v>
      </c>
      <c r="O2506" t="str">
        <f>IFERROR(__xludf.DUMMYFUNCTION("""COMPUTED_VALUE"""),"Pearl White Multi-Coat")</f>
        <v>Pearl White Multi-Coat</v>
      </c>
      <c r="P2506" t="str">
        <f>IFERROR(__xludf.DUMMYFUNCTION("""COMPUTED_VALUE"""),"18 inch Aero")</f>
        <v>18 inch Aero</v>
      </c>
      <c r="Q2506" t="str">
        <f>IFERROR(__xludf.DUMMYFUNCTION("""COMPUTED_VALUE"""),"Black seats")</f>
        <v>Black seats</v>
      </c>
      <c r="R2506" t="str">
        <f>IFERROR(__xludf.DUMMYFUNCTION("""COMPUTED_VALUE"""),"Autopilot")</f>
        <v>Autopilot</v>
      </c>
      <c r="X2506" t="str">
        <f>IFERROR(__xludf.DUMMYFUNCTION("""COMPUTED_VALUE"""),"Very Good")</f>
        <v>Very Good</v>
      </c>
      <c r="Y2506" t="str">
        <f>IFERROR(__xludf.DUMMYFUNCTION("""COMPUTED_VALUE"""),"Excellent")</f>
        <v>Excellent</v>
      </c>
      <c r="Z2506" t="str">
        <f>IFERROR(__xludf.DUMMYFUNCTION("""COMPUTED_VALUE"""),"Excellent")</f>
        <v>Excellent</v>
      </c>
      <c r="AA2506" t="str">
        <f>IFERROR(__xludf.DUMMYFUNCTION("""COMPUTED_VALUE"""),"Poor")</f>
        <v>Poor</v>
      </c>
      <c r="AB2506" t="str">
        <f>IFERROR(__xludf.DUMMYFUNCTION("""COMPUTED_VALUE"""),"Excellent")</f>
        <v>Excellent</v>
      </c>
      <c r="AH2506" s="189">
        <f>IFERROR(__xludf.DUMMYFUNCTION("""COMPUTED_VALUE"""),44086.29551465278)</f>
        <v>44086.29551</v>
      </c>
    </row>
    <row r="2507">
      <c r="A2507" t="str">
        <f>IFERROR(__xludf.DUMMYFUNCTION("""COMPUTED_VALUE"""),"Pete Schweaty")</f>
        <v>Pete Schweaty</v>
      </c>
      <c r="C2507" t="str">
        <f>IFERROR(__xludf.DUMMYFUNCTION("""COMPUTED_VALUE"""),"MD")</f>
        <v>MD</v>
      </c>
      <c r="D2507" t="str">
        <f>IFERROR(__xludf.DUMMYFUNCTION("""COMPUTED_VALUE"""),"USA")</f>
        <v>USA</v>
      </c>
      <c r="E2507" s="188">
        <f>IFERROR(__xludf.DUMMYFUNCTION("""COMPUTED_VALUE"""),44058.0)</f>
        <v>44058</v>
      </c>
      <c r="F2507" s="188">
        <f>IFERROR(__xludf.DUMMYFUNCTION("""COMPUTED_VALUE"""),44071.0)</f>
        <v>44071</v>
      </c>
      <c r="H2507" s="4">
        <f>IFERROR(__xludf.DUMMYFUNCTION("""COMPUTED_VALUE"""),784541.0)</f>
        <v>784541</v>
      </c>
      <c r="J2507" s="5">
        <f>IFERROR(__xludf.DUMMYFUNCTION("""COMPUTED_VALUE"""),44090.0)</f>
        <v>44090</v>
      </c>
      <c r="K2507">
        <f>IFERROR(__xludf.DUMMYFUNCTION("""COMPUTED_VALUE"""),13.0)</f>
        <v>13</v>
      </c>
      <c r="L2507">
        <f>IFERROR(__xludf.DUMMYFUNCTION("""COMPUTED_VALUE"""),19.0)</f>
        <v>19</v>
      </c>
      <c r="M2507">
        <f>IFERROR(__xludf.DUMMYFUNCTION("""COMPUTED_VALUE"""),32.0)</f>
        <v>32</v>
      </c>
      <c r="N2507" t="str">
        <f>IFERROR(__xludf.DUMMYFUNCTION("""COMPUTED_VALUE"""),"Model 3 Performance")</f>
        <v>Model 3 Performance</v>
      </c>
      <c r="O2507" t="str">
        <f>IFERROR(__xludf.DUMMYFUNCTION("""COMPUTED_VALUE"""),"Pearl White Multi-Coat")</f>
        <v>Pearl White Multi-Coat</v>
      </c>
      <c r="P2507" t="str">
        <f>IFERROR(__xludf.DUMMYFUNCTION("""COMPUTED_VALUE"""),"20 inch Sport")</f>
        <v>20 inch Sport</v>
      </c>
      <c r="Q2507" t="str">
        <f>IFERROR(__xludf.DUMMYFUNCTION("""COMPUTED_VALUE"""),"Black seats")</f>
        <v>Black seats</v>
      </c>
      <c r="R2507" t="str">
        <f>IFERROR(__xludf.DUMMYFUNCTION("""COMPUTED_VALUE"""),"Autopilot")</f>
        <v>Autopilot</v>
      </c>
      <c r="X2507" t="str">
        <f>IFERROR(__xludf.DUMMYFUNCTION("""COMPUTED_VALUE"""),"Fair")</f>
        <v>Fair</v>
      </c>
      <c r="Y2507" t="str">
        <f>IFERROR(__xludf.DUMMYFUNCTION("""COMPUTED_VALUE"""),"Good")</f>
        <v>Good</v>
      </c>
      <c r="Z2507" t="str">
        <f>IFERROR(__xludf.DUMMYFUNCTION("""COMPUTED_VALUE"""),"Very Good")</f>
        <v>Very Good</v>
      </c>
      <c r="AA2507" t="str">
        <f>IFERROR(__xludf.DUMMYFUNCTION("""COMPUTED_VALUE"""),"Very Good")</f>
        <v>Very Good</v>
      </c>
      <c r="AB2507" t="str">
        <f>IFERROR(__xludf.DUMMYFUNCTION("""COMPUTED_VALUE"""),"Good")</f>
        <v>Good</v>
      </c>
      <c r="AH2507" s="189">
        <f>IFERROR(__xludf.DUMMYFUNCTION("""COMPUTED_VALUE"""),44086.35225519676)</f>
        <v>44086.35226</v>
      </c>
    </row>
    <row r="2508">
      <c r="A2508" t="str">
        <f>IFERROR(__xludf.DUMMYFUNCTION("""COMPUTED_VALUE"""),"inagib")</f>
        <v>inagib</v>
      </c>
      <c r="B2508" t="str">
        <f>IFERROR(__xludf.DUMMYFUNCTION("""COMPUTED_VALUE"""),"Montreal")</f>
        <v>Montreal</v>
      </c>
      <c r="C2508" t="str">
        <f>IFERROR(__xludf.DUMMYFUNCTION("""COMPUTED_VALUE"""),"QC")</f>
        <v>QC</v>
      </c>
      <c r="D2508" t="str">
        <f>IFERROR(__xludf.DUMMYFUNCTION("""COMPUTED_VALUE"""),"Canada")</f>
        <v>Canada</v>
      </c>
      <c r="E2508" s="188">
        <f>IFERROR(__xludf.DUMMYFUNCTION("""COMPUTED_VALUE"""),44042.0)</f>
        <v>44042</v>
      </c>
      <c r="F2508" s="188">
        <f>IFERROR(__xludf.DUMMYFUNCTION("""COMPUTED_VALUE"""),44078.0)</f>
        <v>44078</v>
      </c>
      <c r="J2508" s="5">
        <f>IFERROR(__xludf.DUMMYFUNCTION("""COMPUTED_VALUE"""),44085.0)</f>
        <v>44085</v>
      </c>
      <c r="K2508">
        <f>IFERROR(__xludf.DUMMYFUNCTION("""COMPUTED_VALUE"""),36.0)</f>
        <v>36</v>
      </c>
      <c r="L2508">
        <f>IFERROR(__xludf.DUMMYFUNCTION("""COMPUTED_VALUE"""),7.0)</f>
        <v>7</v>
      </c>
      <c r="M2508">
        <f>IFERROR(__xludf.DUMMYFUNCTION("""COMPUTED_VALUE"""),43.0)</f>
        <v>43</v>
      </c>
      <c r="N2508" t="str">
        <f>IFERROR(__xludf.DUMMYFUNCTION("""COMPUTED_VALUE"""),"Model 3 SR+")</f>
        <v>Model 3 SR+</v>
      </c>
      <c r="O2508" t="str">
        <f>IFERROR(__xludf.DUMMYFUNCTION("""COMPUTED_VALUE"""),"Pearl White Multi-Coat")</f>
        <v>Pearl White Multi-Coat</v>
      </c>
      <c r="P2508" t="str">
        <f>IFERROR(__xludf.DUMMYFUNCTION("""COMPUTED_VALUE"""),"18 inch Aero")</f>
        <v>18 inch Aero</v>
      </c>
      <c r="Q2508" t="str">
        <f>IFERROR(__xludf.DUMMYFUNCTION("""COMPUTED_VALUE"""),"Black seats")</f>
        <v>Black seats</v>
      </c>
      <c r="R2508" t="str">
        <f>IFERROR(__xludf.DUMMYFUNCTION("""COMPUTED_VALUE"""),"Autopilot")</f>
        <v>Autopilot</v>
      </c>
      <c r="X2508" t="str">
        <f>IFERROR(__xludf.DUMMYFUNCTION("""COMPUTED_VALUE"""),"Good")</f>
        <v>Good</v>
      </c>
      <c r="Y2508" t="str">
        <f>IFERROR(__xludf.DUMMYFUNCTION("""COMPUTED_VALUE"""),"Very Good")</f>
        <v>Very Good</v>
      </c>
      <c r="Z2508" t="str">
        <f>IFERROR(__xludf.DUMMYFUNCTION("""COMPUTED_VALUE"""),"Excellent")</f>
        <v>Excellent</v>
      </c>
      <c r="AA2508" t="str">
        <f>IFERROR(__xludf.DUMMYFUNCTION("""COMPUTED_VALUE"""),"Good")</f>
        <v>Good</v>
      </c>
      <c r="AB2508" t="str">
        <f>IFERROR(__xludf.DUMMYFUNCTION("""COMPUTED_VALUE"""),"Good")</f>
        <v>Good</v>
      </c>
      <c r="AC2508">
        <f>IFERROR(__xludf.DUMMYFUNCTION("""COMPUTED_VALUE"""),2.0)</f>
        <v>2</v>
      </c>
      <c r="AH2508" s="189">
        <f>IFERROR(__xludf.DUMMYFUNCTION("""COMPUTED_VALUE"""),44087.31396763889)</f>
        <v>44087.31397</v>
      </c>
    </row>
    <row r="2509">
      <c r="A2509" t="str">
        <f>IFERROR(__xludf.DUMMYFUNCTION("""COMPUTED_VALUE"""),"Artdawg")</f>
        <v>Artdawg</v>
      </c>
      <c r="B2509" t="str">
        <f>IFERROR(__xludf.DUMMYFUNCTION("""COMPUTED_VALUE"""),"Long Island")</f>
        <v>Long Island</v>
      </c>
      <c r="C2509" t="str">
        <f>IFERROR(__xludf.DUMMYFUNCTION("""COMPUTED_VALUE"""),"NY")</f>
        <v>NY</v>
      </c>
      <c r="D2509" t="str">
        <f>IFERROR(__xludf.DUMMYFUNCTION("""COMPUTED_VALUE"""),"USA")</f>
        <v>USA</v>
      </c>
      <c r="E2509" s="188">
        <f>IFERROR(__xludf.DUMMYFUNCTION("""COMPUTED_VALUE"""),44034.0)</f>
        <v>44034</v>
      </c>
      <c r="J2509" s="5">
        <f>IFERROR(__xludf.DUMMYFUNCTION("""COMPUTED_VALUE"""),44087.0)</f>
        <v>44087</v>
      </c>
      <c r="M2509">
        <f>IFERROR(__xludf.DUMMYFUNCTION("""COMPUTED_VALUE"""),53.0)</f>
        <v>53</v>
      </c>
      <c r="N2509" t="str">
        <f>IFERROR(__xludf.DUMMYFUNCTION("""COMPUTED_VALUE"""),"Model 3 LR AWD")</f>
        <v>Model 3 LR AWD</v>
      </c>
      <c r="O2509" t="str">
        <f>IFERROR(__xludf.DUMMYFUNCTION("""COMPUTED_VALUE"""),"Midnight Silver Metallic")</f>
        <v>Midnight Silver Metallic</v>
      </c>
      <c r="P2509" t="str">
        <f>IFERROR(__xludf.DUMMYFUNCTION("""COMPUTED_VALUE"""),"18 inch Aero")</f>
        <v>18 inch Aero</v>
      </c>
      <c r="Q2509" t="str">
        <f>IFERROR(__xludf.DUMMYFUNCTION("""COMPUTED_VALUE"""),"Black seats")</f>
        <v>Black seats</v>
      </c>
      <c r="R2509" t="str">
        <f>IFERROR(__xludf.DUMMYFUNCTION("""COMPUTED_VALUE"""),"Full Self-Driving")</f>
        <v>Full Self-Driving</v>
      </c>
      <c r="X2509" t="str">
        <f>IFERROR(__xludf.DUMMYFUNCTION("""COMPUTED_VALUE"""),"Excellent")</f>
        <v>Excellent</v>
      </c>
      <c r="Y2509" t="str">
        <f>IFERROR(__xludf.DUMMYFUNCTION("""COMPUTED_VALUE"""),"Excellent")</f>
        <v>Excellent</v>
      </c>
      <c r="Z2509" t="str">
        <f>IFERROR(__xludf.DUMMYFUNCTION("""COMPUTED_VALUE"""),"Excellent")</f>
        <v>Excellent</v>
      </c>
      <c r="AA2509" t="str">
        <f>IFERROR(__xludf.DUMMYFUNCTION("""COMPUTED_VALUE"""),"Very Good")</f>
        <v>Very Good</v>
      </c>
      <c r="AB2509" t="str">
        <f>IFERROR(__xludf.DUMMYFUNCTION("""COMPUTED_VALUE"""),"Excellent")</f>
        <v>Excellent</v>
      </c>
      <c r="AH2509" s="189">
        <f>IFERROR(__xludf.DUMMYFUNCTION("""COMPUTED_VALUE"""),44088.345412361115)</f>
        <v>44088.34541</v>
      </c>
    </row>
    <row r="2510">
      <c r="A2510" t="str">
        <f>IFERROR(__xludf.DUMMYFUNCTION("""COMPUTED_VALUE"""),"HitUpOlas")</f>
        <v>HitUpOlas</v>
      </c>
      <c r="B2510" t="str">
        <f>IFERROR(__xludf.DUMMYFUNCTION("""COMPUTED_VALUE"""),"Atlanta")</f>
        <v>Atlanta</v>
      </c>
      <c r="C2510" t="str">
        <f>IFERROR(__xludf.DUMMYFUNCTION("""COMPUTED_VALUE"""),"GA")</f>
        <v>GA</v>
      </c>
      <c r="D2510" t="str">
        <f>IFERROR(__xludf.DUMMYFUNCTION("""COMPUTED_VALUE"""),"USA")</f>
        <v>USA</v>
      </c>
      <c r="E2510" s="188">
        <f>IFERROR(__xludf.DUMMYFUNCTION("""COMPUTED_VALUE"""),44061.0)</f>
        <v>44061</v>
      </c>
      <c r="F2510" s="188">
        <f>IFERROR(__xludf.DUMMYFUNCTION("""COMPUTED_VALUE"""),44071.0)</f>
        <v>44071</v>
      </c>
      <c r="H2510">
        <f>IFERROR(__xludf.DUMMYFUNCTION("""COMPUTED_VALUE"""),785055.0)</f>
        <v>785055</v>
      </c>
      <c r="I2510" t="str">
        <f>IFERROR(__xludf.DUMMYFUNCTION("""COMPUTED_VALUE"""),"08/20")</f>
        <v>08/20</v>
      </c>
      <c r="J2510" s="5">
        <f>IFERROR(__xludf.DUMMYFUNCTION("""COMPUTED_VALUE"""),44088.0)</f>
        <v>44088</v>
      </c>
      <c r="K2510">
        <f>IFERROR(__xludf.DUMMYFUNCTION("""COMPUTED_VALUE"""),10.0)</f>
        <v>10</v>
      </c>
      <c r="L2510">
        <f>IFERROR(__xludf.DUMMYFUNCTION("""COMPUTED_VALUE"""),17.0)</f>
        <v>17</v>
      </c>
      <c r="M2510">
        <f>IFERROR(__xludf.DUMMYFUNCTION("""COMPUTED_VALUE"""),27.0)</f>
        <v>27</v>
      </c>
      <c r="N2510" t="str">
        <f>IFERROR(__xludf.DUMMYFUNCTION("""COMPUTED_VALUE"""),"Model 3 SR+")</f>
        <v>Model 3 SR+</v>
      </c>
      <c r="O2510" t="str">
        <f>IFERROR(__xludf.DUMMYFUNCTION("""COMPUTED_VALUE"""),"Deep Blue Metallic")</f>
        <v>Deep Blue Metallic</v>
      </c>
      <c r="P2510" t="str">
        <f>IFERROR(__xludf.DUMMYFUNCTION("""COMPUTED_VALUE"""),"18 inch Aero")</f>
        <v>18 inch Aero</v>
      </c>
      <c r="Q2510" t="str">
        <f>IFERROR(__xludf.DUMMYFUNCTION("""COMPUTED_VALUE"""),"Black seats")</f>
        <v>Black seats</v>
      </c>
      <c r="R2510" t="str">
        <f>IFERROR(__xludf.DUMMYFUNCTION("""COMPUTED_VALUE"""),"Autopilot")</f>
        <v>Autopilot</v>
      </c>
      <c r="X2510" t="str">
        <f>IFERROR(__xludf.DUMMYFUNCTION("""COMPUTED_VALUE"""),"Excellent")</f>
        <v>Excellent</v>
      </c>
      <c r="Y2510" t="str">
        <f>IFERROR(__xludf.DUMMYFUNCTION("""COMPUTED_VALUE"""),"Excellent")</f>
        <v>Excellent</v>
      </c>
      <c r="Z2510" t="str">
        <f>IFERROR(__xludf.DUMMYFUNCTION("""COMPUTED_VALUE"""),"Excellent")</f>
        <v>Excellent</v>
      </c>
      <c r="AA2510" t="str">
        <f>IFERROR(__xludf.DUMMYFUNCTION("""COMPUTED_VALUE"""),"Excellent")</f>
        <v>Excellent</v>
      </c>
      <c r="AB2510" t="str">
        <f>IFERROR(__xludf.DUMMYFUNCTION("""COMPUTED_VALUE"""),"Excellent")</f>
        <v>Excellent</v>
      </c>
      <c r="AC2510">
        <f>IFERROR(__xludf.DUMMYFUNCTION("""COMPUTED_VALUE"""),0.0)</f>
        <v>0</v>
      </c>
      <c r="AD2510">
        <f>IFERROR(__xludf.DUMMYFUNCTION("""COMPUTED_VALUE"""),0.0)</f>
        <v>0</v>
      </c>
      <c r="AE2510">
        <f>IFERROR(__xludf.DUMMYFUNCTION("""COMPUTED_VALUE"""),0.0)</f>
        <v>0</v>
      </c>
      <c r="AG2510" t="str">
        <f>IFERROR(__xludf.DUMMYFUNCTION("""COMPUTED_VALUE"""),"Initial Text from Tesla was 3-6 weeks.  Delivered on day 27")</f>
        <v>Initial Text from Tesla was 3-6 weeks.  Delivered on day 27</v>
      </c>
      <c r="AH2510" s="189">
        <f>IFERROR(__xludf.DUMMYFUNCTION("""COMPUTED_VALUE"""),44088.78993533565)</f>
        <v>44088.78994</v>
      </c>
    </row>
    <row r="2511">
      <c r="A2511" t="str">
        <f>IFERROR(__xludf.DUMMYFUNCTION("""COMPUTED_VALUE"""),"TBM9")</f>
        <v>TBM9</v>
      </c>
      <c r="B2511" t="str">
        <f>IFERROR(__xludf.DUMMYFUNCTION("""COMPUTED_VALUE"""),"Los Angeles")</f>
        <v>Los Angeles</v>
      </c>
      <c r="C2511" t="str">
        <f>IFERROR(__xludf.DUMMYFUNCTION("""COMPUTED_VALUE"""),"CA")</f>
        <v>CA</v>
      </c>
      <c r="D2511" t="str">
        <f>IFERROR(__xludf.DUMMYFUNCTION("""COMPUTED_VALUE"""),"USA")</f>
        <v>USA</v>
      </c>
      <c r="E2511" s="188">
        <f>IFERROR(__xludf.DUMMYFUNCTION("""COMPUTED_VALUE"""),44031.0)</f>
        <v>44031</v>
      </c>
      <c r="F2511" s="188">
        <f>IFERROR(__xludf.DUMMYFUNCTION("""COMPUTED_VALUE"""),44061.0)</f>
        <v>44061</v>
      </c>
      <c r="H2511">
        <f>IFERROR(__xludf.DUMMYFUNCTION("""COMPUTED_VALUE"""),774955.0)</f>
        <v>774955</v>
      </c>
      <c r="I2511" t="str">
        <f>IFERROR(__xludf.DUMMYFUNCTION("""COMPUTED_VALUE"""),"08/20")</f>
        <v>08/20</v>
      </c>
      <c r="J2511" s="5">
        <f>IFERROR(__xludf.DUMMYFUNCTION("""COMPUTED_VALUE"""),44066.0)</f>
        <v>44066</v>
      </c>
      <c r="K2511">
        <f>IFERROR(__xludf.DUMMYFUNCTION("""COMPUTED_VALUE"""),30.0)</f>
        <v>30</v>
      </c>
      <c r="L2511">
        <f>IFERROR(__xludf.DUMMYFUNCTION("""COMPUTED_VALUE"""),5.0)</f>
        <v>5</v>
      </c>
      <c r="M2511">
        <f>IFERROR(__xludf.DUMMYFUNCTION("""COMPUTED_VALUE"""),35.0)</f>
        <v>35</v>
      </c>
      <c r="N2511" t="str">
        <f>IFERROR(__xludf.DUMMYFUNCTION("""COMPUTED_VALUE"""),"Model 3 Performance")</f>
        <v>Model 3 Performance</v>
      </c>
      <c r="O2511" t="str">
        <f>IFERROR(__xludf.DUMMYFUNCTION("""COMPUTED_VALUE"""),"Midnight Silver Metallic")</f>
        <v>Midnight Silver Metallic</v>
      </c>
      <c r="P2511" t="str">
        <f>IFERROR(__xludf.DUMMYFUNCTION("""COMPUTED_VALUE"""),"20 inch Sport")</f>
        <v>20 inch Sport</v>
      </c>
      <c r="Q2511" t="str">
        <f>IFERROR(__xludf.DUMMYFUNCTION("""COMPUTED_VALUE"""),"White seats")</f>
        <v>White seats</v>
      </c>
      <c r="R2511" t="str">
        <f>IFERROR(__xludf.DUMMYFUNCTION("""COMPUTED_VALUE"""),"Autopilot")</f>
        <v>Autopilot</v>
      </c>
      <c r="X2511" t="str">
        <f>IFERROR(__xludf.DUMMYFUNCTION("""COMPUTED_VALUE"""),"Very Good")</f>
        <v>Very Good</v>
      </c>
      <c r="Y2511" t="str">
        <f>IFERROR(__xludf.DUMMYFUNCTION("""COMPUTED_VALUE"""),"Very Good")</f>
        <v>Very Good</v>
      </c>
      <c r="Z2511" t="str">
        <f>IFERROR(__xludf.DUMMYFUNCTION("""COMPUTED_VALUE"""),"Good")</f>
        <v>Good</v>
      </c>
      <c r="AA2511" t="str">
        <f>IFERROR(__xludf.DUMMYFUNCTION("""COMPUTED_VALUE"""),"Fair")</f>
        <v>Fair</v>
      </c>
      <c r="AB2511" t="str">
        <f>IFERROR(__xludf.DUMMYFUNCTION("""COMPUTED_VALUE"""),"Fair")</f>
        <v>Fair</v>
      </c>
      <c r="AC2511">
        <f>IFERROR(__xludf.DUMMYFUNCTION("""COMPUTED_VALUE"""),5.0)</f>
        <v>5</v>
      </c>
      <c r="AD2511">
        <f>IFERROR(__xludf.DUMMYFUNCTION("""COMPUTED_VALUE"""),2.0)</f>
        <v>2</v>
      </c>
      <c r="AE2511">
        <f>IFERROR(__xludf.DUMMYFUNCTION("""COMPUTED_VALUE"""),3.0)</f>
        <v>3</v>
      </c>
      <c r="AH2511" s="189">
        <f>IFERROR(__xludf.DUMMYFUNCTION("""COMPUTED_VALUE"""),44088.85547042824)</f>
        <v>44088.85547</v>
      </c>
    </row>
    <row r="2512">
      <c r="A2512" t="str">
        <f>IFERROR(__xludf.DUMMYFUNCTION("""COMPUTED_VALUE"""),"Spoji")</f>
        <v>Spoji</v>
      </c>
      <c r="B2512" t="str">
        <f>IFERROR(__xludf.DUMMYFUNCTION("""COMPUTED_VALUE"""),"Montreal")</f>
        <v>Montreal</v>
      </c>
      <c r="C2512" t="str">
        <f>IFERROR(__xludf.DUMMYFUNCTION("""COMPUTED_VALUE"""),"QC")</f>
        <v>QC</v>
      </c>
      <c r="D2512" t="str">
        <f>IFERROR(__xludf.DUMMYFUNCTION("""COMPUTED_VALUE"""),"Canada")</f>
        <v>Canada</v>
      </c>
      <c r="E2512" s="188">
        <f>IFERROR(__xludf.DUMMYFUNCTION("""COMPUTED_VALUE"""),44040.0)</f>
        <v>44040</v>
      </c>
      <c r="F2512" s="188">
        <f>IFERROR(__xludf.DUMMYFUNCTION("""COMPUTED_VALUE"""),44074.0)</f>
        <v>44074</v>
      </c>
      <c r="H2512">
        <f>IFERROR(__xludf.DUMMYFUNCTION("""COMPUTED_VALUE"""),786299.0)</f>
        <v>786299</v>
      </c>
      <c r="I2512" t="str">
        <f>IFERROR(__xludf.DUMMYFUNCTION("""COMPUTED_VALUE"""),"09/20")</f>
        <v>09/20</v>
      </c>
      <c r="J2512" s="5">
        <f>IFERROR(__xludf.DUMMYFUNCTION("""COMPUTED_VALUE"""),44083.0)</f>
        <v>44083</v>
      </c>
      <c r="K2512">
        <f>IFERROR(__xludf.DUMMYFUNCTION("""COMPUTED_VALUE"""),34.0)</f>
        <v>34</v>
      </c>
      <c r="L2512">
        <f>IFERROR(__xludf.DUMMYFUNCTION("""COMPUTED_VALUE"""),9.0)</f>
        <v>9</v>
      </c>
      <c r="M2512">
        <f>IFERROR(__xludf.DUMMYFUNCTION("""COMPUTED_VALUE"""),43.0)</f>
        <v>43</v>
      </c>
      <c r="N2512" t="str">
        <f>IFERROR(__xludf.DUMMYFUNCTION("""COMPUTED_VALUE"""),"Model 3 SR+")</f>
        <v>Model 3 SR+</v>
      </c>
      <c r="O2512" t="str">
        <f>IFERROR(__xludf.DUMMYFUNCTION("""COMPUTED_VALUE"""),"Pearl White Multi-Coat")</f>
        <v>Pearl White Multi-Coat</v>
      </c>
      <c r="P2512" t="str">
        <f>IFERROR(__xludf.DUMMYFUNCTION("""COMPUTED_VALUE"""),"18 inch Aero")</f>
        <v>18 inch Aero</v>
      </c>
      <c r="Q2512" t="str">
        <f>IFERROR(__xludf.DUMMYFUNCTION("""COMPUTED_VALUE"""),"Black seats")</f>
        <v>Black seats</v>
      </c>
      <c r="R2512" t="str">
        <f>IFERROR(__xludf.DUMMYFUNCTION("""COMPUTED_VALUE"""),"Autopilot")</f>
        <v>Autopilot</v>
      </c>
      <c r="X2512" t="str">
        <f>IFERROR(__xludf.DUMMYFUNCTION("""COMPUTED_VALUE"""),"Very Good")</f>
        <v>Very Good</v>
      </c>
      <c r="Y2512" t="str">
        <f>IFERROR(__xludf.DUMMYFUNCTION("""COMPUTED_VALUE"""),"Very Good")</f>
        <v>Very Good</v>
      </c>
      <c r="Z2512" t="str">
        <f>IFERROR(__xludf.DUMMYFUNCTION("""COMPUTED_VALUE"""),"Very Good")</f>
        <v>Very Good</v>
      </c>
      <c r="AA2512" t="str">
        <f>IFERROR(__xludf.DUMMYFUNCTION("""COMPUTED_VALUE"""),"Excellent")</f>
        <v>Excellent</v>
      </c>
      <c r="AB2512" t="str">
        <f>IFERROR(__xludf.DUMMYFUNCTION("""COMPUTED_VALUE"""),"Excellent")</f>
        <v>Excellent</v>
      </c>
      <c r="AC2512">
        <f>IFERROR(__xludf.DUMMYFUNCTION("""COMPUTED_VALUE"""),2.0)</f>
        <v>2</v>
      </c>
      <c r="AD2512">
        <f>IFERROR(__xludf.DUMMYFUNCTION("""COMPUTED_VALUE"""),1.0)</f>
        <v>1</v>
      </c>
      <c r="AE2512">
        <f>IFERROR(__xludf.DUMMYFUNCTION("""COMPUTED_VALUE"""),0.0)</f>
        <v>0</v>
      </c>
      <c r="AH2512" s="189">
        <f>IFERROR(__xludf.DUMMYFUNCTION("""COMPUTED_VALUE"""),44090.34696041667)</f>
        <v>44090.34696</v>
      </c>
    </row>
    <row r="2513">
      <c r="A2513" t="str">
        <f>IFERROR(__xludf.DUMMYFUNCTION("""COMPUTED_VALUE"""),"cosmicllama")</f>
        <v>cosmicllama</v>
      </c>
      <c r="B2513" t="str">
        <f>IFERROR(__xludf.DUMMYFUNCTION("""COMPUTED_VALUE"""),"Tysons Corner")</f>
        <v>Tysons Corner</v>
      </c>
      <c r="C2513" t="str">
        <f>IFERROR(__xludf.DUMMYFUNCTION("""COMPUTED_VALUE"""),"VA")</f>
        <v>VA</v>
      </c>
      <c r="D2513" t="str">
        <f>IFERROR(__xludf.DUMMYFUNCTION("""COMPUTED_VALUE"""),"USA")</f>
        <v>USA</v>
      </c>
      <c r="E2513" s="188">
        <f>IFERROR(__xludf.DUMMYFUNCTION("""COMPUTED_VALUE"""),44493.0)</f>
        <v>44493</v>
      </c>
      <c r="N2513" t="str">
        <f>IFERROR(__xludf.DUMMYFUNCTION("""COMPUTED_VALUE"""),"Model 3 LR AWD")</f>
        <v>Model 3 LR AWD</v>
      </c>
      <c r="O2513" t="str">
        <f>IFERROR(__xludf.DUMMYFUNCTION("""COMPUTED_VALUE"""),"Deep Blue Metallic")</f>
        <v>Deep Blue Metallic</v>
      </c>
      <c r="P2513" t="str">
        <f>IFERROR(__xludf.DUMMYFUNCTION("""COMPUTED_VALUE"""),"18 inch")</f>
        <v>18 inch</v>
      </c>
      <c r="Q2513" t="str">
        <f>IFERROR(__xludf.DUMMYFUNCTION("""COMPUTED_VALUE"""),"Black and White")</f>
        <v>Black and White</v>
      </c>
      <c r="R2513" t="str">
        <f>IFERROR(__xludf.DUMMYFUNCTION("""COMPUTED_VALUE"""),"Autopilot included")</f>
        <v>Autopilot included</v>
      </c>
      <c r="S2513" t="str">
        <f>IFERROR(__xludf.DUMMYFUNCTION("""COMPUTED_VALUE"""),"Loan")</f>
        <v>Loan</v>
      </c>
      <c r="T2513" t="str">
        <f>IFERROR(__xludf.DUMMYFUNCTION("""COMPUTED_VALUE"""),"Tesla Model 3")</f>
        <v>Tesla Model 3</v>
      </c>
      <c r="U2513" t="str">
        <f>IFERROR(__xludf.DUMMYFUNCTION("""COMPUTED_VALUE"""),"Electric!")</f>
        <v>Electric!</v>
      </c>
      <c r="V2513" t="str">
        <f>IFERROR(__xludf.DUMMYFUNCTION("""COMPUTED_VALUE"""),"360° Bird's eye view")</f>
        <v>360° Bird's eye view</v>
      </c>
      <c r="AH2513" s="189">
        <f>IFERROR(__xludf.DUMMYFUNCTION("""COMPUTED_VALUE"""),44493.50904585648)</f>
        <v>44493.50905</v>
      </c>
    </row>
    <row r="2514">
      <c r="A2514" t="str">
        <f>IFERROR(__xludf.DUMMYFUNCTION("""COMPUTED_VALUE"""),"ZILL360")</f>
        <v>ZILL360</v>
      </c>
      <c r="B2514" t="str">
        <f>IFERROR(__xludf.DUMMYFUNCTION("""COMPUTED_VALUE"""),"Monteasno")</f>
        <v>Monteasno</v>
      </c>
      <c r="C2514" t="str">
        <f>IFERROR(__xludf.DUMMYFUNCTION("""COMPUTED_VALUE"""),"WA")</f>
        <v>WA</v>
      </c>
      <c r="D2514" t="str">
        <f>IFERROR(__xludf.DUMMYFUNCTION("""COMPUTED_VALUE"""),"USA")</f>
        <v>USA</v>
      </c>
      <c r="E2514" s="188">
        <f>IFERROR(__xludf.DUMMYFUNCTION("""COMPUTED_VALUE"""),43970.0)</f>
        <v>43970</v>
      </c>
      <c r="J2514" s="5">
        <f>IFERROR(__xludf.DUMMYFUNCTION("""COMPUTED_VALUE"""),43992.0)</f>
        <v>43992</v>
      </c>
      <c r="M2514">
        <f>IFERROR(__xludf.DUMMYFUNCTION("""COMPUTED_VALUE"""),22.0)</f>
        <v>22</v>
      </c>
      <c r="N2514" t="str">
        <f>IFERROR(__xludf.DUMMYFUNCTION("""COMPUTED_VALUE"""),"Model 3 LR AWD")</f>
        <v>Model 3 LR AWD</v>
      </c>
      <c r="O2514" t="str">
        <f>IFERROR(__xludf.DUMMYFUNCTION("""COMPUTED_VALUE"""),"Pearl White Multi-Coat")</f>
        <v>Pearl White Multi-Coat</v>
      </c>
      <c r="P2514" t="str">
        <f>IFERROR(__xludf.DUMMYFUNCTION("""COMPUTED_VALUE"""),"19 inch Sport")</f>
        <v>19 inch Sport</v>
      </c>
      <c r="Q2514" t="str">
        <f>IFERROR(__xludf.DUMMYFUNCTION("""COMPUTED_VALUE"""),"Black seats")</f>
        <v>Black seats</v>
      </c>
      <c r="R2514" t="str">
        <f>IFERROR(__xludf.DUMMYFUNCTION("""COMPUTED_VALUE"""),"Full Self-Driving")</f>
        <v>Full Self-Driving</v>
      </c>
      <c r="X2514" t="str">
        <f>IFERROR(__xludf.DUMMYFUNCTION("""COMPUTED_VALUE"""),"Very Good")</f>
        <v>Very Good</v>
      </c>
      <c r="Y2514" t="str">
        <f>IFERROR(__xludf.DUMMYFUNCTION("""COMPUTED_VALUE"""),"Excellent")</f>
        <v>Excellent</v>
      </c>
      <c r="Z2514" t="str">
        <f>IFERROR(__xludf.DUMMYFUNCTION("""COMPUTED_VALUE"""),"Very Good")</f>
        <v>Very Good</v>
      </c>
      <c r="AA2514" t="str">
        <f>IFERROR(__xludf.DUMMYFUNCTION("""COMPUTED_VALUE"""),"Excellent")</f>
        <v>Excellent</v>
      </c>
      <c r="AB2514" t="str">
        <f>IFERROR(__xludf.DUMMYFUNCTION("""COMPUTED_VALUE"""),"Excellent")</f>
        <v>Excellent</v>
      </c>
      <c r="AC2514">
        <f>IFERROR(__xludf.DUMMYFUNCTION("""COMPUTED_VALUE"""),0.0)</f>
        <v>0</v>
      </c>
      <c r="AD2514">
        <f>IFERROR(__xludf.DUMMYFUNCTION("""COMPUTED_VALUE"""),0.0)</f>
        <v>0</v>
      </c>
      <c r="AE2514">
        <f>IFERROR(__xludf.DUMMYFUNCTION("""COMPUTED_VALUE"""),0.0)</f>
        <v>0</v>
      </c>
      <c r="AH2514" s="189">
        <f>IFERROR(__xludf.DUMMYFUNCTION("""COMPUTED_VALUE"""),44090.535091620375)</f>
        <v>44090.53509</v>
      </c>
    </row>
    <row r="2515">
      <c r="A2515" t="str">
        <f>IFERROR(__xludf.DUMMYFUNCTION("""COMPUTED_VALUE"""),"scooter62")</f>
        <v>scooter62</v>
      </c>
      <c r="B2515" t="str">
        <f>IFERROR(__xludf.DUMMYFUNCTION("""COMPUTED_VALUE"""),"Tampa")</f>
        <v>Tampa</v>
      </c>
      <c r="C2515" t="str">
        <f>IFERROR(__xludf.DUMMYFUNCTION("""COMPUTED_VALUE"""),"FL")</f>
        <v>FL</v>
      </c>
      <c r="D2515" t="str">
        <f>IFERROR(__xludf.DUMMYFUNCTION("""COMPUTED_VALUE"""),"USA")</f>
        <v>USA</v>
      </c>
      <c r="E2515" s="188">
        <f>IFERROR(__xludf.DUMMYFUNCTION("""COMPUTED_VALUE"""),44044.0)</f>
        <v>44044</v>
      </c>
      <c r="F2515" s="188">
        <f>IFERROR(__xludf.DUMMYFUNCTION("""COMPUTED_VALUE"""),44070.0)</f>
        <v>44070</v>
      </c>
      <c r="H2515">
        <f>IFERROR(__xludf.DUMMYFUNCTION("""COMPUTED_VALUE"""),774929.0)</f>
        <v>774929</v>
      </c>
      <c r="I2515" t="str">
        <f>IFERROR(__xludf.DUMMYFUNCTION("""COMPUTED_VALUE"""),"08/20")</f>
        <v>08/20</v>
      </c>
      <c r="J2515" s="5">
        <f>IFERROR(__xludf.DUMMYFUNCTION("""COMPUTED_VALUE"""),44087.0)</f>
        <v>44087</v>
      </c>
      <c r="K2515">
        <f>IFERROR(__xludf.DUMMYFUNCTION("""COMPUTED_VALUE"""),26.0)</f>
        <v>26</v>
      </c>
      <c r="L2515">
        <f>IFERROR(__xludf.DUMMYFUNCTION("""COMPUTED_VALUE"""),17.0)</f>
        <v>17</v>
      </c>
      <c r="M2515">
        <f>IFERROR(__xludf.DUMMYFUNCTION("""COMPUTED_VALUE"""),43.0)</f>
        <v>43</v>
      </c>
      <c r="N2515" t="str">
        <f>IFERROR(__xludf.DUMMYFUNCTION("""COMPUTED_VALUE"""),"Model 3 LR AWD")</f>
        <v>Model 3 LR AWD</v>
      </c>
      <c r="O2515" t="str">
        <f>IFERROR(__xludf.DUMMYFUNCTION("""COMPUTED_VALUE"""),"Pearl White Multi-Coat")</f>
        <v>Pearl White Multi-Coat</v>
      </c>
      <c r="P2515" t="str">
        <f>IFERROR(__xludf.DUMMYFUNCTION("""COMPUTED_VALUE"""),"18 inch Aero")</f>
        <v>18 inch Aero</v>
      </c>
      <c r="Q2515" t="str">
        <f>IFERROR(__xludf.DUMMYFUNCTION("""COMPUTED_VALUE"""),"Black seats")</f>
        <v>Black seats</v>
      </c>
      <c r="R2515" t="str">
        <f>IFERROR(__xludf.DUMMYFUNCTION("""COMPUTED_VALUE"""),"Full Self-Driving")</f>
        <v>Full Self-Driving</v>
      </c>
      <c r="X2515" t="str">
        <f>IFERROR(__xludf.DUMMYFUNCTION("""COMPUTED_VALUE"""),"Good")</f>
        <v>Good</v>
      </c>
      <c r="Y2515" t="str">
        <f>IFERROR(__xludf.DUMMYFUNCTION("""COMPUTED_VALUE"""),"Very Good")</f>
        <v>Very Good</v>
      </c>
      <c r="Z2515" t="str">
        <f>IFERROR(__xludf.DUMMYFUNCTION("""COMPUTED_VALUE"""),"Very Good")</f>
        <v>Very Good</v>
      </c>
      <c r="AA2515" t="str">
        <f>IFERROR(__xludf.DUMMYFUNCTION("""COMPUTED_VALUE"""),"Excellent")</f>
        <v>Excellent</v>
      </c>
      <c r="AB2515" t="str">
        <f>IFERROR(__xludf.DUMMYFUNCTION("""COMPUTED_VALUE"""),"Very Good")</f>
        <v>Very Good</v>
      </c>
      <c r="AC2515">
        <f>IFERROR(__xludf.DUMMYFUNCTION("""COMPUTED_VALUE"""),2.0)</f>
        <v>2</v>
      </c>
      <c r="AD2515">
        <f>IFERROR(__xludf.DUMMYFUNCTION("""COMPUTED_VALUE"""),1.0)</f>
        <v>1</v>
      </c>
      <c r="AH2515" s="189">
        <f>IFERROR(__xludf.DUMMYFUNCTION("""COMPUTED_VALUE"""),44090.68143655093)</f>
        <v>44090.68144</v>
      </c>
    </row>
    <row r="2516">
      <c r="A2516" t="str">
        <f>IFERROR(__xludf.DUMMYFUNCTION("""COMPUTED_VALUE"""),"ShaolinJ")</f>
        <v>ShaolinJ</v>
      </c>
      <c r="B2516" t="str">
        <f>IFERROR(__xludf.DUMMYFUNCTION("""COMPUTED_VALUE"""),"Las Vegas")</f>
        <v>Las Vegas</v>
      </c>
      <c r="C2516" t="str">
        <f>IFERROR(__xludf.DUMMYFUNCTION("""COMPUTED_VALUE"""),"NV")</f>
        <v>NV</v>
      </c>
      <c r="D2516" t="str">
        <f>IFERROR(__xludf.DUMMYFUNCTION("""COMPUTED_VALUE"""),"USA")</f>
        <v>USA</v>
      </c>
      <c r="E2516" s="188">
        <f>IFERROR(__xludf.DUMMYFUNCTION("""COMPUTED_VALUE"""),44019.0)</f>
        <v>44019</v>
      </c>
      <c r="F2516" s="188">
        <f>IFERROR(__xludf.DUMMYFUNCTION("""COMPUTED_VALUE"""),44086.0)</f>
        <v>44086</v>
      </c>
      <c r="H2516">
        <f>IFERROR(__xludf.DUMMYFUNCTION("""COMPUTED_VALUE"""),795855.0)</f>
        <v>795855</v>
      </c>
      <c r="I2516" t="str">
        <f>IFERROR(__xludf.DUMMYFUNCTION("""COMPUTED_VALUE"""),"09/20")</f>
        <v>09/20</v>
      </c>
      <c r="J2516" s="5">
        <f>IFERROR(__xludf.DUMMYFUNCTION("""COMPUTED_VALUE"""),44090.0)</f>
        <v>44090</v>
      </c>
      <c r="K2516">
        <f>IFERROR(__xludf.DUMMYFUNCTION("""COMPUTED_VALUE"""),67.0)</f>
        <v>67</v>
      </c>
      <c r="L2516">
        <f>IFERROR(__xludf.DUMMYFUNCTION("""COMPUTED_VALUE"""),4.0)</f>
        <v>4</v>
      </c>
      <c r="M2516">
        <f>IFERROR(__xludf.DUMMYFUNCTION("""COMPUTED_VALUE"""),71.0)</f>
        <v>71</v>
      </c>
      <c r="N2516" t="str">
        <f>IFERROR(__xludf.DUMMYFUNCTION("""COMPUTED_VALUE"""),"Model 3 LR AWD")</f>
        <v>Model 3 LR AWD</v>
      </c>
      <c r="O2516" t="str">
        <f>IFERROR(__xludf.DUMMYFUNCTION("""COMPUTED_VALUE"""),"Pearl White Multi-Coat")</f>
        <v>Pearl White Multi-Coat</v>
      </c>
      <c r="P2516" t="str">
        <f>IFERROR(__xludf.DUMMYFUNCTION("""COMPUTED_VALUE"""),"18 inch Aero")</f>
        <v>18 inch Aero</v>
      </c>
      <c r="Q2516" t="str">
        <f>IFERROR(__xludf.DUMMYFUNCTION("""COMPUTED_VALUE"""),"White seats")</f>
        <v>White seats</v>
      </c>
      <c r="R2516" t="str">
        <f>IFERROR(__xludf.DUMMYFUNCTION("""COMPUTED_VALUE"""),"Autopilot")</f>
        <v>Autopilot</v>
      </c>
      <c r="X2516" t="str">
        <f>IFERROR(__xludf.DUMMYFUNCTION("""COMPUTED_VALUE"""),"Excellent")</f>
        <v>Excellent</v>
      </c>
      <c r="Y2516" t="str">
        <f>IFERROR(__xludf.DUMMYFUNCTION("""COMPUTED_VALUE"""),"Excellent")</f>
        <v>Excellent</v>
      </c>
      <c r="Z2516" t="str">
        <f>IFERROR(__xludf.DUMMYFUNCTION("""COMPUTED_VALUE"""),"Excellent")</f>
        <v>Excellent</v>
      </c>
      <c r="AA2516" t="str">
        <f>IFERROR(__xludf.DUMMYFUNCTION("""COMPUTED_VALUE"""),"Very Good")</f>
        <v>Very Good</v>
      </c>
      <c r="AB2516" t="str">
        <f>IFERROR(__xludf.DUMMYFUNCTION("""COMPUTED_VALUE"""),"Excellent")</f>
        <v>Excellent</v>
      </c>
      <c r="AH2516" s="189">
        <f>IFERROR(__xludf.DUMMYFUNCTION("""COMPUTED_VALUE"""),44091.48698497685)</f>
        <v>44091.48698</v>
      </c>
    </row>
    <row r="2517">
      <c r="A2517" t="str">
        <f>IFERROR(__xludf.DUMMYFUNCTION("""COMPUTED_VALUE"""),"kurtatx")</f>
        <v>kurtatx</v>
      </c>
      <c r="B2517" t="str">
        <f>IFERROR(__xludf.DUMMYFUNCTION("""COMPUTED_VALUE"""),"Austin")</f>
        <v>Austin</v>
      </c>
      <c r="C2517" t="str">
        <f>IFERROR(__xludf.DUMMYFUNCTION("""COMPUTED_VALUE"""),"TX")</f>
        <v>TX</v>
      </c>
      <c r="D2517" t="str">
        <f>IFERROR(__xludf.DUMMYFUNCTION("""COMPUTED_VALUE"""),"USA")</f>
        <v>USA</v>
      </c>
      <c r="E2517" s="188">
        <f>IFERROR(__xludf.DUMMYFUNCTION("""COMPUTED_VALUE"""),44039.0)</f>
        <v>44039</v>
      </c>
      <c r="F2517" s="188">
        <f>IFERROR(__xludf.DUMMYFUNCTION("""COMPUTED_VALUE"""),44074.0)</f>
        <v>44074</v>
      </c>
      <c r="H2517">
        <f>IFERROR(__xludf.DUMMYFUNCTION("""COMPUTED_VALUE"""),787747.0)</f>
        <v>787747</v>
      </c>
      <c r="J2517" s="5">
        <f>IFERROR(__xludf.DUMMYFUNCTION("""COMPUTED_VALUE"""),44091.0)</f>
        <v>44091</v>
      </c>
      <c r="K2517">
        <f>IFERROR(__xludf.DUMMYFUNCTION("""COMPUTED_VALUE"""),35.0)</f>
        <v>35</v>
      </c>
      <c r="L2517">
        <f>IFERROR(__xludf.DUMMYFUNCTION("""COMPUTED_VALUE"""),17.0)</f>
        <v>17</v>
      </c>
      <c r="M2517">
        <f>IFERROR(__xludf.DUMMYFUNCTION("""COMPUTED_VALUE"""),52.0)</f>
        <v>52</v>
      </c>
      <c r="N2517" t="str">
        <f>IFERROR(__xludf.DUMMYFUNCTION("""COMPUTED_VALUE"""),"Model 3 LR AWD")</f>
        <v>Model 3 LR AWD</v>
      </c>
      <c r="O2517" t="str">
        <f>IFERROR(__xludf.DUMMYFUNCTION("""COMPUTED_VALUE"""),"Red Multi-Coat")</f>
        <v>Red Multi-Coat</v>
      </c>
      <c r="P2517" t="str">
        <f>IFERROR(__xludf.DUMMYFUNCTION("""COMPUTED_VALUE"""),"18 inch Aero")</f>
        <v>18 inch Aero</v>
      </c>
      <c r="Q2517" t="str">
        <f>IFERROR(__xludf.DUMMYFUNCTION("""COMPUTED_VALUE"""),"White seats")</f>
        <v>White seats</v>
      </c>
      <c r="R2517" t="str">
        <f>IFERROR(__xludf.DUMMYFUNCTION("""COMPUTED_VALUE"""),"Autopilot")</f>
        <v>Autopilot</v>
      </c>
      <c r="X2517" t="str">
        <f>IFERROR(__xludf.DUMMYFUNCTION("""COMPUTED_VALUE"""),"Very Good")</f>
        <v>Very Good</v>
      </c>
      <c r="Y2517" t="str">
        <f>IFERROR(__xludf.DUMMYFUNCTION("""COMPUTED_VALUE"""),"Very Good")</f>
        <v>Very Good</v>
      </c>
      <c r="Z2517" t="str">
        <f>IFERROR(__xludf.DUMMYFUNCTION("""COMPUTED_VALUE"""),"Excellent")</f>
        <v>Excellent</v>
      </c>
      <c r="AA2517" t="str">
        <f>IFERROR(__xludf.DUMMYFUNCTION("""COMPUTED_VALUE"""),"Very Good")</f>
        <v>Very Good</v>
      </c>
      <c r="AB2517" t="str">
        <f>IFERROR(__xludf.DUMMYFUNCTION("""COMPUTED_VALUE"""),"Excellent")</f>
        <v>Excellent</v>
      </c>
      <c r="AC2517">
        <f>IFERROR(__xludf.DUMMYFUNCTION("""COMPUTED_VALUE"""),1.0)</f>
        <v>1</v>
      </c>
      <c r="AH2517" s="189">
        <f>IFERROR(__xludf.DUMMYFUNCTION("""COMPUTED_VALUE"""),44091.636600046295)</f>
        <v>44091.6366</v>
      </c>
    </row>
    <row r="2518">
      <c r="A2518" t="str">
        <f>IFERROR(__xludf.DUMMYFUNCTION("""COMPUTED_VALUE"""),"mm2kay")</f>
        <v>mm2kay</v>
      </c>
      <c r="B2518" t="str">
        <f>IFERROR(__xludf.DUMMYFUNCTION("""COMPUTED_VALUE"""),"Atlanta, GA")</f>
        <v>Atlanta, GA</v>
      </c>
      <c r="C2518" t="str">
        <f>IFERROR(__xludf.DUMMYFUNCTION("""COMPUTED_VALUE"""),"GA")</f>
        <v>GA</v>
      </c>
      <c r="D2518" t="str">
        <f>IFERROR(__xludf.DUMMYFUNCTION("""COMPUTED_VALUE"""),"USA")</f>
        <v>USA</v>
      </c>
      <c r="E2518" s="188">
        <f>IFERROR(__xludf.DUMMYFUNCTION("""COMPUTED_VALUE"""),44053.0)</f>
        <v>44053</v>
      </c>
      <c r="F2518" s="188">
        <f>IFERROR(__xludf.DUMMYFUNCTION("""COMPUTED_VALUE"""),44069.0)</f>
        <v>44069</v>
      </c>
      <c r="H2518" s="4">
        <f>IFERROR(__xludf.DUMMYFUNCTION("""COMPUTED_VALUE"""),785235.0)</f>
        <v>785235</v>
      </c>
      <c r="J2518" s="5">
        <f>IFERROR(__xludf.DUMMYFUNCTION("""COMPUTED_VALUE"""),44088.0)</f>
        <v>44088</v>
      </c>
      <c r="K2518">
        <f>IFERROR(__xludf.DUMMYFUNCTION("""COMPUTED_VALUE"""),16.0)</f>
        <v>16</v>
      </c>
      <c r="L2518">
        <f>IFERROR(__xludf.DUMMYFUNCTION("""COMPUTED_VALUE"""),19.0)</f>
        <v>19</v>
      </c>
      <c r="M2518">
        <f>IFERROR(__xludf.DUMMYFUNCTION("""COMPUTED_VALUE"""),35.0)</f>
        <v>35</v>
      </c>
      <c r="N2518" t="str">
        <f>IFERROR(__xludf.DUMMYFUNCTION("""COMPUTED_VALUE"""),"Model 3 SR+")</f>
        <v>Model 3 SR+</v>
      </c>
      <c r="O2518" t="str">
        <f>IFERROR(__xludf.DUMMYFUNCTION("""COMPUTED_VALUE"""),"Pearl White Multi-Coat")</f>
        <v>Pearl White Multi-Coat</v>
      </c>
      <c r="P2518" t="str">
        <f>IFERROR(__xludf.DUMMYFUNCTION("""COMPUTED_VALUE"""),"18 inch Aero")</f>
        <v>18 inch Aero</v>
      </c>
      <c r="Q2518" t="str">
        <f>IFERROR(__xludf.DUMMYFUNCTION("""COMPUTED_VALUE"""),"Black seats")</f>
        <v>Black seats</v>
      </c>
      <c r="R2518" t="str">
        <f>IFERROR(__xludf.DUMMYFUNCTION("""COMPUTED_VALUE"""),"Autopilot")</f>
        <v>Autopilot</v>
      </c>
      <c r="X2518" t="str">
        <f>IFERROR(__xludf.DUMMYFUNCTION("""COMPUTED_VALUE"""),"Very Good")</f>
        <v>Very Good</v>
      </c>
      <c r="Y2518" t="str">
        <f>IFERROR(__xludf.DUMMYFUNCTION("""COMPUTED_VALUE"""),"Excellent")</f>
        <v>Excellent</v>
      </c>
      <c r="Z2518" t="str">
        <f>IFERROR(__xludf.DUMMYFUNCTION("""COMPUTED_VALUE"""),"Excellent")</f>
        <v>Excellent</v>
      </c>
      <c r="AA2518" t="str">
        <f>IFERROR(__xludf.DUMMYFUNCTION("""COMPUTED_VALUE"""),"Very Good")</f>
        <v>Very Good</v>
      </c>
      <c r="AB2518" t="str">
        <f>IFERROR(__xludf.DUMMYFUNCTION("""COMPUTED_VALUE"""),"Excellent")</f>
        <v>Excellent</v>
      </c>
      <c r="AG2518" t="str">
        <f>IFERROR(__xludf.DUMMYFUNCTION("""COMPUTED_VALUE"""),"Delivered three days early and rescheduled delivery on the 14th instead of the 15")</f>
        <v>Delivered three days early and rescheduled delivery on the 14th instead of the 15</v>
      </c>
      <c r="AH2518" s="189">
        <f>IFERROR(__xludf.DUMMYFUNCTION("""COMPUTED_VALUE"""),44091.91066717592)</f>
        <v>44091.91067</v>
      </c>
    </row>
    <row r="2519">
      <c r="A2519" t="str">
        <f>IFERROR(__xludf.DUMMYFUNCTION("""COMPUTED_VALUE"""),"bdub85")</f>
        <v>bdub85</v>
      </c>
      <c r="B2519" t="str">
        <f>IFERROR(__xludf.DUMMYFUNCTION("""COMPUTED_VALUE"""),"Millersville")</f>
        <v>Millersville</v>
      </c>
      <c r="C2519" t="str">
        <f>IFERROR(__xludf.DUMMYFUNCTION("""COMPUTED_VALUE"""),"MD")</f>
        <v>MD</v>
      </c>
      <c r="D2519" t="str">
        <f>IFERROR(__xludf.DUMMYFUNCTION("""COMPUTED_VALUE"""),"USA")</f>
        <v>USA</v>
      </c>
      <c r="E2519" s="188">
        <f>IFERROR(__xludf.DUMMYFUNCTION("""COMPUTED_VALUE"""),44069.0)</f>
        <v>44069</v>
      </c>
      <c r="F2519" s="188">
        <f>IFERROR(__xludf.DUMMYFUNCTION("""COMPUTED_VALUE"""),44076.0)</f>
        <v>44076</v>
      </c>
      <c r="H2519" s="4">
        <f>IFERROR(__xludf.DUMMYFUNCTION("""COMPUTED_VALUE"""),791851.0)</f>
        <v>791851</v>
      </c>
      <c r="J2519" s="5">
        <f>IFERROR(__xludf.DUMMYFUNCTION("""COMPUTED_VALUE"""),44091.0)</f>
        <v>44091</v>
      </c>
      <c r="K2519">
        <f>IFERROR(__xludf.DUMMYFUNCTION("""COMPUTED_VALUE"""),7.0)</f>
        <v>7</v>
      </c>
      <c r="L2519">
        <f>IFERROR(__xludf.DUMMYFUNCTION("""COMPUTED_VALUE"""),15.0)</f>
        <v>15</v>
      </c>
      <c r="M2519">
        <f>IFERROR(__xludf.DUMMYFUNCTION("""COMPUTED_VALUE"""),22.0)</f>
        <v>22</v>
      </c>
      <c r="N2519" t="str">
        <f>IFERROR(__xludf.DUMMYFUNCTION("""COMPUTED_VALUE"""),"Model 3 Performance")</f>
        <v>Model 3 Performance</v>
      </c>
      <c r="O2519" t="str">
        <f>IFERROR(__xludf.DUMMYFUNCTION("""COMPUTED_VALUE"""),"Pearl White Multi-Coat")</f>
        <v>Pearl White Multi-Coat</v>
      </c>
      <c r="P2519" t="str">
        <f>IFERROR(__xludf.DUMMYFUNCTION("""COMPUTED_VALUE"""),"20 inch Sport")</f>
        <v>20 inch Sport</v>
      </c>
      <c r="Q2519" t="str">
        <f>IFERROR(__xludf.DUMMYFUNCTION("""COMPUTED_VALUE"""),"Black seats")</f>
        <v>Black seats</v>
      </c>
      <c r="R2519" t="str">
        <f>IFERROR(__xludf.DUMMYFUNCTION("""COMPUTED_VALUE"""),"Autopilot")</f>
        <v>Autopilot</v>
      </c>
      <c r="X2519" t="str">
        <f>IFERROR(__xludf.DUMMYFUNCTION("""COMPUTED_VALUE"""),"Good")</f>
        <v>Good</v>
      </c>
      <c r="Y2519" t="str">
        <f>IFERROR(__xludf.DUMMYFUNCTION("""COMPUTED_VALUE"""),"Very Good")</f>
        <v>Very Good</v>
      </c>
      <c r="Z2519" t="str">
        <f>IFERROR(__xludf.DUMMYFUNCTION("""COMPUTED_VALUE"""),"Excellent")</f>
        <v>Excellent</v>
      </c>
      <c r="AA2519" t="str">
        <f>IFERROR(__xludf.DUMMYFUNCTION("""COMPUTED_VALUE"""),"Very Good")</f>
        <v>Very Good</v>
      </c>
      <c r="AB2519" t="str">
        <f>IFERROR(__xludf.DUMMYFUNCTION("""COMPUTED_VALUE"""),"Excellent")</f>
        <v>Excellent</v>
      </c>
      <c r="AH2519" s="189">
        <f>IFERROR(__xludf.DUMMYFUNCTION("""COMPUTED_VALUE"""),44092.14433765046)</f>
        <v>44092.14434</v>
      </c>
    </row>
    <row r="2520">
      <c r="A2520" t="str">
        <f>IFERROR(__xludf.DUMMYFUNCTION("""COMPUTED_VALUE"""),"MattyIce")</f>
        <v>MattyIce</v>
      </c>
      <c r="B2520" t="str">
        <f>IFERROR(__xludf.DUMMYFUNCTION("""COMPUTED_VALUE"""),"Cranberry")</f>
        <v>Cranberry</v>
      </c>
      <c r="C2520" t="str">
        <f>IFERROR(__xludf.DUMMYFUNCTION("""COMPUTED_VALUE"""),"PA")</f>
        <v>PA</v>
      </c>
      <c r="D2520" t="str">
        <f>IFERROR(__xludf.DUMMYFUNCTION("""COMPUTED_VALUE"""),"USA")</f>
        <v>USA</v>
      </c>
      <c r="E2520" s="188">
        <f>IFERROR(__xludf.DUMMYFUNCTION("""COMPUTED_VALUE"""),44046.0)</f>
        <v>44046</v>
      </c>
      <c r="F2520" s="188">
        <f>IFERROR(__xludf.DUMMYFUNCTION("""COMPUTED_VALUE"""),44076.0)</f>
        <v>44076</v>
      </c>
      <c r="J2520" s="5">
        <f>IFERROR(__xludf.DUMMYFUNCTION("""COMPUTED_VALUE"""),44090.0)</f>
        <v>44090</v>
      </c>
      <c r="K2520">
        <f>IFERROR(__xludf.DUMMYFUNCTION("""COMPUTED_VALUE"""),30.0)</f>
        <v>30</v>
      </c>
      <c r="L2520">
        <f>IFERROR(__xludf.DUMMYFUNCTION("""COMPUTED_VALUE"""),14.0)</f>
        <v>14</v>
      </c>
      <c r="M2520">
        <f>IFERROR(__xludf.DUMMYFUNCTION("""COMPUTED_VALUE"""),44.0)</f>
        <v>44</v>
      </c>
      <c r="N2520" t="str">
        <f>IFERROR(__xludf.DUMMYFUNCTION("""COMPUTED_VALUE"""),"Model 3 LR AWD")</f>
        <v>Model 3 LR AWD</v>
      </c>
      <c r="O2520" t="str">
        <f>IFERROR(__xludf.DUMMYFUNCTION("""COMPUTED_VALUE"""),"Pearl White Multi-Coat")</f>
        <v>Pearl White Multi-Coat</v>
      </c>
      <c r="P2520" t="str">
        <f>IFERROR(__xludf.DUMMYFUNCTION("""COMPUTED_VALUE"""),"18 inch Aero")</f>
        <v>18 inch Aero</v>
      </c>
      <c r="Q2520" t="str">
        <f>IFERROR(__xludf.DUMMYFUNCTION("""COMPUTED_VALUE"""),"Black seats")</f>
        <v>Black seats</v>
      </c>
      <c r="R2520" t="str">
        <f>IFERROR(__xludf.DUMMYFUNCTION("""COMPUTED_VALUE"""),"Autopilot")</f>
        <v>Autopilot</v>
      </c>
      <c r="X2520" t="str">
        <f>IFERROR(__xludf.DUMMYFUNCTION("""COMPUTED_VALUE"""),"Very Good")</f>
        <v>Very Good</v>
      </c>
      <c r="Y2520" t="str">
        <f>IFERROR(__xludf.DUMMYFUNCTION("""COMPUTED_VALUE"""),"Excellent")</f>
        <v>Excellent</v>
      </c>
      <c r="Z2520" t="str">
        <f>IFERROR(__xludf.DUMMYFUNCTION("""COMPUTED_VALUE"""),"Fair")</f>
        <v>Fair</v>
      </c>
      <c r="AA2520" t="str">
        <f>IFERROR(__xludf.DUMMYFUNCTION("""COMPUTED_VALUE"""),"Excellent")</f>
        <v>Excellent</v>
      </c>
      <c r="AB2520" t="str">
        <f>IFERROR(__xludf.DUMMYFUNCTION("""COMPUTED_VALUE"""),"Excellent")</f>
        <v>Excellent</v>
      </c>
      <c r="AC2520">
        <f>IFERROR(__xludf.DUMMYFUNCTION("""COMPUTED_VALUE"""),2.0)</f>
        <v>2</v>
      </c>
      <c r="AH2520" s="189">
        <f>IFERROR(__xludf.DUMMYFUNCTION("""COMPUTED_VALUE"""),44092.40887230324)</f>
        <v>44092.40887</v>
      </c>
    </row>
    <row r="2521">
      <c r="A2521" t="str">
        <f>IFERROR(__xludf.DUMMYFUNCTION("""COMPUTED_VALUE"""),"Tommyboynj ")</f>
        <v>Tommyboynj </v>
      </c>
      <c r="B2521" t="str">
        <f>IFERROR(__xludf.DUMMYFUNCTION("""COMPUTED_VALUE"""),"jackson")</f>
        <v>jackson</v>
      </c>
      <c r="C2521" t="str">
        <f>IFERROR(__xludf.DUMMYFUNCTION("""COMPUTED_VALUE"""),"NJ")</f>
        <v>NJ</v>
      </c>
      <c r="D2521" t="str">
        <f>IFERROR(__xludf.DUMMYFUNCTION("""COMPUTED_VALUE"""),"USA")</f>
        <v>USA</v>
      </c>
      <c r="E2521" s="188">
        <f>IFERROR(__xludf.DUMMYFUNCTION("""COMPUTED_VALUE"""),44074.0)</f>
        <v>44074</v>
      </c>
      <c r="F2521" s="188">
        <f>IFERROR(__xludf.DUMMYFUNCTION("""COMPUTED_VALUE"""),44081.0)</f>
        <v>44081</v>
      </c>
      <c r="I2521" t="str">
        <f>IFERROR(__xludf.DUMMYFUNCTION("""COMPUTED_VALUE"""),"09/20")</f>
        <v>09/20</v>
      </c>
      <c r="J2521" s="5">
        <f>IFERROR(__xludf.DUMMYFUNCTION("""COMPUTED_VALUE"""),44092.0)</f>
        <v>44092</v>
      </c>
      <c r="K2521">
        <f>IFERROR(__xludf.DUMMYFUNCTION("""COMPUTED_VALUE"""),7.0)</f>
        <v>7</v>
      </c>
      <c r="L2521">
        <f>IFERROR(__xludf.DUMMYFUNCTION("""COMPUTED_VALUE"""),11.0)</f>
        <v>11</v>
      </c>
      <c r="M2521">
        <f>IFERROR(__xludf.DUMMYFUNCTION("""COMPUTED_VALUE"""),18.0)</f>
        <v>18</v>
      </c>
      <c r="N2521" t="str">
        <f>IFERROR(__xludf.DUMMYFUNCTION("""COMPUTED_VALUE"""),"Model 3 SR+")</f>
        <v>Model 3 SR+</v>
      </c>
      <c r="O2521" t="str">
        <f>IFERROR(__xludf.DUMMYFUNCTION("""COMPUTED_VALUE"""),"Pearl White Multi-Coat")</f>
        <v>Pearl White Multi-Coat</v>
      </c>
      <c r="P2521" t="str">
        <f>IFERROR(__xludf.DUMMYFUNCTION("""COMPUTED_VALUE"""),"18 inch Aero")</f>
        <v>18 inch Aero</v>
      </c>
      <c r="Q2521" t="str">
        <f>IFERROR(__xludf.DUMMYFUNCTION("""COMPUTED_VALUE"""),"Black seats")</f>
        <v>Black seats</v>
      </c>
      <c r="R2521" t="str">
        <f>IFERROR(__xludf.DUMMYFUNCTION("""COMPUTED_VALUE"""),"Autopilot")</f>
        <v>Autopilot</v>
      </c>
      <c r="X2521" t="str">
        <f>IFERROR(__xludf.DUMMYFUNCTION("""COMPUTED_VALUE"""),"Excellent")</f>
        <v>Excellent</v>
      </c>
      <c r="Y2521" t="str">
        <f>IFERROR(__xludf.DUMMYFUNCTION("""COMPUTED_VALUE"""),"Excellent")</f>
        <v>Excellent</v>
      </c>
      <c r="Z2521" t="str">
        <f>IFERROR(__xludf.DUMMYFUNCTION("""COMPUTED_VALUE"""),"Excellent")</f>
        <v>Excellent</v>
      </c>
      <c r="AA2521" t="str">
        <f>IFERROR(__xludf.DUMMYFUNCTION("""COMPUTED_VALUE"""),"Excellent")</f>
        <v>Excellent</v>
      </c>
      <c r="AB2521" t="str">
        <f>IFERROR(__xludf.DUMMYFUNCTION("""COMPUTED_VALUE"""),"Excellent")</f>
        <v>Excellent</v>
      </c>
      <c r="AH2521" s="189">
        <f>IFERROR(__xludf.DUMMYFUNCTION("""COMPUTED_VALUE"""),44093.668248622685)</f>
        <v>44093.66825</v>
      </c>
    </row>
    <row r="2522">
      <c r="A2522" t="str">
        <f>IFERROR(__xludf.DUMMYFUNCTION("""COMPUTED_VALUE"""),"MrFortuna")</f>
        <v>MrFortuna</v>
      </c>
      <c r="B2522" t="str">
        <f>IFERROR(__xludf.DUMMYFUNCTION("""COMPUTED_VALUE"""),"Jackson")</f>
        <v>Jackson</v>
      </c>
      <c r="C2522" t="str">
        <f>IFERROR(__xludf.DUMMYFUNCTION("""COMPUTED_VALUE"""),"MI")</f>
        <v>MI</v>
      </c>
      <c r="D2522" t="str">
        <f>IFERROR(__xludf.DUMMYFUNCTION("""COMPUTED_VALUE"""),"USA")</f>
        <v>USA</v>
      </c>
      <c r="E2522" s="188">
        <f>IFERROR(__xludf.DUMMYFUNCTION("""COMPUTED_VALUE"""),44047.0)</f>
        <v>44047</v>
      </c>
      <c r="F2522" s="188">
        <f>IFERROR(__xludf.DUMMYFUNCTION("""COMPUTED_VALUE"""),44081.0)</f>
        <v>44081</v>
      </c>
      <c r="H2522">
        <f>IFERROR(__xludf.DUMMYFUNCTION("""COMPUTED_VALUE"""),791155.0)</f>
        <v>791155</v>
      </c>
      <c r="J2522" s="5">
        <f>IFERROR(__xludf.DUMMYFUNCTION("""COMPUTED_VALUE"""),44092.0)</f>
        <v>44092</v>
      </c>
      <c r="K2522">
        <f>IFERROR(__xludf.DUMMYFUNCTION("""COMPUTED_VALUE"""),34.0)</f>
        <v>34</v>
      </c>
      <c r="L2522">
        <f>IFERROR(__xludf.DUMMYFUNCTION("""COMPUTED_VALUE"""),11.0)</f>
        <v>11</v>
      </c>
      <c r="M2522">
        <f>IFERROR(__xludf.DUMMYFUNCTION("""COMPUTED_VALUE"""),45.0)</f>
        <v>45</v>
      </c>
      <c r="N2522" t="str">
        <f>IFERROR(__xludf.DUMMYFUNCTION("""COMPUTED_VALUE"""),"Model 3 LR AWD")</f>
        <v>Model 3 LR AWD</v>
      </c>
      <c r="O2522" t="str">
        <f>IFERROR(__xludf.DUMMYFUNCTION("""COMPUTED_VALUE"""),"Solid Black")</f>
        <v>Solid Black</v>
      </c>
      <c r="P2522" t="str">
        <f>IFERROR(__xludf.DUMMYFUNCTION("""COMPUTED_VALUE"""),"18 inch Aero")</f>
        <v>18 inch Aero</v>
      </c>
      <c r="Q2522" t="str">
        <f>IFERROR(__xludf.DUMMYFUNCTION("""COMPUTED_VALUE"""),"White seats")</f>
        <v>White seats</v>
      </c>
      <c r="R2522" t="str">
        <f>IFERROR(__xludf.DUMMYFUNCTION("""COMPUTED_VALUE"""),"Autopilot")</f>
        <v>Autopilot</v>
      </c>
      <c r="X2522" t="str">
        <f>IFERROR(__xludf.DUMMYFUNCTION("""COMPUTED_VALUE"""),"Excellent")</f>
        <v>Excellent</v>
      </c>
      <c r="Y2522" t="str">
        <f>IFERROR(__xludf.DUMMYFUNCTION("""COMPUTED_VALUE"""),"Excellent")</f>
        <v>Excellent</v>
      </c>
      <c r="Z2522" t="str">
        <f>IFERROR(__xludf.DUMMYFUNCTION("""COMPUTED_VALUE"""),"Excellent")</f>
        <v>Excellent</v>
      </c>
      <c r="AA2522" t="str">
        <f>IFERROR(__xludf.DUMMYFUNCTION("""COMPUTED_VALUE"""),"Excellent")</f>
        <v>Excellent</v>
      </c>
      <c r="AB2522" t="str">
        <f>IFERROR(__xludf.DUMMYFUNCTION("""COMPUTED_VALUE"""),"Excellent")</f>
        <v>Excellent</v>
      </c>
      <c r="AG2522" t="str">
        <f>IFERROR(__xludf.DUMMYFUNCTION("""COMPUTED_VALUE"""),"Updated my configuration on 8/8, may have reset my expected delivery date")</f>
        <v>Updated my configuration on 8/8, may have reset my expected delivery date</v>
      </c>
      <c r="AH2522" s="189">
        <f>IFERROR(__xludf.DUMMYFUNCTION("""COMPUTED_VALUE"""),44094.5819130787)</f>
        <v>44094.58191</v>
      </c>
    </row>
    <row r="2523">
      <c r="A2523" t="str">
        <f>IFERROR(__xludf.DUMMYFUNCTION("""COMPUTED_VALUE"""),"Pens")</f>
        <v>Pens</v>
      </c>
      <c r="B2523" t="str">
        <f>IFERROR(__xludf.DUMMYFUNCTION("""COMPUTED_VALUE"""),"Adairsville ")</f>
        <v>Adairsville </v>
      </c>
      <c r="C2523" t="str">
        <f>IFERROR(__xludf.DUMMYFUNCTION("""COMPUTED_VALUE"""),"GA")</f>
        <v>GA</v>
      </c>
      <c r="D2523" t="str">
        <f>IFERROR(__xludf.DUMMYFUNCTION("""COMPUTED_VALUE"""),"USA")</f>
        <v>USA</v>
      </c>
      <c r="E2523" s="188">
        <f>IFERROR(__xludf.DUMMYFUNCTION("""COMPUTED_VALUE"""),44040.0)</f>
        <v>44040</v>
      </c>
      <c r="F2523" s="188">
        <f>IFERROR(__xludf.DUMMYFUNCTION("""COMPUTED_VALUE"""),44075.0)</f>
        <v>44075</v>
      </c>
      <c r="H2523">
        <f>IFERROR(__xludf.DUMMYFUNCTION("""COMPUTED_VALUE"""),786923.0)</f>
        <v>786923</v>
      </c>
      <c r="I2523" t="str">
        <f>IFERROR(__xludf.DUMMYFUNCTION("""COMPUTED_VALUE"""),"09/20")</f>
        <v>09/20</v>
      </c>
      <c r="J2523" s="5">
        <f>IFERROR(__xludf.DUMMYFUNCTION("""COMPUTED_VALUE"""),-686391.0)</f>
        <v>-686391</v>
      </c>
      <c r="K2523">
        <f>IFERROR(__xludf.DUMMYFUNCTION("""COMPUTED_VALUE"""),35.0)</f>
        <v>35</v>
      </c>
      <c r="N2523" t="str">
        <f>IFERROR(__xludf.DUMMYFUNCTION("""COMPUTED_VALUE"""),"Model 3 LR AWD")</f>
        <v>Model 3 LR AWD</v>
      </c>
      <c r="O2523" t="str">
        <f>IFERROR(__xludf.DUMMYFUNCTION("""COMPUTED_VALUE"""),"Midnight Silver Metallic")</f>
        <v>Midnight Silver Metallic</v>
      </c>
      <c r="P2523" t="str">
        <f>IFERROR(__xludf.DUMMYFUNCTION("""COMPUTED_VALUE"""),"18 inch Aero")</f>
        <v>18 inch Aero</v>
      </c>
      <c r="Q2523" t="str">
        <f>IFERROR(__xludf.DUMMYFUNCTION("""COMPUTED_VALUE"""),"Black seats")</f>
        <v>Black seats</v>
      </c>
      <c r="R2523" t="str">
        <f>IFERROR(__xludf.DUMMYFUNCTION("""COMPUTED_VALUE"""),"Autopilot")</f>
        <v>Autopilot</v>
      </c>
      <c r="X2523" t="str">
        <f>IFERROR(__xludf.DUMMYFUNCTION("""COMPUTED_VALUE"""),"Good")</f>
        <v>Good</v>
      </c>
      <c r="Y2523" t="str">
        <f>IFERROR(__xludf.DUMMYFUNCTION("""COMPUTED_VALUE"""),"Very Good")</f>
        <v>Very Good</v>
      </c>
      <c r="Z2523" t="str">
        <f>IFERROR(__xludf.DUMMYFUNCTION("""COMPUTED_VALUE"""),"Very Good")</f>
        <v>Very Good</v>
      </c>
      <c r="AA2523" t="str">
        <f>IFERROR(__xludf.DUMMYFUNCTION("""COMPUTED_VALUE"""),"Fair")</f>
        <v>Fair</v>
      </c>
      <c r="AB2523" t="str">
        <f>IFERROR(__xludf.DUMMYFUNCTION("""COMPUTED_VALUE"""),"Fair")</f>
        <v>Fair</v>
      </c>
      <c r="AC2523">
        <f>IFERROR(__xludf.DUMMYFUNCTION("""COMPUTED_VALUE"""),0.0)</f>
        <v>0</v>
      </c>
      <c r="AH2523" s="189">
        <f>IFERROR(__xludf.DUMMYFUNCTION("""COMPUTED_VALUE"""),44094.79032068287)</f>
        <v>44094.79032</v>
      </c>
    </row>
    <row r="2524">
      <c r="A2524" t="str">
        <f>IFERROR(__xludf.DUMMYFUNCTION("""COMPUTED_VALUE"""),"ix70")</f>
        <v>ix70</v>
      </c>
      <c r="B2524" t="str">
        <f>IFERROR(__xludf.DUMMYFUNCTION("""COMPUTED_VALUE"""),"Foster City")</f>
        <v>Foster City</v>
      </c>
      <c r="C2524" t="str">
        <f>IFERROR(__xludf.DUMMYFUNCTION("""COMPUTED_VALUE"""),"CA")</f>
        <v>CA</v>
      </c>
      <c r="D2524" t="str">
        <f>IFERROR(__xludf.DUMMYFUNCTION("""COMPUTED_VALUE"""),"USA")</f>
        <v>USA</v>
      </c>
      <c r="E2524" s="188">
        <f>IFERROR(__xludf.DUMMYFUNCTION("""COMPUTED_VALUE"""),44060.0)</f>
        <v>44060</v>
      </c>
      <c r="F2524" s="188">
        <f>IFERROR(__xludf.DUMMYFUNCTION("""COMPUTED_VALUE"""),44093.0)</f>
        <v>44093</v>
      </c>
      <c r="H2524">
        <f>IFERROR(__xludf.DUMMYFUNCTION("""COMPUTED_VALUE"""),799255.0)</f>
        <v>799255</v>
      </c>
      <c r="I2524" t="str">
        <f>IFERROR(__xludf.DUMMYFUNCTION("""COMPUTED_VALUE"""),"09/20")</f>
        <v>09/20</v>
      </c>
      <c r="J2524" s="5">
        <f>IFERROR(__xludf.DUMMYFUNCTION("""COMPUTED_VALUE"""),44094.0)</f>
        <v>44094</v>
      </c>
      <c r="K2524">
        <f>IFERROR(__xludf.DUMMYFUNCTION("""COMPUTED_VALUE"""),33.0)</f>
        <v>33</v>
      </c>
      <c r="L2524">
        <f>IFERROR(__xludf.DUMMYFUNCTION("""COMPUTED_VALUE"""),1.0)</f>
        <v>1</v>
      </c>
      <c r="M2524">
        <f>IFERROR(__xludf.DUMMYFUNCTION("""COMPUTED_VALUE"""),34.0)</f>
        <v>34</v>
      </c>
      <c r="N2524" t="str">
        <f>IFERROR(__xludf.DUMMYFUNCTION("""COMPUTED_VALUE"""),"Model 3 SR+")</f>
        <v>Model 3 SR+</v>
      </c>
      <c r="O2524" t="str">
        <f>IFERROR(__xludf.DUMMYFUNCTION("""COMPUTED_VALUE"""),"Deep Blue Metallic")</f>
        <v>Deep Blue Metallic</v>
      </c>
      <c r="P2524" t="str">
        <f>IFERROR(__xludf.DUMMYFUNCTION("""COMPUTED_VALUE"""),"18 inch Aero")</f>
        <v>18 inch Aero</v>
      </c>
      <c r="Q2524" t="str">
        <f>IFERROR(__xludf.DUMMYFUNCTION("""COMPUTED_VALUE"""),"Black seats")</f>
        <v>Black seats</v>
      </c>
      <c r="R2524" t="str">
        <f>IFERROR(__xludf.DUMMYFUNCTION("""COMPUTED_VALUE"""),"Autopilot")</f>
        <v>Autopilot</v>
      </c>
      <c r="X2524" t="str">
        <f>IFERROR(__xludf.DUMMYFUNCTION("""COMPUTED_VALUE"""),"Very Good")</f>
        <v>Very Good</v>
      </c>
      <c r="Y2524" t="str">
        <f>IFERROR(__xludf.DUMMYFUNCTION("""COMPUTED_VALUE"""),"Excellent")</f>
        <v>Excellent</v>
      </c>
      <c r="Z2524" t="str">
        <f>IFERROR(__xludf.DUMMYFUNCTION("""COMPUTED_VALUE"""),"Very Good")</f>
        <v>Very Good</v>
      </c>
      <c r="AA2524" t="str">
        <f>IFERROR(__xludf.DUMMYFUNCTION("""COMPUTED_VALUE"""),"Fair")</f>
        <v>Fair</v>
      </c>
      <c r="AB2524" t="str">
        <f>IFERROR(__xludf.DUMMYFUNCTION("""COMPUTED_VALUE"""),"Very Good")</f>
        <v>Very Good</v>
      </c>
      <c r="AH2524" s="189">
        <f>IFERROR(__xludf.DUMMYFUNCTION("""COMPUTED_VALUE"""),44094.8705199074)</f>
        <v>44094.87052</v>
      </c>
    </row>
    <row r="2525">
      <c r="A2525" t="str">
        <f>IFERROR(__xludf.DUMMYFUNCTION("""COMPUTED_VALUE"""),"DCsquared")</f>
        <v>DCsquared</v>
      </c>
      <c r="B2525" t="str">
        <f>IFERROR(__xludf.DUMMYFUNCTION("""COMPUTED_VALUE"""),"Fresno")</f>
        <v>Fresno</v>
      </c>
      <c r="C2525" t="str">
        <f>IFERROR(__xludf.DUMMYFUNCTION("""COMPUTED_VALUE"""),"CA")</f>
        <v>CA</v>
      </c>
      <c r="D2525" t="str">
        <f>IFERROR(__xludf.DUMMYFUNCTION("""COMPUTED_VALUE"""),"USA")</f>
        <v>USA</v>
      </c>
      <c r="E2525" s="188">
        <f>IFERROR(__xludf.DUMMYFUNCTION("""COMPUTED_VALUE"""),44043.0)</f>
        <v>44043</v>
      </c>
      <c r="F2525" s="188">
        <f>IFERROR(__xludf.DUMMYFUNCTION("""COMPUTED_VALUE"""),44090.0)</f>
        <v>44090</v>
      </c>
      <c r="H2525">
        <f>IFERROR(__xludf.DUMMYFUNCTION("""COMPUTED_VALUE"""),794855.0)</f>
        <v>794855</v>
      </c>
      <c r="J2525" s="5">
        <f>IFERROR(__xludf.DUMMYFUNCTION("""COMPUTED_VALUE"""),44093.0)</f>
        <v>44093</v>
      </c>
      <c r="K2525">
        <f>IFERROR(__xludf.DUMMYFUNCTION("""COMPUTED_VALUE"""),47.0)</f>
        <v>47</v>
      </c>
      <c r="L2525">
        <f>IFERROR(__xludf.DUMMYFUNCTION("""COMPUTED_VALUE"""),3.0)</f>
        <v>3</v>
      </c>
      <c r="M2525">
        <f>IFERROR(__xludf.DUMMYFUNCTION("""COMPUTED_VALUE"""),50.0)</f>
        <v>50</v>
      </c>
      <c r="N2525" t="str">
        <f>IFERROR(__xludf.DUMMYFUNCTION("""COMPUTED_VALUE"""),"Model 3 LR AWD")</f>
        <v>Model 3 LR AWD</v>
      </c>
      <c r="O2525" t="str">
        <f>IFERROR(__xludf.DUMMYFUNCTION("""COMPUTED_VALUE"""),"Midnight Silver Metallic")</f>
        <v>Midnight Silver Metallic</v>
      </c>
      <c r="P2525" t="str">
        <f>IFERROR(__xludf.DUMMYFUNCTION("""COMPUTED_VALUE"""),"18 inch Aero")</f>
        <v>18 inch Aero</v>
      </c>
      <c r="Q2525" t="str">
        <f>IFERROR(__xludf.DUMMYFUNCTION("""COMPUTED_VALUE"""),"Black seats")</f>
        <v>Black seats</v>
      </c>
      <c r="R2525" t="str">
        <f>IFERROR(__xludf.DUMMYFUNCTION("""COMPUTED_VALUE"""),"Autopilot")</f>
        <v>Autopilot</v>
      </c>
      <c r="X2525" t="str">
        <f>IFERROR(__xludf.DUMMYFUNCTION("""COMPUTED_VALUE"""),"Excellent")</f>
        <v>Excellent</v>
      </c>
      <c r="Y2525" t="str">
        <f>IFERROR(__xludf.DUMMYFUNCTION("""COMPUTED_VALUE"""),"Very Good")</f>
        <v>Very Good</v>
      </c>
      <c r="Z2525" t="str">
        <f>IFERROR(__xludf.DUMMYFUNCTION("""COMPUTED_VALUE"""),"Excellent")</f>
        <v>Excellent</v>
      </c>
      <c r="AA2525" t="str">
        <f>IFERROR(__xludf.DUMMYFUNCTION("""COMPUTED_VALUE"""),"Very Good")</f>
        <v>Very Good</v>
      </c>
      <c r="AB2525" t="str">
        <f>IFERROR(__xludf.DUMMYFUNCTION("""COMPUTED_VALUE"""),"Excellent")</f>
        <v>Excellent</v>
      </c>
      <c r="AH2525" s="189">
        <f>IFERROR(__xludf.DUMMYFUNCTION("""COMPUTED_VALUE"""),44095.00014372685)</f>
        <v>44095.00014</v>
      </c>
    </row>
    <row r="2526">
      <c r="A2526" t="str">
        <f>IFERROR(__xludf.DUMMYFUNCTION("""COMPUTED_VALUE"""),"jnovik1")</f>
        <v>jnovik1</v>
      </c>
      <c r="B2526" t="str">
        <f>IFERROR(__xludf.DUMMYFUNCTION("""COMPUTED_VALUE"""),"Fort Worth")</f>
        <v>Fort Worth</v>
      </c>
      <c r="C2526" t="str">
        <f>IFERROR(__xludf.DUMMYFUNCTION("""COMPUTED_VALUE"""),"TX")</f>
        <v>TX</v>
      </c>
      <c r="D2526" t="str">
        <f>IFERROR(__xludf.DUMMYFUNCTION("""COMPUTED_VALUE"""),"USA")</f>
        <v>USA</v>
      </c>
      <c r="E2526" s="188">
        <f>IFERROR(__xludf.DUMMYFUNCTION("""COMPUTED_VALUE"""),44029.0)</f>
        <v>44029</v>
      </c>
      <c r="F2526" s="188">
        <f>IFERROR(__xludf.DUMMYFUNCTION("""COMPUTED_VALUE"""),44072.0)</f>
        <v>44072</v>
      </c>
      <c r="H2526">
        <f>IFERROR(__xludf.DUMMYFUNCTION("""COMPUTED_VALUE"""),787795.0)</f>
        <v>787795</v>
      </c>
      <c r="I2526" t="str">
        <f>IFERROR(__xludf.DUMMYFUNCTION("""COMPUTED_VALUE"""),"08/20")</f>
        <v>08/20</v>
      </c>
      <c r="J2526" s="5">
        <f>IFERROR(__xludf.DUMMYFUNCTION("""COMPUTED_VALUE"""),44093.0)</f>
        <v>44093</v>
      </c>
      <c r="K2526">
        <f>IFERROR(__xludf.DUMMYFUNCTION("""COMPUTED_VALUE"""),43.0)</f>
        <v>43</v>
      </c>
      <c r="L2526">
        <f>IFERROR(__xludf.DUMMYFUNCTION("""COMPUTED_VALUE"""),21.0)</f>
        <v>21</v>
      </c>
      <c r="M2526">
        <f>IFERROR(__xludf.DUMMYFUNCTION("""COMPUTED_VALUE"""),64.0)</f>
        <v>64</v>
      </c>
      <c r="N2526" t="str">
        <f>IFERROR(__xludf.DUMMYFUNCTION("""COMPUTED_VALUE"""),"Model 3 LR AWD")</f>
        <v>Model 3 LR AWD</v>
      </c>
      <c r="O2526" t="str">
        <f>IFERROR(__xludf.DUMMYFUNCTION("""COMPUTED_VALUE"""),"Pearl White Multi-Coat")</f>
        <v>Pearl White Multi-Coat</v>
      </c>
      <c r="P2526" t="str">
        <f>IFERROR(__xludf.DUMMYFUNCTION("""COMPUTED_VALUE"""),"18 inch Aero")</f>
        <v>18 inch Aero</v>
      </c>
      <c r="Q2526" t="str">
        <f>IFERROR(__xludf.DUMMYFUNCTION("""COMPUTED_VALUE"""),"White seats")</f>
        <v>White seats</v>
      </c>
      <c r="R2526" t="str">
        <f>IFERROR(__xludf.DUMMYFUNCTION("""COMPUTED_VALUE"""),"Autopilot")</f>
        <v>Autopilot</v>
      </c>
      <c r="X2526" t="str">
        <f>IFERROR(__xludf.DUMMYFUNCTION("""COMPUTED_VALUE"""),"Very Good")</f>
        <v>Very Good</v>
      </c>
      <c r="Y2526" t="str">
        <f>IFERROR(__xludf.DUMMYFUNCTION("""COMPUTED_VALUE"""),"Excellent")</f>
        <v>Excellent</v>
      </c>
      <c r="Z2526" t="str">
        <f>IFERROR(__xludf.DUMMYFUNCTION("""COMPUTED_VALUE"""),"Good")</f>
        <v>Good</v>
      </c>
      <c r="AA2526" t="str">
        <f>IFERROR(__xludf.DUMMYFUNCTION("""COMPUTED_VALUE"""),"Good")</f>
        <v>Good</v>
      </c>
      <c r="AB2526" t="str">
        <f>IFERROR(__xludf.DUMMYFUNCTION("""COMPUTED_VALUE"""),"Very Good")</f>
        <v>Very Good</v>
      </c>
      <c r="AC2526">
        <f>IFERROR(__xludf.DUMMYFUNCTION("""COMPUTED_VALUE"""),3.0)</f>
        <v>3</v>
      </c>
      <c r="AD2526">
        <f>IFERROR(__xludf.DUMMYFUNCTION("""COMPUTED_VALUE"""),1.0)</f>
        <v>1</v>
      </c>
      <c r="AE2526">
        <f>IFERROR(__xludf.DUMMYFUNCTION("""COMPUTED_VALUE"""),1.0)</f>
        <v>1</v>
      </c>
      <c r="AH2526" s="189">
        <f>IFERROR(__xludf.DUMMYFUNCTION("""COMPUTED_VALUE"""),44095.2525525463)</f>
        <v>44095.25255</v>
      </c>
    </row>
    <row r="2527">
      <c r="A2527" t="str">
        <f>IFERROR(__xludf.DUMMYFUNCTION("""COMPUTED_VALUE"""),"jyim")</f>
        <v>jyim</v>
      </c>
      <c r="B2527" t="str">
        <f>IFERROR(__xludf.DUMMYFUNCTION("""COMPUTED_VALUE"""),"Bellevue")</f>
        <v>Bellevue</v>
      </c>
      <c r="C2527" t="str">
        <f>IFERROR(__xludf.DUMMYFUNCTION("""COMPUTED_VALUE"""),"WA")</f>
        <v>WA</v>
      </c>
      <c r="D2527" t="str">
        <f>IFERROR(__xludf.DUMMYFUNCTION("""COMPUTED_VALUE"""),"USA")</f>
        <v>USA</v>
      </c>
      <c r="E2527" s="188">
        <f>IFERROR(__xludf.DUMMYFUNCTION("""COMPUTED_VALUE"""),44045.0)</f>
        <v>44045</v>
      </c>
      <c r="F2527" s="188">
        <f>IFERROR(__xludf.DUMMYFUNCTION("""COMPUTED_VALUE"""),44091.0)</f>
        <v>44091</v>
      </c>
      <c r="H2527">
        <f>IFERROR(__xludf.DUMMYFUNCTION("""COMPUTED_VALUE"""),800855.0)</f>
        <v>800855</v>
      </c>
      <c r="J2527" s="5">
        <f>IFERROR(__xludf.DUMMYFUNCTION("""COMPUTED_VALUE"""),44094.0)</f>
        <v>44094</v>
      </c>
      <c r="K2527">
        <f>IFERROR(__xludf.DUMMYFUNCTION("""COMPUTED_VALUE"""),46.0)</f>
        <v>46</v>
      </c>
      <c r="L2527">
        <f>IFERROR(__xludf.DUMMYFUNCTION("""COMPUTED_VALUE"""),3.0)</f>
        <v>3</v>
      </c>
      <c r="M2527">
        <f>IFERROR(__xludf.DUMMYFUNCTION("""COMPUTED_VALUE"""),49.0)</f>
        <v>49</v>
      </c>
      <c r="N2527" t="str">
        <f>IFERROR(__xludf.DUMMYFUNCTION("""COMPUTED_VALUE"""),"Model 3 LR AWD")</f>
        <v>Model 3 LR AWD</v>
      </c>
      <c r="O2527" t="str">
        <f>IFERROR(__xludf.DUMMYFUNCTION("""COMPUTED_VALUE"""),"Midnight Silver Metallic")</f>
        <v>Midnight Silver Metallic</v>
      </c>
      <c r="P2527" t="str">
        <f>IFERROR(__xludf.DUMMYFUNCTION("""COMPUTED_VALUE"""),"18 inch Aero")</f>
        <v>18 inch Aero</v>
      </c>
      <c r="Q2527" t="str">
        <f>IFERROR(__xludf.DUMMYFUNCTION("""COMPUTED_VALUE"""),"Black seats")</f>
        <v>Black seats</v>
      </c>
      <c r="R2527" t="str">
        <f>IFERROR(__xludf.DUMMYFUNCTION("""COMPUTED_VALUE"""),"Autopilot")</f>
        <v>Autopilot</v>
      </c>
      <c r="X2527" t="str">
        <f>IFERROR(__xludf.DUMMYFUNCTION("""COMPUTED_VALUE"""),"Very Good")</f>
        <v>Very Good</v>
      </c>
      <c r="Y2527" t="str">
        <f>IFERROR(__xludf.DUMMYFUNCTION("""COMPUTED_VALUE"""),"Excellent")</f>
        <v>Excellent</v>
      </c>
      <c r="Z2527" t="str">
        <f>IFERROR(__xludf.DUMMYFUNCTION("""COMPUTED_VALUE"""),"Very Good")</f>
        <v>Very Good</v>
      </c>
      <c r="AA2527" t="str">
        <f>IFERROR(__xludf.DUMMYFUNCTION("""COMPUTED_VALUE"""),"Good")</f>
        <v>Good</v>
      </c>
      <c r="AB2527" t="str">
        <f>IFERROR(__xludf.DUMMYFUNCTION("""COMPUTED_VALUE"""),"Very Good")</f>
        <v>Very Good</v>
      </c>
      <c r="AG2527" t="str">
        <f>IFERROR(__xludf.DUMMYFUNCTION("""COMPUTED_VALUE"""),"Switched from SR+ trim to ""new inventory"" LRAWD on 9/17. New car is still on it's way and SA provided VIN when I made this switch.")</f>
        <v>Switched from SR+ trim to "new inventory" LRAWD on 9/17. New car is still on it's way and SA provided VIN when I made this switch.</v>
      </c>
      <c r="AH2527" s="189">
        <f>IFERROR(__xludf.DUMMYFUNCTION("""COMPUTED_VALUE"""),44095.46151605324)</f>
        <v>44095.46152</v>
      </c>
    </row>
    <row r="2528">
      <c r="A2528" t="str">
        <f>IFERROR(__xludf.DUMMYFUNCTION("""COMPUTED_VALUE"""),"brookswalker")</f>
        <v>brookswalker</v>
      </c>
      <c r="B2528" t="str">
        <f>IFERROR(__xludf.DUMMYFUNCTION("""COMPUTED_VALUE"""),"Kansas City")</f>
        <v>Kansas City</v>
      </c>
      <c r="C2528" t="str">
        <f>IFERROR(__xludf.DUMMYFUNCTION("""COMPUTED_VALUE"""),"MO")</f>
        <v>MO</v>
      </c>
      <c r="D2528" t="str">
        <f>IFERROR(__xludf.DUMMYFUNCTION("""COMPUTED_VALUE"""),"USA")</f>
        <v>USA</v>
      </c>
      <c r="E2528" s="188">
        <f>IFERROR(__xludf.DUMMYFUNCTION("""COMPUTED_VALUE"""),44040.0)</f>
        <v>44040</v>
      </c>
      <c r="F2528" s="188">
        <f>IFERROR(__xludf.DUMMYFUNCTION("""COMPUTED_VALUE"""),44075.0)</f>
        <v>44075</v>
      </c>
      <c r="H2528">
        <f>IFERROR(__xludf.DUMMYFUNCTION("""COMPUTED_VALUE"""),787155.0)</f>
        <v>787155</v>
      </c>
      <c r="J2528" s="5">
        <f>IFERROR(__xludf.DUMMYFUNCTION("""COMPUTED_VALUE"""),44093.0)</f>
        <v>44093</v>
      </c>
      <c r="K2528">
        <f>IFERROR(__xludf.DUMMYFUNCTION("""COMPUTED_VALUE"""),35.0)</f>
        <v>35</v>
      </c>
      <c r="L2528">
        <f>IFERROR(__xludf.DUMMYFUNCTION("""COMPUTED_VALUE"""),18.0)</f>
        <v>18</v>
      </c>
      <c r="M2528">
        <f>IFERROR(__xludf.DUMMYFUNCTION("""COMPUTED_VALUE"""),53.0)</f>
        <v>53</v>
      </c>
      <c r="N2528" t="str">
        <f>IFERROR(__xludf.DUMMYFUNCTION("""COMPUTED_VALUE"""),"Model 3 LR AWD")</f>
        <v>Model 3 LR AWD</v>
      </c>
      <c r="O2528" t="str">
        <f>IFERROR(__xludf.DUMMYFUNCTION("""COMPUTED_VALUE"""),"Pearl White Multi-Coat")</f>
        <v>Pearl White Multi-Coat</v>
      </c>
      <c r="P2528" t="str">
        <f>IFERROR(__xludf.DUMMYFUNCTION("""COMPUTED_VALUE"""),"18 inch Aero")</f>
        <v>18 inch Aero</v>
      </c>
      <c r="Q2528" t="str">
        <f>IFERROR(__xludf.DUMMYFUNCTION("""COMPUTED_VALUE"""),"Black seats")</f>
        <v>Black seats</v>
      </c>
      <c r="R2528" t="str">
        <f>IFERROR(__xludf.DUMMYFUNCTION("""COMPUTED_VALUE"""),"Autopilot")</f>
        <v>Autopilot</v>
      </c>
      <c r="X2528" t="str">
        <f>IFERROR(__xludf.DUMMYFUNCTION("""COMPUTED_VALUE"""),"Very Good")</f>
        <v>Very Good</v>
      </c>
      <c r="Y2528" t="str">
        <f>IFERROR(__xludf.DUMMYFUNCTION("""COMPUTED_VALUE"""),"Excellent")</f>
        <v>Excellent</v>
      </c>
      <c r="Z2528" t="str">
        <f>IFERROR(__xludf.DUMMYFUNCTION("""COMPUTED_VALUE"""),"Very Good")</f>
        <v>Very Good</v>
      </c>
      <c r="AA2528" t="str">
        <f>IFERROR(__xludf.DUMMYFUNCTION("""COMPUTED_VALUE"""),"Fair")</f>
        <v>Fair</v>
      </c>
      <c r="AB2528" t="str">
        <f>IFERROR(__xludf.DUMMYFUNCTION("""COMPUTED_VALUE"""),"Excellent")</f>
        <v>Excellent</v>
      </c>
      <c r="AC2528">
        <f>IFERROR(__xludf.DUMMYFUNCTION("""COMPUTED_VALUE"""),0.0)</f>
        <v>0</v>
      </c>
      <c r="AD2528">
        <f>IFERROR(__xludf.DUMMYFUNCTION("""COMPUTED_VALUE"""),0.0)</f>
        <v>0</v>
      </c>
      <c r="AE2528">
        <f>IFERROR(__xludf.DUMMYFUNCTION("""COMPUTED_VALUE"""),0.0)</f>
        <v>0</v>
      </c>
      <c r="AH2528" s="189">
        <f>IFERROR(__xludf.DUMMYFUNCTION("""COMPUTED_VALUE"""),44095.50104307871)</f>
        <v>44095.50104</v>
      </c>
    </row>
    <row r="2529">
      <c r="A2529" t="str">
        <f>IFERROR(__xludf.DUMMYFUNCTION("""COMPUTED_VALUE"""),"EVnoob")</f>
        <v>EVnoob</v>
      </c>
      <c r="B2529" t="str">
        <f>IFERROR(__xludf.DUMMYFUNCTION("""COMPUTED_VALUE"""),"Las Vegas")</f>
        <v>Las Vegas</v>
      </c>
      <c r="C2529" t="str">
        <f>IFERROR(__xludf.DUMMYFUNCTION("""COMPUTED_VALUE"""),"NV")</f>
        <v>NV</v>
      </c>
      <c r="D2529" t="str">
        <f>IFERROR(__xludf.DUMMYFUNCTION("""COMPUTED_VALUE"""),"USA")</f>
        <v>USA</v>
      </c>
      <c r="E2529" s="188">
        <f>IFERROR(__xludf.DUMMYFUNCTION("""COMPUTED_VALUE"""),44083.0)</f>
        <v>44083</v>
      </c>
      <c r="F2529" s="188">
        <f>IFERROR(__xludf.DUMMYFUNCTION("""COMPUTED_VALUE"""),44091.0)</f>
        <v>44091</v>
      </c>
      <c r="H2529">
        <f>IFERROR(__xludf.DUMMYFUNCTION("""COMPUTED_VALUE"""),802155.0)</f>
        <v>802155</v>
      </c>
      <c r="I2529" t="str">
        <f>IFERROR(__xludf.DUMMYFUNCTION("""COMPUTED_VALUE"""),"09/20")</f>
        <v>09/20</v>
      </c>
      <c r="J2529" s="5">
        <f>IFERROR(__xludf.DUMMYFUNCTION("""COMPUTED_VALUE"""),44093.0)</f>
        <v>44093</v>
      </c>
      <c r="K2529">
        <f>IFERROR(__xludf.DUMMYFUNCTION("""COMPUTED_VALUE"""),8.0)</f>
        <v>8</v>
      </c>
      <c r="L2529">
        <f>IFERROR(__xludf.DUMMYFUNCTION("""COMPUTED_VALUE"""),2.0)</f>
        <v>2</v>
      </c>
      <c r="M2529">
        <f>IFERROR(__xludf.DUMMYFUNCTION("""COMPUTED_VALUE"""),10.0)</f>
        <v>10</v>
      </c>
      <c r="N2529" t="str">
        <f>IFERROR(__xludf.DUMMYFUNCTION("""COMPUTED_VALUE"""),"Model 3 Performance")</f>
        <v>Model 3 Performance</v>
      </c>
      <c r="O2529" t="str">
        <f>IFERROR(__xludf.DUMMYFUNCTION("""COMPUTED_VALUE"""),"Deep Blue Metallic")</f>
        <v>Deep Blue Metallic</v>
      </c>
      <c r="P2529" t="str">
        <f>IFERROR(__xludf.DUMMYFUNCTION("""COMPUTED_VALUE"""),"20 inch Sport")</f>
        <v>20 inch Sport</v>
      </c>
      <c r="Q2529" t="str">
        <f>IFERROR(__xludf.DUMMYFUNCTION("""COMPUTED_VALUE"""),"Black seats")</f>
        <v>Black seats</v>
      </c>
      <c r="R2529" t="str">
        <f>IFERROR(__xludf.DUMMYFUNCTION("""COMPUTED_VALUE"""),"Autopilot")</f>
        <v>Autopilot</v>
      </c>
      <c r="X2529" t="str">
        <f>IFERROR(__xludf.DUMMYFUNCTION("""COMPUTED_VALUE"""),"Very Good")</f>
        <v>Very Good</v>
      </c>
      <c r="Y2529" t="str">
        <f>IFERROR(__xludf.DUMMYFUNCTION("""COMPUTED_VALUE"""),"Very Good")</f>
        <v>Very Good</v>
      </c>
      <c r="Z2529" t="str">
        <f>IFERROR(__xludf.DUMMYFUNCTION("""COMPUTED_VALUE"""),"Good")</f>
        <v>Good</v>
      </c>
      <c r="AA2529" t="str">
        <f>IFERROR(__xludf.DUMMYFUNCTION("""COMPUTED_VALUE"""),"Fair")</f>
        <v>Fair</v>
      </c>
      <c r="AB2529" t="str">
        <f>IFERROR(__xludf.DUMMYFUNCTION("""COMPUTED_VALUE"""),"Very Good")</f>
        <v>Very Good</v>
      </c>
      <c r="AG2529" t="str">
        <f>IFERROR(__xludf.DUMMYFUNCTION("""COMPUTED_VALUE"""),"Called with VIN before posted online. VIN notification was same call as delivery schedule.")</f>
        <v>Called with VIN before posted online. VIN notification was same call as delivery schedule.</v>
      </c>
      <c r="AH2529" s="189">
        <f>IFERROR(__xludf.DUMMYFUNCTION("""COMPUTED_VALUE"""),44095.98985722222)</f>
        <v>44095.98986</v>
      </c>
    </row>
    <row r="2530">
      <c r="A2530" t="str">
        <f>IFERROR(__xludf.DUMMYFUNCTION("""COMPUTED_VALUE"""),"jsprain")</f>
        <v>jsprain</v>
      </c>
      <c r="B2530" t="str">
        <f>IFERROR(__xludf.DUMMYFUNCTION("""COMPUTED_VALUE"""),"Atlanta")</f>
        <v>Atlanta</v>
      </c>
      <c r="C2530" t="str">
        <f>IFERROR(__xludf.DUMMYFUNCTION("""COMPUTED_VALUE"""),"GA")</f>
        <v>GA</v>
      </c>
      <c r="D2530" t="str">
        <f>IFERROR(__xludf.DUMMYFUNCTION("""COMPUTED_VALUE"""),"USA")</f>
        <v>USA</v>
      </c>
      <c r="E2530" s="188">
        <f>IFERROR(__xludf.DUMMYFUNCTION("""COMPUTED_VALUE"""),44029.0)</f>
        <v>44029</v>
      </c>
      <c r="F2530" s="188">
        <f>IFERROR(__xludf.DUMMYFUNCTION("""COMPUTED_VALUE"""),44069.0)</f>
        <v>44069</v>
      </c>
      <c r="H2530" s="4">
        <f>IFERROR(__xludf.DUMMYFUNCTION("""COMPUTED_VALUE"""),784476.0)</f>
        <v>784476</v>
      </c>
      <c r="I2530" t="str">
        <f>IFERROR(__xludf.DUMMYFUNCTION("""COMPUTED_VALUE"""),"08/20")</f>
        <v>08/20</v>
      </c>
      <c r="J2530" s="5">
        <f>IFERROR(__xludf.DUMMYFUNCTION("""COMPUTED_VALUE"""),44093.0)</f>
        <v>44093</v>
      </c>
      <c r="K2530">
        <f>IFERROR(__xludf.DUMMYFUNCTION("""COMPUTED_VALUE"""),40.0)</f>
        <v>40</v>
      </c>
      <c r="L2530">
        <f>IFERROR(__xludf.DUMMYFUNCTION("""COMPUTED_VALUE"""),24.0)</f>
        <v>24</v>
      </c>
      <c r="M2530">
        <f>IFERROR(__xludf.DUMMYFUNCTION("""COMPUTED_VALUE"""),64.0)</f>
        <v>64</v>
      </c>
      <c r="N2530" t="str">
        <f>IFERROR(__xludf.DUMMYFUNCTION("""COMPUTED_VALUE"""),"Model 3 Performance")</f>
        <v>Model 3 Performance</v>
      </c>
      <c r="O2530" t="str">
        <f>IFERROR(__xludf.DUMMYFUNCTION("""COMPUTED_VALUE"""),"Red Multi-Coat")</f>
        <v>Red Multi-Coat</v>
      </c>
      <c r="P2530" t="str">
        <f>IFERROR(__xludf.DUMMYFUNCTION("""COMPUTED_VALUE"""),"20 inch Sport")</f>
        <v>20 inch Sport</v>
      </c>
      <c r="Q2530" t="str">
        <f>IFERROR(__xludf.DUMMYFUNCTION("""COMPUTED_VALUE"""),"Black seats")</f>
        <v>Black seats</v>
      </c>
      <c r="R2530" t="str">
        <f>IFERROR(__xludf.DUMMYFUNCTION("""COMPUTED_VALUE"""),"Autopilot")</f>
        <v>Autopilot</v>
      </c>
      <c r="X2530" t="str">
        <f>IFERROR(__xludf.DUMMYFUNCTION("""COMPUTED_VALUE"""),"Excellent")</f>
        <v>Excellent</v>
      </c>
      <c r="Y2530" t="str">
        <f>IFERROR(__xludf.DUMMYFUNCTION("""COMPUTED_VALUE"""),"Excellent")</f>
        <v>Excellent</v>
      </c>
      <c r="Z2530" t="str">
        <f>IFERROR(__xludf.DUMMYFUNCTION("""COMPUTED_VALUE"""),"Excellent")</f>
        <v>Excellent</v>
      </c>
      <c r="AA2530" t="str">
        <f>IFERROR(__xludf.DUMMYFUNCTION("""COMPUTED_VALUE"""),"Very Good")</f>
        <v>Very Good</v>
      </c>
      <c r="AB2530" t="str">
        <f>IFERROR(__xludf.DUMMYFUNCTION("""COMPUTED_VALUE"""),"Excellent")</f>
        <v>Excellent</v>
      </c>
      <c r="AH2530" s="189">
        <f>IFERROR(__xludf.DUMMYFUNCTION("""COMPUTED_VALUE"""),44096.16289435185)</f>
        <v>44096.16289</v>
      </c>
    </row>
    <row r="2531">
      <c r="A2531" t="str">
        <f>IFERROR(__xludf.DUMMYFUNCTION("""COMPUTED_VALUE"""),"m112")</f>
        <v>m112</v>
      </c>
      <c r="B2531" t="str">
        <f>IFERROR(__xludf.DUMMYFUNCTION("""COMPUTED_VALUE"""),"Chicago")</f>
        <v>Chicago</v>
      </c>
      <c r="C2531" t="str">
        <f>IFERROR(__xludf.DUMMYFUNCTION("""COMPUTED_VALUE"""),"IL")</f>
        <v>IL</v>
      </c>
      <c r="D2531" t="str">
        <f>IFERROR(__xludf.DUMMYFUNCTION("""COMPUTED_VALUE"""),"USA")</f>
        <v>USA</v>
      </c>
      <c r="E2531" s="188">
        <f>IFERROR(__xludf.DUMMYFUNCTION("""COMPUTED_VALUE"""),44040.0)</f>
        <v>44040</v>
      </c>
      <c r="F2531" s="188">
        <f>IFERROR(__xludf.DUMMYFUNCTION("""COMPUTED_VALUE"""),44082.0)</f>
        <v>44082</v>
      </c>
      <c r="H2531">
        <f>IFERROR(__xludf.DUMMYFUNCTION("""COMPUTED_VALUE"""),792655.0)</f>
        <v>792655</v>
      </c>
      <c r="J2531" s="5">
        <f>IFERROR(__xludf.DUMMYFUNCTION("""COMPUTED_VALUE"""),44092.0)</f>
        <v>44092</v>
      </c>
      <c r="K2531">
        <f>IFERROR(__xludf.DUMMYFUNCTION("""COMPUTED_VALUE"""),42.0)</f>
        <v>42</v>
      </c>
      <c r="L2531">
        <f>IFERROR(__xludf.DUMMYFUNCTION("""COMPUTED_VALUE"""),10.0)</f>
        <v>10</v>
      </c>
      <c r="M2531">
        <f>IFERROR(__xludf.DUMMYFUNCTION("""COMPUTED_VALUE"""),52.0)</f>
        <v>52</v>
      </c>
      <c r="N2531" t="str">
        <f>IFERROR(__xludf.DUMMYFUNCTION("""COMPUTED_VALUE"""),"Model 3 SR+")</f>
        <v>Model 3 SR+</v>
      </c>
      <c r="O2531" t="str">
        <f>IFERROR(__xludf.DUMMYFUNCTION("""COMPUTED_VALUE"""),"Pearl White Multi-Coat")</f>
        <v>Pearl White Multi-Coat</v>
      </c>
      <c r="P2531" t="str">
        <f>IFERROR(__xludf.DUMMYFUNCTION("""COMPUTED_VALUE"""),"18 inch Aero")</f>
        <v>18 inch Aero</v>
      </c>
      <c r="Q2531" t="str">
        <f>IFERROR(__xludf.DUMMYFUNCTION("""COMPUTED_VALUE"""),"Black seats")</f>
        <v>Black seats</v>
      </c>
      <c r="R2531" t="str">
        <f>IFERROR(__xludf.DUMMYFUNCTION("""COMPUTED_VALUE"""),"Autopilot")</f>
        <v>Autopilot</v>
      </c>
      <c r="X2531" t="str">
        <f>IFERROR(__xludf.DUMMYFUNCTION("""COMPUTED_VALUE"""),"Excellent")</f>
        <v>Excellent</v>
      </c>
      <c r="Y2531" t="str">
        <f>IFERROR(__xludf.DUMMYFUNCTION("""COMPUTED_VALUE"""),"Excellent")</f>
        <v>Excellent</v>
      </c>
      <c r="Z2531" t="str">
        <f>IFERROR(__xludf.DUMMYFUNCTION("""COMPUTED_VALUE"""),"Excellent")</f>
        <v>Excellent</v>
      </c>
      <c r="AA2531" t="str">
        <f>IFERROR(__xludf.DUMMYFUNCTION("""COMPUTED_VALUE"""),"Good")</f>
        <v>Good</v>
      </c>
      <c r="AB2531" t="str">
        <f>IFERROR(__xludf.DUMMYFUNCTION("""COMPUTED_VALUE"""),"Very Good")</f>
        <v>Very Good</v>
      </c>
      <c r="AC2531">
        <f>IFERROR(__xludf.DUMMYFUNCTION("""COMPUTED_VALUE"""),2.0)</f>
        <v>2</v>
      </c>
      <c r="AD2531">
        <f>IFERROR(__xludf.DUMMYFUNCTION("""COMPUTED_VALUE"""),1.0)</f>
        <v>1</v>
      </c>
      <c r="AH2531" s="189">
        <f>IFERROR(__xludf.DUMMYFUNCTION("""COMPUTED_VALUE"""),44096.337278402774)</f>
        <v>44096.33728</v>
      </c>
    </row>
    <row r="2532">
      <c r="A2532" t="str">
        <f>IFERROR(__xludf.DUMMYFUNCTION("""COMPUTED_VALUE"""),"choppertank")</f>
        <v>choppertank</v>
      </c>
      <c r="B2532" t="str">
        <f>IFERROR(__xludf.DUMMYFUNCTION("""COMPUTED_VALUE"""),"Chicago")</f>
        <v>Chicago</v>
      </c>
      <c r="C2532" t="str">
        <f>IFERROR(__xludf.DUMMYFUNCTION("""COMPUTED_VALUE"""),"IL")</f>
        <v>IL</v>
      </c>
      <c r="D2532" t="str">
        <f>IFERROR(__xludf.DUMMYFUNCTION("""COMPUTED_VALUE"""),"USA")</f>
        <v>USA</v>
      </c>
      <c r="E2532" s="188">
        <f>IFERROR(__xludf.DUMMYFUNCTION("""COMPUTED_VALUE"""),44432.0)</f>
        <v>44432</v>
      </c>
      <c r="F2532" s="188">
        <f>IFERROR(__xludf.DUMMYFUNCTION("""COMPUTED_VALUE"""),44440.0)</f>
        <v>44440</v>
      </c>
      <c r="G2532" t="str">
        <f>IFERROR(__xludf.DUMMYFUNCTION("""COMPUTED_VALUE"""),"Manage order page (normal text)")</f>
        <v>Manage order page (normal text)</v>
      </c>
      <c r="H2532">
        <f>IFERROR(__xludf.DUMMYFUNCTION("""COMPUTED_VALUE"""),56555.0)</f>
        <v>56555</v>
      </c>
      <c r="J2532" s="188">
        <f>IFERROR(__xludf.DUMMYFUNCTION("""COMPUTED_VALUE"""),44450.0)</f>
        <v>44450</v>
      </c>
      <c r="K2532">
        <f>IFERROR(__xludf.DUMMYFUNCTION("""COMPUTED_VALUE"""),8.0)</f>
        <v>8</v>
      </c>
      <c r="L2532">
        <f>IFERROR(__xludf.DUMMYFUNCTION("""COMPUTED_VALUE"""),10.0)</f>
        <v>10</v>
      </c>
      <c r="M2532">
        <f>IFERROR(__xludf.DUMMYFUNCTION("""COMPUTED_VALUE"""),18.0)</f>
        <v>18</v>
      </c>
      <c r="N2532" t="str">
        <f>IFERROR(__xludf.DUMMYFUNCTION("""COMPUTED_VALUE"""),"Model 3 Performance")</f>
        <v>Model 3 Performance</v>
      </c>
      <c r="O2532" t="str">
        <f>IFERROR(__xludf.DUMMYFUNCTION("""COMPUTED_VALUE"""),"Deep Blue Metallic")</f>
        <v>Deep Blue Metallic</v>
      </c>
      <c r="P2532" t="str">
        <f>IFERROR(__xludf.DUMMYFUNCTION("""COMPUTED_VALUE"""),"20 inch")</f>
        <v>20 inch</v>
      </c>
      <c r="Q2532" t="str">
        <f>IFERROR(__xludf.DUMMYFUNCTION("""COMPUTED_VALUE"""),"Black seats")</f>
        <v>Black seats</v>
      </c>
      <c r="R2532" t="str">
        <f>IFERROR(__xludf.DUMMYFUNCTION("""COMPUTED_VALUE"""),"Autopilot")</f>
        <v>Autopilot</v>
      </c>
      <c r="X2532" t="str">
        <f>IFERROR(__xludf.DUMMYFUNCTION("""COMPUTED_VALUE"""),"Very Good")</f>
        <v>Very Good</v>
      </c>
      <c r="Y2532" t="str">
        <f>IFERROR(__xludf.DUMMYFUNCTION("""COMPUTED_VALUE"""),"Very Good")</f>
        <v>Very Good</v>
      </c>
      <c r="Z2532" t="str">
        <f>IFERROR(__xludf.DUMMYFUNCTION("""COMPUTED_VALUE"""),"Good")</f>
        <v>Good</v>
      </c>
      <c r="AA2532" t="str">
        <f>IFERROR(__xludf.DUMMYFUNCTION("""COMPUTED_VALUE"""),"Very Good")</f>
        <v>Very Good</v>
      </c>
      <c r="AB2532" t="str">
        <f>IFERROR(__xludf.DUMMYFUNCTION("""COMPUTED_VALUE"""),"Very Good")</f>
        <v>Very Good</v>
      </c>
      <c r="AC2532">
        <f>IFERROR(__xludf.DUMMYFUNCTION("""COMPUTED_VALUE"""),2.0)</f>
        <v>2</v>
      </c>
      <c r="AD2532">
        <f>IFERROR(__xludf.DUMMYFUNCTION("""COMPUTED_VALUE"""),0.0)</f>
        <v>0</v>
      </c>
      <c r="AE2532">
        <f>IFERROR(__xludf.DUMMYFUNCTION("""COMPUTED_VALUE"""),0.0)</f>
        <v>0</v>
      </c>
      <c r="AH2532" s="189">
        <f>IFERROR(__xludf.DUMMYFUNCTION("""COMPUTED_VALUE"""),44447.594184953705)</f>
        <v>44447.59418</v>
      </c>
    </row>
    <row r="2533">
      <c r="A2533" t="str">
        <f>IFERROR(__xludf.DUMMYFUNCTION("""COMPUTED_VALUE"""),"arn555")</f>
        <v>arn555</v>
      </c>
      <c r="B2533" t="str">
        <f>IFERROR(__xludf.DUMMYFUNCTION("""COMPUTED_VALUE"""),"Woodbridge")</f>
        <v>Woodbridge</v>
      </c>
      <c r="C2533" t="str">
        <f>IFERROR(__xludf.DUMMYFUNCTION("""COMPUTED_VALUE"""),"VA")</f>
        <v>VA</v>
      </c>
      <c r="D2533" t="str">
        <f>IFERROR(__xludf.DUMMYFUNCTION("""COMPUTED_VALUE"""),"USA")</f>
        <v>USA</v>
      </c>
      <c r="E2533" s="188">
        <f>IFERROR(__xludf.DUMMYFUNCTION("""COMPUTED_VALUE"""),44022.0)</f>
        <v>44022</v>
      </c>
      <c r="F2533" s="188">
        <f>IFERROR(__xludf.DUMMYFUNCTION("""COMPUTED_VALUE"""),44076.0)</f>
        <v>44076</v>
      </c>
      <c r="H2533">
        <f>IFERROR(__xludf.DUMMYFUNCTION("""COMPUTED_VALUE"""),784229.0)</f>
        <v>784229</v>
      </c>
      <c r="I2533" t="str">
        <f>IFERROR(__xludf.DUMMYFUNCTION("""COMPUTED_VALUE"""),"08/20")</f>
        <v>08/20</v>
      </c>
      <c r="J2533" s="5">
        <f>IFERROR(__xludf.DUMMYFUNCTION("""COMPUTED_VALUE"""),44087.0)</f>
        <v>44087</v>
      </c>
      <c r="K2533">
        <f>IFERROR(__xludf.DUMMYFUNCTION("""COMPUTED_VALUE"""),54.0)</f>
        <v>54</v>
      </c>
      <c r="L2533">
        <f>IFERROR(__xludf.DUMMYFUNCTION("""COMPUTED_VALUE"""),11.0)</f>
        <v>11</v>
      </c>
      <c r="M2533">
        <f>IFERROR(__xludf.DUMMYFUNCTION("""COMPUTED_VALUE"""),65.0)</f>
        <v>65</v>
      </c>
      <c r="N2533" t="str">
        <f>IFERROR(__xludf.DUMMYFUNCTION("""COMPUTED_VALUE"""),"Model 3 Performance")</f>
        <v>Model 3 Performance</v>
      </c>
      <c r="O2533" t="str">
        <f>IFERROR(__xludf.DUMMYFUNCTION("""COMPUTED_VALUE"""),"Pearl White Multi-Coat")</f>
        <v>Pearl White Multi-Coat</v>
      </c>
      <c r="P2533" t="str">
        <f>IFERROR(__xludf.DUMMYFUNCTION("""COMPUTED_VALUE"""),"20 inch Sport")</f>
        <v>20 inch Sport</v>
      </c>
      <c r="Q2533" t="str">
        <f>IFERROR(__xludf.DUMMYFUNCTION("""COMPUTED_VALUE"""),"White seats")</f>
        <v>White seats</v>
      </c>
      <c r="R2533" t="str">
        <f>IFERROR(__xludf.DUMMYFUNCTION("""COMPUTED_VALUE"""),"Full Self-Driving")</f>
        <v>Full Self-Driving</v>
      </c>
      <c r="X2533" t="str">
        <f>IFERROR(__xludf.DUMMYFUNCTION("""COMPUTED_VALUE"""),"Very Good")</f>
        <v>Very Good</v>
      </c>
      <c r="Y2533" t="str">
        <f>IFERROR(__xludf.DUMMYFUNCTION("""COMPUTED_VALUE"""),"Excellent")</f>
        <v>Excellent</v>
      </c>
      <c r="Z2533" t="str">
        <f>IFERROR(__xludf.DUMMYFUNCTION("""COMPUTED_VALUE"""),"Very Good")</f>
        <v>Very Good</v>
      </c>
      <c r="AA2533" t="str">
        <f>IFERROR(__xludf.DUMMYFUNCTION("""COMPUTED_VALUE"""),"Excellent")</f>
        <v>Excellent</v>
      </c>
      <c r="AB2533" t="str">
        <f>IFERROR(__xludf.DUMMYFUNCTION("""COMPUTED_VALUE"""),"Very Good")</f>
        <v>Very Good</v>
      </c>
      <c r="AC2533">
        <f>IFERROR(__xludf.DUMMYFUNCTION("""COMPUTED_VALUE"""),2.0)</f>
        <v>2</v>
      </c>
      <c r="AG2533" t="str">
        <f>IFERROR(__xludf.DUMMYFUNCTION("""COMPUTED_VALUE"""),"Received VIN through Lending Agreement")</f>
        <v>Received VIN through Lending Agreement</v>
      </c>
      <c r="AH2533" s="189">
        <f>IFERROR(__xludf.DUMMYFUNCTION("""COMPUTED_VALUE"""),44096.44782166667)</f>
        <v>44096.44782</v>
      </c>
    </row>
    <row r="2534">
      <c r="A2534" t="str">
        <f>IFERROR(__xludf.DUMMYFUNCTION("""COMPUTED_VALUE"""),"DannyDannyPham")</f>
        <v>DannyDannyPham</v>
      </c>
      <c r="B2534" t="str">
        <f>IFERROR(__xludf.DUMMYFUNCTION("""COMPUTED_VALUE"""),"Spokane")</f>
        <v>Spokane</v>
      </c>
      <c r="C2534" t="str">
        <f>IFERROR(__xludf.DUMMYFUNCTION("""COMPUTED_VALUE"""),"WA")</f>
        <v>WA</v>
      </c>
      <c r="D2534" t="str">
        <f>IFERROR(__xludf.DUMMYFUNCTION("""COMPUTED_VALUE"""),"USA")</f>
        <v>USA</v>
      </c>
      <c r="E2534" s="188">
        <f>IFERROR(__xludf.DUMMYFUNCTION("""COMPUTED_VALUE"""),44002.0)</f>
        <v>44002</v>
      </c>
      <c r="F2534" s="188">
        <f>IFERROR(__xludf.DUMMYFUNCTION("""COMPUTED_VALUE"""),44091.0)</f>
        <v>44091</v>
      </c>
      <c r="J2534" s="5">
        <f>IFERROR(__xludf.DUMMYFUNCTION("""COMPUTED_VALUE"""),44094.0)</f>
        <v>44094</v>
      </c>
      <c r="K2534">
        <f>IFERROR(__xludf.DUMMYFUNCTION("""COMPUTED_VALUE"""),89.0)</f>
        <v>89</v>
      </c>
      <c r="L2534">
        <f>IFERROR(__xludf.DUMMYFUNCTION("""COMPUTED_VALUE"""),3.0)</f>
        <v>3</v>
      </c>
      <c r="M2534">
        <f>IFERROR(__xludf.DUMMYFUNCTION("""COMPUTED_VALUE"""),92.0)</f>
        <v>92</v>
      </c>
      <c r="N2534" t="str">
        <f>IFERROR(__xludf.DUMMYFUNCTION("""COMPUTED_VALUE"""),"Model 3 SR+")</f>
        <v>Model 3 SR+</v>
      </c>
      <c r="O2534" t="str">
        <f>IFERROR(__xludf.DUMMYFUNCTION("""COMPUTED_VALUE"""),"Midnight Silver Metallic")</f>
        <v>Midnight Silver Metallic</v>
      </c>
      <c r="P2534" t="str">
        <f>IFERROR(__xludf.DUMMYFUNCTION("""COMPUTED_VALUE"""),"18 inch Aero")</f>
        <v>18 inch Aero</v>
      </c>
      <c r="Q2534" t="str">
        <f>IFERROR(__xludf.DUMMYFUNCTION("""COMPUTED_VALUE"""),"Black seats")</f>
        <v>Black seats</v>
      </c>
      <c r="R2534" t="str">
        <f>IFERROR(__xludf.DUMMYFUNCTION("""COMPUTED_VALUE"""),"Autopilot")</f>
        <v>Autopilot</v>
      </c>
      <c r="X2534" t="str">
        <f>IFERROR(__xludf.DUMMYFUNCTION("""COMPUTED_VALUE"""),"Very Good")</f>
        <v>Very Good</v>
      </c>
      <c r="Y2534" t="str">
        <f>IFERROR(__xludf.DUMMYFUNCTION("""COMPUTED_VALUE"""),"Excellent")</f>
        <v>Excellent</v>
      </c>
      <c r="Z2534" t="str">
        <f>IFERROR(__xludf.DUMMYFUNCTION("""COMPUTED_VALUE"""),"Excellent")</f>
        <v>Excellent</v>
      </c>
      <c r="AA2534" t="str">
        <f>IFERROR(__xludf.DUMMYFUNCTION("""COMPUTED_VALUE"""),"Poor")</f>
        <v>Poor</v>
      </c>
      <c r="AB2534" t="str">
        <f>IFERROR(__xludf.DUMMYFUNCTION("""COMPUTED_VALUE"""),"Very Good")</f>
        <v>Very Good</v>
      </c>
      <c r="AC2534">
        <f>IFERROR(__xludf.DUMMYFUNCTION("""COMPUTED_VALUE"""),4.0)</f>
        <v>4</v>
      </c>
      <c r="AH2534" s="189">
        <f>IFERROR(__xludf.DUMMYFUNCTION("""COMPUTED_VALUE"""),44096.541449537035)</f>
        <v>44096.54145</v>
      </c>
    </row>
    <row r="2535">
      <c r="A2535" t="str">
        <f>IFERROR(__xludf.DUMMYFUNCTION("""COMPUTED_VALUE"""),"qwerty423")</f>
        <v>qwerty423</v>
      </c>
      <c r="B2535" t="str">
        <f>IFERROR(__xludf.DUMMYFUNCTION("""COMPUTED_VALUE"""),"Los Angeles")</f>
        <v>Los Angeles</v>
      </c>
      <c r="C2535" t="str">
        <f>IFERROR(__xludf.DUMMYFUNCTION("""COMPUTED_VALUE"""),"CA")</f>
        <v>CA</v>
      </c>
      <c r="D2535" t="str">
        <f>IFERROR(__xludf.DUMMYFUNCTION("""COMPUTED_VALUE"""),"USA")</f>
        <v>USA</v>
      </c>
      <c r="E2535" s="188">
        <f>IFERROR(__xludf.DUMMYFUNCTION("""COMPUTED_VALUE"""),44059.0)</f>
        <v>44059</v>
      </c>
      <c r="F2535" s="188">
        <f>IFERROR(__xludf.DUMMYFUNCTION("""COMPUTED_VALUE"""),44093.0)</f>
        <v>44093</v>
      </c>
      <c r="H2535">
        <f>IFERROR(__xludf.DUMMYFUNCTION("""COMPUTED_VALUE"""),99955.0)</f>
        <v>99955</v>
      </c>
      <c r="J2535" s="5">
        <f>IFERROR(__xludf.DUMMYFUNCTION("""COMPUTED_VALUE"""),44096.0)</f>
        <v>44096</v>
      </c>
      <c r="K2535">
        <f>IFERROR(__xludf.DUMMYFUNCTION("""COMPUTED_VALUE"""),34.0)</f>
        <v>34</v>
      </c>
      <c r="L2535">
        <f>IFERROR(__xludf.DUMMYFUNCTION("""COMPUTED_VALUE"""),3.0)</f>
        <v>3</v>
      </c>
      <c r="M2535">
        <f>IFERROR(__xludf.DUMMYFUNCTION("""COMPUTED_VALUE"""),37.0)</f>
        <v>37</v>
      </c>
      <c r="N2535" t="str">
        <f>IFERROR(__xludf.DUMMYFUNCTION("""COMPUTED_VALUE"""),"Model 3 SR+")</f>
        <v>Model 3 SR+</v>
      </c>
      <c r="O2535" t="str">
        <f>IFERROR(__xludf.DUMMYFUNCTION("""COMPUTED_VALUE"""),"Pearl White Multi-Coat")</f>
        <v>Pearl White Multi-Coat</v>
      </c>
      <c r="P2535" t="str">
        <f>IFERROR(__xludf.DUMMYFUNCTION("""COMPUTED_VALUE"""),"18 inch Aero")</f>
        <v>18 inch Aero</v>
      </c>
      <c r="Q2535" t="str">
        <f>IFERROR(__xludf.DUMMYFUNCTION("""COMPUTED_VALUE"""),"Black seats")</f>
        <v>Black seats</v>
      </c>
      <c r="R2535" t="str">
        <f>IFERROR(__xludf.DUMMYFUNCTION("""COMPUTED_VALUE"""),"Autopilot")</f>
        <v>Autopilot</v>
      </c>
      <c r="X2535" t="str">
        <f>IFERROR(__xludf.DUMMYFUNCTION("""COMPUTED_VALUE"""),"Very Good")</f>
        <v>Very Good</v>
      </c>
      <c r="Y2535" t="str">
        <f>IFERROR(__xludf.DUMMYFUNCTION("""COMPUTED_VALUE"""),"Very Good")</f>
        <v>Very Good</v>
      </c>
      <c r="Z2535" t="str">
        <f>IFERROR(__xludf.DUMMYFUNCTION("""COMPUTED_VALUE"""),"Excellent")</f>
        <v>Excellent</v>
      </c>
      <c r="AA2535" t="str">
        <f>IFERROR(__xludf.DUMMYFUNCTION("""COMPUTED_VALUE"""),"Very Good")</f>
        <v>Very Good</v>
      </c>
      <c r="AB2535" t="str">
        <f>IFERROR(__xludf.DUMMYFUNCTION("""COMPUTED_VALUE"""),"Excellent")</f>
        <v>Excellent</v>
      </c>
      <c r="AC2535">
        <f>IFERROR(__xludf.DUMMYFUNCTION("""COMPUTED_VALUE"""),0.0)</f>
        <v>0</v>
      </c>
      <c r="AD2535">
        <f>IFERROR(__xludf.DUMMYFUNCTION("""COMPUTED_VALUE"""),0.0)</f>
        <v>0</v>
      </c>
      <c r="AE2535">
        <f>IFERROR(__xludf.DUMMYFUNCTION("""COMPUTED_VALUE"""),0.0)</f>
        <v>0</v>
      </c>
      <c r="AG2535" t="str">
        <f>IFERROR(__xludf.DUMMYFUNCTION("""COMPUTED_VALUE"""),"Home Delivery 9/22")</f>
        <v>Home Delivery 9/22</v>
      </c>
      <c r="AH2535" s="189">
        <f>IFERROR(__xludf.DUMMYFUNCTION("""COMPUTED_VALUE"""),44096.61642688657)</f>
        <v>44096.61643</v>
      </c>
    </row>
    <row r="2536">
      <c r="A2536" t="str">
        <f>IFERROR(__xludf.DUMMYFUNCTION("""COMPUTED_VALUE"""),"mehranh")</f>
        <v>mehranh</v>
      </c>
      <c r="B2536" t="str">
        <f>IFERROR(__xludf.DUMMYFUNCTION("""COMPUTED_VALUE"""),"Montreal")</f>
        <v>Montreal</v>
      </c>
      <c r="C2536" t="str">
        <f>IFERROR(__xludf.DUMMYFUNCTION("""COMPUTED_VALUE"""),"QC")</f>
        <v>QC</v>
      </c>
      <c r="D2536" t="str">
        <f>IFERROR(__xludf.DUMMYFUNCTION("""COMPUTED_VALUE"""),"Canada")</f>
        <v>Canada</v>
      </c>
      <c r="E2536" s="188">
        <f>IFERROR(__xludf.DUMMYFUNCTION("""COMPUTED_VALUE"""),44051.0)</f>
        <v>44051</v>
      </c>
      <c r="F2536" s="188">
        <f>IFERROR(__xludf.DUMMYFUNCTION("""COMPUTED_VALUE"""),44071.0)</f>
        <v>44071</v>
      </c>
      <c r="H2536">
        <f>IFERROR(__xludf.DUMMYFUNCTION("""COMPUTED_VALUE"""),764655.0)</f>
        <v>764655</v>
      </c>
      <c r="J2536" s="5">
        <f>IFERROR(__xludf.DUMMYFUNCTION("""COMPUTED_VALUE"""),44075.0)</f>
        <v>44075</v>
      </c>
      <c r="K2536">
        <f>IFERROR(__xludf.DUMMYFUNCTION("""COMPUTED_VALUE"""),20.0)</f>
        <v>20</v>
      </c>
      <c r="L2536">
        <f>IFERROR(__xludf.DUMMYFUNCTION("""COMPUTED_VALUE"""),4.0)</f>
        <v>4</v>
      </c>
      <c r="M2536">
        <f>IFERROR(__xludf.DUMMYFUNCTION("""COMPUTED_VALUE"""),24.0)</f>
        <v>24</v>
      </c>
      <c r="N2536" t="str">
        <f>IFERROR(__xludf.DUMMYFUNCTION("""COMPUTED_VALUE"""),"Model 3 SR+")</f>
        <v>Model 3 SR+</v>
      </c>
      <c r="O2536" t="str">
        <f>IFERROR(__xludf.DUMMYFUNCTION("""COMPUTED_VALUE"""),"Red Multi-Coat")</f>
        <v>Red Multi-Coat</v>
      </c>
      <c r="P2536" t="str">
        <f>IFERROR(__xludf.DUMMYFUNCTION("""COMPUTED_VALUE"""),"18 inch Aero")</f>
        <v>18 inch Aero</v>
      </c>
      <c r="Q2536" t="str">
        <f>IFERROR(__xludf.DUMMYFUNCTION("""COMPUTED_VALUE"""),"White seats")</f>
        <v>White seats</v>
      </c>
      <c r="R2536" t="str">
        <f>IFERROR(__xludf.DUMMYFUNCTION("""COMPUTED_VALUE"""),"Autopilot")</f>
        <v>Autopilot</v>
      </c>
      <c r="X2536" t="str">
        <f>IFERROR(__xludf.DUMMYFUNCTION("""COMPUTED_VALUE"""),"Excellent")</f>
        <v>Excellent</v>
      </c>
      <c r="Y2536" t="str">
        <f>IFERROR(__xludf.DUMMYFUNCTION("""COMPUTED_VALUE"""),"Excellent")</f>
        <v>Excellent</v>
      </c>
      <c r="Z2536" t="str">
        <f>IFERROR(__xludf.DUMMYFUNCTION("""COMPUTED_VALUE"""),"Very Good")</f>
        <v>Very Good</v>
      </c>
      <c r="AA2536" t="str">
        <f>IFERROR(__xludf.DUMMYFUNCTION("""COMPUTED_VALUE"""),"Very Good")</f>
        <v>Very Good</v>
      </c>
      <c r="AB2536" t="str">
        <f>IFERROR(__xludf.DUMMYFUNCTION("""COMPUTED_VALUE"""),"Very Good")</f>
        <v>Very Good</v>
      </c>
      <c r="AG2536" t="str">
        <f>IFERROR(__xludf.DUMMYFUNCTION("""COMPUTED_VALUE"""),"Changed order to an existing red instead of white car, hence short delivery delay")</f>
        <v>Changed order to an existing red instead of white car, hence short delivery delay</v>
      </c>
      <c r="AH2536" s="189">
        <f>IFERROR(__xludf.DUMMYFUNCTION("""COMPUTED_VALUE"""),44096.67941863426)</f>
        <v>44096.67942</v>
      </c>
    </row>
    <row r="2537">
      <c r="A2537" t="str">
        <f>IFERROR(__xludf.DUMMYFUNCTION("""COMPUTED_VALUE"""),"alhkim")</f>
        <v>alhkim</v>
      </c>
      <c r="B2537" t="str">
        <f>IFERROR(__xludf.DUMMYFUNCTION("""COMPUTED_VALUE"""),"St. Louis")</f>
        <v>St. Louis</v>
      </c>
      <c r="C2537" t="str">
        <f>IFERROR(__xludf.DUMMYFUNCTION("""COMPUTED_VALUE"""),"MO")</f>
        <v>MO</v>
      </c>
      <c r="D2537" t="str">
        <f>IFERROR(__xludf.DUMMYFUNCTION("""COMPUTED_VALUE"""),"USA")</f>
        <v>USA</v>
      </c>
      <c r="E2537" s="188">
        <f>IFERROR(__xludf.DUMMYFUNCTION("""COMPUTED_VALUE"""),44050.0)</f>
        <v>44050</v>
      </c>
      <c r="F2537" s="188">
        <f>IFERROR(__xludf.DUMMYFUNCTION("""COMPUTED_VALUE"""),44076.0)</f>
        <v>44076</v>
      </c>
      <c r="H2537">
        <f>IFERROR(__xludf.DUMMYFUNCTION("""COMPUTED_VALUE"""),787666.0)</f>
        <v>787666</v>
      </c>
      <c r="I2537" t="str">
        <f>IFERROR(__xludf.DUMMYFUNCTION("""COMPUTED_VALUE"""),"08/20")</f>
        <v>08/20</v>
      </c>
      <c r="J2537" s="5">
        <f>IFERROR(__xludf.DUMMYFUNCTION("""COMPUTED_VALUE"""),44086.0)</f>
        <v>44086</v>
      </c>
      <c r="K2537">
        <f>IFERROR(__xludf.DUMMYFUNCTION("""COMPUTED_VALUE"""),26.0)</f>
        <v>26</v>
      </c>
      <c r="L2537">
        <f>IFERROR(__xludf.DUMMYFUNCTION("""COMPUTED_VALUE"""),10.0)</f>
        <v>10</v>
      </c>
      <c r="M2537">
        <f>IFERROR(__xludf.DUMMYFUNCTION("""COMPUTED_VALUE"""),36.0)</f>
        <v>36</v>
      </c>
      <c r="N2537" t="str">
        <f>IFERROR(__xludf.DUMMYFUNCTION("""COMPUTED_VALUE"""),"Model 3 LR AWD")</f>
        <v>Model 3 LR AWD</v>
      </c>
      <c r="O2537" t="str">
        <f>IFERROR(__xludf.DUMMYFUNCTION("""COMPUTED_VALUE"""),"Solid Black")</f>
        <v>Solid Black</v>
      </c>
      <c r="P2537" t="str">
        <f>IFERROR(__xludf.DUMMYFUNCTION("""COMPUTED_VALUE"""),"18 inch Aero")</f>
        <v>18 inch Aero</v>
      </c>
      <c r="Q2537" t="str">
        <f>IFERROR(__xludf.DUMMYFUNCTION("""COMPUTED_VALUE"""),"White seats")</f>
        <v>White seats</v>
      </c>
      <c r="R2537" t="str">
        <f>IFERROR(__xludf.DUMMYFUNCTION("""COMPUTED_VALUE"""),"Autopilot")</f>
        <v>Autopilot</v>
      </c>
      <c r="X2537" t="str">
        <f>IFERROR(__xludf.DUMMYFUNCTION("""COMPUTED_VALUE"""),"Very Good")</f>
        <v>Very Good</v>
      </c>
      <c r="Y2537" t="str">
        <f>IFERROR(__xludf.DUMMYFUNCTION("""COMPUTED_VALUE"""),"Very Good")</f>
        <v>Very Good</v>
      </c>
      <c r="Z2537" t="str">
        <f>IFERROR(__xludf.DUMMYFUNCTION("""COMPUTED_VALUE"""),"Excellent")</f>
        <v>Excellent</v>
      </c>
      <c r="AA2537" t="str">
        <f>IFERROR(__xludf.DUMMYFUNCTION("""COMPUTED_VALUE"""),"Very Good")</f>
        <v>Very Good</v>
      </c>
      <c r="AB2537" t="str">
        <f>IFERROR(__xludf.DUMMYFUNCTION("""COMPUTED_VALUE"""),"Excellent")</f>
        <v>Excellent</v>
      </c>
      <c r="AC2537">
        <f>IFERROR(__xludf.DUMMYFUNCTION("""COMPUTED_VALUE"""),0.0)</f>
        <v>0</v>
      </c>
      <c r="AG2537" t="str">
        <f>IFERROR(__xludf.DUMMYFUNCTION("""COMPUTED_VALUE"""),"8/19: SMS message, delivery 2-5 weeks, 8/29: SA said orders in early August will get VINs in 7 days")</f>
        <v>8/19: SMS message, delivery 2-5 weeks, 8/29: SA said orders in early August will get VINs in 7 days</v>
      </c>
      <c r="AH2537" s="189">
        <f>IFERROR(__xludf.DUMMYFUNCTION("""COMPUTED_VALUE"""),44096.7365237037)</f>
        <v>44096.73652</v>
      </c>
    </row>
    <row r="2538">
      <c r="A2538" t="str">
        <f>IFERROR(__xludf.DUMMYFUNCTION("""COMPUTED_VALUE"""),"Farfooz")</f>
        <v>Farfooz</v>
      </c>
      <c r="B2538" t="str">
        <f>IFERROR(__xludf.DUMMYFUNCTION("""COMPUTED_VALUE"""),"Chicago")</f>
        <v>Chicago</v>
      </c>
      <c r="C2538" t="str">
        <f>IFERROR(__xludf.DUMMYFUNCTION("""COMPUTED_VALUE"""),"IL")</f>
        <v>IL</v>
      </c>
      <c r="D2538" t="str">
        <f>IFERROR(__xludf.DUMMYFUNCTION("""COMPUTED_VALUE"""),"USA")</f>
        <v>USA</v>
      </c>
      <c r="E2538" s="188">
        <f>IFERROR(__xludf.DUMMYFUNCTION("""COMPUTED_VALUE"""),43975.0)</f>
        <v>43975</v>
      </c>
      <c r="I2538" t="str">
        <f>IFERROR(__xludf.DUMMYFUNCTION("""COMPUTED_VALUE"""),"04/20")</f>
        <v>04/20</v>
      </c>
      <c r="J2538" s="5">
        <f>IFERROR(__xludf.DUMMYFUNCTION("""COMPUTED_VALUE"""),43989.0)</f>
        <v>43989</v>
      </c>
      <c r="M2538">
        <f>IFERROR(__xludf.DUMMYFUNCTION("""COMPUTED_VALUE"""),14.0)</f>
        <v>14</v>
      </c>
      <c r="N2538" t="str">
        <f>IFERROR(__xludf.DUMMYFUNCTION("""COMPUTED_VALUE"""),"Model 3 Performance")</f>
        <v>Model 3 Performance</v>
      </c>
      <c r="O2538" t="str">
        <f>IFERROR(__xludf.DUMMYFUNCTION("""COMPUTED_VALUE"""),"Solid Black")</f>
        <v>Solid Black</v>
      </c>
      <c r="P2538" t="str">
        <f>IFERROR(__xludf.DUMMYFUNCTION("""COMPUTED_VALUE"""),"20 inch Sport")</f>
        <v>20 inch Sport</v>
      </c>
      <c r="Q2538" t="str">
        <f>IFERROR(__xludf.DUMMYFUNCTION("""COMPUTED_VALUE"""),"White seats")</f>
        <v>White seats</v>
      </c>
      <c r="R2538" t="str">
        <f>IFERROR(__xludf.DUMMYFUNCTION("""COMPUTED_VALUE"""),"Autopilot")</f>
        <v>Autopilot</v>
      </c>
      <c r="X2538" t="str">
        <f>IFERROR(__xludf.DUMMYFUNCTION("""COMPUTED_VALUE"""),"Excellent")</f>
        <v>Excellent</v>
      </c>
      <c r="Y2538" t="str">
        <f>IFERROR(__xludf.DUMMYFUNCTION("""COMPUTED_VALUE"""),"Excellent")</f>
        <v>Excellent</v>
      </c>
      <c r="Z2538" t="str">
        <f>IFERROR(__xludf.DUMMYFUNCTION("""COMPUTED_VALUE"""),"Excellent")</f>
        <v>Excellent</v>
      </c>
      <c r="AA2538" t="str">
        <f>IFERROR(__xludf.DUMMYFUNCTION("""COMPUTED_VALUE"""),"Excellent")</f>
        <v>Excellent</v>
      </c>
      <c r="AB2538" t="str">
        <f>IFERROR(__xludf.DUMMYFUNCTION("""COMPUTED_VALUE"""),"Excellent")</f>
        <v>Excellent</v>
      </c>
      <c r="AC2538">
        <f>IFERROR(__xludf.DUMMYFUNCTION("""COMPUTED_VALUE"""),0.0)</f>
        <v>0</v>
      </c>
      <c r="AD2538">
        <f>IFERROR(__xludf.DUMMYFUNCTION("""COMPUTED_VALUE"""),0.0)</f>
        <v>0</v>
      </c>
      <c r="AH2538" s="189">
        <f>IFERROR(__xludf.DUMMYFUNCTION("""COMPUTED_VALUE"""),44097.682641956024)</f>
        <v>44097.68264</v>
      </c>
    </row>
    <row r="2539">
      <c r="A2539" t="str">
        <f>IFERROR(__xludf.DUMMYFUNCTION("""COMPUTED_VALUE"""),"RichG")</f>
        <v>RichG</v>
      </c>
      <c r="B2539" t="str">
        <f>IFERROR(__xludf.DUMMYFUNCTION("""COMPUTED_VALUE"""),"Hollister")</f>
        <v>Hollister</v>
      </c>
      <c r="C2539" t="str">
        <f>IFERROR(__xludf.DUMMYFUNCTION("""COMPUTED_VALUE"""),"CA")</f>
        <v>CA</v>
      </c>
      <c r="D2539" t="str">
        <f>IFERROR(__xludf.DUMMYFUNCTION("""COMPUTED_VALUE"""),"USA")</f>
        <v>USA</v>
      </c>
      <c r="E2539" s="188">
        <f>IFERROR(__xludf.DUMMYFUNCTION("""COMPUTED_VALUE"""),44023.0)</f>
        <v>44023</v>
      </c>
      <c r="F2539" s="188">
        <f>IFERROR(__xludf.DUMMYFUNCTION("""COMPUTED_VALUE"""),44091.0)</f>
        <v>44091</v>
      </c>
      <c r="H2539">
        <f>IFERROR(__xludf.DUMMYFUNCTION("""COMPUTED_VALUE"""),798979.0)</f>
        <v>798979</v>
      </c>
      <c r="J2539" s="5">
        <f>IFERROR(__xludf.DUMMYFUNCTION("""COMPUTED_VALUE"""),44093.0)</f>
        <v>44093</v>
      </c>
      <c r="K2539">
        <f>IFERROR(__xludf.DUMMYFUNCTION("""COMPUTED_VALUE"""),68.0)</f>
        <v>68</v>
      </c>
      <c r="L2539">
        <f>IFERROR(__xludf.DUMMYFUNCTION("""COMPUTED_VALUE"""),2.0)</f>
        <v>2</v>
      </c>
      <c r="M2539">
        <f>IFERROR(__xludf.DUMMYFUNCTION("""COMPUTED_VALUE"""),70.0)</f>
        <v>70</v>
      </c>
      <c r="N2539" t="str">
        <f>IFERROR(__xludf.DUMMYFUNCTION("""COMPUTED_VALUE"""),"Model 3 SR+")</f>
        <v>Model 3 SR+</v>
      </c>
      <c r="O2539" t="str">
        <f>IFERROR(__xludf.DUMMYFUNCTION("""COMPUTED_VALUE"""),"Midnight Silver Metallic")</f>
        <v>Midnight Silver Metallic</v>
      </c>
      <c r="P2539" t="str">
        <f>IFERROR(__xludf.DUMMYFUNCTION("""COMPUTED_VALUE"""),"18 inch Aero")</f>
        <v>18 inch Aero</v>
      </c>
      <c r="Q2539" t="str">
        <f>IFERROR(__xludf.DUMMYFUNCTION("""COMPUTED_VALUE"""),"Black seats")</f>
        <v>Black seats</v>
      </c>
      <c r="R2539" t="str">
        <f>IFERROR(__xludf.DUMMYFUNCTION("""COMPUTED_VALUE"""),"Autopilot")</f>
        <v>Autopilot</v>
      </c>
      <c r="X2539" t="str">
        <f>IFERROR(__xludf.DUMMYFUNCTION("""COMPUTED_VALUE"""),"Excellent")</f>
        <v>Excellent</v>
      </c>
      <c r="Y2539" t="str">
        <f>IFERROR(__xludf.DUMMYFUNCTION("""COMPUTED_VALUE"""),"Excellent")</f>
        <v>Excellent</v>
      </c>
      <c r="Z2539" t="str">
        <f>IFERROR(__xludf.DUMMYFUNCTION("""COMPUTED_VALUE"""),"Good")</f>
        <v>Good</v>
      </c>
      <c r="AA2539" t="str">
        <f>IFERROR(__xludf.DUMMYFUNCTION("""COMPUTED_VALUE"""),"Fair")</f>
        <v>Fair</v>
      </c>
      <c r="AB2539" t="str">
        <f>IFERROR(__xludf.DUMMYFUNCTION("""COMPUTED_VALUE"""),"Poor")</f>
        <v>Poor</v>
      </c>
      <c r="AC2539">
        <f>IFERROR(__xludf.DUMMYFUNCTION("""COMPUTED_VALUE"""),2.0)</f>
        <v>2</v>
      </c>
      <c r="AD2539">
        <f>IFERROR(__xludf.DUMMYFUNCTION("""COMPUTED_VALUE"""),1.0)</f>
        <v>1</v>
      </c>
      <c r="AE2539">
        <f>IFERROR(__xludf.DUMMYFUNCTION("""COMPUTED_VALUE"""),0.0)</f>
        <v>0</v>
      </c>
      <c r="AG2539" t="str">
        <f>IFERROR(__xludf.DUMMYFUNCTION("""COMPUTED_VALUE"""),"scratches on front bumper.  Was told on the phone by delivery specialists both my wife and I needed to be present to pick up, we had to show drivers lic and sign.  Got to delivery center, nobody there, docs on car seat, needed to be signed and dropped off"&amp;" at fedex within 24 hours.  Not a problem but the person who called me didn't know the delivery process.")</f>
        <v>scratches on front bumper.  Was told on the phone by delivery specialists both my wife and I needed to be present to pick up, we had to show drivers lic and sign.  Got to delivery center, nobody there, docs on car seat, needed to be signed and dropped off at fedex within 24 hours.  Not a problem but the person who called me didn't know the delivery process.</v>
      </c>
      <c r="AH2539" s="189">
        <f>IFERROR(__xludf.DUMMYFUNCTION("""COMPUTED_VALUE"""),44097.73228165509)</f>
        <v>44097.73228</v>
      </c>
    </row>
    <row r="2540">
      <c r="A2540" t="str">
        <f>IFERROR(__xludf.DUMMYFUNCTION("""COMPUTED_VALUE"""),"NJKid")</f>
        <v>NJKid</v>
      </c>
      <c r="C2540" t="str">
        <f>IFERROR(__xludf.DUMMYFUNCTION("""COMPUTED_VALUE"""),"NJ")</f>
        <v>NJ</v>
      </c>
      <c r="D2540" t="str">
        <f>IFERROR(__xludf.DUMMYFUNCTION("""COMPUTED_VALUE"""),"USA")</f>
        <v>USA</v>
      </c>
      <c r="E2540" s="188">
        <f>IFERROR(__xludf.DUMMYFUNCTION("""COMPUTED_VALUE"""),44034.0)</f>
        <v>44034</v>
      </c>
      <c r="F2540" s="188">
        <f>IFERROR(__xludf.DUMMYFUNCTION("""COMPUTED_VALUE"""),44070.0)</f>
        <v>44070</v>
      </c>
      <c r="J2540" s="5">
        <f>IFERROR(__xludf.DUMMYFUNCTION("""COMPUTED_VALUE"""),44086.0)</f>
        <v>44086</v>
      </c>
      <c r="K2540">
        <f>IFERROR(__xludf.DUMMYFUNCTION("""COMPUTED_VALUE"""),36.0)</f>
        <v>36</v>
      </c>
      <c r="L2540">
        <f>IFERROR(__xludf.DUMMYFUNCTION("""COMPUTED_VALUE"""),16.0)</f>
        <v>16</v>
      </c>
      <c r="M2540">
        <f>IFERROR(__xludf.DUMMYFUNCTION("""COMPUTED_VALUE"""),52.0)</f>
        <v>52</v>
      </c>
      <c r="N2540" t="str">
        <f>IFERROR(__xludf.DUMMYFUNCTION("""COMPUTED_VALUE"""),"Model 3 LR AWD")</f>
        <v>Model 3 LR AWD</v>
      </c>
      <c r="O2540" t="str">
        <f>IFERROR(__xludf.DUMMYFUNCTION("""COMPUTED_VALUE"""),"Pearl White Multi-Coat")</f>
        <v>Pearl White Multi-Coat</v>
      </c>
      <c r="P2540" t="str">
        <f>IFERROR(__xludf.DUMMYFUNCTION("""COMPUTED_VALUE"""),"18 inch Aero")</f>
        <v>18 inch Aero</v>
      </c>
      <c r="Q2540" t="str">
        <f>IFERROR(__xludf.DUMMYFUNCTION("""COMPUTED_VALUE"""),"Black seats")</f>
        <v>Black seats</v>
      </c>
      <c r="R2540" t="str">
        <f>IFERROR(__xludf.DUMMYFUNCTION("""COMPUTED_VALUE"""),"Autopilot")</f>
        <v>Autopilot</v>
      </c>
      <c r="X2540" t="str">
        <f>IFERROR(__xludf.DUMMYFUNCTION("""COMPUTED_VALUE"""),"Excellent")</f>
        <v>Excellent</v>
      </c>
      <c r="Y2540" t="str">
        <f>IFERROR(__xludf.DUMMYFUNCTION("""COMPUTED_VALUE"""),"Excellent")</f>
        <v>Excellent</v>
      </c>
      <c r="Z2540" t="str">
        <f>IFERROR(__xludf.DUMMYFUNCTION("""COMPUTED_VALUE"""),"Excellent")</f>
        <v>Excellent</v>
      </c>
      <c r="AA2540" t="str">
        <f>IFERROR(__xludf.DUMMYFUNCTION("""COMPUTED_VALUE"""),"Very Good")</f>
        <v>Very Good</v>
      </c>
      <c r="AB2540" t="str">
        <f>IFERROR(__xludf.DUMMYFUNCTION("""COMPUTED_VALUE"""),"Excellent")</f>
        <v>Excellent</v>
      </c>
      <c r="AC2540">
        <f>IFERROR(__xludf.DUMMYFUNCTION("""COMPUTED_VALUE"""),0.0)</f>
        <v>0</v>
      </c>
      <c r="AG2540" t="str">
        <f>IFERROR(__xludf.DUMMYFUNCTION("""COMPUTED_VALUE"""),"8/10 rcvd text saying I'd get my car in 3-6 weeks. Also asked if I was going away and wouldn't be able take delivery. ")</f>
        <v>8/10 rcvd text saying I'd get my car in 3-6 weeks. Also asked if I was going away and wouldn't be able take delivery. </v>
      </c>
      <c r="AH2540" s="189">
        <f>IFERROR(__xludf.DUMMYFUNCTION("""COMPUTED_VALUE"""),44098.39441545139)</f>
        <v>44098.39442</v>
      </c>
    </row>
    <row r="2541">
      <c r="A2541" t="str">
        <f>IFERROR(__xludf.DUMMYFUNCTION("""COMPUTED_VALUE"""),"SDBound")</f>
        <v>SDBound</v>
      </c>
      <c r="B2541" t="str">
        <f>IFERROR(__xludf.DUMMYFUNCTION("""COMPUTED_VALUE"""),"Reno")</f>
        <v>Reno</v>
      </c>
      <c r="C2541" t="str">
        <f>IFERROR(__xludf.DUMMYFUNCTION("""COMPUTED_VALUE"""),"NV")</f>
        <v>NV</v>
      </c>
      <c r="D2541" t="str">
        <f>IFERROR(__xludf.DUMMYFUNCTION("""COMPUTED_VALUE"""),"USA")</f>
        <v>USA</v>
      </c>
      <c r="E2541" s="188">
        <f>IFERROR(__xludf.DUMMYFUNCTION("""COMPUTED_VALUE"""),44087.0)</f>
        <v>44087</v>
      </c>
      <c r="F2541" s="188">
        <f>IFERROR(__xludf.DUMMYFUNCTION("""COMPUTED_VALUE"""),44090.0)</f>
        <v>44090</v>
      </c>
      <c r="H2541">
        <f>IFERROR(__xludf.DUMMYFUNCTION("""COMPUTED_VALUE"""),798055.0)</f>
        <v>798055</v>
      </c>
      <c r="I2541" t="str">
        <f>IFERROR(__xludf.DUMMYFUNCTION("""COMPUTED_VALUE"""),"09/20")</f>
        <v>09/20</v>
      </c>
      <c r="J2541" s="5">
        <f>IFERROR(__xludf.DUMMYFUNCTION("""COMPUTED_VALUE"""),44093.0)</f>
        <v>44093</v>
      </c>
      <c r="K2541">
        <f>IFERROR(__xludf.DUMMYFUNCTION("""COMPUTED_VALUE"""),3.0)</f>
        <v>3</v>
      </c>
      <c r="L2541">
        <f>IFERROR(__xludf.DUMMYFUNCTION("""COMPUTED_VALUE"""),3.0)</f>
        <v>3</v>
      </c>
      <c r="M2541">
        <f>IFERROR(__xludf.DUMMYFUNCTION("""COMPUTED_VALUE"""),6.0)</f>
        <v>6</v>
      </c>
      <c r="N2541" t="str">
        <f>IFERROR(__xludf.DUMMYFUNCTION("""COMPUTED_VALUE"""),"Model 3 LR AWD")</f>
        <v>Model 3 LR AWD</v>
      </c>
      <c r="O2541" t="str">
        <f>IFERROR(__xludf.DUMMYFUNCTION("""COMPUTED_VALUE"""),"Solid Black")</f>
        <v>Solid Black</v>
      </c>
      <c r="P2541" t="str">
        <f>IFERROR(__xludf.DUMMYFUNCTION("""COMPUTED_VALUE"""),"18 inch Aero")</f>
        <v>18 inch Aero</v>
      </c>
      <c r="Q2541" t="str">
        <f>IFERROR(__xludf.DUMMYFUNCTION("""COMPUTED_VALUE"""),"Black seats")</f>
        <v>Black seats</v>
      </c>
      <c r="R2541" t="str">
        <f>IFERROR(__xludf.DUMMYFUNCTION("""COMPUTED_VALUE"""),"Autopilot")</f>
        <v>Autopilot</v>
      </c>
      <c r="X2541" t="str">
        <f>IFERROR(__xludf.DUMMYFUNCTION("""COMPUTED_VALUE"""),"Good")</f>
        <v>Good</v>
      </c>
      <c r="Y2541" t="str">
        <f>IFERROR(__xludf.DUMMYFUNCTION("""COMPUTED_VALUE"""),"Excellent")</f>
        <v>Excellent</v>
      </c>
      <c r="Z2541" t="str">
        <f>IFERROR(__xludf.DUMMYFUNCTION("""COMPUTED_VALUE"""),"Fair")</f>
        <v>Fair</v>
      </c>
      <c r="AA2541" t="str">
        <f>IFERROR(__xludf.DUMMYFUNCTION("""COMPUTED_VALUE"""),"Excellent")</f>
        <v>Excellent</v>
      </c>
      <c r="AB2541" t="str">
        <f>IFERROR(__xludf.DUMMYFUNCTION("""COMPUTED_VALUE"""),"Very Good")</f>
        <v>Very Good</v>
      </c>
      <c r="AH2541" s="189">
        <f>IFERROR(__xludf.DUMMYFUNCTION("""COMPUTED_VALUE"""),44098.43501291667)</f>
        <v>44098.43501</v>
      </c>
    </row>
    <row r="2542">
      <c r="A2542" t="str">
        <f>IFERROR(__xludf.DUMMYFUNCTION("""COMPUTED_VALUE"""),"bmarkjones")</f>
        <v>bmarkjones</v>
      </c>
      <c r="B2542" t="str">
        <f>IFERROR(__xludf.DUMMYFUNCTION("""COMPUTED_VALUE"""),"Cypress")</f>
        <v>Cypress</v>
      </c>
      <c r="C2542" t="str">
        <f>IFERROR(__xludf.DUMMYFUNCTION("""COMPUTED_VALUE"""),"TX")</f>
        <v>TX</v>
      </c>
      <c r="D2542" t="str">
        <f>IFERROR(__xludf.DUMMYFUNCTION("""COMPUTED_VALUE"""),"USA")</f>
        <v>USA</v>
      </c>
      <c r="E2542" s="188">
        <f>IFERROR(__xludf.DUMMYFUNCTION("""COMPUTED_VALUE"""),44048.0)</f>
        <v>44048</v>
      </c>
      <c r="F2542" s="188">
        <f>IFERROR(__xludf.DUMMYFUNCTION("""COMPUTED_VALUE"""),44081.0)</f>
        <v>44081</v>
      </c>
      <c r="H2542" s="4">
        <f>IFERROR(__xludf.DUMMYFUNCTION("""COMPUTED_VALUE"""),787964.0)</f>
        <v>787964</v>
      </c>
      <c r="I2542" t="str">
        <f>IFERROR(__xludf.DUMMYFUNCTION("""COMPUTED_VALUE"""),"08/20")</f>
        <v>08/20</v>
      </c>
      <c r="J2542" s="5">
        <f>IFERROR(__xludf.DUMMYFUNCTION("""COMPUTED_VALUE"""),44098.0)</f>
        <v>44098</v>
      </c>
      <c r="K2542">
        <f>IFERROR(__xludf.DUMMYFUNCTION("""COMPUTED_VALUE"""),33.0)</f>
        <v>33</v>
      </c>
      <c r="L2542">
        <f>IFERROR(__xludf.DUMMYFUNCTION("""COMPUTED_VALUE"""),17.0)</f>
        <v>17</v>
      </c>
      <c r="M2542">
        <f>IFERROR(__xludf.DUMMYFUNCTION("""COMPUTED_VALUE"""),50.0)</f>
        <v>50</v>
      </c>
      <c r="N2542" t="str">
        <f>IFERROR(__xludf.DUMMYFUNCTION("""COMPUTED_VALUE"""),"Model 3 LR AWD")</f>
        <v>Model 3 LR AWD</v>
      </c>
      <c r="O2542" t="str">
        <f>IFERROR(__xludf.DUMMYFUNCTION("""COMPUTED_VALUE"""),"Red Multi-Coat")</f>
        <v>Red Multi-Coat</v>
      </c>
      <c r="P2542" t="str">
        <f>IFERROR(__xludf.DUMMYFUNCTION("""COMPUTED_VALUE"""),"19 inch Sport")</f>
        <v>19 inch Sport</v>
      </c>
      <c r="Q2542" t="str">
        <f>IFERROR(__xludf.DUMMYFUNCTION("""COMPUTED_VALUE"""),"White seats")</f>
        <v>White seats</v>
      </c>
      <c r="R2542" t="str">
        <f>IFERROR(__xludf.DUMMYFUNCTION("""COMPUTED_VALUE"""),"Autopilot")</f>
        <v>Autopilot</v>
      </c>
      <c r="X2542" t="str">
        <f>IFERROR(__xludf.DUMMYFUNCTION("""COMPUTED_VALUE"""),"Good")</f>
        <v>Good</v>
      </c>
      <c r="Y2542" t="str">
        <f>IFERROR(__xludf.DUMMYFUNCTION("""COMPUTED_VALUE"""),"Excellent")</f>
        <v>Excellent</v>
      </c>
      <c r="Z2542" t="str">
        <f>IFERROR(__xludf.DUMMYFUNCTION("""COMPUTED_VALUE"""),"Excellent")</f>
        <v>Excellent</v>
      </c>
      <c r="AA2542" t="str">
        <f>IFERROR(__xludf.DUMMYFUNCTION("""COMPUTED_VALUE"""),"Very Good")</f>
        <v>Very Good</v>
      </c>
      <c r="AB2542" t="str">
        <f>IFERROR(__xludf.DUMMYFUNCTION("""COMPUTED_VALUE"""),"Excellent")</f>
        <v>Excellent</v>
      </c>
      <c r="AC2542">
        <f>IFERROR(__xludf.DUMMYFUNCTION("""COMPUTED_VALUE"""),5.0)</f>
        <v>5</v>
      </c>
      <c r="AH2542" s="189">
        <f>IFERROR(__xludf.DUMMYFUNCTION("""COMPUTED_VALUE"""),44098.60169696759)</f>
        <v>44098.6017</v>
      </c>
    </row>
    <row r="2543">
      <c r="A2543" t="str">
        <f>IFERROR(__xludf.DUMMYFUNCTION("""COMPUTED_VALUE"""),"RIXM3")</f>
        <v>RIXM3</v>
      </c>
      <c r="B2543" t="str">
        <f>IFERROR(__xludf.DUMMYFUNCTION("""COMPUTED_VALUE"""),"Pinellas Park")</f>
        <v>Pinellas Park</v>
      </c>
      <c r="C2543" t="str">
        <f>IFERROR(__xludf.DUMMYFUNCTION("""COMPUTED_VALUE"""),"FL")</f>
        <v>FL</v>
      </c>
      <c r="D2543" t="str">
        <f>IFERROR(__xludf.DUMMYFUNCTION("""COMPUTED_VALUE"""),"USA")</f>
        <v>USA</v>
      </c>
      <c r="E2543" s="188">
        <f>IFERROR(__xludf.DUMMYFUNCTION("""COMPUTED_VALUE"""),44048.0)</f>
        <v>44048</v>
      </c>
      <c r="F2543" s="188">
        <f>IFERROR(__xludf.DUMMYFUNCTION("""COMPUTED_VALUE"""),44075.0)</f>
        <v>44075</v>
      </c>
      <c r="H2543" s="4">
        <f>IFERROR(__xludf.DUMMYFUNCTION("""COMPUTED_VALUE"""),787196.0)</f>
        <v>787196</v>
      </c>
      <c r="I2543" t="str">
        <f>IFERROR(__xludf.DUMMYFUNCTION("""COMPUTED_VALUE"""),"09/20")</f>
        <v>09/20</v>
      </c>
      <c r="J2543" s="5">
        <f>IFERROR(__xludf.DUMMYFUNCTION("""COMPUTED_VALUE"""),44097.0)</f>
        <v>44097</v>
      </c>
      <c r="K2543">
        <f>IFERROR(__xludf.DUMMYFUNCTION("""COMPUTED_VALUE"""),27.0)</f>
        <v>27</v>
      </c>
      <c r="L2543">
        <f>IFERROR(__xludf.DUMMYFUNCTION("""COMPUTED_VALUE"""),22.0)</f>
        <v>22</v>
      </c>
      <c r="M2543">
        <f>IFERROR(__xludf.DUMMYFUNCTION("""COMPUTED_VALUE"""),49.0)</f>
        <v>49</v>
      </c>
      <c r="N2543" t="str">
        <f>IFERROR(__xludf.DUMMYFUNCTION("""COMPUTED_VALUE"""),"Model 3 LR AWD")</f>
        <v>Model 3 LR AWD</v>
      </c>
      <c r="O2543" t="str">
        <f>IFERROR(__xludf.DUMMYFUNCTION("""COMPUTED_VALUE"""),"Pearl White Multi-Coat")</f>
        <v>Pearl White Multi-Coat</v>
      </c>
      <c r="P2543" t="str">
        <f>IFERROR(__xludf.DUMMYFUNCTION("""COMPUTED_VALUE"""),"18 inch Aero")</f>
        <v>18 inch Aero</v>
      </c>
      <c r="Q2543" t="str">
        <f>IFERROR(__xludf.DUMMYFUNCTION("""COMPUTED_VALUE"""),"Black seats")</f>
        <v>Black seats</v>
      </c>
      <c r="R2543" t="str">
        <f>IFERROR(__xludf.DUMMYFUNCTION("""COMPUTED_VALUE"""),"Full Self-Driving")</f>
        <v>Full Self-Driving</v>
      </c>
      <c r="X2543" t="str">
        <f>IFERROR(__xludf.DUMMYFUNCTION("""COMPUTED_VALUE"""),"Excellent")</f>
        <v>Excellent</v>
      </c>
      <c r="Y2543" t="str">
        <f>IFERROR(__xludf.DUMMYFUNCTION("""COMPUTED_VALUE"""),"Excellent")</f>
        <v>Excellent</v>
      </c>
      <c r="Z2543" t="str">
        <f>IFERROR(__xludf.DUMMYFUNCTION("""COMPUTED_VALUE"""),"Excellent")</f>
        <v>Excellent</v>
      </c>
      <c r="AA2543" t="str">
        <f>IFERROR(__xludf.DUMMYFUNCTION("""COMPUTED_VALUE"""),"Very Good")</f>
        <v>Very Good</v>
      </c>
      <c r="AB2543" t="str">
        <f>IFERROR(__xludf.DUMMYFUNCTION("""COMPUTED_VALUE"""),"Excellent")</f>
        <v>Excellent</v>
      </c>
      <c r="AH2543" s="189">
        <f>IFERROR(__xludf.DUMMYFUNCTION("""COMPUTED_VALUE"""),44098.83421796296)</f>
        <v>44098.83422</v>
      </c>
    </row>
    <row r="2544">
      <c r="A2544" t="str">
        <f>IFERROR(__xludf.DUMMYFUNCTION("""COMPUTED_VALUE"""),"jmatero")</f>
        <v>jmatero</v>
      </c>
      <c r="B2544" t="str">
        <f>IFERROR(__xludf.DUMMYFUNCTION("""COMPUTED_VALUE"""),"San Jose")</f>
        <v>San Jose</v>
      </c>
      <c r="C2544" t="str">
        <f>IFERROR(__xludf.DUMMYFUNCTION("""COMPUTED_VALUE"""),"CA")</f>
        <v>CA</v>
      </c>
      <c r="D2544" t="str">
        <f>IFERROR(__xludf.DUMMYFUNCTION("""COMPUTED_VALUE"""),"USA")</f>
        <v>USA</v>
      </c>
      <c r="E2544" s="188">
        <f>IFERROR(__xludf.DUMMYFUNCTION("""COMPUTED_VALUE"""),43869.0)</f>
        <v>43869</v>
      </c>
      <c r="F2544" s="188">
        <f>IFERROR(__xludf.DUMMYFUNCTION("""COMPUTED_VALUE"""),43896.0)</f>
        <v>43896</v>
      </c>
      <c r="H2544">
        <f>IFERROR(__xludf.DUMMYFUNCTION("""COMPUTED_VALUE"""),710355.0)</f>
        <v>710355</v>
      </c>
      <c r="I2544" t="str">
        <f>IFERROR(__xludf.DUMMYFUNCTION("""COMPUTED_VALUE"""),"03/20")</f>
        <v>03/20</v>
      </c>
      <c r="J2544" s="5">
        <f>IFERROR(__xludf.DUMMYFUNCTION("""COMPUTED_VALUE"""),43899.0)</f>
        <v>43899</v>
      </c>
      <c r="K2544">
        <f>IFERROR(__xludf.DUMMYFUNCTION("""COMPUTED_VALUE"""),27.0)</f>
        <v>27</v>
      </c>
      <c r="L2544">
        <f>IFERROR(__xludf.DUMMYFUNCTION("""COMPUTED_VALUE"""),3.0)</f>
        <v>3</v>
      </c>
      <c r="M2544">
        <f>IFERROR(__xludf.DUMMYFUNCTION("""COMPUTED_VALUE"""),30.0)</f>
        <v>30</v>
      </c>
      <c r="N2544" t="str">
        <f>IFERROR(__xludf.DUMMYFUNCTION("""COMPUTED_VALUE"""),"Model 3 SR+")</f>
        <v>Model 3 SR+</v>
      </c>
      <c r="O2544" t="str">
        <f>IFERROR(__xludf.DUMMYFUNCTION("""COMPUTED_VALUE"""),"Pearl White Multi-Coat")</f>
        <v>Pearl White Multi-Coat</v>
      </c>
      <c r="P2544" t="str">
        <f>IFERROR(__xludf.DUMMYFUNCTION("""COMPUTED_VALUE"""),"19 inch Sport")</f>
        <v>19 inch Sport</v>
      </c>
      <c r="Q2544" t="str">
        <f>IFERROR(__xludf.DUMMYFUNCTION("""COMPUTED_VALUE"""),"White seats")</f>
        <v>White seats</v>
      </c>
      <c r="R2544" t="str">
        <f>IFERROR(__xludf.DUMMYFUNCTION("""COMPUTED_VALUE"""),"Autopilot")</f>
        <v>Autopilot</v>
      </c>
      <c r="X2544" t="str">
        <f>IFERROR(__xludf.DUMMYFUNCTION("""COMPUTED_VALUE"""),"Poor")</f>
        <v>Poor</v>
      </c>
      <c r="Y2544" t="str">
        <f>IFERROR(__xludf.DUMMYFUNCTION("""COMPUTED_VALUE"""),"Good")</f>
        <v>Good</v>
      </c>
      <c r="Z2544" t="str">
        <f>IFERROR(__xludf.DUMMYFUNCTION("""COMPUTED_VALUE"""),"Good")</f>
        <v>Good</v>
      </c>
      <c r="AA2544" t="str">
        <f>IFERROR(__xludf.DUMMYFUNCTION("""COMPUTED_VALUE"""),"Very Good")</f>
        <v>Very Good</v>
      </c>
      <c r="AB2544" t="str">
        <f>IFERROR(__xludf.DUMMYFUNCTION("""COMPUTED_VALUE"""),"Fair")</f>
        <v>Fair</v>
      </c>
      <c r="AC2544">
        <f>IFERROR(__xludf.DUMMYFUNCTION("""COMPUTED_VALUE"""),6.0)</f>
        <v>6</v>
      </c>
      <c r="AD2544">
        <f>IFERROR(__xludf.DUMMYFUNCTION("""COMPUTED_VALUE"""),3.0)</f>
        <v>3</v>
      </c>
      <c r="AE2544">
        <f>IFERROR(__xludf.DUMMYFUNCTION("""COMPUTED_VALUE"""),0.0)</f>
        <v>0</v>
      </c>
      <c r="AG2544" t="str">
        <f>IFERROR(__xludf.DUMMYFUNCTION("""COMPUTED_VALUE"""),"Hood contacting front fender, headliner stains, interior trim not attached fully, charge port door not flush, alignment off.")</f>
        <v>Hood contacting front fender, headliner stains, interior trim not attached fully, charge port door not flush, alignment off.</v>
      </c>
      <c r="AH2544" s="189">
        <f>IFERROR(__xludf.DUMMYFUNCTION("""COMPUTED_VALUE"""),44099.66417063658)</f>
        <v>44099.66417</v>
      </c>
    </row>
    <row r="2545">
      <c r="A2545" t="str">
        <f>IFERROR(__xludf.DUMMYFUNCTION("""COMPUTED_VALUE"""),"solidprinciples")</f>
        <v>solidprinciples</v>
      </c>
      <c r="B2545" t="str">
        <f>IFERROR(__xludf.DUMMYFUNCTION("""COMPUTED_VALUE"""),"Seattle")</f>
        <v>Seattle</v>
      </c>
      <c r="C2545" t="str">
        <f>IFERROR(__xludf.DUMMYFUNCTION("""COMPUTED_VALUE"""),"WA")</f>
        <v>WA</v>
      </c>
      <c r="D2545" t="str">
        <f>IFERROR(__xludf.DUMMYFUNCTION("""COMPUTED_VALUE"""),"USA")</f>
        <v>USA</v>
      </c>
      <c r="E2545" s="188">
        <f>IFERROR(__xludf.DUMMYFUNCTION("""COMPUTED_VALUE"""),44067.0)</f>
        <v>44067</v>
      </c>
      <c r="F2545" s="188">
        <f>IFERROR(__xludf.DUMMYFUNCTION("""COMPUTED_VALUE"""),44095.0)</f>
        <v>44095</v>
      </c>
      <c r="H2545">
        <f>IFERROR(__xludf.DUMMYFUNCTION("""COMPUTED_VALUE"""),801255.0)</f>
        <v>801255</v>
      </c>
      <c r="J2545" s="5">
        <f>IFERROR(__xludf.DUMMYFUNCTION("""COMPUTED_VALUE"""),44100.0)</f>
        <v>44100</v>
      </c>
      <c r="K2545">
        <f>IFERROR(__xludf.DUMMYFUNCTION("""COMPUTED_VALUE"""),28.0)</f>
        <v>28</v>
      </c>
      <c r="L2545">
        <f>IFERROR(__xludf.DUMMYFUNCTION("""COMPUTED_VALUE"""),5.0)</f>
        <v>5</v>
      </c>
      <c r="M2545">
        <f>IFERROR(__xludf.DUMMYFUNCTION("""COMPUTED_VALUE"""),33.0)</f>
        <v>33</v>
      </c>
      <c r="N2545" t="str">
        <f>IFERROR(__xludf.DUMMYFUNCTION("""COMPUTED_VALUE"""),"Model 3 LR AWD")</f>
        <v>Model 3 LR AWD</v>
      </c>
      <c r="O2545" t="str">
        <f>IFERROR(__xludf.DUMMYFUNCTION("""COMPUTED_VALUE"""),"Midnight Silver Metallic")</f>
        <v>Midnight Silver Metallic</v>
      </c>
      <c r="P2545" t="str">
        <f>IFERROR(__xludf.DUMMYFUNCTION("""COMPUTED_VALUE"""),"19 inch Sport")</f>
        <v>19 inch Sport</v>
      </c>
      <c r="Q2545" t="str">
        <f>IFERROR(__xludf.DUMMYFUNCTION("""COMPUTED_VALUE"""),"Black seats")</f>
        <v>Black seats</v>
      </c>
      <c r="R2545" t="str">
        <f>IFERROR(__xludf.DUMMYFUNCTION("""COMPUTED_VALUE"""),"Autopilot")</f>
        <v>Autopilot</v>
      </c>
      <c r="X2545" t="str">
        <f>IFERROR(__xludf.DUMMYFUNCTION("""COMPUTED_VALUE"""),"Very Good")</f>
        <v>Very Good</v>
      </c>
      <c r="Y2545" t="str">
        <f>IFERROR(__xludf.DUMMYFUNCTION("""COMPUTED_VALUE"""),"Excellent")</f>
        <v>Excellent</v>
      </c>
      <c r="Z2545" t="str">
        <f>IFERROR(__xludf.DUMMYFUNCTION("""COMPUTED_VALUE"""),"Very Good")</f>
        <v>Very Good</v>
      </c>
      <c r="AA2545" t="str">
        <f>IFERROR(__xludf.DUMMYFUNCTION("""COMPUTED_VALUE"""),"Very Good")</f>
        <v>Very Good</v>
      </c>
      <c r="AB2545" t="str">
        <f>IFERROR(__xludf.DUMMYFUNCTION("""COMPUTED_VALUE"""),"Very Good")</f>
        <v>Very Good</v>
      </c>
      <c r="AH2545" s="189">
        <f>IFERROR(__xludf.DUMMYFUNCTION("""COMPUTED_VALUE"""),44100.95078890046)</f>
        <v>44100.95079</v>
      </c>
    </row>
    <row r="2546">
      <c r="A2546" t="str">
        <f>IFERROR(__xludf.DUMMYFUNCTION("""COMPUTED_VALUE"""),"PG")</f>
        <v>PG</v>
      </c>
      <c r="B2546" t="str">
        <f>IFERROR(__xludf.DUMMYFUNCTION("""COMPUTED_VALUE"""),"Los Angeles")</f>
        <v>Los Angeles</v>
      </c>
      <c r="C2546" t="str">
        <f>IFERROR(__xludf.DUMMYFUNCTION("""COMPUTED_VALUE"""),"CA")</f>
        <v>CA</v>
      </c>
      <c r="D2546" t="str">
        <f>IFERROR(__xludf.DUMMYFUNCTION("""COMPUTED_VALUE"""),"USA")</f>
        <v>USA</v>
      </c>
      <c r="E2546" s="188">
        <f>IFERROR(__xludf.DUMMYFUNCTION("""COMPUTED_VALUE"""),44010.0)</f>
        <v>44010</v>
      </c>
      <c r="F2546" s="188">
        <f>IFERROR(__xludf.DUMMYFUNCTION("""COMPUTED_VALUE"""),44092.0)</f>
        <v>44092</v>
      </c>
      <c r="H2546">
        <f>IFERROR(__xludf.DUMMYFUNCTION("""COMPUTED_VALUE"""),799655.0)</f>
        <v>799655</v>
      </c>
      <c r="J2546" s="5">
        <f>IFERROR(__xludf.DUMMYFUNCTION("""COMPUTED_VALUE"""),44094.0)</f>
        <v>44094</v>
      </c>
      <c r="K2546">
        <f>IFERROR(__xludf.DUMMYFUNCTION("""COMPUTED_VALUE"""),82.0)</f>
        <v>82</v>
      </c>
      <c r="L2546">
        <f>IFERROR(__xludf.DUMMYFUNCTION("""COMPUTED_VALUE"""),2.0)</f>
        <v>2</v>
      </c>
      <c r="M2546">
        <f>IFERROR(__xludf.DUMMYFUNCTION("""COMPUTED_VALUE"""),84.0)</f>
        <v>84</v>
      </c>
      <c r="N2546" t="str">
        <f>IFERROR(__xludf.DUMMYFUNCTION("""COMPUTED_VALUE"""),"Model 3 SR+")</f>
        <v>Model 3 SR+</v>
      </c>
      <c r="O2546" t="str">
        <f>IFERROR(__xludf.DUMMYFUNCTION("""COMPUTED_VALUE"""),"Pearl White Multi-Coat")</f>
        <v>Pearl White Multi-Coat</v>
      </c>
      <c r="P2546" t="str">
        <f>IFERROR(__xludf.DUMMYFUNCTION("""COMPUTED_VALUE"""),"18 inch Aero")</f>
        <v>18 inch Aero</v>
      </c>
      <c r="Q2546" t="str">
        <f>IFERROR(__xludf.DUMMYFUNCTION("""COMPUTED_VALUE"""),"Black seats")</f>
        <v>Black seats</v>
      </c>
      <c r="R2546" t="str">
        <f>IFERROR(__xludf.DUMMYFUNCTION("""COMPUTED_VALUE"""),"Autopilot")</f>
        <v>Autopilot</v>
      </c>
      <c r="X2546" t="str">
        <f>IFERROR(__xludf.DUMMYFUNCTION("""COMPUTED_VALUE"""),"Very Good")</f>
        <v>Very Good</v>
      </c>
      <c r="Y2546" t="str">
        <f>IFERROR(__xludf.DUMMYFUNCTION("""COMPUTED_VALUE"""),"Excellent")</f>
        <v>Excellent</v>
      </c>
      <c r="Z2546" t="str">
        <f>IFERROR(__xludf.DUMMYFUNCTION("""COMPUTED_VALUE"""),"Excellent")</f>
        <v>Excellent</v>
      </c>
      <c r="AA2546" t="str">
        <f>IFERROR(__xludf.DUMMYFUNCTION("""COMPUTED_VALUE"""),"Fair")</f>
        <v>Fair</v>
      </c>
      <c r="AB2546" t="str">
        <f>IFERROR(__xludf.DUMMYFUNCTION("""COMPUTED_VALUE"""),"Excellent")</f>
        <v>Excellent</v>
      </c>
      <c r="AG2546" t="str">
        <f>IFERROR(__xludf.DUMMYFUNCTION("""COMPUTED_VALUE"""),"Text on 9/2: 1-3 weeks until delivery.  Text on 9/17: 4-11 days until delivery")</f>
        <v>Text on 9/2: 1-3 weeks until delivery.  Text on 9/17: 4-11 days until delivery</v>
      </c>
      <c r="AH2546" s="189">
        <f>IFERROR(__xludf.DUMMYFUNCTION("""COMPUTED_VALUE"""),44100.95996799768)</f>
        <v>44100.95997</v>
      </c>
    </row>
    <row r="2547">
      <c r="A2547" t="str">
        <f>IFERROR(__xludf.DUMMYFUNCTION("""COMPUTED_VALUE"""),"JayE")</f>
        <v>JayE</v>
      </c>
      <c r="B2547" t="str">
        <f>IFERROR(__xludf.DUMMYFUNCTION("""COMPUTED_VALUE"""),"Lake Tapps")</f>
        <v>Lake Tapps</v>
      </c>
      <c r="C2547" t="str">
        <f>IFERROR(__xludf.DUMMYFUNCTION("""COMPUTED_VALUE"""),"WA")</f>
        <v>WA</v>
      </c>
      <c r="D2547" t="str">
        <f>IFERROR(__xludf.DUMMYFUNCTION("""COMPUTED_VALUE"""),"USA")</f>
        <v>USA</v>
      </c>
      <c r="E2547" s="188">
        <f>IFERROR(__xludf.DUMMYFUNCTION("""COMPUTED_VALUE"""),44084.0)</f>
        <v>44084</v>
      </c>
      <c r="F2547" s="188">
        <f>IFERROR(__xludf.DUMMYFUNCTION("""COMPUTED_VALUE"""),44099.0)</f>
        <v>44099</v>
      </c>
      <c r="H2547">
        <f>IFERROR(__xludf.DUMMYFUNCTION("""COMPUTED_VALUE"""),804155.0)</f>
        <v>804155</v>
      </c>
      <c r="I2547" t="str">
        <f>IFERROR(__xludf.DUMMYFUNCTION("""COMPUTED_VALUE"""),"09/20")</f>
        <v>09/20</v>
      </c>
      <c r="J2547" s="5">
        <f>IFERROR(__xludf.DUMMYFUNCTION("""COMPUTED_VALUE"""),44100.0)</f>
        <v>44100</v>
      </c>
      <c r="K2547">
        <f>IFERROR(__xludf.DUMMYFUNCTION("""COMPUTED_VALUE"""),15.0)</f>
        <v>15</v>
      </c>
      <c r="L2547">
        <f>IFERROR(__xludf.DUMMYFUNCTION("""COMPUTED_VALUE"""),1.0)</f>
        <v>1</v>
      </c>
      <c r="M2547">
        <f>IFERROR(__xludf.DUMMYFUNCTION("""COMPUTED_VALUE"""),16.0)</f>
        <v>16</v>
      </c>
      <c r="N2547" t="str">
        <f>IFERROR(__xludf.DUMMYFUNCTION("""COMPUTED_VALUE"""),"Model 3 SR+")</f>
        <v>Model 3 SR+</v>
      </c>
      <c r="O2547" t="str">
        <f>IFERROR(__xludf.DUMMYFUNCTION("""COMPUTED_VALUE"""),"Pearl White Multi-Coat")</f>
        <v>Pearl White Multi-Coat</v>
      </c>
      <c r="P2547" t="str">
        <f>IFERROR(__xludf.DUMMYFUNCTION("""COMPUTED_VALUE"""),"18 inch Aero")</f>
        <v>18 inch Aero</v>
      </c>
      <c r="Q2547" t="str">
        <f>IFERROR(__xludf.DUMMYFUNCTION("""COMPUTED_VALUE"""),"Black seats")</f>
        <v>Black seats</v>
      </c>
      <c r="R2547" t="str">
        <f>IFERROR(__xludf.DUMMYFUNCTION("""COMPUTED_VALUE"""),"Autopilot")</f>
        <v>Autopilot</v>
      </c>
      <c r="X2547" t="str">
        <f>IFERROR(__xludf.DUMMYFUNCTION("""COMPUTED_VALUE"""),"Very Good")</f>
        <v>Very Good</v>
      </c>
      <c r="Y2547" t="str">
        <f>IFERROR(__xludf.DUMMYFUNCTION("""COMPUTED_VALUE"""),"Excellent")</f>
        <v>Excellent</v>
      </c>
      <c r="Z2547" t="str">
        <f>IFERROR(__xludf.DUMMYFUNCTION("""COMPUTED_VALUE"""),"Excellent")</f>
        <v>Excellent</v>
      </c>
      <c r="AA2547" t="str">
        <f>IFERROR(__xludf.DUMMYFUNCTION("""COMPUTED_VALUE"""),"Very Good")</f>
        <v>Very Good</v>
      </c>
      <c r="AB2547" t="str">
        <f>IFERROR(__xludf.DUMMYFUNCTION("""COMPUTED_VALUE"""),"Excellent")</f>
        <v>Excellent</v>
      </c>
      <c r="AH2547" s="189">
        <f>IFERROR(__xludf.DUMMYFUNCTION("""COMPUTED_VALUE"""),44101.560357696755)</f>
        <v>44101.56036</v>
      </c>
    </row>
    <row r="2548">
      <c r="A2548" t="str">
        <f>IFERROR(__xludf.DUMMYFUNCTION("""COMPUTED_VALUE"""),"seetee6891")</f>
        <v>seetee6891</v>
      </c>
      <c r="C2548" t="str">
        <f>IFERROR(__xludf.DUMMYFUNCTION("""COMPUTED_VALUE"""),"WI")</f>
        <v>WI</v>
      </c>
      <c r="D2548" t="str">
        <f>IFERROR(__xludf.DUMMYFUNCTION("""COMPUTED_VALUE"""),"USA")</f>
        <v>USA</v>
      </c>
      <c r="E2548" s="188">
        <f>IFERROR(__xludf.DUMMYFUNCTION("""COMPUTED_VALUE"""),44065.0)</f>
        <v>44065</v>
      </c>
      <c r="F2548" s="188">
        <f>IFERROR(__xludf.DUMMYFUNCTION("""COMPUTED_VALUE"""),44080.0)</f>
        <v>44080</v>
      </c>
      <c r="H2548">
        <f>IFERROR(__xludf.DUMMYFUNCTION("""COMPUTED_VALUE"""),790655.0)</f>
        <v>790655</v>
      </c>
      <c r="J2548" s="5">
        <f>IFERROR(__xludf.DUMMYFUNCTION("""COMPUTED_VALUE"""),44096.0)</f>
        <v>44096</v>
      </c>
      <c r="K2548">
        <f>IFERROR(__xludf.DUMMYFUNCTION("""COMPUTED_VALUE"""),15.0)</f>
        <v>15</v>
      </c>
      <c r="L2548">
        <f>IFERROR(__xludf.DUMMYFUNCTION("""COMPUTED_VALUE"""),16.0)</f>
        <v>16</v>
      </c>
      <c r="M2548">
        <f>IFERROR(__xludf.DUMMYFUNCTION("""COMPUTED_VALUE"""),31.0)</f>
        <v>31</v>
      </c>
      <c r="N2548" t="str">
        <f>IFERROR(__xludf.DUMMYFUNCTION("""COMPUTED_VALUE"""),"Model 3 LR AWD")</f>
        <v>Model 3 LR AWD</v>
      </c>
      <c r="O2548" t="str">
        <f>IFERROR(__xludf.DUMMYFUNCTION("""COMPUTED_VALUE"""),"Pearl White Multi-Coat")</f>
        <v>Pearl White Multi-Coat</v>
      </c>
      <c r="P2548" t="str">
        <f>IFERROR(__xludf.DUMMYFUNCTION("""COMPUTED_VALUE"""),"18 inch Aero")</f>
        <v>18 inch Aero</v>
      </c>
      <c r="Q2548" t="str">
        <f>IFERROR(__xludf.DUMMYFUNCTION("""COMPUTED_VALUE"""),"Black seats")</f>
        <v>Black seats</v>
      </c>
      <c r="R2548" t="str">
        <f>IFERROR(__xludf.DUMMYFUNCTION("""COMPUTED_VALUE"""),"Autopilot")</f>
        <v>Autopilot</v>
      </c>
      <c r="X2548" t="str">
        <f>IFERROR(__xludf.DUMMYFUNCTION("""COMPUTED_VALUE"""),"Very Good")</f>
        <v>Very Good</v>
      </c>
      <c r="Y2548" t="str">
        <f>IFERROR(__xludf.DUMMYFUNCTION("""COMPUTED_VALUE"""),"Very Good")</f>
        <v>Very Good</v>
      </c>
      <c r="Z2548" t="str">
        <f>IFERROR(__xludf.DUMMYFUNCTION("""COMPUTED_VALUE"""),"Very Good")</f>
        <v>Very Good</v>
      </c>
      <c r="AA2548" t="str">
        <f>IFERROR(__xludf.DUMMYFUNCTION("""COMPUTED_VALUE"""),"Fair")</f>
        <v>Fair</v>
      </c>
      <c r="AB2548" t="str">
        <f>IFERROR(__xludf.DUMMYFUNCTION("""COMPUTED_VALUE"""),"Fair")</f>
        <v>Fair</v>
      </c>
      <c r="AC2548">
        <f>IFERROR(__xludf.DUMMYFUNCTION("""COMPUTED_VALUE"""),1.0)</f>
        <v>1</v>
      </c>
      <c r="AG2548" t="str">
        <f>IFERROR(__xludf.DUMMYFUNCTION("""COMPUTED_VALUE"""),"Front passenger door has popping noise when opening/closing ")</f>
        <v>Front passenger door has popping noise when opening/closing </v>
      </c>
      <c r="AH2548" s="189">
        <f>IFERROR(__xludf.DUMMYFUNCTION("""COMPUTED_VALUE"""),44101.60840429398)</f>
        <v>44101.6084</v>
      </c>
    </row>
    <row r="2549">
      <c r="A2549" t="str">
        <f>IFERROR(__xludf.DUMMYFUNCTION("""COMPUTED_VALUE"""),"Lexdysic")</f>
        <v>Lexdysic</v>
      </c>
      <c r="B2549" t="str">
        <f>IFERROR(__xludf.DUMMYFUNCTION("""COMPUTED_VALUE"""),"Rockville")</f>
        <v>Rockville</v>
      </c>
      <c r="C2549" t="str">
        <f>IFERROR(__xludf.DUMMYFUNCTION("""COMPUTED_VALUE"""),"MD")</f>
        <v>MD</v>
      </c>
      <c r="D2549" t="str">
        <f>IFERROR(__xludf.DUMMYFUNCTION("""COMPUTED_VALUE"""),"USA")</f>
        <v>USA</v>
      </c>
      <c r="E2549" s="188">
        <f>IFERROR(__xludf.DUMMYFUNCTION("""COMPUTED_VALUE"""),44040.0)</f>
        <v>44040</v>
      </c>
      <c r="F2549" s="188">
        <f>IFERROR(__xludf.DUMMYFUNCTION("""COMPUTED_VALUE"""),44075.0)</f>
        <v>44075</v>
      </c>
      <c r="H2549">
        <f>IFERROR(__xludf.DUMMYFUNCTION("""COMPUTED_VALUE"""),787355.0)</f>
        <v>787355</v>
      </c>
      <c r="I2549" t="str">
        <f>IFERROR(__xludf.DUMMYFUNCTION("""COMPUTED_VALUE"""),"08/20")</f>
        <v>08/20</v>
      </c>
      <c r="J2549" s="5">
        <f>IFERROR(__xludf.DUMMYFUNCTION("""COMPUTED_VALUE"""),44088.0)</f>
        <v>44088</v>
      </c>
      <c r="K2549">
        <f>IFERROR(__xludf.DUMMYFUNCTION("""COMPUTED_VALUE"""),35.0)</f>
        <v>35</v>
      </c>
      <c r="L2549">
        <f>IFERROR(__xludf.DUMMYFUNCTION("""COMPUTED_VALUE"""),13.0)</f>
        <v>13</v>
      </c>
      <c r="M2549">
        <f>IFERROR(__xludf.DUMMYFUNCTION("""COMPUTED_VALUE"""),48.0)</f>
        <v>48</v>
      </c>
      <c r="N2549" t="str">
        <f>IFERROR(__xludf.DUMMYFUNCTION("""COMPUTED_VALUE"""),"Model 3 LR AWD")</f>
        <v>Model 3 LR AWD</v>
      </c>
      <c r="O2549" t="str">
        <f>IFERROR(__xludf.DUMMYFUNCTION("""COMPUTED_VALUE"""),"Solid Black")</f>
        <v>Solid Black</v>
      </c>
      <c r="P2549" t="str">
        <f>IFERROR(__xludf.DUMMYFUNCTION("""COMPUTED_VALUE"""),"19 inch Sport")</f>
        <v>19 inch Sport</v>
      </c>
      <c r="Q2549" t="str">
        <f>IFERROR(__xludf.DUMMYFUNCTION("""COMPUTED_VALUE"""),"Black seats")</f>
        <v>Black seats</v>
      </c>
      <c r="R2549" t="str">
        <f>IFERROR(__xludf.DUMMYFUNCTION("""COMPUTED_VALUE"""),"Full Self-Driving")</f>
        <v>Full Self-Driving</v>
      </c>
      <c r="X2549" t="str">
        <f>IFERROR(__xludf.DUMMYFUNCTION("""COMPUTED_VALUE"""),"Excellent")</f>
        <v>Excellent</v>
      </c>
      <c r="Y2549" t="str">
        <f>IFERROR(__xludf.DUMMYFUNCTION("""COMPUTED_VALUE"""),"Excellent")</f>
        <v>Excellent</v>
      </c>
      <c r="Z2549" t="str">
        <f>IFERROR(__xludf.DUMMYFUNCTION("""COMPUTED_VALUE"""),"Excellent")</f>
        <v>Excellent</v>
      </c>
      <c r="AA2549" t="str">
        <f>IFERROR(__xludf.DUMMYFUNCTION("""COMPUTED_VALUE"""),"Excellent")</f>
        <v>Excellent</v>
      </c>
      <c r="AB2549" t="str">
        <f>IFERROR(__xludf.DUMMYFUNCTION("""COMPUTED_VALUE"""),"Excellent")</f>
        <v>Excellent</v>
      </c>
      <c r="AC2549">
        <f>IFERROR(__xludf.DUMMYFUNCTION("""COMPUTED_VALUE"""),2.0)</f>
        <v>2</v>
      </c>
      <c r="AD2549">
        <f>IFERROR(__xludf.DUMMYFUNCTION("""COMPUTED_VALUE"""),1.0)</f>
        <v>1</v>
      </c>
      <c r="AE2549">
        <f>IFERROR(__xludf.DUMMYFUNCTION("""COMPUTED_VALUE"""),0.0)</f>
        <v>0</v>
      </c>
      <c r="AH2549" s="189">
        <f>IFERROR(__xludf.DUMMYFUNCTION("""COMPUTED_VALUE"""),44102.303787060184)</f>
        <v>44102.30379</v>
      </c>
    </row>
    <row r="2550">
      <c r="A2550" t="str">
        <f>IFERROR(__xludf.DUMMYFUNCTION("""COMPUTED_VALUE"""),"Stormyeyez")</f>
        <v>Stormyeyez</v>
      </c>
      <c r="B2550" t="str">
        <f>IFERROR(__xludf.DUMMYFUNCTION("""COMPUTED_VALUE"""),"Houston")</f>
        <v>Houston</v>
      </c>
      <c r="C2550" t="str">
        <f>IFERROR(__xludf.DUMMYFUNCTION("""COMPUTED_VALUE"""),"TX")</f>
        <v>TX</v>
      </c>
      <c r="D2550" t="str">
        <f>IFERROR(__xludf.DUMMYFUNCTION("""COMPUTED_VALUE"""),"USA")</f>
        <v>USA</v>
      </c>
      <c r="E2550" s="188">
        <f>IFERROR(__xludf.DUMMYFUNCTION("""COMPUTED_VALUE"""),44027.0)</f>
        <v>44027</v>
      </c>
      <c r="F2550" s="188">
        <f>IFERROR(__xludf.DUMMYFUNCTION("""COMPUTED_VALUE"""),44074.0)</f>
        <v>44074</v>
      </c>
      <c r="H2550">
        <f>IFERROR(__xludf.DUMMYFUNCTION("""COMPUTED_VALUE"""),787833.0)</f>
        <v>787833</v>
      </c>
      <c r="I2550" t="str">
        <f>IFERROR(__xludf.DUMMYFUNCTION("""COMPUTED_VALUE"""),"08/20")</f>
        <v>08/20</v>
      </c>
      <c r="J2550" s="5">
        <f>IFERROR(__xludf.DUMMYFUNCTION("""COMPUTED_VALUE"""),44091.0)</f>
        <v>44091</v>
      </c>
      <c r="K2550">
        <f>IFERROR(__xludf.DUMMYFUNCTION("""COMPUTED_VALUE"""),47.0)</f>
        <v>47</v>
      </c>
      <c r="L2550">
        <f>IFERROR(__xludf.DUMMYFUNCTION("""COMPUTED_VALUE"""),17.0)</f>
        <v>17</v>
      </c>
      <c r="M2550">
        <f>IFERROR(__xludf.DUMMYFUNCTION("""COMPUTED_VALUE"""),64.0)</f>
        <v>64</v>
      </c>
      <c r="N2550" t="str">
        <f>IFERROR(__xludf.DUMMYFUNCTION("""COMPUTED_VALUE"""),"Model 3 LR AWD")</f>
        <v>Model 3 LR AWD</v>
      </c>
      <c r="O2550" t="str">
        <f>IFERROR(__xludf.DUMMYFUNCTION("""COMPUTED_VALUE"""),"Pearl White Multi-Coat")</f>
        <v>Pearl White Multi-Coat</v>
      </c>
      <c r="P2550" t="str">
        <f>IFERROR(__xludf.DUMMYFUNCTION("""COMPUTED_VALUE"""),"18 inch Aero")</f>
        <v>18 inch Aero</v>
      </c>
      <c r="Q2550" t="str">
        <f>IFERROR(__xludf.DUMMYFUNCTION("""COMPUTED_VALUE"""),"White seats")</f>
        <v>White seats</v>
      </c>
      <c r="R2550" t="str">
        <f>IFERROR(__xludf.DUMMYFUNCTION("""COMPUTED_VALUE"""),"Autopilot")</f>
        <v>Autopilot</v>
      </c>
      <c r="X2550" t="str">
        <f>IFERROR(__xludf.DUMMYFUNCTION("""COMPUTED_VALUE"""),"Excellent")</f>
        <v>Excellent</v>
      </c>
      <c r="Y2550" t="str">
        <f>IFERROR(__xludf.DUMMYFUNCTION("""COMPUTED_VALUE"""),"Excellent")</f>
        <v>Excellent</v>
      </c>
      <c r="Z2550" t="str">
        <f>IFERROR(__xludf.DUMMYFUNCTION("""COMPUTED_VALUE"""),"Excellent")</f>
        <v>Excellent</v>
      </c>
      <c r="AA2550" t="str">
        <f>IFERROR(__xludf.DUMMYFUNCTION("""COMPUTED_VALUE"""),"Excellent")</f>
        <v>Excellent</v>
      </c>
      <c r="AB2550" t="str">
        <f>IFERROR(__xludf.DUMMYFUNCTION("""COMPUTED_VALUE"""),"Excellent")</f>
        <v>Excellent</v>
      </c>
      <c r="AC2550">
        <f>IFERROR(__xludf.DUMMYFUNCTION("""COMPUTED_VALUE"""),0.0)</f>
        <v>0</v>
      </c>
      <c r="AD2550">
        <f>IFERROR(__xludf.DUMMYFUNCTION("""COMPUTED_VALUE"""),1.0)</f>
        <v>1</v>
      </c>
      <c r="AE2550">
        <f>IFERROR(__xludf.DUMMYFUNCTION("""COMPUTED_VALUE"""),0.0)</f>
        <v>0</v>
      </c>
      <c r="AG2550" t="str">
        <f>IFERROR(__xludf.DUMMYFUNCTION("""COMPUTED_VALUE"""),"Perfect condition; all buttons functioning; scheduled SC visit just to install my optional homelink accesory. Pending visit.")</f>
        <v>Perfect condition; all buttons functioning; scheduled SC visit just to install my optional homelink accesory. Pending visit.</v>
      </c>
      <c r="AH2550" s="189">
        <f>IFERROR(__xludf.DUMMYFUNCTION("""COMPUTED_VALUE"""),44102.44527224537)</f>
        <v>44102.44527</v>
      </c>
    </row>
    <row r="2551">
      <c r="A2551" t="str">
        <f>IFERROR(__xludf.DUMMYFUNCTION("""COMPUTED_VALUE"""),"fritzner")</f>
        <v>fritzner</v>
      </c>
      <c r="B2551" t="str">
        <f>IFERROR(__xludf.DUMMYFUNCTION("""COMPUTED_VALUE"""),"Pittsburgh")</f>
        <v>Pittsburgh</v>
      </c>
      <c r="C2551" t="str">
        <f>IFERROR(__xludf.DUMMYFUNCTION("""COMPUTED_VALUE"""),"PA")</f>
        <v>PA</v>
      </c>
      <c r="D2551" t="str">
        <f>IFERROR(__xludf.DUMMYFUNCTION("""COMPUTED_VALUE"""),"USA")</f>
        <v>USA</v>
      </c>
      <c r="E2551" s="188">
        <f>IFERROR(__xludf.DUMMYFUNCTION("""COMPUTED_VALUE"""),43826.0)</f>
        <v>43826</v>
      </c>
      <c r="F2551" s="188">
        <f>IFERROR(__xludf.DUMMYFUNCTION("""COMPUTED_VALUE"""),43826.0)</f>
        <v>43826</v>
      </c>
      <c r="H2551">
        <f>IFERROR(__xludf.DUMMYFUNCTION("""COMPUTED_VALUE"""),612565.0)</f>
        <v>612565</v>
      </c>
      <c r="I2551" t="str">
        <f>IFERROR(__xludf.DUMMYFUNCTION("""COMPUTED_VALUE"""),"01/20")</f>
        <v>01/20</v>
      </c>
      <c r="J2551" s="5">
        <f>IFERROR(__xludf.DUMMYFUNCTION("""COMPUTED_VALUE"""),43829.0)</f>
        <v>43829</v>
      </c>
      <c r="K2551">
        <f>IFERROR(__xludf.DUMMYFUNCTION("""COMPUTED_VALUE"""),0.0)</f>
        <v>0</v>
      </c>
      <c r="L2551">
        <f>IFERROR(__xludf.DUMMYFUNCTION("""COMPUTED_VALUE"""),3.0)</f>
        <v>3</v>
      </c>
      <c r="M2551">
        <f>IFERROR(__xludf.DUMMYFUNCTION("""COMPUTED_VALUE"""),3.0)</f>
        <v>3</v>
      </c>
      <c r="N2551" t="str">
        <f>IFERROR(__xludf.DUMMYFUNCTION("""COMPUTED_VALUE"""),"Model 3 SR")</f>
        <v>Model 3 SR</v>
      </c>
      <c r="O2551" t="str">
        <f>IFERROR(__xludf.DUMMYFUNCTION("""COMPUTED_VALUE"""),"Pearl White Multi-Coat")</f>
        <v>Pearl White Multi-Coat</v>
      </c>
      <c r="P2551" t="str">
        <f>IFERROR(__xludf.DUMMYFUNCTION("""COMPUTED_VALUE"""),"18 inch Aero")</f>
        <v>18 inch Aero</v>
      </c>
      <c r="Q2551" t="str">
        <f>IFERROR(__xludf.DUMMYFUNCTION("""COMPUTED_VALUE"""),"Black seats")</f>
        <v>Black seats</v>
      </c>
      <c r="X2551" t="str">
        <f>IFERROR(__xludf.DUMMYFUNCTION("""COMPUTED_VALUE"""),"Excellent")</f>
        <v>Excellent</v>
      </c>
      <c r="Y2551" t="str">
        <f>IFERROR(__xludf.DUMMYFUNCTION("""COMPUTED_VALUE"""),"Excellent")</f>
        <v>Excellent</v>
      </c>
      <c r="Z2551" t="str">
        <f>IFERROR(__xludf.DUMMYFUNCTION("""COMPUTED_VALUE"""),"Excellent")</f>
        <v>Excellent</v>
      </c>
      <c r="AA2551" t="str">
        <f>IFERROR(__xludf.DUMMYFUNCTION("""COMPUTED_VALUE"""),"Excellent")</f>
        <v>Excellent</v>
      </c>
      <c r="AB2551" t="str">
        <f>IFERROR(__xludf.DUMMYFUNCTION("""COMPUTED_VALUE"""),"Excellent")</f>
        <v>Excellent</v>
      </c>
      <c r="AC2551">
        <f>IFERROR(__xludf.DUMMYFUNCTION("""COMPUTED_VALUE"""),0.0)</f>
        <v>0</v>
      </c>
      <c r="AD2551">
        <f>IFERROR(__xludf.DUMMYFUNCTION("""COMPUTED_VALUE"""),0.0)</f>
        <v>0</v>
      </c>
      <c r="AE2551">
        <f>IFERROR(__xludf.DUMMYFUNCTION("""COMPUTED_VALUE"""),0.0)</f>
        <v>0</v>
      </c>
      <c r="AH2551" s="189">
        <f>IFERROR(__xludf.DUMMYFUNCTION("""COMPUTED_VALUE"""),44102.557946099536)</f>
        <v>44102.55795</v>
      </c>
    </row>
    <row r="2552">
      <c r="A2552" t="str">
        <f>IFERROR(__xludf.DUMMYFUNCTION("""COMPUTED_VALUE"""),"mollyavalon")</f>
        <v>mollyavalon</v>
      </c>
      <c r="B2552" t="str">
        <f>IFERROR(__xludf.DUMMYFUNCTION("""COMPUTED_VALUE"""),"Lawrence")</f>
        <v>Lawrence</v>
      </c>
      <c r="C2552" t="str">
        <f>IFERROR(__xludf.DUMMYFUNCTION("""COMPUTED_VALUE"""),"KS")</f>
        <v>KS</v>
      </c>
      <c r="D2552" t="str">
        <f>IFERROR(__xludf.DUMMYFUNCTION("""COMPUTED_VALUE"""),"USA")</f>
        <v>USA</v>
      </c>
      <c r="E2552" s="188">
        <f>IFERROR(__xludf.DUMMYFUNCTION("""COMPUTED_VALUE"""),44074.0)</f>
        <v>44074</v>
      </c>
      <c r="F2552" s="188">
        <f>IFERROR(__xludf.DUMMYFUNCTION("""COMPUTED_VALUE"""),44097.0)</f>
        <v>44097</v>
      </c>
      <c r="H2552">
        <f>IFERROR(__xludf.DUMMYFUNCTION("""COMPUTED_VALUE"""),793655.0)</f>
        <v>793655</v>
      </c>
      <c r="J2552" s="5">
        <f>IFERROR(__xludf.DUMMYFUNCTION("""COMPUTED_VALUE"""),44103.0)</f>
        <v>44103</v>
      </c>
      <c r="K2552">
        <f>IFERROR(__xludf.DUMMYFUNCTION("""COMPUTED_VALUE"""),23.0)</f>
        <v>23</v>
      </c>
      <c r="L2552">
        <f>IFERROR(__xludf.DUMMYFUNCTION("""COMPUTED_VALUE"""),6.0)</f>
        <v>6</v>
      </c>
      <c r="M2552">
        <f>IFERROR(__xludf.DUMMYFUNCTION("""COMPUTED_VALUE"""),29.0)</f>
        <v>29</v>
      </c>
      <c r="N2552" t="str">
        <f>IFERROR(__xludf.DUMMYFUNCTION("""COMPUTED_VALUE"""),"Model 3 LR AWD")</f>
        <v>Model 3 LR AWD</v>
      </c>
      <c r="O2552" t="str">
        <f>IFERROR(__xludf.DUMMYFUNCTION("""COMPUTED_VALUE"""),"Deep Blue Metallic")</f>
        <v>Deep Blue Metallic</v>
      </c>
      <c r="P2552" t="str">
        <f>IFERROR(__xludf.DUMMYFUNCTION("""COMPUTED_VALUE"""),"18 inch Aero")</f>
        <v>18 inch Aero</v>
      </c>
      <c r="Q2552" t="str">
        <f>IFERROR(__xludf.DUMMYFUNCTION("""COMPUTED_VALUE"""),"Black seats")</f>
        <v>Black seats</v>
      </c>
      <c r="R2552" t="str">
        <f>IFERROR(__xludf.DUMMYFUNCTION("""COMPUTED_VALUE"""),"Autopilot")</f>
        <v>Autopilot</v>
      </c>
      <c r="AA2552" t="str">
        <f>IFERROR(__xludf.DUMMYFUNCTION("""COMPUTED_VALUE"""),"Good")</f>
        <v>Good</v>
      </c>
      <c r="AH2552" s="189">
        <f>IFERROR(__xludf.DUMMYFUNCTION("""COMPUTED_VALUE"""),44102.60588037037)</f>
        <v>44102.60588</v>
      </c>
    </row>
    <row r="2553">
      <c r="A2553" t="str">
        <f>IFERROR(__xludf.DUMMYFUNCTION("""COMPUTED_VALUE"""),"AH-1Wmech")</f>
        <v>AH-1Wmech</v>
      </c>
      <c r="B2553" t="str">
        <f>IFERROR(__xludf.DUMMYFUNCTION("""COMPUTED_VALUE"""),"Kapolei")</f>
        <v>Kapolei</v>
      </c>
      <c r="C2553" t="str">
        <f>IFERROR(__xludf.DUMMYFUNCTION("""COMPUTED_VALUE"""),"HI")</f>
        <v>HI</v>
      </c>
      <c r="D2553" t="str">
        <f>IFERROR(__xludf.DUMMYFUNCTION("""COMPUTED_VALUE"""),"USA")</f>
        <v>USA</v>
      </c>
      <c r="E2553" s="188">
        <f>IFERROR(__xludf.DUMMYFUNCTION("""COMPUTED_VALUE"""),43996.0)</f>
        <v>43996</v>
      </c>
      <c r="H2553">
        <f>IFERROR(__xludf.DUMMYFUNCTION("""COMPUTED_VALUE"""),775155.0)</f>
        <v>775155</v>
      </c>
      <c r="I2553" t="str">
        <f>IFERROR(__xludf.DUMMYFUNCTION("""COMPUTED_VALUE"""),"08/20")</f>
        <v>08/20</v>
      </c>
      <c r="J2553" s="5">
        <f>IFERROR(__xludf.DUMMYFUNCTION("""COMPUTED_VALUE"""),44092.0)</f>
        <v>44092</v>
      </c>
      <c r="M2553">
        <f>IFERROR(__xludf.DUMMYFUNCTION("""COMPUTED_VALUE"""),96.0)</f>
        <v>96</v>
      </c>
      <c r="N2553" t="str">
        <f>IFERROR(__xludf.DUMMYFUNCTION("""COMPUTED_VALUE"""),"Model 3 SR+")</f>
        <v>Model 3 SR+</v>
      </c>
      <c r="O2553" t="str">
        <f>IFERROR(__xludf.DUMMYFUNCTION("""COMPUTED_VALUE"""),"Red Multi-Coat")</f>
        <v>Red Multi-Coat</v>
      </c>
      <c r="P2553" t="str">
        <f>IFERROR(__xludf.DUMMYFUNCTION("""COMPUTED_VALUE"""),"19 inch Sport")</f>
        <v>19 inch Sport</v>
      </c>
      <c r="Q2553" t="str">
        <f>IFERROR(__xludf.DUMMYFUNCTION("""COMPUTED_VALUE"""),"White seats")</f>
        <v>White seats</v>
      </c>
      <c r="R2553" t="str">
        <f>IFERROR(__xludf.DUMMYFUNCTION("""COMPUTED_VALUE"""),"Autopilot")</f>
        <v>Autopilot</v>
      </c>
      <c r="X2553" t="str">
        <f>IFERROR(__xludf.DUMMYFUNCTION("""COMPUTED_VALUE"""),"Very Good")</f>
        <v>Very Good</v>
      </c>
      <c r="Y2553" t="str">
        <f>IFERROR(__xludf.DUMMYFUNCTION("""COMPUTED_VALUE"""),"Very Good")</f>
        <v>Very Good</v>
      </c>
      <c r="Z2553" t="str">
        <f>IFERROR(__xludf.DUMMYFUNCTION("""COMPUTED_VALUE"""),"Very Good")</f>
        <v>Very Good</v>
      </c>
      <c r="AA2553" t="str">
        <f>IFERROR(__xludf.DUMMYFUNCTION("""COMPUTED_VALUE"""),"Good")</f>
        <v>Good</v>
      </c>
      <c r="AB2553" t="str">
        <f>IFERROR(__xludf.DUMMYFUNCTION("""COMPUTED_VALUE"""),"Very Good")</f>
        <v>Very Good</v>
      </c>
      <c r="AC2553">
        <f>IFERROR(__xludf.DUMMYFUNCTION("""COMPUTED_VALUE"""),4.0)</f>
        <v>4</v>
      </c>
      <c r="AD2553">
        <f>IFERROR(__xludf.DUMMYFUNCTION("""COMPUTED_VALUE"""),1.0)</f>
        <v>1</v>
      </c>
      <c r="AH2553" s="189">
        <f>IFERROR(__xludf.DUMMYFUNCTION("""COMPUTED_VALUE"""),44102.79841163194)</f>
        <v>44102.79841</v>
      </c>
    </row>
    <row r="2554">
      <c r="A2554" t="str">
        <f>IFERROR(__xludf.DUMMYFUNCTION("""COMPUTED_VALUE"""),"MYA")</f>
        <v>MYA</v>
      </c>
      <c r="B2554" t="str">
        <f>IFERROR(__xludf.DUMMYFUNCTION("""COMPUTED_VALUE"""),"Dubai")</f>
        <v>Dubai</v>
      </c>
      <c r="D2554" t="str">
        <f>IFERROR(__xludf.DUMMYFUNCTION("""COMPUTED_VALUE"""),"Other (include country together with city)")</f>
        <v>Other (include country together with city)</v>
      </c>
      <c r="E2554" s="188">
        <f>IFERROR(__xludf.DUMMYFUNCTION("""COMPUTED_VALUE"""),44016.0)</f>
        <v>44016</v>
      </c>
      <c r="F2554" s="188">
        <f>IFERROR(__xludf.DUMMYFUNCTION("""COMPUTED_VALUE"""),44031.0)</f>
        <v>44031</v>
      </c>
      <c r="H2554">
        <f>IFERROR(__xludf.DUMMYFUNCTION("""COMPUTED_VALUE"""),747555.0)</f>
        <v>747555</v>
      </c>
      <c r="J2554" s="5">
        <f>IFERROR(__xludf.DUMMYFUNCTION("""COMPUTED_VALUE"""),44096.0)</f>
        <v>44096</v>
      </c>
      <c r="K2554">
        <f>IFERROR(__xludf.DUMMYFUNCTION("""COMPUTED_VALUE"""),15.0)</f>
        <v>15</v>
      </c>
      <c r="L2554">
        <f>IFERROR(__xludf.DUMMYFUNCTION("""COMPUTED_VALUE"""),65.0)</f>
        <v>65</v>
      </c>
      <c r="M2554">
        <f>IFERROR(__xludf.DUMMYFUNCTION("""COMPUTED_VALUE"""),80.0)</f>
        <v>80</v>
      </c>
      <c r="N2554" t="str">
        <f>IFERROR(__xludf.DUMMYFUNCTION("""COMPUTED_VALUE"""),"Model 3 Performance")</f>
        <v>Model 3 Performance</v>
      </c>
      <c r="O2554" t="str">
        <f>IFERROR(__xludf.DUMMYFUNCTION("""COMPUTED_VALUE"""),"Midnight Silver Metallic")</f>
        <v>Midnight Silver Metallic</v>
      </c>
      <c r="P2554" t="str">
        <f>IFERROR(__xludf.DUMMYFUNCTION("""COMPUTED_VALUE"""),"20 inch Sport")</f>
        <v>20 inch Sport</v>
      </c>
      <c r="Q2554" t="str">
        <f>IFERROR(__xludf.DUMMYFUNCTION("""COMPUTED_VALUE"""),"White seats")</f>
        <v>White seats</v>
      </c>
      <c r="R2554" t="str">
        <f>IFERROR(__xludf.DUMMYFUNCTION("""COMPUTED_VALUE"""),"Full Self-Driving")</f>
        <v>Full Self-Driving</v>
      </c>
      <c r="X2554" t="str">
        <f>IFERROR(__xludf.DUMMYFUNCTION("""COMPUTED_VALUE"""),"Good")</f>
        <v>Good</v>
      </c>
      <c r="Y2554" t="str">
        <f>IFERROR(__xludf.DUMMYFUNCTION("""COMPUTED_VALUE"""),"Very Good")</f>
        <v>Very Good</v>
      </c>
      <c r="Z2554" t="str">
        <f>IFERROR(__xludf.DUMMYFUNCTION("""COMPUTED_VALUE"""),"Very Good")</f>
        <v>Very Good</v>
      </c>
      <c r="AA2554" t="str">
        <f>IFERROR(__xludf.DUMMYFUNCTION("""COMPUTED_VALUE"""),"Excellent")</f>
        <v>Excellent</v>
      </c>
      <c r="AB2554" t="str">
        <f>IFERROR(__xludf.DUMMYFUNCTION("""COMPUTED_VALUE"""),"Excellent")</f>
        <v>Excellent</v>
      </c>
      <c r="AC2554">
        <f>IFERROR(__xludf.DUMMYFUNCTION("""COMPUTED_VALUE"""),0.0)</f>
        <v>0</v>
      </c>
      <c r="AH2554" s="189">
        <f>IFERROR(__xludf.DUMMYFUNCTION("""COMPUTED_VALUE"""),44102.999051701394)</f>
        <v>44102.99905</v>
      </c>
    </row>
    <row r="2555">
      <c r="A2555" t="str">
        <f>IFERROR(__xludf.DUMMYFUNCTION("""COMPUTED_VALUE"""),"macmaster")</f>
        <v>macmaster</v>
      </c>
      <c r="B2555" t="str">
        <f>IFERROR(__xludf.DUMMYFUNCTION("""COMPUTED_VALUE"""),"elk grove")</f>
        <v>elk grove</v>
      </c>
      <c r="C2555" t="str">
        <f>IFERROR(__xludf.DUMMYFUNCTION("""COMPUTED_VALUE"""),"CA")</f>
        <v>CA</v>
      </c>
      <c r="D2555" t="str">
        <f>IFERROR(__xludf.DUMMYFUNCTION("""COMPUTED_VALUE"""),"USA")</f>
        <v>USA</v>
      </c>
      <c r="E2555" s="188">
        <f>IFERROR(__xludf.DUMMYFUNCTION("""COMPUTED_VALUE"""),44081.0)</f>
        <v>44081</v>
      </c>
      <c r="F2555" s="188">
        <f>IFERROR(__xludf.DUMMYFUNCTION("""COMPUTED_VALUE"""),44101.0)</f>
        <v>44101</v>
      </c>
      <c r="H2555">
        <f>IFERROR(__xludf.DUMMYFUNCTION("""COMPUTED_VALUE"""),800455.0)</f>
        <v>800455</v>
      </c>
      <c r="I2555" t="str">
        <f>IFERROR(__xludf.DUMMYFUNCTION("""COMPUTED_VALUE"""),"09/20")</f>
        <v>09/20</v>
      </c>
      <c r="J2555" s="5">
        <f>IFERROR(__xludf.DUMMYFUNCTION("""COMPUTED_VALUE"""),44102.0)</f>
        <v>44102</v>
      </c>
      <c r="K2555">
        <f>IFERROR(__xludf.DUMMYFUNCTION("""COMPUTED_VALUE"""),20.0)</f>
        <v>20</v>
      </c>
      <c r="L2555">
        <f>IFERROR(__xludf.DUMMYFUNCTION("""COMPUTED_VALUE"""),1.0)</f>
        <v>1</v>
      </c>
      <c r="M2555">
        <f>IFERROR(__xludf.DUMMYFUNCTION("""COMPUTED_VALUE"""),21.0)</f>
        <v>21</v>
      </c>
      <c r="N2555" t="str">
        <f>IFERROR(__xludf.DUMMYFUNCTION("""COMPUTED_VALUE"""),"Model 3 LR AWD")</f>
        <v>Model 3 LR AWD</v>
      </c>
      <c r="O2555" t="str">
        <f>IFERROR(__xludf.DUMMYFUNCTION("""COMPUTED_VALUE"""),"Pearl White Multi-Coat")</f>
        <v>Pearl White Multi-Coat</v>
      </c>
      <c r="P2555" t="str">
        <f>IFERROR(__xludf.DUMMYFUNCTION("""COMPUTED_VALUE"""),"18 inch Aero")</f>
        <v>18 inch Aero</v>
      </c>
      <c r="Q2555" t="str">
        <f>IFERROR(__xludf.DUMMYFUNCTION("""COMPUTED_VALUE"""),"Black seats")</f>
        <v>Black seats</v>
      </c>
      <c r="R2555" t="str">
        <f>IFERROR(__xludf.DUMMYFUNCTION("""COMPUTED_VALUE"""),"Full Self-Driving")</f>
        <v>Full Self-Driving</v>
      </c>
      <c r="X2555" t="str">
        <f>IFERROR(__xludf.DUMMYFUNCTION("""COMPUTED_VALUE"""),"Excellent")</f>
        <v>Excellent</v>
      </c>
      <c r="Y2555" t="str">
        <f>IFERROR(__xludf.DUMMYFUNCTION("""COMPUTED_VALUE"""),"Excellent")</f>
        <v>Excellent</v>
      </c>
      <c r="Z2555" t="str">
        <f>IFERROR(__xludf.DUMMYFUNCTION("""COMPUTED_VALUE"""),"Very Good")</f>
        <v>Very Good</v>
      </c>
      <c r="AA2555" t="str">
        <f>IFERROR(__xludf.DUMMYFUNCTION("""COMPUTED_VALUE"""),"Excellent")</f>
        <v>Excellent</v>
      </c>
      <c r="AB2555" t="str">
        <f>IFERROR(__xludf.DUMMYFUNCTION("""COMPUTED_VALUE"""),"Excellent")</f>
        <v>Excellent</v>
      </c>
      <c r="AC2555">
        <f>IFERROR(__xludf.DUMMYFUNCTION("""COMPUTED_VALUE"""),1.0)</f>
        <v>1</v>
      </c>
      <c r="AD2555">
        <f>IFERROR(__xludf.DUMMYFUNCTION("""COMPUTED_VALUE"""),1.0)</f>
        <v>1</v>
      </c>
      <c r="AG2555" t="str">
        <f>IFERROR(__xludf.DUMMYFUNCTION("""COMPUTED_VALUE"""),"Received text on 9/26/20 stating Estimated Delivery 9/29/20")</f>
        <v>Received text on 9/26/20 stating Estimated Delivery 9/29/20</v>
      </c>
      <c r="AH2555" s="189">
        <f>IFERROR(__xludf.DUMMYFUNCTION("""COMPUTED_VALUE"""),44103.39317891204)</f>
        <v>44103.39318</v>
      </c>
    </row>
    <row r="2556">
      <c r="A2556" t="str">
        <f>IFERROR(__xludf.DUMMYFUNCTION("""COMPUTED_VALUE"""),"NLShaggy")</f>
        <v>NLShaggy</v>
      </c>
      <c r="B2556" t="str">
        <f>IFERROR(__xludf.DUMMYFUNCTION("""COMPUTED_VALUE"""),"Centrevile")</f>
        <v>Centrevile</v>
      </c>
      <c r="C2556" t="str">
        <f>IFERROR(__xludf.DUMMYFUNCTION("""COMPUTED_VALUE"""),"VA")</f>
        <v>VA</v>
      </c>
      <c r="D2556" t="str">
        <f>IFERROR(__xludf.DUMMYFUNCTION("""COMPUTED_VALUE"""),"USA")</f>
        <v>USA</v>
      </c>
      <c r="E2556" s="188">
        <f>IFERROR(__xludf.DUMMYFUNCTION("""COMPUTED_VALUE"""),44043.0)</f>
        <v>44043</v>
      </c>
      <c r="F2556" s="188">
        <f>IFERROR(__xludf.DUMMYFUNCTION("""COMPUTED_VALUE"""),44076.0)</f>
        <v>44076</v>
      </c>
      <c r="I2556" t="str">
        <f>IFERROR(__xludf.DUMMYFUNCTION("""COMPUTED_VALUE"""),"09/20")</f>
        <v>09/20</v>
      </c>
      <c r="J2556" s="5">
        <f>IFERROR(__xludf.DUMMYFUNCTION("""COMPUTED_VALUE"""),44095.0)</f>
        <v>44095</v>
      </c>
      <c r="K2556">
        <f>IFERROR(__xludf.DUMMYFUNCTION("""COMPUTED_VALUE"""),33.0)</f>
        <v>33</v>
      </c>
      <c r="L2556">
        <f>IFERROR(__xludf.DUMMYFUNCTION("""COMPUTED_VALUE"""),19.0)</f>
        <v>19</v>
      </c>
      <c r="M2556">
        <f>IFERROR(__xludf.DUMMYFUNCTION("""COMPUTED_VALUE"""),52.0)</f>
        <v>52</v>
      </c>
      <c r="N2556" t="str">
        <f>IFERROR(__xludf.DUMMYFUNCTION("""COMPUTED_VALUE"""),"Model 3 LR AWD")</f>
        <v>Model 3 LR AWD</v>
      </c>
      <c r="O2556" t="str">
        <f>IFERROR(__xludf.DUMMYFUNCTION("""COMPUTED_VALUE"""),"Midnight Silver Metallic")</f>
        <v>Midnight Silver Metallic</v>
      </c>
      <c r="P2556" t="str">
        <f>IFERROR(__xludf.DUMMYFUNCTION("""COMPUTED_VALUE"""),"18 inch Aero")</f>
        <v>18 inch Aero</v>
      </c>
      <c r="Q2556" t="str">
        <f>IFERROR(__xludf.DUMMYFUNCTION("""COMPUTED_VALUE"""),"Black seats")</f>
        <v>Black seats</v>
      </c>
      <c r="R2556" t="str">
        <f>IFERROR(__xludf.DUMMYFUNCTION("""COMPUTED_VALUE"""),"Autopilot")</f>
        <v>Autopilot</v>
      </c>
      <c r="X2556" t="str">
        <f>IFERROR(__xludf.DUMMYFUNCTION("""COMPUTED_VALUE"""),"Excellent")</f>
        <v>Excellent</v>
      </c>
      <c r="Y2556" t="str">
        <f>IFERROR(__xludf.DUMMYFUNCTION("""COMPUTED_VALUE"""),"Excellent")</f>
        <v>Excellent</v>
      </c>
      <c r="Z2556" t="str">
        <f>IFERROR(__xludf.DUMMYFUNCTION("""COMPUTED_VALUE"""),"Excellent")</f>
        <v>Excellent</v>
      </c>
      <c r="AA2556" t="str">
        <f>IFERROR(__xludf.DUMMYFUNCTION("""COMPUTED_VALUE"""),"Good")</f>
        <v>Good</v>
      </c>
      <c r="AB2556" t="str">
        <f>IFERROR(__xludf.DUMMYFUNCTION("""COMPUTED_VALUE"""),"Good")</f>
        <v>Good</v>
      </c>
      <c r="AG2556" t="str">
        <f>IFERROR(__xludf.DUMMYFUNCTION("""COMPUTED_VALUE"""),"9/2 - saw VIN on MVPA document. was not told by a representative yet and not scheduled a delivery day")</f>
        <v>9/2 - saw VIN on MVPA document. was not told by a representative yet and not scheduled a delivery day</v>
      </c>
      <c r="AH2556" s="189">
        <f>IFERROR(__xludf.DUMMYFUNCTION("""COMPUTED_VALUE"""),44104.28613619213)</f>
        <v>44104.28614</v>
      </c>
    </row>
    <row r="2557">
      <c r="A2557" t="str">
        <f>IFERROR(__xludf.DUMMYFUNCTION("""COMPUTED_VALUE"""),"pacul")</f>
        <v>pacul</v>
      </c>
      <c r="B2557" t="str">
        <f>IFERROR(__xludf.DUMMYFUNCTION("""COMPUTED_VALUE"""),"Baton Rouge")</f>
        <v>Baton Rouge</v>
      </c>
      <c r="C2557" t="str">
        <f>IFERROR(__xludf.DUMMYFUNCTION("""COMPUTED_VALUE"""),"LA")</f>
        <v>LA</v>
      </c>
      <c r="D2557" t="str">
        <f>IFERROR(__xludf.DUMMYFUNCTION("""COMPUTED_VALUE"""),"USA")</f>
        <v>USA</v>
      </c>
      <c r="E2557" s="188">
        <f>IFERROR(__xludf.DUMMYFUNCTION("""COMPUTED_VALUE"""),44054.0)</f>
        <v>44054</v>
      </c>
      <c r="F2557" s="188">
        <f>IFERROR(__xludf.DUMMYFUNCTION("""COMPUTED_VALUE"""),44075.0)</f>
        <v>44075</v>
      </c>
      <c r="H2557">
        <f>IFERROR(__xludf.DUMMYFUNCTION("""COMPUTED_VALUE"""),787155.0)</f>
        <v>787155</v>
      </c>
      <c r="J2557" s="5">
        <f>IFERROR(__xludf.DUMMYFUNCTION("""COMPUTED_VALUE"""),44103.0)</f>
        <v>44103</v>
      </c>
      <c r="K2557">
        <f>IFERROR(__xludf.DUMMYFUNCTION("""COMPUTED_VALUE"""),21.0)</f>
        <v>21</v>
      </c>
      <c r="L2557">
        <f>IFERROR(__xludf.DUMMYFUNCTION("""COMPUTED_VALUE"""),28.0)</f>
        <v>28</v>
      </c>
      <c r="M2557">
        <f>IFERROR(__xludf.DUMMYFUNCTION("""COMPUTED_VALUE"""),49.0)</f>
        <v>49</v>
      </c>
      <c r="N2557" t="str">
        <f>IFERROR(__xludf.DUMMYFUNCTION("""COMPUTED_VALUE"""),"Model 3 LR AWD")</f>
        <v>Model 3 LR AWD</v>
      </c>
      <c r="O2557" t="str">
        <f>IFERROR(__xludf.DUMMYFUNCTION("""COMPUTED_VALUE"""),"Pearl White Multi-Coat")</f>
        <v>Pearl White Multi-Coat</v>
      </c>
      <c r="P2557" t="str">
        <f>IFERROR(__xludf.DUMMYFUNCTION("""COMPUTED_VALUE"""),"18 inch Aero")</f>
        <v>18 inch Aero</v>
      </c>
      <c r="Q2557" t="str">
        <f>IFERROR(__xludf.DUMMYFUNCTION("""COMPUTED_VALUE"""),"Black seats")</f>
        <v>Black seats</v>
      </c>
      <c r="R2557" t="str">
        <f>IFERROR(__xludf.DUMMYFUNCTION("""COMPUTED_VALUE"""),"Autopilot")</f>
        <v>Autopilot</v>
      </c>
      <c r="X2557" t="str">
        <f>IFERROR(__xludf.DUMMYFUNCTION("""COMPUTED_VALUE"""),"Very Good")</f>
        <v>Very Good</v>
      </c>
      <c r="Y2557" t="str">
        <f>IFERROR(__xludf.DUMMYFUNCTION("""COMPUTED_VALUE"""),"Excellent")</f>
        <v>Excellent</v>
      </c>
      <c r="Z2557" t="str">
        <f>IFERROR(__xludf.DUMMYFUNCTION("""COMPUTED_VALUE"""),"Excellent")</f>
        <v>Excellent</v>
      </c>
      <c r="AA2557" t="str">
        <f>IFERROR(__xludf.DUMMYFUNCTION("""COMPUTED_VALUE"""),"Good")</f>
        <v>Good</v>
      </c>
      <c r="AB2557" t="str">
        <f>IFERROR(__xludf.DUMMYFUNCTION("""COMPUTED_VALUE"""),"Excellent")</f>
        <v>Excellent</v>
      </c>
      <c r="AH2557" s="189">
        <f>IFERROR(__xludf.DUMMYFUNCTION("""COMPUTED_VALUE"""),44104.40857881945)</f>
        <v>44104.40858</v>
      </c>
    </row>
    <row r="2558">
      <c r="A2558" t="str">
        <f>IFERROR(__xludf.DUMMYFUNCTION("""COMPUTED_VALUE"""),"ScootyPuff")</f>
        <v>ScootyPuff</v>
      </c>
      <c r="B2558" t="str">
        <f>IFERROR(__xludf.DUMMYFUNCTION("""COMPUTED_VALUE"""),"Knoxville")</f>
        <v>Knoxville</v>
      </c>
      <c r="C2558" t="str">
        <f>IFERROR(__xludf.DUMMYFUNCTION("""COMPUTED_VALUE"""),"TN")</f>
        <v>TN</v>
      </c>
      <c r="D2558" t="str">
        <f>IFERROR(__xludf.DUMMYFUNCTION("""COMPUTED_VALUE"""),"USA")</f>
        <v>USA</v>
      </c>
      <c r="E2558" s="188">
        <f>IFERROR(__xludf.DUMMYFUNCTION("""COMPUTED_VALUE"""),44066.0)</f>
        <v>44066</v>
      </c>
      <c r="F2558" s="188">
        <f>IFERROR(__xludf.DUMMYFUNCTION("""COMPUTED_VALUE"""),44078.0)</f>
        <v>44078</v>
      </c>
      <c r="H2558">
        <f>IFERROR(__xludf.DUMMYFUNCTION("""COMPUTED_VALUE"""),792075.0)</f>
        <v>792075</v>
      </c>
      <c r="J2558" s="5">
        <f>IFERROR(__xludf.DUMMYFUNCTION("""COMPUTED_VALUE"""),44094.0)</f>
        <v>44094</v>
      </c>
      <c r="K2558">
        <f>IFERROR(__xludf.DUMMYFUNCTION("""COMPUTED_VALUE"""),12.0)</f>
        <v>12</v>
      </c>
      <c r="L2558">
        <f>IFERROR(__xludf.DUMMYFUNCTION("""COMPUTED_VALUE"""),16.0)</f>
        <v>16</v>
      </c>
      <c r="M2558">
        <f>IFERROR(__xludf.DUMMYFUNCTION("""COMPUTED_VALUE"""),28.0)</f>
        <v>28</v>
      </c>
      <c r="N2558" t="str">
        <f>IFERROR(__xludf.DUMMYFUNCTION("""COMPUTED_VALUE"""),"Model 3 Performance")</f>
        <v>Model 3 Performance</v>
      </c>
      <c r="O2558" t="str">
        <f>IFERROR(__xludf.DUMMYFUNCTION("""COMPUTED_VALUE"""),"Pearl White Multi-Coat")</f>
        <v>Pearl White Multi-Coat</v>
      </c>
      <c r="P2558" t="str">
        <f>IFERROR(__xludf.DUMMYFUNCTION("""COMPUTED_VALUE"""),"20 inch Sport")</f>
        <v>20 inch Sport</v>
      </c>
      <c r="Q2558" t="str">
        <f>IFERROR(__xludf.DUMMYFUNCTION("""COMPUTED_VALUE"""),"White seats")</f>
        <v>White seats</v>
      </c>
      <c r="R2558" t="str">
        <f>IFERROR(__xludf.DUMMYFUNCTION("""COMPUTED_VALUE"""),"Autopilot")</f>
        <v>Autopilot</v>
      </c>
      <c r="X2558" t="str">
        <f>IFERROR(__xludf.DUMMYFUNCTION("""COMPUTED_VALUE"""),"Very Good")</f>
        <v>Very Good</v>
      </c>
      <c r="Y2558" t="str">
        <f>IFERROR(__xludf.DUMMYFUNCTION("""COMPUTED_VALUE"""),"Excellent")</f>
        <v>Excellent</v>
      </c>
      <c r="Z2558" t="str">
        <f>IFERROR(__xludf.DUMMYFUNCTION("""COMPUTED_VALUE"""),"Excellent")</f>
        <v>Excellent</v>
      </c>
      <c r="AA2558" t="str">
        <f>IFERROR(__xludf.DUMMYFUNCTION("""COMPUTED_VALUE"""),"Excellent")</f>
        <v>Excellent</v>
      </c>
      <c r="AB2558" t="str">
        <f>IFERROR(__xludf.DUMMYFUNCTION("""COMPUTED_VALUE"""),"Excellent")</f>
        <v>Excellent</v>
      </c>
      <c r="AC2558">
        <f>IFERROR(__xludf.DUMMYFUNCTION("""COMPUTED_VALUE"""),0.0)</f>
        <v>0</v>
      </c>
      <c r="AD2558">
        <f>IFERROR(__xludf.DUMMYFUNCTION("""COMPUTED_VALUE"""),0.0)</f>
        <v>0</v>
      </c>
      <c r="AE2558">
        <f>IFERROR(__xludf.DUMMYFUNCTION("""COMPUTED_VALUE"""),0.0)</f>
        <v>0</v>
      </c>
      <c r="AH2558" s="189">
        <f>IFERROR(__xludf.DUMMYFUNCTION("""COMPUTED_VALUE"""),44104.430736064816)</f>
        <v>44104.43074</v>
      </c>
    </row>
    <row r="2559">
      <c r="A2559" t="str">
        <f>IFERROR(__xludf.DUMMYFUNCTION("""COMPUTED_VALUE"""),"jaredg19")</f>
        <v>jaredg19</v>
      </c>
      <c r="B2559" t="str">
        <f>IFERROR(__xludf.DUMMYFUNCTION("""COMPUTED_VALUE"""),"Vancouver")</f>
        <v>Vancouver</v>
      </c>
      <c r="C2559" t="str">
        <f>IFERROR(__xludf.DUMMYFUNCTION("""COMPUTED_VALUE"""),"BC")</f>
        <v>BC</v>
      </c>
      <c r="D2559" t="str">
        <f>IFERROR(__xludf.DUMMYFUNCTION("""COMPUTED_VALUE"""),"Canada")</f>
        <v>Canada</v>
      </c>
      <c r="E2559" s="188">
        <f>IFERROR(__xludf.DUMMYFUNCTION("""COMPUTED_VALUE"""),44055.0)</f>
        <v>44055</v>
      </c>
      <c r="H2559">
        <f>IFERROR(__xludf.DUMMYFUNCTION("""COMPUTED_VALUE"""),789955.0)</f>
        <v>789955</v>
      </c>
      <c r="I2559" t="str">
        <f>IFERROR(__xludf.DUMMYFUNCTION("""COMPUTED_VALUE"""),"08/20")</f>
        <v>08/20</v>
      </c>
      <c r="J2559" s="5">
        <f>IFERROR(__xludf.DUMMYFUNCTION("""COMPUTED_VALUE"""),44079.0)</f>
        <v>44079</v>
      </c>
      <c r="M2559">
        <f>IFERROR(__xludf.DUMMYFUNCTION("""COMPUTED_VALUE"""),24.0)</f>
        <v>24</v>
      </c>
      <c r="N2559" t="str">
        <f>IFERROR(__xludf.DUMMYFUNCTION("""COMPUTED_VALUE"""),"Model 3 SR+")</f>
        <v>Model 3 SR+</v>
      </c>
      <c r="O2559" t="str">
        <f>IFERROR(__xludf.DUMMYFUNCTION("""COMPUTED_VALUE"""),"Pearl White Multi-Coat")</f>
        <v>Pearl White Multi-Coat</v>
      </c>
      <c r="P2559" t="str">
        <f>IFERROR(__xludf.DUMMYFUNCTION("""COMPUTED_VALUE"""),"19 inch Sport")</f>
        <v>19 inch Sport</v>
      </c>
      <c r="Q2559" t="str">
        <f>IFERROR(__xludf.DUMMYFUNCTION("""COMPUTED_VALUE"""),"Black seats")</f>
        <v>Black seats</v>
      </c>
      <c r="R2559" t="str">
        <f>IFERROR(__xludf.DUMMYFUNCTION("""COMPUTED_VALUE"""),"Autopilot")</f>
        <v>Autopilot</v>
      </c>
      <c r="X2559" t="str">
        <f>IFERROR(__xludf.DUMMYFUNCTION("""COMPUTED_VALUE"""),"Good")</f>
        <v>Good</v>
      </c>
      <c r="Y2559" t="str">
        <f>IFERROR(__xludf.DUMMYFUNCTION("""COMPUTED_VALUE"""),"Very Good")</f>
        <v>Very Good</v>
      </c>
      <c r="Z2559" t="str">
        <f>IFERROR(__xludf.DUMMYFUNCTION("""COMPUTED_VALUE"""),"Poor")</f>
        <v>Poor</v>
      </c>
      <c r="AA2559" t="str">
        <f>IFERROR(__xludf.DUMMYFUNCTION("""COMPUTED_VALUE"""),"Fair")</f>
        <v>Fair</v>
      </c>
      <c r="AB2559" t="str">
        <f>IFERROR(__xludf.DUMMYFUNCTION("""COMPUTED_VALUE"""),"Fair")</f>
        <v>Fair</v>
      </c>
      <c r="AC2559">
        <f>IFERROR(__xludf.DUMMYFUNCTION("""COMPUTED_VALUE"""),3.0)</f>
        <v>3</v>
      </c>
      <c r="AD2559">
        <f>IFERROR(__xludf.DUMMYFUNCTION("""COMPUTED_VALUE"""),1.0)</f>
        <v>1</v>
      </c>
      <c r="AG2559" t="str">
        <f>IFERROR(__xludf.DUMMYFUNCTION("""COMPUTED_VALUE"""),"Dent on driver side, side skirt... right repeater camera not working, app connectivity with car issues. ")</f>
        <v>Dent on driver side, side skirt... right repeater camera not working, app connectivity with car issues. </v>
      </c>
      <c r="AH2559" s="189">
        <f>IFERROR(__xludf.DUMMYFUNCTION("""COMPUTED_VALUE"""),44104.65938078704)</f>
        <v>44104.65938</v>
      </c>
    </row>
    <row r="2560">
      <c r="A2560" t="str">
        <f>IFERROR(__xludf.DUMMYFUNCTION("""COMPUTED_VALUE"""),"NotUSir")</f>
        <v>NotUSir</v>
      </c>
      <c r="D2560" t="str">
        <f>IFERROR(__xludf.DUMMYFUNCTION("""COMPUTED_VALUE"""),"Italy")</f>
        <v>Italy</v>
      </c>
      <c r="E2560" s="188">
        <f>IFERROR(__xludf.DUMMYFUNCTION("""COMPUTED_VALUE"""),44008.0)</f>
        <v>44008</v>
      </c>
      <c r="F2560" s="188">
        <f>IFERROR(__xludf.DUMMYFUNCTION("""COMPUTED_VALUE"""),44074.0)</f>
        <v>44074</v>
      </c>
      <c r="H2560">
        <f>IFERROR(__xludf.DUMMYFUNCTION("""COMPUTED_VALUE"""),760698.0)</f>
        <v>760698</v>
      </c>
      <c r="J2560" s="5">
        <f>IFERROR(__xludf.DUMMYFUNCTION("""COMPUTED_VALUE"""),44079.0)</f>
        <v>44079</v>
      </c>
      <c r="K2560">
        <f>IFERROR(__xludf.DUMMYFUNCTION("""COMPUTED_VALUE"""),66.0)</f>
        <v>66</v>
      </c>
      <c r="L2560">
        <f>IFERROR(__xludf.DUMMYFUNCTION("""COMPUTED_VALUE"""),5.0)</f>
        <v>5</v>
      </c>
      <c r="M2560">
        <f>IFERROR(__xludf.DUMMYFUNCTION("""COMPUTED_VALUE"""),71.0)</f>
        <v>71</v>
      </c>
      <c r="N2560" t="str">
        <f>IFERROR(__xludf.DUMMYFUNCTION("""COMPUTED_VALUE"""),"Model 3 LR AWD")</f>
        <v>Model 3 LR AWD</v>
      </c>
      <c r="O2560" t="str">
        <f>IFERROR(__xludf.DUMMYFUNCTION("""COMPUTED_VALUE"""),"Pearl White Multi-Coat")</f>
        <v>Pearl White Multi-Coat</v>
      </c>
      <c r="P2560" t="str">
        <f>IFERROR(__xludf.DUMMYFUNCTION("""COMPUTED_VALUE"""),"18 inch Aero")</f>
        <v>18 inch Aero</v>
      </c>
      <c r="Q2560" t="str">
        <f>IFERROR(__xludf.DUMMYFUNCTION("""COMPUTED_VALUE"""),"White seats")</f>
        <v>White seats</v>
      </c>
      <c r="R2560" t="str">
        <f>IFERROR(__xludf.DUMMYFUNCTION("""COMPUTED_VALUE"""),"Full Self-Driving")</f>
        <v>Full Self-Driving</v>
      </c>
      <c r="X2560" t="str">
        <f>IFERROR(__xludf.DUMMYFUNCTION("""COMPUTED_VALUE"""),"Very Good")</f>
        <v>Very Good</v>
      </c>
      <c r="Y2560" t="str">
        <f>IFERROR(__xludf.DUMMYFUNCTION("""COMPUTED_VALUE"""),"Very Good")</f>
        <v>Very Good</v>
      </c>
      <c r="Z2560" t="str">
        <f>IFERROR(__xludf.DUMMYFUNCTION("""COMPUTED_VALUE"""),"Very Good")</f>
        <v>Very Good</v>
      </c>
      <c r="AA2560" t="str">
        <f>IFERROR(__xludf.DUMMYFUNCTION("""COMPUTED_VALUE"""),"Fair")</f>
        <v>Fair</v>
      </c>
      <c r="AB2560" t="str">
        <f>IFERROR(__xludf.DUMMYFUNCTION("""COMPUTED_VALUE"""),"Very Good")</f>
        <v>Very Good</v>
      </c>
      <c r="AC2560">
        <f>IFERROR(__xludf.DUMMYFUNCTION("""COMPUTED_VALUE"""),0.0)</f>
        <v>0</v>
      </c>
      <c r="AD2560">
        <f>IFERROR(__xludf.DUMMYFUNCTION("""COMPUTED_VALUE"""),0.0)</f>
        <v>0</v>
      </c>
      <c r="AH2560" s="189">
        <f>IFERROR(__xludf.DUMMYFUNCTION("""COMPUTED_VALUE"""),44105.41994422454)</f>
        <v>44105.41994</v>
      </c>
    </row>
    <row r="2561">
      <c r="A2561" t="str">
        <f>IFERROR(__xludf.DUMMYFUNCTION("""COMPUTED_VALUE"""),"kylefsu32")</f>
        <v>kylefsu32</v>
      </c>
      <c r="B2561" t="str">
        <f>IFERROR(__xludf.DUMMYFUNCTION("""COMPUTED_VALUE"""),"Sarasota")</f>
        <v>Sarasota</v>
      </c>
      <c r="C2561" t="str">
        <f>IFERROR(__xludf.DUMMYFUNCTION("""COMPUTED_VALUE"""),"FL")</f>
        <v>FL</v>
      </c>
      <c r="D2561" t="str">
        <f>IFERROR(__xludf.DUMMYFUNCTION("""COMPUTED_VALUE"""),"USA")</f>
        <v>USA</v>
      </c>
      <c r="E2561" s="188">
        <f>IFERROR(__xludf.DUMMYFUNCTION("""COMPUTED_VALUE"""),44054.0)</f>
        <v>44054</v>
      </c>
      <c r="F2561" s="188">
        <f>IFERROR(__xludf.DUMMYFUNCTION("""COMPUTED_VALUE"""),44090.0)</f>
        <v>44090</v>
      </c>
      <c r="H2561">
        <f>IFERROR(__xludf.DUMMYFUNCTION("""COMPUTED_VALUE"""),791508.0)</f>
        <v>791508</v>
      </c>
      <c r="J2561" s="5">
        <f>IFERROR(__xludf.DUMMYFUNCTION("""COMPUTED_VALUE"""),44096.0)</f>
        <v>44096</v>
      </c>
      <c r="K2561">
        <f>IFERROR(__xludf.DUMMYFUNCTION("""COMPUTED_VALUE"""),36.0)</f>
        <v>36</v>
      </c>
      <c r="L2561">
        <f>IFERROR(__xludf.DUMMYFUNCTION("""COMPUTED_VALUE"""),6.0)</f>
        <v>6</v>
      </c>
      <c r="M2561">
        <f>IFERROR(__xludf.DUMMYFUNCTION("""COMPUTED_VALUE"""),42.0)</f>
        <v>42</v>
      </c>
      <c r="N2561" t="str">
        <f>IFERROR(__xludf.DUMMYFUNCTION("""COMPUTED_VALUE"""),"Model 3 LR AWD")</f>
        <v>Model 3 LR AWD</v>
      </c>
      <c r="O2561" t="str">
        <f>IFERROR(__xludf.DUMMYFUNCTION("""COMPUTED_VALUE"""),"Deep Blue Metallic")</f>
        <v>Deep Blue Metallic</v>
      </c>
      <c r="P2561" t="str">
        <f>IFERROR(__xludf.DUMMYFUNCTION("""COMPUTED_VALUE"""),"19 inch Sport")</f>
        <v>19 inch Sport</v>
      </c>
      <c r="Q2561" t="str">
        <f>IFERROR(__xludf.DUMMYFUNCTION("""COMPUTED_VALUE"""),"White seats")</f>
        <v>White seats</v>
      </c>
      <c r="R2561" t="str">
        <f>IFERROR(__xludf.DUMMYFUNCTION("""COMPUTED_VALUE"""),"Autopilot")</f>
        <v>Autopilot</v>
      </c>
      <c r="X2561" t="str">
        <f>IFERROR(__xludf.DUMMYFUNCTION("""COMPUTED_VALUE"""),"Excellent")</f>
        <v>Excellent</v>
      </c>
      <c r="Y2561" t="str">
        <f>IFERROR(__xludf.DUMMYFUNCTION("""COMPUTED_VALUE"""),"Excellent")</f>
        <v>Excellent</v>
      </c>
      <c r="Z2561" t="str">
        <f>IFERROR(__xludf.DUMMYFUNCTION("""COMPUTED_VALUE"""),"Excellent")</f>
        <v>Excellent</v>
      </c>
      <c r="AA2561" t="str">
        <f>IFERROR(__xludf.DUMMYFUNCTION("""COMPUTED_VALUE"""),"Excellent")</f>
        <v>Excellent</v>
      </c>
      <c r="AB2561" t="str">
        <f>IFERROR(__xludf.DUMMYFUNCTION("""COMPUTED_VALUE"""),"Excellent")</f>
        <v>Excellent</v>
      </c>
      <c r="AC2561">
        <f>IFERROR(__xludf.DUMMYFUNCTION("""COMPUTED_VALUE"""),0.0)</f>
        <v>0</v>
      </c>
      <c r="AD2561">
        <f>IFERROR(__xludf.DUMMYFUNCTION("""COMPUTED_VALUE"""),1.0)</f>
        <v>1</v>
      </c>
      <c r="AH2561" s="189">
        <f>IFERROR(__xludf.DUMMYFUNCTION("""COMPUTED_VALUE"""),44105.839275266204)</f>
        <v>44105.83928</v>
      </c>
    </row>
    <row r="2562">
      <c r="A2562" t="str">
        <f>IFERROR(__xludf.DUMMYFUNCTION("""COMPUTED_VALUE"""),"Patel")</f>
        <v>Patel</v>
      </c>
      <c r="B2562" t="str">
        <f>IFERROR(__xludf.DUMMYFUNCTION("""COMPUTED_VALUE"""),"Cincinnati")</f>
        <v>Cincinnati</v>
      </c>
      <c r="C2562" t="str">
        <f>IFERROR(__xludf.DUMMYFUNCTION("""COMPUTED_VALUE"""),"OH")</f>
        <v>OH</v>
      </c>
      <c r="D2562" t="str">
        <f>IFERROR(__xludf.DUMMYFUNCTION("""COMPUTED_VALUE"""),"USA")</f>
        <v>USA</v>
      </c>
      <c r="E2562" s="188">
        <f>IFERROR(__xludf.DUMMYFUNCTION("""COMPUTED_VALUE"""),44046.0)</f>
        <v>44046</v>
      </c>
      <c r="F2562" s="188">
        <f>IFERROR(__xludf.DUMMYFUNCTION("""COMPUTED_VALUE"""),44081.0)</f>
        <v>44081</v>
      </c>
      <c r="I2562" t="str">
        <f>IFERROR(__xludf.DUMMYFUNCTION("""COMPUTED_VALUE"""),"09/20")</f>
        <v>09/20</v>
      </c>
      <c r="J2562" s="5">
        <f>IFERROR(__xludf.DUMMYFUNCTION("""COMPUTED_VALUE"""),44096.0)</f>
        <v>44096</v>
      </c>
      <c r="K2562">
        <f>IFERROR(__xludf.DUMMYFUNCTION("""COMPUTED_VALUE"""),35.0)</f>
        <v>35</v>
      </c>
      <c r="L2562">
        <f>IFERROR(__xludf.DUMMYFUNCTION("""COMPUTED_VALUE"""),15.0)</f>
        <v>15</v>
      </c>
      <c r="M2562">
        <f>IFERROR(__xludf.DUMMYFUNCTION("""COMPUTED_VALUE"""),50.0)</f>
        <v>50</v>
      </c>
      <c r="N2562" t="str">
        <f>IFERROR(__xludf.DUMMYFUNCTION("""COMPUTED_VALUE"""),"Model 3 LR AWD")</f>
        <v>Model 3 LR AWD</v>
      </c>
      <c r="O2562" t="str">
        <f>IFERROR(__xludf.DUMMYFUNCTION("""COMPUTED_VALUE"""),"Midnight Silver Metallic")</f>
        <v>Midnight Silver Metallic</v>
      </c>
      <c r="P2562" t="str">
        <f>IFERROR(__xludf.DUMMYFUNCTION("""COMPUTED_VALUE"""),"18 inch Aero")</f>
        <v>18 inch Aero</v>
      </c>
      <c r="Q2562" t="str">
        <f>IFERROR(__xludf.DUMMYFUNCTION("""COMPUTED_VALUE"""),"Black seats")</f>
        <v>Black seats</v>
      </c>
      <c r="R2562" t="str">
        <f>IFERROR(__xludf.DUMMYFUNCTION("""COMPUTED_VALUE"""),"Autopilot")</f>
        <v>Autopilot</v>
      </c>
      <c r="X2562" t="str">
        <f>IFERROR(__xludf.DUMMYFUNCTION("""COMPUTED_VALUE"""),"Poor")</f>
        <v>Poor</v>
      </c>
      <c r="Y2562" t="str">
        <f>IFERROR(__xludf.DUMMYFUNCTION("""COMPUTED_VALUE"""),"Excellent")</f>
        <v>Excellent</v>
      </c>
      <c r="Z2562" t="str">
        <f>IFERROR(__xludf.DUMMYFUNCTION("""COMPUTED_VALUE"""),"Good")</f>
        <v>Good</v>
      </c>
      <c r="AA2562" t="str">
        <f>IFERROR(__xludf.DUMMYFUNCTION("""COMPUTED_VALUE"""),"Excellent")</f>
        <v>Excellent</v>
      </c>
      <c r="AB2562" t="str">
        <f>IFERROR(__xludf.DUMMYFUNCTION("""COMPUTED_VALUE"""),"Excellent")</f>
        <v>Excellent</v>
      </c>
      <c r="AC2562">
        <f>IFERROR(__xludf.DUMMYFUNCTION("""COMPUTED_VALUE"""),1.0)</f>
        <v>1</v>
      </c>
      <c r="AD2562">
        <f>IFERROR(__xludf.DUMMYFUNCTION("""COMPUTED_VALUE"""),0.0)</f>
        <v>0</v>
      </c>
      <c r="AE2562">
        <f>IFERROR(__xludf.DUMMYFUNCTION("""COMPUTED_VALUE"""),0.0)</f>
        <v>0</v>
      </c>
      <c r="AH2562" s="189">
        <f>IFERROR(__xludf.DUMMYFUNCTION("""COMPUTED_VALUE"""),44106.27129880787)</f>
        <v>44106.2713</v>
      </c>
    </row>
    <row r="2563">
      <c r="A2563" t="str">
        <f>IFERROR(__xludf.DUMMYFUNCTION("""COMPUTED_VALUE"""),"hellphish")</f>
        <v>hellphish</v>
      </c>
      <c r="B2563" t="str">
        <f>IFERROR(__xludf.DUMMYFUNCTION("""COMPUTED_VALUE"""),"Ventura")</f>
        <v>Ventura</v>
      </c>
      <c r="C2563" t="str">
        <f>IFERROR(__xludf.DUMMYFUNCTION("""COMPUTED_VALUE"""),"CA")</f>
        <v>CA</v>
      </c>
      <c r="D2563" t="str">
        <f>IFERROR(__xludf.DUMMYFUNCTION("""COMPUTED_VALUE"""),"USA")</f>
        <v>USA</v>
      </c>
      <c r="E2563" s="188">
        <f>IFERROR(__xludf.DUMMYFUNCTION("""COMPUTED_VALUE"""),44066.0)</f>
        <v>44066</v>
      </c>
      <c r="F2563" s="188">
        <f>IFERROR(__xludf.DUMMYFUNCTION("""COMPUTED_VALUE"""),44095.0)</f>
        <v>44095</v>
      </c>
      <c r="H2563">
        <f>IFERROR(__xludf.DUMMYFUNCTION("""COMPUTED_VALUE"""),801755.0)</f>
        <v>801755</v>
      </c>
      <c r="I2563" t="str">
        <f>IFERROR(__xludf.DUMMYFUNCTION("""COMPUTED_VALUE"""),"08/20")</f>
        <v>08/20</v>
      </c>
      <c r="J2563" s="5">
        <f>IFERROR(__xludf.DUMMYFUNCTION("""COMPUTED_VALUE"""),44098.0)</f>
        <v>44098</v>
      </c>
      <c r="K2563">
        <f>IFERROR(__xludf.DUMMYFUNCTION("""COMPUTED_VALUE"""),29.0)</f>
        <v>29</v>
      </c>
      <c r="L2563">
        <f>IFERROR(__xludf.DUMMYFUNCTION("""COMPUTED_VALUE"""),3.0)</f>
        <v>3</v>
      </c>
      <c r="M2563">
        <f>IFERROR(__xludf.DUMMYFUNCTION("""COMPUTED_VALUE"""),32.0)</f>
        <v>32</v>
      </c>
      <c r="N2563" t="str">
        <f>IFERROR(__xludf.DUMMYFUNCTION("""COMPUTED_VALUE"""),"Model 3 LR AWD")</f>
        <v>Model 3 LR AWD</v>
      </c>
      <c r="O2563" t="str">
        <f>IFERROR(__xludf.DUMMYFUNCTION("""COMPUTED_VALUE"""),"Pearl White Multi-Coat")</f>
        <v>Pearl White Multi-Coat</v>
      </c>
      <c r="P2563" t="str">
        <f>IFERROR(__xludf.DUMMYFUNCTION("""COMPUTED_VALUE"""),"18 inch Aero")</f>
        <v>18 inch Aero</v>
      </c>
      <c r="Q2563" t="str">
        <f>IFERROR(__xludf.DUMMYFUNCTION("""COMPUTED_VALUE"""),"White seats")</f>
        <v>White seats</v>
      </c>
      <c r="R2563" t="str">
        <f>IFERROR(__xludf.DUMMYFUNCTION("""COMPUTED_VALUE"""),"Full Self-Driving")</f>
        <v>Full Self-Driving</v>
      </c>
      <c r="X2563" t="str">
        <f>IFERROR(__xludf.DUMMYFUNCTION("""COMPUTED_VALUE"""),"Very Good")</f>
        <v>Very Good</v>
      </c>
      <c r="Y2563" t="str">
        <f>IFERROR(__xludf.DUMMYFUNCTION("""COMPUTED_VALUE"""),"Excellent")</f>
        <v>Excellent</v>
      </c>
      <c r="Z2563" t="str">
        <f>IFERROR(__xludf.DUMMYFUNCTION("""COMPUTED_VALUE"""),"Very Good")</f>
        <v>Very Good</v>
      </c>
      <c r="AA2563" t="str">
        <f>IFERROR(__xludf.DUMMYFUNCTION("""COMPUTED_VALUE"""),"Fair")</f>
        <v>Fair</v>
      </c>
      <c r="AB2563" t="str">
        <f>IFERROR(__xludf.DUMMYFUNCTION("""COMPUTED_VALUE"""),"Excellent")</f>
        <v>Excellent</v>
      </c>
      <c r="AC2563">
        <f>IFERROR(__xludf.DUMMYFUNCTION("""COMPUTED_VALUE"""),0.0)</f>
        <v>0</v>
      </c>
      <c r="AH2563" s="189">
        <f>IFERROR(__xludf.DUMMYFUNCTION("""COMPUTED_VALUE"""),44106.451795127316)</f>
        <v>44106.4518</v>
      </c>
    </row>
    <row r="2564">
      <c r="A2564" t="str">
        <f>IFERROR(__xludf.DUMMYFUNCTION("""COMPUTED_VALUE"""),"DylanP100D")</f>
        <v>DylanP100D</v>
      </c>
      <c r="B2564" t="str">
        <f>IFERROR(__xludf.DUMMYFUNCTION("""COMPUTED_VALUE"""),"Queensbury")</f>
        <v>Queensbury</v>
      </c>
      <c r="C2564" t="str">
        <f>IFERROR(__xludf.DUMMYFUNCTION("""COMPUTED_VALUE"""),"NY")</f>
        <v>NY</v>
      </c>
      <c r="D2564" t="str">
        <f>IFERROR(__xludf.DUMMYFUNCTION("""COMPUTED_VALUE"""),"USA")</f>
        <v>USA</v>
      </c>
      <c r="E2564" s="188">
        <f>IFERROR(__xludf.DUMMYFUNCTION("""COMPUTED_VALUE"""),44057.0)</f>
        <v>44057</v>
      </c>
      <c r="F2564" s="188">
        <f>IFERROR(__xludf.DUMMYFUNCTION("""COMPUTED_VALUE"""),44080.0)</f>
        <v>44080</v>
      </c>
      <c r="H2564" s="4">
        <f>IFERROR(__xludf.DUMMYFUNCTION("""COMPUTED_VALUE"""),787030.0)</f>
        <v>787030</v>
      </c>
      <c r="I2564" t="str">
        <f>IFERROR(__xludf.DUMMYFUNCTION("""COMPUTED_VALUE"""),"09/20")</f>
        <v>09/20</v>
      </c>
      <c r="J2564" s="5">
        <f>IFERROR(__xludf.DUMMYFUNCTION("""COMPUTED_VALUE"""),44099.0)</f>
        <v>44099</v>
      </c>
      <c r="K2564">
        <f>IFERROR(__xludf.DUMMYFUNCTION("""COMPUTED_VALUE"""),23.0)</f>
        <v>23</v>
      </c>
      <c r="L2564">
        <f>IFERROR(__xludf.DUMMYFUNCTION("""COMPUTED_VALUE"""),19.0)</f>
        <v>19</v>
      </c>
      <c r="M2564">
        <f>IFERROR(__xludf.DUMMYFUNCTION("""COMPUTED_VALUE"""),42.0)</f>
        <v>42</v>
      </c>
      <c r="N2564" t="str">
        <f>IFERROR(__xludf.DUMMYFUNCTION("""COMPUTED_VALUE"""),"Model 3 LR AWD")</f>
        <v>Model 3 LR AWD</v>
      </c>
      <c r="O2564" t="str">
        <f>IFERROR(__xludf.DUMMYFUNCTION("""COMPUTED_VALUE"""),"Midnight Silver Metallic")</f>
        <v>Midnight Silver Metallic</v>
      </c>
      <c r="P2564" t="str">
        <f>IFERROR(__xludf.DUMMYFUNCTION("""COMPUTED_VALUE"""),"18 inch Aero")</f>
        <v>18 inch Aero</v>
      </c>
      <c r="Q2564" t="str">
        <f>IFERROR(__xludf.DUMMYFUNCTION("""COMPUTED_VALUE"""),"Black seats")</f>
        <v>Black seats</v>
      </c>
      <c r="R2564" t="str">
        <f>IFERROR(__xludf.DUMMYFUNCTION("""COMPUTED_VALUE"""),"Autopilot")</f>
        <v>Autopilot</v>
      </c>
      <c r="X2564" t="str">
        <f>IFERROR(__xludf.DUMMYFUNCTION("""COMPUTED_VALUE"""),"Excellent")</f>
        <v>Excellent</v>
      </c>
      <c r="Y2564" t="str">
        <f>IFERROR(__xludf.DUMMYFUNCTION("""COMPUTED_VALUE"""),"Very Good")</f>
        <v>Very Good</v>
      </c>
      <c r="Z2564" t="str">
        <f>IFERROR(__xludf.DUMMYFUNCTION("""COMPUTED_VALUE"""),"Excellent")</f>
        <v>Excellent</v>
      </c>
      <c r="AA2564" t="str">
        <f>IFERROR(__xludf.DUMMYFUNCTION("""COMPUTED_VALUE"""),"Very Good")</f>
        <v>Very Good</v>
      </c>
      <c r="AB2564" t="str">
        <f>IFERROR(__xludf.DUMMYFUNCTION("""COMPUTED_VALUE"""),"Excellent")</f>
        <v>Excellent</v>
      </c>
      <c r="AC2564">
        <f>IFERROR(__xludf.DUMMYFUNCTION("""COMPUTED_VALUE"""),0.0)</f>
        <v>0</v>
      </c>
      <c r="AG2564" t="str">
        <f>IFERROR(__xludf.DUMMYFUNCTION("""COMPUTED_VALUE"""),"Delivery update from Tesla on Wednesday the 19th saying 2-5 weeks to delivery instead of 3-6 weeks when I originally ordered. MVPA and vin September 6th. Scheduled delivery on the 13th of September ")</f>
        <v>Delivery update from Tesla on Wednesday the 19th saying 2-5 weeks to delivery instead of 3-6 weeks when I originally ordered. MVPA and vin September 6th. Scheduled delivery on the 13th of September </v>
      </c>
      <c r="AH2564" s="189">
        <f>IFERROR(__xludf.DUMMYFUNCTION("""COMPUTED_VALUE"""),44107.33961923611)</f>
        <v>44107.33962</v>
      </c>
    </row>
    <row r="2565">
      <c r="A2565" t="str">
        <f>IFERROR(__xludf.DUMMYFUNCTION("""COMPUTED_VALUE"""),"Michelle_eris")</f>
        <v>Michelle_eris</v>
      </c>
      <c r="B2565" t="str">
        <f>IFERROR(__xludf.DUMMYFUNCTION("""COMPUTED_VALUE"""),"Fairborn")</f>
        <v>Fairborn</v>
      </c>
      <c r="C2565" t="str">
        <f>IFERROR(__xludf.DUMMYFUNCTION("""COMPUTED_VALUE"""),"OH")</f>
        <v>OH</v>
      </c>
      <c r="D2565" t="str">
        <f>IFERROR(__xludf.DUMMYFUNCTION("""COMPUTED_VALUE"""),"USA")</f>
        <v>USA</v>
      </c>
      <c r="E2565" s="188">
        <f>IFERROR(__xludf.DUMMYFUNCTION("""COMPUTED_VALUE"""),44034.0)</f>
        <v>44034</v>
      </c>
      <c r="F2565" s="188">
        <f>IFERROR(__xludf.DUMMYFUNCTION("""COMPUTED_VALUE"""),44069.0)</f>
        <v>44069</v>
      </c>
      <c r="H2565">
        <f>IFERROR(__xludf.DUMMYFUNCTION("""COMPUTED_VALUE"""),774855.0)</f>
        <v>774855</v>
      </c>
      <c r="I2565" t="str">
        <f>IFERROR(__xludf.DUMMYFUNCTION("""COMPUTED_VALUE"""),"08/20")</f>
        <v>08/20</v>
      </c>
      <c r="J2565" s="5">
        <f>IFERROR(__xludf.DUMMYFUNCTION("""COMPUTED_VALUE"""),44082.0)</f>
        <v>44082</v>
      </c>
      <c r="K2565">
        <f>IFERROR(__xludf.DUMMYFUNCTION("""COMPUTED_VALUE"""),35.0)</f>
        <v>35</v>
      </c>
      <c r="L2565">
        <f>IFERROR(__xludf.DUMMYFUNCTION("""COMPUTED_VALUE"""),13.0)</f>
        <v>13</v>
      </c>
      <c r="M2565">
        <f>IFERROR(__xludf.DUMMYFUNCTION("""COMPUTED_VALUE"""),48.0)</f>
        <v>48</v>
      </c>
      <c r="N2565" t="str">
        <f>IFERROR(__xludf.DUMMYFUNCTION("""COMPUTED_VALUE"""),"Model 3 LR AWD")</f>
        <v>Model 3 LR AWD</v>
      </c>
      <c r="O2565" t="str">
        <f>IFERROR(__xludf.DUMMYFUNCTION("""COMPUTED_VALUE"""),"Deep Blue Metallic")</f>
        <v>Deep Blue Metallic</v>
      </c>
      <c r="P2565" t="str">
        <f>IFERROR(__xludf.DUMMYFUNCTION("""COMPUTED_VALUE"""),"18 inch Aero")</f>
        <v>18 inch Aero</v>
      </c>
      <c r="Q2565" t="str">
        <f>IFERROR(__xludf.DUMMYFUNCTION("""COMPUTED_VALUE"""),"Black seats")</f>
        <v>Black seats</v>
      </c>
      <c r="R2565" t="str">
        <f>IFERROR(__xludf.DUMMYFUNCTION("""COMPUTED_VALUE"""),"Full Self-Driving")</f>
        <v>Full Self-Driving</v>
      </c>
      <c r="X2565" t="str">
        <f>IFERROR(__xludf.DUMMYFUNCTION("""COMPUTED_VALUE"""),"Excellent")</f>
        <v>Excellent</v>
      </c>
      <c r="Y2565" t="str">
        <f>IFERROR(__xludf.DUMMYFUNCTION("""COMPUTED_VALUE"""),"Excellent")</f>
        <v>Excellent</v>
      </c>
      <c r="Z2565" t="str">
        <f>IFERROR(__xludf.DUMMYFUNCTION("""COMPUTED_VALUE"""),"Excellent")</f>
        <v>Excellent</v>
      </c>
      <c r="AA2565" t="str">
        <f>IFERROR(__xludf.DUMMYFUNCTION("""COMPUTED_VALUE"""),"Very Good")</f>
        <v>Very Good</v>
      </c>
      <c r="AB2565" t="str">
        <f>IFERROR(__xludf.DUMMYFUNCTION("""COMPUTED_VALUE"""),"Very Good")</f>
        <v>Very Good</v>
      </c>
      <c r="AC2565">
        <f>IFERROR(__xludf.DUMMYFUNCTION("""COMPUTED_VALUE"""),0.0)</f>
        <v>0</v>
      </c>
      <c r="AD2565">
        <f>IFERROR(__xludf.DUMMYFUNCTION("""COMPUTED_VALUE"""),1.0)</f>
        <v>1</v>
      </c>
      <c r="AE2565">
        <f>IFERROR(__xludf.DUMMYFUNCTION("""COMPUTED_VALUE"""),0.0)</f>
        <v>0</v>
      </c>
      <c r="AG2565" t="str">
        <f>IFERROR(__xludf.DUMMYFUNCTION("""COMPUTED_VALUE"""),"Delivery scheduled for 8/10/20, but was on 8/8/20")</f>
        <v>Delivery scheduled for 8/10/20, but was on 8/8/20</v>
      </c>
      <c r="AH2565" s="189">
        <f>IFERROR(__xludf.DUMMYFUNCTION("""COMPUTED_VALUE"""),44108.61656909723)</f>
        <v>44108.61657</v>
      </c>
    </row>
    <row r="2566">
      <c r="A2566" t="str">
        <f>IFERROR(__xludf.DUMMYFUNCTION("""COMPUTED_VALUE"""),"Edgeofreality")</f>
        <v>Edgeofreality</v>
      </c>
      <c r="C2566" t="str">
        <f>IFERROR(__xludf.DUMMYFUNCTION("""COMPUTED_VALUE"""),"LA")</f>
        <v>LA</v>
      </c>
      <c r="D2566" t="str">
        <f>IFERROR(__xludf.DUMMYFUNCTION("""COMPUTED_VALUE"""),"USA")</f>
        <v>USA</v>
      </c>
      <c r="E2566" s="188">
        <f>IFERROR(__xludf.DUMMYFUNCTION("""COMPUTED_VALUE"""),44031.0)</f>
        <v>44031</v>
      </c>
      <c r="F2566" s="188">
        <f>IFERROR(__xludf.DUMMYFUNCTION("""COMPUTED_VALUE"""),44072.0)</f>
        <v>44072</v>
      </c>
      <c r="H2566">
        <f>IFERROR(__xludf.DUMMYFUNCTION("""COMPUTED_VALUE"""),785855.0)</f>
        <v>785855</v>
      </c>
      <c r="J2566" s="5">
        <f>IFERROR(__xludf.DUMMYFUNCTION("""COMPUTED_VALUE"""),44101.0)</f>
        <v>44101</v>
      </c>
      <c r="K2566">
        <f>IFERROR(__xludf.DUMMYFUNCTION("""COMPUTED_VALUE"""),41.0)</f>
        <v>41</v>
      </c>
      <c r="L2566">
        <f>IFERROR(__xludf.DUMMYFUNCTION("""COMPUTED_VALUE"""),29.0)</f>
        <v>29</v>
      </c>
      <c r="M2566">
        <f>IFERROR(__xludf.DUMMYFUNCTION("""COMPUTED_VALUE"""),70.0)</f>
        <v>70</v>
      </c>
      <c r="N2566" t="str">
        <f>IFERROR(__xludf.DUMMYFUNCTION("""COMPUTED_VALUE"""),"Model 3 SR+")</f>
        <v>Model 3 SR+</v>
      </c>
      <c r="O2566" t="str">
        <f>IFERROR(__xludf.DUMMYFUNCTION("""COMPUTED_VALUE"""),"Deep Blue Metallic")</f>
        <v>Deep Blue Metallic</v>
      </c>
      <c r="P2566" t="str">
        <f>IFERROR(__xludf.DUMMYFUNCTION("""COMPUTED_VALUE"""),"18 inch Aero")</f>
        <v>18 inch Aero</v>
      </c>
      <c r="Q2566" t="str">
        <f>IFERROR(__xludf.DUMMYFUNCTION("""COMPUTED_VALUE"""),"White seats")</f>
        <v>White seats</v>
      </c>
      <c r="R2566" t="str">
        <f>IFERROR(__xludf.DUMMYFUNCTION("""COMPUTED_VALUE"""),"Autopilot")</f>
        <v>Autopilot</v>
      </c>
      <c r="X2566" t="str">
        <f>IFERROR(__xludf.DUMMYFUNCTION("""COMPUTED_VALUE"""),"Excellent")</f>
        <v>Excellent</v>
      </c>
      <c r="Y2566" t="str">
        <f>IFERROR(__xludf.DUMMYFUNCTION("""COMPUTED_VALUE"""),"Excellent")</f>
        <v>Excellent</v>
      </c>
      <c r="Z2566" t="str">
        <f>IFERROR(__xludf.DUMMYFUNCTION("""COMPUTED_VALUE"""),"Good")</f>
        <v>Good</v>
      </c>
      <c r="AA2566" t="str">
        <f>IFERROR(__xludf.DUMMYFUNCTION("""COMPUTED_VALUE"""),"Fair")</f>
        <v>Fair</v>
      </c>
      <c r="AB2566" t="str">
        <f>IFERROR(__xludf.DUMMYFUNCTION("""COMPUTED_VALUE"""),"Very Good")</f>
        <v>Very Good</v>
      </c>
      <c r="AC2566">
        <f>IFERROR(__xludf.DUMMYFUNCTION("""COMPUTED_VALUE"""),1.0)</f>
        <v>1</v>
      </c>
      <c r="AH2566" s="189">
        <f>IFERROR(__xludf.DUMMYFUNCTION("""COMPUTED_VALUE"""),44112.914822754625)</f>
        <v>44112.91482</v>
      </c>
    </row>
    <row r="2567">
      <c r="A2567" t="str">
        <f>IFERROR(__xludf.DUMMYFUNCTION("""COMPUTED_VALUE"""),"fsSnowboard")</f>
        <v>fsSnowboard</v>
      </c>
      <c r="B2567" t="str">
        <f>IFERROR(__xludf.DUMMYFUNCTION("""COMPUTED_VALUE"""),"Simpsonville")</f>
        <v>Simpsonville</v>
      </c>
      <c r="C2567" t="str">
        <f>IFERROR(__xludf.DUMMYFUNCTION("""COMPUTED_VALUE"""),"SC")</f>
        <v>SC</v>
      </c>
      <c r="D2567" t="str">
        <f>IFERROR(__xludf.DUMMYFUNCTION("""COMPUTED_VALUE"""),"USA")</f>
        <v>USA</v>
      </c>
      <c r="E2567" s="188">
        <f>IFERROR(__xludf.DUMMYFUNCTION("""COMPUTED_VALUE"""),44057.0)</f>
        <v>44057</v>
      </c>
      <c r="F2567" s="188">
        <f>IFERROR(__xludf.DUMMYFUNCTION("""COMPUTED_VALUE"""),44072.0)</f>
        <v>44072</v>
      </c>
      <c r="H2567">
        <f>IFERROR(__xludf.DUMMYFUNCTION("""COMPUTED_VALUE"""),785304.0)</f>
        <v>785304</v>
      </c>
      <c r="I2567" t="str">
        <f>IFERROR(__xludf.DUMMYFUNCTION("""COMPUTED_VALUE"""),"08/20")</f>
        <v>08/20</v>
      </c>
      <c r="J2567" s="5">
        <f>IFERROR(__xludf.DUMMYFUNCTION("""COMPUTED_VALUE"""),44093.0)</f>
        <v>44093</v>
      </c>
      <c r="K2567">
        <f>IFERROR(__xludf.DUMMYFUNCTION("""COMPUTED_VALUE"""),15.0)</f>
        <v>15</v>
      </c>
      <c r="L2567">
        <f>IFERROR(__xludf.DUMMYFUNCTION("""COMPUTED_VALUE"""),21.0)</f>
        <v>21</v>
      </c>
      <c r="M2567">
        <f>IFERROR(__xludf.DUMMYFUNCTION("""COMPUTED_VALUE"""),36.0)</f>
        <v>36</v>
      </c>
      <c r="N2567" t="str">
        <f>IFERROR(__xludf.DUMMYFUNCTION("""COMPUTED_VALUE"""),"Model 3 SR+")</f>
        <v>Model 3 SR+</v>
      </c>
      <c r="O2567" t="str">
        <f>IFERROR(__xludf.DUMMYFUNCTION("""COMPUTED_VALUE"""),"Pearl White Multi-Coat")</f>
        <v>Pearl White Multi-Coat</v>
      </c>
      <c r="P2567" t="str">
        <f>IFERROR(__xludf.DUMMYFUNCTION("""COMPUTED_VALUE"""),"18 inch Aero")</f>
        <v>18 inch Aero</v>
      </c>
      <c r="Q2567" t="str">
        <f>IFERROR(__xludf.DUMMYFUNCTION("""COMPUTED_VALUE"""),"Black seats")</f>
        <v>Black seats</v>
      </c>
      <c r="R2567" t="str">
        <f>IFERROR(__xludf.DUMMYFUNCTION("""COMPUTED_VALUE"""),"Autopilot")</f>
        <v>Autopilot</v>
      </c>
      <c r="X2567" t="str">
        <f>IFERROR(__xludf.DUMMYFUNCTION("""COMPUTED_VALUE"""),"Very Good")</f>
        <v>Very Good</v>
      </c>
      <c r="Y2567" t="str">
        <f>IFERROR(__xludf.DUMMYFUNCTION("""COMPUTED_VALUE"""),"Excellent")</f>
        <v>Excellent</v>
      </c>
      <c r="Z2567" t="str">
        <f>IFERROR(__xludf.DUMMYFUNCTION("""COMPUTED_VALUE"""),"Excellent")</f>
        <v>Excellent</v>
      </c>
      <c r="AA2567" t="str">
        <f>IFERROR(__xludf.DUMMYFUNCTION("""COMPUTED_VALUE"""),"Good")</f>
        <v>Good</v>
      </c>
      <c r="AB2567" t="str">
        <f>IFERROR(__xludf.DUMMYFUNCTION("""COMPUTED_VALUE"""),"Excellent")</f>
        <v>Excellent</v>
      </c>
      <c r="AC2567">
        <f>IFERROR(__xludf.DUMMYFUNCTION("""COMPUTED_VALUE"""),1.0)</f>
        <v>1</v>
      </c>
      <c r="AD2567">
        <f>IFERROR(__xludf.DUMMYFUNCTION("""COMPUTED_VALUE"""),1.0)</f>
        <v>1</v>
      </c>
      <c r="AE2567">
        <f>IFERROR(__xludf.DUMMYFUNCTION("""COMPUTED_VALUE"""),0.0)</f>
        <v>0</v>
      </c>
      <c r="AG2567" t="str">
        <f>IFERROR(__xludf.DUMMYFUNCTION("""COMPUTED_VALUE"""),"The charge door doesn’t close flush.  Noticed at delivery and they wrote a due bill.  Service appointment was smooth.  I was able to wait for the car.  Service center also let me sit at the super charger for a few minutes to top off.")</f>
        <v>The charge door doesn’t close flush.  Noticed at delivery and they wrote a due bill.  Service appointment was smooth.  I was able to wait for the car.  Service center also let me sit at the super charger for a few minutes to top off.</v>
      </c>
      <c r="AH2567" s="189">
        <f>IFERROR(__xludf.DUMMYFUNCTION("""COMPUTED_VALUE"""),44113.34339069444)</f>
        <v>44113.34339</v>
      </c>
    </row>
    <row r="2568">
      <c r="A2568" t="str">
        <f>IFERROR(__xludf.DUMMYFUNCTION("""COMPUTED_VALUE"""),"pile_of_salt")</f>
        <v>pile_of_salt</v>
      </c>
      <c r="B2568" t="str">
        <f>IFERROR(__xludf.DUMMYFUNCTION("""COMPUTED_VALUE"""),"Bratislava Slovakia")</f>
        <v>Bratislava Slovakia</v>
      </c>
      <c r="D2568" t="str">
        <f>IFERROR(__xludf.DUMMYFUNCTION("""COMPUTED_VALUE"""),"Other (include country together with city)")</f>
        <v>Other (include country together with city)</v>
      </c>
      <c r="E2568" s="188">
        <f>IFERROR(__xludf.DUMMYFUNCTION("""COMPUTED_VALUE"""),43782.0)</f>
        <v>43782</v>
      </c>
      <c r="F2568" s="188">
        <f>IFERROR(__xludf.DUMMYFUNCTION("""COMPUTED_VALUE"""),43872.0)</f>
        <v>43872</v>
      </c>
      <c r="H2568">
        <f>IFERROR(__xludf.DUMMYFUNCTION("""COMPUTED_VALUE"""),674455.0)</f>
        <v>674455</v>
      </c>
      <c r="J2568" s="5">
        <f>IFERROR(__xludf.DUMMYFUNCTION("""COMPUTED_VALUE"""),43896.0)</f>
        <v>43896</v>
      </c>
      <c r="K2568">
        <f>IFERROR(__xludf.DUMMYFUNCTION("""COMPUTED_VALUE"""),90.0)</f>
        <v>90</v>
      </c>
      <c r="L2568">
        <f>IFERROR(__xludf.DUMMYFUNCTION("""COMPUTED_VALUE"""),24.0)</f>
        <v>24</v>
      </c>
      <c r="M2568">
        <f>IFERROR(__xludf.DUMMYFUNCTION("""COMPUTED_VALUE"""),114.0)</f>
        <v>114</v>
      </c>
      <c r="N2568" t="str">
        <f>IFERROR(__xludf.DUMMYFUNCTION("""COMPUTED_VALUE"""),"Model 3 LR AWD")</f>
        <v>Model 3 LR AWD</v>
      </c>
      <c r="O2568" t="str">
        <f>IFERROR(__xludf.DUMMYFUNCTION("""COMPUTED_VALUE"""),"Pearl White Multi-Coat")</f>
        <v>Pearl White Multi-Coat</v>
      </c>
      <c r="P2568" t="str">
        <f>IFERROR(__xludf.DUMMYFUNCTION("""COMPUTED_VALUE"""),"18 inch Aero")</f>
        <v>18 inch Aero</v>
      </c>
      <c r="Q2568" t="str">
        <f>IFERROR(__xludf.DUMMYFUNCTION("""COMPUTED_VALUE"""),"Black seats")</f>
        <v>Black seats</v>
      </c>
      <c r="R2568" t="str">
        <f>IFERROR(__xludf.DUMMYFUNCTION("""COMPUTED_VALUE"""),"Autopilot")</f>
        <v>Autopilot</v>
      </c>
      <c r="X2568" t="str">
        <f>IFERROR(__xludf.DUMMYFUNCTION("""COMPUTED_VALUE"""),"Very Good")</f>
        <v>Very Good</v>
      </c>
      <c r="Y2568" t="str">
        <f>IFERROR(__xludf.DUMMYFUNCTION("""COMPUTED_VALUE"""),"Excellent")</f>
        <v>Excellent</v>
      </c>
      <c r="Z2568" t="str">
        <f>IFERROR(__xludf.DUMMYFUNCTION("""COMPUTED_VALUE"""),"Excellent")</f>
        <v>Excellent</v>
      </c>
      <c r="AA2568" t="str">
        <f>IFERROR(__xludf.DUMMYFUNCTION("""COMPUTED_VALUE"""),"Fair")</f>
        <v>Fair</v>
      </c>
      <c r="AB2568" t="str">
        <f>IFERROR(__xludf.DUMMYFUNCTION("""COMPUTED_VALUE"""),"Fair")</f>
        <v>Fair</v>
      </c>
      <c r="AC2568">
        <f>IFERROR(__xludf.DUMMYFUNCTION("""COMPUTED_VALUE"""),0.0)</f>
        <v>0</v>
      </c>
      <c r="AG2568" t="str">
        <f>IFERROR(__xludf.DUMMYFUNCTION("""COMPUTED_VALUE"""),"head light changed in warranty after 10k km")</f>
        <v>head light changed in warranty after 10k km</v>
      </c>
      <c r="AH2568" s="189">
        <f>IFERROR(__xludf.DUMMYFUNCTION("""COMPUTED_VALUE"""),44116.02423758102)</f>
        <v>44116.02424</v>
      </c>
    </row>
    <row r="2569">
      <c r="A2569" t="str">
        <f>IFERROR(__xludf.DUMMYFUNCTION("""COMPUTED_VALUE"""),"Curtis")</f>
        <v>Curtis</v>
      </c>
      <c r="B2569" t="str">
        <f>IFERROR(__xludf.DUMMYFUNCTION("""COMPUTED_VALUE"""),"St Louis")</f>
        <v>St Louis</v>
      </c>
      <c r="C2569" t="str">
        <f>IFERROR(__xludf.DUMMYFUNCTION("""COMPUTED_VALUE"""),"MO")</f>
        <v>MO</v>
      </c>
      <c r="D2569" t="str">
        <f>IFERROR(__xludf.DUMMYFUNCTION("""COMPUTED_VALUE"""),"USA")</f>
        <v>USA</v>
      </c>
      <c r="E2569" s="188">
        <f>IFERROR(__xludf.DUMMYFUNCTION("""COMPUTED_VALUE"""),44099.0)</f>
        <v>44099</v>
      </c>
      <c r="F2569" s="188">
        <f>IFERROR(__xludf.DUMMYFUNCTION("""COMPUTED_VALUE"""),44106.0)</f>
        <v>44106</v>
      </c>
      <c r="H2569">
        <f>IFERROR(__xludf.DUMMYFUNCTION("""COMPUTED_VALUE"""),807855.0)</f>
        <v>807855</v>
      </c>
      <c r="J2569" s="5">
        <f>IFERROR(__xludf.DUMMYFUNCTION("""COMPUTED_VALUE"""),44114.0)</f>
        <v>44114</v>
      </c>
      <c r="K2569">
        <f>IFERROR(__xludf.DUMMYFUNCTION("""COMPUTED_VALUE"""),7.0)</f>
        <v>7</v>
      </c>
      <c r="L2569">
        <f>IFERROR(__xludf.DUMMYFUNCTION("""COMPUTED_VALUE"""),8.0)</f>
        <v>8</v>
      </c>
      <c r="M2569">
        <f>IFERROR(__xludf.DUMMYFUNCTION("""COMPUTED_VALUE"""),15.0)</f>
        <v>15</v>
      </c>
      <c r="N2569" t="str">
        <f>IFERROR(__xludf.DUMMYFUNCTION("""COMPUTED_VALUE"""),"Model 3 Performance")</f>
        <v>Model 3 Performance</v>
      </c>
      <c r="O2569" t="str">
        <f>IFERROR(__xludf.DUMMYFUNCTION("""COMPUTED_VALUE"""),"Deep Blue Metallic")</f>
        <v>Deep Blue Metallic</v>
      </c>
      <c r="P2569" t="str">
        <f>IFERROR(__xludf.DUMMYFUNCTION("""COMPUTED_VALUE"""),"20 inch Sport")</f>
        <v>20 inch Sport</v>
      </c>
      <c r="Q2569" t="str">
        <f>IFERROR(__xludf.DUMMYFUNCTION("""COMPUTED_VALUE"""),"Black seats")</f>
        <v>Black seats</v>
      </c>
      <c r="R2569" t="str">
        <f>IFERROR(__xludf.DUMMYFUNCTION("""COMPUTED_VALUE"""),"Autopilot")</f>
        <v>Autopilot</v>
      </c>
      <c r="X2569" t="str">
        <f>IFERROR(__xludf.DUMMYFUNCTION("""COMPUTED_VALUE"""),"Excellent")</f>
        <v>Excellent</v>
      </c>
      <c r="Y2569" t="str">
        <f>IFERROR(__xludf.DUMMYFUNCTION("""COMPUTED_VALUE"""),"Excellent")</f>
        <v>Excellent</v>
      </c>
      <c r="Z2569" t="str">
        <f>IFERROR(__xludf.DUMMYFUNCTION("""COMPUTED_VALUE"""),"Excellent")</f>
        <v>Excellent</v>
      </c>
      <c r="AA2569" t="str">
        <f>IFERROR(__xludf.DUMMYFUNCTION("""COMPUTED_VALUE"""),"Excellent")</f>
        <v>Excellent</v>
      </c>
      <c r="AB2569" t="str">
        <f>IFERROR(__xludf.DUMMYFUNCTION("""COMPUTED_VALUE"""),"Excellent")</f>
        <v>Excellent</v>
      </c>
      <c r="AG2569" t="str">
        <f>IFERROR(__xludf.DUMMYFUNCTION("""COMPUTED_VALUE"""),"Scheduled for the 14th - Came in early picked up the 10th")</f>
        <v>Scheduled for the 14th - Came in early picked up the 10th</v>
      </c>
      <c r="AH2569" s="189">
        <f>IFERROR(__xludf.DUMMYFUNCTION("""COMPUTED_VALUE"""),44117.39763930556)</f>
        <v>44117.39764</v>
      </c>
    </row>
    <row r="2570">
      <c r="A2570" t="str">
        <f>IFERROR(__xludf.DUMMYFUNCTION("""COMPUTED_VALUE"""),"JeffCTNY")</f>
        <v>JeffCTNY</v>
      </c>
      <c r="B2570" t="str">
        <f>IFERROR(__xludf.DUMMYFUNCTION("""COMPUTED_VALUE"""),"New Haven")</f>
        <v>New Haven</v>
      </c>
      <c r="C2570" t="str">
        <f>IFERROR(__xludf.DUMMYFUNCTION("""COMPUTED_VALUE"""),"CT")</f>
        <v>CT</v>
      </c>
      <c r="D2570" t="str">
        <f>IFERROR(__xludf.DUMMYFUNCTION("""COMPUTED_VALUE"""),"USA")</f>
        <v>USA</v>
      </c>
      <c r="E2570" s="188">
        <f>IFERROR(__xludf.DUMMYFUNCTION("""COMPUTED_VALUE"""),44016.0)</f>
        <v>44016</v>
      </c>
      <c r="F2570" s="188">
        <f>IFERROR(__xludf.DUMMYFUNCTION("""COMPUTED_VALUE"""),44079.0)</f>
        <v>44079</v>
      </c>
      <c r="H2570">
        <f>IFERROR(__xludf.DUMMYFUNCTION("""COMPUTED_VALUE"""),783855.0)</f>
        <v>783855</v>
      </c>
      <c r="I2570" t="str">
        <f>IFERROR(__xludf.DUMMYFUNCTION("""COMPUTED_VALUE"""),"08/20")</f>
        <v>08/20</v>
      </c>
      <c r="J2570" s="5">
        <f>IFERROR(__xludf.DUMMYFUNCTION("""COMPUTED_VALUE"""),44089.0)</f>
        <v>44089</v>
      </c>
      <c r="K2570">
        <f>IFERROR(__xludf.DUMMYFUNCTION("""COMPUTED_VALUE"""),63.0)</f>
        <v>63</v>
      </c>
      <c r="L2570">
        <f>IFERROR(__xludf.DUMMYFUNCTION("""COMPUTED_VALUE"""),10.0)</f>
        <v>10</v>
      </c>
      <c r="M2570">
        <f>IFERROR(__xludf.DUMMYFUNCTION("""COMPUTED_VALUE"""),73.0)</f>
        <v>73</v>
      </c>
      <c r="N2570" t="str">
        <f>IFERROR(__xludf.DUMMYFUNCTION("""COMPUTED_VALUE"""),"Model 3 SR+")</f>
        <v>Model 3 SR+</v>
      </c>
      <c r="O2570" t="str">
        <f>IFERROR(__xludf.DUMMYFUNCTION("""COMPUTED_VALUE"""),"Pearl White Multi-Coat")</f>
        <v>Pearl White Multi-Coat</v>
      </c>
      <c r="P2570" t="str">
        <f>IFERROR(__xludf.DUMMYFUNCTION("""COMPUTED_VALUE"""),"19 inch Sport")</f>
        <v>19 inch Sport</v>
      </c>
      <c r="Q2570" t="str">
        <f>IFERROR(__xludf.DUMMYFUNCTION("""COMPUTED_VALUE"""),"Black seats")</f>
        <v>Black seats</v>
      </c>
      <c r="R2570" t="str">
        <f>IFERROR(__xludf.DUMMYFUNCTION("""COMPUTED_VALUE"""),"Autopilot")</f>
        <v>Autopilot</v>
      </c>
      <c r="X2570" t="str">
        <f>IFERROR(__xludf.DUMMYFUNCTION("""COMPUTED_VALUE"""),"Very Good")</f>
        <v>Very Good</v>
      </c>
      <c r="Y2570" t="str">
        <f>IFERROR(__xludf.DUMMYFUNCTION("""COMPUTED_VALUE"""),"Very Good")</f>
        <v>Very Good</v>
      </c>
      <c r="Z2570" t="str">
        <f>IFERROR(__xludf.DUMMYFUNCTION("""COMPUTED_VALUE"""),"Very Good")</f>
        <v>Very Good</v>
      </c>
      <c r="AA2570" t="str">
        <f>IFERROR(__xludf.DUMMYFUNCTION("""COMPUTED_VALUE"""),"Very Good")</f>
        <v>Very Good</v>
      </c>
      <c r="AB2570" t="str">
        <f>IFERROR(__xludf.DUMMYFUNCTION("""COMPUTED_VALUE"""),"Very Good")</f>
        <v>Very Good</v>
      </c>
      <c r="AC2570">
        <f>IFERROR(__xludf.DUMMYFUNCTION("""COMPUTED_VALUE"""),2.0)</f>
        <v>2</v>
      </c>
      <c r="AD2570">
        <f>IFERROR(__xludf.DUMMYFUNCTION("""COMPUTED_VALUE"""),1.0)</f>
        <v>1</v>
      </c>
      <c r="AE2570">
        <f>IFERROR(__xludf.DUMMYFUNCTION("""COMPUTED_VALUE"""),0.0)</f>
        <v>0</v>
      </c>
      <c r="AH2570" s="189">
        <f>IFERROR(__xludf.DUMMYFUNCTION("""COMPUTED_VALUE"""),44120.446223425926)</f>
        <v>44120.44622</v>
      </c>
    </row>
    <row r="2571">
      <c r="A2571" t="str">
        <f>IFERROR(__xludf.DUMMYFUNCTION("""COMPUTED_VALUE"""),"soooolu12345")</f>
        <v>soooolu12345</v>
      </c>
      <c r="B2571" t="str">
        <f>IFERROR(__xludf.DUMMYFUNCTION("""COMPUTED_VALUE"""),"Houston")</f>
        <v>Houston</v>
      </c>
      <c r="C2571" t="str">
        <f>IFERROR(__xludf.DUMMYFUNCTION("""COMPUTED_VALUE"""),"TX")</f>
        <v>TX</v>
      </c>
      <c r="D2571" t="str">
        <f>IFERROR(__xludf.DUMMYFUNCTION("""COMPUTED_VALUE"""),"USA")</f>
        <v>USA</v>
      </c>
      <c r="E2571" s="188">
        <f>IFERROR(__xludf.DUMMYFUNCTION("""COMPUTED_VALUE"""),44120.0)</f>
        <v>44120</v>
      </c>
      <c r="F2571" s="188">
        <f>IFERROR(__xludf.DUMMYFUNCTION("""COMPUTED_VALUE"""),44178.0)</f>
        <v>44178</v>
      </c>
      <c r="G2571" t="str">
        <f>IFERROR(__xludf.DUMMYFUNCTION("""COMPUTED_VALUE"""),"Email")</f>
        <v>Email</v>
      </c>
      <c r="H2571">
        <f>IFERROR(__xludf.DUMMYFUNCTION("""COMPUTED_VALUE"""),862755.0)</f>
        <v>862755</v>
      </c>
      <c r="J2571" s="5">
        <f>IFERROR(__xludf.DUMMYFUNCTION("""COMPUTED_VALUE"""),44191.0)</f>
        <v>44191</v>
      </c>
      <c r="K2571">
        <f>IFERROR(__xludf.DUMMYFUNCTION("""COMPUTED_VALUE"""),58.0)</f>
        <v>58</v>
      </c>
      <c r="L2571">
        <f>IFERROR(__xludf.DUMMYFUNCTION("""COMPUTED_VALUE"""),13.0)</f>
        <v>13</v>
      </c>
      <c r="M2571">
        <f>IFERROR(__xludf.DUMMYFUNCTION("""COMPUTED_VALUE"""),71.0)</f>
        <v>71</v>
      </c>
      <c r="N2571" t="str">
        <f>IFERROR(__xludf.DUMMYFUNCTION("""COMPUTED_VALUE"""),"Model 3 Performance")</f>
        <v>Model 3 Performance</v>
      </c>
      <c r="O2571" t="str">
        <f>IFERROR(__xludf.DUMMYFUNCTION("""COMPUTED_VALUE"""),"Pearl White Multi-Coat")</f>
        <v>Pearl White Multi-Coat</v>
      </c>
      <c r="P2571" t="str">
        <f>IFERROR(__xludf.DUMMYFUNCTION("""COMPUTED_VALUE"""),"20 inch")</f>
        <v>20 inch</v>
      </c>
      <c r="Q2571" t="str">
        <f>IFERROR(__xludf.DUMMYFUNCTION("""COMPUTED_VALUE"""),"All Black")</f>
        <v>All Black</v>
      </c>
      <c r="R2571" t="str">
        <f>IFERROR(__xludf.DUMMYFUNCTION("""COMPUTED_VALUE"""),"Full Self-Driving")</f>
        <v>Full Self-Driving</v>
      </c>
      <c r="S2571" t="str">
        <f>IFERROR(__xludf.DUMMYFUNCTION("""COMPUTED_VALUE"""),"Loan")</f>
        <v>Loan</v>
      </c>
      <c r="T2571" t="str">
        <f>IFERROR(__xludf.DUMMYFUNCTION("""COMPUTED_VALUE"""),"Toyota Camry")</f>
        <v>Toyota Camry</v>
      </c>
      <c r="U2571" t="str">
        <f>IFERROR(__xludf.DUMMYFUNCTION("""COMPUTED_VALUE"""),"Autopilot")</f>
        <v>Autopilot</v>
      </c>
      <c r="X2571" t="str">
        <f>IFERROR(__xludf.DUMMYFUNCTION("""COMPUTED_VALUE"""),"Excellent")</f>
        <v>Excellent</v>
      </c>
      <c r="Y2571" t="str">
        <f>IFERROR(__xludf.DUMMYFUNCTION("""COMPUTED_VALUE"""),"Excellent")</f>
        <v>Excellent</v>
      </c>
      <c r="Z2571" t="str">
        <f>IFERROR(__xludf.DUMMYFUNCTION("""COMPUTED_VALUE"""),"Excellent")</f>
        <v>Excellent</v>
      </c>
      <c r="AA2571" t="str">
        <f>IFERROR(__xludf.DUMMYFUNCTION("""COMPUTED_VALUE"""),"Very Good")</f>
        <v>Very Good</v>
      </c>
      <c r="AB2571" t="str">
        <f>IFERROR(__xludf.DUMMYFUNCTION("""COMPUTED_VALUE"""),"Excellent")</f>
        <v>Excellent</v>
      </c>
      <c r="AF2571" t="str">
        <f>IFERROR(__xludf.DUMMYFUNCTION("""COMPUTED_VALUE"""),"No. I took delivery of the first car Tesla was able to deliver.")</f>
        <v>No. I took delivery of the first car Tesla was able to deliver.</v>
      </c>
      <c r="AH2571" s="189">
        <f>IFERROR(__xludf.DUMMYFUNCTION("""COMPUTED_VALUE"""),44201.61671127315)</f>
        <v>44201.61671</v>
      </c>
    </row>
    <row r="2572">
      <c r="A2572" t="str">
        <f>IFERROR(__xludf.DUMMYFUNCTION("""COMPUTED_VALUE"""),"Westaust")</f>
        <v>Westaust</v>
      </c>
      <c r="B2572" t="str">
        <f>IFERROR(__xludf.DUMMYFUNCTION("""COMPUTED_VALUE"""),"Montreal")</f>
        <v>Montreal</v>
      </c>
      <c r="C2572" t="str">
        <f>IFERROR(__xludf.DUMMYFUNCTION("""COMPUTED_VALUE"""),"QC")</f>
        <v>QC</v>
      </c>
      <c r="D2572" t="str">
        <f>IFERROR(__xludf.DUMMYFUNCTION("""COMPUTED_VALUE"""),"Canada")</f>
        <v>Canada</v>
      </c>
      <c r="E2572" s="188">
        <f>IFERROR(__xludf.DUMMYFUNCTION("""COMPUTED_VALUE"""),43839.0)</f>
        <v>43839</v>
      </c>
      <c r="F2572" s="188">
        <f>IFERROR(__xludf.DUMMYFUNCTION("""COMPUTED_VALUE"""),43889.0)</f>
        <v>43889</v>
      </c>
      <c r="H2572">
        <f>IFERROR(__xludf.DUMMYFUNCTION("""COMPUTED_VALUE"""),704155.0)</f>
        <v>704155</v>
      </c>
      <c r="I2572" t="str">
        <f>IFERROR(__xludf.DUMMYFUNCTION("""COMPUTED_VALUE"""),"02/20")</f>
        <v>02/20</v>
      </c>
      <c r="J2572" s="5">
        <f>IFERROR(__xludf.DUMMYFUNCTION("""COMPUTED_VALUE"""),43906.0)</f>
        <v>43906</v>
      </c>
      <c r="K2572">
        <f>IFERROR(__xludf.DUMMYFUNCTION("""COMPUTED_VALUE"""),50.0)</f>
        <v>50</v>
      </c>
      <c r="L2572">
        <f>IFERROR(__xludf.DUMMYFUNCTION("""COMPUTED_VALUE"""),17.0)</f>
        <v>17</v>
      </c>
      <c r="M2572">
        <f>IFERROR(__xludf.DUMMYFUNCTION("""COMPUTED_VALUE"""),67.0)</f>
        <v>67</v>
      </c>
      <c r="N2572" t="str">
        <f>IFERROR(__xludf.DUMMYFUNCTION("""COMPUTED_VALUE"""),"Model 3 SR+")</f>
        <v>Model 3 SR+</v>
      </c>
      <c r="O2572" t="str">
        <f>IFERROR(__xludf.DUMMYFUNCTION("""COMPUTED_VALUE"""),"Pearl White Multi-Coat")</f>
        <v>Pearl White Multi-Coat</v>
      </c>
      <c r="P2572" t="str">
        <f>IFERROR(__xludf.DUMMYFUNCTION("""COMPUTED_VALUE"""),"18 inch Aero")</f>
        <v>18 inch Aero</v>
      </c>
      <c r="Q2572" t="str">
        <f>IFERROR(__xludf.DUMMYFUNCTION("""COMPUTED_VALUE"""),"Black seats")</f>
        <v>Black seats</v>
      </c>
      <c r="R2572" t="str">
        <f>IFERROR(__xludf.DUMMYFUNCTION("""COMPUTED_VALUE"""),"Autopilot")</f>
        <v>Autopilot</v>
      </c>
      <c r="X2572" t="str">
        <f>IFERROR(__xludf.DUMMYFUNCTION("""COMPUTED_VALUE"""),"Excellent")</f>
        <v>Excellent</v>
      </c>
      <c r="Y2572" t="str">
        <f>IFERROR(__xludf.DUMMYFUNCTION("""COMPUTED_VALUE"""),"Excellent")</f>
        <v>Excellent</v>
      </c>
      <c r="Z2572" t="str">
        <f>IFERROR(__xludf.DUMMYFUNCTION("""COMPUTED_VALUE"""),"Excellent")</f>
        <v>Excellent</v>
      </c>
      <c r="AA2572" t="str">
        <f>IFERROR(__xludf.DUMMYFUNCTION("""COMPUTED_VALUE"""),"Very Good")</f>
        <v>Very Good</v>
      </c>
      <c r="AB2572" t="str">
        <f>IFERROR(__xludf.DUMMYFUNCTION("""COMPUTED_VALUE"""),"Excellent")</f>
        <v>Excellent</v>
      </c>
      <c r="AC2572">
        <f>IFERROR(__xludf.DUMMYFUNCTION("""COMPUTED_VALUE"""),0.0)</f>
        <v>0</v>
      </c>
      <c r="AD2572">
        <f>IFERROR(__xludf.DUMMYFUNCTION("""COMPUTED_VALUE"""),0.0)</f>
        <v>0</v>
      </c>
      <c r="AE2572">
        <f>IFERROR(__xludf.DUMMYFUNCTION("""COMPUTED_VALUE"""),0.0)</f>
        <v>0</v>
      </c>
      <c r="AH2572" s="189">
        <f>IFERROR(__xludf.DUMMYFUNCTION("""COMPUTED_VALUE"""),44125.46156560185)</f>
        <v>44125.46157</v>
      </c>
    </row>
    <row r="2573">
      <c r="A2573" t="str">
        <f>IFERROR(__xludf.DUMMYFUNCTION("""COMPUTED_VALUE"""),"boogle")</f>
        <v>boogle</v>
      </c>
      <c r="D2573" t="str">
        <f>IFERROR(__xludf.DUMMYFUNCTION("""COMPUTED_VALUE"""),"United Kingdom")</f>
        <v>United Kingdom</v>
      </c>
      <c r="E2573" s="188">
        <f>IFERROR(__xludf.DUMMYFUNCTION("""COMPUTED_VALUE"""),44064.0)</f>
        <v>44064</v>
      </c>
      <c r="F2573" s="188">
        <f>IFERROR(__xludf.DUMMYFUNCTION("""COMPUTED_VALUE"""),44067.0)</f>
        <v>44067</v>
      </c>
      <c r="H2573">
        <f>IFERROR(__xludf.DUMMYFUNCTION("""COMPUTED_VALUE"""),773255.0)</f>
        <v>773255</v>
      </c>
      <c r="J2573" s="5">
        <f>IFERROR(__xludf.DUMMYFUNCTION("""COMPUTED_VALUE"""),44096.0)</f>
        <v>44096</v>
      </c>
      <c r="K2573">
        <f>IFERROR(__xludf.DUMMYFUNCTION("""COMPUTED_VALUE"""),3.0)</f>
        <v>3</v>
      </c>
      <c r="L2573">
        <f>IFERROR(__xludf.DUMMYFUNCTION("""COMPUTED_VALUE"""),29.0)</f>
        <v>29</v>
      </c>
      <c r="M2573">
        <f>IFERROR(__xludf.DUMMYFUNCTION("""COMPUTED_VALUE"""),32.0)</f>
        <v>32</v>
      </c>
      <c r="N2573" t="str">
        <f>IFERROR(__xludf.DUMMYFUNCTION("""COMPUTED_VALUE"""),"Model 3 Performance")</f>
        <v>Model 3 Performance</v>
      </c>
      <c r="O2573" t="str">
        <f>IFERROR(__xludf.DUMMYFUNCTION("""COMPUTED_VALUE"""),"Pearl White Multi-Coat")</f>
        <v>Pearl White Multi-Coat</v>
      </c>
      <c r="P2573" t="str">
        <f>IFERROR(__xludf.DUMMYFUNCTION("""COMPUTED_VALUE"""),"20 inch Sport")</f>
        <v>20 inch Sport</v>
      </c>
      <c r="Q2573" t="str">
        <f>IFERROR(__xludf.DUMMYFUNCTION("""COMPUTED_VALUE"""),"Black seats")</f>
        <v>Black seats</v>
      </c>
      <c r="R2573" t="str">
        <f>IFERROR(__xludf.DUMMYFUNCTION("""COMPUTED_VALUE"""),"Autopilot")</f>
        <v>Autopilot</v>
      </c>
      <c r="X2573" t="str">
        <f>IFERROR(__xludf.DUMMYFUNCTION("""COMPUTED_VALUE"""),"Good")</f>
        <v>Good</v>
      </c>
      <c r="Y2573" t="str">
        <f>IFERROR(__xludf.DUMMYFUNCTION("""COMPUTED_VALUE"""),"Excellent")</f>
        <v>Excellent</v>
      </c>
      <c r="Z2573" t="str">
        <f>IFERROR(__xludf.DUMMYFUNCTION("""COMPUTED_VALUE"""),"Excellent")</f>
        <v>Excellent</v>
      </c>
      <c r="AA2573" t="str">
        <f>IFERROR(__xludf.DUMMYFUNCTION("""COMPUTED_VALUE"""),"Good")</f>
        <v>Good</v>
      </c>
      <c r="AB2573" t="str">
        <f>IFERROR(__xludf.DUMMYFUNCTION("""COMPUTED_VALUE"""),"Very Good")</f>
        <v>Very Good</v>
      </c>
      <c r="AC2573">
        <f>IFERROR(__xludf.DUMMYFUNCTION("""COMPUTED_VALUE"""),4.0)</f>
        <v>4</v>
      </c>
      <c r="AD2573">
        <f>IFERROR(__xludf.DUMMYFUNCTION("""COMPUTED_VALUE"""),1.0)</f>
        <v>1</v>
      </c>
      <c r="AE2573">
        <f>IFERROR(__xludf.DUMMYFUNCTION("""COMPUTED_VALUE"""),0.0)</f>
        <v>0</v>
      </c>
      <c r="AG2573" t="str">
        <f>IFERROR(__xludf.DUMMYFUNCTION("""COMPUTED_VALUE"""),"Found in new inventory, marked as in-transit")</f>
        <v>Found in new inventory, marked as in-transit</v>
      </c>
      <c r="AH2573" s="189">
        <f>IFERROR(__xludf.DUMMYFUNCTION("""COMPUTED_VALUE"""),44125.56281596065)</f>
        <v>44125.56282</v>
      </c>
    </row>
    <row r="2574">
      <c r="A2574" t="str">
        <f>IFERROR(__xludf.DUMMYFUNCTION("""COMPUTED_VALUE"""),"jetnoirz")</f>
        <v>jetnoirz</v>
      </c>
      <c r="B2574" t="str">
        <f>IFERROR(__xludf.DUMMYFUNCTION("""COMPUTED_VALUE"""),"Upland")</f>
        <v>Upland</v>
      </c>
      <c r="C2574" t="str">
        <f>IFERROR(__xludf.DUMMYFUNCTION("""COMPUTED_VALUE"""),"CA")</f>
        <v>CA</v>
      </c>
      <c r="D2574" t="str">
        <f>IFERROR(__xludf.DUMMYFUNCTION("""COMPUTED_VALUE"""),"USA")</f>
        <v>USA</v>
      </c>
      <c r="E2574" s="188">
        <f>IFERROR(__xludf.DUMMYFUNCTION("""COMPUTED_VALUE"""),44114.0)</f>
        <v>44114</v>
      </c>
      <c r="F2574" s="188">
        <f>IFERROR(__xludf.DUMMYFUNCTION("""COMPUTED_VALUE"""),44189.0)</f>
        <v>44189</v>
      </c>
      <c r="G2574" t="str">
        <f>IFERROR(__xludf.DUMMYFUNCTION("""COMPUTED_VALUE"""),"Text message")</f>
        <v>Text message</v>
      </c>
      <c r="H2574">
        <f>IFERROR(__xludf.DUMMYFUNCTION("""COMPUTED_VALUE"""),872555.0)</f>
        <v>872555</v>
      </c>
      <c r="J2574" s="5">
        <f>IFERROR(__xludf.DUMMYFUNCTION("""COMPUTED_VALUE"""),44192.0)</f>
        <v>44192</v>
      </c>
      <c r="K2574">
        <f>IFERROR(__xludf.DUMMYFUNCTION("""COMPUTED_VALUE"""),75.0)</f>
        <v>75</v>
      </c>
      <c r="L2574">
        <f>IFERROR(__xludf.DUMMYFUNCTION("""COMPUTED_VALUE"""),3.0)</f>
        <v>3</v>
      </c>
      <c r="M2574">
        <f>IFERROR(__xludf.DUMMYFUNCTION("""COMPUTED_VALUE"""),78.0)</f>
        <v>78</v>
      </c>
      <c r="N2574" t="str">
        <f>IFERROR(__xludf.DUMMYFUNCTION("""COMPUTED_VALUE"""),"Model 3 SR+")</f>
        <v>Model 3 SR+</v>
      </c>
      <c r="O2574" t="str">
        <f>IFERROR(__xludf.DUMMYFUNCTION("""COMPUTED_VALUE"""),"Red Multi-Coat")</f>
        <v>Red Multi-Coat</v>
      </c>
      <c r="P2574" t="str">
        <f>IFERROR(__xludf.DUMMYFUNCTION("""COMPUTED_VALUE"""),"18 inch")</f>
        <v>18 inch</v>
      </c>
      <c r="Q2574" t="str">
        <f>IFERROR(__xludf.DUMMYFUNCTION("""COMPUTED_VALUE"""),"Black and White")</f>
        <v>Black and White</v>
      </c>
      <c r="R2574" t="str">
        <f>IFERROR(__xludf.DUMMYFUNCTION("""COMPUTED_VALUE"""),"Full Self-Driving")</f>
        <v>Full Self-Driving</v>
      </c>
      <c r="S2574" t="str">
        <f>IFERROR(__xludf.DUMMYFUNCTION("""COMPUTED_VALUE"""),"Loan")</f>
        <v>Loan</v>
      </c>
      <c r="T2574" t="str">
        <f>IFERROR(__xludf.DUMMYFUNCTION("""COMPUTED_VALUE"""),"Subaru WRX")</f>
        <v>Subaru WRX</v>
      </c>
      <c r="U2574" t="str">
        <f>IFERROR(__xludf.DUMMYFUNCTION("""COMPUTED_VALUE"""),"Autopilot")</f>
        <v>Autopilot</v>
      </c>
      <c r="V2574" t="str">
        <f>IFERROR(__xludf.DUMMYFUNCTION("""COMPUTED_VALUE"""),"Apple CarPlay / Android Auto / SiriusXM Radio")</f>
        <v>Apple CarPlay / Android Auto / SiriusXM Radio</v>
      </c>
      <c r="W2574" t="str">
        <f>IFERROR(__xludf.DUMMYFUNCTION("""COMPUTED_VALUE"""),"if you are in california dont order in the beginning of quarter")</f>
        <v>if you are in california dont order in the beginning of quarter</v>
      </c>
      <c r="AF2574" t="str">
        <f>IFERROR(__xludf.DUMMYFUNCTION("""COMPUTED_VALUE"""),"Yes. I refused delivery twice and took delivery of the third car.")</f>
        <v>Yes. I refused delivery twice and took delivery of the third car.</v>
      </c>
      <c r="AH2574" s="189">
        <f>IFERROR(__xludf.DUMMYFUNCTION("""COMPUTED_VALUE"""),44189.5517037963)</f>
        <v>44189.5517</v>
      </c>
    </row>
    <row r="2575">
      <c r="A2575" t="str">
        <f>IFERROR(__xludf.DUMMYFUNCTION("""COMPUTED_VALUE"""),"sks650")</f>
        <v>sks650</v>
      </c>
      <c r="D2575" t="str">
        <f>IFERROR(__xludf.DUMMYFUNCTION("""COMPUTED_VALUE"""),"USA")</f>
        <v>USA</v>
      </c>
      <c r="E2575" s="188">
        <f>IFERROR(__xludf.DUMMYFUNCTION("""COMPUTED_VALUE"""),44127.0)</f>
        <v>44127</v>
      </c>
      <c r="F2575" s="188">
        <f>IFERROR(__xludf.DUMMYFUNCTION("""COMPUTED_VALUE"""),44200.0)</f>
        <v>44200</v>
      </c>
      <c r="G2575" t="str">
        <f>IFERROR(__xludf.DUMMYFUNCTION("""COMPUTED_VALUE"""),"Email")</f>
        <v>Email</v>
      </c>
      <c r="J2575" s="5">
        <f>IFERROR(__xludf.DUMMYFUNCTION("""COMPUTED_VALUE"""),44203.0)</f>
        <v>44203</v>
      </c>
      <c r="K2575">
        <f>IFERROR(__xludf.DUMMYFUNCTION("""COMPUTED_VALUE"""),73.0)</f>
        <v>73</v>
      </c>
      <c r="L2575">
        <f>IFERROR(__xludf.DUMMYFUNCTION("""COMPUTED_VALUE"""),3.0)</f>
        <v>3</v>
      </c>
      <c r="M2575">
        <f>IFERROR(__xludf.DUMMYFUNCTION("""COMPUTED_VALUE"""),76.0)</f>
        <v>76</v>
      </c>
      <c r="N2575" t="str">
        <f>IFERROR(__xludf.DUMMYFUNCTION("""COMPUTED_VALUE"""),"Model 3 SR+")</f>
        <v>Model 3 SR+</v>
      </c>
      <c r="O2575" t="str">
        <f>IFERROR(__xludf.DUMMYFUNCTION("""COMPUTED_VALUE"""),"Solid Black")</f>
        <v>Solid Black</v>
      </c>
      <c r="P2575" t="str">
        <f>IFERROR(__xludf.DUMMYFUNCTION("""COMPUTED_VALUE"""),"18 inch Aero")</f>
        <v>18 inch Aero</v>
      </c>
      <c r="Q2575" t="str">
        <f>IFERROR(__xludf.DUMMYFUNCTION("""COMPUTED_VALUE"""),"Black seats")</f>
        <v>Black seats</v>
      </c>
      <c r="R2575" t="str">
        <f>IFERROR(__xludf.DUMMYFUNCTION("""COMPUTED_VALUE"""),"Full Self-Driving")</f>
        <v>Full Self-Driving</v>
      </c>
      <c r="S2575" t="str">
        <f>IFERROR(__xludf.DUMMYFUNCTION("""COMPUTED_VALUE"""),"Cash")</f>
        <v>Cash</v>
      </c>
      <c r="T2575" t="str">
        <f>IFERROR(__xludf.DUMMYFUNCTION("""COMPUTED_VALUE"""),"BMW 3 Series")</f>
        <v>BMW 3 Series</v>
      </c>
      <c r="V2575" t="str">
        <f>IFERROR(__xludf.DUMMYFUNCTION("""COMPUTED_VALUE"""),"360° Bird's eye view")</f>
        <v>360° Bird's eye view</v>
      </c>
      <c r="X2575" t="str">
        <f>IFERROR(__xludf.DUMMYFUNCTION("""COMPUTED_VALUE"""),"Fair")</f>
        <v>Fair</v>
      </c>
      <c r="Y2575" t="str">
        <f>IFERROR(__xludf.DUMMYFUNCTION("""COMPUTED_VALUE"""),"Fair")</f>
        <v>Fair</v>
      </c>
      <c r="Z2575" t="str">
        <f>IFERROR(__xludf.DUMMYFUNCTION("""COMPUTED_VALUE"""),"Excellent")</f>
        <v>Excellent</v>
      </c>
      <c r="AA2575" t="str">
        <f>IFERROR(__xludf.DUMMYFUNCTION("""COMPUTED_VALUE"""),"Very Good")</f>
        <v>Very Good</v>
      </c>
      <c r="AB2575" t="str">
        <f>IFERROR(__xludf.DUMMYFUNCTION("""COMPUTED_VALUE"""),"Very Good")</f>
        <v>Very Good</v>
      </c>
      <c r="AC2575">
        <f>IFERROR(__xludf.DUMMYFUNCTION("""COMPUTED_VALUE"""),3.0)</f>
        <v>3</v>
      </c>
      <c r="AF2575" t="str">
        <f>IFERROR(__xludf.DUMMYFUNCTION("""COMPUTED_VALUE"""),"Yes. I refused delivery once and took delivery of the second car.")</f>
        <v>Yes. I refused delivery once and took delivery of the second car.</v>
      </c>
      <c r="AH2575" s="189">
        <f>IFERROR(__xludf.DUMMYFUNCTION("""COMPUTED_VALUE"""),44204.303532708334)</f>
        <v>44204.30353</v>
      </c>
    </row>
    <row r="2576">
      <c r="A2576" t="str">
        <f>IFERROR(__xludf.DUMMYFUNCTION("""COMPUTED_VALUE"""),"Peco")</f>
        <v>Peco</v>
      </c>
      <c r="B2576" t="str">
        <f>IFERROR(__xludf.DUMMYFUNCTION("""COMPUTED_VALUE"""),"Windsor")</f>
        <v>Windsor</v>
      </c>
      <c r="C2576" t="str">
        <f>IFERROR(__xludf.DUMMYFUNCTION("""COMPUTED_VALUE"""),"ON")</f>
        <v>ON</v>
      </c>
      <c r="D2576" t="str">
        <f>IFERROR(__xludf.DUMMYFUNCTION("""COMPUTED_VALUE"""),"Canada")</f>
        <v>Canada</v>
      </c>
      <c r="E2576" s="188">
        <f>IFERROR(__xludf.DUMMYFUNCTION("""COMPUTED_VALUE"""),44123.0)</f>
        <v>44123</v>
      </c>
      <c r="F2576" s="188">
        <f>IFERROR(__xludf.DUMMYFUNCTION("""COMPUTED_VALUE"""),44170.0)</f>
        <v>44170</v>
      </c>
      <c r="G2576" t="str">
        <f>IFERROR(__xludf.DUMMYFUNCTION("""COMPUTED_VALUE"""),"Email")</f>
        <v>Email</v>
      </c>
      <c r="H2576">
        <f>IFERROR(__xludf.DUMMYFUNCTION("""COMPUTED_VALUE"""),852455.0)</f>
        <v>852455</v>
      </c>
      <c r="J2576" s="5">
        <f>IFERROR(__xludf.DUMMYFUNCTION("""COMPUTED_VALUE"""),44184.0)</f>
        <v>44184</v>
      </c>
      <c r="K2576">
        <f>IFERROR(__xludf.DUMMYFUNCTION("""COMPUTED_VALUE"""),47.0)</f>
        <v>47</v>
      </c>
      <c r="L2576">
        <f>IFERROR(__xludf.DUMMYFUNCTION("""COMPUTED_VALUE"""),14.0)</f>
        <v>14</v>
      </c>
      <c r="M2576">
        <f>IFERROR(__xludf.DUMMYFUNCTION("""COMPUTED_VALUE"""),61.0)</f>
        <v>61</v>
      </c>
      <c r="N2576" t="str">
        <f>IFERROR(__xludf.DUMMYFUNCTION("""COMPUTED_VALUE"""),"Model 3 SR+")</f>
        <v>Model 3 SR+</v>
      </c>
      <c r="O2576" t="str">
        <f>IFERROR(__xludf.DUMMYFUNCTION("""COMPUTED_VALUE"""),"Pearl White Multi-Coat")</f>
        <v>Pearl White Multi-Coat</v>
      </c>
      <c r="P2576" t="str">
        <f>IFERROR(__xludf.DUMMYFUNCTION("""COMPUTED_VALUE"""),"18 inch")</f>
        <v>18 inch</v>
      </c>
      <c r="Q2576" t="str">
        <f>IFERROR(__xludf.DUMMYFUNCTION("""COMPUTED_VALUE"""),"All Black")</f>
        <v>All Black</v>
      </c>
      <c r="R2576" t="str">
        <f>IFERROR(__xludf.DUMMYFUNCTION("""COMPUTED_VALUE"""),"Autopilot included")</f>
        <v>Autopilot included</v>
      </c>
      <c r="S2576" t="str">
        <f>IFERROR(__xludf.DUMMYFUNCTION("""COMPUTED_VALUE"""),"Loan")</f>
        <v>Loan</v>
      </c>
      <c r="T2576" t="str">
        <f>IFERROR(__xludf.DUMMYFUNCTION("""COMPUTED_VALUE"""),"Chevy Volt")</f>
        <v>Chevy Volt</v>
      </c>
      <c r="U2576" t="str">
        <f>IFERROR(__xludf.DUMMYFUNCTION("""COMPUTED_VALUE"""),"Electric!")</f>
        <v>Electric!</v>
      </c>
      <c r="V2576" t="str">
        <f>IFERROR(__xludf.DUMMYFUNCTION("""COMPUTED_VALUE"""),"Hatchback")</f>
        <v>Hatchback</v>
      </c>
      <c r="X2576" t="str">
        <f>IFERROR(__xludf.DUMMYFUNCTION("""COMPUTED_VALUE"""),"Excellent")</f>
        <v>Excellent</v>
      </c>
      <c r="Y2576" t="str">
        <f>IFERROR(__xludf.DUMMYFUNCTION("""COMPUTED_VALUE"""),"Excellent")</f>
        <v>Excellent</v>
      </c>
      <c r="Z2576" t="str">
        <f>IFERROR(__xludf.DUMMYFUNCTION("""COMPUTED_VALUE"""),"Excellent")</f>
        <v>Excellent</v>
      </c>
      <c r="AA2576" t="str">
        <f>IFERROR(__xludf.DUMMYFUNCTION("""COMPUTED_VALUE"""),"Excellent")</f>
        <v>Excellent</v>
      </c>
      <c r="AB2576" t="str">
        <f>IFERROR(__xludf.DUMMYFUNCTION("""COMPUTED_VALUE"""),"Excellent")</f>
        <v>Excellent</v>
      </c>
      <c r="AF2576" t="str">
        <f>IFERROR(__xludf.DUMMYFUNCTION("""COMPUTED_VALUE"""),"No. I took delivery of the first car Tesla was able to deliver.")</f>
        <v>No. I took delivery of the first car Tesla was able to deliver.</v>
      </c>
      <c r="AG2576" t="str">
        <f>IFERROR(__xludf.DUMMYFUNCTION("""COMPUTED_VALUE"""),"Estimated delivery 15/12 - 21/12")</f>
        <v>Estimated delivery 15/12 - 21/12</v>
      </c>
      <c r="AH2576" s="189">
        <f>IFERROR(__xludf.DUMMYFUNCTION("""COMPUTED_VALUE"""),44185.51566521991)</f>
        <v>44185.51567</v>
      </c>
    </row>
    <row r="2577">
      <c r="A2577" t="str">
        <f>IFERROR(__xludf.DUMMYFUNCTION("""COMPUTED_VALUE"""),"jlozano")</f>
        <v>jlozano</v>
      </c>
      <c r="B2577" t="str">
        <f>IFERROR(__xludf.DUMMYFUNCTION("""COMPUTED_VALUE"""),"Los Angeles")</f>
        <v>Los Angeles</v>
      </c>
      <c r="C2577" t="str">
        <f>IFERROR(__xludf.DUMMYFUNCTION("""COMPUTED_VALUE"""),"CA")</f>
        <v>CA</v>
      </c>
      <c r="D2577" t="str">
        <f>IFERROR(__xludf.DUMMYFUNCTION("""COMPUTED_VALUE"""),"USA")</f>
        <v>USA</v>
      </c>
      <c r="E2577" s="188">
        <f>IFERROR(__xludf.DUMMYFUNCTION("""COMPUTED_VALUE"""),44174.0)</f>
        <v>44174</v>
      </c>
      <c r="F2577" s="188">
        <f>IFERROR(__xludf.DUMMYFUNCTION("""COMPUTED_VALUE"""),44174.0)</f>
        <v>44174</v>
      </c>
      <c r="G2577" t="str">
        <f>IFERROR(__xludf.DUMMYFUNCTION("""COMPUTED_VALUE"""),"Manage order page (normal text)")</f>
        <v>Manage order page (normal text)</v>
      </c>
      <c r="H2577">
        <f>IFERROR(__xludf.DUMMYFUNCTION("""COMPUTED_VALUE"""),859621.0)</f>
        <v>859621</v>
      </c>
      <c r="I2577" t="str">
        <f>IFERROR(__xludf.DUMMYFUNCTION("""COMPUTED_VALUE"""),"12/20")</f>
        <v>12/20</v>
      </c>
      <c r="J2577" s="5">
        <f>IFERROR(__xludf.DUMMYFUNCTION("""COMPUTED_VALUE"""),44176.0)</f>
        <v>44176</v>
      </c>
      <c r="K2577">
        <f>IFERROR(__xludf.DUMMYFUNCTION("""COMPUTED_VALUE"""),0.0)</f>
        <v>0</v>
      </c>
      <c r="L2577">
        <f>IFERROR(__xludf.DUMMYFUNCTION("""COMPUTED_VALUE"""),2.0)</f>
        <v>2</v>
      </c>
      <c r="M2577">
        <f>IFERROR(__xludf.DUMMYFUNCTION("""COMPUTED_VALUE"""),2.0)</f>
        <v>2</v>
      </c>
      <c r="N2577" t="str">
        <f>IFERROR(__xludf.DUMMYFUNCTION("""COMPUTED_VALUE"""),"Model 3 SR+")</f>
        <v>Model 3 SR+</v>
      </c>
      <c r="O2577" t="str">
        <f>IFERROR(__xludf.DUMMYFUNCTION("""COMPUTED_VALUE"""),"Pearl White Multi-Coat")</f>
        <v>Pearl White Multi-Coat</v>
      </c>
      <c r="P2577" t="str">
        <f>IFERROR(__xludf.DUMMYFUNCTION("""COMPUTED_VALUE"""),"18 inch")</f>
        <v>18 inch</v>
      </c>
      <c r="Q2577" t="str">
        <f>IFERROR(__xludf.DUMMYFUNCTION("""COMPUTED_VALUE"""),"All Black")</f>
        <v>All Black</v>
      </c>
      <c r="R2577" t="str">
        <f>IFERROR(__xludf.DUMMYFUNCTION("""COMPUTED_VALUE"""),"Autopilot included")</f>
        <v>Autopilot included</v>
      </c>
      <c r="S2577" t="str">
        <f>IFERROR(__xludf.DUMMYFUNCTION("""COMPUTED_VALUE"""),"Loan")</f>
        <v>Loan</v>
      </c>
      <c r="T2577" t="str">
        <f>IFERROR(__xludf.DUMMYFUNCTION("""COMPUTED_VALUE"""),"Honda Accord")</f>
        <v>Honda Accord</v>
      </c>
      <c r="U2577" t="str">
        <f>IFERROR(__xludf.DUMMYFUNCTION("""COMPUTED_VALUE"""),"Electric!")</f>
        <v>Electric!</v>
      </c>
      <c r="V2577" t="str">
        <f>IFERROR(__xludf.DUMMYFUNCTION("""COMPUTED_VALUE"""),"Blind spot indicators on side mirrors")</f>
        <v>Blind spot indicators on side mirrors</v>
      </c>
      <c r="X2577" t="str">
        <f>IFERROR(__xludf.DUMMYFUNCTION("""COMPUTED_VALUE"""),"Very Good")</f>
        <v>Very Good</v>
      </c>
      <c r="Y2577" t="str">
        <f>IFERROR(__xludf.DUMMYFUNCTION("""COMPUTED_VALUE"""),"Excellent")</f>
        <v>Excellent</v>
      </c>
      <c r="Z2577" t="str">
        <f>IFERROR(__xludf.DUMMYFUNCTION("""COMPUTED_VALUE"""),"Very Good")</f>
        <v>Very Good</v>
      </c>
      <c r="AA2577" t="str">
        <f>IFERROR(__xludf.DUMMYFUNCTION("""COMPUTED_VALUE"""),"Poor")</f>
        <v>Poor</v>
      </c>
      <c r="AB2577" t="str">
        <f>IFERROR(__xludf.DUMMYFUNCTION("""COMPUTED_VALUE"""),"Excellent")</f>
        <v>Excellent</v>
      </c>
      <c r="AF2577" t="str">
        <f>IFERROR(__xludf.DUMMYFUNCTION("""COMPUTED_VALUE"""),"No. I took delivery of the first car Tesla was able to deliver.")</f>
        <v>No. I took delivery of the first car Tesla was able to deliver.</v>
      </c>
      <c r="AH2577" s="189">
        <f>IFERROR(__xludf.DUMMYFUNCTION("""COMPUTED_VALUE"""),44177.61904414352)</f>
        <v>44177.61904</v>
      </c>
    </row>
    <row r="2578">
      <c r="A2578" t="str">
        <f>IFERROR(__xludf.DUMMYFUNCTION("""COMPUTED_VALUE"""),"maddu")</f>
        <v>maddu</v>
      </c>
      <c r="B2578" t="str">
        <f>IFERROR(__xludf.DUMMYFUNCTION("""COMPUTED_VALUE"""),"San Francisco")</f>
        <v>San Francisco</v>
      </c>
      <c r="C2578" t="str">
        <f>IFERROR(__xludf.DUMMYFUNCTION("""COMPUTED_VALUE"""),"CA")</f>
        <v>CA</v>
      </c>
      <c r="D2578" t="str">
        <f>IFERROR(__xludf.DUMMYFUNCTION("""COMPUTED_VALUE"""),"USA")</f>
        <v>USA</v>
      </c>
      <c r="E2578" s="188">
        <f>IFERROR(__xludf.DUMMYFUNCTION("""COMPUTED_VALUE"""),44127.0)</f>
        <v>44127</v>
      </c>
      <c r="F2578" s="188">
        <f>IFERROR(__xludf.DUMMYFUNCTION("""COMPUTED_VALUE"""),44172.0)</f>
        <v>44172</v>
      </c>
      <c r="G2578" t="str">
        <f>IFERROR(__xludf.DUMMYFUNCTION("""COMPUTED_VALUE"""),"Manage order page (normal text)")</f>
        <v>Manage order page (normal text)</v>
      </c>
      <c r="H2578">
        <f>IFERROR(__xludf.DUMMYFUNCTION("""COMPUTED_VALUE"""),856455.0)</f>
        <v>856455</v>
      </c>
      <c r="I2578" t="str">
        <f>IFERROR(__xludf.DUMMYFUNCTION("""COMPUTED_VALUE"""),"12/20")</f>
        <v>12/20</v>
      </c>
      <c r="J2578" s="5">
        <f>IFERROR(__xludf.DUMMYFUNCTION("""COMPUTED_VALUE"""),44175.0)</f>
        <v>44175</v>
      </c>
      <c r="K2578">
        <f>IFERROR(__xludf.DUMMYFUNCTION("""COMPUTED_VALUE"""),45.0)</f>
        <v>45</v>
      </c>
      <c r="L2578">
        <f>IFERROR(__xludf.DUMMYFUNCTION("""COMPUTED_VALUE"""),3.0)</f>
        <v>3</v>
      </c>
      <c r="M2578">
        <f>IFERROR(__xludf.DUMMYFUNCTION("""COMPUTED_VALUE"""),48.0)</f>
        <v>48</v>
      </c>
      <c r="N2578" t="str">
        <f>IFERROR(__xludf.DUMMYFUNCTION("""COMPUTED_VALUE"""),"Model 3 Performance")</f>
        <v>Model 3 Performance</v>
      </c>
      <c r="O2578" t="str">
        <f>IFERROR(__xludf.DUMMYFUNCTION("""COMPUTED_VALUE"""),"Pearl White Multi-Coat")</f>
        <v>Pearl White Multi-Coat</v>
      </c>
      <c r="P2578" t="str">
        <f>IFERROR(__xludf.DUMMYFUNCTION("""COMPUTED_VALUE"""),"20 inch")</f>
        <v>20 inch</v>
      </c>
      <c r="Q2578" t="str">
        <f>IFERROR(__xludf.DUMMYFUNCTION("""COMPUTED_VALUE"""),"Black and White")</f>
        <v>Black and White</v>
      </c>
      <c r="R2578" t="str">
        <f>IFERROR(__xludf.DUMMYFUNCTION("""COMPUTED_VALUE"""),"Autopilot included")</f>
        <v>Autopilot included</v>
      </c>
      <c r="S2578" t="str">
        <f>IFERROR(__xludf.DUMMYFUNCTION("""COMPUTED_VALUE"""),"Loan")</f>
        <v>Loan</v>
      </c>
      <c r="U2578" t="str">
        <f>IFERROR(__xludf.DUMMYFUNCTION("""COMPUTED_VALUE"""),"Electric!")</f>
        <v>Electric!</v>
      </c>
      <c r="V2578" t="str">
        <f>IFERROR(__xludf.DUMMYFUNCTION("""COMPUTED_VALUE"""),"Heated steering wheel")</f>
        <v>Heated steering wheel</v>
      </c>
      <c r="X2578" t="str">
        <f>IFERROR(__xludf.DUMMYFUNCTION("""COMPUTED_VALUE"""),"Excellent")</f>
        <v>Excellent</v>
      </c>
      <c r="Y2578" t="str">
        <f>IFERROR(__xludf.DUMMYFUNCTION("""COMPUTED_VALUE"""),"Excellent")</f>
        <v>Excellent</v>
      </c>
      <c r="Z2578" t="str">
        <f>IFERROR(__xludf.DUMMYFUNCTION("""COMPUTED_VALUE"""),"Excellent")</f>
        <v>Excellent</v>
      </c>
      <c r="AA2578" t="str">
        <f>IFERROR(__xludf.DUMMYFUNCTION("""COMPUTED_VALUE"""),"Fair")</f>
        <v>Fair</v>
      </c>
      <c r="AB2578" t="str">
        <f>IFERROR(__xludf.DUMMYFUNCTION("""COMPUTED_VALUE"""),"Good")</f>
        <v>Good</v>
      </c>
      <c r="AC2578">
        <f>IFERROR(__xludf.DUMMYFUNCTION("""COMPUTED_VALUE"""),0.0)</f>
        <v>0</v>
      </c>
      <c r="AD2578">
        <f>IFERROR(__xludf.DUMMYFUNCTION("""COMPUTED_VALUE"""),0.0)</f>
        <v>0</v>
      </c>
      <c r="AF2578" t="str">
        <f>IFERROR(__xludf.DUMMYFUNCTION("""COMPUTED_VALUE"""),"No. I took delivery of the first car Tesla was able to deliver.")</f>
        <v>No. I took delivery of the first car Tesla was able to deliver.</v>
      </c>
      <c r="AG2578" t="str">
        <f>IFERROR(__xludf.DUMMYFUNCTION("""COMPUTED_VALUE"""),"est: Dec 11 - 17")</f>
        <v>est: Dec 11 - 17</v>
      </c>
      <c r="AH2578" s="189">
        <f>IFERROR(__xludf.DUMMYFUNCTION("""COMPUTED_VALUE"""),44175.68933717592)</f>
        <v>44175.68934</v>
      </c>
    </row>
    <row r="2579">
      <c r="A2579" t="str">
        <f>IFERROR(__xludf.DUMMYFUNCTION("""COMPUTED_VALUE"""),"aremdee")</f>
        <v>aremdee</v>
      </c>
      <c r="B2579" t="str">
        <f>IFERROR(__xludf.DUMMYFUNCTION("""COMPUTED_VALUE"""),"Wilmington")</f>
        <v>Wilmington</v>
      </c>
      <c r="C2579" t="str">
        <f>IFERROR(__xludf.DUMMYFUNCTION("""COMPUTED_VALUE"""),"DE")</f>
        <v>DE</v>
      </c>
      <c r="D2579" t="str">
        <f>IFERROR(__xludf.DUMMYFUNCTION("""COMPUTED_VALUE"""),"USA")</f>
        <v>USA</v>
      </c>
      <c r="E2579" s="188">
        <f>IFERROR(__xludf.DUMMYFUNCTION("""COMPUTED_VALUE"""),44060.0)</f>
        <v>44060</v>
      </c>
      <c r="F2579" s="188">
        <f>IFERROR(__xludf.DUMMYFUNCTION("""COMPUTED_VALUE"""),44085.0)</f>
        <v>44085</v>
      </c>
      <c r="H2579" s="4">
        <f>IFERROR(__xludf.DUMMYFUNCTION("""COMPUTED_VALUE"""),787316.0)</f>
        <v>787316</v>
      </c>
      <c r="I2579" t="str">
        <f>IFERROR(__xludf.DUMMYFUNCTION("""COMPUTED_VALUE"""),"09/20")</f>
        <v>09/20</v>
      </c>
      <c r="J2579" s="5">
        <f>IFERROR(__xludf.DUMMYFUNCTION("""COMPUTED_VALUE"""),44096.0)</f>
        <v>44096</v>
      </c>
      <c r="K2579">
        <f>IFERROR(__xludf.DUMMYFUNCTION("""COMPUTED_VALUE"""),25.0)</f>
        <v>25</v>
      </c>
      <c r="L2579">
        <f>IFERROR(__xludf.DUMMYFUNCTION("""COMPUTED_VALUE"""),11.0)</f>
        <v>11</v>
      </c>
      <c r="M2579">
        <f>IFERROR(__xludf.DUMMYFUNCTION("""COMPUTED_VALUE"""),36.0)</f>
        <v>36</v>
      </c>
      <c r="N2579" t="str">
        <f>IFERROR(__xludf.DUMMYFUNCTION("""COMPUTED_VALUE"""),"Model 3 LR AWD")</f>
        <v>Model 3 LR AWD</v>
      </c>
      <c r="O2579" t="str">
        <f>IFERROR(__xludf.DUMMYFUNCTION("""COMPUTED_VALUE"""),"Pearl White Multi-Coat")</f>
        <v>Pearl White Multi-Coat</v>
      </c>
      <c r="P2579" t="str">
        <f>IFERROR(__xludf.DUMMYFUNCTION("""COMPUTED_VALUE"""),"18 inch Aero")</f>
        <v>18 inch Aero</v>
      </c>
      <c r="Q2579" t="str">
        <f>IFERROR(__xludf.DUMMYFUNCTION("""COMPUTED_VALUE"""),"Black seats")</f>
        <v>Black seats</v>
      </c>
      <c r="R2579" t="str">
        <f>IFERROR(__xludf.DUMMYFUNCTION("""COMPUTED_VALUE"""),"Autopilot")</f>
        <v>Autopilot</v>
      </c>
      <c r="X2579" t="str">
        <f>IFERROR(__xludf.DUMMYFUNCTION("""COMPUTED_VALUE"""),"Excellent")</f>
        <v>Excellent</v>
      </c>
      <c r="Y2579" t="str">
        <f>IFERROR(__xludf.DUMMYFUNCTION("""COMPUTED_VALUE"""),"Excellent")</f>
        <v>Excellent</v>
      </c>
      <c r="Z2579" t="str">
        <f>IFERROR(__xludf.DUMMYFUNCTION("""COMPUTED_VALUE"""),"Very Good")</f>
        <v>Very Good</v>
      </c>
      <c r="AA2579" t="str">
        <f>IFERROR(__xludf.DUMMYFUNCTION("""COMPUTED_VALUE"""),"Good")</f>
        <v>Good</v>
      </c>
      <c r="AB2579" t="str">
        <f>IFERROR(__xludf.DUMMYFUNCTION("""COMPUTED_VALUE"""),"Very Good")</f>
        <v>Very Good</v>
      </c>
      <c r="AC2579">
        <f>IFERROR(__xludf.DUMMYFUNCTION("""COMPUTED_VALUE"""),2.0)</f>
        <v>2</v>
      </c>
      <c r="AE2579">
        <f>IFERROR(__xludf.DUMMYFUNCTION("""COMPUTED_VALUE"""),0.0)</f>
        <v>0</v>
      </c>
      <c r="AG2579" t="str">
        <f>IFERROR(__xludf.DUMMYFUNCTION("""COMPUTED_VALUE"""),"received text 8/25 stating 2-4 weeks")</f>
        <v>received text 8/25 stating 2-4 weeks</v>
      </c>
      <c r="AH2579" s="189">
        <f>IFERROR(__xludf.DUMMYFUNCTION("""COMPUTED_VALUE"""),44136.3556865162)</f>
        <v>44136.35569</v>
      </c>
    </row>
    <row r="2580">
      <c r="A2580" t="str">
        <f>IFERROR(__xludf.DUMMYFUNCTION("""COMPUTED_VALUE"""),"Fixinit27 ")</f>
        <v>Fixinit27 </v>
      </c>
      <c r="B2580" t="str">
        <f>IFERROR(__xludf.DUMMYFUNCTION("""COMPUTED_VALUE"""),"Cleveland")</f>
        <v>Cleveland</v>
      </c>
      <c r="C2580" t="str">
        <f>IFERROR(__xludf.DUMMYFUNCTION("""COMPUTED_VALUE"""),"OH")</f>
        <v>OH</v>
      </c>
      <c r="D2580" t="str">
        <f>IFERROR(__xludf.DUMMYFUNCTION("""COMPUTED_VALUE"""),"USA")</f>
        <v>USA</v>
      </c>
      <c r="E2580" s="188">
        <f>IFERROR(__xludf.DUMMYFUNCTION("""COMPUTED_VALUE"""),44116.0)</f>
        <v>44116</v>
      </c>
      <c r="F2580" s="188">
        <f>IFERROR(__xludf.DUMMYFUNCTION("""COMPUTED_VALUE"""),44178.0)</f>
        <v>44178</v>
      </c>
      <c r="G2580" t="str">
        <f>IFERROR(__xludf.DUMMYFUNCTION("""COMPUTED_VALUE"""),"Manage order page (normal text)")</f>
        <v>Manage order page (normal text)</v>
      </c>
      <c r="H2580">
        <f>IFERROR(__xludf.DUMMYFUNCTION("""COMPUTED_VALUE"""),862664.0)</f>
        <v>862664</v>
      </c>
      <c r="I2580" t="str">
        <f>IFERROR(__xludf.DUMMYFUNCTION("""COMPUTED_VALUE"""),"12/20")</f>
        <v>12/20</v>
      </c>
      <c r="J2580" s="5">
        <f>IFERROR(__xludf.DUMMYFUNCTION("""COMPUTED_VALUE"""),44196.0)</f>
        <v>44196</v>
      </c>
      <c r="K2580">
        <f>IFERROR(__xludf.DUMMYFUNCTION("""COMPUTED_VALUE"""),62.0)</f>
        <v>62</v>
      </c>
      <c r="L2580">
        <f>IFERROR(__xludf.DUMMYFUNCTION("""COMPUTED_VALUE"""),18.0)</f>
        <v>18</v>
      </c>
      <c r="M2580">
        <f>IFERROR(__xludf.DUMMYFUNCTION("""COMPUTED_VALUE"""),80.0)</f>
        <v>80</v>
      </c>
      <c r="N2580" t="str">
        <f>IFERROR(__xludf.DUMMYFUNCTION("""COMPUTED_VALUE"""),"Model 3 Performance")</f>
        <v>Model 3 Performance</v>
      </c>
      <c r="O2580" t="str">
        <f>IFERROR(__xludf.DUMMYFUNCTION("""COMPUTED_VALUE"""),"Midnight Silver Metallic")</f>
        <v>Midnight Silver Metallic</v>
      </c>
      <c r="P2580" t="str">
        <f>IFERROR(__xludf.DUMMYFUNCTION("""COMPUTED_VALUE"""),"20 inch")</f>
        <v>20 inch</v>
      </c>
      <c r="Q2580" t="str">
        <f>IFERROR(__xludf.DUMMYFUNCTION("""COMPUTED_VALUE"""),"All Black")</f>
        <v>All Black</v>
      </c>
      <c r="R2580" t="str">
        <f>IFERROR(__xludf.DUMMYFUNCTION("""COMPUTED_VALUE"""),"Full Self-Driving")</f>
        <v>Full Self-Driving</v>
      </c>
      <c r="S2580" t="str">
        <f>IFERROR(__xludf.DUMMYFUNCTION("""COMPUTED_VALUE"""),"Loan")</f>
        <v>Loan</v>
      </c>
      <c r="T2580" t="str">
        <f>IFERROR(__xludf.DUMMYFUNCTION("""COMPUTED_VALUE"""),"Chevy Volt")</f>
        <v>Chevy Volt</v>
      </c>
      <c r="U2580" t="str">
        <f>IFERROR(__xludf.DUMMYFUNCTION("""COMPUTED_VALUE"""),"Electric!")</f>
        <v>Electric!</v>
      </c>
      <c r="V2580" t="str">
        <f>IFERROR(__xludf.DUMMYFUNCTION("""COMPUTED_VALUE"""),"Apple CarPlay / Android Auto / SiriusXM Radio")</f>
        <v>Apple CarPlay / Android Auto / SiriusXM Radio</v>
      </c>
      <c r="X2580" t="str">
        <f>IFERROR(__xludf.DUMMYFUNCTION("""COMPUTED_VALUE"""),"Very Good")</f>
        <v>Very Good</v>
      </c>
      <c r="Y2580" t="str">
        <f>IFERROR(__xludf.DUMMYFUNCTION("""COMPUTED_VALUE"""),"Excellent")</f>
        <v>Excellent</v>
      </c>
      <c r="Z2580" t="str">
        <f>IFERROR(__xludf.DUMMYFUNCTION("""COMPUTED_VALUE"""),"Excellent")</f>
        <v>Excellent</v>
      </c>
      <c r="AA2580" t="str">
        <f>IFERROR(__xludf.DUMMYFUNCTION("""COMPUTED_VALUE"""),"Good")</f>
        <v>Good</v>
      </c>
      <c r="AB2580" t="str">
        <f>IFERROR(__xludf.DUMMYFUNCTION("""COMPUTED_VALUE"""),"Good")</f>
        <v>Good</v>
      </c>
      <c r="AF2580" t="str">
        <f>IFERROR(__xludf.DUMMYFUNCTION("""COMPUTED_VALUE"""),"No. I took delivery of the first car Tesla was able to deliver.")</f>
        <v>No. I took delivery of the first car Tesla was able to deliver.</v>
      </c>
      <c r="AH2580" s="189">
        <f>IFERROR(__xludf.DUMMYFUNCTION("""COMPUTED_VALUE"""),44198.40584260417)</f>
        <v>44198.40584</v>
      </c>
    </row>
    <row r="2581">
      <c r="A2581" t="str">
        <f>IFERROR(__xludf.DUMMYFUNCTION("""COMPUTED_VALUE"""),"BobyHeaven")</f>
        <v>BobyHeaven</v>
      </c>
      <c r="C2581" t="str">
        <f>IFERROR(__xludf.DUMMYFUNCTION("""COMPUTED_VALUE"""),"QC")</f>
        <v>QC</v>
      </c>
      <c r="D2581" t="str">
        <f>IFERROR(__xludf.DUMMYFUNCTION("""COMPUTED_VALUE"""),"Canada")</f>
        <v>Canada</v>
      </c>
      <c r="E2581" s="188">
        <f>IFERROR(__xludf.DUMMYFUNCTION("""COMPUTED_VALUE"""),44001.0)</f>
        <v>44001</v>
      </c>
      <c r="F2581" s="188">
        <f>IFERROR(__xludf.DUMMYFUNCTION("""COMPUTED_VALUE"""),44006.0)</f>
        <v>44006</v>
      </c>
      <c r="H2581">
        <f>IFERROR(__xludf.DUMMYFUNCTION("""COMPUTED_VALUE"""),734455.0)</f>
        <v>734455</v>
      </c>
      <c r="I2581" t="str">
        <f>IFERROR(__xludf.DUMMYFUNCTION("""COMPUTED_VALUE"""),"06/20")</f>
        <v>06/20</v>
      </c>
      <c r="J2581" s="5">
        <f>IFERROR(__xludf.DUMMYFUNCTION("""COMPUTED_VALUE"""),44008.0)</f>
        <v>44008</v>
      </c>
      <c r="K2581">
        <f>IFERROR(__xludf.DUMMYFUNCTION("""COMPUTED_VALUE"""),5.0)</f>
        <v>5</v>
      </c>
      <c r="L2581">
        <f>IFERROR(__xludf.DUMMYFUNCTION("""COMPUTED_VALUE"""),2.0)</f>
        <v>2</v>
      </c>
      <c r="M2581">
        <f>IFERROR(__xludf.DUMMYFUNCTION("""COMPUTED_VALUE"""),7.0)</f>
        <v>7</v>
      </c>
      <c r="N2581" t="str">
        <f>IFERROR(__xludf.DUMMYFUNCTION("""COMPUTED_VALUE"""),"Model 3 SR+")</f>
        <v>Model 3 SR+</v>
      </c>
      <c r="O2581" t="str">
        <f>IFERROR(__xludf.DUMMYFUNCTION("""COMPUTED_VALUE"""),"Pearl White Multi-Coat")</f>
        <v>Pearl White Multi-Coat</v>
      </c>
      <c r="P2581" t="str">
        <f>IFERROR(__xludf.DUMMYFUNCTION("""COMPUTED_VALUE"""),"18 inch Aero")</f>
        <v>18 inch Aero</v>
      </c>
      <c r="Q2581" t="str">
        <f>IFERROR(__xludf.DUMMYFUNCTION("""COMPUTED_VALUE"""),"Black seats")</f>
        <v>Black seats</v>
      </c>
      <c r="R2581" t="str">
        <f>IFERROR(__xludf.DUMMYFUNCTION("""COMPUTED_VALUE"""),"Autopilot")</f>
        <v>Autopilot</v>
      </c>
      <c r="X2581" t="str">
        <f>IFERROR(__xludf.DUMMYFUNCTION("""COMPUTED_VALUE"""),"Excellent")</f>
        <v>Excellent</v>
      </c>
      <c r="Y2581" t="str">
        <f>IFERROR(__xludf.DUMMYFUNCTION("""COMPUTED_VALUE"""),"Very Good")</f>
        <v>Very Good</v>
      </c>
      <c r="Z2581" t="str">
        <f>IFERROR(__xludf.DUMMYFUNCTION("""COMPUTED_VALUE"""),"Excellent")</f>
        <v>Excellent</v>
      </c>
      <c r="AA2581" t="str">
        <f>IFERROR(__xludf.DUMMYFUNCTION("""COMPUTED_VALUE"""),"Excellent")</f>
        <v>Excellent</v>
      </c>
      <c r="AB2581" t="str">
        <f>IFERROR(__xludf.DUMMYFUNCTION("""COMPUTED_VALUE"""),"Excellent")</f>
        <v>Excellent</v>
      </c>
      <c r="AC2581">
        <f>IFERROR(__xludf.DUMMYFUNCTION("""COMPUTED_VALUE"""),0.0)</f>
        <v>0</v>
      </c>
      <c r="AD2581">
        <f>IFERROR(__xludf.DUMMYFUNCTION("""COMPUTED_VALUE"""),1.0)</f>
        <v>1</v>
      </c>
      <c r="AE2581">
        <f>IFERROR(__xludf.DUMMYFUNCTION("""COMPUTED_VALUE"""),0.0)</f>
        <v>0</v>
      </c>
      <c r="AH2581" s="189">
        <f>IFERROR(__xludf.DUMMYFUNCTION("""COMPUTED_VALUE"""),44139.5972625)</f>
        <v>44139.59726</v>
      </c>
    </row>
    <row r="2582">
      <c r="A2582" t="str">
        <f>IFERROR(__xludf.DUMMYFUNCTION("""COMPUTED_VALUE"""),"Sdfb11")</f>
        <v>Sdfb11</v>
      </c>
      <c r="B2582" t="str">
        <f>IFERROR(__xludf.DUMMYFUNCTION("""COMPUTED_VALUE"""),"Las Vegas")</f>
        <v>Las Vegas</v>
      </c>
      <c r="C2582" t="str">
        <f>IFERROR(__xludf.DUMMYFUNCTION("""COMPUTED_VALUE"""),"NV")</f>
        <v>NV</v>
      </c>
      <c r="D2582" t="str">
        <f>IFERROR(__xludf.DUMMYFUNCTION("""COMPUTED_VALUE"""),"USA")</f>
        <v>USA</v>
      </c>
      <c r="E2582" s="188">
        <f>IFERROR(__xludf.DUMMYFUNCTION("""COMPUTED_VALUE"""),44117.0)</f>
        <v>44117</v>
      </c>
      <c r="F2582" s="188">
        <f>IFERROR(__xludf.DUMMYFUNCTION("""COMPUTED_VALUE"""),44183.0)</f>
        <v>44183</v>
      </c>
      <c r="G2582" t="str">
        <f>IFERROR(__xludf.DUMMYFUNCTION("""COMPUTED_VALUE"""),"Manage order page (normal text)")</f>
        <v>Manage order page (normal text)</v>
      </c>
      <c r="H2582">
        <f>IFERROR(__xludf.DUMMYFUNCTION("""COMPUTED_VALUE"""),866955.0)</f>
        <v>866955</v>
      </c>
      <c r="I2582" t="str">
        <f>IFERROR(__xludf.DUMMYFUNCTION("""COMPUTED_VALUE"""),"12/20")</f>
        <v>12/20</v>
      </c>
      <c r="J2582" s="5">
        <f>IFERROR(__xludf.DUMMYFUNCTION("""COMPUTED_VALUE"""),44191.0)</f>
        <v>44191</v>
      </c>
      <c r="K2582">
        <f>IFERROR(__xludf.DUMMYFUNCTION("""COMPUTED_VALUE"""),66.0)</f>
        <v>66</v>
      </c>
      <c r="L2582">
        <f>IFERROR(__xludf.DUMMYFUNCTION("""COMPUTED_VALUE"""),8.0)</f>
        <v>8</v>
      </c>
      <c r="M2582">
        <f>IFERROR(__xludf.DUMMYFUNCTION("""COMPUTED_VALUE"""),74.0)</f>
        <v>74</v>
      </c>
      <c r="N2582" t="str">
        <f>IFERROR(__xludf.DUMMYFUNCTION("""COMPUTED_VALUE"""),"Model 3 SR+")</f>
        <v>Model 3 SR+</v>
      </c>
      <c r="O2582" t="str">
        <f>IFERROR(__xludf.DUMMYFUNCTION("""COMPUTED_VALUE"""),"Midnight Silver Metallic")</f>
        <v>Midnight Silver Metallic</v>
      </c>
      <c r="P2582" t="str">
        <f>IFERROR(__xludf.DUMMYFUNCTION("""COMPUTED_VALUE"""),"18 inch")</f>
        <v>18 inch</v>
      </c>
      <c r="Q2582" t="str">
        <f>IFERROR(__xludf.DUMMYFUNCTION("""COMPUTED_VALUE"""),"All Black")</f>
        <v>All Black</v>
      </c>
      <c r="R2582" t="str">
        <f>IFERROR(__xludf.DUMMYFUNCTION("""COMPUTED_VALUE"""),"Autopilot included")</f>
        <v>Autopilot included</v>
      </c>
      <c r="S2582" t="str">
        <f>IFERROR(__xludf.DUMMYFUNCTION("""COMPUTED_VALUE"""),"Loan")</f>
        <v>Loan</v>
      </c>
      <c r="T2582" t="str">
        <f>IFERROR(__xludf.DUMMYFUNCTION("""COMPUTED_VALUE"""),"Tacoma")</f>
        <v>Tacoma</v>
      </c>
      <c r="U2582" t="str">
        <f>IFERROR(__xludf.DUMMYFUNCTION("""COMPUTED_VALUE"""),"Electric!")</f>
        <v>Electric!</v>
      </c>
      <c r="V2582" t="str">
        <f>IFERROR(__xludf.DUMMYFUNCTION("""COMPUTED_VALUE"""),"Heated steering wheel")</f>
        <v>Heated steering wheel</v>
      </c>
      <c r="X2582" t="str">
        <f>IFERROR(__xludf.DUMMYFUNCTION("""COMPUTED_VALUE"""),"Excellent")</f>
        <v>Excellent</v>
      </c>
      <c r="Y2582" t="str">
        <f>IFERROR(__xludf.DUMMYFUNCTION("""COMPUTED_VALUE"""),"Excellent")</f>
        <v>Excellent</v>
      </c>
      <c r="Z2582" t="str">
        <f>IFERROR(__xludf.DUMMYFUNCTION("""COMPUTED_VALUE"""),"Excellent")</f>
        <v>Excellent</v>
      </c>
      <c r="AA2582" t="str">
        <f>IFERROR(__xludf.DUMMYFUNCTION("""COMPUTED_VALUE"""),"Very Good")</f>
        <v>Very Good</v>
      </c>
      <c r="AB2582" t="str">
        <f>IFERROR(__xludf.DUMMYFUNCTION("""COMPUTED_VALUE"""),"Very Good")</f>
        <v>Very Good</v>
      </c>
      <c r="AC2582">
        <f>IFERROR(__xludf.DUMMYFUNCTION("""COMPUTED_VALUE"""),1.0)</f>
        <v>1</v>
      </c>
      <c r="AD2582">
        <f>IFERROR(__xludf.DUMMYFUNCTION("""COMPUTED_VALUE"""),1.0)</f>
        <v>1</v>
      </c>
      <c r="AF2582" t="str">
        <f>IFERROR(__xludf.DUMMYFUNCTION("""COMPUTED_VALUE"""),"No. I took delivery of the first car Tesla was able to deliver.")</f>
        <v>No. I took delivery of the first car Tesla was able to deliver.</v>
      </c>
      <c r="AG2582" t="str">
        <f>IFERROR(__xludf.DUMMYFUNCTION("""COMPUTED_VALUE"""),"Delivery window has changed a million times. Current one is Dec13-Dec24")</f>
        <v>Delivery window has changed a million times. Current one is Dec13-Dec24</v>
      </c>
      <c r="AH2582" s="189">
        <f>IFERROR(__xludf.DUMMYFUNCTION("""COMPUTED_VALUE"""),44197.72160145833)</f>
        <v>44197.7216</v>
      </c>
    </row>
    <row r="2583">
      <c r="A2583" t="str">
        <f>IFERROR(__xludf.DUMMYFUNCTION("""COMPUTED_VALUE"""),"codenko")</f>
        <v>codenko</v>
      </c>
      <c r="B2583" t="str">
        <f>IFERROR(__xludf.DUMMYFUNCTION("""COMPUTED_VALUE"""),"Yorba Linda")</f>
        <v>Yorba Linda</v>
      </c>
      <c r="C2583" t="str">
        <f>IFERROR(__xludf.DUMMYFUNCTION("""COMPUTED_VALUE"""),"CA")</f>
        <v>CA</v>
      </c>
      <c r="D2583" t="str">
        <f>IFERROR(__xludf.DUMMYFUNCTION("""COMPUTED_VALUE"""),"USA")</f>
        <v>USA</v>
      </c>
      <c r="E2583" s="188">
        <f>IFERROR(__xludf.DUMMYFUNCTION("""COMPUTED_VALUE"""),44124.0)</f>
        <v>44124</v>
      </c>
      <c r="F2583" s="188">
        <f>IFERROR(__xludf.DUMMYFUNCTION("""COMPUTED_VALUE"""),44183.0)</f>
        <v>44183</v>
      </c>
      <c r="G2583" t="str">
        <f>IFERROR(__xludf.DUMMYFUNCTION("""COMPUTED_VALUE"""),"Email")</f>
        <v>Email</v>
      </c>
      <c r="H2583">
        <f>IFERROR(__xludf.DUMMYFUNCTION("""COMPUTED_VALUE"""),867355.0)</f>
        <v>867355</v>
      </c>
      <c r="J2583" s="5">
        <f>IFERROR(__xludf.DUMMYFUNCTION("""COMPUTED_VALUE"""),44186.0)</f>
        <v>44186</v>
      </c>
      <c r="K2583">
        <f>IFERROR(__xludf.DUMMYFUNCTION("""COMPUTED_VALUE"""),59.0)</f>
        <v>59</v>
      </c>
      <c r="L2583">
        <f>IFERROR(__xludf.DUMMYFUNCTION("""COMPUTED_VALUE"""),3.0)</f>
        <v>3</v>
      </c>
      <c r="M2583">
        <f>IFERROR(__xludf.DUMMYFUNCTION("""COMPUTED_VALUE"""),62.0)</f>
        <v>62</v>
      </c>
      <c r="N2583" t="str">
        <f>IFERROR(__xludf.DUMMYFUNCTION("""COMPUTED_VALUE"""),"Model 3 SR+")</f>
        <v>Model 3 SR+</v>
      </c>
      <c r="O2583" t="str">
        <f>IFERROR(__xludf.DUMMYFUNCTION("""COMPUTED_VALUE"""),"Pearl White Multi-Coat")</f>
        <v>Pearl White Multi-Coat</v>
      </c>
      <c r="P2583" t="str">
        <f>IFERROR(__xludf.DUMMYFUNCTION("""COMPUTED_VALUE"""),"18 inch")</f>
        <v>18 inch</v>
      </c>
      <c r="Q2583" t="str">
        <f>IFERROR(__xludf.DUMMYFUNCTION("""COMPUTED_VALUE"""),"All Black")</f>
        <v>All Black</v>
      </c>
      <c r="R2583" t="str">
        <f>IFERROR(__xludf.DUMMYFUNCTION("""COMPUTED_VALUE"""),"Autopilot included")</f>
        <v>Autopilot included</v>
      </c>
      <c r="S2583" t="str">
        <f>IFERROR(__xludf.DUMMYFUNCTION("""COMPUTED_VALUE"""),"Cash")</f>
        <v>Cash</v>
      </c>
      <c r="T2583" t="str">
        <f>IFERROR(__xludf.DUMMYFUNCTION("""COMPUTED_VALUE"""),"Lexus NX")</f>
        <v>Lexus NX</v>
      </c>
      <c r="U2583" t="str">
        <f>IFERROR(__xludf.DUMMYFUNCTION("""COMPUTED_VALUE"""),"Autopilot")</f>
        <v>Autopilot</v>
      </c>
      <c r="V2583" t="str">
        <f>IFERROR(__xludf.DUMMYFUNCTION("""COMPUTED_VALUE"""),"360° Bird's eye view")</f>
        <v>360° Bird's eye view</v>
      </c>
      <c r="X2583" t="str">
        <f>IFERROR(__xludf.DUMMYFUNCTION("""COMPUTED_VALUE"""),"Very Good")</f>
        <v>Very Good</v>
      </c>
      <c r="Y2583" t="str">
        <f>IFERROR(__xludf.DUMMYFUNCTION("""COMPUTED_VALUE"""),"Very Good")</f>
        <v>Very Good</v>
      </c>
      <c r="Z2583" t="str">
        <f>IFERROR(__xludf.DUMMYFUNCTION("""COMPUTED_VALUE"""),"Very Good")</f>
        <v>Very Good</v>
      </c>
      <c r="AA2583" t="str">
        <f>IFERROR(__xludf.DUMMYFUNCTION("""COMPUTED_VALUE"""),"Poor")</f>
        <v>Poor</v>
      </c>
      <c r="AB2583" t="str">
        <f>IFERROR(__xludf.DUMMYFUNCTION("""COMPUTED_VALUE"""),"Good")</f>
        <v>Good</v>
      </c>
      <c r="AF2583" t="str">
        <f>IFERROR(__xludf.DUMMYFUNCTION("""COMPUTED_VALUE"""),"No. I took delivery of the first car Tesla was able to deliver.")</f>
        <v>No. I took delivery of the first car Tesla was able to deliver.</v>
      </c>
      <c r="AG2583" t="str">
        <f>IFERROR(__xludf.DUMMYFUNCTION("""COMPUTED_VALUE"""),"Estimated Delivery: December 01 - December 15")</f>
        <v>Estimated Delivery: December 01 - December 15</v>
      </c>
      <c r="AH2583" s="189">
        <f>IFERROR(__xludf.DUMMYFUNCTION("""COMPUTED_VALUE"""),44187.428223854164)</f>
        <v>44187.42822</v>
      </c>
    </row>
    <row r="2584">
      <c r="A2584" t="str">
        <f>IFERROR(__xludf.DUMMYFUNCTION("""COMPUTED_VALUE"""),"Slobbywood")</f>
        <v>Slobbywood</v>
      </c>
      <c r="B2584" t="str">
        <f>IFERROR(__xludf.DUMMYFUNCTION("""COMPUTED_VALUE"""),"Yorba Linda")</f>
        <v>Yorba Linda</v>
      </c>
      <c r="C2584" t="str">
        <f>IFERROR(__xludf.DUMMYFUNCTION("""COMPUTED_VALUE"""),"CA")</f>
        <v>CA</v>
      </c>
      <c r="D2584" t="str">
        <f>IFERROR(__xludf.DUMMYFUNCTION("""COMPUTED_VALUE"""),"USA")</f>
        <v>USA</v>
      </c>
      <c r="E2584" s="188">
        <f>IFERROR(__xludf.DUMMYFUNCTION("""COMPUTED_VALUE"""),44138.0)</f>
        <v>44138</v>
      </c>
      <c r="F2584" s="188">
        <f>IFERROR(__xludf.DUMMYFUNCTION("""COMPUTED_VALUE"""),44189.0)</f>
        <v>44189</v>
      </c>
      <c r="G2584" t="str">
        <f>IFERROR(__xludf.DUMMYFUNCTION("""COMPUTED_VALUE"""),"Manage order page (normal text)")</f>
        <v>Manage order page (normal text)</v>
      </c>
      <c r="H2584">
        <f>IFERROR(__xludf.DUMMYFUNCTION("""COMPUTED_VALUE"""),876055.0)</f>
        <v>876055</v>
      </c>
      <c r="J2584" s="5">
        <f>IFERROR(__xludf.DUMMYFUNCTION("""COMPUTED_VALUE"""),44193.0)</f>
        <v>44193</v>
      </c>
      <c r="K2584">
        <f>IFERROR(__xludf.DUMMYFUNCTION("""COMPUTED_VALUE"""),51.0)</f>
        <v>51</v>
      </c>
      <c r="L2584">
        <f>IFERROR(__xludf.DUMMYFUNCTION("""COMPUTED_VALUE"""),4.0)</f>
        <v>4</v>
      </c>
      <c r="M2584">
        <f>IFERROR(__xludf.DUMMYFUNCTION("""COMPUTED_VALUE"""),55.0)</f>
        <v>55</v>
      </c>
      <c r="N2584" t="str">
        <f>IFERROR(__xludf.DUMMYFUNCTION("""COMPUTED_VALUE"""),"Model 3 LR AWD")</f>
        <v>Model 3 LR AWD</v>
      </c>
      <c r="O2584" t="str">
        <f>IFERROR(__xludf.DUMMYFUNCTION("""COMPUTED_VALUE"""),"Pearl White Multi-Coat")</f>
        <v>Pearl White Multi-Coat</v>
      </c>
      <c r="P2584" t="str">
        <f>IFERROR(__xludf.DUMMYFUNCTION("""COMPUTED_VALUE"""),"18 inch")</f>
        <v>18 inch</v>
      </c>
      <c r="Q2584" t="str">
        <f>IFERROR(__xludf.DUMMYFUNCTION("""COMPUTED_VALUE"""),"Black and White")</f>
        <v>Black and White</v>
      </c>
      <c r="R2584" t="str">
        <f>IFERROR(__xludf.DUMMYFUNCTION("""COMPUTED_VALUE"""),"Autopilot included")</f>
        <v>Autopilot included</v>
      </c>
      <c r="S2584" t="str">
        <f>IFERROR(__xludf.DUMMYFUNCTION("""COMPUTED_VALUE"""),"Loan")</f>
        <v>Loan</v>
      </c>
      <c r="T2584" t="str">
        <f>IFERROR(__xludf.DUMMYFUNCTION("""COMPUTED_VALUE"""),"BMW 4 Series")</f>
        <v>BMW 4 Series</v>
      </c>
      <c r="U2584" t="str">
        <f>IFERROR(__xludf.DUMMYFUNCTION("""COMPUTED_VALUE"""),"Electric!")</f>
        <v>Electric!</v>
      </c>
      <c r="V2584" t="str">
        <f>IFERROR(__xludf.DUMMYFUNCTION("""COMPUTED_VALUE"""),"Ventilated seats")</f>
        <v>Ventilated seats</v>
      </c>
      <c r="X2584" t="str">
        <f>IFERROR(__xludf.DUMMYFUNCTION("""COMPUTED_VALUE"""),"Very Good")</f>
        <v>Very Good</v>
      </c>
      <c r="Y2584" t="str">
        <f>IFERROR(__xludf.DUMMYFUNCTION("""COMPUTED_VALUE"""),"Good")</f>
        <v>Good</v>
      </c>
      <c r="Z2584" t="str">
        <f>IFERROR(__xludf.DUMMYFUNCTION("""COMPUTED_VALUE"""),"Excellent")</f>
        <v>Excellent</v>
      </c>
      <c r="AA2584" t="str">
        <f>IFERROR(__xludf.DUMMYFUNCTION("""COMPUTED_VALUE"""),"Excellent")</f>
        <v>Excellent</v>
      </c>
      <c r="AB2584" t="str">
        <f>IFERROR(__xludf.DUMMYFUNCTION("""COMPUTED_VALUE"""),"Excellent")</f>
        <v>Excellent</v>
      </c>
      <c r="AH2584" s="189">
        <f>IFERROR(__xludf.DUMMYFUNCTION("""COMPUTED_VALUE"""),44193.83321722222)</f>
        <v>44193.83322</v>
      </c>
    </row>
    <row r="2585">
      <c r="A2585" t="str">
        <f>IFERROR(__xludf.DUMMYFUNCTION("""COMPUTED_VALUE"""),"JaeAnonymous")</f>
        <v>JaeAnonymous</v>
      </c>
      <c r="B2585" t="str">
        <f>IFERROR(__xludf.DUMMYFUNCTION("""COMPUTED_VALUE"""),"Westerly")</f>
        <v>Westerly</v>
      </c>
      <c r="C2585" t="str">
        <f>IFERROR(__xludf.DUMMYFUNCTION("""COMPUTED_VALUE"""),"RI")</f>
        <v>RI</v>
      </c>
      <c r="D2585" t="str">
        <f>IFERROR(__xludf.DUMMYFUNCTION("""COMPUTED_VALUE"""),"USA")</f>
        <v>USA</v>
      </c>
      <c r="E2585" s="188">
        <f>IFERROR(__xludf.DUMMYFUNCTION("""COMPUTED_VALUE"""),44150.0)</f>
        <v>44150</v>
      </c>
      <c r="F2585" s="188">
        <f>IFERROR(__xludf.DUMMYFUNCTION("""COMPUTED_VALUE"""),44171.0)</f>
        <v>44171</v>
      </c>
      <c r="G2585" t="str">
        <f>IFERROR(__xludf.DUMMYFUNCTION("""COMPUTED_VALUE"""),"Phone call")</f>
        <v>Phone call</v>
      </c>
      <c r="H2585">
        <f>IFERROR(__xludf.DUMMYFUNCTION("""COMPUTED_VALUE"""),856050.0)</f>
        <v>856050</v>
      </c>
      <c r="I2585" t="str">
        <f>IFERROR(__xludf.DUMMYFUNCTION("""COMPUTED_VALUE"""),"12/20")</f>
        <v>12/20</v>
      </c>
      <c r="J2585" s="5">
        <f>IFERROR(__xludf.DUMMYFUNCTION("""COMPUTED_VALUE"""),44183.0)</f>
        <v>44183</v>
      </c>
      <c r="K2585">
        <f>IFERROR(__xludf.DUMMYFUNCTION("""COMPUTED_VALUE"""),21.0)</f>
        <v>21</v>
      </c>
      <c r="L2585">
        <f>IFERROR(__xludf.DUMMYFUNCTION("""COMPUTED_VALUE"""),12.0)</f>
        <v>12</v>
      </c>
      <c r="M2585">
        <f>IFERROR(__xludf.DUMMYFUNCTION("""COMPUTED_VALUE"""),33.0)</f>
        <v>33</v>
      </c>
      <c r="N2585" t="str">
        <f>IFERROR(__xludf.DUMMYFUNCTION("""COMPUTED_VALUE"""),"Model 3 LR AWD")</f>
        <v>Model 3 LR AWD</v>
      </c>
      <c r="O2585" t="str">
        <f>IFERROR(__xludf.DUMMYFUNCTION("""COMPUTED_VALUE"""),"Pearl White Multi-Coat")</f>
        <v>Pearl White Multi-Coat</v>
      </c>
      <c r="P2585" t="str">
        <f>IFERROR(__xludf.DUMMYFUNCTION("""COMPUTED_VALUE"""),"18 inch")</f>
        <v>18 inch</v>
      </c>
      <c r="Q2585" t="str">
        <f>IFERROR(__xludf.DUMMYFUNCTION("""COMPUTED_VALUE"""),"Black and White")</f>
        <v>Black and White</v>
      </c>
      <c r="R2585" t="str">
        <f>IFERROR(__xludf.DUMMYFUNCTION("""COMPUTED_VALUE"""),"Autopilot included")</f>
        <v>Autopilot included</v>
      </c>
      <c r="S2585" t="str">
        <f>IFERROR(__xludf.DUMMYFUNCTION("""COMPUTED_VALUE"""),"Loan")</f>
        <v>Loan</v>
      </c>
      <c r="T2585" t="str">
        <f>IFERROR(__xludf.DUMMYFUNCTION("""COMPUTED_VALUE"""),"Tesla Model 3")</f>
        <v>Tesla Model 3</v>
      </c>
      <c r="U2585" t="str">
        <f>IFERROR(__xludf.DUMMYFUNCTION("""COMPUTED_VALUE"""),"Tesla brand image")</f>
        <v>Tesla brand image</v>
      </c>
      <c r="V2585" t="str">
        <f>IFERROR(__xludf.DUMMYFUNCTION("""COMPUTED_VALUE"""),"Apple CarPlay / Android Auto / SiriusXM Radio")</f>
        <v>Apple CarPlay / Android Auto / SiriusXM Radio</v>
      </c>
      <c r="X2585" t="str">
        <f>IFERROR(__xludf.DUMMYFUNCTION("""COMPUTED_VALUE"""),"Excellent")</f>
        <v>Excellent</v>
      </c>
      <c r="Y2585" t="str">
        <f>IFERROR(__xludf.DUMMYFUNCTION("""COMPUTED_VALUE"""),"Excellent")</f>
        <v>Excellent</v>
      </c>
      <c r="Z2585" t="str">
        <f>IFERROR(__xludf.DUMMYFUNCTION("""COMPUTED_VALUE"""),"Very Good")</f>
        <v>Very Good</v>
      </c>
      <c r="AA2585" t="str">
        <f>IFERROR(__xludf.DUMMYFUNCTION("""COMPUTED_VALUE"""),"Very Good")</f>
        <v>Very Good</v>
      </c>
      <c r="AB2585" t="str">
        <f>IFERROR(__xludf.DUMMYFUNCTION("""COMPUTED_VALUE"""),"Excellent")</f>
        <v>Excellent</v>
      </c>
      <c r="AH2585" s="189">
        <f>IFERROR(__xludf.DUMMYFUNCTION("""COMPUTED_VALUE"""),44196.53718208333)</f>
        <v>44196.53718</v>
      </c>
    </row>
    <row r="2586">
      <c r="A2586" t="str">
        <f>IFERROR(__xludf.DUMMYFUNCTION("""COMPUTED_VALUE"""),"DewMike")</f>
        <v>DewMike</v>
      </c>
      <c r="B2586" t="str">
        <f>IFERROR(__xludf.DUMMYFUNCTION("""COMPUTED_VALUE"""),"Sun Prairie")</f>
        <v>Sun Prairie</v>
      </c>
      <c r="C2586" t="str">
        <f>IFERROR(__xludf.DUMMYFUNCTION("""COMPUTED_VALUE"""),"WI")</f>
        <v>WI</v>
      </c>
      <c r="D2586" t="str">
        <f>IFERROR(__xludf.DUMMYFUNCTION("""COMPUTED_VALUE"""),"USA")</f>
        <v>USA</v>
      </c>
      <c r="E2586" s="188">
        <f>IFERROR(__xludf.DUMMYFUNCTION("""COMPUTED_VALUE"""),44128.0)</f>
        <v>44128</v>
      </c>
      <c r="F2586" s="188">
        <f>IFERROR(__xludf.DUMMYFUNCTION("""COMPUTED_VALUE"""),44181.0)</f>
        <v>44181</v>
      </c>
      <c r="G2586" t="str">
        <f>IFERROR(__xludf.DUMMYFUNCTION("""COMPUTED_VALUE"""),"Manage order page (normal text)")</f>
        <v>Manage order page (normal text)</v>
      </c>
      <c r="H2586">
        <f>IFERROR(__xludf.DUMMYFUNCTION("""COMPUTED_VALUE"""),866708.0)</f>
        <v>866708</v>
      </c>
      <c r="I2586" t="str">
        <f>IFERROR(__xludf.DUMMYFUNCTION("""COMPUTED_VALUE"""),"12/20")</f>
        <v>12/20</v>
      </c>
      <c r="J2586" s="5">
        <f>IFERROR(__xludf.DUMMYFUNCTION("""COMPUTED_VALUE"""),44194.0)</f>
        <v>44194</v>
      </c>
      <c r="K2586">
        <f>IFERROR(__xludf.DUMMYFUNCTION("""COMPUTED_VALUE"""),53.0)</f>
        <v>53</v>
      </c>
      <c r="L2586">
        <f>IFERROR(__xludf.DUMMYFUNCTION("""COMPUTED_VALUE"""),13.0)</f>
        <v>13</v>
      </c>
      <c r="M2586">
        <f>IFERROR(__xludf.DUMMYFUNCTION("""COMPUTED_VALUE"""),66.0)</f>
        <v>66</v>
      </c>
      <c r="N2586" t="str">
        <f>IFERROR(__xludf.DUMMYFUNCTION("""COMPUTED_VALUE"""),"Model 3 Performance")</f>
        <v>Model 3 Performance</v>
      </c>
      <c r="O2586" t="str">
        <f>IFERROR(__xludf.DUMMYFUNCTION("""COMPUTED_VALUE"""),"Red Multi-Coat")</f>
        <v>Red Multi-Coat</v>
      </c>
      <c r="P2586" t="str">
        <f>IFERROR(__xludf.DUMMYFUNCTION("""COMPUTED_VALUE"""),"20 inch")</f>
        <v>20 inch</v>
      </c>
      <c r="Q2586" t="str">
        <f>IFERROR(__xludf.DUMMYFUNCTION("""COMPUTED_VALUE"""),"All Black")</f>
        <v>All Black</v>
      </c>
      <c r="R2586" t="str">
        <f>IFERROR(__xludf.DUMMYFUNCTION("""COMPUTED_VALUE"""),"Full Self-Driving")</f>
        <v>Full Self-Driving</v>
      </c>
      <c r="S2586" t="str">
        <f>IFERROR(__xludf.DUMMYFUNCTION("""COMPUTED_VALUE"""),"Loan")</f>
        <v>Loan</v>
      </c>
      <c r="T2586" t="str">
        <f>IFERROR(__xludf.DUMMYFUNCTION("""COMPUTED_VALUE"""),"Porsche Panamera")</f>
        <v>Porsche Panamera</v>
      </c>
      <c r="X2586" t="str">
        <f>IFERROR(__xludf.DUMMYFUNCTION("""COMPUTED_VALUE"""),"Very Good")</f>
        <v>Very Good</v>
      </c>
      <c r="Y2586" t="str">
        <f>IFERROR(__xludf.DUMMYFUNCTION("""COMPUTED_VALUE"""),"Very Good")</f>
        <v>Very Good</v>
      </c>
      <c r="Z2586" t="str">
        <f>IFERROR(__xludf.DUMMYFUNCTION("""COMPUTED_VALUE"""),"Very Good")</f>
        <v>Very Good</v>
      </c>
      <c r="AA2586" t="str">
        <f>IFERROR(__xludf.DUMMYFUNCTION("""COMPUTED_VALUE"""),"Poor")</f>
        <v>Poor</v>
      </c>
      <c r="AB2586" t="str">
        <f>IFERROR(__xludf.DUMMYFUNCTION("""COMPUTED_VALUE"""),"Very Good")</f>
        <v>Very Good</v>
      </c>
      <c r="AF2586" t="str">
        <f>IFERROR(__xludf.DUMMYFUNCTION("""COMPUTED_VALUE"""),"No. I took delivery of the first car Tesla was able to deliver.")</f>
        <v>No. I took delivery of the first car Tesla was able to deliver.</v>
      </c>
      <c r="AH2586" s="189">
        <f>IFERROR(__xludf.DUMMYFUNCTION("""COMPUTED_VALUE"""),44194.69772917824)</f>
        <v>44194.69773</v>
      </c>
    </row>
    <row r="2587">
      <c r="A2587" t="str">
        <f>IFERROR(__xludf.DUMMYFUNCTION("""COMPUTED_VALUE"""),"asheft")</f>
        <v>asheft</v>
      </c>
      <c r="B2587" t="str">
        <f>IFERROR(__xludf.DUMMYFUNCTION("""COMPUTED_VALUE"""),"Ottawa")</f>
        <v>Ottawa</v>
      </c>
      <c r="C2587" t="str">
        <f>IFERROR(__xludf.DUMMYFUNCTION("""COMPUTED_VALUE"""),"ON")</f>
        <v>ON</v>
      </c>
      <c r="D2587" t="str">
        <f>IFERROR(__xludf.DUMMYFUNCTION("""COMPUTED_VALUE"""),"Canada")</f>
        <v>Canada</v>
      </c>
      <c r="E2587" s="188">
        <f>IFERROR(__xludf.DUMMYFUNCTION("""COMPUTED_VALUE"""),44107.0)</f>
        <v>44107</v>
      </c>
      <c r="F2587" s="188">
        <f>IFERROR(__xludf.DUMMYFUNCTION("""COMPUTED_VALUE"""),44141.0)</f>
        <v>44141</v>
      </c>
      <c r="G2587" t="str">
        <f>IFERROR(__xludf.DUMMYFUNCTION("""COMPUTED_VALUE"""),"Email")</f>
        <v>Email</v>
      </c>
      <c r="H2587">
        <f>IFERROR(__xludf.DUMMYFUNCTION("""COMPUTED_VALUE"""),837055.0)</f>
        <v>837055</v>
      </c>
      <c r="J2587" s="5">
        <f>IFERROR(__xludf.DUMMYFUNCTION("""COMPUTED_VALUE"""),44155.0)</f>
        <v>44155</v>
      </c>
      <c r="K2587">
        <f>IFERROR(__xludf.DUMMYFUNCTION("""COMPUTED_VALUE"""),34.0)</f>
        <v>34</v>
      </c>
      <c r="L2587">
        <f>IFERROR(__xludf.DUMMYFUNCTION("""COMPUTED_VALUE"""),14.0)</f>
        <v>14</v>
      </c>
      <c r="M2587">
        <f>IFERROR(__xludf.DUMMYFUNCTION("""COMPUTED_VALUE"""),48.0)</f>
        <v>48</v>
      </c>
      <c r="N2587" t="str">
        <f>IFERROR(__xludf.DUMMYFUNCTION("""COMPUTED_VALUE"""),"Model 3 SR+")</f>
        <v>Model 3 SR+</v>
      </c>
      <c r="O2587" t="str">
        <f>IFERROR(__xludf.DUMMYFUNCTION("""COMPUTED_VALUE"""),"Deep Blue Metallic")</f>
        <v>Deep Blue Metallic</v>
      </c>
      <c r="P2587" t="str">
        <f>IFERROR(__xludf.DUMMYFUNCTION("""COMPUTED_VALUE"""),"18 inch")</f>
        <v>18 inch</v>
      </c>
      <c r="Q2587" t="str">
        <f>IFERROR(__xludf.DUMMYFUNCTION("""COMPUTED_VALUE"""),"All Black")</f>
        <v>All Black</v>
      </c>
      <c r="R2587" t="str">
        <f>IFERROR(__xludf.DUMMYFUNCTION("""COMPUTED_VALUE"""),"Autopilot included")</f>
        <v>Autopilot included</v>
      </c>
      <c r="S2587" t="str">
        <f>IFERROR(__xludf.DUMMYFUNCTION("""COMPUTED_VALUE"""),"Loan")</f>
        <v>Loan</v>
      </c>
      <c r="T2587" t="str">
        <f>IFERROR(__xludf.DUMMYFUNCTION("""COMPUTED_VALUE"""),"Subaru Outback")</f>
        <v>Subaru Outback</v>
      </c>
      <c r="U2587" t="str">
        <f>IFERROR(__xludf.DUMMYFUNCTION("""COMPUTED_VALUE"""),"Technology")</f>
        <v>Technology</v>
      </c>
      <c r="V2587" t="str">
        <f>IFERROR(__xludf.DUMMYFUNCTION("""COMPUTED_VALUE"""),"Heated steering wheel")</f>
        <v>Heated steering wheel</v>
      </c>
      <c r="X2587" t="str">
        <f>IFERROR(__xludf.DUMMYFUNCTION("""COMPUTED_VALUE"""),"Excellent")</f>
        <v>Excellent</v>
      </c>
      <c r="Y2587" t="str">
        <f>IFERROR(__xludf.DUMMYFUNCTION("""COMPUTED_VALUE"""),"Very Good")</f>
        <v>Very Good</v>
      </c>
      <c r="Z2587" t="str">
        <f>IFERROR(__xludf.DUMMYFUNCTION("""COMPUTED_VALUE"""),"Very Good")</f>
        <v>Very Good</v>
      </c>
      <c r="AA2587" t="str">
        <f>IFERROR(__xludf.DUMMYFUNCTION("""COMPUTED_VALUE"""),"Good")</f>
        <v>Good</v>
      </c>
      <c r="AB2587" t="str">
        <f>IFERROR(__xludf.DUMMYFUNCTION("""COMPUTED_VALUE"""),"Very Good")</f>
        <v>Very Good</v>
      </c>
      <c r="AF2587" t="str">
        <f>IFERROR(__xludf.DUMMYFUNCTION("""COMPUTED_VALUE"""),"No. I took delivery of the first car Tesla was able to deliver.")</f>
        <v>No. I took delivery of the first car Tesla was able to deliver.</v>
      </c>
      <c r="AG2587" t="str">
        <f>IFERROR(__xludf.DUMMYFUNCTION("""COMPUTED_VALUE"""),"I like cheese.")</f>
        <v>I like cheese.</v>
      </c>
      <c r="AH2587" s="189">
        <f>IFERROR(__xludf.DUMMYFUNCTION("""COMPUTED_VALUE"""),44169.49504991898)</f>
        <v>44169.49505</v>
      </c>
    </row>
    <row r="2588">
      <c r="A2588" t="str">
        <f>IFERROR(__xludf.DUMMYFUNCTION("""COMPUTED_VALUE"""),"Venomous_XI")</f>
        <v>Venomous_XI</v>
      </c>
      <c r="B2588" t="str">
        <f>IFERROR(__xludf.DUMMYFUNCTION("""COMPUTED_VALUE"""),"Orlando")</f>
        <v>Orlando</v>
      </c>
      <c r="C2588" t="str">
        <f>IFERROR(__xludf.DUMMYFUNCTION("""COMPUTED_VALUE"""),"FL")</f>
        <v>FL</v>
      </c>
      <c r="D2588" t="str">
        <f>IFERROR(__xludf.DUMMYFUNCTION("""COMPUTED_VALUE"""),"USA")</f>
        <v>USA</v>
      </c>
      <c r="E2588" s="188">
        <f>IFERROR(__xludf.DUMMYFUNCTION("""COMPUTED_VALUE"""),43577.0)</f>
        <v>43577</v>
      </c>
      <c r="F2588" s="188">
        <f>IFERROR(__xludf.DUMMYFUNCTION("""COMPUTED_VALUE"""),43580.0)</f>
        <v>43580</v>
      </c>
      <c r="H2588">
        <f>IFERROR(__xludf.DUMMYFUNCTION("""COMPUTED_VALUE"""),317055.0)</f>
        <v>317055</v>
      </c>
      <c r="J2588" s="5">
        <f>IFERROR(__xludf.DUMMYFUNCTION("""COMPUTED_VALUE"""),43587.0)</f>
        <v>43587</v>
      </c>
      <c r="K2588">
        <f>IFERROR(__xludf.DUMMYFUNCTION("""COMPUTED_VALUE"""),3.0)</f>
        <v>3</v>
      </c>
      <c r="L2588">
        <f>IFERROR(__xludf.DUMMYFUNCTION("""COMPUTED_VALUE"""),7.0)</f>
        <v>7</v>
      </c>
      <c r="M2588">
        <f>IFERROR(__xludf.DUMMYFUNCTION("""COMPUTED_VALUE"""),10.0)</f>
        <v>10</v>
      </c>
      <c r="N2588" t="str">
        <f>IFERROR(__xludf.DUMMYFUNCTION("""COMPUTED_VALUE"""),"Model 3 SR+")</f>
        <v>Model 3 SR+</v>
      </c>
      <c r="O2588" t="str">
        <f>IFERROR(__xludf.DUMMYFUNCTION("""COMPUTED_VALUE"""),"Solid Black")</f>
        <v>Solid Black</v>
      </c>
      <c r="P2588" t="str">
        <f>IFERROR(__xludf.DUMMYFUNCTION("""COMPUTED_VALUE"""),"18 inch Aero")</f>
        <v>18 inch Aero</v>
      </c>
      <c r="Q2588" t="str">
        <f>IFERROR(__xludf.DUMMYFUNCTION("""COMPUTED_VALUE"""),"Black seats")</f>
        <v>Black seats</v>
      </c>
      <c r="R2588" t="str">
        <f>IFERROR(__xludf.DUMMYFUNCTION("""COMPUTED_VALUE"""),"Full Self-Driving")</f>
        <v>Full Self-Driving</v>
      </c>
      <c r="AC2588">
        <f>IFERROR(__xludf.DUMMYFUNCTION("""COMPUTED_VALUE"""),0.0)</f>
        <v>0</v>
      </c>
      <c r="AD2588">
        <f>IFERROR(__xludf.DUMMYFUNCTION("""COMPUTED_VALUE"""),0.0)</f>
        <v>0</v>
      </c>
      <c r="AE2588">
        <f>IFERROR(__xludf.DUMMYFUNCTION("""COMPUTED_VALUE"""),0.0)</f>
        <v>0</v>
      </c>
      <c r="AH2588" s="189">
        <f>IFERROR(__xludf.DUMMYFUNCTION("""COMPUTED_VALUE"""),44154.360661631945)</f>
        <v>44154.36066</v>
      </c>
    </row>
    <row r="2589">
      <c r="A2589" t="str">
        <f>IFERROR(__xludf.DUMMYFUNCTION("""COMPUTED_VALUE"""),"TheRadScientist")</f>
        <v>TheRadScientist</v>
      </c>
      <c r="B2589" t="str">
        <f>IFERROR(__xludf.DUMMYFUNCTION("""COMPUTED_VALUE"""),"Edmonton")</f>
        <v>Edmonton</v>
      </c>
      <c r="C2589" t="str">
        <f>IFERROR(__xludf.DUMMYFUNCTION("""COMPUTED_VALUE"""),"AB")</f>
        <v>AB</v>
      </c>
      <c r="D2589" t="str">
        <f>IFERROR(__xludf.DUMMYFUNCTION("""COMPUTED_VALUE"""),"Canada")</f>
        <v>Canada</v>
      </c>
      <c r="E2589" s="188">
        <f>IFERROR(__xludf.DUMMYFUNCTION("""COMPUTED_VALUE"""),44122.0)</f>
        <v>44122</v>
      </c>
      <c r="F2589" s="188">
        <f>IFERROR(__xludf.DUMMYFUNCTION("""COMPUTED_VALUE"""),44144.0)</f>
        <v>44144</v>
      </c>
      <c r="G2589" t="str">
        <f>IFERROR(__xludf.DUMMYFUNCTION("""COMPUTED_VALUE"""),"Email")</f>
        <v>Email</v>
      </c>
      <c r="H2589">
        <f>IFERROR(__xludf.DUMMYFUNCTION("""COMPUTED_VALUE"""),842755.0)</f>
        <v>842755</v>
      </c>
      <c r="I2589" t="str">
        <f>IFERROR(__xludf.DUMMYFUNCTION("""COMPUTED_VALUE"""),"11/20")</f>
        <v>11/20</v>
      </c>
      <c r="J2589" s="5">
        <f>IFERROR(__xludf.DUMMYFUNCTION("""COMPUTED_VALUE"""),44161.0)</f>
        <v>44161</v>
      </c>
      <c r="K2589">
        <f>IFERROR(__xludf.DUMMYFUNCTION("""COMPUTED_VALUE"""),22.0)</f>
        <v>22</v>
      </c>
      <c r="L2589">
        <f>IFERROR(__xludf.DUMMYFUNCTION("""COMPUTED_VALUE"""),17.0)</f>
        <v>17</v>
      </c>
      <c r="M2589">
        <f>IFERROR(__xludf.DUMMYFUNCTION("""COMPUTED_VALUE"""),39.0)</f>
        <v>39</v>
      </c>
      <c r="N2589" t="str">
        <f>IFERROR(__xludf.DUMMYFUNCTION("""COMPUTED_VALUE"""),"Model 3 SR+")</f>
        <v>Model 3 SR+</v>
      </c>
      <c r="O2589" t="str">
        <f>IFERROR(__xludf.DUMMYFUNCTION("""COMPUTED_VALUE"""),"Red Multi-Coat")</f>
        <v>Red Multi-Coat</v>
      </c>
      <c r="P2589" t="str">
        <f>IFERROR(__xludf.DUMMYFUNCTION("""COMPUTED_VALUE"""),"18 inch")</f>
        <v>18 inch</v>
      </c>
      <c r="Q2589" t="str">
        <f>IFERROR(__xludf.DUMMYFUNCTION("""COMPUTED_VALUE"""),"All Black")</f>
        <v>All Black</v>
      </c>
      <c r="R2589" t="str">
        <f>IFERROR(__xludf.DUMMYFUNCTION("""COMPUTED_VALUE"""),"Autopilot included")</f>
        <v>Autopilot included</v>
      </c>
      <c r="S2589" t="str">
        <f>IFERROR(__xludf.DUMMYFUNCTION("""COMPUTED_VALUE"""),"Loan")</f>
        <v>Loan</v>
      </c>
      <c r="T2589" t="str">
        <f>IFERROR(__xludf.DUMMYFUNCTION("""COMPUTED_VALUE"""),"Scion iM")</f>
        <v>Scion iM</v>
      </c>
      <c r="U2589" t="str">
        <f>IFERROR(__xludf.DUMMYFUNCTION("""COMPUTED_VALUE"""),"Electric!")</f>
        <v>Electric!</v>
      </c>
      <c r="V2589" t="str">
        <f>IFERROR(__xludf.DUMMYFUNCTION("""COMPUTED_VALUE"""),"Heated steering wheel")</f>
        <v>Heated steering wheel</v>
      </c>
      <c r="X2589" t="str">
        <f>IFERROR(__xludf.DUMMYFUNCTION("""COMPUTED_VALUE"""),"Very Good")</f>
        <v>Very Good</v>
      </c>
      <c r="Y2589" t="str">
        <f>IFERROR(__xludf.DUMMYFUNCTION("""COMPUTED_VALUE"""),"Excellent")</f>
        <v>Excellent</v>
      </c>
      <c r="Z2589" t="str">
        <f>IFERROR(__xludf.DUMMYFUNCTION("""COMPUTED_VALUE"""),"Very Good")</f>
        <v>Very Good</v>
      </c>
      <c r="AA2589" t="str">
        <f>IFERROR(__xludf.DUMMYFUNCTION("""COMPUTED_VALUE"""),"Excellent")</f>
        <v>Excellent</v>
      </c>
      <c r="AB2589" t="str">
        <f>IFERROR(__xludf.DUMMYFUNCTION("""COMPUTED_VALUE"""),"Excellent")</f>
        <v>Excellent</v>
      </c>
      <c r="AC2589">
        <f>IFERROR(__xludf.DUMMYFUNCTION("""COMPUTED_VALUE"""),2.0)</f>
        <v>2</v>
      </c>
      <c r="AD2589">
        <f>IFERROR(__xludf.DUMMYFUNCTION("""COMPUTED_VALUE"""),1.0)</f>
        <v>1</v>
      </c>
      <c r="AF2589" t="str">
        <f>IFERROR(__xludf.DUMMYFUNCTION("""COMPUTED_VALUE"""),"No. I took delivery of the first car Tesla was able to deliver.")</f>
        <v>No. I took delivery of the first car Tesla was able to deliver.</v>
      </c>
      <c r="AH2589" s="189">
        <f>IFERROR(__xludf.DUMMYFUNCTION("""COMPUTED_VALUE"""),44184.50003121528)</f>
        <v>44184.50003</v>
      </c>
    </row>
    <row r="2590">
      <c r="A2590" t="str">
        <f>IFERROR(__xludf.DUMMYFUNCTION("""COMPUTED_VALUE"""),"ncozy4")</f>
        <v>ncozy4</v>
      </c>
      <c r="B2590" t="str">
        <f>IFERROR(__xludf.DUMMYFUNCTION("""COMPUTED_VALUE"""),"Englewood")</f>
        <v>Englewood</v>
      </c>
      <c r="C2590" t="str">
        <f>IFERROR(__xludf.DUMMYFUNCTION("""COMPUTED_VALUE"""),"CO")</f>
        <v>CO</v>
      </c>
      <c r="D2590" t="str">
        <f>IFERROR(__xludf.DUMMYFUNCTION("""COMPUTED_VALUE"""),"USA")</f>
        <v>USA</v>
      </c>
      <c r="E2590" s="188">
        <f>IFERROR(__xludf.DUMMYFUNCTION("""COMPUTED_VALUE"""),44149.0)</f>
        <v>44149</v>
      </c>
      <c r="F2590" s="188">
        <f>IFERROR(__xludf.DUMMYFUNCTION("""COMPUTED_VALUE"""),44177.0)</f>
        <v>44177</v>
      </c>
      <c r="G2590" t="str">
        <f>IFERROR(__xludf.DUMMYFUNCTION("""COMPUTED_VALUE"""),"Manage order page (normal text)")</f>
        <v>Manage order page (normal text)</v>
      </c>
      <c r="H2590">
        <f>IFERROR(__xludf.DUMMYFUNCTION("""COMPUTED_VALUE"""),858158.0)</f>
        <v>858158</v>
      </c>
      <c r="J2590" s="5">
        <f>IFERROR(__xludf.DUMMYFUNCTION("""COMPUTED_VALUE"""),44189.0)</f>
        <v>44189</v>
      </c>
      <c r="K2590">
        <f>IFERROR(__xludf.DUMMYFUNCTION("""COMPUTED_VALUE"""),28.0)</f>
        <v>28</v>
      </c>
      <c r="L2590">
        <f>IFERROR(__xludf.DUMMYFUNCTION("""COMPUTED_VALUE"""),12.0)</f>
        <v>12</v>
      </c>
      <c r="M2590">
        <f>IFERROR(__xludf.DUMMYFUNCTION("""COMPUTED_VALUE"""),40.0)</f>
        <v>40</v>
      </c>
      <c r="N2590" t="str">
        <f>IFERROR(__xludf.DUMMYFUNCTION("""COMPUTED_VALUE"""),"Model 3 LR AWD")</f>
        <v>Model 3 LR AWD</v>
      </c>
      <c r="O2590" t="str">
        <f>IFERROR(__xludf.DUMMYFUNCTION("""COMPUTED_VALUE"""),"Deep Blue Metallic")</f>
        <v>Deep Blue Metallic</v>
      </c>
      <c r="P2590" t="str">
        <f>IFERROR(__xludf.DUMMYFUNCTION("""COMPUTED_VALUE"""),"18 inch")</f>
        <v>18 inch</v>
      </c>
      <c r="Q2590" t="str">
        <f>IFERROR(__xludf.DUMMYFUNCTION("""COMPUTED_VALUE"""),"All Black")</f>
        <v>All Black</v>
      </c>
      <c r="R2590" t="str">
        <f>IFERROR(__xludf.DUMMYFUNCTION("""COMPUTED_VALUE"""),"Autopilot included")</f>
        <v>Autopilot included</v>
      </c>
      <c r="S2590" t="str">
        <f>IFERROR(__xludf.DUMMYFUNCTION("""COMPUTED_VALUE"""),"Cash")</f>
        <v>Cash</v>
      </c>
      <c r="T2590" t="str">
        <f>IFERROR(__xludf.DUMMYFUNCTION("""COMPUTED_VALUE"""),"VW Tiguan")</f>
        <v>VW Tiguan</v>
      </c>
      <c r="U2590" t="str">
        <f>IFERROR(__xludf.DUMMYFUNCTION("""COMPUTED_VALUE"""),"Tesla brand image")</f>
        <v>Tesla brand image</v>
      </c>
      <c r="V2590" t="str">
        <f>IFERROR(__xludf.DUMMYFUNCTION("""COMPUTED_VALUE"""),"Ventilated seats")</f>
        <v>Ventilated seats</v>
      </c>
      <c r="X2590" t="str">
        <f>IFERROR(__xludf.DUMMYFUNCTION("""COMPUTED_VALUE"""),"Excellent")</f>
        <v>Excellent</v>
      </c>
      <c r="Y2590" t="str">
        <f>IFERROR(__xludf.DUMMYFUNCTION("""COMPUTED_VALUE"""),"Excellent")</f>
        <v>Excellent</v>
      </c>
      <c r="Z2590" t="str">
        <f>IFERROR(__xludf.DUMMYFUNCTION("""COMPUTED_VALUE"""),"Excellent")</f>
        <v>Excellent</v>
      </c>
      <c r="AA2590" t="str">
        <f>IFERROR(__xludf.DUMMYFUNCTION("""COMPUTED_VALUE"""),"Good")</f>
        <v>Good</v>
      </c>
      <c r="AB2590" t="str">
        <f>IFERROR(__xludf.DUMMYFUNCTION("""COMPUTED_VALUE"""),"Good")</f>
        <v>Good</v>
      </c>
      <c r="AF2590" t="str">
        <f>IFERROR(__xludf.DUMMYFUNCTION("""COMPUTED_VALUE"""),"No. I took delivery of the first car Tesla was able to deliver.")</f>
        <v>No. I took delivery of the first car Tesla was able to deliver.</v>
      </c>
      <c r="AG2590" t="str">
        <f>IFERROR(__xludf.DUMMYFUNCTION("""COMPUTED_VALUE"""),"Rcvd VIN after rcving email about final payment being ready.")</f>
        <v>Rcvd VIN after rcving email about final payment being ready.</v>
      </c>
      <c r="AH2590" s="189">
        <f>IFERROR(__xludf.DUMMYFUNCTION("""COMPUTED_VALUE"""),44190.97809563657)</f>
        <v>44190.9781</v>
      </c>
    </row>
    <row r="2591">
      <c r="A2591" t="str">
        <f>IFERROR(__xludf.DUMMYFUNCTION("""COMPUTED_VALUE"""),"jaminitup")</f>
        <v>jaminitup</v>
      </c>
      <c r="B2591" t="str">
        <f>IFERROR(__xludf.DUMMYFUNCTION("""COMPUTED_VALUE"""),"Leicestershire")</f>
        <v>Leicestershire</v>
      </c>
      <c r="D2591" t="str">
        <f>IFERROR(__xludf.DUMMYFUNCTION("""COMPUTED_VALUE"""),"United Kingdom")</f>
        <v>United Kingdom</v>
      </c>
      <c r="E2591" s="188">
        <f>IFERROR(__xludf.DUMMYFUNCTION("""COMPUTED_VALUE"""),44124.0)</f>
        <v>44124</v>
      </c>
      <c r="F2591" s="188">
        <f>IFERROR(__xludf.DUMMYFUNCTION("""COMPUTED_VALUE"""),44172.0)</f>
        <v>44172</v>
      </c>
      <c r="G2591" t="str">
        <f>IFERROR(__xludf.DUMMYFUNCTION("""COMPUTED_VALUE"""),"Text message")</f>
        <v>Text message</v>
      </c>
      <c r="H2591">
        <f>IFERROR(__xludf.DUMMYFUNCTION("""COMPUTED_VALUE"""),834751.0)</f>
        <v>834751</v>
      </c>
      <c r="J2591" s="5">
        <f>IFERROR(__xludf.DUMMYFUNCTION("""COMPUTED_VALUE"""),44181.0)</f>
        <v>44181</v>
      </c>
      <c r="K2591">
        <f>IFERROR(__xludf.DUMMYFUNCTION("""COMPUTED_VALUE"""),48.0)</f>
        <v>48</v>
      </c>
      <c r="L2591">
        <f>IFERROR(__xludf.DUMMYFUNCTION("""COMPUTED_VALUE"""),9.0)</f>
        <v>9</v>
      </c>
      <c r="M2591">
        <f>IFERROR(__xludf.DUMMYFUNCTION("""COMPUTED_VALUE"""),57.0)</f>
        <v>57</v>
      </c>
      <c r="N2591" t="str">
        <f>IFERROR(__xludf.DUMMYFUNCTION("""COMPUTED_VALUE"""),"Model 3 LR AWD")</f>
        <v>Model 3 LR AWD</v>
      </c>
      <c r="O2591" t="str">
        <f>IFERROR(__xludf.DUMMYFUNCTION("""COMPUTED_VALUE"""),"Midnight Silver Metallic")</f>
        <v>Midnight Silver Metallic</v>
      </c>
      <c r="P2591" t="str">
        <f>IFERROR(__xludf.DUMMYFUNCTION("""COMPUTED_VALUE"""),"18 inch")</f>
        <v>18 inch</v>
      </c>
      <c r="Q2591" t="str">
        <f>IFERROR(__xludf.DUMMYFUNCTION("""COMPUTED_VALUE"""),"All Black")</f>
        <v>All Black</v>
      </c>
      <c r="R2591" t="str">
        <f>IFERROR(__xludf.DUMMYFUNCTION("""COMPUTED_VALUE"""),"Autopilot included")</f>
        <v>Autopilot included</v>
      </c>
      <c r="S2591" t="str">
        <f>IFERROR(__xludf.DUMMYFUNCTION("""COMPUTED_VALUE"""),"Cash")</f>
        <v>Cash</v>
      </c>
      <c r="X2591" t="str">
        <f>IFERROR(__xludf.DUMMYFUNCTION("""COMPUTED_VALUE"""),"Very Good")</f>
        <v>Very Good</v>
      </c>
      <c r="Y2591" t="str">
        <f>IFERROR(__xludf.DUMMYFUNCTION("""COMPUTED_VALUE"""),"Excellent")</f>
        <v>Excellent</v>
      </c>
      <c r="Z2591" t="str">
        <f>IFERROR(__xludf.DUMMYFUNCTION("""COMPUTED_VALUE"""),"Excellent")</f>
        <v>Excellent</v>
      </c>
      <c r="AA2591" t="str">
        <f>IFERROR(__xludf.DUMMYFUNCTION("""COMPUTED_VALUE"""),"Excellent")</f>
        <v>Excellent</v>
      </c>
      <c r="AB2591" t="str">
        <f>IFERROR(__xludf.DUMMYFUNCTION("""COMPUTED_VALUE"""),"Excellent")</f>
        <v>Excellent</v>
      </c>
      <c r="AC2591">
        <f>IFERROR(__xludf.DUMMYFUNCTION("""COMPUTED_VALUE"""),2.0)</f>
        <v>2</v>
      </c>
      <c r="AF2591" t="str">
        <f>IFERROR(__xludf.DUMMYFUNCTION("""COMPUTED_VALUE"""),"No. I took delivery of the first car Tesla was able to deliver.")</f>
        <v>No. I took delivery of the first car Tesla was able to deliver.</v>
      </c>
      <c r="AH2591" s="189">
        <f>IFERROR(__xludf.DUMMYFUNCTION("""COMPUTED_VALUE"""),44181.36796587963)</f>
        <v>44181.36797</v>
      </c>
    </row>
    <row r="2592">
      <c r="A2592" t="str">
        <f>IFERROR(__xludf.DUMMYFUNCTION("""COMPUTED_VALUE"""),"Haerik")</f>
        <v>Haerik</v>
      </c>
      <c r="B2592" t="str">
        <f>IFERROR(__xludf.DUMMYFUNCTION("""COMPUTED_VALUE"""),"Charlotte")</f>
        <v>Charlotte</v>
      </c>
      <c r="C2592" t="str">
        <f>IFERROR(__xludf.DUMMYFUNCTION("""COMPUTED_VALUE"""),"NC")</f>
        <v>NC</v>
      </c>
      <c r="D2592" t="str">
        <f>IFERROR(__xludf.DUMMYFUNCTION("""COMPUTED_VALUE"""),"USA")</f>
        <v>USA</v>
      </c>
      <c r="E2592" s="188">
        <f>IFERROR(__xludf.DUMMYFUNCTION("""COMPUTED_VALUE"""),44154.0)</f>
        <v>44154</v>
      </c>
      <c r="F2592" s="188">
        <f>IFERROR(__xludf.DUMMYFUNCTION("""COMPUTED_VALUE"""),44181.0)</f>
        <v>44181</v>
      </c>
      <c r="G2592" t="str">
        <f>IFERROR(__xludf.DUMMYFUNCTION("""COMPUTED_VALUE"""),"Manage order page (normal text)")</f>
        <v>Manage order page (normal text)</v>
      </c>
      <c r="H2592">
        <f>IFERROR(__xludf.DUMMYFUNCTION("""COMPUTED_VALUE"""),868355.0)</f>
        <v>868355</v>
      </c>
      <c r="I2592" t="str">
        <f>IFERROR(__xludf.DUMMYFUNCTION("""COMPUTED_VALUE"""),"12/20")</f>
        <v>12/20</v>
      </c>
      <c r="J2592" s="5">
        <f>IFERROR(__xludf.DUMMYFUNCTION("""COMPUTED_VALUE"""),44186.0)</f>
        <v>44186</v>
      </c>
      <c r="K2592">
        <f>IFERROR(__xludf.DUMMYFUNCTION("""COMPUTED_VALUE"""),27.0)</f>
        <v>27</v>
      </c>
      <c r="L2592">
        <f>IFERROR(__xludf.DUMMYFUNCTION("""COMPUTED_VALUE"""),5.0)</f>
        <v>5</v>
      </c>
      <c r="M2592">
        <f>IFERROR(__xludf.DUMMYFUNCTION("""COMPUTED_VALUE"""),32.0)</f>
        <v>32</v>
      </c>
      <c r="N2592" t="str">
        <f>IFERROR(__xludf.DUMMYFUNCTION("""COMPUTED_VALUE"""),"Model 3 Performance")</f>
        <v>Model 3 Performance</v>
      </c>
      <c r="O2592" t="str">
        <f>IFERROR(__xludf.DUMMYFUNCTION("""COMPUTED_VALUE"""),"Midnight Silver Metallic")</f>
        <v>Midnight Silver Metallic</v>
      </c>
      <c r="P2592" t="str">
        <f>IFERROR(__xludf.DUMMYFUNCTION("""COMPUTED_VALUE"""),"20 inch")</f>
        <v>20 inch</v>
      </c>
      <c r="Q2592" t="str">
        <f>IFERROR(__xludf.DUMMYFUNCTION("""COMPUTED_VALUE"""),"All Black")</f>
        <v>All Black</v>
      </c>
      <c r="R2592" t="str">
        <f>IFERROR(__xludf.DUMMYFUNCTION("""COMPUTED_VALUE"""),"Full Self-Driving")</f>
        <v>Full Self-Driving</v>
      </c>
      <c r="S2592" t="str">
        <f>IFERROR(__xludf.DUMMYFUNCTION("""COMPUTED_VALUE"""),"Loan")</f>
        <v>Loan</v>
      </c>
      <c r="T2592" t="str">
        <f>IFERROR(__xludf.DUMMYFUNCTION("""COMPUTED_VALUE"""),"Tesla Model 3")</f>
        <v>Tesla Model 3</v>
      </c>
      <c r="U2592" t="str">
        <f>IFERROR(__xludf.DUMMYFUNCTION("""COMPUTED_VALUE"""),"Electric!")</f>
        <v>Electric!</v>
      </c>
      <c r="V2592" t="str">
        <f>IFERROR(__xludf.DUMMYFUNCTION("""COMPUTED_VALUE"""),"Ventilated seats")</f>
        <v>Ventilated seats</v>
      </c>
      <c r="X2592" t="str">
        <f>IFERROR(__xludf.DUMMYFUNCTION("""COMPUTED_VALUE"""),"Very Good")</f>
        <v>Very Good</v>
      </c>
      <c r="Y2592" t="str">
        <f>IFERROR(__xludf.DUMMYFUNCTION("""COMPUTED_VALUE"""),"Excellent")</f>
        <v>Excellent</v>
      </c>
      <c r="Z2592" t="str">
        <f>IFERROR(__xludf.DUMMYFUNCTION("""COMPUTED_VALUE"""),"Excellent")</f>
        <v>Excellent</v>
      </c>
      <c r="AA2592" t="str">
        <f>IFERROR(__xludf.DUMMYFUNCTION("""COMPUTED_VALUE"""),"Good")</f>
        <v>Good</v>
      </c>
      <c r="AB2592" t="str">
        <f>IFERROR(__xludf.DUMMYFUNCTION("""COMPUTED_VALUE"""),"Poor")</f>
        <v>Poor</v>
      </c>
      <c r="AF2592" t="str">
        <f>IFERROR(__xludf.DUMMYFUNCTION("""COMPUTED_VALUE"""),"No. I took delivery of the first car Tesla was able to deliver.")</f>
        <v>No. I took delivery of the first car Tesla was able to deliver.</v>
      </c>
      <c r="AG2592" t="str">
        <f>IFERROR(__xludf.DUMMYFUNCTION("""COMPUTED_VALUE"""),"Has new headlight style")</f>
        <v>Has new headlight style</v>
      </c>
      <c r="AH2592" s="189">
        <f>IFERROR(__xludf.DUMMYFUNCTION("""COMPUTED_VALUE"""),44187.59998738426)</f>
        <v>44187.59999</v>
      </c>
    </row>
    <row r="2593">
      <c r="A2593" t="str">
        <f>IFERROR(__xludf.DUMMYFUNCTION("""COMPUTED_VALUE"""),"Skatebambi")</f>
        <v>Skatebambi</v>
      </c>
      <c r="B2593" t="str">
        <f>IFERROR(__xludf.DUMMYFUNCTION("""COMPUTED_VALUE"""),"Helsingborg")</f>
        <v>Helsingborg</v>
      </c>
      <c r="D2593" t="str">
        <f>IFERROR(__xludf.DUMMYFUNCTION("""COMPUTED_VALUE"""),"Sweden")</f>
        <v>Sweden</v>
      </c>
      <c r="E2593" s="188">
        <f>IFERROR(__xludf.DUMMYFUNCTION("""COMPUTED_VALUE"""),44140.0)</f>
        <v>44140</v>
      </c>
      <c r="F2593" s="188">
        <f>IFERROR(__xludf.DUMMYFUNCTION("""COMPUTED_VALUE"""),44151.0)</f>
        <v>44151</v>
      </c>
      <c r="G2593" t="str">
        <f>IFERROR(__xludf.DUMMYFUNCTION("""COMPUTED_VALUE"""),"Email")</f>
        <v>Email</v>
      </c>
      <c r="H2593">
        <f>IFERROR(__xludf.DUMMYFUNCTION("""COMPUTED_VALUE"""),833655.0)</f>
        <v>833655</v>
      </c>
      <c r="J2593" s="5">
        <f>IFERROR(__xludf.DUMMYFUNCTION("""COMPUTED_VALUE"""),44172.0)</f>
        <v>44172</v>
      </c>
      <c r="K2593">
        <f>IFERROR(__xludf.DUMMYFUNCTION("""COMPUTED_VALUE"""),11.0)</f>
        <v>11</v>
      </c>
      <c r="L2593">
        <f>IFERROR(__xludf.DUMMYFUNCTION("""COMPUTED_VALUE"""),21.0)</f>
        <v>21</v>
      </c>
      <c r="M2593">
        <f>IFERROR(__xludf.DUMMYFUNCTION("""COMPUTED_VALUE"""),32.0)</f>
        <v>32</v>
      </c>
      <c r="N2593" t="str">
        <f>IFERROR(__xludf.DUMMYFUNCTION("""COMPUTED_VALUE"""),"Model 3 LR AWD")</f>
        <v>Model 3 LR AWD</v>
      </c>
      <c r="O2593" t="str">
        <f>IFERROR(__xludf.DUMMYFUNCTION("""COMPUTED_VALUE"""),"Midnight Silver Metallic")</f>
        <v>Midnight Silver Metallic</v>
      </c>
      <c r="P2593" t="str">
        <f>IFERROR(__xludf.DUMMYFUNCTION("""COMPUTED_VALUE"""),"18 inch")</f>
        <v>18 inch</v>
      </c>
      <c r="Q2593" t="str">
        <f>IFERROR(__xludf.DUMMYFUNCTION("""COMPUTED_VALUE"""),"All Black")</f>
        <v>All Black</v>
      </c>
      <c r="R2593" t="str">
        <f>IFERROR(__xludf.DUMMYFUNCTION("""COMPUTED_VALUE"""),"Autopilot included")</f>
        <v>Autopilot included</v>
      </c>
      <c r="S2593" t="str">
        <f>IFERROR(__xludf.DUMMYFUNCTION("""COMPUTED_VALUE"""),"Loan")</f>
        <v>Loan</v>
      </c>
      <c r="T2593" t="str">
        <f>IFERROR(__xludf.DUMMYFUNCTION("""COMPUTED_VALUE"""),"Mini Cooper S 2015")</f>
        <v>Mini Cooper S 2015</v>
      </c>
      <c r="U2593" t="str">
        <f>IFERROR(__xludf.DUMMYFUNCTION("""COMPUTED_VALUE"""),"Electric!")</f>
        <v>Electric!</v>
      </c>
      <c r="V2593" t="str">
        <f>IFERROR(__xludf.DUMMYFUNCTION("""COMPUTED_VALUE"""),"Heated steering wheel")</f>
        <v>Heated steering wheel</v>
      </c>
      <c r="X2593" t="str">
        <f>IFERROR(__xludf.DUMMYFUNCTION("""COMPUTED_VALUE"""),"Excellent")</f>
        <v>Excellent</v>
      </c>
      <c r="Y2593" t="str">
        <f>IFERROR(__xludf.DUMMYFUNCTION("""COMPUTED_VALUE"""),"Excellent")</f>
        <v>Excellent</v>
      </c>
      <c r="Z2593" t="str">
        <f>IFERROR(__xludf.DUMMYFUNCTION("""COMPUTED_VALUE"""),"Excellent")</f>
        <v>Excellent</v>
      </c>
      <c r="AA2593" t="str">
        <f>IFERROR(__xludf.DUMMYFUNCTION("""COMPUTED_VALUE"""),"Very Good")</f>
        <v>Very Good</v>
      </c>
      <c r="AB2593" t="str">
        <f>IFERROR(__xludf.DUMMYFUNCTION("""COMPUTED_VALUE"""),"Very Good")</f>
        <v>Very Good</v>
      </c>
      <c r="AF2593" t="str">
        <f>IFERROR(__xludf.DUMMYFUNCTION("""COMPUTED_VALUE"""),"No. I took delivery of the first car Tesla was able to deliver.")</f>
        <v>No. I took delivery of the first car Tesla was able to deliver.</v>
      </c>
      <c r="AH2593" s="189">
        <f>IFERROR(__xludf.DUMMYFUNCTION("""COMPUTED_VALUE"""),44172.29977046297)</f>
        <v>44172.29977</v>
      </c>
    </row>
    <row r="2594">
      <c r="A2594" t="str">
        <f>IFERROR(__xludf.DUMMYFUNCTION("""COMPUTED_VALUE"""),"ebjordan")</f>
        <v>ebjordan</v>
      </c>
      <c r="B2594" t="str">
        <f>IFERROR(__xludf.DUMMYFUNCTION("""COMPUTED_VALUE"""),"Charlotte")</f>
        <v>Charlotte</v>
      </c>
      <c r="C2594" t="str">
        <f>IFERROR(__xludf.DUMMYFUNCTION("""COMPUTED_VALUE"""),"NC")</f>
        <v>NC</v>
      </c>
      <c r="D2594" t="str">
        <f>IFERROR(__xludf.DUMMYFUNCTION("""COMPUTED_VALUE"""),"USA")</f>
        <v>USA</v>
      </c>
      <c r="E2594" s="188">
        <f>IFERROR(__xludf.DUMMYFUNCTION("""COMPUTED_VALUE"""),44142.0)</f>
        <v>44142</v>
      </c>
      <c r="F2594" s="188">
        <f>IFERROR(__xludf.DUMMYFUNCTION("""COMPUTED_VALUE"""),44171.0)</f>
        <v>44171</v>
      </c>
      <c r="G2594" t="str">
        <f>IFERROR(__xludf.DUMMYFUNCTION("""COMPUTED_VALUE"""),"Manage order page (normal text)")</f>
        <v>Manage order page (normal text)</v>
      </c>
      <c r="J2594" s="5">
        <f>IFERROR(__xludf.DUMMYFUNCTION("""COMPUTED_VALUE"""),44186.0)</f>
        <v>44186</v>
      </c>
      <c r="K2594">
        <f>IFERROR(__xludf.DUMMYFUNCTION("""COMPUTED_VALUE"""),29.0)</f>
        <v>29</v>
      </c>
      <c r="L2594">
        <f>IFERROR(__xludf.DUMMYFUNCTION("""COMPUTED_VALUE"""),15.0)</f>
        <v>15</v>
      </c>
      <c r="M2594">
        <f>IFERROR(__xludf.DUMMYFUNCTION("""COMPUTED_VALUE"""),44.0)</f>
        <v>44</v>
      </c>
      <c r="N2594" t="str">
        <f>IFERROR(__xludf.DUMMYFUNCTION("""COMPUTED_VALUE"""),"Model 3 SR+")</f>
        <v>Model 3 SR+</v>
      </c>
      <c r="O2594" t="str">
        <f>IFERROR(__xludf.DUMMYFUNCTION("""COMPUTED_VALUE"""),"Solid Black")</f>
        <v>Solid Black</v>
      </c>
      <c r="P2594" t="str">
        <f>IFERROR(__xludf.DUMMYFUNCTION("""COMPUTED_VALUE"""),"18 inch")</f>
        <v>18 inch</v>
      </c>
      <c r="Q2594" t="str">
        <f>IFERROR(__xludf.DUMMYFUNCTION("""COMPUTED_VALUE"""),"All Black")</f>
        <v>All Black</v>
      </c>
      <c r="R2594" t="str">
        <f>IFERROR(__xludf.DUMMYFUNCTION("""COMPUTED_VALUE"""),"Autopilot included")</f>
        <v>Autopilot included</v>
      </c>
      <c r="S2594" t="str">
        <f>IFERROR(__xludf.DUMMYFUNCTION("""COMPUTED_VALUE"""),"Loan")</f>
        <v>Loan</v>
      </c>
      <c r="T2594" t="str">
        <f>IFERROR(__xludf.DUMMYFUNCTION("""COMPUTED_VALUE"""),"Audi A4")</f>
        <v>Audi A4</v>
      </c>
      <c r="U2594" t="str">
        <f>IFERROR(__xludf.DUMMYFUNCTION("""COMPUTED_VALUE"""),"Electric!")</f>
        <v>Electric!</v>
      </c>
      <c r="X2594" t="str">
        <f>IFERROR(__xludf.DUMMYFUNCTION("""COMPUTED_VALUE"""),"Excellent")</f>
        <v>Excellent</v>
      </c>
      <c r="Y2594" t="str">
        <f>IFERROR(__xludf.DUMMYFUNCTION("""COMPUTED_VALUE"""),"Excellent")</f>
        <v>Excellent</v>
      </c>
      <c r="Z2594" t="str">
        <f>IFERROR(__xludf.DUMMYFUNCTION("""COMPUTED_VALUE"""),"Very Good")</f>
        <v>Very Good</v>
      </c>
      <c r="AA2594" t="str">
        <f>IFERROR(__xludf.DUMMYFUNCTION("""COMPUTED_VALUE"""),"Good")</f>
        <v>Good</v>
      </c>
      <c r="AB2594" t="str">
        <f>IFERROR(__xludf.DUMMYFUNCTION("""COMPUTED_VALUE"""),"Good")</f>
        <v>Good</v>
      </c>
      <c r="AC2594">
        <f>IFERROR(__xludf.DUMMYFUNCTION("""COMPUTED_VALUE"""),2.0)</f>
        <v>2</v>
      </c>
      <c r="AF2594" t="str">
        <f>IFERROR(__xludf.DUMMYFUNCTION("""COMPUTED_VALUE"""),"No. I took delivery of the first car Tesla was able to deliver.")</f>
        <v>No. I took delivery of the first car Tesla was able to deliver.</v>
      </c>
      <c r="AH2594" s="189">
        <f>IFERROR(__xludf.DUMMYFUNCTION("""COMPUTED_VALUE"""),44186.47510668982)</f>
        <v>44186.47511</v>
      </c>
    </row>
    <row r="2595">
      <c r="A2595" t="str">
        <f>IFERROR(__xludf.DUMMYFUNCTION("""COMPUTED_VALUE"""),"lroxa001")</f>
        <v>lroxa001</v>
      </c>
      <c r="B2595" t="str">
        <f>IFERROR(__xludf.DUMMYFUNCTION("""COMPUTED_VALUE"""),"Jacksonville")</f>
        <v>Jacksonville</v>
      </c>
      <c r="C2595" t="str">
        <f>IFERROR(__xludf.DUMMYFUNCTION("""COMPUTED_VALUE"""),"FL")</f>
        <v>FL</v>
      </c>
      <c r="D2595" t="str">
        <f>IFERROR(__xludf.DUMMYFUNCTION("""COMPUTED_VALUE"""),"USA")</f>
        <v>USA</v>
      </c>
      <c r="E2595" s="188">
        <f>IFERROR(__xludf.DUMMYFUNCTION("""COMPUTED_VALUE"""),44127.0)</f>
        <v>44127</v>
      </c>
      <c r="F2595" s="188">
        <f>IFERROR(__xludf.DUMMYFUNCTION("""COMPUTED_VALUE"""),44159.0)</f>
        <v>44159</v>
      </c>
      <c r="H2595">
        <f>IFERROR(__xludf.DUMMYFUNCTION("""COMPUTED_VALUE"""),836955.0)</f>
        <v>836955</v>
      </c>
      <c r="J2595" s="5">
        <f>IFERROR(__xludf.DUMMYFUNCTION("""COMPUTED_VALUE"""),44180.0)</f>
        <v>44180</v>
      </c>
      <c r="K2595">
        <f>IFERROR(__xludf.DUMMYFUNCTION("""COMPUTED_VALUE"""),32.0)</f>
        <v>32</v>
      </c>
      <c r="L2595">
        <f>IFERROR(__xludf.DUMMYFUNCTION("""COMPUTED_VALUE"""),21.0)</f>
        <v>21</v>
      </c>
      <c r="M2595">
        <f>IFERROR(__xludf.DUMMYFUNCTION("""COMPUTED_VALUE"""),53.0)</f>
        <v>53</v>
      </c>
      <c r="N2595" t="str">
        <f>IFERROR(__xludf.DUMMYFUNCTION("""COMPUTED_VALUE"""),"Model 3 LR AWD")</f>
        <v>Model 3 LR AWD</v>
      </c>
      <c r="O2595" t="str">
        <f>IFERROR(__xludf.DUMMYFUNCTION("""COMPUTED_VALUE"""),"Solid Black")</f>
        <v>Solid Black</v>
      </c>
      <c r="P2595" t="str">
        <f>IFERROR(__xludf.DUMMYFUNCTION("""COMPUTED_VALUE"""),"18 inch")</f>
        <v>18 inch</v>
      </c>
      <c r="Q2595" t="str">
        <f>IFERROR(__xludf.DUMMYFUNCTION("""COMPUTED_VALUE"""),"Black and White")</f>
        <v>Black and White</v>
      </c>
      <c r="R2595" t="str">
        <f>IFERROR(__xludf.DUMMYFUNCTION("""COMPUTED_VALUE"""),"Autopilot included")</f>
        <v>Autopilot included</v>
      </c>
      <c r="S2595" t="str">
        <f>IFERROR(__xludf.DUMMYFUNCTION("""COMPUTED_VALUE"""),"Loan")</f>
        <v>Loan</v>
      </c>
      <c r="T2595" t="str">
        <f>IFERROR(__xludf.DUMMYFUNCTION("""COMPUTED_VALUE"""),"Nissan Murano")</f>
        <v>Nissan Murano</v>
      </c>
      <c r="U2595" t="str">
        <f>IFERROR(__xludf.DUMMYFUNCTION("""COMPUTED_VALUE"""),"Electric!")</f>
        <v>Electric!</v>
      </c>
      <c r="V2595" t="str">
        <f>IFERROR(__xludf.DUMMYFUNCTION("""COMPUTED_VALUE"""),"Apple CarPlay / Android Auto / SiriusXM Radio")</f>
        <v>Apple CarPlay / Android Auto / SiriusXM Radio</v>
      </c>
      <c r="X2595" t="str">
        <f>IFERROR(__xludf.DUMMYFUNCTION("""COMPUTED_VALUE"""),"Very Good")</f>
        <v>Very Good</v>
      </c>
      <c r="Y2595" t="str">
        <f>IFERROR(__xludf.DUMMYFUNCTION("""COMPUTED_VALUE"""),"Very Good")</f>
        <v>Very Good</v>
      </c>
      <c r="Z2595" t="str">
        <f>IFERROR(__xludf.DUMMYFUNCTION("""COMPUTED_VALUE"""),"Very Good")</f>
        <v>Very Good</v>
      </c>
      <c r="AA2595" t="str">
        <f>IFERROR(__xludf.DUMMYFUNCTION("""COMPUTED_VALUE"""),"Fair")</f>
        <v>Fair</v>
      </c>
      <c r="AB2595" t="str">
        <f>IFERROR(__xludf.DUMMYFUNCTION("""COMPUTED_VALUE"""),"Excellent")</f>
        <v>Excellent</v>
      </c>
      <c r="AF2595" t="str">
        <f>IFERROR(__xludf.DUMMYFUNCTION("""COMPUTED_VALUE"""),"No. I took delivery of the first car Tesla was able to deliver.")</f>
        <v>No. I took delivery of the first car Tesla was able to deliver.</v>
      </c>
      <c r="AH2595" s="189">
        <f>IFERROR(__xludf.DUMMYFUNCTION("""COMPUTED_VALUE"""),44180.96872414352)</f>
        <v>44180.96872</v>
      </c>
    </row>
    <row r="2596">
      <c r="A2596" t="str">
        <f>IFERROR(__xludf.DUMMYFUNCTION("""COMPUTED_VALUE"""),"AD&amp;AJ")</f>
        <v>AD&amp;AJ</v>
      </c>
      <c r="B2596" t="str">
        <f>IFERROR(__xludf.DUMMYFUNCTION("""COMPUTED_VALUE"""),"Melbourne, Australia")</f>
        <v>Melbourne, Australia</v>
      </c>
      <c r="D2596" t="str">
        <f>IFERROR(__xludf.DUMMYFUNCTION("""COMPUTED_VALUE"""),"Other (include country together with city)")</f>
        <v>Other (include country together with city)</v>
      </c>
      <c r="E2596" s="188">
        <f>IFERROR(__xludf.DUMMYFUNCTION("""COMPUTED_VALUE"""),44157.0)</f>
        <v>44157</v>
      </c>
      <c r="F2596" s="188">
        <f>IFERROR(__xludf.DUMMYFUNCTION("""COMPUTED_VALUE"""),44252.0)</f>
        <v>44252</v>
      </c>
      <c r="G2596" t="str">
        <f>IFERROR(__xludf.DUMMYFUNCTION("""COMPUTED_VALUE"""),"Email")</f>
        <v>Email</v>
      </c>
      <c r="H2596">
        <f>IFERROR(__xludf.DUMMYFUNCTION("""COMPUTED_VALUE"""),167055.0)</f>
        <v>167055</v>
      </c>
      <c r="I2596" t="str">
        <f>IFERROR(__xludf.DUMMYFUNCTION("""COMPUTED_VALUE"""),"01/21")</f>
        <v>01/21</v>
      </c>
      <c r="J2596" s="188">
        <f>IFERROR(__xludf.DUMMYFUNCTION("""COMPUTED_VALUE"""),44260.0)</f>
        <v>44260</v>
      </c>
      <c r="K2596">
        <f>IFERROR(__xludf.DUMMYFUNCTION("""COMPUTED_VALUE"""),95.0)</f>
        <v>95</v>
      </c>
      <c r="L2596">
        <f>IFERROR(__xludf.DUMMYFUNCTION("""COMPUTED_VALUE"""),8.0)</f>
        <v>8</v>
      </c>
      <c r="M2596">
        <f>IFERROR(__xludf.DUMMYFUNCTION("""COMPUTED_VALUE"""),103.0)</f>
        <v>103</v>
      </c>
      <c r="N2596" t="str">
        <f>IFERROR(__xludf.DUMMYFUNCTION("""COMPUTED_VALUE"""),"Model 3 SR+")</f>
        <v>Model 3 SR+</v>
      </c>
      <c r="O2596" t="str">
        <f>IFERROR(__xludf.DUMMYFUNCTION("""COMPUTED_VALUE"""),"Red Multi-Coat")</f>
        <v>Red Multi-Coat</v>
      </c>
      <c r="P2596" t="str">
        <f>IFERROR(__xludf.DUMMYFUNCTION("""COMPUTED_VALUE"""),"18 inch")</f>
        <v>18 inch</v>
      </c>
      <c r="Q2596" t="str">
        <f>IFERROR(__xludf.DUMMYFUNCTION("""COMPUTED_VALUE"""),"All Black")</f>
        <v>All Black</v>
      </c>
      <c r="R2596" t="str">
        <f>IFERROR(__xludf.DUMMYFUNCTION("""COMPUTED_VALUE"""),"Full Self-Driving")</f>
        <v>Full Self-Driving</v>
      </c>
      <c r="T2596" t="str">
        <f>IFERROR(__xludf.DUMMYFUNCTION("""COMPUTED_VALUE"""),"Mercedes A Class")</f>
        <v>Mercedes A Class</v>
      </c>
      <c r="U2596" t="str">
        <f>IFERROR(__xludf.DUMMYFUNCTION("""COMPUTED_VALUE"""),"Electric!")</f>
        <v>Electric!</v>
      </c>
      <c r="V2596" t="str">
        <f>IFERROR(__xludf.DUMMYFUNCTION("""COMPUTED_VALUE"""),"360° Bird's eye view")</f>
        <v>360° Bird's eye view</v>
      </c>
      <c r="X2596" t="str">
        <f>IFERROR(__xludf.DUMMYFUNCTION("""COMPUTED_VALUE"""),"Very Good")</f>
        <v>Very Good</v>
      </c>
      <c r="Y2596" t="str">
        <f>IFERROR(__xludf.DUMMYFUNCTION("""COMPUTED_VALUE"""),"Excellent")</f>
        <v>Excellent</v>
      </c>
      <c r="Z2596" t="str">
        <f>IFERROR(__xludf.DUMMYFUNCTION("""COMPUTED_VALUE"""),"Excellent")</f>
        <v>Excellent</v>
      </c>
      <c r="AA2596" t="str">
        <f>IFERROR(__xludf.DUMMYFUNCTION("""COMPUTED_VALUE"""),"Poor")</f>
        <v>Poor</v>
      </c>
      <c r="AB2596" t="str">
        <f>IFERROR(__xludf.DUMMYFUNCTION("""COMPUTED_VALUE"""),"Good")</f>
        <v>Good</v>
      </c>
      <c r="AF2596" t="str">
        <f>IFERROR(__xludf.DUMMYFUNCTION("""COMPUTED_VALUE"""),"No. I took delivery of the first car Tesla was able to deliver.")</f>
        <v>No. I took delivery of the first car Tesla was able to deliver.</v>
      </c>
      <c r="AG2596" t="str">
        <f>IFERROR(__xludf.DUMMYFUNCTION("""COMPUTED_VALUE"""),"At purchase told delivery would be Dec/Jan, a week after purchase told delivery would be Jan/Feb, in Feb told delivery wold be Feb/March")</f>
        <v>At purchase told delivery would be Dec/Jan, a week after purchase told delivery would be Jan/Feb, in Feb told delivery wold be Feb/March</v>
      </c>
      <c r="AH2596" s="189">
        <f>IFERROR(__xludf.DUMMYFUNCTION("""COMPUTED_VALUE"""),44262.69270155093)</f>
        <v>44262.6927</v>
      </c>
    </row>
    <row r="2597">
      <c r="A2597" t="str">
        <f>IFERROR(__xludf.DUMMYFUNCTION("""COMPUTED_VALUE"""),"freeAgent")</f>
        <v>freeAgent</v>
      </c>
      <c r="B2597" t="str">
        <f>IFERROR(__xludf.DUMMYFUNCTION("""COMPUTED_VALUE"""),"Torrance")</f>
        <v>Torrance</v>
      </c>
      <c r="C2597" t="str">
        <f>IFERROR(__xludf.DUMMYFUNCTION("""COMPUTED_VALUE"""),"CA")</f>
        <v>CA</v>
      </c>
      <c r="D2597" t="str">
        <f>IFERROR(__xludf.DUMMYFUNCTION("""COMPUTED_VALUE"""),"USA")</f>
        <v>USA</v>
      </c>
      <c r="E2597" s="188">
        <f>IFERROR(__xludf.DUMMYFUNCTION("""COMPUTED_VALUE"""),44125.0)</f>
        <v>44125</v>
      </c>
      <c r="F2597" s="188">
        <f>IFERROR(__xludf.DUMMYFUNCTION("""COMPUTED_VALUE"""),44188.0)</f>
        <v>44188</v>
      </c>
      <c r="G2597" t="str">
        <f>IFERROR(__xludf.DUMMYFUNCTION("""COMPUTED_VALUE"""),"Manage order page (normal text)")</f>
        <v>Manage order page (normal text)</v>
      </c>
      <c r="H2597">
        <f>IFERROR(__xludf.DUMMYFUNCTION("""COMPUTED_VALUE"""),876855.0)</f>
        <v>876855</v>
      </c>
      <c r="I2597" t="str">
        <f>IFERROR(__xludf.DUMMYFUNCTION("""COMPUTED_VALUE"""),"12/20")</f>
        <v>12/20</v>
      </c>
      <c r="J2597" s="5">
        <f>IFERROR(__xludf.DUMMYFUNCTION("""COMPUTED_VALUE"""),44191.0)</f>
        <v>44191</v>
      </c>
      <c r="K2597">
        <f>IFERROR(__xludf.DUMMYFUNCTION("""COMPUTED_VALUE"""),63.0)</f>
        <v>63</v>
      </c>
      <c r="L2597">
        <f>IFERROR(__xludf.DUMMYFUNCTION("""COMPUTED_VALUE"""),3.0)</f>
        <v>3</v>
      </c>
      <c r="M2597">
        <f>IFERROR(__xludf.DUMMYFUNCTION("""COMPUTED_VALUE"""),66.0)</f>
        <v>66</v>
      </c>
      <c r="N2597" t="str">
        <f>IFERROR(__xludf.DUMMYFUNCTION("""COMPUTED_VALUE"""),"Model 3 LR AWD")</f>
        <v>Model 3 LR AWD</v>
      </c>
      <c r="O2597" t="str">
        <f>IFERROR(__xludf.DUMMYFUNCTION("""COMPUTED_VALUE"""),"Deep Blue Metallic")</f>
        <v>Deep Blue Metallic</v>
      </c>
      <c r="P2597" t="str">
        <f>IFERROR(__xludf.DUMMYFUNCTION("""COMPUTED_VALUE"""),"18 inch")</f>
        <v>18 inch</v>
      </c>
      <c r="Q2597" t="str">
        <f>IFERROR(__xludf.DUMMYFUNCTION("""COMPUTED_VALUE"""),"All Black")</f>
        <v>All Black</v>
      </c>
      <c r="R2597" t="str">
        <f>IFERROR(__xludf.DUMMYFUNCTION("""COMPUTED_VALUE"""),"Autopilot included")</f>
        <v>Autopilot included</v>
      </c>
      <c r="S2597" t="str">
        <f>IFERROR(__xludf.DUMMYFUNCTION("""COMPUTED_VALUE"""),"Cash")</f>
        <v>Cash</v>
      </c>
      <c r="U2597" t="str">
        <f>IFERROR(__xludf.DUMMYFUNCTION("""COMPUTED_VALUE"""),"Electric!")</f>
        <v>Electric!</v>
      </c>
      <c r="V2597" t="str">
        <f>IFERROR(__xludf.DUMMYFUNCTION("""COMPUTED_VALUE"""),"360° Bird's eye view")</f>
        <v>360° Bird's eye view</v>
      </c>
      <c r="W2597" t="str">
        <f>IFERROR(__xludf.DUMMYFUNCTION("""COMPUTED_VALUE"""),"Check paint and panel gaps. Yes, still an issue at the end of 2020.")</f>
        <v>Check paint and panel gaps. Yes, still an issue at the end of 2020.</v>
      </c>
      <c r="X2597" t="str">
        <f>IFERROR(__xludf.DUMMYFUNCTION("""COMPUTED_VALUE"""),"Poor")</f>
        <v>Poor</v>
      </c>
      <c r="Y2597" t="str">
        <f>IFERROR(__xludf.DUMMYFUNCTION("""COMPUTED_VALUE"""),"Very Good")</f>
        <v>Very Good</v>
      </c>
      <c r="Z2597" t="str">
        <f>IFERROR(__xludf.DUMMYFUNCTION("""COMPUTED_VALUE"""),"Fair")</f>
        <v>Fair</v>
      </c>
      <c r="AA2597" t="str">
        <f>IFERROR(__xludf.DUMMYFUNCTION("""COMPUTED_VALUE"""),"Fair")</f>
        <v>Fair</v>
      </c>
      <c r="AB2597" t="str">
        <f>IFERROR(__xludf.DUMMYFUNCTION("""COMPUTED_VALUE"""),"Good")</f>
        <v>Good</v>
      </c>
      <c r="AC2597">
        <f>IFERROR(__xludf.DUMMYFUNCTION("""COMPUTED_VALUE"""),3.0)</f>
        <v>3</v>
      </c>
      <c r="AD2597">
        <f>IFERROR(__xludf.DUMMYFUNCTION("""COMPUTED_VALUE"""),1.0)</f>
        <v>1</v>
      </c>
      <c r="AF2597" t="str">
        <f>IFERROR(__xludf.DUMMYFUNCTION("""COMPUTED_VALUE"""),"No. I took delivery of the first car Tesla was able to deliver.")</f>
        <v>No. I took delivery of the first car Tesla was able to deliver.</v>
      </c>
      <c r="AG2597" t="str">
        <f>IFERROR(__xludf.DUMMYFUNCTION("""COMPUTED_VALUE"""),"I have heard that Tesla's QC has improved, but still found unacceptable panel gaps and a 2 to 3 in scratch in the paint. There was a also a dirty fingerprint left on the headliner.")</f>
        <v>I have heard that Tesla's QC has improved, but still found unacceptable panel gaps and a 2 to 3 in scratch in the paint. There was a also a dirty fingerprint left on the headliner.</v>
      </c>
      <c r="AH2597" s="189">
        <f>IFERROR(__xludf.DUMMYFUNCTION("""COMPUTED_VALUE"""),44191.76389)</f>
        <v>44191.76389</v>
      </c>
    </row>
    <row r="2598">
      <c r="A2598" t="str">
        <f>IFERROR(__xludf.DUMMYFUNCTION("""COMPUTED_VALUE"""),"tstolze")</f>
        <v>tstolze</v>
      </c>
      <c r="B2598" t="str">
        <f>IFERROR(__xludf.DUMMYFUNCTION("""COMPUTED_VALUE"""),"OFallon")</f>
        <v>OFallon</v>
      </c>
      <c r="C2598" t="str">
        <f>IFERROR(__xludf.DUMMYFUNCTION("""COMPUTED_VALUE"""),"MO")</f>
        <v>MO</v>
      </c>
      <c r="D2598" t="str">
        <f>IFERROR(__xludf.DUMMYFUNCTION("""COMPUTED_VALUE"""),"USA")</f>
        <v>USA</v>
      </c>
      <c r="E2598" s="188">
        <f>IFERROR(__xludf.DUMMYFUNCTION("""COMPUTED_VALUE"""),44198.0)</f>
        <v>44198</v>
      </c>
      <c r="F2598" s="188">
        <f>IFERROR(__xludf.DUMMYFUNCTION("""COMPUTED_VALUE"""),44239.0)</f>
        <v>44239</v>
      </c>
      <c r="G2598" t="str">
        <f>IFERROR(__xludf.DUMMYFUNCTION("""COMPUTED_VALUE"""),"Manage order page (normal text)")</f>
        <v>Manage order page (normal text)</v>
      </c>
      <c r="H2598">
        <f>IFERROR(__xludf.DUMMYFUNCTION("""COMPUTED_VALUE"""),906855.0)</f>
        <v>906855</v>
      </c>
      <c r="I2598" t="str">
        <f>IFERROR(__xludf.DUMMYFUNCTION("""COMPUTED_VALUE"""),"02/21")</f>
        <v>02/21</v>
      </c>
      <c r="J2598" s="188">
        <f>IFERROR(__xludf.DUMMYFUNCTION("""COMPUTED_VALUE"""),44256.0)</f>
        <v>44256</v>
      </c>
      <c r="K2598">
        <f>IFERROR(__xludf.DUMMYFUNCTION("""COMPUTED_VALUE"""),41.0)</f>
        <v>41</v>
      </c>
      <c r="L2598">
        <f>IFERROR(__xludf.DUMMYFUNCTION("""COMPUTED_VALUE"""),17.0)</f>
        <v>17</v>
      </c>
      <c r="M2598">
        <f>IFERROR(__xludf.DUMMYFUNCTION("""COMPUTED_VALUE"""),58.0)</f>
        <v>58</v>
      </c>
      <c r="N2598" t="str">
        <f>IFERROR(__xludf.DUMMYFUNCTION("""COMPUTED_VALUE"""),"Model 3 LR AWD")</f>
        <v>Model 3 LR AWD</v>
      </c>
      <c r="O2598" t="str">
        <f>IFERROR(__xludf.DUMMYFUNCTION("""COMPUTED_VALUE"""),"Deep Blue Metallic")</f>
        <v>Deep Blue Metallic</v>
      </c>
      <c r="P2598" t="str">
        <f>IFERROR(__xludf.DUMMYFUNCTION("""COMPUTED_VALUE"""),"18 inch")</f>
        <v>18 inch</v>
      </c>
      <c r="Q2598" t="str">
        <f>IFERROR(__xludf.DUMMYFUNCTION("""COMPUTED_VALUE"""),"Black and White")</f>
        <v>Black and White</v>
      </c>
      <c r="R2598" t="str">
        <f>IFERROR(__xludf.DUMMYFUNCTION("""COMPUTED_VALUE"""),"Autopilot included")</f>
        <v>Autopilot included</v>
      </c>
      <c r="S2598" t="str">
        <f>IFERROR(__xludf.DUMMYFUNCTION("""COMPUTED_VALUE"""),"Cash")</f>
        <v>Cash</v>
      </c>
      <c r="U2598" t="str">
        <f>IFERROR(__xludf.DUMMYFUNCTION("""COMPUTED_VALUE"""),"Electric!")</f>
        <v>Electric!</v>
      </c>
      <c r="V2598" t="str">
        <f>IFERROR(__xludf.DUMMYFUNCTION("""COMPUTED_VALUE"""),"Ventilated seats")</f>
        <v>Ventilated seats</v>
      </c>
      <c r="X2598" t="str">
        <f>IFERROR(__xludf.DUMMYFUNCTION("""COMPUTED_VALUE"""),"Good")</f>
        <v>Good</v>
      </c>
      <c r="Y2598" t="str">
        <f>IFERROR(__xludf.DUMMYFUNCTION("""COMPUTED_VALUE"""),"Excellent")</f>
        <v>Excellent</v>
      </c>
      <c r="Z2598" t="str">
        <f>IFERROR(__xludf.DUMMYFUNCTION("""COMPUTED_VALUE"""),"Excellent")</f>
        <v>Excellent</v>
      </c>
      <c r="AA2598" t="str">
        <f>IFERROR(__xludf.DUMMYFUNCTION("""COMPUTED_VALUE"""),"Very Good")</f>
        <v>Very Good</v>
      </c>
      <c r="AB2598" t="str">
        <f>IFERROR(__xludf.DUMMYFUNCTION("""COMPUTED_VALUE"""),"Very Good")</f>
        <v>Very Good</v>
      </c>
      <c r="AC2598">
        <f>IFERROR(__xludf.DUMMYFUNCTION("""COMPUTED_VALUE"""),2.0)</f>
        <v>2</v>
      </c>
      <c r="AF2598" t="str">
        <f>IFERROR(__xludf.DUMMYFUNCTION("""COMPUTED_VALUE"""),"No. I took delivery of the first car Tesla was able to deliver.")</f>
        <v>No. I took delivery of the first car Tesla was able to deliver.</v>
      </c>
      <c r="AH2598" s="189">
        <f>IFERROR(__xludf.DUMMYFUNCTION("""COMPUTED_VALUE"""),44260.4240525)</f>
        <v>44260.42405</v>
      </c>
    </row>
    <row r="2599">
      <c r="A2599" t="str">
        <f>IFERROR(__xludf.DUMMYFUNCTION("""COMPUTED_VALUE"""),"tehsu")</f>
        <v>tehsu</v>
      </c>
      <c r="B2599" t="str">
        <f>IFERROR(__xludf.DUMMYFUNCTION("""COMPUTED_VALUE"""),"Frisco ")</f>
        <v>Frisco </v>
      </c>
      <c r="C2599" t="str">
        <f>IFERROR(__xludf.DUMMYFUNCTION("""COMPUTED_VALUE"""),"TX")</f>
        <v>TX</v>
      </c>
      <c r="D2599" t="str">
        <f>IFERROR(__xludf.DUMMYFUNCTION("""COMPUTED_VALUE"""),"USA")</f>
        <v>USA</v>
      </c>
      <c r="E2599" s="188">
        <f>IFERROR(__xludf.DUMMYFUNCTION("""COMPUTED_VALUE"""),44135.0)</f>
        <v>44135</v>
      </c>
      <c r="F2599" s="188">
        <f>IFERROR(__xludf.DUMMYFUNCTION("""COMPUTED_VALUE"""),44177.0)</f>
        <v>44177</v>
      </c>
      <c r="G2599" t="str">
        <f>IFERROR(__xludf.DUMMYFUNCTION("""COMPUTED_VALUE"""),"Email")</f>
        <v>Email</v>
      </c>
      <c r="I2599" t="str">
        <f>IFERROR(__xludf.DUMMYFUNCTION("""COMPUTED_VALUE"""),"12/20")</f>
        <v>12/20</v>
      </c>
      <c r="J2599" s="5">
        <f>IFERROR(__xludf.DUMMYFUNCTION("""COMPUTED_VALUE"""),44193.0)</f>
        <v>44193</v>
      </c>
      <c r="K2599">
        <f>IFERROR(__xludf.DUMMYFUNCTION("""COMPUTED_VALUE"""),42.0)</f>
        <v>42</v>
      </c>
      <c r="L2599">
        <f>IFERROR(__xludf.DUMMYFUNCTION("""COMPUTED_VALUE"""),16.0)</f>
        <v>16</v>
      </c>
      <c r="M2599">
        <f>IFERROR(__xludf.DUMMYFUNCTION("""COMPUTED_VALUE"""),58.0)</f>
        <v>58</v>
      </c>
      <c r="N2599" t="str">
        <f>IFERROR(__xludf.DUMMYFUNCTION("""COMPUTED_VALUE"""),"Model 3 LR AWD")</f>
        <v>Model 3 LR AWD</v>
      </c>
      <c r="O2599" t="str">
        <f>IFERROR(__xludf.DUMMYFUNCTION("""COMPUTED_VALUE"""),"Solid Black")</f>
        <v>Solid Black</v>
      </c>
      <c r="P2599" t="str">
        <f>IFERROR(__xludf.DUMMYFUNCTION("""COMPUTED_VALUE"""),"18 inch")</f>
        <v>18 inch</v>
      </c>
      <c r="Q2599" t="str">
        <f>IFERROR(__xludf.DUMMYFUNCTION("""COMPUTED_VALUE"""),"All Black")</f>
        <v>All Black</v>
      </c>
      <c r="R2599" t="str">
        <f>IFERROR(__xludf.DUMMYFUNCTION("""COMPUTED_VALUE"""),"Autopilot included")</f>
        <v>Autopilot included</v>
      </c>
      <c r="S2599" t="str">
        <f>IFERROR(__xludf.DUMMYFUNCTION("""COMPUTED_VALUE"""),"Loan")</f>
        <v>Loan</v>
      </c>
      <c r="T2599" t="str">
        <f>IFERROR(__xludf.DUMMYFUNCTION("""COMPUTED_VALUE"""),"Mazda CX-5")</f>
        <v>Mazda CX-5</v>
      </c>
      <c r="U2599" t="str">
        <f>IFERROR(__xludf.DUMMYFUNCTION("""COMPUTED_VALUE"""),"Electric!")</f>
        <v>Electric!</v>
      </c>
      <c r="V2599" t="str">
        <f>IFERROR(__xludf.DUMMYFUNCTION("""COMPUTED_VALUE"""),"Air suspension")</f>
        <v>Air suspension</v>
      </c>
      <c r="X2599" t="str">
        <f>IFERROR(__xludf.DUMMYFUNCTION("""COMPUTED_VALUE"""),"Excellent")</f>
        <v>Excellent</v>
      </c>
      <c r="Y2599" t="str">
        <f>IFERROR(__xludf.DUMMYFUNCTION("""COMPUTED_VALUE"""),"Excellent")</f>
        <v>Excellent</v>
      </c>
      <c r="Z2599" t="str">
        <f>IFERROR(__xludf.DUMMYFUNCTION("""COMPUTED_VALUE"""),"Very Good")</f>
        <v>Very Good</v>
      </c>
      <c r="AA2599" t="str">
        <f>IFERROR(__xludf.DUMMYFUNCTION("""COMPUTED_VALUE"""),"Very Good")</f>
        <v>Very Good</v>
      </c>
      <c r="AB2599" t="str">
        <f>IFERROR(__xludf.DUMMYFUNCTION("""COMPUTED_VALUE"""),"Good")</f>
        <v>Good</v>
      </c>
      <c r="AC2599">
        <f>IFERROR(__xludf.DUMMYFUNCTION("""COMPUTED_VALUE"""),2.0)</f>
        <v>2</v>
      </c>
      <c r="AF2599" t="str">
        <f>IFERROR(__xludf.DUMMYFUNCTION("""COMPUTED_VALUE"""),"No. I took delivery of the first car Tesla was able to deliver.")</f>
        <v>No. I took delivery of the first car Tesla was able to deliver.</v>
      </c>
      <c r="AH2599" s="189">
        <f>IFERROR(__xludf.DUMMYFUNCTION("""COMPUTED_VALUE"""),44200.09707591435)</f>
        <v>44200.09708</v>
      </c>
    </row>
    <row r="2600">
      <c r="A2600" t="str">
        <f>IFERROR(__xludf.DUMMYFUNCTION("""COMPUTED_VALUE"""),"Mark57")</f>
        <v>Mark57</v>
      </c>
      <c r="B2600" t="str">
        <f>IFERROR(__xludf.DUMMYFUNCTION("""COMPUTED_VALUE"""),"OKC")</f>
        <v>OKC</v>
      </c>
      <c r="C2600" t="str">
        <f>IFERROR(__xludf.DUMMYFUNCTION("""COMPUTED_VALUE"""),"OK")</f>
        <v>OK</v>
      </c>
      <c r="D2600" t="str">
        <f>IFERROR(__xludf.DUMMYFUNCTION("""COMPUTED_VALUE"""),"USA")</f>
        <v>USA</v>
      </c>
      <c r="E2600" s="188">
        <f>IFERROR(__xludf.DUMMYFUNCTION("""COMPUTED_VALUE"""),44126.0)</f>
        <v>44126</v>
      </c>
      <c r="F2600" s="188">
        <f>IFERROR(__xludf.DUMMYFUNCTION("""COMPUTED_VALUE"""),44159.0)</f>
        <v>44159</v>
      </c>
      <c r="G2600" t="str">
        <f>IFERROR(__xludf.DUMMYFUNCTION("""COMPUTED_VALUE"""),"Email")</f>
        <v>Email</v>
      </c>
      <c r="H2600">
        <f>IFERROR(__xludf.DUMMYFUNCTION("""COMPUTED_VALUE"""),848955.0)</f>
        <v>848955</v>
      </c>
      <c r="I2600" t="str">
        <f>IFERROR(__xludf.DUMMYFUNCTION("""COMPUTED_VALUE"""),"11/20")</f>
        <v>11/20</v>
      </c>
      <c r="J2600" s="5">
        <f>IFERROR(__xludf.DUMMYFUNCTION("""COMPUTED_VALUE"""),44182.0)</f>
        <v>44182</v>
      </c>
      <c r="K2600">
        <f>IFERROR(__xludf.DUMMYFUNCTION("""COMPUTED_VALUE"""),33.0)</f>
        <v>33</v>
      </c>
      <c r="L2600">
        <f>IFERROR(__xludf.DUMMYFUNCTION("""COMPUTED_VALUE"""),23.0)</f>
        <v>23</v>
      </c>
      <c r="M2600">
        <f>IFERROR(__xludf.DUMMYFUNCTION("""COMPUTED_VALUE"""),56.0)</f>
        <v>56</v>
      </c>
      <c r="N2600" t="str">
        <f>IFERROR(__xludf.DUMMYFUNCTION("""COMPUTED_VALUE"""),"Model 3 LR AWD")</f>
        <v>Model 3 LR AWD</v>
      </c>
      <c r="O2600" t="str">
        <f>IFERROR(__xludf.DUMMYFUNCTION("""COMPUTED_VALUE"""),"Red Multi-Coat")</f>
        <v>Red Multi-Coat</v>
      </c>
      <c r="P2600" t="str">
        <f>IFERROR(__xludf.DUMMYFUNCTION("""COMPUTED_VALUE"""),"18 inch")</f>
        <v>18 inch</v>
      </c>
      <c r="Q2600" t="str">
        <f>IFERROR(__xludf.DUMMYFUNCTION("""COMPUTED_VALUE"""),"All Black")</f>
        <v>All Black</v>
      </c>
      <c r="R2600" t="str">
        <f>IFERROR(__xludf.DUMMYFUNCTION("""COMPUTED_VALUE"""),"Autopilot included")</f>
        <v>Autopilot included</v>
      </c>
      <c r="S2600" t="str">
        <f>IFERROR(__xludf.DUMMYFUNCTION("""COMPUTED_VALUE"""),"Cash")</f>
        <v>Cash</v>
      </c>
      <c r="T2600" t="str">
        <f>IFERROR(__xludf.DUMMYFUNCTION("""COMPUTED_VALUE"""),"Toyota Prius")</f>
        <v>Toyota Prius</v>
      </c>
      <c r="U2600" t="str">
        <f>IFERROR(__xludf.DUMMYFUNCTION("""COMPUTED_VALUE"""),"Electric!")</f>
        <v>Electric!</v>
      </c>
      <c r="V2600" t="str">
        <f>IFERROR(__xludf.DUMMYFUNCTION("""COMPUTED_VALUE"""),"Air suspension")</f>
        <v>Air suspension</v>
      </c>
      <c r="W2600" t="str">
        <f>IFERROR(__xludf.DUMMYFUNCTION("""COMPUTED_VALUE"""),"Patience")</f>
        <v>Patience</v>
      </c>
      <c r="X2600" t="str">
        <f>IFERROR(__xludf.DUMMYFUNCTION("""COMPUTED_VALUE"""),"Excellent")</f>
        <v>Excellent</v>
      </c>
      <c r="Y2600" t="str">
        <f>IFERROR(__xludf.DUMMYFUNCTION("""COMPUTED_VALUE"""),"Excellent")</f>
        <v>Excellent</v>
      </c>
      <c r="Z2600" t="str">
        <f>IFERROR(__xludf.DUMMYFUNCTION("""COMPUTED_VALUE"""),"Excellent")</f>
        <v>Excellent</v>
      </c>
      <c r="AA2600" t="str">
        <f>IFERROR(__xludf.DUMMYFUNCTION("""COMPUTED_VALUE"""),"Very Good")</f>
        <v>Very Good</v>
      </c>
      <c r="AB2600" t="str">
        <f>IFERROR(__xludf.DUMMYFUNCTION("""COMPUTED_VALUE"""),"Excellent")</f>
        <v>Excellent</v>
      </c>
      <c r="AC2600">
        <f>IFERROR(__xludf.DUMMYFUNCTION("""COMPUTED_VALUE"""),0.0)</f>
        <v>0</v>
      </c>
      <c r="AD2600">
        <f>IFERROR(__xludf.DUMMYFUNCTION("""COMPUTED_VALUE"""),0.0)</f>
        <v>0</v>
      </c>
      <c r="AE2600">
        <f>IFERROR(__xludf.DUMMYFUNCTION("""COMPUTED_VALUE"""),0.0)</f>
        <v>0</v>
      </c>
      <c r="AF2600" t="str">
        <f>IFERROR(__xludf.DUMMYFUNCTION("""COMPUTED_VALUE"""),"No. I took delivery of the first car Tesla was able to deliver.")</f>
        <v>No. I took delivery of the first car Tesla was able to deliver.</v>
      </c>
      <c r="AG2600" t="str">
        <f>IFERROR(__xludf.DUMMYFUNCTION("""COMPUTED_VALUE"""),"Title docd rcv'd 1-11-2021")</f>
        <v>Title docd rcv'd 1-11-2021</v>
      </c>
      <c r="AH2600" s="189">
        <f>IFERROR(__xludf.DUMMYFUNCTION("""COMPUTED_VALUE"""),44207.49302233796)</f>
        <v>44207.49302</v>
      </c>
    </row>
    <row r="2601">
      <c r="A2601" t="str">
        <f>IFERROR(__xludf.DUMMYFUNCTION("""COMPUTED_VALUE"""),"MMCCMMCM")</f>
        <v>MMCCMMCM</v>
      </c>
      <c r="B2601" t="str">
        <f>IFERROR(__xludf.DUMMYFUNCTION("""COMPUTED_VALUE"""),"Tacoma")</f>
        <v>Tacoma</v>
      </c>
      <c r="C2601" t="str">
        <f>IFERROR(__xludf.DUMMYFUNCTION("""COMPUTED_VALUE"""),"WA")</f>
        <v>WA</v>
      </c>
      <c r="D2601" t="str">
        <f>IFERROR(__xludf.DUMMYFUNCTION("""COMPUTED_VALUE"""),"USA")</f>
        <v>USA</v>
      </c>
      <c r="E2601" s="188">
        <f>IFERROR(__xludf.DUMMYFUNCTION("""COMPUTED_VALUE"""),44120.0)</f>
        <v>44120</v>
      </c>
      <c r="F2601" s="188">
        <f>IFERROR(__xludf.DUMMYFUNCTION("""COMPUTED_VALUE"""),44189.0)</f>
        <v>44189</v>
      </c>
      <c r="G2601" t="str">
        <f>IFERROR(__xludf.DUMMYFUNCTION("""COMPUTED_VALUE"""),"Email")</f>
        <v>Email</v>
      </c>
      <c r="H2601">
        <f>IFERROR(__xludf.DUMMYFUNCTION("""COMPUTED_VALUE"""),868955.0)</f>
        <v>868955</v>
      </c>
      <c r="J2601" s="5">
        <f>IFERROR(__xludf.DUMMYFUNCTION("""COMPUTED_VALUE"""),44192.0)</f>
        <v>44192</v>
      </c>
      <c r="K2601">
        <f>IFERROR(__xludf.DUMMYFUNCTION("""COMPUTED_VALUE"""),69.0)</f>
        <v>69</v>
      </c>
      <c r="L2601">
        <f>IFERROR(__xludf.DUMMYFUNCTION("""COMPUTED_VALUE"""),3.0)</f>
        <v>3</v>
      </c>
      <c r="M2601">
        <f>IFERROR(__xludf.DUMMYFUNCTION("""COMPUTED_VALUE"""),72.0)</f>
        <v>72</v>
      </c>
      <c r="N2601" t="str">
        <f>IFERROR(__xludf.DUMMYFUNCTION("""COMPUTED_VALUE"""),"Model 3 LR AWD")</f>
        <v>Model 3 LR AWD</v>
      </c>
      <c r="O2601" t="str">
        <f>IFERROR(__xludf.DUMMYFUNCTION("""COMPUTED_VALUE"""),"Pearl White Multi-Coat")</f>
        <v>Pearl White Multi-Coat</v>
      </c>
      <c r="P2601" t="str">
        <f>IFERROR(__xludf.DUMMYFUNCTION("""COMPUTED_VALUE"""),"18 inch")</f>
        <v>18 inch</v>
      </c>
      <c r="Q2601" t="str">
        <f>IFERROR(__xludf.DUMMYFUNCTION("""COMPUTED_VALUE"""),"Black and White")</f>
        <v>Black and White</v>
      </c>
      <c r="R2601" t="str">
        <f>IFERROR(__xludf.DUMMYFUNCTION("""COMPUTED_VALUE"""),"Full Self-Driving")</f>
        <v>Full Self-Driving</v>
      </c>
      <c r="S2601" t="str">
        <f>IFERROR(__xludf.DUMMYFUNCTION("""COMPUTED_VALUE"""),"Loan")</f>
        <v>Loan</v>
      </c>
      <c r="U2601" t="str">
        <f>IFERROR(__xludf.DUMMYFUNCTION("""COMPUTED_VALUE"""),"Autopilot")</f>
        <v>Autopilot</v>
      </c>
      <c r="V2601" t="str">
        <f>IFERROR(__xludf.DUMMYFUNCTION("""COMPUTED_VALUE"""),"360° Bird's eye view")</f>
        <v>360° Bird's eye view</v>
      </c>
      <c r="X2601" t="str">
        <f>IFERROR(__xludf.DUMMYFUNCTION("""COMPUTED_VALUE"""),"Excellent")</f>
        <v>Excellent</v>
      </c>
      <c r="Y2601" t="str">
        <f>IFERROR(__xludf.DUMMYFUNCTION("""COMPUTED_VALUE"""),"Excellent")</f>
        <v>Excellent</v>
      </c>
      <c r="Z2601" t="str">
        <f>IFERROR(__xludf.DUMMYFUNCTION("""COMPUTED_VALUE"""),"Good")</f>
        <v>Good</v>
      </c>
      <c r="AA2601" t="str">
        <f>IFERROR(__xludf.DUMMYFUNCTION("""COMPUTED_VALUE"""),"Fair")</f>
        <v>Fair</v>
      </c>
      <c r="AB2601" t="str">
        <f>IFERROR(__xludf.DUMMYFUNCTION("""COMPUTED_VALUE"""),"Very Good")</f>
        <v>Very Good</v>
      </c>
      <c r="AF2601" t="str">
        <f>IFERROR(__xludf.DUMMYFUNCTION("""COMPUTED_VALUE"""),"No. I took delivery of the first car Tesla was able to deliver.")</f>
        <v>No. I took delivery of the first car Tesla was able to deliver.</v>
      </c>
      <c r="AG2601" t="str">
        <f>IFERROR(__xludf.DUMMYFUNCTION("""COMPUTED_VALUE"""),"Estimated Delivery: 11/25 - 12/18")</f>
        <v>Estimated Delivery: 11/25 - 12/18</v>
      </c>
      <c r="AH2601" s="189">
        <f>IFERROR(__xludf.DUMMYFUNCTION("""COMPUTED_VALUE"""),44193.31762548611)</f>
        <v>44193.31763</v>
      </c>
    </row>
    <row r="2602">
      <c r="A2602" t="str">
        <f>IFERROR(__xludf.DUMMYFUNCTION("""COMPUTED_VALUE"""),"chowda")</f>
        <v>chowda</v>
      </c>
      <c r="B2602" t="str">
        <f>IFERROR(__xludf.DUMMYFUNCTION("""COMPUTED_VALUE"""),"Idaho Falls")</f>
        <v>Idaho Falls</v>
      </c>
      <c r="C2602" t="str">
        <f>IFERROR(__xludf.DUMMYFUNCTION("""COMPUTED_VALUE"""),"ID")</f>
        <v>ID</v>
      </c>
      <c r="D2602" t="str">
        <f>IFERROR(__xludf.DUMMYFUNCTION("""COMPUTED_VALUE"""),"USA")</f>
        <v>USA</v>
      </c>
      <c r="E2602" s="188">
        <f>IFERROR(__xludf.DUMMYFUNCTION("""COMPUTED_VALUE"""),44013.0)</f>
        <v>44013</v>
      </c>
      <c r="F2602" s="188">
        <f>IFERROR(__xludf.DUMMYFUNCTION("""COMPUTED_VALUE"""),44074.0)</f>
        <v>44074</v>
      </c>
      <c r="H2602">
        <f>IFERROR(__xludf.DUMMYFUNCTION("""COMPUTED_VALUE"""),784555.0)</f>
        <v>784555</v>
      </c>
      <c r="I2602" t="str">
        <f>IFERROR(__xludf.DUMMYFUNCTION("""COMPUTED_VALUE"""),"08/20")</f>
        <v>08/20</v>
      </c>
      <c r="J2602" s="5">
        <f>IFERROR(__xludf.DUMMYFUNCTION("""COMPUTED_VALUE"""),44078.0)</f>
        <v>44078</v>
      </c>
      <c r="K2602">
        <f>IFERROR(__xludf.DUMMYFUNCTION("""COMPUTED_VALUE"""),61.0)</f>
        <v>61</v>
      </c>
      <c r="L2602">
        <f>IFERROR(__xludf.DUMMYFUNCTION("""COMPUTED_VALUE"""),4.0)</f>
        <v>4</v>
      </c>
      <c r="M2602">
        <f>IFERROR(__xludf.DUMMYFUNCTION("""COMPUTED_VALUE"""),65.0)</f>
        <v>65</v>
      </c>
      <c r="N2602" t="str">
        <f>IFERROR(__xludf.DUMMYFUNCTION("""COMPUTED_VALUE"""),"Model 3 LR AWD")</f>
        <v>Model 3 LR AWD</v>
      </c>
      <c r="O2602" t="str">
        <f>IFERROR(__xludf.DUMMYFUNCTION("""COMPUTED_VALUE"""),"Deep Blue Metallic")</f>
        <v>Deep Blue Metallic</v>
      </c>
      <c r="P2602" t="str">
        <f>IFERROR(__xludf.DUMMYFUNCTION("""COMPUTED_VALUE"""),"18 inch Aero")</f>
        <v>18 inch Aero</v>
      </c>
      <c r="Q2602" t="str">
        <f>IFERROR(__xludf.DUMMYFUNCTION("""COMPUTED_VALUE"""),"Black seats")</f>
        <v>Black seats</v>
      </c>
      <c r="R2602" t="str">
        <f>IFERROR(__xludf.DUMMYFUNCTION("""COMPUTED_VALUE"""),"Full Self-Driving")</f>
        <v>Full Self-Driving</v>
      </c>
      <c r="X2602" t="str">
        <f>IFERROR(__xludf.DUMMYFUNCTION("""COMPUTED_VALUE"""),"Excellent")</f>
        <v>Excellent</v>
      </c>
      <c r="Y2602" t="str">
        <f>IFERROR(__xludf.DUMMYFUNCTION("""COMPUTED_VALUE"""),"Very Good")</f>
        <v>Very Good</v>
      </c>
      <c r="Z2602" t="str">
        <f>IFERROR(__xludf.DUMMYFUNCTION("""COMPUTED_VALUE"""),"Excellent")</f>
        <v>Excellent</v>
      </c>
      <c r="AA2602" t="str">
        <f>IFERROR(__xludf.DUMMYFUNCTION("""COMPUTED_VALUE"""),"Fair")</f>
        <v>Fair</v>
      </c>
      <c r="AB2602" t="str">
        <f>IFERROR(__xludf.DUMMYFUNCTION("""COMPUTED_VALUE"""),"Good")</f>
        <v>Good</v>
      </c>
      <c r="AC2602">
        <f>IFERROR(__xludf.DUMMYFUNCTION("""COMPUTED_VALUE"""),4.0)</f>
        <v>4</v>
      </c>
      <c r="AD2602">
        <f>IFERROR(__xludf.DUMMYFUNCTION("""COMPUTED_VALUE"""),1.0)</f>
        <v>1</v>
      </c>
      <c r="AE2602">
        <f>IFERROR(__xludf.DUMMYFUNCTION("""COMPUTED_VALUE"""),0.0)</f>
        <v>0</v>
      </c>
      <c r="AG2602" t="str">
        <f>IFERROR(__xludf.DUMMYFUNCTION("""COMPUTED_VALUE"""),"After 5 weeks of waiting, got an auto text that my delivery date is 3-6 weeks from August 6th. My delivery window used to be 4-6 weeks, but is now 8-11 weeks from order date. After almost 9 weeks, I finally got an MVPA with a VIN. Delivery scheduled for S"&amp;"eptember 4th in Salt Lake City!")</f>
        <v>After 5 weeks of waiting, got an auto text that my delivery date is 3-6 weeks from August 6th. My delivery window used to be 4-6 weeks, but is now 8-11 weeks from order date. After almost 9 weeks, I finally got an MVPA with a VIN. Delivery scheduled for September 4th in Salt Lake City!</v>
      </c>
      <c r="AH2602" s="189">
        <f>IFERROR(__xludf.DUMMYFUNCTION("""COMPUTED_VALUE"""),44160.44320601852)</f>
        <v>44160.44321</v>
      </c>
    </row>
    <row r="2603">
      <c r="A2603" t="str">
        <f>IFERROR(__xludf.DUMMYFUNCTION("""COMPUTED_VALUE"""),"droplit_")</f>
        <v>droplit_</v>
      </c>
      <c r="B2603" t="str">
        <f>IFERROR(__xludf.DUMMYFUNCTION("""COMPUTED_VALUE"""),"Boston")</f>
        <v>Boston</v>
      </c>
      <c r="C2603" t="str">
        <f>IFERROR(__xludf.DUMMYFUNCTION("""COMPUTED_VALUE"""),"MA")</f>
        <v>MA</v>
      </c>
      <c r="D2603" t="str">
        <f>IFERROR(__xludf.DUMMYFUNCTION("""COMPUTED_VALUE"""),"USA")</f>
        <v>USA</v>
      </c>
      <c r="E2603" s="188">
        <f>IFERROR(__xludf.DUMMYFUNCTION("""COMPUTED_VALUE"""),44130.0)</f>
        <v>44130</v>
      </c>
      <c r="F2603" s="188">
        <f>IFERROR(__xludf.DUMMYFUNCTION("""COMPUTED_VALUE"""),44160.0)</f>
        <v>44160</v>
      </c>
      <c r="G2603" t="str">
        <f>IFERROR(__xludf.DUMMYFUNCTION("""COMPUTED_VALUE"""),"Email")</f>
        <v>Email</v>
      </c>
      <c r="H2603">
        <f>IFERROR(__xludf.DUMMYFUNCTION("""COMPUTED_VALUE"""),848855.0)</f>
        <v>848855</v>
      </c>
      <c r="J2603" s="5">
        <f>IFERROR(__xludf.DUMMYFUNCTION("""COMPUTED_VALUE"""),44173.0)</f>
        <v>44173</v>
      </c>
      <c r="K2603">
        <f>IFERROR(__xludf.DUMMYFUNCTION("""COMPUTED_VALUE"""),30.0)</f>
        <v>30</v>
      </c>
      <c r="L2603">
        <f>IFERROR(__xludf.DUMMYFUNCTION("""COMPUTED_VALUE"""),13.0)</f>
        <v>13</v>
      </c>
      <c r="M2603">
        <f>IFERROR(__xludf.DUMMYFUNCTION("""COMPUTED_VALUE"""),43.0)</f>
        <v>43</v>
      </c>
      <c r="N2603" t="str">
        <f>IFERROR(__xludf.DUMMYFUNCTION("""COMPUTED_VALUE"""),"Model 3 LR AWD")</f>
        <v>Model 3 LR AWD</v>
      </c>
      <c r="O2603" t="str">
        <f>IFERROR(__xludf.DUMMYFUNCTION("""COMPUTED_VALUE"""),"Deep Blue Metallic")</f>
        <v>Deep Blue Metallic</v>
      </c>
      <c r="P2603" t="str">
        <f>IFERROR(__xludf.DUMMYFUNCTION("""COMPUTED_VALUE"""),"18 inch")</f>
        <v>18 inch</v>
      </c>
      <c r="Q2603" t="str">
        <f>IFERROR(__xludf.DUMMYFUNCTION("""COMPUTED_VALUE"""),"All Black")</f>
        <v>All Black</v>
      </c>
      <c r="R2603" t="str">
        <f>IFERROR(__xludf.DUMMYFUNCTION("""COMPUTED_VALUE"""),"Autopilot included")</f>
        <v>Autopilot included</v>
      </c>
      <c r="S2603" t="str">
        <f>IFERROR(__xludf.DUMMYFUNCTION("""COMPUTED_VALUE"""),"Loan")</f>
        <v>Loan</v>
      </c>
      <c r="T2603" t="str">
        <f>IFERROR(__xludf.DUMMYFUNCTION("""COMPUTED_VALUE"""),"03 Acura TL")</f>
        <v>03 Acura TL</v>
      </c>
      <c r="U2603" t="str">
        <f>IFERROR(__xludf.DUMMYFUNCTION("""COMPUTED_VALUE"""),"Electric!")</f>
        <v>Electric!</v>
      </c>
      <c r="V2603" t="str">
        <f>IFERROR(__xludf.DUMMYFUNCTION("""COMPUTED_VALUE"""),"Blind spot indicators on side mirrors")</f>
        <v>Blind spot indicators on side mirrors</v>
      </c>
      <c r="X2603" t="str">
        <f>IFERROR(__xludf.DUMMYFUNCTION("""COMPUTED_VALUE"""),"Fair")</f>
        <v>Fair</v>
      </c>
      <c r="Y2603" t="str">
        <f>IFERROR(__xludf.DUMMYFUNCTION("""COMPUTED_VALUE"""),"Fair")</f>
        <v>Fair</v>
      </c>
      <c r="Z2603" t="str">
        <f>IFERROR(__xludf.DUMMYFUNCTION("""COMPUTED_VALUE"""),"Fair")</f>
        <v>Fair</v>
      </c>
      <c r="AA2603" t="str">
        <f>IFERROR(__xludf.DUMMYFUNCTION("""COMPUTED_VALUE"""),"Good")</f>
        <v>Good</v>
      </c>
      <c r="AB2603" t="str">
        <f>IFERROR(__xludf.DUMMYFUNCTION("""COMPUTED_VALUE"""),"Good")</f>
        <v>Good</v>
      </c>
      <c r="AC2603">
        <f>IFERROR(__xludf.DUMMYFUNCTION("""COMPUTED_VALUE"""),4.0)</f>
        <v>4</v>
      </c>
      <c r="AF2603" t="str">
        <f>IFERROR(__xludf.DUMMYFUNCTION("""COMPUTED_VALUE"""),"No. I took delivery of the first car Tesla was able to deliver.")</f>
        <v>No. I took delivery of the first car Tesla was able to deliver.</v>
      </c>
      <c r="AH2603" s="189">
        <f>IFERROR(__xludf.DUMMYFUNCTION("""COMPUTED_VALUE"""),44174.585947604166)</f>
        <v>44174.58595</v>
      </c>
    </row>
    <row r="2604">
      <c r="A2604" t="str">
        <f>IFERROR(__xludf.DUMMYFUNCTION("""COMPUTED_VALUE"""),"MyTesla99")</f>
        <v>MyTesla99</v>
      </c>
      <c r="B2604" t="str">
        <f>IFERROR(__xludf.DUMMYFUNCTION("""COMPUTED_VALUE"""),"San Francisco")</f>
        <v>San Francisco</v>
      </c>
      <c r="C2604" t="str">
        <f>IFERROR(__xludf.DUMMYFUNCTION("""COMPUTED_VALUE"""),"CA")</f>
        <v>CA</v>
      </c>
      <c r="D2604" t="str">
        <f>IFERROR(__xludf.DUMMYFUNCTION("""COMPUTED_VALUE"""),"USA")</f>
        <v>USA</v>
      </c>
      <c r="E2604" s="188">
        <f>IFERROR(__xludf.DUMMYFUNCTION("""COMPUTED_VALUE"""),44151.0)</f>
        <v>44151</v>
      </c>
      <c r="F2604" s="188">
        <f>IFERROR(__xludf.DUMMYFUNCTION("""COMPUTED_VALUE"""),44182.0)</f>
        <v>44182</v>
      </c>
      <c r="G2604" t="str">
        <f>IFERROR(__xludf.DUMMYFUNCTION("""COMPUTED_VALUE"""),"Manage order page (normal text)")</f>
        <v>Manage order page (normal text)</v>
      </c>
      <c r="I2604" t="str">
        <f>IFERROR(__xludf.DUMMYFUNCTION("""COMPUTED_VALUE"""),"12/20")</f>
        <v>12/20</v>
      </c>
      <c r="J2604" s="5">
        <f>IFERROR(__xludf.DUMMYFUNCTION("""COMPUTED_VALUE"""),44185.0)</f>
        <v>44185</v>
      </c>
      <c r="K2604">
        <f>IFERROR(__xludf.DUMMYFUNCTION("""COMPUTED_VALUE"""),31.0)</f>
        <v>31</v>
      </c>
      <c r="L2604">
        <f>IFERROR(__xludf.DUMMYFUNCTION("""COMPUTED_VALUE"""),3.0)</f>
        <v>3</v>
      </c>
      <c r="M2604">
        <f>IFERROR(__xludf.DUMMYFUNCTION("""COMPUTED_VALUE"""),34.0)</f>
        <v>34</v>
      </c>
      <c r="N2604" t="str">
        <f>IFERROR(__xludf.DUMMYFUNCTION("""COMPUTED_VALUE"""),"Model 3 SR+")</f>
        <v>Model 3 SR+</v>
      </c>
      <c r="O2604" t="str">
        <f>IFERROR(__xludf.DUMMYFUNCTION("""COMPUTED_VALUE"""),"Deep Blue Metallic")</f>
        <v>Deep Blue Metallic</v>
      </c>
      <c r="P2604" t="str">
        <f>IFERROR(__xludf.DUMMYFUNCTION("""COMPUTED_VALUE"""),"19 inch")</f>
        <v>19 inch</v>
      </c>
      <c r="Q2604" t="str">
        <f>IFERROR(__xludf.DUMMYFUNCTION("""COMPUTED_VALUE"""),"All Black")</f>
        <v>All Black</v>
      </c>
      <c r="R2604" t="str">
        <f>IFERROR(__xludf.DUMMYFUNCTION("""COMPUTED_VALUE"""),"Autopilot included")</f>
        <v>Autopilot included</v>
      </c>
      <c r="T2604" t="str">
        <f>IFERROR(__xludf.DUMMYFUNCTION("""COMPUTED_VALUE"""),"Model 3 will be my first car!")</f>
        <v>Model 3 will be my first car!</v>
      </c>
      <c r="U2604" t="str">
        <f>IFERROR(__xludf.DUMMYFUNCTION("""COMPUTED_VALUE"""),"Electric!")</f>
        <v>Electric!</v>
      </c>
      <c r="V2604" t="str">
        <f>IFERROR(__xludf.DUMMYFUNCTION("""COMPUTED_VALUE"""),"360° Bird's eye view")</f>
        <v>360° Bird's eye view</v>
      </c>
      <c r="W2604" t="str">
        <f>IFERROR(__xludf.DUMMYFUNCTION("""COMPUTED_VALUE"""),"It's a great car, you're going to love it. I would suggest doing a full check list of the car interior and exterior of the car")</f>
        <v>It's a great car, you're going to love it. I would suggest doing a full check list of the car interior and exterior of the car</v>
      </c>
      <c r="X2604" t="str">
        <f>IFERROR(__xludf.DUMMYFUNCTION("""COMPUTED_VALUE"""),"Very Good")</f>
        <v>Very Good</v>
      </c>
      <c r="Y2604" t="str">
        <f>IFERROR(__xludf.DUMMYFUNCTION("""COMPUTED_VALUE"""),"Excellent")</f>
        <v>Excellent</v>
      </c>
      <c r="Z2604" t="str">
        <f>IFERROR(__xludf.DUMMYFUNCTION("""COMPUTED_VALUE"""),"Very Good")</f>
        <v>Very Good</v>
      </c>
      <c r="AA2604" t="str">
        <f>IFERROR(__xludf.DUMMYFUNCTION("""COMPUTED_VALUE"""),"Good")</f>
        <v>Good</v>
      </c>
      <c r="AB2604" t="str">
        <f>IFERROR(__xludf.DUMMYFUNCTION("""COMPUTED_VALUE"""),"Excellent")</f>
        <v>Excellent</v>
      </c>
      <c r="AD2604">
        <f>IFERROR(__xludf.DUMMYFUNCTION("""COMPUTED_VALUE"""),1.0)</f>
        <v>1</v>
      </c>
      <c r="AF2604" t="str">
        <f>IFERROR(__xludf.DUMMYFUNCTION("""COMPUTED_VALUE"""),"No. I took delivery of the first car Tesla was able to deliver.")</f>
        <v>No. I took delivery of the first car Tesla was able to deliver.</v>
      </c>
      <c r="AG2604" t="str">
        <f>IFERROR(__xludf.DUMMYFUNCTION("""COMPUTED_VALUE"""),"Confusion about pick-up date. SA told me 12/16 then that changed to 12/21. Not sure why delivery or product slowed down")</f>
        <v>Confusion about pick-up date. SA told me 12/16 then that changed to 12/21. Not sure why delivery or product slowed down</v>
      </c>
      <c r="AH2604" s="189">
        <f>IFERROR(__xludf.DUMMYFUNCTION("""COMPUTED_VALUE"""),44186.66877040509)</f>
        <v>44186.66877</v>
      </c>
    </row>
    <row r="2605">
      <c r="A2605" t="str">
        <f>IFERROR(__xludf.DUMMYFUNCTION("""COMPUTED_VALUE"""),"Augger")</f>
        <v>Augger</v>
      </c>
      <c r="B2605" t="str">
        <f>IFERROR(__xludf.DUMMYFUNCTION("""COMPUTED_VALUE"""),"Detroit")</f>
        <v>Detroit</v>
      </c>
      <c r="C2605" t="str">
        <f>IFERROR(__xludf.DUMMYFUNCTION("""COMPUTED_VALUE"""),"MI")</f>
        <v>MI</v>
      </c>
      <c r="D2605" t="str">
        <f>IFERROR(__xludf.DUMMYFUNCTION("""COMPUTED_VALUE"""),"USA")</f>
        <v>USA</v>
      </c>
      <c r="E2605" s="188">
        <f>IFERROR(__xludf.DUMMYFUNCTION("""COMPUTED_VALUE"""),44149.0)</f>
        <v>44149</v>
      </c>
      <c r="F2605" s="188">
        <f>IFERROR(__xludf.DUMMYFUNCTION("""COMPUTED_VALUE"""),44177.0)</f>
        <v>44177</v>
      </c>
      <c r="G2605" t="str">
        <f>IFERROR(__xludf.DUMMYFUNCTION("""COMPUTED_VALUE"""),"Manage order page (normal text)")</f>
        <v>Manage order page (normal text)</v>
      </c>
      <c r="H2605">
        <f>IFERROR(__xludf.DUMMYFUNCTION("""COMPUTED_VALUE"""),858245.0)</f>
        <v>858245</v>
      </c>
      <c r="I2605" t="str">
        <f>IFERROR(__xludf.DUMMYFUNCTION("""COMPUTED_VALUE"""),"12/20")</f>
        <v>12/20</v>
      </c>
      <c r="J2605" s="5">
        <f>IFERROR(__xludf.DUMMYFUNCTION("""COMPUTED_VALUE"""),44189.0)</f>
        <v>44189</v>
      </c>
      <c r="K2605">
        <f>IFERROR(__xludf.DUMMYFUNCTION("""COMPUTED_VALUE"""),28.0)</f>
        <v>28</v>
      </c>
      <c r="L2605">
        <f>IFERROR(__xludf.DUMMYFUNCTION("""COMPUTED_VALUE"""),12.0)</f>
        <v>12</v>
      </c>
      <c r="M2605">
        <f>IFERROR(__xludf.DUMMYFUNCTION("""COMPUTED_VALUE"""),40.0)</f>
        <v>40</v>
      </c>
      <c r="N2605" t="str">
        <f>IFERROR(__xludf.DUMMYFUNCTION("""COMPUTED_VALUE"""),"Model 3 LR AWD")</f>
        <v>Model 3 LR AWD</v>
      </c>
      <c r="O2605" t="str">
        <f>IFERROR(__xludf.DUMMYFUNCTION("""COMPUTED_VALUE"""),"Pearl White Multi-Coat")</f>
        <v>Pearl White Multi-Coat</v>
      </c>
      <c r="P2605" t="str">
        <f>IFERROR(__xludf.DUMMYFUNCTION("""COMPUTED_VALUE"""),"18 inch")</f>
        <v>18 inch</v>
      </c>
      <c r="Q2605" t="str">
        <f>IFERROR(__xludf.DUMMYFUNCTION("""COMPUTED_VALUE"""),"All Black")</f>
        <v>All Black</v>
      </c>
      <c r="R2605" t="str">
        <f>IFERROR(__xludf.DUMMYFUNCTION("""COMPUTED_VALUE"""),"Autopilot included")</f>
        <v>Autopilot included</v>
      </c>
      <c r="S2605" t="str">
        <f>IFERROR(__xludf.DUMMYFUNCTION("""COMPUTED_VALUE"""),"Loan")</f>
        <v>Loan</v>
      </c>
      <c r="T2605" t="str">
        <f>IFERROR(__xludf.DUMMYFUNCTION("""COMPUTED_VALUE"""),"Mercedes C300")</f>
        <v>Mercedes C300</v>
      </c>
      <c r="U2605" t="str">
        <f>IFERROR(__xludf.DUMMYFUNCTION("""COMPUTED_VALUE"""),"Tesla brand image")</f>
        <v>Tesla brand image</v>
      </c>
      <c r="V2605" t="str">
        <f>IFERROR(__xludf.DUMMYFUNCTION("""COMPUTED_VALUE"""),"Ventilated seats")</f>
        <v>Ventilated seats</v>
      </c>
      <c r="X2605" t="str">
        <f>IFERROR(__xludf.DUMMYFUNCTION("""COMPUTED_VALUE"""),"Very Good")</f>
        <v>Very Good</v>
      </c>
      <c r="Y2605" t="str">
        <f>IFERROR(__xludf.DUMMYFUNCTION("""COMPUTED_VALUE"""),"Excellent")</f>
        <v>Excellent</v>
      </c>
      <c r="Z2605" t="str">
        <f>IFERROR(__xludf.DUMMYFUNCTION("""COMPUTED_VALUE"""),"Very Good")</f>
        <v>Very Good</v>
      </c>
      <c r="AA2605" t="str">
        <f>IFERROR(__xludf.DUMMYFUNCTION("""COMPUTED_VALUE"""),"Fair")</f>
        <v>Fair</v>
      </c>
      <c r="AB2605" t="str">
        <f>IFERROR(__xludf.DUMMYFUNCTION("""COMPUTED_VALUE"""),"Good")</f>
        <v>Good</v>
      </c>
      <c r="AF2605" t="str">
        <f>IFERROR(__xludf.DUMMYFUNCTION("""COMPUTED_VALUE"""),"No. I took delivery of the first car Tesla was able to deliver.")</f>
        <v>No. I took delivery of the first car Tesla was able to deliver.</v>
      </c>
      <c r="AG2605" t="str">
        <f>IFERROR(__xludf.DUMMYFUNCTION("""COMPUTED_VALUE"""),"Original listed between Dec 13-31, now 18-31, Set for 12/28, arrived early, pickup on 12/24")</f>
        <v>Original listed between Dec 13-31, now 18-31, Set for 12/28, arrived early, pickup on 12/24</v>
      </c>
      <c r="AH2605" s="189">
        <f>IFERROR(__xludf.DUMMYFUNCTION("""COMPUTED_VALUE"""),44195.37844655092)</f>
        <v>44195.37845</v>
      </c>
    </row>
    <row r="2606">
      <c r="A2606" t="str">
        <f>IFERROR(__xludf.DUMMYFUNCTION("""COMPUTED_VALUE"""),"RobAll")</f>
        <v>RobAll</v>
      </c>
      <c r="B2606" t="str">
        <f>IFERROR(__xludf.DUMMYFUNCTION("""COMPUTED_VALUE"""),"London ")</f>
        <v>London </v>
      </c>
      <c r="C2606" t="str">
        <f>IFERROR(__xludf.DUMMYFUNCTION("""COMPUTED_VALUE"""),"ON")</f>
        <v>ON</v>
      </c>
      <c r="D2606" t="str">
        <f>IFERROR(__xludf.DUMMYFUNCTION("""COMPUTED_VALUE"""),"Canada")</f>
        <v>Canada</v>
      </c>
      <c r="E2606" s="188">
        <f>IFERROR(__xludf.DUMMYFUNCTION("""COMPUTED_VALUE"""),44113.0)</f>
        <v>44113</v>
      </c>
      <c r="F2606" s="188">
        <f>IFERROR(__xludf.DUMMYFUNCTION("""COMPUTED_VALUE"""),44151.0)</f>
        <v>44151</v>
      </c>
      <c r="H2606">
        <f>IFERROR(__xludf.DUMMYFUNCTION("""COMPUTED_VALUE"""),840555.0)</f>
        <v>840555</v>
      </c>
      <c r="I2606" t="str">
        <f>IFERROR(__xludf.DUMMYFUNCTION("""COMPUTED_VALUE"""),"11/20")</f>
        <v>11/20</v>
      </c>
      <c r="J2606" s="5">
        <f>IFERROR(__xludf.DUMMYFUNCTION("""COMPUTED_VALUE"""),44158.0)</f>
        <v>44158</v>
      </c>
      <c r="K2606">
        <f>IFERROR(__xludf.DUMMYFUNCTION("""COMPUTED_VALUE"""),38.0)</f>
        <v>38</v>
      </c>
      <c r="L2606">
        <f>IFERROR(__xludf.DUMMYFUNCTION("""COMPUTED_VALUE"""),7.0)</f>
        <v>7</v>
      </c>
      <c r="M2606">
        <f>IFERROR(__xludf.DUMMYFUNCTION("""COMPUTED_VALUE"""),45.0)</f>
        <v>45</v>
      </c>
      <c r="N2606" t="str">
        <f>IFERROR(__xludf.DUMMYFUNCTION("""COMPUTED_VALUE"""),"Model 3 SR+")</f>
        <v>Model 3 SR+</v>
      </c>
      <c r="O2606" t="str">
        <f>IFERROR(__xludf.DUMMYFUNCTION("""COMPUTED_VALUE"""),"Pearl White Multi-Coat")</f>
        <v>Pearl White Multi-Coat</v>
      </c>
      <c r="P2606" t="str">
        <f>IFERROR(__xludf.DUMMYFUNCTION("""COMPUTED_VALUE"""),"18 inch Aero")</f>
        <v>18 inch Aero</v>
      </c>
      <c r="Q2606" t="str">
        <f>IFERROR(__xludf.DUMMYFUNCTION("""COMPUTED_VALUE"""),"Black seats")</f>
        <v>Black seats</v>
      </c>
      <c r="R2606" t="str">
        <f>IFERROR(__xludf.DUMMYFUNCTION("""COMPUTED_VALUE"""),"Autopilot")</f>
        <v>Autopilot</v>
      </c>
      <c r="X2606" t="str">
        <f>IFERROR(__xludf.DUMMYFUNCTION("""COMPUTED_VALUE"""),"Excellent")</f>
        <v>Excellent</v>
      </c>
      <c r="Y2606" t="str">
        <f>IFERROR(__xludf.DUMMYFUNCTION("""COMPUTED_VALUE"""),"Excellent")</f>
        <v>Excellent</v>
      </c>
      <c r="Z2606" t="str">
        <f>IFERROR(__xludf.DUMMYFUNCTION("""COMPUTED_VALUE"""),"Excellent")</f>
        <v>Excellent</v>
      </c>
      <c r="AA2606" t="str">
        <f>IFERROR(__xludf.DUMMYFUNCTION("""COMPUTED_VALUE"""),"Very Good")</f>
        <v>Very Good</v>
      </c>
      <c r="AB2606" t="str">
        <f>IFERROR(__xludf.DUMMYFUNCTION("""COMPUTED_VALUE"""),"Excellent")</f>
        <v>Excellent</v>
      </c>
      <c r="AC2606">
        <f>IFERROR(__xludf.DUMMYFUNCTION("""COMPUTED_VALUE"""),0.0)</f>
        <v>0</v>
      </c>
      <c r="AG2606" t="str">
        <f>IFERROR(__xludf.DUMMYFUNCTION("""COMPUTED_VALUE"""),"estimated delivery date Nov 13 - Dec 11")</f>
        <v>estimated delivery date Nov 13 - Dec 11</v>
      </c>
      <c r="AH2606" s="189">
        <f>IFERROR(__xludf.DUMMYFUNCTION("""COMPUTED_VALUE"""),44161.687580196754)</f>
        <v>44161.68758</v>
      </c>
    </row>
    <row r="2607">
      <c r="A2607" t="str">
        <f>IFERROR(__xludf.DUMMYFUNCTION("""COMPUTED_VALUE"""),"ThreeAWD")</f>
        <v>ThreeAWD</v>
      </c>
      <c r="B2607" t="str">
        <f>IFERROR(__xludf.DUMMYFUNCTION("""COMPUTED_VALUE"""),"New York")</f>
        <v>New York</v>
      </c>
      <c r="C2607" t="str">
        <f>IFERROR(__xludf.DUMMYFUNCTION("""COMPUTED_VALUE"""),"NY")</f>
        <v>NY</v>
      </c>
      <c r="D2607" t="str">
        <f>IFERROR(__xludf.DUMMYFUNCTION("""COMPUTED_VALUE"""),"USA")</f>
        <v>USA</v>
      </c>
      <c r="E2607" s="188">
        <f>IFERROR(__xludf.DUMMYFUNCTION("""COMPUTED_VALUE"""),44127.0)</f>
        <v>44127</v>
      </c>
      <c r="F2607" s="188">
        <f>IFERROR(__xludf.DUMMYFUNCTION("""COMPUTED_VALUE"""),44160.0)</f>
        <v>44160</v>
      </c>
      <c r="G2607" t="str">
        <f>IFERROR(__xludf.DUMMYFUNCTION("""COMPUTED_VALUE"""),"Manage order page (normal text)")</f>
        <v>Manage order page (normal text)</v>
      </c>
      <c r="H2607">
        <f>IFERROR(__xludf.DUMMYFUNCTION("""COMPUTED_VALUE"""),848155.0)</f>
        <v>848155</v>
      </c>
      <c r="J2607" s="5">
        <f>IFERROR(__xludf.DUMMYFUNCTION("""COMPUTED_VALUE"""),44174.0)</f>
        <v>44174</v>
      </c>
      <c r="K2607">
        <f>IFERROR(__xludf.DUMMYFUNCTION("""COMPUTED_VALUE"""),33.0)</f>
        <v>33</v>
      </c>
      <c r="L2607">
        <f>IFERROR(__xludf.DUMMYFUNCTION("""COMPUTED_VALUE"""),14.0)</f>
        <v>14</v>
      </c>
      <c r="M2607">
        <f>IFERROR(__xludf.DUMMYFUNCTION("""COMPUTED_VALUE"""),47.0)</f>
        <v>47</v>
      </c>
      <c r="N2607" t="str">
        <f>IFERROR(__xludf.DUMMYFUNCTION("""COMPUTED_VALUE"""),"Model 3 LR AWD")</f>
        <v>Model 3 LR AWD</v>
      </c>
      <c r="O2607" t="str">
        <f>IFERROR(__xludf.DUMMYFUNCTION("""COMPUTED_VALUE"""),"Midnight Silver Metallic")</f>
        <v>Midnight Silver Metallic</v>
      </c>
      <c r="P2607" t="str">
        <f>IFERROR(__xludf.DUMMYFUNCTION("""COMPUTED_VALUE"""),"18 inch")</f>
        <v>18 inch</v>
      </c>
      <c r="Q2607" t="str">
        <f>IFERROR(__xludf.DUMMYFUNCTION("""COMPUTED_VALUE"""),"All Black")</f>
        <v>All Black</v>
      </c>
      <c r="R2607" t="str">
        <f>IFERROR(__xludf.DUMMYFUNCTION("""COMPUTED_VALUE"""),"Autopilot included")</f>
        <v>Autopilot included</v>
      </c>
      <c r="S2607" t="str">
        <f>IFERROR(__xludf.DUMMYFUNCTION("""COMPUTED_VALUE"""),"Lease")</f>
        <v>Lease</v>
      </c>
      <c r="U2607" t="str">
        <f>IFERROR(__xludf.DUMMYFUNCTION("""COMPUTED_VALUE"""),"Electric!")</f>
        <v>Electric!</v>
      </c>
      <c r="V2607" t="str">
        <f>IFERROR(__xludf.DUMMYFUNCTION("""COMPUTED_VALUE"""),"Head-up display")</f>
        <v>Head-up display</v>
      </c>
      <c r="X2607" t="str">
        <f>IFERROR(__xludf.DUMMYFUNCTION("""COMPUTED_VALUE"""),"Excellent")</f>
        <v>Excellent</v>
      </c>
      <c r="Y2607" t="str">
        <f>IFERROR(__xludf.DUMMYFUNCTION("""COMPUTED_VALUE"""),"Excellent")</f>
        <v>Excellent</v>
      </c>
      <c r="Z2607" t="str">
        <f>IFERROR(__xludf.DUMMYFUNCTION("""COMPUTED_VALUE"""),"Excellent")</f>
        <v>Excellent</v>
      </c>
      <c r="AA2607" t="str">
        <f>IFERROR(__xludf.DUMMYFUNCTION("""COMPUTED_VALUE"""),"Excellent")</f>
        <v>Excellent</v>
      </c>
      <c r="AB2607" t="str">
        <f>IFERROR(__xludf.DUMMYFUNCTION("""COMPUTED_VALUE"""),"Very Good")</f>
        <v>Very Good</v>
      </c>
      <c r="AF2607" t="str">
        <f>IFERROR(__xludf.DUMMYFUNCTION("""COMPUTED_VALUE"""),"No. I took delivery of the first car Tesla was able to deliver.")</f>
        <v>No. I took delivery of the first car Tesla was able to deliver.</v>
      </c>
      <c r="AH2607" s="189">
        <f>IFERROR(__xludf.DUMMYFUNCTION("""COMPUTED_VALUE"""),44181.82900003472)</f>
        <v>44181.829</v>
      </c>
    </row>
    <row r="2608">
      <c r="A2608" t="str">
        <f>IFERROR(__xludf.DUMMYFUNCTION("""COMPUTED_VALUE"""),"jeallen1")</f>
        <v>jeallen1</v>
      </c>
      <c r="B2608" t="str">
        <f>IFERROR(__xludf.DUMMYFUNCTION("""COMPUTED_VALUE"""),"Cherry Hill")</f>
        <v>Cherry Hill</v>
      </c>
      <c r="C2608" t="str">
        <f>IFERROR(__xludf.DUMMYFUNCTION("""COMPUTED_VALUE"""),"NJ")</f>
        <v>NJ</v>
      </c>
      <c r="D2608" t="str">
        <f>IFERROR(__xludf.DUMMYFUNCTION("""COMPUTED_VALUE"""),"USA")</f>
        <v>USA</v>
      </c>
      <c r="E2608" s="188">
        <f>IFERROR(__xludf.DUMMYFUNCTION("""COMPUTED_VALUE"""),44102.0)</f>
        <v>44102</v>
      </c>
      <c r="F2608" s="188">
        <f>IFERROR(__xludf.DUMMYFUNCTION("""COMPUTED_VALUE"""),44159.0)</f>
        <v>44159</v>
      </c>
      <c r="G2608" t="str">
        <f>IFERROR(__xludf.DUMMYFUNCTION("""COMPUTED_VALUE"""),"Manage order page (normal text)")</f>
        <v>Manage order page (normal text)</v>
      </c>
      <c r="H2608">
        <f>IFERROR(__xludf.DUMMYFUNCTION("""COMPUTED_VALUE"""),836755.0)</f>
        <v>836755</v>
      </c>
      <c r="I2608" t="str">
        <f>IFERROR(__xludf.DUMMYFUNCTION("""COMPUTED_VALUE"""),"11/20")</f>
        <v>11/20</v>
      </c>
      <c r="J2608" s="5">
        <f>IFERROR(__xludf.DUMMYFUNCTION("""COMPUTED_VALUE"""),44170.0)</f>
        <v>44170</v>
      </c>
      <c r="K2608">
        <f>IFERROR(__xludf.DUMMYFUNCTION("""COMPUTED_VALUE"""),57.0)</f>
        <v>57</v>
      </c>
      <c r="L2608">
        <f>IFERROR(__xludf.DUMMYFUNCTION("""COMPUTED_VALUE"""),11.0)</f>
        <v>11</v>
      </c>
      <c r="M2608">
        <f>IFERROR(__xludf.DUMMYFUNCTION("""COMPUTED_VALUE"""),68.0)</f>
        <v>68</v>
      </c>
      <c r="N2608" t="str">
        <f>IFERROR(__xludf.DUMMYFUNCTION("""COMPUTED_VALUE"""),"Model 3 LR AWD")</f>
        <v>Model 3 LR AWD</v>
      </c>
      <c r="O2608" t="str">
        <f>IFERROR(__xludf.DUMMYFUNCTION("""COMPUTED_VALUE"""),"Midnight Silver Metallic")</f>
        <v>Midnight Silver Metallic</v>
      </c>
      <c r="P2608" t="str">
        <f>IFERROR(__xludf.DUMMYFUNCTION("""COMPUTED_VALUE"""),"18 inch")</f>
        <v>18 inch</v>
      </c>
      <c r="Q2608" t="str">
        <f>IFERROR(__xludf.DUMMYFUNCTION("""COMPUTED_VALUE"""),"All Black")</f>
        <v>All Black</v>
      </c>
      <c r="R2608" t="str">
        <f>IFERROR(__xludf.DUMMYFUNCTION("""COMPUTED_VALUE"""),"Full Self-Driving")</f>
        <v>Full Self-Driving</v>
      </c>
      <c r="S2608" t="str">
        <f>IFERROR(__xludf.DUMMYFUNCTION("""COMPUTED_VALUE"""),"Cash")</f>
        <v>Cash</v>
      </c>
      <c r="T2608" t="str">
        <f>IFERROR(__xludf.DUMMYFUNCTION("""COMPUTED_VALUE"""),"Ford Fusion Energi")</f>
        <v>Ford Fusion Energi</v>
      </c>
      <c r="U2608" t="str">
        <f>IFERROR(__xludf.DUMMYFUNCTION("""COMPUTED_VALUE"""),"Electric!")</f>
        <v>Electric!</v>
      </c>
      <c r="V2608" t="str">
        <f>IFERROR(__xludf.DUMMYFUNCTION("""COMPUTED_VALUE"""),"Apple CarPlay / Android Auto / SiriusXM Radio")</f>
        <v>Apple CarPlay / Android Auto / SiriusXM Radio</v>
      </c>
      <c r="X2608" t="str">
        <f>IFERROR(__xludf.DUMMYFUNCTION("""COMPUTED_VALUE"""),"Good")</f>
        <v>Good</v>
      </c>
      <c r="Y2608" t="str">
        <f>IFERROR(__xludf.DUMMYFUNCTION("""COMPUTED_VALUE"""),"Excellent")</f>
        <v>Excellent</v>
      </c>
      <c r="Z2608" t="str">
        <f>IFERROR(__xludf.DUMMYFUNCTION("""COMPUTED_VALUE"""),"Very Good")</f>
        <v>Very Good</v>
      </c>
      <c r="AA2608" t="str">
        <f>IFERROR(__xludf.DUMMYFUNCTION("""COMPUTED_VALUE"""),"Excellent")</f>
        <v>Excellent</v>
      </c>
      <c r="AB2608" t="str">
        <f>IFERROR(__xludf.DUMMYFUNCTION("""COMPUTED_VALUE"""),"Excellent")</f>
        <v>Excellent</v>
      </c>
      <c r="AC2608">
        <f>IFERROR(__xludf.DUMMYFUNCTION("""COMPUTED_VALUE"""),3.0)</f>
        <v>3</v>
      </c>
      <c r="AD2608">
        <f>IFERROR(__xludf.DUMMYFUNCTION("""COMPUTED_VALUE"""),1.0)</f>
        <v>1</v>
      </c>
      <c r="AE2608">
        <f>IFERROR(__xludf.DUMMYFUNCTION("""COMPUTED_VALUE"""),0.0)</f>
        <v>0</v>
      </c>
      <c r="AF2608" t="str">
        <f>IFERROR(__xludf.DUMMYFUNCTION("""COMPUTED_VALUE"""),"No. I took delivery of the first car Tesla was able to deliver.")</f>
        <v>No. I took delivery of the first car Tesla was able to deliver.</v>
      </c>
      <c r="AH2608" s="189">
        <f>IFERROR(__xludf.DUMMYFUNCTION("""COMPUTED_VALUE"""),44209.24619902778)</f>
        <v>44209.2462</v>
      </c>
    </row>
    <row r="2609">
      <c r="A2609" t="str">
        <f>IFERROR(__xludf.DUMMYFUNCTION("""COMPUTED_VALUE"""),"WillyThePooh")</f>
        <v>WillyThePooh</v>
      </c>
      <c r="B2609" t="str">
        <f>IFERROR(__xludf.DUMMYFUNCTION("""COMPUTED_VALUE"""),"Toronto")</f>
        <v>Toronto</v>
      </c>
      <c r="C2609" t="str">
        <f>IFERROR(__xludf.DUMMYFUNCTION("""COMPUTED_VALUE"""),"ON")</f>
        <v>ON</v>
      </c>
      <c r="D2609" t="str">
        <f>IFERROR(__xludf.DUMMYFUNCTION("""COMPUTED_VALUE"""),"Canada")</f>
        <v>Canada</v>
      </c>
      <c r="E2609" s="188">
        <f>IFERROR(__xludf.DUMMYFUNCTION("""COMPUTED_VALUE"""),44105.0)</f>
        <v>44105</v>
      </c>
      <c r="F2609" s="188">
        <f>IFERROR(__xludf.DUMMYFUNCTION("""COMPUTED_VALUE"""),44141.0)</f>
        <v>44141</v>
      </c>
      <c r="H2609">
        <f>IFERROR(__xludf.DUMMYFUNCTION("""COMPUTED_VALUE"""),837055.0)</f>
        <v>837055</v>
      </c>
      <c r="I2609" t="str">
        <f>IFERROR(__xludf.DUMMYFUNCTION("""COMPUTED_VALUE"""),"11/20")</f>
        <v>11/20</v>
      </c>
      <c r="J2609" s="5">
        <f>IFERROR(__xludf.DUMMYFUNCTION("""COMPUTED_VALUE"""),44156.0)</f>
        <v>44156</v>
      </c>
      <c r="K2609">
        <f>IFERROR(__xludf.DUMMYFUNCTION("""COMPUTED_VALUE"""),36.0)</f>
        <v>36</v>
      </c>
      <c r="L2609">
        <f>IFERROR(__xludf.DUMMYFUNCTION("""COMPUTED_VALUE"""),15.0)</f>
        <v>15</v>
      </c>
      <c r="M2609">
        <f>IFERROR(__xludf.DUMMYFUNCTION("""COMPUTED_VALUE"""),51.0)</f>
        <v>51</v>
      </c>
      <c r="N2609" t="str">
        <f>IFERROR(__xludf.DUMMYFUNCTION("""COMPUTED_VALUE"""),"Model 3 SR+")</f>
        <v>Model 3 SR+</v>
      </c>
      <c r="O2609" t="str">
        <f>IFERROR(__xludf.DUMMYFUNCTION("""COMPUTED_VALUE"""),"Deep Blue Metallic")</f>
        <v>Deep Blue Metallic</v>
      </c>
      <c r="P2609" t="str">
        <f>IFERROR(__xludf.DUMMYFUNCTION("""COMPUTED_VALUE"""),"18 inch Aero")</f>
        <v>18 inch Aero</v>
      </c>
      <c r="Q2609" t="str">
        <f>IFERROR(__xludf.DUMMYFUNCTION("""COMPUTED_VALUE"""),"Black seats")</f>
        <v>Black seats</v>
      </c>
      <c r="R2609" t="str">
        <f>IFERROR(__xludf.DUMMYFUNCTION("""COMPUTED_VALUE"""),"Autopilot")</f>
        <v>Autopilot</v>
      </c>
      <c r="X2609" t="str">
        <f>IFERROR(__xludf.DUMMYFUNCTION("""COMPUTED_VALUE"""),"Excellent")</f>
        <v>Excellent</v>
      </c>
      <c r="Y2609" t="str">
        <f>IFERROR(__xludf.DUMMYFUNCTION("""COMPUTED_VALUE"""),"Excellent")</f>
        <v>Excellent</v>
      </c>
      <c r="Z2609" t="str">
        <f>IFERROR(__xludf.DUMMYFUNCTION("""COMPUTED_VALUE"""),"Excellent")</f>
        <v>Excellent</v>
      </c>
      <c r="AA2609" t="str">
        <f>IFERROR(__xludf.DUMMYFUNCTION("""COMPUTED_VALUE"""),"Fair")</f>
        <v>Fair</v>
      </c>
      <c r="AB2609" t="str">
        <f>IFERROR(__xludf.DUMMYFUNCTION("""COMPUTED_VALUE"""),"Very Good")</f>
        <v>Very Good</v>
      </c>
      <c r="AC2609">
        <f>IFERROR(__xludf.DUMMYFUNCTION("""COMPUTED_VALUE"""),0.0)</f>
        <v>0</v>
      </c>
      <c r="AD2609">
        <f>IFERROR(__xludf.DUMMYFUNCTION("""COMPUTED_VALUE"""),0.0)</f>
        <v>0</v>
      </c>
      <c r="AE2609">
        <f>IFERROR(__xludf.DUMMYFUNCTION("""COMPUTED_VALUE"""),0.0)</f>
        <v>0</v>
      </c>
      <c r="AH2609" s="189">
        <f>IFERROR(__xludf.DUMMYFUNCTION("""COMPUTED_VALUE"""),44162.62504085648)</f>
        <v>44162.62504</v>
      </c>
    </row>
    <row r="2610">
      <c r="A2610" t="str">
        <f>IFERROR(__xludf.DUMMYFUNCTION("""COMPUTED_VALUE"""),"rubyrockstar")</f>
        <v>rubyrockstar</v>
      </c>
      <c r="B2610" t="str">
        <f>IFERROR(__xludf.DUMMYFUNCTION("""COMPUTED_VALUE"""),"Oakland")</f>
        <v>Oakland</v>
      </c>
      <c r="C2610" t="str">
        <f>IFERROR(__xludf.DUMMYFUNCTION("""COMPUTED_VALUE"""),"CA")</f>
        <v>CA</v>
      </c>
      <c r="D2610" t="str">
        <f>IFERROR(__xludf.DUMMYFUNCTION("""COMPUTED_VALUE"""),"USA")</f>
        <v>USA</v>
      </c>
      <c r="E2610" s="188">
        <f>IFERROR(__xludf.DUMMYFUNCTION("""COMPUTED_VALUE"""),44123.0)</f>
        <v>44123</v>
      </c>
      <c r="F2610" s="188">
        <f>IFERROR(__xludf.DUMMYFUNCTION("""COMPUTED_VALUE"""),44166.0)</f>
        <v>44166</v>
      </c>
      <c r="G2610" t="str">
        <f>IFERROR(__xludf.DUMMYFUNCTION("""COMPUTED_VALUE"""),"Manage order page (normal text)")</f>
        <v>Manage order page (normal text)</v>
      </c>
      <c r="I2610" t="str">
        <f>IFERROR(__xludf.DUMMYFUNCTION("""COMPUTED_VALUE"""),"12/20")</f>
        <v>12/20</v>
      </c>
      <c r="J2610" s="5">
        <f>IFERROR(__xludf.DUMMYFUNCTION("""COMPUTED_VALUE"""),44169.0)</f>
        <v>44169</v>
      </c>
      <c r="K2610">
        <f>IFERROR(__xludf.DUMMYFUNCTION("""COMPUTED_VALUE"""),43.0)</f>
        <v>43</v>
      </c>
      <c r="L2610">
        <f>IFERROR(__xludf.DUMMYFUNCTION("""COMPUTED_VALUE"""),3.0)</f>
        <v>3</v>
      </c>
      <c r="M2610">
        <f>IFERROR(__xludf.DUMMYFUNCTION("""COMPUTED_VALUE"""),46.0)</f>
        <v>46</v>
      </c>
      <c r="N2610" t="str">
        <f>IFERROR(__xludf.DUMMYFUNCTION("""COMPUTED_VALUE"""),"Model 3 LR AWD")</f>
        <v>Model 3 LR AWD</v>
      </c>
      <c r="O2610" t="str">
        <f>IFERROR(__xludf.DUMMYFUNCTION("""COMPUTED_VALUE"""),"Red Multi-Coat")</f>
        <v>Red Multi-Coat</v>
      </c>
      <c r="P2610" t="str">
        <f>IFERROR(__xludf.DUMMYFUNCTION("""COMPUTED_VALUE"""),"18 inch")</f>
        <v>18 inch</v>
      </c>
      <c r="Q2610" t="str">
        <f>IFERROR(__xludf.DUMMYFUNCTION("""COMPUTED_VALUE"""),"All Black")</f>
        <v>All Black</v>
      </c>
      <c r="R2610" t="str">
        <f>IFERROR(__xludf.DUMMYFUNCTION("""COMPUTED_VALUE"""),"Full Self-Driving")</f>
        <v>Full Self-Driving</v>
      </c>
      <c r="S2610" t="str">
        <f>IFERROR(__xludf.DUMMYFUNCTION("""COMPUTED_VALUE"""),"Loan")</f>
        <v>Loan</v>
      </c>
      <c r="T2610" t="str">
        <f>IFERROR(__xludf.DUMMYFUNCTION("""COMPUTED_VALUE"""),"Toyota Prius Plug-in")</f>
        <v>Toyota Prius Plug-in</v>
      </c>
      <c r="U2610" t="str">
        <f>IFERROR(__xludf.DUMMYFUNCTION("""COMPUTED_VALUE"""),"Electric!")</f>
        <v>Electric!</v>
      </c>
      <c r="V2610" t="str">
        <f>IFERROR(__xludf.DUMMYFUNCTION("""COMPUTED_VALUE"""),"Apple CarPlay / Android Auto / SiriusXM Radio")</f>
        <v>Apple CarPlay / Android Auto / SiriusXM Radio</v>
      </c>
      <c r="X2610" t="str">
        <f>IFERROR(__xludf.DUMMYFUNCTION("""COMPUTED_VALUE"""),"Excellent")</f>
        <v>Excellent</v>
      </c>
      <c r="Y2610" t="str">
        <f>IFERROR(__xludf.DUMMYFUNCTION("""COMPUTED_VALUE"""),"Excellent")</f>
        <v>Excellent</v>
      </c>
      <c r="Z2610" t="str">
        <f>IFERROR(__xludf.DUMMYFUNCTION("""COMPUTED_VALUE"""),"Excellent")</f>
        <v>Excellent</v>
      </c>
      <c r="AA2610" t="str">
        <f>IFERROR(__xludf.DUMMYFUNCTION("""COMPUTED_VALUE"""),"Excellent")</f>
        <v>Excellent</v>
      </c>
      <c r="AB2610" t="str">
        <f>IFERROR(__xludf.DUMMYFUNCTION("""COMPUTED_VALUE"""),"Excellent")</f>
        <v>Excellent</v>
      </c>
      <c r="AC2610">
        <f>IFERROR(__xludf.DUMMYFUNCTION("""COMPUTED_VALUE"""),0.0)</f>
        <v>0</v>
      </c>
      <c r="AD2610">
        <f>IFERROR(__xludf.DUMMYFUNCTION("""COMPUTED_VALUE"""),0.0)</f>
        <v>0</v>
      </c>
      <c r="AF2610" t="str">
        <f>IFERROR(__xludf.DUMMYFUNCTION("""COMPUTED_VALUE"""),"No. I took delivery of the first car Tesla was able to deliver.")</f>
        <v>No. I took delivery of the first car Tesla was able to deliver.</v>
      </c>
      <c r="AH2610" s="189">
        <f>IFERROR(__xludf.DUMMYFUNCTION("""COMPUTED_VALUE"""),44173.506655034726)</f>
        <v>44173.50666</v>
      </c>
    </row>
    <row r="2611">
      <c r="A2611" t="str">
        <f>IFERROR(__xludf.DUMMYFUNCTION("""COMPUTED_VALUE"""),"neskiredk")</f>
        <v>neskiredk</v>
      </c>
      <c r="B2611" t="str">
        <f>IFERROR(__xludf.DUMMYFUNCTION("""COMPUTED_VALUE"""),"Roskilde, Denmark")</f>
        <v>Roskilde, Denmark</v>
      </c>
      <c r="D2611" t="str">
        <f>IFERROR(__xludf.DUMMYFUNCTION("""COMPUTED_VALUE"""),"Other (include country together with city)")</f>
        <v>Other (include country together with city)</v>
      </c>
      <c r="E2611" s="188">
        <f>IFERROR(__xludf.DUMMYFUNCTION("""COMPUTED_VALUE"""),44132.0)</f>
        <v>44132</v>
      </c>
      <c r="F2611" s="188">
        <f>IFERROR(__xludf.DUMMYFUNCTION("""COMPUTED_VALUE"""),44173.0)</f>
        <v>44173</v>
      </c>
      <c r="G2611" t="str">
        <f>IFERROR(__xludf.DUMMYFUNCTION("""COMPUTED_VALUE"""),"Email")</f>
        <v>Email</v>
      </c>
      <c r="H2611">
        <f>IFERROR(__xludf.DUMMYFUNCTION("""COMPUTED_VALUE"""),838055.0)</f>
        <v>838055</v>
      </c>
      <c r="I2611" t="str">
        <f>IFERROR(__xludf.DUMMYFUNCTION("""COMPUTED_VALUE"""),"11/20")</f>
        <v>11/20</v>
      </c>
      <c r="J2611" s="5">
        <f>IFERROR(__xludf.DUMMYFUNCTION("""COMPUTED_VALUE"""),44184.0)</f>
        <v>44184</v>
      </c>
      <c r="K2611">
        <f>IFERROR(__xludf.DUMMYFUNCTION("""COMPUTED_VALUE"""),41.0)</f>
        <v>41</v>
      </c>
      <c r="L2611">
        <f>IFERROR(__xludf.DUMMYFUNCTION("""COMPUTED_VALUE"""),11.0)</f>
        <v>11</v>
      </c>
      <c r="M2611">
        <f>IFERROR(__xludf.DUMMYFUNCTION("""COMPUTED_VALUE"""),52.0)</f>
        <v>52</v>
      </c>
      <c r="N2611" t="str">
        <f>IFERROR(__xludf.DUMMYFUNCTION("""COMPUTED_VALUE"""),"Model 3 LR AWD")</f>
        <v>Model 3 LR AWD</v>
      </c>
      <c r="O2611" t="str">
        <f>IFERROR(__xludf.DUMMYFUNCTION("""COMPUTED_VALUE"""),"Pearl White Multi-Coat")</f>
        <v>Pearl White Multi-Coat</v>
      </c>
      <c r="P2611" t="str">
        <f>IFERROR(__xludf.DUMMYFUNCTION("""COMPUTED_VALUE"""),"18 inch")</f>
        <v>18 inch</v>
      </c>
      <c r="Q2611" t="str">
        <f>IFERROR(__xludf.DUMMYFUNCTION("""COMPUTED_VALUE"""),"Black and White")</f>
        <v>Black and White</v>
      </c>
      <c r="R2611" t="str">
        <f>IFERROR(__xludf.DUMMYFUNCTION("""COMPUTED_VALUE"""),"Autopilot included")</f>
        <v>Autopilot included</v>
      </c>
      <c r="S2611" t="str">
        <f>IFERROR(__xludf.DUMMYFUNCTION("""COMPUTED_VALUE"""),"Loan")</f>
        <v>Loan</v>
      </c>
      <c r="T2611" t="str">
        <f>IFERROR(__xludf.DUMMYFUNCTION("""COMPUTED_VALUE"""),"Model 3 will be my first car!")</f>
        <v>Model 3 will be my first car!</v>
      </c>
      <c r="U2611" t="str">
        <f>IFERROR(__xludf.DUMMYFUNCTION("""COMPUTED_VALUE"""),"Electric!")</f>
        <v>Electric!</v>
      </c>
      <c r="V2611" t="str">
        <f>IFERROR(__xludf.DUMMYFUNCTION("""COMPUTED_VALUE"""),"360° Bird's eye view")</f>
        <v>360° Bird's eye view</v>
      </c>
      <c r="W2611" t="str">
        <f>IFERROR(__xludf.DUMMYFUNCTION("""COMPUTED_VALUE"""),"Check for errors, they all have them. ")</f>
        <v>Check for errors, they all have them. </v>
      </c>
      <c r="X2611" t="str">
        <f>IFERROR(__xludf.DUMMYFUNCTION("""COMPUTED_VALUE"""),"Very Good")</f>
        <v>Very Good</v>
      </c>
      <c r="Y2611" t="str">
        <f>IFERROR(__xludf.DUMMYFUNCTION("""COMPUTED_VALUE"""),"Very Good")</f>
        <v>Very Good</v>
      </c>
      <c r="Z2611" t="str">
        <f>IFERROR(__xludf.DUMMYFUNCTION("""COMPUTED_VALUE"""),"Very Good")</f>
        <v>Very Good</v>
      </c>
      <c r="AA2611" t="str">
        <f>IFERROR(__xludf.DUMMYFUNCTION("""COMPUTED_VALUE"""),"Excellent")</f>
        <v>Excellent</v>
      </c>
      <c r="AB2611" t="str">
        <f>IFERROR(__xludf.DUMMYFUNCTION("""COMPUTED_VALUE"""),"Excellent")</f>
        <v>Excellent</v>
      </c>
      <c r="AC2611">
        <f>IFERROR(__xludf.DUMMYFUNCTION("""COMPUTED_VALUE"""),3.0)</f>
        <v>3</v>
      </c>
      <c r="AD2611">
        <f>IFERROR(__xludf.DUMMYFUNCTION("""COMPUTED_VALUE"""),1.0)</f>
        <v>1</v>
      </c>
      <c r="AF2611" t="str">
        <f>IFERROR(__xludf.DUMMYFUNCTION("""COMPUTED_VALUE"""),"No. I took delivery of the first car Tesla was able to deliver.")</f>
        <v>No. I took delivery of the first car Tesla was able to deliver.</v>
      </c>
      <c r="AG2611" t="str">
        <f>IFERROR(__xludf.DUMMYFUNCTION("""COMPUTED_VALUE"""),"Delivery window chosen and confirmed, 21 dec. ")</f>
        <v>Delivery window chosen and confirmed, 21 dec. </v>
      </c>
      <c r="AH2611" s="189">
        <f>IFERROR(__xludf.DUMMYFUNCTION("""COMPUTED_VALUE"""),44185.01702825232)</f>
        <v>44185.01703</v>
      </c>
    </row>
    <row r="2612">
      <c r="A2612" t="str">
        <f>IFERROR(__xludf.DUMMYFUNCTION("""COMPUTED_VALUE"""),"static416")</f>
        <v>static416</v>
      </c>
      <c r="B2612" t="str">
        <f>IFERROR(__xludf.DUMMYFUNCTION("""COMPUTED_VALUE"""),"Toronto")</f>
        <v>Toronto</v>
      </c>
      <c r="C2612" t="str">
        <f>IFERROR(__xludf.DUMMYFUNCTION("""COMPUTED_VALUE"""),"ON")</f>
        <v>ON</v>
      </c>
      <c r="D2612" t="str">
        <f>IFERROR(__xludf.DUMMYFUNCTION("""COMPUTED_VALUE"""),"Canada")</f>
        <v>Canada</v>
      </c>
      <c r="E2612" s="188">
        <f>IFERROR(__xludf.DUMMYFUNCTION("""COMPUTED_VALUE"""),44098.0)</f>
        <v>44098</v>
      </c>
      <c r="F2612" s="188">
        <f>IFERROR(__xludf.DUMMYFUNCTION("""COMPUTED_VALUE"""),44162.0)</f>
        <v>44162</v>
      </c>
      <c r="G2612" t="str">
        <f>IFERROR(__xludf.DUMMYFUNCTION("""COMPUTED_VALUE"""),"Email")</f>
        <v>Email</v>
      </c>
      <c r="H2612">
        <f>IFERROR(__xludf.DUMMYFUNCTION("""COMPUTED_VALUE"""),849255.0)</f>
        <v>849255</v>
      </c>
      <c r="J2612" s="5">
        <f>IFERROR(__xludf.DUMMYFUNCTION("""COMPUTED_VALUE"""),44180.0)</f>
        <v>44180</v>
      </c>
      <c r="K2612">
        <f>IFERROR(__xludf.DUMMYFUNCTION("""COMPUTED_VALUE"""),64.0)</f>
        <v>64</v>
      </c>
      <c r="L2612">
        <f>IFERROR(__xludf.DUMMYFUNCTION("""COMPUTED_VALUE"""),18.0)</f>
        <v>18</v>
      </c>
      <c r="M2612">
        <f>IFERROR(__xludf.DUMMYFUNCTION("""COMPUTED_VALUE"""),82.0)</f>
        <v>82</v>
      </c>
      <c r="N2612" t="str">
        <f>IFERROR(__xludf.DUMMYFUNCTION("""COMPUTED_VALUE"""),"Model 3 Performance")</f>
        <v>Model 3 Performance</v>
      </c>
      <c r="O2612" t="str">
        <f>IFERROR(__xludf.DUMMYFUNCTION("""COMPUTED_VALUE"""),"Pearl White Multi-Coat")</f>
        <v>Pearl White Multi-Coat</v>
      </c>
      <c r="P2612" t="str">
        <f>IFERROR(__xludf.DUMMYFUNCTION("""COMPUTED_VALUE"""),"20 inch")</f>
        <v>20 inch</v>
      </c>
      <c r="Q2612" t="str">
        <f>IFERROR(__xludf.DUMMYFUNCTION("""COMPUTED_VALUE"""),"Black and White")</f>
        <v>Black and White</v>
      </c>
      <c r="R2612" t="str">
        <f>IFERROR(__xludf.DUMMYFUNCTION("""COMPUTED_VALUE"""),"Full Self-Driving")</f>
        <v>Full Self-Driving</v>
      </c>
      <c r="S2612" t="str">
        <f>IFERROR(__xludf.DUMMYFUNCTION("""COMPUTED_VALUE"""),"Loan")</f>
        <v>Loan</v>
      </c>
      <c r="U2612" t="str">
        <f>IFERROR(__xludf.DUMMYFUNCTION("""COMPUTED_VALUE"""),"Autopilot")</f>
        <v>Autopilot</v>
      </c>
      <c r="V2612" t="str">
        <f>IFERROR(__xludf.DUMMYFUNCTION("""COMPUTED_VALUE"""),"Head-up display")</f>
        <v>Head-up display</v>
      </c>
      <c r="W2612" t="str">
        <f>IFERROR(__xludf.DUMMYFUNCTION("""COMPUTED_VALUE"""),"Ignore the dates. All deliveries are at the end of the quarter.")</f>
        <v>Ignore the dates. All deliveries are at the end of the quarter.</v>
      </c>
      <c r="AF2612" t="str">
        <f>IFERROR(__xludf.DUMMYFUNCTION("""COMPUTED_VALUE"""),"No. I took delivery of the first car Tesla was able to deliver.")</f>
        <v>No. I took delivery of the first car Tesla was able to deliver.</v>
      </c>
      <c r="AH2612" s="189">
        <f>IFERROR(__xludf.DUMMYFUNCTION("""COMPUTED_VALUE"""),44170.40152667824)</f>
        <v>44170.40153</v>
      </c>
    </row>
    <row r="2613">
      <c r="A2613" t="str">
        <f>IFERROR(__xludf.DUMMYFUNCTION("""COMPUTED_VALUE"""),"Shifted")</f>
        <v>Shifted</v>
      </c>
      <c r="B2613" t="str">
        <f>IFERROR(__xludf.DUMMYFUNCTION("""COMPUTED_VALUE"""),"Orange County")</f>
        <v>Orange County</v>
      </c>
      <c r="C2613" t="str">
        <f>IFERROR(__xludf.DUMMYFUNCTION("""COMPUTED_VALUE"""),"CA")</f>
        <v>CA</v>
      </c>
      <c r="D2613" t="str">
        <f>IFERROR(__xludf.DUMMYFUNCTION("""COMPUTED_VALUE"""),"USA")</f>
        <v>USA</v>
      </c>
      <c r="E2613" s="188">
        <f>IFERROR(__xludf.DUMMYFUNCTION("""COMPUTED_VALUE"""),44107.0)</f>
        <v>44107</v>
      </c>
      <c r="F2613" s="188">
        <f>IFERROR(__xludf.DUMMYFUNCTION("""COMPUTED_VALUE"""),44188.0)</f>
        <v>44188</v>
      </c>
      <c r="G2613" t="str">
        <f>IFERROR(__xludf.DUMMYFUNCTION("""COMPUTED_VALUE"""),"Phone call")</f>
        <v>Phone call</v>
      </c>
      <c r="H2613">
        <f>IFERROR(__xludf.DUMMYFUNCTION("""COMPUTED_VALUE"""),870855.0)</f>
        <v>870855</v>
      </c>
      <c r="I2613" t="str">
        <f>IFERROR(__xludf.DUMMYFUNCTION("""COMPUTED_VALUE"""),"12/20")</f>
        <v>12/20</v>
      </c>
      <c r="J2613" s="5">
        <f>IFERROR(__xludf.DUMMYFUNCTION("""COMPUTED_VALUE"""),44189.0)</f>
        <v>44189</v>
      </c>
      <c r="K2613">
        <f>IFERROR(__xludf.DUMMYFUNCTION("""COMPUTED_VALUE"""),81.0)</f>
        <v>81</v>
      </c>
      <c r="L2613">
        <f>IFERROR(__xludf.DUMMYFUNCTION("""COMPUTED_VALUE"""),1.0)</f>
        <v>1</v>
      </c>
      <c r="M2613">
        <f>IFERROR(__xludf.DUMMYFUNCTION("""COMPUTED_VALUE"""),82.0)</f>
        <v>82</v>
      </c>
      <c r="N2613" t="str">
        <f>IFERROR(__xludf.DUMMYFUNCTION("""COMPUTED_VALUE"""),"Model 3 SR+")</f>
        <v>Model 3 SR+</v>
      </c>
      <c r="O2613" t="str">
        <f>IFERROR(__xludf.DUMMYFUNCTION("""COMPUTED_VALUE"""),"Deep Blue Metallic")</f>
        <v>Deep Blue Metallic</v>
      </c>
      <c r="P2613" t="str">
        <f>IFERROR(__xludf.DUMMYFUNCTION("""COMPUTED_VALUE"""),"18 inch")</f>
        <v>18 inch</v>
      </c>
      <c r="Q2613" t="str">
        <f>IFERROR(__xludf.DUMMYFUNCTION("""COMPUTED_VALUE"""),"All Black")</f>
        <v>All Black</v>
      </c>
      <c r="R2613" t="str">
        <f>IFERROR(__xludf.DUMMYFUNCTION("""COMPUTED_VALUE"""),"Autopilot included")</f>
        <v>Autopilot included</v>
      </c>
      <c r="S2613" t="str">
        <f>IFERROR(__xludf.DUMMYFUNCTION("""COMPUTED_VALUE"""),"Loan")</f>
        <v>Loan</v>
      </c>
      <c r="T2613" t="str">
        <f>IFERROR(__xludf.DUMMYFUNCTION("""COMPUTED_VALUE"""),"Hyundai Ioniq EV")</f>
        <v>Hyundai Ioniq EV</v>
      </c>
      <c r="U2613" t="str">
        <f>IFERROR(__xludf.DUMMYFUNCTION("""COMPUTED_VALUE"""),"Electric!")</f>
        <v>Electric!</v>
      </c>
      <c r="V2613" t="str">
        <f>IFERROR(__xludf.DUMMYFUNCTION("""COMPUTED_VALUE"""),"Apple CarPlay / Android Auto / SiriusXM Radio")</f>
        <v>Apple CarPlay / Android Auto / SiriusXM Radio</v>
      </c>
      <c r="X2613" t="str">
        <f>IFERROR(__xludf.DUMMYFUNCTION("""COMPUTED_VALUE"""),"Very Good")</f>
        <v>Very Good</v>
      </c>
      <c r="Y2613" t="str">
        <f>IFERROR(__xludf.DUMMYFUNCTION("""COMPUTED_VALUE"""),"Excellent")</f>
        <v>Excellent</v>
      </c>
      <c r="Z2613" t="str">
        <f>IFERROR(__xludf.DUMMYFUNCTION("""COMPUTED_VALUE"""),"Very Good")</f>
        <v>Very Good</v>
      </c>
      <c r="AA2613" t="str">
        <f>IFERROR(__xludf.DUMMYFUNCTION("""COMPUTED_VALUE"""),"Good")</f>
        <v>Good</v>
      </c>
      <c r="AB2613" t="str">
        <f>IFERROR(__xludf.DUMMYFUNCTION("""COMPUTED_VALUE"""),"Good")</f>
        <v>Good</v>
      </c>
      <c r="AC2613">
        <f>IFERROR(__xludf.DUMMYFUNCTION("""COMPUTED_VALUE"""),3.0)</f>
        <v>3</v>
      </c>
      <c r="AD2613">
        <f>IFERROR(__xludf.DUMMYFUNCTION("""COMPUTED_VALUE"""),1.0)</f>
        <v>1</v>
      </c>
      <c r="AE2613">
        <f>IFERROR(__xludf.DUMMYFUNCTION("""COMPUTED_VALUE"""),0.0)</f>
        <v>0</v>
      </c>
      <c r="AF2613" t="str">
        <f>IFERROR(__xludf.DUMMYFUNCTION("""COMPUTED_VALUE"""),"No. I took delivery of the first car Tesla was able to deliver.")</f>
        <v>No. I took delivery of the first car Tesla was able to deliver.</v>
      </c>
      <c r="AH2613" s="189">
        <f>IFERROR(__xludf.DUMMYFUNCTION("""COMPUTED_VALUE"""),44189.946118437496)</f>
        <v>44189.94612</v>
      </c>
    </row>
    <row r="2614">
      <c r="A2614" t="str">
        <f>IFERROR(__xludf.DUMMYFUNCTION("""COMPUTED_VALUE"""),"RogerO3")</f>
        <v>RogerO3</v>
      </c>
      <c r="B2614" t="str">
        <f>IFERROR(__xludf.DUMMYFUNCTION("""COMPUTED_VALUE"""),"Detroit")</f>
        <v>Detroit</v>
      </c>
      <c r="C2614" t="str">
        <f>IFERROR(__xludf.DUMMYFUNCTION("""COMPUTED_VALUE"""),"MI")</f>
        <v>MI</v>
      </c>
      <c r="D2614" t="str">
        <f>IFERROR(__xludf.DUMMYFUNCTION("""COMPUTED_VALUE"""),"USA")</f>
        <v>USA</v>
      </c>
      <c r="E2614" s="188">
        <f>IFERROR(__xludf.DUMMYFUNCTION("""COMPUTED_VALUE"""),44128.0)</f>
        <v>44128</v>
      </c>
      <c r="F2614" s="188">
        <f>IFERROR(__xludf.DUMMYFUNCTION("""COMPUTED_VALUE"""),44163.0)</f>
        <v>44163</v>
      </c>
      <c r="G2614" t="str">
        <f>IFERROR(__xludf.DUMMYFUNCTION("""COMPUTED_VALUE"""),"Manage order page (normal text)")</f>
        <v>Manage order page (normal text)</v>
      </c>
      <c r="H2614">
        <f>IFERROR(__xludf.DUMMYFUNCTION("""COMPUTED_VALUE"""),851846.0)</f>
        <v>851846</v>
      </c>
      <c r="J2614" s="5">
        <f>IFERROR(__xludf.DUMMYFUNCTION("""COMPUTED_VALUE"""),44176.0)</f>
        <v>44176</v>
      </c>
      <c r="K2614">
        <f>IFERROR(__xludf.DUMMYFUNCTION("""COMPUTED_VALUE"""),35.0)</f>
        <v>35</v>
      </c>
      <c r="L2614">
        <f>IFERROR(__xludf.DUMMYFUNCTION("""COMPUTED_VALUE"""),13.0)</f>
        <v>13</v>
      </c>
      <c r="M2614">
        <f>IFERROR(__xludf.DUMMYFUNCTION("""COMPUTED_VALUE"""),48.0)</f>
        <v>48</v>
      </c>
      <c r="N2614" t="str">
        <f>IFERROR(__xludf.DUMMYFUNCTION("""COMPUTED_VALUE"""),"Model 3 SR+")</f>
        <v>Model 3 SR+</v>
      </c>
      <c r="O2614" t="str">
        <f>IFERROR(__xludf.DUMMYFUNCTION("""COMPUTED_VALUE"""),"Pearl White Multi-Coat")</f>
        <v>Pearl White Multi-Coat</v>
      </c>
      <c r="P2614" t="str">
        <f>IFERROR(__xludf.DUMMYFUNCTION("""COMPUTED_VALUE"""),"18 inch")</f>
        <v>18 inch</v>
      </c>
      <c r="Q2614" t="str">
        <f>IFERROR(__xludf.DUMMYFUNCTION("""COMPUTED_VALUE"""),"Black and White")</f>
        <v>Black and White</v>
      </c>
      <c r="R2614" t="str">
        <f>IFERROR(__xludf.DUMMYFUNCTION("""COMPUTED_VALUE"""),"Autopilot included")</f>
        <v>Autopilot included</v>
      </c>
      <c r="S2614" t="str">
        <f>IFERROR(__xludf.DUMMYFUNCTION("""COMPUTED_VALUE"""),"Loan")</f>
        <v>Loan</v>
      </c>
      <c r="T2614" t="str">
        <f>IFERROR(__xludf.DUMMYFUNCTION("""COMPUTED_VALUE"""),"Chevy Volt")</f>
        <v>Chevy Volt</v>
      </c>
      <c r="U2614" t="str">
        <f>IFERROR(__xludf.DUMMYFUNCTION("""COMPUTED_VALUE"""),"Electric!")</f>
        <v>Electric!</v>
      </c>
      <c r="V2614" t="str">
        <f>IFERROR(__xludf.DUMMYFUNCTION("""COMPUTED_VALUE"""),"360° Bird's eye view")</f>
        <v>360° Bird's eye view</v>
      </c>
      <c r="X2614" t="str">
        <f>IFERROR(__xludf.DUMMYFUNCTION("""COMPUTED_VALUE"""),"Excellent")</f>
        <v>Excellent</v>
      </c>
      <c r="Y2614" t="str">
        <f>IFERROR(__xludf.DUMMYFUNCTION("""COMPUTED_VALUE"""),"Excellent")</f>
        <v>Excellent</v>
      </c>
      <c r="Z2614" t="str">
        <f>IFERROR(__xludf.DUMMYFUNCTION("""COMPUTED_VALUE"""),"Excellent")</f>
        <v>Excellent</v>
      </c>
      <c r="AA2614" t="str">
        <f>IFERROR(__xludf.DUMMYFUNCTION("""COMPUTED_VALUE"""),"Excellent")</f>
        <v>Excellent</v>
      </c>
      <c r="AB2614" t="str">
        <f>IFERROR(__xludf.DUMMYFUNCTION("""COMPUTED_VALUE"""),"Very Good")</f>
        <v>Very Good</v>
      </c>
      <c r="AH2614" s="189">
        <f>IFERROR(__xludf.DUMMYFUNCTION("""COMPUTED_VALUE"""),44179.23454133102)</f>
        <v>44179.23454</v>
      </c>
    </row>
    <row r="2615">
      <c r="A2615" t="str">
        <f>IFERROR(__xludf.DUMMYFUNCTION("""COMPUTED_VALUE"""),"mrg0114")</f>
        <v>mrg0114</v>
      </c>
      <c r="B2615" t="str">
        <f>IFERROR(__xludf.DUMMYFUNCTION("""COMPUTED_VALUE"""),"Chicago")</f>
        <v>Chicago</v>
      </c>
      <c r="C2615" t="str">
        <f>IFERROR(__xludf.DUMMYFUNCTION("""COMPUTED_VALUE"""),"IL")</f>
        <v>IL</v>
      </c>
      <c r="D2615" t="str">
        <f>IFERROR(__xludf.DUMMYFUNCTION("""COMPUTED_VALUE"""),"USA")</f>
        <v>USA</v>
      </c>
      <c r="E2615" s="188">
        <f>IFERROR(__xludf.DUMMYFUNCTION("""COMPUTED_VALUE"""),44135.0)</f>
        <v>44135</v>
      </c>
      <c r="F2615" s="188">
        <f>IFERROR(__xludf.DUMMYFUNCTION("""COMPUTED_VALUE"""),44160.0)</f>
        <v>44160</v>
      </c>
      <c r="G2615" t="str">
        <f>IFERROR(__xludf.DUMMYFUNCTION("""COMPUTED_VALUE"""),"Manage order page (normal text)")</f>
        <v>Manage order page (normal text)</v>
      </c>
      <c r="H2615">
        <f>IFERROR(__xludf.DUMMYFUNCTION("""COMPUTED_VALUE"""),848155.0)</f>
        <v>848155</v>
      </c>
      <c r="I2615" t="str">
        <f>IFERROR(__xludf.DUMMYFUNCTION("""COMPUTED_VALUE"""),"11/20")</f>
        <v>11/20</v>
      </c>
      <c r="J2615" s="5">
        <f>IFERROR(__xludf.DUMMYFUNCTION("""COMPUTED_VALUE"""),44172.0)</f>
        <v>44172</v>
      </c>
      <c r="K2615">
        <f>IFERROR(__xludf.DUMMYFUNCTION("""COMPUTED_VALUE"""),25.0)</f>
        <v>25</v>
      </c>
      <c r="L2615">
        <f>IFERROR(__xludf.DUMMYFUNCTION("""COMPUTED_VALUE"""),12.0)</f>
        <v>12</v>
      </c>
      <c r="M2615">
        <f>IFERROR(__xludf.DUMMYFUNCTION("""COMPUTED_VALUE"""),37.0)</f>
        <v>37</v>
      </c>
      <c r="N2615" t="str">
        <f>IFERROR(__xludf.DUMMYFUNCTION("""COMPUTED_VALUE"""),"Model 3 LR AWD")</f>
        <v>Model 3 LR AWD</v>
      </c>
      <c r="O2615" t="str">
        <f>IFERROR(__xludf.DUMMYFUNCTION("""COMPUTED_VALUE"""),"Midnight Silver Metallic")</f>
        <v>Midnight Silver Metallic</v>
      </c>
      <c r="P2615" t="str">
        <f>IFERROR(__xludf.DUMMYFUNCTION("""COMPUTED_VALUE"""),"18 inch")</f>
        <v>18 inch</v>
      </c>
      <c r="Q2615" t="str">
        <f>IFERROR(__xludf.DUMMYFUNCTION("""COMPUTED_VALUE"""),"All Black")</f>
        <v>All Black</v>
      </c>
      <c r="R2615" t="str">
        <f>IFERROR(__xludf.DUMMYFUNCTION("""COMPUTED_VALUE"""),"Autopilot included")</f>
        <v>Autopilot included</v>
      </c>
      <c r="S2615" t="str">
        <f>IFERROR(__xludf.DUMMYFUNCTION("""COMPUTED_VALUE"""),"Loan")</f>
        <v>Loan</v>
      </c>
      <c r="T2615" t="str">
        <f>IFERROR(__xludf.DUMMYFUNCTION("""COMPUTED_VALUE"""),"Volvo V70")</f>
        <v>Volvo V70</v>
      </c>
      <c r="U2615" t="str">
        <f>IFERROR(__xludf.DUMMYFUNCTION("""COMPUTED_VALUE"""),"Tesla brand image")</f>
        <v>Tesla brand image</v>
      </c>
      <c r="V2615" t="str">
        <f>IFERROR(__xludf.DUMMYFUNCTION("""COMPUTED_VALUE"""),"Apple CarPlay / Android Auto / SiriusXM Radio")</f>
        <v>Apple CarPlay / Android Auto / SiriusXM Radio</v>
      </c>
      <c r="X2615" t="str">
        <f>IFERROR(__xludf.DUMMYFUNCTION("""COMPUTED_VALUE"""),"Very Good")</f>
        <v>Very Good</v>
      </c>
      <c r="Y2615" t="str">
        <f>IFERROR(__xludf.DUMMYFUNCTION("""COMPUTED_VALUE"""),"Very Good")</f>
        <v>Very Good</v>
      </c>
      <c r="Z2615" t="str">
        <f>IFERROR(__xludf.DUMMYFUNCTION("""COMPUTED_VALUE"""),"Very Good")</f>
        <v>Very Good</v>
      </c>
      <c r="AA2615" t="str">
        <f>IFERROR(__xludf.DUMMYFUNCTION("""COMPUTED_VALUE"""),"Very Good")</f>
        <v>Very Good</v>
      </c>
      <c r="AB2615" t="str">
        <f>IFERROR(__xludf.DUMMYFUNCTION("""COMPUTED_VALUE"""),"Excellent")</f>
        <v>Excellent</v>
      </c>
      <c r="AF2615" t="str">
        <f>IFERROR(__xludf.DUMMYFUNCTION("""COMPUTED_VALUE"""),"No. I took delivery of the first car Tesla was able to deliver.")</f>
        <v>No. I took delivery of the first car Tesla was able to deliver.</v>
      </c>
      <c r="AH2615" s="189">
        <f>IFERROR(__xludf.DUMMYFUNCTION("""COMPUTED_VALUE"""),44172.81870192129)</f>
        <v>44172.8187</v>
      </c>
    </row>
    <row r="2616">
      <c r="A2616" t="str">
        <f>IFERROR(__xludf.DUMMYFUNCTION("""COMPUTED_VALUE"""),"DisgruntledParakeet")</f>
        <v>DisgruntledParakeet</v>
      </c>
      <c r="B2616" t="str">
        <f>IFERROR(__xludf.DUMMYFUNCTION("""COMPUTED_VALUE"""),"San Antonio")</f>
        <v>San Antonio</v>
      </c>
      <c r="C2616" t="str">
        <f>IFERROR(__xludf.DUMMYFUNCTION("""COMPUTED_VALUE"""),"TX")</f>
        <v>TX</v>
      </c>
      <c r="D2616" t="str">
        <f>IFERROR(__xludf.DUMMYFUNCTION("""COMPUTED_VALUE"""),"USA")</f>
        <v>USA</v>
      </c>
      <c r="E2616" s="188">
        <f>IFERROR(__xludf.DUMMYFUNCTION("""COMPUTED_VALUE"""),44120.0)</f>
        <v>44120</v>
      </c>
      <c r="F2616" s="188">
        <f>IFERROR(__xludf.DUMMYFUNCTION("""COMPUTED_VALUE"""),44159.0)</f>
        <v>44159</v>
      </c>
      <c r="H2616" s="4">
        <f>IFERROR(__xludf.DUMMYFUNCTION("""COMPUTED_VALUE"""),848097.0)</f>
        <v>848097</v>
      </c>
      <c r="J2616" s="5">
        <f>IFERROR(__xludf.DUMMYFUNCTION("""COMPUTED_VALUE"""),44174.0)</f>
        <v>44174</v>
      </c>
      <c r="K2616">
        <f>IFERROR(__xludf.DUMMYFUNCTION("""COMPUTED_VALUE"""),39.0)</f>
        <v>39</v>
      </c>
      <c r="L2616">
        <f>IFERROR(__xludf.DUMMYFUNCTION("""COMPUTED_VALUE"""),15.0)</f>
        <v>15</v>
      </c>
      <c r="M2616">
        <f>IFERROR(__xludf.DUMMYFUNCTION("""COMPUTED_VALUE"""),54.0)</f>
        <v>54</v>
      </c>
      <c r="N2616" t="str">
        <f>IFERROR(__xludf.DUMMYFUNCTION("""COMPUTED_VALUE"""),"Model 3 LR AWD")</f>
        <v>Model 3 LR AWD</v>
      </c>
      <c r="O2616" t="str">
        <f>IFERROR(__xludf.DUMMYFUNCTION("""COMPUTED_VALUE"""),"Midnight Silver Metallic")</f>
        <v>Midnight Silver Metallic</v>
      </c>
      <c r="P2616" t="str">
        <f>IFERROR(__xludf.DUMMYFUNCTION("""COMPUTED_VALUE"""),"18 inch Aero")</f>
        <v>18 inch Aero</v>
      </c>
      <c r="Q2616" t="str">
        <f>IFERROR(__xludf.DUMMYFUNCTION("""COMPUTED_VALUE"""),"Black seats")</f>
        <v>Black seats</v>
      </c>
      <c r="R2616" t="str">
        <f>IFERROR(__xludf.DUMMYFUNCTION("""COMPUTED_VALUE"""),"Autopilot")</f>
        <v>Autopilot</v>
      </c>
      <c r="AA2616" t="str">
        <f>IFERROR(__xludf.DUMMYFUNCTION("""COMPUTED_VALUE"""),"Good")</f>
        <v>Good</v>
      </c>
      <c r="AG2616" t="str">
        <f>IFERROR(__xludf.DUMMYFUNCTION("""COMPUTED_VALUE"""),"Delivery date options were 12/8 - 12/10")</f>
        <v>Delivery date options were 12/8 - 12/10</v>
      </c>
      <c r="AH2616" s="189">
        <f>IFERROR(__xludf.DUMMYFUNCTION("""COMPUTED_VALUE"""),44163.61483960648)</f>
        <v>44163.61484</v>
      </c>
    </row>
    <row r="2617">
      <c r="A2617" t="str">
        <f>IFERROR(__xludf.DUMMYFUNCTION("""COMPUTED_VALUE"""),"infiniteloop")</f>
        <v>infiniteloop</v>
      </c>
      <c r="B2617" t="str">
        <f>IFERROR(__xludf.DUMMYFUNCTION("""COMPUTED_VALUE"""),"Dallas")</f>
        <v>Dallas</v>
      </c>
      <c r="C2617" t="str">
        <f>IFERROR(__xludf.DUMMYFUNCTION("""COMPUTED_VALUE"""),"TX")</f>
        <v>TX</v>
      </c>
      <c r="D2617" t="str">
        <f>IFERROR(__xludf.DUMMYFUNCTION("""COMPUTED_VALUE"""),"USA")</f>
        <v>USA</v>
      </c>
      <c r="E2617" s="188">
        <f>IFERROR(__xludf.DUMMYFUNCTION("""COMPUTED_VALUE"""),44140.0)</f>
        <v>44140</v>
      </c>
      <c r="F2617" s="188">
        <f>IFERROR(__xludf.DUMMYFUNCTION("""COMPUTED_VALUE"""),44172.0)</f>
        <v>44172</v>
      </c>
      <c r="G2617" t="str">
        <f>IFERROR(__xludf.DUMMYFUNCTION("""COMPUTED_VALUE"""),"Email")</f>
        <v>Email</v>
      </c>
      <c r="H2617">
        <f>IFERROR(__xludf.DUMMYFUNCTION("""COMPUTED_VALUE"""),858655.0)</f>
        <v>858655</v>
      </c>
      <c r="I2617" t="str">
        <f>IFERROR(__xludf.DUMMYFUNCTION("""COMPUTED_VALUE"""),"11/20")</f>
        <v>11/20</v>
      </c>
      <c r="J2617" s="5">
        <f>IFERROR(__xludf.DUMMYFUNCTION("""COMPUTED_VALUE"""),44187.0)</f>
        <v>44187</v>
      </c>
      <c r="K2617">
        <f>IFERROR(__xludf.DUMMYFUNCTION("""COMPUTED_VALUE"""),32.0)</f>
        <v>32</v>
      </c>
      <c r="L2617">
        <f>IFERROR(__xludf.DUMMYFUNCTION("""COMPUTED_VALUE"""),15.0)</f>
        <v>15</v>
      </c>
      <c r="M2617">
        <f>IFERROR(__xludf.DUMMYFUNCTION("""COMPUTED_VALUE"""),47.0)</f>
        <v>47</v>
      </c>
      <c r="N2617" t="str">
        <f>IFERROR(__xludf.DUMMYFUNCTION("""COMPUTED_VALUE"""),"Model 3 LR AWD")</f>
        <v>Model 3 LR AWD</v>
      </c>
      <c r="O2617" t="str">
        <f>IFERROR(__xludf.DUMMYFUNCTION("""COMPUTED_VALUE"""),"Pearl White Multi-Coat")</f>
        <v>Pearl White Multi-Coat</v>
      </c>
      <c r="P2617" t="str">
        <f>IFERROR(__xludf.DUMMYFUNCTION("""COMPUTED_VALUE"""),"18 inch")</f>
        <v>18 inch</v>
      </c>
      <c r="Q2617" t="str">
        <f>IFERROR(__xludf.DUMMYFUNCTION("""COMPUTED_VALUE"""),"Black and White")</f>
        <v>Black and White</v>
      </c>
      <c r="R2617" t="str">
        <f>IFERROR(__xludf.DUMMYFUNCTION("""COMPUTED_VALUE"""),"Autopilot included")</f>
        <v>Autopilot included</v>
      </c>
      <c r="S2617" t="str">
        <f>IFERROR(__xludf.DUMMYFUNCTION("""COMPUTED_VALUE"""),"Loan")</f>
        <v>Loan</v>
      </c>
      <c r="X2617" t="str">
        <f>IFERROR(__xludf.DUMMYFUNCTION("""COMPUTED_VALUE"""),"Excellent")</f>
        <v>Excellent</v>
      </c>
      <c r="Y2617" t="str">
        <f>IFERROR(__xludf.DUMMYFUNCTION("""COMPUTED_VALUE"""),"Excellent")</f>
        <v>Excellent</v>
      </c>
      <c r="Z2617" t="str">
        <f>IFERROR(__xludf.DUMMYFUNCTION("""COMPUTED_VALUE"""),"Excellent")</f>
        <v>Excellent</v>
      </c>
      <c r="AA2617" t="str">
        <f>IFERROR(__xludf.DUMMYFUNCTION("""COMPUTED_VALUE"""),"Excellent")</f>
        <v>Excellent</v>
      </c>
      <c r="AB2617" t="str">
        <f>IFERROR(__xludf.DUMMYFUNCTION("""COMPUTED_VALUE"""),"Excellent")</f>
        <v>Excellent</v>
      </c>
      <c r="AF2617" t="str">
        <f>IFERROR(__xludf.DUMMYFUNCTION("""COMPUTED_VALUE"""),"No. I took delivery of the first car Tesla was able to deliver.")</f>
        <v>No. I took delivery of the first car Tesla was able to deliver.</v>
      </c>
      <c r="AH2617" s="189">
        <f>IFERROR(__xludf.DUMMYFUNCTION("""COMPUTED_VALUE"""),44188.486176597224)</f>
        <v>44188.48618</v>
      </c>
    </row>
    <row r="2618">
      <c r="A2618" t="str">
        <f>IFERROR(__xludf.DUMMYFUNCTION("""COMPUTED_VALUE"""),"Dova849")</f>
        <v>Dova849</v>
      </c>
      <c r="B2618" t="str">
        <f>IFERROR(__xludf.DUMMYFUNCTION("""COMPUTED_VALUE"""),"Montclair")</f>
        <v>Montclair</v>
      </c>
      <c r="C2618" t="str">
        <f>IFERROR(__xludf.DUMMYFUNCTION("""COMPUTED_VALUE"""),"NJ")</f>
        <v>NJ</v>
      </c>
      <c r="D2618" t="str">
        <f>IFERROR(__xludf.DUMMYFUNCTION("""COMPUTED_VALUE"""),"USA")</f>
        <v>USA</v>
      </c>
      <c r="E2618" s="188">
        <f>IFERROR(__xludf.DUMMYFUNCTION("""COMPUTED_VALUE"""),44149.0)</f>
        <v>44149</v>
      </c>
      <c r="F2618" s="188">
        <f>IFERROR(__xludf.DUMMYFUNCTION("""COMPUTED_VALUE"""),44180.0)</f>
        <v>44180</v>
      </c>
      <c r="G2618" t="str">
        <f>IFERROR(__xludf.DUMMYFUNCTION("""COMPUTED_VALUE"""),"Manage order page (normal text)")</f>
        <v>Manage order page (normal text)</v>
      </c>
      <c r="H2618">
        <f>IFERROR(__xludf.DUMMYFUNCTION("""COMPUTED_VALUE"""),858355.0)</f>
        <v>858355</v>
      </c>
      <c r="I2618" t="str">
        <f>IFERROR(__xludf.DUMMYFUNCTION("""COMPUTED_VALUE"""),"11/20")</f>
        <v>11/20</v>
      </c>
      <c r="J2618" s="5">
        <f>IFERROR(__xludf.DUMMYFUNCTION("""COMPUTED_VALUE"""),44191.0)</f>
        <v>44191</v>
      </c>
      <c r="K2618">
        <f>IFERROR(__xludf.DUMMYFUNCTION("""COMPUTED_VALUE"""),31.0)</f>
        <v>31</v>
      </c>
      <c r="L2618">
        <f>IFERROR(__xludf.DUMMYFUNCTION("""COMPUTED_VALUE"""),11.0)</f>
        <v>11</v>
      </c>
      <c r="M2618">
        <f>IFERROR(__xludf.DUMMYFUNCTION("""COMPUTED_VALUE"""),42.0)</f>
        <v>42</v>
      </c>
      <c r="N2618" t="str">
        <f>IFERROR(__xludf.DUMMYFUNCTION("""COMPUTED_VALUE"""),"Model 3 LR AWD")</f>
        <v>Model 3 LR AWD</v>
      </c>
      <c r="O2618" t="str">
        <f>IFERROR(__xludf.DUMMYFUNCTION("""COMPUTED_VALUE"""),"Midnight Silver Metallic")</f>
        <v>Midnight Silver Metallic</v>
      </c>
      <c r="P2618" t="str">
        <f>IFERROR(__xludf.DUMMYFUNCTION("""COMPUTED_VALUE"""),"18 inch")</f>
        <v>18 inch</v>
      </c>
      <c r="Q2618" t="str">
        <f>IFERROR(__xludf.DUMMYFUNCTION("""COMPUTED_VALUE"""),"All Black")</f>
        <v>All Black</v>
      </c>
      <c r="R2618" t="str">
        <f>IFERROR(__xludf.DUMMYFUNCTION("""COMPUTED_VALUE"""),"Autopilot included")</f>
        <v>Autopilot included</v>
      </c>
      <c r="S2618" t="str">
        <f>IFERROR(__xludf.DUMMYFUNCTION("""COMPUTED_VALUE"""),"Loan")</f>
        <v>Loan</v>
      </c>
      <c r="T2618" t="str">
        <f>IFERROR(__xludf.DUMMYFUNCTION("""COMPUTED_VALUE"""),"2017 Buick Regal GS")</f>
        <v>2017 Buick Regal GS</v>
      </c>
      <c r="U2618" t="str">
        <f>IFERROR(__xludf.DUMMYFUNCTION("""COMPUTED_VALUE"""),"Autopilot")</f>
        <v>Autopilot</v>
      </c>
      <c r="V2618" t="str">
        <f>IFERROR(__xludf.DUMMYFUNCTION("""COMPUTED_VALUE"""),"HomeLink")</f>
        <v>HomeLink</v>
      </c>
      <c r="W2618" t="str">
        <f>IFERROR(__xludf.DUMMYFUNCTION("""COMPUTED_VALUE"""),"Be nice to the Tesla reps and they will be very helpful. ")</f>
        <v>Be nice to the Tesla reps and they will be very helpful. </v>
      </c>
      <c r="AH2618" s="189">
        <f>IFERROR(__xludf.DUMMYFUNCTION("""COMPUTED_VALUE"""),44187.45827711806)</f>
        <v>44187.45828</v>
      </c>
    </row>
    <row r="2619">
      <c r="A2619" t="str">
        <f>IFERROR(__xludf.DUMMYFUNCTION("""COMPUTED_VALUE"""),"kxts")</f>
        <v>kxts</v>
      </c>
      <c r="B2619" t="str">
        <f>IFERROR(__xludf.DUMMYFUNCTION("""COMPUTED_VALUE"""),"Portland")</f>
        <v>Portland</v>
      </c>
      <c r="C2619" t="str">
        <f>IFERROR(__xludf.DUMMYFUNCTION("""COMPUTED_VALUE"""),"OR")</f>
        <v>OR</v>
      </c>
      <c r="D2619" t="str">
        <f>IFERROR(__xludf.DUMMYFUNCTION("""COMPUTED_VALUE"""),"USA")</f>
        <v>USA</v>
      </c>
      <c r="E2619" s="188">
        <f>IFERROR(__xludf.DUMMYFUNCTION("""COMPUTED_VALUE"""),44102.0)</f>
        <v>44102</v>
      </c>
      <c r="F2619" s="188">
        <f>IFERROR(__xludf.DUMMYFUNCTION("""COMPUTED_VALUE"""),44159.0)</f>
        <v>44159</v>
      </c>
      <c r="H2619">
        <f>IFERROR(__xludf.DUMMYFUNCTION("""COMPUTED_VALUE"""),836855.0)</f>
        <v>836855</v>
      </c>
      <c r="I2619" t="str">
        <f>IFERROR(__xludf.DUMMYFUNCTION("""COMPUTED_VALUE"""),"11/20")</f>
        <v>11/20</v>
      </c>
      <c r="J2619" s="5">
        <f>IFERROR(__xludf.DUMMYFUNCTION("""COMPUTED_VALUE"""),44163.0)</f>
        <v>44163</v>
      </c>
      <c r="K2619">
        <f>IFERROR(__xludf.DUMMYFUNCTION("""COMPUTED_VALUE"""),57.0)</f>
        <v>57</v>
      </c>
      <c r="L2619">
        <f>IFERROR(__xludf.DUMMYFUNCTION("""COMPUTED_VALUE"""),4.0)</f>
        <v>4</v>
      </c>
      <c r="M2619">
        <f>IFERROR(__xludf.DUMMYFUNCTION("""COMPUTED_VALUE"""),61.0)</f>
        <v>61</v>
      </c>
      <c r="N2619" t="str">
        <f>IFERROR(__xludf.DUMMYFUNCTION("""COMPUTED_VALUE"""),"Model 3 LR AWD")</f>
        <v>Model 3 LR AWD</v>
      </c>
      <c r="O2619" t="str">
        <f>IFERROR(__xludf.DUMMYFUNCTION("""COMPUTED_VALUE"""),"Deep Blue Metallic")</f>
        <v>Deep Blue Metallic</v>
      </c>
      <c r="P2619" t="str">
        <f>IFERROR(__xludf.DUMMYFUNCTION("""COMPUTED_VALUE"""),"18 inch Aero")</f>
        <v>18 inch Aero</v>
      </c>
      <c r="Q2619" t="str">
        <f>IFERROR(__xludf.DUMMYFUNCTION("""COMPUTED_VALUE"""),"Black seats")</f>
        <v>Black seats</v>
      </c>
      <c r="R2619" t="str">
        <f>IFERROR(__xludf.DUMMYFUNCTION("""COMPUTED_VALUE"""),"Full Self-Driving")</f>
        <v>Full Self-Driving</v>
      </c>
      <c r="X2619" t="str">
        <f>IFERROR(__xludf.DUMMYFUNCTION("""COMPUTED_VALUE"""),"Excellent")</f>
        <v>Excellent</v>
      </c>
      <c r="Y2619" t="str">
        <f>IFERROR(__xludf.DUMMYFUNCTION("""COMPUTED_VALUE"""),"Very Good")</f>
        <v>Very Good</v>
      </c>
      <c r="Z2619" t="str">
        <f>IFERROR(__xludf.DUMMYFUNCTION("""COMPUTED_VALUE"""),"Very Good")</f>
        <v>Very Good</v>
      </c>
      <c r="AA2619" t="str">
        <f>IFERROR(__xludf.DUMMYFUNCTION("""COMPUTED_VALUE"""),"Good")</f>
        <v>Good</v>
      </c>
      <c r="AB2619" t="str">
        <f>IFERROR(__xludf.DUMMYFUNCTION("""COMPUTED_VALUE"""),"Excellent")</f>
        <v>Excellent</v>
      </c>
      <c r="AC2619">
        <f>IFERROR(__xludf.DUMMYFUNCTION("""COMPUTED_VALUE"""),3.0)</f>
        <v>3</v>
      </c>
      <c r="AH2619" s="189">
        <f>IFERROR(__xludf.DUMMYFUNCTION("""COMPUTED_VALUE"""),44163.815125312496)</f>
        <v>44163.81513</v>
      </c>
    </row>
    <row r="2620">
      <c r="A2620" t="str">
        <f>IFERROR(__xludf.DUMMYFUNCTION("""COMPUTED_VALUE"""),"milthon")</f>
        <v>milthon</v>
      </c>
      <c r="B2620" t="str">
        <f>IFERROR(__xludf.DUMMYFUNCTION("""COMPUTED_VALUE"""),"Atlanta")</f>
        <v>Atlanta</v>
      </c>
      <c r="C2620" t="str">
        <f>IFERROR(__xludf.DUMMYFUNCTION("""COMPUTED_VALUE"""),"GA")</f>
        <v>GA</v>
      </c>
      <c r="D2620" t="str">
        <f>IFERROR(__xludf.DUMMYFUNCTION("""COMPUTED_VALUE"""),"USA")</f>
        <v>USA</v>
      </c>
      <c r="E2620" s="188">
        <f>IFERROR(__xludf.DUMMYFUNCTION("""COMPUTED_VALUE"""),44133.0)</f>
        <v>44133</v>
      </c>
      <c r="F2620" s="188">
        <f>IFERROR(__xludf.DUMMYFUNCTION("""COMPUTED_VALUE"""),44164.0)</f>
        <v>44164</v>
      </c>
      <c r="G2620" t="str">
        <f>IFERROR(__xludf.DUMMYFUNCTION("""COMPUTED_VALUE"""),"Manage order page (normal text)")</f>
        <v>Manage order page (normal text)</v>
      </c>
      <c r="H2620">
        <f>IFERROR(__xludf.DUMMYFUNCTION("""COMPUTED_VALUE"""),850755.0)</f>
        <v>850755</v>
      </c>
      <c r="I2620" t="str">
        <f>IFERROR(__xludf.DUMMYFUNCTION("""COMPUTED_VALUE"""),"11/20")</f>
        <v>11/20</v>
      </c>
      <c r="J2620" s="5">
        <f>IFERROR(__xludf.DUMMYFUNCTION("""COMPUTED_VALUE"""),44178.0)</f>
        <v>44178</v>
      </c>
      <c r="K2620">
        <f>IFERROR(__xludf.DUMMYFUNCTION("""COMPUTED_VALUE"""),31.0)</f>
        <v>31</v>
      </c>
      <c r="L2620">
        <f>IFERROR(__xludf.DUMMYFUNCTION("""COMPUTED_VALUE"""),14.0)</f>
        <v>14</v>
      </c>
      <c r="M2620">
        <f>IFERROR(__xludf.DUMMYFUNCTION("""COMPUTED_VALUE"""),45.0)</f>
        <v>45</v>
      </c>
      <c r="N2620" t="str">
        <f>IFERROR(__xludf.DUMMYFUNCTION("""COMPUTED_VALUE"""),"Model 3 Performance")</f>
        <v>Model 3 Performance</v>
      </c>
      <c r="O2620" t="str">
        <f>IFERROR(__xludf.DUMMYFUNCTION("""COMPUTED_VALUE"""),"Deep Blue Metallic")</f>
        <v>Deep Blue Metallic</v>
      </c>
      <c r="P2620" t="str">
        <f>IFERROR(__xludf.DUMMYFUNCTION("""COMPUTED_VALUE"""),"20 inch")</f>
        <v>20 inch</v>
      </c>
      <c r="Q2620" t="str">
        <f>IFERROR(__xludf.DUMMYFUNCTION("""COMPUTED_VALUE"""),"All Black")</f>
        <v>All Black</v>
      </c>
      <c r="R2620" t="str">
        <f>IFERROR(__xludf.DUMMYFUNCTION("""COMPUTED_VALUE"""),"Autopilot included")</f>
        <v>Autopilot included</v>
      </c>
      <c r="S2620" t="str">
        <f>IFERROR(__xludf.DUMMYFUNCTION("""COMPUTED_VALUE"""),"Cash")</f>
        <v>Cash</v>
      </c>
      <c r="T2620" t="str">
        <f>IFERROR(__xludf.DUMMYFUNCTION("""COMPUTED_VALUE"""),"Lexus IS350")</f>
        <v>Lexus IS350</v>
      </c>
      <c r="U2620" t="str">
        <f>IFERROR(__xludf.DUMMYFUNCTION("""COMPUTED_VALUE"""),"Electric!")</f>
        <v>Electric!</v>
      </c>
      <c r="V2620" t="str">
        <f>IFERROR(__xludf.DUMMYFUNCTION("""COMPUTED_VALUE"""),"Apple CarPlay / Android Auto / SiriusXM Radio")</f>
        <v>Apple CarPlay / Android Auto / SiriusXM Radio</v>
      </c>
      <c r="X2620" t="str">
        <f>IFERROR(__xludf.DUMMYFUNCTION("""COMPUTED_VALUE"""),"Good")</f>
        <v>Good</v>
      </c>
      <c r="Y2620" t="str">
        <f>IFERROR(__xludf.DUMMYFUNCTION("""COMPUTED_VALUE"""),"Good")</f>
        <v>Good</v>
      </c>
      <c r="Z2620" t="str">
        <f>IFERROR(__xludf.DUMMYFUNCTION("""COMPUTED_VALUE"""),"Fair")</f>
        <v>Fair</v>
      </c>
      <c r="AA2620" t="str">
        <f>IFERROR(__xludf.DUMMYFUNCTION("""COMPUTED_VALUE"""),"Fair")</f>
        <v>Fair</v>
      </c>
      <c r="AB2620" t="str">
        <f>IFERROR(__xludf.DUMMYFUNCTION("""COMPUTED_VALUE"""),"Good")</f>
        <v>Good</v>
      </c>
      <c r="AC2620">
        <f>IFERROR(__xludf.DUMMYFUNCTION("""COMPUTED_VALUE"""),4.0)</f>
        <v>4</v>
      </c>
      <c r="AF2620" t="str">
        <f>IFERROR(__xludf.DUMMYFUNCTION("""COMPUTED_VALUE"""),"No. I took delivery of the first car Tesla was able to deliver.")</f>
        <v>No. I took delivery of the first car Tesla was able to deliver.</v>
      </c>
      <c r="AH2620" s="189">
        <f>IFERROR(__xludf.DUMMYFUNCTION("""COMPUTED_VALUE"""),44179.46950474537)</f>
        <v>44179.4695</v>
      </c>
    </row>
    <row r="2621">
      <c r="A2621" t="str">
        <f>IFERROR(__xludf.DUMMYFUNCTION("""COMPUTED_VALUE"""),"Tratix")</f>
        <v>Tratix</v>
      </c>
      <c r="B2621" t="str">
        <f>IFERROR(__xludf.DUMMYFUNCTION("""COMPUTED_VALUE"""),"Roselle")</f>
        <v>Roselle</v>
      </c>
      <c r="C2621" t="str">
        <f>IFERROR(__xludf.DUMMYFUNCTION("""COMPUTED_VALUE"""),"NJ")</f>
        <v>NJ</v>
      </c>
      <c r="D2621" t="str">
        <f>IFERROR(__xludf.DUMMYFUNCTION("""COMPUTED_VALUE"""),"USA")</f>
        <v>USA</v>
      </c>
      <c r="E2621" s="188">
        <f>IFERROR(__xludf.DUMMYFUNCTION("""COMPUTED_VALUE"""),44145.0)</f>
        <v>44145</v>
      </c>
      <c r="F2621" s="188">
        <f>IFERROR(__xludf.DUMMYFUNCTION("""COMPUTED_VALUE"""),44173.0)</f>
        <v>44173</v>
      </c>
      <c r="G2621" t="str">
        <f>IFERROR(__xludf.DUMMYFUNCTION("""COMPUTED_VALUE"""),"Manage order page (normal text)")</f>
        <v>Manage order page (normal text)</v>
      </c>
      <c r="H2621">
        <f>IFERROR(__xludf.DUMMYFUNCTION("""COMPUTED_VALUE"""),852104.0)</f>
        <v>852104</v>
      </c>
      <c r="I2621" t="str">
        <f>IFERROR(__xludf.DUMMYFUNCTION("""COMPUTED_VALUE"""),"12/20")</f>
        <v>12/20</v>
      </c>
      <c r="J2621" s="5">
        <f>IFERROR(__xludf.DUMMYFUNCTION("""COMPUTED_VALUE"""),44186.0)</f>
        <v>44186</v>
      </c>
      <c r="K2621">
        <f>IFERROR(__xludf.DUMMYFUNCTION("""COMPUTED_VALUE"""),28.0)</f>
        <v>28</v>
      </c>
      <c r="L2621">
        <f>IFERROR(__xludf.DUMMYFUNCTION("""COMPUTED_VALUE"""),13.0)</f>
        <v>13</v>
      </c>
      <c r="M2621">
        <f>IFERROR(__xludf.DUMMYFUNCTION("""COMPUTED_VALUE"""),41.0)</f>
        <v>41</v>
      </c>
      <c r="N2621" t="str">
        <f>IFERROR(__xludf.DUMMYFUNCTION("""COMPUTED_VALUE"""),"Model 3 SR+")</f>
        <v>Model 3 SR+</v>
      </c>
      <c r="O2621" t="str">
        <f>IFERROR(__xludf.DUMMYFUNCTION("""COMPUTED_VALUE"""),"Pearl White Multi-Coat")</f>
        <v>Pearl White Multi-Coat</v>
      </c>
      <c r="P2621" t="str">
        <f>IFERROR(__xludf.DUMMYFUNCTION("""COMPUTED_VALUE"""),"18 inch")</f>
        <v>18 inch</v>
      </c>
      <c r="Q2621" t="str">
        <f>IFERROR(__xludf.DUMMYFUNCTION("""COMPUTED_VALUE"""),"All Black")</f>
        <v>All Black</v>
      </c>
      <c r="R2621" t="str">
        <f>IFERROR(__xludf.DUMMYFUNCTION("""COMPUTED_VALUE"""),"Autopilot included")</f>
        <v>Autopilot included</v>
      </c>
      <c r="S2621" t="str">
        <f>IFERROR(__xludf.DUMMYFUNCTION("""COMPUTED_VALUE"""),"Loan")</f>
        <v>Loan</v>
      </c>
      <c r="T2621" t="str">
        <f>IFERROR(__xludf.DUMMYFUNCTION("""COMPUTED_VALUE"""),"Chrysler Cirrus")</f>
        <v>Chrysler Cirrus</v>
      </c>
      <c r="U2621" t="str">
        <f>IFERROR(__xludf.DUMMYFUNCTION("""COMPUTED_VALUE"""),"As an investor, everything")</f>
        <v>As an investor, everything</v>
      </c>
      <c r="V2621" t="str">
        <f>IFERROR(__xludf.DUMMYFUNCTION("""COMPUTED_VALUE"""),"Head-up display")</f>
        <v>Head-up display</v>
      </c>
      <c r="X2621" t="str">
        <f>IFERROR(__xludf.DUMMYFUNCTION("""COMPUTED_VALUE"""),"Excellent")</f>
        <v>Excellent</v>
      </c>
      <c r="Y2621" t="str">
        <f>IFERROR(__xludf.DUMMYFUNCTION("""COMPUTED_VALUE"""),"Excellent")</f>
        <v>Excellent</v>
      </c>
      <c r="Z2621" t="str">
        <f>IFERROR(__xludf.DUMMYFUNCTION("""COMPUTED_VALUE"""),"Excellent")</f>
        <v>Excellent</v>
      </c>
      <c r="AA2621" t="str">
        <f>IFERROR(__xludf.DUMMYFUNCTION("""COMPUTED_VALUE"""),"Poor")</f>
        <v>Poor</v>
      </c>
      <c r="AB2621" t="str">
        <f>IFERROR(__xludf.DUMMYFUNCTION("""COMPUTED_VALUE"""),"Very Good")</f>
        <v>Very Good</v>
      </c>
      <c r="AC2621">
        <f>IFERROR(__xludf.DUMMYFUNCTION("""COMPUTED_VALUE"""),0.0)</f>
        <v>0</v>
      </c>
      <c r="AF2621" t="str">
        <f>IFERROR(__xludf.DUMMYFUNCTION("""COMPUTED_VALUE"""),"No. I took delivery of the first car Tesla was able to deliver.")</f>
        <v>No. I took delivery of the first car Tesla was able to deliver.</v>
      </c>
      <c r="AG2621" t="str">
        <f>IFERROR(__xludf.DUMMYFUNCTION("""COMPUTED_VALUE"""),"ETA Updated to Dec 17th - Dec 23rd")</f>
        <v>ETA Updated to Dec 17th - Dec 23rd</v>
      </c>
      <c r="AH2621" s="189">
        <f>IFERROR(__xludf.DUMMYFUNCTION("""COMPUTED_VALUE"""),44195.77867533565)</f>
        <v>44195.77868</v>
      </c>
    </row>
    <row r="2622">
      <c r="A2622" t="str">
        <f>IFERROR(__xludf.DUMMYFUNCTION("""COMPUTED_VALUE"""),"lightcyan")</f>
        <v>lightcyan</v>
      </c>
      <c r="B2622" t="str">
        <f>IFERROR(__xludf.DUMMYFUNCTION("""COMPUTED_VALUE"""),"Jacksonville")</f>
        <v>Jacksonville</v>
      </c>
      <c r="C2622" t="str">
        <f>IFERROR(__xludf.DUMMYFUNCTION("""COMPUTED_VALUE"""),"FL")</f>
        <v>FL</v>
      </c>
      <c r="D2622" t="str">
        <f>IFERROR(__xludf.DUMMYFUNCTION("""COMPUTED_VALUE"""),"USA")</f>
        <v>USA</v>
      </c>
      <c r="E2622" s="188">
        <f>IFERROR(__xludf.DUMMYFUNCTION("""COMPUTED_VALUE"""),44118.0)</f>
        <v>44118</v>
      </c>
      <c r="F2622" s="188">
        <f>IFERROR(__xludf.DUMMYFUNCTION("""COMPUTED_VALUE"""),44164.0)</f>
        <v>44164</v>
      </c>
      <c r="G2622" t="str">
        <f>IFERROR(__xludf.DUMMYFUNCTION("""COMPUTED_VALUE"""),"Manage order page (normal text)")</f>
        <v>Manage order page (normal text)</v>
      </c>
      <c r="H2622">
        <f>IFERROR(__xludf.DUMMYFUNCTION("""COMPUTED_VALUE"""),850655.0)</f>
        <v>850655</v>
      </c>
      <c r="J2622" s="5">
        <f>IFERROR(__xludf.DUMMYFUNCTION("""COMPUTED_VALUE"""),44180.0)</f>
        <v>44180</v>
      </c>
      <c r="K2622">
        <f>IFERROR(__xludf.DUMMYFUNCTION("""COMPUTED_VALUE"""),46.0)</f>
        <v>46</v>
      </c>
      <c r="L2622">
        <f>IFERROR(__xludf.DUMMYFUNCTION("""COMPUTED_VALUE"""),16.0)</f>
        <v>16</v>
      </c>
      <c r="M2622">
        <f>IFERROR(__xludf.DUMMYFUNCTION("""COMPUTED_VALUE"""),62.0)</f>
        <v>62</v>
      </c>
      <c r="N2622" t="str">
        <f>IFERROR(__xludf.DUMMYFUNCTION("""COMPUTED_VALUE"""),"Model 3 SR+")</f>
        <v>Model 3 SR+</v>
      </c>
      <c r="O2622" t="str">
        <f>IFERROR(__xludf.DUMMYFUNCTION("""COMPUTED_VALUE"""),"Pearl White Multi-Coat")</f>
        <v>Pearl White Multi-Coat</v>
      </c>
      <c r="P2622" t="str">
        <f>IFERROR(__xludf.DUMMYFUNCTION("""COMPUTED_VALUE"""),"18 inch")</f>
        <v>18 inch</v>
      </c>
      <c r="Q2622" t="str">
        <f>IFERROR(__xludf.DUMMYFUNCTION("""COMPUTED_VALUE"""),"All Black")</f>
        <v>All Black</v>
      </c>
      <c r="R2622" t="str">
        <f>IFERROR(__xludf.DUMMYFUNCTION("""COMPUTED_VALUE"""),"Autopilot included")</f>
        <v>Autopilot included</v>
      </c>
      <c r="S2622" t="str">
        <f>IFERROR(__xludf.DUMMYFUNCTION("""COMPUTED_VALUE"""),"Loan")</f>
        <v>Loan</v>
      </c>
      <c r="X2622" t="str">
        <f>IFERROR(__xludf.DUMMYFUNCTION("""COMPUTED_VALUE"""),"Excellent")</f>
        <v>Excellent</v>
      </c>
      <c r="Y2622" t="str">
        <f>IFERROR(__xludf.DUMMYFUNCTION("""COMPUTED_VALUE"""),"Very Good")</f>
        <v>Very Good</v>
      </c>
      <c r="Z2622" t="str">
        <f>IFERROR(__xludf.DUMMYFUNCTION("""COMPUTED_VALUE"""),"Excellent")</f>
        <v>Excellent</v>
      </c>
      <c r="AA2622" t="str">
        <f>IFERROR(__xludf.DUMMYFUNCTION("""COMPUTED_VALUE"""),"Fair")</f>
        <v>Fair</v>
      </c>
      <c r="AB2622" t="str">
        <f>IFERROR(__xludf.DUMMYFUNCTION("""COMPUTED_VALUE"""),"Good")</f>
        <v>Good</v>
      </c>
      <c r="AF2622" t="str">
        <f>IFERROR(__xludf.DUMMYFUNCTION("""COMPUTED_VALUE"""),"No. I took delivery of the first car Tesla was able to deliver.")</f>
        <v>No. I took delivery of the first car Tesla was able to deliver.</v>
      </c>
      <c r="AG2622" t="str">
        <f>IFERROR(__xludf.DUMMYFUNCTION("""COMPUTED_VALUE"""),"Delivery estimate update: 12/13-12/19...11/10 - Text Update: expect 3-6 weeks for delivery.")</f>
        <v>Delivery estimate update: 12/13-12/19...11/10 - Text Update: expect 3-6 weeks for delivery.</v>
      </c>
      <c r="AH2622" s="189">
        <f>IFERROR(__xludf.DUMMYFUNCTION("""COMPUTED_VALUE"""),44181.2093618287)</f>
        <v>44181.20936</v>
      </c>
    </row>
    <row r="2623">
      <c r="A2623" t="str">
        <f>IFERROR(__xludf.DUMMYFUNCTION("""COMPUTED_VALUE"""),"Vonhorn")</f>
        <v>Vonhorn</v>
      </c>
      <c r="B2623" t="str">
        <f>IFERROR(__xludf.DUMMYFUNCTION("""COMPUTED_VALUE"""),"Seattle")</f>
        <v>Seattle</v>
      </c>
      <c r="C2623" t="str">
        <f>IFERROR(__xludf.DUMMYFUNCTION("""COMPUTED_VALUE"""),"WA")</f>
        <v>WA</v>
      </c>
      <c r="D2623" t="str">
        <f>IFERROR(__xludf.DUMMYFUNCTION("""COMPUTED_VALUE"""),"USA")</f>
        <v>USA</v>
      </c>
      <c r="E2623" s="188">
        <f>IFERROR(__xludf.DUMMYFUNCTION("""COMPUTED_VALUE"""),44120.0)</f>
        <v>44120</v>
      </c>
      <c r="F2623" s="188">
        <f>IFERROR(__xludf.DUMMYFUNCTION("""COMPUTED_VALUE"""),44164.0)</f>
        <v>44164</v>
      </c>
      <c r="G2623" t="str">
        <f>IFERROR(__xludf.DUMMYFUNCTION("""COMPUTED_VALUE"""),"Manage order page (normal text)")</f>
        <v>Manage order page (normal text)</v>
      </c>
      <c r="H2623">
        <f>IFERROR(__xludf.DUMMYFUNCTION("""COMPUTED_VALUE"""),856255.0)</f>
        <v>856255</v>
      </c>
      <c r="I2623" t="str">
        <f>IFERROR(__xludf.DUMMYFUNCTION("""COMPUTED_VALUE"""),"12/20")</f>
        <v>12/20</v>
      </c>
      <c r="J2623" s="5">
        <f>IFERROR(__xludf.DUMMYFUNCTION("""COMPUTED_VALUE"""),44169.0)</f>
        <v>44169</v>
      </c>
      <c r="K2623">
        <f>IFERROR(__xludf.DUMMYFUNCTION("""COMPUTED_VALUE"""),44.0)</f>
        <v>44</v>
      </c>
      <c r="L2623">
        <f>IFERROR(__xludf.DUMMYFUNCTION("""COMPUTED_VALUE"""),5.0)</f>
        <v>5</v>
      </c>
      <c r="M2623">
        <f>IFERROR(__xludf.DUMMYFUNCTION("""COMPUTED_VALUE"""),49.0)</f>
        <v>49</v>
      </c>
      <c r="N2623" t="str">
        <f>IFERROR(__xludf.DUMMYFUNCTION("""COMPUTED_VALUE"""),"Model 3 Performance")</f>
        <v>Model 3 Performance</v>
      </c>
      <c r="O2623" t="str">
        <f>IFERROR(__xludf.DUMMYFUNCTION("""COMPUTED_VALUE"""),"Pearl White Multi-Coat")</f>
        <v>Pearl White Multi-Coat</v>
      </c>
      <c r="P2623" t="str">
        <f>IFERROR(__xludf.DUMMYFUNCTION("""COMPUTED_VALUE"""),"20 inch")</f>
        <v>20 inch</v>
      </c>
      <c r="Q2623" t="str">
        <f>IFERROR(__xludf.DUMMYFUNCTION("""COMPUTED_VALUE"""),"All Black")</f>
        <v>All Black</v>
      </c>
      <c r="R2623" t="str">
        <f>IFERROR(__xludf.DUMMYFUNCTION("""COMPUTED_VALUE"""),"Autopilot included")</f>
        <v>Autopilot included</v>
      </c>
      <c r="S2623" t="str">
        <f>IFERROR(__xludf.DUMMYFUNCTION("""COMPUTED_VALUE"""),"Loan")</f>
        <v>Loan</v>
      </c>
      <c r="T2623" t="str">
        <f>IFERROR(__xludf.DUMMYFUNCTION("""COMPUTED_VALUE"""),"Tesla Model 3")</f>
        <v>Tesla Model 3</v>
      </c>
      <c r="U2623" t="str">
        <f>IFERROR(__xludf.DUMMYFUNCTION("""COMPUTED_VALUE"""),"It's cool")</f>
        <v>It's cool</v>
      </c>
      <c r="V2623" t="str">
        <f>IFERROR(__xludf.DUMMYFUNCTION("""COMPUTED_VALUE"""),"360° Bird's eye view")</f>
        <v>360° Bird's eye view</v>
      </c>
      <c r="W2623" t="str">
        <f>IFERROR(__xludf.DUMMYFUNCTION("""COMPUTED_VALUE"""),"Look over your car with a fine tooth comb")</f>
        <v>Look over your car with a fine tooth comb</v>
      </c>
      <c r="X2623" t="str">
        <f>IFERROR(__xludf.DUMMYFUNCTION("""COMPUTED_VALUE"""),"Good")</f>
        <v>Good</v>
      </c>
      <c r="Y2623" t="str">
        <f>IFERROR(__xludf.DUMMYFUNCTION("""COMPUTED_VALUE"""),"Very Good")</f>
        <v>Very Good</v>
      </c>
      <c r="Z2623" t="str">
        <f>IFERROR(__xludf.DUMMYFUNCTION("""COMPUTED_VALUE"""),"Good")</f>
        <v>Good</v>
      </c>
      <c r="AA2623" t="str">
        <f>IFERROR(__xludf.DUMMYFUNCTION("""COMPUTED_VALUE"""),"Poor")</f>
        <v>Poor</v>
      </c>
      <c r="AB2623" t="str">
        <f>IFERROR(__xludf.DUMMYFUNCTION("""COMPUTED_VALUE"""),"Fair")</f>
        <v>Fair</v>
      </c>
      <c r="AC2623">
        <f>IFERROR(__xludf.DUMMYFUNCTION("""COMPUTED_VALUE"""),6.0)</f>
        <v>6</v>
      </c>
      <c r="AD2623">
        <f>IFERROR(__xludf.DUMMYFUNCTION("""COMPUTED_VALUE"""),1.0)</f>
        <v>1</v>
      </c>
      <c r="AF2623" t="str">
        <f>IFERROR(__xludf.DUMMYFUNCTION("""COMPUTED_VALUE"""),"No. I took delivery of the first car Tesla was able to deliver.")</f>
        <v>No. I took delivery of the first car Tesla was able to deliver.</v>
      </c>
      <c r="AH2623" s="189">
        <f>IFERROR(__xludf.DUMMYFUNCTION("""COMPUTED_VALUE"""),44170.43305931713)</f>
        <v>44170.43306</v>
      </c>
    </row>
    <row r="2624">
      <c r="A2624" t="str">
        <f>IFERROR(__xludf.DUMMYFUNCTION("""COMPUTED_VALUE"""),"ColonelCobra")</f>
        <v>ColonelCobra</v>
      </c>
      <c r="B2624" t="str">
        <f>IFERROR(__xludf.DUMMYFUNCTION("""COMPUTED_VALUE"""),"Sunnyvale")</f>
        <v>Sunnyvale</v>
      </c>
      <c r="C2624" t="str">
        <f>IFERROR(__xludf.DUMMYFUNCTION("""COMPUTED_VALUE"""),"CA")</f>
        <v>CA</v>
      </c>
      <c r="D2624" t="str">
        <f>IFERROR(__xludf.DUMMYFUNCTION("""COMPUTED_VALUE"""),"USA")</f>
        <v>USA</v>
      </c>
      <c r="E2624" s="188">
        <f>IFERROR(__xludf.DUMMYFUNCTION("""COMPUTED_VALUE"""),44126.0)</f>
        <v>44126</v>
      </c>
      <c r="F2624" s="188">
        <f>IFERROR(__xludf.DUMMYFUNCTION("""COMPUTED_VALUE"""),44170.0)</f>
        <v>44170</v>
      </c>
      <c r="G2624" t="str">
        <f>IFERROR(__xludf.DUMMYFUNCTION("""COMPUTED_VALUE"""),"Manage order page (normal text)")</f>
        <v>Manage order page (normal text)</v>
      </c>
      <c r="H2624">
        <f>IFERROR(__xludf.DUMMYFUNCTION("""COMPUTED_VALUE"""),855255.0)</f>
        <v>855255</v>
      </c>
      <c r="J2624" s="5">
        <f>IFERROR(__xludf.DUMMYFUNCTION("""COMPUTED_VALUE"""),44173.0)</f>
        <v>44173</v>
      </c>
      <c r="K2624">
        <f>IFERROR(__xludf.DUMMYFUNCTION("""COMPUTED_VALUE"""),44.0)</f>
        <v>44</v>
      </c>
      <c r="L2624">
        <f>IFERROR(__xludf.DUMMYFUNCTION("""COMPUTED_VALUE"""),3.0)</f>
        <v>3</v>
      </c>
      <c r="M2624">
        <f>IFERROR(__xludf.DUMMYFUNCTION("""COMPUTED_VALUE"""),47.0)</f>
        <v>47</v>
      </c>
      <c r="N2624" t="str">
        <f>IFERROR(__xludf.DUMMYFUNCTION("""COMPUTED_VALUE"""),"Model 3 LR AWD")</f>
        <v>Model 3 LR AWD</v>
      </c>
      <c r="O2624" t="str">
        <f>IFERROR(__xludf.DUMMYFUNCTION("""COMPUTED_VALUE"""),"Midnight Silver Metallic")</f>
        <v>Midnight Silver Metallic</v>
      </c>
      <c r="P2624" t="str">
        <f>IFERROR(__xludf.DUMMYFUNCTION("""COMPUTED_VALUE"""),"18 inch")</f>
        <v>18 inch</v>
      </c>
      <c r="Q2624" t="str">
        <f>IFERROR(__xludf.DUMMYFUNCTION("""COMPUTED_VALUE"""),"All Black")</f>
        <v>All Black</v>
      </c>
      <c r="R2624" t="str">
        <f>IFERROR(__xludf.DUMMYFUNCTION("""COMPUTED_VALUE"""),"Full Self-Driving")</f>
        <v>Full Self-Driving</v>
      </c>
      <c r="S2624" t="str">
        <f>IFERROR(__xludf.DUMMYFUNCTION("""COMPUTED_VALUE"""),"Loan")</f>
        <v>Loan</v>
      </c>
      <c r="U2624" t="str">
        <f>IFERROR(__xludf.DUMMYFUNCTION("""COMPUTED_VALUE"""),"Autopilot")</f>
        <v>Autopilot</v>
      </c>
      <c r="V2624" t="str">
        <f>IFERROR(__xludf.DUMMYFUNCTION("""COMPUTED_VALUE"""),"360° Bird's eye view")</f>
        <v>360° Bird's eye view</v>
      </c>
      <c r="X2624" t="str">
        <f>IFERROR(__xludf.DUMMYFUNCTION("""COMPUTED_VALUE"""),"Very Good")</f>
        <v>Very Good</v>
      </c>
      <c r="Y2624" t="str">
        <f>IFERROR(__xludf.DUMMYFUNCTION("""COMPUTED_VALUE"""),"Good")</f>
        <v>Good</v>
      </c>
      <c r="Z2624" t="str">
        <f>IFERROR(__xludf.DUMMYFUNCTION("""COMPUTED_VALUE"""),"Good")</f>
        <v>Good</v>
      </c>
      <c r="AA2624" t="str">
        <f>IFERROR(__xludf.DUMMYFUNCTION("""COMPUTED_VALUE"""),"Fair")</f>
        <v>Fair</v>
      </c>
      <c r="AB2624" t="str">
        <f>IFERROR(__xludf.DUMMYFUNCTION("""COMPUTED_VALUE"""),"Good")</f>
        <v>Good</v>
      </c>
      <c r="AC2624">
        <f>IFERROR(__xludf.DUMMYFUNCTION("""COMPUTED_VALUE"""),3.0)</f>
        <v>3</v>
      </c>
      <c r="AF2624" t="str">
        <f>IFERROR(__xludf.DUMMYFUNCTION("""COMPUTED_VALUE"""),"No. I took delivery of the first car Tesla was able to deliver.")</f>
        <v>No. I took delivery of the first car Tesla was able to deliver.</v>
      </c>
      <c r="AH2624" s="189">
        <f>IFERROR(__xludf.DUMMYFUNCTION("""COMPUTED_VALUE"""),44175.53934929398)</f>
        <v>44175.53935</v>
      </c>
    </row>
    <row r="2625">
      <c r="A2625" t="str">
        <f>IFERROR(__xludf.DUMMYFUNCTION("""COMPUTED_VALUE"""),"inspace2020")</f>
        <v>inspace2020</v>
      </c>
      <c r="B2625" t="str">
        <f>IFERROR(__xludf.DUMMYFUNCTION("""COMPUTED_VALUE"""),"Los Angeles")</f>
        <v>Los Angeles</v>
      </c>
      <c r="C2625" t="str">
        <f>IFERROR(__xludf.DUMMYFUNCTION("""COMPUTED_VALUE"""),"CA")</f>
        <v>CA</v>
      </c>
      <c r="D2625" t="str">
        <f>IFERROR(__xludf.DUMMYFUNCTION("""COMPUTED_VALUE"""),"USA")</f>
        <v>USA</v>
      </c>
      <c r="E2625" s="188">
        <f>IFERROR(__xludf.DUMMYFUNCTION("""COMPUTED_VALUE"""),44107.0)</f>
        <v>44107</v>
      </c>
      <c r="F2625" s="188">
        <f>IFERROR(__xludf.DUMMYFUNCTION("""COMPUTED_VALUE"""),44186.0)</f>
        <v>44186</v>
      </c>
      <c r="G2625" t="str">
        <f>IFERROR(__xludf.DUMMYFUNCTION("""COMPUTED_VALUE"""),"Manage order page (normal text)")</f>
        <v>Manage order page (normal text)</v>
      </c>
      <c r="H2625">
        <f>IFERROR(__xludf.DUMMYFUNCTION("""COMPUTED_VALUE"""),868755.0)</f>
        <v>868755</v>
      </c>
      <c r="I2625" t="str">
        <f>IFERROR(__xludf.DUMMYFUNCTION("""COMPUTED_VALUE"""),"12/20")</f>
        <v>12/20</v>
      </c>
      <c r="J2625" s="5">
        <f>IFERROR(__xludf.DUMMYFUNCTION("""COMPUTED_VALUE"""),44192.0)</f>
        <v>44192</v>
      </c>
      <c r="K2625">
        <f>IFERROR(__xludf.DUMMYFUNCTION("""COMPUTED_VALUE"""),79.0)</f>
        <v>79</v>
      </c>
      <c r="L2625">
        <f>IFERROR(__xludf.DUMMYFUNCTION("""COMPUTED_VALUE"""),6.0)</f>
        <v>6</v>
      </c>
      <c r="M2625">
        <f>IFERROR(__xludf.DUMMYFUNCTION("""COMPUTED_VALUE"""),85.0)</f>
        <v>85</v>
      </c>
      <c r="N2625" t="str">
        <f>IFERROR(__xludf.DUMMYFUNCTION("""COMPUTED_VALUE"""),"Model 3 LR AWD")</f>
        <v>Model 3 LR AWD</v>
      </c>
      <c r="O2625" t="str">
        <f>IFERROR(__xludf.DUMMYFUNCTION("""COMPUTED_VALUE"""),"Solid Black")</f>
        <v>Solid Black</v>
      </c>
      <c r="P2625" t="str">
        <f>IFERROR(__xludf.DUMMYFUNCTION("""COMPUTED_VALUE"""),"19 inch")</f>
        <v>19 inch</v>
      </c>
      <c r="Q2625" t="str">
        <f>IFERROR(__xludf.DUMMYFUNCTION("""COMPUTED_VALUE"""),"Black and White")</f>
        <v>Black and White</v>
      </c>
      <c r="R2625" t="str">
        <f>IFERROR(__xludf.DUMMYFUNCTION("""COMPUTED_VALUE"""),"Autopilot included")</f>
        <v>Autopilot included</v>
      </c>
      <c r="S2625" t="str">
        <f>IFERROR(__xludf.DUMMYFUNCTION("""COMPUTED_VALUE"""),"Loan")</f>
        <v>Loan</v>
      </c>
      <c r="U2625" t="str">
        <f>IFERROR(__xludf.DUMMYFUNCTION("""COMPUTED_VALUE"""),"Electric!")</f>
        <v>Electric!</v>
      </c>
      <c r="V2625" t="str">
        <f>IFERROR(__xludf.DUMMYFUNCTION("""COMPUTED_VALUE"""),"Apple CarPlay / Android Auto / SiriusXM Radio")</f>
        <v>Apple CarPlay / Android Auto / SiriusXM Radio</v>
      </c>
      <c r="X2625" t="str">
        <f>IFERROR(__xludf.DUMMYFUNCTION("""COMPUTED_VALUE"""),"Excellent")</f>
        <v>Excellent</v>
      </c>
      <c r="Y2625" t="str">
        <f>IFERROR(__xludf.DUMMYFUNCTION("""COMPUTED_VALUE"""),"Excellent")</f>
        <v>Excellent</v>
      </c>
      <c r="Z2625" t="str">
        <f>IFERROR(__xludf.DUMMYFUNCTION("""COMPUTED_VALUE"""),"Good")</f>
        <v>Good</v>
      </c>
      <c r="AA2625" t="str">
        <f>IFERROR(__xludf.DUMMYFUNCTION("""COMPUTED_VALUE"""),"Poor")</f>
        <v>Poor</v>
      </c>
      <c r="AB2625" t="str">
        <f>IFERROR(__xludf.DUMMYFUNCTION("""COMPUTED_VALUE"""),"Good")</f>
        <v>Good</v>
      </c>
      <c r="AF2625" t="str">
        <f>IFERROR(__xludf.DUMMYFUNCTION("""COMPUTED_VALUE"""),"No. I took delivery of the first car Tesla was able to deliver.")</f>
        <v>No. I took delivery of the first car Tesla was able to deliver.</v>
      </c>
      <c r="AG2625" t="str">
        <f>IFERROR(__xludf.DUMMYFUNCTION("""COMPUTED_VALUE"""),"Est Delivery: November 29 - December 05")</f>
        <v>Est Delivery: November 29 - December 05</v>
      </c>
      <c r="AH2625" s="189">
        <f>IFERROR(__xludf.DUMMYFUNCTION("""COMPUTED_VALUE"""),44193.40476872685)</f>
        <v>44193.40477</v>
      </c>
    </row>
    <row r="2626">
      <c r="A2626" t="str">
        <f>IFERROR(__xludf.DUMMYFUNCTION("""COMPUTED_VALUE"""),"teamnogas")</f>
        <v>teamnogas</v>
      </c>
      <c r="B2626" t="str">
        <f>IFERROR(__xludf.DUMMYFUNCTION("""COMPUTED_VALUE"""),"Baltimore")</f>
        <v>Baltimore</v>
      </c>
      <c r="C2626" t="str">
        <f>IFERROR(__xludf.DUMMYFUNCTION("""COMPUTED_VALUE"""),"MD")</f>
        <v>MD</v>
      </c>
      <c r="D2626" t="str">
        <f>IFERROR(__xludf.DUMMYFUNCTION("""COMPUTED_VALUE"""),"USA")</f>
        <v>USA</v>
      </c>
      <c r="E2626" s="188">
        <f>IFERROR(__xludf.DUMMYFUNCTION("""COMPUTED_VALUE"""),44137.0)</f>
        <v>44137</v>
      </c>
      <c r="F2626" s="188">
        <f>IFERROR(__xludf.DUMMYFUNCTION("""COMPUTED_VALUE"""),44165.0)</f>
        <v>44165</v>
      </c>
      <c r="G2626" t="str">
        <f>IFERROR(__xludf.DUMMYFUNCTION("""COMPUTED_VALUE"""),"Manage order page (normal text)")</f>
        <v>Manage order page (normal text)</v>
      </c>
      <c r="J2626" s="5">
        <f>IFERROR(__xludf.DUMMYFUNCTION("""COMPUTED_VALUE"""),44176.0)</f>
        <v>44176</v>
      </c>
      <c r="K2626">
        <f>IFERROR(__xludf.DUMMYFUNCTION("""COMPUTED_VALUE"""),28.0)</f>
        <v>28</v>
      </c>
      <c r="L2626">
        <f>IFERROR(__xludf.DUMMYFUNCTION("""COMPUTED_VALUE"""),11.0)</f>
        <v>11</v>
      </c>
      <c r="M2626">
        <f>IFERROR(__xludf.DUMMYFUNCTION("""COMPUTED_VALUE"""),39.0)</f>
        <v>39</v>
      </c>
      <c r="N2626" t="str">
        <f>IFERROR(__xludf.DUMMYFUNCTION("""COMPUTED_VALUE"""),"Model 3 SR+")</f>
        <v>Model 3 SR+</v>
      </c>
      <c r="O2626" t="str">
        <f>IFERROR(__xludf.DUMMYFUNCTION("""COMPUTED_VALUE"""),"Pearl White Multi-Coat")</f>
        <v>Pearl White Multi-Coat</v>
      </c>
      <c r="P2626" t="str">
        <f>IFERROR(__xludf.DUMMYFUNCTION("""COMPUTED_VALUE"""),"18 inch")</f>
        <v>18 inch</v>
      </c>
      <c r="Q2626" t="str">
        <f>IFERROR(__xludf.DUMMYFUNCTION("""COMPUTED_VALUE"""),"All Black")</f>
        <v>All Black</v>
      </c>
      <c r="R2626" t="str">
        <f>IFERROR(__xludf.DUMMYFUNCTION("""COMPUTED_VALUE"""),"Autopilot included")</f>
        <v>Autopilot included</v>
      </c>
      <c r="S2626" t="str">
        <f>IFERROR(__xludf.DUMMYFUNCTION("""COMPUTED_VALUE"""),"Loan")</f>
        <v>Loan</v>
      </c>
      <c r="T2626" t="str">
        <f>IFERROR(__xludf.DUMMYFUNCTION("""COMPUTED_VALUE"""),"Ford Focus")</f>
        <v>Ford Focus</v>
      </c>
      <c r="U2626" t="str">
        <f>IFERROR(__xludf.DUMMYFUNCTION("""COMPUTED_VALUE"""),"All-glass roof")</f>
        <v>All-glass roof</v>
      </c>
      <c r="V2626" t="str">
        <f>IFERROR(__xludf.DUMMYFUNCTION("""COMPUTED_VALUE"""),"Bioweapon defense mode")</f>
        <v>Bioweapon defense mode</v>
      </c>
      <c r="X2626" t="str">
        <f>IFERROR(__xludf.DUMMYFUNCTION("""COMPUTED_VALUE"""),"Excellent")</f>
        <v>Excellent</v>
      </c>
      <c r="Y2626" t="str">
        <f>IFERROR(__xludf.DUMMYFUNCTION("""COMPUTED_VALUE"""),"Excellent")</f>
        <v>Excellent</v>
      </c>
      <c r="Z2626" t="str">
        <f>IFERROR(__xludf.DUMMYFUNCTION("""COMPUTED_VALUE"""),"Excellent")</f>
        <v>Excellent</v>
      </c>
      <c r="AA2626" t="str">
        <f>IFERROR(__xludf.DUMMYFUNCTION("""COMPUTED_VALUE"""),"Excellent")</f>
        <v>Excellent</v>
      </c>
      <c r="AB2626" t="str">
        <f>IFERROR(__xludf.DUMMYFUNCTION("""COMPUTED_VALUE"""),"Excellent")</f>
        <v>Excellent</v>
      </c>
      <c r="AC2626">
        <f>IFERROR(__xludf.DUMMYFUNCTION("""COMPUTED_VALUE"""),2.0)</f>
        <v>2</v>
      </c>
      <c r="AD2626">
        <f>IFERROR(__xludf.DUMMYFUNCTION("""COMPUTED_VALUE"""),0.0)</f>
        <v>0</v>
      </c>
      <c r="AF2626" t="str">
        <f>IFERROR(__xludf.DUMMYFUNCTION("""COMPUTED_VALUE"""),"No. I took delivery of the first car Tesla was able to deliver.")</f>
        <v>No. I took delivery of the first car Tesla was able to deliver.</v>
      </c>
      <c r="AG2626" t="str">
        <f>IFERROR(__xludf.DUMMYFUNCTION("""COMPUTED_VALUE"""),"Delivery appt confirmed for 11Dec")</f>
        <v>Delivery appt confirmed for 11Dec</v>
      </c>
      <c r="AH2626" s="189">
        <f>IFERROR(__xludf.DUMMYFUNCTION("""COMPUTED_VALUE"""),44181.64542673611)</f>
        <v>44181.64543</v>
      </c>
    </row>
    <row r="2627">
      <c r="A2627" t="str">
        <f>IFERROR(__xludf.DUMMYFUNCTION("""COMPUTED_VALUE"""),"misie2k")</f>
        <v>misie2k</v>
      </c>
      <c r="B2627" t="str">
        <f>IFERROR(__xludf.DUMMYFUNCTION("""COMPUTED_VALUE"""),"Chicago")</f>
        <v>Chicago</v>
      </c>
      <c r="C2627" t="str">
        <f>IFERROR(__xludf.DUMMYFUNCTION("""COMPUTED_VALUE"""),"IL")</f>
        <v>IL</v>
      </c>
      <c r="D2627" t="str">
        <f>IFERROR(__xludf.DUMMYFUNCTION("""COMPUTED_VALUE"""),"USA")</f>
        <v>USA</v>
      </c>
      <c r="E2627" s="188">
        <f>IFERROR(__xludf.DUMMYFUNCTION("""COMPUTED_VALUE"""),44121.0)</f>
        <v>44121</v>
      </c>
      <c r="F2627" s="188">
        <f>IFERROR(__xludf.DUMMYFUNCTION("""COMPUTED_VALUE"""),44160.0)</f>
        <v>44160</v>
      </c>
      <c r="G2627" t="str">
        <f>IFERROR(__xludf.DUMMYFUNCTION("""COMPUTED_VALUE"""),"Email")</f>
        <v>Email</v>
      </c>
      <c r="H2627">
        <f>IFERROR(__xludf.DUMMYFUNCTION("""COMPUTED_VALUE"""),849855.0)</f>
        <v>849855</v>
      </c>
      <c r="J2627" s="188">
        <f>IFERROR(__xludf.DUMMYFUNCTION("""COMPUTED_VALUE"""),44177.0)</f>
        <v>44177</v>
      </c>
      <c r="K2627">
        <f>IFERROR(__xludf.DUMMYFUNCTION("""COMPUTED_VALUE"""),39.0)</f>
        <v>39</v>
      </c>
      <c r="L2627">
        <f>IFERROR(__xludf.DUMMYFUNCTION("""COMPUTED_VALUE"""),17.0)</f>
        <v>17</v>
      </c>
      <c r="M2627">
        <f>IFERROR(__xludf.DUMMYFUNCTION("""COMPUTED_VALUE"""),56.0)</f>
        <v>56</v>
      </c>
      <c r="N2627" t="str">
        <f>IFERROR(__xludf.DUMMYFUNCTION("""COMPUTED_VALUE"""),"Model 3 LR AWD")</f>
        <v>Model 3 LR AWD</v>
      </c>
      <c r="O2627" t="str">
        <f>IFERROR(__xludf.DUMMYFUNCTION("""COMPUTED_VALUE"""),"Pearl White Multi-Coat")</f>
        <v>Pearl White Multi-Coat</v>
      </c>
      <c r="P2627" t="str">
        <f>IFERROR(__xludf.DUMMYFUNCTION("""COMPUTED_VALUE"""),"19 inch")</f>
        <v>19 inch</v>
      </c>
      <c r="Q2627" t="str">
        <f>IFERROR(__xludf.DUMMYFUNCTION("""COMPUTED_VALUE"""),"All Black")</f>
        <v>All Black</v>
      </c>
      <c r="R2627" t="str">
        <f>IFERROR(__xludf.DUMMYFUNCTION("""COMPUTED_VALUE"""),"Full Self-Driving")</f>
        <v>Full Self-Driving</v>
      </c>
      <c r="T2627" t="str">
        <f>IFERROR(__xludf.DUMMYFUNCTION("""COMPUTED_VALUE"""),"BMW 5 Series")</f>
        <v>BMW 5 Series</v>
      </c>
      <c r="U2627" t="str">
        <f>IFERROR(__xludf.DUMMYFUNCTION("""COMPUTED_VALUE"""),"Electric!")</f>
        <v>Electric!</v>
      </c>
      <c r="V2627" t="str">
        <f>IFERROR(__xludf.DUMMYFUNCTION("""COMPUTED_VALUE"""),"Air suspension")</f>
        <v>Air suspension</v>
      </c>
      <c r="X2627" t="str">
        <f>IFERROR(__xludf.DUMMYFUNCTION("""COMPUTED_VALUE"""),"Good")</f>
        <v>Good</v>
      </c>
      <c r="Y2627" t="str">
        <f>IFERROR(__xludf.DUMMYFUNCTION("""COMPUTED_VALUE"""),"Very Good")</f>
        <v>Very Good</v>
      </c>
      <c r="Z2627" t="str">
        <f>IFERROR(__xludf.DUMMYFUNCTION("""COMPUTED_VALUE"""),"Very Good")</f>
        <v>Very Good</v>
      </c>
      <c r="AA2627" t="str">
        <f>IFERROR(__xludf.DUMMYFUNCTION("""COMPUTED_VALUE"""),"Very Good")</f>
        <v>Very Good</v>
      </c>
      <c r="AB2627" t="str">
        <f>IFERROR(__xludf.DUMMYFUNCTION("""COMPUTED_VALUE"""),"Good")</f>
        <v>Good</v>
      </c>
      <c r="AC2627">
        <f>IFERROR(__xludf.DUMMYFUNCTION("""COMPUTED_VALUE"""),0.0)</f>
        <v>0</v>
      </c>
      <c r="AD2627">
        <f>IFERROR(__xludf.DUMMYFUNCTION("""COMPUTED_VALUE"""),0.0)</f>
        <v>0</v>
      </c>
      <c r="AE2627">
        <f>IFERROR(__xludf.DUMMYFUNCTION("""COMPUTED_VALUE"""),0.0)</f>
        <v>0</v>
      </c>
      <c r="AF2627" t="str">
        <f>IFERROR(__xludf.DUMMYFUNCTION("""COMPUTED_VALUE"""),"No. I took delivery of the first car Tesla was able to deliver.")</f>
        <v>No. I took delivery of the first car Tesla was able to deliver.</v>
      </c>
      <c r="AH2627" s="189">
        <f>IFERROR(__xludf.DUMMYFUNCTION("""COMPUTED_VALUE"""),44349.598369155094)</f>
        <v>44349.59837</v>
      </c>
    </row>
    <row r="2628">
      <c r="A2628" t="str">
        <f>IFERROR(__xludf.DUMMYFUNCTION("""COMPUTED_VALUE"""),"YANG 2024")</f>
        <v>YANG 2024</v>
      </c>
      <c r="B2628" t="str">
        <f>IFERROR(__xludf.DUMMYFUNCTION("""COMPUTED_VALUE"""),"Raleigh")</f>
        <v>Raleigh</v>
      </c>
      <c r="C2628" t="str">
        <f>IFERROR(__xludf.DUMMYFUNCTION("""COMPUTED_VALUE"""),"NC")</f>
        <v>NC</v>
      </c>
      <c r="D2628" t="str">
        <f>IFERROR(__xludf.DUMMYFUNCTION("""COMPUTED_VALUE"""),"USA")</f>
        <v>USA</v>
      </c>
      <c r="E2628" s="188">
        <f>IFERROR(__xludf.DUMMYFUNCTION("""COMPUTED_VALUE"""),44041.0)</f>
        <v>44041</v>
      </c>
      <c r="F2628" s="188">
        <f>IFERROR(__xludf.DUMMYFUNCTION("""COMPUTED_VALUE"""),44165.0)</f>
        <v>44165</v>
      </c>
      <c r="G2628" t="str">
        <f>IFERROR(__xludf.DUMMYFUNCTION("""COMPUTED_VALUE"""),"Manage order page (normal text)")</f>
        <v>Manage order page (normal text)</v>
      </c>
      <c r="H2628">
        <f>IFERROR(__xludf.DUMMYFUNCTION("""COMPUTED_VALUE"""),849798.0)</f>
        <v>849798</v>
      </c>
      <c r="J2628" s="5">
        <f>IFERROR(__xludf.DUMMYFUNCTION("""COMPUTED_VALUE"""),44177.0)</f>
        <v>44177</v>
      </c>
      <c r="K2628">
        <f>IFERROR(__xludf.DUMMYFUNCTION("""COMPUTED_VALUE"""),124.0)</f>
        <v>124</v>
      </c>
      <c r="L2628">
        <f>IFERROR(__xludf.DUMMYFUNCTION("""COMPUTED_VALUE"""),12.0)</f>
        <v>12</v>
      </c>
      <c r="M2628">
        <f>IFERROR(__xludf.DUMMYFUNCTION("""COMPUTED_VALUE"""),136.0)</f>
        <v>136</v>
      </c>
      <c r="N2628" t="str">
        <f>IFERROR(__xludf.DUMMYFUNCTION("""COMPUTED_VALUE"""),"Model 3 Performance")</f>
        <v>Model 3 Performance</v>
      </c>
      <c r="O2628" t="str">
        <f>IFERROR(__xludf.DUMMYFUNCTION("""COMPUTED_VALUE"""),"Pearl White Multi-Coat")</f>
        <v>Pearl White Multi-Coat</v>
      </c>
      <c r="P2628" t="str">
        <f>IFERROR(__xludf.DUMMYFUNCTION("""COMPUTED_VALUE"""),"20 inch")</f>
        <v>20 inch</v>
      </c>
      <c r="Q2628" t="str">
        <f>IFERROR(__xludf.DUMMYFUNCTION("""COMPUTED_VALUE"""),"Black and White")</f>
        <v>Black and White</v>
      </c>
      <c r="R2628" t="str">
        <f>IFERROR(__xludf.DUMMYFUNCTION("""COMPUTED_VALUE"""),"Full Self-Driving")</f>
        <v>Full Self-Driving</v>
      </c>
      <c r="S2628" t="str">
        <f>IFERROR(__xludf.DUMMYFUNCTION("""COMPUTED_VALUE"""),"Loan")</f>
        <v>Loan</v>
      </c>
      <c r="T2628" t="str">
        <f>IFERROR(__xludf.DUMMYFUNCTION("""COMPUTED_VALUE"""),"Chevy Volt")</f>
        <v>Chevy Volt</v>
      </c>
      <c r="U2628" t="str">
        <f>IFERROR(__xludf.DUMMYFUNCTION("""COMPUTED_VALUE"""),"Electric!")</f>
        <v>Electric!</v>
      </c>
      <c r="V2628" t="str">
        <f>IFERROR(__xludf.DUMMYFUNCTION("""COMPUTED_VALUE"""),"Air suspension")</f>
        <v>Air suspension</v>
      </c>
      <c r="W2628" t="str">
        <f>IFERROR(__xludf.DUMMYFUNCTION("""COMPUTED_VALUE"""),"Know how to operate your car before arrival and know what to look for during inspection of the car.")</f>
        <v>Know how to operate your car before arrival and know what to look for during inspection of the car.</v>
      </c>
      <c r="X2628" t="str">
        <f>IFERROR(__xludf.DUMMYFUNCTION("""COMPUTED_VALUE"""),"Very Good")</f>
        <v>Very Good</v>
      </c>
      <c r="Y2628" t="str">
        <f>IFERROR(__xludf.DUMMYFUNCTION("""COMPUTED_VALUE"""),"Very Good")</f>
        <v>Very Good</v>
      </c>
      <c r="Z2628" t="str">
        <f>IFERROR(__xludf.DUMMYFUNCTION("""COMPUTED_VALUE"""),"Good")</f>
        <v>Good</v>
      </c>
      <c r="AA2628" t="str">
        <f>IFERROR(__xludf.DUMMYFUNCTION("""COMPUTED_VALUE"""),"Very Good")</f>
        <v>Very Good</v>
      </c>
      <c r="AB2628" t="str">
        <f>IFERROR(__xludf.DUMMYFUNCTION("""COMPUTED_VALUE"""),"Very Good")</f>
        <v>Very Good</v>
      </c>
      <c r="AF2628" t="str">
        <f>IFERROR(__xludf.DUMMYFUNCTION("""COMPUTED_VALUE"""),"No. I took delivery of the first car Tesla was able to deliver.")</f>
        <v>No. I took delivery of the first car Tesla was able to deliver.</v>
      </c>
      <c r="AH2628" s="189">
        <f>IFERROR(__xludf.DUMMYFUNCTION("""COMPUTED_VALUE"""),44179.24445835648)</f>
        <v>44179.24446</v>
      </c>
    </row>
    <row r="2629">
      <c r="A2629" t="str">
        <f>IFERROR(__xludf.DUMMYFUNCTION("""COMPUTED_VALUE"""),"bigcon")</f>
        <v>bigcon</v>
      </c>
      <c r="B2629" t="str">
        <f>IFERROR(__xludf.DUMMYFUNCTION("""COMPUTED_VALUE"""),"SLC")</f>
        <v>SLC</v>
      </c>
      <c r="C2629" t="str">
        <f>IFERROR(__xludf.DUMMYFUNCTION("""COMPUTED_VALUE"""),"UT")</f>
        <v>UT</v>
      </c>
      <c r="D2629" t="str">
        <f>IFERROR(__xludf.DUMMYFUNCTION("""COMPUTED_VALUE"""),"USA")</f>
        <v>USA</v>
      </c>
      <c r="E2629" s="188">
        <f>IFERROR(__xludf.DUMMYFUNCTION("""COMPUTED_VALUE"""),44133.0)</f>
        <v>44133</v>
      </c>
      <c r="F2629" s="188">
        <f>IFERROR(__xludf.DUMMYFUNCTION("""COMPUTED_VALUE"""),44165.0)</f>
        <v>44165</v>
      </c>
      <c r="G2629" t="str">
        <f>IFERROR(__xludf.DUMMYFUNCTION("""COMPUTED_VALUE"""),"Email")</f>
        <v>Email</v>
      </c>
      <c r="H2629">
        <f>IFERROR(__xludf.DUMMYFUNCTION("""COMPUTED_VALUE"""),856755.0)</f>
        <v>856755</v>
      </c>
      <c r="J2629" s="5">
        <f>IFERROR(__xludf.DUMMYFUNCTION("""COMPUTED_VALUE"""),44169.0)</f>
        <v>44169</v>
      </c>
      <c r="K2629">
        <f>IFERROR(__xludf.DUMMYFUNCTION("""COMPUTED_VALUE"""),32.0)</f>
        <v>32</v>
      </c>
      <c r="L2629">
        <f>IFERROR(__xludf.DUMMYFUNCTION("""COMPUTED_VALUE"""),4.0)</f>
        <v>4</v>
      </c>
      <c r="M2629">
        <f>IFERROR(__xludf.DUMMYFUNCTION("""COMPUTED_VALUE"""),36.0)</f>
        <v>36</v>
      </c>
      <c r="N2629" t="str">
        <f>IFERROR(__xludf.DUMMYFUNCTION("""COMPUTED_VALUE"""),"Model 3 LR AWD")</f>
        <v>Model 3 LR AWD</v>
      </c>
      <c r="O2629" t="str">
        <f>IFERROR(__xludf.DUMMYFUNCTION("""COMPUTED_VALUE"""),"Solid Black")</f>
        <v>Solid Black</v>
      </c>
      <c r="P2629" t="str">
        <f>IFERROR(__xludf.DUMMYFUNCTION("""COMPUTED_VALUE"""),"18 inch")</f>
        <v>18 inch</v>
      </c>
      <c r="Q2629" t="str">
        <f>IFERROR(__xludf.DUMMYFUNCTION("""COMPUTED_VALUE"""),"All Black")</f>
        <v>All Black</v>
      </c>
      <c r="R2629" t="str">
        <f>IFERROR(__xludf.DUMMYFUNCTION("""COMPUTED_VALUE"""),"Autopilot included")</f>
        <v>Autopilot included</v>
      </c>
      <c r="S2629" t="str">
        <f>IFERROR(__xludf.DUMMYFUNCTION("""COMPUTED_VALUE"""),"Cash")</f>
        <v>Cash</v>
      </c>
      <c r="T2629" t="str">
        <f>IFERROR(__xludf.DUMMYFUNCTION("""COMPUTED_VALUE"""),"Subaru Forester")</f>
        <v>Subaru Forester</v>
      </c>
      <c r="U2629" t="str">
        <f>IFERROR(__xludf.DUMMYFUNCTION("""COMPUTED_VALUE"""),"Fast!")</f>
        <v>Fast!</v>
      </c>
      <c r="V2629" t="str">
        <f>IFERROR(__xludf.DUMMYFUNCTION("""COMPUTED_VALUE"""),"Heated steering wheel")</f>
        <v>Heated steering wheel</v>
      </c>
      <c r="X2629" t="str">
        <f>IFERROR(__xludf.DUMMYFUNCTION("""COMPUTED_VALUE"""),"Good")</f>
        <v>Good</v>
      </c>
      <c r="Y2629" t="str">
        <f>IFERROR(__xludf.DUMMYFUNCTION("""COMPUTED_VALUE"""),"Good")</f>
        <v>Good</v>
      </c>
      <c r="Z2629" t="str">
        <f>IFERROR(__xludf.DUMMYFUNCTION("""COMPUTED_VALUE"""),"Good")</f>
        <v>Good</v>
      </c>
      <c r="AA2629" t="str">
        <f>IFERROR(__xludf.DUMMYFUNCTION("""COMPUTED_VALUE"""),"Poor")</f>
        <v>Poor</v>
      </c>
      <c r="AB2629" t="str">
        <f>IFERROR(__xludf.DUMMYFUNCTION("""COMPUTED_VALUE"""),"Fair")</f>
        <v>Fair</v>
      </c>
      <c r="AD2629">
        <f>IFERROR(__xludf.DUMMYFUNCTION("""COMPUTED_VALUE"""),1.0)</f>
        <v>1</v>
      </c>
      <c r="AE2629">
        <f>IFERROR(__xludf.DUMMYFUNCTION("""COMPUTED_VALUE"""),3.0)</f>
        <v>3</v>
      </c>
      <c r="AF2629" t="str">
        <f>IFERROR(__xludf.DUMMYFUNCTION("""COMPUTED_VALUE"""),"No. I took delivery of the first car Tesla was able to deliver.")</f>
        <v>No. I took delivery of the first car Tesla was able to deliver.</v>
      </c>
      <c r="AG2629" t="str">
        <f>IFERROR(__xludf.DUMMYFUNCTION("""COMPUTED_VALUE"""),"Received text on 11/25 with a 1-3 week delivery window")</f>
        <v>Received text on 11/25 with a 1-3 week delivery window</v>
      </c>
      <c r="AH2629" s="189">
        <f>IFERROR(__xludf.DUMMYFUNCTION("""COMPUTED_VALUE"""),44172.268752013886)</f>
        <v>44172.26875</v>
      </c>
    </row>
    <row r="2630">
      <c r="A2630" t="str">
        <f>IFERROR(__xludf.DUMMYFUNCTION("""COMPUTED_VALUE"""),"deaddial")</f>
        <v>deaddial</v>
      </c>
      <c r="C2630" t="str">
        <f>IFERROR(__xludf.DUMMYFUNCTION("""COMPUTED_VALUE"""),"SC")</f>
        <v>SC</v>
      </c>
      <c r="D2630" t="str">
        <f>IFERROR(__xludf.DUMMYFUNCTION("""COMPUTED_VALUE"""),"USA")</f>
        <v>USA</v>
      </c>
      <c r="E2630" s="188">
        <f>IFERROR(__xludf.DUMMYFUNCTION("""COMPUTED_VALUE"""),44120.0)</f>
        <v>44120</v>
      </c>
      <c r="F2630" s="188">
        <f>IFERROR(__xludf.DUMMYFUNCTION("""COMPUTED_VALUE"""),44159.0)</f>
        <v>44159</v>
      </c>
      <c r="G2630" t="str">
        <f>IFERROR(__xludf.DUMMYFUNCTION("""COMPUTED_VALUE"""),"Manage order page (normal text)")</f>
        <v>Manage order page (normal text)</v>
      </c>
      <c r="H2630">
        <f>IFERROR(__xludf.DUMMYFUNCTION("""COMPUTED_VALUE"""),836855.0)</f>
        <v>836855</v>
      </c>
      <c r="J2630" s="5">
        <f>IFERROR(__xludf.DUMMYFUNCTION("""COMPUTED_VALUE"""),44176.0)</f>
        <v>44176</v>
      </c>
      <c r="K2630">
        <f>IFERROR(__xludf.DUMMYFUNCTION("""COMPUTED_VALUE"""),39.0)</f>
        <v>39</v>
      </c>
      <c r="L2630">
        <f>IFERROR(__xludf.DUMMYFUNCTION("""COMPUTED_VALUE"""),17.0)</f>
        <v>17</v>
      </c>
      <c r="M2630">
        <f>IFERROR(__xludf.DUMMYFUNCTION("""COMPUTED_VALUE"""),56.0)</f>
        <v>56</v>
      </c>
      <c r="N2630" t="str">
        <f>IFERROR(__xludf.DUMMYFUNCTION("""COMPUTED_VALUE"""),"Model 3 LR AWD")</f>
        <v>Model 3 LR AWD</v>
      </c>
      <c r="O2630" t="str">
        <f>IFERROR(__xludf.DUMMYFUNCTION("""COMPUTED_VALUE"""),"Deep Blue Metallic")</f>
        <v>Deep Blue Metallic</v>
      </c>
      <c r="P2630" t="str">
        <f>IFERROR(__xludf.DUMMYFUNCTION("""COMPUTED_VALUE"""),"18 inch")</f>
        <v>18 inch</v>
      </c>
      <c r="Q2630" t="str">
        <f>IFERROR(__xludf.DUMMYFUNCTION("""COMPUTED_VALUE"""),"All Black")</f>
        <v>All Black</v>
      </c>
      <c r="R2630" t="str">
        <f>IFERROR(__xludf.DUMMYFUNCTION("""COMPUTED_VALUE"""),"Full Self-Driving")</f>
        <v>Full Self-Driving</v>
      </c>
      <c r="S2630" t="str">
        <f>IFERROR(__xludf.DUMMYFUNCTION("""COMPUTED_VALUE"""),"Cash")</f>
        <v>Cash</v>
      </c>
      <c r="T2630" t="str">
        <f>IFERROR(__xludf.DUMMYFUNCTION("""COMPUTED_VALUE"""),"F150")</f>
        <v>F150</v>
      </c>
      <c r="U2630" t="str">
        <f>IFERROR(__xludf.DUMMYFUNCTION("""COMPUTED_VALUE"""),"Autopilot")</f>
        <v>Autopilot</v>
      </c>
      <c r="V2630" t="str">
        <f>IFERROR(__xludf.DUMMYFUNCTION("""COMPUTED_VALUE"""),"Apple CarPlay / Android Auto / SiriusXM Radio")</f>
        <v>Apple CarPlay / Android Auto / SiriusXM Radio</v>
      </c>
      <c r="X2630" t="str">
        <f>IFERROR(__xludf.DUMMYFUNCTION("""COMPUTED_VALUE"""),"Fair")</f>
        <v>Fair</v>
      </c>
      <c r="Y2630" t="str">
        <f>IFERROR(__xludf.DUMMYFUNCTION("""COMPUTED_VALUE"""),"Poor")</f>
        <v>Poor</v>
      </c>
      <c r="Z2630" t="str">
        <f>IFERROR(__xludf.DUMMYFUNCTION("""COMPUTED_VALUE"""),"Excellent")</f>
        <v>Excellent</v>
      </c>
      <c r="AA2630" t="str">
        <f>IFERROR(__xludf.DUMMYFUNCTION("""COMPUTED_VALUE"""),"Poor")</f>
        <v>Poor</v>
      </c>
      <c r="AB2630" t="str">
        <f>IFERROR(__xludf.DUMMYFUNCTION("""COMPUTED_VALUE"""),"Poor")</f>
        <v>Poor</v>
      </c>
      <c r="AC2630">
        <f>IFERROR(__xludf.DUMMYFUNCTION("""COMPUTED_VALUE"""),3.0)</f>
        <v>3</v>
      </c>
      <c r="AD2630">
        <f>IFERROR(__xludf.DUMMYFUNCTION("""COMPUTED_VALUE"""),1.0)</f>
        <v>1</v>
      </c>
      <c r="AF2630" t="str">
        <f>IFERROR(__xludf.DUMMYFUNCTION("""COMPUTED_VALUE"""),"No. I took delivery of the first car Tesla was able to deliver.")</f>
        <v>No. I took delivery of the first car Tesla was able to deliver.</v>
      </c>
      <c r="AH2630" s="189">
        <f>IFERROR(__xludf.DUMMYFUNCTION("""COMPUTED_VALUE"""),44177.51924101852)</f>
        <v>44177.51924</v>
      </c>
    </row>
    <row r="2631">
      <c r="A2631" t="str">
        <f>IFERROR(__xludf.DUMMYFUNCTION("""COMPUTED_VALUE"""),"jdhorner")</f>
        <v>jdhorner</v>
      </c>
      <c r="B2631" t="str">
        <f>IFERROR(__xludf.DUMMYFUNCTION("""COMPUTED_VALUE"""),"Montreal")</f>
        <v>Montreal</v>
      </c>
      <c r="C2631" t="str">
        <f>IFERROR(__xludf.DUMMYFUNCTION("""COMPUTED_VALUE"""),"QC")</f>
        <v>QC</v>
      </c>
      <c r="D2631" t="str">
        <f>IFERROR(__xludf.DUMMYFUNCTION("""COMPUTED_VALUE"""),"Canada")</f>
        <v>Canada</v>
      </c>
      <c r="E2631" s="188">
        <f>IFERROR(__xludf.DUMMYFUNCTION("""COMPUTED_VALUE"""),44130.0)</f>
        <v>44130</v>
      </c>
      <c r="F2631" s="188">
        <f>IFERROR(__xludf.DUMMYFUNCTION("""COMPUTED_VALUE"""),44182.0)</f>
        <v>44182</v>
      </c>
      <c r="G2631" t="str">
        <f>IFERROR(__xludf.DUMMYFUNCTION("""COMPUTED_VALUE"""),"Text message")</f>
        <v>Text message</v>
      </c>
      <c r="H2631">
        <f>IFERROR(__xludf.DUMMYFUNCTION("""COMPUTED_VALUE"""),853555.0)</f>
        <v>853555</v>
      </c>
      <c r="I2631" t="str">
        <f>IFERROR(__xludf.DUMMYFUNCTION("""COMPUTED_VALUE"""),"12/20")</f>
        <v>12/20</v>
      </c>
      <c r="J2631" s="5">
        <f>IFERROR(__xludf.DUMMYFUNCTION("""COMPUTED_VALUE"""),44188.0)</f>
        <v>44188</v>
      </c>
      <c r="K2631">
        <f>IFERROR(__xludf.DUMMYFUNCTION("""COMPUTED_VALUE"""),52.0)</f>
        <v>52</v>
      </c>
      <c r="L2631">
        <f>IFERROR(__xludf.DUMMYFUNCTION("""COMPUTED_VALUE"""),6.0)</f>
        <v>6</v>
      </c>
      <c r="M2631">
        <f>IFERROR(__xludf.DUMMYFUNCTION("""COMPUTED_VALUE"""),58.0)</f>
        <v>58</v>
      </c>
      <c r="N2631" t="str">
        <f>IFERROR(__xludf.DUMMYFUNCTION("""COMPUTED_VALUE"""),"Model 3 SR+")</f>
        <v>Model 3 SR+</v>
      </c>
      <c r="O2631" t="str">
        <f>IFERROR(__xludf.DUMMYFUNCTION("""COMPUTED_VALUE"""),"Deep Blue Metallic")</f>
        <v>Deep Blue Metallic</v>
      </c>
      <c r="P2631" t="str">
        <f>IFERROR(__xludf.DUMMYFUNCTION("""COMPUTED_VALUE"""),"18 inch")</f>
        <v>18 inch</v>
      </c>
      <c r="Q2631" t="str">
        <f>IFERROR(__xludf.DUMMYFUNCTION("""COMPUTED_VALUE"""),"All Black")</f>
        <v>All Black</v>
      </c>
      <c r="R2631" t="str">
        <f>IFERROR(__xludf.DUMMYFUNCTION("""COMPUTED_VALUE"""),"Autopilot included")</f>
        <v>Autopilot included</v>
      </c>
      <c r="S2631" t="str">
        <f>IFERROR(__xludf.DUMMYFUNCTION("""COMPUTED_VALUE"""),"Loan")</f>
        <v>Loan</v>
      </c>
      <c r="T2631" t="str">
        <f>IFERROR(__xludf.DUMMYFUNCTION("""COMPUTED_VALUE"""),"Volkswagen Tiguan")</f>
        <v>Volkswagen Tiguan</v>
      </c>
      <c r="U2631" t="str">
        <f>IFERROR(__xludf.DUMMYFUNCTION("""COMPUTED_VALUE"""),"Electric!")</f>
        <v>Electric!</v>
      </c>
      <c r="V2631" t="str">
        <f>IFERROR(__xludf.DUMMYFUNCTION("""COMPUTED_VALUE"""),"Apple CarPlay / Android Auto / SiriusXM Radio")</f>
        <v>Apple CarPlay / Android Auto / SiriusXM Radio</v>
      </c>
      <c r="X2631" t="str">
        <f>IFERROR(__xludf.DUMMYFUNCTION("""COMPUTED_VALUE"""),"Excellent")</f>
        <v>Excellent</v>
      </c>
      <c r="Y2631" t="str">
        <f>IFERROR(__xludf.DUMMYFUNCTION("""COMPUTED_VALUE"""),"Excellent")</f>
        <v>Excellent</v>
      </c>
      <c r="Z2631" t="str">
        <f>IFERROR(__xludf.DUMMYFUNCTION("""COMPUTED_VALUE"""),"Excellent")</f>
        <v>Excellent</v>
      </c>
      <c r="AA2631" t="str">
        <f>IFERROR(__xludf.DUMMYFUNCTION("""COMPUTED_VALUE"""),"Excellent")</f>
        <v>Excellent</v>
      </c>
      <c r="AB2631" t="str">
        <f>IFERROR(__xludf.DUMMYFUNCTION("""COMPUTED_VALUE"""),"Excellent")</f>
        <v>Excellent</v>
      </c>
      <c r="AC2631">
        <f>IFERROR(__xludf.DUMMYFUNCTION("""COMPUTED_VALUE"""),0.0)</f>
        <v>0</v>
      </c>
      <c r="AD2631">
        <f>IFERROR(__xludf.DUMMYFUNCTION("""COMPUTED_VALUE"""),0.0)</f>
        <v>0</v>
      </c>
      <c r="AE2631">
        <f>IFERROR(__xludf.DUMMYFUNCTION("""COMPUTED_VALUE"""),0.0)</f>
        <v>0</v>
      </c>
      <c r="AF2631" t="str">
        <f>IFERROR(__xludf.DUMMYFUNCTION("""COMPUTED_VALUE"""),"No. I took delivery of the first car Tesla was able to deliver.")</f>
        <v>No. I took delivery of the first car Tesla was able to deliver.</v>
      </c>
      <c r="AH2631" s="189">
        <f>IFERROR(__xludf.DUMMYFUNCTION("""COMPUTED_VALUE"""),44202.34860653935)</f>
        <v>44202.34861</v>
      </c>
    </row>
    <row r="2632">
      <c r="A2632" t="str">
        <f>IFERROR(__xludf.DUMMYFUNCTION("""COMPUTED_VALUE"""),"cio15")</f>
        <v>cio15</v>
      </c>
      <c r="B2632" t="str">
        <f>IFERROR(__xludf.DUMMYFUNCTION("""COMPUTED_VALUE"""),"Tallahassee")</f>
        <v>Tallahassee</v>
      </c>
      <c r="C2632" t="str">
        <f>IFERROR(__xludf.DUMMYFUNCTION("""COMPUTED_VALUE"""),"FL")</f>
        <v>FL</v>
      </c>
      <c r="D2632" t="str">
        <f>IFERROR(__xludf.DUMMYFUNCTION("""COMPUTED_VALUE"""),"USA")</f>
        <v>USA</v>
      </c>
      <c r="E2632" s="188">
        <f>IFERROR(__xludf.DUMMYFUNCTION("""COMPUTED_VALUE"""),44128.0)</f>
        <v>44128</v>
      </c>
      <c r="F2632" s="188">
        <f>IFERROR(__xludf.DUMMYFUNCTION("""COMPUTED_VALUE"""),44160.0)</f>
        <v>44160</v>
      </c>
      <c r="G2632" t="str">
        <f>IFERROR(__xludf.DUMMYFUNCTION("""COMPUTED_VALUE"""),"Manage order page (normal text)")</f>
        <v>Manage order page (normal text)</v>
      </c>
      <c r="H2632">
        <f>IFERROR(__xludf.DUMMYFUNCTION("""COMPUTED_VALUE"""),849455.0)</f>
        <v>849455</v>
      </c>
      <c r="I2632" t="str">
        <f>IFERROR(__xludf.DUMMYFUNCTION("""COMPUTED_VALUE"""),"11/20")</f>
        <v>11/20</v>
      </c>
      <c r="J2632" s="5">
        <f>IFERROR(__xludf.DUMMYFUNCTION("""COMPUTED_VALUE"""),44184.0)</f>
        <v>44184</v>
      </c>
      <c r="K2632">
        <f>IFERROR(__xludf.DUMMYFUNCTION("""COMPUTED_VALUE"""),32.0)</f>
        <v>32</v>
      </c>
      <c r="L2632">
        <f>IFERROR(__xludf.DUMMYFUNCTION("""COMPUTED_VALUE"""),24.0)</f>
        <v>24</v>
      </c>
      <c r="M2632">
        <f>IFERROR(__xludf.DUMMYFUNCTION("""COMPUTED_VALUE"""),56.0)</f>
        <v>56</v>
      </c>
      <c r="N2632" t="str">
        <f>IFERROR(__xludf.DUMMYFUNCTION("""COMPUTED_VALUE"""),"Model 3 LR AWD")</f>
        <v>Model 3 LR AWD</v>
      </c>
      <c r="O2632" t="str">
        <f>IFERROR(__xludf.DUMMYFUNCTION("""COMPUTED_VALUE"""),"Pearl White Multi-Coat")</f>
        <v>Pearl White Multi-Coat</v>
      </c>
      <c r="P2632" t="str">
        <f>IFERROR(__xludf.DUMMYFUNCTION("""COMPUTED_VALUE"""),"18 inch")</f>
        <v>18 inch</v>
      </c>
      <c r="Q2632" t="str">
        <f>IFERROR(__xludf.DUMMYFUNCTION("""COMPUTED_VALUE"""),"All Black")</f>
        <v>All Black</v>
      </c>
      <c r="R2632" t="str">
        <f>IFERROR(__xludf.DUMMYFUNCTION("""COMPUTED_VALUE"""),"Autopilot included")</f>
        <v>Autopilot included</v>
      </c>
      <c r="S2632" t="str">
        <f>IFERROR(__xludf.DUMMYFUNCTION("""COMPUTED_VALUE"""),"Loan")</f>
        <v>Loan</v>
      </c>
      <c r="T2632" t="str">
        <f>IFERROR(__xludf.DUMMYFUNCTION("""COMPUTED_VALUE"""),"Ford Fusion")</f>
        <v>Ford Fusion</v>
      </c>
      <c r="U2632" t="str">
        <f>IFERROR(__xludf.DUMMYFUNCTION("""COMPUTED_VALUE"""),"Electric!")</f>
        <v>Electric!</v>
      </c>
      <c r="V2632" t="str">
        <f>IFERROR(__xludf.DUMMYFUNCTION("""COMPUTED_VALUE"""),"Head-up display")</f>
        <v>Head-up display</v>
      </c>
      <c r="W2632" t="str">
        <f>IFERROR(__xludf.DUMMYFUNCTION("""COMPUTED_VALUE"""),"Patience")</f>
        <v>Patience</v>
      </c>
      <c r="X2632" t="str">
        <f>IFERROR(__xludf.DUMMYFUNCTION("""COMPUTED_VALUE"""),"Excellent")</f>
        <v>Excellent</v>
      </c>
      <c r="Y2632" t="str">
        <f>IFERROR(__xludf.DUMMYFUNCTION("""COMPUTED_VALUE"""),"Very Good")</f>
        <v>Very Good</v>
      </c>
      <c r="Z2632" t="str">
        <f>IFERROR(__xludf.DUMMYFUNCTION("""COMPUTED_VALUE"""),"Excellent")</f>
        <v>Excellent</v>
      </c>
      <c r="AA2632" t="str">
        <f>IFERROR(__xludf.DUMMYFUNCTION("""COMPUTED_VALUE"""),"Fair")</f>
        <v>Fair</v>
      </c>
      <c r="AB2632" t="str">
        <f>IFERROR(__xludf.DUMMYFUNCTION("""COMPUTED_VALUE"""),"Fair")</f>
        <v>Fair</v>
      </c>
      <c r="AC2632">
        <f>IFERROR(__xludf.DUMMYFUNCTION("""COMPUTED_VALUE"""),0.0)</f>
        <v>0</v>
      </c>
      <c r="AD2632">
        <f>IFERROR(__xludf.DUMMYFUNCTION("""COMPUTED_VALUE"""),0.0)</f>
        <v>0</v>
      </c>
      <c r="AE2632">
        <f>IFERROR(__xludf.DUMMYFUNCTION("""COMPUTED_VALUE"""),0.0)</f>
        <v>0</v>
      </c>
      <c r="AF2632" t="str">
        <f>IFERROR(__xludf.DUMMYFUNCTION("""COMPUTED_VALUE"""),"No. I took delivery of the first car Tesla was able to deliver.")</f>
        <v>No. I took delivery of the first car Tesla was able to deliver.</v>
      </c>
      <c r="AG2632" t="str">
        <f>IFERROR(__xludf.DUMMYFUNCTION("""COMPUTED_VALUE"""),"Telsa can be difficult to get responses from.")</f>
        <v>Telsa can be difficult to get responses from.</v>
      </c>
      <c r="AH2632" s="189">
        <f>IFERROR(__xludf.DUMMYFUNCTION("""COMPUTED_VALUE"""),44186.2796790625)</f>
        <v>44186.27968</v>
      </c>
    </row>
    <row r="2633">
      <c r="A2633" t="str">
        <f>IFERROR(__xludf.DUMMYFUNCTION("""COMPUTED_VALUE"""),"Spensei")</f>
        <v>Spensei</v>
      </c>
      <c r="B2633" t="str">
        <f>IFERROR(__xludf.DUMMYFUNCTION("""COMPUTED_VALUE"""),"Huntsville")</f>
        <v>Huntsville</v>
      </c>
      <c r="C2633" t="str">
        <f>IFERROR(__xludf.DUMMYFUNCTION("""COMPUTED_VALUE"""),"AL")</f>
        <v>AL</v>
      </c>
      <c r="D2633" t="str">
        <f>IFERROR(__xludf.DUMMYFUNCTION("""COMPUTED_VALUE"""),"USA")</f>
        <v>USA</v>
      </c>
      <c r="E2633" s="188">
        <f>IFERROR(__xludf.DUMMYFUNCTION("""COMPUTED_VALUE"""),44130.0)</f>
        <v>44130</v>
      </c>
      <c r="F2633" s="188">
        <f>IFERROR(__xludf.DUMMYFUNCTION("""COMPUTED_VALUE"""),44161.0)</f>
        <v>44161</v>
      </c>
      <c r="G2633" t="str">
        <f>IFERROR(__xludf.DUMMYFUNCTION("""COMPUTED_VALUE"""),"Manage order page (normal text)")</f>
        <v>Manage order page (normal text)</v>
      </c>
      <c r="H2633">
        <f>IFERROR(__xludf.DUMMYFUNCTION("""COMPUTED_VALUE"""),849955.0)</f>
        <v>849955</v>
      </c>
      <c r="J2633" s="5">
        <f>IFERROR(__xludf.DUMMYFUNCTION("""COMPUTED_VALUE"""),44175.0)</f>
        <v>44175</v>
      </c>
      <c r="K2633">
        <f>IFERROR(__xludf.DUMMYFUNCTION("""COMPUTED_VALUE"""),31.0)</f>
        <v>31</v>
      </c>
      <c r="L2633">
        <f>IFERROR(__xludf.DUMMYFUNCTION("""COMPUTED_VALUE"""),14.0)</f>
        <v>14</v>
      </c>
      <c r="M2633">
        <f>IFERROR(__xludf.DUMMYFUNCTION("""COMPUTED_VALUE"""),45.0)</f>
        <v>45</v>
      </c>
      <c r="N2633" t="str">
        <f>IFERROR(__xludf.DUMMYFUNCTION("""COMPUTED_VALUE"""),"Model 3 LR AWD")</f>
        <v>Model 3 LR AWD</v>
      </c>
      <c r="O2633" t="str">
        <f>IFERROR(__xludf.DUMMYFUNCTION("""COMPUTED_VALUE"""),"Pearl White Multi-Coat")</f>
        <v>Pearl White Multi-Coat</v>
      </c>
      <c r="P2633" t="str">
        <f>IFERROR(__xludf.DUMMYFUNCTION("""COMPUTED_VALUE"""),"19 inch")</f>
        <v>19 inch</v>
      </c>
      <c r="Q2633" t="str">
        <f>IFERROR(__xludf.DUMMYFUNCTION("""COMPUTED_VALUE"""),"Black and White")</f>
        <v>Black and White</v>
      </c>
      <c r="R2633" t="str">
        <f>IFERROR(__xludf.DUMMYFUNCTION("""COMPUTED_VALUE"""),"Full Self-Driving")</f>
        <v>Full Self-Driving</v>
      </c>
      <c r="S2633" t="str">
        <f>IFERROR(__xludf.DUMMYFUNCTION("""COMPUTED_VALUE"""),"Loan")</f>
        <v>Loan</v>
      </c>
      <c r="T2633" t="str">
        <f>IFERROR(__xludf.DUMMYFUNCTION("""COMPUTED_VALUE"""),"Chevrolet Silverado")</f>
        <v>Chevrolet Silverado</v>
      </c>
      <c r="U2633" t="str">
        <f>IFERROR(__xludf.DUMMYFUNCTION("""COMPUTED_VALUE"""),"Tesla brand image")</f>
        <v>Tesla brand image</v>
      </c>
      <c r="V2633" t="str">
        <f>IFERROR(__xludf.DUMMYFUNCTION("""COMPUTED_VALUE"""),"Head-up display")</f>
        <v>Head-up display</v>
      </c>
      <c r="X2633" t="str">
        <f>IFERROR(__xludf.DUMMYFUNCTION("""COMPUTED_VALUE"""),"Excellent")</f>
        <v>Excellent</v>
      </c>
      <c r="Y2633" t="str">
        <f>IFERROR(__xludf.DUMMYFUNCTION("""COMPUTED_VALUE"""),"Very Good")</f>
        <v>Very Good</v>
      </c>
      <c r="Z2633" t="str">
        <f>IFERROR(__xludf.DUMMYFUNCTION("""COMPUTED_VALUE"""),"Excellent")</f>
        <v>Excellent</v>
      </c>
      <c r="AA2633" t="str">
        <f>IFERROR(__xludf.DUMMYFUNCTION("""COMPUTED_VALUE"""),"Poor")</f>
        <v>Poor</v>
      </c>
      <c r="AB2633" t="str">
        <f>IFERROR(__xludf.DUMMYFUNCTION("""COMPUTED_VALUE"""),"Excellent")</f>
        <v>Excellent</v>
      </c>
      <c r="AC2633">
        <f>IFERROR(__xludf.DUMMYFUNCTION("""COMPUTED_VALUE"""),1.0)</f>
        <v>1</v>
      </c>
      <c r="AD2633">
        <f>IFERROR(__xludf.DUMMYFUNCTION("""COMPUTED_VALUE"""),1.0)</f>
        <v>1</v>
      </c>
      <c r="AF2633" t="str">
        <f>IFERROR(__xludf.DUMMYFUNCTION("""COMPUTED_VALUE"""),"No. I took delivery of the first car Tesla was able to deliver.")</f>
        <v>No. I took delivery of the first car Tesla was able to deliver.</v>
      </c>
      <c r="AH2633" s="189">
        <f>IFERROR(__xludf.DUMMYFUNCTION("""COMPUTED_VALUE"""),44179.4802746412)</f>
        <v>44179.48027</v>
      </c>
    </row>
    <row r="2634">
      <c r="A2634" t="str">
        <f>IFERROR(__xludf.DUMMYFUNCTION("""COMPUTED_VALUE"""),"Choncho")</f>
        <v>Choncho</v>
      </c>
      <c r="B2634" t="str">
        <f>IFERROR(__xludf.DUMMYFUNCTION("""COMPUTED_VALUE"""),"Vancouver")</f>
        <v>Vancouver</v>
      </c>
      <c r="C2634" t="str">
        <f>IFERROR(__xludf.DUMMYFUNCTION("""COMPUTED_VALUE"""),"BC")</f>
        <v>BC</v>
      </c>
      <c r="D2634" t="str">
        <f>IFERROR(__xludf.DUMMYFUNCTION("""COMPUTED_VALUE"""),"Canada")</f>
        <v>Canada</v>
      </c>
      <c r="E2634" s="188">
        <f>IFERROR(__xludf.DUMMYFUNCTION("""COMPUTED_VALUE"""),44164.0)</f>
        <v>44164</v>
      </c>
      <c r="F2634" s="188">
        <f>IFERROR(__xludf.DUMMYFUNCTION("""COMPUTED_VALUE"""),44183.0)</f>
        <v>44183</v>
      </c>
      <c r="G2634" t="str">
        <f>IFERROR(__xludf.DUMMYFUNCTION("""COMPUTED_VALUE"""),"Text message")</f>
        <v>Text message</v>
      </c>
      <c r="H2634">
        <f>IFERROR(__xludf.DUMMYFUNCTION("""COMPUTED_VALUE"""),871355.0)</f>
        <v>871355</v>
      </c>
      <c r="I2634" t="str">
        <f>IFERROR(__xludf.DUMMYFUNCTION("""COMPUTED_VALUE"""),"12/20")</f>
        <v>12/20</v>
      </c>
      <c r="J2634" s="5">
        <f>IFERROR(__xludf.DUMMYFUNCTION("""COMPUTED_VALUE"""),44188.0)</f>
        <v>44188</v>
      </c>
      <c r="K2634">
        <f>IFERROR(__xludf.DUMMYFUNCTION("""COMPUTED_VALUE"""),19.0)</f>
        <v>19</v>
      </c>
      <c r="L2634">
        <f>IFERROR(__xludf.DUMMYFUNCTION("""COMPUTED_VALUE"""),5.0)</f>
        <v>5</v>
      </c>
      <c r="M2634">
        <f>IFERROR(__xludf.DUMMYFUNCTION("""COMPUTED_VALUE"""),24.0)</f>
        <v>24</v>
      </c>
      <c r="N2634" t="str">
        <f>IFERROR(__xludf.DUMMYFUNCTION("""COMPUTED_VALUE"""),"Model 3 SR+")</f>
        <v>Model 3 SR+</v>
      </c>
      <c r="O2634" t="str">
        <f>IFERROR(__xludf.DUMMYFUNCTION("""COMPUTED_VALUE"""),"Midnight Silver Metallic")</f>
        <v>Midnight Silver Metallic</v>
      </c>
      <c r="P2634" t="str">
        <f>IFERROR(__xludf.DUMMYFUNCTION("""COMPUTED_VALUE"""),"18 inch")</f>
        <v>18 inch</v>
      </c>
      <c r="Q2634" t="str">
        <f>IFERROR(__xludf.DUMMYFUNCTION("""COMPUTED_VALUE"""),"All Black")</f>
        <v>All Black</v>
      </c>
      <c r="R2634" t="str">
        <f>IFERROR(__xludf.DUMMYFUNCTION("""COMPUTED_VALUE"""),"Autopilot included")</f>
        <v>Autopilot included</v>
      </c>
      <c r="S2634" t="str">
        <f>IFERROR(__xludf.DUMMYFUNCTION("""COMPUTED_VALUE"""),"Loan")</f>
        <v>Loan</v>
      </c>
      <c r="U2634" t="str">
        <f>IFERROR(__xludf.DUMMYFUNCTION("""COMPUTED_VALUE"""),"Electric!")</f>
        <v>Electric!</v>
      </c>
      <c r="V2634" t="str">
        <f>IFERROR(__xludf.DUMMYFUNCTION("""COMPUTED_VALUE"""),"Apple CarPlay / Android Auto / SiriusXM Radio")</f>
        <v>Apple CarPlay / Android Auto / SiriusXM Radio</v>
      </c>
      <c r="W2634" t="str">
        <f>IFERROR(__xludf.DUMMYFUNCTION("""COMPUTED_VALUE"""),"Take your time and ask as many questions as you need")</f>
        <v>Take your time and ask as many questions as you need</v>
      </c>
      <c r="X2634" t="str">
        <f>IFERROR(__xludf.DUMMYFUNCTION("""COMPUTED_VALUE"""),"Very Good")</f>
        <v>Very Good</v>
      </c>
      <c r="Y2634" t="str">
        <f>IFERROR(__xludf.DUMMYFUNCTION("""COMPUTED_VALUE"""),"Very Good")</f>
        <v>Very Good</v>
      </c>
      <c r="Z2634" t="str">
        <f>IFERROR(__xludf.DUMMYFUNCTION("""COMPUTED_VALUE"""),"Very Good")</f>
        <v>Very Good</v>
      </c>
      <c r="AA2634" t="str">
        <f>IFERROR(__xludf.DUMMYFUNCTION("""COMPUTED_VALUE"""),"Very Good")</f>
        <v>Very Good</v>
      </c>
      <c r="AB2634" t="str">
        <f>IFERROR(__xludf.DUMMYFUNCTION("""COMPUTED_VALUE"""),"Excellent")</f>
        <v>Excellent</v>
      </c>
      <c r="AF2634" t="str">
        <f>IFERROR(__xludf.DUMMYFUNCTION("""COMPUTED_VALUE"""),"No. I took delivery of the first car Tesla was able to deliver.")</f>
        <v>No. I took delivery of the first car Tesla was able to deliver.</v>
      </c>
      <c r="AG2634" t="str">
        <f>IFERROR(__xludf.DUMMYFUNCTION("""COMPUTED_VALUE"""),"Dec 17-Dec 22 Delivery Window")</f>
        <v>Dec 17-Dec 22 Delivery Window</v>
      </c>
      <c r="AH2634" s="189">
        <f>IFERROR(__xludf.DUMMYFUNCTION("""COMPUTED_VALUE"""),44188.78424789352)</f>
        <v>44188.78425</v>
      </c>
    </row>
    <row r="2635">
      <c r="A2635" t="str">
        <f>IFERROR(__xludf.DUMMYFUNCTION("""COMPUTED_VALUE"""),"Don3Tesla")</f>
        <v>Don3Tesla</v>
      </c>
      <c r="C2635" t="str">
        <f>IFERROR(__xludf.DUMMYFUNCTION("""COMPUTED_VALUE"""),"NC")</f>
        <v>NC</v>
      </c>
      <c r="D2635" t="str">
        <f>IFERROR(__xludf.DUMMYFUNCTION("""COMPUTED_VALUE"""),"USA")</f>
        <v>USA</v>
      </c>
      <c r="E2635" s="188">
        <f>IFERROR(__xludf.DUMMYFUNCTION("""COMPUTED_VALUE"""),44122.0)</f>
        <v>44122</v>
      </c>
      <c r="F2635" s="188">
        <f>IFERROR(__xludf.DUMMYFUNCTION("""COMPUTED_VALUE"""),44159.0)</f>
        <v>44159</v>
      </c>
      <c r="H2635">
        <f>IFERROR(__xludf.DUMMYFUNCTION("""COMPUTED_VALUE"""),847955.0)</f>
        <v>847955</v>
      </c>
      <c r="I2635" t="str">
        <f>IFERROR(__xludf.DUMMYFUNCTION("""COMPUTED_VALUE"""),"11/20")</f>
        <v>11/20</v>
      </c>
      <c r="J2635" s="5">
        <f>IFERROR(__xludf.DUMMYFUNCTION("""COMPUTED_VALUE"""),44176.0)</f>
        <v>44176</v>
      </c>
      <c r="K2635">
        <f>IFERROR(__xludf.DUMMYFUNCTION("""COMPUTED_VALUE"""),37.0)</f>
        <v>37</v>
      </c>
      <c r="L2635">
        <f>IFERROR(__xludf.DUMMYFUNCTION("""COMPUTED_VALUE"""),17.0)</f>
        <v>17</v>
      </c>
      <c r="M2635">
        <f>IFERROR(__xludf.DUMMYFUNCTION("""COMPUTED_VALUE"""),54.0)</f>
        <v>54</v>
      </c>
      <c r="N2635" t="str">
        <f>IFERROR(__xludf.DUMMYFUNCTION("""COMPUTED_VALUE"""),"Model 3 LR AWD")</f>
        <v>Model 3 LR AWD</v>
      </c>
      <c r="O2635" t="str">
        <f>IFERROR(__xludf.DUMMYFUNCTION("""COMPUTED_VALUE"""),"Pearl White Multi-Coat")</f>
        <v>Pearl White Multi-Coat</v>
      </c>
      <c r="P2635" t="str">
        <f>IFERROR(__xludf.DUMMYFUNCTION("""COMPUTED_VALUE"""),"18 inch")</f>
        <v>18 inch</v>
      </c>
      <c r="Q2635" t="str">
        <f>IFERROR(__xludf.DUMMYFUNCTION("""COMPUTED_VALUE"""),"All Black")</f>
        <v>All Black</v>
      </c>
      <c r="R2635" t="str">
        <f>IFERROR(__xludf.DUMMYFUNCTION("""COMPUTED_VALUE"""),"Autopilot included")</f>
        <v>Autopilot included</v>
      </c>
      <c r="U2635" t="str">
        <f>IFERROR(__xludf.DUMMYFUNCTION("""COMPUTED_VALUE"""),"Electric!")</f>
        <v>Electric!</v>
      </c>
      <c r="V2635" t="str">
        <f>IFERROR(__xludf.DUMMYFUNCTION("""COMPUTED_VALUE"""),"HomeLink")</f>
        <v>HomeLink</v>
      </c>
      <c r="X2635" t="str">
        <f>IFERROR(__xludf.DUMMYFUNCTION("""COMPUTED_VALUE"""),"Excellent")</f>
        <v>Excellent</v>
      </c>
      <c r="Y2635" t="str">
        <f>IFERROR(__xludf.DUMMYFUNCTION("""COMPUTED_VALUE"""),"Excellent")</f>
        <v>Excellent</v>
      </c>
      <c r="Z2635" t="str">
        <f>IFERROR(__xludf.DUMMYFUNCTION("""COMPUTED_VALUE"""),"Excellent")</f>
        <v>Excellent</v>
      </c>
      <c r="AA2635" t="str">
        <f>IFERROR(__xludf.DUMMYFUNCTION("""COMPUTED_VALUE"""),"Excellent")</f>
        <v>Excellent</v>
      </c>
      <c r="AB2635" t="str">
        <f>IFERROR(__xludf.DUMMYFUNCTION("""COMPUTED_VALUE"""),"Excellent")</f>
        <v>Excellent</v>
      </c>
      <c r="AF2635" t="str">
        <f>IFERROR(__xludf.DUMMYFUNCTION("""COMPUTED_VALUE"""),"No. I took delivery of the first car Tesla was able to deliver.")</f>
        <v>No. I took delivery of the first car Tesla was able to deliver.</v>
      </c>
      <c r="AH2635" s="189">
        <f>IFERROR(__xludf.DUMMYFUNCTION("""COMPUTED_VALUE"""),44177.205851770836)</f>
        <v>44177.20585</v>
      </c>
    </row>
    <row r="2636">
      <c r="A2636" t="str">
        <f>IFERROR(__xludf.DUMMYFUNCTION("""COMPUTED_VALUE"""),"Jlc0623")</f>
        <v>Jlc0623</v>
      </c>
      <c r="B2636" t="str">
        <f>IFERROR(__xludf.DUMMYFUNCTION("""COMPUTED_VALUE"""),"Glen Allen")</f>
        <v>Glen Allen</v>
      </c>
      <c r="C2636" t="str">
        <f>IFERROR(__xludf.DUMMYFUNCTION("""COMPUTED_VALUE"""),"VA")</f>
        <v>VA</v>
      </c>
      <c r="D2636" t="str">
        <f>IFERROR(__xludf.DUMMYFUNCTION("""COMPUTED_VALUE"""),"USA")</f>
        <v>USA</v>
      </c>
      <c r="E2636" s="188">
        <f>IFERROR(__xludf.DUMMYFUNCTION("""COMPUTED_VALUE"""),44155.0)</f>
        <v>44155</v>
      </c>
      <c r="F2636" s="188">
        <f>IFERROR(__xludf.DUMMYFUNCTION("""COMPUTED_VALUE"""),44171.0)</f>
        <v>44171</v>
      </c>
      <c r="G2636" t="str">
        <f>IFERROR(__xludf.DUMMYFUNCTION("""COMPUTED_VALUE"""),"Manage order page (normal text)")</f>
        <v>Manage order page (normal text)</v>
      </c>
      <c r="H2636">
        <f>IFERROR(__xludf.DUMMYFUNCTION("""COMPUTED_VALUE"""),854355.0)</f>
        <v>854355</v>
      </c>
      <c r="I2636" t="str">
        <f>IFERROR(__xludf.DUMMYFUNCTION("""COMPUTED_VALUE"""),"12/20")</f>
        <v>12/20</v>
      </c>
      <c r="J2636" s="5">
        <f>IFERROR(__xludf.DUMMYFUNCTION("""COMPUTED_VALUE"""),44176.0)</f>
        <v>44176</v>
      </c>
      <c r="K2636">
        <f>IFERROR(__xludf.DUMMYFUNCTION("""COMPUTED_VALUE"""),16.0)</f>
        <v>16</v>
      </c>
      <c r="L2636">
        <f>IFERROR(__xludf.DUMMYFUNCTION("""COMPUTED_VALUE"""),5.0)</f>
        <v>5</v>
      </c>
      <c r="M2636">
        <f>IFERROR(__xludf.DUMMYFUNCTION("""COMPUTED_VALUE"""),21.0)</f>
        <v>21</v>
      </c>
      <c r="N2636" t="str">
        <f>IFERROR(__xludf.DUMMYFUNCTION("""COMPUTED_VALUE"""),"Model 3 SR+")</f>
        <v>Model 3 SR+</v>
      </c>
      <c r="O2636" t="str">
        <f>IFERROR(__xludf.DUMMYFUNCTION("""COMPUTED_VALUE"""),"Pearl White Multi-Coat")</f>
        <v>Pearl White Multi-Coat</v>
      </c>
      <c r="P2636" t="str">
        <f>IFERROR(__xludf.DUMMYFUNCTION("""COMPUTED_VALUE"""),"18 inch")</f>
        <v>18 inch</v>
      </c>
      <c r="Q2636" t="str">
        <f>IFERROR(__xludf.DUMMYFUNCTION("""COMPUTED_VALUE"""),"All Black")</f>
        <v>All Black</v>
      </c>
      <c r="R2636" t="str">
        <f>IFERROR(__xludf.DUMMYFUNCTION("""COMPUTED_VALUE"""),"Autopilot included")</f>
        <v>Autopilot included</v>
      </c>
      <c r="S2636" t="str">
        <f>IFERROR(__xludf.DUMMYFUNCTION("""COMPUTED_VALUE"""),"Loan")</f>
        <v>Loan</v>
      </c>
      <c r="T2636" t="str">
        <f>IFERROR(__xludf.DUMMYFUNCTION("""COMPUTED_VALUE"""),"Toyota sienna")</f>
        <v>Toyota sienna</v>
      </c>
      <c r="U2636" t="str">
        <f>IFERROR(__xludf.DUMMYFUNCTION("""COMPUTED_VALUE"""),"Tesla brand image")</f>
        <v>Tesla brand image</v>
      </c>
      <c r="V2636" t="str">
        <f>IFERROR(__xludf.DUMMYFUNCTION("""COMPUTED_VALUE"""),"Heated steering wheel")</f>
        <v>Heated steering wheel</v>
      </c>
      <c r="W2636" t="str">
        <f>IFERROR(__xludf.DUMMYFUNCTION("""COMPUTED_VALUE"""),"Be patient.")</f>
        <v>Be patient.</v>
      </c>
      <c r="X2636" t="str">
        <f>IFERROR(__xludf.DUMMYFUNCTION("""COMPUTED_VALUE"""),"Very Good")</f>
        <v>Very Good</v>
      </c>
      <c r="Y2636" t="str">
        <f>IFERROR(__xludf.DUMMYFUNCTION("""COMPUTED_VALUE"""),"Excellent")</f>
        <v>Excellent</v>
      </c>
      <c r="Z2636" t="str">
        <f>IFERROR(__xludf.DUMMYFUNCTION("""COMPUTED_VALUE"""),"Excellent")</f>
        <v>Excellent</v>
      </c>
      <c r="AA2636" t="str">
        <f>IFERROR(__xludf.DUMMYFUNCTION("""COMPUTED_VALUE"""),"Very Good")</f>
        <v>Very Good</v>
      </c>
      <c r="AB2636" t="str">
        <f>IFERROR(__xludf.DUMMYFUNCTION("""COMPUTED_VALUE"""),"Very Good")</f>
        <v>Very Good</v>
      </c>
      <c r="AF2636" t="str">
        <f>IFERROR(__xludf.DUMMYFUNCTION("""COMPUTED_VALUE"""),"No. I took delivery of the first car Tesla was able to deliver.")</f>
        <v>No. I took delivery of the first car Tesla was able to deliver.</v>
      </c>
      <c r="AG2636" t="str">
        <f>IFERROR(__xludf.DUMMYFUNCTION("""COMPUTED_VALUE"""),"Keep checking existing inventory online. Was able to get exactly what i wanted 11 days early by willing to drive an extra hour to a different sales center.")</f>
        <v>Keep checking existing inventory online. Was able to get exactly what i wanted 11 days early by willing to drive an extra hour to a different sales center.</v>
      </c>
      <c r="AH2636" s="189">
        <f>IFERROR(__xludf.DUMMYFUNCTION("""COMPUTED_VALUE"""),44176.80464365741)</f>
        <v>44176.80464</v>
      </c>
    </row>
    <row r="2637">
      <c r="A2637" t="str">
        <f>IFERROR(__xludf.DUMMYFUNCTION("""COMPUTED_VALUE"""),"Jeff")</f>
        <v>Jeff</v>
      </c>
      <c r="B2637" t="str">
        <f>IFERROR(__xludf.DUMMYFUNCTION("""COMPUTED_VALUE"""),"Roseville")</f>
        <v>Roseville</v>
      </c>
      <c r="C2637" t="str">
        <f>IFERROR(__xludf.DUMMYFUNCTION("""COMPUTED_VALUE"""),"CA")</f>
        <v>CA</v>
      </c>
      <c r="D2637" t="str">
        <f>IFERROR(__xludf.DUMMYFUNCTION("""COMPUTED_VALUE"""),"USA")</f>
        <v>USA</v>
      </c>
      <c r="E2637" s="188">
        <f>IFERROR(__xludf.DUMMYFUNCTION("""COMPUTED_VALUE"""),44152.0)</f>
        <v>44152</v>
      </c>
      <c r="F2637" s="188">
        <f>IFERROR(__xludf.DUMMYFUNCTION("""COMPUTED_VALUE"""),44177.0)</f>
        <v>44177</v>
      </c>
      <c r="G2637" t="str">
        <f>IFERROR(__xludf.DUMMYFUNCTION("""COMPUTED_VALUE"""),"Manage order page (normal text)")</f>
        <v>Manage order page (normal text)</v>
      </c>
      <c r="H2637">
        <f>IFERROR(__xludf.DUMMYFUNCTION("""COMPUTED_VALUE"""),861218.0)</f>
        <v>861218</v>
      </c>
      <c r="J2637" s="5">
        <f>IFERROR(__xludf.DUMMYFUNCTION("""COMPUTED_VALUE"""),44182.0)</f>
        <v>44182</v>
      </c>
      <c r="K2637">
        <f>IFERROR(__xludf.DUMMYFUNCTION("""COMPUTED_VALUE"""),25.0)</f>
        <v>25</v>
      </c>
      <c r="L2637">
        <f>IFERROR(__xludf.DUMMYFUNCTION("""COMPUTED_VALUE"""),5.0)</f>
        <v>5</v>
      </c>
      <c r="M2637">
        <f>IFERROR(__xludf.DUMMYFUNCTION("""COMPUTED_VALUE"""),30.0)</f>
        <v>30</v>
      </c>
      <c r="N2637" t="str">
        <f>IFERROR(__xludf.DUMMYFUNCTION("""COMPUTED_VALUE"""),"Model 3 SR+")</f>
        <v>Model 3 SR+</v>
      </c>
      <c r="O2637" t="str">
        <f>IFERROR(__xludf.DUMMYFUNCTION("""COMPUTED_VALUE"""),"Solid Black")</f>
        <v>Solid Black</v>
      </c>
      <c r="P2637" t="str">
        <f>IFERROR(__xludf.DUMMYFUNCTION("""COMPUTED_VALUE"""),"19 inch")</f>
        <v>19 inch</v>
      </c>
      <c r="Q2637" t="str">
        <f>IFERROR(__xludf.DUMMYFUNCTION("""COMPUTED_VALUE"""),"All Black")</f>
        <v>All Black</v>
      </c>
      <c r="R2637" t="str">
        <f>IFERROR(__xludf.DUMMYFUNCTION("""COMPUTED_VALUE"""),"Autopilot included")</f>
        <v>Autopilot included</v>
      </c>
      <c r="S2637" t="str">
        <f>IFERROR(__xludf.DUMMYFUNCTION("""COMPUTED_VALUE"""),"Loan")</f>
        <v>Loan</v>
      </c>
      <c r="V2637" t="str">
        <f>IFERROR(__xludf.DUMMYFUNCTION("""COMPUTED_VALUE"""),"Apple CarPlay / Android Auto / SiriusXM Radio")</f>
        <v>Apple CarPlay / Android Auto / SiriusXM Radio</v>
      </c>
      <c r="X2637" t="str">
        <f>IFERROR(__xludf.DUMMYFUNCTION("""COMPUTED_VALUE"""),"Excellent")</f>
        <v>Excellent</v>
      </c>
      <c r="Y2637" t="str">
        <f>IFERROR(__xludf.DUMMYFUNCTION("""COMPUTED_VALUE"""),"Excellent")</f>
        <v>Excellent</v>
      </c>
      <c r="Z2637" t="str">
        <f>IFERROR(__xludf.DUMMYFUNCTION("""COMPUTED_VALUE"""),"Very Good")</f>
        <v>Very Good</v>
      </c>
      <c r="AA2637" t="str">
        <f>IFERROR(__xludf.DUMMYFUNCTION("""COMPUTED_VALUE"""),"Excellent")</f>
        <v>Excellent</v>
      </c>
      <c r="AB2637" t="str">
        <f>IFERROR(__xludf.DUMMYFUNCTION("""COMPUTED_VALUE"""),"Excellent")</f>
        <v>Excellent</v>
      </c>
      <c r="AF2637" t="str">
        <f>IFERROR(__xludf.DUMMYFUNCTION("""COMPUTED_VALUE"""),"No. I took delivery of the first car Tesla was able to deliver.")</f>
        <v>No. I took delivery of the first car Tesla was able to deliver.</v>
      </c>
      <c r="AH2637" s="189">
        <f>IFERROR(__xludf.DUMMYFUNCTION("""COMPUTED_VALUE"""),44182.62943065973)</f>
        <v>44182.62943</v>
      </c>
    </row>
    <row r="2638">
      <c r="A2638" t="str">
        <f>IFERROR(__xludf.DUMMYFUNCTION("""COMPUTED_VALUE"""),"atawse")</f>
        <v>atawse</v>
      </c>
      <c r="B2638" t="str">
        <f>IFERROR(__xludf.DUMMYFUNCTION("""COMPUTED_VALUE"""),"Buffalo")</f>
        <v>Buffalo</v>
      </c>
      <c r="C2638" t="str">
        <f>IFERROR(__xludf.DUMMYFUNCTION("""COMPUTED_VALUE"""),"NY")</f>
        <v>NY</v>
      </c>
      <c r="D2638" t="str">
        <f>IFERROR(__xludf.DUMMYFUNCTION("""COMPUTED_VALUE"""),"USA")</f>
        <v>USA</v>
      </c>
      <c r="E2638" s="188">
        <f>IFERROR(__xludf.DUMMYFUNCTION("""COMPUTED_VALUE"""),44128.0)</f>
        <v>44128</v>
      </c>
      <c r="F2638" s="188">
        <f>IFERROR(__xludf.DUMMYFUNCTION("""COMPUTED_VALUE"""),44161.0)</f>
        <v>44161</v>
      </c>
      <c r="G2638" t="str">
        <f>IFERROR(__xludf.DUMMYFUNCTION("""COMPUTED_VALUE"""),"Manage order page (normal text)")</f>
        <v>Manage order page (normal text)</v>
      </c>
      <c r="H2638">
        <f>IFERROR(__xludf.DUMMYFUNCTION("""COMPUTED_VALUE"""),849945.0)</f>
        <v>849945</v>
      </c>
      <c r="I2638" t="str">
        <f>IFERROR(__xludf.DUMMYFUNCTION("""COMPUTED_VALUE"""),"11/20")</f>
        <v>11/20</v>
      </c>
      <c r="J2638" s="5">
        <f>IFERROR(__xludf.DUMMYFUNCTION("""COMPUTED_VALUE"""),44177.0)</f>
        <v>44177</v>
      </c>
      <c r="K2638">
        <f>IFERROR(__xludf.DUMMYFUNCTION("""COMPUTED_VALUE"""),33.0)</f>
        <v>33</v>
      </c>
      <c r="L2638">
        <f>IFERROR(__xludf.DUMMYFUNCTION("""COMPUTED_VALUE"""),16.0)</f>
        <v>16</v>
      </c>
      <c r="M2638">
        <f>IFERROR(__xludf.DUMMYFUNCTION("""COMPUTED_VALUE"""),49.0)</f>
        <v>49</v>
      </c>
      <c r="N2638" t="str">
        <f>IFERROR(__xludf.DUMMYFUNCTION("""COMPUTED_VALUE"""),"Model 3 LR AWD")</f>
        <v>Model 3 LR AWD</v>
      </c>
      <c r="O2638" t="str">
        <f>IFERROR(__xludf.DUMMYFUNCTION("""COMPUTED_VALUE"""),"Pearl White Multi-Coat")</f>
        <v>Pearl White Multi-Coat</v>
      </c>
      <c r="P2638" t="str">
        <f>IFERROR(__xludf.DUMMYFUNCTION("""COMPUTED_VALUE"""),"19 inch")</f>
        <v>19 inch</v>
      </c>
      <c r="Q2638" t="str">
        <f>IFERROR(__xludf.DUMMYFUNCTION("""COMPUTED_VALUE"""),"Black and White")</f>
        <v>Black and White</v>
      </c>
      <c r="R2638" t="str">
        <f>IFERROR(__xludf.DUMMYFUNCTION("""COMPUTED_VALUE"""),"Autopilot included")</f>
        <v>Autopilot included</v>
      </c>
      <c r="S2638" t="str">
        <f>IFERROR(__xludf.DUMMYFUNCTION("""COMPUTED_VALUE"""),"Lease")</f>
        <v>Lease</v>
      </c>
      <c r="T2638" t="str">
        <f>IFERROR(__xludf.DUMMYFUNCTION("""COMPUTED_VALUE"""),"Hyundia Ioniq BEV")</f>
        <v>Hyundia Ioniq BEV</v>
      </c>
      <c r="U2638" t="str">
        <f>IFERROR(__xludf.DUMMYFUNCTION("""COMPUTED_VALUE"""),"Supercharger V3 support")</f>
        <v>Supercharger V3 support</v>
      </c>
      <c r="V2638" t="str">
        <f>IFERROR(__xludf.DUMMYFUNCTION("""COMPUTED_VALUE"""),"Head-up display")</f>
        <v>Head-up display</v>
      </c>
      <c r="X2638" t="str">
        <f>IFERROR(__xludf.DUMMYFUNCTION("""COMPUTED_VALUE"""),"Very Good")</f>
        <v>Very Good</v>
      </c>
      <c r="Y2638" t="str">
        <f>IFERROR(__xludf.DUMMYFUNCTION("""COMPUTED_VALUE"""),"Very Good")</f>
        <v>Very Good</v>
      </c>
      <c r="Z2638" t="str">
        <f>IFERROR(__xludf.DUMMYFUNCTION("""COMPUTED_VALUE"""),"Good")</f>
        <v>Good</v>
      </c>
      <c r="AA2638" t="str">
        <f>IFERROR(__xludf.DUMMYFUNCTION("""COMPUTED_VALUE"""),"Poor")</f>
        <v>Poor</v>
      </c>
      <c r="AB2638" t="str">
        <f>IFERROR(__xludf.DUMMYFUNCTION("""COMPUTED_VALUE"""),"Good")</f>
        <v>Good</v>
      </c>
      <c r="AC2638">
        <f>IFERROR(__xludf.DUMMYFUNCTION("""COMPUTED_VALUE"""),5.0)</f>
        <v>5</v>
      </c>
      <c r="AF2638" t="str">
        <f>IFERROR(__xludf.DUMMYFUNCTION("""COMPUTED_VALUE"""),"No. I took delivery of the first car Tesla was able to deliver.")</f>
        <v>No. I took delivery of the first car Tesla was able to deliver.</v>
      </c>
      <c r="AG2638" t="str">
        <f>IFERROR(__xludf.DUMMYFUNCTION("""COMPUTED_VALUE""")," Delivery ETA: 12/8-12/14")</f>
        <v> Delivery ETA: 12/8-12/14</v>
      </c>
      <c r="AH2638" s="189">
        <f>IFERROR(__xludf.DUMMYFUNCTION("""COMPUTED_VALUE"""),44179.33792922454)</f>
        <v>44179.33793</v>
      </c>
    </row>
    <row r="2639">
      <c r="A2639" t="str">
        <f>IFERROR(__xludf.DUMMYFUNCTION("""COMPUTED_VALUE"""),"rnewb")</f>
        <v>rnewb</v>
      </c>
      <c r="B2639" t="str">
        <f>IFERROR(__xludf.DUMMYFUNCTION("""COMPUTED_VALUE"""),"Atlanta")</f>
        <v>Atlanta</v>
      </c>
      <c r="C2639" t="str">
        <f>IFERROR(__xludf.DUMMYFUNCTION("""COMPUTED_VALUE"""),"GA")</f>
        <v>GA</v>
      </c>
      <c r="D2639" t="str">
        <f>IFERROR(__xludf.DUMMYFUNCTION("""COMPUTED_VALUE"""),"USA")</f>
        <v>USA</v>
      </c>
      <c r="E2639" s="188">
        <f>IFERROR(__xludf.DUMMYFUNCTION("""COMPUTED_VALUE"""),44131.0)</f>
        <v>44131</v>
      </c>
      <c r="F2639" s="188">
        <f>IFERROR(__xludf.DUMMYFUNCTION("""COMPUTED_VALUE"""),44164.0)</f>
        <v>44164</v>
      </c>
      <c r="G2639" t="str">
        <f>IFERROR(__xludf.DUMMYFUNCTION("""COMPUTED_VALUE"""),"Manage order page (normal text)")</f>
        <v>Manage order page (normal text)</v>
      </c>
      <c r="H2639">
        <f>IFERROR(__xludf.DUMMYFUNCTION("""COMPUTED_VALUE"""),850155.0)</f>
        <v>850155</v>
      </c>
      <c r="I2639" t="str">
        <f>IFERROR(__xludf.DUMMYFUNCTION("""COMPUTED_VALUE"""),"11/20")</f>
        <v>11/20</v>
      </c>
      <c r="J2639" s="5">
        <f>IFERROR(__xludf.DUMMYFUNCTION("""COMPUTED_VALUE"""),44179.0)</f>
        <v>44179</v>
      </c>
      <c r="K2639">
        <f>IFERROR(__xludf.DUMMYFUNCTION("""COMPUTED_VALUE"""),33.0)</f>
        <v>33</v>
      </c>
      <c r="L2639">
        <f>IFERROR(__xludf.DUMMYFUNCTION("""COMPUTED_VALUE"""),15.0)</f>
        <v>15</v>
      </c>
      <c r="M2639">
        <f>IFERROR(__xludf.DUMMYFUNCTION("""COMPUTED_VALUE"""),48.0)</f>
        <v>48</v>
      </c>
      <c r="N2639" t="str">
        <f>IFERROR(__xludf.DUMMYFUNCTION("""COMPUTED_VALUE"""),"Model 3 Performance")</f>
        <v>Model 3 Performance</v>
      </c>
      <c r="O2639" t="str">
        <f>IFERROR(__xludf.DUMMYFUNCTION("""COMPUTED_VALUE"""),"Midnight Silver Metallic")</f>
        <v>Midnight Silver Metallic</v>
      </c>
      <c r="P2639" t="str">
        <f>IFERROR(__xludf.DUMMYFUNCTION("""COMPUTED_VALUE"""),"20 inch")</f>
        <v>20 inch</v>
      </c>
      <c r="Q2639" t="str">
        <f>IFERROR(__xludf.DUMMYFUNCTION("""COMPUTED_VALUE"""),"All Black")</f>
        <v>All Black</v>
      </c>
      <c r="R2639" t="str">
        <f>IFERROR(__xludf.DUMMYFUNCTION("""COMPUTED_VALUE"""),"Autopilot included")</f>
        <v>Autopilot included</v>
      </c>
      <c r="S2639" t="str">
        <f>IFERROR(__xludf.DUMMYFUNCTION("""COMPUTED_VALUE"""),"Loan")</f>
        <v>Loan</v>
      </c>
      <c r="T2639" t="str">
        <f>IFERROR(__xludf.DUMMYFUNCTION("""COMPUTED_VALUE"""),"BMW 5 Series")</f>
        <v>BMW 5 Series</v>
      </c>
      <c r="U2639" t="str">
        <f>IFERROR(__xludf.DUMMYFUNCTION("""COMPUTED_VALUE"""),"Electric!")</f>
        <v>Electric!</v>
      </c>
      <c r="V2639" t="str">
        <f>IFERROR(__xludf.DUMMYFUNCTION("""COMPUTED_VALUE"""),"360° Bird's eye view")</f>
        <v>360° Bird's eye view</v>
      </c>
      <c r="X2639" t="str">
        <f>IFERROR(__xludf.DUMMYFUNCTION("""COMPUTED_VALUE"""),"Very Good")</f>
        <v>Very Good</v>
      </c>
      <c r="Y2639" t="str">
        <f>IFERROR(__xludf.DUMMYFUNCTION("""COMPUTED_VALUE"""),"Excellent")</f>
        <v>Excellent</v>
      </c>
      <c r="Z2639" t="str">
        <f>IFERROR(__xludf.DUMMYFUNCTION("""COMPUTED_VALUE"""),"Excellent")</f>
        <v>Excellent</v>
      </c>
      <c r="AA2639" t="str">
        <f>IFERROR(__xludf.DUMMYFUNCTION("""COMPUTED_VALUE"""),"Very Good")</f>
        <v>Very Good</v>
      </c>
      <c r="AB2639" t="str">
        <f>IFERROR(__xludf.DUMMYFUNCTION("""COMPUTED_VALUE"""),"Very Good")</f>
        <v>Very Good</v>
      </c>
      <c r="AF2639" t="str">
        <f>IFERROR(__xludf.DUMMYFUNCTION("""COMPUTED_VALUE"""),"No. I took delivery of the first car Tesla was able to deliver.")</f>
        <v>No. I took delivery of the first car Tesla was able to deliver.</v>
      </c>
      <c r="AH2639" s="189">
        <f>IFERROR(__xludf.DUMMYFUNCTION("""COMPUTED_VALUE"""),44182.96387393519)</f>
        <v>44182.96387</v>
      </c>
    </row>
    <row r="2640">
      <c r="A2640" t="str">
        <f>IFERROR(__xludf.DUMMYFUNCTION("""COMPUTED_VALUE"""),"zerb012345")</f>
        <v>zerb012345</v>
      </c>
      <c r="B2640" t="str">
        <f>IFERROR(__xludf.DUMMYFUNCTION("""COMPUTED_VALUE"""),"Attleboro")</f>
        <v>Attleboro</v>
      </c>
      <c r="C2640" t="str">
        <f>IFERROR(__xludf.DUMMYFUNCTION("""COMPUTED_VALUE"""),"MA")</f>
        <v>MA</v>
      </c>
      <c r="D2640" t="str">
        <f>IFERROR(__xludf.DUMMYFUNCTION("""COMPUTED_VALUE"""),"USA")</f>
        <v>USA</v>
      </c>
      <c r="E2640" s="188">
        <f>IFERROR(__xludf.DUMMYFUNCTION("""COMPUTED_VALUE"""),44102.0)</f>
        <v>44102</v>
      </c>
      <c r="F2640" s="188">
        <f>IFERROR(__xludf.DUMMYFUNCTION("""COMPUTED_VALUE"""),44164.0)</f>
        <v>44164</v>
      </c>
      <c r="G2640" t="str">
        <f>IFERROR(__xludf.DUMMYFUNCTION("""COMPUTED_VALUE"""),"Manage order page (normal text)")</f>
        <v>Manage order page (normal text)</v>
      </c>
      <c r="H2640" s="4">
        <f>IFERROR(__xludf.DUMMYFUNCTION("""COMPUTED_VALUE"""),850565.0)</f>
        <v>850565</v>
      </c>
      <c r="I2640" t="str">
        <f>IFERROR(__xludf.DUMMYFUNCTION("""COMPUTED_VALUE"""),"11/20")</f>
        <v>11/20</v>
      </c>
      <c r="J2640" s="5">
        <f>IFERROR(__xludf.DUMMYFUNCTION("""COMPUTED_VALUE"""),44177.0)</f>
        <v>44177</v>
      </c>
      <c r="K2640">
        <f>IFERROR(__xludf.DUMMYFUNCTION("""COMPUTED_VALUE"""),62.0)</f>
        <v>62</v>
      </c>
      <c r="L2640">
        <f>IFERROR(__xludf.DUMMYFUNCTION("""COMPUTED_VALUE"""),13.0)</f>
        <v>13</v>
      </c>
      <c r="M2640">
        <f>IFERROR(__xludf.DUMMYFUNCTION("""COMPUTED_VALUE"""),75.0)</f>
        <v>75</v>
      </c>
      <c r="N2640" t="str">
        <f>IFERROR(__xludf.DUMMYFUNCTION("""COMPUTED_VALUE"""),"Model 3 SR+")</f>
        <v>Model 3 SR+</v>
      </c>
      <c r="O2640" t="str">
        <f>IFERROR(__xludf.DUMMYFUNCTION("""COMPUTED_VALUE"""),"Pearl White Multi-Coat")</f>
        <v>Pearl White Multi-Coat</v>
      </c>
      <c r="P2640" t="str">
        <f>IFERROR(__xludf.DUMMYFUNCTION("""COMPUTED_VALUE"""),"18 inch")</f>
        <v>18 inch</v>
      </c>
      <c r="Q2640" t="str">
        <f>IFERROR(__xludf.DUMMYFUNCTION("""COMPUTED_VALUE"""),"All Black")</f>
        <v>All Black</v>
      </c>
      <c r="R2640" t="str">
        <f>IFERROR(__xludf.DUMMYFUNCTION("""COMPUTED_VALUE"""),"Autopilot included")</f>
        <v>Autopilot included</v>
      </c>
      <c r="S2640" t="str">
        <f>IFERROR(__xludf.DUMMYFUNCTION("""COMPUTED_VALUE"""),"Loan")</f>
        <v>Loan</v>
      </c>
      <c r="T2640" t="str">
        <f>IFERROR(__xludf.DUMMYFUNCTION("""COMPUTED_VALUE"""),"Honda Accord")</f>
        <v>Honda Accord</v>
      </c>
      <c r="U2640" t="str">
        <f>IFERROR(__xludf.DUMMYFUNCTION("""COMPUTED_VALUE"""),"All-glass roof")</f>
        <v>All-glass roof</v>
      </c>
      <c r="V2640" t="str">
        <f>IFERROR(__xludf.DUMMYFUNCTION("""COMPUTED_VALUE"""),"Heated steering wheel")</f>
        <v>Heated steering wheel</v>
      </c>
      <c r="X2640" t="str">
        <f>IFERROR(__xludf.DUMMYFUNCTION("""COMPUTED_VALUE"""),"Very Good")</f>
        <v>Very Good</v>
      </c>
      <c r="Y2640" t="str">
        <f>IFERROR(__xludf.DUMMYFUNCTION("""COMPUTED_VALUE"""),"Excellent")</f>
        <v>Excellent</v>
      </c>
      <c r="Z2640" t="str">
        <f>IFERROR(__xludf.DUMMYFUNCTION("""COMPUTED_VALUE"""),"Excellent")</f>
        <v>Excellent</v>
      </c>
      <c r="AA2640" t="str">
        <f>IFERROR(__xludf.DUMMYFUNCTION("""COMPUTED_VALUE"""),"Fair")</f>
        <v>Fair</v>
      </c>
      <c r="AB2640" t="str">
        <f>IFERROR(__xludf.DUMMYFUNCTION("""COMPUTED_VALUE"""),"Good")</f>
        <v>Good</v>
      </c>
      <c r="AF2640" t="str">
        <f>IFERROR(__xludf.DUMMYFUNCTION("""COMPUTED_VALUE"""),"No. I took delivery of the first car Tesla was able to deliver.")</f>
        <v>No. I took delivery of the first car Tesla was able to deliver.</v>
      </c>
      <c r="AH2640" s="189">
        <f>IFERROR(__xludf.DUMMYFUNCTION("""COMPUTED_VALUE"""),44178.21856675926)</f>
        <v>44178.21857</v>
      </c>
    </row>
    <row r="2641">
      <c r="A2641" t="str">
        <f>IFERROR(__xludf.DUMMYFUNCTION("""COMPUTED_VALUE"""),"dkenneths")</f>
        <v>dkenneths</v>
      </c>
      <c r="B2641" t="str">
        <f>IFERROR(__xludf.DUMMYFUNCTION("""COMPUTED_VALUE"""),"Berwick")</f>
        <v>Berwick</v>
      </c>
      <c r="C2641" t="str">
        <f>IFERROR(__xludf.DUMMYFUNCTION("""COMPUTED_VALUE"""),"PA")</f>
        <v>PA</v>
      </c>
      <c r="D2641" t="str">
        <f>IFERROR(__xludf.DUMMYFUNCTION("""COMPUTED_VALUE"""),"USA")</f>
        <v>USA</v>
      </c>
      <c r="E2641" s="188">
        <f>IFERROR(__xludf.DUMMYFUNCTION("""COMPUTED_VALUE"""),44128.0)</f>
        <v>44128</v>
      </c>
      <c r="F2641" s="188">
        <f>IFERROR(__xludf.DUMMYFUNCTION("""COMPUTED_VALUE"""),44163.0)</f>
        <v>44163</v>
      </c>
      <c r="G2641" t="str">
        <f>IFERROR(__xludf.DUMMYFUNCTION("""COMPUTED_VALUE"""),"Source code")</f>
        <v>Source code</v>
      </c>
      <c r="H2641" s="4">
        <f>IFERROR(__xludf.DUMMYFUNCTION("""COMPUTED_VALUE"""),854379.0)</f>
        <v>854379</v>
      </c>
      <c r="I2641" t="str">
        <f>IFERROR(__xludf.DUMMYFUNCTION("""COMPUTED_VALUE"""),"11/20")</f>
        <v>11/20</v>
      </c>
      <c r="J2641" s="188">
        <f>IFERROR(__xludf.DUMMYFUNCTION("""COMPUTED_VALUE"""),44179.0)</f>
        <v>44179</v>
      </c>
      <c r="K2641">
        <f>IFERROR(__xludf.DUMMYFUNCTION("""COMPUTED_VALUE"""),35.0)</f>
        <v>35</v>
      </c>
      <c r="L2641">
        <f>IFERROR(__xludf.DUMMYFUNCTION("""COMPUTED_VALUE"""),16.0)</f>
        <v>16</v>
      </c>
      <c r="M2641">
        <f>IFERROR(__xludf.DUMMYFUNCTION("""COMPUTED_VALUE"""),51.0)</f>
        <v>51</v>
      </c>
      <c r="N2641" t="str">
        <f>IFERROR(__xludf.DUMMYFUNCTION("""COMPUTED_VALUE"""),"Model 3 SR+")</f>
        <v>Model 3 SR+</v>
      </c>
      <c r="O2641" t="str">
        <f>IFERROR(__xludf.DUMMYFUNCTION("""COMPUTED_VALUE"""),"Midnight Silver Metallic")</f>
        <v>Midnight Silver Metallic</v>
      </c>
      <c r="P2641" t="str">
        <f>IFERROR(__xludf.DUMMYFUNCTION("""COMPUTED_VALUE"""),"18 inch")</f>
        <v>18 inch</v>
      </c>
      <c r="Q2641" t="str">
        <f>IFERROR(__xludf.DUMMYFUNCTION("""COMPUTED_VALUE"""),"Black and White")</f>
        <v>Black and White</v>
      </c>
      <c r="R2641" t="str">
        <f>IFERROR(__xludf.DUMMYFUNCTION("""COMPUTED_VALUE"""),"Full Self-Driving")</f>
        <v>Full Self-Driving</v>
      </c>
      <c r="S2641" t="str">
        <f>IFERROR(__xludf.DUMMYFUNCTION("""COMPUTED_VALUE"""),"Loan")</f>
        <v>Loan</v>
      </c>
      <c r="U2641" t="str">
        <f>IFERROR(__xludf.DUMMYFUNCTION("""COMPUTED_VALUE"""),"Autopilot")</f>
        <v>Autopilot</v>
      </c>
      <c r="V2641" t="str">
        <f>IFERROR(__xludf.DUMMYFUNCTION("""COMPUTED_VALUE"""),"Air suspension")</f>
        <v>Air suspension</v>
      </c>
      <c r="W2641" t="str">
        <f>IFERROR(__xludf.DUMMYFUNCTION("""COMPUTED_VALUE"""),"Make sure your delivery advisor notes any issues with the car.  Make sure it's documents and you get a copy.  If you find issues, be nice about them.  You're more likely to get things resolved.")</f>
        <v>Make sure your delivery advisor notes any issues with the car.  Make sure it's documents and you get a copy.  If you find issues, be nice about them.  You're more likely to get things resolved.</v>
      </c>
      <c r="X2641" t="str">
        <f>IFERROR(__xludf.DUMMYFUNCTION("""COMPUTED_VALUE"""),"Very Good")</f>
        <v>Very Good</v>
      </c>
      <c r="Y2641" t="str">
        <f>IFERROR(__xludf.DUMMYFUNCTION("""COMPUTED_VALUE"""),"Fair")</f>
        <v>Fair</v>
      </c>
      <c r="Z2641" t="str">
        <f>IFERROR(__xludf.DUMMYFUNCTION("""COMPUTED_VALUE"""),"Poor")</f>
        <v>Poor</v>
      </c>
      <c r="AA2641" t="str">
        <f>IFERROR(__xludf.DUMMYFUNCTION("""COMPUTED_VALUE"""),"Excellent")</f>
        <v>Excellent</v>
      </c>
      <c r="AB2641" t="str">
        <f>IFERROR(__xludf.DUMMYFUNCTION("""COMPUTED_VALUE"""),"Fair")</f>
        <v>Fair</v>
      </c>
      <c r="AC2641">
        <f>IFERROR(__xludf.DUMMYFUNCTION("""COMPUTED_VALUE"""),8.0)</f>
        <v>8</v>
      </c>
      <c r="AD2641">
        <f>IFERROR(__xludf.DUMMYFUNCTION("""COMPUTED_VALUE"""),2.0)</f>
        <v>2</v>
      </c>
      <c r="AE2641">
        <f>IFERROR(__xludf.DUMMYFUNCTION("""COMPUTED_VALUE"""),21.0)</f>
        <v>21</v>
      </c>
      <c r="AF2641" t="str">
        <f>IFERROR(__xludf.DUMMYFUNCTION("""COMPUTED_VALUE"""),"No. I took delivery of the first car Tesla was able to deliver.")</f>
        <v>No. I took delivery of the first car Tesla was able to deliver.</v>
      </c>
      <c r="AG2641" t="str">
        <f>IFERROR(__xludf.DUMMYFUNCTION("""COMPUTED_VALUE"""),"Confirmed Delivery Date: 12/14 -- Advisor reached out on 12/11 to pick up at 3:00pm but gave me less than 2 hours to get there and I live over 2 hours away.  ")</f>
        <v>Confirmed Delivery Date: 12/14 -- Advisor reached out on 12/11 to pick up at 3:00pm but gave me less than 2 hours to get there and I live over 2 hours away.  </v>
      </c>
      <c r="AH2641" s="189">
        <f>IFERROR(__xludf.DUMMYFUNCTION("""COMPUTED_VALUE"""),44244.35767085648)</f>
        <v>44244.35767</v>
      </c>
    </row>
    <row r="2642">
      <c r="A2642" t="str">
        <f>IFERROR(__xludf.DUMMYFUNCTION("""COMPUTED_VALUE"""),"nextelmatt")</f>
        <v>nextelmatt</v>
      </c>
      <c r="B2642" t="str">
        <f>IFERROR(__xludf.DUMMYFUNCTION("""COMPUTED_VALUE"""),"Raleigh")</f>
        <v>Raleigh</v>
      </c>
      <c r="C2642" t="str">
        <f>IFERROR(__xludf.DUMMYFUNCTION("""COMPUTED_VALUE"""),"NC")</f>
        <v>NC</v>
      </c>
      <c r="D2642" t="str">
        <f>IFERROR(__xludf.DUMMYFUNCTION("""COMPUTED_VALUE"""),"USA")</f>
        <v>USA</v>
      </c>
      <c r="E2642" s="188">
        <f>IFERROR(__xludf.DUMMYFUNCTION("""COMPUTED_VALUE"""),44219.0)</f>
        <v>44219</v>
      </c>
      <c r="F2642" s="188">
        <f>IFERROR(__xludf.DUMMYFUNCTION("""COMPUTED_VALUE"""),44269.0)</f>
        <v>44269</v>
      </c>
      <c r="G2642" t="str">
        <f>IFERROR(__xludf.DUMMYFUNCTION("""COMPUTED_VALUE"""),"Manage order page (normal text)")</f>
        <v>Manage order page (normal text)</v>
      </c>
      <c r="H2642">
        <f>IFERROR(__xludf.DUMMYFUNCTION("""COMPUTED_VALUE"""),918455.0)</f>
        <v>918455</v>
      </c>
      <c r="I2642" t="str">
        <f>IFERROR(__xludf.DUMMYFUNCTION("""COMPUTED_VALUE"""),"03/21")</f>
        <v>03/21</v>
      </c>
      <c r="J2642" s="188">
        <f>IFERROR(__xludf.DUMMYFUNCTION("""COMPUTED_VALUE"""),44285.0)</f>
        <v>44285</v>
      </c>
      <c r="K2642">
        <f>IFERROR(__xludf.DUMMYFUNCTION("""COMPUTED_VALUE"""),50.0)</f>
        <v>50</v>
      </c>
      <c r="L2642">
        <f>IFERROR(__xludf.DUMMYFUNCTION("""COMPUTED_VALUE"""),16.0)</f>
        <v>16</v>
      </c>
      <c r="M2642">
        <f>IFERROR(__xludf.DUMMYFUNCTION("""COMPUTED_VALUE"""),66.0)</f>
        <v>66</v>
      </c>
      <c r="N2642" t="str">
        <f>IFERROR(__xludf.DUMMYFUNCTION("""COMPUTED_VALUE"""),"Model 3 Performance")</f>
        <v>Model 3 Performance</v>
      </c>
      <c r="O2642" t="str">
        <f>IFERROR(__xludf.DUMMYFUNCTION("""COMPUTED_VALUE"""),"Red Multi-Coat")</f>
        <v>Red Multi-Coat</v>
      </c>
      <c r="P2642" t="str">
        <f>IFERROR(__xludf.DUMMYFUNCTION("""COMPUTED_VALUE"""),"20 inch")</f>
        <v>20 inch</v>
      </c>
      <c r="Q2642" t="str">
        <f>IFERROR(__xludf.DUMMYFUNCTION("""COMPUTED_VALUE"""),"Black and White")</f>
        <v>Black and White</v>
      </c>
      <c r="R2642" t="str">
        <f>IFERROR(__xludf.DUMMYFUNCTION("""COMPUTED_VALUE"""),"Autopilot included")</f>
        <v>Autopilot included</v>
      </c>
      <c r="S2642" t="str">
        <f>IFERROR(__xludf.DUMMYFUNCTION("""COMPUTED_VALUE"""),"Loan")</f>
        <v>Loan</v>
      </c>
      <c r="T2642" t="str">
        <f>IFERROR(__xludf.DUMMYFUNCTION("""COMPUTED_VALUE"""),"Tesla Model 3")</f>
        <v>Tesla Model 3</v>
      </c>
      <c r="U2642" t="str">
        <f>IFERROR(__xludf.DUMMYFUNCTION("""COMPUTED_VALUE"""),"Tesla brand image")</f>
        <v>Tesla brand image</v>
      </c>
      <c r="V2642" t="str">
        <f>IFERROR(__xludf.DUMMYFUNCTION("""COMPUTED_VALUE"""),"Ventilated seats")</f>
        <v>Ventilated seats</v>
      </c>
      <c r="X2642" t="str">
        <f>IFERROR(__xludf.DUMMYFUNCTION("""COMPUTED_VALUE"""),"Excellent")</f>
        <v>Excellent</v>
      </c>
      <c r="Y2642" t="str">
        <f>IFERROR(__xludf.DUMMYFUNCTION("""COMPUTED_VALUE"""),"Excellent")</f>
        <v>Excellent</v>
      </c>
      <c r="Z2642" t="str">
        <f>IFERROR(__xludf.DUMMYFUNCTION("""COMPUTED_VALUE"""),"Excellent")</f>
        <v>Excellent</v>
      </c>
      <c r="AA2642" t="str">
        <f>IFERROR(__xludf.DUMMYFUNCTION("""COMPUTED_VALUE"""),"Poor")</f>
        <v>Poor</v>
      </c>
      <c r="AB2642" t="str">
        <f>IFERROR(__xludf.DUMMYFUNCTION("""COMPUTED_VALUE"""),"Excellent")</f>
        <v>Excellent</v>
      </c>
      <c r="AF2642" t="str">
        <f>IFERROR(__xludf.DUMMYFUNCTION("""COMPUTED_VALUE"""),"No. I took delivery of the first car Tesla was able to deliver.")</f>
        <v>No. I took delivery of the first car Tesla was able to deliver.</v>
      </c>
      <c r="AG2642" t="str">
        <f>IFERROR(__xludf.DUMMYFUNCTION("""COMPUTED_VALUE"""),"Estimated Delivery: March 27-31")</f>
        <v>Estimated Delivery: March 27-31</v>
      </c>
      <c r="AH2642" s="189">
        <f>IFERROR(__xludf.DUMMYFUNCTION("""COMPUTED_VALUE"""),44288.27319811343)</f>
        <v>44288.2732</v>
      </c>
    </row>
    <row r="2643">
      <c r="A2643" t="str">
        <f>IFERROR(__xludf.DUMMYFUNCTION("""COMPUTED_VALUE"""),"TheHACK2321")</f>
        <v>TheHACK2321</v>
      </c>
      <c r="B2643" t="str">
        <f>IFERROR(__xludf.DUMMYFUNCTION("""COMPUTED_VALUE"""),"Arcadia")</f>
        <v>Arcadia</v>
      </c>
      <c r="C2643" t="str">
        <f>IFERROR(__xludf.DUMMYFUNCTION("""COMPUTED_VALUE"""),"CA")</f>
        <v>CA</v>
      </c>
      <c r="D2643" t="str">
        <f>IFERROR(__xludf.DUMMYFUNCTION("""COMPUTED_VALUE"""),"USA")</f>
        <v>USA</v>
      </c>
      <c r="E2643" s="188">
        <f>IFERROR(__xludf.DUMMYFUNCTION("""COMPUTED_VALUE"""),44124.0)</f>
        <v>44124</v>
      </c>
      <c r="F2643" s="188">
        <f>IFERROR(__xludf.DUMMYFUNCTION("""COMPUTED_VALUE"""),44167.0)</f>
        <v>44167</v>
      </c>
      <c r="G2643" t="str">
        <f>IFERROR(__xludf.DUMMYFUNCTION("""COMPUTED_VALUE"""),"Manage order page (normal text)")</f>
        <v>Manage order page (normal text)</v>
      </c>
      <c r="H2643">
        <f>IFERROR(__xludf.DUMMYFUNCTION("""COMPUTED_VALUE"""),855724.0)</f>
        <v>855724</v>
      </c>
      <c r="I2643" t="str">
        <f>IFERROR(__xludf.DUMMYFUNCTION("""COMPUTED_VALUE"""),"12/20")</f>
        <v>12/20</v>
      </c>
      <c r="J2643" s="5">
        <f>IFERROR(__xludf.DUMMYFUNCTION("""COMPUTED_VALUE"""),44170.0)</f>
        <v>44170</v>
      </c>
      <c r="K2643">
        <f>IFERROR(__xludf.DUMMYFUNCTION("""COMPUTED_VALUE"""),43.0)</f>
        <v>43</v>
      </c>
      <c r="L2643">
        <f>IFERROR(__xludf.DUMMYFUNCTION("""COMPUTED_VALUE"""),3.0)</f>
        <v>3</v>
      </c>
      <c r="M2643">
        <f>IFERROR(__xludf.DUMMYFUNCTION("""COMPUTED_VALUE"""),46.0)</f>
        <v>46</v>
      </c>
      <c r="N2643" t="str">
        <f>IFERROR(__xludf.DUMMYFUNCTION("""COMPUTED_VALUE"""),"Model 3 LR AWD")</f>
        <v>Model 3 LR AWD</v>
      </c>
      <c r="O2643" t="str">
        <f>IFERROR(__xludf.DUMMYFUNCTION("""COMPUTED_VALUE"""),"Pearl White Multi-Coat")</f>
        <v>Pearl White Multi-Coat</v>
      </c>
      <c r="P2643" t="str">
        <f>IFERROR(__xludf.DUMMYFUNCTION("""COMPUTED_VALUE"""),"19 inch")</f>
        <v>19 inch</v>
      </c>
      <c r="Q2643" t="str">
        <f>IFERROR(__xludf.DUMMYFUNCTION("""COMPUTED_VALUE"""),"All Black")</f>
        <v>All Black</v>
      </c>
      <c r="R2643" t="str">
        <f>IFERROR(__xludf.DUMMYFUNCTION("""COMPUTED_VALUE"""),"Autopilot included")</f>
        <v>Autopilot included</v>
      </c>
      <c r="S2643" t="str">
        <f>IFERROR(__xludf.DUMMYFUNCTION("""COMPUTED_VALUE"""),"Cash")</f>
        <v>Cash</v>
      </c>
      <c r="T2643" t="str">
        <f>IFERROR(__xludf.DUMMYFUNCTION("""COMPUTED_VALUE"""),"BMW 3 Series")</f>
        <v>BMW 3 Series</v>
      </c>
      <c r="V2643" t="str">
        <f>IFERROR(__xludf.DUMMYFUNCTION("""COMPUTED_VALUE"""),"Head-up display")</f>
        <v>Head-up display</v>
      </c>
      <c r="X2643" t="str">
        <f>IFERROR(__xludf.DUMMYFUNCTION("""COMPUTED_VALUE"""),"Fair")</f>
        <v>Fair</v>
      </c>
      <c r="Y2643" t="str">
        <f>IFERROR(__xludf.DUMMYFUNCTION("""COMPUTED_VALUE"""),"Very Good")</f>
        <v>Very Good</v>
      </c>
      <c r="Z2643" t="str">
        <f>IFERROR(__xludf.DUMMYFUNCTION("""COMPUTED_VALUE"""),"Very Good")</f>
        <v>Very Good</v>
      </c>
      <c r="AA2643" t="str">
        <f>IFERROR(__xludf.DUMMYFUNCTION("""COMPUTED_VALUE"""),"Good")</f>
        <v>Good</v>
      </c>
      <c r="AB2643" t="str">
        <f>IFERROR(__xludf.DUMMYFUNCTION("""COMPUTED_VALUE"""),"Very Good")</f>
        <v>Very Good</v>
      </c>
      <c r="AF2643" t="str">
        <f>IFERROR(__xludf.DUMMYFUNCTION("""COMPUTED_VALUE"""),"No. I took delivery of the first car Tesla was able to deliver.")</f>
        <v>No. I took delivery of the first car Tesla was able to deliver.</v>
      </c>
      <c r="AH2643" s="189">
        <f>IFERROR(__xludf.DUMMYFUNCTION("""COMPUTED_VALUE"""),44171.80043549769)</f>
        <v>44171.80044</v>
      </c>
    </row>
    <row r="2644">
      <c r="A2644" t="str">
        <f>IFERROR(__xludf.DUMMYFUNCTION("""COMPUTED_VALUE"""),"Fitu")</f>
        <v>Fitu</v>
      </c>
      <c r="B2644" t="str">
        <f>IFERROR(__xludf.DUMMYFUNCTION("""COMPUTED_VALUE"""),"Miami")</f>
        <v>Miami</v>
      </c>
      <c r="C2644" t="str">
        <f>IFERROR(__xludf.DUMMYFUNCTION("""COMPUTED_VALUE"""),"FL")</f>
        <v>FL</v>
      </c>
      <c r="D2644" t="str">
        <f>IFERROR(__xludf.DUMMYFUNCTION("""COMPUTED_VALUE"""),"USA")</f>
        <v>USA</v>
      </c>
      <c r="E2644" s="188">
        <f>IFERROR(__xludf.DUMMYFUNCTION("""COMPUTED_VALUE"""),44132.0)</f>
        <v>44132</v>
      </c>
      <c r="F2644" s="188">
        <f>IFERROR(__xludf.DUMMYFUNCTION("""COMPUTED_VALUE"""),44169.0)</f>
        <v>44169</v>
      </c>
      <c r="H2644">
        <f>IFERROR(__xludf.DUMMYFUNCTION("""COMPUTED_VALUE"""),856619.0)</f>
        <v>856619</v>
      </c>
      <c r="J2644" s="5">
        <f>IFERROR(__xludf.DUMMYFUNCTION("""COMPUTED_VALUE"""),44185.0)</f>
        <v>44185</v>
      </c>
      <c r="K2644">
        <f>IFERROR(__xludf.DUMMYFUNCTION("""COMPUTED_VALUE"""),37.0)</f>
        <v>37</v>
      </c>
      <c r="L2644">
        <f>IFERROR(__xludf.DUMMYFUNCTION("""COMPUTED_VALUE"""),16.0)</f>
        <v>16</v>
      </c>
      <c r="M2644">
        <f>IFERROR(__xludf.DUMMYFUNCTION("""COMPUTED_VALUE"""),53.0)</f>
        <v>53</v>
      </c>
      <c r="N2644" t="str">
        <f>IFERROR(__xludf.DUMMYFUNCTION("""COMPUTED_VALUE"""),"Model 3 SR+")</f>
        <v>Model 3 SR+</v>
      </c>
      <c r="O2644" t="str">
        <f>IFERROR(__xludf.DUMMYFUNCTION("""COMPUTED_VALUE"""),"Midnight Silver Metallic")</f>
        <v>Midnight Silver Metallic</v>
      </c>
      <c r="P2644" t="str">
        <f>IFERROR(__xludf.DUMMYFUNCTION("""COMPUTED_VALUE"""),"19 inch")</f>
        <v>19 inch</v>
      </c>
      <c r="Q2644" t="str">
        <f>IFERROR(__xludf.DUMMYFUNCTION("""COMPUTED_VALUE"""),"All Black")</f>
        <v>All Black</v>
      </c>
      <c r="R2644" t="str">
        <f>IFERROR(__xludf.DUMMYFUNCTION("""COMPUTED_VALUE"""),"Autopilot included")</f>
        <v>Autopilot included</v>
      </c>
      <c r="S2644" t="str">
        <f>IFERROR(__xludf.DUMMYFUNCTION("""COMPUTED_VALUE"""),"Lease")</f>
        <v>Lease</v>
      </c>
      <c r="T2644" t="str">
        <f>IFERROR(__xludf.DUMMYFUNCTION("""COMPUTED_VALUE"""),"Mercedez gLE 350")</f>
        <v>Mercedez gLE 350</v>
      </c>
      <c r="U2644" t="str">
        <f>IFERROR(__xludf.DUMMYFUNCTION("""COMPUTED_VALUE"""),"Tesla brand image")</f>
        <v>Tesla brand image</v>
      </c>
      <c r="X2644" t="str">
        <f>IFERROR(__xludf.DUMMYFUNCTION("""COMPUTED_VALUE"""),"Excellent")</f>
        <v>Excellent</v>
      </c>
      <c r="Y2644" t="str">
        <f>IFERROR(__xludf.DUMMYFUNCTION("""COMPUTED_VALUE"""),"Excellent")</f>
        <v>Excellent</v>
      </c>
      <c r="Z2644" t="str">
        <f>IFERROR(__xludf.DUMMYFUNCTION("""COMPUTED_VALUE"""),"Excellent")</f>
        <v>Excellent</v>
      </c>
      <c r="AA2644" t="str">
        <f>IFERROR(__xludf.DUMMYFUNCTION("""COMPUTED_VALUE"""),"Excellent")</f>
        <v>Excellent</v>
      </c>
      <c r="AB2644" t="str">
        <f>IFERROR(__xludf.DUMMYFUNCTION("""COMPUTED_VALUE"""),"Excellent")</f>
        <v>Excellent</v>
      </c>
      <c r="AC2644">
        <f>IFERROR(__xludf.DUMMYFUNCTION("""COMPUTED_VALUE"""),0.0)</f>
        <v>0</v>
      </c>
      <c r="AD2644">
        <f>IFERROR(__xludf.DUMMYFUNCTION("""COMPUTED_VALUE"""),0.0)</f>
        <v>0</v>
      </c>
      <c r="AE2644">
        <f>IFERROR(__xludf.DUMMYFUNCTION("""COMPUTED_VALUE"""),0.0)</f>
        <v>0</v>
      </c>
      <c r="AF2644" t="str">
        <f>IFERROR(__xludf.DUMMYFUNCTION("""COMPUTED_VALUE"""),"No. I took delivery of the first car Tesla was able to deliver.")</f>
        <v>No. I took delivery of the first car Tesla was able to deliver.</v>
      </c>
      <c r="AG2644" t="str">
        <f>IFERROR(__xludf.DUMMYFUNCTION("""COMPUTED_VALUE"""),"Estimated Delivery Date push to Dec 17-23")</f>
        <v>Estimated Delivery Date push to Dec 17-23</v>
      </c>
      <c r="AH2644" s="189">
        <f>IFERROR(__xludf.DUMMYFUNCTION("""COMPUTED_VALUE"""),44183.79817259259)</f>
        <v>44183.79817</v>
      </c>
    </row>
    <row r="2645">
      <c r="A2645" t="str">
        <f>IFERROR(__xludf.DUMMYFUNCTION("""COMPUTED_VALUE"""),"JustinK")</f>
        <v>JustinK</v>
      </c>
      <c r="B2645" t="str">
        <f>IFERROR(__xludf.DUMMYFUNCTION("""COMPUTED_VALUE"""),"Nashville")</f>
        <v>Nashville</v>
      </c>
      <c r="C2645" t="str">
        <f>IFERROR(__xludf.DUMMYFUNCTION("""COMPUTED_VALUE"""),"TN")</f>
        <v>TN</v>
      </c>
      <c r="D2645" t="str">
        <f>IFERROR(__xludf.DUMMYFUNCTION("""COMPUTED_VALUE"""),"USA")</f>
        <v>USA</v>
      </c>
      <c r="E2645" s="188">
        <f>IFERROR(__xludf.DUMMYFUNCTION("""COMPUTED_VALUE"""),44142.0)</f>
        <v>44142</v>
      </c>
      <c r="F2645" s="188">
        <f>IFERROR(__xludf.DUMMYFUNCTION("""COMPUTED_VALUE"""),44162.0)</f>
        <v>44162</v>
      </c>
      <c r="G2645" t="str">
        <f>IFERROR(__xludf.DUMMYFUNCTION("""COMPUTED_VALUE"""),"Manage order page (normal text)")</f>
        <v>Manage order page (normal text)</v>
      </c>
      <c r="H2645">
        <f>IFERROR(__xludf.DUMMYFUNCTION("""COMPUTED_VALUE"""),859658.0)</f>
        <v>859658</v>
      </c>
      <c r="I2645" t="str">
        <f>IFERROR(__xludf.DUMMYFUNCTION("""COMPUTED_VALUE"""),"12/20")</f>
        <v>12/20</v>
      </c>
      <c r="J2645" s="5">
        <f>IFERROR(__xludf.DUMMYFUNCTION("""COMPUTED_VALUE"""),44188.0)</f>
        <v>44188</v>
      </c>
      <c r="K2645">
        <f>IFERROR(__xludf.DUMMYFUNCTION("""COMPUTED_VALUE"""),20.0)</f>
        <v>20</v>
      </c>
      <c r="L2645">
        <f>IFERROR(__xludf.DUMMYFUNCTION("""COMPUTED_VALUE"""),26.0)</f>
        <v>26</v>
      </c>
      <c r="M2645">
        <f>IFERROR(__xludf.DUMMYFUNCTION("""COMPUTED_VALUE"""),46.0)</f>
        <v>46</v>
      </c>
      <c r="N2645" t="str">
        <f>IFERROR(__xludf.DUMMYFUNCTION("""COMPUTED_VALUE"""),"Model 3 LR AWD")</f>
        <v>Model 3 LR AWD</v>
      </c>
      <c r="O2645" t="str">
        <f>IFERROR(__xludf.DUMMYFUNCTION("""COMPUTED_VALUE"""),"Red Multi-Coat")</f>
        <v>Red Multi-Coat</v>
      </c>
      <c r="P2645" t="str">
        <f>IFERROR(__xludf.DUMMYFUNCTION("""COMPUTED_VALUE"""),"19 inch")</f>
        <v>19 inch</v>
      </c>
      <c r="Q2645" t="str">
        <f>IFERROR(__xludf.DUMMYFUNCTION("""COMPUTED_VALUE"""),"All Black")</f>
        <v>All Black</v>
      </c>
      <c r="R2645" t="str">
        <f>IFERROR(__xludf.DUMMYFUNCTION("""COMPUTED_VALUE"""),"Autopilot included")</f>
        <v>Autopilot included</v>
      </c>
      <c r="S2645" t="str">
        <f>IFERROR(__xludf.DUMMYFUNCTION("""COMPUTED_VALUE"""),"Loan")</f>
        <v>Loan</v>
      </c>
      <c r="T2645" t="str">
        <f>IFERROR(__xludf.DUMMYFUNCTION("""COMPUTED_VALUE"""),"Mini Cooper")</f>
        <v>Mini Cooper</v>
      </c>
      <c r="U2645" t="str">
        <f>IFERROR(__xludf.DUMMYFUNCTION("""COMPUTED_VALUE"""),"Electric!")</f>
        <v>Electric!</v>
      </c>
      <c r="V2645" t="str">
        <f>IFERROR(__xludf.DUMMYFUNCTION("""COMPUTED_VALUE"""),"Heated steering wheel")</f>
        <v>Heated steering wheel</v>
      </c>
      <c r="X2645" t="str">
        <f>IFERROR(__xludf.DUMMYFUNCTION("""COMPUTED_VALUE"""),"Excellent")</f>
        <v>Excellent</v>
      </c>
      <c r="Y2645" t="str">
        <f>IFERROR(__xludf.DUMMYFUNCTION("""COMPUTED_VALUE"""),"Excellent")</f>
        <v>Excellent</v>
      </c>
      <c r="Z2645" t="str">
        <f>IFERROR(__xludf.DUMMYFUNCTION("""COMPUTED_VALUE"""),"Excellent")</f>
        <v>Excellent</v>
      </c>
      <c r="AA2645" t="str">
        <f>IFERROR(__xludf.DUMMYFUNCTION("""COMPUTED_VALUE"""),"Good")</f>
        <v>Good</v>
      </c>
      <c r="AB2645" t="str">
        <f>IFERROR(__xludf.DUMMYFUNCTION("""COMPUTED_VALUE"""),"Excellent")</f>
        <v>Excellent</v>
      </c>
      <c r="AC2645">
        <f>IFERROR(__xludf.DUMMYFUNCTION("""COMPUTED_VALUE"""),0.0)</f>
        <v>0</v>
      </c>
      <c r="AD2645">
        <f>IFERROR(__xludf.DUMMYFUNCTION("""COMPUTED_VALUE"""),0.0)</f>
        <v>0</v>
      </c>
      <c r="AE2645">
        <f>IFERROR(__xludf.DUMMYFUNCTION("""COMPUTED_VALUE"""),0.0)</f>
        <v>0</v>
      </c>
      <c r="AF2645" t="str">
        <f>IFERROR(__xludf.DUMMYFUNCTION("""COMPUTED_VALUE"""),"No. I took delivery of the first car Tesla was able to deliver.")</f>
        <v>No. I took delivery of the first car Tesla was able to deliver.</v>
      </c>
      <c r="AG2645" t="str">
        <f>IFERROR(__xludf.DUMMYFUNCTION("""COMPUTED_VALUE"""),"I was originally scheduled for delivery on Dec 13th, but was informed my car was damaged in transit so they are replacing the affected body panels and rescheduled my delivery for 10 days later on Dec 23rd")</f>
        <v>I was originally scheduled for delivery on Dec 13th, but was informed my car was damaged in transit so they are replacing the affected body panels and rescheduled my delivery for 10 days later on Dec 23rd</v>
      </c>
      <c r="AH2645" s="189">
        <f>IFERROR(__xludf.DUMMYFUNCTION("""COMPUTED_VALUE"""),44193.6853012037)</f>
        <v>44193.6853</v>
      </c>
    </row>
    <row r="2646">
      <c r="A2646" t="str">
        <f>IFERROR(__xludf.DUMMYFUNCTION("""COMPUTED_VALUE"""),"bwbrs")</f>
        <v>bwbrs</v>
      </c>
      <c r="B2646" t="str">
        <f>IFERROR(__xludf.DUMMYFUNCTION("""COMPUTED_VALUE"""),"Morristown")</f>
        <v>Morristown</v>
      </c>
      <c r="C2646" t="str">
        <f>IFERROR(__xludf.DUMMYFUNCTION("""COMPUTED_VALUE"""),"NJ")</f>
        <v>NJ</v>
      </c>
      <c r="D2646" t="str">
        <f>IFERROR(__xludf.DUMMYFUNCTION("""COMPUTED_VALUE"""),"USA")</f>
        <v>USA</v>
      </c>
      <c r="E2646" s="188">
        <f>IFERROR(__xludf.DUMMYFUNCTION("""COMPUTED_VALUE"""),44119.0)</f>
        <v>44119</v>
      </c>
      <c r="F2646" s="188">
        <f>IFERROR(__xludf.DUMMYFUNCTION("""COMPUTED_VALUE"""),44165.0)</f>
        <v>44165</v>
      </c>
      <c r="G2646" t="str">
        <f>IFERROR(__xludf.DUMMYFUNCTION("""COMPUTED_VALUE"""),"Manage order page (normal text)")</f>
        <v>Manage order page (normal text)</v>
      </c>
      <c r="H2646">
        <f>IFERROR(__xludf.DUMMYFUNCTION("""COMPUTED_VALUE"""),850279.0)</f>
        <v>850279</v>
      </c>
      <c r="J2646" s="188">
        <f>IFERROR(__xludf.DUMMYFUNCTION("""COMPUTED_VALUE"""),44180.0)</f>
        <v>44180</v>
      </c>
      <c r="K2646">
        <f>IFERROR(__xludf.DUMMYFUNCTION("""COMPUTED_VALUE"""),46.0)</f>
        <v>46</v>
      </c>
      <c r="L2646">
        <f>IFERROR(__xludf.DUMMYFUNCTION("""COMPUTED_VALUE"""),15.0)</f>
        <v>15</v>
      </c>
      <c r="M2646">
        <f>IFERROR(__xludf.DUMMYFUNCTION("""COMPUTED_VALUE"""),61.0)</f>
        <v>61</v>
      </c>
      <c r="N2646" t="str">
        <f>IFERROR(__xludf.DUMMYFUNCTION("""COMPUTED_VALUE"""),"Model 3 SR+")</f>
        <v>Model 3 SR+</v>
      </c>
      <c r="O2646" t="str">
        <f>IFERROR(__xludf.DUMMYFUNCTION("""COMPUTED_VALUE"""),"Midnight Silver Metallic")</f>
        <v>Midnight Silver Metallic</v>
      </c>
      <c r="P2646" t="str">
        <f>IFERROR(__xludf.DUMMYFUNCTION("""COMPUTED_VALUE"""),"18 inch")</f>
        <v>18 inch</v>
      </c>
      <c r="Q2646" t="str">
        <f>IFERROR(__xludf.DUMMYFUNCTION("""COMPUTED_VALUE"""),"All Black")</f>
        <v>All Black</v>
      </c>
      <c r="R2646" t="str">
        <f>IFERROR(__xludf.DUMMYFUNCTION("""COMPUTED_VALUE"""),"Autopilot included")</f>
        <v>Autopilot included</v>
      </c>
      <c r="S2646" t="str">
        <f>IFERROR(__xludf.DUMMYFUNCTION("""COMPUTED_VALUE"""),"Loan")</f>
        <v>Loan</v>
      </c>
      <c r="U2646" t="str">
        <f>IFERROR(__xludf.DUMMYFUNCTION("""COMPUTED_VALUE"""),"Tesla brand image")</f>
        <v>Tesla brand image</v>
      </c>
      <c r="V2646" t="str">
        <f>IFERROR(__xludf.DUMMYFUNCTION("""COMPUTED_VALUE"""),"Ventilated seats")</f>
        <v>Ventilated seats</v>
      </c>
      <c r="W2646" t="str">
        <f>IFERROR(__xludf.DUMMYFUNCTION("""COMPUTED_VALUE"""),"Make sure you have your charging situation set up and be prepared for changes")</f>
        <v>Make sure you have your charging situation set up and be prepared for changes</v>
      </c>
      <c r="X2646" t="str">
        <f>IFERROR(__xludf.DUMMYFUNCTION("""COMPUTED_VALUE"""),"Excellent")</f>
        <v>Excellent</v>
      </c>
      <c r="Y2646" t="str">
        <f>IFERROR(__xludf.DUMMYFUNCTION("""COMPUTED_VALUE"""),"Excellent")</f>
        <v>Excellent</v>
      </c>
      <c r="Z2646" t="str">
        <f>IFERROR(__xludf.DUMMYFUNCTION("""COMPUTED_VALUE"""),"Excellent")</f>
        <v>Excellent</v>
      </c>
      <c r="AA2646" t="str">
        <f>IFERROR(__xludf.DUMMYFUNCTION("""COMPUTED_VALUE"""),"Good")</f>
        <v>Good</v>
      </c>
      <c r="AB2646" t="str">
        <f>IFERROR(__xludf.DUMMYFUNCTION("""COMPUTED_VALUE"""),"Excellent")</f>
        <v>Excellent</v>
      </c>
      <c r="AC2646">
        <f>IFERROR(__xludf.DUMMYFUNCTION("""COMPUTED_VALUE"""),0.0)</f>
        <v>0</v>
      </c>
      <c r="AD2646">
        <f>IFERROR(__xludf.DUMMYFUNCTION("""COMPUTED_VALUE"""),0.0)</f>
        <v>0</v>
      </c>
      <c r="AE2646">
        <f>IFERROR(__xludf.DUMMYFUNCTION("""COMPUTED_VALUE"""),0.0)</f>
        <v>0</v>
      </c>
      <c r="AF2646" t="str">
        <f>IFERROR(__xludf.DUMMYFUNCTION("""COMPUTED_VALUE"""),"No. I took delivery of the first car Tesla was able to deliver.")</f>
        <v>No. I took delivery of the first car Tesla was able to deliver.</v>
      </c>
      <c r="AH2646" s="189">
        <f>IFERROR(__xludf.DUMMYFUNCTION("""COMPUTED_VALUE"""),44251.35510233796)</f>
        <v>44251.3551</v>
      </c>
    </row>
    <row r="2647">
      <c r="A2647" t="str">
        <f>IFERROR(__xludf.DUMMYFUNCTION("""COMPUTED_VALUE"""),"BoddagettaRN")</f>
        <v>BoddagettaRN</v>
      </c>
      <c r="B2647" t="str">
        <f>IFERROR(__xludf.DUMMYFUNCTION("""COMPUTED_VALUE"""),"Atlanta")</f>
        <v>Atlanta</v>
      </c>
      <c r="C2647" t="str">
        <f>IFERROR(__xludf.DUMMYFUNCTION("""COMPUTED_VALUE"""),"GA")</f>
        <v>GA</v>
      </c>
      <c r="D2647" t="str">
        <f>IFERROR(__xludf.DUMMYFUNCTION("""COMPUTED_VALUE"""),"USA")</f>
        <v>USA</v>
      </c>
      <c r="E2647" s="188">
        <f>IFERROR(__xludf.DUMMYFUNCTION("""COMPUTED_VALUE"""),44145.0)</f>
        <v>44145</v>
      </c>
      <c r="F2647" s="188">
        <f>IFERROR(__xludf.DUMMYFUNCTION("""COMPUTED_VALUE"""),44161.0)</f>
        <v>44161</v>
      </c>
      <c r="G2647" t="str">
        <f>IFERROR(__xludf.DUMMYFUNCTION("""COMPUTED_VALUE"""),"Manage order page (normal text)")</f>
        <v>Manage order page (normal text)</v>
      </c>
      <c r="H2647">
        <f>IFERROR(__xludf.DUMMYFUNCTION("""COMPUTED_VALUE"""),850255.0)</f>
        <v>850255</v>
      </c>
      <c r="J2647" s="5">
        <f>IFERROR(__xludf.DUMMYFUNCTION("""COMPUTED_VALUE"""),44178.0)</f>
        <v>44178</v>
      </c>
      <c r="K2647">
        <f>IFERROR(__xludf.DUMMYFUNCTION("""COMPUTED_VALUE"""),16.0)</f>
        <v>16</v>
      </c>
      <c r="L2647">
        <f>IFERROR(__xludf.DUMMYFUNCTION("""COMPUTED_VALUE"""),17.0)</f>
        <v>17</v>
      </c>
      <c r="M2647">
        <f>IFERROR(__xludf.DUMMYFUNCTION("""COMPUTED_VALUE"""),33.0)</f>
        <v>33</v>
      </c>
      <c r="N2647" t="str">
        <f>IFERROR(__xludf.DUMMYFUNCTION("""COMPUTED_VALUE"""),"Model 3 LR AWD")</f>
        <v>Model 3 LR AWD</v>
      </c>
      <c r="O2647" t="str">
        <f>IFERROR(__xludf.DUMMYFUNCTION("""COMPUTED_VALUE"""),"Midnight Silver Metallic")</f>
        <v>Midnight Silver Metallic</v>
      </c>
      <c r="P2647" t="str">
        <f>IFERROR(__xludf.DUMMYFUNCTION("""COMPUTED_VALUE"""),"19 inch")</f>
        <v>19 inch</v>
      </c>
      <c r="Q2647" t="str">
        <f>IFERROR(__xludf.DUMMYFUNCTION("""COMPUTED_VALUE"""),"All Black")</f>
        <v>All Black</v>
      </c>
      <c r="R2647" t="str">
        <f>IFERROR(__xludf.DUMMYFUNCTION("""COMPUTED_VALUE"""),"Autopilot included")</f>
        <v>Autopilot included</v>
      </c>
      <c r="T2647" t="str">
        <f>IFERROR(__xludf.DUMMYFUNCTION("""COMPUTED_VALUE"""),"BMW X3")</f>
        <v>BMW X3</v>
      </c>
      <c r="U2647" t="str">
        <f>IFERROR(__xludf.DUMMYFUNCTION("""COMPUTED_VALUE"""),"Electric!")</f>
        <v>Electric!</v>
      </c>
      <c r="V2647" t="str">
        <f>IFERROR(__xludf.DUMMYFUNCTION("""COMPUTED_VALUE"""),"Apple CarPlay / Android Auto / SiriusXM Radio")</f>
        <v>Apple CarPlay / Android Auto / SiriusXM Radio</v>
      </c>
      <c r="X2647" t="str">
        <f>IFERROR(__xludf.DUMMYFUNCTION("""COMPUTED_VALUE"""),"Excellent")</f>
        <v>Excellent</v>
      </c>
      <c r="Y2647" t="str">
        <f>IFERROR(__xludf.DUMMYFUNCTION("""COMPUTED_VALUE"""),"Excellent")</f>
        <v>Excellent</v>
      </c>
      <c r="Z2647" t="str">
        <f>IFERROR(__xludf.DUMMYFUNCTION("""COMPUTED_VALUE"""),"Excellent")</f>
        <v>Excellent</v>
      </c>
      <c r="AA2647" t="str">
        <f>IFERROR(__xludf.DUMMYFUNCTION("""COMPUTED_VALUE"""),"Very Good")</f>
        <v>Very Good</v>
      </c>
      <c r="AB2647" t="str">
        <f>IFERROR(__xludf.DUMMYFUNCTION("""COMPUTED_VALUE"""),"Excellent")</f>
        <v>Excellent</v>
      </c>
      <c r="AC2647">
        <f>IFERROR(__xludf.DUMMYFUNCTION("""COMPUTED_VALUE"""),0.0)</f>
        <v>0</v>
      </c>
      <c r="AF2647" t="str">
        <f>IFERROR(__xludf.DUMMYFUNCTION("""COMPUTED_VALUE"""),"No. I took delivery of the first car Tesla was able to deliver.")</f>
        <v>No. I took delivery of the first car Tesla was able to deliver.</v>
      </c>
      <c r="AG2647" t="str">
        <f>IFERROR(__xludf.DUMMYFUNCTION("""COMPUTED_VALUE"""),"Delivery ETA: 12/8-12/14")</f>
        <v>Delivery ETA: 12/8-12/14</v>
      </c>
      <c r="AH2647" s="189">
        <f>IFERROR(__xludf.DUMMYFUNCTION("""COMPUTED_VALUE"""),44181.91591520833)</f>
        <v>44181.91592</v>
      </c>
    </row>
    <row r="2648">
      <c r="A2648" t="str">
        <f>IFERROR(__xludf.DUMMYFUNCTION("""COMPUTED_VALUE"""),"SXET3SLA")</f>
        <v>SXET3SLA</v>
      </c>
      <c r="B2648" t="str">
        <f>IFERROR(__xludf.DUMMYFUNCTION("""COMPUTED_VALUE"""),"Baltimore")</f>
        <v>Baltimore</v>
      </c>
      <c r="C2648" t="str">
        <f>IFERROR(__xludf.DUMMYFUNCTION("""COMPUTED_VALUE"""),"MD")</f>
        <v>MD</v>
      </c>
      <c r="D2648" t="str">
        <f>IFERROR(__xludf.DUMMYFUNCTION("""COMPUTED_VALUE"""),"USA")</f>
        <v>USA</v>
      </c>
      <c r="E2648" s="188">
        <f>IFERROR(__xludf.DUMMYFUNCTION("""COMPUTED_VALUE"""),44121.0)</f>
        <v>44121</v>
      </c>
      <c r="F2648" s="188">
        <f>IFERROR(__xludf.DUMMYFUNCTION("""COMPUTED_VALUE"""),44168.0)</f>
        <v>44168</v>
      </c>
      <c r="G2648" t="str">
        <f>IFERROR(__xludf.DUMMYFUNCTION("""COMPUTED_VALUE"""),"Manage order page (normal text)")</f>
        <v>Manage order page (normal text)</v>
      </c>
      <c r="H2648">
        <f>IFERROR(__xludf.DUMMYFUNCTION("""COMPUTED_VALUE"""),852655.0)</f>
        <v>852655</v>
      </c>
      <c r="I2648" t="str">
        <f>IFERROR(__xludf.DUMMYFUNCTION("""COMPUTED_VALUE"""),"12/20")</f>
        <v>12/20</v>
      </c>
      <c r="J2648" s="5">
        <f>IFERROR(__xludf.DUMMYFUNCTION("""COMPUTED_VALUE"""),44184.0)</f>
        <v>44184</v>
      </c>
      <c r="K2648">
        <f>IFERROR(__xludf.DUMMYFUNCTION("""COMPUTED_VALUE"""),47.0)</f>
        <v>47</v>
      </c>
      <c r="L2648">
        <f>IFERROR(__xludf.DUMMYFUNCTION("""COMPUTED_VALUE"""),16.0)</f>
        <v>16</v>
      </c>
      <c r="M2648">
        <f>IFERROR(__xludf.DUMMYFUNCTION("""COMPUTED_VALUE"""),63.0)</f>
        <v>63</v>
      </c>
      <c r="N2648" t="str">
        <f>IFERROR(__xludf.DUMMYFUNCTION("""COMPUTED_VALUE"""),"Model 3 LR AWD")</f>
        <v>Model 3 LR AWD</v>
      </c>
      <c r="O2648" t="str">
        <f>IFERROR(__xludf.DUMMYFUNCTION("""COMPUTED_VALUE"""),"Deep Blue Metallic")</f>
        <v>Deep Blue Metallic</v>
      </c>
      <c r="P2648" t="str">
        <f>IFERROR(__xludf.DUMMYFUNCTION("""COMPUTED_VALUE"""),"18 inch")</f>
        <v>18 inch</v>
      </c>
      <c r="Q2648" t="str">
        <f>IFERROR(__xludf.DUMMYFUNCTION("""COMPUTED_VALUE"""),"Black and White")</f>
        <v>Black and White</v>
      </c>
      <c r="R2648" t="str">
        <f>IFERROR(__xludf.DUMMYFUNCTION("""COMPUTED_VALUE"""),"Autopilot included")</f>
        <v>Autopilot included</v>
      </c>
      <c r="S2648" t="str">
        <f>IFERROR(__xludf.DUMMYFUNCTION("""COMPUTED_VALUE"""),"Loan")</f>
        <v>Loan</v>
      </c>
      <c r="T2648" t="str">
        <f>IFERROR(__xludf.DUMMYFUNCTION("""COMPUTED_VALUE"""),"Volkswagen GTI")</f>
        <v>Volkswagen GTI</v>
      </c>
      <c r="U2648" t="str">
        <f>IFERROR(__xludf.DUMMYFUNCTION("""COMPUTED_VALUE"""),"Tesla brand image")</f>
        <v>Tesla brand image</v>
      </c>
      <c r="V2648" t="str">
        <f>IFERROR(__xludf.DUMMYFUNCTION("""COMPUTED_VALUE"""),"Ventilated seats")</f>
        <v>Ventilated seats</v>
      </c>
      <c r="X2648" t="str">
        <f>IFERROR(__xludf.DUMMYFUNCTION("""COMPUTED_VALUE"""),"Excellent")</f>
        <v>Excellent</v>
      </c>
      <c r="Y2648" t="str">
        <f>IFERROR(__xludf.DUMMYFUNCTION("""COMPUTED_VALUE"""),"Excellent")</f>
        <v>Excellent</v>
      </c>
      <c r="Z2648" t="str">
        <f>IFERROR(__xludf.DUMMYFUNCTION("""COMPUTED_VALUE"""),"Excellent")</f>
        <v>Excellent</v>
      </c>
      <c r="AA2648" t="str">
        <f>IFERROR(__xludf.DUMMYFUNCTION("""COMPUTED_VALUE"""),"Fair")</f>
        <v>Fair</v>
      </c>
      <c r="AB2648" t="str">
        <f>IFERROR(__xludf.DUMMYFUNCTION("""COMPUTED_VALUE"""),"Very Good")</f>
        <v>Very Good</v>
      </c>
      <c r="AC2648">
        <f>IFERROR(__xludf.DUMMYFUNCTION("""COMPUTED_VALUE"""),2.0)</f>
        <v>2</v>
      </c>
      <c r="AD2648">
        <f>IFERROR(__xludf.DUMMYFUNCTION("""COMPUTED_VALUE"""),0.0)</f>
        <v>0</v>
      </c>
      <c r="AE2648">
        <f>IFERROR(__xludf.DUMMYFUNCTION("""COMPUTED_VALUE"""),0.0)</f>
        <v>0</v>
      </c>
      <c r="AF2648" t="str">
        <f>IFERROR(__xludf.DUMMYFUNCTION("""COMPUTED_VALUE"""),"No. I took delivery of the first car Tesla was able to deliver.")</f>
        <v>No. I took delivery of the first car Tesla was able to deliver.</v>
      </c>
      <c r="AH2648" s="189">
        <f>IFERROR(__xludf.DUMMYFUNCTION("""COMPUTED_VALUE"""),44201.63002069444)</f>
        <v>44201.63002</v>
      </c>
    </row>
    <row r="2649">
      <c r="A2649" t="str">
        <f>IFERROR(__xludf.DUMMYFUNCTION("""COMPUTED_VALUE"""),"Chucky B's M3")</f>
        <v>Chucky B's M3</v>
      </c>
      <c r="B2649" t="str">
        <f>IFERROR(__xludf.DUMMYFUNCTION("""COMPUTED_VALUE"""),"ATL")</f>
        <v>ATL</v>
      </c>
      <c r="C2649" t="str">
        <f>IFERROR(__xludf.DUMMYFUNCTION("""COMPUTED_VALUE"""),"GA")</f>
        <v>GA</v>
      </c>
      <c r="D2649" t="str">
        <f>IFERROR(__xludf.DUMMYFUNCTION("""COMPUTED_VALUE"""),"USA")</f>
        <v>USA</v>
      </c>
      <c r="E2649" s="188">
        <f>IFERROR(__xludf.DUMMYFUNCTION("""COMPUTED_VALUE"""),44129.0)</f>
        <v>44129</v>
      </c>
      <c r="F2649" s="188">
        <f>IFERROR(__xludf.DUMMYFUNCTION("""COMPUTED_VALUE"""),44167.0)</f>
        <v>44167</v>
      </c>
      <c r="G2649" t="str">
        <f>IFERROR(__xludf.DUMMYFUNCTION("""COMPUTED_VALUE"""),"Manage order page (normal text)")</f>
        <v>Manage order page (normal text)</v>
      </c>
      <c r="H2649">
        <f>IFERROR(__xludf.DUMMYFUNCTION("""COMPUTED_VALUE"""),855255.0)</f>
        <v>855255</v>
      </c>
      <c r="I2649" t="str">
        <f>IFERROR(__xludf.DUMMYFUNCTION("""COMPUTED_VALUE"""),"12/20")</f>
        <v>12/20</v>
      </c>
      <c r="J2649" s="5">
        <f>IFERROR(__xludf.DUMMYFUNCTION("""COMPUTED_VALUE"""),44183.0)</f>
        <v>44183</v>
      </c>
      <c r="K2649">
        <f>IFERROR(__xludf.DUMMYFUNCTION("""COMPUTED_VALUE"""),38.0)</f>
        <v>38</v>
      </c>
      <c r="L2649">
        <f>IFERROR(__xludf.DUMMYFUNCTION("""COMPUTED_VALUE"""),16.0)</f>
        <v>16</v>
      </c>
      <c r="M2649">
        <f>IFERROR(__xludf.DUMMYFUNCTION("""COMPUTED_VALUE"""),54.0)</f>
        <v>54</v>
      </c>
      <c r="N2649" t="str">
        <f>IFERROR(__xludf.DUMMYFUNCTION("""COMPUTED_VALUE"""),"Model 3 LR AWD")</f>
        <v>Model 3 LR AWD</v>
      </c>
      <c r="O2649" t="str">
        <f>IFERROR(__xludf.DUMMYFUNCTION("""COMPUTED_VALUE"""),"Midnight Silver Metallic")</f>
        <v>Midnight Silver Metallic</v>
      </c>
      <c r="P2649" t="str">
        <f>IFERROR(__xludf.DUMMYFUNCTION("""COMPUTED_VALUE"""),"18 inch")</f>
        <v>18 inch</v>
      </c>
      <c r="Q2649" t="str">
        <f>IFERROR(__xludf.DUMMYFUNCTION("""COMPUTED_VALUE"""),"All Black")</f>
        <v>All Black</v>
      </c>
      <c r="R2649" t="str">
        <f>IFERROR(__xludf.DUMMYFUNCTION("""COMPUTED_VALUE"""),"Full Self-Driving")</f>
        <v>Full Self-Driving</v>
      </c>
      <c r="S2649" t="str">
        <f>IFERROR(__xludf.DUMMYFUNCTION("""COMPUTED_VALUE"""),"Loan")</f>
        <v>Loan</v>
      </c>
      <c r="T2649" t="str">
        <f>IFERROR(__xludf.DUMMYFUNCTION("""COMPUTED_VALUE"""),"Tesla Model S")</f>
        <v>Tesla Model S</v>
      </c>
      <c r="U2649" t="str">
        <f>IFERROR(__xludf.DUMMYFUNCTION("""COMPUTED_VALUE"""),"Electric!")</f>
        <v>Electric!</v>
      </c>
      <c r="V2649" t="str">
        <f>IFERROR(__xludf.DUMMYFUNCTION("""COMPUTED_VALUE"""),"HomeLink")</f>
        <v>HomeLink</v>
      </c>
      <c r="X2649" t="str">
        <f>IFERROR(__xludf.DUMMYFUNCTION("""COMPUTED_VALUE"""),"Very Good")</f>
        <v>Very Good</v>
      </c>
      <c r="Y2649" t="str">
        <f>IFERROR(__xludf.DUMMYFUNCTION("""COMPUTED_VALUE"""),"Excellent")</f>
        <v>Excellent</v>
      </c>
      <c r="Z2649" t="str">
        <f>IFERROR(__xludf.DUMMYFUNCTION("""COMPUTED_VALUE"""),"Excellent")</f>
        <v>Excellent</v>
      </c>
      <c r="AA2649" t="str">
        <f>IFERROR(__xludf.DUMMYFUNCTION("""COMPUTED_VALUE"""),"Good")</f>
        <v>Good</v>
      </c>
      <c r="AB2649" t="str">
        <f>IFERROR(__xludf.DUMMYFUNCTION("""COMPUTED_VALUE"""),"Very Good")</f>
        <v>Very Good</v>
      </c>
      <c r="AF2649" t="str">
        <f>IFERROR(__xludf.DUMMYFUNCTION("""COMPUTED_VALUE"""),"No. I took delivery of the first car Tesla was able to deliver.")</f>
        <v>No. I took delivery of the first car Tesla was able to deliver.</v>
      </c>
      <c r="AG2649" t="str">
        <f>IFERROR(__xludf.DUMMYFUNCTION("""COMPUTED_VALUE"""),"Felt a little rushed at delivery.")</f>
        <v>Felt a little rushed at delivery.</v>
      </c>
      <c r="AH2649" s="189">
        <f>IFERROR(__xludf.DUMMYFUNCTION("""COMPUTED_VALUE"""),44185.52266515046)</f>
        <v>44185.52267</v>
      </c>
    </row>
    <row r="2650">
      <c r="A2650" t="str">
        <f>IFERROR(__xludf.DUMMYFUNCTION("""COMPUTED_VALUE"""),"C422132")</f>
        <v>C422132</v>
      </c>
      <c r="B2650" t="str">
        <f>IFERROR(__xludf.DUMMYFUNCTION("""COMPUTED_VALUE"""),"San Francisco")</f>
        <v>San Francisco</v>
      </c>
      <c r="C2650" t="str">
        <f>IFERROR(__xludf.DUMMYFUNCTION("""COMPUTED_VALUE"""),"CA")</f>
        <v>CA</v>
      </c>
      <c r="D2650" t="str">
        <f>IFERROR(__xludf.DUMMYFUNCTION("""COMPUTED_VALUE"""),"USA")</f>
        <v>USA</v>
      </c>
      <c r="E2650" s="188">
        <f>IFERROR(__xludf.DUMMYFUNCTION("""COMPUTED_VALUE"""),44132.0)</f>
        <v>44132</v>
      </c>
      <c r="F2650" s="188">
        <f>IFERROR(__xludf.DUMMYFUNCTION("""COMPUTED_VALUE"""),44177.0)</f>
        <v>44177</v>
      </c>
      <c r="G2650" t="str">
        <f>IFERROR(__xludf.DUMMYFUNCTION("""COMPUTED_VALUE"""),"Manage order page (normal text)")</f>
        <v>Manage order page (normal text)</v>
      </c>
      <c r="H2650">
        <f>IFERROR(__xludf.DUMMYFUNCTION("""COMPUTED_VALUE"""),859101.0)</f>
        <v>859101</v>
      </c>
      <c r="J2650" s="5">
        <f>IFERROR(__xludf.DUMMYFUNCTION("""COMPUTED_VALUE"""),44180.0)</f>
        <v>44180</v>
      </c>
      <c r="K2650">
        <f>IFERROR(__xludf.DUMMYFUNCTION("""COMPUTED_VALUE"""),45.0)</f>
        <v>45</v>
      </c>
      <c r="L2650">
        <f>IFERROR(__xludf.DUMMYFUNCTION("""COMPUTED_VALUE"""),3.0)</f>
        <v>3</v>
      </c>
      <c r="M2650">
        <f>IFERROR(__xludf.DUMMYFUNCTION("""COMPUTED_VALUE"""),48.0)</f>
        <v>48</v>
      </c>
      <c r="N2650" t="str">
        <f>IFERROR(__xludf.DUMMYFUNCTION("""COMPUTED_VALUE"""),"Model 3 LR AWD")</f>
        <v>Model 3 LR AWD</v>
      </c>
      <c r="O2650" t="str">
        <f>IFERROR(__xludf.DUMMYFUNCTION("""COMPUTED_VALUE"""),"Pearl White Multi-Coat")</f>
        <v>Pearl White Multi-Coat</v>
      </c>
      <c r="P2650" t="str">
        <f>IFERROR(__xludf.DUMMYFUNCTION("""COMPUTED_VALUE"""),"18 inch")</f>
        <v>18 inch</v>
      </c>
      <c r="Q2650" t="str">
        <f>IFERROR(__xludf.DUMMYFUNCTION("""COMPUTED_VALUE"""),"All Black")</f>
        <v>All Black</v>
      </c>
      <c r="R2650" t="str">
        <f>IFERROR(__xludf.DUMMYFUNCTION("""COMPUTED_VALUE"""),"Autopilot included")</f>
        <v>Autopilot included</v>
      </c>
      <c r="S2650" t="str">
        <f>IFERROR(__xludf.DUMMYFUNCTION("""COMPUTED_VALUE"""),"Loan")</f>
        <v>Loan</v>
      </c>
      <c r="T2650" t="str">
        <f>IFERROR(__xludf.DUMMYFUNCTION("""COMPUTED_VALUE"""),"Toyota Corolla")</f>
        <v>Toyota Corolla</v>
      </c>
      <c r="V2650" t="str">
        <f>IFERROR(__xludf.DUMMYFUNCTION("""COMPUTED_VALUE"""),"360° Bird's eye view")</f>
        <v>360° Bird's eye view</v>
      </c>
      <c r="X2650" t="str">
        <f>IFERROR(__xludf.DUMMYFUNCTION("""COMPUTED_VALUE"""),"Poor")</f>
        <v>Poor</v>
      </c>
      <c r="Y2650" t="str">
        <f>IFERROR(__xludf.DUMMYFUNCTION("""COMPUTED_VALUE"""),"Fair")</f>
        <v>Fair</v>
      </c>
      <c r="Z2650" t="str">
        <f>IFERROR(__xludf.DUMMYFUNCTION("""COMPUTED_VALUE"""),"Good")</f>
        <v>Good</v>
      </c>
      <c r="AA2650" t="str">
        <f>IFERROR(__xludf.DUMMYFUNCTION("""COMPUTED_VALUE"""),"Fair")</f>
        <v>Fair</v>
      </c>
      <c r="AB2650" t="str">
        <f>IFERROR(__xludf.DUMMYFUNCTION("""COMPUTED_VALUE"""),"Fair")</f>
        <v>Fair</v>
      </c>
      <c r="AC2650">
        <f>IFERROR(__xludf.DUMMYFUNCTION("""COMPUTED_VALUE"""),5.0)</f>
        <v>5</v>
      </c>
      <c r="AD2650">
        <f>IFERROR(__xludf.DUMMYFUNCTION("""COMPUTED_VALUE"""),1.0)</f>
        <v>1</v>
      </c>
      <c r="AF2650" t="str">
        <f>IFERROR(__xludf.DUMMYFUNCTION("""COMPUTED_VALUE"""),"No. I took delivery of the first car Tesla was able to deliver.")</f>
        <v>No. I took delivery of the first car Tesla was able to deliver.</v>
      </c>
      <c r="AH2650" s="189">
        <f>IFERROR(__xludf.DUMMYFUNCTION("""COMPUTED_VALUE"""),44189.060481990746)</f>
        <v>44189.06048</v>
      </c>
    </row>
    <row r="2651">
      <c r="A2651" t="str">
        <f>IFERROR(__xludf.DUMMYFUNCTION("""COMPUTED_VALUE"""),"BradsTesla")</f>
        <v>BradsTesla</v>
      </c>
      <c r="B2651" t="str">
        <f>IFERROR(__xludf.DUMMYFUNCTION("""COMPUTED_VALUE"""),"Winston-Salem")</f>
        <v>Winston-Salem</v>
      </c>
      <c r="C2651" t="str">
        <f>IFERROR(__xludf.DUMMYFUNCTION("""COMPUTED_VALUE"""),"NC")</f>
        <v>NC</v>
      </c>
      <c r="D2651" t="str">
        <f>IFERROR(__xludf.DUMMYFUNCTION("""COMPUTED_VALUE"""),"USA")</f>
        <v>USA</v>
      </c>
      <c r="E2651" s="188">
        <f>IFERROR(__xludf.DUMMYFUNCTION("""COMPUTED_VALUE"""),44159.0)</f>
        <v>44159</v>
      </c>
      <c r="F2651" s="188">
        <f>IFERROR(__xludf.DUMMYFUNCTION("""COMPUTED_VALUE"""),44168.0)</f>
        <v>44168</v>
      </c>
      <c r="G2651" t="str">
        <f>IFERROR(__xludf.DUMMYFUNCTION("""COMPUTED_VALUE"""),"Manage order page (normal text)")</f>
        <v>Manage order page (normal text)</v>
      </c>
      <c r="H2651">
        <f>IFERROR(__xludf.DUMMYFUNCTION("""COMPUTED_VALUE"""),855555.0)</f>
        <v>855555</v>
      </c>
      <c r="I2651" t="str">
        <f>IFERROR(__xludf.DUMMYFUNCTION("""COMPUTED_VALUE"""),"12/20")</f>
        <v>12/20</v>
      </c>
      <c r="J2651" s="5">
        <f>IFERROR(__xludf.DUMMYFUNCTION("""COMPUTED_VALUE"""),44184.0)</f>
        <v>44184</v>
      </c>
      <c r="K2651">
        <f>IFERROR(__xludf.DUMMYFUNCTION("""COMPUTED_VALUE"""),9.0)</f>
        <v>9</v>
      </c>
      <c r="L2651">
        <f>IFERROR(__xludf.DUMMYFUNCTION("""COMPUTED_VALUE"""),16.0)</f>
        <v>16</v>
      </c>
      <c r="M2651">
        <f>IFERROR(__xludf.DUMMYFUNCTION("""COMPUTED_VALUE"""),25.0)</f>
        <v>25</v>
      </c>
      <c r="N2651" t="str">
        <f>IFERROR(__xludf.DUMMYFUNCTION("""COMPUTED_VALUE"""),"Model 3 LR AWD")</f>
        <v>Model 3 LR AWD</v>
      </c>
      <c r="O2651" t="str">
        <f>IFERROR(__xludf.DUMMYFUNCTION("""COMPUTED_VALUE"""),"Midnight Silver Metallic")</f>
        <v>Midnight Silver Metallic</v>
      </c>
      <c r="P2651" t="str">
        <f>IFERROR(__xludf.DUMMYFUNCTION("""COMPUTED_VALUE"""),"19 inch")</f>
        <v>19 inch</v>
      </c>
      <c r="Q2651" t="str">
        <f>IFERROR(__xludf.DUMMYFUNCTION("""COMPUTED_VALUE"""),"All Black")</f>
        <v>All Black</v>
      </c>
      <c r="R2651" t="str">
        <f>IFERROR(__xludf.DUMMYFUNCTION("""COMPUTED_VALUE"""),"Full Self-Driving")</f>
        <v>Full Self-Driving</v>
      </c>
      <c r="S2651" t="str">
        <f>IFERROR(__xludf.DUMMYFUNCTION("""COMPUTED_VALUE"""),"Loan")</f>
        <v>Loan</v>
      </c>
      <c r="T2651" t="str">
        <f>IFERROR(__xludf.DUMMYFUNCTION("""COMPUTED_VALUE"""),"Honda Pilot")</f>
        <v>Honda Pilot</v>
      </c>
      <c r="U2651" t="str">
        <f>IFERROR(__xludf.DUMMYFUNCTION("""COMPUTED_VALUE"""),"Electric!")</f>
        <v>Electric!</v>
      </c>
      <c r="V2651" t="str">
        <f>IFERROR(__xludf.DUMMYFUNCTION("""COMPUTED_VALUE"""),"Apple CarPlay / Android Auto / SiriusXM Radio")</f>
        <v>Apple CarPlay / Android Auto / SiriusXM Radio</v>
      </c>
      <c r="X2651" t="str">
        <f>IFERROR(__xludf.DUMMYFUNCTION("""COMPUTED_VALUE"""),"Very Good")</f>
        <v>Very Good</v>
      </c>
      <c r="Y2651" t="str">
        <f>IFERROR(__xludf.DUMMYFUNCTION("""COMPUTED_VALUE"""),"Very Good")</f>
        <v>Very Good</v>
      </c>
      <c r="Z2651" t="str">
        <f>IFERROR(__xludf.DUMMYFUNCTION("""COMPUTED_VALUE"""),"Very Good")</f>
        <v>Very Good</v>
      </c>
      <c r="AA2651" t="str">
        <f>IFERROR(__xludf.DUMMYFUNCTION("""COMPUTED_VALUE"""),"Fair")</f>
        <v>Fair</v>
      </c>
      <c r="AB2651" t="str">
        <f>IFERROR(__xludf.DUMMYFUNCTION("""COMPUTED_VALUE"""),"Very Good")</f>
        <v>Very Good</v>
      </c>
      <c r="AF2651" t="str">
        <f>IFERROR(__xludf.DUMMYFUNCTION("""COMPUTED_VALUE"""),"No. I took delivery of the first car Tesla was able to deliver.")</f>
        <v>No. I took delivery of the first car Tesla was able to deliver.</v>
      </c>
      <c r="AG2651" t="str">
        <f>IFERROR(__xludf.DUMMYFUNCTION("""COMPUTED_VALUE"""),"Est Delivery 12/12 to 12/18")</f>
        <v>Est Delivery 12/12 to 12/18</v>
      </c>
      <c r="AH2651" s="189">
        <f>IFERROR(__xludf.DUMMYFUNCTION("""COMPUTED_VALUE"""),44201.43749628472)</f>
        <v>44201.4375</v>
      </c>
    </row>
    <row r="2652">
      <c r="A2652" t="str">
        <f>IFERROR(__xludf.DUMMYFUNCTION("""COMPUTED_VALUE"""),"texastodd")</f>
        <v>texastodd</v>
      </c>
      <c r="B2652" t="str">
        <f>IFERROR(__xludf.DUMMYFUNCTION("""COMPUTED_VALUE"""),"Houston")</f>
        <v>Houston</v>
      </c>
      <c r="C2652" t="str">
        <f>IFERROR(__xludf.DUMMYFUNCTION("""COMPUTED_VALUE"""),"TX")</f>
        <v>TX</v>
      </c>
      <c r="D2652" t="str">
        <f>IFERROR(__xludf.DUMMYFUNCTION("""COMPUTED_VALUE"""),"USA")</f>
        <v>USA</v>
      </c>
      <c r="E2652" s="188">
        <f>IFERROR(__xludf.DUMMYFUNCTION("""COMPUTED_VALUE"""),44126.0)</f>
        <v>44126</v>
      </c>
      <c r="F2652" s="188">
        <f>IFERROR(__xludf.DUMMYFUNCTION("""COMPUTED_VALUE"""),44172.0)</f>
        <v>44172</v>
      </c>
      <c r="G2652" t="str">
        <f>IFERROR(__xludf.DUMMYFUNCTION("""COMPUTED_VALUE"""),"Manage order page (normal text)")</f>
        <v>Manage order page (normal text)</v>
      </c>
      <c r="H2652">
        <f>IFERROR(__xludf.DUMMYFUNCTION("""COMPUTED_VALUE"""),858534.0)</f>
        <v>858534</v>
      </c>
      <c r="I2652" t="str">
        <f>IFERROR(__xludf.DUMMYFUNCTION("""COMPUTED_VALUE"""),"12/20")</f>
        <v>12/20</v>
      </c>
      <c r="J2652" s="5">
        <f>IFERROR(__xludf.DUMMYFUNCTION("""COMPUTED_VALUE"""),44186.0)</f>
        <v>44186</v>
      </c>
      <c r="K2652">
        <f>IFERROR(__xludf.DUMMYFUNCTION("""COMPUTED_VALUE"""),46.0)</f>
        <v>46</v>
      </c>
      <c r="L2652">
        <f>IFERROR(__xludf.DUMMYFUNCTION("""COMPUTED_VALUE"""),14.0)</f>
        <v>14</v>
      </c>
      <c r="M2652">
        <f>IFERROR(__xludf.DUMMYFUNCTION("""COMPUTED_VALUE"""),60.0)</f>
        <v>60</v>
      </c>
      <c r="N2652" t="str">
        <f>IFERROR(__xludf.DUMMYFUNCTION("""COMPUTED_VALUE"""),"Model 3 LR AWD")</f>
        <v>Model 3 LR AWD</v>
      </c>
      <c r="O2652" t="str">
        <f>IFERROR(__xludf.DUMMYFUNCTION("""COMPUTED_VALUE"""),"Deep Blue Metallic")</f>
        <v>Deep Blue Metallic</v>
      </c>
      <c r="P2652" t="str">
        <f>IFERROR(__xludf.DUMMYFUNCTION("""COMPUTED_VALUE"""),"18 inch")</f>
        <v>18 inch</v>
      </c>
      <c r="Q2652" t="str">
        <f>IFERROR(__xludf.DUMMYFUNCTION("""COMPUTED_VALUE"""),"Black and White")</f>
        <v>Black and White</v>
      </c>
      <c r="R2652" t="str">
        <f>IFERROR(__xludf.DUMMYFUNCTION("""COMPUTED_VALUE"""),"Autopilot included")</f>
        <v>Autopilot included</v>
      </c>
      <c r="S2652" t="str">
        <f>IFERROR(__xludf.DUMMYFUNCTION("""COMPUTED_VALUE"""),"Cash")</f>
        <v>Cash</v>
      </c>
      <c r="T2652" t="str">
        <f>IFERROR(__xludf.DUMMYFUNCTION("""COMPUTED_VALUE"""),"Infiniti G35S")</f>
        <v>Infiniti G35S</v>
      </c>
      <c r="U2652" t="str">
        <f>IFERROR(__xludf.DUMMYFUNCTION("""COMPUTED_VALUE"""),"Instant power and torque")</f>
        <v>Instant power and torque</v>
      </c>
      <c r="V2652" t="str">
        <f>IFERROR(__xludf.DUMMYFUNCTION("""COMPUTED_VALUE"""),"Air suspension")</f>
        <v>Air suspension</v>
      </c>
      <c r="W2652" t="str">
        <f>IFERROR(__xludf.DUMMYFUNCTION("""COMPUTED_VALUE"""),"Check your car thoroughly and bring up any issues right away.  Talk to a live person if possible and all should be well.")</f>
        <v>Check your car thoroughly and bring up any issues right away.  Talk to a live person if possible and all should be well.</v>
      </c>
      <c r="X2652" t="str">
        <f>IFERROR(__xludf.DUMMYFUNCTION("""COMPUTED_VALUE"""),"Very Good")</f>
        <v>Very Good</v>
      </c>
      <c r="Y2652" t="str">
        <f>IFERROR(__xludf.DUMMYFUNCTION("""COMPUTED_VALUE"""),"Very Good")</f>
        <v>Very Good</v>
      </c>
      <c r="Z2652" t="str">
        <f>IFERROR(__xludf.DUMMYFUNCTION("""COMPUTED_VALUE"""),"Very Good")</f>
        <v>Very Good</v>
      </c>
      <c r="AA2652" t="str">
        <f>IFERROR(__xludf.DUMMYFUNCTION("""COMPUTED_VALUE"""),"Very Good")</f>
        <v>Very Good</v>
      </c>
      <c r="AB2652" t="str">
        <f>IFERROR(__xludf.DUMMYFUNCTION("""COMPUTED_VALUE"""),"Excellent")</f>
        <v>Excellent</v>
      </c>
      <c r="AC2652">
        <f>IFERROR(__xludf.DUMMYFUNCTION("""COMPUTED_VALUE"""),3.0)</f>
        <v>3</v>
      </c>
      <c r="AF2652" t="str">
        <f>IFERROR(__xludf.DUMMYFUNCTION("""COMPUTED_VALUE"""),"No. I took delivery of the first car Tesla was able to deliver.")</f>
        <v>No. I took delivery of the first car Tesla was able to deliver.</v>
      </c>
      <c r="AG2652" t="str">
        <f>IFERROR(__xludf.DUMMYFUNCTION("""COMPUTED_VALUE"""),"I had an overall excellent experience from order to delivery.  No real issues.  Communication from order to VIN could have been a bit better but was acceptable.  Building a car and shipping to a location takes time, just be patient, you will get your car.")</f>
        <v>I had an overall excellent experience from order to delivery.  No real issues.  Communication from order to VIN could have been a bit better but was acceptable.  Building a car and shipping to a location takes time, just be patient, you will get your car.</v>
      </c>
      <c r="AH2652" s="189">
        <f>IFERROR(__xludf.DUMMYFUNCTION("""COMPUTED_VALUE"""),44189.330211493056)</f>
        <v>44189.33021</v>
      </c>
    </row>
    <row r="2653">
      <c r="A2653" t="str">
        <f>IFERROR(__xludf.DUMMYFUNCTION("""COMPUTED_VALUE"""),"MarshalG")</f>
        <v>MarshalG</v>
      </c>
      <c r="C2653" t="str">
        <f>IFERROR(__xludf.DUMMYFUNCTION("""COMPUTED_VALUE"""),"SC")</f>
        <v>SC</v>
      </c>
      <c r="D2653" t="str">
        <f>IFERROR(__xludf.DUMMYFUNCTION("""COMPUTED_VALUE"""),"USA")</f>
        <v>USA</v>
      </c>
      <c r="E2653" s="188">
        <f>IFERROR(__xludf.DUMMYFUNCTION("""COMPUTED_VALUE"""),44168.0)</f>
        <v>44168</v>
      </c>
      <c r="F2653" s="188">
        <f>IFERROR(__xludf.DUMMYFUNCTION("""COMPUTED_VALUE"""),44178.0)</f>
        <v>44178</v>
      </c>
      <c r="G2653" t="str">
        <f>IFERROR(__xludf.DUMMYFUNCTION("""COMPUTED_VALUE"""),"Manage order page (normal text)")</f>
        <v>Manage order page (normal text)</v>
      </c>
      <c r="H2653">
        <f>IFERROR(__xludf.DUMMYFUNCTION("""COMPUTED_VALUE"""),858755.0)</f>
        <v>858755</v>
      </c>
      <c r="I2653" t="str">
        <f>IFERROR(__xludf.DUMMYFUNCTION("""COMPUTED_VALUE"""),"12/20")</f>
        <v>12/20</v>
      </c>
      <c r="J2653" s="5">
        <f>IFERROR(__xludf.DUMMYFUNCTION("""COMPUTED_VALUE"""),44186.0)</f>
        <v>44186</v>
      </c>
      <c r="K2653">
        <f>IFERROR(__xludf.DUMMYFUNCTION("""COMPUTED_VALUE"""),10.0)</f>
        <v>10</v>
      </c>
      <c r="L2653">
        <f>IFERROR(__xludf.DUMMYFUNCTION("""COMPUTED_VALUE"""),8.0)</f>
        <v>8</v>
      </c>
      <c r="M2653">
        <f>IFERROR(__xludf.DUMMYFUNCTION("""COMPUTED_VALUE"""),18.0)</f>
        <v>18</v>
      </c>
      <c r="N2653" t="str">
        <f>IFERROR(__xludf.DUMMYFUNCTION("""COMPUTED_VALUE"""),"Model 3 LR AWD")</f>
        <v>Model 3 LR AWD</v>
      </c>
      <c r="O2653" t="str">
        <f>IFERROR(__xludf.DUMMYFUNCTION("""COMPUTED_VALUE"""),"Midnight Silver Metallic")</f>
        <v>Midnight Silver Metallic</v>
      </c>
      <c r="P2653" t="str">
        <f>IFERROR(__xludf.DUMMYFUNCTION("""COMPUTED_VALUE"""),"18 inch")</f>
        <v>18 inch</v>
      </c>
      <c r="Q2653" t="str">
        <f>IFERROR(__xludf.DUMMYFUNCTION("""COMPUTED_VALUE"""),"All Black")</f>
        <v>All Black</v>
      </c>
      <c r="R2653" t="str">
        <f>IFERROR(__xludf.DUMMYFUNCTION("""COMPUTED_VALUE"""),"Autopilot included")</f>
        <v>Autopilot included</v>
      </c>
      <c r="S2653" t="str">
        <f>IFERROR(__xludf.DUMMYFUNCTION("""COMPUTED_VALUE"""),"Cash")</f>
        <v>Cash</v>
      </c>
      <c r="T2653" t="str">
        <f>IFERROR(__xludf.DUMMYFUNCTION("""COMPUTED_VALUE"""),"Nissan Leaf")</f>
        <v>Nissan Leaf</v>
      </c>
      <c r="U2653" t="str">
        <f>IFERROR(__xludf.DUMMYFUNCTION("""COMPUTED_VALUE"""),"Supercharger V3 support")</f>
        <v>Supercharger V3 support</v>
      </c>
      <c r="V2653" t="str">
        <f>IFERROR(__xludf.DUMMYFUNCTION("""COMPUTED_VALUE"""),"Heated steering wheel")</f>
        <v>Heated steering wheel</v>
      </c>
      <c r="W2653" t="str">
        <f>IFERROR(__xludf.DUMMYFUNCTION("""COMPUTED_VALUE"""),"Watch all the instructional videos because there will be no orientation from a human when you take delivery.")</f>
        <v>Watch all the instructional videos because there will be no orientation from a human when you take delivery.</v>
      </c>
      <c r="X2653" t="str">
        <f>IFERROR(__xludf.DUMMYFUNCTION("""COMPUTED_VALUE"""),"Very Good")</f>
        <v>Very Good</v>
      </c>
      <c r="Y2653" t="str">
        <f>IFERROR(__xludf.DUMMYFUNCTION("""COMPUTED_VALUE"""),"Excellent")</f>
        <v>Excellent</v>
      </c>
      <c r="Z2653" t="str">
        <f>IFERROR(__xludf.DUMMYFUNCTION("""COMPUTED_VALUE"""),"Excellent")</f>
        <v>Excellent</v>
      </c>
      <c r="AA2653" t="str">
        <f>IFERROR(__xludf.DUMMYFUNCTION("""COMPUTED_VALUE"""),"Fair")</f>
        <v>Fair</v>
      </c>
      <c r="AB2653" t="str">
        <f>IFERROR(__xludf.DUMMYFUNCTION("""COMPUTED_VALUE"""),"Good")</f>
        <v>Good</v>
      </c>
      <c r="AF2653" t="str">
        <f>IFERROR(__xludf.DUMMYFUNCTION("""COMPUTED_VALUE"""),"No. I took delivery of the first car Tesla was able to deliver.")</f>
        <v>No. I took delivery of the first car Tesla was able to deliver.</v>
      </c>
      <c r="AG2653" t="str">
        <f>IFERROR(__xludf.DUMMYFUNCTION("""COMPUTED_VALUE"""),"I get end of quarter rush, but everything was rushed.  Didn't like taking delivery out of state so late in the day, then driving a new car in the dark for hundreds of miles.")</f>
        <v>I get end of quarter rush, but everything was rushed.  Didn't like taking delivery out of state so late in the day, then driving a new car in the dark for hundreds of miles.</v>
      </c>
      <c r="AH2653" s="189">
        <f>IFERROR(__xludf.DUMMYFUNCTION("""COMPUTED_VALUE"""),44187.37963052084)</f>
        <v>44187.37963</v>
      </c>
    </row>
    <row r="2654">
      <c r="A2654" t="str">
        <f>IFERROR(__xludf.DUMMYFUNCTION("""COMPUTED_VALUE"""),"Contrails")</f>
        <v>Contrails</v>
      </c>
      <c r="B2654" t="str">
        <f>IFERROR(__xludf.DUMMYFUNCTION("""COMPUTED_VALUE"""),"Charlotte")</f>
        <v>Charlotte</v>
      </c>
      <c r="C2654" t="str">
        <f>IFERROR(__xludf.DUMMYFUNCTION("""COMPUTED_VALUE"""),"NC")</f>
        <v>NC</v>
      </c>
      <c r="D2654" t="str">
        <f>IFERROR(__xludf.DUMMYFUNCTION("""COMPUTED_VALUE"""),"USA")</f>
        <v>USA</v>
      </c>
      <c r="E2654" s="188">
        <f>IFERROR(__xludf.DUMMYFUNCTION("""COMPUTED_VALUE"""),44120.0)</f>
        <v>44120</v>
      </c>
      <c r="F2654" s="188">
        <f>IFERROR(__xludf.DUMMYFUNCTION("""COMPUTED_VALUE"""),44168.0)</f>
        <v>44168</v>
      </c>
      <c r="G2654" t="str">
        <f>IFERROR(__xludf.DUMMYFUNCTION("""COMPUTED_VALUE"""),"Manage order page (normal text)")</f>
        <v>Manage order page (normal text)</v>
      </c>
      <c r="H2654" s="4">
        <f>IFERROR(__xludf.DUMMYFUNCTION("""COMPUTED_VALUE"""),850675.0)</f>
        <v>850675</v>
      </c>
      <c r="I2654" t="str">
        <f>IFERROR(__xludf.DUMMYFUNCTION("""COMPUTED_VALUE"""),"12/20")</f>
        <v>12/20</v>
      </c>
      <c r="J2654" s="5">
        <f>IFERROR(__xludf.DUMMYFUNCTION("""COMPUTED_VALUE"""),44183.0)</f>
        <v>44183</v>
      </c>
      <c r="K2654">
        <f>IFERROR(__xludf.DUMMYFUNCTION("""COMPUTED_VALUE"""),48.0)</f>
        <v>48</v>
      </c>
      <c r="L2654">
        <f>IFERROR(__xludf.DUMMYFUNCTION("""COMPUTED_VALUE"""),15.0)</f>
        <v>15</v>
      </c>
      <c r="M2654">
        <f>IFERROR(__xludf.DUMMYFUNCTION("""COMPUTED_VALUE"""),63.0)</f>
        <v>63</v>
      </c>
      <c r="N2654" t="str">
        <f>IFERROR(__xludf.DUMMYFUNCTION("""COMPUTED_VALUE"""),"Model 3 Performance")</f>
        <v>Model 3 Performance</v>
      </c>
      <c r="O2654" t="str">
        <f>IFERROR(__xludf.DUMMYFUNCTION("""COMPUTED_VALUE"""),"Midnight Silver Metallic")</f>
        <v>Midnight Silver Metallic</v>
      </c>
      <c r="Q2654" t="str">
        <f>IFERROR(__xludf.DUMMYFUNCTION("""COMPUTED_VALUE"""),"All Black")</f>
        <v>All Black</v>
      </c>
      <c r="R2654" t="str">
        <f>IFERROR(__xludf.DUMMYFUNCTION("""COMPUTED_VALUE"""),"Autopilot included")</f>
        <v>Autopilot included</v>
      </c>
      <c r="X2654" t="str">
        <f>IFERROR(__xludf.DUMMYFUNCTION("""COMPUTED_VALUE"""),"Very Good")</f>
        <v>Very Good</v>
      </c>
      <c r="Y2654" t="str">
        <f>IFERROR(__xludf.DUMMYFUNCTION("""COMPUTED_VALUE"""),"Very Good")</f>
        <v>Very Good</v>
      </c>
      <c r="Z2654" t="str">
        <f>IFERROR(__xludf.DUMMYFUNCTION("""COMPUTED_VALUE"""),"Very Good")</f>
        <v>Very Good</v>
      </c>
      <c r="AA2654" t="str">
        <f>IFERROR(__xludf.DUMMYFUNCTION("""COMPUTED_VALUE"""),"Very Good")</f>
        <v>Very Good</v>
      </c>
      <c r="AB2654" t="str">
        <f>IFERROR(__xludf.DUMMYFUNCTION("""COMPUTED_VALUE"""),"Excellent")</f>
        <v>Excellent</v>
      </c>
      <c r="AF2654" t="str">
        <f>IFERROR(__xludf.DUMMYFUNCTION("""COMPUTED_VALUE"""),"No. I took delivery of the first car Tesla was able to deliver.")</f>
        <v>No. I took delivery of the first car Tesla was able to deliver.</v>
      </c>
      <c r="AH2654" s="189">
        <f>IFERROR(__xludf.DUMMYFUNCTION("""COMPUTED_VALUE"""),44200.423837581024)</f>
        <v>44200.42384</v>
      </c>
    </row>
    <row r="2655">
      <c r="A2655" t="str">
        <f>IFERROR(__xludf.DUMMYFUNCTION("""COMPUTED_VALUE"""),"LUMBEE3D")</f>
        <v>LUMBEE3D</v>
      </c>
      <c r="B2655" t="str">
        <f>IFERROR(__xludf.DUMMYFUNCTION("""COMPUTED_VALUE"""),"Morrisville")</f>
        <v>Morrisville</v>
      </c>
      <c r="C2655" t="str">
        <f>IFERROR(__xludf.DUMMYFUNCTION("""COMPUTED_VALUE"""),"NC")</f>
        <v>NC</v>
      </c>
      <c r="D2655" t="str">
        <f>IFERROR(__xludf.DUMMYFUNCTION("""COMPUTED_VALUE"""),"USA")</f>
        <v>USA</v>
      </c>
      <c r="E2655" s="188">
        <f>IFERROR(__xludf.DUMMYFUNCTION("""COMPUTED_VALUE"""),44165.0)</f>
        <v>44165</v>
      </c>
      <c r="F2655" s="188">
        <f>IFERROR(__xludf.DUMMYFUNCTION("""COMPUTED_VALUE"""),44169.0)</f>
        <v>44169</v>
      </c>
      <c r="G2655" t="str">
        <f>IFERROR(__xludf.DUMMYFUNCTION("""COMPUTED_VALUE"""),"Manage order page (normal text)")</f>
        <v>Manage order page (normal text)</v>
      </c>
      <c r="H2655">
        <f>IFERROR(__xludf.DUMMYFUNCTION("""COMPUTED_VALUE"""),853755.0)</f>
        <v>853755</v>
      </c>
      <c r="J2655" s="188">
        <f>IFERROR(__xludf.DUMMYFUNCTION("""COMPUTED_VALUE"""),44194.0)</f>
        <v>44194</v>
      </c>
      <c r="K2655">
        <f>IFERROR(__xludf.DUMMYFUNCTION("""COMPUTED_VALUE"""),4.0)</f>
        <v>4</v>
      </c>
      <c r="L2655">
        <f>IFERROR(__xludf.DUMMYFUNCTION("""COMPUTED_VALUE"""),25.0)</f>
        <v>25</v>
      </c>
      <c r="M2655">
        <f>IFERROR(__xludf.DUMMYFUNCTION("""COMPUTED_VALUE"""),29.0)</f>
        <v>29</v>
      </c>
      <c r="N2655" t="str">
        <f>IFERROR(__xludf.DUMMYFUNCTION("""COMPUTED_VALUE"""),"Model 3 SR+")</f>
        <v>Model 3 SR+</v>
      </c>
      <c r="O2655" t="str">
        <f>IFERROR(__xludf.DUMMYFUNCTION("""COMPUTED_VALUE"""),"Pearl White Multi-Coat")</f>
        <v>Pearl White Multi-Coat</v>
      </c>
      <c r="P2655" t="str">
        <f>IFERROR(__xludf.DUMMYFUNCTION("""COMPUTED_VALUE"""),"19 inch")</f>
        <v>19 inch</v>
      </c>
      <c r="Q2655" t="str">
        <f>IFERROR(__xludf.DUMMYFUNCTION("""COMPUTED_VALUE"""),"Black and White")</f>
        <v>Black and White</v>
      </c>
      <c r="R2655" t="str">
        <f>IFERROR(__xludf.DUMMYFUNCTION("""COMPUTED_VALUE"""),"Autopilot included")</f>
        <v>Autopilot included</v>
      </c>
      <c r="S2655" t="str">
        <f>IFERROR(__xludf.DUMMYFUNCTION("""COMPUTED_VALUE"""),"Loan")</f>
        <v>Loan</v>
      </c>
      <c r="T2655" t="str">
        <f>IFERROR(__xludf.DUMMYFUNCTION("""COMPUTED_VALUE"""),"Mini Countryman S")</f>
        <v>Mini Countryman S</v>
      </c>
      <c r="U2655" t="str">
        <f>IFERROR(__xludf.DUMMYFUNCTION("""COMPUTED_VALUE"""),"Electric!")</f>
        <v>Electric!</v>
      </c>
      <c r="V2655" t="str">
        <f>IFERROR(__xludf.DUMMYFUNCTION("""COMPUTED_VALUE"""),"Apple CarPlay / Android Auto / SiriusXM Radio")</f>
        <v>Apple CarPlay / Android Auto / SiriusXM Radio</v>
      </c>
      <c r="W2655" t="str">
        <f>IFERROR(__xludf.DUMMYFUNCTION("""COMPUTED_VALUE"""),"Don't get insurance until the day before delivery")</f>
        <v>Don't get insurance until the day before delivery</v>
      </c>
      <c r="X2655" t="str">
        <f>IFERROR(__xludf.DUMMYFUNCTION("""COMPUTED_VALUE"""),"Excellent")</f>
        <v>Excellent</v>
      </c>
      <c r="Y2655" t="str">
        <f>IFERROR(__xludf.DUMMYFUNCTION("""COMPUTED_VALUE"""),"Excellent")</f>
        <v>Excellent</v>
      </c>
      <c r="Z2655" t="str">
        <f>IFERROR(__xludf.DUMMYFUNCTION("""COMPUTED_VALUE"""),"Excellent")</f>
        <v>Excellent</v>
      </c>
      <c r="AA2655" t="str">
        <f>IFERROR(__xludf.DUMMYFUNCTION("""COMPUTED_VALUE"""),"Good")</f>
        <v>Good</v>
      </c>
      <c r="AB2655" t="str">
        <f>IFERROR(__xludf.DUMMYFUNCTION("""COMPUTED_VALUE"""),"Very Good")</f>
        <v>Very Good</v>
      </c>
      <c r="AF2655" t="str">
        <f>IFERROR(__xludf.DUMMYFUNCTION("""COMPUTED_VALUE"""),"No. I took delivery of the first car Tesla was able to deliver.")</f>
        <v>No. I took delivery of the first car Tesla was able to deliver.</v>
      </c>
      <c r="AG2655" t="str">
        <f>IFERROR(__xludf.DUMMYFUNCTION("""COMPUTED_VALUE"""),"Est. Delivery: Dec 14 - Dec 31")</f>
        <v>Est. Delivery: Dec 14 - Dec 31</v>
      </c>
      <c r="AH2655" s="189">
        <f>IFERROR(__xludf.DUMMYFUNCTION("""COMPUTED_VALUE"""),44216.82988452546)</f>
        <v>44216.82988</v>
      </c>
    </row>
    <row r="2656">
      <c r="A2656" t="str">
        <f>IFERROR(__xludf.DUMMYFUNCTION("""COMPUTED_VALUE"""),"Txfatmarine@gmail.com ")</f>
        <v>Txfatmarine@gmail.com </v>
      </c>
      <c r="B2656" t="str">
        <f>IFERROR(__xludf.DUMMYFUNCTION("""COMPUTED_VALUE"""),"Cleveland (NE of Houston)")</f>
        <v>Cleveland (NE of Houston)</v>
      </c>
      <c r="C2656" t="str">
        <f>IFERROR(__xludf.DUMMYFUNCTION("""COMPUTED_VALUE"""),"TX")</f>
        <v>TX</v>
      </c>
      <c r="D2656" t="str">
        <f>IFERROR(__xludf.DUMMYFUNCTION("""COMPUTED_VALUE"""),"USA")</f>
        <v>USA</v>
      </c>
      <c r="E2656" s="188">
        <f>IFERROR(__xludf.DUMMYFUNCTION("""COMPUTED_VALUE"""),44126.0)</f>
        <v>44126</v>
      </c>
      <c r="F2656" s="188">
        <f>IFERROR(__xludf.DUMMYFUNCTION("""COMPUTED_VALUE"""),44173.0)</f>
        <v>44173</v>
      </c>
      <c r="G2656" t="str">
        <f>IFERROR(__xludf.DUMMYFUNCTION("""COMPUTED_VALUE"""),"Manage order page (normal text)")</f>
        <v>Manage order page (normal text)</v>
      </c>
      <c r="H2656">
        <f>IFERROR(__xludf.DUMMYFUNCTION("""COMPUTED_VALUE"""),856431.0)</f>
        <v>856431</v>
      </c>
      <c r="J2656" s="5">
        <f>IFERROR(__xludf.DUMMYFUNCTION("""COMPUTED_VALUE"""),44185.0)</f>
        <v>44185</v>
      </c>
      <c r="K2656">
        <f>IFERROR(__xludf.DUMMYFUNCTION("""COMPUTED_VALUE"""),47.0)</f>
        <v>47</v>
      </c>
      <c r="L2656">
        <f>IFERROR(__xludf.DUMMYFUNCTION("""COMPUTED_VALUE"""),12.0)</f>
        <v>12</v>
      </c>
      <c r="M2656">
        <f>IFERROR(__xludf.DUMMYFUNCTION("""COMPUTED_VALUE"""),59.0)</f>
        <v>59</v>
      </c>
      <c r="N2656" t="str">
        <f>IFERROR(__xludf.DUMMYFUNCTION("""COMPUTED_VALUE"""),"Model 3 Performance")</f>
        <v>Model 3 Performance</v>
      </c>
      <c r="O2656" t="str">
        <f>IFERROR(__xludf.DUMMYFUNCTION("""COMPUTED_VALUE"""),"Pearl White Multi-Coat")</f>
        <v>Pearl White Multi-Coat</v>
      </c>
      <c r="P2656" t="str">
        <f>IFERROR(__xludf.DUMMYFUNCTION("""COMPUTED_VALUE"""),"20 inch")</f>
        <v>20 inch</v>
      </c>
      <c r="Q2656" t="str">
        <f>IFERROR(__xludf.DUMMYFUNCTION("""COMPUTED_VALUE"""),"Black and White")</f>
        <v>Black and White</v>
      </c>
      <c r="R2656" t="str">
        <f>IFERROR(__xludf.DUMMYFUNCTION("""COMPUTED_VALUE"""),"Full Self-Driving")</f>
        <v>Full Self-Driving</v>
      </c>
      <c r="S2656" t="str">
        <f>IFERROR(__xludf.DUMMYFUNCTION("""COMPUTED_VALUE"""),"Cash")</f>
        <v>Cash</v>
      </c>
      <c r="T2656" t="str">
        <f>IFERROR(__xludf.DUMMYFUNCTION("""COMPUTED_VALUE"""),"Honda Fit 2011")</f>
        <v>Honda Fit 2011</v>
      </c>
      <c r="U2656" t="str">
        <f>IFERROR(__xludf.DUMMYFUNCTION("""COMPUTED_VALUE"""),"Autopilot")</f>
        <v>Autopilot</v>
      </c>
      <c r="V2656" t="str">
        <f>IFERROR(__xludf.DUMMYFUNCTION("""COMPUTED_VALUE"""),"Ventilated seats")</f>
        <v>Ventilated seats</v>
      </c>
      <c r="X2656" t="str">
        <f>IFERROR(__xludf.DUMMYFUNCTION("""COMPUTED_VALUE"""),"Very Good")</f>
        <v>Very Good</v>
      </c>
      <c r="Y2656" t="str">
        <f>IFERROR(__xludf.DUMMYFUNCTION("""COMPUTED_VALUE"""),"Very Good")</f>
        <v>Very Good</v>
      </c>
      <c r="Z2656" t="str">
        <f>IFERROR(__xludf.DUMMYFUNCTION("""COMPUTED_VALUE"""),"Very Good")</f>
        <v>Very Good</v>
      </c>
      <c r="AA2656" t="str">
        <f>IFERROR(__xludf.DUMMYFUNCTION("""COMPUTED_VALUE"""),"Very Good")</f>
        <v>Very Good</v>
      </c>
      <c r="AB2656" t="str">
        <f>IFERROR(__xludf.DUMMYFUNCTION("""COMPUTED_VALUE"""),"Good")</f>
        <v>Good</v>
      </c>
      <c r="AH2656" s="189">
        <f>IFERROR(__xludf.DUMMYFUNCTION("""COMPUTED_VALUE"""),44188.291430694444)</f>
        <v>44188.29143</v>
      </c>
    </row>
    <row r="2657">
      <c r="A2657" t="str">
        <f>IFERROR(__xludf.DUMMYFUNCTION("""COMPUTED_VALUE"""),"Sax player")</f>
        <v>Sax player</v>
      </c>
      <c r="B2657" t="str">
        <f>IFERROR(__xludf.DUMMYFUNCTION("""COMPUTED_VALUE"""),"Merzig")</f>
        <v>Merzig</v>
      </c>
      <c r="D2657" t="str">
        <f>IFERROR(__xludf.DUMMYFUNCTION("""COMPUTED_VALUE"""),"Germany")</f>
        <v>Germany</v>
      </c>
      <c r="E2657" s="188">
        <f>IFERROR(__xludf.DUMMYFUNCTION("""COMPUTED_VALUE"""),44160.0)</f>
        <v>44160</v>
      </c>
      <c r="F2657" s="188">
        <f>IFERROR(__xludf.DUMMYFUNCTION("""COMPUTED_VALUE"""),44161.0)</f>
        <v>44161</v>
      </c>
      <c r="G2657" t="str">
        <f>IFERROR(__xludf.DUMMYFUNCTION("""COMPUTED_VALUE"""),"Manage order page (normal text)")</f>
        <v>Manage order page (normal text)</v>
      </c>
      <c r="H2657">
        <f>IFERROR(__xludf.DUMMYFUNCTION("""COMPUTED_VALUE"""),103817.0)</f>
        <v>103817</v>
      </c>
      <c r="I2657" t="str">
        <f>IFERROR(__xludf.DUMMYFUNCTION("""COMPUTED_VALUE"""),"10/20")</f>
        <v>10/20</v>
      </c>
      <c r="J2657" s="5">
        <f>IFERROR(__xludf.DUMMYFUNCTION("""COMPUTED_VALUE"""),44170.0)</f>
        <v>44170</v>
      </c>
      <c r="K2657">
        <f>IFERROR(__xludf.DUMMYFUNCTION("""COMPUTED_VALUE"""),1.0)</f>
        <v>1</v>
      </c>
      <c r="L2657">
        <f>IFERROR(__xludf.DUMMYFUNCTION("""COMPUTED_VALUE"""),9.0)</f>
        <v>9</v>
      </c>
      <c r="M2657">
        <f>IFERROR(__xludf.DUMMYFUNCTION("""COMPUTED_VALUE"""),10.0)</f>
        <v>10</v>
      </c>
      <c r="N2657" t="str">
        <f>IFERROR(__xludf.DUMMYFUNCTION("""COMPUTED_VALUE"""),"Model 3 SR+")</f>
        <v>Model 3 SR+</v>
      </c>
      <c r="O2657" t="str">
        <f>IFERROR(__xludf.DUMMYFUNCTION("""COMPUTED_VALUE"""),"Pearl White Multi-Coat")</f>
        <v>Pearl White Multi-Coat</v>
      </c>
      <c r="P2657" t="str">
        <f>IFERROR(__xludf.DUMMYFUNCTION("""COMPUTED_VALUE"""),"18 inch")</f>
        <v>18 inch</v>
      </c>
      <c r="Q2657" t="str">
        <f>IFERROR(__xludf.DUMMYFUNCTION("""COMPUTED_VALUE"""),"All Black")</f>
        <v>All Black</v>
      </c>
      <c r="R2657" t="str">
        <f>IFERROR(__xludf.DUMMYFUNCTION("""COMPUTED_VALUE"""),"Autopilot included")</f>
        <v>Autopilot included</v>
      </c>
      <c r="T2657" t="str">
        <f>IFERROR(__xludf.DUMMYFUNCTION("""COMPUTED_VALUE"""),"VW Jetta")</f>
        <v>VW Jetta</v>
      </c>
      <c r="U2657" t="str">
        <f>IFERROR(__xludf.DUMMYFUNCTION("""COMPUTED_VALUE"""),"Tesla brand image")</f>
        <v>Tesla brand image</v>
      </c>
      <c r="V2657" t="str">
        <f>IFERROR(__xludf.DUMMYFUNCTION("""COMPUTED_VALUE"""),"Air suspension")</f>
        <v>Air suspension</v>
      </c>
      <c r="W2657" t="str">
        <f>IFERROR(__xludf.DUMMYFUNCTION("""COMPUTED_VALUE"""),"Get your winter tires early. Quite an issue to get some...")</f>
        <v>Get your winter tires early. Quite an issue to get some...</v>
      </c>
      <c r="AH2657" s="189">
        <f>IFERROR(__xludf.DUMMYFUNCTION("""COMPUTED_VALUE"""),44169.107914340275)</f>
        <v>44169.10791</v>
      </c>
    </row>
    <row r="2658">
      <c r="A2658" t="str">
        <f>IFERROR(__xludf.DUMMYFUNCTION("""COMPUTED_VALUE"""),"LandoAWD")</f>
        <v>LandoAWD</v>
      </c>
      <c r="B2658" t="str">
        <f>IFERROR(__xludf.DUMMYFUNCTION("""COMPUTED_VALUE"""),"Hillsborough")</f>
        <v>Hillsborough</v>
      </c>
      <c r="C2658" t="str">
        <f>IFERROR(__xludf.DUMMYFUNCTION("""COMPUTED_VALUE"""),"NC")</f>
        <v>NC</v>
      </c>
      <c r="D2658" t="str">
        <f>IFERROR(__xludf.DUMMYFUNCTION("""COMPUTED_VALUE"""),"USA")</f>
        <v>USA</v>
      </c>
      <c r="E2658" s="188">
        <f>IFERROR(__xludf.DUMMYFUNCTION("""COMPUTED_VALUE"""),44132.0)</f>
        <v>44132</v>
      </c>
      <c r="F2658" s="188">
        <f>IFERROR(__xludf.DUMMYFUNCTION("""COMPUTED_VALUE"""),44174.0)</f>
        <v>44174</v>
      </c>
      <c r="G2658" t="str">
        <f>IFERROR(__xludf.DUMMYFUNCTION("""COMPUTED_VALUE"""),"Manage order page (normal text)")</f>
        <v>Manage order page (normal text)</v>
      </c>
      <c r="H2658">
        <f>IFERROR(__xludf.DUMMYFUNCTION("""COMPUTED_VALUE"""),862655.0)</f>
        <v>862655</v>
      </c>
      <c r="J2658" s="5">
        <f>IFERROR(__xludf.DUMMYFUNCTION("""COMPUTED_VALUE"""),44185.0)</f>
        <v>44185</v>
      </c>
      <c r="K2658">
        <f>IFERROR(__xludf.DUMMYFUNCTION("""COMPUTED_VALUE"""),42.0)</f>
        <v>42</v>
      </c>
      <c r="L2658">
        <f>IFERROR(__xludf.DUMMYFUNCTION("""COMPUTED_VALUE"""),11.0)</f>
        <v>11</v>
      </c>
      <c r="M2658">
        <f>IFERROR(__xludf.DUMMYFUNCTION("""COMPUTED_VALUE"""),53.0)</f>
        <v>53</v>
      </c>
      <c r="N2658" t="str">
        <f>IFERROR(__xludf.DUMMYFUNCTION("""COMPUTED_VALUE"""),"Model 3 LR AWD")</f>
        <v>Model 3 LR AWD</v>
      </c>
      <c r="O2658" t="str">
        <f>IFERROR(__xludf.DUMMYFUNCTION("""COMPUTED_VALUE"""),"Midnight Silver Metallic")</f>
        <v>Midnight Silver Metallic</v>
      </c>
      <c r="P2658" t="str">
        <f>IFERROR(__xludf.DUMMYFUNCTION("""COMPUTED_VALUE"""),"19 inch")</f>
        <v>19 inch</v>
      </c>
      <c r="Q2658" t="str">
        <f>IFERROR(__xludf.DUMMYFUNCTION("""COMPUTED_VALUE"""),"All Black")</f>
        <v>All Black</v>
      </c>
      <c r="R2658" t="str">
        <f>IFERROR(__xludf.DUMMYFUNCTION("""COMPUTED_VALUE"""),"Autopilot included")</f>
        <v>Autopilot included</v>
      </c>
      <c r="S2658" t="str">
        <f>IFERROR(__xludf.DUMMYFUNCTION("""COMPUTED_VALUE"""),"Loan")</f>
        <v>Loan</v>
      </c>
      <c r="T2658" t="str">
        <f>IFERROR(__xludf.DUMMYFUNCTION("""COMPUTED_VALUE"""),"Challenger Hellcat")</f>
        <v>Challenger Hellcat</v>
      </c>
      <c r="V2658" t="str">
        <f>IFERROR(__xludf.DUMMYFUNCTION("""COMPUTED_VALUE"""),"Air suspension")</f>
        <v>Air suspension</v>
      </c>
      <c r="W2658" t="str">
        <f>IFERROR(__xludf.DUMMYFUNCTION("""COMPUTED_VALUE"""),"Don't expect a typical cat buying experience. ")</f>
        <v>Don't expect a typical cat buying experience. </v>
      </c>
      <c r="X2658" t="str">
        <f>IFERROR(__xludf.DUMMYFUNCTION("""COMPUTED_VALUE"""),"Very Good")</f>
        <v>Very Good</v>
      </c>
      <c r="Y2658" t="str">
        <f>IFERROR(__xludf.DUMMYFUNCTION("""COMPUTED_VALUE"""),"Excellent")</f>
        <v>Excellent</v>
      </c>
      <c r="Z2658" t="str">
        <f>IFERROR(__xludf.DUMMYFUNCTION("""COMPUTED_VALUE"""),"Excellent")</f>
        <v>Excellent</v>
      </c>
      <c r="AA2658" t="str">
        <f>IFERROR(__xludf.DUMMYFUNCTION("""COMPUTED_VALUE"""),"Good")</f>
        <v>Good</v>
      </c>
      <c r="AB2658" t="str">
        <f>IFERROR(__xludf.DUMMYFUNCTION("""COMPUTED_VALUE"""),"Excellent")</f>
        <v>Excellent</v>
      </c>
      <c r="AF2658" t="str">
        <f>IFERROR(__xludf.DUMMYFUNCTION("""COMPUTED_VALUE"""),"No. I took delivery of the first car Tesla was able to deliver.")</f>
        <v>No. I took delivery of the first car Tesla was able to deliver.</v>
      </c>
      <c r="AH2658" s="189">
        <f>IFERROR(__xludf.DUMMYFUNCTION("""COMPUTED_VALUE"""),44185.68773283565)</f>
        <v>44185.68773</v>
      </c>
    </row>
    <row r="2659">
      <c r="A2659" t="str">
        <f>IFERROR(__xludf.DUMMYFUNCTION("""COMPUTED_VALUE"""),"Pikachu")</f>
        <v>Pikachu</v>
      </c>
      <c r="B2659" t="str">
        <f>IFERROR(__xludf.DUMMYFUNCTION("""COMPUTED_VALUE"""),"Dedham")</f>
        <v>Dedham</v>
      </c>
      <c r="C2659" t="str">
        <f>IFERROR(__xludf.DUMMYFUNCTION("""COMPUTED_VALUE"""),"MA")</f>
        <v>MA</v>
      </c>
      <c r="D2659" t="str">
        <f>IFERROR(__xludf.DUMMYFUNCTION("""COMPUTED_VALUE"""),"USA")</f>
        <v>USA</v>
      </c>
      <c r="E2659" s="188">
        <f>IFERROR(__xludf.DUMMYFUNCTION("""COMPUTED_VALUE"""),44148.0)</f>
        <v>44148</v>
      </c>
      <c r="F2659" s="188">
        <f>IFERROR(__xludf.DUMMYFUNCTION("""COMPUTED_VALUE"""),44171.0)</f>
        <v>44171</v>
      </c>
      <c r="G2659" t="str">
        <f>IFERROR(__xludf.DUMMYFUNCTION("""COMPUTED_VALUE"""),"Manage order page (normal text)")</f>
        <v>Manage order page (normal text)</v>
      </c>
      <c r="H2659">
        <f>IFERROR(__xludf.DUMMYFUNCTION("""COMPUTED_VALUE"""),854153.0)</f>
        <v>854153</v>
      </c>
      <c r="I2659" t="str">
        <f>IFERROR(__xludf.DUMMYFUNCTION("""COMPUTED_VALUE"""),"12/20")</f>
        <v>12/20</v>
      </c>
      <c r="J2659" s="5">
        <f>IFERROR(__xludf.DUMMYFUNCTION("""COMPUTED_VALUE"""),44189.0)</f>
        <v>44189</v>
      </c>
      <c r="K2659">
        <f>IFERROR(__xludf.DUMMYFUNCTION("""COMPUTED_VALUE"""),23.0)</f>
        <v>23</v>
      </c>
      <c r="L2659">
        <f>IFERROR(__xludf.DUMMYFUNCTION("""COMPUTED_VALUE"""),18.0)</f>
        <v>18</v>
      </c>
      <c r="M2659">
        <f>IFERROR(__xludf.DUMMYFUNCTION("""COMPUTED_VALUE"""),41.0)</f>
        <v>41</v>
      </c>
      <c r="N2659" t="str">
        <f>IFERROR(__xludf.DUMMYFUNCTION("""COMPUTED_VALUE"""),"Model 3 SR+")</f>
        <v>Model 3 SR+</v>
      </c>
      <c r="O2659" t="str">
        <f>IFERROR(__xludf.DUMMYFUNCTION("""COMPUTED_VALUE"""),"Deep Blue Metallic")</f>
        <v>Deep Blue Metallic</v>
      </c>
      <c r="P2659" t="str">
        <f>IFERROR(__xludf.DUMMYFUNCTION("""COMPUTED_VALUE"""),"18 inch")</f>
        <v>18 inch</v>
      </c>
      <c r="Q2659" t="str">
        <f>IFERROR(__xludf.DUMMYFUNCTION("""COMPUTED_VALUE"""),"All Black")</f>
        <v>All Black</v>
      </c>
      <c r="R2659" t="str">
        <f>IFERROR(__xludf.DUMMYFUNCTION("""COMPUTED_VALUE"""),"Autopilot included")</f>
        <v>Autopilot included</v>
      </c>
      <c r="S2659" t="str">
        <f>IFERROR(__xludf.DUMMYFUNCTION("""COMPUTED_VALUE"""),"Loan")</f>
        <v>Loan</v>
      </c>
      <c r="T2659" t="str">
        <f>IFERROR(__xludf.DUMMYFUNCTION("""COMPUTED_VALUE"""),"Mazda 3")</f>
        <v>Mazda 3</v>
      </c>
      <c r="U2659" t="str">
        <f>IFERROR(__xludf.DUMMYFUNCTION("""COMPUTED_VALUE"""),"Electric!")</f>
        <v>Electric!</v>
      </c>
      <c r="V2659" t="str">
        <f>IFERROR(__xludf.DUMMYFUNCTION("""COMPUTED_VALUE"""),"Realistic range figures to their website")</f>
        <v>Realistic range figures to their website</v>
      </c>
      <c r="W2659" t="str">
        <f>IFERROR(__xludf.DUMMYFUNCTION("""COMPUTED_VALUE"""),"Make sure they actually transferred your insurance")</f>
        <v>Make sure they actually transferred your insurance</v>
      </c>
      <c r="X2659" t="str">
        <f>IFERROR(__xludf.DUMMYFUNCTION("""COMPUTED_VALUE"""),"Excellent")</f>
        <v>Excellent</v>
      </c>
      <c r="Y2659" t="str">
        <f>IFERROR(__xludf.DUMMYFUNCTION("""COMPUTED_VALUE"""),"Excellent")</f>
        <v>Excellent</v>
      </c>
      <c r="Z2659" t="str">
        <f>IFERROR(__xludf.DUMMYFUNCTION("""COMPUTED_VALUE"""),"Good")</f>
        <v>Good</v>
      </c>
      <c r="AA2659" t="str">
        <f>IFERROR(__xludf.DUMMYFUNCTION("""COMPUTED_VALUE"""),"Poor")</f>
        <v>Poor</v>
      </c>
      <c r="AB2659" t="str">
        <f>IFERROR(__xludf.DUMMYFUNCTION("""COMPUTED_VALUE"""),"Fair")</f>
        <v>Fair</v>
      </c>
      <c r="AC2659">
        <f>IFERROR(__xludf.DUMMYFUNCTION("""COMPUTED_VALUE"""),1.0)</f>
        <v>1</v>
      </c>
      <c r="AD2659">
        <f>IFERROR(__xludf.DUMMYFUNCTION("""COMPUTED_VALUE"""),0.0)</f>
        <v>0</v>
      </c>
      <c r="AE2659">
        <f>IFERROR(__xludf.DUMMYFUNCTION("""COMPUTED_VALUE"""),0.0)</f>
        <v>0</v>
      </c>
      <c r="AF2659" t="str">
        <f>IFERROR(__xludf.DUMMYFUNCTION("""COMPUTED_VALUE"""),"No. I took delivery of the first car Tesla was able to deliver.")</f>
        <v>No. I took delivery of the first car Tesla was able to deliver.</v>
      </c>
      <c r="AH2659" s="189">
        <f>IFERROR(__xludf.DUMMYFUNCTION("""COMPUTED_VALUE"""),44196.41645770833)</f>
        <v>44196.41646</v>
      </c>
    </row>
    <row r="2660">
      <c r="A2660" t="str">
        <f>IFERROR(__xludf.DUMMYFUNCTION("""COMPUTED_VALUE"""),"Parapimp")</f>
        <v>Parapimp</v>
      </c>
      <c r="B2660" t="str">
        <f>IFERROR(__xludf.DUMMYFUNCTION("""COMPUTED_VALUE"""),"Stockton")</f>
        <v>Stockton</v>
      </c>
      <c r="C2660" t="str">
        <f>IFERROR(__xludf.DUMMYFUNCTION("""COMPUTED_VALUE"""),"CA")</f>
        <v>CA</v>
      </c>
      <c r="D2660" t="str">
        <f>IFERROR(__xludf.DUMMYFUNCTION("""COMPUTED_VALUE"""),"USA")</f>
        <v>USA</v>
      </c>
      <c r="E2660" s="188">
        <f>IFERROR(__xludf.DUMMYFUNCTION("""COMPUTED_VALUE"""),44160.0)</f>
        <v>44160</v>
      </c>
      <c r="F2660" s="188">
        <f>IFERROR(__xludf.DUMMYFUNCTION("""COMPUTED_VALUE"""),44194.0)</f>
        <v>44194</v>
      </c>
      <c r="G2660" t="str">
        <f>IFERROR(__xludf.DUMMYFUNCTION("""COMPUTED_VALUE"""),"Manage order page (normal text)")</f>
        <v>Manage order page (normal text)</v>
      </c>
      <c r="H2660">
        <f>IFERROR(__xludf.DUMMYFUNCTION("""COMPUTED_VALUE"""),872573.0)</f>
        <v>872573</v>
      </c>
      <c r="I2660" t="str">
        <f>IFERROR(__xludf.DUMMYFUNCTION("""COMPUTED_VALUE"""),"12/20")</f>
        <v>12/20</v>
      </c>
      <c r="J2660" s="5">
        <f>IFERROR(__xludf.DUMMYFUNCTION("""COMPUTED_VALUE"""),44196.0)</f>
        <v>44196</v>
      </c>
      <c r="K2660">
        <f>IFERROR(__xludf.DUMMYFUNCTION("""COMPUTED_VALUE"""),34.0)</f>
        <v>34</v>
      </c>
      <c r="L2660">
        <f>IFERROR(__xludf.DUMMYFUNCTION("""COMPUTED_VALUE"""),2.0)</f>
        <v>2</v>
      </c>
      <c r="M2660">
        <f>IFERROR(__xludf.DUMMYFUNCTION("""COMPUTED_VALUE"""),36.0)</f>
        <v>36</v>
      </c>
      <c r="N2660" t="str">
        <f>IFERROR(__xludf.DUMMYFUNCTION("""COMPUTED_VALUE"""),"Model 3 Performance")</f>
        <v>Model 3 Performance</v>
      </c>
      <c r="O2660" t="str">
        <f>IFERROR(__xludf.DUMMYFUNCTION("""COMPUTED_VALUE"""),"Solid Black")</f>
        <v>Solid Black</v>
      </c>
      <c r="P2660" t="str">
        <f>IFERROR(__xludf.DUMMYFUNCTION("""COMPUTED_VALUE"""),"20 inch")</f>
        <v>20 inch</v>
      </c>
      <c r="Q2660" t="str">
        <f>IFERROR(__xludf.DUMMYFUNCTION("""COMPUTED_VALUE"""),"All Black")</f>
        <v>All Black</v>
      </c>
      <c r="R2660" t="str">
        <f>IFERROR(__xludf.DUMMYFUNCTION("""COMPUTED_VALUE"""),"Full Self-Driving")</f>
        <v>Full Self-Driving</v>
      </c>
      <c r="S2660" t="str">
        <f>IFERROR(__xludf.DUMMYFUNCTION("""COMPUTED_VALUE"""),"Loan")</f>
        <v>Loan</v>
      </c>
      <c r="T2660" t="str">
        <f>IFERROR(__xludf.DUMMYFUNCTION("""COMPUTED_VALUE"""),"Honda Accord")</f>
        <v>Honda Accord</v>
      </c>
      <c r="U2660" t="str">
        <f>IFERROR(__xludf.DUMMYFUNCTION("""COMPUTED_VALUE"""),"Autopilot")</f>
        <v>Autopilot</v>
      </c>
      <c r="V2660" t="str">
        <f>IFERROR(__xludf.DUMMYFUNCTION("""COMPUTED_VALUE"""),"Dashboard")</f>
        <v>Dashboard</v>
      </c>
      <c r="X2660" t="str">
        <f>IFERROR(__xludf.DUMMYFUNCTION("""COMPUTED_VALUE"""),"Excellent")</f>
        <v>Excellent</v>
      </c>
      <c r="Y2660" t="str">
        <f>IFERROR(__xludf.DUMMYFUNCTION("""COMPUTED_VALUE"""),"Excellent")</f>
        <v>Excellent</v>
      </c>
      <c r="Z2660" t="str">
        <f>IFERROR(__xludf.DUMMYFUNCTION("""COMPUTED_VALUE"""),"Good")</f>
        <v>Good</v>
      </c>
      <c r="AA2660" t="str">
        <f>IFERROR(__xludf.DUMMYFUNCTION("""COMPUTED_VALUE"""),"Very Good")</f>
        <v>Very Good</v>
      </c>
      <c r="AB2660" t="str">
        <f>IFERROR(__xludf.DUMMYFUNCTION("""COMPUTED_VALUE"""),"Fair")</f>
        <v>Fair</v>
      </c>
      <c r="AC2660">
        <f>IFERROR(__xludf.DUMMYFUNCTION("""COMPUTED_VALUE"""),0.0)</f>
        <v>0</v>
      </c>
      <c r="AD2660">
        <f>IFERROR(__xludf.DUMMYFUNCTION("""COMPUTED_VALUE"""),0.0)</f>
        <v>0</v>
      </c>
      <c r="AE2660">
        <f>IFERROR(__xludf.DUMMYFUNCTION("""COMPUTED_VALUE"""),0.0)</f>
        <v>0</v>
      </c>
      <c r="AF2660" t="str">
        <f>IFERROR(__xludf.DUMMYFUNCTION("""COMPUTED_VALUE"""),"No. I took delivery of the first car Tesla was able to deliver.")</f>
        <v>No. I took delivery of the first car Tesla was able to deliver.</v>
      </c>
      <c r="AG2660" t="str">
        <f>IFERROR(__xludf.DUMMYFUNCTION("""COMPUTED_VALUE"""),"Est. Delivery: December 16 - December 30")</f>
        <v>Est. Delivery: December 16 - December 30</v>
      </c>
      <c r="AH2660" s="189">
        <f>IFERROR(__xludf.DUMMYFUNCTION("""COMPUTED_VALUE"""),44196.916256620374)</f>
        <v>44196.91626</v>
      </c>
    </row>
    <row r="2661">
      <c r="A2661" t="str">
        <f>IFERROR(__xludf.DUMMYFUNCTION("""COMPUTED_VALUE"""),"Cycloptia")</f>
        <v>Cycloptia</v>
      </c>
      <c r="B2661" t="str">
        <f>IFERROR(__xludf.DUMMYFUNCTION("""COMPUTED_VALUE"""),"Fort Worth")</f>
        <v>Fort Worth</v>
      </c>
      <c r="C2661" t="str">
        <f>IFERROR(__xludf.DUMMYFUNCTION("""COMPUTED_VALUE"""),"TX")</f>
        <v>TX</v>
      </c>
      <c r="D2661" t="str">
        <f>IFERROR(__xludf.DUMMYFUNCTION("""COMPUTED_VALUE"""),"USA")</f>
        <v>USA</v>
      </c>
      <c r="E2661" s="188">
        <f>IFERROR(__xludf.DUMMYFUNCTION("""COMPUTED_VALUE"""),44126.0)</f>
        <v>44126</v>
      </c>
      <c r="F2661" s="188">
        <f>IFERROR(__xludf.DUMMYFUNCTION("""COMPUTED_VALUE"""),44172.0)</f>
        <v>44172</v>
      </c>
      <c r="G2661" t="str">
        <f>IFERROR(__xludf.DUMMYFUNCTION("""COMPUTED_VALUE"""),"Manage order page (normal text)")</f>
        <v>Manage order page (normal text)</v>
      </c>
      <c r="H2661">
        <f>IFERROR(__xludf.DUMMYFUNCTION("""COMPUTED_VALUE"""),854532.0)</f>
        <v>854532</v>
      </c>
      <c r="J2661" s="5">
        <f>IFERROR(__xludf.DUMMYFUNCTION("""COMPUTED_VALUE"""),44192.0)</f>
        <v>44192</v>
      </c>
      <c r="K2661">
        <f>IFERROR(__xludf.DUMMYFUNCTION("""COMPUTED_VALUE"""),46.0)</f>
        <v>46</v>
      </c>
      <c r="L2661">
        <f>IFERROR(__xludf.DUMMYFUNCTION("""COMPUTED_VALUE"""),20.0)</f>
        <v>20</v>
      </c>
      <c r="M2661">
        <f>IFERROR(__xludf.DUMMYFUNCTION("""COMPUTED_VALUE"""),66.0)</f>
        <v>66</v>
      </c>
      <c r="N2661" t="str">
        <f>IFERROR(__xludf.DUMMYFUNCTION("""COMPUTED_VALUE"""),"Model 3 SR+")</f>
        <v>Model 3 SR+</v>
      </c>
      <c r="O2661" t="str">
        <f>IFERROR(__xludf.DUMMYFUNCTION("""COMPUTED_VALUE"""),"Midnight Silver Metallic")</f>
        <v>Midnight Silver Metallic</v>
      </c>
      <c r="P2661" t="str">
        <f>IFERROR(__xludf.DUMMYFUNCTION("""COMPUTED_VALUE"""),"18 inch")</f>
        <v>18 inch</v>
      </c>
      <c r="Q2661" t="str">
        <f>IFERROR(__xludf.DUMMYFUNCTION("""COMPUTED_VALUE"""),"All Black")</f>
        <v>All Black</v>
      </c>
      <c r="R2661" t="str">
        <f>IFERROR(__xludf.DUMMYFUNCTION("""COMPUTED_VALUE"""),"Autopilot included")</f>
        <v>Autopilot included</v>
      </c>
      <c r="S2661" t="str">
        <f>IFERROR(__xludf.DUMMYFUNCTION("""COMPUTED_VALUE"""),"Loan")</f>
        <v>Loan</v>
      </c>
      <c r="T2661" t="str">
        <f>IFERROR(__xludf.DUMMYFUNCTION("""COMPUTED_VALUE"""),"Chevy Malibu")</f>
        <v>Chevy Malibu</v>
      </c>
      <c r="U2661" t="str">
        <f>IFERROR(__xludf.DUMMYFUNCTION("""COMPUTED_VALUE"""),"Electric!")</f>
        <v>Electric!</v>
      </c>
      <c r="X2661" t="str">
        <f>IFERROR(__xludf.DUMMYFUNCTION("""COMPUTED_VALUE"""),"Excellent")</f>
        <v>Excellent</v>
      </c>
      <c r="Y2661" t="str">
        <f>IFERROR(__xludf.DUMMYFUNCTION("""COMPUTED_VALUE"""),"Excellent")</f>
        <v>Excellent</v>
      </c>
      <c r="Z2661" t="str">
        <f>IFERROR(__xludf.DUMMYFUNCTION("""COMPUTED_VALUE"""),"Excellent")</f>
        <v>Excellent</v>
      </c>
      <c r="AA2661" t="str">
        <f>IFERROR(__xludf.DUMMYFUNCTION("""COMPUTED_VALUE"""),"Excellent")</f>
        <v>Excellent</v>
      </c>
      <c r="AB2661" t="str">
        <f>IFERROR(__xludf.DUMMYFUNCTION("""COMPUTED_VALUE"""),"Excellent")</f>
        <v>Excellent</v>
      </c>
      <c r="AF2661" t="str">
        <f>IFERROR(__xludf.DUMMYFUNCTION("""COMPUTED_VALUE"""),"No. I took delivery of the first car Tesla was able to deliver.")</f>
        <v>No. I took delivery of the first car Tesla was able to deliver.</v>
      </c>
      <c r="AH2661" s="189">
        <f>IFERROR(__xludf.DUMMYFUNCTION("""COMPUTED_VALUE"""),44200.31525648148)</f>
        <v>44200.31526</v>
      </c>
    </row>
    <row r="2662">
      <c r="A2662" t="str">
        <f>IFERROR(__xludf.DUMMYFUNCTION("""COMPUTED_VALUE"""),"Grae Chivalier")</f>
        <v>Grae Chivalier</v>
      </c>
      <c r="B2662" t="str">
        <f>IFERROR(__xludf.DUMMYFUNCTION("""COMPUTED_VALUE"""),"San Diego")</f>
        <v>San Diego</v>
      </c>
      <c r="C2662" t="str">
        <f>IFERROR(__xludf.DUMMYFUNCTION("""COMPUTED_VALUE"""),"CA")</f>
        <v>CA</v>
      </c>
      <c r="D2662" t="str">
        <f>IFERROR(__xludf.DUMMYFUNCTION("""COMPUTED_VALUE"""),"USA")</f>
        <v>USA</v>
      </c>
      <c r="E2662" s="188">
        <f>IFERROR(__xludf.DUMMYFUNCTION("""COMPUTED_VALUE"""),44170.0)</f>
        <v>44170</v>
      </c>
      <c r="F2662" s="188">
        <f>IFERROR(__xludf.DUMMYFUNCTION("""COMPUTED_VALUE"""),44193.0)</f>
        <v>44193</v>
      </c>
      <c r="G2662" t="str">
        <f>IFERROR(__xludf.DUMMYFUNCTION("""COMPUTED_VALUE"""),"Text message")</f>
        <v>Text message</v>
      </c>
      <c r="H2662">
        <f>IFERROR(__xludf.DUMMYFUNCTION("""COMPUTED_VALUE"""),875655.0)</f>
        <v>875655</v>
      </c>
      <c r="I2662" t="str">
        <f>IFERROR(__xludf.DUMMYFUNCTION("""COMPUTED_VALUE"""),"12/20")</f>
        <v>12/20</v>
      </c>
      <c r="J2662" s="5">
        <f>IFERROR(__xludf.DUMMYFUNCTION("""COMPUTED_VALUE"""),44195.0)</f>
        <v>44195</v>
      </c>
      <c r="K2662">
        <f>IFERROR(__xludf.DUMMYFUNCTION("""COMPUTED_VALUE"""),23.0)</f>
        <v>23</v>
      </c>
      <c r="L2662">
        <f>IFERROR(__xludf.DUMMYFUNCTION("""COMPUTED_VALUE"""),2.0)</f>
        <v>2</v>
      </c>
      <c r="M2662">
        <f>IFERROR(__xludf.DUMMYFUNCTION("""COMPUTED_VALUE"""),25.0)</f>
        <v>25</v>
      </c>
      <c r="N2662" t="str">
        <f>IFERROR(__xludf.DUMMYFUNCTION("""COMPUTED_VALUE"""),"Model 3 LR AWD")</f>
        <v>Model 3 LR AWD</v>
      </c>
      <c r="O2662" t="str">
        <f>IFERROR(__xludf.DUMMYFUNCTION("""COMPUTED_VALUE"""),"Midnight Silver Metallic")</f>
        <v>Midnight Silver Metallic</v>
      </c>
      <c r="P2662" t="str">
        <f>IFERROR(__xludf.DUMMYFUNCTION("""COMPUTED_VALUE"""),"18 inch")</f>
        <v>18 inch</v>
      </c>
      <c r="Q2662" t="str">
        <f>IFERROR(__xludf.DUMMYFUNCTION("""COMPUTED_VALUE"""),"Black and White")</f>
        <v>Black and White</v>
      </c>
      <c r="R2662" t="str">
        <f>IFERROR(__xludf.DUMMYFUNCTION("""COMPUTED_VALUE"""),"Autopilot included")</f>
        <v>Autopilot included</v>
      </c>
      <c r="S2662" t="str">
        <f>IFERROR(__xludf.DUMMYFUNCTION("""COMPUTED_VALUE"""),"Cash")</f>
        <v>Cash</v>
      </c>
      <c r="T2662" t="str">
        <f>IFERROR(__xludf.DUMMYFUNCTION("""COMPUTED_VALUE"""),"Chevy Volt")</f>
        <v>Chevy Volt</v>
      </c>
      <c r="U2662" t="str">
        <f>IFERROR(__xludf.DUMMYFUNCTION("""COMPUTED_VALUE"""),"Electric!")</f>
        <v>Electric!</v>
      </c>
      <c r="V2662" t="str">
        <f>IFERROR(__xludf.DUMMYFUNCTION("""COMPUTED_VALUE"""),"Apple CarPlay / Android Auto / SiriusXM Radio")</f>
        <v>Apple CarPlay / Android Auto / SiriusXM Radio</v>
      </c>
      <c r="X2662" t="str">
        <f>IFERROR(__xludf.DUMMYFUNCTION("""COMPUTED_VALUE"""),"Very Good")</f>
        <v>Very Good</v>
      </c>
      <c r="Y2662" t="str">
        <f>IFERROR(__xludf.DUMMYFUNCTION("""COMPUTED_VALUE"""),"Excellent")</f>
        <v>Excellent</v>
      </c>
      <c r="Z2662" t="str">
        <f>IFERROR(__xludf.DUMMYFUNCTION("""COMPUTED_VALUE"""),"Excellent")</f>
        <v>Excellent</v>
      </c>
      <c r="AA2662" t="str">
        <f>IFERROR(__xludf.DUMMYFUNCTION("""COMPUTED_VALUE"""),"Very Good")</f>
        <v>Very Good</v>
      </c>
      <c r="AB2662" t="str">
        <f>IFERROR(__xludf.DUMMYFUNCTION("""COMPUTED_VALUE"""),"Excellent")</f>
        <v>Excellent</v>
      </c>
      <c r="AC2662">
        <f>IFERROR(__xludf.DUMMYFUNCTION("""COMPUTED_VALUE"""),0.0)</f>
        <v>0</v>
      </c>
      <c r="AD2662">
        <f>IFERROR(__xludf.DUMMYFUNCTION("""COMPUTED_VALUE"""),0.0)</f>
        <v>0</v>
      </c>
      <c r="AE2662">
        <f>IFERROR(__xludf.DUMMYFUNCTION("""COMPUTED_VALUE"""),0.0)</f>
        <v>0</v>
      </c>
      <c r="AF2662" t="str">
        <f>IFERROR(__xludf.DUMMYFUNCTION("""COMPUTED_VALUE"""),"No. I took delivery of the first car Tesla was able to deliver.")</f>
        <v>No. I took delivery of the first car Tesla was able to deliver.</v>
      </c>
      <c r="AH2662" s="189">
        <f>IFERROR(__xludf.DUMMYFUNCTION("""COMPUTED_VALUE"""),44201.73339996528)</f>
        <v>44201.7334</v>
      </c>
    </row>
    <row r="2663">
      <c r="A2663" t="str">
        <f>IFERROR(__xludf.DUMMYFUNCTION("""COMPUTED_VALUE"""),"MikeCleve")</f>
        <v>MikeCleve</v>
      </c>
      <c r="B2663" t="str">
        <f>IFERROR(__xludf.DUMMYFUNCTION("""COMPUTED_VALUE"""),"Cleveland")</f>
        <v>Cleveland</v>
      </c>
      <c r="C2663" t="str">
        <f>IFERROR(__xludf.DUMMYFUNCTION("""COMPUTED_VALUE"""),"OH")</f>
        <v>OH</v>
      </c>
      <c r="D2663" t="str">
        <f>IFERROR(__xludf.DUMMYFUNCTION("""COMPUTED_VALUE"""),"USA")</f>
        <v>USA</v>
      </c>
      <c r="E2663" s="188">
        <f>IFERROR(__xludf.DUMMYFUNCTION("""COMPUTED_VALUE"""),44130.0)</f>
        <v>44130</v>
      </c>
      <c r="F2663" s="188">
        <f>IFERROR(__xludf.DUMMYFUNCTION("""COMPUTED_VALUE"""),44168.0)</f>
        <v>44168</v>
      </c>
      <c r="G2663" t="str">
        <f>IFERROR(__xludf.DUMMYFUNCTION("""COMPUTED_VALUE"""),"Manage order page (normal text)")</f>
        <v>Manage order page (normal text)</v>
      </c>
      <c r="H2663">
        <f>IFERROR(__xludf.DUMMYFUNCTION("""COMPUTED_VALUE"""),853155.0)</f>
        <v>853155</v>
      </c>
      <c r="J2663" s="5">
        <f>IFERROR(__xludf.DUMMYFUNCTION("""COMPUTED_VALUE"""),44183.0)</f>
        <v>44183</v>
      </c>
      <c r="K2663">
        <f>IFERROR(__xludf.DUMMYFUNCTION("""COMPUTED_VALUE"""),38.0)</f>
        <v>38</v>
      </c>
      <c r="L2663">
        <f>IFERROR(__xludf.DUMMYFUNCTION("""COMPUTED_VALUE"""),15.0)</f>
        <v>15</v>
      </c>
      <c r="M2663">
        <f>IFERROR(__xludf.DUMMYFUNCTION("""COMPUTED_VALUE"""),53.0)</f>
        <v>53</v>
      </c>
      <c r="N2663" t="str">
        <f>IFERROR(__xludf.DUMMYFUNCTION("""COMPUTED_VALUE"""),"Model 3 LR AWD")</f>
        <v>Model 3 LR AWD</v>
      </c>
      <c r="O2663" t="str">
        <f>IFERROR(__xludf.DUMMYFUNCTION("""COMPUTED_VALUE"""),"Midnight Silver Metallic")</f>
        <v>Midnight Silver Metallic</v>
      </c>
      <c r="P2663" t="str">
        <f>IFERROR(__xludf.DUMMYFUNCTION("""COMPUTED_VALUE"""),"18 inch")</f>
        <v>18 inch</v>
      </c>
      <c r="Q2663" t="str">
        <f>IFERROR(__xludf.DUMMYFUNCTION("""COMPUTED_VALUE"""),"All Black")</f>
        <v>All Black</v>
      </c>
      <c r="R2663" t="str">
        <f>IFERROR(__xludf.DUMMYFUNCTION("""COMPUTED_VALUE"""),"Autopilot included")</f>
        <v>Autopilot included</v>
      </c>
      <c r="S2663" t="str">
        <f>IFERROR(__xludf.DUMMYFUNCTION("""COMPUTED_VALUE"""),"Loan")</f>
        <v>Loan</v>
      </c>
      <c r="U2663" t="str">
        <f>IFERROR(__xludf.DUMMYFUNCTION("""COMPUTED_VALUE"""),"Electric!")</f>
        <v>Electric!</v>
      </c>
      <c r="V2663" t="str">
        <f>IFERROR(__xludf.DUMMYFUNCTION("""COMPUTED_VALUE"""),"Apple CarPlay / Android Auto / SiriusXM Radio")</f>
        <v>Apple CarPlay / Android Auto / SiriusXM Radio</v>
      </c>
      <c r="X2663" t="str">
        <f>IFERROR(__xludf.DUMMYFUNCTION("""COMPUTED_VALUE"""),"Very Good")</f>
        <v>Very Good</v>
      </c>
      <c r="Y2663" t="str">
        <f>IFERROR(__xludf.DUMMYFUNCTION("""COMPUTED_VALUE"""),"Very Good")</f>
        <v>Very Good</v>
      </c>
      <c r="Z2663" t="str">
        <f>IFERROR(__xludf.DUMMYFUNCTION("""COMPUTED_VALUE"""),"Very Good")</f>
        <v>Very Good</v>
      </c>
      <c r="AA2663" t="str">
        <f>IFERROR(__xludf.DUMMYFUNCTION("""COMPUTED_VALUE"""),"Good")</f>
        <v>Good</v>
      </c>
      <c r="AB2663" t="str">
        <f>IFERROR(__xludf.DUMMYFUNCTION("""COMPUTED_VALUE"""),"Very Good")</f>
        <v>Very Good</v>
      </c>
      <c r="AF2663" t="str">
        <f>IFERROR(__xludf.DUMMYFUNCTION("""COMPUTED_VALUE"""),"No. I took delivery of the first car Tesla was able to deliver.")</f>
        <v>No. I took delivery of the first car Tesla was able to deliver.</v>
      </c>
      <c r="AH2663" s="189">
        <f>IFERROR(__xludf.DUMMYFUNCTION("""COMPUTED_VALUE"""),44183.70006556713)</f>
        <v>44183.70007</v>
      </c>
    </row>
    <row r="2664">
      <c r="A2664" t="str">
        <f>IFERROR(__xludf.DUMMYFUNCTION("""COMPUTED_VALUE"""),"Quenfis")</f>
        <v>Quenfis</v>
      </c>
      <c r="B2664" t="str">
        <f>IFERROR(__xludf.DUMMYFUNCTION("""COMPUTED_VALUE"""),"Bonney Lake")</f>
        <v>Bonney Lake</v>
      </c>
      <c r="C2664" t="str">
        <f>IFERROR(__xludf.DUMMYFUNCTION("""COMPUTED_VALUE"""),"WA")</f>
        <v>WA</v>
      </c>
      <c r="D2664" t="str">
        <f>IFERROR(__xludf.DUMMYFUNCTION("""COMPUTED_VALUE"""),"USA")</f>
        <v>USA</v>
      </c>
      <c r="E2664" s="188">
        <f>IFERROR(__xludf.DUMMYFUNCTION("""COMPUTED_VALUE"""),44148.0)</f>
        <v>44148</v>
      </c>
      <c r="F2664" s="188">
        <f>IFERROR(__xludf.DUMMYFUNCTION("""COMPUTED_VALUE"""),44182.0)</f>
        <v>44182</v>
      </c>
      <c r="G2664" t="str">
        <f>IFERROR(__xludf.DUMMYFUNCTION("""COMPUTED_VALUE"""),"Manage order page (normal text)")</f>
        <v>Manage order page (normal text)</v>
      </c>
      <c r="H2664">
        <f>IFERROR(__xludf.DUMMYFUNCTION("""COMPUTED_VALUE"""),867555.0)</f>
        <v>867555</v>
      </c>
      <c r="J2664" s="5">
        <f>IFERROR(__xludf.DUMMYFUNCTION("""COMPUTED_VALUE"""),44187.0)</f>
        <v>44187</v>
      </c>
      <c r="K2664">
        <f>IFERROR(__xludf.DUMMYFUNCTION("""COMPUTED_VALUE"""),34.0)</f>
        <v>34</v>
      </c>
      <c r="L2664">
        <f>IFERROR(__xludf.DUMMYFUNCTION("""COMPUTED_VALUE"""),5.0)</f>
        <v>5</v>
      </c>
      <c r="M2664">
        <f>IFERROR(__xludf.DUMMYFUNCTION("""COMPUTED_VALUE"""),39.0)</f>
        <v>39</v>
      </c>
      <c r="N2664" t="str">
        <f>IFERROR(__xludf.DUMMYFUNCTION("""COMPUTED_VALUE"""),"Model 3 SR+")</f>
        <v>Model 3 SR+</v>
      </c>
      <c r="O2664" t="str">
        <f>IFERROR(__xludf.DUMMYFUNCTION("""COMPUTED_VALUE"""),"Midnight Silver Metallic")</f>
        <v>Midnight Silver Metallic</v>
      </c>
      <c r="P2664" t="str">
        <f>IFERROR(__xludf.DUMMYFUNCTION("""COMPUTED_VALUE"""),"18 inch")</f>
        <v>18 inch</v>
      </c>
      <c r="Q2664" t="str">
        <f>IFERROR(__xludf.DUMMYFUNCTION("""COMPUTED_VALUE"""),"All Black")</f>
        <v>All Black</v>
      </c>
      <c r="R2664" t="str">
        <f>IFERROR(__xludf.DUMMYFUNCTION("""COMPUTED_VALUE"""),"Autopilot included")</f>
        <v>Autopilot included</v>
      </c>
      <c r="S2664" t="str">
        <f>IFERROR(__xludf.DUMMYFUNCTION("""COMPUTED_VALUE"""),"Loan")</f>
        <v>Loan</v>
      </c>
      <c r="T2664" t="str">
        <f>IFERROR(__xludf.DUMMYFUNCTION("""COMPUTED_VALUE"""),"Mazda3")</f>
        <v>Mazda3</v>
      </c>
      <c r="U2664" t="str">
        <f>IFERROR(__xludf.DUMMYFUNCTION("""COMPUTED_VALUE"""),"Electric!")</f>
        <v>Electric!</v>
      </c>
      <c r="V2664" t="str">
        <f>IFERROR(__xludf.DUMMYFUNCTION("""COMPUTED_VALUE"""),"Apple CarPlay / Android Auto / SiriusXM Radio")</f>
        <v>Apple CarPlay / Android Auto / SiriusXM Radio</v>
      </c>
      <c r="X2664" t="str">
        <f>IFERROR(__xludf.DUMMYFUNCTION("""COMPUTED_VALUE"""),"Excellent")</f>
        <v>Excellent</v>
      </c>
      <c r="Y2664" t="str">
        <f>IFERROR(__xludf.DUMMYFUNCTION("""COMPUTED_VALUE"""),"Excellent")</f>
        <v>Excellent</v>
      </c>
      <c r="Z2664" t="str">
        <f>IFERROR(__xludf.DUMMYFUNCTION("""COMPUTED_VALUE"""),"Excellent")</f>
        <v>Excellent</v>
      </c>
      <c r="AA2664" t="str">
        <f>IFERROR(__xludf.DUMMYFUNCTION("""COMPUTED_VALUE"""),"Excellent")</f>
        <v>Excellent</v>
      </c>
      <c r="AB2664" t="str">
        <f>IFERROR(__xludf.DUMMYFUNCTION("""COMPUTED_VALUE"""),"Excellent")</f>
        <v>Excellent</v>
      </c>
      <c r="AC2664">
        <f>IFERROR(__xludf.DUMMYFUNCTION("""COMPUTED_VALUE"""),0.0)</f>
        <v>0</v>
      </c>
      <c r="AD2664">
        <f>IFERROR(__xludf.DUMMYFUNCTION("""COMPUTED_VALUE"""),0.0)</f>
        <v>0</v>
      </c>
      <c r="AE2664">
        <f>IFERROR(__xludf.DUMMYFUNCTION("""COMPUTED_VALUE"""),0.0)</f>
        <v>0</v>
      </c>
      <c r="AF2664" t="str">
        <f>IFERROR(__xludf.DUMMYFUNCTION("""COMPUTED_VALUE"""),"No. I took delivery of the first car Tesla was able to deliver.")</f>
        <v>No. I took delivery of the first car Tesla was able to deliver.</v>
      </c>
      <c r="AG2664" t="str">
        <f>IFERROR(__xludf.DUMMYFUNCTION("""COMPUTED_VALUE"""),"Est Delivery: December 18 - December 22nd")</f>
        <v>Est Delivery: December 18 - December 22nd</v>
      </c>
      <c r="AH2664" s="189">
        <f>IFERROR(__xludf.DUMMYFUNCTION("""COMPUTED_VALUE"""),44188.394225752316)</f>
        <v>44188.39423</v>
      </c>
    </row>
    <row r="2665">
      <c r="A2665" t="str">
        <f>IFERROR(__xludf.DUMMYFUNCTION("""COMPUTED_VALUE"""),"Dexa")</f>
        <v>Dexa</v>
      </c>
      <c r="B2665" t="str">
        <f>IFERROR(__xludf.DUMMYFUNCTION("""COMPUTED_VALUE"""),"Denver")</f>
        <v>Denver</v>
      </c>
      <c r="C2665" t="str">
        <f>IFERROR(__xludf.DUMMYFUNCTION("""COMPUTED_VALUE"""),"CO")</f>
        <v>CO</v>
      </c>
      <c r="D2665" t="str">
        <f>IFERROR(__xludf.DUMMYFUNCTION("""COMPUTED_VALUE"""),"USA")</f>
        <v>USA</v>
      </c>
      <c r="E2665" s="188">
        <f>IFERROR(__xludf.DUMMYFUNCTION("""COMPUTED_VALUE"""),44154.0)</f>
        <v>44154</v>
      </c>
      <c r="F2665" s="188">
        <f>IFERROR(__xludf.DUMMYFUNCTION("""COMPUTED_VALUE"""),44180.0)</f>
        <v>44180</v>
      </c>
      <c r="G2665" t="str">
        <f>IFERROR(__xludf.DUMMYFUNCTION("""COMPUTED_VALUE"""),"Email")</f>
        <v>Email</v>
      </c>
      <c r="H2665">
        <f>IFERROR(__xludf.DUMMYFUNCTION("""COMPUTED_VALUE"""),869755.0)</f>
        <v>869755</v>
      </c>
      <c r="J2665" s="5">
        <f>IFERROR(__xludf.DUMMYFUNCTION("""COMPUTED_VALUE"""),44191.0)</f>
        <v>44191</v>
      </c>
      <c r="K2665">
        <f>IFERROR(__xludf.DUMMYFUNCTION("""COMPUTED_VALUE"""),26.0)</f>
        <v>26</v>
      </c>
      <c r="L2665">
        <f>IFERROR(__xludf.DUMMYFUNCTION("""COMPUTED_VALUE"""),11.0)</f>
        <v>11</v>
      </c>
      <c r="M2665">
        <f>IFERROR(__xludf.DUMMYFUNCTION("""COMPUTED_VALUE"""),37.0)</f>
        <v>37</v>
      </c>
      <c r="N2665" t="str">
        <f>IFERROR(__xludf.DUMMYFUNCTION("""COMPUTED_VALUE"""),"Model 3 Performance")</f>
        <v>Model 3 Performance</v>
      </c>
      <c r="O2665" t="str">
        <f>IFERROR(__xludf.DUMMYFUNCTION("""COMPUTED_VALUE"""),"Pearl White Multi-Coat")</f>
        <v>Pearl White Multi-Coat</v>
      </c>
      <c r="P2665" t="str">
        <f>IFERROR(__xludf.DUMMYFUNCTION("""COMPUTED_VALUE"""),"20 inch")</f>
        <v>20 inch</v>
      </c>
      <c r="Q2665" t="str">
        <f>IFERROR(__xludf.DUMMYFUNCTION("""COMPUTED_VALUE"""),"Black and White")</f>
        <v>Black and White</v>
      </c>
      <c r="R2665" t="str">
        <f>IFERROR(__xludf.DUMMYFUNCTION("""COMPUTED_VALUE"""),"Full Self-Driving")</f>
        <v>Full Self-Driving</v>
      </c>
      <c r="S2665" t="str">
        <f>IFERROR(__xludf.DUMMYFUNCTION("""COMPUTED_VALUE"""),"Cash")</f>
        <v>Cash</v>
      </c>
      <c r="T2665" t="str">
        <f>IFERROR(__xludf.DUMMYFUNCTION("""COMPUTED_VALUE"""),"Audi S3")</f>
        <v>Audi S3</v>
      </c>
      <c r="U2665" t="str">
        <f>IFERROR(__xludf.DUMMYFUNCTION("""COMPUTED_VALUE"""),"Electric!")</f>
        <v>Electric!</v>
      </c>
      <c r="V2665" t="str">
        <f>IFERROR(__xludf.DUMMYFUNCTION("""COMPUTED_VALUE"""),"Head-up display")</f>
        <v>Head-up display</v>
      </c>
      <c r="X2665" t="str">
        <f>IFERROR(__xludf.DUMMYFUNCTION("""COMPUTED_VALUE"""),"Very Good")</f>
        <v>Very Good</v>
      </c>
      <c r="Y2665" t="str">
        <f>IFERROR(__xludf.DUMMYFUNCTION("""COMPUTED_VALUE"""),"Excellent")</f>
        <v>Excellent</v>
      </c>
      <c r="Z2665" t="str">
        <f>IFERROR(__xludf.DUMMYFUNCTION("""COMPUTED_VALUE"""),"Excellent")</f>
        <v>Excellent</v>
      </c>
      <c r="AA2665" t="str">
        <f>IFERROR(__xludf.DUMMYFUNCTION("""COMPUTED_VALUE"""),"Good")</f>
        <v>Good</v>
      </c>
      <c r="AB2665" t="str">
        <f>IFERROR(__xludf.DUMMYFUNCTION("""COMPUTED_VALUE"""),"Very Good")</f>
        <v>Very Good</v>
      </c>
      <c r="AC2665">
        <f>IFERROR(__xludf.DUMMYFUNCTION("""COMPUTED_VALUE"""),0.0)</f>
        <v>0</v>
      </c>
      <c r="AF2665" t="str">
        <f>IFERROR(__xludf.DUMMYFUNCTION("""COMPUTED_VALUE"""),"No. I took delivery of the first car Tesla was able to deliver.")</f>
        <v>No. I took delivery of the first car Tesla was able to deliver.</v>
      </c>
      <c r="AH2665" s="189">
        <f>IFERROR(__xludf.DUMMYFUNCTION("""COMPUTED_VALUE"""),44196.65960387731)</f>
        <v>44196.6596</v>
      </c>
    </row>
    <row r="2666">
      <c r="A2666" t="str">
        <f>IFERROR(__xludf.DUMMYFUNCTION("""COMPUTED_VALUE"""),"jkburns")</f>
        <v>jkburns</v>
      </c>
      <c r="B2666" t="str">
        <f>IFERROR(__xludf.DUMMYFUNCTION("""COMPUTED_VALUE"""),"Twin Cities")</f>
        <v>Twin Cities</v>
      </c>
      <c r="C2666" t="str">
        <f>IFERROR(__xludf.DUMMYFUNCTION("""COMPUTED_VALUE"""),"MN")</f>
        <v>MN</v>
      </c>
      <c r="D2666" t="str">
        <f>IFERROR(__xludf.DUMMYFUNCTION("""COMPUTED_VALUE"""),"USA")</f>
        <v>USA</v>
      </c>
      <c r="E2666" s="188">
        <f>IFERROR(__xludf.DUMMYFUNCTION("""COMPUTED_VALUE"""),44126.0)</f>
        <v>44126</v>
      </c>
      <c r="F2666" s="188">
        <f>IFERROR(__xludf.DUMMYFUNCTION("""COMPUTED_VALUE"""),44173.0)</f>
        <v>44173</v>
      </c>
      <c r="G2666" t="str">
        <f>IFERROR(__xludf.DUMMYFUNCTION("""COMPUTED_VALUE"""),"Manage order page (normal text)")</f>
        <v>Manage order page (normal text)</v>
      </c>
      <c r="H2666">
        <f>IFERROR(__xludf.DUMMYFUNCTION("""COMPUTED_VALUE"""),860455.0)</f>
        <v>860455</v>
      </c>
      <c r="I2666" t="str">
        <f>IFERROR(__xludf.DUMMYFUNCTION("""COMPUTED_VALUE"""),"12/20")</f>
        <v>12/20</v>
      </c>
      <c r="J2666" s="5">
        <f>IFERROR(__xludf.DUMMYFUNCTION("""COMPUTED_VALUE"""),44188.0)</f>
        <v>44188</v>
      </c>
      <c r="K2666">
        <f>IFERROR(__xludf.DUMMYFUNCTION("""COMPUTED_VALUE"""),47.0)</f>
        <v>47</v>
      </c>
      <c r="L2666">
        <f>IFERROR(__xludf.DUMMYFUNCTION("""COMPUTED_VALUE"""),15.0)</f>
        <v>15</v>
      </c>
      <c r="M2666">
        <f>IFERROR(__xludf.DUMMYFUNCTION("""COMPUTED_VALUE"""),62.0)</f>
        <v>62</v>
      </c>
      <c r="N2666" t="str">
        <f>IFERROR(__xludf.DUMMYFUNCTION("""COMPUTED_VALUE"""),"Model 3 LR AWD")</f>
        <v>Model 3 LR AWD</v>
      </c>
      <c r="O2666" t="str">
        <f>IFERROR(__xludf.DUMMYFUNCTION("""COMPUTED_VALUE"""),"Deep Blue Metallic")</f>
        <v>Deep Blue Metallic</v>
      </c>
      <c r="P2666" t="str">
        <f>IFERROR(__xludf.DUMMYFUNCTION("""COMPUTED_VALUE"""),"19 inch")</f>
        <v>19 inch</v>
      </c>
      <c r="Q2666" t="str">
        <f>IFERROR(__xludf.DUMMYFUNCTION("""COMPUTED_VALUE"""),"Black and White")</f>
        <v>Black and White</v>
      </c>
      <c r="R2666" t="str">
        <f>IFERROR(__xludf.DUMMYFUNCTION("""COMPUTED_VALUE"""),"Full Self-Driving")</f>
        <v>Full Self-Driving</v>
      </c>
      <c r="S2666" t="str">
        <f>IFERROR(__xludf.DUMMYFUNCTION("""COMPUTED_VALUE"""),"Loan")</f>
        <v>Loan</v>
      </c>
      <c r="V2666" t="str">
        <f>IFERROR(__xludf.DUMMYFUNCTION("""COMPUTED_VALUE"""),"Heated steering wheel")</f>
        <v>Heated steering wheel</v>
      </c>
      <c r="X2666" t="str">
        <f>IFERROR(__xludf.DUMMYFUNCTION("""COMPUTED_VALUE"""),"Very Good")</f>
        <v>Very Good</v>
      </c>
      <c r="Y2666" t="str">
        <f>IFERROR(__xludf.DUMMYFUNCTION("""COMPUTED_VALUE"""),"Excellent")</f>
        <v>Excellent</v>
      </c>
      <c r="Z2666" t="str">
        <f>IFERROR(__xludf.DUMMYFUNCTION("""COMPUTED_VALUE"""),"Very Good")</f>
        <v>Very Good</v>
      </c>
      <c r="AA2666" t="str">
        <f>IFERROR(__xludf.DUMMYFUNCTION("""COMPUTED_VALUE"""),"Excellent")</f>
        <v>Excellent</v>
      </c>
      <c r="AB2666" t="str">
        <f>IFERROR(__xludf.DUMMYFUNCTION("""COMPUTED_VALUE"""),"Excellent")</f>
        <v>Excellent</v>
      </c>
      <c r="AF2666" t="str">
        <f>IFERROR(__xludf.DUMMYFUNCTION("""COMPUTED_VALUE"""),"No. I took delivery of the first car Tesla was able to deliver.")</f>
        <v>No. I took delivery of the first car Tesla was able to deliver.</v>
      </c>
      <c r="AH2666" s="189">
        <f>IFERROR(__xludf.DUMMYFUNCTION("""COMPUTED_VALUE"""),44191.28943488426)</f>
        <v>44191.28943</v>
      </c>
    </row>
    <row r="2667">
      <c r="A2667" t="str">
        <f>IFERROR(__xludf.DUMMYFUNCTION("""COMPUTED_VALUE"""),"Runduck")</f>
        <v>Runduck</v>
      </c>
      <c r="B2667" t="str">
        <f>IFERROR(__xludf.DUMMYFUNCTION("""COMPUTED_VALUE"""),"Peabody")</f>
        <v>Peabody</v>
      </c>
      <c r="C2667" t="str">
        <f>IFERROR(__xludf.DUMMYFUNCTION("""COMPUTED_VALUE"""),"MA")</f>
        <v>MA</v>
      </c>
      <c r="D2667" t="str">
        <f>IFERROR(__xludf.DUMMYFUNCTION("""COMPUTED_VALUE"""),"USA")</f>
        <v>USA</v>
      </c>
      <c r="E2667" s="188">
        <f>IFERROR(__xludf.DUMMYFUNCTION("""COMPUTED_VALUE"""),44165.0)</f>
        <v>44165</v>
      </c>
      <c r="F2667" s="188">
        <f>IFERROR(__xludf.DUMMYFUNCTION("""COMPUTED_VALUE"""),44192.0)</f>
        <v>44192</v>
      </c>
      <c r="G2667" t="str">
        <f>IFERROR(__xludf.DUMMYFUNCTION("""COMPUTED_VALUE"""),"Manage order page (normal text)")</f>
        <v>Manage order page (normal text)</v>
      </c>
      <c r="H2667">
        <f>IFERROR(__xludf.DUMMYFUNCTION("""COMPUTED_VALUE"""),869655.0)</f>
        <v>869655</v>
      </c>
      <c r="I2667" t="str">
        <f>IFERROR(__xludf.DUMMYFUNCTION("""COMPUTED_VALUE"""),"12/20")</f>
        <v>12/20</v>
      </c>
      <c r="J2667" s="5">
        <f>IFERROR(__xludf.DUMMYFUNCTION("""COMPUTED_VALUE"""),44195.0)</f>
        <v>44195</v>
      </c>
      <c r="K2667">
        <f>IFERROR(__xludf.DUMMYFUNCTION("""COMPUTED_VALUE"""),27.0)</f>
        <v>27</v>
      </c>
      <c r="L2667">
        <f>IFERROR(__xludf.DUMMYFUNCTION("""COMPUTED_VALUE"""),3.0)</f>
        <v>3</v>
      </c>
      <c r="M2667">
        <f>IFERROR(__xludf.DUMMYFUNCTION("""COMPUTED_VALUE"""),30.0)</f>
        <v>30</v>
      </c>
      <c r="N2667" t="str">
        <f>IFERROR(__xludf.DUMMYFUNCTION("""COMPUTED_VALUE"""),"Model 3 Performance")</f>
        <v>Model 3 Performance</v>
      </c>
      <c r="O2667" t="str">
        <f>IFERROR(__xludf.DUMMYFUNCTION("""COMPUTED_VALUE"""),"Pearl White Multi-Coat")</f>
        <v>Pearl White Multi-Coat</v>
      </c>
      <c r="P2667" t="str">
        <f>IFERROR(__xludf.DUMMYFUNCTION("""COMPUTED_VALUE"""),"20 inch")</f>
        <v>20 inch</v>
      </c>
      <c r="Q2667" t="str">
        <f>IFERROR(__xludf.DUMMYFUNCTION("""COMPUTED_VALUE"""),"Black and White")</f>
        <v>Black and White</v>
      </c>
      <c r="R2667" t="str">
        <f>IFERROR(__xludf.DUMMYFUNCTION("""COMPUTED_VALUE"""),"Full Self-Driving")</f>
        <v>Full Self-Driving</v>
      </c>
      <c r="S2667" t="str">
        <f>IFERROR(__xludf.DUMMYFUNCTION("""COMPUTED_VALUE"""),"Loan")</f>
        <v>Loan</v>
      </c>
      <c r="T2667" t="str">
        <f>IFERROR(__xludf.DUMMYFUNCTION("""COMPUTED_VALUE"""),"Nissan Rogue")</f>
        <v>Nissan Rogue</v>
      </c>
      <c r="U2667" t="str">
        <f>IFERROR(__xludf.DUMMYFUNCTION("""COMPUTED_VALUE"""),"Autopilot")</f>
        <v>Autopilot</v>
      </c>
      <c r="V2667" t="str">
        <f>IFERROR(__xludf.DUMMYFUNCTION("""COMPUTED_VALUE"""),"Apple CarPlay / Android Auto / SiriusXM Radio")</f>
        <v>Apple CarPlay / Android Auto / SiriusXM Radio</v>
      </c>
      <c r="X2667" t="str">
        <f>IFERROR(__xludf.DUMMYFUNCTION("""COMPUTED_VALUE"""),"Excellent")</f>
        <v>Excellent</v>
      </c>
      <c r="Y2667" t="str">
        <f>IFERROR(__xludf.DUMMYFUNCTION("""COMPUTED_VALUE"""),"Excellent")</f>
        <v>Excellent</v>
      </c>
      <c r="Z2667" t="str">
        <f>IFERROR(__xludf.DUMMYFUNCTION("""COMPUTED_VALUE"""),"Excellent")</f>
        <v>Excellent</v>
      </c>
      <c r="AA2667" t="str">
        <f>IFERROR(__xludf.DUMMYFUNCTION("""COMPUTED_VALUE"""),"Excellent")</f>
        <v>Excellent</v>
      </c>
      <c r="AB2667" t="str">
        <f>IFERROR(__xludf.DUMMYFUNCTION("""COMPUTED_VALUE"""),"Excellent")</f>
        <v>Excellent</v>
      </c>
      <c r="AF2667" t="str">
        <f>IFERROR(__xludf.DUMMYFUNCTION("""COMPUTED_VALUE"""),"No. I took delivery of the first car Tesla was able to deliver.")</f>
        <v>No. I took delivery of the first car Tesla was able to deliver.</v>
      </c>
      <c r="AG2667" t="str">
        <f>IFERROR(__xludf.DUMMYFUNCTION("""COMPUTED_VALUE"""),"Est Del Date 12/14-12/31")</f>
        <v>Est Del Date 12/14-12/31</v>
      </c>
      <c r="AH2667" s="189">
        <f>IFERROR(__xludf.DUMMYFUNCTION("""COMPUTED_VALUE"""),44197.91205075232)</f>
        <v>44197.91205</v>
      </c>
    </row>
    <row r="2668">
      <c r="A2668" t="str">
        <f>IFERROR(__xludf.DUMMYFUNCTION("""COMPUTED_VALUE"""),"GoodKarma")</f>
        <v>GoodKarma</v>
      </c>
      <c r="B2668" t="str">
        <f>IFERROR(__xludf.DUMMYFUNCTION("""COMPUTED_VALUE"""),"Phoenix")</f>
        <v>Phoenix</v>
      </c>
      <c r="C2668" t="str">
        <f>IFERROR(__xludf.DUMMYFUNCTION("""COMPUTED_VALUE"""),"AZ")</f>
        <v>AZ</v>
      </c>
      <c r="D2668" t="str">
        <f>IFERROR(__xludf.DUMMYFUNCTION("""COMPUTED_VALUE"""),"USA")</f>
        <v>USA</v>
      </c>
      <c r="E2668" s="188">
        <f>IFERROR(__xludf.DUMMYFUNCTION("""COMPUTED_VALUE"""),44166.0)</f>
        <v>44166</v>
      </c>
      <c r="F2668" s="188">
        <f>IFERROR(__xludf.DUMMYFUNCTION("""COMPUTED_VALUE"""),44186.0)</f>
        <v>44186</v>
      </c>
      <c r="G2668" t="str">
        <f>IFERROR(__xludf.DUMMYFUNCTION("""COMPUTED_VALUE"""),"Manage order page (normal text)")</f>
        <v>Manage order page (normal text)</v>
      </c>
      <c r="H2668">
        <f>IFERROR(__xludf.DUMMYFUNCTION("""COMPUTED_VALUE"""),872655.0)</f>
        <v>872655</v>
      </c>
      <c r="J2668" s="5">
        <f>IFERROR(__xludf.DUMMYFUNCTION("""COMPUTED_VALUE"""),44189.0)</f>
        <v>44189</v>
      </c>
      <c r="K2668">
        <f>IFERROR(__xludf.DUMMYFUNCTION("""COMPUTED_VALUE"""),20.0)</f>
        <v>20</v>
      </c>
      <c r="L2668">
        <f>IFERROR(__xludf.DUMMYFUNCTION("""COMPUTED_VALUE"""),3.0)</f>
        <v>3</v>
      </c>
      <c r="M2668">
        <f>IFERROR(__xludf.DUMMYFUNCTION("""COMPUTED_VALUE"""),23.0)</f>
        <v>23</v>
      </c>
      <c r="N2668" t="str">
        <f>IFERROR(__xludf.DUMMYFUNCTION("""COMPUTED_VALUE"""),"Model 3 LR AWD")</f>
        <v>Model 3 LR AWD</v>
      </c>
      <c r="O2668" t="str">
        <f>IFERROR(__xludf.DUMMYFUNCTION("""COMPUTED_VALUE"""),"Pearl White Multi-Coat")</f>
        <v>Pearl White Multi-Coat</v>
      </c>
      <c r="P2668" t="str">
        <f>IFERROR(__xludf.DUMMYFUNCTION("""COMPUTED_VALUE"""),"18 inch")</f>
        <v>18 inch</v>
      </c>
      <c r="Q2668" t="str">
        <f>IFERROR(__xludf.DUMMYFUNCTION("""COMPUTED_VALUE"""),"All Black")</f>
        <v>All Black</v>
      </c>
      <c r="R2668" t="str">
        <f>IFERROR(__xludf.DUMMYFUNCTION("""COMPUTED_VALUE"""),"Autopilot included")</f>
        <v>Autopilot included</v>
      </c>
      <c r="S2668" t="str">
        <f>IFERROR(__xludf.DUMMYFUNCTION("""COMPUTED_VALUE"""),"Loan")</f>
        <v>Loan</v>
      </c>
      <c r="T2668" t="str">
        <f>IFERROR(__xludf.DUMMYFUNCTION("""COMPUTED_VALUE"""),"Lexus")</f>
        <v>Lexus</v>
      </c>
      <c r="U2668" t="str">
        <f>IFERROR(__xludf.DUMMYFUNCTION("""COMPUTED_VALUE"""),"Electric!")</f>
        <v>Electric!</v>
      </c>
      <c r="V2668" t="str">
        <f>IFERROR(__xludf.DUMMYFUNCTION("""COMPUTED_VALUE"""),"Apple CarPlay / Android Auto / SiriusXM Radio")</f>
        <v>Apple CarPlay / Android Auto / SiriusXM Radio</v>
      </c>
      <c r="X2668" t="str">
        <f>IFERROR(__xludf.DUMMYFUNCTION("""COMPUTED_VALUE"""),"Very Good")</f>
        <v>Very Good</v>
      </c>
      <c r="Y2668" t="str">
        <f>IFERROR(__xludf.DUMMYFUNCTION("""COMPUTED_VALUE"""),"Very Good")</f>
        <v>Very Good</v>
      </c>
      <c r="Z2668" t="str">
        <f>IFERROR(__xludf.DUMMYFUNCTION("""COMPUTED_VALUE"""),"Very Good")</f>
        <v>Very Good</v>
      </c>
      <c r="AA2668" t="str">
        <f>IFERROR(__xludf.DUMMYFUNCTION("""COMPUTED_VALUE"""),"Excellent")</f>
        <v>Excellent</v>
      </c>
      <c r="AB2668" t="str">
        <f>IFERROR(__xludf.DUMMYFUNCTION("""COMPUTED_VALUE"""),"Very Good")</f>
        <v>Very Good</v>
      </c>
      <c r="AH2668" s="189">
        <f>IFERROR(__xludf.DUMMYFUNCTION("""COMPUTED_VALUE"""),44189.754105949076)</f>
        <v>44189.75411</v>
      </c>
    </row>
    <row r="2669">
      <c r="A2669" t="str">
        <f>IFERROR(__xludf.DUMMYFUNCTION("""COMPUTED_VALUE"""),"tpeek")</f>
        <v>tpeek</v>
      </c>
      <c r="B2669" t="str">
        <f>IFERROR(__xludf.DUMMYFUNCTION("""COMPUTED_VALUE"""),"Santa Cruz")</f>
        <v>Santa Cruz</v>
      </c>
      <c r="C2669" t="str">
        <f>IFERROR(__xludf.DUMMYFUNCTION("""COMPUTED_VALUE"""),"CA")</f>
        <v>CA</v>
      </c>
      <c r="D2669" t="str">
        <f>IFERROR(__xludf.DUMMYFUNCTION("""COMPUTED_VALUE"""),"USA")</f>
        <v>USA</v>
      </c>
      <c r="E2669" s="188">
        <f>IFERROR(__xludf.DUMMYFUNCTION("""COMPUTED_VALUE"""),44097.0)</f>
        <v>44097</v>
      </c>
      <c r="F2669" s="188">
        <f>IFERROR(__xludf.DUMMYFUNCTION("""COMPUTED_VALUE"""),44171.0)</f>
        <v>44171</v>
      </c>
      <c r="G2669" t="str">
        <f>IFERROR(__xludf.DUMMYFUNCTION("""COMPUTED_VALUE"""),"Manage order page (normal text)")</f>
        <v>Manage order page (normal text)</v>
      </c>
      <c r="H2669">
        <f>IFERROR(__xludf.DUMMYFUNCTION("""COMPUTED_VALUE"""),856355.0)</f>
        <v>856355</v>
      </c>
      <c r="I2669" t="str">
        <f>IFERROR(__xludf.DUMMYFUNCTION("""COMPUTED_VALUE"""),"12/20")</f>
        <v>12/20</v>
      </c>
      <c r="J2669" s="5">
        <f>IFERROR(__xludf.DUMMYFUNCTION("""COMPUTED_VALUE"""),44173.0)</f>
        <v>44173</v>
      </c>
      <c r="K2669">
        <f>IFERROR(__xludf.DUMMYFUNCTION("""COMPUTED_VALUE"""),74.0)</f>
        <v>74</v>
      </c>
      <c r="L2669">
        <f>IFERROR(__xludf.DUMMYFUNCTION("""COMPUTED_VALUE"""),2.0)</f>
        <v>2</v>
      </c>
      <c r="M2669">
        <f>IFERROR(__xludf.DUMMYFUNCTION("""COMPUTED_VALUE"""),76.0)</f>
        <v>76</v>
      </c>
      <c r="N2669" t="str">
        <f>IFERROR(__xludf.DUMMYFUNCTION("""COMPUTED_VALUE"""),"Model 3 Performance")</f>
        <v>Model 3 Performance</v>
      </c>
      <c r="O2669" t="str">
        <f>IFERROR(__xludf.DUMMYFUNCTION("""COMPUTED_VALUE"""),"Midnight Silver Metallic")</f>
        <v>Midnight Silver Metallic</v>
      </c>
      <c r="P2669" t="str">
        <f>IFERROR(__xludf.DUMMYFUNCTION("""COMPUTED_VALUE"""),"20 inch")</f>
        <v>20 inch</v>
      </c>
      <c r="Q2669" t="str">
        <f>IFERROR(__xludf.DUMMYFUNCTION("""COMPUTED_VALUE"""),"Black and White")</f>
        <v>Black and White</v>
      </c>
      <c r="R2669" t="str">
        <f>IFERROR(__xludf.DUMMYFUNCTION("""COMPUTED_VALUE"""),"Full Self-Driving")</f>
        <v>Full Self-Driving</v>
      </c>
      <c r="S2669" t="str">
        <f>IFERROR(__xludf.DUMMYFUNCTION("""COMPUTED_VALUE"""),"Loan")</f>
        <v>Loan</v>
      </c>
      <c r="T2669" t="str">
        <f>IFERROR(__xludf.DUMMYFUNCTION("""COMPUTED_VALUE"""),"Acura MDX")</f>
        <v>Acura MDX</v>
      </c>
      <c r="U2669" t="str">
        <f>IFERROR(__xludf.DUMMYFUNCTION("""COMPUTED_VALUE"""),"Autopilot")</f>
        <v>Autopilot</v>
      </c>
      <c r="V2669" t="str">
        <f>IFERROR(__xludf.DUMMYFUNCTION("""COMPUTED_VALUE"""),"Bioweapon defense mode")</f>
        <v>Bioweapon defense mode</v>
      </c>
      <c r="W2669" t="str">
        <f>IFERROR(__xludf.DUMMYFUNCTION("""COMPUTED_VALUE"""),"hang tight. they will never tell you about when you will get your car until it's actually about to happen. Don't believe the delivery window date ranges on the website.")</f>
        <v>hang tight. they will never tell you about when you will get your car until it's actually about to happen. Don't believe the delivery window date ranges on the website.</v>
      </c>
      <c r="X2669" t="str">
        <f>IFERROR(__xludf.DUMMYFUNCTION("""COMPUTED_VALUE"""),"Excellent")</f>
        <v>Excellent</v>
      </c>
      <c r="Y2669" t="str">
        <f>IFERROR(__xludf.DUMMYFUNCTION("""COMPUTED_VALUE"""),"Excellent")</f>
        <v>Excellent</v>
      </c>
      <c r="Z2669" t="str">
        <f>IFERROR(__xludf.DUMMYFUNCTION("""COMPUTED_VALUE"""),"Excellent")</f>
        <v>Excellent</v>
      </c>
      <c r="AA2669" t="str">
        <f>IFERROR(__xludf.DUMMYFUNCTION("""COMPUTED_VALUE"""),"Poor")</f>
        <v>Poor</v>
      </c>
      <c r="AB2669" t="str">
        <f>IFERROR(__xludf.DUMMYFUNCTION("""COMPUTED_VALUE"""),"Very Good")</f>
        <v>Very Good</v>
      </c>
      <c r="AF2669" t="str">
        <f>IFERROR(__xludf.DUMMYFUNCTION("""COMPUTED_VALUE"""),"No. I took delivery of the first car Tesla was able to deliver.")</f>
        <v>No. I took delivery of the first car Tesla was able to deliver.</v>
      </c>
      <c r="AH2669" s="189">
        <f>IFERROR(__xludf.DUMMYFUNCTION("""COMPUTED_VALUE"""),44175.4580102662)</f>
        <v>44175.45801</v>
      </c>
    </row>
    <row r="2670">
      <c r="A2670" t="str">
        <f>IFERROR(__xludf.DUMMYFUNCTION("""COMPUTED_VALUE"""),"Sansai")</f>
        <v>Sansai</v>
      </c>
      <c r="B2670" t="str">
        <f>IFERROR(__xludf.DUMMYFUNCTION("""COMPUTED_VALUE"""),"Hillsboro")</f>
        <v>Hillsboro</v>
      </c>
      <c r="C2670" t="str">
        <f>IFERROR(__xludf.DUMMYFUNCTION("""COMPUTED_VALUE"""),"OR")</f>
        <v>OR</v>
      </c>
      <c r="D2670" t="str">
        <f>IFERROR(__xludf.DUMMYFUNCTION("""COMPUTED_VALUE"""),"USA")</f>
        <v>USA</v>
      </c>
      <c r="E2670" s="188">
        <f>IFERROR(__xludf.DUMMYFUNCTION("""COMPUTED_VALUE"""),44174.0)</f>
        <v>44174</v>
      </c>
      <c r="F2670" s="188">
        <f>IFERROR(__xludf.DUMMYFUNCTION("""COMPUTED_VALUE"""),44189.0)</f>
        <v>44189</v>
      </c>
      <c r="G2670" t="str">
        <f>IFERROR(__xludf.DUMMYFUNCTION("""COMPUTED_VALUE"""),"Manage order page (normal text)")</f>
        <v>Manage order page (normal text)</v>
      </c>
      <c r="I2670" t="str">
        <f>IFERROR(__xludf.DUMMYFUNCTION("""COMPUTED_VALUE"""),"12/20")</f>
        <v>12/20</v>
      </c>
      <c r="J2670" s="5">
        <f>IFERROR(__xludf.DUMMYFUNCTION("""COMPUTED_VALUE"""),44191.0)</f>
        <v>44191</v>
      </c>
      <c r="K2670">
        <f>IFERROR(__xludf.DUMMYFUNCTION("""COMPUTED_VALUE"""),15.0)</f>
        <v>15</v>
      </c>
      <c r="L2670">
        <f>IFERROR(__xludf.DUMMYFUNCTION("""COMPUTED_VALUE"""),2.0)</f>
        <v>2</v>
      </c>
      <c r="M2670">
        <f>IFERROR(__xludf.DUMMYFUNCTION("""COMPUTED_VALUE"""),17.0)</f>
        <v>17</v>
      </c>
      <c r="N2670" t="str">
        <f>IFERROR(__xludf.DUMMYFUNCTION("""COMPUTED_VALUE"""),"Model 3 LR AWD")</f>
        <v>Model 3 LR AWD</v>
      </c>
      <c r="O2670" t="str">
        <f>IFERROR(__xludf.DUMMYFUNCTION("""COMPUTED_VALUE"""),"Pearl White Multi-Coat")</f>
        <v>Pearl White Multi-Coat</v>
      </c>
      <c r="P2670" t="str">
        <f>IFERROR(__xludf.DUMMYFUNCTION("""COMPUTED_VALUE"""),"18 inch")</f>
        <v>18 inch</v>
      </c>
      <c r="Q2670" t="str">
        <f>IFERROR(__xludf.DUMMYFUNCTION("""COMPUTED_VALUE"""),"All Black")</f>
        <v>All Black</v>
      </c>
      <c r="R2670" t="str">
        <f>IFERROR(__xludf.DUMMYFUNCTION("""COMPUTED_VALUE"""),"Full Self-Driving")</f>
        <v>Full Self-Driving</v>
      </c>
      <c r="S2670" t="str">
        <f>IFERROR(__xludf.DUMMYFUNCTION("""COMPUTED_VALUE"""),"Loan")</f>
        <v>Loan</v>
      </c>
      <c r="T2670" t="str">
        <f>IFERROR(__xludf.DUMMYFUNCTION("""COMPUTED_VALUE"""),"BMW i3")</f>
        <v>BMW i3</v>
      </c>
      <c r="U2670" t="str">
        <f>IFERROR(__xludf.DUMMYFUNCTION("""COMPUTED_VALUE"""),"Range")</f>
        <v>Range</v>
      </c>
      <c r="V2670" t="str">
        <f>IFERROR(__xludf.DUMMYFUNCTION("""COMPUTED_VALUE"""),"Apple CarPlay / Android Auto / SiriusXM Radio")</f>
        <v>Apple CarPlay / Android Auto / SiriusXM Radio</v>
      </c>
      <c r="X2670" t="str">
        <f>IFERROR(__xludf.DUMMYFUNCTION("""COMPUTED_VALUE"""),"Very Good")</f>
        <v>Very Good</v>
      </c>
      <c r="Y2670" t="str">
        <f>IFERROR(__xludf.DUMMYFUNCTION("""COMPUTED_VALUE"""),"Excellent")</f>
        <v>Excellent</v>
      </c>
      <c r="Z2670" t="str">
        <f>IFERROR(__xludf.DUMMYFUNCTION("""COMPUTED_VALUE"""),"Excellent")</f>
        <v>Excellent</v>
      </c>
      <c r="AA2670" t="str">
        <f>IFERROR(__xludf.DUMMYFUNCTION("""COMPUTED_VALUE"""),"Excellent")</f>
        <v>Excellent</v>
      </c>
      <c r="AB2670" t="str">
        <f>IFERROR(__xludf.DUMMYFUNCTION("""COMPUTED_VALUE"""),"Very Good")</f>
        <v>Very Good</v>
      </c>
      <c r="AF2670" t="str">
        <f>IFERROR(__xludf.DUMMYFUNCTION("""COMPUTED_VALUE"""),"No. I took delivery of the first car Tesla was able to deliver.")</f>
        <v>No. I took delivery of the first car Tesla was able to deliver.</v>
      </c>
      <c r="AH2670" s="189">
        <f>IFERROR(__xludf.DUMMYFUNCTION("""COMPUTED_VALUE"""),44191.88283320602)</f>
        <v>44191.88283</v>
      </c>
    </row>
    <row r="2671">
      <c r="A2671" t="str">
        <f>IFERROR(__xludf.DUMMYFUNCTION("""COMPUTED_VALUE"""),"ddyelon")</f>
        <v>ddyelon</v>
      </c>
      <c r="B2671" t="str">
        <f>IFERROR(__xludf.DUMMYFUNCTION("""COMPUTED_VALUE"""),"San Francisco")</f>
        <v>San Francisco</v>
      </c>
      <c r="C2671" t="str">
        <f>IFERROR(__xludf.DUMMYFUNCTION("""COMPUTED_VALUE"""),"CA")</f>
        <v>CA</v>
      </c>
      <c r="D2671" t="str">
        <f>IFERROR(__xludf.DUMMYFUNCTION("""COMPUTED_VALUE"""),"USA")</f>
        <v>USA</v>
      </c>
      <c r="E2671" s="188">
        <f>IFERROR(__xludf.DUMMYFUNCTION("""COMPUTED_VALUE"""),44164.0)</f>
        <v>44164</v>
      </c>
      <c r="F2671" s="188">
        <f>IFERROR(__xludf.DUMMYFUNCTION("""COMPUTED_VALUE"""),44188.0)</f>
        <v>44188</v>
      </c>
      <c r="G2671" t="str">
        <f>IFERROR(__xludf.DUMMYFUNCTION("""COMPUTED_VALUE"""),"Manage order page (normal text)")</f>
        <v>Manage order page (normal text)</v>
      </c>
      <c r="H2671">
        <f>IFERROR(__xludf.DUMMYFUNCTION("""COMPUTED_VALUE"""),876775.0)</f>
        <v>876775</v>
      </c>
      <c r="J2671" s="5">
        <f>IFERROR(__xludf.DUMMYFUNCTION("""COMPUTED_VALUE"""),44188.0)</f>
        <v>44188</v>
      </c>
      <c r="K2671">
        <f>IFERROR(__xludf.DUMMYFUNCTION("""COMPUTED_VALUE"""),24.0)</f>
        <v>24</v>
      </c>
      <c r="L2671">
        <f>IFERROR(__xludf.DUMMYFUNCTION("""COMPUTED_VALUE"""),0.0)</f>
        <v>0</v>
      </c>
      <c r="M2671">
        <f>IFERROR(__xludf.DUMMYFUNCTION("""COMPUTED_VALUE"""),24.0)</f>
        <v>24</v>
      </c>
      <c r="N2671" t="str">
        <f>IFERROR(__xludf.DUMMYFUNCTION("""COMPUTED_VALUE"""),"Model 3 LR AWD")</f>
        <v>Model 3 LR AWD</v>
      </c>
      <c r="O2671" t="str">
        <f>IFERROR(__xludf.DUMMYFUNCTION("""COMPUTED_VALUE"""),"Solid Black")</f>
        <v>Solid Black</v>
      </c>
      <c r="P2671" t="str">
        <f>IFERROR(__xludf.DUMMYFUNCTION("""COMPUTED_VALUE"""),"18 inch")</f>
        <v>18 inch</v>
      </c>
      <c r="Q2671" t="str">
        <f>IFERROR(__xludf.DUMMYFUNCTION("""COMPUTED_VALUE"""),"All Black")</f>
        <v>All Black</v>
      </c>
      <c r="R2671" t="str">
        <f>IFERROR(__xludf.DUMMYFUNCTION("""COMPUTED_VALUE"""),"Autopilot included")</f>
        <v>Autopilot included</v>
      </c>
      <c r="S2671" t="str">
        <f>IFERROR(__xludf.DUMMYFUNCTION("""COMPUTED_VALUE"""),"Loan")</f>
        <v>Loan</v>
      </c>
      <c r="U2671" t="str">
        <f>IFERROR(__xludf.DUMMYFUNCTION("""COMPUTED_VALUE"""),"Electric!")</f>
        <v>Electric!</v>
      </c>
      <c r="V2671" t="str">
        <f>IFERROR(__xludf.DUMMYFUNCTION("""COMPUTED_VALUE"""),"Blind spot indicators on side mirrors")</f>
        <v>Blind spot indicators on side mirrors</v>
      </c>
      <c r="X2671" t="str">
        <f>IFERROR(__xludf.DUMMYFUNCTION("""COMPUTED_VALUE"""),"Very Good")</f>
        <v>Very Good</v>
      </c>
      <c r="Y2671" t="str">
        <f>IFERROR(__xludf.DUMMYFUNCTION("""COMPUTED_VALUE"""),"Excellent")</f>
        <v>Excellent</v>
      </c>
      <c r="Z2671" t="str">
        <f>IFERROR(__xludf.DUMMYFUNCTION("""COMPUTED_VALUE"""),"Excellent")</f>
        <v>Excellent</v>
      </c>
      <c r="AA2671" t="str">
        <f>IFERROR(__xludf.DUMMYFUNCTION("""COMPUTED_VALUE"""),"Excellent")</f>
        <v>Excellent</v>
      </c>
      <c r="AB2671" t="str">
        <f>IFERROR(__xludf.DUMMYFUNCTION("""COMPUTED_VALUE"""),"Excellent")</f>
        <v>Excellent</v>
      </c>
      <c r="AC2671">
        <f>IFERROR(__xludf.DUMMYFUNCTION("""COMPUTED_VALUE"""),1.0)</f>
        <v>1</v>
      </c>
      <c r="AD2671">
        <f>IFERROR(__xludf.DUMMYFUNCTION("""COMPUTED_VALUE"""),1.0)</f>
        <v>1</v>
      </c>
      <c r="AE2671">
        <f>IFERROR(__xludf.DUMMYFUNCTION("""COMPUTED_VALUE"""),1.0)</f>
        <v>1</v>
      </c>
      <c r="AF2671" t="str">
        <f>IFERROR(__xludf.DUMMYFUNCTION("""COMPUTED_VALUE"""),"No. I took delivery of the first car Tesla was able to deliver.")</f>
        <v>No. I took delivery of the first car Tesla was able to deliver.</v>
      </c>
      <c r="AH2671" s="189">
        <f>IFERROR(__xludf.DUMMYFUNCTION("""COMPUTED_VALUE"""),44203.60816822917)</f>
        <v>44203.60817</v>
      </c>
    </row>
    <row r="2672">
      <c r="A2672" t="str">
        <f>IFERROR(__xludf.DUMMYFUNCTION("""COMPUTED_VALUE"""),"slapshot264 ")</f>
        <v>slapshot264 </v>
      </c>
      <c r="B2672" t="str">
        <f>IFERROR(__xludf.DUMMYFUNCTION("""COMPUTED_VALUE"""),"Forked River ")</f>
        <v>Forked River </v>
      </c>
      <c r="C2672" t="str">
        <f>IFERROR(__xludf.DUMMYFUNCTION("""COMPUTED_VALUE"""),"NJ")</f>
        <v>NJ</v>
      </c>
      <c r="D2672" t="str">
        <f>IFERROR(__xludf.DUMMYFUNCTION("""COMPUTED_VALUE"""),"USA")</f>
        <v>USA</v>
      </c>
      <c r="E2672" s="188">
        <f>IFERROR(__xludf.DUMMYFUNCTION("""COMPUTED_VALUE"""),44100.0)</f>
        <v>44100</v>
      </c>
      <c r="F2672" s="188">
        <f>IFERROR(__xludf.DUMMYFUNCTION("""COMPUTED_VALUE"""),44168.0)</f>
        <v>44168</v>
      </c>
      <c r="G2672" t="str">
        <f>IFERROR(__xludf.DUMMYFUNCTION("""COMPUTED_VALUE"""),"Phone call")</f>
        <v>Phone call</v>
      </c>
      <c r="H2672">
        <f>IFERROR(__xludf.DUMMYFUNCTION("""COMPUTED_VALUE"""),854255.0)</f>
        <v>854255</v>
      </c>
      <c r="I2672" t="str">
        <f>IFERROR(__xludf.DUMMYFUNCTION("""COMPUTED_VALUE"""),"12/20")</f>
        <v>12/20</v>
      </c>
      <c r="J2672" s="5">
        <f>IFERROR(__xludf.DUMMYFUNCTION("""COMPUTED_VALUE"""),44180.0)</f>
        <v>44180</v>
      </c>
      <c r="K2672">
        <f>IFERROR(__xludf.DUMMYFUNCTION("""COMPUTED_VALUE"""),68.0)</f>
        <v>68</v>
      </c>
      <c r="L2672">
        <f>IFERROR(__xludf.DUMMYFUNCTION("""COMPUTED_VALUE"""),12.0)</f>
        <v>12</v>
      </c>
      <c r="M2672">
        <f>IFERROR(__xludf.DUMMYFUNCTION("""COMPUTED_VALUE"""),80.0)</f>
        <v>80</v>
      </c>
      <c r="N2672" t="str">
        <f>IFERROR(__xludf.DUMMYFUNCTION("""COMPUTED_VALUE"""),"Model 3 SR+")</f>
        <v>Model 3 SR+</v>
      </c>
      <c r="O2672" t="str">
        <f>IFERROR(__xludf.DUMMYFUNCTION("""COMPUTED_VALUE"""),"Pearl White Multi-Coat")</f>
        <v>Pearl White Multi-Coat</v>
      </c>
      <c r="P2672" t="str">
        <f>IFERROR(__xludf.DUMMYFUNCTION("""COMPUTED_VALUE"""),"18 inch")</f>
        <v>18 inch</v>
      </c>
      <c r="Q2672" t="str">
        <f>IFERROR(__xludf.DUMMYFUNCTION("""COMPUTED_VALUE"""),"All Black")</f>
        <v>All Black</v>
      </c>
      <c r="R2672" t="str">
        <f>IFERROR(__xludf.DUMMYFUNCTION("""COMPUTED_VALUE"""),"Autopilot included")</f>
        <v>Autopilot included</v>
      </c>
      <c r="S2672" t="str">
        <f>IFERROR(__xludf.DUMMYFUNCTION("""COMPUTED_VALUE"""),"Loan")</f>
        <v>Loan</v>
      </c>
      <c r="U2672" t="str">
        <f>IFERROR(__xludf.DUMMYFUNCTION("""COMPUTED_VALUE"""),"Electric!")</f>
        <v>Electric!</v>
      </c>
      <c r="V2672" t="str">
        <f>IFERROR(__xludf.DUMMYFUNCTION("""COMPUTED_VALUE"""),"Head-up display")</f>
        <v>Head-up display</v>
      </c>
      <c r="X2672" t="str">
        <f>IFERROR(__xludf.DUMMYFUNCTION("""COMPUTED_VALUE"""),"Very Good")</f>
        <v>Very Good</v>
      </c>
      <c r="Y2672" t="str">
        <f>IFERROR(__xludf.DUMMYFUNCTION("""COMPUTED_VALUE"""),"Very Good")</f>
        <v>Very Good</v>
      </c>
      <c r="Z2672" t="str">
        <f>IFERROR(__xludf.DUMMYFUNCTION("""COMPUTED_VALUE"""),"Very Good")</f>
        <v>Very Good</v>
      </c>
      <c r="AA2672" t="str">
        <f>IFERROR(__xludf.DUMMYFUNCTION("""COMPUTED_VALUE"""),"Fair")</f>
        <v>Fair</v>
      </c>
      <c r="AB2672" t="str">
        <f>IFERROR(__xludf.DUMMYFUNCTION("""COMPUTED_VALUE"""),"Very Good")</f>
        <v>Very Good</v>
      </c>
      <c r="AC2672">
        <f>IFERROR(__xludf.DUMMYFUNCTION("""COMPUTED_VALUE"""),0.0)</f>
        <v>0</v>
      </c>
      <c r="AD2672">
        <f>IFERROR(__xludf.DUMMYFUNCTION("""COMPUTED_VALUE"""),0.0)</f>
        <v>0</v>
      </c>
      <c r="AE2672">
        <f>IFERROR(__xludf.DUMMYFUNCTION("""COMPUTED_VALUE"""),0.0)</f>
        <v>0</v>
      </c>
      <c r="AF2672" t="str">
        <f>IFERROR(__xludf.DUMMYFUNCTION("""COMPUTED_VALUE"""),"No. I took delivery of the first car Tesla was able to deliver.")</f>
        <v>No. I took delivery of the first car Tesla was able to deliver.</v>
      </c>
      <c r="AH2672" s="189">
        <f>IFERROR(__xludf.DUMMYFUNCTION("""COMPUTED_VALUE"""),44188.85503777778)</f>
        <v>44188.85504</v>
      </c>
    </row>
    <row r="2673">
      <c r="A2673" t="str">
        <f>IFERROR(__xludf.DUMMYFUNCTION("""COMPUTED_VALUE"""),"MSpicey")</f>
        <v>MSpicey</v>
      </c>
      <c r="B2673" t="str">
        <f>IFERROR(__xludf.DUMMYFUNCTION("""COMPUTED_VALUE"""),"Ashton ")</f>
        <v>Ashton </v>
      </c>
      <c r="C2673" t="str">
        <f>IFERROR(__xludf.DUMMYFUNCTION("""COMPUTED_VALUE"""),"ID")</f>
        <v>ID</v>
      </c>
      <c r="D2673" t="str">
        <f>IFERROR(__xludf.DUMMYFUNCTION("""COMPUTED_VALUE"""),"USA")</f>
        <v>USA</v>
      </c>
      <c r="E2673" s="188">
        <f>IFERROR(__xludf.DUMMYFUNCTION("""COMPUTED_VALUE"""),44139.0)</f>
        <v>44139</v>
      </c>
      <c r="F2673" s="188">
        <f>IFERROR(__xludf.DUMMYFUNCTION("""COMPUTED_VALUE"""),44179.0)</f>
        <v>44179</v>
      </c>
      <c r="G2673" t="str">
        <f>IFERROR(__xludf.DUMMYFUNCTION("""COMPUTED_VALUE"""),"Manage order page (normal text)")</f>
        <v>Manage order page (normal text)</v>
      </c>
      <c r="H2673">
        <f>IFERROR(__xludf.DUMMYFUNCTION("""COMPUTED_VALUE"""),862003.0)</f>
        <v>862003</v>
      </c>
      <c r="I2673" t="str">
        <f>IFERROR(__xludf.DUMMYFUNCTION("""COMPUTED_VALUE"""),"12/20")</f>
        <v>12/20</v>
      </c>
      <c r="J2673" s="5">
        <f>IFERROR(__xludf.DUMMYFUNCTION("""COMPUTED_VALUE"""),44182.0)</f>
        <v>44182</v>
      </c>
      <c r="K2673">
        <f>IFERROR(__xludf.DUMMYFUNCTION("""COMPUTED_VALUE"""),40.0)</f>
        <v>40</v>
      </c>
      <c r="L2673">
        <f>IFERROR(__xludf.DUMMYFUNCTION("""COMPUTED_VALUE"""),3.0)</f>
        <v>3</v>
      </c>
      <c r="M2673">
        <f>IFERROR(__xludf.DUMMYFUNCTION("""COMPUTED_VALUE"""),43.0)</f>
        <v>43</v>
      </c>
      <c r="N2673" t="str">
        <f>IFERROR(__xludf.DUMMYFUNCTION("""COMPUTED_VALUE"""),"Model 3 LR AWD")</f>
        <v>Model 3 LR AWD</v>
      </c>
      <c r="O2673" t="str">
        <f>IFERROR(__xludf.DUMMYFUNCTION("""COMPUTED_VALUE"""),"Midnight Silver Metallic")</f>
        <v>Midnight Silver Metallic</v>
      </c>
      <c r="P2673" t="str">
        <f>IFERROR(__xludf.DUMMYFUNCTION("""COMPUTED_VALUE"""),"18 inch")</f>
        <v>18 inch</v>
      </c>
      <c r="Q2673" t="str">
        <f>IFERROR(__xludf.DUMMYFUNCTION("""COMPUTED_VALUE"""),"All Black")</f>
        <v>All Black</v>
      </c>
      <c r="R2673" t="str">
        <f>IFERROR(__xludf.DUMMYFUNCTION("""COMPUTED_VALUE"""),"Autopilot included")</f>
        <v>Autopilot included</v>
      </c>
      <c r="S2673" t="str">
        <f>IFERROR(__xludf.DUMMYFUNCTION("""COMPUTED_VALUE"""),"Cash")</f>
        <v>Cash</v>
      </c>
      <c r="T2673" t="str">
        <f>IFERROR(__xludf.DUMMYFUNCTION("""COMPUTED_VALUE"""),"2019 Jeep Wrangler Rubicon")</f>
        <v>2019 Jeep Wrangler Rubicon</v>
      </c>
      <c r="U2673" t="str">
        <f>IFERROR(__xludf.DUMMYFUNCTION("""COMPUTED_VALUE"""),"Range and efficiency")</f>
        <v>Range and efficiency</v>
      </c>
      <c r="V2673" t="str">
        <f>IFERROR(__xludf.DUMMYFUNCTION("""COMPUTED_VALUE"""),"Dashboard")</f>
        <v>Dashboard</v>
      </c>
      <c r="W2673" t="str">
        <f>IFERROR(__xludf.DUMMYFUNCTION("""COMPUTED_VALUE"""),"Waiting for a new vehicle sucks. Prepare for very limited communication and to be left in the lurch.")</f>
        <v>Waiting for a new vehicle sucks. Prepare for very limited communication and to be left in the lurch.</v>
      </c>
      <c r="X2673" t="str">
        <f>IFERROR(__xludf.DUMMYFUNCTION("""COMPUTED_VALUE"""),"Excellent")</f>
        <v>Excellent</v>
      </c>
      <c r="Y2673" t="str">
        <f>IFERROR(__xludf.DUMMYFUNCTION("""COMPUTED_VALUE"""),"Excellent")</f>
        <v>Excellent</v>
      </c>
      <c r="Z2673" t="str">
        <f>IFERROR(__xludf.DUMMYFUNCTION("""COMPUTED_VALUE"""),"Excellent")</f>
        <v>Excellent</v>
      </c>
      <c r="AA2673" t="str">
        <f>IFERROR(__xludf.DUMMYFUNCTION("""COMPUTED_VALUE"""),"Poor")</f>
        <v>Poor</v>
      </c>
      <c r="AB2673" t="str">
        <f>IFERROR(__xludf.DUMMYFUNCTION("""COMPUTED_VALUE"""),"Good")</f>
        <v>Good</v>
      </c>
      <c r="AF2673" t="str">
        <f>IFERROR(__xludf.DUMMYFUNCTION("""COMPUTED_VALUE"""),"No. I took delivery of the first car Tesla was able to deliver.")</f>
        <v>No. I took delivery of the first car Tesla was able to deliver.</v>
      </c>
      <c r="AH2673" s="189">
        <f>IFERROR(__xludf.DUMMYFUNCTION("""COMPUTED_VALUE"""),44183.548200000005)</f>
        <v>44183.5482</v>
      </c>
    </row>
    <row r="2674">
      <c r="A2674" t="str">
        <f>IFERROR(__xludf.DUMMYFUNCTION("""COMPUTED_VALUE"""),"Doug_U_AGrave")</f>
        <v>Doug_U_AGrave</v>
      </c>
      <c r="B2674" t="str">
        <f>IFERROR(__xludf.DUMMYFUNCTION("""COMPUTED_VALUE"""),"Roseville")</f>
        <v>Roseville</v>
      </c>
      <c r="C2674" t="str">
        <f>IFERROR(__xludf.DUMMYFUNCTION("""COMPUTED_VALUE"""),"CA")</f>
        <v>CA</v>
      </c>
      <c r="D2674" t="str">
        <f>IFERROR(__xludf.DUMMYFUNCTION("""COMPUTED_VALUE"""),"USA")</f>
        <v>USA</v>
      </c>
      <c r="E2674" s="188">
        <f>IFERROR(__xludf.DUMMYFUNCTION("""COMPUTED_VALUE"""),44126.0)</f>
        <v>44126</v>
      </c>
      <c r="F2674" s="188">
        <f>IFERROR(__xludf.DUMMYFUNCTION("""COMPUTED_VALUE"""),44194.0)</f>
        <v>44194</v>
      </c>
      <c r="G2674" t="str">
        <f>IFERROR(__xludf.DUMMYFUNCTION("""COMPUTED_VALUE"""),"Text message")</f>
        <v>Text message</v>
      </c>
      <c r="H2674">
        <f>IFERROR(__xludf.DUMMYFUNCTION("""COMPUTED_VALUE"""),879355.0)</f>
        <v>879355</v>
      </c>
      <c r="I2674" t="str">
        <f>IFERROR(__xludf.DUMMYFUNCTION("""COMPUTED_VALUE"""),"12/20")</f>
        <v>12/20</v>
      </c>
      <c r="J2674" s="188">
        <f>IFERROR(__xludf.DUMMYFUNCTION("""COMPUTED_VALUE"""),44200.0)</f>
        <v>44200</v>
      </c>
      <c r="K2674">
        <f>IFERROR(__xludf.DUMMYFUNCTION("""COMPUTED_VALUE"""),68.0)</f>
        <v>68</v>
      </c>
      <c r="L2674">
        <f>IFERROR(__xludf.DUMMYFUNCTION("""COMPUTED_VALUE"""),6.0)</f>
        <v>6</v>
      </c>
      <c r="M2674">
        <f>IFERROR(__xludf.DUMMYFUNCTION("""COMPUTED_VALUE"""),74.0)</f>
        <v>74</v>
      </c>
      <c r="N2674" t="str">
        <f>IFERROR(__xludf.DUMMYFUNCTION("""COMPUTED_VALUE"""),"Model 3 Performance")</f>
        <v>Model 3 Performance</v>
      </c>
      <c r="O2674" t="str">
        <f>IFERROR(__xludf.DUMMYFUNCTION("""COMPUTED_VALUE"""),"Pearl White Multi-Coat")</f>
        <v>Pearl White Multi-Coat</v>
      </c>
      <c r="P2674" t="str">
        <f>IFERROR(__xludf.DUMMYFUNCTION("""COMPUTED_VALUE"""),"20 inch")</f>
        <v>20 inch</v>
      </c>
      <c r="Q2674" t="str">
        <f>IFERROR(__xludf.DUMMYFUNCTION("""COMPUTED_VALUE"""),"All Black")</f>
        <v>All Black</v>
      </c>
      <c r="R2674" t="str">
        <f>IFERROR(__xludf.DUMMYFUNCTION("""COMPUTED_VALUE"""),"Full Self-Driving")</f>
        <v>Full Self-Driving</v>
      </c>
      <c r="S2674" t="str">
        <f>IFERROR(__xludf.DUMMYFUNCTION("""COMPUTED_VALUE"""),"Cash")</f>
        <v>Cash</v>
      </c>
      <c r="V2674" t="str">
        <f>IFERROR(__xludf.DUMMYFUNCTION("""COMPUTED_VALUE"""),"Air suspension")</f>
        <v>Air suspension</v>
      </c>
      <c r="X2674" t="str">
        <f>IFERROR(__xludf.DUMMYFUNCTION("""COMPUTED_VALUE"""),"Very Good")</f>
        <v>Very Good</v>
      </c>
      <c r="Y2674" t="str">
        <f>IFERROR(__xludf.DUMMYFUNCTION("""COMPUTED_VALUE"""),"Excellent")</f>
        <v>Excellent</v>
      </c>
      <c r="Z2674" t="str">
        <f>IFERROR(__xludf.DUMMYFUNCTION("""COMPUTED_VALUE"""),"Fair")</f>
        <v>Fair</v>
      </c>
      <c r="AA2674" t="str">
        <f>IFERROR(__xludf.DUMMYFUNCTION("""COMPUTED_VALUE"""),"Poor")</f>
        <v>Poor</v>
      </c>
      <c r="AB2674" t="str">
        <f>IFERROR(__xludf.DUMMYFUNCTION("""COMPUTED_VALUE"""),"Poor")</f>
        <v>Poor</v>
      </c>
      <c r="AC2674">
        <f>IFERROR(__xludf.DUMMYFUNCTION("""COMPUTED_VALUE"""),0.0)</f>
        <v>0</v>
      </c>
      <c r="AD2674">
        <f>IFERROR(__xludf.DUMMYFUNCTION("""COMPUTED_VALUE"""),0.0)</f>
        <v>0</v>
      </c>
      <c r="AE2674">
        <f>IFERROR(__xludf.DUMMYFUNCTION("""COMPUTED_VALUE"""),0.0)</f>
        <v>0</v>
      </c>
      <c r="AF2674" t="str">
        <f>IFERROR(__xludf.DUMMYFUNCTION("""COMPUTED_VALUE"""),"No. I took delivery of the first car Tesla was able to deliver.")</f>
        <v>No. I took delivery of the first car Tesla was able to deliver.</v>
      </c>
      <c r="AH2674" s="189">
        <f>IFERROR(__xludf.DUMMYFUNCTION("""COMPUTED_VALUE"""),44226.035333611115)</f>
        <v>44226.03533</v>
      </c>
    </row>
    <row r="2675">
      <c r="A2675">
        <f>IFERROR(__xludf.DUMMYFUNCTION("""COMPUTED_VALUE"""),42.0)</f>
        <v>42</v>
      </c>
      <c r="B2675" t="str">
        <f>IFERROR(__xludf.DUMMYFUNCTION("""COMPUTED_VALUE"""),"Vancouver")</f>
        <v>Vancouver</v>
      </c>
      <c r="C2675" t="str">
        <f>IFERROR(__xludf.DUMMYFUNCTION("""COMPUTED_VALUE"""),"BC")</f>
        <v>BC</v>
      </c>
      <c r="D2675" t="str">
        <f>IFERROR(__xludf.DUMMYFUNCTION("""COMPUTED_VALUE"""),"Canada")</f>
        <v>Canada</v>
      </c>
      <c r="E2675" s="188">
        <f>IFERROR(__xludf.DUMMYFUNCTION("""COMPUTED_VALUE"""),44162.0)</f>
        <v>44162</v>
      </c>
      <c r="F2675" s="188">
        <f>IFERROR(__xludf.DUMMYFUNCTION("""COMPUTED_VALUE"""),44183.0)</f>
        <v>44183</v>
      </c>
      <c r="G2675" t="str">
        <f>IFERROR(__xludf.DUMMYFUNCTION("""COMPUTED_VALUE"""),"Manage order page (normal text)")</f>
        <v>Manage order page (normal text)</v>
      </c>
      <c r="H2675">
        <f>IFERROR(__xludf.DUMMYFUNCTION("""COMPUTED_VALUE"""),867943.0)</f>
        <v>867943</v>
      </c>
      <c r="I2675" t="str">
        <f>IFERROR(__xludf.DUMMYFUNCTION("""COMPUTED_VALUE"""),"12/20")</f>
        <v>12/20</v>
      </c>
      <c r="J2675" s="188">
        <f>IFERROR(__xludf.DUMMYFUNCTION("""COMPUTED_VALUE"""),44187.0)</f>
        <v>44187</v>
      </c>
      <c r="K2675">
        <f>IFERROR(__xludf.DUMMYFUNCTION("""COMPUTED_VALUE"""),21.0)</f>
        <v>21</v>
      </c>
      <c r="L2675">
        <f>IFERROR(__xludf.DUMMYFUNCTION("""COMPUTED_VALUE"""),4.0)</f>
        <v>4</v>
      </c>
      <c r="M2675">
        <f>IFERROR(__xludf.DUMMYFUNCTION("""COMPUTED_VALUE"""),25.0)</f>
        <v>25</v>
      </c>
      <c r="N2675" t="str">
        <f>IFERROR(__xludf.DUMMYFUNCTION("""COMPUTED_VALUE"""),"Model 3 SR+")</f>
        <v>Model 3 SR+</v>
      </c>
      <c r="O2675" t="str">
        <f>IFERROR(__xludf.DUMMYFUNCTION("""COMPUTED_VALUE"""),"Deep Blue Metallic")</f>
        <v>Deep Blue Metallic</v>
      </c>
      <c r="P2675" t="str">
        <f>IFERROR(__xludf.DUMMYFUNCTION("""COMPUTED_VALUE"""),"18 inch")</f>
        <v>18 inch</v>
      </c>
      <c r="Q2675" t="str">
        <f>IFERROR(__xludf.DUMMYFUNCTION("""COMPUTED_VALUE"""),"All Black")</f>
        <v>All Black</v>
      </c>
      <c r="R2675" t="str">
        <f>IFERROR(__xludf.DUMMYFUNCTION("""COMPUTED_VALUE"""),"Full Self-Driving")</f>
        <v>Full Self-Driving</v>
      </c>
      <c r="S2675" t="str">
        <f>IFERROR(__xludf.DUMMYFUNCTION("""COMPUTED_VALUE"""),"Loan")</f>
        <v>Loan</v>
      </c>
      <c r="T2675" t="str">
        <f>IFERROR(__xludf.DUMMYFUNCTION("""COMPUTED_VALUE"""),"Ford F350")</f>
        <v>Ford F350</v>
      </c>
      <c r="U2675" t="str">
        <f>IFERROR(__xludf.DUMMYFUNCTION("""COMPUTED_VALUE"""),"Electric!")</f>
        <v>Electric!</v>
      </c>
      <c r="V2675" t="str">
        <f>IFERROR(__xludf.DUMMYFUNCTION("""COMPUTED_VALUE"""),"360° Bird's eye view")</f>
        <v>360° Bird's eye view</v>
      </c>
      <c r="X2675" t="str">
        <f>IFERROR(__xludf.DUMMYFUNCTION("""COMPUTED_VALUE"""),"Good")</f>
        <v>Good</v>
      </c>
      <c r="Y2675" t="str">
        <f>IFERROR(__xludf.DUMMYFUNCTION("""COMPUTED_VALUE"""),"Very Good")</f>
        <v>Very Good</v>
      </c>
      <c r="Z2675" t="str">
        <f>IFERROR(__xludf.DUMMYFUNCTION("""COMPUTED_VALUE"""),"Very Good")</f>
        <v>Very Good</v>
      </c>
      <c r="AA2675" t="str">
        <f>IFERROR(__xludf.DUMMYFUNCTION("""COMPUTED_VALUE"""),"Good")</f>
        <v>Good</v>
      </c>
      <c r="AB2675" t="str">
        <f>IFERROR(__xludf.DUMMYFUNCTION("""COMPUTED_VALUE"""),"Very Good")</f>
        <v>Very Good</v>
      </c>
      <c r="AC2675">
        <f>IFERROR(__xludf.DUMMYFUNCTION("""COMPUTED_VALUE"""),2.0)</f>
        <v>2</v>
      </c>
      <c r="AD2675">
        <f>IFERROR(__xludf.DUMMYFUNCTION("""COMPUTED_VALUE"""),2.0)</f>
        <v>2</v>
      </c>
      <c r="AE2675">
        <f>IFERROR(__xludf.DUMMYFUNCTION("""COMPUTED_VALUE"""),0.0)</f>
        <v>0</v>
      </c>
      <c r="AF2675" t="str">
        <f>IFERROR(__xludf.DUMMYFUNCTION("""COMPUTED_VALUE"""),"No. I took delivery of the first car Tesla was able to deliver.")</f>
        <v>No. I took delivery of the first car Tesla was able to deliver.</v>
      </c>
      <c r="AH2675" s="189">
        <f>IFERROR(__xludf.DUMMYFUNCTION("""COMPUTED_VALUE"""),44236.81072173611)</f>
        <v>44236.81072</v>
      </c>
    </row>
    <row r="2676">
      <c r="A2676" t="str">
        <f>IFERROR(__xludf.DUMMYFUNCTION("""COMPUTED_VALUE"""),"Mike S")</f>
        <v>Mike S</v>
      </c>
      <c r="C2676" t="str">
        <f>IFERROR(__xludf.DUMMYFUNCTION("""COMPUTED_VALUE"""),"MD")</f>
        <v>MD</v>
      </c>
      <c r="D2676" t="str">
        <f>IFERROR(__xludf.DUMMYFUNCTION("""COMPUTED_VALUE"""),"USA")</f>
        <v>USA</v>
      </c>
      <c r="E2676" s="188">
        <f>IFERROR(__xludf.DUMMYFUNCTION("""COMPUTED_VALUE"""),44145.0)</f>
        <v>44145</v>
      </c>
      <c r="F2676" s="188">
        <f>IFERROR(__xludf.DUMMYFUNCTION("""COMPUTED_VALUE"""),44167.0)</f>
        <v>44167</v>
      </c>
      <c r="G2676" t="str">
        <f>IFERROR(__xludf.DUMMYFUNCTION("""COMPUTED_VALUE"""),"Manage order page (normal text)")</f>
        <v>Manage order page (normal text)</v>
      </c>
      <c r="I2676" t="str">
        <f>IFERROR(__xludf.DUMMYFUNCTION("""COMPUTED_VALUE"""),"11/20")</f>
        <v>11/20</v>
      </c>
      <c r="J2676" s="5">
        <f>IFERROR(__xludf.DUMMYFUNCTION("""COMPUTED_VALUE"""),44177.0)</f>
        <v>44177</v>
      </c>
      <c r="K2676">
        <f>IFERROR(__xludf.DUMMYFUNCTION("""COMPUTED_VALUE"""),22.0)</f>
        <v>22</v>
      </c>
      <c r="L2676">
        <f>IFERROR(__xludf.DUMMYFUNCTION("""COMPUTED_VALUE"""),10.0)</f>
        <v>10</v>
      </c>
      <c r="M2676">
        <f>IFERROR(__xludf.DUMMYFUNCTION("""COMPUTED_VALUE"""),32.0)</f>
        <v>32</v>
      </c>
      <c r="N2676" t="str">
        <f>IFERROR(__xludf.DUMMYFUNCTION("""COMPUTED_VALUE"""),"Model 3 SR+")</f>
        <v>Model 3 SR+</v>
      </c>
      <c r="O2676" t="str">
        <f>IFERROR(__xludf.DUMMYFUNCTION("""COMPUTED_VALUE"""),"Deep Blue Metallic")</f>
        <v>Deep Blue Metallic</v>
      </c>
      <c r="P2676" t="str">
        <f>IFERROR(__xludf.DUMMYFUNCTION("""COMPUTED_VALUE"""),"18 inch")</f>
        <v>18 inch</v>
      </c>
      <c r="Q2676" t="str">
        <f>IFERROR(__xludf.DUMMYFUNCTION("""COMPUTED_VALUE"""),"All Black")</f>
        <v>All Black</v>
      </c>
      <c r="U2676" t="str">
        <f>IFERROR(__xludf.DUMMYFUNCTION("""COMPUTED_VALUE"""),"Silent but fast")</f>
        <v>Silent but fast</v>
      </c>
      <c r="V2676" t="str">
        <f>IFERROR(__xludf.DUMMYFUNCTION("""COMPUTED_VALUE"""),"Apple CarPlay / Android Auto / SiriusXM Radio")</f>
        <v>Apple CarPlay / Android Auto / SiriusXM Radio</v>
      </c>
      <c r="X2676" t="str">
        <f>IFERROR(__xludf.DUMMYFUNCTION("""COMPUTED_VALUE"""),"Very Good")</f>
        <v>Very Good</v>
      </c>
      <c r="Y2676" t="str">
        <f>IFERROR(__xludf.DUMMYFUNCTION("""COMPUTED_VALUE"""),"Very Good")</f>
        <v>Very Good</v>
      </c>
      <c r="Z2676" t="str">
        <f>IFERROR(__xludf.DUMMYFUNCTION("""COMPUTED_VALUE"""),"Very Good")</f>
        <v>Very Good</v>
      </c>
      <c r="AA2676" t="str">
        <f>IFERROR(__xludf.DUMMYFUNCTION("""COMPUTED_VALUE"""),"Very Good")</f>
        <v>Very Good</v>
      </c>
      <c r="AB2676" t="str">
        <f>IFERROR(__xludf.DUMMYFUNCTION("""COMPUTED_VALUE"""),"Very Good")</f>
        <v>Very Good</v>
      </c>
      <c r="AF2676" t="str">
        <f>IFERROR(__xludf.DUMMYFUNCTION("""COMPUTED_VALUE"""),"No. I took delivery of the first car Tesla was able to deliver.")</f>
        <v>No. I took delivery of the first car Tesla was able to deliver.</v>
      </c>
      <c r="AH2676" s="189">
        <f>IFERROR(__xludf.DUMMYFUNCTION("""COMPUTED_VALUE"""),44180.3366781713)</f>
        <v>44180.33668</v>
      </c>
    </row>
    <row r="2677">
      <c r="A2677" t="str">
        <f>IFERROR(__xludf.DUMMYFUNCTION("""COMPUTED_VALUE"""),"kilpatds")</f>
        <v>kilpatds</v>
      </c>
      <c r="B2677" t="str">
        <f>IFERROR(__xludf.DUMMYFUNCTION("""COMPUTED_VALUE"""),"Seattle")</f>
        <v>Seattle</v>
      </c>
      <c r="C2677" t="str">
        <f>IFERROR(__xludf.DUMMYFUNCTION("""COMPUTED_VALUE"""),"WA")</f>
        <v>WA</v>
      </c>
      <c r="D2677" t="str">
        <f>IFERROR(__xludf.DUMMYFUNCTION("""COMPUTED_VALUE"""),"USA")</f>
        <v>USA</v>
      </c>
      <c r="E2677" s="188">
        <f>IFERROR(__xludf.DUMMYFUNCTION("""COMPUTED_VALUE"""),44168.0)</f>
        <v>44168</v>
      </c>
      <c r="F2677" s="188">
        <f>IFERROR(__xludf.DUMMYFUNCTION("""COMPUTED_VALUE"""),44270.0)</f>
        <v>44270</v>
      </c>
      <c r="G2677" t="str">
        <f>IFERROR(__xludf.DUMMYFUNCTION("""COMPUTED_VALUE"""),"Manage order page (normal text)")</f>
        <v>Manage order page (normal text)</v>
      </c>
      <c r="H2677">
        <f>IFERROR(__xludf.DUMMYFUNCTION("""COMPUTED_VALUE"""),926022.0)</f>
        <v>926022</v>
      </c>
      <c r="I2677" t="str">
        <f>IFERROR(__xludf.DUMMYFUNCTION("""COMPUTED_VALUE"""),"03/21")</f>
        <v>03/21</v>
      </c>
      <c r="J2677" s="188">
        <f>IFERROR(__xludf.DUMMYFUNCTION("""COMPUTED_VALUE"""),44273.0)</f>
        <v>44273</v>
      </c>
      <c r="K2677">
        <f>IFERROR(__xludf.DUMMYFUNCTION("""COMPUTED_VALUE"""),102.0)</f>
        <v>102</v>
      </c>
      <c r="L2677">
        <f>IFERROR(__xludf.DUMMYFUNCTION("""COMPUTED_VALUE"""),3.0)</f>
        <v>3</v>
      </c>
      <c r="M2677">
        <f>IFERROR(__xludf.DUMMYFUNCTION("""COMPUTED_VALUE"""),105.0)</f>
        <v>105</v>
      </c>
      <c r="N2677" t="str">
        <f>IFERROR(__xludf.DUMMYFUNCTION("""COMPUTED_VALUE"""),"Model 3 Performance")</f>
        <v>Model 3 Performance</v>
      </c>
      <c r="O2677" t="str">
        <f>IFERROR(__xludf.DUMMYFUNCTION("""COMPUTED_VALUE"""),"Midnight Silver Metallic")</f>
        <v>Midnight Silver Metallic</v>
      </c>
      <c r="P2677" t="str">
        <f>IFERROR(__xludf.DUMMYFUNCTION("""COMPUTED_VALUE"""),"20 inch")</f>
        <v>20 inch</v>
      </c>
      <c r="Q2677" t="str">
        <f>IFERROR(__xludf.DUMMYFUNCTION("""COMPUTED_VALUE"""),"All Black")</f>
        <v>All Black</v>
      </c>
      <c r="R2677" t="str">
        <f>IFERROR(__xludf.DUMMYFUNCTION("""COMPUTED_VALUE"""),"Full Self-Driving")</f>
        <v>Full Self-Driving</v>
      </c>
      <c r="S2677" t="str">
        <f>IFERROR(__xludf.DUMMYFUNCTION("""COMPUTED_VALUE"""),"Cash")</f>
        <v>Cash</v>
      </c>
      <c r="T2677" t="str">
        <f>IFERROR(__xludf.DUMMYFUNCTION("""COMPUTED_VALUE"""),"BMW M4")</f>
        <v>BMW M4</v>
      </c>
      <c r="U2677" t="str">
        <f>IFERROR(__xludf.DUMMYFUNCTION("""COMPUTED_VALUE"""),"Electric!")</f>
        <v>Electric!</v>
      </c>
      <c r="V2677" t="str">
        <f>IFERROR(__xludf.DUMMYFUNCTION("""COMPUTED_VALUE"""),"Head-up display")</f>
        <v>Head-up display</v>
      </c>
      <c r="X2677" t="str">
        <f>IFERROR(__xludf.DUMMYFUNCTION("""COMPUTED_VALUE"""),"Very Good")</f>
        <v>Very Good</v>
      </c>
      <c r="Y2677" t="str">
        <f>IFERROR(__xludf.DUMMYFUNCTION("""COMPUTED_VALUE"""),"Very Good")</f>
        <v>Very Good</v>
      </c>
      <c r="Z2677" t="str">
        <f>IFERROR(__xludf.DUMMYFUNCTION("""COMPUTED_VALUE"""),"Very Good")</f>
        <v>Very Good</v>
      </c>
      <c r="AA2677" t="str">
        <f>IFERROR(__xludf.DUMMYFUNCTION("""COMPUTED_VALUE"""),"Poor")</f>
        <v>Poor</v>
      </c>
      <c r="AB2677" t="str">
        <f>IFERROR(__xludf.DUMMYFUNCTION("""COMPUTED_VALUE"""),"Good")</f>
        <v>Good</v>
      </c>
      <c r="AC2677">
        <f>IFERROR(__xludf.DUMMYFUNCTION("""COMPUTED_VALUE"""),2.0)</f>
        <v>2</v>
      </c>
      <c r="AF2677" t="str">
        <f>IFERROR(__xludf.DUMMYFUNCTION("""COMPUTED_VALUE"""),"No. I took delivery of the first car Tesla was able to deliver.")</f>
        <v>No. I took delivery of the first car Tesla was able to deliver.</v>
      </c>
      <c r="AH2677" s="189">
        <f>IFERROR(__xludf.DUMMYFUNCTION("""COMPUTED_VALUE"""),44274.52118928241)</f>
        <v>44274.52119</v>
      </c>
    </row>
    <row r="2678">
      <c r="A2678" t="str">
        <f>IFERROR(__xludf.DUMMYFUNCTION("""COMPUTED_VALUE"""),"EMCCPA")</f>
        <v>EMCCPA</v>
      </c>
      <c r="B2678" t="str">
        <f>IFERROR(__xludf.DUMMYFUNCTION("""COMPUTED_VALUE"""),"Costa Mesa")</f>
        <v>Costa Mesa</v>
      </c>
      <c r="C2678" t="str">
        <f>IFERROR(__xludf.DUMMYFUNCTION("""COMPUTED_VALUE"""),"CA")</f>
        <v>CA</v>
      </c>
      <c r="D2678" t="str">
        <f>IFERROR(__xludf.DUMMYFUNCTION("""COMPUTED_VALUE"""),"USA")</f>
        <v>USA</v>
      </c>
      <c r="E2678" s="188">
        <f>IFERROR(__xludf.DUMMYFUNCTION("""COMPUTED_VALUE"""),44157.0)</f>
        <v>44157</v>
      </c>
      <c r="F2678" s="188">
        <f>IFERROR(__xludf.DUMMYFUNCTION("""COMPUTED_VALUE"""),44186.0)</f>
        <v>44186</v>
      </c>
      <c r="G2678" t="str">
        <f>IFERROR(__xludf.DUMMYFUNCTION("""COMPUTED_VALUE"""),"Email")</f>
        <v>Email</v>
      </c>
      <c r="H2678">
        <f>IFERROR(__xludf.DUMMYFUNCTION("""COMPUTED_VALUE"""),872055.0)</f>
        <v>872055</v>
      </c>
      <c r="I2678" t="str">
        <f>IFERROR(__xludf.DUMMYFUNCTION("""COMPUTED_VALUE"""),"12/20")</f>
        <v>12/20</v>
      </c>
      <c r="J2678" s="5">
        <f>IFERROR(__xludf.DUMMYFUNCTION("""COMPUTED_VALUE"""),44189.0)</f>
        <v>44189</v>
      </c>
      <c r="K2678">
        <f>IFERROR(__xludf.DUMMYFUNCTION("""COMPUTED_VALUE"""),29.0)</f>
        <v>29</v>
      </c>
      <c r="L2678">
        <f>IFERROR(__xludf.DUMMYFUNCTION("""COMPUTED_VALUE"""),3.0)</f>
        <v>3</v>
      </c>
      <c r="M2678">
        <f>IFERROR(__xludf.DUMMYFUNCTION("""COMPUTED_VALUE"""),32.0)</f>
        <v>32</v>
      </c>
      <c r="N2678" t="str">
        <f>IFERROR(__xludf.DUMMYFUNCTION("""COMPUTED_VALUE"""),"Model 3 SR+")</f>
        <v>Model 3 SR+</v>
      </c>
      <c r="O2678" t="str">
        <f>IFERROR(__xludf.DUMMYFUNCTION("""COMPUTED_VALUE"""),"Pearl White Multi-Coat")</f>
        <v>Pearl White Multi-Coat</v>
      </c>
      <c r="P2678" t="str">
        <f>IFERROR(__xludf.DUMMYFUNCTION("""COMPUTED_VALUE"""),"19 inch")</f>
        <v>19 inch</v>
      </c>
      <c r="Q2678" t="str">
        <f>IFERROR(__xludf.DUMMYFUNCTION("""COMPUTED_VALUE"""),"All Black")</f>
        <v>All Black</v>
      </c>
      <c r="R2678" t="str">
        <f>IFERROR(__xludf.DUMMYFUNCTION("""COMPUTED_VALUE"""),"Autopilot included")</f>
        <v>Autopilot included</v>
      </c>
      <c r="S2678" t="str">
        <f>IFERROR(__xludf.DUMMYFUNCTION("""COMPUTED_VALUE"""),"Loan")</f>
        <v>Loan</v>
      </c>
      <c r="T2678" t="str">
        <f>IFERROR(__xludf.DUMMYFUNCTION("""COMPUTED_VALUE"""),"Ford CMax Energi")</f>
        <v>Ford CMax Energi</v>
      </c>
      <c r="U2678" t="str">
        <f>IFERROR(__xludf.DUMMYFUNCTION("""COMPUTED_VALUE"""),"Electric!")</f>
        <v>Electric!</v>
      </c>
      <c r="V2678" t="str">
        <f>IFERROR(__xludf.DUMMYFUNCTION("""COMPUTED_VALUE"""),"Apple CarPlay / Android Auto / SiriusXM Radio")</f>
        <v>Apple CarPlay / Android Auto / SiriusXM Radio</v>
      </c>
      <c r="X2678" t="str">
        <f>IFERROR(__xludf.DUMMYFUNCTION("""COMPUTED_VALUE"""),"Good")</f>
        <v>Good</v>
      </c>
      <c r="Y2678" t="str">
        <f>IFERROR(__xludf.DUMMYFUNCTION("""COMPUTED_VALUE"""),"Excellent")</f>
        <v>Excellent</v>
      </c>
      <c r="Z2678" t="str">
        <f>IFERROR(__xludf.DUMMYFUNCTION("""COMPUTED_VALUE"""),"Very Good")</f>
        <v>Very Good</v>
      </c>
      <c r="AA2678" t="str">
        <f>IFERROR(__xludf.DUMMYFUNCTION("""COMPUTED_VALUE"""),"Good")</f>
        <v>Good</v>
      </c>
      <c r="AB2678" t="str">
        <f>IFERROR(__xludf.DUMMYFUNCTION("""COMPUTED_VALUE"""),"Excellent")</f>
        <v>Excellent</v>
      </c>
      <c r="AC2678">
        <f>IFERROR(__xludf.DUMMYFUNCTION("""COMPUTED_VALUE"""),2.0)</f>
        <v>2</v>
      </c>
      <c r="AD2678">
        <f>IFERROR(__xludf.DUMMYFUNCTION("""COMPUTED_VALUE"""),1.0)</f>
        <v>1</v>
      </c>
      <c r="AF2678" t="str">
        <f>IFERROR(__xludf.DUMMYFUNCTION("""COMPUTED_VALUE"""),"No. I took delivery of the first car Tesla was able to deliver.")</f>
        <v>No. I took delivery of the first car Tesla was able to deliver.</v>
      </c>
      <c r="AH2678" s="189">
        <f>IFERROR(__xludf.DUMMYFUNCTION("""COMPUTED_VALUE"""),44193.3493145949)</f>
        <v>44193.34931</v>
      </c>
    </row>
    <row r="2679">
      <c r="A2679" t="str">
        <f>IFERROR(__xludf.DUMMYFUNCTION("""COMPUTED_VALUE"""),"tdr33")</f>
        <v>tdr33</v>
      </c>
      <c r="B2679" t="str">
        <f>IFERROR(__xludf.DUMMYFUNCTION("""COMPUTED_VALUE"""),"La Jolla")</f>
        <v>La Jolla</v>
      </c>
      <c r="C2679" t="str">
        <f>IFERROR(__xludf.DUMMYFUNCTION("""COMPUTED_VALUE"""),"CA")</f>
        <v>CA</v>
      </c>
      <c r="D2679" t="str">
        <f>IFERROR(__xludf.DUMMYFUNCTION("""COMPUTED_VALUE"""),"USA")</f>
        <v>USA</v>
      </c>
      <c r="E2679" s="188">
        <f>IFERROR(__xludf.DUMMYFUNCTION("""COMPUTED_VALUE"""),44129.0)</f>
        <v>44129</v>
      </c>
      <c r="F2679" s="188">
        <f>IFERROR(__xludf.DUMMYFUNCTION("""COMPUTED_VALUE"""),44179.0)</f>
        <v>44179</v>
      </c>
      <c r="G2679" t="str">
        <f>IFERROR(__xludf.DUMMYFUNCTION("""COMPUTED_VALUE"""),"Manage order page (normal text)")</f>
        <v>Manage order page (normal text)</v>
      </c>
      <c r="H2679">
        <f>IFERROR(__xludf.DUMMYFUNCTION("""COMPUTED_VALUE"""),860855.0)</f>
        <v>860855</v>
      </c>
      <c r="J2679" s="5">
        <f>IFERROR(__xludf.DUMMYFUNCTION("""COMPUTED_VALUE"""),44181.0)</f>
        <v>44181</v>
      </c>
      <c r="K2679">
        <f>IFERROR(__xludf.DUMMYFUNCTION("""COMPUTED_VALUE"""),50.0)</f>
        <v>50</v>
      </c>
      <c r="L2679">
        <f>IFERROR(__xludf.DUMMYFUNCTION("""COMPUTED_VALUE"""),2.0)</f>
        <v>2</v>
      </c>
      <c r="M2679">
        <f>IFERROR(__xludf.DUMMYFUNCTION("""COMPUTED_VALUE"""),52.0)</f>
        <v>52</v>
      </c>
      <c r="N2679" t="str">
        <f>IFERROR(__xludf.DUMMYFUNCTION("""COMPUTED_VALUE"""),"Model 3 Performance")</f>
        <v>Model 3 Performance</v>
      </c>
      <c r="O2679" t="str">
        <f>IFERROR(__xludf.DUMMYFUNCTION("""COMPUTED_VALUE"""),"Midnight Silver Metallic")</f>
        <v>Midnight Silver Metallic</v>
      </c>
      <c r="P2679" t="str">
        <f>IFERROR(__xludf.DUMMYFUNCTION("""COMPUTED_VALUE"""),"20 inch")</f>
        <v>20 inch</v>
      </c>
      <c r="Q2679" t="str">
        <f>IFERROR(__xludf.DUMMYFUNCTION("""COMPUTED_VALUE"""),"Black and White")</f>
        <v>Black and White</v>
      </c>
      <c r="R2679" t="str">
        <f>IFERROR(__xludf.DUMMYFUNCTION("""COMPUTED_VALUE"""),"Full Self-Driving")</f>
        <v>Full Self-Driving</v>
      </c>
      <c r="S2679" t="str">
        <f>IFERROR(__xludf.DUMMYFUNCTION("""COMPUTED_VALUE"""),"Loan")</f>
        <v>Loan</v>
      </c>
      <c r="T2679" t="str">
        <f>IFERROR(__xludf.DUMMYFUNCTION("""COMPUTED_VALUE"""),"Honda Civic")</f>
        <v>Honda Civic</v>
      </c>
      <c r="U2679" t="str">
        <f>IFERROR(__xludf.DUMMYFUNCTION("""COMPUTED_VALUE"""),"Autopilot")</f>
        <v>Autopilot</v>
      </c>
      <c r="V2679" t="str">
        <f>IFERROR(__xludf.DUMMYFUNCTION("""COMPUTED_VALUE"""),"Head-up display")</f>
        <v>Head-up display</v>
      </c>
      <c r="X2679" t="str">
        <f>IFERROR(__xludf.DUMMYFUNCTION("""COMPUTED_VALUE"""),"Very Good")</f>
        <v>Very Good</v>
      </c>
      <c r="Y2679" t="str">
        <f>IFERROR(__xludf.DUMMYFUNCTION("""COMPUTED_VALUE"""),"Good")</f>
        <v>Good</v>
      </c>
      <c r="Z2679" t="str">
        <f>IFERROR(__xludf.DUMMYFUNCTION("""COMPUTED_VALUE"""),"Excellent")</f>
        <v>Excellent</v>
      </c>
      <c r="AA2679" t="str">
        <f>IFERROR(__xludf.DUMMYFUNCTION("""COMPUTED_VALUE"""),"Fair")</f>
        <v>Fair</v>
      </c>
      <c r="AB2679" t="str">
        <f>IFERROR(__xludf.DUMMYFUNCTION("""COMPUTED_VALUE"""),"Fair")</f>
        <v>Fair</v>
      </c>
      <c r="AC2679">
        <f>IFERROR(__xludf.DUMMYFUNCTION("""COMPUTED_VALUE"""),3.0)</f>
        <v>3</v>
      </c>
      <c r="AF2679" t="str">
        <f>IFERROR(__xludf.DUMMYFUNCTION("""COMPUTED_VALUE"""),"No. I took delivery of the first car Tesla was able to deliver.")</f>
        <v>No. I took delivery of the first car Tesla was able to deliver.</v>
      </c>
      <c r="AH2679" s="189">
        <f>IFERROR(__xludf.DUMMYFUNCTION("""COMPUTED_VALUE"""),44184.52004912037)</f>
        <v>44184.52005</v>
      </c>
    </row>
    <row r="2680">
      <c r="A2680" t="str">
        <f>IFERROR(__xludf.DUMMYFUNCTION("""COMPUTED_VALUE"""),"Structural")</f>
        <v>Structural</v>
      </c>
      <c r="B2680" t="str">
        <f>IFERROR(__xludf.DUMMYFUNCTION("""COMPUTED_VALUE"""),"Phoenix")</f>
        <v>Phoenix</v>
      </c>
      <c r="C2680" t="str">
        <f>IFERROR(__xludf.DUMMYFUNCTION("""COMPUTED_VALUE"""),"AZ")</f>
        <v>AZ</v>
      </c>
      <c r="D2680" t="str">
        <f>IFERROR(__xludf.DUMMYFUNCTION("""COMPUTED_VALUE"""),"USA")</f>
        <v>USA</v>
      </c>
      <c r="E2680" s="188">
        <f>IFERROR(__xludf.DUMMYFUNCTION("""COMPUTED_VALUE"""),44120.0)</f>
        <v>44120</v>
      </c>
      <c r="F2680" s="188">
        <f>IFERROR(__xludf.DUMMYFUNCTION("""COMPUTED_VALUE"""),44189.0)</f>
        <v>44189</v>
      </c>
      <c r="G2680" t="str">
        <f>IFERROR(__xludf.DUMMYFUNCTION("""COMPUTED_VALUE"""),"Manage order page (normal text)")</f>
        <v>Manage order page (normal text)</v>
      </c>
      <c r="H2680">
        <f>IFERROR(__xludf.DUMMYFUNCTION("""COMPUTED_VALUE"""),868555.0)</f>
        <v>868555</v>
      </c>
      <c r="I2680" t="str">
        <f>IFERROR(__xludf.DUMMYFUNCTION("""COMPUTED_VALUE"""),"12/20")</f>
        <v>12/20</v>
      </c>
      <c r="J2680" s="5">
        <f>IFERROR(__xludf.DUMMYFUNCTION("""COMPUTED_VALUE"""),44194.0)</f>
        <v>44194</v>
      </c>
      <c r="K2680">
        <f>IFERROR(__xludf.DUMMYFUNCTION("""COMPUTED_VALUE"""),69.0)</f>
        <v>69</v>
      </c>
      <c r="L2680">
        <f>IFERROR(__xludf.DUMMYFUNCTION("""COMPUTED_VALUE"""),5.0)</f>
        <v>5</v>
      </c>
      <c r="M2680">
        <f>IFERROR(__xludf.DUMMYFUNCTION("""COMPUTED_VALUE"""),74.0)</f>
        <v>74</v>
      </c>
      <c r="N2680" t="str">
        <f>IFERROR(__xludf.DUMMYFUNCTION("""COMPUTED_VALUE"""),"Model 3 LR AWD")</f>
        <v>Model 3 LR AWD</v>
      </c>
      <c r="O2680" t="str">
        <f>IFERROR(__xludf.DUMMYFUNCTION("""COMPUTED_VALUE"""),"Midnight Silver Metallic")</f>
        <v>Midnight Silver Metallic</v>
      </c>
      <c r="P2680" t="str">
        <f>IFERROR(__xludf.DUMMYFUNCTION("""COMPUTED_VALUE"""),"18 inch")</f>
        <v>18 inch</v>
      </c>
      <c r="Q2680" t="str">
        <f>IFERROR(__xludf.DUMMYFUNCTION("""COMPUTED_VALUE"""),"Black and White")</f>
        <v>Black and White</v>
      </c>
      <c r="R2680" t="str">
        <f>IFERROR(__xludf.DUMMYFUNCTION("""COMPUTED_VALUE"""),"Full Self-Driving")</f>
        <v>Full Self-Driving</v>
      </c>
      <c r="S2680" t="str">
        <f>IFERROR(__xludf.DUMMYFUNCTION("""COMPUTED_VALUE"""),"Cash")</f>
        <v>Cash</v>
      </c>
      <c r="T2680" t="str">
        <f>IFERROR(__xludf.DUMMYFUNCTION("""COMPUTED_VALUE"""),"GMC Acadia")</f>
        <v>GMC Acadia</v>
      </c>
      <c r="U2680" t="str">
        <f>IFERROR(__xludf.DUMMYFUNCTION("""COMPUTED_VALUE"""),"Autopilot")</f>
        <v>Autopilot</v>
      </c>
      <c r="V2680" t="str">
        <f>IFERROR(__xludf.DUMMYFUNCTION("""COMPUTED_VALUE"""),"Heated steering wheel")</f>
        <v>Heated steering wheel</v>
      </c>
      <c r="X2680" t="str">
        <f>IFERROR(__xludf.DUMMYFUNCTION("""COMPUTED_VALUE"""),"Good")</f>
        <v>Good</v>
      </c>
      <c r="Y2680" t="str">
        <f>IFERROR(__xludf.DUMMYFUNCTION("""COMPUTED_VALUE"""),"Good")</f>
        <v>Good</v>
      </c>
      <c r="Z2680" t="str">
        <f>IFERROR(__xludf.DUMMYFUNCTION("""COMPUTED_VALUE"""),"Very Good")</f>
        <v>Very Good</v>
      </c>
      <c r="AA2680" t="str">
        <f>IFERROR(__xludf.DUMMYFUNCTION("""COMPUTED_VALUE"""),"Poor")</f>
        <v>Poor</v>
      </c>
      <c r="AB2680" t="str">
        <f>IFERROR(__xludf.DUMMYFUNCTION("""COMPUTED_VALUE"""),"Good")</f>
        <v>Good</v>
      </c>
      <c r="AC2680">
        <f>IFERROR(__xludf.DUMMYFUNCTION("""COMPUTED_VALUE"""),3.0)</f>
        <v>3</v>
      </c>
      <c r="AD2680">
        <f>IFERROR(__xludf.DUMMYFUNCTION("""COMPUTED_VALUE"""),1.0)</f>
        <v>1</v>
      </c>
      <c r="AF2680" t="str">
        <f>IFERROR(__xludf.DUMMYFUNCTION("""COMPUTED_VALUE"""),"No. I took delivery of the first car Tesla was able to deliver.")</f>
        <v>No. I took delivery of the first car Tesla was able to deliver.</v>
      </c>
      <c r="AH2680" s="189">
        <f>IFERROR(__xludf.DUMMYFUNCTION("""COMPUTED_VALUE"""),44194.72383841436)</f>
        <v>44194.72384</v>
      </c>
    </row>
    <row r="2681">
      <c r="A2681" t="str">
        <f>IFERROR(__xludf.DUMMYFUNCTION("""COMPUTED_VALUE"""),"Capital AL")</f>
        <v>Capital AL</v>
      </c>
      <c r="C2681" t="str">
        <f>IFERROR(__xludf.DUMMYFUNCTION("""COMPUTED_VALUE"""),"IL")</f>
        <v>IL</v>
      </c>
      <c r="D2681" t="str">
        <f>IFERROR(__xludf.DUMMYFUNCTION("""COMPUTED_VALUE"""),"USA")</f>
        <v>USA</v>
      </c>
      <c r="E2681" s="188">
        <f>IFERROR(__xludf.DUMMYFUNCTION("""COMPUTED_VALUE"""),44057.0)</f>
        <v>44057</v>
      </c>
      <c r="G2681" t="str">
        <f>IFERROR(__xludf.DUMMYFUNCTION("""COMPUTED_VALUE"""),"Manage order page (normal text)")</f>
        <v>Manage order page (normal text)</v>
      </c>
      <c r="H2681">
        <f>IFERROR(__xludf.DUMMYFUNCTION("""COMPUTED_VALUE"""),791655.0)</f>
        <v>791655</v>
      </c>
      <c r="I2681" t="str">
        <f>IFERROR(__xludf.DUMMYFUNCTION("""COMPUTED_VALUE"""),"09/20")</f>
        <v>09/20</v>
      </c>
      <c r="J2681" s="5">
        <f>IFERROR(__xludf.DUMMYFUNCTION("""COMPUTED_VALUE"""),44091.0)</f>
        <v>44091</v>
      </c>
      <c r="M2681">
        <f>IFERROR(__xludf.DUMMYFUNCTION("""COMPUTED_VALUE"""),34.0)</f>
        <v>34</v>
      </c>
      <c r="N2681" t="str">
        <f>IFERROR(__xludf.DUMMYFUNCTION("""COMPUTED_VALUE"""),"Model 3 Performance")</f>
        <v>Model 3 Performance</v>
      </c>
      <c r="O2681" t="str">
        <f>IFERROR(__xludf.DUMMYFUNCTION("""COMPUTED_VALUE"""),"Midnight Silver Metallic")</f>
        <v>Midnight Silver Metallic</v>
      </c>
      <c r="P2681" t="str">
        <f>IFERROR(__xludf.DUMMYFUNCTION("""COMPUTED_VALUE"""),"20 inch")</f>
        <v>20 inch</v>
      </c>
      <c r="Q2681" t="str">
        <f>IFERROR(__xludf.DUMMYFUNCTION("""COMPUTED_VALUE"""),"All Black")</f>
        <v>All Black</v>
      </c>
      <c r="R2681" t="str">
        <f>IFERROR(__xludf.DUMMYFUNCTION("""COMPUTED_VALUE"""),"Full Self-Driving")</f>
        <v>Full Self-Driving</v>
      </c>
      <c r="S2681" t="str">
        <f>IFERROR(__xludf.DUMMYFUNCTION("""COMPUTED_VALUE"""),"Cash")</f>
        <v>Cash</v>
      </c>
      <c r="T2681" t="str">
        <f>IFERROR(__xludf.DUMMYFUNCTION("""COMPUTED_VALUE"""),"Jaguar F-Pace ")</f>
        <v>Jaguar F-Pace </v>
      </c>
      <c r="U2681" t="str">
        <f>IFERROR(__xludf.DUMMYFUNCTION("""COMPUTED_VALUE"""),"Autopilot")</f>
        <v>Autopilot</v>
      </c>
      <c r="V2681" t="str">
        <f>IFERROR(__xludf.DUMMYFUNCTION("""COMPUTED_VALUE"""),"Ventilated seats")</f>
        <v>Ventilated seats</v>
      </c>
      <c r="X2681" t="str">
        <f>IFERROR(__xludf.DUMMYFUNCTION("""COMPUTED_VALUE"""),"Good")</f>
        <v>Good</v>
      </c>
      <c r="Y2681" t="str">
        <f>IFERROR(__xludf.DUMMYFUNCTION("""COMPUTED_VALUE"""),"Very Good")</f>
        <v>Very Good</v>
      </c>
      <c r="Z2681" t="str">
        <f>IFERROR(__xludf.DUMMYFUNCTION("""COMPUTED_VALUE"""),"Good")</f>
        <v>Good</v>
      </c>
      <c r="AA2681" t="str">
        <f>IFERROR(__xludf.DUMMYFUNCTION("""COMPUTED_VALUE"""),"Fair")</f>
        <v>Fair</v>
      </c>
      <c r="AB2681" t="str">
        <f>IFERROR(__xludf.DUMMYFUNCTION("""COMPUTED_VALUE"""),"Good")</f>
        <v>Good</v>
      </c>
      <c r="AC2681">
        <f>IFERROR(__xludf.DUMMYFUNCTION("""COMPUTED_VALUE"""),2.0)</f>
        <v>2</v>
      </c>
      <c r="AD2681">
        <f>IFERROR(__xludf.DUMMYFUNCTION("""COMPUTED_VALUE"""),2.0)</f>
        <v>2</v>
      </c>
      <c r="AE2681">
        <f>IFERROR(__xludf.DUMMYFUNCTION("""COMPUTED_VALUE"""),1.0)</f>
        <v>1</v>
      </c>
      <c r="AF2681" t="str">
        <f>IFERROR(__xludf.DUMMYFUNCTION("""COMPUTED_VALUE"""),"No. I took delivery of the first car Tesla was able to deliver.")</f>
        <v>No. I took delivery of the first car Tesla was able to deliver.</v>
      </c>
      <c r="AH2681" s="189">
        <f>IFERROR(__xludf.DUMMYFUNCTION("""COMPUTED_VALUE"""),44190.72594862268)</f>
        <v>44190.72595</v>
      </c>
    </row>
    <row r="2682">
      <c r="A2682" t="str">
        <f>IFERROR(__xludf.DUMMYFUNCTION("""COMPUTED_VALUE"""),"Bigbenb84")</f>
        <v>Bigbenb84</v>
      </c>
      <c r="B2682" t="str">
        <f>IFERROR(__xludf.DUMMYFUNCTION("""COMPUTED_VALUE"""),"Pensacola")</f>
        <v>Pensacola</v>
      </c>
      <c r="C2682" t="str">
        <f>IFERROR(__xludf.DUMMYFUNCTION("""COMPUTED_VALUE"""),"FL")</f>
        <v>FL</v>
      </c>
      <c r="D2682" t="str">
        <f>IFERROR(__xludf.DUMMYFUNCTION("""COMPUTED_VALUE"""),"USA")</f>
        <v>USA</v>
      </c>
      <c r="E2682" s="188">
        <f>IFERROR(__xludf.DUMMYFUNCTION("""COMPUTED_VALUE"""),44170.0)</f>
        <v>44170</v>
      </c>
      <c r="F2682" s="188">
        <f>IFERROR(__xludf.DUMMYFUNCTION("""COMPUTED_VALUE"""),44191.0)</f>
        <v>44191</v>
      </c>
      <c r="G2682" t="str">
        <f>IFERROR(__xludf.DUMMYFUNCTION("""COMPUTED_VALUE"""),"Manage order page (normal text)")</f>
        <v>Manage order page (normal text)</v>
      </c>
      <c r="H2682">
        <f>IFERROR(__xludf.DUMMYFUNCTION("""COMPUTED_VALUE"""),850655.0)</f>
        <v>850655</v>
      </c>
      <c r="I2682" t="str">
        <f>IFERROR(__xludf.DUMMYFUNCTION("""COMPUTED_VALUE"""),"11/20")</f>
        <v>11/20</v>
      </c>
      <c r="J2682" s="5">
        <f>IFERROR(__xludf.DUMMYFUNCTION("""COMPUTED_VALUE"""),44194.0)</f>
        <v>44194</v>
      </c>
      <c r="K2682">
        <f>IFERROR(__xludf.DUMMYFUNCTION("""COMPUTED_VALUE"""),21.0)</f>
        <v>21</v>
      </c>
      <c r="L2682">
        <f>IFERROR(__xludf.DUMMYFUNCTION("""COMPUTED_VALUE"""),3.0)</f>
        <v>3</v>
      </c>
      <c r="M2682">
        <f>IFERROR(__xludf.DUMMYFUNCTION("""COMPUTED_VALUE"""),24.0)</f>
        <v>24</v>
      </c>
      <c r="N2682" t="str">
        <f>IFERROR(__xludf.DUMMYFUNCTION("""COMPUTED_VALUE"""),"Model 3 Performance")</f>
        <v>Model 3 Performance</v>
      </c>
      <c r="O2682" t="str">
        <f>IFERROR(__xludf.DUMMYFUNCTION("""COMPUTED_VALUE"""),"Red Multi-Coat")</f>
        <v>Red Multi-Coat</v>
      </c>
      <c r="P2682" t="str">
        <f>IFERROR(__xludf.DUMMYFUNCTION("""COMPUTED_VALUE"""),"20 inch")</f>
        <v>20 inch</v>
      </c>
      <c r="Q2682" t="str">
        <f>IFERROR(__xludf.DUMMYFUNCTION("""COMPUTED_VALUE"""),"Black and White")</f>
        <v>Black and White</v>
      </c>
      <c r="R2682" t="str">
        <f>IFERROR(__xludf.DUMMYFUNCTION("""COMPUTED_VALUE"""),"Autopilot included")</f>
        <v>Autopilot included</v>
      </c>
      <c r="S2682" t="str">
        <f>IFERROR(__xludf.DUMMYFUNCTION("""COMPUTED_VALUE"""),"Loan")</f>
        <v>Loan</v>
      </c>
      <c r="T2682" t="str">
        <f>IFERROR(__xludf.DUMMYFUNCTION("""COMPUTED_VALUE"""),"Alfa Romeo Giulia ")</f>
        <v>Alfa Romeo Giulia </v>
      </c>
      <c r="U2682" t="str">
        <f>IFERROR(__xludf.DUMMYFUNCTION("""COMPUTED_VALUE"""),"Electric!")</f>
        <v>Electric!</v>
      </c>
      <c r="V2682" t="str">
        <f>IFERROR(__xludf.DUMMYFUNCTION("""COMPUTED_VALUE"""),"Head-up display")</f>
        <v>Head-up display</v>
      </c>
      <c r="X2682" t="str">
        <f>IFERROR(__xludf.DUMMYFUNCTION("""COMPUTED_VALUE"""),"Very Good")</f>
        <v>Very Good</v>
      </c>
      <c r="Y2682" t="str">
        <f>IFERROR(__xludf.DUMMYFUNCTION("""COMPUTED_VALUE"""),"Very Good")</f>
        <v>Very Good</v>
      </c>
      <c r="Z2682" t="str">
        <f>IFERROR(__xludf.DUMMYFUNCTION("""COMPUTED_VALUE"""),"Very Good")</f>
        <v>Very Good</v>
      </c>
      <c r="AA2682" t="str">
        <f>IFERROR(__xludf.DUMMYFUNCTION("""COMPUTED_VALUE"""),"Fair")</f>
        <v>Fair</v>
      </c>
      <c r="AB2682" t="str">
        <f>IFERROR(__xludf.DUMMYFUNCTION("""COMPUTED_VALUE"""),"Good")</f>
        <v>Good</v>
      </c>
      <c r="AC2682">
        <f>IFERROR(__xludf.DUMMYFUNCTION("""COMPUTED_VALUE"""),0.0)</f>
        <v>0</v>
      </c>
      <c r="AD2682">
        <f>IFERROR(__xludf.DUMMYFUNCTION("""COMPUTED_VALUE"""),0.0)</f>
        <v>0</v>
      </c>
      <c r="AE2682">
        <f>IFERROR(__xludf.DUMMYFUNCTION("""COMPUTED_VALUE"""),0.0)</f>
        <v>0</v>
      </c>
      <c r="AF2682" t="str">
        <f>IFERROR(__xludf.DUMMYFUNCTION("""COMPUTED_VALUE"""),"No. I took delivery of the first car Tesla was able to deliver.")</f>
        <v>No. I took delivery of the first car Tesla was able to deliver.</v>
      </c>
      <c r="AH2682" s="189">
        <f>IFERROR(__xludf.DUMMYFUNCTION("""COMPUTED_VALUE"""),44201.93704664352)</f>
        <v>44201.93705</v>
      </c>
    </row>
    <row r="2683">
      <c r="A2683" t="str">
        <f>IFERROR(__xludf.DUMMYFUNCTION("""COMPUTED_VALUE"""),"RSicks")</f>
        <v>RSicks</v>
      </c>
      <c r="B2683" t="str">
        <f>IFERROR(__xludf.DUMMYFUNCTION("""COMPUTED_VALUE"""),"Napa")</f>
        <v>Napa</v>
      </c>
      <c r="C2683" t="str">
        <f>IFERROR(__xludf.DUMMYFUNCTION("""COMPUTED_VALUE"""),"CA")</f>
        <v>CA</v>
      </c>
      <c r="D2683" t="str">
        <f>IFERROR(__xludf.DUMMYFUNCTION("""COMPUTED_VALUE"""),"USA")</f>
        <v>USA</v>
      </c>
      <c r="E2683" s="188">
        <f>IFERROR(__xludf.DUMMYFUNCTION("""COMPUTED_VALUE"""),44186.0)</f>
        <v>44186</v>
      </c>
      <c r="F2683" s="188">
        <f>IFERROR(__xludf.DUMMYFUNCTION("""COMPUTED_VALUE"""),44270.0)</f>
        <v>44270</v>
      </c>
      <c r="G2683" t="str">
        <f>IFERROR(__xludf.DUMMYFUNCTION("""COMPUTED_VALUE"""),"Manage order page (normal text)")</f>
        <v>Manage order page (normal text)</v>
      </c>
      <c r="H2683">
        <f>IFERROR(__xludf.DUMMYFUNCTION("""COMPUTED_VALUE"""),926055.0)</f>
        <v>926055</v>
      </c>
      <c r="J2683" s="188">
        <f>IFERROR(__xludf.DUMMYFUNCTION("""COMPUTED_VALUE"""),44271.0)</f>
        <v>44271</v>
      </c>
      <c r="K2683">
        <f>IFERROR(__xludf.DUMMYFUNCTION("""COMPUTED_VALUE"""),84.0)</f>
        <v>84</v>
      </c>
      <c r="L2683">
        <f>IFERROR(__xludf.DUMMYFUNCTION("""COMPUTED_VALUE"""),1.0)</f>
        <v>1</v>
      </c>
      <c r="M2683">
        <f>IFERROR(__xludf.DUMMYFUNCTION("""COMPUTED_VALUE"""),85.0)</f>
        <v>85</v>
      </c>
      <c r="N2683" t="str">
        <f>IFERROR(__xludf.DUMMYFUNCTION("""COMPUTED_VALUE"""),"Model 3 Performance")</f>
        <v>Model 3 Performance</v>
      </c>
      <c r="O2683" t="str">
        <f>IFERROR(__xludf.DUMMYFUNCTION("""COMPUTED_VALUE"""),"Midnight Silver Metallic")</f>
        <v>Midnight Silver Metallic</v>
      </c>
      <c r="P2683" t="str">
        <f>IFERROR(__xludf.DUMMYFUNCTION("""COMPUTED_VALUE"""),"20 inch")</f>
        <v>20 inch</v>
      </c>
      <c r="Q2683" t="str">
        <f>IFERROR(__xludf.DUMMYFUNCTION("""COMPUTED_VALUE"""),"All Black")</f>
        <v>All Black</v>
      </c>
      <c r="R2683" t="str">
        <f>IFERROR(__xludf.DUMMYFUNCTION("""COMPUTED_VALUE"""),"Autopilot included")</f>
        <v>Autopilot included</v>
      </c>
      <c r="S2683" t="str">
        <f>IFERROR(__xludf.DUMMYFUNCTION("""COMPUTED_VALUE"""),"Loan")</f>
        <v>Loan</v>
      </c>
      <c r="T2683" t="str">
        <f>IFERROR(__xludf.DUMMYFUNCTION("""COMPUTED_VALUE"""),"BMW 4 Series")</f>
        <v>BMW 4 Series</v>
      </c>
      <c r="V2683" t="str">
        <f>IFERROR(__xludf.DUMMYFUNCTION("""COMPUTED_VALUE"""),"HomeLink")</f>
        <v>HomeLink</v>
      </c>
      <c r="X2683" t="str">
        <f>IFERROR(__xludf.DUMMYFUNCTION("""COMPUTED_VALUE"""),"Excellent")</f>
        <v>Excellent</v>
      </c>
      <c r="Y2683" t="str">
        <f>IFERROR(__xludf.DUMMYFUNCTION("""COMPUTED_VALUE"""),"Excellent")</f>
        <v>Excellent</v>
      </c>
      <c r="Z2683" t="str">
        <f>IFERROR(__xludf.DUMMYFUNCTION("""COMPUTED_VALUE"""),"Very Good")</f>
        <v>Very Good</v>
      </c>
      <c r="AA2683" t="str">
        <f>IFERROR(__xludf.DUMMYFUNCTION("""COMPUTED_VALUE"""),"Excellent")</f>
        <v>Excellent</v>
      </c>
      <c r="AB2683" t="str">
        <f>IFERROR(__xludf.DUMMYFUNCTION("""COMPUTED_VALUE"""),"Excellent")</f>
        <v>Excellent</v>
      </c>
      <c r="AF2683" t="str">
        <f>IFERROR(__xludf.DUMMYFUNCTION("""COMPUTED_VALUE"""),"No. I took delivery of the first car Tesla was able to deliver.")</f>
        <v>No. I took delivery of the first car Tesla was able to deliver.</v>
      </c>
      <c r="AH2683" s="189">
        <f>IFERROR(__xludf.DUMMYFUNCTION("""COMPUTED_VALUE"""),44271.87845693287)</f>
        <v>44271.87846</v>
      </c>
    </row>
    <row r="2684">
      <c r="A2684" t="str">
        <f>IFERROR(__xludf.DUMMYFUNCTION("""COMPUTED_VALUE"""),"Dee333")</f>
        <v>Dee333</v>
      </c>
      <c r="B2684" t="str">
        <f>IFERROR(__xludf.DUMMYFUNCTION("""COMPUTED_VALUE"""),"VA Beach")</f>
        <v>VA Beach</v>
      </c>
      <c r="C2684" t="str">
        <f>IFERROR(__xludf.DUMMYFUNCTION("""COMPUTED_VALUE"""),"VA")</f>
        <v>VA</v>
      </c>
      <c r="D2684" t="str">
        <f>IFERROR(__xludf.DUMMYFUNCTION("""COMPUTED_VALUE"""),"USA")</f>
        <v>USA</v>
      </c>
      <c r="E2684" s="188">
        <f>IFERROR(__xludf.DUMMYFUNCTION("""COMPUTED_VALUE"""),44206.0)</f>
        <v>44206</v>
      </c>
      <c r="F2684" s="188">
        <f>IFERROR(__xludf.DUMMYFUNCTION("""COMPUTED_VALUE"""),44269.0)</f>
        <v>44269</v>
      </c>
      <c r="G2684" t="str">
        <f>IFERROR(__xludf.DUMMYFUNCTION("""COMPUTED_VALUE"""),"Email")</f>
        <v>Email</v>
      </c>
      <c r="H2684">
        <f>IFERROR(__xludf.DUMMYFUNCTION("""COMPUTED_VALUE"""),914655.0)</f>
        <v>914655</v>
      </c>
      <c r="I2684" t="str">
        <f>IFERROR(__xludf.DUMMYFUNCTION("""COMPUTED_VALUE"""),"03/21")</f>
        <v>03/21</v>
      </c>
      <c r="J2684" s="188">
        <f>IFERROR(__xludf.DUMMYFUNCTION("""COMPUTED_VALUE"""),44282.0)</f>
        <v>44282</v>
      </c>
      <c r="K2684">
        <f>IFERROR(__xludf.DUMMYFUNCTION("""COMPUTED_VALUE"""),63.0)</f>
        <v>63</v>
      </c>
      <c r="L2684">
        <f>IFERROR(__xludf.DUMMYFUNCTION("""COMPUTED_VALUE"""),13.0)</f>
        <v>13</v>
      </c>
      <c r="M2684">
        <f>IFERROR(__xludf.DUMMYFUNCTION("""COMPUTED_VALUE"""),76.0)</f>
        <v>76</v>
      </c>
      <c r="N2684" t="str">
        <f>IFERROR(__xludf.DUMMYFUNCTION("""COMPUTED_VALUE"""),"Model 3 Performance")</f>
        <v>Model 3 Performance</v>
      </c>
      <c r="O2684" t="str">
        <f>IFERROR(__xludf.DUMMYFUNCTION("""COMPUTED_VALUE"""),"Deep Blue Metallic")</f>
        <v>Deep Blue Metallic</v>
      </c>
      <c r="P2684" t="str">
        <f>IFERROR(__xludf.DUMMYFUNCTION("""COMPUTED_VALUE"""),"20 inch")</f>
        <v>20 inch</v>
      </c>
      <c r="Q2684" t="str">
        <f>IFERROR(__xludf.DUMMYFUNCTION("""COMPUTED_VALUE"""),"Black and White")</f>
        <v>Black and White</v>
      </c>
      <c r="R2684" t="str">
        <f>IFERROR(__xludf.DUMMYFUNCTION("""COMPUTED_VALUE"""),"Autopilot included")</f>
        <v>Autopilot included</v>
      </c>
      <c r="S2684" t="str">
        <f>IFERROR(__xludf.DUMMYFUNCTION("""COMPUTED_VALUE"""),"Loan")</f>
        <v>Loan</v>
      </c>
      <c r="T2684" t="str">
        <f>IFERROR(__xludf.DUMMYFUNCTION("""COMPUTED_VALUE"""),"Audi A5")</f>
        <v>Audi A5</v>
      </c>
      <c r="U2684" t="str">
        <f>IFERROR(__xludf.DUMMYFUNCTION("""COMPUTED_VALUE"""),"Electric!")</f>
        <v>Electric!</v>
      </c>
      <c r="V2684" t="str">
        <f>IFERROR(__xludf.DUMMYFUNCTION("""COMPUTED_VALUE"""),"Apple CarPlay / Android Auto / SiriusXM Radio")</f>
        <v>Apple CarPlay / Android Auto / SiriusXM Radio</v>
      </c>
      <c r="W2684" t="str">
        <f>IFERROR(__xludf.DUMMYFUNCTION("""COMPUTED_VALUE"""),"Don’t expect perfection in a car that is man-made. ")</f>
        <v>Don’t expect perfection in a car that is man-made. </v>
      </c>
      <c r="X2684" t="str">
        <f>IFERROR(__xludf.DUMMYFUNCTION("""COMPUTED_VALUE"""),"Excellent")</f>
        <v>Excellent</v>
      </c>
      <c r="Y2684" t="str">
        <f>IFERROR(__xludf.DUMMYFUNCTION("""COMPUTED_VALUE"""),"Excellent")</f>
        <v>Excellent</v>
      </c>
      <c r="Z2684" t="str">
        <f>IFERROR(__xludf.DUMMYFUNCTION("""COMPUTED_VALUE"""),"Very Good")</f>
        <v>Very Good</v>
      </c>
      <c r="AA2684" t="str">
        <f>IFERROR(__xludf.DUMMYFUNCTION("""COMPUTED_VALUE"""),"Excellent")</f>
        <v>Excellent</v>
      </c>
      <c r="AB2684" t="str">
        <f>IFERROR(__xludf.DUMMYFUNCTION("""COMPUTED_VALUE"""),"Excellent")</f>
        <v>Excellent</v>
      </c>
      <c r="AF2684" t="str">
        <f>IFERROR(__xludf.DUMMYFUNCTION("""COMPUTED_VALUE"""),"No. I took delivery of the first car Tesla was able to deliver.")</f>
        <v>No. I took delivery of the first car Tesla was able to deliver.</v>
      </c>
      <c r="AH2684" s="189">
        <f>IFERROR(__xludf.DUMMYFUNCTION("""COMPUTED_VALUE"""),44283.22208532407)</f>
        <v>44283.22209</v>
      </c>
    </row>
    <row r="2685">
      <c r="A2685" t="str">
        <f>IFERROR(__xludf.DUMMYFUNCTION("""COMPUTED_VALUE"""),"Badranch")</f>
        <v>Badranch</v>
      </c>
      <c r="B2685" t="str">
        <f>IFERROR(__xludf.DUMMYFUNCTION("""COMPUTED_VALUE"""),"Baton Rouge")</f>
        <v>Baton Rouge</v>
      </c>
      <c r="C2685" t="str">
        <f>IFERROR(__xludf.DUMMYFUNCTION("""COMPUTED_VALUE"""),"LA")</f>
        <v>LA</v>
      </c>
      <c r="D2685" t="str">
        <f>IFERROR(__xludf.DUMMYFUNCTION("""COMPUTED_VALUE"""),"USA")</f>
        <v>USA</v>
      </c>
      <c r="E2685" s="188">
        <f>IFERROR(__xludf.DUMMYFUNCTION("""COMPUTED_VALUE"""),44204.0)</f>
        <v>44204</v>
      </c>
      <c r="F2685" s="188">
        <f>IFERROR(__xludf.DUMMYFUNCTION("""COMPUTED_VALUE"""),44233.0)</f>
        <v>44233</v>
      </c>
      <c r="G2685" t="str">
        <f>IFERROR(__xludf.DUMMYFUNCTION("""COMPUTED_VALUE"""),"Email")</f>
        <v>Email</v>
      </c>
      <c r="H2685">
        <f>IFERROR(__xludf.DUMMYFUNCTION("""COMPUTED_VALUE"""),902655.0)</f>
        <v>902655</v>
      </c>
      <c r="J2685" s="188">
        <f>IFERROR(__xludf.DUMMYFUNCTION("""COMPUTED_VALUE"""),43905.0)</f>
        <v>43905</v>
      </c>
      <c r="K2685">
        <f>IFERROR(__xludf.DUMMYFUNCTION("""COMPUTED_VALUE"""),29.0)</f>
        <v>29</v>
      </c>
      <c r="N2685" t="str">
        <f>IFERROR(__xludf.DUMMYFUNCTION("""COMPUTED_VALUE"""),"Model 3 LR AWD")</f>
        <v>Model 3 LR AWD</v>
      </c>
      <c r="O2685" t="str">
        <f>IFERROR(__xludf.DUMMYFUNCTION("""COMPUTED_VALUE"""),"Solid Black")</f>
        <v>Solid Black</v>
      </c>
      <c r="P2685" t="str">
        <f>IFERROR(__xludf.DUMMYFUNCTION("""COMPUTED_VALUE"""),"18 inch")</f>
        <v>18 inch</v>
      </c>
      <c r="Q2685" t="str">
        <f>IFERROR(__xludf.DUMMYFUNCTION("""COMPUTED_VALUE"""),"All Black")</f>
        <v>All Black</v>
      </c>
      <c r="R2685" t="str">
        <f>IFERROR(__xludf.DUMMYFUNCTION("""COMPUTED_VALUE"""),"Full Self-Driving")</f>
        <v>Full Self-Driving</v>
      </c>
      <c r="S2685" t="str">
        <f>IFERROR(__xludf.DUMMYFUNCTION("""COMPUTED_VALUE"""),"Loan")</f>
        <v>Loan</v>
      </c>
      <c r="T2685" t="str">
        <f>IFERROR(__xludf.DUMMYFUNCTION("""COMPUTED_VALUE"""),"Toyota Camry")</f>
        <v>Toyota Camry</v>
      </c>
      <c r="U2685" t="str">
        <f>IFERROR(__xludf.DUMMYFUNCTION("""COMPUTED_VALUE"""),"Electric!")</f>
        <v>Electric!</v>
      </c>
      <c r="V2685" t="str">
        <f>IFERROR(__xludf.DUMMYFUNCTION("""COMPUTED_VALUE"""),"Blind spot indicators on side mirrors")</f>
        <v>Blind spot indicators on side mirrors</v>
      </c>
      <c r="X2685" t="str">
        <f>IFERROR(__xludf.DUMMYFUNCTION("""COMPUTED_VALUE"""),"Excellent")</f>
        <v>Excellent</v>
      </c>
      <c r="Y2685" t="str">
        <f>IFERROR(__xludf.DUMMYFUNCTION("""COMPUTED_VALUE"""),"Good")</f>
        <v>Good</v>
      </c>
      <c r="Z2685" t="str">
        <f>IFERROR(__xludf.DUMMYFUNCTION("""COMPUTED_VALUE"""),"Good")</f>
        <v>Good</v>
      </c>
      <c r="AA2685" t="str">
        <f>IFERROR(__xludf.DUMMYFUNCTION("""COMPUTED_VALUE"""),"Poor")</f>
        <v>Poor</v>
      </c>
      <c r="AB2685" t="str">
        <f>IFERROR(__xludf.DUMMYFUNCTION("""COMPUTED_VALUE"""),"Poor")</f>
        <v>Poor</v>
      </c>
      <c r="AC2685">
        <f>IFERROR(__xludf.DUMMYFUNCTION("""COMPUTED_VALUE"""),3.0)</f>
        <v>3</v>
      </c>
      <c r="AD2685">
        <f>IFERROR(__xludf.DUMMYFUNCTION("""COMPUTED_VALUE"""),2.0)</f>
        <v>2</v>
      </c>
      <c r="AE2685">
        <f>IFERROR(__xludf.DUMMYFUNCTION("""COMPUTED_VALUE"""),0.0)</f>
        <v>0</v>
      </c>
      <c r="AF2685" t="str">
        <f>IFERROR(__xludf.DUMMYFUNCTION("""COMPUTED_VALUE"""),"No. I took delivery of the first car Tesla was able to deliver.")</f>
        <v>No. I took delivery of the first car Tesla was able to deliver.</v>
      </c>
      <c r="AH2685" s="189">
        <f>IFERROR(__xludf.DUMMYFUNCTION("""COMPUTED_VALUE"""),44278.637849189814)</f>
        <v>44278.63785</v>
      </c>
    </row>
    <row r="2686">
      <c r="A2686" t="str">
        <f>IFERROR(__xludf.DUMMYFUNCTION("""COMPUTED_VALUE"""),"juliaaaa")</f>
        <v>juliaaaa</v>
      </c>
      <c r="B2686" t="str">
        <f>IFERROR(__xludf.DUMMYFUNCTION("""COMPUTED_VALUE"""),"Nashville")</f>
        <v>Nashville</v>
      </c>
      <c r="C2686" t="str">
        <f>IFERROR(__xludf.DUMMYFUNCTION("""COMPUTED_VALUE"""),"TN")</f>
        <v>TN</v>
      </c>
      <c r="D2686" t="str">
        <f>IFERROR(__xludf.DUMMYFUNCTION("""COMPUTED_VALUE"""),"USA")</f>
        <v>USA</v>
      </c>
      <c r="E2686" s="188">
        <f>IFERROR(__xludf.DUMMYFUNCTION("""COMPUTED_VALUE"""),44209.0)</f>
        <v>44209</v>
      </c>
      <c r="F2686" s="188">
        <f>IFERROR(__xludf.DUMMYFUNCTION("""COMPUTED_VALUE"""),44242.0)</f>
        <v>44242</v>
      </c>
      <c r="G2686" t="str">
        <f>IFERROR(__xludf.DUMMYFUNCTION("""COMPUTED_VALUE"""),"Manage order page (normal text)")</f>
        <v>Manage order page (normal text)</v>
      </c>
      <c r="H2686">
        <f>IFERROR(__xludf.DUMMYFUNCTION("""COMPUTED_VALUE"""),913339.0)</f>
        <v>913339</v>
      </c>
      <c r="I2686" t="str">
        <f>IFERROR(__xludf.DUMMYFUNCTION("""COMPUTED_VALUE"""),"02/21")</f>
        <v>02/21</v>
      </c>
      <c r="J2686" s="188">
        <f>IFERROR(__xludf.DUMMYFUNCTION("""COMPUTED_VALUE"""),44255.0)</f>
        <v>44255</v>
      </c>
      <c r="K2686">
        <f>IFERROR(__xludf.DUMMYFUNCTION("""COMPUTED_VALUE"""),33.0)</f>
        <v>33</v>
      </c>
      <c r="L2686">
        <f>IFERROR(__xludf.DUMMYFUNCTION("""COMPUTED_VALUE"""),13.0)</f>
        <v>13</v>
      </c>
      <c r="M2686">
        <f>IFERROR(__xludf.DUMMYFUNCTION("""COMPUTED_VALUE"""),46.0)</f>
        <v>46</v>
      </c>
      <c r="N2686" t="str">
        <f>IFERROR(__xludf.DUMMYFUNCTION("""COMPUTED_VALUE"""),"Model 3 SR+")</f>
        <v>Model 3 SR+</v>
      </c>
      <c r="O2686" t="str">
        <f>IFERROR(__xludf.DUMMYFUNCTION("""COMPUTED_VALUE"""),"Pearl White Multi-Coat")</f>
        <v>Pearl White Multi-Coat</v>
      </c>
      <c r="P2686" t="str">
        <f>IFERROR(__xludf.DUMMYFUNCTION("""COMPUTED_VALUE"""),"18 inch")</f>
        <v>18 inch</v>
      </c>
      <c r="Q2686" t="str">
        <f>IFERROR(__xludf.DUMMYFUNCTION("""COMPUTED_VALUE"""),"All Black")</f>
        <v>All Black</v>
      </c>
      <c r="R2686" t="str">
        <f>IFERROR(__xludf.DUMMYFUNCTION("""COMPUTED_VALUE"""),"Autopilot included")</f>
        <v>Autopilot included</v>
      </c>
      <c r="S2686" t="str">
        <f>IFERROR(__xludf.DUMMYFUNCTION("""COMPUTED_VALUE"""),"Loan")</f>
        <v>Loan</v>
      </c>
      <c r="T2686" t="str">
        <f>IFERROR(__xludf.DUMMYFUNCTION("""COMPUTED_VALUE"""),"Nissan Xterra")</f>
        <v>Nissan Xterra</v>
      </c>
      <c r="U2686" t="str">
        <f>IFERROR(__xludf.DUMMYFUNCTION("""COMPUTED_VALUE"""),"Electric!")</f>
        <v>Electric!</v>
      </c>
      <c r="V2686" t="str">
        <f>IFERROR(__xludf.DUMMYFUNCTION("""COMPUTED_VALUE"""),"360° Bird's eye view")</f>
        <v>360° Bird's eye view</v>
      </c>
      <c r="X2686" t="str">
        <f>IFERROR(__xludf.DUMMYFUNCTION("""COMPUTED_VALUE"""),"Fair")</f>
        <v>Fair</v>
      </c>
      <c r="Y2686" t="str">
        <f>IFERROR(__xludf.DUMMYFUNCTION("""COMPUTED_VALUE"""),"Excellent")</f>
        <v>Excellent</v>
      </c>
      <c r="Z2686" t="str">
        <f>IFERROR(__xludf.DUMMYFUNCTION("""COMPUTED_VALUE"""),"Excellent")</f>
        <v>Excellent</v>
      </c>
      <c r="AA2686" t="str">
        <f>IFERROR(__xludf.DUMMYFUNCTION("""COMPUTED_VALUE"""),"Very Good")</f>
        <v>Very Good</v>
      </c>
      <c r="AB2686" t="str">
        <f>IFERROR(__xludf.DUMMYFUNCTION("""COMPUTED_VALUE"""),"Excellent")</f>
        <v>Excellent</v>
      </c>
      <c r="AC2686">
        <f>IFERROR(__xludf.DUMMYFUNCTION("""COMPUTED_VALUE"""),1.0)</f>
        <v>1</v>
      </c>
      <c r="AD2686">
        <f>IFERROR(__xludf.DUMMYFUNCTION("""COMPUTED_VALUE"""),1.0)</f>
        <v>1</v>
      </c>
      <c r="AE2686">
        <f>IFERROR(__xludf.DUMMYFUNCTION("""COMPUTED_VALUE"""),0.0)</f>
        <v>0</v>
      </c>
      <c r="AF2686" t="str">
        <f>IFERROR(__xludf.DUMMYFUNCTION("""COMPUTED_VALUE"""),"No. I took delivery of the first car Tesla was able to deliver.")</f>
        <v>No. I took delivery of the first car Tesla was able to deliver.</v>
      </c>
      <c r="AH2686" s="189">
        <f>IFERROR(__xludf.DUMMYFUNCTION("""COMPUTED_VALUE"""),44258.6066677662)</f>
        <v>44258.60667</v>
      </c>
    </row>
    <row r="2687">
      <c r="A2687" t="str">
        <f>IFERROR(__xludf.DUMMYFUNCTION("""COMPUTED_VALUE"""),"DCM3LR")</f>
        <v>DCM3LR</v>
      </c>
      <c r="B2687" t="str">
        <f>IFERROR(__xludf.DUMMYFUNCTION("""COMPUTED_VALUE"""),"Jacksonville")</f>
        <v>Jacksonville</v>
      </c>
      <c r="C2687" t="str">
        <f>IFERROR(__xludf.DUMMYFUNCTION("""COMPUTED_VALUE"""),"FL")</f>
        <v>FL</v>
      </c>
      <c r="D2687" t="str">
        <f>IFERROR(__xludf.DUMMYFUNCTION("""COMPUTED_VALUE"""),"USA")</f>
        <v>USA</v>
      </c>
      <c r="E2687" s="188">
        <f>IFERROR(__xludf.DUMMYFUNCTION("""COMPUTED_VALUE"""),44200.0)</f>
        <v>44200</v>
      </c>
      <c r="F2687" s="188">
        <f>IFERROR(__xludf.DUMMYFUNCTION("""COMPUTED_VALUE"""),44252.0)</f>
        <v>44252</v>
      </c>
      <c r="G2687" t="str">
        <f>IFERROR(__xludf.DUMMYFUNCTION("""COMPUTED_VALUE"""),"Manage order page (normal text)")</f>
        <v>Manage order page (normal text)</v>
      </c>
      <c r="H2687">
        <f>IFERROR(__xludf.DUMMYFUNCTION("""COMPUTED_VALUE"""),902855.0)</f>
        <v>902855</v>
      </c>
      <c r="I2687" t="str">
        <f>IFERROR(__xludf.DUMMYFUNCTION("""COMPUTED_VALUE"""),"02/21")</f>
        <v>02/21</v>
      </c>
      <c r="J2687" s="188">
        <f>IFERROR(__xludf.DUMMYFUNCTION("""COMPUTED_VALUE"""),44266.0)</f>
        <v>44266</v>
      </c>
      <c r="K2687">
        <f>IFERROR(__xludf.DUMMYFUNCTION("""COMPUTED_VALUE"""),52.0)</f>
        <v>52</v>
      </c>
      <c r="L2687">
        <f>IFERROR(__xludf.DUMMYFUNCTION("""COMPUTED_VALUE"""),14.0)</f>
        <v>14</v>
      </c>
      <c r="M2687">
        <f>IFERROR(__xludf.DUMMYFUNCTION("""COMPUTED_VALUE"""),66.0)</f>
        <v>66</v>
      </c>
      <c r="N2687" t="str">
        <f>IFERROR(__xludf.DUMMYFUNCTION("""COMPUTED_VALUE"""),"Model 3 LR AWD")</f>
        <v>Model 3 LR AWD</v>
      </c>
      <c r="O2687" t="str">
        <f>IFERROR(__xludf.DUMMYFUNCTION("""COMPUTED_VALUE"""),"Red Multi-Coat")</f>
        <v>Red Multi-Coat</v>
      </c>
      <c r="P2687" t="str">
        <f>IFERROR(__xludf.DUMMYFUNCTION("""COMPUTED_VALUE"""),"18 inch")</f>
        <v>18 inch</v>
      </c>
      <c r="Q2687" t="str">
        <f>IFERROR(__xludf.DUMMYFUNCTION("""COMPUTED_VALUE"""),"Black and White")</f>
        <v>Black and White</v>
      </c>
      <c r="R2687" t="str">
        <f>IFERROR(__xludf.DUMMYFUNCTION("""COMPUTED_VALUE"""),"Autopilot included")</f>
        <v>Autopilot included</v>
      </c>
      <c r="S2687" t="str">
        <f>IFERROR(__xludf.DUMMYFUNCTION("""COMPUTED_VALUE"""),"Loan")</f>
        <v>Loan</v>
      </c>
      <c r="T2687" t="str">
        <f>IFERROR(__xludf.DUMMYFUNCTION("""COMPUTED_VALUE"""),"Honda Accord")</f>
        <v>Honda Accord</v>
      </c>
      <c r="U2687" t="str">
        <f>IFERROR(__xludf.DUMMYFUNCTION("""COMPUTED_VALUE"""),"Electric!")</f>
        <v>Electric!</v>
      </c>
      <c r="V2687" t="str">
        <f>IFERROR(__xludf.DUMMYFUNCTION("""COMPUTED_VALUE"""),"Blind spot indicators on side mirrors")</f>
        <v>Blind spot indicators on side mirrors</v>
      </c>
      <c r="X2687" t="str">
        <f>IFERROR(__xludf.DUMMYFUNCTION("""COMPUTED_VALUE"""),"Very Good")</f>
        <v>Very Good</v>
      </c>
      <c r="Y2687" t="str">
        <f>IFERROR(__xludf.DUMMYFUNCTION("""COMPUTED_VALUE"""),"Very Good")</f>
        <v>Very Good</v>
      </c>
      <c r="Z2687" t="str">
        <f>IFERROR(__xludf.DUMMYFUNCTION("""COMPUTED_VALUE"""),"Excellent")</f>
        <v>Excellent</v>
      </c>
      <c r="AA2687" t="str">
        <f>IFERROR(__xludf.DUMMYFUNCTION("""COMPUTED_VALUE"""),"Very Good")</f>
        <v>Very Good</v>
      </c>
      <c r="AB2687" t="str">
        <f>IFERROR(__xludf.DUMMYFUNCTION("""COMPUTED_VALUE"""),"Excellent")</f>
        <v>Excellent</v>
      </c>
      <c r="AF2687" t="str">
        <f>IFERROR(__xludf.DUMMYFUNCTION("""COMPUTED_VALUE"""),"No. I took delivery of the first car Tesla was able to deliver.")</f>
        <v>No. I took delivery of the first car Tesla was able to deliver.</v>
      </c>
      <c r="AH2687" s="189">
        <f>IFERROR(__xludf.DUMMYFUNCTION("""COMPUTED_VALUE"""),44268.52102984954)</f>
        <v>44268.52103</v>
      </c>
    </row>
    <row r="2688">
      <c r="A2688" t="str">
        <f>IFERROR(__xludf.DUMMYFUNCTION("""COMPUTED_VALUE"""),"Conflicted")</f>
        <v>Conflicted</v>
      </c>
      <c r="B2688" t="str">
        <f>IFERROR(__xludf.DUMMYFUNCTION("""COMPUTED_VALUE"""),"Austin")</f>
        <v>Austin</v>
      </c>
      <c r="C2688" t="str">
        <f>IFERROR(__xludf.DUMMYFUNCTION("""COMPUTED_VALUE"""),"TX")</f>
        <v>TX</v>
      </c>
      <c r="D2688" t="str">
        <f>IFERROR(__xludf.DUMMYFUNCTION("""COMPUTED_VALUE"""),"USA")</f>
        <v>USA</v>
      </c>
      <c r="E2688" s="188">
        <f>IFERROR(__xludf.DUMMYFUNCTION("""COMPUTED_VALUE"""),44214.0)</f>
        <v>44214</v>
      </c>
      <c r="F2688" s="188">
        <f>IFERROR(__xludf.DUMMYFUNCTION("""COMPUTED_VALUE"""),44214.0)</f>
        <v>44214</v>
      </c>
      <c r="G2688" t="str">
        <f>IFERROR(__xludf.DUMMYFUNCTION("""COMPUTED_VALUE"""),"Text message")</f>
        <v>Text message</v>
      </c>
      <c r="H2688">
        <f>IFERROR(__xludf.DUMMYFUNCTION("""COMPUTED_VALUE"""),871155.0)</f>
        <v>871155</v>
      </c>
      <c r="J2688" s="188">
        <f>IFERROR(__xludf.DUMMYFUNCTION("""COMPUTED_VALUE"""),44229.0)</f>
        <v>44229</v>
      </c>
      <c r="K2688">
        <f>IFERROR(__xludf.DUMMYFUNCTION("""COMPUTED_VALUE"""),0.0)</f>
        <v>0</v>
      </c>
      <c r="L2688">
        <f>IFERROR(__xludf.DUMMYFUNCTION("""COMPUTED_VALUE"""),15.0)</f>
        <v>15</v>
      </c>
      <c r="M2688">
        <f>IFERROR(__xludf.DUMMYFUNCTION("""COMPUTED_VALUE"""),15.0)</f>
        <v>15</v>
      </c>
      <c r="N2688" t="str">
        <f>IFERROR(__xludf.DUMMYFUNCTION("""COMPUTED_VALUE"""),"Model 3 SR+")</f>
        <v>Model 3 SR+</v>
      </c>
      <c r="O2688" t="str">
        <f>IFERROR(__xludf.DUMMYFUNCTION("""COMPUTED_VALUE"""),"Deep Blue Metallic")</f>
        <v>Deep Blue Metallic</v>
      </c>
      <c r="P2688" t="str">
        <f>IFERROR(__xludf.DUMMYFUNCTION("""COMPUTED_VALUE"""),"18 inch")</f>
        <v>18 inch</v>
      </c>
      <c r="Q2688" t="str">
        <f>IFERROR(__xludf.DUMMYFUNCTION("""COMPUTED_VALUE"""),"Black and White")</f>
        <v>Black and White</v>
      </c>
      <c r="R2688" t="str">
        <f>IFERROR(__xludf.DUMMYFUNCTION("""COMPUTED_VALUE"""),"Autopilot included")</f>
        <v>Autopilot included</v>
      </c>
      <c r="S2688" t="str">
        <f>IFERROR(__xludf.DUMMYFUNCTION("""COMPUTED_VALUE"""),"Loan")</f>
        <v>Loan</v>
      </c>
      <c r="T2688" t="str">
        <f>IFERROR(__xludf.DUMMYFUNCTION("""COMPUTED_VALUE"""),"Hyundai Accent")</f>
        <v>Hyundai Accent</v>
      </c>
      <c r="U2688" t="str">
        <f>IFERROR(__xludf.DUMMYFUNCTION("""COMPUTED_VALUE"""),"Technology")</f>
        <v>Technology</v>
      </c>
      <c r="V2688" t="str">
        <f>IFERROR(__xludf.DUMMYFUNCTION("""COMPUTED_VALUE"""),"Blind spot indicators on side mirrors")</f>
        <v>Blind spot indicators on side mirrors</v>
      </c>
      <c r="X2688" t="str">
        <f>IFERROR(__xludf.DUMMYFUNCTION("""COMPUTED_VALUE"""),"Excellent")</f>
        <v>Excellent</v>
      </c>
      <c r="Y2688" t="str">
        <f>IFERROR(__xludf.DUMMYFUNCTION("""COMPUTED_VALUE"""),"Excellent")</f>
        <v>Excellent</v>
      </c>
      <c r="Z2688" t="str">
        <f>IFERROR(__xludf.DUMMYFUNCTION("""COMPUTED_VALUE"""),"Excellent")</f>
        <v>Excellent</v>
      </c>
      <c r="AA2688" t="str">
        <f>IFERROR(__xludf.DUMMYFUNCTION("""COMPUTED_VALUE"""),"Excellent")</f>
        <v>Excellent</v>
      </c>
      <c r="AB2688" t="str">
        <f>IFERROR(__xludf.DUMMYFUNCTION("""COMPUTED_VALUE"""),"Excellent")</f>
        <v>Excellent</v>
      </c>
      <c r="AC2688">
        <f>IFERROR(__xludf.DUMMYFUNCTION("""COMPUTED_VALUE"""),0.0)</f>
        <v>0</v>
      </c>
      <c r="AD2688">
        <f>IFERROR(__xludf.DUMMYFUNCTION("""COMPUTED_VALUE"""),0.0)</f>
        <v>0</v>
      </c>
      <c r="AF2688" t="str">
        <f>IFERROR(__xludf.DUMMYFUNCTION("""COMPUTED_VALUE"""),"No. I took delivery of the first car Tesla was able to deliver.")</f>
        <v>No. I took delivery of the first car Tesla was able to deliver.</v>
      </c>
      <c r="AH2688" s="189">
        <f>IFERROR(__xludf.DUMMYFUNCTION("""COMPUTED_VALUE"""),44229.78224591435)</f>
        <v>44229.78225</v>
      </c>
    </row>
    <row r="2689">
      <c r="A2689" t="str">
        <f>IFERROR(__xludf.DUMMYFUNCTION("""COMPUTED_VALUE"""),"muhteeus")</f>
        <v>muhteeus</v>
      </c>
      <c r="B2689" t="str">
        <f>IFERROR(__xludf.DUMMYFUNCTION("""COMPUTED_VALUE"""),"Fort Worth")</f>
        <v>Fort Worth</v>
      </c>
      <c r="C2689" t="str">
        <f>IFERROR(__xludf.DUMMYFUNCTION("""COMPUTED_VALUE"""),"TX")</f>
        <v>TX</v>
      </c>
      <c r="D2689" t="str">
        <f>IFERROR(__xludf.DUMMYFUNCTION("""COMPUTED_VALUE"""),"USA")</f>
        <v>USA</v>
      </c>
      <c r="E2689" s="188">
        <f>IFERROR(__xludf.DUMMYFUNCTION("""COMPUTED_VALUE"""),44203.0)</f>
        <v>44203</v>
      </c>
      <c r="F2689" s="188">
        <f>IFERROR(__xludf.DUMMYFUNCTION("""COMPUTED_VALUE"""),44243.0)</f>
        <v>44243</v>
      </c>
      <c r="G2689" t="str">
        <f>IFERROR(__xludf.DUMMYFUNCTION("""COMPUTED_VALUE"""),"Email")</f>
        <v>Email</v>
      </c>
      <c r="H2689">
        <f>IFERROR(__xludf.DUMMYFUNCTION("""COMPUTED_VALUE"""),907255.0)</f>
        <v>907255</v>
      </c>
      <c r="I2689" t="str">
        <f>IFERROR(__xludf.DUMMYFUNCTION("""COMPUTED_VALUE"""),"02/21")</f>
        <v>02/21</v>
      </c>
      <c r="J2689" s="188">
        <f>IFERROR(__xludf.DUMMYFUNCTION("""COMPUTED_VALUE"""),44252.0)</f>
        <v>44252</v>
      </c>
      <c r="K2689">
        <f>IFERROR(__xludf.DUMMYFUNCTION("""COMPUTED_VALUE"""),40.0)</f>
        <v>40</v>
      </c>
      <c r="L2689">
        <f>IFERROR(__xludf.DUMMYFUNCTION("""COMPUTED_VALUE"""),9.0)</f>
        <v>9</v>
      </c>
      <c r="M2689">
        <f>IFERROR(__xludf.DUMMYFUNCTION("""COMPUTED_VALUE"""),49.0)</f>
        <v>49</v>
      </c>
      <c r="N2689" t="str">
        <f>IFERROR(__xludf.DUMMYFUNCTION("""COMPUTED_VALUE"""),"Model 3 SR+")</f>
        <v>Model 3 SR+</v>
      </c>
      <c r="O2689" t="str">
        <f>IFERROR(__xludf.DUMMYFUNCTION("""COMPUTED_VALUE"""),"Midnight Silver Metallic")</f>
        <v>Midnight Silver Metallic</v>
      </c>
      <c r="P2689" t="str">
        <f>IFERROR(__xludf.DUMMYFUNCTION("""COMPUTED_VALUE"""),"18 inch")</f>
        <v>18 inch</v>
      </c>
      <c r="Q2689" t="str">
        <f>IFERROR(__xludf.DUMMYFUNCTION("""COMPUTED_VALUE"""),"All Black")</f>
        <v>All Black</v>
      </c>
      <c r="R2689" t="str">
        <f>IFERROR(__xludf.DUMMYFUNCTION("""COMPUTED_VALUE"""),"Autopilot included")</f>
        <v>Autopilot included</v>
      </c>
      <c r="S2689" t="str">
        <f>IFERROR(__xludf.DUMMYFUNCTION("""COMPUTED_VALUE"""),"Loan")</f>
        <v>Loan</v>
      </c>
      <c r="T2689" t="str">
        <f>IFERROR(__xludf.DUMMYFUNCTION("""COMPUTED_VALUE"""),"Honda Fit")</f>
        <v>Honda Fit</v>
      </c>
      <c r="U2689" t="str">
        <f>IFERROR(__xludf.DUMMYFUNCTION("""COMPUTED_VALUE"""),"Electric!")</f>
        <v>Electric!</v>
      </c>
      <c r="V2689" t="str">
        <f>IFERROR(__xludf.DUMMYFUNCTION("""COMPUTED_VALUE"""),"Ventilated seats")</f>
        <v>Ventilated seats</v>
      </c>
      <c r="W2689" t="str">
        <f>IFERROR(__xludf.DUMMYFUNCTION("""COMPUTED_VALUE"""),"Don't hesitate to communicate with your SA or a chat agent. It seems that intracompany communications are poor at Tesla. Sometimes asking the same question via chat vs the SA would yield results.")</f>
        <v>Don't hesitate to communicate with your SA or a chat agent. It seems that intracompany communications are poor at Tesla. Sometimes asking the same question via chat vs the SA would yield results.</v>
      </c>
      <c r="X2689" t="str">
        <f>IFERROR(__xludf.DUMMYFUNCTION("""COMPUTED_VALUE"""),"Excellent")</f>
        <v>Excellent</v>
      </c>
      <c r="Y2689" t="str">
        <f>IFERROR(__xludf.DUMMYFUNCTION("""COMPUTED_VALUE"""),"Excellent")</f>
        <v>Excellent</v>
      </c>
      <c r="Z2689" t="str">
        <f>IFERROR(__xludf.DUMMYFUNCTION("""COMPUTED_VALUE"""),"Excellent")</f>
        <v>Excellent</v>
      </c>
      <c r="AA2689" t="str">
        <f>IFERROR(__xludf.DUMMYFUNCTION("""COMPUTED_VALUE"""),"Fair")</f>
        <v>Fair</v>
      </c>
      <c r="AB2689" t="str">
        <f>IFERROR(__xludf.DUMMYFUNCTION("""COMPUTED_VALUE"""),"Excellent")</f>
        <v>Excellent</v>
      </c>
      <c r="AC2689">
        <f>IFERROR(__xludf.DUMMYFUNCTION("""COMPUTED_VALUE"""),0.0)</f>
        <v>0</v>
      </c>
      <c r="AD2689">
        <f>IFERROR(__xludf.DUMMYFUNCTION("""COMPUTED_VALUE"""),0.0)</f>
        <v>0</v>
      </c>
      <c r="AE2689">
        <f>IFERROR(__xludf.DUMMYFUNCTION("""COMPUTED_VALUE"""),0.0)</f>
        <v>0</v>
      </c>
      <c r="AF2689" t="str">
        <f>IFERROR(__xludf.DUMMYFUNCTION("""COMPUTED_VALUE"""),"No. I took delivery of the first car Tesla was able to deliver.")</f>
        <v>No. I took delivery of the first car Tesla was able to deliver.</v>
      </c>
      <c r="AG2689" t="str">
        <f>IFERROR(__xludf.DUMMYFUNCTION("""COMPUTED_VALUE"""),"Delivery date delayed from 2/23 due to weather in TX/")</f>
        <v>Delivery date delayed from 2/23 due to weather in TX/</v>
      </c>
      <c r="AH2689" s="189">
        <f>IFERROR(__xludf.DUMMYFUNCTION("""COMPUTED_VALUE"""),44302.49025386574)</f>
        <v>44302.49025</v>
      </c>
    </row>
    <row r="2690">
      <c r="A2690" t="str">
        <f>IFERROR(__xludf.DUMMYFUNCTION("""COMPUTED_VALUE"""),"BC Performance")</f>
        <v>BC Performance</v>
      </c>
      <c r="B2690" t="str">
        <f>IFERROR(__xludf.DUMMYFUNCTION("""COMPUTED_VALUE"""),"Minneapolis")</f>
        <v>Minneapolis</v>
      </c>
      <c r="C2690" t="str">
        <f>IFERROR(__xludf.DUMMYFUNCTION("""COMPUTED_VALUE"""),"MN")</f>
        <v>MN</v>
      </c>
      <c r="D2690" t="str">
        <f>IFERROR(__xludf.DUMMYFUNCTION("""COMPUTED_VALUE"""),"USA")</f>
        <v>USA</v>
      </c>
      <c r="E2690" s="188">
        <f>IFERROR(__xludf.DUMMYFUNCTION("""COMPUTED_VALUE"""),44503.0)</f>
        <v>44503</v>
      </c>
      <c r="N2690" t="str">
        <f>IFERROR(__xludf.DUMMYFUNCTION("""COMPUTED_VALUE"""),"Model 3 Performance")</f>
        <v>Model 3 Performance</v>
      </c>
      <c r="O2690" t="str">
        <f>IFERROR(__xludf.DUMMYFUNCTION("""COMPUTED_VALUE"""),"Red Multi-Coat")</f>
        <v>Red Multi-Coat</v>
      </c>
      <c r="P2690" t="str">
        <f>IFERROR(__xludf.DUMMYFUNCTION("""COMPUTED_VALUE"""),"20 inch")</f>
        <v>20 inch</v>
      </c>
      <c r="Q2690" t="str">
        <f>IFERROR(__xludf.DUMMYFUNCTION("""COMPUTED_VALUE"""),"Black and White")</f>
        <v>Black and White</v>
      </c>
      <c r="R2690" t="str">
        <f>IFERROR(__xludf.DUMMYFUNCTION("""COMPUTED_VALUE"""),"Autopilot included")</f>
        <v>Autopilot included</v>
      </c>
      <c r="S2690" t="str">
        <f>IFERROR(__xludf.DUMMYFUNCTION("""COMPUTED_VALUE"""),"Loan")</f>
        <v>Loan</v>
      </c>
      <c r="T2690" t="str">
        <f>IFERROR(__xludf.DUMMYFUNCTION("""COMPUTED_VALUE"""),"Ford Explorer Sport")</f>
        <v>Ford Explorer Sport</v>
      </c>
      <c r="U2690" t="str">
        <f>IFERROR(__xludf.DUMMYFUNCTION("""COMPUTED_VALUE"""),"Tesla brand image")</f>
        <v>Tesla brand image</v>
      </c>
      <c r="V2690" t="str">
        <f>IFERROR(__xludf.DUMMYFUNCTION("""COMPUTED_VALUE"""),"Head-up display")</f>
        <v>Head-up display</v>
      </c>
      <c r="AH2690" s="189">
        <f>IFERROR(__xludf.DUMMYFUNCTION("""COMPUTED_VALUE"""),44504.52324721064)</f>
        <v>44504.52325</v>
      </c>
    </row>
    <row r="2691">
      <c r="A2691" t="str">
        <f>IFERROR(__xludf.DUMMYFUNCTION("""COMPUTED_VALUE"""),"Dave0")</f>
        <v>Dave0</v>
      </c>
      <c r="B2691" t="str">
        <f>IFERROR(__xludf.DUMMYFUNCTION("""COMPUTED_VALUE"""),"Raleigh")</f>
        <v>Raleigh</v>
      </c>
      <c r="C2691" t="str">
        <f>IFERROR(__xludf.DUMMYFUNCTION("""COMPUTED_VALUE"""),"NC")</f>
        <v>NC</v>
      </c>
      <c r="D2691" t="str">
        <f>IFERROR(__xludf.DUMMYFUNCTION("""COMPUTED_VALUE"""),"USA")</f>
        <v>USA</v>
      </c>
      <c r="E2691" s="188">
        <f>IFERROR(__xludf.DUMMYFUNCTION("""COMPUTED_VALUE"""),44208.0)</f>
        <v>44208</v>
      </c>
      <c r="F2691" s="188">
        <f>IFERROR(__xludf.DUMMYFUNCTION("""COMPUTED_VALUE"""),44235.0)</f>
        <v>44235</v>
      </c>
      <c r="G2691" t="str">
        <f>IFERROR(__xludf.DUMMYFUNCTION("""COMPUTED_VALUE"""),"Email")</f>
        <v>Email</v>
      </c>
      <c r="H2691">
        <f>IFERROR(__xludf.DUMMYFUNCTION("""COMPUTED_VALUE"""),906785.0)</f>
        <v>906785</v>
      </c>
      <c r="I2691" t="str">
        <f>IFERROR(__xludf.DUMMYFUNCTION("""COMPUTED_VALUE"""),"02/21")</f>
        <v>02/21</v>
      </c>
      <c r="J2691" s="188">
        <f>IFERROR(__xludf.DUMMYFUNCTION("""COMPUTED_VALUE"""),44251.0)</f>
        <v>44251</v>
      </c>
      <c r="K2691">
        <f>IFERROR(__xludf.DUMMYFUNCTION("""COMPUTED_VALUE"""),27.0)</f>
        <v>27</v>
      </c>
      <c r="L2691">
        <f>IFERROR(__xludf.DUMMYFUNCTION("""COMPUTED_VALUE"""),16.0)</f>
        <v>16</v>
      </c>
      <c r="M2691">
        <f>IFERROR(__xludf.DUMMYFUNCTION("""COMPUTED_VALUE"""),43.0)</f>
        <v>43</v>
      </c>
      <c r="N2691" t="str">
        <f>IFERROR(__xludf.DUMMYFUNCTION("""COMPUTED_VALUE"""),"Model 3 LR AWD")</f>
        <v>Model 3 LR AWD</v>
      </c>
      <c r="O2691" t="str">
        <f>IFERROR(__xludf.DUMMYFUNCTION("""COMPUTED_VALUE"""),"Red Multi-Coat")</f>
        <v>Red Multi-Coat</v>
      </c>
      <c r="P2691" t="str">
        <f>IFERROR(__xludf.DUMMYFUNCTION("""COMPUTED_VALUE"""),"19 inch")</f>
        <v>19 inch</v>
      </c>
      <c r="Q2691" t="str">
        <f>IFERROR(__xludf.DUMMYFUNCTION("""COMPUTED_VALUE"""),"All Black")</f>
        <v>All Black</v>
      </c>
      <c r="R2691" t="str">
        <f>IFERROR(__xludf.DUMMYFUNCTION("""COMPUTED_VALUE"""),"Autopilot included")</f>
        <v>Autopilot included</v>
      </c>
      <c r="S2691" t="str">
        <f>IFERROR(__xludf.DUMMYFUNCTION("""COMPUTED_VALUE"""),"Cash")</f>
        <v>Cash</v>
      </c>
      <c r="U2691" t="str">
        <f>IFERROR(__xludf.DUMMYFUNCTION("""COMPUTED_VALUE"""),"Autopilot")</f>
        <v>Autopilot</v>
      </c>
      <c r="V2691" t="str">
        <f>IFERROR(__xludf.DUMMYFUNCTION("""COMPUTED_VALUE"""),"Head-up display")</f>
        <v>Head-up display</v>
      </c>
      <c r="X2691" t="str">
        <f>IFERROR(__xludf.DUMMYFUNCTION("""COMPUTED_VALUE"""),"Excellent")</f>
        <v>Excellent</v>
      </c>
      <c r="Y2691" t="str">
        <f>IFERROR(__xludf.DUMMYFUNCTION("""COMPUTED_VALUE"""),"Excellent")</f>
        <v>Excellent</v>
      </c>
      <c r="Z2691" t="str">
        <f>IFERROR(__xludf.DUMMYFUNCTION("""COMPUTED_VALUE"""),"Very Good")</f>
        <v>Very Good</v>
      </c>
      <c r="AA2691" t="str">
        <f>IFERROR(__xludf.DUMMYFUNCTION("""COMPUTED_VALUE"""),"Excellent")</f>
        <v>Excellent</v>
      </c>
      <c r="AB2691" t="str">
        <f>IFERROR(__xludf.DUMMYFUNCTION("""COMPUTED_VALUE"""),"Excellent")</f>
        <v>Excellent</v>
      </c>
      <c r="AF2691" t="str">
        <f>IFERROR(__xludf.DUMMYFUNCTION("""COMPUTED_VALUE"""),"No. I took delivery of the first car Tesla was able to deliver.")</f>
        <v>No. I took delivery of the first car Tesla was able to deliver.</v>
      </c>
      <c r="AH2691" s="189">
        <f>IFERROR(__xludf.DUMMYFUNCTION("""COMPUTED_VALUE"""),44254.47103059028)</f>
        <v>44254.47103</v>
      </c>
    </row>
    <row r="2692">
      <c r="A2692" t="str">
        <f>IFERROR(__xludf.DUMMYFUNCTION("""COMPUTED_VALUE"""),"TBrownTX")</f>
        <v>TBrownTX</v>
      </c>
      <c r="B2692" t="str">
        <f>IFERROR(__xludf.DUMMYFUNCTION("""COMPUTED_VALUE"""),"Dallas")</f>
        <v>Dallas</v>
      </c>
      <c r="C2692" t="str">
        <f>IFERROR(__xludf.DUMMYFUNCTION("""COMPUTED_VALUE"""),"TX")</f>
        <v>TX</v>
      </c>
      <c r="D2692" t="str">
        <f>IFERROR(__xludf.DUMMYFUNCTION("""COMPUTED_VALUE"""),"USA")</f>
        <v>USA</v>
      </c>
      <c r="E2692" s="188">
        <f>IFERROR(__xludf.DUMMYFUNCTION("""COMPUTED_VALUE"""),44219.0)</f>
        <v>44219</v>
      </c>
      <c r="F2692" s="188">
        <f>IFERROR(__xludf.DUMMYFUNCTION("""COMPUTED_VALUE"""),44252.0)</f>
        <v>44252</v>
      </c>
      <c r="G2692" t="str">
        <f>IFERROR(__xludf.DUMMYFUNCTION("""COMPUTED_VALUE"""),"Manage order page (normal text)")</f>
        <v>Manage order page (normal text)</v>
      </c>
      <c r="H2692">
        <f>IFERROR(__xludf.DUMMYFUNCTION("""COMPUTED_VALUE"""),914155.0)</f>
        <v>914155</v>
      </c>
      <c r="I2692" t="str">
        <f>IFERROR(__xludf.DUMMYFUNCTION("""COMPUTED_VALUE"""),"02/21")</f>
        <v>02/21</v>
      </c>
      <c r="J2692" s="188">
        <f>IFERROR(__xludf.DUMMYFUNCTION("""COMPUTED_VALUE"""),44271.0)</f>
        <v>44271</v>
      </c>
      <c r="K2692">
        <f>IFERROR(__xludf.DUMMYFUNCTION("""COMPUTED_VALUE"""),33.0)</f>
        <v>33</v>
      </c>
      <c r="L2692">
        <f>IFERROR(__xludf.DUMMYFUNCTION("""COMPUTED_VALUE"""),19.0)</f>
        <v>19</v>
      </c>
      <c r="M2692">
        <f>IFERROR(__xludf.DUMMYFUNCTION("""COMPUTED_VALUE"""),52.0)</f>
        <v>52</v>
      </c>
      <c r="N2692" t="str">
        <f>IFERROR(__xludf.DUMMYFUNCTION("""COMPUTED_VALUE"""),"Model 3 Performance")</f>
        <v>Model 3 Performance</v>
      </c>
      <c r="O2692" t="str">
        <f>IFERROR(__xludf.DUMMYFUNCTION("""COMPUTED_VALUE"""),"Deep Blue Metallic")</f>
        <v>Deep Blue Metallic</v>
      </c>
      <c r="P2692" t="str">
        <f>IFERROR(__xludf.DUMMYFUNCTION("""COMPUTED_VALUE"""),"20 inch")</f>
        <v>20 inch</v>
      </c>
      <c r="Q2692" t="str">
        <f>IFERROR(__xludf.DUMMYFUNCTION("""COMPUTED_VALUE"""),"All Black")</f>
        <v>All Black</v>
      </c>
      <c r="R2692" t="str">
        <f>IFERROR(__xludf.DUMMYFUNCTION("""COMPUTED_VALUE"""),"Autopilot included")</f>
        <v>Autopilot included</v>
      </c>
      <c r="S2692" t="str">
        <f>IFERROR(__xludf.DUMMYFUNCTION("""COMPUTED_VALUE"""),"Cash")</f>
        <v>Cash</v>
      </c>
      <c r="T2692" t="str">
        <f>IFERROR(__xludf.DUMMYFUNCTION("""COMPUTED_VALUE"""),"Cadillac ATS Coupe")</f>
        <v>Cadillac ATS Coupe</v>
      </c>
      <c r="U2692" t="str">
        <f>IFERROR(__xludf.DUMMYFUNCTION("""COMPUTED_VALUE"""),"Electric!")</f>
        <v>Electric!</v>
      </c>
      <c r="V2692" t="str">
        <f>IFERROR(__xludf.DUMMYFUNCTION("""COMPUTED_VALUE"""),"360° Bird's eye view")</f>
        <v>360° Bird's eye view</v>
      </c>
      <c r="X2692" t="str">
        <f>IFERROR(__xludf.DUMMYFUNCTION("""COMPUTED_VALUE"""),"Very Good")</f>
        <v>Very Good</v>
      </c>
      <c r="Y2692" t="str">
        <f>IFERROR(__xludf.DUMMYFUNCTION("""COMPUTED_VALUE"""),"Excellent")</f>
        <v>Excellent</v>
      </c>
      <c r="Z2692" t="str">
        <f>IFERROR(__xludf.DUMMYFUNCTION("""COMPUTED_VALUE"""),"Excellent")</f>
        <v>Excellent</v>
      </c>
      <c r="AA2692" t="str">
        <f>IFERROR(__xludf.DUMMYFUNCTION("""COMPUTED_VALUE"""),"Good")</f>
        <v>Good</v>
      </c>
      <c r="AB2692" t="str">
        <f>IFERROR(__xludf.DUMMYFUNCTION("""COMPUTED_VALUE"""),"Very Good")</f>
        <v>Very Good</v>
      </c>
      <c r="AC2692">
        <f>IFERROR(__xludf.DUMMYFUNCTION("""COMPUTED_VALUE"""),0.0)</f>
        <v>0</v>
      </c>
      <c r="AF2692" t="str">
        <f>IFERROR(__xludf.DUMMYFUNCTION("""COMPUTED_VALUE"""),"No. I took delivery of the first car Tesla was able to deliver.")</f>
        <v>No. I took delivery of the first car Tesla was able to deliver.</v>
      </c>
      <c r="AH2692" s="189">
        <f>IFERROR(__xludf.DUMMYFUNCTION("""COMPUTED_VALUE"""),44272.27706960648)</f>
        <v>44272.27707</v>
      </c>
    </row>
    <row r="2693">
      <c r="A2693" t="str">
        <f>IFERROR(__xludf.DUMMYFUNCTION("""COMPUTED_VALUE"""),"BoA")</f>
        <v>BoA</v>
      </c>
      <c r="B2693" t="str">
        <f>IFERROR(__xludf.DUMMYFUNCTION("""COMPUTED_VALUE"""),"Nashville")</f>
        <v>Nashville</v>
      </c>
      <c r="C2693" t="str">
        <f>IFERROR(__xludf.DUMMYFUNCTION("""COMPUTED_VALUE"""),"TN")</f>
        <v>TN</v>
      </c>
      <c r="D2693" t="str">
        <f>IFERROR(__xludf.DUMMYFUNCTION("""COMPUTED_VALUE"""),"USA")</f>
        <v>USA</v>
      </c>
      <c r="E2693" s="188">
        <f>IFERROR(__xludf.DUMMYFUNCTION("""COMPUTED_VALUE"""),44213.0)</f>
        <v>44213</v>
      </c>
      <c r="F2693" s="188">
        <f>IFERROR(__xludf.DUMMYFUNCTION("""COMPUTED_VALUE"""),44233.0)</f>
        <v>44233</v>
      </c>
      <c r="G2693" t="str">
        <f>IFERROR(__xludf.DUMMYFUNCTION("""COMPUTED_VALUE"""),"Manage order page (normal text)")</f>
        <v>Manage order page (normal text)</v>
      </c>
      <c r="H2693">
        <f>IFERROR(__xludf.DUMMYFUNCTION("""COMPUTED_VALUE"""),902055.0)</f>
        <v>902055</v>
      </c>
      <c r="I2693" t="str">
        <f>IFERROR(__xludf.DUMMYFUNCTION("""COMPUTED_VALUE"""),"02/21")</f>
        <v>02/21</v>
      </c>
      <c r="J2693" s="188">
        <f>IFERROR(__xludf.DUMMYFUNCTION("""COMPUTED_VALUE"""),44253.0)</f>
        <v>44253</v>
      </c>
      <c r="K2693">
        <f>IFERROR(__xludf.DUMMYFUNCTION("""COMPUTED_VALUE"""),20.0)</f>
        <v>20</v>
      </c>
      <c r="L2693">
        <f>IFERROR(__xludf.DUMMYFUNCTION("""COMPUTED_VALUE"""),20.0)</f>
        <v>20</v>
      </c>
      <c r="M2693">
        <f>IFERROR(__xludf.DUMMYFUNCTION("""COMPUTED_VALUE"""),40.0)</f>
        <v>40</v>
      </c>
      <c r="N2693" t="str">
        <f>IFERROR(__xludf.DUMMYFUNCTION("""COMPUTED_VALUE"""),"Model 3 LR AWD")</f>
        <v>Model 3 LR AWD</v>
      </c>
      <c r="O2693" t="str">
        <f>IFERROR(__xludf.DUMMYFUNCTION("""COMPUTED_VALUE"""),"Pearl White Multi-Coat")</f>
        <v>Pearl White Multi-Coat</v>
      </c>
      <c r="P2693" t="str">
        <f>IFERROR(__xludf.DUMMYFUNCTION("""COMPUTED_VALUE"""),"18 inch")</f>
        <v>18 inch</v>
      </c>
      <c r="Q2693" t="str">
        <f>IFERROR(__xludf.DUMMYFUNCTION("""COMPUTED_VALUE"""),"All Black")</f>
        <v>All Black</v>
      </c>
      <c r="R2693" t="str">
        <f>IFERROR(__xludf.DUMMYFUNCTION("""COMPUTED_VALUE"""),"Autopilot included")</f>
        <v>Autopilot included</v>
      </c>
      <c r="X2693" t="str">
        <f>IFERROR(__xludf.DUMMYFUNCTION("""COMPUTED_VALUE"""),"Excellent")</f>
        <v>Excellent</v>
      </c>
      <c r="Y2693" t="str">
        <f>IFERROR(__xludf.DUMMYFUNCTION("""COMPUTED_VALUE"""),"Excellent")</f>
        <v>Excellent</v>
      </c>
      <c r="Z2693" t="str">
        <f>IFERROR(__xludf.DUMMYFUNCTION("""COMPUTED_VALUE"""),"Excellent")</f>
        <v>Excellent</v>
      </c>
      <c r="AA2693" t="str">
        <f>IFERROR(__xludf.DUMMYFUNCTION("""COMPUTED_VALUE"""),"Fair")</f>
        <v>Fair</v>
      </c>
      <c r="AB2693" t="str">
        <f>IFERROR(__xludf.DUMMYFUNCTION("""COMPUTED_VALUE"""),"Excellent")</f>
        <v>Excellent</v>
      </c>
      <c r="AH2693" s="189">
        <f>IFERROR(__xludf.DUMMYFUNCTION("""COMPUTED_VALUE"""),44253.87786451389)</f>
        <v>44253.87786</v>
      </c>
    </row>
    <row r="2694">
      <c r="A2694" t="str">
        <f>IFERROR(__xludf.DUMMYFUNCTION("""COMPUTED_VALUE"""),"KirksTesla")</f>
        <v>KirksTesla</v>
      </c>
      <c r="B2694" t="str">
        <f>IFERROR(__xludf.DUMMYFUNCTION("""COMPUTED_VALUE"""),"Enid")</f>
        <v>Enid</v>
      </c>
      <c r="C2694" t="str">
        <f>IFERROR(__xludf.DUMMYFUNCTION("""COMPUTED_VALUE"""),"OK")</f>
        <v>OK</v>
      </c>
      <c r="D2694" t="str">
        <f>IFERROR(__xludf.DUMMYFUNCTION("""COMPUTED_VALUE"""),"USA")</f>
        <v>USA</v>
      </c>
      <c r="E2694" s="188">
        <f>IFERROR(__xludf.DUMMYFUNCTION("""COMPUTED_VALUE"""),44198.0)</f>
        <v>44198</v>
      </c>
      <c r="F2694" s="188">
        <f>IFERROR(__xludf.DUMMYFUNCTION("""COMPUTED_VALUE"""),44263.0)</f>
        <v>44263</v>
      </c>
      <c r="G2694" t="str">
        <f>IFERROR(__xludf.DUMMYFUNCTION("""COMPUTED_VALUE"""),"Text message")</f>
        <v>Text message</v>
      </c>
      <c r="H2694">
        <f>IFERROR(__xludf.DUMMYFUNCTION("""COMPUTED_VALUE"""),913655.0)</f>
        <v>913655</v>
      </c>
      <c r="I2694" t="str">
        <f>IFERROR(__xludf.DUMMYFUNCTION("""COMPUTED_VALUE"""),"02/21")</f>
        <v>02/21</v>
      </c>
      <c r="J2694" s="188">
        <f>IFERROR(__xludf.DUMMYFUNCTION("""COMPUTED_VALUE"""),44267.0)</f>
        <v>44267</v>
      </c>
      <c r="K2694">
        <f>IFERROR(__xludf.DUMMYFUNCTION("""COMPUTED_VALUE"""),65.0)</f>
        <v>65</v>
      </c>
      <c r="L2694">
        <f>IFERROR(__xludf.DUMMYFUNCTION("""COMPUTED_VALUE"""),4.0)</f>
        <v>4</v>
      </c>
      <c r="M2694">
        <f>IFERROR(__xludf.DUMMYFUNCTION("""COMPUTED_VALUE"""),69.0)</f>
        <v>69</v>
      </c>
      <c r="N2694" t="str">
        <f>IFERROR(__xludf.DUMMYFUNCTION("""COMPUTED_VALUE"""),"Model 3 Performance")</f>
        <v>Model 3 Performance</v>
      </c>
      <c r="O2694" t="str">
        <f>IFERROR(__xludf.DUMMYFUNCTION("""COMPUTED_VALUE"""),"Midnight Silver Metallic")</f>
        <v>Midnight Silver Metallic</v>
      </c>
      <c r="P2694" t="str">
        <f>IFERROR(__xludf.DUMMYFUNCTION("""COMPUTED_VALUE"""),"20 inch")</f>
        <v>20 inch</v>
      </c>
      <c r="Q2694" t="str">
        <f>IFERROR(__xludf.DUMMYFUNCTION("""COMPUTED_VALUE"""),"All Black")</f>
        <v>All Black</v>
      </c>
      <c r="R2694" t="str">
        <f>IFERROR(__xludf.DUMMYFUNCTION("""COMPUTED_VALUE"""),"Autopilot included")</f>
        <v>Autopilot included</v>
      </c>
      <c r="S2694" t="str">
        <f>IFERROR(__xludf.DUMMYFUNCTION("""COMPUTED_VALUE"""),"Loan")</f>
        <v>Loan</v>
      </c>
      <c r="T2694" t="str">
        <f>IFERROR(__xludf.DUMMYFUNCTION("""COMPUTED_VALUE"""),"Jeep Wrangler")</f>
        <v>Jeep Wrangler</v>
      </c>
      <c r="U2694" t="str">
        <f>IFERROR(__xludf.DUMMYFUNCTION("""COMPUTED_VALUE"""),"Autopilot")</f>
        <v>Autopilot</v>
      </c>
      <c r="V2694" t="str">
        <f>IFERROR(__xludf.DUMMYFUNCTION("""COMPUTED_VALUE"""),"Air suspension")</f>
        <v>Air suspension</v>
      </c>
      <c r="X2694" t="str">
        <f>IFERROR(__xludf.DUMMYFUNCTION("""COMPUTED_VALUE"""),"Excellent")</f>
        <v>Excellent</v>
      </c>
      <c r="Y2694" t="str">
        <f>IFERROR(__xludf.DUMMYFUNCTION("""COMPUTED_VALUE"""),"Excellent")</f>
        <v>Excellent</v>
      </c>
      <c r="Z2694" t="str">
        <f>IFERROR(__xludf.DUMMYFUNCTION("""COMPUTED_VALUE"""),"Excellent")</f>
        <v>Excellent</v>
      </c>
      <c r="AA2694" t="str">
        <f>IFERROR(__xludf.DUMMYFUNCTION("""COMPUTED_VALUE"""),"Good")</f>
        <v>Good</v>
      </c>
      <c r="AB2694" t="str">
        <f>IFERROR(__xludf.DUMMYFUNCTION("""COMPUTED_VALUE"""),"Good")</f>
        <v>Good</v>
      </c>
      <c r="AF2694" t="str">
        <f>IFERROR(__xludf.DUMMYFUNCTION("""COMPUTED_VALUE"""),"No. I took delivery of the first car Tesla was able to deliver.")</f>
        <v>No. I took delivery of the first car Tesla was able to deliver.</v>
      </c>
      <c r="AH2694" s="189">
        <f>IFERROR(__xludf.DUMMYFUNCTION("""COMPUTED_VALUE"""),44269.33818881944)</f>
        <v>44269.33819</v>
      </c>
    </row>
    <row r="2695">
      <c r="A2695" t="str">
        <f>IFERROR(__xludf.DUMMYFUNCTION("""COMPUTED_VALUE"""),"Penguins")</f>
        <v>Penguins</v>
      </c>
      <c r="B2695" t="str">
        <f>IFERROR(__xludf.DUMMYFUNCTION("""COMPUTED_VALUE"""),"Chicago")</f>
        <v>Chicago</v>
      </c>
      <c r="C2695" t="str">
        <f>IFERROR(__xludf.DUMMYFUNCTION("""COMPUTED_VALUE"""),"IL")</f>
        <v>IL</v>
      </c>
      <c r="D2695" t="str">
        <f>IFERROR(__xludf.DUMMYFUNCTION("""COMPUTED_VALUE"""),"USA")</f>
        <v>USA</v>
      </c>
      <c r="E2695" s="188">
        <f>IFERROR(__xludf.DUMMYFUNCTION("""COMPUTED_VALUE"""),44223.0)</f>
        <v>44223</v>
      </c>
      <c r="F2695" s="188">
        <f>IFERROR(__xludf.DUMMYFUNCTION("""COMPUTED_VALUE"""),44252.0)</f>
        <v>44252</v>
      </c>
      <c r="G2695" t="str">
        <f>IFERROR(__xludf.DUMMYFUNCTION("""COMPUTED_VALUE"""),"Manage order page (normal text)")</f>
        <v>Manage order page (normal text)</v>
      </c>
      <c r="H2695">
        <f>IFERROR(__xludf.DUMMYFUNCTION("""COMPUTED_VALUE"""),902755.0)</f>
        <v>902755</v>
      </c>
      <c r="I2695" t="str">
        <f>IFERROR(__xludf.DUMMYFUNCTION("""COMPUTED_VALUE"""),"02/21")</f>
        <v>02/21</v>
      </c>
      <c r="J2695" s="188">
        <f>IFERROR(__xludf.DUMMYFUNCTION("""COMPUTED_VALUE"""),44268.0)</f>
        <v>44268</v>
      </c>
      <c r="K2695">
        <f>IFERROR(__xludf.DUMMYFUNCTION("""COMPUTED_VALUE"""),29.0)</f>
        <v>29</v>
      </c>
      <c r="L2695">
        <f>IFERROR(__xludf.DUMMYFUNCTION("""COMPUTED_VALUE"""),16.0)</f>
        <v>16</v>
      </c>
      <c r="M2695">
        <f>IFERROR(__xludf.DUMMYFUNCTION("""COMPUTED_VALUE"""),45.0)</f>
        <v>45</v>
      </c>
      <c r="N2695" t="str">
        <f>IFERROR(__xludf.DUMMYFUNCTION("""COMPUTED_VALUE"""),"Model 3 LR AWD")</f>
        <v>Model 3 LR AWD</v>
      </c>
      <c r="O2695" t="str">
        <f>IFERROR(__xludf.DUMMYFUNCTION("""COMPUTED_VALUE"""),"Deep Blue Metallic")</f>
        <v>Deep Blue Metallic</v>
      </c>
      <c r="P2695" t="str">
        <f>IFERROR(__xludf.DUMMYFUNCTION("""COMPUTED_VALUE"""),"18 inch")</f>
        <v>18 inch</v>
      </c>
      <c r="Q2695" t="str">
        <f>IFERROR(__xludf.DUMMYFUNCTION("""COMPUTED_VALUE"""),"Black and White")</f>
        <v>Black and White</v>
      </c>
      <c r="R2695" t="str">
        <f>IFERROR(__xludf.DUMMYFUNCTION("""COMPUTED_VALUE"""),"Full Self-Driving")</f>
        <v>Full Self-Driving</v>
      </c>
      <c r="S2695" t="str">
        <f>IFERROR(__xludf.DUMMYFUNCTION("""COMPUTED_VALUE"""),"Loan")</f>
        <v>Loan</v>
      </c>
      <c r="T2695" t="str">
        <f>IFERROR(__xludf.DUMMYFUNCTION("""COMPUTED_VALUE"""),"Model 3 will be my first car!")</f>
        <v>Model 3 will be my first car!</v>
      </c>
      <c r="U2695" t="str">
        <f>IFERROR(__xludf.DUMMYFUNCTION("""COMPUTED_VALUE"""),"Electric!")</f>
        <v>Electric!</v>
      </c>
      <c r="V2695" t="str">
        <f>IFERROR(__xludf.DUMMYFUNCTION("""COMPUTED_VALUE"""),"360° Bird's eye view")</f>
        <v>360° Bird's eye view</v>
      </c>
      <c r="X2695" t="str">
        <f>IFERROR(__xludf.DUMMYFUNCTION("""COMPUTED_VALUE"""),"Excellent")</f>
        <v>Excellent</v>
      </c>
      <c r="Y2695" t="str">
        <f>IFERROR(__xludf.DUMMYFUNCTION("""COMPUTED_VALUE"""),"Very Good")</f>
        <v>Very Good</v>
      </c>
      <c r="Z2695" t="str">
        <f>IFERROR(__xludf.DUMMYFUNCTION("""COMPUTED_VALUE"""),"Very Good")</f>
        <v>Very Good</v>
      </c>
      <c r="AA2695" t="str">
        <f>IFERROR(__xludf.DUMMYFUNCTION("""COMPUTED_VALUE"""),"Fair")</f>
        <v>Fair</v>
      </c>
      <c r="AB2695" t="str">
        <f>IFERROR(__xludf.DUMMYFUNCTION("""COMPUTED_VALUE"""),"Good")</f>
        <v>Good</v>
      </c>
      <c r="AF2695" t="str">
        <f>IFERROR(__xludf.DUMMYFUNCTION("""COMPUTED_VALUE"""),"No. I took delivery of the first car Tesla was able to deliver.")</f>
        <v>No. I took delivery of the first car Tesla was able to deliver.</v>
      </c>
      <c r="AH2695" s="189">
        <f>IFERROR(__xludf.DUMMYFUNCTION("""COMPUTED_VALUE"""),44271.41750728009)</f>
        <v>44271.41751</v>
      </c>
    </row>
    <row r="2696">
      <c r="A2696" t="str">
        <f>IFERROR(__xludf.DUMMYFUNCTION("""COMPUTED_VALUE"""),"Teslaalset")</f>
        <v>Teslaalset</v>
      </c>
      <c r="B2696" t="str">
        <f>IFERROR(__xludf.DUMMYFUNCTION("""COMPUTED_VALUE"""),"Houston")</f>
        <v>Houston</v>
      </c>
      <c r="C2696" t="str">
        <f>IFERROR(__xludf.DUMMYFUNCTION("""COMPUTED_VALUE"""),"TX")</f>
        <v>TX</v>
      </c>
      <c r="D2696" t="str">
        <f>IFERROR(__xludf.DUMMYFUNCTION("""COMPUTED_VALUE"""),"USA")</f>
        <v>USA</v>
      </c>
      <c r="E2696" s="188">
        <f>IFERROR(__xludf.DUMMYFUNCTION("""COMPUTED_VALUE"""),44220.0)</f>
        <v>44220</v>
      </c>
      <c r="F2696" s="188">
        <f>IFERROR(__xludf.DUMMYFUNCTION("""COMPUTED_VALUE"""),44249.0)</f>
        <v>44249</v>
      </c>
      <c r="G2696" t="str">
        <f>IFERROR(__xludf.DUMMYFUNCTION("""COMPUTED_VALUE"""),"Email")</f>
        <v>Email</v>
      </c>
      <c r="H2696">
        <f>IFERROR(__xludf.DUMMYFUNCTION("""COMPUTED_VALUE"""),906895.0)</f>
        <v>906895</v>
      </c>
      <c r="J2696" s="188">
        <f>IFERROR(__xludf.DUMMYFUNCTION("""COMPUTED_VALUE"""),44257.0)</f>
        <v>44257</v>
      </c>
      <c r="K2696">
        <f>IFERROR(__xludf.DUMMYFUNCTION("""COMPUTED_VALUE"""),29.0)</f>
        <v>29</v>
      </c>
      <c r="L2696">
        <f>IFERROR(__xludf.DUMMYFUNCTION("""COMPUTED_VALUE"""),8.0)</f>
        <v>8</v>
      </c>
      <c r="M2696">
        <f>IFERROR(__xludf.DUMMYFUNCTION("""COMPUTED_VALUE"""),37.0)</f>
        <v>37</v>
      </c>
      <c r="N2696" t="str">
        <f>IFERROR(__xludf.DUMMYFUNCTION("""COMPUTED_VALUE"""),"Model 3 LR AWD")</f>
        <v>Model 3 LR AWD</v>
      </c>
      <c r="O2696" t="str">
        <f>IFERROR(__xludf.DUMMYFUNCTION("""COMPUTED_VALUE"""),"Pearl White Multi-Coat")</f>
        <v>Pearl White Multi-Coat</v>
      </c>
      <c r="P2696" t="str">
        <f>IFERROR(__xludf.DUMMYFUNCTION("""COMPUTED_VALUE"""),"18 inch")</f>
        <v>18 inch</v>
      </c>
      <c r="Q2696" t="str">
        <f>IFERROR(__xludf.DUMMYFUNCTION("""COMPUTED_VALUE"""),"Black and White")</f>
        <v>Black and White</v>
      </c>
      <c r="R2696" t="str">
        <f>IFERROR(__xludf.DUMMYFUNCTION("""COMPUTED_VALUE"""),"Autopilot included")</f>
        <v>Autopilot included</v>
      </c>
      <c r="S2696" t="str">
        <f>IFERROR(__xludf.DUMMYFUNCTION("""COMPUTED_VALUE"""),"Loan")</f>
        <v>Loan</v>
      </c>
      <c r="T2696" t="str">
        <f>IFERROR(__xludf.DUMMYFUNCTION("""COMPUTED_VALUE"""),"Toyota Prius")</f>
        <v>Toyota Prius</v>
      </c>
      <c r="U2696" t="str">
        <f>IFERROR(__xludf.DUMMYFUNCTION("""COMPUTED_VALUE"""),"Electric!")</f>
        <v>Electric!</v>
      </c>
      <c r="V2696" t="str">
        <f>IFERROR(__xludf.DUMMYFUNCTION("""COMPUTED_VALUE"""),"Bioweapon defense mode")</f>
        <v>Bioweapon defense mode</v>
      </c>
      <c r="X2696" t="str">
        <f>IFERROR(__xludf.DUMMYFUNCTION("""COMPUTED_VALUE"""),"Excellent")</f>
        <v>Excellent</v>
      </c>
      <c r="Y2696" t="str">
        <f>IFERROR(__xludf.DUMMYFUNCTION("""COMPUTED_VALUE"""),"Excellent")</f>
        <v>Excellent</v>
      </c>
      <c r="Z2696" t="str">
        <f>IFERROR(__xludf.DUMMYFUNCTION("""COMPUTED_VALUE"""),"Excellent")</f>
        <v>Excellent</v>
      </c>
      <c r="AA2696" t="str">
        <f>IFERROR(__xludf.DUMMYFUNCTION("""COMPUTED_VALUE"""),"Fair")</f>
        <v>Fair</v>
      </c>
      <c r="AB2696" t="str">
        <f>IFERROR(__xludf.DUMMYFUNCTION("""COMPUTED_VALUE"""),"Good")</f>
        <v>Good</v>
      </c>
      <c r="AF2696" t="str">
        <f>IFERROR(__xludf.DUMMYFUNCTION("""COMPUTED_VALUE"""),"No. I took delivery of the first car Tesla was able to deliver.")</f>
        <v>No. I took delivery of the first car Tesla was able to deliver.</v>
      </c>
      <c r="AH2696" s="189">
        <f>IFERROR(__xludf.DUMMYFUNCTION("""COMPUTED_VALUE"""),44257.81075578704)</f>
        <v>44257.81076</v>
      </c>
    </row>
    <row r="2697">
      <c r="A2697" t="str">
        <f>IFERROR(__xludf.DUMMYFUNCTION("""COMPUTED_VALUE"""),"Supatony")</f>
        <v>Supatony</v>
      </c>
      <c r="B2697" t="str">
        <f>IFERROR(__xludf.DUMMYFUNCTION("""COMPUTED_VALUE"""),"Costa Mesa")</f>
        <v>Costa Mesa</v>
      </c>
      <c r="C2697" t="str">
        <f>IFERROR(__xludf.DUMMYFUNCTION("""COMPUTED_VALUE"""),"CA")</f>
        <v>CA</v>
      </c>
      <c r="D2697" t="str">
        <f>IFERROR(__xludf.DUMMYFUNCTION("""COMPUTED_VALUE"""),"USA")</f>
        <v>USA</v>
      </c>
      <c r="E2697" s="188">
        <f>IFERROR(__xludf.DUMMYFUNCTION("""COMPUTED_VALUE"""),44218.0)</f>
        <v>44218</v>
      </c>
      <c r="F2697" s="188">
        <f>IFERROR(__xludf.DUMMYFUNCTION("""COMPUTED_VALUE"""),44269.0)</f>
        <v>44269</v>
      </c>
      <c r="G2697" t="str">
        <f>IFERROR(__xludf.DUMMYFUNCTION("""COMPUTED_VALUE"""),"Manage order page (normal text)")</f>
        <v>Manage order page (normal text)</v>
      </c>
      <c r="H2697">
        <f>IFERROR(__xludf.DUMMYFUNCTION("""COMPUTED_VALUE"""),924155.0)</f>
        <v>924155</v>
      </c>
      <c r="I2697" t="str">
        <f>IFERROR(__xludf.DUMMYFUNCTION("""COMPUTED_VALUE"""),"03/21")</f>
        <v>03/21</v>
      </c>
      <c r="J2697" s="188">
        <f>IFERROR(__xludf.DUMMYFUNCTION("""COMPUTED_VALUE"""),44271.0)</f>
        <v>44271</v>
      </c>
      <c r="K2697">
        <f>IFERROR(__xludf.DUMMYFUNCTION("""COMPUTED_VALUE"""),51.0)</f>
        <v>51</v>
      </c>
      <c r="L2697">
        <f>IFERROR(__xludf.DUMMYFUNCTION("""COMPUTED_VALUE"""),2.0)</f>
        <v>2</v>
      </c>
      <c r="M2697">
        <f>IFERROR(__xludf.DUMMYFUNCTION("""COMPUTED_VALUE"""),53.0)</f>
        <v>53</v>
      </c>
      <c r="N2697" t="str">
        <f>IFERROR(__xludf.DUMMYFUNCTION("""COMPUTED_VALUE"""),"Model 3 LR AWD")</f>
        <v>Model 3 LR AWD</v>
      </c>
      <c r="O2697" t="str">
        <f>IFERROR(__xludf.DUMMYFUNCTION("""COMPUTED_VALUE"""),"Pearl White Multi-Coat")</f>
        <v>Pearl White Multi-Coat</v>
      </c>
      <c r="P2697" t="str">
        <f>IFERROR(__xludf.DUMMYFUNCTION("""COMPUTED_VALUE"""),"18 inch")</f>
        <v>18 inch</v>
      </c>
      <c r="Q2697" t="str">
        <f>IFERROR(__xludf.DUMMYFUNCTION("""COMPUTED_VALUE"""),"All Black")</f>
        <v>All Black</v>
      </c>
      <c r="R2697" t="str">
        <f>IFERROR(__xludf.DUMMYFUNCTION("""COMPUTED_VALUE"""),"Autopilot included")</f>
        <v>Autopilot included</v>
      </c>
      <c r="S2697" t="str">
        <f>IFERROR(__xludf.DUMMYFUNCTION("""COMPUTED_VALUE"""),"Loan")</f>
        <v>Loan</v>
      </c>
      <c r="T2697" t="str">
        <f>IFERROR(__xludf.DUMMYFUNCTION("""COMPUTED_VALUE"""),"Chevy Volt")</f>
        <v>Chevy Volt</v>
      </c>
      <c r="U2697" t="str">
        <f>IFERROR(__xludf.DUMMYFUNCTION("""COMPUTED_VALUE"""),"Electric!")</f>
        <v>Electric!</v>
      </c>
      <c r="V2697" t="str">
        <f>IFERROR(__xludf.DUMMYFUNCTION("""COMPUTED_VALUE"""),"HomeLink")</f>
        <v>HomeLink</v>
      </c>
      <c r="X2697" t="str">
        <f>IFERROR(__xludf.DUMMYFUNCTION("""COMPUTED_VALUE"""),"Fair")</f>
        <v>Fair</v>
      </c>
      <c r="Y2697" t="str">
        <f>IFERROR(__xludf.DUMMYFUNCTION("""COMPUTED_VALUE"""),"Fair")</f>
        <v>Fair</v>
      </c>
      <c r="Z2697" t="str">
        <f>IFERROR(__xludf.DUMMYFUNCTION("""COMPUTED_VALUE"""),"Fair")</f>
        <v>Fair</v>
      </c>
      <c r="AA2697" t="str">
        <f>IFERROR(__xludf.DUMMYFUNCTION("""COMPUTED_VALUE"""),"Fair")</f>
        <v>Fair</v>
      </c>
      <c r="AB2697" t="str">
        <f>IFERROR(__xludf.DUMMYFUNCTION("""COMPUTED_VALUE"""),"Very Good")</f>
        <v>Very Good</v>
      </c>
      <c r="AC2697">
        <f>IFERROR(__xludf.DUMMYFUNCTION("""COMPUTED_VALUE"""),8.0)</f>
        <v>8</v>
      </c>
      <c r="AD2697">
        <f>IFERROR(__xludf.DUMMYFUNCTION("""COMPUTED_VALUE"""),4.0)</f>
        <v>4</v>
      </c>
      <c r="AE2697">
        <f>IFERROR(__xludf.DUMMYFUNCTION("""COMPUTED_VALUE"""),3.0)</f>
        <v>3</v>
      </c>
      <c r="AF2697" t="str">
        <f>IFERROR(__xludf.DUMMYFUNCTION("""COMPUTED_VALUE"""),"No. I took delivery of the first car Tesla was able to deliver.")</f>
        <v>No. I took delivery of the first car Tesla was able to deliver.</v>
      </c>
      <c r="AH2697" s="189">
        <f>IFERROR(__xludf.DUMMYFUNCTION("""COMPUTED_VALUE"""),44285.460981041666)</f>
        <v>44285.46098</v>
      </c>
    </row>
    <row r="2698">
      <c r="A2698" t="str">
        <f>IFERROR(__xludf.DUMMYFUNCTION("""COMPUTED_VALUE"""),"socalcommuter")</f>
        <v>socalcommuter</v>
      </c>
      <c r="B2698" t="str">
        <f>IFERROR(__xludf.DUMMYFUNCTION("""COMPUTED_VALUE"""),"Los Angeles")</f>
        <v>Los Angeles</v>
      </c>
      <c r="C2698" t="str">
        <f>IFERROR(__xludf.DUMMYFUNCTION("""COMPUTED_VALUE"""),"CA")</f>
        <v>CA</v>
      </c>
      <c r="D2698" t="str">
        <f>IFERROR(__xludf.DUMMYFUNCTION("""COMPUTED_VALUE"""),"USA")</f>
        <v>USA</v>
      </c>
      <c r="E2698" s="188">
        <f>IFERROR(__xludf.DUMMYFUNCTION("""COMPUTED_VALUE"""),44230.0)</f>
        <v>44230</v>
      </c>
      <c r="F2698" s="188">
        <f>IFERROR(__xludf.DUMMYFUNCTION("""COMPUTED_VALUE"""),44270.0)</f>
        <v>44270</v>
      </c>
      <c r="G2698" t="str">
        <f>IFERROR(__xludf.DUMMYFUNCTION("""COMPUTED_VALUE"""),"Manage order page (normal text)")</f>
        <v>Manage order page (normal text)</v>
      </c>
      <c r="H2698">
        <f>IFERROR(__xludf.DUMMYFUNCTION("""COMPUTED_VALUE"""),926455.0)</f>
        <v>926455</v>
      </c>
      <c r="J2698" s="188">
        <f>IFERROR(__xludf.DUMMYFUNCTION("""COMPUTED_VALUE"""),44274.0)</f>
        <v>44274</v>
      </c>
      <c r="K2698">
        <f>IFERROR(__xludf.DUMMYFUNCTION("""COMPUTED_VALUE"""),40.0)</f>
        <v>40</v>
      </c>
      <c r="L2698">
        <f>IFERROR(__xludf.DUMMYFUNCTION("""COMPUTED_VALUE"""),4.0)</f>
        <v>4</v>
      </c>
      <c r="M2698">
        <f>IFERROR(__xludf.DUMMYFUNCTION("""COMPUTED_VALUE"""),44.0)</f>
        <v>44</v>
      </c>
      <c r="N2698" t="str">
        <f>IFERROR(__xludf.DUMMYFUNCTION("""COMPUTED_VALUE"""),"Model 3 SR+")</f>
        <v>Model 3 SR+</v>
      </c>
      <c r="O2698" t="str">
        <f>IFERROR(__xludf.DUMMYFUNCTION("""COMPUTED_VALUE"""),"Midnight Silver Metallic")</f>
        <v>Midnight Silver Metallic</v>
      </c>
      <c r="P2698" t="str">
        <f>IFERROR(__xludf.DUMMYFUNCTION("""COMPUTED_VALUE"""),"20 inch")</f>
        <v>20 inch</v>
      </c>
      <c r="Q2698" t="str">
        <f>IFERROR(__xludf.DUMMYFUNCTION("""COMPUTED_VALUE"""),"All Black")</f>
        <v>All Black</v>
      </c>
      <c r="R2698" t="str">
        <f>IFERROR(__xludf.DUMMYFUNCTION("""COMPUTED_VALUE"""),"Autopilot included")</f>
        <v>Autopilot included</v>
      </c>
      <c r="S2698" t="str">
        <f>IFERROR(__xludf.DUMMYFUNCTION("""COMPUTED_VALUE"""),"Loan")</f>
        <v>Loan</v>
      </c>
      <c r="T2698" t="str">
        <f>IFERROR(__xludf.DUMMYFUNCTION("""COMPUTED_VALUE"""),"Tesla Model X")</f>
        <v>Tesla Model X</v>
      </c>
      <c r="U2698" t="str">
        <f>IFERROR(__xludf.DUMMYFUNCTION("""COMPUTED_VALUE"""),"Electric!")</f>
        <v>Electric!</v>
      </c>
      <c r="V2698" t="str">
        <f>IFERROR(__xludf.DUMMYFUNCTION("""COMPUTED_VALUE"""),"Air suspension")</f>
        <v>Air suspension</v>
      </c>
      <c r="X2698" t="str">
        <f>IFERROR(__xludf.DUMMYFUNCTION("""COMPUTED_VALUE"""),"Excellent")</f>
        <v>Excellent</v>
      </c>
      <c r="Y2698" t="str">
        <f>IFERROR(__xludf.DUMMYFUNCTION("""COMPUTED_VALUE"""),"Excellent")</f>
        <v>Excellent</v>
      </c>
      <c r="Z2698" t="str">
        <f>IFERROR(__xludf.DUMMYFUNCTION("""COMPUTED_VALUE"""),"Very Good")</f>
        <v>Very Good</v>
      </c>
      <c r="AA2698" t="str">
        <f>IFERROR(__xludf.DUMMYFUNCTION("""COMPUTED_VALUE"""),"Very Good")</f>
        <v>Very Good</v>
      </c>
      <c r="AB2698" t="str">
        <f>IFERROR(__xludf.DUMMYFUNCTION("""COMPUTED_VALUE"""),"Very Good")</f>
        <v>Very Good</v>
      </c>
      <c r="AC2698">
        <f>IFERROR(__xludf.DUMMYFUNCTION("""COMPUTED_VALUE"""),0.0)</f>
        <v>0</v>
      </c>
      <c r="AF2698" t="str">
        <f>IFERROR(__xludf.DUMMYFUNCTION("""COMPUTED_VALUE"""),"No. I took delivery of the first car Tesla was able to deliver.")</f>
        <v>No. I took delivery of the first car Tesla was able to deliver.</v>
      </c>
      <c r="AH2698" s="189">
        <f>IFERROR(__xludf.DUMMYFUNCTION("""COMPUTED_VALUE"""),44276.544885104166)</f>
        <v>44276.54489</v>
      </c>
    </row>
    <row r="2699">
      <c r="A2699" t="str">
        <f>IFERROR(__xludf.DUMMYFUNCTION("""COMPUTED_VALUE"""),"hubertbateman")</f>
        <v>hubertbateman</v>
      </c>
      <c r="B2699" t="str">
        <f>IFERROR(__xludf.DUMMYFUNCTION("""COMPUTED_VALUE"""),"San Juan Capistrano")</f>
        <v>San Juan Capistrano</v>
      </c>
      <c r="C2699" t="str">
        <f>IFERROR(__xludf.DUMMYFUNCTION("""COMPUTED_VALUE"""),"CA")</f>
        <v>CA</v>
      </c>
      <c r="D2699" t="str">
        <f>IFERROR(__xludf.DUMMYFUNCTION("""COMPUTED_VALUE"""),"USA")</f>
        <v>USA</v>
      </c>
      <c r="E2699" s="188">
        <f>IFERROR(__xludf.DUMMYFUNCTION("""COMPUTED_VALUE"""),44231.0)</f>
        <v>44231</v>
      </c>
      <c r="F2699" s="188">
        <f>IFERROR(__xludf.DUMMYFUNCTION("""COMPUTED_VALUE"""),44274.0)</f>
        <v>44274</v>
      </c>
      <c r="G2699" t="str">
        <f>IFERROR(__xludf.DUMMYFUNCTION("""COMPUTED_VALUE"""),"Manage order page (normal text)")</f>
        <v>Manage order page (normal text)</v>
      </c>
      <c r="H2699">
        <f>IFERROR(__xludf.DUMMYFUNCTION("""COMPUTED_VALUE"""),928825.0)</f>
        <v>928825</v>
      </c>
      <c r="J2699" s="188">
        <f>IFERROR(__xludf.DUMMYFUNCTION("""COMPUTED_VALUE"""),44275.0)</f>
        <v>44275</v>
      </c>
      <c r="K2699">
        <f>IFERROR(__xludf.DUMMYFUNCTION("""COMPUTED_VALUE"""),43.0)</f>
        <v>43</v>
      </c>
      <c r="L2699">
        <f>IFERROR(__xludf.DUMMYFUNCTION("""COMPUTED_VALUE"""),1.0)</f>
        <v>1</v>
      </c>
      <c r="M2699">
        <f>IFERROR(__xludf.DUMMYFUNCTION("""COMPUTED_VALUE"""),44.0)</f>
        <v>44</v>
      </c>
      <c r="N2699" t="str">
        <f>IFERROR(__xludf.DUMMYFUNCTION("""COMPUTED_VALUE"""),"Model 3 SR+")</f>
        <v>Model 3 SR+</v>
      </c>
      <c r="O2699" t="str">
        <f>IFERROR(__xludf.DUMMYFUNCTION("""COMPUTED_VALUE"""),"Pearl White Multi-Coat")</f>
        <v>Pearl White Multi-Coat</v>
      </c>
      <c r="P2699" t="str">
        <f>IFERROR(__xludf.DUMMYFUNCTION("""COMPUTED_VALUE"""),"18 inch")</f>
        <v>18 inch</v>
      </c>
      <c r="Q2699" t="str">
        <f>IFERROR(__xludf.DUMMYFUNCTION("""COMPUTED_VALUE"""),"Black and White")</f>
        <v>Black and White</v>
      </c>
      <c r="R2699" t="str">
        <f>IFERROR(__xludf.DUMMYFUNCTION("""COMPUTED_VALUE"""),"Autopilot included")</f>
        <v>Autopilot included</v>
      </c>
      <c r="S2699" t="str">
        <f>IFERROR(__xludf.DUMMYFUNCTION("""COMPUTED_VALUE"""),"Loan")</f>
        <v>Loan</v>
      </c>
      <c r="T2699" t="str">
        <f>IFERROR(__xludf.DUMMYFUNCTION("""COMPUTED_VALUE"""),"Honda Civic Type R")</f>
        <v>Honda Civic Type R</v>
      </c>
      <c r="U2699" t="str">
        <f>IFERROR(__xludf.DUMMYFUNCTION("""COMPUTED_VALUE"""),"Electric!")</f>
        <v>Electric!</v>
      </c>
      <c r="V2699" t="str">
        <f>IFERROR(__xludf.DUMMYFUNCTION("""COMPUTED_VALUE"""),"Apple CarPlay / Android Auto / SiriusXM Radio")</f>
        <v>Apple CarPlay / Android Auto / SiriusXM Radio</v>
      </c>
      <c r="X2699" t="str">
        <f>IFERROR(__xludf.DUMMYFUNCTION("""COMPUTED_VALUE"""),"Very Good")</f>
        <v>Very Good</v>
      </c>
      <c r="Y2699" t="str">
        <f>IFERROR(__xludf.DUMMYFUNCTION("""COMPUTED_VALUE"""),"Excellent")</f>
        <v>Excellent</v>
      </c>
      <c r="Z2699" t="str">
        <f>IFERROR(__xludf.DUMMYFUNCTION("""COMPUTED_VALUE"""),"Very Good")</f>
        <v>Very Good</v>
      </c>
      <c r="AA2699" t="str">
        <f>IFERROR(__xludf.DUMMYFUNCTION("""COMPUTED_VALUE"""),"Excellent")</f>
        <v>Excellent</v>
      </c>
      <c r="AB2699" t="str">
        <f>IFERROR(__xludf.DUMMYFUNCTION("""COMPUTED_VALUE"""),"Excellent")</f>
        <v>Excellent</v>
      </c>
      <c r="AF2699" t="str">
        <f>IFERROR(__xludf.DUMMYFUNCTION("""COMPUTED_VALUE"""),"No. I took delivery of the first car Tesla was able to deliver.")</f>
        <v>No. I took delivery of the first car Tesla was able to deliver.</v>
      </c>
      <c r="AH2699" s="189">
        <f>IFERROR(__xludf.DUMMYFUNCTION("""COMPUTED_VALUE"""),44275.917026111114)</f>
        <v>44275.91703</v>
      </c>
    </row>
    <row r="2700">
      <c r="A2700" t="str">
        <f>IFERROR(__xludf.DUMMYFUNCTION("""COMPUTED_VALUE"""),"dquardt")</f>
        <v>dquardt</v>
      </c>
      <c r="B2700" t="str">
        <f>IFERROR(__xludf.DUMMYFUNCTION("""COMPUTED_VALUE"""),"Fort Wayne")</f>
        <v>Fort Wayne</v>
      </c>
      <c r="C2700" t="str">
        <f>IFERROR(__xludf.DUMMYFUNCTION("""COMPUTED_VALUE"""),"IN")</f>
        <v>IN</v>
      </c>
      <c r="D2700" t="str">
        <f>IFERROR(__xludf.DUMMYFUNCTION("""COMPUTED_VALUE"""),"USA")</f>
        <v>USA</v>
      </c>
      <c r="E2700" s="188">
        <f>IFERROR(__xludf.DUMMYFUNCTION("""COMPUTED_VALUE"""),44210.0)</f>
        <v>44210</v>
      </c>
      <c r="F2700" s="188">
        <f>IFERROR(__xludf.DUMMYFUNCTION("""COMPUTED_VALUE"""),44239.0)</f>
        <v>44239</v>
      </c>
      <c r="G2700" t="str">
        <f>IFERROR(__xludf.DUMMYFUNCTION("""COMPUTED_VALUE"""),"Manage order page (normal text)")</f>
        <v>Manage order page (normal text)</v>
      </c>
      <c r="H2700">
        <f>IFERROR(__xludf.DUMMYFUNCTION("""COMPUTED_VALUE"""),906655.0)</f>
        <v>906655</v>
      </c>
      <c r="I2700" t="str">
        <f>IFERROR(__xludf.DUMMYFUNCTION("""COMPUTED_VALUE"""),"02/21")</f>
        <v>02/21</v>
      </c>
      <c r="J2700" s="188">
        <f>IFERROR(__xludf.DUMMYFUNCTION("""COMPUTED_VALUE"""),44258.0)</f>
        <v>44258</v>
      </c>
      <c r="K2700">
        <f>IFERROR(__xludf.DUMMYFUNCTION("""COMPUTED_VALUE"""),29.0)</f>
        <v>29</v>
      </c>
      <c r="L2700">
        <f>IFERROR(__xludf.DUMMYFUNCTION("""COMPUTED_VALUE"""),19.0)</f>
        <v>19</v>
      </c>
      <c r="M2700">
        <f>IFERROR(__xludf.DUMMYFUNCTION("""COMPUTED_VALUE"""),48.0)</f>
        <v>48</v>
      </c>
      <c r="N2700" t="str">
        <f>IFERROR(__xludf.DUMMYFUNCTION("""COMPUTED_VALUE"""),"Model 3 LR AWD")</f>
        <v>Model 3 LR AWD</v>
      </c>
      <c r="O2700" t="str">
        <f>IFERROR(__xludf.DUMMYFUNCTION("""COMPUTED_VALUE"""),"Pearl White Multi-Coat")</f>
        <v>Pearl White Multi-Coat</v>
      </c>
      <c r="P2700" t="str">
        <f>IFERROR(__xludf.DUMMYFUNCTION("""COMPUTED_VALUE"""),"18 inch")</f>
        <v>18 inch</v>
      </c>
      <c r="Q2700" t="str">
        <f>IFERROR(__xludf.DUMMYFUNCTION("""COMPUTED_VALUE"""),"All Black")</f>
        <v>All Black</v>
      </c>
      <c r="R2700" t="str">
        <f>IFERROR(__xludf.DUMMYFUNCTION("""COMPUTED_VALUE"""),"Autopilot included")</f>
        <v>Autopilot included</v>
      </c>
      <c r="S2700" t="str">
        <f>IFERROR(__xludf.DUMMYFUNCTION("""COMPUTED_VALUE"""),"Loan")</f>
        <v>Loan</v>
      </c>
      <c r="T2700" t="str">
        <f>IFERROR(__xludf.DUMMYFUNCTION("""COMPUTED_VALUE"""),"Toyota Camry")</f>
        <v>Toyota Camry</v>
      </c>
      <c r="U2700" t="str">
        <f>IFERROR(__xludf.DUMMYFUNCTION("""COMPUTED_VALUE"""),"Electric!")</f>
        <v>Electric!</v>
      </c>
      <c r="V2700" t="str">
        <f>IFERROR(__xludf.DUMMYFUNCTION("""COMPUTED_VALUE"""),"Apple CarPlay / Android Auto / SiriusXM Radio")</f>
        <v>Apple CarPlay / Android Auto / SiriusXM Radio</v>
      </c>
      <c r="X2700" t="str">
        <f>IFERROR(__xludf.DUMMYFUNCTION("""COMPUTED_VALUE"""),"Very Good")</f>
        <v>Very Good</v>
      </c>
      <c r="Y2700" t="str">
        <f>IFERROR(__xludf.DUMMYFUNCTION("""COMPUTED_VALUE"""),"Very Good")</f>
        <v>Very Good</v>
      </c>
      <c r="Z2700" t="str">
        <f>IFERROR(__xludf.DUMMYFUNCTION("""COMPUTED_VALUE"""),"Very Good")</f>
        <v>Very Good</v>
      </c>
      <c r="AA2700" t="str">
        <f>IFERROR(__xludf.DUMMYFUNCTION("""COMPUTED_VALUE"""),"Good")</f>
        <v>Good</v>
      </c>
      <c r="AB2700" t="str">
        <f>IFERROR(__xludf.DUMMYFUNCTION("""COMPUTED_VALUE"""),"Excellent")</f>
        <v>Excellent</v>
      </c>
      <c r="AF2700" t="str">
        <f>IFERROR(__xludf.DUMMYFUNCTION("""COMPUTED_VALUE"""),"No. I took delivery of the first car Tesla was able to deliver.")</f>
        <v>No. I took delivery of the first car Tesla was able to deliver.</v>
      </c>
      <c r="AH2700" s="189">
        <f>IFERROR(__xludf.DUMMYFUNCTION("""COMPUTED_VALUE"""),44260.34349028935)</f>
        <v>44260.34349</v>
      </c>
    </row>
    <row r="2701">
      <c r="A2701" t="str">
        <f>IFERROR(__xludf.DUMMYFUNCTION("""COMPUTED_VALUE"""),"marshmellohs")</f>
        <v>marshmellohs</v>
      </c>
      <c r="C2701" t="str">
        <f>IFERROR(__xludf.DUMMYFUNCTION("""COMPUTED_VALUE"""),"VA")</f>
        <v>VA</v>
      </c>
      <c r="D2701" t="str">
        <f>IFERROR(__xludf.DUMMYFUNCTION("""COMPUTED_VALUE"""),"USA")</f>
        <v>USA</v>
      </c>
      <c r="E2701" s="188">
        <f>IFERROR(__xludf.DUMMYFUNCTION("""COMPUTED_VALUE"""),44212.0)</f>
        <v>44212</v>
      </c>
      <c r="F2701" s="188">
        <f>IFERROR(__xludf.DUMMYFUNCTION("""COMPUTED_VALUE"""),44261.0)</f>
        <v>44261</v>
      </c>
      <c r="G2701" t="str">
        <f>IFERROR(__xludf.DUMMYFUNCTION("""COMPUTED_VALUE"""),"Manage order page (normal text)")</f>
        <v>Manage order page (normal text)</v>
      </c>
      <c r="H2701">
        <f>IFERROR(__xludf.DUMMYFUNCTION("""COMPUTED_VALUE"""),903235.0)</f>
        <v>903235</v>
      </c>
      <c r="J2701" s="188">
        <f>IFERROR(__xludf.DUMMYFUNCTION("""COMPUTED_VALUE"""),44274.0)</f>
        <v>44274</v>
      </c>
      <c r="K2701">
        <f>IFERROR(__xludf.DUMMYFUNCTION("""COMPUTED_VALUE"""),49.0)</f>
        <v>49</v>
      </c>
      <c r="L2701">
        <f>IFERROR(__xludf.DUMMYFUNCTION("""COMPUTED_VALUE"""),13.0)</f>
        <v>13</v>
      </c>
      <c r="M2701">
        <f>IFERROR(__xludf.DUMMYFUNCTION("""COMPUTED_VALUE"""),62.0)</f>
        <v>62</v>
      </c>
      <c r="N2701" t="str">
        <f>IFERROR(__xludf.DUMMYFUNCTION("""COMPUTED_VALUE"""),"Model 3 LR AWD")</f>
        <v>Model 3 LR AWD</v>
      </c>
      <c r="O2701" t="str">
        <f>IFERROR(__xludf.DUMMYFUNCTION("""COMPUTED_VALUE"""),"Midnight Silver Metallic")</f>
        <v>Midnight Silver Metallic</v>
      </c>
      <c r="P2701" t="str">
        <f>IFERROR(__xludf.DUMMYFUNCTION("""COMPUTED_VALUE"""),"19 inch")</f>
        <v>19 inch</v>
      </c>
      <c r="Q2701" t="str">
        <f>IFERROR(__xludf.DUMMYFUNCTION("""COMPUTED_VALUE"""),"All Black")</f>
        <v>All Black</v>
      </c>
      <c r="R2701" t="str">
        <f>IFERROR(__xludf.DUMMYFUNCTION("""COMPUTED_VALUE"""),"Autopilot included")</f>
        <v>Autopilot included</v>
      </c>
      <c r="S2701" t="str">
        <f>IFERROR(__xludf.DUMMYFUNCTION("""COMPUTED_VALUE"""),"Loan")</f>
        <v>Loan</v>
      </c>
      <c r="T2701" t="str">
        <f>IFERROR(__xludf.DUMMYFUNCTION("""COMPUTED_VALUE"""),"Model 3 will be my first car!")</f>
        <v>Model 3 will be my first car!</v>
      </c>
      <c r="U2701" t="str">
        <f>IFERROR(__xludf.DUMMYFUNCTION("""COMPUTED_VALUE"""),"Electric!")</f>
        <v>Electric!</v>
      </c>
      <c r="V2701" t="str">
        <f>IFERROR(__xludf.DUMMYFUNCTION("""COMPUTED_VALUE"""),"Bioweapon defense mode")</f>
        <v>Bioweapon defense mode</v>
      </c>
      <c r="X2701" t="str">
        <f>IFERROR(__xludf.DUMMYFUNCTION("""COMPUTED_VALUE"""),"Excellent")</f>
        <v>Excellent</v>
      </c>
      <c r="Y2701" t="str">
        <f>IFERROR(__xludf.DUMMYFUNCTION("""COMPUTED_VALUE"""),"Excellent")</f>
        <v>Excellent</v>
      </c>
      <c r="Z2701" t="str">
        <f>IFERROR(__xludf.DUMMYFUNCTION("""COMPUTED_VALUE"""),"Very Good")</f>
        <v>Very Good</v>
      </c>
      <c r="AA2701" t="str">
        <f>IFERROR(__xludf.DUMMYFUNCTION("""COMPUTED_VALUE"""),"Excellent")</f>
        <v>Excellent</v>
      </c>
      <c r="AB2701" t="str">
        <f>IFERROR(__xludf.DUMMYFUNCTION("""COMPUTED_VALUE"""),"Excellent")</f>
        <v>Excellent</v>
      </c>
      <c r="AF2701" t="str">
        <f>IFERROR(__xludf.DUMMYFUNCTION("""COMPUTED_VALUE"""),"No. I took delivery of the first car Tesla was able to deliver.")</f>
        <v>No. I took delivery of the first car Tesla was able to deliver.</v>
      </c>
      <c r="AH2701" s="189">
        <f>IFERROR(__xludf.DUMMYFUNCTION("""COMPUTED_VALUE"""),44276.51627)</f>
        <v>44276.51627</v>
      </c>
    </row>
    <row r="2702">
      <c r="A2702" t="str">
        <f>IFERROR(__xludf.DUMMYFUNCTION("""COMPUTED_VALUE"""),"MITesla3")</f>
        <v>MITesla3</v>
      </c>
      <c r="B2702" t="str">
        <f>IFERROR(__xludf.DUMMYFUNCTION("""COMPUTED_VALUE"""),"Rockford")</f>
        <v>Rockford</v>
      </c>
      <c r="C2702" t="str">
        <f>IFERROR(__xludf.DUMMYFUNCTION("""COMPUTED_VALUE"""),"MI")</f>
        <v>MI</v>
      </c>
      <c r="D2702" t="str">
        <f>IFERROR(__xludf.DUMMYFUNCTION("""COMPUTED_VALUE"""),"USA")</f>
        <v>USA</v>
      </c>
      <c r="E2702" s="188">
        <f>IFERROR(__xludf.DUMMYFUNCTION("""COMPUTED_VALUE"""),44219.0)</f>
        <v>44219</v>
      </c>
      <c r="F2702" s="188">
        <f>IFERROR(__xludf.DUMMYFUNCTION("""COMPUTED_VALUE"""),44236.0)</f>
        <v>44236</v>
      </c>
      <c r="G2702" t="str">
        <f>IFERROR(__xludf.DUMMYFUNCTION("""COMPUTED_VALUE"""),"Manage order page (normal text)")</f>
        <v>Manage order page (normal text)</v>
      </c>
      <c r="J2702" s="188">
        <f>IFERROR(__xludf.DUMMYFUNCTION("""COMPUTED_VALUE"""),44249.0)</f>
        <v>44249</v>
      </c>
      <c r="K2702">
        <f>IFERROR(__xludf.DUMMYFUNCTION("""COMPUTED_VALUE"""),17.0)</f>
        <v>17</v>
      </c>
      <c r="L2702">
        <f>IFERROR(__xludf.DUMMYFUNCTION("""COMPUTED_VALUE"""),13.0)</f>
        <v>13</v>
      </c>
      <c r="M2702">
        <f>IFERROR(__xludf.DUMMYFUNCTION("""COMPUTED_VALUE"""),30.0)</f>
        <v>30</v>
      </c>
      <c r="N2702" t="str">
        <f>IFERROR(__xludf.DUMMYFUNCTION("""COMPUTED_VALUE"""),"Model 3 SR+")</f>
        <v>Model 3 SR+</v>
      </c>
      <c r="O2702" t="str">
        <f>IFERROR(__xludf.DUMMYFUNCTION("""COMPUTED_VALUE"""),"Solid Black")</f>
        <v>Solid Black</v>
      </c>
      <c r="P2702" t="str">
        <f>IFERROR(__xludf.DUMMYFUNCTION("""COMPUTED_VALUE"""),"18 inch")</f>
        <v>18 inch</v>
      </c>
      <c r="Q2702" t="str">
        <f>IFERROR(__xludf.DUMMYFUNCTION("""COMPUTED_VALUE"""),"All Black")</f>
        <v>All Black</v>
      </c>
      <c r="R2702" t="str">
        <f>IFERROR(__xludf.DUMMYFUNCTION("""COMPUTED_VALUE"""),"Autopilot included")</f>
        <v>Autopilot included</v>
      </c>
      <c r="S2702" t="str">
        <f>IFERROR(__xludf.DUMMYFUNCTION("""COMPUTED_VALUE"""),"Cash")</f>
        <v>Cash</v>
      </c>
      <c r="T2702" t="str">
        <f>IFERROR(__xludf.DUMMYFUNCTION("""COMPUTED_VALUE"""),"Ford Escape")</f>
        <v>Ford Escape</v>
      </c>
      <c r="U2702" t="str">
        <f>IFERROR(__xludf.DUMMYFUNCTION("""COMPUTED_VALUE"""),"Electric!")</f>
        <v>Electric!</v>
      </c>
      <c r="V2702" t="str">
        <f>IFERROR(__xludf.DUMMYFUNCTION("""COMPUTED_VALUE"""),"Air suspension")</f>
        <v>Air suspension</v>
      </c>
      <c r="W2702" t="str">
        <f>IFERROR(__xludf.DUMMYFUNCTION("""COMPUTED_VALUE"""),"Look over the car but not too much, it's  just a car.")</f>
        <v>Look over the car but not too much, it's  just a car.</v>
      </c>
      <c r="X2702" t="str">
        <f>IFERROR(__xludf.DUMMYFUNCTION("""COMPUTED_VALUE"""),"Excellent")</f>
        <v>Excellent</v>
      </c>
      <c r="Y2702" t="str">
        <f>IFERROR(__xludf.DUMMYFUNCTION("""COMPUTED_VALUE"""),"Excellent")</f>
        <v>Excellent</v>
      </c>
      <c r="Z2702" t="str">
        <f>IFERROR(__xludf.DUMMYFUNCTION("""COMPUTED_VALUE"""),"Good")</f>
        <v>Good</v>
      </c>
      <c r="AA2702" t="str">
        <f>IFERROR(__xludf.DUMMYFUNCTION("""COMPUTED_VALUE"""),"Very Good")</f>
        <v>Very Good</v>
      </c>
      <c r="AB2702" t="str">
        <f>IFERROR(__xludf.DUMMYFUNCTION("""COMPUTED_VALUE"""),"Good")</f>
        <v>Good</v>
      </c>
      <c r="AC2702">
        <f>IFERROR(__xludf.DUMMYFUNCTION("""COMPUTED_VALUE"""),1.0)</f>
        <v>1</v>
      </c>
      <c r="AD2702">
        <f>IFERROR(__xludf.DUMMYFUNCTION("""COMPUTED_VALUE"""),0.0)</f>
        <v>0</v>
      </c>
      <c r="AE2702">
        <f>IFERROR(__xludf.DUMMYFUNCTION("""COMPUTED_VALUE"""),0.0)</f>
        <v>0</v>
      </c>
      <c r="AF2702" t="str">
        <f>IFERROR(__xludf.DUMMYFUNCTION("""COMPUTED_VALUE"""),"No. I took delivery of the first car Tesla was able to deliver.")</f>
        <v>No. I took delivery of the first car Tesla was able to deliver.</v>
      </c>
      <c r="AG2702" t="str">
        <f>IFERROR(__xludf.DUMMYFUNCTION("""COMPUTED_VALUE"""),"I had a 4 inch scratch on the back panel under the trunk. Tesla will fix it in the next 6 months at a time of my choosing.  ")</f>
        <v>I had a 4 inch scratch on the back panel under the trunk. Tesla will fix it in the next 6 months at a time of my choosing.  </v>
      </c>
      <c r="AH2702" s="189">
        <f>IFERROR(__xludf.DUMMYFUNCTION("""COMPUTED_VALUE"""),44257.265199490736)</f>
        <v>44257.2652</v>
      </c>
    </row>
    <row r="2703">
      <c r="A2703" t="str">
        <f>IFERROR(__xludf.DUMMYFUNCTION("""COMPUTED_VALUE"""),"sepheralicus")</f>
        <v>sepheralicus</v>
      </c>
      <c r="C2703" t="str">
        <f>IFERROR(__xludf.DUMMYFUNCTION("""COMPUTED_VALUE"""),"OK")</f>
        <v>OK</v>
      </c>
      <c r="D2703" t="str">
        <f>IFERROR(__xludf.DUMMYFUNCTION("""COMPUTED_VALUE"""),"USA")</f>
        <v>USA</v>
      </c>
      <c r="E2703" s="188">
        <f>IFERROR(__xludf.DUMMYFUNCTION("""COMPUTED_VALUE"""),44213.0)</f>
        <v>44213</v>
      </c>
      <c r="F2703" s="188">
        <f>IFERROR(__xludf.DUMMYFUNCTION("""COMPUTED_VALUE"""),44233.0)</f>
        <v>44233</v>
      </c>
      <c r="G2703" t="str">
        <f>IFERROR(__xludf.DUMMYFUNCTION("""COMPUTED_VALUE"""),"Manage order page (normal text)")</f>
        <v>Manage order page (normal text)</v>
      </c>
      <c r="H2703">
        <f>IFERROR(__xludf.DUMMYFUNCTION("""COMPUTED_VALUE"""),902355.0)</f>
        <v>902355</v>
      </c>
      <c r="J2703" s="188">
        <f>IFERROR(__xludf.DUMMYFUNCTION("""COMPUTED_VALUE"""),44253.0)</f>
        <v>44253</v>
      </c>
      <c r="K2703">
        <f>IFERROR(__xludf.DUMMYFUNCTION("""COMPUTED_VALUE"""),20.0)</f>
        <v>20</v>
      </c>
      <c r="L2703">
        <f>IFERROR(__xludf.DUMMYFUNCTION("""COMPUTED_VALUE"""),20.0)</f>
        <v>20</v>
      </c>
      <c r="M2703">
        <f>IFERROR(__xludf.DUMMYFUNCTION("""COMPUTED_VALUE"""),40.0)</f>
        <v>40</v>
      </c>
      <c r="N2703" t="str">
        <f>IFERROR(__xludf.DUMMYFUNCTION("""COMPUTED_VALUE"""),"Model 3 LR AWD")</f>
        <v>Model 3 LR AWD</v>
      </c>
      <c r="O2703" t="str">
        <f>IFERROR(__xludf.DUMMYFUNCTION("""COMPUTED_VALUE"""),"Deep Blue Metallic")</f>
        <v>Deep Blue Metallic</v>
      </c>
      <c r="P2703" t="str">
        <f>IFERROR(__xludf.DUMMYFUNCTION("""COMPUTED_VALUE"""),"18 inch")</f>
        <v>18 inch</v>
      </c>
      <c r="Q2703" t="str">
        <f>IFERROR(__xludf.DUMMYFUNCTION("""COMPUTED_VALUE"""),"All Black")</f>
        <v>All Black</v>
      </c>
      <c r="R2703" t="str">
        <f>IFERROR(__xludf.DUMMYFUNCTION("""COMPUTED_VALUE"""),"Autopilot included")</f>
        <v>Autopilot included</v>
      </c>
      <c r="S2703" t="str">
        <f>IFERROR(__xludf.DUMMYFUNCTION("""COMPUTED_VALUE"""),"Loan")</f>
        <v>Loan</v>
      </c>
      <c r="T2703" t="str">
        <f>IFERROR(__xludf.DUMMYFUNCTION("""COMPUTED_VALUE"""),"BMW Z3")</f>
        <v>BMW Z3</v>
      </c>
      <c r="U2703" t="str">
        <f>IFERROR(__xludf.DUMMYFUNCTION("""COMPUTED_VALUE"""),"Electric!")</f>
        <v>Electric!</v>
      </c>
      <c r="V2703" t="str">
        <f>IFERROR(__xludf.DUMMYFUNCTION("""COMPUTED_VALUE"""),"Head-up display")</f>
        <v>Head-up display</v>
      </c>
      <c r="X2703" t="str">
        <f>IFERROR(__xludf.DUMMYFUNCTION("""COMPUTED_VALUE"""),"Very Good")</f>
        <v>Very Good</v>
      </c>
      <c r="Y2703" t="str">
        <f>IFERROR(__xludf.DUMMYFUNCTION("""COMPUTED_VALUE"""),"Very Good")</f>
        <v>Very Good</v>
      </c>
      <c r="Z2703" t="str">
        <f>IFERROR(__xludf.DUMMYFUNCTION("""COMPUTED_VALUE"""),"Very Good")</f>
        <v>Very Good</v>
      </c>
      <c r="AA2703" t="str">
        <f>IFERROR(__xludf.DUMMYFUNCTION("""COMPUTED_VALUE"""),"Fair")</f>
        <v>Fair</v>
      </c>
      <c r="AB2703" t="str">
        <f>IFERROR(__xludf.DUMMYFUNCTION("""COMPUTED_VALUE"""),"Very Good")</f>
        <v>Very Good</v>
      </c>
      <c r="AF2703" t="str">
        <f>IFERROR(__xludf.DUMMYFUNCTION("""COMPUTED_VALUE"""),"No. I took delivery of the first car Tesla was able to deliver.")</f>
        <v>No. I took delivery of the first car Tesla was able to deliver.</v>
      </c>
      <c r="AH2703" s="189">
        <f>IFERROR(__xludf.DUMMYFUNCTION("""COMPUTED_VALUE"""),44258.73094138889)</f>
        <v>44258.73094</v>
      </c>
    </row>
    <row r="2704">
      <c r="A2704" t="str">
        <f>IFERROR(__xludf.DUMMYFUNCTION("""COMPUTED_VALUE"""),"Alairmore")</f>
        <v>Alairmore</v>
      </c>
      <c r="B2704" t="str">
        <f>IFERROR(__xludf.DUMMYFUNCTION("""COMPUTED_VALUE"""),"Anaheim")</f>
        <v>Anaheim</v>
      </c>
      <c r="C2704" t="str">
        <f>IFERROR(__xludf.DUMMYFUNCTION("""COMPUTED_VALUE"""),"CA")</f>
        <v>CA</v>
      </c>
      <c r="D2704" t="str">
        <f>IFERROR(__xludf.DUMMYFUNCTION("""COMPUTED_VALUE"""),"USA")</f>
        <v>USA</v>
      </c>
      <c r="E2704" s="188">
        <f>IFERROR(__xludf.DUMMYFUNCTION("""COMPUTED_VALUE"""),44225.0)</f>
        <v>44225</v>
      </c>
      <c r="F2704" s="188">
        <f>IFERROR(__xludf.DUMMYFUNCTION("""COMPUTED_VALUE"""),44258.0)</f>
        <v>44258</v>
      </c>
      <c r="G2704" t="str">
        <f>IFERROR(__xludf.DUMMYFUNCTION("""COMPUTED_VALUE"""),"Manage order page (normal text)")</f>
        <v>Manage order page (normal text)</v>
      </c>
      <c r="H2704">
        <f>IFERROR(__xludf.DUMMYFUNCTION("""COMPUTED_VALUE"""),921155.0)</f>
        <v>921155</v>
      </c>
      <c r="I2704" t="str">
        <f>IFERROR(__xludf.DUMMYFUNCTION("""COMPUTED_VALUE"""),"03/21")</f>
        <v>03/21</v>
      </c>
      <c r="J2704" s="188">
        <f>IFERROR(__xludf.DUMMYFUNCTION("""COMPUTED_VALUE"""),44261.0)</f>
        <v>44261</v>
      </c>
      <c r="K2704">
        <f>IFERROR(__xludf.DUMMYFUNCTION("""COMPUTED_VALUE"""),33.0)</f>
        <v>33</v>
      </c>
      <c r="L2704">
        <f>IFERROR(__xludf.DUMMYFUNCTION("""COMPUTED_VALUE"""),3.0)</f>
        <v>3</v>
      </c>
      <c r="M2704">
        <f>IFERROR(__xludf.DUMMYFUNCTION("""COMPUTED_VALUE"""),36.0)</f>
        <v>36</v>
      </c>
      <c r="N2704" t="str">
        <f>IFERROR(__xludf.DUMMYFUNCTION("""COMPUTED_VALUE"""),"Model 3 SR+")</f>
        <v>Model 3 SR+</v>
      </c>
      <c r="O2704" t="str">
        <f>IFERROR(__xludf.DUMMYFUNCTION("""COMPUTED_VALUE"""),"Pearl White Multi-Coat")</f>
        <v>Pearl White Multi-Coat</v>
      </c>
      <c r="P2704" t="str">
        <f>IFERROR(__xludf.DUMMYFUNCTION("""COMPUTED_VALUE"""),"18 inch")</f>
        <v>18 inch</v>
      </c>
      <c r="Q2704" t="str">
        <f>IFERROR(__xludf.DUMMYFUNCTION("""COMPUTED_VALUE"""),"All Black")</f>
        <v>All Black</v>
      </c>
      <c r="R2704" t="str">
        <f>IFERROR(__xludf.DUMMYFUNCTION("""COMPUTED_VALUE"""),"Autopilot included")</f>
        <v>Autopilot included</v>
      </c>
      <c r="S2704" t="str">
        <f>IFERROR(__xludf.DUMMYFUNCTION("""COMPUTED_VALUE"""),"Loan")</f>
        <v>Loan</v>
      </c>
      <c r="T2704" t="str">
        <f>IFERROR(__xludf.DUMMYFUNCTION("""COMPUTED_VALUE"""),"Toyota Tacoma TRD-Off Road")</f>
        <v>Toyota Tacoma TRD-Off Road</v>
      </c>
      <c r="U2704" t="str">
        <f>IFERROR(__xludf.DUMMYFUNCTION("""COMPUTED_VALUE"""),"Electric!")</f>
        <v>Electric!</v>
      </c>
      <c r="V2704" t="str">
        <f>IFERROR(__xludf.DUMMYFUNCTION("""COMPUTED_VALUE"""),"Ventilated seats")</f>
        <v>Ventilated seats</v>
      </c>
      <c r="W2704" t="str">
        <f>IFERROR(__xludf.DUMMYFUNCTION("""COMPUTED_VALUE"""),"Patients, Lots of It")</f>
        <v>Patients, Lots of It</v>
      </c>
      <c r="X2704" t="str">
        <f>IFERROR(__xludf.DUMMYFUNCTION("""COMPUTED_VALUE"""),"Good")</f>
        <v>Good</v>
      </c>
      <c r="Y2704" t="str">
        <f>IFERROR(__xludf.DUMMYFUNCTION("""COMPUTED_VALUE"""),"Very Good")</f>
        <v>Very Good</v>
      </c>
      <c r="Z2704" t="str">
        <f>IFERROR(__xludf.DUMMYFUNCTION("""COMPUTED_VALUE"""),"Poor")</f>
        <v>Poor</v>
      </c>
      <c r="AA2704" t="str">
        <f>IFERROR(__xludf.DUMMYFUNCTION("""COMPUTED_VALUE"""),"Fair")</f>
        <v>Fair</v>
      </c>
      <c r="AB2704" t="str">
        <f>IFERROR(__xludf.DUMMYFUNCTION("""COMPUTED_VALUE"""),"Poor")</f>
        <v>Poor</v>
      </c>
      <c r="AC2704">
        <f>IFERROR(__xludf.DUMMYFUNCTION("""COMPUTED_VALUE"""),4.0)</f>
        <v>4</v>
      </c>
      <c r="AF2704" t="str">
        <f>IFERROR(__xludf.DUMMYFUNCTION("""COMPUTED_VALUE"""),"No. I took delivery of the first car Tesla was able to deliver.")</f>
        <v>No. I took delivery of the first car Tesla was able to deliver.</v>
      </c>
      <c r="AH2704" s="189">
        <f>IFERROR(__xludf.DUMMYFUNCTION("""COMPUTED_VALUE"""),44261.94378891204)</f>
        <v>44261.94379</v>
      </c>
    </row>
    <row r="2705">
      <c r="A2705" t="str">
        <f>IFERROR(__xludf.DUMMYFUNCTION("""COMPUTED_VALUE"""),"SeaM3White2021")</f>
        <v>SeaM3White2021</v>
      </c>
      <c r="B2705" t="str">
        <f>IFERROR(__xludf.DUMMYFUNCTION("""COMPUTED_VALUE"""),"Seattle")</f>
        <v>Seattle</v>
      </c>
      <c r="C2705" t="str">
        <f>IFERROR(__xludf.DUMMYFUNCTION("""COMPUTED_VALUE"""),"WA")</f>
        <v>WA</v>
      </c>
      <c r="D2705" t="str">
        <f>IFERROR(__xludf.DUMMYFUNCTION("""COMPUTED_VALUE"""),"USA")</f>
        <v>USA</v>
      </c>
      <c r="E2705" s="188">
        <f>IFERROR(__xludf.DUMMYFUNCTION("""COMPUTED_VALUE"""),44217.0)</f>
        <v>44217</v>
      </c>
      <c r="F2705" s="188">
        <f>IFERROR(__xludf.DUMMYFUNCTION("""COMPUTED_VALUE"""),44271.0)</f>
        <v>44271</v>
      </c>
      <c r="G2705" t="str">
        <f>IFERROR(__xludf.DUMMYFUNCTION("""COMPUTED_VALUE"""),"Manage order page (normal text)")</f>
        <v>Manage order page (normal text)</v>
      </c>
      <c r="H2705">
        <f>IFERROR(__xludf.DUMMYFUNCTION("""COMPUTED_VALUE"""),927055.0)</f>
        <v>927055</v>
      </c>
      <c r="I2705" t="str">
        <f>IFERROR(__xludf.DUMMYFUNCTION("""COMPUTED_VALUE"""),"03/21")</f>
        <v>03/21</v>
      </c>
      <c r="J2705" s="188">
        <f>IFERROR(__xludf.DUMMYFUNCTION("""COMPUTED_VALUE"""),44274.0)</f>
        <v>44274</v>
      </c>
      <c r="K2705">
        <f>IFERROR(__xludf.DUMMYFUNCTION("""COMPUTED_VALUE"""),54.0)</f>
        <v>54</v>
      </c>
      <c r="L2705">
        <f>IFERROR(__xludf.DUMMYFUNCTION("""COMPUTED_VALUE"""),3.0)</f>
        <v>3</v>
      </c>
      <c r="M2705">
        <f>IFERROR(__xludf.DUMMYFUNCTION("""COMPUTED_VALUE"""),57.0)</f>
        <v>57</v>
      </c>
      <c r="N2705" t="str">
        <f>IFERROR(__xludf.DUMMYFUNCTION("""COMPUTED_VALUE"""),"Model 3 LR AWD")</f>
        <v>Model 3 LR AWD</v>
      </c>
      <c r="O2705" t="str">
        <f>IFERROR(__xludf.DUMMYFUNCTION("""COMPUTED_VALUE"""),"Pearl White Multi-Coat")</f>
        <v>Pearl White Multi-Coat</v>
      </c>
      <c r="P2705" t="str">
        <f>IFERROR(__xludf.DUMMYFUNCTION("""COMPUTED_VALUE"""),"18 inch")</f>
        <v>18 inch</v>
      </c>
      <c r="Q2705" t="str">
        <f>IFERROR(__xludf.DUMMYFUNCTION("""COMPUTED_VALUE"""),"Black and White")</f>
        <v>Black and White</v>
      </c>
      <c r="R2705" t="str">
        <f>IFERROR(__xludf.DUMMYFUNCTION("""COMPUTED_VALUE"""),"Autopilot included")</f>
        <v>Autopilot included</v>
      </c>
      <c r="S2705" t="str">
        <f>IFERROR(__xludf.DUMMYFUNCTION("""COMPUTED_VALUE"""),"Cash")</f>
        <v>Cash</v>
      </c>
      <c r="T2705" t="str">
        <f>IFERROR(__xludf.DUMMYFUNCTION("""COMPUTED_VALUE"""),"Chevy Bolt")</f>
        <v>Chevy Bolt</v>
      </c>
      <c r="U2705" t="str">
        <f>IFERROR(__xludf.DUMMYFUNCTION("""COMPUTED_VALUE"""),"Range")</f>
        <v>Range</v>
      </c>
      <c r="V2705" t="str">
        <f>IFERROR(__xludf.DUMMYFUNCTION("""COMPUTED_VALUE"""),"Heated steering wheel")</f>
        <v>Heated steering wheel</v>
      </c>
      <c r="W2705" t="str">
        <f>IFERROR(__xludf.DUMMYFUNCTION("""COMPUTED_VALUE"""),"you can adjust your frunk and trunk yourself if you are inclined.  Be aware of the easy adjustments you can make.  ")</f>
        <v>you can adjust your frunk and trunk yourself if you are inclined.  Be aware of the easy adjustments you can make.  </v>
      </c>
      <c r="X2705" t="str">
        <f>IFERROR(__xludf.DUMMYFUNCTION("""COMPUTED_VALUE"""),"Very Good")</f>
        <v>Very Good</v>
      </c>
      <c r="Y2705" t="str">
        <f>IFERROR(__xludf.DUMMYFUNCTION("""COMPUTED_VALUE"""),"Excellent")</f>
        <v>Excellent</v>
      </c>
      <c r="Z2705" t="str">
        <f>IFERROR(__xludf.DUMMYFUNCTION("""COMPUTED_VALUE"""),"Excellent")</f>
        <v>Excellent</v>
      </c>
      <c r="AA2705" t="str">
        <f>IFERROR(__xludf.DUMMYFUNCTION("""COMPUTED_VALUE"""),"Excellent")</f>
        <v>Excellent</v>
      </c>
      <c r="AB2705" t="str">
        <f>IFERROR(__xludf.DUMMYFUNCTION("""COMPUTED_VALUE"""),"Very Good")</f>
        <v>Very Good</v>
      </c>
      <c r="AC2705">
        <f>IFERROR(__xludf.DUMMYFUNCTION("""COMPUTED_VALUE"""),1.0)</f>
        <v>1</v>
      </c>
      <c r="AD2705">
        <f>IFERROR(__xludf.DUMMYFUNCTION("""COMPUTED_VALUE"""),0.0)</f>
        <v>0</v>
      </c>
      <c r="AE2705">
        <f>IFERROR(__xludf.DUMMYFUNCTION("""COMPUTED_VALUE"""),0.0)</f>
        <v>0</v>
      </c>
      <c r="AF2705" t="str">
        <f>IFERROR(__xludf.DUMMYFUNCTION("""COMPUTED_VALUE"""),"No. I took delivery of the first car Tesla was able to deliver.")</f>
        <v>No. I took delivery of the first car Tesla was able to deliver.</v>
      </c>
      <c r="AG2705" t="str">
        <f>IFERROR(__xludf.DUMMYFUNCTION("""COMPUTED_VALUE"""),"Be aware of the current workarounds for accessing Google services for YouTube, etc.. ")</f>
        <v>Be aware of the current workarounds for accessing Google services for YouTube, etc.. </v>
      </c>
      <c r="AH2705" s="189">
        <f>IFERROR(__xludf.DUMMYFUNCTION("""COMPUTED_VALUE"""),44277.463324212964)</f>
        <v>44277.46332</v>
      </c>
    </row>
    <row r="2706">
      <c r="A2706" t="str">
        <f>IFERROR(__xludf.DUMMYFUNCTION("""COMPUTED_VALUE"""),"HappyDude")</f>
        <v>HappyDude</v>
      </c>
      <c r="B2706" t="str">
        <f>IFERROR(__xludf.DUMMYFUNCTION("""COMPUTED_VALUE"""),"Phoenix")</f>
        <v>Phoenix</v>
      </c>
      <c r="C2706" t="str">
        <f>IFERROR(__xludf.DUMMYFUNCTION("""COMPUTED_VALUE"""),"AZ")</f>
        <v>AZ</v>
      </c>
      <c r="D2706" t="str">
        <f>IFERROR(__xludf.DUMMYFUNCTION("""COMPUTED_VALUE"""),"USA")</f>
        <v>USA</v>
      </c>
      <c r="E2706" s="188">
        <f>IFERROR(__xludf.DUMMYFUNCTION("""COMPUTED_VALUE"""),44231.0)</f>
        <v>44231</v>
      </c>
      <c r="F2706" s="188">
        <f>IFERROR(__xludf.DUMMYFUNCTION("""COMPUTED_VALUE"""),44274.0)</f>
        <v>44274</v>
      </c>
      <c r="G2706" t="str">
        <f>IFERROR(__xludf.DUMMYFUNCTION("""COMPUTED_VALUE"""),"Manage order page (normal text)")</f>
        <v>Manage order page (normal text)</v>
      </c>
      <c r="H2706">
        <f>IFERROR(__xludf.DUMMYFUNCTION("""COMPUTED_VALUE"""),914955.0)</f>
        <v>914955</v>
      </c>
      <c r="I2706" t="str">
        <f>IFERROR(__xludf.DUMMYFUNCTION("""COMPUTED_VALUE"""),"03/21")</f>
        <v>03/21</v>
      </c>
      <c r="J2706" s="188">
        <f>IFERROR(__xludf.DUMMYFUNCTION("""COMPUTED_VALUE"""),44275.0)</f>
        <v>44275</v>
      </c>
      <c r="K2706">
        <f>IFERROR(__xludf.DUMMYFUNCTION("""COMPUTED_VALUE"""),43.0)</f>
        <v>43</v>
      </c>
      <c r="L2706">
        <f>IFERROR(__xludf.DUMMYFUNCTION("""COMPUTED_VALUE"""),1.0)</f>
        <v>1</v>
      </c>
      <c r="M2706">
        <f>IFERROR(__xludf.DUMMYFUNCTION("""COMPUTED_VALUE"""),44.0)</f>
        <v>44</v>
      </c>
      <c r="N2706" t="str">
        <f>IFERROR(__xludf.DUMMYFUNCTION("""COMPUTED_VALUE"""),"Model 3 LR AWD")</f>
        <v>Model 3 LR AWD</v>
      </c>
      <c r="O2706" t="str">
        <f>IFERROR(__xludf.DUMMYFUNCTION("""COMPUTED_VALUE"""),"Deep Blue Metallic")</f>
        <v>Deep Blue Metallic</v>
      </c>
      <c r="P2706" t="str">
        <f>IFERROR(__xludf.DUMMYFUNCTION("""COMPUTED_VALUE"""),"18 inch")</f>
        <v>18 inch</v>
      </c>
      <c r="Q2706" t="str">
        <f>IFERROR(__xludf.DUMMYFUNCTION("""COMPUTED_VALUE"""),"All Black")</f>
        <v>All Black</v>
      </c>
      <c r="R2706" t="str">
        <f>IFERROR(__xludf.DUMMYFUNCTION("""COMPUTED_VALUE"""),"Autopilot included")</f>
        <v>Autopilot included</v>
      </c>
      <c r="T2706" t="str">
        <f>IFERROR(__xludf.DUMMYFUNCTION("""COMPUTED_VALUE"""),"Hyundai Ioniq Plug-In")</f>
        <v>Hyundai Ioniq Plug-In</v>
      </c>
      <c r="U2706" t="str">
        <f>IFERROR(__xludf.DUMMYFUNCTION("""COMPUTED_VALUE"""),"It is so fun to drive")</f>
        <v>It is so fun to drive</v>
      </c>
      <c r="V2706" t="str">
        <f>IFERROR(__xludf.DUMMYFUNCTION("""COMPUTED_VALUE"""),"Head-up display")</f>
        <v>Head-up display</v>
      </c>
      <c r="X2706" t="str">
        <f>IFERROR(__xludf.DUMMYFUNCTION("""COMPUTED_VALUE"""),"Excellent")</f>
        <v>Excellent</v>
      </c>
      <c r="Y2706" t="str">
        <f>IFERROR(__xludf.DUMMYFUNCTION("""COMPUTED_VALUE"""),"Excellent")</f>
        <v>Excellent</v>
      </c>
      <c r="Z2706" t="str">
        <f>IFERROR(__xludf.DUMMYFUNCTION("""COMPUTED_VALUE"""),"Excellent")</f>
        <v>Excellent</v>
      </c>
      <c r="AA2706" t="str">
        <f>IFERROR(__xludf.DUMMYFUNCTION("""COMPUTED_VALUE"""),"Fair")</f>
        <v>Fair</v>
      </c>
      <c r="AB2706" t="str">
        <f>IFERROR(__xludf.DUMMYFUNCTION("""COMPUTED_VALUE"""),"Excellent")</f>
        <v>Excellent</v>
      </c>
      <c r="AF2706" t="str">
        <f>IFERROR(__xludf.DUMMYFUNCTION("""COMPUTED_VALUE"""),"No. I took delivery of the first car Tesla was able to deliver.")</f>
        <v>No. I took delivery of the first car Tesla was able to deliver.</v>
      </c>
      <c r="AH2706" s="189">
        <f>IFERROR(__xludf.DUMMYFUNCTION("""COMPUTED_VALUE"""),44276.084179247686)</f>
        <v>44276.08418</v>
      </c>
    </row>
    <row r="2707">
      <c r="A2707" t="str">
        <f>IFERROR(__xludf.DUMMYFUNCTION("""COMPUTED_VALUE"""),"HarryWillie")</f>
        <v>HarryWillie</v>
      </c>
      <c r="B2707" t="str">
        <f>IFERROR(__xludf.DUMMYFUNCTION("""COMPUTED_VALUE"""),"Little Rock")</f>
        <v>Little Rock</v>
      </c>
      <c r="C2707" t="str">
        <f>IFERROR(__xludf.DUMMYFUNCTION("""COMPUTED_VALUE"""),"AR")</f>
        <v>AR</v>
      </c>
      <c r="D2707" t="str">
        <f>IFERROR(__xludf.DUMMYFUNCTION("""COMPUTED_VALUE"""),"USA")</f>
        <v>USA</v>
      </c>
      <c r="E2707" s="188">
        <f>IFERROR(__xludf.DUMMYFUNCTION("""COMPUTED_VALUE"""),44218.0)</f>
        <v>44218</v>
      </c>
      <c r="F2707" s="188">
        <f>IFERROR(__xludf.DUMMYFUNCTION("""COMPUTED_VALUE"""),44272.0)</f>
        <v>44272</v>
      </c>
      <c r="G2707" t="str">
        <f>IFERROR(__xludf.DUMMYFUNCTION("""COMPUTED_VALUE"""),"Manage order page (normal text)")</f>
        <v>Manage order page (normal text)</v>
      </c>
      <c r="H2707">
        <f>IFERROR(__xludf.DUMMYFUNCTION("""COMPUTED_VALUE"""),927155.0)</f>
        <v>927155</v>
      </c>
      <c r="I2707" t="str">
        <f>IFERROR(__xludf.DUMMYFUNCTION("""COMPUTED_VALUE"""),"03/21")</f>
        <v>03/21</v>
      </c>
      <c r="J2707" s="188">
        <f>IFERROR(__xludf.DUMMYFUNCTION("""COMPUTED_VALUE"""),44282.0)</f>
        <v>44282</v>
      </c>
      <c r="K2707">
        <f>IFERROR(__xludf.DUMMYFUNCTION("""COMPUTED_VALUE"""),54.0)</f>
        <v>54</v>
      </c>
      <c r="L2707">
        <f>IFERROR(__xludf.DUMMYFUNCTION("""COMPUTED_VALUE"""),10.0)</f>
        <v>10</v>
      </c>
      <c r="M2707">
        <f>IFERROR(__xludf.DUMMYFUNCTION("""COMPUTED_VALUE"""),64.0)</f>
        <v>64</v>
      </c>
      <c r="N2707" t="str">
        <f>IFERROR(__xludf.DUMMYFUNCTION("""COMPUTED_VALUE"""),"Model 3 LR AWD")</f>
        <v>Model 3 LR AWD</v>
      </c>
      <c r="O2707" t="str">
        <f>IFERROR(__xludf.DUMMYFUNCTION("""COMPUTED_VALUE"""),"Pearl White Multi-Coat")</f>
        <v>Pearl White Multi-Coat</v>
      </c>
      <c r="P2707" t="str">
        <f>IFERROR(__xludf.DUMMYFUNCTION("""COMPUTED_VALUE"""),"18 inch")</f>
        <v>18 inch</v>
      </c>
      <c r="Q2707" t="str">
        <f>IFERROR(__xludf.DUMMYFUNCTION("""COMPUTED_VALUE"""),"Black and White")</f>
        <v>Black and White</v>
      </c>
      <c r="R2707" t="str">
        <f>IFERROR(__xludf.DUMMYFUNCTION("""COMPUTED_VALUE"""),"Autopilot included")</f>
        <v>Autopilot included</v>
      </c>
      <c r="S2707" t="str">
        <f>IFERROR(__xludf.DUMMYFUNCTION("""COMPUTED_VALUE"""),"Loan")</f>
        <v>Loan</v>
      </c>
      <c r="T2707" t="str">
        <f>IFERROR(__xludf.DUMMYFUNCTION("""COMPUTED_VALUE"""),"Ford Mustang")</f>
        <v>Ford Mustang</v>
      </c>
      <c r="U2707" t="str">
        <f>IFERROR(__xludf.DUMMYFUNCTION("""COMPUTED_VALUE"""),"Electric!")</f>
        <v>Electric!</v>
      </c>
      <c r="V2707" t="str">
        <f>IFERROR(__xludf.DUMMYFUNCTION("""COMPUTED_VALUE"""),"Head-up display")</f>
        <v>Head-up display</v>
      </c>
      <c r="W2707" t="str">
        <f>IFERROR(__xludf.DUMMYFUNCTION("""COMPUTED_VALUE"""),"Complete all of the Pre-Delivery tasks ASAP. Including Financing.")</f>
        <v>Complete all of the Pre-Delivery tasks ASAP. Including Financing.</v>
      </c>
      <c r="X2707" t="str">
        <f>IFERROR(__xludf.DUMMYFUNCTION("""COMPUTED_VALUE"""),"Excellent")</f>
        <v>Excellent</v>
      </c>
      <c r="Y2707" t="str">
        <f>IFERROR(__xludf.DUMMYFUNCTION("""COMPUTED_VALUE"""),"Excellent")</f>
        <v>Excellent</v>
      </c>
      <c r="Z2707" t="str">
        <f>IFERROR(__xludf.DUMMYFUNCTION("""COMPUTED_VALUE"""),"Excellent")</f>
        <v>Excellent</v>
      </c>
      <c r="AA2707" t="str">
        <f>IFERROR(__xludf.DUMMYFUNCTION("""COMPUTED_VALUE"""),"Good")</f>
        <v>Good</v>
      </c>
      <c r="AB2707" t="str">
        <f>IFERROR(__xludf.DUMMYFUNCTION("""COMPUTED_VALUE"""),"Excellent")</f>
        <v>Excellent</v>
      </c>
      <c r="AC2707">
        <f>IFERROR(__xludf.DUMMYFUNCTION("""COMPUTED_VALUE"""),0.0)</f>
        <v>0</v>
      </c>
      <c r="AD2707">
        <f>IFERROR(__xludf.DUMMYFUNCTION("""COMPUTED_VALUE"""),0.0)</f>
        <v>0</v>
      </c>
      <c r="AE2707">
        <f>IFERROR(__xludf.DUMMYFUNCTION("""COMPUTED_VALUE"""),0.0)</f>
        <v>0</v>
      </c>
      <c r="AF2707" t="str">
        <f>IFERROR(__xludf.DUMMYFUNCTION("""COMPUTED_VALUE"""),"No. I took delivery of the first car Tesla was able to deliver.")</f>
        <v>No. I took delivery of the first car Tesla was able to deliver.</v>
      </c>
      <c r="AH2707" s="189">
        <f>IFERROR(__xludf.DUMMYFUNCTION("""COMPUTED_VALUE"""),44284.47940818287)</f>
        <v>44284.47941</v>
      </c>
    </row>
    <row r="2708">
      <c r="A2708" t="str">
        <f>IFERROR(__xludf.DUMMYFUNCTION("""COMPUTED_VALUE"""),"dortmundfan93")</f>
        <v>dortmundfan93</v>
      </c>
      <c r="C2708" t="str">
        <f>IFERROR(__xludf.DUMMYFUNCTION("""COMPUTED_VALUE"""),"NY")</f>
        <v>NY</v>
      </c>
      <c r="D2708" t="str">
        <f>IFERROR(__xludf.DUMMYFUNCTION("""COMPUTED_VALUE"""),"USA")</f>
        <v>USA</v>
      </c>
      <c r="E2708" s="188">
        <f>IFERROR(__xludf.DUMMYFUNCTION("""COMPUTED_VALUE"""),44193.0)</f>
        <v>44193</v>
      </c>
      <c r="F2708" s="188">
        <f>IFERROR(__xludf.DUMMYFUNCTION("""COMPUTED_VALUE"""),44237.0)</f>
        <v>44237</v>
      </c>
      <c r="G2708" t="str">
        <f>IFERROR(__xludf.DUMMYFUNCTION("""COMPUTED_VALUE"""),"Manage order page (normal text)")</f>
        <v>Manage order page (normal text)</v>
      </c>
      <c r="H2708">
        <f>IFERROR(__xludf.DUMMYFUNCTION("""COMPUTED_VALUE"""),902855.0)</f>
        <v>902855</v>
      </c>
      <c r="I2708" t="str">
        <f>IFERROR(__xludf.DUMMYFUNCTION("""COMPUTED_VALUE"""),"02/21")</f>
        <v>02/21</v>
      </c>
      <c r="J2708" s="188">
        <f>IFERROR(__xludf.DUMMYFUNCTION("""COMPUTED_VALUE"""),44248.0)</f>
        <v>44248</v>
      </c>
      <c r="K2708">
        <f>IFERROR(__xludf.DUMMYFUNCTION("""COMPUTED_VALUE"""),44.0)</f>
        <v>44</v>
      </c>
      <c r="L2708">
        <f>IFERROR(__xludf.DUMMYFUNCTION("""COMPUTED_VALUE"""),11.0)</f>
        <v>11</v>
      </c>
      <c r="M2708">
        <f>IFERROR(__xludf.DUMMYFUNCTION("""COMPUTED_VALUE"""),55.0)</f>
        <v>55</v>
      </c>
      <c r="N2708" t="str">
        <f>IFERROR(__xludf.DUMMYFUNCTION("""COMPUTED_VALUE"""),"Model 3 LR AWD")</f>
        <v>Model 3 LR AWD</v>
      </c>
      <c r="O2708" t="str">
        <f>IFERROR(__xludf.DUMMYFUNCTION("""COMPUTED_VALUE"""),"Red Multi-Coat")</f>
        <v>Red Multi-Coat</v>
      </c>
      <c r="P2708" t="str">
        <f>IFERROR(__xludf.DUMMYFUNCTION("""COMPUTED_VALUE"""),"18 inch")</f>
        <v>18 inch</v>
      </c>
      <c r="Q2708" t="str">
        <f>IFERROR(__xludf.DUMMYFUNCTION("""COMPUTED_VALUE"""),"All Black")</f>
        <v>All Black</v>
      </c>
      <c r="R2708" t="str">
        <f>IFERROR(__xludf.DUMMYFUNCTION("""COMPUTED_VALUE"""),"Autopilot included")</f>
        <v>Autopilot included</v>
      </c>
      <c r="S2708" t="str">
        <f>IFERROR(__xludf.DUMMYFUNCTION("""COMPUTED_VALUE"""),"Loan")</f>
        <v>Loan</v>
      </c>
      <c r="T2708" t="str">
        <f>IFERROR(__xludf.DUMMYFUNCTION("""COMPUTED_VALUE"""),"BMW 3 Series")</f>
        <v>BMW 3 Series</v>
      </c>
      <c r="U2708" t="str">
        <f>IFERROR(__xludf.DUMMYFUNCTION("""COMPUTED_VALUE"""),"Autopilot")</f>
        <v>Autopilot</v>
      </c>
      <c r="V2708" t="str">
        <f>IFERROR(__xludf.DUMMYFUNCTION("""COMPUTED_VALUE"""),"Apple CarPlay / Android Auto / SiriusXM Radio")</f>
        <v>Apple CarPlay / Android Auto / SiriusXM Radio</v>
      </c>
      <c r="X2708" t="str">
        <f>IFERROR(__xludf.DUMMYFUNCTION("""COMPUTED_VALUE"""),"Excellent")</f>
        <v>Excellent</v>
      </c>
      <c r="Y2708" t="str">
        <f>IFERROR(__xludf.DUMMYFUNCTION("""COMPUTED_VALUE"""),"Very Good")</f>
        <v>Very Good</v>
      </c>
      <c r="Z2708" t="str">
        <f>IFERROR(__xludf.DUMMYFUNCTION("""COMPUTED_VALUE"""),"Excellent")</f>
        <v>Excellent</v>
      </c>
      <c r="AA2708" t="str">
        <f>IFERROR(__xludf.DUMMYFUNCTION("""COMPUTED_VALUE"""),"Fair")</f>
        <v>Fair</v>
      </c>
      <c r="AB2708" t="str">
        <f>IFERROR(__xludf.DUMMYFUNCTION("""COMPUTED_VALUE"""),"Very Good")</f>
        <v>Very Good</v>
      </c>
      <c r="AF2708" t="str">
        <f>IFERROR(__xludf.DUMMYFUNCTION("""COMPUTED_VALUE"""),"No. I took delivery of the first car Tesla was able to deliver.")</f>
        <v>No. I took delivery of the first car Tesla was able to deliver.</v>
      </c>
      <c r="AH2708" s="189">
        <f>IFERROR(__xludf.DUMMYFUNCTION("""COMPUTED_VALUE"""),44256.36286741898)</f>
        <v>44256.36287</v>
      </c>
    </row>
    <row r="2709">
      <c r="A2709" t="str">
        <f>IFERROR(__xludf.DUMMYFUNCTION("""COMPUTED_VALUE"""),"kentanolan")</f>
        <v>kentanolan</v>
      </c>
      <c r="B2709" t="str">
        <f>IFERROR(__xludf.DUMMYFUNCTION("""COMPUTED_VALUE"""),"Salt Lake City")</f>
        <v>Salt Lake City</v>
      </c>
      <c r="C2709" t="str">
        <f>IFERROR(__xludf.DUMMYFUNCTION("""COMPUTED_VALUE"""),"UT")</f>
        <v>UT</v>
      </c>
      <c r="D2709" t="str">
        <f>IFERROR(__xludf.DUMMYFUNCTION("""COMPUTED_VALUE"""),"USA")</f>
        <v>USA</v>
      </c>
      <c r="E2709" s="188">
        <f>IFERROR(__xludf.DUMMYFUNCTION("""COMPUTED_VALUE"""),44232.0)</f>
        <v>44232</v>
      </c>
      <c r="F2709" s="188">
        <f>IFERROR(__xludf.DUMMYFUNCTION("""COMPUTED_VALUE"""),44254.0)</f>
        <v>44254</v>
      </c>
      <c r="G2709" t="str">
        <f>IFERROR(__xludf.DUMMYFUNCTION("""COMPUTED_VALUE"""),"Manage order page (normal text)")</f>
        <v>Manage order page (normal text)</v>
      </c>
      <c r="H2709">
        <f>IFERROR(__xludf.DUMMYFUNCTION("""COMPUTED_VALUE"""),915355.0)</f>
        <v>915355</v>
      </c>
      <c r="I2709" t="str">
        <f>IFERROR(__xludf.DUMMYFUNCTION("""COMPUTED_VALUE"""),"02/21")</f>
        <v>02/21</v>
      </c>
      <c r="J2709" s="188">
        <f>IFERROR(__xludf.DUMMYFUNCTION("""COMPUTED_VALUE"""),44259.0)</f>
        <v>44259</v>
      </c>
      <c r="K2709">
        <f>IFERROR(__xludf.DUMMYFUNCTION("""COMPUTED_VALUE"""),22.0)</f>
        <v>22</v>
      </c>
      <c r="L2709">
        <f>IFERROR(__xludf.DUMMYFUNCTION("""COMPUTED_VALUE"""),5.0)</f>
        <v>5</v>
      </c>
      <c r="M2709">
        <f>IFERROR(__xludf.DUMMYFUNCTION("""COMPUTED_VALUE"""),27.0)</f>
        <v>27</v>
      </c>
      <c r="N2709" t="str">
        <f>IFERROR(__xludf.DUMMYFUNCTION("""COMPUTED_VALUE"""),"Model 3 SR+")</f>
        <v>Model 3 SR+</v>
      </c>
      <c r="O2709" t="str">
        <f>IFERROR(__xludf.DUMMYFUNCTION("""COMPUTED_VALUE"""),"Midnight Silver Metallic")</f>
        <v>Midnight Silver Metallic</v>
      </c>
      <c r="P2709" t="str">
        <f>IFERROR(__xludf.DUMMYFUNCTION("""COMPUTED_VALUE"""),"18 inch")</f>
        <v>18 inch</v>
      </c>
      <c r="Q2709" t="str">
        <f>IFERROR(__xludf.DUMMYFUNCTION("""COMPUTED_VALUE"""),"All Black")</f>
        <v>All Black</v>
      </c>
      <c r="R2709" t="str">
        <f>IFERROR(__xludf.DUMMYFUNCTION("""COMPUTED_VALUE"""),"Autopilot included")</f>
        <v>Autopilot included</v>
      </c>
      <c r="S2709" t="str">
        <f>IFERROR(__xludf.DUMMYFUNCTION("""COMPUTED_VALUE"""),"Loan")</f>
        <v>Loan</v>
      </c>
      <c r="U2709" t="str">
        <f>IFERROR(__xludf.DUMMYFUNCTION("""COMPUTED_VALUE"""),"Electric!")</f>
        <v>Electric!</v>
      </c>
      <c r="V2709" t="str">
        <f>IFERROR(__xludf.DUMMYFUNCTION("""COMPUTED_VALUE"""),"Head-up display")</f>
        <v>Head-up display</v>
      </c>
      <c r="X2709" t="str">
        <f>IFERROR(__xludf.DUMMYFUNCTION("""COMPUTED_VALUE"""),"Excellent")</f>
        <v>Excellent</v>
      </c>
      <c r="Y2709" t="str">
        <f>IFERROR(__xludf.DUMMYFUNCTION("""COMPUTED_VALUE"""),"Excellent")</f>
        <v>Excellent</v>
      </c>
      <c r="Z2709" t="str">
        <f>IFERROR(__xludf.DUMMYFUNCTION("""COMPUTED_VALUE"""),"Very Good")</f>
        <v>Very Good</v>
      </c>
      <c r="AA2709" t="str">
        <f>IFERROR(__xludf.DUMMYFUNCTION("""COMPUTED_VALUE"""),"Very Good")</f>
        <v>Very Good</v>
      </c>
      <c r="AB2709" t="str">
        <f>IFERROR(__xludf.DUMMYFUNCTION("""COMPUTED_VALUE"""),"Very Good")</f>
        <v>Very Good</v>
      </c>
      <c r="AC2709">
        <f>IFERROR(__xludf.DUMMYFUNCTION("""COMPUTED_VALUE"""),2.0)</f>
        <v>2</v>
      </c>
      <c r="AD2709">
        <f>IFERROR(__xludf.DUMMYFUNCTION("""COMPUTED_VALUE"""),1.0)</f>
        <v>1</v>
      </c>
      <c r="AF2709" t="str">
        <f>IFERROR(__xludf.DUMMYFUNCTION("""COMPUTED_VALUE"""),"No. I took delivery of the first car Tesla was able to deliver.")</f>
        <v>No. I took delivery of the first car Tesla was able to deliver.</v>
      </c>
      <c r="AH2709" s="189">
        <f>IFERROR(__xludf.DUMMYFUNCTION("""COMPUTED_VALUE"""),44272.79463263889)</f>
        <v>44272.79463</v>
      </c>
    </row>
    <row r="2710">
      <c r="A2710" t="str">
        <f>IFERROR(__xludf.DUMMYFUNCTION("""COMPUTED_VALUE"""),"DoctorNomNom")</f>
        <v>DoctorNomNom</v>
      </c>
      <c r="B2710" t="str">
        <f>IFERROR(__xludf.DUMMYFUNCTION("""COMPUTED_VALUE"""),"Columbus")</f>
        <v>Columbus</v>
      </c>
      <c r="C2710" t="str">
        <f>IFERROR(__xludf.DUMMYFUNCTION("""COMPUTED_VALUE"""),"OH")</f>
        <v>OH</v>
      </c>
      <c r="D2710" t="str">
        <f>IFERROR(__xludf.DUMMYFUNCTION("""COMPUTED_VALUE"""),"USA")</f>
        <v>USA</v>
      </c>
      <c r="E2710" s="188">
        <f>IFERROR(__xludf.DUMMYFUNCTION("""COMPUTED_VALUE"""),44235.0)</f>
        <v>44235</v>
      </c>
      <c r="F2710" s="188">
        <f>IFERROR(__xludf.DUMMYFUNCTION("""COMPUTED_VALUE"""),44261.0)</f>
        <v>44261</v>
      </c>
      <c r="G2710" t="str">
        <f>IFERROR(__xludf.DUMMYFUNCTION("""COMPUTED_VALUE"""),"Manage order page (normal text)")</f>
        <v>Manage order page (normal text)</v>
      </c>
      <c r="H2710">
        <f>IFERROR(__xludf.DUMMYFUNCTION("""COMPUTED_VALUE"""),903096.0)</f>
        <v>903096</v>
      </c>
      <c r="J2710" s="188">
        <f>IFERROR(__xludf.DUMMYFUNCTION("""COMPUTED_VALUE"""),44273.0)</f>
        <v>44273</v>
      </c>
      <c r="K2710">
        <f>IFERROR(__xludf.DUMMYFUNCTION("""COMPUTED_VALUE"""),26.0)</f>
        <v>26</v>
      </c>
      <c r="L2710">
        <f>IFERROR(__xludf.DUMMYFUNCTION("""COMPUTED_VALUE"""),12.0)</f>
        <v>12</v>
      </c>
      <c r="M2710">
        <f>IFERROR(__xludf.DUMMYFUNCTION("""COMPUTED_VALUE"""),38.0)</f>
        <v>38</v>
      </c>
      <c r="N2710" t="str">
        <f>IFERROR(__xludf.DUMMYFUNCTION("""COMPUTED_VALUE"""),"Model 3 LR AWD")</f>
        <v>Model 3 LR AWD</v>
      </c>
      <c r="O2710" t="str">
        <f>IFERROR(__xludf.DUMMYFUNCTION("""COMPUTED_VALUE"""),"Midnight Silver Metallic")</f>
        <v>Midnight Silver Metallic</v>
      </c>
      <c r="P2710" t="str">
        <f>IFERROR(__xludf.DUMMYFUNCTION("""COMPUTED_VALUE"""),"18 inch")</f>
        <v>18 inch</v>
      </c>
      <c r="Q2710" t="str">
        <f>IFERROR(__xludf.DUMMYFUNCTION("""COMPUTED_VALUE"""),"Black and White")</f>
        <v>Black and White</v>
      </c>
      <c r="R2710" t="str">
        <f>IFERROR(__xludf.DUMMYFUNCTION("""COMPUTED_VALUE"""),"Autopilot included")</f>
        <v>Autopilot included</v>
      </c>
      <c r="S2710" t="str">
        <f>IFERROR(__xludf.DUMMYFUNCTION("""COMPUTED_VALUE"""),"Loan")</f>
        <v>Loan</v>
      </c>
      <c r="T2710" t="str">
        <f>IFERROR(__xludf.DUMMYFUNCTION("""COMPUTED_VALUE"""),"BMW X1")</f>
        <v>BMW X1</v>
      </c>
      <c r="U2710" t="str">
        <f>IFERROR(__xludf.DUMMYFUNCTION("""COMPUTED_VALUE"""),"Electric!")</f>
        <v>Electric!</v>
      </c>
      <c r="V2710" t="str">
        <f>IFERROR(__xludf.DUMMYFUNCTION("""COMPUTED_VALUE"""),"Head-up display")</f>
        <v>Head-up display</v>
      </c>
      <c r="X2710" t="str">
        <f>IFERROR(__xludf.DUMMYFUNCTION("""COMPUTED_VALUE"""),"Excellent")</f>
        <v>Excellent</v>
      </c>
      <c r="Y2710" t="str">
        <f>IFERROR(__xludf.DUMMYFUNCTION("""COMPUTED_VALUE"""),"Excellent")</f>
        <v>Excellent</v>
      </c>
      <c r="Z2710" t="str">
        <f>IFERROR(__xludf.DUMMYFUNCTION("""COMPUTED_VALUE"""),"Excellent")</f>
        <v>Excellent</v>
      </c>
      <c r="AA2710" t="str">
        <f>IFERROR(__xludf.DUMMYFUNCTION("""COMPUTED_VALUE"""),"Excellent")</f>
        <v>Excellent</v>
      </c>
      <c r="AB2710" t="str">
        <f>IFERROR(__xludf.DUMMYFUNCTION("""COMPUTED_VALUE"""),"Excellent")</f>
        <v>Excellent</v>
      </c>
      <c r="AC2710">
        <f>IFERROR(__xludf.DUMMYFUNCTION("""COMPUTED_VALUE"""),0.0)</f>
        <v>0</v>
      </c>
      <c r="AD2710">
        <f>IFERROR(__xludf.DUMMYFUNCTION("""COMPUTED_VALUE"""),1.0)</f>
        <v>1</v>
      </c>
      <c r="AE2710">
        <f>IFERROR(__xludf.DUMMYFUNCTION("""COMPUTED_VALUE"""),0.0)</f>
        <v>0</v>
      </c>
      <c r="AF2710" t="str">
        <f>IFERROR(__xludf.DUMMYFUNCTION("""COMPUTED_VALUE"""),"No. I took delivery of the first car Tesla was able to deliver.")</f>
        <v>No. I took delivery of the first car Tesla was able to deliver.</v>
      </c>
      <c r="AH2710" s="189">
        <f>IFERROR(__xludf.DUMMYFUNCTION("""COMPUTED_VALUE"""),44274.437080185184)</f>
        <v>44274.43708</v>
      </c>
    </row>
    <row r="2711">
      <c r="A2711" t="str">
        <f>IFERROR(__xludf.DUMMYFUNCTION("""COMPUTED_VALUE"""),"SpeedLab-3")</f>
        <v>SpeedLab-3</v>
      </c>
      <c r="B2711" t="str">
        <f>IFERROR(__xludf.DUMMYFUNCTION("""COMPUTED_VALUE"""),"Boynton Beach ")</f>
        <v>Boynton Beach </v>
      </c>
      <c r="C2711" t="str">
        <f>IFERROR(__xludf.DUMMYFUNCTION("""COMPUTED_VALUE"""),"FL")</f>
        <v>FL</v>
      </c>
      <c r="D2711" t="str">
        <f>IFERROR(__xludf.DUMMYFUNCTION("""COMPUTED_VALUE"""),"USA")</f>
        <v>USA</v>
      </c>
      <c r="E2711" s="188">
        <f>IFERROR(__xludf.DUMMYFUNCTION("""COMPUTED_VALUE"""),44211.0)</f>
        <v>44211</v>
      </c>
      <c r="F2711" s="188">
        <f>IFERROR(__xludf.DUMMYFUNCTION("""COMPUTED_VALUE"""),44252.0)</f>
        <v>44252</v>
      </c>
      <c r="G2711" t="str">
        <f>IFERROR(__xludf.DUMMYFUNCTION("""COMPUTED_VALUE"""),"Manage order page (normal text)")</f>
        <v>Manage order page (normal text)</v>
      </c>
      <c r="H2711">
        <f>IFERROR(__xludf.DUMMYFUNCTION("""COMPUTED_VALUE"""),914155.0)</f>
        <v>914155</v>
      </c>
      <c r="J2711" s="188">
        <f>IFERROR(__xludf.DUMMYFUNCTION("""COMPUTED_VALUE"""),44270.0)</f>
        <v>44270</v>
      </c>
      <c r="K2711">
        <f>IFERROR(__xludf.DUMMYFUNCTION("""COMPUTED_VALUE"""),41.0)</f>
        <v>41</v>
      </c>
      <c r="L2711">
        <f>IFERROR(__xludf.DUMMYFUNCTION("""COMPUTED_VALUE"""),18.0)</f>
        <v>18</v>
      </c>
      <c r="M2711">
        <f>IFERROR(__xludf.DUMMYFUNCTION("""COMPUTED_VALUE"""),59.0)</f>
        <v>59</v>
      </c>
      <c r="N2711" t="str">
        <f>IFERROR(__xludf.DUMMYFUNCTION("""COMPUTED_VALUE"""),"Model 3 Performance")</f>
        <v>Model 3 Performance</v>
      </c>
      <c r="O2711" t="str">
        <f>IFERROR(__xludf.DUMMYFUNCTION("""COMPUTED_VALUE"""),"Deep Blue Metallic")</f>
        <v>Deep Blue Metallic</v>
      </c>
      <c r="P2711" t="str">
        <f>IFERROR(__xludf.DUMMYFUNCTION("""COMPUTED_VALUE"""),"20 inch")</f>
        <v>20 inch</v>
      </c>
      <c r="Q2711" t="str">
        <f>IFERROR(__xludf.DUMMYFUNCTION("""COMPUTED_VALUE"""),"All Black")</f>
        <v>All Black</v>
      </c>
      <c r="R2711" t="str">
        <f>IFERROR(__xludf.DUMMYFUNCTION("""COMPUTED_VALUE"""),"Autopilot included")</f>
        <v>Autopilot included</v>
      </c>
      <c r="S2711" t="str">
        <f>IFERROR(__xludf.DUMMYFUNCTION("""COMPUTED_VALUE"""),"Loan")</f>
        <v>Loan</v>
      </c>
      <c r="T2711" t="str">
        <f>IFERROR(__xludf.DUMMYFUNCTION("""COMPUTED_VALUE"""),"Abarth 500")</f>
        <v>Abarth 500</v>
      </c>
      <c r="U2711" t="str">
        <f>IFERROR(__xludf.DUMMYFUNCTION("""COMPUTED_VALUE"""),"Autopilot")</f>
        <v>Autopilot</v>
      </c>
      <c r="V2711" t="str">
        <f>IFERROR(__xludf.DUMMYFUNCTION("""COMPUTED_VALUE"""),"Head-up display")</f>
        <v>Head-up display</v>
      </c>
      <c r="W2711" t="str">
        <f>IFERROR(__xludf.DUMMYFUNCTION("""COMPUTED_VALUE"""),"Patience")</f>
        <v>Patience</v>
      </c>
      <c r="AH2711" s="189">
        <f>IFERROR(__xludf.DUMMYFUNCTION("""COMPUTED_VALUE"""),44252.540830405094)</f>
        <v>44252.54083</v>
      </c>
    </row>
    <row r="2712">
      <c r="A2712" t="str">
        <f>IFERROR(__xludf.DUMMYFUNCTION("""COMPUTED_VALUE"""),"Mark57")</f>
        <v>Mark57</v>
      </c>
      <c r="B2712" t="str">
        <f>IFERROR(__xludf.DUMMYFUNCTION("""COMPUTED_VALUE"""),"OKC")</f>
        <v>OKC</v>
      </c>
      <c r="C2712" t="str">
        <f>IFERROR(__xludf.DUMMYFUNCTION("""COMPUTED_VALUE"""),"OK")</f>
        <v>OK</v>
      </c>
      <c r="D2712" t="str">
        <f>IFERROR(__xludf.DUMMYFUNCTION("""COMPUTED_VALUE"""),"USA")</f>
        <v>USA</v>
      </c>
      <c r="E2712" s="188">
        <f>IFERROR(__xludf.DUMMYFUNCTION("""COMPUTED_VALUE"""),44217.0)</f>
        <v>44217</v>
      </c>
      <c r="F2712" s="188">
        <f>IFERROR(__xludf.DUMMYFUNCTION("""COMPUTED_VALUE"""),44233.0)</f>
        <v>44233</v>
      </c>
      <c r="G2712" t="str">
        <f>IFERROR(__xludf.DUMMYFUNCTION("""COMPUTED_VALUE"""),"Email")</f>
        <v>Email</v>
      </c>
      <c r="H2712">
        <f>IFERROR(__xludf.DUMMYFUNCTION("""COMPUTED_VALUE"""),902355.0)</f>
        <v>902355</v>
      </c>
      <c r="I2712" t="str">
        <f>IFERROR(__xludf.DUMMYFUNCTION("""COMPUTED_VALUE"""),"02/21")</f>
        <v>02/21</v>
      </c>
      <c r="J2712" s="188">
        <f>IFERROR(__xludf.DUMMYFUNCTION("""COMPUTED_VALUE"""),44247.0)</f>
        <v>44247</v>
      </c>
      <c r="K2712">
        <f>IFERROR(__xludf.DUMMYFUNCTION("""COMPUTED_VALUE"""),16.0)</f>
        <v>16</v>
      </c>
      <c r="L2712">
        <f>IFERROR(__xludf.DUMMYFUNCTION("""COMPUTED_VALUE"""),14.0)</f>
        <v>14</v>
      </c>
      <c r="M2712">
        <f>IFERROR(__xludf.DUMMYFUNCTION("""COMPUTED_VALUE"""),30.0)</f>
        <v>30</v>
      </c>
      <c r="N2712" t="str">
        <f>IFERROR(__xludf.DUMMYFUNCTION("""COMPUTED_VALUE"""),"Model 3 LR AWD")</f>
        <v>Model 3 LR AWD</v>
      </c>
      <c r="O2712" t="str">
        <f>IFERROR(__xludf.DUMMYFUNCTION("""COMPUTED_VALUE"""),"Deep Blue Metallic")</f>
        <v>Deep Blue Metallic</v>
      </c>
      <c r="P2712" t="str">
        <f>IFERROR(__xludf.DUMMYFUNCTION("""COMPUTED_VALUE"""),"18 inch")</f>
        <v>18 inch</v>
      </c>
      <c r="Q2712" t="str">
        <f>IFERROR(__xludf.DUMMYFUNCTION("""COMPUTED_VALUE"""),"All Black")</f>
        <v>All Black</v>
      </c>
      <c r="R2712" t="str">
        <f>IFERROR(__xludf.DUMMYFUNCTION("""COMPUTED_VALUE"""),"Autopilot included")</f>
        <v>Autopilot included</v>
      </c>
      <c r="S2712" t="str">
        <f>IFERROR(__xludf.DUMMYFUNCTION("""COMPUTED_VALUE"""),"Cash")</f>
        <v>Cash</v>
      </c>
      <c r="U2712" t="str">
        <f>IFERROR(__xludf.DUMMYFUNCTION("""COMPUTED_VALUE"""),"Electric!")</f>
        <v>Electric!</v>
      </c>
      <c r="V2712" t="str">
        <f>IFERROR(__xludf.DUMMYFUNCTION("""COMPUTED_VALUE"""),"Air suspension")</f>
        <v>Air suspension</v>
      </c>
      <c r="W2712" t="str">
        <f>IFERROR(__xludf.DUMMYFUNCTION("""COMPUTED_VALUE"""),"Patience")</f>
        <v>Patience</v>
      </c>
      <c r="X2712" t="str">
        <f>IFERROR(__xludf.DUMMYFUNCTION("""COMPUTED_VALUE"""),"Excellent")</f>
        <v>Excellent</v>
      </c>
      <c r="Y2712" t="str">
        <f>IFERROR(__xludf.DUMMYFUNCTION("""COMPUTED_VALUE"""),"Excellent")</f>
        <v>Excellent</v>
      </c>
      <c r="Z2712" t="str">
        <f>IFERROR(__xludf.DUMMYFUNCTION("""COMPUTED_VALUE"""),"Excellent")</f>
        <v>Excellent</v>
      </c>
      <c r="AA2712" t="str">
        <f>IFERROR(__xludf.DUMMYFUNCTION("""COMPUTED_VALUE"""),"Excellent")</f>
        <v>Excellent</v>
      </c>
      <c r="AB2712" t="str">
        <f>IFERROR(__xludf.DUMMYFUNCTION("""COMPUTED_VALUE"""),"Excellent")</f>
        <v>Excellent</v>
      </c>
      <c r="AC2712">
        <f>IFERROR(__xludf.DUMMYFUNCTION("""COMPUTED_VALUE"""),0.0)</f>
        <v>0</v>
      </c>
      <c r="AD2712">
        <f>IFERROR(__xludf.DUMMYFUNCTION("""COMPUTED_VALUE"""),0.0)</f>
        <v>0</v>
      </c>
      <c r="AE2712">
        <f>IFERROR(__xludf.DUMMYFUNCTION("""COMPUTED_VALUE"""),0.0)</f>
        <v>0</v>
      </c>
      <c r="AF2712" t="str">
        <f>IFERROR(__xludf.DUMMYFUNCTION("""COMPUTED_VALUE"""),"No. I took delivery of the first car Tesla was able to deliver.")</f>
        <v>No. I took delivery of the first car Tesla was able to deliver.</v>
      </c>
      <c r="AH2712" s="189">
        <f>IFERROR(__xludf.DUMMYFUNCTION("""COMPUTED_VALUE"""),44236.40671113426)</f>
        <v>44236.40671</v>
      </c>
    </row>
    <row r="2713">
      <c r="A2713" t="str">
        <f>IFERROR(__xludf.DUMMYFUNCTION("""COMPUTED_VALUE"""),"Quinn13")</f>
        <v>Quinn13</v>
      </c>
      <c r="B2713" t="str">
        <f>IFERROR(__xludf.DUMMYFUNCTION("""COMPUTED_VALUE"""),"Minneapolis")</f>
        <v>Minneapolis</v>
      </c>
      <c r="C2713" t="str">
        <f>IFERROR(__xludf.DUMMYFUNCTION("""COMPUTED_VALUE"""),"MN")</f>
        <v>MN</v>
      </c>
      <c r="D2713" t="str">
        <f>IFERROR(__xludf.DUMMYFUNCTION("""COMPUTED_VALUE"""),"USA")</f>
        <v>USA</v>
      </c>
      <c r="E2713" s="188">
        <f>IFERROR(__xludf.DUMMYFUNCTION("""COMPUTED_VALUE"""),44226.0)</f>
        <v>44226</v>
      </c>
      <c r="F2713" s="188">
        <f>IFERROR(__xludf.DUMMYFUNCTION("""COMPUTED_VALUE"""),44238.0)</f>
        <v>44238</v>
      </c>
      <c r="G2713" t="str">
        <f>IFERROR(__xludf.DUMMYFUNCTION("""COMPUTED_VALUE"""),"Manage order page (normal text)")</f>
        <v>Manage order page (normal text)</v>
      </c>
      <c r="H2713">
        <f>IFERROR(__xludf.DUMMYFUNCTION("""COMPUTED_VALUE"""),902155.0)</f>
        <v>902155</v>
      </c>
      <c r="J2713" s="188">
        <f>IFERROR(__xludf.DUMMYFUNCTION("""COMPUTED_VALUE"""),44244.0)</f>
        <v>44244</v>
      </c>
      <c r="K2713">
        <f>IFERROR(__xludf.DUMMYFUNCTION("""COMPUTED_VALUE"""),12.0)</f>
        <v>12</v>
      </c>
      <c r="L2713">
        <f>IFERROR(__xludf.DUMMYFUNCTION("""COMPUTED_VALUE"""),6.0)</f>
        <v>6</v>
      </c>
      <c r="M2713">
        <f>IFERROR(__xludf.DUMMYFUNCTION("""COMPUTED_VALUE"""),18.0)</f>
        <v>18</v>
      </c>
      <c r="N2713" t="str">
        <f>IFERROR(__xludf.DUMMYFUNCTION("""COMPUTED_VALUE"""),"Model 3 LR AWD")</f>
        <v>Model 3 LR AWD</v>
      </c>
      <c r="O2713" t="str">
        <f>IFERROR(__xludf.DUMMYFUNCTION("""COMPUTED_VALUE"""),"Pearl White Multi-Coat")</f>
        <v>Pearl White Multi-Coat</v>
      </c>
      <c r="P2713" t="str">
        <f>IFERROR(__xludf.DUMMYFUNCTION("""COMPUTED_VALUE"""),"18 inch")</f>
        <v>18 inch</v>
      </c>
      <c r="Q2713" t="str">
        <f>IFERROR(__xludf.DUMMYFUNCTION("""COMPUTED_VALUE"""),"All Black")</f>
        <v>All Black</v>
      </c>
      <c r="R2713" t="str">
        <f>IFERROR(__xludf.DUMMYFUNCTION("""COMPUTED_VALUE"""),"Autopilot included")</f>
        <v>Autopilot included</v>
      </c>
      <c r="S2713" t="str">
        <f>IFERROR(__xludf.DUMMYFUNCTION("""COMPUTED_VALUE"""),"Loan")</f>
        <v>Loan</v>
      </c>
      <c r="T2713" t="str">
        <f>IFERROR(__xludf.DUMMYFUNCTION("""COMPUTED_VALUE"""),"Hyundai Elantra")</f>
        <v>Hyundai Elantra</v>
      </c>
      <c r="U2713" t="str">
        <f>IFERROR(__xludf.DUMMYFUNCTION("""COMPUTED_VALUE"""),"Electric!")</f>
        <v>Electric!</v>
      </c>
      <c r="V2713" t="str">
        <f>IFERROR(__xludf.DUMMYFUNCTION("""COMPUTED_VALUE"""),"Heated steering wheel")</f>
        <v>Heated steering wheel</v>
      </c>
      <c r="W2713" t="str">
        <f>IFERROR(__xludf.DUMMYFUNCTION("""COMPUTED_VALUE"""),"Be patient, you'll love the car when you get it.")</f>
        <v>Be patient, you'll love the car when you get it.</v>
      </c>
      <c r="X2713" t="str">
        <f>IFERROR(__xludf.DUMMYFUNCTION("""COMPUTED_VALUE"""),"Excellent")</f>
        <v>Excellent</v>
      </c>
      <c r="Y2713" t="str">
        <f>IFERROR(__xludf.DUMMYFUNCTION("""COMPUTED_VALUE"""),"Excellent")</f>
        <v>Excellent</v>
      </c>
      <c r="Z2713" t="str">
        <f>IFERROR(__xludf.DUMMYFUNCTION("""COMPUTED_VALUE"""),"Excellent")</f>
        <v>Excellent</v>
      </c>
      <c r="AA2713" t="str">
        <f>IFERROR(__xludf.DUMMYFUNCTION("""COMPUTED_VALUE"""),"Very Good")</f>
        <v>Very Good</v>
      </c>
      <c r="AB2713" t="str">
        <f>IFERROR(__xludf.DUMMYFUNCTION("""COMPUTED_VALUE"""),"Excellent")</f>
        <v>Excellent</v>
      </c>
      <c r="AC2713">
        <f>IFERROR(__xludf.DUMMYFUNCTION("""COMPUTED_VALUE"""),0.0)</f>
        <v>0</v>
      </c>
      <c r="AF2713" t="str">
        <f>IFERROR(__xludf.DUMMYFUNCTION("""COMPUTED_VALUE"""),"No. I took delivery of the first car Tesla was able to deliver.")</f>
        <v>No. I took delivery of the first car Tesla was able to deliver.</v>
      </c>
      <c r="AH2713" s="189">
        <f>IFERROR(__xludf.DUMMYFUNCTION("""COMPUTED_VALUE"""),44246.58072100695)</f>
        <v>44246.58072</v>
      </c>
    </row>
    <row r="2714">
      <c r="A2714" t="str">
        <f>IFERROR(__xludf.DUMMYFUNCTION("""COMPUTED_VALUE"""),"UserNo42")</f>
        <v>UserNo42</v>
      </c>
      <c r="B2714" t="str">
        <f>IFERROR(__xludf.DUMMYFUNCTION("""COMPUTED_VALUE"""),"Mountain House")</f>
        <v>Mountain House</v>
      </c>
      <c r="C2714" t="str">
        <f>IFERROR(__xludf.DUMMYFUNCTION("""COMPUTED_VALUE"""),"CA")</f>
        <v>CA</v>
      </c>
      <c r="D2714" t="str">
        <f>IFERROR(__xludf.DUMMYFUNCTION("""COMPUTED_VALUE"""),"USA")</f>
        <v>USA</v>
      </c>
      <c r="E2714" s="188">
        <f>IFERROR(__xludf.DUMMYFUNCTION("""COMPUTED_VALUE"""),44464.0)</f>
        <v>44464</v>
      </c>
      <c r="N2714" t="str">
        <f>IFERROR(__xludf.DUMMYFUNCTION("""COMPUTED_VALUE"""),"Model 3 LR AWD")</f>
        <v>Model 3 LR AWD</v>
      </c>
      <c r="O2714" t="str">
        <f>IFERROR(__xludf.DUMMYFUNCTION("""COMPUTED_VALUE"""),"Pearl White Multi-Coat")</f>
        <v>Pearl White Multi-Coat</v>
      </c>
      <c r="P2714" t="str">
        <f>IFERROR(__xludf.DUMMYFUNCTION("""COMPUTED_VALUE"""),"18 inch")</f>
        <v>18 inch</v>
      </c>
      <c r="Q2714" t="str">
        <f>IFERROR(__xludf.DUMMYFUNCTION("""COMPUTED_VALUE"""),"All Black")</f>
        <v>All Black</v>
      </c>
      <c r="R2714" t="str">
        <f>IFERROR(__xludf.DUMMYFUNCTION("""COMPUTED_VALUE"""),"Autopilot included")</f>
        <v>Autopilot included</v>
      </c>
      <c r="S2714" t="str">
        <f>IFERROR(__xludf.DUMMYFUNCTION("""COMPUTED_VALUE"""),"Loan")</f>
        <v>Loan</v>
      </c>
      <c r="T2714" t="str">
        <f>IFERROR(__xludf.DUMMYFUNCTION("""COMPUTED_VALUE"""),"Tesla Model 3")</f>
        <v>Tesla Model 3</v>
      </c>
      <c r="U2714" t="str">
        <f>IFERROR(__xludf.DUMMYFUNCTION("""COMPUTED_VALUE"""),"Electric!")</f>
        <v>Electric!</v>
      </c>
      <c r="V2714" t="str">
        <f>IFERROR(__xludf.DUMMYFUNCTION("""COMPUTED_VALUE"""),"Ventilated seats")</f>
        <v>Ventilated seats</v>
      </c>
      <c r="AH2714" s="189">
        <f>IFERROR(__xludf.DUMMYFUNCTION("""COMPUTED_VALUE"""),44473.634086736114)</f>
        <v>44473.63409</v>
      </c>
    </row>
    <row r="2715">
      <c r="A2715" t="str">
        <f>IFERROR(__xludf.DUMMYFUNCTION("""COMPUTED_VALUE"""),"ubergeek")</f>
        <v>ubergeek</v>
      </c>
      <c r="B2715" t="str">
        <f>IFERROR(__xludf.DUMMYFUNCTION("""COMPUTED_VALUE"""),"San Francisco")</f>
        <v>San Francisco</v>
      </c>
      <c r="C2715" t="str">
        <f>IFERROR(__xludf.DUMMYFUNCTION("""COMPUTED_VALUE"""),"CA")</f>
        <v>CA</v>
      </c>
      <c r="D2715" t="str">
        <f>IFERROR(__xludf.DUMMYFUNCTION("""COMPUTED_VALUE"""),"USA")</f>
        <v>USA</v>
      </c>
      <c r="E2715" s="188">
        <f>IFERROR(__xludf.DUMMYFUNCTION("""COMPUTED_VALUE"""),44185.0)</f>
        <v>44185</v>
      </c>
      <c r="F2715" s="188">
        <f>IFERROR(__xludf.DUMMYFUNCTION("""COMPUTED_VALUE"""),44281.0)</f>
        <v>44281</v>
      </c>
      <c r="G2715" t="str">
        <f>IFERROR(__xludf.DUMMYFUNCTION("""COMPUTED_VALUE"""),"Manage order page (normal text)")</f>
        <v>Manage order page (normal text)</v>
      </c>
      <c r="H2715">
        <f>IFERROR(__xludf.DUMMYFUNCTION("""COMPUTED_VALUE"""),936255.0)</f>
        <v>936255</v>
      </c>
      <c r="J2715" s="188">
        <f>IFERROR(__xludf.DUMMYFUNCTION("""COMPUTED_VALUE"""),44284.0)</f>
        <v>44284</v>
      </c>
      <c r="K2715">
        <f>IFERROR(__xludf.DUMMYFUNCTION("""COMPUTED_VALUE"""),96.0)</f>
        <v>96</v>
      </c>
      <c r="L2715">
        <f>IFERROR(__xludf.DUMMYFUNCTION("""COMPUTED_VALUE"""),3.0)</f>
        <v>3</v>
      </c>
      <c r="M2715">
        <f>IFERROR(__xludf.DUMMYFUNCTION("""COMPUTED_VALUE"""),99.0)</f>
        <v>99</v>
      </c>
      <c r="N2715" t="str">
        <f>IFERROR(__xludf.DUMMYFUNCTION("""COMPUTED_VALUE"""),"Model 3 Performance")</f>
        <v>Model 3 Performance</v>
      </c>
      <c r="O2715" t="str">
        <f>IFERROR(__xludf.DUMMYFUNCTION("""COMPUTED_VALUE"""),"Deep Blue Metallic")</f>
        <v>Deep Blue Metallic</v>
      </c>
      <c r="P2715" t="str">
        <f>IFERROR(__xludf.DUMMYFUNCTION("""COMPUTED_VALUE"""),"20 inch")</f>
        <v>20 inch</v>
      </c>
      <c r="Q2715" t="str">
        <f>IFERROR(__xludf.DUMMYFUNCTION("""COMPUTED_VALUE"""),"Black and White")</f>
        <v>Black and White</v>
      </c>
      <c r="R2715" t="str">
        <f>IFERROR(__xludf.DUMMYFUNCTION("""COMPUTED_VALUE"""),"Full Self-Driving")</f>
        <v>Full Self-Driving</v>
      </c>
      <c r="S2715" t="str">
        <f>IFERROR(__xludf.DUMMYFUNCTION("""COMPUTED_VALUE"""),"Cash")</f>
        <v>Cash</v>
      </c>
      <c r="U2715" t="str">
        <f>IFERROR(__xludf.DUMMYFUNCTION("""COMPUTED_VALUE"""),"Electric!")</f>
        <v>Electric!</v>
      </c>
      <c r="V2715" t="str">
        <f>IFERROR(__xludf.DUMMYFUNCTION("""COMPUTED_VALUE"""),"Head-up display")</f>
        <v>Head-up display</v>
      </c>
      <c r="X2715" t="str">
        <f>IFERROR(__xludf.DUMMYFUNCTION("""COMPUTED_VALUE"""),"Good")</f>
        <v>Good</v>
      </c>
      <c r="Y2715" t="str">
        <f>IFERROR(__xludf.DUMMYFUNCTION("""COMPUTED_VALUE"""),"Excellent")</f>
        <v>Excellent</v>
      </c>
      <c r="Z2715" t="str">
        <f>IFERROR(__xludf.DUMMYFUNCTION("""COMPUTED_VALUE"""),"Very Good")</f>
        <v>Very Good</v>
      </c>
      <c r="AA2715" t="str">
        <f>IFERROR(__xludf.DUMMYFUNCTION("""COMPUTED_VALUE"""),"Fair")</f>
        <v>Fair</v>
      </c>
      <c r="AB2715" t="str">
        <f>IFERROR(__xludf.DUMMYFUNCTION("""COMPUTED_VALUE"""),"Good")</f>
        <v>Good</v>
      </c>
      <c r="AF2715" t="str">
        <f>IFERROR(__xludf.DUMMYFUNCTION("""COMPUTED_VALUE"""),"No. I took delivery of the first car Tesla was able to deliver.")</f>
        <v>No. I took delivery of the first car Tesla was able to deliver.</v>
      </c>
      <c r="AH2715" s="189">
        <f>IFERROR(__xludf.DUMMYFUNCTION("""COMPUTED_VALUE"""),44284.63447446759)</f>
        <v>44284.63447</v>
      </c>
    </row>
    <row r="2716">
      <c r="A2716" t="str">
        <f>IFERROR(__xludf.DUMMYFUNCTION("""COMPUTED_VALUE"""),"Wclark1698")</f>
        <v>Wclark1698</v>
      </c>
      <c r="B2716" t="str">
        <f>IFERROR(__xludf.DUMMYFUNCTION("""COMPUTED_VALUE"""),"N")</f>
        <v>N</v>
      </c>
      <c r="C2716" t="str">
        <f>IFERROR(__xludf.DUMMYFUNCTION("""COMPUTED_VALUE"""),"NJ")</f>
        <v>NJ</v>
      </c>
      <c r="D2716" t="str">
        <f>IFERROR(__xludf.DUMMYFUNCTION("""COMPUTED_VALUE"""),"USA")</f>
        <v>USA</v>
      </c>
      <c r="E2716" s="188">
        <f>IFERROR(__xludf.DUMMYFUNCTION("""COMPUTED_VALUE"""),44231.0)</f>
        <v>44231</v>
      </c>
      <c r="F2716" s="188">
        <f>IFERROR(__xludf.DUMMYFUNCTION("""COMPUTED_VALUE"""),44238.0)</f>
        <v>44238</v>
      </c>
      <c r="G2716" t="str">
        <f>IFERROR(__xludf.DUMMYFUNCTION("""COMPUTED_VALUE"""),"Manage order page (normal text)")</f>
        <v>Manage order page (normal text)</v>
      </c>
      <c r="H2716">
        <f>IFERROR(__xludf.DUMMYFUNCTION("""COMPUTED_VALUE"""),907115.0)</f>
        <v>907115</v>
      </c>
      <c r="J2716" s="188">
        <f>IFERROR(__xludf.DUMMYFUNCTION("""COMPUTED_VALUE"""),44257.0)</f>
        <v>44257</v>
      </c>
      <c r="K2716">
        <f>IFERROR(__xludf.DUMMYFUNCTION("""COMPUTED_VALUE"""),7.0)</f>
        <v>7</v>
      </c>
      <c r="L2716">
        <f>IFERROR(__xludf.DUMMYFUNCTION("""COMPUTED_VALUE"""),19.0)</f>
        <v>19</v>
      </c>
      <c r="M2716">
        <f>IFERROR(__xludf.DUMMYFUNCTION("""COMPUTED_VALUE"""),26.0)</f>
        <v>26</v>
      </c>
      <c r="N2716" t="str">
        <f>IFERROR(__xludf.DUMMYFUNCTION("""COMPUTED_VALUE"""),"Model 3 SR+")</f>
        <v>Model 3 SR+</v>
      </c>
      <c r="O2716" t="str">
        <f>IFERROR(__xludf.DUMMYFUNCTION("""COMPUTED_VALUE"""),"Solid Black")</f>
        <v>Solid Black</v>
      </c>
      <c r="P2716" t="str">
        <f>IFERROR(__xludf.DUMMYFUNCTION("""COMPUTED_VALUE"""),"19 inch")</f>
        <v>19 inch</v>
      </c>
      <c r="Q2716" t="str">
        <f>IFERROR(__xludf.DUMMYFUNCTION("""COMPUTED_VALUE"""),"All Black")</f>
        <v>All Black</v>
      </c>
      <c r="R2716" t="str">
        <f>IFERROR(__xludf.DUMMYFUNCTION("""COMPUTED_VALUE"""),"Autopilot included")</f>
        <v>Autopilot included</v>
      </c>
      <c r="S2716" t="str">
        <f>IFERROR(__xludf.DUMMYFUNCTION("""COMPUTED_VALUE"""),"Loan")</f>
        <v>Loan</v>
      </c>
      <c r="T2716" t="str">
        <f>IFERROR(__xludf.DUMMYFUNCTION("""COMPUTED_VALUE"""),"Infiniti g35x")</f>
        <v>Infiniti g35x</v>
      </c>
      <c r="U2716" t="str">
        <f>IFERROR(__xludf.DUMMYFUNCTION("""COMPUTED_VALUE"""),"Electric!")</f>
        <v>Electric!</v>
      </c>
      <c r="V2716" t="str">
        <f>IFERROR(__xludf.DUMMYFUNCTION("""COMPUTED_VALUE"""),"Blind spot indicators on side mirrors")</f>
        <v>Blind spot indicators on side mirrors</v>
      </c>
      <c r="X2716" t="str">
        <f>IFERROR(__xludf.DUMMYFUNCTION("""COMPUTED_VALUE"""),"Excellent")</f>
        <v>Excellent</v>
      </c>
      <c r="Y2716" t="str">
        <f>IFERROR(__xludf.DUMMYFUNCTION("""COMPUTED_VALUE"""),"Excellent")</f>
        <v>Excellent</v>
      </c>
      <c r="Z2716" t="str">
        <f>IFERROR(__xludf.DUMMYFUNCTION("""COMPUTED_VALUE"""),"Very Good")</f>
        <v>Very Good</v>
      </c>
      <c r="AA2716" t="str">
        <f>IFERROR(__xludf.DUMMYFUNCTION("""COMPUTED_VALUE"""),"Good")</f>
        <v>Good</v>
      </c>
      <c r="AB2716" t="str">
        <f>IFERROR(__xludf.DUMMYFUNCTION("""COMPUTED_VALUE"""),"Good")</f>
        <v>Good</v>
      </c>
      <c r="AC2716">
        <f>IFERROR(__xludf.DUMMYFUNCTION("""COMPUTED_VALUE"""),0.0)</f>
        <v>0</v>
      </c>
      <c r="AD2716">
        <f>IFERROR(__xludf.DUMMYFUNCTION("""COMPUTED_VALUE"""),0.0)</f>
        <v>0</v>
      </c>
      <c r="AE2716">
        <f>IFERROR(__xludf.DUMMYFUNCTION("""COMPUTED_VALUE"""),0.0)</f>
        <v>0</v>
      </c>
      <c r="AF2716" t="str">
        <f>IFERROR(__xludf.DUMMYFUNCTION("""COMPUTED_VALUE"""),"No. I took delivery of the first car Tesla was able to deliver.")</f>
        <v>No. I took delivery of the first car Tesla was able to deliver.</v>
      </c>
      <c r="AH2716" s="189">
        <f>IFERROR(__xludf.DUMMYFUNCTION("""COMPUTED_VALUE"""),44258.47550190972)</f>
        <v>44258.4755</v>
      </c>
    </row>
    <row r="2717">
      <c r="A2717" t="str">
        <f>IFERROR(__xludf.DUMMYFUNCTION("""COMPUTED_VALUE"""),"rancur")</f>
        <v>rancur</v>
      </c>
      <c r="B2717" t="str">
        <f>IFERROR(__xludf.DUMMYFUNCTION("""COMPUTED_VALUE"""),"Phoenix")</f>
        <v>Phoenix</v>
      </c>
      <c r="C2717" t="str">
        <f>IFERROR(__xludf.DUMMYFUNCTION("""COMPUTED_VALUE"""),"AZ")</f>
        <v>AZ</v>
      </c>
      <c r="D2717" t="str">
        <f>IFERROR(__xludf.DUMMYFUNCTION("""COMPUTED_VALUE"""),"USA")</f>
        <v>USA</v>
      </c>
      <c r="E2717" s="188">
        <f>IFERROR(__xludf.DUMMYFUNCTION("""COMPUTED_VALUE"""),44231.0)</f>
        <v>44231</v>
      </c>
      <c r="F2717" s="188">
        <f>IFERROR(__xludf.DUMMYFUNCTION("""COMPUTED_VALUE"""),44271.0)</f>
        <v>44271</v>
      </c>
      <c r="G2717" t="str">
        <f>IFERROR(__xludf.DUMMYFUNCTION("""COMPUTED_VALUE"""),"Manage order page (normal text)")</f>
        <v>Manage order page (normal text)</v>
      </c>
      <c r="H2717">
        <f>IFERROR(__xludf.DUMMYFUNCTION("""COMPUTED_VALUE"""),926305.0)</f>
        <v>926305</v>
      </c>
      <c r="J2717" s="188">
        <f>IFERROR(__xludf.DUMMYFUNCTION("""COMPUTED_VALUE"""),44281.0)</f>
        <v>44281</v>
      </c>
      <c r="K2717">
        <f>IFERROR(__xludf.DUMMYFUNCTION("""COMPUTED_VALUE"""),40.0)</f>
        <v>40</v>
      </c>
      <c r="L2717">
        <f>IFERROR(__xludf.DUMMYFUNCTION("""COMPUTED_VALUE"""),10.0)</f>
        <v>10</v>
      </c>
      <c r="M2717">
        <f>IFERROR(__xludf.DUMMYFUNCTION("""COMPUTED_VALUE"""),50.0)</f>
        <v>50</v>
      </c>
      <c r="N2717" t="str">
        <f>IFERROR(__xludf.DUMMYFUNCTION("""COMPUTED_VALUE"""),"Model 3 Performance")</f>
        <v>Model 3 Performance</v>
      </c>
      <c r="O2717" t="str">
        <f>IFERROR(__xludf.DUMMYFUNCTION("""COMPUTED_VALUE"""),"Red Multi-Coat")</f>
        <v>Red Multi-Coat</v>
      </c>
      <c r="P2717" t="str">
        <f>IFERROR(__xludf.DUMMYFUNCTION("""COMPUTED_VALUE"""),"20 inch")</f>
        <v>20 inch</v>
      </c>
      <c r="Q2717" t="str">
        <f>IFERROR(__xludf.DUMMYFUNCTION("""COMPUTED_VALUE"""),"Black and White")</f>
        <v>Black and White</v>
      </c>
      <c r="R2717" t="str">
        <f>IFERROR(__xludf.DUMMYFUNCTION("""COMPUTED_VALUE"""),"Full Self-Driving")</f>
        <v>Full Self-Driving</v>
      </c>
      <c r="S2717" t="str">
        <f>IFERROR(__xludf.DUMMYFUNCTION("""COMPUTED_VALUE"""),"Loan")</f>
        <v>Loan</v>
      </c>
      <c r="V2717" t="str">
        <f>IFERROR(__xludf.DUMMYFUNCTION("""COMPUTED_VALUE"""),"Ventilated seats")</f>
        <v>Ventilated seats</v>
      </c>
      <c r="W2717" t="str">
        <f>IFERROR(__xludf.DUMMYFUNCTION("""COMPUTED_VALUE"""),"Don't get PPF until after first service appointment.")</f>
        <v>Don't get PPF until after first service appointment.</v>
      </c>
      <c r="X2717" t="str">
        <f>IFERROR(__xludf.DUMMYFUNCTION("""COMPUTED_VALUE"""),"Excellent")</f>
        <v>Excellent</v>
      </c>
      <c r="Y2717" t="str">
        <f>IFERROR(__xludf.DUMMYFUNCTION("""COMPUTED_VALUE"""),"Excellent")</f>
        <v>Excellent</v>
      </c>
      <c r="Z2717" t="str">
        <f>IFERROR(__xludf.DUMMYFUNCTION("""COMPUTED_VALUE"""),"Excellent")</f>
        <v>Excellent</v>
      </c>
      <c r="AA2717" t="str">
        <f>IFERROR(__xludf.DUMMYFUNCTION("""COMPUTED_VALUE"""),"Excellent")</f>
        <v>Excellent</v>
      </c>
      <c r="AB2717" t="str">
        <f>IFERROR(__xludf.DUMMYFUNCTION("""COMPUTED_VALUE"""),"Excellent")</f>
        <v>Excellent</v>
      </c>
      <c r="AC2717">
        <f>IFERROR(__xludf.DUMMYFUNCTION("""COMPUTED_VALUE"""),0.0)</f>
        <v>0</v>
      </c>
      <c r="AD2717">
        <f>IFERROR(__xludf.DUMMYFUNCTION("""COMPUTED_VALUE"""),0.0)</f>
        <v>0</v>
      </c>
      <c r="AE2717">
        <f>IFERROR(__xludf.DUMMYFUNCTION("""COMPUTED_VALUE"""),0.0)</f>
        <v>0</v>
      </c>
      <c r="AF2717" t="str">
        <f>IFERROR(__xludf.DUMMYFUNCTION("""COMPUTED_VALUE"""),"No. I took delivery of the first car Tesla was able to deliver.")</f>
        <v>No. I took delivery of the first car Tesla was able to deliver.</v>
      </c>
      <c r="AG2717" t="str">
        <f>IFERROR(__xludf.DUMMYFUNCTION("""COMPUTED_VALUE"""),"I love this car!")</f>
        <v>I love this car!</v>
      </c>
      <c r="AH2717" s="189">
        <f>IFERROR(__xludf.DUMMYFUNCTION("""COMPUTED_VALUE"""),44287.91700641204)</f>
        <v>44287.91701</v>
      </c>
    </row>
    <row r="2718">
      <c r="A2718" t="str">
        <f>IFERROR(__xludf.DUMMYFUNCTION("""COMPUTED_VALUE"""),"redeeve")</f>
        <v>redeeve</v>
      </c>
      <c r="B2718" t="str">
        <f>IFERROR(__xludf.DUMMYFUNCTION("""COMPUTED_VALUE"""),"Las Cruces")</f>
        <v>Las Cruces</v>
      </c>
      <c r="C2718" t="str">
        <f>IFERROR(__xludf.DUMMYFUNCTION("""COMPUTED_VALUE"""),"NM")</f>
        <v>NM</v>
      </c>
      <c r="D2718" t="str">
        <f>IFERROR(__xludf.DUMMYFUNCTION("""COMPUTED_VALUE"""),"USA")</f>
        <v>USA</v>
      </c>
      <c r="E2718" s="188">
        <f>IFERROR(__xludf.DUMMYFUNCTION("""COMPUTED_VALUE"""),44232.0)</f>
        <v>44232</v>
      </c>
      <c r="F2718" s="188">
        <f>IFERROR(__xludf.DUMMYFUNCTION("""COMPUTED_VALUE"""),44238.0)</f>
        <v>44238</v>
      </c>
      <c r="G2718" t="str">
        <f>IFERROR(__xludf.DUMMYFUNCTION("""COMPUTED_VALUE"""),"Manage order page (normal text)")</f>
        <v>Manage order page (normal text)</v>
      </c>
      <c r="H2718">
        <f>IFERROR(__xludf.DUMMYFUNCTION("""COMPUTED_VALUE"""),902102.0)</f>
        <v>902102</v>
      </c>
      <c r="I2718" t="str">
        <f>IFERROR(__xludf.DUMMYFUNCTION("""COMPUTED_VALUE"""),"02/21")</f>
        <v>02/21</v>
      </c>
      <c r="J2718" s="188">
        <f>IFERROR(__xludf.DUMMYFUNCTION("""COMPUTED_VALUE"""),44245.0)</f>
        <v>44245</v>
      </c>
      <c r="K2718">
        <f>IFERROR(__xludf.DUMMYFUNCTION("""COMPUTED_VALUE"""),6.0)</f>
        <v>6</v>
      </c>
      <c r="L2718">
        <f>IFERROR(__xludf.DUMMYFUNCTION("""COMPUTED_VALUE"""),7.0)</f>
        <v>7</v>
      </c>
      <c r="M2718">
        <f>IFERROR(__xludf.DUMMYFUNCTION("""COMPUTED_VALUE"""),13.0)</f>
        <v>13</v>
      </c>
      <c r="N2718" t="str">
        <f>IFERROR(__xludf.DUMMYFUNCTION("""COMPUTED_VALUE"""),"Model 3 LR AWD")</f>
        <v>Model 3 LR AWD</v>
      </c>
      <c r="O2718" t="str">
        <f>IFERROR(__xludf.DUMMYFUNCTION("""COMPUTED_VALUE"""),"Pearl White Multi-Coat")</f>
        <v>Pearl White Multi-Coat</v>
      </c>
      <c r="P2718" t="str">
        <f>IFERROR(__xludf.DUMMYFUNCTION("""COMPUTED_VALUE"""),"18 inch")</f>
        <v>18 inch</v>
      </c>
      <c r="Q2718" t="str">
        <f>IFERROR(__xludf.DUMMYFUNCTION("""COMPUTED_VALUE"""),"All Black")</f>
        <v>All Black</v>
      </c>
      <c r="R2718" t="str">
        <f>IFERROR(__xludf.DUMMYFUNCTION("""COMPUTED_VALUE"""),"Autopilot included")</f>
        <v>Autopilot included</v>
      </c>
      <c r="S2718" t="str">
        <f>IFERROR(__xludf.DUMMYFUNCTION("""COMPUTED_VALUE"""),"Loan")</f>
        <v>Loan</v>
      </c>
      <c r="T2718" t="str">
        <f>IFERROR(__xludf.DUMMYFUNCTION("""COMPUTED_VALUE"""),"Mazda 3")</f>
        <v>Mazda 3</v>
      </c>
      <c r="U2718" t="str">
        <f>IFERROR(__xludf.DUMMYFUNCTION("""COMPUTED_VALUE"""),"Electric!")</f>
        <v>Electric!</v>
      </c>
      <c r="V2718" t="str">
        <f>IFERROR(__xludf.DUMMYFUNCTION("""COMPUTED_VALUE"""),"Ventilated seats")</f>
        <v>Ventilated seats</v>
      </c>
      <c r="X2718" t="str">
        <f>IFERROR(__xludf.DUMMYFUNCTION("""COMPUTED_VALUE"""),"Excellent")</f>
        <v>Excellent</v>
      </c>
      <c r="Y2718" t="str">
        <f>IFERROR(__xludf.DUMMYFUNCTION("""COMPUTED_VALUE"""),"Excellent")</f>
        <v>Excellent</v>
      </c>
      <c r="Z2718" t="str">
        <f>IFERROR(__xludf.DUMMYFUNCTION("""COMPUTED_VALUE"""),"Excellent")</f>
        <v>Excellent</v>
      </c>
      <c r="AA2718" t="str">
        <f>IFERROR(__xludf.DUMMYFUNCTION("""COMPUTED_VALUE"""),"Fair")</f>
        <v>Fair</v>
      </c>
      <c r="AB2718" t="str">
        <f>IFERROR(__xludf.DUMMYFUNCTION("""COMPUTED_VALUE"""),"Excellent")</f>
        <v>Excellent</v>
      </c>
      <c r="AF2718" t="str">
        <f>IFERROR(__xludf.DUMMYFUNCTION("""COMPUTED_VALUE"""),"No. I took delivery of the first car Tesla was able to deliver.")</f>
        <v>No. I took delivery of the first car Tesla was able to deliver.</v>
      </c>
      <c r="AH2718" s="189">
        <f>IFERROR(__xludf.DUMMYFUNCTION("""COMPUTED_VALUE"""),44248.93371869213)</f>
        <v>44248.93372</v>
      </c>
    </row>
    <row r="2719">
      <c r="A2719" t="str">
        <f>IFERROR(__xludf.DUMMYFUNCTION("""COMPUTED_VALUE"""),"RickyFish89")</f>
        <v>RickyFish89</v>
      </c>
      <c r="C2719" t="str">
        <f>IFERROR(__xludf.DUMMYFUNCTION("""COMPUTED_VALUE"""),"IN")</f>
        <v>IN</v>
      </c>
      <c r="D2719" t="str">
        <f>IFERROR(__xludf.DUMMYFUNCTION("""COMPUTED_VALUE"""),"USA")</f>
        <v>USA</v>
      </c>
      <c r="E2719" s="188">
        <f>IFERROR(__xludf.DUMMYFUNCTION("""COMPUTED_VALUE"""),44223.0)</f>
        <v>44223</v>
      </c>
      <c r="F2719" s="188">
        <f>IFERROR(__xludf.DUMMYFUNCTION("""COMPUTED_VALUE"""),44238.0)</f>
        <v>44238</v>
      </c>
      <c r="G2719" t="str">
        <f>IFERROR(__xludf.DUMMYFUNCTION("""COMPUTED_VALUE"""),"Manage order page (normal text)")</f>
        <v>Manage order page (normal text)</v>
      </c>
      <c r="H2719">
        <f>IFERROR(__xludf.DUMMYFUNCTION("""COMPUTED_VALUE"""),907255.0)</f>
        <v>907255</v>
      </c>
      <c r="I2719" t="str">
        <f>IFERROR(__xludf.DUMMYFUNCTION("""COMPUTED_VALUE"""),"02/21")</f>
        <v>02/21</v>
      </c>
      <c r="J2719" s="188">
        <f>IFERROR(__xludf.DUMMYFUNCTION("""COMPUTED_VALUE"""),44254.0)</f>
        <v>44254</v>
      </c>
      <c r="K2719">
        <f>IFERROR(__xludf.DUMMYFUNCTION("""COMPUTED_VALUE"""),15.0)</f>
        <v>15</v>
      </c>
      <c r="L2719">
        <f>IFERROR(__xludf.DUMMYFUNCTION("""COMPUTED_VALUE"""),16.0)</f>
        <v>16</v>
      </c>
      <c r="M2719">
        <f>IFERROR(__xludf.DUMMYFUNCTION("""COMPUTED_VALUE"""),31.0)</f>
        <v>31</v>
      </c>
      <c r="N2719" t="str">
        <f>IFERROR(__xludf.DUMMYFUNCTION("""COMPUTED_VALUE"""),"Model 3 SR+")</f>
        <v>Model 3 SR+</v>
      </c>
      <c r="O2719" t="str">
        <f>IFERROR(__xludf.DUMMYFUNCTION("""COMPUTED_VALUE"""),"Midnight Silver Metallic")</f>
        <v>Midnight Silver Metallic</v>
      </c>
      <c r="P2719" t="str">
        <f>IFERROR(__xludf.DUMMYFUNCTION("""COMPUTED_VALUE"""),"18 inch")</f>
        <v>18 inch</v>
      </c>
      <c r="Q2719" t="str">
        <f>IFERROR(__xludf.DUMMYFUNCTION("""COMPUTED_VALUE"""),"All Black")</f>
        <v>All Black</v>
      </c>
      <c r="R2719" t="str">
        <f>IFERROR(__xludf.DUMMYFUNCTION("""COMPUTED_VALUE"""),"Autopilot included")</f>
        <v>Autopilot included</v>
      </c>
      <c r="S2719" t="str">
        <f>IFERROR(__xludf.DUMMYFUNCTION("""COMPUTED_VALUE"""),"Cash")</f>
        <v>Cash</v>
      </c>
      <c r="T2719" t="str">
        <f>IFERROR(__xludf.DUMMYFUNCTION("""COMPUTED_VALUE"""),"Chevy Bolt")</f>
        <v>Chevy Bolt</v>
      </c>
      <c r="U2719" t="str">
        <f>IFERROR(__xludf.DUMMYFUNCTION("""COMPUTED_VALUE"""),"Tech")</f>
        <v>Tech</v>
      </c>
      <c r="V2719" t="str">
        <f>IFERROR(__xludf.DUMMYFUNCTION("""COMPUTED_VALUE"""),"360° Bird's eye view")</f>
        <v>360° Bird's eye view</v>
      </c>
      <c r="X2719" t="str">
        <f>IFERROR(__xludf.DUMMYFUNCTION("""COMPUTED_VALUE"""),"Very Good")</f>
        <v>Very Good</v>
      </c>
      <c r="Y2719" t="str">
        <f>IFERROR(__xludf.DUMMYFUNCTION("""COMPUTED_VALUE"""),"Very Good")</f>
        <v>Very Good</v>
      </c>
      <c r="Z2719" t="str">
        <f>IFERROR(__xludf.DUMMYFUNCTION("""COMPUTED_VALUE"""),"Good")</f>
        <v>Good</v>
      </c>
      <c r="AA2719" t="str">
        <f>IFERROR(__xludf.DUMMYFUNCTION("""COMPUTED_VALUE"""),"Good")</f>
        <v>Good</v>
      </c>
      <c r="AB2719" t="str">
        <f>IFERROR(__xludf.DUMMYFUNCTION("""COMPUTED_VALUE"""),"Good")</f>
        <v>Good</v>
      </c>
      <c r="AF2719" t="str">
        <f>IFERROR(__xludf.DUMMYFUNCTION("""COMPUTED_VALUE"""),"No. I took delivery of the first car Tesla was able to deliver.")</f>
        <v>No. I took delivery of the first car Tesla was able to deliver.</v>
      </c>
      <c r="AH2719" s="189">
        <f>IFERROR(__xludf.DUMMYFUNCTION("""COMPUTED_VALUE"""),44255.099388449074)</f>
        <v>44255.09939</v>
      </c>
    </row>
    <row r="2720">
      <c r="A2720" t="str">
        <f>IFERROR(__xludf.DUMMYFUNCTION("""COMPUTED_VALUE"""),"frs")</f>
        <v>frs</v>
      </c>
      <c r="B2720" t="str">
        <f>IFERROR(__xludf.DUMMYFUNCTION("""COMPUTED_VALUE"""),"Poland, Warsaw")</f>
        <v>Poland, Warsaw</v>
      </c>
      <c r="D2720" t="str">
        <f>IFERROR(__xludf.DUMMYFUNCTION("""COMPUTED_VALUE"""),"Other (include country together with city)")</f>
        <v>Other (include country together with city)</v>
      </c>
      <c r="E2720" s="188">
        <f>IFERROR(__xludf.DUMMYFUNCTION("""COMPUTED_VALUE"""),44191.0)</f>
        <v>44191</v>
      </c>
      <c r="F2720" s="188">
        <f>IFERROR(__xludf.DUMMYFUNCTION("""COMPUTED_VALUE"""),44233.0)</f>
        <v>44233</v>
      </c>
      <c r="G2720" t="str">
        <f>IFERROR(__xludf.DUMMYFUNCTION("""COMPUTED_VALUE"""),"invoice")</f>
        <v>invoice</v>
      </c>
      <c r="H2720">
        <f>IFERROR(__xludf.DUMMYFUNCTION("""COMPUTED_VALUE"""),888294.0)</f>
        <v>888294</v>
      </c>
      <c r="J2720" s="188">
        <f>IFERROR(__xludf.DUMMYFUNCTION("""COMPUTED_VALUE"""),44281.0)</f>
        <v>44281</v>
      </c>
      <c r="K2720">
        <f>IFERROR(__xludf.DUMMYFUNCTION("""COMPUTED_VALUE"""),42.0)</f>
        <v>42</v>
      </c>
      <c r="L2720">
        <f>IFERROR(__xludf.DUMMYFUNCTION("""COMPUTED_VALUE"""),48.0)</f>
        <v>48</v>
      </c>
      <c r="M2720">
        <f>IFERROR(__xludf.DUMMYFUNCTION("""COMPUTED_VALUE"""),90.0)</f>
        <v>90</v>
      </c>
      <c r="N2720" t="str">
        <f>IFERROR(__xludf.DUMMYFUNCTION("""COMPUTED_VALUE"""),"Model 3 LR AWD")</f>
        <v>Model 3 LR AWD</v>
      </c>
      <c r="O2720" t="str">
        <f>IFERROR(__xludf.DUMMYFUNCTION("""COMPUTED_VALUE"""),"Red Multi-Coat")</f>
        <v>Red Multi-Coat</v>
      </c>
      <c r="P2720" t="str">
        <f>IFERROR(__xludf.DUMMYFUNCTION("""COMPUTED_VALUE"""),"19 inch")</f>
        <v>19 inch</v>
      </c>
      <c r="Q2720" t="str">
        <f>IFERROR(__xludf.DUMMYFUNCTION("""COMPUTED_VALUE"""),"All Black")</f>
        <v>All Black</v>
      </c>
      <c r="R2720" t="str">
        <f>IFERROR(__xludf.DUMMYFUNCTION("""COMPUTED_VALUE"""),"Full Self-Driving")</f>
        <v>Full Self-Driving</v>
      </c>
      <c r="S2720" t="str">
        <f>IFERROR(__xludf.DUMMYFUNCTION("""COMPUTED_VALUE"""),"Lease")</f>
        <v>Lease</v>
      </c>
      <c r="T2720" t="str">
        <f>IFERROR(__xludf.DUMMYFUNCTION("""COMPUTED_VALUE"""),"Peugeot 206")</f>
        <v>Peugeot 206</v>
      </c>
      <c r="U2720" t="str">
        <f>IFERROR(__xludf.DUMMYFUNCTION("""COMPUTED_VALUE"""),"Everything")</f>
        <v>Everything</v>
      </c>
      <c r="V2720" t="str">
        <f>IFERROR(__xludf.DUMMYFUNCTION("""COMPUTED_VALUE"""),"Ventilated seats")</f>
        <v>Ventilated seats</v>
      </c>
      <c r="W2720" t="str">
        <f>IFERROR(__xludf.DUMMYFUNCTION("""COMPUTED_VALUE"""),"Buy more bitcoins!")</f>
        <v>Buy more bitcoins!</v>
      </c>
      <c r="AH2720" s="189">
        <f>IFERROR(__xludf.DUMMYFUNCTION("""COMPUTED_VALUE"""),44276.1836370949)</f>
        <v>44276.18364</v>
      </c>
    </row>
    <row r="2721">
      <c r="A2721" t="str">
        <f>IFERROR(__xludf.DUMMYFUNCTION("""COMPUTED_VALUE"""),"rowdyraud")</f>
        <v>rowdyraud</v>
      </c>
      <c r="B2721" t="str">
        <f>IFERROR(__xludf.DUMMYFUNCTION("""COMPUTED_VALUE"""),"Austin")</f>
        <v>Austin</v>
      </c>
      <c r="C2721" t="str">
        <f>IFERROR(__xludf.DUMMYFUNCTION("""COMPUTED_VALUE"""),"TX")</f>
        <v>TX</v>
      </c>
      <c r="D2721" t="str">
        <f>IFERROR(__xludf.DUMMYFUNCTION("""COMPUTED_VALUE"""),"USA")</f>
        <v>USA</v>
      </c>
      <c r="E2721" s="188">
        <f>IFERROR(__xludf.DUMMYFUNCTION("""COMPUTED_VALUE"""),44225.0)</f>
        <v>44225</v>
      </c>
      <c r="F2721" s="188">
        <f>IFERROR(__xludf.DUMMYFUNCTION("""COMPUTED_VALUE"""),44236.0)</f>
        <v>44236</v>
      </c>
      <c r="G2721" t="str">
        <f>IFERROR(__xludf.DUMMYFUNCTION("""COMPUTED_VALUE"""),"Email")</f>
        <v>Email</v>
      </c>
      <c r="H2721">
        <f>IFERROR(__xludf.DUMMYFUNCTION("""COMPUTED_VALUE"""),907855.0)</f>
        <v>907855</v>
      </c>
      <c r="J2721" s="188">
        <f>IFERROR(__xludf.DUMMYFUNCTION("""COMPUTED_VALUE"""),44254.0)</f>
        <v>44254</v>
      </c>
      <c r="K2721">
        <f>IFERROR(__xludf.DUMMYFUNCTION("""COMPUTED_VALUE"""),11.0)</f>
        <v>11</v>
      </c>
      <c r="L2721">
        <f>IFERROR(__xludf.DUMMYFUNCTION("""COMPUTED_VALUE"""),18.0)</f>
        <v>18</v>
      </c>
      <c r="M2721">
        <f>IFERROR(__xludf.DUMMYFUNCTION("""COMPUTED_VALUE"""),29.0)</f>
        <v>29</v>
      </c>
      <c r="N2721" t="str">
        <f>IFERROR(__xludf.DUMMYFUNCTION("""COMPUTED_VALUE"""),"Model 3 SR+")</f>
        <v>Model 3 SR+</v>
      </c>
      <c r="O2721" t="str">
        <f>IFERROR(__xludf.DUMMYFUNCTION("""COMPUTED_VALUE"""),"Pearl White Multi-Coat")</f>
        <v>Pearl White Multi-Coat</v>
      </c>
      <c r="P2721" t="str">
        <f>IFERROR(__xludf.DUMMYFUNCTION("""COMPUTED_VALUE"""),"18 inch")</f>
        <v>18 inch</v>
      </c>
      <c r="Q2721" t="str">
        <f>IFERROR(__xludf.DUMMYFUNCTION("""COMPUTED_VALUE"""),"All Black")</f>
        <v>All Black</v>
      </c>
      <c r="R2721" t="str">
        <f>IFERROR(__xludf.DUMMYFUNCTION("""COMPUTED_VALUE"""),"Autopilot included")</f>
        <v>Autopilot included</v>
      </c>
      <c r="S2721" t="str">
        <f>IFERROR(__xludf.DUMMYFUNCTION("""COMPUTED_VALUE"""),"Loan")</f>
        <v>Loan</v>
      </c>
      <c r="T2721" t="str">
        <f>IFERROR(__xludf.DUMMYFUNCTION("""COMPUTED_VALUE"""),"VW GTI")</f>
        <v>VW GTI</v>
      </c>
      <c r="U2721" t="str">
        <f>IFERROR(__xludf.DUMMYFUNCTION("""COMPUTED_VALUE"""),"Electric!")</f>
        <v>Electric!</v>
      </c>
      <c r="V2721" t="str">
        <f>IFERROR(__xludf.DUMMYFUNCTION("""COMPUTED_VALUE"""),"Ventilated seats")</f>
        <v>Ventilated seats</v>
      </c>
      <c r="X2721" t="str">
        <f>IFERROR(__xludf.DUMMYFUNCTION("""COMPUTED_VALUE"""),"Very Good")</f>
        <v>Very Good</v>
      </c>
      <c r="Y2721" t="str">
        <f>IFERROR(__xludf.DUMMYFUNCTION("""COMPUTED_VALUE"""),"Very Good")</f>
        <v>Very Good</v>
      </c>
      <c r="Z2721" t="str">
        <f>IFERROR(__xludf.DUMMYFUNCTION("""COMPUTED_VALUE"""),"Excellent")</f>
        <v>Excellent</v>
      </c>
      <c r="AA2721" t="str">
        <f>IFERROR(__xludf.DUMMYFUNCTION("""COMPUTED_VALUE"""),"Excellent")</f>
        <v>Excellent</v>
      </c>
      <c r="AB2721" t="str">
        <f>IFERROR(__xludf.DUMMYFUNCTION("""COMPUTED_VALUE"""),"Excellent")</f>
        <v>Excellent</v>
      </c>
      <c r="AF2721" t="str">
        <f>IFERROR(__xludf.DUMMYFUNCTION("""COMPUTED_VALUE"""),"No. I took delivery of the first car Tesla was able to deliver.")</f>
        <v>No. I took delivery of the first car Tesla was able to deliver.</v>
      </c>
      <c r="AH2721" s="189">
        <f>IFERROR(__xludf.DUMMYFUNCTION("""COMPUTED_VALUE"""),44254.844258680554)</f>
        <v>44254.84426</v>
      </c>
    </row>
    <row r="2722">
      <c r="A2722" t="str">
        <f>IFERROR(__xludf.DUMMYFUNCTION("""COMPUTED_VALUE"""),"brian8441")</f>
        <v>brian8441</v>
      </c>
      <c r="B2722" t="str">
        <f>IFERROR(__xludf.DUMMYFUNCTION("""COMPUTED_VALUE"""),"Boston")</f>
        <v>Boston</v>
      </c>
      <c r="C2722" t="str">
        <f>IFERROR(__xludf.DUMMYFUNCTION("""COMPUTED_VALUE"""),"MA")</f>
        <v>MA</v>
      </c>
      <c r="D2722" t="str">
        <f>IFERROR(__xludf.DUMMYFUNCTION("""COMPUTED_VALUE"""),"USA")</f>
        <v>USA</v>
      </c>
      <c r="E2722" s="188">
        <f>IFERROR(__xludf.DUMMYFUNCTION("""COMPUTED_VALUE"""),44187.0)</f>
        <v>44187</v>
      </c>
      <c r="F2722" s="188">
        <f>IFERROR(__xludf.DUMMYFUNCTION("""COMPUTED_VALUE"""),44262.0)</f>
        <v>44262</v>
      </c>
      <c r="G2722" t="str">
        <f>IFERROR(__xludf.DUMMYFUNCTION("""COMPUTED_VALUE"""),"Manage order page (normal text)")</f>
        <v>Manage order page (normal text)</v>
      </c>
      <c r="H2722">
        <f>IFERROR(__xludf.DUMMYFUNCTION("""COMPUTED_VALUE"""),915351.0)</f>
        <v>915351</v>
      </c>
      <c r="J2722" s="188">
        <f>IFERROR(__xludf.DUMMYFUNCTION("""COMPUTED_VALUE"""),44274.0)</f>
        <v>44274</v>
      </c>
      <c r="K2722">
        <f>IFERROR(__xludf.DUMMYFUNCTION("""COMPUTED_VALUE"""),75.0)</f>
        <v>75</v>
      </c>
      <c r="L2722">
        <f>IFERROR(__xludf.DUMMYFUNCTION("""COMPUTED_VALUE"""),12.0)</f>
        <v>12</v>
      </c>
      <c r="M2722">
        <f>IFERROR(__xludf.DUMMYFUNCTION("""COMPUTED_VALUE"""),87.0)</f>
        <v>87</v>
      </c>
      <c r="N2722" t="str">
        <f>IFERROR(__xludf.DUMMYFUNCTION("""COMPUTED_VALUE"""),"Model 3 LR AWD")</f>
        <v>Model 3 LR AWD</v>
      </c>
      <c r="O2722" t="str">
        <f>IFERROR(__xludf.DUMMYFUNCTION("""COMPUTED_VALUE"""),"Midnight Silver Metallic")</f>
        <v>Midnight Silver Metallic</v>
      </c>
      <c r="P2722" t="str">
        <f>IFERROR(__xludf.DUMMYFUNCTION("""COMPUTED_VALUE"""),"18 inch")</f>
        <v>18 inch</v>
      </c>
      <c r="Q2722" t="str">
        <f>IFERROR(__xludf.DUMMYFUNCTION("""COMPUTED_VALUE"""),"All Black")</f>
        <v>All Black</v>
      </c>
      <c r="R2722" t="str">
        <f>IFERROR(__xludf.DUMMYFUNCTION("""COMPUTED_VALUE"""),"Autopilot included")</f>
        <v>Autopilot included</v>
      </c>
      <c r="S2722" t="str">
        <f>IFERROR(__xludf.DUMMYFUNCTION("""COMPUTED_VALUE"""),"Loan")</f>
        <v>Loan</v>
      </c>
      <c r="T2722" t="str">
        <f>IFERROR(__xludf.DUMMYFUNCTION("""COMPUTED_VALUE"""),"Honda Accord")</f>
        <v>Honda Accord</v>
      </c>
      <c r="U2722" t="str">
        <f>IFERROR(__xludf.DUMMYFUNCTION("""COMPUTED_VALUE"""),"Electric!")</f>
        <v>Electric!</v>
      </c>
      <c r="V2722" t="str">
        <f>IFERROR(__xludf.DUMMYFUNCTION("""COMPUTED_VALUE"""),"Ventilated seats")</f>
        <v>Ventilated seats</v>
      </c>
      <c r="X2722" t="str">
        <f>IFERROR(__xludf.DUMMYFUNCTION("""COMPUTED_VALUE"""),"Good")</f>
        <v>Good</v>
      </c>
      <c r="Y2722" t="str">
        <f>IFERROR(__xludf.DUMMYFUNCTION("""COMPUTED_VALUE"""),"Very Good")</f>
        <v>Very Good</v>
      </c>
      <c r="Z2722" t="str">
        <f>IFERROR(__xludf.DUMMYFUNCTION("""COMPUTED_VALUE"""),"Excellent")</f>
        <v>Excellent</v>
      </c>
      <c r="AA2722" t="str">
        <f>IFERROR(__xludf.DUMMYFUNCTION("""COMPUTED_VALUE"""),"Fair")</f>
        <v>Fair</v>
      </c>
      <c r="AB2722" t="str">
        <f>IFERROR(__xludf.DUMMYFUNCTION("""COMPUTED_VALUE"""),"Excellent")</f>
        <v>Excellent</v>
      </c>
      <c r="AF2722" t="str">
        <f>IFERROR(__xludf.DUMMYFUNCTION("""COMPUTED_VALUE"""),"Yes. I refused delivery once and took delivery of the second car.")</f>
        <v>Yes. I refused delivery once and took delivery of the second car.</v>
      </c>
      <c r="AH2722" s="189">
        <f>IFERROR(__xludf.DUMMYFUNCTION("""COMPUTED_VALUE"""),44274.56393068287)</f>
        <v>44274.56393</v>
      </c>
    </row>
    <row r="2723">
      <c r="A2723" t="str">
        <f>IFERROR(__xludf.DUMMYFUNCTION("""COMPUTED_VALUE"""),"Ericb31415")</f>
        <v>Ericb31415</v>
      </c>
      <c r="B2723" t="str">
        <f>IFERROR(__xludf.DUMMYFUNCTION("""COMPUTED_VALUE"""),"Dayton ")</f>
        <v>Dayton </v>
      </c>
      <c r="C2723" t="str">
        <f>IFERROR(__xludf.DUMMYFUNCTION("""COMPUTED_VALUE"""),"OH")</f>
        <v>OH</v>
      </c>
      <c r="D2723" t="str">
        <f>IFERROR(__xludf.DUMMYFUNCTION("""COMPUTED_VALUE"""),"USA")</f>
        <v>USA</v>
      </c>
      <c r="E2723" s="188">
        <f>IFERROR(__xludf.DUMMYFUNCTION("""COMPUTED_VALUE"""),44217.0)</f>
        <v>44217</v>
      </c>
      <c r="F2723" s="188">
        <f>IFERROR(__xludf.DUMMYFUNCTION("""COMPUTED_VALUE"""),44271.0)</f>
        <v>44271</v>
      </c>
      <c r="G2723" t="str">
        <f>IFERROR(__xludf.DUMMYFUNCTION("""COMPUTED_VALUE"""),"Manage order page (normal text)")</f>
        <v>Manage order page (normal text)</v>
      </c>
      <c r="H2723">
        <f>IFERROR(__xludf.DUMMYFUNCTION("""COMPUTED_VALUE"""),914155.0)</f>
        <v>914155</v>
      </c>
      <c r="I2723" t="str">
        <f>IFERROR(__xludf.DUMMYFUNCTION("""COMPUTED_VALUE"""),"03/21")</f>
        <v>03/21</v>
      </c>
      <c r="J2723" s="188">
        <f>IFERROR(__xludf.DUMMYFUNCTION("""COMPUTED_VALUE"""),44276.0)</f>
        <v>44276</v>
      </c>
      <c r="K2723">
        <f>IFERROR(__xludf.DUMMYFUNCTION("""COMPUTED_VALUE"""),54.0)</f>
        <v>54</v>
      </c>
      <c r="L2723">
        <f>IFERROR(__xludf.DUMMYFUNCTION("""COMPUTED_VALUE"""),5.0)</f>
        <v>5</v>
      </c>
      <c r="M2723">
        <f>IFERROR(__xludf.DUMMYFUNCTION("""COMPUTED_VALUE"""),59.0)</f>
        <v>59</v>
      </c>
      <c r="N2723" t="str">
        <f>IFERROR(__xludf.DUMMYFUNCTION("""COMPUTED_VALUE"""),"Model 3 Performance")</f>
        <v>Model 3 Performance</v>
      </c>
      <c r="O2723" t="str">
        <f>IFERROR(__xludf.DUMMYFUNCTION("""COMPUTED_VALUE"""),"Deep Blue Metallic")</f>
        <v>Deep Blue Metallic</v>
      </c>
      <c r="P2723" t="str">
        <f>IFERROR(__xludf.DUMMYFUNCTION("""COMPUTED_VALUE"""),"20 inch")</f>
        <v>20 inch</v>
      </c>
      <c r="Q2723" t="str">
        <f>IFERROR(__xludf.DUMMYFUNCTION("""COMPUTED_VALUE"""),"All Black")</f>
        <v>All Black</v>
      </c>
      <c r="R2723" t="str">
        <f>IFERROR(__xludf.DUMMYFUNCTION("""COMPUTED_VALUE"""),"Autopilot included")</f>
        <v>Autopilot included</v>
      </c>
      <c r="S2723" t="str">
        <f>IFERROR(__xludf.DUMMYFUNCTION("""COMPUTED_VALUE"""),"Loan")</f>
        <v>Loan</v>
      </c>
      <c r="T2723" t="str">
        <f>IFERROR(__xludf.DUMMYFUNCTION("""COMPUTED_VALUE"""),"Subaru Crosstrek")</f>
        <v>Subaru Crosstrek</v>
      </c>
      <c r="U2723" t="str">
        <f>IFERROR(__xludf.DUMMYFUNCTION("""COMPUTED_VALUE"""),"Electric!")</f>
        <v>Electric!</v>
      </c>
      <c r="V2723" t="str">
        <f>IFERROR(__xludf.DUMMYFUNCTION("""COMPUTED_VALUE"""),"360° Bird's eye view")</f>
        <v>360° Bird's eye view</v>
      </c>
      <c r="X2723" t="str">
        <f>IFERROR(__xludf.DUMMYFUNCTION("""COMPUTED_VALUE"""),"Very Good")</f>
        <v>Very Good</v>
      </c>
      <c r="Y2723" t="str">
        <f>IFERROR(__xludf.DUMMYFUNCTION("""COMPUTED_VALUE"""),"Very Good")</f>
        <v>Very Good</v>
      </c>
      <c r="Z2723" t="str">
        <f>IFERROR(__xludf.DUMMYFUNCTION("""COMPUTED_VALUE"""),"Good")</f>
        <v>Good</v>
      </c>
      <c r="AA2723" t="str">
        <f>IFERROR(__xludf.DUMMYFUNCTION("""COMPUTED_VALUE"""),"Excellent")</f>
        <v>Excellent</v>
      </c>
      <c r="AB2723" t="str">
        <f>IFERROR(__xludf.DUMMYFUNCTION("""COMPUTED_VALUE"""),"Excellent")</f>
        <v>Excellent</v>
      </c>
      <c r="AC2723">
        <f>IFERROR(__xludf.DUMMYFUNCTION("""COMPUTED_VALUE"""),1.0)</f>
        <v>1</v>
      </c>
      <c r="AF2723" t="str">
        <f>IFERROR(__xludf.DUMMYFUNCTION("""COMPUTED_VALUE"""),"No. I took delivery of the first car Tesla was able to deliver.")</f>
        <v>No. I took delivery of the first car Tesla was able to deliver.</v>
      </c>
      <c r="AH2723" s="189">
        <f>IFERROR(__xludf.DUMMYFUNCTION("""COMPUTED_VALUE"""),44276.70607980324)</f>
        <v>44276.70608</v>
      </c>
    </row>
    <row r="2724">
      <c r="A2724" t="str">
        <f>IFERROR(__xludf.DUMMYFUNCTION("""COMPUTED_VALUE"""),"Habu")</f>
        <v>Habu</v>
      </c>
      <c r="B2724" t="str">
        <f>IFERROR(__xludf.DUMMYFUNCTION("""COMPUTED_VALUE"""),"Cincinnati")</f>
        <v>Cincinnati</v>
      </c>
      <c r="C2724" t="str">
        <f>IFERROR(__xludf.DUMMYFUNCTION("""COMPUTED_VALUE"""),"OH")</f>
        <v>OH</v>
      </c>
      <c r="D2724" t="str">
        <f>IFERROR(__xludf.DUMMYFUNCTION("""COMPUTED_VALUE"""),"USA")</f>
        <v>USA</v>
      </c>
      <c r="E2724" s="188">
        <f>IFERROR(__xludf.DUMMYFUNCTION("""COMPUTED_VALUE"""),44202.0)</f>
        <v>44202</v>
      </c>
      <c r="F2724" s="188">
        <f>IFERROR(__xludf.DUMMYFUNCTION("""COMPUTED_VALUE"""),44260.0)</f>
        <v>44260</v>
      </c>
      <c r="G2724" t="str">
        <f>IFERROR(__xludf.DUMMYFUNCTION("""COMPUTED_VALUE"""),"Email")</f>
        <v>Email</v>
      </c>
      <c r="H2724">
        <f>IFERROR(__xludf.DUMMYFUNCTION("""COMPUTED_VALUE"""),903055.0)</f>
        <v>903055</v>
      </c>
      <c r="J2724" s="188">
        <f>IFERROR(__xludf.DUMMYFUNCTION("""COMPUTED_VALUE"""),44266.0)</f>
        <v>44266</v>
      </c>
      <c r="K2724">
        <f>IFERROR(__xludf.DUMMYFUNCTION("""COMPUTED_VALUE"""),58.0)</f>
        <v>58</v>
      </c>
      <c r="L2724">
        <f>IFERROR(__xludf.DUMMYFUNCTION("""COMPUTED_VALUE"""),6.0)</f>
        <v>6</v>
      </c>
      <c r="M2724">
        <f>IFERROR(__xludf.DUMMYFUNCTION("""COMPUTED_VALUE"""),64.0)</f>
        <v>64</v>
      </c>
      <c r="N2724" t="str">
        <f>IFERROR(__xludf.DUMMYFUNCTION("""COMPUTED_VALUE"""),"Model 3 LR AWD")</f>
        <v>Model 3 LR AWD</v>
      </c>
      <c r="O2724" t="str">
        <f>IFERROR(__xludf.DUMMYFUNCTION("""COMPUTED_VALUE"""),"Midnight Silver Metallic")</f>
        <v>Midnight Silver Metallic</v>
      </c>
      <c r="P2724" t="str">
        <f>IFERROR(__xludf.DUMMYFUNCTION("""COMPUTED_VALUE"""),"18 inch")</f>
        <v>18 inch</v>
      </c>
      <c r="Q2724" t="str">
        <f>IFERROR(__xludf.DUMMYFUNCTION("""COMPUTED_VALUE"""),"Black and White")</f>
        <v>Black and White</v>
      </c>
      <c r="R2724" t="str">
        <f>IFERROR(__xludf.DUMMYFUNCTION("""COMPUTED_VALUE"""),"Autopilot included")</f>
        <v>Autopilot included</v>
      </c>
      <c r="S2724" t="str">
        <f>IFERROR(__xludf.DUMMYFUNCTION("""COMPUTED_VALUE"""),"Loan")</f>
        <v>Loan</v>
      </c>
      <c r="T2724" t="str">
        <f>IFERROR(__xludf.DUMMYFUNCTION("""COMPUTED_VALUE"""),"Toyota Camry")</f>
        <v>Toyota Camry</v>
      </c>
      <c r="X2724" t="str">
        <f>IFERROR(__xludf.DUMMYFUNCTION("""COMPUTED_VALUE"""),"Excellent")</f>
        <v>Excellent</v>
      </c>
      <c r="Y2724" t="str">
        <f>IFERROR(__xludf.DUMMYFUNCTION("""COMPUTED_VALUE"""),"Excellent")</f>
        <v>Excellent</v>
      </c>
      <c r="Z2724" t="str">
        <f>IFERROR(__xludf.DUMMYFUNCTION("""COMPUTED_VALUE"""),"Excellent")</f>
        <v>Excellent</v>
      </c>
      <c r="AA2724" t="str">
        <f>IFERROR(__xludf.DUMMYFUNCTION("""COMPUTED_VALUE"""),"Good")</f>
        <v>Good</v>
      </c>
      <c r="AB2724" t="str">
        <f>IFERROR(__xludf.DUMMYFUNCTION("""COMPUTED_VALUE"""),"Very Good")</f>
        <v>Very Good</v>
      </c>
      <c r="AF2724" t="str">
        <f>IFERROR(__xludf.DUMMYFUNCTION("""COMPUTED_VALUE"""),"No. I took delivery of the first car Tesla was able to deliver.")</f>
        <v>No. I took delivery of the first car Tesla was able to deliver.</v>
      </c>
      <c r="AH2724" s="189">
        <f>IFERROR(__xludf.DUMMYFUNCTION("""COMPUTED_VALUE"""),44266.42626532407)</f>
        <v>44266.42627</v>
      </c>
    </row>
    <row r="2725">
      <c r="A2725" t="str">
        <f>IFERROR(__xludf.DUMMYFUNCTION("""COMPUTED_VALUE"""),"Gauss Guzzler")</f>
        <v>Gauss Guzzler</v>
      </c>
      <c r="B2725" t="str">
        <f>IFERROR(__xludf.DUMMYFUNCTION("""COMPUTED_VALUE"""),"Los Angeles")</f>
        <v>Los Angeles</v>
      </c>
      <c r="C2725" t="str">
        <f>IFERROR(__xludf.DUMMYFUNCTION("""COMPUTED_VALUE"""),"CA")</f>
        <v>CA</v>
      </c>
      <c r="D2725" t="str">
        <f>IFERROR(__xludf.DUMMYFUNCTION("""COMPUTED_VALUE"""),"USA")</f>
        <v>USA</v>
      </c>
      <c r="E2725" s="188">
        <f>IFERROR(__xludf.DUMMYFUNCTION("""COMPUTED_VALUE"""),44160.0)</f>
        <v>44160</v>
      </c>
      <c r="F2725" s="188">
        <f>IFERROR(__xludf.DUMMYFUNCTION("""COMPUTED_VALUE"""),44193.0)</f>
        <v>44193</v>
      </c>
      <c r="G2725" t="str">
        <f>IFERROR(__xludf.DUMMYFUNCTION("""COMPUTED_VALUE"""),"MVPA")</f>
        <v>MVPA</v>
      </c>
      <c r="H2725">
        <f>IFERROR(__xludf.DUMMYFUNCTION("""COMPUTED_VALUE"""),925000.0)</f>
        <v>925000</v>
      </c>
      <c r="I2725" t="str">
        <f>IFERROR(__xludf.DUMMYFUNCTION("""COMPUTED_VALUE"""),"03/21")</f>
        <v>03/21</v>
      </c>
      <c r="J2725" s="188">
        <f>IFERROR(__xludf.DUMMYFUNCTION("""COMPUTED_VALUE"""),44274.0)</f>
        <v>44274</v>
      </c>
      <c r="K2725">
        <f>IFERROR(__xludf.DUMMYFUNCTION("""COMPUTED_VALUE"""),33.0)</f>
        <v>33</v>
      </c>
      <c r="L2725">
        <f>IFERROR(__xludf.DUMMYFUNCTION("""COMPUTED_VALUE"""),81.0)</f>
        <v>81</v>
      </c>
      <c r="M2725">
        <f>IFERROR(__xludf.DUMMYFUNCTION("""COMPUTED_VALUE"""),114.0)</f>
        <v>114</v>
      </c>
      <c r="N2725" t="str">
        <f>IFERROR(__xludf.DUMMYFUNCTION("""COMPUTED_VALUE"""),"Model 3 Performance")</f>
        <v>Model 3 Performance</v>
      </c>
      <c r="O2725" t="str">
        <f>IFERROR(__xludf.DUMMYFUNCTION("""COMPUTED_VALUE"""),"Red Multi-Coat")</f>
        <v>Red Multi-Coat</v>
      </c>
      <c r="P2725" t="str">
        <f>IFERROR(__xludf.DUMMYFUNCTION("""COMPUTED_VALUE"""),"20 inch")</f>
        <v>20 inch</v>
      </c>
      <c r="Q2725" t="str">
        <f>IFERROR(__xludf.DUMMYFUNCTION("""COMPUTED_VALUE"""),"All Black")</f>
        <v>All Black</v>
      </c>
      <c r="R2725" t="str">
        <f>IFERROR(__xludf.DUMMYFUNCTION("""COMPUTED_VALUE"""),"Autopilot included")</f>
        <v>Autopilot included</v>
      </c>
      <c r="S2725" t="str">
        <f>IFERROR(__xludf.DUMMYFUNCTION("""COMPUTED_VALUE"""),"Cash")</f>
        <v>Cash</v>
      </c>
      <c r="T2725" t="str">
        <f>IFERROR(__xludf.DUMMYFUNCTION("""COMPUTED_VALUE"""),"BMW 3 Series")</f>
        <v>BMW 3 Series</v>
      </c>
      <c r="U2725" t="str">
        <f>IFERROR(__xludf.DUMMYFUNCTION("""COMPUTED_VALUE"""),"Fast")</f>
        <v>Fast</v>
      </c>
      <c r="V2725" t="str">
        <f>IFERROR(__xludf.DUMMYFUNCTION("""COMPUTED_VALUE"""),"19"" Zero G performance wheels")</f>
        <v>19" Zero G performance wheels</v>
      </c>
      <c r="W2725" t="str">
        <f>IFERROR(__xludf.DUMMYFUNCTION("""COMPUTED_VALUE"""),"Best car on the market, worst company in the world")</f>
        <v>Best car on the market, worst company in the world</v>
      </c>
      <c r="X2725" t="str">
        <f>IFERROR(__xludf.DUMMYFUNCTION("""COMPUTED_VALUE"""),"Poor")</f>
        <v>Poor</v>
      </c>
      <c r="Y2725" t="str">
        <f>IFERROR(__xludf.DUMMYFUNCTION("""COMPUTED_VALUE"""),"Fair")</f>
        <v>Fair</v>
      </c>
      <c r="Z2725" t="str">
        <f>IFERROR(__xludf.DUMMYFUNCTION("""COMPUTED_VALUE"""),"Fair")</f>
        <v>Fair</v>
      </c>
      <c r="AA2725" t="str">
        <f>IFERROR(__xludf.DUMMYFUNCTION("""COMPUTED_VALUE"""),"Poor")</f>
        <v>Poor</v>
      </c>
      <c r="AB2725" t="str">
        <f>IFERROR(__xludf.DUMMYFUNCTION("""COMPUTED_VALUE"""),"Poor")</f>
        <v>Poor</v>
      </c>
      <c r="AC2725">
        <f>IFERROR(__xludf.DUMMYFUNCTION("""COMPUTED_VALUE"""),7.0)</f>
        <v>7</v>
      </c>
      <c r="AD2725">
        <f>IFERROR(__xludf.DUMMYFUNCTION("""COMPUTED_VALUE"""),2.0)</f>
        <v>2</v>
      </c>
      <c r="AE2725">
        <f>IFERROR(__xludf.DUMMYFUNCTION("""COMPUTED_VALUE"""),7.0)</f>
        <v>7</v>
      </c>
      <c r="AF2725" t="str">
        <f>IFERROR(__xludf.DUMMYFUNCTION("""COMPUTED_VALUE"""),"No. I took delivery of the first car Tesla was able to deliver.")</f>
        <v>No. I took delivery of the first car Tesla was able to deliver.</v>
      </c>
      <c r="AG2725" t="str">
        <f>IFERROR(__xludf.DUMMYFUNCTION("""COMPUTED_VALUE"""),"Was ghosted after paying in Dec. Never got the car and they won't return my calls.")</f>
        <v>Was ghosted after paying in Dec. Never got the car and they won't return my calls.</v>
      </c>
      <c r="AH2725" s="189">
        <f>IFERROR(__xludf.DUMMYFUNCTION("""COMPUTED_VALUE"""),44287.95988988426)</f>
        <v>44287.95989</v>
      </c>
    </row>
    <row r="2726">
      <c r="A2726" t="str">
        <f>IFERROR(__xludf.DUMMYFUNCTION("""COMPUTED_VALUE"""),"Ajsev")</f>
        <v>Ajsev</v>
      </c>
      <c r="B2726" t="str">
        <f>IFERROR(__xludf.DUMMYFUNCTION("""COMPUTED_VALUE"""),"South central CT")</f>
        <v>South central CT</v>
      </c>
      <c r="C2726" t="str">
        <f>IFERROR(__xludf.DUMMYFUNCTION("""COMPUTED_VALUE"""),"CT")</f>
        <v>CT</v>
      </c>
      <c r="D2726" t="str">
        <f>IFERROR(__xludf.DUMMYFUNCTION("""COMPUTED_VALUE"""),"USA")</f>
        <v>USA</v>
      </c>
      <c r="E2726" s="188">
        <f>IFERROR(__xludf.DUMMYFUNCTION("""COMPUTED_VALUE"""),44240.0)</f>
        <v>44240</v>
      </c>
      <c r="F2726" s="188">
        <f>IFERROR(__xludf.DUMMYFUNCTION("""COMPUTED_VALUE"""),44243.0)</f>
        <v>44243</v>
      </c>
      <c r="G2726" t="str">
        <f>IFERROR(__xludf.DUMMYFUNCTION("""COMPUTED_VALUE"""),"Email")</f>
        <v>Email</v>
      </c>
      <c r="H2726">
        <f>IFERROR(__xludf.DUMMYFUNCTION("""COMPUTED_VALUE"""),911355.0)</f>
        <v>911355</v>
      </c>
      <c r="J2726" s="188">
        <f>IFERROR(__xludf.DUMMYFUNCTION("""COMPUTED_VALUE"""),36959.0)</f>
        <v>36959</v>
      </c>
      <c r="K2726">
        <f>IFERROR(__xludf.DUMMYFUNCTION("""COMPUTED_VALUE"""),3.0)</f>
        <v>3</v>
      </c>
      <c r="N2726" t="str">
        <f>IFERROR(__xludf.DUMMYFUNCTION("""COMPUTED_VALUE"""),"Model 3 SR+")</f>
        <v>Model 3 SR+</v>
      </c>
      <c r="O2726" t="str">
        <f>IFERROR(__xludf.DUMMYFUNCTION("""COMPUTED_VALUE"""),"Midnight Silver Metallic")</f>
        <v>Midnight Silver Metallic</v>
      </c>
      <c r="P2726" t="str">
        <f>IFERROR(__xludf.DUMMYFUNCTION("""COMPUTED_VALUE"""),"18 inch")</f>
        <v>18 inch</v>
      </c>
      <c r="Q2726" t="str">
        <f>IFERROR(__xludf.DUMMYFUNCTION("""COMPUTED_VALUE"""),"All Black")</f>
        <v>All Black</v>
      </c>
      <c r="R2726" t="str">
        <f>IFERROR(__xludf.DUMMYFUNCTION("""COMPUTED_VALUE"""),"Autopilot included")</f>
        <v>Autopilot included</v>
      </c>
      <c r="U2726" t="str">
        <f>IFERROR(__xludf.DUMMYFUNCTION("""COMPUTED_VALUE"""),"Autopilot")</f>
        <v>Autopilot</v>
      </c>
      <c r="V2726" t="str">
        <f>IFERROR(__xludf.DUMMYFUNCTION("""COMPUTED_VALUE"""),"Apple CarPlay / Android Auto / SiriusXM Radio")</f>
        <v>Apple CarPlay / Android Auto / SiriusXM Radio</v>
      </c>
      <c r="X2726" t="str">
        <f>IFERROR(__xludf.DUMMYFUNCTION("""COMPUTED_VALUE"""),"Good")</f>
        <v>Good</v>
      </c>
      <c r="Y2726" t="str">
        <f>IFERROR(__xludf.DUMMYFUNCTION("""COMPUTED_VALUE"""),"Excellent")</f>
        <v>Excellent</v>
      </c>
      <c r="Z2726" t="str">
        <f>IFERROR(__xludf.DUMMYFUNCTION("""COMPUTED_VALUE"""),"Very Good")</f>
        <v>Very Good</v>
      </c>
      <c r="AA2726" t="str">
        <f>IFERROR(__xludf.DUMMYFUNCTION("""COMPUTED_VALUE"""),"Very Good")</f>
        <v>Very Good</v>
      </c>
      <c r="AB2726" t="str">
        <f>IFERROR(__xludf.DUMMYFUNCTION("""COMPUTED_VALUE"""),"Excellent")</f>
        <v>Excellent</v>
      </c>
      <c r="AC2726">
        <f>IFERROR(__xludf.DUMMYFUNCTION("""COMPUTED_VALUE"""),3.0)</f>
        <v>3</v>
      </c>
      <c r="AD2726">
        <f>IFERROR(__xludf.DUMMYFUNCTION("""COMPUTED_VALUE"""),1.0)</f>
        <v>1</v>
      </c>
      <c r="AE2726">
        <f>IFERROR(__xludf.DUMMYFUNCTION("""COMPUTED_VALUE"""),0.0)</f>
        <v>0</v>
      </c>
      <c r="AF2726" t="str">
        <f>IFERROR(__xludf.DUMMYFUNCTION("""COMPUTED_VALUE"""),"No. I took delivery of the first car Tesla was able to deliver.")</f>
        <v>No. I took delivery of the first car Tesla was able to deliver.</v>
      </c>
      <c r="AH2726" s="189">
        <f>IFERROR(__xludf.DUMMYFUNCTION("""COMPUTED_VALUE"""),44280.34658503473)</f>
        <v>44280.34659</v>
      </c>
    </row>
    <row r="2727">
      <c r="A2727" t="str">
        <f>IFERROR(__xludf.DUMMYFUNCTION("""COMPUTED_VALUE"""),"ArloDog")</f>
        <v>ArloDog</v>
      </c>
      <c r="B2727" t="str">
        <f>IFERROR(__xludf.DUMMYFUNCTION("""COMPUTED_VALUE"""),"Seabrook Island")</f>
        <v>Seabrook Island</v>
      </c>
      <c r="C2727" t="str">
        <f>IFERROR(__xludf.DUMMYFUNCTION("""COMPUTED_VALUE"""),"SC")</f>
        <v>SC</v>
      </c>
      <c r="D2727" t="str">
        <f>IFERROR(__xludf.DUMMYFUNCTION("""COMPUTED_VALUE"""),"USA")</f>
        <v>USA</v>
      </c>
      <c r="E2727" s="188">
        <f>IFERROR(__xludf.DUMMYFUNCTION("""COMPUTED_VALUE"""),44203.0)</f>
        <v>44203</v>
      </c>
      <c r="F2727" s="188">
        <f>IFERROR(__xludf.DUMMYFUNCTION("""COMPUTED_VALUE"""),44315.0)</f>
        <v>44315</v>
      </c>
      <c r="G2727" t="str">
        <f>IFERROR(__xludf.DUMMYFUNCTION("""COMPUTED_VALUE"""),"Manage order page (normal text)")</f>
        <v>Manage order page (normal text)</v>
      </c>
      <c r="H2727">
        <f>IFERROR(__xludf.DUMMYFUNCTION("""COMPUTED_VALUE"""),960755.0)</f>
        <v>960755</v>
      </c>
      <c r="I2727" t="str">
        <f>IFERROR(__xludf.DUMMYFUNCTION("""COMPUTED_VALUE"""),"04/21")</f>
        <v>04/21</v>
      </c>
      <c r="J2727" s="188">
        <f>IFERROR(__xludf.DUMMYFUNCTION("""COMPUTED_VALUE"""),44341.0)</f>
        <v>44341</v>
      </c>
      <c r="K2727">
        <f>IFERROR(__xludf.DUMMYFUNCTION("""COMPUTED_VALUE"""),112.0)</f>
        <v>112</v>
      </c>
      <c r="L2727">
        <f>IFERROR(__xludf.DUMMYFUNCTION("""COMPUTED_VALUE"""),26.0)</f>
        <v>26</v>
      </c>
      <c r="M2727">
        <f>IFERROR(__xludf.DUMMYFUNCTION("""COMPUTED_VALUE"""),138.0)</f>
        <v>138</v>
      </c>
      <c r="N2727" t="str">
        <f>IFERROR(__xludf.DUMMYFUNCTION("""COMPUTED_VALUE"""),"Model 3 LR AWD")</f>
        <v>Model 3 LR AWD</v>
      </c>
      <c r="O2727" t="str">
        <f>IFERROR(__xludf.DUMMYFUNCTION("""COMPUTED_VALUE"""),"Deep Blue Metallic")</f>
        <v>Deep Blue Metallic</v>
      </c>
      <c r="P2727" t="str">
        <f>IFERROR(__xludf.DUMMYFUNCTION("""COMPUTED_VALUE"""),"18 inch")</f>
        <v>18 inch</v>
      </c>
      <c r="Q2727" t="str">
        <f>IFERROR(__xludf.DUMMYFUNCTION("""COMPUTED_VALUE"""),"Black and White")</f>
        <v>Black and White</v>
      </c>
      <c r="R2727" t="str">
        <f>IFERROR(__xludf.DUMMYFUNCTION("""COMPUTED_VALUE"""),"Autopilot included")</f>
        <v>Autopilot included</v>
      </c>
      <c r="S2727" t="str">
        <f>IFERROR(__xludf.DUMMYFUNCTION("""COMPUTED_VALUE"""),"Lease")</f>
        <v>Lease</v>
      </c>
      <c r="T2727" t="str">
        <f>IFERROR(__xludf.DUMMYFUNCTION("""COMPUTED_VALUE"""),"BMW 3 Series")</f>
        <v>BMW 3 Series</v>
      </c>
      <c r="U2727" t="str">
        <f>IFERROR(__xludf.DUMMYFUNCTION("""COMPUTED_VALUE"""),"Electric!")</f>
        <v>Electric!</v>
      </c>
      <c r="V2727" t="str">
        <f>IFERROR(__xludf.DUMMYFUNCTION("""COMPUTED_VALUE"""),"Blind spot indicators on side mirrors")</f>
        <v>Blind spot indicators on side mirrors</v>
      </c>
      <c r="X2727" t="str">
        <f>IFERROR(__xludf.DUMMYFUNCTION("""COMPUTED_VALUE"""),"Excellent")</f>
        <v>Excellent</v>
      </c>
      <c r="Y2727" t="str">
        <f>IFERROR(__xludf.DUMMYFUNCTION("""COMPUTED_VALUE"""),"Excellent")</f>
        <v>Excellent</v>
      </c>
      <c r="Z2727" t="str">
        <f>IFERROR(__xludf.DUMMYFUNCTION("""COMPUTED_VALUE"""),"Excellent")</f>
        <v>Excellent</v>
      </c>
      <c r="AA2727" t="str">
        <f>IFERROR(__xludf.DUMMYFUNCTION("""COMPUTED_VALUE"""),"Fair")</f>
        <v>Fair</v>
      </c>
      <c r="AB2727" t="str">
        <f>IFERROR(__xludf.DUMMYFUNCTION("""COMPUTED_VALUE"""),"Good")</f>
        <v>Good</v>
      </c>
      <c r="AC2727">
        <f>IFERROR(__xludf.DUMMYFUNCTION("""COMPUTED_VALUE"""),0.0)</f>
        <v>0</v>
      </c>
      <c r="AF2727" t="str">
        <f>IFERROR(__xludf.DUMMYFUNCTION("""COMPUTED_VALUE"""),"No. I took delivery of the first car Tesla was able to deliver.")</f>
        <v>No. I took delivery of the first car Tesla was able to deliver.</v>
      </c>
      <c r="AH2727" s="189">
        <f>IFERROR(__xludf.DUMMYFUNCTION("""COMPUTED_VALUE"""),44347.36100266204)</f>
        <v>44347.361</v>
      </c>
    </row>
    <row r="2728">
      <c r="A2728" t="str">
        <f>IFERROR(__xludf.DUMMYFUNCTION("""COMPUTED_VALUE"""),"ElectricGoBoi")</f>
        <v>ElectricGoBoi</v>
      </c>
      <c r="B2728" t="str">
        <f>IFERROR(__xludf.DUMMYFUNCTION("""COMPUTED_VALUE"""),"Tampa")</f>
        <v>Tampa</v>
      </c>
      <c r="C2728" t="str">
        <f>IFERROR(__xludf.DUMMYFUNCTION("""COMPUTED_VALUE"""),"FL")</f>
        <v>FL</v>
      </c>
      <c r="D2728" t="str">
        <f>IFERROR(__xludf.DUMMYFUNCTION("""COMPUTED_VALUE"""),"USA")</f>
        <v>USA</v>
      </c>
      <c r="E2728" s="188">
        <f>IFERROR(__xludf.DUMMYFUNCTION("""COMPUTED_VALUE"""),44204.0)</f>
        <v>44204</v>
      </c>
      <c r="F2728" s="188">
        <f>IFERROR(__xludf.DUMMYFUNCTION("""COMPUTED_VALUE"""),44252.0)</f>
        <v>44252</v>
      </c>
      <c r="G2728" t="str">
        <f>IFERROR(__xludf.DUMMYFUNCTION("""COMPUTED_VALUE"""),"Manage order page (normal text)")</f>
        <v>Manage order page (normal text)</v>
      </c>
      <c r="H2728">
        <f>IFERROR(__xludf.DUMMYFUNCTION("""COMPUTED_VALUE"""),903070.0)</f>
        <v>903070</v>
      </c>
      <c r="I2728" t="str">
        <f>IFERROR(__xludf.DUMMYFUNCTION("""COMPUTED_VALUE"""),"02/21")</f>
        <v>02/21</v>
      </c>
      <c r="J2728" s="188">
        <f>IFERROR(__xludf.DUMMYFUNCTION("""COMPUTED_VALUE"""),44273.0)</f>
        <v>44273</v>
      </c>
      <c r="K2728">
        <f>IFERROR(__xludf.DUMMYFUNCTION("""COMPUTED_VALUE"""),48.0)</f>
        <v>48</v>
      </c>
      <c r="L2728">
        <f>IFERROR(__xludf.DUMMYFUNCTION("""COMPUTED_VALUE"""),21.0)</f>
        <v>21</v>
      </c>
      <c r="M2728">
        <f>IFERROR(__xludf.DUMMYFUNCTION("""COMPUTED_VALUE"""),69.0)</f>
        <v>69</v>
      </c>
      <c r="N2728" t="str">
        <f>IFERROR(__xludf.DUMMYFUNCTION("""COMPUTED_VALUE"""),"Model 3 LR AWD")</f>
        <v>Model 3 LR AWD</v>
      </c>
      <c r="O2728" t="str">
        <f>IFERROR(__xludf.DUMMYFUNCTION("""COMPUTED_VALUE"""),"Midnight Silver Metallic")</f>
        <v>Midnight Silver Metallic</v>
      </c>
      <c r="P2728" t="str">
        <f>IFERROR(__xludf.DUMMYFUNCTION("""COMPUTED_VALUE"""),"18 inch")</f>
        <v>18 inch</v>
      </c>
      <c r="Q2728" t="str">
        <f>IFERROR(__xludf.DUMMYFUNCTION("""COMPUTED_VALUE"""),"Black and White")</f>
        <v>Black and White</v>
      </c>
      <c r="R2728" t="str">
        <f>IFERROR(__xludf.DUMMYFUNCTION("""COMPUTED_VALUE"""),"Full Self-Driving")</f>
        <v>Full Self-Driving</v>
      </c>
      <c r="S2728" t="str">
        <f>IFERROR(__xludf.DUMMYFUNCTION("""COMPUTED_VALUE"""),"Loan")</f>
        <v>Loan</v>
      </c>
      <c r="T2728" t="str">
        <f>IFERROR(__xludf.DUMMYFUNCTION("""COMPUTED_VALUE"""),"Toyota Tacoma Trd off-road")</f>
        <v>Toyota Tacoma Trd off-road</v>
      </c>
      <c r="U2728" t="str">
        <f>IFERROR(__xludf.DUMMYFUNCTION("""COMPUTED_VALUE"""),"No more gas stations")</f>
        <v>No more gas stations</v>
      </c>
      <c r="V2728" t="str">
        <f>IFERROR(__xludf.DUMMYFUNCTION("""COMPUTED_VALUE"""),"HomeLink")</f>
        <v>HomeLink</v>
      </c>
      <c r="W2728" t="str">
        <f>IFERROR(__xludf.DUMMYFUNCTION("""COMPUTED_VALUE"""),"The wait sucks but it’s definitely worth it, completely new driving experience ")</f>
        <v>The wait sucks but it’s definitely worth it, completely new driving experience </v>
      </c>
      <c r="X2728" t="str">
        <f>IFERROR(__xludf.DUMMYFUNCTION("""COMPUTED_VALUE"""),"Good")</f>
        <v>Good</v>
      </c>
      <c r="Y2728" t="str">
        <f>IFERROR(__xludf.DUMMYFUNCTION("""COMPUTED_VALUE"""),"Very Good")</f>
        <v>Very Good</v>
      </c>
      <c r="Z2728" t="str">
        <f>IFERROR(__xludf.DUMMYFUNCTION("""COMPUTED_VALUE"""),"Excellent")</f>
        <v>Excellent</v>
      </c>
      <c r="AA2728" t="str">
        <f>IFERROR(__xludf.DUMMYFUNCTION("""COMPUTED_VALUE"""),"Fair")</f>
        <v>Fair</v>
      </c>
      <c r="AB2728" t="str">
        <f>IFERROR(__xludf.DUMMYFUNCTION("""COMPUTED_VALUE"""),"Very Good")</f>
        <v>Very Good</v>
      </c>
      <c r="AC2728">
        <f>IFERROR(__xludf.DUMMYFUNCTION("""COMPUTED_VALUE"""),4.0)</f>
        <v>4</v>
      </c>
      <c r="AD2728">
        <f>IFERROR(__xludf.DUMMYFUNCTION("""COMPUTED_VALUE"""),1.0)</f>
        <v>1</v>
      </c>
      <c r="AE2728">
        <f>IFERROR(__xludf.DUMMYFUNCTION("""COMPUTED_VALUE"""),3.0)</f>
        <v>3</v>
      </c>
      <c r="AF2728" t="str">
        <f>IFERROR(__xludf.DUMMYFUNCTION("""COMPUTED_VALUE"""),"No. I took delivery of the first car Tesla was able to deliver.")</f>
        <v>No. I took delivery of the first car Tesla was able to deliver.</v>
      </c>
      <c r="AH2728" s="189">
        <f>IFERROR(__xludf.DUMMYFUNCTION("""COMPUTED_VALUE"""),44279.900521504635)</f>
        <v>44279.90052</v>
      </c>
    </row>
    <row r="2729">
      <c r="A2729" t="str">
        <f>IFERROR(__xludf.DUMMYFUNCTION("""COMPUTED_VALUE"""),"Totallynotmike")</f>
        <v>Totallynotmike</v>
      </c>
      <c r="B2729" t="str">
        <f>IFERROR(__xludf.DUMMYFUNCTION("""COMPUTED_VALUE"""),"Youngstown")</f>
        <v>Youngstown</v>
      </c>
      <c r="C2729" t="str">
        <f>IFERROR(__xludf.DUMMYFUNCTION("""COMPUTED_VALUE"""),"OH")</f>
        <v>OH</v>
      </c>
      <c r="D2729" t="str">
        <f>IFERROR(__xludf.DUMMYFUNCTION("""COMPUTED_VALUE"""),"USA")</f>
        <v>USA</v>
      </c>
      <c r="E2729" s="188">
        <f>IFERROR(__xludf.DUMMYFUNCTION("""COMPUTED_VALUE"""),44239.0)</f>
        <v>44239</v>
      </c>
      <c r="F2729" s="188">
        <f>IFERROR(__xludf.DUMMYFUNCTION("""COMPUTED_VALUE"""),44260.0)</f>
        <v>44260</v>
      </c>
      <c r="G2729" t="str">
        <f>IFERROR(__xludf.DUMMYFUNCTION("""COMPUTED_VALUE"""),"Manage order page (normal text)")</f>
        <v>Manage order page (normal text)</v>
      </c>
      <c r="H2729">
        <f>IFERROR(__xludf.DUMMYFUNCTION("""COMPUTED_VALUE"""),917955.0)</f>
        <v>917955</v>
      </c>
      <c r="I2729" t="str">
        <f>IFERROR(__xludf.DUMMYFUNCTION("""COMPUTED_VALUE"""),"03/21")</f>
        <v>03/21</v>
      </c>
      <c r="J2729" s="188">
        <f>IFERROR(__xludf.DUMMYFUNCTION("""COMPUTED_VALUE"""),44274.0)</f>
        <v>44274</v>
      </c>
      <c r="K2729">
        <f>IFERROR(__xludf.DUMMYFUNCTION("""COMPUTED_VALUE"""),21.0)</f>
        <v>21</v>
      </c>
      <c r="L2729">
        <f>IFERROR(__xludf.DUMMYFUNCTION("""COMPUTED_VALUE"""),14.0)</f>
        <v>14</v>
      </c>
      <c r="M2729">
        <f>IFERROR(__xludf.DUMMYFUNCTION("""COMPUTED_VALUE"""),35.0)</f>
        <v>35</v>
      </c>
      <c r="N2729" t="str">
        <f>IFERROR(__xludf.DUMMYFUNCTION("""COMPUTED_VALUE"""),"Model 3 LR AWD")</f>
        <v>Model 3 LR AWD</v>
      </c>
      <c r="O2729" t="str">
        <f>IFERROR(__xludf.DUMMYFUNCTION("""COMPUTED_VALUE"""),"Deep Blue Metallic")</f>
        <v>Deep Blue Metallic</v>
      </c>
      <c r="P2729" t="str">
        <f>IFERROR(__xludf.DUMMYFUNCTION("""COMPUTED_VALUE"""),"18 inch")</f>
        <v>18 inch</v>
      </c>
      <c r="Q2729" t="str">
        <f>IFERROR(__xludf.DUMMYFUNCTION("""COMPUTED_VALUE"""),"Black and White")</f>
        <v>Black and White</v>
      </c>
      <c r="R2729" t="str">
        <f>IFERROR(__xludf.DUMMYFUNCTION("""COMPUTED_VALUE"""),"Autopilot included")</f>
        <v>Autopilot included</v>
      </c>
      <c r="S2729" t="str">
        <f>IFERROR(__xludf.DUMMYFUNCTION("""COMPUTED_VALUE"""),"Loan")</f>
        <v>Loan</v>
      </c>
      <c r="T2729" t="str">
        <f>IFERROR(__xludf.DUMMYFUNCTION("""COMPUTED_VALUE"""),"Hyundai Sonata")</f>
        <v>Hyundai Sonata</v>
      </c>
      <c r="U2729" t="str">
        <f>IFERROR(__xludf.DUMMYFUNCTION("""COMPUTED_VALUE"""),"Electric!")</f>
        <v>Electric!</v>
      </c>
      <c r="V2729" t="str">
        <f>IFERROR(__xludf.DUMMYFUNCTION("""COMPUTED_VALUE"""),"Blind spot indicators on side mirrors")</f>
        <v>Blind spot indicators on side mirrors</v>
      </c>
      <c r="X2729" t="str">
        <f>IFERROR(__xludf.DUMMYFUNCTION("""COMPUTED_VALUE"""),"Excellent")</f>
        <v>Excellent</v>
      </c>
      <c r="Y2729" t="str">
        <f>IFERROR(__xludf.DUMMYFUNCTION("""COMPUTED_VALUE"""),"Excellent")</f>
        <v>Excellent</v>
      </c>
      <c r="Z2729" t="str">
        <f>IFERROR(__xludf.DUMMYFUNCTION("""COMPUTED_VALUE"""),"Excellent")</f>
        <v>Excellent</v>
      </c>
      <c r="AA2729" t="str">
        <f>IFERROR(__xludf.DUMMYFUNCTION("""COMPUTED_VALUE"""),"Good")</f>
        <v>Good</v>
      </c>
      <c r="AB2729" t="str">
        <f>IFERROR(__xludf.DUMMYFUNCTION("""COMPUTED_VALUE"""),"Excellent")</f>
        <v>Excellent</v>
      </c>
      <c r="AC2729">
        <f>IFERROR(__xludf.DUMMYFUNCTION("""COMPUTED_VALUE"""),0.0)</f>
        <v>0</v>
      </c>
      <c r="AD2729">
        <f>IFERROR(__xludf.DUMMYFUNCTION("""COMPUTED_VALUE"""),0.0)</f>
        <v>0</v>
      </c>
      <c r="AE2729">
        <f>IFERROR(__xludf.DUMMYFUNCTION("""COMPUTED_VALUE"""),0.0)</f>
        <v>0</v>
      </c>
      <c r="AF2729" t="str">
        <f>IFERROR(__xludf.DUMMYFUNCTION("""COMPUTED_VALUE"""),"No. I took delivery of the first car Tesla was able to deliver.")</f>
        <v>No. I took delivery of the first car Tesla was able to deliver.</v>
      </c>
      <c r="AH2729" s="189">
        <f>IFERROR(__xludf.DUMMYFUNCTION("""COMPUTED_VALUE"""),44307.387126608795)</f>
        <v>44307.38713</v>
      </c>
    </row>
    <row r="2730">
      <c r="A2730" t="str">
        <f>IFERROR(__xludf.DUMMYFUNCTION("""COMPUTED_VALUE"""),"gomichsea")</f>
        <v>gomichsea</v>
      </c>
      <c r="B2730" t="str">
        <f>IFERROR(__xludf.DUMMYFUNCTION("""COMPUTED_VALUE"""),"Seattle")</f>
        <v>Seattle</v>
      </c>
      <c r="C2730" t="str">
        <f>IFERROR(__xludf.DUMMYFUNCTION("""COMPUTED_VALUE"""),"WA")</f>
        <v>WA</v>
      </c>
      <c r="D2730" t="str">
        <f>IFERROR(__xludf.DUMMYFUNCTION("""COMPUTED_VALUE"""),"USA")</f>
        <v>USA</v>
      </c>
      <c r="E2730" s="188">
        <f>IFERROR(__xludf.DUMMYFUNCTION("""COMPUTED_VALUE"""),44213.0)</f>
        <v>44213</v>
      </c>
      <c r="F2730" s="188">
        <f>IFERROR(__xludf.DUMMYFUNCTION("""COMPUTED_VALUE"""),44239.0)</f>
        <v>44239</v>
      </c>
      <c r="G2730" t="str">
        <f>IFERROR(__xludf.DUMMYFUNCTION("""COMPUTED_VALUE"""),"Manage order page (normal text)")</f>
        <v>Manage order page (normal text)</v>
      </c>
      <c r="H2730">
        <f>IFERROR(__xludf.DUMMYFUNCTION("""COMPUTED_VALUE"""),906555.0)</f>
        <v>906555</v>
      </c>
      <c r="I2730" t="str">
        <f>IFERROR(__xludf.DUMMYFUNCTION("""COMPUTED_VALUE"""),"02/21")</f>
        <v>02/21</v>
      </c>
      <c r="J2730" s="188">
        <f>IFERROR(__xludf.DUMMYFUNCTION("""COMPUTED_VALUE"""),-686240.0)</f>
        <v>-686240</v>
      </c>
      <c r="K2730">
        <f>IFERROR(__xludf.DUMMYFUNCTION("""COMPUTED_VALUE"""),26.0)</f>
        <v>26</v>
      </c>
      <c r="N2730" t="str">
        <f>IFERROR(__xludf.DUMMYFUNCTION("""COMPUTED_VALUE"""),"Model 3 LR AWD")</f>
        <v>Model 3 LR AWD</v>
      </c>
      <c r="O2730" t="str">
        <f>IFERROR(__xludf.DUMMYFUNCTION("""COMPUTED_VALUE"""),"Midnight Silver Metallic")</f>
        <v>Midnight Silver Metallic</v>
      </c>
      <c r="P2730" t="str">
        <f>IFERROR(__xludf.DUMMYFUNCTION("""COMPUTED_VALUE"""),"18 inch")</f>
        <v>18 inch</v>
      </c>
      <c r="Q2730" t="str">
        <f>IFERROR(__xludf.DUMMYFUNCTION("""COMPUTED_VALUE"""),"All Black")</f>
        <v>All Black</v>
      </c>
      <c r="R2730" t="str">
        <f>IFERROR(__xludf.DUMMYFUNCTION("""COMPUTED_VALUE"""),"Autopilot included")</f>
        <v>Autopilot included</v>
      </c>
      <c r="S2730" t="str">
        <f>IFERROR(__xludf.DUMMYFUNCTION("""COMPUTED_VALUE"""),"Cash")</f>
        <v>Cash</v>
      </c>
      <c r="T2730" t="str">
        <f>IFERROR(__xludf.DUMMYFUNCTION("""COMPUTED_VALUE"""),"Honda Odyssey")</f>
        <v>Honda Odyssey</v>
      </c>
      <c r="U2730" t="str">
        <f>IFERROR(__xludf.DUMMYFUNCTION("""COMPUTED_VALUE"""),"Electric!")</f>
        <v>Electric!</v>
      </c>
      <c r="V2730" t="str">
        <f>IFERROR(__xludf.DUMMYFUNCTION("""COMPUTED_VALUE"""),"HomeLink")</f>
        <v>HomeLink</v>
      </c>
      <c r="W2730" t="str">
        <f>IFERROR(__xludf.DUMMYFUNCTION("""COMPUTED_VALUE"""),"The sensors on the new heat pump seem problematic.")</f>
        <v>The sensors on the new heat pump seem problematic.</v>
      </c>
      <c r="X2730" t="str">
        <f>IFERROR(__xludf.DUMMYFUNCTION("""COMPUTED_VALUE"""),"Excellent")</f>
        <v>Excellent</v>
      </c>
      <c r="Y2730" t="str">
        <f>IFERROR(__xludf.DUMMYFUNCTION("""COMPUTED_VALUE"""),"Excellent")</f>
        <v>Excellent</v>
      </c>
      <c r="Z2730" t="str">
        <f>IFERROR(__xludf.DUMMYFUNCTION("""COMPUTED_VALUE"""),"Excellent")</f>
        <v>Excellent</v>
      </c>
      <c r="AA2730" t="str">
        <f>IFERROR(__xludf.DUMMYFUNCTION("""COMPUTED_VALUE"""),"Excellent")</f>
        <v>Excellent</v>
      </c>
      <c r="AB2730" t="str">
        <f>IFERROR(__xludf.DUMMYFUNCTION("""COMPUTED_VALUE"""),"Very Good")</f>
        <v>Very Good</v>
      </c>
      <c r="AC2730">
        <f>IFERROR(__xludf.DUMMYFUNCTION("""COMPUTED_VALUE"""),1.0)</f>
        <v>1</v>
      </c>
      <c r="AD2730">
        <f>IFERROR(__xludf.DUMMYFUNCTION("""COMPUTED_VALUE"""),1.0)</f>
        <v>1</v>
      </c>
      <c r="AF2730" t="str">
        <f>IFERROR(__xludf.DUMMYFUNCTION("""COMPUTED_VALUE"""),"No. I took delivery of the first car Tesla was able to deliver.")</f>
        <v>No. I took delivery of the first car Tesla was able to deliver.</v>
      </c>
      <c r="AH2730" s="189">
        <f>IFERROR(__xludf.DUMMYFUNCTION("""COMPUTED_VALUE"""),44256.466314398145)</f>
        <v>44256.46631</v>
      </c>
    </row>
    <row r="2731">
      <c r="A2731" t="str">
        <f>IFERROR(__xludf.DUMMYFUNCTION("""COMPUTED_VALUE"""),"rnb")</f>
        <v>rnb</v>
      </c>
      <c r="B2731" t="str">
        <f>IFERROR(__xludf.DUMMYFUNCTION("""COMPUTED_VALUE"""),"Providence")</f>
        <v>Providence</v>
      </c>
      <c r="C2731" t="str">
        <f>IFERROR(__xludf.DUMMYFUNCTION("""COMPUTED_VALUE"""),"RI")</f>
        <v>RI</v>
      </c>
      <c r="D2731" t="str">
        <f>IFERROR(__xludf.DUMMYFUNCTION("""COMPUTED_VALUE"""),"USA")</f>
        <v>USA</v>
      </c>
      <c r="E2731" s="188">
        <f>IFERROR(__xludf.DUMMYFUNCTION("""COMPUTED_VALUE"""),44240.0)</f>
        <v>44240</v>
      </c>
      <c r="F2731" s="188">
        <f>IFERROR(__xludf.DUMMYFUNCTION("""COMPUTED_VALUE"""),44263.0)</f>
        <v>44263</v>
      </c>
      <c r="G2731" t="str">
        <f>IFERROR(__xludf.DUMMYFUNCTION("""COMPUTED_VALUE"""),"Manage order page (normal text)")</f>
        <v>Manage order page (normal text)</v>
      </c>
      <c r="H2731">
        <f>IFERROR(__xludf.DUMMYFUNCTION("""COMPUTED_VALUE"""),914955.0)</f>
        <v>914955</v>
      </c>
      <c r="J2731" s="188">
        <f>IFERROR(__xludf.DUMMYFUNCTION("""COMPUTED_VALUE"""),44274.0)</f>
        <v>44274</v>
      </c>
      <c r="K2731">
        <f>IFERROR(__xludf.DUMMYFUNCTION("""COMPUTED_VALUE"""),23.0)</f>
        <v>23</v>
      </c>
      <c r="L2731">
        <f>IFERROR(__xludf.DUMMYFUNCTION("""COMPUTED_VALUE"""),11.0)</f>
        <v>11</v>
      </c>
      <c r="M2731">
        <f>IFERROR(__xludf.DUMMYFUNCTION("""COMPUTED_VALUE"""),34.0)</f>
        <v>34</v>
      </c>
      <c r="N2731" t="str">
        <f>IFERROR(__xludf.DUMMYFUNCTION("""COMPUTED_VALUE"""),"Model 3 LR AWD")</f>
        <v>Model 3 LR AWD</v>
      </c>
      <c r="O2731" t="str">
        <f>IFERROR(__xludf.DUMMYFUNCTION("""COMPUTED_VALUE"""),"Deep Blue Metallic")</f>
        <v>Deep Blue Metallic</v>
      </c>
      <c r="P2731" t="str">
        <f>IFERROR(__xludf.DUMMYFUNCTION("""COMPUTED_VALUE"""),"18 inch")</f>
        <v>18 inch</v>
      </c>
      <c r="Q2731" t="str">
        <f>IFERROR(__xludf.DUMMYFUNCTION("""COMPUTED_VALUE"""),"All Black")</f>
        <v>All Black</v>
      </c>
      <c r="R2731" t="str">
        <f>IFERROR(__xludf.DUMMYFUNCTION("""COMPUTED_VALUE"""),"Autopilot included")</f>
        <v>Autopilot included</v>
      </c>
      <c r="S2731" t="str">
        <f>IFERROR(__xludf.DUMMYFUNCTION("""COMPUTED_VALUE"""),"Loan")</f>
        <v>Loan</v>
      </c>
      <c r="T2731" t="str">
        <f>IFERROR(__xludf.DUMMYFUNCTION("""COMPUTED_VALUE"""),"Subaru Impreza")</f>
        <v>Subaru Impreza</v>
      </c>
      <c r="U2731" t="str">
        <f>IFERROR(__xludf.DUMMYFUNCTION("""COMPUTED_VALUE"""),"Electric!")</f>
        <v>Electric!</v>
      </c>
      <c r="V2731" t="str">
        <f>IFERROR(__xludf.DUMMYFUNCTION("""COMPUTED_VALUE"""),"Ventilated seats")</f>
        <v>Ventilated seats</v>
      </c>
      <c r="X2731" t="str">
        <f>IFERROR(__xludf.DUMMYFUNCTION("""COMPUTED_VALUE"""),"Excellent")</f>
        <v>Excellent</v>
      </c>
      <c r="Y2731" t="str">
        <f>IFERROR(__xludf.DUMMYFUNCTION("""COMPUTED_VALUE"""),"Excellent")</f>
        <v>Excellent</v>
      </c>
      <c r="Z2731" t="str">
        <f>IFERROR(__xludf.DUMMYFUNCTION("""COMPUTED_VALUE"""),"Excellent")</f>
        <v>Excellent</v>
      </c>
      <c r="AA2731" t="str">
        <f>IFERROR(__xludf.DUMMYFUNCTION("""COMPUTED_VALUE"""),"Excellent")</f>
        <v>Excellent</v>
      </c>
      <c r="AB2731" t="str">
        <f>IFERROR(__xludf.DUMMYFUNCTION("""COMPUTED_VALUE"""),"Excellent")</f>
        <v>Excellent</v>
      </c>
      <c r="AF2731" t="str">
        <f>IFERROR(__xludf.DUMMYFUNCTION("""COMPUTED_VALUE"""),"No. I took delivery of the first car Tesla was able to deliver.")</f>
        <v>No. I took delivery of the first car Tesla was able to deliver.</v>
      </c>
      <c r="AH2731" s="189">
        <f>IFERROR(__xludf.DUMMYFUNCTION("""COMPUTED_VALUE"""),44274.7558737963)</f>
        <v>44274.75587</v>
      </c>
    </row>
    <row r="2732">
      <c r="A2732" t="str">
        <f>IFERROR(__xludf.DUMMYFUNCTION("""COMPUTED_VALUE"""),"Ganderking")</f>
        <v>Ganderking</v>
      </c>
      <c r="B2732" t="str">
        <f>IFERROR(__xludf.DUMMYFUNCTION("""COMPUTED_VALUE"""),"Baltimore")</f>
        <v>Baltimore</v>
      </c>
      <c r="C2732" t="str">
        <f>IFERROR(__xludf.DUMMYFUNCTION("""COMPUTED_VALUE"""),"MD")</f>
        <v>MD</v>
      </c>
      <c r="D2732" t="str">
        <f>IFERROR(__xludf.DUMMYFUNCTION("""COMPUTED_VALUE"""),"USA")</f>
        <v>USA</v>
      </c>
      <c r="E2732" s="188">
        <f>IFERROR(__xludf.DUMMYFUNCTION("""COMPUTED_VALUE"""),44179.0)</f>
        <v>44179</v>
      </c>
      <c r="F2732" s="188">
        <f>IFERROR(__xludf.DUMMYFUNCTION("""COMPUTED_VALUE"""),44244.0)</f>
        <v>44244</v>
      </c>
      <c r="G2732" t="str">
        <f>IFERROR(__xludf.DUMMYFUNCTION("""COMPUTED_VALUE"""),"Manage order page (normal text)")</f>
        <v>Manage order page (normal text)</v>
      </c>
      <c r="H2732">
        <f>IFERROR(__xludf.DUMMYFUNCTION("""COMPUTED_VALUE"""),913755.0)</f>
        <v>913755</v>
      </c>
      <c r="I2732" t="str">
        <f>IFERROR(__xludf.DUMMYFUNCTION("""COMPUTED_VALUE"""),"02/21")</f>
        <v>02/21</v>
      </c>
      <c r="J2732" s="188">
        <f>IFERROR(__xludf.DUMMYFUNCTION("""COMPUTED_VALUE"""),44261.0)</f>
        <v>44261</v>
      </c>
      <c r="K2732">
        <f>IFERROR(__xludf.DUMMYFUNCTION("""COMPUTED_VALUE"""),65.0)</f>
        <v>65</v>
      </c>
      <c r="L2732">
        <f>IFERROR(__xludf.DUMMYFUNCTION("""COMPUTED_VALUE"""),17.0)</f>
        <v>17</v>
      </c>
      <c r="M2732">
        <f>IFERROR(__xludf.DUMMYFUNCTION("""COMPUTED_VALUE"""),82.0)</f>
        <v>82</v>
      </c>
      <c r="N2732" t="str">
        <f>IFERROR(__xludf.DUMMYFUNCTION("""COMPUTED_VALUE"""),"Model 3 Performance")</f>
        <v>Model 3 Performance</v>
      </c>
      <c r="O2732" t="str">
        <f>IFERROR(__xludf.DUMMYFUNCTION("""COMPUTED_VALUE"""),"Red Multi-Coat")</f>
        <v>Red Multi-Coat</v>
      </c>
      <c r="P2732" t="str">
        <f>IFERROR(__xludf.DUMMYFUNCTION("""COMPUTED_VALUE"""),"20 inch")</f>
        <v>20 inch</v>
      </c>
      <c r="Q2732" t="str">
        <f>IFERROR(__xludf.DUMMYFUNCTION("""COMPUTED_VALUE"""),"All Black")</f>
        <v>All Black</v>
      </c>
      <c r="R2732" t="str">
        <f>IFERROR(__xludf.DUMMYFUNCTION("""COMPUTED_VALUE"""),"Autopilot included")</f>
        <v>Autopilot included</v>
      </c>
      <c r="V2732" t="str">
        <f>IFERROR(__xludf.DUMMYFUNCTION("""COMPUTED_VALUE"""),"Ventilated seats")</f>
        <v>Ventilated seats</v>
      </c>
      <c r="X2732" t="str">
        <f>IFERROR(__xludf.DUMMYFUNCTION("""COMPUTED_VALUE"""),"Excellent")</f>
        <v>Excellent</v>
      </c>
      <c r="Y2732" t="str">
        <f>IFERROR(__xludf.DUMMYFUNCTION("""COMPUTED_VALUE"""),"Very Good")</f>
        <v>Very Good</v>
      </c>
      <c r="Z2732" t="str">
        <f>IFERROR(__xludf.DUMMYFUNCTION("""COMPUTED_VALUE"""),"Good")</f>
        <v>Good</v>
      </c>
      <c r="AA2732" t="str">
        <f>IFERROR(__xludf.DUMMYFUNCTION("""COMPUTED_VALUE"""),"Fair")</f>
        <v>Fair</v>
      </c>
      <c r="AB2732" t="str">
        <f>IFERROR(__xludf.DUMMYFUNCTION("""COMPUTED_VALUE"""),"Poor")</f>
        <v>Poor</v>
      </c>
      <c r="AC2732">
        <f>IFERROR(__xludf.DUMMYFUNCTION("""COMPUTED_VALUE"""),4.0)</f>
        <v>4</v>
      </c>
      <c r="AD2732">
        <f>IFERROR(__xludf.DUMMYFUNCTION("""COMPUTED_VALUE"""),0.0)</f>
        <v>0</v>
      </c>
      <c r="AE2732">
        <f>IFERROR(__xludf.DUMMYFUNCTION("""COMPUTED_VALUE"""),0.0)</f>
        <v>0</v>
      </c>
      <c r="AF2732" t="str">
        <f>IFERROR(__xludf.DUMMYFUNCTION("""COMPUTED_VALUE"""),"No. I took delivery of the first car Tesla was able to deliver.")</f>
        <v>No. I took delivery of the first car Tesla was able to deliver.</v>
      </c>
      <c r="AH2732" s="189">
        <f>IFERROR(__xludf.DUMMYFUNCTION("""COMPUTED_VALUE"""),44265.44083230324)</f>
        <v>44265.44083</v>
      </c>
    </row>
    <row r="2733">
      <c r="A2733" t="str">
        <f>IFERROR(__xludf.DUMMYFUNCTION("""COMPUTED_VALUE"""),"ktroutt")</f>
        <v>ktroutt</v>
      </c>
      <c r="B2733" t="str">
        <f>IFERROR(__xludf.DUMMYFUNCTION("""COMPUTED_VALUE"""),"McKinney")</f>
        <v>McKinney</v>
      </c>
      <c r="C2733" t="str">
        <f>IFERROR(__xludf.DUMMYFUNCTION("""COMPUTED_VALUE"""),"TX")</f>
        <v>TX</v>
      </c>
      <c r="D2733" t="str">
        <f>IFERROR(__xludf.DUMMYFUNCTION("""COMPUTED_VALUE"""),"USA")</f>
        <v>USA</v>
      </c>
      <c r="E2733" s="188">
        <f>IFERROR(__xludf.DUMMYFUNCTION("""COMPUTED_VALUE"""),44234.0)</f>
        <v>44234</v>
      </c>
      <c r="F2733" s="188">
        <f>IFERROR(__xludf.DUMMYFUNCTION("""COMPUTED_VALUE"""),44252.0)</f>
        <v>44252</v>
      </c>
      <c r="G2733" t="str">
        <f>IFERROR(__xludf.DUMMYFUNCTION("""COMPUTED_VALUE"""),"Email")</f>
        <v>Email</v>
      </c>
      <c r="H2733">
        <f>IFERROR(__xludf.DUMMYFUNCTION("""COMPUTED_VALUE"""),914555.0)</f>
        <v>914555</v>
      </c>
      <c r="I2733" t="str">
        <f>IFERROR(__xludf.DUMMYFUNCTION("""COMPUTED_VALUE"""),"02/21")</f>
        <v>02/21</v>
      </c>
      <c r="J2733" s="188">
        <f>IFERROR(__xludf.DUMMYFUNCTION("""COMPUTED_VALUE"""),44264.0)</f>
        <v>44264</v>
      </c>
      <c r="K2733">
        <f>IFERROR(__xludf.DUMMYFUNCTION("""COMPUTED_VALUE"""),18.0)</f>
        <v>18</v>
      </c>
      <c r="L2733">
        <f>IFERROR(__xludf.DUMMYFUNCTION("""COMPUTED_VALUE"""),12.0)</f>
        <v>12</v>
      </c>
      <c r="M2733">
        <f>IFERROR(__xludf.DUMMYFUNCTION("""COMPUTED_VALUE"""),30.0)</f>
        <v>30</v>
      </c>
      <c r="N2733" t="str">
        <f>IFERROR(__xludf.DUMMYFUNCTION("""COMPUTED_VALUE"""),"Model 3 Performance")</f>
        <v>Model 3 Performance</v>
      </c>
      <c r="O2733" t="str">
        <f>IFERROR(__xludf.DUMMYFUNCTION("""COMPUTED_VALUE"""),"Pearl White Multi-Coat")</f>
        <v>Pearl White Multi-Coat</v>
      </c>
      <c r="P2733" t="str">
        <f>IFERROR(__xludf.DUMMYFUNCTION("""COMPUTED_VALUE"""),"20 inch")</f>
        <v>20 inch</v>
      </c>
      <c r="Q2733" t="str">
        <f>IFERROR(__xludf.DUMMYFUNCTION("""COMPUTED_VALUE"""),"All Black")</f>
        <v>All Black</v>
      </c>
      <c r="R2733" t="str">
        <f>IFERROR(__xludf.DUMMYFUNCTION("""COMPUTED_VALUE"""),"Autopilot included")</f>
        <v>Autopilot included</v>
      </c>
      <c r="S2733" t="str">
        <f>IFERROR(__xludf.DUMMYFUNCTION("""COMPUTED_VALUE"""),"Loan")</f>
        <v>Loan</v>
      </c>
      <c r="U2733" t="str">
        <f>IFERROR(__xludf.DUMMYFUNCTION("""COMPUTED_VALUE"""),"Electric!")</f>
        <v>Electric!</v>
      </c>
      <c r="V2733" t="str">
        <f>IFERROR(__xludf.DUMMYFUNCTION("""COMPUTED_VALUE"""),"360° Bird's eye view")</f>
        <v>360° Bird's eye view</v>
      </c>
      <c r="X2733" t="str">
        <f>IFERROR(__xludf.DUMMYFUNCTION("""COMPUTED_VALUE"""),"Excellent")</f>
        <v>Excellent</v>
      </c>
      <c r="Y2733" t="str">
        <f>IFERROR(__xludf.DUMMYFUNCTION("""COMPUTED_VALUE"""),"Excellent")</f>
        <v>Excellent</v>
      </c>
      <c r="Z2733" t="str">
        <f>IFERROR(__xludf.DUMMYFUNCTION("""COMPUTED_VALUE"""),"Excellent")</f>
        <v>Excellent</v>
      </c>
      <c r="AA2733" t="str">
        <f>IFERROR(__xludf.DUMMYFUNCTION("""COMPUTED_VALUE"""),"Good")</f>
        <v>Good</v>
      </c>
      <c r="AB2733" t="str">
        <f>IFERROR(__xludf.DUMMYFUNCTION("""COMPUTED_VALUE"""),"Excellent")</f>
        <v>Excellent</v>
      </c>
      <c r="AC2733">
        <f>IFERROR(__xludf.DUMMYFUNCTION("""COMPUTED_VALUE"""),0.0)</f>
        <v>0</v>
      </c>
      <c r="AF2733" t="str">
        <f>IFERROR(__xludf.DUMMYFUNCTION("""COMPUTED_VALUE"""),"No. I took delivery of the first car Tesla was able to deliver.")</f>
        <v>No. I took delivery of the first car Tesla was able to deliver.</v>
      </c>
      <c r="AH2733" s="189">
        <f>IFERROR(__xludf.DUMMYFUNCTION("""COMPUTED_VALUE"""),44266.72566633102)</f>
        <v>44266.72567</v>
      </c>
    </row>
    <row r="2734">
      <c r="A2734" t="str">
        <f>IFERROR(__xludf.DUMMYFUNCTION("""COMPUTED_VALUE"""),"JohnnyEV")</f>
        <v>JohnnyEV</v>
      </c>
      <c r="B2734" t="str">
        <f>IFERROR(__xludf.DUMMYFUNCTION("""COMPUTED_VALUE"""),"Bay Area")</f>
        <v>Bay Area</v>
      </c>
      <c r="C2734" t="str">
        <f>IFERROR(__xludf.DUMMYFUNCTION("""COMPUTED_VALUE"""),"CA")</f>
        <v>CA</v>
      </c>
      <c r="D2734" t="str">
        <f>IFERROR(__xludf.DUMMYFUNCTION("""COMPUTED_VALUE"""),"USA")</f>
        <v>USA</v>
      </c>
      <c r="E2734" s="188">
        <f>IFERROR(__xludf.DUMMYFUNCTION("""COMPUTED_VALUE"""),44234.0)</f>
        <v>44234</v>
      </c>
      <c r="F2734" s="188">
        <f>IFERROR(__xludf.DUMMYFUNCTION("""COMPUTED_VALUE"""),44253.0)</f>
        <v>44253</v>
      </c>
      <c r="G2734" t="str">
        <f>IFERROR(__xludf.DUMMYFUNCTION("""COMPUTED_VALUE"""),"Manage order page (normal text)")</f>
        <v>Manage order page (normal text)</v>
      </c>
      <c r="H2734">
        <f>IFERROR(__xludf.DUMMYFUNCTION("""COMPUTED_VALUE"""),914155.0)</f>
        <v>914155</v>
      </c>
      <c r="I2734" t="str">
        <f>IFERROR(__xludf.DUMMYFUNCTION("""COMPUTED_VALUE"""),"02/21")</f>
        <v>02/21</v>
      </c>
      <c r="J2734" s="188">
        <f>IFERROR(__xludf.DUMMYFUNCTION("""COMPUTED_VALUE"""),44254.0)</f>
        <v>44254</v>
      </c>
      <c r="K2734">
        <f>IFERROR(__xludf.DUMMYFUNCTION("""COMPUTED_VALUE"""),19.0)</f>
        <v>19</v>
      </c>
      <c r="L2734">
        <f>IFERROR(__xludf.DUMMYFUNCTION("""COMPUTED_VALUE"""),1.0)</f>
        <v>1</v>
      </c>
      <c r="M2734">
        <f>IFERROR(__xludf.DUMMYFUNCTION("""COMPUTED_VALUE"""),20.0)</f>
        <v>20</v>
      </c>
      <c r="N2734" t="str">
        <f>IFERROR(__xludf.DUMMYFUNCTION("""COMPUTED_VALUE"""),"Model 3 Performance")</f>
        <v>Model 3 Performance</v>
      </c>
      <c r="O2734" t="str">
        <f>IFERROR(__xludf.DUMMYFUNCTION("""COMPUTED_VALUE"""),"Red Multi-Coat")</f>
        <v>Red Multi-Coat</v>
      </c>
      <c r="P2734" t="str">
        <f>IFERROR(__xludf.DUMMYFUNCTION("""COMPUTED_VALUE"""),"20 inch")</f>
        <v>20 inch</v>
      </c>
      <c r="Q2734" t="str">
        <f>IFERROR(__xludf.DUMMYFUNCTION("""COMPUTED_VALUE"""),"All Black")</f>
        <v>All Black</v>
      </c>
      <c r="R2734" t="str">
        <f>IFERROR(__xludf.DUMMYFUNCTION("""COMPUTED_VALUE"""),"Autopilot included")</f>
        <v>Autopilot included</v>
      </c>
      <c r="S2734" t="str">
        <f>IFERROR(__xludf.DUMMYFUNCTION("""COMPUTED_VALUE"""),"Loan")</f>
        <v>Loan</v>
      </c>
      <c r="T2734" t="str">
        <f>IFERROR(__xludf.DUMMYFUNCTION("""COMPUTED_VALUE"""),"Dodge Charger Scat Pack 392")</f>
        <v>Dodge Charger Scat Pack 392</v>
      </c>
      <c r="U2734" t="str">
        <f>IFERROR(__xludf.DUMMYFUNCTION("""COMPUTED_VALUE"""),"Electric!")</f>
        <v>Electric!</v>
      </c>
      <c r="V2734" t="str">
        <f>IFERROR(__xludf.DUMMYFUNCTION("""COMPUTED_VALUE"""),"Head-up display")</f>
        <v>Head-up display</v>
      </c>
      <c r="W2734" t="str">
        <f>IFERROR(__xludf.DUMMYFUNCTION("""COMPUTED_VALUE"""),"Keep in contact with your SA. A good SA makes a world of difference.")</f>
        <v>Keep in contact with your SA. A good SA makes a world of difference.</v>
      </c>
      <c r="X2734" t="str">
        <f>IFERROR(__xludf.DUMMYFUNCTION("""COMPUTED_VALUE"""),"Excellent")</f>
        <v>Excellent</v>
      </c>
      <c r="Y2734" t="str">
        <f>IFERROR(__xludf.DUMMYFUNCTION("""COMPUTED_VALUE"""),"Excellent")</f>
        <v>Excellent</v>
      </c>
      <c r="Z2734" t="str">
        <f>IFERROR(__xludf.DUMMYFUNCTION("""COMPUTED_VALUE"""),"Excellent")</f>
        <v>Excellent</v>
      </c>
      <c r="AA2734" t="str">
        <f>IFERROR(__xludf.DUMMYFUNCTION("""COMPUTED_VALUE"""),"Excellent")</f>
        <v>Excellent</v>
      </c>
      <c r="AB2734" t="str">
        <f>IFERROR(__xludf.DUMMYFUNCTION("""COMPUTED_VALUE"""),"Excellent")</f>
        <v>Excellent</v>
      </c>
      <c r="AF2734" t="str">
        <f>IFERROR(__xludf.DUMMYFUNCTION("""COMPUTED_VALUE"""),"No. I took delivery of the first car Tesla was able to deliver.")</f>
        <v>No. I took delivery of the first car Tesla was able to deliver.</v>
      </c>
      <c r="AH2734" s="189">
        <f>IFERROR(__xludf.DUMMYFUNCTION("""COMPUTED_VALUE"""),44256.624527708336)</f>
        <v>44256.62453</v>
      </c>
    </row>
    <row r="2735">
      <c r="A2735" t="str">
        <f>IFERROR(__xludf.DUMMYFUNCTION("""COMPUTED_VALUE"""),"tech")</f>
        <v>tech</v>
      </c>
      <c r="B2735" t="str">
        <f>IFERROR(__xludf.DUMMYFUNCTION("""COMPUTED_VALUE"""),"Bay Area")</f>
        <v>Bay Area</v>
      </c>
      <c r="C2735" t="str">
        <f>IFERROR(__xludf.DUMMYFUNCTION("""COMPUTED_VALUE"""),"CA")</f>
        <v>CA</v>
      </c>
      <c r="D2735" t="str">
        <f>IFERROR(__xludf.DUMMYFUNCTION("""COMPUTED_VALUE"""),"USA")</f>
        <v>USA</v>
      </c>
      <c r="E2735" s="188">
        <f>IFERROR(__xludf.DUMMYFUNCTION("""COMPUTED_VALUE"""),44231.0)</f>
        <v>44231</v>
      </c>
      <c r="F2735" s="188">
        <f>IFERROR(__xludf.DUMMYFUNCTION("""COMPUTED_VALUE"""),44277.0)</f>
        <v>44277</v>
      </c>
      <c r="G2735" t="str">
        <f>IFERROR(__xludf.DUMMYFUNCTION("""COMPUTED_VALUE"""),"Manage order page (normal text)")</f>
        <v>Manage order page (normal text)</v>
      </c>
      <c r="H2735">
        <f>IFERROR(__xludf.DUMMYFUNCTION("""COMPUTED_VALUE"""),938455.0)</f>
        <v>938455</v>
      </c>
      <c r="I2735" t="str">
        <f>IFERROR(__xludf.DUMMYFUNCTION("""COMPUTED_VALUE"""),"03/21")</f>
        <v>03/21</v>
      </c>
      <c r="J2735" s="188">
        <f>IFERROR(__xludf.DUMMYFUNCTION("""COMPUTED_VALUE"""),44279.0)</f>
        <v>44279</v>
      </c>
      <c r="K2735">
        <f>IFERROR(__xludf.DUMMYFUNCTION("""COMPUTED_VALUE"""),46.0)</f>
        <v>46</v>
      </c>
      <c r="L2735">
        <f>IFERROR(__xludf.DUMMYFUNCTION("""COMPUTED_VALUE"""),2.0)</f>
        <v>2</v>
      </c>
      <c r="M2735">
        <f>IFERROR(__xludf.DUMMYFUNCTION("""COMPUTED_VALUE"""),48.0)</f>
        <v>48</v>
      </c>
      <c r="N2735" t="str">
        <f>IFERROR(__xludf.DUMMYFUNCTION("""COMPUTED_VALUE"""),"Model 3 LR AWD")</f>
        <v>Model 3 LR AWD</v>
      </c>
      <c r="O2735" t="str">
        <f>IFERROR(__xludf.DUMMYFUNCTION("""COMPUTED_VALUE"""),"Midnight Silver Metallic")</f>
        <v>Midnight Silver Metallic</v>
      </c>
      <c r="P2735" t="str">
        <f>IFERROR(__xludf.DUMMYFUNCTION("""COMPUTED_VALUE"""),"18 inch")</f>
        <v>18 inch</v>
      </c>
      <c r="Q2735" t="str">
        <f>IFERROR(__xludf.DUMMYFUNCTION("""COMPUTED_VALUE"""),"All Black")</f>
        <v>All Black</v>
      </c>
      <c r="R2735" t="str">
        <f>IFERROR(__xludf.DUMMYFUNCTION("""COMPUTED_VALUE"""),"Full Self-Driving")</f>
        <v>Full Self-Driving</v>
      </c>
      <c r="S2735" t="str">
        <f>IFERROR(__xludf.DUMMYFUNCTION("""COMPUTED_VALUE"""),"Loan")</f>
        <v>Loan</v>
      </c>
      <c r="V2735" t="str">
        <f>IFERROR(__xludf.DUMMYFUNCTION("""COMPUTED_VALUE"""),"Ventilated seats")</f>
        <v>Ventilated seats</v>
      </c>
      <c r="X2735" t="str">
        <f>IFERROR(__xludf.DUMMYFUNCTION("""COMPUTED_VALUE"""),"Excellent")</f>
        <v>Excellent</v>
      </c>
      <c r="Y2735" t="str">
        <f>IFERROR(__xludf.DUMMYFUNCTION("""COMPUTED_VALUE"""),"Excellent")</f>
        <v>Excellent</v>
      </c>
      <c r="Z2735" t="str">
        <f>IFERROR(__xludf.DUMMYFUNCTION("""COMPUTED_VALUE"""),"Very Good")</f>
        <v>Very Good</v>
      </c>
      <c r="AA2735" t="str">
        <f>IFERROR(__xludf.DUMMYFUNCTION("""COMPUTED_VALUE"""),"Good")</f>
        <v>Good</v>
      </c>
      <c r="AB2735" t="str">
        <f>IFERROR(__xludf.DUMMYFUNCTION("""COMPUTED_VALUE"""),"Good")</f>
        <v>Good</v>
      </c>
      <c r="AC2735">
        <f>IFERROR(__xludf.DUMMYFUNCTION("""COMPUTED_VALUE"""),2.0)</f>
        <v>2</v>
      </c>
      <c r="AD2735">
        <f>IFERROR(__xludf.DUMMYFUNCTION("""COMPUTED_VALUE"""),1.0)</f>
        <v>1</v>
      </c>
      <c r="AF2735" t="str">
        <f>IFERROR(__xludf.DUMMYFUNCTION("""COMPUTED_VALUE"""),"No. I took delivery of the first car Tesla was able to deliver.")</f>
        <v>No. I took delivery of the first car Tesla was able to deliver.</v>
      </c>
      <c r="AH2735" s="189">
        <f>IFERROR(__xludf.DUMMYFUNCTION("""COMPUTED_VALUE"""),44280.85071979166)</f>
        <v>44280.85072</v>
      </c>
    </row>
    <row r="2736">
      <c r="A2736" t="str">
        <f>IFERROR(__xludf.DUMMYFUNCTION("""COMPUTED_VALUE"""),"Ucynic")</f>
        <v>Ucynic</v>
      </c>
      <c r="B2736" t="str">
        <f>IFERROR(__xludf.DUMMYFUNCTION("""COMPUTED_VALUE"""),"Vancouver")</f>
        <v>Vancouver</v>
      </c>
      <c r="C2736" t="str">
        <f>IFERROR(__xludf.DUMMYFUNCTION("""COMPUTED_VALUE"""),"BC")</f>
        <v>BC</v>
      </c>
      <c r="D2736" t="str">
        <f>IFERROR(__xludf.DUMMYFUNCTION("""COMPUTED_VALUE"""),"Canada")</f>
        <v>Canada</v>
      </c>
      <c r="E2736" s="188">
        <f>IFERROR(__xludf.DUMMYFUNCTION("""COMPUTED_VALUE"""),44206.0)</f>
        <v>44206</v>
      </c>
      <c r="F2736" s="188">
        <f>IFERROR(__xludf.DUMMYFUNCTION("""COMPUTED_VALUE"""),44206.0)</f>
        <v>44206</v>
      </c>
      <c r="G2736" t="str">
        <f>IFERROR(__xludf.DUMMYFUNCTION("""COMPUTED_VALUE"""),"Text message")</f>
        <v>Text message</v>
      </c>
      <c r="H2736">
        <f>IFERROR(__xludf.DUMMYFUNCTION("""COMPUTED_VALUE"""),904755.0)</f>
        <v>904755</v>
      </c>
      <c r="I2736" t="str">
        <f>IFERROR(__xludf.DUMMYFUNCTION("""COMPUTED_VALUE"""),"02/21")</f>
        <v>02/21</v>
      </c>
      <c r="J2736" s="188">
        <f>IFERROR(__xludf.DUMMYFUNCTION("""COMPUTED_VALUE"""),44244.0)</f>
        <v>44244</v>
      </c>
      <c r="K2736">
        <f>IFERROR(__xludf.DUMMYFUNCTION("""COMPUTED_VALUE"""),0.0)</f>
        <v>0</v>
      </c>
      <c r="L2736">
        <f>IFERROR(__xludf.DUMMYFUNCTION("""COMPUTED_VALUE"""),38.0)</f>
        <v>38</v>
      </c>
      <c r="M2736">
        <f>IFERROR(__xludf.DUMMYFUNCTION("""COMPUTED_VALUE"""),38.0)</f>
        <v>38</v>
      </c>
      <c r="N2736" t="str">
        <f>IFERROR(__xludf.DUMMYFUNCTION("""COMPUTED_VALUE"""),"Model 3 SR+")</f>
        <v>Model 3 SR+</v>
      </c>
      <c r="O2736" t="str">
        <f>IFERROR(__xludf.DUMMYFUNCTION("""COMPUTED_VALUE"""),"Deep Blue Metallic")</f>
        <v>Deep Blue Metallic</v>
      </c>
      <c r="P2736" t="str">
        <f>IFERROR(__xludf.DUMMYFUNCTION("""COMPUTED_VALUE"""),"18 inch")</f>
        <v>18 inch</v>
      </c>
      <c r="Q2736" t="str">
        <f>IFERROR(__xludf.DUMMYFUNCTION("""COMPUTED_VALUE"""),"All Black")</f>
        <v>All Black</v>
      </c>
      <c r="R2736" t="str">
        <f>IFERROR(__xludf.DUMMYFUNCTION("""COMPUTED_VALUE"""),"Autopilot included")</f>
        <v>Autopilot included</v>
      </c>
      <c r="S2736" t="str">
        <f>IFERROR(__xludf.DUMMYFUNCTION("""COMPUTED_VALUE"""),"Loan")</f>
        <v>Loan</v>
      </c>
      <c r="U2736" t="str">
        <f>IFERROR(__xludf.DUMMYFUNCTION("""COMPUTED_VALUE"""),"Electric!")</f>
        <v>Electric!</v>
      </c>
      <c r="V2736" t="str">
        <f>IFERROR(__xludf.DUMMYFUNCTION("""COMPUTED_VALUE"""),"360° Bird's eye view")</f>
        <v>360° Bird's eye view</v>
      </c>
      <c r="X2736" t="str">
        <f>IFERROR(__xludf.DUMMYFUNCTION("""COMPUTED_VALUE"""),"Very Good")</f>
        <v>Very Good</v>
      </c>
      <c r="Y2736" t="str">
        <f>IFERROR(__xludf.DUMMYFUNCTION("""COMPUTED_VALUE"""),"Excellent")</f>
        <v>Excellent</v>
      </c>
      <c r="Z2736" t="str">
        <f>IFERROR(__xludf.DUMMYFUNCTION("""COMPUTED_VALUE"""),"Excellent")</f>
        <v>Excellent</v>
      </c>
      <c r="AA2736" t="str">
        <f>IFERROR(__xludf.DUMMYFUNCTION("""COMPUTED_VALUE"""),"Excellent")</f>
        <v>Excellent</v>
      </c>
      <c r="AB2736" t="str">
        <f>IFERROR(__xludf.DUMMYFUNCTION("""COMPUTED_VALUE"""),"Excellent")</f>
        <v>Excellent</v>
      </c>
      <c r="AF2736" t="str">
        <f>IFERROR(__xludf.DUMMYFUNCTION("""COMPUTED_VALUE"""),"No. I took delivery of the first car Tesla was able to deliver.")</f>
        <v>No. I took delivery of the first car Tesla was able to deliver.</v>
      </c>
      <c r="AH2736" s="189">
        <f>IFERROR(__xludf.DUMMYFUNCTION("""COMPUTED_VALUE"""),44244.63294456019)</f>
        <v>44244.63294</v>
      </c>
    </row>
    <row r="2737">
      <c r="A2737" t="str">
        <f>IFERROR(__xludf.DUMMYFUNCTION("""COMPUTED_VALUE"""),"jkcb78")</f>
        <v>jkcb78</v>
      </c>
      <c r="B2737" t="str">
        <f>IFERROR(__xludf.DUMMYFUNCTION("""COMPUTED_VALUE"""),"Cincinnati")</f>
        <v>Cincinnati</v>
      </c>
      <c r="C2737" t="str">
        <f>IFERROR(__xludf.DUMMYFUNCTION("""COMPUTED_VALUE"""),"OH")</f>
        <v>OH</v>
      </c>
      <c r="D2737" t="str">
        <f>IFERROR(__xludf.DUMMYFUNCTION("""COMPUTED_VALUE"""),"USA")</f>
        <v>USA</v>
      </c>
      <c r="E2737" s="188">
        <f>IFERROR(__xludf.DUMMYFUNCTION("""COMPUTED_VALUE"""),44233.0)</f>
        <v>44233</v>
      </c>
      <c r="F2737" s="188">
        <f>IFERROR(__xludf.DUMMYFUNCTION("""COMPUTED_VALUE"""),44270.0)</f>
        <v>44270</v>
      </c>
      <c r="G2737" t="str">
        <f>IFERROR(__xludf.DUMMYFUNCTION("""COMPUTED_VALUE"""),"Text message")</f>
        <v>Text message</v>
      </c>
      <c r="H2737">
        <f>IFERROR(__xludf.DUMMYFUNCTION("""COMPUTED_VALUE"""),914655.0)</f>
        <v>914655</v>
      </c>
      <c r="I2737" t="str">
        <f>IFERROR(__xludf.DUMMYFUNCTION("""COMPUTED_VALUE"""),"03/21")</f>
        <v>03/21</v>
      </c>
      <c r="J2737" s="188">
        <f>IFERROR(__xludf.DUMMYFUNCTION("""COMPUTED_VALUE"""),44282.0)</f>
        <v>44282</v>
      </c>
      <c r="K2737">
        <f>IFERROR(__xludf.DUMMYFUNCTION("""COMPUTED_VALUE"""),37.0)</f>
        <v>37</v>
      </c>
      <c r="L2737">
        <f>IFERROR(__xludf.DUMMYFUNCTION("""COMPUTED_VALUE"""),12.0)</f>
        <v>12</v>
      </c>
      <c r="M2737">
        <f>IFERROR(__xludf.DUMMYFUNCTION("""COMPUTED_VALUE"""),49.0)</f>
        <v>49</v>
      </c>
      <c r="N2737" t="str">
        <f>IFERROR(__xludf.DUMMYFUNCTION("""COMPUTED_VALUE"""),"Model 3 Performance")</f>
        <v>Model 3 Performance</v>
      </c>
      <c r="O2737" t="str">
        <f>IFERROR(__xludf.DUMMYFUNCTION("""COMPUTED_VALUE"""),"Deep Blue Metallic")</f>
        <v>Deep Blue Metallic</v>
      </c>
      <c r="P2737" t="str">
        <f>IFERROR(__xludf.DUMMYFUNCTION("""COMPUTED_VALUE"""),"20 inch")</f>
        <v>20 inch</v>
      </c>
      <c r="Q2737" t="str">
        <f>IFERROR(__xludf.DUMMYFUNCTION("""COMPUTED_VALUE"""),"Black and White")</f>
        <v>Black and White</v>
      </c>
      <c r="R2737" t="str">
        <f>IFERROR(__xludf.DUMMYFUNCTION("""COMPUTED_VALUE"""),"Full Self-Driving")</f>
        <v>Full Self-Driving</v>
      </c>
      <c r="T2737" t="str">
        <f>IFERROR(__xludf.DUMMYFUNCTION("""COMPUTED_VALUE"""),"Chevy Volt")</f>
        <v>Chevy Volt</v>
      </c>
      <c r="U2737" t="str">
        <f>IFERROR(__xludf.DUMMYFUNCTION("""COMPUTED_VALUE"""),"Electric!")</f>
        <v>Electric!</v>
      </c>
      <c r="V2737" t="str">
        <f>IFERROR(__xludf.DUMMYFUNCTION("""COMPUTED_VALUE"""),"Air suspension")</f>
        <v>Air suspension</v>
      </c>
      <c r="X2737" t="str">
        <f>IFERROR(__xludf.DUMMYFUNCTION("""COMPUTED_VALUE"""),"Excellent")</f>
        <v>Excellent</v>
      </c>
      <c r="Y2737" t="str">
        <f>IFERROR(__xludf.DUMMYFUNCTION("""COMPUTED_VALUE"""),"Excellent")</f>
        <v>Excellent</v>
      </c>
      <c r="Z2737" t="str">
        <f>IFERROR(__xludf.DUMMYFUNCTION("""COMPUTED_VALUE"""),"Excellent")</f>
        <v>Excellent</v>
      </c>
      <c r="AA2737" t="str">
        <f>IFERROR(__xludf.DUMMYFUNCTION("""COMPUTED_VALUE"""),"Excellent")</f>
        <v>Excellent</v>
      </c>
      <c r="AB2737" t="str">
        <f>IFERROR(__xludf.DUMMYFUNCTION("""COMPUTED_VALUE"""),"Excellent")</f>
        <v>Excellent</v>
      </c>
      <c r="AF2737" t="str">
        <f>IFERROR(__xludf.DUMMYFUNCTION("""COMPUTED_VALUE"""),"No. I took delivery of the first car Tesla was able to deliver.")</f>
        <v>No. I took delivery of the first car Tesla was able to deliver.</v>
      </c>
      <c r="AH2737" s="189">
        <f>IFERROR(__xludf.DUMMYFUNCTION("""COMPUTED_VALUE"""),44288.85232450231)</f>
        <v>44288.85232</v>
      </c>
    </row>
    <row r="2738">
      <c r="A2738" t="str">
        <f>IFERROR(__xludf.DUMMYFUNCTION("""COMPUTED_VALUE"""),"ToothOfCrime")</f>
        <v>ToothOfCrime</v>
      </c>
      <c r="B2738" t="str">
        <f>IFERROR(__xludf.DUMMYFUNCTION("""COMPUTED_VALUE"""),"Nashville")</f>
        <v>Nashville</v>
      </c>
      <c r="C2738" t="str">
        <f>IFERROR(__xludf.DUMMYFUNCTION("""COMPUTED_VALUE"""),"TN")</f>
        <v>TN</v>
      </c>
      <c r="D2738" t="str">
        <f>IFERROR(__xludf.DUMMYFUNCTION("""COMPUTED_VALUE"""),"USA")</f>
        <v>USA</v>
      </c>
      <c r="E2738" s="188">
        <f>IFERROR(__xludf.DUMMYFUNCTION("""COMPUTED_VALUE"""),44244.0)</f>
        <v>44244</v>
      </c>
      <c r="F2738" s="188">
        <f>IFERROR(__xludf.DUMMYFUNCTION("""COMPUTED_VALUE"""),44263.0)</f>
        <v>44263</v>
      </c>
      <c r="G2738" t="str">
        <f>IFERROR(__xludf.DUMMYFUNCTION("""COMPUTED_VALUE"""),"Manage order page (normal text)")</f>
        <v>Manage order page (normal text)</v>
      </c>
      <c r="H2738">
        <f>IFERROR(__xludf.DUMMYFUNCTION("""COMPUTED_VALUE"""),915555.0)</f>
        <v>915555</v>
      </c>
      <c r="J2738" s="188">
        <f>IFERROR(__xludf.DUMMYFUNCTION("""COMPUTED_VALUE"""),44278.0)</f>
        <v>44278</v>
      </c>
      <c r="K2738">
        <f>IFERROR(__xludf.DUMMYFUNCTION("""COMPUTED_VALUE"""),19.0)</f>
        <v>19</v>
      </c>
      <c r="L2738">
        <f>IFERROR(__xludf.DUMMYFUNCTION("""COMPUTED_VALUE"""),15.0)</f>
        <v>15</v>
      </c>
      <c r="M2738">
        <f>IFERROR(__xludf.DUMMYFUNCTION("""COMPUTED_VALUE"""),34.0)</f>
        <v>34</v>
      </c>
      <c r="N2738" t="str">
        <f>IFERROR(__xludf.DUMMYFUNCTION("""COMPUTED_VALUE"""),"Model 3 LR AWD")</f>
        <v>Model 3 LR AWD</v>
      </c>
      <c r="O2738" t="str">
        <f>IFERROR(__xludf.DUMMYFUNCTION("""COMPUTED_VALUE"""),"Pearl White Multi-Coat")</f>
        <v>Pearl White Multi-Coat</v>
      </c>
      <c r="P2738" t="str">
        <f>IFERROR(__xludf.DUMMYFUNCTION("""COMPUTED_VALUE"""),"18 inch")</f>
        <v>18 inch</v>
      </c>
      <c r="Q2738" t="str">
        <f>IFERROR(__xludf.DUMMYFUNCTION("""COMPUTED_VALUE"""),"All Black")</f>
        <v>All Black</v>
      </c>
      <c r="R2738" t="str">
        <f>IFERROR(__xludf.DUMMYFUNCTION("""COMPUTED_VALUE"""),"Autopilot included")</f>
        <v>Autopilot included</v>
      </c>
      <c r="S2738" t="str">
        <f>IFERROR(__xludf.DUMMYFUNCTION("""COMPUTED_VALUE"""),"Lease")</f>
        <v>Lease</v>
      </c>
      <c r="T2738" t="str">
        <f>IFERROR(__xludf.DUMMYFUNCTION("""COMPUTED_VALUE"""),"Mazda CX-5")</f>
        <v>Mazda CX-5</v>
      </c>
      <c r="U2738" t="str">
        <f>IFERROR(__xludf.DUMMYFUNCTION("""COMPUTED_VALUE"""),"Electric!")</f>
        <v>Electric!</v>
      </c>
      <c r="V2738" t="str">
        <f>IFERROR(__xludf.DUMMYFUNCTION("""COMPUTED_VALUE"""),"Blind spot indicators on side mirrors")</f>
        <v>Blind spot indicators on side mirrors</v>
      </c>
      <c r="X2738" t="str">
        <f>IFERROR(__xludf.DUMMYFUNCTION("""COMPUTED_VALUE"""),"Very Good")</f>
        <v>Very Good</v>
      </c>
      <c r="Y2738" t="str">
        <f>IFERROR(__xludf.DUMMYFUNCTION("""COMPUTED_VALUE"""),"Excellent")</f>
        <v>Excellent</v>
      </c>
      <c r="Z2738" t="str">
        <f>IFERROR(__xludf.DUMMYFUNCTION("""COMPUTED_VALUE"""),"Very Good")</f>
        <v>Very Good</v>
      </c>
      <c r="AA2738" t="str">
        <f>IFERROR(__xludf.DUMMYFUNCTION("""COMPUTED_VALUE"""),"Very Good")</f>
        <v>Very Good</v>
      </c>
      <c r="AB2738" t="str">
        <f>IFERROR(__xludf.DUMMYFUNCTION("""COMPUTED_VALUE"""),"Very Good")</f>
        <v>Very Good</v>
      </c>
      <c r="AC2738">
        <f>IFERROR(__xludf.DUMMYFUNCTION("""COMPUTED_VALUE"""),1.0)</f>
        <v>1</v>
      </c>
      <c r="AD2738">
        <f>IFERROR(__xludf.DUMMYFUNCTION("""COMPUTED_VALUE"""),0.0)</f>
        <v>0</v>
      </c>
      <c r="AE2738">
        <f>IFERROR(__xludf.DUMMYFUNCTION("""COMPUTED_VALUE"""),0.0)</f>
        <v>0</v>
      </c>
      <c r="AF2738" t="str">
        <f>IFERROR(__xludf.DUMMYFUNCTION("""COMPUTED_VALUE"""),"No. I took delivery of the first car Tesla was able to deliver.")</f>
        <v>No. I took delivery of the first car Tesla was able to deliver.</v>
      </c>
      <c r="AH2738" s="189">
        <f>IFERROR(__xludf.DUMMYFUNCTION("""COMPUTED_VALUE"""),44301.44572668981)</f>
        <v>44301.44573</v>
      </c>
    </row>
    <row r="2739">
      <c r="A2739" t="str">
        <f>IFERROR(__xludf.DUMMYFUNCTION("""COMPUTED_VALUE"""),"mikeyspikey")</f>
        <v>mikeyspikey</v>
      </c>
      <c r="B2739" t="str">
        <f>IFERROR(__xludf.DUMMYFUNCTION("""COMPUTED_VALUE"""),"Los Angeles")</f>
        <v>Los Angeles</v>
      </c>
      <c r="C2739" t="str">
        <f>IFERROR(__xludf.DUMMYFUNCTION("""COMPUTED_VALUE"""),"CA")</f>
        <v>CA</v>
      </c>
      <c r="D2739" t="str">
        <f>IFERROR(__xludf.DUMMYFUNCTION("""COMPUTED_VALUE"""),"USA")</f>
        <v>USA</v>
      </c>
      <c r="E2739" s="188">
        <f>IFERROR(__xludf.DUMMYFUNCTION("""COMPUTED_VALUE"""),44218.0)</f>
        <v>44218</v>
      </c>
      <c r="F2739" s="188">
        <f>IFERROR(__xludf.DUMMYFUNCTION("""COMPUTED_VALUE"""),44270.0)</f>
        <v>44270</v>
      </c>
      <c r="G2739" t="str">
        <f>IFERROR(__xludf.DUMMYFUNCTION("""COMPUTED_VALUE"""),"Manage order page (normal text)")</f>
        <v>Manage order page (normal text)</v>
      </c>
      <c r="H2739">
        <f>IFERROR(__xludf.DUMMYFUNCTION("""COMPUTED_VALUE"""),926055.0)</f>
        <v>926055</v>
      </c>
      <c r="J2739" s="188">
        <f>IFERROR(__xludf.DUMMYFUNCTION("""COMPUTED_VALUE"""),44272.0)</f>
        <v>44272</v>
      </c>
      <c r="K2739">
        <f>IFERROR(__xludf.DUMMYFUNCTION("""COMPUTED_VALUE"""),52.0)</f>
        <v>52</v>
      </c>
      <c r="L2739">
        <f>IFERROR(__xludf.DUMMYFUNCTION("""COMPUTED_VALUE"""),2.0)</f>
        <v>2</v>
      </c>
      <c r="M2739">
        <f>IFERROR(__xludf.DUMMYFUNCTION("""COMPUTED_VALUE"""),54.0)</f>
        <v>54</v>
      </c>
      <c r="N2739" t="str">
        <f>IFERROR(__xludf.DUMMYFUNCTION("""COMPUTED_VALUE"""),"Model 3 Performance")</f>
        <v>Model 3 Performance</v>
      </c>
      <c r="O2739" t="str">
        <f>IFERROR(__xludf.DUMMYFUNCTION("""COMPUTED_VALUE"""),"Solid Black")</f>
        <v>Solid Black</v>
      </c>
      <c r="P2739" t="str">
        <f>IFERROR(__xludf.DUMMYFUNCTION("""COMPUTED_VALUE"""),"20 inch")</f>
        <v>20 inch</v>
      </c>
      <c r="Q2739" t="str">
        <f>IFERROR(__xludf.DUMMYFUNCTION("""COMPUTED_VALUE"""),"All Black")</f>
        <v>All Black</v>
      </c>
      <c r="R2739" t="str">
        <f>IFERROR(__xludf.DUMMYFUNCTION("""COMPUTED_VALUE"""),"Autopilot included")</f>
        <v>Autopilot included</v>
      </c>
      <c r="S2739" t="str">
        <f>IFERROR(__xludf.DUMMYFUNCTION("""COMPUTED_VALUE"""),"Lease")</f>
        <v>Lease</v>
      </c>
      <c r="T2739" t="str">
        <f>IFERROR(__xludf.DUMMYFUNCTION("""COMPUTED_VALUE"""),"BMW X4 M40i")</f>
        <v>BMW X4 M40i</v>
      </c>
      <c r="U2739" t="str">
        <f>IFERROR(__xludf.DUMMYFUNCTION("""COMPUTED_VALUE"""),"Autopilot")</f>
        <v>Autopilot</v>
      </c>
      <c r="V2739" t="str">
        <f>IFERROR(__xludf.DUMMYFUNCTION("""COMPUTED_VALUE"""),"Head-up display")</f>
        <v>Head-up display</v>
      </c>
      <c r="X2739" t="str">
        <f>IFERROR(__xludf.DUMMYFUNCTION("""COMPUTED_VALUE"""),"Very Good")</f>
        <v>Very Good</v>
      </c>
      <c r="Y2739" t="str">
        <f>IFERROR(__xludf.DUMMYFUNCTION("""COMPUTED_VALUE"""),"Very Good")</f>
        <v>Very Good</v>
      </c>
      <c r="Z2739" t="str">
        <f>IFERROR(__xludf.DUMMYFUNCTION("""COMPUTED_VALUE"""),"Fair")</f>
        <v>Fair</v>
      </c>
      <c r="AA2739" t="str">
        <f>IFERROR(__xludf.DUMMYFUNCTION("""COMPUTED_VALUE"""),"Very Good")</f>
        <v>Very Good</v>
      </c>
      <c r="AB2739" t="str">
        <f>IFERROR(__xludf.DUMMYFUNCTION("""COMPUTED_VALUE"""),"Excellent")</f>
        <v>Excellent</v>
      </c>
      <c r="AF2739" t="str">
        <f>IFERROR(__xludf.DUMMYFUNCTION("""COMPUTED_VALUE"""),"No. I took delivery of the first car Tesla was able to deliver.")</f>
        <v>No. I took delivery of the first car Tesla was able to deliver.</v>
      </c>
      <c r="AH2739" s="189">
        <f>IFERROR(__xludf.DUMMYFUNCTION("""COMPUTED_VALUE"""),44278.39363600695)</f>
        <v>44278.39364</v>
      </c>
    </row>
    <row r="2740">
      <c r="A2740" t="str">
        <f>IFERROR(__xludf.DUMMYFUNCTION("""COMPUTED_VALUE"""),"M3P-atience")</f>
        <v>M3P-atience</v>
      </c>
      <c r="B2740" t="str">
        <f>IFERROR(__xludf.DUMMYFUNCTION("""COMPUTED_VALUE"""),"Marin County")</f>
        <v>Marin County</v>
      </c>
      <c r="C2740" t="str">
        <f>IFERROR(__xludf.DUMMYFUNCTION("""COMPUTED_VALUE"""),"CA")</f>
        <v>CA</v>
      </c>
      <c r="D2740" t="str">
        <f>IFERROR(__xludf.DUMMYFUNCTION("""COMPUTED_VALUE"""),"USA")</f>
        <v>USA</v>
      </c>
      <c r="E2740" s="188">
        <f>IFERROR(__xludf.DUMMYFUNCTION("""COMPUTED_VALUE"""),44233.0)</f>
        <v>44233</v>
      </c>
      <c r="F2740" s="188">
        <f>IFERROR(__xludf.DUMMYFUNCTION("""COMPUTED_VALUE"""),44279.0)</f>
        <v>44279</v>
      </c>
      <c r="G2740" t="str">
        <f>IFERROR(__xludf.DUMMYFUNCTION("""COMPUTED_VALUE"""),"Manage order page (normal text)")</f>
        <v>Manage order page (normal text)</v>
      </c>
      <c r="H2740">
        <f>IFERROR(__xludf.DUMMYFUNCTION("""COMPUTED_VALUE"""),935855.0)</f>
        <v>935855</v>
      </c>
      <c r="I2740" t="str">
        <f>IFERROR(__xludf.DUMMYFUNCTION("""COMPUTED_VALUE"""),"03/21")</f>
        <v>03/21</v>
      </c>
      <c r="J2740" s="188">
        <f>IFERROR(__xludf.DUMMYFUNCTION("""COMPUTED_VALUE"""),44283.0)</f>
        <v>44283</v>
      </c>
      <c r="K2740">
        <f>IFERROR(__xludf.DUMMYFUNCTION("""COMPUTED_VALUE"""),46.0)</f>
        <v>46</v>
      </c>
      <c r="L2740">
        <f>IFERROR(__xludf.DUMMYFUNCTION("""COMPUTED_VALUE"""),4.0)</f>
        <v>4</v>
      </c>
      <c r="M2740">
        <f>IFERROR(__xludf.DUMMYFUNCTION("""COMPUTED_VALUE"""),50.0)</f>
        <v>50</v>
      </c>
      <c r="N2740" t="str">
        <f>IFERROR(__xludf.DUMMYFUNCTION("""COMPUTED_VALUE"""),"Model 3 Performance")</f>
        <v>Model 3 Performance</v>
      </c>
      <c r="O2740" t="str">
        <f>IFERROR(__xludf.DUMMYFUNCTION("""COMPUTED_VALUE"""),"Midnight Silver Metallic")</f>
        <v>Midnight Silver Metallic</v>
      </c>
      <c r="P2740" t="str">
        <f>IFERROR(__xludf.DUMMYFUNCTION("""COMPUTED_VALUE"""),"20 inch")</f>
        <v>20 inch</v>
      </c>
      <c r="Q2740" t="str">
        <f>IFERROR(__xludf.DUMMYFUNCTION("""COMPUTED_VALUE"""),"All Black")</f>
        <v>All Black</v>
      </c>
      <c r="R2740" t="str">
        <f>IFERROR(__xludf.DUMMYFUNCTION("""COMPUTED_VALUE"""),"Autopilot included")</f>
        <v>Autopilot included</v>
      </c>
      <c r="S2740" t="str">
        <f>IFERROR(__xludf.DUMMYFUNCTION("""COMPUTED_VALUE"""),"Lease")</f>
        <v>Lease</v>
      </c>
      <c r="T2740" t="str">
        <f>IFERROR(__xludf.DUMMYFUNCTION("""COMPUTED_VALUE"""),"Tesla Model S")</f>
        <v>Tesla Model S</v>
      </c>
      <c r="U2740" t="str">
        <f>IFERROR(__xludf.DUMMYFUNCTION("""COMPUTED_VALUE"""),"Electric!")</f>
        <v>Electric!</v>
      </c>
      <c r="V2740" t="str">
        <f>IFERROR(__xludf.DUMMYFUNCTION("""COMPUTED_VALUE"""),"Air suspension")</f>
        <v>Air suspension</v>
      </c>
      <c r="X2740" t="str">
        <f>IFERROR(__xludf.DUMMYFUNCTION("""COMPUTED_VALUE"""),"Very Good")</f>
        <v>Very Good</v>
      </c>
      <c r="Y2740" t="str">
        <f>IFERROR(__xludf.DUMMYFUNCTION("""COMPUTED_VALUE"""),"Very Good")</f>
        <v>Very Good</v>
      </c>
      <c r="Z2740" t="str">
        <f>IFERROR(__xludf.DUMMYFUNCTION("""COMPUTED_VALUE"""),"Excellent")</f>
        <v>Excellent</v>
      </c>
      <c r="AA2740" t="str">
        <f>IFERROR(__xludf.DUMMYFUNCTION("""COMPUTED_VALUE"""),"Very Good")</f>
        <v>Very Good</v>
      </c>
      <c r="AB2740" t="str">
        <f>IFERROR(__xludf.DUMMYFUNCTION("""COMPUTED_VALUE"""),"Very Good")</f>
        <v>Very Good</v>
      </c>
      <c r="AC2740">
        <f>IFERROR(__xludf.DUMMYFUNCTION("""COMPUTED_VALUE"""),0.0)</f>
        <v>0</v>
      </c>
      <c r="AF2740" t="str">
        <f>IFERROR(__xludf.DUMMYFUNCTION("""COMPUTED_VALUE"""),"No. I took delivery of the first car Tesla was able to deliver.")</f>
        <v>No. I took delivery of the first car Tesla was able to deliver.</v>
      </c>
      <c r="AH2740" s="189">
        <f>IFERROR(__xludf.DUMMYFUNCTION("""COMPUTED_VALUE"""),44286.80991243056)</f>
        <v>44286.80991</v>
      </c>
    </row>
    <row r="2741">
      <c r="A2741" t="str">
        <f>IFERROR(__xludf.DUMMYFUNCTION("""COMPUTED_VALUE"""),"AlexG79")</f>
        <v>AlexG79</v>
      </c>
      <c r="B2741" t="str">
        <f>IFERROR(__xludf.DUMMYFUNCTION("""COMPUTED_VALUE"""),"Miami")</f>
        <v>Miami</v>
      </c>
      <c r="C2741" t="str">
        <f>IFERROR(__xludf.DUMMYFUNCTION("""COMPUTED_VALUE"""),"FL")</f>
        <v>FL</v>
      </c>
      <c r="D2741" t="str">
        <f>IFERROR(__xludf.DUMMYFUNCTION("""COMPUTED_VALUE"""),"USA")</f>
        <v>USA</v>
      </c>
      <c r="E2741" s="188">
        <f>IFERROR(__xludf.DUMMYFUNCTION("""COMPUTED_VALUE"""),44235.0)</f>
        <v>44235</v>
      </c>
      <c r="F2741" s="188">
        <f>IFERROR(__xludf.DUMMYFUNCTION("""COMPUTED_VALUE"""),44270.0)</f>
        <v>44270</v>
      </c>
      <c r="G2741" t="str">
        <f>IFERROR(__xludf.DUMMYFUNCTION("""COMPUTED_VALUE"""),"Email")</f>
        <v>Email</v>
      </c>
      <c r="H2741">
        <f>IFERROR(__xludf.DUMMYFUNCTION("""COMPUTED_VALUE"""),925455.0)</f>
        <v>925455</v>
      </c>
      <c r="I2741" t="str">
        <f>IFERROR(__xludf.DUMMYFUNCTION("""COMPUTED_VALUE"""),"03/21")</f>
        <v>03/21</v>
      </c>
      <c r="J2741" s="188">
        <f>IFERROR(__xludf.DUMMYFUNCTION("""COMPUTED_VALUE"""),44275.0)</f>
        <v>44275</v>
      </c>
      <c r="K2741">
        <f>IFERROR(__xludf.DUMMYFUNCTION("""COMPUTED_VALUE"""),35.0)</f>
        <v>35</v>
      </c>
      <c r="L2741">
        <f>IFERROR(__xludf.DUMMYFUNCTION("""COMPUTED_VALUE"""),5.0)</f>
        <v>5</v>
      </c>
      <c r="M2741">
        <f>IFERROR(__xludf.DUMMYFUNCTION("""COMPUTED_VALUE"""),40.0)</f>
        <v>40</v>
      </c>
      <c r="N2741" t="str">
        <f>IFERROR(__xludf.DUMMYFUNCTION("""COMPUTED_VALUE"""),"Model 3 Performance")</f>
        <v>Model 3 Performance</v>
      </c>
      <c r="O2741" t="str">
        <f>IFERROR(__xludf.DUMMYFUNCTION("""COMPUTED_VALUE"""),"Midnight Silver Metallic")</f>
        <v>Midnight Silver Metallic</v>
      </c>
      <c r="P2741" t="str">
        <f>IFERROR(__xludf.DUMMYFUNCTION("""COMPUTED_VALUE"""),"20 inch")</f>
        <v>20 inch</v>
      </c>
      <c r="Q2741" t="str">
        <f>IFERROR(__xludf.DUMMYFUNCTION("""COMPUTED_VALUE"""),"All Black")</f>
        <v>All Black</v>
      </c>
      <c r="R2741" t="str">
        <f>IFERROR(__xludf.DUMMYFUNCTION("""COMPUTED_VALUE"""),"Autopilot included")</f>
        <v>Autopilot included</v>
      </c>
      <c r="S2741" t="str">
        <f>IFERROR(__xludf.DUMMYFUNCTION("""COMPUTED_VALUE"""),"Loan")</f>
        <v>Loan</v>
      </c>
      <c r="T2741" t="str">
        <f>IFERROR(__xludf.DUMMYFUNCTION("""COMPUTED_VALUE"""),"Toyota 4runner sport")</f>
        <v>Toyota 4runner sport</v>
      </c>
      <c r="U2741" t="str">
        <f>IFERROR(__xludf.DUMMYFUNCTION("""COMPUTED_VALUE"""),"Electric!")</f>
        <v>Electric!</v>
      </c>
      <c r="V2741" t="str">
        <f>IFERROR(__xludf.DUMMYFUNCTION("""COMPUTED_VALUE"""),"Ventilated seats")</f>
        <v>Ventilated seats</v>
      </c>
      <c r="X2741" t="str">
        <f>IFERROR(__xludf.DUMMYFUNCTION("""COMPUTED_VALUE"""),"Very Good")</f>
        <v>Very Good</v>
      </c>
      <c r="Y2741" t="str">
        <f>IFERROR(__xludf.DUMMYFUNCTION("""COMPUTED_VALUE"""),"Excellent")</f>
        <v>Excellent</v>
      </c>
      <c r="Z2741" t="str">
        <f>IFERROR(__xludf.DUMMYFUNCTION("""COMPUTED_VALUE"""),"Good")</f>
        <v>Good</v>
      </c>
      <c r="AA2741" t="str">
        <f>IFERROR(__xludf.DUMMYFUNCTION("""COMPUTED_VALUE"""),"Very Good")</f>
        <v>Very Good</v>
      </c>
      <c r="AB2741" t="str">
        <f>IFERROR(__xludf.DUMMYFUNCTION("""COMPUTED_VALUE"""),"Good")</f>
        <v>Good</v>
      </c>
      <c r="AC2741">
        <f>IFERROR(__xludf.DUMMYFUNCTION("""COMPUTED_VALUE"""),3.0)</f>
        <v>3</v>
      </c>
      <c r="AD2741">
        <f>IFERROR(__xludf.DUMMYFUNCTION("""COMPUTED_VALUE"""),2.0)</f>
        <v>2</v>
      </c>
      <c r="AE2741">
        <f>IFERROR(__xludf.DUMMYFUNCTION("""COMPUTED_VALUE"""),4.0)</f>
        <v>4</v>
      </c>
      <c r="AF2741" t="str">
        <f>IFERROR(__xludf.DUMMYFUNCTION("""COMPUTED_VALUE"""),"No. I took delivery of the first car Tesla was able to deliver.")</f>
        <v>No. I took delivery of the first car Tesla was able to deliver.</v>
      </c>
      <c r="AH2741" s="189">
        <f>IFERROR(__xludf.DUMMYFUNCTION("""COMPUTED_VALUE"""),44278.70305516204)</f>
        <v>44278.70306</v>
      </c>
    </row>
    <row r="2742">
      <c r="A2742" t="str">
        <f>IFERROR(__xludf.DUMMYFUNCTION("""COMPUTED_VALUE"""),"Mikulski")</f>
        <v>Mikulski</v>
      </c>
      <c r="B2742" t="str">
        <f>IFERROR(__xludf.DUMMYFUNCTION("""COMPUTED_VALUE"""),"Princeton")</f>
        <v>Princeton</v>
      </c>
      <c r="C2742" t="str">
        <f>IFERROR(__xludf.DUMMYFUNCTION("""COMPUTED_VALUE"""),"NJ")</f>
        <v>NJ</v>
      </c>
      <c r="D2742" t="str">
        <f>IFERROR(__xludf.DUMMYFUNCTION("""COMPUTED_VALUE"""),"USA")</f>
        <v>USA</v>
      </c>
      <c r="E2742" s="188">
        <f>IFERROR(__xludf.DUMMYFUNCTION("""COMPUTED_VALUE"""),44242.0)</f>
        <v>44242</v>
      </c>
      <c r="F2742" s="188">
        <f>IFERROR(__xludf.DUMMYFUNCTION("""COMPUTED_VALUE"""),44270.0)</f>
        <v>44270</v>
      </c>
      <c r="G2742" t="str">
        <f>IFERROR(__xludf.DUMMYFUNCTION("""COMPUTED_VALUE"""),"Email")</f>
        <v>Email</v>
      </c>
      <c r="J2742" s="188">
        <f>IFERROR(__xludf.DUMMYFUNCTION("""COMPUTED_VALUE"""),44284.0)</f>
        <v>44284</v>
      </c>
      <c r="K2742">
        <f>IFERROR(__xludf.DUMMYFUNCTION("""COMPUTED_VALUE"""),28.0)</f>
        <v>28</v>
      </c>
      <c r="L2742">
        <f>IFERROR(__xludf.DUMMYFUNCTION("""COMPUTED_VALUE"""),14.0)</f>
        <v>14</v>
      </c>
      <c r="M2742">
        <f>IFERROR(__xludf.DUMMYFUNCTION("""COMPUTED_VALUE"""),42.0)</f>
        <v>42</v>
      </c>
      <c r="N2742" t="str">
        <f>IFERROR(__xludf.DUMMYFUNCTION("""COMPUTED_VALUE"""),"Model 3 Performance")</f>
        <v>Model 3 Performance</v>
      </c>
      <c r="O2742" t="str">
        <f>IFERROR(__xludf.DUMMYFUNCTION("""COMPUTED_VALUE"""),"Pearl White Multi-Coat")</f>
        <v>Pearl White Multi-Coat</v>
      </c>
      <c r="P2742" t="str">
        <f>IFERROR(__xludf.DUMMYFUNCTION("""COMPUTED_VALUE"""),"20 inch")</f>
        <v>20 inch</v>
      </c>
      <c r="Q2742" t="str">
        <f>IFERROR(__xludf.DUMMYFUNCTION("""COMPUTED_VALUE"""),"All Black")</f>
        <v>All Black</v>
      </c>
      <c r="R2742" t="str">
        <f>IFERROR(__xludf.DUMMYFUNCTION("""COMPUTED_VALUE"""),"Autopilot included")</f>
        <v>Autopilot included</v>
      </c>
      <c r="S2742" t="str">
        <f>IFERROR(__xludf.DUMMYFUNCTION("""COMPUTED_VALUE"""),"Lease")</f>
        <v>Lease</v>
      </c>
      <c r="T2742" t="str">
        <f>IFERROR(__xludf.DUMMYFUNCTION("""COMPUTED_VALUE"""),"Acura MDX")</f>
        <v>Acura MDX</v>
      </c>
      <c r="U2742" t="str">
        <f>IFERROR(__xludf.DUMMYFUNCTION("""COMPUTED_VALUE"""),"Electric!")</f>
        <v>Electric!</v>
      </c>
      <c r="V2742" t="str">
        <f>IFERROR(__xludf.DUMMYFUNCTION("""COMPUTED_VALUE"""),"Heated steering wheel")</f>
        <v>Heated steering wheel</v>
      </c>
      <c r="X2742" t="str">
        <f>IFERROR(__xludf.DUMMYFUNCTION("""COMPUTED_VALUE"""),"Excellent")</f>
        <v>Excellent</v>
      </c>
      <c r="Y2742" t="str">
        <f>IFERROR(__xludf.DUMMYFUNCTION("""COMPUTED_VALUE"""),"Excellent")</f>
        <v>Excellent</v>
      </c>
      <c r="Z2742" t="str">
        <f>IFERROR(__xludf.DUMMYFUNCTION("""COMPUTED_VALUE"""),"Excellent")</f>
        <v>Excellent</v>
      </c>
      <c r="AA2742" t="str">
        <f>IFERROR(__xludf.DUMMYFUNCTION("""COMPUTED_VALUE"""),"Excellent")</f>
        <v>Excellent</v>
      </c>
      <c r="AB2742" t="str">
        <f>IFERROR(__xludf.DUMMYFUNCTION("""COMPUTED_VALUE"""),"Excellent")</f>
        <v>Excellent</v>
      </c>
      <c r="AF2742" t="str">
        <f>IFERROR(__xludf.DUMMYFUNCTION("""COMPUTED_VALUE"""),"No. I took delivery of the first car Tesla was able to deliver.")</f>
        <v>No. I took delivery of the first car Tesla was able to deliver.</v>
      </c>
      <c r="AH2742" s="189">
        <f>IFERROR(__xludf.DUMMYFUNCTION("""COMPUTED_VALUE"""),44284.78329402777)</f>
        <v>44284.78329</v>
      </c>
    </row>
    <row r="2743">
      <c r="A2743" t="str">
        <f>IFERROR(__xludf.DUMMYFUNCTION("""COMPUTED_VALUE"""),"xt0000")</f>
        <v>xt0000</v>
      </c>
      <c r="B2743" t="str">
        <f>IFERROR(__xludf.DUMMYFUNCTION("""COMPUTED_VALUE"""),"Toronto")</f>
        <v>Toronto</v>
      </c>
      <c r="C2743" t="str">
        <f>IFERROR(__xludf.DUMMYFUNCTION("""COMPUTED_VALUE"""),"ON")</f>
        <v>ON</v>
      </c>
      <c r="D2743" t="str">
        <f>IFERROR(__xludf.DUMMYFUNCTION("""COMPUTED_VALUE"""),"Canada")</f>
        <v>Canada</v>
      </c>
      <c r="E2743" s="188">
        <f>IFERROR(__xludf.DUMMYFUNCTION("""COMPUTED_VALUE"""),44214.0)</f>
        <v>44214</v>
      </c>
      <c r="F2743" s="188">
        <f>IFERROR(__xludf.DUMMYFUNCTION("""COMPUTED_VALUE"""),44263.0)</f>
        <v>44263</v>
      </c>
      <c r="G2743" t="str">
        <f>IFERROR(__xludf.DUMMYFUNCTION("""COMPUTED_VALUE"""),"Manage order page (normal text)")</f>
        <v>Manage order page (normal text)</v>
      </c>
      <c r="H2743">
        <f>IFERROR(__xludf.DUMMYFUNCTION("""COMPUTED_VALUE"""),920679.0)</f>
        <v>920679</v>
      </c>
      <c r="I2743" t="str">
        <f>IFERROR(__xludf.DUMMYFUNCTION("""COMPUTED_VALUE"""),"03/21")</f>
        <v>03/21</v>
      </c>
      <c r="J2743" s="188">
        <f>IFERROR(__xludf.DUMMYFUNCTION("""COMPUTED_VALUE"""),44282.0)</f>
        <v>44282</v>
      </c>
      <c r="K2743">
        <f>IFERROR(__xludf.DUMMYFUNCTION("""COMPUTED_VALUE"""),49.0)</f>
        <v>49</v>
      </c>
      <c r="L2743">
        <f>IFERROR(__xludf.DUMMYFUNCTION("""COMPUTED_VALUE"""),19.0)</f>
        <v>19</v>
      </c>
      <c r="M2743">
        <f>IFERROR(__xludf.DUMMYFUNCTION("""COMPUTED_VALUE"""),68.0)</f>
        <v>68</v>
      </c>
      <c r="N2743" t="str">
        <f>IFERROR(__xludf.DUMMYFUNCTION("""COMPUTED_VALUE"""),"Model 3 SR+")</f>
        <v>Model 3 SR+</v>
      </c>
      <c r="O2743" t="str">
        <f>IFERROR(__xludf.DUMMYFUNCTION("""COMPUTED_VALUE"""),"Pearl White Multi-Coat")</f>
        <v>Pearl White Multi-Coat</v>
      </c>
      <c r="P2743" t="str">
        <f>IFERROR(__xludf.DUMMYFUNCTION("""COMPUTED_VALUE"""),"18 inch")</f>
        <v>18 inch</v>
      </c>
      <c r="Q2743" t="str">
        <f>IFERROR(__xludf.DUMMYFUNCTION("""COMPUTED_VALUE"""),"Black and White")</f>
        <v>Black and White</v>
      </c>
      <c r="R2743" t="str">
        <f>IFERROR(__xludf.DUMMYFUNCTION("""COMPUTED_VALUE"""),"Autopilot included")</f>
        <v>Autopilot included</v>
      </c>
      <c r="S2743" t="str">
        <f>IFERROR(__xludf.DUMMYFUNCTION("""COMPUTED_VALUE"""),"Loan")</f>
        <v>Loan</v>
      </c>
      <c r="T2743" t="str">
        <f>IFERROR(__xludf.DUMMYFUNCTION("""COMPUTED_VALUE"""),"Volkswagen Golf GTI")</f>
        <v>Volkswagen Golf GTI</v>
      </c>
      <c r="U2743" t="str">
        <f>IFERROR(__xludf.DUMMYFUNCTION("""COMPUTED_VALUE"""),"Electric!")</f>
        <v>Electric!</v>
      </c>
      <c r="V2743" t="str">
        <f>IFERROR(__xludf.DUMMYFUNCTION("""COMPUTED_VALUE"""),"Ventilated seats")</f>
        <v>Ventilated seats</v>
      </c>
      <c r="X2743" t="str">
        <f>IFERROR(__xludf.DUMMYFUNCTION("""COMPUTED_VALUE"""),"Very Good")</f>
        <v>Very Good</v>
      </c>
      <c r="Y2743" t="str">
        <f>IFERROR(__xludf.DUMMYFUNCTION("""COMPUTED_VALUE"""),"Very Good")</f>
        <v>Very Good</v>
      </c>
      <c r="Z2743" t="str">
        <f>IFERROR(__xludf.DUMMYFUNCTION("""COMPUTED_VALUE"""),"Excellent")</f>
        <v>Excellent</v>
      </c>
      <c r="AA2743" t="str">
        <f>IFERROR(__xludf.DUMMYFUNCTION("""COMPUTED_VALUE"""),"Excellent")</f>
        <v>Excellent</v>
      </c>
      <c r="AB2743" t="str">
        <f>IFERROR(__xludf.DUMMYFUNCTION("""COMPUTED_VALUE"""),"Excellent")</f>
        <v>Excellent</v>
      </c>
      <c r="AF2743" t="str">
        <f>IFERROR(__xludf.DUMMYFUNCTION("""COMPUTED_VALUE"""),"No. I took delivery of the first car Tesla was able to deliver.")</f>
        <v>No. I took delivery of the first car Tesla was able to deliver.</v>
      </c>
      <c r="AH2743" s="189">
        <f>IFERROR(__xludf.DUMMYFUNCTION("""COMPUTED_VALUE"""),44284.866583125)</f>
        <v>44284.86658</v>
      </c>
    </row>
    <row r="2744">
      <c r="A2744" t="str">
        <f>IFERROR(__xludf.DUMMYFUNCTION("""COMPUTED_VALUE"""),"Duskmourn")</f>
        <v>Duskmourn</v>
      </c>
      <c r="B2744" t="str">
        <f>IFERROR(__xludf.DUMMYFUNCTION("""COMPUTED_VALUE"""),"Port Charlotte")</f>
        <v>Port Charlotte</v>
      </c>
      <c r="C2744" t="str">
        <f>IFERROR(__xludf.DUMMYFUNCTION("""COMPUTED_VALUE"""),"FL")</f>
        <v>FL</v>
      </c>
      <c r="D2744" t="str">
        <f>IFERROR(__xludf.DUMMYFUNCTION("""COMPUTED_VALUE"""),"USA")</f>
        <v>USA</v>
      </c>
      <c r="E2744" s="188">
        <f>IFERROR(__xludf.DUMMYFUNCTION("""COMPUTED_VALUE"""),44200.0)</f>
        <v>44200</v>
      </c>
      <c r="F2744" s="188">
        <f>IFERROR(__xludf.DUMMYFUNCTION("""COMPUTED_VALUE"""),44266.0)</f>
        <v>44266</v>
      </c>
      <c r="G2744" t="str">
        <f>IFERROR(__xludf.DUMMYFUNCTION("""COMPUTED_VALUE"""),"Manage order page (normal text)")</f>
        <v>Manage order page (normal text)</v>
      </c>
      <c r="H2744">
        <f>IFERROR(__xludf.DUMMYFUNCTION("""COMPUTED_VALUE"""),924055.0)</f>
        <v>924055</v>
      </c>
      <c r="J2744" s="188">
        <f>IFERROR(__xludf.DUMMYFUNCTION("""COMPUTED_VALUE"""),44280.0)</f>
        <v>44280</v>
      </c>
      <c r="K2744">
        <f>IFERROR(__xludf.DUMMYFUNCTION("""COMPUTED_VALUE"""),66.0)</f>
        <v>66</v>
      </c>
      <c r="L2744">
        <f>IFERROR(__xludf.DUMMYFUNCTION("""COMPUTED_VALUE"""),14.0)</f>
        <v>14</v>
      </c>
      <c r="M2744">
        <f>IFERROR(__xludf.DUMMYFUNCTION("""COMPUTED_VALUE"""),80.0)</f>
        <v>80</v>
      </c>
      <c r="N2744" t="str">
        <f>IFERROR(__xludf.DUMMYFUNCTION("""COMPUTED_VALUE"""),"Model 3 LR AWD")</f>
        <v>Model 3 LR AWD</v>
      </c>
      <c r="O2744" t="str">
        <f>IFERROR(__xludf.DUMMYFUNCTION("""COMPUTED_VALUE"""),"Solid Black")</f>
        <v>Solid Black</v>
      </c>
      <c r="P2744" t="str">
        <f>IFERROR(__xludf.DUMMYFUNCTION("""COMPUTED_VALUE"""),"18 inch")</f>
        <v>18 inch</v>
      </c>
      <c r="Q2744" t="str">
        <f>IFERROR(__xludf.DUMMYFUNCTION("""COMPUTED_VALUE"""),"All Black")</f>
        <v>All Black</v>
      </c>
      <c r="R2744" t="str">
        <f>IFERROR(__xludf.DUMMYFUNCTION("""COMPUTED_VALUE"""),"Autopilot included")</f>
        <v>Autopilot included</v>
      </c>
      <c r="S2744" t="str">
        <f>IFERROR(__xludf.DUMMYFUNCTION("""COMPUTED_VALUE"""),"Loan")</f>
        <v>Loan</v>
      </c>
      <c r="T2744" t="str">
        <f>IFERROR(__xludf.DUMMYFUNCTION("""COMPUTED_VALUE"""),"Ford Mustang")</f>
        <v>Ford Mustang</v>
      </c>
      <c r="X2744" t="str">
        <f>IFERROR(__xludf.DUMMYFUNCTION("""COMPUTED_VALUE"""),"Excellent")</f>
        <v>Excellent</v>
      </c>
      <c r="Y2744" t="str">
        <f>IFERROR(__xludf.DUMMYFUNCTION("""COMPUTED_VALUE"""),"Excellent")</f>
        <v>Excellent</v>
      </c>
      <c r="Z2744" t="str">
        <f>IFERROR(__xludf.DUMMYFUNCTION("""COMPUTED_VALUE"""),"Excellent")</f>
        <v>Excellent</v>
      </c>
      <c r="AA2744" t="str">
        <f>IFERROR(__xludf.DUMMYFUNCTION("""COMPUTED_VALUE"""),"Poor")</f>
        <v>Poor</v>
      </c>
      <c r="AB2744" t="str">
        <f>IFERROR(__xludf.DUMMYFUNCTION("""COMPUTED_VALUE"""),"Good")</f>
        <v>Good</v>
      </c>
      <c r="AF2744" t="str">
        <f>IFERROR(__xludf.DUMMYFUNCTION("""COMPUTED_VALUE"""),"No. I took delivery of the first car Tesla was able to deliver.")</f>
        <v>No. I took delivery of the first car Tesla was able to deliver.</v>
      </c>
      <c r="AH2744" s="189">
        <f>IFERROR(__xludf.DUMMYFUNCTION("""COMPUTED_VALUE"""),44283.34004440972)</f>
        <v>44283.34004</v>
      </c>
    </row>
    <row r="2745">
      <c r="A2745" t="str">
        <f>IFERROR(__xludf.DUMMYFUNCTION("""COMPUTED_VALUE"""),"Cras")</f>
        <v>Cras</v>
      </c>
      <c r="B2745" t="str">
        <f>IFERROR(__xludf.DUMMYFUNCTION("""COMPUTED_VALUE"""),"Palm Springs")</f>
        <v>Palm Springs</v>
      </c>
      <c r="C2745" t="str">
        <f>IFERROR(__xludf.DUMMYFUNCTION("""COMPUTED_VALUE"""),"CA")</f>
        <v>CA</v>
      </c>
      <c r="D2745" t="str">
        <f>IFERROR(__xludf.DUMMYFUNCTION("""COMPUTED_VALUE"""),"USA")</f>
        <v>USA</v>
      </c>
      <c r="E2745" s="188">
        <f>IFERROR(__xludf.DUMMYFUNCTION("""COMPUTED_VALUE"""),44232.0)</f>
        <v>44232</v>
      </c>
      <c r="F2745" s="188">
        <f>IFERROR(__xludf.DUMMYFUNCTION("""COMPUTED_VALUE"""),44272.0)</f>
        <v>44272</v>
      </c>
      <c r="G2745" t="str">
        <f>IFERROR(__xludf.DUMMYFUNCTION("""COMPUTED_VALUE"""),"Manage order page (normal text)")</f>
        <v>Manage order page (normal text)</v>
      </c>
      <c r="H2745">
        <f>IFERROR(__xludf.DUMMYFUNCTION("""COMPUTED_VALUE"""),926555.0)</f>
        <v>926555</v>
      </c>
      <c r="I2745" t="str">
        <f>IFERROR(__xludf.DUMMYFUNCTION("""COMPUTED_VALUE"""),"03/21")</f>
        <v>03/21</v>
      </c>
      <c r="J2745" s="188">
        <f>IFERROR(__xludf.DUMMYFUNCTION("""COMPUTED_VALUE"""),44275.0)</f>
        <v>44275</v>
      </c>
      <c r="K2745">
        <f>IFERROR(__xludf.DUMMYFUNCTION("""COMPUTED_VALUE"""),40.0)</f>
        <v>40</v>
      </c>
      <c r="L2745">
        <f>IFERROR(__xludf.DUMMYFUNCTION("""COMPUTED_VALUE"""),3.0)</f>
        <v>3</v>
      </c>
      <c r="M2745">
        <f>IFERROR(__xludf.DUMMYFUNCTION("""COMPUTED_VALUE"""),43.0)</f>
        <v>43</v>
      </c>
      <c r="N2745" t="str">
        <f>IFERROR(__xludf.DUMMYFUNCTION("""COMPUTED_VALUE"""),"Model 3 LR AWD")</f>
        <v>Model 3 LR AWD</v>
      </c>
      <c r="O2745" t="str">
        <f>IFERROR(__xludf.DUMMYFUNCTION("""COMPUTED_VALUE"""),"Midnight Silver Metallic")</f>
        <v>Midnight Silver Metallic</v>
      </c>
      <c r="P2745" t="str">
        <f>IFERROR(__xludf.DUMMYFUNCTION("""COMPUTED_VALUE"""),"19 inch")</f>
        <v>19 inch</v>
      </c>
      <c r="Q2745" t="str">
        <f>IFERROR(__xludf.DUMMYFUNCTION("""COMPUTED_VALUE"""),"Black and White")</f>
        <v>Black and White</v>
      </c>
      <c r="R2745" t="str">
        <f>IFERROR(__xludf.DUMMYFUNCTION("""COMPUTED_VALUE"""),"Full Self-Driving")</f>
        <v>Full Self-Driving</v>
      </c>
      <c r="S2745" t="str">
        <f>IFERROR(__xludf.DUMMYFUNCTION("""COMPUTED_VALUE"""),"Cash")</f>
        <v>Cash</v>
      </c>
      <c r="T2745" t="str">
        <f>IFERROR(__xludf.DUMMYFUNCTION("""COMPUTED_VALUE"""),"Ford Escape Limited")</f>
        <v>Ford Escape Limited</v>
      </c>
      <c r="U2745" t="str">
        <f>IFERROR(__xludf.DUMMYFUNCTION("""COMPUTED_VALUE"""),"Autopilot")</f>
        <v>Autopilot</v>
      </c>
      <c r="V2745" t="str">
        <f>IFERROR(__xludf.DUMMYFUNCTION("""COMPUTED_VALUE"""),"Apple CarPlay / Android Auto / SiriusXM Radio")</f>
        <v>Apple CarPlay / Android Auto / SiriusXM Radio</v>
      </c>
      <c r="W2745" t="str">
        <f>IFERROR(__xludf.DUMMYFUNCTION("""COMPUTED_VALUE"""),"Be patient, and dont expect Tesla to operate like a legacy manufacturer")</f>
        <v>Be patient, and dont expect Tesla to operate like a legacy manufacturer</v>
      </c>
      <c r="X2745" t="str">
        <f>IFERROR(__xludf.DUMMYFUNCTION("""COMPUTED_VALUE"""),"Very Good")</f>
        <v>Very Good</v>
      </c>
      <c r="Y2745" t="str">
        <f>IFERROR(__xludf.DUMMYFUNCTION("""COMPUTED_VALUE"""),"Excellent")</f>
        <v>Excellent</v>
      </c>
      <c r="Z2745" t="str">
        <f>IFERROR(__xludf.DUMMYFUNCTION("""COMPUTED_VALUE"""),"Excellent")</f>
        <v>Excellent</v>
      </c>
      <c r="AA2745" t="str">
        <f>IFERROR(__xludf.DUMMYFUNCTION("""COMPUTED_VALUE"""),"Excellent")</f>
        <v>Excellent</v>
      </c>
      <c r="AB2745" t="str">
        <f>IFERROR(__xludf.DUMMYFUNCTION("""COMPUTED_VALUE"""),"Fair")</f>
        <v>Fair</v>
      </c>
      <c r="AF2745" t="str">
        <f>IFERROR(__xludf.DUMMYFUNCTION("""COMPUTED_VALUE"""),"No. I took delivery of the first car Tesla was able to deliver.")</f>
        <v>No. I took delivery of the first car Tesla was able to deliver.</v>
      </c>
      <c r="AG2745" t="str">
        <f>IFERROR(__xludf.DUMMYFUNCTION("""COMPUTED_VALUE"""),"The contact free pickup at the service center was certainly a bizarre experience")</f>
        <v>The contact free pickup at the service center was certainly a bizarre experience</v>
      </c>
      <c r="AH2745" s="189">
        <f>IFERROR(__xludf.DUMMYFUNCTION("""COMPUTED_VALUE"""),44275.68112813657)</f>
        <v>44275.68113</v>
      </c>
    </row>
    <row r="2746">
      <c r="A2746" t="str">
        <f>IFERROR(__xludf.DUMMYFUNCTION("""COMPUTED_VALUE"""),"regzgz")</f>
        <v>regzgz</v>
      </c>
      <c r="B2746" t="str">
        <f>IFERROR(__xludf.DUMMYFUNCTION("""COMPUTED_VALUE"""),"State Road")</f>
        <v>State Road</v>
      </c>
      <c r="C2746" t="str">
        <f>IFERROR(__xludf.DUMMYFUNCTION("""COMPUTED_VALUE"""),"NC")</f>
        <v>NC</v>
      </c>
      <c r="D2746" t="str">
        <f>IFERROR(__xludf.DUMMYFUNCTION("""COMPUTED_VALUE"""),"USA")</f>
        <v>USA</v>
      </c>
      <c r="E2746" s="188">
        <f>IFERROR(__xludf.DUMMYFUNCTION("""COMPUTED_VALUE"""),44238.0)</f>
        <v>44238</v>
      </c>
      <c r="F2746" s="188">
        <f>IFERROR(__xludf.DUMMYFUNCTION("""COMPUTED_VALUE"""),44263.0)</f>
        <v>44263</v>
      </c>
      <c r="G2746" t="str">
        <f>IFERROR(__xludf.DUMMYFUNCTION("""COMPUTED_VALUE"""),"Manage order page (normal text)")</f>
        <v>Manage order page (normal text)</v>
      </c>
      <c r="H2746">
        <f>IFERROR(__xludf.DUMMYFUNCTION("""COMPUTED_VALUE"""),916025.0)</f>
        <v>916025</v>
      </c>
      <c r="I2746" t="str">
        <f>IFERROR(__xludf.DUMMYFUNCTION("""COMPUTED_VALUE"""),"03/21")</f>
        <v>03/21</v>
      </c>
      <c r="J2746" s="188">
        <f>IFERROR(__xludf.DUMMYFUNCTION("""COMPUTED_VALUE"""),44279.0)</f>
        <v>44279</v>
      </c>
      <c r="K2746">
        <f>IFERROR(__xludf.DUMMYFUNCTION("""COMPUTED_VALUE"""),25.0)</f>
        <v>25</v>
      </c>
      <c r="L2746">
        <f>IFERROR(__xludf.DUMMYFUNCTION("""COMPUTED_VALUE"""),16.0)</f>
        <v>16</v>
      </c>
      <c r="M2746">
        <f>IFERROR(__xludf.DUMMYFUNCTION("""COMPUTED_VALUE"""),41.0)</f>
        <v>41</v>
      </c>
      <c r="N2746" t="str">
        <f>IFERROR(__xludf.DUMMYFUNCTION("""COMPUTED_VALUE"""),"Model 3 LR AWD")</f>
        <v>Model 3 LR AWD</v>
      </c>
      <c r="O2746" t="str">
        <f>IFERROR(__xludf.DUMMYFUNCTION("""COMPUTED_VALUE"""),"Red Multi-Coat")</f>
        <v>Red Multi-Coat</v>
      </c>
      <c r="P2746" t="str">
        <f>IFERROR(__xludf.DUMMYFUNCTION("""COMPUTED_VALUE"""),"18 inch")</f>
        <v>18 inch</v>
      </c>
      <c r="Q2746" t="str">
        <f>IFERROR(__xludf.DUMMYFUNCTION("""COMPUTED_VALUE"""),"All Black")</f>
        <v>All Black</v>
      </c>
      <c r="R2746" t="str">
        <f>IFERROR(__xludf.DUMMYFUNCTION("""COMPUTED_VALUE"""),"Autopilot included")</f>
        <v>Autopilot included</v>
      </c>
      <c r="S2746" t="str">
        <f>IFERROR(__xludf.DUMMYFUNCTION("""COMPUTED_VALUE"""),"Loan")</f>
        <v>Loan</v>
      </c>
      <c r="T2746" t="str">
        <f>IFERROR(__xludf.DUMMYFUNCTION("""COMPUTED_VALUE"""),"BMW 3 Series")</f>
        <v>BMW 3 Series</v>
      </c>
      <c r="U2746" t="str">
        <f>IFERROR(__xludf.DUMMYFUNCTION("""COMPUTED_VALUE"""),"Electric!")</f>
        <v>Electric!</v>
      </c>
      <c r="V2746" t="str">
        <f>IFERROR(__xludf.DUMMYFUNCTION("""COMPUTED_VALUE"""),"Blind spot indicators on side mirrors")</f>
        <v>Blind spot indicators on side mirrors</v>
      </c>
      <c r="X2746" t="str">
        <f>IFERROR(__xludf.DUMMYFUNCTION("""COMPUTED_VALUE"""),"Very Good")</f>
        <v>Very Good</v>
      </c>
      <c r="Y2746" t="str">
        <f>IFERROR(__xludf.DUMMYFUNCTION("""COMPUTED_VALUE"""),"Very Good")</f>
        <v>Very Good</v>
      </c>
      <c r="Z2746" t="str">
        <f>IFERROR(__xludf.DUMMYFUNCTION("""COMPUTED_VALUE"""),"Very Good")</f>
        <v>Very Good</v>
      </c>
      <c r="AA2746" t="str">
        <f>IFERROR(__xludf.DUMMYFUNCTION("""COMPUTED_VALUE"""),"Fair")</f>
        <v>Fair</v>
      </c>
      <c r="AB2746" t="str">
        <f>IFERROR(__xludf.DUMMYFUNCTION("""COMPUTED_VALUE"""),"Very Good")</f>
        <v>Very Good</v>
      </c>
      <c r="AF2746" t="str">
        <f>IFERROR(__xludf.DUMMYFUNCTION("""COMPUTED_VALUE"""),"No. I took delivery of the first car Tesla was able to deliver.")</f>
        <v>No. I took delivery of the first car Tesla was able to deliver.</v>
      </c>
      <c r="AH2746" s="189">
        <f>IFERROR(__xludf.DUMMYFUNCTION("""COMPUTED_VALUE"""),44281.070075625)</f>
        <v>44281.07008</v>
      </c>
    </row>
    <row r="2747">
      <c r="A2747" t="str">
        <f>IFERROR(__xludf.DUMMYFUNCTION("""COMPUTED_VALUE"""),"Qaazon")</f>
        <v>Qaazon</v>
      </c>
      <c r="B2747" t="str">
        <f>IFERROR(__xludf.DUMMYFUNCTION("""COMPUTED_VALUE"""),"Vancouver")</f>
        <v>Vancouver</v>
      </c>
      <c r="C2747" t="str">
        <f>IFERROR(__xludf.DUMMYFUNCTION("""COMPUTED_VALUE"""),"BC")</f>
        <v>BC</v>
      </c>
      <c r="D2747" t="str">
        <f>IFERROR(__xludf.DUMMYFUNCTION("""COMPUTED_VALUE"""),"Canada")</f>
        <v>Canada</v>
      </c>
      <c r="E2747" s="188">
        <f>IFERROR(__xludf.DUMMYFUNCTION("""COMPUTED_VALUE"""),44200.0)</f>
        <v>44200</v>
      </c>
      <c r="F2747" s="188">
        <f>IFERROR(__xludf.DUMMYFUNCTION("""COMPUTED_VALUE"""),44261.0)</f>
        <v>44261</v>
      </c>
      <c r="G2747" t="str">
        <f>IFERROR(__xludf.DUMMYFUNCTION("""COMPUTED_VALUE"""),"Manage order page (normal text)")</f>
        <v>Manage order page (normal text)</v>
      </c>
      <c r="H2747">
        <f>IFERROR(__xludf.DUMMYFUNCTION("""COMPUTED_VALUE"""),918555.0)</f>
        <v>918555</v>
      </c>
      <c r="J2747" s="188">
        <f>IFERROR(__xludf.DUMMYFUNCTION("""COMPUTED_VALUE"""),44265.0)</f>
        <v>44265</v>
      </c>
      <c r="K2747">
        <f>IFERROR(__xludf.DUMMYFUNCTION("""COMPUTED_VALUE"""),61.0)</f>
        <v>61</v>
      </c>
      <c r="L2747">
        <f>IFERROR(__xludf.DUMMYFUNCTION("""COMPUTED_VALUE"""),4.0)</f>
        <v>4</v>
      </c>
      <c r="M2747">
        <f>IFERROR(__xludf.DUMMYFUNCTION("""COMPUTED_VALUE"""),65.0)</f>
        <v>65</v>
      </c>
      <c r="N2747" t="str">
        <f>IFERROR(__xludf.DUMMYFUNCTION("""COMPUTED_VALUE"""),"Model 3 SR+")</f>
        <v>Model 3 SR+</v>
      </c>
      <c r="O2747" t="str">
        <f>IFERROR(__xludf.DUMMYFUNCTION("""COMPUTED_VALUE"""),"Deep Blue Metallic")</f>
        <v>Deep Blue Metallic</v>
      </c>
      <c r="P2747" t="str">
        <f>IFERROR(__xludf.DUMMYFUNCTION("""COMPUTED_VALUE"""),"19 inch")</f>
        <v>19 inch</v>
      </c>
      <c r="Q2747" t="str">
        <f>IFERROR(__xludf.DUMMYFUNCTION("""COMPUTED_VALUE"""),"All Black")</f>
        <v>All Black</v>
      </c>
      <c r="R2747" t="str">
        <f>IFERROR(__xludf.DUMMYFUNCTION("""COMPUTED_VALUE"""),"Autopilot included")</f>
        <v>Autopilot included</v>
      </c>
      <c r="S2747" t="str">
        <f>IFERROR(__xludf.DUMMYFUNCTION("""COMPUTED_VALUE"""),"Loan")</f>
        <v>Loan</v>
      </c>
      <c r="T2747" t="str">
        <f>IFERROR(__xludf.DUMMYFUNCTION("""COMPUTED_VALUE"""),"BMW 3 Series")</f>
        <v>BMW 3 Series</v>
      </c>
      <c r="U2747" t="str">
        <f>IFERROR(__xludf.DUMMYFUNCTION("""COMPUTED_VALUE"""),"Electric!")</f>
        <v>Electric!</v>
      </c>
      <c r="V2747" t="str">
        <f>IFERROR(__xludf.DUMMYFUNCTION("""COMPUTED_VALUE"""),"Apple CarPlay / Android Auto / SiriusXM Radio")</f>
        <v>Apple CarPlay / Android Auto / SiriusXM Radio</v>
      </c>
      <c r="X2747" t="str">
        <f>IFERROR(__xludf.DUMMYFUNCTION("""COMPUTED_VALUE"""),"Very Good")</f>
        <v>Very Good</v>
      </c>
      <c r="Y2747" t="str">
        <f>IFERROR(__xludf.DUMMYFUNCTION("""COMPUTED_VALUE"""),"Very Good")</f>
        <v>Very Good</v>
      </c>
      <c r="Z2747" t="str">
        <f>IFERROR(__xludf.DUMMYFUNCTION("""COMPUTED_VALUE"""),"Very Good")</f>
        <v>Very Good</v>
      </c>
      <c r="AA2747" t="str">
        <f>IFERROR(__xludf.DUMMYFUNCTION("""COMPUTED_VALUE"""),"Good")</f>
        <v>Good</v>
      </c>
      <c r="AB2747" t="str">
        <f>IFERROR(__xludf.DUMMYFUNCTION("""COMPUTED_VALUE"""),"Good")</f>
        <v>Good</v>
      </c>
      <c r="AF2747" t="str">
        <f>IFERROR(__xludf.DUMMYFUNCTION("""COMPUTED_VALUE"""),"No. I took delivery of the first car Tesla was able to deliver.")</f>
        <v>No. I took delivery of the first car Tesla was able to deliver.</v>
      </c>
      <c r="AH2747" s="189">
        <f>IFERROR(__xludf.DUMMYFUNCTION("""COMPUTED_VALUE"""),44266.73490582176)</f>
        <v>44266.73491</v>
      </c>
    </row>
    <row r="2748">
      <c r="A2748" t="str">
        <f>IFERROR(__xludf.DUMMYFUNCTION("""COMPUTED_VALUE"""),"chymerix")</f>
        <v>chymerix</v>
      </c>
      <c r="B2748" t="str">
        <f>IFERROR(__xludf.DUMMYFUNCTION("""COMPUTED_VALUE"""),"Brooklyn")</f>
        <v>Brooklyn</v>
      </c>
      <c r="C2748" t="str">
        <f>IFERROR(__xludf.DUMMYFUNCTION("""COMPUTED_VALUE"""),"NY")</f>
        <v>NY</v>
      </c>
      <c r="D2748" t="str">
        <f>IFERROR(__xludf.DUMMYFUNCTION("""COMPUTED_VALUE"""),"USA")</f>
        <v>USA</v>
      </c>
      <c r="E2748" s="188">
        <f>IFERROR(__xludf.DUMMYFUNCTION("""COMPUTED_VALUE"""),44245.0)</f>
        <v>44245</v>
      </c>
      <c r="F2748" s="188">
        <f>IFERROR(__xludf.DUMMYFUNCTION("""COMPUTED_VALUE"""),44263.0)</f>
        <v>44263</v>
      </c>
      <c r="G2748" t="str">
        <f>IFERROR(__xludf.DUMMYFUNCTION("""COMPUTED_VALUE"""),"Manage order page (normal text)")</f>
        <v>Manage order page (normal text)</v>
      </c>
      <c r="H2748">
        <f>IFERROR(__xludf.DUMMYFUNCTION("""COMPUTED_VALUE"""),915055.0)</f>
        <v>915055</v>
      </c>
      <c r="I2748" t="str">
        <f>IFERROR(__xludf.DUMMYFUNCTION("""COMPUTED_VALUE"""),"03/21")</f>
        <v>03/21</v>
      </c>
      <c r="J2748" s="188">
        <f>IFERROR(__xludf.DUMMYFUNCTION("""COMPUTED_VALUE"""),44276.0)</f>
        <v>44276</v>
      </c>
      <c r="K2748">
        <f>IFERROR(__xludf.DUMMYFUNCTION("""COMPUTED_VALUE"""),18.0)</f>
        <v>18</v>
      </c>
      <c r="L2748">
        <f>IFERROR(__xludf.DUMMYFUNCTION("""COMPUTED_VALUE"""),13.0)</f>
        <v>13</v>
      </c>
      <c r="M2748">
        <f>IFERROR(__xludf.DUMMYFUNCTION("""COMPUTED_VALUE"""),31.0)</f>
        <v>31</v>
      </c>
      <c r="N2748" t="str">
        <f>IFERROR(__xludf.DUMMYFUNCTION("""COMPUTED_VALUE"""),"Model 3 LR AWD")</f>
        <v>Model 3 LR AWD</v>
      </c>
      <c r="O2748" t="str">
        <f>IFERROR(__xludf.DUMMYFUNCTION("""COMPUTED_VALUE"""),"Pearl White Multi-Coat")</f>
        <v>Pearl White Multi-Coat</v>
      </c>
      <c r="P2748" t="str">
        <f>IFERROR(__xludf.DUMMYFUNCTION("""COMPUTED_VALUE"""),"18 inch")</f>
        <v>18 inch</v>
      </c>
      <c r="Q2748" t="str">
        <f>IFERROR(__xludf.DUMMYFUNCTION("""COMPUTED_VALUE"""),"All Black")</f>
        <v>All Black</v>
      </c>
      <c r="R2748" t="str">
        <f>IFERROR(__xludf.DUMMYFUNCTION("""COMPUTED_VALUE"""),"Autopilot included")</f>
        <v>Autopilot included</v>
      </c>
      <c r="S2748" t="str">
        <f>IFERROR(__xludf.DUMMYFUNCTION("""COMPUTED_VALUE"""),"Loan")</f>
        <v>Loan</v>
      </c>
      <c r="T2748" t="str">
        <f>IFERROR(__xludf.DUMMYFUNCTION("""COMPUTED_VALUE"""),"VW GTI")</f>
        <v>VW GTI</v>
      </c>
      <c r="U2748" t="str">
        <f>IFERROR(__xludf.DUMMYFUNCTION("""COMPUTED_VALUE"""),"Electric!")</f>
        <v>Electric!</v>
      </c>
      <c r="V2748" t="str">
        <f>IFERROR(__xludf.DUMMYFUNCTION("""COMPUTED_VALUE"""),"Apple CarPlay / Android Auto / SiriusXM Radio")</f>
        <v>Apple CarPlay / Android Auto / SiriusXM Radio</v>
      </c>
      <c r="X2748" t="str">
        <f>IFERROR(__xludf.DUMMYFUNCTION("""COMPUTED_VALUE"""),"Very Good")</f>
        <v>Very Good</v>
      </c>
      <c r="Y2748" t="str">
        <f>IFERROR(__xludf.DUMMYFUNCTION("""COMPUTED_VALUE"""),"Excellent")</f>
        <v>Excellent</v>
      </c>
      <c r="Z2748" t="str">
        <f>IFERROR(__xludf.DUMMYFUNCTION("""COMPUTED_VALUE"""),"Very Good")</f>
        <v>Very Good</v>
      </c>
      <c r="AA2748" t="str">
        <f>IFERROR(__xludf.DUMMYFUNCTION("""COMPUTED_VALUE"""),"Excellent")</f>
        <v>Excellent</v>
      </c>
      <c r="AB2748" t="str">
        <f>IFERROR(__xludf.DUMMYFUNCTION("""COMPUTED_VALUE"""),"Excellent")</f>
        <v>Excellent</v>
      </c>
      <c r="AC2748">
        <f>IFERROR(__xludf.DUMMYFUNCTION("""COMPUTED_VALUE"""),1.0)</f>
        <v>1</v>
      </c>
      <c r="AF2748" t="str">
        <f>IFERROR(__xludf.DUMMYFUNCTION("""COMPUTED_VALUE"""),"No. I took delivery of the first car Tesla was able to deliver.")</f>
        <v>No. I took delivery of the first car Tesla was able to deliver.</v>
      </c>
      <c r="AH2748" s="189">
        <f>IFERROR(__xludf.DUMMYFUNCTION("""COMPUTED_VALUE"""),44276.47052403935)</f>
        <v>44276.47052</v>
      </c>
    </row>
    <row r="2749">
      <c r="A2749" t="str">
        <f>IFERROR(__xludf.DUMMYFUNCTION("""COMPUTED_VALUE"""),"unsettled")</f>
        <v>unsettled</v>
      </c>
      <c r="B2749" t="str">
        <f>IFERROR(__xludf.DUMMYFUNCTION("""COMPUTED_VALUE"""),"Buford")</f>
        <v>Buford</v>
      </c>
      <c r="C2749" t="str">
        <f>IFERROR(__xludf.DUMMYFUNCTION("""COMPUTED_VALUE"""),"GA")</f>
        <v>GA</v>
      </c>
      <c r="D2749" t="str">
        <f>IFERROR(__xludf.DUMMYFUNCTION("""COMPUTED_VALUE"""),"USA")</f>
        <v>USA</v>
      </c>
      <c r="E2749" s="188">
        <f>IFERROR(__xludf.DUMMYFUNCTION("""COMPUTED_VALUE"""),44226.0)</f>
        <v>44226</v>
      </c>
      <c r="F2749" s="188">
        <f>IFERROR(__xludf.DUMMYFUNCTION("""COMPUTED_VALUE"""),44253.0)</f>
        <v>44253</v>
      </c>
      <c r="G2749" t="str">
        <f>IFERROR(__xludf.DUMMYFUNCTION("""COMPUTED_VALUE"""),"Manage order page (normal text)")</f>
        <v>Manage order page (normal text)</v>
      </c>
      <c r="H2749">
        <f>IFERROR(__xludf.DUMMYFUNCTION("""COMPUTED_VALUE"""),903055.0)</f>
        <v>903055</v>
      </c>
      <c r="I2749" t="str">
        <f>IFERROR(__xludf.DUMMYFUNCTION("""COMPUTED_VALUE"""),"02/21")</f>
        <v>02/21</v>
      </c>
      <c r="J2749" s="188">
        <f>IFERROR(__xludf.DUMMYFUNCTION("""COMPUTED_VALUE"""),44279.0)</f>
        <v>44279</v>
      </c>
      <c r="K2749">
        <f>IFERROR(__xludf.DUMMYFUNCTION("""COMPUTED_VALUE"""),27.0)</f>
        <v>27</v>
      </c>
      <c r="L2749">
        <f>IFERROR(__xludf.DUMMYFUNCTION("""COMPUTED_VALUE"""),26.0)</f>
        <v>26</v>
      </c>
      <c r="M2749">
        <f>IFERROR(__xludf.DUMMYFUNCTION("""COMPUTED_VALUE"""),53.0)</f>
        <v>53</v>
      </c>
      <c r="N2749" t="str">
        <f>IFERROR(__xludf.DUMMYFUNCTION("""COMPUTED_VALUE"""),"Model 3 LR AWD")</f>
        <v>Model 3 LR AWD</v>
      </c>
      <c r="O2749" t="str">
        <f>IFERROR(__xludf.DUMMYFUNCTION("""COMPUTED_VALUE"""),"Midnight Silver Metallic")</f>
        <v>Midnight Silver Metallic</v>
      </c>
      <c r="P2749" t="str">
        <f>IFERROR(__xludf.DUMMYFUNCTION("""COMPUTED_VALUE"""),"18 inch")</f>
        <v>18 inch</v>
      </c>
      <c r="Q2749" t="str">
        <f>IFERROR(__xludf.DUMMYFUNCTION("""COMPUTED_VALUE"""),"Black and White")</f>
        <v>Black and White</v>
      </c>
      <c r="R2749" t="str">
        <f>IFERROR(__xludf.DUMMYFUNCTION("""COMPUTED_VALUE"""),"Autopilot included")</f>
        <v>Autopilot included</v>
      </c>
      <c r="S2749" t="str">
        <f>IFERROR(__xludf.DUMMYFUNCTION("""COMPUTED_VALUE"""),"Loan")</f>
        <v>Loan</v>
      </c>
      <c r="T2749" t="str">
        <f>IFERROR(__xludf.DUMMYFUNCTION("""COMPUTED_VALUE"""),"Honda Civic")</f>
        <v>Honda Civic</v>
      </c>
      <c r="V2749" t="str">
        <f>IFERROR(__xludf.DUMMYFUNCTION("""COMPUTED_VALUE"""),"Apple CarPlay / Android Auto / SiriusXM Radio")</f>
        <v>Apple CarPlay / Android Auto / SiriusXM Radio</v>
      </c>
      <c r="X2749" t="str">
        <f>IFERROR(__xludf.DUMMYFUNCTION("""COMPUTED_VALUE"""),"Very Good")</f>
        <v>Very Good</v>
      </c>
      <c r="Y2749" t="str">
        <f>IFERROR(__xludf.DUMMYFUNCTION("""COMPUTED_VALUE"""),"Excellent")</f>
        <v>Excellent</v>
      </c>
      <c r="Z2749" t="str">
        <f>IFERROR(__xludf.DUMMYFUNCTION("""COMPUTED_VALUE"""),"Excellent")</f>
        <v>Excellent</v>
      </c>
      <c r="AA2749" t="str">
        <f>IFERROR(__xludf.DUMMYFUNCTION("""COMPUTED_VALUE"""),"Fair")</f>
        <v>Fair</v>
      </c>
      <c r="AB2749" t="str">
        <f>IFERROR(__xludf.DUMMYFUNCTION("""COMPUTED_VALUE"""),"Very Good")</f>
        <v>Very Good</v>
      </c>
      <c r="AF2749" t="str">
        <f>IFERROR(__xludf.DUMMYFUNCTION("""COMPUTED_VALUE"""),"No. I took delivery of the first car Tesla was able to deliver.")</f>
        <v>No. I took delivery of the first car Tesla was able to deliver.</v>
      </c>
      <c r="AH2749" s="189">
        <f>IFERROR(__xludf.DUMMYFUNCTION("""COMPUTED_VALUE"""),44279.84004923611)</f>
        <v>44279.84005</v>
      </c>
    </row>
    <row r="2750">
      <c r="A2750" t="str">
        <f>IFERROR(__xludf.DUMMYFUNCTION("""COMPUTED_VALUE"""),"Delfonique")</f>
        <v>Delfonique</v>
      </c>
      <c r="B2750" t="str">
        <f>IFERROR(__xludf.DUMMYFUNCTION("""COMPUTED_VALUE"""),"Raleigh")</f>
        <v>Raleigh</v>
      </c>
      <c r="C2750" t="str">
        <f>IFERROR(__xludf.DUMMYFUNCTION("""COMPUTED_VALUE"""),"NC")</f>
        <v>NC</v>
      </c>
      <c r="D2750" t="str">
        <f>IFERROR(__xludf.DUMMYFUNCTION("""COMPUTED_VALUE"""),"USA")</f>
        <v>USA</v>
      </c>
      <c r="E2750" s="188">
        <f>IFERROR(__xludf.DUMMYFUNCTION("""COMPUTED_VALUE"""),44246.0)</f>
        <v>44246</v>
      </c>
      <c r="F2750" s="188">
        <f>IFERROR(__xludf.DUMMYFUNCTION("""COMPUTED_VALUE"""),44252.0)</f>
        <v>44252</v>
      </c>
      <c r="G2750" t="str">
        <f>IFERROR(__xludf.DUMMYFUNCTION("""COMPUTED_VALUE"""),"Manage order page (normal text)")</f>
        <v>Manage order page (normal text)</v>
      </c>
      <c r="H2750">
        <f>IFERROR(__xludf.DUMMYFUNCTION("""COMPUTED_VALUE"""),906255.0)</f>
        <v>906255</v>
      </c>
      <c r="I2750" t="str">
        <f>IFERROR(__xludf.DUMMYFUNCTION("""COMPUTED_VALUE"""),"02/21")</f>
        <v>02/21</v>
      </c>
      <c r="J2750" s="188">
        <f>IFERROR(__xludf.DUMMYFUNCTION("""COMPUTED_VALUE"""),44256.0)</f>
        <v>44256</v>
      </c>
      <c r="K2750">
        <f>IFERROR(__xludf.DUMMYFUNCTION("""COMPUTED_VALUE"""),6.0)</f>
        <v>6</v>
      </c>
      <c r="L2750">
        <f>IFERROR(__xludf.DUMMYFUNCTION("""COMPUTED_VALUE"""),4.0)</f>
        <v>4</v>
      </c>
      <c r="M2750">
        <f>IFERROR(__xludf.DUMMYFUNCTION("""COMPUTED_VALUE"""),10.0)</f>
        <v>10</v>
      </c>
      <c r="N2750" t="str">
        <f>IFERROR(__xludf.DUMMYFUNCTION("""COMPUTED_VALUE"""),"Model 3 SR+")</f>
        <v>Model 3 SR+</v>
      </c>
      <c r="O2750" t="str">
        <f>IFERROR(__xludf.DUMMYFUNCTION("""COMPUTED_VALUE"""),"Pearl White Multi-Coat")</f>
        <v>Pearl White Multi-Coat</v>
      </c>
      <c r="P2750" t="str">
        <f>IFERROR(__xludf.DUMMYFUNCTION("""COMPUTED_VALUE"""),"18 inch")</f>
        <v>18 inch</v>
      </c>
      <c r="Q2750" t="str">
        <f>IFERROR(__xludf.DUMMYFUNCTION("""COMPUTED_VALUE"""),"All Black")</f>
        <v>All Black</v>
      </c>
      <c r="R2750" t="str">
        <f>IFERROR(__xludf.DUMMYFUNCTION("""COMPUTED_VALUE"""),"Autopilot included")</f>
        <v>Autopilot included</v>
      </c>
      <c r="S2750" t="str">
        <f>IFERROR(__xludf.DUMMYFUNCTION("""COMPUTED_VALUE"""),"Loan")</f>
        <v>Loan</v>
      </c>
      <c r="U2750" t="str">
        <f>IFERROR(__xludf.DUMMYFUNCTION("""COMPUTED_VALUE"""),"Speed")</f>
        <v>Speed</v>
      </c>
      <c r="X2750" t="str">
        <f>IFERROR(__xludf.DUMMYFUNCTION("""COMPUTED_VALUE"""),"Excellent")</f>
        <v>Excellent</v>
      </c>
      <c r="Y2750" t="str">
        <f>IFERROR(__xludf.DUMMYFUNCTION("""COMPUTED_VALUE"""),"Excellent")</f>
        <v>Excellent</v>
      </c>
      <c r="Z2750" t="str">
        <f>IFERROR(__xludf.DUMMYFUNCTION("""COMPUTED_VALUE"""),"Excellent")</f>
        <v>Excellent</v>
      </c>
      <c r="AA2750" t="str">
        <f>IFERROR(__xludf.DUMMYFUNCTION("""COMPUTED_VALUE"""),"Poor")</f>
        <v>Poor</v>
      </c>
      <c r="AB2750" t="str">
        <f>IFERROR(__xludf.DUMMYFUNCTION("""COMPUTED_VALUE"""),"Excellent")</f>
        <v>Excellent</v>
      </c>
      <c r="AC2750">
        <f>IFERROR(__xludf.DUMMYFUNCTION("""COMPUTED_VALUE"""),1.0)</f>
        <v>1</v>
      </c>
      <c r="AD2750">
        <f>IFERROR(__xludf.DUMMYFUNCTION("""COMPUTED_VALUE"""),1.0)</f>
        <v>1</v>
      </c>
      <c r="AE2750">
        <f>IFERROR(__xludf.DUMMYFUNCTION("""COMPUTED_VALUE"""),0.0)</f>
        <v>0</v>
      </c>
      <c r="AF2750" t="str">
        <f>IFERROR(__xludf.DUMMYFUNCTION("""COMPUTED_VALUE"""),"No. I took delivery of the first car Tesla was able to deliver.")</f>
        <v>No. I took delivery of the first car Tesla was able to deliver.</v>
      </c>
      <c r="AH2750" s="189">
        <f>IFERROR(__xludf.DUMMYFUNCTION("""COMPUTED_VALUE"""),44294.363944490746)</f>
        <v>44294.36394</v>
      </c>
    </row>
    <row r="2751">
      <c r="A2751" t="str">
        <f>IFERROR(__xludf.DUMMYFUNCTION("""COMPUTED_VALUE"""),"HP")</f>
        <v>HP</v>
      </c>
      <c r="B2751" t="str">
        <f>IFERROR(__xludf.DUMMYFUNCTION("""COMPUTED_VALUE"""),"Westport")</f>
        <v>Westport</v>
      </c>
      <c r="C2751" t="str">
        <f>IFERROR(__xludf.DUMMYFUNCTION("""COMPUTED_VALUE"""),"CT")</f>
        <v>CT</v>
      </c>
      <c r="D2751" t="str">
        <f>IFERROR(__xludf.DUMMYFUNCTION("""COMPUTED_VALUE"""),"USA")</f>
        <v>USA</v>
      </c>
      <c r="E2751" s="188">
        <f>IFERROR(__xludf.DUMMYFUNCTION("""COMPUTED_VALUE"""),44239.0)</f>
        <v>44239</v>
      </c>
      <c r="F2751" s="188">
        <f>IFERROR(__xludf.DUMMYFUNCTION("""COMPUTED_VALUE"""),44263.0)</f>
        <v>44263</v>
      </c>
      <c r="G2751" t="str">
        <f>IFERROR(__xludf.DUMMYFUNCTION("""COMPUTED_VALUE"""),"Manage order page (normal text)")</f>
        <v>Manage order page (normal text)</v>
      </c>
      <c r="H2751">
        <f>IFERROR(__xludf.DUMMYFUNCTION("""COMPUTED_VALUE"""),914955.0)</f>
        <v>914955</v>
      </c>
      <c r="J2751" s="188">
        <f>IFERROR(__xludf.DUMMYFUNCTION("""COMPUTED_VALUE"""),44277.0)</f>
        <v>44277</v>
      </c>
      <c r="K2751">
        <f>IFERROR(__xludf.DUMMYFUNCTION("""COMPUTED_VALUE"""),24.0)</f>
        <v>24</v>
      </c>
      <c r="L2751">
        <f>IFERROR(__xludf.DUMMYFUNCTION("""COMPUTED_VALUE"""),14.0)</f>
        <v>14</v>
      </c>
      <c r="M2751">
        <f>IFERROR(__xludf.DUMMYFUNCTION("""COMPUTED_VALUE"""),38.0)</f>
        <v>38</v>
      </c>
      <c r="N2751" t="str">
        <f>IFERROR(__xludf.DUMMYFUNCTION("""COMPUTED_VALUE"""),"Model 3 LR AWD")</f>
        <v>Model 3 LR AWD</v>
      </c>
      <c r="O2751" t="str">
        <f>IFERROR(__xludf.DUMMYFUNCTION("""COMPUTED_VALUE"""),"Midnight Silver Metallic")</f>
        <v>Midnight Silver Metallic</v>
      </c>
      <c r="P2751" t="str">
        <f>IFERROR(__xludf.DUMMYFUNCTION("""COMPUTED_VALUE"""),"18 inch")</f>
        <v>18 inch</v>
      </c>
      <c r="Q2751" t="str">
        <f>IFERROR(__xludf.DUMMYFUNCTION("""COMPUTED_VALUE"""),"All Black")</f>
        <v>All Black</v>
      </c>
      <c r="R2751" t="str">
        <f>IFERROR(__xludf.DUMMYFUNCTION("""COMPUTED_VALUE"""),"Autopilot included")</f>
        <v>Autopilot included</v>
      </c>
      <c r="S2751" t="str">
        <f>IFERROR(__xludf.DUMMYFUNCTION("""COMPUTED_VALUE"""),"Loan")</f>
        <v>Loan</v>
      </c>
      <c r="T2751" t="str">
        <f>IFERROR(__xludf.DUMMYFUNCTION("""COMPUTED_VALUE"""),"Audi A5")</f>
        <v>Audi A5</v>
      </c>
      <c r="U2751" t="str">
        <f>IFERROR(__xludf.DUMMYFUNCTION("""COMPUTED_VALUE"""),"Autopilot")</f>
        <v>Autopilot</v>
      </c>
      <c r="V2751" t="str">
        <f>IFERROR(__xludf.DUMMYFUNCTION("""COMPUTED_VALUE"""),"Blind spot indicators on side mirrors")</f>
        <v>Blind spot indicators on side mirrors</v>
      </c>
      <c r="X2751" t="str">
        <f>IFERROR(__xludf.DUMMYFUNCTION("""COMPUTED_VALUE"""),"Excellent")</f>
        <v>Excellent</v>
      </c>
      <c r="Y2751" t="str">
        <f>IFERROR(__xludf.DUMMYFUNCTION("""COMPUTED_VALUE"""),"Excellent")</f>
        <v>Excellent</v>
      </c>
      <c r="Z2751" t="str">
        <f>IFERROR(__xludf.DUMMYFUNCTION("""COMPUTED_VALUE"""),"Excellent")</f>
        <v>Excellent</v>
      </c>
      <c r="AA2751" t="str">
        <f>IFERROR(__xludf.DUMMYFUNCTION("""COMPUTED_VALUE"""),"Excellent")</f>
        <v>Excellent</v>
      </c>
      <c r="AB2751" t="str">
        <f>IFERROR(__xludf.DUMMYFUNCTION("""COMPUTED_VALUE"""),"Excellent")</f>
        <v>Excellent</v>
      </c>
      <c r="AC2751">
        <f>IFERROR(__xludf.DUMMYFUNCTION("""COMPUTED_VALUE"""),0.0)</f>
        <v>0</v>
      </c>
      <c r="AF2751" t="str">
        <f>IFERROR(__xludf.DUMMYFUNCTION("""COMPUTED_VALUE"""),"No. I took delivery of the first car Tesla was able to deliver.")</f>
        <v>No. I took delivery of the first car Tesla was able to deliver.</v>
      </c>
      <c r="AH2751" s="189">
        <f>IFERROR(__xludf.DUMMYFUNCTION("""COMPUTED_VALUE"""),44277.60681945602)</f>
        <v>44277.60682</v>
      </c>
    </row>
    <row r="2752">
      <c r="A2752" t="str">
        <f>IFERROR(__xludf.DUMMYFUNCTION("""COMPUTED_VALUE"""),"PrivateJoker")</f>
        <v>PrivateJoker</v>
      </c>
      <c r="C2752" t="str">
        <f>IFERROR(__xludf.DUMMYFUNCTION("""COMPUTED_VALUE"""),"NJ")</f>
        <v>NJ</v>
      </c>
      <c r="D2752" t="str">
        <f>IFERROR(__xludf.DUMMYFUNCTION("""COMPUTED_VALUE"""),"USA")</f>
        <v>USA</v>
      </c>
      <c r="E2752" s="188">
        <f>IFERROR(__xludf.DUMMYFUNCTION("""COMPUTED_VALUE"""),44208.0)</f>
        <v>44208</v>
      </c>
      <c r="F2752" s="188">
        <f>IFERROR(__xludf.DUMMYFUNCTION("""COMPUTED_VALUE"""),44269.0)</f>
        <v>44269</v>
      </c>
      <c r="G2752" t="str">
        <f>IFERROR(__xludf.DUMMYFUNCTION("""COMPUTED_VALUE"""),"Manage order page (normal text)")</f>
        <v>Manage order page (normal text)</v>
      </c>
      <c r="H2752">
        <f>IFERROR(__xludf.DUMMYFUNCTION("""COMPUTED_VALUE"""),914333.0)</f>
        <v>914333</v>
      </c>
      <c r="J2752" s="188">
        <f>IFERROR(__xludf.DUMMYFUNCTION("""COMPUTED_VALUE"""),44281.0)</f>
        <v>44281</v>
      </c>
      <c r="K2752">
        <f>IFERROR(__xludf.DUMMYFUNCTION("""COMPUTED_VALUE"""),61.0)</f>
        <v>61</v>
      </c>
      <c r="L2752">
        <f>IFERROR(__xludf.DUMMYFUNCTION("""COMPUTED_VALUE"""),12.0)</f>
        <v>12</v>
      </c>
      <c r="M2752">
        <f>IFERROR(__xludf.DUMMYFUNCTION("""COMPUTED_VALUE"""),73.0)</f>
        <v>73</v>
      </c>
      <c r="N2752" t="str">
        <f>IFERROR(__xludf.DUMMYFUNCTION("""COMPUTED_VALUE"""),"Model 3 Performance")</f>
        <v>Model 3 Performance</v>
      </c>
      <c r="O2752" t="str">
        <f>IFERROR(__xludf.DUMMYFUNCTION("""COMPUTED_VALUE"""),"Solid Black")</f>
        <v>Solid Black</v>
      </c>
      <c r="P2752" t="str">
        <f>IFERROR(__xludf.DUMMYFUNCTION("""COMPUTED_VALUE"""),"20 inch")</f>
        <v>20 inch</v>
      </c>
      <c r="Q2752" t="str">
        <f>IFERROR(__xludf.DUMMYFUNCTION("""COMPUTED_VALUE"""),"All Black")</f>
        <v>All Black</v>
      </c>
      <c r="R2752" t="str">
        <f>IFERROR(__xludf.DUMMYFUNCTION("""COMPUTED_VALUE"""),"Autopilot included")</f>
        <v>Autopilot included</v>
      </c>
      <c r="U2752" t="str">
        <f>IFERROR(__xludf.DUMMYFUNCTION("""COMPUTED_VALUE"""),"Electric!")</f>
        <v>Electric!</v>
      </c>
      <c r="X2752" t="str">
        <f>IFERROR(__xludf.DUMMYFUNCTION("""COMPUTED_VALUE"""),"Very Good")</f>
        <v>Very Good</v>
      </c>
      <c r="Y2752" t="str">
        <f>IFERROR(__xludf.DUMMYFUNCTION("""COMPUTED_VALUE"""),"Excellent")</f>
        <v>Excellent</v>
      </c>
      <c r="Z2752" t="str">
        <f>IFERROR(__xludf.DUMMYFUNCTION("""COMPUTED_VALUE"""),"Very Good")</f>
        <v>Very Good</v>
      </c>
      <c r="AA2752" t="str">
        <f>IFERROR(__xludf.DUMMYFUNCTION("""COMPUTED_VALUE"""),"Excellent")</f>
        <v>Excellent</v>
      </c>
      <c r="AB2752" t="str">
        <f>IFERROR(__xludf.DUMMYFUNCTION("""COMPUTED_VALUE"""),"Excellent")</f>
        <v>Excellent</v>
      </c>
      <c r="AC2752">
        <f>IFERROR(__xludf.DUMMYFUNCTION("""COMPUTED_VALUE"""),2.0)</f>
        <v>2</v>
      </c>
      <c r="AD2752">
        <f>IFERROR(__xludf.DUMMYFUNCTION("""COMPUTED_VALUE"""),1.0)</f>
        <v>1</v>
      </c>
      <c r="AE2752">
        <f>IFERROR(__xludf.DUMMYFUNCTION("""COMPUTED_VALUE"""),3.0)</f>
        <v>3</v>
      </c>
      <c r="AF2752" t="str">
        <f>IFERROR(__xludf.DUMMYFUNCTION("""COMPUTED_VALUE"""),"No. I took delivery of the first car Tesla was able to deliver.")</f>
        <v>No. I took delivery of the first car Tesla was able to deliver.</v>
      </c>
      <c r="AH2752" s="189">
        <f>IFERROR(__xludf.DUMMYFUNCTION("""COMPUTED_VALUE"""),44353.8579053125)</f>
        <v>44353.85791</v>
      </c>
    </row>
    <row r="2753">
      <c r="A2753" t="str">
        <f>IFERROR(__xludf.DUMMYFUNCTION("""COMPUTED_VALUE"""),"CanadianRob")</f>
        <v>CanadianRob</v>
      </c>
      <c r="B2753" t="str">
        <f>IFERROR(__xludf.DUMMYFUNCTION("""COMPUTED_VALUE"""),"Trenton")</f>
        <v>Trenton</v>
      </c>
      <c r="C2753" t="str">
        <f>IFERROR(__xludf.DUMMYFUNCTION("""COMPUTED_VALUE"""),"ON")</f>
        <v>ON</v>
      </c>
      <c r="D2753" t="str">
        <f>IFERROR(__xludf.DUMMYFUNCTION("""COMPUTED_VALUE"""),"Canada")</f>
        <v>Canada</v>
      </c>
      <c r="E2753" s="188">
        <f>IFERROR(__xludf.DUMMYFUNCTION("""COMPUTED_VALUE"""),44249.0)</f>
        <v>44249</v>
      </c>
      <c r="F2753" s="188">
        <f>IFERROR(__xludf.DUMMYFUNCTION("""COMPUTED_VALUE"""),44272.0)</f>
        <v>44272</v>
      </c>
      <c r="G2753" t="str">
        <f>IFERROR(__xludf.DUMMYFUNCTION("""COMPUTED_VALUE"""),"Email")</f>
        <v>Email</v>
      </c>
      <c r="H2753">
        <f>IFERROR(__xludf.DUMMYFUNCTION("""COMPUTED_VALUE"""),914455.0)</f>
        <v>914455</v>
      </c>
      <c r="I2753" t="str">
        <f>IFERROR(__xludf.DUMMYFUNCTION("""COMPUTED_VALUE"""),"03/21")</f>
        <v>03/21</v>
      </c>
      <c r="J2753" s="188">
        <f>IFERROR(__xludf.DUMMYFUNCTION("""COMPUTED_VALUE"""),44285.0)</f>
        <v>44285</v>
      </c>
      <c r="K2753">
        <f>IFERROR(__xludf.DUMMYFUNCTION("""COMPUTED_VALUE"""),23.0)</f>
        <v>23</v>
      </c>
      <c r="L2753">
        <f>IFERROR(__xludf.DUMMYFUNCTION("""COMPUTED_VALUE"""),13.0)</f>
        <v>13</v>
      </c>
      <c r="M2753">
        <f>IFERROR(__xludf.DUMMYFUNCTION("""COMPUTED_VALUE"""),36.0)</f>
        <v>36</v>
      </c>
      <c r="N2753" t="str">
        <f>IFERROR(__xludf.DUMMYFUNCTION("""COMPUTED_VALUE"""),"Model 3 Performance")</f>
        <v>Model 3 Performance</v>
      </c>
      <c r="O2753" t="str">
        <f>IFERROR(__xludf.DUMMYFUNCTION("""COMPUTED_VALUE"""),"Pearl White Multi-Coat")</f>
        <v>Pearl White Multi-Coat</v>
      </c>
      <c r="P2753" t="str">
        <f>IFERROR(__xludf.DUMMYFUNCTION("""COMPUTED_VALUE"""),"20 inch")</f>
        <v>20 inch</v>
      </c>
      <c r="Q2753" t="str">
        <f>IFERROR(__xludf.DUMMYFUNCTION("""COMPUTED_VALUE"""),"Black and White")</f>
        <v>Black and White</v>
      </c>
      <c r="R2753" t="str">
        <f>IFERROR(__xludf.DUMMYFUNCTION("""COMPUTED_VALUE"""),"Full Self-Driving")</f>
        <v>Full Self-Driving</v>
      </c>
      <c r="S2753" t="str">
        <f>IFERROR(__xludf.DUMMYFUNCTION("""COMPUTED_VALUE"""),"Loan")</f>
        <v>Loan</v>
      </c>
      <c r="T2753" t="str">
        <f>IFERROR(__xludf.DUMMYFUNCTION("""COMPUTED_VALUE"""),"Hyundai Santa Fe XL")</f>
        <v>Hyundai Santa Fe XL</v>
      </c>
      <c r="U2753" t="str">
        <f>IFERROR(__xludf.DUMMYFUNCTION("""COMPUTED_VALUE"""),"Autopilot")</f>
        <v>Autopilot</v>
      </c>
      <c r="V2753" t="str">
        <f>IFERROR(__xludf.DUMMYFUNCTION("""COMPUTED_VALUE"""),"Blind spot indicators on side mirrors")</f>
        <v>Blind spot indicators on side mirrors</v>
      </c>
      <c r="X2753" t="str">
        <f>IFERROR(__xludf.DUMMYFUNCTION("""COMPUTED_VALUE"""),"Good")</f>
        <v>Good</v>
      </c>
      <c r="Y2753" t="str">
        <f>IFERROR(__xludf.DUMMYFUNCTION("""COMPUTED_VALUE"""),"Excellent")</f>
        <v>Excellent</v>
      </c>
      <c r="Z2753" t="str">
        <f>IFERROR(__xludf.DUMMYFUNCTION("""COMPUTED_VALUE"""),"Excellent")</f>
        <v>Excellent</v>
      </c>
      <c r="AA2753" t="str">
        <f>IFERROR(__xludf.DUMMYFUNCTION("""COMPUTED_VALUE"""),"Excellent")</f>
        <v>Excellent</v>
      </c>
      <c r="AB2753" t="str">
        <f>IFERROR(__xludf.DUMMYFUNCTION("""COMPUTED_VALUE"""),"Excellent")</f>
        <v>Excellent</v>
      </c>
      <c r="AC2753">
        <f>IFERROR(__xludf.DUMMYFUNCTION("""COMPUTED_VALUE"""),3.0)</f>
        <v>3</v>
      </c>
      <c r="AD2753">
        <f>IFERROR(__xludf.DUMMYFUNCTION("""COMPUTED_VALUE"""),2.0)</f>
        <v>2</v>
      </c>
      <c r="AE2753">
        <f>IFERROR(__xludf.DUMMYFUNCTION("""COMPUTED_VALUE"""),17.0)</f>
        <v>17</v>
      </c>
      <c r="AF2753" t="str">
        <f>IFERROR(__xludf.DUMMYFUNCTION("""COMPUTED_VALUE"""),"No. I took delivery of the first car Tesla was able to deliver.")</f>
        <v>No. I took delivery of the first car Tesla was able to deliver.</v>
      </c>
      <c r="AG2753" t="str">
        <f>IFERROR(__xludf.DUMMYFUNCTION("""COMPUTED_VALUE"""),"Car had a faulty brake caliper and took 2.5 weeks for Tesla to replace.")</f>
        <v>Car had a faulty brake caliper and took 2.5 weeks for Tesla to replace.</v>
      </c>
      <c r="AH2753" s="189">
        <f>IFERROR(__xludf.DUMMYFUNCTION("""COMPUTED_VALUE"""),44332.4038271412)</f>
        <v>44332.40383</v>
      </c>
    </row>
    <row r="2754">
      <c r="A2754" t="str">
        <f>IFERROR(__xludf.DUMMYFUNCTION("""COMPUTED_VALUE"""),"ginonca")</f>
        <v>ginonca</v>
      </c>
      <c r="B2754" t="str">
        <f>IFERROR(__xludf.DUMMYFUNCTION("""COMPUTED_VALUE"""),"Barrie")</f>
        <v>Barrie</v>
      </c>
      <c r="C2754" t="str">
        <f>IFERROR(__xludf.DUMMYFUNCTION("""COMPUTED_VALUE"""),"ON")</f>
        <v>ON</v>
      </c>
      <c r="D2754" t="str">
        <f>IFERROR(__xludf.DUMMYFUNCTION("""COMPUTED_VALUE"""),"Canada")</f>
        <v>Canada</v>
      </c>
      <c r="E2754" s="188">
        <f>IFERROR(__xludf.DUMMYFUNCTION("""COMPUTED_VALUE"""),44242.0)</f>
        <v>44242</v>
      </c>
      <c r="F2754" s="188">
        <f>IFERROR(__xludf.DUMMYFUNCTION("""COMPUTED_VALUE"""),44254.0)</f>
        <v>44254</v>
      </c>
      <c r="G2754" t="str">
        <f>IFERROR(__xludf.DUMMYFUNCTION("""COMPUTED_VALUE"""),"Sales Agent when I called to ask ETA")</f>
        <v>Sales Agent when I called to ask ETA</v>
      </c>
      <c r="H2754">
        <f>IFERROR(__xludf.DUMMYFUNCTION("""COMPUTED_VALUE"""),918555.0)</f>
        <v>918555</v>
      </c>
      <c r="I2754" t="str">
        <f>IFERROR(__xludf.DUMMYFUNCTION("""COMPUTED_VALUE"""),"02/21")</f>
        <v>02/21</v>
      </c>
      <c r="J2754" s="188">
        <f>IFERROR(__xludf.DUMMYFUNCTION("""COMPUTED_VALUE"""),44268.0)</f>
        <v>44268</v>
      </c>
      <c r="K2754">
        <f>IFERROR(__xludf.DUMMYFUNCTION("""COMPUTED_VALUE"""),12.0)</f>
        <v>12</v>
      </c>
      <c r="L2754">
        <f>IFERROR(__xludf.DUMMYFUNCTION("""COMPUTED_VALUE"""),14.0)</f>
        <v>14</v>
      </c>
      <c r="M2754">
        <f>IFERROR(__xludf.DUMMYFUNCTION("""COMPUTED_VALUE"""),26.0)</f>
        <v>26</v>
      </c>
      <c r="N2754" t="str">
        <f>IFERROR(__xludf.DUMMYFUNCTION("""COMPUTED_VALUE"""),"Model 3 SR+")</f>
        <v>Model 3 SR+</v>
      </c>
      <c r="O2754" t="str">
        <f>IFERROR(__xludf.DUMMYFUNCTION("""COMPUTED_VALUE"""),"Pearl White Multi-Coat")</f>
        <v>Pearl White Multi-Coat</v>
      </c>
      <c r="P2754" t="str">
        <f>IFERROR(__xludf.DUMMYFUNCTION("""COMPUTED_VALUE"""),"18 inch")</f>
        <v>18 inch</v>
      </c>
      <c r="Q2754" t="str">
        <f>IFERROR(__xludf.DUMMYFUNCTION("""COMPUTED_VALUE"""),"All Black")</f>
        <v>All Black</v>
      </c>
      <c r="R2754" t="str">
        <f>IFERROR(__xludf.DUMMYFUNCTION("""COMPUTED_VALUE"""),"Autopilot included")</f>
        <v>Autopilot included</v>
      </c>
      <c r="S2754" t="str">
        <f>IFERROR(__xludf.DUMMYFUNCTION("""COMPUTED_VALUE"""),"Loan")</f>
        <v>Loan</v>
      </c>
      <c r="T2754" t="str">
        <f>IFERROR(__xludf.DUMMYFUNCTION("""COMPUTED_VALUE"""),"Kia Soul EV")</f>
        <v>Kia Soul EV</v>
      </c>
      <c r="U2754" t="str">
        <f>IFERROR(__xludf.DUMMYFUNCTION("""COMPUTED_VALUE"""),"Style / Range")</f>
        <v>Style / Range</v>
      </c>
      <c r="V2754" t="str">
        <f>IFERROR(__xludf.DUMMYFUNCTION("""COMPUTED_VALUE"""),"Head-up display")</f>
        <v>Head-up display</v>
      </c>
      <c r="X2754" t="str">
        <f>IFERROR(__xludf.DUMMYFUNCTION("""COMPUTED_VALUE"""),"Excellent")</f>
        <v>Excellent</v>
      </c>
      <c r="Y2754" t="str">
        <f>IFERROR(__xludf.DUMMYFUNCTION("""COMPUTED_VALUE"""),"Excellent")</f>
        <v>Excellent</v>
      </c>
      <c r="Z2754" t="str">
        <f>IFERROR(__xludf.DUMMYFUNCTION("""COMPUTED_VALUE"""),"Excellent")</f>
        <v>Excellent</v>
      </c>
      <c r="AA2754" t="str">
        <f>IFERROR(__xludf.DUMMYFUNCTION("""COMPUTED_VALUE"""),"Good")</f>
        <v>Good</v>
      </c>
      <c r="AB2754" t="str">
        <f>IFERROR(__xludf.DUMMYFUNCTION("""COMPUTED_VALUE"""),"Excellent")</f>
        <v>Excellent</v>
      </c>
      <c r="AC2754">
        <f>IFERROR(__xludf.DUMMYFUNCTION("""COMPUTED_VALUE"""),0.0)</f>
        <v>0</v>
      </c>
      <c r="AD2754">
        <f>IFERROR(__xludf.DUMMYFUNCTION("""COMPUTED_VALUE"""),0.0)</f>
        <v>0</v>
      </c>
      <c r="AE2754">
        <f>IFERROR(__xludf.DUMMYFUNCTION("""COMPUTED_VALUE"""),0.0)</f>
        <v>0</v>
      </c>
      <c r="AF2754" t="str">
        <f>IFERROR(__xludf.DUMMYFUNCTION("""COMPUTED_VALUE"""),"No. I took delivery of the first car Tesla was able to deliver.")</f>
        <v>No. I took delivery of the first car Tesla was able to deliver.</v>
      </c>
      <c r="AH2754" s="189">
        <f>IFERROR(__xludf.DUMMYFUNCTION("""COMPUTED_VALUE"""),44269.35978077546)</f>
        <v>44269.35978</v>
      </c>
    </row>
    <row r="2755">
      <c r="A2755" t="str">
        <f>IFERROR(__xludf.DUMMYFUNCTION("""COMPUTED_VALUE"""),"theun4gven")</f>
        <v>theun4gven</v>
      </c>
      <c r="B2755" t="str">
        <f>IFERROR(__xludf.DUMMYFUNCTION("""COMPUTED_VALUE"""),"Tampa")</f>
        <v>Tampa</v>
      </c>
      <c r="C2755" t="str">
        <f>IFERROR(__xludf.DUMMYFUNCTION("""COMPUTED_VALUE"""),"FL")</f>
        <v>FL</v>
      </c>
      <c r="D2755" t="str">
        <f>IFERROR(__xludf.DUMMYFUNCTION("""COMPUTED_VALUE"""),"USA")</f>
        <v>USA</v>
      </c>
      <c r="E2755" s="188">
        <f>IFERROR(__xludf.DUMMYFUNCTION("""COMPUTED_VALUE"""),44235.0)</f>
        <v>44235</v>
      </c>
      <c r="F2755" s="188">
        <f>IFERROR(__xludf.DUMMYFUNCTION("""COMPUTED_VALUE"""),44260.0)</f>
        <v>44260</v>
      </c>
      <c r="G2755" t="str">
        <f>IFERROR(__xludf.DUMMYFUNCTION("""COMPUTED_VALUE"""),"Manage order page (normal text)")</f>
        <v>Manage order page (normal text)</v>
      </c>
      <c r="H2755">
        <f>IFERROR(__xludf.DUMMYFUNCTION("""COMPUTED_VALUE"""),916155.0)</f>
        <v>916155</v>
      </c>
      <c r="I2755" t="str">
        <f>IFERROR(__xludf.DUMMYFUNCTION("""COMPUTED_VALUE"""),"03/21")</f>
        <v>03/21</v>
      </c>
      <c r="J2755" s="188">
        <f>IFERROR(__xludf.DUMMYFUNCTION("""COMPUTED_VALUE"""),44278.0)</f>
        <v>44278</v>
      </c>
      <c r="K2755">
        <f>IFERROR(__xludf.DUMMYFUNCTION("""COMPUTED_VALUE"""),25.0)</f>
        <v>25</v>
      </c>
      <c r="L2755">
        <f>IFERROR(__xludf.DUMMYFUNCTION("""COMPUTED_VALUE"""),18.0)</f>
        <v>18</v>
      </c>
      <c r="M2755">
        <f>IFERROR(__xludf.DUMMYFUNCTION("""COMPUTED_VALUE"""),43.0)</f>
        <v>43</v>
      </c>
      <c r="N2755" t="str">
        <f>IFERROR(__xludf.DUMMYFUNCTION("""COMPUTED_VALUE"""),"Model 3 LR AWD")</f>
        <v>Model 3 LR AWD</v>
      </c>
      <c r="O2755" t="str">
        <f>IFERROR(__xludf.DUMMYFUNCTION("""COMPUTED_VALUE"""),"Pearl White Multi-Coat")</f>
        <v>Pearl White Multi-Coat</v>
      </c>
      <c r="P2755" t="str">
        <f>IFERROR(__xludf.DUMMYFUNCTION("""COMPUTED_VALUE"""),"19 inch")</f>
        <v>19 inch</v>
      </c>
      <c r="Q2755" t="str">
        <f>IFERROR(__xludf.DUMMYFUNCTION("""COMPUTED_VALUE"""),"Black and White")</f>
        <v>Black and White</v>
      </c>
      <c r="R2755" t="str">
        <f>IFERROR(__xludf.DUMMYFUNCTION("""COMPUTED_VALUE"""),"Autopilot included")</f>
        <v>Autopilot included</v>
      </c>
      <c r="S2755" t="str">
        <f>IFERROR(__xludf.DUMMYFUNCTION("""COMPUTED_VALUE"""),"Loan")</f>
        <v>Loan</v>
      </c>
      <c r="T2755" t="str">
        <f>IFERROR(__xludf.DUMMYFUNCTION("""COMPUTED_VALUE"""),"Mazda 6")</f>
        <v>Mazda 6</v>
      </c>
      <c r="U2755" t="str">
        <f>IFERROR(__xludf.DUMMYFUNCTION("""COMPUTED_VALUE"""),"Electric!")</f>
        <v>Electric!</v>
      </c>
      <c r="V2755" t="str">
        <f>IFERROR(__xludf.DUMMYFUNCTION("""COMPUTED_VALUE"""),"Head-up display")</f>
        <v>Head-up display</v>
      </c>
      <c r="W2755" t="str">
        <f>IFERROR(__xludf.DUMMYFUNCTION("""COMPUTED_VALUE"""),"Knowledge of employees varies wildly. If you’re unsure of an answer, ask someone else")</f>
        <v>Knowledge of employees varies wildly. If you’re unsure of an answer, ask someone else</v>
      </c>
      <c r="X2755" t="str">
        <f>IFERROR(__xludf.DUMMYFUNCTION("""COMPUTED_VALUE"""),"Very Good")</f>
        <v>Very Good</v>
      </c>
      <c r="Y2755" t="str">
        <f>IFERROR(__xludf.DUMMYFUNCTION("""COMPUTED_VALUE"""),"Excellent")</f>
        <v>Excellent</v>
      </c>
      <c r="Z2755" t="str">
        <f>IFERROR(__xludf.DUMMYFUNCTION("""COMPUTED_VALUE"""),"Excellent")</f>
        <v>Excellent</v>
      </c>
      <c r="AA2755" t="str">
        <f>IFERROR(__xludf.DUMMYFUNCTION("""COMPUTED_VALUE"""),"Excellent")</f>
        <v>Excellent</v>
      </c>
      <c r="AB2755" t="str">
        <f>IFERROR(__xludf.DUMMYFUNCTION("""COMPUTED_VALUE"""),"Excellent")</f>
        <v>Excellent</v>
      </c>
      <c r="AF2755" t="str">
        <f>IFERROR(__xludf.DUMMYFUNCTION("""COMPUTED_VALUE"""),"No. I took delivery of the first car Tesla was able to deliver.")</f>
        <v>No. I took delivery of the first car Tesla was able to deliver.</v>
      </c>
      <c r="AH2755" s="189">
        <f>IFERROR(__xludf.DUMMYFUNCTION("""COMPUTED_VALUE"""),44278.73155831019)</f>
        <v>44278.73156</v>
      </c>
    </row>
    <row r="2756">
      <c r="A2756" t="str">
        <f>IFERROR(__xludf.DUMMYFUNCTION("""COMPUTED_VALUE"""),"FielderJones")</f>
        <v>FielderJones</v>
      </c>
      <c r="C2756" t="str">
        <f>IFERROR(__xludf.DUMMYFUNCTION("""COMPUTED_VALUE"""),"IL")</f>
        <v>IL</v>
      </c>
      <c r="D2756" t="str">
        <f>IFERROR(__xludf.DUMMYFUNCTION("""COMPUTED_VALUE"""),"USA")</f>
        <v>USA</v>
      </c>
      <c r="E2756" s="188">
        <f>IFERROR(__xludf.DUMMYFUNCTION("""COMPUTED_VALUE"""),43577.0)</f>
        <v>43577</v>
      </c>
      <c r="F2756" s="188">
        <f>IFERROR(__xludf.DUMMYFUNCTION("""COMPUTED_VALUE"""),43577.0)</f>
        <v>43577</v>
      </c>
      <c r="G2756" t="str">
        <f>IFERROR(__xludf.DUMMYFUNCTION("""COMPUTED_VALUE"""),"Manage order page (normal text)")</f>
        <v>Manage order page (normal text)</v>
      </c>
      <c r="H2756">
        <f>IFERROR(__xludf.DUMMYFUNCTION("""COMPUTED_VALUE"""),307155.0)</f>
        <v>307155</v>
      </c>
      <c r="J2756" s="188">
        <f>IFERROR(__xludf.DUMMYFUNCTION("""COMPUTED_VALUE"""),43580.0)</f>
        <v>43580</v>
      </c>
      <c r="K2756">
        <f>IFERROR(__xludf.DUMMYFUNCTION("""COMPUTED_VALUE"""),0.0)</f>
        <v>0</v>
      </c>
      <c r="L2756">
        <f>IFERROR(__xludf.DUMMYFUNCTION("""COMPUTED_VALUE"""),3.0)</f>
        <v>3</v>
      </c>
      <c r="M2756">
        <f>IFERROR(__xludf.DUMMYFUNCTION("""COMPUTED_VALUE"""),3.0)</f>
        <v>3</v>
      </c>
      <c r="N2756" t="str">
        <f>IFERROR(__xludf.DUMMYFUNCTION("""COMPUTED_VALUE"""),"Model 3 SR+")</f>
        <v>Model 3 SR+</v>
      </c>
      <c r="O2756" t="str">
        <f>IFERROR(__xludf.DUMMYFUNCTION("""COMPUTED_VALUE"""),"Red Multi-Coat")</f>
        <v>Red Multi-Coat</v>
      </c>
      <c r="P2756" t="str">
        <f>IFERROR(__xludf.DUMMYFUNCTION("""COMPUTED_VALUE"""),"18 inch")</f>
        <v>18 inch</v>
      </c>
      <c r="Q2756" t="str">
        <f>IFERROR(__xludf.DUMMYFUNCTION("""COMPUTED_VALUE"""),"All Black")</f>
        <v>All Black</v>
      </c>
      <c r="R2756" t="str">
        <f>IFERROR(__xludf.DUMMYFUNCTION("""COMPUTED_VALUE"""),"Autopilot included")</f>
        <v>Autopilot included</v>
      </c>
      <c r="S2756" t="str">
        <f>IFERROR(__xludf.DUMMYFUNCTION("""COMPUTED_VALUE"""),"Cash")</f>
        <v>Cash</v>
      </c>
      <c r="T2756" t="str">
        <f>IFERROR(__xludf.DUMMYFUNCTION("""COMPUTED_VALUE"""),"Chevrolet Impala")</f>
        <v>Chevrolet Impala</v>
      </c>
      <c r="U2756" t="str">
        <f>IFERROR(__xludf.DUMMYFUNCTION("""COMPUTED_VALUE"""),"Electric!")</f>
        <v>Electric!</v>
      </c>
      <c r="V2756" t="str">
        <f>IFERROR(__xludf.DUMMYFUNCTION("""COMPUTED_VALUE"""),"Ventilated seats")</f>
        <v>Ventilated seats</v>
      </c>
      <c r="X2756" t="str">
        <f>IFERROR(__xludf.DUMMYFUNCTION("""COMPUTED_VALUE"""),"Excellent")</f>
        <v>Excellent</v>
      </c>
      <c r="Y2756" t="str">
        <f>IFERROR(__xludf.DUMMYFUNCTION("""COMPUTED_VALUE"""),"Excellent")</f>
        <v>Excellent</v>
      </c>
      <c r="Z2756" t="str">
        <f>IFERROR(__xludf.DUMMYFUNCTION("""COMPUTED_VALUE"""),"Excellent")</f>
        <v>Excellent</v>
      </c>
      <c r="AA2756" t="str">
        <f>IFERROR(__xludf.DUMMYFUNCTION("""COMPUTED_VALUE"""),"Very Good")</f>
        <v>Very Good</v>
      </c>
      <c r="AB2756" t="str">
        <f>IFERROR(__xludf.DUMMYFUNCTION("""COMPUTED_VALUE"""),"Excellent")</f>
        <v>Excellent</v>
      </c>
      <c r="AC2756">
        <f>IFERROR(__xludf.DUMMYFUNCTION("""COMPUTED_VALUE"""),0.0)</f>
        <v>0</v>
      </c>
      <c r="AD2756">
        <f>IFERROR(__xludf.DUMMYFUNCTION("""COMPUTED_VALUE"""),0.0)</f>
        <v>0</v>
      </c>
      <c r="AE2756">
        <f>IFERROR(__xludf.DUMMYFUNCTION("""COMPUTED_VALUE"""),0.0)</f>
        <v>0</v>
      </c>
      <c r="AF2756" t="str">
        <f>IFERROR(__xludf.DUMMYFUNCTION("""COMPUTED_VALUE"""),"No. I took delivery of the first car Tesla was able to deliver.")</f>
        <v>No. I took delivery of the first car Tesla was able to deliver.</v>
      </c>
      <c r="AH2756" s="189">
        <f>IFERROR(__xludf.DUMMYFUNCTION("""COMPUTED_VALUE"""),44256.46153356481)</f>
        <v>44256.46153</v>
      </c>
    </row>
    <row r="2757">
      <c r="A2757" t="str">
        <f>IFERROR(__xludf.DUMMYFUNCTION("""COMPUTED_VALUE"""),"goldenstate01")</f>
        <v>goldenstate01</v>
      </c>
      <c r="B2757" t="str">
        <f>IFERROR(__xludf.DUMMYFUNCTION("""COMPUTED_VALUE"""),"Monterey")</f>
        <v>Monterey</v>
      </c>
      <c r="C2757" t="str">
        <f>IFERROR(__xludf.DUMMYFUNCTION("""COMPUTED_VALUE"""),"CA")</f>
        <v>CA</v>
      </c>
      <c r="D2757" t="str">
        <f>IFERROR(__xludf.DUMMYFUNCTION("""COMPUTED_VALUE"""),"USA")</f>
        <v>USA</v>
      </c>
      <c r="E2757" s="188">
        <f>IFERROR(__xludf.DUMMYFUNCTION("""COMPUTED_VALUE"""),44244.0)</f>
        <v>44244</v>
      </c>
      <c r="F2757" s="188">
        <f>IFERROR(__xludf.DUMMYFUNCTION("""COMPUTED_VALUE"""),44279.0)</f>
        <v>44279</v>
      </c>
      <c r="G2757" t="str">
        <f>IFERROR(__xludf.DUMMYFUNCTION("""COMPUTED_VALUE"""),"Manage order page (normal text)")</f>
        <v>Manage order page (normal text)</v>
      </c>
      <c r="H2757">
        <f>IFERROR(__xludf.DUMMYFUNCTION("""COMPUTED_VALUE"""),937955.0)</f>
        <v>937955</v>
      </c>
      <c r="I2757" t="str">
        <f>IFERROR(__xludf.DUMMYFUNCTION("""COMPUTED_VALUE"""),"03/21")</f>
        <v>03/21</v>
      </c>
      <c r="J2757" s="188">
        <f>IFERROR(__xludf.DUMMYFUNCTION("""COMPUTED_VALUE"""),44283.0)</f>
        <v>44283</v>
      </c>
      <c r="K2757">
        <f>IFERROR(__xludf.DUMMYFUNCTION("""COMPUTED_VALUE"""),35.0)</f>
        <v>35</v>
      </c>
      <c r="L2757">
        <f>IFERROR(__xludf.DUMMYFUNCTION("""COMPUTED_VALUE"""),4.0)</f>
        <v>4</v>
      </c>
      <c r="M2757">
        <f>IFERROR(__xludf.DUMMYFUNCTION("""COMPUTED_VALUE"""),39.0)</f>
        <v>39</v>
      </c>
      <c r="N2757" t="str">
        <f>IFERROR(__xludf.DUMMYFUNCTION("""COMPUTED_VALUE"""),"Model 3 LR AWD")</f>
        <v>Model 3 LR AWD</v>
      </c>
      <c r="O2757" t="str">
        <f>IFERROR(__xludf.DUMMYFUNCTION("""COMPUTED_VALUE"""),"Pearl White Multi-Coat")</f>
        <v>Pearl White Multi-Coat</v>
      </c>
      <c r="P2757" t="str">
        <f>IFERROR(__xludf.DUMMYFUNCTION("""COMPUTED_VALUE"""),"18 inch")</f>
        <v>18 inch</v>
      </c>
      <c r="Q2757" t="str">
        <f>IFERROR(__xludf.DUMMYFUNCTION("""COMPUTED_VALUE"""),"All Black")</f>
        <v>All Black</v>
      </c>
      <c r="R2757" t="str">
        <f>IFERROR(__xludf.DUMMYFUNCTION("""COMPUTED_VALUE"""),"Autopilot included")</f>
        <v>Autopilot included</v>
      </c>
      <c r="S2757" t="str">
        <f>IFERROR(__xludf.DUMMYFUNCTION("""COMPUTED_VALUE"""),"Loan")</f>
        <v>Loan</v>
      </c>
      <c r="T2757" t="str">
        <f>IFERROR(__xludf.DUMMYFUNCTION("""COMPUTED_VALUE"""),"Toyota Tacoma")</f>
        <v>Toyota Tacoma</v>
      </c>
      <c r="U2757" t="str">
        <f>IFERROR(__xludf.DUMMYFUNCTION("""COMPUTED_VALUE"""),"Electric!")</f>
        <v>Electric!</v>
      </c>
      <c r="V2757" t="str">
        <f>IFERROR(__xludf.DUMMYFUNCTION("""COMPUTED_VALUE"""),"Blind spot indicators on side mirrors")</f>
        <v>Blind spot indicators on side mirrors</v>
      </c>
      <c r="X2757" t="str">
        <f>IFERROR(__xludf.DUMMYFUNCTION("""COMPUTED_VALUE"""),"Very Good")</f>
        <v>Very Good</v>
      </c>
      <c r="Y2757" t="str">
        <f>IFERROR(__xludf.DUMMYFUNCTION("""COMPUTED_VALUE"""),"Excellent")</f>
        <v>Excellent</v>
      </c>
      <c r="Z2757" t="str">
        <f>IFERROR(__xludf.DUMMYFUNCTION("""COMPUTED_VALUE"""),"Excellent")</f>
        <v>Excellent</v>
      </c>
      <c r="AA2757" t="str">
        <f>IFERROR(__xludf.DUMMYFUNCTION("""COMPUTED_VALUE"""),"Excellent")</f>
        <v>Excellent</v>
      </c>
      <c r="AB2757" t="str">
        <f>IFERROR(__xludf.DUMMYFUNCTION("""COMPUTED_VALUE"""),"Excellent")</f>
        <v>Excellent</v>
      </c>
      <c r="AC2757">
        <f>IFERROR(__xludf.DUMMYFUNCTION("""COMPUTED_VALUE"""),0.0)</f>
        <v>0</v>
      </c>
      <c r="AD2757">
        <f>IFERROR(__xludf.DUMMYFUNCTION("""COMPUTED_VALUE"""),0.0)</f>
        <v>0</v>
      </c>
      <c r="AE2757">
        <f>IFERROR(__xludf.DUMMYFUNCTION("""COMPUTED_VALUE"""),0.0)</f>
        <v>0</v>
      </c>
      <c r="AF2757" t="str">
        <f>IFERROR(__xludf.DUMMYFUNCTION("""COMPUTED_VALUE"""),"No. I took delivery of the first car Tesla was able to deliver.")</f>
        <v>No. I took delivery of the first car Tesla was able to deliver.</v>
      </c>
      <c r="AH2757" s="189">
        <f>IFERROR(__xludf.DUMMYFUNCTION("""COMPUTED_VALUE"""),44284.385436550925)</f>
        <v>44284.38544</v>
      </c>
    </row>
    <row r="2758">
      <c r="A2758" t="str">
        <f>IFERROR(__xludf.DUMMYFUNCTION("""COMPUTED_VALUE"""),"fostertheteammates")</f>
        <v>fostertheteammates</v>
      </c>
      <c r="B2758" t="str">
        <f>IFERROR(__xludf.DUMMYFUNCTION("""COMPUTED_VALUE"""),"Bloomington")</f>
        <v>Bloomington</v>
      </c>
      <c r="C2758" t="str">
        <f>IFERROR(__xludf.DUMMYFUNCTION("""COMPUTED_VALUE"""),"IL")</f>
        <v>IL</v>
      </c>
      <c r="D2758" t="str">
        <f>IFERROR(__xludf.DUMMYFUNCTION("""COMPUTED_VALUE"""),"USA")</f>
        <v>USA</v>
      </c>
      <c r="E2758" s="188">
        <f>IFERROR(__xludf.DUMMYFUNCTION("""COMPUTED_VALUE"""),44252.0)</f>
        <v>44252</v>
      </c>
      <c r="F2758" s="188">
        <f>IFERROR(__xludf.DUMMYFUNCTION("""COMPUTED_VALUE"""),44267.0)</f>
        <v>44267</v>
      </c>
      <c r="G2758" t="str">
        <f>IFERROR(__xludf.DUMMYFUNCTION("""COMPUTED_VALUE"""),"Manage order page (normal text)")</f>
        <v>Manage order page (normal text)</v>
      </c>
      <c r="H2758">
        <f>IFERROR(__xludf.DUMMYFUNCTION("""COMPUTED_VALUE"""),924440.0)</f>
        <v>924440</v>
      </c>
      <c r="J2758" s="188">
        <f>IFERROR(__xludf.DUMMYFUNCTION("""COMPUTED_VALUE"""),44278.0)</f>
        <v>44278</v>
      </c>
      <c r="K2758">
        <f>IFERROR(__xludf.DUMMYFUNCTION("""COMPUTED_VALUE"""),15.0)</f>
        <v>15</v>
      </c>
      <c r="L2758">
        <f>IFERROR(__xludf.DUMMYFUNCTION("""COMPUTED_VALUE"""),11.0)</f>
        <v>11</v>
      </c>
      <c r="M2758">
        <f>IFERROR(__xludf.DUMMYFUNCTION("""COMPUTED_VALUE"""),26.0)</f>
        <v>26</v>
      </c>
      <c r="N2758" t="str">
        <f>IFERROR(__xludf.DUMMYFUNCTION("""COMPUTED_VALUE"""),"Model 3 LR AWD")</f>
        <v>Model 3 LR AWD</v>
      </c>
      <c r="O2758" t="str">
        <f>IFERROR(__xludf.DUMMYFUNCTION("""COMPUTED_VALUE"""),"Midnight Silver Metallic")</f>
        <v>Midnight Silver Metallic</v>
      </c>
      <c r="P2758" t="str">
        <f>IFERROR(__xludf.DUMMYFUNCTION("""COMPUTED_VALUE"""),"18 inch")</f>
        <v>18 inch</v>
      </c>
      <c r="Q2758" t="str">
        <f>IFERROR(__xludf.DUMMYFUNCTION("""COMPUTED_VALUE"""),"All Black")</f>
        <v>All Black</v>
      </c>
      <c r="R2758" t="str">
        <f>IFERROR(__xludf.DUMMYFUNCTION("""COMPUTED_VALUE"""),"Full Self-Driving")</f>
        <v>Full Self-Driving</v>
      </c>
      <c r="S2758" t="str">
        <f>IFERROR(__xludf.DUMMYFUNCTION("""COMPUTED_VALUE"""),"Lease")</f>
        <v>Lease</v>
      </c>
      <c r="T2758" t="str">
        <f>IFERROR(__xludf.DUMMYFUNCTION("""COMPUTED_VALUE"""),"Honda Civic")</f>
        <v>Honda Civic</v>
      </c>
      <c r="U2758" t="str">
        <f>IFERROR(__xludf.DUMMYFUNCTION("""COMPUTED_VALUE"""),"Electric!")</f>
        <v>Electric!</v>
      </c>
      <c r="V2758" t="str">
        <f>IFERROR(__xludf.DUMMYFUNCTION("""COMPUTED_VALUE"""),"Apple CarPlay / Android Auto / SiriusXM Radio")</f>
        <v>Apple CarPlay / Android Auto / SiriusXM Radio</v>
      </c>
      <c r="X2758" t="str">
        <f>IFERROR(__xludf.DUMMYFUNCTION("""COMPUTED_VALUE"""),"Very Good")</f>
        <v>Very Good</v>
      </c>
      <c r="Y2758" t="str">
        <f>IFERROR(__xludf.DUMMYFUNCTION("""COMPUTED_VALUE"""),"Excellent")</f>
        <v>Excellent</v>
      </c>
      <c r="Z2758" t="str">
        <f>IFERROR(__xludf.DUMMYFUNCTION("""COMPUTED_VALUE"""),"Excellent")</f>
        <v>Excellent</v>
      </c>
      <c r="AA2758" t="str">
        <f>IFERROR(__xludf.DUMMYFUNCTION("""COMPUTED_VALUE"""),"Poor")</f>
        <v>Poor</v>
      </c>
      <c r="AB2758" t="str">
        <f>IFERROR(__xludf.DUMMYFUNCTION("""COMPUTED_VALUE"""),"Excellent")</f>
        <v>Excellent</v>
      </c>
      <c r="AC2758">
        <f>IFERROR(__xludf.DUMMYFUNCTION("""COMPUTED_VALUE"""),1.0)</f>
        <v>1</v>
      </c>
      <c r="AD2758">
        <f>IFERROR(__xludf.DUMMYFUNCTION("""COMPUTED_VALUE"""),0.0)</f>
        <v>0</v>
      </c>
      <c r="AE2758">
        <f>IFERROR(__xludf.DUMMYFUNCTION("""COMPUTED_VALUE"""),0.0)</f>
        <v>0</v>
      </c>
      <c r="AF2758" t="str">
        <f>IFERROR(__xludf.DUMMYFUNCTION("""COMPUTED_VALUE"""),"No. I took delivery of the first car Tesla was able to deliver.")</f>
        <v>No. I took delivery of the first car Tesla was able to deliver.</v>
      </c>
      <c r="AG2758" t="str">
        <f>IFERROR(__xludf.DUMMYFUNCTION("""COMPUTED_VALUE"""),"car arrived 6 days early!")</f>
        <v>car arrived 6 days early!</v>
      </c>
      <c r="AH2758" s="189">
        <f>IFERROR(__xludf.DUMMYFUNCTION("""COMPUTED_VALUE"""),44278.74524880787)</f>
        <v>44278.74525</v>
      </c>
    </row>
    <row r="2759">
      <c r="A2759" t="str">
        <f>IFERROR(__xludf.DUMMYFUNCTION("""COMPUTED_VALUE"""),"shaiyazv")</f>
        <v>shaiyazv</v>
      </c>
      <c r="B2759" t="str">
        <f>IFERROR(__xludf.DUMMYFUNCTION("""COMPUTED_VALUE"""),"Collierville")</f>
        <v>Collierville</v>
      </c>
      <c r="C2759" t="str">
        <f>IFERROR(__xludf.DUMMYFUNCTION("""COMPUTED_VALUE"""),"TN")</f>
        <v>TN</v>
      </c>
      <c r="D2759" t="str">
        <f>IFERROR(__xludf.DUMMYFUNCTION("""COMPUTED_VALUE"""),"USA")</f>
        <v>USA</v>
      </c>
      <c r="E2759" s="188">
        <f>IFERROR(__xludf.DUMMYFUNCTION("""COMPUTED_VALUE"""),44256.0)</f>
        <v>44256</v>
      </c>
      <c r="F2759" s="188">
        <f>IFERROR(__xludf.DUMMYFUNCTION("""COMPUTED_VALUE"""),44266.0)</f>
        <v>44266</v>
      </c>
      <c r="G2759" t="str">
        <f>IFERROR(__xludf.DUMMYFUNCTION("""COMPUTED_VALUE"""),"Email")</f>
        <v>Email</v>
      </c>
      <c r="H2759">
        <f>IFERROR(__xludf.DUMMYFUNCTION("""COMPUTED_VALUE"""),901999.0)</f>
        <v>901999</v>
      </c>
      <c r="J2759" s="188">
        <f>IFERROR(__xludf.DUMMYFUNCTION("""COMPUTED_VALUE"""),44275.0)</f>
        <v>44275</v>
      </c>
      <c r="K2759">
        <f>IFERROR(__xludf.DUMMYFUNCTION("""COMPUTED_VALUE"""),10.0)</f>
        <v>10</v>
      </c>
      <c r="L2759">
        <f>IFERROR(__xludf.DUMMYFUNCTION("""COMPUTED_VALUE"""),9.0)</f>
        <v>9</v>
      </c>
      <c r="M2759">
        <f>IFERROR(__xludf.DUMMYFUNCTION("""COMPUTED_VALUE"""),19.0)</f>
        <v>19</v>
      </c>
      <c r="N2759" t="str">
        <f>IFERROR(__xludf.DUMMYFUNCTION("""COMPUTED_VALUE"""),"Model 3 LR AWD")</f>
        <v>Model 3 LR AWD</v>
      </c>
      <c r="O2759" t="str">
        <f>IFERROR(__xludf.DUMMYFUNCTION("""COMPUTED_VALUE"""),"Pearl White Multi-Coat")</f>
        <v>Pearl White Multi-Coat</v>
      </c>
      <c r="P2759" t="str">
        <f>IFERROR(__xludf.DUMMYFUNCTION("""COMPUTED_VALUE"""),"18 inch")</f>
        <v>18 inch</v>
      </c>
      <c r="Q2759" t="str">
        <f>IFERROR(__xludf.DUMMYFUNCTION("""COMPUTED_VALUE"""),"All Black")</f>
        <v>All Black</v>
      </c>
      <c r="R2759" t="str">
        <f>IFERROR(__xludf.DUMMYFUNCTION("""COMPUTED_VALUE"""),"Full Self-Driving")</f>
        <v>Full Self-Driving</v>
      </c>
      <c r="S2759" t="str">
        <f>IFERROR(__xludf.DUMMYFUNCTION("""COMPUTED_VALUE"""),"Loan")</f>
        <v>Loan</v>
      </c>
      <c r="T2759" t="str">
        <f>IFERROR(__xludf.DUMMYFUNCTION("""COMPUTED_VALUE"""),"Model 3 will be my first car!")</f>
        <v>Model 3 will be my first car!</v>
      </c>
      <c r="U2759" t="str">
        <f>IFERROR(__xludf.DUMMYFUNCTION("""COMPUTED_VALUE"""),"Cool Technology")</f>
        <v>Cool Technology</v>
      </c>
      <c r="V2759" t="str">
        <f>IFERROR(__xludf.DUMMYFUNCTION("""COMPUTED_VALUE"""),"360° Bird's eye view")</f>
        <v>360° Bird's eye view</v>
      </c>
      <c r="W2759" t="str">
        <f>IFERROR(__xludf.DUMMYFUNCTION("""COMPUTED_VALUE"""),"be ready! youll love it")</f>
        <v>be ready! youll love it</v>
      </c>
      <c r="X2759" t="str">
        <f>IFERROR(__xludf.DUMMYFUNCTION("""COMPUTED_VALUE"""),"Excellent")</f>
        <v>Excellent</v>
      </c>
      <c r="Y2759" t="str">
        <f>IFERROR(__xludf.DUMMYFUNCTION("""COMPUTED_VALUE"""),"Very Good")</f>
        <v>Very Good</v>
      </c>
      <c r="Z2759" t="str">
        <f>IFERROR(__xludf.DUMMYFUNCTION("""COMPUTED_VALUE"""),"Excellent")</f>
        <v>Excellent</v>
      </c>
      <c r="AA2759" t="str">
        <f>IFERROR(__xludf.DUMMYFUNCTION("""COMPUTED_VALUE"""),"Fair")</f>
        <v>Fair</v>
      </c>
      <c r="AB2759" t="str">
        <f>IFERROR(__xludf.DUMMYFUNCTION("""COMPUTED_VALUE"""),"Very Good")</f>
        <v>Very Good</v>
      </c>
      <c r="AF2759" t="str">
        <f>IFERROR(__xludf.DUMMYFUNCTION("""COMPUTED_VALUE"""),"No. I took delivery of the first car Tesla was able to deliver.")</f>
        <v>No. I took delivery of the first car Tesla was able to deliver.</v>
      </c>
      <c r="AH2759" s="189">
        <f>IFERROR(__xludf.DUMMYFUNCTION("""COMPUTED_VALUE"""),44278.854342384264)</f>
        <v>44278.85434</v>
      </c>
    </row>
    <row r="2760">
      <c r="A2760" t="str">
        <f>IFERROR(__xludf.DUMMYFUNCTION("""COMPUTED_VALUE"""),"DrThomas430")</f>
        <v>DrThomas430</v>
      </c>
      <c r="B2760" t="str">
        <f>IFERROR(__xludf.DUMMYFUNCTION("""COMPUTED_VALUE"""),"Evans")</f>
        <v>Evans</v>
      </c>
      <c r="C2760" t="str">
        <f>IFERROR(__xludf.DUMMYFUNCTION("""COMPUTED_VALUE"""),"GA")</f>
        <v>GA</v>
      </c>
      <c r="D2760" t="str">
        <f>IFERROR(__xludf.DUMMYFUNCTION("""COMPUTED_VALUE"""),"USA")</f>
        <v>USA</v>
      </c>
      <c r="E2760" s="188">
        <f>IFERROR(__xludf.DUMMYFUNCTION("""COMPUTED_VALUE"""),44241.0)</f>
        <v>44241</v>
      </c>
      <c r="F2760" s="188">
        <f>IFERROR(__xludf.DUMMYFUNCTION("""COMPUTED_VALUE"""),44267.0)</f>
        <v>44267</v>
      </c>
      <c r="G2760" t="str">
        <f>IFERROR(__xludf.DUMMYFUNCTION("""COMPUTED_VALUE"""),"Email")</f>
        <v>Email</v>
      </c>
      <c r="H2760">
        <f>IFERROR(__xludf.DUMMYFUNCTION("""COMPUTED_VALUE"""),913655.0)</f>
        <v>913655</v>
      </c>
      <c r="J2760" s="188">
        <f>IFERROR(__xludf.DUMMYFUNCTION("""COMPUTED_VALUE"""),44270.0)</f>
        <v>44270</v>
      </c>
      <c r="K2760">
        <f>IFERROR(__xludf.DUMMYFUNCTION("""COMPUTED_VALUE"""),26.0)</f>
        <v>26</v>
      </c>
      <c r="L2760">
        <f>IFERROR(__xludf.DUMMYFUNCTION("""COMPUTED_VALUE"""),3.0)</f>
        <v>3</v>
      </c>
      <c r="M2760">
        <f>IFERROR(__xludf.DUMMYFUNCTION("""COMPUTED_VALUE"""),29.0)</f>
        <v>29</v>
      </c>
      <c r="N2760" t="str">
        <f>IFERROR(__xludf.DUMMYFUNCTION("""COMPUTED_VALUE"""),"Model 3 Performance")</f>
        <v>Model 3 Performance</v>
      </c>
      <c r="O2760" t="str">
        <f>IFERROR(__xludf.DUMMYFUNCTION("""COMPUTED_VALUE"""),"Pearl White Multi-Coat")</f>
        <v>Pearl White Multi-Coat</v>
      </c>
      <c r="P2760" t="str">
        <f>IFERROR(__xludf.DUMMYFUNCTION("""COMPUTED_VALUE"""),"20 inch")</f>
        <v>20 inch</v>
      </c>
      <c r="Q2760" t="str">
        <f>IFERROR(__xludf.DUMMYFUNCTION("""COMPUTED_VALUE"""),"All Black")</f>
        <v>All Black</v>
      </c>
      <c r="R2760" t="str">
        <f>IFERROR(__xludf.DUMMYFUNCTION("""COMPUTED_VALUE"""),"Autopilot included")</f>
        <v>Autopilot included</v>
      </c>
      <c r="S2760" t="str">
        <f>IFERROR(__xludf.DUMMYFUNCTION("""COMPUTED_VALUE"""),"Loan")</f>
        <v>Loan</v>
      </c>
      <c r="T2760" t="str">
        <f>IFERROR(__xludf.DUMMYFUNCTION("""COMPUTED_VALUE"""),"BMW 3 Series")</f>
        <v>BMW 3 Series</v>
      </c>
      <c r="U2760" t="str">
        <f>IFERROR(__xludf.DUMMYFUNCTION("""COMPUTED_VALUE"""),"Electric!")</f>
        <v>Electric!</v>
      </c>
      <c r="V2760" t="str">
        <f>IFERROR(__xludf.DUMMYFUNCTION("""COMPUTED_VALUE"""),"Head-up display")</f>
        <v>Head-up display</v>
      </c>
      <c r="X2760" t="str">
        <f>IFERROR(__xludf.DUMMYFUNCTION("""COMPUTED_VALUE"""),"Excellent")</f>
        <v>Excellent</v>
      </c>
      <c r="Y2760" t="str">
        <f>IFERROR(__xludf.DUMMYFUNCTION("""COMPUTED_VALUE"""),"Excellent")</f>
        <v>Excellent</v>
      </c>
      <c r="Z2760" t="str">
        <f>IFERROR(__xludf.DUMMYFUNCTION("""COMPUTED_VALUE"""),"Very Good")</f>
        <v>Very Good</v>
      </c>
      <c r="AA2760" t="str">
        <f>IFERROR(__xludf.DUMMYFUNCTION("""COMPUTED_VALUE"""),"Excellent")</f>
        <v>Excellent</v>
      </c>
      <c r="AB2760" t="str">
        <f>IFERROR(__xludf.DUMMYFUNCTION("""COMPUTED_VALUE"""),"Excellent")</f>
        <v>Excellent</v>
      </c>
      <c r="AC2760">
        <f>IFERROR(__xludf.DUMMYFUNCTION("""COMPUTED_VALUE"""),2.0)</f>
        <v>2</v>
      </c>
      <c r="AD2760">
        <f>IFERROR(__xludf.DUMMYFUNCTION("""COMPUTED_VALUE"""),2.0)</f>
        <v>2</v>
      </c>
      <c r="AE2760">
        <f>IFERROR(__xludf.DUMMYFUNCTION("""COMPUTED_VALUE"""),0.0)</f>
        <v>0</v>
      </c>
      <c r="AF2760" t="str">
        <f>IFERROR(__xludf.DUMMYFUNCTION("""COMPUTED_VALUE"""),"No. I took delivery of the first car Tesla was able to deliver.")</f>
        <v>No. I took delivery of the first car Tesla was able to deliver.</v>
      </c>
      <c r="AG2760" t="str">
        <f>IFERROR(__xludf.DUMMYFUNCTION("""COMPUTED_VALUE"""),"First service center experience sucked. Zero communication before and during. Was told it would be a mobile tech appointment, then the day before received message expecting me to drive 2.5 hours to service center. Same lack of communication at center. Car"&amp;" will be ready in 2 hours at most, 2.5 hours later I asked and was told techs went to lunch and it would be 3 more hours till done. Had to arrange child and dog care because I wouldn't make it back in time. ")</f>
        <v>First service center experience sucked. Zero communication before and during. Was told it would be a mobile tech appointment, then the day before received message expecting me to drive 2.5 hours to service center. Same lack of communication at center. Car will be ready in 2 hours at most, 2.5 hours later I asked and was told techs went to lunch and it would be 3 more hours till done. Had to arrange child and dog care because I wouldn't make it back in time. </v>
      </c>
      <c r="AH2760" s="189">
        <f>IFERROR(__xludf.DUMMYFUNCTION("""COMPUTED_VALUE"""),44293.160123912035)</f>
        <v>44293.16012</v>
      </c>
    </row>
    <row r="2761">
      <c r="A2761" t="str">
        <f>IFERROR(__xludf.DUMMYFUNCTION("""COMPUTED_VALUE"""),"SqdLdr")</f>
        <v>SqdLdr</v>
      </c>
      <c r="B2761" t="str">
        <f>IFERROR(__xludf.DUMMYFUNCTION("""COMPUTED_VALUE"""),"Eugene")</f>
        <v>Eugene</v>
      </c>
      <c r="C2761" t="str">
        <f>IFERROR(__xludf.DUMMYFUNCTION("""COMPUTED_VALUE"""),"OR")</f>
        <v>OR</v>
      </c>
      <c r="D2761" t="str">
        <f>IFERROR(__xludf.DUMMYFUNCTION("""COMPUTED_VALUE"""),"USA")</f>
        <v>USA</v>
      </c>
      <c r="E2761" s="188">
        <f>IFERROR(__xludf.DUMMYFUNCTION("""COMPUTED_VALUE"""),44235.0)</f>
        <v>44235</v>
      </c>
      <c r="F2761" s="188">
        <f>IFERROR(__xludf.DUMMYFUNCTION("""COMPUTED_VALUE"""),44261.0)</f>
        <v>44261</v>
      </c>
      <c r="G2761" t="str">
        <f>IFERROR(__xludf.DUMMYFUNCTION("""COMPUTED_VALUE"""),"Manage order page (normal text)")</f>
        <v>Manage order page (normal text)</v>
      </c>
      <c r="J2761" s="188">
        <f>IFERROR(__xludf.DUMMYFUNCTION("""COMPUTED_VALUE"""),44265.0)</f>
        <v>44265</v>
      </c>
      <c r="K2761">
        <f>IFERROR(__xludf.DUMMYFUNCTION("""COMPUTED_VALUE"""),26.0)</f>
        <v>26</v>
      </c>
      <c r="L2761">
        <f>IFERROR(__xludf.DUMMYFUNCTION("""COMPUTED_VALUE"""),4.0)</f>
        <v>4</v>
      </c>
      <c r="M2761">
        <f>IFERROR(__xludf.DUMMYFUNCTION("""COMPUTED_VALUE"""),30.0)</f>
        <v>30</v>
      </c>
      <c r="N2761" t="str">
        <f>IFERROR(__xludf.DUMMYFUNCTION("""COMPUTED_VALUE"""),"Model 3 SR+")</f>
        <v>Model 3 SR+</v>
      </c>
      <c r="O2761" t="str">
        <f>IFERROR(__xludf.DUMMYFUNCTION("""COMPUTED_VALUE"""),"Deep Blue Metallic")</f>
        <v>Deep Blue Metallic</v>
      </c>
      <c r="P2761" t="str">
        <f>IFERROR(__xludf.DUMMYFUNCTION("""COMPUTED_VALUE"""),"18 inch")</f>
        <v>18 inch</v>
      </c>
      <c r="Q2761" t="str">
        <f>IFERROR(__xludf.DUMMYFUNCTION("""COMPUTED_VALUE"""),"All Black")</f>
        <v>All Black</v>
      </c>
      <c r="R2761" t="str">
        <f>IFERROR(__xludf.DUMMYFUNCTION("""COMPUTED_VALUE"""),"Full Self-Driving")</f>
        <v>Full Self-Driving</v>
      </c>
      <c r="S2761" t="str">
        <f>IFERROR(__xludf.DUMMYFUNCTION("""COMPUTED_VALUE"""),"Lease")</f>
        <v>Lease</v>
      </c>
      <c r="T2761" t="str">
        <f>IFERROR(__xludf.DUMMYFUNCTION("""COMPUTED_VALUE"""),"Jeep")</f>
        <v>Jeep</v>
      </c>
      <c r="U2761" t="str">
        <f>IFERROR(__xludf.DUMMYFUNCTION("""COMPUTED_VALUE"""),"Electric!")</f>
        <v>Electric!</v>
      </c>
      <c r="V2761" t="str">
        <f>IFERROR(__xludf.DUMMYFUNCTION("""COMPUTED_VALUE"""),"Apple CarPlay / Android Auto / SiriusXM Radio")</f>
        <v>Apple CarPlay / Android Auto / SiriusXM Radio</v>
      </c>
      <c r="X2761" t="str">
        <f>IFERROR(__xludf.DUMMYFUNCTION("""COMPUTED_VALUE"""),"Excellent")</f>
        <v>Excellent</v>
      </c>
      <c r="Y2761" t="str">
        <f>IFERROR(__xludf.DUMMYFUNCTION("""COMPUTED_VALUE"""),"Excellent")</f>
        <v>Excellent</v>
      </c>
      <c r="Z2761" t="str">
        <f>IFERROR(__xludf.DUMMYFUNCTION("""COMPUTED_VALUE"""),"Excellent")</f>
        <v>Excellent</v>
      </c>
      <c r="AA2761" t="str">
        <f>IFERROR(__xludf.DUMMYFUNCTION("""COMPUTED_VALUE"""),"Excellent")</f>
        <v>Excellent</v>
      </c>
      <c r="AB2761" t="str">
        <f>IFERROR(__xludf.DUMMYFUNCTION("""COMPUTED_VALUE"""),"Excellent")</f>
        <v>Excellent</v>
      </c>
      <c r="AF2761" t="str">
        <f>IFERROR(__xludf.DUMMYFUNCTION("""COMPUTED_VALUE"""),"No. I took delivery of the first car Tesla was able to deliver.")</f>
        <v>No. I took delivery of the first car Tesla was able to deliver.</v>
      </c>
      <c r="AH2761" s="189">
        <f>IFERROR(__xludf.DUMMYFUNCTION("""COMPUTED_VALUE"""),44270.681403009265)</f>
        <v>44270.6814</v>
      </c>
    </row>
    <row r="2762">
      <c r="A2762" t="str">
        <f>IFERROR(__xludf.DUMMYFUNCTION("""COMPUTED_VALUE"""),"M3PGUY15 ")</f>
        <v>M3PGUY15 </v>
      </c>
      <c r="B2762" t="str">
        <f>IFERROR(__xludf.DUMMYFUNCTION("""COMPUTED_VALUE"""),"Santa Clarita")</f>
        <v>Santa Clarita</v>
      </c>
      <c r="C2762" t="str">
        <f>IFERROR(__xludf.DUMMYFUNCTION("""COMPUTED_VALUE"""),"CA")</f>
        <v>CA</v>
      </c>
      <c r="D2762" t="str">
        <f>IFERROR(__xludf.DUMMYFUNCTION("""COMPUTED_VALUE"""),"USA")</f>
        <v>USA</v>
      </c>
      <c r="E2762" s="188">
        <f>IFERROR(__xludf.DUMMYFUNCTION("""COMPUTED_VALUE"""),44216.0)</f>
        <v>44216</v>
      </c>
      <c r="F2762" s="188">
        <f>IFERROR(__xludf.DUMMYFUNCTION("""COMPUTED_VALUE"""),44281.0)</f>
        <v>44281</v>
      </c>
      <c r="G2762" t="str">
        <f>IFERROR(__xludf.DUMMYFUNCTION("""COMPUTED_VALUE"""),"Manage order page (normal text)")</f>
        <v>Manage order page (normal text)</v>
      </c>
      <c r="H2762">
        <f>IFERROR(__xludf.DUMMYFUNCTION("""COMPUTED_VALUE"""),935779.0)</f>
        <v>935779</v>
      </c>
      <c r="I2762" t="str">
        <f>IFERROR(__xludf.DUMMYFUNCTION("""COMPUTED_VALUE"""),"03/21")</f>
        <v>03/21</v>
      </c>
      <c r="J2762" s="188">
        <f>IFERROR(__xludf.DUMMYFUNCTION("""COMPUTED_VALUE"""),44282.0)</f>
        <v>44282</v>
      </c>
      <c r="K2762">
        <f>IFERROR(__xludf.DUMMYFUNCTION("""COMPUTED_VALUE"""),65.0)</f>
        <v>65</v>
      </c>
      <c r="L2762">
        <f>IFERROR(__xludf.DUMMYFUNCTION("""COMPUTED_VALUE"""),1.0)</f>
        <v>1</v>
      </c>
      <c r="M2762">
        <f>IFERROR(__xludf.DUMMYFUNCTION("""COMPUTED_VALUE"""),66.0)</f>
        <v>66</v>
      </c>
      <c r="N2762" t="str">
        <f>IFERROR(__xludf.DUMMYFUNCTION("""COMPUTED_VALUE"""),"Model 3 Performance")</f>
        <v>Model 3 Performance</v>
      </c>
      <c r="O2762" t="str">
        <f>IFERROR(__xludf.DUMMYFUNCTION("""COMPUTED_VALUE"""),"Midnight Silver Metallic")</f>
        <v>Midnight Silver Metallic</v>
      </c>
      <c r="P2762" t="str">
        <f>IFERROR(__xludf.DUMMYFUNCTION("""COMPUTED_VALUE"""),"20 inch")</f>
        <v>20 inch</v>
      </c>
      <c r="Q2762" t="str">
        <f>IFERROR(__xludf.DUMMYFUNCTION("""COMPUTED_VALUE"""),"All Black")</f>
        <v>All Black</v>
      </c>
      <c r="R2762" t="str">
        <f>IFERROR(__xludf.DUMMYFUNCTION("""COMPUTED_VALUE"""),"Autopilot included")</f>
        <v>Autopilot included</v>
      </c>
      <c r="S2762" t="str">
        <f>IFERROR(__xludf.DUMMYFUNCTION("""COMPUTED_VALUE"""),"Loan")</f>
        <v>Loan</v>
      </c>
      <c r="T2762" t="str">
        <f>IFERROR(__xludf.DUMMYFUNCTION("""COMPUTED_VALUE"""),"Honda Civic")</f>
        <v>Honda Civic</v>
      </c>
      <c r="U2762" t="str">
        <f>IFERROR(__xludf.DUMMYFUNCTION("""COMPUTED_VALUE"""),"Electric!")</f>
        <v>Electric!</v>
      </c>
      <c r="V2762" t="str">
        <f>IFERROR(__xludf.DUMMYFUNCTION("""COMPUTED_VALUE"""),"Dashboard")</f>
        <v>Dashboard</v>
      </c>
      <c r="X2762" t="str">
        <f>IFERROR(__xludf.DUMMYFUNCTION("""COMPUTED_VALUE"""),"Excellent")</f>
        <v>Excellent</v>
      </c>
      <c r="Y2762" t="str">
        <f>IFERROR(__xludf.DUMMYFUNCTION("""COMPUTED_VALUE"""),"Excellent")</f>
        <v>Excellent</v>
      </c>
      <c r="Z2762" t="str">
        <f>IFERROR(__xludf.DUMMYFUNCTION("""COMPUTED_VALUE"""),"Very Good")</f>
        <v>Very Good</v>
      </c>
      <c r="AA2762" t="str">
        <f>IFERROR(__xludf.DUMMYFUNCTION("""COMPUTED_VALUE"""),"Good")</f>
        <v>Good</v>
      </c>
      <c r="AB2762" t="str">
        <f>IFERROR(__xludf.DUMMYFUNCTION("""COMPUTED_VALUE"""),"Excellent")</f>
        <v>Excellent</v>
      </c>
      <c r="AC2762">
        <f>IFERROR(__xludf.DUMMYFUNCTION("""COMPUTED_VALUE"""),4.0)</f>
        <v>4</v>
      </c>
      <c r="AH2762" s="189">
        <f>IFERROR(__xludf.DUMMYFUNCTION("""COMPUTED_VALUE"""),44283.88488875)</f>
        <v>44283.88489</v>
      </c>
    </row>
    <row r="2763">
      <c r="A2763" t="str">
        <f>IFERROR(__xludf.DUMMYFUNCTION("""COMPUTED_VALUE"""),"enderokc")</f>
        <v>enderokc</v>
      </c>
      <c r="B2763" t="str">
        <f>IFERROR(__xludf.DUMMYFUNCTION("""COMPUTED_VALUE"""),"Norman")</f>
        <v>Norman</v>
      </c>
      <c r="C2763" t="str">
        <f>IFERROR(__xludf.DUMMYFUNCTION("""COMPUTED_VALUE"""),"OK")</f>
        <v>OK</v>
      </c>
      <c r="D2763" t="str">
        <f>IFERROR(__xludf.DUMMYFUNCTION("""COMPUTED_VALUE"""),"USA")</f>
        <v>USA</v>
      </c>
      <c r="E2763" s="188">
        <f>IFERROR(__xludf.DUMMYFUNCTION("""COMPUTED_VALUE"""),44218.0)</f>
        <v>44218</v>
      </c>
      <c r="F2763" s="188">
        <f>IFERROR(__xludf.DUMMYFUNCTION("""COMPUTED_VALUE"""),44263.0)</f>
        <v>44263</v>
      </c>
      <c r="G2763" t="str">
        <f>IFERROR(__xludf.DUMMYFUNCTION("""COMPUTED_VALUE"""),"Manage order page (normal text)")</f>
        <v>Manage order page (normal text)</v>
      </c>
      <c r="H2763">
        <f>IFERROR(__xludf.DUMMYFUNCTION("""COMPUTED_VALUE"""),915455.0)</f>
        <v>915455</v>
      </c>
      <c r="I2763" t="str">
        <f>IFERROR(__xludf.DUMMYFUNCTION("""COMPUTED_VALUE"""),"03/21")</f>
        <v>03/21</v>
      </c>
      <c r="J2763" s="188">
        <f>IFERROR(__xludf.DUMMYFUNCTION("""COMPUTED_VALUE"""),44275.0)</f>
        <v>44275</v>
      </c>
      <c r="K2763">
        <f>IFERROR(__xludf.DUMMYFUNCTION("""COMPUTED_VALUE"""),45.0)</f>
        <v>45</v>
      </c>
      <c r="L2763">
        <f>IFERROR(__xludf.DUMMYFUNCTION("""COMPUTED_VALUE"""),12.0)</f>
        <v>12</v>
      </c>
      <c r="M2763">
        <f>IFERROR(__xludf.DUMMYFUNCTION("""COMPUTED_VALUE"""),57.0)</f>
        <v>57</v>
      </c>
      <c r="N2763" t="str">
        <f>IFERROR(__xludf.DUMMYFUNCTION("""COMPUTED_VALUE"""),"Model 3 LR AWD")</f>
        <v>Model 3 LR AWD</v>
      </c>
      <c r="O2763" t="str">
        <f>IFERROR(__xludf.DUMMYFUNCTION("""COMPUTED_VALUE"""),"Pearl White Multi-Coat")</f>
        <v>Pearl White Multi-Coat</v>
      </c>
      <c r="P2763" t="str">
        <f>IFERROR(__xludf.DUMMYFUNCTION("""COMPUTED_VALUE"""),"18 inch")</f>
        <v>18 inch</v>
      </c>
      <c r="Q2763" t="str">
        <f>IFERROR(__xludf.DUMMYFUNCTION("""COMPUTED_VALUE"""),"All Black")</f>
        <v>All Black</v>
      </c>
      <c r="R2763" t="str">
        <f>IFERROR(__xludf.DUMMYFUNCTION("""COMPUTED_VALUE"""),"Autopilot included")</f>
        <v>Autopilot included</v>
      </c>
      <c r="S2763" t="str">
        <f>IFERROR(__xludf.DUMMYFUNCTION("""COMPUTED_VALUE"""),"Loan")</f>
        <v>Loan</v>
      </c>
      <c r="T2763" t="str">
        <f>IFERROR(__xludf.DUMMYFUNCTION("""COMPUTED_VALUE"""),"Jeep Grand Cherokee")</f>
        <v>Jeep Grand Cherokee</v>
      </c>
      <c r="U2763" t="str">
        <f>IFERROR(__xludf.DUMMYFUNCTION("""COMPUTED_VALUE"""),"Electric!")</f>
        <v>Electric!</v>
      </c>
      <c r="V2763" t="str">
        <f>IFERROR(__xludf.DUMMYFUNCTION("""COMPUTED_VALUE"""),"Ventilated seats")</f>
        <v>Ventilated seats</v>
      </c>
      <c r="W2763" t="str">
        <f>IFERROR(__xludf.DUMMYFUNCTION("""COMPUTED_VALUE"""),"Be patient, it will come")</f>
        <v>Be patient, it will come</v>
      </c>
      <c r="X2763" t="str">
        <f>IFERROR(__xludf.DUMMYFUNCTION("""COMPUTED_VALUE"""),"Very Good")</f>
        <v>Very Good</v>
      </c>
      <c r="Y2763" t="str">
        <f>IFERROR(__xludf.DUMMYFUNCTION("""COMPUTED_VALUE"""),"Excellent")</f>
        <v>Excellent</v>
      </c>
      <c r="Z2763" t="str">
        <f>IFERROR(__xludf.DUMMYFUNCTION("""COMPUTED_VALUE"""),"Very Good")</f>
        <v>Very Good</v>
      </c>
      <c r="AA2763" t="str">
        <f>IFERROR(__xludf.DUMMYFUNCTION("""COMPUTED_VALUE"""),"Good")</f>
        <v>Good</v>
      </c>
      <c r="AB2763" t="str">
        <f>IFERROR(__xludf.DUMMYFUNCTION("""COMPUTED_VALUE"""),"Excellent")</f>
        <v>Excellent</v>
      </c>
      <c r="AF2763" t="str">
        <f>IFERROR(__xludf.DUMMYFUNCTION("""COMPUTED_VALUE"""),"No. I took delivery of the first car Tesla was able to deliver.")</f>
        <v>No. I took delivery of the first car Tesla was able to deliver.</v>
      </c>
      <c r="AH2763" s="189">
        <f>IFERROR(__xludf.DUMMYFUNCTION("""COMPUTED_VALUE"""),44278.244057337964)</f>
        <v>44278.24406</v>
      </c>
    </row>
    <row r="2764">
      <c r="A2764" t="str">
        <f>IFERROR(__xludf.DUMMYFUNCTION("""COMPUTED_VALUE"""),"phoenixheat")</f>
        <v>phoenixheat</v>
      </c>
      <c r="B2764" t="str">
        <f>IFERROR(__xludf.DUMMYFUNCTION("""COMPUTED_VALUE"""),"Phoenix")</f>
        <v>Phoenix</v>
      </c>
      <c r="C2764" t="str">
        <f>IFERROR(__xludf.DUMMYFUNCTION("""COMPUTED_VALUE"""),"AZ")</f>
        <v>AZ</v>
      </c>
      <c r="D2764" t="str">
        <f>IFERROR(__xludf.DUMMYFUNCTION("""COMPUTED_VALUE"""),"USA")</f>
        <v>USA</v>
      </c>
      <c r="E2764" s="188">
        <f>IFERROR(__xludf.DUMMYFUNCTION("""COMPUTED_VALUE"""),44245.0)</f>
        <v>44245</v>
      </c>
      <c r="F2764" s="188">
        <f>IFERROR(__xludf.DUMMYFUNCTION("""COMPUTED_VALUE"""),44279.0)</f>
        <v>44279</v>
      </c>
      <c r="G2764" t="str">
        <f>IFERROR(__xludf.DUMMYFUNCTION("""COMPUTED_VALUE"""),"Manage order page (normal text)")</f>
        <v>Manage order page (normal text)</v>
      </c>
      <c r="H2764">
        <f>IFERROR(__xludf.DUMMYFUNCTION("""COMPUTED_VALUE"""),925955.0)</f>
        <v>925955</v>
      </c>
      <c r="I2764" t="str">
        <f>IFERROR(__xludf.DUMMYFUNCTION("""COMPUTED_VALUE"""),"03/21")</f>
        <v>03/21</v>
      </c>
      <c r="J2764" s="188">
        <f>IFERROR(__xludf.DUMMYFUNCTION("""COMPUTED_VALUE"""),44284.0)</f>
        <v>44284</v>
      </c>
      <c r="K2764">
        <f>IFERROR(__xludf.DUMMYFUNCTION("""COMPUTED_VALUE"""),34.0)</f>
        <v>34</v>
      </c>
      <c r="L2764">
        <f>IFERROR(__xludf.DUMMYFUNCTION("""COMPUTED_VALUE"""),5.0)</f>
        <v>5</v>
      </c>
      <c r="M2764">
        <f>IFERROR(__xludf.DUMMYFUNCTION("""COMPUTED_VALUE"""),39.0)</f>
        <v>39</v>
      </c>
      <c r="N2764" t="str">
        <f>IFERROR(__xludf.DUMMYFUNCTION("""COMPUTED_VALUE"""),"Model 3 Performance")</f>
        <v>Model 3 Performance</v>
      </c>
      <c r="O2764" t="str">
        <f>IFERROR(__xludf.DUMMYFUNCTION("""COMPUTED_VALUE"""),"Red Multi-Coat")</f>
        <v>Red Multi-Coat</v>
      </c>
      <c r="P2764" t="str">
        <f>IFERROR(__xludf.DUMMYFUNCTION("""COMPUTED_VALUE"""),"20 inch")</f>
        <v>20 inch</v>
      </c>
      <c r="Q2764" t="str">
        <f>IFERROR(__xludf.DUMMYFUNCTION("""COMPUTED_VALUE"""),"All Black")</f>
        <v>All Black</v>
      </c>
      <c r="R2764" t="str">
        <f>IFERROR(__xludf.DUMMYFUNCTION("""COMPUTED_VALUE"""),"Autopilot included")</f>
        <v>Autopilot included</v>
      </c>
      <c r="S2764" t="str">
        <f>IFERROR(__xludf.DUMMYFUNCTION("""COMPUTED_VALUE"""),"Loan")</f>
        <v>Loan</v>
      </c>
      <c r="U2764" t="str">
        <f>IFERROR(__xludf.DUMMYFUNCTION("""COMPUTED_VALUE"""),"Electric!")</f>
        <v>Electric!</v>
      </c>
      <c r="V2764" t="str">
        <f>IFERROR(__xludf.DUMMYFUNCTION("""COMPUTED_VALUE"""),"Dashboard")</f>
        <v>Dashboard</v>
      </c>
      <c r="X2764" t="str">
        <f>IFERROR(__xludf.DUMMYFUNCTION("""COMPUTED_VALUE"""),"Excellent")</f>
        <v>Excellent</v>
      </c>
      <c r="Y2764" t="str">
        <f>IFERROR(__xludf.DUMMYFUNCTION("""COMPUTED_VALUE"""),"Very Good")</f>
        <v>Very Good</v>
      </c>
      <c r="Z2764" t="str">
        <f>IFERROR(__xludf.DUMMYFUNCTION("""COMPUTED_VALUE"""),"Excellent")</f>
        <v>Excellent</v>
      </c>
      <c r="AA2764" t="str">
        <f>IFERROR(__xludf.DUMMYFUNCTION("""COMPUTED_VALUE"""),"Fair")</f>
        <v>Fair</v>
      </c>
      <c r="AB2764" t="str">
        <f>IFERROR(__xludf.DUMMYFUNCTION("""COMPUTED_VALUE"""),"Very Good")</f>
        <v>Very Good</v>
      </c>
      <c r="AC2764">
        <f>IFERROR(__xludf.DUMMYFUNCTION("""COMPUTED_VALUE"""),0.0)</f>
        <v>0</v>
      </c>
      <c r="AD2764">
        <f>IFERROR(__xludf.DUMMYFUNCTION("""COMPUTED_VALUE"""),0.0)</f>
        <v>0</v>
      </c>
      <c r="AE2764">
        <f>IFERROR(__xludf.DUMMYFUNCTION("""COMPUTED_VALUE"""),0.0)</f>
        <v>0</v>
      </c>
      <c r="AF2764" t="str">
        <f>IFERROR(__xludf.DUMMYFUNCTION("""COMPUTED_VALUE"""),"No. I took delivery of the first car Tesla was able to deliver.")</f>
        <v>No. I took delivery of the first car Tesla was able to deliver.</v>
      </c>
      <c r="AG2764" t="str">
        <f>IFERROR(__xludf.DUMMYFUNCTION("""COMPUTED_VALUE"""),"Wouldn't it be neat if the ordering / delivery process was similar to ordering a Domino's Pizza through the app?")</f>
        <v>Wouldn't it be neat if the ordering / delivery process was similar to ordering a Domino's Pizza through the app?</v>
      </c>
      <c r="AH2764" s="189">
        <f>IFERROR(__xludf.DUMMYFUNCTION("""COMPUTED_VALUE"""),44285.538874618054)</f>
        <v>44285.53887</v>
      </c>
    </row>
    <row r="2765">
      <c r="A2765" t="str">
        <f>IFERROR(__xludf.DUMMYFUNCTION("""COMPUTED_VALUE"""),"Anonymous")</f>
        <v>Anonymous</v>
      </c>
      <c r="B2765" t="str">
        <f>IFERROR(__xludf.DUMMYFUNCTION("""COMPUTED_VALUE"""),"Bay Area")</f>
        <v>Bay Area</v>
      </c>
      <c r="C2765" t="str">
        <f>IFERROR(__xludf.DUMMYFUNCTION("""COMPUTED_VALUE"""),"CA")</f>
        <v>CA</v>
      </c>
      <c r="D2765" t="str">
        <f>IFERROR(__xludf.DUMMYFUNCTION("""COMPUTED_VALUE"""),"USA")</f>
        <v>USA</v>
      </c>
      <c r="E2765" s="188">
        <f>IFERROR(__xludf.DUMMYFUNCTION("""COMPUTED_VALUE"""),44228.0)</f>
        <v>44228</v>
      </c>
      <c r="F2765" s="188">
        <f>IFERROR(__xludf.DUMMYFUNCTION("""COMPUTED_VALUE"""),44279.0)</f>
        <v>44279</v>
      </c>
      <c r="G2765" t="str">
        <f>IFERROR(__xludf.DUMMYFUNCTION("""COMPUTED_VALUE"""),"Email")</f>
        <v>Email</v>
      </c>
      <c r="H2765">
        <f>IFERROR(__xludf.DUMMYFUNCTION("""COMPUTED_VALUE"""),937755.0)</f>
        <v>937755</v>
      </c>
      <c r="J2765" s="188">
        <f>IFERROR(__xludf.DUMMYFUNCTION("""COMPUTED_VALUE"""),44281.0)</f>
        <v>44281</v>
      </c>
      <c r="K2765">
        <f>IFERROR(__xludf.DUMMYFUNCTION("""COMPUTED_VALUE"""),51.0)</f>
        <v>51</v>
      </c>
      <c r="L2765">
        <f>IFERROR(__xludf.DUMMYFUNCTION("""COMPUTED_VALUE"""),2.0)</f>
        <v>2</v>
      </c>
      <c r="M2765">
        <f>IFERROR(__xludf.DUMMYFUNCTION("""COMPUTED_VALUE"""),53.0)</f>
        <v>53</v>
      </c>
      <c r="N2765" t="str">
        <f>IFERROR(__xludf.DUMMYFUNCTION("""COMPUTED_VALUE"""),"Model 3 LR AWD")</f>
        <v>Model 3 LR AWD</v>
      </c>
      <c r="O2765" t="str">
        <f>IFERROR(__xludf.DUMMYFUNCTION("""COMPUTED_VALUE"""),"Pearl White Multi-Coat")</f>
        <v>Pearl White Multi-Coat</v>
      </c>
      <c r="P2765" t="str">
        <f>IFERROR(__xludf.DUMMYFUNCTION("""COMPUTED_VALUE"""),"18 inch")</f>
        <v>18 inch</v>
      </c>
      <c r="Q2765" t="str">
        <f>IFERROR(__xludf.DUMMYFUNCTION("""COMPUTED_VALUE"""),"Black and White")</f>
        <v>Black and White</v>
      </c>
      <c r="R2765" t="str">
        <f>IFERROR(__xludf.DUMMYFUNCTION("""COMPUTED_VALUE"""),"Autopilot included")</f>
        <v>Autopilot included</v>
      </c>
      <c r="S2765" t="str">
        <f>IFERROR(__xludf.DUMMYFUNCTION("""COMPUTED_VALUE"""),"Loan")</f>
        <v>Loan</v>
      </c>
      <c r="U2765" t="str">
        <f>IFERROR(__xludf.DUMMYFUNCTION("""COMPUTED_VALUE"""),"Autopilot")</f>
        <v>Autopilot</v>
      </c>
      <c r="V2765" t="str">
        <f>IFERROR(__xludf.DUMMYFUNCTION("""COMPUTED_VALUE"""),"Ventilated seats")</f>
        <v>Ventilated seats</v>
      </c>
      <c r="W2765" t="str">
        <f>IFERROR(__xludf.DUMMYFUNCTION("""COMPUTED_VALUE"""),"Do a very thorough inspection at delivery because Tesla hasn't. Take your time and make all the service appointments you need to right away. After a week you'll stop caring about it.")</f>
        <v>Do a very thorough inspection at delivery because Tesla hasn't. Take your time and make all the service appointments you need to right away. After a week you'll stop caring about it.</v>
      </c>
      <c r="X2765" t="str">
        <f>IFERROR(__xludf.DUMMYFUNCTION("""COMPUTED_VALUE"""),"Very Good")</f>
        <v>Very Good</v>
      </c>
      <c r="Y2765" t="str">
        <f>IFERROR(__xludf.DUMMYFUNCTION("""COMPUTED_VALUE"""),"Very Good")</f>
        <v>Very Good</v>
      </c>
      <c r="Z2765" t="str">
        <f>IFERROR(__xludf.DUMMYFUNCTION("""COMPUTED_VALUE"""),"Excellent")</f>
        <v>Excellent</v>
      </c>
      <c r="AA2765" t="str">
        <f>IFERROR(__xludf.DUMMYFUNCTION("""COMPUTED_VALUE"""),"Excellent")</f>
        <v>Excellent</v>
      </c>
      <c r="AB2765" t="str">
        <f>IFERROR(__xludf.DUMMYFUNCTION("""COMPUTED_VALUE"""),"Very Good")</f>
        <v>Very Good</v>
      </c>
      <c r="AC2765">
        <f>IFERROR(__xludf.DUMMYFUNCTION("""COMPUTED_VALUE"""),2.0)</f>
        <v>2</v>
      </c>
      <c r="AD2765">
        <f>IFERROR(__xludf.DUMMYFUNCTION("""COMPUTED_VALUE"""),1.0)</f>
        <v>1</v>
      </c>
      <c r="AE2765">
        <f>IFERROR(__xludf.DUMMYFUNCTION("""COMPUTED_VALUE"""),0.0)</f>
        <v>0</v>
      </c>
      <c r="AF2765" t="str">
        <f>IFERROR(__xludf.DUMMYFUNCTION("""COMPUTED_VALUE"""),"No. I took delivery of the first car Tesla was able to deliver.")</f>
        <v>No. I took delivery of the first car Tesla was able to deliver.</v>
      </c>
      <c r="AG2765" t="str">
        <f>IFERROR(__xludf.DUMMYFUNCTION("""COMPUTED_VALUE"""),"I got a heated steering wheel despite my advisor telling me I wouldn't. My advisor told me they were only doing them in the Model Y's.")</f>
        <v>I got a heated steering wheel despite my advisor telling me I wouldn't. My advisor told me they were only doing them in the Model Y's.</v>
      </c>
      <c r="AH2765" s="189">
        <f>IFERROR(__xludf.DUMMYFUNCTION("""COMPUTED_VALUE"""),44287.490091597225)</f>
        <v>44287.49009</v>
      </c>
    </row>
    <row r="2766">
      <c r="A2766" t="str">
        <f>IFERROR(__xludf.DUMMYFUNCTION("""COMPUTED_VALUE"""),"chrismarquardt")</f>
        <v>chrismarquardt</v>
      </c>
      <c r="B2766" t="str">
        <f>IFERROR(__xludf.DUMMYFUNCTION("""COMPUTED_VALUE"""),"Hannover")</f>
        <v>Hannover</v>
      </c>
      <c r="D2766" t="str">
        <f>IFERROR(__xludf.DUMMYFUNCTION("""COMPUTED_VALUE"""),"Germany")</f>
        <v>Germany</v>
      </c>
      <c r="E2766" s="188">
        <f>IFERROR(__xludf.DUMMYFUNCTION("""COMPUTED_VALUE"""),44248.0)</f>
        <v>44248</v>
      </c>
      <c r="F2766" s="188">
        <f>IFERROR(__xludf.DUMMYFUNCTION("""COMPUTED_VALUE"""),44301.0)</f>
        <v>44301</v>
      </c>
      <c r="G2766" t="str">
        <f>IFERROR(__xludf.DUMMYFUNCTION("""COMPUTED_VALUE"""),"Balance Invoice")</f>
        <v>Balance Invoice</v>
      </c>
      <c r="H2766">
        <f>IFERROR(__xludf.DUMMYFUNCTION("""COMPUTED_VALUE"""),219605.0)</f>
        <v>219605</v>
      </c>
      <c r="I2766" t="str">
        <f>IFERROR(__xludf.DUMMYFUNCTION("""COMPUTED_VALUE"""),"04/21")</f>
        <v>04/21</v>
      </c>
      <c r="J2766" s="188">
        <f>IFERROR(__xludf.DUMMYFUNCTION("""COMPUTED_VALUE"""),44338.0)</f>
        <v>44338</v>
      </c>
      <c r="K2766">
        <f>IFERROR(__xludf.DUMMYFUNCTION("""COMPUTED_VALUE"""),53.0)</f>
        <v>53</v>
      </c>
      <c r="L2766">
        <f>IFERROR(__xludf.DUMMYFUNCTION("""COMPUTED_VALUE"""),37.0)</f>
        <v>37</v>
      </c>
      <c r="M2766">
        <f>IFERROR(__xludf.DUMMYFUNCTION("""COMPUTED_VALUE"""),90.0)</f>
        <v>90</v>
      </c>
      <c r="N2766" t="str">
        <f>IFERROR(__xludf.DUMMYFUNCTION("""COMPUTED_VALUE"""),"Model 3 SR+")</f>
        <v>Model 3 SR+</v>
      </c>
      <c r="O2766" t="str">
        <f>IFERROR(__xludf.DUMMYFUNCTION("""COMPUTED_VALUE"""),"Midnight Silver Metallic")</f>
        <v>Midnight Silver Metallic</v>
      </c>
      <c r="P2766" t="str">
        <f>IFERROR(__xludf.DUMMYFUNCTION("""COMPUTED_VALUE"""),"18 inch")</f>
        <v>18 inch</v>
      </c>
      <c r="Q2766" t="str">
        <f>IFERROR(__xludf.DUMMYFUNCTION("""COMPUTED_VALUE"""),"Black and White")</f>
        <v>Black and White</v>
      </c>
      <c r="R2766" t="str">
        <f>IFERROR(__xludf.DUMMYFUNCTION("""COMPUTED_VALUE"""),"Full Self-Driving")</f>
        <v>Full Self-Driving</v>
      </c>
      <c r="S2766" t="str">
        <f>IFERROR(__xludf.DUMMYFUNCTION("""COMPUTED_VALUE"""),"Cash")</f>
        <v>Cash</v>
      </c>
      <c r="T2766" t="str">
        <f>IFERROR(__xludf.DUMMYFUNCTION("""COMPUTED_VALUE"""),"Hyundai IONIQ Hybrid")</f>
        <v>Hyundai IONIQ Hybrid</v>
      </c>
      <c r="U2766" t="str">
        <f>IFERROR(__xludf.DUMMYFUNCTION("""COMPUTED_VALUE"""),"Everything")</f>
        <v>Everything</v>
      </c>
      <c r="V2766" t="str">
        <f>IFERROR(__xludf.DUMMYFUNCTION("""COMPUTED_VALUE"""),"360° Bird's eye view")</f>
        <v>360° Bird's eye view</v>
      </c>
      <c r="W2766" t="str">
        <f>IFERROR(__xludf.DUMMYFUNCTION("""COMPUTED_VALUE"""),"Patience, just patience")</f>
        <v>Patience, just patience</v>
      </c>
      <c r="X2766" t="str">
        <f>IFERROR(__xludf.DUMMYFUNCTION("""COMPUTED_VALUE"""),"Excellent")</f>
        <v>Excellent</v>
      </c>
      <c r="Y2766" t="str">
        <f>IFERROR(__xludf.DUMMYFUNCTION("""COMPUTED_VALUE"""),"Excellent")</f>
        <v>Excellent</v>
      </c>
      <c r="Z2766" t="str">
        <f>IFERROR(__xludf.DUMMYFUNCTION("""COMPUTED_VALUE"""),"Excellent")</f>
        <v>Excellent</v>
      </c>
      <c r="AA2766" t="str">
        <f>IFERROR(__xludf.DUMMYFUNCTION("""COMPUTED_VALUE"""),"Fair")</f>
        <v>Fair</v>
      </c>
      <c r="AB2766" t="str">
        <f>IFERROR(__xludf.DUMMYFUNCTION("""COMPUTED_VALUE"""),"Very Good")</f>
        <v>Very Good</v>
      </c>
      <c r="AC2766">
        <f>IFERROR(__xludf.DUMMYFUNCTION("""COMPUTED_VALUE"""),1.0)</f>
        <v>1</v>
      </c>
      <c r="AD2766">
        <f>IFERROR(__xludf.DUMMYFUNCTION("""COMPUTED_VALUE"""),1.0)</f>
        <v>1</v>
      </c>
      <c r="AE2766">
        <f>IFERROR(__xludf.DUMMYFUNCTION("""COMPUTED_VALUE"""),0.0)</f>
        <v>0</v>
      </c>
      <c r="AF2766" t="str">
        <f>IFERROR(__xludf.DUMMYFUNCTION("""COMPUTED_VALUE"""),"No. I took delivery of the first car Tesla was able to deliver.")</f>
        <v>No. I took delivery of the first car Tesla was able to deliver.</v>
      </c>
      <c r="AH2766" s="189">
        <f>IFERROR(__xludf.DUMMYFUNCTION("""COMPUTED_VALUE"""),44380.15760371528)</f>
        <v>44380.1576</v>
      </c>
    </row>
    <row r="2767">
      <c r="A2767" t="str">
        <f>IFERROR(__xludf.DUMMYFUNCTION("""COMPUTED_VALUE"""),"Grr187")</f>
        <v>Grr187</v>
      </c>
      <c r="B2767" t="str">
        <f>IFERROR(__xludf.DUMMYFUNCTION("""COMPUTED_VALUE"""),"Raleigh")</f>
        <v>Raleigh</v>
      </c>
      <c r="C2767" t="str">
        <f>IFERROR(__xludf.DUMMYFUNCTION("""COMPUTED_VALUE"""),"NC")</f>
        <v>NC</v>
      </c>
      <c r="D2767" t="str">
        <f>IFERROR(__xludf.DUMMYFUNCTION("""COMPUTED_VALUE"""),"USA")</f>
        <v>USA</v>
      </c>
      <c r="E2767" s="188">
        <f>IFERROR(__xludf.DUMMYFUNCTION("""COMPUTED_VALUE"""),44254.0)</f>
        <v>44254</v>
      </c>
      <c r="F2767" s="188">
        <f>IFERROR(__xludf.DUMMYFUNCTION("""COMPUTED_VALUE"""),44268.0)</f>
        <v>44268</v>
      </c>
      <c r="G2767" t="str">
        <f>IFERROR(__xludf.DUMMYFUNCTION("""COMPUTED_VALUE"""),"Manage order page (normal text)")</f>
        <v>Manage order page (normal text)</v>
      </c>
      <c r="H2767">
        <f>IFERROR(__xludf.DUMMYFUNCTION("""COMPUTED_VALUE"""),924855.0)</f>
        <v>924855</v>
      </c>
      <c r="J2767" s="188">
        <f>IFERROR(__xludf.DUMMYFUNCTION("""COMPUTED_VALUE"""),44283.0)</f>
        <v>44283</v>
      </c>
      <c r="K2767">
        <f>IFERROR(__xludf.DUMMYFUNCTION("""COMPUTED_VALUE"""),14.0)</f>
        <v>14</v>
      </c>
      <c r="L2767">
        <f>IFERROR(__xludf.DUMMYFUNCTION("""COMPUTED_VALUE"""),15.0)</f>
        <v>15</v>
      </c>
      <c r="M2767">
        <f>IFERROR(__xludf.DUMMYFUNCTION("""COMPUTED_VALUE"""),29.0)</f>
        <v>29</v>
      </c>
      <c r="N2767" t="str">
        <f>IFERROR(__xludf.DUMMYFUNCTION("""COMPUTED_VALUE"""),"Model 3 LR AWD")</f>
        <v>Model 3 LR AWD</v>
      </c>
      <c r="O2767" t="str">
        <f>IFERROR(__xludf.DUMMYFUNCTION("""COMPUTED_VALUE"""),"Midnight Silver Metallic")</f>
        <v>Midnight Silver Metallic</v>
      </c>
      <c r="P2767" t="str">
        <f>IFERROR(__xludf.DUMMYFUNCTION("""COMPUTED_VALUE"""),"18 inch")</f>
        <v>18 inch</v>
      </c>
      <c r="Q2767" t="str">
        <f>IFERROR(__xludf.DUMMYFUNCTION("""COMPUTED_VALUE"""),"Black and White")</f>
        <v>Black and White</v>
      </c>
      <c r="R2767" t="str">
        <f>IFERROR(__xludf.DUMMYFUNCTION("""COMPUTED_VALUE"""),"Autopilot included")</f>
        <v>Autopilot included</v>
      </c>
      <c r="S2767" t="str">
        <f>IFERROR(__xludf.DUMMYFUNCTION("""COMPUTED_VALUE"""),"Loan")</f>
        <v>Loan</v>
      </c>
      <c r="T2767" t="str">
        <f>IFERROR(__xludf.DUMMYFUNCTION("""COMPUTED_VALUE"""),"Honda Civic")</f>
        <v>Honda Civic</v>
      </c>
      <c r="U2767" t="str">
        <f>IFERROR(__xludf.DUMMYFUNCTION("""COMPUTED_VALUE"""),"Electric!")</f>
        <v>Electric!</v>
      </c>
      <c r="V2767" t="str">
        <f>IFERROR(__xludf.DUMMYFUNCTION("""COMPUTED_VALUE"""),"Head-up display")</f>
        <v>Head-up display</v>
      </c>
      <c r="X2767" t="str">
        <f>IFERROR(__xludf.DUMMYFUNCTION("""COMPUTED_VALUE"""),"Good")</f>
        <v>Good</v>
      </c>
      <c r="Y2767" t="str">
        <f>IFERROR(__xludf.DUMMYFUNCTION("""COMPUTED_VALUE"""),"Good")</f>
        <v>Good</v>
      </c>
      <c r="Z2767" t="str">
        <f>IFERROR(__xludf.DUMMYFUNCTION("""COMPUTED_VALUE"""),"Very Good")</f>
        <v>Very Good</v>
      </c>
      <c r="AA2767" t="str">
        <f>IFERROR(__xludf.DUMMYFUNCTION("""COMPUTED_VALUE"""),"Poor")</f>
        <v>Poor</v>
      </c>
      <c r="AB2767" t="str">
        <f>IFERROR(__xludf.DUMMYFUNCTION("""COMPUTED_VALUE"""),"Fair")</f>
        <v>Fair</v>
      </c>
      <c r="AC2767">
        <f>IFERROR(__xludf.DUMMYFUNCTION("""COMPUTED_VALUE"""),1.0)</f>
        <v>1</v>
      </c>
      <c r="AD2767">
        <f>IFERROR(__xludf.DUMMYFUNCTION("""COMPUTED_VALUE"""),1.0)</f>
        <v>1</v>
      </c>
      <c r="AF2767" t="str">
        <f>IFERROR(__xludf.DUMMYFUNCTION("""COMPUTED_VALUE"""),"No. I took delivery of the first car Tesla was able to deliver.")</f>
        <v>No. I took delivery of the first car Tesla was able to deliver.</v>
      </c>
      <c r="AH2767" s="189">
        <f>IFERROR(__xludf.DUMMYFUNCTION("""COMPUTED_VALUE"""),44283.656686284725)</f>
        <v>44283.65669</v>
      </c>
    </row>
    <row r="2768">
      <c r="A2768" t="str">
        <f>IFERROR(__xludf.DUMMYFUNCTION("""COMPUTED_VALUE"""),"lukey13")</f>
        <v>lukey13</v>
      </c>
      <c r="B2768" t="str">
        <f>IFERROR(__xludf.DUMMYFUNCTION("""COMPUTED_VALUE"""),"Los Angeles")</f>
        <v>Los Angeles</v>
      </c>
      <c r="C2768" t="str">
        <f>IFERROR(__xludf.DUMMYFUNCTION("""COMPUTED_VALUE"""),"CA")</f>
        <v>CA</v>
      </c>
      <c r="D2768" t="str">
        <f>IFERROR(__xludf.DUMMYFUNCTION("""COMPUTED_VALUE"""),"USA")</f>
        <v>USA</v>
      </c>
      <c r="E2768" s="188">
        <f>IFERROR(__xludf.DUMMYFUNCTION("""COMPUTED_VALUE"""),44257.0)</f>
        <v>44257</v>
      </c>
      <c r="F2768" s="188">
        <f>IFERROR(__xludf.DUMMYFUNCTION("""COMPUTED_VALUE"""),44280.0)</f>
        <v>44280</v>
      </c>
      <c r="G2768" t="str">
        <f>IFERROR(__xludf.DUMMYFUNCTION("""COMPUTED_VALUE"""),"Manage order page (normal text)")</f>
        <v>Manage order page (normal text)</v>
      </c>
      <c r="H2768">
        <f>IFERROR(__xludf.DUMMYFUNCTION("""COMPUTED_VALUE"""),937655.0)</f>
        <v>937655</v>
      </c>
      <c r="I2768" t="str">
        <f>IFERROR(__xludf.DUMMYFUNCTION("""COMPUTED_VALUE"""),"03/21")</f>
        <v>03/21</v>
      </c>
      <c r="J2768" s="188">
        <f>IFERROR(__xludf.DUMMYFUNCTION("""COMPUTED_VALUE"""),44282.0)</f>
        <v>44282</v>
      </c>
      <c r="K2768">
        <f>IFERROR(__xludf.DUMMYFUNCTION("""COMPUTED_VALUE"""),23.0)</f>
        <v>23</v>
      </c>
      <c r="L2768">
        <f>IFERROR(__xludf.DUMMYFUNCTION("""COMPUTED_VALUE"""),2.0)</f>
        <v>2</v>
      </c>
      <c r="M2768">
        <f>IFERROR(__xludf.DUMMYFUNCTION("""COMPUTED_VALUE"""),25.0)</f>
        <v>25</v>
      </c>
      <c r="N2768" t="str">
        <f>IFERROR(__xludf.DUMMYFUNCTION("""COMPUTED_VALUE"""),"Model 3 LR AWD")</f>
        <v>Model 3 LR AWD</v>
      </c>
      <c r="O2768" t="str">
        <f>IFERROR(__xludf.DUMMYFUNCTION("""COMPUTED_VALUE"""),"Pearl White Multi-Coat")</f>
        <v>Pearl White Multi-Coat</v>
      </c>
      <c r="P2768" t="str">
        <f>IFERROR(__xludf.DUMMYFUNCTION("""COMPUTED_VALUE"""),"18 inch")</f>
        <v>18 inch</v>
      </c>
      <c r="Q2768" t="str">
        <f>IFERROR(__xludf.DUMMYFUNCTION("""COMPUTED_VALUE"""),"Black and White")</f>
        <v>Black and White</v>
      </c>
      <c r="R2768" t="str">
        <f>IFERROR(__xludf.DUMMYFUNCTION("""COMPUTED_VALUE"""),"Autopilot included")</f>
        <v>Autopilot included</v>
      </c>
      <c r="S2768" t="str">
        <f>IFERROR(__xludf.DUMMYFUNCTION("""COMPUTED_VALUE"""),"Loan")</f>
        <v>Loan</v>
      </c>
      <c r="T2768" t="str">
        <f>IFERROR(__xludf.DUMMYFUNCTION("""COMPUTED_VALUE"""),"2004 Lexus ES 330")</f>
        <v>2004 Lexus ES 330</v>
      </c>
      <c r="U2768" t="str">
        <f>IFERROR(__xludf.DUMMYFUNCTION("""COMPUTED_VALUE"""),"Tesla brand image")</f>
        <v>Tesla brand image</v>
      </c>
      <c r="V2768" t="str">
        <f>IFERROR(__xludf.DUMMYFUNCTION("""COMPUTED_VALUE"""),"Dashboard")</f>
        <v>Dashboard</v>
      </c>
      <c r="X2768" t="str">
        <f>IFERROR(__xludf.DUMMYFUNCTION("""COMPUTED_VALUE"""),"Good")</f>
        <v>Good</v>
      </c>
      <c r="Y2768" t="str">
        <f>IFERROR(__xludf.DUMMYFUNCTION("""COMPUTED_VALUE"""),"Fair")</f>
        <v>Fair</v>
      </c>
      <c r="Z2768" t="str">
        <f>IFERROR(__xludf.DUMMYFUNCTION("""COMPUTED_VALUE"""),"Good")</f>
        <v>Good</v>
      </c>
      <c r="AA2768" t="str">
        <f>IFERROR(__xludf.DUMMYFUNCTION("""COMPUTED_VALUE"""),"Good")</f>
        <v>Good</v>
      </c>
      <c r="AB2768" t="str">
        <f>IFERROR(__xludf.DUMMYFUNCTION("""COMPUTED_VALUE"""),"Very Good")</f>
        <v>Very Good</v>
      </c>
      <c r="AC2768">
        <f>IFERROR(__xludf.DUMMYFUNCTION("""COMPUTED_VALUE"""),5.0)</f>
        <v>5</v>
      </c>
      <c r="AF2768" t="str">
        <f>IFERROR(__xludf.DUMMYFUNCTION("""COMPUTED_VALUE"""),"No. I took delivery of the first car Tesla was able to deliver.")</f>
        <v>No. I took delivery of the first car Tesla was able to deliver.</v>
      </c>
      <c r="AH2768" s="189">
        <f>IFERROR(__xludf.DUMMYFUNCTION("""COMPUTED_VALUE"""),44284.39541550926)</f>
        <v>44284.39542</v>
      </c>
    </row>
    <row r="2769">
      <c r="A2769" t="str">
        <f>IFERROR(__xludf.DUMMYFUNCTION("""COMPUTED_VALUE"""),"jm")</f>
        <v>jm</v>
      </c>
      <c r="B2769" t="str">
        <f>IFERROR(__xludf.DUMMYFUNCTION("""COMPUTED_VALUE"""),"Bay Area")</f>
        <v>Bay Area</v>
      </c>
      <c r="C2769" t="str">
        <f>IFERROR(__xludf.DUMMYFUNCTION("""COMPUTED_VALUE"""),"CA")</f>
        <v>CA</v>
      </c>
      <c r="D2769" t="str">
        <f>IFERROR(__xludf.DUMMYFUNCTION("""COMPUTED_VALUE"""),"USA")</f>
        <v>USA</v>
      </c>
      <c r="E2769" s="188">
        <f>IFERROR(__xludf.DUMMYFUNCTION("""COMPUTED_VALUE"""),44231.0)</f>
        <v>44231</v>
      </c>
      <c r="F2769" s="188">
        <f>IFERROR(__xludf.DUMMYFUNCTION("""COMPUTED_VALUE"""),44280.0)</f>
        <v>44280</v>
      </c>
      <c r="G2769" t="str">
        <f>IFERROR(__xludf.DUMMYFUNCTION("""COMPUTED_VALUE"""),"Manage order page (normal text)")</f>
        <v>Manage order page (normal text)</v>
      </c>
      <c r="H2769">
        <f>IFERROR(__xludf.DUMMYFUNCTION("""COMPUTED_VALUE"""),935755.0)</f>
        <v>935755</v>
      </c>
      <c r="I2769" t="str">
        <f>IFERROR(__xludf.DUMMYFUNCTION("""COMPUTED_VALUE"""),"03/21")</f>
        <v>03/21</v>
      </c>
      <c r="J2769" s="188">
        <f>IFERROR(__xludf.DUMMYFUNCTION("""COMPUTED_VALUE"""),44283.0)</f>
        <v>44283</v>
      </c>
      <c r="K2769">
        <f>IFERROR(__xludf.DUMMYFUNCTION("""COMPUTED_VALUE"""),49.0)</f>
        <v>49</v>
      </c>
      <c r="L2769">
        <f>IFERROR(__xludf.DUMMYFUNCTION("""COMPUTED_VALUE"""),3.0)</f>
        <v>3</v>
      </c>
      <c r="M2769">
        <f>IFERROR(__xludf.DUMMYFUNCTION("""COMPUTED_VALUE"""),52.0)</f>
        <v>52</v>
      </c>
      <c r="N2769" t="str">
        <f>IFERROR(__xludf.DUMMYFUNCTION("""COMPUTED_VALUE"""),"Model 3 Performance")</f>
        <v>Model 3 Performance</v>
      </c>
      <c r="O2769" t="str">
        <f>IFERROR(__xludf.DUMMYFUNCTION("""COMPUTED_VALUE"""),"Solid Black")</f>
        <v>Solid Black</v>
      </c>
      <c r="P2769" t="str">
        <f>IFERROR(__xludf.DUMMYFUNCTION("""COMPUTED_VALUE"""),"20 inch")</f>
        <v>20 inch</v>
      </c>
      <c r="Q2769" t="str">
        <f>IFERROR(__xludf.DUMMYFUNCTION("""COMPUTED_VALUE"""),"All Black")</f>
        <v>All Black</v>
      </c>
      <c r="R2769" t="str">
        <f>IFERROR(__xludf.DUMMYFUNCTION("""COMPUTED_VALUE"""),"Autopilot included")</f>
        <v>Autopilot included</v>
      </c>
      <c r="S2769" t="str">
        <f>IFERROR(__xludf.DUMMYFUNCTION("""COMPUTED_VALUE"""),"Cash")</f>
        <v>Cash</v>
      </c>
      <c r="T2769" t="str">
        <f>IFERROR(__xludf.DUMMYFUNCTION("""COMPUTED_VALUE"""),"Subaru Outback")</f>
        <v>Subaru Outback</v>
      </c>
      <c r="U2769" t="str">
        <f>IFERROR(__xludf.DUMMYFUNCTION("""COMPUTED_VALUE"""),"Driving")</f>
        <v>Driving</v>
      </c>
      <c r="V2769" t="str">
        <f>IFERROR(__xludf.DUMMYFUNCTION("""COMPUTED_VALUE"""),"Head-up display")</f>
        <v>Head-up display</v>
      </c>
      <c r="X2769" t="str">
        <f>IFERROR(__xludf.DUMMYFUNCTION("""COMPUTED_VALUE"""),"Fair")</f>
        <v>Fair</v>
      </c>
      <c r="Y2769" t="str">
        <f>IFERROR(__xludf.DUMMYFUNCTION("""COMPUTED_VALUE"""),"Excellent")</f>
        <v>Excellent</v>
      </c>
      <c r="Z2769" t="str">
        <f>IFERROR(__xludf.DUMMYFUNCTION("""COMPUTED_VALUE"""),"Excellent")</f>
        <v>Excellent</v>
      </c>
      <c r="AA2769" t="str">
        <f>IFERROR(__xludf.DUMMYFUNCTION("""COMPUTED_VALUE"""),"Excellent")</f>
        <v>Excellent</v>
      </c>
      <c r="AB2769" t="str">
        <f>IFERROR(__xludf.DUMMYFUNCTION("""COMPUTED_VALUE"""),"Excellent")</f>
        <v>Excellent</v>
      </c>
      <c r="AF2769" t="str">
        <f>IFERROR(__xludf.DUMMYFUNCTION("""COMPUTED_VALUE"""),"No. I took delivery of the first car Tesla was able to deliver.")</f>
        <v>No. I took delivery of the first car Tesla was able to deliver.</v>
      </c>
      <c r="AH2769" s="189">
        <f>IFERROR(__xludf.DUMMYFUNCTION("""COMPUTED_VALUE"""),44284.958501493056)</f>
        <v>44284.9585</v>
      </c>
    </row>
    <row r="2770">
      <c r="A2770" t="str">
        <f>IFERROR(__xludf.DUMMYFUNCTION("""COMPUTED_VALUE"""),"nlam514")</f>
        <v>nlam514</v>
      </c>
      <c r="B2770" t="str">
        <f>IFERROR(__xludf.DUMMYFUNCTION("""COMPUTED_VALUE"""),"Los Angeles")</f>
        <v>Los Angeles</v>
      </c>
      <c r="C2770" t="str">
        <f>IFERROR(__xludf.DUMMYFUNCTION("""COMPUTED_VALUE"""),"CA")</f>
        <v>CA</v>
      </c>
      <c r="D2770" t="str">
        <f>IFERROR(__xludf.DUMMYFUNCTION("""COMPUTED_VALUE"""),"USA")</f>
        <v>USA</v>
      </c>
      <c r="E2770" s="188">
        <f>IFERROR(__xludf.DUMMYFUNCTION("""COMPUTED_VALUE"""),44250.0)</f>
        <v>44250</v>
      </c>
      <c r="F2770" s="188">
        <f>IFERROR(__xludf.DUMMYFUNCTION("""COMPUTED_VALUE"""),44272.0)</f>
        <v>44272</v>
      </c>
      <c r="G2770" t="str">
        <f>IFERROR(__xludf.DUMMYFUNCTION("""COMPUTED_VALUE"""),"Manage order page (normal text)")</f>
        <v>Manage order page (normal text)</v>
      </c>
      <c r="H2770">
        <f>IFERROR(__xludf.DUMMYFUNCTION("""COMPUTED_VALUE"""),927455.0)</f>
        <v>927455</v>
      </c>
      <c r="I2770" t="str">
        <f>IFERROR(__xludf.DUMMYFUNCTION("""COMPUTED_VALUE"""),"03/21")</f>
        <v>03/21</v>
      </c>
      <c r="J2770" s="188">
        <f>IFERROR(__xludf.DUMMYFUNCTION("""COMPUTED_VALUE"""),44275.0)</f>
        <v>44275</v>
      </c>
      <c r="K2770">
        <f>IFERROR(__xludf.DUMMYFUNCTION("""COMPUTED_VALUE"""),22.0)</f>
        <v>22</v>
      </c>
      <c r="L2770">
        <f>IFERROR(__xludf.DUMMYFUNCTION("""COMPUTED_VALUE"""),3.0)</f>
        <v>3</v>
      </c>
      <c r="M2770">
        <f>IFERROR(__xludf.DUMMYFUNCTION("""COMPUTED_VALUE"""),25.0)</f>
        <v>25</v>
      </c>
      <c r="N2770" t="str">
        <f>IFERROR(__xludf.DUMMYFUNCTION("""COMPUTED_VALUE"""),"Model 3 LR AWD")</f>
        <v>Model 3 LR AWD</v>
      </c>
      <c r="O2770" t="str">
        <f>IFERROR(__xludf.DUMMYFUNCTION("""COMPUTED_VALUE"""),"Pearl White Multi-Coat")</f>
        <v>Pearl White Multi-Coat</v>
      </c>
      <c r="P2770" t="str">
        <f>IFERROR(__xludf.DUMMYFUNCTION("""COMPUTED_VALUE"""),"19 inch")</f>
        <v>19 inch</v>
      </c>
      <c r="Q2770" t="str">
        <f>IFERROR(__xludf.DUMMYFUNCTION("""COMPUTED_VALUE"""),"All Black")</f>
        <v>All Black</v>
      </c>
      <c r="R2770" t="str">
        <f>IFERROR(__xludf.DUMMYFUNCTION("""COMPUTED_VALUE"""),"Full Self-Driving")</f>
        <v>Full Self-Driving</v>
      </c>
      <c r="S2770" t="str">
        <f>IFERROR(__xludf.DUMMYFUNCTION("""COMPUTED_VALUE"""),"Loan")</f>
        <v>Loan</v>
      </c>
      <c r="T2770" t="str">
        <f>IFERROR(__xludf.DUMMYFUNCTION("""COMPUTED_VALUE"""),"BMW 5 Series")</f>
        <v>BMW 5 Series</v>
      </c>
      <c r="U2770" t="str">
        <f>IFERROR(__xludf.DUMMYFUNCTION("""COMPUTED_VALUE"""),"Autopilot")</f>
        <v>Autopilot</v>
      </c>
      <c r="V2770" t="str">
        <f>IFERROR(__xludf.DUMMYFUNCTION("""COMPUTED_VALUE"""),"360° Bird's eye view")</f>
        <v>360° Bird's eye view</v>
      </c>
      <c r="W2770" t="str">
        <f>IFERROR(__xludf.DUMMYFUNCTION("""COMPUTED_VALUE"""),"Be patient. At delivery time, take your time to inspect your car. ")</f>
        <v>Be patient. At delivery time, take your time to inspect your car. </v>
      </c>
      <c r="X2770" t="str">
        <f>IFERROR(__xludf.DUMMYFUNCTION("""COMPUTED_VALUE"""),"Excellent")</f>
        <v>Excellent</v>
      </c>
      <c r="Y2770" t="str">
        <f>IFERROR(__xludf.DUMMYFUNCTION("""COMPUTED_VALUE"""),"Excellent")</f>
        <v>Excellent</v>
      </c>
      <c r="Z2770" t="str">
        <f>IFERROR(__xludf.DUMMYFUNCTION("""COMPUTED_VALUE"""),"Excellent")</f>
        <v>Excellent</v>
      </c>
      <c r="AA2770" t="str">
        <f>IFERROR(__xludf.DUMMYFUNCTION("""COMPUTED_VALUE"""),"Very Good")</f>
        <v>Very Good</v>
      </c>
      <c r="AB2770" t="str">
        <f>IFERROR(__xludf.DUMMYFUNCTION("""COMPUTED_VALUE"""),"Excellent")</f>
        <v>Excellent</v>
      </c>
      <c r="AH2770" s="189">
        <f>IFERROR(__xludf.DUMMYFUNCTION("""COMPUTED_VALUE"""),44276.31465678241)</f>
        <v>44276.31466</v>
      </c>
    </row>
    <row r="2771">
      <c r="A2771" t="str">
        <f>IFERROR(__xludf.DUMMYFUNCTION("""COMPUTED_VALUE"""),"Grob103")</f>
        <v>Grob103</v>
      </c>
      <c r="B2771" t="str">
        <f>IFERROR(__xludf.DUMMYFUNCTION("""COMPUTED_VALUE"""),"San Francisco")</f>
        <v>San Francisco</v>
      </c>
      <c r="C2771" t="str">
        <f>IFERROR(__xludf.DUMMYFUNCTION("""COMPUTED_VALUE"""),"CA")</f>
        <v>CA</v>
      </c>
      <c r="D2771" t="str">
        <f>IFERROR(__xludf.DUMMYFUNCTION("""COMPUTED_VALUE"""),"USA")</f>
        <v>USA</v>
      </c>
      <c r="E2771" s="188">
        <f>IFERROR(__xludf.DUMMYFUNCTION("""COMPUTED_VALUE"""),44253.0)</f>
        <v>44253</v>
      </c>
      <c r="F2771" s="188">
        <f>IFERROR(__xludf.DUMMYFUNCTION("""COMPUTED_VALUE"""),44274.0)</f>
        <v>44274</v>
      </c>
      <c r="G2771" t="str">
        <f>IFERROR(__xludf.DUMMYFUNCTION("""COMPUTED_VALUE"""),"Manage order page (normal text)")</f>
        <v>Manage order page (normal text)</v>
      </c>
      <c r="H2771">
        <f>IFERROR(__xludf.DUMMYFUNCTION("""COMPUTED_VALUE"""),929655.0)</f>
        <v>929655</v>
      </c>
      <c r="I2771" t="str">
        <f>IFERROR(__xludf.DUMMYFUNCTION("""COMPUTED_VALUE"""),"03/21")</f>
        <v>03/21</v>
      </c>
      <c r="J2771" s="188">
        <f>IFERROR(__xludf.DUMMYFUNCTION("""COMPUTED_VALUE"""),44277.0)</f>
        <v>44277</v>
      </c>
      <c r="K2771">
        <f>IFERROR(__xludf.DUMMYFUNCTION("""COMPUTED_VALUE"""),21.0)</f>
        <v>21</v>
      </c>
      <c r="L2771">
        <f>IFERROR(__xludf.DUMMYFUNCTION("""COMPUTED_VALUE"""),3.0)</f>
        <v>3</v>
      </c>
      <c r="M2771">
        <f>IFERROR(__xludf.DUMMYFUNCTION("""COMPUTED_VALUE"""),24.0)</f>
        <v>24</v>
      </c>
      <c r="N2771" t="str">
        <f>IFERROR(__xludf.DUMMYFUNCTION("""COMPUTED_VALUE"""),"Model 3 SR+")</f>
        <v>Model 3 SR+</v>
      </c>
      <c r="O2771" t="str">
        <f>IFERROR(__xludf.DUMMYFUNCTION("""COMPUTED_VALUE"""),"Pearl White Multi-Coat")</f>
        <v>Pearl White Multi-Coat</v>
      </c>
      <c r="P2771" t="str">
        <f>IFERROR(__xludf.DUMMYFUNCTION("""COMPUTED_VALUE"""),"18 inch")</f>
        <v>18 inch</v>
      </c>
      <c r="Q2771" t="str">
        <f>IFERROR(__xludf.DUMMYFUNCTION("""COMPUTED_VALUE"""),"All Black")</f>
        <v>All Black</v>
      </c>
      <c r="R2771" t="str">
        <f>IFERROR(__xludf.DUMMYFUNCTION("""COMPUTED_VALUE"""),"Autopilot included")</f>
        <v>Autopilot included</v>
      </c>
      <c r="S2771" t="str">
        <f>IFERROR(__xludf.DUMMYFUNCTION("""COMPUTED_VALUE"""),"Lease")</f>
        <v>Lease</v>
      </c>
      <c r="T2771" t="str">
        <f>IFERROR(__xludf.DUMMYFUNCTION("""COMPUTED_VALUE"""),"Nissan Leaf")</f>
        <v>Nissan Leaf</v>
      </c>
      <c r="U2771" t="str">
        <f>IFERROR(__xludf.DUMMYFUNCTION("""COMPUTED_VALUE"""),"Autopilot")</f>
        <v>Autopilot</v>
      </c>
      <c r="V2771" t="str">
        <f>IFERROR(__xludf.DUMMYFUNCTION("""COMPUTED_VALUE"""),"360° Bird's eye view")</f>
        <v>360° Bird's eye view</v>
      </c>
      <c r="W2771" t="str">
        <f>IFERROR(__xludf.DUMMYFUNCTION("""COMPUTED_VALUE"""),"Make sure your Premium Connectivity trial is working. Mine wasn't. My SA got it fixed remotely.")</f>
        <v>Make sure your Premium Connectivity trial is working. Mine wasn't. My SA got it fixed remotely.</v>
      </c>
      <c r="X2771" t="str">
        <f>IFERROR(__xludf.DUMMYFUNCTION("""COMPUTED_VALUE"""),"Very Good")</f>
        <v>Very Good</v>
      </c>
      <c r="Y2771" t="str">
        <f>IFERROR(__xludf.DUMMYFUNCTION("""COMPUTED_VALUE"""),"Excellent")</f>
        <v>Excellent</v>
      </c>
      <c r="Z2771" t="str">
        <f>IFERROR(__xludf.DUMMYFUNCTION("""COMPUTED_VALUE"""),"Excellent")</f>
        <v>Excellent</v>
      </c>
      <c r="AA2771" t="str">
        <f>IFERROR(__xludf.DUMMYFUNCTION("""COMPUTED_VALUE"""),"Excellent")</f>
        <v>Excellent</v>
      </c>
      <c r="AB2771" t="str">
        <f>IFERROR(__xludf.DUMMYFUNCTION("""COMPUTED_VALUE"""),"Excellent")</f>
        <v>Excellent</v>
      </c>
      <c r="AC2771">
        <f>IFERROR(__xludf.DUMMYFUNCTION("""COMPUTED_VALUE"""),2.0)</f>
        <v>2</v>
      </c>
      <c r="AD2771">
        <f>IFERROR(__xludf.DUMMYFUNCTION("""COMPUTED_VALUE"""),1.0)</f>
        <v>1</v>
      </c>
      <c r="AE2771">
        <f>IFERROR(__xludf.DUMMYFUNCTION("""COMPUTED_VALUE"""),0.0)</f>
        <v>0</v>
      </c>
      <c r="AF2771" t="str">
        <f>IFERROR(__xludf.DUMMYFUNCTION("""COMPUTED_VALUE"""),"No. I took delivery of the first car Tesla was able to deliver.")</f>
        <v>No. I took delivery of the first car Tesla was able to deliver.</v>
      </c>
      <c r="AG2771" t="str">
        <f>IFERROR(__xludf.DUMMYFUNCTION("""COMPUTED_VALUE"""),"Very happy. Only two small alignment issues with left tail light and right rear door handle. Service is scheduled.")</f>
        <v>Very happy. Only two small alignment issues with left tail light and right rear door handle. Service is scheduled.</v>
      </c>
      <c r="AH2771" s="189">
        <f>IFERROR(__xludf.DUMMYFUNCTION("""COMPUTED_VALUE"""),44281.33925953704)</f>
        <v>44281.33926</v>
      </c>
    </row>
    <row r="2772">
      <c r="A2772" t="str">
        <f>IFERROR(__xludf.DUMMYFUNCTION("""COMPUTED_VALUE"""),"Ken")</f>
        <v>Ken</v>
      </c>
      <c r="B2772" t="str">
        <f>IFERROR(__xludf.DUMMYFUNCTION("""COMPUTED_VALUE"""),"Reno")</f>
        <v>Reno</v>
      </c>
      <c r="C2772" t="str">
        <f>IFERROR(__xludf.DUMMYFUNCTION("""COMPUTED_VALUE"""),"NV")</f>
        <v>NV</v>
      </c>
      <c r="D2772" t="str">
        <f>IFERROR(__xludf.DUMMYFUNCTION("""COMPUTED_VALUE"""),"USA")</f>
        <v>USA</v>
      </c>
      <c r="E2772" s="188">
        <f>IFERROR(__xludf.DUMMYFUNCTION("""COMPUTED_VALUE"""),44250.0)</f>
        <v>44250</v>
      </c>
      <c r="F2772" s="188">
        <f>IFERROR(__xludf.DUMMYFUNCTION("""COMPUTED_VALUE"""),44272.0)</f>
        <v>44272</v>
      </c>
      <c r="G2772" t="str">
        <f>IFERROR(__xludf.DUMMYFUNCTION("""COMPUTED_VALUE"""),"Email")</f>
        <v>Email</v>
      </c>
      <c r="H2772">
        <f>IFERROR(__xludf.DUMMYFUNCTION("""COMPUTED_VALUE"""),926755.0)</f>
        <v>926755</v>
      </c>
      <c r="I2772" t="str">
        <f>IFERROR(__xludf.DUMMYFUNCTION("""COMPUTED_VALUE"""),"03/21")</f>
        <v>03/21</v>
      </c>
      <c r="J2772" s="188">
        <f>IFERROR(__xludf.DUMMYFUNCTION("""COMPUTED_VALUE"""),44277.0)</f>
        <v>44277</v>
      </c>
      <c r="K2772">
        <f>IFERROR(__xludf.DUMMYFUNCTION("""COMPUTED_VALUE"""),22.0)</f>
        <v>22</v>
      </c>
      <c r="L2772">
        <f>IFERROR(__xludf.DUMMYFUNCTION("""COMPUTED_VALUE"""),5.0)</f>
        <v>5</v>
      </c>
      <c r="M2772">
        <f>IFERROR(__xludf.DUMMYFUNCTION("""COMPUTED_VALUE"""),27.0)</f>
        <v>27</v>
      </c>
      <c r="N2772" t="str">
        <f>IFERROR(__xludf.DUMMYFUNCTION("""COMPUTED_VALUE"""),"Model 3 LR AWD")</f>
        <v>Model 3 LR AWD</v>
      </c>
      <c r="O2772" t="str">
        <f>IFERROR(__xludf.DUMMYFUNCTION("""COMPUTED_VALUE"""),"Pearl White Multi-Coat")</f>
        <v>Pearl White Multi-Coat</v>
      </c>
      <c r="P2772" t="str">
        <f>IFERROR(__xludf.DUMMYFUNCTION("""COMPUTED_VALUE"""),"19 inch")</f>
        <v>19 inch</v>
      </c>
      <c r="Q2772" t="str">
        <f>IFERROR(__xludf.DUMMYFUNCTION("""COMPUTED_VALUE"""),"Black and White")</f>
        <v>Black and White</v>
      </c>
      <c r="R2772" t="str">
        <f>IFERROR(__xludf.DUMMYFUNCTION("""COMPUTED_VALUE"""),"Autopilot included")</f>
        <v>Autopilot included</v>
      </c>
      <c r="S2772" t="str">
        <f>IFERROR(__xludf.DUMMYFUNCTION("""COMPUTED_VALUE"""),"Loan")</f>
        <v>Loan</v>
      </c>
      <c r="T2772" t="str">
        <f>IFERROR(__xludf.DUMMYFUNCTION("""COMPUTED_VALUE"""),"2006 Jetta")</f>
        <v>2006 Jetta</v>
      </c>
      <c r="U2772" t="str">
        <f>IFERROR(__xludf.DUMMYFUNCTION("""COMPUTED_VALUE"""),"Electric!")</f>
        <v>Electric!</v>
      </c>
      <c r="V2772" t="str">
        <f>IFERROR(__xludf.DUMMYFUNCTION("""COMPUTED_VALUE"""),"Apple CarPlay / Android Auto / SiriusXM Radio")</f>
        <v>Apple CarPlay / Android Auto / SiriusXM Radio</v>
      </c>
      <c r="X2772" t="str">
        <f>IFERROR(__xludf.DUMMYFUNCTION("""COMPUTED_VALUE"""),"Excellent")</f>
        <v>Excellent</v>
      </c>
      <c r="Y2772" t="str">
        <f>IFERROR(__xludf.DUMMYFUNCTION("""COMPUTED_VALUE"""),"Excellent")</f>
        <v>Excellent</v>
      </c>
      <c r="Z2772" t="str">
        <f>IFERROR(__xludf.DUMMYFUNCTION("""COMPUTED_VALUE"""),"Excellent")</f>
        <v>Excellent</v>
      </c>
      <c r="AA2772" t="str">
        <f>IFERROR(__xludf.DUMMYFUNCTION("""COMPUTED_VALUE"""),"Excellent")</f>
        <v>Excellent</v>
      </c>
      <c r="AB2772" t="str">
        <f>IFERROR(__xludf.DUMMYFUNCTION("""COMPUTED_VALUE"""),"Excellent")</f>
        <v>Excellent</v>
      </c>
      <c r="AF2772" t="str">
        <f>IFERROR(__xludf.DUMMYFUNCTION("""COMPUTED_VALUE"""),"No. I took delivery of the first car Tesla was able to deliver.")</f>
        <v>No. I took delivery of the first car Tesla was able to deliver.</v>
      </c>
      <c r="AH2772" s="189">
        <f>IFERROR(__xludf.DUMMYFUNCTION("""COMPUTED_VALUE"""),44284.8907040162)</f>
        <v>44284.8907</v>
      </c>
    </row>
    <row r="2773">
      <c r="A2773" t="str">
        <f>IFERROR(__xludf.DUMMYFUNCTION("""COMPUTED_VALUE"""),"xodusgenesis")</f>
        <v>xodusgenesis</v>
      </c>
      <c r="B2773" t="str">
        <f>IFERROR(__xludf.DUMMYFUNCTION("""COMPUTED_VALUE"""),"Nashua")</f>
        <v>Nashua</v>
      </c>
      <c r="C2773" t="str">
        <f>IFERROR(__xludf.DUMMYFUNCTION("""COMPUTED_VALUE"""),"NH")</f>
        <v>NH</v>
      </c>
      <c r="D2773" t="str">
        <f>IFERROR(__xludf.DUMMYFUNCTION("""COMPUTED_VALUE"""),"USA")</f>
        <v>USA</v>
      </c>
      <c r="E2773" s="188">
        <f>IFERROR(__xludf.DUMMYFUNCTION("""COMPUTED_VALUE"""),44261.0)</f>
        <v>44261</v>
      </c>
      <c r="F2773" s="188">
        <f>IFERROR(__xludf.DUMMYFUNCTION("""COMPUTED_VALUE"""),44267.0)</f>
        <v>44267</v>
      </c>
      <c r="G2773" t="str">
        <f>IFERROR(__xludf.DUMMYFUNCTION("""COMPUTED_VALUE"""),"Manage order page (normal text)")</f>
        <v>Manage order page (normal text)</v>
      </c>
      <c r="H2773">
        <f>IFERROR(__xludf.DUMMYFUNCTION("""COMPUTED_VALUE"""),923746.0)</f>
        <v>923746</v>
      </c>
      <c r="I2773" t="str">
        <f>IFERROR(__xludf.DUMMYFUNCTION("""COMPUTED_VALUE"""),"03/21")</f>
        <v>03/21</v>
      </c>
      <c r="J2773" s="188">
        <f>IFERROR(__xludf.DUMMYFUNCTION("""COMPUTED_VALUE"""),44282.0)</f>
        <v>44282</v>
      </c>
      <c r="K2773">
        <f>IFERROR(__xludf.DUMMYFUNCTION("""COMPUTED_VALUE"""),6.0)</f>
        <v>6</v>
      </c>
      <c r="L2773">
        <f>IFERROR(__xludf.DUMMYFUNCTION("""COMPUTED_VALUE"""),15.0)</f>
        <v>15</v>
      </c>
      <c r="M2773">
        <f>IFERROR(__xludf.DUMMYFUNCTION("""COMPUTED_VALUE"""),21.0)</f>
        <v>21</v>
      </c>
      <c r="N2773" t="str">
        <f>IFERROR(__xludf.DUMMYFUNCTION("""COMPUTED_VALUE"""),"Model 3 LR AWD")</f>
        <v>Model 3 LR AWD</v>
      </c>
      <c r="O2773" t="str">
        <f>IFERROR(__xludf.DUMMYFUNCTION("""COMPUTED_VALUE"""),"Red Multi-Coat")</f>
        <v>Red Multi-Coat</v>
      </c>
      <c r="P2773" t="str">
        <f>IFERROR(__xludf.DUMMYFUNCTION("""COMPUTED_VALUE"""),"18 inch")</f>
        <v>18 inch</v>
      </c>
      <c r="Q2773" t="str">
        <f>IFERROR(__xludf.DUMMYFUNCTION("""COMPUTED_VALUE"""),"All Black")</f>
        <v>All Black</v>
      </c>
      <c r="R2773" t="str">
        <f>IFERROR(__xludf.DUMMYFUNCTION("""COMPUTED_VALUE"""),"Autopilot included")</f>
        <v>Autopilot included</v>
      </c>
      <c r="S2773" t="str">
        <f>IFERROR(__xludf.DUMMYFUNCTION("""COMPUTED_VALUE"""),"Loan")</f>
        <v>Loan</v>
      </c>
      <c r="T2773" t="str">
        <f>IFERROR(__xludf.DUMMYFUNCTION("""COMPUTED_VALUE"""),"Model 3 will be my first car!")</f>
        <v>Model 3 will be my first car!</v>
      </c>
      <c r="U2773" t="str">
        <f>IFERROR(__xludf.DUMMYFUNCTION("""COMPUTED_VALUE"""),"Electric!")</f>
        <v>Electric!</v>
      </c>
      <c r="V2773" t="str">
        <f>IFERROR(__xludf.DUMMYFUNCTION("""COMPUTED_VALUE"""),"Head-up display")</f>
        <v>Head-up display</v>
      </c>
      <c r="X2773" t="str">
        <f>IFERROR(__xludf.DUMMYFUNCTION("""COMPUTED_VALUE"""),"Excellent")</f>
        <v>Excellent</v>
      </c>
      <c r="Y2773" t="str">
        <f>IFERROR(__xludf.DUMMYFUNCTION("""COMPUTED_VALUE"""),"Excellent")</f>
        <v>Excellent</v>
      </c>
      <c r="Z2773" t="str">
        <f>IFERROR(__xludf.DUMMYFUNCTION("""COMPUTED_VALUE"""),"Good")</f>
        <v>Good</v>
      </c>
      <c r="AA2773" t="str">
        <f>IFERROR(__xludf.DUMMYFUNCTION("""COMPUTED_VALUE"""),"Fair")</f>
        <v>Fair</v>
      </c>
      <c r="AB2773" t="str">
        <f>IFERROR(__xludf.DUMMYFUNCTION("""COMPUTED_VALUE"""),"Fair")</f>
        <v>Fair</v>
      </c>
      <c r="AC2773">
        <f>IFERROR(__xludf.DUMMYFUNCTION("""COMPUTED_VALUE"""),1.0)</f>
        <v>1</v>
      </c>
      <c r="AD2773">
        <f>IFERROR(__xludf.DUMMYFUNCTION("""COMPUTED_VALUE"""),1.0)</f>
        <v>1</v>
      </c>
      <c r="AF2773" t="str">
        <f>IFERROR(__xludf.DUMMYFUNCTION("""COMPUTED_VALUE"""),"No. I took delivery of the first car Tesla was able to deliver.")</f>
        <v>No. I took delivery of the first car Tesla was able to deliver.</v>
      </c>
      <c r="AH2773" s="189">
        <f>IFERROR(__xludf.DUMMYFUNCTION("""COMPUTED_VALUE"""),44294.40827133102)</f>
        <v>44294.40827</v>
      </c>
    </row>
    <row r="2774">
      <c r="A2774" t="str">
        <f>IFERROR(__xludf.DUMMYFUNCTION("""COMPUTED_VALUE"""),"DurkaDurka")</f>
        <v>DurkaDurka</v>
      </c>
      <c r="B2774" t="str">
        <f>IFERROR(__xludf.DUMMYFUNCTION("""COMPUTED_VALUE"""),"Fairfax")</f>
        <v>Fairfax</v>
      </c>
      <c r="C2774" t="str">
        <f>IFERROR(__xludf.DUMMYFUNCTION("""COMPUTED_VALUE"""),"VA")</f>
        <v>VA</v>
      </c>
      <c r="D2774" t="str">
        <f>IFERROR(__xludf.DUMMYFUNCTION("""COMPUTED_VALUE"""),"USA")</f>
        <v>USA</v>
      </c>
      <c r="E2774" s="188">
        <f>IFERROR(__xludf.DUMMYFUNCTION("""COMPUTED_VALUE"""),44256.0)</f>
        <v>44256</v>
      </c>
      <c r="F2774" s="188">
        <f>IFERROR(__xludf.DUMMYFUNCTION("""COMPUTED_VALUE"""),44266.0)</f>
        <v>44266</v>
      </c>
      <c r="G2774" t="str">
        <f>IFERROR(__xludf.DUMMYFUNCTION("""COMPUTED_VALUE"""),"Text message")</f>
        <v>Text message</v>
      </c>
      <c r="H2774">
        <f>IFERROR(__xludf.DUMMYFUNCTION("""COMPUTED_VALUE"""),923000.0)</f>
        <v>923000</v>
      </c>
      <c r="J2774" s="188">
        <f>IFERROR(__xludf.DUMMYFUNCTION("""COMPUTED_VALUE"""),44278.0)</f>
        <v>44278</v>
      </c>
      <c r="K2774">
        <f>IFERROR(__xludf.DUMMYFUNCTION("""COMPUTED_VALUE"""),10.0)</f>
        <v>10</v>
      </c>
      <c r="L2774">
        <f>IFERROR(__xludf.DUMMYFUNCTION("""COMPUTED_VALUE"""),12.0)</f>
        <v>12</v>
      </c>
      <c r="M2774">
        <f>IFERROR(__xludf.DUMMYFUNCTION("""COMPUTED_VALUE"""),22.0)</f>
        <v>22</v>
      </c>
      <c r="N2774" t="str">
        <f>IFERROR(__xludf.DUMMYFUNCTION("""COMPUTED_VALUE"""),"Model 3 LR AWD")</f>
        <v>Model 3 LR AWD</v>
      </c>
      <c r="O2774" t="str">
        <f>IFERROR(__xludf.DUMMYFUNCTION("""COMPUTED_VALUE"""),"Pearl White Multi-Coat")</f>
        <v>Pearl White Multi-Coat</v>
      </c>
      <c r="P2774" t="str">
        <f>IFERROR(__xludf.DUMMYFUNCTION("""COMPUTED_VALUE"""),"18 inch")</f>
        <v>18 inch</v>
      </c>
      <c r="Q2774" t="str">
        <f>IFERROR(__xludf.DUMMYFUNCTION("""COMPUTED_VALUE"""),"All Black")</f>
        <v>All Black</v>
      </c>
      <c r="R2774" t="str">
        <f>IFERROR(__xludf.DUMMYFUNCTION("""COMPUTED_VALUE"""),"Autopilot included")</f>
        <v>Autopilot included</v>
      </c>
      <c r="S2774" t="str">
        <f>IFERROR(__xludf.DUMMYFUNCTION("""COMPUTED_VALUE"""),"Loan")</f>
        <v>Loan</v>
      </c>
      <c r="T2774" t="str">
        <f>IFERROR(__xludf.DUMMYFUNCTION("""COMPUTED_VALUE"""),"Chevy Bolt")</f>
        <v>Chevy Bolt</v>
      </c>
      <c r="U2774" t="str">
        <f>IFERROR(__xludf.DUMMYFUNCTION("""COMPUTED_VALUE"""),"Electric!")</f>
        <v>Electric!</v>
      </c>
      <c r="V2774" t="str">
        <f>IFERROR(__xludf.DUMMYFUNCTION("""COMPUTED_VALUE"""),"Apple CarPlay / Android Auto / SiriusXM Radio")</f>
        <v>Apple CarPlay / Android Auto / SiriusXM Radio</v>
      </c>
      <c r="X2774" t="str">
        <f>IFERROR(__xludf.DUMMYFUNCTION("""COMPUTED_VALUE"""),"Very Good")</f>
        <v>Very Good</v>
      </c>
      <c r="Y2774" t="str">
        <f>IFERROR(__xludf.DUMMYFUNCTION("""COMPUTED_VALUE"""),"Excellent")</f>
        <v>Excellent</v>
      </c>
      <c r="Z2774" t="str">
        <f>IFERROR(__xludf.DUMMYFUNCTION("""COMPUTED_VALUE"""),"Very Good")</f>
        <v>Very Good</v>
      </c>
      <c r="AA2774" t="str">
        <f>IFERROR(__xludf.DUMMYFUNCTION("""COMPUTED_VALUE"""),"Good")</f>
        <v>Good</v>
      </c>
      <c r="AB2774" t="str">
        <f>IFERROR(__xludf.DUMMYFUNCTION("""COMPUTED_VALUE"""),"Very Good")</f>
        <v>Very Good</v>
      </c>
      <c r="AC2774">
        <f>IFERROR(__xludf.DUMMYFUNCTION("""COMPUTED_VALUE"""),1.0)</f>
        <v>1</v>
      </c>
      <c r="AF2774" t="str">
        <f>IFERROR(__xludf.DUMMYFUNCTION("""COMPUTED_VALUE"""),"No. I took delivery of the first car Tesla was able to deliver.")</f>
        <v>No. I took delivery of the first car Tesla was able to deliver.</v>
      </c>
      <c r="AH2774" s="189">
        <f>IFERROR(__xludf.DUMMYFUNCTION("""COMPUTED_VALUE"""),44278.894576770836)</f>
        <v>44278.89458</v>
      </c>
    </row>
    <row r="2775">
      <c r="A2775" t="str">
        <f>IFERROR(__xludf.DUMMYFUNCTION("""COMPUTED_VALUE"""),"Redbull")</f>
        <v>Redbull</v>
      </c>
      <c r="B2775" t="str">
        <f>IFERROR(__xludf.DUMMYFUNCTION("""COMPUTED_VALUE"""),"Toronto")</f>
        <v>Toronto</v>
      </c>
      <c r="C2775" t="str">
        <f>IFERROR(__xludf.DUMMYFUNCTION("""COMPUTED_VALUE"""),"ON")</f>
        <v>ON</v>
      </c>
      <c r="D2775" t="str">
        <f>IFERROR(__xludf.DUMMYFUNCTION("""COMPUTED_VALUE"""),"Canada")</f>
        <v>Canada</v>
      </c>
      <c r="E2775" s="188">
        <f>IFERROR(__xludf.DUMMYFUNCTION("""COMPUTED_VALUE"""),44260.0)</f>
        <v>44260</v>
      </c>
      <c r="F2775" s="188">
        <f>IFERROR(__xludf.DUMMYFUNCTION("""COMPUTED_VALUE"""),44344.0)</f>
        <v>44344</v>
      </c>
      <c r="G2775" t="str">
        <f>IFERROR(__xludf.DUMMYFUNCTION("""COMPUTED_VALUE"""),"Source code")</f>
        <v>Source code</v>
      </c>
      <c r="H2775">
        <f>IFERROR(__xludf.DUMMYFUNCTION("""COMPUTED_VALUE"""),975535.0)</f>
        <v>975535</v>
      </c>
      <c r="J2775" s="188">
        <f>IFERROR(__xludf.DUMMYFUNCTION("""COMPUTED_VALUE"""),44354.0)</f>
        <v>44354</v>
      </c>
      <c r="K2775">
        <f>IFERROR(__xludf.DUMMYFUNCTION("""COMPUTED_VALUE"""),84.0)</f>
        <v>84</v>
      </c>
      <c r="L2775">
        <f>IFERROR(__xludf.DUMMYFUNCTION("""COMPUTED_VALUE"""),10.0)</f>
        <v>10</v>
      </c>
      <c r="M2775">
        <f>IFERROR(__xludf.DUMMYFUNCTION("""COMPUTED_VALUE"""),94.0)</f>
        <v>94</v>
      </c>
      <c r="N2775" t="str">
        <f>IFERROR(__xludf.DUMMYFUNCTION("""COMPUTED_VALUE"""),"Model 3 LR AWD")</f>
        <v>Model 3 LR AWD</v>
      </c>
      <c r="O2775" t="str">
        <f>IFERROR(__xludf.DUMMYFUNCTION("""COMPUTED_VALUE"""),"Pearl White Multi-Coat")</f>
        <v>Pearl White Multi-Coat</v>
      </c>
      <c r="P2775" t="str">
        <f>IFERROR(__xludf.DUMMYFUNCTION("""COMPUTED_VALUE"""),"19 inch")</f>
        <v>19 inch</v>
      </c>
      <c r="Q2775" t="str">
        <f>IFERROR(__xludf.DUMMYFUNCTION("""COMPUTED_VALUE"""),"Black and White")</f>
        <v>Black and White</v>
      </c>
      <c r="R2775" t="str">
        <f>IFERROR(__xludf.DUMMYFUNCTION("""COMPUTED_VALUE"""),"Full Self-Driving")</f>
        <v>Full Self-Driving</v>
      </c>
      <c r="S2775" t="str">
        <f>IFERROR(__xludf.DUMMYFUNCTION("""COMPUTED_VALUE"""),"Cash")</f>
        <v>Cash</v>
      </c>
      <c r="T2775" t="str">
        <f>IFERROR(__xludf.DUMMYFUNCTION("""COMPUTED_VALUE"""),"BMW 3 Series")</f>
        <v>BMW 3 Series</v>
      </c>
      <c r="U2775" t="str">
        <f>IFERROR(__xludf.DUMMYFUNCTION("""COMPUTED_VALUE"""),"Electric!")</f>
        <v>Electric!</v>
      </c>
      <c r="V2775" t="str">
        <f>IFERROR(__xludf.DUMMYFUNCTION("""COMPUTED_VALUE"""),"Apple CarPlay / Android Auto / SiriusXM Radio")</f>
        <v>Apple CarPlay / Android Auto / SiriusXM Radio</v>
      </c>
      <c r="X2775" t="str">
        <f>IFERROR(__xludf.DUMMYFUNCTION("""COMPUTED_VALUE"""),"Excellent")</f>
        <v>Excellent</v>
      </c>
      <c r="Y2775" t="str">
        <f>IFERROR(__xludf.DUMMYFUNCTION("""COMPUTED_VALUE"""),"Excellent")</f>
        <v>Excellent</v>
      </c>
      <c r="Z2775" t="str">
        <f>IFERROR(__xludf.DUMMYFUNCTION("""COMPUTED_VALUE"""),"Excellent")</f>
        <v>Excellent</v>
      </c>
      <c r="AA2775" t="str">
        <f>IFERROR(__xludf.DUMMYFUNCTION("""COMPUTED_VALUE"""),"Excellent")</f>
        <v>Excellent</v>
      </c>
      <c r="AB2775" t="str">
        <f>IFERROR(__xludf.DUMMYFUNCTION("""COMPUTED_VALUE"""),"Excellent")</f>
        <v>Excellent</v>
      </c>
      <c r="AF2775" t="str">
        <f>IFERROR(__xludf.DUMMYFUNCTION("""COMPUTED_VALUE"""),"No. I took delivery of the first car Tesla was able to deliver.")</f>
        <v>No. I took delivery of the first car Tesla was able to deliver.</v>
      </c>
      <c r="AH2775" s="189">
        <f>IFERROR(__xludf.DUMMYFUNCTION("""COMPUTED_VALUE"""),44355.40219090278)</f>
        <v>44355.40219</v>
      </c>
    </row>
    <row r="2776">
      <c r="A2776" t="str">
        <f>IFERROR(__xludf.DUMMYFUNCTION("""COMPUTED_VALUE"""),"jda7165")</f>
        <v>jda7165</v>
      </c>
      <c r="C2776" t="str">
        <f>IFERROR(__xludf.DUMMYFUNCTION("""COMPUTED_VALUE"""),"MD")</f>
        <v>MD</v>
      </c>
      <c r="D2776" t="str">
        <f>IFERROR(__xludf.DUMMYFUNCTION("""COMPUTED_VALUE"""),"USA")</f>
        <v>USA</v>
      </c>
      <c r="E2776" s="188">
        <f>IFERROR(__xludf.DUMMYFUNCTION("""COMPUTED_VALUE"""),44263.0)</f>
        <v>44263</v>
      </c>
      <c r="F2776" s="188">
        <f>IFERROR(__xludf.DUMMYFUNCTION("""COMPUTED_VALUE"""),44264.0)</f>
        <v>44264</v>
      </c>
      <c r="G2776" t="str">
        <f>IFERROR(__xludf.DUMMYFUNCTION("""COMPUTED_VALUE"""),"Manage order page (normal text)")</f>
        <v>Manage order page (normal text)</v>
      </c>
      <c r="H2776">
        <f>IFERROR(__xludf.DUMMYFUNCTION("""COMPUTED_VALUE"""),903455.0)</f>
        <v>903455</v>
      </c>
      <c r="I2776" t="str">
        <f>IFERROR(__xludf.DUMMYFUNCTION("""COMPUTED_VALUE"""),"02/21")</f>
        <v>02/21</v>
      </c>
      <c r="J2776" s="188">
        <f>IFERROR(__xludf.DUMMYFUNCTION("""COMPUTED_VALUE"""),44267.0)</f>
        <v>44267</v>
      </c>
      <c r="K2776">
        <f>IFERROR(__xludf.DUMMYFUNCTION("""COMPUTED_VALUE"""),1.0)</f>
        <v>1</v>
      </c>
      <c r="L2776">
        <f>IFERROR(__xludf.DUMMYFUNCTION("""COMPUTED_VALUE"""),3.0)</f>
        <v>3</v>
      </c>
      <c r="M2776">
        <f>IFERROR(__xludf.DUMMYFUNCTION("""COMPUTED_VALUE"""),4.0)</f>
        <v>4</v>
      </c>
      <c r="N2776" t="str">
        <f>IFERROR(__xludf.DUMMYFUNCTION("""COMPUTED_VALUE"""),"Model 3 LR AWD")</f>
        <v>Model 3 LR AWD</v>
      </c>
      <c r="O2776" t="str">
        <f>IFERROR(__xludf.DUMMYFUNCTION("""COMPUTED_VALUE"""),"Pearl White Multi-Coat")</f>
        <v>Pearl White Multi-Coat</v>
      </c>
      <c r="P2776" t="str">
        <f>IFERROR(__xludf.DUMMYFUNCTION("""COMPUTED_VALUE"""),"19 inch")</f>
        <v>19 inch</v>
      </c>
      <c r="Q2776" t="str">
        <f>IFERROR(__xludf.DUMMYFUNCTION("""COMPUTED_VALUE"""),"Black and White")</f>
        <v>Black and White</v>
      </c>
      <c r="R2776" t="str">
        <f>IFERROR(__xludf.DUMMYFUNCTION("""COMPUTED_VALUE"""),"Autopilot included")</f>
        <v>Autopilot included</v>
      </c>
      <c r="S2776" t="str">
        <f>IFERROR(__xludf.DUMMYFUNCTION("""COMPUTED_VALUE"""),"Loan")</f>
        <v>Loan</v>
      </c>
      <c r="U2776" t="str">
        <f>IFERROR(__xludf.DUMMYFUNCTION("""COMPUTED_VALUE"""),"Electric!")</f>
        <v>Electric!</v>
      </c>
      <c r="V2776" t="str">
        <f>IFERROR(__xludf.DUMMYFUNCTION("""COMPUTED_VALUE"""),"Apple CarPlay / Android Auto / SiriusXM Radio")</f>
        <v>Apple CarPlay / Android Auto / SiriusXM Radio</v>
      </c>
      <c r="X2776" t="str">
        <f>IFERROR(__xludf.DUMMYFUNCTION("""COMPUTED_VALUE"""),"Excellent")</f>
        <v>Excellent</v>
      </c>
      <c r="Y2776" t="str">
        <f>IFERROR(__xludf.DUMMYFUNCTION("""COMPUTED_VALUE"""),"Very Good")</f>
        <v>Very Good</v>
      </c>
      <c r="Z2776" t="str">
        <f>IFERROR(__xludf.DUMMYFUNCTION("""COMPUTED_VALUE"""),"Excellent")</f>
        <v>Excellent</v>
      </c>
      <c r="AA2776" t="str">
        <f>IFERROR(__xludf.DUMMYFUNCTION("""COMPUTED_VALUE"""),"Excellent")</f>
        <v>Excellent</v>
      </c>
      <c r="AB2776" t="str">
        <f>IFERROR(__xludf.DUMMYFUNCTION("""COMPUTED_VALUE"""),"Very Good")</f>
        <v>Very Good</v>
      </c>
      <c r="AF2776" t="str">
        <f>IFERROR(__xludf.DUMMYFUNCTION("""COMPUTED_VALUE"""),"No. I took delivery of the first car Tesla was able to deliver.")</f>
        <v>No. I took delivery of the first car Tesla was able to deliver.</v>
      </c>
      <c r="AH2776" s="189">
        <f>IFERROR(__xludf.DUMMYFUNCTION("""COMPUTED_VALUE"""),44267.60662652778)</f>
        <v>44267.60663</v>
      </c>
    </row>
    <row r="2777">
      <c r="A2777" t="str">
        <f>IFERROR(__xludf.DUMMYFUNCTION("""COMPUTED_VALUE"""),"JPJLV")</f>
        <v>JPJLV</v>
      </c>
      <c r="B2777" t="str">
        <f>IFERROR(__xludf.DUMMYFUNCTION("""COMPUTED_VALUE"""),"Las Vegas")</f>
        <v>Las Vegas</v>
      </c>
      <c r="C2777" t="str">
        <f>IFERROR(__xludf.DUMMYFUNCTION("""COMPUTED_VALUE"""),"NV")</f>
        <v>NV</v>
      </c>
      <c r="D2777" t="str">
        <f>IFERROR(__xludf.DUMMYFUNCTION("""COMPUTED_VALUE"""),"USA")</f>
        <v>USA</v>
      </c>
      <c r="E2777" s="188">
        <f>IFERROR(__xludf.DUMMYFUNCTION("""COMPUTED_VALUE"""),44251.0)</f>
        <v>44251</v>
      </c>
      <c r="F2777" s="188">
        <f>IFERROR(__xludf.DUMMYFUNCTION("""COMPUTED_VALUE"""),44266.0)</f>
        <v>44266</v>
      </c>
      <c r="G2777" t="str">
        <f>IFERROR(__xludf.DUMMYFUNCTION("""COMPUTED_VALUE"""),"Email")</f>
        <v>Email</v>
      </c>
      <c r="H2777">
        <f>IFERROR(__xludf.DUMMYFUNCTION("""COMPUTED_VALUE"""),923555.0)</f>
        <v>923555</v>
      </c>
      <c r="I2777" t="str">
        <f>IFERROR(__xludf.DUMMYFUNCTION("""COMPUTED_VALUE"""),"03/21")</f>
        <v>03/21</v>
      </c>
      <c r="J2777" s="188">
        <f>IFERROR(__xludf.DUMMYFUNCTION("""COMPUTED_VALUE"""),44268.0)</f>
        <v>44268</v>
      </c>
      <c r="K2777">
        <f>IFERROR(__xludf.DUMMYFUNCTION("""COMPUTED_VALUE"""),15.0)</f>
        <v>15</v>
      </c>
      <c r="L2777">
        <f>IFERROR(__xludf.DUMMYFUNCTION("""COMPUTED_VALUE"""),2.0)</f>
        <v>2</v>
      </c>
      <c r="M2777">
        <f>IFERROR(__xludf.DUMMYFUNCTION("""COMPUTED_VALUE"""),17.0)</f>
        <v>17</v>
      </c>
      <c r="N2777" t="str">
        <f>IFERROR(__xludf.DUMMYFUNCTION("""COMPUTED_VALUE"""),"Model 3 SR+")</f>
        <v>Model 3 SR+</v>
      </c>
      <c r="O2777" t="str">
        <f>IFERROR(__xludf.DUMMYFUNCTION("""COMPUTED_VALUE"""),"Deep Blue Metallic")</f>
        <v>Deep Blue Metallic</v>
      </c>
      <c r="P2777" t="str">
        <f>IFERROR(__xludf.DUMMYFUNCTION("""COMPUTED_VALUE"""),"18 inch")</f>
        <v>18 inch</v>
      </c>
      <c r="Q2777" t="str">
        <f>IFERROR(__xludf.DUMMYFUNCTION("""COMPUTED_VALUE"""),"All Black")</f>
        <v>All Black</v>
      </c>
      <c r="R2777" t="str">
        <f>IFERROR(__xludf.DUMMYFUNCTION("""COMPUTED_VALUE"""),"Autopilot included")</f>
        <v>Autopilot included</v>
      </c>
      <c r="T2777" t="str">
        <f>IFERROR(__xludf.DUMMYFUNCTION("""COMPUTED_VALUE"""),"Jeep Wrangler")</f>
        <v>Jeep Wrangler</v>
      </c>
      <c r="U2777" t="str">
        <f>IFERROR(__xludf.DUMMYFUNCTION("""COMPUTED_VALUE"""),"Tesla brand image")</f>
        <v>Tesla brand image</v>
      </c>
      <c r="V2777" t="str">
        <f>IFERROR(__xludf.DUMMYFUNCTION("""COMPUTED_VALUE"""),"Blind spot indicators on side mirrors")</f>
        <v>Blind spot indicators on side mirrors</v>
      </c>
      <c r="W2777" t="str">
        <f>IFERROR(__xludf.DUMMYFUNCTION("""COMPUTED_VALUE"""),"Be patient, use the time waiting to install home charger.")</f>
        <v>Be patient, use the time waiting to install home charger.</v>
      </c>
      <c r="X2777" t="str">
        <f>IFERROR(__xludf.DUMMYFUNCTION("""COMPUTED_VALUE"""),"Excellent")</f>
        <v>Excellent</v>
      </c>
      <c r="Y2777" t="str">
        <f>IFERROR(__xludf.DUMMYFUNCTION("""COMPUTED_VALUE"""),"Excellent")</f>
        <v>Excellent</v>
      </c>
      <c r="Z2777" t="str">
        <f>IFERROR(__xludf.DUMMYFUNCTION("""COMPUTED_VALUE"""),"Excellent")</f>
        <v>Excellent</v>
      </c>
      <c r="AA2777" t="str">
        <f>IFERROR(__xludf.DUMMYFUNCTION("""COMPUTED_VALUE"""),"Excellent")</f>
        <v>Excellent</v>
      </c>
      <c r="AB2777" t="str">
        <f>IFERROR(__xludf.DUMMYFUNCTION("""COMPUTED_VALUE"""),"Excellent")</f>
        <v>Excellent</v>
      </c>
      <c r="AC2777">
        <f>IFERROR(__xludf.DUMMYFUNCTION("""COMPUTED_VALUE"""),0.0)</f>
        <v>0</v>
      </c>
      <c r="AD2777">
        <f>IFERROR(__xludf.DUMMYFUNCTION("""COMPUTED_VALUE"""),0.0)</f>
        <v>0</v>
      </c>
      <c r="AF2777" t="str">
        <f>IFERROR(__xludf.DUMMYFUNCTION("""COMPUTED_VALUE"""),"No. I took delivery of the first car Tesla was able to deliver.")</f>
        <v>No. I took delivery of the first car Tesla was able to deliver.</v>
      </c>
      <c r="AG2777" t="str">
        <f>IFERROR(__xludf.DUMMYFUNCTION("""COMPUTED_VALUE"""),"I couldn't be happier with my vehicle, no issues, no quality control issues and direct delivery was amazing!")</f>
        <v>I couldn't be happier with my vehicle, no issues, no quality control issues and direct delivery was amazing!</v>
      </c>
      <c r="AH2777" s="189">
        <f>IFERROR(__xludf.DUMMYFUNCTION("""COMPUTED_VALUE"""),44269.8687052662)</f>
        <v>44269.86871</v>
      </c>
    </row>
    <row r="2778">
      <c r="A2778" t="str">
        <f>IFERROR(__xludf.DUMMYFUNCTION("""COMPUTED_VALUE"""),"nolakpd504")</f>
        <v>nolakpd504</v>
      </c>
      <c r="B2778" t="str">
        <f>IFERROR(__xludf.DUMMYFUNCTION("""COMPUTED_VALUE"""),"Thibodaux")</f>
        <v>Thibodaux</v>
      </c>
      <c r="C2778" t="str">
        <f>IFERROR(__xludf.DUMMYFUNCTION("""COMPUTED_VALUE"""),"LA")</f>
        <v>LA</v>
      </c>
      <c r="D2778" t="str">
        <f>IFERROR(__xludf.DUMMYFUNCTION("""COMPUTED_VALUE"""),"USA")</f>
        <v>USA</v>
      </c>
      <c r="E2778" s="188">
        <f>IFERROR(__xludf.DUMMYFUNCTION("""COMPUTED_VALUE"""),44255.0)</f>
        <v>44255</v>
      </c>
      <c r="F2778" s="188">
        <f>IFERROR(__xludf.DUMMYFUNCTION("""COMPUTED_VALUE"""),44271.0)</f>
        <v>44271</v>
      </c>
      <c r="G2778" t="str">
        <f>IFERROR(__xludf.DUMMYFUNCTION("""COMPUTED_VALUE"""),"Manage order page (normal text)")</f>
        <v>Manage order page (normal text)</v>
      </c>
      <c r="H2778">
        <f>IFERROR(__xludf.DUMMYFUNCTION("""COMPUTED_VALUE"""),926570.0)</f>
        <v>926570</v>
      </c>
      <c r="I2778" t="str">
        <f>IFERROR(__xludf.DUMMYFUNCTION("""COMPUTED_VALUE"""),"03/21")</f>
        <v>03/21</v>
      </c>
      <c r="J2778" s="188">
        <f>IFERROR(__xludf.DUMMYFUNCTION("""COMPUTED_VALUE"""),44283.0)</f>
        <v>44283</v>
      </c>
      <c r="K2778">
        <f>IFERROR(__xludf.DUMMYFUNCTION("""COMPUTED_VALUE"""),16.0)</f>
        <v>16</v>
      </c>
      <c r="L2778">
        <f>IFERROR(__xludf.DUMMYFUNCTION("""COMPUTED_VALUE"""),12.0)</f>
        <v>12</v>
      </c>
      <c r="M2778">
        <f>IFERROR(__xludf.DUMMYFUNCTION("""COMPUTED_VALUE"""),28.0)</f>
        <v>28</v>
      </c>
      <c r="N2778" t="str">
        <f>IFERROR(__xludf.DUMMYFUNCTION("""COMPUTED_VALUE"""),"Model 3 LR AWD")</f>
        <v>Model 3 LR AWD</v>
      </c>
      <c r="O2778" t="str">
        <f>IFERROR(__xludf.DUMMYFUNCTION("""COMPUTED_VALUE"""),"Deep Blue Metallic")</f>
        <v>Deep Blue Metallic</v>
      </c>
      <c r="P2778" t="str">
        <f>IFERROR(__xludf.DUMMYFUNCTION("""COMPUTED_VALUE"""),"19 inch")</f>
        <v>19 inch</v>
      </c>
      <c r="Q2778" t="str">
        <f>IFERROR(__xludf.DUMMYFUNCTION("""COMPUTED_VALUE"""),"Black and White")</f>
        <v>Black and White</v>
      </c>
      <c r="R2778" t="str">
        <f>IFERROR(__xludf.DUMMYFUNCTION("""COMPUTED_VALUE"""),"Autopilot included")</f>
        <v>Autopilot included</v>
      </c>
      <c r="S2778" t="str">
        <f>IFERROR(__xludf.DUMMYFUNCTION("""COMPUTED_VALUE"""),"Loan")</f>
        <v>Loan</v>
      </c>
      <c r="T2778" t="str">
        <f>IFERROR(__xludf.DUMMYFUNCTION("""COMPUTED_VALUE"""),"2011 Scion tC")</f>
        <v>2011 Scion tC</v>
      </c>
      <c r="U2778" t="str">
        <f>IFERROR(__xludf.DUMMYFUNCTION("""COMPUTED_VALUE"""),"Electric!")</f>
        <v>Electric!</v>
      </c>
      <c r="V2778" t="str">
        <f>IFERROR(__xludf.DUMMYFUNCTION("""COMPUTED_VALUE"""),"Ventilated seats")</f>
        <v>Ventilated seats</v>
      </c>
      <c r="X2778" t="str">
        <f>IFERROR(__xludf.DUMMYFUNCTION("""COMPUTED_VALUE"""),"Excellent")</f>
        <v>Excellent</v>
      </c>
      <c r="Y2778" t="str">
        <f>IFERROR(__xludf.DUMMYFUNCTION("""COMPUTED_VALUE"""),"Excellent")</f>
        <v>Excellent</v>
      </c>
      <c r="Z2778" t="str">
        <f>IFERROR(__xludf.DUMMYFUNCTION("""COMPUTED_VALUE"""),"Excellent")</f>
        <v>Excellent</v>
      </c>
      <c r="AA2778" t="str">
        <f>IFERROR(__xludf.DUMMYFUNCTION("""COMPUTED_VALUE"""),"Poor")</f>
        <v>Poor</v>
      </c>
      <c r="AB2778" t="str">
        <f>IFERROR(__xludf.DUMMYFUNCTION("""COMPUTED_VALUE"""),"Poor")</f>
        <v>Poor</v>
      </c>
      <c r="AF2778" t="str">
        <f>IFERROR(__xludf.DUMMYFUNCTION("""COMPUTED_VALUE"""),"No. I took delivery of the first car Tesla was able to deliver.")</f>
        <v>No. I took delivery of the first car Tesla was able to deliver.</v>
      </c>
      <c r="AH2778" s="189">
        <f>IFERROR(__xludf.DUMMYFUNCTION("""COMPUTED_VALUE"""),44283.843240601855)</f>
        <v>44283.84324</v>
      </c>
    </row>
    <row r="2779">
      <c r="A2779" t="str">
        <f>IFERROR(__xludf.DUMMYFUNCTION("""COMPUTED_VALUE"""),"ElongatedMuskrat")</f>
        <v>ElongatedMuskrat</v>
      </c>
      <c r="B2779" t="str">
        <f>IFERROR(__xludf.DUMMYFUNCTION("""COMPUTED_VALUE"""),"Seattle")</f>
        <v>Seattle</v>
      </c>
      <c r="C2779" t="str">
        <f>IFERROR(__xludf.DUMMYFUNCTION("""COMPUTED_VALUE"""),"WA")</f>
        <v>WA</v>
      </c>
      <c r="D2779" t="str">
        <f>IFERROR(__xludf.DUMMYFUNCTION("""COMPUTED_VALUE"""),"USA")</f>
        <v>USA</v>
      </c>
      <c r="E2779" s="188">
        <f>IFERROR(__xludf.DUMMYFUNCTION("""COMPUTED_VALUE"""),44261.0)</f>
        <v>44261</v>
      </c>
      <c r="F2779" s="188">
        <f>IFERROR(__xludf.DUMMYFUNCTION("""COMPUTED_VALUE"""),44271.0)</f>
        <v>44271</v>
      </c>
      <c r="G2779" t="str">
        <f>IFERROR(__xludf.DUMMYFUNCTION("""COMPUTED_VALUE"""),"Manage order page (normal text)")</f>
        <v>Manage order page (normal text)</v>
      </c>
      <c r="H2779">
        <f>IFERROR(__xludf.DUMMYFUNCTION("""COMPUTED_VALUE"""),927128.0)</f>
        <v>927128</v>
      </c>
      <c r="I2779" t="str">
        <f>IFERROR(__xludf.DUMMYFUNCTION("""COMPUTED_VALUE"""),"03/21")</f>
        <v>03/21</v>
      </c>
      <c r="J2779" s="188">
        <f>IFERROR(__xludf.DUMMYFUNCTION("""COMPUTED_VALUE"""),44277.0)</f>
        <v>44277</v>
      </c>
      <c r="K2779">
        <f>IFERROR(__xludf.DUMMYFUNCTION("""COMPUTED_VALUE"""),10.0)</f>
        <v>10</v>
      </c>
      <c r="L2779">
        <f>IFERROR(__xludf.DUMMYFUNCTION("""COMPUTED_VALUE"""),6.0)</f>
        <v>6</v>
      </c>
      <c r="M2779">
        <f>IFERROR(__xludf.DUMMYFUNCTION("""COMPUTED_VALUE"""),16.0)</f>
        <v>16</v>
      </c>
      <c r="N2779" t="str">
        <f>IFERROR(__xludf.DUMMYFUNCTION("""COMPUTED_VALUE"""),"Model 3 LR AWD")</f>
        <v>Model 3 LR AWD</v>
      </c>
      <c r="O2779" t="str">
        <f>IFERROR(__xludf.DUMMYFUNCTION("""COMPUTED_VALUE"""),"Pearl White Multi-Coat")</f>
        <v>Pearl White Multi-Coat</v>
      </c>
      <c r="P2779" t="str">
        <f>IFERROR(__xludf.DUMMYFUNCTION("""COMPUTED_VALUE"""),"18 inch")</f>
        <v>18 inch</v>
      </c>
      <c r="Q2779" t="str">
        <f>IFERROR(__xludf.DUMMYFUNCTION("""COMPUTED_VALUE"""),"Black and White")</f>
        <v>Black and White</v>
      </c>
      <c r="R2779" t="str">
        <f>IFERROR(__xludf.DUMMYFUNCTION("""COMPUTED_VALUE"""),"Full Self-Driving")</f>
        <v>Full Self-Driving</v>
      </c>
      <c r="S2779" t="str">
        <f>IFERROR(__xludf.DUMMYFUNCTION("""COMPUTED_VALUE"""),"Loan")</f>
        <v>Loan</v>
      </c>
      <c r="T2779" t="str">
        <f>IFERROR(__xludf.DUMMYFUNCTION("""COMPUTED_VALUE"""),"Model 3 will be my first car!")</f>
        <v>Model 3 will be my first car!</v>
      </c>
      <c r="U2779" t="str">
        <f>IFERROR(__xludf.DUMMYFUNCTION("""COMPUTED_VALUE"""),"Autopilot")</f>
        <v>Autopilot</v>
      </c>
      <c r="V2779" t="str">
        <f>IFERROR(__xludf.DUMMYFUNCTION("""COMPUTED_VALUE"""),"Head-up display")</f>
        <v>Head-up display</v>
      </c>
      <c r="X2779" t="str">
        <f>IFERROR(__xludf.DUMMYFUNCTION("""COMPUTED_VALUE"""),"Good")</f>
        <v>Good</v>
      </c>
      <c r="Y2779" t="str">
        <f>IFERROR(__xludf.DUMMYFUNCTION("""COMPUTED_VALUE"""),"Very Good")</f>
        <v>Very Good</v>
      </c>
      <c r="Z2779" t="str">
        <f>IFERROR(__xludf.DUMMYFUNCTION("""COMPUTED_VALUE"""),"Very Good")</f>
        <v>Very Good</v>
      </c>
      <c r="AA2779" t="str">
        <f>IFERROR(__xludf.DUMMYFUNCTION("""COMPUTED_VALUE"""),"Fair")</f>
        <v>Fair</v>
      </c>
      <c r="AB2779" t="str">
        <f>IFERROR(__xludf.DUMMYFUNCTION("""COMPUTED_VALUE"""),"Very Good")</f>
        <v>Very Good</v>
      </c>
      <c r="AC2779">
        <f>IFERROR(__xludf.DUMMYFUNCTION("""COMPUTED_VALUE"""),1.0)</f>
        <v>1</v>
      </c>
      <c r="AD2779">
        <f>IFERROR(__xludf.DUMMYFUNCTION("""COMPUTED_VALUE"""),2.0)</f>
        <v>2</v>
      </c>
      <c r="AE2779">
        <f>IFERROR(__xludf.DUMMYFUNCTION("""COMPUTED_VALUE"""),2.0)</f>
        <v>2</v>
      </c>
      <c r="AF2779" t="str">
        <f>IFERROR(__xludf.DUMMYFUNCTION("""COMPUTED_VALUE"""),"No. I took delivery of the first car Tesla was able to deliver.")</f>
        <v>No. I took delivery of the first car Tesla was able to deliver.</v>
      </c>
      <c r="AH2779" s="189">
        <f>IFERROR(__xludf.DUMMYFUNCTION("""COMPUTED_VALUE"""),44302.37394158565)</f>
        <v>44302.37394</v>
      </c>
    </row>
    <row r="2780">
      <c r="A2780" t="str">
        <f>IFERROR(__xludf.DUMMYFUNCTION("""COMPUTED_VALUE"""),"Ignatius2021")</f>
        <v>Ignatius2021</v>
      </c>
      <c r="B2780" t="str">
        <f>IFERROR(__xludf.DUMMYFUNCTION("""COMPUTED_VALUE"""),"Seattle ")</f>
        <v>Seattle </v>
      </c>
      <c r="C2780" t="str">
        <f>IFERROR(__xludf.DUMMYFUNCTION("""COMPUTED_VALUE"""),"WA")</f>
        <v>WA</v>
      </c>
      <c r="D2780" t="str">
        <f>IFERROR(__xludf.DUMMYFUNCTION("""COMPUTED_VALUE"""),"USA")</f>
        <v>USA</v>
      </c>
      <c r="E2780" s="188">
        <f>IFERROR(__xludf.DUMMYFUNCTION("""COMPUTED_VALUE"""),44244.0)</f>
        <v>44244</v>
      </c>
      <c r="F2780" s="188">
        <f>IFERROR(__xludf.DUMMYFUNCTION("""COMPUTED_VALUE"""),44278.0)</f>
        <v>44278</v>
      </c>
      <c r="G2780" t="str">
        <f>IFERROR(__xludf.DUMMYFUNCTION("""COMPUTED_VALUE"""),"Email")</f>
        <v>Email</v>
      </c>
      <c r="H2780">
        <f>IFERROR(__xludf.DUMMYFUNCTION("""COMPUTED_VALUE"""),929055.0)</f>
        <v>929055</v>
      </c>
      <c r="I2780" t="str">
        <f>IFERROR(__xludf.DUMMYFUNCTION("""COMPUTED_VALUE"""),"03/21")</f>
        <v>03/21</v>
      </c>
      <c r="J2780" s="188">
        <f>IFERROR(__xludf.DUMMYFUNCTION("""COMPUTED_VALUE"""),44282.0)</f>
        <v>44282</v>
      </c>
      <c r="K2780">
        <f>IFERROR(__xludf.DUMMYFUNCTION("""COMPUTED_VALUE"""),34.0)</f>
        <v>34</v>
      </c>
      <c r="L2780">
        <f>IFERROR(__xludf.DUMMYFUNCTION("""COMPUTED_VALUE"""),4.0)</f>
        <v>4</v>
      </c>
      <c r="M2780">
        <f>IFERROR(__xludf.DUMMYFUNCTION("""COMPUTED_VALUE"""),38.0)</f>
        <v>38</v>
      </c>
      <c r="N2780" t="str">
        <f>IFERROR(__xludf.DUMMYFUNCTION("""COMPUTED_VALUE"""),"Model 3 LR AWD")</f>
        <v>Model 3 LR AWD</v>
      </c>
      <c r="O2780" t="str">
        <f>IFERROR(__xludf.DUMMYFUNCTION("""COMPUTED_VALUE"""),"Midnight Silver Metallic")</f>
        <v>Midnight Silver Metallic</v>
      </c>
      <c r="P2780" t="str">
        <f>IFERROR(__xludf.DUMMYFUNCTION("""COMPUTED_VALUE"""),"18 inch")</f>
        <v>18 inch</v>
      </c>
      <c r="Q2780" t="str">
        <f>IFERROR(__xludf.DUMMYFUNCTION("""COMPUTED_VALUE"""),"All Black")</f>
        <v>All Black</v>
      </c>
      <c r="R2780" t="str">
        <f>IFERROR(__xludf.DUMMYFUNCTION("""COMPUTED_VALUE"""),"Autopilot included")</f>
        <v>Autopilot included</v>
      </c>
      <c r="S2780" t="str">
        <f>IFERROR(__xludf.DUMMYFUNCTION("""COMPUTED_VALUE"""),"Loan")</f>
        <v>Loan</v>
      </c>
      <c r="T2780" t="str">
        <f>IFERROR(__xludf.DUMMYFUNCTION("""COMPUTED_VALUE"""),"Mercedes E320")</f>
        <v>Mercedes E320</v>
      </c>
      <c r="U2780" t="str">
        <f>IFERROR(__xludf.DUMMYFUNCTION("""COMPUTED_VALUE"""),"Electric!")</f>
        <v>Electric!</v>
      </c>
      <c r="V2780" t="str">
        <f>IFERROR(__xludf.DUMMYFUNCTION("""COMPUTED_VALUE"""),"Apple CarPlay / Android Auto / SiriusXM Radio")</f>
        <v>Apple CarPlay / Android Auto / SiriusXM Radio</v>
      </c>
      <c r="W2780" t="str">
        <f>IFERROR(__xludf.DUMMYFUNCTION("""COMPUTED_VALUE"""),"Expect to wait until the last week of the quarter before delivery. ")</f>
        <v>Expect to wait until the last week of the quarter before delivery. </v>
      </c>
      <c r="X2780" t="str">
        <f>IFERROR(__xludf.DUMMYFUNCTION("""COMPUTED_VALUE"""),"Very Good")</f>
        <v>Very Good</v>
      </c>
      <c r="Y2780" t="str">
        <f>IFERROR(__xludf.DUMMYFUNCTION("""COMPUTED_VALUE"""),"Excellent")</f>
        <v>Excellent</v>
      </c>
      <c r="Z2780" t="str">
        <f>IFERROR(__xludf.DUMMYFUNCTION("""COMPUTED_VALUE"""),"Excellent")</f>
        <v>Excellent</v>
      </c>
      <c r="AA2780" t="str">
        <f>IFERROR(__xludf.DUMMYFUNCTION("""COMPUTED_VALUE"""),"Very Good")</f>
        <v>Very Good</v>
      </c>
      <c r="AB2780" t="str">
        <f>IFERROR(__xludf.DUMMYFUNCTION("""COMPUTED_VALUE"""),"Very Good")</f>
        <v>Very Good</v>
      </c>
      <c r="AC2780">
        <f>IFERROR(__xludf.DUMMYFUNCTION("""COMPUTED_VALUE"""),0.0)</f>
        <v>0</v>
      </c>
      <c r="AF2780" t="str">
        <f>IFERROR(__xludf.DUMMYFUNCTION("""COMPUTED_VALUE"""),"No. I took delivery of the first car Tesla was able to deliver.")</f>
        <v>No. I took delivery of the first car Tesla was able to deliver.</v>
      </c>
      <c r="AH2780" s="189">
        <f>IFERROR(__xludf.DUMMYFUNCTION("""COMPUTED_VALUE"""),44282.909188969905)</f>
        <v>44282.90919</v>
      </c>
    </row>
    <row r="2781">
      <c r="A2781" t="str">
        <f>IFERROR(__xludf.DUMMYFUNCTION("""COMPUTED_VALUE"""),"Lashlee")</f>
        <v>Lashlee</v>
      </c>
      <c r="B2781" t="str">
        <f>IFERROR(__xludf.DUMMYFUNCTION("""COMPUTED_VALUE"""),"Knoxville")</f>
        <v>Knoxville</v>
      </c>
      <c r="C2781" t="str">
        <f>IFERROR(__xludf.DUMMYFUNCTION("""COMPUTED_VALUE"""),"TN")</f>
        <v>TN</v>
      </c>
      <c r="D2781" t="str">
        <f>IFERROR(__xludf.DUMMYFUNCTION("""COMPUTED_VALUE"""),"USA")</f>
        <v>USA</v>
      </c>
      <c r="E2781" s="188">
        <f>IFERROR(__xludf.DUMMYFUNCTION("""COMPUTED_VALUE"""),44245.0)</f>
        <v>44245</v>
      </c>
      <c r="F2781" s="188">
        <f>IFERROR(__xludf.DUMMYFUNCTION("""COMPUTED_VALUE"""),44260.0)</f>
        <v>44260</v>
      </c>
      <c r="G2781" t="str">
        <f>IFERROR(__xludf.DUMMYFUNCTION("""COMPUTED_VALUE"""),"Email")</f>
        <v>Email</v>
      </c>
      <c r="H2781">
        <f>IFERROR(__xludf.DUMMYFUNCTION("""COMPUTED_VALUE"""),914369.0)</f>
        <v>914369</v>
      </c>
      <c r="I2781" t="str">
        <f>IFERROR(__xludf.DUMMYFUNCTION("""COMPUTED_VALUE"""),"03/21")</f>
        <v>03/21</v>
      </c>
      <c r="J2781" s="188">
        <f>IFERROR(__xludf.DUMMYFUNCTION("""COMPUTED_VALUE"""),44286.0)</f>
        <v>44286</v>
      </c>
      <c r="K2781">
        <f>IFERROR(__xludf.DUMMYFUNCTION("""COMPUTED_VALUE"""),15.0)</f>
        <v>15</v>
      </c>
      <c r="L2781">
        <f>IFERROR(__xludf.DUMMYFUNCTION("""COMPUTED_VALUE"""),26.0)</f>
        <v>26</v>
      </c>
      <c r="M2781">
        <f>IFERROR(__xludf.DUMMYFUNCTION("""COMPUTED_VALUE"""),41.0)</f>
        <v>41</v>
      </c>
      <c r="N2781" t="str">
        <f>IFERROR(__xludf.DUMMYFUNCTION("""COMPUTED_VALUE"""),"Model 3 Performance")</f>
        <v>Model 3 Performance</v>
      </c>
      <c r="O2781" t="str">
        <f>IFERROR(__xludf.DUMMYFUNCTION("""COMPUTED_VALUE"""),"Midnight Silver Metallic")</f>
        <v>Midnight Silver Metallic</v>
      </c>
      <c r="P2781" t="str">
        <f>IFERROR(__xludf.DUMMYFUNCTION("""COMPUTED_VALUE"""),"20 inch")</f>
        <v>20 inch</v>
      </c>
      <c r="Q2781" t="str">
        <f>IFERROR(__xludf.DUMMYFUNCTION("""COMPUTED_VALUE"""),"All Black")</f>
        <v>All Black</v>
      </c>
      <c r="R2781" t="str">
        <f>IFERROR(__xludf.DUMMYFUNCTION("""COMPUTED_VALUE"""),"Autopilot included")</f>
        <v>Autopilot included</v>
      </c>
      <c r="S2781" t="str">
        <f>IFERROR(__xludf.DUMMYFUNCTION("""COMPUTED_VALUE"""),"Loan")</f>
        <v>Loan</v>
      </c>
      <c r="T2781" t="str">
        <f>IFERROR(__xludf.DUMMYFUNCTION("""COMPUTED_VALUE"""),"Nissan Leaf")</f>
        <v>Nissan Leaf</v>
      </c>
      <c r="V2781" t="str">
        <f>IFERROR(__xludf.DUMMYFUNCTION("""COMPUTED_VALUE"""),"Apple CarPlay / Android Auto / SiriusXM Radio")</f>
        <v>Apple CarPlay / Android Auto / SiriusXM Radio</v>
      </c>
      <c r="X2781" t="str">
        <f>IFERROR(__xludf.DUMMYFUNCTION("""COMPUTED_VALUE"""),"Excellent")</f>
        <v>Excellent</v>
      </c>
      <c r="Y2781" t="str">
        <f>IFERROR(__xludf.DUMMYFUNCTION("""COMPUTED_VALUE"""),"Excellent")</f>
        <v>Excellent</v>
      </c>
      <c r="Z2781" t="str">
        <f>IFERROR(__xludf.DUMMYFUNCTION("""COMPUTED_VALUE"""),"Excellent")</f>
        <v>Excellent</v>
      </c>
      <c r="AA2781" t="str">
        <f>IFERROR(__xludf.DUMMYFUNCTION("""COMPUTED_VALUE"""),"Excellent")</f>
        <v>Excellent</v>
      </c>
      <c r="AB2781" t="str">
        <f>IFERROR(__xludf.DUMMYFUNCTION("""COMPUTED_VALUE"""),"Excellent")</f>
        <v>Excellent</v>
      </c>
      <c r="AH2781" s="189">
        <f>IFERROR(__xludf.DUMMYFUNCTION("""COMPUTED_VALUE"""),44287.58871671296)</f>
        <v>44287.58872</v>
      </c>
    </row>
    <row r="2782">
      <c r="A2782" t="str">
        <f>IFERROR(__xludf.DUMMYFUNCTION("""COMPUTED_VALUE"""),"crsharff")</f>
        <v>crsharff</v>
      </c>
      <c r="B2782" t="str">
        <f>IFERROR(__xludf.DUMMYFUNCTION("""COMPUTED_VALUE"""),"Bothell")</f>
        <v>Bothell</v>
      </c>
      <c r="C2782" t="str">
        <f>IFERROR(__xludf.DUMMYFUNCTION("""COMPUTED_VALUE"""),"WA")</f>
        <v>WA</v>
      </c>
      <c r="D2782" t="str">
        <f>IFERROR(__xludf.DUMMYFUNCTION("""COMPUTED_VALUE"""),"USA")</f>
        <v>USA</v>
      </c>
      <c r="E2782" s="188">
        <f>IFERROR(__xludf.DUMMYFUNCTION("""COMPUTED_VALUE"""),44263.0)</f>
        <v>44263</v>
      </c>
      <c r="F2782" s="188">
        <f>IFERROR(__xludf.DUMMYFUNCTION("""COMPUTED_VALUE"""),44279.0)</f>
        <v>44279</v>
      </c>
      <c r="G2782" t="str">
        <f>IFERROR(__xludf.DUMMYFUNCTION("""COMPUTED_VALUE"""),"Manage order page (normal text)")</f>
        <v>Manage order page (normal text)</v>
      </c>
      <c r="H2782">
        <f>IFERROR(__xludf.DUMMYFUNCTION("""COMPUTED_VALUE"""),938443.0)</f>
        <v>938443</v>
      </c>
      <c r="J2782" s="188">
        <f>IFERROR(__xludf.DUMMYFUNCTION("""COMPUTED_VALUE"""),44283.0)</f>
        <v>44283</v>
      </c>
      <c r="K2782">
        <f>IFERROR(__xludf.DUMMYFUNCTION("""COMPUTED_VALUE"""),16.0)</f>
        <v>16</v>
      </c>
      <c r="L2782">
        <f>IFERROR(__xludf.DUMMYFUNCTION("""COMPUTED_VALUE"""),4.0)</f>
        <v>4</v>
      </c>
      <c r="M2782">
        <f>IFERROR(__xludf.DUMMYFUNCTION("""COMPUTED_VALUE"""),20.0)</f>
        <v>20</v>
      </c>
      <c r="N2782" t="str">
        <f>IFERROR(__xludf.DUMMYFUNCTION("""COMPUTED_VALUE"""),"Model 3 LR AWD")</f>
        <v>Model 3 LR AWD</v>
      </c>
      <c r="O2782" t="str">
        <f>IFERROR(__xludf.DUMMYFUNCTION("""COMPUTED_VALUE"""),"Midnight Silver Metallic")</f>
        <v>Midnight Silver Metallic</v>
      </c>
      <c r="P2782" t="str">
        <f>IFERROR(__xludf.DUMMYFUNCTION("""COMPUTED_VALUE"""),"18 inch")</f>
        <v>18 inch</v>
      </c>
      <c r="Q2782" t="str">
        <f>IFERROR(__xludf.DUMMYFUNCTION("""COMPUTED_VALUE"""),"All Black")</f>
        <v>All Black</v>
      </c>
      <c r="R2782" t="str">
        <f>IFERROR(__xludf.DUMMYFUNCTION("""COMPUTED_VALUE"""),"Autopilot included")</f>
        <v>Autopilot included</v>
      </c>
      <c r="S2782" t="str">
        <f>IFERROR(__xludf.DUMMYFUNCTION("""COMPUTED_VALUE"""),"Loan")</f>
        <v>Loan</v>
      </c>
      <c r="T2782" t="str">
        <f>IFERROR(__xludf.DUMMYFUNCTION("""COMPUTED_VALUE"""),"Chevy Volt")</f>
        <v>Chevy Volt</v>
      </c>
      <c r="U2782" t="str">
        <f>IFERROR(__xludf.DUMMYFUNCTION("""COMPUTED_VALUE"""),"Autopilot")</f>
        <v>Autopilot</v>
      </c>
      <c r="V2782" t="str">
        <f>IFERROR(__xludf.DUMMYFUNCTION("""COMPUTED_VALUE"""),"Blind spot indicators on side mirrors")</f>
        <v>Blind spot indicators on side mirrors</v>
      </c>
      <c r="X2782" t="str">
        <f>IFERROR(__xludf.DUMMYFUNCTION("""COMPUTED_VALUE"""),"Very Good")</f>
        <v>Very Good</v>
      </c>
      <c r="Y2782" t="str">
        <f>IFERROR(__xludf.DUMMYFUNCTION("""COMPUTED_VALUE"""),"Very Good")</f>
        <v>Very Good</v>
      </c>
      <c r="Z2782" t="str">
        <f>IFERROR(__xludf.DUMMYFUNCTION("""COMPUTED_VALUE"""),"Excellent")</f>
        <v>Excellent</v>
      </c>
      <c r="AA2782" t="str">
        <f>IFERROR(__xludf.DUMMYFUNCTION("""COMPUTED_VALUE"""),"Fair")</f>
        <v>Fair</v>
      </c>
      <c r="AB2782" t="str">
        <f>IFERROR(__xludf.DUMMYFUNCTION("""COMPUTED_VALUE"""),"Very Good")</f>
        <v>Very Good</v>
      </c>
      <c r="AF2782" t="str">
        <f>IFERROR(__xludf.DUMMYFUNCTION("""COMPUTED_VALUE"""),"No. I took delivery of the first car Tesla was able to deliver.")</f>
        <v>No. I took delivery of the first car Tesla was able to deliver.</v>
      </c>
      <c r="AH2782" s="189">
        <f>IFERROR(__xludf.DUMMYFUNCTION("""COMPUTED_VALUE"""),44286.548772546295)</f>
        <v>44286.54877</v>
      </c>
    </row>
    <row r="2783">
      <c r="A2783" t="str">
        <f>IFERROR(__xludf.DUMMYFUNCTION("""COMPUTED_VALUE"""),"Eodguy")</f>
        <v>Eodguy</v>
      </c>
      <c r="B2783" t="str">
        <f>IFERROR(__xludf.DUMMYFUNCTION("""COMPUTED_VALUE"""),"Seattle")</f>
        <v>Seattle</v>
      </c>
      <c r="C2783" t="str">
        <f>IFERROR(__xludf.DUMMYFUNCTION("""COMPUTED_VALUE"""),"WA")</f>
        <v>WA</v>
      </c>
      <c r="D2783" t="str">
        <f>IFERROR(__xludf.DUMMYFUNCTION("""COMPUTED_VALUE"""),"USA")</f>
        <v>USA</v>
      </c>
      <c r="E2783" s="188">
        <f>IFERROR(__xludf.DUMMYFUNCTION("""COMPUTED_VALUE"""),44258.0)</f>
        <v>44258</v>
      </c>
      <c r="F2783" s="188">
        <f>IFERROR(__xludf.DUMMYFUNCTION("""COMPUTED_VALUE"""),44279.0)</f>
        <v>44279</v>
      </c>
      <c r="G2783" t="str">
        <f>IFERROR(__xludf.DUMMYFUNCTION("""COMPUTED_VALUE"""),"Manage order page (normal text)")</f>
        <v>Manage order page (normal text)</v>
      </c>
      <c r="H2783">
        <f>IFERROR(__xludf.DUMMYFUNCTION("""COMPUTED_VALUE"""),937055.0)</f>
        <v>937055</v>
      </c>
      <c r="I2783" t="str">
        <f>IFERROR(__xludf.DUMMYFUNCTION("""COMPUTED_VALUE"""),"03/21")</f>
        <v>03/21</v>
      </c>
      <c r="J2783" s="188">
        <f>IFERROR(__xludf.DUMMYFUNCTION("""COMPUTED_VALUE"""),44283.0)</f>
        <v>44283</v>
      </c>
      <c r="K2783">
        <f>IFERROR(__xludf.DUMMYFUNCTION("""COMPUTED_VALUE"""),21.0)</f>
        <v>21</v>
      </c>
      <c r="L2783">
        <f>IFERROR(__xludf.DUMMYFUNCTION("""COMPUTED_VALUE"""),4.0)</f>
        <v>4</v>
      </c>
      <c r="M2783">
        <f>IFERROR(__xludf.DUMMYFUNCTION("""COMPUTED_VALUE"""),25.0)</f>
        <v>25</v>
      </c>
      <c r="N2783" t="str">
        <f>IFERROR(__xludf.DUMMYFUNCTION("""COMPUTED_VALUE"""),"Model 3 LR AWD")</f>
        <v>Model 3 LR AWD</v>
      </c>
      <c r="O2783" t="str">
        <f>IFERROR(__xludf.DUMMYFUNCTION("""COMPUTED_VALUE"""),"Deep Blue Metallic")</f>
        <v>Deep Blue Metallic</v>
      </c>
      <c r="P2783" t="str">
        <f>IFERROR(__xludf.DUMMYFUNCTION("""COMPUTED_VALUE"""),"18 inch")</f>
        <v>18 inch</v>
      </c>
      <c r="Q2783" t="str">
        <f>IFERROR(__xludf.DUMMYFUNCTION("""COMPUTED_VALUE"""),"All Black")</f>
        <v>All Black</v>
      </c>
      <c r="R2783" t="str">
        <f>IFERROR(__xludf.DUMMYFUNCTION("""COMPUTED_VALUE"""),"Autopilot included")</f>
        <v>Autopilot included</v>
      </c>
      <c r="S2783" t="str">
        <f>IFERROR(__xludf.DUMMYFUNCTION("""COMPUTED_VALUE"""),"Loan")</f>
        <v>Loan</v>
      </c>
      <c r="T2783" t="str">
        <f>IFERROR(__xludf.DUMMYFUNCTION("""COMPUTED_VALUE"""),"Chevy Volt")</f>
        <v>Chevy Volt</v>
      </c>
      <c r="U2783" t="str">
        <f>IFERROR(__xludf.DUMMYFUNCTION("""COMPUTED_VALUE"""),"Electric!")</f>
        <v>Electric!</v>
      </c>
      <c r="V2783" t="str">
        <f>IFERROR(__xludf.DUMMYFUNCTION("""COMPUTED_VALUE"""),"Blind spot indicators on side mirrors")</f>
        <v>Blind spot indicators on side mirrors</v>
      </c>
      <c r="X2783" t="str">
        <f>IFERROR(__xludf.DUMMYFUNCTION("""COMPUTED_VALUE"""),"Excellent")</f>
        <v>Excellent</v>
      </c>
      <c r="Y2783" t="str">
        <f>IFERROR(__xludf.DUMMYFUNCTION("""COMPUTED_VALUE"""),"Excellent")</f>
        <v>Excellent</v>
      </c>
      <c r="Z2783" t="str">
        <f>IFERROR(__xludf.DUMMYFUNCTION("""COMPUTED_VALUE"""),"Excellent")</f>
        <v>Excellent</v>
      </c>
      <c r="AA2783" t="str">
        <f>IFERROR(__xludf.DUMMYFUNCTION("""COMPUTED_VALUE"""),"Fair")</f>
        <v>Fair</v>
      </c>
      <c r="AB2783" t="str">
        <f>IFERROR(__xludf.DUMMYFUNCTION("""COMPUTED_VALUE"""),"Excellent")</f>
        <v>Excellent</v>
      </c>
      <c r="AC2783">
        <f>IFERROR(__xludf.DUMMYFUNCTION("""COMPUTED_VALUE"""),0.0)</f>
        <v>0</v>
      </c>
      <c r="AF2783" t="str">
        <f>IFERROR(__xludf.DUMMYFUNCTION("""COMPUTED_VALUE"""),"No. I took delivery of the first car Tesla was able to deliver.")</f>
        <v>No. I took delivery of the first car Tesla was able to deliver.</v>
      </c>
      <c r="AH2783" s="189">
        <f>IFERROR(__xludf.DUMMYFUNCTION("""COMPUTED_VALUE"""),44284.57770497685)</f>
        <v>44284.5777</v>
      </c>
    </row>
    <row r="2784">
      <c r="A2784" t="str">
        <f>IFERROR(__xludf.DUMMYFUNCTION("""COMPUTED_VALUE"""),"Sahhtain")</f>
        <v>Sahhtain</v>
      </c>
      <c r="B2784" t="str">
        <f>IFERROR(__xludf.DUMMYFUNCTION("""COMPUTED_VALUE"""),"Manchester")</f>
        <v>Manchester</v>
      </c>
      <c r="C2784" t="str">
        <f>IFERROR(__xludf.DUMMYFUNCTION("""COMPUTED_VALUE"""),"NH")</f>
        <v>NH</v>
      </c>
      <c r="D2784" t="str">
        <f>IFERROR(__xludf.DUMMYFUNCTION("""COMPUTED_VALUE"""),"USA")</f>
        <v>USA</v>
      </c>
      <c r="E2784" s="188">
        <f>IFERROR(__xludf.DUMMYFUNCTION("""COMPUTED_VALUE"""),44265.0)</f>
        <v>44265</v>
      </c>
      <c r="F2784" s="188">
        <f>IFERROR(__xludf.DUMMYFUNCTION("""COMPUTED_VALUE"""),44267.0)</f>
        <v>44267</v>
      </c>
      <c r="G2784" t="str">
        <f>IFERROR(__xludf.DUMMYFUNCTION("""COMPUTED_VALUE"""),"Manage order page (normal text)")</f>
        <v>Manage order page (normal text)</v>
      </c>
      <c r="H2784">
        <f>IFERROR(__xludf.DUMMYFUNCTION("""COMPUTED_VALUE"""),923955.0)</f>
        <v>923955</v>
      </c>
      <c r="I2784" t="str">
        <f>IFERROR(__xludf.DUMMYFUNCTION("""COMPUTED_VALUE"""),"03/21")</f>
        <v>03/21</v>
      </c>
      <c r="J2784" s="188">
        <f>IFERROR(__xludf.DUMMYFUNCTION("""COMPUTED_VALUE"""),44282.0)</f>
        <v>44282</v>
      </c>
      <c r="K2784">
        <f>IFERROR(__xludf.DUMMYFUNCTION("""COMPUTED_VALUE"""),2.0)</f>
        <v>2</v>
      </c>
      <c r="L2784">
        <f>IFERROR(__xludf.DUMMYFUNCTION("""COMPUTED_VALUE"""),15.0)</f>
        <v>15</v>
      </c>
      <c r="M2784">
        <f>IFERROR(__xludf.DUMMYFUNCTION("""COMPUTED_VALUE"""),17.0)</f>
        <v>17</v>
      </c>
      <c r="N2784" t="str">
        <f>IFERROR(__xludf.DUMMYFUNCTION("""COMPUTED_VALUE"""),"Model 3 LR AWD")</f>
        <v>Model 3 LR AWD</v>
      </c>
      <c r="O2784" t="str">
        <f>IFERROR(__xludf.DUMMYFUNCTION("""COMPUTED_VALUE"""),"Pearl White Multi-Coat")</f>
        <v>Pearl White Multi-Coat</v>
      </c>
      <c r="P2784" t="str">
        <f>IFERROR(__xludf.DUMMYFUNCTION("""COMPUTED_VALUE"""),"18 inch")</f>
        <v>18 inch</v>
      </c>
      <c r="Q2784" t="str">
        <f>IFERROR(__xludf.DUMMYFUNCTION("""COMPUTED_VALUE"""),"All Black")</f>
        <v>All Black</v>
      </c>
      <c r="R2784" t="str">
        <f>IFERROR(__xludf.DUMMYFUNCTION("""COMPUTED_VALUE"""),"Autopilot included")</f>
        <v>Autopilot included</v>
      </c>
      <c r="S2784" t="str">
        <f>IFERROR(__xludf.DUMMYFUNCTION("""COMPUTED_VALUE"""),"Cash")</f>
        <v>Cash</v>
      </c>
      <c r="T2784" t="str">
        <f>IFERROR(__xludf.DUMMYFUNCTION("""COMPUTED_VALUE"""),"Volvo")</f>
        <v>Volvo</v>
      </c>
      <c r="U2784" t="str">
        <f>IFERROR(__xludf.DUMMYFUNCTION("""COMPUTED_VALUE"""),"Electric!")</f>
        <v>Electric!</v>
      </c>
      <c r="V2784" t="str">
        <f>IFERROR(__xludf.DUMMYFUNCTION("""COMPUTED_VALUE"""),"Blind spot indicators on side mirrors")</f>
        <v>Blind spot indicators on side mirrors</v>
      </c>
      <c r="X2784" t="str">
        <f>IFERROR(__xludf.DUMMYFUNCTION("""COMPUTED_VALUE"""),"Excellent")</f>
        <v>Excellent</v>
      </c>
      <c r="Y2784" t="str">
        <f>IFERROR(__xludf.DUMMYFUNCTION("""COMPUTED_VALUE"""),"Excellent")</f>
        <v>Excellent</v>
      </c>
      <c r="Z2784" t="str">
        <f>IFERROR(__xludf.DUMMYFUNCTION("""COMPUTED_VALUE"""),"Excellent")</f>
        <v>Excellent</v>
      </c>
      <c r="AA2784" t="str">
        <f>IFERROR(__xludf.DUMMYFUNCTION("""COMPUTED_VALUE"""),"Very Good")</f>
        <v>Very Good</v>
      </c>
      <c r="AB2784" t="str">
        <f>IFERROR(__xludf.DUMMYFUNCTION("""COMPUTED_VALUE"""),"Very Good")</f>
        <v>Very Good</v>
      </c>
      <c r="AF2784" t="str">
        <f>IFERROR(__xludf.DUMMYFUNCTION("""COMPUTED_VALUE"""),"No. I took delivery of the first car Tesla was able to deliver.")</f>
        <v>No. I took delivery of the first car Tesla was able to deliver.</v>
      </c>
      <c r="AH2784" s="189">
        <f>IFERROR(__xludf.DUMMYFUNCTION("""COMPUTED_VALUE"""),44284.859460266205)</f>
        <v>44284.85946</v>
      </c>
    </row>
    <row r="2785">
      <c r="A2785" t="str">
        <f>IFERROR(__xludf.DUMMYFUNCTION("""COMPUTED_VALUE"""),"eakaplan")</f>
        <v>eakaplan</v>
      </c>
      <c r="B2785" t="str">
        <f>IFERROR(__xludf.DUMMYFUNCTION("""COMPUTED_VALUE"""),"Mechanicsburg")</f>
        <v>Mechanicsburg</v>
      </c>
      <c r="C2785" t="str">
        <f>IFERROR(__xludf.DUMMYFUNCTION("""COMPUTED_VALUE"""),"PA")</f>
        <v>PA</v>
      </c>
      <c r="D2785" t="str">
        <f>IFERROR(__xludf.DUMMYFUNCTION("""COMPUTED_VALUE"""),"USA")</f>
        <v>USA</v>
      </c>
      <c r="E2785" s="188">
        <f>IFERROR(__xludf.DUMMYFUNCTION("""COMPUTED_VALUE"""),44266.0)</f>
        <v>44266</v>
      </c>
      <c r="F2785" s="188">
        <f>IFERROR(__xludf.DUMMYFUNCTION("""COMPUTED_VALUE"""),44267.0)</f>
        <v>44267</v>
      </c>
      <c r="G2785" t="str">
        <f>IFERROR(__xludf.DUMMYFUNCTION("""COMPUTED_VALUE"""),"Manage order page (normal text)")</f>
        <v>Manage order page (normal text)</v>
      </c>
      <c r="H2785">
        <f>IFERROR(__xludf.DUMMYFUNCTION("""COMPUTED_VALUE"""),924455.0)</f>
        <v>924455</v>
      </c>
      <c r="I2785" t="str">
        <f>IFERROR(__xludf.DUMMYFUNCTION("""COMPUTED_VALUE"""),"03/21")</f>
        <v>03/21</v>
      </c>
      <c r="J2785" s="188">
        <f>IFERROR(__xludf.DUMMYFUNCTION("""COMPUTED_VALUE"""),44282.0)</f>
        <v>44282</v>
      </c>
      <c r="K2785">
        <f>IFERROR(__xludf.DUMMYFUNCTION("""COMPUTED_VALUE"""),1.0)</f>
        <v>1</v>
      </c>
      <c r="L2785">
        <f>IFERROR(__xludf.DUMMYFUNCTION("""COMPUTED_VALUE"""),15.0)</f>
        <v>15</v>
      </c>
      <c r="M2785">
        <f>IFERROR(__xludf.DUMMYFUNCTION("""COMPUTED_VALUE"""),16.0)</f>
        <v>16</v>
      </c>
      <c r="N2785" t="str">
        <f>IFERROR(__xludf.DUMMYFUNCTION("""COMPUTED_VALUE"""),"Model 3 LR AWD")</f>
        <v>Model 3 LR AWD</v>
      </c>
      <c r="O2785" t="str">
        <f>IFERROR(__xludf.DUMMYFUNCTION("""COMPUTED_VALUE"""),"Deep Blue Metallic")</f>
        <v>Deep Blue Metallic</v>
      </c>
      <c r="P2785" t="str">
        <f>IFERROR(__xludf.DUMMYFUNCTION("""COMPUTED_VALUE"""),"18 inch")</f>
        <v>18 inch</v>
      </c>
      <c r="Q2785" t="str">
        <f>IFERROR(__xludf.DUMMYFUNCTION("""COMPUTED_VALUE"""),"All Black")</f>
        <v>All Black</v>
      </c>
      <c r="R2785" t="str">
        <f>IFERROR(__xludf.DUMMYFUNCTION("""COMPUTED_VALUE"""),"Full Self-Driving")</f>
        <v>Full Self-Driving</v>
      </c>
      <c r="S2785" t="str">
        <f>IFERROR(__xludf.DUMMYFUNCTION("""COMPUTED_VALUE"""),"Cash")</f>
        <v>Cash</v>
      </c>
      <c r="T2785" t="str">
        <f>IFERROR(__xludf.DUMMYFUNCTION("""COMPUTED_VALUE"""),"Toyota Prius")</f>
        <v>Toyota Prius</v>
      </c>
      <c r="U2785" t="str">
        <f>IFERROR(__xludf.DUMMYFUNCTION("""COMPUTED_VALUE"""),"Electric!")</f>
        <v>Electric!</v>
      </c>
      <c r="V2785" t="str">
        <f>IFERROR(__xludf.DUMMYFUNCTION("""COMPUTED_VALUE"""),"Apple CarPlay / Android Auto / SiriusXM Radio")</f>
        <v>Apple CarPlay / Android Auto / SiriusXM Radio</v>
      </c>
      <c r="X2785" t="str">
        <f>IFERROR(__xludf.DUMMYFUNCTION("""COMPUTED_VALUE"""),"Very Good")</f>
        <v>Very Good</v>
      </c>
      <c r="Y2785" t="str">
        <f>IFERROR(__xludf.DUMMYFUNCTION("""COMPUTED_VALUE"""),"Excellent")</f>
        <v>Excellent</v>
      </c>
      <c r="Z2785" t="str">
        <f>IFERROR(__xludf.DUMMYFUNCTION("""COMPUTED_VALUE"""),"Excellent")</f>
        <v>Excellent</v>
      </c>
      <c r="AA2785" t="str">
        <f>IFERROR(__xludf.DUMMYFUNCTION("""COMPUTED_VALUE"""),"Good")</f>
        <v>Good</v>
      </c>
      <c r="AB2785" t="str">
        <f>IFERROR(__xludf.DUMMYFUNCTION("""COMPUTED_VALUE"""),"Very Good")</f>
        <v>Very Good</v>
      </c>
      <c r="AC2785">
        <f>IFERROR(__xludf.DUMMYFUNCTION("""COMPUTED_VALUE"""),0.0)</f>
        <v>0</v>
      </c>
      <c r="AD2785">
        <f>IFERROR(__xludf.DUMMYFUNCTION("""COMPUTED_VALUE"""),1.0)</f>
        <v>1</v>
      </c>
      <c r="AE2785">
        <f>IFERROR(__xludf.DUMMYFUNCTION("""COMPUTED_VALUE"""),0.0)</f>
        <v>0</v>
      </c>
      <c r="AF2785" t="str">
        <f>IFERROR(__xludf.DUMMYFUNCTION("""COMPUTED_VALUE"""),"No. I took delivery of the first car Tesla was able to deliver.")</f>
        <v>No. I took delivery of the first car Tesla was able to deliver.</v>
      </c>
      <c r="AH2785" s="189">
        <f>IFERROR(__xludf.DUMMYFUNCTION("""COMPUTED_VALUE"""),44304.539487511574)</f>
        <v>44304.53949</v>
      </c>
    </row>
    <row r="2786">
      <c r="A2786" t="str">
        <f>IFERROR(__xludf.DUMMYFUNCTION("""COMPUTED_VALUE"""),"chudiddy")</f>
        <v>chudiddy</v>
      </c>
      <c r="C2786" t="str">
        <f>IFERROR(__xludf.DUMMYFUNCTION("""COMPUTED_VALUE"""),"PA")</f>
        <v>PA</v>
      </c>
      <c r="D2786" t="str">
        <f>IFERROR(__xludf.DUMMYFUNCTION("""COMPUTED_VALUE"""),"USA")</f>
        <v>USA</v>
      </c>
      <c r="E2786" s="188">
        <f>IFERROR(__xludf.DUMMYFUNCTION("""COMPUTED_VALUE"""),44266.0)</f>
        <v>44266</v>
      </c>
      <c r="F2786" s="188">
        <f>IFERROR(__xludf.DUMMYFUNCTION("""COMPUTED_VALUE"""),44268.0)</f>
        <v>44268</v>
      </c>
      <c r="G2786" t="str">
        <f>IFERROR(__xludf.DUMMYFUNCTION("""COMPUTED_VALUE"""),"Text message")</f>
        <v>Text message</v>
      </c>
      <c r="H2786">
        <f>IFERROR(__xludf.DUMMYFUNCTION("""COMPUTED_VALUE"""),924962.0)</f>
        <v>924962</v>
      </c>
      <c r="I2786" t="str">
        <f>IFERROR(__xludf.DUMMYFUNCTION("""COMPUTED_VALUE"""),"03/21")</f>
        <v>03/21</v>
      </c>
      <c r="J2786" s="188">
        <f>IFERROR(__xludf.DUMMYFUNCTION("""COMPUTED_VALUE"""),44284.0)</f>
        <v>44284</v>
      </c>
      <c r="K2786">
        <f>IFERROR(__xludf.DUMMYFUNCTION("""COMPUTED_VALUE"""),2.0)</f>
        <v>2</v>
      </c>
      <c r="L2786">
        <f>IFERROR(__xludf.DUMMYFUNCTION("""COMPUTED_VALUE"""),16.0)</f>
        <v>16</v>
      </c>
      <c r="M2786">
        <f>IFERROR(__xludf.DUMMYFUNCTION("""COMPUTED_VALUE"""),18.0)</f>
        <v>18</v>
      </c>
      <c r="N2786" t="str">
        <f>IFERROR(__xludf.DUMMYFUNCTION("""COMPUTED_VALUE"""),"Model 3 LR AWD")</f>
        <v>Model 3 LR AWD</v>
      </c>
      <c r="O2786" t="str">
        <f>IFERROR(__xludf.DUMMYFUNCTION("""COMPUTED_VALUE"""),"Solid Black")</f>
        <v>Solid Black</v>
      </c>
      <c r="P2786" t="str">
        <f>IFERROR(__xludf.DUMMYFUNCTION("""COMPUTED_VALUE"""),"18 inch")</f>
        <v>18 inch</v>
      </c>
      <c r="Q2786" t="str">
        <f>IFERROR(__xludf.DUMMYFUNCTION("""COMPUTED_VALUE"""),"Black and White")</f>
        <v>Black and White</v>
      </c>
      <c r="R2786" t="str">
        <f>IFERROR(__xludf.DUMMYFUNCTION("""COMPUTED_VALUE"""),"Autopilot included")</f>
        <v>Autopilot included</v>
      </c>
      <c r="S2786" t="str">
        <f>IFERROR(__xludf.DUMMYFUNCTION("""COMPUTED_VALUE"""),"Cash")</f>
        <v>Cash</v>
      </c>
      <c r="T2786" t="str">
        <f>IFERROR(__xludf.DUMMYFUNCTION("""COMPUTED_VALUE"""),"Tesla Model X")</f>
        <v>Tesla Model X</v>
      </c>
      <c r="U2786" t="str">
        <f>IFERROR(__xludf.DUMMYFUNCTION("""COMPUTED_VALUE"""),"Tesla brand image")</f>
        <v>Tesla brand image</v>
      </c>
      <c r="V2786" t="str">
        <f>IFERROR(__xludf.DUMMYFUNCTION("""COMPUTED_VALUE"""),"360° Bird's eye view")</f>
        <v>360° Bird's eye view</v>
      </c>
      <c r="X2786" t="str">
        <f>IFERROR(__xludf.DUMMYFUNCTION("""COMPUTED_VALUE"""),"Excellent")</f>
        <v>Excellent</v>
      </c>
      <c r="Y2786" t="str">
        <f>IFERROR(__xludf.DUMMYFUNCTION("""COMPUTED_VALUE"""),"Excellent")</f>
        <v>Excellent</v>
      </c>
      <c r="Z2786" t="str">
        <f>IFERROR(__xludf.DUMMYFUNCTION("""COMPUTED_VALUE"""),"Very Good")</f>
        <v>Very Good</v>
      </c>
      <c r="AA2786" t="str">
        <f>IFERROR(__xludf.DUMMYFUNCTION("""COMPUTED_VALUE"""),"Excellent")</f>
        <v>Excellent</v>
      </c>
      <c r="AB2786" t="str">
        <f>IFERROR(__xludf.DUMMYFUNCTION("""COMPUTED_VALUE"""),"Excellent")</f>
        <v>Excellent</v>
      </c>
      <c r="AC2786">
        <f>IFERROR(__xludf.DUMMYFUNCTION("""COMPUTED_VALUE"""),1.0)</f>
        <v>1</v>
      </c>
      <c r="AF2786" t="str">
        <f>IFERROR(__xludf.DUMMYFUNCTION("""COMPUTED_VALUE"""),"No. I took delivery of the first car Tesla was able to deliver.")</f>
        <v>No. I took delivery of the first car Tesla was able to deliver.</v>
      </c>
      <c r="AH2786" s="189">
        <f>IFERROR(__xludf.DUMMYFUNCTION("""COMPUTED_VALUE"""),44284.40447017361)</f>
        <v>44284.40447</v>
      </c>
    </row>
    <row r="2787">
      <c r="A2787" t="str">
        <f>IFERROR(__xludf.DUMMYFUNCTION("""COMPUTED_VALUE"""),"sbeep")</f>
        <v>sbeep</v>
      </c>
      <c r="B2787" t="str">
        <f>IFERROR(__xludf.DUMMYFUNCTION("""COMPUTED_VALUE"""),"Boulder")</f>
        <v>Boulder</v>
      </c>
      <c r="C2787" t="str">
        <f>IFERROR(__xludf.DUMMYFUNCTION("""COMPUTED_VALUE"""),"CO")</f>
        <v>CO</v>
      </c>
      <c r="D2787" t="str">
        <f>IFERROR(__xludf.DUMMYFUNCTION("""COMPUTED_VALUE"""),"USA")</f>
        <v>USA</v>
      </c>
      <c r="E2787" s="188">
        <f>IFERROR(__xludf.DUMMYFUNCTION("""COMPUTED_VALUE"""),44247.0)</f>
        <v>44247</v>
      </c>
      <c r="F2787" s="188">
        <f>IFERROR(__xludf.DUMMYFUNCTION("""COMPUTED_VALUE"""),44271.0)</f>
        <v>44271</v>
      </c>
      <c r="G2787" t="str">
        <f>IFERROR(__xludf.DUMMYFUNCTION("""COMPUTED_VALUE"""),"Manage order page (normal text)")</f>
        <v>Manage order page (normal text)</v>
      </c>
      <c r="H2787">
        <f>IFERROR(__xludf.DUMMYFUNCTION("""COMPUTED_VALUE"""),926452.0)</f>
        <v>926452</v>
      </c>
      <c r="J2787" s="188">
        <f>IFERROR(__xludf.DUMMYFUNCTION("""COMPUTED_VALUE"""),44284.0)</f>
        <v>44284</v>
      </c>
      <c r="K2787">
        <f>IFERROR(__xludf.DUMMYFUNCTION("""COMPUTED_VALUE"""),24.0)</f>
        <v>24</v>
      </c>
      <c r="L2787">
        <f>IFERROR(__xludf.DUMMYFUNCTION("""COMPUTED_VALUE"""),13.0)</f>
        <v>13</v>
      </c>
      <c r="M2787">
        <f>IFERROR(__xludf.DUMMYFUNCTION("""COMPUTED_VALUE"""),37.0)</f>
        <v>37</v>
      </c>
      <c r="N2787" t="str">
        <f>IFERROR(__xludf.DUMMYFUNCTION("""COMPUTED_VALUE"""),"Model 3 Performance")</f>
        <v>Model 3 Performance</v>
      </c>
      <c r="O2787" t="str">
        <f>IFERROR(__xludf.DUMMYFUNCTION("""COMPUTED_VALUE"""),"Pearl White Multi-Coat")</f>
        <v>Pearl White Multi-Coat</v>
      </c>
      <c r="P2787" t="str">
        <f>IFERROR(__xludf.DUMMYFUNCTION("""COMPUTED_VALUE"""),"20 inch")</f>
        <v>20 inch</v>
      </c>
      <c r="Q2787" t="str">
        <f>IFERROR(__xludf.DUMMYFUNCTION("""COMPUTED_VALUE"""),"Black and White")</f>
        <v>Black and White</v>
      </c>
      <c r="R2787" t="str">
        <f>IFERROR(__xludf.DUMMYFUNCTION("""COMPUTED_VALUE"""),"Autopilot included")</f>
        <v>Autopilot included</v>
      </c>
      <c r="S2787" t="str">
        <f>IFERROR(__xludf.DUMMYFUNCTION("""COMPUTED_VALUE"""),"Cash")</f>
        <v>Cash</v>
      </c>
      <c r="T2787" t="str">
        <f>IFERROR(__xludf.DUMMYFUNCTION("""COMPUTED_VALUE"""),"Audi Q8")</f>
        <v>Audi Q8</v>
      </c>
      <c r="U2787" t="str">
        <f>IFERROR(__xludf.DUMMYFUNCTION("""COMPUTED_VALUE"""),"Electric!")</f>
        <v>Electric!</v>
      </c>
      <c r="V2787" t="str">
        <f>IFERROR(__xludf.DUMMYFUNCTION("""COMPUTED_VALUE"""),"Head-up display")</f>
        <v>Head-up display</v>
      </c>
      <c r="X2787" t="str">
        <f>IFERROR(__xludf.DUMMYFUNCTION("""COMPUTED_VALUE"""),"Excellent")</f>
        <v>Excellent</v>
      </c>
      <c r="Y2787" t="str">
        <f>IFERROR(__xludf.DUMMYFUNCTION("""COMPUTED_VALUE"""),"Excellent")</f>
        <v>Excellent</v>
      </c>
      <c r="Z2787" t="str">
        <f>IFERROR(__xludf.DUMMYFUNCTION("""COMPUTED_VALUE"""),"Excellent")</f>
        <v>Excellent</v>
      </c>
      <c r="AA2787" t="str">
        <f>IFERROR(__xludf.DUMMYFUNCTION("""COMPUTED_VALUE"""),"Excellent")</f>
        <v>Excellent</v>
      </c>
      <c r="AB2787" t="str">
        <f>IFERROR(__xludf.DUMMYFUNCTION("""COMPUTED_VALUE"""),"Excellent")</f>
        <v>Excellent</v>
      </c>
      <c r="AF2787" t="str">
        <f>IFERROR(__xludf.DUMMYFUNCTION("""COMPUTED_VALUE"""),"No. I took delivery of the first car Tesla was able to deliver.")</f>
        <v>No. I took delivery of the first car Tesla was able to deliver.</v>
      </c>
      <c r="AH2787" s="189">
        <f>IFERROR(__xludf.DUMMYFUNCTION("""COMPUTED_VALUE"""),44285.310491296295)</f>
        <v>44285.31049</v>
      </c>
    </row>
    <row r="2788">
      <c r="A2788" t="str">
        <f>IFERROR(__xludf.DUMMYFUNCTION("""COMPUTED_VALUE"""),"Mahamilto")</f>
        <v>Mahamilto</v>
      </c>
      <c r="B2788" t="str">
        <f>IFERROR(__xludf.DUMMYFUNCTION("""COMPUTED_VALUE"""),"NYC")</f>
        <v>NYC</v>
      </c>
      <c r="C2788" t="str">
        <f>IFERROR(__xludf.DUMMYFUNCTION("""COMPUTED_VALUE"""),"NY")</f>
        <v>NY</v>
      </c>
      <c r="D2788" t="str">
        <f>IFERROR(__xludf.DUMMYFUNCTION("""COMPUTED_VALUE"""),"USA")</f>
        <v>USA</v>
      </c>
      <c r="E2788" s="188">
        <f>IFERROR(__xludf.DUMMYFUNCTION("""COMPUTED_VALUE"""),44249.0)</f>
        <v>44249</v>
      </c>
      <c r="F2788" s="188">
        <f>IFERROR(__xludf.DUMMYFUNCTION("""COMPUTED_VALUE"""),44270.0)</f>
        <v>44270</v>
      </c>
      <c r="G2788" t="str">
        <f>IFERROR(__xludf.DUMMYFUNCTION("""COMPUTED_VALUE"""),"Email")</f>
        <v>Email</v>
      </c>
      <c r="H2788">
        <f>IFERROR(__xludf.DUMMYFUNCTION("""COMPUTED_VALUE"""),925455.0)</f>
        <v>925455</v>
      </c>
      <c r="I2788" t="str">
        <f>IFERROR(__xludf.DUMMYFUNCTION("""COMPUTED_VALUE"""),"03/21")</f>
        <v>03/21</v>
      </c>
      <c r="J2788" s="188">
        <f>IFERROR(__xludf.DUMMYFUNCTION("""COMPUTED_VALUE"""),44281.0)</f>
        <v>44281</v>
      </c>
      <c r="K2788">
        <f>IFERROR(__xludf.DUMMYFUNCTION("""COMPUTED_VALUE"""),21.0)</f>
        <v>21</v>
      </c>
      <c r="L2788">
        <f>IFERROR(__xludf.DUMMYFUNCTION("""COMPUTED_VALUE"""),11.0)</f>
        <v>11</v>
      </c>
      <c r="M2788">
        <f>IFERROR(__xludf.DUMMYFUNCTION("""COMPUTED_VALUE"""),32.0)</f>
        <v>32</v>
      </c>
      <c r="N2788" t="str">
        <f>IFERROR(__xludf.DUMMYFUNCTION("""COMPUTED_VALUE"""),"Model 3 Performance")</f>
        <v>Model 3 Performance</v>
      </c>
      <c r="O2788" t="str">
        <f>IFERROR(__xludf.DUMMYFUNCTION("""COMPUTED_VALUE"""),"Midnight Silver Metallic")</f>
        <v>Midnight Silver Metallic</v>
      </c>
      <c r="P2788" t="str">
        <f>IFERROR(__xludf.DUMMYFUNCTION("""COMPUTED_VALUE"""),"20 inch")</f>
        <v>20 inch</v>
      </c>
      <c r="Q2788" t="str">
        <f>IFERROR(__xludf.DUMMYFUNCTION("""COMPUTED_VALUE"""),"All Black")</f>
        <v>All Black</v>
      </c>
      <c r="R2788" t="str">
        <f>IFERROR(__xludf.DUMMYFUNCTION("""COMPUTED_VALUE"""),"Autopilot included")</f>
        <v>Autopilot included</v>
      </c>
      <c r="S2788" t="str">
        <f>IFERROR(__xludf.DUMMYFUNCTION("""COMPUTED_VALUE"""),"Cash")</f>
        <v>Cash</v>
      </c>
      <c r="T2788" t="str">
        <f>IFERROR(__xludf.DUMMYFUNCTION("""COMPUTED_VALUE"""),"Cadillac CTS-V")</f>
        <v>Cadillac CTS-V</v>
      </c>
      <c r="U2788" t="str">
        <f>IFERROR(__xludf.DUMMYFUNCTION("""COMPUTED_VALUE"""),"Electric!")</f>
        <v>Electric!</v>
      </c>
      <c r="V2788" t="str">
        <f>IFERROR(__xludf.DUMMYFUNCTION("""COMPUTED_VALUE"""),"Head-up display")</f>
        <v>Head-up display</v>
      </c>
      <c r="W2788" t="str">
        <f>IFERROR(__xludf.DUMMYFUNCTION("""COMPUTED_VALUE"""),"Ask for simple fixes before signing for delivery. Carefully check alignment, mine had to be realigned after driving off, but they did it in 20 min no questions asked when I turned around and went back")</f>
        <v>Ask for simple fixes before signing for delivery. Carefully check alignment, mine had to be realigned after driving off, but they did it in 20 min no questions asked when I turned around and went back</v>
      </c>
      <c r="X2788" t="str">
        <f>IFERROR(__xludf.DUMMYFUNCTION("""COMPUTED_VALUE"""),"Excellent")</f>
        <v>Excellent</v>
      </c>
      <c r="Y2788" t="str">
        <f>IFERROR(__xludf.DUMMYFUNCTION("""COMPUTED_VALUE"""),"Very Good")</f>
        <v>Very Good</v>
      </c>
      <c r="Z2788" t="str">
        <f>IFERROR(__xludf.DUMMYFUNCTION("""COMPUTED_VALUE"""),"Excellent")</f>
        <v>Excellent</v>
      </c>
      <c r="AA2788" t="str">
        <f>IFERROR(__xludf.DUMMYFUNCTION("""COMPUTED_VALUE"""),"Good")</f>
        <v>Good</v>
      </c>
      <c r="AB2788" t="str">
        <f>IFERROR(__xludf.DUMMYFUNCTION("""COMPUTED_VALUE"""),"Excellent")</f>
        <v>Excellent</v>
      </c>
      <c r="AC2788">
        <f>IFERROR(__xludf.DUMMYFUNCTION("""COMPUTED_VALUE"""),2.0)</f>
        <v>2</v>
      </c>
      <c r="AD2788">
        <f>IFERROR(__xludf.DUMMYFUNCTION("""COMPUTED_VALUE"""),0.0)</f>
        <v>0</v>
      </c>
      <c r="AE2788">
        <f>IFERROR(__xludf.DUMMYFUNCTION("""COMPUTED_VALUE"""),0.0)</f>
        <v>0</v>
      </c>
      <c r="AF2788" t="str">
        <f>IFERROR(__xludf.DUMMYFUNCTION("""COMPUTED_VALUE"""),"No. I took delivery of the first car Tesla was able to deliver.")</f>
        <v>No. I took delivery of the first car Tesla was able to deliver.</v>
      </c>
      <c r="AG2788" t="str">
        <f>IFERROR(__xludf.DUMMYFUNCTION("""COMPUTED_VALUE"""),"Amazing car. Love it. ")</f>
        <v>Amazing car. Love it. </v>
      </c>
      <c r="AH2788" s="189">
        <f>IFERROR(__xludf.DUMMYFUNCTION("""COMPUTED_VALUE"""),44296.44623619213)</f>
        <v>44296.44624</v>
      </c>
    </row>
    <row r="2789">
      <c r="A2789" t="str">
        <f>IFERROR(__xludf.DUMMYFUNCTION("""COMPUTED_VALUE"""),"MBoutte")</f>
        <v>MBoutte</v>
      </c>
      <c r="C2789" t="str">
        <f>IFERROR(__xludf.DUMMYFUNCTION("""COMPUTED_VALUE"""),"LA")</f>
        <v>LA</v>
      </c>
      <c r="D2789" t="str">
        <f>IFERROR(__xludf.DUMMYFUNCTION("""COMPUTED_VALUE"""),"USA")</f>
        <v>USA</v>
      </c>
      <c r="E2789" s="188">
        <f>IFERROR(__xludf.DUMMYFUNCTION("""COMPUTED_VALUE"""),44236.0)</f>
        <v>44236</v>
      </c>
      <c r="F2789" s="188">
        <f>IFERROR(__xludf.DUMMYFUNCTION("""COMPUTED_VALUE"""),44268.0)</f>
        <v>44268</v>
      </c>
      <c r="G2789" t="str">
        <f>IFERROR(__xludf.DUMMYFUNCTION("""COMPUTED_VALUE"""),"Manage order page (normal text)")</f>
        <v>Manage order page (normal text)</v>
      </c>
      <c r="H2789">
        <f>IFERROR(__xludf.DUMMYFUNCTION("""COMPUTED_VALUE"""),924955.0)</f>
        <v>924955</v>
      </c>
      <c r="I2789" t="str">
        <f>IFERROR(__xludf.DUMMYFUNCTION("""COMPUTED_VALUE"""),"03/21")</f>
        <v>03/21</v>
      </c>
      <c r="J2789" s="188">
        <f>IFERROR(__xludf.DUMMYFUNCTION("""COMPUTED_VALUE"""),44282.0)</f>
        <v>44282</v>
      </c>
      <c r="K2789">
        <f>IFERROR(__xludf.DUMMYFUNCTION("""COMPUTED_VALUE"""),32.0)</f>
        <v>32</v>
      </c>
      <c r="L2789">
        <f>IFERROR(__xludf.DUMMYFUNCTION("""COMPUTED_VALUE"""),14.0)</f>
        <v>14</v>
      </c>
      <c r="M2789">
        <f>IFERROR(__xludf.DUMMYFUNCTION("""COMPUTED_VALUE"""),46.0)</f>
        <v>46</v>
      </c>
      <c r="N2789" t="str">
        <f>IFERROR(__xludf.DUMMYFUNCTION("""COMPUTED_VALUE"""),"Model 3 LR AWD")</f>
        <v>Model 3 LR AWD</v>
      </c>
      <c r="O2789" t="str">
        <f>IFERROR(__xludf.DUMMYFUNCTION("""COMPUTED_VALUE"""),"Solid Black")</f>
        <v>Solid Black</v>
      </c>
      <c r="P2789" t="str">
        <f>IFERROR(__xludf.DUMMYFUNCTION("""COMPUTED_VALUE"""),"19 inch")</f>
        <v>19 inch</v>
      </c>
      <c r="Q2789" t="str">
        <f>IFERROR(__xludf.DUMMYFUNCTION("""COMPUTED_VALUE"""),"Black and White")</f>
        <v>Black and White</v>
      </c>
      <c r="R2789" t="str">
        <f>IFERROR(__xludf.DUMMYFUNCTION("""COMPUTED_VALUE"""),"Autopilot included")</f>
        <v>Autopilot included</v>
      </c>
      <c r="S2789" t="str">
        <f>IFERROR(__xludf.DUMMYFUNCTION("""COMPUTED_VALUE"""),"Loan")</f>
        <v>Loan</v>
      </c>
      <c r="T2789" t="str">
        <f>IFERROR(__xludf.DUMMYFUNCTION("""COMPUTED_VALUE"""),"Toyota 4Runner")</f>
        <v>Toyota 4Runner</v>
      </c>
      <c r="U2789" t="str">
        <f>IFERROR(__xludf.DUMMYFUNCTION("""COMPUTED_VALUE"""),"Electric!")</f>
        <v>Electric!</v>
      </c>
      <c r="V2789" t="str">
        <f>IFERROR(__xludf.DUMMYFUNCTION("""COMPUTED_VALUE"""),"Blind spot indicators on side mirrors")</f>
        <v>Blind spot indicators on side mirrors</v>
      </c>
      <c r="X2789" t="str">
        <f>IFERROR(__xludf.DUMMYFUNCTION("""COMPUTED_VALUE"""),"Excellent")</f>
        <v>Excellent</v>
      </c>
      <c r="Y2789" t="str">
        <f>IFERROR(__xludf.DUMMYFUNCTION("""COMPUTED_VALUE"""),"Excellent")</f>
        <v>Excellent</v>
      </c>
      <c r="Z2789" t="str">
        <f>IFERROR(__xludf.DUMMYFUNCTION("""COMPUTED_VALUE"""),"Excellent")</f>
        <v>Excellent</v>
      </c>
      <c r="AA2789" t="str">
        <f>IFERROR(__xludf.DUMMYFUNCTION("""COMPUTED_VALUE"""),"Excellent")</f>
        <v>Excellent</v>
      </c>
      <c r="AB2789" t="str">
        <f>IFERROR(__xludf.DUMMYFUNCTION("""COMPUTED_VALUE"""),"Excellent")</f>
        <v>Excellent</v>
      </c>
      <c r="AF2789" t="str">
        <f>IFERROR(__xludf.DUMMYFUNCTION("""COMPUTED_VALUE"""),"No. I took delivery of the first car Tesla was able to deliver.")</f>
        <v>No. I took delivery of the first car Tesla was able to deliver.</v>
      </c>
      <c r="AH2789" s="189">
        <f>IFERROR(__xludf.DUMMYFUNCTION("""COMPUTED_VALUE"""),44283.42630821759)</f>
        <v>44283.42631</v>
      </c>
    </row>
    <row r="2790">
      <c r="A2790" t="str">
        <f>IFERROR(__xludf.DUMMYFUNCTION("""COMPUTED_VALUE"""),"MrF06")</f>
        <v>MrF06</v>
      </c>
      <c r="B2790" t="str">
        <f>IFERROR(__xludf.DUMMYFUNCTION("""COMPUTED_VALUE"""),"Virginia Beach")</f>
        <v>Virginia Beach</v>
      </c>
      <c r="C2790" t="str">
        <f>IFERROR(__xludf.DUMMYFUNCTION("""COMPUTED_VALUE"""),"VA")</f>
        <v>VA</v>
      </c>
      <c r="D2790" t="str">
        <f>IFERROR(__xludf.DUMMYFUNCTION("""COMPUTED_VALUE"""),"USA")</f>
        <v>USA</v>
      </c>
      <c r="E2790" s="188">
        <f>IFERROR(__xludf.DUMMYFUNCTION("""COMPUTED_VALUE"""),44263.0)</f>
        <v>44263</v>
      </c>
      <c r="F2790" s="188">
        <f>IFERROR(__xludf.DUMMYFUNCTION("""COMPUTED_VALUE"""),44268.0)</f>
        <v>44268</v>
      </c>
      <c r="G2790" t="str">
        <f>IFERROR(__xludf.DUMMYFUNCTION("""COMPUTED_VALUE"""),"Manage order page (normal text)")</f>
        <v>Manage order page (normal text)</v>
      </c>
      <c r="H2790">
        <f>IFERROR(__xludf.DUMMYFUNCTION("""COMPUTED_VALUE"""),924855.0)</f>
        <v>924855</v>
      </c>
      <c r="J2790" s="188">
        <f>IFERROR(__xludf.DUMMYFUNCTION("""COMPUTED_VALUE"""),-686201.0)</f>
        <v>-686201</v>
      </c>
      <c r="K2790">
        <f>IFERROR(__xludf.DUMMYFUNCTION("""COMPUTED_VALUE"""),5.0)</f>
        <v>5</v>
      </c>
      <c r="N2790" t="str">
        <f>IFERROR(__xludf.DUMMYFUNCTION("""COMPUTED_VALUE"""),"Model 3 LR AWD")</f>
        <v>Model 3 LR AWD</v>
      </c>
      <c r="O2790" t="str">
        <f>IFERROR(__xludf.DUMMYFUNCTION("""COMPUTED_VALUE"""),"Midnight Silver Metallic")</f>
        <v>Midnight Silver Metallic</v>
      </c>
      <c r="P2790" t="str">
        <f>IFERROR(__xludf.DUMMYFUNCTION("""COMPUTED_VALUE"""),"18 inch")</f>
        <v>18 inch</v>
      </c>
      <c r="Q2790" t="str">
        <f>IFERROR(__xludf.DUMMYFUNCTION("""COMPUTED_VALUE"""),"Black and White")</f>
        <v>Black and White</v>
      </c>
      <c r="R2790" t="str">
        <f>IFERROR(__xludf.DUMMYFUNCTION("""COMPUTED_VALUE"""),"Autopilot included")</f>
        <v>Autopilot included</v>
      </c>
      <c r="S2790" t="str">
        <f>IFERROR(__xludf.DUMMYFUNCTION("""COMPUTED_VALUE"""),"Cash")</f>
        <v>Cash</v>
      </c>
      <c r="T2790" t="str">
        <f>IFERROR(__xludf.DUMMYFUNCTION("""COMPUTED_VALUE"""),"Dodge Charger RT")</f>
        <v>Dodge Charger RT</v>
      </c>
      <c r="U2790" t="str">
        <f>IFERROR(__xludf.DUMMYFUNCTION("""COMPUTED_VALUE"""),"Electric!")</f>
        <v>Electric!</v>
      </c>
      <c r="V2790" t="str">
        <f>IFERROR(__xludf.DUMMYFUNCTION("""COMPUTED_VALUE"""),"Ventilated seats")</f>
        <v>Ventilated seats</v>
      </c>
      <c r="X2790" t="str">
        <f>IFERROR(__xludf.DUMMYFUNCTION("""COMPUTED_VALUE"""),"Excellent")</f>
        <v>Excellent</v>
      </c>
      <c r="Y2790" t="str">
        <f>IFERROR(__xludf.DUMMYFUNCTION("""COMPUTED_VALUE"""),"Excellent")</f>
        <v>Excellent</v>
      </c>
      <c r="Z2790" t="str">
        <f>IFERROR(__xludf.DUMMYFUNCTION("""COMPUTED_VALUE"""),"Excellent")</f>
        <v>Excellent</v>
      </c>
      <c r="AA2790" t="str">
        <f>IFERROR(__xludf.DUMMYFUNCTION("""COMPUTED_VALUE"""),"Fair")</f>
        <v>Fair</v>
      </c>
      <c r="AB2790" t="str">
        <f>IFERROR(__xludf.DUMMYFUNCTION("""COMPUTED_VALUE"""),"Excellent")</f>
        <v>Excellent</v>
      </c>
      <c r="AF2790" t="str">
        <f>IFERROR(__xludf.DUMMYFUNCTION("""COMPUTED_VALUE"""),"No. I took delivery of the first car Tesla was able to deliver.")</f>
        <v>No. I took delivery of the first car Tesla was able to deliver.</v>
      </c>
      <c r="AH2790" s="189">
        <f>IFERROR(__xludf.DUMMYFUNCTION("""COMPUTED_VALUE"""),44284.81302465277)</f>
        <v>44284.81302</v>
      </c>
    </row>
    <row r="2791">
      <c r="A2791" t="str">
        <f>IFERROR(__xludf.DUMMYFUNCTION("""COMPUTED_VALUE"""),"SWB")</f>
        <v>SWB</v>
      </c>
      <c r="B2791" t="str">
        <f>IFERROR(__xludf.DUMMYFUNCTION("""COMPUTED_VALUE"""),"New Albany")</f>
        <v>New Albany</v>
      </c>
      <c r="C2791" t="str">
        <f>IFERROR(__xludf.DUMMYFUNCTION("""COMPUTED_VALUE"""),"IN")</f>
        <v>IN</v>
      </c>
      <c r="D2791" t="str">
        <f>IFERROR(__xludf.DUMMYFUNCTION("""COMPUTED_VALUE"""),"USA")</f>
        <v>USA</v>
      </c>
      <c r="E2791" s="188">
        <f>IFERROR(__xludf.DUMMYFUNCTION("""COMPUTED_VALUE"""),44267.0)</f>
        <v>44267</v>
      </c>
      <c r="F2791" s="188">
        <f>IFERROR(__xludf.DUMMYFUNCTION("""COMPUTED_VALUE"""),44274.0)</f>
        <v>44274</v>
      </c>
      <c r="G2791" t="str">
        <f>IFERROR(__xludf.DUMMYFUNCTION("""COMPUTED_VALUE"""),"Manage order page (normal text)")</f>
        <v>Manage order page (normal text)</v>
      </c>
      <c r="H2791">
        <f>IFERROR(__xludf.DUMMYFUNCTION("""COMPUTED_VALUE"""),928055.0)</f>
        <v>928055</v>
      </c>
      <c r="I2791" t="str">
        <f>IFERROR(__xludf.DUMMYFUNCTION("""COMPUTED_VALUE"""),"03/21")</f>
        <v>03/21</v>
      </c>
      <c r="J2791" s="188">
        <f>IFERROR(__xludf.DUMMYFUNCTION("""COMPUTED_VALUE"""),44281.0)</f>
        <v>44281</v>
      </c>
      <c r="K2791">
        <f>IFERROR(__xludf.DUMMYFUNCTION("""COMPUTED_VALUE"""),7.0)</f>
        <v>7</v>
      </c>
      <c r="L2791">
        <f>IFERROR(__xludf.DUMMYFUNCTION("""COMPUTED_VALUE"""),7.0)</f>
        <v>7</v>
      </c>
      <c r="M2791">
        <f>IFERROR(__xludf.DUMMYFUNCTION("""COMPUTED_VALUE"""),14.0)</f>
        <v>14</v>
      </c>
      <c r="N2791" t="str">
        <f>IFERROR(__xludf.DUMMYFUNCTION("""COMPUTED_VALUE"""),"Model 3 LR AWD")</f>
        <v>Model 3 LR AWD</v>
      </c>
      <c r="O2791" t="str">
        <f>IFERROR(__xludf.DUMMYFUNCTION("""COMPUTED_VALUE"""),"Deep Blue Metallic")</f>
        <v>Deep Blue Metallic</v>
      </c>
      <c r="P2791" t="str">
        <f>IFERROR(__xludf.DUMMYFUNCTION("""COMPUTED_VALUE"""),"18 inch")</f>
        <v>18 inch</v>
      </c>
      <c r="Q2791" t="str">
        <f>IFERROR(__xludf.DUMMYFUNCTION("""COMPUTED_VALUE"""),"All Black")</f>
        <v>All Black</v>
      </c>
      <c r="R2791" t="str">
        <f>IFERROR(__xludf.DUMMYFUNCTION("""COMPUTED_VALUE"""),"Autopilot included")</f>
        <v>Autopilot included</v>
      </c>
      <c r="S2791" t="str">
        <f>IFERROR(__xludf.DUMMYFUNCTION("""COMPUTED_VALUE"""),"Cash")</f>
        <v>Cash</v>
      </c>
      <c r="T2791" t="str">
        <f>IFERROR(__xludf.DUMMYFUNCTION("""COMPUTED_VALUE"""),"BMW 3 Series")</f>
        <v>BMW 3 Series</v>
      </c>
      <c r="U2791" t="str">
        <f>IFERROR(__xludf.DUMMYFUNCTION("""COMPUTED_VALUE"""),"Electric!")</f>
        <v>Electric!</v>
      </c>
      <c r="V2791" t="str">
        <f>IFERROR(__xludf.DUMMYFUNCTION("""COMPUTED_VALUE"""),"Blind spot indicators on side mirrors")</f>
        <v>Blind spot indicators on side mirrors</v>
      </c>
      <c r="X2791" t="str">
        <f>IFERROR(__xludf.DUMMYFUNCTION("""COMPUTED_VALUE"""),"Good")</f>
        <v>Good</v>
      </c>
      <c r="Y2791" t="str">
        <f>IFERROR(__xludf.DUMMYFUNCTION("""COMPUTED_VALUE"""),"Excellent")</f>
        <v>Excellent</v>
      </c>
      <c r="Z2791" t="str">
        <f>IFERROR(__xludf.DUMMYFUNCTION("""COMPUTED_VALUE"""),"Excellent")</f>
        <v>Excellent</v>
      </c>
      <c r="AA2791" t="str">
        <f>IFERROR(__xludf.DUMMYFUNCTION("""COMPUTED_VALUE"""),"Good")</f>
        <v>Good</v>
      </c>
      <c r="AB2791" t="str">
        <f>IFERROR(__xludf.DUMMYFUNCTION("""COMPUTED_VALUE"""),"Excellent")</f>
        <v>Excellent</v>
      </c>
      <c r="AC2791">
        <f>IFERROR(__xludf.DUMMYFUNCTION("""COMPUTED_VALUE"""),0.0)</f>
        <v>0</v>
      </c>
      <c r="AD2791">
        <f>IFERROR(__xludf.DUMMYFUNCTION("""COMPUTED_VALUE"""),1.0)</f>
        <v>1</v>
      </c>
      <c r="AE2791">
        <f>IFERROR(__xludf.DUMMYFUNCTION("""COMPUTED_VALUE"""),0.0)</f>
        <v>0</v>
      </c>
      <c r="AF2791" t="str">
        <f>IFERROR(__xludf.DUMMYFUNCTION("""COMPUTED_VALUE"""),"No. I took delivery of the first car Tesla was able to deliver.")</f>
        <v>No. I took delivery of the first car Tesla was able to deliver.</v>
      </c>
      <c r="AH2791" s="189">
        <f>IFERROR(__xludf.DUMMYFUNCTION("""COMPUTED_VALUE"""),44323.405582569445)</f>
        <v>44323.40558</v>
      </c>
    </row>
    <row r="2792">
      <c r="A2792" t="str">
        <f>IFERROR(__xludf.DUMMYFUNCTION("""COMPUTED_VALUE"""),"McDork")</f>
        <v>McDork</v>
      </c>
      <c r="B2792" t="str">
        <f>IFERROR(__xludf.DUMMYFUNCTION("""COMPUTED_VALUE"""),"Gardnerville")</f>
        <v>Gardnerville</v>
      </c>
      <c r="C2792" t="str">
        <f>IFERROR(__xludf.DUMMYFUNCTION("""COMPUTED_VALUE"""),"NV")</f>
        <v>NV</v>
      </c>
      <c r="D2792" t="str">
        <f>IFERROR(__xludf.DUMMYFUNCTION("""COMPUTED_VALUE"""),"USA")</f>
        <v>USA</v>
      </c>
      <c r="E2792" s="188">
        <f>IFERROR(__xludf.DUMMYFUNCTION("""COMPUTED_VALUE"""),44202.0)</f>
        <v>44202</v>
      </c>
      <c r="F2792" s="188">
        <f>IFERROR(__xludf.DUMMYFUNCTION("""COMPUTED_VALUE"""),44270.0)</f>
        <v>44270</v>
      </c>
      <c r="G2792" t="str">
        <f>IFERROR(__xludf.DUMMYFUNCTION("""COMPUTED_VALUE"""),"Manage order page (normal text)")</f>
        <v>Manage order page (normal text)</v>
      </c>
      <c r="H2792">
        <f>IFERROR(__xludf.DUMMYFUNCTION("""COMPUTED_VALUE"""),926016.0)</f>
        <v>926016</v>
      </c>
      <c r="J2792" s="188">
        <f>IFERROR(__xludf.DUMMYFUNCTION("""COMPUTED_VALUE"""),44275.0)</f>
        <v>44275</v>
      </c>
      <c r="K2792">
        <f>IFERROR(__xludf.DUMMYFUNCTION("""COMPUTED_VALUE"""),68.0)</f>
        <v>68</v>
      </c>
      <c r="L2792">
        <f>IFERROR(__xludf.DUMMYFUNCTION("""COMPUTED_VALUE"""),5.0)</f>
        <v>5</v>
      </c>
      <c r="M2792">
        <f>IFERROR(__xludf.DUMMYFUNCTION("""COMPUTED_VALUE"""),73.0)</f>
        <v>73</v>
      </c>
      <c r="N2792" t="str">
        <f>IFERROR(__xludf.DUMMYFUNCTION("""COMPUTED_VALUE"""),"Model 3 Performance")</f>
        <v>Model 3 Performance</v>
      </c>
      <c r="O2792" t="str">
        <f>IFERROR(__xludf.DUMMYFUNCTION("""COMPUTED_VALUE"""),"Midnight Silver Metallic")</f>
        <v>Midnight Silver Metallic</v>
      </c>
      <c r="P2792" t="str">
        <f>IFERROR(__xludf.DUMMYFUNCTION("""COMPUTED_VALUE"""),"20 inch")</f>
        <v>20 inch</v>
      </c>
      <c r="Q2792" t="str">
        <f>IFERROR(__xludf.DUMMYFUNCTION("""COMPUTED_VALUE"""),"All Black")</f>
        <v>All Black</v>
      </c>
      <c r="R2792" t="str">
        <f>IFERROR(__xludf.DUMMYFUNCTION("""COMPUTED_VALUE"""),"Full Self-Driving")</f>
        <v>Full Self-Driving</v>
      </c>
      <c r="S2792" t="str">
        <f>IFERROR(__xludf.DUMMYFUNCTION("""COMPUTED_VALUE"""),"Cash")</f>
        <v>Cash</v>
      </c>
      <c r="U2792" t="str">
        <f>IFERROR(__xludf.DUMMYFUNCTION("""COMPUTED_VALUE"""),"Electric!")</f>
        <v>Electric!</v>
      </c>
      <c r="V2792" t="str">
        <f>IFERROR(__xludf.DUMMYFUNCTION("""COMPUTED_VALUE"""),"Air suspension")</f>
        <v>Air suspension</v>
      </c>
      <c r="X2792" t="str">
        <f>IFERROR(__xludf.DUMMYFUNCTION("""COMPUTED_VALUE"""),"Very Good")</f>
        <v>Very Good</v>
      </c>
      <c r="Y2792" t="str">
        <f>IFERROR(__xludf.DUMMYFUNCTION("""COMPUTED_VALUE"""),"Very Good")</f>
        <v>Very Good</v>
      </c>
      <c r="Z2792" t="str">
        <f>IFERROR(__xludf.DUMMYFUNCTION("""COMPUTED_VALUE"""),"Excellent")</f>
        <v>Excellent</v>
      </c>
      <c r="AA2792" t="str">
        <f>IFERROR(__xludf.DUMMYFUNCTION("""COMPUTED_VALUE"""),"Good")</f>
        <v>Good</v>
      </c>
      <c r="AB2792" t="str">
        <f>IFERROR(__xludf.DUMMYFUNCTION("""COMPUTED_VALUE"""),"Very Good")</f>
        <v>Very Good</v>
      </c>
      <c r="AF2792" t="str">
        <f>IFERROR(__xludf.DUMMYFUNCTION("""COMPUTED_VALUE"""),"No. I took delivery of the first car Tesla was able to deliver.")</f>
        <v>No. I took delivery of the first car Tesla was able to deliver.</v>
      </c>
      <c r="AH2792" s="189">
        <f>IFERROR(__xludf.DUMMYFUNCTION("""COMPUTED_VALUE"""),44277.47617628472)</f>
        <v>44277.47618</v>
      </c>
    </row>
    <row r="2793">
      <c r="A2793" t="str">
        <f>IFERROR(__xludf.DUMMYFUNCTION("""COMPUTED_VALUE"""),"TechJunky")</f>
        <v>TechJunky</v>
      </c>
      <c r="B2793" t="str">
        <f>IFERROR(__xludf.DUMMYFUNCTION("""COMPUTED_VALUE"""),"Columbus")</f>
        <v>Columbus</v>
      </c>
      <c r="C2793" t="str">
        <f>IFERROR(__xludf.DUMMYFUNCTION("""COMPUTED_VALUE"""),"OH")</f>
        <v>OH</v>
      </c>
      <c r="D2793" t="str">
        <f>IFERROR(__xludf.DUMMYFUNCTION("""COMPUTED_VALUE"""),"USA")</f>
        <v>USA</v>
      </c>
      <c r="E2793" s="188">
        <f>IFERROR(__xludf.DUMMYFUNCTION("""COMPUTED_VALUE"""),44263.0)</f>
        <v>44263</v>
      </c>
      <c r="F2793" s="188">
        <f>IFERROR(__xludf.DUMMYFUNCTION("""COMPUTED_VALUE"""),44273.0)</f>
        <v>44273</v>
      </c>
      <c r="G2793" t="str">
        <f>IFERROR(__xludf.DUMMYFUNCTION("""COMPUTED_VALUE"""),"Manage order page (normal text)")</f>
        <v>Manage order page (normal text)</v>
      </c>
      <c r="H2793">
        <f>IFERROR(__xludf.DUMMYFUNCTION("""COMPUTED_VALUE"""),928201.0)</f>
        <v>928201</v>
      </c>
      <c r="I2793" t="str">
        <f>IFERROR(__xludf.DUMMYFUNCTION("""COMPUTED_VALUE"""),"03/21")</f>
        <v>03/21</v>
      </c>
      <c r="J2793" s="188">
        <f>IFERROR(__xludf.DUMMYFUNCTION("""COMPUTED_VALUE"""),44282.0)</f>
        <v>44282</v>
      </c>
      <c r="K2793">
        <f>IFERROR(__xludf.DUMMYFUNCTION("""COMPUTED_VALUE"""),10.0)</f>
        <v>10</v>
      </c>
      <c r="L2793">
        <f>IFERROR(__xludf.DUMMYFUNCTION("""COMPUTED_VALUE"""),9.0)</f>
        <v>9</v>
      </c>
      <c r="M2793">
        <f>IFERROR(__xludf.DUMMYFUNCTION("""COMPUTED_VALUE"""),19.0)</f>
        <v>19</v>
      </c>
      <c r="N2793" t="str">
        <f>IFERROR(__xludf.DUMMYFUNCTION("""COMPUTED_VALUE"""),"Model 3 LR AWD")</f>
        <v>Model 3 LR AWD</v>
      </c>
      <c r="O2793" t="str">
        <f>IFERROR(__xludf.DUMMYFUNCTION("""COMPUTED_VALUE"""),"Pearl White Multi-Coat")</f>
        <v>Pearl White Multi-Coat</v>
      </c>
      <c r="P2793" t="str">
        <f>IFERROR(__xludf.DUMMYFUNCTION("""COMPUTED_VALUE"""),"18 inch")</f>
        <v>18 inch</v>
      </c>
      <c r="Q2793" t="str">
        <f>IFERROR(__xludf.DUMMYFUNCTION("""COMPUTED_VALUE"""),"All Black")</f>
        <v>All Black</v>
      </c>
      <c r="R2793" t="str">
        <f>IFERROR(__xludf.DUMMYFUNCTION("""COMPUTED_VALUE"""),"Autopilot included")</f>
        <v>Autopilot included</v>
      </c>
      <c r="S2793" t="str">
        <f>IFERROR(__xludf.DUMMYFUNCTION("""COMPUTED_VALUE"""),"Loan")</f>
        <v>Loan</v>
      </c>
      <c r="T2793" t="str">
        <f>IFERROR(__xludf.DUMMYFUNCTION("""COMPUTED_VALUE"""),"Honda Civic")</f>
        <v>Honda Civic</v>
      </c>
      <c r="U2793" t="str">
        <f>IFERROR(__xludf.DUMMYFUNCTION("""COMPUTED_VALUE"""),"Electric!")</f>
        <v>Electric!</v>
      </c>
      <c r="V2793" t="str">
        <f>IFERROR(__xludf.DUMMYFUNCTION("""COMPUTED_VALUE"""),"Head-up display")</f>
        <v>Head-up display</v>
      </c>
      <c r="X2793" t="str">
        <f>IFERROR(__xludf.DUMMYFUNCTION("""COMPUTED_VALUE"""),"Excellent")</f>
        <v>Excellent</v>
      </c>
      <c r="Y2793" t="str">
        <f>IFERROR(__xludf.DUMMYFUNCTION("""COMPUTED_VALUE"""),"Excellent")</f>
        <v>Excellent</v>
      </c>
      <c r="Z2793" t="str">
        <f>IFERROR(__xludf.DUMMYFUNCTION("""COMPUTED_VALUE"""),"Excellent")</f>
        <v>Excellent</v>
      </c>
      <c r="AA2793" t="str">
        <f>IFERROR(__xludf.DUMMYFUNCTION("""COMPUTED_VALUE"""),"Good")</f>
        <v>Good</v>
      </c>
      <c r="AB2793" t="str">
        <f>IFERROR(__xludf.DUMMYFUNCTION("""COMPUTED_VALUE"""),"Very Good")</f>
        <v>Very Good</v>
      </c>
      <c r="AC2793">
        <f>IFERROR(__xludf.DUMMYFUNCTION("""COMPUTED_VALUE"""),0.0)</f>
        <v>0</v>
      </c>
      <c r="AD2793">
        <f>IFERROR(__xludf.DUMMYFUNCTION("""COMPUTED_VALUE"""),0.0)</f>
        <v>0</v>
      </c>
      <c r="AE2793">
        <f>IFERROR(__xludf.DUMMYFUNCTION("""COMPUTED_VALUE"""),0.0)</f>
        <v>0</v>
      </c>
      <c r="AF2793" t="str">
        <f>IFERROR(__xludf.DUMMYFUNCTION("""COMPUTED_VALUE"""),"No. I took delivery of the first car Tesla was able to deliver.")</f>
        <v>No. I took delivery of the first car Tesla was able to deliver.</v>
      </c>
      <c r="AH2793" s="189">
        <f>IFERROR(__xludf.DUMMYFUNCTION("""COMPUTED_VALUE"""),44318.30397729167)</f>
        <v>44318.30398</v>
      </c>
    </row>
    <row r="2794">
      <c r="A2794" t="str">
        <f>IFERROR(__xludf.DUMMYFUNCTION("""COMPUTED_VALUE"""),"SonOfUncleSam")</f>
        <v>SonOfUncleSam</v>
      </c>
      <c r="B2794" t="str">
        <f>IFERROR(__xludf.DUMMYFUNCTION("""COMPUTED_VALUE"""),"Cincinnati")</f>
        <v>Cincinnati</v>
      </c>
      <c r="C2794" t="str">
        <f>IFERROR(__xludf.DUMMYFUNCTION("""COMPUTED_VALUE"""),"OH")</f>
        <v>OH</v>
      </c>
      <c r="D2794" t="str">
        <f>IFERROR(__xludf.DUMMYFUNCTION("""COMPUTED_VALUE"""),"USA")</f>
        <v>USA</v>
      </c>
      <c r="E2794" s="188">
        <f>IFERROR(__xludf.DUMMYFUNCTION("""COMPUTED_VALUE"""),44258.0)</f>
        <v>44258</v>
      </c>
      <c r="F2794" s="188">
        <f>IFERROR(__xludf.DUMMYFUNCTION("""COMPUTED_VALUE"""),44278.0)</f>
        <v>44278</v>
      </c>
      <c r="G2794" t="str">
        <f>IFERROR(__xludf.DUMMYFUNCTION("""COMPUTED_VALUE"""),"Manage order page (normal text)")</f>
        <v>Manage order page (normal text)</v>
      </c>
      <c r="H2794">
        <f>IFERROR(__xludf.DUMMYFUNCTION("""COMPUTED_VALUE"""),918055.0)</f>
        <v>918055</v>
      </c>
      <c r="J2794" s="188">
        <f>IFERROR(__xludf.DUMMYFUNCTION("""COMPUTED_VALUE"""),44284.0)</f>
        <v>44284</v>
      </c>
      <c r="K2794">
        <f>IFERROR(__xludf.DUMMYFUNCTION("""COMPUTED_VALUE"""),20.0)</f>
        <v>20</v>
      </c>
      <c r="L2794">
        <f>IFERROR(__xludf.DUMMYFUNCTION("""COMPUTED_VALUE"""),6.0)</f>
        <v>6</v>
      </c>
      <c r="M2794">
        <f>IFERROR(__xludf.DUMMYFUNCTION("""COMPUTED_VALUE"""),26.0)</f>
        <v>26</v>
      </c>
      <c r="N2794" t="str">
        <f>IFERROR(__xludf.DUMMYFUNCTION("""COMPUTED_VALUE"""),"Model 3 LR AWD")</f>
        <v>Model 3 LR AWD</v>
      </c>
      <c r="O2794" t="str">
        <f>IFERROR(__xludf.DUMMYFUNCTION("""COMPUTED_VALUE"""),"Deep Blue Metallic")</f>
        <v>Deep Blue Metallic</v>
      </c>
      <c r="P2794" t="str">
        <f>IFERROR(__xludf.DUMMYFUNCTION("""COMPUTED_VALUE"""),"18 inch")</f>
        <v>18 inch</v>
      </c>
      <c r="Q2794" t="str">
        <f>IFERROR(__xludf.DUMMYFUNCTION("""COMPUTED_VALUE"""),"Black and White")</f>
        <v>Black and White</v>
      </c>
      <c r="R2794" t="str">
        <f>IFERROR(__xludf.DUMMYFUNCTION("""COMPUTED_VALUE"""),"Autopilot included")</f>
        <v>Autopilot included</v>
      </c>
      <c r="S2794" t="str">
        <f>IFERROR(__xludf.DUMMYFUNCTION("""COMPUTED_VALUE"""),"Loan")</f>
        <v>Loan</v>
      </c>
      <c r="U2794" t="str">
        <f>IFERROR(__xludf.DUMMYFUNCTION("""COMPUTED_VALUE"""),"Electric!")</f>
        <v>Electric!</v>
      </c>
      <c r="V2794" t="str">
        <f>IFERROR(__xludf.DUMMYFUNCTION("""COMPUTED_VALUE"""),"Apple CarPlay / Android Auto / SiriusXM Radio")</f>
        <v>Apple CarPlay / Android Auto / SiriusXM Radio</v>
      </c>
      <c r="X2794" t="str">
        <f>IFERROR(__xludf.DUMMYFUNCTION("""COMPUTED_VALUE"""),"Excellent")</f>
        <v>Excellent</v>
      </c>
      <c r="Y2794" t="str">
        <f>IFERROR(__xludf.DUMMYFUNCTION("""COMPUTED_VALUE"""),"Excellent")</f>
        <v>Excellent</v>
      </c>
      <c r="Z2794" t="str">
        <f>IFERROR(__xludf.DUMMYFUNCTION("""COMPUTED_VALUE"""),"Very Good")</f>
        <v>Very Good</v>
      </c>
      <c r="AA2794" t="str">
        <f>IFERROR(__xludf.DUMMYFUNCTION("""COMPUTED_VALUE"""),"Excellent")</f>
        <v>Excellent</v>
      </c>
      <c r="AB2794" t="str">
        <f>IFERROR(__xludf.DUMMYFUNCTION("""COMPUTED_VALUE"""),"Good")</f>
        <v>Good</v>
      </c>
      <c r="AC2794">
        <f>IFERROR(__xludf.DUMMYFUNCTION("""COMPUTED_VALUE"""),1.0)</f>
        <v>1</v>
      </c>
      <c r="AF2794" t="str">
        <f>IFERROR(__xludf.DUMMYFUNCTION("""COMPUTED_VALUE"""),"No. I took delivery of the first car Tesla was able to deliver.")</f>
        <v>No. I took delivery of the first car Tesla was able to deliver.</v>
      </c>
      <c r="AH2794" s="189">
        <f>IFERROR(__xludf.DUMMYFUNCTION("""COMPUTED_VALUE"""),44284.78549746527)</f>
        <v>44284.7855</v>
      </c>
    </row>
    <row r="2795">
      <c r="A2795" t="str">
        <f>IFERROR(__xludf.DUMMYFUNCTION("""COMPUTED_VALUE"""),"Aero247")</f>
        <v>Aero247</v>
      </c>
      <c r="B2795" t="str">
        <f>IFERROR(__xludf.DUMMYFUNCTION("""COMPUTED_VALUE"""),"Fresno")</f>
        <v>Fresno</v>
      </c>
      <c r="C2795" t="str">
        <f>IFERROR(__xludf.DUMMYFUNCTION("""COMPUTED_VALUE"""),"CA")</f>
        <v>CA</v>
      </c>
      <c r="D2795" t="str">
        <f>IFERROR(__xludf.DUMMYFUNCTION("""COMPUTED_VALUE"""),"USA")</f>
        <v>USA</v>
      </c>
      <c r="E2795" s="188">
        <f>IFERROR(__xludf.DUMMYFUNCTION("""COMPUTED_VALUE"""),44261.0)</f>
        <v>44261</v>
      </c>
      <c r="F2795" s="188">
        <f>IFERROR(__xludf.DUMMYFUNCTION("""COMPUTED_VALUE"""),44276.0)</f>
        <v>44276</v>
      </c>
      <c r="G2795" t="str">
        <f>IFERROR(__xludf.DUMMYFUNCTION("""COMPUTED_VALUE"""),"Manage order page (normal text)")</f>
        <v>Manage order page (normal text)</v>
      </c>
      <c r="H2795">
        <f>IFERROR(__xludf.DUMMYFUNCTION("""COMPUTED_VALUE"""),938555.0)</f>
        <v>938555</v>
      </c>
      <c r="J2795" s="188">
        <f>IFERROR(__xludf.DUMMYFUNCTION("""COMPUTED_VALUE"""),44281.0)</f>
        <v>44281</v>
      </c>
      <c r="K2795">
        <f>IFERROR(__xludf.DUMMYFUNCTION("""COMPUTED_VALUE"""),15.0)</f>
        <v>15</v>
      </c>
      <c r="L2795">
        <f>IFERROR(__xludf.DUMMYFUNCTION("""COMPUTED_VALUE"""),5.0)</f>
        <v>5</v>
      </c>
      <c r="M2795">
        <f>IFERROR(__xludf.DUMMYFUNCTION("""COMPUTED_VALUE"""),20.0)</f>
        <v>20</v>
      </c>
      <c r="N2795" t="str">
        <f>IFERROR(__xludf.DUMMYFUNCTION("""COMPUTED_VALUE"""),"Model 3 SR+")</f>
        <v>Model 3 SR+</v>
      </c>
      <c r="O2795" t="str">
        <f>IFERROR(__xludf.DUMMYFUNCTION("""COMPUTED_VALUE"""),"Pearl White Multi-Coat")</f>
        <v>Pearl White Multi-Coat</v>
      </c>
      <c r="P2795" t="str">
        <f>IFERROR(__xludf.DUMMYFUNCTION("""COMPUTED_VALUE"""),"18 inch")</f>
        <v>18 inch</v>
      </c>
      <c r="Q2795" t="str">
        <f>IFERROR(__xludf.DUMMYFUNCTION("""COMPUTED_VALUE"""),"All Black")</f>
        <v>All Black</v>
      </c>
      <c r="R2795" t="str">
        <f>IFERROR(__xludf.DUMMYFUNCTION("""COMPUTED_VALUE"""),"Autopilot included")</f>
        <v>Autopilot included</v>
      </c>
      <c r="S2795" t="str">
        <f>IFERROR(__xludf.DUMMYFUNCTION("""COMPUTED_VALUE"""),"Loan")</f>
        <v>Loan</v>
      </c>
      <c r="T2795" t="str">
        <f>IFERROR(__xludf.DUMMYFUNCTION("""COMPUTED_VALUE"""),"Ford Fusion")</f>
        <v>Ford Fusion</v>
      </c>
      <c r="U2795" t="str">
        <f>IFERROR(__xludf.DUMMYFUNCTION("""COMPUTED_VALUE"""),"Electric!")</f>
        <v>Electric!</v>
      </c>
      <c r="V2795" t="str">
        <f>IFERROR(__xludf.DUMMYFUNCTION("""COMPUTED_VALUE"""),"Blind spot indicators on side mirrors")</f>
        <v>Blind spot indicators on side mirrors</v>
      </c>
      <c r="X2795" t="str">
        <f>IFERROR(__xludf.DUMMYFUNCTION("""COMPUTED_VALUE"""),"Excellent")</f>
        <v>Excellent</v>
      </c>
      <c r="Y2795" t="str">
        <f>IFERROR(__xludf.DUMMYFUNCTION("""COMPUTED_VALUE"""),"Excellent")</f>
        <v>Excellent</v>
      </c>
      <c r="Z2795" t="str">
        <f>IFERROR(__xludf.DUMMYFUNCTION("""COMPUTED_VALUE"""),"Excellent")</f>
        <v>Excellent</v>
      </c>
      <c r="AA2795" t="str">
        <f>IFERROR(__xludf.DUMMYFUNCTION("""COMPUTED_VALUE"""),"Good")</f>
        <v>Good</v>
      </c>
      <c r="AB2795" t="str">
        <f>IFERROR(__xludf.DUMMYFUNCTION("""COMPUTED_VALUE"""),"Excellent")</f>
        <v>Excellent</v>
      </c>
      <c r="AC2795">
        <f>IFERROR(__xludf.DUMMYFUNCTION("""COMPUTED_VALUE"""),1.0)</f>
        <v>1</v>
      </c>
      <c r="AD2795">
        <f>IFERROR(__xludf.DUMMYFUNCTION("""COMPUTED_VALUE"""),1.0)</f>
        <v>1</v>
      </c>
      <c r="AF2795" t="str">
        <f>IFERROR(__xludf.DUMMYFUNCTION("""COMPUTED_VALUE"""),"No. I took delivery of the first car Tesla was able to deliver.")</f>
        <v>No. I took delivery of the first car Tesla was able to deliver.</v>
      </c>
      <c r="AH2795" s="189">
        <f>IFERROR(__xludf.DUMMYFUNCTION("""COMPUTED_VALUE"""),44281.95400032407)</f>
        <v>44281.954</v>
      </c>
    </row>
    <row r="2796">
      <c r="A2796" t="str">
        <f>IFERROR(__xludf.DUMMYFUNCTION("""COMPUTED_VALUE"""),"alpha")</f>
        <v>alpha</v>
      </c>
      <c r="B2796" t="str">
        <f>IFERROR(__xludf.DUMMYFUNCTION("""COMPUTED_VALUE"""),"Baltimore")</f>
        <v>Baltimore</v>
      </c>
      <c r="C2796" t="str">
        <f>IFERROR(__xludf.DUMMYFUNCTION("""COMPUTED_VALUE"""),"MD")</f>
        <v>MD</v>
      </c>
      <c r="D2796" t="str">
        <f>IFERROR(__xludf.DUMMYFUNCTION("""COMPUTED_VALUE"""),"USA")</f>
        <v>USA</v>
      </c>
      <c r="E2796" s="188">
        <f>IFERROR(__xludf.DUMMYFUNCTION("""COMPUTED_VALUE"""),44267.0)</f>
        <v>44267</v>
      </c>
      <c r="F2796" s="188">
        <f>IFERROR(__xludf.DUMMYFUNCTION("""COMPUTED_VALUE"""),44272.0)</f>
        <v>44272</v>
      </c>
      <c r="G2796" t="str">
        <f>IFERROR(__xludf.DUMMYFUNCTION("""COMPUTED_VALUE"""),"Manage order page (normal text)")</f>
        <v>Manage order page (normal text)</v>
      </c>
      <c r="H2796">
        <f>IFERROR(__xludf.DUMMYFUNCTION("""COMPUTED_VALUE"""),927055.0)</f>
        <v>927055</v>
      </c>
      <c r="I2796" t="str">
        <f>IFERROR(__xludf.DUMMYFUNCTION("""COMPUTED_VALUE"""),"03/21")</f>
        <v>03/21</v>
      </c>
      <c r="J2796" s="188">
        <f>IFERROR(__xludf.DUMMYFUNCTION("""COMPUTED_VALUE"""),44280.0)</f>
        <v>44280</v>
      </c>
      <c r="K2796">
        <f>IFERROR(__xludf.DUMMYFUNCTION("""COMPUTED_VALUE"""),5.0)</f>
        <v>5</v>
      </c>
      <c r="L2796">
        <f>IFERROR(__xludf.DUMMYFUNCTION("""COMPUTED_VALUE"""),8.0)</f>
        <v>8</v>
      </c>
      <c r="M2796">
        <f>IFERROR(__xludf.DUMMYFUNCTION("""COMPUTED_VALUE"""),13.0)</f>
        <v>13</v>
      </c>
      <c r="N2796" t="str">
        <f>IFERROR(__xludf.DUMMYFUNCTION("""COMPUTED_VALUE"""),"Model 3 LR AWD")</f>
        <v>Model 3 LR AWD</v>
      </c>
      <c r="O2796" t="str">
        <f>IFERROR(__xludf.DUMMYFUNCTION("""COMPUTED_VALUE"""),"Deep Blue Metallic")</f>
        <v>Deep Blue Metallic</v>
      </c>
      <c r="P2796" t="str">
        <f>IFERROR(__xludf.DUMMYFUNCTION("""COMPUTED_VALUE"""),"18 inch")</f>
        <v>18 inch</v>
      </c>
      <c r="Q2796" t="str">
        <f>IFERROR(__xludf.DUMMYFUNCTION("""COMPUTED_VALUE"""),"Black and White")</f>
        <v>Black and White</v>
      </c>
      <c r="R2796" t="str">
        <f>IFERROR(__xludf.DUMMYFUNCTION("""COMPUTED_VALUE"""),"Autopilot included")</f>
        <v>Autopilot included</v>
      </c>
      <c r="S2796" t="str">
        <f>IFERROR(__xludf.DUMMYFUNCTION("""COMPUTED_VALUE"""),"Loan")</f>
        <v>Loan</v>
      </c>
      <c r="U2796" t="str">
        <f>IFERROR(__xludf.DUMMYFUNCTION("""COMPUTED_VALUE"""),"Zoooom")</f>
        <v>Zoooom</v>
      </c>
      <c r="V2796" t="str">
        <f>IFERROR(__xludf.DUMMYFUNCTION("""COMPUTED_VALUE"""),"Apple CarPlay / Android Auto / SiriusXM Radio")</f>
        <v>Apple CarPlay / Android Auto / SiriusXM Radio</v>
      </c>
      <c r="X2796" t="str">
        <f>IFERROR(__xludf.DUMMYFUNCTION("""COMPUTED_VALUE"""),"Good")</f>
        <v>Good</v>
      </c>
      <c r="Y2796" t="str">
        <f>IFERROR(__xludf.DUMMYFUNCTION("""COMPUTED_VALUE"""),"Fair")</f>
        <v>Fair</v>
      </c>
      <c r="Z2796" t="str">
        <f>IFERROR(__xludf.DUMMYFUNCTION("""COMPUTED_VALUE"""),"Good")</f>
        <v>Good</v>
      </c>
      <c r="AA2796" t="str">
        <f>IFERROR(__xludf.DUMMYFUNCTION("""COMPUTED_VALUE"""),"Poor")</f>
        <v>Poor</v>
      </c>
      <c r="AB2796" t="str">
        <f>IFERROR(__xludf.DUMMYFUNCTION("""COMPUTED_VALUE"""),"Fair")</f>
        <v>Fair</v>
      </c>
      <c r="AF2796" t="str">
        <f>IFERROR(__xludf.DUMMYFUNCTION("""COMPUTED_VALUE"""),"No. I took delivery of the first car Tesla was able to deliver.")</f>
        <v>No. I took delivery of the first car Tesla was able to deliver.</v>
      </c>
      <c r="AH2796" s="189">
        <f>IFERROR(__xludf.DUMMYFUNCTION("""COMPUTED_VALUE"""),44280.633698564816)</f>
        <v>44280.6337</v>
      </c>
    </row>
    <row r="2797">
      <c r="A2797" t="str">
        <f>IFERROR(__xludf.DUMMYFUNCTION("""COMPUTED_VALUE"""),"cykfoli")</f>
        <v>cykfoli</v>
      </c>
      <c r="B2797" t="str">
        <f>IFERROR(__xludf.DUMMYFUNCTION("""COMPUTED_VALUE"""),"Kitchener")</f>
        <v>Kitchener</v>
      </c>
      <c r="C2797" t="str">
        <f>IFERROR(__xludf.DUMMYFUNCTION("""COMPUTED_VALUE"""),"ON")</f>
        <v>ON</v>
      </c>
      <c r="D2797" t="str">
        <f>IFERROR(__xludf.DUMMYFUNCTION("""COMPUTED_VALUE"""),"Canada")</f>
        <v>Canada</v>
      </c>
      <c r="E2797" s="188">
        <f>IFERROR(__xludf.DUMMYFUNCTION("""COMPUTED_VALUE"""),44267.0)</f>
        <v>44267</v>
      </c>
      <c r="F2797" s="188">
        <f>IFERROR(__xludf.DUMMYFUNCTION("""COMPUTED_VALUE"""),44275.0)</f>
        <v>44275</v>
      </c>
      <c r="G2797" t="str">
        <f>IFERROR(__xludf.DUMMYFUNCTION("""COMPUTED_VALUE"""),"Email")</f>
        <v>Email</v>
      </c>
      <c r="H2797">
        <f>IFERROR(__xludf.DUMMYFUNCTION("""COMPUTED_VALUE"""),914955.0)</f>
        <v>914955</v>
      </c>
      <c r="I2797" t="str">
        <f>IFERROR(__xludf.DUMMYFUNCTION("""COMPUTED_VALUE"""),"03/21")</f>
        <v>03/21</v>
      </c>
      <c r="J2797" s="188">
        <f>IFERROR(__xludf.DUMMYFUNCTION("""COMPUTED_VALUE"""),44282.0)</f>
        <v>44282</v>
      </c>
      <c r="K2797">
        <f>IFERROR(__xludf.DUMMYFUNCTION("""COMPUTED_VALUE"""),8.0)</f>
        <v>8</v>
      </c>
      <c r="L2797">
        <f>IFERROR(__xludf.DUMMYFUNCTION("""COMPUTED_VALUE"""),7.0)</f>
        <v>7</v>
      </c>
      <c r="M2797">
        <f>IFERROR(__xludf.DUMMYFUNCTION("""COMPUTED_VALUE"""),15.0)</f>
        <v>15</v>
      </c>
      <c r="N2797" t="str">
        <f>IFERROR(__xludf.DUMMYFUNCTION("""COMPUTED_VALUE"""),"Model 3 LR AWD")</f>
        <v>Model 3 LR AWD</v>
      </c>
      <c r="O2797" t="str">
        <f>IFERROR(__xludf.DUMMYFUNCTION("""COMPUTED_VALUE"""),"Pearl White Multi-Coat")</f>
        <v>Pearl White Multi-Coat</v>
      </c>
      <c r="P2797" t="str">
        <f>IFERROR(__xludf.DUMMYFUNCTION("""COMPUTED_VALUE"""),"18 inch")</f>
        <v>18 inch</v>
      </c>
      <c r="Q2797" t="str">
        <f>IFERROR(__xludf.DUMMYFUNCTION("""COMPUTED_VALUE"""),"All Black")</f>
        <v>All Black</v>
      </c>
      <c r="R2797" t="str">
        <f>IFERROR(__xludf.DUMMYFUNCTION("""COMPUTED_VALUE"""),"Full Self-Driving")</f>
        <v>Full Self-Driving</v>
      </c>
      <c r="S2797" t="str">
        <f>IFERROR(__xludf.DUMMYFUNCTION("""COMPUTED_VALUE"""),"Loan")</f>
        <v>Loan</v>
      </c>
      <c r="T2797" t="str">
        <f>IFERROR(__xludf.DUMMYFUNCTION("""COMPUTED_VALUE"""),"MB C")</f>
        <v>MB C</v>
      </c>
      <c r="U2797" t="str">
        <f>IFERROR(__xludf.DUMMYFUNCTION("""COMPUTED_VALUE"""),"Electric!")</f>
        <v>Electric!</v>
      </c>
      <c r="V2797" t="str">
        <f>IFERROR(__xludf.DUMMYFUNCTION("""COMPUTED_VALUE"""),"Air suspension")</f>
        <v>Air suspension</v>
      </c>
      <c r="X2797" t="str">
        <f>IFERROR(__xludf.DUMMYFUNCTION("""COMPUTED_VALUE"""),"Very Good")</f>
        <v>Very Good</v>
      </c>
      <c r="Y2797" t="str">
        <f>IFERROR(__xludf.DUMMYFUNCTION("""COMPUTED_VALUE"""),"Excellent")</f>
        <v>Excellent</v>
      </c>
      <c r="Z2797" t="str">
        <f>IFERROR(__xludf.DUMMYFUNCTION("""COMPUTED_VALUE"""),"Excellent")</f>
        <v>Excellent</v>
      </c>
      <c r="AA2797" t="str">
        <f>IFERROR(__xludf.DUMMYFUNCTION("""COMPUTED_VALUE"""),"Very Good")</f>
        <v>Very Good</v>
      </c>
      <c r="AB2797" t="str">
        <f>IFERROR(__xludf.DUMMYFUNCTION("""COMPUTED_VALUE"""),"Excellent")</f>
        <v>Excellent</v>
      </c>
      <c r="AC2797">
        <f>IFERROR(__xludf.DUMMYFUNCTION("""COMPUTED_VALUE"""),0.0)</f>
        <v>0</v>
      </c>
      <c r="AF2797" t="str">
        <f>IFERROR(__xludf.DUMMYFUNCTION("""COMPUTED_VALUE"""),"No. I took delivery of the first car Tesla was able to deliver.")</f>
        <v>No. I took delivery of the first car Tesla was able to deliver.</v>
      </c>
      <c r="AH2797" s="189">
        <f>IFERROR(__xludf.DUMMYFUNCTION("""COMPUTED_VALUE"""),44283.89556996527)</f>
        <v>44283.89557</v>
      </c>
    </row>
    <row r="2798">
      <c r="A2798" t="str">
        <f>IFERROR(__xludf.DUMMYFUNCTION("""COMPUTED_VALUE"""),"oakenshield")</f>
        <v>oakenshield</v>
      </c>
      <c r="B2798" t="str">
        <f>IFERROR(__xludf.DUMMYFUNCTION("""COMPUTED_VALUE"""),"Lynnwood")</f>
        <v>Lynnwood</v>
      </c>
      <c r="C2798" t="str">
        <f>IFERROR(__xludf.DUMMYFUNCTION("""COMPUTED_VALUE"""),"WA")</f>
        <v>WA</v>
      </c>
      <c r="D2798" t="str">
        <f>IFERROR(__xludf.DUMMYFUNCTION("""COMPUTED_VALUE"""),"USA")</f>
        <v>USA</v>
      </c>
      <c r="E2798" s="188">
        <f>IFERROR(__xludf.DUMMYFUNCTION("""COMPUTED_VALUE"""),44256.0)</f>
        <v>44256</v>
      </c>
      <c r="F2798" s="188">
        <f>IFERROR(__xludf.DUMMYFUNCTION("""COMPUTED_VALUE"""),44279.0)</f>
        <v>44279</v>
      </c>
      <c r="G2798" t="str">
        <f>IFERROR(__xludf.DUMMYFUNCTION("""COMPUTED_VALUE"""),"Manage order page (normal text)")</f>
        <v>Manage order page (normal text)</v>
      </c>
      <c r="H2798">
        <f>IFERROR(__xludf.DUMMYFUNCTION("""COMPUTED_VALUE"""),937880.0)</f>
        <v>937880</v>
      </c>
      <c r="J2798" s="188">
        <f>IFERROR(__xludf.DUMMYFUNCTION("""COMPUTED_VALUE"""),44282.0)</f>
        <v>44282</v>
      </c>
      <c r="K2798">
        <f>IFERROR(__xludf.DUMMYFUNCTION("""COMPUTED_VALUE"""),23.0)</f>
        <v>23</v>
      </c>
      <c r="L2798">
        <f>IFERROR(__xludf.DUMMYFUNCTION("""COMPUTED_VALUE"""),3.0)</f>
        <v>3</v>
      </c>
      <c r="M2798">
        <f>IFERROR(__xludf.DUMMYFUNCTION("""COMPUTED_VALUE"""),26.0)</f>
        <v>26</v>
      </c>
      <c r="N2798" t="str">
        <f>IFERROR(__xludf.DUMMYFUNCTION("""COMPUTED_VALUE"""),"Model 3 LR AWD")</f>
        <v>Model 3 LR AWD</v>
      </c>
      <c r="O2798" t="str">
        <f>IFERROR(__xludf.DUMMYFUNCTION("""COMPUTED_VALUE"""),"Pearl White Multi-Coat")</f>
        <v>Pearl White Multi-Coat</v>
      </c>
      <c r="P2798" t="str">
        <f>IFERROR(__xludf.DUMMYFUNCTION("""COMPUTED_VALUE"""),"18 inch")</f>
        <v>18 inch</v>
      </c>
      <c r="Q2798" t="str">
        <f>IFERROR(__xludf.DUMMYFUNCTION("""COMPUTED_VALUE"""),"All Black")</f>
        <v>All Black</v>
      </c>
      <c r="R2798" t="str">
        <f>IFERROR(__xludf.DUMMYFUNCTION("""COMPUTED_VALUE"""),"Full Self-Driving")</f>
        <v>Full Self-Driving</v>
      </c>
      <c r="S2798" t="str">
        <f>IFERROR(__xludf.DUMMYFUNCTION("""COMPUTED_VALUE"""),"Loan")</f>
        <v>Loan</v>
      </c>
      <c r="T2798" t="str">
        <f>IFERROR(__xludf.DUMMYFUNCTION("""COMPUTED_VALUE"""),"Nissan Leaf")</f>
        <v>Nissan Leaf</v>
      </c>
      <c r="U2798" t="str">
        <f>IFERROR(__xludf.DUMMYFUNCTION("""COMPUTED_VALUE"""),"Electric!")</f>
        <v>Electric!</v>
      </c>
      <c r="V2798" t="str">
        <f>IFERROR(__xludf.DUMMYFUNCTION("""COMPUTED_VALUE"""),"Blind spot indicators on side mirrors")</f>
        <v>Blind spot indicators on side mirrors</v>
      </c>
      <c r="X2798" t="str">
        <f>IFERROR(__xludf.DUMMYFUNCTION("""COMPUTED_VALUE"""),"Excellent")</f>
        <v>Excellent</v>
      </c>
      <c r="Y2798" t="str">
        <f>IFERROR(__xludf.DUMMYFUNCTION("""COMPUTED_VALUE"""),"Excellent")</f>
        <v>Excellent</v>
      </c>
      <c r="Z2798" t="str">
        <f>IFERROR(__xludf.DUMMYFUNCTION("""COMPUTED_VALUE"""),"Excellent")</f>
        <v>Excellent</v>
      </c>
      <c r="AA2798" t="str">
        <f>IFERROR(__xludf.DUMMYFUNCTION("""COMPUTED_VALUE"""),"Good")</f>
        <v>Good</v>
      </c>
      <c r="AB2798" t="str">
        <f>IFERROR(__xludf.DUMMYFUNCTION("""COMPUTED_VALUE"""),"Very Good")</f>
        <v>Very Good</v>
      </c>
      <c r="AF2798" t="str">
        <f>IFERROR(__xludf.DUMMYFUNCTION("""COMPUTED_VALUE"""),"No. I took delivery of the first car Tesla was able to deliver.")</f>
        <v>No. I took delivery of the first car Tesla was able to deliver.</v>
      </c>
      <c r="AH2798" s="189">
        <f>IFERROR(__xludf.DUMMYFUNCTION("""COMPUTED_VALUE"""),44284.60630833333)</f>
        <v>44284.60631</v>
      </c>
    </row>
    <row r="2799">
      <c r="A2799" t="str">
        <f>IFERROR(__xludf.DUMMYFUNCTION("""COMPUTED_VALUE"""),"ViciousJess")</f>
        <v>ViciousJess</v>
      </c>
      <c r="B2799" t="str">
        <f>IFERROR(__xludf.DUMMYFUNCTION("""COMPUTED_VALUE"""),"Los Angeles ")</f>
        <v>Los Angeles </v>
      </c>
      <c r="C2799" t="str">
        <f>IFERROR(__xludf.DUMMYFUNCTION("""COMPUTED_VALUE"""),"CA")</f>
        <v>CA</v>
      </c>
      <c r="D2799" t="str">
        <f>IFERROR(__xludf.DUMMYFUNCTION("""COMPUTED_VALUE"""),"USA")</f>
        <v>USA</v>
      </c>
      <c r="E2799" s="188">
        <f>IFERROR(__xludf.DUMMYFUNCTION("""COMPUTED_VALUE"""),44182.0)</f>
        <v>44182</v>
      </c>
      <c r="F2799" s="188">
        <f>IFERROR(__xludf.DUMMYFUNCTION("""COMPUTED_VALUE"""),44281.0)</f>
        <v>44281</v>
      </c>
      <c r="G2799" t="str">
        <f>IFERROR(__xludf.DUMMYFUNCTION("""COMPUTED_VALUE"""),"Manage order page (normal text)")</f>
        <v>Manage order page (normal text)</v>
      </c>
      <c r="H2799">
        <f>IFERROR(__xludf.DUMMYFUNCTION("""COMPUTED_VALUE"""),937655.0)</f>
        <v>937655</v>
      </c>
      <c r="J2799" s="188">
        <f>IFERROR(__xludf.DUMMYFUNCTION("""COMPUTED_VALUE"""),44283.0)</f>
        <v>44283</v>
      </c>
      <c r="K2799">
        <f>IFERROR(__xludf.DUMMYFUNCTION("""COMPUTED_VALUE"""),99.0)</f>
        <v>99</v>
      </c>
      <c r="L2799">
        <f>IFERROR(__xludf.DUMMYFUNCTION("""COMPUTED_VALUE"""),2.0)</f>
        <v>2</v>
      </c>
      <c r="M2799">
        <f>IFERROR(__xludf.DUMMYFUNCTION("""COMPUTED_VALUE"""),101.0)</f>
        <v>101</v>
      </c>
      <c r="N2799" t="str">
        <f>IFERROR(__xludf.DUMMYFUNCTION("""COMPUTED_VALUE"""),"Model 3 LR AWD")</f>
        <v>Model 3 LR AWD</v>
      </c>
      <c r="O2799" t="str">
        <f>IFERROR(__xludf.DUMMYFUNCTION("""COMPUTED_VALUE"""),"Deep Blue Metallic")</f>
        <v>Deep Blue Metallic</v>
      </c>
      <c r="P2799" t="str">
        <f>IFERROR(__xludf.DUMMYFUNCTION("""COMPUTED_VALUE"""),"18 inch")</f>
        <v>18 inch</v>
      </c>
      <c r="Q2799" t="str">
        <f>IFERROR(__xludf.DUMMYFUNCTION("""COMPUTED_VALUE"""),"Black and White")</f>
        <v>Black and White</v>
      </c>
      <c r="R2799" t="str">
        <f>IFERROR(__xludf.DUMMYFUNCTION("""COMPUTED_VALUE"""),"Autopilot included")</f>
        <v>Autopilot included</v>
      </c>
      <c r="S2799" t="str">
        <f>IFERROR(__xludf.DUMMYFUNCTION("""COMPUTED_VALUE"""),"Loan")</f>
        <v>Loan</v>
      </c>
      <c r="T2799" t="str">
        <f>IFERROR(__xludf.DUMMYFUNCTION("""COMPUTED_VALUE"""),"Escalade")</f>
        <v>Escalade</v>
      </c>
      <c r="U2799" t="str">
        <f>IFERROR(__xludf.DUMMYFUNCTION("""COMPUTED_VALUE"""),"Electric!")</f>
        <v>Electric!</v>
      </c>
      <c r="V2799" t="str">
        <f>IFERROR(__xludf.DUMMYFUNCTION("""COMPUTED_VALUE"""),"Head-up display")</f>
        <v>Head-up display</v>
      </c>
      <c r="W2799" t="str">
        <f>IFERROR(__xludf.DUMMYFUNCTION("""COMPUTED_VALUE"""),"Make sure to learn how to use interface ")</f>
        <v>Make sure to learn how to use interface </v>
      </c>
      <c r="X2799" t="str">
        <f>IFERROR(__xludf.DUMMYFUNCTION("""COMPUTED_VALUE"""),"Excellent")</f>
        <v>Excellent</v>
      </c>
      <c r="Y2799" t="str">
        <f>IFERROR(__xludf.DUMMYFUNCTION("""COMPUTED_VALUE"""),"Excellent")</f>
        <v>Excellent</v>
      </c>
      <c r="Z2799" t="str">
        <f>IFERROR(__xludf.DUMMYFUNCTION("""COMPUTED_VALUE"""),"Very Good")</f>
        <v>Very Good</v>
      </c>
      <c r="AA2799" t="str">
        <f>IFERROR(__xludf.DUMMYFUNCTION("""COMPUTED_VALUE"""),"Good")</f>
        <v>Good</v>
      </c>
      <c r="AB2799" t="str">
        <f>IFERROR(__xludf.DUMMYFUNCTION("""COMPUTED_VALUE"""),"Very Good")</f>
        <v>Very Good</v>
      </c>
      <c r="AC2799">
        <f>IFERROR(__xludf.DUMMYFUNCTION("""COMPUTED_VALUE"""),3.0)</f>
        <v>3</v>
      </c>
      <c r="AD2799">
        <f>IFERROR(__xludf.DUMMYFUNCTION("""COMPUTED_VALUE"""),1.0)</f>
        <v>1</v>
      </c>
      <c r="AE2799">
        <f>IFERROR(__xludf.DUMMYFUNCTION("""COMPUTED_VALUE"""),5.0)</f>
        <v>5</v>
      </c>
      <c r="AF2799" t="str">
        <f>IFERROR(__xludf.DUMMYFUNCTION("""COMPUTED_VALUE"""),"No. I took delivery of the first car Tesla was able to deliver.")</f>
        <v>No. I took delivery of the first car Tesla was able to deliver.</v>
      </c>
      <c r="AH2799" s="189">
        <f>IFERROR(__xludf.DUMMYFUNCTION("""COMPUTED_VALUE"""),44287.62254383102)</f>
        <v>44287.62254</v>
      </c>
    </row>
    <row r="2800">
      <c r="A2800" t="str">
        <f>IFERROR(__xludf.DUMMYFUNCTION("""COMPUTED_VALUE"""),"grogu")</f>
        <v>grogu</v>
      </c>
      <c r="C2800" t="str">
        <f>IFERROR(__xludf.DUMMYFUNCTION("""COMPUTED_VALUE"""),"UT")</f>
        <v>UT</v>
      </c>
      <c r="D2800" t="str">
        <f>IFERROR(__xludf.DUMMYFUNCTION("""COMPUTED_VALUE"""),"USA")</f>
        <v>USA</v>
      </c>
      <c r="E2800" s="188">
        <f>IFERROR(__xludf.DUMMYFUNCTION("""COMPUTED_VALUE"""),44249.0)</f>
        <v>44249</v>
      </c>
      <c r="F2800" s="188">
        <f>IFERROR(__xludf.DUMMYFUNCTION("""COMPUTED_VALUE"""),44271.0)</f>
        <v>44271</v>
      </c>
      <c r="G2800" t="str">
        <f>IFERROR(__xludf.DUMMYFUNCTION("""COMPUTED_VALUE"""),"Manage order page (normal text)")</f>
        <v>Manage order page (normal text)</v>
      </c>
      <c r="H2800">
        <f>IFERROR(__xludf.DUMMYFUNCTION("""COMPUTED_VALUE"""),926755.0)</f>
        <v>926755</v>
      </c>
      <c r="J2800" s="188">
        <f>IFERROR(__xludf.DUMMYFUNCTION("""COMPUTED_VALUE"""),44275.0)</f>
        <v>44275</v>
      </c>
      <c r="K2800">
        <f>IFERROR(__xludf.DUMMYFUNCTION("""COMPUTED_VALUE"""),22.0)</f>
        <v>22</v>
      </c>
      <c r="L2800">
        <f>IFERROR(__xludf.DUMMYFUNCTION("""COMPUTED_VALUE"""),4.0)</f>
        <v>4</v>
      </c>
      <c r="M2800">
        <f>IFERROR(__xludf.DUMMYFUNCTION("""COMPUTED_VALUE"""),26.0)</f>
        <v>26</v>
      </c>
      <c r="N2800" t="str">
        <f>IFERROR(__xludf.DUMMYFUNCTION("""COMPUTED_VALUE"""),"Model 3 LR AWD")</f>
        <v>Model 3 LR AWD</v>
      </c>
      <c r="O2800" t="str">
        <f>IFERROR(__xludf.DUMMYFUNCTION("""COMPUTED_VALUE"""),"Pearl White Multi-Coat")</f>
        <v>Pearl White Multi-Coat</v>
      </c>
      <c r="P2800" t="str">
        <f>IFERROR(__xludf.DUMMYFUNCTION("""COMPUTED_VALUE"""),"19 inch")</f>
        <v>19 inch</v>
      </c>
      <c r="Q2800" t="str">
        <f>IFERROR(__xludf.DUMMYFUNCTION("""COMPUTED_VALUE"""),"All Black")</f>
        <v>All Black</v>
      </c>
      <c r="R2800" t="str">
        <f>IFERROR(__xludf.DUMMYFUNCTION("""COMPUTED_VALUE"""),"Autopilot included")</f>
        <v>Autopilot included</v>
      </c>
      <c r="S2800" t="str">
        <f>IFERROR(__xludf.DUMMYFUNCTION("""COMPUTED_VALUE"""),"Loan")</f>
        <v>Loan</v>
      </c>
      <c r="T2800" t="str">
        <f>IFERROR(__xludf.DUMMYFUNCTION("""COMPUTED_VALUE"""),"Audi s5 sport")</f>
        <v>Audi s5 sport</v>
      </c>
      <c r="U2800" t="str">
        <f>IFERROR(__xludf.DUMMYFUNCTION("""COMPUTED_VALUE"""),"Electric!")</f>
        <v>Electric!</v>
      </c>
      <c r="V2800" t="str">
        <f>IFERROR(__xludf.DUMMYFUNCTION("""COMPUTED_VALUE"""),"Head-up display")</f>
        <v>Head-up display</v>
      </c>
      <c r="W2800" t="str">
        <f>IFERROR(__xludf.DUMMYFUNCTION("""COMPUTED_VALUE"""),"be patient, don't keep bothering your local SA")</f>
        <v>be patient, don't keep bothering your local SA</v>
      </c>
      <c r="AH2800" s="189">
        <f>IFERROR(__xludf.DUMMYFUNCTION("""COMPUTED_VALUE"""),44271.64782953703)</f>
        <v>44271.64783</v>
      </c>
    </row>
    <row r="2801">
      <c r="A2801" t="str">
        <f>IFERROR(__xludf.DUMMYFUNCTION("""COMPUTED_VALUE"""),"mackgoo")</f>
        <v>mackgoo</v>
      </c>
      <c r="B2801" t="str">
        <f>IFERROR(__xludf.DUMMYFUNCTION("""COMPUTED_VALUE"""),"San Clemente")</f>
        <v>San Clemente</v>
      </c>
      <c r="C2801" t="str">
        <f>IFERROR(__xludf.DUMMYFUNCTION("""COMPUTED_VALUE"""),"CA")</f>
        <v>CA</v>
      </c>
      <c r="D2801" t="str">
        <f>IFERROR(__xludf.DUMMYFUNCTION("""COMPUTED_VALUE"""),"USA")</f>
        <v>USA</v>
      </c>
      <c r="E2801" s="188">
        <f>IFERROR(__xludf.DUMMYFUNCTION("""COMPUTED_VALUE"""),44247.0)</f>
        <v>44247</v>
      </c>
      <c r="F2801" s="188">
        <f>IFERROR(__xludf.DUMMYFUNCTION("""COMPUTED_VALUE"""),44279.0)</f>
        <v>44279</v>
      </c>
      <c r="G2801" t="str">
        <f>IFERROR(__xludf.DUMMYFUNCTION("""COMPUTED_VALUE"""),"Manage order page (normal text)")</f>
        <v>Manage order page (normal text)</v>
      </c>
      <c r="H2801">
        <f>IFERROR(__xludf.DUMMYFUNCTION("""COMPUTED_VALUE"""),937861.0)</f>
        <v>937861</v>
      </c>
      <c r="J2801" s="188">
        <f>IFERROR(__xludf.DUMMYFUNCTION("""COMPUTED_VALUE"""),-686203.0)</f>
        <v>-686203</v>
      </c>
      <c r="K2801">
        <f>IFERROR(__xludf.DUMMYFUNCTION("""COMPUTED_VALUE"""),32.0)</f>
        <v>32</v>
      </c>
      <c r="N2801" t="str">
        <f>IFERROR(__xludf.DUMMYFUNCTION("""COMPUTED_VALUE"""),"Model 3 LR AWD")</f>
        <v>Model 3 LR AWD</v>
      </c>
      <c r="O2801" t="str">
        <f>IFERROR(__xludf.DUMMYFUNCTION("""COMPUTED_VALUE"""),"Pearl White Multi-Coat")</f>
        <v>Pearl White Multi-Coat</v>
      </c>
      <c r="P2801" t="str">
        <f>IFERROR(__xludf.DUMMYFUNCTION("""COMPUTED_VALUE"""),"18 inch")</f>
        <v>18 inch</v>
      </c>
      <c r="Q2801" t="str">
        <f>IFERROR(__xludf.DUMMYFUNCTION("""COMPUTED_VALUE"""),"All Black")</f>
        <v>All Black</v>
      </c>
      <c r="R2801" t="str">
        <f>IFERROR(__xludf.DUMMYFUNCTION("""COMPUTED_VALUE"""),"Autopilot included")</f>
        <v>Autopilot included</v>
      </c>
      <c r="S2801" t="str">
        <f>IFERROR(__xludf.DUMMYFUNCTION("""COMPUTED_VALUE"""),"Cash")</f>
        <v>Cash</v>
      </c>
      <c r="T2801" t="str">
        <f>IFERROR(__xludf.DUMMYFUNCTION("""COMPUTED_VALUE"""),"Tesla Model S")</f>
        <v>Tesla Model S</v>
      </c>
      <c r="U2801" t="str">
        <f>IFERROR(__xludf.DUMMYFUNCTION("""COMPUTED_VALUE"""),"Cheaper than S")</f>
        <v>Cheaper than S</v>
      </c>
      <c r="V2801" t="str">
        <f>IFERROR(__xludf.DUMMYFUNCTION("""COMPUTED_VALUE"""),"HomeLink")</f>
        <v>HomeLink</v>
      </c>
      <c r="X2801" t="str">
        <f>IFERROR(__xludf.DUMMYFUNCTION("""COMPUTED_VALUE"""),"Good")</f>
        <v>Good</v>
      </c>
      <c r="Y2801" t="str">
        <f>IFERROR(__xludf.DUMMYFUNCTION("""COMPUTED_VALUE"""),"Excellent")</f>
        <v>Excellent</v>
      </c>
      <c r="Z2801" t="str">
        <f>IFERROR(__xludf.DUMMYFUNCTION("""COMPUTED_VALUE"""),"Very Good")</f>
        <v>Very Good</v>
      </c>
      <c r="AA2801" t="str">
        <f>IFERROR(__xludf.DUMMYFUNCTION("""COMPUTED_VALUE"""),"Excellent")</f>
        <v>Excellent</v>
      </c>
      <c r="AB2801" t="str">
        <f>IFERROR(__xludf.DUMMYFUNCTION("""COMPUTED_VALUE"""),"Excellent")</f>
        <v>Excellent</v>
      </c>
      <c r="AF2801" t="str">
        <f>IFERROR(__xludf.DUMMYFUNCTION("""COMPUTED_VALUE"""),"No. I took delivery of the first car Tesla was able to deliver.")</f>
        <v>No. I took delivery of the first car Tesla was able to deliver.</v>
      </c>
      <c r="AH2801" s="189">
        <f>IFERROR(__xludf.DUMMYFUNCTION("""COMPUTED_VALUE"""),44283.33877770833)</f>
        <v>44283.33878</v>
      </c>
    </row>
    <row r="2802">
      <c r="A2802" t="str">
        <f>IFERROR(__xludf.DUMMYFUNCTION("""COMPUTED_VALUE"""),"garymb74")</f>
        <v>garymb74</v>
      </c>
      <c r="B2802" t="str">
        <f>IFERROR(__xludf.DUMMYFUNCTION("""COMPUTED_VALUE"""),"Marina")</f>
        <v>Marina</v>
      </c>
      <c r="C2802" t="str">
        <f>IFERROR(__xludf.DUMMYFUNCTION("""COMPUTED_VALUE"""),"CA")</f>
        <v>CA</v>
      </c>
      <c r="D2802" t="str">
        <f>IFERROR(__xludf.DUMMYFUNCTION("""COMPUTED_VALUE"""),"USA")</f>
        <v>USA</v>
      </c>
      <c r="E2802" s="188">
        <f>IFERROR(__xludf.DUMMYFUNCTION("""COMPUTED_VALUE"""),44260.0)</f>
        <v>44260</v>
      </c>
      <c r="F2802" s="188">
        <f>IFERROR(__xludf.DUMMYFUNCTION("""COMPUTED_VALUE"""),44279.0)</f>
        <v>44279</v>
      </c>
      <c r="G2802" t="str">
        <f>IFERROR(__xludf.DUMMYFUNCTION("""COMPUTED_VALUE"""),"Manage order page (normal text)")</f>
        <v>Manage order page (normal text)</v>
      </c>
      <c r="H2802">
        <f>IFERROR(__xludf.DUMMYFUNCTION("""COMPUTED_VALUE"""),936655.0)</f>
        <v>936655</v>
      </c>
      <c r="J2802" s="188">
        <f>IFERROR(__xludf.DUMMYFUNCTION("""COMPUTED_VALUE"""),44282.0)</f>
        <v>44282</v>
      </c>
      <c r="K2802">
        <f>IFERROR(__xludf.DUMMYFUNCTION("""COMPUTED_VALUE"""),19.0)</f>
        <v>19</v>
      </c>
      <c r="L2802">
        <f>IFERROR(__xludf.DUMMYFUNCTION("""COMPUTED_VALUE"""),3.0)</f>
        <v>3</v>
      </c>
      <c r="M2802">
        <f>IFERROR(__xludf.DUMMYFUNCTION("""COMPUTED_VALUE"""),22.0)</f>
        <v>22</v>
      </c>
      <c r="N2802" t="str">
        <f>IFERROR(__xludf.DUMMYFUNCTION("""COMPUTED_VALUE"""),"Model 3 LR AWD")</f>
        <v>Model 3 LR AWD</v>
      </c>
      <c r="O2802" t="str">
        <f>IFERROR(__xludf.DUMMYFUNCTION("""COMPUTED_VALUE"""),"Midnight Silver Metallic")</f>
        <v>Midnight Silver Metallic</v>
      </c>
      <c r="P2802" t="str">
        <f>IFERROR(__xludf.DUMMYFUNCTION("""COMPUTED_VALUE"""),"19 inch")</f>
        <v>19 inch</v>
      </c>
      <c r="Q2802" t="str">
        <f>IFERROR(__xludf.DUMMYFUNCTION("""COMPUTED_VALUE"""),"All Black")</f>
        <v>All Black</v>
      </c>
      <c r="R2802" t="str">
        <f>IFERROR(__xludf.DUMMYFUNCTION("""COMPUTED_VALUE"""),"Autopilot included")</f>
        <v>Autopilot included</v>
      </c>
      <c r="S2802" t="str">
        <f>IFERROR(__xludf.DUMMYFUNCTION("""COMPUTED_VALUE"""),"Loan")</f>
        <v>Loan</v>
      </c>
      <c r="T2802" t="str">
        <f>IFERROR(__xludf.DUMMYFUNCTION("""COMPUTED_VALUE"""),"Honda Pilot")</f>
        <v>Honda Pilot</v>
      </c>
      <c r="U2802" t="str">
        <f>IFERROR(__xludf.DUMMYFUNCTION("""COMPUTED_VALUE"""),"Electric!")</f>
        <v>Electric!</v>
      </c>
      <c r="X2802" t="str">
        <f>IFERROR(__xludf.DUMMYFUNCTION("""COMPUTED_VALUE"""),"Excellent")</f>
        <v>Excellent</v>
      </c>
      <c r="Y2802" t="str">
        <f>IFERROR(__xludf.DUMMYFUNCTION("""COMPUTED_VALUE"""),"Very Good")</f>
        <v>Very Good</v>
      </c>
      <c r="Z2802" t="str">
        <f>IFERROR(__xludf.DUMMYFUNCTION("""COMPUTED_VALUE"""),"Excellent")</f>
        <v>Excellent</v>
      </c>
      <c r="AA2802" t="str">
        <f>IFERROR(__xludf.DUMMYFUNCTION("""COMPUTED_VALUE"""),"Excellent")</f>
        <v>Excellent</v>
      </c>
      <c r="AB2802" t="str">
        <f>IFERROR(__xludf.DUMMYFUNCTION("""COMPUTED_VALUE"""),"Excellent")</f>
        <v>Excellent</v>
      </c>
      <c r="AF2802" t="str">
        <f>IFERROR(__xludf.DUMMYFUNCTION("""COMPUTED_VALUE"""),"No. I took delivery of the first car Tesla was able to deliver.")</f>
        <v>No. I took delivery of the first car Tesla was able to deliver.</v>
      </c>
      <c r="AH2802" s="189">
        <f>IFERROR(__xludf.DUMMYFUNCTION("""COMPUTED_VALUE"""),44283.41188518518)</f>
        <v>44283.41189</v>
      </c>
    </row>
    <row r="2803">
      <c r="A2803" t="str">
        <f>IFERROR(__xludf.DUMMYFUNCTION("""COMPUTED_VALUE"""),"Danielh")</f>
        <v>Danielh</v>
      </c>
      <c r="B2803" t="str">
        <f>IFERROR(__xludf.DUMMYFUNCTION("""COMPUTED_VALUE"""),"Burbank")</f>
        <v>Burbank</v>
      </c>
      <c r="C2803" t="str">
        <f>IFERROR(__xludf.DUMMYFUNCTION("""COMPUTED_VALUE"""),"CA")</f>
        <v>CA</v>
      </c>
      <c r="D2803" t="str">
        <f>IFERROR(__xludf.DUMMYFUNCTION("""COMPUTED_VALUE"""),"USA")</f>
        <v>USA</v>
      </c>
      <c r="E2803" s="188">
        <f>IFERROR(__xludf.DUMMYFUNCTION("""COMPUTED_VALUE"""),44273.0)</f>
        <v>44273</v>
      </c>
      <c r="F2803" s="188">
        <f>IFERROR(__xludf.DUMMYFUNCTION("""COMPUTED_VALUE"""),44273.0)</f>
        <v>44273</v>
      </c>
      <c r="G2803" t="str">
        <f>IFERROR(__xludf.DUMMYFUNCTION("""COMPUTED_VALUE"""),"Manage order page (normal text)")</f>
        <v>Manage order page (normal text)</v>
      </c>
      <c r="H2803">
        <f>IFERROR(__xludf.DUMMYFUNCTION("""COMPUTED_VALUE"""),930755.0)</f>
        <v>930755</v>
      </c>
      <c r="J2803" s="188">
        <f>IFERROR(__xludf.DUMMYFUNCTION("""COMPUTED_VALUE"""),44275.0)</f>
        <v>44275</v>
      </c>
      <c r="K2803">
        <f>IFERROR(__xludf.DUMMYFUNCTION("""COMPUTED_VALUE"""),0.0)</f>
        <v>0</v>
      </c>
      <c r="L2803">
        <f>IFERROR(__xludf.DUMMYFUNCTION("""COMPUTED_VALUE"""),2.0)</f>
        <v>2</v>
      </c>
      <c r="M2803">
        <f>IFERROR(__xludf.DUMMYFUNCTION("""COMPUTED_VALUE"""),2.0)</f>
        <v>2</v>
      </c>
      <c r="N2803" t="str">
        <f>IFERROR(__xludf.DUMMYFUNCTION("""COMPUTED_VALUE"""),"Model 3 SR+")</f>
        <v>Model 3 SR+</v>
      </c>
      <c r="O2803" t="str">
        <f>IFERROR(__xludf.DUMMYFUNCTION("""COMPUTED_VALUE"""),"Pearl White Multi-Coat")</f>
        <v>Pearl White Multi-Coat</v>
      </c>
      <c r="P2803" t="str">
        <f>IFERROR(__xludf.DUMMYFUNCTION("""COMPUTED_VALUE"""),"18 inch")</f>
        <v>18 inch</v>
      </c>
      <c r="Q2803" t="str">
        <f>IFERROR(__xludf.DUMMYFUNCTION("""COMPUTED_VALUE"""),"All Black")</f>
        <v>All Black</v>
      </c>
      <c r="R2803" t="str">
        <f>IFERROR(__xludf.DUMMYFUNCTION("""COMPUTED_VALUE"""),"Full Self-Driving")</f>
        <v>Full Self-Driving</v>
      </c>
      <c r="S2803" t="str">
        <f>IFERROR(__xludf.DUMMYFUNCTION("""COMPUTED_VALUE"""),"Lease")</f>
        <v>Lease</v>
      </c>
      <c r="T2803" t="str">
        <f>IFERROR(__xludf.DUMMYFUNCTION("""COMPUTED_VALUE"""),"Model 3 will be my first car!")</f>
        <v>Model 3 will be my first car!</v>
      </c>
      <c r="U2803" t="str">
        <f>IFERROR(__xludf.DUMMYFUNCTION("""COMPUTED_VALUE"""),"Autopilot")</f>
        <v>Autopilot</v>
      </c>
      <c r="V2803" t="str">
        <f>IFERROR(__xludf.DUMMYFUNCTION("""COMPUTED_VALUE"""),"Head-up display")</f>
        <v>Head-up display</v>
      </c>
      <c r="X2803" t="str">
        <f>IFERROR(__xludf.DUMMYFUNCTION("""COMPUTED_VALUE"""),"Excellent")</f>
        <v>Excellent</v>
      </c>
      <c r="Y2803" t="str">
        <f>IFERROR(__xludf.DUMMYFUNCTION("""COMPUTED_VALUE"""),"Very Good")</f>
        <v>Very Good</v>
      </c>
      <c r="Z2803" t="str">
        <f>IFERROR(__xludf.DUMMYFUNCTION("""COMPUTED_VALUE"""),"Excellent")</f>
        <v>Excellent</v>
      </c>
      <c r="AA2803" t="str">
        <f>IFERROR(__xludf.DUMMYFUNCTION("""COMPUTED_VALUE"""),"Excellent")</f>
        <v>Excellent</v>
      </c>
      <c r="AB2803" t="str">
        <f>IFERROR(__xludf.DUMMYFUNCTION("""COMPUTED_VALUE"""),"Excellent")</f>
        <v>Excellent</v>
      </c>
      <c r="AG2803" t="str">
        <f>IFERROR(__xludf.DUMMYFUNCTION("""COMPUTED_VALUE"""),"I've had nothing but an excellent experience so far.")</f>
        <v>I've had nothing but an excellent experience so far.</v>
      </c>
      <c r="AH2803" s="189">
        <f>IFERROR(__xludf.DUMMYFUNCTION("""COMPUTED_VALUE"""),44275.55591711805)</f>
        <v>44275.55592</v>
      </c>
    </row>
    <row r="2804">
      <c r="A2804" t="str">
        <f>IFERROR(__xludf.DUMMYFUNCTION("""COMPUTED_VALUE"""),"boomboom")</f>
        <v>boomboom</v>
      </c>
      <c r="C2804" t="str">
        <f>IFERROR(__xludf.DUMMYFUNCTION("""COMPUTED_VALUE"""),"NJ")</f>
        <v>NJ</v>
      </c>
      <c r="D2804" t="str">
        <f>IFERROR(__xludf.DUMMYFUNCTION("""COMPUTED_VALUE"""),"USA")</f>
        <v>USA</v>
      </c>
      <c r="E2804" s="188">
        <f>IFERROR(__xludf.DUMMYFUNCTION("""COMPUTED_VALUE"""),44263.0)</f>
        <v>44263</v>
      </c>
      <c r="F2804" s="188">
        <f>IFERROR(__xludf.DUMMYFUNCTION("""COMPUTED_VALUE"""),44272.0)</f>
        <v>44272</v>
      </c>
      <c r="G2804" t="str">
        <f>IFERROR(__xludf.DUMMYFUNCTION("""COMPUTED_VALUE"""),"Manage order page (normal text)")</f>
        <v>Manage order page (normal text)</v>
      </c>
      <c r="I2804" t="str">
        <f>IFERROR(__xludf.DUMMYFUNCTION("""COMPUTED_VALUE"""),"03/21")</f>
        <v>03/21</v>
      </c>
      <c r="J2804" s="188">
        <f>IFERROR(__xludf.DUMMYFUNCTION("""COMPUTED_VALUE"""),44275.0)</f>
        <v>44275</v>
      </c>
      <c r="K2804">
        <f>IFERROR(__xludf.DUMMYFUNCTION("""COMPUTED_VALUE"""),9.0)</f>
        <v>9</v>
      </c>
      <c r="L2804">
        <f>IFERROR(__xludf.DUMMYFUNCTION("""COMPUTED_VALUE"""),3.0)</f>
        <v>3</v>
      </c>
      <c r="M2804">
        <f>IFERROR(__xludf.DUMMYFUNCTION("""COMPUTED_VALUE"""),12.0)</f>
        <v>12</v>
      </c>
      <c r="N2804" t="str">
        <f>IFERROR(__xludf.DUMMYFUNCTION("""COMPUTED_VALUE"""),"Model 3 LR AWD")</f>
        <v>Model 3 LR AWD</v>
      </c>
      <c r="O2804" t="str">
        <f>IFERROR(__xludf.DUMMYFUNCTION("""COMPUTED_VALUE"""),"Pearl White Multi-Coat")</f>
        <v>Pearl White Multi-Coat</v>
      </c>
      <c r="P2804" t="str">
        <f>IFERROR(__xludf.DUMMYFUNCTION("""COMPUTED_VALUE"""),"18 inch")</f>
        <v>18 inch</v>
      </c>
      <c r="Q2804" t="str">
        <f>IFERROR(__xludf.DUMMYFUNCTION("""COMPUTED_VALUE"""),"All Black")</f>
        <v>All Black</v>
      </c>
      <c r="R2804" t="str">
        <f>IFERROR(__xludf.DUMMYFUNCTION("""COMPUTED_VALUE"""),"Full Self-Driving")</f>
        <v>Full Self-Driving</v>
      </c>
      <c r="S2804" t="str">
        <f>IFERROR(__xludf.DUMMYFUNCTION("""COMPUTED_VALUE"""),"Lease")</f>
        <v>Lease</v>
      </c>
      <c r="T2804" t="str">
        <f>IFERROR(__xludf.DUMMYFUNCTION("""COMPUTED_VALUE"""),"Toyota Prius")</f>
        <v>Toyota Prius</v>
      </c>
      <c r="U2804" t="str">
        <f>IFERROR(__xludf.DUMMYFUNCTION("""COMPUTED_VALUE"""),"Electric!")</f>
        <v>Electric!</v>
      </c>
      <c r="V2804" t="str">
        <f>IFERROR(__xludf.DUMMYFUNCTION("""COMPUTED_VALUE"""),"Blind spot indicators on side mirrors")</f>
        <v>Blind spot indicators on side mirrors</v>
      </c>
      <c r="X2804" t="str">
        <f>IFERROR(__xludf.DUMMYFUNCTION("""COMPUTED_VALUE"""),"Good")</f>
        <v>Good</v>
      </c>
      <c r="Y2804" t="str">
        <f>IFERROR(__xludf.DUMMYFUNCTION("""COMPUTED_VALUE"""),"Excellent")</f>
        <v>Excellent</v>
      </c>
      <c r="Z2804" t="str">
        <f>IFERROR(__xludf.DUMMYFUNCTION("""COMPUTED_VALUE"""),"Excellent")</f>
        <v>Excellent</v>
      </c>
      <c r="AA2804" t="str">
        <f>IFERROR(__xludf.DUMMYFUNCTION("""COMPUTED_VALUE"""),"Excellent")</f>
        <v>Excellent</v>
      </c>
      <c r="AB2804" t="str">
        <f>IFERROR(__xludf.DUMMYFUNCTION("""COMPUTED_VALUE"""),"Very Good")</f>
        <v>Very Good</v>
      </c>
      <c r="AF2804" t="str">
        <f>IFERROR(__xludf.DUMMYFUNCTION("""COMPUTED_VALUE"""),"No. I took delivery of the first car Tesla was able to deliver.")</f>
        <v>No. I took delivery of the first car Tesla was able to deliver.</v>
      </c>
      <c r="AH2804" s="189">
        <f>IFERROR(__xludf.DUMMYFUNCTION("""COMPUTED_VALUE"""),44287.39291429398)</f>
        <v>44287.39291</v>
      </c>
    </row>
    <row r="2805">
      <c r="A2805" t="str">
        <f>IFERROR(__xludf.DUMMYFUNCTION("""COMPUTED_VALUE"""),"Brian")</f>
        <v>Brian</v>
      </c>
      <c r="B2805" t="str">
        <f>IFERROR(__xludf.DUMMYFUNCTION("""COMPUTED_VALUE"""),"Seattle area")</f>
        <v>Seattle area</v>
      </c>
      <c r="C2805" t="str">
        <f>IFERROR(__xludf.DUMMYFUNCTION("""COMPUTED_VALUE"""),"WA")</f>
        <v>WA</v>
      </c>
      <c r="D2805" t="str">
        <f>IFERROR(__xludf.DUMMYFUNCTION("""COMPUTED_VALUE"""),"USA")</f>
        <v>USA</v>
      </c>
      <c r="E2805" s="188">
        <f>IFERROR(__xludf.DUMMYFUNCTION("""COMPUTED_VALUE"""),44263.0)</f>
        <v>44263</v>
      </c>
      <c r="F2805" s="188">
        <f>IFERROR(__xludf.DUMMYFUNCTION("""COMPUTED_VALUE"""),44273.0)</f>
        <v>44273</v>
      </c>
      <c r="G2805" t="str">
        <f>IFERROR(__xludf.DUMMYFUNCTION("""COMPUTED_VALUE"""),"Manage order page (normal text)")</f>
        <v>Manage order page (normal text)</v>
      </c>
      <c r="H2805">
        <f>IFERROR(__xludf.DUMMYFUNCTION("""COMPUTED_VALUE"""),927355.0)</f>
        <v>927355</v>
      </c>
      <c r="I2805" t="str">
        <f>IFERROR(__xludf.DUMMYFUNCTION("""COMPUTED_VALUE"""),"03/21")</f>
        <v>03/21</v>
      </c>
      <c r="J2805" s="188">
        <f>IFERROR(__xludf.DUMMYFUNCTION("""COMPUTED_VALUE"""),44276.0)</f>
        <v>44276</v>
      </c>
      <c r="K2805">
        <f>IFERROR(__xludf.DUMMYFUNCTION("""COMPUTED_VALUE"""),10.0)</f>
        <v>10</v>
      </c>
      <c r="L2805">
        <f>IFERROR(__xludf.DUMMYFUNCTION("""COMPUTED_VALUE"""),3.0)</f>
        <v>3</v>
      </c>
      <c r="M2805">
        <f>IFERROR(__xludf.DUMMYFUNCTION("""COMPUTED_VALUE"""),13.0)</f>
        <v>13</v>
      </c>
      <c r="N2805" t="str">
        <f>IFERROR(__xludf.DUMMYFUNCTION("""COMPUTED_VALUE"""),"Model 3 LR AWD")</f>
        <v>Model 3 LR AWD</v>
      </c>
      <c r="O2805" t="str">
        <f>IFERROR(__xludf.DUMMYFUNCTION("""COMPUTED_VALUE"""),"Midnight Silver Metallic")</f>
        <v>Midnight Silver Metallic</v>
      </c>
      <c r="P2805" t="str">
        <f>IFERROR(__xludf.DUMMYFUNCTION("""COMPUTED_VALUE"""),"19 inch")</f>
        <v>19 inch</v>
      </c>
      <c r="Q2805" t="str">
        <f>IFERROR(__xludf.DUMMYFUNCTION("""COMPUTED_VALUE"""),"All Black")</f>
        <v>All Black</v>
      </c>
      <c r="R2805" t="str">
        <f>IFERROR(__xludf.DUMMYFUNCTION("""COMPUTED_VALUE"""),"Autopilot included")</f>
        <v>Autopilot included</v>
      </c>
      <c r="S2805" t="str">
        <f>IFERROR(__xludf.DUMMYFUNCTION("""COMPUTED_VALUE"""),"Cash")</f>
        <v>Cash</v>
      </c>
      <c r="T2805" t="str">
        <f>IFERROR(__xludf.DUMMYFUNCTION("""COMPUTED_VALUE"""),"Volvo")</f>
        <v>Volvo</v>
      </c>
      <c r="U2805" t="str">
        <f>IFERROR(__xludf.DUMMYFUNCTION("""COMPUTED_VALUE"""),"Autopilot")</f>
        <v>Autopilot</v>
      </c>
      <c r="V2805" t="str">
        <f>IFERROR(__xludf.DUMMYFUNCTION("""COMPUTED_VALUE"""),"360° Bird's eye view")</f>
        <v>360° Bird's eye view</v>
      </c>
      <c r="X2805" t="str">
        <f>IFERROR(__xludf.DUMMYFUNCTION("""COMPUTED_VALUE"""),"Very Good")</f>
        <v>Very Good</v>
      </c>
      <c r="Y2805" t="str">
        <f>IFERROR(__xludf.DUMMYFUNCTION("""COMPUTED_VALUE"""),"Excellent")</f>
        <v>Excellent</v>
      </c>
      <c r="Z2805" t="str">
        <f>IFERROR(__xludf.DUMMYFUNCTION("""COMPUTED_VALUE"""),"Excellent")</f>
        <v>Excellent</v>
      </c>
      <c r="AA2805" t="str">
        <f>IFERROR(__xludf.DUMMYFUNCTION("""COMPUTED_VALUE"""),"Very Good")</f>
        <v>Very Good</v>
      </c>
      <c r="AB2805" t="str">
        <f>IFERROR(__xludf.DUMMYFUNCTION("""COMPUTED_VALUE"""),"Very Good")</f>
        <v>Very Good</v>
      </c>
      <c r="AC2805">
        <f>IFERROR(__xludf.DUMMYFUNCTION("""COMPUTED_VALUE"""),3.0)</f>
        <v>3</v>
      </c>
      <c r="AE2805">
        <f>IFERROR(__xludf.DUMMYFUNCTION("""COMPUTED_VALUE"""),1.0)</f>
        <v>1</v>
      </c>
      <c r="AF2805" t="str">
        <f>IFERROR(__xludf.DUMMYFUNCTION("""COMPUTED_VALUE"""),"No. I took delivery of the first car Tesla was able to deliver.")</f>
        <v>No. I took delivery of the first car Tesla was able to deliver.</v>
      </c>
      <c r="AG2805" t="str">
        <f>IFERROR(__xludf.DUMMYFUNCTION("""COMPUTED_VALUE"""),"Heated steering wheel enabled")</f>
        <v>Heated steering wheel enabled</v>
      </c>
      <c r="AH2805" s="189">
        <f>IFERROR(__xludf.DUMMYFUNCTION("""COMPUTED_VALUE"""),44279.37388226852)</f>
        <v>44279.37388</v>
      </c>
    </row>
    <row r="2806">
      <c r="A2806" t="str">
        <f>IFERROR(__xludf.DUMMYFUNCTION("""COMPUTED_VALUE"""),"josephcsible")</f>
        <v>josephcsible</v>
      </c>
      <c r="D2806" t="str">
        <f>IFERROR(__xludf.DUMMYFUNCTION("""COMPUTED_VALUE"""),"USA")</f>
        <v>USA</v>
      </c>
      <c r="E2806" s="188">
        <f>IFERROR(__xludf.DUMMYFUNCTION("""COMPUTED_VALUE"""),44240.0)</f>
        <v>44240</v>
      </c>
      <c r="F2806" s="188">
        <f>IFERROR(__xludf.DUMMYFUNCTION("""COMPUTED_VALUE"""),44260.0)</f>
        <v>44260</v>
      </c>
      <c r="G2806" t="str">
        <f>IFERROR(__xludf.DUMMYFUNCTION("""COMPUTED_VALUE"""),"Manage order page (normal text)")</f>
        <v>Manage order page (normal text)</v>
      </c>
      <c r="H2806">
        <f>IFERROR(__xludf.DUMMYFUNCTION("""COMPUTED_VALUE"""),919255.0)</f>
        <v>919255</v>
      </c>
      <c r="I2806" t="str">
        <f>IFERROR(__xludf.DUMMYFUNCTION("""COMPUTED_VALUE"""),"03/21")</f>
        <v>03/21</v>
      </c>
      <c r="J2806" s="188">
        <f>IFERROR(__xludf.DUMMYFUNCTION("""COMPUTED_VALUE"""),44274.0)</f>
        <v>44274</v>
      </c>
      <c r="K2806">
        <f>IFERROR(__xludf.DUMMYFUNCTION("""COMPUTED_VALUE"""),20.0)</f>
        <v>20</v>
      </c>
      <c r="L2806">
        <f>IFERROR(__xludf.DUMMYFUNCTION("""COMPUTED_VALUE"""),14.0)</f>
        <v>14</v>
      </c>
      <c r="M2806">
        <f>IFERROR(__xludf.DUMMYFUNCTION("""COMPUTED_VALUE"""),34.0)</f>
        <v>34</v>
      </c>
      <c r="N2806" t="str">
        <f>IFERROR(__xludf.DUMMYFUNCTION("""COMPUTED_VALUE"""),"Model 3 LR AWD")</f>
        <v>Model 3 LR AWD</v>
      </c>
      <c r="O2806" t="str">
        <f>IFERROR(__xludf.DUMMYFUNCTION("""COMPUTED_VALUE"""),"Pearl White Multi-Coat")</f>
        <v>Pearl White Multi-Coat</v>
      </c>
      <c r="P2806" t="str">
        <f>IFERROR(__xludf.DUMMYFUNCTION("""COMPUTED_VALUE"""),"18 inch")</f>
        <v>18 inch</v>
      </c>
      <c r="Q2806" t="str">
        <f>IFERROR(__xludf.DUMMYFUNCTION("""COMPUTED_VALUE"""),"Black and White")</f>
        <v>Black and White</v>
      </c>
      <c r="R2806" t="str">
        <f>IFERROR(__xludf.DUMMYFUNCTION("""COMPUTED_VALUE"""),"Autopilot included")</f>
        <v>Autopilot included</v>
      </c>
      <c r="S2806" t="str">
        <f>IFERROR(__xludf.DUMMYFUNCTION("""COMPUTED_VALUE"""),"Loan")</f>
        <v>Loan</v>
      </c>
      <c r="T2806" t="str">
        <f>IFERROR(__xludf.DUMMYFUNCTION("""COMPUTED_VALUE"""),"Chevy Volt")</f>
        <v>Chevy Volt</v>
      </c>
      <c r="U2806" t="str">
        <f>IFERROR(__xludf.DUMMYFUNCTION("""COMPUTED_VALUE"""),"Supercharger V3 support")</f>
        <v>Supercharger V3 support</v>
      </c>
      <c r="X2806" t="str">
        <f>IFERROR(__xludf.DUMMYFUNCTION("""COMPUTED_VALUE"""),"Fair")</f>
        <v>Fair</v>
      </c>
      <c r="Y2806" t="str">
        <f>IFERROR(__xludf.DUMMYFUNCTION("""COMPUTED_VALUE"""),"Excellent")</f>
        <v>Excellent</v>
      </c>
      <c r="Z2806" t="str">
        <f>IFERROR(__xludf.DUMMYFUNCTION("""COMPUTED_VALUE"""),"Good")</f>
        <v>Good</v>
      </c>
      <c r="AA2806" t="str">
        <f>IFERROR(__xludf.DUMMYFUNCTION("""COMPUTED_VALUE"""),"Excellent")</f>
        <v>Excellent</v>
      </c>
      <c r="AB2806" t="str">
        <f>IFERROR(__xludf.DUMMYFUNCTION("""COMPUTED_VALUE"""),"Excellent")</f>
        <v>Excellent</v>
      </c>
      <c r="AC2806">
        <f>IFERROR(__xludf.DUMMYFUNCTION("""COMPUTED_VALUE"""),1.0)</f>
        <v>1</v>
      </c>
      <c r="AD2806">
        <f>IFERROR(__xludf.DUMMYFUNCTION("""COMPUTED_VALUE"""),0.0)</f>
        <v>0</v>
      </c>
      <c r="AE2806">
        <f>IFERROR(__xludf.DUMMYFUNCTION("""COMPUTED_VALUE"""),0.0)</f>
        <v>0</v>
      </c>
      <c r="AF2806" t="str">
        <f>IFERROR(__xludf.DUMMYFUNCTION("""COMPUTED_VALUE"""),"No. I took delivery of the first car Tesla was able to deliver.")</f>
        <v>No. I took delivery of the first car Tesla was able to deliver.</v>
      </c>
      <c r="AH2806" s="189">
        <f>IFERROR(__xludf.DUMMYFUNCTION("""COMPUTED_VALUE"""),44275.45250515046)</f>
        <v>44275.45251</v>
      </c>
    </row>
    <row r="2807">
      <c r="A2807" t="str">
        <f>IFERROR(__xludf.DUMMYFUNCTION("""COMPUTED_VALUE"""),"tandtess")</f>
        <v>tandtess</v>
      </c>
      <c r="B2807" t="str">
        <f>IFERROR(__xludf.DUMMYFUNCTION("""COMPUTED_VALUE"""),"Buena Park")</f>
        <v>Buena Park</v>
      </c>
      <c r="C2807" t="str">
        <f>IFERROR(__xludf.DUMMYFUNCTION("""COMPUTED_VALUE"""),"CA")</f>
        <v>CA</v>
      </c>
      <c r="D2807" t="str">
        <f>IFERROR(__xludf.DUMMYFUNCTION("""COMPUTED_VALUE"""),"USA")</f>
        <v>USA</v>
      </c>
      <c r="E2807" s="188">
        <f>IFERROR(__xludf.DUMMYFUNCTION("""COMPUTED_VALUE"""),44226.0)</f>
        <v>44226</v>
      </c>
      <c r="F2807" s="188">
        <f>IFERROR(__xludf.DUMMYFUNCTION("""COMPUTED_VALUE"""),44278.0)</f>
        <v>44278</v>
      </c>
      <c r="G2807" t="str">
        <f>IFERROR(__xludf.DUMMYFUNCTION("""COMPUTED_VALUE"""),"Manage order page (normal text)")</f>
        <v>Manage order page (normal text)</v>
      </c>
      <c r="J2807" s="188">
        <f>IFERROR(__xludf.DUMMYFUNCTION("""COMPUTED_VALUE"""),44281.0)</f>
        <v>44281</v>
      </c>
      <c r="K2807">
        <f>IFERROR(__xludf.DUMMYFUNCTION("""COMPUTED_VALUE"""),52.0)</f>
        <v>52</v>
      </c>
      <c r="L2807">
        <f>IFERROR(__xludf.DUMMYFUNCTION("""COMPUTED_VALUE"""),3.0)</f>
        <v>3</v>
      </c>
      <c r="M2807">
        <f>IFERROR(__xludf.DUMMYFUNCTION("""COMPUTED_VALUE"""),55.0)</f>
        <v>55</v>
      </c>
      <c r="N2807" t="str">
        <f>IFERROR(__xludf.DUMMYFUNCTION("""COMPUTED_VALUE"""),"Model 3 LR AWD")</f>
        <v>Model 3 LR AWD</v>
      </c>
      <c r="O2807" t="str">
        <f>IFERROR(__xludf.DUMMYFUNCTION("""COMPUTED_VALUE"""),"Pearl White Multi-Coat")</f>
        <v>Pearl White Multi-Coat</v>
      </c>
      <c r="P2807" t="str">
        <f>IFERROR(__xludf.DUMMYFUNCTION("""COMPUTED_VALUE"""),"18 inch")</f>
        <v>18 inch</v>
      </c>
      <c r="Q2807" t="str">
        <f>IFERROR(__xludf.DUMMYFUNCTION("""COMPUTED_VALUE"""),"All Black")</f>
        <v>All Black</v>
      </c>
      <c r="R2807" t="str">
        <f>IFERROR(__xludf.DUMMYFUNCTION("""COMPUTED_VALUE"""),"Autopilot included")</f>
        <v>Autopilot included</v>
      </c>
      <c r="S2807" t="str">
        <f>IFERROR(__xludf.DUMMYFUNCTION("""COMPUTED_VALUE"""),"Cash")</f>
        <v>Cash</v>
      </c>
      <c r="T2807" t="str">
        <f>IFERROR(__xludf.DUMMYFUNCTION("""COMPUTED_VALUE"""),"Toyota Camry")</f>
        <v>Toyota Camry</v>
      </c>
      <c r="U2807" t="str">
        <f>IFERROR(__xludf.DUMMYFUNCTION("""COMPUTED_VALUE"""),"Electric!")</f>
        <v>Electric!</v>
      </c>
      <c r="V2807" t="str">
        <f>IFERROR(__xludf.DUMMYFUNCTION("""COMPUTED_VALUE"""),"Apple CarPlay / Android Auto / SiriusXM Radio")</f>
        <v>Apple CarPlay / Android Auto / SiriusXM Radio</v>
      </c>
      <c r="X2807" t="str">
        <f>IFERROR(__xludf.DUMMYFUNCTION("""COMPUTED_VALUE"""),"Good")</f>
        <v>Good</v>
      </c>
      <c r="Y2807" t="str">
        <f>IFERROR(__xludf.DUMMYFUNCTION("""COMPUTED_VALUE"""),"Good")</f>
        <v>Good</v>
      </c>
      <c r="Z2807" t="str">
        <f>IFERROR(__xludf.DUMMYFUNCTION("""COMPUTED_VALUE"""),"Good")</f>
        <v>Good</v>
      </c>
      <c r="AA2807" t="str">
        <f>IFERROR(__xludf.DUMMYFUNCTION("""COMPUTED_VALUE"""),"Fair")</f>
        <v>Fair</v>
      </c>
      <c r="AB2807" t="str">
        <f>IFERROR(__xludf.DUMMYFUNCTION("""COMPUTED_VALUE"""),"Fair")</f>
        <v>Fair</v>
      </c>
      <c r="AH2807" s="189">
        <f>IFERROR(__xludf.DUMMYFUNCTION("""COMPUTED_VALUE"""),44284.68846793981)</f>
        <v>44284.68847</v>
      </c>
    </row>
    <row r="2808">
      <c r="A2808" t="str">
        <f>IFERROR(__xludf.DUMMYFUNCTION("""COMPUTED_VALUE"""),"SponkBonk")</f>
        <v>SponkBonk</v>
      </c>
      <c r="B2808" t="str">
        <f>IFERROR(__xludf.DUMMYFUNCTION("""COMPUTED_VALUE"""),"Saskatoon")</f>
        <v>Saskatoon</v>
      </c>
      <c r="C2808" t="str">
        <f>IFERROR(__xludf.DUMMYFUNCTION("""COMPUTED_VALUE"""),"SK")</f>
        <v>SK</v>
      </c>
      <c r="D2808" t="str">
        <f>IFERROR(__xludf.DUMMYFUNCTION("""COMPUTED_VALUE"""),"Canada")</f>
        <v>Canada</v>
      </c>
      <c r="E2808" s="188">
        <f>IFERROR(__xludf.DUMMYFUNCTION("""COMPUTED_VALUE"""),44264.0)</f>
        <v>44264</v>
      </c>
      <c r="F2808" s="188">
        <f>IFERROR(__xludf.DUMMYFUNCTION("""COMPUTED_VALUE"""),44278.0)</f>
        <v>44278</v>
      </c>
      <c r="G2808" t="str">
        <f>IFERROR(__xludf.DUMMYFUNCTION("""COMPUTED_VALUE"""),"Manage order page (normal text)")</f>
        <v>Manage order page (normal text)</v>
      </c>
      <c r="H2808">
        <f>IFERROR(__xludf.DUMMYFUNCTION("""COMPUTED_VALUE"""),940555.0)</f>
        <v>940555</v>
      </c>
      <c r="J2808" s="188">
        <f>IFERROR(__xludf.DUMMYFUNCTION("""COMPUTED_VALUE"""),44286.0)</f>
        <v>44286</v>
      </c>
      <c r="K2808">
        <f>IFERROR(__xludf.DUMMYFUNCTION("""COMPUTED_VALUE"""),14.0)</f>
        <v>14</v>
      </c>
      <c r="L2808">
        <f>IFERROR(__xludf.DUMMYFUNCTION("""COMPUTED_VALUE"""),8.0)</f>
        <v>8</v>
      </c>
      <c r="M2808">
        <f>IFERROR(__xludf.DUMMYFUNCTION("""COMPUTED_VALUE"""),22.0)</f>
        <v>22</v>
      </c>
      <c r="N2808" t="str">
        <f>IFERROR(__xludf.DUMMYFUNCTION("""COMPUTED_VALUE"""),"Model 3 SR+")</f>
        <v>Model 3 SR+</v>
      </c>
      <c r="O2808" t="str">
        <f>IFERROR(__xludf.DUMMYFUNCTION("""COMPUTED_VALUE"""),"Pearl White Multi-Coat")</f>
        <v>Pearl White Multi-Coat</v>
      </c>
      <c r="P2808" t="str">
        <f>IFERROR(__xludf.DUMMYFUNCTION("""COMPUTED_VALUE"""),"18 inch")</f>
        <v>18 inch</v>
      </c>
      <c r="Q2808" t="str">
        <f>IFERROR(__xludf.DUMMYFUNCTION("""COMPUTED_VALUE"""),"All Black")</f>
        <v>All Black</v>
      </c>
      <c r="R2808" t="str">
        <f>IFERROR(__xludf.DUMMYFUNCTION("""COMPUTED_VALUE"""),"Autopilot included")</f>
        <v>Autopilot included</v>
      </c>
      <c r="S2808" t="str">
        <f>IFERROR(__xludf.DUMMYFUNCTION("""COMPUTED_VALUE"""),"Loan")</f>
        <v>Loan</v>
      </c>
      <c r="T2808" t="str">
        <f>IFERROR(__xludf.DUMMYFUNCTION("""COMPUTED_VALUE"""),"Jeep Wrangler")</f>
        <v>Jeep Wrangler</v>
      </c>
      <c r="U2808" t="str">
        <f>IFERROR(__xludf.DUMMYFUNCTION("""COMPUTED_VALUE"""),"Electric!")</f>
        <v>Electric!</v>
      </c>
      <c r="V2808" t="str">
        <f>IFERROR(__xludf.DUMMYFUNCTION("""COMPUTED_VALUE"""),"Blind spot indicators on side mirrors")</f>
        <v>Blind spot indicators on side mirrors</v>
      </c>
      <c r="X2808" t="str">
        <f>IFERROR(__xludf.DUMMYFUNCTION("""COMPUTED_VALUE"""),"Very Good")</f>
        <v>Very Good</v>
      </c>
      <c r="Y2808" t="str">
        <f>IFERROR(__xludf.DUMMYFUNCTION("""COMPUTED_VALUE"""),"Excellent")</f>
        <v>Excellent</v>
      </c>
      <c r="Z2808" t="str">
        <f>IFERROR(__xludf.DUMMYFUNCTION("""COMPUTED_VALUE"""),"Very Good")</f>
        <v>Very Good</v>
      </c>
      <c r="AA2808" t="str">
        <f>IFERROR(__xludf.DUMMYFUNCTION("""COMPUTED_VALUE"""),"Excellent")</f>
        <v>Excellent</v>
      </c>
      <c r="AB2808" t="str">
        <f>IFERROR(__xludf.DUMMYFUNCTION("""COMPUTED_VALUE"""),"Excellent")</f>
        <v>Excellent</v>
      </c>
      <c r="AC2808">
        <f>IFERROR(__xludf.DUMMYFUNCTION("""COMPUTED_VALUE"""),0.0)</f>
        <v>0</v>
      </c>
      <c r="AD2808">
        <f>IFERROR(__xludf.DUMMYFUNCTION("""COMPUTED_VALUE"""),0.0)</f>
        <v>0</v>
      </c>
      <c r="AE2808">
        <f>IFERROR(__xludf.DUMMYFUNCTION("""COMPUTED_VALUE"""),0.0)</f>
        <v>0</v>
      </c>
      <c r="AF2808" t="str">
        <f>IFERROR(__xludf.DUMMYFUNCTION("""COMPUTED_VALUE"""),"No. I took delivery of the first car Tesla was able to deliver.")</f>
        <v>No. I took delivery of the first car Tesla was able to deliver.</v>
      </c>
      <c r="AG2808" t="str">
        <f>IFERROR(__xludf.DUMMYFUNCTION("""COMPUTED_VALUE"""),"Delivery date keeps getting moved forward and then pushed back with no reasoning.")</f>
        <v>Delivery date keeps getting moved forward and then pushed back with no reasoning.</v>
      </c>
      <c r="AH2808" s="189">
        <f>IFERROR(__xludf.DUMMYFUNCTION("""COMPUTED_VALUE"""),44287.103761886574)</f>
        <v>44287.10376</v>
      </c>
    </row>
    <row r="2809">
      <c r="A2809" t="str">
        <f>IFERROR(__xludf.DUMMYFUNCTION("""COMPUTED_VALUE"""),"milan")</f>
        <v>milan</v>
      </c>
      <c r="B2809" t="str">
        <f>IFERROR(__xludf.DUMMYFUNCTION("""COMPUTED_VALUE"""),"Southold NY")</f>
        <v>Southold NY</v>
      </c>
      <c r="C2809" t="str">
        <f>IFERROR(__xludf.DUMMYFUNCTION("""COMPUTED_VALUE"""),"NY")</f>
        <v>NY</v>
      </c>
      <c r="D2809" t="str">
        <f>IFERROR(__xludf.DUMMYFUNCTION("""COMPUTED_VALUE"""),"USA")</f>
        <v>USA</v>
      </c>
      <c r="E2809" s="188">
        <f>IFERROR(__xludf.DUMMYFUNCTION("""COMPUTED_VALUE"""),44251.0)</f>
        <v>44251</v>
      </c>
      <c r="F2809" s="188">
        <f>IFERROR(__xludf.DUMMYFUNCTION("""COMPUTED_VALUE"""),44268.0)</f>
        <v>44268</v>
      </c>
      <c r="G2809" t="str">
        <f>IFERROR(__xludf.DUMMYFUNCTION("""COMPUTED_VALUE"""),"Phone call")</f>
        <v>Phone call</v>
      </c>
      <c r="J2809" s="188">
        <f>IFERROR(__xludf.DUMMYFUNCTION("""COMPUTED_VALUE"""),44283.0)</f>
        <v>44283</v>
      </c>
      <c r="K2809">
        <f>IFERROR(__xludf.DUMMYFUNCTION("""COMPUTED_VALUE"""),17.0)</f>
        <v>17</v>
      </c>
      <c r="L2809">
        <f>IFERROR(__xludf.DUMMYFUNCTION("""COMPUTED_VALUE"""),15.0)</f>
        <v>15</v>
      </c>
      <c r="M2809">
        <f>IFERROR(__xludf.DUMMYFUNCTION("""COMPUTED_VALUE"""),32.0)</f>
        <v>32</v>
      </c>
      <c r="N2809" t="str">
        <f>IFERROR(__xludf.DUMMYFUNCTION("""COMPUTED_VALUE"""),"Model 3 LR AWD")</f>
        <v>Model 3 LR AWD</v>
      </c>
      <c r="O2809" t="str">
        <f>IFERROR(__xludf.DUMMYFUNCTION("""COMPUTED_VALUE"""),"Pearl White Multi-Coat")</f>
        <v>Pearl White Multi-Coat</v>
      </c>
      <c r="Q2809" t="str">
        <f>IFERROR(__xludf.DUMMYFUNCTION("""COMPUTED_VALUE"""),"Black and White")</f>
        <v>Black and White</v>
      </c>
      <c r="R2809" t="str">
        <f>IFERROR(__xludf.DUMMYFUNCTION("""COMPUTED_VALUE"""),"Autopilot included")</f>
        <v>Autopilot included</v>
      </c>
      <c r="S2809" t="str">
        <f>IFERROR(__xludf.DUMMYFUNCTION("""COMPUTED_VALUE"""),"Loan")</f>
        <v>Loan</v>
      </c>
      <c r="T2809" t="str">
        <f>IFERROR(__xludf.DUMMYFUNCTION("""COMPUTED_VALUE"""),"Jeep Gladiator which I'm also keeping and LOVE")</f>
        <v>Jeep Gladiator which I'm also keeping and LOVE</v>
      </c>
      <c r="U2809" t="str">
        <f>IFERROR(__xludf.DUMMYFUNCTION("""COMPUTED_VALUE"""),"Autopilot")</f>
        <v>Autopilot</v>
      </c>
      <c r="W2809" t="str">
        <f>IFERROR(__xludf.DUMMYFUNCTION("""COMPUTED_VALUE"""),"the charger costs more than $3000 to install/ purchase")</f>
        <v>the charger costs more than $3000 to install/ purchase</v>
      </c>
      <c r="AF2809" t="str">
        <f>IFERROR(__xludf.DUMMYFUNCTION("""COMPUTED_VALUE"""),"No. I took delivery of the first car Tesla was able to deliver.")</f>
        <v>No. I took delivery of the first car Tesla was able to deliver.</v>
      </c>
      <c r="AH2809" s="189">
        <f>IFERROR(__xludf.DUMMYFUNCTION("""COMPUTED_VALUE"""),44277.43684201389)</f>
        <v>44277.43684</v>
      </c>
    </row>
    <row r="2810">
      <c r="A2810" t="str">
        <f>IFERROR(__xludf.DUMMYFUNCTION("""COMPUTED_VALUE"""),"Amped412")</f>
        <v>Amped412</v>
      </c>
      <c r="B2810" t="str">
        <f>IFERROR(__xludf.DUMMYFUNCTION("""COMPUTED_VALUE"""),"St. Louis")</f>
        <v>St. Louis</v>
      </c>
      <c r="C2810" t="str">
        <f>IFERROR(__xludf.DUMMYFUNCTION("""COMPUTED_VALUE"""),"MO")</f>
        <v>MO</v>
      </c>
      <c r="D2810" t="str">
        <f>IFERROR(__xludf.DUMMYFUNCTION("""COMPUTED_VALUE"""),"USA")</f>
        <v>USA</v>
      </c>
      <c r="E2810" s="188">
        <f>IFERROR(__xludf.DUMMYFUNCTION("""COMPUTED_VALUE"""),44275.0)</f>
        <v>44275</v>
      </c>
      <c r="F2810" s="188">
        <f>IFERROR(__xludf.DUMMYFUNCTION("""COMPUTED_VALUE"""),44304.0)</f>
        <v>44304</v>
      </c>
      <c r="G2810" t="str">
        <f>IFERROR(__xludf.DUMMYFUNCTION("""COMPUTED_VALUE"""),"Manage order page (normal text)")</f>
        <v>Manage order page (normal text)</v>
      </c>
      <c r="H2810">
        <f>IFERROR(__xludf.DUMMYFUNCTION("""COMPUTED_VALUE"""),961455.0)</f>
        <v>961455</v>
      </c>
      <c r="J2810" s="188">
        <f>IFERROR(__xludf.DUMMYFUNCTION("""COMPUTED_VALUE"""),44317.0)</f>
        <v>44317</v>
      </c>
      <c r="K2810">
        <f>IFERROR(__xludf.DUMMYFUNCTION("""COMPUTED_VALUE"""),29.0)</f>
        <v>29</v>
      </c>
      <c r="L2810">
        <f>IFERROR(__xludf.DUMMYFUNCTION("""COMPUTED_VALUE"""),13.0)</f>
        <v>13</v>
      </c>
      <c r="M2810">
        <f>IFERROR(__xludf.DUMMYFUNCTION("""COMPUTED_VALUE"""),42.0)</f>
        <v>42</v>
      </c>
      <c r="N2810" t="str">
        <f>IFERROR(__xludf.DUMMYFUNCTION("""COMPUTED_VALUE"""),"Model 3 SR+")</f>
        <v>Model 3 SR+</v>
      </c>
      <c r="O2810" t="str">
        <f>IFERROR(__xludf.DUMMYFUNCTION("""COMPUTED_VALUE"""),"Midnight Silver Metallic")</f>
        <v>Midnight Silver Metallic</v>
      </c>
      <c r="P2810" t="str">
        <f>IFERROR(__xludf.DUMMYFUNCTION("""COMPUTED_VALUE"""),"18 inch")</f>
        <v>18 inch</v>
      </c>
      <c r="Q2810" t="str">
        <f>IFERROR(__xludf.DUMMYFUNCTION("""COMPUTED_VALUE"""),"All Black")</f>
        <v>All Black</v>
      </c>
      <c r="R2810" t="str">
        <f>IFERROR(__xludf.DUMMYFUNCTION("""COMPUTED_VALUE"""),"Autopilot included")</f>
        <v>Autopilot included</v>
      </c>
      <c r="S2810" t="str">
        <f>IFERROR(__xludf.DUMMYFUNCTION("""COMPUTED_VALUE"""),"Loan")</f>
        <v>Loan</v>
      </c>
      <c r="T2810" t="str">
        <f>IFERROR(__xludf.DUMMYFUNCTION("""COMPUTED_VALUE"""),"Honda Accord")</f>
        <v>Honda Accord</v>
      </c>
      <c r="U2810" t="str">
        <f>IFERROR(__xludf.DUMMYFUNCTION("""COMPUTED_VALUE"""),"Autopilot")</f>
        <v>Autopilot</v>
      </c>
      <c r="X2810" t="str">
        <f>IFERROR(__xludf.DUMMYFUNCTION("""COMPUTED_VALUE"""),"Excellent")</f>
        <v>Excellent</v>
      </c>
      <c r="Y2810" t="str">
        <f>IFERROR(__xludf.DUMMYFUNCTION("""COMPUTED_VALUE"""),"Excellent")</f>
        <v>Excellent</v>
      </c>
      <c r="Z2810" t="str">
        <f>IFERROR(__xludf.DUMMYFUNCTION("""COMPUTED_VALUE"""),"Excellent")</f>
        <v>Excellent</v>
      </c>
      <c r="AA2810" t="str">
        <f>IFERROR(__xludf.DUMMYFUNCTION("""COMPUTED_VALUE"""),"Fair")</f>
        <v>Fair</v>
      </c>
      <c r="AB2810" t="str">
        <f>IFERROR(__xludf.DUMMYFUNCTION("""COMPUTED_VALUE"""),"Excellent")</f>
        <v>Excellent</v>
      </c>
      <c r="AF2810" t="str">
        <f>IFERROR(__xludf.DUMMYFUNCTION("""COMPUTED_VALUE"""),"No. I took delivery of the first car Tesla was able to deliver.")</f>
        <v>No. I took delivery of the first car Tesla was able to deliver.</v>
      </c>
      <c r="AH2810" s="189">
        <f>IFERROR(__xludf.DUMMYFUNCTION("""COMPUTED_VALUE"""),44317.71992743056)</f>
        <v>44317.71993</v>
      </c>
    </row>
    <row r="2811">
      <c r="A2811" t="str">
        <f>IFERROR(__xludf.DUMMYFUNCTION("""COMPUTED_VALUE"""),"Knight")</f>
        <v>Knight</v>
      </c>
      <c r="B2811" t="str">
        <f>IFERROR(__xludf.DUMMYFUNCTION("""COMPUTED_VALUE"""),"Vista")</f>
        <v>Vista</v>
      </c>
      <c r="C2811" t="str">
        <f>IFERROR(__xludf.DUMMYFUNCTION("""COMPUTED_VALUE"""),"CA")</f>
        <v>CA</v>
      </c>
      <c r="D2811" t="str">
        <f>IFERROR(__xludf.DUMMYFUNCTION("""COMPUTED_VALUE"""),"USA")</f>
        <v>USA</v>
      </c>
      <c r="E2811" s="188">
        <f>IFERROR(__xludf.DUMMYFUNCTION("""COMPUTED_VALUE"""),44238.0)</f>
        <v>44238</v>
      </c>
      <c r="F2811" s="188">
        <f>IFERROR(__xludf.DUMMYFUNCTION("""COMPUTED_VALUE"""),44282.0)</f>
        <v>44282</v>
      </c>
      <c r="G2811" t="str">
        <f>IFERROR(__xludf.DUMMYFUNCTION("""COMPUTED_VALUE"""),"Manage order page (normal text)")</f>
        <v>Manage order page (normal text)</v>
      </c>
      <c r="H2811">
        <f>IFERROR(__xludf.DUMMYFUNCTION("""COMPUTED_VALUE"""),937755.0)</f>
        <v>937755</v>
      </c>
      <c r="I2811" t="str">
        <f>IFERROR(__xludf.DUMMYFUNCTION("""COMPUTED_VALUE"""),"03/21")</f>
        <v>03/21</v>
      </c>
      <c r="J2811" s="188">
        <f>IFERROR(__xludf.DUMMYFUNCTION("""COMPUTED_VALUE"""),44286.0)</f>
        <v>44286</v>
      </c>
      <c r="K2811">
        <f>IFERROR(__xludf.DUMMYFUNCTION("""COMPUTED_VALUE"""),44.0)</f>
        <v>44</v>
      </c>
      <c r="L2811">
        <f>IFERROR(__xludf.DUMMYFUNCTION("""COMPUTED_VALUE"""),4.0)</f>
        <v>4</v>
      </c>
      <c r="M2811">
        <f>IFERROR(__xludf.DUMMYFUNCTION("""COMPUTED_VALUE"""),48.0)</f>
        <v>48</v>
      </c>
      <c r="N2811" t="str">
        <f>IFERROR(__xludf.DUMMYFUNCTION("""COMPUTED_VALUE"""),"Model 3 LR AWD")</f>
        <v>Model 3 LR AWD</v>
      </c>
      <c r="O2811" t="str">
        <f>IFERROR(__xludf.DUMMYFUNCTION("""COMPUTED_VALUE"""),"Pearl White Multi-Coat")</f>
        <v>Pearl White Multi-Coat</v>
      </c>
      <c r="P2811" t="str">
        <f>IFERROR(__xludf.DUMMYFUNCTION("""COMPUTED_VALUE"""),"18 inch")</f>
        <v>18 inch</v>
      </c>
      <c r="Q2811" t="str">
        <f>IFERROR(__xludf.DUMMYFUNCTION("""COMPUTED_VALUE"""),"Black and White")</f>
        <v>Black and White</v>
      </c>
      <c r="R2811" t="str">
        <f>IFERROR(__xludf.DUMMYFUNCTION("""COMPUTED_VALUE"""),"Autopilot included")</f>
        <v>Autopilot included</v>
      </c>
      <c r="S2811" t="str">
        <f>IFERROR(__xludf.DUMMYFUNCTION("""COMPUTED_VALUE"""),"Loan")</f>
        <v>Loan</v>
      </c>
      <c r="T2811" t="str">
        <f>IFERROR(__xludf.DUMMYFUNCTION("""COMPUTED_VALUE"""),"Chevy Volt")</f>
        <v>Chevy Volt</v>
      </c>
      <c r="U2811" t="str">
        <f>IFERROR(__xludf.DUMMYFUNCTION("""COMPUTED_VALUE"""),"Electric!")</f>
        <v>Electric!</v>
      </c>
      <c r="V2811" t="str">
        <f>IFERROR(__xludf.DUMMYFUNCTION("""COMPUTED_VALUE"""),"Apple CarPlay / Android Auto / SiriusXM Radio")</f>
        <v>Apple CarPlay / Android Auto / SiriusXM Radio</v>
      </c>
      <c r="W2811" t="str">
        <f>IFERROR(__xludf.DUMMYFUNCTION("""COMPUTED_VALUE"""),"Expect piss poor communication from tesla concerning changing delivery estimates.")</f>
        <v>Expect piss poor communication from tesla concerning changing delivery estimates.</v>
      </c>
      <c r="X2811" t="str">
        <f>IFERROR(__xludf.DUMMYFUNCTION("""COMPUTED_VALUE"""),"Very Good")</f>
        <v>Very Good</v>
      </c>
      <c r="Y2811" t="str">
        <f>IFERROR(__xludf.DUMMYFUNCTION("""COMPUTED_VALUE"""),"Excellent")</f>
        <v>Excellent</v>
      </c>
      <c r="Z2811" t="str">
        <f>IFERROR(__xludf.DUMMYFUNCTION("""COMPUTED_VALUE"""),"Very Good")</f>
        <v>Very Good</v>
      </c>
      <c r="AA2811" t="str">
        <f>IFERROR(__xludf.DUMMYFUNCTION("""COMPUTED_VALUE"""),"Fair")</f>
        <v>Fair</v>
      </c>
      <c r="AB2811" t="str">
        <f>IFERROR(__xludf.DUMMYFUNCTION("""COMPUTED_VALUE"""),"Very Good")</f>
        <v>Very Good</v>
      </c>
      <c r="AC2811">
        <f>IFERROR(__xludf.DUMMYFUNCTION("""COMPUTED_VALUE"""),1.0)</f>
        <v>1</v>
      </c>
      <c r="AD2811">
        <f>IFERROR(__xludf.DUMMYFUNCTION("""COMPUTED_VALUE"""),1.0)</f>
        <v>1</v>
      </c>
      <c r="AF2811" t="str">
        <f>IFERROR(__xludf.DUMMYFUNCTION("""COMPUTED_VALUE"""),"No. I took delivery of the first car Tesla was able to deliver.")</f>
        <v>No. I took delivery of the first car Tesla was able to deliver.</v>
      </c>
      <c r="AG2811" t="str">
        <f>IFERROR(__xludf.DUMMYFUNCTION("""COMPUTED_VALUE"""),"Could have had the car 3 days earlier but was out of town. Found damaged paint on frunk hood bolts, asked for touchup.")</f>
        <v>Could have had the car 3 days earlier but was out of town. Found damaged paint on frunk hood bolts, asked for touchup.</v>
      </c>
      <c r="AH2811" s="189">
        <f>IFERROR(__xludf.DUMMYFUNCTION("""COMPUTED_VALUE"""),44288.42192732639)</f>
        <v>44288.42193</v>
      </c>
    </row>
    <row r="2812">
      <c r="A2812" t="str">
        <f>IFERROR(__xludf.DUMMYFUNCTION("""COMPUTED_VALUE"""),"rinzler")</f>
        <v>rinzler</v>
      </c>
      <c r="B2812" t="str">
        <f>IFERROR(__xludf.DUMMYFUNCTION("""COMPUTED_VALUE"""),"Vancouver")</f>
        <v>Vancouver</v>
      </c>
      <c r="C2812" t="str">
        <f>IFERROR(__xludf.DUMMYFUNCTION("""COMPUTED_VALUE"""),"BC")</f>
        <v>BC</v>
      </c>
      <c r="D2812" t="str">
        <f>IFERROR(__xludf.DUMMYFUNCTION("""COMPUTED_VALUE"""),"Canada")</f>
        <v>Canada</v>
      </c>
      <c r="E2812" s="188">
        <f>IFERROR(__xludf.DUMMYFUNCTION("""COMPUTED_VALUE"""),44265.0)</f>
        <v>44265</v>
      </c>
      <c r="F2812" s="188">
        <f>IFERROR(__xludf.DUMMYFUNCTION("""COMPUTED_VALUE"""),44275.0)</f>
        <v>44275</v>
      </c>
      <c r="G2812" t="str">
        <f>IFERROR(__xludf.DUMMYFUNCTION("""COMPUTED_VALUE"""),"Manage order page (normal text)")</f>
        <v>Manage order page (normal text)</v>
      </c>
      <c r="I2812" t="str">
        <f>IFERROR(__xludf.DUMMYFUNCTION("""COMPUTED_VALUE"""),"03/21")</f>
        <v>03/21</v>
      </c>
      <c r="J2812" s="188">
        <f>IFERROR(__xludf.DUMMYFUNCTION("""COMPUTED_VALUE"""),44279.0)</f>
        <v>44279</v>
      </c>
      <c r="K2812">
        <f>IFERROR(__xludf.DUMMYFUNCTION("""COMPUTED_VALUE"""),10.0)</f>
        <v>10</v>
      </c>
      <c r="L2812">
        <f>IFERROR(__xludf.DUMMYFUNCTION("""COMPUTED_VALUE"""),4.0)</f>
        <v>4</v>
      </c>
      <c r="M2812">
        <f>IFERROR(__xludf.DUMMYFUNCTION("""COMPUTED_VALUE"""),14.0)</f>
        <v>14</v>
      </c>
      <c r="N2812" t="str">
        <f>IFERROR(__xludf.DUMMYFUNCTION("""COMPUTED_VALUE"""),"Model 3 SR+")</f>
        <v>Model 3 SR+</v>
      </c>
      <c r="O2812" t="str">
        <f>IFERROR(__xludf.DUMMYFUNCTION("""COMPUTED_VALUE"""),"Pearl White Multi-Coat")</f>
        <v>Pearl White Multi-Coat</v>
      </c>
      <c r="P2812" t="str">
        <f>IFERROR(__xludf.DUMMYFUNCTION("""COMPUTED_VALUE"""),"18 inch")</f>
        <v>18 inch</v>
      </c>
      <c r="Q2812" t="str">
        <f>IFERROR(__xludf.DUMMYFUNCTION("""COMPUTED_VALUE"""),"All Black")</f>
        <v>All Black</v>
      </c>
      <c r="R2812" t="str">
        <f>IFERROR(__xludf.DUMMYFUNCTION("""COMPUTED_VALUE"""),"Autopilot included")</f>
        <v>Autopilot included</v>
      </c>
      <c r="S2812" t="str">
        <f>IFERROR(__xludf.DUMMYFUNCTION("""COMPUTED_VALUE"""),"Loan")</f>
        <v>Loan</v>
      </c>
      <c r="T2812" t="str">
        <f>IFERROR(__xludf.DUMMYFUNCTION("""COMPUTED_VALUE"""),"Model 3 will be my first car!")</f>
        <v>Model 3 will be my first car!</v>
      </c>
      <c r="U2812" t="str">
        <f>IFERROR(__xludf.DUMMYFUNCTION("""COMPUTED_VALUE"""),"Electric!")</f>
        <v>Electric!</v>
      </c>
      <c r="V2812" t="str">
        <f>IFERROR(__xludf.DUMMYFUNCTION("""COMPUTED_VALUE"""),"Air suspension")</f>
        <v>Air suspension</v>
      </c>
      <c r="X2812" t="str">
        <f>IFERROR(__xludf.DUMMYFUNCTION("""COMPUTED_VALUE"""),"Very Good")</f>
        <v>Very Good</v>
      </c>
      <c r="Y2812" t="str">
        <f>IFERROR(__xludf.DUMMYFUNCTION("""COMPUTED_VALUE"""),"Excellent")</f>
        <v>Excellent</v>
      </c>
      <c r="Z2812" t="str">
        <f>IFERROR(__xludf.DUMMYFUNCTION("""COMPUTED_VALUE"""),"Excellent")</f>
        <v>Excellent</v>
      </c>
      <c r="AA2812" t="str">
        <f>IFERROR(__xludf.DUMMYFUNCTION("""COMPUTED_VALUE"""),"Fair")</f>
        <v>Fair</v>
      </c>
      <c r="AB2812" t="str">
        <f>IFERROR(__xludf.DUMMYFUNCTION("""COMPUTED_VALUE"""),"Very Good")</f>
        <v>Very Good</v>
      </c>
      <c r="AF2812" t="str">
        <f>IFERROR(__xludf.DUMMYFUNCTION("""COMPUTED_VALUE"""),"No. I took delivery of the first car Tesla was able to deliver.")</f>
        <v>No. I took delivery of the first car Tesla was able to deliver.</v>
      </c>
      <c r="AH2812" s="189">
        <f>IFERROR(__xludf.DUMMYFUNCTION("""COMPUTED_VALUE"""),44279.91931106482)</f>
        <v>44279.91931</v>
      </c>
    </row>
    <row r="2813">
      <c r="A2813" t="str">
        <f>IFERROR(__xludf.DUMMYFUNCTION("""COMPUTED_VALUE"""),"Goon2800")</f>
        <v>Goon2800</v>
      </c>
      <c r="B2813" t="str">
        <f>IFERROR(__xludf.DUMMYFUNCTION("""COMPUTED_VALUE"""),"Chicago")</f>
        <v>Chicago</v>
      </c>
      <c r="C2813" t="str">
        <f>IFERROR(__xludf.DUMMYFUNCTION("""COMPUTED_VALUE"""),"IL")</f>
        <v>IL</v>
      </c>
      <c r="D2813" t="str">
        <f>IFERROR(__xludf.DUMMYFUNCTION("""COMPUTED_VALUE"""),"USA")</f>
        <v>USA</v>
      </c>
      <c r="E2813" s="188">
        <f>IFERROR(__xludf.DUMMYFUNCTION("""COMPUTED_VALUE"""),44277.0)</f>
        <v>44277</v>
      </c>
      <c r="F2813" s="188">
        <f>IFERROR(__xludf.DUMMYFUNCTION("""COMPUTED_VALUE"""),43916.0)</f>
        <v>43916</v>
      </c>
      <c r="G2813" t="str">
        <f>IFERROR(__xludf.DUMMYFUNCTION("""COMPUTED_VALUE"""),"Manage order page (normal text)")</f>
        <v>Manage order page (normal text)</v>
      </c>
      <c r="J2813" s="188">
        <f>IFERROR(__xludf.DUMMYFUNCTION("""COMPUTED_VALUE"""),43919.0)</f>
        <v>43919</v>
      </c>
      <c r="L2813">
        <f>IFERROR(__xludf.DUMMYFUNCTION("""COMPUTED_VALUE"""),3.0)</f>
        <v>3</v>
      </c>
      <c r="N2813" t="str">
        <f>IFERROR(__xludf.DUMMYFUNCTION("""COMPUTED_VALUE"""),"Model 3 LR AWD")</f>
        <v>Model 3 LR AWD</v>
      </c>
      <c r="O2813" t="str">
        <f>IFERROR(__xludf.DUMMYFUNCTION("""COMPUTED_VALUE"""),"Midnight Silver Metallic")</f>
        <v>Midnight Silver Metallic</v>
      </c>
      <c r="P2813" t="str">
        <f>IFERROR(__xludf.DUMMYFUNCTION("""COMPUTED_VALUE"""),"18 inch")</f>
        <v>18 inch</v>
      </c>
      <c r="Q2813" t="str">
        <f>IFERROR(__xludf.DUMMYFUNCTION("""COMPUTED_VALUE"""),"All Black")</f>
        <v>All Black</v>
      </c>
      <c r="R2813" t="str">
        <f>IFERROR(__xludf.DUMMYFUNCTION("""COMPUTED_VALUE"""),"Autopilot included")</f>
        <v>Autopilot included</v>
      </c>
      <c r="S2813" t="str">
        <f>IFERROR(__xludf.DUMMYFUNCTION("""COMPUTED_VALUE"""),"Loan")</f>
        <v>Loan</v>
      </c>
      <c r="U2813" t="str">
        <f>IFERROR(__xludf.DUMMYFUNCTION("""COMPUTED_VALUE"""),"Electric!")</f>
        <v>Electric!</v>
      </c>
      <c r="X2813" t="str">
        <f>IFERROR(__xludf.DUMMYFUNCTION("""COMPUTED_VALUE"""),"Very Good")</f>
        <v>Very Good</v>
      </c>
      <c r="Y2813" t="str">
        <f>IFERROR(__xludf.DUMMYFUNCTION("""COMPUTED_VALUE"""),"Very Good")</f>
        <v>Very Good</v>
      </c>
      <c r="Z2813" t="str">
        <f>IFERROR(__xludf.DUMMYFUNCTION("""COMPUTED_VALUE"""),"Very Good")</f>
        <v>Very Good</v>
      </c>
      <c r="AA2813" t="str">
        <f>IFERROR(__xludf.DUMMYFUNCTION("""COMPUTED_VALUE"""),"Very Good")</f>
        <v>Very Good</v>
      </c>
      <c r="AB2813" t="str">
        <f>IFERROR(__xludf.DUMMYFUNCTION("""COMPUTED_VALUE"""),"Good")</f>
        <v>Good</v>
      </c>
      <c r="AC2813">
        <f>IFERROR(__xludf.DUMMYFUNCTION("""COMPUTED_VALUE"""),0.0)</f>
        <v>0</v>
      </c>
      <c r="AG2813" t="str">
        <f>IFERROR(__xludf.DUMMYFUNCTION("""COMPUTED_VALUE"""),"Found an existing inventory car matching the ordered spec so I grabbed it! ")</f>
        <v>Found an existing inventory car matching the ordered spec so I grabbed it! </v>
      </c>
      <c r="AH2813" s="189">
        <f>IFERROR(__xludf.DUMMYFUNCTION("""COMPUTED_VALUE"""),44284.7326275463)</f>
        <v>44284.73263</v>
      </c>
    </row>
    <row r="2814">
      <c r="A2814" t="str">
        <f>IFERROR(__xludf.DUMMYFUNCTION("""COMPUTED_VALUE"""),"klangeMod3")</f>
        <v>klangeMod3</v>
      </c>
      <c r="B2814" t="str">
        <f>IFERROR(__xludf.DUMMYFUNCTION("""COMPUTED_VALUE"""),"Everett")</f>
        <v>Everett</v>
      </c>
      <c r="C2814" t="str">
        <f>IFERROR(__xludf.DUMMYFUNCTION("""COMPUTED_VALUE"""),"WA")</f>
        <v>WA</v>
      </c>
      <c r="D2814" t="str">
        <f>IFERROR(__xludf.DUMMYFUNCTION("""COMPUTED_VALUE"""),"USA")</f>
        <v>USA</v>
      </c>
      <c r="E2814" s="188">
        <f>IFERROR(__xludf.DUMMYFUNCTION("""COMPUTED_VALUE"""),44276.0)</f>
        <v>44276</v>
      </c>
      <c r="F2814" s="188">
        <f>IFERROR(__xludf.DUMMYFUNCTION("""COMPUTED_VALUE"""),44279.0)</f>
        <v>44279</v>
      </c>
      <c r="G2814" t="str">
        <f>IFERROR(__xludf.DUMMYFUNCTION("""COMPUTED_VALUE"""),"Manage order page (normal text)")</f>
        <v>Manage order page (normal text)</v>
      </c>
      <c r="H2814">
        <f>IFERROR(__xludf.DUMMYFUNCTION("""COMPUTED_VALUE"""),939955.0)</f>
        <v>939955</v>
      </c>
      <c r="I2814" t="str">
        <f>IFERROR(__xludf.DUMMYFUNCTION("""COMPUTED_VALUE"""),"03/21")</f>
        <v>03/21</v>
      </c>
      <c r="J2814" s="188">
        <f>IFERROR(__xludf.DUMMYFUNCTION("""COMPUTED_VALUE"""),44283.0)</f>
        <v>44283</v>
      </c>
      <c r="K2814">
        <f>IFERROR(__xludf.DUMMYFUNCTION("""COMPUTED_VALUE"""),3.0)</f>
        <v>3</v>
      </c>
      <c r="L2814">
        <f>IFERROR(__xludf.DUMMYFUNCTION("""COMPUTED_VALUE"""),4.0)</f>
        <v>4</v>
      </c>
      <c r="M2814">
        <f>IFERROR(__xludf.DUMMYFUNCTION("""COMPUTED_VALUE"""),7.0)</f>
        <v>7</v>
      </c>
      <c r="N2814" t="str">
        <f>IFERROR(__xludf.DUMMYFUNCTION("""COMPUTED_VALUE"""),"Model 3 LR AWD")</f>
        <v>Model 3 LR AWD</v>
      </c>
      <c r="O2814" t="str">
        <f>IFERROR(__xludf.DUMMYFUNCTION("""COMPUTED_VALUE"""),"Deep Blue Metallic")</f>
        <v>Deep Blue Metallic</v>
      </c>
      <c r="P2814" t="str">
        <f>IFERROR(__xludf.DUMMYFUNCTION("""COMPUTED_VALUE"""),"18 inch")</f>
        <v>18 inch</v>
      </c>
      <c r="Q2814" t="str">
        <f>IFERROR(__xludf.DUMMYFUNCTION("""COMPUTED_VALUE"""),"All Black")</f>
        <v>All Black</v>
      </c>
      <c r="R2814" t="str">
        <f>IFERROR(__xludf.DUMMYFUNCTION("""COMPUTED_VALUE"""),"Autopilot included")</f>
        <v>Autopilot included</v>
      </c>
      <c r="S2814" t="str">
        <f>IFERROR(__xludf.DUMMYFUNCTION("""COMPUTED_VALUE"""),"Cash")</f>
        <v>Cash</v>
      </c>
      <c r="T2814" t="str">
        <f>IFERROR(__xludf.DUMMYFUNCTION("""COMPUTED_VALUE"""),"Honda Accord")</f>
        <v>Honda Accord</v>
      </c>
      <c r="U2814" t="str">
        <f>IFERROR(__xludf.DUMMYFUNCTION("""COMPUTED_VALUE"""),"Electric!")</f>
        <v>Electric!</v>
      </c>
      <c r="V2814" t="str">
        <f>IFERROR(__xludf.DUMMYFUNCTION("""COMPUTED_VALUE"""),"Head-up display")</f>
        <v>Head-up display</v>
      </c>
      <c r="X2814" t="str">
        <f>IFERROR(__xludf.DUMMYFUNCTION("""COMPUTED_VALUE"""),"Excellent")</f>
        <v>Excellent</v>
      </c>
      <c r="Y2814" t="str">
        <f>IFERROR(__xludf.DUMMYFUNCTION("""COMPUTED_VALUE"""),"Excellent")</f>
        <v>Excellent</v>
      </c>
      <c r="Z2814" t="str">
        <f>IFERROR(__xludf.DUMMYFUNCTION("""COMPUTED_VALUE"""),"Excellent")</f>
        <v>Excellent</v>
      </c>
      <c r="AA2814" t="str">
        <f>IFERROR(__xludf.DUMMYFUNCTION("""COMPUTED_VALUE"""),"Excellent")</f>
        <v>Excellent</v>
      </c>
      <c r="AB2814" t="str">
        <f>IFERROR(__xludf.DUMMYFUNCTION("""COMPUTED_VALUE"""),"Excellent")</f>
        <v>Excellent</v>
      </c>
      <c r="AF2814" t="str">
        <f>IFERROR(__xludf.DUMMYFUNCTION("""COMPUTED_VALUE"""),"No. I took delivery of the first car Tesla was able to deliver.")</f>
        <v>No. I took delivery of the first car Tesla was able to deliver.</v>
      </c>
      <c r="AH2814" s="189">
        <f>IFERROR(__xludf.DUMMYFUNCTION("""COMPUTED_VALUE"""),44284.32729459491)</f>
        <v>44284.32729</v>
      </c>
    </row>
    <row r="2815">
      <c r="A2815" t="str">
        <f>IFERROR(__xludf.DUMMYFUNCTION("""COMPUTED_VALUE"""),"john678")</f>
        <v>john678</v>
      </c>
      <c r="C2815" t="str">
        <f>IFERROR(__xludf.DUMMYFUNCTION("""COMPUTED_VALUE"""),"PA")</f>
        <v>PA</v>
      </c>
      <c r="D2815" t="str">
        <f>IFERROR(__xludf.DUMMYFUNCTION("""COMPUTED_VALUE"""),"USA")</f>
        <v>USA</v>
      </c>
      <c r="E2815" s="188">
        <f>IFERROR(__xludf.DUMMYFUNCTION("""COMPUTED_VALUE"""),44280.0)</f>
        <v>44280</v>
      </c>
      <c r="F2815" s="188">
        <f>IFERROR(__xludf.DUMMYFUNCTION("""COMPUTED_VALUE"""),44284.0)</f>
        <v>44284</v>
      </c>
      <c r="G2815" t="str">
        <f>IFERROR(__xludf.DUMMYFUNCTION("""COMPUTED_VALUE"""),"Manage order page (normal text)")</f>
        <v>Manage order page (normal text)</v>
      </c>
      <c r="H2815">
        <f>IFERROR(__xludf.DUMMYFUNCTION("""COMPUTED_VALUE"""),925642.0)</f>
        <v>925642</v>
      </c>
      <c r="I2815" t="str">
        <f>IFERROR(__xludf.DUMMYFUNCTION("""COMPUTED_VALUE"""),"03/21")</f>
        <v>03/21</v>
      </c>
      <c r="J2815" s="188">
        <f>IFERROR(__xludf.DUMMYFUNCTION("""COMPUTED_VALUE"""),44285.0)</f>
        <v>44285</v>
      </c>
      <c r="K2815">
        <f>IFERROR(__xludf.DUMMYFUNCTION("""COMPUTED_VALUE"""),4.0)</f>
        <v>4</v>
      </c>
      <c r="L2815">
        <f>IFERROR(__xludf.DUMMYFUNCTION("""COMPUTED_VALUE"""),1.0)</f>
        <v>1</v>
      </c>
      <c r="M2815">
        <f>IFERROR(__xludf.DUMMYFUNCTION("""COMPUTED_VALUE"""),5.0)</f>
        <v>5</v>
      </c>
      <c r="N2815" t="str">
        <f>IFERROR(__xludf.DUMMYFUNCTION("""COMPUTED_VALUE"""),"Model 3 Performance")</f>
        <v>Model 3 Performance</v>
      </c>
      <c r="O2815" t="str">
        <f>IFERROR(__xludf.DUMMYFUNCTION("""COMPUTED_VALUE"""),"Pearl White Multi-Coat")</f>
        <v>Pearl White Multi-Coat</v>
      </c>
      <c r="P2815" t="str">
        <f>IFERROR(__xludf.DUMMYFUNCTION("""COMPUTED_VALUE"""),"20 inch")</f>
        <v>20 inch</v>
      </c>
      <c r="Q2815" t="str">
        <f>IFERROR(__xludf.DUMMYFUNCTION("""COMPUTED_VALUE"""),"All Black")</f>
        <v>All Black</v>
      </c>
      <c r="R2815" t="str">
        <f>IFERROR(__xludf.DUMMYFUNCTION("""COMPUTED_VALUE"""),"Autopilot included")</f>
        <v>Autopilot included</v>
      </c>
      <c r="S2815" t="str">
        <f>IFERROR(__xludf.DUMMYFUNCTION("""COMPUTED_VALUE"""),"Loan")</f>
        <v>Loan</v>
      </c>
      <c r="T2815" t="str">
        <f>IFERROR(__xludf.DUMMYFUNCTION("""COMPUTED_VALUE"""),"Honda Accord")</f>
        <v>Honda Accord</v>
      </c>
      <c r="U2815" t="str">
        <f>IFERROR(__xludf.DUMMYFUNCTION("""COMPUTED_VALUE"""),"Electric!")</f>
        <v>Electric!</v>
      </c>
      <c r="V2815" t="str">
        <f>IFERROR(__xludf.DUMMYFUNCTION("""COMPUTED_VALUE"""),"Air suspension")</f>
        <v>Air suspension</v>
      </c>
      <c r="X2815" t="str">
        <f>IFERROR(__xludf.DUMMYFUNCTION("""COMPUTED_VALUE"""),"Fair")</f>
        <v>Fair</v>
      </c>
      <c r="Y2815" t="str">
        <f>IFERROR(__xludf.DUMMYFUNCTION("""COMPUTED_VALUE"""),"Very Good")</f>
        <v>Very Good</v>
      </c>
      <c r="Z2815" t="str">
        <f>IFERROR(__xludf.DUMMYFUNCTION("""COMPUTED_VALUE"""),"Very Good")</f>
        <v>Very Good</v>
      </c>
      <c r="AA2815" t="str">
        <f>IFERROR(__xludf.DUMMYFUNCTION("""COMPUTED_VALUE"""),"Good")</f>
        <v>Good</v>
      </c>
      <c r="AB2815" t="str">
        <f>IFERROR(__xludf.DUMMYFUNCTION("""COMPUTED_VALUE"""),"Fair")</f>
        <v>Fair</v>
      </c>
      <c r="AC2815">
        <f>IFERROR(__xludf.DUMMYFUNCTION("""COMPUTED_VALUE"""),4.0)</f>
        <v>4</v>
      </c>
      <c r="AD2815">
        <f>IFERROR(__xludf.DUMMYFUNCTION("""COMPUTED_VALUE"""),1.0)</f>
        <v>1</v>
      </c>
      <c r="AE2815">
        <f>IFERROR(__xludf.DUMMYFUNCTION("""COMPUTED_VALUE"""),1.0)</f>
        <v>1</v>
      </c>
      <c r="AF2815" t="str">
        <f>IFERROR(__xludf.DUMMYFUNCTION("""COMPUTED_VALUE"""),"No. I took delivery of the first car Tesla was able to deliver.")</f>
        <v>No. I took delivery of the first car Tesla was able to deliver.</v>
      </c>
      <c r="AH2815" s="189">
        <f>IFERROR(__xludf.DUMMYFUNCTION("""COMPUTED_VALUE"""),44298.80835047454)</f>
        <v>44298.80835</v>
      </c>
    </row>
    <row r="2816">
      <c r="A2816" t="str">
        <f>IFERROR(__xludf.DUMMYFUNCTION("""COMPUTED_VALUE"""),"iwantmytesla")</f>
        <v>iwantmytesla</v>
      </c>
      <c r="B2816" t="str">
        <f>IFERROR(__xludf.DUMMYFUNCTION("""COMPUTED_VALUE"""),"Orange County, CA")</f>
        <v>Orange County, CA</v>
      </c>
      <c r="C2816" t="str">
        <f>IFERROR(__xludf.DUMMYFUNCTION("""COMPUTED_VALUE"""),"CA")</f>
        <v>CA</v>
      </c>
      <c r="D2816" t="str">
        <f>IFERROR(__xludf.DUMMYFUNCTION("""COMPUTED_VALUE"""),"USA")</f>
        <v>USA</v>
      </c>
      <c r="E2816" s="188">
        <f>IFERROR(__xludf.DUMMYFUNCTION("""COMPUTED_VALUE"""),44280.0)</f>
        <v>44280</v>
      </c>
      <c r="F2816" s="188">
        <f>IFERROR(__xludf.DUMMYFUNCTION("""COMPUTED_VALUE"""),44281.0)</f>
        <v>44281</v>
      </c>
      <c r="G2816" t="str">
        <f>IFERROR(__xludf.DUMMYFUNCTION("""COMPUTED_VALUE"""),"Manage order page (normal text)")</f>
        <v>Manage order page (normal text)</v>
      </c>
      <c r="H2816">
        <f>IFERROR(__xludf.DUMMYFUNCTION("""COMPUTED_VALUE"""),938455.0)</f>
        <v>938455</v>
      </c>
      <c r="I2816" t="str">
        <f>IFERROR(__xludf.DUMMYFUNCTION("""COMPUTED_VALUE"""),"03/21")</f>
        <v>03/21</v>
      </c>
      <c r="J2816" s="188">
        <f>IFERROR(__xludf.DUMMYFUNCTION("""COMPUTED_VALUE"""),44285.0)</f>
        <v>44285</v>
      </c>
      <c r="K2816">
        <f>IFERROR(__xludf.DUMMYFUNCTION("""COMPUTED_VALUE"""),1.0)</f>
        <v>1</v>
      </c>
      <c r="L2816">
        <f>IFERROR(__xludf.DUMMYFUNCTION("""COMPUTED_VALUE"""),4.0)</f>
        <v>4</v>
      </c>
      <c r="M2816">
        <f>IFERROR(__xludf.DUMMYFUNCTION("""COMPUTED_VALUE"""),5.0)</f>
        <v>5</v>
      </c>
      <c r="N2816" t="str">
        <f>IFERROR(__xludf.DUMMYFUNCTION("""COMPUTED_VALUE"""),"Model 3 LR AWD")</f>
        <v>Model 3 LR AWD</v>
      </c>
      <c r="O2816" t="str">
        <f>IFERROR(__xludf.DUMMYFUNCTION("""COMPUTED_VALUE"""),"Red Multi-Coat")</f>
        <v>Red Multi-Coat</v>
      </c>
      <c r="P2816" t="str">
        <f>IFERROR(__xludf.DUMMYFUNCTION("""COMPUTED_VALUE"""),"18 inch")</f>
        <v>18 inch</v>
      </c>
      <c r="Q2816" t="str">
        <f>IFERROR(__xludf.DUMMYFUNCTION("""COMPUTED_VALUE"""),"All Black")</f>
        <v>All Black</v>
      </c>
      <c r="R2816" t="str">
        <f>IFERROR(__xludf.DUMMYFUNCTION("""COMPUTED_VALUE"""),"Full Self-Driving")</f>
        <v>Full Self-Driving</v>
      </c>
      <c r="S2816" t="str">
        <f>IFERROR(__xludf.DUMMYFUNCTION("""COMPUTED_VALUE"""),"Loan")</f>
        <v>Loan</v>
      </c>
      <c r="T2816" t="str">
        <f>IFERROR(__xludf.DUMMYFUNCTION("""COMPUTED_VALUE"""),"Honda Civic")</f>
        <v>Honda Civic</v>
      </c>
      <c r="U2816" t="str">
        <f>IFERROR(__xludf.DUMMYFUNCTION("""COMPUTED_VALUE"""),"Electric!")</f>
        <v>Electric!</v>
      </c>
      <c r="V2816" t="str">
        <f>IFERROR(__xludf.DUMMYFUNCTION("""COMPUTED_VALUE"""),"Apple CarPlay / Android Auto / SiriusXM Radio")</f>
        <v>Apple CarPlay / Android Auto / SiriusXM Radio</v>
      </c>
      <c r="W2816" t="str">
        <f>IFERROR(__xludf.DUMMYFUNCTION("""COMPUTED_VALUE"""),"There is a clear lack of communication by Tesla throughout the order process if you do everything online. The car is worth it though")</f>
        <v>There is a clear lack of communication by Tesla throughout the order process if you do everything online. The car is worth it though</v>
      </c>
      <c r="X2816" t="str">
        <f>IFERROR(__xludf.DUMMYFUNCTION("""COMPUTED_VALUE"""),"Excellent")</f>
        <v>Excellent</v>
      </c>
      <c r="Y2816" t="str">
        <f>IFERROR(__xludf.DUMMYFUNCTION("""COMPUTED_VALUE"""),"Excellent")</f>
        <v>Excellent</v>
      </c>
      <c r="Z2816" t="str">
        <f>IFERROR(__xludf.DUMMYFUNCTION("""COMPUTED_VALUE"""),"Good")</f>
        <v>Good</v>
      </c>
      <c r="AA2816" t="str">
        <f>IFERROR(__xludf.DUMMYFUNCTION("""COMPUTED_VALUE"""),"Poor")</f>
        <v>Poor</v>
      </c>
      <c r="AB2816" t="str">
        <f>IFERROR(__xludf.DUMMYFUNCTION("""COMPUTED_VALUE"""),"Very Good")</f>
        <v>Very Good</v>
      </c>
      <c r="AC2816">
        <f>IFERROR(__xludf.DUMMYFUNCTION("""COMPUTED_VALUE"""),4.0)</f>
        <v>4</v>
      </c>
      <c r="AF2816" t="str">
        <f>IFERROR(__xludf.DUMMYFUNCTION("""COMPUTED_VALUE"""),"No. I took delivery of the first car Tesla was able to deliver.")</f>
        <v>No. I took delivery of the first car Tesla was able to deliver.</v>
      </c>
      <c r="AH2816" s="189">
        <f>IFERROR(__xludf.DUMMYFUNCTION("""COMPUTED_VALUE"""),44286.26081390046)</f>
        <v>44286.26081</v>
      </c>
    </row>
    <row r="2817">
      <c r="A2817" t="str">
        <f>IFERROR(__xludf.DUMMYFUNCTION("""COMPUTED_VALUE"""),"makirules")</f>
        <v>makirules</v>
      </c>
      <c r="B2817" t="str">
        <f>IFERROR(__xludf.DUMMYFUNCTION("""COMPUTED_VALUE"""),"Rogers")</f>
        <v>Rogers</v>
      </c>
      <c r="C2817" t="str">
        <f>IFERROR(__xludf.DUMMYFUNCTION("""COMPUTED_VALUE"""),"AR")</f>
        <v>AR</v>
      </c>
      <c r="D2817" t="str">
        <f>IFERROR(__xludf.DUMMYFUNCTION("""COMPUTED_VALUE"""),"USA")</f>
        <v>USA</v>
      </c>
      <c r="E2817" s="188">
        <f>IFERROR(__xludf.DUMMYFUNCTION("""COMPUTED_VALUE"""),44277.0)</f>
        <v>44277</v>
      </c>
      <c r="F2817" s="188">
        <f>IFERROR(__xludf.DUMMYFUNCTION("""COMPUTED_VALUE"""),44354.0)</f>
        <v>44354</v>
      </c>
      <c r="G2817" t="str">
        <f>IFERROR(__xludf.DUMMYFUNCTION("""COMPUTED_VALUE"""),"Manage order page (normal text)")</f>
        <v>Manage order page (normal text)</v>
      </c>
      <c r="H2817">
        <f>IFERROR(__xludf.DUMMYFUNCTION("""COMPUTED_VALUE"""),987147.0)</f>
        <v>987147</v>
      </c>
      <c r="J2817" s="188">
        <f>IFERROR(__xludf.DUMMYFUNCTION("""COMPUTED_VALUE"""),44366.0)</f>
        <v>44366</v>
      </c>
      <c r="K2817">
        <f>IFERROR(__xludf.DUMMYFUNCTION("""COMPUTED_VALUE"""),77.0)</f>
        <v>77</v>
      </c>
      <c r="L2817">
        <f>IFERROR(__xludf.DUMMYFUNCTION("""COMPUTED_VALUE"""),12.0)</f>
        <v>12</v>
      </c>
      <c r="M2817">
        <f>IFERROR(__xludf.DUMMYFUNCTION("""COMPUTED_VALUE"""),89.0)</f>
        <v>89</v>
      </c>
      <c r="N2817" t="str">
        <f>IFERROR(__xludf.DUMMYFUNCTION("""COMPUTED_VALUE"""),"Model 3 SR+")</f>
        <v>Model 3 SR+</v>
      </c>
      <c r="O2817" t="str">
        <f>IFERROR(__xludf.DUMMYFUNCTION("""COMPUTED_VALUE"""),"Pearl White Multi-Coat")</f>
        <v>Pearl White Multi-Coat</v>
      </c>
      <c r="P2817" t="str">
        <f>IFERROR(__xludf.DUMMYFUNCTION("""COMPUTED_VALUE"""),"18 inch")</f>
        <v>18 inch</v>
      </c>
      <c r="Q2817" t="str">
        <f>IFERROR(__xludf.DUMMYFUNCTION("""COMPUTED_VALUE"""),"All Black")</f>
        <v>All Black</v>
      </c>
      <c r="R2817" t="str">
        <f>IFERROR(__xludf.DUMMYFUNCTION("""COMPUTED_VALUE"""),"Autopilot included")</f>
        <v>Autopilot included</v>
      </c>
      <c r="S2817" t="str">
        <f>IFERROR(__xludf.DUMMYFUNCTION("""COMPUTED_VALUE"""),"Loan")</f>
        <v>Loan</v>
      </c>
      <c r="T2817" t="str">
        <f>IFERROR(__xludf.DUMMYFUNCTION("""COMPUTED_VALUE"""),"Chevy Bolt")</f>
        <v>Chevy Bolt</v>
      </c>
      <c r="U2817" t="str">
        <f>IFERROR(__xludf.DUMMYFUNCTION("""COMPUTED_VALUE"""),"The tech!")</f>
        <v>The tech!</v>
      </c>
      <c r="V2817" t="str">
        <f>IFERROR(__xludf.DUMMYFUNCTION("""COMPUTED_VALUE"""),"Apple CarPlay / Android Auto / SiriusXM Radio")</f>
        <v>Apple CarPlay / Android Auto / SiriusXM Radio</v>
      </c>
      <c r="X2817" t="str">
        <f>IFERROR(__xludf.DUMMYFUNCTION("""COMPUTED_VALUE"""),"Excellent")</f>
        <v>Excellent</v>
      </c>
      <c r="Y2817" t="str">
        <f>IFERROR(__xludf.DUMMYFUNCTION("""COMPUTED_VALUE"""),"Excellent")</f>
        <v>Excellent</v>
      </c>
      <c r="Z2817" t="str">
        <f>IFERROR(__xludf.DUMMYFUNCTION("""COMPUTED_VALUE"""),"Excellent")</f>
        <v>Excellent</v>
      </c>
      <c r="AA2817" t="str">
        <f>IFERROR(__xludf.DUMMYFUNCTION("""COMPUTED_VALUE"""),"Poor")</f>
        <v>Poor</v>
      </c>
      <c r="AB2817" t="str">
        <f>IFERROR(__xludf.DUMMYFUNCTION("""COMPUTED_VALUE"""),"Excellent")</f>
        <v>Excellent</v>
      </c>
      <c r="AF2817" t="str">
        <f>IFERROR(__xludf.DUMMYFUNCTION("""COMPUTED_VALUE"""),"No. I took delivery of the first car Tesla was able to deliver.")</f>
        <v>No. I took delivery of the first car Tesla was able to deliver.</v>
      </c>
      <c r="AH2817" s="189">
        <f>IFERROR(__xludf.DUMMYFUNCTION("""COMPUTED_VALUE"""),44369.4500820949)</f>
        <v>44369.45008</v>
      </c>
    </row>
    <row r="2818">
      <c r="A2818" t="str">
        <f>IFERROR(__xludf.DUMMYFUNCTION("""COMPUTED_VALUE"""),"corbinpog")</f>
        <v>corbinpog</v>
      </c>
      <c r="B2818" t="str">
        <f>IFERROR(__xludf.DUMMYFUNCTION("""COMPUTED_VALUE"""),"Halifax")</f>
        <v>Halifax</v>
      </c>
      <c r="C2818" t="str">
        <f>IFERROR(__xludf.DUMMYFUNCTION("""COMPUTED_VALUE"""),"NS")</f>
        <v>NS</v>
      </c>
      <c r="D2818" t="str">
        <f>IFERROR(__xludf.DUMMYFUNCTION("""COMPUTED_VALUE"""),"Canada")</f>
        <v>Canada</v>
      </c>
      <c r="E2818" s="188">
        <f>IFERROR(__xludf.DUMMYFUNCTION("""COMPUTED_VALUE"""),44191.0)</f>
        <v>44191</v>
      </c>
      <c r="F2818" s="188">
        <f>IFERROR(__xludf.DUMMYFUNCTION("""COMPUTED_VALUE"""),44354.0)</f>
        <v>44354</v>
      </c>
      <c r="G2818" t="str">
        <f>IFERROR(__xludf.DUMMYFUNCTION("""COMPUTED_VALUE"""),"Source code")</f>
        <v>Source code</v>
      </c>
      <c r="H2818">
        <f>IFERROR(__xludf.DUMMYFUNCTION("""COMPUTED_VALUE"""),978655.0)</f>
        <v>978655</v>
      </c>
      <c r="I2818" t="str">
        <f>IFERROR(__xludf.DUMMYFUNCTION("""COMPUTED_VALUE"""),"05/21")</f>
        <v>05/21</v>
      </c>
      <c r="J2818" s="188">
        <f>IFERROR(__xludf.DUMMYFUNCTION("""COMPUTED_VALUE"""),44357.0)</f>
        <v>44357</v>
      </c>
      <c r="K2818">
        <f>IFERROR(__xludf.DUMMYFUNCTION("""COMPUTED_VALUE"""),163.0)</f>
        <v>163</v>
      </c>
      <c r="L2818">
        <f>IFERROR(__xludf.DUMMYFUNCTION("""COMPUTED_VALUE"""),3.0)</f>
        <v>3</v>
      </c>
      <c r="M2818">
        <f>IFERROR(__xludf.DUMMYFUNCTION("""COMPUTED_VALUE"""),166.0)</f>
        <v>166</v>
      </c>
      <c r="N2818" t="str">
        <f>IFERROR(__xludf.DUMMYFUNCTION("""COMPUTED_VALUE"""),"Model 3 Performance")</f>
        <v>Model 3 Performance</v>
      </c>
      <c r="O2818" t="str">
        <f>IFERROR(__xludf.DUMMYFUNCTION("""COMPUTED_VALUE"""),"Pearl White Multi-Coat")</f>
        <v>Pearl White Multi-Coat</v>
      </c>
      <c r="P2818" t="str">
        <f>IFERROR(__xludf.DUMMYFUNCTION("""COMPUTED_VALUE"""),"20 inch")</f>
        <v>20 inch</v>
      </c>
      <c r="Q2818" t="str">
        <f>IFERROR(__xludf.DUMMYFUNCTION("""COMPUTED_VALUE"""),"Black and White")</f>
        <v>Black and White</v>
      </c>
      <c r="R2818" t="str">
        <f>IFERROR(__xludf.DUMMYFUNCTION("""COMPUTED_VALUE"""),"Full Self-Driving")</f>
        <v>Full Self-Driving</v>
      </c>
      <c r="S2818" t="str">
        <f>IFERROR(__xludf.DUMMYFUNCTION("""COMPUTED_VALUE"""),"Lease")</f>
        <v>Lease</v>
      </c>
      <c r="T2818" t="str">
        <f>IFERROR(__xludf.DUMMYFUNCTION("""COMPUTED_VALUE"""),"Honda Fit")</f>
        <v>Honda Fit</v>
      </c>
      <c r="U2818" t="str">
        <f>IFERROR(__xludf.DUMMYFUNCTION("""COMPUTED_VALUE"""),"Autopilot")</f>
        <v>Autopilot</v>
      </c>
      <c r="V2818" t="str">
        <f>IFERROR(__xludf.DUMMYFUNCTION("""COMPUTED_VALUE"""),"Head-up display")</f>
        <v>Head-up display</v>
      </c>
      <c r="X2818" t="str">
        <f>IFERROR(__xludf.DUMMYFUNCTION("""COMPUTED_VALUE"""),"Very Good")</f>
        <v>Very Good</v>
      </c>
      <c r="Y2818" t="str">
        <f>IFERROR(__xludf.DUMMYFUNCTION("""COMPUTED_VALUE"""),"Excellent")</f>
        <v>Excellent</v>
      </c>
      <c r="Z2818" t="str">
        <f>IFERROR(__xludf.DUMMYFUNCTION("""COMPUTED_VALUE"""),"Excellent")</f>
        <v>Excellent</v>
      </c>
      <c r="AA2818" t="str">
        <f>IFERROR(__xludf.DUMMYFUNCTION("""COMPUTED_VALUE"""),"Very Good")</f>
        <v>Very Good</v>
      </c>
      <c r="AB2818" t="str">
        <f>IFERROR(__xludf.DUMMYFUNCTION("""COMPUTED_VALUE"""),"Excellent")</f>
        <v>Excellent</v>
      </c>
      <c r="AC2818">
        <f>IFERROR(__xludf.DUMMYFUNCTION("""COMPUTED_VALUE"""),0.0)</f>
        <v>0</v>
      </c>
      <c r="AD2818">
        <f>IFERROR(__xludf.DUMMYFUNCTION("""COMPUTED_VALUE"""),0.0)</f>
        <v>0</v>
      </c>
      <c r="AE2818">
        <f>IFERROR(__xludf.DUMMYFUNCTION("""COMPUTED_VALUE"""),0.0)</f>
        <v>0</v>
      </c>
      <c r="AF2818" t="str">
        <f>IFERROR(__xludf.DUMMYFUNCTION("""COMPUTED_VALUE"""),"No. I took delivery of the first car Tesla was able to deliver.")</f>
        <v>No. I took delivery of the first car Tesla was able to deliver.</v>
      </c>
      <c r="AH2818" s="189">
        <f>IFERROR(__xludf.DUMMYFUNCTION("""COMPUTED_VALUE"""),44389.087945520834)</f>
        <v>44389.08795</v>
      </c>
    </row>
    <row r="2819">
      <c r="A2819" t="str">
        <f>IFERROR(__xludf.DUMMYFUNCTION("""COMPUTED_VALUE"""),"EHExplorer")</f>
        <v>EHExplorer</v>
      </c>
      <c r="B2819" t="str">
        <f>IFERROR(__xludf.DUMMYFUNCTION("""COMPUTED_VALUE"""),"Scotland")</f>
        <v>Scotland</v>
      </c>
      <c r="D2819" t="str">
        <f>IFERROR(__xludf.DUMMYFUNCTION("""COMPUTED_VALUE"""),"United Kingdom")</f>
        <v>United Kingdom</v>
      </c>
      <c r="E2819" s="188">
        <f>IFERROR(__xludf.DUMMYFUNCTION("""COMPUTED_VALUE"""),44265.0)</f>
        <v>44265</v>
      </c>
      <c r="F2819" s="188">
        <f>IFERROR(__xludf.DUMMYFUNCTION("""COMPUTED_VALUE"""),44279.0)</f>
        <v>44279</v>
      </c>
      <c r="G2819" t="str">
        <f>IFERROR(__xludf.DUMMYFUNCTION("""COMPUTED_VALUE"""),"Text message")</f>
        <v>Text message</v>
      </c>
      <c r="H2819">
        <f>IFERROR(__xludf.DUMMYFUNCTION("""COMPUTED_VALUE"""),175155.0)</f>
        <v>175155</v>
      </c>
      <c r="J2819" s="188">
        <f>IFERROR(__xludf.DUMMYFUNCTION("""COMPUTED_VALUE"""),44285.0)</f>
        <v>44285</v>
      </c>
      <c r="K2819">
        <f>IFERROR(__xludf.DUMMYFUNCTION("""COMPUTED_VALUE"""),14.0)</f>
        <v>14</v>
      </c>
      <c r="L2819">
        <f>IFERROR(__xludf.DUMMYFUNCTION("""COMPUTED_VALUE"""),6.0)</f>
        <v>6</v>
      </c>
      <c r="M2819">
        <f>IFERROR(__xludf.DUMMYFUNCTION("""COMPUTED_VALUE"""),20.0)</f>
        <v>20</v>
      </c>
      <c r="N2819" t="str">
        <f>IFERROR(__xludf.DUMMYFUNCTION("""COMPUTED_VALUE"""),"Model 3 LR AWD")</f>
        <v>Model 3 LR AWD</v>
      </c>
      <c r="O2819" t="str">
        <f>IFERROR(__xludf.DUMMYFUNCTION("""COMPUTED_VALUE"""),"Solid Black")</f>
        <v>Solid Black</v>
      </c>
      <c r="P2819" t="str">
        <f>IFERROR(__xludf.DUMMYFUNCTION("""COMPUTED_VALUE"""),"18 inch")</f>
        <v>18 inch</v>
      </c>
      <c r="Q2819" t="str">
        <f>IFERROR(__xludf.DUMMYFUNCTION("""COMPUTED_VALUE"""),"All Black")</f>
        <v>All Black</v>
      </c>
      <c r="R2819" t="str">
        <f>IFERROR(__xludf.DUMMYFUNCTION("""COMPUTED_VALUE"""),"Autopilot included")</f>
        <v>Autopilot included</v>
      </c>
      <c r="S2819" t="str">
        <f>IFERROR(__xludf.DUMMYFUNCTION("""COMPUTED_VALUE"""),"Lease")</f>
        <v>Lease</v>
      </c>
      <c r="T2819" t="str">
        <f>IFERROR(__xludf.DUMMYFUNCTION("""COMPUTED_VALUE"""),"Land Rover Discovery Sport")</f>
        <v>Land Rover Discovery Sport</v>
      </c>
      <c r="U2819" t="str">
        <f>IFERROR(__xludf.DUMMYFUNCTION("""COMPUTED_VALUE"""),"Electric!")</f>
        <v>Electric!</v>
      </c>
      <c r="V2819" t="str">
        <f>IFERROR(__xludf.DUMMYFUNCTION("""COMPUTED_VALUE"""),"Apple CarPlay / Android Auto / SiriusXM Radio")</f>
        <v>Apple CarPlay / Android Auto / SiriusXM Radio</v>
      </c>
      <c r="W2819" t="str">
        <f>IFERROR(__xludf.DUMMYFUNCTION("""COMPUTED_VALUE"""),"Learn the ins and outs before your first drive.")</f>
        <v>Learn the ins and outs before your first drive.</v>
      </c>
      <c r="X2819" t="str">
        <f>IFERROR(__xludf.DUMMYFUNCTION("""COMPUTED_VALUE"""),"Excellent")</f>
        <v>Excellent</v>
      </c>
      <c r="Y2819" t="str">
        <f>IFERROR(__xludf.DUMMYFUNCTION("""COMPUTED_VALUE"""),"Excellent")</f>
        <v>Excellent</v>
      </c>
      <c r="Z2819" t="str">
        <f>IFERROR(__xludf.DUMMYFUNCTION("""COMPUTED_VALUE"""),"Fair")</f>
        <v>Fair</v>
      </c>
      <c r="AA2819" t="str">
        <f>IFERROR(__xludf.DUMMYFUNCTION("""COMPUTED_VALUE"""),"Excellent")</f>
        <v>Excellent</v>
      </c>
      <c r="AB2819" t="str">
        <f>IFERROR(__xludf.DUMMYFUNCTION("""COMPUTED_VALUE"""),"Good")</f>
        <v>Good</v>
      </c>
      <c r="AC2819">
        <f>IFERROR(__xludf.DUMMYFUNCTION("""COMPUTED_VALUE"""),2.0)</f>
        <v>2</v>
      </c>
      <c r="AD2819">
        <f>IFERROR(__xludf.DUMMYFUNCTION("""COMPUTED_VALUE"""),1.0)</f>
        <v>1</v>
      </c>
      <c r="AE2819">
        <f>IFERROR(__xludf.DUMMYFUNCTION("""COMPUTED_VALUE"""),0.0)</f>
        <v>0</v>
      </c>
      <c r="AF2819" t="str">
        <f>IFERROR(__xludf.DUMMYFUNCTION("""COMPUTED_VALUE"""),"No. I took delivery of the first car Tesla was able to deliver.")</f>
        <v>No. I took delivery of the first car Tesla was able to deliver.</v>
      </c>
      <c r="AH2819" s="189">
        <f>IFERROR(__xludf.DUMMYFUNCTION("""COMPUTED_VALUE"""),44285.53297961806)</f>
        <v>44285.53298</v>
      </c>
    </row>
    <row r="2820">
      <c r="A2820" t="str">
        <f>IFERROR(__xludf.DUMMYFUNCTION("""COMPUTED_VALUE"""),"TalonMcShay")</f>
        <v>TalonMcShay</v>
      </c>
      <c r="C2820" t="str">
        <f>IFERROR(__xludf.DUMMYFUNCTION("""COMPUTED_VALUE"""),"VA")</f>
        <v>VA</v>
      </c>
      <c r="D2820" t="str">
        <f>IFERROR(__xludf.DUMMYFUNCTION("""COMPUTED_VALUE"""),"USA")</f>
        <v>USA</v>
      </c>
      <c r="E2820" s="188">
        <f>IFERROR(__xludf.DUMMYFUNCTION("""COMPUTED_VALUE"""),44285.0)</f>
        <v>44285</v>
      </c>
      <c r="G2820" t="str">
        <f>IFERROR(__xludf.DUMMYFUNCTION("""COMPUTED_VALUE"""),"Manage order page (normal text)")</f>
        <v>Manage order page (normal text)</v>
      </c>
      <c r="H2820">
        <f>IFERROR(__xludf.DUMMYFUNCTION("""COMPUTED_VALUE"""),975755.0)</f>
        <v>975755</v>
      </c>
      <c r="I2820" t="str">
        <f>IFERROR(__xludf.DUMMYFUNCTION("""COMPUTED_VALUE"""),"05/21")</f>
        <v>05/21</v>
      </c>
      <c r="J2820" s="188">
        <f>IFERROR(__xludf.DUMMYFUNCTION("""COMPUTED_VALUE"""),44349.0)</f>
        <v>44349</v>
      </c>
      <c r="M2820">
        <f>IFERROR(__xludf.DUMMYFUNCTION("""COMPUTED_VALUE"""),64.0)</f>
        <v>64</v>
      </c>
      <c r="N2820" t="str">
        <f>IFERROR(__xludf.DUMMYFUNCTION("""COMPUTED_VALUE"""),"Model 3 LR AWD")</f>
        <v>Model 3 LR AWD</v>
      </c>
      <c r="O2820" t="str">
        <f>IFERROR(__xludf.DUMMYFUNCTION("""COMPUTED_VALUE"""),"Red Multi-Coat")</f>
        <v>Red Multi-Coat</v>
      </c>
      <c r="P2820" t="str">
        <f>IFERROR(__xludf.DUMMYFUNCTION("""COMPUTED_VALUE"""),"18 inch")</f>
        <v>18 inch</v>
      </c>
      <c r="Q2820" t="str">
        <f>IFERROR(__xludf.DUMMYFUNCTION("""COMPUTED_VALUE"""),"Black and White")</f>
        <v>Black and White</v>
      </c>
      <c r="R2820" t="str">
        <f>IFERROR(__xludf.DUMMYFUNCTION("""COMPUTED_VALUE"""),"Autopilot included")</f>
        <v>Autopilot included</v>
      </c>
      <c r="S2820" t="str">
        <f>IFERROR(__xludf.DUMMYFUNCTION("""COMPUTED_VALUE"""),"Loan")</f>
        <v>Loan</v>
      </c>
      <c r="T2820" t="str">
        <f>IFERROR(__xludf.DUMMYFUNCTION("""COMPUTED_VALUE"""),"Mazda 3")</f>
        <v>Mazda 3</v>
      </c>
      <c r="U2820" t="str">
        <f>IFERROR(__xludf.DUMMYFUNCTION("""COMPUTED_VALUE"""),"Electric!")</f>
        <v>Electric!</v>
      </c>
      <c r="V2820" t="str">
        <f>IFERROR(__xludf.DUMMYFUNCTION("""COMPUTED_VALUE"""),"Apple CarPlay / Android Auto / SiriusXM Radio")</f>
        <v>Apple CarPlay / Android Auto / SiriusXM Radio</v>
      </c>
      <c r="W2820" t="str">
        <f>IFERROR(__xludf.DUMMYFUNCTION("""COMPUTED_VALUE"""),"Patience ")</f>
        <v>Patience </v>
      </c>
      <c r="X2820" t="str">
        <f>IFERROR(__xludf.DUMMYFUNCTION("""COMPUTED_VALUE"""),"Excellent")</f>
        <v>Excellent</v>
      </c>
      <c r="Y2820" t="str">
        <f>IFERROR(__xludf.DUMMYFUNCTION("""COMPUTED_VALUE"""),"Excellent")</f>
        <v>Excellent</v>
      </c>
      <c r="Z2820" t="str">
        <f>IFERROR(__xludf.DUMMYFUNCTION("""COMPUTED_VALUE"""),"Very Good")</f>
        <v>Very Good</v>
      </c>
      <c r="AA2820" t="str">
        <f>IFERROR(__xludf.DUMMYFUNCTION("""COMPUTED_VALUE"""),"Fair")</f>
        <v>Fair</v>
      </c>
      <c r="AB2820" t="str">
        <f>IFERROR(__xludf.DUMMYFUNCTION("""COMPUTED_VALUE"""),"Excellent")</f>
        <v>Excellent</v>
      </c>
      <c r="AF2820" t="str">
        <f>IFERROR(__xludf.DUMMYFUNCTION("""COMPUTED_VALUE"""),"No. I took delivery of the first car Tesla was able to deliver.")</f>
        <v>No. I took delivery of the first car Tesla was able to deliver.</v>
      </c>
      <c r="AH2820" s="189">
        <f>IFERROR(__xludf.DUMMYFUNCTION("""COMPUTED_VALUE"""),44349.70767259259)</f>
        <v>44349.70767</v>
      </c>
    </row>
    <row r="2821">
      <c r="A2821" t="str">
        <f>IFERROR(__xludf.DUMMYFUNCTION("""COMPUTED_VALUE"""),"darthsipid")</f>
        <v>darthsipid</v>
      </c>
      <c r="B2821" t="str">
        <f>IFERROR(__xludf.DUMMYFUNCTION("""COMPUTED_VALUE"""),"Kitchener")</f>
        <v>Kitchener</v>
      </c>
      <c r="C2821" t="str">
        <f>IFERROR(__xludf.DUMMYFUNCTION("""COMPUTED_VALUE"""),"ON")</f>
        <v>ON</v>
      </c>
      <c r="D2821" t="str">
        <f>IFERROR(__xludf.DUMMYFUNCTION("""COMPUTED_VALUE"""),"Canada")</f>
        <v>Canada</v>
      </c>
      <c r="E2821" s="188">
        <f>IFERROR(__xludf.DUMMYFUNCTION("""COMPUTED_VALUE"""),44273.0)</f>
        <v>44273</v>
      </c>
      <c r="F2821" s="188">
        <f>IFERROR(__xludf.DUMMYFUNCTION("""COMPUTED_VALUE"""),44344.0)</f>
        <v>44344</v>
      </c>
      <c r="G2821" t="str">
        <f>IFERROR(__xludf.DUMMYFUNCTION("""COMPUTED_VALUE"""),"Source code")</f>
        <v>Source code</v>
      </c>
      <c r="H2821">
        <f>IFERROR(__xludf.DUMMYFUNCTION("""COMPUTED_VALUE"""),974155.0)</f>
        <v>974155</v>
      </c>
      <c r="J2821" s="188">
        <f>IFERROR(__xludf.DUMMYFUNCTION("""COMPUTED_VALUE"""),44349.0)</f>
        <v>44349</v>
      </c>
      <c r="K2821">
        <f>IFERROR(__xludf.DUMMYFUNCTION("""COMPUTED_VALUE"""),71.0)</f>
        <v>71</v>
      </c>
      <c r="L2821">
        <f>IFERROR(__xludf.DUMMYFUNCTION("""COMPUTED_VALUE"""),5.0)</f>
        <v>5</v>
      </c>
      <c r="M2821">
        <f>IFERROR(__xludf.DUMMYFUNCTION("""COMPUTED_VALUE"""),76.0)</f>
        <v>76</v>
      </c>
      <c r="N2821" t="str">
        <f>IFERROR(__xludf.DUMMYFUNCTION("""COMPUTED_VALUE"""),"Model 3 LR AWD")</f>
        <v>Model 3 LR AWD</v>
      </c>
      <c r="O2821" t="str">
        <f>IFERROR(__xludf.DUMMYFUNCTION("""COMPUTED_VALUE"""),"Deep Blue Metallic")</f>
        <v>Deep Blue Metallic</v>
      </c>
      <c r="P2821" t="str">
        <f>IFERROR(__xludf.DUMMYFUNCTION("""COMPUTED_VALUE"""),"18 inch")</f>
        <v>18 inch</v>
      </c>
      <c r="Q2821" t="str">
        <f>IFERROR(__xludf.DUMMYFUNCTION("""COMPUTED_VALUE"""),"Black and White")</f>
        <v>Black and White</v>
      </c>
      <c r="R2821" t="str">
        <f>IFERROR(__xludf.DUMMYFUNCTION("""COMPUTED_VALUE"""),"Full Self-Driving")</f>
        <v>Full Self-Driving</v>
      </c>
      <c r="S2821" t="str">
        <f>IFERROR(__xludf.DUMMYFUNCTION("""COMPUTED_VALUE"""),"Loan")</f>
        <v>Loan</v>
      </c>
      <c r="T2821" t="str">
        <f>IFERROR(__xludf.DUMMYFUNCTION("""COMPUTED_VALUE"""),"Kia Forte")</f>
        <v>Kia Forte</v>
      </c>
      <c r="U2821" t="str">
        <f>IFERROR(__xludf.DUMMYFUNCTION("""COMPUTED_VALUE"""),"Electric!")</f>
        <v>Electric!</v>
      </c>
      <c r="V2821" t="str">
        <f>IFERROR(__xludf.DUMMYFUNCTION("""COMPUTED_VALUE"""),"Head-up display")</f>
        <v>Head-up display</v>
      </c>
      <c r="X2821" t="str">
        <f>IFERROR(__xludf.DUMMYFUNCTION("""COMPUTED_VALUE"""),"Very Good")</f>
        <v>Very Good</v>
      </c>
      <c r="Y2821" t="str">
        <f>IFERROR(__xludf.DUMMYFUNCTION("""COMPUTED_VALUE"""),"Excellent")</f>
        <v>Excellent</v>
      </c>
      <c r="Z2821" t="str">
        <f>IFERROR(__xludf.DUMMYFUNCTION("""COMPUTED_VALUE"""),"Excellent")</f>
        <v>Excellent</v>
      </c>
      <c r="AA2821" t="str">
        <f>IFERROR(__xludf.DUMMYFUNCTION("""COMPUTED_VALUE"""),"Good")</f>
        <v>Good</v>
      </c>
      <c r="AB2821" t="str">
        <f>IFERROR(__xludf.DUMMYFUNCTION("""COMPUTED_VALUE"""),"Very Good")</f>
        <v>Very Good</v>
      </c>
      <c r="AF2821" t="str">
        <f>IFERROR(__xludf.DUMMYFUNCTION("""COMPUTED_VALUE"""),"No. I took delivery of the first car Tesla was able to deliver.")</f>
        <v>No. I took delivery of the first car Tesla was able to deliver.</v>
      </c>
      <c r="AH2821" s="189">
        <f>IFERROR(__xludf.DUMMYFUNCTION("""COMPUTED_VALUE"""),44352.36480703704)</f>
        <v>44352.36481</v>
      </c>
    </row>
    <row r="2822">
      <c r="A2822" t="str">
        <f>IFERROR(__xludf.DUMMYFUNCTION("""COMPUTED_VALUE"""),"Jackstraw75 ")</f>
        <v>Jackstraw75 </v>
      </c>
      <c r="B2822" t="str">
        <f>IFERROR(__xludf.DUMMYFUNCTION("""COMPUTED_VALUE"""),"Princeton ")</f>
        <v>Princeton </v>
      </c>
      <c r="C2822" t="str">
        <f>IFERROR(__xludf.DUMMYFUNCTION("""COMPUTED_VALUE"""),"NJ")</f>
        <v>NJ</v>
      </c>
      <c r="D2822" t="str">
        <f>IFERROR(__xludf.DUMMYFUNCTION("""COMPUTED_VALUE"""),"USA")</f>
        <v>USA</v>
      </c>
      <c r="E2822" s="188">
        <f>IFERROR(__xludf.DUMMYFUNCTION("""COMPUTED_VALUE"""),44282.0)</f>
        <v>44282</v>
      </c>
      <c r="F2822" s="188">
        <f>IFERROR(__xludf.DUMMYFUNCTION("""COMPUTED_VALUE"""),44344.0)</f>
        <v>44344</v>
      </c>
      <c r="G2822" t="str">
        <f>IFERROR(__xludf.DUMMYFUNCTION("""COMPUTED_VALUE"""),"Email")</f>
        <v>Email</v>
      </c>
      <c r="J2822" s="188">
        <f>IFERROR(__xludf.DUMMYFUNCTION("""COMPUTED_VALUE"""),44348.0)</f>
        <v>44348</v>
      </c>
      <c r="K2822">
        <f>IFERROR(__xludf.DUMMYFUNCTION("""COMPUTED_VALUE"""),62.0)</f>
        <v>62</v>
      </c>
      <c r="L2822">
        <f>IFERROR(__xludf.DUMMYFUNCTION("""COMPUTED_VALUE"""),4.0)</f>
        <v>4</v>
      </c>
      <c r="M2822">
        <f>IFERROR(__xludf.DUMMYFUNCTION("""COMPUTED_VALUE"""),66.0)</f>
        <v>66</v>
      </c>
      <c r="N2822" t="str">
        <f>IFERROR(__xludf.DUMMYFUNCTION("""COMPUTED_VALUE"""),"Model 3 LR AWD")</f>
        <v>Model 3 LR AWD</v>
      </c>
      <c r="O2822" t="str">
        <f>IFERROR(__xludf.DUMMYFUNCTION("""COMPUTED_VALUE"""),"Solid Black")</f>
        <v>Solid Black</v>
      </c>
      <c r="P2822" t="str">
        <f>IFERROR(__xludf.DUMMYFUNCTION("""COMPUTED_VALUE"""),"18 inch")</f>
        <v>18 inch</v>
      </c>
      <c r="Q2822" t="str">
        <f>IFERROR(__xludf.DUMMYFUNCTION("""COMPUTED_VALUE"""),"Black and White")</f>
        <v>Black and White</v>
      </c>
      <c r="R2822" t="str">
        <f>IFERROR(__xludf.DUMMYFUNCTION("""COMPUTED_VALUE"""),"Full Self-Driving")</f>
        <v>Full Self-Driving</v>
      </c>
      <c r="S2822" t="str">
        <f>IFERROR(__xludf.DUMMYFUNCTION("""COMPUTED_VALUE"""),"Cash")</f>
        <v>Cash</v>
      </c>
      <c r="T2822" t="str">
        <f>IFERROR(__xludf.DUMMYFUNCTION("""COMPUTED_VALUE"""),"Mercedes ")</f>
        <v>Mercedes </v>
      </c>
      <c r="U2822" t="str">
        <f>IFERROR(__xludf.DUMMYFUNCTION("""COMPUTED_VALUE"""),"Electric!")</f>
        <v>Electric!</v>
      </c>
      <c r="X2822" t="str">
        <f>IFERROR(__xludf.DUMMYFUNCTION("""COMPUTED_VALUE"""),"Excellent")</f>
        <v>Excellent</v>
      </c>
      <c r="Y2822" t="str">
        <f>IFERROR(__xludf.DUMMYFUNCTION("""COMPUTED_VALUE"""),"Very Good")</f>
        <v>Very Good</v>
      </c>
      <c r="Z2822" t="str">
        <f>IFERROR(__xludf.DUMMYFUNCTION("""COMPUTED_VALUE"""),"Good")</f>
        <v>Good</v>
      </c>
      <c r="AA2822" t="str">
        <f>IFERROR(__xludf.DUMMYFUNCTION("""COMPUTED_VALUE"""),"Very Good")</f>
        <v>Very Good</v>
      </c>
      <c r="AB2822" t="str">
        <f>IFERROR(__xludf.DUMMYFUNCTION("""COMPUTED_VALUE"""),"Good")</f>
        <v>Good</v>
      </c>
      <c r="AC2822">
        <f>IFERROR(__xludf.DUMMYFUNCTION("""COMPUTED_VALUE"""),2.0)</f>
        <v>2</v>
      </c>
      <c r="AH2822" s="189">
        <f>IFERROR(__xludf.DUMMYFUNCTION("""COMPUTED_VALUE"""),44348.79285201389)</f>
        <v>44348.79285</v>
      </c>
    </row>
    <row r="2823">
      <c r="A2823" t="str">
        <f>IFERROR(__xludf.DUMMYFUNCTION("""COMPUTED_VALUE"""),"mjwh")</f>
        <v>mjwh</v>
      </c>
      <c r="B2823" t="str">
        <f>IFERROR(__xludf.DUMMYFUNCTION("""COMPUTED_VALUE"""),"Seattle (Spokane Delivery)")</f>
        <v>Seattle (Spokane Delivery)</v>
      </c>
      <c r="C2823" t="str">
        <f>IFERROR(__xludf.DUMMYFUNCTION("""COMPUTED_VALUE"""),"WA")</f>
        <v>WA</v>
      </c>
      <c r="D2823" t="str">
        <f>IFERROR(__xludf.DUMMYFUNCTION("""COMPUTED_VALUE"""),"USA")</f>
        <v>USA</v>
      </c>
      <c r="E2823" s="188">
        <f>IFERROR(__xludf.DUMMYFUNCTION("""COMPUTED_VALUE"""),44285.0)</f>
        <v>44285</v>
      </c>
      <c r="F2823" s="188">
        <f>IFERROR(__xludf.DUMMYFUNCTION("""COMPUTED_VALUE"""),44352.0)</f>
        <v>44352</v>
      </c>
      <c r="G2823" t="str">
        <f>IFERROR(__xludf.DUMMYFUNCTION("""COMPUTED_VALUE"""),"Manage order page (normal text)")</f>
        <v>Manage order page (normal text)</v>
      </c>
      <c r="H2823">
        <f>IFERROR(__xludf.DUMMYFUNCTION("""COMPUTED_VALUE"""),988475.0)</f>
        <v>988475</v>
      </c>
      <c r="I2823" t="str">
        <f>IFERROR(__xludf.DUMMYFUNCTION("""COMPUTED_VALUE"""),"06/21")</f>
        <v>06/21</v>
      </c>
      <c r="J2823" s="188">
        <f>IFERROR(__xludf.DUMMYFUNCTION("""COMPUTED_VALUE"""),44364.0)</f>
        <v>44364</v>
      </c>
      <c r="K2823">
        <f>IFERROR(__xludf.DUMMYFUNCTION("""COMPUTED_VALUE"""),67.0)</f>
        <v>67</v>
      </c>
      <c r="L2823">
        <f>IFERROR(__xludf.DUMMYFUNCTION("""COMPUTED_VALUE"""),12.0)</f>
        <v>12</v>
      </c>
      <c r="M2823">
        <f>IFERROR(__xludf.DUMMYFUNCTION("""COMPUTED_VALUE"""),79.0)</f>
        <v>79</v>
      </c>
      <c r="N2823" t="str">
        <f>IFERROR(__xludf.DUMMYFUNCTION("""COMPUTED_VALUE"""),"Model 3 Performance")</f>
        <v>Model 3 Performance</v>
      </c>
      <c r="O2823" t="str">
        <f>IFERROR(__xludf.DUMMYFUNCTION("""COMPUTED_VALUE"""),"Midnight Silver Metallic")</f>
        <v>Midnight Silver Metallic</v>
      </c>
      <c r="P2823" t="str">
        <f>IFERROR(__xludf.DUMMYFUNCTION("""COMPUTED_VALUE"""),"20 inch")</f>
        <v>20 inch</v>
      </c>
      <c r="Q2823" t="str">
        <f>IFERROR(__xludf.DUMMYFUNCTION("""COMPUTED_VALUE"""),"Black and White")</f>
        <v>Black and White</v>
      </c>
      <c r="R2823" t="str">
        <f>IFERROR(__xludf.DUMMYFUNCTION("""COMPUTED_VALUE"""),"Full Self-Driving")</f>
        <v>Full Self-Driving</v>
      </c>
      <c r="S2823" t="str">
        <f>IFERROR(__xludf.DUMMYFUNCTION("""COMPUTED_VALUE"""),"Loan")</f>
        <v>Loan</v>
      </c>
      <c r="T2823" t="str">
        <f>IFERROR(__xludf.DUMMYFUNCTION("""COMPUTED_VALUE"""),"Chevy Bolt")</f>
        <v>Chevy Bolt</v>
      </c>
      <c r="U2823" t="str">
        <f>IFERROR(__xludf.DUMMYFUNCTION("""COMPUTED_VALUE"""),"Performance")</f>
        <v>Performance</v>
      </c>
      <c r="V2823" t="str">
        <f>IFERROR(__xludf.DUMMYFUNCTION("""COMPUTED_VALUE"""),"Air suspension")</f>
        <v>Air suspension</v>
      </c>
      <c r="X2823" t="str">
        <f>IFERROR(__xludf.DUMMYFUNCTION("""COMPUTED_VALUE"""),"Excellent")</f>
        <v>Excellent</v>
      </c>
      <c r="Y2823" t="str">
        <f>IFERROR(__xludf.DUMMYFUNCTION("""COMPUTED_VALUE"""),"Excellent")</f>
        <v>Excellent</v>
      </c>
      <c r="Z2823" t="str">
        <f>IFERROR(__xludf.DUMMYFUNCTION("""COMPUTED_VALUE"""),"Excellent")</f>
        <v>Excellent</v>
      </c>
      <c r="AA2823" t="str">
        <f>IFERROR(__xludf.DUMMYFUNCTION("""COMPUTED_VALUE"""),"Poor")</f>
        <v>Poor</v>
      </c>
      <c r="AB2823" t="str">
        <f>IFERROR(__xludf.DUMMYFUNCTION("""COMPUTED_VALUE"""),"Excellent")</f>
        <v>Excellent</v>
      </c>
      <c r="AF2823" t="str">
        <f>IFERROR(__xludf.DUMMYFUNCTION("""COMPUTED_VALUE"""),"No. I took delivery of the first car Tesla was able to deliver.")</f>
        <v>No. I took delivery of the first car Tesla was able to deliver.</v>
      </c>
      <c r="AH2823" s="189">
        <f>IFERROR(__xludf.DUMMYFUNCTION("""COMPUTED_VALUE"""),44364.985026678245)</f>
        <v>44364.98503</v>
      </c>
    </row>
    <row r="2824">
      <c r="A2824" t="str">
        <f>IFERROR(__xludf.DUMMYFUNCTION("""COMPUTED_VALUE"""),"Al")</f>
        <v>Al</v>
      </c>
      <c r="B2824" t="str">
        <f>IFERROR(__xludf.DUMMYFUNCTION("""COMPUTED_VALUE"""),"Anchorage")</f>
        <v>Anchorage</v>
      </c>
      <c r="C2824" t="str">
        <f>IFERROR(__xludf.DUMMYFUNCTION("""COMPUTED_VALUE"""),"AK")</f>
        <v>AK</v>
      </c>
      <c r="D2824" t="str">
        <f>IFERROR(__xludf.DUMMYFUNCTION("""COMPUTED_VALUE"""),"USA")</f>
        <v>USA</v>
      </c>
      <c r="E2824" s="188">
        <f>IFERROR(__xludf.DUMMYFUNCTION("""COMPUTED_VALUE"""),44276.0)</f>
        <v>44276</v>
      </c>
      <c r="F2824" s="188">
        <f>IFERROR(__xludf.DUMMYFUNCTION("""COMPUTED_VALUE"""),44341.0)</f>
        <v>44341</v>
      </c>
      <c r="G2824" t="str">
        <f>IFERROR(__xludf.DUMMYFUNCTION("""COMPUTED_VALUE"""),"Email")</f>
        <v>Email</v>
      </c>
      <c r="H2824">
        <f>IFERROR(__xludf.DUMMYFUNCTION("""COMPUTED_VALUE"""),978955.0)</f>
        <v>978955</v>
      </c>
      <c r="J2824" s="188">
        <f>IFERROR(__xludf.DUMMYFUNCTION("""COMPUTED_VALUE"""),44363.0)</f>
        <v>44363</v>
      </c>
      <c r="K2824">
        <f>IFERROR(__xludf.DUMMYFUNCTION("""COMPUTED_VALUE"""),65.0)</f>
        <v>65</v>
      </c>
      <c r="L2824">
        <f>IFERROR(__xludf.DUMMYFUNCTION("""COMPUTED_VALUE"""),22.0)</f>
        <v>22</v>
      </c>
      <c r="M2824">
        <f>IFERROR(__xludf.DUMMYFUNCTION("""COMPUTED_VALUE"""),87.0)</f>
        <v>87</v>
      </c>
      <c r="N2824" t="str">
        <f>IFERROR(__xludf.DUMMYFUNCTION("""COMPUTED_VALUE"""),"Model 3 LR AWD")</f>
        <v>Model 3 LR AWD</v>
      </c>
      <c r="O2824" t="str">
        <f>IFERROR(__xludf.DUMMYFUNCTION("""COMPUTED_VALUE"""),"Deep Blue Metallic")</f>
        <v>Deep Blue Metallic</v>
      </c>
      <c r="P2824" t="str">
        <f>IFERROR(__xludf.DUMMYFUNCTION("""COMPUTED_VALUE"""),"18 inch")</f>
        <v>18 inch</v>
      </c>
      <c r="Q2824" t="str">
        <f>IFERROR(__xludf.DUMMYFUNCTION("""COMPUTED_VALUE"""),"All Black")</f>
        <v>All Black</v>
      </c>
      <c r="R2824" t="str">
        <f>IFERROR(__xludf.DUMMYFUNCTION("""COMPUTED_VALUE"""),"Autopilot included")</f>
        <v>Autopilot included</v>
      </c>
      <c r="S2824" t="str">
        <f>IFERROR(__xludf.DUMMYFUNCTION("""COMPUTED_VALUE"""),"Loan")</f>
        <v>Loan</v>
      </c>
      <c r="T2824" t="str">
        <f>IFERROR(__xludf.DUMMYFUNCTION("""COMPUTED_VALUE"""),"Chevy Bolt")</f>
        <v>Chevy Bolt</v>
      </c>
      <c r="U2824" t="str">
        <f>IFERROR(__xludf.DUMMYFUNCTION("""COMPUTED_VALUE"""),"Electric!")</f>
        <v>Electric!</v>
      </c>
      <c r="V2824" t="str">
        <f>IFERROR(__xludf.DUMMYFUNCTION("""COMPUTED_VALUE"""),"Apple CarPlay / Android Auto / SiriusXM Radio")</f>
        <v>Apple CarPlay / Android Auto / SiriusXM Radio</v>
      </c>
      <c r="W2824" t="str">
        <f>IFERROR(__xludf.DUMMYFUNCTION("""COMPUTED_VALUE"""),"Patience. And prepare for a lack of communication. Be prepared to be your own advocate once VIN is assigned")</f>
        <v>Patience. And prepare for a lack of communication. Be prepared to be your own advocate once VIN is assigned</v>
      </c>
      <c r="X2824" t="str">
        <f>IFERROR(__xludf.DUMMYFUNCTION("""COMPUTED_VALUE"""),"Very Good")</f>
        <v>Very Good</v>
      </c>
      <c r="Y2824" t="str">
        <f>IFERROR(__xludf.DUMMYFUNCTION("""COMPUTED_VALUE"""),"Very Good")</f>
        <v>Very Good</v>
      </c>
      <c r="Z2824" t="str">
        <f>IFERROR(__xludf.DUMMYFUNCTION("""COMPUTED_VALUE"""),"Excellent")</f>
        <v>Excellent</v>
      </c>
      <c r="AA2824" t="str">
        <f>IFERROR(__xludf.DUMMYFUNCTION("""COMPUTED_VALUE"""),"Poor")</f>
        <v>Poor</v>
      </c>
      <c r="AB2824" t="str">
        <f>IFERROR(__xludf.DUMMYFUNCTION("""COMPUTED_VALUE"""),"Excellent")</f>
        <v>Excellent</v>
      </c>
      <c r="AC2824">
        <f>IFERROR(__xludf.DUMMYFUNCTION("""COMPUTED_VALUE"""),1.0)</f>
        <v>1</v>
      </c>
      <c r="AF2824" t="str">
        <f>IFERROR(__xludf.DUMMYFUNCTION("""COMPUTED_VALUE"""),"No. I took delivery of the first car Tesla was able to deliver.")</f>
        <v>No. I took delivery of the first car Tesla was able to deliver.</v>
      </c>
      <c r="AH2824" s="189">
        <f>IFERROR(__xludf.DUMMYFUNCTION("""COMPUTED_VALUE"""),44363.9754596412)</f>
        <v>44363.97546</v>
      </c>
    </row>
    <row r="2825">
      <c r="A2825" t="str">
        <f>IFERROR(__xludf.DUMMYFUNCTION("""COMPUTED_VALUE"""),"Josie67")</f>
        <v>Josie67</v>
      </c>
      <c r="B2825" t="str">
        <f>IFERROR(__xludf.DUMMYFUNCTION("""COMPUTED_VALUE"""),"San Rafael")</f>
        <v>San Rafael</v>
      </c>
      <c r="C2825" t="str">
        <f>IFERROR(__xludf.DUMMYFUNCTION("""COMPUTED_VALUE"""),"CA")</f>
        <v>CA</v>
      </c>
      <c r="D2825" t="str">
        <f>IFERROR(__xludf.DUMMYFUNCTION("""COMPUTED_VALUE"""),"USA")</f>
        <v>USA</v>
      </c>
      <c r="E2825" s="188">
        <f>IFERROR(__xludf.DUMMYFUNCTION("""COMPUTED_VALUE"""),-620088.0)</f>
        <v>-620088</v>
      </c>
      <c r="F2825" s="188">
        <f>IFERROR(__xludf.DUMMYFUNCTION("""COMPUTED_VALUE"""),44303.0)</f>
        <v>44303</v>
      </c>
      <c r="G2825" t="str">
        <f>IFERROR(__xludf.DUMMYFUNCTION("""COMPUTED_VALUE"""),"Text message")</f>
        <v>Text message</v>
      </c>
      <c r="H2825">
        <f>IFERROR(__xludf.DUMMYFUNCTION("""COMPUTED_VALUE"""),947755.0)</f>
        <v>947755</v>
      </c>
      <c r="I2825" t="str">
        <f>IFERROR(__xludf.DUMMYFUNCTION("""COMPUTED_VALUE"""),"04/21")</f>
        <v>04/21</v>
      </c>
      <c r="J2825" s="188">
        <f>IFERROR(__xludf.DUMMYFUNCTION("""COMPUTED_VALUE"""),44306.0)</f>
        <v>44306</v>
      </c>
      <c r="L2825">
        <f>IFERROR(__xludf.DUMMYFUNCTION("""COMPUTED_VALUE"""),3.0)</f>
        <v>3</v>
      </c>
      <c r="N2825" t="str">
        <f>IFERROR(__xludf.DUMMYFUNCTION("""COMPUTED_VALUE"""),"Model 3 Performance")</f>
        <v>Model 3 Performance</v>
      </c>
      <c r="O2825" t="str">
        <f>IFERROR(__xludf.DUMMYFUNCTION("""COMPUTED_VALUE"""),"Red Multi-Coat")</f>
        <v>Red Multi-Coat</v>
      </c>
      <c r="P2825" t="str">
        <f>IFERROR(__xludf.DUMMYFUNCTION("""COMPUTED_VALUE"""),"20 inch")</f>
        <v>20 inch</v>
      </c>
      <c r="Q2825" t="str">
        <f>IFERROR(__xludf.DUMMYFUNCTION("""COMPUTED_VALUE"""),"All Black")</f>
        <v>All Black</v>
      </c>
      <c r="R2825" t="str">
        <f>IFERROR(__xludf.DUMMYFUNCTION("""COMPUTED_VALUE"""),"Autopilot included")</f>
        <v>Autopilot included</v>
      </c>
      <c r="S2825" t="str">
        <f>IFERROR(__xludf.DUMMYFUNCTION("""COMPUTED_VALUE"""),"Cash")</f>
        <v>Cash</v>
      </c>
      <c r="T2825" t="str">
        <f>IFERROR(__xludf.DUMMYFUNCTION("""COMPUTED_VALUE"""),"Ford  Mustang Cobra")</f>
        <v>Ford  Mustang Cobra</v>
      </c>
      <c r="U2825" t="str">
        <f>IFERROR(__xludf.DUMMYFUNCTION("""COMPUTED_VALUE"""),"Tesla brand image")</f>
        <v>Tesla brand image</v>
      </c>
      <c r="V2825" t="str">
        <f>IFERROR(__xludf.DUMMYFUNCTION("""COMPUTED_VALUE"""),"Dashboard")</f>
        <v>Dashboard</v>
      </c>
      <c r="X2825" t="str">
        <f>IFERROR(__xludf.DUMMYFUNCTION("""COMPUTED_VALUE"""),"Excellent")</f>
        <v>Excellent</v>
      </c>
      <c r="Y2825" t="str">
        <f>IFERROR(__xludf.DUMMYFUNCTION("""COMPUTED_VALUE"""),"Excellent")</f>
        <v>Excellent</v>
      </c>
      <c r="Z2825" t="str">
        <f>IFERROR(__xludf.DUMMYFUNCTION("""COMPUTED_VALUE"""),"Excellent")</f>
        <v>Excellent</v>
      </c>
      <c r="AA2825" t="str">
        <f>IFERROR(__xludf.DUMMYFUNCTION("""COMPUTED_VALUE"""),"Excellent")</f>
        <v>Excellent</v>
      </c>
      <c r="AB2825" t="str">
        <f>IFERROR(__xludf.DUMMYFUNCTION("""COMPUTED_VALUE"""),"Excellent")</f>
        <v>Excellent</v>
      </c>
      <c r="AF2825" t="str">
        <f>IFERROR(__xludf.DUMMYFUNCTION("""COMPUTED_VALUE"""),"No. I took delivery of the first car Tesla was able to deliver.")</f>
        <v>No. I took delivery of the first car Tesla was able to deliver.</v>
      </c>
      <c r="AH2825" s="189">
        <f>IFERROR(__xludf.DUMMYFUNCTION("""COMPUTED_VALUE"""),44306.999078622684)</f>
        <v>44306.99908</v>
      </c>
    </row>
    <row r="2826">
      <c r="A2826" t="str">
        <f>IFERROR(__xludf.DUMMYFUNCTION("""COMPUTED_VALUE"""),"vikingrob")</f>
        <v>vikingrob</v>
      </c>
      <c r="C2826" t="str">
        <f>IFERROR(__xludf.DUMMYFUNCTION("""COMPUTED_VALUE"""),"MN")</f>
        <v>MN</v>
      </c>
      <c r="D2826" t="str">
        <f>IFERROR(__xludf.DUMMYFUNCTION("""COMPUTED_VALUE"""),"USA")</f>
        <v>USA</v>
      </c>
      <c r="E2826" s="188">
        <f>IFERROR(__xludf.DUMMYFUNCTION("""COMPUTED_VALUE"""),44280.0)</f>
        <v>44280</v>
      </c>
      <c r="F2826" s="188">
        <f>IFERROR(__xludf.DUMMYFUNCTION("""COMPUTED_VALUE"""),44342.0)</f>
        <v>44342</v>
      </c>
      <c r="G2826" t="str">
        <f>IFERROR(__xludf.DUMMYFUNCTION("""COMPUTED_VALUE"""),"Manage order page (normal text)")</f>
        <v>Manage order page (normal text)</v>
      </c>
      <c r="J2826" s="188">
        <f>IFERROR(__xludf.DUMMYFUNCTION("""COMPUTED_VALUE"""),44344.0)</f>
        <v>44344</v>
      </c>
      <c r="K2826">
        <f>IFERROR(__xludf.DUMMYFUNCTION("""COMPUTED_VALUE"""),62.0)</f>
        <v>62</v>
      </c>
      <c r="L2826">
        <f>IFERROR(__xludf.DUMMYFUNCTION("""COMPUTED_VALUE"""),2.0)</f>
        <v>2</v>
      </c>
      <c r="M2826">
        <f>IFERROR(__xludf.DUMMYFUNCTION("""COMPUTED_VALUE"""),64.0)</f>
        <v>64</v>
      </c>
      <c r="N2826" t="str">
        <f>IFERROR(__xludf.DUMMYFUNCTION("""COMPUTED_VALUE"""),"Model 3 SR+")</f>
        <v>Model 3 SR+</v>
      </c>
      <c r="O2826" t="str">
        <f>IFERROR(__xludf.DUMMYFUNCTION("""COMPUTED_VALUE"""),"Pearl White Multi-Coat")</f>
        <v>Pearl White Multi-Coat</v>
      </c>
      <c r="P2826" t="str">
        <f>IFERROR(__xludf.DUMMYFUNCTION("""COMPUTED_VALUE"""),"18 inch")</f>
        <v>18 inch</v>
      </c>
      <c r="Q2826" t="str">
        <f>IFERROR(__xludf.DUMMYFUNCTION("""COMPUTED_VALUE"""),"Black and White")</f>
        <v>Black and White</v>
      </c>
      <c r="R2826" t="str">
        <f>IFERROR(__xludf.DUMMYFUNCTION("""COMPUTED_VALUE"""),"Autopilot included")</f>
        <v>Autopilot included</v>
      </c>
      <c r="S2826" t="str">
        <f>IFERROR(__xludf.DUMMYFUNCTION("""COMPUTED_VALUE"""),"Loan")</f>
        <v>Loan</v>
      </c>
      <c r="W2826" t="str">
        <f>IFERROR(__xludf.DUMMYFUNCTION("""COMPUTED_VALUE"""),"Be patient")</f>
        <v>Be patient</v>
      </c>
      <c r="X2826" t="str">
        <f>IFERROR(__xludf.DUMMYFUNCTION("""COMPUTED_VALUE"""),"Excellent")</f>
        <v>Excellent</v>
      </c>
      <c r="Y2826" t="str">
        <f>IFERROR(__xludf.DUMMYFUNCTION("""COMPUTED_VALUE"""),"Excellent")</f>
        <v>Excellent</v>
      </c>
      <c r="Z2826" t="str">
        <f>IFERROR(__xludf.DUMMYFUNCTION("""COMPUTED_VALUE"""),"Excellent")</f>
        <v>Excellent</v>
      </c>
      <c r="AB2826" t="str">
        <f>IFERROR(__xludf.DUMMYFUNCTION("""COMPUTED_VALUE"""),"Very Good")</f>
        <v>Very Good</v>
      </c>
      <c r="AC2826">
        <f>IFERROR(__xludf.DUMMYFUNCTION("""COMPUTED_VALUE"""),0.0)</f>
        <v>0</v>
      </c>
      <c r="AD2826">
        <f>IFERROR(__xludf.DUMMYFUNCTION("""COMPUTED_VALUE"""),0.0)</f>
        <v>0</v>
      </c>
      <c r="AE2826">
        <f>IFERROR(__xludf.DUMMYFUNCTION("""COMPUTED_VALUE"""),0.0)</f>
        <v>0</v>
      </c>
      <c r="AF2826" t="str">
        <f>IFERROR(__xludf.DUMMYFUNCTION("""COMPUTED_VALUE"""),"No. I took delivery of the first car Tesla was able to deliver.")</f>
        <v>No. I took delivery of the first car Tesla was able to deliver.</v>
      </c>
      <c r="AH2826" s="189">
        <f>IFERROR(__xludf.DUMMYFUNCTION("""COMPUTED_VALUE"""),44376.224142129635)</f>
        <v>44376.22414</v>
      </c>
    </row>
    <row r="2827">
      <c r="A2827" t="str">
        <f>IFERROR(__xludf.DUMMYFUNCTION("""COMPUTED_VALUE"""),"daveb")</f>
        <v>daveb</v>
      </c>
      <c r="B2827" t="str">
        <f>IFERROR(__xludf.DUMMYFUNCTION("""COMPUTED_VALUE"""),"Leeds")</f>
        <v>Leeds</v>
      </c>
      <c r="D2827" t="str">
        <f>IFERROR(__xludf.DUMMYFUNCTION("""COMPUTED_VALUE"""),"United Kingdom")</f>
        <v>United Kingdom</v>
      </c>
      <c r="E2827" s="188">
        <f>IFERROR(__xludf.DUMMYFUNCTION("""COMPUTED_VALUE"""),44295.0)</f>
        <v>44295</v>
      </c>
      <c r="F2827" s="188">
        <f>IFERROR(__xludf.DUMMYFUNCTION("""COMPUTED_VALUE"""),44334.0)</f>
        <v>44334</v>
      </c>
      <c r="G2827" t="str">
        <f>IFERROR(__xludf.DUMMYFUNCTION("""COMPUTED_VALUE"""),"Source code")</f>
        <v>Source code</v>
      </c>
      <c r="H2827">
        <f>IFERROR(__xludf.DUMMYFUNCTION("""COMPUTED_VALUE"""),234255.0)</f>
        <v>234255</v>
      </c>
      <c r="J2827" s="188">
        <f>IFERROR(__xludf.DUMMYFUNCTION("""COMPUTED_VALUE"""),44356.0)</f>
        <v>44356</v>
      </c>
      <c r="K2827">
        <f>IFERROR(__xludf.DUMMYFUNCTION("""COMPUTED_VALUE"""),39.0)</f>
        <v>39</v>
      </c>
      <c r="L2827">
        <f>IFERROR(__xludf.DUMMYFUNCTION("""COMPUTED_VALUE"""),22.0)</f>
        <v>22</v>
      </c>
      <c r="M2827">
        <f>IFERROR(__xludf.DUMMYFUNCTION("""COMPUTED_VALUE"""),61.0)</f>
        <v>61</v>
      </c>
      <c r="N2827" t="str">
        <f>IFERROR(__xludf.DUMMYFUNCTION("""COMPUTED_VALUE"""),"Model 3 SR+")</f>
        <v>Model 3 SR+</v>
      </c>
      <c r="O2827" t="str">
        <f>IFERROR(__xludf.DUMMYFUNCTION("""COMPUTED_VALUE"""),"Solid Black")</f>
        <v>Solid Black</v>
      </c>
      <c r="P2827" t="str">
        <f>IFERROR(__xludf.DUMMYFUNCTION("""COMPUTED_VALUE"""),"18 inch")</f>
        <v>18 inch</v>
      </c>
      <c r="Q2827" t="str">
        <f>IFERROR(__xludf.DUMMYFUNCTION("""COMPUTED_VALUE"""),"All Black")</f>
        <v>All Black</v>
      </c>
      <c r="R2827" t="str">
        <f>IFERROR(__xludf.DUMMYFUNCTION("""COMPUTED_VALUE"""),"Autopilot included")</f>
        <v>Autopilot included</v>
      </c>
      <c r="S2827" t="str">
        <f>IFERROR(__xludf.DUMMYFUNCTION("""COMPUTED_VALUE"""),"Cash")</f>
        <v>Cash</v>
      </c>
      <c r="T2827" t="str">
        <f>IFERROR(__xludf.DUMMYFUNCTION("""COMPUTED_VALUE"""),"Ford Focus")</f>
        <v>Ford Focus</v>
      </c>
      <c r="U2827" t="str">
        <f>IFERROR(__xludf.DUMMYFUNCTION("""COMPUTED_VALUE"""),"Electric!")</f>
        <v>Electric!</v>
      </c>
      <c r="V2827" t="str">
        <f>IFERROR(__xludf.DUMMYFUNCTION("""COMPUTED_VALUE"""),"Apple CarPlay / Android Auto / SiriusXM Radio")</f>
        <v>Apple CarPlay / Android Auto / SiriusXM Radio</v>
      </c>
      <c r="X2827" t="str">
        <f>IFERROR(__xludf.DUMMYFUNCTION("""COMPUTED_VALUE"""),"Excellent")</f>
        <v>Excellent</v>
      </c>
      <c r="Y2827" t="str">
        <f>IFERROR(__xludf.DUMMYFUNCTION("""COMPUTED_VALUE"""),"Excellent")</f>
        <v>Excellent</v>
      </c>
      <c r="Z2827" t="str">
        <f>IFERROR(__xludf.DUMMYFUNCTION("""COMPUTED_VALUE"""),"Excellent")</f>
        <v>Excellent</v>
      </c>
      <c r="AA2827" t="str">
        <f>IFERROR(__xludf.DUMMYFUNCTION("""COMPUTED_VALUE"""),"Good")</f>
        <v>Good</v>
      </c>
      <c r="AB2827" t="str">
        <f>IFERROR(__xludf.DUMMYFUNCTION("""COMPUTED_VALUE"""),"Excellent")</f>
        <v>Excellent</v>
      </c>
      <c r="AF2827" t="str">
        <f>IFERROR(__xludf.DUMMYFUNCTION("""COMPUTED_VALUE"""),"No. I took delivery of the first car Tesla was able to deliver.")</f>
        <v>No. I took delivery of the first car Tesla was able to deliver.</v>
      </c>
      <c r="AH2827" s="189">
        <f>IFERROR(__xludf.DUMMYFUNCTION("""COMPUTED_VALUE"""),44356.322518761575)</f>
        <v>44356.32252</v>
      </c>
    </row>
    <row r="2828">
      <c r="A2828" t="str">
        <f>IFERROR(__xludf.DUMMYFUNCTION("""COMPUTED_VALUE"""),"AGV")</f>
        <v>AGV</v>
      </c>
      <c r="B2828" t="str">
        <f>IFERROR(__xludf.DUMMYFUNCTION("""COMPUTED_VALUE"""),"Tampa")</f>
        <v>Tampa</v>
      </c>
      <c r="C2828" t="str">
        <f>IFERROR(__xludf.DUMMYFUNCTION("""COMPUTED_VALUE"""),"FL")</f>
        <v>FL</v>
      </c>
      <c r="D2828" t="str">
        <f>IFERROR(__xludf.DUMMYFUNCTION("""COMPUTED_VALUE"""),"USA")</f>
        <v>USA</v>
      </c>
      <c r="E2828" s="188">
        <f>IFERROR(__xludf.DUMMYFUNCTION("""COMPUTED_VALUE"""),44284.0)</f>
        <v>44284</v>
      </c>
      <c r="F2828" s="188">
        <f>IFERROR(__xludf.DUMMYFUNCTION("""COMPUTED_VALUE"""),44302.0)</f>
        <v>44302</v>
      </c>
      <c r="G2828" t="str">
        <f>IFERROR(__xludf.DUMMYFUNCTION("""COMPUTED_VALUE"""),"Manage order page (normal text)")</f>
        <v>Manage order page (normal text)</v>
      </c>
      <c r="H2828">
        <f>IFERROR(__xludf.DUMMYFUNCTION("""COMPUTED_VALUE"""),955570.0)</f>
        <v>955570</v>
      </c>
      <c r="I2828" t="str">
        <f>IFERROR(__xludf.DUMMYFUNCTION("""COMPUTED_VALUE"""),"04/21")</f>
        <v>04/21</v>
      </c>
      <c r="J2828" s="188">
        <f>IFERROR(__xludf.DUMMYFUNCTION("""COMPUTED_VALUE"""),44320.0)</f>
        <v>44320</v>
      </c>
      <c r="K2828">
        <f>IFERROR(__xludf.DUMMYFUNCTION("""COMPUTED_VALUE"""),18.0)</f>
        <v>18</v>
      </c>
      <c r="L2828">
        <f>IFERROR(__xludf.DUMMYFUNCTION("""COMPUTED_VALUE"""),18.0)</f>
        <v>18</v>
      </c>
      <c r="M2828">
        <f>IFERROR(__xludf.DUMMYFUNCTION("""COMPUTED_VALUE"""),36.0)</f>
        <v>36</v>
      </c>
      <c r="N2828" t="str">
        <f>IFERROR(__xludf.DUMMYFUNCTION("""COMPUTED_VALUE"""),"Model 3 SR+")</f>
        <v>Model 3 SR+</v>
      </c>
      <c r="O2828" t="str">
        <f>IFERROR(__xludf.DUMMYFUNCTION("""COMPUTED_VALUE"""),"Midnight Silver Metallic")</f>
        <v>Midnight Silver Metallic</v>
      </c>
      <c r="P2828" t="str">
        <f>IFERROR(__xludf.DUMMYFUNCTION("""COMPUTED_VALUE"""),"18 inch")</f>
        <v>18 inch</v>
      </c>
      <c r="Q2828" t="str">
        <f>IFERROR(__xludf.DUMMYFUNCTION("""COMPUTED_VALUE"""),"All Black")</f>
        <v>All Black</v>
      </c>
      <c r="R2828" t="str">
        <f>IFERROR(__xludf.DUMMYFUNCTION("""COMPUTED_VALUE"""),"Autopilot included")</f>
        <v>Autopilot included</v>
      </c>
      <c r="S2828" t="str">
        <f>IFERROR(__xludf.DUMMYFUNCTION("""COMPUTED_VALUE"""),"Loan")</f>
        <v>Loan</v>
      </c>
      <c r="U2828" t="str">
        <f>IFERROR(__xludf.DUMMYFUNCTION("""COMPUTED_VALUE"""),"Electric!")</f>
        <v>Electric!</v>
      </c>
      <c r="V2828" t="str">
        <f>IFERROR(__xludf.DUMMYFUNCTION("""COMPUTED_VALUE"""),"Head-up display")</f>
        <v>Head-up display</v>
      </c>
      <c r="X2828" t="str">
        <f>IFERROR(__xludf.DUMMYFUNCTION("""COMPUTED_VALUE"""),"Excellent")</f>
        <v>Excellent</v>
      </c>
      <c r="Y2828" t="str">
        <f>IFERROR(__xludf.DUMMYFUNCTION("""COMPUTED_VALUE"""),"Excellent")</f>
        <v>Excellent</v>
      </c>
      <c r="Z2828" t="str">
        <f>IFERROR(__xludf.DUMMYFUNCTION("""COMPUTED_VALUE"""),"Excellent")</f>
        <v>Excellent</v>
      </c>
      <c r="AA2828" t="str">
        <f>IFERROR(__xludf.DUMMYFUNCTION("""COMPUTED_VALUE"""),"Excellent")</f>
        <v>Excellent</v>
      </c>
      <c r="AB2828" t="str">
        <f>IFERROR(__xludf.DUMMYFUNCTION("""COMPUTED_VALUE"""),"Very Good")</f>
        <v>Very Good</v>
      </c>
      <c r="AC2828">
        <f>IFERROR(__xludf.DUMMYFUNCTION("""COMPUTED_VALUE"""),2.0)</f>
        <v>2</v>
      </c>
      <c r="AD2828">
        <f>IFERROR(__xludf.DUMMYFUNCTION("""COMPUTED_VALUE"""),1.0)</f>
        <v>1</v>
      </c>
      <c r="AE2828">
        <f>IFERROR(__xludf.DUMMYFUNCTION("""COMPUTED_VALUE"""),0.0)</f>
        <v>0</v>
      </c>
      <c r="AF2828" t="str">
        <f>IFERROR(__xludf.DUMMYFUNCTION("""COMPUTED_VALUE"""),"No. I took delivery of the first car Tesla was able to deliver.")</f>
        <v>No. I took delivery of the first car Tesla was able to deliver.</v>
      </c>
      <c r="AH2828" s="189">
        <f>IFERROR(__xludf.DUMMYFUNCTION("""COMPUTED_VALUE"""),44331.29982298611)</f>
        <v>44331.29982</v>
      </c>
    </row>
    <row r="2829">
      <c r="A2829" t="str">
        <f>IFERROR(__xludf.DUMMYFUNCTION("""COMPUTED_VALUE"""),"Byty")</f>
        <v>Byty</v>
      </c>
      <c r="B2829" t="str">
        <f>IFERROR(__xludf.DUMMYFUNCTION("""COMPUTED_VALUE"""),"Minneapolis")</f>
        <v>Minneapolis</v>
      </c>
      <c r="C2829" t="str">
        <f>IFERROR(__xludf.DUMMYFUNCTION("""COMPUTED_VALUE"""),"MN")</f>
        <v>MN</v>
      </c>
      <c r="D2829" t="str">
        <f>IFERROR(__xludf.DUMMYFUNCTION("""COMPUTED_VALUE"""),"USA")</f>
        <v>USA</v>
      </c>
      <c r="E2829" s="188">
        <f>IFERROR(__xludf.DUMMYFUNCTION("""COMPUTED_VALUE"""),44291.0)</f>
        <v>44291</v>
      </c>
      <c r="F2829" s="188">
        <f>IFERROR(__xludf.DUMMYFUNCTION("""COMPUTED_VALUE"""),44344.0)</f>
        <v>44344</v>
      </c>
      <c r="G2829" t="str">
        <f>IFERROR(__xludf.DUMMYFUNCTION("""COMPUTED_VALUE"""),"Manage order page (normal text)")</f>
        <v>Manage order page (normal text)</v>
      </c>
      <c r="H2829">
        <f>IFERROR(__xludf.DUMMYFUNCTION("""COMPUTED_VALUE"""),975755.0)</f>
        <v>975755</v>
      </c>
      <c r="J2829" s="188">
        <f>IFERROR(__xludf.DUMMYFUNCTION("""COMPUTED_VALUE"""),44349.0)</f>
        <v>44349</v>
      </c>
      <c r="K2829">
        <f>IFERROR(__xludf.DUMMYFUNCTION("""COMPUTED_VALUE"""),53.0)</f>
        <v>53</v>
      </c>
      <c r="L2829">
        <f>IFERROR(__xludf.DUMMYFUNCTION("""COMPUTED_VALUE"""),5.0)</f>
        <v>5</v>
      </c>
      <c r="M2829">
        <f>IFERROR(__xludf.DUMMYFUNCTION("""COMPUTED_VALUE"""),58.0)</f>
        <v>58</v>
      </c>
      <c r="N2829" t="str">
        <f>IFERROR(__xludf.DUMMYFUNCTION("""COMPUTED_VALUE"""),"Model 3 LR AWD")</f>
        <v>Model 3 LR AWD</v>
      </c>
      <c r="O2829" t="str">
        <f>IFERROR(__xludf.DUMMYFUNCTION("""COMPUTED_VALUE"""),"Deep Blue Metallic")</f>
        <v>Deep Blue Metallic</v>
      </c>
      <c r="P2829" t="str">
        <f>IFERROR(__xludf.DUMMYFUNCTION("""COMPUTED_VALUE"""),"18 inch")</f>
        <v>18 inch</v>
      </c>
      <c r="Q2829" t="str">
        <f>IFERROR(__xludf.DUMMYFUNCTION("""COMPUTED_VALUE"""),"Black and White")</f>
        <v>Black and White</v>
      </c>
      <c r="R2829" t="str">
        <f>IFERROR(__xludf.DUMMYFUNCTION("""COMPUTED_VALUE"""),"Autopilot included")</f>
        <v>Autopilot included</v>
      </c>
      <c r="S2829" t="str">
        <f>IFERROR(__xludf.DUMMYFUNCTION("""COMPUTED_VALUE"""),"Loan")</f>
        <v>Loan</v>
      </c>
      <c r="U2829" t="str">
        <f>IFERROR(__xludf.DUMMYFUNCTION("""COMPUTED_VALUE"""),"Autopilot")</f>
        <v>Autopilot</v>
      </c>
      <c r="V2829" t="str">
        <f>IFERROR(__xludf.DUMMYFUNCTION("""COMPUTED_VALUE"""),"360° Bird's eye view")</f>
        <v>360° Bird's eye view</v>
      </c>
      <c r="X2829" t="str">
        <f>IFERROR(__xludf.DUMMYFUNCTION("""COMPUTED_VALUE"""),"Very Good")</f>
        <v>Very Good</v>
      </c>
      <c r="Y2829" t="str">
        <f>IFERROR(__xludf.DUMMYFUNCTION("""COMPUTED_VALUE"""),"Very Good")</f>
        <v>Very Good</v>
      </c>
      <c r="Z2829" t="str">
        <f>IFERROR(__xludf.DUMMYFUNCTION("""COMPUTED_VALUE"""),"Excellent")</f>
        <v>Excellent</v>
      </c>
      <c r="AA2829" t="str">
        <f>IFERROR(__xludf.DUMMYFUNCTION("""COMPUTED_VALUE"""),"Very Good")</f>
        <v>Very Good</v>
      </c>
      <c r="AB2829" t="str">
        <f>IFERROR(__xludf.DUMMYFUNCTION("""COMPUTED_VALUE"""),"Very Good")</f>
        <v>Very Good</v>
      </c>
      <c r="AC2829">
        <f>IFERROR(__xludf.DUMMYFUNCTION("""COMPUTED_VALUE"""),2.0)</f>
        <v>2</v>
      </c>
      <c r="AD2829">
        <f>IFERROR(__xludf.DUMMYFUNCTION("""COMPUTED_VALUE"""),1.0)</f>
        <v>1</v>
      </c>
      <c r="AE2829">
        <f>IFERROR(__xludf.DUMMYFUNCTION("""COMPUTED_VALUE"""),0.0)</f>
        <v>0</v>
      </c>
      <c r="AF2829" t="str">
        <f>IFERROR(__xludf.DUMMYFUNCTION("""COMPUTED_VALUE"""),"No. I took delivery of the first car Tesla was able to deliver.")</f>
        <v>No. I took delivery of the first car Tesla was able to deliver.</v>
      </c>
      <c r="AH2829" s="189">
        <f>IFERROR(__xludf.DUMMYFUNCTION("""COMPUTED_VALUE"""),44354.295647499996)</f>
        <v>44354.29565</v>
      </c>
    </row>
    <row r="2830">
      <c r="A2830" t="str">
        <f>IFERROR(__xludf.DUMMYFUNCTION("""COMPUTED_VALUE"""),"NorthStar7")</f>
        <v>NorthStar7</v>
      </c>
      <c r="B2830" t="str">
        <f>IFERROR(__xludf.DUMMYFUNCTION("""COMPUTED_VALUE"""),"Minneapolis")</f>
        <v>Minneapolis</v>
      </c>
      <c r="C2830" t="str">
        <f>IFERROR(__xludf.DUMMYFUNCTION("""COMPUTED_VALUE"""),"MN")</f>
        <v>MN</v>
      </c>
      <c r="D2830" t="str">
        <f>IFERROR(__xludf.DUMMYFUNCTION("""COMPUTED_VALUE"""),"USA")</f>
        <v>USA</v>
      </c>
      <c r="E2830" s="188">
        <f>IFERROR(__xludf.DUMMYFUNCTION("""COMPUTED_VALUE"""),44281.0)</f>
        <v>44281</v>
      </c>
      <c r="F2830" s="188">
        <f>IFERROR(__xludf.DUMMYFUNCTION("""COMPUTED_VALUE"""),44288.0)</f>
        <v>44288</v>
      </c>
      <c r="G2830" t="str">
        <f>IFERROR(__xludf.DUMMYFUNCTION("""COMPUTED_VALUE"""),"Manage order page (normal text)")</f>
        <v>Manage order page (normal text)</v>
      </c>
      <c r="H2830">
        <f>IFERROR(__xludf.DUMMYFUNCTION("""COMPUTED_VALUE"""),943655.0)</f>
        <v>943655</v>
      </c>
      <c r="I2830" t="str">
        <f>IFERROR(__xludf.DUMMYFUNCTION("""COMPUTED_VALUE"""),"03/21")</f>
        <v>03/21</v>
      </c>
      <c r="J2830" s="188">
        <f>IFERROR(__xludf.DUMMYFUNCTION("""COMPUTED_VALUE"""),44303.0)</f>
        <v>44303</v>
      </c>
      <c r="K2830">
        <f>IFERROR(__xludf.DUMMYFUNCTION("""COMPUTED_VALUE"""),7.0)</f>
        <v>7</v>
      </c>
      <c r="L2830">
        <f>IFERROR(__xludf.DUMMYFUNCTION("""COMPUTED_VALUE"""),15.0)</f>
        <v>15</v>
      </c>
      <c r="M2830">
        <f>IFERROR(__xludf.DUMMYFUNCTION("""COMPUTED_VALUE"""),22.0)</f>
        <v>22</v>
      </c>
      <c r="N2830" t="str">
        <f>IFERROR(__xludf.DUMMYFUNCTION("""COMPUTED_VALUE"""),"Model 3 LR AWD")</f>
        <v>Model 3 LR AWD</v>
      </c>
      <c r="O2830" t="str">
        <f>IFERROR(__xludf.DUMMYFUNCTION("""COMPUTED_VALUE"""),"Pearl White Multi-Coat")</f>
        <v>Pearl White Multi-Coat</v>
      </c>
      <c r="P2830" t="str">
        <f>IFERROR(__xludf.DUMMYFUNCTION("""COMPUTED_VALUE"""),"18 inch")</f>
        <v>18 inch</v>
      </c>
      <c r="Q2830" t="str">
        <f>IFERROR(__xludf.DUMMYFUNCTION("""COMPUTED_VALUE"""),"All Black")</f>
        <v>All Black</v>
      </c>
      <c r="R2830" t="str">
        <f>IFERROR(__xludf.DUMMYFUNCTION("""COMPUTED_VALUE"""),"Autopilot included")</f>
        <v>Autopilot included</v>
      </c>
      <c r="S2830" t="str">
        <f>IFERROR(__xludf.DUMMYFUNCTION("""COMPUTED_VALUE"""),"Cash")</f>
        <v>Cash</v>
      </c>
      <c r="T2830" t="str">
        <f>IFERROR(__xludf.DUMMYFUNCTION("""COMPUTED_VALUE"""),"BMW 3 Series")</f>
        <v>BMW 3 Series</v>
      </c>
      <c r="U2830" t="str">
        <f>IFERROR(__xludf.DUMMYFUNCTION("""COMPUTED_VALUE"""),"Electric!")</f>
        <v>Electric!</v>
      </c>
      <c r="V2830" t="str">
        <f>IFERROR(__xludf.DUMMYFUNCTION("""COMPUTED_VALUE"""),"Head-up display")</f>
        <v>Head-up display</v>
      </c>
      <c r="X2830" t="str">
        <f>IFERROR(__xludf.DUMMYFUNCTION("""COMPUTED_VALUE"""),"Very Good")</f>
        <v>Very Good</v>
      </c>
      <c r="Y2830" t="str">
        <f>IFERROR(__xludf.DUMMYFUNCTION("""COMPUTED_VALUE"""),"Excellent")</f>
        <v>Excellent</v>
      </c>
      <c r="Z2830" t="str">
        <f>IFERROR(__xludf.DUMMYFUNCTION("""COMPUTED_VALUE"""),"Good")</f>
        <v>Good</v>
      </c>
      <c r="AA2830" t="str">
        <f>IFERROR(__xludf.DUMMYFUNCTION("""COMPUTED_VALUE"""),"Excellent")</f>
        <v>Excellent</v>
      </c>
      <c r="AB2830" t="str">
        <f>IFERROR(__xludf.DUMMYFUNCTION("""COMPUTED_VALUE"""),"Excellent")</f>
        <v>Excellent</v>
      </c>
      <c r="AC2830">
        <f>IFERROR(__xludf.DUMMYFUNCTION("""COMPUTED_VALUE"""),1.0)</f>
        <v>1</v>
      </c>
      <c r="AF2830" t="str">
        <f>IFERROR(__xludf.DUMMYFUNCTION("""COMPUTED_VALUE"""),"No. I took delivery of the first car Tesla was able to deliver.")</f>
        <v>No. I took delivery of the first car Tesla was able to deliver.</v>
      </c>
      <c r="AG2830" t="str">
        <f>IFERROR(__xludf.DUMMYFUNCTION("""COMPUTED_VALUE"""),"Other than some rail dust on the paint it was in great condition.")</f>
        <v>Other than some rail dust on the paint it was in great condition.</v>
      </c>
      <c r="AH2830" s="189">
        <f>IFERROR(__xludf.DUMMYFUNCTION("""COMPUTED_VALUE"""),44303.6920890162)</f>
        <v>44303.69209</v>
      </c>
    </row>
    <row r="2831">
      <c r="A2831" t="str">
        <f>IFERROR(__xludf.DUMMYFUNCTION("""COMPUTED_VALUE"""),"ElMadre")</f>
        <v>ElMadre</v>
      </c>
      <c r="C2831" t="str">
        <f>IFERROR(__xludf.DUMMYFUNCTION("""COMPUTED_VALUE"""),"MA")</f>
        <v>MA</v>
      </c>
      <c r="D2831" t="str">
        <f>IFERROR(__xludf.DUMMYFUNCTION("""COMPUTED_VALUE"""),"USA")</f>
        <v>USA</v>
      </c>
      <c r="E2831" s="188">
        <f>IFERROR(__xludf.DUMMYFUNCTION("""COMPUTED_VALUE"""),44290.0)</f>
        <v>44290</v>
      </c>
      <c r="F2831" s="188">
        <f>IFERROR(__xludf.DUMMYFUNCTION("""COMPUTED_VALUE"""),44306.0)</f>
        <v>44306</v>
      </c>
      <c r="G2831" t="str">
        <f>IFERROR(__xludf.DUMMYFUNCTION("""COMPUTED_VALUE"""),"Manage order page (normal text)")</f>
        <v>Manage order page (normal text)</v>
      </c>
      <c r="I2831" t="str">
        <f>IFERROR(__xludf.DUMMYFUNCTION("""COMPUTED_VALUE"""),"04/21")</f>
        <v>04/21</v>
      </c>
      <c r="J2831" s="188">
        <f>IFERROR(__xludf.DUMMYFUNCTION("""COMPUTED_VALUE"""),44324.0)</f>
        <v>44324</v>
      </c>
      <c r="K2831">
        <f>IFERROR(__xludf.DUMMYFUNCTION("""COMPUTED_VALUE"""),16.0)</f>
        <v>16</v>
      </c>
      <c r="L2831">
        <f>IFERROR(__xludf.DUMMYFUNCTION("""COMPUTED_VALUE"""),18.0)</f>
        <v>18</v>
      </c>
      <c r="M2831">
        <f>IFERROR(__xludf.DUMMYFUNCTION("""COMPUTED_VALUE"""),34.0)</f>
        <v>34</v>
      </c>
      <c r="N2831" t="str">
        <f>IFERROR(__xludf.DUMMYFUNCTION("""COMPUTED_VALUE"""),"Model 3 LR AWD")</f>
        <v>Model 3 LR AWD</v>
      </c>
      <c r="O2831" t="str">
        <f>IFERROR(__xludf.DUMMYFUNCTION("""COMPUTED_VALUE"""),"Pearl White Multi-Coat")</f>
        <v>Pearl White Multi-Coat</v>
      </c>
      <c r="P2831" t="str">
        <f>IFERROR(__xludf.DUMMYFUNCTION("""COMPUTED_VALUE"""),"18 inch")</f>
        <v>18 inch</v>
      </c>
      <c r="Q2831" t="str">
        <f>IFERROR(__xludf.DUMMYFUNCTION("""COMPUTED_VALUE"""),"All Black")</f>
        <v>All Black</v>
      </c>
      <c r="R2831" t="str">
        <f>IFERROR(__xludf.DUMMYFUNCTION("""COMPUTED_VALUE"""),"Autopilot included")</f>
        <v>Autopilot included</v>
      </c>
      <c r="S2831" t="str">
        <f>IFERROR(__xludf.DUMMYFUNCTION("""COMPUTED_VALUE"""),"Cash")</f>
        <v>Cash</v>
      </c>
      <c r="T2831" t="str">
        <f>IFERROR(__xludf.DUMMYFUNCTION("""COMPUTED_VALUE"""),"Ford Fusion Hybrid")</f>
        <v>Ford Fusion Hybrid</v>
      </c>
      <c r="U2831" t="str">
        <f>IFERROR(__xludf.DUMMYFUNCTION("""COMPUTED_VALUE"""),"Electric!")</f>
        <v>Electric!</v>
      </c>
      <c r="V2831" t="str">
        <f>IFERROR(__xludf.DUMMYFUNCTION("""COMPUTED_VALUE"""),"HomeLink")</f>
        <v>HomeLink</v>
      </c>
      <c r="X2831" t="str">
        <f>IFERROR(__xludf.DUMMYFUNCTION("""COMPUTED_VALUE"""),"Excellent")</f>
        <v>Excellent</v>
      </c>
      <c r="Y2831" t="str">
        <f>IFERROR(__xludf.DUMMYFUNCTION("""COMPUTED_VALUE"""),"Good")</f>
        <v>Good</v>
      </c>
      <c r="Z2831" t="str">
        <f>IFERROR(__xludf.DUMMYFUNCTION("""COMPUTED_VALUE"""),"Very Good")</f>
        <v>Very Good</v>
      </c>
      <c r="AA2831" t="str">
        <f>IFERROR(__xludf.DUMMYFUNCTION("""COMPUTED_VALUE"""),"Very Good")</f>
        <v>Very Good</v>
      </c>
      <c r="AB2831" t="str">
        <f>IFERROR(__xludf.DUMMYFUNCTION("""COMPUTED_VALUE"""),"Excellent")</f>
        <v>Excellent</v>
      </c>
      <c r="AC2831">
        <f>IFERROR(__xludf.DUMMYFUNCTION("""COMPUTED_VALUE"""),1.0)</f>
        <v>1</v>
      </c>
      <c r="AF2831" t="str">
        <f>IFERROR(__xludf.DUMMYFUNCTION("""COMPUTED_VALUE"""),"No. I took delivery of the first car Tesla was able to deliver.")</f>
        <v>No. I took delivery of the first car Tesla was able to deliver.</v>
      </c>
      <c r="AH2831" s="189">
        <f>IFERROR(__xludf.DUMMYFUNCTION("""COMPUTED_VALUE"""),44324.44927304398)</f>
        <v>44324.44927</v>
      </c>
    </row>
    <row r="2832">
      <c r="A2832" t="str">
        <f>IFERROR(__xludf.DUMMYFUNCTION("""COMPUTED_VALUE"""),"Corundum9")</f>
        <v>Corundum9</v>
      </c>
      <c r="B2832" t="str">
        <f>IFERROR(__xludf.DUMMYFUNCTION("""COMPUTED_VALUE"""),"Santa Rosa")</f>
        <v>Santa Rosa</v>
      </c>
      <c r="C2832" t="str">
        <f>IFERROR(__xludf.DUMMYFUNCTION("""COMPUTED_VALUE"""),"CA")</f>
        <v>CA</v>
      </c>
      <c r="D2832" t="str">
        <f>IFERROR(__xludf.DUMMYFUNCTION("""COMPUTED_VALUE"""),"USA")</f>
        <v>USA</v>
      </c>
      <c r="E2832" s="188">
        <f>IFERROR(__xludf.DUMMYFUNCTION("""COMPUTED_VALUE"""),44294.0)</f>
        <v>44294</v>
      </c>
      <c r="F2832" s="188">
        <f>IFERROR(__xludf.DUMMYFUNCTION("""COMPUTED_VALUE"""),44372.0)</f>
        <v>44372</v>
      </c>
      <c r="G2832" t="str">
        <f>IFERROR(__xludf.DUMMYFUNCTION("""COMPUTED_VALUE"""),"Manage order page (normal text)")</f>
        <v>Manage order page (normal text)</v>
      </c>
      <c r="H2832">
        <f>IFERROR(__xludf.DUMMYFUNCTION("""COMPUTED_VALUE"""),2308.0)</f>
        <v>2308</v>
      </c>
      <c r="I2832" t="str">
        <f>IFERROR(__xludf.DUMMYFUNCTION("""COMPUTED_VALUE"""),"06/21")</f>
        <v>06/21</v>
      </c>
      <c r="J2832" s="188">
        <f>IFERROR(__xludf.DUMMYFUNCTION("""COMPUTED_VALUE"""),44373.0)</f>
        <v>44373</v>
      </c>
      <c r="K2832">
        <f>IFERROR(__xludf.DUMMYFUNCTION("""COMPUTED_VALUE"""),78.0)</f>
        <v>78</v>
      </c>
      <c r="L2832">
        <f>IFERROR(__xludf.DUMMYFUNCTION("""COMPUTED_VALUE"""),1.0)</f>
        <v>1</v>
      </c>
      <c r="M2832">
        <f>IFERROR(__xludf.DUMMYFUNCTION("""COMPUTED_VALUE"""),79.0)</f>
        <v>79</v>
      </c>
      <c r="N2832" t="str">
        <f>IFERROR(__xludf.DUMMYFUNCTION("""COMPUTED_VALUE"""),"Model 3 LR AWD")</f>
        <v>Model 3 LR AWD</v>
      </c>
      <c r="O2832" t="str">
        <f>IFERROR(__xludf.DUMMYFUNCTION("""COMPUTED_VALUE"""),"Red Multi-Coat")</f>
        <v>Red Multi-Coat</v>
      </c>
      <c r="P2832" t="str">
        <f>IFERROR(__xludf.DUMMYFUNCTION("""COMPUTED_VALUE"""),"18 inch")</f>
        <v>18 inch</v>
      </c>
      <c r="Q2832" t="str">
        <f>IFERROR(__xludf.DUMMYFUNCTION("""COMPUTED_VALUE"""),"All Black")</f>
        <v>All Black</v>
      </c>
      <c r="R2832" t="str">
        <f>IFERROR(__xludf.DUMMYFUNCTION("""COMPUTED_VALUE"""),"Autopilot included")</f>
        <v>Autopilot included</v>
      </c>
      <c r="S2832" t="str">
        <f>IFERROR(__xludf.DUMMYFUNCTION("""COMPUTED_VALUE"""),"Loan")</f>
        <v>Loan</v>
      </c>
      <c r="T2832" t="str">
        <f>IFERROR(__xludf.DUMMYFUNCTION("""COMPUTED_VALUE"""),"Toyota Camry")</f>
        <v>Toyota Camry</v>
      </c>
      <c r="U2832" t="str">
        <f>IFERROR(__xludf.DUMMYFUNCTION("""COMPUTED_VALUE"""),"Electric!")</f>
        <v>Electric!</v>
      </c>
      <c r="V2832" t="str">
        <f>IFERROR(__xludf.DUMMYFUNCTION("""COMPUTED_VALUE"""),"Air suspension")</f>
        <v>Air suspension</v>
      </c>
      <c r="X2832" t="str">
        <f>IFERROR(__xludf.DUMMYFUNCTION("""COMPUTED_VALUE"""),"Excellent")</f>
        <v>Excellent</v>
      </c>
      <c r="Y2832" t="str">
        <f>IFERROR(__xludf.DUMMYFUNCTION("""COMPUTED_VALUE"""),"Excellent")</f>
        <v>Excellent</v>
      </c>
      <c r="Z2832" t="str">
        <f>IFERROR(__xludf.DUMMYFUNCTION("""COMPUTED_VALUE"""),"Very Good")</f>
        <v>Very Good</v>
      </c>
      <c r="AA2832" t="str">
        <f>IFERROR(__xludf.DUMMYFUNCTION("""COMPUTED_VALUE"""),"Excellent")</f>
        <v>Excellent</v>
      </c>
      <c r="AB2832" t="str">
        <f>IFERROR(__xludf.DUMMYFUNCTION("""COMPUTED_VALUE"""),"Excellent")</f>
        <v>Excellent</v>
      </c>
      <c r="AF2832" t="str">
        <f>IFERROR(__xludf.DUMMYFUNCTION("""COMPUTED_VALUE"""),"No. I took delivery of the first car Tesla was able to deliver.")</f>
        <v>No. I took delivery of the first car Tesla was able to deliver.</v>
      </c>
      <c r="AH2832" s="189">
        <f>IFERROR(__xludf.DUMMYFUNCTION("""COMPUTED_VALUE"""),44376.27178966435)</f>
        <v>44376.27179</v>
      </c>
    </row>
    <row r="2833">
      <c r="A2833" t="str">
        <f>IFERROR(__xludf.DUMMYFUNCTION("""COMPUTED_VALUE"""),"Stan930")</f>
        <v>Stan930</v>
      </c>
      <c r="B2833" t="str">
        <f>IFERROR(__xludf.DUMMYFUNCTION("""COMPUTED_VALUE"""),"Tallahassee")</f>
        <v>Tallahassee</v>
      </c>
      <c r="C2833" t="str">
        <f>IFERROR(__xludf.DUMMYFUNCTION("""COMPUTED_VALUE"""),"FL")</f>
        <v>FL</v>
      </c>
      <c r="D2833" t="str">
        <f>IFERROR(__xludf.DUMMYFUNCTION("""COMPUTED_VALUE"""),"USA")</f>
        <v>USA</v>
      </c>
      <c r="E2833" s="188">
        <f>IFERROR(__xludf.DUMMYFUNCTION("""COMPUTED_VALUE"""),44282.0)</f>
        <v>44282</v>
      </c>
      <c r="F2833" s="188">
        <f>IFERROR(__xludf.DUMMYFUNCTION("""COMPUTED_VALUE"""),44342.0)</f>
        <v>44342</v>
      </c>
      <c r="G2833" t="str">
        <f>IFERROR(__xludf.DUMMYFUNCTION("""COMPUTED_VALUE"""),"Phone call")</f>
        <v>Phone call</v>
      </c>
      <c r="H2833">
        <f>IFERROR(__xludf.DUMMYFUNCTION("""COMPUTED_VALUE"""),965445.0)</f>
        <v>965445</v>
      </c>
      <c r="I2833" t="str">
        <f>IFERROR(__xludf.DUMMYFUNCTION("""COMPUTED_VALUE"""),"05/21")</f>
        <v>05/21</v>
      </c>
      <c r="J2833" s="188">
        <f>IFERROR(__xludf.DUMMYFUNCTION("""COMPUTED_VALUE"""),44344.0)</f>
        <v>44344</v>
      </c>
      <c r="K2833">
        <f>IFERROR(__xludf.DUMMYFUNCTION("""COMPUTED_VALUE"""),60.0)</f>
        <v>60</v>
      </c>
      <c r="L2833">
        <f>IFERROR(__xludf.DUMMYFUNCTION("""COMPUTED_VALUE"""),2.0)</f>
        <v>2</v>
      </c>
      <c r="M2833">
        <f>IFERROR(__xludf.DUMMYFUNCTION("""COMPUTED_VALUE"""),62.0)</f>
        <v>62</v>
      </c>
      <c r="N2833" t="str">
        <f>IFERROR(__xludf.DUMMYFUNCTION("""COMPUTED_VALUE"""),"Model 3 LR AWD")</f>
        <v>Model 3 LR AWD</v>
      </c>
      <c r="O2833" t="str">
        <f>IFERROR(__xludf.DUMMYFUNCTION("""COMPUTED_VALUE"""),"Midnight Silver Metallic")</f>
        <v>Midnight Silver Metallic</v>
      </c>
      <c r="P2833" t="str">
        <f>IFERROR(__xludf.DUMMYFUNCTION("""COMPUTED_VALUE"""),"18 inch")</f>
        <v>18 inch</v>
      </c>
      <c r="Q2833" t="str">
        <f>IFERROR(__xludf.DUMMYFUNCTION("""COMPUTED_VALUE"""),"All Black")</f>
        <v>All Black</v>
      </c>
      <c r="R2833" t="str">
        <f>IFERROR(__xludf.DUMMYFUNCTION("""COMPUTED_VALUE"""),"Autopilot included")</f>
        <v>Autopilot included</v>
      </c>
      <c r="S2833" t="str">
        <f>IFERROR(__xludf.DUMMYFUNCTION("""COMPUTED_VALUE"""),"Loan")</f>
        <v>Loan</v>
      </c>
      <c r="T2833" t="str">
        <f>IFERROR(__xludf.DUMMYFUNCTION("""COMPUTED_VALUE"""),"Nissan Leaf")</f>
        <v>Nissan Leaf</v>
      </c>
      <c r="U2833" t="str">
        <f>IFERROR(__xludf.DUMMYFUNCTION("""COMPUTED_VALUE"""),"Charging Network")</f>
        <v>Charging Network</v>
      </c>
      <c r="V2833" t="str">
        <f>IFERROR(__xludf.DUMMYFUNCTION("""COMPUTED_VALUE"""),"Dimming mirrors off option.")</f>
        <v>Dimming mirrors off option.</v>
      </c>
      <c r="W2833" t="str">
        <f>IFERROR(__xludf.DUMMYFUNCTION("""COMPUTED_VALUE"""),"New 82KWH Battery Pack Verified.")</f>
        <v>New 82KWH Battery Pack Verified.</v>
      </c>
      <c r="X2833" t="str">
        <f>IFERROR(__xludf.DUMMYFUNCTION("""COMPUTED_VALUE"""),"Very Good")</f>
        <v>Very Good</v>
      </c>
      <c r="Y2833" t="str">
        <f>IFERROR(__xludf.DUMMYFUNCTION("""COMPUTED_VALUE"""),"Excellent")</f>
        <v>Excellent</v>
      </c>
      <c r="Z2833" t="str">
        <f>IFERROR(__xludf.DUMMYFUNCTION("""COMPUTED_VALUE"""),"Excellent")</f>
        <v>Excellent</v>
      </c>
      <c r="AA2833" t="str">
        <f>IFERROR(__xludf.DUMMYFUNCTION("""COMPUTED_VALUE"""),"Excellent")</f>
        <v>Excellent</v>
      </c>
      <c r="AB2833" t="str">
        <f>IFERROR(__xludf.DUMMYFUNCTION("""COMPUTED_VALUE"""),"Excellent")</f>
        <v>Excellent</v>
      </c>
      <c r="AC2833">
        <f>IFERROR(__xludf.DUMMYFUNCTION("""COMPUTED_VALUE"""),3.0)</f>
        <v>3</v>
      </c>
      <c r="AF2833" t="str">
        <f>IFERROR(__xludf.DUMMYFUNCTION("""COMPUTED_VALUE"""),"No. I took delivery of the first car Tesla was able to deliver.")</f>
        <v>No. I took delivery of the first car Tesla was able to deliver.</v>
      </c>
      <c r="AG2833" t="str">
        <f>IFERROR(__xludf.DUMMYFUNCTION("""COMPUTED_VALUE"""),"Trunk and frunk small alignment adjustment needed.")</f>
        <v>Trunk and frunk small alignment adjustment needed.</v>
      </c>
      <c r="AH2833" s="189">
        <f>IFERROR(__xludf.DUMMYFUNCTION("""COMPUTED_VALUE"""),44352.19673604167)</f>
        <v>44352.19674</v>
      </c>
    </row>
    <row r="2834">
      <c r="A2834" t="str">
        <f>IFERROR(__xludf.DUMMYFUNCTION("""COMPUTED_VALUE"""),"c0d3x")</f>
        <v>c0d3x</v>
      </c>
      <c r="B2834" t="str">
        <f>IFERROR(__xludf.DUMMYFUNCTION("""COMPUTED_VALUE"""),"Oslo")</f>
        <v>Oslo</v>
      </c>
      <c r="D2834" t="str">
        <f>IFERROR(__xludf.DUMMYFUNCTION("""COMPUTED_VALUE"""),"Norway")</f>
        <v>Norway</v>
      </c>
      <c r="E2834" s="188">
        <f>IFERROR(__xludf.DUMMYFUNCTION("""COMPUTED_VALUE"""),44233.0)</f>
        <v>44233</v>
      </c>
      <c r="F2834" s="188">
        <f>IFERROR(__xludf.DUMMYFUNCTION("""COMPUTED_VALUE"""),44254.0)</f>
        <v>44254</v>
      </c>
      <c r="G2834" t="str">
        <f>IFERROR(__xludf.DUMMYFUNCTION("""COMPUTED_VALUE"""),"Text message")</f>
        <v>Text message</v>
      </c>
      <c r="H2834">
        <f>IFERROR(__xludf.DUMMYFUNCTION("""COMPUTED_VALUE"""),896755.0)</f>
        <v>896755</v>
      </c>
      <c r="I2834" t="str">
        <f>IFERROR(__xludf.DUMMYFUNCTION("""COMPUTED_VALUE"""),"01/21")</f>
        <v>01/21</v>
      </c>
      <c r="J2834" s="188">
        <f>IFERROR(__xludf.DUMMYFUNCTION("""COMPUTED_VALUE"""),44272.0)</f>
        <v>44272</v>
      </c>
      <c r="K2834">
        <f>IFERROR(__xludf.DUMMYFUNCTION("""COMPUTED_VALUE"""),21.0)</f>
        <v>21</v>
      </c>
      <c r="L2834">
        <f>IFERROR(__xludf.DUMMYFUNCTION("""COMPUTED_VALUE"""),18.0)</f>
        <v>18</v>
      </c>
      <c r="M2834">
        <f>IFERROR(__xludf.DUMMYFUNCTION("""COMPUTED_VALUE"""),39.0)</f>
        <v>39</v>
      </c>
      <c r="N2834" t="str">
        <f>IFERROR(__xludf.DUMMYFUNCTION("""COMPUTED_VALUE"""),"Model 3 LR AWD")</f>
        <v>Model 3 LR AWD</v>
      </c>
      <c r="O2834" t="str">
        <f>IFERROR(__xludf.DUMMYFUNCTION("""COMPUTED_VALUE"""),"Midnight Silver Metallic")</f>
        <v>Midnight Silver Metallic</v>
      </c>
      <c r="P2834" t="str">
        <f>IFERROR(__xludf.DUMMYFUNCTION("""COMPUTED_VALUE"""),"18 inch")</f>
        <v>18 inch</v>
      </c>
      <c r="Q2834" t="str">
        <f>IFERROR(__xludf.DUMMYFUNCTION("""COMPUTED_VALUE"""),"All Black")</f>
        <v>All Black</v>
      </c>
      <c r="R2834" t="str">
        <f>IFERROR(__xludf.DUMMYFUNCTION("""COMPUTED_VALUE"""),"Autopilot included")</f>
        <v>Autopilot included</v>
      </c>
      <c r="S2834" t="str">
        <f>IFERROR(__xludf.DUMMYFUNCTION("""COMPUTED_VALUE"""),"Loan")</f>
        <v>Loan</v>
      </c>
      <c r="T2834" t="str">
        <f>IFERROR(__xludf.DUMMYFUNCTION("""COMPUTED_VALUE"""),"Mazda 6")</f>
        <v>Mazda 6</v>
      </c>
      <c r="U2834" t="str">
        <f>IFERROR(__xludf.DUMMYFUNCTION("""COMPUTED_VALUE"""),"Accelleration")</f>
        <v>Accelleration</v>
      </c>
      <c r="V2834" t="str">
        <f>IFERROR(__xludf.DUMMYFUNCTION("""COMPUTED_VALUE"""),"Head-up display")</f>
        <v>Head-up display</v>
      </c>
      <c r="W2834" t="str">
        <f>IFERROR(__xludf.DUMMYFUNCTION("""COMPUTED_VALUE"""),"Inspect the paint &amp; rims!")</f>
        <v>Inspect the paint &amp; rims!</v>
      </c>
      <c r="X2834" t="str">
        <f>IFERROR(__xludf.DUMMYFUNCTION("""COMPUTED_VALUE"""),"Very Good")</f>
        <v>Very Good</v>
      </c>
      <c r="Y2834" t="str">
        <f>IFERROR(__xludf.DUMMYFUNCTION("""COMPUTED_VALUE"""),"Good")</f>
        <v>Good</v>
      </c>
      <c r="Z2834" t="str">
        <f>IFERROR(__xludf.DUMMYFUNCTION("""COMPUTED_VALUE"""),"Poor")</f>
        <v>Poor</v>
      </c>
      <c r="AA2834" t="str">
        <f>IFERROR(__xludf.DUMMYFUNCTION("""COMPUTED_VALUE"""),"Good")</f>
        <v>Good</v>
      </c>
      <c r="AB2834" t="str">
        <f>IFERROR(__xludf.DUMMYFUNCTION("""COMPUTED_VALUE"""),"Fair")</f>
        <v>Fair</v>
      </c>
      <c r="AD2834">
        <f>IFERROR(__xludf.DUMMYFUNCTION("""COMPUTED_VALUE"""),0.0)</f>
        <v>0</v>
      </c>
      <c r="AE2834">
        <f>IFERROR(__xludf.DUMMYFUNCTION("""COMPUTED_VALUE"""),0.0)</f>
        <v>0</v>
      </c>
      <c r="AF2834" t="str">
        <f>IFERROR(__xludf.DUMMYFUNCTION("""COMPUTED_VALUE"""),"No. I took delivery of the first car Tesla was able to deliver.")</f>
        <v>No. I took delivery of the first car Tesla was able to deliver.</v>
      </c>
      <c r="AG2834" t="str">
        <f>IFERROR(__xludf.DUMMYFUNCTION("""COMPUTED_VALUE"""),"Got v1 aero wheels for winter tires and v2 for summer tires.")</f>
        <v>Got v1 aero wheels for winter tires and v2 for summer tires.</v>
      </c>
      <c r="AH2834" s="189">
        <f>IFERROR(__xludf.DUMMYFUNCTION("""COMPUTED_VALUE"""),44295.520083020834)</f>
        <v>44295.52008</v>
      </c>
    </row>
    <row r="2835">
      <c r="A2835" t="str">
        <f>IFERROR(__xludf.DUMMYFUNCTION("""COMPUTED_VALUE"""),"savicbo")</f>
        <v>savicbo</v>
      </c>
      <c r="B2835" t="str">
        <f>IFERROR(__xludf.DUMMYFUNCTION("""COMPUTED_VALUE"""),"Cambridge")</f>
        <v>Cambridge</v>
      </c>
      <c r="C2835" t="str">
        <f>IFERROR(__xludf.DUMMYFUNCTION("""COMPUTED_VALUE"""),"ON")</f>
        <v>ON</v>
      </c>
      <c r="D2835" t="str">
        <f>IFERROR(__xludf.DUMMYFUNCTION("""COMPUTED_VALUE"""),"Canada")</f>
        <v>Canada</v>
      </c>
      <c r="E2835" s="188">
        <f>IFERROR(__xludf.DUMMYFUNCTION("""COMPUTED_VALUE"""),44293.0)</f>
        <v>44293</v>
      </c>
      <c r="F2835" s="188">
        <f>IFERROR(__xludf.DUMMYFUNCTION("""COMPUTED_VALUE"""),44344.0)</f>
        <v>44344</v>
      </c>
      <c r="G2835" t="str">
        <f>IFERROR(__xludf.DUMMYFUNCTION("""COMPUTED_VALUE"""),"Source code")</f>
        <v>Source code</v>
      </c>
      <c r="H2835">
        <f>IFERROR(__xludf.DUMMYFUNCTION("""COMPUTED_VALUE"""),978765.0)</f>
        <v>978765</v>
      </c>
      <c r="J2835" s="188">
        <f>IFERROR(__xludf.DUMMYFUNCTION("""COMPUTED_VALUE"""),44352.0)</f>
        <v>44352</v>
      </c>
      <c r="K2835">
        <f>IFERROR(__xludf.DUMMYFUNCTION("""COMPUTED_VALUE"""),51.0)</f>
        <v>51</v>
      </c>
      <c r="L2835">
        <f>IFERROR(__xludf.DUMMYFUNCTION("""COMPUTED_VALUE"""),8.0)</f>
        <v>8</v>
      </c>
      <c r="M2835">
        <f>IFERROR(__xludf.DUMMYFUNCTION("""COMPUTED_VALUE"""),59.0)</f>
        <v>59</v>
      </c>
      <c r="N2835" t="str">
        <f>IFERROR(__xludf.DUMMYFUNCTION("""COMPUTED_VALUE"""),"Model 3 LR AWD")</f>
        <v>Model 3 LR AWD</v>
      </c>
      <c r="O2835" t="str">
        <f>IFERROR(__xludf.DUMMYFUNCTION("""COMPUTED_VALUE"""),"Pearl White Multi-Coat")</f>
        <v>Pearl White Multi-Coat</v>
      </c>
      <c r="P2835" t="str">
        <f>IFERROR(__xludf.DUMMYFUNCTION("""COMPUTED_VALUE"""),"18 inch")</f>
        <v>18 inch</v>
      </c>
      <c r="Q2835" t="str">
        <f>IFERROR(__xludf.DUMMYFUNCTION("""COMPUTED_VALUE"""),"All Black")</f>
        <v>All Black</v>
      </c>
      <c r="R2835" t="str">
        <f>IFERROR(__xludf.DUMMYFUNCTION("""COMPUTED_VALUE"""),"Autopilot included")</f>
        <v>Autopilot included</v>
      </c>
      <c r="S2835" t="str">
        <f>IFERROR(__xludf.DUMMYFUNCTION("""COMPUTED_VALUE"""),"Loan")</f>
        <v>Loan</v>
      </c>
      <c r="T2835" t="str">
        <f>IFERROR(__xludf.DUMMYFUNCTION("""COMPUTED_VALUE"""),"Subaru Legacy")</f>
        <v>Subaru Legacy</v>
      </c>
      <c r="U2835" t="str">
        <f>IFERROR(__xludf.DUMMYFUNCTION("""COMPUTED_VALUE"""),"Electric!")</f>
        <v>Electric!</v>
      </c>
      <c r="V2835" t="str">
        <f>IFERROR(__xludf.DUMMYFUNCTION("""COMPUTED_VALUE"""),"360° Bird's eye view")</f>
        <v>360° Bird's eye view</v>
      </c>
      <c r="X2835" t="str">
        <f>IFERROR(__xludf.DUMMYFUNCTION("""COMPUTED_VALUE"""),"Very Good")</f>
        <v>Very Good</v>
      </c>
      <c r="Y2835" t="str">
        <f>IFERROR(__xludf.DUMMYFUNCTION("""COMPUTED_VALUE"""),"Excellent")</f>
        <v>Excellent</v>
      </c>
      <c r="Z2835" t="str">
        <f>IFERROR(__xludf.DUMMYFUNCTION("""COMPUTED_VALUE"""),"Excellent")</f>
        <v>Excellent</v>
      </c>
      <c r="AA2835" t="str">
        <f>IFERROR(__xludf.DUMMYFUNCTION("""COMPUTED_VALUE"""),"Very Good")</f>
        <v>Very Good</v>
      </c>
      <c r="AB2835" t="str">
        <f>IFERROR(__xludf.DUMMYFUNCTION("""COMPUTED_VALUE"""),"Very Good")</f>
        <v>Very Good</v>
      </c>
      <c r="AC2835">
        <f>IFERROR(__xludf.DUMMYFUNCTION("""COMPUTED_VALUE"""),1.0)</f>
        <v>1</v>
      </c>
      <c r="AD2835">
        <f>IFERROR(__xludf.DUMMYFUNCTION("""COMPUTED_VALUE"""),1.0)</f>
        <v>1</v>
      </c>
      <c r="AE2835">
        <f>IFERROR(__xludf.DUMMYFUNCTION("""COMPUTED_VALUE"""),0.0)</f>
        <v>0</v>
      </c>
      <c r="AF2835" t="str">
        <f>IFERROR(__xludf.DUMMYFUNCTION("""COMPUTED_VALUE"""),"No. I took delivery of the first car Tesla was able to deliver.")</f>
        <v>No. I took delivery of the first car Tesla was able to deliver.</v>
      </c>
      <c r="AH2835" s="189">
        <f>IFERROR(__xludf.DUMMYFUNCTION("""COMPUTED_VALUE"""),44357.600051828704)</f>
        <v>44357.60005</v>
      </c>
    </row>
    <row r="2836">
      <c r="A2836" t="str">
        <f>IFERROR(__xludf.DUMMYFUNCTION("""COMPUTED_VALUE"""),"dcarozza6")</f>
        <v>dcarozza6</v>
      </c>
      <c r="C2836" t="str">
        <f>IFERROR(__xludf.DUMMYFUNCTION("""COMPUTED_VALUE"""),"NH")</f>
        <v>NH</v>
      </c>
      <c r="D2836" t="str">
        <f>IFERROR(__xludf.DUMMYFUNCTION("""COMPUTED_VALUE"""),"USA")</f>
        <v>USA</v>
      </c>
      <c r="E2836" s="188">
        <f>IFERROR(__xludf.DUMMYFUNCTION("""COMPUTED_VALUE"""),44294.0)</f>
        <v>44294</v>
      </c>
      <c r="F2836" s="188">
        <f>IFERROR(__xludf.DUMMYFUNCTION("""COMPUTED_VALUE"""),44344.0)</f>
        <v>44344</v>
      </c>
      <c r="G2836" t="str">
        <f>IFERROR(__xludf.DUMMYFUNCTION("""COMPUTED_VALUE"""),"Manage order page (normal text)")</f>
        <v>Manage order page (normal text)</v>
      </c>
      <c r="J2836" s="188">
        <f>IFERROR(__xludf.DUMMYFUNCTION("""COMPUTED_VALUE"""),44345.0)</f>
        <v>44345</v>
      </c>
      <c r="K2836">
        <f>IFERROR(__xludf.DUMMYFUNCTION("""COMPUTED_VALUE"""),50.0)</f>
        <v>50</v>
      </c>
      <c r="L2836">
        <f>IFERROR(__xludf.DUMMYFUNCTION("""COMPUTED_VALUE"""),1.0)</f>
        <v>1</v>
      </c>
      <c r="M2836">
        <f>IFERROR(__xludf.DUMMYFUNCTION("""COMPUTED_VALUE"""),51.0)</f>
        <v>51</v>
      </c>
      <c r="N2836" t="str">
        <f>IFERROR(__xludf.DUMMYFUNCTION("""COMPUTED_VALUE"""),"Model 3 LR AWD")</f>
        <v>Model 3 LR AWD</v>
      </c>
      <c r="O2836" t="str">
        <f>IFERROR(__xludf.DUMMYFUNCTION("""COMPUTED_VALUE"""),"Deep Blue Metallic")</f>
        <v>Deep Blue Metallic</v>
      </c>
      <c r="P2836" t="str">
        <f>IFERROR(__xludf.DUMMYFUNCTION("""COMPUTED_VALUE"""),"18 inch")</f>
        <v>18 inch</v>
      </c>
      <c r="Q2836" t="str">
        <f>IFERROR(__xludf.DUMMYFUNCTION("""COMPUTED_VALUE"""),"All Black")</f>
        <v>All Black</v>
      </c>
      <c r="R2836" t="str">
        <f>IFERROR(__xludf.DUMMYFUNCTION("""COMPUTED_VALUE"""),"Autopilot included")</f>
        <v>Autopilot included</v>
      </c>
      <c r="S2836" t="str">
        <f>IFERROR(__xludf.DUMMYFUNCTION("""COMPUTED_VALUE"""),"Loan")</f>
        <v>Loan</v>
      </c>
      <c r="T2836" t="str">
        <f>IFERROR(__xludf.DUMMYFUNCTION("""COMPUTED_VALUE"""),"BMW 3 Series")</f>
        <v>BMW 3 Series</v>
      </c>
      <c r="U2836" t="str">
        <f>IFERROR(__xludf.DUMMYFUNCTION("""COMPUTED_VALUE"""),"Autopilot")</f>
        <v>Autopilot</v>
      </c>
      <c r="X2836" t="str">
        <f>IFERROR(__xludf.DUMMYFUNCTION("""COMPUTED_VALUE"""),"Excellent")</f>
        <v>Excellent</v>
      </c>
      <c r="Y2836" t="str">
        <f>IFERROR(__xludf.DUMMYFUNCTION("""COMPUTED_VALUE"""),"Excellent")</f>
        <v>Excellent</v>
      </c>
      <c r="Z2836" t="str">
        <f>IFERROR(__xludf.DUMMYFUNCTION("""COMPUTED_VALUE"""),"Excellent")</f>
        <v>Excellent</v>
      </c>
      <c r="AA2836" t="str">
        <f>IFERROR(__xludf.DUMMYFUNCTION("""COMPUTED_VALUE"""),"Very Good")</f>
        <v>Very Good</v>
      </c>
      <c r="AB2836" t="str">
        <f>IFERROR(__xludf.DUMMYFUNCTION("""COMPUTED_VALUE"""),"Excellent")</f>
        <v>Excellent</v>
      </c>
      <c r="AH2836" s="189">
        <f>IFERROR(__xludf.DUMMYFUNCTION("""COMPUTED_VALUE"""),44347.44598834491)</f>
        <v>44347.44599</v>
      </c>
    </row>
    <row r="2837">
      <c r="A2837" t="str">
        <f>IFERROR(__xludf.DUMMYFUNCTION("""COMPUTED_VALUE"""),"SC")</f>
        <v>SC</v>
      </c>
      <c r="B2837" t="str">
        <f>IFERROR(__xludf.DUMMYFUNCTION("""COMPUTED_VALUE"""),"Atlanta")</f>
        <v>Atlanta</v>
      </c>
      <c r="C2837" t="str">
        <f>IFERROR(__xludf.DUMMYFUNCTION("""COMPUTED_VALUE"""),"GA")</f>
        <v>GA</v>
      </c>
      <c r="D2837" t="str">
        <f>IFERROR(__xludf.DUMMYFUNCTION("""COMPUTED_VALUE"""),"USA")</f>
        <v>USA</v>
      </c>
      <c r="E2837" s="188">
        <f>IFERROR(__xludf.DUMMYFUNCTION("""COMPUTED_VALUE"""),44296.0)</f>
        <v>44296</v>
      </c>
      <c r="F2837" s="188">
        <f>IFERROR(__xludf.DUMMYFUNCTION("""COMPUTED_VALUE"""),44351.0)</f>
        <v>44351</v>
      </c>
      <c r="G2837" t="str">
        <f>IFERROR(__xludf.DUMMYFUNCTION("""COMPUTED_VALUE"""),"Manage order page (normal text)")</f>
        <v>Manage order page (normal text)</v>
      </c>
      <c r="H2837">
        <f>IFERROR(__xludf.DUMMYFUNCTION("""COMPUTED_VALUE"""),986155.0)</f>
        <v>986155</v>
      </c>
      <c r="J2837" s="188">
        <f>IFERROR(__xludf.DUMMYFUNCTION("""COMPUTED_VALUE"""),44367.0)</f>
        <v>44367</v>
      </c>
      <c r="K2837">
        <f>IFERROR(__xludf.DUMMYFUNCTION("""COMPUTED_VALUE"""),55.0)</f>
        <v>55</v>
      </c>
      <c r="L2837">
        <f>IFERROR(__xludf.DUMMYFUNCTION("""COMPUTED_VALUE"""),16.0)</f>
        <v>16</v>
      </c>
      <c r="M2837">
        <f>IFERROR(__xludf.DUMMYFUNCTION("""COMPUTED_VALUE"""),71.0)</f>
        <v>71</v>
      </c>
      <c r="N2837" t="str">
        <f>IFERROR(__xludf.DUMMYFUNCTION("""COMPUTED_VALUE"""),"Model 3 SR+")</f>
        <v>Model 3 SR+</v>
      </c>
      <c r="O2837" t="str">
        <f>IFERROR(__xludf.DUMMYFUNCTION("""COMPUTED_VALUE"""),"Midnight Silver Metallic")</f>
        <v>Midnight Silver Metallic</v>
      </c>
      <c r="P2837" t="str">
        <f>IFERROR(__xludf.DUMMYFUNCTION("""COMPUTED_VALUE"""),"18 inch")</f>
        <v>18 inch</v>
      </c>
      <c r="Q2837" t="str">
        <f>IFERROR(__xludf.DUMMYFUNCTION("""COMPUTED_VALUE"""),"All Black")</f>
        <v>All Black</v>
      </c>
      <c r="R2837" t="str">
        <f>IFERROR(__xludf.DUMMYFUNCTION("""COMPUTED_VALUE"""),"Autopilot included")</f>
        <v>Autopilot included</v>
      </c>
      <c r="S2837" t="str">
        <f>IFERROR(__xludf.DUMMYFUNCTION("""COMPUTED_VALUE"""),"Loan")</f>
        <v>Loan</v>
      </c>
      <c r="T2837" t="str">
        <f>IFERROR(__xludf.DUMMYFUNCTION("""COMPUTED_VALUE"""),"Honda Civic")</f>
        <v>Honda Civic</v>
      </c>
      <c r="U2837" t="str">
        <f>IFERROR(__xludf.DUMMYFUNCTION("""COMPUTED_VALUE"""),"Electric!")</f>
        <v>Electric!</v>
      </c>
      <c r="V2837" t="str">
        <f>IFERROR(__xludf.DUMMYFUNCTION("""COMPUTED_VALUE"""),"Apple CarPlay / Android Auto / SiriusXM Radio")</f>
        <v>Apple CarPlay / Android Auto / SiriusXM Radio</v>
      </c>
      <c r="X2837" t="str">
        <f>IFERROR(__xludf.DUMMYFUNCTION("""COMPUTED_VALUE"""),"Excellent")</f>
        <v>Excellent</v>
      </c>
      <c r="Y2837" t="str">
        <f>IFERROR(__xludf.DUMMYFUNCTION("""COMPUTED_VALUE"""),"Excellent")</f>
        <v>Excellent</v>
      </c>
      <c r="Z2837" t="str">
        <f>IFERROR(__xludf.DUMMYFUNCTION("""COMPUTED_VALUE"""),"Excellent")</f>
        <v>Excellent</v>
      </c>
      <c r="AA2837" t="str">
        <f>IFERROR(__xludf.DUMMYFUNCTION("""COMPUTED_VALUE"""),"Fair")</f>
        <v>Fair</v>
      </c>
      <c r="AB2837" t="str">
        <f>IFERROR(__xludf.DUMMYFUNCTION("""COMPUTED_VALUE"""),"Very Good")</f>
        <v>Very Good</v>
      </c>
      <c r="AC2837">
        <f>IFERROR(__xludf.DUMMYFUNCTION("""COMPUTED_VALUE"""),1.0)</f>
        <v>1</v>
      </c>
      <c r="AD2837">
        <f>IFERROR(__xludf.DUMMYFUNCTION("""COMPUTED_VALUE"""),0.0)</f>
        <v>0</v>
      </c>
      <c r="AE2837">
        <f>IFERROR(__xludf.DUMMYFUNCTION("""COMPUTED_VALUE"""),0.0)</f>
        <v>0</v>
      </c>
      <c r="AF2837" t="str">
        <f>IFERROR(__xludf.DUMMYFUNCTION("""COMPUTED_VALUE"""),"No. I took delivery of the first car Tesla was able to deliver.")</f>
        <v>No. I took delivery of the first car Tesla was able to deliver.</v>
      </c>
      <c r="AH2837" s="189">
        <f>IFERROR(__xludf.DUMMYFUNCTION("""COMPUTED_VALUE"""),44380.61802576389)</f>
        <v>44380.61803</v>
      </c>
    </row>
    <row r="2838">
      <c r="A2838" t="str">
        <f>IFERROR(__xludf.DUMMYFUNCTION("""COMPUTED_VALUE"""),"JeremyS_98346")</f>
        <v>JeremyS_98346</v>
      </c>
      <c r="B2838" t="str">
        <f>IFERROR(__xludf.DUMMYFUNCTION("""COMPUTED_VALUE"""),"Kingston")</f>
        <v>Kingston</v>
      </c>
      <c r="C2838" t="str">
        <f>IFERROR(__xludf.DUMMYFUNCTION("""COMPUTED_VALUE"""),"WA")</f>
        <v>WA</v>
      </c>
      <c r="D2838" t="str">
        <f>IFERROR(__xludf.DUMMYFUNCTION("""COMPUTED_VALUE"""),"USA")</f>
        <v>USA</v>
      </c>
      <c r="E2838" s="188">
        <f>IFERROR(__xludf.DUMMYFUNCTION("""COMPUTED_VALUE"""),44297.0)</f>
        <v>44297</v>
      </c>
      <c r="F2838" s="188">
        <f>IFERROR(__xludf.DUMMYFUNCTION("""COMPUTED_VALUE"""),44369.0)</f>
        <v>44369</v>
      </c>
      <c r="G2838" t="str">
        <f>IFERROR(__xludf.DUMMYFUNCTION("""COMPUTED_VALUE"""),"Email")</f>
        <v>Email</v>
      </c>
      <c r="H2838">
        <f>IFERROR(__xludf.DUMMYFUNCTION("""COMPUTED_VALUE"""),999855.0)</f>
        <v>999855</v>
      </c>
      <c r="I2838" t="str">
        <f>IFERROR(__xludf.DUMMYFUNCTION("""COMPUTED_VALUE"""),"06/21")</f>
        <v>06/21</v>
      </c>
      <c r="J2838" s="188">
        <f>IFERROR(__xludf.DUMMYFUNCTION("""COMPUTED_VALUE"""),44373.0)</f>
        <v>44373</v>
      </c>
      <c r="K2838">
        <f>IFERROR(__xludf.DUMMYFUNCTION("""COMPUTED_VALUE"""),72.0)</f>
        <v>72</v>
      </c>
      <c r="L2838">
        <f>IFERROR(__xludf.DUMMYFUNCTION("""COMPUTED_VALUE"""),4.0)</f>
        <v>4</v>
      </c>
      <c r="M2838">
        <f>IFERROR(__xludf.DUMMYFUNCTION("""COMPUTED_VALUE"""),76.0)</f>
        <v>76</v>
      </c>
      <c r="N2838" t="str">
        <f>IFERROR(__xludf.DUMMYFUNCTION("""COMPUTED_VALUE"""),"Model 3 LR AWD")</f>
        <v>Model 3 LR AWD</v>
      </c>
      <c r="O2838" t="str">
        <f>IFERROR(__xludf.DUMMYFUNCTION("""COMPUTED_VALUE"""),"Deep Blue Metallic")</f>
        <v>Deep Blue Metallic</v>
      </c>
      <c r="P2838" t="str">
        <f>IFERROR(__xludf.DUMMYFUNCTION("""COMPUTED_VALUE"""),"18 inch")</f>
        <v>18 inch</v>
      </c>
      <c r="Q2838" t="str">
        <f>IFERROR(__xludf.DUMMYFUNCTION("""COMPUTED_VALUE"""),"Black and White")</f>
        <v>Black and White</v>
      </c>
      <c r="R2838" t="str">
        <f>IFERROR(__xludf.DUMMYFUNCTION("""COMPUTED_VALUE"""),"Autopilot included")</f>
        <v>Autopilot included</v>
      </c>
      <c r="S2838" t="str">
        <f>IFERROR(__xludf.DUMMYFUNCTION("""COMPUTED_VALUE"""),"Cash")</f>
        <v>Cash</v>
      </c>
      <c r="T2838" t="str">
        <f>IFERROR(__xludf.DUMMYFUNCTION("""COMPUTED_VALUE"""),"Hyundai Tucson")</f>
        <v>Hyundai Tucson</v>
      </c>
      <c r="U2838" t="str">
        <f>IFERROR(__xludf.DUMMYFUNCTION("""COMPUTED_VALUE"""),"Electric!")</f>
        <v>Electric!</v>
      </c>
      <c r="V2838" t="str">
        <f>IFERROR(__xludf.DUMMYFUNCTION("""COMPUTED_VALUE"""),"Head-up display")</f>
        <v>Head-up display</v>
      </c>
      <c r="W2838" t="str">
        <f>IFERROR(__xludf.DUMMYFUNCTION("""COMPUTED_VALUE"""),"The EDD is a lie. Just expect to get the car on the last day of the quarter. Your SA's don' t know anything the website doesn't say. Don't check the website more than once a day, it makes it worse.")</f>
        <v>The EDD is a lie. Just expect to get the car on the last day of the quarter. Your SA's don' t know anything the website doesn't say. Don't check the website more than once a day, it makes it worse.</v>
      </c>
      <c r="X2838" t="str">
        <f>IFERROR(__xludf.DUMMYFUNCTION("""COMPUTED_VALUE"""),"Very Good")</f>
        <v>Very Good</v>
      </c>
      <c r="Y2838" t="str">
        <f>IFERROR(__xludf.DUMMYFUNCTION("""COMPUTED_VALUE"""),"Excellent")</f>
        <v>Excellent</v>
      </c>
      <c r="Z2838" t="str">
        <f>IFERROR(__xludf.DUMMYFUNCTION("""COMPUTED_VALUE"""),"Very Good")</f>
        <v>Very Good</v>
      </c>
      <c r="AA2838" t="str">
        <f>IFERROR(__xludf.DUMMYFUNCTION("""COMPUTED_VALUE"""),"Good")</f>
        <v>Good</v>
      </c>
      <c r="AB2838" t="str">
        <f>IFERROR(__xludf.DUMMYFUNCTION("""COMPUTED_VALUE"""),"Excellent")</f>
        <v>Excellent</v>
      </c>
      <c r="AC2838">
        <f>IFERROR(__xludf.DUMMYFUNCTION("""COMPUTED_VALUE"""),1.0)</f>
        <v>1</v>
      </c>
      <c r="AD2838">
        <f>IFERROR(__xludf.DUMMYFUNCTION("""COMPUTED_VALUE"""),0.0)</f>
        <v>0</v>
      </c>
      <c r="AE2838">
        <f>IFERROR(__xludf.DUMMYFUNCTION("""COMPUTED_VALUE"""),0.0)</f>
        <v>0</v>
      </c>
      <c r="AF2838" t="str">
        <f>IFERROR(__xludf.DUMMYFUNCTION("""COMPUTED_VALUE"""),"No. I took delivery of the first car Tesla was able to deliver.")</f>
        <v>No. I took delivery of the first car Tesla was able to deliver.</v>
      </c>
      <c r="AG2838" t="str">
        <f>IFERROR(__xludf.DUMMYFUNCTION("""COMPUTED_VALUE"""),"Driver's side wiper fluid tube wasn't plugged in. Fixed it myself.")</f>
        <v>Driver's side wiper fluid tube wasn't plugged in. Fixed it myself.</v>
      </c>
      <c r="AH2838" s="189">
        <f>IFERROR(__xludf.DUMMYFUNCTION("""COMPUTED_VALUE"""),44400.30605866898)</f>
        <v>44400.30606</v>
      </c>
    </row>
    <row r="2839">
      <c r="A2839" t="str">
        <f>IFERROR(__xludf.DUMMYFUNCTION("""COMPUTED_VALUE"""),"SBSD")</f>
        <v>SBSD</v>
      </c>
      <c r="B2839" t="str">
        <f>IFERROR(__xludf.DUMMYFUNCTION("""COMPUTED_VALUE"""),"Orlando")</f>
        <v>Orlando</v>
      </c>
      <c r="C2839" t="str">
        <f>IFERROR(__xludf.DUMMYFUNCTION("""COMPUTED_VALUE"""),"FL")</f>
        <v>FL</v>
      </c>
      <c r="D2839" t="str">
        <f>IFERROR(__xludf.DUMMYFUNCTION("""COMPUTED_VALUE"""),"USA")</f>
        <v>USA</v>
      </c>
      <c r="E2839" s="188">
        <f>IFERROR(__xludf.DUMMYFUNCTION("""COMPUTED_VALUE"""),44294.0)</f>
        <v>44294</v>
      </c>
      <c r="F2839" s="188">
        <f>IFERROR(__xludf.DUMMYFUNCTION("""COMPUTED_VALUE"""),44344.0)</f>
        <v>44344</v>
      </c>
      <c r="G2839" t="str">
        <f>IFERROR(__xludf.DUMMYFUNCTION("""COMPUTED_VALUE"""),"Manage order page (normal text)")</f>
        <v>Manage order page (normal text)</v>
      </c>
      <c r="H2839">
        <f>IFERROR(__xludf.DUMMYFUNCTION("""COMPUTED_VALUE"""),969055.0)</f>
        <v>969055</v>
      </c>
      <c r="J2839" s="188">
        <f>IFERROR(__xludf.DUMMYFUNCTION("""COMPUTED_VALUE"""),44349.0)</f>
        <v>44349</v>
      </c>
      <c r="K2839">
        <f>IFERROR(__xludf.DUMMYFUNCTION("""COMPUTED_VALUE"""),50.0)</f>
        <v>50</v>
      </c>
      <c r="L2839">
        <f>IFERROR(__xludf.DUMMYFUNCTION("""COMPUTED_VALUE"""),5.0)</f>
        <v>5</v>
      </c>
      <c r="M2839">
        <f>IFERROR(__xludf.DUMMYFUNCTION("""COMPUTED_VALUE"""),55.0)</f>
        <v>55</v>
      </c>
      <c r="N2839" t="str">
        <f>IFERROR(__xludf.DUMMYFUNCTION("""COMPUTED_VALUE"""),"Model 3 SR+")</f>
        <v>Model 3 SR+</v>
      </c>
      <c r="O2839" t="str">
        <f>IFERROR(__xludf.DUMMYFUNCTION("""COMPUTED_VALUE"""),"Pearl White Multi-Coat")</f>
        <v>Pearl White Multi-Coat</v>
      </c>
      <c r="P2839" t="str">
        <f>IFERROR(__xludf.DUMMYFUNCTION("""COMPUTED_VALUE"""),"18 inch")</f>
        <v>18 inch</v>
      </c>
      <c r="Q2839" t="str">
        <f>IFERROR(__xludf.DUMMYFUNCTION("""COMPUTED_VALUE"""),"All Black")</f>
        <v>All Black</v>
      </c>
      <c r="R2839" t="str">
        <f>IFERROR(__xludf.DUMMYFUNCTION("""COMPUTED_VALUE"""),"Full Self-Driving")</f>
        <v>Full Self-Driving</v>
      </c>
      <c r="S2839" t="str">
        <f>IFERROR(__xludf.DUMMYFUNCTION("""COMPUTED_VALUE"""),"Loan")</f>
        <v>Loan</v>
      </c>
      <c r="T2839" t="str">
        <f>IFERROR(__xludf.DUMMYFUNCTION("""COMPUTED_VALUE"""),"Mazda CX-5")</f>
        <v>Mazda CX-5</v>
      </c>
      <c r="U2839" t="str">
        <f>IFERROR(__xludf.DUMMYFUNCTION("""COMPUTED_VALUE"""),"Autopilot")</f>
        <v>Autopilot</v>
      </c>
      <c r="V2839" t="str">
        <f>IFERROR(__xludf.DUMMYFUNCTION("""COMPUTED_VALUE"""),"Blind spot indicators on side mirrors")</f>
        <v>Blind spot indicators on side mirrors</v>
      </c>
      <c r="X2839" t="str">
        <f>IFERROR(__xludf.DUMMYFUNCTION("""COMPUTED_VALUE"""),"Excellent")</f>
        <v>Excellent</v>
      </c>
      <c r="Y2839" t="str">
        <f>IFERROR(__xludf.DUMMYFUNCTION("""COMPUTED_VALUE"""),"Excellent")</f>
        <v>Excellent</v>
      </c>
      <c r="Z2839" t="str">
        <f>IFERROR(__xludf.DUMMYFUNCTION("""COMPUTED_VALUE"""),"Excellent")</f>
        <v>Excellent</v>
      </c>
      <c r="AA2839" t="str">
        <f>IFERROR(__xludf.DUMMYFUNCTION("""COMPUTED_VALUE"""),"Very Good")</f>
        <v>Very Good</v>
      </c>
      <c r="AB2839" t="str">
        <f>IFERROR(__xludf.DUMMYFUNCTION("""COMPUTED_VALUE"""),"Very Good")</f>
        <v>Very Good</v>
      </c>
      <c r="AF2839" t="str">
        <f>IFERROR(__xludf.DUMMYFUNCTION("""COMPUTED_VALUE"""),"No. I took delivery of the first car Tesla was able to deliver.")</f>
        <v>No. I took delivery of the first car Tesla was able to deliver.</v>
      </c>
      <c r="AH2839" s="189">
        <f>IFERROR(__xludf.DUMMYFUNCTION("""COMPUTED_VALUE"""),44357.49257079861)</f>
        <v>44357.49257</v>
      </c>
    </row>
    <row r="2840">
      <c r="A2840" t="str">
        <f>IFERROR(__xludf.DUMMYFUNCTION("""COMPUTED_VALUE"""),"Catman")</f>
        <v>Catman</v>
      </c>
      <c r="B2840" t="str">
        <f>IFERROR(__xludf.DUMMYFUNCTION("""COMPUTED_VALUE"""),"Washington")</f>
        <v>Washington</v>
      </c>
      <c r="C2840" t="str">
        <f>IFERROR(__xludf.DUMMYFUNCTION("""COMPUTED_VALUE"""),"DC")</f>
        <v>DC</v>
      </c>
      <c r="D2840" t="str">
        <f>IFERROR(__xludf.DUMMYFUNCTION("""COMPUTED_VALUE"""),"USA")</f>
        <v>USA</v>
      </c>
      <c r="E2840" s="188">
        <f>IFERROR(__xludf.DUMMYFUNCTION("""COMPUTED_VALUE"""),44276.0)</f>
        <v>44276</v>
      </c>
      <c r="F2840" s="188">
        <f>IFERROR(__xludf.DUMMYFUNCTION("""COMPUTED_VALUE"""),44306.0)</f>
        <v>44306</v>
      </c>
      <c r="G2840" t="str">
        <f>IFERROR(__xludf.DUMMYFUNCTION("""COMPUTED_VALUE"""),"Manage order page (normal text)")</f>
        <v>Manage order page (normal text)</v>
      </c>
      <c r="H2840">
        <f>IFERROR(__xludf.DUMMYFUNCTION("""COMPUTED_VALUE"""),961755.0)</f>
        <v>961755</v>
      </c>
      <c r="I2840" t="str">
        <f>IFERROR(__xludf.DUMMYFUNCTION("""COMPUTED_VALUE"""),"04/21")</f>
        <v>04/21</v>
      </c>
      <c r="J2840" s="188">
        <f>IFERROR(__xludf.DUMMYFUNCTION("""COMPUTED_VALUE"""),44314.0)</f>
        <v>44314</v>
      </c>
      <c r="K2840">
        <f>IFERROR(__xludf.DUMMYFUNCTION("""COMPUTED_VALUE"""),30.0)</f>
        <v>30</v>
      </c>
      <c r="L2840">
        <f>IFERROR(__xludf.DUMMYFUNCTION("""COMPUTED_VALUE"""),8.0)</f>
        <v>8</v>
      </c>
      <c r="M2840">
        <f>IFERROR(__xludf.DUMMYFUNCTION("""COMPUTED_VALUE"""),38.0)</f>
        <v>38</v>
      </c>
      <c r="N2840" t="str">
        <f>IFERROR(__xludf.DUMMYFUNCTION("""COMPUTED_VALUE"""),"Model 3 LR AWD")</f>
        <v>Model 3 LR AWD</v>
      </c>
      <c r="O2840" t="str">
        <f>IFERROR(__xludf.DUMMYFUNCTION("""COMPUTED_VALUE"""),"Pearl White Multi-Coat")</f>
        <v>Pearl White Multi-Coat</v>
      </c>
      <c r="P2840" t="str">
        <f>IFERROR(__xludf.DUMMYFUNCTION("""COMPUTED_VALUE"""),"18 inch")</f>
        <v>18 inch</v>
      </c>
      <c r="Q2840" t="str">
        <f>IFERROR(__xludf.DUMMYFUNCTION("""COMPUTED_VALUE"""),"All Black")</f>
        <v>All Black</v>
      </c>
      <c r="R2840" t="str">
        <f>IFERROR(__xludf.DUMMYFUNCTION("""COMPUTED_VALUE"""),"Full Self-Driving")</f>
        <v>Full Self-Driving</v>
      </c>
      <c r="S2840" t="str">
        <f>IFERROR(__xludf.DUMMYFUNCTION("""COMPUTED_VALUE"""),"Cash")</f>
        <v>Cash</v>
      </c>
      <c r="T2840" t="str">
        <f>IFERROR(__xludf.DUMMYFUNCTION("""COMPUTED_VALUE"""),"Chevy Bolt")</f>
        <v>Chevy Bolt</v>
      </c>
      <c r="U2840" t="str">
        <f>IFERROR(__xludf.DUMMYFUNCTION("""COMPUTED_VALUE"""),"Autopilot")</f>
        <v>Autopilot</v>
      </c>
      <c r="V2840" t="str">
        <f>IFERROR(__xludf.DUMMYFUNCTION("""COMPUTED_VALUE"""),"Apple CarPlay / Android Auto / SiriusXM Radio")</f>
        <v>Apple CarPlay / Android Auto / SiriusXM Radio</v>
      </c>
      <c r="X2840" t="str">
        <f>IFERROR(__xludf.DUMMYFUNCTION("""COMPUTED_VALUE"""),"Excellent")</f>
        <v>Excellent</v>
      </c>
      <c r="Y2840" t="str">
        <f>IFERROR(__xludf.DUMMYFUNCTION("""COMPUTED_VALUE"""),"Excellent")</f>
        <v>Excellent</v>
      </c>
      <c r="Z2840" t="str">
        <f>IFERROR(__xludf.DUMMYFUNCTION("""COMPUTED_VALUE"""),"Excellent")</f>
        <v>Excellent</v>
      </c>
      <c r="AA2840" t="str">
        <f>IFERROR(__xludf.DUMMYFUNCTION("""COMPUTED_VALUE"""),"Good")</f>
        <v>Good</v>
      </c>
      <c r="AB2840" t="str">
        <f>IFERROR(__xludf.DUMMYFUNCTION("""COMPUTED_VALUE"""),"Very Good")</f>
        <v>Very Good</v>
      </c>
      <c r="AC2840">
        <f>IFERROR(__xludf.DUMMYFUNCTION("""COMPUTED_VALUE"""),0.0)</f>
        <v>0</v>
      </c>
      <c r="AF2840" t="str">
        <f>IFERROR(__xludf.DUMMYFUNCTION("""COMPUTED_VALUE"""),"No. I took delivery of the first car Tesla was able to deliver.")</f>
        <v>No. I took delivery of the first car Tesla was able to deliver.</v>
      </c>
      <c r="AH2840" s="189">
        <f>IFERROR(__xludf.DUMMYFUNCTION("""COMPUTED_VALUE"""),44320.62517103009)</f>
        <v>44320.62517</v>
      </c>
    </row>
    <row r="2841">
      <c r="A2841" t="str">
        <f>IFERROR(__xludf.DUMMYFUNCTION("""COMPUTED_VALUE"""),"J_Nixon")</f>
        <v>J_Nixon</v>
      </c>
      <c r="B2841" t="str">
        <f>IFERROR(__xludf.DUMMYFUNCTION("""COMPUTED_VALUE"""),"Milan")</f>
        <v>Milan</v>
      </c>
      <c r="C2841" t="str">
        <f>IFERROR(__xludf.DUMMYFUNCTION("""COMPUTED_VALUE"""),"NH")</f>
        <v>NH</v>
      </c>
      <c r="D2841" t="str">
        <f>IFERROR(__xludf.DUMMYFUNCTION("""COMPUTED_VALUE"""),"USA")</f>
        <v>USA</v>
      </c>
      <c r="E2841" s="188">
        <f>IFERROR(__xludf.DUMMYFUNCTION("""COMPUTED_VALUE"""),44287.0)</f>
        <v>44287</v>
      </c>
      <c r="F2841" s="188">
        <f>IFERROR(__xludf.DUMMYFUNCTION("""COMPUTED_VALUE"""),44344.0)</f>
        <v>44344</v>
      </c>
      <c r="G2841" t="str">
        <f>IFERROR(__xludf.DUMMYFUNCTION("""COMPUTED_VALUE"""),"Manage order page (normal text)")</f>
        <v>Manage order page (normal text)</v>
      </c>
      <c r="H2841">
        <f>IFERROR(__xludf.DUMMYFUNCTION("""COMPUTED_VALUE"""),975660.0)</f>
        <v>975660</v>
      </c>
      <c r="I2841" t="str">
        <f>IFERROR(__xludf.DUMMYFUNCTION("""COMPUTED_VALUE"""),"05/21")</f>
        <v>05/21</v>
      </c>
      <c r="J2841" s="188">
        <f>IFERROR(__xludf.DUMMYFUNCTION("""COMPUTED_VALUE"""),44348.0)</f>
        <v>44348</v>
      </c>
      <c r="K2841">
        <f>IFERROR(__xludf.DUMMYFUNCTION("""COMPUTED_VALUE"""),57.0)</f>
        <v>57</v>
      </c>
      <c r="L2841">
        <f>IFERROR(__xludf.DUMMYFUNCTION("""COMPUTED_VALUE"""),4.0)</f>
        <v>4</v>
      </c>
      <c r="M2841">
        <f>IFERROR(__xludf.DUMMYFUNCTION("""COMPUTED_VALUE"""),61.0)</f>
        <v>61</v>
      </c>
      <c r="N2841" t="str">
        <f>IFERROR(__xludf.DUMMYFUNCTION("""COMPUTED_VALUE"""),"Model 3 LR AWD")</f>
        <v>Model 3 LR AWD</v>
      </c>
      <c r="O2841" t="str">
        <f>IFERROR(__xludf.DUMMYFUNCTION("""COMPUTED_VALUE"""),"Midnight Silver Metallic")</f>
        <v>Midnight Silver Metallic</v>
      </c>
      <c r="P2841" t="str">
        <f>IFERROR(__xludf.DUMMYFUNCTION("""COMPUTED_VALUE"""),"18 inch")</f>
        <v>18 inch</v>
      </c>
      <c r="Q2841" t="str">
        <f>IFERROR(__xludf.DUMMYFUNCTION("""COMPUTED_VALUE"""),"Black and White")</f>
        <v>Black and White</v>
      </c>
      <c r="R2841" t="str">
        <f>IFERROR(__xludf.DUMMYFUNCTION("""COMPUTED_VALUE"""),"Autopilot included")</f>
        <v>Autopilot included</v>
      </c>
      <c r="S2841" t="str">
        <f>IFERROR(__xludf.DUMMYFUNCTION("""COMPUTED_VALUE"""),"Loan")</f>
        <v>Loan</v>
      </c>
      <c r="T2841" t="str">
        <f>IFERROR(__xludf.DUMMYFUNCTION("""COMPUTED_VALUE"""),"Lexus LC500")</f>
        <v>Lexus LC500</v>
      </c>
      <c r="U2841" t="str">
        <f>IFERROR(__xludf.DUMMYFUNCTION("""COMPUTED_VALUE"""),"Electric!")</f>
        <v>Electric!</v>
      </c>
      <c r="V2841" t="str">
        <f>IFERROR(__xludf.DUMMYFUNCTION("""COMPUTED_VALUE"""),"Ventilated seats")</f>
        <v>Ventilated seats</v>
      </c>
      <c r="W2841" t="str">
        <f>IFERROR(__xludf.DUMMYFUNCTION("""COMPUTED_VALUE"""),"From order to delivery, it is an arduous experience, but the car makes up for it")</f>
        <v>From order to delivery, it is an arduous experience, but the car makes up for it</v>
      </c>
      <c r="X2841" t="str">
        <f>IFERROR(__xludf.DUMMYFUNCTION("""COMPUTED_VALUE"""),"Fair")</f>
        <v>Fair</v>
      </c>
      <c r="Y2841" t="str">
        <f>IFERROR(__xludf.DUMMYFUNCTION("""COMPUTED_VALUE"""),"Good")</f>
        <v>Good</v>
      </c>
      <c r="Z2841" t="str">
        <f>IFERROR(__xludf.DUMMYFUNCTION("""COMPUTED_VALUE"""),"Excellent")</f>
        <v>Excellent</v>
      </c>
      <c r="AA2841" t="str">
        <f>IFERROR(__xludf.DUMMYFUNCTION("""COMPUTED_VALUE"""),"Poor")</f>
        <v>Poor</v>
      </c>
      <c r="AB2841" t="str">
        <f>IFERROR(__xludf.DUMMYFUNCTION("""COMPUTED_VALUE"""),"Poor")</f>
        <v>Poor</v>
      </c>
      <c r="AC2841">
        <f>IFERROR(__xludf.DUMMYFUNCTION("""COMPUTED_VALUE"""),1.0)</f>
        <v>1</v>
      </c>
      <c r="AD2841">
        <f>IFERROR(__xludf.DUMMYFUNCTION("""COMPUTED_VALUE"""),0.0)</f>
        <v>0</v>
      </c>
      <c r="AE2841">
        <f>IFERROR(__xludf.DUMMYFUNCTION("""COMPUTED_VALUE"""),0.0)</f>
        <v>0</v>
      </c>
      <c r="AF2841" t="str">
        <f>IFERROR(__xludf.DUMMYFUNCTION("""COMPUTED_VALUE"""),"No. I took delivery of the first car Tesla was able to deliver.")</f>
        <v>No. I took delivery of the first car Tesla was able to deliver.</v>
      </c>
      <c r="AH2841" s="189">
        <f>IFERROR(__xludf.DUMMYFUNCTION("""COMPUTED_VALUE"""),44349.62411582176)</f>
        <v>44349.62412</v>
      </c>
    </row>
    <row r="2842">
      <c r="A2842" t="str">
        <f>IFERROR(__xludf.DUMMYFUNCTION("""COMPUTED_VALUE"""),"luagh45")</f>
        <v>luagh45</v>
      </c>
      <c r="B2842" t="str">
        <f>IFERROR(__xludf.DUMMYFUNCTION("""COMPUTED_VALUE"""),"Portland")</f>
        <v>Portland</v>
      </c>
      <c r="C2842" t="str">
        <f>IFERROR(__xludf.DUMMYFUNCTION("""COMPUTED_VALUE"""),"OR")</f>
        <v>OR</v>
      </c>
      <c r="D2842" t="str">
        <f>IFERROR(__xludf.DUMMYFUNCTION("""COMPUTED_VALUE"""),"USA")</f>
        <v>USA</v>
      </c>
      <c r="E2842" s="188">
        <f>IFERROR(__xludf.DUMMYFUNCTION("""COMPUTED_VALUE"""),43741.0)</f>
        <v>43741</v>
      </c>
      <c r="J2842" s="188">
        <f>IFERROR(__xludf.DUMMYFUNCTION("""COMPUTED_VALUE"""),43803.0)</f>
        <v>43803</v>
      </c>
      <c r="M2842">
        <f>IFERROR(__xludf.DUMMYFUNCTION("""COMPUTED_VALUE"""),62.0)</f>
        <v>62</v>
      </c>
      <c r="N2842" t="str">
        <f>IFERROR(__xludf.DUMMYFUNCTION("""COMPUTED_VALUE"""),"Model 3 SR+")</f>
        <v>Model 3 SR+</v>
      </c>
      <c r="O2842" t="str">
        <f>IFERROR(__xludf.DUMMYFUNCTION("""COMPUTED_VALUE"""),"Midnight Silver Metallic")</f>
        <v>Midnight Silver Metallic</v>
      </c>
      <c r="P2842" t="str">
        <f>IFERROR(__xludf.DUMMYFUNCTION("""COMPUTED_VALUE"""),"18 inch")</f>
        <v>18 inch</v>
      </c>
      <c r="Q2842" t="str">
        <f>IFERROR(__xludf.DUMMYFUNCTION("""COMPUTED_VALUE"""),"All Black")</f>
        <v>All Black</v>
      </c>
      <c r="R2842" t="str">
        <f>IFERROR(__xludf.DUMMYFUNCTION("""COMPUTED_VALUE"""),"Full Self-Driving")</f>
        <v>Full Self-Driving</v>
      </c>
      <c r="S2842" t="str">
        <f>IFERROR(__xludf.DUMMYFUNCTION("""COMPUTED_VALUE"""),"Loan")</f>
        <v>Loan</v>
      </c>
      <c r="T2842" t="str">
        <f>IFERROR(__xludf.DUMMYFUNCTION("""COMPUTED_VALUE"""),"Nissan Leaf")</f>
        <v>Nissan Leaf</v>
      </c>
      <c r="U2842" t="str">
        <f>IFERROR(__xludf.DUMMYFUNCTION("""COMPUTED_VALUE"""),"Range")</f>
        <v>Range</v>
      </c>
      <c r="V2842" t="str">
        <f>IFERROR(__xludf.DUMMYFUNCTION("""COMPUTED_VALUE"""),"HomeLink")</f>
        <v>HomeLink</v>
      </c>
      <c r="X2842" t="str">
        <f>IFERROR(__xludf.DUMMYFUNCTION("""COMPUTED_VALUE"""),"Good")</f>
        <v>Good</v>
      </c>
      <c r="Y2842" t="str">
        <f>IFERROR(__xludf.DUMMYFUNCTION("""COMPUTED_VALUE"""),"Excellent")</f>
        <v>Excellent</v>
      </c>
      <c r="Z2842" t="str">
        <f>IFERROR(__xludf.DUMMYFUNCTION("""COMPUTED_VALUE"""),"Excellent")</f>
        <v>Excellent</v>
      </c>
      <c r="AA2842" t="str">
        <f>IFERROR(__xludf.DUMMYFUNCTION("""COMPUTED_VALUE"""),"Very Good")</f>
        <v>Very Good</v>
      </c>
      <c r="AB2842" t="str">
        <f>IFERROR(__xludf.DUMMYFUNCTION("""COMPUTED_VALUE"""),"Excellent")</f>
        <v>Excellent</v>
      </c>
      <c r="AC2842">
        <f>IFERROR(__xludf.DUMMYFUNCTION("""COMPUTED_VALUE"""),1.0)</f>
        <v>1</v>
      </c>
      <c r="AD2842">
        <f>IFERROR(__xludf.DUMMYFUNCTION("""COMPUTED_VALUE"""),0.0)</f>
        <v>0</v>
      </c>
      <c r="AE2842">
        <f>IFERROR(__xludf.DUMMYFUNCTION("""COMPUTED_VALUE"""),0.0)</f>
        <v>0</v>
      </c>
      <c r="AF2842" t="str">
        <f>IFERROR(__xludf.DUMMYFUNCTION("""COMPUTED_VALUE"""),"No. I took delivery of the first car Tesla was able to deliver.")</f>
        <v>No. I took delivery of the first car Tesla was able to deliver.</v>
      </c>
      <c r="AH2842" s="189">
        <f>IFERROR(__xludf.DUMMYFUNCTION("""COMPUTED_VALUE"""),44299.55472984954)</f>
        <v>44299.55473</v>
      </c>
    </row>
    <row r="2843">
      <c r="A2843" t="str">
        <f>IFERROR(__xludf.DUMMYFUNCTION("""COMPUTED_VALUE"""),"CigarMoose")</f>
        <v>CigarMoose</v>
      </c>
      <c r="B2843" t="str">
        <f>IFERROR(__xludf.DUMMYFUNCTION("""COMPUTED_VALUE"""),"Montreal")</f>
        <v>Montreal</v>
      </c>
      <c r="C2843" t="str">
        <f>IFERROR(__xludf.DUMMYFUNCTION("""COMPUTED_VALUE"""),"QC")</f>
        <v>QC</v>
      </c>
      <c r="D2843" t="str">
        <f>IFERROR(__xludf.DUMMYFUNCTION("""COMPUTED_VALUE"""),"Canada")</f>
        <v>Canada</v>
      </c>
      <c r="E2843" s="188">
        <f>IFERROR(__xludf.DUMMYFUNCTION("""COMPUTED_VALUE"""),44279.0)</f>
        <v>44279</v>
      </c>
      <c r="F2843" s="188">
        <f>IFERROR(__xludf.DUMMYFUNCTION("""COMPUTED_VALUE"""),44316.0)</f>
        <v>44316</v>
      </c>
      <c r="G2843" t="str">
        <f>IFERROR(__xludf.DUMMYFUNCTION("""COMPUTED_VALUE"""),"Phone call")</f>
        <v>Phone call</v>
      </c>
      <c r="H2843">
        <f>IFERROR(__xludf.DUMMYFUNCTION("""COMPUTED_VALUE"""),962455.0)</f>
        <v>962455</v>
      </c>
      <c r="J2843" s="188">
        <f>IFERROR(__xludf.DUMMYFUNCTION("""COMPUTED_VALUE"""),44323.0)</f>
        <v>44323</v>
      </c>
      <c r="K2843">
        <f>IFERROR(__xludf.DUMMYFUNCTION("""COMPUTED_VALUE"""),37.0)</f>
        <v>37</v>
      </c>
      <c r="L2843">
        <f>IFERROR(__xludf.DUMMYFUNCTION("""COMPUTED_VALUE"""),7.0)</f>
        <v>7</v>
      </c>
      <c r="M2843">
        <f>IFERROR(__xludf.DUMMYFUNCTION("""COMPUTED_VALUE"""),44.0)</f>
        <v>44</v>
      </c>
      <c r="N2843" t="str">
        <f>IFERROR(__xludf.DUMMYFUNCTION("""COMPUTED_VALUE"""),"Model 3 SR+")</f>
        <v>Model 3 SR+</v>
      </c>
      <c r="O2843" t="str">
        <f>IFERROR(__xludf.DUMMYFUNCTION("""COMPUTED_VALUE"""),"Midnight Silver Metallic")</f>
        <v>Midnight Silver Metallic</v>
      </c>
      <c r="P2843" t="str">
        <f>IFERROR(__xludf.DUMMYFUNCTION("""COMPUTED_VALUE"""),"18 inch")</f>
        <v>18 inch</v>
      </c>
      <c r="Q2843" t="str">
        <f>IFERROR(__xludf.DUMMYFUNCTION("""COMPUTED_VALUE"""),"All Black")</f>
        <v>All Black</v>
      </c>
      <c r="R2843" t="str">
        <f>IFERROR(__xludf.DUMMYFUNCTION("""COMPUTED_VALUE"""),"Autopilot included")</f>
        <v>Autopilot included</v>
      </c>
      <c r="S2843" t="str">
        <f>IFERROR(__xludf.DUMMYFUNCTION("""COMPUTED_VALUE"""),"Loan")</f>
        <v>Loan</v>
      </c>
      <c r="U2843" t="str">
        <f>IFERROR(__xludf.DUMMYFUNCTION("""COMPUTED_VALUE"""),"All-glass roof")</f>
        <v>All-glass roof</v>
      </c>
      <c r="V2843" t="str">
        <f>IFERROR(__xludf.DUMMYFUNCTION("""COMPUTED_VALUE"""),"360° Bird's eye view")</f>
        <v>360° Bird's eye view</v>
      </c>
      <c r="W2843" t="str">
        <f>IFERROR(__xludf.DUMMYFUNCTION("""COMPUTED_VALUE"""),"Don’t rely on the delivery estimates in your account")</f>
        <v>Don’t rely on the delivery estimates in your account</v>
      </c>
      <c r="X2843" t="str">
        <f>IFERROR(__xludf.DUMMYFUNCTION("""COMPUTED_VALUE"""),"Excellent")</f>
        <v>Excellent</v>
      </c>
      <c r="Y2843" t="str">
        <f>IFERROR(__xludf.DUMMYFUNCTION("""COMPUTED_VALUE"""),"Excellent")</f>
        <v>Excellent</v>
      </c>
      <c r="Z2843" t="str">
        <f>IFERROR(__xludf.DUMMYFUNCTION("""COMPUTED_VALUE"""),"Excellent")</f>
        <v>Excellent</v>
      </c>
      <c r="AA2843" t="str">
        <f>IFERROR(__xludf.DUMMYFUNCTION("""COMPUTED_VALUE"""),"Excellent")</f>
        <v>Excellent</v>
      </c>
      <c r="AB2843" t="str">
        <f>IFERROR(__xludf.DUMMYFUNCTION("""COMPUTED_VALUE"""),"Excellent")</f>
        <v>Excellent</v>
      </c>
      <c r="AF2843" t="str">
        <f>IFERROR(__xludf.DUMMYFUNCTION("""COMPUTED_VALUE"""),"No. I took delivery of the first car Tesla was able to deliver.")</f>
        <v>No. I took delivery of the first car Tesla was able to deliver.</v>
      </c>
      <c r="AG2843" t="str">
        <f>IFERROR(__xludf.DUMMYFUNCTION("""COMPUTED_VALUE"""),"Estimated Delivery: May 2-8")</f>
        <v>Estimated Delivery: May 2-8</v>
      </c>
      <c r="AH2843" s="189">
        <f>IFERROR(__xludf.DUMMYFUNCTION("""COMPUTED_VALUE"""),44324.60317913194)</f>
        <v>44324.60318</v>
      </c>
    </row>
    <row r="2844">
      <c r="A2844" t="str">
        <f>IFERROR(__xludf.DUMMYFUNCTION("""COMPUTED_VALUE"""),"thephoking")</f>
        <v>thephoking</v>
      </c>
      <c r="B2844" t="str">
        <f>IFERROR(__xludf.DUMMYFUNCTION("""COMPUTED_VALUE"""),"Vacaville")</f>
        <v>Vacaville</v>
      </c>
      <c r="C2844" t="str">
        <f>IFERROR(__xludf.DUMMYFUNCTION("""COMPUTED_VALUE"""),"CA")</f>
        <v>CA</v>
      </c>
      <c r="D2844" t="str">
        <f>IFERROR(__xludf.DUMMYFUNCTION("""COMPUTED_VALUE"""),"USA")</f>
        <v>USA</v>
      </c>
      <c r="E2844" s="188">
        <f>IFERROR(__xludf.DUMMYFUNCTION("""COMPUTED_VALUE"""),44293.0)</f>
        <v>44293</v>
      </c>
      <c r="F2844" s="188">
        <f>IFERROR(__xludf.DUMMYFUNCTION("""COMPUTED_VALUE"""),44301.0)</f>
        <v>44301</v>
      </c>
      <c r="G2844" t="str">
        <f>IFERROR(__xludf.DUMMYFUNCTION("""COMPUTED_VALUE"""),"Email")</f>
        <v>Email</v>
      </c>
      <c r="H2844">
        <f>IFERROR(__xludf.DUMMYFUNCTION("""COMPUTED_VALUE"""),863647.0)</f>
        <v>863647</v>
      </c>
      <c r="J2844" s="188">
        <f>IFERROR(__xludf.DUMMYFUNCTION("""COMPUTED_VALUE"""),44308.0)</f>
        <v>44308</v>
      </c>
      <c r="K2844">
        <f>IFERROR(__xludf.DUMMYFUNCTION("""COMPUTED_VALUE"""),8.0)</f>
        <v>8</v>
      </c>
      <c r="L2844">
        <f>IFERROR(__xludf.DUMMYFUNCTION("""COMPUTED_VALUE"""),7.0)</f>
        <v>7</v>
      </c>
      <c r="M2844">
        <f>IFERROR(__xludf.DUMMYFUNCTION("""COMPUTED_VALUE"""),15.0)</f>
        <v>15</v>
      </c>
      <c r="N2844" t="str">
        <f>IFERROR(__xludf.DUMMYFUNCTION("""COMPUTED_VALUE"""),"Model 3 LR AWD")</f>
        <v>Model 3 LR AWD</v>
      </c>
      <c r="O2844" t="str">
        <f>IFERROR(__xludf.DUMMYFUNCTION("""COMPUTED_VALUE"""),"Red Multi-Coat")</f>
        <v>Red Multi-Coat</v>
      </c>
      <c r="P2844" t="str">
        <f>IFERROR(__xludf.DUMMYFUNCTION("""COMPUTED_VALUE"""),"18 inch")</f>
        <v>18 inch</v>
      </c>
      <c r="Q2844" t="str">
        <f>IFERROR(__xludf.DUMMYFUNCTION("""COMPUTED_VALUE"""),"Black and White")</f>
        <v>Black and White</v>
      </c>
      <c r="R2844" t="str">
        <f>IFERROR(__xludf.DUMMYFUNCTION("""COMPUTED_VALUE"""),"Autopilot included")</f>
        <v>Autopilot included</v>
      </c>
      <c r="S2844" t="str">
        <f>IFERROR(__xludf.DUMMYFUNCTION("""COMPUTED_VALUE"""),"Loan")</f>
        <v>Loan</v>
      </c>
      <c r="T2844" t="str">
        <f>IFERROR(__xludf.DUMMYFUNCTION("""COMPUTED_VALUE"""),"Acura TLX")</f>
        <v>Acura TLX</v>
      </c>
      <c r="U2844" t="str">
        <f>IFERROR(__xludf.DUMMYFUNCTION("""COMPUTED_VALUE"""),"Electric!")</f>
        <v>Electric!</v>
      </c>
      <c r="V2844" t="str">
        <f>IFERROR(__xludf.DUMMYFUNCTION("""COMPUTED_VALUE"""),"Air suspension")</f>
        <v>Air suspension</v>
      </c>
      <c r="X2844" t="str">
        <f>IFERROR(__xludf.DUMMYFUNCTION("""COMPUTED_VALUE"""),"Very Good")</f>
        <v>Very Good</v>
      </c>
      <c r="Y2844" t="str">
        <f>IFERROR(__xludf.DUMMYFUNCTION("""COMPUTED_VALUE"""),"Very Good")</f>
        <v>Very Good</v>
      </c>
      <c r="Z2844" t="str">
        <f>IFERROR(__xludf.DUMMYFUNCTION("""COMPUTED_VALUE"""),"Excellent")</f>
        <v>Excellent</v>
      </c>
      <c r="AA2844" t="str">
        <f>IFERROR(__xludf.DUMMYFUNCTION("""COMPUTED_VALUE"""),"Good")</f>
        <v>Good</v>
      </c>
      <c r="AB2844" t="str">
        <f>IFERROR(__xludf.DUMMYFUNCTION("""COMPUTED_VALUE"""),"Excellent")</f>
        <v>Excellent</v>
      </c>
      <c r="AF2844" t="str">
        <f>IFERROR(__xludf.DUMMYFUNCTION("""COMPUTED_VALUE"""),"No. I took delivery of the first car Tesla was able to deliver.")</f>
        <v>No. I took delivery of the first car Tesla was able to deliver.</v>
      </c>
      <c r="AH2844" s="189">
        <f>IFERROR(__xludf.DUMMYFUNCTION("""COMPUTED_VALUE"""),44308.924558541665)</f>
        <v>44308.92456</v>
      </c>
    </row>
    <row r="2845">
      <c r="A2845" t="str">
        <f>IFERROR(__xludf.DUMMYFUNCTION("""COMPUTED_VALUE"""),"echibe")</f>
        <v>echibe</v>
      </c>
      <c r="B2845" t="str">
        <f>IFERROR(__xludf.DUMMYFUNCTION("""COMPUTED_VALUE"""),"Dallas")</f>
        <v>Dallas</v>
      </c>
      <c r="C2845" t="str">
        <f>IFERROR(__xludf.DUMMYFUNCTION("""COMPUTED_VALUE"""),"TX")</f>
        <v>TX</v>
      </c>
      <c r="D2845" t="str">
        <f>IFERROR(__xludf.DUMMYFUNCTION("""COMPUTED_VALUE"""),"USA")</f>
        <v>USA</v>
      </c>
      <c r="E2845" s="188">
        <f>IFERROR(__xludf.DUMMYFUNCTION("""COMPUTED_VALUE"""),44299.0)</f>
        <v>44299</v>
      </c>
      <c r="F2845" s="188">
        <f>IFERROR(__xludf.DUMMYFUNCTION("""COMPUTED_VALUE"""),44345.0)</f>
        <v>44345</v>
      </c>
      <c r="G2845" t="str">
        <f>IFERROR(__xludf.DUMMYFUNCTION("""COMPUTED_VALUE"""),"Manage order page (normal text)")</f>
        <v>Manage order page (normal text)</v>
      </c>
      <c r="H2845">
        <f>IFERROR(__xludf.DUMMYFUNCTION("""COMPUTED_VALUE"""),977395.0)</f>
        <v>977395</v>
      </c>
      <c r="J2845" s="188">
        <f>IFERROR(__xludf.DUMMYFUNCTION("""COMPUTED_VALUE"""),44354.0)</f>
        <v>44354</v>
      </c>
      <c r="K2845">
        <f>IFERROR(__xludf.DUMMYFUNCTION("""COMPUTED_VALUE"""),46.0)</f>
        <v>46</v>
      </c>
      <c r="L2845">
        <f>IFERROR(__xludf.DUMMYFUNCTION("""COMPUTED_VALUE"""),9.0)</f>
        <v>9</v>
      </c>
      <c r="M2845">
        <f>IFERROR(__xludf.DUMMYFUNCTION("""COMPUTED_VALUE"""),55.0)</f>
        <v>55</v>
      </c>
      <c r="N2845" t="str">
        <f>IFERROR(__xludf.DUMMYFUNCTION("""COMPUTED_VALUE"""),"Model 3 SR+")</f>
        <v>Model 3 SR+</v>
      </c>
      <c r="O2845" t="str">
        <f>IFERROR(__xludf.DUMMYFUNCTION("""COMPUTED_VALUE"""),"Pearl White Multi-Coat")</f>
        <v>Pearl White Multi-Coat</v>
      </c>
      <c r="P2845" t="str">
        <f>IFERROR(__xludf.DUMMYFUNCTION("""COMPUTED_VALUE"""),"18 inch")</f>
        <v>18 inch</v>
      </c>
      <c r="Q2845" t="str">
        <f>IFERROR(__xludf.DUMMYFUNCTION("""COMPUTED_VALUE"""),"All Black")</f>
        <v>All Black</v>
      </c>
      <c r="R2845" t="str">
        <f>IFERROR(__xludf.DUMMYFUNCTION("""COMPUTED_VALUE"""),"Autopilot included")</f>
        <v>Autopilot included</v>
      </c>
      <c r="S2845" t="str">
        <f>IFERROR(__xludf.DUMMYFUNCTION("""COMPUTED_VALUE"""),"Loan")</f>
        <v>Loan</v>
      </c>
      <c r="T2845" t="str">
        <f>IFERROR(__xludf.DUMMYFUNCTION("""COMPUTED_VALUE"""),"Toyota Camry")</f>
        <v>Toyota Camry</v>
      </c>
      <c r="U2845" t="str">
        <f>IFERROR(__xludf.DUMMYFUNCTION("""COMPUTED_VALUE"""),"Electric!")</f>
        <v>Electric!</v>
      </c>
      <c r="V2845" t="str">
        <f>IFERROR(__xludf.DUMMYFUNCTION("""COMPUTED_VALUE"""),"Heated steering wheel")</f>
        <v>Heated steering wheel</v>
      </c>
      <c r="X2845" t="str">
        <f>IFERROR(__xludf.DUMMYFUNCTION("""COMPUTED_VALUE"""),"Very Good")</f>
        <v>Very Good</v>
      </c>
      <c r="Y2845" t="str">
        <f>IFERROR(__xludf.DUMMYFUNCTION("""COMPUTED_VALUE"""),"Excellent")</f>
        <v>Excellent</v>
      </c>
      <c r="Z2845" t="str">
        <f>IFERROR(__xludf.DUMMYFUNCTION("""COMPUTED_VALUE"""),"Very Good")</f>
        <v>Very Good</v>
      </c>
      <c r="AA2845" t="str">
        <f>IFERROR(__xludf.DUMMYFUNCTION("""COMPUTED_VALUE"""),"Very Good")</f>
        <v>Very Good</v>
      </c>
      <c r="AB2845" t="str">
        <f>IFERROR(__xludf.DUMMYFUNCTION("""COMPUTED_VALUE"""),"Very Good")</f>
        <v>Very Good</v>
      </c>
      <c r="AC2845">
        <f>IFERROR(__xludf.DUMMYFUNCTION("""COMPUTED_VALUE"""),0.0)</f>
        <v>0</v>
      </c>
      <c r="AD2845">
        <f>IFERROR(__xludf.DUMMYFUNCTION("""COMPUTED_VALUE"""),0.0)</f>
        <v>0</v>
      </c>
      <c r="AE2845">
        <f>IFERROR(__xludf.DUMMYFUNCTION("""COMPUTED_VALUE"""),0.0)</f>
        <v>0</v>
      </c>
      <c r="AF2845" t="str">
        <f>IFERROR(__xludf.DUMMYFUNCTION("""COMPUTED_VALUE"""),"No. I took delivery of the first car Tesla was able to deliver.")</f>
        <v>No. I took delivery of the first car Tesla was able to deliver.</v>
      </c>
      <c r="AG2845" t="str">
        <f>IFERROR(__xludf.DUMMYFUNCTION("""COMPUTED_VALUE"""),"Estimated Delivery Date: June 9th - June 30th")</f>
        <v>Estimated Delivery Date: June 9th - June 30th</v>
      </c>
      <c r="AH2845" s="189">
        <f>IFERROR(__xludf.DUMMYFUNCTION("""COMPUTED_VALUE"""),44355.5635000926)</f>
        <v>44355.5635</v>
      </c>
    </row>
    <row r="2846">
      <c r="A2846" t="str">
        <f>IFERROR(__xludf.DUMMYFUNCTION("""COMPUTED_VALUE"""),"jvoisin")</f>
        <v>jvoisin</v>
      </c>
      <c r="B2846" t="str">
        <f>IFERROR(__xludf.DUMMYFUNCTION("""COMPUTED_VALUE"""),"Cambridge")</f>
        <v>Cambridge</v>
      </c>
      <c r="C2846" t="str">
        <f>IFERROR(__xludf.DUMMYFUNCTION("""COMPUTED_VALUE"""),"ON")</f>
        <v>ON</v>
      </c>
      <c r="D2846" t="str">
        <f>IFERROR(__xludf.DUMMYFUNCTION("""COMPUTED_VALUE"""),"Canada")</f>
        <v>Canada</v>
      </c>
      <c r="E2846" s="188">
        <f>IFERROR(__xludf.DUMMYFUNCTION("""COMPUTED_VALUE"""),44283.0)</f>
        <v>44283</v>
      </c>
      <c r="F2846" s="188">
        <f>IFERROR(__xludf.DUMMYFUNCTION("""COMPUTED_VALUE"""),44345.0)</f>
        <v>44345</v>
      </c>
      <c r="G2846" t="str">
        <f>IFERROR(__xludf.DUMMYFUNCTION("""COMPUTED_VALUE"""),"Source code")</f>
        <v>Source code</v>
      </c>
      <c r="H2846">
        <f>IFERROR(__xludf.DUMMYFUNCTION("""COMPUTED_VALUE"""),979455.0)</f>
        <v>979455</v>
      </c>
      <c r="I2846" t="str">
        <f>IFERROR(__xludf.DUMMYFUNCTION("""COMPUTED_VALUE"""),"05/21")</f>
        <v>05/21</v>
      </c>
      <c r="J2846" s="188">
        <f>IFERROR(__xludf.DUMMYFUNCTION("""COMPUTED_VALUE"""),44353.0)</f>
        <v>44353</v>
      </c>
      <c r="K2846">
        <f>IFERROR(__xludf.DUMMYFUNCTION("""COMPUTED_VALUE"""),62.0)</f>
        <v>62</v>
      </c>
      <c r="L2846">
        <f>IFERROR(__xludf.DUMMYFUNCTION("""COMPUTED_VALUE"""),8.0)</f>
        <v>8</v>
      </c>
      <c r="M2846">
        <f>IFERROR(__xludf.DUMMYFUNCTION("""COMPUTED_VALUE"""),70.0)</f>
        <v>70</v>
      </c>
      <c r="N2846" t="str">
        <f>IFERROR(__xludf.DUMMYFUNCTION("""COMPUTED_VALUE"""),"Model 3 LR AWD")</f>
        <v>Model 3 LR AWD</v>
      </c>
      <c r="O2846" t="str">
        <f>IFERROR(__xludf.DUMMYFUNCTION("""COMPUTED_VALUE"""),"Deep Blue Metallic")</f>
        <v>Deep Blue Metallic</v>
      </c>
      <c r="P2846" t="str">
        <f>IFERROR(__xludf.DUMMYFUNCTION("""COMPUTED_VALUE"""),"18 inch")</f>
        <v>18 inch</v>
      </c>
      <c r="Q2846" t="str">
        <f>IFERROR(__xludf.DUMMYFUNCTION("""COMPUTED_VALUE"""),"All Black")</f>
        <v>All Black</v>
      </c>
      <c r="R2846" t="str">
        <f>IFERROR(__xludf.DUMMYFUNCTION("""COMPUTED_VALUE"""),"Full Self-Driving")</f>
        <v>Full Self-Driving</v>
      </c>
      <c r="S2846" t="str">
        <f>IFERROR(__xludf.DUMMYFUNCTION("""COMPUTED_VALUE"""),"Loan")</f>
        <v>Loan</v>
      </c>
      <c r="T2846" t="str">
        <f>IFERROR(__xludf.DUMMYFUNCTION("""COMPUTED_VALUE"""),"Dodge RAM Rebel/Chevy Cruze Premier RS Hatch")</f>
        <v>Dodge RAM Rebel/Chevy Cruze Premier RS Hatch</v>
      </c>
      <c r="U2846" t="str">
        <f>IFERROR(__xludf.DUMMYFUNCTION("""COMPUTED_VALUE"""),"Electric!")</f>
        <v>Electric!</v>
      </c>
      <c r="V2846" t="str">
        <f>IFERROR(__xludf.DUMMYFUNCTION("""COMPUTED_VALUE"""),"Apple CarPlay / Android Auto / SiriusXM Radio")</f>
        <v>Apple CarPlay / Android Auto / SiriusXM Radio</v>
      </c>
      <c r="X2846" t="str">
        <f>IFERROR(__xludf.DUMMYFUNCTION("""COMPUTED_VALUE"""),"Excellent")</f>
        <v>Excellent</v>
      </c>
      <c r="Y2846" t="str">
        <f>IFERROR(__xludf.DUMMYFUNCTION("""COMPUTED_VALUE"""),"Excellent")</f>
        <v>Excellent</v>
      </c>
      <c r="Z2846" t="str">
        <f>IFERROR(__xludf.DUMMYFUNCTION("""COMPUTED_VALUE"""),"Very Good")</f>
        <v>Very Good</v>
      </c>
      <c r="AA2846" t="str">
        <f>IFERROR(__xludf.DUMMYFUNCTION("""COMPUTED_VALUE"""),"Very Good")</f>
        <v>Very Good</v>
      </c>
      <c r="AB2846" t="str">
        <f>IFERROR(__xludf.DUMMYFUNCTION("""COMPUTED_VALUE"""),"Excellent")</f>
        <v>Excellent</v>
      </c>
      <c r="AC2846">
        <f>IFERROR(__xludf.DUMMYFUNCTION("""COMPUTED_VALUE"""),0.0)</f>
        <v>0</v>
      </c>
      <c r="AD2846">
        <f>IFERROR(__xludf.DUMMYFUNCTION("""COMPUTED_VALUE"""),0.0)</f>
        <v>0</v>
      </c>
      <c r="AE2846">
        <f>IFERROR(__xludf.DUMMYFUNCTION("""COMPUTED_VALUE"""),0.0)</f>
        <v>0</v>
      </c>
      <c r="AF2846" t="str">
        <f>IFERROR(__xludf.DUMMYFUNCTION("""COMPUTED_VALUE"""),"No. I took delivery of the first car Tesla was able to deliver.")</f>
        <v>No. I took delivery of the first car Tesla was able to deliver.</v>
      </c>
      <c r="AH2846" s="189">
        <f>IFERROR(__xludf.DUMMYFUNCTION("""COMPUTED_VALUE"""),44353.82942805556)</f>
        <v>44353.82943</v>
      </c>
    </row>
    <row r="2847">
      <c r="A2847" t="str">
        <f>IFERROR(__xludf.DUMMYFUNCTION("""COMPUTED_VALUE"""),"GSEagleGradDad")</f>
        <v>GSEagleGradDad</v>
      </c>
      <c r="B2847" t="str">
        <f>IFERROR(__xludf.DUMMYFUNCTION("""COMPUTED_VALUE"""),"Thomasville")</f>
        <v>Thomasville</v>
      </c>
      <c r="C2847" t="str">
        <f>IFERROR(__xludf.DUMMYFUNCTION("""COMPUTED_VALUE"""),"GA")</f>
        <v>GA</v>
      </c>
      <c r="D2847" t="str">
        <f>IFERROR(__xludf.DUMMYFUNCTION("""COMPUTED_VALUE"""),"USA")</f>
        <v>USA</v>
      </c>
      <c r="E2847" s="188">
        <f>IFERROR(__xludf.DUMMYFUNCTION("""COMPUTED_VALUE"""),44286.0)</f>
        <v>44286</v>
      </c>
      <c r="F2847" s="188">
        <f>IFERROR(__xludf.DUMMYFUNCTION("""COMPUTED_VALUE"""),44344.0)</f>
        <v>44344</v>
      </c>
      <c r="G2847" t="str">
        <f>IFERROR(__xludf.DUMMYFUNCTION("""COMPUTED_VALUE"""),"Manage order page (normal text)")</f>
        <v>Manage order page (normal text)</v>
      </c>
      <c r="H2847">
        <f>IFERROR(__xludf.DUMMYFUNCTION("""COMPUTED_VALUE"""),975355.0)</f>
        <v>975355</v>
      </c>
      <c r="I2847" t="str">
        <f>IFERROR(__xludf.DUMMYFUNCTION("""COMPUTED_VALUE"""),"05/21")</f>
        <v>05/21</v>
      </c>
      <c r="J2847" s="188">
        <f>IFERROR(__xludf.DUMMYFUNCTION("""COMPUTED_VALUE"""),44352.0)</f>
        <v>44352</v>
      </c>
      <c r="K2847">
        <f>IFERROR(__xludf.DUMMYFUNCTION("""COMPUTED_VALUE"""),58.0)</f>
        <v>58</v>
      </c>
      <c r="L2847">
        <f>IFERROR(__xludf.DUMMYFUNCTION("""COMPUTED_VALUE"""),8.0)</f>
        <v>8</v>
      </c>
      <c r="M2847">
        <f>IFERROR(__xludf.DUMMYFUNCTION("""COMPUTED_VALUE"""),66.0)</f>
        <v>66</v>
      </c>
      <c r="N2847" t="str">
        <f>IFERROR(__xludf.DUMMYFUNCTION("""COMPUTED_VALUE"""),"Model 3 LR AWD")</f>
        <v>Model 3 LR AWD</v>
      </c>
      <c r="O2847" t="str">
        <f>IFERROR(__xludf.DUMMYFUNCTION("""COMPUTED_VALUE"""),"Solid Black")</f>
        <v>Solid Black</v>
      </c>
      <c r="P2847" t="str">
        <f>IFERROR(__xludf.DUMMYFUNCTION("""COMPUTED_VALUE"""),"19 inch")</f>
        <v>19 inch</v>
      </c>
      <c r="Q2847" t="str">
        <f>IFERROR(__xludf.DUMMYFUNCTION("""COMPUTED_VALUE"""),"Black and White")</f>
        <v>Black and White</v>
      </c>
      <c r="R2847" t="str">
        <f>IFERROR(__xludf.DUMMYFUNCTION("""COMPUTED_VALUE"""),"Autopilot included")</f>
        <v>Autopilot included</v>
      </c>
      <c r="S2847" t="str">
        <f>IFERROR(__xludf.DUMMYFUNCTION("""COMPUTED_VALUE"""),"Cash")</f>
        <v>Cash</v>
      </c>
      <c r="T2847" t="str">
        <f>IFERROR(__xludf.DUMMYFUNCTION("""COMPUTED_VALUE"""),"Ford Mustang")</f>
        <v>Ford Mustang</v>
      </c>
      <c r="U2847" t="str">
        <f>IFERROR(__xludf.DUMMYFUNCTION("""COMPUTED_VALUE"""),"Electric!")</f>
        <v>Electric!</v>
      </c>
      <c r="X2847" t="str">
        <f>IFERROR(__xludf.DUMMYFUNCTION("""COMPUTED_VALUE"""),"Very Good")</f>
        <v>Very Good</v>
      </c>
      <c r="Y2847" t="str">
        <f>IFERROR(__xludf.DUMMYFUNCTION("""COMPUTED_VALUE"""),"Excellent")</f>
        <v>Excellent</v>
      </c>
      <c r="Z2847" t="str">
        <f>IFERROR(__xludf.DUMMYFUNCTION("""COMPUTED_VALUE"""),"Very Good")</f>
        <v>Very Good</v>
      </c>
      <c r="AA2847" t="str">
        <f>IFERROR(__xludf.DUMMYFUNCTION("""COMPUTED_VALUE"""),"Poor")</f>
        <v>Poor</v>
      </c>
      <c r="AB2847" t="str">
        <f>IFERROR(__xludf.DUMMYFUNCTION("""COMPUTED_VALUE"""),"Excellent")</f>
        <v>Excellent</v>
      </c>
      <c r="AF2847" t="str">
        <f>IFERROR(__xludf.DUMMYFUNCTION("""COMPUTED_VALUE"""),"No. I took delivery of the first car Tesla was able to deliver.")</f>
        <v>No. I took delivery of the first car Tesla was able to deliver.</v>
      </c>
      <c r="AH2847" s="189">
        <f>IFERROR(__xludf.DUMMYFUNCTION("""COMPUTED_VALUE"""),44354.18808325232)</f>
        <v>44354.18808</v>
      </c>
    </row>
    <row r="2848">
      <c r="A2848" t="str">
        <f>IFERROR(__xludf.DUMMYFUNCTION("""COMPUTED_VALUE"""),"SimeriaIonut")</f>
        <v>SimeriaIonut</v>
      </c>
      <c r="B2848" t="str">
        <f>IFERROR(__xludf.DUMMYFUNCTION("""COMPUTED_VALUE"""),"Copenhagen, Denmark")</f>
        <v>Copenhagen, Denmark</v>
      </c>
      <c r="D2848" t="str">
        <f>IFERROR(__xludf.DUMMYFUNCTION("""COMPUTED_VALUE"""),"Other (include country together with city)")</f>
        <v>Other (include country together with city)</v>
      </c>
      <c r="E2848" s="188">
        <f>IFERROR(__xludf.DUMMYFUNCTION("""COMPUTED_VALUE"""),44299.0)</f>
        <v>44299</v>
      </c>
      <c r="F2848" s="188">
        <f>IFERROR(__xludf.DUMMYFUNCTION("""COMPUTED_VALUE"""),44328.0)</f>
        <v>44328</v>
      </c>
      <c r="G2848" t="str">
        <f>IFERROR(__xludf.DUMMYFUNCTION("""COMPUTED_VALUE"""),"Phone call")</f>
        <v>Phone call</v>
      </c>
      <c r="H2848">
        <f>IFERROR(__xludf.DUMMYFUNCTION("""COMPUTED_VALUE"""),961955.0)</f>
        <v>961955</v>
      </c>
      <c r="J2848" s="188">
        <f>IFERROR(__xludf.DUMMYFUNCTION("""COMPUTED_VALUE"""),44383.0)</f>
        <v>44383</v>
      </c>
      <c r="K2848">
        <f>IFERROR(__xludf.DUMMYFUNCTION("""COMPUTED_VALUE"""),29.0)</f>
        <v>29</v>
      </c>
      <c r="L2848">
        <f>IFERROR(__xludf.DUMMYFUNCTION("""COMPUTED_VALUE"""),55.0)</f>
        <v>55</v>
      </c>
      <c r="M2848">
        <f>IFERROR(__xludf.DUMMYFUNCTION("""COMPUTED_VALUE"""),84.0)</f>
        <v>84</v>
      </c>
      <c r="N2848" t="str">
        <f>IFERROR(__xludf.DUMMYFUNCTION("""COMPUTED_VALUE"""),"Model 3 LR AWD")</f>
        <v>Model 3 LR AWD</v>
      </c>
      <c r="O2848" t="str">
        <f>IFERROR(__xludf.DUMMYFUNCTION("""COMPUTED_VALUE"""),"Solid Black")</f>
        <v>Solid Black</v>
      </c>
      <c r="P2848" t="str">
        <f>IFERROR(__xludf.DUMMYFUNCTION("""COMPUTED_VALUE"""),"18 inch")</f>
        <v>18 inch</v>
      </c>
      <c r="Q2848" t="str">
        <f>IFERROR(__xludf.DUMMYFUNCTION("""COMPUTED_VALUE"""),"All Black")</f>
        <v>All Black</v>
      </c>
      <c r="R2848" t="str">
        <f>IFERROR(__xludf.DUMMYFUNCTION("""COMPUTED_VALUE"""),"Autopilot included")</f>
        <v>Autopilot included</v>
      </c>
      <c r="S2848" t="str">
        <f>IFERROR(__xludf.DUMMYFUNCTION("""COMPUTED_VALUE"""),"Loan")</f>
        <v>Loan</v>
      </c>
      <c r="T2848" t="str">
        <f>IFERROR(__xludf.DUMMYFUNCTION("""COMPUTED_VALUE"""),"BMW 1 Series")</f>
        <v>BMW 1 Series</v>
      </c>
      <c r="U2848" t="str">
        <f>IFERROR(__xludf.DUMMYFUNCTION("""COMPUTED_VALUE"""),"Electric!")</f>
        <v>Electric!</v>
      </c>
      <c r="V2848" t="str">
        <f>IFERROR(__xludf.DUMMYFUNCTION("""COMPUTED_VALUE"""),"Blind spot indicators on side mirrors")</f>
        <v>Blind spot indicators on side mirrors</v>
      </c>
      <c r="AH2848" s="189">
        <f>IFERROR(__xludf.DUMMYFUNCTION("""COMPUTED_VALUE"""),44334.267755787034)</f>
        <v>44334.26776</v>
      </c>
    </row>
    <row r="2849">
      <c r="A2849" t="str">
        <f>IFERROR(__xludf.DUMMYFUNCTION("""COMPUTED_VALUE"""),"teemaw")</f>
        <v>teemaw</v>
      </c>
      <c r="B2849" t="str">
        <f>IFERROR(__xludf.DUMMYFUNCTION("""COMPUTED_VALUE"""),"Kansas City")</f>
        <v>Kansas City</v>
      </c>
      <c r="C2849" t="str">
        <f>IFERROR(__xludf.DUMMYFUNCTION("""COMPUTED_VALUE"""),"MO")</f>
        <v>MO</v>
      </c>
      <c r="D2849" t="str">
        <f>IFERROR(__xludf.DUMMYFUNCTION("""COMPUTED_VALUE"""),"USA")</f>
        <v>USA</v>
      </c>
      <c r="E2849" s="188">
        <f>IFERROR(__xludf.DUMMYFUNCTION("""COMPUTED_VALUE"""),44287.0)</f>
        <v>44287</v>
      </c>
      <c r="F2849" s="188">
        <f>IFERROR(__xludf.DUMMYFUNCTION("""COMPUTED_VALUE"""),44343.0)</f>
        <v>44343</v>
      </c>
      <c r="G2849" t="str">
        <f>IFERROR(__xludf.DUMMYFUNCTION("""COMPUTED_VALUE"""),"Manage order page (normal text)")</f>
        <v>Manage order page (normal text)</v>
      </c>
      <c r="H2849">
        <f>IFERROR(__xludf.DUMMYFUNCTION("""COMPUTED_VALUE"""),975755.0)</f>
        <v>975755</v>
      </c>
      <c r="J2849" s="188">
        <f>IFERROR(__xludf.DUMMYFUNCTION("""COMPUTED_VALUE"""),44345.0)</f>
        <v>44345</v>
      </c>
      <c r="K2849">
        <f>IFERROR(__xludf.DUMMYFUNCTION("""COMPUTED_VALUE"""),56.0)</f>
        <v>56</v>
      </c>
      <c r="L2849">
        <f>IFERROR(__xludf.DUMMYFUNCTION("""COMPUTED_VALUE"""),2.0)</f>
        <v>2</v>
      </c>
      <c r="M2849">
        <f>IFERROR(__xludf.DUMMYFUNCTION("""COMPUTED_VALUE"""),58.0)</f>
        <v>58</v>
      </c>
      <c r="N2849" t="str">
        <f>IFERROR(__xludf.DUMMYFUNCTION("""COMPUTED_VALUE"""),"Model 3 LR AWD")</f>
        <v>Model 3 LR AWD</v>
      </c>
      <c r="O2849" t="str">
        <f>IFERROR(__xludf.DUMMYFUNCTION("""COMPUTED_VALUE"""),"Pearl White Multi-Coat")</f>
        <v>Pearl White Multi-Coat</v>
      </c>
      <c r="P2849" t="str">
        <f>IFERROR(__xludf.DUMMYFUNCTION("""COMPUTED_VALUE"""),"18 inch")</f>
        <v>18 inch</v>
      </c>
      <c r="Q2849" t="str">
        <f>IFERROR(__xludf.DUMMYFUNCTION("""COMPUTED_VALUE"""),"Black and White")</f>
        <v>Black and White</v>
      </c>
      <c r="R2849" t="str">
        <f>IFERROR(__xludf.DUMMYFUNCTION("""COMPUTED_VALUE"""),"Autopilot included")</f>
        <v>Autopilot included</v>
      </c>
      <c r="S2849" t="str">
        <f>IFERROR(__xludf.DUMMYFUNCTION("""COMPUTED_VALUE"""),"Loan")</f>
        <v>Loan</v>
      </c>
      <c r="T2849" t="str">
        <f>IFERROR(__xludf.DUMMYFUNCTION("""COMPUTED_VALUE"""),"Honda Civic")</f>
        <v>Honda Civic</v>
      </c>
      <c r="U2849" t="str">
        <f>IFERROR(__xludf.DUMMYFUNCTION("""COMPUTED_VALUE"""),"Electric!")</f>
        <v>Electric!</v>
      </c>
      <c r="V2849" t="str">
        <f>IFERROR(__xludf.DUMMYFUNCTION("""COMPUTED_VALUE"""),"Head-up display")</f>
        <v>Head-up display</v>
      </c>
      <c r="X2849" t="str">
        <f>IFERROR(__xludf.DUMMYFUNCTION("""COMPUTED_VALUE"""),"Very Good")</f>
        <v>Very Good</v>
      </c>
      <c r="Y2849" t="str">
        <f>IFERROR(__xludf.DUMMYFUNCTION("""COMPUTED_VALUE"""),"Excellent")</f>
        <v>Excellent</v>
      </c>
      <c r="Z2849" t="str">
        <f>IFERROR(__xludf.DUMMYFUNCTION("""COMPUTED_VALUE"""),"Excellent")</f>
        <v>Excellent</v>
      </c>
      <c r="AA2849" t="str">
        <f>IFERROR(__xludf.DUMMYFUNCTION("""COMPUTED_VALUE"""),"Good")</f>
        <v>Good</v>
      </c>
      <c r="AB2849" t="str">
        <f>IFERROR(__xludf.DUMMYFUNCTION("""COMPUTED_VALUE"""),"Fair")</f>
        <v>Fair</v>
      </c>
      <c r="AC2849">
        <f>IFERROR(__xludf.DUMMYFUNCTION("""COMPUTED_VALUE"""),0.0)</f>
        <v>0</v>
      </c>
      <c r="AD2849">
        <f>IFERROR(__xludf.DUMMYFUNCTION("""COMPUTED_VALUE"""),0.0)</f>
        <v>0</v>
      </c>
      <c r="AE2849">
        <f>IFERROR(__xludf.DUMMYFUNCTION("""COMPUTED_VALUE"""),0.0)</f>
        <v>0</v>
      </c>
      <c r="AF2849" t="str">
        <f>IFERROR(__xludf.DUMMYFUNCTION("""COMPUTED_VALUE"""),"No. I took delivery of the first car Tesla was able to deliver.")</f>
        <v>No. I took delivery of the first car Tesla was able to deliver.</v>
      </c>
      <c r="AH2849" s="189">
        <f>IFERROR(__xludf.DUMMYFUNCTION("""COMPUTED_VALUE"""),44345.98159980324)</f>
        <v>44345.9816</v>
      </c>
    </row>
    <row r="2850">
      <c r="A2850" t="str">
        <f>IFERROR(__xludf.DUMMYFUNCTION("""COMPUTED_VALUE"""),"trogbd")</f>
        <v>trogbd</v>
      </c>
      <c r="B2850" t="str">
        <f>IFERROR(__xludf.DUMMYFUNCTION("""COMPUTED_VALUE"""),"Denver")</f>
        <v>Denver</v>
      </c>
      <c r="C2850" t="str">
        <f>IFERROR(__xludf.DUMMYFUNCTION("""COMPUTED_VALUE"""),"CO")</f>
        <v>CO</v>
      </c>
      <c r="D2850" t="str">
        <f>IFERROR(__xludf.DUMMYFUNCTION("""COMPUTED_VALUE"""),"USA")</f>
        <v>USA</v>
      </c>
      <c r="E2850" s="188">
        <f>IFERROR(__xludf.DUMMYFUNCTION("""COMPUTED_VALUE"""),44297.0)</f>
        <v>44297</v>
      </c>
      <c r="F2850" s="188">
        <f>IFERROR(__xludf.DUMMYFUNCTION("""COMPUTED_VALUE"""),44352.0)</f>
        <v>44352</v>
      </c>
      <c r="G2850" t="str">
        <f>IFERROR(__xludf.DUMMYFUNCTION("""COMPUTED_VALUE"""),"Manage order page (normal text)")</f>
        <v>Manage order page (normal text)</v>
      </c>
      <c r="H2850">
        <f>IFERROR(__xludf.DUMMYFUNCTION("""COMPUTED_VALUE"""),986813.0)</f>
        <v>986813</v>
      </c>
      <c r="I2850" t="str">
        <f>IFERROR(__xludf.DUMMYFUNCTION("""COMPUTED_VALUE"""),"05/21")</f>
        <v>05/21</v>
      </c>
      <c r="J2850" s="188">
        <f>IFERROR(__xludf.DUMMYFUNCTION("""COMPUTED_VALUE"""),44362.0)</f>
        <v>44362</v>
      </c>
      <c r="K2850">
        <f>IFERROR(__xludf.DUMMYFUNCTION("""COMPUTED_VALUE"""),55.0)</f>
        <v>55</v>
      </c>
      <c r="L2850">
        <f>IFERROR(__xludf.DUMMYFUNCTION("""COMPUTED_VALUE"""),10.0)</f>
        <v>10</v>
      </c>
      <c r="M2850">
        <f>IFERROR(__xludf.DUMMYFUNCTION("""COMPUTED_VALUE"""),65.0)</f>
        <v>65</v>
      </c>
      <c r="N2850" t="str">
        <f>IFERROR(__xludf.DUMMYFUNCTION("""COMPUTED_VALUE"""),"Model 3 SR+")</f>
        <v>Model 3 SR+</v>
      </c>
      <c r="O2850" t="str">
        <f>IFERROR(__xludf.DUMMYFUNCTION("""COMPUTED_VALUE"""),"Solid Black")</f>
        <v>Solid Black</v>
      </c>
      <c r="P2850" t="str">
        <f>IFERROR(__xludf.DUMMYFUNCTION("""COMPUTED_VALUE"""),"18 inch")</f>
        <v>18 inch</v>
      </c>
      <c r="Q2850" t="str">
        <f>IFERROR(__xludf.DUMMYFUNCTION("""COMPUTED_VALUE"""),"All Black")</f>
        <v>All Black</v>
      </c>
      <c r="R2850" t="str">
        <f>IFERROR(__xludf.DUMMYFUNCTION("""COMPUTED_VALUE"""),"Autopilot included")</f>
        <v>Autopilot included</v>
      </c>
      <c r="S2850" t="str">
        <f>IFERROR(__xludf.DUMMYFUNCTION("""COMPUTED_VALUE"""),"Lease")</f>
        <v>Lease</v>
      </c>
      <c r="T2850" t="str">
        <f>IFERROR(__xludf.DUMMYFUNCTION("""COMPUTED_VALUE"""),"Honda Civic")</f>
        <v>Honda Civic</v>
      </c>
      <c r="U2850" t="str">
        <f>IFERROR(__xludf.DUMMYFUNCTION("""COMPUTED_VALUE"""),"Autopilot")</f>
        <v>Autopilot</v>
      </c>
      <c r="V2850" t="str">
        <f>IFERROR(__xludf.DUMMYFUNCTION("""COMPUTED_VALUE"""),"Apple CarPlay / Android Auto / SiriusXM Radio")</f>
        <v>Apple CarPlay / Android Auto / SiriusXM Radio</v>
      </c>
      <c r="W2850" t="str">
        <f>IFERROR(__xludf.DUMMYFUNCTION("""COMPUTED_VALUE"""),"Be patient. No need to harass Tesla employees about VIN assignment, updates, or anything like that.")</f>
        <v>Be patient. No need to harass Tesla employees about VIN assignment, updates, or anything like that.</v>
      </c>
      <c r="X2850" t="str">
        <f>IFERROR(__xludf.DUMMYFUNCTION("""COMPUTED_VALUE"""),"Excellent")</f>
        <v>Excellent</v>
      </c>
      <c r="Y2850" t="str">
        <f>IFERROR(__xludf.DUMMYFUNCTION("""COMPUTED_VALUE"""),"Excellent")</f>
        <v>Excellent</v>
      </c>
      <c r="Z2850" t="str">
        <f>IFERROR(__xludf.DUMMYFUNCTION("""COMPUTED_VALUE"""),"Very Good")</f>
        <v>Very Good</v>
      </c>
      <c r="AA2850" t="str">
        <f>IFERROR(__xludf.DUMMYFUNCTION("""COMPUTED_VALUE"""),"Good")</f>
        <v>Good</v>
      </c>
      <c r="AB2850" t="str">
        <f>IFERROR(__xludf.DUMMYFUNCTION("""COMPUTED_VALUE"""),"Excellent")</f>
        <v>Excellent</v>
      </c>
      <c r="AC2850">
        <f>IFERROR(__xludf.DUMMYFUNCTION("""COMPUTED_VALUE"""),1.0)</f>
        <v>1</v>
      </c>
      <c r="AD2850">
        <f>IFERROR(__xludf.DUMMYFUNCTION("""COMPUTED_VALUE"""),1.0)</f>
        <v>1</v>
      </c>
      <c r="AE2850">
        <f>IFERROR(__xludf.DUMMYFUNCTION("""COMPUTED_VALUE"""),0.0)</f>
        <v>0</v>
      </c>
      <c r="AF2850" t="str">
        <f>IFERROR(__xludf.DUMMYFUNCTION("""COMPUTED_VALUE"""),"No. I took delivery of the first car Tesla was able to deliver.")</f>
        <v>No. I took delivery of the first car Tesla was able to deliver.</v>
      </c>
      <c r="AH2850" s="189">
        <f>IFERROR(__xludf.DUMMYFUNCTION("""COMPUTED_VALUE"""),44366.327128171295)</f>
        <v>44366.32713</v>
      </c>
    </row>
    <row r="2851">
      <c r="A2851" t="str">
        <f>IFERROR(__xludf.DUMMYFUNCTION("""COMPUTED_VALUE"""),"ChrisSFoot")</f>
        <v>ChrisSFoot</v>
      </c>
      <c r="B2851" t="str">
        <f>IFERROR(__xludf.DUMMYFUNCTION("""COMPUTED_VALUE"""),"Aylesbury")</f>
        <v>Aylesbury</v>
      </c>
      <c r="D2851" t="str">
        <f>IFERROR(__xludf.DUMMYFUNCTION("""COMPUTED_VALUE"""),"United Kingdom")</f>
        <v>United Kingdom</v>
      </c>
      <c r="E2851" s="188">
        <f>IFERROR(__xludf.DUMMYFUNCTION("""COMPUTED_VALUE"""),44305.0)</f>
        <v>44305</v>
      </c>
      <c r="F2851" s="188">
        <f>IFERROR(__xludf.DUMMYFUNCTION("""COMPUTED_VALUE"""),44319.0)</f>
        <v>44319</v>
      </c>
      <c r="G2851" t="str">
        <f>IFERROR(__xludf.DUMMYFUNCTION("""COMPUTED_VALUE"""),"Invoice on order page")</f>
        <v>Invoice on order page</v>
      </c>
      <c r="H2851">
        <f>IFERROR(__xludf.DUMMYFUNCTION("""COMPUTED_VALUE"""),218905.0)</f>
        <v>218905</v>
      </c>
      <c r="J2851" s="188">
        <f>IFERROR(__xludf.DUMMYFUNCTION("""COMPUTED_VALUE"""),44337.0)</f>
        <v>44337</v>
      </c>
      <c r="K2851">
        <f>IFERROR(__xludf.DUMMYFUNCTION("""COMPUTED_VALUE"""),14.0)</f>
        <v>14</v>
      </c>
      <c r="L2851">
        <f>IFERROR(__xludf.DUMMYFUNCTION("""COMPUTED_VALUE"""),18.0)</f>
        <v>18</v>
      </c>
      <c r="M2851">
        <f>IFERROR(__xludf.DUMMYFUNCTION("""COMPUTED_VALUE"""),32.0)</f>
        <v>32</v>
      </c>
      <c r="N2851" t="str">
        <f>IFERROR(__xludf.DUMMYFUNCTION("""COMPUTED_VALUE"""),"Model 3 LR AWD")</f>
        <v>Model 3 LR AWD</v>
      </c>
      <c r="O2851" t="str">
        <f>IFERROR(__xludf.DUMMYFUNCTION("""COMPUTED_VALUE"""),"Midnight Silver Metallic")</f>
        <v>Midnight Silver Metallic</v>
      </c>
      <c r="P2851" t="str">
        <f>IFERROR(__xludf.DUMMYFUNCTION("""COMPUTED_VALUE"""),"18 inch")</f>
        <v>18 inch</v>
      </c>
      <c r="Q2851" t="str">
        <f>IFERROR(__xludf.DUMMYFUNCTION("""COMPUTED_VALUE"""),"All Black")</f>
        <v>All Black</v>
      </c>
      <c r="R2851" t="str">
        <f>IFERROR(__xludf.DUMMYFUNCTION("""COMPUTED_VALUE"""),"Autopilot included")</f>
        <v>Autopilot included</v>
      </c>
      <c r="S2851" t="str">
        <f>IFERROR(__xludf.DUMMYFUNCTION("""COMPUTED_VALUE"""),"Lease")</f>
        <v>Lease</v>
      </c>
      <c r="T2851" t="str">
        <f>IFERROR(__xludf.DUMMYFUNCTION("""COMPUTED_VALUE"""),"Renault Zoe")</f>
        <v>Renault Zoe</v>
      </c>
      <c r="U2851" t="str">
        <f>IFERROR(__xludf.DUMMYFUNCTION("""COMPUTED_VALUE"""),"Gadgets")</f>
        <v>Gadgets</v>
      </c>
      <c r="V2851" t="str">
        <f>IFERROR(__xludf.DUMMYFUNCTION("""COMPUTED_VALUE"""),"Apple CarPlay / Android Auto / SiriusXM Radio")</f>
        <v>Apple CarPlay / Android Auto / SiriusXM Radio</v>
      </c>
      <c r="X2851" t="str">
        <f>IFERROR(__xludf.DUMMYFUNCTION("""COMPUTED_VALUE"""),"Excellent")</f>
        <v>Excellent</v>
      </c>
      <c r="Y2851" t="str">
        <f>IFERROR(__xludf.DUMMYFUNCTION("""COMPUTED_VALUE"""),"Excellent")</f>
        <v>Excellent</v>
      </c>
      <c r="Z2851" t="str">
        <f>IFERROR(__xludf.DUMMYFUNCTION("""COMPUTED_VALUE"""),"Excellent")</f>
        <v>Excellent</v>
      </c>
      <c r="AA2851" t="str">
        <f>IFERROR(__xludf.DUMMYFUNCTION("""COMPUTED_VALUE"""),"Excellent")</f>
        <v>Excellent</v>
      </c>
      <c r="AB2851" t="str">
        <f>IFERROR(__xludf.DUMMYFUNCTION("""COMPUTED_VALUE"""),"Excellent")</f>
        <v>Excellent</v>
      </c>
      <c r="AC2851">
        <f>IFERROR(__xludf.DUMMYFUNCTION("""COMPUTED_VALUE"""),0.0)</f>
        <v>0</v>
      </c>
      <c r="AD2851">
        <f>IFERROR(__xludf.DUMMYFUNCTION("""COMPUTED_VALUE"""),0.0)</f>
        <v>0</v>
      </c>
      <c r="AE2851">
        <f>IFERROR(__xludf.DUMMYFUNCTION("""COMPUTED_VALUE"""),0.0)</f>
        <v>0</v>
      </c>
      <c r="AF2851" t="str">
        <f>IFERROR(__xludf.DUMMYFUNCTION("""COMPUTED_VALUE"""),"No. I took delivery of the first car Tesla was able to deliver.")</f>
        <v>No. I took delivery of the first car Tesla was able to deliver.</v>
      </c>
      <c r="AH2851" s="189">
        <f>IFERROR(__xludf.DUMMYFUNCTION("""COMPUTED_VALUE"""),44376.20912699074)</f>
        <v>44376.20913</v>
      </c>
    </row>
    <row r="2852">
      <c r="A2852" t="str">
        <f>IFERROR(__xludf.DUMMYFUNCTION("""COMPUTED_VALUE"""),"Dr_RWM")</f>
        <v>Dr_RWM</v>
      </c>
      <c r="B2852" t="str">
        <f>IFERROR(__xludf.DUMMYFUNCTION("""COMPUTED_VALUE"""),"Mount Dora")</f>
        <v>Mount Dora</v>
      </c>
      <c r="C2852" t="str">
        <f>IFERROR(__xludf.DUMMYFUNCTION("""COMPUTED_VALUE"""),"FL")</f>
        <v>FL</v>
      </c>
      <c r="D2852" t="str">
        <f>IFERROR(__xludf.DUMMYFUNCTION("""COMPUTED_VALUE"""),"USA")</f>
        <v>USA</v>
      </c>
      <c r="E2852" s="188">
        <f>IFERROR(__xludf.DUMMYFUNCTION("""COMPUTED_VALUE"""),44305.0)</f>
        <v>44305</v>
      </c>
      <c r="F2852" s="188">
        <f>IFERROR(__xludf.DUMMYFUNCTION("""COMPUTED_VALUE"""),44345.0)</f>
        <v>44345</v>
      </c>
      <c r="G2852" t="str">
        <f>IFERROR(__xludf.DUMMYFUNCTION("""COMPUTED_VALUE"""),"Manage order page (normal text)")</f>
        <v>Manage order page (normal text)</v>
      </c>
      <c r="H2852">
        <f>IFERROR(__xludf.DUMMYFUNCTION("""COMPUTED_VALUE"""),978855.0)</f>
        <v>978855</v>
      </c>
      <c r="I2852" t="str">
        <f>IFERROR(__xludf.DUMMYFUNCTION("""COMPUTED_VALUE"""),"05/21")</f>
        <v>05/21</v>
      </c>
      <c r="J2852" s="188">
        <f>IFERROR(__xludf.DUMMYFUNCTION("""COMPUTED_VALUE"""),44357.0)</f>
        <v>44357</v>
      </c>
      <c r="K2852">
        <f>IFERROR(__xludf.DUMMYFUNCTION("""COMPUTED_VALUE"""),40.0)</f>
        <v>40</v>
      </c>
      <c r="L2852">
        <f>IFERROR(__xludf.DUMMYFUNCTION("""COMPUTED_VALUE"""),12.0)</f>
        <v>12</v>
      </c>
      <c r="M2852">
        <f>IFERROR(__xludf.DUMMYFUNCTION("""COMPUTED_VALUE"""),52.0)</f>
        <v>52</v>
      </c>
      <c r="N2852" t="str">
        <f>IFERROR(__xludf.DUMMYFUNCTION("""COMPUTED_VALUE"""),"Model 3 LR AWD")</f>
        <v>Model 3 LR AWD</v>
      </c>
      <c r="O2852" t="str">
        <f>IFERROR(__xludf.DUMMYFUNCTION("""COMPUTED_VALUE"""),"Red Multi-Coat")</f>
        <v>Red Multi-Coat</v>
      </c>
      <c r="P2852" t="str">
        <f>IFERROR(__xludf.DUMMYFUNCTION("""COMPUTED_VALUE"""),"18 inch")</f>
        <v>18 inch</v>
      </c>
      <c r="Q2852" t="str">
        <f>IFERROR(__xludf.DUMMYFUNCTION("""COMPUTED_VALUE"""),"All Black")</f>
        <v>All Black</v>
      </c>
      <c r="R2852" t="str">
        <f>IFERROR(__xludf.DUMMYFUNCTION("""COMPUTED_VALUE"""),"Full Self-Driving")</f>
        <v>Full Self-Driving</v>
      </c>
      <c r="S2852" t="str">
        <f>IFERROR(__xludf.DUMMYFUNCTION("""COMPUTED_VALUE"""),"Cash")</f>
        <v>Cash</v>
      </c>
      <c r="T2852" t="str">
        <f>IFERROR(__xludf.DUMMYFUNCTION("""COMPUTED_VALUE"""),"Buick Encore")</f>
        <v>Buick Encore</v>
      </c>
      <c r="U2852" t="str">
        <f>IFERROR(__xludf.DUMMYFUNCTION("""COMPUTED_VALUE"""),"Electric!")</f>
        <v>Electric!</v>
      </c>
      <c r="V2852" t="str">
        <f>IFERROR(__xludf.DUMMYFUNCTION("""COMPUTED_VALUE"""),"Head-up display")</f>
        <v>Head-up display</v>
      </c>
      <c r="W2852" t="str">
        <f>IFERROR(__xludf.DUMMYFUNCTION("""COMPUTED_VALUE"""),"Use my referral code to get 1000 free supercharger miles: http://ts.la/richard48847")</f>
        <v>Use my referral code to get 1000 free supercharger miles: http://ts.la/richard48847</v>
      </c>
      <c r="X2852" t="str">
        <f>IFERROR(__xludf.DUMMYFUNCTION("""COMPUTED_VALUE"""),"Excellent")</f>
        <v>Excellent</v>
      </c>
      <c r="Y2852" t="str">
        <f>IFERROR(__xludf.DUMMYFUNCTION("""COMPUTED_VALUE"""),"Excellent")</f>
        <v>Excellent</v>
      </c>
      <c r="Z2852" t="str">
        <f>IFERROR(__xludf.DUMMYFUNCTION("""COMPUTED_VALUE"""),"Excellent")</f>
        <v>Excellent</v>
      </c>
      <c r="AA2852" t="str">
        <f>IFERROR(__xludf.DUMMYFUNCTION("""COMPUTED_VALUE"""),"Good")</f>
        <v>Good</v>
      </c>
      <c r="AB2852" t="str">
        <f>IFERROR(__xludf.DUMMYFUNCTION("""COMPUTED_VALUE"""),"Very Good")</f>
        <v>Very Good</v>
      </c>
      <c r="AC2852">
        <f>IFERROR(__xludf.DUMMYFUNCTION("""COMPUTED_VALUE"""),0.0)</f>
        <v>0</v>
      </c>
      <c r="AD2852">
        <f>IFERROR(__xludf.DUMMYFUNCTION("""COMPUTED_VALUE"""),0.0)</f>
        <v>0</v>
      </c>
      <c r="AE2852">
        <f>IFERROR(__xludf.DUMMYFUNCTION("""COMPUTED_VALUE"""),0.0)</f>
        <v>0</v>
      </c>
      <c r="AF2852" t="str">
        <f>IFERROR(__xludf.DUMMYFUNCTION("""COMPUTED_VALUE"""),"No. I took delivery of the first car Tesla was able to deliver.")</f>
        <v>No. I took delivery of the first car Tesla was able to deliver.</v>
      </c>
      <c r="AG2852" t="str">
        <f>IFERROR(__xludf.DUMMYFUNCTION("""COMPUTED_VALUE"""),"Car was perfect on delivery")</f>
        <v>Car was perfect on delivery</v>
      </c>
      <c r="AH2852" s="189">
        <f>IFERROR(__xludf.DUMMYFUNCTION("""COMPUTED_VALUE"""),44382.58180684027)</f>
        <v>44382.58181</v>
      </c>
    </row>
    <row r="2853">
      <c r="A2853" t="str">
        <f>IFERROR(__xludf.DUMMYFUNCTION("""COMPUTED_VALUE"""),"Ladykwokq")</f>
        <v>Ladykwokq</v>
      </c>
      <c r="B2853" t="str">
        <f>IFERROR(__xludf.DUMMYFUNCTION("""COMPUTED_VALUE"""),"London")</f>
        <v>London</v>
      </c>
      <c r="D2853" t="str">
        <f>IFERROR(__xludf.DUMMYFUNCTION("""COMPUTED_VALUE"""),"United Kingdom")</f>
        <v>United Kingdom</v>
      </c>
      <c r="E2853" s="188">
        <f>IFERROR(__xludf.DUMMYFUNCTION("""COMPUTED_VALUE"""),44235.0)</f>
        <v>44235</v>
      </c>
      <c r="G2853" t="str">
        <f>IFERROR(__xludf.DUMMYFUNCTION("""COMPUTED_VALUE"""),"Text message")</f>
        <v>Text message</v>
      </c>
      <c r="I2853" t="str">
        <f>IFERROR(__xludf.DUMMYFUNCTION("""COMPUTED_VALUE"""),"02/21")</f>
        <v>02/21</v>
      </c>
      <c r="J2853" s="188">
        <f>IFERROR(__xludf.DUMMYFUNCTION("""COMPUTED_VALUE"""),44273.0)</f>
        <v>44273</v>
      </c>
      <c r="M2853">
        <f>IFERROR(__xludf.DUMMYFUNCTION("""COMPUTED_VALUE"""),38.0)</f>
        <v>38</v>
      </c>
      <c r="N2853" t="str">
        <f>IFERROR(__xludf.DUMMYFUNCTION("""COMPUTED_VALUE"""),"Model 3 LR AWD")</f>
        <v>Model 3 LR AWD</v>
      </c>
      <c r="O2853" t="str">
        <f>IFERROR(__xludf.DUMMYFUNCTION("""COMPUTED_VALUE"""),"Solid Black")</f>
        <v>Solid Black</v>
      </c>
      <c r="P2853" t="str">
        <f>IFERROR(__xludf.DUMMYFUNCTION("""COMPUTED_VALUE"""),"18 inch")</f>
        <v>18 inch</v>
      </c>
      <c r="Q2853" t="str">
        <f>IFERROR(__xludf.DUMMYFUNCTION("""COMPUTED_VALUE"""),"All Black")</f>
        <v>All Black</v>
      </c>
      <c r="S2853" t="str">
        <f>IFERROR(__xludf.DUMMYFUNCTION("""COMPUTED_VALUE"""),"Cash")</f>
        <v>Cash</v>
      </c>
      <c r="U2853" t="str">
        <f>IFERROR(__xludf.DUMMYFUNCTION("""COMPUTED_VALUE"""),"Rate of acceleration ")</f>
        <v>Rate of acceleration </v>
      </c>
      <c r="V2853" t="str">
        <f>IFERROR(__xludf.DUMMYFUNCTION("""COMPUTED_VALUE"""),"Opening roof")</f>
        <v>Opening roof</v>
      </c>
      <c r="X2853" t="str">
        <f>IFERROR(__xludf.DUMMYFUNCTION("""COMPUTED_VALUE"""),"Excellent")</f>
        <v>Excellent</v>
      </c>
      <c r="Y2853" t="str">
        <f>IFERROR(__xludf.DUMMYFUNCTION("""COMPUTED_VALUE"""),"Excellent")</f>
        <v>Excellent</v>
      </c>
      <c r="Z2853" t="str">
        <f>IFERROR(__xludf.DUMMYFUNCTION("""COMPUTED_VALUE"""),"Excellent")</f>
        <v>Excellent</v>
      </c>
      <c r="AA2853" t="str">
        <f>IFERROR(__xludf.DUMMYFUNCTION("""COMPUTED_VALUE"""),"Very Good")</f>
        <v>Very Good</v>
      </c>
      <c r="AB2853" t="str">
        <f>IFERROR(__xludf.DUMMYFUNCTION("""COMPUTED_VALUE"""),"Very Good")</f>
        <v>Very Good</v>
      </c>
      <c r="AC2853">
        <f>IFERROR(__xludf.DUMMYFUNCTION("""COMPUTED_VALUE"""),0.0)</f>
        <v>0</v>
      </c>
      <c r="AD2853">
        <f>IFERROR(__xludf.DUMMYFUNCTION("""COMPUTED_VALUE"""),0.0)</f>
        <v>0</v>
      </c>
      <c r="AE2853">
        <f>IFERROR(__xludf.DUMMYFUNCTION("""COMPUTED_VALUE"""),0.0)</f>
        <v>0</v>
      </c>
      <c r="AF2853" t="str">
        <f>IFERROR(__xludf.DUMMYFUNCTION("""COMPUTED_VALUE"""),"No. I took delivery of the first car Tesla was able to deliver.")</f>
        <v>No. I took delivery of the first car Tesla was able to deliver.</v>
      </c>
      <c r="AH2853" s="189">
        <f>IFERROR(__xludf.DUMMYFUNCTION("""COMPUTED_VALUE"""),44306.595448645836)</f>
        <v>44306.59545</v>
      </c>
    </row>
    <row r="2854">
      <c r="A2854" t="str">
        <f>IFERROR(__xludf.DUMMYFUNCTION("""COMPUTED_VALUE"""),"bjm_11")</f>
        <v>bjm_11</v>
      </c>
      <c r="B2854" t="str">
        <f>IFERROR(__xludf.DUMMYFUNCTION("""COMPUTED_VALUE"""),"Milwaukee")</f>
        <v>Milwaukee</v>
      </c>
      <c r="C2854" t="str">
        <f>IFERROR(__xludf.DUMMYFUNCTION("""COMPUTED_VALUE"""),"WI")</f>
        <v>WI</v>
      </c>
      <c r="D2854" t="str">
        <f>IFERROR(__xludf.DUMMYFUNCTION("""COMPUTED_VALUE"""),"USA")</f>
        <v>USA</v>
      </c>
      <c r="E2854" s="188">
        <f>IFERROR(__xludf.DUMMYFUNCTION("""COMPUTED_VALUE"""),44277.0)</f>
        <v>44277</v>
      </c>
      <c r="F2854" s="188">
        <f>IFERROR(__xludf.DUMMYFUNCTION("""COMPUTED_VALUE"""),44306.0)</f>
        <v>44306</v>
      </c>
      <c r="G2854" t="str">
        <f>IFERROR(__xludf.DUMMYFUNCTION("""COMPUTED_VALUE"""),"Manage order page (normal text)")</f>
        <v>Manage order page (normal text)</v>
      </c>
      <c r="H2854">
        <f>IFERROR(__xludf.DUMMYFUNCTION("""COMPUTED_VALUE"""),960890.0)</f>
        <v>960890</v>
      </c>
      <c r="J2854" s="188">
        <f>IFERROR(__xludf.DUMMYFUNCTION("""COMPUTED_VALUE"""),44317.0)</f>
        <v>44317</v>
      </c>
      <c r="K2854">
        <f>IFERROR(__xludf.DUMMYFUNCTION("""COMPUTED_VALUE"""),29.0)</f>
        <v>29</v>
      </c>
      <c r="L2854">
        <f>IFERROR(__xludf.DUMMYFUNCTION("""COMPUTED_VALUE"""),11.0)</f>
        <v>11</v>
      </c>
      <c r="M2854">
        <f>IFERROR(__xludf.DUMMYFUNCTION("""COMPUTED_VALUE"""),40.0)</f>
        <v>40</v>
      </c>
      <c r="N2854" t="str">
        <f>IFERROR(__xludf.DUMMYFUNCTION("""COMPUTED_VALUE"""),"Model 3 LR AWD")</f>
        <v>Model 3 LR AWD</v>
      </c>
      <c r="O2854" t="str">
        <f>IFERROR(__xludf.DUMMYFUNCTION("""COMPUTED_VALUE"""),"Solid Black")</f>
        <v>Solid Black</v>
      </c>
      <c r="P2854" t="str">
        <f>IFERROR(__xludf.DUMMYFUNCTION("""COMPUTED_VALUE"""),"18 inch")</f>
        <v>18 inch</v>
      </c>
      <c r="Q2854" t="str">
        <f>IFERROR(__xludf.DUMMYFUNCTION("""COMPUTED_VALUE"""),"All Black")</f>
        <v>All Black</v>
      </c>
      <c r="R2854" t="str">
        <f>IFERROR(__xludf.DUMMYFUNCTION("""COMPUTED_VALUE"""),"Autopilot included")</f>
        <v>Autopilot included</v>
      </c>
      <c r="S2854" t="str">
        <f>IFERROR(__xludf.DUMMYFUNCTION("""COMPUTED_VALUE"""),"Loan")</f>
        <v>Loan</v>
      </c>
      <c r="T2854" t="str">
        <f>IFERROR(__xludf.DUMMYFUNCTION("""COMPUTED_VALUE"""),"Model 3 will be my first car!")</f>
        <v>Model 3 will be my first car!</v>
      </c>
      <c r="U2854" t="str">
        <f>IFERROR(__xludf.DUMMYFUNCTION("""COMPUTED_VALUE"""),"Electric!")</f>
        <v>Electric!</v>
      </c>
      <c r="V2854" t="str">
        <f>IFERROR(__xludf.DUMMYFUNCTION("""COMPUTED_VALUE"""),"Blind spot indicators on side mirrors")</f>
        <v>Blind spot indicators on side mirrors</v>
      </c>
      <c r="X2854" t="str">
        <f>IFERROR(__xludf.DUMMYFUNCTION("""COMPUTED_VALUE"""),"Very Good")</f>
        <v>Very Good</v>
      </c>
      <c r="Y2854" t="str">
        <f>IFERROR(__xludf.DUMMYFUNCTION("""COMPUTED_VALUE"""),"Good")</f>
        <v>Good</v>
      </c>
      <c r="Z2854" t="str">
        <f>IFERROR(__xludf.DUMMYFUNCTION("""COMPUTED_VALUE"""),"Very Good")</f>
        <v>Very Good</v>
      </c>
      <c r="AA2854" t="str">
        <f>IFERROR(__xludf.DUMMYFUNCTION("""COMPUTED_VALUE"""),"Fair")</f>
        <v>Fair</v>
      </c>
      <c r="AB2854" t="str">
        <f>IFERROR(__xludf.DUMMYFUNCTION("""COMPUTED_VALUE"""),"Excellent")</f>
        <v>Excellent</v>
      </c>
      <c r="AC2854">
        <f>IFERROR(__xludf.DUMMYFUNCTION("""COMPUTED_VALUE"""),0.0)</f>
        <v>0</v>
      </c>
      <c r="AD2854">
        <f>IFERROR(__xludf.DUMMYFUNCTION("""COMPUTED_VALUE"""),0.0)</f>
        <v>0</v>
      </c>
      <c r="AE2854">
        <f>IFERROR(__xludf.DUMMYFUNCTION("""COMPUTED_VALUE"""),0.0)</f>
        <v>0</v>
      </c>
      <c r="AF2854" t="str">
        <f>IFERROR(__xludf.DUMMYFUNCTION("""COMPUTED_VALUE"""),"Yes. I refused delivery once and took delivery of the second car.")</f>
        <v>Yes. I refused delivery once and took delivery of the second car.</v>
      </c>
      <c r="AH2854" s="189">
        <f>IFERROR(__xludf.DUMMYFUNCTION("""COMPUTED_VALUE"""),44333.712175532404)</f>
        <v>44333.71218</v>
      </c>
    </row>
    <row r="2855">
      <c r="A2855" t="str">
        <f>IFERROR(__xludf.DUMMYFUNCTION("""COMPUTED_VALUE"""),"Ty3berion")</f>
        <v>Ty3berion</v>
      </c>
      <c r="B2855" t="str">
        <f>IFERROR(__xludf.DUMMYFUNCTION("""COMPUTED_VALUE"""),"Reston")</f>
        <v>Reston</v>
      </c>
      <c r="C2855" t="str">
        <f>IFERROR(__xludf.DUMMYFUNCTION("""COMPUTED_VALUE"""),"VA")</f>
        <v>VA</v>
      </c>
      <c r="D2855" t="str">
        <f>IFERROR(__xludf.DUMMYFUNCTION("""COMPUTED_VALUE"""),"USA")</f>
        <v>USA</v>
      </c>
      <c r="E2855" s="188">
        <f>IFERROR(__xludf.DUMMYFUNCTION("""COMPUTED_VALUE"""),44289.0)</f>
        <v>44289</v>
      </c>
      <c r="F2855" s="188">
        <f>IFERROR(__xludf.DUMMYFUNCTION("""COMPUTED_VALUE"""),44306.0)</f>
        <v>44306</v>
      </c>
      <c r="G2855" t="str">
        <f>IFERROR(__xludf.DUMMYFUNCTION("""COMPUTED_VALUE"""),"Manage order page (normal text)")</f>
        <v>Manage order page (normal text)</v>
      </c>
      <c r="H2855">
        <f>IFERROR(__xludf.DUMMYFUNCTION("""COMPUTED_VALUE"""),960855.0)</f>
        <v>960855</v>
      </c>
      <c r="I2855" t="str">
        <f>IFERROR(__xludf.DUMMYFUNCTION("""COMPUTED_VALUE"""),"04/21")</f>
        <v>04/21</v>
      </c>
      <c r="J2855" s="188">
        <f>IFERROR(__xludf.DUMMYFUNCTION("""COMPUTED_VALUE"""),44317.0)</f>
        <v>44317</v>
      </c>
      <c r="K2855">
        <f>IFERROR(__xludf.DUMMYFUNCTION("""COMPUTED_VALUE"""),17.0)</f>
        <v>17</v>
      </c>
      <c r="L2855">
        <f>IFERROR(__xludf.DUMMYFUNCTION("""COMPUTED_VALUE"""),11.0)</f>
        <v>11</v>
      </c>
      <c r="M2855">
        <f>IFERROR(__xludf.DUMMYFUNCTION("""COMPUTED_VALUE"""),28.0)</f>
        <v>28</v>
      </c>
      <c r="N2855" t="str">
        <f>IFERROR(__xludf.DUMMYFUNCTION("""COMPUTED_VALUE"""),"Model 3 LR AWD")</f>
        <v>Model 3 LR AWD</v>
      </c>
      <c r="O2855" t="str">
        <f>IFERROR(__xludf.DUMMYFUNCTION("""COMPUTED_VALUE"""),"Pearl White Multi-Coat")</f>
        <v>Pearl White Multi-Coat</v>
      </c>
      <c r="P2855" t="str">
        <f>IFERROR(__xludf.DUMMYFUNCTION("""COMPUTED_VALUE"""),"18 inch")</f>
        <v>18 inch</v>
      </c>
      <c r="Q2855" t="str">
        <f>IFERROR(__xludf.DUMMYFUNCTION("""COMPUTED_VALUE"""),"All Black")</f>
        <v>All Black</v>
      </c>
      <c r="R2855" t="str">
        <f>IFERROR(__xludf.DUMMYFUNCTION("""COMPUTED_VALUE"""),"Autopilot included")</f>
        <v>Autopilot included</v>
      </c>
      <c r="S2855" t="str">
        <f>IFERROR(__xludf.DUMMYFUNCTION("""COMPUTED_VALUE"""),"Loan")</f>
        <v>Loan</v>
      </c>
      <c r="T2855" t="str">
        <f>IFERROR(__xludf.DUMMYFUNCTION("""COMPUTED_VALUE"""),"Hyundai Sonata")</f>
        <v>Hyundai Sonata</v>
      </c>
      <c r="U2855" t="str">
        <f>IFERROR(__xludf.DUMMYFUNCTION("""COMPUTED_VALUE"""),"Electric!")</f>
        <v>Electric!</v>
      </c>
      <c r="V2855" t="str">
        <f>IFERROR(__xludf.DUMMYFUNCTION("""COMPUTED_VALUE"""),"Apple CarPlay / Android Auto / SiriusXM Radio")</f>
        <v>Apple CarPlay / Android Auto / SiriusXM Radio</v>
      </c>
      <c r="X2855" t="str">
        <f>IFERROR(__xludf.DUMMYFUNCTION("""COMPUTED_VALUE"""),"Excellent")</f>
        <v>Excellent</v>
      </c>
      <c r="Y2855" t="str">
        <f>IFERROR(__xludf.DUMMYFUNCTION("""COMPUTED_VALUE"""),"Excellent")</f>
        <v>Excellent</v>
      </c>
      <c r="Z2855" t="str">
        <f>IFERROR(__xludf.DUMMYFUNCTION("""COMPUTED_VALUE"""),"Excellent")</f>
        <v>Excellent</v>
      </c>
      <c r="AA2855" t="str">
        <f>IFERROR(__xludf.DUMMYFUNCTION("""COMPUTED_VALUE"""),"Poor")</f>
        <v>Poor</v>
      </c>
      <c r="AB2855" t="str">
        <f>IFERROR(__xludf.DUMMYFUNCTION("""COMPUTED_VALUE"""),"Fair")</f>
        <v>Fair</v>
      </c>
      <c r="AF2855" t="str">
        <f>IFERROR(__xludf.DUMMYFUNCTION("""COMPUTED_VALUE"""),"No. I took delivery of the first car Tesla was able to deliver.")</f>
        <v>No. I took delivery of the first car Tesla was able to deliver.</v>
      </c>
      <c r="AH2855" s="189">
        <f>IFERROR(__xludf.DUMMYFUNCTION("""COMPUTED_VALUE"""),44318.18224446759)</f>
        <v>44318.18224</v>
      </c>
    </row>
    <row r="2856">
      <c r="A2856" t="str">
        <f>IFERROR(__xludf.DUMMYFUNCTION("""COMPUTED_VALUE"""),"Edskeetit")</f>
        <v>Edskeetit</v>
      </c>
      <c r="B2856" t="str">
        <f>IFERROR(__xludf.DUMMYFUNCTION("""COMPUTED_VALUE"""),"Saint Paul")</f>
        <v>Saint Paul</v>
      </c>
      <c r="C2856" t="str">
        <f>IFERROR(__xludf.DUMMYFUNCTION("""COMPUTED_VALUE"""),"MN")</f>
        <v>MN</v>
      </c>
      <c r="D2856" t="str">
        <f>IFERROR(__xludf.DUMMYFUNCTION("""COMPUTED_VALUE"""),"USA")</f>
        <v>USA</v>
      </c>
      <c r="E2856" s="188">
        <f>IFERROR(__xludf.DUMMYFUNCTION("""COMPUTED_VALUE"""),44299.0)</f>
        <v>44299</v>
      </c>
      <c r="F2856" s="188">
        <f>IFERROR(__xludf.DUMMYFUNCTION("""COMPUTED_VALUE"""),44353.0)</f>
        <v>44353</v>
      </c>
      <c r="G2856" t="str">
        <f>IFERROR(__xludf.DUMMYFUNCTION("""COMPUTED_VALUE"""),"Manage order page (normal text)")</f>
        <v>Manage order page (normal text)</v>
      </c>
      <c r="H2856">
        <f>IFERROR(__xludf.DUMMYFUNCTION("""COMPUTED_VALUE"""),986455.0)</f>
        <v>986455</v>
      </c>
      <c r="J2856" s="188">
        <f>IFERROR(__xludf.DUMMYFUNCTION("""COMPUTED_VALUE"""),44364.0)</f>
        <v>44364</v>
      </c>
      <c r="K2856">
        <f>IFERROR(__xludf.DUMMYFUNCTION("""COMPUTED_VALUE"""),54.0)</f>
        <v>54</v>
      </c>
      <c r="L2856">
        <f>IFERROR(__xludf.DUMMYFUNCTION("""COMPUTED_VALUE"""),11.0)</f>
        <v>11</v>
      </c>
      <c r="M2856">
        <f>IFERROR(__xludf.DUMMYFUNCTION("""COMPUTED_VALUE"""),65.0)</f>
        <v>65</v>
      </c>
      <c r="N2856" t="str">
        <f>IFERROR(__xludf.DUMMYFUNCTION("""COMPUTED_VALUE"""),"Model 3 SR+")</f>
        <v>Model 3 SR+</v>
      </c>
      <c r="O2856" t="str">
        <f>IFERROR(__xludf.DUMMYFUNCTION("""COMPUTED_VALUE"""),"Pearl White Multi-Coat")</f>
        <v>Pearl White Multi-Coat</v>
      </c>
      <c r="P2856" t="str">
        <f>IFERROR(__xludf.DUMMYFUNCTION("""COMPUTED_VALUE"""),"18 inch")</f>
        <v>18 inch</v>
      </c>
      <c r="Q2856" t="str">
        <f>IFERROR(__xludf.DUMMYFUNCTION("""COMPUTED_VALUE"""),"All Black")</f>
        <v>All Black</v>
      </c>
      <c r="R2856" t="str">
        <f>IFERROR(__xludf.DUMMYFUNCTION("""COMPUTED_VALUE"""),"Autopilot included")</f>
        <v>Autopilot included</v>
      </c>
      <c r="S2856" t="str">
        <f>IFERROR(__xludf.DUMMYFUNCTION("""COMPUTED_VALUE"""),"Loan")</f>
        <v>Loan</v>
      </c>
      <c r="T2856" t="str">
        <f>IFERROR(__xludf.DUMMYFUNCTION("""COMPUTED_VALUE"""),"Ford Fiesta")</f>
        <v>Ford Fiesta</v>
      </c>
      <c r="U2856" t="str">
        <f>IFERROR(__xludf.DUMMYFUNCTION("""COMPUTED_VALUE"""),"Electric!")</f>
        <v>Electric!</v>
      </c>
      <c r="V2856" t="str">
        <f>IFERROR(__xludf.DUMMYFUNCTION("""COMPUTED_VALUE"""),"Blind spot indicators on side mirrors")</f>
        <v>Blind spot indicators on side mirrors</v>
      </c>
      <c r="X2856" t="str">
        <f>IFERROR(__xludf.DUMMYFUNCTION("""COMPUTED_VALUE"""),"Excellent")</f>
        <v>Excellent</v>
      </c>
      <c r="Y2856" t="str">
        <f>IFERROR(__xludf.DUMMYFUNCTION("""COMPUTED_VALUE"""),"Excellent")</f>
        <v>Excellent</v>
      </c>
      <c r="Z2856" t="str">
        <f>IFERROR(__xludf.DUMMYFUNCTION("""COMPUTED_VALUE"""),"Excellent")</f>
        <v>Excellent</v>
      </c>
      <c r="AA2856" t="str">
        <f>IFERROR(__xludf.DUMMYFUNCTION("""COMPUTED_VALUE"""),"Good")</f>
        <v>Good</v>
      </c>
      <c r="AB2856" t="str">
        <f>IFERROR(__xludf.DUMMYFUNCTION("""COMPUTED_VALUE"""),"Good")</f>
        <v>Good</v>
      </c>
      <c r="AC2856">
        <f>IFERROR(__xludf.DUMMYFUNCTION("""COMPUTED_VALUE"""),2.0)</f>
        <v>2</v>
      </c>
      <c r="AD2856">
        <f>IFERROR(__xludf.DUMMYFUNCTION("""COMPUTED_VALUE"""),1.0)</f>
        <v>1</v>
      </c>
      <c r="AE2856">
        <f>IFERROR(__xludf.DUMMYFUNCTION("""COMPUTED_VALUE"""),0.0)</f>
        <v>0</v>
      </c>
      <c r="AF2856" t="str">
        <f>IFERROR(__xludf.DUMMYFUNCTION("""COMPUTED_VALUE"""),"No. I took delivery of the first car Tesla was able to deliver.")</f>
        <v>No. I took delivery of the first car Tesla was able to deliver.</v>
      </c>
      <c r="AH2856" s="189">
        <f>IFERROR(__xludf.DUMMYFUNCTION("""COMPUTED_VALUE"""),44369.78259574074)</f>
        <v>44369.7826</v>
      </c>
    </row>
    <row r="2857">
      <c r="A2857" t="str">
        <f>IFERROR(__xludf.DUMMYFUNCTION("""COMPUTED_VALUE"""),"dualvipers")</f>
        <v>dualvipers</v>
      </c>
      <c r="B2857" t="str">
        <f>IFERROR(__xludf.DUMMYFUNCTION("""COMPUTED_VALUE"""),"Owings Mills")</f>
        <v>Owings Mills</v>
      </c>
      <c r="C2857" t="str">
        <f>IFERROR(__xludf.DUMMYFUNCTION("""COMPUTED_VALUE"""),"MD")</f>
        <v>MD</v>
      </c>
      <c r="D2857" t="str">
        <f>IFERROR(__xludf.DUMMYFUNCTION("""COMPUTED_VALUE"""),"USA")</f>
        <v>USA</v>
      </c>
      <c r="E2857" s="188">
        <f>IFERROR(__xludf.DUMMYFUNCTION("""COMPUTED_VALUE"""),44305.0)</f>
        <v>44305</v>
      </c>
      <c r="F2857" s="188">
        <f>IFERROR(__xludf.DUMMYFUNCTION("""COMPUTED_VALUE"""),44351.0)</f>
        <v>44351</v>
      </c>
      <c r="G2857" t="str">
        <f>IFERROR(__xludf.DUMMYFUNCTION("""COMPUTED_VALUE"""),"Email")</f>
        <v>Email</v>
      </c>
      <c r="H2857">
        <f>IFERROR(__xludf.DUMMYFUNCTION("""COMPUTED_VALUE"""),985655.0)</f>
        <v>985655</v>
      </c>
      <c r="J2857" s="188">
        <f>IFERROR(__xludf.DUMMYFUNCTION("""COMPUTED_VALUE"""),44361.0)</f>
        <v>44361</v>
      </c>
      <c r="K2857">
        <f>IFERROR(__xludf.DUMMYFUNCTION("""COMPUTED_VALUE"""),46.0)</f>
        <v>46</v>
      </c>
      <c r="L2857">
        <f>IFERROR(__xludf.DUMMYFUNCTION("""COMPUTED_VALUE"""),10.0)</f>
        <v>10</v>
      </c>
      <c r="M2857">
        <f>IFERROR(__xludf.DUMMYFUNCTION("""COMPUTED_VALUE"""),56.0)</f>
        <v>56</v>
      </c>
      <c r="N2857" t="str">
        <f>IFERROR(__xludf.DUMMYFUNCTION("""COMPUTED_VALUE"""),"Model 3 SR+")</f>
        <v>Model 3 SR+</v>
      </c>
      <c r="O2857" t="str">
        <f>IFERROR(__xludf.DUMMYFUNCTION("""COMPUTED_VALUE"""),"Midnight Silver Metallic")</f>
        <v>Midnight Silver Metallic</v>
      </c>
      <c r="P2857" t="str">
        <f>IFERROR(__xludf.DUMMYFUNCTION("""COMPUTED_VALUE"""),"18 inch")</f>
        <v>18 inch</v>
      </c>
      <c r="Q2857" t="str">
        <f>IFERROR(__xludf.DUMMYFUNCTION("""COMPUTED_VALUE"""),"All Black")</f>
        <v>All Black</v>
      </c>
      <c r="R2857" t="str">
        <f>IFERROR(__xludf.DUMMYFUNCTION("""COMPUTED_VALUE"""),"Autopilot included")</f>
        <v>Autopilot included</v>
      </c>
      <c r="S2857" t="str">
        <f>IFERROR(__xludf.DUMMYFUNCTION("""COMPUTED_VALUE"""),"Cash")</f>
        <v>Cash</v>
      </c>
      <c r="T2857" t="str">
        <f>IFERROR(__xludf.DUMMYFUNCTION("""COMPUTED_VALUE"""),"Honda Accord")</f>
        <v>Honda Accord</v>
      </c>
      <c r="U2857" t="str">
        <f>IFERROR(__xludf.DUMMYFUNCTION("""COMPUTED_VALUE"""),"Autopilot")</f>
        <v>Autopilot</v>
      </c>
      <c r="V2857" t="str">
        <f>IFERROR(__xludf.DUMMYFUNCTION("""COMPUTED_VALUE"""),"Head-up display")</f>
        <v>Head-up display</v>
      </c>
      <c r="W2857" t="str">
        <f>IFERROR(__xludf.DUMMYFUNCTION("""COMPUTED_VALUE"""),"Hold out and be patient. Process takes a while, but it's well worth it for the amount spent")</f>
        <v>Hold out and be patient. Process takes a while, but it's well worth it for the amount spent</v>
      </c>
      <c r="X2857" t="str">
        <f>IFERROR(__xludf.DUMMYFUNCTION("""COMPUTED_VALUE"""),"Fair")</f>
        <v>Fair</v>
      </c>
      <c r="Y2857" t="str">
        <f>IFERROR(__xludf.DUMMYFUNCTION("""COMPUTED_VALUE"""),"Fair")</f>
        <v>Fair</v>
      </c>
      <c r="Z2857" t="str">
        <f>IFERROR(__xludf.DUMMYFUNCTION("""COMPUTED_VALUE"""),"Good")</f>
        <v>Good</v>
      </c>
      <c r="AA2857" t="str">
        <f>IFERROR(__xludf.DUMMYFUNCTION("""COMPUTED_VALUE"""),"Poor")</f>
        <v>Poor</v>
      </c>
      <c r="AB2857" t="str">
        <f>IFERROR(__xludf.DUMMYFUNCTION("""COMPUTED_VALUE"""),"Poor")</f>
        <v>Poor</v>
      </c>
      <c r="AC2857">
        <f>IFERROR(__xludf.DUMMYFUNCTION("""COMPUTED_VALUE"""),1.0)</f>
        <v>1</v>
      </c>
      <c r="AD2857">
        <f>IFERROR(__xludf.DUMMYFUNCTION("""COMPUTED_VALUE"""),1.0)</f>
        <v>1</v>
      </c>
      <c r="AE2857">
        <f>IFERROR(__xludf.DUMMYFUNCTION("""COMPUTED_VALUE"""),0.0)</f>
        <v>0</v>
      </c>
      <c r="AF2857" t="str">
        <f>IFERROR(__xludf.DUMMYFUNCTION("""COMPUTED_VALUE"""),"No. I took delivery of the first car Tesla was able to deliver.")</f>
        <v>No. I took delivery of the first car Tesla was able to deliver.</v>
      </c>
      <c r="AH2857" s="189">
        <f>IFERROR(__xludf.DUMMYFUNCTION("""COMPUTED_VALUE"""),44363.8419397338)</f>
        <v>44363.84194</v>
      </c>
    </row>
    <row r="2858">
      <c r="A2858" t="str">
        <f>IFERROR(__xludf.DUMMYFUNCTION("""COMPUTED_VALUE"""),"sptfire07")</f>
        <v>sptfire07</v>
      </c>
      <c r="B2858" t="str">
        <f>IFERROR(__xludf.DUMMYFUNCTION("""COMPUTED_VALUE"""),"Charlotte")</f>
        <v>Charlotte</v>
      </c>
      <c r="C2858" t="str">
        <f>IFERROR(__xludf.DUMMYFUNCTION("""COMPUTED_VALUE"""),"NC")</f>
        <v>NC</v>
      </c>
      <c r="D2858" t="str">
        <f>IFERROR(__xludf.DUMMYFUNCTION("""COMPUTED_VALUE"""),"USA")</f>
        <v>USA</v>
      </c>
      <c r="E2858" s="188">
        <f>IFERROR(__xludf.DUMMYFUNCTION("""COMPUTED_VALUE"""),44299.0)</f>
        <v>44299</v>
      </c>
      <c r="F2858" s="188">
        <f>IFERROR(__xludf.DUMMYFUNCTION("""COMPUTED_VALUE"""),44392.0)</f>
        <v>44392</v>
      </c>
      <c r="G2858" t="str">
        <f>IFERROR(__xludf.DUMMYFUNCTION("""COMPUTED_VALUE"""),"Manage order page (normal text)")</f>
        <v>Manage order page (normal text)</v>
      </c>
      <c r="H2858">
        <f>IFERROR(__xludf.DUMMYFUNCTION("""COMPUTED_VALUE"""),19555.0)</f>
        <v>19555</v>
      </c>
      <c r="I2858" t="str">
        <f>IFERROR(__xludf.DUMMYFUNCTION("""COMPUTED_VALUE"""),"07/21")</f>
        <v>07/21</v>
      </c>
      <c r="J2858" s="188">
        <f>IFERROR(__xludf.DUMMYFUNCTION("""COMPUTED_VALUE"""),44407.0)</f>
        <v>44407</v>
      </c>
      <c r="K2858">
        <f>IFERROR(__xludf.DUMMYFUNCTION("""COMPUTED_VALUE"""),93.0)</f>
        <v>93</v>
      </c>
      <c r="L2858">
        <f>IFERROR(__xludf.DUMMYFUNCTION("""COMPUTED_VALUE"""),15.0)</f>
        <v>15</v>
      </c>
      <c r="M2858">
        <f>IFERROR(__xludf.DUMMYFUNCTION("""COMPUTED_VALUE"""),108.0)</f>
        <v>108</v>
      </c>
      <c r="N2858" t="str">
        <f>IFERROR(__xludf.DUMMYFUNCTION("""COMPUTED_VALUE"""),"Model 3 LR AWD")</f>
        <v>Model 3 LR AWD</v>
      </c>
      <c r="O2858" t="str">
        <f>IFERROR(__xludf.DUMMYFUNCTION("""COMPUTED_VALUE"""),"Pearl White Multi-Coat")</f>
        <v>Pearl White Multi-Coat</v>
      </c>
      <c r="P2858" t="str">
        <f>IFERROR(__xludf.DUMMYFUNCTION("""COMPUTED_VALUE"""),"18 inch")</f>
        <v>18 inch</v>
      </c>
      <c r="Q2858" t="str">
        <f>IFERROR(__xludf.DUMMYFUNCTION("""COMPUTED_VALUE"""),"All Black")</f>
        <v>All Black</v>
      </c>
      <c r="R2858" t="str">
        <f>IFERROR(__xludf.DUMMYFUNCTION("""COMPUTED_VALUE"""),"Autopilot included")</f>
        <v>Autopilot included</v>
      </c>
      <c r="S2858" t="str">
        <f>IFERROR(__xludf.DUMMYFUNCTION("""COMPUTED_VALUE"""),"Loan")</f>
        <v>Loan</v>
      </c>
      <c r="T2858" t="str">
        <f>IFERROR(__xludf.DUMMYFUNCTION("""COMPUTED_VALUE"""),"BMW 3 Series")</f>
        <v>BMW 3 Series</v>
      </c>
      <c r="U2858" t="str">
        <f>IFERROR(__xludf.DUMMYFUNCTION("""COMPUTED_VALUE"""),"Electric!")</f>
        <v>Electric!</v>
      </c>
      <c r="X2858" t="str">
        <f>IFERROR(__xludf.DUMMYFUNCTION("""COMPUTED_VALUE"""),"Very Good")</f>
        <v>Very Good</v>
      </c>
      <c r="Y2858" t="str">
        <f>IFERROR(__xludf.DUMMYFUNCTION("""COMPUTED_VALUE"""),"Good")</f>
        <v>Good</v>
      </c>
      <c r="Z2858" t="str">
        <f>IFERROR(__xludf.DUMMYFUNCTION("""COMPUTED_VALUE"""),"Good")</f>
        <v>Good</v>
      </c>
      <c r="AA2858" t="str">
        <f>IFERROR(__xludf.DUMMYFUNCTION("""COMPUTED_VALUE"""),"Poor")</f>
        <v>Poor</v>
      </c>
      <c r="AB2858" t="str">
        <f>IFERROR(__xludf.DUMMYFUNCTION("""COMPUTED_VALUE"""),"Fair")</f>
        <v>Fair</v>
      </c>
      <c r="AH2858" s="189">
        <f>IFERROR(__xludf.DUMMYFUNCTION("""COMPUTED_VALUE"""),44410.2597049537)</f>
        <v>44410.2597</v>
      </c>
    </row>
    <row r="2859">
      <c r="A2859" t="str">
        <f>IFERROR(__xludf.DUMMYFUNCTION("""COMPUTED_VALUE"""),"Matt B")</f>
        <v>Matt B</v>
      </c>
      <c r="B2859" t="str">
        <f>IFERROR(__xludf.DUMMYFUNCTION("""COMPUTED_VALUE"""),"Becker")</f>
        <v>Becker</v>
      </c>
      <c r="C2859" t="str">
        <f>IFERROR(__xludf.DUMMYFUNCTION("""COMPUTED_VALUE"""),"MN")</f>
        <v>MN</v>
      </c>
      <c r="D2859" t="str">
        <f>IFERROR(__xludf.DUMMYFUNCTION("""COMPUTED_VALUE"""),"USA")</f>
        <v>USA</v>
      </c>
      <c r="E2859" s="188">
        <f>IFERROR(__xludf.DUMMYFUNCTION("""COMPUTED_VALUE"""),44303.0)</f>
        <v>44303</v>
      </c>
      <c r="F2859" s="188">
        <f>IFERROR(__xludf.DUMMYFUNCTION("""COMPUTED_VALUE"""),44343.0)</f>
        <v>44343</v>
      </c>
      <c r="G2859" t="str">
        <f>IFERROR(__xludf.DUMMYFUNCTION("""COMPUTED_VALUE"""),"Manage order page (normal text)")</f>
        <v>Manage order page (normal text)</v>
      </c>
      <c r="H2859">
        <f>IFERROR(__xludf.DUMMYFUNCTION("""COMPUTED_VALUE"""),975802.0)</f>
        <v>975802</v>
      </c>
      <c r="I2859" t="str">
        <f>IFERROR(__xludf.DUMMYFUNCTION("""COMPUTED_VALUE"""),"05/21")</f>
        <v>05/21</v>
      </c>
      <c r="J2859" s="188">
        <f>IFERROR(__xludf.DUMMYFUNCTION("""COMPUTED_VALUE"""),44350.0)</f>
        <v>44350</v>
      </c>
      <c r="K2859">
        <f>IFERROR(__xludf.DUMMYFUNCTION("""COMPUTED_VALUE"""),40.0)</f>
        <v>40</v>
      </c>
      <c r="L2859">
        <f>IFERROR(__xludf.DUMMYFUNCTION("""COMPUTED_VALUE"""),7.0)</f>
        <v>7</v>
      </c>
      <c r="M2859">
        <f>IFERROR(__xludf.DUMMYFUNCTION("""COMPUTED_VALUE"""),47.0)</f>
        <v>47</v>
      </c>
      <c r="N2859" t="str">
        <f>IFERROR(__xludf.DUMMYFUNCTION("""COMPUTED_VALUE"""),"Model 3 LR AWD")</f>
        <v>Model 3 LR AWD</v>
      </c>
      <c r="O2859" t="str">
        <f>IFERROR(__xludf.DUMMYFUNCTION("""COMPUTED_VALUE"""),"Pearl White Multi-Coat")</f>
        <v>Pearl White Multi-Coat</v>
      </c>
      <c r="P2859" t="str">
        <f>IFERROR(__xludf.DUMMYFUNCTION("""COMPUTED_VALUE"""),"18 inch")</f>
        <v>18 inch</v>
      </c>
      <c r="Q2859" t="str">
        <f>IFERROR(__xludf.DUMMYFUNCTION("""COMPUTED_VALUE"""),"Black and White")</f>
        <v>Black and White</v>
      </c>
      <c r="R2859" t="str">
        <f>IFERROR(__xludf.DUMMYFUNCTION("""COMPUTED_VALUE"""),"Autopilot included")</f>
        <v>Autopilot included</v>
      </c>
      <c r="S2859" t="str">
        <f>IFERROR(__xludf.DUMMYFUNCTION("""COMPUTED_VALUE"""),"Loan")</f>
        <v>Loan</v>
      </c>
      <c r="T2859" t="str">
        <f>IFERROR(__xludf.DUMMYFUNCTION("""COMPUTED_VALUE"""),"Chevy Bolt")</f>
        <v>Chevy Bolt</v>
      </c>
      <c r="U2859" t="str">
        <f>IFERROR(__xludf.DUMMYFUNCTION("""COMPUTED_VALUE"""),"Supercharger V3 support")</f>
        <v>Supercharger V3 support</v>
      </c>
      <c r="V2859" t="str">
        <f>IFERROR(__xludf.DUMMYFUNCTION("""COMPUTED_VALUE"""),"Apple CarPlay / Android Auto / SiriusXM Radio")</f>
        <v>Apple CarPlay / Android Auto / SiriusXM Radio</v>
      </c>
      <c r="X2859" t="str">
        <f>IFERROR(__xludf.DUMMYFUNCTION("""COMPUTED_VALUE"""),"Excellent")</f>
        <v>Excellent</v>
      </c>
      <c r="Y2859" t="str">
        <f>IFERROR(__xludf.DUMMYFUNCTION("""COMPUTED_VALUE"""),"Excellent")</f>
        <v>Excellent</v>
      </c>
      <c r="Z2859" t="str">
        <f>IFERROR(__xludf.DUMMYFUNCTION("""COMPUTED_VALUE"""),"Very Good")</f>
        <v>Very Good</v>
      </c>
      <c r="AA2859" t="str">
        <f>IFERROR(__xludf.DUMMYFUNCTION("""COMPUTED_VALUE"""),"Excellent")</f>
        <v>Excellent</v>
      </c>
      <c r="AB2859" t="str">
        <f>IFERROR(__xludf.DUMMYFUNCTION("""COMPUTED_VALUE"""),"Good")</f>
        <v>Good</v>
      </c>
      <c r="AF2859" t="str">
        <f>IFERROR(__xludf.DUMMYFUNCTION("""COMPUTED_VALUE"""),"No. I took delivery of the first car Tesla was able to deliver.")</f>
        <v>No. I took delivery of the first car Tesla was able to deliver.</v>
      </c>
      <c r="AH2859" s="189">
        <f>IFERROR(__xludf.DUMMYFUNCTION("""COMPUTED_VALUE"""),44350.69231873842)</f>
        <v>44350.69232</v>
      </c>
    </row>
    <row r="2860">
      <c r="A2860" t="str">
        <f>IFERROR(__xludf.DUMMYFUNCTION("""COMPUTED_VALUE"""),"Beefy Cylon")</f>
        <v>Beefy Cylon</v>
      </c>
      <c r="B2860" t="str">
        <f>IFERROR(__xludf.DUMMYFUNCTION("""COMPUTED_VALUE"""),"Austin")</f>
        <v>Austin</v>
      </c>
      <c r="C2860" t="str">
        <f>IFERROR(__xludf.DUMMYFUNCTION("""COMPUTED_VALUE"""),"TX")</f>
        <v>TX</v>
      </c>
      <c r="D2860" t="str">
        <f>IFERROR(__xludf.DUMMYFUNCTION("""COMPUTED_VALUE"""),"USA")</f>
        <v>USA</v>
      </c>
      <c r="E2860" s="188">
        <f>IFERROR(__xludf.DUMMYFUNCTION("""COMPUTED_VALUE"""),44283.0)</f>
        <v>44283</v>
      </c>
      <c r="F2860" s="188">
        <f>IFERROR(__xludf.DUMMYFUNCTION("""COMPUTED_VALUE"""),44307.0)</f>
        <v>44307</v>
      </c>
      <c r="G2860" t="str">
        <f>IFERROR(__xludf.DUMMYFUNCTION("""COMPUTED_VALUE"""),"Manage order page (normal text)")</f>
        <v>Manage order page (normal text)</v>
      </c>
      <c r="J2860" s="188">
        <f>IFERROR(__xludf.DUMMYFUNCTION("""COMPUTED_VALUE"""),44321.0)</f>
        <v>44321</v>
      </c>
      <c r="K2860">
        <f>IFERROR(__xludf.DUMMYFUNCTION("""COMPUTED_VALUE"""),24.0)</f>
        <v>24</v>
      </c>
      <c r="L2860">
        <f>IFERROR(__xludf.DUMMYFUNCTION("""COMPUTED_VALUE"""),14.0)</f>
        <v>14</v>
      </c>
      <c r="M2860">
        <f>IFERROR(__xludf.DUMMYFUNCTION("""COMPUTED_VALUE"""),38.0)</f>
        <v>38</v>
      </c>
      <c r="N2860" t="str">
        <f>IFERROR(__xludf.DUMMYFUNCTION("""COMPUTED_VALUE"""),"Model 3 LR AWD")</f>
        <v>Model 3 LR AWD</v>
      </c>
      <c r="O2860" t="str">
        <f>IFERROR(__xludf.DUMMYFUNCTION("""COMPUTED_VALUE"""),"Deep Blue Metallic")</f>
        <v>Deep Blue Metallic</v>
      </c>
      <c r="P2860" t="str">
        <f>IFERROR(__xludf.DUMMYFUNCTION("""COMPUTED_VALUE"""),"19 inch")</f>
        <v>19 inch</v>
      </c>
      <c r="Q2860" t="str">
        <f>IFERROR(__xludf.DUMMYFUNCTION("""COMPUTED_VALUE"""),"All Black")</f>
        <v>All Black</v>
      </c>
      <c r="R2860" t="str">
        <f>IFERROR(__xludf.DUMMYFUNCTION("""COMPUTED_VALUE"""),"Autopilot included")</f>
        <v>Autopilot included</v>
      </c>
      <c r="S2860" t="str">
        <f>IFERROR(__xludf.DUMMYFUNCTION("""COMPUTED_VALUE"""),"Loan")</f>
        <v>Loan</v>
      </c>
      <c r="T2860" t="str">
        <f>IFERROR(__xludf.DUMMYFUNCTION("""COMPUTED_VALUE"""),"Honda Civic")</f>
        <v>Honda Civic</v>
      </c>
      <c r="V2860" t="str">
        <f>IFERROR(__xludf.DUMMYFUNCTION("""COMPUTED_VALUE"""),"Apple CarPlay / Android Auto / SiriusXM Radio")</f>
        <v>Apple CarPlay / Android Auto / SiriusXM Radio</v>
      </c>
      <c r="X2860" t="str">
        <f>IFERROR(__xludf.DUMMYFUNCTION("""COMPUTED_VALUE"""),"Excellent")</f>
        <v>Excellent</v>
      </c>
      <c r="Y2860" t="str">
        <f>IFERROR(__xludf.DUMMYFUNCTION("""COMPUTED_VALUE"""),"Excellent")</f>
        <v>Excellent</v>
      </c>
      <c r="Z2860" t="str">
        <f>IFERROR(__xludf.DUMMYFUNCTION("""COMPUTED_VALUE"""),"Excellent")</f>
        <v>Excellent</v>
      </c>
      <c r="AA2860" t="str">
        <f>IFERROR(__xludf.DUMMYFUNCTION("""COMPUTED_VALUE"""),"Excellent")</f>
        <v>Excellent</v>
      </c>
      <c r="AB2860" t="str">
        <f>IFERROR(__xludf.DUMMYFUNCTION("""COMPUTED_VALUE"""),"Excellent")</f>
        <v>Excellent</v>
      </c>
      <c r="AH2860" s="189">
        <f>IFERROR(__xludf.DUMMYFUNCTION("""COMPUTED_VALUE"""),44322.28299547454)</f>
        <v>44322.283</v>
      </c>
    </row>
    <row r="2861">
      <c r="A2861" t="str">
        <f>IFERROR(__xludf.DUMMYFUNCTION("""COMPUTED_VALUE"""),"Marv")</f>
        <v>Marv</v>
      </c>
      <c r="B2861" t="str">
        <f>IFERROR(__xludf.DUMMYFUNCTION("""COMPUTED_VALUE"""),"Seattle")</f>
        <v>Seattle</v>
      </c>
      <c r="C2861" t="str">
        <f>IFERROR(__xludf.DUMMYFUNCTION("""COMPUTED_VALUE"""),"WA")</f>
        <v>WA</v>
      </c>
      <c r="D2861" t="str">
        <f>IFERROR(__xludf.DUMMYFUNCTION("""COMPUTED_VALUE"""),"USA")</f>
        <v>USA</v>
      </c>
      <c r="E2861" s="188">
        <f>IFERROR(__xludf.DUMMYFUNCTION("""COMPUTED_VALUE"""),44303.0)</f>
        <v>44303</v>
      </c>
      <c r="F2861" s="188">
        <f>IFERROR(__xludf.DUMMYFUNCTION("""COMPUTED_VALUE"""),44360.0)</f>
        <v>44360</v>
      </c>
      <c r="G2861" t="str">
        <f>IFERROR(__xludf.DUMMYFUNCTION("""COMPUTED_VALUE"""),"Manage order page (normal text)")</f>
        <v>Manage order page (normal text)</v>
      </c>
      <c r="J2861" s="188">
        <f>IFERROR(__xludf.DUMMYFUNCTION("""COMPUTED_VALUE"""),44363.0)</f>
        <v>44363</v>
      </c>
      <c r="K2861">
        <f>IFERROR(__xludf.DUMMYFUNCTION("""COMPUTED_VALUE"""),57.0)</f>
        <v>57</v>
      </c>
      <c r="L2861">
        <f>IFERROR(__xludf.DUMMYFUNCTION("""COMPUTED_VALUE"""),3.0)</f>
        <v>3</v>
      </c>
      <c r="M2861">
        <f>IFERROR(__xludf.DUMMYFUNCTION("""COMPUTED_VALUE"""),60.0)</f>
        <v>60</v>
      </c>
      <c r="N2861" t="str">
        <f>IFERROR(__xludf.DUMMYFUNCTION("""COMPUTED_VALUE"""),"Model 3 Performance")</f>
        <v>Model 3 Performance</v>
      </c>
      <c r="O2861" t="str">
        <f>IFERROR(__xludf.DUMMYFUNCTION("""COMPUTED_VALUE"""),"Red Multi-Coat")</f>
        <v>Red Multi-Coat</v>
      </c>
      <c r="P2861" t="str">
        <f>IFERROR(__xludf.DUMMYFUNCTION("""COMPUTED_VALUE"""),"20 inch")</f>
        <v>20 inch</v>
      </c>
      <c r="Q2861" t="str">
        <f>IFERROR(__xludf.DUMMYFUNCTION("""COMPUTED_VALUE"""),"Black and White")</f>
        <v>Black and White</v>
      </c>
      <c r="R2861" t="str">
        <f>IFERROR(__xludf.DUMMYFUNCTION("""COMPUTED_VALUE"""),"Autopilot included")</f>
        <v>Autopilot included</v>
      </c>
      <c r="U2861" t="str">
        <f>IFERROR(__xludf.DUMMYFUNCTION("""COMPUTED_VALUE"""),"Tech/Speed/Supercharge network")</f>
        <v>Tech/Speed/Supercharge network</v>
      </c>
      <c r="V2861" t="str">
        <f>IFERROR(__xludf.DUMMYFUNCTION("""COMPUTED_VALUE"""),"HUD and Apple car play")</f>
        <v>HUD and Apple car play</v>
      </c>
      <c r="AA2861" t="str">
        <f>IFERROR(__xludf.DUMMYFUNCTION("""COMPUTED_VALUE"""),"Excellent")</f>
        <v>Excellent</v>
      </c>
      <c r="AB2861" t="str">
        <f>IFERROR(__xludf.DUMMYFUNCTION("""COMPUTED_VALUE"""),"Excellent")</f>
        <v>Excellent</v>
      </c>
      <c r="AF2861" t="str">
        <f>IFERROR(__xludf.DUMMYFUNCTION("""COMPUTED_VALUE"""),"No. I took delivery of the first car Tesla was able to deliver.")</f>
        <v>No. I took delivery of the first car Tesla was able to deliver.</v>
      </c>
      <c r="AG2861" t="str">
        <f>IFERROR(__xludf.DUMMYFUNCTION("""COMPUTED_VALUE"""),"I had to wait about 2 months from the time I ordered to delivery.  The wait was brutal but the car was worth the wait.  The delivery experience was excellent.")</f>
        <v>I had to wait about 2 months from the time I ordered to delivery.  The wait was brutal but the car was worth the wait.  The delivery experience was excellent.</v>
      </c>
      <c r="AH2861" s="189">
        <f>IFERROR(__xludf.DUMMYFUNCTION("""COMPUTED_VALUE"""),44364.0979883449)</f>
        <v>44364.09799</v>
      </c>
    </row>
    <row r="2862">
      <c r="A2862" t="str">
        <f>IFERROR(__xludf.DUMMYFUNCTION("""COMPUTED_VALUE"""),"ChampionRL")</f>
        <v>ChampionRL</v>
      </c>
      <c r="B2862" t="str">
        <f>IFERROR(__xludf.DUMMYFUNCTION("""COMPUTED_VALUE"""),"Tysons")</f>
        <v>Tysons</v>
      </c>
      <c r="C2862" t="str">
        <f>IFERROR(__xludf.DUMMYFUNCTION("""COMPUTED_VALUE"""),"VA")</f>
        <v>VA</v>
      </c>
      <c r="D2862" t="str">
        <f>IFERROR(__xludf.DUMMYFUNCTION("""COMPUTED_VALUE"""),"USA")</f>
        <v>USA</v>
      </c>
      <c r="E2862" s="188">
        <f>IFERROR(__xludf.DUMMYFUNCTION("""COMPUTED_VALUE"""),44289.0)</f>
        <v>44289</v>
      </c>
      <c r="F2862" s="188">
        <f>IFERROR(__xludf.DUMMYFUNCTION("""COMPUTED_VALUE"""),44344.0)</f>
        <v>44344</v>
      </c>
      <c r="G2862" t="str">
        <f>IFERROR(__xludf.DUMMYFUNCTION("""COMPUTED_VALUE"""),"Email")</f>
        <v>Email</v>
      </c>
      <c r="H2862">
        <f>IFERROR(__xludf.DUMMYFUNCTION("""COMPUTED_VALUE"""),974355.0)</f>
        <v>974355</v>
      </c>
      <c r="J2862" s="188">
        <f>IFERROR(__xludf.DUMMYFUNCTION("""COMPUTED_VALUE"""),44345.0)</f>
        <v>44345</v>
      </c>
      <c r="K2862">
        <f>IFERROR(__xludf.DUMMYFUNCTION("""COMPUTED_VALUE"""),55.0)</f>
        <v>55</v>
      </c>
      <c r="L2862">
        <f>IFERROR(__xludf.DUMMYFUNCTION("""COMPUTED_VALUE"""),1.0)</f>
        <v>1</v>
      </c>
      <c r="M2862">
        <f>IFERROR(__xludf.DUMMYFUNCTION("""COMPUTED_VALUE"""),56.0)</f>
        <v>56</v>
      </c>
      <c r="N2862" t="str">
        <f>IFERROR(__xludf.DUMMYFUNCTION("""COMPUTED_VALUE"""),"Model 3 LR AWD")</f>
        <v>Model 3 LR AWD</v>
      </c>
      <c r="O2862" t="str">
        <f>IFERROR(__xludf.DUMMYFUNCTION("""COMPUTED_VALUE"""),"Pearl White Multi-Coat")</f>
        <v>Pearl White Multi-Coat</v>
      </c>
      <c r="P2862" t="str">
        <f>IFERROR(__xludf.DUMMYFUNCTION("""COMPUTED_VALUE"""),"18 inch")</f>
        <v>18 inch</v>
      </c>
      <c r="Q2862" t="str">
        <f>IFERROR(__xludf.DUMMYFUNCTION("""COMPUTED_VALUE"""),"All Black")</f>
        <v>All Black</v>
      </c>
      <c r="R2862" t="str">
        <f>IFERROR(__xludf.DUMMYFUNCTION("""COMPUTED_VALUE"""),"Autopilot included")</f>
        <v>Autopilot included</v>
      </c>
      <c r="S2862" t="str">
        <f>IFERROR(__xludf.DUMMYFUNCTION("""COMPUTED_VALUE"""),"Loan")</f>
        <v>Loan</v>
      </c>
      <c r="T2862" t="str">
        <f>IFERROR(__xludf.DUMMYFUNCTION("""COMPUTED_VALUE"""),"BMW 3 Series")</f>
        <v>BMW 3 Series</v>
      </c>
      <c r="U2862" t="str">
        <f>IFERROR(__xludf.DUMMYFUNCTION("""COMPUTED_VALUE"""),"Electric!")</f>
        <v>Electric!</v>
      </c>
      <c r="V2862" t="str">
        <f>IFERROR(__xludf.DUMMYFUNCTION("""COMPUTED_VALUE"""),"Air suspension")</f>
        <v>Air suspension</v>
      </c>
      <c r="W2862" t="str">
        <f>IFERROR(__xludf.DUMMYFUNCTION("""COMPUTED_VALUE"""),"Quality issues are there with Tesla, but thankfully they're very very accommodating when it comes to correcting them. So don't be deterred as this is still the best car you will ever own.")</f>
        <v>Quality issues are there with Tesla, but thankfully they're very very accommodating when it comes to correcting them. So don't be deterred as this is still the best car you will ever own.</v>
      </c>
      <c r="X2862" t="str">
        <f>IFERROR(__xludf.DUMMYFUNCTION("""COMPUTED_VALUE"""),"Excellent")</f>
        <v>Excellent</v>
      </c>
      <c r="Y2862" t="str">
        <f>IFERROR(__xludf.DUMMYFUNCTION("""COMPUTED_VALUE"""),"Very Good")</f>
        <v>Very Good</v>
      </c>
      <c r="Z2862" t="str">
        <f>IFERROR(__xludf.DUMMYFUNCTION("""COMPUTED_VALUE"""),"Good")</f>
        <v>Good</v>
      </c>
      <c r="AA2862" t="str">
        <f>IFERROR(__xludf.DUMMYFUNCTION("""COMPUTED_VALUE"""),"Very Good")</f>
        <v>Very Good</v>
      </c>
      <c r="AB2862" t="str">
        <f>IFERROR(__xludf.DUMMYFUNCTION("""COMPUTED_VALUE"""),"Good")</f>
        <v>Good</v>
      </c>
      <c r="AC2862">
        <f>IFERROR(__xludf.DUMMYFUNCTION("""COMPUTED_VALUE"""),4.0)</f>
        <v>4</v>
      </c>
      <c r="AD2862">
        <f>IFERROR(__xludf.DUMMYFUNCTION("""COMPUTED_VALUE"""),1.0)</f>
        <v>1</v>
      </c>
      <c r="AE2862">
        <f>IFERROR(__xludf.DUMMYFUNCTION("""COMPUTED_VALUE"""),3.0)</f>
        <v>3</v>
      </c>
      <c r="AF2862" t="str">
        <f>IFERROR(__xludf.DUMMYFUNCTION("""COMPUTED_VALUE"""),"No. I took delivery of the first car Tesla was able to deliver.")</f>
        <v>No. I took delivery of the first car Tesla was able to deliver.</v>
      </c>
      <c r="AH2862" s="189">
        <f>IFERROR(__xludf.DUMMYFUNCTION("""COMPUTED_VALUE"""),44443.34725450231)</f>
        <v>44443.34725</v>
      </c>
    </row>
    <row r="2863">
      <c r="A2863" t="str">
        <f>IFERROR(__xludf.DUMMYFUNCTION("""COMPUTED_VALUE"""),"EdgeOfInsanity")</f>
        <v>EdgeOfInsanity</v>
      </c>
      <c r="B2863" t="str">
        <f>IFERROR(__xludf.DUMMYFUNCTION("""COMPUTED_VALUE"""),"Charlotte")</f>
        <v>Charlotte</v>
      </c>
      <c r="C2863" t="str">
        <f>IFERROR(__xludf.DUMMYFUNCTION("""COMPUTED_VALUE"""),"NC")</f>
        <v>NC</v>
      </c>
      <c r="D2863" t="str">
        <f>IFERROR(__xludf.DUMMYFUNCTION("""COMPUTED_VALUE"""),"USA")</f>
        <v>USA</v>
      </c>
      <c r="E2863" s="188">
        <f>IFERROR(__xludf.DUMMYFUNCTION("""COMPUTED_VALUE"""),44281.0)</f>
        <v>44281</v>
      </c>
      <c r="F2863" s="188">
        <f>IFERROR(__xludf.DUMMYFUNCTION("""COMPUTED_VALUE"""),44350.0)</f>
        <v>44350</v>
      </c>
      <c r="G2863" t="str">
        <f>IFERROR(__xludf.DUMMYFUNCTION("""COMPUTED_VALUE"""),"Manage order page (normal text)")</f>
        <v>Manage order page (normal text)</v>
      </c>
      <c r="J2863" s="188">
        <f>IFERROR(__xludf.DUMMYFUNCTION("""COMPUTED_VALUE"""),44351.0)</f>
        <v>44351</v>
      </c>
      <c r="K2863">
        <f>IFERROR(__xludf.DUMMYFUNCTION("""COMPUTED_VALUE"""),69.0)</f>
        <v>69</v>
      </c>
      <c r="L2863">
        <f>IFERROR(__xludf.DUMMYFUNCTION("""COMPUTED_VALUE"""),1.0)</f>
        <v>1</v>
      </c>
      <c r="M2863">
        <f>IFERROR(__xludf.DUMMYFUNCTION("""COMPUTED_VALUE"""),70.0)</f>
        <v>70</v>
      </c>
      <c r="N2863" t="str">
        <f>IFERROR(__xludf.DUMMYFUNCTION("""COMPUTED_VALUE"""),"Model 3 LR AWD")</f>
        <v>Model 3 LR AWD</v>
      </c>
      <c r="O2863" t="str">
        <f>IFERROR(__xludf.DUMMYFUNCTION("""COMPUTED_VALUE"""),"Pearl White Multi-Coat")</f>
        <v>Pearl White Multi-Coat</v>
      </c>
      <c r="P2863" t="str">
        <f>IFERROR(__xludf.DUMMYFUNCTION("""COMPUTED_VALUE"""),"18 inch")</f>
        <v>18 inch</v>
      </c>
      <c r="Q2863" t="str">
        <f>IFERROR(__xludf.DUMMYFUNCTION("""COMPUTED_VALUE"""),"All Black")</f>
        <v>All Black</v>
      </c>
      <c r="R2863" t="str">
        <f>IFERROR(__xludf.DUMMYFUNCTION("""COMPUTED_VALUE"""),"Autopilot included")</f>
        <v>Autopilot included</v>
      </c>
      <c r="S2863" t="str">
        <f>IFERROR(__xludf.DUMMYFUNCTION("""COMPUTED_VALUE"""),"Loan")</f>
        <v>Loan</v>
      </c>
      <c r="T2863" t="str">
        <f>IFERROR(__xludf.DUMMYFUNCTION("""COMPUTED_VALUE"""),"Buick Lacrosse")</f>
        <v>Buick Lacrosse</v>
      </c>
      <c r="U2863" t="str">
        <f>IFERROR(__xludf.DUMMYFUNCTION("""COMPUTED_VALUE"""),"Autopilot")</f>
        <v>Autopilot</v>
      </c>
      <c r="V2863" t="str">
        <f>IFERROR(__xludf.DUMMYFUNCTION("""COMPUTED_VALUE"""),"Head-up display")</f>
        <v>Head-up display</v>
      </c>
      <c r="X2863" t="str">
        <f>IFERROR(__xludf.DUMMYFUNCTION("""COMPUTED_VALUE"""),"Very Good")</f>
        <v>Very Good</v>
      </c>
      <c r="Y2863" t="str">
        <f>IFERROR(__xludf.DUMMYFUNCTION("""COMPUTED_VALUE"""),"Very Good")</f>
        <v>Very Good</v>
      </c>
      <c r="Z2863" t="str">
        <f>IFERROR(__xludf.DUMMYFUNCTION("""COMPUTED_VALUE"""),"Very Good")</f>
        <v>Very Good</v>
      </c>
      <c r="AA2863" t="str">
        <f>IFERROR(__xludf.DUMMYFUNCTION("""COMPUTED_VALUE"""),"Poor")</f>
        <v>Poor</v>
      </c>
      <c r="AB2863" t="str">
        <f>IFERROR(__xludf.DUMMYFUNCTION("""COMPUTED_VALUE"""),"Good")</f>
        <v>Good</v>
      </c>
      <c r="AC2863">
        <f>IFERROR(__xludf.DUMMYFUNCTION("""COMPUTED_VALUE"""),1.0)</f>
        <v>1</v>
      </c>
      <c r="AF2863" t="str">
        <f>IFERROR(__xludf.DUMMYFUNCTION("""COMPUTED_VALUE"""),"No. I took delivery of the first car Tesla was able to deliver.")</f>
        <v>No. I took delivery of the first car Tesla was able to deliver.</v>
      </c>
      <c r="AG2863" t="str">
        <f>IFERROR(__xludf.DUMMYFUNCTION("""COMPUTED_VALUE"""),"The worst car buying experience I've ever had, will not be buying a Tesla again")</f>
        <v>The worst car buying experience I've ever had, will not be buying a Tesla again</v>
      </c>
      <c r="AH2863" s="189">
        <f>IFERROR(__xludf.DUMMYFUNCTION("""COMPUTED_VALUE"""),44354.282556412036)</f>
        <v>44354.28256</v>
      </c>
    </row>
    <row r="2864">
      <c r="A2864" t="str">
        <f>IFERROR(__xludf.DUMMYFUNCTION("""COMPUTED_VALUE"""),"Carolinian")</f>
        <v>Carolinian</v>
      </c>
      <c r="B2864" t="str">
        <f>IFERROR(__xludf.DUMMYFUNCTION("""COMPUTED_VALUE"""),"Cary")</f>
        <v>Cary</v>
      </c>
      <c r="C2864" t="str">
        <f>IFERROR(__xludf.DUMMYFUNCTION("""COMPUTED_VALUE"""),"NC")</f>
        <v>NC</v>
      </c>
      <c r="D2864" t="str">
        <f>IFERROR(__xludf.DUMMYFUNCTION("""COMPUTED_VALUE"""),"USA")</f>
        <v>USA</v>
      </c>
      <c r="E2864" s="188">
        <f>IFERROR(__xludf.DUMMYFUNCTION("""COMPUTED_VALUE"""),44303.0)</f>
        <v>44303</v>
      </c>
      <c r="F2864" s="188">
        <f>IFERROR(__xludf.DUMMYFUNCTION("""COMPUTED_VALUE"""),44360.0)</f>
        <v>44360</v>
      </c>
      <c r="G2864" t="str">
        <f>IFERROR(__xludf.DUMMYFUNCTION("""COMPUTED_VALUE"""),"Manage order page (normal text)")</f>
        <v>Manage order page (normal text)</v>
      </c>
      <c r="J2864" s="188">
        <f>IFERROR(__xludf.DUMMYFUNCTION("""COMPUTED_VALUE"""),44376.0)</f>
        <v>44376</v>
      </c>
      <c r="K2864">
        <f>IFERROR(__xludf.DUMMYFUNCTION("""COMPUTED_VALUE"""),57.0)</f>
        <v>57</v>
      </c>
      <c r="L2864">
        <f>IFERROR(__xludf.DUMMYFUNCTION("""COMPUTED_VALUE"""),16.0)</f>
        <v>16</v>
      </c>
      <c r="M2864">
        <f>IFERROR(__xludf.DUMMYFUNCTION("""COMPUTED_VALUE"""),73.0)</f>
        <v>73</v>
      </c>
      <c r="N2864" t="str">
        <f>IFERROR(__xludf.DUMMYFUNCTION("""COMPUTED_VALUE"""),"Model 3 LR AWD")</f>
        <v>Model 3 LR AWD</v>
      </c>
      <c r="O2864" t="str">
        <f>IFERROR(__xludf.DUMMYFUNCTION("""COMPUTED_VALUE"""),"Midnight Silver Metallic")</f>
        <v>Midnight Silver Metallic</v>
      </c>
      <c r="P2864" t="str">
        <f>IFERROR(__xludf.DUMMYFUNCTION("""COMPUTED_VALUE"""),"18 inch")</f>
        <v>18 inch</v>
      </c>
      <c r="Q2864" t="str">
        <f>IFERROR(__xludf.DUMMYFUNCTION("""COMPUTED_VALUE"""),"Black and White")</f>
        <v>Black and White</v>
      </c>
      <c r="R2864" t="str">
        <f>IFERROR(__xludf.DUMMYFUNCTION("""COMPUTED_VALUE"""),"Autopilot included")</f>
        <v>Autopilot included</v>
      </c>
      <c r="S2864" t="str">
        <f>IFERROR(__xludf.DUMMYFUNCTION("""COMPUTED_VALUE"""),"Loan")</f>
        <v>Loan</v>
      </c>
      <c r="T2864" t="str">
        <f>IFERROR(__xludf.DUMMYFUNCTION("""COMPUTED_VALUE"""),"GMC Canyon")</f>
        <v>GMC Canyon</v>
      </c>
      <c r="U2864" t="str">
        <f>IFERROR(__xludf.DUMMYFUNCTION("""COMPUTED_VALUE"""),"Electric!")</f>
        <v>Electric!</v>
      </c>
      <c r="V2864" t="str">
        <f>IFERROR(__xludf.DUMMYFUNCTION("""COMPUTED_VALUE"""),"Ventilated seats")</f>
        <v>Ventilated seats</v>
      </c>
      <c r="X2864" t="str">
        <f>IFERROR(__xludf.DUMMYFUNCTION("""COMPUTED_VALUE"""),"Excellent")</f>
        <v>Excellent</v>
      </c>
      <c r="Y2864" t="str">
        <f>IFERROR(__xludf.DUMMYFUNCTION("""COMPUTED_VALUE"""),"Very Good")</f>
        <v>Very Good</v>
      </c>
      <c r="Z2864" t="str">
        <f>IFERROR(__xludf.DUMMYFUNCTION("""COMPUTED_VALUE"""),"Good")</f>
        <v>Good</v>
      </c>
      <c r="AA2864" t="str">
        <f>IFERROR(__xludf.DUMMYFUNCTION("""COMPUTED_VALUE"""),"Fair")</f>
        <v>Fair</v>
      </c>
      <c r="AB2864" t="str">
        <f>IFERROR(__xludf.DUMMYFUNCTION("""COMPUTED_VALUE"""),"Very Good")</f>
        <v>Very Good</v>
      </c>
      <c r="AF2864" t="str">
        <f>IFERROR(__xludf.DUMMYFUNCTION("""COMPUTED_VALUE"""),"No. I took delivery of the first car Tesla was able to deliver.")</f>
        <v>No. I took delivery of the first car Tesla was able to deliver.</v>
      </c>
      <c r="AH2864" s="189">
        <f>IFERROR(__xludf.DUMMYFUNCTION("""COMPUTED_VALUE"""),44376.77363736111)</f>
        <v>44376.77364</v>
      </c>
    </row>
    <row r="2865">
      <c r="A2865" t="str">
        <f>IFERROR(__xludf.DUMMYFUNCTION("""COMPUTED_VALUE"""),"guest")</f>
        <v>guest</v>
      </c>
      <c r="B2865" t="str">
        <f>IFERROR(__xludf.DUMMYFUNCTION("""COMPUTED_VALUE"""),"Springfield")</f>
        <v>Springfield</v>
      </c>
      <c r="C2865" t="str">
        <f>IFERROR(__xludf.DUMMYFUNCTION("""COMPUTED_VALUE"""),"NJ")</f>
        <v>NJ</v>
      </c>
      <c r="D2865" t="str">
        <f>IFERROR(__xludf.DUMMYFUNCTION("""COMPUTED_VALUE"""),"USA")</f>
        <v>USA</v>
      </c>
      <c r="E2865" s="188">
        <f>IFERROR(__xludf.DUMMYFUNCTION("""COMPUTED_VALUE"""),44301.0)</f>
        <v>44301</v>
      </c>
      <c r="F2865" s="188">
        <f>IFERROR(__xludf.DUMMYFUNCTION("""COMPUTED_VALUE"""),44345.0)</f>
        <v>44345</v>
      </c>
      <c r="G2865" t="str">
        <f>IFERROR(__xludf.DUMMYFUNCTION("""COMPUTED_VALUE"""),"Manage order page (normal text)")</f>
        <v>Manage order page (normal text)</v>
      </c>
      <c r="H2865">
        <f>IFERROR(__xludf.DUMMYFUNCTION("""COMPUTED_VALUE"""),979155.0)</f>
        <v>979155</v>
      </c>
      <c r="I2865" t="str">
        <f>IFERROR(__xludf.DUMMYFUNCTION("""COMPUTED_VALUE"""),"05/21")</f>
        <v>05/21</v>
      </c>
      <c r="J2865" s="188">
        <f>IFERROR(__xludf.DUMMYFUNCTION("""COMPUTED_VALUE"""),44356.0)</f>
        <v>44356</v>
      </c>
      <c r="K2865">
        <f>IFERROR(__xludf.DUMMYFUNCTION("""COMPUTED_VALUE"""),44.0)</f>
        <v>44</v>
      </c>
      <c r="L2865">
        <f>IFERROR(__xludf.DUMMYFUNCTION("""COMPUTED_VALUE"""),11.0)</f>
        <v>11</v>
      </c>
      <c r="M2865">
        <f>IFERROR(__xludf.DUMMYFUNCTION("""COMPUTED_VALUE"""),55.0)</f>
        <v>55</v>
      </c>
      <c r="N2865" t="str">
        <f>IFERROR(__xludf.DUMMYFUNCTION("""COMPUTED_VALUE"""),"Model 3 LR AWD")</f>
        <v>Model 3 LR AWD</v>
      </c>
      <c r="O2865" t="str">
        <f>IFERROR(__xludf.DUMMYFUNCTION("""COMPUTED_VALUE"""),"Solid Black")</f>
        <v>Solid Black</v>
      </c>
      <c r="P2865" t="str">
        <f>IFERROR(__xludf.DUMMYFUNCTION("""COMPUTED_VALUE"""),"18 inch")</f>
        <v>18 inch</v>
      </c>
      <c r="Q2865" t="str">
        <f>IFERROR(__xludf.DUMMYFUNCTION("""COMPUTED_VALUE"""),"All Black")</f>
        <v>All Black</v>
      </c>
      <c r="R2865" t="str">
        <f>IFERROR(__xludf.DUMMYFUNCTION("""COMPUTED_VALUE"""),"Autopilot included")</f>
        <v>Autopilot included</v>
      </c>
      <c r="S2865" t="str">
        <f>IFERROR(__xludf.DUMMYFUNCTION("""COMPUTED_VALUE"""),"Loan")</f>
        <v>Loan</v>
      </c>
      <c r="T2865" t="str">
        <f>IFERROR(__xludf.DUMMYFUNCTION("""COMPUTED_VALUE"""),"Chevrolet Orlando")</f>
        <v>Chevrolet Orlando</v>
      </c>
      <c r="U2865" t="str">
        <f>IFERROR(__xludf.DUMMYFUNCTION("""COMPUTED_VALUE"""),"Supercharger V3 support")</f>
        <v>Supercharger V3 support</v>
      </c>
      <c r="V2865" t="str">
        <f>IFERROR(__xludf.DUMMYFUNCTION("""COMPUTED_VALUE"""),"SC support for aftermarket wheels")</f>
        <v>SC support for aftermarket wheels</v>
      </c>
      <c r="W2865" t="str">
        <f>IFERROR(__xludf.DUMMYFUNCTION("""COMPUTED_VALUE"""),"Order within the first 2 weeks of the quarter")</f>
        <v>Order within the first 2 weeks of the quarter</v>
      </c>
      <c r="X2865" t="str">
        <f>IFERROR(__xludf.DUMMYFUNCTION("""COMPUTED_VALUE"""),"Excellent")</f>
        <v>Excellent</v>
      </c>
      <c r="Y2865" t="str">
        <f>IFERROR(__xludf.DUMMYFUNCTION("""COMPUTED_VALUE"""),"Excellent")</f>
        <v>Excellent</v>
      </c>
      <c r="Z2865" t="str">
        <f>IFERROR(__xludf.DUMMYFUNCTION("""COMPUTED_VALUE"""),"Excellent")</f>
        <v>Excellent</v>
      </c>
      <c r="AA2865" t="str">
        <f>IFERROR(__xludf.DUMMYFUNCTION("""COMPUTED_VALUE"""),"Excellent")</f>
        <v>Excellent</v>
      </c>
      <c r="AB2865" t="str">
        <f>IFERROR(__xludf.DUMMYFUNCTION("""COMPUTED_VALUE"""),"Excellent")</f>
        <v>Excellent</v>
      </c>
      <c r="AC2865">
        <f>IFERROR(__xludf.DUMMYFUNCTION("""COMPUTED_VALUE"""),1.0)</f>
        <v>1</v>
      </c>
      <c r="AD2865">
        <f>IFERROR(__xludf.DUMMYFUNCTION("""COMPUTED_VALUE"""),1.0)</f>
        <v>1</v>
      </c>
      <c r="AE2865">
        <f>IFERROR(__xludf.DUMMYFUNCTION("""COMPUTED_VALUE"""),0.0)</f>
        <v>0</v>
      </c>
      <c r="AF2865" t="str">
        <f>IFERROR(__xludf.DUMMYFUNCTION("""COMPUTED_VALUE"""),"No. I took delivery of the first car Tesla was able to deliver.")</f>
        <v>No. I took delivery of the first car Tesla was able to deliver.</v>
      </c>
      <c r="AH2865" s="189">
        <f>IFERROR(__xludf.DUMMYFUNCTION("""COMPUTED_VALUE"""),44361.43980137732)</f>
        <v>44361.4398</v>
      </c>
    </row>
    <row r="2866">
      <c r="A2866" t="str">
        <f>IFERROR(__xludf.DUMMYFUNCTION("""COMPUTED_VALUE"""),"DrakeWest")</f>
        <v>DrakeWest</v>
      </c>
      <c r="B2866" t="str">
        <f>IFERROR(__xludf.DUMMYFUNCTION("""COMPUTED_VALUE"""),"NYC")</f>
        <v>NYC</v>
      </c>
      <c r="C2866" t="str">
        <f>IFERROR(__xludf.DUMMYFUNCTION("""COMPUTED_VALUE"""),"NY")</f>
        <v>NY</v>
      </c>
      <c r="D2866" t="str">
        <f>IFERROR(__xludf.DUMMYFUNCTION("""COMPUTED_VALUE"""),"USA")</f>
        <v>USA</v>
      </c>
      <c r="E2866" s="188">
        <f>IFERROR(__xludf.DUMMYFUNCTION("""COMPUTED_VALUE"""),44295.0)</f>
        <v>44295</v>
      </c>
      <c r="F2866" s="188">
        <f>IFERROR(__xludf.DUMMYFUNCTION("""COMPUTED_VALUE"""),44344.0)</f>
        <v>44344</v>
      </c>
      <c r="G2866" t="str">
        <f>IFERROR(__xludf.DUMMYFUNCTION("""COMPUTED_VALUE"""),"Manage order page (normal text)")</f>
        <v>Manage order page (normal text)</v>
      </c>
      <c r="J2866" s="188">
        <f>IFERROR(__xludf.DUMMYFUNCTION("""COMPUTED_VALUE"""),44348.0)</f>
        <v>44348</v>
      </c>
      <c r="K2866">
        <f>IFERROR(__xludf.DUMMYFUNCTION("""COMPUTED_VALUE"""),49.0)</f>
        <v>49</v>
      </c>
      <c r="L2866">
        <f>IFERROR(__xludf.DUMMYFUNCTION("""COMPUTED_VALUE"""),4.0)</f>
        <v>4</v>
      </c>
      <c r="M2866">
        <f>IFERROR(__xludf.DUMMYFUNCTION("""COMPUTED_VALUE"""),53.0)</f>
        <v>53</v>
      </c>
      <c r="N2866" t="str">
        <f>IFERROR(__xludf.DUMMYFUNCTION("""COMPUTED_VALUE"""),"Model 3 LR AWD")</f>
        <v>Model 3 LR AWD</v>
      </c>
      <c r="O2866" t="str">
        <f>IFERROR(__xludf.DUMMYFUNCTION("""COMPUTED_VALUE"""),"Deep Blue Metallic")</f>
        <v>Deep Blue Metallic</v>
      </c>
      <c r="P2866" t="str">
        <f>IFERROR(__xludf.DUMMYFUNCTION("""COMPUTED_VALUE"""),"19 inch")</f>
        <v>19 inch</v>
      </c>
      <c r="Q2866" t="str">
        <f>IFERROR(__xludf.DUMMYFUNCTION("""COMPUTED_VALUE"""),"All Black")</f>
        <v>All Black</v>
      </c>
      <c r="R2866" t="str">
        <f>IFERROR(__xludf.DUMMYFUNCTION("""COMPUTED_VALUE"""),"Autopilot included")</f>
        <v>Autopilot included</v>
      </c>
      <c r="S2866" t="str">
        <f>IFERROR(__xludf.DUMMYFUNCTION("""COMPUTED_VALUE"""),"Loan")</f>
        <v>Loan</v>
      </c>
      <c r="T2866" t="str">
        <f>IFERROR(__xludf.DUMMYFUNCTION("""COMPUTED_VALUE"""),"BMW X3")</f>
        <v>BMW X3</v>
      </c>
      <c r="U2866" t="str">
        <f>IFERROR(__xludf.DUMMYFUNCTION("""COMPUTED_VALUE"""),"Autopilot")</f>
        <v>Autopilot</v>
      </c>
      <c r="V2866" t="str">
        <f>IFERROR(__xludf.DUMMYFUNCTION("""COMPUTED_VALUE"""),"Apple CarPlay / Android Auto / SiriusXM Radio")</f>
        <v>Apple CarPlay / Android Auto / SiriusXM Radio</v>
      </c>
      <c r="W2866" t="str">
        <f>IFERROR(__xludf.DUMMYFUNCTION("""COMPUTED_VALUE"""),"patients")</f>
        <v>patients</v>
      </c>
      <c r="X2866" t="str">
        <f>IFERROR(__xludf.DUMMYFUNCTION("""COMPUTED_VALUE"""),"Excellent")</f>
        <v>Excellent</v>
      </c>
      <c r="Y2866" t="str">
        <f>IFERROR(__xludf.DUMMYFUNCTION("""COMPUTED_VALUE"""),"Excellent")</f>
        <v>Excellent</v>
      </c>
      <c r="Z2866" t="str">
        <f>IFERROR(__xludf.DUMMYFUNCTION("""COMPUTED_VALUE"""),"Excellent")</f>
        <v>Excellent</v>
      </c>
      <c r="AA2866" t="str">
        <f>IFERROR(__xludf.DUMMYFUNCTION("""COMPUTED_VALUE"""),"Fair")</f>
        <v>Fair</v>
      </c>
      <c r="AB2866" t="str">
        <f>IFERROR(__xludf.DUMMYFUNCTION("""COMPUTED_VALUE"""),"Very Good")</f>
        <v>Very Good</v>
      </c>
      <c r="AC2866">
        <f>IFERROR(__xludf.DUMMYFUNCTION("""COMPUTED_VALUE"""),0.0)</f>
        <v>0</v>
      </c>
      <c r="AD2866">
        <f>IFERROR(__xludf.DUMMYFUNCTION("""COMPUTED_VALUE"""),0.0)</f>
        <v>0</v>
      </c>
      <c r="AE2866">
        <f>IFERROR(__xludf.DUMMYFUNCTION("""COMPUTED_VALUE"""),0.0)</f>
        <v>0</v>
      </c>
      <c r="AF2866" t="str">
        <f>IFERROR(__xludf.DUMMYFUNCTION("""COMPUTED_VALUE"""),"No. I took delivery of the first car Tesla was able to deliver.")</f>
        <v>No. I took delivery of the first car Tesla was able to deliver.</v>
      </c>
      <c r="AH2866" s="189">
        <f>IFERROR(__xludf.DUMMYFUNCTION("""COMPUTED_VALUE"""),44350.774145717594)</f>
        <v>44350.77415</v>
      </c>
    </row>
    <row r="2867">
      <c r="A2867" t="str">
        <f>IFERROR(__xludf.DUMMYFUNCTION("""COMPUTED_VALUE"""),"Techitect")</f>
        <v>Techitect</v>
      </c>
      <c r="B2867" t="str">
        <f>IFERROR(__xludf.DUMMYFUNCTION("""COMPUTED_VALUE"""),"Denver")</f>
        <v>Denver</v>
      </c>
      <c r="C2867" t="str">
        <f>IFERROR(__xludf.DUMMYFUNCTION("""COMPUTED_VALUE"""),"CO")</f>
        <v>CO</v>
      </c>
      <c r="D2867" t="str">
        <f>IFERROR(__xludf.DUMMYFUNCTION("""COMPUTED_VALUE"""),"USA")</f>
        <v>USA</v>
      </c>
      <c r="E2867" s="188">
        <f>IFERROR(__xludf.DUMMYFUNCTION("""COMPUTED_VALUE"""),44299.0)</f>
        <v>44299</v>
      </c>
      <c r="F2867" s="188">
        <f>IFERROR(__xludf.DUMMYFUNCTION("""COMPUTED_VALUE"""),44349.0)</f>
        <v>44349</v>
      </c>
      <c r="G2867" t="str">
        <f>IFERROR(__xludf.DUMMYFUNCTION("""COMPUTED_VALUE"""),"Email")</f>
        <v>Email</v>
      </c>
      <c r="H2867">
        <f>IFERROR(__xludf.DUMMYFUNCTION("""COMPUTED_VALUE"""),984455.0)</f>
        <v>984455</v>
      </c>
      <c r="J2867" s="188">
        <f>IFERROR(__xludf.DUMMYFUNCTION("""COMPUTED_VALUE"""),44361.0)</f>
        <v>44361</v>
      </c>
      <c r="K2867">
        <f>IFERROR(__xludf.DUMMYFUNCTION("""COMPUTED_VALUE"""),50.0)</f>
        <v>50</v>
      </c>
      <c r="L2867">
        <f>IFERROR(__xludf.DUMMYFUNCTION("""COMPUTED_VALUE"""),12.0)</f>
        <v>12</v>
      </c>
      <c r="M2867">
        <f>IFERROR(__xludf.DUMMYFUNCTION("""COMPUTED_VALUE"""),62.0)</f>
        <v>62</v>
      </c>
      <c r="N2867" t="str">
        <f>IFERROR(__xludf.DUMMYFUNCTION("""COMPUTED_VALUE"""),"Model 3 Performance")</f>
        <v>Model 3 Performance</v>
      </c>
      <c r="O2867" t="str">
        <f>IFERROR(__xludf.DUMMYFUNCTION("""COMPUTED_VALUE"""),"Pearl White Multi-Coat")</f>
        <v>Pearl White Multi-Coat</v>
      </c>
      <c r="P2867" t="str">
        <f>IFERROR(__xludf.DUMMYFUNCTION("""COMPUTED_VALUE"""),"20 inch")</f>
        <v>20 inch</v>
      </c>
      <c r="Q2867" t="str">
        <f>IFERROR(__xludf.DUMMYFUNCTION("""COMPUTED_VALUE"""),"Black and White")</f>
        <v>Black and White</v>
      </c>
      <c r="R2867" t="str">
        <f>IFERROR(__xludf.DUMMYFUNCTION("""COMPUTED_VALUE"""),"Autopilot included")</f>
        <v>Autopilot included</v>
      </c>
      <c r="S2867" t="str">
        <f>IFERROR(__xludf.DUMMYFUNCTION("""COMPUTED_VALUE"""),"Cash")</f>
        <v>Cash</v>
      </c>
      <c r="T2867" t="str">
        <f>IFERROR(__xludf.DUMMYFUNCTION("""COMPUTED_VALUE"""),"Tesla Model 3")</f>
        <v>Tesla Model 3</v>
      </c>
      <c r="U2867" t="str">
        <f>IFERROR(__xludf.DUMMYFUNCTION("""COMPUTED_VALUE"""),"Performance")</f>
        <v>Performance</v>
      </c>
      <c r="V2867" t="str">
        <f>IFERROR(__xludf.DUMMYFUNCTION("""COMPUTED_VALUE"""),"HomeLink")</f>
        <v>HomeLink</v>
      </c>
      <c r="X2867" t="str">
        <f>IFERROR(__xludf.DUMMYFUNCTION("""COMPUTED_VALUE"""),"Very Good")</f>
        <v>Very Good</v>
      </c>
      <c r="Y2867" t="str">
        <f>IFERROR(__xludf.DUMMYFUNCTION("""COMPUTED_VALUE"""),"Excellent")</f>
        <v>Excellent</v>
      </c>
      <c r="Z2867" t="str">
        <f>IFERROR(__xludf.DUMMYFUNCTION("""COMPUTED_VALUE"""),"Excellent")</f>
        <v>Excellent</v>
      </c>
      <c r="AA2867" t="str">
        <f>IFERROR(__xludf.DUMMYFUNCTION("""COMPUTED_VALUE"""),"Excellent")</f>
        <v>Excellent</v>
      </c>
      <c r="AB2867" t="str">
        <f>IFERROR(__xludf.DUMMYFUNCTION("""COMPUTED_VALUE"""),"Excellent")</f>
        <v>Excellent</v>
      </c>
      <c r="AF2867" t="str">
        <f>IFERROR(__xludf.DUMMYFUNCTION("""COMPUTED_VALUE"""),"No. I took delivery of the first car Tesla was able to deliver.")</f>
        <v>No. I took delivery of the first car Tesla was able to deliver.</v>
      </c>
      <c r="AH2867" s="189">
        <f>IFERROR(__xludf.DUMMYFUNCTION("""COMPUTED_VALUE"""),44361.58490140046)</f>
        <v>44361.5849</v>
      </c>
    </row>
    <row r="2868">
      <c r="A2868" t="str">
        <f>IFERROR(__xludf.DUMMYFUNCTION("""COMPUTED_VALUE"""),"Simply Potamus")</f>
        <v>Simply Potamus</v>
      </c>
      <c r="B2868" t="str">
        <f>IFERROR(__xludf.DUMMYFUNCTION("""COMPUTED_VALUE"""),"Salt Lake City")</f>
        <v>Salt Lake City</v>
      </c>
      <c r="C2868" t="str">
        <f>IFERROR(__xludf.DUMMYFUNCTION("""COMPUTED_VALUE"""),"UT")</f>
        <v>UT</v>
      </c>
      <c r="D2868" t="str">
        <f>IFERROR(__xludf.DUMMYFUNCTION("""COMPUTED_VALUE"""),"USA")</f>
        <v>USA</v>
      </c>
      <c r="E2868" s="188">
        <f>IFERROR(__xludf.DUMMYFUNCTION("""COMPUTED_VALUE"""),44304.0)</f>
        <v>44304</v>
      </c>
      <c r="F2868" s="188">
        <f>IFERROR(__xludf.DUMMYFUNCTION("""COMPUTED_VALUE"""),44365.0)</f>
        <v>44365</v>
      </c>
      <c r="G2868" t="str">
        <f>IFERROR(__xludf.DUMMYFUNCTION("""COMPUTED_VALUE"""),"Manage order page (normal text)")</f>
        <v>Manage order page (normal text)</v>
      </c>
      <c r="H2868">
        <f>IFERROR(__xludf.DUMMYFUNCTION("""COMPUTED_VALUE"""),995941.0)</f>
        <v>995941</v>
      </c>
      <c r="I2868" t="str">
        <f>IFERROR(__xludf.DUMMYFUNCTION("""COMPUTED_VALUE"""),"06/21")</f>
        <v>06/21</v>
      </c>
      <c r="J2868" s="188">
        <f>IFERROR(__xludf.DUMMYFUNCTION("""COMPUTED_VALUE"""),44368.0)</f>
        <v>44368</v>
      </c>
      <c r="K2868">
        <f>IFERROR(__xludf.DUMMYFUNCTION("""COMPUTED_VALUE"""),61.0)</f>
        <v>61</v>
      </c>
      <c r="L2868">
        <f>IFERROR(__xludf.DUMMYFUNCTION("""COMPUTED_VALUE"""),3.0)</f>
        <v>3</v>
      </c>
      <c r="M2868">
        <f>IFERROR(__xludf.DUMMYFUNCTION("""COMPUTED_VALUE"""),64.0)</f>
        <v>64</v>
      </c>
      <c r="N2868" t="str">
        <f>IFERROR(__xludf.DUMMYFUNCTION("""COMPUTED_VALUE"""),"Model 3 LR AWD")</f>
        <v>Model 3 LR AWD</v>
      </c>
      <c r="O2868" t="str">
        <f>IFERROR(__xludf.DUMMYFUNCTION("""COMPUTED_VALUE"""),"Pearl White Multi-Coat")</f>
        <v>Pearl White Multi-Coat</v>
      </c>
      <c r="P2868" t="str">
        <f>IFERROR(__xludf.DUMMYFUNCTION("""COMPUTED_VALUE"""),"18 inch")</f>
        <v>18 inch</v>
      </c>
      <c r="Q2868" t="str">
        <f>IFERROR(__xludf.DUMMYFUNCTION("""COMPUTED_VALUE"""),"Black and White")</f>
        <v>Black and White</v>
      </c>
      <c r="R2868" t="str">
        <f>IFERROR(__xludf.DUMMYFUNCTION("""COMPUTED_VALUE"""),"Autopilot included")</f>
        <v>Autopilot included</v>
      </c>
      <c r="S2868" t="str">
        <f>IFERROR(__xludf.DUMMYFUNCTION("""COMPUTED_VALUE"""),"Cash")</f>
        <v>Cash</v>
      </c>
      <c r="U2868" t="str">
        <f>IFERROR(__xludf.DUMMYFUNCTION("""COMPUTED_VALUE"""),"Electric!")</f>
        <v>Electric!</v>
      </c>
      <c r="V2868" t="str">
        <f>IFERROR(__xludf.DUMMYFUNCTION("""COMPUTED_VALUE"""),"Apple CarPlay / Android Auto / SiriusXM Radio")</f>
        <v>Apple CarPlay / Android Auto / SiriusXM Radio</v>
      </c>
      <c r="X2868" t="str">
        <f>IFERROR(__xludf.DUMMYFUNCTION("""COMPUTED_VALUE"""),"Excellent")</f>
        <v>Excellent</v>
      </c>
      <c r="Y2868" t="str">
        <f>IFERROR(__xludf.DUMMYFUNCTION("""COMPUTED_VALUE"""),"Excellent")</f>
        <v>Excellent</v>
      </c>
      <c r="Z2868" t="str">
        <f>IFERROR(__xludf.DUMMYFUNCTION("""COMPUTED_VALUE"""),"Excellent")</f>
        <v>Excellent</v>
      </c>
      <c r="AA2868" t="str">
        <f>IFERROR(__xludf.DUMMYFUNCTION("""COMPUTED_VALUE"""),"Very Good")</f>
        <v>Very Good</v>
      </c>
      <c r="AB2868" t="str">
        <f>IFERROR(__xludf.DUMMYFUNCTION("""COMPUTED_VALUE"""),"Excellent")</f>
        <v>Excellent</v>
      </c>
      <c r="AF2868" t="str">
        <f>IFERROR(__xludf.DUMMYFUNCTION("""COMPUTED_VALUE"""),"No. I took delivery of the first car Tesla was able to deliver.")</f>
        <v>No. I took delivery of the first car Tesla was able to deliver.</v>
      </c>
      <c r="AH2868" s="189">
        <f>IFERROR(__xludf.DUMMYFUNCTION("""COMPUTED_VALUE"""),44376.896685)</f>
        <v>44376.89669</v>
      </c>
    </row>
    <row r="2869">
      <c r="A2869" t="str">
        <f>IFERROR(__xludf.DUMMYFUNCTION("""COMPUTED_VALUE"""),"preetham")</f>
        <v>preetham</v>
      </c>
      <c r="B2869" t="str">
        <f>IFERROR(__xludf.DUMMYFUNCTION("""COMPUTED_VALUE"""),"Dayton")</f>
        <v>Dayton</v>
      </c>
      <c r="C2869" t="str">
        <f>IFERROR(__xludf.DUMMYFUNCTION("""COMPUTED_VALUE"""),"OH")</f>
        <v>OH</v>
      </c>
      <c r="D2869" t="str">
        <f>IFERROR(__xludf.DUMMYFUNCTION("""COMPUTED_VALUE"""),"USA")</f>
        <v>USA</v>
      </c>
      <c r="E2869" s="188">
        <f>IFERROR(__xludf.DUMMYFUNCTION("""COMPUTED_VALUE"""),44305.0)</f>
        <v>44305</v>
      </c>
      <c r="F2869" s="188">
        <f>IFERROR(__xludf.DUMMYFUNCTION("""COMPUTED_VALUE"""),44347.0)</f>
        <v>44347</v>
      </c>
      <c r="G2869" t="str">
        <f>IFERROR(__xludf.DUMMYFUNCTION("""COMPUTED_VALUE"""),"Email")</f>
        <v>Email</v>
      </c>
      <c r="H2869">
        <f>IFERROR(__xludf.DUMMYFUNCTION("""COMPUTED_VALUE"""),976855.0)</f>
        <v>976855</v>
      </c>
      <c r="J2869" s="188">
        <f>IFERROR(__xludf.DUMMYFUNCTION("""COMPUTED_VALUE"""),44356.0)</f>
        <v>44356</v>
      </c>
      <c r="K2869">
        <f>IFERROR(__xludf.DUMMYFUNCTION("""COMPUTED_VALUE"""),42.0)</f>
        <v>42</v>
      </c>
      <c r="L2869">
        <f>IFERROR(__xludf.DUMMYFUNCTION("""COMPUTED_VALUE"""),9.0)</f>
        <v>9</v>
      </c>
      <c r="M2869">
        <f>IFERROR(__xludf.DUMMYFUNCTION("""COMPUTED_VALUE"""),51.0)</f>
        <v>51</v>
      </c>
      <c r="N2869" t="str">
        <f>IFERROR(__xludf.DUMMYFUNCTION("""COMPUTED_VALUE"""),"Model 3 SR+")</f>
        <v>Model 3 SR+</v>
      </c>
      <c r="O2869" t="str">
        <f>IFERROR(__xludf.DUMMYFUNCTION("""COMPUTED_VALUE"""),"Pearl White Multi-Coat")</f>
        <v>Pearl White Multi-Coat</v>
      </c>
      <c r="P2869" t="str">
        <f>IFERROR(__xludf.DUMMYFUNCTION("""COMPUTED_VALUE"""),"18 inch")</f>
        <v>18 inch</v>
      </c>
      <c r="Q2869" t="str">
        <f>IFERROR(__xludf.DUMMYFUNCTION("""COMPUTED_VALUE"""),"All Black")</f>
        <v>All Black</v>
      </c>
      <c r="R2869" t="str">
        <f>IFERROR(__xludf.DUMMYFUNCTION("""COMPUTED_VALUE"""),"Autopilot included")</f>
        <v>Autopilot included</v>
      </c>
      <c r="S2869" t="str">
        <f>IFERROR(__xludf.DUMMYFUNCTION("""COMPUTED_VALUE"""),"Loan")</f>
        <v>Loan</v>
      </c>
      <c r="T2869" t="str">
        <f>IFERROR(__xludf.DUMMYFUNCTION("""COMPUTED_VALUE"""),"Honda Civic")</f>
        <v>Honda Civic</v>
      </c>
      <c r="U2869" t="str">
        <f>IFERROR(__xludf.DUMMYFUNCTION("""COMPUTED_VALUE"""),"Autopilot")</f>
        <v>Autopilot</v>
      </c>
      <c r="V2869" t="str">
        <f>IFERROR(__xludf.DUMMYFUNCTION("""COMPUTED_VALUE"""),"Head-up display")</f>
        <v>Head-up display</v>
      </c>
      <c r="W2869" t="str">
        <f>IFERROR(__xludf.DUMMYFUNCTION("""COMPUTED_VALUE"""),"dont start your loan process until you receive a VIN")</f>
        <v>dont start your loan process until you receive a VIN</v>
      </c>
      <c r="AH2869" s="189">
        <f>IFERROR(__xludf.DUMMYFUNCTION("""COMPUTED_VALUE"""),44349.33227396991)</f>
        <v>44349.33227</v>
      </c>
    </row>
    <row r="2870">
      <c r="A2870" t="str">
        <f>IFERROR(__xludf.DUMMYFUNCTION("""COMPUTED_VALUE"""),"whozhighpitch")</f>
        <v>whozhighpitch</v>
      </c>
      <c r="B2870" t="str">
        <f>IFERROR(__xludf.DUMMYFUNCTION("""COMPUTED_VALUE"""),"Ashburn")</f>
        <v>Ashburn</v>
      </c>
      <c r="C2870" t="str">
        <f>IFERROR(__xludf.DUMMYFUNCTION("""COMPUTED_VALUE"""),"VA")</f>
        <v>VA</v>
      </c>
      <c r="D2870" t="str">
        <f>IFERROR(__xludf.DUMMYFUNCTION("""COMPUTED_VALUE"""),"USA")</f>
        <v>USA</v>
      </c>
      <c r="E2870" s="188">
        <f>IFERROR(__xludf.DUMMYFUNCTION("""COMPUTED_VALUE"""),44309.0)</f>
        <v>44309</v>
      </c>
      <c r="F2870" s="188">
        <f>IFERROR(__xludf.DUMMYFUNCTION("""COMPUTED_VALUE"""),44345.0)</f>
        <v>44345</v>
      </c>
      <c r="G2870" t="str">
        <f>IFERROR(__xludf.DUMMYFUNCTION("""COMPUTED_VALUE"""),"Email")</f>
        <v>Email</v>
      </c>
      <c r="H2870">
        <f>IFERROR(__xludf.DUMMYFUNCTION("""COMPUTED_VALUE"""),979955.0)</f>
        <v>979955</v>
      </c>
      <c r="I2870" t="str">
        <f>IFERROR(__xludf.DUMMYFUNCTION("""COMPUTED_VALUE"""),"05/21")</f>
        <v>05/21</v>
      </c>
      <c r="J2870" s="188">
        <f>IFERROR(__xludf.DUMMYFUNCTION("""COMPUTED_VALUE"""),44354.0)</f>
        <v>44354</v>
      </c>
      <c r="K2870">
        <f>IFERROR(__xludf.DUMMYFUNCTION("""COMPUTED_VALUE"""),36.0)</f>
        <v>36</v>
      </c>
      <c r="L2870">
        <f>IFERROR(__xludf.DUMMYFUNCTION("""COMPUTED_VALUE"""),9.0)</f>
        <v>9</v>
      </c>
      <c r="M2870">
        <f>IFERROR(__xludf.DUMMYFUNCTION("""COMPUTED_VALUE"""),45.0)</f>
        <v>45</v>
      </c>
      <c r="N2870" t="str">
        <f>IFERROR(__xludf.DUMMYFUNCTION("""COMPUTED_VALUE"""),"Model 3 LR AWD")</f>
        <v>Model 3 LR AWD</v>
      </c>
      <c r="O2870" t="str">
        <f>IFERROR(__xludf.DUMMYFUNCTION("""COMPUTED_VALUE"""),"Red Multi-Coat")</f>
        <v>Red Multi-Coat</v>
      </c>
      <c r="P2870" t="str">
        <f>IFERROR(__xludf.DUMMYFUNCTION("""COMPUTED_VALUE"""),"18 inch")</f>
        <v>18 inch</v>
      </c>
      <c r="Q2870" t="str">
        <f>IFERROR(__xludf.DUMMYFUNCTION("""COMPUTED_VALUE"""),"All Black")</f>
        <v>All Black</v>
      </c>
      <c r="R2870" t="str">
        <f>IFERROR(__xludf.DUMMYFUNCTION("""COMPUTED_VALUE"""),"Autopilot included")</f>
        <v>Autopilot included</v>
      </c>
      <c r="S2870" t="str">
        <f>IFERROR(__xludf.DUMMYFUNCTION("""COMPUTED_VALUE"""),"Loan")</f>
        <v>Loan</v>
      </c>
      <c r="T2870" t="str">
        <f>IFERROR(__xludf.DUMMYFUNCTION("""COMPUTED_VALUE"""),"Jeep Grand Cherokee")</f>
        <v>Jeep Grand Cherokee</v>
      </c>
      <c r="U2870" t="str">
        <f>IFERROR(__xludf.DUMMYFUNCTION("""COMPUTED_VALUE"""),"Electric!")</f>
        <v>Electric!</v>
      </c>
      <c r="V2870" t="str">
        <f>IFERROR(__xludf.DUMMYFUNCTION("""COMPUTED_VALUE"""),"Apple CarPlay / Android Auto / SiriusXM Radio")</f>
        <v>Apple CarPlay / Android Auto / SiriusXM Radio</v>
      </c>
      <c r="W2870" t="str">
        <f>IFERROR(__xludf.DUMMYFUNCTION("""COMPUTED_VALUE"""),"Be patient. ")</f>
        <v>Be patient. </v>
      </c>
      <c r="X2870" t="str">
        <f>IFERROR(__xludf.DUMMYFUNCTION("""COMPUTED_VALUE"""),"Excellent")</f>
        <v>Excellent</v>
      </c>
      <c r="Y2870" t="str">
        <f>IFERROR(__xludf.DUMMYFUNCTION("""COMPUTED_VALUE"""),"Excellent")</f>
        <v>Excellent</v>
      </c>
      <c r="Z2870" t="str">
        <f>IFERROR(__xludf.DUMMYFUNCTION("""COMPUTED_VALUE"""),"Excellent")</f>
        <v>Excellent</v>
      </c>
      <c r="AA2870" t="str">
        <f>IFERROR(__xludf.DUMMYFUNCTION("""COMPUTED_VALUE"""),"Good")</f>
        <v>Good</v>
      </c>
      <c r="AB2870" t="str">
        <f>IFERROR(__xludf.DUMMYFUNCTION("""COMPUTED_VALUE"""),"Very Good")</f>
        <v>Very Good</v>
      </c>
      <c r="AC2870">
        <f>IFERROR(__xludf.DUMMYFUNCTION("""COMPUTED_VALUE"""),0.0)</f>
        <v>0</v>
      </c>
      <c r="AF2870" t="str">
        <f>IFERROR(__xludf.DUMMYFUNCTION("""COMPUTED_VALUE"""),"No. I took delivery of the first car Tesla was able to deliver.")</f>
        <v>No. I took delivery of the first car Tesla was able to deliver.</v>
      </c>
      <c r="AH2870" s="189">
        <f>IFERROR(__xludf.DUMMYFUNCTION("""COMPUTED_VALUE"""),44384.29985545139)</f>
        <v>44384.29986</v>
      </c>
    </row>
    <row r="2871">
      <c r="A2871" t="str">
        <f>IFERROR(__xludf.DUMMYFUNCTION("""COMPUTED_VALUE"""),"Frackle")</f>
        <v>Frackle</v>
      </c>
      <c r="B2871" t="str">
        <f>IFERROR(__xludf.DUMMYFUNCTION("""COMPUTED_VALUE"""),"Juneau")</f>
        <v>Juneau</v>
      </c>
      <c r="C2871" t="str">
        <f>IFERROR(__xludf.DUMMYFUNCTION("""COMPUTED_VALUE"""),"AK")</f>
        <v>AK</v>
      </c>
      <c r="D2871" t="str">
        <f>IFERROR(__xludf.DUMMYFUNCTION("""COMPUTED_VALUE"""),"USA")</f>
        <v>USA</v>
      </c>
      <c r="E2871" s="188">
        <f>IFERROR(__xludf.DUMMYFUNCTION("""COMPUTED_VALUE"""),44291.0)</f>
        <v>44291</v>
      </c>
      <c r="F2871" s="188">
        <f>IFERROR(__xludf.DUMMYFUNCTION("""COMPUTED_VALUE"""),44342.0)</f>
        <v>44342</v>
      </c>
      <c r="G2871" t="str">
        <f>IFERROR(__xludf.DUMMYFUNCTION("""COMPUTED_VALUE"""),"Manage order page (normal text)")</f>
        <v>Manage order page (normal text)</v>
      </c>
      <c r="H2871">
        <f>IFERROR(__xludf.DUMMYFUNCTION("""COMPUTED_VALUE"""),976855.0)</f>
        <v>976855</v>
      </c>
      <c r="J2871" s="188">
        <f>IFERROR(__xludf.DUMMYFUNCTION("""COMPUTED_VALUE"""),44345.0)</f>
        <v>44345</v>
      </c>
      <c r="K2871">
        <f>IFERROR(__xludf.DUMMYFUNCTION("""COMPUTED_VALUE"""),51.0)</f>
        <v>51</v>
      </c>
      <c r="L2871">
        <f>IFERROR(__xludf.DUMMYFUNCTION("""COMPUTED_VALUE"""),3.0)</f>
        <v>3</v>
      </c>
      <c r="M2871">
        <f>IFERROR(__xludf.DUMMYFUNCTION("""COMPUTED_VALUE"""),54.0)</f>
        <v>54</v>
      </c>
      <c r="N2871" t="str">
        <f>IFERROR(__xludf.DUMMYFUNCTION("""COMPUTED_VALUE"""),"Model 3 SR+")</f>
        <v>Model 3 SR+</v>
      </c>
      <c r="O2871" t="str">
        <f>IFERROR(__xludf.DUMMYFUNCTION("""COMPUTED_VALUE"""),"Pearl White Multi-Coat")</f>
        <v>Pearl White Multi-Coat</v>
      </c>
      <c r="P2871" t="str">
        <f>IFERROR(__xludf.DUMMYFUNCTION("""COMPUTED_VALUE"""),"18 inch")</f>
        <v>18 inch</v>
      </c>
      <c r="Q2871" t="str">
        <f>IFERROR(__xludf.DUMMYFUNCTION("""COMPUTED_VALUE"""),"All Black")</f>
        <v>All Black</v>
      </c>
      <c r="R2871" t="str">
        <f>IFERROR(__xludf.DUMMYFUNCTION("""COMPUTED_VALUE"""),"Autopilot included")</f>
        <v>Autopilot included</v>
      </c>
      <c r="S2871" t="str">
        <f>IFERROR(__xludf.DUMMYFUNCTION("""COMPUTED_VALUE"""),"Cash")</f>
        <v>Cash</v>
      </c>
      <c r="T2871" t="str">
        <f>IFERROR(__xludf.DUMMYFUNCTION("""COMPUTED_VALUE"""),"Model 3 will be my first car!")</f>
        <v>Model 3 will be my first car!</v>
      </c>
      <c r="U2871" t="str">
        <f>IFERROR(__xludf.DUMMYFUNCTION("""COMPUTED_VALUE"""),"Autopilot")</f>
        <v>Autopilot</v>
      </c>
      <c r="V2871" t="str">
        <f>IFERROR(__xludf.DUMMYFUNCTION("""COMPUTED_VALUE"""),"Apple CarPlay / Android Auto / SiriusXM Radio")</f>
        <v>Apple CarPlay / Android Auto / SiriusXM Radio</v>
      </c>
      <c r="X2871" t="str">
        <f>IFERROR(__xludf.DUMMYFUNCTION("""COMPUTED_VALUE"""),"Good")</f>
        <v>Good</v>
      </c>
      <c r="Y2871" t="str">
        <f>IFERROR(__xludf.DUMMYFUNCTION("""COMPUTED_VALUE"""),"Good")</f>
        <v>Good</v>
      </c>
      <c r="Z2871" t="str">
        <f>IFERROR(__xludf.DUMMYFUNCTION("""COMPUTED_VALUE"""),"Very Good")</f>
        <v>Very Good</v>
      </c>
      <c r="AA2871" t="str">
        <f>IFERROR(__xludf.DUMMYFUNCTION("""COMPUTED_VALUE"""),"Poor")</f>
        <v>Poor</v>
      </c>
      <c r="AB2871" t="str">
        <f>IFERROR(__xludf.DUMMYFUNCTION("""COMPUTED_VALUE"""),"Excellent")</f>
        <v>Excellent</v>
      </c>
      <c r="AH2871" s="189">
        <f>IFERROR(__xludf.DUMMYFUNCTION("""COMPUTED_VALUE"""),44354.907147465274)</f>
        <v>44354.90715</v>
      </c>
    </row>
    <row r="2872">
      <c r="A2872" t="str">
        <f>IFERROR(__xludf.DUMMYFUNCTION("""COMPUTED_VALUE"""),"jaybopp82")</f>
        <v>jaybopp82</v>
      </c>
      <c r="B2872" t="str">
        <f>IFERROR(__xludf.DUMMYFUNCTION("""COMPUTED_VALUE"""),"Colorado Springs")</f>
        <v>Colorado Springs</v>
      </c>
      <c r="C2872" t="str">
        <f>IFERROR(__xludf.DUMMYFUNCTION("""COMPUTED_VALUE"""),"CO")</f>
        <v>CO</v>
      </c>
      <c r="D2872" t="str">
        <f>IFERROR(__xludf.DUMMYFUNCTION("""COMPUTED_VALUE"""),"USA")</f>
        <v>USA</v>
      </c>
      <c r="E2872" s="188">
        <f>IFERROR(__xludf.DUMMYFUNCTION("""COMPUTED_VALUE"""),44305.0)</f>
        <v>44305</v>
      </c>
      <c r="F2872" s="188">
        <f>IFERROR(__xludf.DUMMYFUNCTION("""COMPUTED_VALUE"""),44343.0)</f>
        <v>44343</v>
      </c>
      <c r="G2872" t="str">
        <f>IFERROR(__xludf.DUMMYFUNCTION("""COMPUTED_VALUE"""),"Manage order page (normal text)")</f>
        <v>Manage order page (normal text)</v>
      </c>
      <c r="H2872">
        <f>IFERROR(__xludf.DUMMYFUNCTION("""COMPUTED_VALUE"""),964755.0)</f>
        <v>964755</v>
      </c>
      <c r="I2872" t="str">
        <f>IFERROR(__xludf.DUMMYFUNCTION("""COMPUTED_VALUE"""),"04/21")</f>
        <v>04/21</v>
      </c>
      <c r="J2872" s="188">
        <f>IFERROR(__xludf.DUMMYFUNCTION("""COMPUTED_VALUE"""),44344.0)</f>
        <v>44344</v>
      </c>
      <c r="K2872">
        <f>IFERROR(__xludf.DUMMYFUNCTION("""COMPUTED_VALUE"""),38.0)</f>
        <v>38</v>
      </c>
      <c r="L2872">
        <f>IFERROR(__xludf.DUMMYFUNCTION("""COMPUTED_VALUE"""),1.0)</f>
        <v>1</v>
      </c>
      <c r="M2872">
        <f>IFERROR(__xludf.DUMMYFUNCTION("""COMPUTED_VALUE"""),39.0)</f>
        <v>39</v>
      </c>
      <c r="N2872" t="str">
        <f>IFERROR(__xludf.DUMMYFUNCTION("""COMPUTED_VALUE"""),"Model 3 SR+")</f>
        <v>Model 3 SR+</v>
      </c>
      <c r="O2872" t="str">
        <f>IFERROR(__xludf.DUMMYFUNCTION("""COMPUTED_VALUE"""),"Pearl White Multi-Coat")</f>
        <v>Pearl White Multi-Coat</v>
      </c>
      <c r="P2872" t="str">
        <f>IFERROR(__xludf.DUMMYFUNCTION("""COMPUTED_VALUE"""),"19 inch")</f>
        <v>19 inch</v>
      </c>
      <c r="Q2872" t="str">
        <f>IFERROR(__xludf.DUMMYFUNCTION("""COMPUTED_VALUE"""),"Black and White")</f>
        <v>Black and White</v>
      </c>
      <c r="R2872" t="str">
        <f>IFERROR(__xludf.DUMMYFUNCTION("""COMPUTED_VALUE"""),"Autopilot included")</f>
        <v>Autopilot included</v>
      </c>
      <c r="S2872" t="str">
        <f>IFERROR(__xludf.DUMMYFUNCTION("""COMPUTED_VALUE"""),"Loan")</f>
        <v>Loan</v>
      </c>
      <c r="T2872" t="str">
        <f>IFERROR(__xludf.DUMMYFUNCTION("""COMPUTED_VALUE"""),"Kia Soul")</f>
        <v>Kia Soul</v>
      </c>
      <c r="U2872" t="str">
        <f>IFERROR(__xludf.DUMMYFUNCTION("""COMPUTED_VALUE"""),"Autopilot")</f>
        <v>Autopilot</v>
      </c>
      <c r="V2872" t="str">
        <f>IFERROR(__xludf.DUMMYFUNCTION("""COMPUTED_VALUE"""),"Head-up display")</f>
        <v>Head-up display</v>
      </c>
      <c r="X2872" t="str">
        <f>IFERROR(__xludf.DUMMYFUNCTION("""COMPUTED_VALUE"""),"Excellent")</f>
        <v>Excellent</v>
      </c>
      <c r="Y2872" t="str">
        <f>IFERROR(__xludf.DUMMYFUNCTION("""COMPUTED_VALUE"""),"Excellent")</f>
        <v>Excellent</v>
      </c>
      <c r="Z2872" t="str">
        <f>IFERROR(__xludf.DUMMYFUNCTION("""COMPUTED_VALUE"""),"Excellent")</f>
        <v>Excellent</v>
      </c>
      <c r="AA2872" t="str">
        <f>IFERROR(__xludf.DUMMYFUNCTION("""COMPUTED_VALUE"""),"Excellent")</f>
        <v>Excellent</v>
      </c>
      <c r="AB2872" t="str">
        <f>IFERROR(__xludf.DUMMYFUNCTION("""COMPUTED_VALUE"""),"Excellent")</f>
        <v>Excellent</v>
      </c>
      <c r="AF2872" t="str">
        <f>IFERROR(__xludf.DUMMYFUNCTION("""COMPUTED_VALUE"""),"No. I took delivery of the first car Tesla was able to deliver.")</f>
        <v>No. I took delivery of the first car Tesla was able to deliver.</v>
      </c>
      <c r="AH2872" s="189">
        <f>IFERROR(__xludf.DUMMYFUNCTION("""COMPUTED_VALUE"""),44344.67419261574)</f>
        <v>44344.67419</v>
      </c>
    </row>
    <row r="2873">
      <c r="A2873" t="str">
        <f>IFERROR(__xludf.DUMMYFUNCTION("""COMPUTED_VALUE"""),"dere210890")</f>
        <v>dere210890</v>
      </c>
      <c r="B2873" t="str">
        <f>IFERROR(__xludf.DUMMYFUNCTION("""COMPUTED_VALUE"""),"Lombard")</f>
        <v>Lombard</v>
      </c>
      <c r="C2873" t="str">
        <f>IFERROR(__xludf.DUMMYFUNCTION("""COMPUTED_VALUE"""),"IL")</f>
        <v>IL</v>
      </c>
      <c r="D2873" t="str">
        <f>IFERROR(__xludf.DUMMYFUNCTION("""COMPUTED_VALUE"""),"USA")</f>
        <v>USA</v>
      </c>
      <c r="E2873" s="188">
        <f>IFERROR(__xludf.DUMMYFUNCTION("""COMPUTED_VALUE"""),44309.0)</f>
        <v>44309</v>
      </c>
      <c r="F2873" s="188">
        <f>IFERROR(__xludf.DUMMYFUNCTION("""COMPUTED_VALUE"""),44353.0)</f>
        <v>44353</v>
      </c>
      <c r="G2873" t="str">
        <f>IFERROR(__xludf.DUMMYFUNCTION("""COMPUTED_VALUE"""),"Manage order page (normal text)")</f>
        <v>Manage order page (normal text)</v>
      </c>
      <c r="H2873">
        <f>IFERROR(__xludf.DUMMYFUNCTION("""COMPUTED_VALUE"""),987855.0)</f>
        <v>987855</v>
      </c>
      <c r="I2873" t="str">
        <f>IFERROR(__xludf.DUMMYFUNCTION("""COMPUTED_VALUE"""),"06/21")</f>
        <v>06/21</v>
      </c>
      <c r="J2873" s="188">
        <f>IFERROR(__xludf.DUMMYFUNCTION("""COMPUTED_VALUE"""),44364.0)</f>
        <v>44364</v>
      </c>
      <c r="K2873">
        <f>IFERROR(__xludf.DUMMYFUNCTION("""COMPUTED_VALUE"""),44.0)</f>
        <v>44</v>
      </c>
      <c r="L2873">
        <f>IFERROR(__xludf.DUMMYFUNCTION("""COMPUTED_VALUE"""),11.0)</f>
        <v>11</v>
      </c>
      <c r="M2873">
        <f>IFERROR(__xludf.DUMMYFUNCTION("""COMPUTED_VALUE"""),55.0)</f>
        <v>55</v>
      </c>
      <c r="N2873" t="str">
        <f>IFERROR(__xludf.DUMMYFUNCTION("""COMPUTED_VALUE"""),"Model 3 SR+")</f>
        <v>Model 3 SR+</v>
      </c>
      <c r="O2873" t="str">
        <f>IFERROR(__xludf.DUMMYFUNCTION("""COMPUTED_VALUE"""),"Pearl White Multi-Coat")</f>
        <v>Pearl White Multi-Coat</v>
      </c>
      <c r="P2873" t="str">
        <f>IFERROR(__xludf.DUMMYFUNCTION("""COMPUTED_VALUE"""),"19 inch")</f>
        <v>19 inch</v>
      </c>
      <c r="Q2873" t="str">
        <f>IFERROR(__xludf.DUMMYFUNCTION("""COMPUTED_VALUE"""),"All Black")</f>
        <v>All Black</v>
      </c>
      <c r="R2873" t="str">
        <f>IFERROR(__xludf.DUMMYFUNCTION("""COMPUTED_VALUE"""),"Autopilot included")</f>
        <v>Autopilot included</v>
      </c>
      <c r="S2873" t="str">
        <f>IFERROR(__xludf.DUMMYFUNCTION("""COMPUTED_VALUE"""),"Loan")</f>
        <v>Loan</v>
      </c>
      <c r="T2873" t="str">
        <f>IFERROR(__xludf.DUMMYFUNCTION("""COMPUTED_VALUE"""),"VW Tiguan")</f>
        <v>VW Tiguan</v>
      </c>
      <c r="U2873" t="str">
        <f>IFERROR(__xludf.DUMMYFUNCTION("""COMPUTED_VALUE"""),"Electric!")</f>
        <v>Electric!</v>
      </c>
      <c r="V2873" t="str">
        <f>IFERROR(__xludf.DUMMYFUNCTION("""COMPUTED_VALUE"""),"Heated steering wheel")</f>
        <v>Heated steering wheel</v>
      </c>
      <c r="W2873" t="str">
        <f>IFERROR(__xludf.DUMMYFUNCTION("""COMPUTED_VALUE"""),"Be patience with delivery and the lack of communication from Tesla ")</f>
        <v>Be patience with delivery and the lack of communication from Tesla </v>
      </c>
      <c r="X2873" t="str">
        <f>IFERROR(__xludf.DUMMYFUNCTION("""COMPUTED_VALUE"""),"Good")</f>
        <v>Good</v>
      </c>
      <c r="Y2873" t="str">
        <f>IFERROR(__xludf.DUMMYFUNCTION("""COMPUTED_VALUE"""),"Good")</f>
        <v>Good</v>
      </c>
      <c r="Z2873" t="str">
        <f>IFERROR(__xludf.DUMMYFUNCTION("""COMPUTED_VALUE"""),"Very Good")</f>
        <v>Very Good</v>
      </c>
      <c r="AA2873" t="str">
        <f>IFERROR(__xludf.DUMMYFUNCTION("""COMPUTED_VALUE"""),"Good")</f>
        <v>Good</v>
      </c>
      <c r="AB2873" t="str">
        <f>IFERROR(__xludf.DUMMYFUNCTION("""COMPUTED_VALUE"""),"Very Good")</f>
        <v>Very Good</v>
      </c>
      <c r="AC2873">
        <f>IFERROR(__xludf.DUMMYFUNCTION("""COMPUTED_VALUE"""),7.0)</f>
        <v>7</v>
      </c>
      <c r="AD2873">
        <f>IFERROR(__xludf.DUMMYFUNCTION("""COMPUTED_VALUE"""),1.0)</f>
        <v>1</v>
      </c>
      <c r="AE2873">
        <f>IFERROR(__xludf.DUMMYFUNCTION("""COMPUTED_VALUE"""),2.0)</f>
        <v>2</v>
      </c>
      <c r="AF2873" t="str">
        <f>IFERROR(__xludf.DUMMYFUNCTION("""COMPUTED_VALUE"""),"No. I took delivery of the first car Tesla was able to deliver.")</f>
        <v>No. I took delivery of the first car Tesla was able to deliver.</v>
      </c>
      <c r="AH2873" s="189">
        <f>IFERROR(__xludf.DUMMYFUNCTION("""COMPUTED_VALUE"""),44397.114840821756)</f>
        <v>44397.11484</v>
      </c>
    </row>
    <row r="2874">
      <c r="A2874" t="str">
        <f>IFERROR(__xludf.DUMMYFUNCTION("""COMPUTED_VALUE"""),"ceih")</f>
        <v>ceih</v>
      </c>
      <c r="B2874" t="str">
        <f>IFERROR(__xludf.DUMMYFUNCTION("""COMPUTED_VALUE"""),"Cardiff")</f>
        <v>Cardiff</v>
      </c>
      <c r="D2874" t="str">
        <f>IFERROR(__xludf.DUMMYFUNCTION("""COMPUTED_VALUE"""),"United Kingdom")</f>
        <v>United Kingdom</v>
      </c>
      <c r="E2874" s="188">
        <f>IFERROR(__xludf.DUMMYFUNCTION("""COMPUTED_VALUE"""),44296.0)</f>
        <v>44296</v>
      </c>
      <c r="F2874" s="188">
        <f>IFERROR(__xludf.DUMMYFUNCTION("""COMPUTED_VALUE"""),44335.0)</f>
        <v>44335</v>
      </c>
      <c r="G2874" t="str">
        <f>IFERROR(__xludf.DUMMYFUNCTION("""COMPUTED_VALUE"""),"Phone call")</f>
        <v>Phone call</v>
      </c>
      <c r="H2874">
        <f>IFERROR(__xludf.DUMMYFUNCTION("""COMPUTED_VALUE"""),235555.0)</f>
        <v>235555</v>
      </c>
      <c r="J2874" s="188">
        <f>IFERROR(__xludf.DUMMYFUNCTION("""COMPUTED_VALUE"""),44358.0)</f>
        <v>44358</v>
      </c>
      <c r="K2874">
        <f>IFERROR(__xludf.DUMMYFUNCTION("""COMPUTED_VALUE"""),39.0)</f>
        <v>39</v>
      </c>
      <c r="L2874">
        <f>IFERROR(__xludf.DUMMYFUNCTION("""COMPUTED_VALUE"""),23.0)</f>
        <v>23</v>
      </c>
      <c r="M2874">
        <f>IFERROR(__xludf.DUMMYFUNCTION("""COMPUTED_VALUE"""),62.0)</f>
        <v>62</v>
      </c>
      <c r="N2874" t="str">
        <f>IFERROR(__xludf.DUMMYFUNCTION("""COMPUTED_VALUE"""),"Model 3 LR AWD")</f>
        <v>Model 3 LR AWD</v>
      </c>
      <c r="O2874" t="str">
        <f>IFERROR(__xludf.DUMMYFUNCTION("""COMPUTED_VALUE"""),"Red Multi-Coat")</f>
        <v>Red Multi-Coat</v>
      </c>
      <c r="P2874" t="str">
        <f>IFERROR(__xludf.DUMMYFUNCTION("""COMPUTED_VALUE"""),"18 inch")</f>
        <v>18 inch</v>
      </c>
      <c r="Q2874" t="str">
        <f>IFERROR(__xludf.DUMMYFUNCTION("""COMPUTED_VALUE"""),"All Black")</f>
        <v>All Black</v>
      </c>
      <c r="R2874" t="str">
        <f>IFERROR(__xludf.DUMMYFUNCTION("""COMPUTED_VALUE"""),"Autopilot included")</f>
        <v>Autopilot included</v>
      </c>
      <c r="S2874" t="str">
        <f>IFERROR(__xludf.DUMMYFUNCTION("""COMPUTED_VALUE"""),"Cash")</f>
        <v>Cash</v>
      </c>
      <c r="T2874" t="str">
        <f>IFERROR(__xludf.DUMMYFUNCTION("""COMPUTED_VALUE"""),"Mini Cooper")</f>
        <v>Mini Cooper</v>
      </c>
      <c r="U2874" t="str">
        <f>IFERROR(__xludf.DUMMYFUNCTION("""COMPUTED_VALUE"""),"Electric!")</f>
        <v>Electric!</v>
      </c>
      <c r="V2874" t="str">
        <f>IFERROR(__xludf.DUMMYFUNCTION("""COMPUTED_VALUE"""),"Head-up display")</f>
        <v>Head-up display</v>
      </c>
      <c r="X2874" t="str">
        <f>IFERROR(__xludf.DUMMYFUNCTION("""COMPUTED_VALUE"""),"Excellent")</f>
        <v>Excellent</v>
      </c>
      <c r="Y2874" t="str">
        <f>IFERROR(__xludf.DUMMYFUNCTION("""COMPUTED_VALUE"""),"Excellent")</f>
        <v>Excellent</v>
      </c>
      <c r="Z2874" t="str">
        <f>IFERROR(__xludf.DUMMYFUNCTION("""COMPUTED_VALUE"""),"Excellent")</f>
        <v>Excellent</v>
      </c>
      <c r="AA2874" t="str">
        <f>IFERROR(__xludf.DUMMYFUNCTION("""COMPUTED_VALUE"""),"Very Good")</f>
        <v>Very Good</v>
      </c>
      <c r="AB2874" t="str">
        <f>IFERROR(__xludf.DUMMYFUNCTION("""COMPUTED_VALUE"""),"Good")</f>
        <v>Good</v>
      </c>
      <c r="AF2874" t="str">
        <f>IFERROR(__xludf.DUMMYFUNCTION("""COMPUTED_VALUE"""),"No. I took delivery of the first car Tesla was able to deliver.")</f>
        <v>No. I took delivery of the first car Tesla was able to deliver.</v>
      </c>
      <c r="AH2874" s="189">
        <f>IFERROR(__xludf.DUMMYFUNCTION("""COMPUTED_VALUE"""),44358.36395774306)</f>
        <v>44358.36396</v>
      </c>
    </row>
    <row r="2875">
      <c r="A2875" t="str">
        <f>IFERROR(__xludf.DUMMYFUNCTION("""COMPUTED_VALUE"""),"Gabeincal")</f>
        <v>Gabeincal</v>
      </c>
      <c r="B2875" t="str">
        <f>IFERROR(__xludf.DUMMYFUNCTION("""COMPUTED_VALUE"""),"Sunnyvale")</f>
        <v>Sunnyvale</v>
      </c>
      <c r="C2875" t="str">
        <f>IFERROR(__xludf.DUMMYFUNCTION("""COMPUTED_VALUE"""),"CA")</f>
        <v>CA</v>
      </c>
      <c r="D2875" t="str">
        <f>IFERROR(__xludf.DUMMYFUNCTION("""COMPUTED_VALUE"""),"USA")</f>
        <v>USA</v>
      </c>
      <c r="E2875" s="188">
        <f>IFERROR(__xludf.DUMMYFUNCTION("""COMPUTED_VALUE"""),44338.0)</f>
        <v>44338</v>
      </c>
      <c r="F2875" s="188">
        <f>IFERROR(__xludf.DUMMYFUNCTION("""COMPUTED_VALUE"""),44460.0)</f>
        <v>44460</v>
      </c>
      <c r="G2875" t="str">
        <f>IFERROR(__xludf.DUMMYFUNCTION("""COMPUTED_VALUE"""),"Manage order page (normal text)")</f>
        <v>Manage order page (normal text)</v>
      </c>
      <c r="J2875" s="188">
        <f>IFERROR(__xludf.DUMMYFUNCTION("""COMPUTED_VALUE"""),44463.0)</f>
        <v>44463</v>
      </c>
      <c r="K2875">
        <f>IFERROR(__xludf.DUMMYFUNCTION("""COMPUTED_VALUE"""),122.0)</f>
        <v>122</v>
      </c>
      <c r="L2875">
        <f>IFERROR(__xludf.DUMMYFUNCTION("""COMPUTED_VALUE"""),3.0)</f>
        <v>3</v>
      </c>
      <c r="M2875">
        <f>IFERROR(__xludf.DUMMYFUNCTION("""COMPUTED_VALUE"""),125.0)</f>
        <v>125</v>
      </c>
      <c r="N2875" t="str">
        <f>IFERROR(__xludf.DUMMYFUNCTION("""COMPUTED_VALUE"""),"Model 3 SR+")</f>
        <v>Model 3 SR+</v>
      </c>
      <c r="O2875" t="str">
        <f>IFERROR(__xludf.DUMMYFUNCTION("""COMPUTED_VALUE"""),"Red Multi-Coat")</f>
        <v>Red Multi-Coat</v>
      </c>
      <c r="P2875" t="str">
        <f>IFERROR(__xludf.DUMMYFUNCTION("""COMPUTED_VALUE"""),"18 inch")</f>
        <v>18 inch</v>
      </c>
      <c r="Q2875" t="str">
        <f>IFERROR(__xludf.DUMMYFUNCTION("""COMPUTED_VALUE"""),"Black and White")</f>
        <v>Black and White</v>
      </c>
      <c r="R2875" t="str">
        <f>IFERROR(__xludf.DUMMYFUNCTION("""COMPUTED_VALUE"""),"Autopilot included")</f>
        <v>Autopilot included</v>
      </c>
      <c r="S2875" t="str">
        <f>IFERROR(__xludf.DUMMYFUNCTION("""COMPUTED_VALUE"""),"Loan")</f>
        <v>Loan</v>
      </c>
      <c r="T2875" t="str">
        <f>IFERROR(__xludf.DUMMYFUNCTION("""COMPUTED_VALUE"""),"BMW Z3")</f>
        <v>BMW Z3</v>
      </c>
      <c r="U2875" t="str">
        <f>IFERROR(__xludf.DUMMYFUNCTION("""COMPUTED_VALUE"""),"Electric!")</f>
        <v>Electric!</v>
      </c>
      <c r="V2875" t="str">
        <f>IFERROR(__xludf.DUMMYFUNCTION("""COMPUTED_VALUE"""),"Ventilated seats")</f>
        <v>Ventilated seats</v>
      </c>
      <c r="X2875" t="str">
        <f>IFERROR(__xludf.DUMMYFUNCTION("""COMPUTED_VALUE"""),"Very Good")</f>
        <v>Very Good</v>
      </c>
      <c r="Y2875" t="str">
        <f>IFERROR(__xludf.DUMMYFUNCTION("""COMPUTED_VALUE"""),"Very Good")</f>
        <v>Very Good</v>
      </c>
      <c r="Z2875" t="str">
        <f>IFERROR(__xludf.DUMMYFUNCTION("""COMPUTED_VALUE"""),"Good")</f>
        <v>Good</v>
      </c>
      <c r="AA2875" t="str">
        <f>IFERROR(__xludf.DUMMYFUNCTION("""COMPUTED_VALUE"""),"Excellent")</f>
        <v>Excellent</v>
      </c>
      <c r="AB2875" t="str">
        <f>IFERROR(__xludf.DUMMYFUNCTION("""COMPUTED_VALUE"""),"Excellent")</f>
        <v>Excellent</v>
      </c>
      <c r="AF2875" t="str">
        <f>IFERROR(__xludf.DUMMYFUNCTION("""COMPUTED_VALUE"""),"No. I took delivery of the first car Tesla was able to deliver.")</f>
        <v>No. I took delivery of the first car Tesla was able to deliver.</v>
      </c>
      <c r="AH2875" s="189">
        <f>IFERROR(__xludf.DUMMYFUNCTION("""COMPUTED_VALUE"""),44466.33335818287)</f>
        <v>44466.33336</v>
      </c>
    </row>
    <row r="2876">
      <c r="A2876" t="str">
        <f>IFERROR(__xludf.DUMMYFUNCTION("""COMPUTED_VALUE"""),"Khronos89")</f>
        <v>Khronos89</v>
      </c>
      <c r="B2876" t="str">
        <f>IFERROR(__xludf.DUMMYFUNCTION("""COMPUTED_VALUE"""),"Detroit")</f>
        <v>Detroit</v>
      </c>
      <c r="C2876" t="str">
        <f>IFERROR(__xludf.DUMMYFUNCTION("""COMPUTED_VALUE"""),"MI")</f>
        <v>MI</v>
      </c>
      <c r="D2876" t="str">
        <f>IFERROR(__xludf.DUMMYFUNCTION("""COMPUTED_VALUE"""),"USA")</f>
        <v>USA</v>
      </c>
      <c r="E2876" s="188">
        <f>IFERROR(__xludf.DUMMYFUNCTION("""COMPUTED_VALUE"""),44303.0)</f>
        <v>44303</v>
      </c>
      <c r="F2876" s="188">
        <f>IFERROR(__xludf.DUMMYFUNCTION("""COMPUTED_VALUE"""),44345.0)</f>
        <v>44345</v>
      </c>
      <c r="G2876" t="str">
        <f>IFERROR(__xludf.DUMMYFUNCTION("""COMPUTED_VALUE"""),"Manage order page (normal text)")</f>
        <v>Manage order page (normal text)</v>
      </c>
      <c r="H2876">
        <f>IFERROR(__xludf.DUMMYFUNCTION("""COMPUTED_VALUE"""),981333.0)</f>
        <v>981333</v>
      </c>
      <c r="I2876" t="str">
        <f>IFERROR(__xludf.DUMMYFUNCTION("""COMPUTED_VALUE"""),"05/21")</f>
        <v>05/21</v>
      </c>
      <c r="J2876" s="188">
        <f>IFERROR(__xludf.DUMMYFUNCTION("""COMPUTED_VALUE"""),44352.0)</f>
        <v>44352</v>
      </c>
      <c r="K2876">
        <f>IFERROR(__xludf.DUMMYFUNCTION("""COMPUTED_VALUE"""),42.0)</f>
        <v>42</v>
      </c>
      <c r="L2876">
        <f>IFERROR(__xludf.DUMMYFUNCTION("""COMPUTED_VALUE"""),7.0)</f>
        <v>7</v>
      </c>
      <c r="M2876">
        <f>IFERROR(__xludf.DUMMYFUNCTION("""COMPUTED_VALUE"""),49.0)</f>
        <v>49</v>
      </c>
      <c r="N2876" t="str">
        <f>IFERROR(__xludf.DUMMYFUNCTION("""COMPUTED_VALUE"""),"Model 3 LR AWD")</f>
        <v>Model 3 LR AWD</v>
      </c>
      <c r="O2876" t="str">
        <f>IFERROR(__xludf.DUMMYFUNCTION("""COMPUTED_VALUE"""),"Deep Blue Metallic")</f>
        <v>Deep Blue Metallic</v>
      </c>
      <c r="P2876" t="str">
        <f>IFERROR(__xludf.DUMMYFUNCTION("""COMPUTED_VALUE"""),"18 inch")</f>
        <v>18 inch</v>
      </c>
      <c r="Q2876" t="str">
        <f>IFERROR(__xludf.DUMMYFUNCTION("""COMPUTED_VALUE"""),"Black and White")</f>
        <v>Black and White</v>
      </c>
      <c r="R2876" t="str">
        <f>IFERROR(__xludf.DUMMYFUNCTION("""COMPUTED_VALUE"""),"Autopilot included")</f>
        <v>Autopilot included</v>
      </c>
      <c r="S2876" t="str">
        <f>IFERROR(__xludf.DUMMYFUNCTION("""COMPUTED_VALUE"""),"Loan")</f>
        <v>Loan</v>
      </c>
      <c r="T2876" t="str">
        <f>IFERROR(__xludf.DUMMYFUNCTION("""COMPUTED_VALUE"""),"Buick Encore")</f>
        <v>Buick Encore</v>
      </c>
      <c r="V2876" t="str">
        <f>IFERROR(__xludf.DUMMYFUNCTION("""COMPUTED_VALUE"""),"Apple CarPlay / Android Auto / SiriusXM Radio")</f>
        <v>Apple CarPlay / Android Auto / SiriusXM Radio</v>
      </c>
      <c r="W2876" t="str">
        <f>IFERROR(__xludf.DUMMYFUNCTION("""COMPUTED_VALUE"""),"Get financing ready ahead of time if financing. Check with your your lender for how long a pre-qualification is good and try to have it ready for your VIN. ")</f>
        <v>Get financing ready ahead of time if financing. Check with your your lender for how long a pre-qualification is good and try to have it ready for your VIN. </v>
      </c>
      <c r="X2876" t="str">
        <f>IFERROR(__xludf.DUMMYFUNCTION("""COMPUTED_VALUE"""),"Very Good")</f>
        <v>Very Good</v>
      </c>
      <c r="Y2876" t="str">
        <f>IFERROR(__xludf.DUMMYFUNCTION("""COMPUTED_VALUE"""),"Excellent")</f>
        <v>Excellent</v>
      </c>
      <c r="Z2876" t="str">
        <f>IFERROR(__xludf.DUMMYFUNCTION("""COMPUTED_VALUE"""),"Very Good")</f>
        <v>Very Good</v>
      </c>
      <c r="AA2876" t="str">
        <f>IFERROR(__xludf.DUMMYFUNCTION("""COMPUTED_VALUE"""),"Good")</f>
        <v>Good</v>
      </c>
      <c r="AB2876" t="str">
        <f>IFERROR(__xludf.DUMMYFUNCTION("""COMPUTED_VALUE"""),"Fair")</f>
        <v>Fair</v>
      </c>
      <c r="AF2876" t="str">
        <f>IFERROR(__xludf.DUMMYFUNCTION("""COMPUTED_VALUE"""),"No. I took delivery of the first car Tesla was able to deliver.")</f>
        <v>No. I took delivery of the first car Tesla was able to deliver.</v>
      </c>
      <c r="AH2876" s="189">
        <f>IFERROR(__xludf.DUMMYFUNCTION("""COMPUTED_VALUE"""),44355.58368166667)</f>
        <v>44355.58368</v>
      </c>
    </row>
    <row r="2877">
      <c r="A2877" t="str">
        <f>IFERROR(__xludf.DUMMYFUNCTION("""COMPUTED_VALUE"""),"DirtyBirdie7")</f>
        <v>DirtyBirdie7</v>
      </c>
      <c r="B2877" t="str">
        <f>IFERROR(__xludf.DUMMYFUNCTION("""COMPUTED_VALUE"""),"Princeton")</f>
        <v>Princeton</v>
      </c>
      <c r="C2877" t="str">
        <f>IFERROR(__xludf.DUMMYFUNCTION("""COMPUTED_VALUE"""),"NJ")</f>
        <v>NJ</v>
      </c>
      <c r="D2877" t="str">
        <f>IFERROR(__xludf.DUMMYFUNCTION("""COMPUTED_VALUE"""),"USA")</f>
        <v>USA</v>
      </c>
      <c r="E2877" s="188">
        <f>IFERROR(__xludf.DUMMYFUNCTION("""COMPUTED_VALUE"""),44305.0)</f>
        <v>44305</v>
      </c>
      <c r="F2877" s="188">
        <f>IFERROR(__xludf.DUMMYFUNCTION("""COMPUTED_VALUE"""),44345.0)</f>
        <v>44345</v>
      </c>
      <c r="G2877" t="str">
        <f>IFERROR(__xludf.DUMMYFUNCTION("""COMPUTED_VALUE"""),"Manage order page (normal text)")</f>
        <v>Manage order page (normal text)</v>
      </c>
      <c r="H2877">
        <f>IFERROR(__xludf.DUMMYFUNCTION("""COMPUTED_VALUE"""),981255.0)</f>
        <v>981255</v>
      </c>
      <c r="I2877" t="str">
        <f>IFERROR(__xludf.DUMMYFUNCTION("""COMPUTED_VALUE"""),"05/21")</f>
        <v>05/21</v>
      </c>
      <c r="J2877" s="188">
        <f>IFERROR(__xludf.DUMMYFUNCTION("""COMPUTED_VALUE"""),44356.0)</f>
        <v>44356</v>
      </c>
      <c r="K2877">
        <f>IFERROR(__xludf.DUMMYFUNCTION("""COMPUTED_VALUE"""),40.0)</f>
        <v>40</v>
      </c>
      <c r="L2877">
        <f>IFERROR(__xludf.DUMMYFUNCTION("""COMPUTED_VALUE"""),11.0)</f>
        <v>11</v>
      </c>
      <c r="M2877">
        <f>IFERROR(__xludf.DUMMYFUNCTION("""COMPUTED_VALUE"""),51.0)</f>
        <v>51</v>
      </c>
      <c r="N2877" t="str">
        <f>IFERROR(__xludf.DUMMYFUNCTION("""COMPUTED_VALUE"""),"Model 3 LR AWD")</f>
        <v>Model 3 LR AWD</v>
      </c>
      <c r="O2877" t="str">
        <f>IFERROR(__xludf.DUMMYFUNCTION("""COMPUTED_VALUE"""),"Midnight Silver Metallic")</f>
        <v>Midnight Silver Metallic</v>
      </c>
      <c r="P2877" t="str">
        <f>IFERROR(__xludf.DUMMYFUNCTION("""COMPUTED_VALUE"""),"18 inch")</f>
        <v>18 inch</v>
      </c>
      <c r="Q2877" t="str">
        <f>IFERROR(__xludf.DUMMYFUNCTION("""COMPUTED_VALUE"""),"Black and White")</f>
        <v>Black and White</v>
      </c>
      <c r="R2877" t="str">
        <f>IFERROR(__xludf.DUMMYFUNCTION("""COMPUTED_VALUE"""),"Autopilot included")</f>
        <v>Autopilot included</v>
      </c>
      <c r="S2877" t="str">
        <f>IFERROR(__xludf.DUMMYFUNCTION("""COMPUTED_VALUE"""),"Loan")</f>
        <v>Loan</v>
      </c>
      <c r="T2877" t="str">
        <f>IFERROR(__xludf.DUMMYFUNCTION("""COMPUTED_VALUE"""),"Honda Civic")</f>
        <v>Honda Civic</v>
      </c>
      <c r="U2877" t="str">
        <f>IFERROR(__xludf.DUMMYFUNCTION("""COMPUTED_VALUE"""),"Electric!")</f>
        <v>Electric!</v>
      </c>
      <c r="V2877" t="str">
        <f>IFERROR(__xludf.DUMMYFUNCTION("""COMPUTED_VALUE"""),"360° Bird's eye view")</f>
        <v>360° Bird's eye view</v>
      </c>
      <c r="W2877" t="str">
        <f>IFERROR(__xludf.DUMMYFUNCTION("""COMPUTED_VALUE"""),"Be logged into your tesla account on your phones browser and have the app installed too. GO over all the switches and other things that move on the car. Lastly, mash the accelerator all the time lol")</f>
        <v>Be logged into your tesla account on your phones browser and have the app installed too. GO over all the switches and other things that move on the car. Lastly, mash the accelerator all the time lol</v>
      </c>
      <c r="X2877" t="str">
        <f>IFERROR(__xludf.DUMMYFUNCTION("""COMPUTED_VALUE"""),"Good")</f>
        <v>Good</v>
      </c>
      <c r="Y2877" t="str">
        <f>IFERROR(__xludf.DUMMYFUNCTION("""COMPUTED_VALUE"""),"Excellent")</f>
        <v>Excellent</v>
      </c>
      <c r="Z2877" t="str">
        <f>IFERROR(__xludf.DUMMYFUNCTION("""COMPUTED_VALUE"""),"Excellent")</f>
        <v>Excellent</v>
      </c>
      <c r="AA2877" t="str">
        <f>IFERROR(__xludf.DUMMYFUNCTION("""COMPUTED_VALUE"""),"Excellent")</f>
        <v>Excellent</v>
      </c>
      <c r="AB2877" t="str">
        <f>IFERROR(__xludf.DUMMYFUNCTION("""COMPUTED_VALUE"""),"Excellent")</f>
        <v>Excellent</v>
      </c>
      <c r="AF2877" t="str">
        <f>IFERROR(__xludf.DUMMYFUNCTION("""COMPUTED_VALUE"""),"No. I took delivery of the first car Tesla was able to deliver.")</f>
        <v>No. I took delivery of the first car Tesla was able to deliver.</v>
      </c>
      <c r="AG2877" t="str">
        <f>IFERROR(__xludf.DUMMYFUNCTION("""COMPUTED_VALUE"""),"Estimated delivery date between June 7 - 13, Got it June 9th. Door gaps were maybe alittle off. Rear tailight was not aligned well to the trunk lid, about 1/8"" off. It was the most noticeable defect")</f>
        <v>Estimated delivery date between June 7 - 13, Got it June 9th. Door gaps were maybe alittle off. Rear tailight was not aligned well to the trunk lid, about 1/8" off. It was the most noticeable defect</v>
      </c>
      <c r="AH2877" s="189">
        <f>IFERROR(__xludf.DUMMYFUNCTION("""COMPUTED_VALUE"""),44356.85989685185)</f>
        <v>44356.8599</v>
      </c>
    </row>
    <row r="2878">
      <c r="A2878" t="str">
        <f>IFERROR(__xludf.DUMMYFUNCTION("""COMPUTED_VALUE"""),"Towhom")</f>
        <v>Towhom</v>
      </c>
      <c r="B2878" t="str">
        <f>IFERROR(__xludf.DUMMYFUNCTION("""COMPUTED_VALUE"""),"Bay Area")</f>
        <v>Bay Area</v>
      </c>
      <c r="C2878" t="str">
        <f>IFERROR(__xludf.DUMMYFUNCTION("""COMPUTED_VALUE"""),"CA")</f>
        <v>CA</v>
      </c>
      <c r="D2878" t="str">
        <f>IFERROR(__xludf.DUMMYFUNCTION("""COMPUTED_VALUE"""),"USA")</f>
        <v>USA</v>
      </c>
      <c r="E2878" s="188">
        <f>IFERROR(__xludf.DUMMYFUNCTION("""COMPUTED_VALUE"""),44312.0)</f>
        <v>44312</v>
      </c>
      <c r="F2878" s="188">
        <f>IFERROR(__xludf.DUMMYFUNCTION("""COMPUTED_VALUE"""),44372.0)</f>
        <v>44372</v>
      </c>
      <c r="G2878" t="str">
        <f>IFERROR(__xludf.DUMMYFUNCTION("""COMPUTED_VALUE"""),"Manage order page (normal text)")</f>
        <v>Manage order page (normal text)</v>
      </c>
      <c r="H2878">
        <f>IFERROR(__xludf.DUMMYFUNCTION("""COMPUTED_VALUE"""),3155.0)</f>
        <v>3155</v>
      </c>
      <c r="I2878" t="str">
        <f>IFERROR(__xludf.DUMMYFUNCTION("""COMPUTED_VALUE"""),"06/21")</f>
        <v>06/21</v>
      </c>
      <c r="J2878" s="188">
        <f>IFERROR(__xludf.DUMMYFUNCTION("""COMPUTED_VALUE"""),44375.0)</f>
        <v>44375</v>
      </c>
      <c r="K2878">
        <f>IFERROR(__xludf.DUMMYFUNCTION("""COMPUTED_VALUE"""),60.0)</f>
        <v>60</v>
      </c>
      <c r="L2878">
        <f>IFERROR(__xludf.DUMMYFUNCTION("""COMPUTED_VALUE"""),3.0)</f>
        <v>3</v>
      </c>
      <c r="M2878">
        <f>IFERROR(__xludf.DUMMYFUNCTION("""COMPUTED_VALUE"""),63.0)</f>
        <v>63</v>
      </c>
      <c r="N2878" t="str">
        <f>IFERROR(__xludf.DUMMYFUNCTION("""COMPUTED_VALUE"""),"Model 3 LR AWD")</f>
        <v>Model 3 LR AWD</v>
      </c>
      <c r="O2878" t="str">
        <f>IFERROR(__xludf.DUMMYFUNCTION("""COMPUTED_VALUE"""),"Pearl White Multi-Coat")</f>
        <v>Pearl White Multi-Coat</v>
      </c>
      <c r="P2878" t="str">
        <f>IFERROR(__xludf.DUMMYFUNCTION("""COMPUTED_VALUE"""),"18 inch")</f>
        <v>18 inch</v>
      </c>
      <c r="Q2878" t="str">
        <f>IFERROR(__xludf.DUMMYFUNCTION("""COMPUTED_VALUE"""),"All Black")</f>
        <v>All Black</v>
      </c>
      <c r="R2878" t="str">
        <f>IFERROR(__xludf.DUMMYFUNCTION("""COMPUTED_VALUE"""),"Autopilot included")</f>
        <v>Autopilot included</v>
      </c>
      <c r="S2878" t="str">
        <f>IFERROR(__xludf.DUMMYFUNCTION("""COMPUTED_VALUE"""),"Loan")</f>
        <v>Loan</v>
      </c>
      <c r="U2878" t="str">
        <f>IFERROR(__xludf.DUMMYFUNCTION("""COMPUTED_VALUE"""),"Electric!")</f>
        <v>Electric!</v>
      </c>
      <c r="V2878" t="str">
        <f>IFERROR(__xludf.DUMMYFUNCTION("""COMPUTED_VALUE"""),"Air suspension")</f>
        <v>Air suspension</v>
      </c>
      <c r="W2878" t="str">
        <f>IFERROR(__xludf.DUMMYFUNCTION("""COMPUTED_VALUE"""),"California will get car last week of quarter. EDD don't matter. California will be last")</f>
        <v>California will get car last week of quarter. EDD don't matter. California will be last</v>
      </c>
      <c r="X2878" t="str">
        <f>IFERROR(__xludf.DUMMYFUNCTION("""COMPUTED_VALUE"""),"Good")</f>
        <v>Good</v>
      </c>
      <c r="Y2878" t="str">
        <f>IFERROR(__xludf.DUMMYFUNCTION("""COMPUTED_VALUE"""),"Good")</f>
        <v>Good</v>
      </c>
      <c r="Z2878" t="str">
        <f>IFERROR(__xludf.DUMMYFUNCTION("""COMPUTED_VALUE"""),"Good")</f>
        <v>Good</v>
      </c>
      <c r="AA2878" t="str">
        <f>IFERROR(__xludf.DUMMYFUNCTION("""COMPUTED_VALUE"""),"Poor")</f>
        <v>Poor</v>
      </c>
      <c r="AB2878" t="str">
        <f>IFERROR(__xludf.DUMMYFUNCTION("""COMPUTED_VALUE"""),"Fair")</f>
        <v>Fair</v>
      </c>
      <c r="AC2878">
        <f>IFERROR(__xludf.DUMMYFUNCTION("""COMPUTED_VALUE"""),3.0)</f>
        <v>3</v>
      </c>
      <c r="AF2878" t="str">
        <f>IFERROR(__xludf.DUMMYFUNCTION("""COMPUTED_VALUE"""),"No. I took delivery of the first car Tesla was able to deliver.")</f>
        <v>No. I took delivery of the first car Tesla was able to deliver.</v>
      </c>
      <c r="AG2878" t="str">
        <f>IFERROR(__xludf.DUMMYFUNCTION("""COMPUTED_VALUE"""),"Estimated Delivery: June 7th - June 27")</f>
        <v>Estimated Delivery: June 7th - June 27</v>
      </c>
      <c r="AH2878" s="189">
        <f>IFERROR(__xludf.DUMMYFUNCTION("""COMPUTED_VALUE"""),44375.940014340275)</f>
        <v>44375.94001</v>
      </c>
    </row>
    <row r="2879">
      <c r="A2879" t="str">
        <f>IFERROR(__xludf.DUMMYFUNCTION("""COMPUTED_VALUE"""),"stevewouldsay")</f>
        <v>stevewouldsay</v>
      </c>
      <c r="B2879" t="str">
        <f>IFERROR(__xludf.DUMMYFUNCTION("""COMPUTED_VALUE"""),"St. Petersburg")</f>
        <v>St. Petersburg</v>
      </c>
      <c r="C2879" t="str">
        <f>IFERROR(__xludf.DUMMYFUNCTION("""COMPUTED_VALUE"""),"FL")</f>
        <v>FL</v>
      </c>
      <c r="D2879" t="str">
        <f>IFERROR(__xludf.DUMMYFUNCTION("""COMPUTED_VALUE"""),"USA")</f>
        <v>USA</v>
      </c>
      <c r="E2879" s="188">
        <f>IFERROR(__xludf.DUMMYFUNCTION("""COMPUTED_VALUE"""),44311.0)</f>
        <v>44311</v>
      </c>
      <c r="F2879" s="188">
        <f>IFERROR(__xludf.DUMMYFUNCTION("""COMPUTED_VALUE"""),44349.0)</f>
        <v>44349</v>
      </c>
      <c r="G2879" t="str">
        <f>IFERROR(__xludf.DUMMYFUNCTION("""COMPUTED_VALUE"""),"Manage order page (normal text)")</f>
        <v>Manage order page (normal text)</v>
      </c>
      <c r="H2879">
        <f>IFERROR(__xludf.DUMMYFUNCTION("""COMPUTED_VALUE"""),983478.0)</f>
        <v>983478</v>
      </c>
      <c r="J2879" s="188">
        <f>IFERROR(__xludf.DUMMYFUNCTION("""COMPUTED_VALUE"""),44365.0)</f>
        <v>44365</v>
      </c>
      <c r="K2879">
        <f>IFERROR(__xludf.DUMMYFUNCTION("""COMPUTED_VALUE"""),38.0)</f>
        <v>38</v>
      </c>
      <c r="L2879">
        <f>IFERROR(__xludf.DUMMYFUNCTION("""COMPUTED_VALUE"""),16.0)</f>
        <v>16</v>
      </c>
      <c r="M2879">
        <f>IFERROR(__xludf.DUMMYFUNCTION("""COMPUTED_VALUE"""),54.0)</f>
        <v>54</v>
      </c>
      <c r="N2879" t="str">
        <f>IFERROR(__xludf.DUMMYFUNCTION("""COMPUTED_VALUE"""),"Model 3 LR AWD")</f>
        <v>Model 3 LR AWD</v>
      </c>
      <c r="O2879" t="str">
        <f>IFERROR(__xludf.DUMMYFUNCTION("""COMPUTED_VALUE"""),"Pearl White Multi-Coat")</f>
        <v>Pearl White Multi-Coat</v>
      </c>
      <c r="P2879" t="str">
        <f>IFERROR(__xludf.DUMMYFUNCTION("""COMPUTED_VALUE"""),"18 inch")</f>
        <v>18 inch</v>
      </c>
      <c r="Q2879" t="str">
        <f>IFERROR(__xludf.DUMMYFUNCTION("""COMPUTED_VALUE"""),"All Black")</f>
        <v>All Black</v>
      </c>
      <c r="R2879" t="str">
        <f>IFERROR(__xludf.DUMMYFUNCTION("""COMPUTED_VALUE"""),"Autopilot included")</f>
        <v>Autopilot included</v>
      </c>
      <c r="S2879" t="str">
        <f>IFERROR(__xludf.DUMMYFUNCTION("""COMPUTED_VALUE"""),"Loan")</f>
        <v>Loan</v>
      </c>
      <c r="T2879" t="str">
        <f>IFERROR(__xludf.DUMMYFUNCTION("""COMPUTED_VALUE"""),"Chevy Bolt")</f>
        <v>Chevy Bolt</v>
      </c>
      <c r="U2879" t="str">
        <f>IFERROR(__xludf.DUMMYFUNCTION("""COMPUTED_VALUE"""),"Electric!")</f>
        <v>Electric!</v>
      </c>
      <c r="V2879" t="str">
        <f>IFERROR(__xludf.DUMMYFUNCTION("""COMPUTED_VALUE"""),"Apple CarPlay / Android Auto / SiriusXM Radio")</f>
        <v>Apple CarPlay / Android Auto / SiriusXM Radio</v>
      </c>
      <c r="X2879" t="str">
        <f>IFERROR(__xludf.DUMMYFUNCTION("""COMPUTED_VALUE"""),"Excellent")</f>
        <v>Excellent</v>
      </c>
      <c r="Y2879" t="str">
        <f>IFERROR(__xludf.DUMMYFUNCTION("""COMPUTED_VALUE"""),"Excellent")</f>
        <v>Excellent</v>
      </c>
      <c r="Z2879" t="str">
        <f>IFERROR(__xludf.DUMMYFUNCTION("""COMPUTED_VALUE"""),"Excellent")</f>
        <v>Excellent</v>
      </c>
      <c r="AA2879" t="str">
        <f>IFERROR(__xludf.DUMMYFUNCTION("""COMPUTED_VALUE"""),"Fair")</f>
        <v>Fair</v>
      </c>
      <c r="AB2879" t="str">
        <f>IFERROR(__xludf.DUMMYFUNCTION("""COMPUTED_VALUE"""),"Good")</f>
        <v>Good</v>
      </c>
      <c r="AC2879">
        <f>IFERROR(__xludf.DUMMYFUNCTION("""COMPUTED_VALUE"""),0.0)</f>
        <v>0</v>
      </c>
      <c r="AD2879">
        <f>IFERROR(__xludf.DUMMYFUNCTION("""COMPUTED_VALUE"""),0.0)</f>
        <v>0</v>
      </c>
      <c r="AE2879">
        <f>IFERROR(__xludf.DUMMYFUNCTION("""COMPUTED_VALUE"""),0.0)</f>
        <v>0</v>
      </c>
      <c r="AF2879" t="str">
        <f>IFERROR(__xludf.DUMMYFUNCTION("""COMPUTED_VALUE"""),"No. I took delivery of the first car Tesla was able to deliver.")</f>
        <v>No. I took delivery of the first car Tesla was able to deliver.</v>
      </c>
      <c r="AH2879" s="189">
        <f>IFERROR(__xludf.DUMMYFUNCTION("""COMPUTED_VALUE"""),44367.34399190972)</f>
        <v>44367.34399</v>
      </c>
    </row>
    <row r="2880">
      <c r="A2880" t="str">
        <f>IFERROR(__xludf.DUMMYFUNCTION("""COMPUTED_VALUE"""),"Tangomiami")</f>
        <v>Tangomiami</v>
      </c>
      <c r="B2880" t="str">
        <f>IFERROR(__xludf.DUMMYFUNCTION("""COMPUTED_VALUE"""),"Miami")</f>
        <v>Miami</v>
      </c>
      <c r="C2880" t="str">
        <f>IFERROR(__xludf.DUMMYFUNCTION("""COMPUTED_VALUE"""),"FL")</f>
        <v>FL</v>
      </c>
      <c r="D2880" t="str">
        <f>IFERROR(__xludf.DUMMYFUNCTION("""COMPUTED_VALUE"""),"USA")</f>
        <v>USA</v>
      </c>
      <c r="E2880" s="188">
        <f>IFERROR(__xludf.DUMMYFUNCTION("""COMPUTED_VALUE"""),44302.0)</f>
        <v>44302</v>
      </c>
      <c r="F2880" s="188">
        <f>IFERROR(__xludf.DUMMYFUNCTION("""COMPUTED_VALUE"""),44345.0)</f>
        <v>44345</v>
      </c>
      <c r="G2880" t="str">
        <f>IFERROR(__xludf.DUMMYFUNCTION("""COMPUTED_VALUE"""),"Manage order page (normal text)")</f>
        <v>Manage order page (normal text)</v>
      </c>
      <c r="H2880">
        <f>IFERROR(__xludf.DUMMYFUNCTION("""COMPUTED_VALUE"""),977555.0)</f>
        <v>977555</v>
      </c>
      <c r="J2880" s="188">
        <f>IFERROR(__xludf.DUMMYFUNCTION("""COMPUTED_VALUE"""),44359.0)</f>
        <v>44359</v>
      </c>
      <c r="K2880">
        <f>IFERROR(__xludf.DUMMYFUNCTION("""COMPUTED_VALUE"""),43.0)</f>
        <v>43</v>
      </c>
      <c r="L2880">
        <f>IFERROR(__xludf.DUMMYFUNCTION("""COMPUTED_VALUE"""),14.0)</f>
        <v>14</v>
      </c>
      <c r="M2880">
        <f>IFERROR(__xludf.DUMMYFUNCTION("""COMPUTED_VALUE"""),57.0)</f>
        <v>57</v>
      </c>
      <c r="N2880" t="str">
        <f>IFERROR(__xludf.DUMMYFUNCTION("""COMPUTED_VALUE"""),"Model 3 SR+")</f>
        <v>Model 3 SR+</v>
      </c>
      <c r="O2880" t="str">
        <f>IFERROR(__xludf.DUMMYFUNCTION("""COMPUTED_VALUE"""),"Pearl White Multi-Coat")</f>
        <v>Pearl White Multi-Coat</v>
      </c>
      <c r="P2880" t="str">
        <f>IFERROR(__xludf.DUMMYFUNCTION("""COMPUTED_VALUE"""),"18 inch")</f>
        <v>18 inch</v>
      </c>
      <c r="Q2880" t="str">
        <f>IFERROR(__xludf.DUMMYFUNCTION("""COMPUTED_VALUE"""),"All Black")</f>
        <v>All Black</v>
      </c>
      <c r="R2880" t="str">
        <f>IFERROR(__xludf.DUMMYFUNCTION("""COMPUTED_VALUE"""),"Autopilot included")</f>
        <v>Autopilot included</v>
      </c>
      <c r="S2880" t="str">
        <f>IFERROR(__xludf.DUMMYFUNCTION("""COMPUTED_VALUE"""),"Lease")</f>
        <v>Lease</v>
      </c>
      <c r="T2880" t="str">
        <f>IFERROR(__xludf.DUMMYFUNCTION("""COMPUTED_VALUE"""),"BMW 230i Convertible")</f>
        <v>BMW 230i Convertible</v>
      </c>
      <c r="U2880" t="str">
        <f>IFERROR(__xludf.DUMMYFUNCTION("""COMPUTED_VALUE"""),"Electric!")</f>
        <v>Electric!</v>
      </c>
      <c r="V2880" t="str">
        <f>IFERROR(__xludf.DUMMYFUNCTION("""COMPUTED_VALUE"""),"Ventilated seats")</f>
        <v>Ventilated seats</v>
      </c>
      <c r="X2880" t="str">
        <f>IFERROR(__xludf.DUMMYFUNCTION("""COMPUTED_VALUE"""),"Excellent")</f>
        <v>Excellent</v>
      </c>
      <c r="Y2880" t="str">
        <f>IFERROR(__xludf.DUMMYFUNCTION("""COMPUTED_VALUE"""),"Excellent")</f>
        <v>Excellent</v>
      </c>
      <c r="Z2880" t="str">
        <f>IFERROR(__xludf.DUMMYFUNCTION("""COMPUTED_VALUE"""),"Excellent")</f>
        <v>Excellent</v>
      </c>
      <c r="AA2880" t="str">
        <f>IFERROR(__xludf.DUMMYFUNCTION("""COMPUTED_VALUE"""),"Excellent")</f>
        <v>Excellent</v>
      </c>
      <c r="AB2880" t="str">
        <f>IFERROR(__xludf.DUMMYFUNCTION("""COMPUTED_VALUE"""),"Excellent")</f>
        <v>Excellent</v>
      </c>
      <c r="AC2880">
        <f>IFERROR(__xludf.DUMMYFUNCTION("""COMPUTED_VALUE"""),0.0)</f>
        <v>0</v>
      </c>
      <c r="AF2880" t="str">
        <f>IFERROR(__xludf.DUMMYFUNCTION("""COMPUTED_VALUE"""),"No. I took delivery of the first car Tesla was able to deliver.")</f>
        <v>No. I took delivery of the first car Tesla was able to deliver.</v>
      </c>
      <c r="AH2880" s="189">
        <f>IFERROR(__xludf.DUMMYFUNCTION("""COMPUTED_VALUE"""),44359.537024212965)</f>
        <v>44359.53702</v>
      </c>
    </row>
    <row r="2881">
      <c r="A2881" t="str">
        <f>IFERROR(__xludf.DUMMYFUNCTION("""COMPUTED_VALUE"""),"sonrantos")</f>
        <v>sonrantos</v>
      </c>
      <c r="B2881" t="str">
        <f>IFERROR(__xludf.DUMMYFUNCTION("""COMPUTED_VALUE"""),"Surrey")</f>
        <v>Surrey</v>
      </c>
      <c r="C2881" t="str">
        <f>IFERROR(__xludf.DUMMYFUNCTION("""COMPUTED_VALUE"""),"BC")</f>
        <v>BC</v>
      </c>
      <c r="D2881" t="str">
        <f>IFERROR(__xludf.DUMMYFUNCTION("""COMPUTED_VALUE"""),"Canada")</f>
        <v>Canada</v>
      </c>
      <c r="E2881" s="188">
        <f>IFERROR(__xludf.DUMMYFUNCTION("""COMPUTED_VALUE"""),44306.0)</f>
        <v>44306</v>
      </c>
      <c r="F2881" s="188">
        <f>IFERROR(__xludf.DUMMYFUNCTION("""COMPUTED_VALUE"""),44355.0)</f>
        <v>44355</v>
      </c>
      <c r="G2881" t="str">
        <f>IFERROR(__xludf.DUMMYFUNCTION("""COMPUTED_VALUE"""),"Source code")</f>
        <v>Source code</v>
      </c>
      <c r="H2881">
        <f>IFERROR(__xludf.DUMMYFUNCTION("""COMPUTED_VALUE"""),987955.0)</f>
        <v>987955</v>
      </c>
      <c r="I2881" t="str">
        <f>IFERROR(__xludf.DUMMYFUNCTION("""COMPUTED_VALUE"""),"06/21")</f>
        <v>06/21</v>
      </c>
      <c r="J2881" s="188">
        <f>IFERROR(__xludf.DUMMYFUNCTION("""COMPUTED_VALUE"""),44359.0)</f>
        <v>44359</v>
      </c>
      <c r="K2881">
        <f>IFERROR(__xludf.DUMMYFUNCTION("""COMPUTED_VALUE"""),49.0)</f>
        <v>49</v>
      </c>
      <c r="L2881">
        <f>IFERROR(__xludf.DUMMYFUNCTION("""COMPUTED_VALUE"""),4.0)</f>
        <v>4</v>
      </c>
      <c r="M2881">
        <f>IFERROR(__xludf.DUMMYFUNCTION("""COMPUTED_VALUE"""),53.0)</f>
        <v>53</v>
      </c>
      <c r="N2881" t="str">
        <f>IFERROR(__xludf.DUMMYFUNCTION("""COMPUTED_VALUE"""),"Model 3 LR AWD")</f>
        <v>Model 3 LR AWD</v>
      </c>
      <c r="O2881" t="str">
        <f>IFERROR(__xludf.DUMMYFUNCTION("""COMPUTED_VALUE"""),"Midnight Silver Metallic")</f>
        <v>Midnight Silver Metallic</v>
      </c>
      <c r="P2881" t="str">
        <f>IFERROR(__xludf.DUMMYFUNCTION("""COMPUTED_VALUE"""),"18 inch")</f>
        <v>18 inch</v>
      </c>
      <c r="Q2881" t="str">
        <f>IFERROR(__xludf.DUMMYFUNCTION("""COMPUTED_VALUE"""),"All Black")</f>
        <v>All Black</v>
      </c>
      <c r="R2881" t="str">
        <f>IFERROR(__xludf.DUMMYFUNCTION("""COMPUTED_VALUE"""),"Autopilot included")</f>
        <v>Autopilot included</v>
      </c>
      <c r="S2881" t="str">
        <f>IFERROR(__xludf.DUMMYFUNCTION("""COMPUTED_VALUE"""),"Loan")</f>
        <v>Loan</v>
      </c>
      <c r="U2881" t="str">
        <f>IFERROR(__xludf.DUMMYFUNCTION("""COMPUTED_VALUE"""),"Electric!")</f>
        <v>Electric!</v>
      </c>
      <c r="V2881" t="str">
        <f>IFERROR(__xludf.DUMMYFUNCTION("""COMPUTED_VALUE"""),"Apple CarPlay / Android Auto / SiriusXM Radio")</f>
        <v>Apple CarPlay / Android Auto / SiriusXM Radio</v>
      </c>
      <c r="X2881" t="str">
        <f>IFERROR(__xludf.DUMMYFUNCTION("""COMPUTED_VALUE"""),"Excellent")</f>
        <v>Excellent</v>
      </c>
      <c r="Y2881" t="str">
        <f>IFERROR(__xludf.DUMMYFUNCTION("""COMPUTED_VALUE"""),"Excellent")</f>
        <v>Excellent</v>
      </c>
      <c r="Z2881" t="str">
        <f>IFERROR(__xludf.DUMMYFUNCTION("""COMPUTED_VALUE"""),"Good")</f>
        <v>Good</v>
      </c>
      <c r="AA2881" t="str">
        <f>IFERROR(__xludf.DUMMYFUNCTION("""COMPUTED_VALUE"""),"Excellent")</f>
        <v>Excellent</v>
      </c>
      <c r="AB2881" t="str">
        <f>IFERROR(__xludf.DUMMYFUNCTION("""COMPUTED_VALUE"""),"Excellent")</f>
        <v>Excellent</v>
      </c>
      <c r="AC2881">
        <f>IFERROR(__xludf.DUMMYFUNCTION("""COMPUTED_VALUE"""),2.0)</f>
        <v>2</v>
      </c>
      <c r="AF2881" t="str">
        <f>IFERROR(__xludf.DUMMYFUNCTION("""COMPUTED_VALUE"""),"No. I took delivery of the first car Tesla was able to deliver.")</f>
        <v>No. I took delivery of the first car Tesla was able to deliver.</v>
      </c>
      <c r="AH2881" s="189">
        <f>IFERROR(__xludf.DUMMYFUNCTION("""COMPUTED_VALUE"""),44359.80422866898)</f>
        <v>44359.80423</v>
      </c>
    </row>
    <row r="2882">
      <c r="A2882" t="str">
        <f>IFERROR(__xludf.DUMMYFUNCTION("""COMPUTED_VALUE"""),"Torogi")</f>
        <v>Torogi</v>
      </c>
      <c r="B2882" t="str">
        <f>IFERROR(__xludf.DUMMYFUNCTION("""COMPUTED_VALUE"""),"Campbell")</f>
        <v>Campbell</v>
      </c>
      <c r="C2882" t="str">
        <f>IFERROR(__xludf.DUMMYFUNCTION("""COMPUTED_VALUE"""),"CA")</f>
        <v>CA</v>
      </c>
      <c r="D2882" t="str">
        <f>IFERROR(__xludf.DUMMYFUNCTION("""COMPUTED_VALUE"""),"USA")</f>
        <v>USA</v>
      </c>
      <c r="E2882" s="188">
        <f>IFERROR(__xludf.DUMMYFUNCTION("""COMPUTED_VALUE"""),44315.0)</f>
        <v>44315</v>
      </c>
      <c r="F2882" s="188">
        <f>IFERROR(__xludf.DUMMYFUNCTION("""COMPUTED_VALUE"""),44372.0)</f>
        <v>44372</v>
      </c>
      <c r="G2882" t="str">
        <f>IFERROR(__xludf.DUMMYFUNCTION("""COMPUTED_VALUE"""),"Manage order page (normal text)")</f>
        <v>Manage order page (normal text)</v>
      </c>
      <c r="H2882">
        <f>IFERROR(__xludf.DUMMYFUNCTION("""COMPUTED_VALUE"""),2149.0)</f>
        <v>2149</v>
      </c>
      <c r="I2882" t="str">
        <f>IFERROR(__xludf.DUMMYFUNCTION("""COMPUTED_VALUE"""),"06/21")</f>
        <v>06/21</v>
      </c>
      <c r="J2882" s="188">
        <f>IFERROR(__xludf.DUMMYFUNCTION("""COMPUTED_VALUE"""),44373.0)</f>
        <v>44373</v>
      </c>
      <c r="K2882">
        <f>IFERROR(__xludf.DUMMYFUNCTION("""COMPUTED_VALUE"""),57.0)</f>
        <v>57</v>
      </c>
      <c r="L2882">
        <f>IFERROR(__xludf.DUMMYFUNCTION("""COMPUTED_VALUE"""),1.0)</f>
        <v>1</v>
      </c>
      <c r="M2882">
        <f>IFERROR(__xludf.DUMMYFUNCTION("""COMPUTED_VALUE"""),58.0)</f>
        <v>58</v>
      </c>
      <c r="N2882" t="str">
        <f>IFERROR(__xludf.DUMMYFUNCTION("""COMPUTED_VALUE"""),"Model 3 SR+")</f>
        <v>Model 3 SR+</v>
      </c>
      <c r="O2882" t="str">
        <f>IFERROR(__xludf.DUMMYFUNCTION("""COMPUTED_VALUE"""),"Pearl White Multi-Coat")</f>
        <v>Pearl White Multi-Coat</v>
      </c>
      <c r="P2882" t="str">
        <f>IFERROR(__xludf.DUMMYFUNCTION("""COMPUTED_VALUE"""),"18 inch")</f>
        <v>18 inch</v>
      </c>
      <c r="Q2882" t="str">
        <f>IFERROR(__xludf.DUMMYFUNCTION("""COMPUTED_VALUE"""),"All Black")</f>
        <v>All Black</v>
      </c>
      <c r="R2882" t="str">
        <f>IFERROR(__xludf.DUMMYFUNCTION("""COMPUTED_VALUE"""),"Autopilot included")</f>
        <v>Autopilot included</v>
      </c>
      <c r="S2882" t="str">
        <f>IFERROR(__xludf.DUMMYFUNCTION("""COMPUTED_VALUE"""),"Loan")</f>
        <v>Loan</v>
      </c>
      <c r="T2882" t="str">
        <f>IFERROR(__xludf.DUMMYFUNCTION("""COMPUTED_VALUE"""),"BMW X3")</f>
        <v>BMW X3</v>
      </c>
      <c r="U2882" t="str">
        <f>IFERROR(__xludf.DUMMYFUNCTION("""COMPUTED_VALUE"""),"Autopilot")</f>
        <v>Autopilot</v>
      </c>
      <c r="V2882" t="str">
        <f>IFERROR(__xludf.DUMMYFUNCTION("""COMPUTED_VALUE"""),"Dashboard")</f>
        <v>Dashboard</v>
      </c>
      <c r="W2882" t="str">
        <f>IFERROR(__xludf.DUMMYFUNCTION("""COMPUTED_VALUE"""),"Tesla is a tech company. 3/Y are not luxury. S/X, maybe. ")</f>
        <v>Tesla is a tech company. 3/Y are not luxury. S/X, maybe. </v>
      </c>
      <c r="X2882" t="str">
        <f>IFERROR(__xludf.DUMMYFUNCTION("""COMPUTED_VALUE"""),"Good")</f>
        <v>Good</v>
      </c>
      <c r="Y2882" t="str">
        <f>IFERROR(__xludf.DUMMYFUNCTION("""COMPUTED_VALUE"""),"Fair")</f>
        <v>Fair</v>
      </c>
      <c r="Z2882" t="str">
        <f>IFERROR(__xludf.DUMMYFUNCTION("""COMPUTED_VALUE"""),"Fair")</f>
        <v>Fair</v>
      </c>
      <c r="AA2882" t="str">
        <f>IFERROR(__xludf.DUMMYFUNCTION("""COMPUTED_VALUE"""),"Fair")</f>
        <v>Fair</v>
      </c>
      <c r="AB2882" t="str">
        <f>IFERROR(__xludf.DUMMYFUNCTION("""COMPUTED_VALUE"""),"Good")</f>
        <v>Good</v>
      </c>
      <c r="AC2882">
        <f>IFERROR(__xludf.DUMMYFUNCTION("""COMPUTED_VALUE"""),0.0)</f>
        <v>0</v>
      </c>
      <c r="AD2882">
        <f>IFERROR(__xludf.DUMMYFUNCTION("""COMPUTED_VALUE"""),0.0)</f>
        <v>0</v>
      </c>
      <c r="AE2882">
        <f>IFERROR(__xludf.DUMMYFUNCTION("""COMPUTED_VALUE"""),0.0)</f>
        <v>0</v>
      </c>
      <c r="AF2882" t="str">
        <f>IFERROR(__xludf.DUMMYFUNCTION("""COMPUTED_VALUE"""),"No. I took delivery of the first car Tesla was able to deliver.")</f>
        <v>No. I took delivery of the first car Tesla was able to deliver.</v>
      </c>
      <c r="AH2882" s="189">
        <f>IFERROR(__xludf.DUMMYFUNCTION("""COMPUTED_VALUE"""),44382.371042025465)</f>
        <v>44382.37104</v>
      </c>
    </row>
    <row r="2883">
      <c r="A2883" t="str">
        <f>IFERROR(__xludf.DUMMYFUNCTION("""COMPUTED_VALUE"""),"Rpayton")</f>
        <v>Rpayton</v>
      </c>
      <c r="B2883" t="str">
        <f>IFERROR(__xludf.DUMMYFUNCTION("""COMPUTED_VALUE"""),"Almo")</f>
        <v>Almo</v>
      </c>
      <c r="C2883" t="str">
        <f>IFERROR(__xludf.DUMMYFUNCTION("""COMPUTED_VALUE"""),"KY")</f>
        <v>KY</v>
      </c>
      <c r="D2883" t="str">
        <f>IFERROR(__xludf.DUMMYFUNCTION("""COMPUTED_VALUE"""),"USA")</f>
        <v>USA</v>
      </c>
      <c r="E2883" s="188">
        <f>IFERROR(__xludf.DUMMYFUNCTION("""COMPUTED_VALUE"""),44307.0)</f>
        <v>44307</v>
      </c>
      <c r="F2883" s="188">
        <f>IFERROR(__xludf.DUMMYFUNCTION("""COMPUTED_VALUE"""),44345.0)</f>
        <v>44345</v>
      </c>
      <c r="G2883" t="str">
        <f>IFERROR(__xludf.DUMMYFUNCTION("""COMPUTED_VALUE"""),"Manage order page (normal text)")</f>
        <v>Manage order page (normal text)</v>
      </c>
      <c r="H2883">
        <f>IFERROR(__xludf.DUMMYFUNCTION("""COMPUTED_VALUE"""),977455.0)</f>
        <v>977455</v>
      </c>
      <c r="I2883" t="str">
        <f>IFERROR(__xludf.DUMMYFUNCTION("""COMPUTED_VALUE"""),"05/21")</f>
        <v>05/21</v>
      </c>
      <c r="J2883" s="188">
        <f>IFERROR(__xludf.DUMMYFUNCTION("""COMPUTED_VALUE"""),44357.0)</f>
        <v>44357</v>
      </c>
      <c r="K2883">
        <f>IFERROR(__xludf.DUMMYFUNCTION("""COMPUTED_VALUE"""),38.0)</f>
        <v>38</v>
      </c>
      <c r="L2883">
        <f>IFERROR(__xludf.DUMMYFUNCTION("""COMPUTED_VALUE"""),12.0)</f>
        <v>12</v>
      </c>
      <c r="M2883">
        <f>IFERROR(__xludf.DUMMYFUNCTION("""COMPUTED_VALUE"""),50.0)</f>
        <v>50</v>
      </c>
      <c r="N2883" t="str">
        <f>IFERROR(__xludf.DUMMYFUNCTION("""COMPUTED_VALUE"""),"Model 3 SR+")</f>
        <v>Model 3 SR+</v>
      </c>
      <c r="O2883" t="str">
        <f>IFERROR(__xludf.DUMMYFUNCTION("""COMPUTED_VALUE"""),"Pearl White Multi-Coat")</f>
        <v>Pearl White Multi-Coat</v>
      </c>
      <c r="P2883" t="str">
        <f>IFERROR(__xludf.DUMMYFUNCTION("""COMPUTED_VALUE"""),"18 inch")</f>
        <v>18 inch</v>
      </c>
      <c r="Q2883" t="str">
        <f>IFERROR(__xludf.DUMMYFUNCTION("""COMPUTED_VALUE"""),"All Black")</f>
        <v>All Black</v>
      </c>
      <c r="R2883" t="str">
        <f>IFERROR(__xludf.DUMMYFUNCTION("""COMPUTED_VALUE"""),"Autopilot included")</f>
        <v>Autopilot included</v>
      </c>
      <c r="S2883" t="str">
        <f>IFERROR(__xludf.DUMMYFUNCTION("""COMPUTED_VALUE"""),"Loan")</f>
        <v>Loan</v>
      </c>
      <c r="T2883" t="str">
        <f>IFERROR(__xludf.DUMMYFUNCTION("""COMPUTED_VALUE"""),"Toyota Camry")</f>
        <v>Toyota Camry</v>
      </c>
      <c r="U2883" t="str">
        <f>IFERROR(__xludf.DUMMYFUNCTION("""COMPUTED_VALUE"""),"Electric!")</f>
        <v>Electric!</v>
      </c>
      <c r="V2883" t="str">
        <f>IFERROR(__xludf.DUMMYFUNCTION("""COMPUTED_VALUE"""),"Apple CarPlay / Android Auto / SiriusXM Radio")</f>
        <v>Apple CarPlay / Android Auto / SiriusXM Radio</v>
      </c>
      <c r="W2883" t="str">
        <f>IFERROR(__xludf.DUMMYFUNCTION("""COMPUTED_VALUE"""),"Be patient ")</f>
        <v>Be patient </v>
      </c>
      <c r="X2883" t="str">
        <f>IFERROR(__xludf.DUMMYFUNCTION("""COMPUTED_VALUE"""),"Excellent")</f>
        <v>Excellent</v>
      </c>
      <c r="Y2883" t="str">
        <f>IFERROR(__xludf.DUMMYFUNCTION("""COMPUTED_VALUE"""),"Excellent")</f>
        <v>Excellent</v>
      </c>
      <c r="Z2883" t="str">
        <f>IFERROR(__xludf.DUMMYFUNCTION("""COMPUTED_VALUE"""),"Excellent")</f>
        <v>Excellent</v>
      </c>
      <c r="AA2883" t="str">
        <f>IFERROR(__xludf.DUMMYFUNCTION("""COMPUTED_VALUE"""),"Very Good")</f>
        <v>Very Good</v>
      </c>
      <c r="AB2883" t="str">
        <f>IFERROR(__xludf.DUMMYFUNCTION("""COMPUTED_VALUE"""),"Very Good")</f>
        <v>Very Good</v>
      </c>
      <c r="AF2883" t="str">
        <f>IFERROR(__xludf.DUMMYFUNCTION("""COMPUTED_VALUE"""),"No. I took delivery of the first car Tesla was able to deliver.")</f>
        <v>No. I took delivery of the first car Tesla was able to deliver.</v>
      </c>
      <c r="AH2883" s="189">
        <f>IFERROR(__xludf.DUMMYFUNCTION("""COMPUTED_VALUE"""),44357.649980277776)</f>
        <v>44357.64998</v>
      </c>
    </row>
    <row r="2884">
      <c r="A2884" t="str">
        <f>IFERROR(__xludf.DUMMYFUNCTION("""COMPUTED_VALUE"""),"Cowtastic")</f>
        <v>Cowtastic</v>
      </c>
      <c r="B2884" t="str">
        <f>IFERROR(__xludf.DUMMYFUNCTION("""COMPUTED_VALUE"""),"Portland")</f>
        <v>Portland</v>
      </c>
      <c r="C2884" t="str">
        <f>IFERROR(__xludf.DUMMYFUNCTION("""COMPUTED_VALUE"""),"OR")</f>
        <v>OR</v>
      </c>
      <c r="D2884" t="str">
        <f>IFERROR(__xludf.DUMMYFUNCTION("""COMPUTED_VALUE"""),"USA")</f>
        <v>USA</v>
      </c>
      <c r="E2884" s="188">
        <f>IFERROR(__xludf.DUMMYFUNCTION("""COMPUTED_VALUE"""),44288.0)</f>
        <v>44288</v>
      </c>
      <c r="F2884" s="188">
        <f>IFERROR(__xludf.DUMMYFUNCTION("""COMPUTED_VALUE"""),44345.0)</f>
        <v>44345</v>
      </c>
      <c r="G2884" t="str">
        <f>IFERROR(__xludf.DUMMYFUNCTION("""COMPUTED_VALUE"""),"Manage order page (normal text)")</f>
        <v>Manage order page (normal text)</v>
      </c>
      <c r="H2884">
        <f>IFERROR(__xludf.DUMMYFUNCTION("""COMPUTED_VALUE"""),979855.0)</f>
        <v>979855</v>
      </c>
      <c r="I2884" t="str">
        <f>IFERROR(__xludf.DUMMYFUNCTION("""COMPUTED_VALUE"""),"05/21")</f>
        <v>05/21</v>
      </c>
      <c r="J2884" s="188">
        <f>IFERROR(__xludf.DUMMYFUNCTION("""COMPUTED_VALUE"""),44352.0)</f>
        <v>44352</v>
      </c>
      <c r="K2884">
        <f>IFERROR(__xludf.DUMMYFUNCTION("""COMPUTED_VALUE"""),57.0)</f>
        <v>57</v>
      </c>
      <c r="L2884">
        <f>IFERROR(__xludf.DUMMYFUNCTION("""COMPUTED_VALUE"""),7.0)</f>
        <v>7</v>
      </c>
      <c r="M2884">
        <f>IFERROR(__xludf.DUMMYFUNCTION("""COMPUTED_VALUE"""),64.0)</f>
        <v>64</v>
      </c>
      <c r="N2884" t="str">
        <f>IFERROR(__xludf.DUMMYFUNCTION("""COMPUTED_VALUE"""),"Model 3 LR AWD")</f>
        <v>Model 3 LR AWD</v>
      </c>
      <c r="O2884" t="str">
        <f>IFERROR(__xludf.DUMMYFUNCTION("""COMPUTED_VALUE"""),"Deep Blue Metallic")</f>
        <v>Deep Blue Metallic</v>
      </c>
      <c r="P2884" t="str">
        <f>IFERROR(__xludf.DUMMYFUNCTION("""COMPUTED_VALUE"""),"18 inch")</f>
        <v>18 inch</v>
      </c>
      <c r="Q2884" t="str">
        <f>IFERROR(__xludf.DUMMYFUNCTION("""COMPUTED_VALUE"""),"All Black")</f>
        <v>All Black</v>
      </c>
      <c r="R2884" t="str">
        <f>IFERROR(__xludf.DUMMYFUNCTION("""COMPUTED_VALUE"""),"Autopilot included")</f>
        <v>Autopilot included</v>
      </c>
      <c r="S2884" t="str">
        <f>IFERROR(__xludf.DUMMYFUNCTION("""COMPUTED_VALUE"""),"Loan")</f>
        <v>Loan</v>
      </c>
      <c r="T2884" t="str">
        <f>IFERROR(__xludf.DUMMYFUNCTION("""COMPUTED_VALUE"""),"Mazda 6")</f>
        <v>Mazda 6</v>
      </c>
      <c r="U2884" t="str">
        <f>IFERROR(__xludf.DUMMYFUNCTION("""COMPUTED_VALUE"""),"Electric!")</f>
        <v>Electric!</v>
      </c>
      <c r="V2884" t="str">
        <f>IFERROR(__xludf.DUMMYFUNCTION("""COMPUTED_VALUE"""),"Apple CarPlay / Android Auto / SiriusXM Radio")</f>
        <v>Apple CarPlay / Android Auto / SiriusXM Radio</v>
      </c>
      <c r="X2884" t="str">
        <f>IFERROR(__xludf.DUMMYFUNCTION("""COMPUTED_VALUE"""),"Very Good")</f>
        <v>Very Good</v>
      </c>
      <c r="Y2884" t="str">
        <f>IFERROR(__xludf.DUMMYFUNCTION("""COMPUTED_VALUE"""),"Very Good")</f>
        <v>Very Good</v>
      </c>
      <c r="Z2884" t="str">
        <f>IFERROR(__xludf.DUMMYFUNCTION("""COMPUTED_VALUE"""),"Very Good")</f>
        <v>Very Good</v>
      </c>
      <c r="AA2884" t="str">
        <f>IFERROR(__xludf.DUMMYFUNCTION("""COMPUTED_VALUE"""),"Excellent")</f>
        <v>Excellent</v>
      </c>
      <c r="AB2884" t="str">
        <f>IFERROR(__xludf.DUMMYFUNCTION("""COMPUTED_VALUE"""),"Excellent")</f>
        <v>Excellent</v>
      </c>
      <c r="AC2884">
        <f>IFERROR(__xludf.DUMMYFUNCTION("""COMPUTED_VALUE"""),2.0)</f>
        <v>2</v>
      </c>
      <c r="AF2884" t="str">
        <f>IFERROR(__xludf.DUMMYFUNCTION("""COMPUTED_VALUE"""),"No. I took delivery of the first car Tesla was able to deliver.")</f>
        <v>No. I took delivery of the first car Tesla was able to deliver.</v>
      </c>
      <c r="AH2884" s="189">
        <f>IFERROR(__xludf.DUMMYFUNCTION("""COMPUTED_VALUE"""),44368.96584547454)</f>
        <v>44368.96585</v>
      </c>
    </row>
    <row r="2885">
      <c r="A2885" t="str">
        <f>IFERROR(__xludf.DUMMYFUNCTION("""COMPUTED_VALUE"""),"mry")</f>
        <v>mry</v>
      </c>
      <c r="B2885" t="str">
        <f>IFERROR(__xludf.DUMMYFUNCTION("""COMPUTED_VALUE"""),"Gainesville")</f>
        <v>Gainesville</v>
      </c>
      <c r="C2885" t="str">
        <f>IFERROR(__xludf.DUMMYFUNCTION("""COMPUTED_VALUE"""),"FL")</f>
        <v>FL</v>
      </c>
      <c r="D2885" t="str">
        <f>IFERROR(__xludf.DUMMYFUNCTION("""COMPUTED_VALUE"""),"USA")</f>
        <v>USA</v>
      </c>
      <c r="E2885" s="188">
        <f>IFERROR(__xludf.DUMMYFUNCTION("""COMPUTED_VALUE"""),44304.0)</f>
        <v>44304</v>
      </c>
      <c r="F2885" s="188">
        <f>IFERROR(__xludf.DUMMYFUNCTION("""COMPUTED_VALUE"""),44345.0)</f>
        <v>44345</v>
      </c>
      <c r="G2885" t="str">
        <f>IFERROR(__xludf.DUMMYFUNCTION("""COMPUTED_VALUE"""),"Manage order page (normal text)")</f>
        <v>Manage order page (normal text)</v>
      </c>
      <c r="H2885">
        <f>IFERROR(__xludf.DUMMYFUNCTION("""COMPUTED_VALUE"""),979255.0)</f>
        <v>979255</v>
      </c>
      <c r="I2885" t="str">
        <f>IFERROR(__xludf.DUMMYFUNCTION("""COMPUTED_VALUE"""),"05/21")</f>
        <v>05/21</v>
      </c>
      <c r="J2885" s="188">
        <f>IFERROR(__xludf.DUMMYFUNCTION("""COMPUTED_VALUE"""),44359.0)</f>
        <v>44359</v>
      </c>
      <c r="K2885">
        <f>IFERROR(__xludf.DUMMYFUNCTION("""COMPUTED_VALUE"""),41.0)</f>
        <v>41</v>
      </c>
      <c r="L2885">
        <f>IFERROR(__xludf.DUMMYFUNCTION("""COMPUTED_VALUE"""),14.0)</f>
        <v>14</v>
      </c>
      <c r="M2885">
        <f>IFERROR(__xludf.DUMMYFUNCTION("""COMPUTED_VALUE"""),55.0)</f>
        <v>55</v>
      </c>
      <c r="N2885" t="str">
        <f>IFERROR(__xludf.DUMMYFUNCTION("""COMPUTED_VALUE"""),"Model 3 LR AWD")</f>
        <v>Model 3 LR AWD</v>
      </c>
      <c r="O2885" t="str">
        <f>IFERROR(__xludf.DUMMYFUNCTION("""COMPUTED_VALUE"""),"Midnight Silver Metallic")</f>
        <v>Midnight Silver Metallic</v>
      </c>
      <c r="P2885" t="str">
        <f>IFERROR(__xludf.DUMMYFUNCTION("""COMPUTED_VALUE"""),"18 inch")</f>
        <v>18 inch</v>
      </c>
      <c r="Q2885" t="str">
        <f>IFERROR(__xludf.DUMMYFUNCTION("""COMPUTED_VALUE"""),"All Black")</f>
        <v>All Black</v>
      </c>
      <c r="R2885" t="str">
        <f>IFERROR(__xludf.DUMMYFUNCTION("""COMPUTED_VALUE"""),"Autopilot included")</f>
        <v>Autopilot included</v>
      </c>
      <c r="S2885" t="str">
        <f>IFERROR(__xludf.DUMMYFUNCTION("""COMPUTED_VALUE"""),"Loan")</f>
        <v>Loan</v>
      </c>
      <c r="T2885" t="str">
        <f>IFERROR(__xludf.DUMMYFUNCTION("""COMPUTED_VALUE"""),"Audi A5")</f>
        <v>Audi A5</v>
      </c>
      <c r="W2885" t="str">
        <f>IFERROR(__xludf.DUMMYFUNCTION("""COMPUTED_VALUE"""),"Email autofinance@tesla.com - dropped my APR 2.1%")</f>
        <v>Email autofinance@tesla.com - dropped my APR 2.1%</v>
      </c>
      <c r="X2885" t="str">
        <f>IFERROR(__xludf.DUMMYFUNCTION("""COMPUTED_VALUE"""),"Excellent")</f>
        <v>Excellent</v>
      </c>
      <c r="Y2885" t="str">
        <f>IFERROR(__xludf.DUMMYFUNCTION("""COMPUTED_VALUE"""),"Excellent")</f>
        <v>Excellent</v>
      </c>
      <c r="Z2885" t="str">
        <f>IFERROR(__xludf.DUMMYFUNCTION("""COMPUTED_VALUE"""),"Excellent")</f>
        <v>Excellent</v>
      </c>
      <c r="AA2885" t="str">
        <f>IFERROR(__xludf.DUMMYFUNCTION("""COMPUTED_VALUE"""),"Fair")</f>
        <v>Fair</v>
      </c>
      <c r="AB2885" t="str">
        <f>IFERROR(__xludf.DUMMYFUNCTION("""COMPUTED_VALUE"""),"Excellent")</f>
        <v>Excellent</v>
      </c>
      <c r="AC2885">
        <f>IFERROR(__xludf.DUMMYFUNCTION("""COMPUTED_VALUE"""),0.0)</f>
        <v>0</v>
      </c>
      <c r="AF2885" t="str">
        <f>IFERROR(__xludf.DUMMYFUNCTION("""COMPUTED_VALUE"""),"No. I took delivery of the first car Tesla was able to deliver.")</f>
        <v>No. I took delivery of the first car Tesla was able to deliver.</v>
      </c>
      <c r="AH2885" s="189">
        <f>IFERROR(__xludf.DUMMYFUNCTION("""COMPUTED_VALUE"""),44359.84559375)</f>
        <v>44359.84559</v>
      </c>
    </row>
    <row r="2886">
      <c r="A2886" t="str">
        <f>IFERROR(__xludf.DUMMYFUNCTION("""COMPUTED_VALUE"""),"Will")</f>
        <v>Will</v>
      </c>
      <c r="B2886" t="str">
        <f>IFERROR(__xludf.DUMMYFUNCTION("""COMPUTED_VALUE"""),"Seattle")</f>
        <v>Seattle</v>
      </c>
      <c r="C2886" t="str">
        <f>IFERROR(__xludf.DUMMYFUNCTION("""COMPUTED_VALUE"""),"WA")</f>
        <v>WA</v>
      </c>
      <c r="D2886" t="str">
        <f>IFERROR(__xludf.DUMMYFUNCTION("""COMPUTED_VALUE"""),"USA")</f>
        <v>USA</v>
      </c>
      <c r="E2886" s="188">
        <f>IFERROR(__xludf.DUMMYFUNCTION("""COMPUTED_VALUE"""),44304.0)</f>
        <v>44304</v>
      </c>
      <c r="F2886" s="188">
        <f>IFERROR(__xludf.DUMMYFUNCTION("""COMPUTED_VALUE"""),44367.0)</f>
        <v>44367</v>
      </c>
      <c r="G2886" t="str">
        <f>IFERROR(__xludf.DUMMYFUNCTION("""COMPUTED_VALUE"""),"MVPA")</f>
        <v>MVPA</v>
      </c>
      <c r="I2886" t="str">
        <f>IFERROR(__xludf.DUMMYFUNCTION("""COMPUTED_VALUE"""),"05/21")</f>
        <v>05/21</v>
      </c>
      <c r="J2886" s="188">
        <f>IFERROR(__xludf.DUMMYFUNCTION("""COMPUTED_VALUE"""),44370.0)</f>
        <v>44370</v>
      </c>
      <c r="K2886">
        <f>IFERROR(__xludf.DUMMYFUNCTION("""COMPUTED_VALUE"""),63.0)</f>
        <v>63</v>
      </c>
      <c r="L2886">
        <f>IFERROR(__xludf.DUMMYFUNCTION("""COMPUTED_VALUE"""),3.0)</f>
        <v>3</v>
      </c>
      <c r="M2886">
        <f>IFERROR(__xludf.DUMMYFUNCTION("""COMPUTED_VALUE"""),66.0)</f>
        <v>66</v>
      </c>
      <c r="N2886" t="str">
        <f>IFERROR(__xludf.DUMMYFUNCTION("""COMPUTED_VALUE"""),"Model 3 LR AWD")</f>
        <v>Model 3 LR AWD</v>
      </c>
      <c r="O2886" t="str">
        <f>IFERROR(__xludf.DUMMYFUNCTION("""COMPUTED_VALUE"""),"Deep Blue Metallic")</f>
        <v>Deep Blue Metallic</v>
      </c>
      <c r="P2886" t="str">
        <f>IFERROR(__xludf.DUMMYFUNCTION("""COMPUTED_VALUE"""),"18 inch")</f>
        <v>18 inch</v>
      </c>
      <c r="Q2886" t="str">
        <f>IFERROR(__xludf.DUMMYFUNCTION("""COMPUTED_VALUE"""),"All Black")</f>
        <v>All Black</v>
      </c>
      <c r="R2886" t="str">
        <f>IFERROR(__xludf.DUMMYFUNCTION("""COMPUTED_VALUE"""),"Autopilot included")</f>
        <v>Autopilot included</v>
      </c>
      <c r="T2886" t="str">
        <f>IFERROR(__xludf.DUMMYFUNCTION("""COMPUTED_VALUE"""),"Toyota Camry")</f>
        <v>Toyota Camry</v>
      </c>
      <c r="U2886" t="str">
        <f>IFERROR(__xludf.DUMMYFUNCTION("""COMPUTED_VALUE"""),"Electric!")</f>
        <v>Electric!</v>
      </c>
      <c r="V2886" t="str">
        <f>IFERROR(__xludf.DUMMYFUNCTION("""COMPUTED_VALUE"""),"Air suspension")</f>
        <v>Air suspension</v>
      </c>
      <c r="AC2886">
        <f>IFERROR(__xludf.DUMMYFUNCTION("""COMPUTED_VALUE"""),2.0)</f>
        <v>2</v>
      </c>
      <c r="AH2886" s="189">
        <f>IFERROR(__xludf.DUMMYFUNCTION("""COMPUTED_VALUE"""),44374.846190763885)</f>
        <v>44374.84619</v>
      </c>
    </row>
    <row r="2887">
      <c r="A2887" t="str">
        <f>IFERROR(__xludf.DUMMYFUNCTION("""COMPUTED_VALUE"""),"promoguy666")</f>
        <v>promoguy666</v>
      </c>
      <c r="C2887" t="str">
        <f>IFERROR(__xludf.DUMMYFUNCTION("""COMPUTED_VALUE"""),"NY")</f>
        <v>NY</v>
      </c>
      <c r="D2887" t="str">
        <f>IFERROR(__xludf.DUMMYFUNCTION("""COMPUTED_VALUE"""),"USA")</f>
        <v>USA</v>
      </c>
      <c r="E2887" s="188">
        <f>IFERROR(__xludf.DUMMYFUNCTION("""COMPUTED_VALUE"""),44318.0)</f>
        <v>44318</v>
      </c>
      <c r="F2887" s="188">
        <f>IFERROR(__xludf.DUMMYFUNCTION("""COMPUTED_VALUE"""),44360.0)</f>
        <v>44360</v>
      </c>
      <c r="G2887" t="str">
        <f>IFERROR(__xludf.DUMMYFUNCTION("""COMPUTED_VALUE"""),"Text message")</f>
        <v>Text message</v>
      </c>
      <c r="H2887">
        <f>IFERROR(__xludf.DUMMYFUNCTION("""COMPUTED_VALUE"""),992955.0)</f>
        <v>992955</v>
      </c>
      <c r="J2887" s="188">
        <f>IFERROR(__xludf.DUMMYFUNCTION("""COMPUTED_VALUE"""),44374.0)</f>
        <v>44374</v>
      </c>
      <c r="K2887">
        <f>IFERROR(__xludf.DUMMYFUNCTION("""COMPUTED_VALUE"""),42.0)</f>
        <v>42</v>
      </c>
      <c r="L2887">
        <f>IFERROR(__xludf.DUMMYFUNCTION("""COMPUTED_VALUE"""),14.0)</f>
        <v>14</v>
      </c>
      <c r="M2887">
        <f>IFERROR(__xludf.DUMMYFUNCTION("""COMPUTED_VALUE"""),56.0)</f>
        <v>56</v>
      </c>
      <c r="N2887" t="str">
        <f>IFERROR(__xludf.DUMMYFUNCTION("""COMPUTED_VALUE"""),"Model 3 LR AWD")</f>
        <v>Model 3 LR AWD</v>
      </c>
      <c r="O2887" t="str">
        <f>IFERROR(__xludf.DUMMYFUNCTION("""COMPUTED_VALUE"""),"Deep Blue Metallic")</f>
        <v>Deep Blue Metallic</v>
      </c>
      <c r="P2887" t="str">
        <f>IFERROR(__xludf.DUMMYFUNCTION("""COMPUTED_VALUE"""),"18 inch")</f>
        <v>18 inch</v>
      </c>
      <c r="Q2887" t="str">
        <f>IFERROR(__xludf.DUMMYFUNCTION("""COMPUTED_VALUE"""),"Black and White")</f>
        <v>Black and White</v>
      </c>
      <c r="R2887" t="str">
        <f>IFERROR(__xludf.DUMMYFUNCTION("""COMPUTED_VALUE"""),"Autopilot included")</f>
        <v>Autopilot included</v>
      </c>
      <c r="S2887" t="str">
        <f>IFERROR(__xludf.DUMMYFUNCTION("""COMPUTED_VALUE"""),"Loan")</f>
        <v>Loan</v>
      </c>
      <c r="U2887" t="str">
        <f>IFERROR(__xludf.DUMMYFUNCTION("""COMPUTED_VALUE"""),"Autopilot")</f>
        <v>Autopilot</v>
      </c>
      <c r="V2887" t="str">
        <f>IFERROR(__xludf.DUMMYFUNCTION("""COMPUTED_VALUE"""),"Dashboard")</f>
        <v>Dashboard</v>
      </c>
      <c r="X2887" t="str">
        <f>IFERROR(__xludf.DUMMYFUNCTION("""COMPUTED_VALUE"""),"Good")</f>
        <v>Good</v>
      </c>
      <c r="Y2887" t="str">
        <f>IFERROR(__xludf.DUMMYFUNCTION("""COMPUTED_VALUE"""),"Excellent")</f>
        <v>Excellent</v>
      </c>
      <c r="Z2887" t="str">
        <f>IFERROR(__xludf.DUMMYFUNCTION("""COMPUTED_VALUE"""),"Very Good")</f>
        <v>Very Good</v>
      </c>
      <c r="AA2887" t="str">
        <f>IFERROR(__xludf.DUMMYFUNCTION("""COMPUTED_VALUE"""),"Good")</f>
        <v>Good</v>
      </c>
      <c r="AB2887" t="str">
        <f>IFERROR(__xludf.DUMMYFUNCTION("""COMPUTED_VALUE"""),"Good")</f>
        <v>Good</v>
      </c>
      <c r="AF2887" t="str">
        <f>IFERROR(__xludf.DUMMYFUNCTION("""COMPUTED_VALUE"""),"No. I took delivery of the first car Tesla was able to deliver.")</f>
        <v>No. I took delivery of the first car Tesla was able to deliver.</v>
      </c>
      <c r="AH2887" s="189">
        <f>IFERROR(__xludf.DUMMYFUNCTION("""COMPUTED_VALUE"""),44384.40555403935)</f>
        <v>44384.40555</v>
      </c>
    </row>
    <row r="2888">
      <c r="A2888" t="str">
        <f>IFERROR(__xludf.DUMMYFUNCTION("""COMPUTED_VALUE"""),"Raph")</f>
        <v>Raph</v>
      </c>
      <c r="D2888" t="str">
        <f>IFERROR(__xludf.DUMMYFUNCTION("""COMPUTED_VALUE"""),"France")</f>
        <v>France</v>
      </c>
      <c r="E2888" s="188">
        <f>IFERROR(__xludf.DUMMYFUNCTION("""COMPUTED_VALUE"""),44302.0)</f>
        <v>44302</v>
      </c>
      <c r="F2888" s="188">
        <f>IFERROR(__xludf.DUMMYFUNCTION("""COMPUTED_VALUE"""),44321.0)</f>
        <v>44321</v>
      </c>
      <c r="G2888" t="str">
        <f>IFERROR(__xludf.DUMMYFUNCTION("""COMPUTED_VALUE"""),"Invoice")</f>
        <v>Invoice</v>
      </c>
      <c r="H2888">
        <f>IFERROR(__xludf.DUMMYFUNCTION("""COMPUTED_VALUE"""),953902.0)</f>
        <v>953902</v>
      </c>
      <c r="I2888" t="str">
        <f>IFERROR(__xludf.DUMMYFUNCTION("""COMPUTED_VALUE"""),"04/21")</f>
        <v>04/21</v>
      </c>
      <c r="J2888" s="188">
        <f>IFERROR(__xludf.DUMMYFUNCTION("""COMPUTED_VALUE"""),44350.0)</f>
        <v>44350</v>
      </c>
      <c r="K2888">
        <f>IFERROR(__xludf.DUMMYFUNCTION("""COMPUTED_VALUE"""),19.0)</f>
        <v>19</v>
      </c>
      <c r="L2888">
        <f>IFERROR(__xludf.DUMMYFUNCTION("""COMPUTED_VALUE"""),29.0)</f>
        <v>29</v>
      </c>
      <c r="M2888">
        <f>IFERROR(__xludf.DUMMYFUNCTION("""COMPUTED_VALUE"""),48.0)</f>
        <v>48</v>
      </c>
      <c r="N2888" t="str">
        <f>IFERROR(__xludf.DUMMYFUNCTION("""COMPUTED_VALUE"""),"Model 3 LR AWD")</f>
        <v>Model 3 LR AWD</v>
      </c>
      <c r="O2888" t="str">
        <f>IFERROR(__xludf.DUMMYFUNCTION("""COMPUTED_VALUE"""),"Pearl White Multi-Coat")</f>
        <v>Pearl White Multi-Coat</v>
      </c>
      <c r="P2888" t="str">
        <f>IFERROR(__xludf.DUMMYFUNCTION("""COMPUTED_VALUE"""),"19 inch")</f>
        <v>19 inch</v>
      </c>
      <c r="Q2888" t="str">
        <f>IFERROR(__xludf.DUMMYFUNCTION("""COMPUTED_VALUE"""),"All Black")</f>
        <v>All Black</v>
      </c>
      <c r="R2888" t="str">
        <f>IFERROR(__xludf.DUMMYFUNCTION("""COMPUTED_VALUE"""),"Autopilot included")</f>
        <v>Autopilot included</v>
      </c>
      <c r="S2888" t="str">
        <f>IFERROR(__xludf.DUMMYFUNCTION("""COMPUTED_VALUE"""),"Loan")</f>
        <v>Loan</v>
      </c>
      <c r="T2888" t="str">
        <f>IFERROR(__xludf.DUMMYFUNCTION("""COMPUTED_VALUE"""),"VW T-Roc")</f>
        <v>VW T-Roc</v>
      </c>
      <c r="U2888" t="str">
        <f>IFERROR(__xludf.DUMMYFUNCTION("""COMPUTED_VALUE"""),"Electric!")</f>
        <v>Electric!</v>
      </c>
      <c r="V2888" t="str">
        <f>IFERROR(__xludf.DUMMYFUNCTION("""COMPUTED_VALUE"""),"Head-up display")</f>
        <v>Head-up display</v>
      </c>
      <c r="X2888" t="str">
        <f>IFERROR(__xludf.DUMMYFUNCTION("""COMPUTED_VALUE"""),"Very Good")</f>
        <v>Very Good</v>
      </c>
      <c r="Y2888" t="str">
        <f>IFERROR(__xludf.DUMMYFUNCTION("""COMPUTED_VALUE"""),"Very Good")</f>
        <v>Very Good</v>
      </c>
      <c r="Z2888" t="str">
        <f>IFERROR(__xludf.DUMMYFUNCTION("""COMPUTED_VALUE"""),"Excellent")</f>
        <v>Excellent</v>
      </c>
      <c r="AA2888" t="str">
        <f>IFERROR(__xludf.DUMMYFUNCTION("""COMPUTED_VALUE"""),"Excellent")</f>
        <v>Excellent</v>
      </c>
      <c r="AB2888" t="str">
        <f>IFERROR(__xludf.DUMMYFUNCTION("""COMPUTED_VALUE"""),"Good")</f>
        <v>Good</v>
      </c>
      <c r="AC2888">
        <f>IFERROR(__xludf.DUMMYFUNCTION("""COMPUTED_VALUE"""),1.0)</f>
        <v>1</v>
      </c>
      <c r="AD2888">
        <f>IFERROR(__xludf.DUMMYFUNCTION("""COMPUTED_VALUE"""),1.0)</f>
        <v>1</v>
      </c>
      <c r="AE2888">
        <f>IFERROR(__xludf.DUMMYFUNCTION("""COMPUTED_VALUE"""),0.0)</f>
        <v>0</v>
      </c>
      <c r="AF2888" t="str">
        <f>IFERROR(__xludf.DUMMYFUNCTION("""COMPUTED_VALUE"""),"No. I took delivery of the first car Tesla was able to deliver.")</f>
        <v>No. I took delivery of the first car Tesla was able to deliver.</v>
      </c>
      <c r="AH2888" s="189">
        <f>IFERROR(__xludf.DUMMYFUNCTION("""COMPUTED_VALUE"""),44406.07217449074)</f>
        <v>44406.07217</v>
      </c>
    </row>
    <row r="2889">
      <c r="A2889" t="str">
        <f>IFERROR(__xludf.DUMMYFUNCTION("""COMPUTED_VALUE"""),"AlexO")</f>
        <v>AlexO</v>
      </c>
      <c r="B2889" t="str">
        <f>IFERROR(__xludf.DUMMYFUNCTION("""COMPUTED_VALUE"""),"Montreal")</f>
        <v>Montreal</v>
      </c>
      <c r="C2889" t="str">
        <f>IFERROR(__xludf.DUMMYFUNCTION("""COMPUTED_VALUE"""),"QC")</f>
        <v>QC</v>
      </c>
      <c r="D2889" t="str">
        <f>IFERROR(__xludf.DUMMYFUNCTION("""COMPUTED_VALUE"""),"Canada")</f>
        <v>Canada</v>
      </c>
      <c r="E2889" s="188">
        <f>IFERROR(__xludf.DUMMYFUNCTION("""COMPUTED_VALUE"""),44306.0)</f>
        <v>44306</v>
      </c>
      <c r="F2889" s="188">
        <f>IFERROR(__xludf.DUMMYFUNCTION("""COMPUTED_VALUE"""),44347.0)</f>
        <v>44347</v>
      </c>
      <c r="G2889" t="str">
        <f>IFERROR(__xludf.DUMMYFUNCTION("""COMPUTED_VALUE"""),"Source code")</f>
        <v>Source code</v>
      </c>
      <c r="H2889">
        <f>IFERROR(__xludf.DUMMYFUNCTION("""COMPUTED_VALUE"""),982255.0)</f>
        <v>982255</v>
      </c>
      <c r="I2889" t="str">
        <f>IFERROR(__xludf.DUMMYFUNCTION("""COMPUTED_VALUE"""),"05/21")</f>
        <v>05/21</v>
      </c>
      <c r="J2889" s="188">
        <f>IFERROR(__xludf.DUMMYFUNCTION("""COMPUTED_VALUE"""),44358.0)</f>
        <v>44358</v>
      </c>
      <c r="K2889">
        <f>IFERROR(__xludf.DUMMYFUNCTION("""COMPUTED_VALUE"""),41.0)</f>
        <v>41</v>
      </c>
      <c r="L2889">
        <f>IFERROR(__xludf.DUMMYFUNCTION("""COMPUTED_VALUE"""),11.0)</f>
        <v>11</v>
      </c>
      <c r="M2889">
        <f>IFERROR(__xludf.DUMMYFUNCTION("""COMPUTED_VALUE"""),52.0)</f>
        <v>52</v>
      </c>
      <c r="N2889" t="str">
        <f>IFERROR(__xludf.DUMMYFUNCTION("""COMPUTED_VALUE"""),"Model 3 SR+")</f>
        <v>Model 3 SR+</v>
      </c>
      <c r="O2889" t="str">
        <f>IFERROR(__xludf.DUMMYFUNCTION("""COMPUTED_VALUE"""),"Pearl White Multi-Coat")</f>
        <v>Pearl White Multi-Coat</v>
      </c>
      <c r="P2889" t="str">
        <f>IFERROR(__xludf.DUMMYFUNCTION("""COMPUTED_VALUE"""),"18 inch")</f>
        <v>18 inch</v>
      </c>
      <c r="Q2889" t="str">
        <f>IFERROR(__xludf.DUMMYFUNCTION("""COMPUTED_VALUE"""),"All Black")</f>
        <v>All Black</v>
      </c>
      <c r="R2889" t="str">
        <f>IFERROR(__xludf.DUMMYFUNCTION("""COMPUTED_VALUE"""),"Autopilot included")</f>
        <v>Autopilot included</v>
      </c>
      <c r="S2889" t="str">
        <f>IFERROR(__xludf.DUMMYFUNCTION("""COMPUTED_VALUE"""),"Loan")</f>
        <v>Loan</v>
      </c>
      <c r="T2889" t="str">
        <f>IFERROR(__xludf.DUMMYFUNCTION("""COMPUTED_VALUE"""),"Honda Fit")</f>
        <v>Honda Fit</v>
      </c>
      <c r="U2889" t="str">
        <f>IFERROR(__xludf.DUMMYFUNCTION("""COMPUTED_VALUE"""),"Electric!")</f>
        <v>Electric!</v>
      </c>
      <c r="V2889" t="str">
        <f>IFERROR(__xludf.DUMMYFUNCTION("""COMPUTED_VALUE"""),"Apple CarPlay / Android Auto / SiriusXM Radio")</f>
        <v>Apple CarPlay / Android Auto / SiriusXM Radio</v>
      </c>
      <c r="X2889" t="str">
        <f>IFERROR(__xludf.DUMMYFUNCTION("""COMPUTED_VALUE"""),"Excellent")</f>
        <v>Excellent</v>
      </c>
      <c r="Y2889" t="str">
        <f>IFERROR(__xludf.DUMMYFUNCTION("""COMPUTED_VALUE"""),"Fair")</f>
        <v>Fair</v>
      </c>
      <c r="Z2889" t="str">
        <f>IFERROR(__xludf.DUMMYFUNCTION("""COMPUTED_VALUE"""),"Excellent")</f>
        <v>Excellent</v>
      </c>
      <c r="AA2889" t="str">
        <f>IFERROR(__xludf.DUMMYFUNCTION("""COMPUTED_VALUE"""),"Good")</f>
        <v>Good</v>
      </c>
      <c r="AB2889" t="str">
        <f>IFERROR(__xludf.DUMMYFUNCTION("""COMPUTED_VALUE"""),"Very Good")</f>
        <v>Very Good</v>
      </c>
      <c r="AC2889">
        <f>IFERROR(__xludf.DUMMYFUNCTION("""COMPUTED_VALUE"""),1.0)</f>
        <v>1</v>
      </c>
      <c r="AF2889" t="str">
        <f>IFERROR(__xludf.DUMMYFUNCTION("""COMPUTED_VALUE"""),"No. I took delivery of the first car Tesla was able to deliver.")</f>
        <v>No. I took delivery of the first car Tesla was able to deliver.</v>
      </c>
      <c r="AH2889" s="189">
        <f>IFERROR(__xludf.DUMMYFUNCTION("""COMPUTED_VALUE"""),44363.22446471065)</f>
        <v>44363.22446</v>
      </c>
    </row>
    <row r="2890">
      <c r="A2890" t="str">
        <f>IFERROR(__xludf.DUMMYFUNCTION("""COMPUTED_VALUE"""),"Shade")</f>
        <v>Shade</v>
      </c>
      <c r="B2890" t="str">
        <f>IFERROR(__xludf.DUMMYFUNCTION("""COMPUTED_VALUE"""),"Cincinnati")</f>
        <v>Cincinnati</v>
      </c>
      <c r="C2890" t="str">
        <f>IFERROR(__xludf.DUMMYFUNCTION("""COMPUTED_VALUE"""),"OH")</f>
        <v>OH</v>
      </c>
      <c r="D2890" t="str">
        <f>IFERROR(__xludf.DUMMYFUNCTION("""COMPUTED_VALUE"""),"USA")</f>
        <v>USA</v>
      </c>
      <c r="E2890" s="188">
        <f>IFERROR(__xludf.DUMMYFUNCTION("""COMPUTED_VALUE"""),44311.0)</f>
        <v>44311</v>
      </c>
      <c r="F2890" s="188">
        <f>IFERROR(__xludf.DUMMYFUNCTION("""COMPUTED_VALUE"""),44345.0)</f>
        <v>44345</v>
      </c>
      <c r="G2890" t="str">
        <f>IFERROR(__xludf.DUMMYFUNCTION("""COMPUTED_VALUE"""),"Manage order page (normal text)")</f>
        <v>Manage order page (normal text)</v>
      </c>
      <c r="J2890" s="188">
        <f>IFERROR(__xludf.DUMMYFUNCTION("""COMPUTED_VALUE"""),44355.0)</f>
        <v>44355</v>
      </c>
      <c r="K2890">
        <f>IFERROR(__xludf.DUMMYFUNCTION("""COMPUTED_VALUE"""),34.0)</f>
        <v>34</v>
      </c>
      <c r="L2890">
        <f>IFERROR(__xludf.DUMMYFUNCTION("""COMPUTED_VALUE"""),10.0)</f>
        <v>10</v>
      </c>
      <c r="M2890">
        <f>IFERROR(__xludf.DUMMYFUNCTION("""COMPUTED_VALUE"""),44.0)</f>
        <v>44</v>
      </c>
      <c r="N2890" t="str">
        <f>IFERROR(__xludf.DUMMYFUNCTION("""COMPUTED_VALUE"""),"Model 3 LR AWD")</f>
        <v>Model 3 LR AWD</v>
      </c>
      <c r="O2890" t="str">
        <f>IFERROR(__xludf.DUMMYFUNCTION("""COMPUTED_VALUE"""),"Deep Blue Metallic")</f>
        <v>Deep Blue Metallic</v>
      </c>
      <c r="P2890" t="str">
        <f>IFERROR(__xludf.DUMMYFUNCTION("""COMPUTED_VALUE"""),"18 inch")</f>
        <v>18 inch</v>
      </c>
      <c r="Q2890" t="str">
        <f>IFERROR(__xludf.DUMMYFUNCTION("""COMPUTED_VALUE"""),"All Black")</f>
        <v>All Black</v>
      </c>
      <c r="R2890" t="str">
        <f>IFERROR(__xludf.DUMMYFUNCTION("""COMPUTED_VALUE"""),"Autopilot included")</f>
        <v>Autopilot included</v>
      </c>
      <c r="S2890" t="str">
        <f>IFERROR(__xludf.DUMMYFUNCTION("""COMPUTED_VALUE"""),"Loan")</f>
        <v>Loan</v>
      </c>
      <c r="T2890" t="str">
        <f>IFERROR(__xludf.DUMMYFUNCTION("""COMPUTED_VALUE"""),"Toyota Camry")</f>
        <v>Toyota Camry</v>
      </c>
      <c r="U2890" t="str">
        <f>IFERROR(__xludf.DUMMYFUNCTION("""COMPUTED_VALUE"""),"Electric!")</f>
        <v>Electric!</v>
      </c>
      <c r="V2890" t="str">
        <f>IFERROR(__xludf.DUMMYFUNCTION("""COMPUTED_VALUE"""),"Head-up display")</f>
        <v>Head-up display</v>
      </c>
      <c r="X2890" t="str">
        <f>IFERROR(__xludf.DUMMYFUNCTION("""COMPUTED_VALUE"""),"Excellent")</f>
        <v>Excellent</v>
      </c>
      <c r="Y2890" t="str">
        <f>IFERROR(__xludf.DUMMYFUNCTION("""COMPUTED_VALUE"""),"Excellent")</f>
        <v>Excellent</v>
      </c>
      <c r="Z2890" t="str">
        <f>IFERROR(__xludf.DUMMYFUNCTION("""COMPUTED_VALUE"""),"Very Good")</f>
        <v>Very Good</v>
      </c>
      <c r="AA2890" t="str">
        <f>IFERROR(__xludf.DUMMYFUNCTION("""COMPUTED_VALUE"""),"Good")</f>
        <v>Good</v>
      </c>
      <c r="AB2890" t="str">
        <f>IFERROR(__xludf.DUMMYFUNCTION("""COMPUTED_VALUE"""),"Very Good")</f>
        <v>Very Good</v>
      </c>
      <c r="AF2890" t="str">
        <f>IFERROR(__xludf.DUMMYFUNCTION("""COMPUTED_VALUE"""),"No. I took delivery of the first car Tesla was able to deliver.")</f>
        <v>No. I took delivery of the first car Tesla was able to deliver.</v>
      </c>
      <c r="AH2890" s="189">
        <f>IFERROR(__xludf.DUMMYFUNCTION("""COMPUTED_VALUE"""),44355.470996828706)</f>
        <v>44355.471</v>
      </c>
    </row>
    <row r="2891">
      <c r="A2891" t="str">
        <f>IFERROR(__xludf.DUMMYFUNCTION("""COMPUTED_VALUE"""),"electricblizar")</f>
        <v>electricblizar</v>
      </c>
      <c r="B2891" t="str">
        <f>IFERROR(__xludf.DUMMYFUNCTION("""COMPUTED_VALUE"""),"Munich")</f>
        <v>Munich</v>
      </c>
      <c r="D2891" t="str">
        <f>IFERROR(__xludf.DUMMYFUNCTION("""COMPUTED_VALUE"""),"Germany")</f>
        <v>Germany</v>
      </c>
      <c r="E2891" s="188">
        <f>IFERROR(__xludf.DUMMYFUNCTION("""COMPUTED_VALUE"""),44267.0)</f>
        <v>44267</v>
      </c>
      <c r="F2891" s="188">
        <f>IFERROR(__xludf.DUMMYFUNCTION("""COMPUTED_VALUE"""),44321.0)</f>
        <v>44321</v>
      </c>
      <c r="G2891" t="str">
        <f>IFERROR(__xludf.DUMMYFUNCTION("""COMPUTED_VALUE"""),"Invoice")</f>
        <v>Invoice</v>
      </c>
      <c r="H2891">
        <f>IFERROR(__xludf.DUMMYFUNCTION("""COMPUTED_VALUE"""),953055.0)</f>
        <v>953055</v>
      </c>
      <c r="I2891" t="str">
        <f>IFERROR(__xludf.DUMMYFUNCTION("""COMPUTED_VALUE"""),"04/21")</f>
        <v>04/21</v>
      </c>
      <c r="J2891" s="188">
        <f>IFERROR(__xludf.DUMMYFUNCTION("""COMPUTED_VALUE"""),44352.0)</f>
        <v>44352</v>
      </c>
      <c r="K2891">
        <f>IFERROR(__xludf.DUMMYFUNCTION("""COMPUTED_VALUE"""),54.0)</f>
        <v>54</v>
      </c>
      <c r="L2891">
        <f>IFERROR(__xludf.DUMMYFUNCTION("""COMPUTED_VALUE"""),31.0)</f>
        <v>31</v>
      </c>
      <c r="M2891">
        <f>IFERROR(__xludf.DUMMYFUNCTION("""COMPUTED_VALUE"""),85.0)</f>
        <v>85</v>
      </c>
      <c r="N2891" t="str">
        <f>IFERROR(__xludf.DUMMYFUNCTION("""COMPUTED_VALUE"""),"Model 3 LR AWD")</f>
        <v>Model 3 LR AWD</v>
      </c>
      <c r="O2891" t="str">
        <f>IFERROR(__xludf.DUMMYFUNCTION("""COMPUTED_VALUE"""),"Pearl White Multi-Coat")</f>
        <v>Pearl White Multi-Coat</v>
      </c>
      <c r="P2891" t="str">
        <f>IFERROR(__xludf.DUMMYFUNCTION("""COMPUTED_VALUE"""),"18 inch")</f>
        <v>18 inch</v>
      </c>
      <c r="Q2891" t="str">
        <f>IFERROR(__xludf.DUMMYFUNCTION("""COMPUTED_VALUE"""),"All Black")</f>
        <v>All Black</v>
      </c>
      <c r="R2891" t="str">
        <f>IFERROR(__xludf.DUMMYFUNCTION("""COMPUTED_VALUE"""),"Full Self-Driving")</f>
        <v>Full Self-Driving</v>
      </c>
      <c r="S2891" t="str">
        <f>IFERROR(__xludf.DUMMYFUNCTION("""COMPUTED_VALUE"""),"Lease")</f>
        <v>Lease</v>
      </c>
      <c r="U2891" t="str">
        <f>IFERROR(__xludf.DUMMYFUNCTION("""COMPUTED_VALUE"""),"Tesla brand image")</f>
        <v>Tesla brand image</v>
      </c>
      <c r="V2891" t="str">
        <f>IFERROR(__xludf.DUMMYFUNCTION("""COMPUTED_VALUE"""),"Blind spot indicators on side mirrors")</f>
        <v>Blind spot indicators on side mirrors</v>
      </c>
      <c r="X2891" t="str">
        <f>IFERROR(__xludf.DUMMYFUNCTION("""COMPUTED_VALUE"""),"Good")</f>
        <v>Good</v>
      </c>
      <c r="Y2891" t="str">
        <f>IFERROR(__xludf.DUMMYFUNCTION("""COMPUTED_VALUE"""),"Excellent")</f>
        <v>Excellent</v>
      </c>
      <c r="Z2891" t="str">
        <f>IFERROR(__xludf.DUMMYFUNCTION("""COMPUTED_VALUE"""),"Excellent")</f>
        <v>Excellent</v>
      </c>
      <c r="AA2891" t="str">
        <f>IFERROR(__xludf.DUMMYFUNCTION("""COMPUTED_VALUE"""),"Fair")</f>
        <v>Fair</v>
      </c>
      <c r="AB2891" t="str">
        <f>IFERROR(__xludf.DUMMYFUNCTION("""COMPUTED_VALUE"""),"Very Good")</f>
        <v>Very Good</v>
      </c>
      <c r="AC2891">
        <f>IFERROR(__xludf.DUMMYFUNCTION("""COMPUTED_VALUE"""),3.0)</f>
        <v>3</v>
      </c>
      <c r="AF2891" t="str">
        <f>IFERROR(__xludf.DUMMYFUNCTION("""COMPUTED_VALUE"""),"No. I took delivery of the first car Tesla was able to deliver.")</f>
        <v>No. I took delivery of the first car Tesla was able to deliver.</v>
      </c>
      <c r="AH2891" s="189">
        <f>IFERROR(__xludf.DUMMYFUNCTION("""COMPUTED_VALUE"""),44355.66602524306)</f>
        <v>44355.66603</v>
      </c>
    </row>
    <row r="2892">
      <c r="A2892" t="str">
        <f>IFERROR(__xludf.DUMMYFUNCTION("""COMPUTED_VALUE"""),"mattjw")</f>
        <v>mattjw</v>
      </c>
      <c r="B2892" t="str">
        <f>IFERROR(__xludf.DUMMYFUNCTION("""COMPUTED_VALUE"""),"Brentwood")</f>
        <v>Brentwood</v>
      </c>
      <c r="C2892" t="str">
        <f>IFERROR(__xludf.DUMMYFUNCTION("""COMPUTED_VALUE"""),"CA")</f>
        <v>CA</v>
      </c>
      <c r="D2892" t="str">
        <f>IFERROR(__xludf.DUMMYFUNCTION("""COMPUTED_VALUE"""),"USA")</f>
        <v>USA</v>
      </c>
      <c r="E2892" s="188">
        <f>IFERROR(__xludf.DUMMYFUNCTION("""COMPUTED_VALUE"""),44315.0)</f>
        <v>44315</v>
      </c>
      <c r="F2892" s="188">
        <f>IFERROR(__xludf.DUMMYFUNCTION("""COMPUTED_VALUE"""),44372.0)</f>
        <v>44372</v>
      </c>
      <c r="G2892" t="str">
        <f>IFERROR(__xludf.DUMMYFUNCTION("""COMPUTED_VALUE"""),"Manage order page (normal text)")</f>
        <v>Manage order page (normal text)</v>
      </c>
      <c r="H2892">
        <f>IFERROR(__xludf.DUMMYFUNCTION("""COMPUTED_VALUE"""),2661.0)</f>
        <v>2661</v>
      </c>
      <c r="J2892" s="188">
        <f>IFERROR(__xludf.DUMMYFUNCTION("""COMPUTED_VALUE"""),44373.0)</f>
        <v>44373</v>
      </c>
      <c r="K2892">
        <f>IFERROR(__xludf.DUMMYFUNCTION("""COMPUTED_VALUE"""),57.0)</f>
        <v>57</v>
      </c>
      <c r="L2892">
        <f>IFERROR(__xludf.DUMMYFUNCTION("""COMPUTED_VALUE"""),1.0)</f>
        <v>1</v>
      </c>
      <c r="M2892">
        <f>IFERROR(__xludf.DUMMYFUNCTION("""COMPUTED_VALUE"""),58.0)</f>
        <v>58</v>
      </c>
      <c r="N2892" t="str">
        <f>IFERROR(__xludf.DUMMYFUNCTION("""COMPUTED_VALUE"""),"Model 3 SR+")</f>
        <v>Model 3 SR+</v>
      </c>
      <c r="O2892" t="str">
        <f>IFERROR(__xludf.DUMMYFUNCTION("""COMPUTED_VALUE"""),"Pearl White Multi-Coat")</f>
        <v>Pearl White Multi-Coat</v>
      </c>
      <c r="P2892" t="str">
        <f>IFERROR(__xludf.DUMMYFUNCTION("""COMPUTED_VALUE"""),"18 inch")</f>
        <v>18 inch</v>
      </c>
      <c r="Q2892" t="str">
        <f>IFERROR(__xludf.DUMMYFUNCTION("""COMPUTED_VALUE"""),"All Black")</f>
        <v>All Black</v>
      </c>
      <c r="R2892" t="str">
        <f>IFERROR(__xludf.DUMMYFUNCTION("""COMPUTED_VALUE"""),"Autopilot included")</f>
        <v>Autopilot included</v>
      </c>
      <c r="S2892" t="str">
        <f>IFERROR(__xludf.DUMMYFUNCTION("""COMPUTED_VALUE"""),"Loan")</f>
        <v>Loan</v>
      </c>
      <c r="T2892" t="str">
        <f>IFERROR(__xludf.DUMMYFUNCTION("""COMPUTED_VALUE"""),"Ford F-150")</f>
        <v>Ford F-150</v>
      </c>
      <c r="U2892" t="str">
        <f>IFERROR(__xludf.DUMMYFUNCTION("""COMPUTED_VALUE"""),"Electric!")</f>
        <v>Electric!</v>
      </c>
      <c r="V2892" t="str">
        <f>IFERROR(__xludf.DUMMYFUNCTION("""COMPUTED_VALUE"""),"Apple CarPlay / Android Auto / SiriusXM Radio")</f>
        <v>Apple CarPlay / Android Auto / SiriusXM Radio</v>
      </c>
      <c r="X2892" t="str">
        <f>IFERROR(__xludf.DUMMYFUNCTION("""COMPUTED_VALUE"""),"Very Good")</f>
        <v>Very Good</v>
      </c>
      <c r="Y2892" t="str">
        <f>IFERROR(__xludf.DUMMYFUNCTION("""COMPUTED_VALUE"""),"Fair")</f>
        <v>Fair</v>
      </c>
      <c r="Z2892" t="str">
        <f>IFERROR(__xludf.DUMMYFUNCTION("""COMPUTED_VALUE"""),"Fair")</f>
        <v>Fair</v>
      </c>
      <c r="AA2892" t="str">
        <f>IFERROR(__xludf.DUMMYFUNCTION("""COMPUTED_VALUE"""),"Fair")</f>
        <v>Fair</v>
      </c>
      <c r="AB2892" t="str">
        <f>IFERROR(__xludf.DUMMYFUNCTION("""COMPUTED_VALUE"""),"Fair")</f>
        <v>Fair</v>
      </c>
      <c r="AH2892" s="189">
        <f>IFERROR(__xludf.DUMMYFUNCTION("""COMPUTED_VALUE"""),44374.95630777778)</f>
        <v>44374.95631</v>
      </c>
    </row>
    <row r="2893">
      <c r="A2893" t="str">
        <f>IFERROR(__xludf.DUMMYFUNCTION("""COMPUTED_VALUE"""),"Syluncer")</f>
        <v>Syluncer</v>
      </c>
      <c r="B2893" t="str">
        <f>IFERROR(__xludf.DUMMYFUNCTION("""COMPUTED_VALUE"""),"Richmond")</f>
        <v>Richmond</v>
      </c>
      <c r="C2893" t="str">
        <f>IFERROR(__xludf.DUMMYFUNCTION("""COMPUTED_VALUE"""),"VA")</f>
        <v>VA</v>
      </c>
      <c r="D2893" t="str">
        <f>IFERROR(__xludf.DUMMYFUNCTION("""COMPUTED_VALUE"""),"USA")</f>
        <v>USA</v>
      </c>
      <c r="E2893" s="188">
        <f>IFERROR(__xludf.DUMMYFUNCTION("""COMPUTED_VALUE"""),44310.0)</f>
        <v>44310</v>
      </c>
      <c r="F2893" s="188">
        <f>IFERROR(__xludf.DUMMYFUNCTION("""COMPUTED_VALUE"""),44333.0)</f>
        <v>44333</v>
      </c>
      <c r="G2893" t="str">
        <f>IFERROR(__xludf.DUMMYFUNCTION("""COMPUTED_VALUE"""),"Manage order page (normal text)")</f>
        <v>Manage order page (normal text)</v>
      </c>
      <c r="H2893">
        <f>IFERROR(__xludf.DUMMYFUNCTION("""COMPUTED_VALUE"""),960655.0)</f>
        <v>960655</v>
      </c>
      <c r="I2893" t="str">
        <f>IFERROR(__xludf.DUMMYFUNCTION("""COMPUTED_VALUE"""),"04/21")</f>
        <v>04/21</v>
      </c>
      <c r="J2893" s="188">
        <f>IFERROR(__xludf.DUMMYFUNCTION("""COMPUTED_VALUE"""),44334.0)</f>
        <v>44334</v>
      </c>
      <c r="K2893">
        <f>IFERROR(__xludf.DUMMYFUNCTION("""COMPUTED_VALUE"""),23.0)</f>
        <v>23</v>
      </c>
      <c r="L2893">
        <f>IFERROR(__xludf.DUMMYFUNCTION("""COMPUTED_VALUE"""),1.0)</f>
        <v>1</v>
      </c>
      <c r="M2893">
        <f>IFERROR(__xludf.DUMMYFUNCTION("""COMPUTED_VALUE"""),24.0)</f>
        <v>24</v>
      </c>
      <c r="N2893" t="str">
        <f>IFERROR(__xludf.DUMMYFUNCTION("""COMPUTED_VALUE"""),"Model 3 LR AWD")</f>
        <v>Model 3 LR AWD</v>
      </c>
      <c r="O2893" t="str">
        <f>IFERROR(__xludf.DUMMYFUNCTION("""COMPUTED_VALUE"""),"Solid Black")</f>
        <v>Solid Black</v>
      </c>
      <c r="P2893" t="str">
        <f>IFERROR(__xludf.DUMMYFUNCTION("""COMPUTED_VALUE"""),"18 inch")</f>
        <v>18 inch</v>
      </c>
      <c r="Q2893" t="str">
        <f>IFERROR(__xludf.DUMMYFUNCTION("""COMPUTED_VALUE"""),"All Black")</f>
        <v>All Black</v>
      </c>
      <c r="R2893" t="str">
        <f>IFERROR(__xludf.DUMMYFUNCTION("""COMPUTED_VALUE"""),"Full Self-Driving")</f>
        <v>Full Self-Driving</v>
      </c>
      <c r="S2893" t="str">
        <f>IFERROR(__xludf.DUMMYFUNCTION("""COMPUTED_VALUE"""),"Loan")</f>
        <v>Loan</v>
      </c>
      <c r="U2893" t="str">
        <f>IFERROR(__xludf.DUMMYFUNCTION("""COMPUTED_VALUE"""),"Electric!")</f>
        <v>Electric!</v>
      </c>
      <c r="V2893" t="str">
        <f>IFERROR(__xludf.DUMMYFUNCTION("""COMPUTED_VALUE"""),"Apple CarPlay / Android Auto / SiriusXM Radio")</f>
        <v>Apple CarPlay / Android Auto / SiriusXM Radio</v>
      </c>
      <c r="X2893" t="str">
        <f>IFERROR(__xludf.DUMMYFUNCTION("""COMPUTED_VALUE"""),"Very Good")</f>
        <v>Very Good</v>
      </c>
      <c r="Y2893" t="str">
        <f>IFERROR(__xludf.DUMMYFUNCTION("""COMPUTED_VALUE"""),"Excellent")</f>
        <v>Excellent</v>
      </c>
      <c r="Z2893" t="str">
        <f>IFERROR(__xludf.DUMMYFUNCTION("""COMPUTED_VALUE"""),"Excellent")</f>
        <v>Excellent</v>
      </c>
      <c r="AA2893" t="str">
        <f>IFERROR(__xludf.DUMMYFUNCTION("""COMPUTED_VALUE"""),"Excellent")</f>
        <v>Excellent</v>
      </c>
      <c r="AB2893" t="str">
        <f>IFERROR(__xludf.DUMMYFUNCTION("""COMPUTED_VALUE"""),"Excellent")</f>
        <v>Excellent</v>
      </c>
      <c r="AH2893" s="189">
        <f>IFERROR(__xludf.DUMMYFUNCTION("""COMPUTED_VALUE"""),44334.50797922454)</f>
        <v>44334.50798</v>
      </c>
    </row>
    <row r="2894">
      <c r="A2894" t="str">
        <f>IFERROR(__xludf.DUMMYFUNCTION("""COMPUTED_VALUE"""),"Frank9425")</f>
        <v>Frank9425</v>
      </c>
      <c r="B2894" t="str">
        <f>IFERROR(__xludf.DUMMYFUNCTION("""COMPUTED_VALUE"""),"Venice")</f>
        <v>Venice</v>
      </c>
      <c r="C2894" t="str">
        <f>IFERROR(__xludf.DUMMYFUNCTION("""COMPUTED_VALUE"""),"FL")</f>
        <v>FL</v>
      </c>
      <c r="D2894" t="str">
        <f>IFERROR(__xludf.DUMMYFUNCTION("""COMPUTED_VALUE"""),"USA")</f>
        <v>USA</v>
      </c>
      <c r="E2894" s="188">
        <f>IFERROR(__xludf.DUMMYFUNCTION("""COMPUTED_VALUE"""),44308.0)</f>
        <v>44308</v>
      </c>
      <c r="F2894" s="188">
        <f>IFERROR(__xludf.DUMMYFUNCTION("""COMPUTED_VALUE"""),44345.0)</f>
        <v>44345</v>
      </c>
      <c r="G2894" t="str">
        <f>IFERROR(__xludf.DUMMYFUNCTION("""COMPUTED_VALUE"""),"Source code")</f>
        <v>Source code</v>
      </c>
      <c r="H2894">
        <f>IFERROR(__xludf.DUMMYFUNCTION("""COMPUTED_VALUE"""),978055.0)</f>
        <v>978055</v>
      </c>
      <c r="I2894" t="str">
        <f>IFERROR(__xludf.DUMMYFUNCTION("""COMPUTED_VALUE"""),"05/21")</f>
        <v>05/21</v>
      </c>
      <c r="J2894" s="188">
        <f>IFERROR(__xludf.DUMMYFUNCTION("""COMPUTED_VALUE"""),44362.0)</f>
        <v>44362</v>
      </c>
      <c r="K2894">
        <f>IFERROR(__xludf.DUMMYFUNCTION("""COMPUTED_VALUE"""),37.0)</f>
        <v>37</v>
      </c>
      <c r="L2894">
        <f>IFERROR(__xludf.DUMMYFUNCTION("""COMPUTED_VALUE"""),17.0)</f>
        <v>17</v>
      </c>
      <c r="M2894">
        <f>IFERROR(__xludf.DUMMYFUNCTION("""COMPUTED_VALUE"""),54.0)</f>
        <v>54</v>
      </c>
      <c r="N2894" t="str">
        <f>IFERROR(__xludf.DUMMYFUNCTION("""COMPUTED_VALUE"""),"Model 3 SR+")</f>
        <v>Model 3 SR+</v>
      </c>
      <c r="O2894" t="str">
        <f>IFERROR(__xludf.DUMMYFUNCTION("""COMPUTED_VALUE"""),"Deep Blue Metallic")</f>
        <v>Deep Blue Metallic</v>
      </c>
      <c r="P2894" t="str">
        <f>IFERROR(__xludf.DUMMYFUNCTION("""COMPUTED_VALUE"""),"19 inch")</f>
        <v>19 inch</v>
      </c>
      <c r="Q2894" t="str">
        <f>IFERROR(__xludf.DUMMYFUNCTION("""COMPUTED_VALUE"""),"Black and White")</f>
        <v>Black and White</v>
      </c>
      <c r="R2894" t="str">
        <f>IFERROR(__xludf.DUMMYFUNCTION("""COMPUTED_VALUE"""),"Autopilot included")</f>
        <v>Autopilot included</v>
      </c>
      <c r="S2894" t="str">
        <f>IFERROR(__xludf.DUMMYFUNCTION("""COMPUTED_VALUE"""),"Loan")</f>
        <v>Loan</v>
      </c>
      <c r="T2894" t="str">
        <f>IFERROR(__xludf.DUMMYFUNCTION("""COMPUTED_VALUE"""),"Hyundai Ioniq")</f>
        <v>Hyundai Ioniq</v>
      </c>
      <c r="U2894" t="str">
        <f>IFERROR(__xludf.DUMMYFUNCTION("""COMPUTED_VALUE"""),"Electric!")</f>
        <v>Electric!</v>
      </c>
      <c r="V2894" t="str">
        <f>IFERROR(__xludf.DUMMYFUNCTION("""COMPUTED_VALUE"""),"Blind spot indicators on side mirrors")</f>
        <v>Blind spot indicators on side mirrors</v>
      </c>
      <c r="W2894" t="str">
        <f>IFERROR(__xludf.DUMMYFUNCTION("""COMPUTED_VALUE"""),"White door panels and white dashboard came with my white seats.  I would have preferred the wood-style panels and dashboard.")</f>
        <v>White door panels and white dashboard came with my white seats.  I would have preferred the wood-style panels and dashboard.</v>
      </c>
      <c r="X2894" t="str">
        <f>IFERROR(__xludf.DUMMYFUNCTION("""COMPUTED_VALUE"""),"Excellent")</f>
        <v>Excellent</v>
      </c>
      <c r="Y2894" t="str">
        <f>IFERROR(__xludf.DUMMYFUNCTION("""COMPUTED_VALUE"""),"Excellent")</f>
        <v>Excellent</v>
      </c>
      <c r="Z2894" t="str">
        <f>IFERROR(__xludf.DUMMYFUNCTION("""COMPUTED_VALUE"""),"Excellent")</f>
        <v>Excellent</v>
      </c>
      <c r="AA2894" t="str">
        <f>IFERROR(__xludf.DUMMYFUNCTION("""COMPUTED_VALUE"""),"Excellent")</f>
        <v>Excellent</v>
      </c>
      <c r="AB2894" t="str">
        <f>IFERROR(__xludf.DUMMYFUNCTION("""COMPUTED_VALUE"""),"Excellent")</f>
        <v>Excellent</v>
      </c>
      <c r="AC2894">
        <f>IFERROR(__xludf.DUMMYFUNCTION("""COMPUTED_VALUE"""),0.0)</f>
        <v>0</v>
      </c>
      <c r="AD2894">
        <f>IFERROR(__xludf.DUMMYFUNCTION("""COMPUTED_VALUE"""),0.0)</f>
        <v>0</v>
      </c>
      <c r="AE2894">
        <f>IFERROR(__xludf.DUMMYFUNCTION("""COMPUTED_VALUE"""),0.0)</f>
        <v>0</v>
      </c>
      <c r="AF2894" t="str">
        <f>IFERROR(__xludf.DUMMYFUNCTION("""COMPUTED_VALUE"""),"No. I took delivery of the first car Tesla was able to deliver.")</f>
        <v>No. I took delivery of the first car Tesla was able to deliver.</v>
      </c>
      <c r="AH2894" s="189">
        <f>IFERROR(__xludf.DUMMYFUNCTION("""COMPUTED_VALUE"""),44364.88109851852)</f>
        <v>44364.8811</v>
      </c>
    </row>
    <row r="2895">
      <c r="A2895" t="str">
        <f>IFERROR(__xludf.DUMMYFUNCTION("""COMPUTED_VALUE"""),"EDMfam")</f>
        <v>EDMfam</v>
      </c>
      <c r="B2895" t="str">
        <f>IFERROR(__xludf.DUMMYFUNCTION("""COMPUTED_VALUE"""),"Edmonton")</f>
        <v>Edmonton</v>
      </c>
      <c r="C2895" t="str">
        <f>IFERROR(__xludf.DUMMYFUNCTION("""COMPUTED_VALUE"""),"AB")</f>
        <v>AB</v>
      </c>
      <c r="D2895" t="str">
        <f>IFERROR(__xludf.DUMMYFUNCTION("""COMPUTED_VALUE"""),"Canada")</f>
        <v>Canada</v>
      </c>
      <c r="E2895" s="188">
        <f>IFERROR(__xludf.DUMMYFUNCTION("""COMPUTED_VALUE"""),44309.0)</f>
        <v>44309</v>
      </c>
      <c r="F2895" s="188">
        <f>IFERROR(__xludf.DUMMYFUNCTION("""COMPUTED_VALUE"""),44347.0)</f>
        <v>44347</v>
      </c>
      <c r="G2895" t="str">
        <f>IFERROR(__xludf.DUMMYFUNCTION("""COMPUTED_VALUE"""),"Source code")</f>
        <v>Source code</v>
      </c>
      <c r="H2895">
        <f>IFERROR(__xludf.DUMMYFUNCTION("""COMPUTED_VALUE"""),981655.0)</f>
        <v>981655</v>
      </c>
      <c r="J2895" s="188">
        <f>IFERROR(__xludf.DUMMYFUNCTION("""COMPUTED_VALUE"""),44357.0)</f>
        <v>44357</v>
      </c>
      <c r="K2895">
        <f>IFERROR(__xludf.DUMMYFUNCTION("""COMPUTED_VALUE"""),38.0)</f>
        <v>38</v>
      </c>
      <c r="L2895">
        <f>IFERROR(__xludf.DUMMYFUNCTION("""COMPUTED_VALUE"""),10.0)</f>
        <v>10</v>
      </c>
      <c r="M2895">
        <f>IFERROR(__xludf.DUMMYFUNCTION("""COMPUTED_VALUE"""),48.0)</f>
        <v>48</v>
      </c>
      <c r="N2895" t="str">
        <f>IFERROR(__xludf.DUMMYFUNCTION("""COMPUTED_VALUE"""),"Model 3 SR+")</f>
        <v>Model 3 SR+</v>
      </c>
      <c r="O2895" t="str">
        <f>IFERROR(__xludf.DUMMYFUNCTION("""COMPUTED_VALUE"""),"Midnight Silver Metallic")</f>
        <v>Midnight Silver Metallic</v>
      </c>
      <c r="P2895" t="str">
        <f>IFERROR(__xludf.DUMMYFUNCTION("""COMPUTED_VALUE"""),"18 inch")</f>
        <v>18 inch</v>
      </c>
      <c r="Q2895" t="str">
        <f>IFERROR(__xludf.DUMMYFUNCTION("""COMPUTED_VALUE"""),"All Black")</f>
        <v>All Black</v>
      </c>
      <c r="R2895" t="str">
        <f>IFERROR(__xludf.DUMMYFUNCTION("""COMPUTED_VALUE"""),"Autopilot included")</f>
        <v>Autopilot included</v>
      </c>
      <c r="S2895" t="str">
        <f>IFERROR(__xludf.DUMMYFUNCTION("""COMPUTED_VALUE"""),"Loan")</f>
        <v>Loan</v>
      </c>
      <c r="T2895" t="str">
        <f>IFERROR(__xludf.DUMMYFUNCTION("""COMPUTED_VALUE"""),"Jeep Wrangler Unltd Sahara")</f>
        <v>Jeep Wrangler Unltd Sahara</v>
      </c>
      <c r="U2895" t="str">
        <f>IFERROR(__xludf.DUMMYFUNCTION("""COMPUTED_VALUE"""),"Electric!")</f>
        <v>Electric!</v>
      </c>
      <c r="V2895" t="str">
        <f>IFERROR(__xludf.DUMMYFUNCTION("""COMPUTED_VALUE"""),"Blind spot indicators on side mirrors")</f>
        <v>Blind spot indicators on side mirrors</v>
      </c>
      <c r="X2895" t="str">
        <f>IFERROR(__xludf.DUMMYFUNCTION("""COMPUTED_VALUE"""),"Excellent")</f>
        <v>Excellent</v>
      </c>
      <c r="Y2895" t="str">
        <f>IFERROR(__xludf.DUMMYFUNCTION("""COMPUTED_VALUE"""),"Excellent")</f>
        <v>Excellent</v>
      </c>
      <c r="Z2895" t="str">
        <f>IFERROR(__xludf.DUMMYFUNCTION("""COMPUTED_VALUE"""),"Excellent")</f>
        <v>Excellent</v>
      </c>
      <c r="AA2895" t="str">
        <f>IFERROR(__xludf.DUMMYFUNCTION("""COMPUTED_VALUE"""),"Excellent")</f>
        <v>Excellent</v>
      </c>
      <c r="AB2895" t="str">
        <f>IFERROR(__xludf.DUMMYFUNCTION("""COMPUTED_VALUE"""),"Excellent")</f>
        <v>Excellent</v>
      </c>
      <c r="AF2895" t="str">
        <f>IFERROR(__xludf.DUMMYFUNCTION("""COMPUTED_VALUE"""),"No. I took delivery of the first car Tesla was able to deliver.")</f>
        <v>No. I took delivery of the first car Tesla was able to deliver.</v>
      </c>
      <c r="AG2895" t="str">
        <f>IFERROR(__xludf.DUMMYFUNCTION("""COMPUTED_VALUE"""),"On May 13th received new delivery timeframe: May 25 - June 14. Now updated to June 1 - 5 Delivery timeframe.")</f>
        <v>On May 13th received new delivery timeframe: May 25 - June 14. Now updated to June 1 - 5 Delivery timeframe.</v>
      </c>
      <c r="AH2895" s="189">
        <f>IFERROR(__xludf.DUMMYFUNCTION("""COMPUTED_VALUE"""),44358.36577380787)</f>
        <v>44358.36577</v>
      </c>
    </row>
    <row r="2896">
      <c r="A2896" t="str">
        <f>IFERROR(__xludf.DUMMYFUNCTION("""COMPUTED_VALUE"""),"bitranch")</f>
        <v>bitranch</v>
      </c>
      <c r="B2896" t="str">
        <f>IFERROR(__xludf.DUMMYFUNCTION("""COMPUTED_VALUE"""),"Scottsdale")</f>
        <v>Scottsdale</v>
      </c>
      <c r="C2896" t="str">
        <f>IFERROR(__xludf.DUMMYFUNCTION("""COMPUTED_VALUE"""),"AZ")</f>
        <v>AZ</v>
      </c>
      <c r="D2896" t="str">
        <f>IFERROR(__xludf.DUMMYFUNCTION("""COMPUTED_VALUE"""),"USA")</f>
        <v>USA</v>
      </c>
      <c r="E2896" s="188">
        <f>IFERROR(__xludf.DUMMYFUNCTION("""COMPUTED_VALUE"""),44303.0)</f>
        <v>44303</v>
      </c>
      <c r="F2896" s="188">
        <f>IFERROR(__xludf.DUMMYFUNCTION("""COMPUTED_VALUE"""),44365.0)</f>
        <v>44365</v>
      </c>
      <c r="G2896" t="str">
        <f>IFERROR(__xludf.DUMMYFUNCTION("""COMPUTED_VALUE"""),"Manage order page (normal text)")</f>
        <v>Manage order page (normal text)</v>
      </c>
      <c r="H2896">
        <f>IFERROR(__xludf.DUMMYFUNCTION("""COMPUTED_VALUE"""),999455.0)</f>
        <v>999455</v>
      </c>
      <c r="I2896" t="str">
        <f>IFERROR(__xludf.DUMMYFUNCTION("""COMPUTED_VALUE"""),"06/21")</f>
        <v>06/21</v>
      </c>
      <c r="J2896" s="188">
        <f>IFERROR(__xludf.DUMMYFUNCTION("""COMPUTED_VALUE"""),44372.0)</f>
        <v>44372</v>
      </c>
      <c r="K2896">
        <f>IFERROR(__xludf.DUMMYFUNCTION("""COMPUTED_VALUE"""),62.0)</f>
        <v>62</v>
      </c>
      <c r="L2896">
        <f>IFERROR(__xludf.DUMMYFUNCTION("""COMPUTED_VALUE"""),7.0)</f>
        <v>7</v>
      </c>
      <c r="M2896">
        <f>IFERROR(__xludf.DUMMYFUNCTION("""COMPUTED_VALUE"""),69.0)</f>
        <v>69</v>
      </c>
      <c r="N2896" t="str">
        <f>IFERROR(__xludf.DUMMYFUNCTION("""COMPUTED_VALUE"""),"Model 3 LR AWD")</f>
        <v>Model 3 LR AWD</v>
      </c>
      <c r="O2896" t="str">
        <f>IFERROR(__xludf.DUMMYFUNCTION("""COMPUTED_VALUE"""),"Red Multi-Coat")</f>
        <v>Red Multi-Coat</v>
      </c>
      <c r="P2896" t="str">
        <f>IFERROR(__xludf.DUMMYFUNCTION("""COMPUTED_VALUE"""),"18 inch")</f>
        <v>18 inch</v>
      </c>
      <c r="Q2896" t="str">
        <f>IFERROR(__xludf.DUMMYFUNCTION("""COMPUTED_VALUE"""),"Black and White")</f>
        <v>Black and White</v>
      </c>
      <c r="R2896" t="str">
        <f>IFERROR(__xludf.DUMMYFUNCTION("""COMPUTED_VALUE"""),"Full Self-Driving")</f>
        <v>Full Self-Driving</v>
      </c>
      <c r="S2896" t="str">
        <f>IFERROR(__xludf.DUMMYFUNCTION("""COMPUTED_VALUE"""),"Loan")</f>
        <v>Loan</v>
      </c>
      <c r="T2896" t="str">
        <f>IFERROR(__xludf.DUMMYFUNCTION("""COMPUTED_VALUE"""),"BMW 3 Series")</f>
        <v>BMW 3 Series</v>
      </c>
      <c r="U2896" t="str">
        <f>IFERROR(__xludf.DUMMYFUNCTION("""COMPUTED_VALUE"""),"Tesla brand image")</f>
        <v>Tesla brand image</v>
      </c>
      <c r="V2896" t="str">
        <f>IFERROR(__xludf.DUMMYFUNCTION("""COMPUTED_VALUE"""),"Apple CarPlay / Android Auto / SiriusXM Radio")</f>
        <v>Apple CarPlay / Android Auto / SiriusXM Radio</v>
      </c>
      <c r="X2896" t="str">
        <f>IFERROR(__xludf.DUMMYFUNCTION("""COMPUTED_VALUE"""),"Excellent")</f>
        <v>Excellent</v>
      </c>
      <c r="Y2896" t="str">
        <f>IFERROR(__xludf.DUMMYFUNCTION("""COMPUTED_VALUE"""),"Excellent")</f>
        <v>Excellent</v>
      </c>
      <c r="Z2896" t="str">
        <f>IFERROR(__xludf.DUMMYFUNCTION("""COMPUTED_VALUE"""),"Excellent")</f>
        <v>Excellent</v>
      </c>
      <c r="AA2896" t="str">
        <f>IFERROR(__xludf.DUMMYFUNCTION("""COMPUTED_VALUE"""),"Very Good")</f>
        <v>Very Good</v>
      </c>
      <c r="AB2896" t="str">
        <f>IFERROR(__xludf.DUMMYFUNCTION("""COMPUTED_VALUE"""),"Excellent")</f>
        <v>Excellent</v>
      </c>
      <c r="AC2896">
        <f>IFERROR(__xludf.DUMMYFUNCTION("""COMPUTED_VALUE"""),1.0)</f>
        <v>1</v>
      </c>
      <c r="AD2896">
        <f>IFERROR(__xludf.DUMMYFUNCTION("""COMPUTED_VALUE"""),1.0)</f>
        <v>1</v>
      </c>
      <c r="AE2896">
        <f>IFERROR(__xludf.DUMMYFUNCTION("""COMPUTED_VALUE"""),0.0)</f>
        <v>0</v>
      </c>
      <c r="AF2896" t="str">
        <f>IFERROR(__xludf.DUMMYFUNCTION("""COMPUTED_VALUE"""),"No. I took delivery of the first car Tesla was able to deliver.")</f>
        <v>No. I took delivery of the first car Tesla was able to deliver.</v>
      </c>
      <c r="AH2896" s="189">
        <f>IFERROR(__xludf.DUMMYFUNCTION("""COMPUTED_VALUE"""),44395.422943576385)</f>
        <v>44395.42294</v>
      </c>
    </row>
    <row r="2897">
      <c r="A2897" t="str">
        <f>IFERROR(__xludf.DUMMYFUNCTION("""COMPUTED_VALUE"""),"Jimmyvegas")</f>
        <v>Jimmyvegas</v>
      </c>
      <c r="B2897" t="str">
        <f>IFERROR(__xludf.DUMMYFUNCTION("""COMPUTED_VALUE"""),"Kingwood")</f>
        <v>Kingwood</v>
      </c>
      <c r="C2897" t="str">
        <f>IFERROR(__xludf.DUMMYFUNCTION("""COMPUTED_VALUE"""),"TX")</f>
        <v>TX</v>
      </c>
      <c r="D2897" t="str">
        <f>IFERROR(__xludf.DUMMYFUNCTION("""COMPUTED_VALUE"""),"USA")</f>
        <v>USA</v>
      </c>
      <c r="E2897" s="188">
        <f>IFERROR(__xludf.DUMMYFUNCTION("""COMPUTED_VALUE"""),44375.0)</f>
        <v>44375</v>
      </c>
      <c r="F2897" s="188">
        <f>IFERROR(__xludf.DUMMYFUNCTION("""COMPUTED_VALUE"""),44397.0)</f>
        <v>44397</v>
      </c>
      <c r="G2897" t="str">
        <f>IFERROR(__xludf.DUMMYFUNCTION("""COMPUTED_VALUE"""),"Manage order page (normal text)")</f>
        <v>Manage order page (normal text)</v>
      </c>
      <c r="H2897">
        <f>IFERROR(__xludf.DUMMYFUNCTION("""COMPUTED_VALUE"""),13355.0)</f>
        <v>13355</v>
      </c>
      <c r="I2897" t="str">
        <f>IFERROR(__xludf.DUMMYFUNCTION("""COMPUTED_VALUE"""),"07/21")</f>
        <v>07/21</v>
      </c>
      <c r="J2897" s="188">
        <f>IFERROR(__xludf.DUMMYFUNCTION("""COMPUTED_VALUE"""),44411.0)</f>
        <v>44411</v>
      </c>
      <c r="K2897">
        <f>IFERROR(__xludf.DUMMYFUNCTION("""COMPUTED_VALUE"""),22.0)</f>
        <v>22</v>
      </c>
      <c r="L2897">
        <f>IFERROR(__xludf.DUMMYFUNCTION("""COMPUTED_VALUE"""),14.0)</f>
        <v>14</v>
      </c>
      <c r="M2897">
        <f>IFERROR(__xludf.DUMMYFUNCTION("""COMPUTED_VALUE"""),36.0)</f>
        <v>36</v>
      </c>
      <c r="N2897" t="str">
        <f>IFERROR(__xludf.DUMMYFUNCTION("""COMPUTED_VALUE"""),"Model 3 Performance")</f>
        <v>Model 3 Performance</v>
      </c>
      <c r="O2897" t="str">
        <f>IFERROR(__xludf.DUMMYFUNCTION("""COMPUTED_VALUE"""),"Deep Blue Metallic")</f>
        <v>Deep Blue Metallic</v>
      </c>
      <c r="P2897" t="str">
        <f>IFERROR(__xludf.DUMMYFUNCTION("""COMPUTED_VALUE"""),"20 inch")</f>
        <v>20 inch</v>
      </c>
      <c r="Q2897" t="str">
        <f>IFERROR(__xludf.DUMMYFUNCTION("""COMPUTED_VALUE"""),"Black and White")</f>
        <v>Black and White</v>
      </c>
      <c r="R2897" t="str">
        <f>IFERROR(__xludf.DUMMYFUNCTION("""COMPUTED_VALUE"""),"Autopilot included")</f>
        <v>Autopilot included</v>
      </c>
      <c r="S2897" t="str">
        <f>IFERROR(__xludf.DUMMYFUNCTION("""COMPUTED_VALUE"""),"Loan")</f>
        <v>Loan</v>
      </c>
      <c r="T2897" t="str">
        <f>IFERROR(__xludf.DUMMYFUNCTION("""COMPUTED_VALUE"""),"Cadillac XT4")</f>
        <v>Cadillac XT4</v>
      </c>
      <c r="U2897" t="str">
        <f>IFERROR(__xludf.DUMMYFUNCTION("""COMPUTED_VALUE"""),"0-60 Time")</f>
        <v>0-60 Time</v>
      </c>
      <c r="V2897" t="str">
        <f>IFERROR(__xludf.DUMMYFUNCTION("""COMPUTED_VALUE"""),"360° Bird's eye view")</f>
        <v>360° Bird's eye view</v>
      </c>
      <c r="X2897" t="str">
        <f>IFERROR(__xludf.DUMMYFUNCTION("""COMPUTED_VALUE"""),"Excellent")</f>
        <v>Excellent</v>
      </c>
      <c r="Y2897" t="str">
        <f>IFERROR(__xludf.DUMMYFUNCTION("""COMPUTED_VALUE"""),"Excellent")</f>
        <v>Excellent</v>
      </c>
      <c r="Z2897" t="str">
        <f>IFERROR(__xludf.DUMMYFUNCTION("""COMPUTED_VALUE"""),"Good")</f>
        <v>Good</v>
      </c>
      <c r="AA2897" t="str">
        <f>IFERROR(__xludf.DUMMYFUNCTION("""COMPUTED_VALUE"""),"Excellent")</f>
        <v>Excellent</v>
      </c>
      <c r="AB2897" t="str">
        <f>IFERROR(__xludf.DUMMYFUNCTION("""COMPUTED_VALUE"""),"Excellent")</f>
        <v>Excellent</v>
      </c>
      <c r="AC2897">
        <f>IFERROR(__xludf.DUMMYFUNCTION("""COMPUTED_VALUE"""),0.0)</f>
        <v>0</v>
      </c>
      <c r="AD2897">
        <f>IFERROR(__xludf.DUMMYFUNCTION("""COMPUTED_VALUE"""),0.0)</f>
        <v>0</v>
      </c>
      <c r="AE2897">
        <f>IFERROR(__xludf.DUMMYFUNCTION("""COMPUTED_VALUE"""),0.0)</f>
        <v>0</v>
      </c>
      <c r="AF2897" t="str">
        <f>IFERROR(__xludf.DUMMYFUNCTION("""COMPUTED_VALUE"""),"No. I took delivery of the first car Tesla was able to deliver.")</f>
        <v>No. I took delivery of the first car Tesla was able to deliver.</v>
      </c>
      <c r="AG2897" t="str">
        <f>IFERROR(__xludf.DUMMYFUNCTION("""COMPUTED_VALUE"""),"Couple of small scratched on paint and had to clean some interior stains. ")</f>
        <v>Couple of small scratched on paint and had to clean some interior stains. </v>
      </c>
      <c r="AH2897" s="189">
        <f>IFERROR(__xludf.DUMMYFUNCTION("""COMPUTED_VALUE"""),44413.412469710645)</f>
        <v>44413.41247</v>
      </c>
    </row>
    <row r="2898">
      <c r="A2898" t="str">
        <f>IFERROR(__xludf.DUMMYFUNCTION("""COMPUTED_VALUE"""),"dave2303")</f>
        <v>dave2303</v>
      </c>
      <c r="B2898" t="str">
        <f>IFERROR(__xludf.DUMMYFUNCTION("""COMPUTED_VALUE"""),"San Ramon")</f>
        <v>San Ramon</v>
      </c>
      <c r="C2898" t="str">
        <f>IFERROR(__xludf.DUMMYFUNCTION("""COMPUTED_VALUE"""),"CA")</f>
        <v>CA</v>
      </c>
      <c r="D2898" t="str">
        <f>IFERROR(__xludf.DUMMYFUNCTION("""COMPUTED_VALUE"""),"USA")</f>
        <v>USA</v>
      </c>
      <c r="E2898" s="188">
        <f>IFERROR(__xludf.DUMMYFUNCTION("""COMPUTED_VALUE"""),44290.0)</f>
        <v>44290</v>
      </c>
      <c r="F2898" s="188">
        <f>IFERROR(__xludf.DUMMYFUNCTION("""COMPUTED_VALUE"""),44342.0)</f>
        <v>44342</v>
      </c>
      <c r="G2898" t="str">
        <f>IFERROR(__xludf.DUMMYFUNCTION("""COMPUTED_VALUE"""),"Manage order page (normal text)")</f>
        <v>Manage order page (normal text)</v>
      </c>
      <c r="I2898" t="str">
        <f>IFERROR(__xludf.DUMMYFUNCTION("""COMPUTED_VALUE"""),"05/21")</f>
        <v>05/21</v>
      </c>
      <c r="J2898" s="188">
        <f>IFERROR(__xludf.DUMMYFUNCTION("""COMPUTED_VALUE"""),44346.0)</f>
        <v>44346</v>
      </c>
      <c r="K2898">
        <f>IFERROR(__xludf.DUMMYFUNCTION("""COMPUTED_VALUE"""),52.0)</f>
        <v>52</v>
      </c>
      <c r="L2898">
        <f>IFERROR(__xludf.DUMMYFUNCTION("""COMPUTED_VALUE"""),4.0)</f>
        <v>4</v>
      </c>
      <c r="M2898">
        <f>IFERROR(__xludf.DUMMYFUNCTION("""COMPUTED_VALUE"""),56.0)</f>
        <v>56</v>
      </c>
      <c r="N2898" t="str">
        <f>IFERROR(__xludf.DUMMYFUNCTION("""COMPUTED_VALUE"""),"Model 3 LR AWD")</f>
        <v>Model 3 LR AWD</v>
      </c>
      <c r="O2898" t="str">
        <f>IFERROR(__xludf.DUMMYFUNCTION("""COMPUTED_VALUE"""),"Pearl White Multi-Coat")</f>
        <v>Pearl White Multi-Coat</v>
      </c>
      <c r="P2898" t="str">
        <f>IFERROR(__xludf.DUMMYFUNCTION("""COMPUTED_VALUE"""),"18 inch")</f>
        <v>18 inch</v>
      </c>
      <c r="Q2898" t="str">
        <f>IFERROR(__xludf.DUMMYFUNCTION("""COMPUTED_VALUE"""),"All Black")</f>
        <v>All Black</v>
      </c>
      <c r="R2898" t="str">
        <f>IFERROR(__xludf.DUMMYFUNCTION("""COMPUTED_VALUE"""),"Autopilot included")</f>
        <v>Autopilot included</v>
      </c>
      <c r="S2898" t="str">
        <f>IFERROR(__xludf.DUMMYFUNCTION("""COMPUTED_VALUE"""),"Loan")</f>
        <v>Loan</v>
      </c>
      <c r="T2898" t="str">
        <f>IFERROR(__xludf.DUMMYFUNCTION("""COMPUTED_VALUE"""),"Nissan Altima hybrid, Acura MDX")</f>
        <v>Nissan Altima hybrid, Acura MDX</v>
      </c>
      <c r="U2898" t="str">
        <f>IFERROR(__xludf.DUMMYFUNCTION("""COMPUTED_VALUE"""),"Electric!")</f>
        <v>Electric!</v>
      </c>
      <c r="V2898" t="str">
        <f>IFERROR(__xludf.DUMMYFUNCTION("""COMPUTED_VALUE"""),"Apple CarPlay / Android Auto / SiriusXM Radio")</f>
        <v>Apple CarPlay / Android Auto / SiriusXM Radio</v>
      </c>
      <c r="X2898" t="str">
        <f>IFERROR(__xludf.DUMMYFUNCTION("""COMPUTED_VALUE"""),"Very Good")</f>
        <v>Very Good</v>
      </c>
      <c r="Y2898" t="str">
        <f>IFERROR(__xludf.DUMMYFUNCTION("""COMPUTED_VALUE"""),"Excellent")</f>
        <v>Excellent</v>
      </c>
      <c r="Z2898" t="str">
        <f>IFERROR(__xludf.DUMMYFUNCTION("""COMPUTED_VALUE"""),"Excellent")</f>
        <v>Excellent</v>
      </c>
      <c r="AA2898" t="str">
        <f>IFERROR(__xludf.DUMMYFUNCTION("""COMPUTED_VALUE"""),"Good")</f>
        <v>Good</v>
      </c>
      <c r="AB2898" t="str">
        <f>IFERROR(__xludf.DUMMYFUNCTION("""COMPUTED_VALUE"""),"Excellent")</f>
        <v>Excellent</v>
      </c>
      <c r="AF2898" t="str">
        <f>IFERROR(__xludf.DUMMYFUNCTION("""COMPUTED_VALUE"""),"No. I took delivery of the first car Tesla was able to deliver.")</f>
        <v>No. I took delivery of the first car Tesla was able to deliver.</v>
      </c>
      <c r="AH2898" s="189">
        <f>IFERROR(__xludf.DUMMYFUNCTION("""COMPUTED_VALUE"""),44347.741199745375)</f>
        <v>44347.7412</v>
      </c>
    </row>
    <row r="2899">
      <c r="A2899" t="str">
        <f>IFERROR(__xludf.DUMMYFUNCTION("""COMPUTED_VALUE"""),"woopwoop")</f>
        <v>woopwoop</v>
      </c>
      <c r="B2899" t="str">
        <f>IFERROR(__xludf.DUMMYFUNCTION("""COMPUTED_VALUE"""),"Thornton")</f>
        <v>Thornton</v>
      </c>
      <c r="C2899" t="str">
        <f>IFERROR(__xludf.DUMMYFUNCTION("""COMPUTED_VALUE"""),"CO")</f>
        <v>CO</v>
      </c>
      <c r="D2899" t="str">
        <f>IFERROR(__xludf.DUMMYFUNCTION("""COMPUTED_VALUE"""),"USA")</f>
        <v>USA</v>
      </c>
      <c r="E2899" s="188">
        <f>IFERROR(__xludf.DUMMYFUNCTION("""COMPUTED_VALUE"""),44297.0)</f>
        <v>44297</v>
      </c>
      <c r="F2899" s="188">
        <f>IFERROR(__xludf.DUMMYFUNCTION("""COMPUTED_VALUE"""),44345.0)</f>
        <v>44345</v>
      </c>
      <c r="G2899" t="str">
        <f>IFERROR(__xludf.DUMMYFUNCTION("""COMPUTED_VALUE"""),"Manage order page (normal text)")</f>
        <v>Manage order page (normal text)</v>
      </c>
      <c r="H2899">
        <f>IFERROR(__xludf.DUMMYFUNCTION("""COMPUTED_VALUE"""),979955.0)</f>
        <v>979955</v>
      </c>
      <c r="I2899" t="str">
        <f>IFERROR(__xludf.DUMMYFUNCTION("""COMPUTED_VALUE"""),"05/21")</f>
        <v>05/21</v>
      </c>
      <c r="J2899" s="188">
        <f>IFERROR(__xludf.DUMMYFUNCTION("""COMPUTED_VALUE"""),44354.0)</f>
        <v>44354</v>
      </c>
      <c r="K2899">
        <f>IFERROR(__xludf.DUMMYFUNCTION("""COMPUTED_VALUE"""),48.0)</f>
        <v>48</v>
      </c>
      <c r="L2899">
        <f>IFERROR(__xludf.DUMMYFUNCTION("""COMPUTED_VALUE"""),9.0)</f>
        <v>9</v>
      </c>
      <c r="M2899">
        <f>IFERROR(__xludf.DUMMYFUNCTION("""COMPUTED_VALUE"""),57.0)</f>
        <v>57</v>
      </c>
      <c r="N2899" t="str">
        <f>IFERROR(__xludf.DUMMYFUNCTION("""COMPUTED_VALUE"""),"Model 3 LR AWD")</f>
        <v>Model 3 LR AWD</v>
      </c>
      <c r="O2899" t="str">
        <f>IFERROR(__xludf.DUMMYFUNCTION("""COMPUTED_VALUE"""),"Pearl White Multi-Coat")</f>
        <v>Pearl White Multi-Coat</v>
      </c>
      <c r="P2899" t="str">
        <f>IFERROR(__xludf.DUMMYFUNCTION("""COMPUTED_VALUE"""),"18 inch")</f>
        <v>18 inch</v>
      </c>
      <c r="Q2899" t="str">
        <f>IFERROR(__xludf.DUMMYFUNCTION("""COMPUTED_VALUE"""),"All Black")</f>
        <v>All Black</v>
      </c>
      <c r="R2899" t="str">
        <f>IFERROR(__xludf.DUMMYFUNCTION("""COMPUTED_VALUE"""),"Autopilot included")</f>
        <v>Autopilot included</v>
      </c>
      <c r="S2899" t="str">
        <f>IFERROR(__xludf.DUMMYFUNCTION("""COMPUTED_VALUE"""),"Loan")</f>
        <v>Loan</v>
      </c>
      <c r="T2899" t="str">
        <f>IFERROR(__xludf.DUMMYFUNCTION("""COMPUTED_VALUE"""),"Model 3 will be my first car!")</f>
        <v>Model 3 will be my first car!</v>
      </c>
      <c r="U2899" t="str">
        <f>IFERROR(__xludf.DUMMYFUNCTION("""COMPUTED_VALUE"""),"Electric!")</f>
        <v>Electric!</v>
      </c>
      <c r="V2899" t="str">
        <f>IFERROR(__xludf.DUMMYFUNCTION("""COMPUTED_VALUE"""),"Blind spot indicators on side mirrors")</f>
        <v>Blind spot indicators on side mirrors</v>
      </c>
      <c r="X2899" t="str">
        <f>IFERROR(__xludf.DUMMYFUNCTION("""COMPUTED_VALUE"""),"Very Good")</f>
        <v>Very Good</v>
      </c>
      <c r="Y2899" t="str">
        <f>IFERROR(__xludf.DUMMYFUNCTION("""COMPUTED_VALUE"""),"Good")</f>
        <v>Good</v>
      </c>
      <c r="Z2899" t="str">
        <f>IFERROR(__xludf.DUMMYFUNCTION("""COMPUTED_VALUE"""),"Excellent")</f>
        <v>Excellent</v>
      </c>
      <c r="AA2899" t="str">
        <f>IFERROR(__xludf.DUMMYFUNCTION("""COMPUTED_VALUE"""),"Excellent")</f>
        <v>Excellent</v>
      </c>
      <c r="AB2899" t="str">
        <f>IFERROR(__xludf.DUMMYFUNCTION("""COMPUTED_VALUE"""),"Very Good")</f>
        <v>Very Good</v>
      </c>
      <c r="AF2899" t="str">
        <f>IFERROR(__xludf.DUMMYFUNCTION("""COMPUTED_VALUE"""),"No. I took delivery of the first car Tesla was able to deliver.")</f>
        <v>No. I took delivery of the first car Tesla was able to deliver.</v>
      </c>
      <c r="AH2899" s="189">
        <f>IFERROR(__xludf.DUMMYFUNCTION("""COMPUTED_VALUE"""),44354.758052233796)</f>
        <v>44354.75805</v>
      </c>
    </row>
    <row r="2900">
      <c r="A2900" t="str">
        <f>IFERROR(__xludf.DUMMYFUNCTION("""COMPUTED_VALUE"""),"jarvis2323")</f>
        <v>jarvis2323</v>
      </c>
      <c r="B2900" t="str">
        <f>IFERROR(__xludf.DUMMYFUNCTION("""COMPUTED_VALUE"""),"SoCal")</f>
        <v>SoCal</v>
      </c>
      <c r="C2900" t="str">
        <f>IFERROR(__xludf.DUMMYFUNCTION("""COMPUTED_VALUE"""),"CA")</f>
        <v>CA</v>
      </c>
      <c r="D2900" t="str">
        <f>IFERROR(__xludf.DUMMYFUNCTION("""COMPUTED_VALUE"""),"USA")</f>
        <v>USA</v>
      </c>
      <c r="E2900" s="188">
        <f>IFERROR(__xludf.DUMMYFUNCTION("""COMPUTED_VALUE"""),44312.0)</f>
        <v>44312</v>
      </c>
      <c r="F2900" s="188">
        <f>IFERROR(__xludf.DUMMYFUNCTION("""COMPUTED_VALUE"""),44373.0)</f>
        <v>44373</v>
      </c>
      <c r="G2900" t="str">
        <f>IFERROR(__xludf.DUMMYFUNCTION("""COMPUTED_VALUE"""),"Text message")</f>
        <v>Text message</v>
      </c>
      <c r="H2900">
        <f>IFERROR(__xludf.DUMMYFUNCTION("""COMPUTED_VALUE"""),3139.0)</f>
        <v>3139</v>
      </c>
      <c r="J2900" s="188">
        <f>IFERROR(__xludf.DUMMYFUNCTION("""COMPUTED_VALUE"""),44376.0)</f>
        <v>44376</v>
      </c>
      <c r="K2900">
        <f>IFERROR(__xludf.DUMMYFUNCTION("""COMPUTED_VALUE"""),61.0)</f>
        <v>61</v>
      </c>
      <c r="L2900">
        <f>IFERROR(__xludf.DUMMYFUNCTION("""COMPUTED_VALUE"""),3.0)</f>
        <v>3</v>
      </c>
      <c r="M2900">
        <f>IFERROR(__xludf.DUMMYFUNCTION("""COMPUTED_VALUE"""),64.0)</f>
        <v>64</v>
      </c>
      <c r="N2900" t="str">
        <f>IFERROR(__xludf.DUMMYFUNCTION("""COMPUTED_VALUE"""),"Model 3 LR AWD")</f>
        <v>Model 3 LR AWD</v>
      </c>
      <c r="O2900" t="str">
        <f>IFERROR(__xludf.DUMMYFUNCTION("""COMPUTED_VALUE"""),"Pearl White Multi-Coat")</f>
        <v>Pearl White Multi-Coat</v>
      </c>
      <c r="P2900" t="str">
        <f>IFERROR(__xludf.DUMMYFUNCTION("""COMPUTED_VALUE"""),"18 inch")</f>
        <v>18 inch</v>
      </c>
      <c r="Q2900" t="str">
        <f>IFERROR(__xludf.DUMMYFUNCTION("""COMPUTED_VALUE"""),"All Black")</f>
        <v>All Black</v>
      </c>
      <c r="R2900" t="str">
        <f>IFERROR(__xludf.DUMMYFUNCTION("""COMPUTED_VALUE"""),"Autopilot included")</f>
        <v>Autopilot included</v>
      </c>
      <c r="S2900" t="str">
        <f>IFERROR(__xludf.DUMMYFUNCTION("""COMPUTED_VALUE"""),"Loan")</f>
        <v>Loan</v>
      </c>
      <c r="U2900" t="str">
        <f>IFERROR(__xludf.DUMMYFUNCTION("""COMPUTED_VALUE"""),"Tesla brand image")</f>
        <v>Tesla brand image</v>
      </c>
      <c r="V2900" t="str">
        <f>IFERROR(__xludf.DUMMYFUNCTION("""COMPUTED_VALUE"""),"Head-up display")</f>
        <v>Head-up display</v>
      </c>
      <c r="X2900" t="str">
        <f>IFERROR(__xludf.DUMMYFUNCTION("""COMPUTED_VALUE"""),"Good")</f>
        <v>Good</v>
      </c>
      <c r="Y2900" t="str">
        <f>IFERROR(__xludf.DUMMYFUNCTION("""COMPUTED_VALUE"""),"Very Good")</f>
        <v>Very Good</v>
      </c>
      <c r="Z2900" t="str">
        <f>IFERROR(__xludf.DUMMYFUNCTION("""COMPUTED_VALUE"""),"Very Good")</f>
        <v>Very Good</v>
      </c>
      <c r="AA2900" t="str">
        <f>IFERROR(__xludf.DUMMYFUNCTION("""COMPUTED_VALUE"""),"Poor")</f>
        <v>Poor</v>
      </c>
      <c r="AB2900" t="str">
        <f>IFERROR(__xludf.DUMMYFUNCTION("""COMPUTED_VALUE"""),"Good")</f>
        <v>Good</v>
      </c>
      <c r="AC2900">
        <f>IFERROR(__xludf.DUMMYFUNCTION("""COMPUTED_VALUE"""),3.0)</f>
        <v>3</v>
      </c>
      <c r="AD2900">
        <f>IFERROR(__xludf.DUMMYFUNCTION("""COMPUTED_VALUE"""),1.0)</f>
        <v>1</v>
      </c>
      <c r="AF2900" t="str">
        <f>IFERROR(__xludf.DUMMYFUNCTION("""COMPUTED_VALUE"""),"No. I took delivery of the first car Tesla was able to deliver.")</f>
        <v>No. I took delivery of the first car Tesla was able to deliver.</v>
      </c>
      <c r="AH2900" s="189">
        <f>IFERROR(__xludf.DUMMYFUNCTION("""COMPUTED_VALUE"""),44377.405756631946)</f>
        <v>44377.40576</v>
      </c>
    </row>
    <row r="2901">
      <c r="A2901" t="str">
        <f>IFERROR(__xludf.DUMMYFUNCTION("""COMPUTED_VALUE"""),"MADxMAN")</f>
        <v>MADxMAN</v>
      </c>
      <c r="B2901" t="str">
        <f>IFERROR(__xludf.DUMMYFUNCTION("""COMPUTED_VALUE"""),"Boise")</f>
        <v>Boise</v>
      </c>
      <c r="C2901" t="str">
        <f>IFERROR(__xludf.DUMMYFUNCTION("""COMPUTED_VALUE"""),"ID")</f>
        <v>ID</v>
      </c>
      <c r="D2901" t="str">
        <f>IFERROR(__xludf.DUMMYFUNCTION("""COMPUTED_VALUE"""),"USA")</f>
        <v>USA</v>
      </c>
      <c r="E2901" s="188">
        <f>IFERROR(__xludf.DUMMYFUNCTION("""COMPUTED_VALUE"""),44305.0)</f>
        <v>44305</v>
      </c>
      <c r="F2901" s="188">
        <f>IFERROR(__xludf.DUMMYFUNCTION("""COMPUTED_VALUE"""),44367.0)</f>
        <v>44367</v>
      </c>
      <c r="G2901" t="str">
        <f>IFERROR(__xludf.DUMMYFUNCTION("""COMPUTED_VALUE"""),"Manage order page (normal text)")</f>
        <v>Manage order page (normal text)</v>
      </c>
      <c r="H2901">
        <f>IFERROR(__xludf.DUMMYFUNCTION("""COMPUTED_VALUE"""),997926.0)</f>
        <v>997926</v>
      </c>
      <c r="I2901" t="str">
        <f>IFERROR(__xludf.DUMMYFUNCTION("""COMPUTED_VALUE"""),"06/21")</f>
        <v>06/21</v>
      </c>
      <c r="J2901" s="188">
        <f>IFERROR(__xludf.DUMMYFUNCTION("""COMPUTED_VALUE"""),44372.0)</f>
        <v>44372</v>
      </c>
      <c r="K2901">
        <f>IFERROR(__xludf.DUMMYFUNCTION("""COMPUTED_VALUE"""),62.0)</f>
        <v>62</v>
      </c>
      <c r="L2901">
        <f>IFERROR(__xludf.DUMMYFUNCTION("""COMPUTED_VALUE"""),5.0)</f>
        <v>5</v>
      </c>
      <c r="M2901">
        <f>IFERROR(__xludf.DUMMYFUNCTION("""COMPUTED_VALUE"""),67.0)</f>
        <v>67</v>
      </c>
      <c r="N2901" t="str">
        <f>IFERROR(__xludf.DUMMYFUNCTION("""COMPUTED_VALUE"""),"Model 3 LR AWD")</f>
        <v>Model 3 LR AWD</v>
      </c>
      <c r="O2901" t="str">
        <f>IFERROR(__xludf.DUMMYFUNCTION("""COMPUTED_VALUE"""),"Pearl White Multi-Coat")</f>
        <v>Pearl White Multi-Coat</v>
      </c>
      <c r="P2901" t="str">
        <f>IFERROR(__xludf.DUMMYFUNCTION("""COMPUTED_VALUE"""),"18 inch")</f>
        <v>18 inch</v>
      </c>
      <c r="Q2901" t="str">
        <f>IFERROR(__xludf.DUMMYFUNCTION("""COMPUTED_VALUE"""),"All Black")</f>
        <v>All Black</v>
      </c>
      <c r="R2901" t="str">
        <f>IFERROR(__xludf.DUMMYFUNCTION("""COMPUTED_VALUE"""),"Autopilot included")</f>
        <v>Autopilot included</v>
      </c>
      <c r="S2901" t="str">
        <f>IFERROR(__xludf.DUMMYFUNCTION("""COMPUTED_VALUE"""),"Loan")</f>
        <v>Loan</v>
      </c>
      <c r="T2901" t="str">
        <f>IFERROR(__xludf.DUMMYFUNCTION("""COMPUTED_VALUE"""),"Honda Civic")</f>
        <v>Honda Civic</v>
      </c>
      <c r="U2901" t="str">
        <f>IFERROR(__xludf.DUMMYFUNCTION("""COMPUTED_VALUE"""),"Advanced Features")</f>
        <v>Advanced Features</v>
      </c>
      <c r="V2901" t="str">
        <f>IFERROR(__xludf.DUMMYFUNCTION("""COMPUTED_VALUE"""),"Ventilated seats")</f>
        <v>Ventilated seats</v>
      </c>
      <c r="W2901" t="str">
        <f>IFERROR(__xludf.DUMMYFUNCTION("""COMPUTED_VALUE"""),"Don't mind the Estimated Delivery Date on your account, it's useless until you get a VIN.")</f>
        <v>Don't mind the Estimated Delivery Date on your account, it's useless until you get a VIN.</v>
      </c>
      <c r="X2901" t="str">
        <f>IFERROR(__xludf.DUMMYFUNCTION("""COMPUTED_VALUE"""),"Excellent")</f>
        <v>Excellent</v>
      </c>
      <c r="Y2901" t="str">
        <f>IFERROR(__xludf.DUMMYFUNCTION("""COMPUTED_VALUE"""),"Excellent")</f>
        <v>Excellent</v>
      </c>
      <c r="Z2901" t="str">
        <f>IFERROR(__xludf.DUMMYFUNCTION("""COMPUTED_VALUE"""),"Excellent")</f>
        <v>Excellent</v>
      </c>
      <c r="AA2901" t="str">
        <f>IFERROR(__xludf.DUMMYFUNCTION("""COMPUTED_VALUE"""),"Excellent")</f>
        <v>Excellent</v>
      </c>
      <c r="AB2901" t="str">
        <f>IFERROR(__xludf.DUMMYFUNCTION("""COMPUTED_VALUE"""),"Excellent")</f>
        <v>Excellent</v>
      </c>
      <c r="AF2901" t="str">
        <f>IFERROR(__xludf.DUMMYFUNCTION("""COMPUTED_VALUE"""),"No. I took delivery of the first car Tesla was able to deliver.")</f>
        <v>No. I took delivery of the first car Tesla was able to deliver.</v>
      </c>
      <c r="AH2901" s="189">
        <f>IFERROR(__xludf.DUMMYFUNCTION("""COMPUTED_VALUE"""),44376.49556355324)</f>
        <v>44376.49556</v>
      </c>
    </row>
    <row r="2902">
      <c r="A2902" t="str">
        <f>IFERROR(__xludf.DUMMYFUNCTION("""COMPUTED_VALUE"""),"jcornu")</f>
        <v>jcornu</v>
      </c>
      <c r="B2902" t="str">
        <f>IFERROR(__xludf.DUMMYFUNCTION("""COMPUTED_VALUE"""),"Dedham")</f>
        <v>Dedham</v>
      </c>
      <c r="C2902" t="str">
        <f>IFERROR(__xludf.DUMMYFUNCTION("""COMPUTED_VALUE"""),"MA")</f>
        <v>MA</v>
      </c>
      <c r="D2902" t="str">
        <f>IFERROR(__xludf.DUMMYFUNCTION("""COMPUTED_VALUE"""),"USA")</f>
        <v>USA</v>
      </c>
      <c r="E2902" s="188">
        <f>IFERROR(__xludf.DUMMYFUNCTION("""COMPUTED_VALUE"""),44277.0)</f>
        <v>44277</v>
      </c>
      <c r="F2902" s="188">
        <f>IFERROR(__xludf.DUMMYFUNCTION("""COMPUTED_VALUE"""),44312.0)</f>
        <v>44312</v>
      </c>
      <c r="G2902" t="str">
        <f>IFERROR(__xludf.DUMMYFUNCTION("""COMPUTED_VALUE"""),"Manage order page (normal text)")</f>
        <v>Manage order page (normal text)</v>
      </c>
      <c r="I2902" t="str">
        <f>IFERROR(__xludf.DUMMYFUNCTION("""COMPUTED_VALUE"""),"04/21")</f>
        <v>04/21</v>
      </c>
      <c r="J2902" s="188">
        <f>IFERROR(__xludf.DUMMYFUNCTION("""COMPUTED_VALUE"""),44324.0)</f>
        <v>44324</v>
      </c>
      <c r="K2902">
        <f>IFERROR(__xludf.DUMMYFUNCTION("""COMPUTED_VALUE"""),35.0)</f>
        <v>35</v>
      </c>
      <c r="L2902">
        <f>IFERROR(__xludf.DUMMYFUNCTION("""COMPUTED_VALUE"""),12.0)</f>
        <v>12</v>
      </c>
      <c r="M2902">
        <f>IFERROR(__xludf.DUMMYFUNCTION("""COMPUTED_VALUE"""),47.0)</f>
        <v>47</v>
      </c>
      <c r="N2902" t="str">
        <f>IFERROR(__xludf.DUMMYFUNCTION("""COMPUTED_VALUE"""),"Model 3 LR AWD")</f>
        <v>Model 3 LR AWD</v>
      </c>
      <c r="O2902" t="str">
        <f>IFERROR(__xludf.DUMMYFUNCTION("""COMPUTED_VALUE"""),"Midnight Silver Metallic")</f>
        <v>Midnight Silver Metallic</v>
      </c>
      <c r="P2902" t="str">
        <f>IFERROR(__xludf.DUMMYFUNCTION("""COMPUTED_VALUE"""),"18 inch")</f>
        <v>18 inch</v>
      </c>
      <c r="Q2902" t="str">
        <f>IFERROR(__xludf.DUMMYFUNCTION("""COMPUTED_VALUE"""),"Black and White")</f>
        <v>Black and White</v>
      </c>
      <c r="R2902" t="str">
        <f>IFERROR(__xludf.DUMMYFUNCTION("""COMPUTED_VALUE"""),"Autopilot included")</f>
        <v>Autopilot included</v>
      </c>
      <c r="S2902" t="str">
        <f>IFERROR(__xludf.DUMMYFUNCTION("""COMPUTED_VALUE"""),"Cash")</f>
        <v>Cash</v>
      </c>
      <c r="T2902" t="str">
        <f>IFERROR(__xludf.DUMMYFUNCTION("""COMPUTED_VALUE"""),"Lexus RX350")</f>
        <v>Lexus RX350</v>
      </c>
      <c r="U2902" t="str">
        <f>IFERROR(__xludf.DUMMYFUNCTION("""COMPUTED_VALUE"""),"Autopilot")</f>
        <v>Autopilot</v>
      </c>
      <c r="V2902" t="str">
        <f>IFERROR(__xludf.DUMMYFUNCTION("""COMPUTED_VALUE"""),"Air suspension")</f>
        <v>Air suspension</v>
      </c>
      <c r="X2902" t="str">
        <f>IFERROR(__xludf.DUMMYFUNCTION("""COMPUTED_VALUE"""),"Fair")</f>
        <v>Fair</v>
      </c>
      <c r="Y2902" t="str">
        <f>IFERROR(__xludf.DUMMYFUNCTION("""COMPUTED_VALUE"""),"Excellent")</f>
        <v>Excellent</v>
      </c>
      <c r="Z2902" t="str">
        <f>IFERROR(__xludf.DUMMYFUNCTION("""COMPUTED_VALUE"""),"Excellent")</f>
        <v>Excellent</v>
      </c>
      <c r="AA2902" t="str">
        <f>IFERROR(__xludf.DUMMYFUNCTION("""COMPUTED_VALUE"""),"Excellent")</f>
        <v>Excellent</v>
      </c>
      <c r="AB2902" t="str">
        <f>IFERROR(__xludf.DUMMYFUNCTION("""COMPUTED_VALUE"""),"Good")</f>
        <v>Good</v>
      </c>
      <c r="AC2902">
        <f>IFERROR(__xludf.DUMMYFUNCTION("""COMPUTED_VALUE"""),1.0)</f>
        <v>1</v>
      </c>
      <c r="AD2902">
        <f>IFERROR(__xludf.DUMMYFUNCTION("""COMPUTED_VALUE"""),1.0)</f>
        <v>1</v>
      </c>
      <c r="AF2902" t="str">
        <f>IFERROR(__xludf.DUMMYFUNCTION("""COMPUTED_VALUE"""),"No. I took delivery of the first car Tesla was able to deliver.")</f>
        <v>No. I took delivery of the first car Tesla was able to deliver.</v>
      </c>
      <c r="AH2902" s="189">
        <f>IFERROR(__xludf.DUMMYFUNCTION("""COMPUTED_VALUE"""),44325.57431737268)</f>
        <v>44325.57432</v>
      </c>
    </row>
    <row r="2903">
      <c r="A2903" t="str">
        <f>IFERROR(__xludf.DUMMYFUNCTION("""COMPUTED_VALUE"""),"OkieDokieTM3")</f>
        <v>OkieDokieTM3</v>
      </c>
      <c r="B2903" t="str">
        <f>IFERROR(__xludf.DUMMYFUNCTION("""COMPUTED_VALUE"""),"Oklahoma City")</f>
        <v>Oklahoma City</v>
      </c>
      <c r="C2903" t="str">
        <f>IFERROR(__xludf.DUMMYFUNCTION("""COMPUTED_VALUE"""),"OK")</f>
        <v>OK</v>
      </c>
      <c r="D2903" t="str">
        <f>IFERROR(__xludf.DUMMYFUNCTION("""COMPUTED_VALUE"""),"USA")</f>
        <v>USA</v>
      </c>
      <c r="E2903" s="188">
        <f>IFERROR(__xludf.DUMMYFUNCTION("""COMPUTED_VALUE"""),44326.0)</f>
        <v>44326</v>
      </c>
      <c r="F2903" s="188">
        <f>IFERROR(__xludf.DUMMYFUNCTION("""COMPUTED_VALUE"""),44349.0)</f>
        <v>44349</v>
      </c>
      <c r="G2903" t="str">
        <f>IFERROR(__xludf.DUMMYFUNCTION("""COMPUTED_VALUE"""),"Email")</f>
        <v>Email</v>
      </c>
      <c r="H2903">
        <f>IFERROR(__xludf.DUMMYFUNCTION("""COMPUTED_VALUE"""),983355.0)</f>
        <v>983355</v>
      </c>
      <c r="I2903" t="str">
        <f>IFERROR(__xludf.DUMMYFUNCTION("""COMPUTED_VALUE"""),"06/21")</f>
        <v>06/21</v>
      </c>
      <c r="J2903" s="188">
        <f>IFERROR(__xludf.DUMMYFUNCTION("""COMPUTED_VALUE"""),44363.0)</f>
        <v>44363</v>
      </c>
      <c r="K2903">
        <f>IFERROR(__xludf.DUMMYFUNCTION("""COMPUTED_VALUE"""),23.0)</f>
        <v>23</v>
      </c>
      <c r="L2903">
        <f>IFERROR(__xludf.DUMMYFUNCTION("""COMPUTED_VALUE"""),14.0)</f>
        <v>14</v>
      </c>
      <c r="M2903">
        <f>IFERROR(__xludf.DUMMYFUNCTION("""COMPUTED_VALUE"""),37.0)</f>
        <v>37</v>
      </c>
      <c r="N2903" t="str">
        <f>IFERROR(__xludf.DUMMYFUNCTION("""COMPUTED_VALUE"""),"Model 3 LR AWD")</f>
        <v>Model 3 LR AWD</v>
      </c>
      <c r="O2903" t="str">
        <f>IFERROR(__xludf.DUMMYFUNCTION("""COMPUTED_VALUE"""),"Pearl White Multi-Coat")</f>
        <v>Pearl White Multi-Coat</v>
      </c>
      <c r="P2903" t="str">
        <f>IFERROR(__xludf.DUMMYFUNCTION("""COMPUTED_VALUE"""),"18 inch")</f>
        <v>18 inch</v>
      </c>
      <c r="Q2903" t="str">
        <f>IFERROR(__xludf.DUMMYFUNCTION("""COMPUTED_VALUE"""),"All Black")</f>
        <v>All Black</v>
      </c>
      <c r="R2903" t="str">
        <f>IFERROR(__xludf.DUMMYFUNCTION("""COMPUTED_VALUE"""),"Autopilot included")</f>
        <v>Autopilot included</v>
      </c>
      <c r="S2903" t="str">
        <f>IFERROR(__xludf.DUMMYFUNCTION("""COMPUTED_VALUE"""),"Cash")</f>
        <v>Cash</v>
      </c>
      <c r="T2903" t="str">
        <f>IFERROR(__xludf.DUMMYFUNCTION("""COMPUTED_VALUE"""),"Toyota Avalon")</f>
        <v>Toyota Avalon</v>
      </c>
      <c r="U2903" t="str">
        <f>IFERROR(__xludf.DUMMYFUNCTION("""COMPUTED_VALUE"""),"Electric!")</f>
        <v>Electric!</v>
      </c>
      <c r="V2903" t="str">
        <f>IFERROR(__xludf.DUMMYFUNCTION("""COMPUTED_VALUE"""),"Head-up display")</f>
        <v>Head-up display</v>
      </c>
      <c r="X2903" t="str">
        <f>IFERROR(__xludf.DUMMYFUNCTION("""COMPUTED_VALUE"""),"Very Good")</f>
        <v>Very Good</v>
      </c>
      <c r="Y2903" t="str">
        <f>IFERROR(__xludf.DUMMYFUNCTION("""COMPUTED_VALUE"""),"Excellent")</f>
        <v>Excellent</v>
      </c>
      <c r="Z2903" t="str">
        <f>IFERROR(__xludf.DUMMYFUNCTION("""COMPUTED_VALUE"""),"Very Good")</f>
        <v>Very Good</v>
      </c>
      <c r="AA2903" t="str">
        <f>IFERROR(__xludf.DUMMYFUNCTION("""COMPUTED_VALUE"""),"Good")</f>
        <v>Good</v>
      </c>
      <c r="AB2903" t="str">
        <f>IFERROR(__xludf.DUMMYFUNCTION("""COMPUTED_VALUE"""),"Very Good")</f>
        <v>Very Good</v>
      </c>
      <c r="AF2903" t="str">
        <f>IFERROR(__xludf.DUMMYFUNCTION("""COMPUTED_VALUE"""),"No. I took delivery of the first car Tesla was able to deliver.")</f>
        <v>No. I took delivery of the first car Tesla was able to deliver.</v>
      </c>
      <c r="AH2903" s="189">
        <f>IFERROR(__xludf.DUMMYFUNCTION("""COMPUTED_VALUE"""),44364.877462812496)</f>
        <v>44364.87746</v>
      </c>
    </row>
    <row r="2904">
      <c r="A2904" t="str">
        <f>IFERROR(__xludf.DUMMYFUNCTION("""COMPUTED_VALUE"""),"NZVCNA")</f>
        <v>NZVCNA</v>
      </c>
      <c r="B2904" t="str">
        <f>IFERROR(__xludf.DUMMYFUNCTION("""COMPUTED_VALUE"""),"Boston")</f>
        <v>Boston</v>
      </c>
      <c r="C2904" t="str">
        <f>IFERROR(__xludf.DUMMYFUNCTION("""COMPUTED_VALUE"""),"MA")</f>
        <v>MA</v>
      </c>
      <c r="D2904" t="str">
        <f>IFERROR(__xludf.DUMMYFUNCTION("""COMPUTED_VALUE"""),"USA")</f>
        <v>USA</v>
      </c>
      <c r="E2904" s="188">
        <f>IFERROR(__xludf.DUMMYFUNCTION("""COMPUTED_VALUE"""),44316.0)</f>
        <v>44316</v>
      </c>
      <c r="F2904" s="188">
        <f>IFERROR(__xludf.DUMMYFUNCTION("""COMPUTED_VALUE"""),44348.0)</f>
        <v>44348</v>
      </c>
      <c r="G2904" t="str">
        <f>IFERROR(__xludf.DUMMYFUNCTION("""COMPUTED_VALUE"""),"Manage order page (normal text)")</f>
        <v>Manage order page (normal text)</v>
      </c>
      <c r="H2904">
        <f>IFERROR(__xludf.DUMMYFUNCTION("""COMPUTED_VALUE"""),984055.0)</f>
        <v>984055</v>
      </c>
      <c r="I2904" t="str">
        <f>IFERROR(__xludf.DUMMYFUNCTION("""COMPUTED_VALUE"""),"06/21")</f>
        <v>06/21</v>
      </c>
      <c r="J2904" s="188">
        <f>IFERROR(__xludf.DUMMYFUNCTION("""COMPUTED_VALUE"""),44362.0)</f>
        <v>44362</v>
      </c>
      <c r="K2904">
        <f>IFERROR(__xludf.DUMMYFUNCTION("""COMPUTED_VALUE"""),32.0)</f>
        <v>32</v>
      </c>
      <c r="L2904">
        <f>IFERROR(__xludf.DUMMYFUNCTION("""COMPUTED_VALUE"""),14.0)</f>
        <v>14</v>
      </c>
      <c r="M2904">
        <f>IFERROR(__xludf.DUMMYFUNCTION("""COMPUTED_VALUE"""),46.0)</f>
        <v>46</v>
      </c>
      <c r="N2904" t="str">
        <f>IFERROR(__xludf.DUMMYFUNCTION("""COMPUTED_VALUE"""),"Model 3 LR AWD")</f>
        <v>Model 3 LR AWD</v>
      </c>
      <c r="O2904" t="str">
        <f>IFERROR(__xludf.DUMMYFUNCTION("""COMPUTED_VALUE"""),"Deep Blue Metallic")</f>
        <v>Deep Blue Metallic</v>
      </c>
      <c r="P2904" t="str">
        <f>IFERROR(__xludf.DUMMYFUNCTION("""COMPUTED_VALUE"""),"18 inch")</f>
        <v>18 inch</v>
      </c>
      <c r="Q2904" t="str">
        <f>IFERROR(__xludf.DUMMYFUNCTION("""COMPUTED_VALUE"""),"All Black")</f>
        <v>All Black</v>
      </c>
      <c r="R2904" t="str">
        <f>IFERROR(__xludf.DUMMYFUNCTION("""COMPUTED_VALUE"""),"Autopilot included")</f>
        <v>Autopilot included</v>
      </c>
      <c r="S2904" t="str">
        <f>IFERROR(__xludf.DUMMYFUNCTION("""COMPUTED_VALUE"""),"Loan")</f>
        <v>Loan</v>
      </c>
      <c r="T2904" t="str">
        <f>IFERROR(__xludf.DUMMYFUNCTION("""COMPUTED_VALUE"""),"Subaru Impreza")</f>
        <v>Subaru Impreza</v>
      </c>
      <c r="U2904" t="str">
        <f>IFERROR(__xludf.DUMMYFUNCTION("""COMPUTED_VALUE"""),"Electric!")</f>
        <v>Electric!</v>
      </c>
      <c r="V2904" t="str">
        <f>IFERROR(__xludf.DUMMYFUNCTION("""COMPUTED_VALUE"""),"Apple CarPlay / Android Auto / SiriusXM Radio")</f>
        <v>Apple CarPlay / Android Auto / SiriusXM Radio</v>
      </c>
      <c r="X2904" t="str">
        <f>IFERROR(__xludf.DUMMYFUNCTION("""COMPUTED_VALUE"""),"Excellent")</f>
        <v>Excellent</v>
      </c>
      <c r="Y2904" t="str">
        <f>IFERROR(__xludf.DUMMYFUNCTION("""COMPUTED_VALUE"""),"Very Good")</f>
        <v>Very Good</v>
      </c>
      <c r="Z2904" t="str">
        <f>IFERROR(__xludf.DUMMYFUNCTION("""COMPUTED_VALUE"""),"Very Good")</f>
        <v>Very Good</v>
      </c>
      <c r="AA2904" t="str">
        <f>IFERROR(__xludf.DUMMYFUNCTION("""COMPUTED_VALUE"""),"Fair")</f>
        <v>Fair</v>
      </c>
      <c r="AB2904" t="str">
        <f>IFERROR(__xludf.DUMMYFUNCTION("""COMPUTED_VALUE"""),"Fair")</f>
        <v>Fair</v>
      </c>
      <c r="AC2904">
        <f>IFERROR(__xludf.DUMMYFUNCTION("""COMPUTED_VALUE"""),3.0)</f>
        <v>3</v>
      </c>
      <c r="AF2904" t="str">
        <f>IFERROR(__xludf.DUMMYFUNCTION("""COMPUTED_VALUE"""),"No. I took delivery of the first car Tesla was able to deliver.")</f>
        <v>No. I took delivery of the first car Tesla was able to deliver.</v>
      </c>
      <c r="AH2904" s="189">
        <f>IFERROR(__xludf.DUMMYFUNCTION("""COMPUTED_VALUE"""),44363.555317754624)</f>
        <v>44363.55532</v>
      </c>
    </row>
    <row r="2905">
      <c r="A2905" t="str">
        <f>IFERROR(__xludf.DUMMYFUNCTION("""COMPUTED_VALUE"""),"BBrownUT")</f>
        <v>BBrownUT</v>
      </c>
      <c r="B2905" t="str">
        <f>IFERROR(__xludf.DUMMYFUNCTION("""COMPUTED_VALUE"""),"Salt Lake City")</f>
        <v>Salt Lake City</v>
      </c>
      <c r="C2905" t="str">
        <f>IFERROR(__xludf.DUMMYFUNCTION("""COMPUTED_VALUE"""),"UT")</f>
        <v>UT</v>
      </c>
      <c r="D2905" t="str">
        <f>IFERROR(__xludf.DUMMYFUNCTION("""COMPUTED_VALUE"""),"USA")</f>
        <v>USA</v>
      </c>
      <c r="E2905" s="188">
        <f>IFERROR(__xludf.DUMMYFUNCTION("""COMPUTED_VALUE"""),44317.0)</f>
        <v>44317</v>
      </c>
      <c r="F2905" s="188">
        <f>IFERROR(__xludf.DUMMYFUNCTION("""COMPUTED_VALUE"""),44348.0)</f>
        <v>44348</v>
      </c>
      <c r="G2905" t="str">
        <f>IFERROR(__xludf.DUMMYFUNCTION("""COMPUTED_VALUE"""),"Manage order page (normal text)")</f>
        <v>Manage order page (normal text)</v>
      </c>
      <c r="J2905" s="188">
        <f>IFERROR(__xludf.DUMMYFUNCTION("""COMPUTED_VALUE"""),44355.0)</f>
        <v>44355</v>
      </c>
      <c r="K2905">
        <f>IFERROR(__xludf.DUMMYFUNCTION("""COMPUTED_VALUE"""),31.0)</f>
        <v>31</v>
      </c>
      <c r="L2905">
        <f>IFERROR(__xludf.DUMMYFUNCTION("""COMPUTED_VALUE"""),7.0)</f>
        <v>7</v>
      </c>
      <c r="M2905">
        <f>IFERROR(__xludf.DUMMYFUNCTION("""COMPUTED_VALUE"""),38.0)</f>
        <v>38</v>
      </c>
      <c r="N2905" t="str">
        <f>IFERROR(__xludf.DUMMYFUNCTION("""COMPUTED_VALUE"""),"Model 3 SR+")</f>
        <v>Model 3 SR+</v>
      </c>
      <c r="O2905" t="str">
        <f>IFERROR(__xludf.DUMMYFUNCTION("""COMPUTED_VALUE"""),"Midnight Silver Metallic")</f>
        <v>Midnight Silver Metallic</v>
      </c>
      <c r="P2905" t="str">
        <f>IFERROR(__xludf.DUMMYFUNCTION("""COMPUTED_VALUE"""),"18 inch")</f>
        <v>18 inch</v>
      </c>
      <c r="Q2905" t="str">
        <f>IFERROR(__xludf.DUMMYFUNCTION("""COMPUTED_VALUE"""),"All Black")</f>
        <v>All Black</v>
      </c>
      <c r="R2905" t="str">
        <f>IFERROR(__xludf.DUMMYFUNCTION("""COMPUTED_VALUE"""),"Autopilot included")</f>
        <v>Autopilot included</v>
      </c>
      <c r="T2905" t="str">
        <f>IFERROR(__xludf.DUMMYFUNCTION("""COMPUTED_VALUE"""),"Chevy Captiva")</f>
        <v>Chevy Captiva</v>
      </c>
      <c r="U2905" t="str">
        <f>IFERROR(__xludf.DUMMYFUNCTION("""COMPUTED_VALUE"""),"Electric!")</f>
        <v>Electric!</v>
      </c>
      <c r="V2905" t="str">
        <f>IFERROR(__xludf.DUMMYFUNCTION("""COMPUTED_VALUE"""),"Blind spot indicators on side mirrors")</f>
        <v>Blind spot indicators on side mirrors</v>
      </c>
      <c r="Y2905" t="str">
        <f>IFERROR(__xludf.DUMMYFUNCTION("""COMPUTED_VALUE"""),"Excellent")</f>
        <v>Excellent</v>
      </c>
      <c r="Z2905" t="str">
        <f>IFERROR(__xludf.DUMMYFUNCTION("""COMPUTED_VALUE"""),"Very Good")</f>
        <v>Very Good</v>
      </c>
      <c r="AA2905" t="str">
        <f>IFERROR(__xludf.DUMMYFUNCTION("""COMPUTED_VALUE"""),"Fair")</f>
        <v>Fair</v>
      </c>
      <c r="AB2905" t="str">
        <f>IFERROR(__xludf.DUMMYFUNCTION("""COMPUTED_VALUE"""),"Fair")</f>
        <v>Fair</v>
      </c>
      <c r="AF2905" t="str">
        <f>IFERROR(__xludf.DUMMYFUNCTION("""COMPUTED_VALUE"""),"No. I took delivery of the first car Tesla was able to deliver.")</f>
        <v>No. I took delivery of the first car Tesla was able to deliver.</v>
      </c>
      <c r="AH2905" s="189">
        <f>IFERROR(__xludf.DUMMYFUNCTION("""COMPUTED_VALUE"""),44362.336077685184)</f>
        <v>44362.33608</v>
      </c>
    </row>
    <row r="2906">
      <c r="A2906" t="str">
        <f>IFERROR(__xludf.DUMMYFUNCTION("""COMPUTED_VALUE"""),"compoti")</f>
        <v>compoti</v>
      </c>
      <c r="B2906" t="str">
        <f>IFERROR(__xludf.DUMMYFUNCTION("""COMPUTED_VALUE"""),"Eching")</f>
        <v>Eching</v>
      </c>
      <c r="D2906" t="str">
        <f>IFERROR(__xludf.DUMMYFUNCTION("""COMPUTED_VALUE"""),"Germany")</f>
        <v>Germany</v>
      </c>
      <c r="E2906" s="188">
        <f>IFERROR(__xludf.DUMMYFUNCTION("""COMPUTED_VALUE"""),44308.0)</f>
        <v>44308</v>
      </c>
      <c r="F2906" s="188">
        <f>IFERROR(__xludf.DUMMYFUNCTION("""COMPUTED_VALUE"""),44322.0)</f>
        <v>44322</v>
      </c>
      <c r="G2906" t="str">
        <f>IFERROR(__xludf.DUMMYFUNCTION("""COMPUTED_VALUE"""),"Email")</f>
        <v>Email</v>
      </c>
      <c r="H2906">
        <f>IFERROR(__xludf.DUMMYFUNCTION("""COMPUTED_VALUE"""),232155.0)</f>
        <v>232155</v>
      </c>
      <c r="I2906" t="str">
        <f>IFERROR(__xludf.DUMMYFUNCTION("""COMPUTED_VALUE"""),"04/21")</f>
        <v>04/21</v>
      </c>
      <c r="J2906" s="188">
        <f>IFERROR(__xludf.DUMMYFUNCTION("""COMPUTED_VALUE"""),44355.0)</f>
        <v>44355</v>
      </c>
      <c r="K2906">
        <f>IFERROR(__xludf.DUMMYFUNCTION("""COMPUTED_VALUE"""),14.0)</f>
        <v>14</v>
      </c>
      <c r="L2906">
        <f>IFERROR(__xludf.DUMMYFUNCTION("""COMPUTED_VALUE"""),33.0)</f>
        <v>33</v>
      </c>
      <c r="M2906">
        <f>IFERROR(__xludf.DUMMYFUNCTION("""COMPUTED_VALUE"""),47.0)</f>
        <v>47</v>
      </c>
      <c r="N2906" t="str">
        <f>IFERROR(__xludf.DUMMYFUNCTION("""COMPUTED_VALUE"""),"Model 3 SR+")</f>
        <v>Model 3 SR+</v>
      </c>
      <c r="O2906" t="str">
        <f>IFERROR(__xludf.DUMMYFUNCTION("""COMPUTED_VALUE"""),"Deep Blue Metallic")</f>
        <v>Deep Blue Metallic</v>
      </c>
      <c r="P2906" t="str">
        <f>IFERROR(__xludf.DUMMYFUNCTION("""COMPUTED_VALUE"""),"18 inch")</f>
        <v>18 inch</v>
      </c>
      <c r="Q2906" t="str">
        <f>IFERROR(__xludf.DUMMYFUNCTION("""COMPUTED_VALUE"""),"All Black")</f>
        <v>All Black</v>
      </c>
      <c r="R2906" t="str">
        <f>IFERROR(__xludf.DUMMYFUNCTION("""COMPUTED_VALUE"""),"Full Self-Driving")</f>
        <v>Full Self-Driving</v>
      </c>
      <c r="S2906" t="str">
        <f>IFERROR(__xludf.DUMMYFUNCTION("""COMPUTED_VALUE"""),"Cash")</f>
        <v>Cash</v>
      </c>
      <c r="T2906" t="str">
        <f>IFERROR(__xludf.DUMMYFUNCTION("""COMPUTED_VALUE"""),"BMW 1 Series")</f>
        <v>BMW 1 Series</v>
      </c>
      <c r="U2906" t="str">
        <f>IFERROR(__xludf.DUMMYFUNCTION("""COMPUTED_VALUE"""),"Supercharger V3 support")</f>
        <v>Supercharger V3 support</v>
      </c>
      <c r="V2906" t="str">
        <f>IFERROR(__xludf.DUMMYFUNCTION("""COMPUTED_VALUE"""),"Apple CarPlay / Android Auto / SiriusXM Radio")</f>
        <v>Apple CarPlay / Android Auto / SiriusXM Radio</v>
      </c>
      <c r="W2906" t="str">
        <f>IFERROR(__xludf.DUMMYFUNCTION("""COMPUTED_VALUE"""),"EAP is a piece of shit, save your money ;-)")</f>
        <v>EAP is a piece of shit, save your money ;-)</v>
      </c>
      <c r="X2906" t="str">
        <f>IFERROR(__xludf.DUMMYFUNCTION("""COMPUTED_VALUE"""),"Very Good")</f>
        <v>Very Good</v>
      </c>
      <c r="Y2906" t="str">
        <f>IFERROR(__xludf.DUMMYFUNCTION("""COMPUTED_VALUE"""),"Excellent")</f>
        <v>Excellent</v>
      </c>
      <c r="Z2906" t="str">
        <f>IFERROR(__xludf.DUMMYFUNCTION("""COMPUTED_VALUE"""),"Very Good")</f>
        <v>Very Good</v>
      </c>
      <c r="AA2906" t="str">
        <f>IFERROR(__xludf.DUMMYFUNCTION("""COMPUTED_VALUE"""),"Excellent")</f>
        <v>Excellent</v>
      </c>
      <c r="AB2906" t="str">
        <f>IFERROR(__xludf.DUMMYFUNCTION("""COMPUTED_VALUE"""),"Good")</f>
        <v>Good</v>
      </c>
      <c r="AC2906">
        <f>IFERROR(__xludf.DUMMYFUNCTION("""COMPUTED_VALUE"""),0.0)</f>
        <v>0</v>
      </c>
      <c r="AD2906">
        <f>IFERROR(__xludf.DUMMYFUNCTION("""COMPUTED_VALUE"""),0.0)</f>
        <v>0</v>
      </c>
      <c r="AE2906">
        <f>IFERROR(__xludf.DUMMYFUNCTION("""COMPUTED_VALUE"""),0.0)</f>
        <v>0</v>
      </c>
      <c r="AF2906" t="str">
        <f>IFERROR(__xludf.DUMMYFUNCTION("""COMPUTED_VALUE"""),"No. I took delivery of the first car Tesla was able to deliver.")</f>
        <v>No. I took delivery of the first car Tesla was able to deliver.</v>
      </c>
      <c r="AH2906" s="189">
        <f>IFERROR(__xludf.DUMMYFUNCTION("""COMPUTED_VALUE"""),44390.418230613424)</f>
        <v>44390.41823</v>
      </c>
    </row>
    <row r="2907">
      <c r="A2907" t="str">
        <f>IFERROR(__xludf.DUMMYFUNCTION("""COMPUTED_VALUE"""),"createdbyct")</f>
        <v>createdbyct</v>
      </c>
      <c r="B2907" t="str">
        <f>IFERROR(__xludf.DUMMYFUNCTION("""COMPUTED_VALUE"""),"Bloomington")</f>
        <v>Bloomington</v>
      </c>
      <c r="C2907" t="str">
        <f>IFERROR(__xludf.DUMMYFUNCTION("""COMPUTED_VALUE"""),"IL")</f>
        <v>IL</v>
      </c>
      <c r="D2907" t="str">
        <f>IFERROR(__xludf.DUMMYFUNCTION("""COMPUTED_VALUE"""),"USA")</f>
        <v>USA</v>
      </c>
      <c r="E2907" s="188">
        <f>IFERROR(__xludf.DUMMYFUNCTION("""COMPUTED_VALUE"""),44309.0)</f>
        <v>44309</v>
      </c>
      <c r="F2907" s="188">
        <f>IFERROR(__xludf.DUMMYFUNCTION("""COMPUTED_VALUE"""),44348.0)</f>
        <v>44348</v>
      </c>
      <c r="G2907" t="str">
        <f>IFERROR(__xludf.DUMMYFUNCTION("""COMPUTED_VALUE"""),"Manage order page (normal text)")</f>
        <v>Manage order page (normal text)</v>
      </c>
      <c r="H2907">
        <f>IFERROR(__xludf.DUMMYFUNCTION("""COMPUTED_VALUE"""),984055.0)</f>
        <v>984055</v>
      </c>
      <c r="I2907" t="str">
        <f>IFERROR(__xludf.DUMMYFUNCTION("""COMPUTED_VALUE"""),"06/21")</f>
        <v>06/21</v>
      </c>
      <c r="J2907" s="188">
        <f>IFERROR(__xludf.DUMMYFUNCTION("""COMPUTED_VALUE"""),44358.0)</f>
        <v>44358</v>
      </c>
      <c r="K2907">
        <f>IFERROR(__xludf.DUMMYFUNCTION("""COMPUTED_VALUE"""),39.0)</f>
        <v>39</v>
      </c>
      <c r="L2907">
        <f>IFERROR(__xludf.DUMMYFUNCTION("""COMPUTED_VALUE"""),10.0)</f>
        <v>10</v>
      </c>
      <c r="M2907">
        <f>IFERROR(__xludf.DUMMYFUNCTION("""COMPUTED_VALUE"""),49.0)</f>
        <v>49</v>
      </c>
      <c r="N2907" t="str">
        <f>IFERROR(__xludf.DUMMYFUNCTION("""COMPUTED_VALUE"""),"Model 3 LR AWD")</f>
        <v>Model 3 LR AWD</v>
      </c>
      <c r="O2907" t="str">
        <f>IFERROR(__xludf.DUMMYFUNCTION("""COMPUTED_VALUE"""),"Deep Blue Metallic")</f>
        <v>Deep Blue Metallic</v>
      </c>
      <c r="P2907" t="str">
        <f>IFERROR(__xludf.DUMMYFUNCTION("""COMPUTED_VALUE"""),"18 inch")</f>
        <v>18 inch</v>
      </c>
      <c r="Q2907" t="str">
        <f>IFERROR(__xludf.DUMMYFUNCTION("""COMPUTED_VALUE"""),"All Black")</f>
        <v>All Black</v>
      </c>
      <c r="R2907" t="str">
        <f>IFERROR(__xludf.DUMMYFUNCTION("""COMPUTED_VALUE"""),"Autopilot included")</f>
        <v>Autopilot included</v>
      </c>
      <c r="S2907" t="str">
        <f>IFERROR(__xludf.DUMMYFUNCTION("""COMPUTED_VALUE"""),"Lease")</f>
        <v>Lease</v>
      </c>
      <c r="T2907" t="str">
        <f>IFERROR(__xludf.DUMMYFUNCTION("""COMPUTED_VALUE"""),"Kia Forte")</f>
        <v>Kia Forte</v>
      </c>
      <c r="U2907" t="str">
        <f>IFERROR(__xludf.DUMMYFUNCTION("""COMPUTED_VALUE"""),"Electric!")</f>
        <v>Electric!</v>
      </c>
      <c r="V2907" t="str">
        <f>IFERROR(__xludf.DUMMYFUNCTION("""COMPUTED_VALUE"""),"Ventilated seats")</f>
        <v>Ventilated seats</v>
      </c>
      <c r="X2907" t="str">
        <f>IFERROR(__xludf.DUMMYFUNCTION("""COMPUTED_VALUE"""),"Excellent")</f>
        <v>Excellent</v>
      </c>
      <c r="Y2907" t="str">
        <f>IFERROR(__xludf.DUMMYFUNCTION("""COMPUTED_VALUE"""),"Excellent")</f>
        <v>Excellent</v>
      </c>
      <c r="Z2907" t="str">
        <f>IFERROR(__xludf.DUMMYFUNCTION("""COMPUTED_VALUE"""),"Excellent")</f>
        <v>Excellent</v>
      </c>
      <c r="AA2907" t="str">
        <f>IFERROR(__xludf.DUMMYFUNCTION("""COMPUTED_VALUE"""),"Excellent")</f>
        <v>Excellent</v>
      </c>
      <c r="AB2907" t="str">
        <f>IFERROR(__xludf.DUMMYFUNCTION("""COMPUTED_VALUE"""),"Excellent")</f>
        <v>Excellent</v>
      </c>
      <c r="AC2907">
        <f>IFERROR(__xludf.DUMMYFUNCTION("""COMPUTED_VALUE"""),0.0)</f>
        <v>0</v>
      </c>
      <c r="AD2907">
        <f>IFERROR(__xludf.DUMMYFUNCTION("""COMPUTED_VALUE"""),0.0)</f>
        <v>0</v>
      </c>
      <c r="AE2907">
        <f>IFERROR(__xludf.DUMMYFUNCTION("""COMPUTED_VALUE"""),0.0)</f>
        <v>0</v>
      </c>
      <c r="AF2907" t="str">
        <f>IFERROR(__xludf.DUMMYFUNCTION("""COMPUTED_VALUE"""),"No. I took delivery of the first car Tesla was able to deliver.")</f>
        <v>No. I took delivery of the first car Tesla was able to deliver.</v>
      </c>
      <c r="AH2907" s="189">
        <f>IFERROR(__xludf.DUMMYFUNCTION("""COMPUTED_VALUE"""),44360.821384236115)</f>
        <v>44360.82138</v>
      </c>
    </row>
    <row r="2908">
      <c r="A2908" t="str">
        <f>IFERROR(__xludf.DUMMYFUNCTION("""COMPUTED_VALUE"""),"Tbon88")</f>
        <v>Tbon88</v>
      </c>
      <c r="B2908" t="str">
        <f>IFERROR(__xludf.DUMMYFUNCTION("""COMPUTED_VALUE"""),"Concord")</f>
        <v>Concord</v>
      </c>
      <c r="C2908" t="str">
        <f>IFERROR(__xludf.DUMMYFUNCTION("""COMPUTED_VALUE"""),"NH")</f>
        <v>NH</v>
      </c>
      <c r="D2908" t="str">
        <f>IFERROR(__xludf.DUMMYFUNCTION("""COMPUTED_VALUE"""),"USA")</f>
        <v>USA</v>
      </c>
      <c r="E2908" s="188">
        <f>IFERROR(__xludf.DUMMYFUNCTION("""COMPUTED_VALUE"""),44313.0)</f>
        <v>44313</v>
      </c>
      <c r="F2908" s="188">
        <f>IFERROR(__xludf.DUMMYFUNCTION("""COMPUTED_VALUE"""),44345.0)</f>
        <v>44345</v>
      </c>
      <c r="G2908" t="str">
        <f>IFERROR(__xludf.DUMMYFUNCTION("""COMPUTED_VALUE"""),"Email")</f>
        <v>Email</v>
      </c>
      <c r="H2908">
        <f>IFERROR(__xludf.DUMMYFUNCTION("""COMPUTED_VALUE"""),979855.0)</f>
        <v>979855</v>
      </c>
      <c r="I2908" t="str">
        <f>IFERROR(__xludf.DUMMYFUNCTION("""COMPUTED_VALUE"""),"05/21")</f>
        <v>05/21</v>
      </c>
      <c r="J2908" s="188">
        <f>IFERROR(__xludf.DUMMYFUNCTION("""COMPUTED_VALUE"""),44359.0)</f>
        <v>44359</v>
      </c>
      <c r="K2908">
        <f>IFERROR(__xludf.DUMMYFUNCTION("""COMPUTED_VALUE"""),32.0)</f>
        <v>32</v>
      </c>
      <c r="L2908">
        <f>IFERROR(__xludf.DUMMYFUNCTION("""COMPUTED_VALUE"""),14.0)</f>
        <v>14</v>
      </c>
      <c r="M2908">
        <f>IFERROR(__xludf.DUMMYFUNCTION("""COMPUTED_VALUE"""),46.0)</f>
        <v>46</v>
      </c>
      <c r="N2908" t="str">
        <f>IFERROR(__xludf.DUMMYFUNCTION("""COMPUTED_VALUE"""),"Model 3 LR AWD")</f>
        <v>Model 3 LR AWD</v>
      </c>
      <c r="O2908" t="str">
        <f>IFERROR(__xludf.DUMMYFUNCTION("""COMPUTED_VALUE"""),"Deep Blue Metallic")</f>
        <v>Deep Blue Metallic</v>
      </c>
      <c r="P2908" t="str">
        <f>IFERROR(__xludf.DUMMYFUNCTION("""COMPUTED_VALUE"""),"18 inch")</f>
        <v>18 inch</v>
      </c>
      <c r="Q2908" t="str">
        <f>IFERROR(__xludf.DUMMYFUNCTION("""COMPUTED_VALUE"""),"All Black")</f>
        <v>All Black</v>
      </c>
      <c r="R2908" t="str">
        <f>IFERROR(__xludf.DUMMYFUNCTION("""COMPUTED_VALUE"""),"Autopilot included")</f>
        <v>Autopilot included</v>
      </c>
      <c r="S2908" t="str">
        <f>IFERROR(__xludf.DUMMYFUNCTION("""COMPUTED_VALUE"""),"Loan")</f>
        <v>Loan</v>
      </c>
      <c r="T2908" t="str">
        <f>IFERROR(__xludf.DUMMYFUNCTION("""COMPUTED_VALUE"""),"Honda Accord")</f>
        <v>Honda Accord</v>
      </c>
      <c r="U2908" t="str">
        <f>IFERROR(__xludf.DUMMYFUNCTION("""COMPUTED_VALUE"""),"Electric!")</f>
        <v>Electric!</v>
      </c>
      <c r="V2908" t="str">
        <f>IFERROR(__xludf.DUMMYFUNCTION("""COMPUTED_VALUE"""),"Head-up display")</f>
        <v>Head-up display</v>
      </c>
      <c r="X2908" t="str">
        <f>IFERROR(__xludf.DUMMYFUNCTION("""COMPUTED_VALUE"""),"Excellent")</f>
        <v>Excellent</v>
      </c>
      <c r="Y2908" t="str">
        <f>IFERROR(__xludf.DUMMYFUNCTION("""COMPUTED_VALUE"""),"Excellent")</f>
        <v>Excellent</v>
      </c>
      <c r="Z2908" t="str">
        <f>IFERROR(__xludf.DUMMYFUNCTION("""COMPUTED_VALUE"""),"Very Good")</f>
        <v>Very Good</v>
      </c>
      <c r="AA2908" t="str">
        <f>IFERROR(__xludf.DUMMYFUNCTION("""COMPUTED_VALUE"""),"Very Good")</f>
        <v>Very Good</v>
      </c>
      <c r="AB2908" t="str">
        <f>IFERROR(__xludf.DUMMYFUNCTION("""COMPUTED_VALUE"""),"Excellent")</f>
        <v>Excellent</v>
      </c>
      <c r="AF2908" t="str">
        <f>IFERROR(__xludf.DUMMYFUNCTION("""COMPUTED_VALUE"""),"No. I took delivery of the first car Tesla was able to deliver.")</f>
        <v>No. I took delivery of the first car Tesla was able to deliver.</v>
      </c>
      <c r="AH2908" s="189">
        <f>IFERROR(__xludf.DUMMYFUNCTION("""COMPUTED_VALUE"""),44361.28193582176)</f>
        <v>44361.28194</v>
      </c>
    </row>
    <row r="2909">
      <c r="A2909" t="str">
        <f>IFERROR(__xludf.DUMMYFUNCTION("""COMPUTED_VALUE"""),"June")</f>
        <v>June</v>
      </c>
      <c r="B2909" t="str">
        <f>IFERROR(__xludf.DUMMYFUNCTION("""COMPUTED_VALUE"""),"Madison")</f>
        <v>Madison</v>
      </c>
      <c r="C2909" t="str">
        <f>IFERROR(__xludf.DUMMYFUNCTION("""COMPUTED_VALUE"""),"WI")</f>
        <v>WI</v>
      </c>
      <c r="D2909" t="str">
        <f>IFERROR(__xludf.DUMMYFUNCTION("""COMPUTED_VALUE"""),"USA")</f>
        <v>USA</v>
      </c>
      <c r="E2909" s="188">
        <f>IFERROR(__xludf.DUMMYFUNCTION("""COMPUTED_VALUE"""),44326.0)</f>
        <v>44326</v>
      </c>
      <c r="F2909" s="188">
        <f>IFERROR(__xludf.DUMMYFUNCTION("""COMPUTED_VALUE"""),44355.0)</f>
        <v>44355</v>
      </c>
      <c r="G2909" t="str">
        <f>IFERROR(__xludf.DUMMYFUNCTION("""COMPUTED_VALUE"""),"Manage order page (normal text)")</f>
        <v>Manage order page (normal text)</v>
      </c>
      <c r="H2909">
        <f>IFERROR(__xludf.DUMMYFUNCTION("""COMPUTED_VALUE"""),988184.0)</f>
        <v>988184</v>
      </c>
      <c r="I2909" t="str">
        <f>IFERROR(__xludf.DUMMYFUNCTION("""COMPUTED_VALUE"""),"06/21")</f>
        <v>06/21</v>
      </c>
      <c r="J2909" s="188">
        <f>IFERROR(__xludf.DUMMYFUNCTION("""COMPUTED_VALUE"""),44365.0)</f>
        <v>44365</v>
      </c>
      <c r="K2909">
        <f>IFERROR(__xludf.DUMMYFUNCTION("""COMPUTED_VALUE"""),29.0)</f>
        <v>29</v>
      </c>
      <c r="L2909">
        <f>IFERROR(__xludf.DUMMYFUNCTION("""COMPUTED_VALUE"""),10.0)</f>
        <v>10</v>
      </c>
      <c r="M2909">
        <f>IFERROR(__xludf.DUMMYFUNCTION("""COMPUTED_VALUE"""),39.0)</f>
        <v>39</v>
      </c>
      <c r="N2909" t="str">
        <f>IFERROR(__xludf.DUMMYFUNCTION("""COMPUTED_VALUE"""),"Model 3 LR AWD")</f>
        <v>Model 3 LR AWD</v>
      </c>
      <c r="O2909" t="str">
        <f>IFERROR(__xludf.DUMMYFUNCTION("""COMPUTED_VALUE"""),"Deep Blue Metallic")</f>
        <v>Deep Blue Metallic</v>
      </c>
      <c r="P2909" t="str">
        <f>IFERROR(__xludf.DUMMYFUNCTION("""COMPUTED_VALUE"""),"18 inch")</f>
        <v>18 inch</v>
      </c>
      <c r="Q2909" t="str">
        <f>IFERROR(__xludf.DUMMYFUNCTION("""COMPUTED_VALUE"""),"All Black")</f>
        <v>All Black</v>
      </c>
      <c r="R2909" t="str">
        <f>IFERROR(__xludf.DUMMYFUNCTION("""COMPUTED_VALUE"""),"Autopilot included")</f>
        <v>Autopilot included</v>
      </c>
      <c r="S2909" t="str">
        <f>IFERROR(__xludf.DUMMYFUNCTION("""COMPUTED_VALUE"""),"Loan")</f>
        <v>Loan</v>
      </c>
      <c r="U2909" t="str">
        <f>IFERROR(__xludf.DUMMYFUNCTION("""COMPUTED_VALUE"""),"Electric!")</f>
        <v>Electric!</v>
      </c>
      <c r="V2909" t="str">
        <f>IFERROR(__xludf.DUMMYFUNCTION("""COMPUTED_VALUE"""),"Head-up display")</f>
        <v>Head-up display</v>
      </c>
      <c r="X2909" t="str">
        <f>IFERROR(__xludf.DUMMYFUNCTION("""COMPUTED_VALUE"""),"Very Good")</f>
        <v>Very Good</v>
      </c>
      <c r="Y2909" t="str">
        <f>IFERROR(__xludf.DUMMYFUNCTION("""COMPUTED_VALUE"""),"Excellent")</f>
        <v>Excellent</v>
      </c>
      <c r="Z2909" t="str">
        <f>IFERROR(__xludf.DUMMYFUNCTION("""COMPUTED_VALUE"""),"Excellent")</f>
        <v>Excellent</v>
      </c>
      <c r="AA2909" t="str">
        <f>IFERROR(__xludf.DUMMYFUNCTION("""COMPUTED_VALUE"""),"Very Good")</f>
        <v>Very Good</v>
      </c>
      <c r="AB2909" t="str">
        <f>IFERROR(__xludf.DUMMYFUNCTION("""COMPUTED_VALUE"""),"Excellent")</f>
        <v>Excellent</v>
      </c>
      <c r="AG2909" t="str">
        <f>IFERROR(__xludf.DUMMYFUNCTION("""COMPUTED_VALUE"""),"Estimated Delivery: June 18 - June 30 -&gt; June -&gt;June 17 - June 3012 - June 30-&gt;June 08 - June 24")</f>
        <v>Estimated Delivery: June 18 - June 30 -&gt; June -&gt;June 17 - June 3012 - June 30-&gt;June 08 - June 24</v>
      </c>
      <c r="AH2909" s="189">
        <f>IFERROR(__xludf.DUMMYFUNCTION("""COMPUTED_VALUE"""),44366.32283412037)</f>
        <v>44366.32283</v>
      </c>
    </row>
    <row r="2910">
      <c r="A2910" t="str">
        <f>IFERROR(__xludf.DUMMYFUNCTION("""COMPUTED_VALUE"""),"Lydia")</f>
        <v>Lydia</v>
      </c>
      <c r="B2910" t="str">
        <f>IFERROR(__xludf.DUMMYFUNCTION("""COMPUTED_VALUE"""),"Mountain View")</f>
        <v>Mountain View</v>
      </c>
      <c r="C2910" t="str">
        <f>IFERROR(__xludf.DUMMYFUNCTION("""COMPUTED_VALUE"""),"CA")</f>
        <v>CA</v>
      </c>
      <c r="D2910" t="str">
        <f>IFERROR(__xludf.DUMMYFUNCTION("""COMPUTED_VALUE"""),"USA")</f>
        <v>USA</v>
      </c>
      <c r="E2910" s="188">
        <f>IFERROR(__xludf.DUMMYFUNCTION("""COMPUTED_VALUE"""),44291.0)</f>
        <v>44291</v>
      </c>
      <c r="F2910" s="188">
        <f>IFERROR(__xludf.DUMMYFUNCTION("""COMPUTED_VALUE"""),44344.0)</f>
        <v>44344</v>
      </c>
      <c r="G2910" t="str">
        <f>IFERROR(__xludf.DUMMYFUNCTION("""COMPUTED_VALUE"""),"Email")</f>
        <v>Email</v>
      </c>
      <c r="I2910" t="str">
        <f>IFERROR(__xludf.DUMMYFUNCTION("""COMPUTED_VALUE"""),"05/21")</f>
        <v>05/21</v>
      </c>
      <c r="J2910" s="188">
        <f>IFERROR(__xludf.DUMMYFUNCTION("""COMPUTED_VALUE"""),44346.0)</f>
        <v>44346</v>
      </c>
      <c r="K2910">
        <f>IFERROR(__xludf.DUMMYFUNCTION("""COMPUTED_VALUE"""),53.0)</f>
        <v>53</v>
      </c>
      <c r="L2910">
        <f>IFERROR(__xludf.DUMMYFUNCTION("""COMPUTED_VALUE"""),2.0)</f>
        <v>2</v>
      </c>
      <c r="M2910">
        <f>IFERROR(__xludf.DUMMYFUNCTION("""COMPUTED_VALUE"""),55.0)</f>
        <v>55</v>
      </c>
      <c r="N2910" t="str">
        <f>IFERROR(__xludf.DUMMYFUNCTION("""COMPUTED_VALUE"""),"Model 3 LR AWD")</f>
        <v>Model 3 LR AWD</v>
      </c>
      <c r="O2910" t="str">
        <f>IFERROR(__xludf.DUMMYFUNCTION("""COMPUTED_VALUE"""),"Midnight Silver Metallic")</f>
        <v>Midnight Silver Metallic</v>
      </c>
      <c r="P2910" t="str">
        <f>IFERROR(__xludf.DUMMYFUNCTION("""COMPUTED_VALUE"""),"18 inch")</f>
        <v>18 inch</v>
      </c>
      <c r="Q2910" t="str">
        <f>IFERROR(__xludf.DUMMYFUNCTION("""COMPUTED_VALUE"""),"All Black")</f>
        <v>All Black</v>
      </c>
      <c r="R2910" t="str">
        <f>IFERROR(__xludf.DUMMYFUNCTION("""COMPUTED_VALUE"""),"Autopilot included")</f>
        <v>Autopilot included</v>
      </c>
      <c r="S2910" t="str">
        <f>IFERROR(__xludf.DUMMYFUNCTION("""COMPUTED_VALUE"""),"Cash")</f>
        <v>Cash</v>
      </c>
      <c r="T2910" t="str">
        <f>IFERROR(__xludf.DUMMYFUNCTION("""COMPUTED_VALUE"""),"Model 3 will be my first car!")</f>
        <v>Model 3 will be my first car!</v>
      </c>
      <c r="U2910" t="str">
        <f>IFERROR(__xludf.DUMMYFUNCTION("""COMPUTED_VALUE"""),"Electric!")</f>
        <v>Electric!</v>
      </c>
      <c r="V2910" t="str">
        <f>IFERROR(__xludf.DUMMYFUNCTION("""COMPUTED_VALUE"""),"Air suspension")</f>
        <v>Air suspension</v>
      </c>
      <c r="X2910" t="str">
        <f>IFERROR(__xludf.DUMMYFUNCTION("""COMPUTED_VALUE"""),"Very Good")</f>
        <v>Very Good</v>
      </c>
      <c r="Y2910" t="str">
        <f>IFERROR(__xludf.DUMMYFUNCTION("""COMPUTED_VALUE"""),"Excellent")</f>
        <v>Excellent</v>
      </c>
      <c r="Z2910" t="str">
        <f>IFERROR(__xludf.DUMMYFUNCTION("""COMPUTED_VALUE"""),"Excellent")</f>
        <v>Excellent</v>
      </c>
      <c r="AA2910" t="str">
        <f>IFERROR(__xludf.DUMMYFUNCTION("""COMPUTED_VALUE"""),"Very Good")</f>
        <v>Very Good</v>
      </c>
      <c r="AB2910" t="str">
        <f>IFERROR(__xludf.DUMMYFUNCTION("""COMPUTED_VALUE"""),"Very Good")</f>
        <v>Very Good</v>
      </c>
      <c r="AC2910">
        <f>IFERROR(__xludf.DUMMYFUNCTION("""COMPUTED_VALUE"""),1.0)</f>
        <v>1</v>
      </c>
      <c r="AF2910" t="str">
        <f>IFERROR(__xludf.DUMMYFUNCTION("""COMPUTED_VALUE"""),"No. I took delivery of the first car Tesla was able to deliver.")</f>
        <v>No. I took delivery of the first car Tesla was able to deliver.</v>
      </c>
      <c r="AH2910" s="189">
        <f>IFERROR(__xludf.DUMMYFUNCTION("""COMPUTED_VALUE"""),44347.84687724537)</f>
        <v>44347.84688</v>
      </c>
    </row>
    <row r="2911">
      <c r="A2911" t="str">
        <f>IFERROR(__xludf.DUMMYFUNCTION("""COMPUTED_VALUE"""),"mosburger")</f>
        <v>mosburger</v>
      </c>
      <c r="B2911" t="str">
        <f>IFERROR(__xludf.DUMMYFUNCTION("""COMPUTED_VALUE"""),"Richmond")</f>
        <v>Richmond</v>
      </c>
      <c r="C2911" t="str">
        <f>IFERROR(__xludf.DUMMYFUNCTION("""COMPUTED_VALUE"""),"BC")</f>
        <v>BC</v>
      </c>
      <c r="D2911" t="str">
        <f>IFERROR(__xludf.DUMMYFUNCTION("""COMPUTED_VALUE"""),"Canada")</f>
        <v>Canada</v>
      </c>
      <c r="E2911" s="188">
        <f>IFERROR(__xludf.DUMMYFUNCTION("""COMPUTED_VALUE"""),44290.0)</f>
        <v>44290</v>
      </c>
      <c r="F2911" s="188">
        <f>IFERROR(__xludf.DUMMYFUNCTION("""COMPUTED_VALUE"""),44303.0)</f>
        <v>44303</v>
      </c>
      <c r="G2911" t="str">
        <f>IFERROR(__xludf.DUMMYFUNCTION("""COMPUTED_VALUE"""),"Text message")</f>
        <v>Text message</v>
      </c>
      <c r="I2911" t="str">
        <f>IFERROR(__xludf.DUMMYFUNCTION("""COMPUTED_VALUE"""),"04/21")</f>
        <v>04/21</v>
      </c>
      <c r="J2911" s="188">
        <f>IFERROR(__xludf.DUMMYFUNCTION("""COMPUTED_VALUE"""),44304.0)</f>
        <v>44304</v>
      </c>
      <c r="K2911">
        <f>IFERROR(__xludf.DUMMYFUNCTION("""COMPUTED_VALUE"""),13.0)</f>
        <v>13</v>
      </c>
      <c r="L2911">
        <f>IFERROR(__xludf.DUMMYFUNCTION("""COMPUTED_VALUE"""),1.0)</f>
        <v>1</v>
      </c>
      <c r="M2911">
        <f>IFERROR(__xludf.DUMMYFUNCTION("""COMPUTED_VALUE"""),14.0)</f>
        <v>14</v>
      </c>
      <c r="N2911" t="str">
        <f>IFERROR(__xludf.DUMMYFUNCTION("""COMPUTED_VALUE"""),"Model 3 SR+")</f>
        <v>Model 3 SR+</v>
      </c>
      <c r="O2911" t="str">
        <f>IFERROR(__xludf.DUMMYFUNCTION("""COMPUTED_VALUE"""),"Pearl White Multi-Coat")</f>
        <v>Pearl White Multi-Coat</v>
      </c>
      <c r="P2911" t="str">
        <f>IFERROR(__xludf.DUMMYFUNCTION("""COMPUTED_VALUE"""),"18 inch")</f>
        <v>18 inch</v>
      </c>
      <c r="Q2911" t="str">
        <f>IFERROR(__xludf.DUMMYFUNCTION("""COMPUTED_VALUE"""),"All Black")</f>
        <v>All Black</v>
      </c>
      <c r="R2911" t="str">
        <f>IFERROR(__xludf.DUMMYFUNCTION("""COMPUTED_VALUE"""),"Autopilot included")</f>
        <v>Autopilot included</v>
      </c>
      <c r="S2911" t="str">
        <f>IFERROR(__xludf.DUMMYFUNCTION("""COMPUTED_VALUE"""),"Loan")</f>
        <v>Loan</v>
      </c>
      <c r="U2911" t="str">
        <f>IFERROR(__xludf.DUMMYFUNCTION("""COMPUTED_VALUE"""),"Autopilot")</f>
        <v>Autopilot</v>
      </c>
      <c r="V2911" t="str">
        <f>IFERROR(__xludf.DUMMYFUNCTION("""COMPUTED_VALUE"""),"360° Bird's eye view")</f>
        <v>360° Bird's eye view</v>
      </c>
      <c r="W2911" t="str">
        <f>IFERROR(__xludf.DUMMYFUNCTION("""COMPUTED_VALUE"""),"Keep in touch with your sales advisor and be courteous")</f>
        <v>Keep in touch with your sales advisor and be courteous</v>
      </c>
      <c r="X2911" t="str">
        <f>IFERROR(__xludf.DUMMYFUNCTION("""COMPUTED_VALUE"""),"Very Good")</f>
        <v>Very Good</v>
      </c>
      <c r="Y2911" t="str">
        <f>IFERROR(__xludf.DUMMYFUNCTION("""COMPUTED_VALUE"""),"Very Good")</f>
        <v>Very Good</v>
      </c>
      <c r="Z2911" t="str">
        <f>IFERROR(__xludf.DUMMYFUNCTION("""COMPUTED_VALUE"""),"Very Good")</f>
        <v>Very Good</v>
      </c>
      <c r="AA2911" t="str">
        <f>IFERROR(__xludf.DUMMYFUNCTION("""COMPUTED_VALUE"""),"Excellent")</f>
        <v>Excellent</v>
      </c>
      <c r="AB2911" t="str">
        <f>IFERROR(__xludf.DUMMYFUNCTION("""COMPUTED_VALUE"""),"Excellent")</f>
        <v>Excellent</v>
      </c>
      <c r="AC2911">
        <f>IFERROR(__xludf.DUMMYFUNCTION("""COMPUTED_VALUE"""),2.0)</f>
        <v>2</v>
      </c>
      <c r="AD2911">
        <f>IFERROR(__xludf.DUMMYFUNCTION("""COMPUTED_VALUE"""),2.0)</f>
        <v>2</v>
      </c>
      <c r="AE2911">
        <f>IFERROR(__xludf.DUMMYFUNCTION("""COMPUTED_VALUE"""),0.0)</f>
        <v>0</v>
      </c>
      <c r="AF2911" t="str">
        <f>IFERROR(__xludf.DUMMYFUNCTION("""COMPUTED_VALUE"""),"No. I took delivery of the first car Tesla was able to deliver.")</f>
        <v>No. I took delivery of the first car Tesla was able to deliver.</v>
      </c>
      <c r="AH2911" s="189">
        <f>IFERROR(__xludf.DUMMYFUNCTION("""COMPUTED_VALUE"""),44331.05635988426)</f>
        <v>44331.05636</v>
      </c>
    </row>
    <row r="2912">
      <c r="A2912" t="str">
        <f>IFERROR(__xludf.DUMMYFUNCTION("""COMPUTED_VALUE"""),"Halifax")</f>
        <v>Halifax</v>
      </c>
      <c r="B2912" t="str">
        <f>IFERROR(__xludf.DUMMYFUNCTION("""COMPUTED_VALUE"""),"St. Louis")</f>
        <v>St. Louis</v>
      </c>
      <c r="C2912" t="str">
        <f>IFERROR(__xludf.DUMMYFUNCTION("""COMPUTED_VALUE"""),"MO")</f>
        <v>MO</v>
      </c>
      <c r="D2912" t="str">
        <f>IFERROR(__xludf.DUMMYFUNCTION("""COMPUTED_VALUE"""),"USA")</f>
        <v>USA</v>
      </c>
      <c r="E2912" s="188">
        <f>IFERROR(__xludf.DUMMYFUNCTION("""COMPUTED_VALUE"""),44330.0)</f>
        <v>44330</v>
      </c>
      <c r="F2912" s="188">
        <f>IFERROR(__xludf.DUMMYFUNCTION("""COMPUTED_VALUE"""),44366.0)</f>
        <v>44366</v>
      </c>
      <c r="G2912" t="str">
        <f>IFERROR(__xludf.DUMMYFUNCTION("""COMPUTED_VALUE"""),"Email")</f>
        <v>Email</v>
      </c>
      <c r="H2912">
        <f>IFERROR(__xludf.DUMMYFUNCTION("""COMPUTED_VALUE"""),992155.0)</f>
        <v>992155</v>
      </c>
      <c r="J2912" s="188">
        <f>IFERROR(__xludf.DUMMYFUNCTION("""COMPUTED_VALUE"""),44379.0)</f>
        <v>44379</v>
      </c>
      <c r="K2912">
        <f>IFERROR(__xludf.DUMMYFUNCTION("""COMPUTED_VALUE"""),36.0)</f>
        <v>36</v>
      </c>
      <c r="L2912">
        <f>IFERROR(__xludf.DUMMYFUNCTION("""COMPUTED_VALUE"""),13.0)</f>
        <v>13</v>
      </c>
      <c r="M2912">
        <f>IFERROR(__xludf.DUMMYFUNCTION("""COMPUTED_VALUE"""),49.0)</f>
        <v>49</v>
      </c>
      <c r="N2912" t="str">
        <f>IFERROR(__xludf.DUMMYFUNCTION("""COMPUTED_VALUE"""),"Model 3 LR AWD")</f>
        <v>Model 3 LR AWD</v>
      </c>
      <c r="O2912" t="str">
        <f>IFERROR(__xludf.DUMMYFUNCTION("""COMPUTED_VALUE"""),"Solid Black")</f>
        <v>Solid Black</v>
      </c>
      <c r="P2912" t="str">
        <f>IFERROR(__xludf.DUMMYFUNCTION("""COMPUTED_VALUE"""),"18 inch")</f>
        <v>18 inch</v>
      </c>
      <c r="Q2912" t="str">
        <f>IFERROR(__xludf.DUMMYFUNCTION("""COMPUTED_VALUE"""),"All Black")</f>
        <v>All Black</v>
      </c>
      <c r="R2912" t="str">
        <f>IFERROR(__xludf.DUMMYFUNCTION("""COMPUTED_VALUE"""),"Autopilot included")</f>
        <v>Autopilot included</v>
      </c>
      <c r="S2912" t="str">
        <f>IFERROR(__xludf.DUMMYFUNCTION("""COMPUTED_VALUE"""),"Cash")</f>
        <v>Cash</v>
      </c>
      <c r="T2912" t="str">
        <f>IFERROR(__xludf.DUMMYFUNCTION("""COMPUTED_VALUE"""),"Ford Fusion")</f>
        <v>Ford Fusion</v>
      </c>
      <c r="U2912" t="str">
        <f>IFERROR(__xludf.DUMMYFUNCTION("""COMPUTED_VALUE"""),"Electric!")</f>
        <v>Electric!</v>
      </c>
      <c r="V2912" t="str">
        <f>IFERROR(__xludf.DUMMYFUNCTION("""COMPUTED_VALUE"""),"Ventilated seats")</f>
        <v>Ventilated seats</v>
      </c>
      <c r="X2912" t="str">
        <f>IFERROR(__xludf.DUMMYFUNCTION("""COMPUTED_VALUE"""),"Excellent")</f>
        <v>Excellent</v>
      </c>
      <c r="Y2912" t="str">
        <f>IFERROR(__xludf.DUMMYFUNCTION("""COMPUTED_VALUE"""),"Very Good")</f>
        <v>Very Good</v>
      </c>
      <c r="Z2912" t="str">
        <f>IFERROR(__xludf.DUMMYFUNCTION("""COMPUTED_VALUE"""),"Good")</f>
        <v>Good</v>
      </c>
      <c r="AA2912" t="str">
        <f>IFERROR(__xludf.DUMMYFUNCTION("""COMPUTED_VALUE"""),"Fair")</f>
        <v>Fair</v>
      </c>
      <c r="AB2912" t="str">
        <f>IFERROR(__xludf.DUMMYFUNCTION("""COMPUTED_VALUE"""),"Excellent")</f>
        <v>Excellent</v>
      </c>
      <c r="AC2912">
        <f>IFERROR(__xludf.DUMMYFUNCTION("""COMPUTED_VALUE"""),3.0)</f>
        <v>3</v>
      </c>
      <c r="AD2912">
        <f>IFERROR(__xludf.DUMMYFUNCTION("""COMPUTED_VALUE"""),1.0)</f>
        <v>1</v>
      </c>
      <c r="AF2912" t="str">
        <f>IFERROR(__xludf.DUMMYFUNCTION("""COMPUTED_VALUE"""),"No. I took delivery of the first car Tesla was able to deliver.")</f>
        <v>No. I took delivery of the first car Tesla was able to deliver.</v>
      </c>
      <c r="AG2912" t="str">
        <f>IFERROR(__xludf.DUMMYFUNCTION("""COMPUTED_VALUE"""),"Delivery date changed almost daily. Moved from end of June to late July, then 8-13 weeks, then got VIN and delivery estimate back to end of June.")</f>
        <v>Delivery date changed almost daily. Moved from end of June to late July, then 8-13 weeks, then got VIN and delivery estimate back to end of June.</v>
      </c>
      <c r="AH2912" s="189">
        <f>IFERROR(__xludf.DUMMYFUNCTION("""COMPUTED_VALUE"""),44374.342817094905)</f>
        <v>44374.34282</v>
      </c>
    </row>
    <row r="2913">
      <c r="A2913" t="str">
        <f>IFERROR(__xludf.DUMMYFUNCTION("""COMPUTED_VALUE"""),"Spectra207 ")</f>
        <v>Spectra207 </v>
      </c>
      <c r="B2913" t="str">
        <f>IFERROR(__xludf.DUMMYFUNCTION("""COMPUTED_VALUE"""),"Ottawa")</f>
        <v>Ottawa</v>
      </c>
      <c r="C2913" t="str">
        <f>IFERROR(__xludf.DUMMYFUNCTION("""COMPUTED_VALUE"""),"ON")</f>
        <v>ON</v>
      </c>
      <c r="D2913" t="str">
        <f>IFERROR(__xludf.DUMMYFUNCTION("""COMPUTED_VALUE"""),"Canada")</f>
        <v>Canada</v>
      </c>
      <c r="E2913" s="188">
        <f>IFERROR(__xludf.DUMMYFUNCTION("""COMPUTED_VALUE"""),44294.0)</f>
        <v>44294</v>
      </c>
      <c r="F2913" s="188">
        <f>IFERROR(__xludf.DUMMYFUNCTION("""COMPUTED_VALUE"""),44345.0)</f>
        <v>44345</v>
      </c>
      <c r="G2913" t="str">
        <f>IFERROR(__xludf.DUMMYFUNCTION("""COMPUTED_VALUE"""),"Source code")</f>
        <v>Source code</v>
      </c>
      <c r="H2913">
        <f>IFERROR(__xludf.DUMMYFUNCTION("""COMPUTED_VALUE"""),974155.0)</f>
        <v>974155</v>
      </c>
      <c r="I2913" t="str">
        <f>IFERROR(__xludf.DUMMYFUNCTION("""COMPUTED_VALUE"""),"05/21")</f>
        <v>05/21</v>
      </c>
      <c r="J2913" s="188">
        <f>IFERROR(__xludf.DUMMYFUNCTION("""COMPUTED_VALUE"""),44349.0)</f>
        <v>44349</v>
      </c>
      <c r="K2913">
        <f>IFERROR(__xludf.DUMMYFUNCTION("""COMPUTED_VALUE"""),51.0)</f>
        <v>51</v>
      </c>
      <c r="L2913">
        <f>IFERROR(__xludf.DUMMYFUNCTION("""COMPUTED_VALUE"""),4.0)</f>
        <v>4</v>
      </c>
      <c r="M2913">
        <f>IFERROR(__xludf.DUMMYFUNCTION("""COMPUTED_VALUE"""),55.0)</f>
        <v>55</v>
      </c>
      <c r="N2913" t="str">
        <f>IFERROR(__xludf.DUMMYFUNCTION("""COMPUTED_VALUE"""),"Model 3 LR AWD")</f>
        <v>Model 3 LR AWD</v>
      </c>
      <c r="O2913" t="str">
        <f>IFERROR(__xludf.DUMMYFUNCTION("""COMPUTED_VALUE"""),"Midnight Silver Metallic")</f>
        <v>Midnight Silver Metallic</v>
      </c>
      <c r="P2913" t="str">
        <f>IFERROR(__xludf.DUMMYFUNCTION("""COMPUTED_VALUE"""),"18 inch")</f>
        <v>18 inch</v>
      </c>
      <c r="Q2913" t="str">
        <f>IFERROR(__xludf.DUMMYFUNCTION("""COMPUTED_VALUE"""),"All Black")</f>
        <v>All Black</v>
      </c>
      <c r="R2913" t="str">
        <f>IFERROR(__xludf.DUMMYFUNCTION("""COMPUTED_VALUE"""),"Autopilot included")</f>
        <v>Autopilot included</v>
      </c>
      <c r="S2913" t="str">
        <f>IFERROR(__xludf.DUMMYFUNCTION("""COMPUTED_VALUE"""),"Lease")</f>
        <v>Lease</v>
      </c>
      <c r="T2913" t="str">
        <f>IFERROR(__xludf.DUMMYFUNCTION("""COMPUTED_VALUE"""),"Audi")</f>
        <v>Audi</v>
      </c>
      <c r="U2913" t="str">
        <f>IFERROR(__xludf.DUMMYFUNCTION("""COMPUTED_VALUE"""),"Electric!")</f>
        <v>Electric!</v>
      </c>
      <c r="V2913" t="str">
        <f>IFERROR(__xludf.DUMMYFUNCTION("""COMPUTED_VALUE"""),"Blind spot indicators on side mirrors")</f>
        <v>Blind spot indicators on side mirrors</v>
      </c>
      <c r="W2913" t="str">
        <f>IFERROR(__xludf.DUMMYFUNCTION("""COMPUTED_VALUE"""),"Ignore the expected delivery date. It’s not accurate and will cause anxiety")</f>
        <v>Ignore the expected delivery date. It’s not accurate and will cause anxiety</v>
      </c>
      <c r="X2913" t="str">
        <f>IFERROR(__xludf.DUMMYFUNCTION("""COMPUTED_VALUE"""),"Excellent")</f>
        <v>Excellent</v>
      </c>
      <c r="Y2913" t="str">
        <f>IFERROR(__xludf.DUMMYFUNCTION("""COMPUTED_VALUE"""),"Excellent")</f>
        <v>Excellent</v>
      </c>
      <c r="Z2913" t="str">
        <f>IFERROR(__xludf.DUMMYFUNCTION("""COMPUTED_VALUE"""),"Excellent")</f>
        <v>Excellent</v>
      </c>
      <c r="AA2913" t="str">
        <f>IFERROR(__xludf.DUMMYFUNCTION("""COMPUTED_VALUE"""),"Fair")</f>
        <v>Fair</v>
      </c>
      <c r="AB2913" t="str">
        <f>IFERROR(__xludf.DUMMYFUNCTION("""COMPUTED_VALUE"""),"Very Good")</f>
        <v>Very Good</v>
      </c>
      <c r="AC2913">
        <f>IFERROR(__xludf.DUMMYFUNCTION("""COMPUTED_VALUE"""),0.0)</f>
        <v>0</v>
      </c>
      <c r="AD2913">
        <f>IFERROR(__xludf.DUMMYFUNCTION("""COMPUTED_VALUE"""),0.0)</f>
        <v>0</v>
      </c>
      <c r="AE2913">
        <f>IFERROR(__xludf.DUMMYFUNCTION("""COMPUTED_VALUE"""),0.0)</f>
        <v>0</v>
      </c>
      <c r="AF2913" t="str">
        <f>IFERROR(__xludf.DUMMYFUNCTION("""COMPUTED_VALUE"""),"No. I took delivery of the first car Tesla was able to deliver.")</f>
        <v>No. I took delivery of the first car Tesla was able to deliver.</v>
      </c>
      <c r="AH2913" s="189">
        <f>IFERROR(__xludf.DUMMYFUNCTION("""COMPUTED_VALUE"""),44399.69645826389)</f>
        <v>44399.69646</v>
      </c>
    </row>
    <row r="2914">
      <c r="A2914" t="str">
        <f>IFERROR(__xludf.DUMMYFUNCTION("""COMPUTED_VALUE"""),"RnLWilson")</f>
        <v>RnLWilson</v>
      </c>
      <c r="B2914" t="str">
        <f>IFERROR(__xludf.DUMMYFUNCTION("""COMPUTED_VALUE"""),"Pleasanton")</f>
        <v>Pleasanton</v>
      </c>
      <c r="C2914" t="str">
        <f>IFERROR(__xludf.DUMMYFUNCTION("""COMPUTED_VALUE"""),"CA")</f>
        <v>CA</v>
      </c>
      <c r="D2914" t="str">
        <f>IFERROR(__xludf.DUMMYFUNCTION("""COMPUTED_VALUE"""),"USA")</f>
        <v>USA</v>
      </c>
      <c r="E2914" s="188">
        <f>IFERROR(__xludf.DUMMYFUNCTION("""COMPUTED_VALUE"""),44323.0)</f>
        <v>44323</v>
      </c>
      <c r="F2914" s="188">
        <f>IFERROR(__xludf.DUMMYFUNCTION("""COMPUTED_VALUE"""),44372.0)</f>
        <v>44372</v>
      </c>
      <c r="G2914" t="str">
        <f>IFERROR(__xludf.DUMMYFUNCTION("""COMPUTED_VALUE"""),"Manage order page (normal text)")</f>
        <v>Manage order page (normal text)</v>
      </c>
      <c r="H2914">
        <f>IFERROR(__xludf.DUMMYFUNCTION("""COMPUTED_VALUE"""),2955.0)</f>
        <v>2955</v>
      </c>
      <c r="I2914" t="str">
        <f>IFERROR(__xludf.DUMMYFUNCTION("""COMPUTED_VALUE"""),"06/21")</f>
        <v>06/21</v>
      </c>
      <c r="J2914" s="188">
        <f>IFERROR(__xludf.DUMMYFUNCTION("""COMPUTED_VALUE"""),44374.0)</f>
        <v>44374</v>
      </c>
      <c r="K2914">
        <f>IFERROR(__xludf.DUMMYFUNCTION("""COMPUTED_VALUE"""),49.0)</f>
        <v>49</v>
      </c>
      <c r="L2914">
        <f>IFERROR(__xludf.DUMMYFUNCTION("""COMPUTED_VALUE"""),2.0)</f>
        <v>2</v>
      </c>
      <c r="M2914">
        <f>IFERROR(__xludf.DUMMYFUNCTION("""COMPUTED_VALUE"""),51.0)</f>
        <v>51</v>
      </c>
      <c r="N2914" t="str">
        <f>IFERROR(__xludf.DUMMYFUNCTION("""COMPUTED_VALUE"""),"Model 3 LR AWD")</f>
        <v>Model 3 LR AWD</v>
      </c>
      <c r="O2914" t="str">
        <f>IFERROR(__xludf.DUMMYFUNCTION("""COMPUTED_VALUE"""),"Deep Blue Metallic")</f>
        <v>Deep Blue Metallic</v>
      </c>
      <c r="P2914" t="str">
        <f>IFERROR(__xludf.DUMMYFUNCTION("""COMPUTED_VALUE"""),"18 inch")</f>
        <v>18 inch</v>
      </c>
      <c r="Q2914" t="str">
        <f>IFERROR(__xludf.DUMMYFUNCTION("""COMPUTED_VALUE"""),"All Black")</f>
        <v>All Black</v>
      </c>
      <c r="R2914" t="str">
        <f>IFERROR(__xludf.DUMMYFUNCTION("""COMPUTED_VALUE"""),"Autopilot included")</f>
        <v>Autopilot included</v>
      </c>
      <c r="S2914" t="str">
        <f>IFERROR(__xludf.DUMMYFUNCTION("""COMPUTED_VALUE"""),"Loan")</f>
        <v>Loan</v>
      </c>
      <c r="T2914" t="str">
        <f>IFERROR(__xludf.DUMMYFUNCTION("""COMPUTED_VALUE"""),"Chevy Sonic")</f>
        <v>Chevy Sonic</v>
      </c>
      <c r="U2914" t="str">
        <f>IFERROR(__xludf.DUMMYFUNCTION("""COMPUTED_VALUE"""),"Safety and Quiet")</f>
        <v>Safety and Quiet</v>
      </c>
      <c r="V2914" t="str">
        <f>IFERROR(__xludf.DUMMYFUNCTION("""COMPUTED_VALUE"""),"Apple CarPlay / Android Auto / SiriusXM Radio")</f>
        <v>Apple CarPlay / Android Auto / SiriusXM Radio</v>
      </c>
      <c r="X2914" t="str">
        <f>IFERROR(__xludf.DUMMYFUNCTION("""COMPUTED_VALUE"""),"Excellent")</f>
        <v>Excellent</v>
      </c>
      <c r="Y2914" t="str">
        <f>IFERROR(__xludf.DUMMYFUNCTION("""COMPUTED_VALUE"""),"Excellent")</f>
        <v>Excellent</v>
      </c>
      <c r="Z2914" t="str">
        <f>IFERROR(__xludf.DUMMYFUNCTION("""COMPUTED_VALUE"""),"Excellent")</f>
        <v>Excellent</v>
      </c>
      <c r="AA2914" t="str">
        <f>IFERROR(__xludf.DUMMYFUNCTION("""COMPUTED_VALUE"""),"Excellent")</f>
        <v>Excellent</v>
      </c>
      <c r="AB2914" t="str">
        <f>IFERROR(__xludf.DUMMYFUNCTION("""COMPUTED_VALUE"""),"Excellent")</f>
        <v>Excellent</v>
      </c>
      <c r="AF2914" t="str">
        <f>IFERROR(__xludf.DUMMYFUNCTION("""COMPUTED_VALUE"""),"No. I took delivery of the first car Tesla was able to deliver.")</f>
        <v>No. I took delivery of the first car Tesla was able to deliver.</v>
      </c>
      <c r="AH2914" s="189">
        <f>IFERROR(__xludf.DUMMYFUNCTION("""COMPUTED_VALUE"""),44376.31074920139)</f>
        <v>44376.31075</v>
      </c>
    </row>
    <row r="2915">
      <c r="A2915" t="str">
        <f>IFERROR(__xludf.DUMMYFUNCTION("""COMPUTED_VALUE"""),"Giselle")</f>
        <v>Giselle</v>
      </c>
      <c r="B2915" t="str">
        <f>IFERROR(__xludf.DUMMYFUNCTION("""COMPUTED_VALUE"""),"Miami Lakes")</f>
        <v>Miami Lakes</v>
      </c>
      <c r="C2915" t="str">
        <f>IFERROR(__xludf.DUMMYFUNCTION("""COMPUTED_VALUE"""),"FL")</f>
        <v>FL</v>
      </c>
      <c r="D2915" t="str">
        <f>IFERROR(__xludf.DUMMYFUNCTION("""COMPUTED_VALUE"""),"USA")</f>
        <v>USA</v>
      </c>
      <c r="E2915" s="188">
        <f>IFERROR(__xludf.DUMMYFUNCTION("""COMPUTED_VALUE"""),44331.0)</f>
        <v>44331</v>
      </c>
      <c r="F2915" s="188">
        <f>IFERROR(__xludf.DUMMYFUNCTION("""COMPUTED_VALUE"""),44355.0)</f>
        <v>44355</v>
      </c>
      <c r="G2915" t="str">
        <f>IFERROR(__xludf.DUMMYFUNCTION("""COMPUTED_VALUE"""),"Manage order page (normal text)")</f>
        <v>Manage order page (normal text)</v>
      </c>
      <c r="I2915" t="str">
        <f>IFERROR(__xludf.DUMMYFUNCTION("""COMPUTED_VALUE"""),"06/21")</f>
        <v>06/21</v>
      </c>
      <c r="J2915" s="188">
        <f>IFERROR(__xludf.DUMMYFUNCTION("""COMPUTED_VALUE"""),44374.0)</f>
        <v>44374</v>
      </c>
      <c r="K2915">
        <f>IFERROR(__xludf.DUMMYFUNCTION("""COMPUTED_VALUE"""),24.0)</f>
        <v>24</v>
      </c>
      <c r="L2915">
        <f>IFERROR(__xludf.DUMMYFUNCTION("""COMPUTED_VALUE"""),19.0)</f>
        <v>19</v>
      </c>
      <c r="M2915">
        <f>IFERROR(__xludf.DUMMYFUNCTION("""COMPUTED_VALUE"""),43.0)</f>
        <v>43</v>
      </c>
      <c r="N2915" t="str">
        <f>IFERROR(__xludf.DUMMYFUNCTION("""COMPUTED_VALUE"""),"Model 3 SR+")</f>
        <v>Model 3 SR+</v>
      </c>
      <c r="O2915" t="str">
        <f>IFERROR(__xludf.DUMMYFUNCTION("""COMPUTED_VALUE"""),"Pearl White Multi-Coat")</f>
        <v>Pearl White Multi-Coat</v>
      </c>
      <c r="P2915" t="str">
        <f>IFERROR(__xludf.DUMMYFUNCTION("""COMPUTED_VALUE"""),"18 inch")</f>
        <v>18 inch</v>
      </c>
      <c r="Q2915" t="str">
        <f>IFERROR(__xludf.DUMMYFUNCTION("""COMPUTED_VALUE"""),"All Black")</f>
        <v>All Black</v>
      </c>
      <c r="R2915" t="str">
        <f>IFERROR(__xludf.DUMMYFUNCTION("""COMPUTED_VALUE"""),"Full Self-Driving")</f>
        <v>Full Self-Driving</v>
      </c>
      <c r="S2915" t="str">
        <f>IFERROR(__xludf.DUMMYFUNCTION("""COMPUTED_VALUE"""),"Lease")</f>
        <v>Lease</v>
      </c>
      <c r="T2915" t="str">
        <f>IFERROR(__xludf.DUMMYFUNCTION("""COMPUTED_VALUE"""),"Chevy Equinox")</f>
        <v>Chevy Equinox</v>
      </c>
      <c r="U2915" t="str">
        <f>IFERROR(__xludf.DUMMYFUNCTION("""COMPUTED_VALUE"""),"Autopilot")</f>
        <v>Autopilot</v>
      </c>
      <c r="V2915" t="str">
        <f>IFERROR(__xludf.DUMMYFUNCTION("""COMPUTED_VALUE"""),"Apple CarPlay / Android Auto / SiriusXM Radio")</f>
        <v>Apple CarPlay / Android Auto / SiriusXM Radio</v>
      </c>
      <c r="W2915" t="str">
        <f>IFERROR(__xludf.DUMMYFUNCTION("""COMPUTED_VALUE"""),"Be patient!")</f>
        <v>Be patient!</v>
      </c>
      <c r="X2915" t="str">
        <f>IFERROR(__xludf.DUMMYFUNCTION("""COMPUTED_VALUE"""),"Excellent")</f>
        <v>Excellent</v>
      </c>
      <c r="Y2915" t="str">
        <f>IFERROR(__xludf.DUMMYFUNCTION("""COMPUTED_VALUE"""),"Very Good")</f>
        <v>Very Good</v>
      </c>
      <c r="Z2915" t="str">
        <f>IFERROR(__xludf.DUMMYFUNCTION("""COMPUTED_VALUE"""),"Excellent")</f>
        <v>Excellent</v>
      </c>
      <c r="AA2915" t="str">
        <f>IFERROR(__xludf.DUMMYFUNCTION("""COMPUTED_VALUE"""),"Poor")</f>
        <v>Poor</v>
      </c>
      <c r="AB2915" t="str">
        <f>IFERROR(__xludf.DUMMYFUNCTION("""COMPUTED_VALUE"""),"Excellent")</f>
        <v>Excellent</v>
      </c>
      <c r="AC2915">
        <f>IFERROR(__xludf.DUMMYFUNCTION("""COMPUTED_VALUE"""),3.0)</f>
        <v>3</v>
      </c>
      <c r="AD2915">
        <f>IFERROR(__xludf.DUMMYFUNCTION("""COMPUTED_VALUE"""),1.0)</f>
        <v>1</v>
      </c>
      <c r="AF2915" t="str">
        <f>IFERROR(__xludf.DUMMYFUNCTION("""COMPUTED_VALUE"""),"No. I took delivery of the first car Tesla was able to deliver.")</f>
        <v>No. I took delivery of the first car Tesla was able to deliver.</v>
      </c>
      <c r="AH2915" s="189">
        <f>IFERROR(__xludf.DUMMYFUNCTION("""COMPUTED_VALUE"""),44375.56575447917)</f>
        <v>44375.56575</v>
      </c>
    </row>
    <row r="2916">
      <c r="A2916" t="str">
        <f>IFERROR(__xludf.DUMMYFUNCTION("""COMPUTED_VALUE"""),"jdbx")</f>
        <v>jdbx</v>
      </c>
      <c r="B2916" t="str">
        <f>IFERROR(__xludf.DUMMYFUNCTION("""COMPUTED_VALUE"""),"Pleasant Hill")</f>
        <v>Pleasant Hill</v>
      </c>
      <c r="C2916" t="str">
        <f>IFERROR(__xludf.DUMMYFUNCTION("""COMPUTED_VALUE"""),"CA")</f>
        <v>CA</v>
      </c>
      <c r="D2916" t="str">
        <f>IFERROR(__xludf.DUMMYFUNCTION("""COMPUTED_VALUE"""),"USA")</f>
        <v>USA</v>
      </c>
      <c r="E2916" s="188">
        <f>IFERROR(__xludf.DUMMYFUNCTION("""COMPUTED_VALUE"""),44332.0)</f>
        <v>44332</v>
      </c>
      <c r="F2916" s="188">
        <f>IFERROR(__xludf.DUMMYFUNCTION("""COMPUTED_VALUE"""),44345.0)</f>
        <v>44345</v>
      </c>
      <c r="G2916" t="str">
        <f>IFERROR(__xludf.DUMMYFUNCTION("""COMPUTED_VALUE"""),"Manage order page (normal text)")</f>
        <v>Manage order page (normal text)</v>
      </c>
      <c r="H2916">
        <f>IFERROR(__xludf.DUMMYFUNCTION("""COMPUTED_VALUE"""),981155.0)</f>
        <v>981155</v>
      </c>
      <c r="I2916" t="str">
        <f>IFERROR(__xludf.DUMMYFUNCTION("""COMPUTED_VALUE"""),"05/21")</f>
        <v>05/21</v>
      </c>
      <c r="J2916" s="188">
        <f>IFERROR(__xludf.DUMMYFUNCTION("""COMPUTED_VALUE"""),44348.0)</f>
        <v>44348</v>
      </c>
      <c r="K2916">
        <f>IFERROR(__xludf.DUMMYFUNCTION("""COMPUTED_VALUE"""),13.0)</f>
        <v>13</v>
      </c>
      <c r="L2916">
        <f>IFERROR(__xludf.DUMMYFUNCTION("""COMPUTED_VALUE"""),3.0)</f>
        <v>3</v>
      </c>
      <c r="M2916">
        <f>IFERROR(__xludf.DUMMYFUNCTION("""COMPUTED_VALUE"""),16.0)</f>
        <v>16</v>
      </c>
      <c r="N2916" t="str">
        <f>IFERROR(__xludf.DUMMYFUNCTION("""COMPUTED_VALUE"""),"Model 3 Performance")</f>
        <v>Model 3 Performance</v>
      </c>
      <c r="O2916" t="str">
        <f>IFERROR(__xludf.DUMMYFUNCTION("""COMPUTED_VALUE"""),"Deep Blue Metallic")</f>
        <v>Deep Blue Metallic</v>
      </c>
      <c r="P2916" t="str">
        <f>IFERROR(__xludf.DUMMYFUNCTION("""COMPUTED_VALUE"""),"20 inch")</f>
        <v>20 inch</v>
      </c>
      <c r="Q2916" t="str">
        <f>IFERROR(__xludf.DUMMYFUNCTION("""COMPUTED_VALUE"""),"All Black")</f>
        <v>All Black</v>
      </c>
      <c r="R2916" t="str">
        <f>IFERROR(__xludf.DUMMYFUNCTION("""COMPUTED_VALUE"""),"Autopilot included")</f>
        <v>Autopilot included</v>
      </c>
      <c r="S2916" t="str">
        <f>IFERROR(__xludf.DUMMYFUNCTION("""COMPUTED_VALUE"""),"Loan")</f>
        <v>Loan</v>
      </c>
      <c r="T2916" t="str">
        <f>IFERROR(__xludf.DUMMYFUNCTION("""COMPUTED_VALUE"""),"Tesla Model S")</f>
        <v>Tesla Model S</v>
      </c>
      <c r="U2916" t="str">
        <f>IFERROR(__xludf.DUMMYFUNCTION("""COMPUTED_VALUE"""),"Electric!")</f>
        <v>Electric!</v>
      </c>
      <c r="V2916" t="str">
        <f>IFERROR(__xludf.DUMMYFUNCTION("""COMPUTED_VALUE"""),"Apple CarPlay / Android Auto / SiriusXM Radio")</f>
        <v>Apple CarPlay / Android Auto / SiriusXM Radio</v>
      </c>
      <c r="X2916" t="str">
        <f>IFERROR(__xludf.DUMMYFUNCTION("""COMPUTED_VALUE"""),"Excellent")</f>
        <v>Excellent</v>
      </c>
      <c r="Y2916" t="str">
        <f>IFERROR(__xludf.DUMMYFUNCTION("""COMPUTED_VALUE"""),"Excellent")</f>
        <v>Excellent</v>
      </c>
      <c r="Z2916" t="str">
        <f>IFERROR(__xludf.DUMMYFUNCTION("""COMPUTED_VALUE"""),"Excellent")</f>
        <v>Excellent</v>
      </c>
      <c r="AA2916" t="str">
        <f>IFERROR(__xludf.DUMMYFUNCTION("""COMPUTED_VALUE"""),"Excellent")</f>
        <v>Excellent</v>
      </c>
      <c r="AB2916" t="str">
        <f>IFERROR(__xludf.DUMMYFUNCTION("""COMPUTED_VALUE"""),"Excellent")</f>
        <v>Excellent</v>
      </c>
      <c r="AF2916" t="str">
        <f>IFERROR(__xludf.DUMMYFUNCTION("""COMPUTED_VALUE"""),"No. I took delivery of the first car Tesla was able to deliver.")</f>
        <v>No. I took delivery of the first car Tesla was able to deliver.</v>
      </c>
      <c r="AH2916" s="189">
        <f>IFERROR(__xludf.DUMMYFUNCTION("""COMPUTED_VALUE"""),44349.51702112269)</f>
        <v>44349.51702</v>
      </c>
    </row>
    <row r="2917">
      <c r="A2917" t="str">
        <f>IFERROR(__xludf.DUMMYFUNCTION("""COMPUTED_VALUE"""),"bro1999")</f>
        <v>bro1999</v>
      </c>
      <c r="C2917" t="str">
        <f>IFERROR(__xludf.DUMMYFUNCTION("""COMPUTED_VALUE"""),"MD")</f>
        <v>MD</v>
      </c>
      <c r="D2917" t="str">
        <f>IFERROR(__xludf.DUMMYFUNCTION("""COMPUTED_VALUE"""),"USA")</f>
        <v>USA</v>
      </c>
      <c r="E2917" s="188">
        <f>IFERROR(__xludf.DUMMYFUNCTION("""COMPUTED_VALUE"""),44322.0)</f>
        <v>44322</v>
      </c>
      <c r="F2917" s="188">
        <f>IFERROR(__xludf.DUMMYFUNCTION("""COMPUTED_VALUE"""),44359.0)</f>
        <v>44359</v>
      </c>
      <c r="G2917" t="str">
        <f>IFERROR(__xludf.DUMMYFUNCTION("""COMPUTED_VALUE"""),"Manage order page (normal text)")</f>
        <v>Manage order page (normal text)</v>
      </c>
      <c r="H2917">
        <f>IFERROR(__xludf.DUMMYFUNCTION("""COMPUTED_VALUE"""),18322.0)</f>
        <v>18322</v>
      </c>
      <c r="J2917" s="188">
        <f>IFERROR(__xludf.DUMMYFUNCTION("""COMPUTED_VALUE"""),44406.0)</f>
        <v>44406</v>
      </c>
      <c r="K2917">
        <f>IFERROR(__xludf.DUMMYFUNCTION("""COMPUTED_VALUE"""),37.0)</f>
        <v>37</v>
      </c>
      <c r="L2917">
        <f>IFERROR(__xludf.DUMMYFUNCTION("""COMPUTED_VALUE"""),47.0)</f>
        <v>47</v>
      </c>
      <c r="M2917">
        <f>IFERROR(__xludf.DUMMYFUNCTION("""COMPUTED_VALUE"""),84.0)</f>
        <v>84</v>
      </c>
      <c r="N2917" t="str">
        <f>IFERROR(__xludf.DUMMYFUNCTION("""COMPUTED_VALUE"""),"Model 3 SR+")</f>
        <v>Model 3 SR+</v>
      </c>
      <c r="O2917" t="str">
        <f>IFERROR(__xludf.DUMMYFUNCTION("""COMPUTED_VALUE"""),"Pearl White Multi-Coat")</f>
        <v>Pearl White Multi-Coat</v>
      </c>
      <c r="P2917" t="str">
        <f>IFERROR(__xludf.DUMMYFUNCTION("""COMPUTED_VALUE"""),"18 inch")</f>
        <v>18 inch</v>
      </c>
      <c r="Q2917" t="str">
        <f>IFERROR(__xludf.DUMMYFUNCTION("""COMPUTED_VALUE"""),"Black and White")</f>
        <v>Black and White</v>
      </c>
      <c r="R2917" t="str">
        <f>IFERROR(__xludf.DUMMYFUNCTION("""COMPUTED_VALUE"""),"Autopilot included")</f>
        <v>Autopilot included</v>
      </c>
      <c r="S2917" t="str">
        <f>IFERROR(__xludf.DUMMYFUNCTION("""COMPUTED_VALUE"""),"Loan")</f>
        <v>Loan</v>
      </c>
      <c r="T2917" t="str">
        <f>IFERROR(__xludf.DUMMYFUNCTION("""COMPUTED_VALUE"""),"Chevy Bolt")</f>
        <v>Chevy Bolt</v>
      </c>
      <c r="U2917" t="str">
        <f>IFERROR(__xludf.DUMMYFUNCTION("""COMPUTED_VALUE"""),"tech features")</f>
        <v>tech features</v>
      </c>
      <c r="V2917" t="str">
        <f>IFERROR(__xludf.DUMMYFUNCTION("""COMPUTED_VALUE"""),"Apple CarPlay / Android Auto / SiriusXM Radio")</f>
        <v>Apple CarPlay / Android Auto / SiriusXM Radio</v>
      </c>
      <c r="W2917" t="str">
        <f>IFERROR(__xludf.DUMMYFUNCTION("""COMPUTED_VALUE"""),"patience")</f>
        <v>patience</v>
      </c>
      <c r="X2917" t="str">
        <f>IFERROR(__xludf.DUMMYFUNCTION("""COMPUTED_VALUE"""),"Excellent")</f>
        <v>Excellent</v>
      </c>
      <c r="Y2917" t="str">
        <f>IFERROR(__xludf.DUMMYFUNCTION("""COMPUTED_VALUE"""),"Excellent")</f>
        <v>Excellent</v>
      </c>
      <c r="Z2917" t="str">
        <f>IFERROR(__xludf.DUMMYFUNCTION("""COMPUTED_VALUE"""),"Excellent")</f>
        <v>Excellent</v>
      </c>
      <c r="AA2917" t="str">
        <f>IFERROR(__xludf.DUMMYFUNCTION("""COMPUTED_VALUE"""),"Fair")</f>
        <v>Fair</v>
      </c>
      <c r="AB2917" t="str">
        <f>IFERROR(__xludf.DUMMYFUNCTION("""COMPUTED_VALUE"""),"Excellent")</f>
        <v>Excellent</v>
      </c>
      <c r="AF2917" t="str">
        <f>IFERROR(__xludf.DUMMYFUNCTION("""COMPUTED_VALUE"""),"Yes. I refused delivery once and took delivery of the second car.")</f>
        <v>Yes. I refused delivery once and took delivery of the second car.</v>
      </c>
      <c r="AH2917" s="189">
        <f>IFERROR(__xludf.DUMMYFUNCTION("""COMPUTED_VALUE"""),44407.170671898144)</f>
        <v>44407.17067</v>
      </c>
    </row>
    <row r="2918">
      <c r="A2918" t="str">
        <f>IFERROR(__xludf.DUMMYFUNCTION("""COMPUTED_VALUE"""),"TexAlly5")</f>
        <v>TexAlly5</v>
      </c>
      <c r="B2918" t="str">
        <f>IFERROR(__xludf.DUMMYFUNCTION("""COMPUTED_VALUE"""),"Corpus Christi")</f>
        <v>Corpus Christi</v>
      </c>
      <c r="C2918" t="str">
        <f>IFERROR(__xludf.DUMMYFUNCTION("""COMPUTED_VALUE"""),"TX")</f>
        <v>TX</v>
      </c>
      <c r="D2918" t="str">
        <f>IFERROR(__xludf.DUMMYFUNCTION("""COMPUTED_VALUE"""),"USA")</f>
        <v>USA</v>
      </c>
      <c r="E2918" s="188">
        <f>IFERROR(__xludf.DUMMYFUNCTION("""COMPUTED_VALUE"""),44328.0)</f>
        <v>44328</v>
      </c>
      <c r="F2918" s="188">
        <f>IFERROR(__xludf.DUMMYFUNCTION("""COMPUTED_VALUE"""),44353.0)</f>
        <v>44353</v>
      </c>
      <c r="G2918" t="str">
        <f>IFERROR(__xludf.DUMMYFUNCTION("""COMPUTED_VALUE"""),"Manage order page (normal text)")</f>
        <v>Manage order page (normal text)</v>
      </c>
      <c r="H2918">
        <f>IFERROR(__xludf.DUMMYFUNCTION("""COMPUTED_VALUE"""),988355.0)</f>
        <v>988355</v>
      </c>
      <c r="I2918" t="str">
        <f>IFERROR(__xludf.DUMMYFUNCTION("""COMPUTED_VALUE"""),"06/21")</f>
        <v>06/21</v>
      </c>
      <c r="J2918" s="188">
        <f>IFERROR(__xludf.DUMMYFUNCTION("""COMPUTED_VALUE"""),44370.0)</f>
        <v>44370</v>
      </c>
      <c r="K2918">
        <f>IFERROR(__xludf.DUMMYFUNCTION("""COMPUTED_VALUE"""),25.0)</f>
        <v>25</v>
      </c>
      <c r="L2918">
        <f>IFERROR(__xludf.DUMMYFUNCTION("""COMPUTED_VALUE"""),17.0)</f>
        <v>17</v>
      </c>
      <c r="M2918">
        <f>IFERROR(__xludf.DUMMYFUNCTION("""COMPUTED_VALUE"""),42.0)</f>
        <v>42</v>
      </c>
      <c r="N2918" t="str">
        <f>IFERROR(__xludf.DUMMYFUNCTION("""COMPUTED_VALUE"""),"Model 3 LR AWD")</f>
        <v>Model 3 LR AWD</v>
      </c>
      <c r="O2918" t="str">
        <f>IFERROR(__xludf.DUMMYFUNCTION("""COMPUTED_VALUE"""),"Midnight Silver Metallic")</f>
        <v>Midnight Silver Metallic</v>
      </c>
      <c r="P2918" t="str">
        <f>IFERROR(__xludf.DUMMYFUNCTION("""COMPUTED_VALUE"""),"18 inch")</f>
        <v>18 inch</v>
      </c>
      <c r="Q2918" t="str">
        <f>IFERROR(__xludf.DUMMYFUNCTION("""COMPUTED_VALUE"""),"All Black")</f>
        <v>All Black</v>
      </c>
      <c r="R2918" t="str">
        <f>IFERROR(__xludf.DUMMYFUNCTION("""COMPUTED_VALUE"""),"Full Self-Driving")</f>
        <v>Full Self-Driving</v>
      </c>
      <c r="S2918" t="str">
        <f>IFERROR(__xludf.DUMMYFUNCTION("""COMPUTED_VALUE"""),"Loan")</f>
        <v>Loan</v>
      </c>
      <c r="T2918" t="str">
        <f>IFERROR(__xludf.DUMMYFUNCTION("""COMPUTED_VALUE"""),"4Runner")</f>
        <v>4Runner</v>
      </c>
      <c r="U2918" t="str">
        <f>IFERROR(__xludf.DUMMYFUNCTION("""COMPUTED_VALUE"""),"Electric!")</f>
        <v>Electric!</v>
      </c>
      <c r="V2918" t="str">
        <f>IFERROR(__xludf.DUMMYFUNCTION("""COMPUTED_VALUE"""),"Head-up display")</f>
        <v>Head-up display</v>
      </c>
      <c r="X2918" t="str">
        <f>IFERROR(__xludf.DUMMYFUNCTION("""COMPUTED_VALUE"""),"Very Good")</f>
        <v>Very Good</v>
      </c>
      <c r="Y2918" t="str">
        <f>IFERROR(__xludf.DUMMYFUNCTION("""COMPUTED_VALUE"""),"Very Good")</f>
        <v>Very Good</v>
      </c>
      <c r="Z2918" t="str">
        <f>IFERROR(__xludf.DUMMYFUNCTION("""COMPUTED_VALUE"""),"Very Good")</f>
        <v>Very Good</v>
      </c>
      <c r="AA2918" t="str">
        <f>IFERROR(__xludf.DUMMYFUNCTION("""COMPUTED_VALUE"""),"Good")</f>
        <v>Good</v>
      </c>
      <c r="AB2918" t="str">
        <f>IFERROR(__xludf.DUMMYFUNCTION("""COMPUTED_VALUE"""),"Very Good")</f>
        <v>Very Good</v>
      </c>
      <c r="AC2918">
        <f>IFERROR(__xludf.DUMMYFUNCTION("""COMPUTED_VALUE"""),0.0)</f>
        <v>0</v>
      </c>
      <c r="AF2918" t="str">
        <f>IFERROR(__xludf.DUMMYFUNCTION("""COMPUTED_VALUE"""),"No. I took delivery of the first car Tesla was able to deliver.")</f>
        <v>No. I took delivery of the first car Tesla was able to deliver.</v>
      </c>
      <c r="AH2918" s="189">
        <f>IFERROR(__xludf.DUMMYFUNCTION("""COMPUTED_VALUE"""),44372.349112627315)</f>
        <v>44372.34911</v>
      </c>
    </row>
    <row r="2919">
      <c r="A2919" t="str">
        <f>IFERROR(__xludf.DUMMYFUNCTION("""COMPUTED_VALUE"""),"Waltamobile")</f>
        <v>Waltamobile</v>
      </c>
      <c r="B2919" t="str">
        <f>IFERROR(__xludf.DUMMYFUNCTION("""COMPUTED_VALUE"""),"Grand Rapids")</f>
        <v>Grand Rapids</v>
      </c>
      <c r="C2919" t="str">
        <f>IFERROR(__xludf.DUMMYFUNCTION("""COMPUTED_VALUE"""),"MI")</f>
        <v>MI</v>
      </c>
      <c r="D2919" t="str">
        <f>IFERROR(__xludf.DUMMYFUNCTION("""COMPUTED_VALUE"""),"USA")</f>
        <v>USA</v>
      </c>
      <c r="E2919" s="188">
        <f>IFERROR(__xludf.DUMMYFUNCTION("""COMPUTED_VALUE"""),44328.0)</f>
        <v>44328</v>
      </c>
      <c r="F2919" s="188">
        <f>IFERROR(__xludf.DUMMYFUNCTION("""COMPUTED_VALUE"""),44357.0)</f>
        <v>44357</v>
      </c>
      <c r="G2919" t="str">
        <f>IFERROR(__xludf.DUMMYFUNCTION("""COMPUTED_VALUE"""),"Manage order page (normal text)")</f>
        <v>Manage order page (normal text)</v>
      </c>
      <c r="I2919" t="str">
        <f>IFERROR(__xludf.DUMMYFUNCTION("""COMPUTED_VALUE"""),"06/21")</f>
        <v>06/21</v>
      </c>
      <c r="J2919" s="188">
        <f>IFERROR(__xludf.DUMMYFUNCTION("""COMPUTED_VALUE"""),44366.0)</f>
        <v>44366</v>
      </c>
      <c r="K2919">
        <f>IFERROR(__xludf.DUMMYFUNCTION("""COMPUTED_VALUE"""),29.0)</f>
        <v>29</v>
      </c>
      <c r="L2919">
        <f>IFERROR(__xludf.DUMMYFUNCTION("""COMPUTED_VALUE"""),9.0)</f>
        <v>9</v>
      </c>
      <c r="M2919">
        <f>IFERROR(__xludf.DUMMYFUNCTION("""COMPUTED_VALUE"""),38.0)</f>
        <v>38</v>
      </c>
      <c r="N2919" t="str">
        <f>IFERROR(__xludf.DUMMYFUNCTION("""COMPUTED_VALUE"""),"Model 3 Performance")</f>
        <v>Model 3 Performance</v>
      </c>
      <c r="O2919" t="str">
        <f>IFERROR(__xludf.DUMMYFUNCTION("""COMPUTED_VALUE"""),"Red Multi-Coat")</f>
        <v>Red Multi-Coat</v>
      </c>
      <c r="P2919" t="str">
        <f>IFERROR(__xludf.DUMMYFUNCTION("""COMPUTED_VALUE"""),"20 inch")</f>
        <v>20 inch</v>
      </c>
      <c r="Q2919" t="str">
        <f>IFERROR(__xludf.DUMMYFUNCTION("""COMPUTED_VALUE"""),"All Black")</f>
        <v>All Black</v>
      </c>
      <c r="R2919" t="str">
        <f>IFERROR(__xludf.DUMMYFUNCTION("""COMPUTED_VALUE"""),"Autopilot included")</f>
        <v>Autopilot included</v>
      </c>
      <c r="S2919" t="str">
        <f>IFERROR(__xludf.DUMMYFUNCTION("""COMPUTED_VALUE"""),"Loan")</f>
        <v>Loan</v>
      </c>
      <c r="T2919" t="str">
        <f>IFERROR(__xludf.DUMMYFUNCTION("""COMPUTED_VALUE"""),"Acura TLX")</f>
        <v>Acura TLX</v>
      </c>
      <c r="U2919" t="str">
        <f>IFERROR(__xludf.DUMMYFUNCTION("""COMPUTED_VALUE"""),"Electric!")</f>
        <v>Electric!</v>
      </c>
      <c r="V2919" t="str">
        <f>IFERROR(__xludf.DUMMYFUNCTION("""COMPUTED_VALUE"""),"Apple CarPlay / Android Auto / SiriusXM Radio")</f>
        <v>Apple CarPlay / Android Auto / SiriusXM Radio</v>
      </c>
      <c r="X2919" t="str">
        <f>IFERROR(__xludf.DUMMYFUNCTION("""COMPUTED_VALUE"""),"Very Good")</f>
        <v>Very Good</v>
      </c>
      <c r="Y2919" t="str">
        <f>IFERROR(__xludf.DUMMYFUNCTION("""COMPUTED_VALUE"""),"Very Good")</f>
        <v>Very Good</v>
      </c>
      <c r="Z2919" t="str">
        <f>IFERROR(__xludf.DUMMYFUNCTION("""COMPUTED_VALUE"""),"Very Good")</f>
        <v>Very Good</v>
      </c>
      <c r="AA2919" t="str">
        <f>IFERROR(__xludf.DUMMYFUNCTION("""COMPUTED_VALUE"""),"Very Good")</f>
        <v>Very Good</v>
      </c>
      <c r="AB2919" t="str">
        <f>IFERROR(__xludf.DUMMYFUNCTION("""COMPUTED_VALUE"""),"Very Good")</f>
        <v>Very Good</v>
      </c>
      <c r="AC2919">
        <f>IFERROR(__xludf.DUMMYFUNCTION("""COMPUTED_VALUE"""),0.0)</f>
        <v>0</v>
      </c>
      <c r="AD2919">
        <f>IFERROR(__xludf.DUMMYFUNCTION("""COMPUTED_VALUE"""),0.0)</f>
        <v>0</v>
      </c>
      <c r="AF2919" t="str">
        <f>IFERROR(__xludf.DUMMYFUNCTION("""COMPUTED_VALUE"""),"No. I took delivery of the first car Tesla was able to deliver.")</f>
        <v>No. I took delivery of the first car Tesla was able to deliver.</v>
      </c>
      <c r="AH2919" s="189">
        <f>IFERROR(__xludf.DUMMYFUNCTION("""COMPUTED_VALUE"""),44382.25645421296)</f>
        <v>44382.25645</v>
      </c>
    </row>
    <row r="2920">
      <c r="A2920" t="str">
        <f>IFERROR(__xludf.DUMMYFUNCTION("""COMPUTED_VALUE"""),"musicfreak21")</f>
        <v>musicfreak21</v>
      </c>
      <c r="B2920" t="str">
        <f>IFERROR(__xludf.DUMMYFUNCTION("""COMPUTED_VALUE"""),"Huntington Beach")</f>
        <v>Huntington Beach</v>
      </c>
      <c r="C2920" t="str">
        <f>IFERROR(__xludf.DUMMYFUNCTION("""COMPUTED_VALUE"""),"CA")</f>
        <v>CA</v>
      </c>
      <c r="D2920" t="str">
        <f>IFERROR(__xludf.DUMMYFUNCTION("""COMPUTED_VALUE"""),"USA")</f>
        <v>USA</v>
      </c>
      <c r="E2920" s="188">
        <f>IFERROR(__xludf.DUMMYFUNCTION("""COMPUTED_VALUE"""),44276.0)</f>
        <v>44276</v>
      </c>
      <c r="F2920" s="188">
        <f>IFERROR(__xludf.DUMMYFUNCTION("""COMPUTED_VALUE"""),44344.0)</f>
        <v>44344</v>
      </c>
      <c r="G2920" t="str">
        <f>IFERROR(__xludf.DUMMYFUNCTION("""COMPUTED_VALUE"""),"Manage order page (normal text)")</f>
        <v>Manage order page (normal text)</v>
      </c>
      <c r="H2920">
        <f>IFERROR(__xludf.DUMMYFUNCTION("""COMPUTED_VALUE"""),978255.0)</f>
        <v>978255</v>
      </c>
      <c r="J2920" s="188">
        <f>IFERROR(__xludf.DUMMYFUNCTION("""COMPUTED_VALUE"""),44351.0)</f>
        <v>44351</v>
      </c>
      <c r="K2920">
        <f>IFERROR(__xludf.DUMMYFUNCTION("""COMPUTED_VALUE"""),68.0)</f>
        <v>68</v>
      </c>
      <c r="L2920">
        <f>IFERROR(__xludf.DUMMYFUNCTION("""COMPUTED_VALUE"""),7.0)</f>
        <v>7</v>
      </c>
      <c r="M2920">
        <f>IFERROR(__xludf.DUMMYFUNCTION("""COMPUTED_VALUE"""),75.0)</f>
        <v>75</v>
      </c>
      <c r="N2920" t="str">
        <f>IFERROR(__xludf.DUMMYFUNCTION("""COMPUTED_VALUE"""),"Model 3 SR+")</f>
        <v>Model 3 SR+</v>
      </c>
      <c r="O2920" t="str">
        <f>IFERROR(__xludf.DUMMYFUNCTION("""COMPUTED_VALUE"""),"Pearl White Multi-Coat")</f>
        <v>Pearl White Multi-Coat</v>
      </c>
      <c r="P2920" t="str">
        <f>IFERROR(__xludf.DUMMYFUNCTION("""COMPUTED_VALUE"""),"18 inch")</f>
        <v>18 inch</v>
      </c>
      <c r="Q2920" t="str">
        <f>IFERROR(__xludf.DUMMYFUNCTION("""COMPUTED_VALUE"""),"Black and White")</f>
        <v>Black and White</v>
      </c>
      <c r="R2920" t="str">
        <f>IFERROR(__xludf.DUMMYFUNCTION("""COMPUTED_VALUE"""),"Autopilot included")</f>
        <v>Autopilot included</v>
      </c>
      <c r="S2920" t="str">
        <f>IFERROR(__xludf.DUMMYFUNCTION("""COMPUTED_VALUE"""),"Loan")</f>
        <v>Loan</v>
      </c>
      <c r="T2920" t="str">
        <f>IFERROR(__xludf.DUMMYFUNCTION("""COMPUTED_VALUE"""),"Toyota Camry")</f>
        <v>Toyota Camry</v>
      </c>
      <c r="U2920" t="str">
        <f>IFERROR(__xludf.DUMMYFUNCTION("""COMPUTED_VALUE"""),"Autopilot")</f>
        <v>Autopilot</v>
      </c>
      <c r="V2920" t="str">
        <f>IFERROR(__xludf.DUMMYFUNCTION("""COMPUTED_VALUE"""),"Blind spot indicators on side mirrors")</f>
        <v>Blind spot indicators on side mirrors</v>
      </c>
      <c r="X2920" t="str">
        <f>IFERROR(__xludf.DUMMYFUNCTION("""COMPUTED_VALUE"""),"Excellent")</f>
        <v>Excellent</v>
      </c>
      <c r="Y2920" t="str">
        <f>IFERROR(__xludf.DUMMYFUNCTION("""COMPUTED_VALUE"""),"Excellent")</f>
        <v>Excellent</v>
      </c>
      <c r="Z2920" t="str">
        <f>IFERROR(__xludf.DUMMYFUNCTION("""COMPUTED_VALUE"""),"Excellent")</f>
        <v>Excellent</v>
      </c>
      <c r="AA2920" t="str">
        <f>IFERROR(__xludf.DUMMYFUNCTION("""COMPUTED_VALUE"""),"Very Good")</f>
        <v>Very Good</v>
      </c>
      <c r="AB2920" t="str">
        <f>IFERROR(__xludf.DUMMYFUNCTION("""COMPUTED_VALUE"""),"Excellent")</f>
        <v>Excellent</v>
      </c>
      <c r="AF2920" t="str">
        <f>IFERROR(__xludf.DUMMYFUNCTION("""COMPUTED_VALUE"""),"No. I took delivery of the first car Tesla was able to deliver.")</f>
        <v>No. I took delivery of the first car Tesla was able to deliver.</v>
      </c>
      <c r="AG2920" t="str">
        <f>IFERROR(__xludf.DUMMYFUNCTION("""COMPUTED_VALUE"""),"I ordered 3/21 but wasn’t looking to get car that quarter. I then received a car and vin the following week which I rejected delivery. I am now waiting to get my car this quarter. ")</f>
        <v>I ordered 3/21 but wasn’t looking to get car that quarter. I then received a car and vin the following week which I rejected delivery. I am now waiting to get my car this quarter. </v>
      </c>
      <c r="AH2920" s="189">
        <f>IFERROR(__xludf.DUMMYFUNCTION("""COMPUTED_VALUE"""),44351.69011087963)</f>
        <v>44351.69011</v>
      </c>
    </row>
    <row r="2921">
      <c r="A2921" t="str">
        <f>IFERROR(__xludf.DUMMYFUNCTION("""COMPUTED_VALUE"""),"RJG1493")</f>
        <v>RJG1493</v>
      </c>
      <c r="B2921" t="str">
        <f>IFERROR(__xludf.DUMMYFUNCTION("""COMPUTED_VALUE"""),"Denver")</f>
        <v>Denver</v>
      </c>
      <c r="C2921" t="str">
        <f>IFERROR(__xludf.DUMMYFUNCTION("""COMPUTED_VALUE"""),"CO")</f>
        <v>CO</v>
      </c>
      <c r="D2921" t="str">
        <f>IFERROR(__xludf.DUMMYFUNCTION("""COMPUTED_VALUE"""),"USA")</f>
        <v>USA</v>
      </c>
      <c r="E2921" s="188">
        <f>IFERROR(__xludf.DUMMYFUNCTION("""COMPUTED_VALUE"""),44320.0)</f>
        <v>44320</v>
      </c>
      <c r="F2921" s="188">
        <f>IFERROR(__xludf.DUMMYFUNCTION("""COMPUTED_VALUE"""),44365.0)</f>
        <v>44365</v>
      </c>
      <c r="G2921" t="str">
        <f>IFERROR(__xludf.DUMMYFUNCTION("""COMPUTED_VALUE"""),"Manage order page (normal text)")</f>
        <v>Manage order page (normal text)</v>
      </c>
      <c r="H2921">
        <f>IFERROR(__xludf.DUMMYFUNCTION("""COMPUTED_VALUE"""),997655.0)</f>
        <v>997655</v>
      </c>
      <c r="J2921" s="188">
        <f>IFERROR(__xludf.DUMMYFUNCTION("""COMPUTED_VALUE"""),44369.0)</f>
        <v>44369</v>
      </c>
      <c r="K2921">
        <f>IFERROR(__xludf.DUMMYFUNCTION("""COMPUTED_VALUE"""),45.0)</f>
        <v>45</v>
      </c>
      <c r="L2921">
        <f>IFERROR(__xludf.DUMMYFUNCTION("""COMPUTED_VALUE"""),4.0)</f>
        <v>4</v>
      </c>
      <c r="M2921">
        <f>IFERROR(__xludf.DUMMYFUNCTION("""COMPUTED_VALUE"""),49.0)</f>
        <v>49</v>
      </c>
      <c r="N2921" t="str">
        <f>IFERROR(__xludf.DUMMYFUNCTION("""COMPUTED_VALUE"""),"Model 3 LR AWD")</f>
        <v>Model 3 LR AWD</v>
      </c>
      <c r="O2921" t="str">
        <f>IFERROR(__xludf.DUMMYFUNCTION("""COMPUTED_VALUE"""),"Pearl White Multi-Coat")</f>
        <v>Pearl White Multi-Coat</v>
      </c>
      <c r="P2921" t="str">
        <f>IFERROR(__xludf.DUMMYFUNCTION("""COMPUTED_VALUE"""),"19 inch")</f>
        <v>19 inch</v>
      </c>
      <c r="Q2921" t="str">
        <f>IFERROR(__xludf.DUMMYFUNCTION("""COMPUTED_VALUE"""),"All Black")</f>
        <v>All Black</v>
      </c>
      <c r="R2921" t="str">
        <f>IFERROR(__xludf.DUMMYFUNCTION("""COMPUTED_VALUE"""),"Autopilot included")</f>
        <v>Autopilot included</v>
      </c>
      <c r="S2921" t="str">
        <f>IFERROR(__xludf.DUMMYFUNCTION("""COMPUTED_VALUE"""),"Loan")</f>
        <v>Loan</v>
      </c>
      <c r="T2921" t="str">
        <f>IFERROR(__xludf.DUMMYFUNCTION("""COMPUTED_VALUE"""),"Chevy Volt")</f>
        <v>Chevy Volt</v>
      </c>
      <c r="U2921" t="str">
        <f>IFERROR(__xludf.DUMMYFUNCTION("""COMPUTED_VALUE"""),"Electric!")</f>
        <v>Electric!</v>
      </c>
      <c r="V2921" t="str">
        <f>IFERROR(__xludf.DUMMYFUNCTION("""COMPUTED_VALUE"""),"Blind spot indicators on side mirrors")</f>
        <v>Blind spot indicators on side mirrors</v>
      </c>
      <c r="W2921" t="str">
        <f>IFERROR(__xludf.DUMMYFUNCTION("""COMPUTED_VALUE"""),"Patience! ")</f>
        <v>Patience! </v>
      </c>
      <c r="X2921" t="str">
        <f>IFERROR(__xludf.DUMMYFUNCTION("""COMPUTED_VALUE"""),"Excellent")</f>
        <v>Excellent</v>
      </c>
      <c r="Y2921" t="str">
        <f>IFERROR(__xludf.DUMMYFUNCTION("""COMPUTED_VALUE"""),"Excellent")</f>
        <v>Excellent</v>
      </c>
      <c r="Z2921" t="str">
        <f>IFERROR(__xludf.DUMMYFUNCTION("""COMPUTED_VALUE"""),"Excellent")</f>
        <v>Excellent</v>
      </c>
      <c r="AA2921" t="str">
        <f>IFERROR(__xludf.DUMMYFUNCTION("""COMPUTED_VALUE"""),"Fair")</f>
        <v>Fair</v>
      </c>
      <c r="AB2921" t="str">
        <f>IFERROR(__xludf.DUMMYFUNCTION("""COMPUTED_VALUE"""),"Excellent")</f>
        <v>Excellent</v>
      </c>
      <c r="AC2921">
        <f>IFERROR(__xludf.DUMMYFUNCTION("""COMPUTED_VALUE"""),1.0)</f>
        <v>1</v>
      </c>
      <c r="AD2921">
        <f>IFERROR(__xludf.DUMMYFUNCTION("""COMPUTED_VALUE"""),1.0)</f>
        <v>1</v>
      </c>
      <c r="AE2921">
        <f>IFERROR(__xludf.DUMMYFUNCTION("""COMPUTED_VALUE"""),30.0)</f>
        <v>30</v>
      </c>
      <c r="AF2921" t="str">
        <f>IFERROR(__xludf.DUMMYFUNCTION("""COMPUTED_VALUE"""),"No. I took delivery of the first car Tesla was able to deliver.")</f>
        <v>No. I took delivery of the first car Tesla was able to deliver.</v>
      </c>
      <c r="AG2921" t="str">
        <f>IFERROR(__xludf.DUMMYFUNCTION("""COMPUTED_VALUE"""),"Needed entire battery replaced...less than 2k mileage.")</f>
        <v>Needed entire battery replaced...less than 2k mileage.</v>
      </c>
      <c r="AH2921" s="189">
        <f>IFERROR(__xludf.DUMMYFUNCTION("""COMPUTED_VALUE"""),44462.34572603009)</f>
        <v>44462.34573</v>
      </c>
    </row>
    <row r="2922">
      <c r="A2922" t="str">
        <f>IFERROR(__xludf.DUMMYFUNCTION("""COMPUTED_VALUE"""),"Caarod")</f>
        <v>Caarod</v>
      </c>
      <c r="B2922" t="str">
        <f>IFERROR(__xludf.DUMMYFUNCTION("""COMPUTED_VALUE"""),"Orlando")</f>
        <v>Orlando</v>
      </c>
      <c r="C2922" t="str">
        <f>IFERROR(__xludf.DUMMYFUNCTION("""COMPUTED_VALUE"""),"FL")</f>
        <v>FL</v>
      </c>
      <c r="D2922" t="str">
        <f>IFERROR(__xludf.DUMMYFUNCTION("""COMPUTED_VALUE"""),"USA")</f>
        <v>USA</v>
      </c>
      <c r="E2922" s="188">
        <f>IFERROR(__xludf.DUMMYFUNCTION("""COMPUTED_VALUE"""),44287.0)</f>
        <v>44287</v>
      </c>
      <c r="F2922" s="188">
        <f>IFERROR(__xludf.DUMMYFUNCTION("""COMPUTED_VALUE"""),44345.0)</f>
        <v>44345</v>
      </c>
      <c r="G2922" t="str">
        <f>IFERROR(__xludf.DUMMYFUNCTION("""COMPUTED_VALUE"""),"Manage order page (normal text)")</f>
        <v>Manage order page (normal text)</v>
      </c>
      <c r="J2922" s="188">
        <f>IFERROR(__xludf.DUMMYFUNCTION("""COMPUTED_VALUE"""),44351.0)</f>
        <v>44351</v>
      </c>
      <c r="K2922">
        <f>IFERROR(__xludf.DUMMYFUNCTION("""COMPUTED_VALUE"""),58.0)</f>
        <v>58</v>
      </c>
      <c r="L2922">
        <f>IFERROR(__xludf.DUMMYFUNCTION("""COMPUTED_VALUE"""),6.0)</f>
        <v>6</v>
      </c>
      <c r="M2922">
        <f>IFERROR(__xludf.DUMMYFUNCTION("""COMPUTED_VALUE"""),64.0)</f>
        <v>64</v>
      </c>
      <c r="N2922" t="str">
        <f>IFERROR(__xludf.DUMMYFUNCTION("""COMPUTED_VALUE"""),"Model 3 LR AWD")</f>
        <v>Model 3 LR AWD</v>
      </c>
      <c r="O2922" t="str">
        <f>IFERROR(__xludf.DUMMYFUNCTION("""COMPUTED_VALUE"""),"Pearl White Multi-Coat")</f>
        <v>Pearl White Multi-Coat</v>
      </c>
      <c r="P2922" t="str">
        <f>IFERROR(__xludf.DUMMYFUNCTION("""COMPUTED_VALUE"""),"19 inch")</f>
        <v>19 inch</v>
      </c>
      <c r="Q2922" t="str">
        <f>IFERROR(__xludf.DUMMYFUNCTION("""COMPUTED_VALUE"""),"All Black")</f>
        <v>All Black</v>
      </c>
      <c r="R2922" t="str">
        <f>IFERROR(__xludf.DUMMYFUNCTION("""COMPUTED_VALUE"""),"Autopilot included")</f>
        <v>Autopilot included</v>
      </c>
      <c r="S2922" t="str">
        <f>IFERROR(__xludf.DUMMYFUNCTION("""COMPUTED_VALUE"""),"Loan")</f>
        <v>Loan</v>
      </c>
      <c r="T2922" t="str">
        <f>IFERROR(__xludf.DUMMYFUNCTION("""COMPUTED_VALUE"""),"Lexus IS250")</f>
        <v>Lexus IS250</v>
      </c>
      <c r="U2922" t="str">
        <f>IFERROR(__xludf.DUMMYFUNCTION("""COMPUTED_VALUE"""),"Electric!")</f>
        <v>Electric!</v>
      </c>
      <c r="V2922" t="str">
        <f>IFERROR(__xludf.DUMMYFUNCTION("""COMPUTED_VALUE"""),"Apple CarPlay / Android Auto / SiriusXM Radio")</f>
        <v>Apple CarPlay / Android Auto / SiriusXM Radio</v>
      </c>
      <c r="W2922" t="str">
        <f>IFERROR(__xludf.DUMMYFUNCTION("""COMPUTED_VALUE"""),"be patient")</f>
        <v>be patient</v>
      </c>
      <c r="AH2922" s="189">
        <f>IFERROR(__xludf.DUMMYFUNCTION("""COMPUTED_VALUE"""),44345.79431670139)</f>
        <v>44345.79432</v>
      </c>
    </row>
    <row r="2923">
      <c r="A2923" t="str">
        <f>IFERROR(__xludf.DUMMYFUNCTION("""COMPUTED_VALUE"""),"Spinytail859")</f>
        <v>Spinytail859</v>
      </c>
      <c r="B2923" t="str">
        <f>IFERROR(__xludf.DUMMYFUNCTION("""COMPUTED_VALUE"""),"Pittsburgh")</f>
        <v>Pittsburgh</v>
      </c>
      <c r="C2923" t="str">
        <f>IFERROR(__xludf.DUMMYFUNCTION("""COMPUTED_VALUE"""),"PA")</f>
        <v>PA</v>
      </c>
      <c r="D2923" t="str">
        <f>IFERROR(__xludf.DUMMYFUNCTION("""COMPUTED_VALUE"""),"USA")</f>
        <v>USA</v>
      </c>
      <c r="E2923" s="188">
        <f>IFERROR(__xludf.DUMMYFUNCTION("""COMPUTED_VALUE"""),44317.0)</f>
        <v>44317</v>
      </c>
      <c r="F2923" s="188">
        <f>IFERROR(__xludf.DUMMYFUNCTION("""COMPUTED_VALUE"""),44357.0)</f>
        <v>44357</v>
      </c>
      <c r="G2923" t="str">
        <f>IFERROR(__xludf.DUMMYFUNCTION("""COMPUTED_VALUE"""),"Manage order page (normal text)")</f>
        <v>Manage order page (normal text)</v>
      </c>
      <c r="H2923">
        <f>IFERROR(__xludf.DUMMYFUNCTION("""COMPUTED_VALUE"""),990981.0)</f>
        <v>990981</v>
      </c>
      <c r="I2923" t="str">
        <f>IFERROR(__xludf.DUMMYFUNCTION("""COMPUTED_VALUE"""),"06/21")</f>
        <v>06/21</v>
      </c>
      <c r="J2923" s="188">
        <f>IFERROR(__xludf.DUMMYFUNCTION("""COMPUTED_VALUE"""),44370.0)</f>
        <v>44370</v>
      </c>
      <c r="K2923">
        <f>IFERROR(__xludf.DUMMYFUNCTION("""COMPUTED_VALUE"""),40.0)</f>
        <v>40</v>
      </c>
      <c r="L2923">
        <f>IFERROR(__xludf.DUMMYFUNCTION("""COMPUTED_VALUE"""),13.0)</f>
        <v>13</v>
      </c>
      <c r="M2923">
        <f>IFERROR(__xludf.DUMMYFUNCTION("""COMPUTED_VALUE"""),53.0)</f>
        <v>53</v>
      </c>
      <c r="N2923" t="str">
        <f>IFERROR(__xludf.DUMMYFUNCTION("""COMPUTED_VALUE"""),"Model 3 Performance")</f>
        <v>Model 3 Performance</v>
      </c>
      <c r="O2923" t="str">
        <f>IFERROR(__xludf.DUMMYFUNCTION("""COMPUTED_VALUE"""),"Red Multi-Coat")</f>
        <v>Red Multi-Coat</v>
      </c>
      <c r="P2923" t="str">
        <f>IFERROR(__xludf.DUMMYFUNCTION("""COMPUTED_VALUE"""),"20 inch")</f>
        <v>20 inch</v>
      </c>
      <c r="Q2923" t="str">
        <f>IFERROR(__xludf.DUMMYFUNCTION("""COMPUTED_VALUE"""),"All Black")</f>
        <v>All Black</v>
      </c>
      <c r="R2923" t="str">
        <f>IFERROR(__xludf.DUMMYFUNCTION("""COMPUTED_VALUE"""),"Autopilot included")</f>
        <v>Autopilot included</v>
      </c>
      <c r="S2923" t="str">
        <f>IFERROR(__xludf.DUMMYFUNCTION("""COMPUTED_VALUE"""),"Loan")</f>
        <v>Loan</v>
      </c>
      <c r="T2923" t="str">
        <f>IFERROR(__xludf.DUMMYFUNCTION("""COMPUTED_VALUE"""),"2006 Mazdaspeed6")</f>
        <v>2006 Mazdaspeed6</v>
      </c>
      <c r="U2923" t="str">
        <f>IFERROR(__xludf.DUMMYFUNCTION("""COMPUTED_VALUE"""),"Electric!")</f>
        <v>Electric!</v>
      </c>
      <c r="V2923" t="str">
        <f>IFERROR(__xludf.DUMMYFUNCTION("""COMPUTED_VALUE"""),"Head-up display")</f>
        <v>Head-up display</v>
      </c>
      <c r="X2923" t="str">
        <f>IFERROR(__xludf.DUMMYFUNCTION("""COMPUTED_VALUE"""),"Very Good")</f>
        <v>Very Good</v>
      </c>
      <c r="Y2923" t="str">
        <f>IFERROR(__xludf.DUMMYFUNCTION("""COMPUTED_VALUE"""),"Very Good")</f>
        <v>Very Good</v>
      </c>
      <c r="Z2923" t="str">
        <f>IFERROR(__xludf.DUMMYFUNCTION("""COMPUTED_VALUE"""),"Very Good")</f>
        <v>Very Good</v>
      </c>
      <c r="AA2923" t="str">
        <f>IFERROR(__xludf.DUMMYFUNCTION("""COMPUTED_VALUE"""),"Very Good")</f>
        <v>Very Good</v>
      </c>
      <c r="AB2923" t="str">
        <f>IFERROR(__xludf.DUMMYFUNCTION("""COMPUTED_VALUE"""),"Excellent")</f>
        <v>Excellent</v>
      </c>
      <c r="AC2923">
        <f>IFERROR(__xludf.DUMMYFUNCTION("""COMPUTED_VALUE"""),3.0)</f>
        <v>3</v>
      </c>
      <c r="AD2923">
        <f>IFERROR(__xludf.DUMMYFUNCTION("""COMPUTED_VALUE"""),1.0)</f>
        <v>1</v>
      </c>
      <c r="AE2923">
        <f>IFERROR(__xludf.DUMMYFUNCTION("""COMPUTED_VALUE"""),1.0)</f>
        <v>1</v>
      </c>
      <c r="AF2923" t="str">
        <f>IFERROR(__xludf.DUMMYFUNCTION("""COMPUTED_VALUE"""),"No. I took delivery of the first car Tesla was able to deliver.")</f>
        <v>No. I took delivery of the first car Tesla was able to deliver.</v>
      </c>
      <c r="AH2923" s="189">
        <f>IFERROR(__xludf.DUMMYFUNCTION("""COMPUTED_VALUE"""),44413.18895084491)</f>
        <v>44413.18895</v>
      </c>
    </row>
    <row r="2924">
      <c r="A2924" t="str">
        <f>IFERROR(__xludf.DUMMYFUNCTION("""COMPUTED_VALUE"""),"Shuang")</f>
        <v>Shuang</v>
      </c>
      <c r="B2924" t="str">
        <f>IFERROR(__xludf.DUMMYFUNCTION("""COMPUTED_VALUE"""),"Watertown")</f>
        <v>Watertown</v>
      </c>
      <c r="C2924" t="str">
        <f>IFERROR(__xludf.DUMMYFUNCTION("""COMPUTED_VALUE"""),"MA")</f>
        <v>MA</v>
      </c>
      <c r="D2924" t="str">
        <f>IFERROR(__xludf.DUMMYFUNCTION("""COMPUTED_VALUE"""),"USA")</f>
        <v>USA</v>
      </c>
      <c r="E2924" s="188">
        <f>IFERROR(__xludf.DUMMYFUNCTION("""COMPUTED_VALUE"""),44321.0)</f>
        <v>44321</v>
      </c>
      <c r="F2924" s="188">
        <f>IFERROR(__xludf.DUMMYFUNCTION("""COMPUTED_VALUE"""),44349.0)</f>
        <v>44349</v>
      </c>
      <c r="G2924" t="str">
        <f>IFERROR(__xludf.DUMMYFUNCTION("""COMPUTED_VALUE"""),"Manage order page (normal text)")</f>
        <v>Manage order page (normal text)</v>
      </c>
      <c r="H2924">
        <f>IFERROR(__xludf.DUMMYFUNCTION("""COMPUTED_VALUE"""),983155.0)</f>
        <v>983155</v>
      </c>
      <c r="I2924" t="str">
        <f>IFERROR(__xludf.DUMMYFUNCTION("""COMPUTED_VALUE"""),"06/21")</f>
        <v>06/21</v>
      </c>
      <c r="J2924" s="188">
        <f>IFERROR(__xludf.DUMMYFUNCTION("""COMPUTED_VALUE"""),44363.0)</f>
        <v>44363</v>
      </c>
      <c r="K2924">
        <f>IFERROR(__xludf.DUMMYFUNCTION("""COMPUTED_VALUE"""),28.0)</f>
        <v>28</v>
      </c>
      <c r="L2924">
        <f>IFERROR(__xludf.DUMMYFUNCTION("""COMPUTED_VALUE"""),14.0)</f>
        <v>14</v>
      </c>
      <c r="M2924">
        <f>IFERROR(__xludf.DUMMYFUNCTION("""COMPUTED_VALUE"""),42.0)</f>
        <v>42</v>
      </c>
      <c r="N2924" t="str">
        <f>IFERROR(__xludf.DUMMYFUNCTION("""COMPUTED_VALUE"""),"Model 3 LR AWD")</f>
        <v>Model 3 LR AWD</v>
      </c>
      <c r="O2924" t="str">
        <f>IFERROR(__xludf.DUMMYFUNCTION("""COMPUTED_VALUE"""),"Deep Blue Metallic")</f>
        <v>Deep Blue Metallic</v>
      </c>
      <c r="P2924" t="str">
        <f>IFERROR(__xludf.DUMMYFUNCTION("""COMPUTED_VALUE"""),"18 inch")</f>
        <v>18 inch</v>
      </c>
      <c r="Q2924" t="str">
        <f>IFERROR(__xludf.DUMMYFUNCTION("""COMPUTED_VALUE"""),"All Black")</f>
        <v>All Black</v>
      </c>
      <c r="R2924" t="str">
        <f>IFERROR(__xludf.DUMMYFUNCTION("""COMPUTED_VALUE"""),"Autopilot included")</f>
        <v>Autopilot included</v>
      </c>
      <c r="S2924" t="str">
        <f>IFERROR(__xludf.DUMMYFUNCTION("""COMPUTED_VALUE"""),"Loan")</f>
        <v>Loan</v>
      </c>
      <c r="T2924" t="str">
        <f>IFERROR(__xludf.DUMMYFUNCTION("""COMPUTED_VALUE"""),"Honda CRV")</f>
        <v>Honda CRV</v>
      </c>
      <c r="U2924" t="str">
        <f>IFERROR(__xludf.DUMMYFUNCTION("""COMPUTED_VALUE"""),"Electric!")</f>
        <v>Electric!</v>
      </c>
      <c r="V2924" t="str">
        <f>IFERROR(__xludf.DUMMYFUNCTION("""COMPUTED_VALUE"""),"Head-up display")</f>
        <v>Head-up display</v>
      </c>
      <c r="X2924" t="str">
        <f>IFERROR(__xludf.DUMMYFUNCTION("""COMPUTED_VALUE"""),"Very Good")</f>
        <v>Very Good</v>
      </c>
      <c r="Y2924" t="str">
        <f>IFERROR(__xludf.DUMMYFUNCTION("""COMPUTED_VALUE"""),"Very Good")</f>
        <v>Very Good</v>
      </c>
      <c r="Z2924" t="str">
        <f>IFERROR(__xludf.DUMMYFUNCTION("""COMPUTED_VALUE"""),"Good")</f>
        <v>Good</v>
      </c>
      <c r="AA2924" t="str">
        <f>IFERROR(__xludf.DUMMYFUNCTION("""COMPUTED_VALUE"""),"Very Good")</f>
        <v>Very Good</v>
      </c>
      <c r="AB2924" t="str">
        <f>IFERROR(__xludf.DUMMYFUNCTION("""COMPUTED_VALUE"""),"Very Good")</f>
        <v>Very Good</v>
      </c>
      <c r="AC2924">
        <f>IFERROR(__xludf.DUMMYFUNCTION("""COMPUTED_VALUE"""),1.0)</f>
        <v>1</v>
      </c>
      <c r="AF2924" t="str">
        <f>IFERROR(__xludf.DUMMYFUNCTION("""COMPUTED_VALUE"""),"No. I took delivery of the first car Tesla was able to deliver.")</f>
        <v>No. I took delivery of the first car Tesla was able to deliver.</v>
      </c>
      <c r="AH2924" s="189">
        <f>IFERROR(__xludf.DUMMYFUNCTION("""COMPUTED_VALUE"""),44364.50767594908)</f>
        <v>44364.50768</v>
      </c>
    </row>
    <row r="2925">
      <c r="A2925" t="str">
        <f>IFERROR(__xludf.DUMMYFUNCTION("""COMPUTED_VALUE"""),"Snikt")</f>
        <v>Snikt</v>
      </c>
      <c r="B2925" t="str">
        <f>IFERROR(__xludf.DUMMYFUNCTION("""COMPUTED_VALUE"""),"Denver")</f>
        <v>Denver</v>
      </c>
      <c r="C2925" t="str">
        <f>IFERROR(__xludf.DUMMYFUNCTION("""COMPUTED_VALUE"""),"CO")</f>
        <v>CO</v>
      </c>
      <c r="D2925" t="str">
        <f>IFERROR(__xludf.DUMMYFUNCTION("""COMPUTED_VALUE"""),"USA")</f>
        <v>USA</v>
      </c>
      <c r="E2925" s="188">
        <f>IFERROR(__xludf.DUMMYFUNCTION("""COMPUTED_VALUE"""),44329.0)</f>
        <v>44329</v>
      </c>
      <c r="F2925" s="188">
        <f>IFERROR(__xludf.DUMMYFUNCTION("""COMPUTED_VALUE"""),44368.0)</f>
        <v>44368</v>
      </c>
      <c r="G2925" t="str">
        <f>IFERROR(__xludf.DUMMYFUNCTION("""COMPUTED_VALUE"""),"Manage order page (normal text)")</f>
        <v>Manage order page (normal text)</v>
      </c>
      <c r="H2925">
        <f>IFERROR(__xludf.DUMMYFUNCTION("""COMPUTED_VALUE"""),998555.0)</f>
        <v>998555</v>
      </c>
      <c r="I2925" t="str">
        <f>IFERROR(__xludf.DUMMYFUNCTION("""COMPUTED_VALUE"""),"06/21")</f>
        <v>06/21</v>
      </c>
      <c r="J2925" s="188">
        <f>IFERROR(__xludf.DUMMYFUNCTION("""COMPUTED_VALUE"""),44373.0)</f>
        <v>44373</v>
      </c>
      <c r="K2925">
        <f>IFERROR(__xludf.DUMMYFUNCTION("""COMPUTED_VALUE"""),39.0)</f>
        <v>39</v>
      </c>
      <c r="L2925">
        <f>IFERROR(__xludf.DUMMYFUNCTION("""COMPUTED_VALUE"""),5.0)</f>
        <v>5</v>
      </c>
      <c r="M2925">
        <f>IFERROR(__xludf.DUMMYFUNCTION("""COMPUTED_VALUE"""),44.0)</f>
        <v>44</v>
      </c>
      <c r="N2925" t="str">
        <f>IFERROR(__xludf.DUMMYFUNCTION("""COMPUTED_VALUE"""),"Model 3 LR AWD")</f>
        <v>Model 3 LR AWD</v>
      </c>
      <c r="O2925" t="str">
        <f>IFERROR(__xludf.DUMMYFUNCTION("""COMPUTED_VALUE"""),"Deep Blue Metallic")</f>
        <v>Deep Blue Metallic</v>
      </c>
      <c r="P2925" t="str">
        <f>IFERROR(__xludf.DUMMYFUNCTION("""COMPUTED_VALUE"""),"18 inch")</f>
        <v>18 inch</v>
      </c>
      <c r="Q2925" t="str">
        <f>IFERROR(__xludf.DUMMYFUNCTION("""COMPUTED_VALUE"""),"All Black")</f>
        <v>All Black</v>
      </c>
      <c r="R2925" t="str">
        <f>IFERROR(__xludf.DUMMYFUNCTION("""COMPUTED_VALUE"""),"Autopilot included")</f>
        <v>Autopilot included</v>
      </c>
      <c r="X2925" t="str">
        <f>IFERROR(__xludf.DUMMYFUNCTION("""COMPUTED_VALUE"""),"Excellent")</f>
        <v>Excellent</v>
      </c>
      <c r="Y2925" t="str">
        <f>IFERROR(__xludf.DUMMYFUNCTION("""COMPUTED_VALUE"""),"Excellent")</f>
        <v>Excellent</v>
      </c>
      <c r="Z2925" t="str">
        <f>IFERROR(__xludf.DUMMYFUNCTION("""COMPUTED_VALUE"""),"Excellent")</f>
        <v>Excellent</v>
      </c>
      <c r="AA2925" t="str">
        <f>IFERROR(__xludf.DUMMYFUNCTION("""COMPUTED_VALUE"""),"Excellent")</f>
        <v>Excellent</v>
      </c>
      <c r="AB2925" t="str">
        <f>IFERROR(__xludf.DUMMYFUNCTION("""COMPUTED_VALUE"""),"Excellent")</f>
        <v>Excellent</v>
      </c>
      <c r="AH2925" s="189">
        <f>IFERROR(__xludf.DUMMYFUNCTION("""COMPUTED_VALUE"""),44375.41417122685)</f>
        <v>44375.41417</v>
      </c>
    </row>
    <row r="2926">
      <c r="A2926" t="str">
        <f>IFERROR(__xludf.DUMMYFUNCTION("""COMPUTED_VALUE"""),"luv2laaf")</f>
        <v>luv2laaf</v>
      </c>
      <c r="B2926" t="str">
        <f>IFERROR(__xludf.DUMMYFUNCTION("""COMPUTED_VALUE"""),"Montreal")</f>
        <v>Montreal</v>
      </c>
      <c r="C2926" t="str">
        <f>IFERROR(__xludf.DUMMYFUNCTION("""COMPUTED_VALUE"""),"QC")</f>
        <v>QC</v>
      </c>
      <c r="D2926" t="str">
        <f>IFERROR(__xludf.DUMMYFUNCTION("""COMPUTED_VALUE"""),"Canada")</f>
        <v>Canada</v>
      </c>
      <c r="E2926" s="188">
        <f>IFERROR(__xludf.DUMMYFUNCTION("""COMPUTED_VALUE"""),44333.0)</f>
        <v>44333</v>
      </c>
      <c r="F2926" s="188">
        <f>IFERROR(__xludf.DUMMYFUNCTION("""COMPUTED_VALUE"""),44358.0)</f>
        <v>44358</v>
      </c>
      <c r="G2926" t="str">
        <f>IFERROR(__xludf.DUMMYFUNCTION("""COMPUTED_VALUE"""),"Email")</f>
        <v>Email</v>
      </c>
      <c r="H2926">
        <f>IFERROR(__xludf.DUMMYFUNCTION("""COMPUTED_VALUE"""),986012.0)</f>
        <v>986012</v>
      </c>
      <c r="J2926" s="188">
        <f>IFERROR(__xludf.DUMMYFUNCTION("""COMPUTED_VALUE"""),44365.0)</f>
        <v>44365</v>
      </c>
      <c r="K2926">
        <f>IFERROR(__xludf.DUMMYFUNCTION("""COMPUTED_VALUE"""),25.0)</f>
        <v>25</v>
      </c>
      <c r="L2926">
        <f>IFERROR(__xludf.DUMMYFUNCTION("""COMPUTED_VALUE"""),7.0)</f>
        <v>7</v>
      </c>
      <c r="M2926">
        <f>IFERROR(__xludf.DUMMYFUNCTION("""COMPUTED_VALUE"""),32.0)</f>
        <v>32</v>
      </c>
      <c r="N2926" t="str">
        <f>IFERROR(__xludf.DUMMYFUNCTION("""COMPUTED_VALUE"""),"Model 3 SR+")</f>
        <v>Model 3 SR+</v>
      </c>
      <c r="O2926" t="str">
        <f>IFERROR(__xludf.DUMMYFUNCTION("""COMPUTED_VALUE"""),"Pearl White Multi-Coat")</f>
        <v>Pearl White Multi-Coat</v>
      </c>
      <c r="P2926" t="str">
        <f>IFERROR(__xludf.DUMMYFUNCTION("""COMPUTED_VALUE"""),"18 inch")</f>
        <v>18 inch</v>
      </c>
      <c r="Q2926" t="str">
        <f>IFERROR(__xludf.DUMMYFUNCTION("""COMPUTED_VALUE"""),"All Black")</f>
        <v>All Black</v>
      </c>
      <c r="R2926" t="str">
        <f>IFERROR(__xludf.DUMMYFUNCTION("""COMPUTED_VALUE"""),"Autopilot included")</f>
        <v>Autopilot included</v>
      </c>
      <c r="S2926" t="str">
        <f>IFERROR(__xludf.DUMMYFUNCTION("""COMPUTED_VALUE"""),"Loan")</f>
        <v>Loan</v>
      </c>
      <c r="U2926" t="str">
        <f>IFERROR(__xludf.DUMMYFUNCTION("""COMPUTED_VALUE"""),"Electric!")</f>
        <v>Electric!</v>
      </c>
      <c r="V2926" t="str">
        <f>IFERROR(__xludf.DUMMYFUNCTION("""COMPUTED_VALUE"""),"Air suspension")</f>
        <v>Air suspension</v>
      </c>
      <c r="X2926" t="str">
        <f>IFERROR(__xludf.DUMMYFUNCTION("""COMPUTED_VALUE"""),"Excellent")</f>
        <v>Excellent</v>
      </c>
      <c r="Y2926" t="str">
        <f>IFERROR(__xludf.DUMMYFUNCTION("""COMPUTED_VALUE"""),"Very Good")</f>
        <v>Very Good</v>
      </c>
      <c r="Z2926" t="str">
        <f>IFERROR(__xludf.DUMMYFUNCTION("""COMPUTED_VALUE"""),"Good")</f>
        <v>Good</v>
      </c>
      <c r="AA2926" t="str">
        <f>IFERROR(__xludf.DUMMYFUNCTION("""COMPUTED_VALUE"""),"Very Good")</f>
        <v>Very Good</v>
      </c>
      <c r="AB2926" t="str">
        <f>IFERROR(__xludf.DUMMYFUNCTION("""COMPUTED_VALUE"""),"Excellent")</f>
        <v>Excellent</v>
      </c>
      <c r="AC2926">
        <f>IFERROR(__xludf.DUMMYFUNCTION("""COMPUTED_VALUE"""),1.0)</f>
        <v>1</v>
      </c>
      <c r="AD2926">
        <f>IFERROR(__xludf.DUMMYFUNCTION("""COMPUTED_VALUE"""),1.0)</f>
        <v>1</v>
      </c>
      <c r="AE2926">
        <f>IFERROR(__xludf.DUMMYFUNCTION("""COMPUTED_VALUE"""),14.0)</f>
        <v>14</v>
      </c>
      <c r="AF2926" t="str">
        <f>IFERROR(__xludf.DUMMYFUNCTION("""COMPUTED_VALUE"""),"No. I took delivery of the first car Tesla was able to deliver.")</f>
        <v>No. I took delivery of the first car Tesla was able to deliver.</v>
      </c>
      <c r="AH2926" s="189">
        <f>IFERROR(__xludf.DUMMYFUNCTION("""COMPUTED_VALUE"""),44406.498020914354)</f>
        <v>44406.49802</v>
      </c>
    </row>
    <row r="2927">
      <c r="A2927" t="str">
        <f>IFERROR(__xludf.DUMMYFUNCTION("""COMPUTED_VALUE"""),"suzyqube")</f>
        <v>suzyqube</v>
      </c>
      <c r="B2927" t="str">
        <f>IFERROR(__xludf.DUMMYFUNCTION("""COMPUTED_VALUE"""),"Glendale")</f>
        <v>Glendale</v>
      </c>
      <c r="C2927" t="str">
        <f>IFERROR(__xludf.DUMMYFUNCTION("""COMPUTED_VALUE"""),"AZ")</f>
        <v>AZ</v>
      </c>
      <c r="D2927" t="str">
        <f>IFERROR(__xludf.DUMMYFUNCTION("""COMPUTED_VALUE"""),"USA")</f>
        <v>USA</v>
      </c>
      <c r="E2927" s="188">
        <f>IFERROR(__xludf.DUMMYFUNCTION("""COMPUTED_VALUE"""),44325.0)</f>
        <v>44325</v>
      </c>
      <c r="F2927" s="188">
        <f>IFERROR(__xludf.DUMMYFUNCTION("""COMPUTED_VALUE"""),44367.0)</f>
        <v>44367</v>
      </c>
      <c r="G2927" t="str">
        <f>IFERROR(__xludf.DUMMYFUNCTION("""COMPUTED_VALUE"""),"Text message")</f>
        <v>Text message</v>
      </c>
      <c r="H2927">
        <f>IFERROR(__xludf.DUMMYFUNCTION("""COMPUTED_VALUE"""),996355.0)</f>
        <v>996355</v>
      </c>
      <c r="J2927" s="188">
        <f>IFERROR(__xludf.DUMMYFUNCTION("""COMPUTED_VALUE"""),44369.0)</f>
        <v>44369</v>
      </c>
      <c r="K2927">
        <f>IFERROR(__xludf.DUMMYFUNCTION("""COMPUTED_VALUE"""),42.0)</f>
        <v>42</v>
      </c>
      <c r="L2927">
        <f>IFERROR(__xludf.DUMMYFUNCTION("""COMPUTED_VALUE"""),2.0)</f>
        <v>2</v>
      </c>
      <c r="M2927">
        <f>IFERROR(__xludf.DUMMYFUNCTION("""COMPUTED_VALUE"""),44.0)</f>
        <v>44</v>
      </c>
      <c r="N2927" t="str">
        <f>IFERROR(__xludf.DUMMYFUNCTION("""COMPUTED_VALUE"""),"Model 3 SR+")</f>
        <v>Model 3 SR+</v>
      </c>
      <c r="O2927" t="str">
        <f>IFERROR(__xludf.DUMMYFUNCTION("""COMPUTED_VALUE"""),"Midnight Silver Metallic")</f>
        <v>Midnight Silver Metallic</v>
      </c>
      <c r="P2927" t="str">
        <f>IFERROR(__xludf.DUMMYFUNCTION("""COMPUTED_VALUE"""),"18 inch")</f>
        <v>18 inch</v>
      </c>
      <c r="Q2927" t="str">
        <f>IFERROR(__xludf.DUMMYFUNCTION("""COMPUTED_VALUE"""),"All Black")</f>
        <v>All Black</v>
      </c>
      <c r="R2927" t="str">
        <f>IFERROR(__xludf.DUMMYFUNCTION("""COMPUTED_VALUE"""),"Autopilot included")</f>
        <v>Autopilot included</v>
      </c>
      <c r="S2927" t="str">
        <f>IFERROR(__xludf.DUMMYFUNCTION("""COMPUTED_VALUE"""),"Loan")</f>
        <v>Loan</v>
      </c>
      <c r="T2927" t="str">
        <f>IFERROR(__xludf.DUMMYFUNCTION("""COMPUTED_VALUE"""),"GMC Envoy")</f>
        <v>GMC Envoy</v>
      </c>
      <c r="U2927" t="str">
        <f>IFERROR(__xludf.DUMMYFUNCTION("""COMPUTED_VALUE"""),"Electric!")</f>
        <v>Electric!</v>
      </c>
      <c r="V2927" t="str">
        <f>IFERROR(__xludf.DUMMYFUNCTION("""COMPUTED_VALUE"""),"Apple CarPlay / Android Auto / SiriusXM Radio")</f>
        <v>Apple CarPlay / Android Auto / SiriusXM Radio</v>
      </c>
      <c r="X2927" t="str">
        <f>IFERROR(__xludf.DUMMYFUNCTION("""COMPUTED_VALUE"""),"Excellent")</f>
        <v>Excellent</v>
      </c>
      <c r="Y2927" t="str">
        <f>IFERROR(__xludf.DUMMYFUNCTION("""COMPUTED_VALUE"""),"Excellent")</f>
        <v>Excellent</v>
      </c>
      <c r="Z2927" t="str">
        <f>IFERROR(__xludf.DUMMYFUNCTION("""COMPUTED_VALUE"""),"Excellent")</f>
        <v>Excellent</v>
      </c>
      <c r="AA2927" t="str">
        <f>IFERROR(__xludf.DUMMYFUNCTION("""COMPUTED_VALUE"""),"Excellent")</f>
        <v>Excellent</v>
      </c>
      <c r="AB2927" t="str">
        <f>IFERROR(__xludf.DUMMYFUNCTION("""COMPUTED_VALUE"""),"Excellent")</f>
        <v>Excellent</v>
      </c>
      <c r="AC2927">
        <f>IFERROR(__xludf.DUMMYFUNCTION("""COMPUTED_VALUE"""),1.0)</f>
        <v>1</v>
      </c>
      <c r="AD2927">
        <f>IFERROR(__xludf.DUMMYFUNCTION("""COMPUTED_VALUE"""),1.0)</f>
        <v>1</v>
      </c>
      <c r="AE2927">
        <f>IFERROR(__xludf.DUMMYFUNCTION("""COMPUTED_VALUE"""),0.0)</f>
        <v>0</v>
      </c>
      <c r="AF2927" t="str">
        <f>IFERROR(__xludf.DUMMYFUNCTION("""COMPUTED_VALUE"""),"No. I took delivery of the first car Tesla was able to deliver.")</f>
        <v>No. I took delivery of the first car Tesla was able to deliver.</v>
      </c>
      <c r="AH2927" s="189">
        <f>IFERROR(__xludf.DUMMYFUNCTION("""COMPUTED_VALUE"""),44370.59117554398)</f>
        <v>44370.59118</v>
      </c>
    </row>
    <row r="2928">
      <c r="A2928" t="str">
        <f>IFERROR(__xludf.DUMMYFUNCTION("""COMPUTED_VALUE"""),"BaggedDev")</f>
        <v>BaggedDev</v>
      </c>
      <c r="B2928" t="str">
        <f>IFERROR(__xludf.DUMMYFUNCTION("""COMPUTED_VALUE"""),"Dixfield")</f>
        <v>Dixfield</v>
      </c>
      <c r="C2928" t="str">
        <f>IFERROR(__xludf.DUMMYFUNCTION("""COMPUTED_VALUE"""),"ME")</f>
        <v>ME</v>
      </c>
      <c r="D2928" t="str">
        <f>IFERROR(__xludf.DUMMYFUNCTION("""COMPUTED_VALUE"""),"USA")</f>
        <v>USA</v>
      </c>
      <c r="E2928" s="188">
        <f>IFERROR(__xludf.DUMMYFUNCTION("""COMPUTED_VALUE"""),44330.0)</f>
        <v>44330</v>
      </c>
      <c r="F2928" s="188">
        <f>IFERROR(__xludf.DUMMYFUNCTION("""COMPUTED_VALUE"""),44365.0)</f>
        <v>44365</v>
      </c>
      <c r="G2928" t="str">
        <f>IFERROR(__xludf.DUMMYFUNCTION("""COMPUTED_VALUE"""),"Email")</f>
        <v>Email</v>
      </c>
      <c r="H2928">
        <f>IFERROR(__xludf.DUMMYFUNCTION("""COMPUTED_VALUE"""),989866.0)</f>
        <v>989866</v>
      </c>
      <c r="J2928" s="188">
        <f>IFERROR(__xludf.DUMMYFUNCTION("""COMPUTED_VALUE"""),44371.0)</f>
        <v>44371</v>
      </c>
      <c r="K2928">
        <f>IFERROR(__xludf.DUMMYFUNCTION("""COMPUTED_VALUE"""),35.0)</f>
        <v>35</v>
      </c>
      <c r="L2928">
        <f>IFERROR(__xludf.DUMMYFUNCTION("""COMPUTED_VALUE"""),6.0)</f>
        <v>6</v>
      </c>
      <c r="M2928">
        <f>IFERROR(__xludf.DUMMYFUNCTION("""COMPUTED_VALUE"""),41.0)</f>
        <v>41</v>
      </c>
      <c r="N2928" t="str">
        <f>IFERROR(__xludf.DUMMYFUNCTION("""COMPUTED_VALUE"""),"Model 3 SR+")</f>
        <v>Model 3 SR+</v>
      </c>
      <c r="O2928" t="str">
        <f>IFERROR(__xludf.DUMMYFUNCTION("""COMPUTED_VALUE"""),"Pearl White Multi-Coat")</f>
        <v>Pearl White Multi-Coat</v>
      </c>
      <c r="P2928" t="str">
        <f>IFERROR(__xludf.DUMMYFUNCTION("""COMPUTED_VALUE"""),"18 inch")</f>
        <v>18 inch</v>
      </c>
      <c r="Q2928" t="str">
        <f>IFERROR(__xludf.DUMMYFUNCTION("""COMPUTED_VALUE"""),"Black and White")</f>
        <v>Black and White</v>
      </c>
      <c r="R2928" t="str">
        <f>IFERROR(__xludf.DUMMYFUNCTION("""COMPUTED_VALUE"""),"Autopilot included")</f>
        <v>Autopilot included</v>
      </c>
      <c r="S2928" t="str">
        <f>IFERROR(__xludf.DUMMYFUNCTION("""COMPUTED_VALUE"""),"Cash")</f>
        <v>Cash</v>
      </c>
      <c r="T2928" t="str">
        <f>IFERROR(__xludf.DUMMYFUNCTION("""COMPUTED_VALUE"""),"Honda Civic")</f>
        <v>Honda Civic</v>
      </c>
      <c r="U2928" t="str">
        <f>IFERROR(__xludf.DUMMYFUNCTION("""COMPUTED_VALUE"""),"Tesla brand image")</f>
        <v>Tesla brand image</v>
      </c>
      <c r="V2928" t="str">
        <f>IFERROR(__xludf.DUMMYFUNCTION("""COMPUTED_VALUE"""),"Heated steering wheel")</f>
        <v>Heated steering wheel</v>
      </c>
      <c r="X2928" t="str">
        <f>IFERROR(__xludf.DUMMYFUNCTION("""COMPUTED_VALUE"""),"Excellent")</f>
        <v>Excellent</v>
      </c>
      <c r="Y2928" t="str">
        <f>IFERROR(__xludf.DUMMYFUNCTION("""COMPUTED_VALUE"""),"Excellent")</f>
        <v>Excellent</v>
      </c>
      <c r="Z2928" t="str">
        <f>IFERROR(__xludf.DUMMYFUNCTION("""COMPUTED_VALUE"""),"Excellent")</f>
        <v>Excellent</v>
      </c>
      <c r="AA2928" t="str">
        <f>IFERROR(__xludf.DUMMYFUNCTION("""COMPUTED_VALUE"""),"Very Good")</f>
        <v>Very Good</v>
      </c>
      <c r="AB2928" t="str">
        <f>IFERROR(__xludf.DUMMYFUNCTION("""COMPUTED_VALUE"""),"Excellent")</f>
        <v>Excellent</v>
      </c>
      <c r="AC2928">
        <f>IFERROR(__xludf.DUMMYFUNCTION("""COMPUTED_VALUE"""),0.0)</f>
        <v>0</v>
      </c>
      <c r="AD2928">
        <f>IFERROR(__xludf.DUMMYFUNCTION("""COMPUTED_VALUE"""),0.0)</f>
        <v>0</v>
      </c>
      <c r="AE2928">
        <f>IFERROR(__xludf.DUMMYFUNCTION("""COMPUTED_VALUE"""),0.0)</f>
        <v>0</v>
      </c>
      <c r="AF2928" t="str">
        <f>IFERROR(__xludf.DUMMYFUNCTION("""COMPUTED_VALUE"""),"No. I took delivery of the first car Tesla was able to deliver.")</f>
        <v>No. I took delivery of the first car Tesla was able to deliver.</v>
      </c>
      <c r="AH2928" s="189">
        <f>IFERROR(__xludf.DUMMYFUNCTION("""COMPUTED_VALUE"""),44378.65230773148)</f>
        <v>44378.65231</v>
      </c>
    </row>
    <row r="2929">
      <c r="A2929" t="str">
        <f>IFERROR(__xludf.DUMMYFUNCTION("""COMPUTED_VALUE"""),"Crue")</f>
        <v>Crue</v>
      </c>
      <c r="B2929" t="str">
        <f>IFERROR(__xludf.DUMMYFUNCTION("""COMPUTED_VALUE"""),"Dallas")</f>
        <v>Dallas</v>
      </c>
      <c r="C2929" t="str">
        <f>IFERROR(__xludf.DUMMYFUNCTION("""COMPUTED_VALUE"""),"TX")</f>
        <v>TX</v>
      </c>
      <c r="D2929" t="str">
        <f>IFERROR(__xludf.DUMMYFUNCTION("""COMPUTED_VALUE"""),"USA")</f>
        <v>USA</v>
      </c>
      <c r="E2929" s="188">
        <f>IFERROR(__xludf.DUMMYFUNCTION("""COMPUTED_VALUE"""),44296.0)</f>
        <v>44296</v>
      </c>
      <c r="F2929" s="188">
        <f>IFERROR(__xludf.DUMMYFUNCTION("""COMPUTED_VALUE"""),44347.0)</f>
        <v>44347</v>
      </c>
      <c r="G2929" t="str">
        <f>IFERROR(__xludf.DUMMYFUNCTION("""COMPUTED_VALUE"""),"Manage order page (normal text)")</f>
        <v>Manage order page (normal text)</v>
      </c>
      <c r="H2929">
        <f>IFERROR(__xludf.DUMMYFUNCTION("""COMPUTED_VALUE"""),983055.0)</f>
        <v>983055</v>
      </c>
      <c r="I2929" t="str">
        <f>IFERROR(__xludf.DUMMYFUNCTION("""COMPUTED_VALUE"""),"05/21")</f>
        <v>05/21</v>
      </c>
      <c r="J2929" s="188">
        <f>IFERROR(__xludf.DUMMYFUNCTION("""COMPUTED_VALUE"""),44364.0)</f>
        <v>44364</v>
      </c>
      <c r="K2929">
        <f>IFERROR(__xludf.DUMMYFUNCTION("""COMPUTED_VALUE"""),51.0)</f>
        <v>51</v>
      </c>
      <c r="L2929">
        <f>IFERROR(__xludf.DUMMYFUNCTION("""COMPUTED_VALUE"""),17.0)</f>
        <v>17</v>
      </c>
      <c r="M2929">
        <f>IFERROR(__xludf.DUMMYFUNCTION("""COMPUTED_VALUE"""),68.0)</f>
        <v>68</v>
      </c>
      <c r="N2929" t="str">
        <f>IFERROR(__xludf.DUMMYFUNCTION("""COMPUTED_VALUE"""),"Model 3 SR+")</f>
        <v>Model 3 SR+</v>
      </c>
      <c r="O2929" t="str">
        <f>IFERROR(__xludf.DUMMYFUNCTION("""COMPUTED_VALUE"""),"Pearl White Multi-Coat")</f>
        <v>Pearl White Multi-Coat</v>
      </c>
      <c r="P2929" t="str">
        <f>IFERROR(__xludf.DUMMYFUNCTION("""COMPUTED_VALUE"""),"19 inch")</f>
        <v>19 inch</v>
      </c>
      <c r="Q2929" t="str">
        <f>IFERROR(__xludf.DUMMYFUNCTION("""COMPUTED_VALUE"""),"Black and White")</f>
        <v>Black and White</v>
      </c>
      <c r="R2929" t="str">
        <f>IFERROR(__xludf.DUMMYFUNCTION("""COMPUTED_VALUE"""),"Autopilot included")</f>
        <v>Autopilot included</v>
      </c>
      <c r="S2929" t="str">
        <f>IFERROR(__xludf.DUMMYFUNCTION("""COMPUTED_VALUE"""),"Loan")</f>
        <v>Loan</v>
      </c>
      <c r="T2929" t="str">
        <f>IFERROR(__xludf.DUMMYFUNCTION("""COMPUTED_VALUE"""),"Tesla Model 3")</f>
        <v>Tesla Model 3</v>
      </c>
      <c r="U2929" t="str">
        <f>IFERROR(__xludf.DUMMYFUNCTION("""COMPUTED_VALUE"""),"Electric!")</f>
        <v>Electric!</v>
      </c>
      <c r="V2929" t="str">
        <f>IFERROR(__xludf.DUMMYFUNCTION("""COMPUTED_VALUE"""),"360° Bird's eye view")</f>
        <v>360° Bird's eye view</v>
      </c>
      <c r="W2929" t="str">
        <f>IFERROR(__xludf.DUMMYFUNCTION("""COMPUTED_VALUE"""),"Use the checklist on Github")</f>
        <v>Use the checklist on Github</v>
      </c>
      <c r="X2929" t="str">
        <f>IFERROR(__xludf.DUMMYFUNCTION("""COMPUTED_VALUE"""),"Excellent")</f>
        <v>Excellent</v>
      </c>
      <c r="Y2929" t="str">
        <f>IFERROR(__xludf.DUMMYFUNCTION("""COMPUTED_VALUE"""),"Excellent")</f>
        <v>Excellent</v>
      </c>
      <c r="Z2929" t="str">
        <f>IFERROR(__xludf.DUMMYFUNCTION("""COMPUTED_VALUE"""),"Excellent")</f>
        <v>Excellent</v>
      </c>
      <c r="AA2929" t="str">
        <f>IFERROR(__xludf.DUMMYFUNCTION("""COMPUTED_VALUE"""),"Excellent")</f>
        <v>Excellent</v>
      </c>
      <c r="AB2929" t="str">
        <f>IFERROR(__xludf.DUMMYFUNCTION("""COMPUTED_VALUE"""),"Excellent")</f>
        <v>Excellent</v>
      </c>
      <c r="AC2929">
        <f>IFERROR(__xludf.DUMMYFUNCTION("""COMPUTED_VALUE"""),0.0)</f>
        <v>0</v>
      </c>
      <c r="AD2929">
        <f>IFERROR(__xludf.DUMMYFUNCTION("""COMPUTED_VALUE"""),0.0)</f>
        <v>0</v>
      </c>
      <c r="AE2929">
        <f>IFERROR(__xludf.DUMMYFUNCTION("""COMPUTED_VALUE"""),0.0)</f>
        <v>0</v>
      </c>
      <c r="AF2929" t="str">
        <f>IFERROR(__xludf.DUMMYFUNCTION("""COMPUTED_VALUE"""),"No. I took delivery of the first car Tesla was able to deliver.")</f>
        <v>No. I took delivery of the first car Tesla was able to deliver.</v>
      </c>
      <c r="AH2929" s="189">
        <f>IFERROR(__xludf.DUMMYFUNCTION("""COMPUTED_VALUE"""),44407.814151377315)</f>
        <v>44407.81415</v>
      </c>
    </row>
    <row r="2930">
      <c r="A2930" t="str">
        <f>IFERROR(__xludf.DUMMYFUNCTION("""COMPUTED_VALUE"""),"mrc73")</f>
        <v>mrc73</v>
      </c>
      <c r="B2930" t="str">
        <f>IFERROR(__xludf.DUMMYFUNCTION("""COMPUTED_VALUE"""),"St. Louis")</f>
        <v>St. Louis</v>
      </c>
      <c r="C2930" t="str">
        <f>IFERROR(__xludf.DUMMYFUNCTION("""COMPUTED_VALUE"""),"MO")</f>
        <v>MO</v>
      </c>
      <c r="D2930" t="str">
        <f>IFERROR(__xludf.DUMMYFUNCTION("""COMPUTED_VALUE"""),"USA")</f>
        <v>USA</v>
      </c>
      <c r="E2930" s="188">
        <f>IFERROR(__xludf.DUMMYFUNCTION("""COMPUTED_VALUE"""),44390.0)</f>
        <v>44390</v>
      </c>
      <c r="F2930" s="188">
        <f>IFERROR(__xludf.DUMMYFUNCTION("""COMPUTED_VALUE"""),44431.0)</f>
        <v>44431</v>
      </c>
      <c r="G2930" t="str">
        <f>IFERROR(__xludf.DUMMYFUNCTION("""COMPUTED_VALUE"""),"Manage order page (normal text)")</f>
        <v>Manage order page (normal text)</v>
      </c>
      <c r="H2930">
        <f>IFERROR(__xludf.DUMMYFUNCTION("""COMPUTED_VALUE"""),28247.0)</f>
        <v>28247</v>
      </c>
      <c r="I2930" t="str">
        <f>IFERROR(__xludf.DUMMYFUNCTION("""COMPUTED_VALUE"""),"08/21")</f>
        <v>08/21</v>
      </c>
      <c r="J2930" s="188">
        <f>IFERROR(__xludf.DUMMYFUNCTION("""COMPUTED_VALUE"""),44438.0)</f>
        <v>44438</v>
      </c>
      <c r="K2930">
        <f>IFERROR(__xludf.DUMMYFUNCTION("""COMPUTED_VALUE"""),41.0)</f>
        <v>41</v>
      </c>
      <c r="L2930">
        <f>IFERROR(__xludf.DUMMYFUNCTION("""COMPUTED_VALUE"""),7.0)</f>
        <v>7</v>
      </c>
      <c r="M2930">
        <f>IFERROR(__xludf.DUMMYFUNCTION("""COMPUTED_VALUE"""),48.0)</f>
        <v>48</v>
      </c>
      <c r="N2930" t="str">
        <f>IFERROR(__xludf.DUMMYFUNCTION("""COMPUTED_VALUE"""),"Model 3 LR AWD")</f>
        <v>Model 3 LR AWD</v>
      </c>
      <c r="O2930" t="str">
        <f>IFERROR(__xludf.DUMMYFUNCTION("""COMPUTED_VALUE"""),"Red Multi-Coat")</f>
        <v>Red Multi-Coat</v>
      </c>
      <c r="P2930" t="str">
        <f>IFERROR(__xludf.DUMMYFUNCTION("""COMPUTED_VALUE"""),"19 inch")</f>
        <v>19 inch</v>
      </c>
      <c r="Q2930" t="str">
        <f>IFERROR(__xludf.DUMMYFUNCTION("""COMPUTED_VALUE"""),"All Black")</f>
        <v>All Black</v>
      </c>
      <c r="R2930" t="str">
        <f>IFERROR(__xludf.DUMMYFUNCTION("""COMPUTED_VALUE"""),"Autopilot included")</f>
        <v>Autopilot included</v>
      </c>
      <c r="S2930" t="str">
        <f>IFERROR(__xludf.DUMMYFUNCTION("""COMPUTED_VALUE"""),"Loan")</f>
        <v>Loan</v>
      </c>
      <c r="T2930" t="str">
        <f>IFERROR(__xludf.DUMMYFUNCTION("""COMPUTED_VALUE"""),"Toyota 4Runner")</f>
        <v>Toyota 4Runner</v>
      </c>
      <c r="U2930" t="str">
        <f>IFERROR(__xludf.DUMMYFUNCTION("""COMPUTED_VALUE"""),"Electric!")</f>
        <v>Electric!</v>
      </c>
      <c r="V2930" t="str">
        <f>IFERROR(__xludf.DUMMYFUNCTION("""COMPUTED_VALUE"""),"HomeLink")</f>
        <v>HomeLink</v>
      </c>
      <c r="X2930" t="str">
        <f>IFERROR(__xludf.DUMMYFUNCTION("""COMPUTED_VALUE"""),"Excellent")</f>
        <v>Excellent</v>
      </c>
      <c r="Y2930" t="str">
        <f>IFERROR(__xludf.DUMMYFUNCTION("""COMPUTED_VALUE"""),"Excellent")</f>
        <v>Excellent</v>
      </c>
      <c r="Z2930" t="str">
        <f>IFERROR(__xludf.DUMMYFUNCTION("""COMPUTED_VALUE"""),"Very Good")</f>
        <v>Very Good</v>
      </c>
      <c r="AA2930" t="str">
        <f>IFERROR(__xludf.DUMMYFUNCTION("""COMPUTED_VALUE"""),"Fair")</f>
        <v>Fair</v>
      </c>
      <c r="AB2930" t="str">
        <f>IFERROR(__xludf.DUMMYFUNCTION("""COMPUTED_VALUE"""),"Very Good")</f>
        <v>Very Good</v>
      </c>
      <c r="AC2930">
        <f>IFERROR(__xludf.DUMMYFUNCTION("""COMPUTED_VALUE"""),1.0)</f>
        <v>1</v>
      </c>
      <c r="AD2930">
        <f>IFERROR(__xludf.DUMMYFUNCTION("""COMPUTED_VALUE"""),0.0)</f>
        <v>0</v>
      </c>
      <c r="AF2930" t="str">
        <f>IFERROR(__xludf.DUMMYFUNCTION("""COMPUTED_VALUE"""),"No. I took delivery of the first car Tesla was able to deliver.")</f>
        <v>No. I took delivery of the first car Tesla was able to deliver.</v>
      </c>
      <c r="AH2930" s="189">
        <f>IFERROR(__xludf.DUMMYFUNCTION("""COMPUTED_VALUE"""),44440.36077233797)</f>
        <v>44440.36077</v>
      </c>
    </row>
    <row r="2931">
      <c r="A2931" t="str">
        <f>IFERROR(__xludf.DUMMYFUNCTION("""COMPUTED_VALUE"""),"TheF3Z")</f>
        <v>TheF3Z</v>
      </c>
      <c r="B2931" t="str">
        <f>IFERROR(__xludf.DUMMYFUNCTION("""COMPUTED_VALUE"""),"Buckeye")</f>
        <v>Buckeye</v>
      </c>
      <c r="C2931" t="str">
        <f>IFERROR(__xludf.DUMMYFUNCTION("""COMPUTED_VALUE"""),"AZ")</f>
        <v>AZ</v>
      </c>
      <c r="D2931" t="str">
        <f>IFERROR(__xludf.DUMMYFUNCTION("""COMPUTED_VALUE"""),"USA")</f>
        <v>USA</v>
      </c>
      <c r="E2931" s="188">
        <f>IFERROR(__xludf.DUMMYFUNCTION("""COMPUTED_VALUE"""),44331.0)</f>
        <v>44331</v>
      </c>
      <c r="F2931" s="188">
        <f>IFERROR(__xludf.DUMMYFUNCTION("""COMPUTED_VALUE"""),44365.0)</f>
        <v>44365</v>
      </c>
      <c r="G2931" t="str">
        <f>IFERROR(__xludf.DUMMYFUNCTION("""COMPUTED_VALUE"""),"Manage order page (normal text)")</f>
        <v>Manage order page (normal text)</v>
      </c>
      <c r="H2931">
        <f>IFERROR(__xludf.DUMMYFUNCTION("""COMPUTED_VALUE"""),997055.0)</f>
        <v>997055</v>
      </c>
      <c r="J2931" s="188">
        <f>IFERROR(__xludf.DUMMYFUNCTION("""COMPUTED_VALUE"""),44368.0)</f>
        <v>44368</v>
      </c>
      <c r="K2931">
        <f>IFERROR(__xludf.DUMMYFUNCTION("""COMPUTED_VALUE"""),34.0)</f>
        <v>34</v>
      </c>
      <c r="L2931">
        <f>IFERROR(__xludf.DUMMYFUNCTION("""COMPUTED_VALUE"""),3.0)</f>
        <v>3</v>
      </c>
      <c r="M2931">
        <f>IFERROR(__xludf.DUMMYFUNCTION("""COMPUTED_VALUE"""),37.0)</f>
        <v>37</v>
      </c>
      <c r="N2931" t="str">
        <f>IFERROR(__xludf.DUMMYFUNCTION("""COMPUTED_VALUE"""),"Model 3 Performance")</f>
        <v>Model 3 Performance</v>
      </c>
      <c r="O2931" t="str">
        <f>IFERROR(__xludf.DUMMYFUNCTION("""COMPUTED_VALUE"""),"Pearl White Multi-Coat")</f>
        <v>Pearl White Multi-Coat</v>
      </c>
      <c r="P2931" t="str">
        <f>IFERROR(__xludf.DUMMYFUNCTION("""COMPUTED_VALUE"""),"20 inch")</f>
        <v>20 inch</v>
      </c>
      <c r="Q2931" t="str">
        <f>IFERROR(__xludf.DUMMYFUNCTION("""COMPUTED_VALUE"""),"All Black")</f>
        <v>All Black</v>
      </c>
      <c r="R2931" t="str">
        <f>IFERROR(__xludf.DUMMYFUNCTION("""COMPUTED_VALUE"""),"Autopilot included")</f>
        <v>Autopilot included</v>
      </c>
      <c r="S2931" t="str">
        <f>IFERROR(__xludf.DUMMYFUNCTION("""COMPUTED_VALUE"""),"Loan")</f>
        <v>Loan</v>
      </c>
      <c r="T2931" t="str">
        <f>IFERROR(__xludf.DUMMYFUNCTION("""COMPUTED_VALUE"""),"Toyota Tacoma")</f>
        <v>Toyota Tacoma</v>
      </c>
      <c r="U2931" t="str">
        <f>IFERROR(__xludf.DUMMYFUNCTION("""COMPUTED_VALUE"""),"Electric!")</f>
        <v>Electric!</v>
      </c>
      <c r="V2931" t="str">
        <f>IFERROR(__xludf.DUMMYFUNCTION("""COMPUTED_VALUE"""),"Ventilated seats")</f>
        <v>Ventilated seats</v>
      </c>
      <c r="X2931" t="str">
        <f>IFERROR(__xludf.DUMMYFUNCTION("""COMPUTED_VALUE"""),"Very Good")</f>
        <v>Very Good</v>
      </c>
      <c r="Y2931" t="str">
        <f>IFERROR(__xludf.DUMMYFUNCTION("""COMPUTED_VALUE"""),"Very Good")</f>
        <v>Very Good</v>
      </c>
      <c r="Z2931" t="str">
        <f>IFERROR(__xludf.DUMMYFUNCTION("""COMPUTED_VALUE"""),"Fair")</f>
        <v>Fair</v>
      </c>
      <c r="AA2931" t="str">
        <f>IFERROR(__xludf.DUMMYFUNCTION("""COMPUTED_VALUE"""),"Good")</f>
        <v>Good</v>
      </c>
      <c r="AB2931" t="str">
        <f>IFERROR(__xludf.DUMMYFUNCTION("""COMPUTED_VALUE"""),"Fair")</f>
        <v>Fair</v>
      </c>
      <c r="AC2931">
        <f>IFERROR(__xludf.DUMMYFUNCTION("""COMPUTED_VALUE"""),3.0)</f>
        <v>3</v>
      </c>
      <c r="AD2931">
        <f>IFERROR(__xludf.DUMMYFUNCTION("""COMPUTED_VALUE"""),2.0)</f>
        <v>2</v>
      </c>
      <c r="AF2931" t="str">
        <f>IFERROR(__xludf.DUMMYFUNCTION("""COMPUTED_VALUE"""),"No. I took delivery of the first car Tesla was able to deliver.")</f>
        <v>No. I took delivery of the first car Tesla was able to deliver.</v>
      </c>
      <c r="AH2931" s="189">
        <f>IFERROR(__xludf.DUMMYFUNCTION("""COMPUTED_VALUE"""),44384.740766076386)</f>
        <v>44384.74077</v>
      </c>
    </row>
    <row r="2932">
      <c r="A2932" t="str">
        <f>IFERROR(__xludf.DUMMYFUNCTION("""COMPUTED_VALUE"""),"SixZoSeven")</f>
        <v>SixZoSeven</v>
      </c>
      <c r="B2932" t="str">
        <f>IFERROR(__xludf.DUMMYFUNCTION("""COMPUTED_VALUE"""),"Carlsbad")</f>
        <v>Carlsbad</v>
      </c>
      <c r="C2932" t="str">
        <f>IFERROR(__xludf.DUMMYFUNCTION("""COMPUTED_VALUE"""),"CA")</f>
        <v>CA</v>
      </c>
      <c r="D2932" t="str">
        <f>IFERROR(__xludf.DUMMYFUNCTION("""COMPUTED_VALUE"""),"USA")</f>
        <v>USA</v>
      </c>
      <c r="E2932" s="188">
        <f>IFERROR(__xludf.DUMMYFUNCTION("""COMPUTED_VALUE"""),44321.0)</f>
        <v>44321</v>
      </c>
      <c r="F2932" s="188">
        <f>IFERROR(__xludf.DUMMYFUNCTION("""COMPUTED_VALUE"""),44369.0)</f>
        <v>44369</v>
      </c>
      <c r="G2932" t="str">
        <f>IFERROR(__xludf.DUMMYFUNCTION("""COMPUTED_VALUE"""),"Manage order page (normal text)")</f>
        <v>Manage order page (normal text)</v>
      </c>
      <c r="H2932">
        <f>IFERROR(__xludf.DUMMYFUNCTION("""COMPUTED_VALUE"""),999955.0)</f>
        <v>999955</v>
      </c>
      <c r="J2932" s="188">
        <f>IFERROR(__xludf.DUMMYFUNCTION("""COMPUTED_VALUE"""),44370.0)</f>
        <v>44370</v>
      </c>
      <c r="K2932">
        <f>IFERROR(__xludf.DUMMYFUNCTION("""COMPUTED_VALUE"""),48.0)</f>
        <v>48</v>
      </c>
      <c r="L2932">
        <f>IFERROR(__xludf.DUMMYFUNCTION("""COMPUTED_VALUE"""),1.0)</f>
        <v>1</v>
      </c>
      <c r="M2932">
        <f>IFERROR(__xludf.DUMMYFUNCTION("""COMPUTED_VALUE"""),49.0)</f>
        <v>49</v>
      </c>
      <c r="N2932" t="str">
        <f>IFERROR(__xludf.DUMMYFUNCTION("""COMPUTED_VALUE"""),"Model 3 LR AWD")</f>
        <v>Model 3 LR AWD</v>
      </c>
      <c r="O2932" t="str">
        <f>IFERROR(__xludf.DUMMYFUNCTION("""COMPUTED_VALUE"""),"Red Multi-Coat")</f>
        <v>Red Multi-Coat</v>
      </c>
      <c r="P2932" t="str">
        <f>IFERROR(__xludf.DUMMYFUNCTION("""COMPUTED_VALUE"""),"18 inch")</f>
        <v>18 inch</v>
      </c>
      <c r="Q2932" t="str">
        <f>IFERROR(__xludf.DUMMYFUNCTION("""COMPUTED_VALUE"""),"Black and White")</f>
        <v>Black and White</v>
      </c>
      <c r="R2932" t="str">
        <f>IFERROR(__xludf.DUMMYFUNCTION("""COMPUTED_VALUE"""),"Autopilot included")</f>
        <v>Autopilot included</v>
      </c>
      <c r="S2932" t="str">
        <f>IFERROR(__xludf.DUMMYFUNCTION("""COMPUTED_VALUE"""),"Loan")</f>
        <v>Loan</v>
      </c>
      <c r="T2932" t="str">
        <f>IFERROR(__xludf.DUMMYFUNCTION("""COMPUTED_VALUE"""),"Ford Focus")</f>
        <v>Ford Focus</v>
      </c>
      <c r="U2932" t="str">
        <f>IFERROR(__xludf.DUMMYFUNCTION("""COMPUTED_VALUE"""),"Autopilot")</f>
        <v>Autopilot</v>
      </c>
      <c r="V2932" t="str">
        <f>IFERROR(__xludf.DUMMYFUNCTION("""COMPUTED_VALUE"""),"Noise Cancellation")</f>
        <v>Noise Cancellation</v>
      </c>
      <c r="X2932" t="str">
        <f>IFERROR(__xludf.DUMMYFUNCTION("""COMPUTED_VALUE"""),"Excellent")</f>
        <v>Excellent</v>
      </c>
      <c r="Y2932" t="str">
        <f>IFERROR(__xludf.DUMMYFUNCTION("""COMPUTED_VALUE"""),"Excellent")</f>
        <v>Excellent</v>
      </c>
      <c r="Z2932" t="str">
        <f>IFERROR(__xludf.DUMMYFUNCTION("""COMPUTED_VALUE"""),"Excellent")</f>
        <v>Excellent</v>
      </c>
      <c r="AA2932" t="str">
        <f>IFERROR(__xludf.DUMMYFUNCTION("""COMPUTED_VALUE"""),"Excellent")</f>
        <v>Excellent</v>
      </c>
      <c r="AB2932" t="str">
        <f>IFERROR(__xludf.DUMMYFUNCTION("""COMPUTED_VALUE"""),"Excellent")</f>
        <v>Excellent</v>
      </c>
      <c r="AF2932" t="str">
        <f>IFERROR(__xludf.DUMMYFUNCTION("""COMPUTED_VALUE"""),"No. I took delivery of the first car Tesla was able to deliver.")</f>
        <v>No. I took delivery of the first car Tesla was able to deliver.</v>
      </c>
      <c r="AH2932" s="189">
        <f>IFERROR(__xludf.DUMMYFUNCTION("""COMPUTED_VALUE"""),44371.42373255787)</f>
        <v>44371.42373</v>
      </c>
    </row>
    <row r="2933">
      <c r="A2933" t="str">
        <f>IFERROR(__xludf.DUMMYFUNCTION("""COMPUTED_VALUE"""),"t0b1x")</f>
        <v>t0b1x</v>
      </c>
      <c r="B2933" t="str">
        <f>IFERROR(__xludf.DUMMYFUNCTION("""COMPUTED_VALUE"""),"Arlington")</f>
        <v>Arlington</v>
      </c>
      <c r="C2933" t="str">
        <f>IFERROR(__xludf.DUMMYFUNCTION("""COMPUTED_VALUE"""),"VA")</f>
        <v>VA</v>
      </c>
      <c r="D2933" t="str">
        <f>IFERROR(__xludf.DUMMYFUNCTION("""COMPUTED_VALUE"""),"USA")</f>
        <v>USA</v>
      </c>
      <c r="E2933" s="188">
        <f>IFERROR(__xludf.DUMMYFUNCTION("""COMPUTED_VALUE"""),44332.0)</f>
        <v>44332</v>
      </c>
      <c r="F2933" s="188">
        <f>IFERROR(__xludf.DUMMYFUNCTION("""COMPUTED_VALUE"""),44344.0)</f>
        <v>44344</v>
      </c>
      <c r="G2933" t="str">
        <f>IFERROR(__xludf.DUMMYFUNCTION("""COMPUTED_VALUE"""),"Manage order page (normal text)")</f>
        <v>Manage order page (normal text)</v>
      </c>
      <c r="J2933" s="188">
        <f>IFERROR(__xludf.DUMMYFUNCTION("""COMPUTED_VALUE"""),44357.0)</f>
        <v>44357</v>
      </c>
      <c r="K2933">
        <f>IFERROR(__xludf.DUMMYFUNCTION("""COMPUTED_VALUE"""),12.0)</f>
        <v>12</v>
      </c>
      <c r="L2933">
        <f>IFERROR(__xludf.DUMMYFUNCTION("""COMPUTED_VALUE"""),13.0)</f>
        <v>13</v>
      </c>
      <c r="M2933">
        <f>IFERROR(__xludf.DUMMYFUNCTION("""COMPUTED_VALUE"""),25.0)</f>
        <v>25</v>
      </c>
      <c r="N2933" t="str">
        <f>IFERROR(__xludf.DUMMYFUNCTION("""COMPUTED_VALUE"""),"Model 3 LR AWD")</f>
        <v>Model 3 LR AWD</v>
      </c>
      <c r="O2933" t="str">
        <f>IFERROR(__xludf.DUMMYFUNCTION("""COMPUTED_VALUE"""),"Deep Blue Metallic")</f>
        <v>Deep Blue Metallic</v>
      </c>
      <c r="P2933" t="str">
        <f>IFERROR(__xludf.DUMMYFUNCTION("""COMPUTED_VALUE"""),"18 inch")</f>
        <v>18 inch</v>
      </c>
      <c r="Q2933" t="str">
        <f>IFERROR(__xludf.DUMMYFUNCTION("""COMPUTED_VALUE"""),"Black and White")</f>
        <v>Black and White</v>
      </c>
      <c r="R2933" t="str">
        <f>IFERROR(__xludf.DUMMYFUNCTION("""COMPUTED_VALUE"""),"Autopilot included")</f>
        <v>Autopilot included</v>
      </c>
      <c r="S2933" t="str">
        <f>IFERROR(__xludf.DUMMYFUNCTION("""COMPUTED_VALUE"""),"Loan")</f>
        <v>Loan</v>
      </c>
      <c r="T2933" t="str">
        <f>IFERROR(__xludf.DUMMYFUNCTION("""COMPUTED_VALUE"""),"VW GTI")</f>
        <v>VW GTI</v>
      </c>
      <c r="U2933" t="str">
        <f>IFERROR(__xludf.DUMMYFUNCTION("""COMPUTED_VALUE"""),"TORQUE")</f>
        <v>TORQUE</v>
      </c>
      <c r="V2933" t="str">
        <f>IFERROR(__xludf.DUMMYFUNCTION("""COMPUTED_VALUE"""),"Head-up display")</f>
        <v>Head-up display</v>
      </c>
      <c r="W2933" t="str">
        <f>IFERROR(__xludf.DUMMYFUNCTION("""COMPUTED_VALUE"""),"Be patient")</f>
        <v>Be patient</v>
      </c>
      <c r="AH2933" s="189">
        <f>IFERROR(__xludf.DUMMYFUNCTION("""COMPUTED_VALUE"""),44350.80665545139)</f>
        <v>44350.80666</v>
      </c>
    </row>
    <row r="2934">
      <c r="A2934" t="str">
        <f>IFERROR(__xludf.DUMMYFUNCTION("""COMPUTED_VALUE"""),"gdestiny")</f>
        <v>gdestiny</v>
      </c>
      <c r="B2934" t="str">
        <f>IFERROR(__xludf.DUMMYFUNCTION("""COMPUTED_VALUE"""),"Irvine")</f>
        <v>Irvine</v>
      </c>
      <c r="C2934" t="str">
        <f>IFERROR(__xludf.DUMMYFUNCTION("""COMPUTED_VALUE"""),"CA")</f>
        <v>CA</v>
      </c>
      <c r="D2934" t="str">
        <f>IFERROR(__xludf.DUMMYFUNCTION("""COMPUTED_VALUE"""),"USA")</f>
        <v>USA</v>
      </c>
      <c r="E2934" s="188">
        <f>IFERROR(__xludf.DUMMYFUNCTION("""COMPUTED_VALUE"""),44305.0)</f>
        <v>44305</v>
      </c>
      <c r="F2934" s="188">
        <f>IFERROR(__xludf.DUMMYFUNCTION("""COMPUTED_VALUE"""),44373.0)</f>
        <v>44373</v>
      </c>
      <c r="G2934" t="str">
        <f>IFERROR(__xludf.DUMMYFUNCTION("""COMPUTED_VALUE"""),"Phone call")</f>
        <v>Phone call</v>
      </c>
      <c r="H2934">
        <f>IFERROR(__xludf.DUMMYFUNCTION("""COMPUTED_VALUE"""),2255.0)</f>
        <v>2255</v>
      </c>
      <c r="I2934" t="str">
        <f>IFERROR(__xludf.DUMMYFUNCTION("""COMPUTED_VALUE"""),"06/21")</f>
        <v>06/21</v>
      </c>
      <c r="J2934" s="188">
        <f>IFERROR(__xludf.DUMMYFUNCTION("""COMPUTED_VALUE"""),44374.0)</f>
        <v>44374</v>
      </c>
      <c r="K2934">
        <f>IFERROR(__xludf.DUMMYFUNCTION("""COMPUTED_VALUE"""),68.0)</f>
        <v>68</v>
      </c>
      <c r="L2934">
        <f>IFERROR(__xludf.DUMMYFUNCTION("""COMPUTED_VALUE"""),1.0)</f>
        <v>1</v>
      </c>
      <c r="M2934">
        <f>IFERROR(__xludf.DUMMYFUNCTION("""COMPUTED_VALUE"""),69.0)</f>
        <v>69</v>
      </c>
      <c r="N2934" t="str">
        <f>IFERROR(__xludf.DUMMYFUNCTION("""COMPUTED_VALUE"""),"Model 3 LR AWD")</f>
        <v>Model 3 LR AWD</v>
      </c>
      <c r="O2934" t="str">
        <f>IFERROR(__xludf.DUMMYFUNCTION("""COMPUTED_VALUE"""),"Pearl White Multi-Coat")</f>
        <v>Pearl White Multi-Coat</v>
      </c>
      <c r="P2934" t="str">
        <f>IFERROR(__xludf.DUMMYFUNCTION("""COMPUTED_VALUE"""),"18 inch")</f>
        <v>18 inch</v>
      </c>
      <c r="Q2934" t="str">
        <f>IFERROR(__xludf.DUMMYFUNCTION("""COMPUTED_VALUE"""),"All Black")</f>
        <v>All Black</v>
      </c>
      <c r="R2934" t="str">
        <f>IFERROR(__xludf.DUMMYFUNCTION("""COMPUTED_VALUE"""),"Autopilot included")</f>
        <v>Autopilot included</v>
      </c>
      <c r="S2934" t="str">
        <f>IFERROR(__xludf.DUMMYFUNCTION("""COMPUTED_VALUE"""),"Cash")</f>
        <v>Cash</v>
      </c>
      <c r="T2934" t="str">
        <f>IFERROR(__xludf.DUMMYFUNCTION("""COMPUTED_VALUE"""),"BMW X5")</f>
        <v>BMW X5</v>
      </c>
      <c r="U2934" t="str">
        <f>IFERROR(__xludf.DUMMYFUNCTION("""COMPUTED_VALUE"""),"Electric!")</f>
        <v>Electric!</v>
      </c>
      <c r="V2934" t="str">
        <f>IFERROR(__xludf.DUMMYFUNCTION("""COMPUTED_VALUE"""),"Apple CarPlay / Android Auto / SiriusXM Radio")</f>
        <v>Apple CarPlay / Android Auto / SiriusXM Radio</v>
      </c>
      <c r="X2934" t="str">
        <f>IFERROR(__xludf.DUMMYFUNCTION("""COMPUTED_VALUE"""),"Very Good")</f>
        <v>Very Good</v>
      </c>
      <c r="Y2934" t="str">
        <f>IFERROR(__xludf.DUMMYFUNCTION("""COMPUTED_VALUE"""),"Excellent")</f>
        <v>Excellent</v>
      </c>
      <c r="Z2934" t="str">
        <f>IFERROR(__xludf.DUMMYFUNCTION("""COMPUTED_VALUE"""),"Very Good")</f>
        <v>Very Good</v>
      </c>
      <c r="AA2934" t="str">
        <f>IFERROR(__xludf.DUMMYFUNCTION("""COMPUTED_VALUE"""),"Poor")</f>
        <v>Poor</v>
      </c>
      <c r="AB2934" t="str">
        <f>IFERROR(__xludf.DUMMYFUNCTION("""COMPUTED_VALUE"""),"Fair")</f>
        <v>Fair</v>
      </c>
      <c r="AC2934">
        <f>IFERROR(__xludf.DUMMYFUNCTION("""COMPUTED_VALUE"""),3.0)</f>
        <v>3</v>
      </c>
      <c r="AD2934">
        <f>IFERROR(__xludf.DUMMYFUNCTION("""COMPUTED_VALUE"""),1.0)</f>
        <v>1</v>
      </c>
      <c r="AF2934" t="str">
        <f>IFERROR(__xludf.DUMMYFUNCTION("""COMPUTED_VALUE"""),"No. I took delivery of the first car Tesla was able to deliver.")</f>
        <v>No. I took delivery of the first car Tesla was able to deliver.</v>
      </c>
      <c r="AH2934" s="189">
        <f>IFERROR(__xludf.DUMMYFUNCTION("""COMPUTED_VALUE"""),44375.4902359375)</f>
        <v>44375.49024</v>
      </c>
    </row>
    <row r="2935">
      <c r="A2935" t="str">
        <f>IFERROR(__xludf.DUMMYFUNCTION("""COMPUTED_VALUE"""),"Kold")</f>
        <v>Kold</v>
      </c>
      <c r="B2935" t="str">
        <f>IFERROR(__xludf.DUMMYFUNCTION("""COMPUTED_VALUE"""),"Hampton")</f>
        <v>Hampton</v>
      </c>
      <c r="C2935" t="str">
        <f>IFERROR(__xludf.DUMMYFUNCTION("""COMPUTED_VALUE"""),"VA")</f>
        <v>VA</v>
      </c>
      <c r="D2935" t="str">
        <f>IFERROR(__xludf.DUMMYFUNCTION("""COMPUTED_VALUE"""),"USA")</f>
        <v>USA</v>
      </c>
      <c r="E2935" s="188">
        <f>IFERROR(__xludf.DUMMYFUNCTION("""COMPUTED_VALUE"""),44309.0)</f>
        <v>44309</v>
      </c>
      <c r="F2935" s="188">
        <f>IFERROR(__xludf.DUMMYFUNCTION("""COMPUTED_VALUE"""),44344.0)</f>
        <v>44344</v>
      </c>
      <c r="G2935" t="str">
        <f>IFERROR(__xludf.DUMMYFUNCTION("""COMPUTED_VALUE"""),"Email")</f>
        <v>Email</v>
      </c>
      <c r="H2935">
        <f>IFERROR(__xludf.DUMMYFUNCTION("""COMPUTED_VALUE"""),980355.0)</f>
        <v>980355</v>
      </c>
      <c r="I2935" t="str">
        <f>IFERROR(__xludf.DUMMYFUNCTION("""COMPUTED_VALUE"""),"04/21")</f>
        <v>04/21</v>
      </c>
      <c r="J2935" s="188">
        <f>IFERROR(__xludf.DUMMYFUNCTION("""COMPUTED_VALUE"""),44359.0)</f>
        <v>44359</v>
      </c>
      <c r="K2935">
        <f>IFERROR(__xludf.DUMMYFUNCTION("""COMPUTED_VALUE"""),35.0)</f>
        <v>35</v>
      </c>
      <c r="L2935">
        <f>IFERROR(__xludf.DUMMYFUNCTION("""COMPUTED_VALUE"""),15.0)</f>
        <v>15</v>
      </c>
      <c r="M2935">
        <f>IFERROR(__xludf.DUMMYFUNCTION("""COMPUTED_VALUE"""),50.0)</f>
        <v>50</v>
      </c>
      <c r="N2935" t="str">
        <f>IFERROR(__xludf.DUMMYFUNCTION("""COMPUTED_VALUE"""),"Model 3 LR AWD")</f>
        <v>Model 3 LR AWD</v>
      </c>
      <c r="O2935" t="str">
        <f>IFERROR(__xludf.DUMMYFUNCTION("""COMPUTED_VALUE"""),"Deep Blue Metallic")</f>
        <v>Deep Blue Metallic</v>
      </c>
      <c r="P2935" t="str">
        <f>IFERROR(__xludf.DUMMYFUNCTION("""COMPUTED_VALUE"""),"19 inch")</f>
        <v>19 inch</v>
      </c>
      <c r="Q2935" t="str">
        <f>IFERROR(__xludf.DUMMYFUNCTION("""COMPUTED_VALUE"""),"All Black")</f>
        <v>All Black</v>
      </c>
      <c r="R2935" t="str">
        <f>IFERROR(__xludf.DUMMYFUNCTION("""COMPUTED_VALUE"""),"Autopilot included")</f>
        <v>Autopilot included</v>
      </c>
      <c r="S2935" t="str">
        <f>IFERROR(__xludf.DUMMYFUNCTION("""COMPUTED_VALUE"""),"Loan")</f>
        <v>Loan</v>
      </c>
      <c r="T2935" t="str">
        <f>IFERROR(__xludf.DUMMYFUNCTION("""COMPUTED_VALUE"""),"Toyota Camry")</f>
        <v>Toyota Camry</v>
      </c>
      <c r="U2935" t="str">
        <f>IFERROR(__xludf.DUMMYFUNCTION("""COMPUTED_VALUE"""),"Electric!")</f>
        <v>Electric!</v>
      </c>
      <c r="V2935" t="str">
        <f>IFERROR(__xludf.DUMMYFUNCTION("""COMPUTED_VALUE"""),"Apple CarPlay / Android Auto / SiriusXM Radio")</f>
        <v>Apple CarPlay / Android Auto / SiriusXM Radio</v>
      </c>
      <c r="X2935" t="str">
        <f>IFERROR(__xludf.DUMMYFUNCTION("""COMPUTED_VALUE"""),"Good")</f>
        <v>Good</v>
      </c>
      <c r="Y2935" t="str">
        <f>IFERROR(__xludf.DUMMYFUNCTION("""COMPUTED_VALUE"""),"Good")</f>
        <v>Good</v>
      </c>
      <c r="Z2935" t="str">
        <f>IFERROR(__xludf.DUMMYFUNCTION("""COMPUTED_VALUE"""),"Good")</f>
        <v>Good</v>
      </c>
      <c r="AA2935" t="str">
        <f>IFERROR(__xludf.DUMMYFUNCTION("""COMPUTED_VALUE"""),"Poor")</f>
        <v>Poor</v>
      </c>
      <c r="AB2935" t="str">
        <f>IFERROR(__xludf.DUMMYFUNCTION("""COMPUTED_VALUE"""),"Fair")</f>
        <v>Fair</v>
      </c>
      <c r="AC2935">
        <f>IFERROR(__xludf.DUMMYFUNCTION("""COMPUTED_VALUE"""),3.0)</f>
        <v>3</v>
      </c>
      <c r="AF2935" t="str">
        <f>IFERROR(__xludf.DUMMYFUNCTION("""COMPUTED_VALUE"""),"No. I took delivery of the first car Tesla was able to deliver.")</f>
        <v>No. I took delivery of the first car Tesla was able to deliver.</v>
      </c>
      <c r="AH2935" s="189">
        <f>IFERROR(__xludf.DUMMYFUNCTION("""COMPUTED_VALUE"""),44365.86660381945)</f>
        <v>44365.8666</v>
      </c>
    </row>
    <row r="2936">
      <c r="A2936" t="str">
        <f>IFERROR(__xludf.DUMMYFUNCTION("""COMPUTED_VALUE"""),"Anonsvp")</f>
        <v>Anonsvp</v>
      </c>
      <c r="D2936" t="str">
        <f>IFERROR(__xludf.DUMMYFUNCTION("""COMPUTED_VALUE"""),"Switzerland")</f>
        <v>Switzerland</v>
      </c>
      <c r="E2936" s="188">
        <f>IFERROR(__xludf.DUMMYFUNCTION("""COMPUTED_VALUE"""),44323.0)</f>
        <v>44323</v>
      </c>
      <c r="F2936" s="188">
        <f>IFERROR(__xludf.DUMMYFUNCTION("""COMPUTED_VALUE"""),44338.0)</f>
        <v>44338</v>
      </c>
      <c r="G2936" t="str">
        <f>IFERROR(__xludf.DUMMYFUNCTION("""COMPUTED_VALUE"""),"Invoice")</f>
        <v>Invoice</v>
      </c>
      <c r="H2936">
        <f>IFERROR(__xludf.DUMMYFUNCTION("""COMPUTED_VALUE"""),971755.0)</f>
        <v>971755</v>
      </c>
      <c r="J2936" s="188">
        <f>IFERROR(__xludf.DUMMYFUNCTION("""COMPUTED_VALUE"""),44372.0)</f>
        <v>44372</v>
      </c>
      <c r="K2936">
        <f>IFERROR(__xludf.DUMMYFUNCTION("""COMPUTED_VALUE"""),15.0)</f>
        <v>15</v>
      </c>
      <c r="L2936">
        <f>IFERROR(__xludf.DUMMYFUNCTION("""COMPUTED_VALUE"""),34.0)</f>
        <v>34</v>
      </c>
      <c r="M2936">
        <f>IFERROR(__xludf.DUMMYFUNCTION("""COMPUTED_VALUE"""),49.0)</f>
        <v>49</v>
      </c>
      <c r="N2936" t="str">
        <f>IFERROR(__xludf.DUMMYFUNCTION("""COMPUTED_VALUE"""),"Model 3 LR AWD")</f>
        <v>Model 3 LR AWD</v>
      </c>
      <c r="O2936" t="str">
        <f>IFERROR(__xludf.DUMMYFUNCTION("""COMPUTED_VALUE"""),"Red Multi-Coat")</f>
        <v>Red Multi-Coat</v>
      </c>
      <c r="P2936" t="str">
        <f>IFERROR(__xludf.DUMMYFUNCTION("""COMPUTED_VALUE"""),"18 inch")</f>
        <v>18 inch</v>
      </c>
      <c r="Q2936" t="str">
        <f>IFERROR(__xludf.DUMMYFUNCTION("""COMPUTED_VALUE"""),"Black and White")</f>
        <v>Black and White</v>
      </c>
      <c r="R2936" t="str">
        <f>IFERROR(__xludf.DUMMYFUNCTION("""COMPUTED_VALUE"""),"Full Self-Driving")</f>
        <v>Full Self-Driving</v>
      </c>
      <c r="S2936" t="str">
        <f>IFERROR(__xludf.DUMMYFUNCTION("""COMPUTED_VALUE"""),"Cash")</f>
        <v>Cash</v>
      </c>
      <c r="T2936" t="str">
        <f>IFERROR(__xludf.DUMMYFUNCTION("""COMPUTED_VALUE"""),"VW Polo")</f>
        <v>VW Polo</v>
      </c>
      <c r="U2936" t="str">
        <f>IFERROR(__xludf.DUMMYFUNCTION("""COMPUTED_VALUE"""),"Autopilot")</f>
        <v>Autopilot</v>
      </c>
      <c r="V2936" t="str">
        <f>IFERROR(__xludf.DUMMYFUNCTION("""COMPUTED_VALUE"""),"360° Bird's eye view")</f>
        <v>360° Bird's eye view</v>
      </c>
      <c r="X2936" t="str">
        <f>IFERROR(__xludf.DUMMYFUNCTION("""COMPUTED_VALUE"""),"Very Good")</f>
        <v>Very Good</v>
      </c>
      <c r="Y2936" t="str">
        <f>IFERROR(__xludf.DUMMYFUNCTION("""COMPUTED_VALUE"""),"Very Good")</f>
        <v>Very Good</v>
      </c>
      <c r="Z2936" t="str">
        <f>IFERROR(__xludf.DUMMYFUNCTION("""COMPUTED_VALUE"""),"Excellent")</f>
        <v>Excellent</v>
      </c>
      <c r="AA2936" t="str">
        <f>IFERROR(__xludf.DUMMYFUNCTION("""COMPUTED_VALUE"""),"Excellent")</f>
        <v>Excellent</v>
      </c>
      <c r="AB2936" t="str">
        <f>IFERROR(__xludf.DUMMYFUNCTION("""COMPUTED_VALUE"""),"Excellent")</f>
        <v>Excellent</v>
      </c>
      <c r="AF2936" t="str">
        <f>IFERROR(__xludf.DUMMYFUNCTION("""COMPUTED_VALUE"""),"No. I took delivery of the first car Tesla was able to deliver.")</f>
        <v>No. I took delivery of the first car Tesla was able to deliver.</v>
      </c>
      <c r="AH2936" s="189">
        <f>IFERROR(__xludf.DUMMYFUNCTION("""COMPUTED_VALUE"""),44372.643737754624)</f>
        <v>44372.64374</v>
      </c>
    </row>
    <row r="2937">
      <c r="A2937" t="str">
        <f>IFERROR(__xludf.DUMMYFUNCTION("""COMPUTED_VALUE"""),"YYZ2LAX")</f>
        <v>YYZ2LAX</v>
      </c>
      <c r="B2937" t="str">
        <f>IFERROR(__xludf.DUMMYFUNCTION("""COMPUTED_VALUE"""),"SoCal")</f>
        <v>SoCal</v>
      </c>
      <c r="C2937" t="str">
        <f>IFERROR(__xludf.DUMMYFUNCTION("""COMPUTED_VALUE"""),"CA")</f>
        <v>CA</v>
      </c>
      <c r="D2937" t="str">
        <f>IFERROR(__xludf.DUMMYFUNCTION("""COMPUTED_VALUE"""),"USA")</f>
        <v>USA</v>
      </c>
      <c r="E2937" s="188">
        <f>IFERROR(__xludf.DUMMYFUNCTION("""COMPUTED_VALUE"""),44298.0)</f>
        <v>44298</v>
      </c>
      <c r="F2937" s="188">
        <f>IFERROR(__xludf.DUMMYFUNCTION("""COMPUTED_VALUE"""),44372.0)</f>
        <v>44372</v>
      </c>
      <c r="G2937" t="str">
        <f>IFERROR(__xludf.DUMMYFUNCTION("""COMPUTED_VALUE"""),"Email")</f>
        <v>Email</v>
      </c>
      <c r="H2937">
        <f>IFERROR(__xludf.DUMMYFUNCTION("""COMPUTED_VALUE"""),2455.0)</f>
        <v>2455</v>
      </c>
      <c r="J2937" s="188">
        <f>IFERROR(__xludf.DUMMYFUNCTION("""COMPUTED_VALUE"""),44375.0)</f>
        <v>44375</v>
      </c>
      <c r="K2937">
        <f>IFERROR(__xludf.DUMMYFUNCTION("""COMPUTED_VALUE"""),74.0)</f>
        <v>74</v>
      </c>
      <c r="L2937">
        <f>IFERROR(__xludf.DUMMYFUNCTION("""COMPUTED_VALUE"""),3.0)</f>
        <v>3</v>
      </c>
      <c r="M2937">
        <f>IFERROR(__xludf.DUMMYFUNCTION("""COMPUTED_VALUE"""),77.0)</f>
        <v>77</v>
      </c>
      <c r="N2937" t="str">
        <f>IFERROR(__xludf.DUMMYFUNCTION("""COMPUTED_VALUE"""),"Model 3 LR AWD")</f>
        <v>Model 3 LR AWD</v>
      </c>
      <c r="O2937" t="str">
        <f>IFERROR(__xludf.DUMMYFUNCTION("""COMPUTED_VALUE"""),"Solid Black")</f>
        <v>Solid Black</v>
      </c>
      <c r="P2937" t="str">
        <f>IFERROR(__xludf.DUMMYFUNCTION("""COMPUTED_VALUE"""),"18 inch")</f>
        <v>18 inch</v>
      </c>
      <c r="Q2937" t="str">
        <f>IFERROR(__xludf.DUMMYFUNCTION("""COMPUTED_VALUE"""),"All Black")</f>
        <v>All Black</v>
      </c>
      <c r="R2937" t="str">
        <f>IFERROR(__xludf.DUMMYFUNCTION("""COMPUTED_VALUE"""),"Autopilot included")</f>
        <v>Autopilot included</v>
      </c>
      <c r="S2937" t="str">
        <f>IFERROR(__xludf.DUMMYFUNCTION("""COMPUTED_VALUE"""),"Loan")</f>
        <v>Loan</v>
      </c>
      <c r="T2937" t="str">
        <f>IFERROR(__xludf.DUMMYFUNCTION("""COMPUTED_VALUE"""),"BMW X3")</f>
        <v>BMW X3</v>
      </c>
      <c r="V2937" t="str">
        <f>IFERROR(__xludf.DUMMYFUNCTION("""COMPUTED_VALUE"""),"Apple CarPlay / Android Auto / SiriusXM Radio")</f>
        <v>Apple CarPlay / Android Auto / SiriusXM Radio</v>
      </c>
      <c r="X2937" t="str">
        <f>IFERROR(__xludf.DUMMYFUNCTION("""COMPUTED_VALUE"""),"Very Good")</f>
        <v>Very Good</v>
      </c>
      <c r="Y2937" t="str">
        <f>IFERROR(__xludf.DUMMYFUNCTION("""COMPUTED_VALUE"""),"Excellent")</f>
        <v>Excellent</v>
      </c>
      <c r="Z2937" t="str">
        <f>IFERROR(__xludf.DUMMYFUNCTION("""COMPUTED_VALUE"""),"Good")</f>
        <v>Good</v>
      </c>
      <c r="AA2937" t="str">
        <f>IFERROR(__xludf.DUMMYFUNCTION("""COMPUTED_VALUE"""),"Fair")</f>
        <v>Fair</v>
      </c>
      <c r="AB2937" t="str">
        <f>IFERROR(__xludf.DUMMYFUNCTION("""COMPUTED_VALUE"""),"Fair")</f>
        <v>Fair</v>
      </c>
      <c r="AC2937">
        <f>IFERROR(__xludf.DUMMYFUNCTION("""COMPUTED_VALUE"""),2.0)</f>
        <v>2</v>
      </c>
      <c r="AF2937" t="str">
        <f>IFERROR(__xludf.DUMMYFUNCTION("""COMPUTED_VALUE"""),"No. I took delivery of the first car Tesla was able to deliver.")</f>
        <v>No. I took delivery of the first car Tesla was able to deliver.</v>
      </c>
      <c r="AH2937" s="189">
        <f>IFERROR(__xludf.DUMMYFUNCTION("""COMPUTED_VALUE"""),44375.82755804398)</f>
        <v>44375.82756</v>
      </c>
    </row>
    <row r="2938">
      <c r="A2938" t="str">
        <f>IFERROR(__xludf.DUMMYFUNCTION("""COMPUTED_VALUE"""),"HalfNHalfT")</f>
        <v>HalfNHalfT</v>
      </c>
      <c r="B2938" t="str">
        <f>IFERROR(__xludf.DUMMYFUNCTION("""COMPUTED_VALUE"""),"Raleigh")</f>
        <v>Raleigh</v>
      </c>
      <c r="C2938" t="str">
        <f>IFERROR(__xludf.DUMMYFUNCTION("""COMPUTED_VALUE"""),"NC")</f>
        <v>NC</v>
      </c>
      <c r="D2938" t="str">
        <f>IFERROR(__xludf.DUMMYFUNCTION("""COMPUTED_VALUE"""),"USA")</f>
        <v>USA</v>
      </c>
      <c r="E2938" s="188">
        <f>IFERROR(__xludf.DUMMYFUNCTION("""COMPUTED_VALUE"""),44338.0)</f>
        <v>44338</v>
      </c>
      <c r="F2938" s="188">
        <f>IFERROR(__xludf.DUMMYFUNCTION("""COMPUTED_VALUE"""),44356.0)</f>
        <v>44356</v>
      </c>
      <c r="G2938" t="str">
        <f>IFERROR(__xludf.DUMMYFUNCTION("""COMPUTED_VALUE"""),"Manage order page (normal text)")</f>
        <v>Manage order page (normal text)</v>
      </c>
      <c r="H2938">
        <f>IFERROR(__xludf.DUMMYFUNCTION("""COMPUTED_VALUE"""),988155.0)</f>
        <v>988155</v>
      </c>
      <c r="J2938" s="188">
        <f>IFERROR(__xludf.DUMMYFUNCTION("""COMPUTED_VALUE"""),44372.0)</f>
        <v>44372</v>
      </c>
      <c r="K2938">
        <f>IFERROR(__xludf.DUMMYFUNCTION("""COMPUTED_VALUE"""),18.0)</f>
        <v>18</v>
      </c>
      <c r="L2938">
        <f>IFERROR(__xludf.DUMMYFUNCTION("""COMPUTED_VALUE"""),16.0)</f>
        <v>16</v>
      </c>
      <c r="M2938">
        <f>IFERROR(__xludf.DUMMYFUNCTION("""COMPUTED_VALUE"""),34.0)</f>
        <v>34</v>
      </c>
      <c r="N2938" t="str">
        <f>IFERROR(__xludf.DUMMYFUNCTION("""COMPUTED_VALUE"""),"Model 3 LR AWD")</f>
        <v>Model 3 LR AWD</v>
      </c>
      <c r="O2938" t="str">
        <f>IFERROR(__xludf.DUMMYFUNCTION("""COMPUTED_VALUE"""),"Deep Blue Metallic")</f>
        <v>Deep Blue Metallic</v>
      </c>
      <c r="P2938" t="str">
        <f>IFERROR(__xludf.DUMMYFUNCTION("""COMPUTED_VALUE"""),"18 inch")</f>
        <v>18 inch</v>
      </c>
      <c r="Q2938" t="str">
        <f>IFERROR(__xludf.DUMMYFUNCTION("""COMPUTED_VALUE"""),"All Black")</f>
        <v>All Black</v>
      </c>
      <c r="R2938" t="str">
        <f>IFERROR(__xludf.DUMMYFUNCTION("""COMPUTED_VALUE"""),"Autopilot included")</f>
        <v>Autopilot included</v>
      </c>
      <c r="S2938" t="str">
        <f>IFERROR(__xludf.DUMMYFUNCTION("""COMPUTED_VALUE"""),"Loan")</f>
        <v>Loan</v>
      </c>
      <c r="T2938" t="str">
        <f>IFERROR(__xludf.DUMMYFUNCTION("""COMPUTED_VALUE"""),"Honda Accord")</f>
        <v>Honda Accord</v>
      </c>
      <c r="U2938" t="str">
        <f>IFERROR(__xludf.DUMMYFUNCTION("""COMPUTED_VALUE"""),"Electric!")</f>
        <v>Electric!</v>
      </c>
      <c r="V2938" t="str">
        <f>IFERROR(__xludf.DUMMYFUNCTION("""COMPUTED_VALUE"""),"Head-up display")</f>
        <v>Head-up display</v>
      </c>
      <c r="X2938" t="str">
        <f>IFERROR(__xludf.DUMMYFUNCTION("""COMPUTED_VALUE"""),"Excellent")</f>
        <v>Excellent</v>
      </c>
      <c r="Y2938" t="str">
        <f>IFERROR(__xludf.DUMMYFUNCTION("""COMPUTED_VALUE"""),"Excellent")</f>
        <v>Excellent</v>
      </c>
      <c r="Z2938" t="str">
        <f>IFERROR(__xludf.DUMMYFUNCTION("""COMPUTED_VALUE"""),"Excellent")</f>
        <v>Excellent</v>
      </c>
      <c r="AA2938" t="str">
        <f>IFERROR(__xludf.DUMMYFUNCTION("""COMPUTED_VALUE"""),"Good")</f>
        <v>Good</v>
      </c>
      <c r="AB2938" t="str">
        <f>IFERROR(__xludf.DUMMYFUNCTION("""COMPUTED_VALUE"""),"Very Good")</f>
        <v>Very Good</v>
      </c>
      <c r="AF2938" t="str">
        <f>IFERROR(__xludf.DUMMYFUNCTION("""COMPUTED_VALUE"""),"No. I took delivery of the first car Tesla was able to deliver.")</f>
        <v>No. I took delivery of the first car Tesla was able to deliver.</v>
      </c>
      <c r="AH2938" s="189">
        <f>IFERROR(__xludf.DUMMYFUNCTION("""COMPUTED_VALUE"""),44372.85223564815)</f>
        <v>44372.85224</v>
      </c>
    </row>
    <row r="2939">
      <c r="A2939" t="str">
        <f>IFERROR(__xludf.DUMMYFUNCTION("""COMPUTED_VALUE"""),"anon")</f>
        <v>anon</v>
      </c>
      <c r="B2939" t="str">
        <f>IFERROR(__xludf.DUMMYFUNCTION("""COMPUTED_VALUE"""),"socal")</f>
        <v>socal</v>
      </c>
      <c r="C2939" t="str">
        <f>IFERROR(__xludf.DUMMYFUNCTION("""COMPUTED_VALUE"""),"CA")</f>
        <v>CA</v>
      </c>
      <c r="D2939" t="str">
        <f>IFERROR(__xludf.DUMMYFUNCTION("""COMPUTED_VALUE"""),"USA")</f>
        <v>USA</v>
      </c>
      <c r="E2939" s="188">
        <f>IFERROR(__xludf.DUMMYFUNCTION("""COMPUTED_VALUE"""),44330.0)</f>
        <v>44330</v>
      </c>
      <c r="F2939" s="188">
        <f>IFERROR(__xludf.DUMMYFUNCTION("""COMPUTED_VALUE"""),44348.0)</f>
        <v>44348</v>
      </c>
      <c r="G2939" t="str">
        <f>IFERROR(__xludf.DUMMYFUNCTION("""COMPUTED_VALUE"""),"Manage order page (normal text)")</f>
        <v>Manage order page (normal text)</v>
      </c>
      <c r="H2939">
        <f>IFERROR(__xludf.DUMMYFUNCTION("""COMPUTED_VALUE"""),985555.0)</f>
        <v>985555</v>
      </c>
      <c r="I2939" t="str">
        <f>IFERROR(__xludf.DUMMYFUNCTION("""COMPUTED_VALUE"""),"05/21")</f>
        <v>05/21</v>
      </c>
      <c r="J2939" s="188">
        <f>IFERROR(__xludf.DUMMYFUNCTION("""COMPUTED_VALUE"""),44353.0)</f>
        <v>44353</v>
      </c>
      <c r="K2939">
        <f>IFERROR(__xludf.DUMMYFUNCTION("""COMPUTED_VALUE"""),18.0)</f>
        <v>18</v>
      </c>
      <c r="L2939">
        <f>IFERROR(__xludf.DUMMYFUNCTION("""COMPUTED_VALUE"""),5.0)</f>
        <v>5</v>
      </c>
      <c r="M2939">
        <f>IFERROR(__xludf.DUMMYFUNCTION("""COMPUTED_VALUE"""),23.0)</f>
        <v>23</v>
      </c>
      <c r="N2939" t="str">
        <f>IFERROR(__xludf.DUMMYFUNCTION("""COMPUTED_VALUE"""),"Model 3 SR+")</f>
        <v>Model 3 SR+</v>
      </c>
      <c r="O2939" t="str">
        <f>IFERROR(__xludf.DUMMYFUNCTION("""COMPUTED_VALUE"""),"Pearl White Multi-Coat")</f>
        <v>Pearl White Multi-Coat</v>
      </c>
      <c r="P2939" t="str">
        <f>IFERROR(__xludf.DUMMYFUNCTION("""COMPUTED_VALUE"""),"18 inch")</f>
        <v>18 inch</v>
      </c>
      <c r="Q2939" t="str">
        <f>IFERROR(__xludf.DUMMYFUNCTION("""COMPUTED_VALUE"""),"All Black")</f>
        <v>All Black</v>
      </c>
      <c r="R2939" t="str">
        <f>IFERROR(__xludf.DUMMYFUNCTION("""COMPUTED_VALUE"""),"Autopilot included")</f>
        <v>Autopilot included</v>
      </c>
      <c r="S2939" t="str">
        <f>IFERROR(__xludf.DUMMYFUNCTION("""COMPUTED_VALUE"""),"Loan")</f>
        <v>Loan</v>
      </c>
      <c r="U2939" t="str">
        <f>IFERROR(__xludf.DUMMYFUNCTION("""COMPUTED_VALUE"""),"Autopilot")</f>
        <v>Autopilot</v>
      </c>
      <c r="V2939" t="str">
        <f>IFERROR(__xludf.DUMMYFUNCTION("""COMPUTED_VALUE"""),"Head-up display")</f>
        <v>Head-up display</v>
      </c>
      <c r="X2939" t="str">
        <f>IFERROR(__xludf.DUMMYFUNCTION("""COMPUTED_VALUE"""),"Excellent")</f>
        <v>Excellent</v>
      </c>
      <c r="Y2939" t="str">
        <f>IFERROR(__xludf.DUMMYFUNCTION("""COMPUTED_VALUE"""),"Excellent")</f>
        <v>Excellent</v>
      </c>
      <c r="Z2939" t="str">
        <f>IFERROR(__xludf.DUMMYFUNCTION("""COMPUTED_VALUE"""),"Excellent")</f>
        <v>Excellent</v>
      </c>
      <c r="AA2939" t="str">
        <f>IFERROR(__xludf.DUMMYFUNCTION("""COMPUTED_VALUE"""),"Good")</f>
        <v>Good</v>
      </c>
      <c r="AB2939" t="str">
        <f>IFERROR(__xludf.DUMMYFUNCTION("""COMPUTED_VALUE"""),"Excellent")</f>
        <v>Excellent</v>
      </c>
      <c r="AF2939" t="str">
        <f>IFERROR(__xludf.DUMMYFUNCTION("""COMPUTED_VALUE"""),"No. I took delivery of the first car Tesla was able to deliver.")</f>
        <v>No. I took delivery of the first car Tesla was able to deliver.</v>
      </c>
      <c r="AH2939" s="189">
        <f>IFERROR(__xludf.DUMMYFUNCTION("""COMPUTED_VALUE"""),44353.02096630787)</f>
        <v>44353.02097</v>
      </c>
    </row>
    <row r="2940">
      <c r="A2940" t="str">
        <f>IFERROR(__xludf.DUMMYFUNCTION("""COMPUTED_VALUE"""),"SteveB")</f>
        <v>SteveB</v>
      </c>
      <c r="B2940" t="str">
        <f>IFERROR(__xludf.DUMMYFUNCTION("""COMPUTED_VALUE"""),"Manchester ")</f>
        <v>Manchester </v>
      </c>
      <c r="D2940" t="str">
        <f>IFERROR(__xludf.DUMMYFUNCTION("""COMPUTED_VALUE"""),"United Kingdom")</f>
        <v>United Kingdom</v>
      </c>
      <c r="E2940" s="188">
        <f>IFERROR(__xludf.DUMMYFUNCTION("""COMPUTED_VALUE"""),44334.0)</f>
        <v>44334</v>
      </c>
      <c r="F2940" s="188">
        <f>IFERROR(__xludf.DUMMYFUNCTION("""COMPUTED_VALUE"""),44348.0)</f>
        <v>44348</v>
      </c>
      <c r="G2940" t="str">
        <f>IFERROR(__xludf.DUMMYFUNCTION("""COMPUTED_VALUE"""),"Final Invoice")</f>
        <v>Final Invoice</v>
      </c>
      <c r="H2940">
        <f>IFERROR(__xludf.DUMMYFUNCTION("""COMPUTED_VALUE"""),242955.0)</f>
        <v>242955</v>
      </c>
      <c r="J2940" s="188">
        <f>IFERROR(__xludf.DUMMYFUNCTION("""COMPUTED_VALUE"""),44372.0)</f>
        <v>44372</v>
      </c>
      <c r="K2940">
        <f>IFERROR(__xludf.DUMMYFUNCTION("""COMPUTED_VALUE"""),14.0)</f>
        <v>14</v>
      </c>
      <c r="L2940">
        <f>IFERROR(__xludf.DUMMYFUNCTION("""COMPUTED_VALUE"""),24.0)</f>
        <v>24</v>
      </c>
      <c r="M2940">
        <f>IFERROR(__xludf.DUMMYFUNCTION("""COMPUTED_VALUE"""),38.0)</f>
        <v>38</v>
      </c>
      <c r="N2940" t="str">
        <f>IFERROR(__xludf.DUMMYFUNCTION("""COMPUTED_VALUE"""),"Model 3 SR+")</f>
        <v>Model 3 SR+</v>
      </c>
      <c r="O2940" t="str">
        <f>IFERROR(__xludf.DUMMYFUNCTION("""COMPUTED_VALUE"""),"Pearl White Multi-Coat")</f>
        <v>Pearl White Multi-Coat</v>
      </c>
      <c r="P2940" t="str">
        <f>IFERROR(__xludf.DUMMYFUNCTION("""COMPUTED_VALUE"""),"19 inch")</f>
        <v>19 inch</v>
      </c>
      <c r="Q2940" t="str">
        <f>IFERROR(__xludf.DUMMYFUNCTION("""COMPUTED_VALUE"""),"Black and White")</f>
        <v>Black and White</v>
      </c>
      <c r="R2940" t="str">
        <f>IFERROR(__xludf.DUMMYFUNCTION("""COMPUTED_VALUE"""),"Autopilot included")</f>
        <v>Autopilot included</v>
      </c>
      <c r="S2940" t="str">
        <f>IFERROR(__xludf.DUMMYFUNCTION("""COMPUTED_VALUE"""),"Cash")</f>
        <v>Cash</v>
      </c>
      <c r="T2940" t="str">
        <f>IFERROR(__xludf.DUMMYFUNCTION("""COMPUTED_VALUE"""),"Nissan Leaf")</f>
        <v>Nissan Leaf</v>
      </c>
      <c r="U2940" t="str">
        <f>IFERROR(__xludf.DUMMYFUNCTION("""COMPUTED_VALUE"""),"Electric!")</f>
        <v>Electric!</v>
      </c>
      <c r="V2940" t="str">
        <f>IFERROR(__xludf.DUMMYFUNCTION("""COMPUTED_VALUE"""),"Apple CarPlay / Android Auto / SiriusXM Radio")</f>
        <v>Apple CarPlay / Android Auto / SiriusXM Radio</v>
      </c>
      <c r="X2940" t="str">
        <f>IFERROR(__xludf.DUMMYFUNCTION("""COMPUTED_VALUE"""),"Excellent")</f>
        <v>Excellent</v>
      </c>
      <c r="Y2940" t="str">
        <f>IFERROR(__xludf.DUMMYFUNCTION("""COMPUTED_VALUE"""),"Excellent")</f>
        <v>Excellent</v>
      </c>
      <c r="Z2940" t="str">
        <f>IFERROR(__xludf.DUMMYFUNCTION("""COMPUTED_VALUE"""),"Excellent")</f>
        <v>Excellent</v>
      </c>
      <c r="AA2940" t="str">
        <f>IFERROR(__xludf.DUMMYFUNCTION("""COMPUTED_VALUE"""),"Good")</f>
        <v>Good</v>
      </c>
      <c r="AB2940" t="str">
        <f>IFERROR(__xludf.DUMMYFUNCTION("""COMPUTED_VALUE"""),"Very Good")</f>
        <v>Very Good</v>
      </c>
      <c r="AC2940">
        <f>IFERROR(__xludf.DUMMYFUNCTION("""COMPUTED_VALUE"""),0.0)</f>
        <v>0</v>
      </c>
      <c r="AD2940">
        <f>IFERROR(__xludf.DUMMYFUNCTION("""COMPUTED_VALUE"""),0.0)</f>
        <v>0</v>
      </c>
      <c r="AE2940">
        <f>IFERROR(__xludf.DUMMYFUNCTION("""COMPUTED_VALUE"""),0.0)</f>
        <v>0</v>
      </c>
      <c r="AF2940" t="str">
        <f>IFERROR(__xludf.DUMMYFUNCTION("""COMPUTED_VALUE"""),"No. I took delivery of the first car Tesla was able to deliver.")</f>
        <v>No. I took delivery of the first car Tesla was able to deliver.</v>
      </c>
      <c r="AH2940" s="189">
        <f>IFERROR(__xludf.DUMMYFUNCTION("""COMPUTED_VALUE"""),44406.36954079861)</f>
        <v>44406.36954</v>
      </c>
    </row>
    <row r="2941">
      <c r="A2941" t="str">
        <f>IFERROR(__xludf.DUMMYFUNCTION("""COMPUTED_VALUE"""),"ATXTesla")</f>
        <v>ATXTesla</v>
      </c>
      <c r="B2941" t="str">
        <f>IFERROR(__xludf.DUMMYFUNCTION("""COMPUTED_VALUE"""),"Austin, TX ")</f>
        <v>Austin, TX </v>
      </c>
      <c r="C2941" t="str">
        <f>IFERROR(__xludf.DUMMYFUNCTION("""COMPUTED_VALUE"""),"TX")</f>
        <v>TX</v>
      </c>
      <c r="D2941" t="str">
        <f>IFERROR(__xludf.DUMMYFUNCTION("""COMPUTED_VALUE"""),"USA")</f>
        <v>USA</v>
      </c>
      <c r="E2941" s="188">
        <f>IFERROR(__xludf.DUMMYFUNCTION("""COMPUTED_VALUE"""),44335.0)</f>
        <v>44335</v>
      </c>
      <c r="F2941" s="188">
        <f>IFERROR(__xludf.DUMMYFUNCTION("""COMPUTED_VALUE"""),44345.0)</f>
        <v>44345</v>
      </c>
      <c r="G2941" t="str">
        <f>IFERROR(__xludf.DUMMYFUNCTION("""COMPUTED_VALUE"""),"Manage order page (normal text)")</f>
        <v>Manage order page (normal text)</v>
      </c>
      <c r="J2941" s="188">
        <f>IFERROR(__xludf.DUMMYFUNCTION("""COMPUTED_VALUE"""),44357.0)</f>
        <v>44357</v>
      </c>
      <c r="K2941">
        <f>IFERROR(__xludf.DUMMYFUNCTION("""COMPUTED_VALUE"""),10.0)</f>
        <v>10</v>
      </c>
      <c r="L2941">
        <f>IFERROR(__xludf.DUMMYFUNCTION("""COMPUTED_VALUE"""),12.0)</f>
        <v>12</v>
      </c>
      <c r="M2941">
        <f>IFERROR(__xludf.DUMMYFUNCTION("""COMPUTED_VALUE"""),22.0)</f>
        <v>22</v>
      </c>
      <c r="N2941" t="str">
        <f>IFERROR(__xludf.DUMMYFUNCTION("""COMPUTED_VALUE"""),"Model 3 LR AWD")</f>
        <v>Model 3 LR AWD</v>
      </c>
      <c r="O2941" t="str">
        <f>IFERROR(__xludf.DUMMYFUNCTION("""COMPUTED_VALUE"""),"Pearl White Multi-Coat")</f>
        <v>Pearl White Multi-Coat</v>
      </c>
      <c r="P2941" t="str">
        <f>IFERROR(__xludf.DUMMYFUNCTION("""COMPUTED_VALUE"""),"18 inch")</f>
        <v>18 inch</v>
      </c>
      <c r="Q2941" t="str">
        <f>IFERROR(__xludf.DUMMYFUNCTION("""COMPUTED_VALUE"""),"Black and White")</f>
        <v>Black and White</v>
      </c>
      <c r="R2941" t="str">
        <f>IFERROR(__xludf.DUMMYFUNCTION("""COMPUTED_VALUE"""),"Full Self-Driving")</f>
        <v>Full Self-Driving</v>
      </c>
      <c r="S2941" t="str">
        <f>IFERROR(__xludf.DUMMYFUNCTION("""COMPUTED_VALUE"""),"Loan")</f>
        <v>Loan</v>
      </c>
      <c r="T2941" t="str">
        <f>IFERROR(__xludf.DUMMYFUNCTION("""COMPUTED_VALUE"""),"Hyundai Kona")</f>
        <v>Hyundai Kona</v>
      </c>
      <c r="U2941" t="str">
        <f>IFERROR(__xludf.DUMMYFUNCTION("""COMPUTED_VALUE"""),"Electric!")</f>
        <v>Electric!</v>
      </c>
      <c r="V2941" t="str">
        <f>IFERROR(__xludf.DUMMYFUNCTION("""COMPUTED_VALUE"""),"Blind spot indicators on side mirrors")</f>
        <v>Blind spot indicators on side mirrors</v>
      </c>
      <c r="X2941" t="str">
        <f>IFERROR(__xludf.DUMMYFUNCTION("""COMPUTED_VALUE"""),"Excellent")</f>
        <v>Excellent</v>
      </c>
      <c r="Y2941" t="str">
        <f>IFERROR(__xludf.DUMMYFUNCTION("""COMPUTED_VALUE"""),"Excellent")</f>
        <v>Excellent</v>
      </c>
      <c r="Z2941" t="str">
        <f>IFERROR(__xludf.DUMMYFUNCTION("""COMPUTED_VALUE"""),"Very Good")</f>
        <v>Very Good</v>
      </c>
      <c r="AA2941" t="str">
        <f>IFERROR(__xludf.DUMMYFUNCTION("""COMPUTED_VALUE"""),"Excellent")</f>
        <v>Excellent</v>
      </c>
      <c r="AB2941" t="str">
        <f>IFERROR(__xludf.DUMMYFUNCTION("""COMPUTED_VALUE"""),"Excellent")</f>
        <v>Excellent</v>
      </c>
      <c r="AC2941">
        <f>IFERROR(__xludf.DUMMYFUNCTION("""COMPUTED_VALUE"""),1.0)</f>
        <v>1</v>
      </c>
      <c r="AD2941">
        <f>IFERROR(__xludf.DUMMYFUNCTION("""COMPUTED_VALUE"""),1.0)</f>
        <v>1</v>
      </c>
      <c r="AF2941" t="str">
        <f>IFERROR(__xludf.DUMMYFUNCTION("""COMPUTED_VALUE"""),"No. I took delivery of the first car Tesla was able to deliver.")</f>
        <v>No. I took delivery of the first car Tesla was able to deliver.</v>
      </c>
      <c r="AH2941" s="189">
        <f>IFERROR(__xludf.DUMMYFUNCTION("""COMPUTED_VALUE"""),44361.35136719907)</f>
        <v>44361.35137</v>
      </c>
    </row>
    <row r="2942">
      <c r="A2942" t="str">
        <f>IFERROR(__xludf.DUMMYFUNCTION("""COMPUTED_VALUE"""),"zeroto325")</f>
        <v>zeroto325</v>
      </c>
      <c r="B2942" t="str">
        <f>IFERROR(__xludf.DUMMYFUNCTION("""COMPUTED_VALUE"""),"Northern Virginia")</f>
        <v>Northern Virginia</v>
      </c>
      <c r="C2942" t="str">
        <f>IFERROR(__xludf.DUMMYFUNCTION("""COMPUTED_VALUE"""),"VA")</f>
        <v>VA</v>
      </c>
      <c r="D2942" t="str">
        <f>IFERROR(__xludf.DUMMYFUNCTION("""COMPUTED_VALUE"""),"USA")</f>
        <v>USA</v>
      </c>
      <c r="E2942" s="188">
        <f>IFERROR(__xludf.DUMMYFUNCTION("""COMPUTED_VALUE"""),44289.0)</f>
        <v>44289</v>
      </c>
      <c r="F2942" s="188">
        <f>IFERROR(__xludf.DUMMYFUNCTION("""COMPUTED_VALUE"""),44352.0)</f>
        <v>44352</v>
      </c>
      <c r="G2942" t="str">
        <f>IFERROR(__xludf.DUMMYFUNCTION("""COMPUTED_VALUE"""),"Manage order page (normal text)")</f>
        <v>Manage order page (normal text)</v>
      </c>
      <c r="H2942">
        <f>IFERROR(__xludf.DUMMYFUNCTION("""COMPUTED_VALUE"""),986955.0)</f>
        <v>986955</v>
      </c>
      <c r="J2942" s="188">
        <f>IFERROR(__xludf.DUMMYFUNCTION("""COMPUTED_VALUE"""),44365.0)</f>
        <v>44365</v>
      </c>
      <c r="K2942">
        <f>IFERROR(__xludf.DUMMYFUNCTION("""COMPUTED_VALUE"""),63.0)</f>
        <v>63</v>
      </c>
      <c r="L2942">
        <f>IFERROR(__xludf.DUMMYFUNCTION("""COMPUTED_VALUE"""),13.0)</f>
        <v>13</v>
      </c>
      <c r="M2942">
        <f>IFERROR(__xludf.DUMMYFUNCTION("""COMPUTED_VALUE"""),76.0)</f>
        <v>76</v>
      </c>
      <c r="N2942" t="str">
        <f>IFERROR(__xludf.DUMMYFUNCTION("""COMPUTED_VALUE"""),"Model 3 SR+")</f>
        <v>Model 3 SR+</v>
      </c>
      <c r="O2942" t="str">
        <f>IFERROR(__xludf.DUMMYFUNCTION("""COMPUTED_VALUE"""),"Deep Blue Metallic")</f>
        <v>Deep Blue Metallic</v>
      </c>
      <c r="P2942" t="str">
        <f>IFERROR(__xludf.DUMMYFUNCTION("""COMPUTED_VALUE"""),"18 inch")</f>
        <v>18 inch</v>
      </c>
      <c r="Q2942" t="str">
        <f>IFERROR(__xludf.DUMMYFUNCTION("""COMPUTED_VALUE"""),"All Black")</f>
        <v>All Black</v>
      </c>
      <c r="R2942" t="str">
        <f>IFERROR(__xludf.DUMMYFUNCTION("""COMPUTED_VALUE"""),"Autopilot included")</f>
        <v>Autopilot included</v>
      </c>
      <c r="S2942" t="str">
        <f>IFERROR(__xludf.DUMMYFUNCTION("""COMPUTED_VALUE"""),"Loan")</f>
        <v>Loan</v>
      </c>
      <c r="V2942" t="str">
        <f>IFERROR(__xludf.DUMMYFUNCTION("""COMPUTED_VALUE"""),"Ventilated seats")</f>
        <v>Ventilated seats</v>
      </c>
      <c r="X2942" t="str">
        <f>IFERROR(__xludf.DUMMYFUNCTION("""COMPUTED_VALUE"""),"Excellent")</f>
        <v>Excellent</v>
      </c>
      <c r="Y2942" t="str">
        <f>IFERROR(__xludf.DUMMYFUNCTION("""COMPUTED_VALUE"""),"Very Good")</f>
        <v>Very Good</v>
      </c>
      <c r="Z2942" t="str">
        <f>IFERROR(__xludf.DUMMYFUNCTION("""COMPUTED_VALUE"""),"Good")</f>
        <v>Good</v>
      </c>
      <c r="AA2942" t="str">
        <f>IFERROR(__xludf.DUMMYFUNCTION("""COMPUTED_VALUE"""),"Very Good")</f>
        <v>Very Good</v>
      </c>
      <c r="AB2942" t="str">
        <f>IFERROR(__xludf.DUMMYFUNCTION("""COMPUTED_VALUE"""),"Excellent")</f>
        <v>Excellent</v>
      </c>
      <c r="AC2942">
        <f>IFERROR(__xludf.DUMMYFUNCTION("""COMPUTED_VALUE"""),3.0)</f>
        <v>3</v>
      </c>
      <c r="AD2942">
        <f>IFERROR(__xludf.DUMMYFUNCTION("""COMPUTED_VALUE"""),1.0)</f>
        <v>1</v>
      </c>
      <c r="AE2942">
        <f>IFERROR(__xludf.DUMMYFUNCTION("""COMPUTED_VALUE"""),1.0)</f>
        <v>1</v>
      </c>
      <c r="AF2942" t="str">
        <f>IFERROR(__xludf.DUMMYFUNCTION("""COMPUTED_VALUE"""),"No. I took delivery of the first car Tesla was able to deliver.")</f>
        <v>No. I took delivery of the first car Tesla was able to deliver.</v>
      </c>
      <c r="AH2942" s="189">
        <f>IFERROR(__xludf.DUMMYFUNCTION("""COMPUTED_VALUE"""),44366.452142939816)</f>
        <v>44366.45214</v>
      </c>
    </row>
    <row r="2943">
      <c r="A2943" t="str">
        <f>IFERROR(__xludf.DUMMYFUNCTION("""COMPUTED_VALUE"""),"Judacious")</f>
        <v>Judacious</v>
      </c>
      <c r="B2943" t="str">
        <f>IFERROR(__xludf.DUMMYFUNCTION("""COMPUTED_VALUE"""),"Edmonton")</f>
        <v>Edmonton</v>
      </c>
      <c r="C2943" t="str">
        <f>IFERROR(__xludf.DUMMYFUNCTION("""COMPUTED_VALUE"""),"AB")</f>
        <v>AB</v>
      </c>
      <c r="D2943" t="str">
        <f>IFERROR(__xludf.DUMMYFUNCTION("""COMPUTED_VALUE"""),"Canada")</f>
        <v>Canada</v>
      </c>
      <c r="E2943" s="188">
        <f>IFERROR(__xludf.DUMMYFUNCTION("""COMPUTED_VALUE"""),44301.0)</f>
        <v>44301</v>
      </c>
      <c r="F2943" s="188">
        <f>IFERROR(__xludf.DUMMYFUNCTION("""COMPUTED_VALUE"""),44352.0)</f>
        <v>44352</v>
      </c>
      <c r="G2943" t="str">
        <f>IFERROR(__xludf.DUMMYFUNCTION("""COMPUTED_VALUE"""),"Source code")</f>
        <v>Source code</v>
      </c>
      <c r="H2943">
        <f>IFERROR(__xludf.DUMMYFUNCTION("""COMPUTED_VALUE"""),990355.0)</f>
        <v>990355</v>
      </c>
      <c r="J2943" s="188">
        <f>IFERROR(__xludf.DUMMYFUNCTION("""COMPUTED_VALUE"""),44365.0)</f>
        <v>44365</v>
      </c>
      <c r="K2943">
        <f>IFERROR(__xludf.DUMMYFUNCTION("""COMPUTED_VALUE"""),51.0)</f>
        <v>51</v>
      </c>
      <c r="L2943">
        <f>IFERROR(__xludf.DUMMYFUNCTION("""COMPUTED_VALUE"""),13.0)</f>
        <v>13</v>
      </c>
      <c r="M2943">
        <f>IFERROR(__xludf.DUMMYFUNCTION("""COMPUTED_VALUE"""),64.0)</f>
        <v>64</v>
      </c>
      <c r="N2943" t="str">
        <f>IFERROR(__xludf.DUMMYFUNCTION("""COMPUTED_VALUE"""),"Model 3 Performance")</f>
        <v>Model 3 Performance</v>
      </c>
      <c r="O2943" t="str">
        <f>IFERROR(__xludf.DUMMYFUNCTION("""COMPUTED_VALUE"""),"Pearl White Multi-Coat")</f>
        <v>Pearl White Multi-Coat</v>
      </c>
      <c r="P2943" t="str">
        <f>IFERROR(__xludf.DUMMYFUNCTION("""COMPUTED_VALUE"""),"20 inch")</f>
        <v>20 inch</v>
      </c>
      <c r="Q2943" t="str">
        <f>IFERROR(__xludf.DUMMYFUNCTION("""COMPUTED_VALUE"""),"All Black")</f>
        <v>All Black</v>
      </c>
      <c r="R2943" t="str">
        <f>IFERROR(__xludf.DUMMYFUNCTION("""COMPUTED_VALUE"""),"Autopilot included")</f>
        <v>Autopilot included</v>
      </c>
      <c r="S2943" t="str">
        <f>IFERROR(__xludf.DUMMYFUNCTION("""COMPUTED_VALUE"""),"Cash")</f>
        <v>Cash</v>
      </c>
      <c r="T2943" t="str">
        <f>IFERROR(__xludf.DUMMYFUNCTION("""COMPUTED_VALUE"""),"BMW M240i xDrive Coupe")</f>
        <v>BMW M240i xDrive Coupe</v>
      </c>
      <c r="U2943" t="str">
        <f>IFERROR(__xludf.DUMMYFUNCTION("""COMPUTED_VALUE"""),"Autopilot")</f>
        <v>Autopilot</v>
      </c>
      <c r="V2943" t="str">
        <f>IFERROR(__xludf.DUMMYFUNCTION("""COMPUTED_VALUE"""),"Apple CarPlay / Android Auto / SiriusXM Radio")</f>
        <v>Apple CarPlay / Android Auto / SiriusXM Radio</v>
      </c>
      <c r="X2943" t="str">
        <f>IFERROR(__xludf.DUMMYFUNCTION("""COMPUTED_VALUE"""),"Excellent")</f>
        <v>Excellent</v>
      </c>
      <c r="Y2943" t="str">
        <f>IFERROR(__xludf.DUMMYFUNCTION("""COMPUTED_VALUE"""),"Excellent")</f>
        <v>Excellent</v>
      </c>
      <c r="Z2943" t="str">
        <f>IFERROR(__xludf.DUMMYFUNCTION("""COMPUTED_VALUE"""),"Excellent")</f>
        <v>Excellent</v>
      </c>
      <c r="AA2943" t="str">
        <f>IFERROR(__xludf.DUMMYFUNCTION("""COMPUTED_VALUE"""),"Excellent")</f>
        <v>Excellent</v>
      </c>
      <c r="AB2943" t="str">
        <f>IFERROR(__xludf.DUMMYFUNCTION("""COMPUTED_VALUE"""),"Excellent")</f>
        <v>Excellent</v>
      </c>
      <c r="AH2943" s="189">
        <f>IFERROR(__xludf.DUMMYFUNCTION("""COMPUTED_VALUE"""),44366.428078993056)</f>
        <v>44366.42808</v>
      </c>
    </row>
    <row r="2944">
      <c r="A2944" t="str">
        <f>IFERROR(__xludf.DUMMYFUNCTION("""COMPUTED_VALUE"""),"anotheronetouse")</f>
        <v>anotheronetouse</v>
      </c>
      <c r="B2944" t="str">
        <f>IFERROR(__xludf.DUMMYFUNCTION("""COMPUTED_VALUE"""),"San Francisco")</f>
        <v>San Francisco</v>
      </c>
      <c r="C2944" t="str">
        <f>IFERROR(__xludf.DUMMYFUNCTION("""COMPUTED_VALUE"""),"CA")</f>
        <v>CA</v>
      </c>
      <c r="D2944" t="str">
        <f>IFERROR(__xludf.DUMMYFUNCTION("""COMPUTED_VALUE"""),"USA")</f>
        <v>USA</v>
      </c>
      <c r="E2944" s="188">
        <f>IFERROR(__xludf.DUMMYFUNCTION("""COMPUTED_VALUE"""),44317.0)</f>
        <v>44317</v>
      </c>
      <c r="F2944" s="188">
        <f>IFERROR(__xludf.DUMMYFUNCTION("""COMPUTED_VALUE"""),44360.0)</f>
        <v>44360</v>
      </c>
      <c r="G2944" t="str">
        <f>IFERROR(__xludf.DUMMYFUNCTION("""COMPUTED_VALUE"""),"Manage order page (normal text)")</f>
        <v>Manage order page (normal text)</v>
      </c>
      <c r="J2944" s="188">
        <f>IFERROR(__xludf.DUMMYFUNCTION("""COMPUTED_VALUE"""),44362.0)</f>
        <v>44362</v>
      </c>
      <c r="K2944">
        <f>IFERROR(__xludf.DUMMYFUNCTION("""COMPUTED_VALUE"""),43.0)</f>
        <v>43</v>
      </c>
      <c r="L2944">
        <f>IFERROR(__xludf.DUMMYFUNCTION("""COMPUTED_VALUE"""),2.0)</f>
        <v>2</v>
      </c>
      <c r="M2944">
        <f>IFERROR(__xludf.DUMMYFUNCTION("""COMPUTED_VALUE"""),45.0)</f>
        <v>45</v>
      </c>
      <c r="N2944" t="str">
        <f>IFERROR(__xludf.DUMMYFUNCTION("""COMPUTED_VALUE"""),"Model 3 Performance")</f>
        <v>Model 3 Performance</v>
      </c>
      <c r="O2944" t="str">
        <f>IFERROR(__xludf.DUMMYFUNCTION("""COMPUTED_VALUE"""),"Red Multi-Coat")</f>
        <v>Red Multi-Coat</v>
      </c>
      <c r="Q2944" t="str">
        <f>IFERROR(__xludf.DUMMYFUNCTION("""COMPUTED_VALUE"""),"All Black")</f>
        <v>All Black</v>
      </c>
      <c r="R2944" t="str">
        <f>IFERROR(__xludf.DUMMYFUNCTION("""COMPUTED_VALUE"""),"Full Self-Driving")</f>
        <v>Full Self-Driving</v>
      </c>
      <c r="S2944" t="str">
        <f>IFERROR(__xludf.DUMMYFUNCTION("""COMPUTED_VALUE"""),"Loan")</f>
        <v>Loan</v>
      </c>
      <c r="U2944" t="str">
        <f>IFERROR(__xludf.DUMMYFUNCTION("""COMPUTED_VALUE"""),"Electric!")</f>
        <v>Electric!</v>
      </c>
      <c r="V2944" t="str">
        <f>IFERROR(__xludf.DUMMYFUNCTION("""COMPUTED_VALUE"""),"Ventilated seats")</f>
        <v>Ventilated seats</v>
      </c>
      <c r="X2944" t="str">
        <f>IFERROR(__xludf.DUMMYFUNCTION("""COMPUTED_VALUE"""),"Fair")</f>
        <v>Fair</v>
      </c>
      <c r="Y2944" t="str">
        <f>IFERROR(__xludf.DUMMYFUNCTION("""COMPUTED_VALUE"""),"Excellent")</f>
        <v>Excellent</v>
      </c>
      <c r="Z2944" t="str">
        <f>IFERROR(__xludf.DUMMYFUNCTION("""COMPUTED_VALUE"""),"Good")</f>
        <v>Good</v>
      </c>
      <c r="AA2944" t="str">
        <f>IFERROR(__xludf.DUMMYFUNCTION("""COMPUTED_VALUE"""),"Excellent")</f>
        <v>Excellent</v>
      </c>
      <c r="AB2944" t="str">
        <f>IFERROR(__xludf.DUMMYFUNCTION("""COMPUTED_VALUE"""),"Excellent")</f>
        <v>Excellent</v>
      </c>
      <c r="AC2944">
        <f>IFERROR(__xludf.DUMMYFUNCTION("""COMPUTED_VALUE"""),2.0)</f>
        <v>2</v>
      </c>
      <c r="AF2944" t="str">
        <f>IFERROR(__xludf.DUMMYFUNCTION("""COMPUTED_VALUE"""),"No. I took delivery of the first car Tesla was able to deliver.")</f>
        <v>No. I took delivery of the first car Tesla was able to deliver.</v>
      </c>
      <c r="AH2944" s="189">
        <f>IFERROR(__xludf.DUMMYFUNCTION("""COMPUTED_VALUE"""),44362.916677800924)</f>
        <v>44362.91668</v>
      </c>
    </row>
    <row r="2945">
      <c r="A2945" t="str">
        <f>IFERROR(__xludf.DUMMYFUNCTION("""COMPUTED_VALUE"""),"pip86")</f>
        <v>pip86</v>
      </c>
      <c r="B2945" t="str">
        <f>IFERROR(__xludf.DUMMYFUNCTION("""COMPUTED_VALUE"""),"SoCal")</f>
        <v>SoCal</v>
      </c>
      <c r="C2945" t="str">
        <f>IFERROR(__xludf.DUMMYFUNCTION("""COMPUTED_VALUE"""),"CA")</f>
        <v>CA</v>
      </c>
      <c r="D2945" t="str">
        <f>IFERROR(__xludf.DUMMYFUNCTION("""COMPUTED_VALUE"""),"USA")</f>
        <v>USA</v>
      </c>
      <c r="E2945" s="188">
        <f>IFERROR(__xludf.DUMMYFUNCTION("""COMPUTED_VALUE"""),44335.0)</f>
        <v>44335</v>
      </c>
      <c r="F2945" s="188">
        <f>IFERROR(__xludf.DUMMYFUNCTION("""COMPUTED_VALUE"""),44352.0)</f>
        <v>44352</v>
      </c>
      <c r="G2945" t="str">
        <f>IFERROR(__xludf.DUMMYFUNCTION("""COMPUTED_VALUE"""),"Email")</f>
        <v>Email</v>
      </c>
      <c r="H2945">
        <f>IFERROR(__xludf.DUMMYFUNCTION("""COMPUTED_VALUE"""),990555.0)</f>
        <v>990555</v>
      </c>
      <c r="I2945" t="str">
        <f>IFERROR(__xludf.DUMMYFUNCTION("""COMPUTED_VALUE"""),"06/21")</f>
        <v>06/21</v>
      </c>
      <c r="J2945" s="188">
        <f>IFERROR(__xludf.DUMMYFUNCTION("""COMPUTED_VALUE"""),44358.0)</f>
        <v>44358</v>
      </c>
      <c r="K2945">
        <f>IFERROR(__xludf.DUMMYFUNCTION("""COMPUTED_VALUE"""),17.0)</f>
        <v>17</v>
      </c>
      <c r="L2945">
        <f>IFERROR(__xludf.DUMMYFUNCTION("""COMPUTED_VALUE"""),6.0)</f>
        <v>6</v>
      </c>
      <c r="M2945">
        <f>IFERROR(__xludf.DUMMYFUNCTION("""COMPUTED_VALUE"""),23.0)</f>
        <v>23</v>
      </c>
      <c r="N2945" t="str">
        <f>IFERROR(__xludf.DUMMYFUNCTION("""COMPUTED_VALUE"""),"Model 3 Performance")</f>
        <v>Model 3 Performance</v>
      </c>
      <c r="O2945" t="str">
        <f>IFERROR(__xludf.DUMMYFUNCTION("""COMPUTED_VALUE"""),"Midnight Silver Metallic")</f>
        <v>Midnight Silver Metallic</v>
      </c>
      <c r="P2945" t="str">
        <f>IFERROR(__xludf.DUMMYFUNCTION("""COMPUTED_VALUE"""),"20 inch")</f>
        <v>20 inch</v>
      </c>
      <c r="Q2945" t="str">
        <f>IFERROR(__xludf.DUMMYFUNCTION("""COMPUTED_VALUE"""),"All Black")</f>
        <v>All Black</v>
      </c>
      <c r="R2945" t="str">
        <f>IFERROR(__xludf.DUMMYFUNCTION("""COMPUTED_VALUE"""),"Full Self-Driving")</f>
        <v>Full Self-Driving</v>
      </c>
      <c r="S2945" t="str">
        <f>IFERROR(__xludf.DUMMYFUNCTION("""COMPUTED_VALUE"""),"Loan")</f>
        <v>Loan</v>
      </c>
      <c r="T2945" t="str">
        <f>IFERROR(__xludf.DUMMYFUNCTION("""COMPUTED_VALUE"""),"Volkswagen GTI")</f>
        <v>Volkswagen GTI</v>
      </c>
      <c r="U2945" t="str">
        <f>IFERROR(__xludf.DUMMYFUNCTION("""COMPUTED_VALUE"""),"Electric!")</f>
        <v>Electric!</v>
      </c>
      <c r="V2945" t="str">
        <f>IFERROR(__xludf.DUMMYFUNCTION("""COMPUTED_VALUE"""),"Ventilated seats")</f>
        <v>Ventilated seats</v>
      </c>
      <c r="X2945" t="str">
        <f>IFERROR(__xludf.DUMMYFUNCTION("""COMPUTED_VALUE"""),"Excellent")</f>
        <v>Excellent</v>
      </c>
      <c r="Y2945" t="str">
        <f>IFERROR(__xludf.DUMMYFUNCTION("""COMPUTED_VALUE"""),"Excellent")</f>
        <v>Excellent</v>
      </c>
      <c r="Z2945" t="str">
        <f>IFERROR(__xludf.DUMMYFUNCTION("""COMPUTED_VALUE"""),"Very Good")</f>
        <v>Very Good</v>
      </c>
      <c r="AA2945" t="str">
        <f>IFERROR(__xludf.DUMMYFUNCTION("""COMPUTED_VALUE"""),"Excellent")</f>
        <v>Excellent</v>
      </c>
      <c r="AB2945" t="str">
        <f>IFERROR(__xludf.DUMMYFUNCTION("""COMPUTED_VALUE"""),"Excellent")</f>
        <v>Excellent</v>
      </c>
      <c r="AC2945">
        <f>IFERROR(__xludf.DUMMYFUNCTION("""COMPUTED_VALUE"""),2.0)</f>
        <v>2</v>
      </c>
      <c r="AF2945" t="str">
        <f>IFERROR(__xludf.DUMMYFUNCTION("""COMPUTED_VALUE"""),"No. I took delivery of the first car Tesla was able to deliver.")</f>
        <v>No. I took delivery of the first car Tesla was able to deliver.</v>
      </c>
      <c r="AH2945" s="189">
        <f>IFERROR(__xludf.DUMMYFUNCTION("""COMPUTED_VALUE"""),44365.721775659724)</f>
        <v>44365.72178</v>
      </c>
    </row>
    <row r="2946">
      <c r="A2946" t="str">
        <f>IFERROR(__xludf.DUMMYFUNCTION("""COMPUTED_VALUE"""),"Chucky")</f>
        <v>Chucky</v>
      </c>
      <c r="B2946" t="str">
        <f>IFERROR(__xludf.DUMMYFUNCTION("""COMPUTED_VALUE"""),"Los Angeles ")</f>
        <v>Los Angeles </v>
      </c>
      <c r="C2946" t="str">
        <f>IFERROR(__xludf.DUMMYFUNCTION("""COMPUTED_VALUE"""),"CA")</f>
        <v>CA</v>
      </c>
      <c r="D2946" t="str">
        <f>IFERROR(__xludf.DUMMYFUNCTION("""COMPUTED_VALUE"""),"USA")</f>
        <v>USA</v>
      </c>
      <c r="E2946" s="188">
        <f>IFERROR(__xludf.DUMMYFUNCTION("""COMPUTED_VALUE"""),44331.0)</f>
        <v>44331</v>
      </c>
      <c r="F2946" s="188">
        <f>IFERROR(__xludf.DUMMYFUNCTION("""COMPUTED_VALUE"""),44361.0)</f>
        <v>44361</v>
      </c>
      <c r="G2946" t="str">
        <f>IFERROR(__xludf.DUMMYFUNCTION("""COMPUTED_VALUE"""),"Manage order page (normal text)")</f>
        <v>Manage order page (normal text)</v>
      </c>
      <c r="H2946">
        <f>IFERROR(__xludf.DUMMYFUNCTION("""COMPUTED_VALUE"""),992455.0)</f>
        <v>992455</v>
      </c>
      <c r="I2946" t="str">
        <f>IFERROR(__xludf.DUMMYFUNCTION("""COMPUTED_VALUE"""),"06/21")</f>
        <v>06/21</v>
      </c>
      <c r="J2946" s="188">
        <f>IFERROR(__xludf.DUMMYFUNCTION("""COMPUTED_VALUE"""),44364.0)</f>
        <v>44364</v>
      </c>
      <c r="K2946">
        <f>IFERROR(__xludf.DUMMYFUNCTION("""COMPUTED_VALUE"""),30.0)</f>
        <v>30</v>
      </c>
      <c r="L2946">
        <f>IFERROR(__xludf.DUMMYFUNCTION("""COMPUTED_VALUE"""),3.0)</f>
        <v>3</v>
      </c>
      <c r="M2946">
        <f>IFERROR(__xludf.DUMMYFUNCTION("""COMPUTED_VALUE"""),33.0)</f>
        <v>33</v>
      </c>
      <c r="N2946" t="str">
        <f>IFERROR(__xludf.DUMMYFUNCTION("""COMPUTED_VALUE"""),"Model 3 SR+")</f>
        <v>Model 3 SR+</v>
      </c>
      <c r="O2946" t="str">
        <f>IFERROR(__xludf.DUMMYFUNCTION("""COMPUTED_VALUE"""),"Midnight Silver Metallic")</f>
        <v>Midnight Silver Metallic</v>
      </c>
      <c r="P2946" t="str">
        <f>IFERROR(__xludf.DUMMYFUNCTION("""COMPUTED_VALUE"""),"18 inch")</f>
        <v>18 inch</v>
      </c>
      <c r="Q2946" t="str">
        <f>IFERROR(__xludf.DUMMYFUNCTION("""COMPUTED_VALUE"""),"All Black")</f>
        <v>All Black</v>
      </c>
      <c r="R2946" t="str">
        <f>IFERROR(__xludf.DUMMYFUNCTION("""COMPUTED_VALUE"""),"Full Self-Driving")</f>
        <v>Full Self-Driving</v>
      </c>
      <c r="S2946" t="str">
        <f>IFERROR(__xludf.DUMMYFUNCTION("""COMPUTED_VALUE"""),"Loan")</f>
        <v>Loan</v>
      </c>
      <c r="T2946" t="str">
        <f>IFERROR(__xludf.DUMMYFUNCTION("""COMPUTED_VALUE"""),"RAM 1500")</f>
        <v>RAM 1500</v>
      </c>
      <c r="U2946" t="str">
        <f>IFERROR(__xludf.DUMMYFUNCTION("""COMPUTED_VALUE"""),"Autopilot")</f>
        <v>Autopilot</v>
      </c>
      <c r="V2946" t="str">
        <f>IFERROR(__xludf.DUMMYFUNCTION("""COMPUTED_VALUE"""),"Apple CarPlay / Android Auto / SiriusXM Radio")</f>
        <v>Apple CarPlay / Android Auto / SiriusXM Radio</v>
      </c>
      <c r="W2946" t="str">
        <f>IFERROR(__xludf.DUMMYFUNCTION("""COMPUTED_VALUE"""),"Be patient, Don't believe the FUD")</f>
        <v>Be patient, Don't believe the FUD</v>
      </c>
      <c r="X2946" t="str">
        <f>IFERROR(__xludf.DUMMYFUNCTION("""COMPUTED_VALUE"""),"Very Good")</f>
        <v>Very Good</v>
      </c>
      <c r="Y2946" t="str">
        <f>IFERROR(__xludf.DUMMYFUNCTION("""COMPUTED_VALUE"""),"Good")</f>
        <v>Good</v>
      </c>
      <c r="Z2946" t="str">
        <f>IFERROR(__xludf.DUMMYFUNCTION("""COMPUTED_VALUE"""),"Very Good")</f>
        <v>Very Good</v>
      </c>
      <c r="AA2946" t="str">
        <f>IFERROR(__xludf.DUMMYFUNCTION("""COMPUTED_VALUE"""),"Poor")</f>
        <v>Poor</v>
      </c>
      <c r="AB2946" t="str">
        <f>IFERROR(__xludf.DUMMYFUNCTION("""COMPUTED_VALUE"""),"Excellent")</f>
        <v>Excellent</v>
      </c>
      <c r="AF2946" t="str">
        <f>IFERROR(__xludf.DUMMYFUNCTION("""COMPUTED_VALUE"""),"No. I took delivery of the first car Tesla was able to deliver.")</f>
        <v>No. I took delivery of the first car Tesla was able to deliver.</v>
      </c>
      <c r="AH2946" s="189">
        <f>IFERROR(__xludf.DUMMYFUNCTION("""COMPUTED_VALUE"""),44364.769899907405)</f>
        <v>44364.7699</v>
      </c>
    </row>
    <row r="2947">
      <c r="A2947" t="str">
        <f>IFERROR(__xludf.DUMMYFUNCTION("""COMPUTED_VALUE"""),"BLGranucci ")</f>
        <v>BLGranucci </v>
      </c>
      <c r="B2947" t="str">
        <f>IFERROR(__xludf.DUMMYFUNCTION("""COMPUTED_VALUE"""),"Wappingers Falls")</f>
        <v>Wappingers Falls</v>
      </c>
      <c r="C2947" t="str">
        <f>IFERROR(__xludf.DUMMYFUNCTION("""COMPUTED_VALUE"""),"NY")</f>
        <v>NY</v>
      </c>
      <c r="D2947" t="str">
        <f>IFERROR(__xludf.DUMMYFUNCTION("""COMPUTED_VALUE"""),"USA")</f>
        <v>USA</v>
      </c>
      <c r="E2947" s="188">
        <f>IFERROR(__xludf.DUMMYFUNCTION("""COMPUTED_VALUE"""),44308.0)</f>
        <v>44308</v>
      </c>
      <c r="F2947" s="188">
        <f>IFERROR(__xludf.DUMMYFUNCTION("""COMPUTED_VALUE"""),44345.0)</f>
        <v>44345</v>
      </c>
      <c r="G2947" t="str">
        <f>IFERROR(__xludf.DUMMYFUNCTION("""COMPUTED_VALUE"""),"Manage order page (normal text)")</f>
        <v>Manage order page (normal text)</v>
      </c>
      <c r="H2947">
        <f>IFERROR(__xludf.DUMMYFUNCTION("""COMPUTED_VALUE"""),979855.0)</f>
        <v>979855</v>
      </c>
      <c r="I2947" t="str">
        <f>IFERROR(__xludf.DUMMYFUNCTION("""COMPUTED_VALUE"""),"05/21")</f>
        <v>05/21</v>
      </c>
      <c r="J2947" s="188">
        <f>IFERROR(__xludf.DUMMYFUNCTION("""COMPUTED_VALUE"""),44353.0)</f>
        <v>44353</v>
      </c>
      <c r="K2947">
        <f>IFERROR(__xludf.DUMMYFUNCTION("""COMPUTED_VALUE"""),37.0)</f>
        <v>37</v>
      </c>
      <c r="L2947">
        <f>IFERROR(__xludf.DUMMYFUNCTION("""COMPUTED_VALUE"""),8.0)</f>
        <v>8</v>
      </c>
      <c r="M2947">
        <f>IFERROR(__xludf.DUMMYFUNCTION("""COMPUTED_VALUE"""),45.0)</f>
        <v>45</v>
      </c>
      <c r="N2947" t="str">
        <f>IFERROR(__xludf.DUMMYFUNCTION("""COMPUTED_VALUE"""),"Model 3 LR AWD")</f>
        <v>Model 3 LR AWD</v>
      </c>
      <c r="O2947" t="str">
        <f>IFERROR(__xludf.DUMMYFUNCTION("""COMPUTED_VALUE"""),"Deep Blue Metallic")</f>
        <v>Deep Blue Metallic</v>
      </c>
      <c r="P2947" t="str">
        <f>IFERROR(__xludf.DUMMYFUNCTION("""COMPUTED_VALUE"""),"18 inch")</f>
        <v>18 inch</v>
      </c>
      <c r="Q2947" t="str">
        <f>IFERROR(__xludf.DUMMYFUNCTION("""COMPUTED_VALUE"""),"All Black")</f>
        <v>All Black</v>
      </c>
      <c r="R2947" t="str">
        <f>IFERROR(__xludf.DUMMYFUNCTION("""COMPUTED_VALUE"""),"Full Self-Driving")</f>
        <v>Full Self-Driving</v>
      </c>
      <c r="S2947" t="str">
        <f>IFERROR(__xludf.DUMMYFUNCTION("""COMPUTED_VALUE"""),"Loan")</f>
        <v>Loan</v>
      </c>
      <c r="T2947" t="str">
        <f>IFERROR(__xludf.DUMMYFUNCTION("""COMPUTED_VALUE"""),"Chevy Bolt")</f>
        <v>Chevy Bolt</v>
      </c>
      <c r="U2947" t="str">
        <f>IFERROR(__xludf.DUMMYFUNCTION("""COMPUTED_VALUE"""),"Autopilot")</f>
        <v>Autopilot</v>
      </c>
      <c r="V2947" t="str">
        <f>IFERROR(__xludf.DUMMYFUNCTION("""COMPUTED_VALUE"""),"360° Bird's eye view")</f>
        <v>360° Bird's eye view</v>
      </c>
      <c r="X2947" t="str">
        <f>IFERROR(__xludf.DUMMYFUNCTION("""COMPUTED_VALUE"""),"Very Good")</f>
        <v>Very Good</v>
      </c>
      <c r="Y2947" t="str">
        <f>IFERROR(__xludf.DUMMYFUNCTION("""COMPUTED_VALUE"""),"Very Good")</f>
        <v>Very Good</v>
      </c>
      <c r="Z2947" t="str">
        <f>IFERROR(__xludf.DUMMYFUNCTION("""COMPUTED_VALUE"""),"Very Good")</f>
        <v>Very Good</v>
      </c>
      <c r="AA2947" t="str">
        <f>IFERROR(__xludf.DUMMYFUNCTION("""COMPUTED_VALUE"""),"Good")</f>
        <v>Good</v>
      </c>
      <c r="AB2947" t="str">
        <f>IFERROR(__xludf.DUMMYFUNCTION("""COMPUTED_VALUE"""),"Very Good")</f>
        <v>Very Good</v>
      </c>
      <c r="AF2947" t="str">
        <f>IFERROR(__xludf.DUMMYFUNCTION("""COMPUTED_VALUE"""),"No. I took delivery of the first car Tesla was able to deliver.")</f>
        <v>No. I took delivery of the first car Tesla was able to deliver.</v>
      </c>
      <c r="AH2947" s="189">
        <f>IFERROR(__xludf.DUMMYFUNCTION("""COMPUTED_VALUE"""),44357.70321040509)</f>
        <v>44357.70321</v>
      </c>
    </row>
    <row r="2948">
      <c r="A2948" t="str">
        <f>IFERROR(__xludf.DUMMYFUNCTION("""COMPUTED_VALUE"""),"MacawLife")</f>
        <v>MacawLife</v>
      </c>
      <c r="B2948" t="str">
        <f>IFERROR(__xludf.DUMMYFUNCTION("""COMPUTED_VALUE"""),"Broken Arrow")</f>
        <v>Broken Arrow</v>
      </c>
      <c r="C2948" t="str">
        <f>IFERROR(__xludf.DUMMYFUNCTION("""COMPUTED_VALUE"""),"OK")</f>
        <v>OK</v>
      </c>
      <c r="D2948" t="str">
        <f>IFERROR(__xludf.DUMMYFUNCTION("""COMPUTED_VALUE"""),"USA")</f>
        <v>USA</v>
      </c>
      <c r="E2948" s="188">
        <f>IFERROR(__xludf.DUMMYFUNCTION("""COMPUTED_VALUE"""),44305.0)</f>
        <v>44305</v>
      </c>
      <c r="F2948" s="188">
        <f>IFERROR(__xludf.DUMMYFUNCTION("""COMPUTED_VALUE"""),44365.0)</f>
        <v>44365</v>
      </c>
      <c r="G2948" t="str">
        <f>IFERROR(__xludf.DUMMYFUNCTION("""COMPUTED_VALUE"""),"Manage order page (normal text)")</f>
        <v>Manage order page (normal text)</v>
      </c>
      <c r="H2948">
        <f>IFERROR(__xludf.DUMMYFUNCTION("""COMPUTED_VALUE"""),655.0)</f>
        <v>655</v>
      </c>
      <c r="I2948" t="str">
        <f>IFERROR(__xludf.DUMMYFUNCTION("""COMPUTED_VALUE"""),"06/21")</f>
        <v>06/21</v>
      </c>
      <c r="J2948" s="188">
        <f>IFERROR(__xludf.DUMMYFUNCTION("""COMPUTED_VALUE"""),44376.0)</f>
        <v>44376</v>
      </c>
      <c r="K2948">
        <f>IFERROR(__xludf.DUMMYFUNCTION("""COMPUTED_VALUE"""),60.0)</f>
        <v>60</v>
      </c>
      <c r="L2948">
        <f>IFERROR(__xludf.DUMMYFUNCTION("""COMPUTED_VALUE"""),11.0)</f>
        <v>11</v>
      </c>
      <c r="M2948">
        <f>IFERROR(__xludf.DUMMYFUNCTION("""COMPUTED_VALUE"""),71.0)</f>
        <v>71</v>
      </c>
      <c r="N2948" t="str">
        <f>IFERROR(__xludf.DUMMYFUNCTION("""COMPUTED_VALUE"""),"Model 3 SR+")</f>
        <v>Model 3 SR+</v>
      </c>
      <c r="O2948" t="str">
        <f>IFERROR(__xludf.DUMMYFUNCTION("""COMPUTED_VALUE"""),"Deep Blue Metallic")</f>
        <v>Deep Blue Metallic</v>
      </c>
      <c r="P2948" t="str">
        <f>IFERROR(__xludf.DUMMYFUNCTION("""COMPUTED_VALUE"""),"18 inch")</f>
        <v>18 inch</v>
      </c>
      <c r="Q2948" t="str">
        <f>IFERROR(__xludf.DUMMYFUNCTION("""COMPUTED_VALUE"""),"Black and White")</f>
        <v>Black and White</v>
      </c>
      <c r="R2948" t="str">
        <f>IFERROR(__xludf.DUMMYFUNCTION("""COMPUTED_VALUE"""),"Autopilot included")</f>
        <v>Autopilot included</v>
      </c>
      <c r="S2948" t="str">
        <f>IFERROR(__xludf.DUMMYFUNCTION("""COMPUTED_VALUE"""),"Loan")</f>
        <v>Loan</v>
      </c>
      <c r="T2948" t="str">
        <f>IFERROR(__xludf.DUMMYFUNCTION("""COMPUTED_VALUE"""),"Ford Mustang")</f>
        <v>Ford Mustang</v>
      </c>
      <c r="U2948" t="str">
        <f>IFERROR(__xludf.DUMMYFUNCTION("""COMPUTED_VALUE"""),"Electric!")</f>
        <v>Electric!</v>
      </c>
      <c r="V2948" t="str">
        <f>IFERROR(__xludf.DUMMYFUNCTION("""COMPUTED_VALUE"""),"Head-up display")</f>
        <v>Head-up display</v>
      </c>
      <c r="W2948" t="str">
        <f>IFERROR(__xludf.DUMMYFUNCTION("""COMPUTED_VALUE"""),"Don’t sell your current car too soon. Tesla’s offer might not be the best- shop around. But don’t target the lower end of the estimated delivery window.")</f>
        <v>Don’t sell your current car too soon. Tesla’s offer might not be the best- shop around. But don’t target the lower end of the estimated delivery window.</v>
      </c>
      <c r="X2948" t="str">
        <f>IFERROR(__xludf.DUMMYFUNCTION("""COMPUTED_VALUE"""),"Very Good")</f>
        <v>Very Good</v>
      </c>
      <c r="Y2948" t="str">
        <f>IFERROR(__xludf.DUMMYFUNCTION("""COMPUTED_VALUE"""),"Excellent")</f>
        <v>Excellent</v>
      </c>
      <c r="Z2948" t="str">
        <f>IFERROR(__xludf.DUMMYFUNCTION("""COMPUTED_VALUE"""),"Poor")</f>
        <v>Poor</v>
      </c>
      <c r="AA2948" t="str">
        <f>IFERROR(__xludf.DUMMYFUNCTION("""COMPUTED_VALUE"""),"Fair")</f>
        <v>Fair</v>
      </c>
      <c r="AB2948" t="str">
        <f>IFERROR(__xludf.DUMMYFUNCTION("""COMPUTED_VALUE"""),"Good")</f>
        <v>Good</v>
      </c>
      <c r="AC2948">
        <f>IFERROR(__xludf.DUMMYFUNCTION("""COMPUTED_VALUE"""),3.0)</f>
        <v>3</v>
      </c>
      <c r="AF2948" t="str">
        <f>IFERROR(__xludf.DUMMYFUNCTION("""COMPUTED_VALUE"""),"No. I took delivery of the first car Tesla was able to deliver.")</f>
        <v>No. I took delivery of the first car Tesla was able to deliver.</v>
      </c>
      <c r="AH2948" s="189">
        <f>IFERROR(__xludf.DUMMYFUNCTION("""COMPUTED_VALUE"""),44376.93184818287)</f>
        <v>44376.93185</v>
      </c>
    </row>
    <row r="2949">
      <c r="A2949" t="str">
        <f>IFERROR(__xludf.DUMMYFUNCTION("""COMPUTED_VALUE"""),"Vahe Baghoomian")</f>
        <v>Vahe Baghoomian</v>
      </c>
      <c r="B2949" t="str">
        <f>IFERROR(__xludf.DUMMYFUNCTION("""COMPUTED_VALUE"""),"Toronto")</f>
        <v>Toronto</v>
      </c>
      <c r="C2949" t="str">
        <f>IFERROR(__xludf.DUMMYFUNCTION("""COMPUTED_VALUE"""),"ON")</f>
        <v>ON</v>
      </c>
      <c r="D2949" t="str">
        <f>IFERROR(__xludf.DUMMYFUNCTION("""COMPUTED_VALUE"""),"Canada")</f>
        <v>Canada</v>
      </c>
      <c r="E2949" s="188">
        <f>IFERROR(__xludf.DUMMYFUNCTION("""COMPUTED_VALUE"""),34220.0)</f>
        <v>34220</v>
      </c>
      <c r="F2949" s="188">
        <f>IFERROR(__xludf.DUMMYFUNCTION("""COMPUTED_VALUE"""),44342.0)</f>
        <v>44342</v>
      </c>
      <c r="G2949" t="str">
        <f>IFERROR(__xludf.DUMMYFUNCTION("""COMPUTED_VALUE"""),"Phone call")</f>
        <v>Phone call</v>
      </c>
      <c r="I2949" t="str">
        <f>IFERROR(__xludf.DUMMYFUNCTION("""COMPUTED_VALUE"""),"04/21")</f>
        <v>04/21</v>
      </c>
      <c r="J2949" s="188">
        <f>IFERROR(__xludf.DUMMYFUNCTION("""COMPUTED_VALUE"""),44344.0)</f>
        <v>44344</v>
      </c>
      <c r="L2949">
        <f>IFERROR(__xludf.DUMMYFUNCTION("""COMPUTED_VALUE"""),2.0)</f>
        <v>2</v>
      </c>
      <c r="N2949" t="str">
        <f>IFERROR(__xludf.DUMMYFUNCTION("""COMPUTED_VALUE"""),"Model 3 SR+")</f>
        <v>Model 3 SR+</v>
      </c>
      <c r="O2949" t="str">
        <f>IFERROR(__xludf.DUMMYFUNCTION("""COMPUTED_VALUE"""),"Pearl White Multi-Coat")</f>
        <v>Pearl White Multi-Coat</v>
      </c>
      <c r="P2949" t="str">
        <f>IFERROR(__xludf.DUMMYFUNCTION("""COMPUTED_VALUE"""),"18 inch")</f>
        <v>18 inch</v>
      </c>
      <c r="Q2949" t="str">
        <f>IFERROR(__xludf.DUMMYFUNCTION("""COMPUTED_VALUE"""),"All Black")</f>
        <v>All Black</v>
      </c>
      <c r="R2949" t="str">
        <f>IFERROR(__xludf.DUMMYFUNCTION("""COMPUTED_VALUE"""),"Autopilot included")</f>
        <v>Autopilot included</v>
      </c>
      <c r="S2949" t="str">
        <f>IFERROR(__xludf.DUMMYFUNCTION("""COMPUTED_VALUE"""),"Lease")</f>
        <v>Lease</v>
      </c>
      <c r="T2949" t="str">
        <f>IFERROR(__xludf.DUMMYFUNCTION("""COMPUTED_VALUE"""),"Chevrolet ")</f>
        <v>Chevrolet </v>
      </c>
      <c r="U2949" t="str">
        <f>IFERROR(__xludf.DUMMYFUNCTION("""COMPUTED_VALUE"""),"Electric!")</f>
        <v>Electric!</v>
      </c>
      <c r="V2949" t="str">
        <f>IFERROR(__xludf.DUMMYFUNCTION("""COMPUTED_VALUE"""),"Blind spot indicators on side mirrors")</f>
        <v>Blind spot indicators on side mirrors</v>
      </c>
      <c r="X2949" t="str">
        <f>IFERROR(__xludf.DUMMYFUNCTION("""COMPUTED_VALUE"""),"Very Good")</f>
        <v>Very Good</v>
      </c>
      <c r="Y2949" t="str">
        <f>IFERROR(__xludf.DUMMYFUNCTION("""COMPUTED_VALUE"""),"Very Good")</f>
        <v>Very Good</v>
      </c>
      <c r="Z2949" t="str">
        <f>IFERROR(__xludf.DUMMYFUNCTION("""COMPUTED_VALUE"""),"Excellent")</f>
        <v>Excellent</v>
      </c>
      <c r="AA2949" t="str">
        <f>IFERROR(__xludf.DUMMYFUNCTION("""COMPUTED_VALUE"""),"Excellent")</f>
        <v>Excellent</v>
      </c>
      <c r="AB2949" t="str">
        <f>IFERROR(__xludf.DUMMYFUNCTION("""COMPUTED_VALUE"""),"Excellent")</f>
        <v>Excellent</v>
      </c>
      <c r="AC2949">
        <f>IFERROR(__xludf.DUMMYFUNCTION("""COMPUTED_VALUE"""),0.0)</f>
        <v>0</v>
      </c>
      <c r="AD2949">
        <f>IFERROR(__xludf.DUMMYFUNCTION("""COMPUTED_VALUE"""),0.0)</f>
        <v>0</v>
      </c>
      <c r="AE2949">
        <f>IFERROR(__xludf.DUMMYFUNCTION("""COMPUTED_VALUE"""),0.0)</f>
        <v>0</v>
      </c>
      <c r="AF2949" t="str">
        <f>IFERROR(__xludf.DUMMYFUNCTION("""COMPUTED_VALUE"""),"No. I took delivery of the first car Tesla was able to deliver.")</f>
        <v>No. I took delivery of the first car Tesla was able to deliver.</v>
      </c>
      <c r="AH2949" s="189">
        <f>IFERROR(__xludf.DUMMYFUNCTION("""COMPUTED_VALUE"""),44343.37848532408)</f>
        <v>44343.37849</v>
      </c>
    </row>
    <row r="2950">
      <c r="A2950" t="str">
        <f>IFERROR(__xludf.DUMMYFUNCTION("""COMPUTED_VALUE"""),"BigMurr")</f>
        <v>BigMurr</v>
      </c>
      <c r="B2950" t="str">
        <f>IFERROR(__xludf.DUMMYFUNCTION("""COMPUTED_VALUE"""),"Chico")</f>
        <v>Chico</v>
      </c>
      <c r="C2950" t="str">
        <f>IFERROR(__xludf.DUMMYFUNCTION("""COMPUTED_VALUE"""),"CA")</f>
        <v>CA</v>
      </c>
      <c r="D2950" t="str">
        <f>IFERROR(__xludf.DUMMYFUNCTION("""COMPUTED_VALUE"""),"USA")</f>
        <v>USA</v>
      </c>
      <c r="E2950" s="188">
        <f>IFERROR(__xludf.DUMMYFUNCTION("""COMPUTED_VALUE"""),44315.0)</f>
        <v>44315</v>
      </c>
      <c r="F2950" s="188">
        <f>IFERROR(__xludf.DUMMYFUNCTION("""COMPUTED_VALUE"""),44353.0)</f>
        <v>44353</v>
      </c>
      <c r="G2950" t="str">
        <f>IFERROR(__xludf.DUMMYFUNCTION("""COMPUTED_VALUE"""),"Manage order page (normal text)")</f>
        <v>Manage order page (normal text)</v>
      </c>
      <c r="H2950">
        <f>IFERROR(__xludf.DUMMYFUNCTION("""COMPUTED_VALUE"""),987055.0)</f>
        <v>987055</v>
      </c>
      <c r="I2950" t="str">
        <f>IFERROR(__xludf.DUMMYFUNCTION("""COMPUTED_VALUE"""),"06/21")</f>
        <v>06/21</v>
      </c>
      <c r="J2950" s="188">
        <f>IFERROR(__xludf.DUMMYFUNCTION("""COMPUTED_VALUE"""),44362.0)</f>
        <v>44362</v>
      </c>
      <c r="K2950">
        <f>IFERROR(__xludf.DUMMYFUNCTION("""COMPUTED_VALUE"""),38.0)</f>
        <v>38</v>
      </c>
      <c r="L2950">
        <f>IFERROR(__xludf.DUMMYFUNCTION("""COMPUTED_VALUE"""),9.0)</f>
        <v>9</v>
      </c>
      <c r="M2950">
        <f>IFERROR(__xludf.DUMMYFUNCTION("""COMPUTED_VALUE"""),47.0)</f>
        <v>47</v>
      </c>
      <c r="N2950" t="str">
        <f>IFERROR(__xludf.DUMMYFUNCTION("""COMPUTED_VALUE"""),"Model 3 SR+")</f>
        <v>Model 3 SR+</v>
      </c>
      <c r="O2950" t="str">
        <f>IFERROR(__xludf.DUMMYFUNCTION("""COMPUTED_VALUE"""),"Pearl White Multi-Coat")</f>
        <v>Pearl White Multi-Coat</v>
      </c>
      <c r="P2950" t="str">
        <f>IFERROR(__xludf.DUMMYFUNCTION("""COMPUTED_VALUE"""),"18 inch")</f>
        <v>18 inch</v>
      </c>
      <c r="Q2950" t="str">
        <f>IFERROR(__xludf.DUMMYFUNCTION("""COMPUTED_VALUE"""),"All Black")</f>
        <v>All Black</v>
      </c>
      <c r="R2950" t="str">
        <f>IFERROR(__xludf.DUMMYFUNCTION("""COMPUTED_VALUE"""),"Autopilot included")</f>
        <v>Autopilot included</v>
      </c>
      <c r="S2950" t="str">
        <f>IFERROR(__xludf.DUMMYFUNCTION("""COMPUTED_VALUE"""),"Cash")</f>
        <v>Cash</v>
      </c>
      <c r="T2950" t="str">
        <f>IFERROR(__xludf.DUMMYFUNCTION("""COMPUTED_VALUE"""),"Ford F350")</f>
        <v>Ford F350</v>
      </c>
      <c r="U2950" t="str">
        <f>IFERROR(__xludf.DUMMYFUNCTION("""COMPUTED_VALUE"""),"Electric!")</f>
        <v>Electric!</v>
      </c>
      <c r="V2950" t="str">
        <f>IFERROR(__xludf.DUMMYFUNCTION("""COMPUTED_VALUE"""),"360° Bird's eye view")</f>
        <v>360° Bird's eye view</v>
      </c>
      <c r="X2950" t="str">
        <f>IFERROR(__xludf.DUMMYFUNCTION("""COMPUTED_VALUE"""),"Very Good")</f>
        <v>Very Good</v>
      </c>
      <c r="Y2950" t="str">
        <f>IFERROR(__xludf.DUMMYFUNCTION("""COMPUTED_VALUE"""),"Excellent")</f>
        <v>Excellent</v>
      </c>
      <c r="Z2950" t="str">
        <f>IFERROR(__xludf.DUMMYFUNCTION("""COMPUTED_VALUE"""),"Excellent")</f>
        <v>Excellent</v>
      </c>
      <c r="AA2950" t="str">
        <f>IFERROR(__xludf.DUMMYFUNCTION("""COMPUTED_VALUE"""),"Poor")</f>
        <v>Poor</v>
      </c>
      <c r="AB2950" t="str">
        <f>IFERROR(__xludf.DUMMYFUNCTION("""COMPUTED_VALUE"""),"Very Good")</f>
        <v>Very Good</v>
      </c>
      <c r="AF2950" t="str">
        <f>IFERROR(__xludf.DUMMYFUNCTION("""COMPUTED_VALUE"""),"No. I took delivery of the first car Tesla was able to deliver.")</f>
        <v>No. I took delivery of the first car Tesla was able to deliver.</v>
      </c>
      <c r="AH2950" s="189">
        <f>IFERROR(__xludf.DUMMYFUNCTION("""COMPUTED_VALUE"""),44364.3251791088)</f>
        <v>44364.32518</v>
      </c>
    </row>
    <row r="2951">
      <c r="A2951" t="str">
        <f>IFERROR(__xludf.DUMMYFUNCTION("""COMPUTED_VALUE"""),"VancityGhost")</f>
        <v>VancityGhost</v>
      </c>
      <c r="B2951" t="str">
        <f>IFERROR(__xludf.DUMMYFUNCTION("""COMPUTED_VALUE"""),"Vancouver")</f>
        <v>Vancouver</v>
      </c>
      <c r="C2951" t="str">
        <f>IFERROR(__xludf.DUMMYFUNCTION("""COMPUTED_VALUE"""),"BC")</f>
        <v>BC</v>
      </c>
      <c r="D2951" t="str">
        <f>IFERROR(__xludf.DUMMYFUNCTION("""COMPUTED_VALUE"""),"Canada")</f>
        <v>Canada</v>
      </c>
      <c r="E2951" s="188">
        <f>IFERROR(__xludf.DUMMYFUNCTION("""COMPUTED_VALUE"""),44339.0)</f>
        <v>44339</v>
      </c>
      <c r="F2951" s="188">
        <f>IFERROR(__xludf.DUMMYFUNCTION("""COMPUTED_VALUE"""),44370.0)</f>
        <v>44370</v>
      </c>
      <c r="G2951" t="str">
        <f>IFERROR(__xludf.DUMMYFUNCTION("""COMPUTED_VALUE"""),"Source code")</f>
        <v>Source code</v>
      </c>
      <c r="I2951" t="str">
        <f>IFERROR(__xludf.DUMMYFUNCTION("""COMPUTED_VALUE"""),"06/21")</f>
        <v>06/21</v>
      </c>
      <c r="J2951" s="188">
        <f>IFERROR(__xludf.DUMMYFUNCTION("""COMPUTED_VALUE"""),44374.0)</f>
        <v>44374</v>
      </c>
      <c r="K2951">
        <f>IFERROR(__xludf.DUMMYFUNCTION("""COMPUTED_VALUE"""),31.0)</f>
        <v>31</v>
      </c>
      <c r="L2951">
        <f>IFERROR(__xludf.DUMMYFUNCTION("""COMPUTED_VALUE"""),4.0)</f>
        <v>4</v>
      </c>
      <c r="M2951">
        <f>IFERROR(__xludf.DUMMYFUNCTION("""COMPUTED_VALUE"""),35.0)</f>
        <v>35</v>
      </c>
      <c r="N2951" t="str">
        <f>IFERROR(__xludf.DUMMYFUNCTION("""COMPUTED_VALUE"""),"Model 3 SR+")</f>
        <v>Model 3 SR+</v>
      </c>
      <c r="O2951" t="str">
        <f>IFERROR(__xludf.DUMMYFUNCTION("""COMPUTED_VALUE"""),"Pearl White Multi-Coat")</f>
        <v>Pearl White Multi-Coat</v>
      </c>
      <c r="P2951" t="str">
        <f>IFERROR(__xludf.DUMMYFUNCTION("""COMPUTED_VALUE"""),"18 inch")</f>
        <v>18 inch</v>
      </c>
      <c r="Q2951" t="str">
        <f>IFERROR(__xludf.DUMMYFUNCTION("""COMPUTED_VALUE"""),"Black and White")</f>
        <v>Black and White</v>
      </c>
      <c r="R2951" t="str">
        <f>IFERROR(__xludf.DUMMYFUNCTION("""COMPUTED_VALUE"""),"Autopilot included")</f>
        <v>Autopilot included</v>
      </c>
      <c r="S2951" t="str">
        <f>IFERROR(__xludf.DUMMYFUNCTION("""COMPUTED_VALUE"""),"Loan")</f>
        <v>Loan</v>
      </c>
      <c r="T2951" t="str">
        <f>IFERROR(__xludf.DUMMYFUNCTION("""COMPUTED_VALUE"""),"Model 3 will be my first car!")</f>
        <v>Model 3 will be my first car!</v>
      </c>
      <c r="U2951" t="str">
        <f>IFERROR(__xludf.DUMMYFUNCTION("""COMPUTED_VALUE"""),"Electric!")</f>
        <v>Electric!</v>
      </c>
      <c r="V2951" t="str">
        <f>IFERROR(__xludf.DUMMYFUNCTION("""COMPUTED_VALUE"""),"Head-up display")</f>
        <v>Head-up display</v>
      </c>
      <c r="X2951" t="str">
        <f>IFERROR(__xludf.DUMMYFUNCTION("""COMPUTED_VALUE"""),"Excellent")</f>
        <v>Excellent</v>
      </c>
      <c r="Y2951" t="str">
        <f>IFERROR(__xludf.DUMMYFUNCTION("""COMPUTED_VALUE"""),"Excellent")</f>
        <v>Excellent</v>
      </c>
      <c r="Z2951" t="str">
        <f>IFERROR(__xludf.DUMMYFUNCTION("""COMPUTED_VALUE"""),"Excellent")</f>
        <v>Excellent</v>
      </c>
      <c r="AA2951" t="str">
        <f>IFERROR(__xludf.DUMMYFUNCTION("""COMPUTED_VALUE"""),"Excellent")</f>
        <v>Excellent</v>
      </c>
      <c r="AB2951" t="str">
        <f>IFERROR(__xludf.DUMMYFUNCTION("""COMPUTED_VALUE"""),"Excellent")</f>
        <v>Excellent</v>
      </c>
      <c r="AC2951">
        <f>IFERROR(__xludf.DUMMYFUNCTION("""COMPUTED_VALUE"""),3.0)</f>
        <v>3</v>
      </c>
      <c r="AD2951">
        <f>IFERROR(__xludf.DUMMYFUNCTION("""COMPUTED_VALUE"""),1.0)</f>
        <v>1</v>
      </c>
      <c r="AE2951">
        <f>IFERROR(__xludf.DUMMYFUNCTION("""COMPUTED_VALUE"""),0.0)</f>
        <v>0</v>
      </c>
      <c r="AF2951" t="str">
        <f>IFERROR(__xludf.DUMMYFUNCTION("""COMPUTED_VALUE"""),"No. I took delivery of the first car Tesla was able to deliver.")</f>
        <v>No. I took delivery of the first car Tesla was able to deliver.</v>
      </c>
      <c r="AH2951" s="189">
        <f>IFERROR(__xludf.DUMMYFUNCTION("""COMPUTED_VALUE"""),44410.87833765046)</f>
        <v>44410.87834</v>
      </c>
    </row>
    <row r="2952">
      <c r="A2952" t="str">
        <f>IFERROR(__xludf.DUMMYFUNCTION("""COMPUTED_VALUE"""),"Bdrussell4")</f>
        <v>Bdrussell4</v>
      </c>
      <c r="B2952" t="str">
        <f>IFERROR(__xludf.DUMMYFUNCTION("""COMPUTED_VALUE"""),"Jacksonville")</f>
        <v>Jacksonville</v>
      </c>
      <c r="C2952" t="str">
        <f>IFERROR(__xludf.DUMMYFUNCTION("""COMPUTED_VALUE"""),"FL")</f>
        <v>FL</v>
      </c>
      <c r="D2952" t="str">
        <f>IFERROR(__xludf.DUMMYFUNCTION("""COMPUTED_VALUE"""),"USA")</f>
        <v>USA</v>
      </c>
      <c r="E2952" s="188">
        <f>IFERROR(__xludf.DUMMYFUNCTION("""COMPUTED_VALUE"""),44331.0)</f>
        <v>44331</v>
      </c>
      <c r="F2952" s="188">
        <f>IFERROR(__xludf.DUMMYFUNCTION("""COMPUTED_VALUE"""),44352.0)</f>
        <v>44352</v>
      </c>
      <c r="G2952" t="str">
        <f>IFERROR(__xludf.DUMMYFUNCTION("""COMPUTED_VALUE"""),"Manage order page (normal text)")</f>
        <v>Manage order page (normal text)</v>
      </c>
      <c r="H2952">
        <f>IFERROR(__xludf.DUMMYFUNCTION("""COMPUTED_VALUE"""),990616.0)</f>
        <v>990616</v>
      </c>
      <c r="I2952" t="str">
        <f>IFERROR(__xludf.DUMMYFUNCTION("""COMPUTED_VALUE"""),"06/21")</f>
        <v>06/21</v>
      </c>
      <c r="J2952" s="188">
        <f>IFERROR(__xludf.DUMMYFUNCTION("""COMPUTED_VALUE"""),44372.0)</f>
        <v>44372</v>
      </c>
      <c r="K2952">
        <f>IFERROR(__xludf.DUMMYFUNCTION("""COMPUTED_VALUE"""),21.0)</f>
        <v>21</v>
      </c>
      <c r="L2952">
        <f>IFERROR(__xludf.DUMMYFUNCTION("""COMPUTED_VALUE"""),20.0)</f>
        <v>20</v>
      </c>
      <c r="M2952">
        <f>IFERROR(__xludf.DUMMYFUNCTION("""COMPUTED_VALUE"""),41.0)</f>
        <v>41</v>
      </c>
      <c r="N2952" t="str">
        <f>IFERROR(__xludf.DUMMYFUNCTION("""COMPUTED_VALUE"""),"Model 3 Performance")</f>
        <v>Model 3 Performance</v>
      </c>
      <c r="O2952" t="str">
        <f>IFERROR(__xludf.DUMMYFUNCTION("""COMPUTED_VALUE"""),"Deep Blue Metallic")</f>
        <v>Deep Blue Metallic</v>
      </c>
      <c r="P2952" t="str">
        <f>IFERROR(__xludf.DUMMYFUNCTION("""COMPUTED_VALUE"""),"20 inch")</f>
        <v>20 inch</v>
      </c>
      <c r="Q2952" t="str">
        <f>IFERROR(__xludf.DUMMYFUNCTION("""COMPUTED_VALUE"""),"All Black")</f>
        <v>All Black</v>
      </c>
      <c r="R2952" t="str">
        <f>IFERROR(__xludf.DUMMYFUNCTION("""COMPUTED_VALUE"""),"Full Self-Driving")</f>
        <v>Full Self-Driving</v>
      </c>
      <c r="S2952" t="str">
        <f>IFERROR(__xludf.DUMMYFUNCTION("""COMPUTED_VALUE"""),"Loan")</f>
        <v>Loan</v>
      </c>
      <c r="T2952" t="str">
        <f>IFERROR(__xludf.DUMMYFUNCTION("""COMPUTED_VALUE"""),"Nissan Altima")</f>
        <v>Nissan Altima</v>
      </c>
      <c r="U2952" t="str">
        <f>IFERROR(__xludf.DUMMYFUNCTION("""COMPUTED_VALUE"""),"Electric!")</f>
        <v>Electric!</v>
      </c>
      <c r="V2952" t="str">
        <f>IFERROR(__xludf.DUMMYFUNCTION("""COMPUTED_VALUE"""),"360° Bird's eye view")</f>
        <v>360° Bird's eye view</v>
      </c>
      <c r="W2952" t="str">
        <f>IFERROR(__xludf.DUMMYFUNCTION("""COMPUTED_VALUE"""),"Look at EVERYTHING at the delivery center. The detail job was horrible and hazy throughout the entire front of the car.")</f>
        <v>Look at EVERYTHING at the delivery center. The detail job was horrible and hazy throughout the entire front of the car.</v>
      </c>
      <c r="X2952" t="str">
        <f>IFERROR(__xludf.DUMMYFUNCTION("""COMPUTED_VALUE"""),"Excellent")</f>
        <v>Excellent</v>
      </c>
      <c r="Y2952" t="str">
        <f>IFERROR(__xludf.DUMMYFUNCTION("""COMPUTED_VALUE"""),"Excellent")</f>
        <v>Excellent</v>
      </c>
      <c r="Z2952" t="str">
        <f>IFERROR(__xludf.DUMMYFUNCTION("""COMPUTED_VALUE"""),"Poor")</f>
        <v>Poor</v>
      </c>
      <c r="AA2952" t="str">
        <f>IFERROR(__xludf.DUMMYFUNCTION("""COMPUTED_VALUE"""),"Excellent")</f>
        <v>Excellent</v>
      </c>
      <c r="AB2952" t="str">
        <f>IFERROR(__xludf.DUMMYFUNCTION("""COMPUTED_VALUE"""),"Excellent")</f>
        <v>Excellent</v>
      </c>
      <c r="AC2952">
        <f>IFERROR(__xludf.DUMMYFUNCTION("""COMPUTED_VALUE"""),2.0)</f>
        <v>2</v>
      </c>
      <c r="AD2952">
        <f>IFERROR(__xludf.DUMMYFUNCTION("""COMPUTED_VALUE"""),1.0)</f>
        <v>1</v>
      </c>
      <c r="AE2952">
        <f>IFERROR(__xludf.DUMMYFUNCTION("""COMPUTED_VALUE"""),2.0)</f>
        <v>2</v>
      </c>
      <c r="AF2952" t="str">
        <f>IFERROR(__xludf.DUMMYFUNCTION("""COMPUTED_VALUE"""),"No. I took delivery of the first car Tesla was able to deliver.")</f>
        <v>No. I took delivery of the first car Tesla was able to deliver.</v>
      </c>
      <c r="AH2952" s="189">
        <f>IFERROR(__xludf.DUMMYFUNCTION("""COMPUTED_VALUE"""),44398.83697211806)</f>
        <v>44398.83697</v>
      </c>
    </row>
    <row r="2953">
      <c r="A2953" t="str">
        <f>IFERROR(__xludf.DUMMYFUNCTION("""COMPUTED_VALUE"""),"Raghublr")</f>
        <v>Raghublr</v>
      </c>
      <c r="B2953" t="str">
        <f>IFERROR(__xludf.DUMMYFUNCTION("""COMPUTED_VALUE"""),"Naperville")</f>
        <v>Naperville</v>
      </c>
      <c r="C2953" t="str">
        <f>IFERROR(__xludf.DUMMYFUNCTION("""COMPUTED_VALUE"""),"IL")</f>
        <v>IL</v>
      </c>
      <c r="D2953" t="str">
        <f>IFERROR(__xludf.DUMMYFUNCTION("""COMPUTED_VALUE"""),"USA")</f>
        <v>USA</v>
      </c>
      <c r="E2953" s="188">
        <f>IFERROR(__xludf.DUMMYFUNCTION("""COMPUTED_VALUE"""),44296.0)</f>
        <v>44296</v>
      </c>
      <c r="F2953" s="188">
        <f>IFERROR(__xludf.DUMMYFUNCTION("""COMPUTED_VALUE"""),44345.0)</f>
        <v>44345</v>
      </c>
      <c r="G2953" t="str">
        <f>IFERROR(__xludf.DUMMYFUNCTION("""COMPUTED_VALUE"""),"Manage order page (normal text)")</f>
        <v>Manage order page (normal text)</v>
      </c>
      <c r="H2953">
        <f>IFERROR(__xludf.DUMMYFUNCTION("""COMPUTED_VALUE"""),977055.0)</f>
        <v>977055</v>
      </c>
      <c r="J2953" s="188">
        <f>IFERROR(__xludf.DUMMYFUNCTION("""COMPUTED_VALUE"""),44350.0)</f>
        <v>44350</v>
      </c>
      <c r="K2953">
        <f>IFERROR(__xludf.DUMMYFUNCTION("""COMPUTED_VALUE"""),49.0)</f>
        <v>49</v>
      </c>
      <c r="L2953">
        <f>IFERROR(__xludf.DUMMYFUNCTION("""COMPUTED_VALUE"""),5.0)</f>
        <v>5</v>
      </c>
      <c r="M2953">
        <f>IFERROR(__xludf.DUMMYFUNCTION("""COMPUTED_VALUE"""),54.0)</f>
        <v>54</v>
      </c>
      <c r="N2953" t="str">
        <f>IFERROR(__xludf.DUMMYFUNCTION("""COMPUTED_VALUE"""),"Model 3 SR+")</f>
        <v>Model 3 SR+</v>
      </c>
      <c r="O2953" t="str">
        <f>IFERROR(__xludf.DUMMYFUNCTION("""COMPUTED_VALUE"""),"Midnight Silver Metallic")</f>
        <v>Midnight Silver Metallic</v>
      </c>
      <c r="P2953" t="str">
        <f>IFERROR(__xludf.DUMMYFUNCTION("""COMPUTED_VALUE"""),"18 inch")</f>
        <v>18 inch</v>
      </c>
      <c r="Q2953" t="str">
        <f>IFERROR(__xludf.DUMMYFUNCTION("""COMPUTED_VALUE"""),"All Black")</f>
        <v>All Black</v>
      </c>
      <c r="R2953" t="str">
        <f>IFERROR(__xludf.DUMMYFUNCTION("""COMPUTED_VALUE"""),"Autopilot included")</f>
        <v>Autopilot included</v>
      </c>
      <c r="S2953" t="str">
        <f>IFERROR(__xludf.DUMMYFUNCTION("""COMPUTED_VALUE"""),"Loan")</f>
        <v>Loan</v>
      </c>
      <c r="T2953" t="str">
        <f>IFERROR(__xludf.DUMMYFUNCTION("""COMPUTED_VALUE"""),"Nissan Altima ")</f>
        <v>Nissan Altima </v>
      </c>
      <c r="U2953" t="str">
        <f>IFERROR(__xludf.DUMMYFUNCTION("""COMPUTED_VALUE"""),"Electric!")</f>
        <v>Electric!</v>
      </c>
      <c r="V2953" t="str">
        <f>IFERROR(__xludf.DUMMYFUNCTION("""COMPUTED_VALUE"""),"HomeLink")</f>
        <v>HomeLink</v>
      </c>
      <c r="X2953" t="str">
        <f>IFERROR(__xludf.DUMMYFUNCTION("""COMPUTED_VALUE"""),"Fair")</f>
        <v>Fair</v>
      </c>
      <c r="Y2953" t="str">
        <f>IFERROR(__xludf.DUMMYFUNCTION("""COMPUTED_VALUE"""),"Poor")</f>
        <v>Poor</v>
      </c>
      <c r="Z2953" t="str">
        <f>IFERROR(__xludf.DUMMYFUNCTION("""COMPUTED_VALUE"""),"Poor")</f>
        <v>Poor</v>
      </c>
      <c r="AA2953" t="str">
        <f>IFERROR(__xludf.DUMMYFUNCTION("""COMPUTED_VALUE"""),"Fair")</f>
        <v>Fair</v>
      </c>
      <c r="AB2953" t="str">
        <f>IFERROR(__xludf.DUMMYFUNCTION("""COMPUTED_VALUE"""),"Excellent")</f>
        <v>Excellent</v>
      </c>
      <c r="AC2953">
        <f>IFERROR(__xludf.DUMMYFUNCTION("""COMPUTED_VALUE"""),3.0)</f>
        <v>3</v>
      </c>
      <c r="AD2953">
        <f>IFERROR(__xludf.DUMMYFUNCTION("""COMPUTED_VALUE"""),2.0)</f>
        <v>2</v>
      </c>
      <c r="AF2953" t="str">
        <f>IFERROR(__xludf.DUMMYFUNCTION("""COMPUTED_VALUE"""),"No. I took delivery of the first car Tesla was able to deliver.")</f>
        <v>No. I took delivery of the first car Tesla was able to deliver.</v>
      </c>
      <c r="AH2953" s="189">
        <f>IFERROR(__xludf.DUMMYFUNCTION("""COMPUTED_VALUE"""),44355.90652024305)</f>
        <v>44355.90652</v>
      </c>
    </row>
    <row r="2954">
      <c r="A2954" t="str">
        <f>IFERROR(__xludf.DUMMYFUNCTION("""COMPUTED_VALUE"""),"Gr3")</f>
        <v>Gr3</v>
      </c>
      <c r="C2954" t="str">
        <f>IFERROR(__xludf.DUMMYFUNCTION("""COMPUTED_VALUE"""),"MA")</f>
        <v>MA</v>
      </c>
      <c r="D2954" t="str">
        <f>IFERROR(__xludf.DUMMYFUNCTION("""COMPUTED_VALUE"""),"USA")</f>
        <v>USA</v>
      </c>
      <c r="E2954" s="188">
        <f>IFERROR(__xludf.DUMMYFUNCTION("""COMPUTED_VALUE"""),44312.0)</f>
        <v>44312</v>
      </c>
      <c r="F2954" s="188">
        <f>IFERROR(__xludf.DUMMYFUNCTION("""COMPUTED_VALUE"""),44345.0)</f>
        <v>44345</v>
      </c>
      <c r="G2954" t="str">
        <f>IFERROR(__xludf.DUMMYFUNCTION("""COMPUTED_VALUE"""),"Manage order page (normal text)")</f>
        <v>Manage order page (normal text)</v>
      </c>
      <c r="J2954" s="188">
        <f>IFERROR(__xludf.DUMMYFUNCTION("""COMPUTED_VALUE"""),44357.0)</f>
        <v>44357</v>
      </c>
      <c r="K2954">
        <f>IFERROR(__xludf.DUMMYFUNCTION("""COMPUTED_VALUE"""),33.0)</f>
        <v>33</v>
      </c>
      <c r="L2954">
        <f>IFERROR(__xludf.DUMMYFUNCTION("""COMPUTED_VALUE"""),12.0)</f>
        <v>12</v>
      </c>
      <c r="M2954">
        <f>IFERROR(__xludf.DUMMYFUNCTION("""COMPUTED_VALUE"""),45.0)</f>
        <v>45</v>
      </c>
      <c r="N2954" t="str">
        <f>IFERROR(__xludf.DUMMYFUNCTION("""COMPUTED_VALUE"""),"Model 3 LR AWD")</f>
        <v>Model 3 LR AWD</v>
      </c>
      <c r="O2954" t="str">
        <f>IFERROR(__xludf.DUMMYFUNCTION("""COMPUTED_VALUE"""),"Red Multi-Coat")</f>
        <v>Red Multi-Coat</v>
      </c>
      <c r="P2954" t="str">
        <f>IFERROR(__xludf.DUMMYFUNCTION("""COMPUTED_VALUE"""),"18 inch")</f>
        <v>18 inch</v>
      </c>
      <c r="Q2954" t="str">
        <f>IFERROR(__xludf.DUMMYFUNCTION("""COMPUTED_VALUE"""),"All Black")</f>
        <v>All Black</v>
      </c>
      <c r="S2954" t="str">
        <f>IFERROR(__xludf.DUMMYFUNCTION("""COMPUTED_VALUE"""),"Loan")</f>
        <v>Loan</v>
      </c>
      <c r="U2954" t="str">
        <f>IFERROR(__xludf.DUMMYFUNCTION("""COMPUTED_VALUE"""),"Electric!")</f>
        <v>Electric!</v>
      </c>
      <c r="V2954" t="str">
        <f>IFERROR(__xludf.DUMMYFUNCTION("""COMPUTED_VALUE"""),"Head-up display")</f>
        <v>Head-up display</v>
      </c>
      <c r="AA2954" t="str">
        <f>IFERROR(__xludf.DUMMYFUNCTION("""COMPUTED_VALUE"""),"Poor")</f>
        <v>Poor</v>
      </c>
      <c r="AH2954" s="189">
        <f>IFERROR(__xludf.DUMMYFUNCTION("""COMPUTED_VALUE"""),44349.84515349537)</f>
        <v>44349.84515</v>
      </c>
    </row>
    <row r="2955">
      <c r="A2955" t="str">
        <f>IFERROR(__xludf.DUMMYFUNCTION("""COMPUTED_VALUE"""),"AdaminSD")</f>
        <v>AdaminSD</v>
      </c>
      <c r="B2955" t="str">
        <f>IFERROR(__xludf.DUMMYFUNCTION("""COMPUTED_VALUE"""),"San Diego")</f>
        <v>San Diego</v>
      </c>
      <c r="C2955" t="str">
        <f>IFERROR(__xludf.DUMMYFUNCTION("""COMPUTED_VALUE"""),"CA")</f>
        <v>CA</v>
      </c>
      <c r="D2955" t="str">
        <f>IFERROR(__xludf.DUMMYFUNCTION("""COMPUTED_VALUE"""),"USA")</f>
        <v>USA</v>
      </c>
      <c r="E2955" s="188">
        <f>IFERROR(__xludf.DUMMYFUNCTION("""COMPUTED_VALUE"""),44297.0)</f>
        <v>44297</v>
      </c>
      <c r="F2955" s="188">
        <f>IFERROR(__xludf.DUMMYFUNCTION("""COMPUTED_VALUE"""),44345.0)</f>
        <v>44345</v>
      </c>
      <c r="G2955" t="str">
        <f>IFERROR(__xludf.DUMMYFUNCTION("""COMPUTED_VALUE"""),"Email")</f>
        <v>Email</v>
      </c>
      <c r="H2955">
        <f>IFERROR(__xludf.DUMMYFUNCTION("""COMPUTED_VALUE"""),979555.0)</f>
        <v>979555</v>
      </c>
      <c r="J2955" s="188">
        <f>IFERROR(__xludf.DUMMYFUNCTION("""COMPUTED_VALUE"""),44352.0)</f>
        <v>44352</v>
      </c>
      <c r="K2955">
        <f>IFERROR(__xludf.DUMMYFUNCTION("""COMPUTED_VALUE"""),48.0)</f>
        <v>48</v>
      </c>
      <c r="L2955">
        <f>IFERROR(__xludf.DUMMYFUNCTION("""COMPUTED_VALUE"""),7.0)</f>
        <v>7</v>
      </c>
      <c r="M2955">
        <f>IFERROR(__xludf.DUMMYFUNCTION("""COMPUTED_VALUE"""),55.0)</f>
        <v>55</v>
      </c>
      <c r="N2955" t="str">
        <f>IFERROR(__xludf.DUMMYFUNCTION("""COMPUTED_VALUE"""),"Model 3 LR AWD")</f>
        <v>Model 3 LR AWD</v>
      </c>
      <c r="O2955" t="str">
        <f>IFERROR(__xludf.DUMMYFUNCTION("""COMPUTED_VALUE"""),"Solid Black")</f>
        <v>Solid Black</v>
      </c>
      <c r="P2955" t="str">
        <f>IFERROR(__xludf.DUMMYFUNCTION("""COMPUTED_VALUE"""),"18 inch")</f>
        <v>18 inch</v>
      </c>
      <c r="Q2955" t="str">
        <f>IFERROR(__xludf.DUMMYFUNCTION("""COMPUTED_VALUE"""),"All Black")</f>
        <v>All Black</v>
      </c>
      <c r="R2955" t="str">
        <f>IFERROR(__xludf.DUMMYFUNCTION("""COMPUTED_VALUE"""),"Autopilot included")</f>
        <v>Autopilot included</v>
      </c>
      <c r="T2955" t="str">
        <f>IFERROR(__xludf.DUMMYFUNCTION("""COMPUTED_VALUE"""),"Subaru WRX")</f>
        <v>Subaru WRX</v>
      </c>
      <c r="U2955" t="str">
        <f>IFERROR(__xludf.DUMMYFUNCTION("""COMPUTED_VALUE"""),"Electric!")</f>
        <v>Electric!</v>
      </c>
      <c r="V2955" t="str">
        <f>IFERROR(__xludf.DUMMYFUNCTION("""COMPUTED_VALUE"""),"Apple CarPlay / Android Auto / SiriusXM Radio")</f>
        <v>Apple CarPlay / Android Auto / SiriusXM Radio</v>
      </c>
      <c r="X2955" t="str">
        <f>IFERROR(__xludf.DUMMYFUNCTION("""COMPUTED_VALUE"""),"Good")</f>
        <v>Good</v>
      </c>
      <c r="Y2955" t="str">
        <f>IFERROR(__xludf.DUMMYFUNCTION("""COMPUTED_VALUE"""),"Very Good")</f>
        <v>Very Good</v>
      </c>
      <c r="Z2955" t="str">
        <f>IFERROR(__xludf.DUMMYFUNCTION("""COMPUTED_VALUE"""),"Good")</f>
        <v>Good</v>
      </c>
      <c r="AA2955" t="str">
        <f>IFERROR(__xludf.DUMMYFUNCTION("""COMPUTED_VALUE"""),"Fair")</f>
        <v>Fair</v>
      </c>
      <c r="AB2955" t="str">
        <f>IFERROR(__xludf.DUMMYFUNCTION("""COMPUTED_VALUE"""),"Good")</f>
        <v>Good</v>
      </c>
      <c r="AC2955">
        <f>IFERROR(__xludf.DUMMYFUNCTION("""COMPUTED_VALUE"""),5.0)</f>
        <v>5</v>
      </c>
      <c r="AF2955" t="str">
        <f>IFERROR(__xludf.DUMMYFUNCTION("""COMPUTED_VALUE"""),"No. I took delivery of the first car Tesla was able to deliver.")</f>
        <v>No. I took delivery of the first car Tesla was able to deliver.</v>
      </c>
      <c r="AH2955" s="189">
        <f>IFERROR(__xludf.DUMMYFUNCTION("""COMPUTED_VALUE"""),44355.347113599535)</f>
        <v>44355.34711</v>
      </c>
    </row>
    <row r="2956">
      <c r="A2956" t="str">
        <f>IFERROR(__xludf.DUMMYFUNCTION("""COMPUTED_VALUE"""),"Cessna157")</f>
        <v>Cessna157</v>
      </c>
      <c r="B2956" t="str">
        <f>IFERROR(__xludf.DUMMYFUNCTION("""COMPUTED_VALUE"""),"Orlando")</f>
        <v>Orlando</v>
      </c>
      <c r="C2956" t="str">
        <f>IFERROR(__xludf.DUMMYFUNCTION("""COMPUTED_VALUE"""),"FL")</f>
        <v>FL</v>
      </c>
      <c r="D2956" t="str">
        <f>IFERROR(__xludf.DUMMYFUNCTION("""COMPUTED_VALUE"""),"USA")</f>
        <v>USA</v>
      </c>
      <c r="E2956" s="188">
        <f>IFERROR(__xludf.DUMMYFUNCTION("""COMPUTED_VALUE"""),44303.0)</f>
        <v>44303</v>
      </c>
      <c r="F2956" s="188">
        <f>IFERROR(__xludf.DUMMYFUNCTION("""COMPUTED_VALUE"""),44345.0)</f>
        <v>44345</v>
      </c>
      <c r="G2956" t="str">
        <f>IFERROR(__xludf.DUMMYFUNCTION("""COMPUTED_VALUE"""),"Manage order page (normal text)")</f>
        <v>Manage order page (normal text)</v>
      </c>
      <c r="H2956">
        <f>IFERROR(__xludf.DUMMYFUNCTION("""COMPUTED_VALUE"""),979155.0)</f>
        <v>979155</v>
      </c>
      <c r="I2956" t="str">
        <f>IFERROR(__xludf.DUMMYFUNCTION("""COMPUTED_VALUE"""),"05/21")</f>
        <v>05/21</v>
      </c>
      <c r="J2956" s="188">
        <f>IFERROR(__xludf.DUMMYFUNCTION("""COMPUTED_VALUE"""),44357.0)</f>
        <v>44357</v>
      </c>
      <c r="K2956">
        <f>IFERROR(__xludf.DUMMYFUNCTION("""COMPUTED_VALUE"""),42.0)</f>
        <v>42</v>
      </c>
      <c r="L2956">
        <f>IFERROR(__xludf.DUMMYFUNCTION("""COMPUTED_VALUE"""),12.0)</f>
        <v>12</v>
      </c>
      <c r="M2956">
        <f>IFERROR(__xludf.DUMMYFUNCTION("""COMPUTED_VALUE"""),54.0)</f>
        <v>54</v>
      </c>
      <c r="N2956" t="str">
        <f>IFERROR(__xludf.DUMMYFUNCTION("""COMPUTED_VALUE"""),"Model 3 LR AWD")</f>
        <v>Model 3 LR AWD</v>
      </c>
      <c r="O2956" t="str">
        <f>IFERROR(__xludf.DUMMYFUNCTION("""COMPUTED_VALUE"""),"Pearl White Multi-Coat")</f>
        <v>Pearl White Multi-Coat</v>
      </c>
      <c r="P2956" t="str">
        <f>IFERROR(__xludf.DUMMYFUNCTION("""COMPUTED_VALUE"""),"18 inch")</f>
        <v>18 inch</v>
      </c>
      <c r="Q2956" t="str">
        <f>IFERROR(__xludf.DUMMYFUNCTION("""COMPUTED_VALUE"""),"All Black")</f>
        <v>All Black</v>
      </c>
      <c r="R2956" t="str">
        <f>IFERROR(__xludf.DUMMYFUNCTION("""COMPUTED_VALUE"""),"Autopilot included")</f>
        <v>Autopilot included</v>
      </c>
      <c r="S2956" t="str">
        <f>IFERROR(__xludf.DUMMYFUNCTION("""COMPUTED_VALUE"""),"Loan")</f>
        <v>Loan</v>
      </c>
      <c r="T2956" t="str">
        <f>IFERROR(__xludf.DUMMYFUNCTION("""COMPUTED_VALUE"""),"Toyota Camry")</f>
        <v>Toyota Camry</v>
      </c>
      <c r="U2956" t="str">
        <f>IFERROR(__xludf.DUMMYFUNCTION("""COMPUTED_VALUE"""),"Electric!")</f>
        <v>Electric!</v>
      </c>
      <c r="V2956" t="str">
        <f>IFERROR(__xludf.DUMMYFUNCTION("""COMPUTED_VALUE"""),"Head-up display")</f>
        <v>Head-up display</v>
      </c>
      <c r="X2956" t="str">
        <f>IFERROR(__xludf.DUMMYFUNCTION("""COMPUTED_VALUE"""),"Excellent")</f>
        <v>Excellent</v>
      </c>
      <c r="Y2956" t="str">
        <f>IFERROR(__xludf.DUMMYFUNCTION("""COMPUTED_VALUE"""),"Excellent")</f>
        <v>Excellent</v>
      </c>
      <c r="Z2956" t="str">
        <f>IFERROR(__xludf.DUMMYFUNCTION("""COMPUTED_VALUE"""),"Excellent")</f>
        <v>Excellent</v>
      </c>
      <c r="AA2956" t="str">
        <f>IFERROR(__xludf.DUMMYFUNCTION("""COMPUTED_VALUE"""),"Good")</f>
        <v>Good</v>
      </c>
      <c r="AB2956" t="str">
        <f>IFERROR(__xludf.DUMMYFUNCTION("""COMPUTED_VALUE"""),"Very Good")</f>
        <v>Very Good</v>
      </c>
      <c r="AC2956">
        <f>IFERROR(__xludf.DUMMYFUNCTION("""COMPUTED_VALUE"""),2.0)</f>
        <v>2</v>
      </c>
      <c r="AD2956">
        <f>IFERROR(__xludf.DUMMYFUNCTION("""COMPUTED_VALUE"""),1.0)</f>
        <v>1</v>
      </c>
      <c r="AF2956" t="str">
        <f>IFERROR(__xludf.DUMMYFUNCTION("""COMPUTED_VALUE"""),"No. I took delivery of the first car Tesla was able to deliver.")</f>
        <v>No. I took delivery of the first car Tesla was able to deliver.</v>
      </c>
      <c r="AH2956" s="189">
        <f>IFERROR(__xludf.DUMMYFUNCTION("""COMPUTED_VALUE"""),44357.74489672454)</f>
        <v>44357.7449</v>
      </c>
    </row>
    <row r="2957">
      <c r="A2957" t="str">
        <f>IFERROR(__xludf.DUMMYFUNCTION("""COMPUTED_VALUE"""),"Mike1080i")</f>
        <v>Mike1080i</v>
      </c>
      <c r="B2957" t="str">
        <f>IFERROR(__xludf.DUMMYFUNCTION("""COMPUTED_VALUE"""),"Atlanta")</f>
        <v>Atlanta</v>
      </c>
      <c r="C2957" t="str">
        <f>IFERROR(__xludf.DUMMYFUNCTION("""COMPUTED_VALUE"""),"GA")</f>
        <v>GA</v>
      </c>
      <c r="D2957" t="str">
        <f>IFERROR(__xludf.DUMMYFUNCTION("""COMPUTED_VALUE"""),"USA")</f>
        <v>USA</v>
      </c>
      <c r="E2957" s="188">
        <f>IFERROR(__xludf.DUMMYFUNCTION("""COMPUTED_VALUE"""),44291.0)</f>
        <v>44291</v>
      </c>
      <c r="F2957" s="188">
        <f>IFERROR(__xludf.DUMMYFUNCTION("""COMPUTED_VALUE"""),44345.0)</f>
        <v>44345</v>
      </c>
      <c r="G2957" t="str">
        <f>IFERROR(__xludf.DUMMYFUNCTION("""COMPUTED_VALUE"""),"Manage order page (normal text)")</f>
        <v>Manage order page (normal text)</v>
      </c>
      <c r="H2957">
        <f>IFERROR(__xludf.DUMMYFUNCTION("""COMPUTED_VALUE"""),973955.0)</f>
        <v>973955</v>
      </c>
      <c r="I2957" t="str">
        <f>IFERROR(__xludf.DUMMYFUNCTION("""COMPUTED_VALUE"""),"05/21")</f>
        <v>05/21</v>
      </c>
      <c r="J2957" s="188">
        <f>IFERROR(__xludf.DUMMYFUNCTION("""COMPUTED_VALUE"""),44357.0)</f>
        <v>44357</v>
      </c>
      <c r="K2957">
        <f>IFERROR(__xludf.DUMMYFUNCTION("""COMPUTED_VALUE"""),54.0)</f>
        <v>54</v>
      </c>
      <c r="L2957">
        <f>IFERROR(__xludf.DUMMYFUNCTION("""COMPUTED_VALUE"""),12.0)</f>
        <v>12</v>
      </c>
      <c r="M2957">
        <f>IFERROR(__xludf.DUMMYFUNCTION("""COMPUTED_VALUE"""),66.0)</f>
        <v>66</v>
      </c>
      <c r="N2957" t="str">
        <f>IFERROR(__xludf.DUMMYFUNCTION("""COMPUTED_VALUE"""),"Model 3 LR AWD")</f>
        <v>Model 3 LR AWD</v>
      </c>
      <c r="O2957" t="str">
        <f>IFERROR(__xludf.DUMMYFUNCTION("""COMPUTED_VALUE"""),"Deep Blue Metallic")</f>
        <v>Deep Blue Metallic</v>
      </c>
      <c r="P2957" t="str">
        <f>IFERROR(__xludf.DUMMYFUNCTION("""COMPUTED_VALUE"""),"18 inch")</f>
        <v>18 inch</v>
      </c>
      <c r="Q2957" t="str">
        <f>IFERROR(__xludf.DUMMYFUNCTION("""COMPUTED_VALUE"""),"All Black")</f>
        <v>All Black</v>
      </c>
      <c r="R2957" t="str">
        <f>IFERROR(__xludf.DUMMYFUNCTION("""COMPUTED_VALUE"""),"Full Self-Driving")</f>
        <v>Full Self-Driving</v>
      </c>
      <c r="U2957" t="str">
        <f>IFERROR(__xludf.DUMMYFUNCTION("""COMPUTED_VALUE"""),"Electric!")</f>
        <v>Electric!</v>
      </c>
      <c r="X2957" t="str">
        <f>IFERROR(__xludf.DUMMYFUNCTION("""COMPUTED_VALUE"""),"Excellent")</f>
        <v>Excellent</v>
      </c>
      <c r="Y2957" t="str">
        <f>IFERROR(__xludf.DUMMYFUNCTION("""COMPUTED_VALUE"""),"Excellent")</f>
        <v>Excellent</v>
      </c>
      <c r="Z2957" t="str">
        <f>IFERROR(__xludf.DUMMYFUNCTION("""COMPUTED_VALUE"""),"Excellent")</f>
        <v>Excellent</v>
      </c>
      <c r="AA2957" t="str">
        <f>IFERROR(__xludf.DUMMYFUNCTION("""COMPUTED_VALUE"""),"Very Good")</f>
        <v>Very Good</v>
      </c>
      <c r="AB2957" t="str">
        <f>IFERROR(__xludf.DUMMYFUNCTION("""COMPUTED_VALUE"""),"Excellent")</f>
        <v>Excellent</v>
      </c>
      <c r="AF2957" t="str">
        <f>IFERROR(__xludf.DUMMYFUNCTION("""COMPUTED_VALUE"""),"No. I took delivery of the first car Tesla was able to deliver.")</f>
        <v>No. I took delivery of the first car Tesla was able to deliver.</v>
      </c>
      <c r="AH2957" s="189">
        <f>IFERROR(__xludf.DUMMYFUNCTION("""COMPUTED_VALUE"""),44357.73489129629)</f>
        <v>44357.73489</v>
      </c>
    </row>
    <row r="2958">
      <c r="A2958" t="str">
        <f>IFERROR(__xludf.DUMMYFUNCTION("""COMPUTED_VALUE"""),"croz")</f>
        <v>croz</v>
      </c>
      <c r="B2958" t="str">
        <f>IFERROR(__xludf.DUMMYFUNCTION("""COMPUTED_VALUE"""),"SF")</f>
        <v>SF</v>
      </c>
      <c r="C2958" t="str">
        <f>IFERROR(__xludf.DUMMYFUNCTION("""COMPUTED_VALUE"""),"CA")</f>
        <v>CA</v>
      </c>
      <c r="D2958" t="str">
        <f>IFERROR(__xludf.DUMMYFUNCTION("""COMPUTED_VALUE"""),"USA")</f>
        <v>USA</v>
      </c>
      <c r="E2958" s="188">
        <f>IFERROR(__xludf.DUMMYFUNCTION("""COMPUTED_VALUE"""),44310.0)</f>
        <v>44310</v>
      </c>
      <c r="F2958" s="188">
        <f>IFERROR(__xludf.DUMMYFUNCTION("""COMPUTED_VALUE"""),44372.0)</f>
        <v>44372</v>
      </c>
      <c r="G2958" t="str">
        <f>IFERROR(__xludf.DUMMYFUNCTION("""COMPUTED_VALUE"""),"Manage order page (normal text)")</f>
        <v>Manage order page (normal text)</v>
      </c>
      <c r="H2958">
        <f>IFERROR(__xludf.DUMMYFUNCTION("""COMPUTED_VALUE"""),2855.0)</f>
        <v>2855</v>
      </c>
      <c r="I2958" t="str">
        <f>IFERROR(__xludf.DUMMYFUNCTION("""COMPUTED_VALUE"""),"06/21")</f>
        <v>06/21</v>
      </c>
      <c r="J2958" s="188">
        <f>IFERROR(__xludf.DUMMYFUNCTION("""COMPUTED_VALUE"""),44374.0)</f>
        <v>44374</v>
      </c>
      <c r="K2958">
        <f>IFERROR(__xludf.DUMMYFUNCTION("""COMPUTED_VALUE"""),62.0)</f>
        <v>62</v>
      </c>
      <c r="L2958">
        <f>IFERROR(__xludf.DUMMYFUNCTION("""COMPUTED_VALUE"""),2.0)</f>
        <v>2</v>
      </c>
      <c r="M2958">
        <f>IFERROR(__xludf.DUMMYFUNCTION("""COMPUTED_VALUE"""),64.0)</f>
        <v>64</v>
      </c>
      <c r="N2958" t="str">
        <f>IFERROR(__xludf.DUMMYFUNCTION("""COMPUTED_VALUE"""),"Model 3 LR AWD")</f>
        <v>Model 3 LR AWD</v>
      </c>
      <c r="O2958" t="str">
        <f>IFERROR(__xludf.DUMMYFUNCTION("""COMPUTED_VALUE"""),"Red Multi-Coat")</f>
        <v>Red Multi-Coat</v>
      </c>
      <c r="P2958" t="str">
        <f>IFERROR(__xludf.DUMMYFUNCTION("""COMPUTED_VALUE"""),"18 inch")</f>
        <v>18 inch</v>
      </c>
      <c r="Q2958" t="str">
        <f>IFERROR(__xludf.DUMMYFUNCTION("""COMPUTED_VALUE"""),"All Black")</f>
        <v>All Black</v>
      </c>
      <c r="R2958" t="str">
        <f>IFERROR(__xludf.DUMMYFUNCTION("""COMPUTED_VALUE"""),"Autopilot included")</f>
        <v>Autopilot included</v>
      </c>
      <c r="S2958" t="str">
        <f>IFERROR(__xludf.DUMMYFUNCTION("""COMPUTED_VALUE"""),"Cash")</f>
        <v>Cash</v>
      </c>
      <c r="T2958" t="str">
        <f>IFERROR(__xludf.DUMMYFUNCTION("""COMPUTED_VALUE"""),"Sold my car in March")</f>
        <v>Sold my car in March</v>
      </c>
      <c r="U2958" t="str">
        <f>IFERROR(__xludf.DUMMYFUNCTION("""COMPUTED_VALUE"""),"Electric!")</f>
        <v>Electric!</v>
      </c>
      <c r="V2958" t="str">
        <f>IFERROR(__xludf.DUMMYFUNCTION("""COMPUTED_VALUE"""),"Blind spot indicators on side mirrors")</f>
        <v>Blind spot indicators on side mirrors</v>
      </c>
      <c r="W2958" t="str">
        <f>IFERROR(__xludf.DUMMYFUNCTION("""COMPUTED_VALUE"""),"Don't hesitate - the car is a banger")</f>
        <v>Don't hesitate - the car is a banger</v>
      </c>
      <c r="X2958" t="str">
        <f>IFERROR(__xludf.DUMMYFUNCTION("""COMPUTED_VALUE"""),"Very Good")</f>
        <v>Very Good</v>
      </c>
      <c r="Y2958" t="str">
        <f>IFERROR(__xludf.DUMMYFUNCTION("""COMPUTED_VALUE"""),"Very Good")</f>
        <v>Very Good</v>
      </c>
      <c r="Z2958" t="str">
        <f>IFERROR(__xludf.DUMMYFUNCTION("""COMPUTED_VALUE"""),"Very Good")</f>
        <v>Very Good</v>
      </c>
      <c r="AA2958" t="str">
        <f>IFERROR(__xludf.DUMMYFUNCTION("""COMPUTED_VALUE"""),"Poor")</f>
        <v>Poor</v>
      </c>
      <c r="AB2958" t="str">
        <f>IFERROR(__xludf.DUMMYFUNCTION("""COMPUTED_VALUE"""),"Good")</f>
        <v>Good</v>
      </c>
      <c r="AC2958">
        <f>IFERROR(__xludf.DUMMYFUNCTION("""COMPUTED_VALUE"""),1.0)</f>
        <v>1</v>
      </c>
      <c r="AD2958">
        <f>IFERROR(__xludf.DUMMYFUNCTION("""COMPUTED_VALUE"""),0.0)</f>
        <v>0</v>
      </c>
      <c r="AE2958">
        <f>IFERROR(__xludf.DUMMYFUNCTION("""COMPUTED_VALUE"""),0.0)</f>
        <v>0</v>
      </c>
      <c r="AF2958" t="str">
        <f>IFERROR(__xludf.DUMMYFUNCTION("""COMPUTED_VALUE"""),"No. I took delivery of the first car Tesla was able to deliver.")</f>
        <v>No. I took delivery of the first car Tesla was able to deliver.</v>
      </c>
      <c r="AH2958" s="189">
        <f>IFERROR(__xludf.DUMMYFUNCTION("""COMPUTED_VALUE"""),44374.8338246412)</f>
        <v>44374.83382</v>
      </c>
    </row>
    <row r="2959">
      <c r="A2959" t="str">
        <f>IFERROR(__xludf.DUMMYFUNCTION("""COMPUTED_VALUE"""),"masaokun")</f>
        <v>masaokun</v>
      </c>
      <c r="B2959" t="str">
        <f>IFERROR(__xludf.DUMMYFUNCTION("""COMPUTED_VALUE"""),"Austin")</f>
        <v>Austin</v>
      </c>
      <c r="C2959" t="str">
        <f>IFERROR(__xludf.DUMMYFUNCTION("""COMPUTED_VALUE"""),"TX")</f>
        <v>TX</v>
      </c>
      <c r="D2959" t="str">
        <f>IFERROR(__xludf.DUMMYFUNCTION("""COMPUTED_VALUE"""),"USA")</f>
        <v>USA</v>
      </c>
      <c r="E2959" s="188">
        <f>IFERROR(__xludf.DUMMYFUNCTION("""COMPUTED_VALUE"""),44328.0)</f>
        <v>44328</v>
      </c>
      <c r="F2959" s="188">
        <f>IFERROR(__xludf.DUMMYFUNCTION("""COMPUTED_VALUE"""),44348.0)</f>
        <v>44348</v>
      </c>
      <c r="G2959" t="str">
        <f>IFERROR(__xludf.DUMMYFUNCTION("""COMPUTED_VALUE"""),"Manage order page (normal text)")</f>
        <v>Manage order page (normal text)</v>
      </c>
      <c r="I2959" t="str">
        <f>IFERROR(__xludf.DUMMYFUNCTION("""COMPUTED_VALUE"""),"06/21")</f>
        <v>06/21</v>
      </c>
      <c r="J2959" s="188">
        <f>IFERROR(__xludf.DUMMYFUNCTION("""COMPUTED_VALUE"""),44361.0)</f>
        <v>44361</v>
      </c>
      <c r="K2959">
        <f>IFERROR(__xludf.DUMMYFUNCTION("""COMPUTED_VALUE"""),20.0)</f>
        <v>20</v>
      </c>
      <c r="L2959">
        <f>IFERROR(__xludf.DUMMYFUNCTION("""COMPUTED_VALUE"""),13.0)</f>
        <v>13</v>
      </c>
      <c r="M2959">
        <f>IFERROR(__xludf.DUMMYFUNCTION("""COMPUTED_VALUE"""),33.0)</f>
        <v>33</v>
      </c>
      <c r="N2959" t="str">
        <f>IFERROR(__xludf.DUMMYFUNCTION("""COMPUTED_VALUE"""),"Model 3 LR AWD")</f>
        <v>Model 3 LR AWD</v>
      </c>
      <c r="O2959" t="str">
        <f>IFERROR(__xludf.DUMMYFUNCTION("""COMPUTED_VALUE"""),"Deep Blue Metallic")</f>
        <v>Deep Blue Metallic</v>
      </c>
      <c r="P2959" t="str">
        <f>IFERROR(__xludf.DUMMYFUNCTION("""COMPUTED_VALUE"""),"18 inch")</f>
        <v>18 inch</v>
      </c>
      <c r="Q2959" t="str">
        <f>IFERROR(__xludf.DUMMYFUNCTION("""COMPUTED_VALUE"""),"All Black")</f>
        <v>All Black</v>
      </c>
      <c r="R2959" t="str">
        <f>IFERROR(__xludf.DUMMYFUNCTION("""COMPUTED_VALUE"""),"Autopilot included")</f>
        <v>Autopilot included</v>
      </c>
      <c r="S2959" t="str">
        <f>IFERROR(__xludf.DUMMYFUNCTION("""COMPUTED_VALUE"""),"Loan")</f>
        <v>Loan</v>
      </c>
      <c r="T2959" t="str">
        <f>IFERROR(__xludf.DUMMYFUNCTION("""COMPUTED_VALUE"""),"Toyota Prius")</f>
        <v>Toyota Prius</v>
      </c>
      <c r="U2959" t="str">
        <f>IFERROR(__xludf.DUMMYFUNCTION("""COMPUTED_VALUE"""),"Electric!")</f>
        <v>Electric!</v>
      </c>
      <c r="V2959" t="str">
        <f>IFERROR(__xludf.DUMMYFUNCTION("""COMPUTED_VALUE"""),"Apple CarPlay / Android Auto / SiriusXM Radio")</f>
        <v>Apple CarPlay / Android Auto / SiriusXM Radio</v>
      </c>
      <c r="W2959" t="str">
        <f>IFERROR(__xludf.DUMMYFUNCTION("""COMPUTED_VALUE"""),"Lack of communication makes the wait harder.  Some SA's, like mine, take 30+ minutes to get through to.")</f>
        <v>Lack of communication makes the wait harder.  Some SA's, like mine, take 30+ minutes to get through to.</v>
      </c>
      <c r="X2959" t="str">
        <f>IFERROR(__xludf.DUMMYFUNCTION("""COMPUTED_VALUE"""),"Fair")</f>
        <v>Fair</v>
      </c>
      <c r="Y2959" t="str">
        <f>IFERROR(__xludf.DUMMYFUNCTION("""COMPUTED_VALUE"""),"Excellent")</f>
        <v>Excellent</v>
      </c>
      <c r="Z2959" t="str">
        <f>IFERROR(__xludf.DUMMYFUNCTION("""COMPUTED_VALUE"""),"Excellent")</f>
        <v>Excellent</v>
      </c>
      <c r="AA2959" t="str">
        <f>IFERROR(__xludf.DUMMYFUNCTION("""COMPUTED_VALUE"""),"Poor")</f>
        <v>Poor</v>
      </c>
      <c r="AB2959" t="str">
        <f>IFERROR(__xludf.DUMMYFUNCTION("""COMPUTED_VALUE"""),"Very Good")</f>
        <v>Very Good</v>
      </c>
      <c r="AF2959" t="str">
        <f>IFERROR(__xludf.DUMMYFUNCTION("""COMPUTED_VALUE"""),"No. I took delivery of the first car Tesla was able to deliver.")</f>
        <v>No. I took delivery of the first car Tesla was able to deliver.</v>
      </c>
      <c r="AH2959" s="189">
        <f>IFERROR(__xludf.DUMMYFUNCTION("""COMPUTED_VALUE"""),44363.55326212963)</f>
        <v>44363.55326</v>
      </c>
    </row>
    <row r="2960">
      <c r="A2960" t="str">
        <f>IFERROR(__xludf.DUMMYFUNCTION("""COMPUTED_VALUE"""),"nope12")</f>
        <v>nope12</v>
      </c>
      <c r="B2960" t="str">
        <f>IFERROR(__xludf.DUMMYFUNCTION("""COMPUTED_VALUE"""),"Little Rock")</f>
        <v>Little Rock</v>
      </c>
      <c r="C2960" t="str">
        <f>IFERROR(__xludf.DUMMYFUNCTION("""COMPUTED_VALUE"""),"AR")</f>
        <v>AR</v>
      </c>
      <c r="D2960" t="str">
        <f>IFERROR(__xludf.DUMMYFUNCTION("""COMPUTED_VALUE"""),"USA")</f>
        <v>USA</v>
      </c>
      <c r="E2960" s="188">
        <f>IFERROR(__xludf.DUMMYFUNCTION("""COMPUTED_VALUE"""),44278.0)</f>
        <v>44278</v>
      </c>
      <c r="F2960" s="188">
        <f>IFERROR(__xludf.DUMMYFUNCTION("""COMPUTED_VALUE"""),44352.0)</f>
        <v>44352</v>
      </c>
      <c r="G2960" t="str">
        <f>IFERROR(__xludf.DUMMYFUNCTION("""COMPUTED_VALUE"""),"Manage order page (normal text)")</f>
        <v>Manage order page (normal text)</v>
      </c>
      <c r="H2960">
        <f>IFERROR(__xludf.DUMMYFUNCTION("""COMPUTED_VALUE"""),975718.0)</f>
        <v>975718</v>
      </c>
      <c r="J2960" s="188">
        <f>IFERROR(__xludf.DUMMYFUNCTION("""COMPUTED_VALUE"""),44322.0)</f>
        <v>44322</v>
      </c>
      <c r="K2960">
        <f>IFERROR(__xludf.DUMMYFUNCTION("""COMPUTED_VALUE"""),74.0)</f>
        <v>74</v>
      </c>
      <c r="M2960">
        <f>IFERROR(__xludf.DUMMYFUNCTION("""COMPUTED_VALUE"""),44.0)</f>
        <v>44</v>
      </c>
      <c r="N2960" t="str">
        <f>IFERROR(__xludf.DUMMYFUNCTION("""COMPUTED_VALUE"""),"Model 3 LR AWD")</f>
        <v>Model 3 LR AWD</v>
      </c>
      <c r="O2960" t="str">
        <f>IFERROR(__xludf.DUMMYFUNCTION("""COMPUTED_VALUE"""),"Deep Blue Metallic")</f>
        <v>Deep Blue Metallic</v>
      </c>
      <c r="P2960" t="str">
        <f>IFERROR(__xludf.DUMMYFUNCTION("""COMPUTED_VALUE"""),"18 inch")</f>
        <v>18 inch</v>
      </c>
      <c r="Q2960" t="str">
        <f>IFERROR(__xludf.DUMMYFUNCTION("""COMPUTED_VALUE"""),"Black and White")</f>
        <v>Black and White</v>
      </c>
      <c r="R2960" t="str">
        <f>IFERROR(__xludf.DUMMYFUNCTION("""COMPUTED_VALUE"""),"Autopilot included")</f>
        <v>Autopilot included</v>
      </c>
      <c r="S2960" t="str">
        <f>IFERROR(__xludf.DUMMYFUNCTION("""COMPUTED_VALUE"""),"Lease")</f>
        <v>Lease</v>
      </c>
      <c r="T2960" t="str">
        <f>IFERROR(__xludf.DUMMYFUNCTION("""COMPUTED_VALUE"""),"Audi A4")</f>
        <v>Audi A4</v>
      </c>
      <c r="U2960" t="str">
        <f>IFERROR(__xludf.DUMMYFUNCTION("""COMPUTED_VALUE"""),"Electric!")</f>
        <v>Electric!</v>
      </c>
      <c r="V2960" t="str">
        <f>IFERROR(__xludf.DUMMYFUNCTION("""COMPUTED_VALUE"""),"Head-up display")</f>
        <v>Head-up display</v>
      </c>
      <c r="X2960" t="str">
        <f>IFERROR(__xludf.DUMMYFUNCTION("""COMPUTED_VALUE"""),"Excellent")</f>
        <v>Excellent</v>
      </c>
      <c r="Y2960" t="str">
        <f>IFERROR(__xludf.DUMMYFUNCTION("""COMPUTED_VALUE"""),"Excellent")</f>
        <v>Excellent</v>
      </c>
      <c r="Z2960" t="str">
        <f>IFERROR(__xludf.DUMMYFUNCTION("""COMPUTED_VALUE"""),"Very Good")</f>
        <v>Very Good</v>
      </c>
      <c r="AA2960" t="str">
        <f>IFERROR(__xludf.DUMMYFUNCTION("""COMPUTED_VALUE"""),"Good")</f>
        <v>Good</v>
      </c>
      <c r="AB2960" t="str">
        <f>IFERROR(__xludf.DUMMYFUNCTION("""COMPUTED_VALUE"""),"Very Good")</f>
        <v>Very Good</v>
      </c>
      <c r="AD2960">
        <f>IFERROR(__xludf.DUMMYFUNCTION("""COMPUTED_VALUE"""),2.0)</f>
        <v>2</v>
      </c>
      <c r="AF2960" t="str">
        <f>IFERROR(__xludf.DUMMYFUNCTION("""COMPUTED_VALUE"""),"No. I took delivery of the first car Tesla was able to deliver.")</f>
        <v>No. I took delivery of the first car Tesla was able to deliver.</v>
      </c>
      <c r="AH2960" s="189">
        <f>IFERROR(__xludf.DUMMYFUNCTION("""COMPUTED_VALUE"""),44353.90552400463)</f>
        <v>44353.90552</v>
      </c>
    </row>
    <row r="2961">
      <c r="A2961" t="str">
        <f>IFERROR(__xludf.DUMMYFUNCTION("""COMPUTED_VALUE"""),"mrflark")</f>
        <v>mrflark</v>
      </c>
      <c r="B2961" t="str">
        <f>IFERROR(__xludf.DUMMYFUNCTION("""COMPUTED_VALUE"""),"Orange County")</f>
        <v>Orange County</v>
      </c>
      <c r="C2961" t="str">
        <f>IFERROR(__xludf.DUMMYFUNCTION("""COMPUTED_VALUE"""),"CA")</f>
        <v>CA</v>
      </c>
      <c r="D2961" t="str">
        <f>IFERROR(__xludf.DUMMYFUNCTION("""COMPUTED_VALUE"""),"USA")</f>
        <v>USA</v>
      </c>
      <c r="E2961" s="188">
        <f>IFERROR(__xludf.DUMMYFUNCTION("""COMPUTED_VALUE"""),44331.0)</f>
        <v>44331</v>
      </c>
      <c r="F2961" s="188">
        <f>IFERROR(__xludf.DUMMYFUNCTION("""COMPUTED_VALUE"""),44365.0)</f>
        <v>44365</v>
      </c>
      <c r="G2961" t="str">
        <f>IFERROR(__xludf.DUMMYFUNCTION("""COMPUTED_VALUE"""),"Manage order page (normal text)")</f>
        <v>Manage order page (normal text)</v>
      </c>
      <c r="H2961">
        <f>IFERROR(__xludf.DUMMYFUNCTION("""COMPUTED_VALUE"""),997555.0)</f>
        <v>997555</v>
      </c>
      <c r="J2961" s="188">
        <f>IFERROR(__xludf.DUMMYFUNCTION("""COMPUTED_VALUE"""),44367.0)</f>
        <v>44367</v>
      </c>
      <c r="K2961">
        <f>IFERROR(__xludf.DUMMYFUNCTION("""COMPUTED_VALUE"""),34.0)</f>
        <v>34</v>
      </c>
      <c r="L2961">
        <f>IFERROR(__xludf.DUMMYFUNCTION("""COMPUTED_VALUE"""),2.0)</f>
        <v>2</v>
      </c>
      <c r="M2961">
        <f>IFERROR(__xludf.DUMMYFUNCTION("""COMPUTED_VALUE"""),36.0)</f>
        <v>36</v>
      </c>
      <c r="N2961" t="str">
        <f>IFERROR(__xludf.DUMMYFUNCTION("""COMPUTED_VALUE"""),"Model 3 LR AWD")</f>
        <v>Model 3 LR AWD</v>
      </c>
      <c r="O2961" t="str">
        <f>IFERROR(__xludf.DUMMYFUNCTION("""COMPUTED_VALUE"""),"Solid Black")</f>
        <v>Solid Black</v>
      </c>
      <c r="P2961" t="str">
        <f>IFERROR(__xludf.DUMMYFUNCTION("""COMPUTED_VALUE"""),"19 inch")</f>
        <v>19 inch</v>
      </c>
      <c r="Q2961" t="str">
        <f>IFERROR(__xludf.DUMMYFUNCTION("""COMPUTED_VALUE"""),"All Black")</f>
        <v>All Black</v>
      </c>
      <c r="R2961" t="str">
        <f>IFERROR(__xludf.DUMMYFUNCTION("""COMPUTED_VALUE"""),"Full Self-Driving")</f>
        <v>Full Self-Driving</v>
      </c>
      <c r="S2961" t="str">
        <f>IFERROR(__xludf.DUMMYFUNCTION("""COMPUTED_VALUE"""),"Loan")</f>
        <v>Loan</v>
      </c>
      <c r="T2961" t="str">
        <f>IFERROR(__xludf.DUMMYFUNCTION("""COMPUTED_VALUE"""),"2019 CLA250")</f>
        <v>2019 CLA250</v>
      </c>
      <c r="U2961" t="str">
        <f>IFERROR(__xludf.DUMMYFUNCTION("""COMPUTED_VALUE"""),"Autopilot")</f>
        <v>Autopilot</v>
      </c>
      <c r="V2961" t="str">
        <f>IFERROR(__xludf.DUMMYFUNCTION("""COMPUTED_VALUE"""),"Ventilated seats")</f>
        <v>Ventilated seats</v>
      </c>
      <c r="W2961" t="str">
        <f>IFERROR(__xludf.DUMMYFUNCTION("""COMPUTED_VALUE"""),"patience is a virtue")</f>
        <v>patience is a virtue</v>
      </c>
      <c r="AH2961" s="189">
        <f>IFERROR(__xludf.DUMMYFUNCTION("""COMPUTED_VALUE"""),44366.792889097225)</f>
        <v>44366.79289</v>
      </c>
    </row>
    <row r="2962">
      <c r="A2962" t="str">
        <f>IFERROR(__xludf.DUMMYFUNCTION("""COMPUTED_VALUE"""),"evrejerry")</f>
        <v>evrejerry</v>
      </c>
      <c r="B2962" t="str">
        <f>IFERROR(__xludf.DUMMYFUNCTION("""COMPUTED_VALUE"""),"Riverside, CA")</f>
        <v>Riverside, CA</v>
      </c>
      <c r="C2962" t="str">
        <f>IFERROR(__xludf.DUMMYFUNCTION("""COMPUTED_VALUE"""),"CA")</f>
        <v>CA</v>
      </c>
      <c r="D2962" t="str">
        <f>IFERROR(__xludf.DUMMYFUNCTION("""COMPUTED_VALUE"""),"USA")</f>
        <v>USA</v>
      </c>
      <c r="E2962" s="188">
        <f>IFERROR(__xludf.DUMMYFUNCTION("""COMPUTED_VALUE"""),44339.0)</f>
        <v>44339</v>
      </c>
      <c r="F2962" s="188">
        <f>IFERROR(__xludf.DUMMYFUNCTION("""COMPUTED_VALUE"""),44376.0)</f>
        <v>44376</v>
      </c>
      <c r="G2962" t="str">
        <f>IFERROR(__xludf.DUMMYFUNCTION("""COMPUTED_VALUE"""),"Manage order page (normal text)")</f>
        <v>Manage order page (normal text)</v>
      </c>
      <c r="J2962" s="188">
        <f>IFERROR(__xludf.DUMMYFUNCTION("""COMPUTED_VALUE"""),44377.0)</f>
        <v>44377</v>
      </c>
      <c r="K2962">
        <f>IFERROR(__xludf.DUMMYFUNCTION("""COMPUTED_VALUE"""),37.0)</f>
        <v>37</v>
      </c>
      <c r="L2962">
        <f>IFERROR(__xludf.DUMMYFUNCTION("""COMPUTED_VALUE"""),1.0)</f>
        <v>1</v>
      </c>
      <c r="M2962">
        <f>IFERROR(__xludf.DUMMYFUNCTION("""COMPUTED_VALUE"""),38.0)</f>
        <v>38</v>
      </c>
      <c r="N2962" t="str">
        <f>IFERROR(__xludf.DUMMYFUNCTION("""COMPUTED_VALUE"""),"Model 3 LR AWD")</f>
        <v>Model 3 LR AWD</v>
      </c>
      <c r="O2962" t="str">
        <f>IFERROR(__xludf.DUMMYFUNCTION("""COMPUTED_VALUE"""),"Midnight Silver Metallic")</f>
        <v>Midnight Silver Metallic</v>
      </c>
      <c r="P2962" t="str">
        <f>IFERROR(__xludf.DUMMYFUNCTION("""COMPUTED_VALUE"""),"18 inch")</f>
        <v>18 inch</v>
      </c>
      <c r="Q2962" t="str">
        <f>IFERROR(__xludf.DUMMYFUNCTION("""COMPUTED_VALUE"""),"All Black")</f>
        <v>All Black</v>
      </c>
      <c r="R2962" t="str">
        <f>IFERROR(__xludf.DUMMYFUNCTION("""COMPUTED_VALUE"""),"Autopilot included")</f>
        <v>Autopilot included</v>
      </c>
      <c r="S2962" t="str">
        <f>IFERROR(__xludf.DUMMYFUNCTION("""COMPUTED_VALUE"""),"Loan")</f>
        <v>Loan</v>
      </c>
      <c r="T2962" t="str">
        <f>IFERROR(__xludf.DUMMYFUNCTION("""COMPUTED_VALUE"""),"Genesis Coupe")</f>
        <v>Genesis Coupe</v>
      </c>
      <c r="U2962" t="str">
        <f>IFERROR(__xludf.DUMMYFUNCTION("""COMPUTED_VALUE"""),"Autopilot")</f>
        <v>Autopilot</v>
      </c>
      <c r="V2962" t="str">
        <f>IFERROR(__xludf.DUMMYFUNCTION("""COMPUTED_VALUE"""),"Head-up display")</f>
        <v>Head-up display</v>
      </c>
      <c r="X2962" t="str">
        <f>IFERROR(__xludf.DUMMYFUNCTION("""COMPUTED_VALUE"""),"Very Good")</f>
        <v>Very Good</v>
      </c>
      <c r="Y2962" t="str">
        <f>IFERROR(__xludf.DUMMYFUNCTION("""COMPUTED_VALUE"""),"Excellent")</f>
        <v>Excellent</v>
      </c>
      <c r="Z2962" t="str">
        <f>IFERROR(__xludf.DUMMYFUNCTION("""COMPUTED_VALUE"""),"Very Good")</f>
        <v>Very Good</v>
      </c>
      <c r="AA2962" t="str">
        <f>IFERROR(__xludf.DUMMYFUNCTION("""COMPUTED_VALUE"""),"Excellent")</f>
        <v>Excellent</v>
      </c>
      <c r="AB2962" t="str">
        <f>IFERROR(__xludf.DUMMYFUNCTION("""COMPUTED_VALUE"""),"Excellent")</f>
        <v>Excellent</v>
      </c>
      <c r="AC2962">
        <f>IFERROR(__xludf.DUMMYFUNCTION("""COMPUTED_VALUE"""),3.0)</f>
        <v>3</v>
      </c>
      <c r="AF2962" t="str">
        <f>IFERROR(__xludf.DUMMYFUNCTION("""COMPUTED_VALUE"""),"No. I took delivery of the first car Tesla was able to deliver.")</f>
        <v>No. I took delivery of the first car Tesla was able to deliver.</v>
      </c>
      <c r="AH2962" s="189">
        <f>IFERROR(__xludf.DUMMYFUNCTION("""COMPUTED_VALUE"""),44380.631204074074)</f>
        <v>44380.6312</v>
      </c>
    </row>
    <row r="2963">
      <c r="A2963" t="str">
        <f>IFERROR(__xludf.DUMMYFUNCTION("""COMPUTED_VALUE"""),"JCM")</f>
        <v>JCM</v>
      </c>
      <c r="B2963" t="str">
        <f>IFERROR(__xludf.DUMMYFUNCTION("""COMPUTED_VALUE"""),"Chicago")</f>
        <v>Chicago</v>
      </c>
      <c r="C2963" t="str">
        <f>IFERROR(__xludf.DUMMYFUNCTION("""COMPUTED_VALUE"""),"IL")</f>
        <v>IL</v>
      </c>
      <c r="D2963" t="str">
        <f>IFERROR(__xludf.DUMMYFUNCTION("""COMPUTED_VALUE"""),"USA")</f>
        <v>USA</v>
      </c>
      <c r="E2963" s="188">
        <f>IFERROR(__xludf.DUMMYFUNCTION("""COMPUTED_VALUE"""),44332.0)</f>
        <v>44332</v>
      </c>
      <c r="F2963" s="188">
        <f>IFERROR(__xludf.DUMMYFUNCTION("""COMPUTED_VALUE"""),44359.0)</f>
        <v>44359</v>
      </c>
      <c r="G2963" t="str">
        <f>IFERROR(__xludf.DUMMYFUNCTION("""COMPUTED_VALUE"""),"Manage order page (normal text)")</f>
        <v>Manage order page (normal text)</v>
      </c>
      <c r="H2963">
        <f>IFERROR(__xludf.DUMMYFUNCTION("""COMPUTED_VALUE"""),981855.0)</f>
        <v>981855</v>
      </c>
      <c r="I2963" t="str">
        <f>IFERROR(__xludf.DUMMYFUNCTION("""COMPUTED_VALUE"""),"05/21")</f>
        <v>05/21</v>
      </c>
      <c r="J2963" s="188">
        <f>IFERROR(__xludf.DUMMYFUNCTION("""COMPUTED_VALUE"""),44362.0)</f>
        <v>44362</v>
      </c>
      <c r="K2963">
        <f>IFERROR(__xludf.DUMMYFUNCTION("""COMPUTED_VALUE"""),27.0)</f>
        <v>27</v>
      </c>
      <c r="L2963">
        <f>IFERROR(__xludf.DUMMYFUNCTION("""COMPUTED_VALUE"""),3.0)</f>
        <v>3</v>
      </c>
      <c r="M2963">
        <f>IFERROR(__xludf.DUMMYFUNCTION("""COMPUTED_VALUE"""),30.0)</f>
        <v>30</v>
      </c>
      <c r="N2963" t="str">
        <f>IFERROR(__xludf.DUMMYFUNCTION("""COMPUTED_VALUE"""),"Model 3 SR+")</f>
        <v>Model 3 SR+</v>
      </c>
      <c r="O2963" t="str">
        <f>IFERROR(__xludf.DUMMYFUNCTION("""COMPUTED_VALUE"""),"Deep Blue Metallic")</f>
        <v>Deep Blue Metallic</v>
      </c>
      <c r="P2963" t="str">
        <f>IFERROR(__xludf.DUMMYFUNCTION("""COMPUTED_VALUE"""),"18 inch")</f>
        <v>18 inch</v>
      </c>
      <c r="Q2963" t="str">
        <f>IFERROR(__xludf.DUMMYFUNCTION("""COMPUTED_VALUE"""),"All Black")</f>
        <v>All Black</v>
      </c>
      <c r="R2963" t="str">
        <f>IFERROR(__xludf.DUMMYFUNCTION("""COMPUTED_VALUE"""),"Autopilot included")</f>
        <v>Autopilot included</v>
      </c>
      <c r="S2963" t="str">
        <f>IFERROR(__xludf.DUMMYFUNCTION("""COMPUTED_VALUE"""),"Loan")</f>
        <v>Loan</v>
      </c>
      <c r="T2963" t="str">
        <f>IFERROR(__xludf.DUMMYFUNCTION("""COMPUTED_VALUE"""),"Sonata Hybrid")</f>
        <v>Sonata Hybrid</v>
      </c>
      <c r="U2963" t="str">
        <f>IFERROR(__xludf.DUMMYFUNCTION("""COMPUTED_VALUE"""),"Electric!")</f>
        <v>Electric!</v>
      </c>
      <c r="V2963" t="str">
        <f>IFERROR(__xludf.DUMMYFUNCTION("""COMPUTED_VALUE"""),"Heads-up display, Android Auto")</f>
        <v>Heads-up display, Android Auto</v>
      </c>
      <c r="W2963" t="str">
        <f>IFERROR(__xludf.DUMMYFUNCTION("""COMPUTED_VALUE"""),"Watch the orientation videos on advanced and get floor mats in advanced")</f>
        <v>Watch the orientation videos on advanced and get floor mats in advanced</v>
      </c>
      <c r="X2963" t="str">
        <f>IFERROR(__xludf.DUMMYFUNCTION("""COMPUTED_VALUE"""),"Excellent")</f>
        <v>Excellent</v>
      </c>
      <c r="Y2963" t="str">
        <f>IFERROR(__xludf.DUMMYFUNCTION("""COMPUTED_VALUE"""),"Excellent")</f>
        <v>Excellent</v>
      </c>
      <c r="Z2963" t="str">
        <f>IFERROR(__xludf.DUMMYFUNCTION("""COMPUTED_VALUE"""),"Excellent")</f>
        <v>Excellent</v>
      </c>
      <c r="AA2963" t="str">
        <f>IFERROR(__xludf.DUMMYFUNCTION("""COMPUTED_VALUE"""),"Excellent")</f>
        <v>Excellent</v>
      </c>
      <c r="AB2963" t="str">
        <f>IFERROR(__xludf.DUMMYFUNCTION("""COMPUTED_VALUE"""),"Excellent")</f>
        <v>Excellent</v>
      </c>
      <c r="AC2963">
        <f>IFERROR(__xludf.DUMMYFUNCTION("""COMPUTED_VALUE"""),0.0)</f>
        <v>0</v>
      </c>
      <c r="AD2963">
        <f>IFERROR(__xludf.DUMMYFUNCTION("""COMPUTED_VALUE"""),0.0)</f>
        <v>0</v>
      </c>
      <c r="AE2963">
        <f>IFERROR(__xludf.DUMMYFUNCTION("""COMPUTED_VALUE"""),0.0)</f>
        <v>0</v>
      </c>
      <c r="AF2963" t="str">
        <f>IFERROR(__xludf.DUMMYFUNCTION("""COMPUTED_VALUE"""),"No. I took delivery of the first car Tesla was able to deliver.")</f>
        <v>No. I took delivery of the first car Tesla was able to deliver.</v>
      </c>
      <c r="AH2963" s="189">
        <f>IFERROR(__xludf.DUMMYFUNCTION("""COMPUTED_VALUE"""),44381.51837763889)</f>
        <v>44381.51838</v>
      </c>
    </row>
    <row r="2964">
      <c r="A2964" t="str">
        <f>IFERROR(__xludf.DUMMYFUNCTION("""COMPUTED_VALUE"""),"nails")</f>
        <v>nails</v>
      </c>
      <c r="B2964" t="str">
        <f>IFERROR(__xludf.DUMMYFUNCTION("""COMPUTED_VALUE"""),"Littleton")</f>
        <v>Littleton</v>
      </c>
      <c r="C2964" t="str">
        <f>IFERROR(__xludf.DUMMYFUNCTION("""COMPUTED_VALUE"""),"CO")</f>
        <v>CO</v>
      </c>
      <c r="D2964" t="str">
        <f>IFERROR(__xludf.DUMMYFUNCTION("""COMPUTED_VALUE"""),"USA")</f>
        <v>USA</v>
      </c>
      <c r="E2964" s="188">
        <f>IFERROR(__xludf.DUMMYFUNCTION("""COMPUTED_VALUE"""),44308.0)</f>
        <v>44308</v>
      </c>
      <c r="F2964" s="188">
        <f>IFERROR(__xludf.DUMMYFUNCTION("""COMPUTED_VALUE"""),44367.0)</f>
        <v>44367</v>
      </c>
      <c r="G2964" t="str">
        <f>IFERROR(__xludf.DUMMYFUNCTION("""COMPUTED_VALUE"""),"Manage order page (normal text)")</f>
        <v>Manage order page (normal text)</v>
      </c>
      <c r="H2964">
        <f>IFERROR(__xludf.DUMMYFUNCTION("""COMPUTED_VALUE"""),997955.0)</f>
        <v>997955</v>
      </c>
      <c r="J2964" s="188">
        <f>IFERROR(__xludf.DUMMYFUNCTION("""COMPUTED_VALUE"""),44371.0)</f>
        <v>44371</v>
      </c>
      <c r="K2964">
        <f>IFERROR(__xludf.DUMMYFUNCTION("""COMPUTED_VALUE"""),59.0)</f>
        <v>59</v>
      </c>
      <c r="L2964">
        <f>IFERROR(__xludf.DUMMYFUNCTION("""COMPUTED_VALUE"""),4.0)</f>
        <v>4</v>
      </c>
      <c r="M2964">
        <f>IFERROR(__xludf.DUMMYFUNCTION("""COMPUTED_VALUE"""),63.0)</f>
        <v>63</v>
      </c>
      <c r="N2964" t="str">
        <f>IFERROR(__xludf.DUMMYFUNCTION("""COMPUTED_VALUE"""),"Model 3 LR AWD")</f>
        <v>Model 3 LR AWD</v>
      </c>
      <c r="O2964" t="str">
        <f>IFERROR(__xludf.DUMMYFUNCTION("""COMPUTED_VALUE"""),"Pearl White Multi-Coat")</f>
        <v>Pearl White Multi-Coat</v>
      </c>
      <c r="P2964" t="str">
        <f>IFERROR(__xludf.DUMMYFUNCTION("""COMPUTED_VALUE"""),"18 inch")</f>
        <v>18 inch</v>
      </c>
      <c r="Q2964" t="str">
        <f>IFERROR(__xludf.DUMMYFUNCTION("""COMPUTED_VALUE"""),"All Black")</f>
        <v>All Black</v>
      </c>
      <c r="R2964" t="str">
        <f>IFERROR(__xludf.DUMMYFUNCTION("""COMPUTED_VALUE"""),"Autopilot included")</f>
        <v>Autopilot included</v>
      </c>
      <c r="S2964" t="str">
        <f>IFERROR(__xludf.DUMMYFUNCTION("""COMPUTED_VALUE"""),"Loan")</f>
        <v>Loan</v>
      </c>
      <c r="T2964" t="str">
        <f>IFERROR(__xludf.DUMMYFUNCTION("""COMPUTED_VALUE"""),"Honda CRV")</f>
        <v>Honda CRV</v>
      </c>
      <c r="U2964" t="str">
        <f>IFERROR(__xludf.DUMMYFUNCTION("""COMPUTED_VALUE"""),"Tesla brand image")</f>
        <v>Tesla brand image</v>
      </c>
      <c r="V2964" t="str">
        <f>IFERROR(__xludf.DUMMYFUNCTION("""COMPUTED_VALUE"""),"Higher Density Battery")</f>
        <v>Higher Density Battery</v>
      </c>
      <c r="X2964" t="str">
        <f>IFERROR(__xludf.DUMMYFUNCTION("""COMPUTED_VALUE"""),"Excellent")</f>
        <v>Excellent</v>
      </c>
      <c r="Y2964" t="str">
        <f>IFERROR(__xludf.DUMMYFUNCTION("""COMPUTED_VALUE"""),"Excellent")</f>
        <v>Excellent</v>
      </c>
      <c r="Z2964" t="str">
        <f>IFERROR(__xludf.DUMMYFUNCTION("""COMPUTED_VALUE"""),"Excellent")</f>
        <v>Excellent</v>
      </c>
      <c r="AA2964" t="str">
        <f>IFERROR(__xludf.DUMMYFUNCTION("""COMPUTED_VALUE"""),"Poor")</f>
        <v>Poor</v>
      </c>
      <c r="AB2964" t="str">
        <f>IFERROR(__xludf.DUMMYFUNCTION("""COMPUTED_VALUE"""),"Excellent")</f>
        <v>Excellent</v>
      </c>
      <c r="AC2964">
        <f>IFERROR(__xludf.DUMMYFUNCTION("""COMPUTED_VALUE"""),2.0)</f>
        <v>2</v>
      </c>
      <c r="AF2964" t="str">
        <f>IFERROR(__xludf.DUMMYFUNCTION("""COMPUTED_VALUE"""),"No. I took delivery of the first car Tesla was able to deliver.")</f>
        <v>No. I took delivery of the first car Tesla was able to deliver.</v>
      </c>
      <c r="AH2964" s="189">
        <f>IFERROR(__xludf.DUMMYFUNCTION("""COMPUTED_VALUE"""),44374.35168197917)</f>
        <v>44374.35168</v>
      </c>
    </row>
    <row r="2965">
      <c r="A2965" t="str">
        <f>IFERROR(__xludf.DUMMYFUNCTION("""COMPUTED_VALUE"""),"afuz")</f>
        <v>afuz</v>
      </c>
      <c r="B2965" t="str">
        <f>IFERROR(__xludf.DUMMYFUNCTION("""COMPUTED_VALUE"""),"Tampa")</f>
        <v>Tampa</v>
      </c>
      <c r="C2965" t="str">
        <f>IFERROR(__xludf.DUMMYFUNCTION("""COMPUTED_VALUE"""),"FL")</f>
        <v>FL</v>
      </c>
      <c r="D2965" t="str">
        <f>IFERROR(__xludf.DUMMYFUNCTION("""COMPUTED_VALUE"""),"USA")</f>
        <v>USA</v>
      </c>
      <c r="E2965" s="188">
        <f>IFERROR(__xludf.DUMMYFUNCTION("""COMPUTED_VALUE"""),44331.0)</f>
        <v>44331</v>
      </c>
      <c r="F2965" s="188">
        <f>IFERROR(__xludf.DUMMYFUNCTION("""COMPUTED_VALUE"""),44355.0)</f>
        <v>44355</v>
      </c>
      <c r="G2965" t="str">
        <f>IFERROR(__xludf.DUMMYFUNCTION("""COMPUTED_VALUE"""),"Manage order page (normal text)")</f>
        <v>Manage order page (normal text)</v>
      </c>
      <c r="H2965">
        <f>IFERROR(__xludf.DUMMYFUNCTION("""COMPUTED_VALUE"""),992155.0)</f>
        <v>992155</v>
      </c>
      <c r="J2965" s="188">
        <f>IFERROR(__xludf.DUMMYFUNCTION("""COMPUTED_VALUE"""),44375.0)</f>
        <v>44375</v>
      </c>
      <c r="K2965">
        <f>IFERROR(__xludf.DUMMYFUNCTION("""COMPUTED_VALUE"""),24.0)</f>
        <v>24</v>
      </c>
      <c r="L2965">
        <f>IFERROR(__xludf.DUMMYFUNCTION("""COMPUTED_VALUE"""),20.0)</f>
        <v>20</v>
      </c>
      <c r="M2965">
        <f>IFERROR(__xludf.DUMMYFUNCTION("""COMPUTED_VALUE"""),44.0)</f>
        <v>44</v>
      </c>
      <c r="N2965" t="str">
        <f>IFERROR(__xludf.DUMMYFUNCTION("""COMPUTED_VALUE"""),"Model 3 LR AWD")</f>
        <v>Model 3 LR AWD</v>
      </c>
      <c r="O2965" t="str">
        <f>IFERROR(__xludf.DUMMYFUNCTION("""COMPUTED_VALUE"""),"Solid Black")</f>
        <v>Solid Black</v>
      </c>
      <c r="P2965" t="str">
        <f>IFERROR(__xludf.DUMMYFUNCTION("""COMPUTED_VALUE"""),"18 inch")</f>
        <v>18 inch</v>
      </c>
      <c r="Q2965" t="str">
        <f>IFERROR(__xludf.DUMMYFUNCTION("""COMPUTED_VALUE"""),"All Black")</f>
        <v>All Black</v>
      </c>
      <c r="R2965" t="str">
        <f>IFERROR(__xludf.DUMMYFUNCTION("""COMPUTED_VALUE"""),"Autopilot included")</f>
        <v>Autopilot included</v>
      </c>
      <c r="S2965" t="str">
        <f>IFERROR(__xludf.DUMMYFUNCTION("""COMPUTED_VALUE"""),"Loan")</f>
        <v>Loan</v>
      </c>
      <c r="U2965" t="str">
        <f>IFERROR(__xludf.DUMMYFUNCTION("""COMPUTED_VALUE"""),"Electric!")</f>
        <v>Electric!</v>
      </c>
      <c r="V2965" t="str">
        <f>IFERROR(__xludf.DUMMYFUNCTION("""COMPUTED_VALUE"""),"Apple CarPlay / Android Auto / SiriusXM Radio")</f>
        <v>Apple CarPlay / Android Auto / SiriusXM Radio</v>
      </c>
      <c r="X2965" t="str">
        <f>IFERROR(__xludf.DUMMYFUNCTION("""COMPUTED_VALUE"""),"Excellent")</f>
        <v>Excellent</v>
      </c>
      <c r="Y2965" t="str">
        <f>IFERROR(__xludf.DUMMYFUNCTION("""COMPUTED_VALUE"""),"Excellent")</f>
        <v>Excellent</v>
      </c>
      <c r="Z2965" t="str">
        <f>IFERROR(__xludf.DUMMYFUNCTION("""COMPUTED_VALUE"""),"Good")</f>
        <v>Good</v>
      </c>
      <c r="AA2965" t="str">
        <f>IFERROR(__xludf.DUMMYFUNCTION("""COMPUTED_VALUE"""),"Poor")</f>
        <v>Poor</v>
      </c>
      <c r="AB2965" t="str">
        <f>IFERROR(__xludf.DUMMYFUNCTION("""COMPUTED_VALUE"""),"Very Good")</f>
        <v>Very Good</v>
      </c>
      <c r="AC2965">
        <f>IFERROR(__xludf.DUMMYFUNCTION("""COMPUTED_VALUE"""),2.0)</f>
        <v>2</v>
      </c>
      <c r="AF2965" t="str">
        <f>IFERROR(__xludf.DUMMYFUNCTION("""COMPUTED_VALUE"""),"No. I took delivery of the first car Tesla was able to deliver.")</f>
        <v>No. I took delivery of the first car Tesla was able to deliver.</v>
      </c>
      <c r="AH2965" s="189">
        <f>IFERROR(__xludf.DUMMYFUNCTION("""COMPUTED_VALUE"""),44376.5915627662)</f>
        <v>44376.59156</v>
      </c>
    </row>
    <row r="2966">
      <c r="A2966" t="str">
        <f>IFERROR(__xludf.DUMMYFUNCTION("""COMPUTED_VALUE"""),"Rlchilds")</f>
        <v>Rlchilds</v>
      </c>
      <c r="C2966" t="str">
        <f>IFERROR(__xludf.DUMMYFUNCTION("""COMPUTED_VALUE"""),"NC")</f>
        <v>NC</v>
      </c>
      <c r="D2966" t="str">
        <f>IFERROR(__xludf.DUMMYFUNCTION("""COMPUTED_VALUE"""),"USA")</f>
        <v>USA</v>
      </c>
      <c r="E2966" s="188">
        <f>IFERROR(__xludf.DUMMYFUNCTION("""COMPUTED_VALUE"""),44297.0)</f>
        <v>44297</v>
      </c>
      <c r="F2966" s="188">
        <f>IFERROR(__xludf.DUMMYFUNCTION("""COMPUTED_VALUE"""),44344.0)</f>
        <v>44344</v>
      </c>
      <c r="G2966" t="str">
        <f>IFERROR(__xludf.DUMMYFUNCTION("""COMPUTED_VALUE"""),"Manage order page (normal text)")</f>
        <v>Manage order page (normal text)</v>
      </c>
      <c r="J2966" s="188">
        <f>IFERROR(__xludf.DUMMYFUNCTION("""COMPUTED_VALUE"""),80884.0)</f>
        <v>80884</v>
      </c>
      <c r="K2966">
        <f>IFERROR(__xludf.DUMMYFUNCTION("""COMPUTED_VALUE"""),47.0)</f>
        <v>47</v>
      </c>
      <c r="N2966" t="str">
        <f>IFERROR(__xludf.DUMMYFUNCTION("""COMPUTED_VALUE"""),"Model 3 LR AWD")</f>
        <v>Model 3 LR AWD</v>
      </c>
      <c r="O2966" t="str">
        <f>IFERROR(__xludf.DUMMYFUNCTION("""COMPUTED_VALUE"""),"Pearl White Multi-Coat")</f>
        <v>Pearl White Multi-Coat</v>
      </c>
      <c r="P2966" t="str">
        <f>IFERROR(__xludf.DUMMYFUNCTION("""COMPUTED_VALUE"""),"18 inch")</f>
        <v>18 inch</v>
      </c>
      <c r="Q2966" t="str">
        <f>IFERROR(__xludf.DUMMYFUNCTION("""COMPUTED_VALUE"""),"All Black")</f>
        <v>All Black</v>
      </c>
      <c r="R2966" t="str">
        <f>IFERROR(__xludf.DUMMYFUNCTION("""COMPUTED_VALUE"""),"Autopilot included")</f>
        <v>Autopilot included</v>
      </c>
      <c r="S2966" t="str">
        <f>IFERROR(__xludf.DUMMYFUNCTION("""COMPUTED_VALUE"""),"Loan")</f>
        <v>Loan</v>
      </c>
      <c r="T2966" t="str">
        <f>IFERROR(__xludf.DUMMYFUNCTION("""COMPUTED_VALUE"""),"VW Atlas")</f>
        <v>VW Atlas</v>
      </c>
      <c r="U2966" t="str">
        <f>IFERROR(__xludf.DUMMYFUNCTION("""COMPUTED_VALUE"""),"Electric!")</f>
        <v>Electric!</v>
      </c>
      <c r="AH2966" s="189">
        <f>IFERROR(__xludf.DUMMYFUNCTION("""COMPUTED_VALUE"""),44348.36245885417)</f>
        <v>44348.36246</v>
      </c>
    </row>
    <row r="2967">
      <c r="A2967" t="str">
        <f>IFERROR(__xludf.DUMMYFUNCTION("""COMPUTED_VALUE"""),"Tesconnect")</f>
        <v>Tesconnect</v>
      </c>
      <c r="B2967" t="str">
        <f>IFERROR(__xludf.DUMMYFUNCTION("""COMPUTED_VALUE"""),"Fairfield")</f>
        <v>Fairfield</v>
      </c>
      <c r="C2967" t="str">
        <f>IFERROR(__xludf.DUMMYFUNCTION("""COMPUTED_VALUE"""),"CT")</f>
        <v>CT</v>
      </c>
      <c r="D2967" t="str">
        <f>IFERROR(__xludf.DUMMYFUNCTION("""COMPUTED_VALUE"""),"USA")</f>
        <v>USA</v>
      </c>
      <c r="E2967" s="188">
        <f>IFERROR(__xludf.DUMMYFUNCTION("""COMPUTED_VALUE"""),44343.0)</f>
        <v>44343</v>
      </c>
      <c r="F2967" s="188">
        <f>IFERROR(__xludf.DUMMYFUNCTION("""COMPUTED_VALUE"""),44391.0)</f>
        <v>44391</v>
      </c>
      <c r="G2967" t="str">
        <f>IFERROR(__xludf.DUMMYFUNCTION("""COMPUTED_VALUE"""),"Text message")</f>
        <v>Text message</v>
      </c>
      <c r="H2967">
        <f>IFERROR(__xludf.DUMMYFUNCTION("""COMPUTED_VALUE"""),16455.0)</f>
        <v>16455</v>
      </c>
      <c r="I2967" t="str">
        <f>IFERROR(__xludf.DUMMYFUNCTION("""COMPUTED_VALUE"""),"06/21")</f>
        <v>06/21</v>
      </c>
      <c r="J2967" s="188">
        <f>IFERROR(__xludf.DUMMYFUNCTION("""COMPUTED_VALUE"""),44402.0)</f>
        <v>44402</v>
      </c>
      <c r="K2967">
        <f>IFERROR(__xludf.DUMMYFUNCTION("""COMPUTED_VALUE"""),48.0)</f>
        <v>48</v>
      </c>
      <c r="L2967">
        <f>IFERROR(__xludf.DUMMYFUNCTION("""COMPUTED_VALUE"""),11.0)</f>
        <v>11</v>
      </c>
      <c r="M2967">
        <f>IFERROR(__xludf.DUMMYFUNCTION("""COMPUTED_VALUE"""),59.0)</f>
        <v>59</v>
      </c>
      <c r="N2967" t="str">
        <f>IFERROR(__xludf.DUMMYFUNCTION("""COMPUTED_VALUE"""),"Model 3 SR+")</f>
        <v>Model 3 SR+</v>
      </c>
      <c r="O2967" t="str">
        <f>IFERROR(__xludf.DUMMYFUNCTION("""COMPUTED_VALUE"""),"Midnight Silver Metallic")</f>
        <v>Midnight Silver Metallic</v>
      </c>
      <c r="P2967" t="str">
        <f>IFERROR(__xludf.DUMMYFUNCTION("""COMPUTED_VALUE"""),"18 inch")</f>
        <v>18 inch</v>
      </c>
      <c r="Q2967" t="str">
        <f>IFERROR(__xludf.DUMMYFUNCTION("""COMPUTED_VALUE"""),"All Black")</f>
        <v>All Black</v>
      </c>
      <c r="R2967" t="str">
        <f>IFERROR(__xludf.DUMMYFUNCTION("""COMPUTED_VALUE"""),"Autopilot included")</f>
        <v>Autopilot included</v>
      </c>
      <c r="S2967" t="str">
        <f>IFERROR(__xludf.DUMMYFUNCTION("""COMPUTED_VALUE"""),"Loan")</f>
        <v>Loan</v>
      </c>
      <c r="T2967" t="str">
        <f>IFERROR(__xludf.DUMMYFUNCTION("""COMPUTED_VALUE"""),"Porsche Boxster")</f>
        <v>Porsche Boxster</v>
      </c>
      <c r="U2967" t="str">
        <f>IFERROR(__xludf.DUMMYFUNCTION("""COMPUTED_VALUE"""),"Autopilot")</f>
        <v>Autopilot</v>
      </c>
      <c r="V2967" t="str">
        <f>IFERROR(__xludf.DUMMYFUNCTION("""COMPUTED_VALUE"""),"Manufacture date is 7/21. No option below so selected 6/21")</f>
        <v>Manufacture date is 7/21. No option below so selected 6/21</v>
      </c>
      <c r="W2967" t="str">
        <f>IFERROR(__xludf.DUMMYFUNCTION("""COMPUTED_VALUE"""),"Dont check EDD on Tesla account. If your car is delivered within original timeline estimated at time of order, you should be happy.")</f>
        <v>Dont check EDD on Tesla account. If your car is delivered within original timeline estimated at time of order, you should be happy.</v>
      </c>
      <c r="X2967" t="str">
        <f>IFERROR(__xludf.DUMMYFUNCTION("""COMPUTED_VALUE"""),"Excellent")</f>
        <v>Excellent</v>
      </c>
      <c r="Y2967" t="str">
        <f>IFERROR(__xludf.DUMMYFUNCTION("""COMPUTED_VALUE"""),"Good")</f>
        <v>Good</v>
      </c>
      <c r="Z2967" t="str">
        <f>IFERROR(__xludf.DUMMYFUNCTION("""COMPUTED_VALUE"""),"Very Good")</f>
        <v>Very Good</v>
      </c>
      <c r="AA2967" t="str">
        <f>IFERROR(__xludf.DUMMYFUNCTION("""COMPUTED_VALUE"""),"Excellent")</f>
        <v>Excellent</v>
      </c>
      <c r="AB2967" t="str">
        <f>IFERROR(__xludf.DUMMYFUNCTION("""COMPUTED_VALUE"""),"Very Good")</f>
        <v>Very Good</v>
      </c>
      <c r="AC2967">
        <f>IFERROR(__xludf.DUMMYFUNCTION("""COMPUTED_VALUE"""),1.0)</f>
        <v>1</v>
      </c>
      <c r="AF2967" t="str">
        <f>IFERROR(__xludf.DUMMYFUNCTION("""COMPUTED_VALUE"""),"No. I took delivery of the first car Tesla was able to deliver.")</f>
        <v>No. I took delivery of the first car Tesla was able to deliver.</v>
      </c>
      <c r="AH2967" s="189">
        <f>IFERROR(__xludf.DUMMYFUNCTION("""COMPUTED_VALUE"""),44403.35845655092)</f>
        <v>44403.35846</v>
      </c>
    </row>
    <row r="2968">
      <c r="A2968" t="str">
        <f>IFERROR(__xludf.DUMMYFUNCTION("""COMPUTED_VALUE"""),"wjwide")</f>
        <v>wjwide</v>
      </c>
      <c r="C2968" t="str">
        <f>IFERROR(__xludf.DUMMYFUNCTION("""COMPUTED_VALUE"""),"KY")</f>
        <v>KY</v>
      </c>
      <c r="D2968" t="str">
        <f>IFERROR(__xludf.DUMMYFUNCTION("""COMPUTED_VALUE"""),"USA")</f>
        <v>USA</v>
      </c>
      <c r="E2968" s="188">
        <f>IFERROR(__xludf.DUMMYFUNCTION("""COMPUTED_VALUE"""),44325.0)</f>
        <v>44325</v>
      </c>
      <c r="F2968" s="188">
        <f>IFERROR(__xludf.DUMMYFUNCTION("""COMPUTED_VALUE"""),44352.0)</f>
        <v>44352</v>
      </c>
      <c r="G2968" t="str">
        <f>IFERROR(__xludf.DUMMYFUNCTION("""COMPUTED_VALUE"""),"Manage order page (normal text)")</f>
        <v>Manage order page (normal text)</v>
      </c>
      <c r="J2968" s="188">
        <f>IFERROR(__xludf.DUMMYFUNCTION("""COMPUTED_VALUE"""),44361.0)</f>
        <v>44361</v>
      </c>
      <c r="K2968">
        <f>IFERROR(__xludf.DUMMYFUNCTION("""COMPUTED_VALUE"""),27.0)</f>
        <v>27</v>
      </c>
      <c r="L2968">
        <f>IFERROR(__xludf.DUMMYFUNCTION("""COMPUTED_VALUE"""),9.0)</f>
        <v>9</v>
      </c>
      <c r="M2968">
        <f>IFERROR(__xludf.DUMMYFUNCTION("""COMPUTED_VALUE"""),36.0)</f>
        <v>36</v>
      </c>
      <c r="N2968" t="str">
        <f>IFERROR(__xludf.DUMMYFUNCTION("""COMPUTED_VALUE"""),"Model 3 LR AWD")</f>
        <v>Model 3 LR AWD</v>
      </c>
      <c r="O2968" t="str">
        <f>IFERROR(__xludf.DUMMYFUNCTION("""COMPUTED_VALUE"""),"Red Multi-Coat")</f>
        <v>Red Multi-Coat</v>
      </c>
      <c r="P2968" t="str">
        <f>IFERROR(__xludf.DUMMYFUNCTION("""COMPUTED_VALUE"""),"19 inch")</f>
        <v>19 inch</v>
      </c>
      <c r="Q2968" t="str">
        <f>IFERROR(__xludf.DUMMYFUNCTION("""COMPUTED_VALUE"""),"All Black")</f>
        <v>All Black</v>
      </c>
      <c r="R2968" t="str">
        <f>IFERROR(__xludf.DUMMYFUNCTION("""COMPUTED_VALUE"""),"Autopilot included")</f>
        <v>Autopilot included</v>
      </c>
      <c r="S2968" t="str">
        <f>IFERROR(__xludf.DUMMYFUNCTION("""COMPUTED_VALUE"""),"Cash")</f>
        <v>Cash</v>
      </c>
      <c r="W2968" t="str">
        <f>IFERROR(__xludf.DUMMYFUNCTION("""COMPUTED_VALUE"""),"Check the gaps and take your time going over everything.")</f>
        <v>Check the gaps and take your time going over everything.</v>
      </c>
      <c r="X2968" t="str">
        <f>IFERROR(__xludf.DUMMYFUNCTION("""COMPUTED_VALUE"""),"Good")</f>
        <v>Good</v>
      </c>
      <c r="Y2968" t="str">
        <f>IFERROR(__xludf.DUMMYFUNCTION("""COMPUTED_VALUE"""),"Very Good")</f>
        <v>Very Good</v>
      </c>
      <c r="Z2968" t="str">
        <f>IFERROR(__xludf.DUMMYFUNCTION("""COMPUTED_VALUE"""),"Very Good")</f>
        <v>Very Good</v>
      </c>
      <c r="AA2968" t="str">
        <f>IFERROR(__xludf.DUMMYFUNCTION("""COMPUTED_VALUE"""),"Fair")</f>
        <v>Fair</v>
      </c>
      <c r="AB2968" t="str">
        <f>IFERROR(__xludf.DUMMYFUNCTION("""COMPUTED_VALUE"""),"Excellent")</f>
        <v>Excellent</v>
      </c>
      <c r="AC2968">
        <f>IFERROR(__xludf.DUMMYFUNCTION("""COMPUTED_VALUE"""),2.0)</f>
        <v>2</v>
      </c>
      <c r="AD2968">
        <f>IFERROR(__xludf.DUMMYFUNCTION("""COMPUTED_VALUE"""),1.0)</f>
        <v>1</v>
      </c>
      <c r="AE2968">
        <f>IFERROR(__xludf.DUMMYFUNCTION("""COMPUTED_VALUE"""),7.0)</f>
        <v>7</v>
      </c>
      <c r="AH2968" s="189">
        <f>IFERROR(__xludf.DUMMYFUNCTION("""COMPUTED_VALUE"""),44363.64685502315)</f>
        <v>44363.64686</v>
      </c>
    </row>
    <row r="2969">
      <c r="A2969" t="str">
        <f>IFERROR(__xludf.DUMMYFUNCTION("""COMPUTED_VALUE"""),"ppc750")</f>
        <v>ppc750</v>
      </c>
      <c r="B2969" t="str">
        <f>IFERROR(__xludf.DUMMYFUNCTION("""COMPUTED_VALUE"""),"Irvine")</f>
        <v>Irvine</v>
      </c>
      <c r="C2969" t="str">
        <f>IFERROR(__xludf.DUMMYFUNCTION("""COMPUTED_VALUE"""),"CA")</f>
        <v>CA</v>
      </c>
      <c r="D2969" t="str">
        <f>IFERROR(__xludf.DUMMYFUNCTION("""COMPUTED_VALUE"""),"USA")</f>
        <v>USA</v>
      </c>
      <c r="E2969" s="188">
        <f>IFERROR(__xludf.DUMMYFUNCTION("""COMPUTED_VALUE"""),44339.0)</f>
        <v>44339</v>
      </c>
      <c r="F2969" s="188">
        <f>IFERROR(__xludf.DUMMYFUNCTION("""COMPUTED_VALUE"""),44389.0)</f>
        <v>44389</v>
      </c>
      <c r="G2969" t="str">
        <f>IFERROR(__xludf.DUMMYFUNCTION("""COMPUTED_VALUE"""),"Email")</f>
        <v>Email</v>
      </c>
      <c r="H2969">
        <f>IFERROR(__xludf.DUMMYFUNCTION("""COMPUTED_VALUE"""),16155.0)</f>
        <v>16155</v>
      </c>
      <c r="J2969" s="188">
        <f>IFERROR(__xludf.DUMMYFUNCTION("""COMPUTED_VALUE"""),44392.0)</f>
        <v>44392</v>
      </c>
      <c r="K2969">
        <f>IFERROR(__xludf.DUMMYFUNCTION("""COMPUTED_VALUE"""),50.0)</f>
        <v>50</v>
      </c>
      <c r="L2969">
        <f>IFERROR(__xludf.DUMMYFUNCTION("""COMPUTED_VALUE"""),3.0)</f>
        <v>3</v>
      </c>
      <c r="M2969">
        <f>IFERROR(__xludf.DUMMYFUNCTION("""COMPUTED_VALUE"""),53.0)</f>
        <v>53</v>
      </c>
      <c r="N2969" t="str">
        <f>IFERROR(__xludf.DUMMYFUNCTION("""COMPUTED_VALUE"""),"Model 3 SR+")</f>
        <v>Model 3 SR+</v>
      </c>
      <c r="O2969" t="str">
        <f>IFERROR(__xludf.DUMMYFUNCTION("""COMPUTED_VALUE"""),"Pearl White Multi-Coat")</f>
        <v>Pearl White Multi-Coat</v>
      </c>
      <c r="P2969" t="str">
        <f>IFERROR(__xludf.DUMMYFUNCTION("""COMPUTED_VALUE"""),"18 inch")</f>
        <v>18 inch</v>
      </c>
      <c r="Q2969" t="str">
        <f>IFERROR(__xludf.DUMMYFUNCTION("""COMPUTED_VALUE"""),"All Black")</f>
        <v>All Black</v>
      </c>
      <c r="R2969" t="str">
        <f>IFERROR(__xludf.DUMMYFUNCTION("""COMPUTED_VALUE"""),"Autopilot included")</f>
        <v>Autopilot included</v>
      </c>
      <c r="S2969" t="str">
        <f>IFERROR(__xludf.DUMMYFUNCTION("""COMPUTED_VALUE"""),"Loan")</f>
        <v>Loan</v>
      </c>
      <c r="T2969" t="str">
        <f>IFERROR(__xludf.DUMMYFUNCTION("""COMPUTED_VALUE"""),"Tesla Model Y Performance-")</f>
        <v>Tesla Model Y Performance-</v>
      </c>
      <c r="U2969" t="str">
        <f>IFERROR(__xludf.DUMMYFUNCTION("""COMPUTED_VALUE"""),"Electric!")</f>
        <v>Electric!</v>
      </c>
      <c r="V2969" t="str">
        <f>IFERROR(__xludf.DUMMYFUNCTION("""COMPUTED_VALUE"""),"360° Bird's eye view")</f>
        <v>360° Bird's eye view</v>
      </c>
      <c r="AH2969" s="189">
        <f>IFERROR(__xludf.DUMMYFUNCTION("""COMPUTED_VALUE"""),44391.481461539355)</f>
        <v>44391.48146</v>
      </c>
    </row>
    <row r="2970">
      <c r="A2970" t="str">
        <f>IFERROR(__xludf.DUMMYFUNCTION("""COMPUTED_VALUE"""),"meh012687")</f>
        <v>meh012687</v>
      </c>
      <c r="B2970" t="str">
        <f>IFERROR(__xludf.DUMMYFUNCTION("""COMPUTED_VALUE"""),"San Diego")</f>
        <v>San Diego</v>
      </c>
      <c r="C2970" t="str">
        <f>IFERROR(__xludf.DUMMYFUNCTION("""COMPUTED_VALUE"""),"CA")</f>
        <v>CA</v>
      </c>
      <c r="D2970" t="str">
        <f>IFERROR(__xludf.DUMMYFUNCTION("""COMPUTED_VALUE"""),"USA")</f>
        <v>USA</v>
      </c>
      <c r="E2970" s="188">
        <f>IFERROR(__xludf.DUMMYFUNCTION("""COMPUTED_VALUE"""),44333.0)</f>
        <v>44333</v>
      </c>
      <c r="F2970" s="188">
        <f>IFERROR(__xludf.DUMMYFUNCTION("""COMPUTED_VALUE"""),44374.0)</f>
        <v>44374</v>
      </c>
      <c r="G2970" t="str">
        <f>IFERROR(__xludf.DUMMYFUNCTION("""COMPUTED_VALUE"""),"Manage order page (normal text)")</f>
        <v>Manage order page (normal text)</v>
      </c>
      <c r="I2970" t="str">
        <f>IFERROR(__xludf.DUMMYFUNCTION("""COMPUTED_VALUE"""),"06/21")</f>
        <v>06/21</v>
      </c>
      <c r="J2970" s="188">
        <f>IFERROR(__xludf.DUMMYFUNCTION("""COMPUTED_VALUE"""),44376.0)</f>
        <v>44376</v>
      </c>
      <c r="K2970">
        <f>IFERROR(__xludf.DUMMYFUNCTION("""COMPUTED_VALUE"""),41.0)</f>
        <v>41</v>
      </c>
      <c r="L2970">
        <f>IFERROR(__xludf.DUMMYFUNCTION("""COMPUTED_VALUE"""),2.0)</f>
        <v>2</v>
      </c>
      <c r="M2970">
        <f>IFERROR(__xludf.DUMMYFUNCTION("""COMPUTED_VALUE"""),43.0)</f>
        <v>43</v>
      </c>
      <c r="N2970" t="str">
        <f>IFERROR(__xludf.DUMMYFUNCTION("""COMPUTED_VALUE"""),"Model 3 SR+")</f>
        <v>Model 3 SR+</v>
      </c>
      <c r="O2970" t="str">
        <f>IFERROR(__xludf.DUMMYFUNCTION("""COMPUTED_VALUE"""),"Midnight Silver Metallic")</f>
        <v>Midnight Silver Metallic</v>
      </c>
      <c r="P2970" t="str">
        <f>IFERROR(__xludf.DUMMYFUNCTION("""COMPUTED_VALUE"""),"18 inch")</f>
        <v>18 inch</v>
      </c>
      <c r="Q2970" t="str">
        <f>IFERROR(__xludf.DUMMYFUNCTION("""COMPUTED_VALUE"""),"All Black")</f>
        <v>All Black</v>
      </c>
      <c r="R2970" t="str">
        <f>IFERROR(__xludf.DUMMYFUNCTION("""COMPUTED_VALUE"""),"Autopilot included")</f>
        <v>Autopilot included</v>
      </c>
      <c r="S2970" t="str">
        <f>IFERROR(__xludf.DUMMYFUNCTION("""COMPUTED_VALUE"""),"Lease")</f>
        <v>Lease</v>
      </c>
      <c r="T2970" t="str">
        <f>IFERROR(__xludf.DUMMYFUNCTION("""COMPUTED_VALUE"""),"Nissan Altima")</f>
        <v>Nissan Altima</v>
      </c>
      <c r="U2970" t="str">
        <f>IFERROR(__xludf.DUMMYFUNCTION("""COMPUTED_VALUE"""),"Electric!")</f>
        <v>Electric!</v>
      </c>
      <c r="V2970" t="str">
        <f>IFERROR(__xludf.DUMMYFUNCTION("""COMPUTED_VALUE"""),"Apple CarPlay / Android Auto / SiriusXM Radio")</f>
        <v>Apple CarPlay / Android Auto / SiriusXM Radio</v>
      </c>
      <c r="X2970" t="str">
        <f>IFERROR(__xludf.DUMMYFUNCTION("""COMPUTED_VALUE"""),"Excellent")</f>
        <v>Excellent</v>
      </c>
      <c r="Y2970" t="str">
        <f>IFERROR(__xludf.DUMMYFUNCTION("""COMPUTED_VALUE"""),"Excellent")</f>
        <v>Excellent</v>
      </c>
      <c r="Z2970" t="str">
        <f>IFERROR(__xludf.DUMMYFUNCTION("""COMPUTED_VALUE"""),"Excellent")</f>
        <v>Excellent</v>
      </c>
      <c r="AA2970" t="str">
        <f>IFERROR(__xludf.DUMMYFUNCTION("""COMPUTED_VALUE"""),"Very Good")</f>
        <v>Very Good</v>
      </c>
      <c r="AB2970" t="str">
        <f>IFERROR(__xludf.DUMMYFUNCTION("""COMPUTED_VALUE"""),"Very Good")</f>
        <v>Very Good</v>
      </c>
      <c r="AC2970">
        <f>IFERROR(__xludf.DUMMYFUNCTION("""COMPUTED_VALUE"""),0.0)</f>
        <v>0</v>
      </c>
      <c r="AD2970">
        <f>IFERROR(__xludf.DUMMYFUNCTION("""COMPUTED_VALUE"""),0.0)</f>
        <v>0</v>
      </c>
      <c r="AF2970" t="str">
        <f>IFERROR(__xludf.DUMMYFUNCTION("""COMPUTED_VALUE"""),"No. I took delivery of the first car Tesla was able to deliver.")</f>
        <v>No. I took delivery of the first car Tesla was able to deliver.</v>
      </c>
      <c r="AH2970" s="189">
        <f>IFERROR(__xludf.DUMMYFUNCTION("""COMPUTED_VALUE"""),44383.65091701389)</f>
        <v>44383.65092</v>
      </c>
    </row>
    <row r="2971">
      <c r="A2971" t="str">
        <f>IFERROR(__xludf.DUMMYFUNCTION("""COMPUTED_VALUE"""),"BiggusDickus")</f>
        <v>BiggusDickus</v>
      </c>
      <c r="C2971" t="str">
        <f>IFERROR(__xludf.DUMMYFUNCTION("""COMPUTED_VALUE"""),"NJ")</f>
        <v>NJ</v>
      </c>
      <c r="D2971" t="str">
        <f>IFERROR(__xludf.DUMMYFUNCTION("""COMPUTED_VALUE"""),"USA")</f>
        <v>USA</v>
      </c>
      <c r="E2971" s="188">
        <f>IFERROR(__xludf.DUMMYFUNCTION("""COMPUTED_VALUE"""),44341.0)</f>
        <v>44341</v>
      </c>
      <c r="F2971" s="188">
        <f>IFERROR(__xludf.DUMMYFUNCTION("""COMPUTED_VALUE"""),44352.0)</f>
        <v>44352</v>
      </c>
      <c r="G2971" t="str">
        <f>IFERROR(__xludf.DUMMYFUNCTION("""COMPUTED_VALUE"""),"Email")</f>
        <v>Email</v>
      </c>
      <c r="H2971">
        <f>IFERROR(__xludf.DUMMYFUNCTION("""COMPUTED_VALUE"""),988101.0)</f>
        <v>988101</v>
      </c>
      <c r="I2971" t="str">
        <f>IFERROR(__xludf.DUMMYFUNCTION("""COMPUTED_VALUE"""),"05/21")</f>
        <v>05/21</v>
      </c>
      <c r="J2971" s="188">
        <f>IFERROR(__xludf.DUMMYFUNCTION("""COMPUTED_VALUE"""),44365.0)</f>
        <v>44365</v>
      </c>
      <c r="K2971">
        <f>IFERROR(__xludf.DUMMYFUNCTION("""COMPUTED_VALUE"""),11.0)</f>
        <v>11</v>
      </c>
      <c r="L2971">
        <f>IFERROR(__xludf.DUMMYFUNCTION("""COMPUTED_VALUE"""),13.0)</f>
        <v>13</v>
      </c>
      <c r="M2971">
        <f>IFERROR(__xludf.DUMMYFUNCTION("""COMPUTED_VALUE"""),24.0)</f>
        <v>24</v>
      </c>
      <c r="N2971" t="str">
        <f>IFERROR(__xludf.DUMMYFUNCTION("""COMPUTED_VALUE"""),"Model 3 LR AWD")</f>
        <v>Model 3 LR AWD</v>
      </c>
      <c r="O2971" t="str">
        <f>IFERROR(__xludf.DUMMYFUNCTION("""COMPUTED_VALUE"""),"Red Multi-Coat")</f>
        <v>Red Multi-Coat</v>
      </c>
      <c r="P2971" t="str">
        <f>IFERROR(__xludf.DUMMYFUNCTION("""COMPUTED_VALUE"""),"18 inch")</f>
        <v>18 inch</v>
      </c>
      <c r="Q2971" t="str">
        <f>IFERROR(__xludf.DUMMYFUNCTION("""COMPUTED_VALUE"""),"All Black")</f>
        <v>All Black</v>
      </c>
      <c r="R2971" t="str">
        <f>IFERROR(__xludf.DUMMYFUNCTION("""COMPUTED_VALUE"""),"Autopilot included")</f>
        <v>Autopilot included</v>
      </c>
      <c r="S2971" t="str">
        <f>IFERROR(__xludf.DUMMYFUNCTION("""COMPUTED_VALUE"""),"Loan")</f>
        <v>Loan</v>
      </c>
      <c r="T2971" t="str">
        <f>IFERROR(__xludf.DUMMYFUNCTION("""COMPUTED_VALUE"""),"VW GTI")</f>
        <v>VW GTI</v>
      </c>
      <c r="U2971" t="str">
        <f>IFERROR(__xludf.DUMMYFUNCTION("""COMPUTED_VALUE"""),"Autopilot")</f>
        <v>Autopilot</v>
      </c>
      <c r="V2971" t="str">
        <f>IFERROR(__xludf.DUMMYFUNCTION("""COMPUTED_VALUE"""),"Air suspension")</f>
        <v>Air suspension</v>
      </c>
      <c r="X2971" t="str">
        <f>IFERROR(__xludf.DUMMYFUNCTION("""COMPUTED_VALUE"""),"Excellent")</f>
        <v>Excellent</v>
      </c>
      <c r="Y2971" t="str">
        <f>IFERROR(__xludf.DUMMYFUNCTION("""COMPUTED_VALUE"""),"Very Good")</f>
        <v>Very Good</v>
      </c>
      <c r="Z2971" t="str">
        <f>IFERROR(__xludf.DUMMYFUNCTION("""COMPUTED_VALUE"""),"Excellent")</f>
        <v>Excellent</v>
      </c>
      <c r="AA2971" t="str">
        <f>IFERROR(__xludf.DUMMYFUNCTION("""COMPUTED_VALUE"""),"Good")</f>
        <v>Good</v>
      </c>
      <c r="AB2971" t="str">
        <f>IFERROR(__xludf.DUMMYFUNCTION("""COMPUTED_VALUE"""),"Excellent")</f>
        <v>Excellent</v>
      </c>
      <c r="AC2971">
        <f>IFERROR(__xludf.DUMMYFUNCTION("""COMPUTED_VALUE"""),0.0)</f>
        <v>0</v>
      </c>
      <c r="AD2971">
        <f>IFERROR(__xludf.DUMMYFUNCTION("""COMPUTED_VALUE"""),0.0)</f>
        <v>0</v>
      </c>
      <c r="AE2971">
        <f>IFERROR(__xludf.DUMMYFUNCTION("""COMPUTED_VALUE"""),0.0)</f>
        <v>0</v>
      </c>
      <c r="AF2971" t="str">
        <f>IFERROR(__xludf.DUMMYFUNCTION("""COMPUTED_VALUE"""),"No. I took delivery of the first car Tesla was able to deliver.")</f>
        <v>No. I took delivery of the first car Tesla was able to deliver.</v>
      </c>
      <c r="AH2971" s="189">
        <f>IFERROR(__xludf.DUMMYFUNCTION("""COMPUTED_VALUE"""),44390.305571481484)</f>
        <v>44390.30557</v>
      </c>
    </row>
    <row r="2972">
      <c r="A2972" t="str">
        <f>IFERROR(__xludf.DUMMYFUNCTION("""COMPUTED_VALUE"""),"Jon")</f>
        <v>Jon</v>
      </c>
      <c r="B2972" t="str">
        <f>IFERROR(__xludf.DUMMYFUNCTION("""COMPUTED_VALUE"""),"Santa Clarita")</f>
        <v>Santa Clarita</v>
      </c>
      <c r="C2972" t="str">
        <f>IFERROR(__xludf.DUMMYFUNCTION("""COMPUTED_VALUE"""),"CA")</f>
        <v>CA</v>
      </c>
      <c r="D2972" t="str">
        <f>IFERROR(__xludf.DUMMYFUNCTION("""COMPUTED_VALUE"""),"USA")</f>
        <v>USA</v>
      </c>
      <c r="E2972" s="188">
        <f>IFERROR(__xludf.DUMMYFUNCTION("""COMPUTED_VALUE"""),44332.0)</f>
        <v>44332</v>
      </c>
      <c r="F2972" s="188">
        <f>IFERROR(__xludf.DUMMYFUNCTION("""COMPUTED_VALUE"""),44372.0)</f>
        <v>44372</v>
      </c>
      <c r="G2972" t="str">
        <f>IFERROR(__xludf.DUMMYFUNCTION("""COMPUTED_VALUE"""),"Manage order page (normal text)")</f>
        <v>Manage order page (normal text)</v>
      </c>
      <c r="H2972">
        <f>IFERROR(__xludf.DUMMYFUNCTION("""COMPUTED_VALUE"""),2555.0)</f>
        <v>2555</v>
      </c>
      <c r="J2972" s="188">
        <f>IFERROR(__xludf.DUMMYFUNCTION("""COMPUTED_VALUE"""),44374.0)</f>
        <v>44374</v>
      </c>
      <c r="K2972">
        <f>IFERROR(__xludf.DUMMYFUNCTION("""COMPUTED_VALUE"""),40.0)</f>
        <v>40</v>
      </c>
      <c r="L2972">
        <f>IFERROR(__xludf.DUMMYFUNCTION("""COMPUTED_VALUE"""),2.0)</f>
        <v>2</v>
      </c>
      <c r="M2972">
        <f>IFERROR(__xludf.DUMMYFUNCTION("""COMPUTED_VALUE"""),42.0)</f>
        <v>42</v>
      </c>
      <c r="N2972" t="str">
        <f>IFERROR(__xludf.DUMMYFUNCTION("""COMPUTED_VALUE"""),"Model 3 LR AWD")</f>
        <v>Model 3 LR AWD</v>
      </c>
      <c r="O2972" t="str">
        <f>IFERROR(__xludf.DUMMYFUNCTION("""COMPUTED_VALUE"""),"Pearl White Multi-Coat")</f>
        <v>Pearl White Multi-Coat</v>
      </c>
      <c r="P2972" t="str">
        <f>IFERROR(__xludf.DUMMYFUNCTION("""COMPUTED_VALUE"""),"19 inch")</f>
        <v>19 inch</v>
      </c>
      <c r="Q2972" t="str">
        <f>IFERROR(__xludf.DUMMYFUNCTION("""COMPUTED_VALUE"""),"All Black")</f>
        <v>All Black</v>
      </c>
      <c r="R2972" t="str">
        <f>IFERROR(__xludf.DUMMYFUNCTION("""COMPUTED_VALUE"""),"Autopilot included")</f>
        <v>Autopilot included</v>
      </c>
      <c r="S2972" t="str">
        <f>IFERROR(__xludf.DUMMYFUNCTION("""COMPUTED_VALUE"""),"Loan")</f>
        <v>Loan</v>
      </c>
      <c r="T2972" t="str">
        <f>IFERROR(__xludf.DUMMYFUNCTION("""COMPUTED_VALUE"""),"Audi A4")</f>
        <v>Audi A4</v>
      </c>
      <c r="U2972" t="str">
        <f>IFERROR(__xludf.DUMMYFUNCTION("""COMPUTED_VALUE"""),"Electric!")</f>
        <v>Electric!</v>
      </c>
      <c r="V2972" t="str">
        <f>IFERROR(__xludf.DUMMYFUNCTION("""COMPUTED_VALUE"""),"HomeLink")</f>
        <v>HomeLink</v>
      </c>
      <c r="X2972" t="str">
        <f>IFERROR(__xludf.DUMMYFUNCTION("""COMPUTED_VALUE"""),"Excellent")</f>
        <v>Excellent</v>
      </c>
      <c r="Y2972" t="str">
        <f>IFERROR(__xludf.DUMMYFUNCTION("""COMPUTED_VALUE"""),"Excellent")</f>
        <v>Excellent</v>
      </c>
      <c r="Z2972" t="str">
        <f>IFERROR(__xludf.DUMMYFUNCTION("""COMPUTED_VALUE"""),"Excellent")</f>
        <v>Excellent</v>
      </c>
      <c r="AA2972" t="str">
        <f>IFERROR(__xludf.DUMMYFUNCTION("""COMPUTED_VALUE"""),"Excellent")</f>
        <v>Excellent</v>
      </c>
      <c r="AB2972" t="str">
        <f>IFERROR(__xludf.DUMMYFUNCTION("""COMPUTED_VALUE"""),"Fair")</f>
        <v>Fair</v>
      </c>
      <c r="AC2972">
        <f>IFERROR(__xludf.DUMMYFUNCTION("""COMPUTED_VALUE"""),2.0)</f>
        <v>2</v>
      </c>
      <c r="AF2972" t="str">
        <f>IFERROR(__xludf.DUMMYFUNCTION("""COMPUTED_VALUE"""),"No. I took delivery of the first car Tesla was able to deliver.")</f>
        <v>No. I took delivery of the first car Tesla was able to deliver.</v>
      </c>
      <c r="AH2972" s="189">
        <f>IFERROR(__xludf.DUMMYFUNCTION("""COMPUTED_VALUE"""),44377.10507288194)</f>
        <v>44377.10507</v>
      </c>
    </row>
    <row r="2973">
      <c r="A2973" t="str">
        <f>IFERROR(__xludf.DUMMYFUNCTION("""COMPUTED_VALUE"""),"roywo")</f>
        <v>roywo</v>
      </c>
      <c r="B2973" t="str">
        <f>IFERROR(__xludf.DUMMYFUNCTION("""COMPUTED_VALUE"""),"Redmond")</f>
        <v>Redmond</v>
      </c>
      <c r="C2973" t="str">
        <f>IFERROR(__xludf.DUMMYFUNCTION("""COMPUTED_VALUE"""),"WA")</f>
        <v>WA</v>
      </c>
      <c r="D2973" t="str">
        <f>IFERROR(__xludf.DUMMYFUNCTION("""COMPUTED_VALUE"""),"USA")</f>
        <v>USA</v>
      </c>
      <c r="E2973" s="188">
        <f>IFERROR(__xludf.DUMMYFUNCTION("""COMPUTED_VALUE"""),44287.0)</f>
        <v>44287</v>
      </c>
      <c r="F2973" s="188">
        <f>IFERROR(__xludf.DUMMYFUNCTION("""COMPUTED_VALUE"""),44342.0)</f>
        <v>44342</v>
      </c>
      <c r="G2973" t="str">
        <f>IFERROR(__xludf.DUMMYFUNCTION("""COMPUTED_VALUE"""),"Manage order page (normal text)")</f>
        <v>Manage order page (normal text)</v>
      </c>
      <c r="I2973" t="str">
        <f>IFERROR(__xludf.DUMMYFUNCTION("""COMPUTED_VALUE"""),"05/21")</f>
        <v>05/21</v>
      </c>
      <c r="J2973" s="188">
        <f>IFERROR(__xludf.DUMMYFUNCTION("""COMPUTED_VALUE"""),44349.0)</f>
        <v>44349</v>
      </c>
      <c r="K2973">
        <f>IFERROR(__xludf.DUMMYFUNCTION("""COMPUTED_VALUE"""),55.0)</f>
        <v>55</v>
      </c>
      <c r="L2973">
        <f>IFERROR(__xludf.DUMMYFUNCTION("""COMPUTED_VALUE"""),7.0)</f>
        <v>7</v>
      </c>
      <c r="M2973">
        <f>IFERROR(__xludf.DUMMYFUNCTION("""COMPUTED_VALUE"""),62.0)</f>
        <v>62</v>
      </c>
      <c r="N2973" t="str">
        <f>IFERROR(__xludf.DUMMYFUNCTION("""COMPUTED_VALUE"""),"Model 3 LR AWD")</f>
        <v>Model 3 LR AWD</v>
      </c>
      <c r="O2973" t="str">
        <f>IFERROR(__xludf.DUMMYFUNCTION("""COMPUTED_VALUE"""),"Deep Blue Metallic")</f>
        <v>Deep Blue Metallic</v>
      </c>
      <c r="P2973" t="str">
        <f>IFERROR(__xludf.DUMMYFUNCTION("""COMPUTED_VALUE"""),"18 inch")</f>
        <v>18 inch</v>
      </c>
      <c r="Q2973" t="str">
        <f>IFERROR(__xludf.DUMMYFUNCTION("""COMPUTED_VALUE"""),"All Black")</f>
        <v>All Black</v>
      </c>
      <c r="R2973" t="str">
        <f>IFERROR(__xludf.DUMMYFUNCTION("""COMPUTED_VALUE"""),"Autopilot included")</f>
        <v>Autopilot included</v>
      </c>
      <c r="S2973" t="str">
        <f>IFERROR(__xludf.DUMMYFUNCTION("""COMPUTED_VALUE"""),"Loan")</f>
        <v>Loan</v>
      </c>
      <c r="U2973" t="str">
        <f>IFERROR(__xludf.DUMMYFUNCTION("""COMPUTED_VALUE"""),"Electric!")</f>
        <v>Electric!</v>
      </c>
      <c r="V2973" t="str">
        <f>IFERROR(__xludf.DUMMYFUNCTION("""COMPUTED_VALUE"""),"Head-up display")</f>
        <v>Head-up display</v>
      </c>
      <c r="X2973" t="str">
        <f>IFERROR(__xludf.DUMMYFUNCTION("""COMPUTED_VALUE"""),"Excellent")</f>
        <v>Excellent</v>
      </c>
      <c r="Y2973" t="str">
        <f>IFERROR(__xludf.DUMMYFUNCTION("""COMPUTED_VALUE"""),"Excellent")</f>
        <v>Excellent</v>
      </c>
      <c r="Z2973" t="str">
        <f>IFERROR(__xludf.DUMMYFUNCTION("""COMPUTED_VALUE"""),"Excellent")</f>
        <v>Excellent</v>
      </c>
      <c r="AA2973" t="str">
        <f>IFERROR(__xludf.DUMMYFUNCTION("""COMPUTED_VALUE"""),"Poor")</f>
        <v>Poor</v>
      </c>
      <c r="AB2973" t="str">
        <f>IFERROR(__xludf.DUMMYFUNCTION("""COMPUTED_VALUE"""),"Excellent")</f>
        <v>Excellent</v>
      </c>
      <c r="AC2973">
        <f>IFERROR(__xludf.DUMMYFUNCTION("""COMPUTED_VALUE"""),0.0)</f>
        <v>0</v>
      </c>
      <c r="AD2973">
        <f>IFERROR(__xludf.DUMMYFUNCTION("""COMPUTED_VALUE"""),0.0)</f>
        <v>0</v>
      </c>
      <c r="AE2973">
        <f>IFERROR(__xludf.DUMMYFUNCTION("""COMPUTED_VALUE"""),0.0)</f>
        <v>0</v>
      </c>
      <c r="AF2973" t="str">
        <f>IFERROR(__xludf.DUMMYFUNCTION("""COMPUTED_VALUE"""),"No. I took delivery of the first car Tesla was able to deliver.")</f>
        <v>No. I took delivery of the first car Tesla was able to deliver.</v>
      </c>
      <c r="AH2973" s="189">
        <f>IFERROR(__xludf.DUMMYFUNCTION("""COMPUTED_VALUE"""),44349.72407159722)</f>
        <v>44349.72407</v>
      </c>
    </row>
    <row r="2974">
      <c r="A2974" t="str">
        <f>IFERROR(__xludf.DUMMYFUNCTION("""COMPUTED_VALUE"""),"JeffM3P")</f>
        <v>JeffM3P</v>
      </c>
      <c r="B2974" t="str">
        <f>IFERROR(__xludf.DUMMYFUNCTION("""COMPUTED_VALUE"""),"Milton")</f>
        <v>Milton</v>
      </c>
      <c r="C2974" t="str">
        <f>IFERROR(__xludf.DUMMYFUNCTION("""COMPUTED_VALUE"""),"ON")</f>
        <v>ON</v>
      </c>
      <c r="D2974" t="str">
        <f>IFERROR(__xludf.DUMMYFUNCTION("""COMPUTED_VALUE"""),"Canada")</f>
        <v>Canada</v>
      </c>
      <c r="E2974" s="188">
        <f>IFERROR(__xludf.DUMMYFUNCTION("""COMPUTED_VALUE"""),44270.0)</f>
        <v>44270</v>
      </c>
      <c r="F2974" s="188">
        <f>IFERROR(__xludf.DUMMYFUNCTION("""COMPUTED_VALUE"""),44347.0)</f>
        <v>44347</v>
      </c>
      <c r="G2974" t="str">
        <f>IFERROR(__xludf.DUMMYFUNCTION("""COMPUTED_VALUE"""),"Manage order page (normal text)")</f>
        <v>Manage order page (normal text)</v>
      </c>
      <c r="H2974">
        <f>IFERROR(__xludf.DUMMYFUNCTION("""COMPUTED_VALUE"""),975976.0)</f>
        <v>975976</v>
      </c>
      <c r="I2974" t="str">
        <f>IFERROR(__xludf.DUMMYFUNCTION("""COMPUTED_VALUE"""),"05/21")</f>
        <v>05/21</v>
      </c>
      <c r="J2974" s="188">
        <f>IFERROR(__xludf.DUMMYFUNCTION("""COMPUTED_VALUE"""),44354.0)</f>
        <v>44354</v>
      </c>
      <c r="K2974">
        <f>IFERROR(__xludf.DUMMYFUNCTION("""COMPUTED_VALUE"""),77.0)</f>
        <v>77</v>
      </c>
      <c r="L2974">
        <f>IFERROR(__xludf.DUMMYFUNCTION("""COMPUTED_VALUE"""),7.0)</f>
        <v>7</v>
      </c>
      <c r="M2974">
        <f>IFERROR(__xludf.DUMMYFUNCTION("""COMPUTED_VALUE"""),84.0)</f>
        <v>84</v>
      </c>
      <c r="N2974" t="str">
        <f>IFERROR(__xludf.DUMMYFUNCTION("""COMPUTED_VALUE"""),"Model 3 Performance")</f>
        <v>Model 3 Performance</v>
      </c>
      <c r="O2974" t="str">
        <f>IFERROR(__xludf.DUMMYFUNCTION("""COMPUTED_VALUE"""),"Pearl White Multi-Coat")</f>
        <v>Pearl White Multi-Coat</v>
      </c>
      <c r="P2974" t="str">
        <f>IFERROR(__xludf.DUMMYFUNCTION("""COMPUTED_VALUE"""),"20 inch")</f>
        <v>20 inch</v>
      </c>
      <c r="Q2974" t="str">
        <f>IFERROR(__xludf.DUMMYFUNCTION("""COMPUTED_VALUE"""),"All Black")</f>
        <v>All Black</v>
      </c>
      <c r="R2974" t="str">
        <f>IFERROR(__xludf.DUMMYFUNCTION("""COMPUTED_VALUE"""),"Autopilot included")</f>
        <v>Autopilot included</v>
      </c>
      <c r="X2974" t="str">
        <f>IFERROR(__xludf.DUMMYFUNCTION("""COMPUTED_VALUE"""),"Very Good")</f>
        <v>Very Good</v>
      </c>
      <c r="Y2974" t="str">
        <f>IFERROR(__xludf.DUMMYFUNCTION("""COMPUTED_VALUE"""),"Excellent")</f>
        <v>Excellent</v>
      </c>
      <c r="Z2974" t="str">
        <f>IFERROR(__xludf.DUMMYFUNCTION("""COMPUTED_VALUE"""),"Excellent")</f>
        <v>Excellent</v>
      </c>
      <c r="AA2974" t="str">
        <f>IFERROR(__xludf.DUMMYFUNCTION("""COMPUTED_VALUE"""),"Poor")</f>
        <v>Poor</v>
      </c>
      <c r="AB2974" t="str">
        <f>IFERROR(__xludf.DUMMYFUNCTION("""COMPUTED_VALUE"""),"Good")</f>
        <v>Good</v>
      </c>
      <c r="AC2974">
        <f>IFERROR(__xludf.DUMMYFUNCTION("""COMPUTED_VALUE"""),2.0)</f>
        <v>2</v>
      </c>
      <c r="AD2974">
        <f>IFERROR(__xludf.DUMMYFUNCTION("""COMPUTED_VALUE"""),1.0)</f>
        <v>1</v>
      </c>
      <c r="AF2974" t="str">
        <f>IFERROR(__xludf.DUMMYFUNCTION("""COMPUTED_VALUE"""),"No. I took delivery of the first car Tesla was able to deliver.")</f>
        <v>No. I took delivery of the first car Tesla was able to deliver.</v>
      </c>
      <c r="AH2974" s="189">
        <f>IFERROR(__xludf.DUMMYFUNCTION("""COMPUTED_VALUE"""),44362.79459203704)</f>
        <v>44362.79459</v>
      </c>
    </row>
    <row r="2975">
      <c r="A2975" t="str">
        <f>IFERROR(__xludf.DUMMYFUNCTION("""COMPUTED_VALUE"""),"marcham")</f>
        <v>marcham</v>
      </c>
      <c r="B2975" t="str">
        <f>IFERROR(__xludf.DUMMYFUNCTION("""COMPUTED_VALUE"""),"Vancouver")</f>
        <v>Vancouver</v>
      </c>
      <c r="C2975" t="str">
        <f>IFERROR(__xludf.DUMMYFUNCTION("""COMPUTED_VALUE"""),"BC")</f>
        <v>BC</v>
      </c>
      <c r="D2975" t="str">
        <f>IFERROR(__xludf.DUMMYFUNCTION("""COMPUTED_VALUE"""),"Canada")</f>
        <v>Canada</v>
      </c>
      <c r="E2975" s="188">
        <f>IFERROR(__xludf.DUMMYFUNCTION("""COMPUTED_VALUE"""),44346.0)</f>
        <v>44346</v>
      </c>
      <c r="F2975" s="188">
        <f>IFERROR(__xludf.DUMMYFUNCTION("""COMPUTED_VALUE"""),44362.0)</f>
        <v>44362</v>
      </c>
      <c r="G2975" t="str">
        <f>IFERROR(__xludf.DUMMYFUNCTION("""COMPUTED_VALUE"""),"Manage order page (normal text)")</f>
        <v>Manage order page (normal text)</v>
      </c>
      <c r="H2975">
        <f>IFERROR(__xludf.DUMMYFUNCTION("""COMPUTED_VALUE"""),984455.0)</f>
        <v>984455</v>
      </c>
      <c r="J2975" s="188">
        <f>IFERROR(__xludf.DUMMYFUNCTION("""COMPUTED_VALUE"""),44366.0)</f>
        <v>44366</v>
      </c>
      <c r="K2975">
        <f>IFERROR(__xludf.DUMMYFUNCTION("""COMPUTED_VALUE"""),16.0)</f>
        <v>16</v>
      </c>
      <c r="L2975">
        <f>IFERROR(__xludf.DUMMYFUNCTION("""COMPUTED_VALUE"""),4.0)</f>
        <v>4</v>
      </c>
      <c r="M2975">
        <f>IFERROR(__xludf.DUMMYFUNCTION("""COMPUTED_VALUE"""),20.0)</f>
        <v>20</v>
      </c>
      <c r="N2975" t="str">
        <f>IFERROR(__xludf.DUMMYFUNCTION("""COMPUTED_VALUE"""),"Model 3 SR+")</f>
        <v>Model 3 SR+</v>
      </c>
      <c r="O2975" t="str">
        <f>IFERROR(__xludf.DUMMYFUNCTION("""COMPUTED_VALUE"""),"Deep Blue Metallic")</f>
        <v>Deep Blue Metallic</v>
      </c>
      <c r="P2975" t="str">
        <f>IFERROR(__xludf.DUMMYFUNCTION("""COMPUTED_VALUE"""),"18 inch")</f>
        <v>18 inch</v>
      </c>
      <c r="Q2975" t="str">
        <f>IFERROR(__xludf.DUMMYFUNCTION("""COMPUTED_VALUE"""),"All Black")</f>
        <v>All Black</v>
      </c>
      <c r="R2975" t="str">
        <f>IFERROR(__xludf.DUMMYFUNCTION("""COMPUTED_VALUE"""),"Autopilot included")</f>
        <v>Autopilot included</v>
      </c>
      <c r="S2975" t="str">
        <f>IFERROR(__xludf.DUMMYFUNCTION("""COMPUTED_VALUE"""),"Loan")</f>
        <v>Loan</v>
      </c>
      <c r="T2975" t="str">
        <f>IFERROR(__xludf.DUMMYFUNCTION("""COMPUTED_VALUE"""),"Ford Edge")</f>
        <v>Ford Edge</v>
      </c>
      <c r="U2975" t="str">
        <f>IFERROR(__xludf.DUMMYFUNCTION("""COMPUTED_VALUE"""),"Supercharger V3 support")</f>
        <v>Supercharger V3 support</v>
      </c>
      <c r="V2975" t="str">
        <f>IFERROR(__xludf.DUMMYFUNCTION("""COMPUTED_VALUE"""),"CCS1 adapter")</f>
        <v>CCS1 adapter</v>
      </c>
      <c r="X2975" t="str">
        <f>IFERROR(__xludf.DUMMYFUNCTION("""COMPUTED_VALUE"""),"Excellent")</f>
        <v>Excellent</v>
      </c>
      <c r="Y2975" t="str">
        <f>IFERROR(__xludf.DUMMYFUNCTION("""COMPUTED_VALUE"""),"Excellent")</f>
        <v>Excellent</v>
      </c>
      <c r="Z2975" t="str">
        <f>IFERROR(__xludf.DUMMYFUNCTION("""COMPUTED_VALUE"""),"Excellent")</f>
        <v>Excellent</v>
      </c>
      <c r="AA2975" t="str">
        <f>IFERROR(__xludf.DUMMYFUNCTION("""COMPUTED_VALUE"""),"Very Good")</f>
        <v>Very Good</v>
      </c>
      <c r="AB2975" t="str">
        <f>IFERROR(__xludf.DUMMYFUNCTION("""COMPUTED_VALUE"""),"Poor")</f>
        <v>Poor</v>
      </c>
      <c r="AF2975" t="str">
        <f>IFERROR(__xludf.DUMMYFUNCTION("""COMPUTED_VALUE"""),"No. I took delivery of the first car Tesla was able to deliver.")</f>
        <v>No. I took delivery of the first car Tesla was able to deliver.</v>
      </c>
      <c r="AH2975" s="189">
        <f>IFERROR(__xludf.DUMMYFUNCTION("""COMPUTED_VALUE"""),44366.75382755787)</f>
        <v>44366.75383</v>
      </c>
    </row>
    <row r="2976">
      <c r="A2976" t="str">
        <f>IFERROR(__xludf.DUMMYFUNCTION("""COMPUTED_VALUE"""),"akminnesota")</f>
        <v>akminnesota</v>
      </c>
      <c r="B2976" t="str">
        <f>IFERROR(__xludf.DUMMYFUNCTION("""COMPUTED_VALUE"""),"Minneapolis")</f>
        <v>Minneapolis</v>
      </c>
      <c r="C2976" t="str">
        <f>IFERROR(__xludf.DUMMYFUNCTION("""COMPUTED_VALUE"""),"MN")</f>
        <v>MN</v>
      </c>
      <c r="D2976" t="str">
        <f>IFERROR(__xludf.DUMMYFUNCTION("""COMPUTED_VALUE"""),"USA")</f>
        <v>USA</v>
      </c>
      <c r="E2976" s="188">
        <f>IFERROR(__xludf.DUMMYFUNCTION("""COMPUTED_VALUE"""),44330.0)</f>
        <v>44330</v>
      </c>
      <c r="F2976" s="188">
        <f>IFERROR(__xludf.DUMMYFUNCTION("""COMPUTED_VALUE"""),44354.0)</f>
        <v>44354</v>
      </c>
      <c r="G2976" t="str">
        <f>IFERROR(__xludf.DUMMYFUNCTION("""COMPUTED_VALUE"""),"Manage order page (normal text)")</f>
        <v>Manage order page (normal text)</v>
      </c>
      <c r="H2976">
        <f>IFERROR(__xludf.DUMMYFUNCTION("""COMPUTED_VALUE"""),990855.0)</f>
        <v>990855</v>
      </c>
      <c r="I2976" t="str">
        <f>IFERROR(__xludf.DUMMYFUNCTION("""COMPUTED_VALUE"""),"06/21")</f>
        <v>06/21</v>
      </c>
      <c r="J2976" s="188">
        <f>IFERROR(__xludf.DUMMYFUNCTION("""COMPUTED_VALUE"""),44369.0)</f>
        <v>44369</v>
      </c>
      <c r="K2976">
        <f>IFERROR(__xludf.DUMMYFUNCTION("""COMPUTED_VALUE"""),24.0)</f>
        <v>24</v>
      </c>
      <c r="L2976">
        <f>IFERROR(__xludf.DUMMYFUNCTION("""COMPUTED_VALUE"""),15.0)</f>
        <v>15</v>
      </c>
      <c r="M2976">
        <f>IFERROR(__xludf.DUMMYFUNCTION("""COMPUTED_VALUE"""),39.0)</f>
        <v>39</v>
      </c>
      <c r="N2976" t="str">
        <f>IFERROR(__xludf.DUMMYFUNCTION("""COMPUTED_VALUE"""),"Model 3 Performance")</f>
        <v>Model 3 Performance</v>
      </c>
      <c r="O2976" t="str">
        <f>IFERROR(__xludf.DUMMYFUNCTION("""COMPUTED_VALUE"""),"Solid Black")</f>
        <v>Solid Black</v>
      </c>
      <c r="P2976" t="str">
        <f>IFERROR(__xludf.DUMMYFUNCTION("""COMPUTED_VALUE"""),"20 inch")</f>
        <v>20 inch</v>
      </c>
      <c r="Q2976" t="str">
        <f>IFERROR(__xludf.DUMMYFUNCTION("""COMPUTED_VALUE"""),"All Black")</f>
        <v>All Black</v>
      </c>
      <c r="R2976" t="str">
        <f>IFERROR(__xludf.DUMMYFUNCTION("""COMPUTED_VALUE"""),"Full Self-Driving")</f>
        <v>Full Self-Driving</v>
      </c>
      <c r="S2976" t="str">
        <f>IFERROR(__xludf.DUMMYFUNCTION("""COMPUTED_VALUE"""),"Loan")</f>
        <v>Loan</v>
      </c>
      <c r="T2976" t="str">
        <f>IFERROR(__xludf.DUMMYFUNCTION("""COMPUTED_VALUE"""),"Mazda3")</f>
        <v>Mazda3</v>
      </c>
      <c r="U2976" t="str">
        <f>IFERROR(__xludf.DUMMYFUNCTION("""COMPUTED_VALUE"""),"Electric!")</f>
        <v>Electric!</v>
      </c>
      <c r="V2976" t="str">
        <f>IFERROR(__xludf.DUMMYFUNCTION("""COMPUTED_VALUE"""),"Head-up display")</f>
        <v>Head-up display</v>
      </c>
      <c r="X2976" t="str">
        <f>IFERROR(__xludf.DUMMYFUNCTION("""COMPUTED_VALUE"""),"Very Good")</f>
        <v>Very Good</v>
      </c>
      <c r="Y2976" t="str">
        <f>IFERROR(__xludf.DUMMYFUNCTION("""COMPUTED_VALUE"""),"Excellent")</f>
        <v>Excellent</v>
      </c>
      <c r="Z2976" t="str">
        <f>IFERROR(__xludf.DUMMYFUNCTION("""COMPUTED_VALUE"""),"Very Good")</f>
        <v>Very Good</v>
      </c>
      <c r="AA2976" t="str">
        <f>IFERROR(__xludf.DUMMYFUNCTION("""COMPUTED_VALUE"""),"Very Good")</f>
        <v>Very Good</v>
      </c>
      <c r="AB2976" t="str">
        <f>IFERROR(__xludf.DUMMYFUNCTION("""COMPUTED_VALUE"""),"Very Good")</f>
        <v>Very Good</v>
      </c>
      <c r="AF2976" t="str">
        <f>IFERROR(__xludf.DUMMYFUNCTION("""COMPUTED_VALUE"""),"No. I took delivery of the first car Tesla was able to deliver.")</f>
        <v>No. I took delivery of the first car Tesla was able to deliver.</v>
      </c>
      <c r="AH2976" s="189">
        <f>IFERROR(__xludf.DUMMYFUNCTION("""COMPUTED_VALUE"""),44370.34757113426)</f>
        <v>44370.34757</v>
      </c>
    </row>
    <row r="2977">
      <c r="A2977" t="str">
        <f>IFERROR(__xludf.DUMMYFUNCTION("""COMPUTED_VALUE"""),"Wood1030")</f>
        <v>Wood1030</v>
      </c>
      <c r="B2977" t="str">
        <f>IFERROR(__xludf.DUMMYFUNCTION("""COMPUTED_VALUE"""),"South Bay, LA, Ca")</f>
        <v>South Bay, LA, Ca</v>
      </c>
      <c r="C2977" t="str">
        <f>IFERROR(__xludf.DUMMYFUNCTION("""COMPUTED_VALUE"""),"CA")</f>
        <v>CA</v>
      </c>
      <c r="D2977" t="str">
        <f>IFERROR(__xludf.DUMMYFUNCTION("""COMPUTED_VALUE"""),"USA")</f>
        <v>USA</v>
      </c>
      <c r="E2977" s="188">
        <f>IFERROR(__xludf.DUMMYFUNCTION("""COMPUTED_VALUE"""),44337.0)</f>
        <v>44337</v>
      </c>
      <c r="F2977" s="188">
        <f>IFERROR(__xludf.DUMMYFUNCTION("""COMPUTED_VALUE"""),44371.0)</f>
        <v>44371</v>
      </c>
      <c r="G2977" t="str">
        <f>IFERROR(__xludf.DUMMYFUNCTION("""COMPUTED_VALUE"""),"Manage order page (normal text)")</f>
        <v>Manage order page (normal text)</v>
      </c>
      <c r="H2977">
        <f>IFERROR(__xludf.DUMMYFUNCTION("""COMPUTED_VALUE"""),5155.0)</f>
        <v>5155</v>
      </c>
      <c r="I2977" t="str">
        <f>IFERROR(__xludf.DUMMYFUNCTION("""COMPUTED_VALUE"""),"06/21")</f>
        <v>06/21</v>
      </c>
      <c r="J2977" s="188">
        <f>IFERROR(__xludf.DUMMYFUNCTION("""COMPUTED_VALUE"""),44373.0)</f>
        <v>44373</v>
      </c>
      <c r="K2977">
        <f>IFERROR(__xludf.DUMMYFUNCTION("""COMPUTED_VALUE"""),34.0)</f>
        <v>34</v>
      </c>
      <c r="L2977">
        <f>IFERROR(__xludf.DUMMYFUNCTION("""COMPUTED_VALUE"""),2.0)</f>
        <v>2</v>
      </c>
      <c r="M2977">
        <f>IFERROR(__xludf.DUMMYFUNCTION("""COMPUTED_VALUE"""),36.0)</f>
        <v>36</v>
      </c>
      <c r="N2977" t="str">
        <f>IFERROR(__xludf.DUMMYFUNCTION("""COMPUTED_VALUE"""),"Model 3 Performance")</f>
        <v>Model 3 Performance</v>
      </c>
      <c r="O2977" t="str">
        <f>IFERROR(__xludf.DUMMYFUNCTION("""COMPUTED_VALUE"""),"Midnight Silver Metallic")</f>
        <v>Midnight Silver Metallic</v>
      </c>
      <c r="P2977" t="str">
        <f>IFERROR(__xludf.DUMMYFUNCTION("""COMPUTED_VALUE"""),"20 inch")</f>
        <v>20 inch</v>
      </c>
      <c r="Q2977" t="str">
        <f>IFERROR(__xludf.DUMMYFUNCTION("""COMPUTED_VALUE"""),"All Black")</f>
        <v>All Black</v>
      </c>
      <c r="R2977" t="str">
        <f>IFERROR(__xludf.DUMMYFUNCTION("""COMPUTED_VALUE"""),"Autopilot included")</f>
        <v>Autopilot included</v>
      </c>
      <c r="S2977" t="str">
        <f>IFERROR(__xludf.DUMMYFUNCTION("""COMPUTED_VALUE"""),"Cash")</f>
        <v>Cash</v>
      </c>
      <c r="T2977" t="str">
        <f>IFERROR(__xludf.DUMMYFUNCTION("""COMPUTED_VALUE"""),"Mercedes Benz")</f>
        <v>Mercedes Benz</v>
      </c>
      <c r="U2977" t="str">
        <f>IFERROR(__xludf.DUMMYFUNCTION("""COMPUTED_VALUE"""),"Electric!")</f>
        <v>Electric!</v>
      </c>
      <c r="V2977" t="str">
        <f>IFERROR(__xludf.DUMMYFUNCTION("""COMPUTED_VALUE"""),"Head-up display")</f>
        <v>Head-up display</v>
      </c>
      <c r="W2977" t="str">
        <f>IFERROR(__xludf.DUMMYFUNCTION("""COMPUTED_VALUE"""),"Patience")</f>
        <v>Patience</v>
      </c>
      <c r="X2977" t="str">
        <f>IFERROR(__xludf.DUMMYFUNCTION("""COMPUTED_VALUE"""),"Excellent")</f>
        <v>Excellent</v>
      </c>
      <c r="Y2977" t="str">
        <f>IFERROR(__xludf.DUMMYFUNCTION("""COMPUTED_VALUE"""),"Excellent")</f>
        <v>Excellent</v>
      </c>
      <c r="Z2977" t="str">
        <f>IFERROR(__xludf.DUMMYFUNCTION("""COMPUTED_VALUE"""),"Excellent")</f>
        <v>Excellent</v>
      </c>
      <c r="AA2977" t="str">
        <f>IFERROR(__xludf.DUMMYFUNCTION("""COMPUTED_VALUE"""),"Poor")</f>
        <v>Poor</v>
      </c>
      <c r="AB2977" t="str">
        <f>IFERROR(__xludf.DUMMYFUNCTION("""COMPUTED_VALUE"""),"Very Good")</f>
        <v>Very Good</v>
      </c>
      <c r="AC2977">
        <f>IFERROR(__xludf.DUMMYFUNCTION("""COMPUTED_VALUE"""),0.0)</f>
        <v>0</v>
      </c>
      <c r="AD2977">
        <f>IFERROR(__xludf.DUMMYFUNCTION("""COMPUTED_VALUE"""),0.0)</f>
        <v>0</v>
      </c>
      <c r="AE2977">
        <f>IFERROR(__xludf.DUMMYFUNCTION("""COMPUTED_VALUE"""),0.0)</f>
        <v>0</v>
      </c>
      <c r="AF2977" t="str">
        <f>IFERROR(__xludf.DUMMYFUNCTION("""COMPUTED_VALUE"""),"No. I took delivery of the first car Tesla was able to deliver.")</f>
        <v>No. I took delivery of the first car Tesla was able to deliver.</v>
      </c>
      <c r="AG2977" t="str">
        <f>IFERROR(__xludf.DUMMYFUNCTION("""COMPUTED_VALUE"""),"Took long enough")</f>
        <v>Took long enough</v>
      </c>
      <c r="AH2977" s="189">
        <f>IFERROR(__xludf.DUMMYFUNCTION("""COMPUTED_VALUE"""),44373.66784480324)</f>
        <v>44373.66784</v>
      </c>
    </row>
    <row r="2978">
      <c r="A2978" t="str">
        <f>IFERROR(__xludf.DUMMYFUNCTION("""COMPUTED_VALUE"""),"derp")</f>
        <v>derp</v>
      </c>
      <c r="B2978" t="str">
        <f>IFERROR(__xludf.DUMMYFUNCTION("""COMPUTED_VALUE"""),"millbrae")</f>
        <v>millbrae</v>
      </c>
      <c r="C2978" t="str">
        <f>IFERROR(__xludf.DUMMYFUNCTION("""COMPUTED_VALUE"""),"CA")</f>
        <v>CA</v>
      </c>
      <c r="D2978" t="str">
        <f>IFERROR(__xludf.DUMMYFUNCTION("""COMPUTED_VALUE"""),"USA")</f>
        <v>USA</v>
      </c>
      <c r="E2978" s="188">
        <f>IFERROR(__xludf.DUMMYFUNCTION("""COMPUTED_VALUE"""),44298.0)</f>
        <v>44298</v>
      </c>
      <c r="F2978" s="188">
        <f>IFERROR(__xludf.DUMMYFUNCTION("""COMPUTED_VALUE"""),44363.0)</f>
        <v>44363</v>
      </c>
      <c r="G2978" t="str">
        <f>IFERROR(__xludf.DUMMYFUNCTION("""COMPUTED_VALUE"""),"Email")</f>
        <v>Email</v>
      </c>
      <c r="H2978">
        <f>IFERROR(__xludf.DUMMYFUNCTION("""COMPUTED_VALUE"""),995419.0)</f>
        <v>995419</v>
      </c>
      <c r="I2978" t="str">
        <f>IFERROR(__xludf.DUMMYFUNCTION("""COMPUTED_VALUE"""),"06/21")</f>
        <v>06/21</v>
      </c>
      <c r="J2978" s="188">
        <f>IFERROR(__xludf.DUMMYFUNCTION("""COMPUTED_VALUE"""),44366.0)</f>
        <v>44366</v>
      </c>
      <c r="K2978">
        <f>IFERROR(__xludf.DUMMYFUNCTION("""COMPUTED_VALUE"""),65.0)</f>
        <v>65</v>
      </c>
      <c r="L2978">
        <f>IFERROR(__xludf.DUMMYFUNCTION("""COMPUTED_VALUE"""),3.0)</f>
        <v>3</v>
      </c>
      <c r="M2978">
        <f>IFERROR(__xludf.DUMMYFUNCTION("""COMPUTED_VALUE"""),68.0)</f>
        <v>68</v>
      </c>
      <c r="N2978" t="str">
        <f>IFERROR(__xludf.DUMMYFUNCTION("""COMPUTED_VALUE"""),"Model 3 LR AWD")</f>
        <v>Model 3 LR AWD</v>
      </c>
      <c r="O2978" t="str">
        <f>IFERROR(__xludf.DUMMYFUNCTION("""COMPUTED_VALUE"""),"Deep Blue Metallic")</f>
        <v>Deep Blue Metallic</v>
      </c>
      <c r="P2978" t="str">
        <f>IFERROR(__xludf.DUMMYFUNCTION("""COMPUTED_VALUE"""),"18 inch")</f>
        <v>18 inch</v>
      </c>
      <c r="Q2978" t="str">
        <f>IFERROR(__xludf.DUMMYFUNCTION("""COMPUTED_VALUE"""),"All Black")</f>
        <v>All Black</v>
      </c>
      <c r="R2978" t="str">
        <f>IFERROR(__xludf.DUMMYFUNCTION("""COMPUTED_VALUE"""),"Full Self-Driving")</f>
        <v>Full Self-Driving</v>
      </c>
      <c r="S2978" t="str">
        <f>IFERROR(__xludf.DUMMYFUNCTION("""COMPUTED_VALUE"""),"Loan")</f>
        <v>Loan</v>
      </c>
      <c r="T2978" t="str">
        <f>IFERROR(__xludf.DUMMYFUNCTION("""COMPUTED_VALUE"""),"Toyota Prius")</f>
        <v>Toyota Prius</v>
      </c>
      <c r="U2978" t="str">
        <f>IFERROR(__xludf.DUMMYFUNCTION("""COMPUTED_VALUE"""),"Autopilot")</f>
        <v>Autopilot</v>
      </c>
      <c r="V2978" t="str">
        <f>IFERROR(__xludf.DUMMYFUNCTION("""COMPUTED_VALUE"""),"Head-up display")</f>
        <v>Head-up display</v>
      </c>
      <c r="W2978" t="str">
        <f>IFERROR(__xludf.DUMMYFUNCTION("""COMPUTED_VALUE"""),"I was able to pick up the car the day it arrived at the service center simply by asking in person, saved probably 4 days from the pickup time there were trying to schedule me for.")</f>
        <v>I was able to pick up the car the day it arrived at the service center simply by asking in person, saved probably 4 days from the pickup time there were trying to schedule me for.</v>
      </c>
      <c r="X2978" t="str">
        <f>IFERROR(__xludf.DUMMYFUNCTION("""COMPUTED_VALUE"""),"Very Good")</f>
        <v>Very Good</v>
      </c>
      <c r="Y2978" t="str">
        <f>IFERROR(__xludf.DUMMYFUNCTION("""COMPUTED_VALUE"""),"Very Good")</f>
        <v>Very Good</v>
      </c>
      <c r="Z2978" t="str">
        <f>IFERROR(__xludf.DUMMYFUNCTION("""COMPUTED_VALUE"""),"Very Good")</f>
        <v>Very Good</v>
      </c>
      <c r="AA2978" t="str">
        <f>IFERROR(__xludf.DUMMYFUNCTION("""COMPUTED_VALUE"""),"Poor")</f>
        <v>Poor</v>
      </c>
      <c r="AB2978" t="str">
        <f>IFERROR(__xludf.DUMMYFUNCTION("""COMPUTED_VALUE"""),"Poor")</f>
        <v>Poor</v>
      </c>
      <c r="AF2978" t="str">
        <f>IFERROR(__xludf.DUMMYFUNCTION("""COMPUTED_VALUE"""),"No. I took delivery of the first car Tesla was able to deliver.")</f>
        <v>No. I took delivery of the first car Tesla was able to deliver.</v>
      </c>
      <c r="AH2978" s="189">
        <f>IFERROR(__xludf.DUMMYFUNCTION("""COMPUTED_VALUE"""),44366.77206105324)</f>
        <v>44366.77206</v>
      </c>
    </row>
    <row r="2979">
      <c r="A2979" t="str">
        <f>IFERROR(__xludf.DUMMYFUNCTION("""COMPUTED_VALUE"""),"ClintR")</f>
        <v>ClintR</v>
      </c>
      <c r="B2979" t="str">
        <f>IFERROR(__xludf.DUMMYFUNCTION("""COMPUTED_VALUE"""),"Tampa, FL")</f>
        <v>Tampa, FL</v>
      </c>
      <c r="C2979" t="str">
        <f>IFERROR(__xludf.DUMMYFUNCTION("""COMPUTED_VALUE"""),"FL")</f>
        <v>FL</v>
      </c>
      <c r="D2979" t="str">
        <f>IFERROR(__xludf.DUMMYFUNCTION("""COMPUTED_VALUE"""),"USA")</f>
        <v>USA</v>
      </c>
      <c r="E2979" s="188">
        <f>IFERROR(__xludf.DUMMYFUNCTION("""COMPUTED_VALUE"""),44341.0)</f>
        <v>44341</v>
      </c>
      <c r="F2979" s="188">
        <f>IFERROR(__xludf.DUMMYFUNCTION("""COMPUTED_VALUE"""),44431.0)</f>
        <v>44431</v>
      </c>
      <c r="G2979" t="str">
        <f>IFERROR(__xludf.DUMMYFUNCTION("""COMPUTED_VALUE"""),"Existing Inventory")</f>
        <v>Existing Inventory</v>
      </c>
      <c r="H2979">
        <f>IFERROR(__xludf.DUMMYFUNCTION("""COMPUTED_VALUE"""),199088.0)</f>
        <v>199088</v>
      </c>
      <c r="K2979">
        <f>IFERROR(__xludf.DUMMYFUNCTION("""COMPUTED_VALUE"""),90.0)</f>
        <v>90</v>
      </c>
      <c r="N2979" t="str">
        <f>IFERROR(__xludf.DUMMYFUNCTION("""COMPUTED_VALUE"""),"Model 3 SR+")</f>
        <v>Model 3 SR+</v>
      </c>
      <c r="O2979" t="str">
        <f>IFERROR(__xludf.DUMMYFUNCTION("""COMPUTED_VALUE"""),"Red Multi-Coat")</f>
        <v>Red Multi-Coat</v>
      </c>
      <c r="P2979" t="str">
        <f>IFERROR(__xludf.DUMMYFUNCTION("""COMPUTED_VALUE"""),"19 inch")</f>
        <v>19 inch</v>
      </c>
      <c r="Q2979" t="str">
        <f>IFERROR(__xludf.DUMMYFUNCTION("""COMPUTED_VALUE"""),"Black and White")</f>
        <v>Black and White</v>
      </c>
      <c r="R2979" t="str">
        <f>IFERROR(__xludf.DUMMYFUNCTION("""COMPUTED_VALUE"""),"Autopilot included")</f>
        <v>Autopilot included</v>
      </c>
      <c r="S2979" t="str">
        <f>IFERROR(__xludf.DUMMYFUNCTION("""COMPUTED_VALUE"""),"Loan")</f>
        <v>Loan</v>
      </c>
      <c r="T2979" t="str">
        <f>IFERROR(__xludf.DUMMYFUNCTION("""COMPUTED_VALUE"""),"Hyundai Sonata")</f>
        <v>Hyundai Sonata</v>
      </c>
      <c r="U2979" t="str">
        <f>IFERROR(__xludf.DUMMYFUNCTION("""COMPUTED_VALUE"""),"Autopilot")</f>
        <v>Autopilot</v>
      </c>
      <c r="V2979" t="str">
        <f>IFERROR(__xludf.DUMMYFUNCTION("""COMPUTED_VALUE"""),"Ventilated seats")</f>
        <v>Ventilated seats</v>
      </c>
      <c r="AH2979" s="189">
        <f>IFERROR(__xludf.DUMMYFUNCTION("""COMPUTED_VALUE"""),44432.41882511574)</f>
        <v>44432.41883</v>
      </c>
    </row>
    <row r="2980">
      <c r="A2980" t="str">
        <f>IFERROR(__xludf.DUMMYFUNCTION("""COMPUTED_VALUE"""),"GotMonks")</f>
        <v>GotMonks</v>
      </c>
      <c r="B2980" t="str">
        <f>IFERROR(__xludf.DUMMYFUNCTION("""COMPUTED_VALUE"""),"Fort Mill ")</f>
        <v>Fort Mill </v>
      </c>
      <c r="C2980" t="str">
        <f>IFERROR(__xludf.DUMMYFUNCTION("""COMPUTED_VALUE"""),"SC")</f>
        <v>SC</v>
      </c>
      <c r="D2980" t="str">
        <f>IFERROR(__xludf.DUMMYFUNCTION("""COMPUTED_VALUE"""),"USA")</f>
        <v>USA</v>
      </c>
      <c r="E2980" s="188">
        <f>IFERROR(__xludf.DUMMYFUNCTION("""COMPUTED_VALUE"""),44332.0)</f>
        <v>44332</v>
      </c>
      <c r="F2980" s="188">
        <f>IFERROR(__xludf.DUMMYFUNCTION("""COMPUTED_VALUE"""),44357.0)</f>
        <v>44357</v>
      </c>
      <c r="G2980" t="str">
        <f>IFERROR(__xludf.DUMMYFUNCTION("""COMPUTED_VALUE"""),"Manage order page (normal text)")</f>
        <v>Manage order page (normal text)</v>
      </c>
      <c r="H2980">
        <f>IFERROR(__xludf.DUMMYFUNCTION("""COMPUTED_VALUE"""),990955.0)</f>
        <v>990955</v>
      </c>
      <c r="I2980" t="str">
        <f>IFERROR(__xludf.DUMMYFUNCTION("""COMPUTED_VALUE"""),"06/21")</f>
        <v>06/21</v>
      </c>
      <c r="J2980" s="188">
        <f>IFERROR(__xludf.DUMMYFUNCTION("""COMPUTED_VALUE"""),44372.0)</f>
        <v>44372</v>
      </c>
      <c r="K2980">
        <f>IFERROR(__xludf.DUMMYFUNCTION("""COMPUTED_VALUE"""),25.0)</f>
        <v>25</v>
      </c>
      <c r="L2980">
        <f>IFERROR(__xludf.DUMMYFUNCTION("""COMPUTED_VALUE"""),15.0)</f>
        <v>15</v>
      </c>
      <c r="M2980">
        <f>IFERROR(__xludf.DUMMYFUNCTION("""COMPUTED_VALUE"""),40.0)</f>
        <v>40</v>
      </c>
      <c r="N2980" t="str">
        <f>IFERROR(__xludf.DUMMYFUNCTION("""COMPUTED_VALUE"""),"Model 3 Performance")</f>
        <v>Model 3 Performance</v>
      </c>
      <c r="O2980" t="str">
        <f>IFERROR(__xludf.DUMMYFUNCTION("""COMPUTED_VALUE"""),"Red Multi-Coat")</f>
        <v>Red Multi-Coat</v>
      </c>
      <c r="P2980" t="str">
        <f>IFERROR(__xludf.DUMMYFUNCTION("""COMPUTED_VALUE"""),"20 inch")</f>
        <v>20 inch</v>
      </c>
      <c r="Q2980" t="str">
        <f>IFERROR(__xludf.DUMMYFUNCTION("""COMPUTED_VALUE"""),"All Black")</f>
        <v>All Black</v>
      </c>
      <c r="R2980" t="str">
        <f>IFERROR(__xludf.DUMMYFUNCTION("""COMPUTED_VALUE"""),"Autopilot included")</f>
        <v>Autopilot included</v>
      </c>
      <c r="S2980" t="str">
        <f>IFERROR(__xludf.DUMMYFUNCTION("""COMPUTED_VALUE"""),"Cash")</f>
        <v>Cash</v>
      </c>
      <c r="T2980" t="str">
        <f>IFERROR(__xludf.DUMMYFUNCTION("""COMPUTED_VALUE"""),"Outlander")</f>
        <v>Outlander</v>
      </c>
      <c r="U2980" t="str">
        <f>IFERROR(__xludf.DUMMYFUNCTION("""COMPUTED_VALUE"""),"Tesla brand image")</f>
        <v>Tesla brand image</v>
      </c>
      <c r="V2980" t="str">
        <f>IFERROR(__xludf.DUMMYFUNCTION("""COMPUTED_VALUE"""),"Ventilated seats")</f>
        <v>Ventilated seats</v>
      </c>
      <c r="W2980" t="str">
        <f>IFERROR(__xludf.DUMMYFUNCTION("""COMPUTED_VALUE"""),"dont watch delivery dates")</f>
        <v>dont watch delivery dates</v>
      </c>
      <c r="X2980" t="str">
        <f>IFERROR(__xludf.DUMMYFUNCTION("""COMPUTED_VALUE"""),"Very Good")</f>
        <v>Very Good</v>
      </c>
      <c r="Y2980" t="str">
        <f>IFERROR(__xludf.DUMMYFUNCTION("""COMPUTED_VALUE"""),"Excellent")</f>
        <v>Excellent</v>
      </c>
      <c r="Z2980" t="str">
        <f>IFERROR(__xludf.DUMMYFUNCTION("""COMPUTED_VALUE"""),"Excellent")</f>
        <v>Excellent</v>
      </c>
      <c r="AA2980" t="str">
        <f>IFERROR(__xludf.DUMMYFUNCTION("""COMPUTED_VALUE"""),"Excellent")</f>
        <v>Excellent</v>
      </c>
      <c r="AB2980" t="str">
        <f>IFERROR(__xludf.DUMMYFUNCTION("""COMPUTED_VALUE"""),"Excellent")</f>
        <v>Excellent</v>
      </c>
      <c r="AF2980" t="str">
        <f>IFERROR(__xludf.DUMMYFUNCTION("""COMPUTED_VALUE"""),"No. I took delivery of the first car Tesla was able to deliver.")</f>
        <v>No. I took delivery of the first car Tesla was able to deliver.</v>
      </c>
      <c r="AH2980" s="189">
        <f>IFERROR(__xludf.DUMMYFUNCTION("""COMPUTED_VALUE"""),44379.2481425)</f>
        <v>44379.24814</v>
      </c>
    </row>
    <row r="2981">
      <c r="A2981" t="str">
        <f>IFERROR(__xludf.DUMMYFUNCTION("""COMPUTED_VALUE"""),"erikadenisse")</f>
        <v>erikadenisse</v>
      </c>
      <c r="B2981" t="str">
        <f>IFERROR(__xludf.DUMMYFUNCTION("""COMPUTED_VALUE"""),"San Diego")</f>
        <v>San Diego</v>
      </c>
      <c r="C2981" t="str">
        <f>IFERROR(__xludf.DUMMYFUNCTION("""COMPUTED_VALUE"""),"CA")</f>
        <v>CA</v>
      </c>
      <c r="D2981" t="str">
        <f>IFERROR(__xludf.DUMMYFUNCTION("""COMPUTED_VALUE"""),"USA")</f>
        <v>USA</v>
      </c>
      <c r="E2981" s="188">
        <f>IFERROR(__xludf.DUMMYFUNCTION("""COMPUTED_VALUE"""),44345.0)</f>
        <v>44345</v>
      </c>
      <c r="F2981" s="188">
        <f>IFERROR(__xludf.DUMMYFUNCTION("""COMPUTED_VALUE"""),44357.0)</f>
        <v>44357</v>
      </c>
      <c r="G2981" t="str">
        <f>IFERROR(__xludf.DUMMYFUNCTION("""COMPUTED_VALUE"""),"Manage order page (normal text)")</f>
        <v>Manage order page (normal text)</v>
      </c>
      <c r="I2981" t="str">
        <f>IFERROR(__xludf.DUMMYFUNCTION("""COMPUTED_VALUE"""),"06/21")</f>
        <v>06/21</v>
      </c>
      <c r="J2981" s="188">
        <f>IFERROR(__xludf.DUMMYFUNCTION("""COMPUTED_VALUE"""),44365.0)</f>
        <v>44365</v>
      </c>
      <c r="K2981">
        <f>IFERROR(__xludf.DUMMYFUNCTION("""COMPUTED_VALUE"""),12.0)</f>
        <v>12</v>
      </c>
      <c r="L2981">
        <f>IFERROR(__xludf.DUMMYFUNCTION("""COMPUTED_VALUE"""),8.0)</f>
        <v>8</v>
      </c>
      <c r="M2981">
        <f>IFERROR(__xludf.DUMMYFUNCTION("""COMPUTED_VALUE"""),20.0)</f>
        <v>20</v>
      </c>
      <c r="N2981" t="str">
        <f>IFERROR(__xludf.DUMMYFUNCTION("""COMPUTED_VALUE"""),"Model 3 Performance")</f>
        <v>Model 3 Performance</v>
      </c>
      <c r="O2981" t="str">
        <f>IFERROR(__xludf.DUMMYFUNCTION("""COMPUTED_VALUE"""),"Midnight Silver Metallic")</f>
        <v>Midnight Silver Metallic</v>
      </c>
      <c r="P2981" t="str">
        <f>IFERROR(__xludf.DUMMYFUNCTION("""COMPUTED_VALUE"""),"20 inch")</f>
        <v>20 inch</v>
      </c>
      <c r="Q2981" t="str">
        <f>IFERROR(__xludf.DUMMYFUNCTION("""COMPUTED_VALUE"""),"All Black")</f>
        <v>All Black</v>
      </c>
      <c r="R2981" t="str">
        <f>IFERROR(__xludf.DUMMYFUNCTION("""COMPUTED_VALUE"""),"Autopilot included")</f>
        <v>Autopilot included</v>
      </c>
      <c r="S2981" t="str">
        <f>IFERROR(__xludf.DUMMYFUNCTION("""COMPUTED_VALUE"""),"Loan")</f>
        <v>Loan</v>
      </c>
      <c r="T2981" t="str">
        <f>IFERROR(__xludf.DUMMYFUNCTION("""COMPUTED_VALUE"""),"Lexus IS 350")</f>
        <v>Lexus IS 350</v>
      </c>
      <c r="U2981" t="str">
        <f>IFERROR(__xludf.DUMMYFUNCTION("""COMPUTED_VALUE"""),"Electric!")</f>
        <v>Electric!</v>
      </c>
      <c r="V2981" t="str">
        <f>IFERROR(__xludf.DUMMYFUNCTION("""COMPUTED_VALUE"""),"Apple CarPlay / Android Auto / SiriusXM Radio")</f>
        <v>Apple CarPlay / Android Auto / SiriusXM Radio</v>
      </c>
      <c r="X2981" t="str">
        <f>IFERROR(__xludf.DUMMYFUNCTION("""COMPUTED_VALUE"""),"Excellent")</f>
        <v>Excellent</v>
      </c>
      <c r="Y2981" t="str">
        <f>IFERROR(__xludf.DUMMYFUNCTION("""COMPUTED_VALUE"""),"Excellent")</f>
        <v>Excellent</v>
      </c>
      <c r="Z2981" t="str">
        <f>IFERROR(__xludf.DUMMYFUNCTION("""COMPUTED_VALUE"""),"Excellent")</f>
        <v>Excellent</v>
      </c>
      <c r="AA2981" t="str">
        <f>IFERROR(__xludf.DUMMYFUNCTION("""COMPUTED_VALUE"""),"Excellent")</f>
        <v>Excellent</v>
      </c>
      <c r="AB2981" t="str">
        <f>IFERROR(__xludf.DUMMYFUNCTION("""COMPUTED_VALUE"""),"Excellent")</f>
        <v>Excellent</v>
      </c>
      <c r="AC2981">
        <f>IFERROR(__xludf.DUMMYFUNCTION("""COMPUTED_VALUE"""),0.0)</f>
        <v>0</v>
      </c>
      <c r="AD2981">
        <f>IFERROR(__xludf.DUMMYFUNCTION("""COMPUTED_VALUE"""),1.0)</f>
        <v>1</v>
      </c>
      <c r="AE2981">
        <f>IFERROR(__xludf.DUMMYFUNCTION("""COMPUTED_VALUE"""),0.0)</f>
        <v>0</v>
      </c>
      <c r="AF2981" t="str">
        <f>IFERROR(__xludf.DUMMYFUNCTION("""COMPUTED_VALUE"""),"No. I took delivery of the first car Tesla was able to deliver.")</f>
        <v>No. I took delivery of the first car Tesla was able to deliver.</v>
      </c>
      <c r="AH2981" s="189">
        <f>IFERROR(__xludf.DUMMYFUNCTION("""COMPUTED_VALUE"""),44423.851903414354)</f>
        <v>44423.8519</v>
      </c>
    </row>
    <row r="2982">
      <c r="A2982" t="str">
        <f>IFERROR(__xludf.DUMMYFUNCTION("""COMPUTED_VALUE"""),"CyberDrunk2069")</f>
        <v>CyberDrunk2069</v>
      </c>
      <c r="B2982" t="str">
        <f>IFERROR(__xludf.DUMMYFUNCTION("""COMPUTED_VALUE"""),"Seattle")</f>
        <v>Seattle</v>
      </c>
      <c r="C2982" t="str">
        <f>IFERROR(__xludf.DUMMYFUNCTION("""COMPUTED_VALUE"""),"WA")</f>
        <v>WA</v>
      </c>
      <c r="D2982" t="str">
        <f>IFERROR(__xludf.DUMMYFUNCTION("""COMPUTED_VALUE"""),"USA")</f>
        <v>USA</v>
      </c>
      <c r="E2982" s="188">
        <f>IFERROR(__xludf.DUMMYFUNCTION("""COMPUTED_VALUE"""),44306.0)</f>
        <v>44306</v>
      </c>
      <c r="F2982" s="188">
        <f>IFERROR(__xludf.DUMMYFUNCTION("""COMPUTED_VALUE"""),44366.0)</f>
        <v>44366</v>
      </c>
      <c r="G2982" t="str">
        <f>IFERROR(__xludf.DUMMYFUNCTION("""COMPUTED_VALUE"""),"Manage order page (normal text)")</f>
        <v>Manage order page (normal text)</v>
      </c>
      <c r="H2982">
        <f>IFERROR(__xludf.DUMMYFUNCTION("""COMPUTED_VALUE"""),999096.0)</f>
        <v>999096</v>
      </c>
      <c r="I2982" t="str">
        <f>IFERROR(__xludf.DUMMYFUNCTION("""COMPUTED_VALUE"""),"06/21")</f>
        <v>06/21</v>
      </c>
      <c r="J2982" s="188">
        <f>IFERROR(__xludf.DUMMYFUNCTION("""COMPUTED_VALUE"""),44367.0)</f>
        <v>44367</v>
      </c>
      <c r="K2982">
        <f>IFERROR(__xludf.DUMMYFUNCTION("""COMPUTED_VALUE"""),60.0)</f>
        <v>60</v>
      </c>
      <c r="L2982">
        <f>IFERROR(__xludf.DUMMYFUNCTION("""COMPUTED_VALUE"""),1.0)</f>
        <v>1</v>
      </c>
      <c r="M2982">
        <f>IFERROR(__xludf.DUMMYFUNCTION("""COMPUTED_VALUE"""),61.0)</f>
        <v>61</v>
      </c>
      <c r="N2982" t="str">
        <f>IFERROR(__xludf.DUMMYFUNCTION("""COMPUTED_VALUE"""),"Model 3 LR AWD")</f>
        <v>Model 3 LR AWD</v>
      </c>
      <c r="O2982" t="str">
        <f>IFERROR(__xludf.DUMMYFUNCTION("""COMPUTED_VALUE"""),"Solid Black")</f>
        <v>Solid Black</v>
      </c>
      <c r="P2982" t="str">
        <f>IFERROR(__xludf.DUMMYFUNCTION("""COMPUTED_VALUE"""),"18 inch")</f>
        <v>18 inch</v>
      </c>
      <c r="Q2982" t="str">
        <f>IFERROR(__xludf.DUMMYFUNCTION("""COMPUTED_VALUE"""),"All Black")</f>
        <v>All Black</v>
      </c>
      <c r="R2982" t="str">
        <f>IFERROR(__xludf.DUMMYFUNCTION("""COMPUTED_VALUE"""),"Autopilot included")</f>
        <v>Autopilot included</v>
      </c>
      <c r="S2982" t="str">
        <f>IFERROR(__xludf.DUMMYFUNCTION("""COMPUTED_VALUE"""),"Loan")</f>
        <v>Loan</v>
      </c>
      <c r="T2982" t="str">
        <f>IFERROR(__xludf.DUMMYFUNCTION("""COMPUTED_VALUE"""),"Toyota 4Runner")</f>
        <v>Toyota 4Runner</v>
      </c>
      <c r="U2982" t="str">
        <f>IFERROR(__xludf.DUMMYFUNCTION("""COMPUTED_VALUE"""),"Electric!")</f>
        <v>Electric!</v>
      </c>
      <c r="V2982" t="str">
        <f>IFERROR(__xludf.DUMMYFUNCTION("""COMPUTED_VALUE"""),"Ventilated seats")</f>
        <v>Ventilated seats</v>
      </c>
      <c r="X2982" t="str">
        <f>IFERROR(__xludf.DUMMYFUNCTION("""COMPUTED_VALUE"""),"Very Good")</f>
        <v>Very Good</v>
      </c>
      <c r="Y2982" t="str">
        <f>IFERROR(__xludf.DUMMYFUNCTION("""COMPUTED_VALUE"""),"Very Good")</f>
        <v>Very Good</v>
      </c>
      <c r="Z2982" t="str">
        <f>IFERROR(__xludf.DUMMYFUNCTION("""COMPUTED_VALUE"""),"Good")</f>
        <v>Good</v>
      </c>
      <c r="AA2982" t="str">
        <f>IFERROR(__xludf.DUMMYFUNCTION("""COMPUTED_VALUE"""),"Very Good")</f>
        <v>Very Good</v>
      </c>
      <c r="AB2982" t="str">
        <f>IFERROR(__xludf.DUMMYFUNCTION("""COMPUTED_VALUE"""),"Good")</f>
        <v>Good</v>
      </c>
      <c r="AC2982">
        <f>IFERROR(__xludf.DUMMYFUNCTION("""COMPUTED_VALUE"""),2.0)</f>
        <v>2</v>
      </c>
      <c r="AD2982">
        <f>IFERROR(__xludf.DUMMYFUNCTION("""COMPUTED_VALUE"""),1.0)</f>
        <v>1</v>
      </c>
      <c r="AF2982" t="str">
        <f>IFERROR(__xludf.DUMMYFUNCTION("""COMPUTED_VALUE"""),"No. I took delivery of the first car Tesla was able to deliver.")</f>
        <v>No. I took delivery of the first car Tesla was able to deliver.</v>
      </c>
      <c r="AH2982" s="189">
        <f>IFERROR(__xludf.DUMMYFUNCTION("""COMPUTED_VALUE"""),44371.77672715278)</f>
        <v>44371.77673</v>
      </c>
    </row>
    <row r="2983">
      <c r="A2983" t="str">
        <f>IFERROR(__xludf.DUMMYFUNCTION("""COMPUTED_VALUE"""),"madarv2219")</f>
        <v>madarv2219</v>
      </c>
      <c r="B2983" t="str">
        <f>IFERROR(__xludf.DUMMYFUNCTION("""COMPUTED_VALUE"""),"Atlanta")</f>
        <v>Atlanta</v>
      </c>
      <c r="C2983" t="str">
        <f>IFERROR(__xludf.DUMMYFUNCTION("""COMPUTED_VALUE"""),"GA")</f>
        <v>GA</v>
      </c>
      <c r="D2983" t="str">
        <f>IFERROR(__xludf.DUMMYFUNCTION("""COMPUTED_VALUE"""),"USA")</f>
        <v>USA</v>
      </c>
      <c r="E2983" s="188">
        <f>IFERROR(__xludf.DUMMYFUNCTION("""COMPUTED_VALUE"""),44348.0)</f>
        <v>44348</v>
      </c>
      <c r="F2983" s="188">
        <f>IFERROR(__xludf.DUMMYFUNCTION("""COMPUTED_VALUE"""),44391.0)</f>
        <v>44391</v>
      </c>
      <c r="G2983" t="str">
        <f>IFERROR(__xludf.DUMMYFUNCTION("""COMPUTED_VALUE"""),"Manage order page (normal text)")</f>
        <v>Manage order page (normal text)</v>
      </c>
      <c r="H2983">
        <f>IFERROR(__xludf.DUMMYFUNCTION("""COMPUTED_VALUE"""),16655.0)</f>
        <v>16655</v>
      </c>
      <c r="J2983" s="188">
        <f>IFERROR(__xludf.DUMMYFUNCTION("""COMPUTED_VALUE"""),44404.0)</f>
        <v>44404</v>
      </c>
      <c r="K2983">
        <f>IFERROR(__xludf.DUMMYFUNCTION("""COMPUTED_VALUE"""),43.0)</f>
        <v>43</v>
      </c>
      <c r="L2983">
        <f>IFERROR(__xludf.DUMMYFUNCTION("""COMPUTED_VALUE"""),13.0)</f>
        <v>13</v>
      </c>
      <c r="M2983">
        <f>IFERROR(__xludf.DUMMYFUNCTION("""COMPUTED_VALUE"""),56.0)</f>
        <v>56</v>
      </c>
      <c r="N2983" t="str">
        <f>IFERROR(__xludf.DUMMYFUNCTION("""COMPUTED_VALUE"""),"Model 3 SR+")</f>
        <v>Model 3 SR+</v>
      </c>
      <c r="O2983" t="str">
        <f>IFERROR(__xludf.DUMMYFUNCTION("""COMPUTED_VALUE"""),"Solid Black")</f>
        <v>Solid Black</v>
      </c>
      <c r="P2983" t="str">
        <f>IFERROR(__xludf.DUMMYFUNCTION("""COMPUTED_VALUE"""),"18 inch")</f>
        <v>18 inch</v>
      </c>
      <c r="Q2983" t="str">
        <f>IFERROR(__xludf.DUMMYFUNCTION("""COMPUTED_VALUE"""),"All Black")</f>
        <v>All Black</v>
      </c>
      <c r="R2983" t="str">
        <f>IFERROR(__xludf.DUMMYFUNCTION("""COMPUTED_VALUE"""),"Autopilot included")</f>
        <v>Autopilot included</v>
      </c>
      <c r="S2983" t="str">
        <f>IFERROR(__xludf.DUMMYFUNCTION("""COMPUTED_VALUE"""),"Cash")</f>
        <v>Cash</v>
      </c>
      <c r="AH2983" s="189">
        <f>IFERROR(__xludf.DUMMYFUNCTION("""COMPUTED_VALUE"""),44391.29954980324)</f>
        <v>44391.29955</v>
      </c>
    </row>
    <row r="2984">
      <c r="A2984" t="str">
        <f>IFERROR(__xludf.DUMMYFUNCTION("""COMPUTED_VALUE"""),"JMonde")</f>
        <v>JMonde</v>
      </c>
      <c r="B2984" t="str">
        <f>IFERROR(__xludf.DUMMYFUNCTION("""COMPUTED_VALUE"""),"Palm Coast")</f>
        <v>Palm Coast</v>
      </c>
      <c r="C2984" t="str">
        <f>IFERROR(__xludf.DUMMYFUNCTION("""COMPUTED_VALUE"""),"FL")</f>
        <v>FL</v>
      </c>
      <c r="D2984" t="str">
        <f>IFERROR(__xludf.DUMMYFUNCTION("""COMPUTED_VALUE"""),"USA")</f>
        <v>USA</v>
      </c>
      <c r="E2984" s="188">
        <f>IFERROR(__xludf.DUMMYFUNCTION("""COMPUTED_VALUE"""),44350.0)</f>
        <v>44350</v>
      </c>
      <c r="F2984" s="188">
        <f>IFERROR(__xludf.DUMMYFUNCTION("""COMPUTED_VALUE"""),44393.0)</f>
        <v>44393</v>
      </c>
      <c r="G2984" t="str">
        <f>IFERROR(__xludf.DUMMYFUNCTION("""COMPUTED_VALUE"""),"Manage order page (normal text)")</f>
        <v>Manage order page (normal text)</v>
      </c>
      <c r="H2984">
        <f>IFERROR(__xludf.DUMMYFUNCTION("""COMPUTED_VALUE"""),19655.0)</f>
        <v>19655</v>
      </c>
      <c r="J2984" s="188">
        <f>IFERROR(__xludf.DUMMYFUNCTION("""COMPUTED_VALUE"""),44412.0)</f>
        <v>44412</v>
      </c>
      <c r="K2984">
        <f>IFERROR(__xludf.DUMMYFUNCTION("""COMPUTED_VALUE"""),43.0)</f>
        <v>43</v>
      </c>
      <c r="L2984">
        <f>IFERROR(__xludf.DUMMYFUNCTION("""COMPUTED_VALUE"""),19.0)</f>
        <v>19</v>
      </c>
      <c r="M2984">
        <f>IFERROR(__xludf.DUMMYFUNCTION("""COMPUTED_VALUE"""),62.0)</f>
        <v>62</v>
      </c>
      <c r="N2984" t="str">
        <f>IFERROR(__xludf.DUMMYFUNCTION("""COMPUTED_VALUE"""),"Model 3 LR AWD")</f>
        <v>Model 3 LR AWD</v>
      </c>
      <c r="O2984" t="str">
        <f>IFERROR(__xludf.DUMMYFUNCTION("""COMPUTED_VALUE"""),"Pearl White Multi-Coat")</f>
        <v>Pearl White Multi-Coat</v>
      </c>
      <c r="P2984" t="str">
        <f>IFERROR(__xludf.DUMMYFUNCTION("""COMPUTED_VALUE"""),"18 inch")</f>
        <v>18 inch</v>
      </c>
      <c r="Q2984" t="str">
        <f>IFERROR(__xludf.DUMMYFUNCTION("""COMPUTED_VALUE"""),"All Black")</f>
        <v>All Black</v>
      </c>
      <c r="R2984" t="str">
        <f>IFERROR(__xludf.DUMMYFUNCTION("""COMPUTED_VALUE"""),"Full Self-Driving")</f>
        <v>Full Self-Driving</v>
      </c>
      <c r="S2984" t="str">
        <f>IFERROR(__xludf.DUMMYFUNCTION("""COMPUTED_VALUE"""),"Cash")</f>
        <v>Cash</v>
      </c>
      <c r="T2984" t="str">
        <f>IFERROR(__xludf.DUMMYFUNCTION("""COMPUTED_VALUE"""),"Lexus IS250")</f>
        <v>Lexus IS250</v>
      </c>
      <c r="U2984" t="str">
        <f>IFERROR(__xludf.DUMMYFUNCTION("""COMPUTED_VALUE"""),"Tesla brand image")</f>
        <v>Tesla brand image</v>
      </c>
      <c r="V2984" t="str">
        <f>IFERROR(__xludf.DUMMYFUNCTION("""COMPUTED_VALUE"""),"Ventilated seats")</f>
        <v>Ventilated seats</v>
      </c>
      <c r="AH2984" s="189">
        <f>IFERROR(__xludf.DUMMYFUNCTION("""COMPUTED_VALUE"""),44399.3512255324)</f>
        <v>44399.35123</v>
      </c>
    </row>
    <row r="2985">
      <c r="A2985" t="str">
        <f>IFERROR(__xludf.DUMMYFUNCTION("""COMPUTED_VALUE"""),"elowe")</f>
        <v>elowe</v>
      </c>
      <c r="B2985" t="str">
        <f>IFERROR(__xludf.DUMMYFUNCTION("""COMPUTED_VALUE"""),"Los Angeles")</f>
        <v>Los Angeles</v>
      </c>
      <c r="C2985" t="str">
        <f>IFERROR(__xludf.DUMMYFUNCTION("""COMPUTED_VALUE"""),"CA")</f>
        <v>CA</v>
      </c>
      <c r="D2985" t="str">
        <f>IFERROR(__xludf.DUMMYFUNCTION("""COMPUTED_VALUE"""),"USA")</f>
        <v>USA</v>
      </c>
      <c r="E2985" s="188">
        <f>IFERROR(__xludf.DUMMYFUNCTION("""COMPUTED_VALUE"""),44270.0)</f>
        <v>44270</v>
      </c>
      <c r="F2985" s="188">
        <f>IFERROR(__xludf.DUMMYFUNCTION("""COMPUTED_VALUE"""),44372.0)</f>
        <v>44372</v>
      </c>
      <c r="G2985" t="str">
        <f>IFERROR(__xludf.DUMMYFUNCTION("""COMPUTED_VALUE"""),"Manage order page (normal text)")</f>
        <v>Manage order page (normal text)</v>
      </c>
      <c r="H2985">
        <f>IFERROR(__xludf.DUMMYFUNCTION("""COMPUTED_VALUE"""),2455.0)</f>
        <v>2455</v>
      </c>
      <c r="I2985" t="str">
        <f>IFERROR(__xludf.DUMMYFUNCTION("""COMPUTED_VALUE"""),"06/21")</f>
        <v>06/21</v>
      </c>
      <c r="J2985" s="188">
        <f>IFERROR(__xludf.DUMMYFUNCTION("""COMPUTED_VALUE"""),44374.0)</f>
        <v>44374</v>
      </c>
      <c r="K2985">
        <f>IFERROR(__xludf.DUMMYFUNCTION("""COMPUTED_VALUE"""),102.0)</f>
        <v>102</v>
      </c>
      <c r="L2985">
        <f>IFERROR(__xludf.DUMMYFUNCTION("""COMPUTED_VALUE"""),2.0)</f>
        <v>2</v>
      </c>
      <c r="M2985">
        <f>IFERROR(__xludf.DUMMYFUNCTION("""COMPUTED_VALUE"""),104.0)</f>
        <v>104</v>
      </c>
      <c r="N2985" t="str">
        <f>IFERROR(__xludf.DUMMYFUNCTION("""COMPUTED_VALUE"""),"Model 3 LR AWD")</f>
        <v>Model 3 LR AWD</v>
      </c>
      <c r="O2985" t="str">
        <f>IFERROR(__xludf.DUMMYFUNCTION("""COMPUTED_VALUE"""),"Solid Black")</f>
        <v>Solid Black</v>
      </c>
      <c r="P2985" t="str">
        <f>IFERROR(__xludf.DUMMYFUNCTION("""COMPUTED_VALUE"""),"18 inch")</f>
        <v>18 inch</v>
      </c>
      <c r="Q2985" t="str">
        <f>IFERROR(__xludf.DUMMYFUNCTION("""COMPUTED_VALUE"""),"All Black")</f>
        <v>All Black</v>
      </c>
      <c r="R2985" t="str">
        <f>IFERROR(__xludf.DUMMYFUNCTION("""COMPUTED_VALUE"""),"Autopilot included")</f>
        <v>Autopilot included</v>
      </c>
      <c r="S2985" t="str">
        <f>IFERROR(__xludf.DUMMYFUNCTION("""COMPUTED_VALUE"""),"Loan")</f>
        <v>Loan</v>
      </c>
      <c r="T2985" t="str">
        <f>IFERROR(__xludf.DUMMYFUNCTION("""COMPUTED_VALUE"""),"BMW i3")</f>
        <v>BMW i3</v>
      </c>
      <c r="U2985" t="str">
        <f>IFERROR(__xludf.DUMMYFUNCTION("""COMPUTED_VALUE"""),"Electric!")</f>
        <v>Electric!</v>
      </c>
      <c r="V2985" t="str">
        <f>IFERROR(__xludf.DUMMYFUNCTION("""COMPUTED_VALUE"""),"Apple CarPlay / Android Auto / SiriusXM Radio")</f>
        <v>Apple CarPlay / Android Auto / SiriusXM Radio</v>
      </c>
      <c r="W2985" t="str">
        <f>IFERROR(__xludf.DUMMYFUNCTION("""COMPUTED_VALUE"""),"came with a USB drive for the cams")</f>
        <v>came with a USB drive for the cams</v>
      </c>
      <c r="X2985" t="str">
        <f>IFERROR(__xludf.DUMMYFUNCTION("""COMPUTED_VALUE"""),"Excellent")</f>
        <v>Excellent</v>
      </c>
      <c r="Y2985" t="str">
        <f>IFERROR(__xludf.DUMMYFUNCTION("""COMPUTED_VALUE"""),"Excellent")</f>
        <v>Excellent</v>
      </c>
      <c r="Z2985" t="str">
        <f>IFERROR(__xludf.DUMMYFUNCTION("""COMPUTED_VALUE"""),"Excellent")</f>
        <v>Excellent</v>
      </c>
      <c r="AA2985" t="str">
        <f>IFERROR(__xludf.DUMMYFUNCTION("""COMPUTED_VALUE"""),"Good")</f>
        <v>Good</v>
      </c>
      <c r="AB2985" t="str">
        <f>IFERROR(__xludf.DUMMYFUNCTION("""COMPUTED_VALUE"""),"Excellent")</f>
        <v>Excellent</v>
      </c>
      <c r="AC2985">
        <f>IFERROR(__xludf.DUMMYFUNCTION("""COMPUTED_VALUE"""),0.0)</f>
        <v>0</v>
      </c>
      <c r="AF2985" t="str">
        <f>IFERROR(__xludf.DUMMYFUNCTION("""COMPUTED_VALUE"""),"No. I took delivery of the first car Tesla was able to deliver.")</f>
        <v>No. I took delivery of the first car Tesla was able to deliver.</v>
      </c>
      <c r="AH2985" s="189">
        <f>IFERROR(__xludf.DUMMYFUNCTION("""COMPUTED_VALUE"""),44374.7030444213)</f>
        <v>44374.70304</v>
      </c>
    </row>
    <row r="2986">
      <c r="A2986" t="str">
        <f>IFERROR(__xludf.DUMMYFUNCTION("""COMPUTED_VALUE"""),"stillwaiting")</f>
        <v>stillwaiting</v>
      </c>
      <c r="B2986" t="str">
        <f>IFERROR(__xludf.DUMMYFUNCTION("""COMPUTED_VALUE"""),"Salt Lake City")</f>
        <v>Salt Lake City</v>
      </c>
      <c r="C2986" t="str">
        <f>IFERROR(__xludf.DUMMYFUNCTION("""COMPUTED_VALUE"""),"UT")</f>
        <v>UT</v>
      </c>
      <c r="D2986" t="str">
        <f>IFERROR(__xludf.DUMMYFUNCTION("""COMPUTED_VALUE"""),"USA")</f>
        <v>USA</v>
      </c>
      <c r="E2986" s="188">
        <f>IFERROR(__xludf.DUMMYFUNCTION("""COMPUTED_VALUE"""),44306.0)</f>
        <v>44306</v>
      </c>
      <c r="F2986" s="188">
        <f>IFERROR(__xludf.DUMMYFUNCTION("""COMPUTED_VALUE"""),44354.0)</f>
        <v>44354</v>
      </c>
      <c r="G2986" t="str">
        <f>IFERROR(__xludf.DUMMYFUNCTION("""COMPUTED_VALUE"""),"Phone call")</f>
        <v>Phone call</v>
      </c>
      <c r="J2986" s="188">
        <f>IFERROR(__xludf.DUMMYFUNCTION("""COMPUTED_VALUE"""),44356.0)</f>
        <v>44356</v>
      </c>
      <c r="K2986">
        <f>IFERROR(__xludf.DUMMYFUNCTION("""COMPUTED_VALUE"""),48.0)</f>
        <v>48</v>
      </c>
      <c r="L2986">
        <f>IFERROR(__xludf.DUMMYFUNCTION("""COMPUTED_VALUE"""),2.0)</f>
        <v>2</v>
      </c>
      <c r="M2986">
        <f>IFERROR(__xludf.DUMMYFUNCTION("""COMPUTED_VALUE"""),50.0)</f>
        <v>50</v>
      </c>
      <c r="N2986" t="str">
        <f>IFERROR(__xludf.DUMMYFUNCTION("""COMPUTED_VALUE"""),"Model 3 LR AWD")</f>
        <v>Model 3 LR AWD</v>
      </c>
      <c r="O2986" t="str">
        <f>IFERROR(__xludf.DUMMYFUNCTION("""COMPUTED_VALUE"""),"Pearl White Multi-Coat")</f>
        <v>Pearl White Multi-Coat</v>
      </c>
      <c r="P2986" t="str">
        <f>IFERROR(__xludf.DUMMYFUNCTION("""COMPUTED_VALUE"""),"18 inch")</f>
        <v>18 inch</v>
      </c>
      <c r="Q2986" t="str">
        <f>IFERROR(__xludf.DUMMYFUNCTION("""COMPUTED_VALUE"""),"All Black")</f>
        <v>All Black</v>
      </c>
      <c r="R2986" t="str">
        <f>IFERROR(__xludf.DUMMYFUNCTION("""COMPUTED_VALUE"""),"Autopilot included")</f>
        <v>Autopilot included</v>
      </c>
      <c r="S2986" t="str">
        <f>IFERROR(__xludf.DUMMYFUNCTION("""COMPUTED_VALUE"""),"Loan")</f>
        <v>Loan</v>
      </c>
      <c r="T2986" t="str">
        <f>IFERROR(__xludf.DUMMYFUNCTION("""COMPUTED_VALUE"""),"Tesla Model 3")</f>
        <v>Tesla Model 3</v>
      </c>
      <c r="AA2986" t="str">
        <f>IFERROR(__xludf.DUMMYFUNCTION("""COMPUTED_VALUE"""),"Poor")</f>
        <v>Poor</v>
      </c>
      <c r="AH2986" s="189">
        <f>IFERROR(__xludf.DUMMYFUNCTION("""COMPUTED_VALUE"""),44354.616238912036)</f>
        <v>44354.61624</v>
      </c>
    </row>
    <row r="2987">
      <c r="A2987" t="str">
        <f>IFERROR(__xludf.DUMMYFUNCTION("""COMPUTED_VALUE"""),"UniTuLa")</f>
        <v>UniTuLa</v>
      </c>
      <c r="B2987" t="str">
        <f>IFERROR(__xludf.DUMMYFUNCTION("""COMPUTED_VALUE"""),"Los Angeles")</f>
        <v>Los Angeles</v>
      </c>
      <c r="C2987" t="str">
        <f>IFERROR(__xludf.DUMMYFUNCTION("""COMPUTED_VALUE"""),"CA")</f>
        <v>CA</v>
      </c>
      <c r="D2987" t="str">
        <f>IFERROR(__xludf.DUMMYFUNCTION("""COMPUTED_VALUE"""),"USA")</f>
        <v>USA</v>
      </c>
      <c r="E2987" s="188">
        <f>IFERROR(__xludf.DUMMYFUNCTION("""COMPUTED_VALUE"""),44347.0)</f>
        <v>44347</v>
      </c>
      <c r="F2987" s="188">
        <f>IFERROR(__xludf.DUMMYFUNCTION("""COMPUTED_VALUE"""),44406.0)</f>
        <v>44406</v>
      </c>
      <c r="G2987" t="str">
        <f>IFERROR(__xludf.DUMMYFUNCTION("""COMPUTED_VALUE"""),"Manage order page (normal text)")</f>
        <v>Manage order page (normal text)</v>
      </c>
      <c r="J2987" s="188">
        <f>IFERROR(__xludf.DUMMYFUNCTION("""COMPUTED_VALUE"""),44409.0)</f>
        <v>44409</v>
      </c>
      <c r="K2987">
        <f>IFERROR(__xludf.DUMMYFUNCTION("""COMPUTED_VALUE"""),59.0)</f>
        <v>59</v>
      </c>
      <c r="L2987">
        <f>IFERROR(__xludf.DUMMYFUNCTION("""COMPUTED_VALUE"""),3.0)</f>
        <v>3</v>
      </c>
      <c r="M2987">
        <f>IFERROR(__xludf.DUMMYFUNCTION("""COMPUTED_VALUE"""),62.0)</f>
        <v>62</v>
      </c>
      <c r="N2987" t="str">
        <f>IFERROR(__xludf.DUMMYFUNCTION("""COMPUTED_VALUE"""),"Model 3 SR+")</f>
        <v>Model 3 SR+</v>
      </c>
      <c r="O2987" t="str">
        <f>IFERROR(__xludf.DUMMYFUNCTION("""COMPUTED_VALUE"""),"Pearl White Multi-Coat")</f>
        <v>Pearl White Multi-Coat</v>
      </c>
      <c r="P2987" t="str">
        <f>IFERROR(__xludf.DUMMYFUNCTION("""COMPUTED_VALUE"""),"18 inch")</f>
        <v>18 inch</v>
      </c>
      <c r="Q2987" t="str">
        <f>IFERROR(__xludf.DUMMYFUNCTION("""COMPUTED_VALUE"""),"All Black")</f>
        <v>All Black</v>
      </c>
      <c r="R2987" t="str">
        <f>IFERROR(__xludf.DUMMYFUNCTION("""COMPUTED_VALUE"""),"Autopilot included")</f>
        <v>Autopilot included</v>
      </c>
      <c r="S2987" t="str">
        <f>IFERROR(__xludf.DUMMYFUNCTION("""COMPUTED_VALUE"""),"Loan")</f>
        <v>Loan</v>
      </c>
      <c r="T2987" t="str">
        <f>IFERROR(__xludf.DUMMYFUNCTION("""COMPUTED_VALUE"""),"VW Golf")</f>
        <v>VW Golf</v>
      </c>
      <c r="U2987" t="str">
        <f>IFERROR(__xludf.DUMMYFUNCTION("""COMPUTED_VALUE"""),"Electric!")</f>
        <v>Electric!</v>
      </c>
      <c r="V2987" t="str">
        <f>IFERROR(__xludf.DUMMYFUNCTION("""COMPUTED_VALUE"""),"Head-up display")</f>
        <v>Head-up display</v>
      </c>
      <c r="AH2987" s="189">
        <f>IFERROR(__xludf.DUMMYFUNCTION("""COMPUTED_VALUE"""),44411.91483034722)</f>
        <v>44411.91483</v>
      </c>
    </row>
    <row r="2988">
      <c r="A2988" t="str">
        <f>IFERROR(__xludf.DUMMYFUNCTION("""COMPUTED_VALUE"""),"Geeb")</f>
        <v>Geeb</v>
      </c>
      <c r="B2988" t="str">
        <f>IFERROR(__xludf.DUMMYFUNCTION("""COMPUTED_VALUE"""),"Temecula")</f>
        <v>Temecula</v>
      </c>
      <c r="C2988" t="str">
        <f>IFERROR(__xludf.DUMMYFUNCTION("""COMPUTED_VALUE"""),"CA")</f>
        <v>CA</v>
      </c>
      <c r="D2988" t="str">
        <f>IFERROR(__xludf.DUMMYFUNCTION("""COMPUTED_VALUE"""),"USA")</f>
        <v>USA</v>
      </c>
      <c r="E2988" s="188">
        <f>IFERROR(__xludf.DUMMYFUNCTION("""COMPUTED_VALUE"""),44283.0)</f>
        <v>44283</v>
      </c>
      <c r="F2988" s="188">
        <f>IFERROR(__xludf.DUMMYFUNCTION("""COMPUTED_VALUE"""),44345.0)</f>
        <v>44345</v>
      </c>
      <c r="G2988" t="str">
        <f>IFERROR(__xludf.DUMMYFUNCTION("""COMPUTED_VALUE"""),"Email")</f>
        <v>Email</v>
      </c>
      <c r="I2988" t="str">
        <f>IFERROR(__xludf.DUMMYFUNCTION("""COMPUTED_VALUE"""),"05/21")</f>
        <v>05/21</v>
      </c>
      <c r="J2988" s="188">
        <f>IFERROR(__xludf.DUMMYFUNCTION("""COMPUTED_VALUE"""),44348.0)</f>
        <v>44348</v>
      </c>
      <c r="K2988">
        <f>IFERROR(__xludf.DUMMYFUNCTION("""COMPUTED_VALUE"""),62.0)</f>
        <v>62</v>
      </c>
      <c r="L2988">
        <f>IFERROR(__xludf.DUMMYFUNCTION("""COMPUTED_VALUE"""),3.0)</f>
        <v>3</v>
      </c>
      <c r="M2988">
        <f>IFERROR(__xludf.DUMMYFUNCTION("""COMPUTED_VALUE"""),65.0)</f>
        <v>65</v>
      </c>
      <c r="N2988" t="str">
        <f>IFERROR(__xludf.DUMMYFUNCTION("""COMPUTED_VALUE"""),"Model 3 LR AWD")</f>
        <v>Model 3 LR AWD</v>
      </c>
      <c r="O2988" t="str">
        <f>IFERROR(__xludf.DUMMYFUNCTION("""COMPUTED_VALUE"""),"Red Multi-Coat")</f>
        <v>Red Multi-Coat</v>
      </c>
      <c r="P2988" t="str">
        <f>IFERROR(__xludf.DUMMYFUNCTION("""COMPUTED_VALUE"""),"18 inch")</f>
        <v>18 inch</v>
      </c>
      <c r="Q2988" t="str">
        <f>IFERROR(__xludf.DUMMYFUNCTION("""COMPUTED_VALUE"""),"All Black")</f>
        <v>All Black</v>
      </c>
      <c r="R2988" t="str">
        <f>IFERROR(__xludf.DUMMYFUNCTION("""COMPUTED_VALUE"""),"Autopilot included")</f>
        <v>Autopilot included</v>
      </c>
      <c r="S2988" t="str">
        <f>IFERROR(__xludf.DUMMYFUNCTION("""COMPUTED_VALUE"""),"Loan")</f>
        <v>Loan</v>
      </c>
      <c r="U2988" t="str">
        <f>IFERROR(__xludf.DUMMYFUNCTION("""COMPUTED_VALUE"""),"Electric!")</f>
        <v>Electric!</v>
      </c>
      <c r="V2988" t="str">
        <f>IFERROR(__xludf.DUMMYFUNCTION("""COMPUTED_VALUE"""),"Blind spot indicators on side mirrors")</f>
        <v>Blind spot indicators on side mirrors</v>
      </c>
      <c r="X2988" t="str">
        <f>IFERROR(__xludf.DUMMYFUNCTION("""COMPUTED_VALUE"""),"Very Good")</f>
        <v>Very Good</v>
      </c>
      <c r="Y2988" t="str">
        <f>IFERROR(__xludf.DUMMYFUNCTION("""COMPUTED_VALUE"""),"Excellent")</f>
        <v>Excellent</v>
      </c>
      <c r="Z2988" t="str">
        <f>IFERROR(__xludf.DUMMYFUNCTION("""COMPUTED_VALUE"""),"Excellent")</f>
        <v>Excellent</v>
      </c>
      <c r="AA2988" t="str">
        <f>IFERROR(__xludf.DUMMYFUNCTION("""COMPUTED_VALUE"""),"Excellent")</f>
        <v>Excellent</v>
      </c>
      <c r="AB2988" t="str">
        <f>IFERROR(__xludf.DUMMYFUNCTION("""COMPUTED_VALUE"""),"Very Good")</f>
        <v>Very Good</v>
      </c>
      <c r="AC2988">
        <f>IFERROR(__xludf.DUMMYFUNCTION("""COMPUTED_VALUE"""),0.0)</f>
        <v>0</v>
      </c>
      <c r="AF2988" t="str">
        <f>IFERROR(__xludf.DUMMYFUNCTION("""COMPUTED_VALUE"""),"No. I took delivery of the first car Tesla was able to deliver.")</f>
        <v>No. I took delivery of the first car Tesla was able to deliver.</v>
      </c>
      <c r="AH2988" s="189">
        <f>IFERROR(__xludf.DUMMYFUNCTION("""COMPUTED_VALUE"""),44353.486955451386)</f>
        <v>44353.48696</v>
      </c>
    </row>
    <row r="2989">
      <c r="A2989" t="str">
        <f>IFERROR(__xludf.DUMMYFUNCTION("""COMPUTED_VALUE"""),"MarK")</f>
        <v>MarK</v>
      </c>
      <c r="B2989" t="str">
        <f>IFERROR(__xludf.DUMMYFUNCTION("""COMPUTED_VALUE"""),"Everett")</f>
        <v>Everett</v>
      </c>
      <c r="C2989" t="str">
        <f>IFERROR(__xludf.DUMMYFUNCTION("""COMPUTED_VALUE"""),"WA")</f>
        <v>WA</v>
      </c>
      <c r="D2989" t="str">
        <f>IFERROR(__xludf.DUMMYFUNCTION("""COMPUTED_VALUE"""),"USA")</f>
        <v>USA</v>
      </c>
      <c r="E2989" s="188">
        <f>IFERROR(__xludf.DUMMYFUNCTION("""COMPUTED_VALUE"""),44350.0)</f>
        <v>44350</v>
      </c>
      <c r="F2989" s="188">
        <f>IFERROR(__xludf.DUMMYFUNCTION("""COMPUTED_VALUE"""),44408.0)</f>
        <v>44408</v>
      </c>
      <c r="G2989" t="str">
        <f>IFERROR(__xludf.DUMMYFUNCTION("""COMPUTED_VALUE"""),"Manage order page (normal text)")</f>
        <v>Manage order page (normal text)</v>
      </c>
      <c r="H2989">
        <f>IFERROR(__xludf.DUMMYFUNCTION("""COMPUTED_VALUE"""),25155.0)</f>
        <v>25155</v>
      </c>
      <c r="J2989" s="188">
        <f>IFERROR(__xludf.DUMMYFUNCTION("""COMPUTED_VALUE"""),44413.0)</f>
        <v>44413</v>
      </c>
      <c r="K2989">
        <f>IFERROR(__xludf.DUMMYFUNCTION("""COMPUTED_VALUE"""),58.0)</f>
        <v>58</v>
      </c>
      <c r="L2989">
        <f>IFERROR(__xludf.DUMMYFUNCTION("""COMPUTED_VALUE"""),5.0)</f>
        <v>5</v>
      </c>
      <c r="M2989">
        <f>IFERROR(__xludf.DUMMYFUNCTION("""COMPUTED_VALUE"""),63.0)</f>
        <v>63</v>
      </c>
      <c r="N2989" t="str">
        <f>IFERROR(__xludf.DUMMYFUNCTION("""COMPUTED_VALUE"""),"Model 3 SR+")</f>
        <v>Model 3 SR+</v>
      </c>
      <c r="O2989" t="str">
        <f>IFERROR(__xludf.DUMMYFUNCTION("""COMPUTED_VALUE"""),"Pearl White Multi-Coat")</f>
        <v>Pearl White Multi-Coat</v>
      </c>
      <c r="P2989" t="str">
        <f>IFERROR(__xludf.DUMMYFUNCTION("""COMPUTED_VALUE"""),"18 inch")</f>
        <v>18 inch</v>
      </c>
      <c r="Q2989" t="str">
        <f>IFERROR(__xludf.DUMMYFUNCTION("""COMPUTED_VALUE"""),"Black and White")</f>
        <v>Black and White</v>
      </c>
      <c r="R2989" t="str">
        <f>IFERROR(__xludf.DUMMYFUNCTION("""COMPUTED_VALUE"""),"Autopilot included")</f>
        <v>Autopilot included</v>
      </c>
      <c r="S2989" t="str">
        <f>IFERROR(__xludf.DUMMYFUNCTION("""COMPUTED_VALUE"""),"Loan")</f>
        <v>Loan</v>
      </c>
      <c r="T2989" t="str">
        <f>IFERROR(__xludf.DUMMYFUNCTION("""COMPUTED_VALUE"""),"Toyota Sienna")</f>
        <v>Toyota Sienna</v>
      </c>
      <c r="AH2989" s="189">
        <f>IFERROR(__xludf.DUMMYFUNCTION("""COMPUTED_VALUE"""),44410.587611759256)</f>
        <v>44410.58761</v>
      </c>
    </row>
    <row r="2990">
      <c r="A2990" t="str">
        <f>IFERROR(__xludf.DUMMYFUNCTION("""COMPUTED_VALUE"""),"WdLuhn")</f>
        <v>WdLuhn</v>
      </c>
      <c r="B2990" t="str">
        <f>IFERROR(__xludf.DUMMYFUNCTION("""COMPUTED_VALUE"""),"Bristol (Kenosha Cty)")</f>
        <v>Bristol (Kenosha Cty)</v>
      </c>
      <c r="C2990" t="str">
        <f>IFERROR(__xludf.DUMMYFUNCTION("""COMPUTED_VALUE"""),"WI")</f>
        <v>WI</v>
      </c>
      <c r="D2990" t="str">
        <f>IFERROR(__xludf.DUMMYFUNCTION("""COMPUTED_VALUE"""),"USA")</f>
        <v>USA</v>
      </c>
      <c r="E2990" s="188">
        <f>IFERROR(__xludf.DUMMYFUNCTION("""COMPUTED_VALUE"""),44304.0)</f>
        <v>44304</v>
      </c>
      <c r="F2990" s="188">
        <f>IFERROR(__xludf.DUMMYFUNCTION("""COMPUTED_VALUE"""),44392.0)</f>
        <v>44392</v>
      </c>
      <c r="G2990" t="str">
        <f>IFERROR(__xludf.DUMMYFUNCTION("""COMPUTED_VALUE"""),"Manage order page (normal text)")</f>
        <v>Manage order page (normal text)</v>
      </c>
      <c r="H2990">
        <f>IFERROR(__xludf.DUMMYFUNCTION("""COMPUTED_VALUE"""),19455.0)</f>
        <v>19455</v>
      </c>
      <c r="J2990" s="188">
        <f>IFERROR(__xludf.DUMMYFUNCTION("""COMPUTED_VALUE"""),44418.0)</f>
        <v>44418</v>
      </c>
      <c r="K2990">
        <f>IFERROR(__xludf.DUMMYFUNCTION("""COMPUTED_VALUE"""),88.0)</f>
        <v>88</v>
      </c>
      <c r="L2990">
        <f>IFERROR(__xludf.DUMMYFUNCTION("""COMPUTED_VALUE"""),26.0)</f>
        <v>26</v>
      </c>
      <c r="M2990">
        <f>IFERROR(__xludf.DUMMYFUNCTION("""COMPUTED_VALUE"""),114.0)</f>
        <v>114</v>
      </c>
      <c r="N2990" t="str">
        <f>IFERROR(__xludf.DUMMYFUNCTION("""COMPUTED_VALUE"""),"Model 3 LR AWD")</f>
        <v>Model 3 LR AWD</v>
      </c>
      <c r="O2990" t="str">
        <f>IFERROR(__xludf.DUMMYFUNCTION("""COMPUTED_VALUE"""),"Deep Blue Metallic")</f>
        <v>Deep Blue Metallic</v>
      </c>
      <c r="P2990" t="str">
        <f>IFERROR(__xludf.DUMMYFUNCTION("""COMPUTED_VALUE"""),"18 inch")</f>
        <v>18 inch</v>
      </c>
      <c r="Q2990" t="str">
        <f>IFERROR(__xludf.DUMMYFUNCTION("""COMPUTED_VALUE"""),"All Black")</f>
        <v>All Black</v>
      </c>
      <c r="R2990" t="str">
        <f>IFERROR(__xludf.DUMMYFUNCTION("""COMPUTED_VALUE"""),"Autopilot included")</f>
        <v>Autopilot included</v>
      </c>
      <c r="S2990" t="str">
        <f>IFERROR(__xludf.DUMMYFUNCTION("""COMPUTED_VALUE"""),"Loan")</f>
        <v>Loan</v>
      </c>
      <c r="T2990" t="str">
        <f>IFERROR(__xludf.DUMMYFUNCTION("""COMPUTED_VALUE"""),"Subaru Outback")</f>
        <v>Subaru Outback</v>
      </c>
      <c r="U2990" t="str">
        <f>IFERROR(__xludf.DUMMYFUNCTION("""COMPUTED_VALUE"""),"Electric!")</f>
        <v>Electric!</v>
      </c>
      <c r="V2990" t="str">
        <f>IFERROR(__xludf.DUMMYFUNCTION("""COMPUTED_VALUE"""),"Apple CarPlay / Android Auto / SiriusXM Radio")</f>
        <v>Apple CarPlay / Android Auto / SiriusXM Radio</v>
      </c>
      <c r="X2990" t="str">
        <f>IFERROR(__xludf.DUMMYFUNCTION("""COMPUTED_VALUE"""),"Very Good")</f>
        <v>Very Good</v>
      </c>
      <c r="Y2990" t="str">
        <f>IFERROR(__xludf.DUMMYFUNCTION("""COMPUTED_VALUE"""),"Very Good")</f>
        <v>Very Good</v>
      </c>
      <c r="Z2990" t="str">
        <f>IFERROR(__xludf.DUMMYFUNCTION("""COMPUTED_VALUE"""),"Very Good")</f>
        <v>Very Good</v>
      </c>
      <c r="AA2990" t="str">
        <f>IFERROR(__xludf.DUMMYFUNCTION("""COMPUTED_VALUE"""),"Fair")</f>
        <v>Fair</v>
      </c>
      <c r="AB2990" t="str">
        <f>IFERROR(__xludf.DUMMYFUNCTION("""COMPUTED_VALUE"""),"Good")</f>
        <v>Good</v>
      </c>
      <c r="AC2990">
        <f>IFERROR(__xludf.DUMMYFUNCTION("""COMPUTED_VALUE"""),1.0)</f>
        <v>1</v>
      </c>
      <c r="AD2990">
        <f>IFERROR(__xludf.DUMMYFUNCTION("""COMPUTED_VALUE"""),1.0)</f>
        <v>1</v>
      </c>
      <c r="AE2990">
        <f>IFERROR(__xludf.DUMMYFUNCTION("""COMPUTED_VALUE"""),18.0)</f>
        <v>18</v>
      </c>
      <c r="AH2990" s="189">
        <f>IFERROR(__xludf.DUMMYFUNCTION("""COMPUTED_VALUE"""),44434.47216275463)</f>
        <v>44434.47216</v>
      </c>
    </row>
    <row r="2991">
      <c r="A2991" t="str">
        <f>IFERROR(__xludf.DUMMYFUNCTION("""COMPUTED_VALUE"""),"SeanM")</f>
        <v>SeanM</v>
      </c>
      <c r="B2991" t="str">
        <f>IFERROR(__xludf.DUMMYFUNCTION("""COMPUTED_VALUE"""),"Hillsboro")</f>
        <v>Hillsboro</v>
      </c>
      <c r="C2991" t="str">
        <f>IFERROR(__xludf.DUMMYFUNCTION("""COMPUTED_VALUE"""),"OR")</f>
        <v>OR</v>
      </c>
      <c r="D2991" t="str">
        <f>IFERROR(__xludf.DUMMYFUNCTION("""COMPUTED_VALUE"""),"USA")</f>
        <v>USA</v>
      </c>
      <c r="E2991" s="188">
        <f>IFERROR(__xludf.DUMMYFUNCTION("""COMPUTED_VALUE"""),44353.0)</f>
        <v>44353</v>
      </c>
      <c r="F2991" s="188">
        <f>IFERROR(__xludf.DUMMYFUNCTION("""COMPUTED_VALUE"""),44364.0)</f>
        <v>44364</v>
      </c>
      <c r="G2991" t="str">
        <f>IFERROR(__xludf.DUMMYFUNCTION("""COMPUTED_VALUE"""),"Changed order to purchase demo unit with 450 miles.  Nearly identical to original order (18"" wheels on original order vs 19"" with the one I am purchasing)")</f>
        <v>Changed order to purchase demo unit with 450 miles.  Nearly identical to original order (18" wheels on original order vs 19" with the one I am purchasing)</v>
      </c>
      <c r="H2991">
        <f>IFERROR(__xludf.DUMMYFUNCTION("""COMPUTED_VALUE"""),975955.0)</f>
        <v>975955</v>
      </c>
      <c r="I2991" t="str">
        <f>IFERROR(__xludf.DUMMYFUNCTION("""COMPUTED_VALUE"""),"05/21")</f>
        <v>05/21</v>
      </c>
      <c r="J2991" s="188">
        <f>IFERROR(__xludf.DUMMYFUNCTION("""COMPUTED_VALUE"""),44373.0)</f>
        <v>44373</v>
      </c>
      <c r="K2991">
        <f>IFERROR(__xludf.DUMMYFUNCTION("""COMPUTED_VALUE"""),11.0)</f>
        <v>11</v>
      </c>
      <c r="L2991">
        <f>IFERROR(__xludf.DUMMYFUNCTION("""COMPUTED_VALUE"""),9.0)</f>
        <v>9</v>
      </c>
      <c r="M2991">
        <f>IFERROR(__xludf.DUMMYFUNCTION("""COMPUTED_VALUE"""),20.0)</f>
        <v>20</v>
      </c>
      <c r="N2991" t="str">
        <f>IFERROR(__xludf.DUMMYFUNCTION("""COMPUTED_VALUE"""),"Model 3 LR AWD")</f>
        <v>Model 3 LR AWD</v>
      </c>
      <c r="O2991" t="str">
        <f>IFERROR(__xludf.DUMMYFUNCTION("""COMPUTED_VALUE"""),"Deep Blue Metallic")</f>
        <v>Deep Blue Metallic</v>
      </c>
      <c r="P2991" t="str">
        <f>IFERROR(__xludf.DUMMYFUNCTION("""COMPUTED_VALUE"""),"19 inch")</f>
        <v>19 inch</v>
      </c>
      <c r="Q2991" t="str">
        <f>IFERROR(__xludf.DUMMYFUNCTION("""COMPUTED_VALUE"""),"Black and White")</f>
        <v>Black and White</v>
      </c>
      <c r="R2991" t="str">
        <f>IFERROR(__xludf.DUMMYFUNCTION("""COMPUTED_VALUE"""),"Full Self-Driving")</f>
        <v>Full Self-Driving</v>
      </c>
      <c r="S2991" t="str">
        <f>IFERROR(__xludf.DUMMYFUNCTION("""COMPUTED_VALUE"""),"Loan")</f>
        <v>Loan</v>
      </c>
      <c r="T2991" t="str">
        <f>IFERROR(__xludf.DUMMYFUNCTION("""COMPUTED_VALUE"""),"Honda Accord")</f>
        <v>Honda Accord</v>
      </c>
      <c r="U2991" t="str">
        <f>IFERROR(__xludf.DUMMYFUNCTION("""COMPUTED_VALUE"""),"Electric!")</f>
        <v>Electric!</v>
      </c>
      <c r="V2991" t="str">
        <f>IFERROR(__xludf.DUMMYFUNCTION("""COMPUTED_VALUE"""),"Apple CarPlay / Android Auto / SiriusXM Radio")</f>
        <v>Apple CarPlay / Android Auto / SiriusXM Radio</v>
      </c>
      <c r="W2991" t="str">
        <f>IFERROR(__xludf.DUMMYFUNCTION("""COMPUTED_VALUE"""),"Check the existing inventory every now and then.  You may get pleasantly surprised being able to skip the line while waiting for your model.")</f>
        <v>Check the existing inventory every now and then.  You may get pleasantly surprised being able to skip the line while waiting for your model.</v>
      </c>
      <c r="X2991" t="str">
        <f>IFERROR(__xludf.DUMMYFUNCTION("""COMPUTED_VALUE"""),"Excellent")</f>
        <v>Excellent</v>
      </c>
      <c r="Y2991" t="str">
        <f>IFERROR(__xludf.DUMMYFUNCTION("""COMPUTED_VALUE"""),"Excellent")</f>
        <v>Excellent</v>
      </c>
      <c r="Z2991" t="str">
        <f>IFERROR(__xludf.DUMMYFUNCTION("""COMPUTED_VALUE"""),"Very Good")</f>
        <v>Very Good</v>
      </c>
      <c r="AA2991" t="str">
        <f>IFERROR(__xludf.DUMMYFUNCTION("""COMPUTED_VALUE"""),"Poor")</f>
        <v>Poor</v>
      </c>
      <c r="AB2991" t="str">
        <f>IFERROR(__xludf.DUMMYFUNCTION("""COMPUTED_VALUE"""),"Good")</f>
        <v>Good</v>
      </c>
      <c r="AC2991">
        <f>IFERROR(__xludf.DUMMYFUNCTION("""COMPUTED_VALUE"""),2.0)</f>
        <v>2</v>
      </c>
      <c r="AD2991">
        <f>IFERROR(__xludf.DUMMYFUNCTION("""COMPUTED_VALUE"""),2.0)</f>
        <v>2</v>
      </c>
      <c r="AF2991" t="str">
        <f>IFERROR(__xludf.DUMMYFUNCTION("""COMPUTED_VALUE"""),"No. I took delivery of the first car Tesla was able to deliver.")</f>
        <v>No. I took delivery of the first car Tesla was able to deliver.</v>
      </c>
      <c r="AG2991" t="str">
        <f>IFERROR(__xludf.DUMMYFUNCTION("""COMPUTED_VALUE"""),"Issues with this process were minor as of the first day. Car was delivered but didn’t get any notification that it was. One small chip in the paint on the front hood. Communication with my main sales specialist sucked over e-mail, but everyone I spoke wit"&amp;"h at my local Tesla office answered all my questions perfectly. Update 7/1 - Well, one day after I accepted the vehicle, my rear reflex right hand side developed a stress crack, most likely due to the heat wave we experienced.  Fixed 4 days after reportin"&amp;"g.  Also have to bring the car in for a sound system repair (front passenger speaker has a short or loose wiring causing it to have static when going over bumps at times).  Will let people know how that repair went.")</f>
        <v>Issues with this process were minor as of the first day. Car was delivered but didn’t get any notification that it was. One small chip in the paint on the front hood. Communication with my main sales specialist sucked over e-mail, but everyone I spoke with at my local Tesla office answered all my questions perfectly. Update 7/1 - Well, one day after I accepted the vehicle, my rear reflex right hand side developed a stress crack, most likely due to the heat wave we experienced.  Fixed 4 days after reporting.  Also have to bring the car in for a sound system repair (front passenger speaker has a short or loose wiring causing it to have static when going over bumps at times).  Will let people know how that repair went.</v>
      </c>
      <c r="AH2991" s="189">
        <f>IFERROR(__xludf.DUMMYFUNCTION("""COMPUTED_VALUE"""),44378.590355625)</f>
        <v>44378.59036</v>
      </c>
    </row>
    <row r="2992">
      <c r="A2992" t="str">
        <f>IFERROR(__xludf.DUMMYFUNCTION("""COMPUTED_VALUE"""),"Gregoryj")</f>
        <v>Gregoryj</v>
      </c>
      <c r="B2992" t="str">
        <f>IFERROR(__xludf.DUMMYFUNCTION("""COMPUTED_VALUE"""),"Lac Du Bonnet")</f>
        <v>Lac Du Bonnet</v>
      </c>
      <c r="C2992" t="str">
        <f>IFERROR(__xludf.DUMMYFUNCTION("""COMPUTED_VALUE"""),"MB")</f>
        <v>MB</v>
      </c>
      <c r="D2992" t="str">
        <f>IFERROR(__xludf.DUMMYFUNCTION("""COMPUTED_VALUE"""),"Canada")</f>
        <v>Canada</v>
      </c>
      <c r="E2992" s="188">
        <f>IFERROR(__xludf.DUMMYFUNCTION("""COMPUTED_VALUE"""),44288.0)</f>
        <v>44288</v>
      </c>
      <c r="F2992" s="188">
        <f>IFERROR(__xludf.DUMMYFUNCTION("""COMPUTED_VALUE"""),44420.0)</f>
        <v>44420</v>
      </c>
      <c r="G2992" t="str">
        <f>IFERROR(__xludf.DUMMYFUNCTION("""COMPUTED_VALUE"""),"Source code")</f>
        <v>Source code</v>
      </c>
      <c r="H2992">
        <f>IFERROR(__xludf.DUMMYFUNCTION("""COMPUTED_VALUE"""),34155.0)</f>
        <v>34155</v>
      </c>
      <c r="I2992" t="str">
        <f>IFERROR(__xludf.DUMMYFUNCTION("""COMPUTED_VALUE"""),"08/21")</f>
        <v>08/21</v>
      </c>
      <c r="J2992" s="188">
        <f>IFERROR(__xludf.DUMMYFUNCTION("""COMPUTED_VALUE"""),44433.0)</f>
        <v>44433</v>
      </c>
      <c r="K2992">
        <f>IFERROR(__xludf.DUMMYFUNCTION("""COMPUTED_VALUE"""),132.0)</f>
        <v>132</v>
      </c>
      <c r="L2992">
        <f>IFERROR(__xludf.DUMMYFUNCTION("""COMPUTED_VALUE"""),13.0)</f>
        <v>13</v>
      </c>
      <c r="M2992">
        <f>IFERROR(__xludf.DUMMYFUNCTION("""COMPUTED_VALUE"""),145.0)</f>
        <v>145</v>
      </c>
      <c r="N2992" t="str">
        <f>IFERROR(__xludf.DUMMYFUNCTION("""COMPUTED_VALUE"""),"Model 3 LR AWD")</f>
        <v>Model 3 LR AWD</v>
      </c>
      <c r="O2992" t="str">
        <f>IFERROR(__xludf.DUMMYFUNCTION("""COMPUTED_VALUE"""),"Solid Black")</f>
        <v>Solid Black</v>
      </c>
      <c r="P2992" t="str">
        <f>IFERROR(__xludf.DUMMYFUNCTION("""COMPUTED_VALUE"""),"18 inch")</f>
        <v>18 inch</v>
      </c>
      <c r="Q2992" t="str">
        <f>IFERROR(__xludf.DUMMYFUNCTION("""COMPUTED_VALUE"""),"All Black")</f>
        <v>All Black</v>
      </c>
      <c r="R2992" t="str">
        <f>IFERROR(__xludf.DUMMYFUNCTION("""COMPUTED_VALUE"""),"Autopilot included")</f>
        <v>Autopilot included</v>
      </c>
      <c r="S2992" t="str">
        <f>IFERROR(__xludf.DUMMYFUNCTION("""COMPUTED_VALUE"""),"Cash")</f>
        <v>Cash</v>
      </c>
      <c r="T2992" t="str">
        <f>IFERROR(__xludf.DUMMYFUNCTION("""COMPUTED_VALUE"""),"Chevy Impala")</f>
        <v>Chevy Impala</v>
      </c>
      <c r="U2992" t="str">
        <f>IFERROR(__xludf.DUMMYFUNCTION("""COMPUTED_VALUE"""),"Electric!")</f>
        <v>Electric!</v>
      </c>
      <c r="V2992" t="str">
        <f>IFERROR(__xludf.DUMMYFUNCTION("""COMPUTED_VALUE"""),"Dashboard")</f>
        <v>Dashboard</v>
      </c>
      <c r="W2992" t="str">
        <f>IFERROR(__xludf.DUMMYFUNCTION("""COMPUTED_VALUE"""),"If EDD waiting gets extremely long like mine did, starting watching inventory")</f>
        <v>If EDD waiting gets extremely long like mine did, starting watching inventory</v>
      </c>
      <c r="X2992" t="str">
        <f>IFERROR(__xludf.DUMMYFUNCTION("""COMPUTED_VALUE"""),"Excellent")</f>
        <v>Excellent</v>
      </c>
      <c r="Y2992" t="str">
        <f>IFERROR(__xludf.DUMMYFUNCTION("""COMPUTED_VALUE"""),"Excellent")</f>
        <v>Excellent</v>
      </c>
      <c r="Z2992" t="str">
        <f>IFERROR(__xludf.DUMMYFUNCTION("""COMPUTED_VALUE"""),"Excellent")</f>
        <v>Excellent</v>
      </c>
      <c r="AA2992" t="str">
        <f>IFERROR(__xludf.DUMMYFUNCTION("""COMPUTED_VALUE"""),"Excellent")</f>
        <v>Excellent</v>
      </c>
      <c r="AB2992" t="str">
        <f>IFERROR(__xludf.DUMMYFUNCTION("""COMPUTED_VALUE"""),"Excellent")</f>
        <v>Excellent</v>
      </c>
      <c r="AG2992" t="str">
        <f>IFERROR(__xludf.DUMMYFUNCTION("""COMPUTED_VALUE"""),"Found a M3 in inventory")</f>
        <v>Found a M3 in inventory</v>
      </c>
      <c r="AH2992" s="189">
        <f>IFERROR(__xludf.DUMMYFUNCTION("""COMPUTED_VALUE"""),44434.81581475695)</f>
        <v>44434.81581</v>
      </c>
    </row>
    <row r="2993">
      <c r="A2993" t="str">
        <f>IFERROR(__xludf.DUMMYFUNCTION("""COMPUTED_VALUE"""),"Travelguy73")</f>
        <v>Travelguy73</v>
      </c>
      <c r="B2993" t="str">
        <f>IFERROR(__xludf.DUMMYFUNCTION("""COMPUTED_VALUE"""),"Houston")</f>
        <v>Houston</v>
      </c>
      <c r="C2993" t="str">
        <f>IFERROR(__xludf.DUMMYFUNCTION("""COMPUTED_VALUE"""),"TX")</f>
        <v>TX</v>
      </c>
      <c r="D2993" t="str">
        <f>IFERROR(__xludf.DUMMYFUNCTION("""COMPUTED_VALUE"""),"USA")</f>
        <v>USA</v>
      </c>
      <c r="E2993" s="188">
        <f>IFERROR(__xludf.DUMMYFUNCTION("""COMPUTED_VALUE"""),44354.0)</f>
        <v>44354</v>
      </c>
      <c r="F2993" s="188">
        <f>IFERROR(__xludf.DUMMYFUNCTION("""COMPUTED_VALUE"""),44393.0)</f>
        <v>44393</v>
      </c>
      <c r="G2993" t="str">
        <f>IFERROR(__xludf.DUMMYFUNCTION("""COMPUTED_VALUE"""),"Manage order page (normal text)")</f>
        <v>Manage order page (normal text)</v>
      </c>
      <c r="H2993">
        <f>IFERROR(__xludf.DUMMYFUNCTION("""COMPUTED_VALUE"""),19475.0)</f>
        <v>19475</v>
      </c>
      <c r="I2993" t="str">
        <f>IFERROR(__xludf.DUMMYFUNCTION("""COMPUTED_VALUE"""),"07/21")</f>
        <v>07/21</v>
      </c>
      <c r="J2993" s="188">
        <f>IFERROR(__xludf.DUMMYFUNCTION("""COMPUTED_VALUE"""),44407.0)</f>
        <v>44407</v>
      </c>
      <c r="K2993">
        <f>IFERROR(__xludf.DUMMYFUNCTION("""COMPUTED_VALUE"""),39.0)</f>
        <v>39</v>
      </c>
      <c r="L2993">
        <f>IFERROR(__xludf.DUMMYFUNCTION("""COMPUTED_VALUE"""),14.0)</f>
        <v>14</v>
      </c>
      <c r="M2993">
        <f>IFERROR(__xludf.DUMMYFUNCTION("""COMPUTED_VALUE"""),53.0)</f>
        <v>53</v>
      </c>
      <c r="N2993" t="str">
        <f>IFERROR(__xludf.DUMMYFUNCTION("""COMPUTED_VALUE"""),"Model 3 LR AWD")</f>
        <v>Model 3 LR AWD</v>
      </c>
      <c r="O2993" t="str">
        <f>IFERROR(__xludf.DUMMYFUNCTION("""COMPUTED_VALUE"""),"Midnight Silver Metallic")</f>
        <v>Midnight Silver Metallic</v>
      </c>
      <c r="P2993" t="str">
        <f>IFERROR(__xludf.DUMMYFUNCTION("""COMPUTED_VALUE"""),"18 inch")</f>
        <v>18 inch</v>
      </c>
      <c r="Q2993" t="str">
        <f>IFERROR(__xludf.DUMMYFUNCTION("""COMPUTED_VALUE"""),"All Black")</f>
        <v>All Black</v>
      </c>
      <c r="R2993" t="str">
        <f>IFERROR(__xludf.DUMMYFUNCTION("""COMPUTED_VALUE"""),"Autopilot included")</f>
        <v>Autopilot included</v>
      </c>
      <c r="S2993" t="str">
        <f>IFERROR(__xludf.DUMMYFUNCTION("""COMPUTED_VALUE"""),"Loan")</f>
        <v>Loan</v>
      </c>
      <c r="T2993" t="str">
        <f>IFERROR(__xludf.DUMMYFUNCTION("""COMPUTED_VALUE"""),"BMW 5 Series")</f>
        <v>BMW 5 Series</v>
      </c>
      <c r="U2993" t="str">
        <f>IFERROR(__xludf.DUMMYFUNCTION("""COMPUTED_VALUE"""),"Electric!")</f>
        <v>Electric!</v>
      </c>
      <c r="V2993" t="str">
        <f>IFERROR(__xludf.DUMMYFUNCTION("""COMPUTED_VALUE"""),"Head-up display")</f>
        <v>Head-up display</v>
      </c>
      <c r="X2993" t="str">
        <f>IFERROR(__xludf.DUMMYFUNCTION("""COMPUTED_VALUE"""),"Very Good")</f>
        <v>Very Good</v>
      </c>
      <c r="Y2993" t="str">
        <f>IFERROR(__xludf.DUMMYFUNCTION("""COMPUTED_VALUE"""),"Excellent")</f>
        <v>Excellent</v>
      </c>
      <c r="Z2993" t="str">
        <f>IFERROR(__xludf.DUMMYFUNCTION("""COMPUTED_VALUE"""),"Excellent")</f>
        <v>Excellent</v>
      </c>
      <c r="AA2993" t="str">
        <f>IFERROR(__xludf.DUMMYFUNCTION("""COMPUTED_VALUE"""),"Good")</f>
        <v>Good</v>
      </c>
      <c r="AB2993" t="str">
        <f>IFERROR(__xludf.DUMMYFUNCTION("""COMPUTED_VALUE"""),"Good")</f>
        <v>Good</v>
      </c>
      <c r="AC2993">
        <f>IFERROR(__xludf.DUMMYFUNCTION("""COMPUTED_VALUE"""),3.0)</f>
        <v>3</v>
      </c>
      <c r="AD2993">
        <f>IFERROR(__xludf.DUMMYFUNCTION("""COMPUTED_VALUE"""),1.0)</f>
        <v>1</v>
      </c>
      <c r="AF2993" t="str">
        <f>IFERROR(__xludf.DUMMYFUNCTION("""COMPUTED_VALUE"""),"No. I took delivery of the first car Tesla was able to deliver.")</f>
        <v>No. I took delivery of the first car Tesla was able to deliver.</v>
      </c>
      <c r="AH2993" s="189">
        <f>IFERROR(__xludf.DUMMYFUNCTION("""COMPUTED_VALUE"""),44410.45691821759)</f>
        <v>44410.45692</v>
      </c>
    </row>
    <row r="2994">
      <c r="A2994" t="str">
        <f>IFERROR(__xludf.DUMMYFUNCTION("""COMPUTED_VALUE"""),"Erik")</f>
        <v>Erik</v>
      </c>
      <c r="B2994" t="str">
        <f>IFERROR(__xludf.DUMMYFUNCTION("""COMPUTED_VALUE"""),"Melbourne")</f>
        <v>Melbourne</v>
      </c>
      <c r="D2994" t="str">
        <f>IFERROR(__xludf.DUMMYFUNCTION("""COMPUTED_VALUE"""),"Other (include country together with city)")</f>
        <v>Other (include country together with city)</v>
      </c>
      <c r="E2994" s="188">
        <f>IFERROR(__xludf.DUMMYFUNCTION("""COMPUTED_VALUE"""),44326.0)</f>
        <v>44326</v>
      </c>
      <c r="F2994" s="188">
        <f>IFERROR(__xludf.DUMMYFUNCTION("""COMPUTED_VALUE"""),44327.0)</f>
        <v>44327</v>
      </c>
      <c r="G2994" t="str">
        <f>IFERROR(__xludf.DUMMYFUNCTION("""COMPUTED_VALUE"""),"Text message")</f>
        <v>Text message</v>
      </c>
      <c r="I2994" t="str">
        <f>IFERROR(__xludf.DUMMYFUNCTION("""COMPUTED_VALUE"""),"04/21")</f>
        <v>04/21</v>
      </c>
      <c r="J2994" s="188">
        <f>IFERROR(__xludf.DUMMYFUNCTION("""COMPUTED_VALUE"""),44343.0)</f>
        <v>44343</v>
      </c>
      <c r="K2994">
        <f>IFERROR(__xludf.DUMMYFUNCTION("""COMPUTED_VALUE"""),1.0)</f>
        <v>1</v>
      </c>
      <c r="L2994">
        <f>IFERROR(__xludf.DUMMYFUNCTION("""COMPUTED_VALUE"""),16.0)</f>
        <v>16</v>
      </c>
      <c r="M2994">
        <f>IFERROR(__xludf.DUMMYFUNCTION("""COMPUTED_VALUE"""),17.0)</f>
        <v>17</v>
      </c>
      <c r="N2994" t="str">
        <f>IFERROR(__xludf.DUMMYFUNCTION("""COMPUTED_VALUE"""),"Model 3 SR+")</f>
        <v>Model 3 SR+</v>
      </c>
      <c r="O2994" t="str">
        <f>IFERROR(__xludf.DUMMYFUNCTION("""COMPUTED_VALUE"""),"Red Multi-Coat")</f>
        <v>Red Multi-Coat</v>
      </c>
      <c r="P2994" t="str">
        <f>IFERROR(__xludf.DUMMYFUNCTION("""COMPUTED_VALUE"""),"18 inch")</f>
        <v>18 inch</v>
      </c>
      <c r="Q2994" t="str">
        <f>IFERROR(__xludf.DUMMYFUNCTION("""COMPUTED_VALUE"""),"All Black")</f>
        <v>All Black</v>
      </c>
      <c r="R2994" t="str">
        <f>IFERROR(__xludf.DUMMYFUNCTION("""COMPUTED_VALUE"""),"Autopilot included")</f>
        <v>Autopilot included</v>
      </c>
      <c r="S2994" t="str">
        <f>IFERROR(__xludf.DUMMYFUNCTION("""COMPUTED_VALUE"""),"Cash")</f>
        <v>Cash</v>
      </c>
      <c r="T2994" t="str">
        <f>IFERROR(__xludf.DUMMYFUNCTION("""COMPUTED_VALUE"""),"Audi Q5")</f>
        <v>Audi Q5</v>
      </c>
      <c r="U2994" t="str">
        <f>IFERROR(__xludf.DUMMYFUNCTION("""COMPUTED_VALUE"""),"Electric!")</f>
        <v>Electric!</v>
      </c>
      <c r="V2994" t="str">
        <f>IFERROR(__xludf.DUMMYFUNCTION("""COMPUTED_VALUE"""),"Head-up display")</f>
        <v>Head-up display</v>
      </c>
      <c r="X2994" t="str">
        <f>IFERROR(__xludf.DUMMYFUNCTION("""COMPUTED_VALUE"""),"Excellent")</f>
        <v>Excellent</v>
      </c>
      <c r="Y2994" t="str">
        <f>IFERROR(__xludf.DUMMYFUNCTION("""COMPUTED_VALUE"""),"Excellent")</f>
        <v>Excellent</v>
      </c>
      <c r="Z2994" t="str">
        <f>IFERROR(__xludf.DUMMYFUNCTION("""COMPUTED_VALUE"""),"Excellent")</f>
        <v>Excellent</v>
      </c>
      <c r="AA2994" t="str">
        <f>IFERROR(__xludf.DUMMYFUNCTION("""COMPUTED_VALUE"""),"Excellent")</f>
        <v>Excellent</v>
      </c>
      <c r="AB2994" t="str">
        <f>IFERROR(__xludf.DUMMYFUNCTION("""COMPUTED_VALUE"""),"Excellent")</f>
        <v>Excellent</v>
      </c>
      <c r="AC2994">
        <f>IFERROR(__xludf.DUMMYFUNCTION("""COMPUTED_VALUE"""),0.0)</f>
        <v>0</v>
      </c>
      <c r="AD2994">
        <f>IFERROR(__xludf.DUMMYFUNCTION("""COMPUTED_VALUE"""),0.0)</f>
        <v>0</v>
      </c>
      <c r="AE2994">
        <f>IFERROR(__xludf.DUMMYFUNCTION("""COMPUTED_VALUE"""),0.0)</f>
        <v>0</v>
      </c>
      <c r="AF2994" t="str">
        <f>IFERROR(__xludf.DUMMYFUNCTION("""COMPUTED_VALUE"""),"No. I took delivery of the first car Tesla was able to deliver.")</f>
        <v>No. I took delivery of the first car Tesla was able to deliver.</v>
      </c>
      <c r="AH2994" s="189">
        <f>IFERROR(__xludf.DUMMYFUNCTION("""COMPUTED_VALUE"""),44355.27056733797)</f>
        <v>44355.27057</v>
      </c>
    </row>
    <row r="2995">
      <c r="A2995" t="str">
        <f>IFERROR(__xludf.DUMMYFUNCTION("""COMPUTED_VALUE"""),"JH")</f>
        <v>JH</v>
      </c>
      <c r="B2995" t="str">
        <f>IFERROR(__xludf.DUMMYFUNCTION("""COMPUTED_VALUE"""),"Houston")</f>
        <v>Houston</v>
      </c>
      <c r="C2995" t="str">
        <f>IFERROR(__xludf.DUMMYFUNCTION("""COMPUTED_VALUE"""),"TX")</f>
        <v>TX</v>
      </c>
      <c r="D2995" t="str">
        <f>IFERROR(__xludf.DUMMYFUNCTION("""COMPUTED_VALUE"""),"USA")</f>
        <v>USA</v>
      </c>
      <c r="E2995" s="188">
        <f>IFERROR(__xludf.DUMMYFUNCTION("""COMPUTED_VALUE"""),44350.0)</f>
        <v>44350</v>
      </c>
      <c r="F2995" s="188">
        <f>IFERROR(__xludf.DUMMYFUNCTION("""COMPUTED_VALUE"""),44391.0)</f>
        <v>44391</v>
      </c>
      <c r="G2995" t="str">
        <f>IFERROR(__xludf.DUMMYFUNCTION("""COMPUTED_VALUE"""),"Manage order page (normal text)")</f>
        <v>Manage order page (normal text)</v>
      </c>
      <c r="J2995" s="188">
        <f>IFERROR(__xludf.DUMMYFUNCTION("""COMPUTED_VALUE"""),44402.0)</f>
        <v>44402</v>
      </c>
      <c r="K2995">
        <f>IFERROR(__xludf.DUMMYFUNCTION("""COMPUTED_VALUE"""),41.0)</f>
        <v>41</v>
      </c>
      <c r="L2995">
        <f>IFERROR(__xludf.DUMMYFUNCTION("""COMPUTED_VALUE"""),11.0)</f>
        <v>11</v>
      </c>
      <c r="M2995">
        <f>IFERROR(__xludf.DUMMYFUNCTION("""COMPUTED_VALUE"""),52.0)</f>
        <v>52</v>
      </c>
      <c r="N2995" t="str">
        <f>IFERROR(__xludf.DUMMYFUNCTION("""COMPUTED_VALUE"""),"Model 3 LR AWD")</f>
        <v>Model 3 LR AWD</v>
      </c>
      <c r="O2995" t="str">
        <f>IFERROR(__xludf.DUMMYFUNCTION("""COMPUTED_VALUE"""),"Deep Blue Metallic")</f>
        <v>Deep Blue Metallic</v>
      </c>
      <c r="P2995" t="str">
        <f>IFERROR(__xludf.DUMMYFUNCTION("""COMPUTED_VALUE"""),"18 inch")</f>
        <v>18 inch</v>
      </c>
      <c r="Q2995" t="str">
        <f>IFERROR(__xludf.DUMMYFUNCTION("""COMPUTED_VALUE"""),"Black and White")</f>
        <v>Black and White</v>
      </c>
      <c r="R2995" t="str">
        <f>IFERROR(__xludf.DUMMYFUNCTION("""COMPUTED_VALUE"""),"Autopilot included")</f>
        <v>Autopilot included</v>
      </c>
      <c r="S2995" t="str">
        <f>IFERROR(__xludf.DUMMYFUNCTION("""COMPUTED_VALUE"""),"Loan")</f>
        <v>Loan</v>
      </c>
      <c r="T2995" t="str">
        <f>IFERROR(__xludf.DUMMYFUNCTION("""COMPUTED_VALUE"""),"Ford Focus")</f>
        <v>Ford Focus</v>
      </c>
      <c r="U2995" t="str">
        <f>IFERROR(__xludf.DUMMYFUNCTION("""COMPUTED_VALUE"""),"Electric!")</f>
        <v>Electric!</v>
      </c>
      <c r="AH2995" s="189">
        <f>IFERROR(__xludf.DUMMYFUNCTION("""COMPUTED_VALUE"""),44394.01974628472)</f>
        <v>44394.01975</v>
      </c>
    </row>
    <row r="2996">
      <c r="A2996" t="str">
        <f>IFERROR(__xludf.DUMMYFUNCTION("""COMPUTED_VALUE"""),"queenamydala")</f>
        <v>queenamydala</v>
      </c>
      <c r="B2996" t="str">
        <f>IFERROR(__xludf.DUMMYFUNCTION("""COMPUTED_VALUE"""),"Napa")</f>
        <v>Napa</v>
      </c>
      <c r="C2996" t="str">
        <f>IFERROR(__xludf.DUMMYFUNCTION("""COMPUTED_VALUE"""),"CA")</f>
        <v>CA</v>
      </c>
      <c r="D2996" t="str">
        <f>IFERROR(__xludf.DUMMYFUNCTION("""COMPUTED_VALUE"""),"USA")</f>
        <v>USA</v>
      </c>
      <c r="E2996" s="188">
        <f>IFERROR(__xludf.DUMMYFUNCTION("""COMPUTED_VALUE"""),44338.0)</f>
        <v>44338</v>
      </c>
      <c r="F2996" s="188">
        <f>IFERROR(__xludf.DUMMYFUNCTION("""COMPUTED_VALUE"""),44369.0)</f>
        <v>44369</v>
      </c>
      <c r="G2996" t="str">
        <f>IFERROR(__xludf.DUMMYFUNCTION("""COMPUTED_VALUE"""),"Manage order page (normal text)")</f>
        <v>Manage order page (normal text)</v>
      </c>
      <c r="H2996">
        <f>IFERROR(__xludf.DUMMYFUNCTION("""COMPUTED_VALUE"""),998255.0)</f>
        <v>998255</v>
      </c>
      <c r="J2996" s="188">
        <f>IFERROR(__xludf.DUMMYFUNCTION("""COMPUTED_VALUE"""),44370.0)</f>
        <v>44370</v>
      </c>
      <c r="K2996">
        <f>IFERROR(__xludf.DUMMYFUNCTION("""COMPUTED_VALUE"""),31.0)</f>
        <v>31</v>
      </c>
      <c r="L2996">
        <f>IFERROR(__xludf.DUMMYFUNCTION("""COMPUTED_VALUE"""),1.0)</f>
        <v>1</v>
      </c>
      <c r="M2996">
        <f>IFERROR(__xludf.DUMMYFUNCTION("""COMPUTED_VALUE"""),32.0)</f>
        <v>32</v>
      </c>
      <c r="N2996" t="str">
        <f>IFERROR(__xludf.DUMMYFUNCTION("""COMPUTED_VALUE"""),"Model 3 SR+")</f>
        <v>Model 3 SR+</v>
      </c>
      <c r="O2996" t="str">
        <f>IFERROR(__xludf.DUMMYFUNCTION("""COMPUTED_VALUE"""),"Pearl White Multi-Coat")</f>
        <v>Pearl White Multi-Coat</v>
      </c>
      <c r="P2996" t="str">
        <f>IFERROR(__xludf.DUMMYFUNCTION("""COMPUTED_VALUE"""),"18 inch")</f>
        <v>18 inch</v>
      </c>
      <c r="Q2996" t="str">
        <f>IFERROR(__xludf.DUMMYFUNCTION("""COMPUTED_VALUE"""),"All Black")</f>
        <v>All Black</v>
      </c>
      <c r="R2996" t="str">
        <f>IFERROR(__xludf.DUMMYFUNCTION("""COMPUTED_VALUE"""),"Full Self-Driving")</f>
        <v>Full Self-Driving</v>
      </c>
      <c r="S2996" t="str">
        <f>IFERROR(__xludf.DUMMYFUNCTION("""COMPUTED_VALUE"""),"Lease")</f>
        <v>Lease</v>
      </c>
      <c r="T2996" t="str">
        <f>IFERROR(__xludf.DUMMYFUNCTION("""COMPUTED_VALUE"""),"Acura RDX")</f>
        <v>Acura RDX</v>
      </c>
      <c r="U2996" t="str">
        <f>IFERROR(__xludf.DUMMYFUNCTION("""COMPUTED_VALUE"""),"Autopilot")</f>
        <v>Autopilot</v>
      </c>
      <c r="V2996" t="str">
        <f>IFERROR(__xludf.DUMMYFUNCTION("""COMPUTED_VALUE"""),"HomeLink")</f>
        <v>HomeLink</v>
      </c>
      <c r="X2996" t="str">
        <f>IFERROR(__xludf.DUMMYFUNCTION("""COMPUTED_VALUE"""),"Excellent")</f>
        <v>Excellent</v>
      </c>
      <c r="Y2996" t="str">
        <f>IFERROR(__xludf.DUMMYFUNCTION("""COMPUTED_VALUE"""),"Excellent")</f>
        <v>Excellent</v>
      </c>
      <c r="Z2996" t="str">
        <f>IFERROR(__xludf.DUMMYFUNCTION("""COMPUTED_VALUE"""),"Excellent")</f>
        <v>Excellent</v>
      </c>
      <c r="AA2996" t="str">
        <f>IFERROR(__xludf.DUMMYFUNCTION("""COMPUTED_VALUE"""),"Fair")</f>
        <v>Fair</v>
      </c>
      <c r="AB2996" t="str">
        <f>IFERROR(__xludf.DUMMYFUNCTION("""COMPUTED_VALUE"""),"Excellent")</f>
        <v>Excellent</v>
      </c>
      <c r="AF2996" t="str">
        <f>IFERROR(__xludf.DUMMYFUNCTION("""COMPUTED_VALUE"""),"No. I took delivery of the first car Tesla was able to deliver.")</f>
        <v>No. I took delivery of the first car Tesla was able to deliver.</v>
      </c>
      <c r="AH2996" s="189">
        <f>IFERROR(__xludf.DUMMYFUNCTION("""COMPUTED_VALUE"""),44371.60129464121)</f>
        <v>44371.60129</v>
      </c>
    </row>
    <row r="2997">
      <c r="A2997" t="str">
        <f>IFERROR(__xludf.DUMMYFUNCTION("""COMPUTED_VALUE"""),"bfearday")</f>
        <v>bfearday</v>
      </c>
      <c r="B2997" t="str">
        <f>IFERROR(__xludf.DUMMYFUNCTION("""COMPUTED_VALUE"""),"St. Louis")</f>
        <v>St. Louis</v>
      </c>
      <c r="C2997" t="str">
        <f>IFERROR(__xludf.DUMMYFUNCTION("""COMPUTED_VALUE"""),"MO")</f>
        <v>MO</v>
      </c>
      <c r="D2997" t="str">
        <f>IFERROR(__xludf.DUMMYFUNCTION("""COMPUTED_VALUE"""),"USA")</f>
        <v>USA</v>
      </c>
      <c r="E2997" s="188">
        <f>IFERROR(__xludf.DUMMYFUNCTION("""COMPUTED_VALUE"""),44338.0)</f>
        <v>44338</v>
      </c>
      <c r="F2997" s="188">
        <f>IFERROR(__xludf.DUMMYFUNCTION("""COMPUTED_VALUE"""),44394.0)</f>
        <v>44394</v>
      </c>
      <c r="G2997" t="str">
        <f>IFERROR(__xludf.DUMMYFUNCTION("""COMPUTED_VALUE"""),"Manage order page (normal text)")</f>
        <v>Manage order page (normal text)</v>
      </c>
      <c r="H2997">
        <f>IFERROR(__xludf.DUMMYFUNCTION("""COMPUTED_VALUE"""),18839.0)</f>
        <v>18839</v>
      </c>
      <c r="J2997" s="188">
        <f>IFERROR(__xludf.DUMMYFUNCTION("""COMPUTED_VALUE"""),44407.0)</f>
        <v>44407</v>
      </c>
      <c r="K2997">
        <f>IFERROR(__xludf.DUMMYFUNCTION("""COMPUTED_VALUE"""),56.0)</f>
        <v>56</v>
      </c>
      <c r="L2997">
        <f>IFERROR(__xludf.DUMMYFUNCTION("""COMPUTED_VALUE"""),13.0)</f>
        <v>13</v>
      </c>
      <c r="M2997">
        <f>IFERROR(__xludf.DUMMYFUNCTION("""COMPUTED_VALUE"""),69.0)</f>
        <v>69</v>
      </c>
      <c r="N2997" t="str">
        <f>IFERROR(__xludf.DUMMYFUNCTION("""COMPUTED_VALUE"""),"Model 3 SR+")</f>
        <v>Model 3 SR+</v>
      </c>
      <c r="O2997" t="str">
        <f>IFERROR(__xludf.DUMMYFUNCTION("""COMPUTED_VALUE"""),"Deep Blue Metallic")</f>
        <v>Deep Blue Metallic</v>
      </c>
      <c r="P2997" t="str">
        <f>IFERROR(__xludf.DUMMYFUNCTION("""COMPUTED_VALUE"""),"18 inch")</f>
        <v>18 inch</v>
      </c>
      <c r="Q2997" t="str">
        <f>IFERROR(__xludf.DUMMYFUNCTION("""COMPUTED_VALUE"""),"Black and White")</f>
        <v>Black and White</v>
      </c>
      <c r="R2997" t="str">
        <f>IFERROR(__xludf.DUMMYFUNCTION("""COMPUTED_VALUE"""),"Autopilot included")</f>
        <v>Autopilot included</v>
      </c>
      <c r="S2997" t="str">
        <f>IFERROR(__xludf.DUMMYFUNCTION("""COMPUTED_VALUE"""),"Loan")</f>
        <v>Loan</v>
      </c>
      <c r="T2997" t="str">
        <f>IFERROR(__xludf.DUMMYFUNCTION("""COMPUTED_VALUE"""),"Mitsubishi Lancer")</f>
        <v>Mitsubishi Lancer</v>
      </c>
      <c r="U2997" t="str">
        <f>IFERROR(__xludf.DUMMYFUNCTION("""COMPUTED_VALUE"""),"Tesla brand image")</f>
        <v>Tesla brand image</v>
      </c>
      <c r="V2997" t="str">
        <f>IFERROR(__xludf.DUMMYFUNCTION("""COMPUTED_VALUE"""),"More control via app")</f>
        <v>More control via app</v>
      </c>
      <c r="X2997" t="str">
        <f>IFERROR(__xludf.DUMMYFUNCTION("""COMPUTED_VALUE"""),"Excellent")</f>
        <v>Excellent</v>
      </c>
      <c r="Y2997" t="str">
        <f>IFERROR(__xludf.DUMMYFUNCTION("""COMPUTED_VALUE"""),"Excellent")</f>
        <v>Excellent</v>
      </c>
      <c r="Z2997" t="str">
        <f>IFERROR(__xludf.DUMMYFUNCTION("""COMPUTED_VALUE"""),"Excellent")</f>
        <v>Excellent</v>
      </c>
      <c r="AA2997" t="str">
        <f>IFERROR(__xludf.DUMMYFUNCTION("""COMPUTED_VALUE"""),"Very Good")</f>
        <v>Very Good</v>
      </c>
      <c r="AB2997" t="str">
        <f>IFERROR(__xludf.DUMMYFUNCTION("""COMPUTED_VALUE"""),"Very Good")</f>
        <v>Very Good</v>
      </c>
      <c r="AF2997" t="str">
        <f>IFERROR(__xludf.DUMMYFUNCTION("""COMPUTED_VALUE"""),"No. I took delivery of the first car Tesla was able to deliver.")</f>
        <v>No. I took delivery of the first car Tesla was able to deliver.</v>
      </c>
      <c r="AH2997" s="189">
        <f>IFERROR(__xludf.DUMMYFUNCTION("""COMPUTED_VALUE"""),44409.53303101852)</f>
        <v>44409.53303</v>
      </c>
    </row>
    <row r="2998">
      <c r="A2998" t="str">
        <f>IFERROR(__xludf.DUMMYFUNCTION("""COMPUTED_VALUE"""),"travis3000")</f>
        <v>travis3000</v>
      </c>
      <c r="B2998" t="str">
        <f>IFERROR(__xludf.DUMMYFUNCTION("""COMPUTED_VALUE"""),"Toronto, Ontario")</f>
        <v>Toronto, Ontario</v>
      </c>
      <c r="C2998" t="str">
        <f>IFERROR(__xludf.DUMMYFUNCTION("""COMPUTED_VALUE"""),"ON")</f>
        <v>ON</v>
      </c>
      <c r="D2998" t="str">
        <f>IFERROR(__xludf.DUMMYFUNCTION("""COMPUTED_VALUE"""),"Canada")</f>
        <v>Canada</v>
      </c>
      <c r="E2998" s="188">
        <f>IFERROR(__xludf.DUMMYFUNCTION("""COMPUTED_VALUE"""),44290.0)</f>
        <v>44290</v>
      </c>
      <c r="F2998" s="188">
        <f>IFERROR(__xludf.DUMMYFUNCTION("""COMPUTED_VALUE"""),44344.0)</f>
        <v>44344</v>
      </c>
      <c r="G2998" t="str">
        <f>IFERROR(__xludf.DUMMYFUNCTION("""COMPUTED_VALUE"""),"Source code")</f>
        <v>Source code</v>
      </c>
      <c r="I2998" t="str">
        <f>IFERROR(__xludf.DUMMYFUNCTION("""COMPUTED_VALUE"""),"05/21")</f>
        <v>05/21</v>
      </c>
      <c r="J2998" s="188">
        <f>IFERROR(__xludf.DUMMYFUNCTION("""COMPUTED_VALUE"""),44354.0)</f>
        <v>44354</v>
      </c>
      <c r="K2998">
        <f>IFERROR(__xludf.DUMMYFUNCTION("""COMPUTED_VALUE"""),54.0)</f>
        <v>54</v>
      </c>
      <c r="L2998">
        <f>IFERROR(__xludf.DUMMYFUNCTION("""COMPUTED_VALUE"""),10.0)</f>
        <v>10</v>
      </c>
      <c r="M2998">
        <f>IFERROR(__xludf.DUMMYFUNCTION("""COMPUTED_VALUE"""),64.0)</f>
        <v>64</v>
      </c>
      <c r="N2998" t="str">
        <f>IFERROR(__xludf.DUMMYFUNCTION("""COMPUTED_VALUE"""),"Model 3 LR AWD")</f>
        <v>Model 3 LR AWD</v>
      </c>
      <c r="O2998" t="str">
        <f>IFERROR(__xludf.DUMMYFUNCTION("""COMPUTED_VALUE"""),"Pearl White Multi-Coat")</f>
        <v>Pearl White Multi-Coat</v>
      </c>
      <c r="P2998" t="str">
        <f>IFERROR(__xludf.DUMMYFUNCTION("""COMPUTED_VALUE"""),"18 inch")</f>
        <v>18 inch</v>
      </c>
      <c r="Q2998" t="str">
        <f>IFERROR(__xludf.DUMMYFUNCTION("""COMPUTED_VALUE"""),"All Black")</f>
        <v>All Black</v>
      </c>
      <c r="R2998" t="str">
        <f>IFERROR(__xludf.DUMMYFUNCTION("""COMPUTED_VALUE"""),"Autopilot included")</f>
        <v>Autopilot included</v>
      </c>
      <c r="S2998" t="str">
        <f>IFERROR(__xludf.DUMMYFUNCTION("""COMPUTED_VALUE"""),"Loan")</f>
        <v>Loan</v>
      </c>
      <c r="T2998" t="str">
        <f>IFERROR(__xludf.DUMMYFUNCTION("""COMPUTED_VALUE"""),"Honda Civic")</f>
        <v>Honda Civic</v>
      </c>
      <c r="U2998" t="str">
        <f>IFERROR(__xludf.DUMMYFUNCTION("""COMPUTED_VALUE"""),"Electric!")</f>
        <v>Electric!</v>
      </c>
      <c r="V2998" t="str">
        <f>IFERROR(__xludf.DUMMYFUNCTION("""COMPUTED_VALUE"""),"Ventilated seats")</f>
        <v>Ventilated seats</v>
      </c>
      <c r="W2998" t="str">
        <f>IFERROR(__xludf.DUMMYFUNCTION("""COMPUTED_VALUE"""),"Be patient. It's worth it. The car is amazing")</f>
        <v>Be patient. It's worth it. The car is amazing</v>
      </c>
      <c r="X2998" t="str">
        <f>IFERROR(__xludf.DUMMYFUNCTION("""COMPUTED_VALUE"""),"Excellent")</f>
        <v>Excellent</v>
      </c>
      <c r="Y2998" t="str">
        <f>IFERROR(__xludf.DUMMYFUNCTION("""COMPUTED_VALUE"""),"Very Good")</f>
        <v>Very Good</v>
      </c>
      <c r="Z2998" t="str">
        <f>IFERROR(__xludf.DUMMYFUNCTION("""COMPUTED_VALUE"""),"Excellent")</f>
        <v>Excellent</v>
      </c>
      <c r="AA2998" t="str">
        <f>IFERROR(__xludf.DUMMYFUNCTION("""COMPUTED_VALUE"""),"Excellent")</f>
        <v>Excellent</v>
      </c>
      <c r="AB2998" t="str">
        <f>IFERROR(__xludf.DUMMYFUNCTION("""COMPUTED_VALUE"""),"Very Good")</f>
        <v>Very Good</v>
      </c>
      <c r="AC2998">
        <f>IFERROR(__xludf.DUMMYFUNCTION("""COMPUTED_VALUE"""),0.0)</f>
        <v>0</v>
      </c>
      <c r="AE2998">
        <f>IFERROR(__xludf.DUMMYFUNCTION("""COMPUTED_VALUE"""),0.0)</f>
        <v>0</v>
      </c>
      <c r="AF2998" t="str">
        <f>IFERROR(__xludf.DUMMYFUNCTION("""COMPUTED_VALUE"""),"No. I took delivery of the first car Tesla was able to deliver.")</f>
        <v>No. I took delivery of the first car Tesla was able to deliver.</v>
      </c>
      <c r="AH2998" s="189">
        <f>IFERROR(__xludf.DUMMYFUNCTION("""COMPUTED_VALUE"""),44355.6544339699)</f>
        <v>44355.65443</v>
      </c>
    </row>
    <row r="2999">
      <c r="A2999" t="str">
        <f>IFERROR(__xludf.DUMMYFUNCTION("""COMPUTED_VALUE"""),"indigo6")</f>
        <v>indigo6</v>
      </c>
      <c r="B2999" t="str">
        <f>IFERROR(__xludf.DUMMYFUNCTION("""COMPUTED_VALUE"""),"Sacramento")</f>
        <v>Sacramento</v>
      </c>
      <c r="C2999" t="str">
        <f>IFERROR(__xludf.DUMMYFUNCTION("""COMPUTED_VALUE"""),"CA")</f>
        <v>CA</v>
      </c>
      <c r="D2999" t="str">
        <f>IFERROR(__xludf.DUMMYFUNCTION("""COMPUTED_VALUE"""),"USA")</f>
        <v>USA</v>
      </c>
      <c r="E2999" s="188">
        <f>IFERROR(__xludf.DUMMYFUNCTION("""COMPUTED_VALUE"""),44326.0)</f>
        <v>44326</v>
      </c>
      <c r="F2999" s="188">
        <f>IFERROR(__xludf.DUMMYFUNCTION("""COMPUTED_VALUE"""),44355.0)</f>
        <v>44355</v>
      </c>
      <c r="G2999" t="str">
        <f>IFERROR(__xludf.DUMMYFUNCTION("""COMPUTED_VALUE"""),"Email")</f>
        <v>Email</v>
      </c>
      <c r="H2999">
        <f>IFERROR(__xludf.DUMMYFUNCTION("""COMPUTED_VALUE"""),988520.0)</f>
        <v>988520</v>
      </c>
      <c r="I2999" t="str">
        <f>IFERROR(__xludf.DUMMYFUNCTION("""COMPUTED_VALUE"""),"06/21")</f>
        <v>06/21</v>
      </c>
      <c r="J2999" s="188">
        <f>IFERROR(__xludf.DUMMYFUNCTION("""COMPUTED_VALUE"""),44358.0)</f>
        <v>44358</v>
      </c>
      <c r="K2999">
        <f>IFERROR(__xludf.DUMMYFUNCTION("""COMPUTED_VALUE"""),29.0)</f>
        <v>29</v>
      </c>
      <c r="L2999">
        <f>IFERROR(__xludf.DUMMYFUNCTION("""COMPUTED_VALUE"""),3.0)</f>
        <v>3</v>
      </c>
      <c r="M2999">
        <f>IFERROR(__xludf.DUMMYFUNCTION("""COMPUTED_VALUE"""),32.0)</f>
        <v>32</v>
      </c>
      <c r="N2999" t="str">
        <f>IFERROR(__xludf.DUMMYFUNCTION("""COMPUTED_VALUE"""),"Model 3 Performance")</f>
        <v>Model 3 Performance</v>
      </c>
      <c r="O2999" t="str">
        <f>IFERROR(__xludf.DUMMYFUNCTION("""COMPUTED_VALUE"""),"Pearl White Multi-Coat")</f>
        <v>Pearl White Multi-Coat</v>
      </c>
      <c r="P2999" t="str">
        <f>IFERROR(__xludf.DUMMYFUNCTION("""COMPUTED_VALUE"""),"20 inch")</f>
        <v>20 inch</v>
      </c>
      <c r="Q2999" t="str">
        <f>IFERROR(__xludf.DUMMYFUNCTION("""COMPUTED_VALUE"""),"Black and White")</f>
        <v>Black and White</v>
      </c>
      <c r="R2999" t="str">
        <f>IFERROR(__xludf.DUMMYFUNCTION("""COMPUTED_VALUE"""),"Autopilot included")</f>
        <v>Autopilot included</v>
      </c>
      <c r="S2999" t="str">
        <f>IFERROR(__xludf.DUMMYFUNCTION("""COMPUTED_VALUE"""),"Loan")</f>
        <v>Loan</v>
      </c>
      <c r="T2999" t="str">
        <f>IFERROR(__xludf.DUMMYFUNCTION("""COMPUTED_VALUE"""),"BMW 5 Series")</f>
        <v>BMW 5 Series</v>
      </c>
      <c r="U2999" t="str">
        <f>IFERROR(__xludf.DUMMYFUNCTION("""COMPUTED_VALUE"""),"Electric!")</f>
        <v>Electric!</v>
      </c>
      <c r="V2999" t="str">
        <f>IFERROR(__xludf.DUMMYFUNCTION("""COMPUTED_VALUE"""),"Adaptive Suspension")</f>
        <v>Adaptive Suspension</v>
      </c>
      <c r="X2999" t="str">
        <f>IFERROR(__xludf.DUMMYFUNCTION("""COMPUTED_VALUE"""),"Very Good")</f>
        <v>Very Good</v>
      </c>
      <c r="Y2999" t="str">
        <f>IFERROR(__xludf.DUMMYFUNCTION("""COMPUTED_VALUE"""),"Very Good")</f>
        <v>Very Good</v>
      </c>
      <c r="Z2999" t="str">
        <f>IFERROR(__xludf.DUMMYFUNCTION("""COMPUTED_VALUE"""),"Excellent")</f>
        <v>Excellent</v>
      </c>
      <c r="AA2999" t="str">
        <f>IFERROR(__xludf.DUMMYFUNCTION("""COMPUTED_VALUE"""),"Very Good")</f>
        <v>Very Good</v>
      </c>
      <c r="AB2999" t="str">
        <f>IFERROR(__xludf.DUMMYFUNCTION("""COMPUTED_VALUE"""),"Excellent")</f>
        <v>Excellent</v>
      </c>
      <c r="AC2999">
        <f>IFERROR(__xludf.DUMMYFUNCTION("""COMPUTED_VALUE"""),1.0)</f>
        <v>1</v>
      </c>
      <c r="AF2999" t="str">
        <f>IFERROR(__xludf.DUMMYFUNCTION("""COMPUTED_VALUE"""),"No. I took delivery of the first car Tesla was able to deliver.")</f>
        <v>No. I took delivery of the first car Tesla was able to deliver.</v>
      </c>
      <c r="AH2999" s="189">
        <f>IFERROR(__xludf.DUMMYFUNCTION("""COMPUTED_VALUE"""),44376.79558476852)</f>
        <v>44376.79558</v>
      </c>
    </row>
    <row r="3000">
      <c r="A3000" t="str">
        <f>IFERROR(__xludf.DUMMYFUNCTION("""COMPUTED_VALUE"""),"iamisaiahwalker")</f>
        <v>iamisaiahwalker</v>
      </c>
      <c r="C3000" t="str">
        <f>IFERROR(__xludf.DUMMYFUNCTION("""COMPUTED_VALUE"""),"TX")</f>
        <v>TX</v>
      </c>
      <c r="D3000" t="str">
        <f>IFERROR(__xludf.DUMMYFUNCTION("""COMPUTED_VALUE"""),"USA")</f>
        <v>USA</v>
      </c>
      <c r="E3000" s="188">
        <f>IFERROR(__xludf.DUMMYFUNCTION("""COMPUTED_VALUE"""),44328.0)</f>
        <v>44328</v>
      </c>
      <c r="F3000" s="188">
        <f>IFERROR(__xludf.DUMMYFUNCTION("""COMPUTED_VALUE"""),44357.0)</f>
        <v>44357</v>
      </c>
      <c r="G3000" t="str">
        <f>IFERROR(__xludf.DUMMYFUNCTION("""COMPUTED_VALUE"""),"Manage order page (normal text)")</f>
        <v>Manage order page (normal text)</v>
      </c>
      <c r="H3000">
        <f>IFERROR(__xludf.DUMMYFUNCTION("""COMPUTED_VALUE"""),992853.0)</f>
        <v>992853</v>
      </c>
      <c r="I3000" t="str">
        <f>IFERROR(__xludf.DUMMYFUNCTION("""COMPUTED_VALUE"""),"06/21")</f>
        <v>06/21</v>
      </c>
      <c r="J3000" s="188">
        <f>IFERROR(__xludf.DUMMYFUNCTION("""COMPUTED_VALUE"""),44373.0)</f>
        <v>44373</v>
      </c>
      <c r="K3000">
        <f>IFERROR(__xludf.DUMMYFUNCTION("""COMPUTED_VALUE"""),29.0)</f>
        <v>29</v>
      </c>
      <c r="L3000">
        <f>IFERROR(__xludf.DUMMYFUNCTION("""COMPUTED_VALUE"""),16.0)</f>
        <v>16</v>
      </c>
      <c r="M3000">
        <f>IFERROR(__xludf.DUMMYFUNCTION("""COMPUTED_VALUE"""),45.0)</f>
        <v>45</v>
      </c>
      <c r="N3000" t="str">
        <f>IFERROR(__xludf.DUMMYFUNCTION("""COMPUTED_VALUE"""),"Model 3 LR AWD")</f>
        <v>Model 3 LR AWD</v>
      </c>
      <c r="O3000" t="str">
        <f>IFERROR(__xludf.DUMMYFUNCTION("""COMPUTED_VALUE"""),"Midnight Silver Metallic")</f>
        <v>Midnight Silver Metallic</v>
      </c>
      <c r="P3000" t="str">
        <f>IFERROR(__xludf.DUMMYFUNCTION("""COMPUTED_VALUE"""),"18 inch")</f>
        <v>18 inch</v>
      </c>
      <c r="Q3000" t="str">
        <f>IFERROR(__xludf.DUMMYFUNCTION("""COMPUTED_VALUE"""),"Black and White")</f>
        <v>Black and White</v>
      </c>
      <c r="R3000" t="str">
        <f>IFERROR(__xludf.DUMMYFUNCTION("""COMPUTED_VALUE"""),"Full Self-Driving")</f>
        <v>Full Self-Driving</v>
      </c>
      <c r="S3000" t="str">
        <f>IFERROR(__xludf.DUMMYFUNCTION("""COMPUTED_VALUE"""),"Lease")</f>
        <v>Lease</v>
      </c>
      <c r="U3000" t="str">
        <f>IFERROR(__xludf.DUMMYFUNCTION("""COMPUTED_VALUE"""),"Electric!")</f>
        <v>Electric!</v>
      </c>
      <c r="V3000" t="str">
        <f>IFERROR(__xludf.DUMMYFUNCTION("""COMPUTED_VALUE"""),"More music streaming services")</f>
        <v>More music streaming services</v>
      </c>
      <c r="X3000" t="str">
        <f>IFERROR(__xludf.DUMMYFUNCTION("""COMPUTED_VALUE"""),"Excellent")</f>
        <v>Excellent</v>
      </c>
      <c r="Y3000" t="str">
        <f>IFERROR(__xludf.DUMMYFUNCTION("""COMPUTED_VALUE"""),"Excellent")</f>
        <v>Excellent</v>
      </c>
      <c r="Z3000" t="str">
        <f>IFERROR(__xludf.DUMMYFUNCTION("""COMPUTED_VALUE"""),"Excellent")</f>
        <v>Excellent</v>
      </c>
      <c r="AA3000" t="str">
        <f>IFERROR(__xludf.DUMMYFUNCTION("""COMPUTED_VALUE"""),"Fair")</f>
        <v>Fair</v>
      </c>
      <c r="AB3000" t="str">
        <f>IFERROR(__xludf.DUMMYFUNCTION("""COMPUTED_VALUE"""),"Excellent")</f>
        <v>Excellent</v>
      </c>
      <c r="AF3000" t="str">
        <f>IFERROR(__xludf.DUMMYFUNCTION("""COMPUTED_VALUE"""),"No. I took delivery of the first car Tesla was able to deliver.")</f>
        <v>No. I took delivery of the first car Tesla was able to deliver.</v>
      </c>
      <c r="AH3000" s="189">
        <f>IFERROR(__xludf.DUMMYFUNCTION("""COMPUTED_VALUE"""),44376.54903763889)</f>
        <v>44376.54904</v>
      </c>
    </row>
    <row r="3001">
      <c r="A3001" t="str">
        <f>IFERROR(__xludf.DUMMYFUNCTION("""COMPUTED_VALUE"""),"DreadPirateRobert")</f>
        <v>DreadPirateRobert</v>
      </c>
      <c r="B3001" t="str">
        <f>IFERROR(__xludf.DUMMYFUNCTION("""COMPUTED_VALUE"""),"Kansas City")</f>
        <v>Kansas City</v>
      </c>
      <c r="C3001" t="str">
        <f>IFERROR(__xludf.DUMMYFUNCTION("""COMPUTED_VALUE"""),"MO")</f>
        <v>MO</v>
      </c>
      <c r="D3001" t="str">
        <f>IFERROR(__xludf.DUMMYFUNCTION("""COMPUTED_VALUE"""),"USA")</f>
        <v>USA</v>
      </c>
      <c r="E3001" s="188">
        <f>IFERROR(__xludf.DUMMYFUNCTION("""COMPUTED_VALUE"""),44343.0)</f>
        <v>44343</v>
      </c>
      <c r="F3001" s="188">
        <f>IFERROR(__xludf.DUMMYFUNCTION("""COMPUTED_VALUE"""),44388.0)</f>
        <v>44388</v>
      </c>
      <c r="G3001" t="str">
        <f>IFERROR(__xludf.DUMMYFUNCTION("""COMPUTED_VALUE"""),"Email")</f>
        <v>Email</v>
      </c>
      <c r="H3001">
        <f>IFERROR(__xludf.DUMMYFUNCTION("""COMPUTED_VALUE"""),12985.0)</f>
        <v>12985</v>
      </c>
      <c r="I3001" t="str">
        <f>IFERROR(__xludf.DUMMYFUNCTION("""COMPUTED_VALUE"""),"07/21")</f>
        <v>07/21</v>
      </c>
      <c r="J3001" s="188">
        <f>IFERROR(__xludf.DUMMYFUNCTION("""COMPUTED_VALUE"""),44399.0)</f>
        <v>44399</v>
      </c>
      <c r="K3001">
        <f>IFERROR(__xludf.DUMMYFUNCTION("""COMPUTED_VALUE"""),45.0)</f>
        <v>45</v>
      </c>
      <c r="L3001">
        <f>IFERROR(__xludf.DUMMYFUNCTION("""COMPUTED_VALUE"""),11.0)</f>
        <v>11</v>
      </c>
      <c r="M3001">
        <f>IFERROR(__xludf.DUMMYFUNCTION("""COMPUTED_VALUE"""),56.0)</f>
        <v>56</v>
      </c>
      <c r="N3001" t="str">
        <f>IFERROR(__xludf.DUMMYFUNCTION("""COMPUTED_VALUE"""),"Model 3 LR AWD")</f>
        <v>Model 3 LR AWD</v>
      </c>
      <c r="O3001" t="str">
        <f>IFERROR(__xludf.DUMMYFUNCTION("""COMPUTED_VALUE"""),"Pearl White Multi-Coat")</f>
        <v>Pearl White Multi-Coat</v>
      </c>
      <c r="P3001" t="str">
        <f>IFERROR(__xludf.DUMMYFUNCTION("""COMPUTED_VALUE"""),"18 inch")</f>
        <v>18 inch</v>
      </c>
      <c r="Q3001" t="str">
        <f>IFERROR(__xludf.DUMMYFUNCTION("""COMPUTED_VALUE"""),"All Black")</f>
        <v>All Black</v>
      </c>
      <c r="R3001" t="str">
        <f>IFERROR(__xludf.DUMMYFUNCTION("""COMPUTED_VALUE"""),"Autopilot included")</f>
        <v>Autopilot included</v>
      </c>
      <c r="S3001" t="str">
        <f>IFERROR(__xludf.DUMMYFUNCTION("""COMPUTED_VALUE"""),"Cash")</f>
        <v>Cash</v>
      </c>
      <c r="T3001" t="str">
        <f>IFERROR(__xludf.DUMMYFUNCTION("""COMPUTED_VALUE"""),"Honda CRV")</f>
        <v>Honda CRV</v>
      </c>
      <c r="U3001" t="str">
        <f>IFERROR(__xludf.DUMMYFUNCTION("""COMPUTED_VALUE"""),"Electric!")</f>
        <v>Electric!</v>
      </c>
      <c r="V3001" t="str">
        <f>IFERROR(__xludf.DUMMYFUNCTION("""COMPUTED_VALUE"""),"Apple CarPlay / Android Auto / SiriusXM Radio")</f>
        <v>Apple CarPlay / Android Auto / SiriusXM Radio</v>
      </c>
      <c r="X3001" t="str">
        <f>IFERROR(__xludf.DUMMYFUNCTION("""COMPUTED_VALUE"""),"Very Good")</f>
        <v>Very Good</v>
      </c>
      <c r="Y3001" t="str">
        <f>IFERROR(__xludf.DUMMYFUNCTION("""COMPUTED_VALUE"""),"Very Good")</f>
        <v>Very Good</v>
      </c>
      <c r="Z3001" t="str">
        <f>IFERROR(__xludf.DUMMYFUNCTION("""COMPUTED_VALUE"""),"Very Good")</f>
        <v>Very Good</v>
      </c>
      <c r="AA3001" t="str">
        <f>IFERROR(__xludf.DUMMYFUNCTION("""COMPUTED_VALUE"""),"Very Good")</f>
        <v>Very Good</v>
      </c>
      <c r="AB3001" t="str">
        <f>IFERROR(__xludf.DUMMYFUNCTION("""COMPUTED_VALUE"""),"Good")</f>
        <v>Good</v>
      </c>
      <c r="AC3001">
        <f>IFERROR(__xludf.DUMMYFUNCTION("""COMPUTED_VALUE"""),2.0)</f>
        <v>2</v>
      </c>
      <c r="AD3001">
        <f>IFERROR(__xludf.DUMMYFUNCTION("""COMPUTED_VALUE"""),1.0)</f>
        <v>1</v>
      </c>
      <c r="AE3001">
        <f>IFERROR(__xludf.DUMMYFUNCTION("""COMPUTED_VALUE"""),1.0)</f>
        <v>1</v>
      </c>
      <c r="AF3001" t="str">
        <f>IFERROR(__xludf.DUMMYFUNCTION("""COMPUTED_VALUE"""),"No. I took delivery of the first car Tesla was able to deliver.")</f>
        <v>No. I took delivery of the first car Tesla was able to deliver.</v>
      </c>
      <c r="AH3001" s="189">
        <f>IFERROR(__xludf.DUMMYFUNCTION("""COMPUTED_VALUE"""),44441.47258688658)</f>
        <v>44441.47259</v>
      </c>
    </row>
    <row r="3002">
      <c r="A3002" t="str">
        <f>IFERROR(__xludf.DUMMYFUNCTION("""COMPUTED_VALUE"""),"btenison")</f>
        <v>btenison</v>
      </c>
      <c r="B3002" t="str">
        <f>IFERROR(__xludf.DUMMYFUNCTION("""COMPUTED_VALUE"""),"Birmingham")</f>
        <v>Birmingham</v>
      </c>
      <c r="C3002" t="str">
        <f>IFERROR(__xludf.DUMMYFUNCTION("""COMPUTED_VALUE"""),"AL")</f>
        <v>AL</v>
      </c>
      <c r="D3002" t="str">
        <f>IFERROR(__xludf.DUMMYFUNCTION("""COMPUTED_VALUE"""),"USA")</f>
        <v>USA</v>
      </c>
      <c r="E3002" s="188">
        <f>IFERROR(__xludf.DUMMYFUNCTION("""COMPUTED_VALUE"""),44329.0)</f>
        <v>44329</v>
      </c>
      <c r="F3002" s="188">
        <f>IFERROR(__xludf.DUMMYFUNCTION("""COMPUTED_VALUE"""),44356.0)</f>
        <v>44356</v>
      </c>
      <c r="G3002" t="str">
        <f>IFERROR(__xludf.DUMMYFUNCTION("""COMPUTED_VALUE"""),"Manage order page (normal text)")</f>
        <v>Manage order page (normal text)</v>
      </c>
      <c r="H3002">
        <f>IFERROR(__xludf.DUMMYFUNCTION("""COMPUTED_VALUE"""),990255.0)</f>
        <v>990255</v>
      </c>
      <c r="I3002" t="str">
        <f>IFERROR(__xludf.DUMMYFUNCTION("""COMPUTED_VALUE"""),"06/21")</f>
        <v>06/21</v>
      </c>
      <c r="J3002" s="188">
        <f>IFERROR(__xludf.DUMMYFUNCTION("""COMPUTED_VALUE"""),44373.0)</f>
        <v>44373</v>
      </c>
      <c r="K3002">
        <f>IFERROR(__xludf.DUMMYFUNCTION("""COMPUTED_VALUE"""),27.0)</f>
        <v>27</v>
      </c>
      <c r="L3002">
        <f>IFERROR(__xludf.DUMMYFUNCTION("""COMPUTED_VALUE"""),17.0)</f>
        <v>17</v>
      </c>
      <c r="M3002">
        <f>IFERROR(__xludf.DUMMYFUNCTION("""COMPUTED_VALUE"""),44.0)</f>
        <v>44</v>
      </c>
      <c r="N3002" t="str">
        <f>IFERROR(__xludf.DUMMYFUNCTION("""COMPUTED_VALUE"""),"Model 3 LR AWD")</f>
        <v>Model 3 LR AWD</v>
      </c>
      <c r="O3002" t="str">
        <f>IFERROR(__xludf.DUMMYFUNCTION("""COMPUTED_VALUE"""),"Deep Blue Metallic")</f>
        <v>Deep Blue Metallic</v>
      </c>
      <c r="P3002" t="str">
        <f>IFERROR(__xludf.DUMMYFUNCTION("""COMPUTED_VALUE"""),"19 inch")</f>
        <v>19 inch</v>
      </c>
      <c r="Q3002" t="str">
        <f>IFERROR(__xludf.DUMMYFUNCTION("""COMPUTED_VALUE"""),"Black and White")</f>
        <v>Black and White</v>
      </c>
      <c r="R3002" t="str">
        <f>IFERROR(__xludf.DUMMYFUNCTION("""COMPUTED_VALUE"""),"Autopilot included")</f>
        <v>Autopilot included</v>
      </c>
      <c r="S3002" t="str">
        <f>IFERROR(__xludf.DUMMYFUNCTION("""COMPUTED_VALUE"""),"Loan")</f>
        <v>Loan</v>
      </c>
      <c r="T3002" t="str">
        <f>IFERROR(__xludf.DUMMYFUNCTION("""COMPUTED_VALUE"""),"Acura ILX")</f>
        <v>Acura ILX</v>
      </c>
      <c r="U3002" t="str">
        <f>IFERROR(__xludf.DUMMYFUNCTION("""COMPUTED_VALUE"""),"Autopilot")</f>
        <v>Autopilot</v>
      </c>
      <c r="V3002" t="str">
        <f>IFERROR(__xludf.DUMMYFUNCTION("""COMPUTED_VALUE"""),"360° Bird's eye view")</f>
        <v>360° Bird's eye view</v>
      </c>
      <c r="X3002" t="str">
        <f>IFERROR(__xludf.DUMMYFUNCTION("""COMPUTED_VALUE"""),"Excellent")</f>
        <v>Excellent</v>
      </c>
      <c r="Y3002" t="str">
        <f>IFERROR(__xludf.DUMMYFUNCTION("""COMPUTED_VALUE"""),"Excellent")</f>
        <v>Excellent</v>
      </c>
      <c r="Z3002" t="str">
        <f>IFERROR(__xludf.DUMMYFUNCTION("""COMPUTED_VALUE"""),"Very Good")</f>
        <v>Very Good</v>
      </c>
      <c r="AA3002" t="str">
        <f>IFERROR(__xludf.DUMMYFUNCTION("""COMPUTED_VALUE"""),"Fair")</f>
        <v>Fair</v>
      </c>
      <c r="AB3002" t="str">
        <f>IFERROR(__xludf.DUMMYFUNCTION("""COMPUTED_VALUE"""),"Excellent")</f>
        <v>Excellent</v>
      </c>
      <c r="AC3002">
        <f>IFERROR(__xludf.DUMMYFUNCTION("""COMPUTED_VALUE"""),0.0)</f>
        <v>0</v>
      </c>
      <c r="AD3002">
        <f>IFERROR(__xludf.DUMMYFUNCTION("""COMPUTED_VALUE"""),0.0)</f>
        <v>0</v>
      </c>
      <c r="AE3002">
        <f>IFERROR(__xludf.DUMMYFUNCTION("""COMPUTED_VALUE"""),0.0)</f>
        <v>0</v>
      </c>
      <c r="AF3002" t="str">
        <f>IFERROR(__xludf.DUMMYFUNCTION("""COMPUTED_VALUE"""),"No. I took delivery of the first car Tesla was able to deliver.")</f>
        <v>No. I took delivery of the first car Tesla was able to deliver.</v>
      </c>
      <c r="AH3002" s="189">
        <f>IFERROR(__xludf.DUMMYFUNCTION("""COMPUTED_VALUE"""),44373.867472303245)</f>
        <v>44373.86747</v>
      </c>
    </row>
    <row r="3003">
      <c r="A3003" t="str">
        <f>IFERROR(__xludf.DUMMYFUNCTION("""COMPUTED_VALUE"""),"bcombs128")</f>
        <v>bcombs128</v>
      </c>
      <c r="B3003" t="str">
        <f>IFERROR(__xludf.DUMMYFUNCTION("""COMPUTED_VALUE"""),"Milwaukee")</f>
        <v>Milwaukee</v>
      </c>
      <c r="C3003" t="str">
        <f>IFERROR(__xludf.DUMMYFUNCTION("""COMPUTED_VALUE"""),"WI")</f>
        <v>WI</v>
      </c>
      <c r="D3003" t="str">
        <f>IFERROR(__xludf.DUMMYFUNCTION("""COMPUTED_VALUE"""),"USA")</f>
        <v>USA</v>
      </c>
      <c r="E3003" s="188">
        <f>IFERROR(__xludf.DUMMYFUNCTION("""COMPUTED_VALUE"""),44349.0)</f>
        <v>44349</v>
      </c>
      <c r="F3003" s="188">
        <f>IFERROR(__xludf.DUMMYFUNCTION("""COMPUTED_VALUE"""),44368.0)</f>
        <v>44368</v>
      </c>
      <c r="G3003" t="str">
        <f>IFERROR(__xludf.DUMMYFUNCTION("""COMPUTED_VALUE"""),"Manage order page (normal text)")</f>
        <v>Manage order page (normal text)</v>
      </c>
      <c r="J3003" s="188">
        <f>IFERROR(__xludf.DUMMYFUNCTION("""COMPUTED_VALUE"""),44370.0)</f>
        <v>44370</v>
      </c>
      <c r="K3003">
        <f>IFERROR(__xludf.DUMMYFUNCTION("""COMPUTED_VALUE"""),19.0)</f>
        <v>19</v>
      </c>
      <c r="L3003">
        <f>IFERROR(__xludf.DUMMYFUNCTION("""COMPUTED_VALUE"""),2.0)</f>
        <v>2</v>
      </c>
      <c r="M3003">
        <f>IFERROR(__xludf.DUMMYFUNCTION("""COMPUTED_VALUE"""),21.0)</f>
        <v>21</v>
      </c>
      <c r="N3003" t="str">
        <f>IFERROR(__xludf.DUMMYFUNCTION("""COMPUTED_VALUE"""),"Model 3 LR AWD")</f>
        <v>Model 3 LR AWD</v>
      </c>
      <c r="O3003" t="str">
        <f>IFERROR(__xludf.DUMMYFUNCTION("""COMPUTED_VALUE"""),"Midnight Silver Metallic")</f>
        <v>Midnight Silver Metallic</v>
      </c>
      <c r="P3003" t="str">
        <f>IFERROR(__xludf.DUMMYFUNCTION("""COMPUTED_VALUE"""),"18 inch")</f>
        <v>18 inch</v>
      </c>
      <c r="Q3003" t="str">
        <f>IFERROR(__xludf.DUMMYFUNCTION("""COMPUTED_VALUE"""),"All Black")</f>
        <v>All Black</v>
      </c>
      <c r="R3003" t="str">
        <f>IFERROR(__xludf.DUMMYFUNCTION("""COMPUTED_VALUE"""),"Autopilot included")</f>
        <v>Autopilot included</v>
      </c>
      <c r="S3003" t="str">
        <f>IFERROR(__xludf.DUMMYFUNCTION("""COMPUTED_VALUE"""),"Loan")</f>
        <v>Loan</v>
      </c>
      <c r="T3003" t="str">
        <f>IFERROR(__xludf.DUMMYFUNCTION("""COMPUTED_VALUE"""),"Ford Focus")</f>
        <v>Ford Focus</v>
      </c>
      <c r="U3003" t="str">
        <f>IFERROR(__xludf.DUMMYFUNCTION("""COMPUTED_VALUE"""),"Electric!")</f>
        <v>Electric!</v>
      </c>
      <c r="V3003" t="str">
        <f>IFERROR(__xludf.DUMMYFUNCTION("""COMPUTED_VALUE"""),"Apple CarPlay / Android Auto / SiriusXM Radio")</f>
        <v>Apple CarPlay / Android Auto / SiriusXM Radio</v>
      </c>
      <c r="X3003" t="str">
        <f>IFERROR(__xludf.DUMMYFUNCTION("""COMPUTED_VALUE"""),"Excellent")</f>
        <v>Excellent</v>
      </c>
      <c r="Y3003" t="str">
        <f>IFERROR(__xludf.DUMMYFUNCTION("""COMPUTED_VALUE"""),"Very Good")</f>
        <v>Very Good</v>
      </c>
      <c r="Z3003" t="str">
        <f>IFERROR(__xludf.DUMMYFUNCTION("""COMPUTED_VALUE"""),"Very Good")</f>
        <v>Very Good</v>
      </c>
      <c r="AA3003" t="str">
        <f>IFERROR(__xludf.DUMMYFUNCTION("""COMPUTED_VALUE"""),"Fair")</f>
        <v>Fair</v>
      </c>
      <c r="AB3003" t="str">
        <f>IFERROR(__xludf.DUMMYFUNCTION("""COMPUTED_VALUE"""),"Good")</f>
        <v>Good</v>
      </c>
      <c r="AH3003" s="189">
        <f>IFERROR(__xludf.DUMMYFUNCTION("""COMPUTED_VALUE"""),44370.56116233797)</f>
        <v>44370.56116</v>
      </c>
    </row>
    <row r="3004">
      <c r="A3004" t="str">
        <f>IFERROR(__xludf.DUMMYFUNCTION("""COMPUTED_VALUE"""),"HokieLad")</f>
        <v>HokieLad</v>
      </c>
      <c r="B3004" t="str">
        <f>IFERROR(__xludf.DUMMYFUNCTION("""COMPUTED_VALUE"""),"Cary")</f>
        <v>Cary</v>
      </c>
      <c r="C3004" t="str">
        <f>IFERROR(__xludf.DUMMYFUNCTION("""COMPUTED_VALUE"""),"NC")</f>
        <v>NC</v>
      </c>
      <c r="D3004" t="str">
        <f>IFERROR(__xludf.DUMMYFUNCTION("""COMPUTED_VALUE"""),"USA")</f>
        <v>USA</v>
      </c>
      <c r="E3004" s="188">
        <f>IFERROR(__xludf.DUMMYFUNCTION("""COMPUTED_VALUE"""),44351.0)</f>
        <v>44351</v>
      </c>
      <c r="F3004" s="188">
        <f>IFERROR(__xludf.DUMMYFUNCTION("""COMPUTED_VALUE"""),44391.0)</f>
        <v>44391</v>
      </c>
      <c r="G3004" t="str">
        <f>IFERROR(__xludf.DUMMYFUNCTION("""COMPUTED_VALUE"""),"Manage order page (normal text)")</f>
        <v>Manage order page (normal text)</v>
      </c>
      <c r="J3004" s="188">
        <f>IFERROR(__xludf.DUMMYFUNCTION("""COMPUTED_VALUE"""),44407.0)</f>
        <v>44407</v>
      </c>
      <c r="K3004">
        <f>IFERROR(__xludf.DUMMYFUNCTION("""COMPUTED_VALUE"""),40.0)</f>
        <v>40</v>
      </c>
      <c r="L3004">
        <f>IFERROR(__xludf.DUMMYFUNCTION("""COMPUTED_VALUE"""),16.0)</f>
        <v>16</v>
      </c>
      <c r="M3004">
        <f>IFERROR(__xludf.DUMMYFUNCTION("""COMPUTED_VALUE"""),56.0)</f>
        <v>56</v>
      </c>
      <c r="N3004" t="str">
        <f>IFERROR(__xludf.DUMMYFUNCTION("""COMPUTED_VALUE"""),"Model 3 SR+")</f>
        <v>Model 3 SR+</v>
      </c>
      <c r="O3004" t="str">
        <f>IFERROR(__xludf.DUMMYFUNCTION("""COMPUTED_VALUE"""),"Midnight Silver Metallic")</f>
        <v>Midnight Silver Metallic</v>
      </c>
      <c r="P3004" t="str">
        <f>IFERROR(__xludf.DUMMYFUNCTION("""COMPUTED_VALUE"""),"18 inch")</f>
        <v>18 inch</v>
      </c>
      <c r="Q3004" t="str">
        <f>IFERROR(__xludf.DUMMYFUNCTION("""COMPUTED_VALUE"""),"All Black")</f>
        <v>All Black</v>
      </c>
      <c r="R3004" t="str">
        <f>IFERROR(__xludf.DUMMYFUNCTION("""COMPUTED_VALUE"""),"Autopilot included")</f>
        <v>Autopilot included</v>
      </c>
      <c r="S3004" t="str">
        <f>IFERROR(__xludf.DUMMYFUNCTION("""COMPUTED_VALUE"""),"Loan")</f>
        <v>Loan</v>
      </c>
      <c r="AH3004" s="189">
        <f>IFERROR(__xludf.DUMMYFUNCTION("""COMPUTED_VALUE"""),44399.32143269676)</f>
        <v>44399.32143</v>
      </c>
    </row>
    <row r="3005">
      <c r="A3005" t="str">
        <f>IFERROR(__xludf.DUMMYFUNCTION("""COMPUTED_VALUE"""),"ooval")</f>
        <v>ooval</v>
      </c>
      <c r="B3005" t="str">
        <f>IFERROR(__xludf.DUMMYFUNCTION("""COMPUTED_VALUE"""),"Agoura Hills")</f>
        <v>Agoura Hills</v>
      </c>
      <c r="C3005" t="str">
        <f>IFERROR(__xludf.DUMMYFUNCTION("""COMPUTED_VALUE"""),"CA")</f>
        <v>CA</v>
      </c>
      <c r="D3005" t="str">
        <f>IFERROR(__xludf.DUMMYFUNCTION("""COMPUTED_VALUE"""),"USA")</f>
        <v>USA</v>
      </c>
      <c r="E3005" s="188">
        <f>IFERROR(__xludf.DUMMYFUNCTION("""COMPUTED_VALUE"""),44293.0)</f>
        <v>44293</v>
      </c>
      <c r="F3005" s="188">
        <f>IFERROR(__xludf.DUMMYFUNCTION("""COMPUTED_VALUE"""),44362.0)</f>
        <v>44362</v>
      </c>
      <c r="G3005" t="str">
        <f>IFERROR(__xludf.DUMMYFUNCTION("""COMPUTED_VALUE"""),"Manage order page (normal text)")</f>
        <v>Manage order page (normal text)</v>
      </c>
      <c r="H3005">
        <f>IFERROR(__xludf.DUMMYFUNCTION("""COMPUTED_VALUE"""),991755.0)</f>
        <v>991755</v>
      </c>
      <c r="I3005" t="str">
        <f>IFERROR(__xludf.DUMMYFUNCTION("""COMPUTED_VALUE"""),"06/21")</f>
        <v>06/21</v>
      </c>
      <c r="J3005" s="188">
        <f>IFERROR(__xludf.DUMMYFUNCTION("""COMPUTED_VALUE"""),44366.0)</f>
        <v>44366</v>
      </c>
      <c r="K3005">
        <f>IFERROR(__xludf.DUMMYFUNCTION("""COMPUTED_VALUE"""),69.0)</f>
        <v>69</v>
      </c>
      <c r="L3005">
        <f>IFERROR(__xludf.DUMMYFUNCTION("""COMPUTED_VALUE"""),4.0)</f>
        <v>4</v>
      </c>
      <c r="M3005">
        <f>IFERROR(__xludf.DUMMYFUNCTION("""COMPUTED_VALUE"""),73.0)</f>
        <v>73</v>
      </c>
      <c r="N3005" t="str">
        <f>IFERROR(__xludf.DUMMYFUNCTION("""COMPUTED_VALUE"""),"Model 3 SR+")</f>
        <v>Model 3 SR+</v>
      </c>
      <c r="O3005" t="str">
        <f>IFERROR(__xludf.DUMMYFUNCTION("""COMPUTED_VALUE"""),"Pearl White Multi-Coat")</f>
        <v>Pearl White Multi-Coat</v>
      </c>
      <c r="P3005" t="str">
        <f>IFERROR(__xludf.DUMMYFUNCTION("""COMPUTED_VALUE"""),"18 inch")</f>
        <v>18 inch</v>
      </c>
      <c r="Q3005" t="str">
        <f>IFERROR(__xludf.DUMMYFUNCTION("""COMPUTED_VALUE"""),"All Black")</f>
        <v>All Black</v>
      </c>
      <c r="R3005" t="str">
        <f>IFERROR(__xludf.DUMMYFUNCTION("""COMPUTED_VALUE"""),"Autopilot included")</f>
        <v>Autopilot included</v>
      </c>
      <c r="S3005" t="str">
        <f>IFERROR(__xludf.DUMMYFUNCTION("""COMPUTED_VALUE"""),"Loan")</f>
        <v>Loan</v>
      </c>
      <c r="T3005" t="str">
        <f>IFERROR(__xludf.DUMMYFUNCTION("""COMPUTED_VALUE"""),"Nissan Versa")</f>
        <v>Nissan Versa</v>
      </c>
      <c r="U3005" t="str">
        <f>IFERROR(__xludf.DUMMYFUNCTION("""COMPUTED_VALUE"""),"Electric!")</f>
        <v>Electric!</v>
      </c>
      <c r="V3005" t="str">
        <f>IFERROR(__xludf.DUMMYFUNCTION("""COMPUTED_VALUE"""),"Dashboard")</f>
        <v>Dashboard</v>
      </c>
      <c r="W3005" t="str">
        <f>IFERROR(__xludf.DUMMYFUNCTION("""COMPUTED_VALUE"""),"Check inventory regularly if things are super delayed!")</f>
        <v>Check inventory regularly if things are super delayed!</v>
      </c>
      <c r="X3005" t="str">
        <f>IFERROR(__xludf.DUMMYFUNCTION("""COMPUTED_VALUE"""),"Very Good")</f>
        <v>Very Good</v>
      </c>
      <c r="Y3005" t="str">
        <f>IFERROR(__xludf.DUMMYFUNCTION("""COMPUTED_VALUE"""),"Excellent")</f>
        <v>Excellent</v>
      </c>
      <c r="Z3005" t="str">
        <f>IFERROR(__xludf.DUMMYFUNCTION("""COMPUTED_VALUE"""),"Excellent")</f>
        <v>Excellent</v>
      </c>
      <c r="AA3005" t="str">
        <f>IFERROR(__xludf.DUMMYFUNCTION("""COMPUTED_VALUE"""),"Fair")</f>
        <v>Fair</v>
      </c>
      <c r="AB3005" t="str">
        <f>IFERROR(__xludf.DUMMYFUNCTION("""COMPUTED_VALUE"""),"Excellent")</f>
        <v>Excellent</v>
      </c>
      <c r="AC3005">
        <f>IFERROR(__xludf.DUMMYFUNCTION("""COMPUTED_VALUE"""),0.0)</f>
        <v>0</v>
      </c>
      <c r="AD3005">
        <f>IFERROR(__xludf.DUMMYFUNCTION("""COMPUTED_VALUE"""),0.0)</f>
        <v>0</v>
      </c>
      <c r="AE3005">
        <f>IFERROR(__xludf.DUMMYFUNCTION("""COMPUTED_VALUE"""),0.0)</f>
        <v>0</v>
      </c>
      <c r="AF3005" t="str">
        <f>IFERROR(__xludf.DUMMYFUNCTION("""COMPUTED_VALUE"""),"No. I took delivery of the first car Tesla was able to deliver.")</f>
        <v>No. I took delivery of the first car Tesla was able to deliver.</v>
      </c>
      <c r="AH3005" s="189">
        <f>IFERROR(__xludf.DUMMYFUNCTION("""COMPUTED_VALUE"""),44374.662648530095)</f>
        <v>44374.66265</v>
      </c>
    </row>
    <row r="3006">
      <c r="A3006" t="str">
        <f>IFERROR(__xludf.DUMMYFUNCTION("""COMPUTED_VALUE"""),"kimtastic12")</f>
        <v>kimtastic12</v>
      </c>
      <c r="B3006" t="str">
        <f>IFERROR(__xludf.DUMMYFUNCTION("""COMPUTED_VALUE"""),"Temecula")</f>
        <v>Temecula</v>
      </c>
      <c r="C3006" t="str">
        <f>IFERROR(__xludf.DUMMYFUNCTION("""COMPUTED_VALUE"""),"CA")</f>
        <v>CA</v>
      </c>
      <c r="D3006" t="str">
        <f>IFERROR(__xludf.DUMMYFUNCTION("""COMPUTED_VALUE"""),"USA")</f>
        <v>USA</v>
      </c>
      <c r="E3006" s="188">
        <f>IFERROR(__xludf.DUMMYFUNCTION("""COMPUTED_VALUE"""),44326.0)</f>
        <v>44326</v>
      </c>
      <c r="F3006" s="188">
        <f>IFERROR(__xludf.DUMMYFUNCTION("""COMPUTED_VALUE"""),44372.0)</f>
        <v>44372</v>
      </c>
      <c r="G3006" t="str">
        <f>IFERROR(__xludf.DUMMYFUNCTION("""COMPUTED_VALUE"""),"Email")</f>
        <v>Email</v>
      </c>
      <c r="J3006" s="188">
        <f>IFERROR(__xludf.DUMMYFUNCTION("""COMPUTED_VALUE"""),44376.0)</f>
        <v>44376</v>
      </c>
      <c r="K3006">
        <f>IFERROR(__xludf.DUMMYFUNCTION("""COMPUTED_VALUE"""),46.0)</f>
        <v>46</v>
      </c>
      <c r="L3006">
        <f>IFERROR(__xludf.DUMMYFUNCTION("""COMPUTED_VALUE"""),4.0)</f>
        <v>4</v>
      </c>
      <c r="M3006">
        <f>IFERROR(__xludf.DUMMYFUNCTION("""COMPUTED_VALUE"""),50.0)</f>
        <v>50</v>
      </c>
      <c r="N3006" t="str">
        <f>IFERROR(__xludf.DUMMYFUNCTION("""COMPUTED_VALUE"""),"Model 3 LR AWD")</f>
        <v>Model 3 LR AWD</v>
      </c>
      <c r="O3006" t="str">
        <f>IFERROR(__xludf.DUMMYFUNCTION("""COMPUTED_VALUE"""),"Midnight Silver Metallic")</f>
        <v>Midnight Silver Metallic</v>
      </c>
      <c r="P3006" t="str">
        <f>IFERROR(__xludf.DUMMYFUNCTION("""COMPUTED_VALUE"""),"18 inch")</f>
        <v>18 inch</v>
      </c>
      <c r="Q3006" t="str">
        <f>IFERROR(__xludf.DUMMYFUNCTION("""COMPUTED_VALUE"""),"All Black")</f>
        <v>All Black</v>
      </c>
      <c r="R3006" t="str">
        <f>IFERROR(__xludf.DUMMYFUNCTION("""COMPUTED_VALUE"""),"Autopilot included")</f>
        <v>Autopilot included</v>
      </c>
      <c r="S3006" t="str">
        <f>IFERROR(__xludf.DUMMYFUNCTION("""COMPUTED_VALUE"""),"Loan")</f>
        <v>Loan</v>
      </c>
      <c r="T3006" t="str">
        <f>IFERROR(__xludf.DUMMYFUNCTION("""COMPUTED_VALUE"""),"Mazda CX-5")</f>
        <v>Mazda CX-5</v>
      </c>
      <c r="U3006" t="str">
        <f>IFERROR(__xludf.DUMMYFUNCTION("""COMPUTED_VALUE"""),"Electric!")</f>
        <v>Electric!</v>
      </c>
      <c r="V3006" t="str">
        <f>IFERROR(__xludf.DUMMYFUNCTION("""COMPUTED_VALUE"""),"Apple CarPlay / Android Auto / SiriusXM Radio")</f>
        <v>Apple CarPlay / Android Auto / SiriusXM Radio</v>
      </c>
      <c r="X3006" t="str">
        <f>IFERROR(__xludf.DUMMYFUNCTION("""COMPUTED_VALUE"""),"Very Good")</f>
        <v>Very Good</v>
      </c>
      <c r="Y3006" t="str">
        <f>IFERROR(__xludf.DUMMYFUNCTION("""COMPUTED_VALUE"""),"Excellent")</f>
        <v>Excellent</v>
      </c>
      <c r="Z3006" t="str">
        <f>IFERROR(__xludf.DUMMYFUNCTION("""COMPUTED_VALUE"""),"Excellent")</f>
        <v>Excellent</v>
      </c>
      <c r="AA3006" t="str">
        <f>IFERROR(__xludf.DUMMYFUNCTION("""COMPUTED_VALUE"""),"Excellent")</f>
        <v>Excellent</v>
      </c>
      <c r="AB3006" t="str">
        <f>IFERROR(__xludf.DUMMYFUNCTION("""COMPUTED_VALUE"""),"Excellent")</f>
        <v>Excellent</v>
      </c>
      <c r="AH3006" s="189">
        <f>IFERROR(__xludf.DUMMYFUNCTION("""COMPUTED_VALUE"""),44383.61948368055)</f>
        <v>44383.61948</v>
      </c>
    </row>
    <row r="3007">
      <c r="A3007" t="str">
        <f>IFERROR(__xludf.DUMMYFUNCTION("""COMPUTED_VALUE"""),"ChampaBayJM")</f>
        <v>ChampaBayJM</v>
      </c>
      <c r="B3007" t="str">
        <f>IFERROR(__xludf.DUMMYFUNCTION("""COMPUTED_VALUE"""),"Tampa")</f>
        <v>Tampa</v>
      </c>
      <c r="C3007" t="str">
        <f>IFERROR(__xludf.DUMMYFUNCTION("""COMPUTED_VALUE"""),"FL")</f>
        <v>FL</v>
      </c>
      <c r="D3007" t="str">
        <f>IFERROR(__xludf.DUMMYFUNCTION("""COMPUTED_VALUE"""),"USA")</f>
        <v>USA</v>
      </c>
      <c r="E3007" s="188">
        <f>IFERROR(__xludf.DUMMYFUNCTION("""COMPUTED_VALUE"""),44290.0)</f>
        <v>44290</v>
      </c>
      <c r="F3007" s="188">
        <f>IFERROR(__xludf.DUMMYFUNCTION("""COMPUTED_VALUE"""),44391.0)</f>
        <v>44391</v>
      </c>
      <c r="G3007" t="str">
        <f>IFERROR(__xludf.DUMMYFUNCTION("""COMPUTED_VALUE"""),"Manage order page (normal text)")</f>
        <v>Manage order page (normal text)</v>
      </c>
      <c r="H3007">
        <f>IFERROR(__xludf.DUMMYFUNCTION("""COMPUTED_VALUE"""),16455.0)</f>
        <v>16455</v>
      </c>
      <c r="J3007" s="188">
        <f>IFERROR(__xludf.DUMMYFUNCTION("""COMPUTED_VALUE"""),44405.0)</f>
        <v>44405</v>
      </c>
      <c r="K3007">
        <f>IFERROR(__xludf.DUMMYFUNCTION("""COMPUTED_VALUE"""),101.0)</f>
        <v>101</v>
      </c>
      <c r="L3007">
        <f>IFERROR(__xludf.DUMMYFUNCTION("""COMPUTED_VALUE"""),14.0)</f>
        <v>14</v>
      </c>
      <c r="M3007">
        <f>IFERROR(__xludf.DUMMYFUNCTION("""COMPUTED_VALUE"""),115.0)</f>
        <v>115</v>
      </c>
      <c r="N3007" t="str">
        <f>IFERROR(__xludf.DUMMYFUNCTION("""COMPUTED_VALUE"""),"Model 3 SR+")</f>
        <v>Model 3 SR+</v>
      </c>
      <c r="O3007" t="str">
        <f>IFERROR(__xludf.DUMMYFUNCTION("""COMPUTED_VALUE"""),"Pearl White Multi-Coat")</f>
        <v>Pearl White Multi-Coat</v>
      </c>
      <c r="P3007" t="str">
        <f>IFERROR(__xludf.DUMMYFUNCTION("""COMPUTED_VALUE"""),"18 inch")</f>
        <v>18 inch</v>
      </c>
      <c r="Q3007" t="str">
        <f>IFERROR(__xludf.DUMMYFUNCTION("""COMPUTED_VALUE"""),"All Black")</f>
        <v>All Black</v>
      </c>
      <c r="R3007" t="str">
        <f>IFERROR(__xludf.DUMMYFUNCTION("""COMPUTED_VALUE"""),"Autopilot included")</f>
        <v>Autopilot included</v>
      </c>
      <c r="S3007" t="str">
        <f>IFERROR(__xludf.DUMMYFUNCTION("""COMPUTED_VALUE"""),"Loan")</f>
        <v>Loan</v>
      </c>
      <c r="T3007" t="str">
        <f>IFERROR(__xludf.DUMMYFUNCTION("""COMPUTED_VALUE"""),"Infiniti M37")</f>
        <v>Infiniti M37</v>
      </c>
      <c r="U3007" t="str">
        <f>IFERROR(__xludf.DUMMYFUNCTION("""COMPUTED_VALUE"""),"Electric!")</f>
        <v>Electric!</v>
      </c>
      <c r="V3007" t="str">
        <f>IFERROR(__xludf.DUMMYFUNCTION("""COMPUTED_VALUE"""),"Apple CarPlay / Android Auto / SiriusXM Radio")</f>
        <v>Apple CarPlay / Android Auto / SiriusXM Radio</v>
      </c>
      <c r="W3007" t="str">
        <f>IFERROR(__xludf.DUMMYFUNCTION("""COMPUTED_VALUE"""),"Complete the steps early, talk to your SA weekly")</f>
        <v>Complete the steps early, talk to your SA weekly</v>
      </c>
      <c r="AH3007" s="189">
        <f>IFERROR(__xludf.DUMMYFUNCTION("""COMPUTED_VALUE"""),44404.673260868054)</f>
        <v>44404.67326</v>
      </c>
    </row>
    <row r="3008">
      <c r="A3008" t="str">
        <f>IFERROR(__xludf.DUMMYFUNCTION("""COMPUTED_VALUE"""),"TedDy")</f>
        <v>TedDy</v>
      </c>
      <c r="B3008" t="str">
        <f>IFERROR(__xludf.DUMMYFUNCTION("""COMPUTED_VALUE"""),"Grand Rapids")</f>
        <v>Grand Rapids</v>
      </c>
      <c r="C3008" t="str">
        <f>IFERROR(__xludf.DUMMYFUNCTION("""COMPUTED_VALUE"""),"MI")</f>
        <v>MI</v>
      </c>
      <c r="D3008" t="str">
        <f>IFERROR(__xludf.DUMMYFUNCTION("""COMPUTED_VALUE"""),"USA")</f>
        <v>USA</v>
      </c>
      <c r="E3008" s="188">
        <f>IFERROR(__xludf.DUMMYFUNCTION("""COMPUTED_VALUE"""),44322.0)</f>
        <v>44322</v>
      </c>
      <c r="F3008" s="188">
        <f>IFERROR(__xludf.DUMMYFUNCTION("""COMPUTED_VALUE"""),44396.0)</f>
        <v>44396</v>
      </c>
      <c r="G3008" t="str">
        <f>IFERROR(__xludf.DUMMYFUNCTION("""COMPUTED_VALUE"""),"Text message")</f>
        <v>Text message</v>
      </c>
      <c r="H3008">
        <f>IFERROR(__xludf.DUMMYFUNCTION("""COMPUTED_VALUE"""),14855.0)</f>
        <v>14855</v>
      </c>
      <c r="J3008" s="188">
        <f>IFERROR(__xludf.DUMMYFUNCTION("""COMPUTED_VALUE"""),44406.0)</f>
        <v>44406</v>
      </c>
      <c r="K3008">
        <f>IFERROR(__xludf.DUMMYFUNCTION("""COMPUTED_VALUE"""),74.0)</f>
        <v>74</v>
      </c>
      <c r="L3008">
        <f>IFERROR(__xludf.DUMMYFUNCTION("""COMPUTED_VALUE"""),10.0)</f>
        <v>10</v>
      </c>
      <c r="M3008">
        <f>IFERROR(__xludf.DUMMYFUNCTION("""COMPUTED_VALUE"""),84.0)</f>
        <v>84</v>
      </c>
      <c r="N3008" t="str">
        <f>IFERROR(__xludf.DUMMYFUNCTION("""COMPUTED_VALUE"""),"Model 3 LR AWD")</f>
        <v>Model 3 LR AWD</v>
      </c>
      <c r="O3008" t="str">
        <f>IFERROR(__xludf.DUMMYFUNCTION("""COMPUTED_VALUE"""),"Midnight Silver Metallic")</f>
        <v>Midnight Silver Metallic</v>
      </c>
      <c r="P3008" t="str">
        <f>IFERROR(__xludf.DUMMYFUNCTION("""COMPUTED_VALUE"""),"18 inch")</f>
        <v>18 inch</v>
      </c>
      <c r="Q3008" t="str">
        <f>IFERROR(__xludf.DUMMYFUNCTION("""COMPUTED_VALUE"""),"All Black")</f>
        <v>All Black</v>
      </c>
      <c r="R3008" t="str">
        <f>IFERROR(__xludf.DUMMYFUNCTION("""COMPUTED_VALUE"""),"Autopilot included")</f>
        <v>Autopilot included</v>
      </c>
      <c r="S3008" t="str">
        <f>IFERROR(__xludf.DUMMYFUNCTION("""COMPUTED_VALUE"""),"Loan")</f>
        <v>Loan</v>
      </c>
      <c r="T3008" t="str">
        <f>IFERROR(__xludf.DUMMYFUNCTION("""COMPUTED_VALUE"""),"Chevy Silverado")</f>
        <v>Chevy Silverado</v>
      </c>
      <c r="U3008" t="str">
        <f>IFERROR(__xludf.DUMMYFUNCTION("""COMPUTED_VALUE"""),"Electric!")</f>
        <v>Electric!</v>
      </c>
      <c r="V3008" t="str">
        <f>IFERROR(__xludf.DUMMYFUNCTION("""COMPUTED_VALUE"""),"Apple CarPlay / Android Auto / SiriusXM Radio")</f>
        <v>Apple CarPlay / Android Auto / SiriusXM Radio</v>
      </c>
      <c r="AH3008" s="189">
        <f>IFERROR(__xludf.DUMMYFUNCTION("""COMPUTED_VALUE"""),44399.554248726854)</f>
        <v>44399.55425</v>
      </c>
    </row>
    <row r="3009">
      <c r="A3009" t="str">
        <f>IFERROR(__xludf.DUMMYFUNCTION("""COMPUTED_VALUE"""),"Apollo")</f>
        <v>Apollo</v>
      </c>
      <c r="B3009" t="str">
        <f>IFERROR(__xludf.DUMMYFUNCTION("""COMPUTED_VALUE"""),"San Antonio")</f>
        <v>San Antonio</v>
      </c>
      <c r="C3009" t="str">
        <f>IFERROR(__xludf.DUMMYFUNCTION("""COMPUTED_VALUE"""),"TX")</f>
        <v>TX</v>
      </c>
      <c r="D3009" t="str">
        <f>IFERROR(__xludf.DUMMYFUNCTION("""COMPUTED_VALUE"""),"USA")</f>
        <v>USA</v>
      </c>
      <c r="E3009" s="188">
        <f>IFERROR(__xludf.DUMMYFUNCTION("""COMPUTED_VALUE"""),44352.0)</f>
        <v>44352</v>
      </c>
      <c r="F3009" s="188">
        <f>IFERROR(__xludf.DUMMYFUNCTION("""COMPUTED_VALUE"""),44410.0)</f>
        <v>44410</v>
      </c>
      <c r="G3009" t="str">
        <f>IFERROR(__xludf.DUMMYFUNCTION("""COMPUTED_VALUE"""),"Manage order page (normal text)")</f>
        <v>Manage order page (normal text)</v>
      </c>
      <c r="I3009" t="str">
        <f>IFERROR(__xludf.DUMMYFUNCTION("""COMPUTED_VALUE"""),"08/21")</f>
        <v>08/21</v>
      </c>
      <c r="J3009" s="188">
        <f>IFERROR(__xludf.DUMMYFUNCTION("""COMPUTED_VALUE"""),44423.0)</f>
        <v>44423</v>
      </c>
      <c r="K3009">
        <f>IFERROR(__xludf.DUMMYFUNCTION("""COMPUTED_VALUE"""),58.0)</f>
        <v>58</v>
      </c>
      <c r="L3009">
        <f>IFERROR(__xludf.DUMMYFUNCTION("""COMPUTED_VALUE"""),13.0)</f>
        <v>13</v>
      </c>
      <c r="M3009">
        <f>IFERROR(__xludf.DUMMYFUNCTION("""COMPUTED_VALUE"""),71.0)</f>
        <v>71</v>
      </c>
      <c r="N3009" t="str">
        <f>IFERROR(__xludf.DUMMYFUNCTION("""COMPUTED_VALUE"""),"Model 3 LR AWD")</f>
        <v>Model 3 LR AWD</v>
      </c>
      <c r="O3009" t="str">
        <f>IFERROR(__xludf.DUMMYFUNCTION("""COMPUTED_VALUE"""),"Midnight Silver Metallic")</f>
        <v>Midnight Silver Metallic</v>
      </c>
      <c r="P3009" t="str">
        <f>IFERROR(__xludf.DUMMYFUNCTION("""COMPUTED_VALUE"""),"18 inch")</f>
        <v>18 inch</v>
      </c>
      <c r="Q3009" t="str">
        <f>IFERROR(__xludf.DUMMYFUNCTION("""COMPUTED_VALUE"""),"All Black")</f>
        <v>All Black</v>
      </c>
      <c r="R3009" t="str">
        <f>IFERROR(__xludf.DUMMYFUNCTION("""COMPUTED_VALUE"""),"Autopilot included")</f>
        <v>Autopilot included</v>
      </c>
      <c r="T3009" t="str">
        <f>IFERROR(__xludf.DUMMYFUNCTION("""COMPUTED_VALUE"""),"Honda Civic")</f>
        <v>Honda Civic</v>
      </c>
      <c r="U3009" t="str">
        <f>IFERROR(__xludf.DUMMYFUNCTION("""COMPUTED_VALUE"""),"Electric!")</f>
        <v>Electric!</v>
      </c>
      <c r="V3009" t="str">
        <f>IFERROR(__xludf.DUMMYFUNCTION("""COMPUTED_VALUE"""),"Apple CarPlay / Android Auto / SiriusXM Radio")</f>
        <v>Apple CarPlay / Android Auto / SiriusXM Radio</v>
      </c>
      <c r="AH3009" s="189">
        <f>IFERROR(__xludf.DUMMYFUNCTION("""COMPUTED_VALUE"""),44415.84151423611)</f>
        <v>44415.84151</v>
      </c>
    </row>
    <row r="3010">
      <c r="A3010" t="str">
        <f>IFERROR(__xludf.DUMMYFUNCTION("""COMPUTED_VALUE"""),"greymatter73")</f>
        <v>greymatter73</v>
      </c>
      <c r="B3010" t="str">
        <f>IFERROR(__xludf.DUMMYFUNCTION("""COMPUTED_VALUE"""),"Sacramento")</f>
        <v>Sacramento</v>
      </c>
      <c r="C3010" t="str">
        <f>IFERROR(__xludf.DUMMYFUNCTION("""COMPUTED_VALUE"""),"CA")</f>
        <v>CA</v>
      </c>
      <c r="D3010" t="str">
        <f>IFERROR(__xludf.DUMMYFUNCTION("""COMPUTED_VALUE"""),"USA")</f>
        <v>USA</v>
      </c>
      <c r="E3010" s="188">
        <f>IFERROR(__xludf.DUMMYFUNCTION("""COMPUTED_VALUE"""),44352.0)</f>
        <v>44352</v>
      </c>
      <c r="F3010" s="188">
        <f>IFERROR(__xludf.DUMMYFUNCTION("""COMPUTED_VALUE"""),44373.0)</f>
        <v>44373</v>
      </c>
      <c r="G3010" t="str">
        <f>IFERROR(__xludf.DUMMYFUNCTION("""COMPUTED_VALUE"""),"Manage order page (normal text)")</f>
        <v>Manage order page (normal text)</v>
      </c>
      <c r="H3010">
        <f>IFERROR(__xludf.DUMMYFUNCTION("""COMPUTED_VALUE"""),992761.0)</f>
        <v>992761</v>
      </c>
      <c r="I3010" t="str">
        <f>IFERROR(__xludf.DUMMYFUNCTION("""COMPUTED_VALUE"""),"06/21")</f>
        <v>06/21</v>
      </c>
      <c r="J3010" s="188">
        <f>IFERROR(__xludf.DUMMYFUNCTION("""COMPUTED_VALUE"""),44380.0)</f>
        <v>44380</v>
      </c>
      <c r="K3010">
        <f>IFERROR(__xludf.DUMMYFUNCTION("""COMPUTED_VALUE"""),21.0)</f>
        <v>21</v>
      </c>
      <c r="L3010">
        <f>IFERROR(__xludf.DUMMYFUNCTION("""COMPUTED_VALUE"""),7.0)</f>
        <v>7</v>
      </c>
      <c r="M3010">
        <f>IFERROR(__xludf.DUMMYFUNCTION("""COMPUTED_VALUE"""),28.0)</f>
        <v>28</v>
      </c>
      <c r="N3010" t="str">
        <f>IFERROR(__xludf.DUMMYFUNCTION("""COMPUTED_VALUE"""),"Model 3 LR AWD")</f>
        <v>Model 3 LR AWD</v>
      </c>
      <c r="O3010" t="str">
        <f>IFERROR(__xludf.DUMMYFUNCTION("""COMPUTED_VALUE"""),"Pearl White Multi-Coat")</f>
        <v>Pearl White Multi-Coat</v>
      </c>
      <c r="P3010" t="str">
        <f>IFERROR(__xludf.DUMMYFUNCTION("""COMPUTED_VALUE"""),"18 inch")</f>
        <v>18 inch</v>
      </c>
      <c r="Q3010" t="str">
        <f>IFERROR(__xludf.DUMMYFUNCTION("""COMPUTED_VALUE"""),"All Black")</f>
        <v>All Black</v>
      </c>
      <c r="R3010" t="str">
        <f>IFERROR(__xludf.DUMMYFUNCTION("""COMPUTED_VALUE"""),"Autopilot included")</f>
        <v>Autopilot included</v>
      </c>
      <c r="S3010" t="str">
        <f>IFERROR(__xludf.DUMMYFUNCTION("""COMPUTED_VALUE"""),"Cash")</f>
        <v>Cash</v>
      </c>
      <c r="T3010" t="str">
        <f>IFERROR(__xludf.DUMMYFUNCTION("""COMPUTED_VALUE"""),"Lexus ES300H Hybrid")</f>
        <v>Lexus ES300H Hybrid</v>
      </c>
      <c r="U3010" t="str">
        <f>IFERROR(__xludf.DUMMYFUNCTION("""COMPUTED_VALUE"""),"Tesla brand image")</f>
        <v>Tesla brand image</v>
      </c>
      <c r="V3010" t="str">
        <f>IFERROR(__xludf.DUMMYFUNCTION("""COMPUTED_VALUE"""),"Apple CarPlay / Android Auto / SiriusXM Radio")</f>
        <v>Apple CarPlay / Android Auto / SiriusXM Radio</v>
      </c>
      <c r="W3010" t="str">
        <f>IFERROR(__xludf.DUMMYFUNCTION("""COMPUTED_VALUE"""),"If you have a long wait for your car, refresh the existing inventory page regularly!  Chances are, the exact same configuration will appear!")</f>
        <v>If you have a long wait for your car, refresh the existing inventory page regularly!  Chances are, the exact same configuration will appear!</v>
      </c>
      <c r="X3010" t="str">
        <f>IFERROR(__xludf.DUMMYFUNCTION("""COMPUTED_VALUE"""),"Fair")</f>
        <v>Fair</v>
      </c>
      <c r="Y3010" t="str">
        <f>IFERROR(__xludf.DUMMYFUNCTION("""COMPUTED_VALUE"""),"Very Good")</f>
        <v>Very Good</v>
      </c>
      <c r="Z3010" t="str">
        <f>IFERROR(__xludf.DUMMYFUNCTION("""COMPUTED_VALUE"""),"Excellent")</f>
        <v>Excellent</v>
      </c>
      <c r="AA3010" t="str">
        <f>IFERROR(__xludf.DUMMYFUNCTION("""COMPUTED_VALUE"""),"Very Good")</f>
        <v>Very Good</v>
      </c>
      <c r="AB3010" t="str">
        <f>IFERROR(__xludf.DUMMYFUNCTION("""COMPUTED_VALUE"""),"Excellent")</f>
        <v>Excellent</v>
      </c>
      <c r="AC3010">
        <f>IFERROR(__xludf.DUMMYFUNCTION("""COMPUTED_VALUE"""),6.0)</f>
        <v>6</v>
      </c>
      <c r="AD3010">
        <f>IFERROR(__xludf.DUMMYFUNCTION("""COMPUTED_VALUE"""),1.0)</f>
        <v>1</v>
      </c>
      <c r="AF3010" t="str">
        <f>IFERROR(__xludf.DUMMYFUNCTION("""COMPUTED_VALUE"""),"No. I took delivery of the first car Tesla was able to deliver.")</f>
        <v>No. I took delivery of the first car Tesla was able to deliver.</v>
      </c>
      <c r="AH3010" s="189">
        <f>IFERROR(__xludf.DUMMYFUNCTION("""COMPUTED_VALUE"""),44383.26957815972)</f>
        <v>44383.26958</v>
      </c>
    </row>
    <row r="3011">
      <c r="A3011" t="str">
        <f>IFERROR(__xludf.DUMMYFUNCTION("""COMPUTED_VALUE"""),"lwlx")</f>
        <v>lwlx</v>
      </c>
      <c r="B3011" t="str">
        <f>IFERROR(__xludf.DUMMYFUNCTION("""COMPUTED_VALUE"""),"Zürich")</f>
        <v>Zürich</v>
      </c>
      <c r="D3011" t="str">
        <f>IFERROR(__xludf.DUMMYFUNCTION("""COMPUTED_VALUE"""),"Switzerland")</f>
        <v>Switzerland</v>
      </c>
      <c r="E3011" s="188">
        <f>IFERROR(__xludf.DUMMYFUNCTION("""COMPUTED_VALUE"""),44342.0)</f>
        <v>44342</v>
      </c>
      <c r="F3011" s="188">
        <f>IFERROR(__xludf.DUMMYFUNCTION("""COMPUTED_VALUE"""),44358.0)</f>
        <v>44358</v>
      </c>
      <c r="G3011" t="str">
        <f>IFERROR(__xludf.DUMMYFUNCTION("""COMPUTED_VALUE"""),"Phone call")</f>
        <v>Phone call</v>
      </c>
      <c r="H3011">
        <f>IFERROR(__xludf.DUMMYFUNCTION("""COMPUTED_VALUE"""),972000.0)</f>
        <v>972000</v>
      </c>
      <c r="J3011" s="188">
        <f>IFERROR(__xludf.DUMMYFUNCTION("""COMPUTED_VALUE"""),44370.0)</f>
        <v>44370</v>
      </c>
      <c r="K3011">
        <f>IFERROR(__xludf.DUMMYFUNCTION("""COMPUTED_VALUE"""),16.0)</f>
        <v>16</v>
      </c>
      <c r="L3011">
        <f>IFERROR(__xludf.DUMMYFUNCTION("""COMPUTED_VALUE"""),12.0)</f>
        <v>12</v>
      </c>
      <c r="M3011">
        <f>IFERROR(__xludf.DUMMYFUNCTION("""COMPUTED_VALUE"""),28.0)</f>
        <v>28</v>
      </c>
      <c r="N3011" t="str">
        <f>IFERROR(__xludf.DUMMYFUNCTION("""COMPUTED_VALUE"""),"Model 3 LR AWD")</f>
        <v>Model 3 LR AWD</v>
      </c>
      <c r="O3011" t="str">
        <f>IFERROR(__xludf.DUMMYFUNCTION("""COMPUTED_VALUE"""),"Pearl White Multi-Coat")</f>
        <v>Pearl White Multi-Coat</v>
      </c>
      <c r="P3011" t="str">
        <f>IFERROR(__xludf.DUMMYFUNCTION("""COMPUTED_VALUE"""),"19 inch")</f>
        <v>19 inch</v>
      </c>
      <c r="Q3011" t="str">
        <f>IFERROR(__xludf.DUMMYFUNCTION("""COMPUTED_VALUE"""),"All Black")</f>
        <v>All Black</v>
      </c>
      <c r="R3011" t="str">
        <f>IFERROR(__xludf.DUMMYFUNCTION("""COMPUTED_VALUE"""),"Autopilot included")</f>
        <v>Autopilot included</v>
      </c>
      <c r="T3011" t="str">
        <f>IFERROR(__xludf.DUMMYFUNCTION("""COMPUTED_VALUE"""),"Mercedes A Class")</f>
        <v>Mercedes A Class</v>
      </c>
      <c r="U3011" t="str">
        <f>IFERROR(__xludf.DUMMYFUNCTION("""COMPUTED_VALUE"""),"Electric!")</f>
        <v>Electric!</v>
      </c>
      <c r="V3011" t="str">
        <f>IFERROR(__xludf.DUMMYFUNCTION("""COMPUTED_VALUE"""),"Head-up display")</f>
        <v>Head-up display</v>
      </c>
      <c r="X3011" t="str">
        <f>IFERROR(__xludf.DUMMYFUNCTION("""COMPUTED_VALUE"""),"Excellent")</f>
        <v>Excellent</v>
      </c>
      <c r="Y3011" t="str">
        <f>IFERROR(__xludf.DUMMYFUNCTION("""COMPUTED_VALUE"""),"Very Good")</f>
        <v>Very Good</v>
      </c>
      <c r="Z3011" t="str">
        <f>IFERROR(__xludf.DUMMYFUNCTION("""COMPUTED_VALUE"""),"Excellent")</f>
        <v>Excellent</v>
      </c>
      <c r="AA3011" t="str">
        <f>IFERROR(__xludf.DUMMYFUNCTION("""COMPUTED_VALUE"""),"Good")</f>
        <v>Good</v>
      </c>
      <c r="AB3011" t="str">
        <f>IFERROR(__xludf.DUMMYFUNCTION("""COMPUTED_VALUE"""),"Excellent")</f>
        <v>Excellent</v>
      </c>
      <c r="AC3011">
        <f>IFERROR(__xludf.DUMMYFUNCTION("""COMPUTED_VALUE"""),1.0)</f>
        <v>1</v>
      </c>
      <c r="AD3011">
        <f>IFERROR(__xludf.DUMMYFUNCTION("""COMPUTED_VALUE"""),1.0)</f>
        <v>1</v>
      </c>
      <c r="AE3011">
        <f>IFERROR(__xludf.DUMMYFUNCTION("""COMPUTED_VALUE"""),0.0)</f>
        <v>0</v>
      </c>
      <c r="AF3011" t="str">
        <f>IFERROR(__xludf.DUMMYFUNCTION("""COMPUTED_VALUE"""),"No. I took delivery of the first car Tesla was able to deliver.")</f>
        <v>No. I took delivery of the first car Tesla was able to deliver.</v>
      </c>
      <c r="AH3011" s="189">
        <f>IFERROR(__xludf.DUMMYFUNCTION("""COMPUTED_VALUE"""),44410.327891215275)</f>
        <v>44410.32789</v>
      </c>
    </row>
    <row r="3012">
      <c r="A3012" t="str">
        <f>IFERROR(__xludf.DUMMYFUNCTION("""COMPUTED_VALUE"""),"wheres_my_vin")</f>
        <v>wheres_my_vin</v>
      </c>
      <c r="B3012" t="str">
        <f>IFERROR(__xludf.DUMMYFUNCTION("""COMPUTED_VALUE"""),"Kirkland")</f>
        <v>Kirkland</v>
      </c>
      <c r="C3012" t="str">
        <f>IFERROR(__xludf.DUMMYFUNCTION("""COMPUTED_VALUE"""),"WA")</f>
        <v>WA</v>
      </c>
      <c r="D3012" t="str">
        <f>IFERROR(__xludf.DUMMYFUNCTION("""COMPUTED_VALUE"""),"USA")</f>
        <v>USA</v>
      </c>
      <c r="E3012" s="188">
        <f>IFERROR(__xludf.DUMMYFUNCTION("""COMPUTED_VALUE"""),44310.0)</f>
        <v>44310</v>
      </c>
      <c r="F3012" s="188">
        <f>IFERROR(__xludf.DUMMYFUNCTION("""COMPUTED_VALUE"""),44372.0)</f>
        <v>44372</v>
      </c>
      <c r="G3012" t="str">
        <f>IFERROR(__xludf.DUMMYFUNCTION("""COMPUTED_VALUE"""),"Manage order page (normal text)")</f>
        <v>Manage order page (normal text)</v>
      </c>
      <c r="H3012">
        <f>IFERROR(__xludf.DUMMYFUNCTION("""COMPUTED_VALUE"""),2255.0)</f>
        <v>2255</v>
      </c>
      <c r="I3012" t="str">
        <f>IFERROR(__xludf.DUMMYFUNCTION("""COMPUTED_VALUE"""),"06/21")</f>
        <v>06/21</v>
      </c>
      <c r="J3012" s="188">
        <f>IFERROR(__xludf.DUMMYFUNCTION("""COMPUTED_VALUE"""),44377.0)</f>
        <v>44377</v>
      </c>
      <c r="K3012">
        <f>IFERROR(__xludf.DUMMYFUNCTION("""COMPUTED_VALUE"""),62.0)</f>
        <v>62</v>
      </c>
      <c r="L3012">
        <f>IFERROR(__xludf.DUMMYFUNCTION("""COMPUTED_VALUE"""),5.0)</f>
        <v>5</v>
      </c>
      <c r="M3012">
        <f>IFERROR(__xludf.DUMMYFUNCTION("""COMPUTED_VALUE"""),67.0)</f>
        <v>67</v>
      </c>
      <c r="N3012" t="str">
        <f>IFERROR(__xludf.DUMMYFUNCTION("""COMPUTED_VALUE"""),"Model 3 LR AWD")</f>
        <v>Model 3 LR AWD</v>
      </c>
      <c r="O3012" t="str">
        <f>IFERROR(__xludf.DUMMYFUNCTION("""COMPUTED_VALUE"""),"Midnight Silver Metallic")</f>
        <v>Midnight Silver Metallic</v>
      </c>
      <c r="P3012" t="str">
        <f>IFERROR(__xludf.DUMMYFUNCTION("""COMPUTED_VALUE"""),"18 inch")</f>
        <v>18 inch</v>
      </c>
      <c r="Q3012" t="str">
        <f>IFERROR(__xludf.DUMMYFUNCTION("""COMPUTED_VALUE"""),"All Black")</f>
        <v>All Black</v>
      </c>
      <c r="R3012" t="str">
        <f>IFERROR(__xludf.DUMMYFUNCTION("""COMPUTED_VALUE"""),"Autopilot included")</f>
        <v>Autopilot included</v>
      </c>
      <c r="S3012" t="str">
        <f>IFERROR(__xludf.DUMMYFUNCTION("""COMPUTED_VALUE"""),"Loan")</f>
        <v>Loan</v>
      </c>
      <c r="T3012" t="str">
        <f>IFERROR(__xludf.DUMMYFUNCTION("""COMPUTED_VALUE"""),"BMW 3 Series")</f>
        <v>BMW 3 Series</v>
      </c>
      <c r="U3012" t="str">
        <f>IFERROR(__xludf.DUMMYFUNCTION("""COMPUTED_VALUE"""),"Electric!")</f>
        <v>Electric!</v>
      </c>
      <c r="V3012" t="str">
        <f>IFERROR(__xludf.DUMMYFUNCTION("""COMPUTED_VALUE"""),"Head-up display")</f>
        <v>Head-up display</v>
      </c>
      <c r="X3012" t="str">
        <f>IFERROR(__xludf.DUMMYFUNCTION("""COMPUTED_VALUE"""),"Very Good")</f>
        <v>Very Good</v>
      </c>
      <c r="Y3012" t="str">
        <f>IFERROR(__xludf.DUMMYFUNCTION("""COMPUTED_VALUE"""),"Excellent")</f>
        <v>Excellent</v>
      </c>
      <c r="Z3012" t="str">
        <f>IFERROR(__xludf.DUMMYFUNCTION("""COMPUTED_VALUE"""),"Excellent")</f>
        <v>Excellent</v>
      </c>
      <c r="AA3012" t="str">
        <f>IFERROR(__xludf.DUMMYFUNCTION("""COMPUTED_VALUE"""),"Good")</f>
        <v>Good</v>
      </c>
      <c r="AB3012" t="str">
        <f>IFERROR(__xludf.DUMMYFUNCTION("""COMPUTED_VALUE"""),"Good")</f>
        <v>Good</v>
      </c>
      <c r="AH3012" s="189">
        <f>IFERROR(__xludf.DUMMYFUNCTION("""COMPUTED_VALUE"""),44377.95629555556)</f>
        <v>44377.9563</v>
      </c>
    </row>
    <row r="3013">
      <c r="A3013" t="str">
        <f>IFERROR(__xludf.DUMMYFUNCTION("""COMPUTED_VALUE"""),"SDBob")</f>
        <v>SDBob</v>
      </c>
      <c r="B3013" t="str">
        <f>IFERROR(__xludf.DUMMYFUNCTION("""COMPUTED_VALUE"""),"Santee CA")</f>
        <v>Santee CA</v>
      </c>
      <c r="C3013" t="str">
        <f>IFERROR(__xludf.DUMMYFUNCTION("""COMPUTED_VALUE"""),"CA")</f>
        <v>CA</v>
      </c>
      <c r="D3013" t="str">
        <f>IFERROR(__xludf.DUMMYFUNCTION("""COMPUTED_VALUE"""),"USA")</f>
        <v>USA</v>
      </c>
      <c r="E3013" s="188">
        <f>IFERROR(__xludf.DUMMYFUNCTION("""COMPUTED_VALUE"""),44330.0)</f>
        <v>44330</v>
      </c>
      <c r="F3013" s="188">
        <f>IFERROR(__xludf.DUMMYFUNCTION("""COMPUTED_VALUE"""),44376.0)</f>
        <v>44376</v>
      </c>
      <c r="G3013" t="str">
        <f>IFERROR(__xludf.DUMMYFUNCTION("""COMPUTED_VALUE"""),"Manage order page (normal text)")</f>
        <v>Manage order page (normal text)</v>
      </c>
      <c r="J3013" s="188">
        <f>IFERROR(__xludf.DUMMYFUNCTION("""COMPUTED_VALUE"""),44377.0)</f>
        <v>44377</v>
      </c>
      <c r="K3013">
        <f>IFERROR(__xludf.DUMMYFUNCTION("""COMPUTED_VALUE"""),46.0)</f>
        <v>46</v>
      </c>
      <c r="L3013">
        <f>IFERROR(__xludf.DUMMYFUNCTION("""COMPUTED_VALUE"""),1.0)</f>
        <v>1</v>
      </c>
      <c r="M3013">
        <f>IFERROR(__xludf.DUMMYFUNCTION("""COMPUTED_VALUE"""),47.0)</f>
        <v>47</v>
      </c>
      <c r="N3013" t="str">
        <f>IFERROR(__xludf.DUMMYFUNCTION("""COMPUTED_VALUE"""),"Model 3 SR+")</f>
        <v>Model 3 SR+</v>
      </c>
      <c r="O3013" t="str">
        <f>IFERROR(__xludf.DUMMYFUNCTION("""COMPUTED_VALUE"""),"Pearl White Multi-Coat")</f>
        <v>Pearl White Multi-Coat</v>
      </c>
      <c r="P3013" t="str">
        <f>IFERROR(__xludf.DUMMYFUNCTION("""COMPUTED_VALUE"""),"18 inch")</f>
        <v>18 inch</v>
      </c>
      <c r="Q3013" t="str">
        <f>IFERROR(__xludf.DUMMYFUNCTION("""COMPUTED_VALUE"""),"All Black")</f>
        <v>All Black</v>
      </c>
      <c r="R3013" t="str">
        <f>IFERROR(__xludf.DUMMYFUNCTION("""COMPUTED_VALUE"""),"Autopilot included")</f>
        <v>Autopilot included</v>
      </c>
      <c r="S3013" t="str">
        <f>IFERROR(__xludf.DUMMYFUNCTION("""COMPUTED_VALUE"""),"Loan")</f>
        <v>Loan</v>
      </c>
      <c r="T3013" t="str">
        <f>IFERROR(__xludf.DUMMYFUNCTION("""COMPUTED_VALUE"""),"Honda Accord")</f>
        <v>Honda Accord</v>
      </c>
      <c r="U3013" t="str">
        <f>IFERROR(__xludf.DUMMYFUNCTION("""COMPUTED_VALUE"""),"Tesla brand image")</f>
        <v>Tesla brand image</v>
      </c>
      <c r="V3013" t="str">
        <f>IFERROR(__xludf.DUMMYFUNCTION("""COMPUTED_VALUE"""),"Apple CarPlay / Android Auto / SiriusXM Radio")</f>
        <v>Apple CarPlay / Android Auto / SiriusXM Radio</v>
      </c>
      <c r="W3013" t="str">
        <f>IFERROR(__xludf.DUMMYFUNCTION("""COMPUTED_VALUE"""),"Patience")</f>
        <v>Patience</v>
      </c>
      <c r="X3013" t="str">
        <f>IFERROR(__xludf.DUMMYFUNCTION("""COMPUTED_VALUE"""),"Excellent")</f>
        <v>Excellent</v>
      </c>
      <c r="Y3013" t="str">
        <f>IFERROR(__xludf.DUMMYFUNCTION("""COMPUTED_VALUE"""),"Excellent")</f>
        <v>Excellent</v>
      </c>
      <c r="Z3013" t="str">
        <f>IFERROR(__xludf.DUMMYFUNCTION("""COMPUTED_VALUE"""),"Excellent")</f>
        <v>Excellent</v>
      </c>
      <c r="AA3013" t="str">
        <f>IFERROR(__xludf.DUMMYFUNCTION("""COMPUTED_VALUE"""),"Fair")</f>
        <v>Fair</v>
      </c>
      <c r="AB3013" t="str">
        <f>IFERROR(__xludf.DUMMYFUNCTION("""COMPUTED_VALUE"""),"Excellent")</f>
        <v>Excellent</v>
      </c>
      <c r="AC3013">
        <f>IFERROR(__xludf.DUMMYFUNCTION("""COMPUTED_VALUE"""),0.0)</f>
        <v>0</v>
      </c>
      <c r="AF3013" t="str">
        <f>IFERROR(__xludf.DUMMYFUNCTION("""COMPUTED_VALUE"""),"No. I took delivery of the first car Tesla was able to deliver.")</f>
        <v>No. I took delivery of the first car Tesla was able to deliver.</v>
      </c>
      <c r="AH3013" s="189">
        <f>IFERROR(__xludf.DUMMYFUNCTION("""COMPUTED_VALUE"""),44380.92327290509)</f>
        <v>44380.92327</v>
      </c>
    </row>
    <row r="3014">
      <c r="A3014" t="str">
        <f>IFERROR(__xludf.DUMMYFUNCTION("""COMPUTED_VALUE"""),"IsaacK")</f>
        <v>IsaacK</v>
      </c>
      <c r="B3014" t="str">
        <f>IFERROR(__xludf.DUMMYFUNCTION("""COMPUTED_VALUE"""),"Rochester")</f>
        <v>Rochester</v>
      </c>
      <c r="C3014" t="str">
        <f>IFERROR(__xludf.DUMMYFUNCTION("""COMPUTED_VALUE"""),"MN")</f>
        <v>MN</v>
      </c>
      <c r="D3014" t="str">
        <f>IFERROR(__xludf.DUMMYFUNCTION("""COMPUTED_VALUE"""),"USA")</f>
        <v>USA</v>
      </c>
      <c r="E3014" s="188">
        <f>IFERROR(__xludf.DUMMYFUNCTION("""COMPUTED_VALUE"""),44359.0)</f>
        <v>44359</v>
      </c>
      <c r="F3014" s="188">
        <f>IFERROR(__xludf.DUMMYFUNCTION("""COMPUTED_VALUE"""),44404.0)</f>
        <v>44404</v>
      </c>
      <c r="G3014" t="str">
        <f>IFERROR(__xludf.DUMMYFUNCTION("""COMPUTED_VALUE"""),"Manage order page (normal text)")</f>
        <v>Manage order page (normal text)</v>
      </c>
      <c r="H3014">
        <f>IFERROR(__xludf.DUMMYFUNCTION("""COMPUTED_VALUE"""),26555.0)</f>
        <v>26555</v>
      </c>
      <c r="I3014" t="str">
        <f>IFERROR(__xludf.DUMMYFUNCTION("""COMPUTED_VALUE"""),"07/21")</f>
        <v>07/21</v>
      </c>
      <c r="J3014" s="188">
        <f>IFERROR(__xludf.DUMMYFUNCTION("""COMPUTED_VALUE"""),44415.0)</f>
        <v>44415</v>
      </c>
      <c r="K3014">
        <f>IFERROR(__xludf.DUMMYFUNCTION("""COMPUTED_VALUE"""),45.0)</f>
        <v>45</v>
      </c>
      <c r="L3014">
        <f>IFERROR(__xludf.DUMMYFUNCTION("""COMPUTED_VALUE"""),11.0)</f>
        <v>11</v>
      </c>
      <c r="M3014">
        <f>IFERROR(__xludf.DUMMYFUNCTION("""COMPUTED_VALUE"""),56.0)</f>
        <v>56</v>
      </c>
      <c r="N3014" t="str">
        <f>IFERROR(__xludf.DUMMYFUNCTION("""COMPUTED_VALUE"""),"Model 3 LR AWD")</f>
        <v>Model 3 LR AWD</v>
      </c>
      <c r="O3014" t="str">
        <f>IFERROR(__xludf.DUMMYFUNCTION("""COMPUTED_VALUE"""),"Red Multi-Coat")</f>
        <v>Red Multi-Coat</v>
      </c>
      <c r="P3014" t="str">
        <f>IFERROR(__xludf.DUMMYFUNCTION("""COMPUTED_VALUE"""),"18 inch")</f>
        <v>18 inch</v>
      </c>
      <c r="Q3014" t="str">
        <f>IFERROR(__xludf.DUMMYFUNCTION("""COMPUTED_VALUE"""),"Black and White")</f>
        <v>Black and White</v>
      </c>
      <c r="R3014" t="str">
        <f>IFERROR(__xludf.DUMMYFUNCTION("""COMPUTED_VALUE"""),"Autopilot included")</f>
        <v>Autopilot included</v>
      </c>
      <c r="S3014" t="str">
        <f>IFERROR(__xludf.DUMMYFUNCTION("""COMPUTED_VALUE"""),"Cash")</f>
        <v>Cash</v>
      </c>
      <c r="U3014" t="str">
        <f>IFERROR(__xludf.DUMMYFUNCTION("""COMPUTED_VALUE"""),"Electric!")</f>
        <v>Electric!</v>
      </c>
      <c r="V3014" t="str">
        <f>IFERROR(__xludf.DUMMYFUNCTION("""COMPUTED_VALUE"""),"Air suspension")</f>
        <v>Air suspension</v>
      </c>
      <c r="X3014" t="str">
        <f>IFERROR(__xludf.DUMMYFUNCTION("""COMPUTED_VALUE"""),"Excellent")</f>
        <v>Excellent</v>
      </c>
      <c r="Y3014" t="str">
        <f>IFERROR(__xludf.DUMMYFUNCTION("""COMPUTED_VALUE"""),"Very Good")</f>
        <v>Very Good</v>
      </c>
      <c r="Z3014" t="str">
        <f>IFERROR(__xludf.DUMMYFUNCTION("""COMPUTED_VALUE"""),"Excellent")</f>
        <v>Excellent</v>
      </c>
      <c r="AA3014" t="str">
        <f>IFERROR(__xludf.DUMMYFUNCTION("""COMPUTED_VALUE"""),"Excellent")</f>
        <v>Excellent</v>
      </c>
      <c r="AB3014" t="str">
        <f>IFERROR(__xludf.DUMMYFUNCTION("""COMPUTED_VALUE"""),"Excellent")</f>
        <v>Excellent</v>
      </c>
      <c r="AC3014">
        <f>IFERROR(__xludf.DUMMYFUNCTION("""COMPUTED_VALUE"""),2.0)</f>
        <v>2</v>
      </c>
      <c r="AF3014" t="str">
        <f>IFERROR(__xludf.DUMMYFUNCTION("""COMPUTED_VALUE"""),"No. I took delivery of the first car Tesla was able to deliver.")</f>
        <v>No. I took delivery of the first car Tesla was able to deliver.</v>
      </c>
      <c r="AG3014" t="str">
        <f>IFERROR(__xludf.DUMMYFUNCTION("""COMPUTED_VALUE"""),"You'll really fall in love with your Tesla! Worth every penny!")</f>
        <v>You'll really fall in love with your Tesla! Worth every penny!</v>
      </c>
      <c r="AH3014" s="189">
        <f>IFERROR(__xludf.DUMMYFUNCTION("""COMPUTED_VALUE"""),44415.891392777776)</f>
        <v>44415.89139</v>
      </c>
    </row>
    <row r="3015">
      <c r="A3015" t="str">
        <f>IFERROR(__xludf.DUMMYFUNCTION("""COMPUTED_VALUE"""),"lief4321")</f>
        <v>lief4321</v>
      </c>
      <c r="B3015" t="str">
        <f>IFERROR(__xludf.DUMMYFUNCTION("""COMPUTED_VALUE"""),"Oak Hill")</f>
        <v>Oak Hill</v>
      </c>
      <c r="C3015" t="str">
        <f>IFERROR(__xludf.DUMMYFUNCTION("""COMPUTED_VALUE"""),"FL")</f>
        <v>FL</v>
      </c>
      <c r="D3015" t="str">
        <f>IFERROR(__xludf.DUMMYFUNCTION("""COMPUTED_VALUE"""),"USA")</f>
        <v>USA</v>
      </c>
      <c r="E3015" s="188">
        <f>IFERROR(__xludf.DUMMYFUNCTION("""COMPUTED_VALUE"""),44357.0)</f>
        <v>44357</v>
      </c>
      <c r="F3015" s="188">
        <f>IFERROR(__xludf.DUMMYFUNCTION("""COMPUTED_VALUE"""),44391.0)</f>
        <v>44391</v>
      </c>
      <c r="G3015" t="str">
        <f>IFERROR(__xludf.DUMMYFUNCTION("""COMPUTED_VALUE"""),"Manage order page (normal text)")</f>
        <v>Manage order page (normal text)</v>
      </c>
      <c r="H3015">
        <f>IFERROR(__xludf.DUMMYFUNCTION("""COMPUTED_VALUE"""),13155.0)</f>
        <v>13155</v>
      </c>
      <c r="J3015" s="188">
        <f>IFERROR(__xludf.DUMMYFUNCTION("""COMPUTED_VALUE"""),44406.0)</f>
        <v>44406</v>
      </c>
      <c r="K3015">
        <f>IFERROR(__xludf.DUMMYFUNCTION("""COMPUTED_VALUE"""),34.0)</f>
        <v>34</v>
      </c>
      <c r="L3015">
        <f>IFERROR(__xludf.DUMMYFUNCTION("""COMPUTED_VALUE"""),15.0)</f>
        <v>15</v>
      </c>
      <c r="M3015">
        <f>IFERROR(__xludf.DUMMYFUNCTION("""COMPUTED_VALUE"""),49.0)</f>
        <v>49</v>
      </c>
      <c r="N3015" t="str">
        <f>IFERROR(__xludf.DUMMYFUNCTION("""COMPUTED_VALUE"""),"Model 3 LR AWD")</f>
        <v>Model 3 LR AWD</v>
      </c>
      <c r="O3015" t="str">
        <f>IFERROR(__xludf.DUMMYFUNCTION("""COMPUTED_VALUE"""),"Solid Black")</f>
        <v>Solid Black</v>
      </c>
      <c r="P3015" t="str">
        <f>IFERROR(__xludf.DUMMYFUNCTION("""COMPUTED_VALUE"""),"19 inch")</f>
        <v>19 inch</v>
      </c>
      <c r="Q3015" t="str">
        <f>IFERROR(__xludf.DUMMYFUNCTION("""COMPUTED_VALUE"""),"All Black")</f>
        <v>All Black</v>
      </c>
      <c r="R3015" t="str">
        <f>IFERROR(__xludf.DUMMYFUNCTION("""COMPUTED_VALUE"""),"Autopilot included")</f>
        <v>Autopilot included</v>
      </c>
      <c r="S3015" t="str">
        <f>IFERROR(__xludf.DUMMYFUNCTION("""COMPUTED_VALUE"""),"Loan")</f>
        <v>Loan</v>
      </c>
      <c r="T3015" t="str">
        <f>IFERROR(__xludf.DUMMYFUNCTION("""COMPUTED_VALUE"""),"Chevy Impala")</f>
        <v>Chevy Impala</v>
      </c>
      <c r="U3015" t="str">
        <f>IFERROR(__xludf.DUMMYFUNCTION("""COMPUTED_VALUE"""),"Electric!")</f>
        <v>Electric!</v>
      </c>
      <c r="V3015" t="str">
        <f>IFERROR(__xludf.DUMMYFUNCTION("""COMPUTED_VALUE"""),"Apple CarPlay / Android Auto / SiriusXM Radio")</f>
        <v>Apple CarPlay / Android Auto / SiriusXM Radio</v>
      </c>
      <c r="W3015" t="str">
        <f>IFERROR(__xludf.DUMMYFUNCTION("""COMPUTED_VALUE"""),"Sign paperwork online before delivery")</f>
        <v>Sign paperwork online before delivery</v>
      </c>
      <c r="X3015" t="str">
        <f>IFERROR(__xludf.DUMMYFUNCTION("""COMPUTED_VALUE"""),"Excellent")</f>
        <v>Excellent</v>
      </c>
      <c r="Y3015" t="str">
        <f>IFERROR(__xludf.DUMMYFUNCTION("""COMPUTED_VALUE"""),"Excellent")</f>
        <v>Excellent</v>
      </c>
      <c r="Z3015" t="str">
        <f>IFERROR(__xludf.DUMMYFUNCTION("""COMPUTED_VALUE"""),"Excellent")</f>
        <v>Excellent</v>
      </c>
      <c r="AA3015" t="str">
        <f>IFERROR(__xludf.DUMMYFUNCTION("""COMPUTED_VALUE"""),"Excellent")</f>
        <v>Excellent</v>
      </c>
      <c r="AB3015" t="str">
        <f>IFERROR(__xludf.DUMMYFUNCTION("""COMPUTED_VALUE"""),"Excellent")</f>
        <v>Excellent</v>
      </c>
      <c r="AF3015" t="str">
        <f>IFERROR(__xludf.DUMMYFUNCTION("""COMPUTED_VALUE"""),"No. I took delivery of the first car Tesla was able to deliver.")</f>
        <v>No. I took delivery of the first car Tesla was able to deliver.</v>
      </c>
      <c r="AH3015" s="189">
        <f>IFERROR(__xludf.DUMMYFUNCTION("""COMPUTED_VALUE"""),44406.578071076394)</f>
        <v>44406.57807</v>
      </c>
    </row>
    <row r="3016">
      <c r="A3016" t="str">
        <f>IFERROR(__xludf.DUMMYFUNCTION("""COMPUTED_VALUE"""),"Eddie509")</f>
        <v>Eddie509</v>
      </c>
      <c r="B3016" t="str">
        <f>IFERROR(__xludf.DUMMYFUNCTION("""COMPUTED_VALUE"""),"Chicago ")</f>
        <v>Chicago </v>
      </c>
      <c r="C3016" t="str">
        <f>IFERROR(__xludf.DUMMYFUNCTION("""COMPUTED_VALUE"""),"IL")</f>
        <v>IL</v>
      </c>
      <c r="D3016" t="str">
        <f>IFERROR(__xludf.DUMMYFUNCTION("""COMPUTED_VALUE"""),"USA")</f>
        <v>USA</v>
      </c>
      <c r="E3016" s="188">
        <f>IFERROR(__xludf.DUMMYFUNCTION("""COMPUTED_VALUE"""),44358.0)</f>
        <v>44358</v>
      </c>
      <c r="F3016" s="188">
        <f>IFERROR(__xludf.DUMMYFUNCTION("""COMPUTED_VALUE"""),44416.0)</f>
        <v>44416</v>
      </c>
      <c r="G3016" t="str">
        <f>IFERROR(__xludf.DUMMYFUNCTION("""COMPUTED_VALUE"""),"Manage order page (normal text)")</f>
        <v>Manage order page (normal text)</v>
      </c>
      <c r="H3016">
        <f>IFERROR(__xludf.DUMMYFUNCTION("""COMPUTED_VALUE"""),32053.0)</f>
        <v>32053</v>
      </c>
      <c r="I3016" t="str">
        <f>IFERROR(__xludf.DUMMYFUNCTION("""COMPUTED_VALUE"""),"08/21")</f>
        <v>08/21</v>
      </c>
      <c r="J3016" s="188">
        <f>IFERROR(__xludf.DUMMYFUNCTION("""COMPUTED_VALUE"""),44426.0)</f>
        <v>44426</v>
      </c>
      <c r="K3016">
        <f>IFERROR(__xludf.DUMMYFUNCTION("""COMPUTED_VALUE"""),58.0)</f>
        <v>58</v>
      </c>
      <c r="L3016">
        <f>IFERROR(__xludf.DUMMYFUNCTION("""COMPUTED_VALUE"""),10.0)</f>
        <v>10</v>
      </c>
      <c r="M3016">
        <f>IFERROR(__xludf.DUMMYFUNCTION("""COMPUTED_VALUE"""),68.0)</f>
        <v>68</v>
      </c>
      <c r="N3016" t="str">
        <f>IFERROR(__xludf.DUMMYFUNCTION("""COMPUTED_VALUE"""),"Model 3 SR+")</f>
        <v>Model 3 SR+</v>
      </c>
      <c r="O3016" t="str">
        <f>IFERROR(__xludf.DUMMYFUNCTION("""COMPUTED_VALUE"""),"Pearl White Multi-Coat")</f>
        <v>Pearl White Multi-Coat</v>
      </c>
      <c r="P3016" t="str">
        <f>IFERROR(__xludf.DUMMYFUNCTION("""COMPUTED_VALUE"""),"19 inch")</f>
        <v>19 inch</v>
      </c>
      <c r="Q3016" t="str">
        <f>IFERROR(__xludf.DUMMYFUNCTION("""COMPUTED_VALUE"""),"Black and White")</f>
        <v>Black and White</v>
      </c>
      <c r="R3016" t="str">
        <f>IFERROR(__xludf.DUMMYFUNCTION("""COMPUTED_VALUE"""),"Autopilot included")</f>
        <v>Autopilot included</v>
      </c>
      <c r="S3016" t="str">
        <f>IFERROR(__xludf.DUMMYFUNCTION("""COMPUTED_VALUE"""),"Loan")</f>
        <v>Loan</v>
      </c>
      <c r="T3016" t="str">
        <f>IFERROR(__xludf.DUMMYFUNCTION("""COMPUTED_VALUE"""),"Toyota Camry")</f>
        <v>Toyota Camry</v>
      </c>
      <c r="U3016" t="str">
        <f>IFERROR(__xludf.DUMMYFUNCTION("""COMPUTED_VALUE"""),"Electric!")</f>
        <v>Electric!</v>
      </c>
      <c r="V3016" t="str">
        <f>IFERROR(__xludf.DUMMYFUNCTION("""COMPUTED_VALUE"""),"360° Bird's eye view")</f>
        <v>360° Bird's eye view</v>
      </c>
      <c r="X3016" t="str">
        <f>IFERROR(__xludf.DUMMYFUNCTION("""COMPUTED_VALUE"""),"Excellent")</f>
        <v>Excellent</v>
      </c>
      <c r="Y3016" t="str">
        <f>IFERROR(__xludf.DUMMYFUNCTION("""COMPUTED_VALUE"""),"Excellent")</f>
        <v>Excellent</v>
      </c>
      <c r="Z3016" t="str">
        <f>IFERROR(__xludf.DUMMYFUNCTION("""COMPUTED_VALUE"""),"Excellent")</f>
        <v>Excellent</v>
      </c>
      <c r="AA3016" t="str">
        <f>IFERROR(__xludf.DUMMYFUNCTION("""COMPUTED_VALUE"""),"Very Good")</f>
        <v>Very Good</v>
      </c>
      <c r="AB3016" t="str">
        <f>IFERROR(__xludf.DUMMYFUNCTION("""COMPUTED_VALUE"""),"Excellent")</f>
        <v>Excellent</v>
      </c>
      <c r="AC3016">
        <f>IFERROR(__xludf.DUMMYFUNCTION("""COMPUTED_VALUE"""),2.0)</f>
        <v>2</v>
      </c>
      <c r="AF3016" t="str">
        <f>IFERROR(__xludf.DUMMYFUNCTION("""COMPUTED_VALUE"""),"No. I took delivery of the first car Tesla was able to deliver.")</f>
        <v>No. I took delivery of the first car Tesla was able to deliver.</v>
      </c>
      <c r="AH3016" s="189">
        <f>IFERROR(__xludf.DUMMYFUNCTION("""COMPUTED_VALUE"""),44428.29986085648)</f>
        <v>44428.29986</v>
      </c>
    </row>
    <row r="3017">
      <c r="A3017" t="str">
        <f>IFERROR(__xludf.DUMMYFUNCTION("""COMPUTED_VALUE"""),"neuralnet")</f>
        <v>neuralnet</v>
      </c>
      <c r="B3017" t="str">
        <f>IFERROR(__xludf.DUMMYFUNCTION("""COMPUTED_VALUE"""),"Upstate")</f>
        <v>Upstate</v>
      </c>
      <c r="C3017" t="str">
        <f>IFERROR(__xludf.DUMMYFUNCTION("""COMPUTED_VALUE"""),"NY")</f>
        <v>NY</v>
      </c>
      <c r="D3017" t="str">
        <f>IFERROR(__xludf.DUMMYFUNCTION("""COMPUTED_VALUE"""),"USA")</f>
        <v>USA</v>
      </c>
      <c r="E3017" s="188">
        <f>IFERROR(__xludf.DUMMYFUNCTION("""COMPUTED_VALUE"""),44331.0)</f>
        <v>44331</v>
      </c>
      <c r="F3017" s="188">
        <f>IFERROR(__xludf.DUMMYFUNCTION("""COMPUTED_VALUE"""),44349.0)</f>
        <v>44349</v>
      </c>
      <c r="G3017" t="str">
        <f>IFERROR(__xludf.DUMMYFUNCTION("""COMPUTED_VALUE"""),"Manage order page (normal text)")</f>
        <v>Manage order page (normal text)</v>
      </c>
      <c r="H3017">
        <f>IFERROR(__xludf.DUMMYFUNCTION("""COMPUTED_VALUE"""),983255.0)</f>
        <v>983255</v>
      </c>
      <c r="I3017" t="str">
        <f>IFERROR(__xludf.DUMMYFUNCTION("""COMPUTED_VALUE"""),"06/21")</f>
        <v>06/21</v>
      </c>
      <c r="J3017" s="188">
        <f>IFERROR(__xludf.DUMMYFUNCTION("""COMPUTED_VALUE"""),44363.0)</f>
        <v>44363</v>
      </c>
      <c r="K3017">
        <f>IFERROR(__xludf.DUMMYFUNCTION("""COMPUTED_VALUE"""),18.0)</f>
        <v>18</v>
      </c>
      <c r="L3017">
        <f>IFERROR(__xludf.DUMMYFUNCTION("""COMPUTED_VALUE"""),14.0)</f>
        <v>14</v>
      </c>
      <c r="M3017">
        <f>IFERROR(__xludf.DUMMYFUNCTION("""COMPUTED_VALUE"""),32.0)</f>
        <v>32</v>
      </c>
      <c r="N3017" t="str">
        <f>IFERROR(__xludf.DUMMYFUNCTION("""COMPUTED_VALUE"""),"Model 3 LR AWD")</f>
        <v>Model 3 LR AWD</v>
      </c>
      <c r="O3017" t="str">
        <f>IFERROR(__xludf.DUMMYFUNCTION("""COMPUTED_VALUE"""),"Midnight Silver Metallic")</f>
        <v>Midnight Silver Metallic</v>
      </c>
      <c r="P3017" t="str">
        <f>IFERROR(__xludf.DUMMYFUNCTION("""COMPUTED_VALUE"""),"18 inch")</f>
        <v>18 inch</v>
      </c>
      <c r="Q3017" t="str">
        <f>IFERROR(__xludf.DUMMYFUNCTION("""COMPUTED_VALUE"""),"All Black")</f>
        <v>All Black</v>
      </c>
      <c r="R3017" t="str">
        <f>IFERROR(__xludf.DUMMYFUNCTION("""COMPUTED_VALUE"""),"Autopilot included")</f>
        <v>Autopilot included</v>
      </c>
      <c r="S3017" t="str">
        <f>IFERROR(__xludf.DUMMYFUNCTION("""COMPUTED_VALUE"""),"Cash")</f>
        <v>Cash</v>
      </c>
      <c r="U3017" t="str">
        <f>IFERROR(__xludf.DUMMYFUNCTION("""COMPUTED_VALUE"""),"Autopilot")</f>
        <v>Autopilot</v>
      </c>
      <c r="V3017" t="str">
        <f>IFERROR(__xludf.DUMMYFUNCTION("""COMPUTED_VALUE"""),"Blind spot indicators on side mirrors")</f>
        <v>Blind spot indicators on side mirrors</v>
      </c>
      <c r="W3017" t="str">
        <f>IFERROR(__xludf.DUMMYFUNCTION("""COMPUTED_VALUE"""),"Just don't expect your car to come quickly. Mine happened to take a month but that's only because I ordered as close as possible to the end of the quarter, before orders started spilling into next Q")</f>
        <v>Just don't expect your car to come quickly. Mine happened to take a month but that's only because I ordered as close as possible to the end of the quarter, before orders started spilling into next Q</v>
      </c>
      <c r="X3017" t="str">
        <f>IFERROR(__xludf.DUMMYFUNCTION("""COMPUTED_VALUE"""),"Good")</f>
        <v>Good</v>
      </c>
      <c r="Y3017" t="str">
        <f>IFERROR(__xludf.DUMMYFUNCTION("""COMPUTED_VALUE"""),"Very Good")</f>
        <v>Very Good</v>
      </c>
      <c r="Z3017" t="str">
        <f>IFERROR(__xludf.DUMMYFUNCTION("""COMPUTED_VALUE"""),"Excellent")</f>
        <v>Excellent</v>
      </c>
      <c r="AA3017" t="str">
        <f>IFERROR(__xludf.DUMMYFUNCTION("""COMPUTED_VALUE"""),"Fair")</f>
        <v>Fair</v>
      </c>
      <c r="AB3017" t="str">
        <f>IFERROR(__xludf.DUMMYFUNCTION("""COMPUTED_VALUE"""),"Very Good")</f>
        <v>Very Good</v>
      </c>
      <c r="AC3017">
        <f>IFERROR(__xludf.DUMMYFUNCTION("""COMPUTED_VALUE"""),1.0)</f>
        <v>1</v>
      </c>
      <c r="AD3017">
        <f>IFERROR(__xludf.DUMMYFUNCTION("""COMPUTED_VALUE"""),0.0)</f>
        <v>0</v>
      </c>
      <c r="AE3017">
        <f>IFERROR(__xludf.DUMMYFUNCTION("""COMPUTED_VALUE"""),0.0)</f>
        <v>0</v>
      </c>
      <c r="AF3017" t="str">
        <f>IFERROR(__xludf.DUMMYFUNCTION("""COMPUTED_VALUE"""),"No. I took delivery of the first car Tesla was able to deliver.")</f>
        <v>No. I took delivery of the first car Tesla was able to deliver.</v>
      </c>
      <c r="AG3017" t="str">
        <f>IFERROR(__xludf.DUMMYFUNCTION("""COMPUTED_VALUE"""),"Small issue on the rear door alignment (window glass was touching the pane next to it), was fixed at the SC during the delivery process, took &lt;15 minutes")</f>
        <v>Small issue on the rear door alignment (window glass was touching the pane next to it), was fixed at the SC during the delivery process, took &lt;15 minutes</v>
      </c>
      <c r="AH3017" s="189">
        <f>IFERROR(__xludf.DUMMYFUNCTION("""COMPUTED_VALUE"""),44365.365865416665)</f>
        <v>44365.36587</v>
      </c>
    </row>
    <row r="3018">
      <c r="A3018" t="str">
        <f>IFERROR(__xludf.DUMMYFUNCTION("""COMPUTED_VALUE"""),"Arouni1")</f>
        <v>Arouni1</v>
      </c>
      <c r="B3018" t="str">
        <f>IFERROR(__xludf.DUMMYFUNCTION("""COMPUTED_VALUE"""),"Frederick")</f>
        <v>Frederick</v>
      </c>
      <c r="C3018" t="str">
        <f>IFERROR(__xludf.DUMMYFUNCTION("""COMPUTED_VALUE"""),"MD")</f>
        <v>MD</v>
      </c>
      <c r="D3018" t="str">
        <f>IFERROR(__xludf.DUMMYFUNCTION("""COMPUTED_VALUE"""),"USA")</f>
        <v>USA</v>
      </c>
      <c r="E3018" s="188">
        <f>IFERROR(__xludf.DUMMYFUNCTION("""COMPUTED_VALUE"""),44359.0)</f>
        <v>44359</v>
      </c>
      <c r="F3018" s="188">
        <f>IFERROR(__xludf.DUMMYFUNCTION("""COMPUTED_VALUE"""),44403.0)</f>
        <v>44403</v>
      </c>
      <c r="G3018" t="str">
        <f>IFERROR(__xludf.DUMMYFUNCTION("""COMPUTED_VALUE"""),"Manage order page (normal text)")</f>
        <v>Manage order page (normal text)</v>
      </c>
      <c r="H3018">
        <f>IFERROR(__xludf.DUMMYFUNCTION("""COMPUTED_VALUE"""),20655.0)</f>
        <v>20655</v>
      </c>
      <c r="J3018" s="188">
        <f>IFERROR(__xludf.DUMMYFUNCTION("""COMPUTED_VALUE"""),44415.0)</f>
        <v>44415</v>
      </c>
      <c r="K3018">
        <f>IFERROR(__xludf.DUMMYFUNCTION("""COMPUTED_VALUE"""),44.0)</f>
        <v>44</v>
      </c>
      <c r="L3018">
        <f>IFERROR(__xludf.DUMMYFUNCTION("""COMPUTED_VALUE"""),12.0)</f>
        <v>12</v>
      </c>
      <c r="M3018">
        <f>IFERROR(__xludf.DUMMYFUNCTION("""COMPUTED_VALUE"""),56.0)</f>
        <v>56</v>
      </c>
      <c r="N3018" t="str">
        <f>IFERROR(__xludf.DUMMYFUNCTION("""COMPUTED_VALUE"""),"Model 3 SR+")</f>
        <v>Model 3 SR+</v>
      </c>
      <c r="O3018" t="str">
        <f>IFERROR(__xludf.DUMMYFUNCTION("""COMPUTED_VALUE"""),"Solid Black")</f>
        <v>Solid Black</v>
      </c>
      <c r="P3018" t="str">
        <f>IFERROR(__xludf.DUMMYFUNCTION("""COMPUTED_VALUE"""),"19 inch")</f>
        <v>19 inch</v>
      </c>
      <c r="Q3018" t="str">
        <f>IFERROR(__xludf.DUMMYFUNCTION("""COMPUTED_VALUE"""),"All Black")</f>
        <v>All Black</v>
      </c>
      <c r="R3018" t="str">
        <f>IFERROR(__xludf.DUMMYFUNCTION("""COMPUTED_VALUE"""),"Autopilot included")</f>
        <v>Autopilot included</v>
      </c>
      <c r="S3018" t="str">
        <f>IFERROR(__xludf.DUMMYFUNCTION("""COMPUTED_VALUE"""),"Loan")</f>
        <v>Loan</v>
      </c>
      <c r="T3018" t="str">
        <f>IFERROR(__xludf.DUMMYFUNCTION("""COMPUTED_VALUE"""),"Honda Accord")</f>
        <v>Honda Accord</v>
      </c>
      <c r="U3018" t="str">
        <f>IFERROR(__xludf.DUMMYFUNCTION("""COMPUTED_VALUE"""),"Electric!")</f>
        <v>Electric!</v>
      </c>
      <c r="V3018" t="str">
        <f>IFERROR(__xludf.DUMMYFUNCTION("""COMPUTED_VALUE"""),"Apple CarPlay / Android Auto / SiriusXM Radio")</f>
        <v>Apple CarPlay / Android Auto / SiriusXM Radio</v>
      </c>
      <c r="X3018" t="str">
        <f>IFERROR(__xludf.DUMMYFUNCTION("""COMPUTED_VALUE"""),"Excellent")</f>
        <v>Excellent</v>
      </c>
      <c r="Y3018" t="str">
        <f>IFERROR(__xludf.DUMMYFUNCTION("""COMPUTED_VALUE"""),"Excellent")</f>
        <v>Excellent</v>
      </c>
      <c r="Z3018" t="str">
        <f>IFERROR(__xludf.DUMMYFUNCTION("""COMPUTED_VALUE"""),"Excellent")</f>
        <v>Excellent</v>
      </c>
      <c r="AA3018" t="str">
        <f>IFERROR(__xludf.DUMMYFUNCTION("""COMPUTED_VALUE"""),"Excellent")</f>
        <v>Excellent</v>
      </c>
      <c r="AB3018" t="str">
        <f>IFERROR(__xludf.DUMMYFUNCTION("""COMPUTED_VALUE"""),"Excellent")</f>
        <v>Excellent</v>
      </c>
      <c r="AH3018" s="189">
        <f>IFERROR(__xludf.DUMMYFUNCTION("""COMPUTED_VALUE"""),44417.33041565972)</f>
        <v>44417.33042</v>
      </c>
    </row>
    <row r="3019">
      <c r="A3019" t="str">
        <f>IFERROR(__xludf.DUMMYFUNCTION("""COMPUTED_VALUE"""),"jwetherb")</f>
        <v>jwetherb</v>
      </c>
      <c r="B3019" t="str">
        <f>IFERROR(__xludf.DUMMYFUNCTION("""COMPUTED_VALUE"""),"San Carlos")</f>
        <v>San Carlos</v>
      </c>
      <c r="C3019" t="str">
        <f>IFERROR(__xludf.DUMMYFUNCTION("""COMPUTED_VALUE"""),"CA")</f>
        <v>CA</v>
      </c>
      <c r="D3019" t="str">
        <f>IFERROR(__xludf.DUMMYFUNCTION("""COMPUTED_VALUE"""),"USA")</f>
        <v>USA</v>
      </c>
      <c r="E3019" s="188">
        <f>IFERROR(__xludf.DUMMYFUNCTION("""COMPUTED_VALUE"""),44349.0)</f>
        <v>44349</v>
      </c>
      <c r="J3019" s="188">
        <f>IFERROR(__xludf.DUMMYFUNCTION("""COMPUTED_VALUE"""),44397.0)</f>
        <v>44397</v>
      </c>
      <c r="M3019">
        <f>IFERROR(__xludf.DUMMYFUNCTION("""COMPUTED_VALUE"""),48.0)</f>
        <v>48</v>
      </c>
      <c r="N3019" t="str">
        <f>IFERROR(__xludf.DUMMYFUNCTION("""COMPUTED_VALUE"""),"Model 3 SR+")</f>
        <v>Model 3 SR+</v>
      </c>
      <c r="O3019" t="str">
        <f>IFERROR(__xludf.DUMMYFUNCTION("""COMPUTED_VALUE"""),"Pearl White Multi-Coat")</f>
        <v>Pearl White Multi-Coat</v>
      </c>
      <c r="P3019" t="str">
        <f>IFERROR(__xludf.DUMMYFUNCTION("""COMPUTED_VALUE"""),"18 inch")</f>
        <v>18 inch</v>
      </c>
      <c r="Q3019" t="str">
        <f>IFERROR(__xludf.DUMMYFUNCTION("""COMPUTED_VALUE"""),"All Black")</f>
        <v>All Black</v>
      </c>
      <c r="R3019" t="str">
        <f>IFERROR(__xludf.DUMMYFUNCTION("""COMPUTED_VALUE"""),"Autopilot included")</f>
        <v>Autopilot included</v>
      </c>
      <c r="S3019" t="str">
        <f>IFERROR(__xludf.DUMMYFUNCTION("""COMPUTED_VALUE"""),"Cash")</f>
        <v>Cash</v>
      </c>
      <c r="T3019" t="str">
        <f>IFERROR(__xludf.DUMMYFUNCTION("""COMPUTED_VALUE"""),"Chevy Volt")</f>
        <v>Chevy Volt</v>
      </c>
      <c r="U3019" t="str">
        <f>IFERROR(__xludf.DUMMYFUNCTION("""COMPUTED_VALUE"""),"Autopilot")</f>
        <v>Autopilot</v>
      </c>
      <c r="V3019" t="str">
        <f>IFERROR(__xludf.DUMMYFUNCTION("""COMPUTED_VALUE"""),"360° Bird's eye view")</f>
        <v>360° Bird's eye view</v>
      </c>
      <c r="AH3019" s="189">
        <f>IFERROR(__xludf.DUMMYFUNCTION("""COMPUTED_VALUE"""),44361.78322857639)</f>
        <v>44361.78323</v>
      </c>
    </row>
    <row r="3020">
      <c r="A3020" t="str">
        <f>IFERROR(__xludf.DUMMYFUNCTION("""COMPUTED_VALUE"""),"CupidCatPDX")</f>
        <v>CupidCatPDX</v>
      </c>
      <c r="B3020" t="str">
        <f>IFERROR(__xludf.DUMMYFUNCTION("""COMPUTED_VALUE"""),"Portland")</f>
        <v>Portland</v>
      </c>
      <c r="C3020" t="str">
        <f>IFERROR(__xludf.DUMMYFUNCTION("""COMPUTED_VALUE"""),"OR")</f>
        <v>OR</v>
      </c>
      <c r="D3020" t="str">
        <f>IFERROR(__xludf.DUMMYFUNCTION("""COMPUTED_VALUE"""),"USA")</f>
        <v>USA</v>
      </c>
      <c r="E3020" s="188">
        <f>IFERROR(__xludf.DUMMYFUNCTION("""COMPUTED_VALUE"""),44326.0)</f>
        <v>44326</v>
      </c>
      <c r="F3020" s="188">
        <f>IFERROR(__xludf.DUMMYFUNCTION("""COMPUTED_VALUE"""),44389.0)</f>
        <v>44389</v>
      </c>
      <c r="G3020" t="str">
        <f>IFERROR(__xludf.DUMMYFUNCTION("""COMPUTED_VALUE"""),"Manage order page (normal text)")</f>
        <v>Manage order page (normal text)</v>
      </c>
      <c r="H3020">
        <f>IFERROR(__xludf.DUMMYFUNCTION("""COMPUTED_VALUE"""),16092.0)</f>
        <v>16092</v>
      </c>
      <c r="I3020" t="str">
        <f>IFERROR(__xludf.DUMMYFUNCTION("""COMPUTED_VALUE"""),"06/21")</f>
        <v>06/21</v>
      </c>
      <c r="J3020" s="188">
        <f>IFERROR(__xludf.DUMMYFUNCTION("""COMPUTED_VALUE"""),44392.0)</f>
        <v>44392</v>
      </c>
      <c r="K3020">
        <f>IFERROR(__xludf.DUMMYFUNCTION("""COMPUTED_VALUE"""),63.0)</f>
        <v>63</v>
      </c>
      <c r="L3020">
        <f>IFERROR(__xludf.DUMMYFUNCTION("""COMPUTED_VALUE"""),3.0)</f>
        <v>3</v>
      </c>
      <c r="M3020">
        <f>IFERROR(__xludf.DUMMYFUNCTION("""COMPUTED_VALUE"""),66.0)</f>
        <v>66</v>
      </c>
      <c r="N3020" t="str">
        <f>IFERROR(__xludf.DUMMYFUNCTION("""COMPUTED_VALUE"""),"Model 3 SR+")</f>
        <v>Model 3 SR+</v>
      </c>
      <c r="O3020" t="str">
        <f>IFERROR(__xludf.DUMMYFUNCTION("""COMPUTED_VALUE"""),"Pearl White Multi-Coat")</f>
        <v>Pearl White Multi-Coat</v>
      </c>
      <c r="P3020" t="str">
        <f>IFERROR(__xludf.DUMMYFUNCTION("""COMPUTED_VALUE"""),"18 inch")</f>
        <v>18 inch</v>
      </c>
      <c r="Q3020" t="str">
        <f>IFERROR(__xludf.DUMMYFUNCTION("""COMPUTED_VALUE"""),"All Black")</f>
        <v>All Black</v>
      </c>
      <c r="R3020" t="str">
        <f>IFERROR(__xludf.DUMMYFUNCTION("""COMPUTED_VALUE"""),"Autopilot included")</f>
        <v>Autopilot included</v>
      </c>
      <c r="S3020" t="str">
        <f>IFERROR(__xludf.DUMMYFUNCTION("""COMPUTED_VALUE"""),"Loan")</f>
        <v>Loan</v>
      </c>
      <c r="U3020" t="str">
        <f>IFERROR(__xludf.DUMMYFUNCTION("""COMPUTED_VALUE"""),"Electric!")</f>
        <v>Electric!</v>
      </c>
      <c r="V3020" t="str">
        <f>IFERROR(__xludf.DUMMYFUNCTION("""COMPUTED_VALUE"""),"Apple CarPlay / Android Auto / SiriusXM Radio")</f>
        <v>Apple CarPlay / Android Auto / SiriusXM Radio</v>
      </c>
      <c r="X3020" t="str">
        <f>IFERROR(__xludf.DUMMYFUNCTION("""COMPUTED_VALUE"""),"Very Good")</f>
        <v>Very Good</v>
      </c>
      <c r="Y3020" t="str">
        <f>IFERROR(__xludf.DUMMYFUNCTION("""COMPUTED_VALUE"""),"Excellent")</f>
        <v>Excellent</v>
      </c>
      <c r="Z3020" t="str">
        <f>IFERROR(__xludf.DUMMYFUNCTION("""COMPUTED_VALUE"""),"Excellent")</f>
        <v>Excellent</v>
      </c>
      <c r="AA3020" t="str">
        <f>IFERROR(__xludf.DUMMYFUNCTION("""COMPUTED_VALUE"""),"Excellent")</f>
        <v>Excellent</v>
      </c>
      <c r="AB3020" t="str">
        <f>IFERROR(__xludf.DUMMYFUNCTION("""COMPUTED_VALUE"""),"Excellent")</f>
        <v>Excellent</v>
      </c>
      <c r="AC3020">
        <f>IFERROR(__xludf.DUMMYFUNCTION("""COMPUTED_VALUE"""),1.0)</f>
        <v>1</v>
      </c>
      <c r="AD3020">
        <f>IFERROR(__xludf.DUMMYFUNCTION("""COMPUTED_VALUE"""),1.0)</f>
        <v>1</v>
      </c>
      <c r="AF3020" t="str">
        <f>IFERROR(__xludf.DUMMYFUNCTION("""COMPUTED_VALUE"""),"No. I took delivery of the first car Tesla was able to deliver.")</f>
        <v>No. I took delivery of the first car Tesla was able to deliver.</v>
      </c>
      <c r="AH3020" s="189">
        <f>IFERROR(__xludf.DUMMYFUNCTION("""COMPUTED_VALUE"""),44393.45836791667)</f>
        <v>44393.45837</v>
      </c>
    </row>
    <row r="3021">
      <c r="A3021" t="str">
        <f>IFERROR(__xludf.DUMMYFUNCTION("""COMPUTED_VALUE"""),"CarmenBLA")</f>
        <v>CarmenBLA</v>
      </c>
      <c r="B3021" t="str">
        <f>IFERROR(__xludf.DUMMYFUNCTION("""COMPUTED_VALUE"""),"Nashville")</f>
        <v>Nashville</v>
      </c>
      <c r="C3021" t="str">
        <f>IFERROR(__xludf.DUMMYFUNCTION("""COMPUTED_VALUE"""),"TN")</f>
        <v>TN</v>
      </c>
      <c r="D3021" t="str">
        <f>IFERROR(__xludf.DUMMYFUNCTION("""COMPUTED_VALUE"""),"USA")</f>
        <v>USA</v>
      </c>
      <c r="E3021" s="188">
        <f>IFERROR(__xludf.DUMMYFUNCTION("""COMPUTED_VALUE"""),44316.0)</f>
        <v>44316</v>
      </c>
      <c r="F3021" s="188">
        <f>IFERROR(__xludf.DUMMYFUNCTION("""COMPUTED_VALUE"""),44345.0)</f>
        <v>44345</v>
      </c>
      <c r="G3021" t="str">
        <f>IFERROR(__xludf.DUMMYFUNCTION("""COMPUTED_VALUE"""),"Manage order page (normal text)")</f>
        <v>Manage order page (normal text)</v>
      </c>
      <c r="H3021">
        <f>IFERROR(__xludf.DUMMYFUNCTION("""COMPUTED_VALUE"""),980655.0)</f>
        <v>980655</v>
      </c>
      <c r="I3021" t="str">
        <f>IFERROR(__xludf.DUMMYFUNCTION("""COMPUTED_VALUE"""),"05/21")</f>
        <v>05/21</v>
      </c>
      <c r="J3021" s="188">
        <f>IFERROR(__xludf.DUMMYFUNCTION("""COMPUTED_VALUE"""),44359.0)</f>
        <v>44359</v>
      </c>
      <c r="K3021">
        <f>IFERROR(__xludf.DUMMYFUNCTION("""COMPUTED_VALUE"""),29.0)</f>
        <v>29</v>
      </c>
      <c r="L3021">
        <f>IFERROR(__xludf.DUMMYFUNCTION("""COMPUTED_VALUE"""),14.0)</f>
        <v>14</v>
      </c>
      <c r="M3021">
        <f>IFERROR(__xludf.DUMMYFUNCTION("""COMPUTED_VALUE"""),43.0)</f>
        <v>43</v>
      </c>
      <c r="N3021" t="str">
        <f>IFERROR(__xludf.DUMMYFUNCTION("""COMPUTED_VALUE"""),"Model 3 LR AWD")</f>
        <v>Model 3 LR AWD</v>
      </c>
      <c r="O3021" t="str">
        <f>IFERROR(__xludf.DUMMYFUNCTION("""COMPUTED_VALUE"""),"Midnight Silver Metallic")</f>
        <v>Midnight Silver Metallic</v>
      </c>
      <c r="P3021" t="str">
        <f>IFERROR(__xludf.DUMMYFUNCTION("""COMPUTED_VALUE"""),"19 inch")</f>
        <v>19 inch</v>
      </c>
      <c r="Q3021" t="str">
        <f>IFERROR(__xludf.DUMMYFUNCTION("""COMPUTED_VALUE"""),"Black and White")</f>
        <v>Black and White</v>
      </c>
      <c r="R3021" t="str">
        <f>IFERROR(__xludf.DUMMYFUNCTION("""COMPUTED_VALUE"""),"Autopilot included")</f>
        <v>Autopilot included</v>
      </c>
      <c r="S3021" t="str">
        <f>IFERROR(__xludf.DUMMYFUNCTION("""COMPUTED_VALUE"""),"Cash")</f>
        <v>Cash</v>
      </c>
      <c r="T3021" t="str">
        <f>IFERROR(__xludf.DUMMYFUNCTION("""COMPUTED_VALUE"""),"Toyota Prius")</f>
        <v>Toyota Prius</v>
      </c>
      <c r="U3021" t="str">
        <f>IFERROR(__xludf.DUMMYFUNCTION("""COMPUTED_VALUE"""),"Electric!")</f>
        <v>Electric!</v>
      </c>
      <c r="V3021" t="str">
        <f>IFERROR(__xludf.DUMMYFUNCTION("""COMPUTED_VALUE"""),"Air suspension")</f>
        <v>Air suspension</v>
      </c>
      <c r="X3021" t="str">
        <f>IFERROR(__xludf.DUMMYFUNCTION("""COMPUTED_VALUE"""),"Very Good")</f>
        <v>Very Good</v>
      </c>
      <c r="Y3021" t="str">
        <f>IFERROR(__xludf.DUMMYFUNCTION("""COMPUTED_VALUE"""),"Very Good")</f>
        <v>Very Good</v>
      </c>
      <c r="Z3021" t="str">
        <f>IFERROR(__xludf.DUMMYFUNCTION("""COMPUTED_VALUE"""),"Excellent")</f>
        <v>Excellent</v>
      </c>
      <c r="AA3021" t="str">
        <f>IFERROR(__xludf.DUMMYFUNCTION("""COMPUTED_VALUE"""),"Very Good")</f>
        <v>Very Good</v>
      </c>
      <c r="AB3021" t="str">
        <f>IFERROR(__xludf.DUMMYFUNCTION("""COMPUTED_VALUE"""),"Very Good")</f>
        <v>Very Good</v>
      </c>
      <c r="AC3021">
        <f>IFERROR(__xludf.DUMMYFUNCTION("""COMPUTED_VALUE"""),1.0)</f>
        <v>1</v>
      </c>
      <c r="AD3021">
        <f>IFERROR(__xludf.DUMMYFUNCTION("""COMPUTED_VALUE"""),0.0)</f>
        <v>0</v>
      </c>
      <c r="AE3021">
        <f>IFERROR(__xludf.DUMMYFUNCTION("""COMPUTED_VALUE"""),0.0)</f>
        <v>0</v>
      </c>
      <c r="AF3021" t="str">
        <f>IFERROR(__xludf.DUMMYFUNCTION("""COMPUTED_VALUE"""),"No. I took delivery of the first car Tesla was able to deliver.")</f>
        <v>No. I took delivery of the first car Tesla was able to deliver.</v>
      </c>
      <c r="AH3021" s="189">
        <f>IFERROR(__xludf.DUMMYFUNCTION("""COMPUTED_VALUE"""),44362.671625682866)</f>
        <v>44362.67163</v>
      </c>
    </row>
    <row r="3022">
      <c r="A3022" t="str">
        <f>IFERROR(__xludf.DUMMYFUNCTION("""COMPUTED_VALUE"""),"Timaa66")</f>
        <v>Timaa66</v>
      </c>
      <c r="B3022" t="str">
        <f>IFERROR(__xludf.DUMMYFUNCTION("""COMPUTED_VALUE"""),"Fort Worth")</f>
        <v>Fort Worth</v>
      </c>
      <c r="C3022" t="str">
        <f>IFERROR(__xludf.DUMMYFUNCTION("""COMPUTED_VALUE"""),"TX")</f>
        <v>TX</v>
      </c>
      <c r="D3022" t="str">
        <f>IFERROR(__xludf.DUMMYFUNCTION("""COMPUTED_VALUE"""),"USA")</f>
        <v>USA</v>
      </c>
      <c r="E3022" s="188">
        <f>IFERROR(__xludf.DUMMYFUNCTION("""COMPUTED_VALUE"""),44329.0)</f>
        <v>44329</v>
      </c>
      <c r="F3022" s="188">
        <f>IFERROR(__xludf.DUMMYFUNCTION("""COMPUTED_VALUE"""),44363.0)</f>
        <v>44363</v>
      </c>
      <c r="G3022" t="str">
        <f>IFERROR(__xludf.DUMMYFUNCTION("""COMPUTED_VALUE"""),"Manage order page (normal text)")</f>
        <v>Manage order page (normal text)</v>
      </c>
      <c r="H3022">
        <f>IFERROR(__xludf.DUMMYFUNCTION("""COMPUTED_VALUE"""),994805.0)</f>
        <v>994805</v>
      </c>
      <c r="J3022" s="188">
        <f>IFERROR(__xludf.DUMMYFUNCTION("""COMPUTED_VALUE"""),44375.0)</f>
        <v>44375</v>
      </c>
      <c r="K3022">
        <f>IFERROR(__xludf.DUMMYFUNCTION("""COMPUTED_VALUE"""),34.0)</f>
        <v>34</v>
      </c>
      <c r="L3022">
        <f>IFERROR(__xludf.DUMMYFUNCTION("""COMPUTED_VALUE"""),12.0)</f>
        <v>12</v>
      </c>
      <c r="M3022">
        <f>IFERROR(__xludf.DUMMYFUNCTION("""COMPUTED_VALUE"""),46.0)</f>
        <v>46</v>
      </c>
      <c r="N3022" t="str">
        <f>IFERROR(__xludf.DUMMYFUNCTION("""COMPUTED_VALUE"""),"Model 3 SR+")</f>
        <v>Model 3 SR+</v>
      </c>
      <c r="O3022" t="str">
        <f>IFERROR(__xludf.DUMMYFUNCTION("""COMPUTED_VALUE"""),"Pearl White Multi-Coat")</f>
        <v>Pearl White Multi-Coat</v>
      </c>
      <c r="P3022" t="str">
        <f>IFERROR(__xludf.DUMMYFUNCTION("""COMPUTED_VALUE"""),"18 inch")</f>
        <v>18 inch</v>
      </c>
      <c r="Q3022" t="str">
        <f>IFERROR(__xludf.DUMMYFUNCTION("""COMPUTED_VALUE"""),"All Black")</f>
        <v>All Black</v>
      </c>
      <c r="R3022" t="str">
        <f>IFERROR(__xludf.DUMMYFUNCTION("""COMPUTED_VALUE"""),"Autopilot included")</f>
        <v>Autopilot included</v>
      </c>
      <c r="X3022" t="str">
        <f>IFERROR(__xludf.DUMMYFUNCTION("""COMPUTED_VALUE"""),"Excellent")</f>
        <v>Excellent</v>
      </c>
      <c r="Y3022" t="str">
        <f>IFERROR(__xludf.DUMMYFUNCTION("""COMPUTED_VALUE"""),"Very Good")</f>
        <v>Very Good</v>
      </c>
      <c r="Z3022" t="str">
        <f>IFERROR(__xludf.DUMMYFUNCTION("""COMPUTED_VALUE"""),"Excellent")</f>
        <v>Excellent</v>
      </c>
      <c r="AA3022" t="str">
        <f>IFERROR(__xludf.DUMMYFUNCTION("""COMPUTED_VALUE"""),"Fair")</f>
        <v>Fair</v>
      </c>
      <c r="AB3022" t="str">
        <f>IFERROR(__xludf.DUMMYFUNCTION("""COMPUTED_VALUE"""),"Excellent")</f>
        <v>Excellent</v>
      </c>
      <c r="AF3022" t="str">
        <f>IFERROR(__xludf.DUMMYFUNCTION("""COMPUTED_VALUE"""),"No. I took delivery of the first car Tesla was able to deliver.")</f>
        <v>No. I took delivery of the first car Tesla was able to deliver.</v>
      </c>
      <c r="AH3022" s="189">
        <f>IFERROR(__xludf.DUMMYFUNCTION("""COMPUTED_VALUE"""),44375.601391296295)</f>
        <v>44375.60139</v>
      </c>
    </row>
    <row r="3023">
      <c r="A3023" t="str">
        <f>IFERROR(__xludf.DUMMYFUNCTION("""COMPUTED_VALUE"""),"Bulfinch")</f>
        <v>Bulfinch</v>
      </c>
      <c r="B3023" t="str">
        <f>IFERROR(__xludf.DUMMYFUNCTION("""COMPUTED_VALUE"""),"Hillsboro")</f>
        <v>Hillsboro</v>
      </c>
      <c r="C3023" t="str">
        <f>IFERROR(__xludf.DUMMYFUNCTION("""COMPUTED_VALUE"""),"OR")</f>
        <v>OR</v>
      </c>
      <c r="D3023" t="str">
        <f>IFERROR(__xludf.DUMMYFUNCTION("""COMPUTED_VALUE"""),"USA")</f>
        <v>USA</v>
      </c>
      <c r="E3023" s="188">
        <f>IFERROR(__xludf.DUMMYFUNCTION("""COMPUTED_VALUE"""),44348.0)</f>
        <v>44348</v>
      </c>
      <c r="F3023" s="188">
        <f>IFERROR(__xludf.DUMMYFUNCTION("""COMPUTED_VALUE"""),44373.0)</f>
        <v>44373</v>
      </c>
      <c r="G3023" t="str">
        <f>IFERROR(__xludf.DUMMYFUNCTION("""COMPUTED_VALUE"""),"Email")</f>
        <v>Email</v>
      </c>
      <c r="H3023">
        <f>IFERROR(__xludf.DUMMYFUNCTION("""COMPUTED_VALUE"""),2555.0)</f>
        <v>2555</v>
      </c>
      <c r="I3023" t="str">
        <f>IFERROR(__xludf.DUMMYFUNCTION("""COMPUTED_VALUE"""),"06/21")</f>
        <v>06/21</v>
      </c>
      <c r="J3023" s="188">
        <f>IFERROR(__xludf.DUMMYFUNCTION("""COMPUTED_VALUE"""),44375.0)</f>
        <v>44375</v>
      </c>
      <c r="K3023">
        <f>IFERROR(__xludf.DUMMYFUNCTION("""COMPUTED_VALUE"""),25.0)</f>
        <v>25</v>
      </c>
      <c r="L3023">
        <f>IFERROR(__xludf.DUMMYFUNCTION("""COMPUTED_VALUE"""),2.0)</f>
        <v>2</v>
      </c>
      <c r="M3023">
        <f>IFERROR(__xludf.DUMMYFUNCTION("""COMPUTED_VALUE"""),27.0)</f>
        <v>27</v>
      </c>
      <c r="N3023" t="str">
        <f>IFERROR(__xludf.DUMMYFUNCTION("""COMPUTED_VALUE"""),"Model 3 LR AWD")</f>
        <v>Model 3 LR AWD</v>
      </c>
      <c r="O3023" t="str">
        <f>IFERROR(__xludf.DUMMYFUNCTION("""COMPUTED_VALUE"""),"Solid Black")</f>
        <v>Solid Black</v>
      </c>
      <c r="P3023" t="str">
        <f>IFERROR(__xludf.DUMMYFUNCTION("""COMPUTED_VALUE"""),"19 inch")</f>
        <v>19 inch</v>
      </c>
      <c r="Q3023" t="str">
        <f>IFERROR(__xludf.DUMMYFUNCTION("""COMPUTED_VALUE"""),"All Black")</f>
        <v>All Black</v>
      </c>
      <c r="R3023" t="str">
        <f>IFERROR(__xludf.DUMMYFUNCTION("""COMPUTED_VALUE"""),"Autopilot included")</f>
        <v>Autopilot included</v>
      </c>
      <c r="S3023" t="str">
        <f>IFERROR(__xludf.DUMMYFUNCTION("""COMPUTED_VALUE"""),"Loan")</f>
        <v>Loan</v>
      </c>
      <c r="T3023" t="str">
        <f>IFERROR(__xludf.DUMMYFUNCTION("""COMPUTED_VALUE"""),"Honda Civic")</f>
        <v>Honda Civic</v>
      </c>
      <c r="U3023" t="str">
        <f>IFERROR(__xludf.DUMMYFUNCTION("""COMPUTED_VALUE"""),"Electric!")</f>
        <v>Electric!</v>
      </c>
      <c r="V3023" t="str">
        <f>IFERROR(__xludf.DUMMYFUNCTION("""COMPUTED_VALUE"""),"Apple CarPlay / Android Auto / SiriusXM Radio")</f>
        <v>Apple CarPlay / Android Auto / SiriusXM Radio</v>
      </c>
      <c r="X3023" t="str">
        <f>IFERROR(__xludf.DUMMYFUNCTION("""COMPUTED_VALUE"""),"Very Good")</f>
        <v>Very Good</v>
      </c>
      <c r="Y3023" t="str">
        <f>IFERROR(__xludf.DUMMYFUNCTION("""COMPUTED_VALUE"""),"Very Good")</f>
        <v>Very Good</v>
      </c>
      <c r="Z3023" t="str">
        <f>IFERROR(__xludf.DUMMYFUNCTION("""COMPUTED_VALUE"""),"Fair")</f>
        <v>Fair</v>
      </c>
      <c r="AA3023" t="str">
        <f>IFERROR(__xludf.DUMMYFUNCTION("""COMPUTED_VALUE"""),"Excellent")</f>
        <v>Excellent</v>
      </c>
      <c r="AB3023" t="str">
        <f>IFERROR(__xludf.DUMMYFUNCTION("""COMPUTED_VALUE"""),"Excellent")</f>
        <v>Excellent</v>
      </c>
      <c r="AC3023">
        <f>IFERROR(__xludf.DUMMYFUNCTION("""COMPUTED_VALUE"""),3.0)</f>
        <v>3</v>
      </c>
      <c r="AF3023" t="str">
        <f>IFERROR(__xludf.DUMMYFUNCTION("""COMPUTED_VALUE"""),"No. I took delivery of the first car Tesla was able to deliver.")</f>
        <v>No. I took delivery of the first car Tesla was able to deliver.</v>
      </c>
      <c r="AH3023" s="189">
        <f>IFERROR(__xludf.DUMMYFUNCTION("""COMPUTED_VALUE"""),44384.906115185186)</f>
        <v>44384.90612</v>
      </c>
    </row>
    <row r="3024">
      <c r="A3024" t="str">
        <f>IFERROR(__xludf.DUMMYFUNCTION("""COMPUTED_VALUE"""),"decarteret")</f>
        <v>decarteret</v>
      </c>
      <c r="B3024" t="str">
        <f>IFERROR(__xludf.DUMMYFUNCTION("""COMPUTED_VALUE"""),"Seattle")</f>
        <v>Seattle</v>
      </c>
      <c r="C3024" t="str">
        <f>IFERROR(__xludf.DUMMYFUNCTION("""COMPUTED_VALUE"""),"WA")</f>
        <v>WA</v>
      </c>
      <c r="D3024" t="str">
        <f>IFERROR(__xludf.DUMMYFUNCTION("""COMPUTED_VALUE"""),"USA")</f>
        <v>USA</v>
      </c>
      <c r="E3024" s="188">
        <f>IFERROR(__xludf.DUMMYFUNCTION("""COMPUTED_VALUE"""),44293.0)</f>
        <v>44293</v>
      </c>
      <c r="F3024" s="188">
        <f>IFERROR(__xludf.DUMMYFUNCTION("""COMPUTED_VALUE"""),44375.0)</f>
        <v>44375</v>
      </c>
      <c r="G3024" t="str">
        <f>IFERROR(__xludf.DUMMYFUNCTION("""COMPUTED_VALUE"""),"Manage order page (normal text)")</f>
        <v>Manage order page (normal text)</v>
      </c>
      <c r="H3024">
        <f>IFERROR(__xludf.DUMMYFUNCTION("""COMPUTED_VALUE"""),2235.0)</f>
        <v>2235</v>
      </c>
      <c r="J3024" s="188">
        <f>IFERROR(__xludf.DUMMYFUNCTION("""COMPUTED_VALUE"""),44376.0)</f>
        <v>44376</v>
      </c>
      <c r="K3024">
        <f>IFERROR(__xludf.DUMMYFUNCTION("""COMPUTED_VALUE"""),82.0)</f>
        <v>82</v>
      </c>
      <c r="L3024">
        <f>IFERROR(__xludf.DUMMYFUNCTION("""COMPUTED_VALUE"""),1.0)</f>
        <v>1</v>
      </c>
      <c r="M3024">
        <f>IFERROR(__xludf.DUMMYFUNCTION("""COMPUTED_VALUE"""),83.0)</f>
        <v>83</v>
      </c>
      <c r="N3024" t="str">
        <f>IFERROR(__xludf.DUMMYFUNCTION("""COMPUTED_VALUE"""),"Model 3 LR AWD")</f>
        <v>Model 3 LR AWD</v>
      </c>
      <c r="O3024" t="str">
        <f>IFERROR(__xludf.DUMMYFUNCTION("""COMPUTED_VALUE"""),"Pearl White Multi-Coat")</f>
        <v>Pearl White Multi-Coat</v>
      </c>
      <c r="P3024" t="str">
        <f>IFERROR(__xludf.DUMMYFUNCTION("""COMPUTED_VALUE"""),"18 inch")</f>
        <v>18 inch</v>
      </c>
      <c r="Q3024" t="str">
        <f>IFERROR(__xludf.DUMMYFUNCTION("""COMPUTED_VALUE"""),"All Black")</f>
        <v>All Black</v>
      </c>
      <c r="R3024" t="str">
        <f>IFERROR(__xludf.DUMMYFUNCTION("""COMPUTED_VALUE"""),"Autopilot included")</f>
        <v>Autopilot included</v>
      </c>
      <c r="S3024" t="str">
        <f>IFERROR(__xludf.DUMMYFUNCTION("""COMPUTED_VALUE"""),"Loan")</f>
        <v>Loan</v>
      </c>
      <c r="T3024" t="str">
        <f>IFERROR(__xludf.DUMMYFUNCTION("""COMPUTED_VALUE"""),"BMW i3")</f>
        <v>BMW i3</v>
      </c>
      <c r="U3024" t="str">
        <f>IFERROR(__xludf.DUMMYFUNCTION("""COMPUTED_VALUE"""),"Electric!")</f>
        <v>Electric!</v>
      </c>
      <c r="V3024" t="str">
        <f>IFERROR(__xludf.DUMMYFUNCTION("""COMPUTED_VALUE"""),"360° Bird's eye view")</f>
        <v>360° Bird's eye view</v>
      </c>
      <c r="X3024" t="str">
        <f>IFERROR(__xludf.DUMMYFUNCTION("""COMPUTED_VALUE"""),"Excellent")</f>
        <v>Excellent</v>
      </c>
      <c r="Y3024" t="str">
        <f>IFERROR(__xludf.DUMMYFUNCTION("""COMPUTED_VALUE"""),"Excellent")</f>
        <v>Excellent</v>
      </c>
      <c r="Z3024" t="str">
        <f>IFERROR(__xludf.DUMMYFUNCTION("""COMPUTED_VALUE"""),"Excellent")</f>
        <v>Excellent</v>
      </c>
      <c r="AA3024" t="str">
        <f>IFERROR(__xludf.DUMMYFUNCTION("""COMPUTED_VALUE"""),"Excellent")</f>
        <v>Excellent</v>
      </c>
      <c r="AB3024" t="str">
        <f>IFERROR(__xludf.DUMMYFUNCTION("""COMPUTED_VALUE"""),"Excellent")</f>
        <v>Excellent</v>
      </c>
      <c r="AH3024" s="189">
        <f>IFERROR(__xludf.DUMMYFUNCTION("""COMPUTED_VALUE"""),44378.882099236114)</f>
        <v>44378.8821</v>
      </c>
    </row>
    <row r="3025">
      <c r="A3025" t="str">
        <f>IFERROR(__xludf.DUMMYFUNCTION("""COMPUTED_VALUE"""),"Stephezy")</f>
        <v>Stephezy</v>
      </c>
      <c r="B3025" t="str">
        <f>IFERROR(__xludf.DUMMYFUNCTION("""COMPUTED_VALUE"""),"Brooklyn")</f>
        <v>Brooklyn</v>
      </c>
      <c r="C3025" t="str">
        <f>IFERROR(__xludf.DUMMYFUNCTION("""COMPUTED_VALUE"""),"NY")</f>
        <v>NY</v>
      </c>
      <c r="D3025" t="str">
        <f>IFERROR(__xludf.DUMMYFUNCTION("""COMPUTED_VALUE"""),"USA")</f>
        <v>USA</v>
      </c>
      <c r="E3025" s="188">
        <f>IFERROR(__xludf.DUMMYFUNCTION("""COMPUTED_VALUE"""),44324.0)</f>
        <v>44324</v>
      </c>
      <c r="F3025" s="188">
        <f>IFERROR(__xludf.DUMMYFUNCTION("""COMPUTED_VALUE"""),44354.0)</f>
        <v>44354</v>
      </c>
      <c r="G3025" t="str">
        <f>IFERROR(__xludf.DUMMYFUNCTION("""COMPUTED_VALUE"""),"Manage order page (normal text)")</f>
        <v>Manage order page (normal text)</v>
      </c>
      <c r="J3025" s="188">
        <f>IFERROR(__xludf.DUMMYFUNCTION("""COMPUTED_VALUE"""),44361.0)</f>
        <v>44361</v>
      </c>
      <c r="K3025">
        <f>IFERROR(__xludf.DUMMYFUNCTION("""COMPUTED_VALUE"""),30.0)</f>
        <v>30</v>
      </c>
      <c r="L3025">
        <f>IFERROR(__xludf.DUMMYFUNCTION("""COMPUTED_VALUE"""),7.0)</f>
        <v>7</v>
      </c>
      <c r="M3025">
        <f>IFERROR(__xludf.DUMMYFUNCTION("""COMPUTED_VALUE"""),37.0)</f>
        <v>37</v>
      </c>
      <c r="N3025" t="str">
        <f>IFERROR(__xludf.DUMMYFUNCTION("""COMPUTED_VALUE"""),"Model 3 SR+")</f>
        <v>Model 3 SR+</v>
      </c>
      <c r="O3025" t="str">
        <f>IFERROR(__xludf.DUMMYFUNCTION("""COMPUTED_VALUE"""),"Pearl White Multi-Coat")</f>
        <v>Pearl White Multi-Coat</v>
      </c>
      <c r="P3025" t="str">
        <f>IFERROR(__xludf.DUMMYFUNCTION("""COMPUTED_VALUE"""),"18 inch")</f>
        <v>18 inch</v>
      </c>
      <c r="Q3025" t="str">
        <f>IFERROR(__xludf.DUMMYFUNCTION("""COMPUTED_VALUE"""),"All Black")</f>
        <v>All Black</v>
      </c>
      <c r="R3025" t="str">
        <f>IFERROR(__xludf.DUMMYFUNCTION("""COMPUTED_VALUE"""),"Autopilot included")</f>
        <v>Autopilot included</v>
      </c>
      <c r="S3025" t="str">
        <f>IFERROR(__xludf.DUMMYFUNCTION("""COMPUTED_VALUE"""),"Loan")</f>
        <v>Loan</v>
      </c>
      <c r="T3025" t="str">
        <f>IFERROR(__xludf.DUMMYFUNCTION("""COMPUTED_VALUE"""),"Audi A7")</f>
        <v>Audi A7</v>
      </c>
      <c r="U3025" t="str">
        <f>IFERROR(__xludf.DUMMYFUNCTION("""COMPUTED_VALUE"""),"Electric!")</f>
        <v>Electric!</v>
      </c>
      <c r="V3025" t="str">
        <f>IFERROR(__xludf.DUMMYFUNCTION("""COMPUTED_VALUE"""),"360° Bird's eye view")</f>
        <v>360° Bird's eye view</v>
      </c>
      <c r="W3025" t="str">
        <f>IFERROR(__xludf.DUMMYFUNCTION("""COMPUTED_VALUE"""),"Exercise patience, we really are on Tesla timing after we submit...and don't buy used from Tesla, find a dealer")</f>
        <v>Exercise patience, we really are on Tesla timing after we submit...and don't buy used from Tesla, find a dealer</v>
      </c>
      <c r="X3025" t="str">
        <f>IFERROR(__xludf.DUMMYFUNCTION("""COMPUTED_VALUE"""),"Good")</f>
        <v>Good</v>
      </c>
      <c r="Y3025" t="str">
        <f>IFERROR(__xludf.DUMMYFUNCTION("""COMPUTED_VALUE"""),"Very Good")</f>
        <v>Very Good</v>
      </c>
      <c r="Z3025" t="str">
        <f>IFERROR(__xludf.DUMMYFUNCTION("""COMPUTED_VALUE"""),"Excellent")</f>
        <v>Excellent</v>
      </c>
      <c r="AA3025" t="str">
        <f>IFERROR(__xludf.DUMMYFUNCTION("""COMPUTED_VALUE"""),"Excellent")</f>
        <v>Excellent</v>
      </c>
      <c r="AB3025" t="str">
        <f>IFERROR(__xludf.DUMMYFUNCTION("""COMPUTED_VALUE"""),"Excellent")</f>
        <v>Excellent</v>
      </c>
      <c r="AF3025" t="str">
        <f>IFERROR(__xludf.DUMMYFUNCTION("""COMPUTED_VALUE"""),"No. I took delivery of the first car Tesla was able to deliver.")</f>
        <v>No. I took delivery of the first car Tesla was able to deliver.</v>
      </c>
      <c r="AG3025" t="str">
        <f>IFERROR(__xludf.DUMMYFUNCTION("""COMPUTED_VALUE"""),"Spend the extra money if you decide to tint, a skilled shop can make the rear tint look seamless with the roof")</f>
        <v>Spend the extra money if you decide to tint, a skilled shop can make the rear tint look seamless with the roof</v>
      </c>
      <c r="AH3025" s="189">
        <f>IFERROR(__xludf.DUMMYFUNCTION("""COMPUTED_VALUE"""),44363.07690512732)</f>
        <v>44363.07691</v>
      </c>
    </row>
    <row r="3026">
      <c r="A3026" t="str">
        <f>IFERROR(__xludf.DUMMYFUNCTION("""COMPUTED_VALUE"""),"Zippo")</f>
        <v>Zippo</v>
      </c>
      <c r="B3026" t="str">
        <f>IFERROR(__xludf.DUMMYFUNCTION("""COMPUTED_VALUE"""),"Toronto")</f>
        <v>Toronto</v>
      </c>
      <c r="C3026" t="str">
        <f>IFERROR(__xludf.DUMMYFUNCTION("""COMPUTED_VALUE"""),"ON")</f>
        <v>ON</v>
      </c>
      <c r="D3026" t="str">
        <f>IFERROR(__xludf.DUMMYFUNCTION("""COMPUTED_VALUE"""),"Canada")</f>
        <v>Canada</v>
      </c>
      <c r="E3026" s="188">
        <f>IFERROR(__xludf.DUMMYFUNCTION("""COMPUTED_VALUE"""),44349.0)</f>
        <v>44349</v>
      </c>
      <c r="F3026" s="188">
        <f>IFERROR(__xludf.DUMMYFUNCTION("""COMPUTED_VALUE"""),44411.0)</f>
        <v>44411</v>
      </c>
      <c r="G3026" t="str">
        <f>IFERROR(__xludf.DUMMYFUNCTION("""COMPUTED_VALUE"""),"Source code")</f>
        <v>Source code</v>
      </c>
      <c r="H3026">
        <f>IFERROR(__xludf.DUMMYFUNCTION("""COMPUTED_VALUE"""),28955.0)</f>
        <v>28955</v>
      </c>
      <c r="I3026" t="str">
        <f>IFERROR(__xludf.DUMMYFUNCTION("""COMPUTED_VALUE"""),"08/21")</f>
        <v>08/21</v>
      </c>
      <c r="J3026" s="188">
        <f>IFERROR(__xludf.DUMMYFUNCTION("""COMPUTED_VALUE"""),44425.0)</f>
        <v>44425</v>
      </c>
      <c r="K3026">
        <f>IFERROR(__xludf.DUMMYFUNCTION("""COMPUTED_VALUE"""),62.0)</f>
        <v>62</v>
      </c>
      <c r="L3026">
        <f>IFERROR(__xludf.DUMMYFUNCTION("""COMPUTED_VALUE"""),14.0)</f>
        <v>14</v>
      </c>
      <c r="M3026">
        <f>IFERROR(__xludf.DUMMYFUNCTION("""COMPUTED_VALUE"""),76.0)</f>
        <v>76</v>
      </c>
      <c r="N3026" t="str">
        <f>IFERROR(__xludf.DUMMYFUNCTION("""COMPUTED_VALUE"""),"Model 3 SR+")</f>
        <v>Model 3 SR+</v>
      </c>
      <c r="O3026" t="str">
        <f>IFERROR(__xludf.DUMMYFUNCTION("""COMPUTED_VALUE"""),"Midnight Silver Metallic")</f>
        <v>Midnight Silver Metallic</v>
      </c>
      <c r="P3026" t="str">
        <f>IFERROR(__xludf.DUMMYFUNCTION("""COMPUTED_VALUE"""),"18 inch")</f>
        <v>18 inch</v>
      </c>
      <c r="Q3026" t="str">
        <f>IFERROR(__xludf.DUMMYFUNCTION("""COMPUTED_VALUE"""),"All Black")</f>
        <v>All Black</v>
      </c>
      <c r="R3026" t="str">
        <f>IFERROR(__xludf.DUMMYFUNCTION("""COMPUTED_VALUE"""),"Autopilot included")</f>
        <v>Autopilot included</v>
      </c>
      <c r="S3026" t="str">
        <f>IFERROR(__xludf.DUMMYFUNCTION("""COMPUTED_VALUE"""),"Cash")</f>
        <v>Cash</v>
      </c>
      <c r="T3026" t="str">
        <f>IFERROR(__xludf.DUMMYFUNCTION("""COMPUTED_VALUE"""),"Honda Civic")</f>
        <v>Honda Civic</v>
      </c>
      <c r="V3026" t="str">
        <f>IFERROR(__xludf.DUMMYFUNCTION("""COMPUTED_VALUE"""),"Bioweapon defense mode")</f>
        <v>Bioweapon defense mode</v>
      </c>
      <c r="AH3026" s="189">
        <f>IFERROR(__xludf.DUMMYFUNCTION("""COMPUTED_VALUE"""),44423.853548784726)</f>
        <v>44423.85355</v>
      </c>
    </row>
    <row r="3027">
      <c r="A3027" t="str">
        <f>IFERROR(__xludf.DUMMYFUNCTION("""COMPUTED_VALUE"""),"gwc6")</f>
        <v>gwc6</v>
      </c>
      <c r="B3027" t="str">
        <f>IFERROR(__xludf.DUMMYFUNCTION("""COMPUTED_VALUE"""),"Pasadena")</f>
        <v>Pasadena</v>
      </c>
      <c r="C3027" t="str">
        <f>IFERROR(__xludf.DUMMYFUNCTION("""COMPUTED_VALUE"""),"CA")</f>
        <v>CA</v>
      </c>
      <c r="D3027" t="str">
        <f>IFERROR(__xludf.DUMMYFUNCTION("""COMPUTED_VALUE"""),"USA")</f>
        <v>USA</v>
      </c>
      <c r="E3027" s="188">
        <f>IFERROR(__xludf.DUMMYFUNCTION("""COMPUTED_VALUE"""),44355.0)</f>
        <v>44355</v>
      </c>
      <c r="F3027" s="188">
        <f>IFERROR(__xludf.DUMMYFUNCTION("""COMPUTED_VALUE"""),44365.0)</f>
        <v>44365</v>
      </c>
      <c r="G3027" t="str">
        <f>IFERROR(__xludf.DUMMYFUNCTION("""COMPUTED_VALUE"""),"Email")</f>
        <v>Email</v>
      </c>
      <c r="H3027">
        <f>IFERROR(__xludf.DUMMYFUNCTION("""COMPUTED_VALUE"""),995545.0)</f>
        <v>995545</v>
      </c>
      <c r="I3027" t="str">
        <f>IFERROR(__xludf.DUMMYFUNCTION("""COMPUTED_VALUE"""),"06/21")</f>
        <v>06/21</v>
      </c>
      <c r="J3027" s="188">
        <f>IFERROR(__xludf.DUMMYFUNCTION("""COMPUTED_VALUE"""),44369.0)</f>
        <v>44369</v>
      </c>
      <c r="K3027">
        <f>IFERROR(__xludf.DUMMYFUNCTION("""COMPUTED_VALUE"""),10.0)</f>
        <v>10</v>
      </c>
      <c r="L3027">
        <f>IFERROR(__xludf.DUMMYFUNCTION("""COMPUTED_VALUE"""),4.0)</f>
        <v>4</v>
      </c>
      <c r="M3027">
        <f>IFERROR(__xludf.DUMMYFUNCTION("""COMPUTED_VALUE"""),14.0)</f>
        <v>14</v>
      </c>
      <c r="N3027" t="str">
        <f>IFERROR(__xludf.DUMMYFUNCTION("""COMPUTED_VALUE"""),"Model 3 LR AWD")</f>
        <v>Model 3 LR AWD</v>
      </c>
      <c r="O3027" t="str">
        <f>IFERROR(__xludf.DUMMYFUNCTION("""COMPUTED_VALUE"""),"Pearl White Multi-Coat")</f>
        <v>Pearl White Multi-Coat</v>
      </c>
      <c r="P3027" t="str">
        <f>IFERROR(__xludf.DUMMYFUNCTION("""COMPUTED_VALUE"""),"18 inch")</f>
        <v>18 inch</v>
      </c>
      <c r="Q3027" t="str">
        <f>IFERROR(__xludf.DUMMYFUNCTION("""COMPUTED_VALUE"""),"All Black")</f>
        <v>All Black</v>
      </c>
      <c r="R3027" t="str">
        <f>IFERROR(__xludf.DUMMYFUNCTION("""COMPUTED_VALUE"""),"Full Self-Driving")</f>
        <v>Full Self-Driving</v>
      </c>
      <c r="S3027" t="str">
        <f>IFERROR(__xludf.DUMMYFUNCTION("""COMPUTED_VALUE"""),"Cash")</f>
        <v>Cash</v>
      </c>
      <c r="T3027" t="str">
        <f>IFERROR(__xludf.DUMMYFUNCTION("""COMPUTED_VALUE"""),"Honda Civic")</f>
        <v>Honda Civic</v>
      </c>
      <c r="U3027" t="str">
        <f>IFERROR(__xludf.DUMMYFUNCTION("""COMPUTED_VALUE"""),"Electric!")</f>
        <v>Electric!</v>
      </c>
      <c r="V3027" t="str">
        <f>IFERROR(__xludf.DUMMYFUNCTION("""COMPUTED_VALUE"""),"Apple CarPlay / Android Auto / SiriusXM Radio")</f>
        <v>Apple CarPlay / Android Auto / SiriusXM Radio</v>
      </c>
      <c r="W3027" t="str">
        <f>IFERROR(__xludf.DUMMYFUNCTION("""COMPUTED_VALUE"""),"Also check your key card. Both of mine work fine, but are slightly wavy and warped. It's not worth the drive back, but I would have exchanged them if I were still there.")</f>
        <v>Also check your key card. Both of mine work fine, but are slightly wavy and warped. It's not worth the drive back, but I would have exchanged them if I were still there.</v>
      </c>
      <c r="X3027" t="str">
        <f>IFERROR(__xludf.DUMMYFUNCTION("""COMPUTED_VALUE"""),"Excellent")</f>
        <v>Excellent</v>
      </c>
      <c r="Y3027" t="str">
        <f>IFERROR(__xludf.DUMMYFUNCTION("""COMPUTED_VALUE"""),"Excellent")</f>
        <v>Excellent</v>
      </c>
      <c r="Z3027" t="str">
        <f>IFERROR(__xludf.DUMMYFUNCTION("""COMPUTED_VALUE"""),"Excellent")</f>
        <v>Excellent</v>
      </c>
      <c r="AA3027" t="str">
        <f>IFERROR(__xludf.DUMMYFUNCTION("""COMPUTED_VALUE"""),"Good")</f>
        <v>Good</v>
      </c>
      <c r="AB3027" t="str">
        <f>IFERROR(__xludf.DUMMYFUNCTION("""COMPUTED_VALUE"""),"Good")</f>
        <v>Good</v>
      </c>
      <c r="AF3027" t="str">
        <f>IFERROR(__xludf.DUMMYFUNCTION("""COMPUTED_VALUE"""),"No. I took delivery of the first car Tesla was able to deliver.")</f>
        <v>No. I took delivery of the first car Tesla was able to deliver.</v>
      </c>
      <c r="AG3027" t="str">
        <f>IFERROR(__xludf.DUMMYFUNCTION("""COMPUTED_VALUE"""),"My original estimate was 9-13 weeks, but it came a lot sooner. ")</f>
        <v>My original estimate was 9-13 weeks, but it came a lot sooner. </v>
      </c>
      <c r="AH3027" s="189">
        <f>IFERROR(__xludf.DUMMYFUNCTION("""COMPUTED_VALUE"""),44370.82131395834)</f>
        <v>44370.82131</v>
      </c>
    </row>
    <row r="3028">
      <c r="A3028" t="str">
        <f>IFERROR(__xludf.DUMMYFUNCTION("""COMPUTED_VALUE"""),"snicerz")</f>
        <v>snicerz</v>
      </c>
      <c r="B3028" t="str">
        <f>IFERROR(__xludf.DUMMYFUNCTION("""COMPUTED_VALUE"""),"Oklahoma City")</f>
        <v>Oklahoma City</v>
      </c>
      <c r="C3028" t="str">
        <f>IFERROR(__xludf.DUMMYFUNCTION("""COMPUTED_VALUE"""),"OK")</f>
        <v>OK</v>
      </c>
      <c r="D3028" t="str">
        <f>IFERROR(__xludf.DUMMYFUNCTION("""COMPUTED_VALUE"""),"USA")</f>
        <v>USA</v>
      </c>
      <c r="E3028" s="188">
        <f>IFERROR(__xludf.DUMMYFUNCTION("""COMPUTED_VALUE"""),44364.0)</f>
        <v>44364</v>
      </c>
      <c r="F3028" s="188">
        <f>IFERROR(__xludf.DUMMYFUNCTION("""COMPUTED_VALUE"""),44419.0)</f>
        <v>44419</v>
      </c>
      <c r="G3028" t="str">
        <f>IFERROR(__xludf.DUMMYFUNCTION("""COMPUTED_VALUE"""),"Email")</f>
        <v>Email</v>
      </c>
      <c r="H3028">
        <f>IFERROR(__xludf.DUMMYFUNCTION("""COMPUTED_VALUE"""),34855.0)</f>
        <v>34855</v>
      </c>
      <c r="K3028">
        <f>IFERROR(__xludf.DUMMYFUNCTION("""COMPUTED_VALUE"""),55.0)</f>
        <v>55</v>
      </c>
      <c r="N3028" t="str">
        <f>IFERROR(__xludf.DUMMYFUNCTION("""COMPUTED_VALUE"""),"Model 3 LR AWD")</f>
        <v>Model 3 LR AWD</v>
      </c>
      <c r="O3028" t="str">
        <f>IFERROR(__xludf.DUMMYFUNCTION("""COMPUTED_VALUE"""),"Red Multi-Coat")</f>
        <v>Red Multi-Coat</v>
      </c>
      <c r="P3028" t="str">
        <f>IFERROR(__xludf.DUMMYFUNCTION("""COMPUTED_VALUE"""),"18 inch")</f>
        <v>18 inch</v>
      </c>
      <c r="Q3028" t="str">
        <f>IFERROR(__xludf.DUMMYFUNCTION("""COMPUTED_VALUE"""),"All Black")</f>
        <v>All Black</v>
      </c>
      <c r="R3028" t="str">
        <f>IFERROR(__xludf.DUMMYFUNCTION("""COMPUTED_VALUE"""),"Autopilot included")</f>
        <v>Autopilot included</v>
      </c>
      <c r="S3028" t="str">
        <f>IFERROR(__xludf.DUMMYFUNCTION("""COMPUTED_VALUE"""),"Loan")</f>
        <v>Loan</v>
      </c>
      <c r="T3028" t="str">
        <f>IFERROR(__xludf.DUMMYFUNCTION("""COMPUTED_VALUE"""),"Chevy Corvette")</f>
        <v>Chevy Corvette</v>
      </c>
      <c r="U3028" t="str">
        <f>IFERROR(__xludf.DUMMYFUNCTION("""COMPUTED_VALUE"""),"Electric!")</f>
        <v>Electric!</v>
      </c>
      <c r="V3028" t="str">
        <f>IFERROR(__xludf.DUMMYFUNCTION("""COMPUTED_VALUE"""),"Air suspension")</f>
        <v>Air suspension</v>
      </c>
      <c r="AH3028" s="189">
        <f>IFERROR(__xludf.DUMMYFUNCTION("""COMPUTED_VALUE"""),44420.27250608796)</f>
        <v>44420.27251</v>
      </c>
    </row>
    <row r="3029">
      <c r="A3029" t="str">
        <f>IFERROR(__xludf.DUMMYFUNCTION("""COMPUTED_VALUE"""),"sonsondei")</f>
        <v>sonsondei</v>
      </c>
      <c r="B3029" t="str">
        <f>IFERROR(__xludf.DUMMYFUNCTION("""COMPUTED_VALUE"""),"Toronto")</f>
        <v>Toronto</v>
      </c>
      <c r="C3029" t="str">
        <f>IFERROR(__xludf.DUMMYFUNCTION("""COMPUTED_VALUE"""),"ON")</f>
        <v>ON</v>
      </c>
      <c r="D3029" t="str">
        <f>IFERROR(__xludf.DUMMYFUNCTION("""COMPUTED_VALUE"""),"Canada")</f>
        <v>Canada</v>
      </c>
      <c r="E3029" s="188">
        <f>IFERROR(__xludf.DUMMYFUNCTION("""COMPUTED_VALUE"""),44361.0)</f>
        <v>44361</v>
      </c>
      <c r="F3029" s="188">
        <f>IFERROR(__xludf.DUMMYFUNCTION("""COMPUTED_VALUE"""),44407.0)</f>
        <v>44407</v>
      </c>
      <c r="G3029" t="str">
        <f>IFERROR(__xludf.DUMMYFUNCTION("""COMPUTED_VALUE"""),"Email")</f>
        <v>Email</v>
      </c>
      <c r="H3029">
        <f>IFERROR(__xludf.DUMMYFUNCTION("""COMPUTED_VALUE"""),23155.0)</f>
        <v>23155</v>
      </c>
      <c r="J3029" s="188">
        <f>IFERROR(__xludf.DUMMYFUNCTION("""COMPUTED_VALUE"""),44421.0)</f>
        <v>44421</v>
      </c>
      <c r="K3029">
        <f>IFERROR(__xludf.DUMMYFUNCTION("""COMPUTED_VALUE"""),46.0)</f>
        <v>46</v>
      </c>
      <c r="L3029">
        <f>IFERROR(__xludf.DUMMYFUNCTION("""COMPUTED_VALUE"""),14.0)</f>
        <v>14</v>
      </c>
      <c r="M3029">
        <f>IFERROR(__xludf.DUMMYFUNCTION("""COMPUTED_VALUE"""),60.0)</f>
        <v>60</v>
      </c>
      <c r="N3029" t="str">
        <f>IFERROR(__xludf.DUMMYFUNCTION("""COMPUTED_VALUE"""),"Model 3 SR+")</f>
        <v>Model 3 SR+</v>
      </c>
      <c r="O3029" t="str">
        <f>IFERROR(__xludf.DUMMYFUNCTION("""COMPUTED_VALUE"""),"Midnight Silver Metallic")</f>
        <v>Midnight Silver Metallic</v>
      </c>
      <c r="P3029" t="str">
        <f>IFERROR(__xludf.DUMMYFUNCTION("""COMPUTED_VALUE"""),"18 inch")</f>
        <v>18 inch</v>
      </c>
      <c r="Q3029" t="str">
        <f>IFERROR(__xludf.DUMMYFUNCTION("""COMPUTED_VALUE"""),"All Black")</f>
        <v>All Black</v>
      </c>
      <c r="R3029" t="str">
        <f>IFERROR(__xludf.DUMMYFUNCTION("""COMPUTED_VALUE"""),"Autopilot included")</f>
        <v>Autopilot included</v>
      </c>
      <c r="AH3029" s="189">
        <f>IFERROR(__xludf.DUMMYFUNCTION("""COMPUTED_VALUE"""),44418.60696609954)</f>
        <v>44418.60697</v>
      </c>
    </row>
    <row r="3030">
      <c r="A3030" t="str">
        <f>IFERROR(__xludf.DUMMYFUNCTION("""COMPUTED_VALUE"""),"Formina Sage")</f>
        <v>Formina Sage</v>
      </c>
      <c r="B3030" t="str">
        <f>IFERROR(__xludf.DUMMYFUNCTION("""COMPUTED_VALUE"""),"Minneapolis")</f>
        <v>Minneapolis</v>
      </c>
      <c r="C3030" t="str">
        <f>IFERROR(__xludf.DUMMYFUNCTION("""COMPUTED_VALUE"""),"MN")</f>
        <v>MN</v>
      </c>
      <c r="D3030" t="str">
        <f>IFERROR(__xludf.DUMMYFUNCTION("""COMPUTED_VALUE"""),"USA")</f>
        <v>USA</v>
      </c>
      <c r="E3030" s="188">
        <f>IFERROR(__xludf.DUMMYFUNCTION("""COMPUTED_VALUE"""),44359.0)</f>
        <v>44359</v>
      </c>
      <c r="F3030" s="188">
        <f>IFERROR(__xludf.DUMMYFUNCTION("""COMPUTED_VALUE"""),44396.0)</f>
        <v>44396</v>
      </c>
      <c r="G3030" t="str">
        <f>IFERROR(__xludf.DUMMYFUNCTION("""COMPUTED_VALUE"""),"Manage order page (normal text)")</f>
        <v>Manage order page (normal text)</v>
      </c>
      <c r="H3030">
        <f>IFERROR(__xludf.DUMMYFUNCTION("""COMPUTED_VALUE"""),20155.0)</f>
        <v>20155</v>
      </c>
      <c r="J3030" s="188">
        <f>IFERROR(__xludf.DUMMYFUNCTION("""COMPUTED_VALUE"""),44406.0)</f>
        <v>44406</v>
      </c>
      <c r="K3030">
        <f>IFERROR(__xludf.DUMMYFUNCTION("""COMPUTED_VALUE"""),37.0)</f>
        <v>37</v>
      </c>
      <c r="L3030">
        <f>IFERROR(__xludf.DUMMYFUNCTION("""COMPUTED_VALUE"""),10.0)</f>
        <v>10</v>
      </c>
      <c r="M3030">
        <f>IFERROR(__xludf.DUMMYFUNCTION("""COMPUTED_VALUE"""),47.0)</f>
        <v>47</v>
      </c>
      <c r="N3030" t="str">
        <f>IFERROR(__xludf.DUMMYFUNCTION("""COMPUTED_VALUE"""),"Model 3 LR AWD")</f>
        <v>Model 3 LR AWD</v>
      </c>
      <c r="O3030" t="str">
        <f>IFERROR(__xludf.DUMMYFUNCTION("""COMPUTED_VALUE"""),"Pearl White Multi-Coat")</f>
        <v>Pearl White Multi-Coat</v>
      </c>
      <c r="P3030" t="str">
        <f>IFERROR(__xludf.DUMMYFUNCTION("""COMPUTED_VALUE"""),"18 inch")</f>
        <v>18 inch</v>
      </c>
      <c r="Q3030" t="str">
        <f>IFERROR(__xludf.DUMMYFUNCTION("""COMPUTED_VALUE"""),"Black and White")</f>
        <v>Black and White</v>
      </c>
      <c r="R3030" t="str">
        <f>IFERROR(__xludf.DUMMYFUNCTION("""COMPUTED_VALUE"""),"Autopilot included")</f>
        <v>Autopilot included</v>
      </c>
      <c r="S3030" t="str">
        <f>IFERROR(__xludf.DUMMYFUNCTION("""COMPUTED_VALUE"""),"Loan")</f>
        <v>Loan</v>
      </c>
      <c r="T3030" t="str">
        <f>IFERROR(__xludf.DUMMYFUNCTION("""COMPUTED_VALUE"""),"Nissan Maxima Platinum")</f>
        <v>Nissan Maxima Platinum</v>
      </c>
      <c r="U3030" t="str">
        <f>IFERROR(__xludf.DUMMYFUNCTION("""COMPUTED_VALUE"""),"Autopilot")</f>
        <v>Autopilot</v>
      </c>
      <c r="V3030" t="str">
        <f>IFERROR(__xludf.DUMMYFUNCTION("""COMPUTED_VALUE"""),"Head-up display")</f>
        <v>Head-up display</v>
      </c>
      <c r="AH3030" s="189">
        <f>IFERROR(__xludf.DUMMYFUNCTION("""COMPUTED_VALUE"""),44403.693524675924)</f>
        <v>44403.69352</v>
      </c>
    </row>
    <row r="3031">
      <c r="A3031" t="str">
        <f>IFERROR(__xludf.DUMMYFUNCTION("""COMPUTED_VALUE"""),"JamesAS")</f>
        <v>JamesAS</v>
      </c>
      <c r="B3031" t="str">
        <f>IFERROR(__xludf.DUMMYFUNCTION("""COMPUTED_VALUE"""),"Vancouver")</f>
        <v>Vancouver</v>
      </c>
      <c r="C3031" t="str">
        <f>IFERROR(__xludf.DUMMYFUNCTION("""COMPUTED_VALUE"""),"BC")</f>
        <v>BC</v>
      </c>
      <c r="D3031" t="str">
        <f>IFERROR(__xludf.DUMMYFUNCTION("""COMPUTED_VALUE"""),"Canada")</f>
        <v>Canada</v>
      </c>
      <c r="E3031" s="188">
        <f>IFERROR(__xludf.DUMMYFUNCTION("""COMPUTED_VALUE"""),44331.0)</f>
        <v>44331</v>
      </c>
      <c r="F3031" s="188">
        <f>IFERROR(__xludf.DUMMYFUNCTION("""COMPUTED_VALUE"""),44364.0)</f>
        <v>44364</v>
      </c>
      <c r="G3031" t="str">
        <f>IFERROR(__xludf.DUMMYFUNCTION("""COMPUTED_VALUE"""),"MVPA")</f>
        <v>MVPA</v>
      </c>
      <c r="H3031">
        <f>IFERROR(__xludf.DUMMYFUNCTION("""COMPUTED_VALUE"""),988775.0)</f>
        <v>988775</v>
      </c>
      <c r="I3031" t="str">
        <f>IFERROR(__xludf.DUMMYFUNCTION("""COMPUTED_VALUE"""),"06/21")</f>
        <v>06/21</v>
      </c>
      <c r="J3031" s="188">
        <f>IFERROR(__xludf.DUMMYFUNCTION("""COMPUTED_VALUE"""),44374.0)</f>
        <v>44374</v>
      </c>
      <c r="K3031">
        <f>IFERROR(__xludf.DUMMYFUNCTION("""COMPUTED_VALUE"""),33.0)</f>
        <v>33</v>
      </c>
      <c r="L3031">
        <f>IFERROR(__xludf.DUMMYFUNCTION("""COMPUTED_VALUE"""),10.0)</f>
        <v>10</v>
      </c>
      <c r="M3031">
        <f>IFERROR(__xludf.DUMMYFUNCTION("""COMPUTED_VALUE"""),43.0)</f>
        <v>43</v>
      </c>
      <c r="N3031" t="str">
        <f>IFERROR(__xludf.DUMMYFUNCTION("""COMPUTED_VALUE"""),"Model 3 SR+")</f>
        <v>Model 3 SR+</v>
      </c>
      <c r="O3031" t="str">
        <f>IFERROR(__xludf.DUMMYFUNCTION("""COMPUTED_VALUE"""),"Deep Blue Metallic")</f>
        <v>Deep Blue Metallic</v>
      </c>
      <c r="P3031" t="str">
        <f>IFERROR(__xludf.DUMMYFUNCTION("""COMPUTED_VALUE"""),"18 inch")</f>
        <v>18 inch</v>
      </c>
      <c r="Q3031" t="str">
        <f>IFERROR(__xludf.DUMMYFUNCTION("""COMPUTED_VALUE"""),"All Black")</f>
        <v>All Black</v>
      </c>
      <c r="R3031" t="str">
        <f>IFERROR(__xludf.DUMMYFUNCTION("""COMPUTED_VALUE"""),"Autopilot included")</f>
        <v>Autopilot included</v>
      </c>
      <c r="S3031" t="str">
        <f>IFERROR(__xludf.DUMMYFUNCTION("""COMPUTED_VALUE"""),"Cash")</f>
        <v>Cash</v>
      </c>
      <c r="T3031" t="str">
        <f>IFERROR(__xludf.DUMMYFUNCTION("""COMPUTED_VALUE"""),"BMW 3 Series")</f>
        <v>BMW 3 Series</v>
      </c>
      <c r="U3031" t="str">
        <f>IFERROR(__xludf.DUMMYFUNCTION("""COMPUTED_VALUE"""),"Electric!")</f>
        <v>Electric!</v>
      </c>
      <c r="V3031" t="str">
        <f>IFERROR(__xludf.DUMMYFUNCTION("""COMPUTED_VALUE"""),"CCS Adapter")</f>
        <v>CCS Adapter</v>
      </c>
      <c r="X3031" t="str">
        <f>IFERROR(__xludf.DUMMYFUNCTION("""COMPUTED_VALUE"""),"Very Good")</f>
        <v>Very Good</v>
      </c>
      <c r="Y3031" t="str">
        <f>IFERROR(__xludf.DUMMYFUNCTION("""COMPUTED_VALUE"""),"Excellent")</f>
        <v>Excellent</v>
      </c>
      <c r="Z3031" t="str">
        <f>IFERROR(__xludf.DUMMYFUNCTION("""COMPUTED_VALUE"""),"Excellent")</f>
        <v>Excellent</v>
      </c>
      <c r="AA3031" t="str">
        <f>IFERROR(__xludf.DUMMYFUNCTION("""COMPUTED_VALUE"""),"Very Good")</f>
        <v>Very Good</v>
      </c>
      <c r="AB3031" t="str">
        <f>IFERROR(__xludf.DUMMYFUNCTION("""COMPUTED_VALUE"""),"Very Good")</f>
        <v>Very Good</v>
      </c>
      <c r="AC3031">
        <f>IFERROR(__xludf.DUMMYFUNCTION("""COMPUTED_VALUE"""),1.0)</f>
        <v>1</v>
      </c>
      <c r="AD3031">
        <f>IFERROR(__xludf.DUMMYFUNCTION("""COMPUTED_VALUE"""),1.0)</f>
        <v>1</v>
      </c>
      <c r="AE3031">
        <f>IFERROR(__xludf.DUMMYFUNCTION("""COMPUTED_VALUE"""),0.0)</f>
        <v>0</v>
      </c>
      <c r="AF3031" t="str">
        <f>IFERROR(__xludf.DUMMYFUNCTION("""COMPUTED_VALUE"""),"No. I took delivery of the first car Tesla was able to deliver.")</f>
        <v>No. I took delivery of the first car Tesla was able to deliver.</v>
      </c>
      <c r="AH3031" s="189">
        <f>IFERROR(__xludf.DUMMYFUNCTION("""COMPUTED_VALUE"""),44376.91747597222)</f>
        <v>44376.91748</v>
      </c>
    </row>
    <row r="3032">
      <c r="A3032" t="str">
        <f>IFERROR(__xludf.DUMMYFUNCTION("""COMPUTED_VALUE"""),"Timdoggg85")</f>
        <v>Timdoggg85</v>
      </c>
      <c r="B3032" t="str">
        <f>IFERROR(__xludf.DUMMYFUNCTION("""COMPUTED_VALUE"""),"Miami")</f>
        <v>Miami</v>
      </c>
      <c r="C3032" t="str">
        <f>IFERROR(__xludf.DUMMYFUNCTION("""COMPUTED_VALUE"""),"FL")</f>
        <v>FL</v>
      </c>
      <c r="D3032" t="str">
        <f>IFERROR(__xludf.DUMMYFUNCTION("""COMPUTED_VALUE"""),"USA")</f>
        <v>USA</v>
      </c>
      <c r="E3032" s="188">
        <f>IFERROR(__xludf.DUMMYFUNCTION("""COMPUTED_VALUE"""),44363.0)</f>
        <v>44363</v>
      </c>
      <c r="F3032" s="188">
        <f>IFERROR(__xludf.DUMMYFUNCTION("""COMPUTED_VALUE"""),44408.0)</f>
        <v>44408</v>
      </c>
      <c r="G3032" t="str">
        <f>IFERROR(__xludf.DUMMYFUNCTION("""COMPUTED_VALUE"""),"Manage order page (normal text)")</f>
        <v>Manage order page (normal text)</v>
      </c>
      <c r="J3032" s="188">
        <f>IFERROR(__xludf.DUMMYFUNCTION("""COMPUTED_VALUE"""),-686061.0)</f>
        <v>-686061</v>
      </c>
      <c r="K3032">
        <f>IFERROR(__xludf.DUMMYFUNCTION("""COMPUTED_VALUE"""),45.0)</f>
        <v>45</v>
      </c>
      <c r="N3032" t="str">
        <f>IFERROR(__xludf.DUMMYFUNCTION("""COMPUTED_VALUE"""),"Model 3 SR+")</f>
        <v>Model 3 SR+</v>
      </c>
      <c r="O3032" t="str">
        <f>IFERROR(__xludf.DUMMYFUNCTION("""COMPUTED_VALUE"""),"Solid Black")</f>
        <v>Solid Black</v>
      </c>
      <c r="P3032" t="str">
        <f>IFERROR(__xludf.DUMMYFUNCTION("""COMPUTED_VALUE"""),"18 inch")</f>
        <v>18 inch</v>
      </c>
      <c r="Q3032" t="str">
        <f>IFERROR(__xludf.DUMMYFUNCTION("""COMPUTED_VALUE"""),"All Black")</f>
        <v>All Black</v>
      </c>
      <c r="R3032" t="str">
        <f>IFERROR(__xludf.DUMMYFUNCTION("""COMPUTED_VALUE"""),"Autopilot included")</f>
        <v>Autopilot included</v>
      </c>
      <c r="S3032" t="str">
        <f>IFERROR(__xludf.DUMMYFUNCTION("""COMPUTED_VALUE"""),"Loan")</f>
        <v>Loan</v>
      </c>
      <c r="U3032" t="str">
        <f>IFERROR(__xludf.DUMMYFUNCTION("""COMPUTED_VALUE"""),"Electric!")</f>
        <v>Electric!</v>
      </c>
      <c r="V3032" t="str">
        <f>IFERROR(__xludf.DUMMYFUNCTION("""COMPUTED_VALUE"""),"360° Bird's eye view")</f>
        <v>360° Bird's eye view</v>
      </c>
      <c r="AH3032" s="189">
        <f>IFERROR(__xludf.DUMMYFUNCTION("""COMPUTED_VALUE"""),44424.44885784722)</f>
        <v>44424.44886</v>
      </c>
    </row>
    <row r="3033">
      <c r="A3033" t="str">
        <f>IFERROR(__xludf.DUMMYFUNCTION("""COMPUTED_VALUE"""),"ThisOneGuy")</f>
        <v>ThisOneGuy</v>
      </c>
      <c r="B3033" t="str">
        <f>IFERROR(__xludf.DUMMYFUNCTION("""COMPUTED_VALUE"""),"Chicago")</f>
        <v>Chicago</v>
      </c>
      <c r="C3033" t="str">
        <f>IFERROR(__xludf.DUMMYFUNCTION("""COMPUTED_VALUE"""),"IL")</f>
        <v>IL</v>
      </c>
      <c r="D3033" t="str">
        <f>IFERROR(__xludf.DUMMYFUNCTION("""COMPUTED_VALUE"""),"USA")</f>
        <v>USA</v>
      </c>
      <c r="E3033" s="188">
        <f>IFERROR(__xludf.DUMMYFUNCTION("""COMPUTED_VALUE"""),44353.0)</f>
        <v>44353</v>
      </c>
      <c r="F3033" s="188">
        <f>IFERROR(__xludf.DUMMYFUNCTION("""COMPUTED_VALUE"""),44420.0)</f>
        <v>44420</v>
      </c>
      <c r="G3033" t="str">
        <f>IFERROR(__xludf.DUMMYFUNCTION("""COMPUTED_VALUE"""),"Email")</f>
        <v>Email</v>
      </c>
      <c r="I3033" t="str">
        <f>IFERROR(__xludf.DUMMYFUNCTION("""COMPUTED_VALUE"""),"08/21")</f>
        <v>08/21</v>
      </c>
      <c r="J3033" s="188">
        <f>IFERROR(__xludf.DUMMYFUNCTION("""COMPUTED_VALUE"""),44433.0)</f>
        <v>44433</v>
      </c>
      <c r="K3033">
        <f>IFERROR(__xludf.DUMMYFUNCTION("""COMPUTED_VALUE"""),67.0)</f>
        <v>67</v>
      </c>
      <c r="L3033">
        <f>IFERROR(__xludf.DUMMYFUNCTION("""COMPUTED_VALUE"""),13.0)</f>
        <v>13</v>
      </c>
      <c r="M3033">
        <f>IFERROR(__xludf.DUMMYFUNCTION("""COMPUTED_VALUE"""),80.0)</f>
        <v>80</v>
      </c>
      <c r="N3033" t="str">
        <f>IFERROR(__xludf.DUMMYFUNCTION("""COMPUTED_VALUE"""),"Model 3 LR AWD")</f>
        <v>Model 3 LR AWD</v>
      </c>
      <c r="O3033" t="str">
        <f>IFERROR(__xludf.DUMMYFUNCTION("""COMPUTED_VALUE"""),"Deep Blue Metallic")</f>
        <v>Deep Blue Metallic</v>
      </c>
      <c r="P3033" t="str">
        <f>IFERROR(__xludf.DUMMYFUNCTION("""COMPUTED_VALUE"""),"18 inch")</f>
        <v>18 inch</v>
      </c>
      <c r="Q3033" t="str">
        <f>IFERROR(__xludf.DUMMYFUNCTION("""COMPUTED_VALUE"""),"All Black")</f>
        <v>All Black</v>
      </c>
      <c r="R3033" t="str">
        <f>IFERROR(__xludf.DUMMYFUNCTION("""COMPUTED_VALUE"""),"Autopilot included")</f>
        <v>Autopilot included</v>
      </c>
      <c r="S3033" t="str">
        <f>IFERROR(__xludf.DUMMYFUNCTION("""COMPUTED_VALUE"""),"Loan")</f>
        <v>Loan</v>
      </c>
      <c r="T3033" t="str">
        <f>IFERROR(__xludf.DUMMYFUNCTION("""COMPUTED_VALUE"""),"Ford Focus")</f>
        <v>Ford Focus</v>
      </c>
      <c r="V3033" t="str">
        <f>IFERROR(__xludf.DUMMYFUNCTION("""COMPUTED_VALUE"""),"Blind spot indicators on side mirrors")</f>
        <v>Blind spot indicators on side mirrors</v>
      </c>
      <c r="AH3033" s="189">
        <f>IFERROR(__xludf.DUMMYFUNCTION("""COMPUTED_VALUE"""),44439.458687210645)</f>
        <v>44439.45869</v>
      </c>
    </row>
    <row r="3034">
      <c r="A3034" t="str">
        <f>IFERROR(__xludf.DUMMYFUNCTION("""COMPUTED_VALUE"""),"Bagelnator6")</f>
        <v>Bagelnator6</v>
      </c>
      <c r="B3034" t="str">
        <f>IFERROR(__xludf.DUMMYFUNCTION("""COMPUTED_VALUE"""),"Spokane")</f>
        <v>Spokane</v>
      </c>
      <c r="C3034" t="str">
        <f>IFERROR(__xludf.DUMMYFUNCTION("""COMPUTED_VALUE"""),"WA")</f>
        <v>WA</v>
      </c>
      <c r="D3034" t="str">
        <f>IFERROR(__xludf.DUMMYFUNCTION("""COMPUTED_VALUE"""),"USA")</f>
        <v>USA</v>
      </c>
      <c r="E3034" s="188">
        <f>IFERROR(__xludf.DUMMYFUNCTION("""COMPUTED_VALUE"""),44339.0)</f>
        <v>44339</v>
      </c>
      <c r="F3034" s="188">
        <f>IFERROR(__xludf.DUMMYFUNCTION("""COMPUTED_VALUE"""),44409.0)</f>
        <v>44409</v>
      </c>
      <c r="G3034" t="str">
        <f>IFERROR(__xludf.DUMMYFUNCTION("""COMPUTED_VALUE"""),"Email")</f>
        <v>Email</v>
      </c>
      <c r="J3034" s="188">
        <f>IFERROR(__xludf.DUMMYFUNCTION("""COMPUTED_VALUE"""),44415.0)</f>
        <v>44415</v>
      </c>
      <c r="K3034">
        <f>IFERROR(__xludf.DUMMYFUNCTION("""COMPUTED_VALUE"""),70.0)</f>
        <v>70</v>
      </c>
      <c r="L3034">
        <f>IFERROR(__xludf.DUMMYFUNCTION("""COMPUTED_VALUE"""),6.0)</f>
        <v>6</v>
      </c>
      <c r="M3034">
        <f>IFERROR(__xludf.DUMMYFUNCTION("""COMPUTED_VALUE"""),76.0)</f>
        <v>76</v>
      </c>
      <c r="N3034" t="str">
        <f>IFERROR(__xludf.DUMMYFUNCTION("""COMPUTED_VALUE"""),"Model 3 LR AWD")</f>
        <v>Model 3 LR AWD</v>
      </c>
      <c r="O3034" t="str">
        <f>IFERROR(__xludf.DUMMYFUNCTION("""COMPUTED_VALUE"""),"Midnight Silver Metallic")</f>
        <v>Midnight Silver Metallic</v>
      </c>
      <c r="P3034" t="str">
        <f>IFERROR(__xludf.DUMMYFUNCTION("""COMPUTED_VALUE"""),"18 inch")</f>
        <v>18 inch</v>
      </c>
      <c r="Q3034" t="str">
        <f>IFERROR(__xludf.DUMMYFUNCTION("""COMPUTED_VALUE"""),"All Black")</f>
        <v>All Black</v>
      </c>
      <c r="R3034" t="str">
        <f>IFERROR(__xludf.DUMMYFUNCTION("""COMPUTED_VALUE"""),"Autopilot included")</f>
        <v>Autopilot included</v>
      </c>
      <c r="S3034" t="str">
        <f>IFERROR(__xludf.DUMMYFUNCTION("""COMPUTED_VALUE"""),"Loan")</f>
        <v>Loan</v>
      </c>
      <c r="T3034" t="str">
        <f>IFERROR(__xludf.DUMMYFUNCTION("""COMPUTED_VALUE"""),"BMW 3 Series")</f>
        <v>BMW 3 Series</v>
      </c>
      <c r="U3034" t="str">
        <f>IFERROR(__xludf.DUMMYFUNCTION("""COMPUTED_VALUE"""),"Electric!")</f>
        <v>Electric!</v>
      </c>
      <c r="V3034" t="str">
        <f>IFERROR(__xludf.DUMMYFUNCTION("""COMPUTED_VALUE"""),"Head-up display")</f>
        <v>Head-up display</v>
      </c>
      <c r="AH3034" s="189">
        <f>IFERROR(__xludf.DUMMYFUNCTION("""COMPUTED_VALUE"""),44410.70226365741)</f>
        <v>44410.70226</v>
      </c>
    </row>
    <row r="3035">
      <c r="A3035" t="str">
        <f>IFERROR(__xludf.DUMMYFUNCTION("""COMPUTED_VALUE"""),"CoolSaison")</f>
        <v>CoolSaison</v>
      </c>
      <c r="B3035" t="str">
        <f>IFERROR(__xludf.DUMMYFUNCTION("""COMPUTED_VALUE"""),"Richmond")</f>
        <v>Richmond</v>
      </c>
      <c r="C3035" t="str">
        <f>IFERROR(__xludf.DUMMYFUNCTION("""COMPUTED_VALUE"""),"VA")</f>
        <v>VA</v>
      </c>
      <c r="D3035" t="str">
        <f>IFERROR(__xludf.DUMMYFUNCTION("""COMPUTED_VALUE"""),"USA")</f>
        <v>USA</v>
      </c>
      <c r="E3035" s="188">
        <f>IFERROR(__xludf.DUMMYFUNCTION("""COMPUTED_VALUE"""),44350.0)</f>
        <v>44350</v>
      </c>
      <c r="F3035" s="188">
        <f>IFERROR(__xludf.DUMMYFUNCTION("""COMPUTED_VALUE"""),44391.0)</f>
        <v>44391</v>
      </c>
      <c r="G3035" t="str">
        <f>IFERROR(__xludf.DUMMYFUNCTION("""COMPUTED_VALUE"""),"Email")</f>
        <v>Email</v>
      </c>
      <c r="J3035" s="188">
        <f>IFERROR(__xludf.DUMMYFUNCTION("""COMPUTED_VALUE"""),44402.0)</f>
        <v>44402</v>
      </c>
      <c r="K3035">
        <f>IFERROR(__xludf.DUMMYFUNCTION("""COMPUTED_VALUE"""),41.0)</f>
        <v>41</v>
      </c>
      <c r="L3035">
        <f>IFERROR(__xludf.DUMMYFUNCTION("""COMPUTED_VALUE"""),11.0)</f>
        <v>11</v>
      </c>
      <c r="M3035">
        <f>IFERROR(__xludf.DUMMYFUNCTION("""COMPUTED_VALUE"""),52.0)</f>
        <v>52</v>
      </c>
      <c r="N3035" t="str">
        <f>IFERROR(__xludf.DUMMYFUNCTION("""COMPUTED_VALUE"""),"Model 3 LR AWD")</f>
        <v>Model 3 LR AWD</v>
      </c>
      <c r="O3035" t="str">
        <f>IFERROR(__xludf.DUMMYFUNCTION("""COMPUTED_VALUE"""),"Midnight Silver Metallic")</f>
        <v>Midnight Silver Metallic</v>
      </c>
      <c r="P3035" t="str">
        <f>IFERROR(__xludf.DUMMYFUNCTION("""COMPUTED_VALUE"""),"18 inch")</f>
        <v>18 inch</v>
      </c>
      <c r="Q3035" t="str">
        <f>IFERROR(__xludf.DUMMYFUNCTION("""COMPUTED_VALUE"""),"All Black")</f>
        <v>All Black</v>
      </c>
      <c r="R3035" t="str">
        <f>IFERROR(__xludf.DUMMYFUNCTION("""COMPUTED_VALUE"""),"Autopilot included")</f>
        <v>Autopilot included</v>
      </c>
      <c r="T3035" t="str">
        <f>IFERROR(__xludf.DUMMYFUNCTION("""COMPUTED_VALUE"""),"Lexus IS")</f>
        <v>Lexus IS</v>
      </c>
      <c r="U3035" t="str">
        <f>IFERROR(__xludf.DUMMYFUNCTION("""COMPUTED_VALUE"""),"Electric!")</f>
        <v>Electric!</v>
      </c>
      <c r="V3035" t="str">
        <f>IFERROR(__xludf.DUMMYFUNCTION("""COMPUTED_VALUE"""),"Ventilated seats")</f>
        <v>Ventilated seats</v>
      </c>
      <c r="AH3035" s="189">
        <f>IFERROR(__xludf.DUMMYFUNCTION("""COMPUTED_VALUE"""),44396.74390108796)</f>
        <v>44396.7439</v>
      </c>
    </row>
    <row r="3036">
      <c r="A3036" t="str">
        <f>IFERROR(__xludf.DUMMYFUNCTION("""COMPUTED_VALUE"""),"Volts_PC")</f>
        <v>Volts_PC</v>
      </c>
      <c r="B3036" t="str">
        <f>IFERROR(__xludf.DUMMYFUNCTION("""COMPUTED_VALUE"""),"Pittsburgh")</f>
        <v>Pittsburgh</v>
      </c>
      <c r="C3036" t="str">
        <f>IFERROR(__xludf.DUMMYFUNCTION("""COMPUTED_VALUE"""),"PA")</f>
        <v>PA</v>
      </c>
      <c r="D3036" t="str">
        <f>IFERROR(__xludf.DUMMYFUNCTION("""COMPUTED_VALUE"""),"USA")</f>
        <v>USA</v>
      </c>
      <c r="E3036" s="188">
        <f>IFERROR(__xludf.DUMMYFUNCTION("""COMPUTED_VALUE"""),44352.0)</f>
        <v>44352</v>
      </c>
      <c r="F3036" s="188">
        <f>IFERROR(__xludf.DUMMYFUNCTION("""COMPUTED_VALUE"""),44393.0)</f>
        <v>44393</v>
      </c>
      <c r="G3036" t="str">
        <f>IFERROR(__xludf.DUMMYFUNCTION("""COMPUTED_VALUE"""),"Manage order page (normal text)")</f>
        <v>Manage order page (normal text)</v>
      </c>
      <c r="H3036">
        <f>IFERROR(__xludf.DUMMYFUNCTION("""COMPUTED_VALUE"""),19755.0)</f>
        <v>19755</v>
      </c>
      <c r="J3036" s="188">
        <f>IFERROR(__xludf.DUMMYFUNCTION("""COMPUTED_VALUE"""),44406.0)</f>
        <v>44406</v>
      </c>
      <c r="K3036">
        <f>IFERROR(__xludf.DUMMYFUNCTION("""COMPUTED_VALUE"""),41.0)</f>
        <v>41</v>
      </c>
      <c r="L3036">
        <f>IFERROR(__xludf.DUMMYFUNCTION("""COMPUTED_VALUE"""),13.0)</f>
        <v>13</v>
      </c>
      <c r="M3036">
        <f>IFERROR(__xludf.DUMMYFUNCTION("""COMPUTED_VALUE"""),54.0)</f>
        <v>54</v>
      </c>
      <c r="N3036" t="str">
        <f>IFERROR(__xludf.DUMMYFUNCTION("""COMPUTED_VALUE"""),"Model 3 LR AWD")</f>
        <v>Model 3 LR AWD</v>
      </c>
      <c r="O3036" t="str">
        <f>IFERROR(__xludf.DUMMYFUNCTION("""COMPUTED_VALUE"""),"Deep Blue Metallic")</f>
        <v>Deep Blue Metallic</v>
      </c>
      <c r="P3036" t="str">
        <f>IFERROR(__xludf.DUMMYFUNCTION("""COMPUTED_VALUE"""),"18 inch")</f>
        <v>18 inch</v>
      </c>
      <c r="Q3036" t="str">
        <f>IFERROR(__xludf.DUMMYFUNCTION("""COMPUTED_VALUE"""),"All Black")</f>
        <v>All Black</v>
      </c>
      <c r="R3036" t="str">
        <f>IFERROR(__xludf.DUMMYFUNCTION("""COMPUTED_VALUE"""),"Autopilot included")</f>
        <v>Autopilot included</v>
      </c>
      <c r="S3036" t="str">
        <f>IFERROR(__xludf.DUMMYFUNCTION("""COMPUTED_VALUE"""),"Loan")</f>
        <v>Loan</v>
      </c>
      <c r="T3036" t="str">
        <f>IFERROR(__xludf.DUMMYFUNCTION("""COMPUTED_VALUE"""),"Model 3 will be my first car!")</f>
        <v>Model 3 will be my first car!</v>
      </c>
      <c r="U3036" t="str">
        <f>IFERROR(__xludf.DUMMYFUNCTION("""COMPUTED_VALUE"""),"Electric!")</f>
        <v>Electric!</v>
      </c>
      <c r="V3036" t="str">
        <f>IFERROR(__xludf.DUMMYFUNCTION("""COMPUTED_VALUE"""),"Ventilated seats")</f>
        <v>Ventilated seats</v>
      </c>
      <c r="X3036" t="str">
        <f>IFERROR(__xludf.DUMMYFUNCTION("""COMPUTED_VALUE"""),"Very Good")</f>
        <v>Very Good</v>
      </c>
      <c r="Y3036" t="str">
        <f>IFERROR(__xludf.DUMMYFUNCTION("""COMPUTED_VALUE"""),"Very Good")</f>
        <v>Very Good</v>
      </c>
      <c r="Z3036" t="str">
        <f>IFERROR(__xludf.DUMMYFUNCTION("""COMPUTED_VALUE"""),"Excellent")</f>
        <v>Excellent</v>
      </c>
      <c r="AA3036" t="str">
        <f>IFERROR(__xludf.DUMMYFUNCTION("""COMPUTED_VALUE"""),"Very Good")</f>
        <v>Very Good</v>
      </c>
      <c r="AB3036" t="str">
        <f>IFERROR(__xludf.DUMMYFUNCTION("""COMPUTED_VALUE"""),"Excellent")</f>
        <v>Excellent</v>
      </c>
      <c r="AC3036">
        <f>IFERROR(__xludf.DUMMYFUNCTION("""COMPUTED_VALUE"""),0.0)</f>
        <v>0</v>
      </c>
      <c r="AD3036">
        <f>IFERROR(__xludf.DUMMYFUNCTION("""COMPUTED_VALUE"""),0.0)</f>
        <v>0</v>
      </c>
      <c r="AE3036">
        <f>IFERROR(__xludf.DUMMYFUNCTION("""COMPUTED_VALUE"""),0.0)</f>
        <v>0</v>
      </c>
      <c r="AF3036" t="str">
        <f>IFERROR(__xludf.DUMMYFUNCTION("""COMPUTED_VALUE"""),"No. I took delivery of the first car Tesla was able to deliver.")</f>
        <v>No. I took delivery of the first car Tesla was able to deliver.</v>
      </c>
      <c r="AH3036" s="189">
        <f>IFERROR(__xludf.DUMMYFUNCTION("""COMPUTED_VALUE"""),44420.399507106486)</f>
        <v>44420.39951</v>
      </c>
    </row>
    <row r="3037">
      <c r="A3037" t="str">
        <f>IFERROR(__xludf.DUMMYFUNCTION("""COMPUTED_VALUE"""),"geoldr")</f>
        <v>geoldr</v>
      </c>
      <c r="B3037" t="str">
        <f>IFERROR(__xludf.DUMMYFUNCTION("""COMPUTED_VALUE"""),"Bay Area")</f>
        <v>Bay Area</v>
      </c>
      <c r="C3037" t="str">
        <f>IFERROR(__xludf.DUMMYFUNCTION("""COMPUTED_VALUE"""),"CA")</f>
        <v>CA</v>
      </c>
      <c r="D3037" t="str">
        <f>IFERROR(__xludf.DUMMYFUNCTION("""COMPUTED_VALUE"""),"USA")</f>
        <v>USA</v>
      </c>
      <c r="E3037" s="188">
        <f>IFERROR(__xludf.DUMMYFUNCTION("""COMPUTED_VALUE"""),44348.0)</f>
        <v>44348</v>
      </c>
      <c r="F3037" s="188">
        <f>IFERROR(__xludf.DUMMYFUNCTION("""COMPUTED_VALUE"""),44411.0)</f>
        <v>44411</v>
      </c>
      <c r="G3037" t="str">
        <f>IFERROR(__xludf.DUMMYFUNCTION("""COMPUTED_VALUE"""),"Manage order page (normal text)")</f>
        <v>Manage order page (normal text)</v>
      </c>
      <c r="H3037">
        <f>IFERROR(__xludf.DUMMYFUNCTION("""COMPUTED_VALUE"""),24355.0)</f>
        <v>24355</v>
      </c>
      <c r="J3037" s="188">
        <f>IFERROR(__xludf.DUMMYFUNCTION("""COMPUTED_VALUE"""),44414.0)</f>
        <v>44414</v>
      </c>
      <c r="K3037">
        <f>IFERROR(__xludf.DUMMYFUNCTION("""COMPUTED_VALUE"""),63.0)</f>
        <v>63</v>
      </c>
      <c r="L3037">
        <f>IFERROR(__xludf.DUMMYFUNCTION("""COMPUTED_VALUE"""),3.0)</f>
        <v>3</v>
      </c>
      <c r="M3037">
        <f>IFERROR(__xludf.DUMMYFUNCTION("""COMPUTED_VALUE"""),66.0)</f>
        <v>66</v>
      </c>
      <c r="N3037" t="str">
        <f>IFERROR(__xludf.DUMMYFUNCTION("""COMPUTED_VALUE"""),"Model 3 SR+")</f>
        <v>Model 3 SR+</v>
      </c>
      <c r="O3037" t="str">
        <f>IFERROR(__xludf.DUMMYFUNCTION("""COMPUTED_VALUE"""),"Pearl White Multi-Coat")</f>
        <v>Pearl White Multi-Coat</v>
      </c>
      <c r="P3037" t="str">
        <f>IFERROR(__xludf.DUMMYFUNCTION("""COMPUTED_VALUE"""),"18 inch")</f>
        <v>18 inch</v>
      </c>
      <c r="Q3037" t="str">
        <f>IFERROR(__xludf.DUMMYFUNCTION("""COMPUTED_VALUE"""),"Black and White")</f>
        <v>Black and White</v>
      </c>
      <c r="R3037" t="str">
        <f>IFERROR(__xludf.DUMMYFUNCTION("""COMPUTED_VALUE"""),"Autopilot included")</f>
        <v>Autopilot included</v>
      </c>
      <c r="S3037" t="str">
        <f>IFERROR(__xludf.DUMMYFUNCTION("""COMPUTED_VALUE"""),"Loan")</f>
        <v>Loan</v>
      </c>
      <c r="T3037" t="str">
        <f>IFERROR(__xludf.DUMMYFUNCTION("""COMPUTED_VALUE"""),"Honda Insight")</f>
        <v>Honda Insight</v>
      </c>
      <c r="U3037" t="str">
        <f>IFERROR(__xludf.DUMMYFUNCTION("""COMPUTED_VALUE"""),"Electric!")</f>
        <v>Electric!</v>
      </c>
      <c r="V3037" t="str">
        <f>IFERROR(__xludf.DUMMYFUNCTION("""COMPUTED_VALUE"""),"360° Bird's eye view")</f>
        <v>360° Bird's eye view</v>
      </c>
      <c r="W3037" t="str">
        <f>IFERROR(__xludf.DUMMYFUNCTION("""COMPUTED_VALUE"""),"Ignore the EDD")</f>
        <v>Ignore the EDD</v>
      </c>
      <c r="X3037" t="str">
        <f>IFERROR(__xludf.DUMMYFUNCTION("""COMPUTED_VALUE"""),"Excellent")</f>
        <v>Excellent</v>
      </c>
      <c r="Y3037" t="str">
        <f>IFERROR(__xludf.DUMMYFUNCTION("""COMPUTED_VALUE"""),"Excellent")</f>
        <v>Excellent</v>
      </c>
      <c r="Z3037" t="str">
        <f>IFERROR(__xludf.DUMMYFUNCTION("""COMPUTED_VALUE"""),"Excellent")</f>
        <v>Excellent</v>
      </c>
      <c r="AA3037" t="str">
        <f>IFERROR(__xludf.DUMMYFUNCTION("""COMPUTED_VALUE"""),"Poor")</f>
        <v>Poor</v>
      </c>
      <c r="AB3037" t="str">
        <f>IFERROR(__xludf.DUMMYFUNCTION("""COMPUTED_VALUE"""),"Poor")</f>
        <v>Poor</v>
      </c>
      <c r="AC3037">
        <f>IFERROR(__xludf.DUMMYFUNCTION("""COMPUTED_VALUE"""),1.0)</f>
        <v>1</v>
      </c>
      <c r="AD3037">
        <f>IFERROR(__xludf.DUMMYFUNCTION("""COMPUTED_VALUE"""),1.0)</f>
        <v>1</v>
      </c>
      <c r="AF3037" t="str">
        <f>IFERROR(__xludf.DUMMYFUNCTION("""COMPUTED_VALUE"""),"No. I took delivery of the first car Tesla was able to deliver.")</f>
        <v>No. I took delivery of the first car Tesla was able to deliver.</v>
      </c>
      <c r="AG3037" t="str">
        <f>IFERROR(__xludf.DUMMYFUNCTION("""COMPUTED_VALUE"""),"Seriously, don't stress over the EDD. ")</f>
        <v>Seriously, don't stress over the EDD. </v>
      </c>
      <c r="AH3037" s="189">
        <f>IFERROR(__xludf.DUMMYFUNCTION("""COMPUTED_VALUE"""),44414.92687681713)</f>
        <v>44414.92688</v>
      </c>
    </row>
    <row r="3038">
      <c r="A3038" t="str">
        <f>IFERROR(__xludf.DUMMYFUNCTION("""COMPUTED_VALUE"""),"Dirty")</f>
        <v>Dirty</v>
      </c>
      <c r="B3038" t="str">
        <f>IFERROR(__xludf.DUMMYFUNCTION("""COMPUTED_VALUE"""),"Georgetown")</f>
        <v>Georgetown</v>
      </c>
      <c r="C3038" t="str">
        <f>IFERROR(__xludf.DUMMYFUNCTION("""COMPUTED_VALUE"""),"KY")</f>
        <v>KY</v>
      </c>
      <c r="D3038" t="str">
        <f>IFERROR(__xludf.DUMMYFUNCTION("""COMPUTED_VALUE"""),"USA")</f>
        <v>USA</v>
      </c>
      <c r="E3038" s="188">
        <f>IFERROR(__xludf.DUMMYFUNCTION("""COMPUTED_VALUE"""),44360.0)</f>
        <v>44360</v>
      </c>
      <c r="F3038" s="188">
        <f>IFERROR(__xludf.DUMMYFUNCTION("""COMPUTED_VALUE"""),44417.0)</f>
        <v>44417</v>
      </c>
      <c r="G3038" t="str">
        <f>IFERROR(__xludf.DUMMYFUNCTION("""COMPUTED_VALUE"""),"Manage order page (normal text)")</f>
        <v>Manage order page (normal text)</v>
      </c>
      <c r="J3038" s="188">
        <f>IFERROR(__xludf.DUMMYFUNCTION("""COMPUTED_VALUE"""),44432.0)</f>
        <v>44432</v>
      </c>
      <c r="K3038">
        <f>IFERROR(__xludf.DUMMYFUNCTION("""COMPUTED_VALUE"""),57.0)</f>
        <v>57</v>
      </c>
      <c r="L3038">
        <f>IFERROR(__xludf.DUMMYFUNCTION("""COMPUTED_VALUE"""),15.0)</f>
        <v>15</v>
      </c>
      <c r="M3038">
        <f>IFERROR(__xludf.DUMMYFUNCTION("""COMPUTED_VALUE"""),72.0)</f>
        <v>72</v>
      </c>
      <c r="N3038" t="str">
        <f>IFERROR(__xludf.DUMMYFUNCTION("""COMPUTED_VALUE"""),"Model 3 LR AWD")</f>
        <v>Model 3 LR AWD</v>
      </c>
      <c r="O3038" t="str">
        <f>IFERROR(__xludf.DUMMYFUNCTION("""COMPUTED_VALUE"""),"Midnight Silver Metallic")</f>
        <v>Midnight Silver Metallic</v>
      </c>
      <c r="P3038" t="str">
        <f>IFERROR(__xludf.DUMMYFUNCTION("""COMPUTED_VALUE"""),"18 inch")</f>
        <v>18 inch</v>
      </c>
      <c r="Q3038" t="str">
        <f>IFERROR(__xludf.DUMMYFUNCTION("""COMPUTED_VALUE"""),"All Black")</f>
        <v>All Black</v>
      </c>
      <c r="R3038" t="str">
        <f>IFERROR(__xludf.DUMMYFUNCTION("""COMPUTED_VALUE"""),"Autopilot included")</f>
        <v>Autopilot included</v>
      </c>
      <c r="S3038" t="str">
        <f>IFERROR(__xludf.DUMMYFUNCTION("""COMPUTED_VALUE"""),"Loan")</f>
        <v>Loan</v>
      </c>
      <c r="T3038" t="str">
        <f>IFERROR(__xludf.DUMMYFUNCTION("""COMPUTED_VALUE"""),"Ford Mustang")</f>
        <v>Ford Mustang</v>
      </c>
      <c r="U3038" t="str">
        <f>IFERROR(__xludf.DUMMYFUNCTION("""COMPUTED_VALUE"""),"Electric!")</f>
        <v>Electric!</v>
      </c>
      <c r="AH3038" s="189">
        <f>IFERROR(__xludf.DUMMYFUNCTION("""COMPUTED_VALUE"""),44430.14330098379)</f>
        <v>44430.1433</v>
      </c>
    </row>
    <row r="3039">
      <c r="A3039" t="str">
        <f>IFERROR(__xludf.DUMMYFUNCTION("""COMPUTED_VALUE"""),"Geo")</f>
        <v>Geo</v>
      </c>
      <c r="B3039" t="str">
        <f>IFERROR(__xludf.DUMMYFUNCTION("""COMPUTED_VALUE"""),"Salt Lake City")</f>
        <v>Salt Lake City</v>
      </c>
      <c r="C3039" t="str">
        <f>IFERROR(__xludf.DUMMYFUNCTION("""COMPUTED_VALUE"""),"UT")</f>
        <v>UT</v>
      </c>
      <c r="D3039" t="str">
        <f>IFERROR(__xludf.DUMMYFUNCTION("""COMPUTED_VALUE"""),"USA")</f>
        <v>USA</v>
      </c>
      <c r="E3039" s="188">
        <f>IFERROR(__xludf.DUMMYFUNCTION("""COMPUTED_VALUE"""),44355.0)</f>
        <v>44355</v>
      </c>
      <c r="F3039" s="188">
        <f>IFERROR(__xludf.DUMMYFUNCTION("""COMPUTED_VALUE"""),44364.0)</f>
        <v>44364</v>
      </c>
      <c r="G3039" t="str">
        <f>IFERROR(__xludf.DUMMYFUNCTION("""COMPUTED_VALUE"""),"Email")</f>
        <v>Email</v>
      </c>
      <c r="H3039">
        <f>IFERROR(__xludf.DUMMYFUNCTION("""COMPUTED_VALUE"""),997955.0)</f>
        <v>997955</v>
      </c>
      <c r="J3039" s="188">
        <f>IFERROR(__xludf.DUMMYFUNCTION("""COMPUTED_VALUE"""),44387.0)</f>
        <v>44387</v>
      </c>
      <c r="K3039">
        <f>IFERROR(__xludf.DUMMYFUNCTION("""COMPUTED_VALUE"""),9.0)</f>
        <v>9</v>
      </c>
      <c r="L3039">
        <f>IFERROR(__xludf.DUMMYFUNCTION("""COMPUTED_VALUE"""),23.0)</f>
        <v>23</v>
      </c>
      <c r="M3039">
        <f>IFERROR(__xludf.DUMMYFUNCTION("""COMPUTED_VALUE"""),32.0)</f>
        <v>32</v>
      </c>
      <c r="N3039" t="str">
        <f>IFERROR(__xludf.DUMMYFUNCTION("""COMPUTED_VALUE"""),"Model 3 LR AWD")</f>
        <v>Model 3 LR AWD</v>
      </c>
      <c r="O3039" t="str">
        <f>IFERROR(__xludf.DUMMYFUNCTION("""COMPUTED_VALUE"""),"Midnight Silver Metallic")</f>
        <v>Midnight Silver Metallic</v>
      </c>
      <c r="P3039" t="str">
        <f>IFERROR(__xludf.DUMMYFUNCTION("""COMPUTED_VALUE"""),"18 inch")</f>
        <v>18 inch</v>
      </c>
      <c r="Q3039" t="str">
        <f>IFERROR(__xludf.DUMMYFUNCTION("""COMPUTED_VALUE"""),"All Black")</f>
        <v>All Black</v>
      </c>
      <c r="R3039" t="str">
        <f>IFERROR(__xludf.DUMMYFUNCTION("""COMPUTED_VALUE"""),"Autopilot included")</f>
        <v>Autopilot included</v>
      </c>
      <c r="S3039" t="str">
        <f>IFERROR(__xludf.DUMMYFUNCTION("""COMPUTED_VALUE"""),"Loan")</f>
        <v>Loan</v>
      </c>
      <c r="T3039" t="str">
        <f>IFERROR(__xludf.DUMMYFUNCTION("""COMPUTED_VALUE"""),"Mazda CX-5")</f>
        <v>Mazda CX-5</v>
      </c>
      <c r="U3039" t="str">
        <f>IFERROR(__xludf.DUMMYFUNCTION("""COMPUTED_VALUE"""),"Electric!")</f>
        <v>Electric!</v>
      </c>
      <c r="V3039" t="str">
        <f>IFERROR(__xludf.DUMMYFUNCTION("""COMPUTED_VALUE"""),"Apple CarPlay / Android Auto / SiriusXM Radio")</f>
        <v>Apple CarPlay / Android Auto / SiriusXM Radio</v>
      </c>
      <c r="X3039" t="str">
        <f>IFERROR(__xludf.DUMMYFUNCTION("""COMPUTED_VALUE"""),"Very Good")</f>
        <v>Very Good</v>
      </c>
      <c r="Y3039" t="str">
        <f>IFERROR(__xludf.DUMMYFUNCTION("""COMPUTED_VALUE"""),"Very Good")</f>
        <v>Very Good</v>
      </c>
      <c r="Z3039" t="str">
        <f>IFERROR(__xludf.DUMMYFUNCTION("""COMPUTED_VALUE"""),"Excellent")</f>
        <v>Excellent</v>
      </c>
      <c r="AA3039" t="str">
        <f>IFERROR(__xludf.DUMMYFUNCTION("""COMPUTED_VALUE"""),"Fair")</f>
        <v>Fair</v>
      </c>
      <c r="AB3039" t="str">
        <f>IFERROR(__xludf.DUMMYFUNCTION("""COMPUTED_VALUE"""),"Fair")</f>
        <v>Fair</v>
      </c>
      <c r="AF3039" t="str">
        <f>IFERROR(__xludf.DUMMYFUNCTION("""COMPUTED_VALUE"""),"No. I took delivery of the first car Tesla was able to deliver.")</f>
        <v>No. I took delivery of the first car Tesla was able to deliver.</v>
      </c>
      <c r="AH3039" s="189">
        <f>IFERROR(__xludf.DUMMYFUNCTION("""COMPUTED_VALUE"""),44389.48965675926)</f>
        <v>44389.48966</v>
      </c>
    </row>
    <row r="3040">
      <c r="A3040" t="str">
        <f>IFERROR(__xludf.DUMMYFUNCTION("""COMPUTED_VALUE"""),"ZeroEpoch")</f>
        <v>ZeroEpoch</v>
      </c>
      <c r="B3040" t="str">
        <f>IFERROR(__xludf.DUMMYFUNCTION("""COMPUTED_VALUE"""),"Menlo Park")</f>
        <v>Menlo Park</v>
      </c>
      <c r="C3040" t="str">
        <f>IFERROR(__xludf.DUMMYFUNCTION("""COMPUTED_VALUE"""),"CA")</f>
        <v>CA</v>
      </c>
      <c r="D3040" t="str">
        <f>IFERROR(__xludf.DUMMYFUNCTION("""COMPUTED_VALUE"""),"USA")</f>
        <v>USA</v>
      </c>
      <c r="E3040" s="188">
        <f>IFERROR(__xludf.DUMMYFUNCTION("""COMPUTED_VALUE"""),44323.0)</f>
        <v>44323</v>
      </c>
      <c r="F3040" s="188">
        <f>IFERROR(__xludf.DUMMYFUNCTION("""COMPUTED_VALUE"""),44367.0)</f>
        <v>44367</v>
      </c>
      <c r="G3040" t="str">
        <f>IFERROR(__xludf.DUMMYFUNCTION("""COMPUTED_VALUE"""),"Manage order page (normal text)")</f>
        <v>Manage order page (normal text)</v>
      </c>
      <c r="H3040">
        <f>IFERROR(__xludf.DUMMYFUNCTION("""COMPUTED_VALUE"""),995308.0)</f>
        <v>995308</v>
      </c>
      <c r="I3040" t="str">
        <f>IFERROR(__xludf.DUMMYFUNCTION("""COMPUTED_VALUE"""),"06/21")</f>
        <v>06/21</v>
      </c>
      <c r="J3040" s="188">
        <f>IFERROR(__xludf.DUMMYFUNCTION("""COMPUTED_VALUE"""),44368.0)</f>
        <v>44368</v>
      </c>
      <c r="K3040">
        <f>IFERROR(__xludf.DUMMYFUNCTION("""COMPUTED_VALUE"""),44.0)</f>
        <v>44</v>
      </c>
      <c r="L3040">
        <f>IFERROR(__xludf.DUMMYFUNCTION("""COMPUTED_VALUE"""),1.0)</f>
        <v>1</v>
      </c>
      <c r="M3040">
        <f>IFERROR(__xludf.DUMMYFUNCTION("""COMPUTED_VALUE"""),45.0)</f>
        <v>45</v>
      </c>
      <c r="N3040" t="str">
        <f>IFERROR(__xludf.DUMMYFUNCTION("""COMPUTED_VALUE"""),"Model 3 LR AWD")</f>
        <v>Model 3 LR AWD</v>
      </c>
      <c r="O3040" t="str">
        <f>IFERROR(__xludf.DUMMYFUNCTION("""COMPUTED_VALUE"""),"Midnight Silver Metallic")</f>
        <v>Midnight Silver Metallic</v>
      </c>
      <c r="P3040" t="str">
        <f>IFERROR(__xludf.DUMMYFUNCTION("""COMPUTED_VALUE"""),"18 inch")</f>
        <v>18 inch</v>
      </c>
      <c r="Q3040" t="str">
        <f>IFERROR(__xludf.DUMMYFUNCTION("""COMPUTED_VALUE"""),"All Black")</f>
        <v>All Black</v>
      </c>
      <c r="R3040" t="str">
        <f>IFERROR(__xludf.DUMMYFUNCTION("""COMPUTED_VALUE"""),"Autopilot included")</f>
        <v>Autopilot included</v>
      </c>
      <c r="S3040" t="str">
        <f>IFERROR(__xludf.DUMMYFUNCTION("""COMPUTED_VALUE"""),"Cash")</f>
        <v>Cash</v>
      </c>
      <c r="U3040" t="str">
        <f>IFERROR(__xludf.DUMMYFUNCTION("""COMPUTED_VALUE"""),"Electric!")</f>
        <v>Electric!</v>
      </c>
      <c r="V3040" t="str">
        <f>IFERROR(__xludf.DUMMYFUNCTION("""COMPUTED_VALUE"""),"Apple CarPlay / Android Auto / SiriusXM Radio")</f>
        <v>Apple CarPlay / Android Auto / SiriusXM Radio</v>
      </c>
      <c r="X3040" t="str">
        <f>IFERROR(__xludf.DUMMYFUNCTION("""COMPUTED_VALUE"""),"Excellent")</f>
        <v>Excellent</v>
      </c>
      <c r="Y3040" t="str">
        <f>IFERROR(__xludf.DUMMYFUNCTION("""COMPUTED_VALUE"""),"Excellent")</f>
        <v>Excellent</v>
      </c>
      <c r="Z3040" t="str">
        <f>IFERROR(__xludf.DUMMYFUNCTION("""COMPUTED_VALUE"""),"Excellent")</f>
        <v>Excellent</v>
      </c>
      <c r="AA3040" t="str">
        <f>IFERROR(__xludf.DUMMYFUNCTION("""COMPUTED_VALUE"""),"Poor")</f>
        <v>Poor</v>
      </c>
      <c r="AB3040" t="str">
        <f>IFERROR(__xludf.DUMMYFUNCTION("""COMPUTED_VALUE"""),"Very Good")</f>
        <v>Very Good</v>
      </c>
      <c r="AC3040">
        <f>IFERROR(__xludf.DUMMYFUNCTION("""COMPUTED_VALUE"""),1.0)</f>
        <v>1</v>
      </c>
      <c r="AD3040">
        <f>IFERROR(__xludf.DUMMYFUNCTION("""COMPUTED_VALUE"""),1.0)</f>
        <v>1</v>
      </c>
      <c r="AE3040">
        <f>IFERROR(__xludf.DUMMYFUNCTION("""COMPUTED_VALUE"""),0.0)</f>
        <v>0</v>
      </c>
      <c r="AF3040" t="str">
        <f>IFERROR(__xludf.DUMMYFUNCTION("""COMPUTED_VALUE"""),"No. I took delivery of the first car Tesla was able to deliver.")</f>
        <v>No. I took delivery of the first car Tesla was able to deliver.</v>
      </c>
      <c r="AH3040" s="189">
        <f>IFERROR(__xludf.DUMMYFUNCTION("""COMPUTED_VALUE"""),44370.76215199074)</f>
        <v>44370.76215</v>
      </c>
    </row>
    <row r="3041">
      <c r="A3041" t="str">
        <f>IFERROR(__xludf.DUMMYFUNCTION("""COMPUTED_VALUE"""),"KelseyLe")</f>
        <v>KelseyLe</v>
      </c>
      <c r="B3041" t="str">
        <f>IFERROR(__xludf.DUMMYFUNCTION("""COMPUTED_VALUE"""),"Salt Lake City")</f>
        <v>Salt Lake City</v>
      </c>
      <c r="C3041" t="str">
        <f>IFERROR(__xludf.DUMMYFUNCTION("""COMPUTED_VALUE"""),"UT")</f>
        <v>UT</v>
      </c>
      <c r="D3041" t="str">
        <f>IFERROR(__xludf.DUMMYFUNCTION("""COMPUTED_VALUE"""),"USA")</f>
        <v>USA</v>
      </c>
      <c r="E3041" s="188">
        <f>IFERROR(__xludf.DUMMYFUNCTION("""COMPUTED_VALUE"""),44354.0)</f>
        <v>44354</v>
      </c>
      <c r="F3041" s="188">
        <f>IFERROR(__xludf.DUMMYFUNCTION("""COMPUTED_VALUE"""),44393.0)</f>
        <v>44393</v>
      </c>
      <c r="G3041" t="str">
        <f>IFERROR(__xludf.DUMMYFUNCTION("""COMPUTED_VALUE"""),"Email")</f>
        <v>Email</v>
      </c>
      <c r="H3041">
        <f>IFERROR(__xludf.DUMMYFUNCTION("""COMPUTED_VALUE"""),19580.0)</f>
        <v>19580</v>
      </c>
      <c r="J3041" s="188">
        <f>IFERROR(__xludf.DUMMYFUNCTION("""COMPUTED_VALUE"""),44398.0)</f>
        <v>44398</v>
      </c>
      <c r="K3041">
        <f>IFERROR(__xludf.DUMMYFUNCTION("""COMPUTED_VALUE"""),39.0)</f>
        <v>39</v>
      </c>
      <c r="L3041">
        <f>IFERROR(__xludf.DUMMYFUNCTION("""COMPUTED_VALUE"""),5.0)</f>
        <v>5</v>
      </c>
      <c r="M3041">
        <f>IFERROR(__xludf.DUMMYFUNCTION("""COMPUTED_VALUE"""),44.0)</f>
        <v>44</v>
      </c>
      <c r="N3041" t="str">
        <f>IFERROR(__xludf.DUMMYFUNCTION("""COMPUTED_VALUE"""),"Model 3 LR AWD")</f>
        <v>Model 3 LR AWD</v>
      </c>
      <c r="O3041" t="str">
        <f>IFERROR(__xludf.DUMMYFUNCTION("""COMPUTED_VALUE"""),"Pearl White Multi-Coat")</f>
        <v>Pearl White Multi-Coat</v>
      </c>
      <c r="P3041" t="str">
        <f>IFERROR(__xludf.DUMMYFUNCTION("""COMPUTED_VALUE"""),"18 inch")</f>
        <v>18 inch</v>
      </c>
      <c r="Q3041" t="str">
        <f>IFERROR(__xludf.DUMMYFUNCTION("""COMPUTED_VALUE"""),"All Black")</f>
        <v>All Black</v>
      </c>
      <c r="R3041" t="str">
        <f>IFERROR(__xludf.DUMMYFUNCTION("""COMPUTED_VALUE"""),"Autopilot included")</f>
        <v>Autopilot included</v>
      </c>
      <c r="S3041" t="str">
        <f>IFERROR(__xludf.DUMMYFUNCTION("""COMPUTED_VALUE"""),"Loan")</f>
        <v>Loan</v>
      </c>
      <c r="U3041" t="str">
        <f>IFERROR(__xludf.DUMMYFUNCTION("""COMPUTED_VALUE"""),"Tesla brand image")</f>
        <v>Tesla brand image</v>
      </c>
      <c r="AH3041" s="189">
        <f>IFERROR(__xludf.DUMMYFUNCTION("""COMPUTED_VALUE"""),44394.27630053241)</f>
        <v>44394.2763</v>
      </c>
    </row>
    <row r="3042">
      <c r="A3042" t="str">
        <f>IFERROR(__xludf.DUMMYFUNCTION("""COMPUTED_VALUE"""),"golfncpa")</f>
        <v>golfncpa</v>
      </c>
      <c r="B3042" t="str">
        <f>IFERROR(__xludf.DUMMYFUNCTION("""COMPUTED_VALUE"""),"Northridge")</f>
        <v>Northridge</v>
      </c>
      <c r="C3042" t="str">
        <f>IFERROR(__xludf.DUMMYFUNCTION("""COMPUTED_VALUE"""),"CA")</f>
        <v>CA</v>
      </c>
      <c r="D3042" t="str">
        <f>IFERROR(__xludf.DUMMYFUNCTION("""COMPUTED_VALUE"""),"USA")</f>
        <v>USA</v>
      </c>
      <c r="E3042" s="188">
        <f>IFERROR(__xludf.DUMMYFUNCTION("""COMPUTED_VALUE"""),44352.0)</f>
        <v>44352</v>
      </c>
      <c r="F3042" s="188">
        <f>IFERROR(__xludf.DUMMYFUNCTION("""COMPUTED_VALUE"""),44395.0)</f>
        <v>44395</v>
      </c>
      <c r="G3042" t="str">
        <f>IFERROR(__xludf.DUMMYFUNCTION("""COMPUTED_VALUE"""),"Manage order page (normal text)")</f>
        <v>Manage order page (normal text)</v>
      </c>
      <c r="H3042">
        <f>IFERROR(__xludf.DUMMYFUNCTION("""COMPUTED_VALUE"""),16355.0)</f>
        <v>16355</v>
      </c>
      <c r="J3042" s="188">
        <f>IFERROR(__xludf.DUMMYFUNCTION("""COMPUTED_VALUE"""),44400.0)</f>
        <v>44400</v>
      </c>
      <c r="K3042">
        <f>IFERROR(__xludf.DUMMYFUNCTION("""COMPUTED_VALUE"""),43.0)</f>
        <v>43</v>
      </c>
      <c r="L3042">
        <f>IFERROR(__xludf.DUMMYFUNCTION("""COMPUTED_VALUE"""),5.0)</f>
        <v>5</v>
      </c>
      <c r="M3042">
        <f>IFERROR(__xludf.DUMMYFUNCTION("""COMPUTED_VALUE"""),48.0)</f>
        <v>48</v>
      </c>
      <c r="N3042" t="str">
        <f>IFERROR(__xludf.DUMMYFUNCTION("""COMPUTED_VALUE"""),"Model 3 SR+")</f>
        <v>Model 3 SR+</v>
      </c>
      <c r="O3042" t="str">
        <f>IFERROR(__xludf.DUMMYFUNCTION("""COMPUTED_VALUE"""),"Pearl White Multi-Coat")</f>
        <v>Pearl White Multi-Coat</v>
      </c>
      <c r="P3042" t="str">
        <f>IFERROR(__xludf.DUMMYFUNCTION("""COMPUTED_VALUE"""),"18 inch")</f>
        <v>18 inch</v>
      </c>
      <c r="Q3042" t="str">
        <f>IFERROR(__xludf.DUMMYFUNCTION("""COMPUTED_VALUE"""),"All Black")</f>
        <v>All Black</v>
      </c>
      <c r="R3042" t="str">
        <f>IFERROR(__xludf.DUMMYFUNCTION("""COMPUTED_VALUE"""),"Autopilot included")</f>
        <v>Autopilot included</v>
      </c>
      <c r="S3042" t="str">
        <f>IFERROR(__xludf.DUMMYFUNCTION("""COMPUTED_VALUE"""),"Lease")</f>
        <v>Lease</v>
      </c>
      <c r="T3042" t="str">
        <f>IFERROR(__xludf.DUMMYFUNCTION("""COMPUTED_VALUE"""),"Audi A6")</f>
        <v>Audi A6</v>
      </c>
      <c r="U3042" t="str">
        <f>IFERROR(__xludf.DUMMYFUNCTION("""COMPUTED_VALUE"""),"Electric!")</f>
        <v>Electric!</v>
      </c>
      <c r="V3042" t="str">
        <f>IFERROR(__xludf.DUMMYFUNCTION("""COMPUTED_VALUE"""),"HomeLink")</f>
        <v>HomeLink</v>
      </c>
      <c r="AH3042" s="189">
        <f>IFERROR(__xludf.DUMMYFUNCTION("""COMPUTED_VALUE"""),44396.713036851856)</f>
        <v>44396.71304</v>
      </c>
    </row>
    <row r="3043">
      <c r="A3043" t="str">
        <f>IFERROR(__xludf.DUMMYFUNCTION("""COMPUTED_VALUE"""),"pulsetn")</f>
        <v>pulsetn</v>
      </c>
      <c r="B3043" t="str">
        <f>IFERROR(__xludf.DUMMYFUNCTION("""COMPUTED_VALUE"""),"Nashville")</f>
        <v>Nashville</v>
      </c>
      <c r="C3043" t="str">
        <f>IFERROR(__xludf.DUMMYFUNCTION("""COMPUTED_VALUE"""),"TN")</f>
        <v>TN</v>
      </c>
      <c r="D3043" t="str">
        <f>IFERROR(__xludf.DUMMYFUNCTION("""COMPUTED_VALUE"""),"USA")</f>
        <v>USA</v>
      </c>
      <c r="E3043" s="188">
        <f>IFERROR(__xludf.DUMMYFUNCTION("""COMPUTED_VALUE"""),44367.0)</f>
        <v>44367</v>
      </c>
      <c r="F3043" s="188">
        <f>IFERROR(__xludf.DUMMYFUNCTION("""COMPUTED_VALUE"""),44373.0)</f>
        <v>44373</v>
      </c>
      <c r="G3043" t="str">
        <f>IFERROR(__xludf.DUMMYFUNCTION("""COMPUTED_VALUE"""),"Phone call")</f>
        <v>Phone call</v>
      </c>
      <c r="H3043">
        <f>IFERROR(__xludf.DUMMYFUNCTION("""COMPUTED_VALUE"""),992355.0)</f>
        <v>992355</v>
      </c>
      <c r="I3043" t="str">
        <f>IFERROR(__xludf.DUMMYFUNCTION("""COMPUTED_VALUE"""),"06/21")</f>
        <v>06/21</v>
      </c>
      <c r="J3043" s="188">
        <f>IFERROR(__xludf.DUMMYFUNCTION("""COMPUTED_VALUE"""),44375.0)</f>
        <v>44375</v>
      </c>
      <c r="K3043">
        <f>IFERROR(__xludf.DUMMYFUNCTION("""COMPUTED_VALUE"""),6.0)</f>
        <v>6</v>
      </c>
      <c r="L3043">
        <f>IFERROR(__xludf.DUMMYFUNCTION("""COMPUTED_VALUE"""),2.0)</f>
        <v>2</v>
      </c>
      <c r="M3043">
        <f>IFERROR(__xludf.DUMMYFUNCTION("""COMPUTED_VALUE"""),8.0)</f>
        <v>8</v>
      </c>
      <c r="N3043" t="str">
        <f>IFERROR(__xludf.DUMMYFUNCTION("""COMPUTED_VALUE"""),"Model 3 Performance")</f>
        <v>Model 3 Performance</v>
      </c>
      <c r="O3043" t="str">
        <f>IFERROR(__xludf.DUMMYFUNCTION("""COMPUTED_VALUE"""),"Solid Black")</f>
        <v>Solid Black</v>
      </c>
      <c r="P3043" t="str">
        <f>IFERROR(__xludf.DUMMYFUNCTION("""COMPUTED_VALUE"""),"20 inch")</f>
        <v>20 inch</v>
      </c>
      <c r="Q3043" t="str">
        <f>IFERROR(__xludf.DUMMYFUNCTION("""COMPUTED_VALUE"""),"All Black")</f>
        <v>All Black</v>
      </c>
      <c r="R3043" t="str">
        <f>IFERROR(__xludf.DUMMYFUNCTION("""COMPUTED_VALUE"""),"Full Self-Driving")</f>
        <v>Full Self-Driving</v>
      </c>
      <c r="S3043" t="str">
        <f>IFERROR(__xludf.DUMMYFUNCTION("""COMPUTED_VALUE"""),"Cash")</f>
        <v>Cash</v>
      </c>
      <c r="T3043" t="str">
        <f>IFERROR(__xludf.DUMMYFUNCTION("""COMPUTED_VALUE"""),"Honda Civic")</f>
        <v>Honda Civic</v>
      </c>
      <c r="U3043" t="str">
        <f>IFERROR(__xludf.DUMMYFUNCTION("""COMPUTED_VALUE"""),"Electric!")</f>
        <v>Electric!</v>
      </c>
      <c r="V3043" t="str">
        <f>IFERROR(__xludf.DUMMYFUNCTION("""COMPUTED_VALUE"""),"Head-up display")</f>
        <v>Head-up display</v>
      </c>
      <c r="X3043" t="str">
        <f>IFERROR(__xludf.DUMMYFUNCTION("""COMPUTED_VALUE"""),"Very Good")</f>
        <v>Very Good</v>
      </c>
      <c r="Y3043" t="str">
        <f>IFERROR(__xludf.DUMMYFUNCTION("""COMPUTED_VALUE"""),"Very Good")</f>
        <v>Very Good</v>
      </c>
      <c r="Z3043" t="str">
        <f>IFERROR(__xludf.DUMMYFUNCTION("""COMPUTED_VALUE"""),"Excellent")</f>
        <v>Excellent</v>
      </c>
      <c r="AA3043" t="str">
        <f>IFERROR(__xludf.DUMMYFUNCTION("""COMPUTED_VALUE"""),"Very Good")</f>
        <v>Very Good</v>
      </c>
      <c r="AB3043" t="str">
        <f>IFERROR(__xludf.DUMMYFUNCTION("""COMPUTED_VALUE"""),"Excellent")</f>
        <v>Excellent</v>
      </c>
      <c r="AF3043" t="str">
        <f>IFERROR(__xludf.DUMMYFUNCTION("""COMPUTED_VALUE"""),"No. I took delivery of the first car Tesla was able to deliver.")</f>
        <v>No. I took delivery of the first car Tesla was able to deliver.</v>
      </c>
      <c r="AH3043" s="189">
        <f>IFERROR(__xludf.DUMMYFUNCTION("""COMPUTED_VALUE"""),44376.30464982639)</f>
        <v>44376.30465</v>
      </c>
    </row>
    <row r="3044">
      <c r="A3044" t="str">
        <f>IFERROR(__xludf.DUMMYFUNCTION("""COMPUTED_VALUE"""),"ajw1293")</f>
        <v>ajw1293</v>
      </c>
      <c r="B3044" t="str">
        <f>IFERROR(__xludf.DUMMYFUNCTION("""COMPUTED_VALUE"""),"Forney")</f>
        <v>Forney</v>
      </c>
      <c r="C3044" t="str">
        <f>IFERROR(__xludf.DUMMYFUNCTION("""COMPUTED_VALUE"""),"TX")</f>
        <v>TX</v>
      </c>
      <c r="D3044" t="str">
        <f>IFERROR(__xludf.DUMMYFUNCTION("""COMPUTED_VALUE"""),"USA")</f>
        <v>USA</v>
      </c>
      <c r="E3044" s="188">
        <f>IFERROR(__xludf.DUMMYFUNCTION("""COMPUTED_VALUE"""),44362.0)</f>
        <v>44362</v>
      </c>
      <c r="G3044" t="str">
        <f>IFERROR(__xludf.DUMMYFUNCTION("""COMPUTED_VALUE"""),"Manage order page (normal text)")</f>
        <v>Manage order page (normal text)</v>
      </c>
      <c r="H3044">
        <f>IFERROR(__xludf.DUMMYFUNCTION("""COMPUTED_VALUE"""),35555.0)</f>
        <v>35555</v>
      </c>
      <c r="N3044" t="str">
        <f>IFERROR(__xludf.DUMMYFUNCTION("""COMPUTED_VALUE"""),"Model 3 Performance")</f>
        <v>Model 3 Performance</v>
      </c>
      <c r="O3044" t="str">
        <f>IFERROR(__xludf.DUMMYFUNCTION("""COMPUTED_VALUE"""),"Pearl White Multi-Coat")</f>
        <v>Pearl White Multi-Coat</v>
      </c>
      <c r="P3044" t="str">
        <f>IFERROR(__xludf.DUMMYFUNCTION("""COMPUTED_VALUE"""),"20 inch")</f>
        <v>20 inch</v>
      </c>
      <c r="Q3044" t="str">
        <f>IFERROR(__xludf.DUMMYFUNCTION("""COMPUTED_VALUE"""),"Black and White")</f>
        <v>Black and White</v>
      </c>
      <c r="R3044" t="str">
        <f>IFERROR(__xludf.DUMMYFUNCTION("""COMPUTED_VALUE"""),"Autopilot included")</f>
        <v>Autopilot included</v>
      </c>
      <c r="S3044" t="str">
        <f>IFERROR(__xludf.DUMMYFUNCTION("""COMPUTED_VALUE"""),"Loan")</f>
        <v>Loan</v>
      </c>
      <c r="T3044" t="str">
        <f>IFERROR(__xludf.DUMMYFUNCTION("""COMPUTED_VALUE"""),"Hyundai Genesis Coupe")</f>
        <v>Hyundai Genesis Coupe</v>
      </c>
      <c r="U3044" t="str">
        <f>IFERROR(__xludf.DUMMYFUNCTION("""COMPUTED_VALUE"""),"Electric!")</f>
        <v>Electric!</v>
      </c>
      <c r="V3044" t="str">
        <f>IFERROR(__xludf.DUMMYFUNCTION("""COMPUTED_VALUE"""),"Head-up display")</f>
        <v>Head-up display</v>
      </c>
      <c r="AH3044" s="189">
        <f>IFERROR(__xludf.DUMMYFUNCTION("""COMPUTED_VALUE"""),44425.278280983795)</f>
        <v>44425.27828</v>
      </c>
    </row>
    <row r="3045">
      <c r="A3045" t="str">
        <f>IFERROR(__xludf.DUMMYFUNCTION("""COMPUTED_VALUE"""),"No_Inspection_2096")</f>
        <v>No_Inspection_2096</v>
      </c>
      <c r="B3045" t="str">
        <f>IFERROR(__xludf.DUMMYFUNCTION("""COMPUTED_VALUE"""),"San Jose")</f>
        <v>San Jose</v>
      </c>
      <c r="C3045" t="str">
        <f>IFERROR(__xludf.DUMMYFUNCTION("""COMPUTED_VALUE"""),"CA")</f>
        <v>CA</v>
      </c>
      <c r="D3045" t="str">
        <f>IFERROR(__xludf.DUMMYFUNCTION("""COMPUTED_VALUE"""),"USA")</f>
        <v>USA</v>
      </c>
      <c r="E3045" s="188">
        <f>IFERROR(__xludf.DUMMYFUNCTION("""COMPUTED_VALUE"""),44358.0)</f>
        <v>44358</v>
      </c>
      <c r="F3045" s="188">
        <f>IFERROR(__xludf.DUMMYFUNCTION("""COMPUTED_VALUE"""),44411.0)</f>
        <v>44411</v>
      </c>
      <c r="G3045" t="str">
        <f>IFERROR(__xludf.DUMMYFUNCTION("""COMPUTED_VALUE"""),"Manage order page (normal text)")</f>
        <v>Manage order page (normal text)</v>
      </c>
      <c r="J3045" s="188">
        <f>IFERROR(__xludf.DUMMYFUNCTION("""COMPUTED_VALUE"""),44413.0)</f>
        <v>44413</v>
      </c>
      <c r="K3045">
        <f>IFERROR(__xludf.DUMMYFUNCTION("""COMPUTED_VALUE"""),53.0)</f>
        <v>53</v>
      </c>
      <c r="L3045">
        <f>IFERROR(__xludf.DUMMYFUNCTION("""COMPUTED_VALUE"""),2.0)</f>
        <v>2</v>
      </c>
      <c r="M3045">
        <f>IFERROR(__xludf.DUMMYFUNCTION("""COMPUTED_VALUE"""),55.0)</f>
        <v>55</v>
      </c>
      <c r="N3045" t="str">
        <f>IFERROR(__xludf.DUMMYFUNCTION("""COMPUTED_VALUE"""),"Model 3 SR+")</f>
        <v>Model 3 SR+</v>
      </c>
      <c r="O3045" t="str">
        <f>IFERROR(__xludf.DUMMYFUNCTION("""COMPUTED_VALUE"""),"Midnight Silver Metallic")</f>
        <v>Midnight Silver Metallic</v>
      </c>
      <c r="P3045" t="str">
        <f>IFERROR(__xludf.DUMMYFUNCTION("""COMPUTED_VALUE"""),"18 inch")</f>
        <v>18 inch</v>
      </c>
      <c r="Q3045" t="str">
        <f>IFERROR(__xludf.DUMMYFUNCTION("""COMPUTED_VALUE"""),"All Black")</f>
        <v>All Black</v>
      </c>
      <c r="R3045" t="str">
        <f>IFERROR(__xludf.DUMMYFUNCTION("""COMPUTED_VALUE"""),"Autopilot included")</f>
        <v>Autopilot included</v>
      </c>
      <c r="S3045" t="str">
        <f>IFERROR(__xludf.DUMMYFUNCTION("""COMPUTED_VALUE"""),"Loan")</f>
        <v>Loan</v>
      </c>
      <c r="U3045" t="str">
        <f>IFERROR(__xludf.DUMMYFUNCTION("""COMPUTED_VALUE"""),"Electric!")</f>
        <v>Electric!</v>
      </c>
      <c r="V3045" t="str">
        <f>IFERROR(__xludf.DUMMYFUNCTION("""COMPUTED_VALUE"""),"Apple CarPlay / Android Auto / SiriusXM Radio")</f>
        <v>Apple CarPlay / Android Auto / SiriusXM Radio</v>
      </c>
      <c r="AH3045" s="189">
        <f>IFERROR(__xludf.DUMMYFUNCTION("""COMPUTED_VALUE"""),44412.55792171296)</f>
        <v>44412.55792</v>
      </c>
    </row>
    <row r="3046">
      <c r="A3046" t="str">
        <f>IFERROR(__xludf.DUMMYFUNCTION("""COMPUTED_VALUE"""),"SilverMccormi")</f>
        <v>SilverMccormi</v>
      </c>
      <c r="B3046" t="str">
        <f>IFERROR(__xludf.DUMMYFUNCTION("""COMPUTED_VALUE"""),"Knoxville")</f>
        <v>Knoxville</v>
      </c>
      <c r="C3046" t="str">
        <f>IFERROR(__xludf.DUMMYFUNCTION("""COMPUTED_VALUE"""),"TN")</f>
        <v>TN</v>
      </c>
      <c r="D3046" t="str">
        <f>IFERROR(__xludf.DUMMYFUNCTION("""COMPUTED_VALUE"""),"USA")</f>
        <v>USA</v>
      </c>
      <c r="E3046" s="188">
        <f>IFERROR(__xludf.DUMMYFUNCTION("""COMPUTED_VALUE"""),44362.0)</f>
        <v>44362</v>
      </c>
      <c r="F3046" s="188">
        <f>IFERROR(__xludf.DUMMYFUNCTION("""COMPUTED_VALUE"""),44421.0)</f>
        <v>44421</v>
      </c>
      <c r="G3046" t="str">
        <f>IFERROR(__xludf.DUMMYFUNCTION("""COMPUTED_VALUE"""),"Manage order page (normal text)")</f>
        <v>Manage order page (normal text)</v>
      </c>
      <c r="H3046">
        <f>IFERROR(__xludf.DUMMYFUNCTION("""COMPUTED_VALUE"""),34212.0)</f>
        <v>34212</v>
      </c>
      <c r="J3046" s="188">
        <f>IFERROR(__xludf.DUMMYFUNCTION("""COMPUTED_VALUE"""),44436.0)</f>
        <v>44436</v>
      </c>
      <c r="K3046">
        <f>IFERROR(__xludf.DUMMYFUNCTION("""COMPUTED_VALUE"""),59.0)</f>
        <v>59</v>
      </c>
      <c r="L3046">
        <f>IFERROR(__xludf.DUMMYFUNCTION("""COMPUTED_VALUE"""),15.0)</f>
        <v>15</v>
      </c>
      <c r="M3046">
        <f>IFERROR(__xludf.DUMMYFUNCTION("""COMPUTED_VALUE"""),74.0)</f>
        <v>74</v>
      </c>
      <c r="N3046" t="str">
        <f>IFERROR(__xludf.DUMMYFUNCTION("""COMPUTED_VALUE"""),"Model 3 LR AWD")</f>
        <v>Model 3 LR AWD</v>
      </c>
      <c r="O3046" t="str">
        <f>IFERROR(__xludf.DUMMYFUNCTION("""COMPUTED_VALUE"""),"Midnight Silver Metallic")</f>
        <v>Midnight Silver Metallic</v>
      </c>
      <c r="P3046" t="str">
        <f>IFERROR(__xludf.DUMMYFUNCTION("""COMPUTED_VALUE"""),"18 inch")</f>
        <v>18 inch</v>
      </c>
      <c r="Q3046" t="str">
        <f>IFERROR(__xludf.DUMMYFUNCTION("""COMPUTED_VALUE"""),"Black and White")</f>
        <v>Black and White</v>
      </c>
      <c r="R3046" t="str">
        <f>IFERROR(__xludf.DUMMYFUNCTION("""COMPUTED_VALUE"""),"Autopilot included")</f>
        <v>Autopilot included</v>
      </c>
      <c r="S3046" t="str">
        <f>IFERROR(__xludf.DUMMYFUNCTION("""COMPUTED_VALUE"""),"Loan")</f>
        <v>Loan</v>
      </c>
      <c r="T3046" t="str">
        <f>IFERROR(__xludf.DUMMYFUNCTION("""COMPUTED_VALUE"""),"Mercedes R350")</f>
        <v>Mercedes R350</v>
      </c>
      <c r="U3046" t="str">
        <f>IFERROR(__xludf.DUMMYFUNCTION("""COMPUTED_VALUE"""),"Electric!")</f>
        <v>Electric!</v>
      </c>
      <c r="V3046" t="str">
        <f>IFERROR(__xludf.DUMMYFUNCTION("""COMPUTED_VALUE"""),"Head-up display")</f>
        <v>Head-up display</v>
      </c>
      <c r="W3046" t="str">
        <f>IFERROR(__xludf.DUMMYFUNCTION("""COMPUTED_VALUE"""),"Original delivery estimate is ver close, ignore EDD unless it is &gt;10 days, than still wrong, but you are close")</f>
        <v>Original delivery estimate is ver close, ignore EDD unless it is &gt;10 days, than still wrong, but you are close</v>
      </c>
      <c r="X3046" t="str">
        <f>IFERROR(__xludf.DUMMYFUNCTION("""COMPUTED_VALUE"""),"Excellent")</f>
        <v>Excellent</v>
      </c>
      <c r="Y3046" t="str">
        <f>IFERROR(__xludf.DUMMYFUNCTION("""COMPUTED_VALUE"""),"Excellent")</f>
        <v>Excellent</v>
      </c>
      <c r="Z3046" t="str">
        <f>IFERROR(__xludf.DUMMYFUNCTION("""COMPUTED_VALUE"""),"Very Good")</f>
        <v>Very Good</v>
      </c>
      <c r="AA3046" t="str">
        <f>IFERROR(__xludf.DUMMYFUNCTION("""COMPUTED_VALUE"""),"Excellent")</f>
        <v>Excellent</v>
      </c>
      <c r="AB3046" t="str">
        <f>IFERROR(__xludf.DUMMYFUNCTION("""COMPUTED_VALUE"""),"Excellent")</f>
        <v>Excellent</v>
      </c>
      <c r="AC3046">
        <f>IFERROR(__xludf.DUMMYFUNCTION("""COMPUTED_VALUE"""),2.0)</f>
        <v>2</v>
      </c>
      <c r="AD3046">
        <f>IFERROR(__xludf.DUMMYFUNCTION("""COMPUTED_VALUE"""),1.0)</f>
        <v>1</v>
      </c>
      <c r="AE3046">
        <f>IFERROR(__xludf.DUMMYFUNCTION("""COMPUTED_VALUE"""),0.0)</f>
        <v>0</v>
      </c>
      <c r="AF3046" t="str">
        <f>IFERROR(__xludf.DUMMYFUNCTION("""COMPUTED_VALUE"""),"No. I took delivery of the first car Tesla was able to deliver.")</f>
        <v>No. I took delivery of the first car Tesla was able to deliver.</v>
      </c>
      <c r="AH3046" s="189">
        <f>IFERROR(__xludf.DUMMYFUNCTION("""COMPUTED_VALUE"""),44441.14037616898)</f>
        <v>44441.14038</v>
      </c>
    </row>
    <row r="3047">
      <c r="A3047" t="str">
        <f>IFERROR(__xludf.DUMMYFUNCTION("""COMPUTED_VALUE"""),"Joffer")</f>
        <v>Joffer</v>
      </c>
      <c r="B3047" t="str">
        <f>IFERROR(__xludf.DUMMYFUNCTION("""COMPUTED_VALUE"""),"Fort Lauderdale")</f>
        <v>Fort Lauderdale</v>
      </c>
      <c r="C3047" t="str">
        <f>IFERROR(__xludf.DUMMYFUNCTION("""COMPUTED_VALUE"""),"FL")</f>
        <v>FL</v>
      </c>
      <c r="D3047" t="str">
        <f>IFERROR(__xludf.DUMMYFUNCTION("""COMPUTED_VALUE"""),"USA")</f>
        <v>USA</v>
      </c>
      <c r="E3047" s="188">
        <f>IFERROR(__xludf.DUMMYFUNCTION("""COMPUTED_VALUE"""),44354.0)</f>
        <v>44354</v>
      </c>
      <c r="F3047" s="188">
        <f>IFERROR(__xludf.DUMMYFUNCTION("""COMPUTED_VALUE"""),44393.0)</f>
        <v>44393</v>
      </c>
      <c r="G3047" t="str">
        <f>IFERROR(__xludf.DUMMYFUNCTION("""COMPUTED_VALUE"""),"Existing Inventory")</f>
        <v>Existing Inventory</v>
      </c>
      <c r="H3047">
        <f>IFERROR(__xludf.DUMMYFUNCTION("""COMPUTED_VALUE"""),18655.0)</f>
        <v>18655</v>
      </c>
      <c r="J3047" s="188">
        <f>IFERROR(__xludf.DUMMYFUNCTION("""COMPUTED_VALUE"""),44412.0)</f>
        <v>44412</v>
      </c>
      <c r="K3047">
        <f>IFERROR(__xludf.DUMMYFUNCTION("""COMPUTED_VALUE"""),39.0)</f>
        <v>39</v>
      </c>
      <c r="L3047">
        <f>IFERROR(__xludf.DUMMYFUNCTION("""COMPUTED_VALUE"""),19.0)</f>
        <v>19</v>
      </c>
      <c r="M3047">
        <f>IFERROR(__xludf.DUMMYFUNCTION("""COMPUTED_VALUE"""),58.0)</f>
        <v>58</v>
      </c>
      <c r="N3047" t="str">
        <f>IFERROR(__xludf.DUMMYFUNCTION("""COMPUTED_VALUE"""),"Model 3 SR+")</f>
        <v>Model 3 SR+</v>
      </c>
      <c r="O3047" t="str">
        <f>IFERROR(__xludf.DUMMYFUNCTION("""COMPUTED_VALUE"""),"Deep Blue Metallic")</f>
        <v>Deep Blue Metallic</v>
      </c>
      <c r="P3047" t="str">
        <f>IFERROR(__xludf.DUMMYFUNCTION("""COMPUTED_VALUE"""),"18 inch")</f>
        <v>18 inch</v>
      </c>
      <c r="Q3047" t="str">
        <f>IFERROR(__xludf.DUMMYFUNCTION("""COMPUTED_VALUE"""),"Black and White")</f>
        <v>Black and White</v>
      </c>
      <c r="R3047" t="str">
        <f>IFERROR(__xludf.DUMMYFUNCTION("""COMPUTED_VALUE"""),"Autopilot included")</f>
        <v>Autopilot included</v>
      </c>
      <c r="S3047" t="str">
        <f>IFERROR(__xludf.DUMMYFUNCTION("""COMPUTED_VALUE"""),"Lease")</f>
        <v>Lease</v>
      </c>
      <c r="T3047" t="str">
        <f>IFERROR(__xludf.DUMMYFUNCTION("""COMPUTED_VALUE"""),"BMW 3 Series")</f>
        <v>BMW 3 Series</v>
      </c>
      <c r="U3047" t="str">
        <f>IFERROR(__xludf.DUMMYFUNCTION("""COMPUTED_VALUE"""),"Electric!")</f>
        <v>Electric!</v>
      </c>
      <c r="V3047" t="str">
        <f>IFERROR(__xludf.DUMMYFUNCTION("""COMPUTED_VALUE"""),"Head-up display")</f>
        <v>Head-up display</v>
      </c>
      <c r="AH3047" s="189">
        <f>IFERROR(__xludf.DUMMYFUNCTION("""COMPUTED_VALUE"""),44400.73449724537)</f>
        <v>44400.7345</v>
      </c>
    </row>
    <row r="3048">
      <c r="A3048" t="str">
        <f>IFERROR(__xludf.DUMMYFUNCTION("""COMPUTED_VALUE"""),"Tryforce")</f>
        <v>Tryforce</v>
      </c>
      <c r="B3048" t="str">
        <f>IFERROR(__xludf.DUMMYFUNCTION("""COMPUTED_VALUE"""),"Columbus")</f>
        <v>Columbus</v>
      </c>
      <c r="C3048" t="str">
        <f>IFERROR(__xludf.DUMMYFUNCTION("""COMPUTED_VALUE"""),"OH")</f>
        <v>OH</v>
      </c>
      <c r="D3048" t="str">
        <f>IFERROR(__xludf.DUMMYFUNCTION("""COMPUTED_VALUE"""),"USA")</f>
        <v>USA</v>
      </c>
      <c r="E3048" s="188">
        <f>IFERROR(__xludf.DUMMYFUNCTION("""COMPUTED_VALUE"""),44359.0)</f>
        <v>44359</v>
      </c>
      <c r="F3048" s="188">
        <f>IFERROR(__xludf.DUMMYFUNCTION("""COMPUTED_VALUE"""),44396.0)</f>
        <v>44396</v>
      </c>
      <c r="G3048" t="str">
        <f>IFERROR(__xludf.DUMMYFUNCTION("""COMPUTED_VALUE"""),"Manage order page (normal text)")</f>
        <v>Manage order page (normal text)</v>
      </c>
      <c r="H3048">
        <f>IFERROR(__xludf.DUMMYFUNCTION("""COMPUTED_VALUE"""),18855.0)</f>
        <v>18855</v>
      </c>
      <c r="J3048" s="188">
        <f>IFERROR(__xludf.DUMMYFUNCTION("""COMPUTED_VALUE"""),44410.0)</f>
        <v>44410</v>
      </c>
      <c r="K3048">
        <f>IFERROR(__xludf.DUMMYFUNCTION("""COMPUTED_VALUE"""),37.0)</f>
        <v>37</v>
      </c>
      <c r="L3048">
        <f>IFERROR(__xludf.DUMMYFUNCTION("""COMPUTED_VALUE"""),14.0)</f>
        <v>14</v>
      </c>
      <c r="M3048">
        <f>IFERROR(__xludf.DUMMYFUNCTION("""COMPUTED_VALUE"""),51.0)</f>
        <v>51</v>
      </c>
      <c r="N3048" t="str">
        <f>IFERROR(__xludf.DUMMYFUNCTION("""COMPUTED_VALUE"""),"Model 3 SR+")</f>
        <v>Model 3 SR+</v>
      </c>
      <c r="O3048" t="str">
        <f>IFERROR(__xludf.DUMMYFUNCTION("""COMPUTED_VALUE"""),"Solid Black")</f>
        <v>Solid Black</v>
      </c>
      <c r="P3048" t="str">
        <f>IFERROR(__xludf.DUMMYFUNCTION("""COMPUTED_VALUE"""),"18 inch")</f>
        <v>18 inch</v>
      </c>
      <c r="Q3048" t="str">
        <f>IFERROR(__xludf.DUMMYFUNCTION("""COMPUTED_VALUE"""),"Black and White")</f>
        <v>Black and White</v>
      </c>
      <c r="R3048" t="str">
        <f>IFERROR(__xludf.DUMMYFUNCTION("""COMPUTED_VALUE"""),"Autopilot included")</f>
        <v>Autopilot included</v>
      </c>
      <c r="S3048" t="str">
        <f>IFERROR(__xludf.DUMMYFUNCTION("""COMPUTED_VALUE"""),"Lease")</f>
        <v>Lease</v>
      </c>
      <c r="U3048" t="str">
        <f>IFERROR(__xludf.DUMMYFUNCTION("""COMPUTED_VALUE"""),"Autopilot")</f>
        <v>Autopilot</v>
      </c>
      <c r="V3048" t="str">
        <f>IFERROR(__xludf.DUMMYFUNCTION("""COMPUTED_VALUE"""),"Apple CarPlay / Android Auto / SiriusXM Radio")</f>
        <v>Apple CarPlay / Android Auto / SiriusXM Radio</v>
      </c>
      <c r="W3048" t="str">
        <f>IFERROR(__xludf.DUMMYFUNCTION("""COMPUTED_VALUE"""),"Stay patient")</f>
        <v>Stay patient</v>
      </c>
      <c r="AH3048" s="189">
        <f>IFERROR(__xludf.DUMMYFUNCTION("""COMPUTED_VALUE"""),44397.23725320602)</f>
        <v>44397.23725</v>
      </c>
    </row>
    <row r="3049">
      <c r="A3049" t="str">
        <f>IFERROR(__xludf.DUMMYFUNCTION("""COMPUTED_VALUE"""),"ACDRJP")</f>
        <v>ACDRJP</v>
      </c>
      <c r="B3049" t="str">
        <f>IFERROR(__xludf.DUMMYFUNCTION("""COMPUTED_VALUE"""),"tampa")</f>
        <v>tampa</v>
      </c>
      <c r="C3049" t="str">
        <f>IFERROR(__xludf.DUMMYFUNCTION("""COMPUTED_VALUE"""),"FL")</f>
        <v>FL</v>
      </c>
      <c r="D3049" t="str">
        <f>IFERROR(__xludf.DUMMYFUNCTION("""COMPUTED_VALUE"""),"USA")</f>
        <v>USA</v>
      </c>
      <c r="E3049" s="188">
        <f>IFERROR(__xludf.DUMMYFUNCTION("""COMPUTED_VALUE"""),44347.0)</f>
        <v>44347</v>
      </c>
      <c r="F3049" s="188">
        <f>IFERROR(__xludf.DUMMYFUNCTION("""COMPUTED_VALUE"""),44371.0)</f>
        <v>44371</v>
      </c>
      <c r="G3049" t="str">
        <f>IFERROR(__xludf.DUMMYFUNCTION("""COMPUTED_VALUE"""),"accepted delivery of different make/options for sooner delivery")</f>
        <v>accepted delivery of different make/options for sooner delivery</v>
      </c>
      <c r="H3049">
        <f>IFERROR(__xludf.DUMMYFUNCTION("""COMPUTED_VALUE"""),989775.0)</f>
        <v>989775</v>
      </c>
      <c r="J3049" s="188">
        <f>IFERROR(__xludf.DUMMYFUNCTION("""COMPUTED_VALUE"""),44371.0)</f>
        <v>44371</v>
      </c>
      <c r="K3049">
        <f>IFERROR(__xludf.DUMMYFUNCTION("""COMPUTED_VALUE"""),24.0)</f>
        <v>24</v>
      </c>
      <c r="L3049">
        <f>IFERROR(__xludf.DUMMYFUNCTION("""COMPUTED_VALUE"""),0.0)</f>
        <v>0</v>
      </c>
      <c r="M3049">
        <f>IFERROR(__xludf.DUMMYFUNCTION("""COMPUTED_VALUE"""),24.0)</f>
        <v>24</v>
      </c>
      <c r="N3049" t="str">
        <f>IFERROR(__xludf.DUMMYFUNCTION("""COMPUTED_VALUE"""),"Model 3 SR+")</f>
        <v>Model 3 SR+</v>
      </c>
      <c r="O3049" t="str">
        <f>IFERROR(__xludf.DUMMYFUNCTION("""COMPUTED_VALUE"""),"Pearl White Multi-Coat")</f>
        <v>Pearl White Multi-Coat</v>
      </c>
      <c r="P3049" t="str">
        <f>IFERROR(__xludf.DUMMYFUNCTION("""COMPUTED_VALUE"""),"19 inch")</f>
        <v>19 inch</v>
      </c>
      <c r="Q3049" t="str">
        <f>IFERROR(__xludf.DUMMYFUNCTION("""COMPUTED_VALUE"""),"Black and White")</f>
        <v>Black and White</v>
      </c>
      <c r="R3049" t="str">
        <f>IFERROR(__xludf.DUMMYFUNCTION("""COMPUTED_VALUE"""),"Autopilot included")</f>
        <v>Autopilot included</v>
      </c>
      <c r="S3049" t="str">
        <f>IFERROR(__xludf.DUMMYFUNCTION("""COMPUTED_VALUE"""),"Lease")</f>
        <v>Lease</v>
      </c>
      <c r="U3049" t="str">
        <f>IFERROR(__xludf.DUMMYFUNCTION("""COMPUTED_VALUE"""),"Electric!")</f>
        <v>Electric!</v>
      </c>
      <c r="W3049" t="str">
        <f>IFERROR(__xludf.DUMMYFUNCTION("""COMPUTED_VALUE"""),"have patience ! you'll love it ")</f>
        <v>have patience ! you'll love it </v>
      </c>
      <c r="X3049" t="str">
        <f>IFERROR(__xludf.DUMMYFUNCTION("""COMPUTED_VALUE"""),"Good")</f>
        <v>Good</v>
      </c>
      <c r="Y3049" t="str">
        <f>IFERROR(__xludf.DUMMYFUNCTION("""COMPUTED_VALUE"""),"Good")</f>
        <v>Good</v>
      </c>
      <c r="Z3049" t="str">
        <f>IFERROR(__xludf.DUMMYFUNCTION("""COMPUTED_VALUE"""),"Poor")</f>
        <v>Poor</v>
      </c>
      <c r="AA3049" t="str">
        <f>IFERROR(__xludf.DUMMYFUNCTION("""COMPUTED_VALUE"""),"Very Good")</f>
        <v>Very Good</v>
      </c>
      <c r="AB3049" t="str">
        <f>IFERROR(__xludf.DUMMYFUNCTION("""COMPUTED_VALUE"""),"Very Good")</f>
        <v>Very Good</v>
      </c>
      <c r="AC3049">
        <f>IFERROR(__xludf.DUMMYFUNCTION("""COMPUTED_VALUE"""),5.0)</f>
        <v>5</v>
      </c>
      <c r="AD3049">
        <f>IFERROR(__xludf.DUMMYFUNCTION("""COMPUTED_VALUE"""),2.0)</f>
        <v>2</v>
      </c>
      <c r="AF3049" t="str">
        <f>IFERROR(__xludf.DUMMYFUNCTION("""COMPUTED_VALUE"""),"No. I took delivery of the first car Tesla was able to deliver.")</f>
        <v>No. I took delivery of the first car Tesla was able to deliver.</v>
      </c>
      <c r="AG3049" t="str">
        <f>IFERROR(__xludf.DUMMYFUNCTION("""COMPUTED_VALUE"""),"accepted delivery of different make(tires and interior) for sooner delivery. Someone declined delivery and I took theirs :) ")</f>
        <v>accepted delivery of different make(tires and interior) for sooner delivery. Someone declined delivery and I took theirs :) </v>
      </c>
      <c r="AH3049" s="189">
        <f>IFERROR(__xludf.DUMMYFUNCTION("""COMPUTED_VALUE"""),44387.86191197917)</f>
        <v>44387.86191</v>
      </c>
    </row>
    <row r="3050">
      <c r="A3050" t="str">
        <f>IFERROR(__xludf.DUMMYFUNCTION("""COMPUTED_VALUE"""),"Beany")</f>
        <v>Beany</v>
      </c>
      <c r="B3050" t="str">
        <f>IFERROR(__xludf.DUMMYFUNCTION("""COMPUTED_VALUE"""),"Los Angeles")</f>
        <v>Los Angeles</v>
      </c>
      <c r="C3050" t="str">
        <f>IFERROR(__xludf.DUMMYFUNCTION("""COMPUTED_VALUE"""),"CA")</f>
        <v>CA</v>
      </c>
      <c r="D3050" t="str">
        <f>IFERROR(__xludf.DUMMYFUNCTION("""COMPUTED_VALUE"""),"USA")</f>
        <v>USA</v>
      </c>
      <c r="E3050" s="188">
        <f>IFERROR(__xludf.DUMMYFUNCTION("""COMPUTED_VALUE"""),44362.0)</f>
        <v>44362</v>
      </c>
      <c r="F3050" s="188">
        <f>IFERROR(__xludf.DUMMYFUNCTION("""COMPUTED_VALUE"""),44412.0)</f>
        <v>44412</v>
      </c>
      <c r="G3050" t="str">
        <f>IFERROR(__xludf.DUMMYFUNCTION("""COMPUTED_VALUE"""),"Manage order page (normal text)")</f>
        <v>Manage order page (normal text)</v>
      </c>
      <c r="H3050">
        <f>IFERROR(__xludf.DUMMYFUNCTION("""COMPUTED_VALUE"""),30814.0)</f>
        <v>30814</v>
      </c>
      <c r="J3050" s="188">
        <f>IFERROR(__xludf.DUMMYFUNCTION("""COMPUTED_VALUE"""),44416.0)</f>
        <v>44416</v>
      </c>
      <c r="K3050">
        <f>IFERROR(__xludf.DUMMYFUNCTION("""COMPUTED_VALUE"""),50.0)</f>
        <v>50</v>
      </c>
      <c r="L3050">
        <f>IFERROR(__xludf.DUMMYFUNCTION("""COMPUTED_VALUE"""),4.0)</f>
        <v>4</v>
      </c>
      <c r="M3050">
        <f>IFERROR(__xludf.DUMMYFUNCTION("""COMPUTED_VALUE"""),54.0)</f>
        <v>54</v>
      </c>
      <c r="N3050" t="str">
        <f>IFERROR(__xludf.DUMMYFUNCTION("""COMPUTED_VALUE"""),"Model 3 Performance")</f>
        <v>Model 3 Performance</v>
      </c>
      <c r="O3050" t="str">
        <f>IFERROR(__xludf.DUMMYFUNCTION("""COMPUTED_VALUE"""),"Red Multi-Coat")</f>
        <v>Red Multi-Coat</v>
      </c>
      <c r="P3050" t="str">
        <f>IFERROR(__xludf.DUMMYFUNCTION("""COMPUTED_VALUE"""),"20 inch")</f>
        <v>20 inch</v>
      </c>
      <c r="Q3050" t="str">
        <f>IFERROR(__xludf.DUMMYFUNCTION("""COMPUTED_VALUE"""),"Black and White")</f>
        <v>Black and White</v>
      </c>
      <c r="R3050" t="str">
        <f>IFERROR(__xludf.DUMMYFUNCTION("""COMPUTED_VALUE"""),"Autopilot included")</f>
        <v>Autopilot included</v>
      </c>
      <c r="S3050" t="str">
        <f>IFERROR(__xludf.DUMMYFUNCTION("""COMPUTED_VALUE"""),"Loan")</f>
        <v>Loan</v>
      </c>
      <c r="T3050" t="str">
        <f>IFERROR(__xludf.DUMMYFUNCTION("""COMPUTED_VALUE"""),"Model 3 will be my first car!")</f>
        <v>Model 3 will be my first car!</v>
      </c>
      <c r="U3050" t="str">
        <f>IFERROR(__xludf.DUMMYFUNCTION("""COMPUTED_VALUE"""),"Electric!")</f>
        <v>Electric!</v>
      </c>
      <c r="V3050" t="str">
        <f>IFERROR(__xludf.DUMMYFUNCTION("""COMPUTED_VALUE"""),"360° Bird's eye view")</f>
        <v>360° Bird's eye view</v>
      </c>
      <c r="AH3050" s="189">
        <f>IFERROR(__xludf.DUMMYFUNCTION("""COMPUTED_VALUE"""),44412.38336738426)</f>
        <v>44412.38337</v>
      </c>
    </row>
    <row r="3051">
      <c r="A3051" t="str">
        <f>IFERROR(__xludf.DUMMYFUNCTION("""COMPUTED_VALUE"""),"mag")</f>
        <v>mag</v>
      </c>
      <c r="B3051" t="str">
        <f>IFERROR(__xludf.DUMMYFUNCTION("""COMPUTED_VALUE"""),"Salt Lake City")</f>
        <v>Salt Lake City</v>
      </c>
      <c r="C3051" t="str">
        <f>IFERROR(__xludf.DUMMYFUNCTION("""COMPUTED_VALUE"""),"UT")</f>
        <v>UT</v>
      </c>
      <c r="D3051" t="str">
        <f>IFERROR(__xludf.DUMMYFUNCTION("""COMPUTED_VALUE"""),"USA")</f>
        <v>USA</v>
      </c>
      <c r="E3051" s="188">
        <f>IFERROR(__xludf.DUMMYFUNCTION("""COMPUTED_VALUE"""),44364.0)</f>
        <v>44364</v>
      </c>
      <c r="F3051" s="188">
        <f>IFERROR(__xludf.DUMMYFUNCTION("""COMPUTED_VALUE"""),44408.0)</f>
        <v>44408</v>
      </c>
      <c r="G3051" t="str">
        <f>IFERROR(__xludf.DUMMYFUNCTION("""COMPUTED_VALUE"""),"Email")</f>
        <v>Email</v>
      </c>
      <c r="H3051">
        <f>IFERROR(__xludf.DUMMYFUNCTION("""COMPUTED_VALUE"""),24755.0)</f>
        <v>24755</v>
      </c>
      <c r="J3051" s="188">
        <f>IFERROR(__xludf.DUMMYFUNCTION("""COMPUTED_VALUE"""),44413.0)</f>
        <v>44413</v>
      </c>
      <c r="K3051">
        <f>IFERROR(__xludf.DUMMYFUNCTION("""COMPUTED_VALUE"""),44.0)</f>
        <v>44</v>
      </c>
      <c r="L3051">
        <f>IFERROR(__xludf.DUMMYFUNCTION("""COMPUTED_VALUE"""),5.0)</f>
        <v>5</v>
      </c>
      <c r="M3051">
        <f>IFERROR(__xludf.DUMMYFUNCTION("""COMPUTED_VALUE"""),49.0)</f>
        <v>49</v>
      </c>
      <c r="N3051" t="str">
        <f>IFERROR(__xludf.DUMMYFUNCTION("""COMPUTED_VALUE"""),"Model 3 Performance")</f>
        <v>Model 3 Performance</v>
      </c>
      <c r="O3051" t="str">
        <f>IFERROR(__xludf.DUMMYFUNCTION("""COMPUTED_VALUE"""),"Midnight Silver Metallic")</f>
        <v>Midnight Silver Metallic</v>
      </c>
      <c r="P3051" t="str">
        <f>IFERROR(__xludf.DUMMYFUNCTION("""COMPUTED_VALUE"""),"20 inch")</f>
        <v>20 inch</v>
      </c>
      <c r="Q3051" t="str">
        <f>IFERROR(__xludf.DUMMYFUNCTION("""COMPUTED_VALUE"""),"All Black")</f>
        <v>All Black</v>
      </c>
      <c r="R3051" t="str">
        <f>IFERROR(__xludf.DUMMYFUNCTION("""COMPUTED_VALUE"""),"Full Self-Driving")</f>
        <v>Full Self-Driving</v>
      </c>
      <c r="S3051" t="str">
        <f>IFERROR(__xludf.DUMMYFUNCTION("""COMPUTED_VALUE"""),"Loan")</f>
        <v>Loan</v>
      </c>
      <c r="AH3051" s="189">
        <f>IFERROR(__xludf.DUMMYFUNCTION("""COMPUTED_VALUE"""),44413.909855185186)</f>
        <v>44413.90986</v>
      </c>
    </row>
    <row r="3052">
      <c r="A3052" t="str">
        <f>IFERROR(__xludf.DUMMYFUNCTION("""COMPUTED_VALUE"""),"AstroDog")</f>
        <v>AstroDog</v>
      </c>
      <c r="B3052" t="str">
        <f>IFERROR(__xludf.DUMMYFUNCTION("""COMPUTED_VALUE"""),"Seattle")</f>
        <v>Seattle</v>
      </c>
      <c r="C3052" t="str">
        <f>IFERROR(__xludf.DUMMYFUNCTION("""COMPUTED_VALUE"""),"WA")</f>
        <v>WA</v>
      </c>
      <c r="D3052" t="str">
        <f>IFERROR(__xludf.DUMMYFUNCTION("""COMPUTED_VALUE"""),"USA")</f>
        <v>USA</v>
      </c>
      <c r="E3052" s="188">
        <f>IFERROR(__xludf.DUMMYFUNCTION("""COMPUTED_VALUE"""),44369.0)</f>
        <v>44369</v>
      </c>
      <c r="F3052" s="188">
        <f>IFERROR(__xludf.DUMMYFUNCTION("""COMPUTED_VALUE"""),44372.0)</f>
        <v>44372</v>
      </c>
      <c r="G3052" t="str">
        <f>IFERROR(__xludf.DUMMYFUNCTION("""COMPUTED_VALUE"""),"Manage order page (normal text)")</f>
        <v>Manage order page (normal text)</v>
      </c>
      <c r="H3052">
        <f>IFERROR(__xludf.DUMMYFUNCTION("""COMPUTED_VALUE"""),2509.0)</f>
        <v>2509</v>
      </c>
      <c r="I3052" t="str">
        <f>IFERROR(__xludf.DUMMYFUNCTION("""COMPUTED_VALUE"""),"06/21")</f>
        <v>06/21</v>
      </c>
      <c r="J3052" s="188">
        <f>IFERROR(__xludf.DUMMYFUNCTION("""COMPUTED_VALUE"""),44377.0)</f>
        <v>44377</v>
      </c>
      <c r="K3052">
        <f>IFERROR(__xludf.DUMMYFUNCTION("""COMPUTED_VALUE"""),3.0)</f>
        <v>3</v>
      </c>
      <c r="L3052">
        <f>IFERROR(__xludf.DUMMYFUNCTION("""COMPUTED_VALUE"""),5.0)</f>
        <v>5</v>
      </c>
      <c r="M3052">
        <f>IFERROR(__xludf.DUMMYFUNCTION("""COMPUTED_VALUE"""),8.0)</f>
        <v>8</v>
      </c>
      <c r="N3052" t="str">
        <f>IFERROR(__xludf.DUMMYFUNCTION("""COMPUTED_VALUE"""),"Model 3 LR AWD")</f>
        <v>Model 3 LR AWD</v>
      </c>
      <c r="O3052" t="str">
        <f>IFERROR(__xludf.DUMMYFUNCTION("""COMPUTED_VALUE"""),"Midnight Silver Metallic")</f>
        <v>Midnight Silver Metallic</v>
      </c>
      <c r="P3052" t="str">
        <f>IFERROR(__xludf.DUMMYFUNCTION("""COMPUTED_VALUE"""),"19 inch")</f>
        <v>19 inch</v>
      </c>
      <c r="Q3052" t="str">
        <f>IFERROR(__xludf.DUMMYFUNCTION("""COMPUTED_VALUE"""),"All Black")</f>
        <v>All Black</v>
      </c>
      <c r="R3052" t="str">
        <f>IFERROR(__xludf.DUMMYFUNCTION("""COMPUTED_VALUE"""),"Autopilot included")</f>
        <v>Autopilot included</v>
      </c>
      <c r="S3052" t="str">
        <f>IFERROR(__xludf.DUMMYFUNCTION("""COMPUTED_VALUE"""),"Loan")</f>
        <v>Loan</v>
      </c>
      <c r="T3052" t="str">
        <f>IFERROR(__xludf.DUMMYFUNCTION("""COMPUTED_VALUE"""),"Audi A3")</f>
        <v>Audi A3</v>
      </c>
      <c r="U3052" t="str">
        <f>IFERROR(__xludf.DUMMYFUNCTION("""COMPUTED_VALUE"""),"Electric!")</f>
        <v>Electric!</v>
      </c>
      <c r="V3052" t="str">
        <f>IFERROR(__xludf.DUMMYFUNCTION("""COMPUTED_VALUE"""),"360° Bird's eye view")</f>
        <v>360° Bird's eye view</v>
      </c>
      <c r="W3052" t="str">
        <f>IFERROR(__xludf.DUMMYFUNCTION("""COMPUTED_VALUE"""),"Keep an eye on the inventory")</f>
        <v>Keep an eye on the inventory</v>
      </c>
      <c r="X3052" t="str">
        <f>IFERROR(__xludf.DUMMYFUNCTION("""COMPUTED_VALUE"""),"Excellent")</f>
        <v>Excellent</v>
      </c>
      <c r="Y3052" t="str">
        <f>IFERROR(__xludf.DUMMYFUNCTION("""COMPUTED_VALUE"""),"Excellent")</f>
        <v>Excellent</v>
      </c>
      <c r="Z3052" t="str">
        <f>IFERROR(__xludf.DUMMYFUNCTION("""COMPUTED_VALUE"""),"Excellent")</f>
        <v>Excellent</v>
      </c>
      <c r="AA3052" t="str">
        <f>IFERROR(__xludf.DUMMYFUNCTION("""COMPUTED_VALUE"""),"Fair")</f>
        <v>Fair</v>
      </c>
      <c r="AB3052" t="str">
        <f>IFERROR(__xludf.DUMMYFUNCTION("""COMPUTED_VALUE"""),"Good")</f>
        <v>Good</v>
      </c>
      <c r="AC3052">
        <f>IFERROR(__xludf.DUMMYFUNCTION("""COMPUTED_VALUE"""),0.0)</f>
        <v>0</v>
      </c>
      <c r="AD3052">
        <f>IFERROR(__xludf.DUMMYFUNCTION("""COMPUTED_VALUE"""),0.0)</f>
        <v>0</v>
      </c>
      <c r="AF3052" t="str">
        <f>IFERROR(__xludf.DUMMYFUNCTION("""COMPUTED_VALUE"""),"No. I took delivery of the first car Tesla was able to deliver.")</f>
        <v>No. I took delivery of the first car Tesla was able to deliver.</v>
      </c>
      <c r="AH3052" s="189">
        <f>IFERROR(__xludf.DUMMYFUNCTION("""COMPUTED_VALUE"""),44382.52870405093)</f>
        <v>44382.5287</v>
      </c>
    </row>
    <row r="3053">
      <c r="A3053" t="str">
        <f>IFERROR(__xludf.DUMMYFUNCTION("""COMPUTED_VALUE"""),"JadeP")</f>
        <v>JadeP</v>
      </c>
      <c r="B3053" t="str">
        <f>IFERROR(__xludf.DUMMYFUNCTION("""COMPUTED_VALUE"""),"Phoenix ")</f>
        <v>Phoenix </v>
      </c>
      <c r="C3053" t="str">
        <f>IFERROR(__xludf.DUMMYFUNCTION("""COMPUTED_VALUE"""),"AZ")</f>
        <v>AZ</v>
      </c>
      <c r="D3053" t="str">
        <f>IFERROR(__xludf.DUMMYFUNCTION("""COMPUTED_VALUE"""),"USA")</f>
        <v>USA</v>
      </c>
      <c r="E3053" s="188">
        <f>IFERROR(__xludf.DUMMYFUNCTION("""COMPUTED_VALUE"""),44272.0)</f>
        <v>44272</v>
      </c>
      <c r="F3053" s="188">
        <f>IFERROR(__xludf.DUMMYFUNCTION("""COMPUTED_VALUE"""),44369.0)</f>
        <v>44369</v>
      </c>
      <c r="G3053" t="str">
        <f>IFERROR(__xludf.DUMMYFUNCTION("""COMPUTED_VALUE"""),"Manage order page (normal text)")</f>
        <v>Manage order page (normal text)</v>
      </c>
      <c r="J3053" s="188">
        <f>IFERROR(__xludf.DUMMYFUNCTION("""COMPUTED_VALUE"""),44373.0)</f>
        <v>44373</v>
      </c>
      <c r="K3053">
        <f>IFERROR(__xludf.DUMMYFUNCTION("""COMPUTED_VALUE"""),97.0)</f>
        <v>97</v>
      </c>
      <c r="L3053">
        <f>IFERROR(__xludf.DUMMYFUNCTION("""COMPUTED_VALUE"""),4.0)</f>
        <v>4</v>
      </c>
      <c r="M3053">
        <f>IFERROR(__xludf.DUMMYFUNCTION("""COMPUTED_VALUE"""),101.0)</f>
        <v>101</v>
      </c>
      <c r="N3053" t="str">
        <f>IFERROR(__xludf.DUMMYFUNCTION("""COMPUTED_VALUE"""),"Model 3 SR+")</f>
        <v>Model 3 SR+</v>
      </c>
      <c r="O3053" t="str">
        <f>IFERROR(__xludf.DUMMYFUNCTION("""COMPUTED_VALUE"""),"Red Multi-Coat")</f>
        <v>Red Multi-Coat</v>
      </c>
      <c r="P3053" t="str">
        <f>IFERROR(__xludf.DUMMYFUNCTION("""COMPUTED_VALUE"""),"18 inch")</f>
        <v>18 inch</v>
      </c>
      <c r="Q3053" t="str">
        <f>IFERROR(__xludf.DUMMYFUNCTION("""COMPUTED_VALUE"""),"All Black")</f>
        <v>All Black</v>
      </c>
      <c r="R3053" t="str">
        <f>IFERROR(__xludf.DUMMYFUNCTION("""COMPUTED_VALUE"""),"Autopilot included")</f>
        <v>Autopilot included</v>
      </c>
      <c r="S3053" t="str">
        <f>IFERROR(__xludf.DUMMYFUNCTION("""COMPUTED_VALUE"""),"Loan")</f>
        <v>Loan</v>
      </c>
      <c r="T3053" t="str">
        <f>IFERROR(__xludf.DUMMYFUNCTION("""COMPUTED_VALUE"""),"Honda Civic")</f>
        <v>Honda Civic</v>
      </c>
      <c r="U3053" t="str">
        <f>IFERROR(__xludf.DUMMYFUNCTION("""COMPUTED_VALUE"""),"Electric!")</f>
        <v>Electric!</v>
      </c>
      <c r="V3053" t="str">
        <f>IFERROR(__xludf.DUMMYFUNCTION("""COMPUTED_VALUE"""),"Bioweapon defense mode")</f>
        <v>Bioweapon defense mode</v>
      </c>
      <c r="W3053" t="str">
        <f>IFERROR(__xludf.DUMMYFUNCTION("""COMPUTED_VALUE"""),"Be extremely patient!")</f>
        <v>Be extremely patient!</v>
      </c>
      <c r="AH3053" s="189">
        <f>IFERROR(__xludf.DUMMYFUNCTION("""COMPUTED_VALUE"""),44369.75014570601)</f>
        <v>44369.75015</v>
      </c>
    </row>
    <row r="3054">
      <c r="A3054" t="str">
        <f>IFERROR(__xludf.DUMMYFUNCTION("""COMPUTED_VALUE"""),"BloodHenry")</f>
        <v>BloodHenry</v>
      </c>
      <c r="B3054" t="str">
        <f>IFERROR(__xludf.DUMMYFUNCTION("""COMPUTED_VALUE"""),"Riverside")</f>
        <v>Riverside</v>
      </c>
      <c r="C3054" t="str">
        <f>IFERROR(__xludf.DUMMYFUNCTION("""COMPUTED_VALUE"""),"CA")</f>
        <v>CA</v>
      </c>
      <c r="D3054" t="str">
        <f>IFERROR(__xludf.DUMMYFUNCTION("""COMPUTED_VALUE"""),"USA")</f>
        <v>USA</v>
      </c>
      <c r="E3054" s="188">
        <f>IFERROR(__xludf.DUMMYFUNCTION("""COMPUTED_VALUE"""),44321.0)</f>
        <v>44321</v>
      </c>
      <c r="F3054" s="188">
        <f>IFERROR(__xludf.DUMMYFUNCTION("""COMPUTED_VALUE"""),44372.0)</f>
        <v>44372</v>
      </c>
      <c r="G3054" t="str">
        <f>IFERROR(__xludf.DUMMYFUNCTION("""COMPUTED_VALUE"""),"Manage order page (normal text)")</f>
        <v>Manage order page (normal text)</v>
      </c>
      <c r="H3054">
        <f>IFERROR(__xludf.DUMMYFUNCTION("""COMPUTED_VALUE"""),1855.0)</f>
        <v>1855</v>
      </c>
      <c r="J3054" s="188">
        <f>IFERROR(__xludf.DUMMYFUNCTION("""COMPUTED_VALUE"""),44375.0)</f>
        <v>44375</v>
      </c>
      <c r="K3054">
        <f>IFERROR(__xludf.DUMMYFUNCTION("""COMPUTED_VALUE"""),51.0)</f>
        <v>51</v>
      </c>
      <c r="L3054">
        <f>IFERROR(__xludf.DUMMYFUNCTION("""COMPUTED_VALUE"""),3.0)</f>
        <v>3</v>
      </c>
      <c r="M3054">
        <f>IFERROR(__xludf.DUMMYFUNCTION("""COMPUTED_VALUE"""),54.0)</f>
        <v>54</v>
      </c>
      <c r="N3054" t="str">
        <f>IFERROR(__xludf.DUMMYFUNCTION("""COMPUTED_VALUE"""),"Model 3 SR+")</f>
        <v>Model 3 SR+</v>
      </c>
      <c r="O3054" t="str">
        <f>IFERROR(__xludf.DUMMYFUNCTION("""COMPUTED_VALUE"""),"Midnight Silver Metallic")</f>
        <v>Midnight Silver Metallic</v>
      </c>
      <c r="P3054" t="str">
        <f>IFERROR(__xludf.DUMMYFUNCTION("""COMPUTED_VALUE"""),"18 inch")</f>
        <v>18 inch</v>
      </c>
      <c r="Q3054" t="str">
        <f>IFERROR(__xludf.DUMMYFUNCTION("""COMPUTED_VALUE"""),"All Black")</f>
        <v>All Black</v>
      </c>
      <c r="R3054" t="str">
        <f>IFERROR(__xludf.DUMMYFUNCTION("""COMPUTED_VALUE"""),"Autopilot included")</f>
        <v>Autopilot included</v>
      </c>
      <c r="S3054" t="str">
        <f>IFERROR(__xludf.DUMMYFUNCTION("""COMPUTED_VALUE"""),"Loan")</f>
        <v>Loan</v>
      </c>
      <c r="T3054" t="str">
        <f>IFERROR(__xludf.DUMMYFUNCTION("""COMPUTED_VALUE"""),"Toyota Prius")</f>
        <v>Toyota Prius</v>
      </c>
      <c r="U3054" t="str">
        <f>IFERROR(__xludf.DUMMYFUNCTION("""COMPUTED_VALUE"""),"Electric!")</f>
        <v>Electric!</v>
      </c>
      <c r="AA3054" t="str">
        <f>IFERROR(__xludf.DUMMYFUNCTION("""COMPUTED_VALUE"""),"Poor")</f>
        <v>Poor</v>
      </c>
      <c r="AF3054" t="str">
        <f>IFERROR(__xludf.DUMMYFUNCTION("""COMPUTED_VALUE"""),"No. I took delivery of the first car Tesla was able to deliver.")</f>
        <v>No. I took delivery of the first car Tesla was able to deliver.</v>
      </c>
      <c r="AH3054" s="189">
        <f>IFERROR(__xludf.DUMMYFUNCTION("""COMPUTED_VALUE"""),44374.3959866088)</f>
        <v>44374.39599</v>
      </c>
    </row>
    <row r="3055">
      <c r="A3055" t="str">
        <f>IFERROR(__xludf.DUMMYFUNCTION("""COMPUTED_VALUE"""),"IndigoMaverick")</f>
        <v>IndigoMaverick</v>
      </c>
      <c r="B3055" t="str">
        <f>IFERROR(__xludf.DUMMYFUNCTION("""COMPUTED_VALUE"""),"Charleston")</f>
        <v>Charleston</v>
      </c>
      <c r="C3055" t="str">
        <f>IFERROR(__xludf.DUMMYFUNCTION("""COMPUTED_VALUE"""),"SC")</f>
        <v>SC</v>
      </c>
      <c r="D3055" t="str">
        <f>IFERROR(__xludf.DUMMYFUNCTION("""COMPUTED_VALUE"""),"USA")</f>
        <v>USA</v>
      </c>
      <c r="E3055" s="188">
        <f>IFERROR(__xludf.DUMMYFUNCTION("""COMPUTED_VALUE"""),44332.0)</f>
        <v>44332</v>
      </c>
      <c r="F3055" s="188">
        <f>IFERROR(__xludf.DUMMYFUNCTION("""COMPUTED_VALUE"""),44392.0)</f>
        <v>44392</v>
      </c>
      <c r="G3055" t="str">
        <f>IFERROR(__xludf.DUMMYFUNCTION("""COMPUTED_VALUE"""),"Manage order page (normal text)")</f>
        <v>Manage order page (normal text)</v>
      </c>
      <c r="J3055" s="188">
        <f>IFERROR(__xludf.DUMMYFUNCTION("""COMPUTED_VALUE"""),44407.0)</f>
        <v>44407</v>
      </c>
      <c r="K3055">
        <f>IFERROR(__xludf.DUMMYFUNCTION("""COMPUTED_VALUE"""),60.0)</f>
        <v>60</v>
      </c>
      <c r="L3055">
        <f>IFERROR(__xludf.DUMMYFUNCTION("""COMPUTED_VALUE"""),15.0)</f>
        <v>15</v>
      </c>
      <c r="M3055">
        <f>IFERROR(__xludf.DUMMYFUNCTION("""COMPUTED_VALUE"""),75.0)</f>
        <v>75</v>
      </c>
      <c r="N3055" t="str">
        <f>IFERROR(__xludf.DUMMYFUNCTION("""COMPUTED_VALUE"""),"Model 3 SR+")</f>
        <v>Model 3 SR+</v>
      </c>
      <c r="O3055" t="str">
        <f>IFERROR(__xludf.DUMMYFUNCTION("""COMPUTED_VALUE"""),"Deep Blue Metallic")</f>
        <v>Deep Blue Metallic</v>
      </c>
      <c r="P3055" t="str">
        <f>IFERROR(__xludf.DUMMYFUNCTION("""COMPUTED_VALUE"""),"19 inch")</f>
        <v>19 inch</v>
      </c>
      <c r="Q3055" t="str">
        <f>IFERROR(__xludf.DUMMYFUNCTION("""COMPUTED_VALUE"""),"All Black")</f>
        <v>All Black</v>
      </c>
      <c r="R3055" t="str">
        <f>IFERROR(__xludf.DUMMYFUNCTION("""COMPUTED_VALUE"""),"Autopilot included")</f>
        <v>Autopilot included</v>
      </c>
      <c r="S3055" t="str">
        <f>IFERROR(__xludf.DUMMYFUNCTION("""COMPUTED_VALUE"""),"Loan")</f>
        <v>Loan</v>
      </c>
      <c r="T3055" t="str">
        <f>IFERROR(__xludf.DUMMYFUNCTION("""COMPUTED_VALUE"""),"Ford Fusion Energi")</f>
        <v>Ford Fusion Energi</v>
      </c>
      <c r="U3055" t="str">
        <f>IFERROR(__xludf.DUMMYFUNCTION("""COMPUTED_VALUE"""),"Electric!")</f>
        <v>Electric!</v>
      </c>
      <c r="V3055" t="str">
        <f>IFERROR(__xludf.DUMMYFUNCTION("""COMPUTED_VALUE"""),"Ventilated seats")</f>
        <v>Ventilated seats</v>
      </c>
      <c r="AG3055" t="str">
        <f>IFERROR(__xludf.DUMMYFUNCTION("""COMPUTED_VALUE"""),"After the initial order, we had a delivery window of Late June-Early July, then around 6/16/21 we were switched to ""9-13 weeks"".")</f>
        <v>After the initial order, we had a delivery window of Late June-Early July, then around 6/16/21 we were switched to "9-13 weeks".</v>
      </c>
      <c r="AH3055" s="189">
        <f>IFERROR(__xludf.DUMMYFUNCTION("""COMPUTED_VALUE"""),44396.48242033565)</f>
        <v>44396.48242</v>
      </c>
    </row>
    <row r="3056">
      <c r="A3056" t="str">
        <f>IFERROR(__xludf.DUMMYFUNCTION("""COMPUTED_VALUE"""),"ShadowRN")</f>
        <v>ShadowRN</v>
      </c>
      <c r="B3056" t="str">
        <f>IFERROR(__xludf.DUMMYFUNCTION("""COMPUTED_VALUE"""),"OC")</f>
        <v>OC</v>
      </c>
      <c r="C3056" t="str">
        <f>IFERROR(__xludf.DUMMYFUNCTION("""COMPUTED_VALUE"""),"CA")</f>
        <v>CA</v>
      </c>
      <c r="D3056" t="str">
        <f>IFERROR(__xludf.DUMMYFUNCTION("""COMPUTED_VALUE"""),"USA")</f>
        <v>USA</v>
      </c>
      <c r="E3056" s="188">
        <f>IFERROR(__xludf.DUMMYFUNCTION("""COMPUTED_VALUE"""),44337.0)</f>
        <v>44337</v>
      </c>
      <c r="F3056" s="188">
        <f>IFERROR(__xludf.DUMMYFUNCTION("""COMPUTED_VALUE"""),44374.0)</f>
        <v>44374</v>
      </c>
      <c r="G3056" t="str">
        <f>IFERROR(__xludf.DUMMYFUNCTION("""COMPUTED_VALUE"""),"Text message")</f>
        <v>Text message</v>
      </c>
      <c r="H3056">
        <f>IFERROR(__xludf.DUMMYFUNCTION("""COMPUTED_VALUE"""),6540.0)</f>
        <v>6540</v>
      </c>
      <c r="I3056" t="str">
        <f>IFERROR(__xludf.DUMMYFUNCTION("""COMPUTED_VALUE"""),"06/21")</f>
        <v>06/21</v>
      </c>
      <c r="J3056" s="188">
        <f>IFERROR(__xludf.DUMMYFUNCTION("""COMPUTED_VALUE"""),44376.0)</f>
        <v>44376</v>
      </c>
      <c r="K3056">
        <f>IFERROR(__xludf.DUMMYFUNCTION("""COMPUTED_VALUE"""),37.0)</f>
        <v>37</v>
      </c>
      <c r="L3056">
        <f>IFERROR(__xludf.DUMMYFUNCTION("""COMPUTED_VALUE"""),2.0)</f>
        <v>2</v>
      </c>
      <c r="M3056">
        <f>IFERROR(__xludf.DUMMYFUNCTION("""COMPUTED_VALUE"""),39.0)</f>
        <v>39</v>
      </c>
      <c r="N3056" t="str">
        <f>IFERROR(__xludf.DUMMYFUNCTION("""COMPUTED_VALUE"""),"Model 3 SR+")</f>
        <v>Model 3 SR+</v>
      </c>
      <c r="O3056" t="str">
        <f>IFERROR(__xludf.DUMMYFUNCTION("""COMPUTED_VALUE"""),"Midnight Silver Metallic")</f>
        <v>Midnight Silver Metallic</v>
      </c>
      <c r="P3056" t="str">
        <f>IFERROR(__xludf.DUMMYFUNCTION("""COMPUTED_VALUE"""),"18 inch")</f>
        <v>18 inch</v>
      </c>
      <c r="Q3056" t="str">
        <f>IFERROR(__xludf.DUMMYFUNCTION("""COMPUTED_VALUE"""),"All Black")</f>
        <v>All Black</v>
      </c>
      <c r="R3056" t="str">
        <f>IFERROR(__xludf.DUMMYFUNCTION("""COMPUTED_VALUE"""),"Autopilot included")</f>
        <v>Autopilot included</v>
      </c>
      <c r="S3056" t="str">
        <f>IFERROR(__xludf.DUMMYFUNCTION("""COMPUTED_VALUE"""),"Loan")</f>
        <v>Loan</v>
      </c>
      <c r="T3056" t="str">
        <f>IFERROR(__xludf.DUMMYFUNCTION("""COMPUTED_VALUE"""),"Toyota Prius")</f>
        <v>Toyota Prius</v>
      </c>
      <c r="U3056" t="str">
        <f>IFERROR(__xludf.DUMMYFUNCTION("""COMPUTED_VALUE"""),"Electric!")</f>
        <v>Electric!</v>
      </c>
      <c r="V3056" t="str">
        <f>IFERROR(__xludf.DUMMYFUNCTION("""COMPUTED_VALUE"""),"Apple CarPlay / Android Auto / SiriusXM Radio")</f>
        <v>Apple CarPlay / Android Auto / SiriusXM Radio</v>
      </c>
      <c r="X3056" t="str">
        <f>IFERROR(__xludf.DUMMYFUNCTION("""COMPUTED_VALUE"""),"Excellent")</f>
        <v>Excellent</v>
      </c>
      <c r="Y3056" t="str">
        <f>IFERROR(__xludf.DUMMYFUNCTION("""COMPUTED_VALUE"""),"Excellent")</f>
        <v>Excellent</v>
      </c>
      <c r="Z3056" t="str">
        <f>IFERROR(__xludf.DUMMYFUNCTION("""COMPUTED_VALUE"""),"Very Good")</f>
        <v>Very Good</v>
      </c>
      <c r="AA3056" t="str">
        <f>IFERROR(__xludf.DUMMYFUNCTION("""COMPUTED_VALUE"""),"Very Good")</f>
        <v>Very Good</v>
      </c>
      <c r="AB3056" t="str">
        <f>IFERROR(__xludf.DUMMYFUNCTION("""COMPUTED_VALUE"""),"Very Good")</f>
        <v>Very Good</v>
      </c>
      <c r="AF3056" t="str">
        <f>IFERROR(__xludf.DUMMYFUNCTION("""COMPUTED_VALUE"""),"No. I took delivery of the first car Tesla was able to deliver.")</f>
        <v>No. I took delivery of the first car Tesla was able to deliver.</v>
      </c>
      <c r="AH3056" s="189">
        <f>IFERROR(__xludf.DUMMYFUNCTION("""COMPUTED_VALUE"""),44377.33072222222)</f>
        <v>44377.33072</v>
      </c>
    </row>
    <row r="3057">
      <c r="A3057" t="str">
        <f>IFERROR(__xludf.DUMMYFUNCTION("""COMPUTED_VALUE"""),"pizzaslampa")</f>
        <v>pizzaslampa</v>
      </c>
      <c r="B3057" t="str">
        <f>IFERROR(__xludf.DUMMYFUNCTION("""COMPUTED_VALUE"""),"Silver Spring")</f>
        <v>Silver Spring</v>
      </c>
      <c r="C3057" t="str">
        <f>IFERROR(__xludf.DUMMYFUNCTION("""COMPUTED_VALUE"""),"MD")</f>
        <v>MD</v>
      </c>
      <c r="D3057" t="str">
        <f>IFERROR(__xludf.DUMMYFUNCTION("""COMPUTED_VALUE"""),"USA")</f>
        <v>USA</v>
      </c>
      <c r="E3057" s="188">
        <f>IFERROR(__xludf.DUMMYFUNCTION("""COMPUTED_VALUE"""),44346.0)</f>
        <v>44346</v>
      </c>
      <c r="F3057" s="188">
        <f>IFERROR(__xludf.DUMMYFUNCTION("""COMPUTED_VALUE"""),44396.0)</f>
        <v>44396</v>
      </c>
      <c r="G3057" t="str">
        <f>IFERROR(__xludf.DUMMYFUNCTION("""COMPUTED_VALUE"""),"Manage order page (normal text)")</f>
        <v>Manage order page (normal text)</v>
      </c>
      <c r="H3057">
        <f>IFERROR(__xludf.DUMMYFUNCTION("""COMPUTED_VALUE"""),20155.0)</f>
        <v>20155</v>
      </c>
      <c r="J3057" s="188">
        <f>IFERROR(__xludf.DUMMYFUNCTION("""COMPUTED_VALUE"""),44410.0)</f>
        <v>44410</v>
      </c>
      <c r="K3057">
        <f>IFERROR(__xludf.DUMMYFUNCTION("""COMPUTED_VALUE"""),50.0)</f>
        <v>50</v>
      </c>
      <c r="L3057">
        <f>IFERROR(__xludf.DUMMYFUNCTION("""COMPUTED_VALUE"""),14.0)</f>
        <v>14</v>
      </c>
      <c r="M3057">
        <f>IFERROR(__xludf.DUMMYFUNCTION("""COMPUTED_VALUE"""),64.0)</f>
        <v>64</v>
      </c>
      <c r="N3057" t="str">
        <f>IFERROR(__xludf.DUMMYFUNCTION("""COMPUTED_VALUE"""),"Model 3 LR AWD")</f>
        <v>Model 3 LR AWD</v>
      </c>
      <c r="O3057" t="str">
        <f>IFERROR(__xludf.DUMMYFUNCTION("""COMPUTED_VALUE"""),"Midnight Silver Metallic")</f>
        <v>Midnight Silver Metallic</v>
      </c>
      <c r="P3057" t="str">
        <f>IFERROR(__xludf.DUMMYFUNCTION("""COMPUTED_VALUE"""),"18 inch")</f>
        <v>18 inch</v>
      </c>
      <c r="Q3057" t="str">
        <f>IFERROR(__xludf.DUMMYFUNCTION("""COMPUTED_VALUE"""),"Black and White")</f>
        <v>Black and White</v>
      </c>
      <c r="R3057" t="str">
        <f>IFERROR(__xludf.DUMMYFUNCTION("""COMPUTED_VALUE"""),"Autopilot included")</f>
        <v>Autopilot included</v>
      </c>
      <c r="S3057" t="str">
        <f>IFERROR(__xludf.DUMMYFUNCTION("""COMPUTED_VALUE"""),"Cash")</f>
        <v>Cash</v>
      </c>
      <c r="T3057" t="str">
        <f>IFERROR(__xludf.DUMMYFUNCTION("""COMPUTED_VALUE"""),"Ford Focus")</f>
        <v>Ford Focus</v>
      </c>
      <c r="U3057" t="str">
        <f>IFERROR(__xludf.DUMMYFUNCTION("""COMPUTED_VALUE"""),"Electric!")</f>
        <v>Electric!</v>
      </c>
      <c r="V3057" t="str">
        <f>IFERROR(__xludf.DUMMYFUNCTION("""COMPUTED_VALUE"""),"Dashboard")</f>
        <v>Dashboard</v>
      </c>
      <c r="AH3057" s="189">
        <f>IFERROR(__xludf.DUMMYFUNCTION("""COMPUTED_VALUE"""),44401.573815173615)</f>
        <v>44401.57382</v>
      </c>
    </row>
    <row r="3058">
      <c r="A3058" t="str">
        <f>IFERROR(__xludf.DUMMYFUNCTION("""COMPUTED_VALUE"""),"JustJohn")</f>
        <v>JustJohn</v>
      </c>
      <c r="C3058" t="str">
        <f>IFERROR(__xludf.DUMMYFUNCTION("""COMPUTED_VALUE"""),"SC")</f>
        <v>SC</v>
      </c>
      <c r="D3058" t="str">
        <f>IFERROR(__xludf.DUMMYFUNCTION("""COMPUTED_VALUE"""),"USA")</f>
        <v>USA</v>
      </c>
      <c r="E3058" s="188">
        <f>IFERROR(__xludf.DUMMYFUNCTION("""COMPUTED_VALUE"""),44370.0)</f>
        <v>44370</v>
      </c>
      <c r="F3058" s="188">
        <f>IFERROR(__xludf.DUMMYFUNCTION("""COMPUTED_VALUE"""),44409.0)</f>
        <v>44409</v>
      </c>
      <c r="G3058" t="str">
        <f>IFERROR(__xludf.DUMMYFUNCTION("""COMPUTED_VALUE"""),"Manage order page (normal text)")</f>
        <v>Manage order page (normal text)</v>
      </c>
      <c r="H3058">
        <f>IFERROR(__xludf.DUMMYFUNCTION("""COMPUTED_VALUE"""),25555.0)</f>
        <v>25555</v>
      </c>
      <c r="J3058" s="188">
        <f>IFERROR(__xludf.DUMMYFUNCTION("""COMPUTED_VALUE"""),44423.0)</f>
        <v>44423</v>
      </c>
      <c r="K3058">
        <f>IFERROR(__xludf.DUMMYFUNCTION("""COMPUTED_VALUE"""),39.0)</f>
        <v>39</v>
      </c>
      <c r="L3058">
        <f>IFERROR(__xludf.DUMMYFUNCTION("""COMPUTED_VALUE"""),14.0)</f>
        <v>14</v>
      </c>
      <c r="M3058">
        <f>IFERROR(__xludf.DUMMYFUNCTION("""COMPUTED_VALUE"""),53.0)</f>
        <v>53</v>
      </c>
      <c r="N3058" t="str">
        <f>IFERROR(__xludf.DUMMYFUNCTION("""COMPUTED_VALUE"""),"Model 3 Performance")</f>
        <v>Model 3 Performance</v>
      </c>
      <c r="O3058" t="str">
        <f>IFERROR(__xludf.DUMMYFUNCTION("""COMPUTED_VALUE"""),"Deep Blue Metallic")</f>
        <v>Deep Blue Metallic</v>
      </c>
      <c r="P3058" t="str">
        <f>IFERROR(__xludf.DUMMYFUNCTION("""COMPUTED_VALUE"""),"20 inch")</f>
        <v>20 inch</v>
      </c>
      <c r="Q3058" t="str">
        <f>IFERROR(__xludf.DUMMYFUNCTION("""COMPUTED_VALUE"""),"All Black")</f>
        <v>All Black</v>
      </c>
      <c r="R3058" t="str">
        <f>IFERROR(__xludf.DUMMYFUNCTION("""COMPUTED_VALUE"""),"Autopilot included")</f>
        <v>Autopilot included</v>
      </c>
      <c r="S3058" t="str">
        <f>IFERROR(__xludf.DUMMYFUNCTION("""COMPUTED_VALUE"""),"Loan")</f>
        <v>Loan</v>
      </c>
      <c r="T3058" t="str">
        <f>IFERROR(__xludf.DUMMYFUNCTION("""COMPUTED_VALUE"""),"BMW i3")</f>
        <v>BMW i3</v>
      </c>
      <c r="U3058" t="str">
        <f>IFERROR(__xludf.DUMMYFUNCTION("""COMPUTED_VALUE"""),"Electric!")</f>
        <v>Electric!</v>
      </c>
      <c r="V3058" t="str">
        <f>IFERROR(__xludf.DUMMYFUNCTION("""COMPUTED_VALUE"""),"Head-up display")</f>
        <v>Head-up display</v>
      </c>
      <c r="X3058" t="str">
        <f>IFERROR(__xludf.DUMMYFUNCTION("""COMPUTED_VALUE"""),"Very Good")</f>
        <v>Very Good</v>
      </c>
      <c r="Y3058" t="str">
        <f>IFERROR(__xludf.DUMMYFUNCTION("""COMPUTED_VALUE"""),"Very Good")</f>
        <v>Very Good</v>
      </c>
      <c r="Z3058" t="str">
        <f>IFERROR(__xludf.DUMMYFUNCTION("""COMPUTED_VALUE"""),"Excellent")</f>
        <v>Excellent</v>
      </c>
      <c r="AA3058" t="str">
        <f>IFERROR(__xludf.DUMMYFUNCTION("""COMPUTED_VALUE"""),"Poor")</f>
        <v>Poor</v>
      </c>
      <c r="AB3058" t="str">
        <f>IFERROR(__xludf.DUMMYFUNCTION("""COMPUTED_VALUE"""),"Excellent")</f>
        <v>Excellent</v>
      </c>
      <c r="AF3058" t="str">
        <f>IFERROR(__xludf.DUMMYFUNCTION("""COMPUTED_VALUE"""),"No. I took delivery of the first car Tesla was able to deliver.")</f>
        <v>No. I took delivery of the first car Tesla was able to deliver.</v>
      </c>
      <c r="AH3058" s="189">
        <f>IFERROR(__xludf.DUMMYFUNCTION("""COMPUTED_VALUE"""),44424.20996436343)</f>
        <v>44424.20996</v>
      </c>
    </row>
    <row r="3059">
      <c r="A3059" t="str">
        <f>IFERROR(__xludf.DUMMYFUNCTION("""COMPUTED_VALUE"""),"JFguerrero")</f>
        <v>JFguerrero</v>
      </c>
      <c r="C3059" t="str">
        <f>IFERROR(__xludf.DUMMYFUNCTION("""COMPUTED_VALUE"""),"FL")</f>
        <v>FL</v>
      </c>
      <c r="D3059" t="str">
        <f>IFERROR(__xludf.DUMMYFUNCTION("""COMPUTED_VALUE"""),"USA")</f>
        <v>USA</v>
      </c>
      <c r="E3059" s="188">
        <f>IFERROR(__xludf.DUMMYFUNCTION("""COMPUTED_VALUE"""),44363.0)</f>
        <v>44363</v>
      </c>
      <c r="J3059" s="188">
        <f>IFERROR(__xludf.DUMMYFUNCTION("""COMPUTED_VALUE"""),44401.0)</f>
        <v>44401</v>
      </c>
      <c r="M3059">
        <f>IFERROR(__xludf.DUMMYFUNCTION("""COMPUTED_VALUE"""),38.0)</f>
        <v>38</v>
      </c>
      <c r="N3059" t="str">
        <f>IFERROR(__xludf.DUMMYFUNCTION("""COMPUTED_VALUE"""),"Model 3 SR+")</f>
        <v>Model 3 SR+</v>
      </c>
      <c r="O3059" t="str">
        <f>IFERROR(__xludf.DUMMYFUNCTION("""COMPUTED_VALUE"""),"Midnight Silver Metallic")</f>
        <v>Midnight Silver Metallic</v>
      </c>
      <c r="P3059" t="str">
        <f>IFERROR(__xludf.DUMMYFUNCTION("""COMPUTED_VALUE"""),"18 inch")</f>
        <v>18 inch</v>
      </c>
      <c r="Q3059" t="str">
        <f>IFERROR(__xludf.DUMMYFUNCTION("""COMPUTED_VALUE"""),"All Black")</f>
        <v>All Black</v>
      </c>
      <c r="R3059" t="str">
        <f>IFERROR(__xludf.DUMMYFUNCTION("""COMPUTED_VALUE"""),"Autopilot included")</f>
        <v>Autopilot included</v>
      </c>
      <c r="AH3059" s="189">
        <f>IFERROR(__xludf.DUMMYFUNCTION("""COMPUTED_VALUE"""),44386.43681342593)</f>
        <v>44386.43681</v>
      </c>
    </row>
    <row r="3060">
      <c r="A3060" t="str">
        <f>IFERROR(__xludf.DUMMYFUNCTION("""COMPUTED_VALUE"""),"CorruptedJosh")</f>
        <v>CorruptedJosh</v>
      </c>
      <c r="B3060" t="str">
        <f>IFERROR(__xludf.DUMMYFUNCTION("""COMPUTED_VALUE"""),"Austin")</f>
        <v>Austin</v>
      </c>
      <c r="C3060" t="str">
        <f>IFERROR(__xludf.DUMMYFUNCTION("""COMPUTED_VALUE"""),"TX")</f>
        <v>TX</v>
      </c>
      <c r="D3060" t="str">
        <f>IFERROR(__xludf.DUMMYFUNCTION("""COMPUTED_VALUE"""),"USA")</f>
        <v>USA</v>
      </c>
      <c r="E3060" s="188">
        <f>IFERROR(__xludf.DUMMYFUNCTION("""COMPUTED_VALUE"""),44362.0)</f>
        <v>44362</v>
      </c>
      <c r="F3060" s="188">
        <f>IFERROR(__xludf.DUMMYFUNCTION("""COMPUTED_VALUE"""),44438.0)</f>
        <v>44438</v>
      </c>
      <c r="G3060" t="str">
        <f>IFERROR(__xludf.DUMMYFUNCTION("""COMPUTED_VALUE"""),"Manage order page (normal text)")</f>
        <v>Manage order page (normal text)</v>
      </c>
      <c r="H3060">
        <f>IFERROR(__xludf.DUMMYFUNCTION("""COMPUTED_VALUE"""),48155.0)</f>
        <v>48155</v>
      </c>
      <c r="K3060">
        <f>IFERROR(__xludf.DUMMYFUNCTION("""COMPUTED_VALUE"""),76.0)</f>
        <v>76</v>
      </c>
      <c r="N3060" t="str">
        <f>IFERROR(__xludf.DUMMYFUNCTION("""COMPUTED_VALUE"""),"Model 3 SR+")</f>
        <v>Model 3 SR+</v>
      </c>
      <c r="O3060" t="str">
        <f>IFERROR(__xludf.DUMMYFUNCTION("""COMPUTED_VALUE"""),"Midnight Silver Metallic")</f>
        <v>Midnight Silver Metallic</v>
      </c>
      <c r="P3060" t="str">
        <f>IFERROR(__xludf.DUMMYFUNCTION("""COMPUTED_VALUE"""),"18 inch")</f>
        <v>18 inch</v>
      </c>
      <c r="Q3060" t="str">
        <f>IFERROR(__xludf.DUMMYFUNCTION("""COMPUTED_VALUE"""),"All Black")</f>
        <v>All Black</v>
      </c>
      <c r="R3060" t="str">
        <f>IFERROR(__xludf.DUMMYFUNCTION("""COMPUTED_VALUE"""),"Autopilot included")</f>
        <v>Autopilot included</v>
      </c>
      <c r="S3060" t="str">
        <f>IFERROR(__xludf.DUMMYFUNCTION("""COMPUTED_VALUE"""),"Loan")</f>
        <v>Loan</v>
      </c>
      <c r="T3060" t="str">
        <f>IFERROR(__xludf.DUMMYFUNCTION("""COMPUTED_VALUE"""),"2017 Hyundai Elantra")</f>
        <v>2017 Hyundai Elantra</v>
      </c>
      <c r="AH3060" s="189">
        <f>IFERROR(__xludf.DUMMYFUNCTION("""COMPUTED_VALUE"""),44438.34508008102)</f>
        <v>44438.34508</v>
      </c>
    </row>
    <row r="3061">
      <c r="A3061" t="str">
        <f>IFERROR(__xludf.DUMMYFUNCTION("""COMPUTED_VALUE"""),"SJTESLA408")</f>
        <v>SJTESLA408</v>
      </c>
      <c r="B3061" t="str">
        <f>IFERROR(__xludf.DUMMYFUNCTION("""COMPUTED_VALUE"""),"San Jose ")</f>
        <v>San Jose </v>
      </c>
      <c r="C3061" t="str">
        <f>IFERROR(__xludf.DUMMYFUNCTION("""COMPUTED_VALUE"""),"CA")</f>
        <v>CA</v>
      </c>
      <c r="D3061" t="str">
        <f>IFERROR(__xludf.DUMMYFUNCTION("""COMPUTED_VALUE"""),"USA")</f>
        <v>USA</v>
      </c>
      <c r="E3061" s="188">
        <f>IFERROR(__xludf.DUMMYFUNCTION("""COMPUTED_VALUE"""),44308.0)</f>
        <v>44308</v>
      </c>
      <c r="F3061" s="188">
        <f>IFERROR(__xludf.DUMMYFUNCTION("""COMPUTED_VALUE"""),44372.0)</f>
        <v>44372</v>
      </c>
      <c r="G3061" t="str">
        <f>IFERROR(__xludf.DUMMYFUNCTION("""COMPUTED_VALUE"""),"Email")</f>
        <v>Email</v>
      </c>
      <c r="J3061" s="188">
        <f>IFERROR(__xludf.DUMMYFUNCTION("""COMPUTED_VALUE"""),44372.0)</f>
        <v>44372</v>
      </c>
      <c r="K3061">
        <f>IFERROR(__xludf.DUMMYFUNCTION("""COMPUTED_VALUE"""),64.0)</f>
        <v>64</v>
      </c>
      <c r="L3061">
        <f>IFERROR(__xludf.DUMMYFUNCTION("""COMPUTED_VALUE"""),0.0)</f>
        <v>0</v>
      </c>
      <c r="M3061">
        <f>IFERROR(__xludf.DUMMYFUNCTION("""COMPUTED_VALUE"""),64.0)</f>
        <v>64</v>
      </c>
      <c r="N3061" t="str">
        <f>IFERROR(__xludf.DUMMYFUNCTION("""COMPUTED_VALUE"""),"Model 3 SR+")</f>
        <v>Model 3 SR+</v>
      </c>
      <c r="O3061" t="str">
        <f>IFERROR(__xludf.DUMMYFUNCTION("""COMPUTED_VALUE"""),"Pearl White Multi-Coat")</f>
        <v>Pearl White Multi-Coat</v>
      </c>
      <c r="P3061" t="str">
        <f>IFERROR(__xludf.DUMMYFUNCTION("""COMPUTED_VALUE"""),"18 inch")</f>
        <v>18 inch</v>
      </c>
      <c r="Q3061" t="str">
        <f>IFERROR(__xludf.DUMMYFUNCTION("""COMPUTED_VALUE"""),"All Black")</f>
        <v>All Black</v>
      </c>
      <c r="R3061" t="str">
        <f>IFERROR(__xludf.DUMMYFUNCTION("""COMPUTED_VALUE"""),"Autopilot included")</f>
        <v>Autopilot included</v>
      </c>
      <c r="S3061" t="str">
        <f>IFERROR(__xludf.DUMMYFUNCTION("""COMPUTED_VALUE"""),"Cash")</f>
        <v>Cash</v>
      </c>
      <c r="T3061" t="str">
        <f>IFERROR(__xludf.DUMMYFUNCTION("""COMPUTED_VALUE"""),"Honda Accord")</f>
        <v>Honda Accord</v>
      </c>
      <c r="U3061" t="str">
        <f>IFERROR(__xludf.DUMMYFUNCTION("""COMPUTED_VALUE"""),"Electric!")</f>
        <v>Electric!</v>
      </c>
      <c r="V3061" t="str">
        <f>IFERROR(__xludf.DUMMYFUNCTION("""COMPUTED_VALUE"""),"Apple CarPlay / Android Auto / SiriusXM Radio")</f>
        <v>Apple CarPlay / Android Auto / SiriusXM Radio</v>
      </c>
      <c r="X3061" t="str">
        <f>IFERROR(__xludf.DUMMYFUNCTION("""COMPUTED_VALUE"""),"Excellent")</f>
        <v>Excellent</v>
      </c>
      <c r="Y3061" t="str">
        <f>IFERROR(__xludf.DUMMYFUNCTION("""COMPUTED_VALUE"""),"Excellent")</f>
        <v>Excellent</v>
      </c>
      <c r="Z3061" t="str">
        <f>IFERROR(__xludf.DUMMYFUNCTION("""COMPUTED_VALUE"""),"Excellent")</f>
        <v>Excellent</v>
      </c>
      <c r="AA3061" t="str">
        <f>IFERROR(__xludf.DUMMYFUNCTION("""COMPUTED_VALUE"""),"Excellent")</f>
        <v>Excellent</v>
      </c>
      <c r="AB3061" t="str">
        <f>IFERROR(__xludf.DUMMYFUNCTION("""COMPUTED_VALUE"""),"Excellent")</f>
        <v>Excellent</v>
      </c>
      <c r="AH3061" s="189">
        <f>IFERROR(__xludf.DUMMYFUNCTION("""COMPUTED_VALUE"""),44373.27189203704)</f>
        <v>44373.27189</v>
      </c>
    </row>
    <row r="3062">
      <c r="A3062" t="str">
        <f>IFERROR(__xludf.DUMMYFUNCTION("""COMPUTED_VALUE"""),"StormTroop2k21")</f>
        <v>StormTroop2k21</v>
      </c>
      <c r="B3062" t="str">
        <f>IFERROR(__xludf.DUMMYFUNCTION("""COMPUTED_VALUE"""),"Sunnyvale")</f>
        <v>Sunnyvale</v>
      </c>
      <c r="C3062" t="str">
        <f>IFERROR(__xludf.DUMMYFUNCTION("""COMPUTED_VALUE"""),"CA")</f>
        <v>CA</v>
      </c>
      <c r="D3062" t="str">
        <f>IFERROR(__xludf.DUMMYFUNCTION("""COMPUTED_VALUE"""),"USA")</f>
        <v>USA</v>
      </c>
      <c r="E3062" s="188">
        <f>IFERROR(__xludf.DUMMYFUNCTION("""COMPUTED_VALUE"""),44369.0)</f>
        <v>44369</v>
      </c>
      <c r="F3062" s="188">
        <f>IFERROR(__xludf.DUMMYFUNCTION("""COMPUTED_VALUE"""),44369.0)</f>
        <v>44369</v>
      </c>
      <c r="G3062" t="str">
        <f>IFERROR(__xludf.DUMMYFUNCTION("""COMPUTED_VALUE"""),"Manage order page (normal text)")</f>
        <v>Manage order page (normal text)</v>
      </c>
      <c r="H3062">
        <f>IFERROR(__xludf.DUMMYFUNCTION("""COMPUTED_VALUE"""),998255.0)</f>
        <v>998255</v>
      </c>
      <c r="I3062" t="str">
        <f>IFERROR(__xludf.DUMMYFUNCTION("""COMPUTED_VALUE"""),"06/21")</f>
        <v>06/21</v>
      </c>
      <c r="J3062" s="188">
        <f>IFERROR(__xludf.DUMMYFUNCTION("""COMPUTED_VALUE"""),44371.0)</f>
        <v>44371</v>
      </c>
      <c r="K3062">
        <f>IFERROR(__xludf.DUMMYFUNCTION("""COMPUTED_VALUE"""),0.0)</f>
        <v>0</v>
      </c>
      <c r="L3062">
        <f>IFERROR(__xludf.DUMMYFUNCTION("""COMPUTED_VALUE"""),2.0)</f>
        <v>2</v>
      </c>
      <c r="M3062">
        <f>IFERROR(__xludf.DUMMYFUNCTION("""COMPUTED_VALUE"""),2.0)</f>
        <v>2</v>
      </c>
      <c r="N3062" t="str">
        <f>IFERROR(__xludf.DUMMYFUNCTION("""COMPUTED_VALUE"""),"Model 3 SR+")</f>
        <v>Model 3 SR+</v>
      </c>
      <c r="O3062" t="str">
        <f>IFERROR(__xludf.DUMMYFUNCTION("""COMPUTED_VALUE"""),"Pearl White Multi-Coat")</f>
        <v>Pearl White Multi-Coat</v>
      </c>
      <c r="P3062" t="str">
        <f>IFERROR(__xludf.DUMMYFUNCTION("""COMPUTED_VALUE"""),"18 inch")</f>
        <v>18 inch</v>
      </c>
      <c r="Q3062" t="str">
        <f>IFERROR(__xludf.DUMMYFUNCTION("""COMPUTED_VALUE"""),"All Black")</f>
        <v>All Black</v>
      </c>
      <c r="R3062" t="str">
        <f>IFERROR(__xludf.DUMMYFUNCTION("""COMPUTED_VALUE"""),"Autopilot included")</f>
        <v>Autopilot included</v>
      </c>
      <c r="S3062" t="str">
        <f>IFERROR(__xludf.DUMMYFUNCTION("""COMPUTED_VALUE"""),"Loan")</f>
        <v>Loan</v>
      </c>
      <c r="U3062" t="str">
        <f>IFERROR(__xludf.DUMMYFUNCTION("""COMPUTED_VALUE"""),"Electric!")</f>
        <v>Electric!</v>
      </c>
      <c r="V3062" t="str">
        <f>IFERROR(__xludf.DUMMYFUNCTION("""COMPUTED_VALUE"""),"Head-up display")</f>
        <v>Head-up display</v>
      </c>
      <c r="X3062" t="str">
        <f>IFERROR(__xludf.DUMMYFUNCTION("""COMPUTED_VALUE"""),"Very Good")</f>
        <v>Very Good</v>
      </c>
      <c r="Y3062" t="str">
        <f>IFERROR(__xludf.DUMMYFUNCTION("""COMPUTED_VALUE"""),"Excellent")</f>
        <v>Excellent</v>
      </c>
      <c r="Z3062" t="str">
        <f>IFERROR(__xludf.DUMMYFUNCTION("""COMPUTED_VALUE"""),"Excellent")</f>
        <v>Excellent</v>
      </c>
      <c r="AA3062" t="str">
        <f>IFERROR(__xludf.DUMMYFUNCTION("""COMPUTED_VALUE"""),"Very Good")</f>
        <v>Very Good</v>
      </c>
      <c r="AB3062" t="str">
        <f>IFERROR(__xludf.DUMMYFUNCTION("""COMPUTED_VALUE"""),"Very Good")</f>
        <v>Very Good</v>
      </c>
      <c r="AF3062" t="str">
        <f>IFERROR(__xludf.DUMMYFUNCTION("""COMPUTED_VALUE"""),"No. I took delivery of the first car Tesla was able to deliver.")</f>
        <v>No. I took delivery of the first car Tesla was able to deliver.</v>
      </c>
      <c r="AH3062" s="189">
        <f>IFERROR(__xludf.DUMMYFUNCTION("""COMPUTED_VALUE"""),44372.24150849537)</f>
        <v>44372.24151</v>
      </c>
    </row>
    <row r="3063">
      <c r="A3063" t="str">
        <f>IFERROR(__xludf.DUMMYFUNCTION("""COMPUTED_VALUE"""),"key007")</f>
        <v>key007</v>
      </c>
      <c r="B3063" t="str">
        <f>IFERROR(__xludf.DUMMYFUNCTION("""COMPUTED_VALUE"""),"Colma")</f>
        <v>Colma</v>
      </c>
      <c r="C3063" t="str">
        <f>IFERROR(__xludf.DUMMYFUNCTION("""COMPUTED_VALUE"""),"CA")</f>
        <v>CA</v>
      </c>
      <c r="D3063" t="str">
        <f>IFERROR(__xludf.DUMMYFUNCTION("""COMPUTED_VALUE"""),"USA")</f>
        <v>USA</v>
      </c>
      <c r="E3063" s="188">
        <f>IFERROR(__xludf.DUMMYFUNCTION("""COMPUTED_VALUE"""),44359.0)</f>
        <v>44359</v>
      </c>
      <c r="F3063" s="188">
        <f>IFERROR(__xludf.DUMMYFUNCTION("""COMPUTED_VALUE"""),44379.0)</f>
        <v>44379</v>
      </c>
      <c r="G3063" t="str">
        <f>IFERROR(__xludf.DUMMYFUNCTION("""COMPUTED_VALUE"""),"Manage order page (normal text)")</f>
        <v>Manage order page (normal text)</v>
      </c>
      <c r="H3063">
        <f>IFERROR(__xludf.DUMMYFUNCTION("""COMPUTED_VALUE"""),13655.0)</f>
        <v>13655</v>
      </c>
      <c r="J3063" s="188">
        <f>IFERROR(__xludf.DUMMYFUNCTION("""COMPUTED_VALUE"""),44391.0)</f>
        <v>44391</v>
      </c>
      <c r="K3063">
        <f>IFERROR(__xludf.DUMMYFUNCTION("""COMPUTED_VALUE"""),20.0)</f>
        <v>20</v>
      </c>
      <c r="L3063">
        <f>IFERROR(__xludf.DUMMYFUNCTION("""COMPUTED_VALUE"""),12.0)</f>
        <v>12</v>
      </c>
      <c r="M3063">
        <f>IFERROR(__xludf.DUMMYFUNCTION("""COMPUTED_VALUE"""),32.0)</f>
        <v>32</v>
      </c>
      <c r="N3063" t="str">
        <f>IFERROR(__xludf.DUMMYFUNCTION("""COMPUTED_VALUE"""),"Model 3 SR+")</f>
        <v>Model 3 SR+</v>
      </c>
      <c r="O3063" t="str">
        <f>IFERROR(__xludf.DUMMYFUNCTION("""COMPUTED_VALUE"""),"Pearl White Multi-Coat")</f>
        <v>Pearl White Multi-Coat</v>
      </c>
      <c r="P3063" t="str">
        <f>IFERROR(__xludf.DUMMYFUNCTION("""COMPUTED_VALUE"""),"18 inch")</f>
        <v>18 inch</v>
      </c>
      <c r="Q3063" t="str">
        <f>IFERROR(__xludf.DUMMYFUNCTION("""COMPUTED_VALUE"""),"All Black")</f>
        <v>All Black</v>
      </c>
      <c r="R3063" t="str">
        <f>IFERROR(__xludf.DUMMYFUNCTION("""COMPUTED_VALUE"""),"Autopilot included")</f>
        <v>Autopilot included</v>
      </c>
      <c r="S3063" t="str">
        <f>IFERROR(__xludf.DUMMYFUNCTION("""COMPUTED_VALUE"""),"Loan")</f>
        <v>Loan</v>
      </c>
      <c r="AH3063" s="189">
        <f>IFERROR(__xludf.DUMMYFUNCTION("""COMPUTED_VALUE"""),44390.361598240735)</f>
        <v>44390.3616</v>
      </c>
    </row>
    <row r="3064">
      <c r="A3064" t="str">
        <f>IFERROR(__xludf.DUMMYFUNCTION("""COMPUTED_VALUE"""),"hueymcdangle")</f>
        <v>hueymcdangle</v>
      </c>
      <c r="B3064" t="str">
        <f>IFERROR(__xludf.DUMMYFUNCTION("""COMPUTED_VALUE"""),"Atlanta")</f>
        <v>Atlanta</v>
      </c>
      <c r="C3064" t="str">
        <f>IFERROR(__xludf.DUMMYFUNCTION("""COMPUTED_VALUE"""),"GA")</f>
        <v>GA</v>
      </c>
      <c r="D3064" t="str">
        <f>IFERROR(__xludf.DUMMYFUNCTION("""COMPUTED_VALUE"""),"USA")</f>
        <v>USA</v>
      </c>
      <c r="E3064" s="188">
        <f>IFERROR(__xludf.DUMMYFUNCTION("""COMPUTED_VALUE"""),44370.0)</f>
        <v>44370</v>
      </c>
      <c r="F3064" s="188">
        <f>IFERROR(__xludf.DUMMYFUNCTION("""COMPUTED_VALUE"""),44399.0)</f>
        <v>44399</v>
      </c>
      <c r="G3064" t="str">
        <f>IFERROR(__xludf.DUMMYFUNCTION("""COMPUTED_VALUE"""),"Existing Inventory")</f>
        <v>Existing Inventory</v>
      </c>
      <c r="H3064">
        <f>IFERROR(__xludf.DUMMYFUNCTION("""COMPUTED_VALUE"""),15651.0)</f>
        <v>15651</v>
      </c>
      <c r="J3064" s="188">
        <f>IFERROR(__xludf.DUMMYFUNCTION("""COMPUTED_VALUE"""),44406.0)</f>
        <v>44406</v>
      </c>
      <c r="K3064">
        <f>IFERROR(__xludf.DUMMYFUNCTION("""COMPUTED_VALUE"""),29.0)</f>
        <v>29</v>
      </c>
      <c r="L3064">
        <f>IFERROR(__xludf.DUMMYFUNCTION("""COMPUTED_VALUE"""),7.0)</f>
        <v>7</v>
      </c>
      <c r="M3064">
        <f>IFERROR(__xludf.DUMMYFUNCTION("""COMPUTED_VALUE"""),36.0)</f>
        <v>36</v>
      </c>
      <c r="N3064" t="str">
        <f>IFERROR(__xludf.DUMMYFUNCTION("""COMPUTED_VALUE"""),"Model 3 LR AWD")</f>
        <v>Model 3 LR AWD</v>
      </c>
      <c r="O3064" t="str">
        <f>IFERROR(__xludf.DUMMYFUNCTION("""COMPUTED_VALUE"""),"Pearl White Multi-Coat")</f>
        <v>Pearl White Multi-Coat</v>
      </c>
      <c r="P3064" t="str">
        <f>IFERROR(__xludf.DUMMYFUNCTION("""COMPUTED_VALUE"""),"19 inch")</f>
        <v>19 inch</v>
      </c>
      <c r="Q3064" t="str">
        <f>IFERROR(__xludf.DUMMYFUNCTION("""COMPUTED_VALUE"""),"Black and White")</f>
        <v>Black and White</v>
      </c>
      <c r="R3064" t="str">
        <f>IFERROR(__xludf.DUMMYFUNCTION("""COMPUTED_VALUE"""),"Autopilot included")</f>
        <v>Autopilot included</v>
      </c>
      <c r="S3064" t="str">
        <f>IFERROR(__xludf.DUMMYFUNCTION("""COMPUTED_VALUE"""),"Lease")</f>
        <v>Lease</v>
      </c>
      <c r="T3064" t="str">
        <f>IFERROR(__xludf.DUMMYFUNCTION("""COMPUTED_VALUE"""),"Chevrolet Tahoe")</f>
        <v>Chevrolet Tahoe</v>
      </c>
      <c r="U3064" t="str">
        <f>IFERROR(__xludf.DUMMYFUNCTION("""COMPUTED_VALUE"""),"Autopilot")</f>
        <v>Autopilot</v>
      </c>
      <c r="V3064" t="str">
        <f>IFERROR(__xludf.DUMMYFUNCTION("""COMPUTED_VALUE"""),"360° Bird's eye view")</f>
        <v>360° Bird's eye view</v>
      </c>
      <c r="AH3064" s="189">
        <f>IFERROR(__xludf.DUMMYFUNCTION("""COMPUTED_VALUE"""),44400.839028692135)</f>
        <v>44400.83903</v>
      </c>
    </row>
    <row r="3065">
      <c r="A3065" t="str">
        <f>IFERROR(__xludf.DUMMYFUNCTION("""COMPUTED_VALUE"""),"dorydiver")</f>
        <v>dorydiver</v>
      </c>
      <c r="B3065" t="str">
        <f>IFERROR(__xludf.DUMMYFUNCTION("""COMPUTED_VALUE"""),"Monterey, CA")</f>
        <v>Monterey, CA</v>
      </c>
      <c r="C3065" t="str">
        <f>IFERROR(__xludf.DUMMYFUNCTION("""COMPUTED_VALUE"""),"CA")</f>
        <v>CA</v>
      </c>
      <c r="D3065" t="str">
        <f>IFERROR(__xludf.DUMMYFUNCTION("""COMPUTED_VALUE"""),"USA")</f>
        <v>USA</v>
      </c>
      <c r="E3065" s="188">
        <f>IFERROR(__xludf.DUMMYFUNCTION("""COMPUTED_VALUE"""),44346.0)</f>
        <v>44346</v>
      </c>
      <c r="F3065" s="188">
        <f>IFERROR(__xludf.DUMMYFUNCTION("""COMPUTED_VALUE"""),44375.0)</f>
        <v>44375</v>
      </c>
      <c r="G3065" t="str">
        <f>IFERROR(__xludf.DUMMYFUNCTION("""COMPUTED_VALUE"""),"Text message")</f>
        <v>Text message</v>
      </c>
      <c r="H3065">
        <f>IFERROR(__xludf.DUMMYFUNCTION("""COMPUTED_VALUE"""),7255.0)</f>
        <v>7255</v>
      </c>
      <c r="I3065" t="str">
        <f>IFERROR(__xludf.DUMMYFUNCTION("""COMPUTED_VALUE"""),"06/21")</f>
        <v>06/21</v>
      </c>
      <c r="J3065" s="188">
        <f>IFERROR(__xludf.DUMMYFUNCTION("""COMPUTED_VALUE"""),44377.0)</f>
        <v>44377</v>
      </c>
      <c r="K3065">
        <f>IFERROR(__xludf.DUMMYFUNCTION("""COMPUTED_VALUE"""),29.0)</f>
        <v>29</v>
      </c>
      <c r="L3065">
        <f>IFERROR(__xludf.DUMMYFUNCTION("""COMPUTED_VALUE"""),2.0)</f>
        <v>2</v>
      </c>
      <c r="M3065">
        <f>IFERROR(__xludf.DUMMYFUNCTION("""COMPUTED_VALUE"""),31.0)</f>
        <v>31</v>
      </c>
      <c r="N3065" t="str">
        <f>IFERROR(__xludf.DUMMYFUNCTION("""COMPUTED_VALUE"""),"Model 3 SR+")</f>
        <v>Model 3 SR+</v>
      </c>
      <c r="O3065" t="str">
        <f>IFERROR(__xludf.DUMMYFUNCTION("""COMPUTED_VALUE"""),"Midnight Silver Metallic")</f>
        <v>Midnight Silver Metallic</v>
      </c>
      <c r="P3065" t="str">
        <f>IFERROR(__xludf.DUMMYFUNCTION("""COMPUTED_VALUE"""),"18 inch")</f>
        <v>18 inch</v>
      </c>
      <c r="Q3065" t="str">
        <f>IFERROR(__xludf.DUMMYFUNCTION("""COMPUTED_VALUE"""),"All Black")</f>
        <v>All Black</v>
      </c>
      <c r="R3065" t="str">
        <f>IFERROR(__xludf.DUMMYFUNCTION("""COMPUTED_VALUE"""),"Autopilot included")</f>
        <v>Autopilot included</v>
      </c>
      <c r="S3065" t="str">
        <f>IFERROR(__xludf.DUMMYFUNCTION("""COMPUTED_VALUE"""),"Cash")</f>
        <v>Cash</v>
      </c>
      <c r="T3065" t="str">
        <f>IFERROR(__xludf.DUMMYFUNCTION("""COMPUTED_VALUE"""),"Hyundai Elantra")</f>
        <v>Hyundai Elantra</v>
      </c>
      <c r="U3065" t="str">
        <f>IFERROR(__xludf.DUMMYFUNCTION("""COMPUTED_VALUE"""),"technology")</f>
        <v>technology</v>
      </c>
      <c r="V3065" t="str">
        <f>IFERROR(__xludf.DUMMYFUNCTION("""COMPUTED_VALUE"""),"Apple CarPlay / Android Auto / SiriusXM Radio")</f>
        <v>Apple CarPlay / Android Auto / SiriusXM Radio</v>
      </c>
      <c r="AA3065" t="str">
        <f>IFERROR(__xludf.DUMMYFUNCTION("""COMPUTED_VALUE"""),"Very Good")</f>
        <v>Very Good</v>
      </c>
      <c r="AF3065" t="str">
        <f>IFERROR(__xludf.DUMMYFUNCTION("""COMPUTED_VALUE"""),"No. I took delivery of the first car Tesla was able to deliver.")</f>
        <v>No. I took delivery of the first car Tesla was able to deliver.</v>
      </c>
      <c r="AH3065" s="189">
        <f>IFERROR(__xludf.DUMMYFUNCTION("""COMPUTED_VALUE"""),44375.321678900465)</f>
        <v>44375.32168</v>
      </c>
    </row>
    <row r="3066">
      <c r="A3066" t="str">
        <f>IFERROR(__xludf.DUMMYFUNCTION("""COMPUTED_VALUE"""),"DeshMindER")</f>
        <v>DeshMindER</v>
      </c>
      <c r="B3066" t="str">
        <f>IFERROR(__xludf.DUMMYFUNCTION("""COMPUTED_VALUE"""),"Austin")</f>
        <v>Austin</v>
      </c>
      <c r="C3066" t="str">
        <f>IFERROR(__xludf.DUMMYFUNCTION("""COMPUTED_VALUE"""),"TX")</f>
        <v>TX</v>
      </c>
      <c r="D3066" t="str">
        <f>IFERROR(__xludf.DUMMYFUNCTION("""COMPUTED_VALUE"""),"USA")</f>
        <v>USA</v>
      </c>
      <c r="E3066" s="188">
        <f>IFERROR(__xludf.DUMMYFUNCTION("""COMPUTED_VALUE"""),44363.0)</f>
        <v>44363</v>
      </c>
      <c r="F3066" s="188">
        <f>IFERROR(__xludf.DUMMYFUNCTION("""COMPUTED_VALUE"""),44412.0)</f>
        <v>44412</v>
      </c>
      <c r="G3066" t="str">
        <f>IFERROR(__xludf.DUMMYFUNCTION("""COMPUTED_VALUE"""),"Email")</f>
        <v>Email</v>
      </c>
      <c r="H3066">
        <f>IFERROR(__xludf.DUMMYFUNCTION("""COMPUTED_VALUE"""),22955.0)</f>
        <v>22955</v>
      </c>
      <c r="I3066" t="str">
        <f>IFERROR(__xludf.DUMMYFUNCTION("""COMPUTED_VALUE"""),"07/21")</f>
        <v>07/21</v>
      </c>
      <c r="J3066" s="188">
        <f>IFERROR(__xludf.DUMMYFUNCTION("""COMPUTED_VALUE"""),44419.0)</f>
        <v>44419</v>
      </c>
      <c r="K3066">
        <f>IFERROR(__xludf.DUMMYFUNCTION("""COMPUTED_VALUE"""),49.0)</f>
        <v>49</v>
      </c>
      <c r="L3066">
        <f>IFERROR(__xludf.DUMMYFUNCTION("""COMPUTED_VALUE"""),7.0)</f>
        <v>7</v>
      </c>
      <c r="M3066">
        <f>IFERROR(__xludf.DUMMYFUNCTION("""COMPUTED_VALUE"""),56.0)</f>
        <v>56</v>
      </c>
      <c r="N3066" t="str">
        <f>IFERROR(__xludf.DUMMYFUNCTION("""COMPUTED_VALUE"""),"Model 3 SR+")</f>
        <v>Model 3 SR+</v>
      </c>
      <c r="O3066" t="str">
        <f>IFERROR(__xludf.DUMMYFUNCTION("""COMPUTED_VALUE"""),"Deep Blue Metallic")</f>
        <v>Deep Blue Metallic</v>
      </c>
      <c r="P3066" t="str">
        <f>IFERROR(__xludf.DUMMYFUNCTION("""COMPUTED_VALUE"""),"18 inch")</f>
        <v>18 inch</v>
      </c>
      <c r="Q3066" t="str">
        <f>IFERROR(__xludf.DUMMYFUNCTION("""COMPUTED_VALUE"""),"All Black")</f>
        <v>All Black</v>
      </c>
      <c r="R3066" t="str">
        <f>IFERROR(__xludf.DUMMYFUNCTION("""COMPUTED_VALUE"""),"Autopilot included")</f>
        <v>Autopilot included</v>
      </c>
      <c r="S3066" t="str">
        <f>IFERROR(__xludf.DUMMYFUNCTION("""COMPUTED_VALUE"""),"Loan")</f>
        <v>Loan</v>
      </c>
      <c r="U3066" t="str">
        <f>IFERROR(__xludf.DUMMYFUNCTION("""COMPUTED_VALUE"""),"Electric!")</f>
        <v>Electric!</v>
      </c>
      <c r="V3066" t="str">
        <f>IFERROR(__xludf.DUMMYFUNCTION("""COMPUTED_VALUE"""),"Apple CarPlay / Android Auto / SiriusXM Radio")</f>
        <v>Apple CarPlay / Android Auto / SiriusXM Radio</v>
      </c>
      <c r="X3066" t="str">
        <f>IFERROR(__xludf.DUMMYFUNCTION("""COMPUTED_VALUE"""),"Good")</f>
        <v>Good</v>
      </c>
      <c r="Y3066" t="str">
        <f>IFERROR(__xludf.DUMMYFUNCTION("""COMPUTED_VALUE"""),"Excellent")</f>
        <v>Excellent</v>
      </c>
      <c r="Z3066" t="str">
        <f>IFERROR(__xludf.DUMMYFUNCTION("""COMPUTED_VALUE"""),"Very Good")</f>
        <v>Very Good</v>
      </c>
      <c r="AA3066" t="str">
        <f>IFERROR(__xludf.DUMMYFUNCTION("""COMPUTED_VALUE"""),"Poor")</f>
        <v>Poor</v>
      </c>
      <c r="AB3066" t="str">
        <f>IFERROR(__xludf.DUMMYFUNCTION("""COMPUTED_VALUE"""),"Poor")</f>
        <v>Poor</v>
      </c>
      <c r="AC3066">
        <f>IFERROR(__xludf.DUMMYFUNCTION("""COMPUTED_VALUE"""),2.0)</f>
        <v>2</v>
      </c>
      <c r="AF3066" t="str">
        <f>IFERROR(__xludf.DUMMYFUNCTION("""COMPUTED_VALUE"""),"No. I took delivery of the first car Tesla was able to deliver.")</f>
        <v>No. I took delivery of the first car Tesla was able to deliver.</v>
      </c>
      <c r="AH3066" s="189">
        <f>IFERROR(__xludf.DUMMYFUNCTION("""COMPUTED_VALUE"""),44419.84258166667)</f>
        <v>44419.84258</v>
      </c>
    </row>
    <row r="3067">
      <c r="A3067" t="str">
        <f>IFERROR(__xludf.DUMMYFUNCTION("""COMPUTED_VALUE"""),"Skal")</f>
        <v>Skal</v>
      </c>
      <c r="B3067" t="str">
        <f>IFERROR(__xludf.DUMMYFUNCTION("""COMPUTED_VALUE"""),"Jacksonville")</f>
        <v>Jacksonville</v>
      </c>
      <c r="C3067" t="str">
        <f>IFERROR(__xludf.DUMMYFUNCTION("""COMPUTED_VALUE"""),"FL")</f>
        <v>FL</v>
      </c>
      <c r="D3067" t="str">
        <f>IFERROR(__xludf.DUMMYFUNCTION("""COMPUTED_VALUE"""),"USA")</f>
        <v>USA</v>
      </c>
      <c r="E3067" s="188">
        <f>IFERROR(__xludf.DUMMYFUNCTION("""COMPUTED_VALUE"""),44362.0)</f>
        <v>44362</v>
      </c>
      <c r="F3067" s="188">
        <f>IFERROR(__xludf.DUMMYFUNCTION("""COMPUTED_VALUE"""),44411.0)</f>
        <v>44411</v>
      </c>
      <c r="G3067" t="str">
        <f>IFERROR(__xludf.DUMMYFUNCTION("""COMPUTED_VALUE"""),"Email")</f>
        <v>Email</v>
      </c>
      <c r="H3067">
        <f>IFERROR(__xludf.DUMMYFUNCTION("""COMPUTED_VALUE"""),29570.0)</f>
        <v>29570</v>
      </c>
      <c r="J3067" s="188">
        <f>IFERROR(__xludf.DUMMYFUNCTION("""COMPUTED_VALUE"""),44426.0)</f>
        <v>44426</v>
      </c>
      <c r="K3067">
        <f>IFERROR(__xludf.DUMMYFUNCTION("""COMPUTED_VALUE"""),49.0)</f>
        <v>49</v>
      </c>
      <c r="L3067">
        <f>IFERROR(__xludf.DUMMYFUNCTION("""COMPUTED_VALUE"""),15.0)</f>
        <v>15</v>
      </c>
      <c r="M3067">
        <f>IFERROR(__xludf.DUMMYFUNCTION("""COMPUTED_VALUE"""),64.0)</f>
        <v>64</v>
      </c>
      <c r="N3067" t="str">
        <f>IFERROR(__xludf.DUMMYFUNCTION("""COMPUTED_VALUE"""),"Model 3 Performance")</f>
        <v>Model 3 Performance</v>
      </c>
      <c r="O3067" t="str">
        <f>IFERROR(__xludf.DUMMYFUNCTION("""COMPUTED_VALUE"""),"Deep Blue Metallic")</f>
        <v>Deep Blue Metallic</v>
      </c>
      <c r="P3067" t="str">
        <f>IFERROR(__xludf.DUMMYFUNCTION("""COMPUTED_VALUE"""),"20 inch")</f>
        <v>20 inch</v>
      </c>
      <c r="Q3067" t="str">
        <f>IFERROR(__xludf.DUMMYFUNCTION("""COMPUTED_VALUE"""),"All Black")</f>
        <v>All Black</v>
      </c>
      <c r="R3067" t="str">
        <f>IFERROR(__xludf.DUMMYFUNCTION("""COMPUTED_VALUE"""),"Autopilot included")</f>
        <v>Autopilot included</v>
      </c>
      <c r="S3067" t="str">
        <f>IFERROR(__xludf.DUMMYFUNCTION("""COMPUTED_VALUE"""),"Cash")</f>
        <v>Cash</v>
      </c>
      <c r="T3067" t="str">
        <f>IFERROR(__xludf.DUMMYFUNCTION("""COMPUTED_VALUE"""),"Chevrolet Corvette Stingray")</f>
        <v>Chevrolet Corvette Stingray</v>
      </c>
      <c r="U3067" t="str">
        <f>IFERROR(__xludf.DUMMYFUNCTION("""COMPUTED_VALUE"""),"Supercharger V3 support")</f>
        <v>Supercharger V3 support</v>
      </c>
      <c r="V3067" t="str">
        <f>IFERROR(__xludf.DUMMYFUNCTION("""COMPUTED_VALUE"""),"Head-up display")</f>
        <v>Head-up display</v>
      </c>
      <c r="X3067" t="str">
        <f>IFERROR(__xludf.DUMMYFUNCTION("""COMPUTED_VALUE"""),"Very Good")</f>
        <v>Very Good</v>
      </c>
      <c r="Y3067" t="str">
        <f>IFERROR(__xludf.DUMMYFUNCTION("""COMPUTED_VALUE"""),"Very Good")</f>
        <v>Very Good</v>
      </c>
      <c r="Z3067" t="str">
        <f>IFERROR(__xludf.DUMMYFUNCTION("""COMPUTED_VALUE"""),"Excellent")</f>
        <v>Excellent</v>
      </c>
      <c r="AA3067" t="str">
        <f>IFERROR(__xludf.DUMMYFUNCTION("""COMPUTED_VALUE"""),"Good")</f>
        <v>Good</v>
      </c>
      <c r="AB3067" t="str">
        <f>IFERROR(__xludf.DUMMYFUNCTION("""COMPUTED_VALUE"""),"Excellent")</f>
        <v>Excellent</v>
      </c>
      <c r="AC3067">
        <f>IFERROR(__xludf.DUMMYFUNCTION("""COMPUTED_VALUE"""),4.0)</f>
        <v>4</v>
      </c>
      <c r="AD3067">
        <f>IFERROR(__xludf.DUMMYFUNCTION("""COMPUTED_VALUE"""),1.0)</f>
        <v>1</v>
      </c>
      <c r="AF3067" t="str">
        <f>IFERROR(__xludf.DUMMYFUNCTION("""COMPUTED_VALUE"""),"No. I took delivery of the first car Tesla was able to deliver.")</f>
        <v>No. I took delivery of the first car Tesla was able to deliver.</v>
      </c>
      <c r="AH3067" s="189">
        <f>IFERROR(__xludf.DUMMYFUNCTION("""COMPUTED_VALUE"""),44433.774527291665)</f>
        <v>44433.77453</v>
      </c>
    </row>
    <row r="3068">
      <c r="A3068" t="str">
        <f>IFERROR(__xludf.DUMMYFUNCTION("""COMPUTED_VALUE"""),"RAMSECON04")</f>
        <v>RAMSECON04</v>
      </c>
      <c r="B3068" t="str">
        <f>IFERROR(__xludf.DUMMYFUNCTION("""COMPUTED_VALUE"""),"Colorado Springs ")</f>
        <v>Colorado Springs </v>
      </c>
      <c r="C3068" t="str">
        <f>IFERROR(__xludf.DUMMYFUNCTION("""COMPUTED_VALUE"""),"CO")</f>
        <v>CO</v>
      </c>
      <c r="D3068" t="str">
        <f>IFERROR(__xludf.DUMMYFUNCTION("""COMPUTED_VALUE"""),"USA")</f>
        <v>USA</v>
      </c>
      <c r="E3068" s="188">
        <f>IFERROR(__xludf.DUMMYFUNCTION("""COMPUTED_VALUE"""),44370.0)</f>
        <v>44370</v>
      </c>
      <c r="F3068" s="188">
        <f>IFERROR(__xludf.DUMMYFUNCTION("""COMPUTED_VALUE"""),44424.0)</f>
        <v>44424</v>
      </c>
      <c r="G3068" t="str">
        <f>IFERROR(__xludf.DUMMYFUNCTION("""COMPUTED_VALUE"""),"Manage order page (normal text)")</f>
        <v>Manage order page (normal text)</v>
      </c>
      <c r="H3068">
        <f>IFERROR(__xludf.DUMMYFUNCTION("""COMPUTED_VALUE"""),44334.0)</f>
        <v>44334</v>
      </c>
      <c r="J3068" s="188">
        <f>IFERROR(__xludf.DUMMYFUNCTION("""COMPUTED_VALUE"""),44436.0)</f>
        <v>44436</v>
      </c>
      <c r="K3068">
        <f>IFERROR(__xludf.DUMMYFUNCTION("""COMPUTED_VALUE"""),54.0)</f>
        <v>54</v>
      </c>
      <c r="L3068">
        <f>IFERROR(__xludf.DUMMYFUNCTION("""COMPUTED_VALUE"""),12.0)</f>
        <v>12</v>
      </c>
      <c r="M3068">
        <f>IFERROR(__xludf.DUMMYFUNCTION("""COMPUTED_VALUE"""),66.0)</f>
        <v>66</v>
      </c>
      <c r="N3068" t="str">
        <f>IFERROR(__xludf.DUMMYFUNCTION("""COMPUTED_VALUE"""),"Model 3 LR AWD")</f>
        <v>Model 3 LR AWD</v>
      </c>
      <c r="O3068" t="str">
        <f>IFERROR(__xludf.DUMMYFUNCTION("""COMPUTED_VALUE"""),"Pearl White Multi-Coat")</f>
        <v>Pearl White Multi-Coat</v>
      </c>
      <c r="P3068" t="str">
        <f>IFERROR(__xludf.DUMMYFUNCTION("""COMPUTED_VALUE"""),"19 inch")</f>
        <v>19 inch</v>
      </c>
      <c r="Q3068" t="str">
        <f>IFERROR(__xludf.DUMMYFUNCTION("""COMPUTED_VALUE"""),"All Black")</f>
        <v>All Black</v>
      </c>
      <c r="R3068" t="str">
        <f>IFERROR(__xludf.DUMMYFUNCTION("""COMPUTED_VALUE"""),"Autopilot included")</f>
        <v>Autopilot included</v>
      </c>
      <c r="S3068" t="str">
        <f>IFERROR(__xludf.DUMMYFUNCTION("""COMPUTED_VALUE"""),"Loan")</f>
        <v>Loan</v>
      </c>
      <c r="T3068" t="str">
        <f>IFERROR(__xludf.DUMMYFUNCTION("""COMPUTED_VALUE"""),"Subaru Outback")</f>
        <v>Subaru Outback</v>
      </c>
      <c r="AH3068" s="189">
        <f>IFERROR(__xludf.DUMMYFUNCTION("""COMPUTED_VALUE"""),44432.78857087963)</f>
        <v>44432.78857</v>
      </c>
    </row>
    <row r="3069">
      <c r="A3069" t="str">
        <f>IFERROR(__xludf.DUMMYFUNCTION("""COMPUTED_VALUE"""),"jrmt23")</f>
        <v>jrmt23</v>
      </c>
      <c r="B3069" t="str">
        <f>IFERROR(__xludf.DUMMYFUNCTION("""COMPUTED_VALUE"""),"Houston")</f>
        <v>Houston</v>
      </c>
      <c r="C3069" t="str">
        <f>IFERROR(__xludf.DUMMYFUNCTION("""COMPUTED_VALUE"""),"TX")</f>
        <v>TX</v>
      </c>
      <c r="D3069" t="str">
        <f>IFERROR(__xludf.DUMMYFUNCTION("""COMPUTED_VALUE"""),"USA")</f>
        <v>USA</v>
      </c>
      <c r="E3069" s="188">
        <f>IFERROR(__xludf.DUMMYFUNCTION("""COMPUTED_VALUE"""),44376.0)</f>
        <v>44376</v>
      </c>
      <c r="F3069" s="188">
        <f>IFERROR(__xludf.DUMMYFUNCTION("""COMPUTED_VALUE"""),44426.0)</f>
        <v>44426</v>
      </c>
      <c r="G3069" t="str">
        <f>IFERROR(__xludf.DUMMYFUNCTION("""COMPUTED_VALUE"""),"Manage order page (normal text)")</f>
        <v>Manage order page (normal text)</v>
      </c>
      <c r="I3069" t="str">
        <f>IFERROR(__xludf.DUMMYFUNCTION("""COMPUTED_VALUE"""),"08/21")</f>
        <v>08/21</v>
      </c>
      <c r="J3069" s="188">
        <f>IFERROR(__xludf.DUMMYFUNCTION("""COMPUTED_VALUE"""),44440.0)</f>
        <v>44440</v>
      </c>
      <c r="K3069">
        <f>IFERROR(__xludf.DUMMYFUNCTION("""COMPUTED_VALUE"""),50.0)</f>
        <v>50</v>
      </c>
      <c r="L3069">
        <f>IFERROR(__xludf.DUMMYFUNCTION("""COMPUTED_VALUE"""),14.0)</f>
        <v>14</v>
      </c>
      <c r="M3069">
        <f>IFERROR(__xludf.DUMMYFUNCTION("""COMPUTED_VALUE"""),64.0)</f>
        <v>64</v>
      </c>
      <c r="N3069" t="str">
        <f>IFERROR(__xludf.DUMMYFUNCTION("""COMPUTED_VALUE"""),"Model 3 LR AWD")</f>
        <v>Model 3 LR AWD</v>
      </c>
      <c r="O3069" t="str">
        <f>IFERROR(__xludf.DUMMYFUNCTION("""COMPUTED_VALUE"""),"Deep Blue Metallic")</f>
        <v>Deep Blue Metallic</v>
      </c>
      <c r="P3069" t="str">
        <f>IFERROR(__xludf.DUMMYFUNCTION("""COMPUTED_VALUE"""),"18 inch")</f>
        <v>18 inch</v>
      </c>
      <c r="Q3069" t="str">
        <f>IFERROR(__xludf.DUMMYFUNCTION("""COMPUTED_VALUE"""),"All Black")</f>
        <v>All Black</v>
      </c>
      <c r="R3069" t="str">
        <f>IFERROR(__xludf.DUMMYFUNCTION("""COMPUTED_VALUE"""),"Autopilot included")</f>
        <v>Autopilot included</v>
      </c>
      <c r="S3069" t="str">
        <f>IFERROR(__xludf.DUMMYFUNCTION("""COMPUTED_VALUE"""),"Loan")</f>
        <v>Loan</v>
      </c>
      <c r="T3069" t="str">
        <f>IFERROR(__xludf.DUMMYFUNCTION("""COMPUTED_VALUE"""),"Volkswagen Golf GTI")</f>
        <v>Volkswagen Golf GTI</v>
      </c>
      <c r="U3069" t="str">
        <f>IFERROR(__xludf.DUMMYFUNCTION("""COMPUTED_VALUE"""),"Electric!")</f>
        <v>Electric!</v>
      </c>
      <c r="V3069" t="str">
        <f>IFERROR(__xludf.DUMMYFUNCTION("""COMPUTED_VALUE"""),"Apple CarPlay / Android Auto / SiriusXM Radio")</f>
        <v>Apple CarPlay / Android Auto / SiriusXM Radio</v>
      </c>
      <c r="X3069" t="str">
        <f>IFERROR(__xludf.DUMMYFUNCTION("""COMPUTED_VALUE"""),"Excellent")</f>
        <v>Excellent</v>
      </c>
      <c r="Y3069" t="str">
        <f>IFERROR(__xludf.DUMMYFUNCTION("""COMPUTED_VALUE"""),"Very Good")</f>
        <v>Very Good</v>
      </c>
      <c r="Z3069" t="str">
        <f>IFERROR(__xludf.DUMMYFUNCTION("""COMPUTED_VALUE"""),"Very Good")</f>
        <v>Very Good</v>
      </c>
      <c r="AA3069" t="str">
        <f>IFERROR(__xludf.DUMMYFUNCTION("""COMPUTED_VALUE"""),"Good")</f>
        <v>Good</v>
      </c>
      <c r="AB3069" t="str">
        <f>IFERROR(__xludf.DUMMYFUNCTION("""COMPUTED_VALUE"""),"Very Good")</f>
        <v>Very Good</v>
      </c>
      <c r="AC3069">
        <f>IFERROR(__xludf.DUMMYFUNCTION("""COMPUTED_VALUE"""),0.0)</f>
        <v>0</v>
      </c>
      <c r="AD3069">
        <f>IFERROR(__xludf.DUMMYFUNCTION("""COMPUTED_VALUE"""),0.0)</f>
        <v>0</v>
      </c>
      <c r="AE3069">
        <f>IFERROR(__xludf.DUMMYFUNCTION("""COMPUTED_VALUE"""),0.0)</f>
        <v>0</v>
      </c>
      <c r="AF3069" t="str">
        <f>IFERROR(__xludf.DUMMYFUNCTION("""COMPUTED_VALUE"""),"No. I took delivery of the first car Tesla was able to deliver.")</f>
        <v>No. I took delivery of the first car Tesla was able to deliver.</v>
      </c>
      <c r="AH3069" s="189">
        <f>IFERROR(__xludf.DUMMYFUNCTION("""COMPUTED_VALUE"""),44440.77397541667)</f>
        <v>44440.77398</v>
      </c>
    </row>
    <row r="3070">
      <c r="A3070" t="str">
        <f>IFERROR(__xludf.DUMMYFUNCTION("""COMPUTED_VALUE"""),"ninety0ne")</f>
        <v>ninety0ne</v>
      </c>
      <c r="B3070" t="str">
        <f>IFERROR(__xludf.DUMMYFUNCTION("""COMPUTED_VALUE"""),"Humboldt")</f>
        <v>Humboldt</v>
      </c>
      <c r="C3070" t="str">
        <f>IFERROR(__xludf.DUMMYFUNCTION("""COMPUTED_VALUE"""),"CA")</f>
        <v>CA</v>
      </c>
      <c r="D3070" t="str">
        <f>IFERROR(__xludf.DUMMYFUNCTION("""COMPUTED_VALUE"""),"USA")</f>
        <v>USA</v>
      </c>
      <c r="E3070" s="188">
        <f>IFERROR(__xludf.DUMMYFUNCTION("""COMPUTED_VALUE"""),44375.0)</f>
        <v>44375</v>
      </c>
      <c r="F3070" s="188">
        <f>IFERROR(__xludf.DUMMYFUNCTION("""COMPUTED_VALUE"""),44411.0)</f>
        <v>44411</v>
      </c>
      <c r="G3070" t="str">
        <f>IFERROR(__xludf.DUMMYFUNCTION("""COMPUTED_VALUE"""),"Manage order page (normal text)")</f>
        <v>Manage order page (normal text)</v>
      </c>
      <c r="H3070">
        <f>IFERROR(__xludf.DUMMYFUNCTION("""COMPUTED_VALUE"""),30855.0)</f>
        <v>30855</v>
      </c>
      <c r="J3070" s="188">
        <f>IFERROR(__xludf.DUMMYFUNCTION("""COMPUTED_VALUE"""),44415.0)</f>
        <v>44415</v>
      </c>
      <c r="K3070">
        <f>IFERROR(__xludf.DUMMYFUNCTION("""COMPUTED_VALUE"""),36.0)</f>
        <v>36</v>
      </c>
      <c r="L3070">
        <f>IFERROR(__xludf.DUMMYFUNCTION("""COMPUTED_VALUE"""),4.0)</f>
        <v>4</v>
      </c>
      <c r="M3070">
        <f>IFERROR(__xludf.DUMMYFUNCTION("""COMPUTED_VALUE"""),40.0)</f>
        <v>40</v>
      </c>
      <c r="N3070" t="str">
        <f>IFERROR(__xludf.DUMMYFUNCTION("""COMPUTED_VALUE"""),"Model 3 Performance")</f>
        <v>Model 3 Performance</v>
      </c>
      <c r="O3070" t="str">
        <f>IFERROR(__xludf.DUMMYFUNCTION("""COMPUTED_VALUE"""),"Pearl White Multi-Coat")</f>
        <v>Pearl White Multi-Coat</v>
      </c>
      <c r="P3070" t="str">
        <f>IFERROR(__xludf.DUMMYFUNCTION("""COMPUTED_VALUE"""),"20 inch")</f>
        <v>20 inch</v>
      </c>
      <c r="Q3070" t="str">
        <f>IFERROR(__xludf.DUMMYFUNCTION("""COMPUTED_VALUE"""),"All Black")</f>
        <v>All Black</v>
      </c>
      <c r="R3070" t="str">
        <f>IFERROR(__xludf.DUMMYFUNCTION("""COMPUTED_VALUE"""),"Autopilot included")</f>
        <v>Autopilot included</v>
      </c>
      <c r="S3070" t="str">
        <f>IFERROR(__xludf.DUMMYFUNCTION("""COMPUTED_VALUE"""),"Loan")</f>
        <v>Loan</v>
      </c>
      <c r="T3070" t="str">
        <f>IFERROR(__xludf.DUMMYFUNCTION("""COMPUTED_VALUE"""),"Subaru WRX")</f>
        <v>Subaru WRX</v>
      </c>
      <c r="U3070" t="str">
        <f>IFERROR(__xludf.DUMMYFUNCTION("""COMPUTED_VALUE"""),"Fast AF")</f>
        <v>Fast AF</v>
      </c>
      <c r="V3070" t="str">
        <f>IFERROR(__xludf.DUMMYFUNCTION("""COMPUTED_VALUE"""),"Bioweapon defense mode")</f>
        <v>Bioweapon defense mode</v>
      </c>
      <c r="W3070" t="str">
        <f>IFERROR(__xludf.DUMMYFUNCTION("""COMPUTED_VALUE"""),"worth it")</f>
        <v>worth it</v>
      </c>
      <c r="X3070" t="str">
        <f>IFERROR(__xludf.DUMMYFUNCTION("""COMPUTED_VALUE"""),"Excellent")</f>
        <v>Excellent</v>
      </c>
      <c r="Y3070" t="str">
        <f>IFERROR(__xludf.DUMMYFUNCTION("""COMPUTED_VALUE"""),"Excellent")</f>
        <v>Excellent</v>
      </c>
      <c r="Z3070" t="str">
        <f>IFERROR(__xludf.DUMMYFUNCTION("""COMPUTED_VALUE"""),"Excellent")</f>
        <v>Excellent</v>
      </c>
      <c r="AA3070" t="str">
        <f>IFERROR(__xludf.DUMMYFUNCTION("""COMPUTED_VALUE"""),"Fair")</f>
        <v>Fair</v>
      </c>
      <c r="AB3070" t="str">
        <f>IFERROR(__xludf.DUMMYFUNCTION("""COMPUTED_VALUE"""),"Fair")</f>
        <v>Fair</v>
      </c>
      <c r="AF3070" t="str">
        <f>IFERROR(__xludf.DUMMYFUNCTION("""COMPUTED_VALUE"""),"No. I took delivery of the first car Tesla was able to deliver.")</f>
        <v>No. I took delivery of the first car Tesla was able to deliver.</v>
      </c>
      <c r="AH3070" s="189">
        <f>IFERROR(__xludf.DUMMYFUNCTION("""COMPUTED_VALUE"""),44416.34620190972)</f>
        <v>44416.3462</v>
      </c>
    </row>
    <row r="3071">
      <c r="A3071" t="str">
        <f>IFERROR(__xludf.DUMMYFUNCTION("""COMPUTED_VALUE"""),"chaoticvortex")</f>
        <v>chaoticvortex</v>
      </c>
      <c r="B3071" t="str">
        <f>IFERROR(__xludf.DUMMYFUNCTION("""COMPUTED_VALUE"""),"Allentown")</f>
        <v>Allentown</v>
      </c>
      <c r="C3071" t="str">
        <f>IFERROR(__xludf.DUMMYFUNCTION("""COMPUTED_VALUE"""),"PA")</f>
        <v>PA</v>
      </c>
      <c r="D3071" t="str">
        <f>IFERROR(__xludf.DUMMYFUNCTION("""COMPUTED_VALUE"""),"USA")</f>
        <v>USA</v>
      </c>
      <c r="E3071" s="188">
        <f>IFERROR(__xludf.DUMMYFUNCTION("""COMPUTED_VALUE"""),44359.0)</f>
        <v>44359</v>
      </c>
      <c r="F3071" s="188">
        <f>IFERROR(__xludf.DUMMYFUNCTION("""COMPUTED_VALUE"""),44410.0)</f>
        <v>44410</v>
      </c>
      <c r="G3071" t="str">
        <f>IFERROR(__xludf.DUMMYFUNCTION("""COMPUTED_VALUE"""),"Email")</f>
        <v>Email</v>
      </c>
      <c r="J3071" s="188">
        <f>IFERROR(__xludf.DUMMYFUNCTION("""COMPUTED_VALUE"""),44426.0)</f>
        <v>44426</v>
      </c>
      <c r="K3071">
        <f>IFERROR(__xludf.DUMMYFUNCTION("""COMPUTED_VALUE"""),51.0)</f>
        <v>51</v>
      </c>
      <c r="L3071">
        <f>IFERROR(__xludf.DUMMYFUNCTION("""COMPUTED_VALUE"""),16.0)</f>
        <v>16</v>
      </c>
      <c r="M3071">
        <f>IFERROR(__xludf.DUMMYFUNCTION("""COMPUTED_VALUE"""),67.0)</f>
        <v>67</v>
      </c>
      <c r="N3071" t="str">
        <f>IFERROR(__xludf.DUMMYFUNCTION("""COMPUTED_VALUE"""),"Model 3 SR+")</f>
        <v>Model 3 SR+</v>
      </c>
      <c r="O3071" t="str">
        <f>IFERROR(__xludf.DUMMYFUNCTION("""COMPUTED_VALUE"""),"Red Multi-Coat")</f>
        <v>Red Multi-Coat</v>
      </c>
      <c r="P3071" t="str">
        <f>IFERROR(__xludf.DUMMYFUNCTION("""COMPUTED_VALUE"""),"19 inch")</f>
        <v>19 inch</v>
      </c>
      <c r="Q3071" t="str">
        <f>IFERROR(__xludf.DUMMYFUNCTION("""COMPUTED_VALUE"""),"Black and White")</f>
        <v>Black and White</v>
      </c>
      <c r="R3071" t="str">
        <f>IFERROR(__xludf.DUMMYFUNCTION("""COMPUTED_VALUE"""),"Autopilot included")</f>
        <v>Autopilot included</v>
      </c>
      <c r="S3071" t="str">
        <f>IFERROR(__xludf.DUMMYFUNCTION("""COMPUTED_VALUE"""),"Loan")</f>
        <v>Loan</v>
      </c>
      <c r="T3071" t="str">
        <f>IFERROR(__xludf.DUMMYFUNCTION("""COMPUTED_VALUE"""),"Acura ILX (don't judge me)")</f>
        <v>Acura ILX (don't judge me)</v>
      </c>
      <c r="U3071" t="str">
        <f>IFERROR(__xludf.DUMMYFUNCTION("""COMPUTED_VALUE"""),"Electric!")</f>
        <v>Electric!</v>
      </c>
      <c r="V3071" t="str">
        <f>IFERROR(__xludf.DUMMYFUNCTION("""COMPUTED_VALUE"""),"Head-up display")</f>
        <v>Head-up display</v>
      </c>
      <c r="AH3071" s="189">
        <f>IFERROR(__xludf.DUMMYFUNCTION("""COMPUTED_VALUE"""),44419.33711929398)</f>
        <v>44419.33712</v>
      </c>
    </row>
    <row r="3072">
      <c r="A3072" t="str">
        <f>IFERROR(__xludf.DUMMYFUNCTION("""COMPUTED_VALUE"""),"2Fast2Furious")</f>
        <v>2Fast2Furious</v>
      </c>
      <c r="B3072" t="str">
        <f>IFERROR(__xludf.DUMMYFUNCTION("""COMPUTED_VALUE"""),"Elk Grove")</f>
        <v>Elk Grove</v>
      </c>
      <c r="C3072" t="str">
        <f>IFERROR(__xludf.DUMMYFUNCTION("""COMPUTED_VALUE"""),"CA")</f>
        <v>CA</v>
      </c>
      <c r="D3072" t="str">
        <f>IFERROR(__xludf.DUMMYFUNCTION("""COMPUTED_VALUE"""),"USA")</f>
        <v>USA</v>
      </c>
      <c r="E3072" s="188">
        <f>IFERROR(__xludf.DUMMYFUNCTION("""COMPUTED_VALUE"""),44356.0)</f>
        <v>44356</v>
      </c>
      <c r="F3072" s="188">
        <f>IFERROR(__xludf.DUMMYFUNCTION("""COMPUTED_VALUE"""),44375.0)</f>
        <v>44375</v>
      </c>
      <c r="G3072" t="str">
        <f>IFERROR(__xludf.DUMMYFUNCTION("""COMPUTED_VALUE"""),"Manage order page (normal text)")</f>
        <v>Manage order page (normal text)</v>
      </c>
      <c r="J3072" s="188">
        <f>IFERROR(__xludf.DUMMYFUNCTION("""COMPUTED_VALUE"""),44388.0)</f>
        <v>44388</v>
      </c>
      <c r="K3072">
        <f>IFERROR(__xludf.DUMMYFUNCTION("""COMPUTED_VALUE"""),19.0)</f>
        <v>19</v>
      </c>
      <c r="L3072">
        <f>IFERROR(__xludf.DUMMYFUNCTION("""COMPUTED_VALUE"""),13.0)</f>
        <v>13</v>
      </c>
      <c r="M3072">
        <f>IFERROR(__xludf.DUMMYFUNCTION("""COMPUTED_VALUE"""),32.0)</f>
        <v>32</v>
      </c>
      <c r="N3072" t="str">
        <f>IFERROR(__xludf.DUMMYFUNCTION("""COMPUTED_VALUE"""),"Model 3 LR AWD")</f>
        <v>Model 3 LR AWD</v>
      </c>
      <c r="O3072" t="str">
        <f>IFERROR(__xludf.DUMMYFUNCTION("""COMPUTED_VALUE"""),"Pearl White Multi-Coat")</f>
        <v>Pearl White Multi-Coat</v>
      </c>
      <c r="P3072" t="str">
        <f>IFERROR(__xludf.DUMMYFUNCTION("""COMPUTED_VALUE"""),"19 inch")</f>
        <v>19 inch</v>
      </c>
      <c r="Q3072" t="str">
        <f>IFERROR(__xludf.DUMMYFUNCTION("""COMPUTED_VALUE"""),"All Black")</f>
        <v>All Black</v>
      </c>
      <c r="R3072" t="str">
        <f>IFERROR(__xludf.DUMMYFUNCTION("""COMPUTED_VALUE"""),"Autopilot included")</f>
        <v>Autopilot included</v>
      </c>
      <c r="S3072" t="str">
        <f>IFERROR(__xludf.DUMMYFUNCTION("""COMPUTED_VALUE"""),"Loan")</f>
        <v>Loan</v>
      </c>
      <c r="T3072" t="str">
        <f>IFERROR(__xludf.DUMMYFUNCTION("""COMPUTED_VALUE"""),"Honda Civic")</f>
        <v>Honda Civic</v>
      </c>
      <c r="U3072" t="str">
        <f>IFERROR(__xludf.DUMMYFUNCTION("""COMPUTED_VALUE"""),"Electric!")</f>
        <v>Electric!</v>
      </c>
      <c r="V3072" t="str">
        <f>IFERROR(__xludf.DUMMYFUNCTION("""COMPUTED_VALUE"""),"Apple CarPlay / Android Auto / SiriusXM Radio")</f>
        <v>Apple CarPlay / Android Auto / SiriusXM Radio</v>
      </c>
      <c r="AH3072" s="189">
        <f>IFERROR(__xludf.DUMMYFUNCTION("""COMPUTED_VALUE"""),44384.51374056713)</f>
        <v>44384.51374</v>
      </c>
    </row>
    <row r="3073">
      <c r="A3073" t="str">
        <f>IFERROR(__xludf.DUMMYFUNCTION("""COMPUTED_VALUE"""),"LipLord")</f>
        <v>LipLord</v>
      </c>
      <c r="B3073" t="str">
        <f>IFERROR(__xludf.DUMMYFUNCTION("""COMPUTED_VALUE"""),"Fort Collins")</f>
        <v>Fort Collins</v>
      </c>
      <c r="C3073" t="str">
        <f>IFERROR(__xludf.DUMMYFUNCTION("""COMPUTED_VALUE"""),"CO")</f>
        <v>CO</v>
      </c>
      <c r="D3073" t="str">
        <f>IFERROR(__xludf.DUMMYFUNCTION("""COMPUTED_VALUE"""),"USA")</f>
        <v>USA</v>
      </c>
      <c r="E3073" s="188">
        <f>IFERROR(__xludf.DUMMYFUNCTION("""COMPUTED_VALUE"""),44364.0)</f>
        <v>44364</v>
      </c>
      <c r="F3073" s="188">
        <f>IFERROR(__xludf.DUMMYFUNCTION("""COMPUTED_VALUE"""),44420.0)</f>
        <v>44420</v>
      </c>
      <c r="G3073" t="str">
        <f>IFERROR(__xludf.DUMMYFUNCTION("""COMPUTED_VALUE"""),"Manage order page (normal text)")</f>
        <v>Manage order page (normal text)</v>
      </c>
      <c r="H3073">
        <f>IFERROR(__xludf.DUMMYFUNCTION("""COMPUTED_VALUE"""),34878.0)</f>
        <v>34878</v>
      </c>
      <c r="J3073" s="188">
        <f>IFERROR(__xludf.DUMMYFUNCTION("""COMPUTED_VALUE"""),44436.0)</f>
        <v>44436</v>
      </c>
      <c r="K3073">
        <f>IFERROR(__xludf.DUMMYFUNCTION("""COMPUTED_VALUE"""),56.0)</f>
        <v>56</v>
      </c>
      <c r="L3073">
        <f>IFERROR(__xludf.DUMMYFUNCTION("""COMPUTED_VALUE"""),16.0)</f>
        <v>16</v>
      </c>
      <c r="M3073">
        <f>IFERROR(__xludf.DUMMYFUNCTION("""COMPUTED_VALUE"""),72.0)</f>
        <v>72</v>
      </c>
      <c r="N3073" t="str">
        <f>IFERROR(__xludf.DUMMYFUNCTION("""COMPUTED_VALUE"""),"Model 3 LR AWD")</f>
        <v>Model 3 LR AWD</v>
      </c>
      <c r="O3073" t="str">
        <f>IFERROR(__xludf.DUMMYFUNCTION("""COMPUTED_VALUE"""),"Solid Black")</f>
        <v>Solid Black</v>
      </c>
      <c r="P3073" t="str">
        <f>IFERROR(__xludf.DUMMYFUNCTION("""COMPUTED_VALUE"""),"18 inch")</f>
        <v>18 inch</v>
      </c>
      <c r="Q3073" t="str">
        <f>IFERROR(__xludf.DUMMYFUNCTION("""COMPUTED_VALUE"""),"All Black")</f>
        <v>All Black</v>
      </c>
      <c r="R3073" t="str">
        <f>IFERROR(__xludf.DUMMYFUNCTION("""COMPUTED_VALUE"""),"Autopilot included")</f>
        <v>Autopilot included</v>
      </c>
      <c r="S3073" t="str">
        <f>IFERROR(__xludf.DUMMYFUNCTION("""COMPUTED_VALUE"""),"Cash")</f>
        <v>Cash</v>
      </c>
      <c r="T3073" t="str">
        <f>IFERROR(__xludf.DUMMYFUNCTION("""COMPUTED_VALUE"""),"Toyota Tacoma")</f>
        <v>Toyota Tacoma</v>
      </c>
      <c r="U3073" t="str">
        <f>IFERROR(__xludf.DUMMYFUNCTION("""COMPUTED_VALUE"""),"Electric!")</f>
        <v>Electric!</v>
      </c>
      <c r="V3073" t="str">
        <f>IFERROR(__xludf.DUMMYFUNCTION("""COMPUTED_VALUE"""),"Head-up display")</f>
        <v>Head-up display</v>
      </c>
      <c r="AH3073" s="189">
        <f>IFERROR(__xludf.DUMMYFUNCTION("""COMPUTED_VALUE"""),44426.696315231486)</f>
        <v>44426.69632</v>
      </c>
    </row>
    <row r="3074">
      <c r="A3074" t="str">
        <f>IFERROR(__xludf.DUMMYFUNCTION("""COMPUTED_VALUE"""),"Tazzik")</f>
        <v>Tazzik</v>
      </c>
      <c r="C3074" t="str">
        <f>IFERROR(__xludf.DUMMYFUNCTION("""COMPUTED_VALUE"""),"NJ")</f>
        <v>NJ</v>
      </c>
      <c r="D3074" t="str">
        <f>IFERROR(__xludf.DUMMYFUNCTION("""COMPUTED_VALUE"""),"USA")</f>
        <v>USA</v>
      </c>
      <c r="E3074" s="188">
        <f>IFERROR(__xludf.DUMMYFUNCTION("""COMPUTED_VALUE"""),44368.0)</f>
        <v>44368</v>
      </c>
      <c r="F3074" s="188">
        <f>IFERROR(__xludf.DUMMYFUNCTION("""COMPUTED_VALUE"""),44375.0)</f>
        <v>44375</v>
      </c>
      <c r="G3074" t="str">
        <f>IFERROR(__xludf.DUMMYFUNCTION("""COMPUTED_VALUE"""),"Manage order page (normal text)")</f>
        <v>Manage order page (normal text)</v>
      </c>
      <c r="J3074" s="188">
        <f>IFERROR(__xludf.DUMMYFUNCTION("""COMPUTED_VALUE"""),44377.0)</f>
        <v>44377</v>
      </c>
      <c r="K3074">
        <f>IFERROR(__xludf.DUMMYFUNCTION("""COMPUTED_VALUE"""),7.0)</f>
        <v>7</v>
      </c>
      <c r="L3074">
        <f>IFERROR(__xludf.DUMMYFUNCTION("""COMPUTED_VALUE"""),2.0)</f>
        <v>2</v>
      </c>
      <c r="M3074">
        <f>IFERROR(__xludf.DUMMYFUNCTION("""COMPUTED_VALUE"""),9.0)</f>
        <v>9</v>
      </c>
      <c r="N3074" t="str">
        <f>IFERROR(__xludf.DUMMYFUNCTION("""COMPUTED_VALUE"""),"Model 3 LR AWD")</f>
        <v>Model 3 LR AWD</v>
      </c>
      <c r="O3074" t="str">
        <f>IFERROR(__xludf.DUMMYFUNCTION("""COMPUTED_VALUE"""),"Midnight Silver Metallic")</f>
        <v>Midnight Silver Metallic</v>
      </c>
      <c r="P3074" t="str">
        <f>IFERROR(__xludf.DUMMYFUNCTION("""COMPUTED_VALUE"""),"18 inch")</f>
        <v>18 inch</v>
      </c>
      <c r="Q3074" t="str">
        <f>IFERROR(__xludf.DUMMYFUNCTION("""COMPUTED_VALUE"""),"Black and White")</f>
        <v>Black and White</v>
      </c>
      <c r="R3074" t="str">
        <f>IFERROR(__xludf.DUMMYFUNCTION("""COMPUTED_VALUE"""),"Autopilot included")</f>
        <v>Autopilot included</v>
      </c>
      <c r="S3074" t="str">
        <f>IFERROR(__xludf.DUMMYFUNCTION("""COMPUTED_VALUE"""),"Cash")</f>
        <v>Cash</v>
      </c>
      <c r="T3074" t="str">
        <f>IFERROR(__xludf.DUMMYFUNCTION("""COMPUTED_VALUE"""),"2021 Mazda 3")</f>
        <v>2021 Mazda 3</v>
      </c>
      <c r="U3074" t="str">
        <f>IFERROR(__xludf.DUMMYFUNCTION("""COMPUTED_VALUE"""),"Electric!")</f>
        <v>Electric!</v>
      </c>
      <c r="V3074" t="str">
        <f>IFERROR(__xludf.DUMMYFUNCTION("""COMPUTED_VALUE"""),"Head-up display")</f>
        <v>Head-up display</v>
      </c>
      <c r="W3074" t="str">
        <f>IFERROR(__xludf.DUMMYFUNCTION("""COMPUTED_VALUE"""),"I checked the inventory cars in my area and found one at a service center one hour away (instead of the original 30 minutes away one I was going to), called and got that car assigned to my order. ")</f>
        <v>I checked the inventory cars in my area and found one at a service center one hour away (instead of the original 30 minutes away one I was going to), called and got that car assigned to my order. </v>
      </c>
      <c r="X3074" t="str">
        <f>IFERROR(__xludf.DUMMYFUNCTION("""COMPUTED_VALUE"""),"Excellent")</f>
        <v>Excellent</v>
      </c>
      <c r="Y3074" t="str">
        <f>IFERROR(__xludf.DUMMYFUNCTION("""COMPUTED_VALUE"""),"Excellent")</f>
        <v>Excellent</v>
      </c>
      <c r="Z3074" t="str">
        <f>IFERROR(__xludf.DUMMYFUNCTION("""COMPUTED_VALUE"""),"Excellent")</f>
        <v>Excellent</v>
      </c>
      <c r="AA3074" t="str">
        <f>IFERROR(__xludf.DUMMYFUNCTION("""COMPUTED_VALUE"""),"Excellent")</f>
        <v>Excellent</v>
      </c>
      <c r="AB3074" t="str">
        <f>IFERROR(__xludf.DUMMYFUNCTION("""COMPUTED_VALUE"""),"Excellent")</f>
        <v>Excellent</v>
      </c>
      <c r="AF3074" t="str">
        <f>IFERROR(__xludf.DUMMYFUNCTION("""COMPUTED_VALUE"""),"No. I took delivery of the first car Tesla was able to deliver.")</f>
        <v>No. I took delivery of the first car Tesla was able to deliver.</v>
      </c>
      <c r="AH3074" s="189">
        <f>IFERROR(__xludf.DUMMYFUNCTION("""COMPUTED_VALUE"""),44377.63705009259)</f>
        <v>44377.63705</v>
      </c>
    </row>
    <row r="3075">
      <c r="A3075" t="str">
        <f>IFERROR(__xludf.DUMMYFUNCTION("""COMPUTED_VALUE"""),"Celestine")</f>
        <v>Celestine</v>
      </c>
      <c r="B3075" t="str">
        <f>IFERROR(__xludf.DUMMYFUNCTION("""COMPUTED_VALUE"""),"Venice, CA")</f>
        <v>Venice, CA</v>
      </c>
      <c r="C3075" t="str">
        <f>IFERROR(__xludf.DUMMYFUNCTION("""COMPUTED_VALUE"""),"CA")</f>
        <v>CA</v>
      </c>
      <c r="D3075" t="str">
        <f>IFERROR(__xludf.DUMMYFUNCTION("""COMPUTED_VALUE"""),"USA")</f>
        <v>USA</v>
      </c>
      <c r="E3075" s="188">
        <f>IFERROR(__xludf.DUMMYFUNCTION("""COMPUTED_VALUE"""),44321.0)</f>
        <v>44321</v>
      </c>
      <c r="F3075" s="188">
        <f>IFERROR(__xludf.DUMMYFUNCTION("""COMPUTED_VALUE"""),44370.0)</f>
        <v>44370</v>
      </c>
      <c r="G3075" t="str">
        <f>IFERROR(__xludf.DUMMYFUNCTION("""COMPUTED_VALUE"""),"Email")</f>
        <v>Email</v>
      </c>
      <c r="I3075" t="str">
        <f>IFERROR(__xludf.DUMMYFUNCTION("""COMPUTED_VALUE"""),"06/21")</f>
        <v>06/21</v>
      </c>
      <c r="J3075" s="188">
        <f>IFERROR(__xludf.DUMMYFUNCTION("""COMPUTED_VALUE"""),44372.0)</f>
        <v>44372</v>
      </c>
      <c r="K3075">
        <f>IFERROR(__xludf.DUMMYFUNCTION("""COMPUTED_VALUE"""),49.0)</f>
        <v>49</v>
      </c>
      <c r="L3075">
        <f>IFERROR(__xludf.DUMMYFUNCTION("""COMPUTED_VALUE"""),2.0)</f>
        <v>2</v>
      </c>
      <c r="M3075">
        <f>IFERROR(__xludf.DUMMYFUNCTION("""COMPUTED_VALUE"""),51.0)</f>
        <v>51</v>
      </c>
      <c r="N3075" t="str">
        <f>IFERROR(__xludf.DUMMYFUNCTION("""COMPUTED_VALUE"""),"Model 3 SR+")</f>
        <v>Model 3 SR+</v>
      </c>
      <c r="O3075" t="str">
        <f>IFERROR(__xludf.DUMMYFUNCTION("""COMPUTED_VALUE"""),"Deep Blue Metallic")</f>
        <v>Deep Blue Metallic</v>
      </c>
      <c r="P3075" t="str">
        <f>IFERROR(__xludf.DUMMYFUNCTION("""COMPUTED_VALUE"""),"18 inch")</f>
        <v>18 inch</v>
      </c>
      <c r="Q3075" t="str">
        <f>IFERROR(__xludf.DUMMYFUNCTION("""COMPUTED_VALUE"""),"All Black")</f>
        <v>All Black</v>
      </c>
      <c r="R3075" t="str">
        <f>IFERROR(__xludf.DUMMYFUNCTION("""COMPUTED_VALUE"""),"Autopilot included")</f>
        <v>Autopilot included</v>
      </c>
      <c r="S3075" t="str">
        <f>IFERROR(__xludf.DUMMYFUNCTION("""COMPUTED_VALUE"""),"Lease")</f>
        <v>Lease</v>
      </c>
      <c r="T3075" t="str">
        <f>IFERROR(__xludf.DUMMYFUNCTION("""COMPUTED_VALUE"""),"Toyota Prius")</f>
        <v>Toyota Prius</v>
      </c>
      <c r="U3075" t="str">
        <f>IFERROR(__xludf.DUMMYFUNCTION("""COMPUTED_VALUE"""),"Electric!")</f>
        <v>Electric!</v>
      </c>
      <c r="V3075" t="str">
        <f>IFERROR(__xludf.DUMMYFUNCTION("""COMPUTED_VALUE"""),"Apple CarPlay, live Sentry Mode playback, speedometer/other gauges in head-up display (directly in front).")</f>
        <v>Apple CarPlay, live Sentry Mode playback, speedometer/other gauges in head-up display (directly in front).</v>
      </c>
      <c r="W3075" t="str">
        <f>IFERROR(__xludf.DUMMYFUNCTION("""COMPUTED_VALUE"""),"Came to my spot to ""fix"" the issues (sunken-in passenger handles and misaligned taillights).They said it was all ""within spec"" = issues are allowable, although there was clearly as sorts of fuckery.")</f>
        <v>Came to my spot to "fix" the issues (sunken-in passenger handles and misaligned taillights).They said it was all "within spec" = issues are allowable, although there was clearly as sorts of fuckery.</v>
      </c>
      <c r="X3075" t="str">
        <f>IFERROR(__xludf.DUMMYFUNCTION("""COMPUTED_VALUE"""),"Good")</f>
        <v>Good</v>
      </c>
      <c r="Y3075" t="str">
        <f>IFERROR(__xludf.DUMMYFUNCTION("""COMPUTED_VALUE"""),"Excellent")</f>
        <v>Excellent</v>
      </c>
      <c r="Z3075" t="str">
        <f>IFERROR(__xludf.DUMMYFUNCTION("""COMPUTED_VALUE"""),"Excellent")</f>
        <v>Excellent</v>
      </c>
      <c r="AA3075" t="str">
        <f>IFERROR(__xludf.DUMMYFUNCTION("""COMPUTED_VALUE"""),"Poor")</f>
        <v>Poor</v>
      </c>
      <c r="AB3075" t="str">
        <f>IFERROR(__xludf.DUMMYFUNCTION("""COMPUTED_VALUE"""),"Very Good")</f>
        <v>Very Good</v>
      </c>
      <c r="AC3075">
        <f>IFERROR(__xludf.DUMMYFUNCTION("""COMPUTED_VALUE"""),4.0)</f>
        <v>4</v>
      </c>
      <c r="AD3075">
        <f>IFERROR(__xludf.DUMMYFUNCTION("""COMPUTED_VALUE"""),0.0)</f>
        <v>0</v>
      </c>
      <c r="AE3075">
        <f>IFERROR(__xludf.DUMMYFUNCTION("""COMPUTED_VALUE"""),0.0)</f>
        <v>0</v>
      </c>
      <c r="AF3075" t="str">
        <f>IFERROR(__xludf.DUMMYFUNCTION("""COMPUTED_VALUE"""),"No. I took delivery of the first car Tesla was able to deliver.")</f>
        <v>No. I took delivery of the first car Tesla was able to deliver.</v>
      </c>
      <c r="AG3075" t="str">
        <f>IFERROR(__xludf.DUMMYFUNCTION("""COMPUTED_VALUE"""),"If this is the main/only car in your household and you don't have a home charger, get the long range. Also, my SA sucks a bag of donkey dicks (maybe based in MDR). He never messaged me about my VIN/delivery and ghosted me after I asked a single delivery q"&amp;"uestion. ")</f>
        <v>If this is the main/only car in your household and you don't have a home charger, get the long range. Also, my SA sucks a bag of donkey dicks (maybe based in MDR). He never messaged me about my VIN/delivery and ghosted me after I asked a single delivery question. </v>
      </c>
      <c r="AH3075" s="189">
        <f>IFERROR(__xludf.DUMMYFUNCTION("""COMPUTED_VALUE"""),44377.791286481486)</f>
        <v>44377.79129</v>
      </c>
    </row>
    <row r="3076">
      <c r="A3076" t="str">
        <f>IFERROR(__xludf.DUMMYFUNCTION("""COMPUTED_VALUE"""),"tbender518")</f>
        <v>tbender518</v>
      </c>
      <c r="B3076" t="str">
        <f>IFERROR(__xludf.DUMMYFUNCTION("""COMPUTED_VALUE"""),"Nashville")</f>
        <v>Nashville</v>
      </c>
      <c r="C3076" t="str">
        <f>IFERROR(__xludf.DUMMYFUNCTION("""COMPUTED_VALUE"""),"TN")</f>
        <v>TN</v>
      </c>
      <c r="D3076" t="str">
        <f>IFERROR(__xludf.DUMMYFUNCTION("""COMPUTED_VALUE"""),"USA")</f>
        <v>USA</v>
      </c>
      <c r="E3076" s="188">
        <f>IFERROR(__xludf.DUMMYFUNCTION("""COMPUTED_VALUE"""),44371.0)</f>
        <v>44371</v>
      </c>
      <c r="F3076" s="188">
        <f>IFERROR(__xludf.DUMMYFUNCTION("""COMPUTED_VALUE"""),44406.0)</f>
        <v>44406</v>
      </c>
      <c r="G3076" t="str">
        <f>IFERROR(__xludf.DUMMYFUNCTION("""COMPUTED_VALUE"""),"Manage order page (normal text)")</f>
        <v>Manage order page (normal text)</v>
      </c>
      <c r="H3076">
        <f>IFERROR(__xludf.DUMMYFUNCTION("""COMPUTED_VALUE"""),13234.0)</f>
        <v>13234</v>
      </c>
      <c r="J3076" s="188">
        <f>IFERROR(__xludf.DUMMYFUNCTION("""COMPUTED_VALUE"""),44407.0)</f>
        <v>44407</v>
      </c>
      <c r="K3076">
        <f>IFERROR(__xludf.DUMMYFUNCTION("""COMPUTED_VALUE"""),35.0)</f>
        <v>35</v>
      </c>
      <c r="L3076">
        <f>IFERROR(__xludf.DUMMYFUNCTION("""COMPUTED_VALUE"""),1.0)</f>
        <v>1</v>
      </c>
      <c r="M3076">
        <f>IFERROR(__xludf.DUMMYFUNCTION("""COMPUTED_VALUE"""),36.0)</f>
        <v>36</v>
      </c>
      <c r="N3076" t="str">
        <f>IFERROR(__xludf.DUMMYFUNCTION("""COMPUTED_VALUE"""),"Model 3 LR AWD")</f>
        <v>Model 3 LR AWD</v>
      </c>
      <c r="O3076" t="str">
        <f>IFERROR(__xludf.DUMMYFUNCTION("""COMPUTED_VALUE"""),"Solid Black")</f>
        <v>Solid Black</v>
      </c>
      <c r="P3076" t="str">
        <f>IFERROR(__xludf.DUMMYFUNCTION("""COMPUTED_VALUE"""),"18 inch")</f>
        <v>18 inch</v>
      </c>
      <c r="Q3076" t="str">
        <f>IFERROR(__xludf.DUMMYFUNCTION("""COMPUTED_VALUE"""),"Black and White")</f>
        <v>Black and White</v>
      </c>
      <c r="R3076" t="str">
        <f>IFERROR(__xludf.DUMMYFUNCTION("""COMPUTED_VALUE"""),"Autopilot included")</f>
        <v>Autopilot included</v>
      </c>
      <c r="S3076" t="str">
        <f>IFERROR(__xludf.DUMMYFUNCTION("""COMPUTED_VALUE"""),"Loan")</f>
        <v>Loan</v>
      </c>
      <c r="T3076" t="str">
        <f>IFERROR(__xludf.DUMMYFUNCTION("""COMPUTED_VALUE"""),"Toyota Tacoma")</f>
        <v>Toyota Tacoma</v>
      </c>
      <c r="U3076" t="str">
        <f>IFERROR(__xludf.DUMMYFUNCTION("""COMPUTED_VALUE"""),"Electric!")</f>
        <v>Electric!</v>
      </c>
      <c r="V3076" t="str">
        <f>IFERROR(__xludf.DUMMYFUNCTION("""COMPUTED_VALUE"""),"HomeLink")</f>
        <v>HomeLink</v>
      </c>
      <c r="AH3076" s="189">
        <f>IFERROR(__xludf.DUMMYFUNCTION("""COMPUTED_VALUE"""),44406.722686967594)</f>
        <v>44406.72269</v>
      </c>
    </row>
    <row r="3077">
      <c r="A3077" t="str">
        <f>IFERROR(__xludf.DUMMYFUNCTION("""COMPUTED_VALUE"""),"TommyT")</f>
        <v>TommyT</v>
      </c>
      <c r="B3077" t="str">
        <f>IFERROR(__xludf.DUMMYFUNCTION("""COMPUTED_VALUE"""),"Riverside")</f>
        <v>Riverside</v>
      </c>
      <c r="C3077" t="str">
        <f>IFERROR(__xludf.DUMMYFUNCTION("""COMPUTED_VALUE"""),"CA")</f>
        <v>CA</v>
      </c>
      <c r="D3077" t="str">
        <f>IFERROR(__xludf.DUMMYFUNCTION("""COMPUTED_VALUE"""),"USA")</f>
        <v>USA</v>
      </c>
      <c r="E3077" s="188">
        <f>IFERROR(__xludf.DUMMYFUNCTION("""COMPUTED_VALUE"""),44350.0)</f>
        <v>44350</v>
      </c>
      <c r="F3077" s="188">
        <f>IFERROR(__xludf.DUMMYFUNCTION("""COMPUTED_VALUE"""),44406.0)</f>
        <v>44406</v>
      </c>
      <c r="G3077" t="str">
        <f>IFERROR(__xludf.DUMMYFUNCTION("""COMPUTED_VALUE"""),"Manage order page (normal text)")</f>
        <v>Manage order page (normal text)</v>
      </c>
      <c r="J3077" s="188">
        <f>IFERROR(__xludf.DUMMYFUNCTION("""COMPUTED_VALUE"""),44410.0)</f>
        <v>44410</v>
      </c>
      <c r="K3077">
        <f>IFERROR(__xludf.DUMMYFUNCTION("""COMPUTED_VALUE"""),56.0)</f>
        <v>56</v>
      </c>
      <c r="L3077">
        <f>IFERROR(__xludf.DUMMYFUNCTION("""COMPUTED_VALUE"""),4.0)</f>
        <v>4</v>
      </c>
      <c r="M3077">
        <f>IFERROR(__xludf.DUMMYFUNCTION("""COMPUTED_VALUE"""),60.0)</f>
        <v>60</v>
      </c>
      <c r="N3077" t="str">
        <f>IFERROR(__xludf.DUMMYFUNCTION("""COMPUTED_VALUE"""),"Model 3 SR+")</f>
        <v>Model 3 SR+</v>
      </c>
      <c r="O3077" t="str">
        <f>IFERROR(__xludf.DUMMYFUNCTION("""COMPUTED_VALUE"""),"Midnight Silver Metallic")</f>
        <v>Midnight Silver Metallic</v>
      </c>
      <c r="P3077" t="str">
        <f>IFERROR(__xludf.DUMMYFUNCTION("""COMPUTED_VALUE"""),"18 inch")</f>
        <v>18 inch</v>
      </c>
      <c r="Q3077" t="str">
        <f>IFERROR(__xludf.DUMMYFUNCTION("""COMPUTED_VALUE"""),"All Black")</f>
        <v>All Black</v>
      </c>
      <c r="R3077" t="str">
        <f>IFERROR(__xludf.DUMMYFUNCTION("""COMPUTED_VALUE"""),"Autopilot included")</f>
        <v>Autopilot included</v>
      </c>
      <c r="S3077" t="str">
        <f>IFERROR(__xludf.DUMMYFUNCTION("""COMPUTED_VALUE"""),"Cash")</f>
        <v>Cash</v>
      </c>
      <c r="T3077" t="str">
        <f>IFERROR(__xludf.DUMMYFUNCTION("""COMPUTED_VALUE"""),"Honda Insight")</f>
        <v>Honda Insight</v>
      </c>
      <c r="U3077" t="str">
        <f>IFERROR(__xludf.DUMMYFUNCTION("""COMPUTED_VALUE"""),"Electric!")</f>
        <v>Electric!</v>
      </c>
      <c r="V3077" t="str">
        <f>IFERROR(__xludf.DUMMYFUNCTION("""COMPUTED_VALUE"""),"360° Bird's eye view")</f>
        <v>360° Bird's eye view</v>
      </c>
      <c r="X3077" t="str">
        <f>IFERROR(__xludf.DUMMYFUNCTION("""COMPUTED_VALUE"""),"Excellent")</f>
        <v>Excellent</v>
      </c>
      <c r="Y3077" t="str">
        <f>IFERROR(__xludf.DUMMYFUNCTION("""COMPUTED_VALUE"""),"Excellent")</f>
        <v>Excellent</v>
      </c>
      <c r="Z3077" t="str">
        <f>IFERROR(__xludf.DUMMYFUNCTION("""COMPUTED_VALUE"""),"Excellent")</f>
        <v>Excellent</v>
      </c>
      <c r="AA3077" t="str">
        <f>IFERROR(__xludf.DUMMYFUNCTION("""COMPUTED_VALUE"""),"Excellent")</f>
        <v>Excellent</v>
      </c>
      <c r="AB3077" t="str">
        <f>IFERROR(__xludf.DUMMYFUNCTION("""COMPUTED_VALUE"""),"Good")</f>
        <v>Good</v>
      </c>
      <c r="AH3077" s="189">
        <f>IFERROR(__xludf.DUMMYFUNCTION("""COMPUTED_VALUE"""),44410.95450306713)</f>
        <v>44410.9545</v>
      </c>
    </row>
    <row r="3078">
      <c r="A3078" t="str">
        <f>IFERROR(__xludf.DUMMYFUNCTION("""COMPUTED_VALUE"""),"TheN3RRD")</f>
        <v>TheN3RRD</v>
      </c>
      <c r="B3078" t="str">
        <f>IFERROR(__xludf.DUMMYFUNCTION("""COMPUTED_VALUE"""),"Toronto")</f>
        <v>Toronto</v>
      </c>
      <c r="C3078" t="str">
        <f>IFERROR(__xludf.DUMMYFUNCTION("""COMPUTED_VALUE"""),"ON")</f>
        <v>ON</v>
      </c>
      <c r="D3078" t="str">
        <f>IFERROR(__xludf.DUMMYFUNCTION("""COMPUTED_VALUE"""),"Canada")</f>
        <v>Canada</v>
      </c>
      <c r="E3078" s="188">
        <f>IFERROR(__xludf.DUMMYFUNCTION("""COMPUTED_VALUE"""),44359.0)</f>
        <v>44359</v>
      </c>
      <c r="F3078" s="188">
        <f>IFERROR(__xludf.DUMMYFUNCTION("""COMPUTED_VALUE"""),44408.0)</f>
        <v>44408</v>
      </c>
      <c r="G3078" t="str">
        <f>IFERROR(__xludf.DUMMYFUNCTION("""COMPUTED_VALUE"""),"Source code")</f>
        <v>Source code</v>
      </c>
      <c r="H3078">
        <f>IFERROR(__xludf.DUMMYFUNCTION("""COMPUTED_VALUE"""),27143.0)</f>
        <v>27143</v>
      </c>
      <c r="J3078" s="188">
        <f>IFERROR(__xludf.DUMMYFUNCTION("""COMPUTED_VALUE"""),44421.0)</f>
        <v>44421</v>
      </c>
      <c r="K3078">
        <f>IFERROR(__xludf.DUMMYFUNCTION("""COMPUTED_VALUE"""),49.0)</f>
        <v>49</v>
      </c>
      <c r="L3078">
        <f>IFERROR(__xludf.DUMMYFUNCTION("""COMPUTED_VALUE"""),13.0)</f>
        <v>13</v>
      </c>
      <c r="M3078">
        <f>IFERROR(__xludf.DUMMYFUNCTION("""COMPUTED_VALUE"""),62.0)</f>
        <v>62</v>
      </c>
      <c r="N3078" t="str">
        <f>IFERROR(__xludf.DUMMYFUNCTION("""COMPUTED_VALUE"""),"Model 3 SR+")</f>
        <v>Model 3 SR+</v>
      </c>
      <c r="O3078" t="str">
        <f>IFERROR(__xludf.DUMMYFUNCTION("""COMPUTED_VALUE"""),"Pearl White Multi-Coat")</f>
        <v>Pearl White Multi-Coat</v>
      </c>
      <c r="P3078" t="str">
        <f>IFERROR(__xludf.DUMMYFUNCTION("""COMPUTED_VALUE"""),"18 inch")</f>
        <v>18 inch</v>
      </c>
      <c r="Q3078" t="str">
        <f>IFERROR(__xludf.DUMMYFUNCTION("""COMPUTED_VALUE"""),"All Black")</f>
        <v>All Black</v>
      </c>
      <c r="R3078" t="str">
        <f>IFERROR(__xludf.DUMMYFUNCTION("""COMPUTED_VALUE"""),"Autopilot included")</f>
        <v>Autopilot included</v>
      </c>
      <c r="S3078" t="str">
        <f>IFERROR(__xludf.DUMMYFUNCTION("""COMPUTED_VALUE"""),"Loan")</f>
        <v>Loan</v>
      </c>
      <c r="T3078" t="str">
        <f>IFERROR(__xludf.DUMMYFUNCTION("""COMPUTED_VALUE"""),"Pontiac G5")</f>
        <v>Pontiac G5</v>
      </c>
      <c r="U3078" t="str">
        <f>IFERROR(__xludf.DUMMYFUNCTION("""COMPUTED_VALUE"""),"Electric!")</f>
        <v>Electric!</v>
      </c>
      <c r="V3078" t="str">
        <f>IFERROR(__xludf.DUMMYFUNCTION("""COMPUTED_VALUE"""),"Apple CarPlay / Android Auto / SiriusXM Radio")</f>
        <v>Apple CarPlay / Android Auto / SiriusXM Radio</v>
      </c>
      <c r="X3078" t="str">
        <f>IFERROR(__xludf.DUMMYFUNCTION("""COMPUTED_VALUE"""),"Excellent")</f>
        <v>Excellent</v>
      </c>
      <c r="Y3078" t="str">
        <f>IFERROR(__xludf.DUMMYFUNCTION("""COMPUTED_VALUE"""),"Excellent")</f>
        <v>Excellent</v>
      </c>
      <c r="Z3078" t="str">
        <f>IFERROR(__xludf.DUMMYFUNCTION("""COMPUTED_VALUE"""),"Good")</f>
        <v>Good</v>
      </c>
      <c r="AA3078" t="str">
        <f>IFERROR(__xludf.DUMMYFUNCTION("""COMPUTED_VALUE"""),"Fair")</f>
        <v>Fair</v>
      </c>
      <c r="AB3078" t="str">
        <f>IFERROR(__xludf.DUMMYFUNCTION("""COMPUTED_VALUE"""),"Very Good")</f>
        <v>Very Good</v>
      </c>
      <c r="AH3078" s="189">
        <f>IFERROR(__xludf.DUMMYFUNCTION("""COMPUTED_VALUE"""),44422.050829768516)</f>
        <v>44422.05083</v>
      </c>
    </row>
    <row r="3079">
      <c r="A3079" t="str">
        <f>IFERROR(__xludf.DUMMYFUNCTION("""COMPUTED_VALUE"""),"Cliffhanger")</f>
        <v>Cliffhanger</v>
      </c>
      <c r="C3079" t="str">
        <f>IFERROR(__xludf.DUMMYFUNCTION("""COMPUTED_VALUE"""),"MD")</f>
        <v>MD</v>
      </c>
      <c r="D3079" t="str">
        <f>IFERROR(__xludf.DUMMYFUNCTION("""COMPUTED_VALUE"""),"USA")</f>
        <v>USA</v>
      </c>
      <c r="E3079" s="188">
        <f>IFERROR(__xludf.DUMMYFUNCTION("""COMPUTED_VALUE"""),44371.0)</f>
        <v>44371</v>
      </c>
      <c r="F3079" s="188">
        <f>IFERROR(__xludf.DUMMYFUNCTION("""COMPUTED_VALUE"""),44403.0)</f>
        <v>44403</v>
      </c>
      <c r="G3079" t="str">
        <f>IFERROR(__xludf.DUMMYFUNCTION("""COMPUTED_VALUE"""),"Manage order page (normal text)")</f>
        <v>Manage order page (normal text)</v>
      </c>
      <c r="H3079">
        <f>IFERROR(__xludf.DUMMYFUNCTION("""COMPUTED_VALUE"""),26455.0)</f>
        <v>26455</v>
      </c>
      <c r="J3079" s="188">
        <f>IFERROR(__xludf.DUMMYFUNCTION("""COMPUTED_VALUE"""),44415.0)</f>
        <v>44415</v>
      </c>
      <c r="K3079">
        <f>IFERROR(__xludf.DUMMYFUNCTION("""COMPUTED_VALUE"""),32.0)</f>
        <v>32</v>
      </c>
      <c r="L3079">
        <f>IFERROR(__xludf.DUMMYFUNCTION("""COMPUTED_VALUE"""),12.0)</f>
        <v>12</v>
      </c>
      <c r="M3079">
        <f>IFERROR(__xludf.DUMMYFUNCTION("""COMPUTED_VALUE"""),44.0)</f>
        <v>44</v>
      </c>
      <c r="N3079" t="str">
        <f>IFERROR(__xludf.DUMMYFUNCTION("""COMPUTED_VALUE"""),"Model 3 LR AWD")</f>
        <v>Model 3 LR AWD</v>
      </c>
      <c r="O3079" t="str">
        <f>IFERROR(__xludf.DUMMYFUNCTION("""COMPUTED_VALUE"""),"Deep Blue Metallic")</f>
        <v>Deep Blue Metallic</v>
      </c>
      <c r="P3079" t="str">
        <f>IFERROR(__xludf.DUMMYFUNCTION("""COMPUTED_VALUE"""),"18 inch")</f>
        <v>18 inch</v>
      </c>
      <c r="Q3079" t="str">
        <f>IFERROR(__xludf.DUMMYFUNCTION("""COMPUTED_VALUE"""),"Black and White")</f>
        <v>Black and White</v>
      </c>
      <c r="R3079" t="str">
        <f>IFERROR(__xludf.DUMMYFUNCTION("""COMPUTED_VALUE"""),"Autopilot included")</f>
        <v>Autopilot included</v>
      </c>
      <c r="S3079" t="str">
        <f>IFERROR(__xludf.DUMMYFUNCTION("""COMPUTED_VALUE"""),"Loan")</f>
        <v>Loan</v>
      </c>
      <c r="T3079" t="str">
        <f>IFERROR(__xludf.DUMMYFUNCTION("""COMPUTED_VALUE"""),"Acura TSX")</f>
        <v>Acura TSX</v>
      </c>
      <c r="U3079" t="str">
        <f>IFERROR(__xludf.DUMMYFUNCTION("""COMPUTED_VALUE"""),"Electric!")</f>
        <v>Electric!</v>
      </c>
      <c r="V3079" t="str">
        <f>IFERROR(__xludf.DUMMYFUNCTION("""COMPUTED_VALUE"""),"Head-up display")</f>
        <v>Head-up display</v>
      </c>
      <c r="X3079" t="str">
        <f>IFERROR(__xludf.DUMMYFUNCTION("""COMPUTED_VALUE"""),"Excellent")</f>
        <v>Excellent</v>
      </c>
      <c r="Y3079" t="str">
        <f>IFERROR(__xludf.DUMMYFUNCTION("""COMPUTED_VALUE"""),"Very Good")</f>
        <v>Very Good</v>
      </c>
      <c r="Z3079" t="str">
        <f>IFERROR(__xludf.DUMMYFUNCTION("""COMPUTED_VALUE"""),"Excellent")</f>
        <v>Excellent</v>
      </c>
      <c r="AA3079" t="str">
        <f>IFERROR(__xludf.DUMMYFUNCTION("""COMPUTED_VALUE"""),"Very Good")</f>
        <v>Very Good</v>
      </c>
      <c r="AB3079" t="str">
        <f>IFERROR(__xludf.DUMMYFUNCTION("""COMPUTED_VALUE"""),"Very Good")</f>
        <v>Very Good</v>
      </c>
      <c r="AH3079" s="189">
        <f>IFERROR(__xludf.DUMMYFUNCTION("""COMPUTED_VALUE"""),44416.766873078705)</f>
        <v>44416.76687</v>
      </c>
    </row>
    <row r="3080">
      <c r="A3080" t="str">
        <f>IFERROR(__xludf.DUMMYFUNCTION("""COMPUTED_VALUE"""),"Jiminpismo")</f>
        <v>Jiminpismo</v>
      </c>
      <c r="B3080" t="str">
        <f>IFERROR(__xludf.DUMMYFUNCTION("""COMPUTED_VALUE"""),"Pismo Beach")</f>
        <v>Pismo Beach</v>
      </c>
      <c r="C3080" t="str">
        <f>IFERROR(__xludf.DUMMYFUNCTION("""COMPUTED_VALUE"""),"CA")</f>
        <v>CA</v>
      </c>
      <c r="D3080" t="str">
        <f>IFERROR(__xludf.DUMMYFUNCTION("""COMPUTED_VALUE"""),"USA")</f>
        <v>USA</v>
      </c>
      <c r="E3080" s="188">
        <f>IFERROR(__xludf.DUMMYFUNCTION("""COMPUTED_VALUE"""),44361.0)</f>
        <v>44361</v>
      </c>
      <c r="F3080" s="188">
        <f>IFERROR(__xludf.DUMMYFUNCTION("""COMPUTED_VALUE"""),44457.0)</f>
        <v>44457</v>
      </c>
      <c r="G3080" t="str">
        <f>IFERROR(__xludf.DUMMYFUNCTION("""COMPUTED_VALUE"""),"Email")</f>
        <v>Email</v>
      </c>
      <c r="K3080">
        <f>IFERROR(__xludf.DUMMYFUNCTION("""COMPUTED_VALUE"""),96.0)</f>
        <v>96</v>
      </c>
      <c r="N3080" t="str">
        <f>IFERROR(__xludf.DUMMYFUNCTION("""COMPUTED_VALUE"""),"Model 3 SR+")</f>
        <v>Model 3 SR+</v>
      </c>
      <c r="O3080" t="str">
        <f>IFERROR(__xludf.DUMMYFUNCTION("""COMPUTED_VALUE"""),"Midnight Silver Metallic")</f>
        <v>Midnight Silver Metallic</v>
      </c>
      <c r="P3080" t="str">
        <f>IFERROR(__xludf.DUMMYFUNCTION("""COMPUTED_VALUE"""),"18 inch")</f>
        <v>18 inch</v>
      </c>
      <c r="Q3080" t="str">
        <f>IFERROR(__xludf.DUMMYFUNCTION("""COMPUTED_VALUE"""),"All Black")</f>
        <v>All Black</v>
      </c>
      <c r="R3080" t="str">
        <f>IFERROR(__xludf.DUMMYFUNCTION("""COMPUTED_VALUE"""),"Autopilot included")</f>
        <v>Autopilot included</v>
      </c>
      <c r="S3080" t="str">
        <f>IFERROR(__xludf.DUMMYFUNCTION("""COMPUTED_VALUE"""),"Loan")</f>
        <v>Loan</v>
      </c>
      <c r="U3080" t="str">
        <f>IFERROR(__xludf.DUMMYFUNCTION("""COMPUTED_VALUE"""),"Electric!")</f>
        <v>Electric!</v>
      </c>
      <c r="V3080" t="str">
        <f>IFERROR(__xludf.DUMMYFUNCTION("""COMPUTED_VALUE"""),"HomeLink")</f>
        <v>HomeLink</v>
      </c>
      <c r="AH3080" s="189">
        <f>IFERROR(__xludf.DUMMYFUNCTION("""COMPUTED_VALUE"""),44457.2769153588)</f>
        <v>44457.27692</v>
      </c>
    </row>
    <row r="3081">
      <c r="A3081" t="str">
        <f>IFERROR(__xludf.DUMMYFUNCTION("""COMPUTED_VALUE"""),"miandrews")</f>
        <v>miandrews</v>
      </c>
      <c r="B3081" t="str">
        <f>IFERROR(__xludf.DUMMYFUNCTION("""COMPUTED_VALUE"""),"London")</f>
        <v>London</v>
      </c>
      <c r="D3081" t="str">
        <f>IFERROR(__xludf.DUMMYFUNCTION("""COMPUTED_VALUE"""),"United Kingdom")</f>
        <v>United Kingdom</v>
      </c>
      <c r="E3081" s="188">
        <f>IFERROR(__xludf.DUMMYFUNCTION("""COMPUTED_VALUE"""),44357.0)</f>
        <v>44357</v>
      </c>
      <c r="F3081" s="188">
        <f>IFERROR(__xludf.DUMMYFUNCTION("""COMPUTED_VALUE"""),44418.0)</f>
        <v>44418</v>
      </c>
      <c r="G3081" t="str">
        <f>IFERROR(__xludf.DUMMYFUNCTION("""COMPUTED_VALUE"""),"Phone call")</f>
        <v>Phone call</v>
      </c>
      <c r="H3081">
        <f>IFERROR(__xludf.DUMMYFUNCTION("""COMPUTED_VALUE"""),312355.0)</f>
        <v>312355</v>
      </c>
      <c r="J3081" s="188">
        <f>IFERROR(__xludf.DUMMYFUNCTION("""COMPUTED_VALUE"""),44443.0)</f>
        <v>44443</v>
      </c>
      <c r="K3081">
        <f>IFERROR(__xludf.DUMMYFUNCTION("""COMPUTED_VALUE"""),61.0)</f>
        <v>61</v>
      </c>
      <c r="L3081">
        <f>IFERROR(__xludf.DUMMYFUNCTION("""COMPUTED_VALUE"""),25.0)</f>
        <v>25</v>
      </c>
      <c r="M3081">
        <f>IFERROR(__xludf.DUMMYFUNCTION("""COMPUTED_VALUE"""),86.0)</f>
        <v>86</v>
      </c>
      <c r="N3081" t="str">
        <f>IFERROR(__xludf.DUMMYFUNCTION("""COMPUTED_VALUE"""),"Model 3 LR AWD")</f>
        <v>Model 3 LR AWD</v>
      </c>
      <c r="O3081" t="str">
        <f>IFERROR(__xludf.DUMMYFUNCTION("""COMPUTED_VALUE"""),"Midnight Silver Metallic")</f>
        <v>Midnight Silver Metallic</v>
      </c>
      <c r="P3081" t="str">
        <f>IFERROR(__xludf.DUMMYFUNCTION("""COMPUTED_VALUE"""),"18 inch")</f>
        <v>18 inch</v>
      </c>
      <c r="Q3081" t="str">
        <f>IFERROR(__xludf.DUMMYFUNCTION("""COMPUTED_VALUE"""),"All Black")</f>
        <v>All Black</v>
      </c>
      <c r="R3081" t="str">
        <f>IFERROR(__xludf.DUMMYFUNCTION("""COMPUTED_VALUE"""),"Autopilot included")</f>
        <v>Autopilot included</v>
      </c>
      <c r="S3081" t="str">
        <f>IFERROR(__xludf.DUMMYFUNCTION("""COMPUTED_VALUE"""),"Cash")</f>
        <v>Cash</v>
      </c>
      <c r="T3081" t="str">
        <f>IFERROR(__xludf.DUMMYFUNCTION("""COMPUTED_VALUE"""),"VW Golf")</f>
        <v>VW Golf</v>
      </c>
      <c r="U3081" t="str">
        <f>IFERROR(__xludf.DUMMYFUNCTION("""COMPUTED_VALUE"""),"Electric!")</f>
        <v>Electric!</v>
      </c>
      <c r="V3081" t="str">
        <f>IFERROR(__xludf.DUMMYFUNCTION("""COMPUTED_VALUE"""),"Head-up display")</f>
        <v>Head-up display</v>
      </c>
      <c r="AH3081" s="189">
        <f>IFERROR(__xludf.DUMMYFUNCTION("""COMPUTED_VALUE"""),44418.24971210648)</f>
        <v>44418.24971</v>
      </c>
    </row>
    <row r="3082">
      <c r="A3082" t="str">
        <f>IFERROR(__xludf.DUMMYFUNCTION("""COMPUTED_VALUE"""),"Joetnr1")</f>
        <v>Joetnr1</v>
      </c>
      <c r="B3082" t="str">
        <f>IFERROR(__xludf.DUMMYFUNCTION("""COMPUTED_VALUE"""),"Palm Springs")</f>
        <v>Palm Springs</v>
      </c>
      <c r="C3082" t="str">
        <f>IFERROR(__xludf.DUMMYFUNCTION("""COMPUTED_VALUE"""),"CA")</f>
        <v>CA</v>
      </c>
      <c r="D3082" t="str">
        <f>IFERROR(__xludf.DUMMYFUNCTION("""COMPUTED_VALUE"""),"USA")</f>
        <v>USA</v>
      </c>
      <c r="E3082" s="188">
        <f>IFERROR(__xludf.DUMMYFUNCTION("""COMPUTED_VALUE"""),44352.0)</f>
        <v>44352</v>
      </c>
      <c r="F3082" s="188">
        <f>IFERROR(__xludf.DUMMYFUNCTION("""COMPUTED_VALUE"""),44393.0)</f>
        <v>44393</v>
      </c>
      <c r="G3082" t="str">
        <f>IFERROR(__xludf.DUMMYFUNCTION("""COMPUTED_VALUE"""),"Email")</f>
        <v>Email</v>
      </c>
      <c r="J3082" s="188">
        <f>IFERROR(__xludf.DUMMYFUNCTION("""COMPUTED_VALUE"""),44398.0)</f>
        <v>44398</v>
      </c>
      <c r="K3082">
        <f>IFERROR(__xludf.DUMMYFUNCTION("""COMPUTED_VALUE"""),41.0)</f>
        <v>41</v>
      </c>
      <c r="L3082">
        <f>IFERROR(__xludf.DUMMYFUNCTION("""COMPUTED_VALUE"""),5.0)</f>
        <v>5</v>
      </c>
      <c r="M3082">
        <f>IFERROR(__xludf.DUMMYFUNCTION("""COMPUTED_VALUE"""),46.0)</f>
        <v>46</v>
      </c>
      <c r="N3082" t="str">
        <f>IFERROR(__xludf.DUMMYFUNCTION("""COMPUTED_VALUE"""),"Model 3 SR+")</f>
        <v>Model 3 SR+</v>
      </c>
      <c r="O3082" t="str">
        <f>IFERROR(__xludf.DUMMYFUNCTION("""COMPUTED_VALUE"""),"Pearl White Multi-Coat")</f>
        <v>Pearl White Multi-Coat</v>
      </c>
      <c r="P3082" t="str">
        <f>IFERROR(__xludf.DUMMYFUNCTION("""COMPUTED_VALUE"""),"18 inch")</f>
        <v>18 inch</v>
      </c>
      <c r="Q3082" t="str">
        <f>IFERROR(__xludf.DUMMYFUNCTION("""COMPUTED_VALUE"""),"Black and White")</f>
        <v>Black and White</v>
      </c>
      <c r="R3082" t="str">
        <f>IFERROR(__xludf.DUMMYFUNCTION("""COMPUTED_VALUE"""),"Autopilot included")</f>
        <v>Autopilot included</v>
      </c>
      <c r="S3082" t="str">
        <f>IFERROR(__xludf.DUMMYFUNCTION("""COMPUTED_VALUE"""),"Cash")</f>
        <v>Cash</v>
      </c>
      <c r="U3082" t="str">
        <f>IFERROR(__xludf.DUMMYFUNCTION("""COMPUTED_VALUE"""),"Electric!")</f>
        <v>Electric!</v>
      </c>
      <c r="AH3082" s="189">
        <f>IFERROR(__xludf.DUMMYFUNCTION("""COMPUTED_VALUE"""),44397.59243665509)</f>
        <v>44397.59244</v>
      </c>
    </row>
    <row r="3083">
      <c r="A3083" t="str">
        <f>IFERROR(__xludf.DUMMYFUNCTION("""COMPUTED_VALUE"""),"jomama")</f>
        <v>jomama</v>
      </c>
      <c r="B3083" t="str">
        <f>IFERROR(__xludf.DUMMYFUNCTION("""COMPUTED_VALUE"""),"Boston")</f>
        <v>Boston</v>
      </c>
      <c r="C3083" t="str">
        <f>IFERROR(__xludf.DUMMYFUNCTION("""COMPUTED_VALUE"""),"MA")</f>
        <v>MA</v>
      </c>
      <c r="D3083" t="str">
        <f>IFERROR(__xludf.DUMMYFUNCTION("""COMPUTED_VALUE"""),"USA")</f>
        <v>USA</v>
      </c>
      <c r="E3083" s="188">
        <f>IFERROR(__xludf.DUMMYFUNCTION("""COMPUTED_VALUE"""),44366.0)</f>
        <v>44366</v>
      </c>
      <c r="F3083" s="188">
        <f>IFERROR(__xludf.DUMMYFUNCTION("""COMPUTED_VALUE"""),44406.0)</f>
        <v>44406</v>
      </c>
      <c r="G3083" t="str">
        <f>IFERROR(__xludf.DUMMYFUNCTION("""COMPUTED_VALUE"""),"Manage order page (normal text)")</f>
        <v>Manage order page (normal text)</v>
      </c>
      <c r="H3083">
        <f>IFERROR(__xludf.DUMMYFUNCTION("""COMPUTED_VALUE"""),21755.0)</f>
        <v>21755</v>
      </c>
      <c r="J3083" s="188">
        <f>IFERROR(__xludf.DUMMYFUNCTION("""COMPUTED_VALUE"""),44421.0)</f>
        <v>44421</v>
      </c>
      <c r="K3083">
        <f>IFERROR(__xludf.DUMMYFUNCTION("""COMPUTED_VALUE"""),40.0)</f>
        <v>40</v>
      </c>
      <c r="L3083">
        <f>IFERROR(__xludf.DUMMYFUNCTION("""COMPUTED_VALUE"""),15.0)</f>
        <v>15</v>
      </c>
      <c r="M3083">
        <f>IFERROR(__xludf.DUMMYFUNCTION("""COMPUTED_VALUE"""),55.0)</f>
        <v>55</v>
      </c>
      <c r="N3083" t="str">
        <f>IFERROR(__xludf.DUMMYFUNCTION("""COMPUTED_VALUE"""),"Model 3 SR+")</f>
        <v>Model 3 SR+</v>
      </c>
      <c r="O3083" t="str">
        <f>IFERROR(__xludf.DUMMYFUNCTION("""COMPUTED_VALUE"""),"Pearl White Multi-Coat")</f>
        <v>Pearl White Multi-Coat</v>
      </c>
      <c r="P3083" t="str">
        <f>IFERROR(__xludf.DUMMYFUNCTION("""COMPUTED_VALUE"""),"18 inch")</f>
        <v>18 inch</v>
      </c>
      <c r="Q3083" t="str">
        <f>IFERROR(__xludf.DUMMYFUNCTION("""COMPUTED_VALUE"""),"All Black")</f>
        <v>All Black</v>
      </c>
      <c r="R3083" t="str">
        <f>IFERROR(__xludf.DUMMYFUNCTION("""COMPUTED_VALUE"""),"Autopilot included")</f>
        <v>Autopilot included</v>
      </c>
      <c r="S3083" t="str">
        <f>IFERROR(__xludf.DUMMYFUNCTION("""COMPUTED_VALUE"""),"Loan")</f>
        <v>Loan</v>
      </c>
      <c r="T3083" t="str">
        <f>IFERROR(__xludf.DUMMYFUNCTION("""COMPUTED_VALUE"""),"Chevy Bolt")</f>
        <v>Chevy Bolt</v>
      </c>
      <c r="U3083" t="str">
        <f>IFERROR(__xludf.DUMMYFUNCTION("""COMPUTED_VALUE"""),"Supercharger V3 support")</f>
        <v>Supercharger V3 support</v>
      </c>
      <c r="V3083" t="str">
        <f>IFERROR(__xludf.DUMMYFUNCTION("""COMPUTED_VALUE"""),"Head-up display")</f>
        <v>Head-up display</v>
      </c>
      <c r="X3083" t="str">
        <f>IFERROR(__xludf.DUMMYFUNCTION("""COMPUTED_VALUE"""),"Excellent")</f>
        <v>Excellent</v>
      </c>
      <c r="Y3083" t="str">
        <f>IFERROR(__xludf.DUMMYFUNCTION("""COMPUTED_VALUE"""),"Excellent")</f>
        <v>Excellent</v>
      </c>
      <c r="Z3083" t="str">
        <f>IFERROR(__xludf.DUMMYFUNCTION("""COMPUTED_VALUE"""),"Excellent")</f>
        <v>Excellent</v>
      </c>
      <c r="AA3083" t="str">
        <f>IFERROR(__xludf.DUMMYFUNCTION("""COMPUTED_VALUE"""),"Excellent")</f>
        <v>Excellent</v>
      </c>
      <c r="AB3083" t="str">
        <f>IFERROR(__xludf.DUMMYFUNCTION("""COMPUTED_VALUE"""),"Excellent")</f>
        <v>Excellent</v>
      </c>
      <c r="AC3083">
        <f>IFERROR(__xludf.DUMMYFUNCTION("""COMPUTED_VALUE"""),0.0)</f>
        <v>0</v>
      </c>
      <c r="AD3083">
        <f>IFERROR(__xludf.DUMMYFUNCTION("""COMPUTED_VALUE"""),0.0)</f>
        <v>0</v>
      </c>
      <c r="AE3083">
        <f>IFERROR(__xludf.DUMMYFUNCTION("""COMPUTED_VALUE"""),0.0)</f>
        <v>0</v>
      </c>
      <c r="AF3083" t="str">
        <f>IFERROR(__xludf.DUMMYFUNCTION("""COMPUTED_VALUE"""),"No. I took delivery of the first car Tesla was able to deliver.")</f>
        <v>No. I took delivery of the first car Tesla was able to deliver.</v>
      </c>
      <c r="AH3083" s="189">
        <f>IFERROR(__xludf.DUMMYFUNCTION("""COMPUTED_VALUE"""),44421.5424396875)</f>
        <v>44421.54244</v>
      </c>
    </row>
    <row r="3084">
      <c r="A3084" t="str">
        <f>IFERROR(__xludf.DUMMYFUNCTION("""COMPUTED_VALUE"""),"watsup")</f>
        <v>watsup</v>
      </c>
      <c r="B3084" t="str">
        <f>IFERROR(__xludf.DUMMYFUNCTION("""COMPUTED_VALUE"""),"Fullerton")</f>
        <v>Fullerton</v>
      </c>
      <c r="C3084" t="str">
        <f>IFERROR(__xludf.DUMMYFUNCTION("""COMPUTED_VALUE"""),"CA")</f>
        <v>CA</v>
      </c>
      <c r="D3084" t="str">
        <f>IFERROR(__xludf.DUMMYFUNCTION("""COMPUTED_VALUE"""),"USA")</f>
        <v>USA</v>
      </c>
      <c r="E3084" s="188">
        <f>IFERROR(__xludf.DUMMYFUNCTION("""COMPUTED_VALUE"""),44298.0)</f>
        <v>44298</v>
      </c>
      <c r="F3084" s="188">
        <f>IFERROR(__xludf.DUMMYFUNCTION("""COMPUTED_VALUE"""),44374.0)</f>
        <v>44374</v>
      </c>
      <c r="G3084" t="str">
        <f>IFERROR(__xludf.DUMMYFUNCTION("""COMPUTED_VALUE"""),"Manage order page (normal text)")</f>
        <v>Manage order page (normal text)</v>
      </c>
      <c r="I3084" t="str">
        <f>IFERROR(__xludf.DUMMYFUNCTION("""COMPUTED_VALUE"""),"06/21")</f>
        <v>06/21</v>
      </c>
      <c r="J3084" s="188">
        <f>IFERROR(__xludf.DUMMYFUNCTION("""COMPUTED_VALUE"""),44376.0)</f>
        <v>44376</v>
      </c>
      <c r="K3084">
        <f>IFERROR(__xludf.DUMMYFUNCTION("""COMPUTED_VALUE"""),76.0)</f>
        <v>76</v>
      </c>
      <c r="L3084">
        <f>IFERROR(__xludf.DUMMYFUNCTION("""COMPUTED_VALUE"""),2.0)</f>
        <v>2</v>
      </c>
      <c r="M3084">
        <f>IFERROR(__xludf.DUMMYFUNCTION("""COMPUTED_VALUE"""),78.0)</f>
        <v>78</v>
      </c>
      <c r="N3084" t="str">
        <f>IFERROR(__xludf.DUMMYFUNCTION("""COMPUTED_VALUE"""),"Model 3 SR+")</f>
        <v>Model 3 SR+</v>
      </c>
      <c r="O3084" t="str">
        <f>IFERROR(__xludf.DUMMYFUNCTION("""COMPUTED_VALUE"""),"Pearl White Multi-Coat")</f>
        <v>Pearl White Multi-Coat</v>
      </c>
      <c r="P3084" t="str">
        <f>IFERROR(__xludf.DUMMYFUNCTION("""COMPUTED_VALUE"""),"18 inch")</f>
        <v>18 inch</v>
      </c>
      <c r="Q3084" t="str">
        <f>IFERROR(__xludf.DUMMYFUNCTION("""COMPUTED_VALUE"""),"All Black")</f>
        <v>All Black</v>
      </c>
      <c r="S3084" t="str">
        <f>IFERROR(__xludf.DUMMYFUNCTION("""COMPUTED_VALUE"""),"Loan")</f>
        <v>Loan</v>
      </c>
      <c r="T3084" t="str">
        <f>IFERROR(__xludf.DUMMYFUNCTION("""COMPUTED_VALUE"""),"Toyota Prius")</f>
        <v>Toyota Prius</v>
      </c>
      <c r="U3084" t="str">
        <f>IFERROR(__xludf.DUMMYFUNCTION("""COMPUTED_VALUE"""),"Electric!")</f>
        <v>Electric!</v>
      </c>
      <c r="V3084" t="str">
        <f>IFERROR(__xludf.DUMMYFUNCTION("""COMPUTED_VALUE"""),"Blind spot indicators on side mirrors")</f>
        <v>Blind spot indicators on side mirrors</v>
      </c>
      <c r="X3084" t="str">
        <f>IFERROR(__xludf.DUMMYFUNCTION("""COMPUTED_VALUE"""),"Very Good")</f>
        <v>Very Good</v>
      </c>
      <c r="Y3084" t="str">
        <f>IFERROR(__xludf.DUMMYFUNCTION("""COMPUTED_VALUE"""),"Excellent")</f>
        <v>Excellent</v>
      </c>
      <c r="Z3084" t="str">
        <f>IFERROR(__xludf.DUMMYFUNCTION("""COMPUTED_VALUE"""),"Excellent")</f>
        <v>Excellent</v>
      </c>
      <c r="AA3084" t="str">
        <f>IFERROR(__xludf.DUMMYFUNCTION("""COMPUTED_VALUE"""),"Poor")</f>
        <v>Poor</v>
      </c>
      <c r="AB3084" t="str">
        <f>IFERROR(__xludf.DUMMYFUNCTION("""COMPUTED_VALUE"""),"Excellent")</f>
        <v>Excellent</v>
      </c>
      <c r="AF3084" t="str">
        <f>IFERROR(__xludf.DUMMYFUNCTION("""COMPUTED_VALUE"""),"No. I took delivery of the first car Tesla was able to deliver.")</f>
        <v>No. I took delivery of the first car Tesla was able to deliver.</v>
      </c>
      <c r="AH3084" s="189">
        <f>IFERROR(__xludf.DUMMYFUNCTION("""COMPUTED_VALUE"""),44378.413839016204)</f>
        <v>44378.41384</v>
      </c>
    </row>
    <row r="3085">
      <c r="A3085" t="str">
        <f>IFERROR(__xludf.DUMMYFUNCTION("""COMPUTED_VALUE"""),"smutie")</f>
        <v>smutie</v>
      </c>
      <c r="B3085" t="str">
        <f>IFERROR(__xludf.DUMMYFUNCTION("""COMPUTED_VALUE"""),"Middleton")</f>
        <v>Middleton</v>
      </c>
      <c r="C3085" t="str">
        <f>IFERROR(__xludf.DUMMYFUNCTION("""COMPUTED_VALUE"""),"WI")</f>
        <v>WI</v>
      </c>
      <c r="D3085" t="str">
        <f>IFERROR(__xludf.DUMMYFUNCTION("""COMPUTED_VALUE"""),"USA")</f>
        <v>USA</v>
      </c>
      <c r="E3085" s="188">
        <f>IFERROR(__xludf.DUMMYFUNCTION("""COMPUTED_VALUE"""),44375.0)</f>
        <v>44375</v>
      </c>
      <c r="F3085" s="188">
        <f>IFERROR(__xludf.DUMMYFUNCTION("""COMPUTED_VALUE"""),44424.0)</f>
        <v>44424</v>
      </c>
      <c r="G3085" t="str">
        <f>IFERROR(__xludf.DUMMYFUNCTION("""COMPUTED_VALUE"""),"Manage order page (normal text)")</f>
        <v>Manage order page (normal text)</v>
      </c>
      <c r="J3085" s="188">
        <f>IFERROR(__xludf.DUMMYFUNCTION("""COMPUTED_VALUE"""),44434.0)</f>
        <v>44434</v>
      </c>
      <c r="K3085">
        <f>IFERROR(__xludf.DUMMYFUNCTION("""COMPUTED_VALUE"""),49.0)</f>
        <v>49</v>
      </c>
      <c r="L3085">
        <f>IFERROR(__xludf.DUMMYFUNCTION("""COMPUTED_VALUE"""),10.0)</f>
        <v>10</v>
      </c>
      <c r="M3085">
        <f>IFERROR(__xludf.DUMMYFUNCTION("""COMPUTED_VALUE"""),59.0)</f>
        <v>59</v>
      </c>
      <c r="N3085" t="str">
        <f>IFERROR(__xludf.DUMMYFUNCTION("""COMPUTED_VALUE"""),"Model 3 LR AWD")</f>
        <v>Model 3 LR AWD</v>
      </c>
      <c r="O3085" t="str">
        <f>IFERROR(__xludf.DUMMYFUNCTION("""COMPUTED_VALUE"""),"Red Multi-Coat")</f>
        <v>Red Multi-Coat</v>
      </c>
      <c r="P3085" t="str">
        <f>IFERROR(__xludf.DUMMYFUNCTION("""COMPUTED_VALUE"""),"19 inch")</f>
        <v>19 inch</v>
      </c>
      <c r="Q3085" t="str">
        <f>IFERROR(__xludf.DUMMYFUNCTION("""COMPUTED_VALUE"""),"All Black")</f>
        <v>All Black</v>
      </c>
      <c r="R3085" t="str">
        <f>IFERROR(__xludf.DUMMYFUNCTION("""COMPUTED_VALUE"""),"Full Self-Driving")</f>
        <v>Full Self-Driving</v>
      </c>
      <c r="S3085" t="str">
        <f>IFERROR(__xludf.DUMMYFUNCTION("""COMPUTED_VALUE"""),"Loan")</f>
        <v>Loan</v>
      </c>
      <c r="U3085" t="str">
        <f>IFERROR(__xludf.DUMMYFUNCTION("""COMPUTED_VALUE"""),"Electric!")</f>
        <v>Electric!</v>
      </c>
      <c r="V3085" t="str">
        <f>IFERROR(__xludf.DUMMYFUNCTION("""COMPUTED_VALUE"""),"Apple CarPlay / Android Auto / SiriusXM Radio")</f>
        <v>Apple CarPlay / Android Auto / SiriusXM Radio</v>
      </c>
      <c r="X3085" t="str">
        <f>IFERROR(__xludf.DUMMYFUNCTION("""COMPUTED_VALUE"""),"Excellent")</f>
        <v>Excellent</v>
      </c>
      <c r="Y3085" t="str">
        <f>IFERROR(__xludf.DUMMYFUNCTION("""COMPUTED_VALUE"""),"Excellent")</f>
        <v>Excellent</v>
      </c>
      <c r="Z3085" t="str">
        <f>IFERROR(__xludf.DUMMYFUNCTION("""COMPUTED_VALUE"""),"Excellent")</f>
        <v>Excellent</v>
      </c>
      <c r="AA3085" t="str">
        <f>IFERROR(__xludf.DUMMYFUNCTION("""COMPUTED_VALUE"""),"Excellent")</f>
        <v>Excellent</v>
      </c>
      <c r="AB3085" t="str">
        <f>IFERROR(__xludf.DUMMYFUNCTION("""COMPUTED_VALUE"""),"Excellent")</f>
        <v>Excellent</v>
      </c>
      <c r="AF3085" t="str">
        <f>IFERROR(__xludf.DUMMYFUNCTION("""COMPUTED_VALUE"""),"No. I took delivery of the first car Tesla was able to deliver.")</f>
        <v>No. I took delivery of the first car Tesla was able to deliver.</v>
      </c>
      <c r="AH3085" s="189">
        <f>IFERROR(__xludf.DUMMYFUNCTION("""COMPUTED_VALUE"""),44435.3216124537)</f>
        <v>44435.32161</v>
      </c>
    </row>
    <row r="3086">
      <c r="A3086" t="str">
        <f>IFERROR(__xludf.DUMMYFUNCTION("""COMPUTED_VALUE"""),"JohnnyMa")</f>
        <v>JohnnyMa</v>
      </c>
      <c r="B3086" t="str">
        <f>IFERROR(__xludf.DUMMYFUNCTION("""COMPUTED_VALUE"""),"Carrollton")</f>
        <v>Carrollton</v>
      </c>
      <c r="C3086" t="str">
        <f>IFERROR(__xludf.DUMMYFUNCTION("""COMPUTED_VALUE"""),"TX")</f>
        <v>TX</v>
      </c>
      <c r="D3086" t="str">
        <f>IFERROR(__xludf.DUMMYFUNCTION("""COMPUTED_VALUE"""),"USA")</f>
        <v>USA</v>
      </c>
      <c r="E3086" s="188">
        <f>IFERROR(__xludf.DUMMYFUNCTION("""COMPUTED_VALUE"""),44378.0)</f>
        <v>44378</v>
      </c>
      <c r="F3086" s="188">
        <f>IFERROR(__xludf.DUMMYFUNCTION("""COMPUTED_VALUE"""),44388.0)</f>
        <v>44388</v>
      </c>
      <c r="G3086" t="str">
        <f>IFERROR(__xludf.DUMMYFUNCTION("""COMPUTED_VALUE"""),"Manage order page (normal text)")</f>
        <v>Manage order page (normal text)</v>
      </c>
      <c r="H3086">
        <f>IFERROR(__xludf.DUMMYFUNCTION("""COMPUTED_VALUE"""),15755.0)</f>
        <v>15755</v>
      </c>
      <c r="I3086" t="str">
        <f>IFERROR(__xludf.DUMMYFUNCTION("""COMPUTED_VALUE"""),"07/21")</f>
        <v>07/21</v>
      </c>
      <c r="J3086" s="188">
        <f>IFERROR(__xludf.DUMMYFUNCTION("""COMPUTED_VALUE"""),44409.0)</f>
        <v>44409</v>
      </c>
      <c r="K3086">
        <f>IFERROR(__xludf.DUMMYFUNCTION("""COMPUTED_VALUE"""),10.0)</f>
        <v>10</v>
      </c>
      <c r="L3086">
        <f>IFERROR(__xludf.DUMMYFUNCTION("""COMPUTED_VALUE"""),21.0)</f>
        <v>21</v>
      </c>
      <c r="M3086">
        <f>IFERROR(__xludf.DUMMYFUNCTION("""COMPUTED_VALUE"""),31.0)</f>
        <v>31</v>
      </c>
      <c r="N3086" t="str">
        <f>IFERROR(__xludf.DUMMYFUNCTION("""COMPUTED_VALUE"""),"Model 3 Performance")</f>
        <v>Model 3 Performance</v>
      </c>
      <c r="O3086" t="str">
        <f>IFERROR(__xludf.DUMMYFUNCTION("""COMPUTED_VALUE"""),"Midnight Silver Metallic")</f>
        <v>Midnight Silver Metallic</v>
      </c>
      <c r="P3086" t="str">
        <f>IFERROR(__xludf.DUMMYFUNCTION("""COMPUTED_VALUE"""),"20 inch")</f>
        <v>20 inch</v>
      </c>
      <c r="Q3086" t="str">
        <f>IFERROR(__xludf.DUMMYFUNCTION("""COMPUTED_VALUE"""),"All Black")</f>
        <v>All Black</v>
      </c>
      <c r="R3086" t="str">
        <f>IFERROR(__xludf.DUMMYFUNCTION("""COMPUTED_VALUE"""),"Autopilot included")</f>
        <v>Autopilot included</v>
      </c>
      <c r="S3086" t="str">
        <f>IFERROR(__xludf.DUMMYFUNCTION("""COMPUTED_VALUE"""),"Cash")</f>
        <v>Cash</v>
      </c>
      <c r="T3086" t="str">
        <f>IFERROR(__xludf.DUMMYFUNCTION("""COMPUTED_VALUE"""),"Chrysler Pacifica Hybrid")</f>
        <v>Chrysler Pacifica Hybrid</v>
      </c>
      <c r="U3086" t="str">
        <f>IFERROR(__xludf.DUMMYFUNCTION("""COMPUTED_VALUE"""),"Speed and quickness")</f>
        <v>Speed and quickness</v>
      </c>
      <c r="V3086" t="str">
        <f>IFERROR(__xludf.DUMMYFUNCTION("""COMPUTED_VALUE"""),"Head-up display")</f>
        <v>Head-up display</v>
      </c>
      <c r="X3086" t="str">
        <f>IFERROR(__xludf.DUMMYFUNCTION("""COMPUTED_VALUE"""),"Very Good")</f>
        <v>Very Good</v>
      </c>
      <c r="Y3086" t="str">
        <f>IFERROR(__xludf.DUMMYFUNCTION("""COMPUTED_VALUE"""),"Excellent")</f>
        <v>Excellent</v>
      </c>
      <c r="Z3086" t="str">
        <f>IFERROR(__xludf.DUMMYFUNCTION("""COMPUTED_VALUE"""),"Excellent")</f>
        <v>Excellent</v>
      </c>
      <c r="AA3086" t="str">
        <f>IFERROR(__xludf.DUMMYFUNCTION("""COMPUTED_VALUE"""),"Good")</f>
        <v>Good</v>
      </c>
      <c r="AB3086" t="str">
        <f>IFERROR(__xludf.DUMMYFUNCTION("""COMPUTED_VALUE"""),"Good")</f>
        <v>Good</v>
      </c>
      <c r="AC3086">
        <f>IFERROR(__xludf.DUMMYFUNCTION("""COMPUTED_VALUE"""),3.0)</f>
        <v>3</v>
      </c>
      <c r="AD3086">
        <f>IFERROR(__xludf.DUMMYFUNCTION("""COMPUTED_VALUE"""),1.0)</f>
        <v>1</v>
      </c>
      <c r="AF3086" t="str">
        <f>IFERROR(__xludf.DUMMYFUNCTION("""COMPUTED_VALUE"""),"No. I took delivery of the first car Tesla was able to deliver.")</f>
        <v>No. I took delivery of the first car Tesla was able to deliver.</v>
      </c>
      <c r="AH3086" s="189">
        <f>IFERROR(__xludf.DUMMYFUNCTION("""COMPUTED_VALUE"""),44411.744233668986)</f>
        <v>44411.74423</v>
      </c>
    </row>
    <row r="3087">
      <c r="A3087" t="str">
        <f>IFERROR(__xludf.DUMMYFUNCTION("""COMPUTED_VALUE"""),"speedy")</f>
        <v>speedy</v>
      </c>
      <c r="B3087" t="str">
        <f>IFERROR(__xludf.DUMMYFUNCTION("""COMPUTED_VALUE"""),"dublin")</f>
        <v>dublin</v>
      </c>
      <c r="C3087" t="str">
        <f>IFERROR(__xludf.DUMMYFUNCTION("""COMPUTED_VALUE"""),"CA")</f>
        <v>CA</v>
      </c>
      <c r="D3087" t="str">
        <f>IFERROR(__xludf.DUMMYFUNCTION("""COMPUTED_VALUE"""),"USA")</f>
        <v>USA</v>
      </c>
      <c r="E3087" s="188">
        <f>IFERROR(__xludf.DUMMYFUNCTION("""COMPUTED_VALUE"""),44355.0)</f>
        <v>44355</v>
      </c>
      <c r="F3087" s="188">
        <f>IFERROR(__xludf.DUMMYFUNCTION("""COMPUTED_VALUE"""),44411.0)</f>
        <v>44411</v>
      </c>
      <c r="G3087" t="str">
        <f>IFERROR(__xludf.DUMMYFUNCTION("""COMPUTED_VALUE"""),"Manage order page (normal text)")</f>
        <v>Manage order page (normal text)</v>
      </c>
      <c r="J3087" s="188">
        <f>IFERROR(__xludf.DUMMYFUNCTION("""COMPUTED_VALUE"""),44416.0)</f>
        <v>44416</v>
      </c>
      <c r="K3087">
        <f>IFERROR(__xludf.DUMMYFUNCTION("""COMPUTED_VALUE"""),56.0)</f>
        <v>56</v>
      </c>
      <c r="L3087">
        <f>IFERROR(__xludf.DUMMYFUNCTION("""COMPUTED_VALUE"""),5.0)</f>
        <v>5</v>
      </c>
      <c r="M3087">
        <f>IFERROR(__xludf.DUMMYFUNCTION("""COMPUTED_VALUE"""),61.0)</f>
        <v>61</v>
      </c>
      <c r="N3087" t="str">
        <f>IFERROR(__xludf.DUMMYFUNCTION("""COMPUTED_VALUE"""),"Model 3 SR+")</f>
        <v>Model 3 SR+</v>
      </c>
      <c r="O3087" t="str">
        <f>IFERROR(__xludf.DUMMYFUNCTION("""COMPUTED_VALUE"""),"Midnight Silver Metallic")</f>
        <v>Midnight Silver Metallic</v>
      </c>
      <c r="P3087" t="str">
        <f>IFERROR(__xludf.DUMMYFUNCTION("""COMPUTED_VALUE"""),"18 inch")</f>
        <v>18 inch</v>
      </c>
      <c r="Q3087" t="str">
        <f>IFERROR(__xludf.DUMMYFUNCTION("""COMPUTED_VALUE"""),"All Black")</f>
        <v>All Black</v>
      </c>
      <c r="R3087" t="str">
        <f>IFERROR(__xludf.DUMMYFUNCTION("""COMPUTED_VALUE"""),"Autopilot included")</f>
        <v>Autopilot included</v>
      </c>
      <c r="S3087" t="str">
        <f>IFERROR(__xludf.DUMMYFUNCTION("""COMPUTED_VALUE"""),"Loan")</f>
        <v>Loan</v>
      </c>
      <c r="T3087" t="str">
        <f>IFERROR(__xludf.DUMMYFUNCTION("""COMPUTED_VALUE"""),"Model 3 will be my first car!")</f>
        <v>Model 3 will be my first car!</v>
      </c>
      <c r="U3087" t="str">
        <f>IFERROR(__xludf.DUMMYFUNCTION("""COMPUTED_VALUE"""),"Electric!")</f>
        <v>Electric!</v>
      </c>
      <c r="V3087" t="str">
        <f>IFERROR(__xludf.DUMMYFUNCTION("""COMPUTED_VALUE"""),"Apple CarPlay / Android Auto / SiriusXM Radio")</f>
        <v>Apple CarPlay / Android Auto / SiriusXM Radio</v>
      </c>
      <c r="AH3087" s="189">
        <f>IFERROR(__xludf.DUMMYFUNCTION("""COMPUTED_VALUE"""),44413.56467929398)</f>
        <v>44413.56468</v>
      </c>
    </row>
    <row r="3088">
      <c r="A3088" t="str">
        <f>IFERROR(__xludf.DUMMYFUNCTION("""COMPUTED_VALUE"""),"sparkymark75")</f>
        <v>sparkymark75</v>
      </c>
      <c r="D3088" t="str">
        <f>IFERROR(__xludf.DUMMYFUNCTION("""COMPUTED_VALUE"""),"United Kingdom")</f>
        <v>United Kingdom</v>
      </c>
      <c r="E3088" s="188">
        <f>IFERROR(__xludf.DUMMYFUNCTION("""COMPUTED_VALUE"""),44370.0)</f>
        <v>44370</v>
      </c>
      <c r="F3088" s="188">
        <f>IFERROR(__xludf.DUMMYFUNCTION("""COMPUTED_VALUE"""),44405.0)</f>
        <v>44405</v>
      </c>
      <c r="G3088" t="str">
        <f>IFERROR(__xludf.DUMMYFUNCTION("""COMPUTED_VALUE"""),"Source code")</f>
        <v>Source code</v>
      </c>
      <c r="H3088">
        <f>IFERROR(__xludf.DUMMYFUNCTION("""COMPUTED_VALUE"""),318255.0)</f>
        <v>318255</v>
      </c>
      <c r="J3088" s="188">
        <f>IFERROR(__xludf.DUMMYFUNCTION("""COMPUTED_VALUE"""),44446.0)</f>
        <v>44446</v>
      </c>
      <c r="K3088">
        <f>IFERROR(__xludf.DUMMYFUNCTION("""COMPUTED_VALUE"""),35.0)</f>
        <v>35</v>
      </c>
      <c r="L3088">
        <f>IFERROR(__xludf.DUMMYFUNCTION("""COMPUTED_VALUE"""),41.0)</f>
        <v>41</v>
      </c>
      <c r="M3088">
        <f>IFERROR(__xludf.DUMMYFUNCTION("""COMPUTED_VALUE"""),76.0)</f>
        <v>76</v>
      </c>
      <c r="N3088" t="str">
        <f>IFERROR(__xludf.DUMMYFUNCTION("""COMPUTED_VALUE"""),"Model 3 LR AWD")</f>
        <v>Model 3 LR AWD</v>
      </c>
      <c r="O3088" t="str">
        <f>IFERROR(__xludf.DUMMYFUNCTION("""COMPUTED_VALUE"""),"Pearl White Multi-Coat")</f>
        <v>Pearl White Multi-Coat</v>
      </c>
      <c r="P3088" t="str">
        <f>IFERROR(__xludf.DUMMYFUNCTION("""COMPUTED_VALUE"""),"18 inch")</f>
        <v>18 inch</v>
      </c>
      <c r="Q3088" t="str">
        <f>IFERROR(__xludf.DUMMYFUNCTION("""COMPUTED_VALUE"""),"All Black")</f>
        <v>All Black</v>
      </c>
      <c r="R3088" t="str">
        <f>IFERROR(__xludf.DUMMYFUNCTION("""COMPUTED_VALUE"""),"Autopilot included")</f>
        <v>Autopilot included</v>
      </c>
      <c r="S3088" t="str">
        <f>IFERROR(__xludf.DUMMYFUNCTION("""COMPUTED_VALUE"""),"Cash")</f>
        <v>Cash</v>
      </c>
      <c r="T3088" t="str">
        <f>IFERROR(__xludf.DUMMYFUNCTION("""COMPUTED_VALUE"""),"VW Tiguan R-Line Tech")</f>
        <v>VW Tiguan R-Line Tech</v>
      </c>
      <c r="U3088" t="str">
        <f>IFERROR(__xludf.DUMMYFUNCTION("""COMPUTED_VALUE"""),"Electric!")</f>
        <v>Electric!</v>
      </c>
      <c r="V3088" t="str">
        <f>IFERROR(__xludf.DUMMYFUNCTION("""COMPUTED_VALUE"""),"Head-up display")</f>
        <v>Head-up display</v>
      </c>
      <c r="AH3088" s="189">
        <f>IFERROR(__xludf.DUMMYFUNCTION("""COMPUTED_VALUE"""),44419.23891439815)</f>
        <v>44419.23891</v>
      </c>
    </row>
    <row r="3089">
      <c r="A3089" t="str">
        <f>IFERROR(__xludf.DUMMYFUNCTION("""COMPUTED_VALUE"""),"rhagebu")</f>
        <v>rhagebu</v>
      </c>
      <c r="B3089" t="str">
        <f>IFERROR(__xludf.DUMMYFUNCTION("""COMPUTED_VALUE"""),"Wichita ")</f>
        <v>Wichita </v>
      </c>
      <c r="C3089" t="str">
        <f>IFERROR(__xludf.DUMMYFUNCTION("""COMPUTED_VALUE"""),"KS")</f>
        <v>KS</v>
      </c>
      <c r="D3089" t="str">
        <f>IFERROR(__xludf.DUMMYFUNCTION("""COMPUTED_VALUE"""),"USA")</f>
        <v>USA</v>
      </c>
      <c r="E3089" s="188">
        <f>IFERROR(__xludf.DUMMYFUNCTION("""COMPUTED_VALUE"""),44376.0)</f>
        <v>44376</v>
      </c>
      <c r="F3089" s="188">
        <f>IFERROR(__xludf.DUMMYFUNCTION("""COMPUTED_VALUE"""),44431.0)</f>
        <v>44431</v>
      </c>
      <c r="G3089" t="str">
        <f>IFERROR(__xludf.DUMMYFUNCTION("""COMPUTED_VALUE"""),"Email")</f>
        <v>Email</v>
      </c>
      <c r="H3089">
        <f>IFERROR(__xludf.DUMMYFUNCTION("""COMPUTED_VALUE"""),47809.0)</f>
        <v>47809</v>
      </c>
      <c r="J3089" s="188">
        <f>IFERROR(__xludf.DUMMYFUNCTION("""COMPUTED_VALUE"""),44443.0)</f>
        <v>44443</v>
      </c>
      <c r="K3089">
        <f>IFERROR(__xludf.DUMMYFUNCTION("""COMPUTED_VALUE"""),55.0)</f>
        <v>55</v>
      </c>
      <c r="L3089">
        <f>IFERROR(__xludf.DUMMYFUNCTION("""COMPUTED_VALUE"""),12.0)</f>
        <v>12</v>
      </c>
      <c r="M3089">
        <f>IFERROR(__xludf.DUMMYFUNCTION("""COMPUTED_VALUE"""),67.0)</f>
        <v>67</v>
      </c>
      <c r="N3089" t="str">
        <f>IFERROR(__xludf.DUMMYFUNCTION("""COMPUTED_VALUE"""),"Model 3 SR+")</f>
        <v>Model 3 SR+</v>
      </c>
      <c r="O3089" t="str">
        <f>IFERROR(__xludf.DUMMYFUNCTION("""COMPUTED_VALUE"""),"Solid Black")</f>
        <v>Solid Black</v>
      </c>
      <c r="P3089" t="str">
        <f>IFERROR(__xludf.DUMMYFUNCTION("""COMPUTED_VALUE"""),"18 inch")</f>
        <v>18 inch</v>
      </c>
      <c r="Q3089" t="str">
        <f>IFERROR(__xludf.DUMMYFUNCTION("""COMPUTED_VALUE"""),"Black and White")</f>
        <v>Black and White</v>
      </c>
      <c r="R3089" t="str">
        <f>IFERROR(__xludf.DUMMYFUNCTION("""COMPUTED_VALUE"""),"Autopilot included")</f>
        <v>Autopilot included</v>
      </c>
      <c r="S3089" t="str">
        <f>IFERROR(__xludf.DUMMYFUNCTION("""COMPUTED_VALUE"""),"Loan")</f>
        <v>Loan</v>
      </c>
      <c r="T3089" t="str">
        <f>IFERROR(__xludf.DUMMYFUNCTION("""COMPUTED_VALUE"""),"Dodge Durango")</f>
        <v>Dodge Durango</v>
      </c>
      <c r="U3089" t="str">
        <f>IFERROR(__xludf.DUMMYFUNCTION("""COMPUTED_VALUE"""),"Tesla brand image")</f>
        <v>Tesla brand image</v>
      </c>
      <c r="V3089" t="str">
        <f>IFERROR(__xludf.DUMMYFUNCTION("""COMPUTED_VALUE"""),"Apple CarPlay / Android Auto / SiriusXM Radio")</f>
        <v>Apple CarPlay / Android Auto / SiriusXM Radio</v>
      </c>
      <c r="X3089" t="str">
        <f>IFERROR(__xludf.DUMMYFUNCTION("""COMPUTED_VALUE"""),"Excellent")</f>
        <v>Excellent</v>
      </c>
      <c r="Y3089" t="str">
        <f>IFERROR(__xludf.DUMMYFUNCTION("""COMPUTED_VALUE"""),"Excellent")</f>
        <v>Excellent</v>
      </c>
      <c r="Z3089" t="str">
        <f>IFERROR(__xludf.DUMMYFUNCTION("""COMPUTED_VALUE"""),"Excellent")</f>
        <v>Excellent</v>
      </c>
      <c r="AA3089" t="str">
        <f>IFERROR(__xludf.DUMMYFUNCTION("""COMPUTED_VALUE"""),"Very Good")</f>
        <v>Very Good</v>
      </c>
      <c r="AB3089" t="str">
        <f>IFERROR(__xludf.DUMMYFUNCTION("""COMPUTED_VALUE"""),"Very Good")</f>
        <v>Very Good</v>
      </c>
      <c r="AC3089">
        <f>IFERROR(__xludf.DUMMYFUNCTION("""COMPUTED_VALUE"""),0.0)</f>
        <v>0</v>
      </c>
      <c r="AF3089" t="str">
        <f>IFERROR(__xludf.DUMMYFUNCTION("""COMPUTED_VALUE"""),"No. I took delivery of the first car Tesla was able to deliver.")</f>
        <v>No. I took delivery of the first car Tesla was able to deliver.</v>
      </c>
      <c r="AH3089" s="189">
        <f>IFERROR(__xludf.DUMMYFUNCTION("""COMPUTED_VALUE"""),44443.788555046296)</f>
        <v>44443.78856</v>
      </c>
    </row>
    <row r="3090">
      <c r="A3090" t="str">
        <f>IFERROR(__xludf.DUMMYFUNCTION("""COMPUTED_VALUE"""),"granitez")</f>
        <v>granitez</v>
      </c>
      <c r="B3090" t="str">
        <f>IFERROR(__xludf.DUMMYFUNCTION("""COMPUTED_VALUE"""),"Richmond")</f>
        <v>Richmond</v>
      </c>
      <c r="C3090" t="str">
        <f>IFERROR(__xludf.DUMMYFUNCTION("""COMPUTED_VALUE"""),"BC")</f>
        <v>BC</v>
      </c>
      <c r="D3090" t="str">
        <f>IFERROR(__xludf.DUMMYFUNCTION("""COMPUTED_VALUE"""),"Canada")</f>
        <v>Canada</v>
      </c>
      <c r="E3090" s="188">
        <f>IFERROR(__xludf.DUMMYFUNCTION("""COMPUTED_VALUE"""),44378.0)</f>
        <v>44378</v>
      </c>
      <c r="F3090" s="188">
        <f>IFERROR(__xludf.DUMMYFUNCTION("""COMPUTED_VALUE"""),44400.0)</f>
        <v>44400</v>
      </c>
      <c r="G3090" t="str">
        <f>IFERROR(__xludf.DUMMYFUNCTION("""COMPUTED_VALUE"""),"Source code")</f>
        <v>Source code</v>
      </c>
      <c r="J3090" s="188">
        <f>IFERROR(__xludf.DUMMYFUNCTION("""COMPUTED_VALUE"""),44402.0)</f>
        <v>44402</v>
      </c>
      <c r="K3090">
        <f>IFERROR(__xludf.DUMMYFUNCTION("""COMPUTED_VALUE"""),22.0)</f>
        <v>22</v>
      </c>
      <c r="L3090">
        <f>IFERROR(__xludf.DUMMYFUNCTION("""COMPUTED_VALUE"""),2.0)</f>
        <v>2</v>
      </c>
      <c r="M3090">
        <f>IFERROR(__xludf.DUMMYFUNCTION("""COMPUTED_VALUE"""),24.0)</f>
        <v>24</v>
      </c>
      <c r="N3090" t="str">
        <f>IFERROR(__xludf.DUMMYFUNCTION("""COMPUTED_VALUE"""),"Model 3 SR+")</f>
        <v>Model 3 SR+</v>
      </c>
      <c r="O3090" t="str">
        <f>IFERROR(__xludf.DUMMYFUNCTION("""COMPUTED_VALUE"""),"Midnight Silver Metallic")</f>
        <v>Midnight Silver Metallic</v>
      </c>
      <c r="P3090" t="str">
        <f>IFERROR(__xludf.DUMMYFUNCTION("""COMPUTED_VALUE"""),"18 inch")</f>
        <v>18 inch</v>
      </c>
      <c r="Q3090" t="str">
        <f>IFERROR(__xludf.DUMMYFUNCTION("""COMPUTED_VALUE"""),"Black and White")</f>
        <v>Black and White</v>
      </c>
      <c r="R3090" t="str">
        <f>IFERROR(__xludf.DUMMYFUNCTION("""COMPUTED_VALUE"""),"Autopilot included")</f>
        <v>Autopilot included</v>
      </c>
      <c r="S3090" t="str">
        <f>IFERROR(__xludf.DUMMYFUNCTION("""COMPUTED_VALUE"""),"Loan")</f>
        <v>Loan</v>
      </c>
      <c r="T3090" t="str">
        <f>IFERROR(__xludf.DUMMYFUNCTION("""COMPUTED_VALUE"""),"BMW 428i")</f>
        <v>BMW 428i</v>
      </c>
      <c r="U3090" t="str">
        <f>IFERROR(__xludf.DUMMYFUNCTION("""COMPUTED_VALUE"""),"Electric!")</f>
        <v>Electric!</v>
      </c>
      <c r="V3090" t="str">
        <f>IFERROR(__xludf.DUMMYFUNCTION("""COMPUTED_VALUE"""),"Head-up display")</f>
        <v>Head-up display</v>
      </c>
      <c r="W3090" t="str">
        <f>IFERROR(__xludf.DUMMYFUNCTION("""COMPUTED_VALUE"""),"Existing inventory yyds")</f>
        <v>Existing inventory yyds</v>
      </c>
      <c r="X3090" t="str">
        <f>IFERROR(__xludf.DUMMYFUNCTION("""COMPUTED_VALUE"""),"Very Good")</f>
        <v>Very Good</v>
      </c>
      <c r="Y3090" t="str">
        <f>IFERROR(__xludf.DUMMYFUNCTION("""COMPUTED_VALUE"""),"Excellent")</f>
        <v>Excellent</v>
      </c>
      <c r="Z3090" t="str">
        <f>IFERROR(__xludf.DUMMYFUNCTION("""COMPUTED_VALUE"""),"Excellent")</f>
        <v>Excellent</v>
      </c>
      <c r="AA3090" t="str">
        <f>IFERROR(__xludf.DUMMYFUNCTION("""COMPUTED_VALUE"""),"Excellent")</f>
        <v>Excellent</v>
      </c>
      <c r="AB3090" t="str">
        <f>IFERROR(__xludf.DUMMYFUNCTION("""COMPUTED_VALUE"""),"Excellent")</f>
        <v>Excellent</v>
      </c>
      <c r="AC3090">
        <f>IFERROR(__xludf.DUMMYFUNCTION("""COMPUTED_VALUE"""),0.0)</f>
        <v>0</v>
      </c>
      <c r="AD3090">
        <f>IFERROR(__xludf.DUMMYFUNCTION("""COMPUTED_VALUE"""),0.0)</f>
        <v>0</v>
      </c>
      <c r="AE3090">
        <f>IFERROR(__xludf.DUMMYFUNCTION("""COMPUTED_VALUE"""),0.0)</f>
        <v>0</v>
      </c>
      <c r="AF3090" t="str">
        <f>IFERROR(__xludf.DUMMYFUNCTION("""COMPUTED_VALUE"""),"No. I took delivery of the first car Tesla was able to deliver.")</f>
        <v>No. I took delivery of the first car Tesla was able to deliver.</v>
      </c>
      <c r="AH3090" s="189">
        <f>IFERROR(__xludf.DUMMYFUNCTION("""COMPUTED_VALUE"""),44403.64404658564)</f>
        <v>44403.64405</v>
      </c>
    </row>
    <row r="3091">
      <c r="A3091" t="str">
        <f>IFERROR(__xludf.DUMMYFUNCTION("""COMPUTED_VALUE"""),"sjcpilot")</f>
        <v>sjcpilot</v>
      </c>
      <c r="B3091" t="str">
        <f>IFERROR(__xludf.DUMMYFUNCTION("""COMPUTED_VALUE"""),"Wilmington")</f>
        <v>Wilmington</v>
      </c>
      <c r="C3091" t="str">
        <f>IFERROR(__xludf.DUMMYFUNCTION("""COMPUTED_VALUE"""),"NC")</f>
        <v>NC</v>
      </c>
      <c r="D3091" t="str">
        <f>IFERROR(__xludf.DUMMYFUNCTION("""COMPUTED_VALUE"""),"USA")</f>
        <v>USA</v>
      </c>
      <c r="E3091" s="188">
        <f>IFERROR(__xludf.DUMMYFUNCTION("""COMPUTED_VALUE"""),44379.0)</f>
        <v>44379</v>
      </c>
      <c r="F3091" s="188">
        <f>IFERROR(__xludf.DUMMYFUNCTION("""COMPUTED_VALUE"""),44426.0)</f>
        <v>44426</v>
      </c>
      <c r="G3091" t="str">
        <f>IFERROR(__xludf.DUMMYFUNCTION("""COMPUTED_VALUE"""),"Email")</f>
        <v>Email</v>
      </c>
      <c r="J3091" s="188">
        <f>IFERROR(__xludf.DUMMYFUNCTION("""COMPUTED_VALUE"""),44429.0)</f>
        <v>44429</v>
      </c>
      <c r="K3091">
        <f>IFERROR(__xludf.DUMMYFUNCTION("""COMPUTED_VALUE"""),47.0)</f>
        <v>47</v>
      </c>
      <c r="L3091">
        <f>IFERROR(__xludf.DUMMYFUNCTION("""COMPUTED_VALUE"""),3.0)</f>
        <v>3</v>
      </c>
      <c r="M3091">
        <f>IFERROR(__xludf.DUMMYFUNCTION("""COMPUTED_VALUE"""),50.0)</f>
        <v>50</v>
      </c>
      <c r="N3091" t="str">
        <f>IFERROR(__xludf.DUMMYFUNCTION("""COMPUTED_VALUE"""),"Model 3 SR+")</f>
        <v>Model 3 SR+</v>
      </c>
      <c r="O3091" t="str">
        <f>IFERROR(__xludf.DUMMYFUNCTION("""COMPUTED_VALUE"""),"Pearl White Multi-Coat")</f>
        <v>Pearl White Multi-Coat</v>
      </c>
      <c r="P3091" t="str">
        <f>IFERROR(__xludf.DUMMYFUNCTION("""COMPUTED_VALUE"""),"18 inch")</f>
        <v>18 inch</v>
      </c>
      <c r="Q3091" t="str">
        <f>IFERROR(__xludf.DUMMYFUNCTION("""COMPUTED_VALUE"""),"Black and White")</f>
        <v>Black and White</v>
      </c>
      <c r="R3091" t="str">
        <f>IFERROR(__xludf.DUMMYFUNCTION("""COMPUTED_VALUE"""),"Autopilot included")</f>
        <v>Autopilot included</v>
      </c>
      <c r="S3091" t="str">
        <f>IFERROR(__xludf.DUMMYFUNCTION("""COMPUTED_VALUE"""),"Loan")</f>
        <v>Loan</v>
      </c>
      <c r="T3091" t="str">
        <f>IFERROR(__xludf.DUMMYFUNCTION("""COMPUTED_VALUE"""),"BMW 3 Series")</f>
        <v>BMW 3 Series</v>
      </c>
      <c r="U3091" t="str">
        <f>IFERROR(__xludf.DUMMYFUNCTION("""COMPUTED_VALUE"""),"Autopilot")</f>
        <v>Autopilot</v>
      </c>
      <c r="V3091" t="str">
        <f>IFERROR(__xludf.DUMMYFUNCTION("""COMPUTED_VALUE"""),"Head-up display")</f>
        <v>Head-up display</v>
      </c>
      <c r="AH3091" s="189">
        <f>IFERROR(__xludf.DUMMYFUNCTION("""COMPUTED_VALUE"""),44427.55855189815)</f>
        <v>44427.55855</v>
      </c>
    </row>
    <row r="3092">
      <c r="A3092" t="str">
        <f>IFERROR(__xludf.DUMMYFUNCTION("""COMPUTED_VALUE"""),"tduffy50")</f>
        <v>tduffy50</v>
      </c>
      <c r="B3092" t="str">
        <f>IFERROR(__xludf.DUMMYFUNCTION("""COMPUTED_VALUE"""),"Bethel")</f>
        <v>Bethel</v>
      </c>
      <c r="C3092" t="str">
        <f>IFERROR(__xludf.DUMMYFUNCTION("""COMPUTED_VALUE"""),"CT")</f>
        <v>CT</v>
      </c>
      <c r="D3092" t="str">
        <f>IFERROR(__xludf.DUMMYFUNCTION("""COMPUTED_VALUE"""),"USA")</f>
        <v>USA</v>
      </c>
      <c r="E3092" s="188">
        <f>IFERROR(__xludf.DUMMYFUNCTION("""COMPUTED_VALUE"""),44367.0)</f>
        <v>44367</v>
      </c>
      <c r="F3092" s="188">
        <f>IFERROR(__xludf.DUMMYFUNCTION("""COMPUTED_VALUE"""),44408.0)</f>
        <v>44408</v>
      </c>
      <c r="G3092" t="str">
        <f>IFERROR(__xludf.DUMMYFUNCTION("""COMPUTED_VALUE"""),"Manage order page (normal text)")</f>
        <v>Manage order page (normal text)</v>
      </c>
      <c r="H3092">
        <f>IFERROR(__xludf.DUMMYFUNCTION("""COMPUTED_VALUE"""),27479.0)</f>
        <v>27479</v>
      </c>
      <c r="J3092" s="188">
        <f>IFERROR(__xludf.DUMMYFUNCTION("""COMPUTED_VALUE"""),44424.0)</f>
        <v>44424</v>
      </c>
      <c r="K3092">
        <f>IFERROR(__xludf.DUMMYFUNCTION("""COMPUTED_VALUE"""),41.0)</f>
        <v>41</v>
      </c>
      <c r="L3092">
        <f>IFERROR(__xludf.DUMMYFUNCTION("""COMPUTED_VALUE"""),16.0)</f>
        <v>16</v>
      </c>
      <c r="M3092">
        <f>IFERROR(__xludf.DUMMYFUNCTION("""COMPUTED_VALUE"""),57.0)</f>
        <v>57</v>
      </c>
      <c r="N3092" t="str">
        <f>IFERROR(__xludf.DUMMYFUNCTION("""COMPUTED_VALUE"""),"Model 3 SR+")</f>
        <v>Model 3 SR+</v>
      </c>
      <c r="O3092" t="str">
        <f>IFERROR(__xludf.DUMMYFUNCTION("""COMPUTED_VALUE"""),"Deep Blue Metallic")</f>
        <v>Deep Blue Metallic</v>
      </c>
      <c r="P3092" t="str">
        <f>IFERROR(__xludf.DUMMYFUNCTION("""COMPUTED_VALUE"""),"18 inch")</f>
        <v>18 inch</v>
      </c>
      <c r="Q3092" t="str">
        <f>IFERROR(__xludf.DUMMYFUNCTION("""COMPUTED_VALUE"""),"All Black")</f>
        <v>All Black</v>
      </c>
      <c r="R3092" t="str">
        <f>IFERROR(__xludf.DUMMYFUNCTION("""COMPUTED_VALUE"""),"Autopilot included")</f>
        <v>Autopilot included</v>
      </c>
      <c r="S3092" t="str">
        <f>IFERROR(__xludf.DUMMYFUNCTION("""COMPUTED_VALUE"""),"Loan")</f>
        <v>Loan</v>
      </c>
      <c r="T3092" t="str">
        <f>IFERROR(__xludf.DUMMYFUNCTION("""COMPUTED_VALUE"""),"None. Returned Model S 9/20")</f>
        <v>None. Returned Model S 9/20</v>
      </c>
      <c r="U3092" t="str">
        <f>IFERROR(__xludf.DUMMYFUNCTION("""COMPUTED_VALUE"""),"Supercharger V3 support")</f>
        <v>Supercharger V3 support</v>
      </c>
      <c r="V3092" t="str">
        <f>IFERROR(__xludf.DUMMYFUNCTION("""COMPUTED_VALUE"""),"HomeLink")</f>
        <v>HomeLink</v>
      </c>
      <c r="X3092" t="str">
        <f>IFERROR(__xludf.DUMMYFUNCTION("""COMPUTED_VALUE"""),"Excellent")</f>
        <v>Excellent</v>
      </c>
      <c r="Y3092" t="str">
        <f>IFERROR(__xludf.DUMMYFUNCTION("""COMPUTED_VALUE"""),"Excellent")</f>
        <v>Excellent</v>
      </c>
      <c r="Z3092" t="str">
        <f>IFERROR(__xludf.DUMMYFUNCTION("""COMPUTED_VALUE"""),"Excellent")</f>
        <v>Excellent</v>
      </c>
      <c r="AA3092" t="str">
        <f>IFERROR(__xludf.DUMMYFUNCTION("""COMPUTED_VALUE"""),"Excellent")</f>
        <v>Excellent</v>
      </c>
      <c r="AB3092" t="str">
        <f>IFERROR(__xludf.DUMMYFUNCTION("""COMPUTED_VALUE"""),"Excellent")</f>
        <v>Excellent</v>
      </c>
      <c r="AF3092" t="str">
        <f>IFERROR(__xludf.DUMMYFUNCTION("""COMPUTED_VALUE"""),"No. I took delivery of the first car Tesla was able to deliver.")</f>
        <v>No. I took delivery of the first car Tesla was able to deliver.</v>
      </c>
      <c r="AH3092" s="189">
        <f>IFERROR(__xludf.DUMMYFUNCTION("""COMPUTED_VALUE"""),44424.85935032407)</f>
        <v>44424.85935</v>
      </c>
    </row>
    <row r="3093">
      <c r="A3093" t="str">
        <f>IFERROR(__xludf.DUMMYFUNCTION("""COMPUTED_VALUE"""),"Abraham741")</f>
        <v>Abraham741</v>
      </c>
      <c r="B3093" t="str">
        <f>IFERROR(__xludf.DUMMYFUNCTION("""COMPUTED_VALUE"""),"Burbank")</f>
        <v>Burbank</v>
      </c>
      <c r="C3093" t="str">
        <f>IFERROR(__xludf.DUMMYFUNCTION("""COMPUTED_VALUE"""),"CA")</f>
        <v>CA</v>
      </c>
      <c r="D3093" t="str">
        <f>IFERROR(__xludf.DUMMYFUNCTION("""COMPUTED_VALUE"""),"USA")</f>
        <v>USA</v>
      </c>
      <c r="E3093" s="188">
        <f>IFERROR(__xludf.DUMMYFUNCTION("""COMPUTED_VALUE"""),44371.0)</f>
        <v>44371</v>
      </c>
      <c r="F3093" s="188">
        <f>IFERROR(__xludf.DUMMYFUNCTION("""COMPUTED_VALUE"""),44420.0)</f>
        <v>44420</v>
      </c>
      <c r="G3093" t="str">
        <f>IFERROR(__xludf.DUMMYFUNCTION("""COMPUTED_VALUE"""),"Email")</f>
        <v>Email</v>
      </c>
      <c r="I3093" t="str">
        <f>IFERROR(__xludf.DUMMYFUNCTION("""COMPUTED_VALUE"""),"08/21")</f>
        <v>08/21</v>
      </c>
      <c r="J3093" s="188">
        <f>IFERROR(__xludf.DUMMYFUNCTION("""COMPUTED_VALUE"""),44423.0)</f>
        <v>44423</v>
      </c>
      <c r="K3093">
        <f>IFERROR(__xludf.DUMMYFUNCTION("""COMPUTED_VALUE"""),49.0)</f>
        <v>49</v>
      </c>
      <c r="L3093">
        <f>IFERROR(__xludf.DUMMYFUNCTION("""COMPUTED_VALUE"""),3.0)</f>
        <v>3</v>
      </c>
      <c r="M3093">
        <f>IFERROR(__xludf.DUMMYFUNCTION("""COMPUTED_VALUE"""),52.0)</f>
        <v>52</v>
      </c>
      <c r="N3093" t="str">
        <f>IFERROR(__xludf.DUMMYFUNCTION("""COMPUTED_VALUE"""),"Model 3 LR AWD")</f>
        <v>Model 3 LR AWD</v>
      </c>
      <c r="O3093" t="str">
        <f>IFERROR(__xludf.DUMMYFUNCTION("""COMPUTED_VALUE"""),"Midnight Silver Metallic")</f>
        <v>Midnight Silver Metallic</v>
      </c>
      <c r="P3093" t="str">
        <f>IFERROR(__xludf.DUMMYFUNCTION("""COMPUTED_VALUE"""),"18 inch")</f>
        <v>18 inch</v>
      </c>
      <c r="Q3093" t="str">
        <f>IFERROR(__xludf.DUMMYFUNCTION("""COMPUTED_VALUE"""),"All Black")</f>
        <v>All Black</v>
      </c>
      <c r="R3093" t="str">
        <f>IFERROR(__xludf.DUMMYFUNCTION("""COMPUTED_VALUE"""),"Autopilot included")</f>
        <v>Autopilot included</v>
      </c>
      <c r="S3093" t="str">
        <f>IFERROR(__xludf.DUMMYFUNCTION("""COMPUTED_VALUE"""),"Loan")</f>
        <v>Loan</v>
      </c>
      <c r="T3093" t="str">
        <f>IFERROR(__xludf.DUMMYFUNCTION("""COMPUTED_VALUE"""),"Mazda MX-5 RF")</f>
        <v>Mazda MX-5 RF</v>
      </c>
      <c r="U3093" t="str">
        <f>IFERROR(__xludf.DUMMYFUNCTION("""COMPUTED_VALUE"""),"Electric!")</f>
        <v>Electric!</v>
      </c>
      <c r="V3093" t="str">
        <f>IFERROR(__xludf.DUMMYFUNCTION("""COMPUTED_VALUE"""),"Ventilated seats")</f>
        <v>Ventilated seats</v>
      </c>
      <c r="X3093" t="str">
        <f>IFERROR(__xludf.DUMMYFUNCTION("""COMPUTED_VALUE"""),"Good")</f>
        <v>Good</v>
      </c>
      <c r="Y3093" t="str">
        <f>IFERROR(__xludf.DUMMYFUNCTION("""COMPUTED_VALUE"""),"Very Good")</f>
        <v>Very Good</v>
      </c>
      <c r="Z3093" t="str">
        <f>IFERROR(__xludf.DUMMYFUNCTION("""COMPUTED_VALUE"""),"Good")</f>
        <v>Good</v>
      </c>
      <c r="AA3093" t="str">
        <f>IFERROR(__xludf.DUMMYFUNCTION("""COMPUTED_VALUE"""),"Good")</f>
        <v>Good</v>
      </c>
      <c r="AB3093" t="str">
        <f>IFERROR(__xludf.DUMMYFUNCTION("""COMPUTED_VALUE"""),"Very Good")</f>
        <v>Very Good</v>
      </c>
      <c r="AC3093">
        <f>IFERROR(__xludf.DUMMYFUNCTION("""COMPUTED_VALUE"""),1.0)</f>
        <v>1</v>
      </c>
      <c r="AF3093" t="str">
        <f>IFERROR(__xludf.DUMMYFUNCTION("""COMPUTED_VALUE"""),"No. I took delivery of the first car Tesla was able to deliver.")</f>
        <v>No. I took delivery of the first car Tesla was able to deliver.</v>
      </c>
      <c r="AH3093" s="189">
        <f>IFERROR(__xludf.DUMMYFUNCTION("""COMPUTED_VALUE"""),44424.263025277774)</f>
        <v>44424.26303</v>
      </c>
    </row>
    <row r="3094">
      <c r="A3094" t="str">
        <f>IFERROR(__xludf.DUMMYFUNCTION("""COMPUTED_VALUE"""),"mrmitch5150")</f>
        <v>mrmitch5150</v>
      </c>
      <c r="B3094" t="str">
        <f>IFERROR(__xludf.DUMMYFUNCTION("""COMPUTED_VALUE"""),"Benicia")</f>
        <v>Benicia</v>
      </c>
      <c r="C3094" t="str">
        <f>IFERROR(__xludf.DUMMYFUNCTION("""COMPUTED_VALUE"""),"CA")</f>
        <v>CA</v>
      </c>
      <c r="D3094" t="str">
        <f>IFERROR(__xludf.DUMMYFUNCTION("""COMPUTED_VALUE"""),"USA")</f>
        <v>USA</v>
      </c>
      <c r="E3094" s="188">
        <f>IFERROR(__xludf.DUMMYFUNCTION("""COMPUTED_VALUE"""),44371.0)</f>
        <v>44371</v>
      </c>
      <c r="F3094" s="188">
        <f>IFERROR(__xludf.DUMMYFUNCTION("""COMPUTED_VALUE"""),44395.0)</f>
        <v>44395</v>
      </c>
      <c r="G3094" t="str">
        <f>IFERROR(__xludf.DUMMYFUNCTION("""COMPUTED_VALUE"""),"Text message")</f>
        <v>Text message</v>
      </c>
      <c r="H3094">
        <f>IFERROR(__xludf.DUMMYFUNCTION("""COMPUTED_VALUE"""),15755.0)</f>
        <v>15755</v>
      </c>
      <c r="J3094" s="188">
        <f>IFERROR(__xludf.DUMMYFUNCTION("""COMPUTED_VALUE"""),44400.0)</f>
        <v>44400</v>
      </c>
      <c r="K3094">
        <f>IFERROR(__xludf.DUMMYFUNCTION("""COMPUTED_VALUE"""),24.0)</f>
        <v>24</v>
      </c>
      <c r="L3094">
        <f>IFERROR(__xludf.DUMMYFUNCTION("""COMPUTED_VALUE"""),5.0)</f>
        <v>5</v>
      </c>
      <c r="M3094">
        <f>IFERROR(__xludf.DUMMYFUNCTION("""COMPUTED_VALUE"""),29.0)</f>
        <v>29</v>
      </c>
      <c r="N3094" t="str">
        <f>IFERROR(__xludf.DUMMYFUNCTION("""COMPUTED_VALUE"""),"Model 3 Performance")</f>
        <v>Model 3 Performance</v>
      </c>
      <c r="O3094" t="str">
        <f>IFERROR(__xludf.DUMMYFUNCTION("""COMPUTED_VALUE"""),"Red Multi-Coat")</f>
        <v>Red Multi-Coat</v>
      </c>
      <c r="P3094" t="str">
        <f>IFERROR(__xludf.DUMMYFUNCTION("""COMPUTED_VALUE"""),"20 inch")</f>
        <v>20 inch</v>
      </c>
      <c r="Q3094" t="str">
        <f>IFERROR(__xludf.DUMMYFUNCTION("""COMPUTED_VALUE"""),"All Black")</f>
        <v>All Black</v>
      </c>
      <c r="R3094" t="str">
        <f>IFERROR(__xludf.DUMMYFUNCTION("""COMPUTED_VALUE"""),"Autopilot included")</f>
        <v>Autopilot included</v>
      </c>
      <c r="S3094" t="str">
        <f>IFERROR(__xludf.DUMMYFUNCTION("""COMPUTED_VALUE"""),"Loan")</f>
        <v>Loan</v>
      </c>
      <c r="T3094" t="str">
        <f>IFERROR(__xludf.DUMMYFUNCTION("""COMPUTED_VALUE"""),"Subaru Forester ")</f>
        <v>Subaru Forester </v>
      </c>
      <c r="U3094" t="str">
        <f>IFERROR(__xludf.DUMMYFUNCTION("""COMPUTED_VALUE"""),"Electric!")</f>
        <v>Electric!</v>
      </c>
      <c r="V3094" t="str">
        <f>IFERROR(__xludf.DUMMYFUNCTION("""COMPUTED_VALUE"""),"Blind spot indicators on side mirrors")</f>
        <v>Blind spot indicators on side mirrors</v>
      </c>
      <c r="W3094" t="str">
        <f>IFERROR(__xludf.DUMMYFUNCTION("""COMPUTED_VALUE"""),"Keep an eye on existing inventory and you may get lucky!")</f>
        <v>Keep an eye on existing inventory and you may get lucky!</v>
      </c>
      <c r="X3094" t="str">
        <f>IFERROR(__xludf.DUMMYFUNCTION("""COMPUTED_VALUE"""),"Very Good")</f>
        <v>Very Good</v>
      </c>
      <c r="Y3094" t="str">
        <f>IFERROR(__xludf.DUMMYFUNCTION("""COMPUTED_VALUE"""),"Very Good")</f>
        <v>Very Good</v>
      </c>
      <c r="Z3094" t="str">
        <f>IFERROR(__xludf.DUMMYFUNCTION("""COMPUTED_VALUE"""),"Good")</f>
        <v>Good</v>
      </c>
      <c r="AA3094" t="str">
        <f>IFERROR(__xludf.DUMMYFUNCTION("""COMPUTED_VALUE"""),"Excellent")</f>
        <v>Excellent</v>
      </c>
      <c r="AB3094" t="str">
        <f>IFERROR(__xludf.DUMMYFUNCTION("""COMPUTED_VALUE"""),"Excellent")</f>
        <v>Excellent</v>
      </c>
      <c r="AF3094" t="str">
        <f>IFERROR(__xludf.DUMMYFUNCTION("""COMPUTED_VALUE"""),"No. I took delivery of the first car Tesla was able to deliver.")</f>
        <v>No. I took delivery of the first car Tesla was able to deliver.</v>
      </c>
      <c r="AG3094" t="str">
        <f>IFERROR(__xludf.DUMMYFUNCTION("""COMPUTED_VALUE"""),"Found it in existing inventory while waiting for my original order.")</f>
        <v>Found it in existing inventory while waiting for my original order.</v>
      </c>
      <c r="AH3094" s="189">
        <f>IFERROR(__xludf.DUMMYFUNCTION("""COMPUTED_VALUE"""),44402.44734583334)</f>
        <v>44402.44735</v>
      </c>
    </row>
    <row r="3095">
      <c r="A3095" t="str">
        <f>IFERROR(__xludf.DUMMYFUNCTION("""COMPUTED_VALUE"""),"rommy")</f>
        <v>rommy</v>
      </c>
      <c r="B3095" t="str">
        <f>IFERROR(__xludf.DUMMYFUNCTION("""COMPUTED_VALUE"""),"Anaheim")</f>
        <v>Anaheim</v>
      </c>
      <c r="C3095" t="str">
        <f>IFERROR(__xludf.DUMMYFUNCTION("""COMPUTED_VALUE"""),"CA")</f>
        <v>CA</v>
      </c>
      <c r="D3095" t="str">
        <f>IFERROR(__xludf.DUMMYFUNCTION("""COMPUTED_VALUE"""),"USA")</f>
        <v>USA</v>
      </c>
      <c r="E3095" s="188">
        <f>IFERROR(__xludf.DUMMYFUNCTION("""COMPUTED_VALUE"""),44364.0)</f>
        <v>44364</v>
      </c>
      <c r="F3095" s="188">
        <f>IFERROR(__xludf.DUMMYFUNCTION("""COMPUTED_VALUE"""),44436.0)</f>
        <v>44436</v>
      </c>
      <c r="G3095" t="str">
        <f>IFERROR(__xludf.DUMMYFUNCTION("""COMPUTED_VALUE"""),"Manage order page (normal text)")</f>
        <v>Manage order page (normal text)</v>
      </c>
      <c r="J3095" s="188">
        <f>IFERROR(__xludf.DUMMYFUNCTION("""COMPUTED_VALUE"""),44439.0)</f>
        <v>44439</v>
      </c>
      <c r="K3095">
        <f>IFERROR(__xludf.DUMMYFUNCTION("""COMPUTED_VALUE"""),72.0)</f>
        <v>72</v>
      </c>
      <c r="L3095">
        <f>IFERROR(__xludf.DUMMYFUNCTION("""COMPUTED_VALUE"""),3.0)</f>
        <v>3</v>
      </c>
      <c r="M3095">
        <f>IFERROR(__xludf.DUMMYFUNCTION("""COMPUTED_VALUE"""),75.0)</f>
        <v>75</v>
      </c>
      <c r="N3095" t="str">
        <f>IFERROR(__xludf.DUMMYFUNCTION("""COMPUTED_VALUE"""),"Model 3 LR AWD")</f>
        <v>Model 3 LR AWD</v>
      </c>
      <c r="O3095" t="str">
        <f>IFERROR(__xludf.DUMMYFUNCTION("""COMPUTED_VALUE"""),"Solid Black")</f>
        <v>Solid Black</v>
      </c>
      <c r="P3095" t="str">
        <f>IFERROR(__xludf.DUMMYFUNCTION("""COMPUTED_VALUE"""),"18 inch")</f>
        <v>18 inch</v>
      </c>
      <c r="Q3095" t="str">
        <f>IFERROR(__xludf.DUMMYFUNCTION("""COMPUTED_VALUE"""),"All Black")</f>
        <v>All Black</v>
      </c>
      <c r="R3095" t="str">
        <f>IFERROR(__xludf.DUMMYFUNCTION("""COMPUTED_VALUE"""),"Full Self-Driving")</f>
        <v>Full Self-Driving</v>
      </c>
      <c r="T3095" t="str">
        <f>IFERROR(__xludf.DUMMYFUNCTION("""COMPUTED_VALUE"""),"Toyota Prius")</f>
        <v>Toyota Prius</v>
      </c>
      <c r="V3095" t="str">
        <f>IFERROR(__xludf.DUMMYFUNCTION("""COMPUTED_VALUE"""),"Bioweapon defense mode")</f>
        <v>Bioweapon defense mode</v>
      </c>
      <c r="X3095" t="str">
        <f>IFERROR(__xludf.DUMMYFUNCTION("""COMPUTED_VALUE"""),"Excellent")</f>
        <v>Excellent</v>
      </c>
      <c r="Y3095" t="str">
        <f>IFERROR(__xludf.DUMMYFUNCTION("""COMPUTED_VALUE"""),"Excellent")</f>
        <v>Excellent</v>
      </c>
      <c r="Z3095" t="str">
        <f>IFERROR(__xludf.DUMMYFUNCTION("""COMPUTED_VALUE"""),"Excellent")</f>
        <v>Excellent</v>
      </c>
      <c r="AA3095" t="str">
        <f>IFERROR(__xludf.DUMMYFUNCTION("""COMPUTED_VALUE"""),"Excellent")</f>
        <v>Excellent</v>
      </c>
      <c r="AB3095" t="str">
        <f>IFERROR(__xludf.DUMMYFUNCTION("""COMPUTED_VALUE"""),"Excellent")</f>
        <v>Excellent</v>
      </c>
      <c r="AC3095">
        <f>IFERROR(__xludf.DUMMYFUNCTION("""COMPUTED_VALUE"""),1.0)</f>
        <v>1</v>
      </c>
      <c r="AD3095">
        <f>IFERROR(__xludf.DUMMYFUNCTION("""COMPUTED_VALUE"""),1.0)</f>
        <v>1</v>
      </c>
      <c r="AF3095" t="str">
        <f>IFERROR(__xludf.DUMMYFUNCTION("""COMPUTED_VALUE"""),"No. I took delivery of the first car Tesla was able to deliver.")</f>
        <v>No. I took delivery of the first car Tesla was able to deliver.</v>
      </c>
      <c r="AH3095" s="189">
        <f>IFERROR(__xludf.DUMMYFUNCTION("""COMPUTED_VALUE"""),44441.02015640047)</f>
        <v>44441.02016</v>
      </c>
    </row>
    <row r="3096">
      <c r="A3096" t="str">
        <f>IFERROR(__xludf.DUMMYFUNCTION("""COMPUTED_VALUE"""),"TesMod3")</f>
        <v>TesMod3</v>
      </c>
      <c r="B3096" t="str">
        <f>IFERROR(__xludf.DUMMYFUNCTION("""COMPUTED_VALUE"""),"Marietta")</f>
        <v>Marietta</v>
      </c>
      <c r="C3096" t="str">
        <f>IFERROR(__xludf.DUMMYFUNCTION("""COMPUTED_VALUE"""),"GA")</f>
        <v>GA</v>
      </c>
      <c r="D3096" t="str">
        <f>IFERROR(__xludf.DUMMYFUNCTION("""COMPUTED_VALUE"""),"USA")</f>
        <v>USA</v>
      </c>
      <c r="E3096" s="188">
        <f>IFERROR(__xludf.DUMMYFUNCTION("""COMPUTED_VALUE"""),44358.0)</f>
        <v>44358</v>
      </c>
      <c r="I3096" t="str">
        <f>IFERROR(__xludf.DUMMYFUNCTION("""COMPUTED_VALUE"""),"08/21")</f>
        <v>08/21</v>
      </c>
      <c r="N3096" t="str">
        <f>IFERROR(__xludf.DUMMYFUNCTION("""COMPUTED_VALUE"""),"Model 3 LR AWD")</f>
        <v>Model 3 LR AWD</v>
      </c>
      <c r="O3096" t="str">
        <f>IFERROR(__xludf.DUMMYFUNCTION("""COMPUTED_VALUE"""),"Pearl White Multi-Coat")</f>
        <v>Pearl White Multi-Coat</v>
      </c>
      <c r="P3096" t="str">
        <f>IFERROR(__xludf.DUMMYFUNCTION("""COMPUTED_VALUE"""),"18 inch")</f>
        <v>18 inch</v>
      </c>
      <c r="Q3096" t="str">
        <f>IFERROR(__xludf.DUMMYFUNCTION("""COMPUTED_VALUE"""),"All Black")</f>
        <v>All Black</v>
      </c>
      <c r="R3096" t="str">
        <f>IFERROR(__xludf.DUMMYFUNCTION("""COMPUTED_VALUE"""),"Autopilot included")</f>
        <v>Autopilot included</v>
      </c>
      <c r="S3096" t="str">
        <f>IFERROR(__xludf.DUMMYFUNCTION("""COMPUTED_VALUE"""),"Loan")</f>
        <v>Loan</v>
      </c>
      <c r="U3096" t="str">
        <f>IFERROR(__xludf.DUMMYFUNCTION("""COMPUTED_VALUE"""),"Electric!")</f>
        <v>Electric!</v>
      </c>
      <c r="V3096" t="str">
        <f>IFERROR(__xludf.DUMMYFUNCTION("""COMPUTED_VALUE"""),"HomeLink")</f>
        <v>HomeLink</v>
      </c>
      <c r="X3096" t="str">
        <f>IFERROR(__xludf.DUMMYFUNCTION("""COMPUTED_VALUE"""),"Excellent")</f>
        <v>Excellent</v>
      </c>
      <c r="Y3096" t="str">
        <f>IFERROR(__xludf.DUMMYFUNCTION("""COMPUTED_VALUE"""),"Excellent")</f>
        <v>Excellent</v>
      </c>
      <c r="Z3096" t="str">
        <f>IFERROR(__xludf.DUMMYFUNCTION("""COMPUTED_VALUE"""),"Excellent")</f>
        <v>Excellent</v>
      </c>
      <c r="AA3096" t="str">
        <f>IFERROR(__xludf.DUMMYFUNCTION("""COMPUTED_VALUE"""),"Good")</f>
        <v>Good</v>
      </c>
      <c r="AB3096" t="str">
        <f>IFERROR(__xludf.DUMMYFUNCTION("""COMPUTED_VALUE"""),"Excellent")</f>
        <v>Excellent</v>
      </c>
      <c r="AC3096">
        <f>IFERROR(__xludf.DUMMYFUNCTION("""COMPUTED_VALUE"""),0.0)</f>
        <v>0</v>
      </c>
      <c r="AD3096">
        <f>IFERROR(__xludf.DUMMYFUNCTION("""COMPUTED_VALUE"""),0.0)</f>
        <v>0</v>
      </c>
      <c r="AE3096">
        <f>IFERROR(__xludf.DUMMYFUNCTION("""COMPUTED_VALUE"""),0.0)</f>
        <v>0</v>
      </c>
      <c r="AF3096" t="str">
        <f>IFERROR(__xludf.DUMMYFUNCTION("""COMPUTED_VALUE"""),"No. I took delivery of the first car Tesla was able to deliver.")</f>
        <v>No. I took delivery of the first car Tesla was able to deliver.</v>
      </c>
      <c r="AH3096" s="189">
        <f>IFERROR(__xludf.DUMMYFUNCTION("""COMPUTED_VALUE"""),44433.65643753472)</f>
        <v>44433.65644</v>
      </c>
    </row>
    <row r="3097">
      <c r="A3097" t="str">
        <f>IFERROR(__xludf.DUMMYFUNCTION("""COMPUTED_VALUE"""),"cjondarza")</f>
        <v>cjondarza</v>
      </c>
      <c r="B3097" t="str">
        <f>IFERROR(__xludf.DUMMYFUNCTION("""COMPUTED_VALUE"""),"Fort Worth")</f>
        <v>Fort Worth</v>
      </c>
      <c r="C3097" t="str">
        <f>IFERROR(__xludf.DUMMYFUNCTION("""COMPUTED_VALUE"""),"TX")</f>
        <v>TX</v>
      </c>
      <c r="D3097" t="str">
        <f>IFERROR(__xludf.DUMMYFUNCTION("""COMPUTED_VALUE"""),"USA")</f>
        <v>USA</v>
      </c>
      <c r="E3097" s="188">
        <f>IFERROR(__xludf.DUMMYFUNCTION("""COMPUTED_VALUE"""),44359.0)</f>
        <v>44359</v>
      </c>
      <c r="F3097" s="188">
        <f>IFERROR(__xludf.DUMMYFUNCTION("""COMPUTED_VALUE"""),44421.0)</f>
        <v>44421</v>
      </c>
      <c r="G3097" t="str">
        <f>IFERROR(__xludf.DUMMYFUNCTION("""COMPUTED_VALUE"""),"Manage order page (normal text)")</f>
        <v>Manage order page (normal text)</v>
      </c>
      <c r="H3097">
        <f>IFERROR(__xludf.DUMMYFUNCTION("""COMPUTED_VALUE"""),34960.0)</f>
        <v>34960</v>
      </c>
      <c r="K3097">
        <f>IFERROR(__xludf.DUMMYFUNCTION("""COMPUTED_VALUE"""),62.0)</f>
        <v>62</v>
      </c>
      <c r="N3097" t="str">
        <f>IFERROR(__xludf.DUMMYFUNCTION("""COMPUTED_VALUE"""),"Model 3 LR AWD")</f>
        <v>Model 3 LR AWD</v>
      </c>
      <c r="O3097" t="str">
        <f>IFERROR(__xludf.DUMMYFUNCTION("""COMPUTED_VALUE"""),"Midnight Silver Metallic")</f>
        <v>Midnight Silver Metallic</v>
      </c>
      <c r="P3097" t="str">
        <f>IFERROR(__xludf.DUMMYFUNCTION("""COMPUTED_VALUE"""),"18 inch")</f>
        <v>18 inch</v>
      </c>
      <c r="Q3097" t="str">
        <f>IFERROR(__xludf.DUMMYFUNCTION("""COMPUTED_VALUE"""),"Black and White")</f>
        <v>Black and White</v>
      </c>
      <c r="R3097" t="str">
        <f>IFERROR(__xludf.DUMMYFUNCTION("""COMPUTED_VALUE"""),"Autopilot included")</f>
        <v>Autopilot included</v>
      </c>
      <c r="S3097" t="str">
        <f>IFERROR(__xludf.DUMMYFUNCTION("""COMPUTED_VALUE"""),"Loan")</f>
        <v>Loan</v>
      </c>
      <c r="T3097" t="str">
        <f>IFERROR(__xludf.DUMMYFUNCTION("""COMPUTED_VALUE"""),"Honda Insight")</f>
        <v>Honda Insight</v>
      </c>
      <c r="U3097" t="str">
        <f>IFERROR(__xludf.DUMMYFUNCTION("""COMPUTED_VALUE"""),"Electric!")</f>
        <v>Electric!</v>
      </c>
      <c r="V3097" t="str">
        <f>IFERROR(__xludf.DUMMYFUNCTION("""COMPUTED_VALUE"""),"Ventilated seats")</f>
        <v>Ventilated seats</v>
      </c>
      <c r="AH3097" s="189">
        <f>IFERROR(__xludf.DUMMYFUNCTION("""COMPUTED_VALUE"""),44421.877601458335)</f>
        <v>44421.8776</v>
      </c>
    </row>
    <row r="3098">
      <c r="A3098" t="str">
        <f>IFERROR(__xludf.DUMMYFUNCTION("""COMPUTED_VALUE"""),"Surgeon-San")</f>
        <v>Surgeon-San</v>
      </c>
      <c r="C3098" t="str">
        <f>IFERROR(__xludf.DUMMYFUNCTION("""COMPUTED_VALUE"""),"PA")</f>
        <v>PA</v>
      </c>
      <c r="D3098" t="str">
        <f>IFERROR(__xludf.DUMMYFUNCTION("""COMPUTED_VALUE"""),"USA")</f>
        <v>USA</v>
      </c>
      <c r="E3098" s="188">
        <f>IFERROR(__xludf.DUMMYFUNCTION("""COMPUTED_VALUE"""),44368.0)</f>
        <v>44368</v>
      </c>
      <c r="F3098" s="188">
        <f>IFERROR(__xludf.DUMMYFUNCTION("""COMPUTED_VALUE"""),44419.0)</f>
        <v>44419</v>
      </c>
      <c r="G3098" t="str">
        <f>IFERROR(__xludf.DUMMYFUNCTION("""COMPUTED_VALUE"""),"Manage order page (normal text)")</f>
        <v>Manage order page (normal text)</v>
      </c>
      <c r="K3098">
        <f>IFERROR(__xludf.DUMMYFUNCTION("""COMPUTED_VALUE"""),51.0)</f>
        <v>51</v>
      </c>
      <c r="N3098" t="str">
        <f>IFERROR(__xludf.DUMMYFUNCTION("""COMPUTED_VALUE"""),"Model 3 LR AWD")</f>
        <v>Model 3 LR AWD</v>
      </c>
      <c r="O3098" t="str">
        <f>IFERROR(__xludf.DUMMYFUNCTION("""COMPUTED_VALUE"""),"Deep Blue Metallic")</f>
        <v>Deep Blue Metallic</v>
      </c>
      <c r="P3098" t="str">
        <f>IFERROR(__xludf.DUMMYFUNCTION("""COMPUTED_VALUE"""),"18 inch")</f>
        <v>18 inch</v>
      </c>
      <c r="Q3098" t="str">
        <f>IFERROR(__xludf.DUMMYFUNCTION("""COMPUTED_VALUE"""),"All Black")</f>
        <v>All Black</v>
      </c>
      <c r="R3098" t="str">
        <f>IFERROR(__xludf.DUMMYFUNCTION("""COMPUTED_VALUE"""),"Autopilot included")</f>
        <v>Autopilot included</v>
      </c>
      <c r="S3098" t="str">
        <f>IFERROR(__xludf.DUMMYFUNCTION("""COMPUTED_VALUE"""),"Loan")</f>
        <v>Loan</v>
      </c>
      <c r="T3098" t="str">
        <f>IFERROR(__xludf.DUMMYFUNCTION("""COMPUTED_VALUE"""),"Honda Civic")</f>
        <v>Honda Civic</v>
      </c>
      <c r="U3098" t="str">
        <f>IFERROR(__xludf.DUMMYFUNCTION("""COMPUTED_VALUE"""),"Electric!")</f>
        <v>Electric!</v>
      </c>
      <c r="V3098" t="str">
        <f>IFERROR(__xludf.DUMMYFUNCTION("""COMPUTED_VALUE"""),"Apple CarPlay / Android Auto / SiriusXM Radio")</f>
        <v>Apple CarPlay / Android Auto / SiriusXM Radio</v>
      </c>
      <c r="AH3098" s="189">
        <f>IFERROR(__xludf.DUMMYFUNCTION("""COMPUTED_VALUE"""),44419.795442939816)</f>
        <v>44419.79544</v>
      </c>
    </row>
    <row r="3099">
      <c r="A3099" t="str">
        <f>IFERROR(__xludf.DUMMYFUNCTION("""COMPUTED_VALUE"""),"wdholm7783")</f>
        <v>wdholm7783</v>
      </c>
      <c r="B3099" t="str">
        <f>IFERROR(__xludf.DUMMYFUNCTION("""COMPUTED_VALUE"""),"Ellijay")</f>
        <v>Ellijay</v>
      </c>
      <c r="C3099" t="str">
        <f>IFERROR(__xludf.DUMMYFUNCTION("""COMPUTED_VALUE"""),"GA")</f>
        <v>GA</v>
      </c>
      <c r="D3099" t="str">
        <f>IFERROR(__xludf.DUMMYFUNCTION("""COMPUTED_VALUE"""),"USA")</f>
        <v>USA</v>
      </c>
      <c r="E3099" s="188">
        <f>IFERROR(__xludf.DUMMYFUNCTION("""COMPUTED_VALUE"""),44362.0)</f>
        <v>44362</v>
      </c>
      <c r="F3099" s="188">
        <f>IFERROR(__xludf.DUMMYFUNCTION("""COMPUTED_VALUE"""),44393.0)</f>
        <v>44393</v>
      </c>
      <c r="G3099" t="str">
        <f>IFERROR(__xludf.DUMMYFUNCTION("""COMPUTED_VALUE"""),"Grabbed existing vehicle")</f>
        <v>Grabbed existing vehicle</v>
      </c>
      <c r="J3099" s="188">
        <f>IFERROR(__xludf.DUMMYFUNCTION("""COMPUTED_VALUE"""),44404.0)</f>
        <v>44404</v>
      </c>
      <c r="K3099">
        <f>IFERROR(__xludf.DUMMYFUNCTION("""COMPUTED_VALUE"""),31.0)</f>
        <v>31</v>
      </c>
      <c r="L3099">
        <f>IFERROR(__xludf.DUMMYFUNCTION("""COMPUTED_VALUE"""),11.0)</f>
        <v>11</v>
      </c>
      <c r="M3099">
        <f>IFERROR(__xludf.DUMMYFUNCTION("""COMPUTED_VALUE"""),42.0)</f>
        <v>42</v>
      </c>
      <c r="N3099" t="str">
        <f>IFERROR(__xludf.DUMMYFUNCTION("""COMPUTED_VALUE"""),"Model 3 LR AWD")</f>
        <v>Model 3 LR AWD</v>
      </c>
      <c r="O3099" t="str">
        <f>IFERROR(__xludf.DUMMYFUNCTION("""COMPUTED_VALUE"""),"Solid Black")</f>
        <v>Solid Black</v>
      </c>
      <c r="P3099" t="str">
        <f>IFERROR(__xludf.DUMMYFUNCTION("""COMPUTED_VALUE"""),"19 inch")</f>
        <v>19 inch</v>
      </c>
      <c r="Q3099" t="str">
        <f>IFERROR(__xludf.DUMMYFUNCTION("""COMPUTED_VALUE"""),"Black and White")</f>
        <v>Black and White</v>
      </c>
      <c r="R3099" t="str">
        <f>IFERROR(__xludf.DUMMYFUNCTION("""COMPUTED_VALUE"""),"Autopilot included")</f>
        <v>Autopilot included</v>
      </c>
      <c r="S3099" t="str">
        <f>IFERROR(__xludf.DUMMYFUNCTION("""COMPUTED_VALUE"""),"Loan")</f>
        <v>Loan</v>
      </c>
      <c r="T3099" t="str">
        <f>IFERROR(__xludf.DUMMYFUNCTION("""COMPUTED_VALUE"""),"BMW X3")</f>
        <v>BMW X3</v>
      </c>
      <c r="AH3099" s="189">
        <f>IFERROR(__xludf.DUMMYFUNCTION("""COMPUTED_VALUE"""),44394.682948194444)</f>
        <v>44394.68295</v>
      </c>
    </row>
    <row r="3100">
      <c r="A3100" t="str">
        <f>IFERROR(__xludf.DUMMYFUNCTION("""COMPUTED_VALUE"""),"pi-rat")</f>
        <v>pi-rat</v>
      </c>
      <c r="B3100" t="str">
        <f>IFERROR(__xludf.DUMMYFUNCTION("""COMPUTED_VALUE"""),"Nashville")</f>
        <v>Nashville</v>
      </c>
      <c r="C3100" t="str">
        <f>IFERROR(__xludf.DUMMYFUNCTION("""COMPUTED_VALUE"""),"TN")</f>
        <v>TN</v>
      </c>
      <c r="D3100" t="str">
        <f>IFERROR(__xludf.DUMMYFUNCTION("""COMPUTED_VALUE"""),"USA")</f>
        <v>USA</v>
      </c>
      <c r="E3100" s="188">
        <f>IFERROR(__xludf.DUMMYFUNCTION("""COMPUTED_VALUE"""),44372.0)</f>
        <v>44372</v>
      </c>
      <c r="F3100" s="188">
        <f>IFERROR(__xludf.DUMMYFUNCTION("""COMPUTED_VALUE"""),44407.0)</f>
        <v>44407</v>
      </c>
      <c r="G3100" t="str">
        <f>IFERROR(__xludf.DUMMYFUNCTION("""COMPUTED_VALUE"""),"Manage order page (normal text)")</f>
        <v>Manage order page (normal text)</v>
      </c>
      <c r="J3100" s="188">
        <f>IFERROR(__xludf.DUMMYFUNCTION("""COMPUTED_VALUE"""),44418.0)</f>
        <v>44418</v>
      </c>
      <c r="K3100">
        <f>IFERROR(__xludf.DUMMYFUNCTION("""COMPUTED_VALUE"""),35.0)</f>
        <v>35</v>
      </c>
      <c r="L3100">
        <f>IFERROR(__xludf.DUMMYFUNCTION("""COMPUTED_VALUE"""),11.0)</f>
        <v>11</v>
      </c>
      <c r="M3100">
        <f>IFERROR(__xludf.DUMMYFUNCTION("""COMPUTED_VALUE"""),46.0)</f>
        <v>46</v>
      </c>
      <c r="N3100" t="str">
        <f>IFERROR(__xludf.DUMMYFUNCTION("""COMPUTED_VALUE"""),"Model 3 SR+")</f>
        <v>Model 3 SR+</v>
      </c>
      <c r="O3100" t="str">
        <f>IFERROR(__xludf.DUMMYFUNCTION("""COMPUTED_VALUE"""),"Pearl White Multi-Coat")</f>
        <v>Pearl White Multi-Coat</v>
      </c>
      <c r="P3100" t="str">
        <f>IFERROR(__xludf.DUMMYFUNCTION("""COMPUTED_VALUE"""),"18 inch")</f>
        <v>18 inch</v>
      </c>
      <c r="Q3100" t="str">
        <f>IFERROR(__xludf.DUMMYFUNCTION("""COMPUTED_VALUE"""),"All Black")</f>
        <v>All Black</v>
      </c>
      <c r="R3100" t="str">
        <f>IFERROR(__xludf.DUMMYFUNCTION("""COMPUTED_VALUE"""),"Autopilot included")</f>
        <v>Autopilot included</v>
      </c>
      <c r="S3100" t="str">
        <f>IFERROR(__xludf.DUMMYFUNCTION("""COMPUTED_VALUE"""),"Loan")</f>
        <v>Loan</v>
      </c>
      <c r="T3100" t="str">
        <f>IFERROR(__xludf.DUMMYFUNCTION("""COMPUTED_VALUE"""),"Hyundai Elantra")</f>
        <v>Hyundai Elantra</v>
      </c>
      <c r="U3100" t="str">
        <f>IFERROR(__xludf.DUMMYFUNCTION("""COMPUTED_VALUE"""),"Electric!")</f>
        <v>Electric!</v>
      </c>
      <c r="V3100" t="str">
        <f>IFERROR(__xludf.DUMMYFUNCTION("""COMPUTED_VALUE"""),"Air suspension")</f>
        <v>Air suspension</v>
      </c>
      <c r="AH3100" s="189">
        <f>IFERROR(__xludf.DUMMYFUNCTION("""COMPUTED_VALUE"""),44407.27495204861)</f>
        <v>44407.27495</v>
      </c>
    </row>
    <row r="3101">
      <c r="A3101" t="str">
        <f>IFERROR(__xludf.DUMMYFUNCTION("""COMPUTED_VALUE"""),"Mad4sax")</f>
        <v>Mad4sax</v>
      </c>
      <c r="B3101" t="str">
        <f>IFERROR(__xludf.DUMMYFUNCTION("""COMPUTED_VALUE"""),"Camillus")</f>
        <v>Camillus</v>
      </c>
      <c r="C3101" t="str">
        <f>IFERROR(__xludf.DUMMYFUNCTION("""COMPUTED_VALUE"""),"NY")</f>
        <v>NY</v>
      </c>
      <c r="D3101" t="str">
        <f>IFERROR(__xludf.DUMMYFUNCTION("""COMPUTED_VALUE"""),"USA")</f>
        <v>USA</v>
      </c>
      <c r="E3101" s="188">
        <f>IFERROR(__xludf.DUMMYFUNCTION("""COMPUTED_VALUE"""),44378.0)</f>
        <v>44378</v>
      </c>
      <c r="F3101" s="188">
        <f>IFERROR(__xludf.DUMMYFUNCTION("""COMPUTED_VALUE"""),44413.0)</f>
        <v>44413</v>
      </c>
      <c r="G3101" t="str">
        <f>IFERROR(__xludf.DUMMYFUNCTION("""COMPUTED_VALUE"""),"Manage order page (normal text)")</f>
        <v>Manage order page (normal text)</v>
      </c>
      <c r="H3101">
        <f>IFERROR(__xludf.DUMMYFUNCTION("""COMPUTED_VALUE"""),31055.0)</f>
        <v>31055</v>
      </c>
      <c r="J3101" s="188">
        <f>IFERROR(__xludf.DUMMYFUNCTION("""COMPUTED_VALUE"""),44429.0)</f>
        <v>44429</v>
      </c>
      <c r="K3101">
        <f>IFERROR(__xludf.DUMMYFUNCTION("""COMPUTED_VALUE"""),35.0)</f>
        <v>35</v>
      </c>
      <c r="L3101">
        <f>IFERROR(__xludf.DUMMYFUNCTION("""COMPUTED_VALUE"""),16.0)</f>
        <v>16</v>
      </c>
      <c r="M3101">
        <f>IFERROR(__xludf.DUMMYFUNCTION("""COMPUTED_VALUE"""),51.0)</f>
        <v>51</v>
      </c>
      <c r="N3101" t="str">
        <f>IFERROR(__xludf.DUMMYFUNCTION("""COMPUTED_VALUE"""),"Model 3 SR+")</f>
        <v>Model 3 SR+</v>
      </c>
      <c r="O3101" t="str">
        <f>IFERROR(__xludf.DUMMYFUNCTION("""COMPUTED_VALUE"""),"Deep Blue Metallic")</f>
        <v>Deep Blue Metallic</v>
      </c>
      <c r="P3101" t="str">
        <f>IFERROR(__xludf.DUMMYFUNCTION("""COMPUTED_VALUE"""),"18 inch")</f>
        <v>18 inch</v>
      </c>
      <c r="Q3101" t="str">
        <f>IFERROR(__xludf.DUMMYFUNCTION("""COMPUTED_VALUE"""),"All Black")</f>
        <v>All Black</v>
      </c>
      <c r="R3101" t="str">
        <f>IFERROR(__xludf.DUMMYFUNCTION("""COMPUTED_VALUE"""),"Autopilot included")</f>
        <v>Autopilot included</v>
      </c>
      <c r="S3101" t="str">
        <f>IFERROR(__xludf.DUMMYFUNCTION("""COMPUTED_VALUE"""),"Loan")</f>
        <v>Loan</v>
      </c>
      <c r="T3101" t="str">
        <f>IFERROR(__xludf.DUMMYFUNCTION("""COMPUTED_VALUE"""),"Toyota Prius")</f>
        <v>Toyota Prius</v>
      </c>
      <c r="U3101" t="str">
        <f>IFERROR(__xludf.DUMMYFUNCTION("""COMPUTED_VALUE"""),"Electric!")</f>
        <v>Electric!</v>
      </c>
      <c r="V3101" t="str">
        <f>IFERROR(__xludf.DUMMYFUNCTION("""COMPUTED_VALUE"""),"Heated steering wheel")</f>
        <v>Heated steering wheel</v>
      </c>
      <c r="AH3101" s="189">
        <f>IFERROR(__xludf.DUMMYFUNCTION("""COMPUTED_VALUE"""),44420.53224885417)</f>
        <v>44420.53225</v>
      </c>
    </row>
    <row r="3102">
      <c r="A3102" t="str">
        <f>IFERROR(__xludf.DUMMYFUNCTION("""COMPUTED_VALUE"""),"martiuk")</f>
        <v>martiuk</v>
      </c>
      <c r="B3102" t="str">
        <f>IFERROR(__xludf.DUMMYFUNCTION("""COMPUTED_VALUE"""),"Stafford")</f>
        <v>Stafford</v>
      </c>
      <c r="D3102" t="str">
        <f>IFERROR(__xludf.DUMMYFUNCTION("""COMPUTED_VALUE"""),"United Kingdom")</f>
        <v>United Kingdom</v>
      </c>
      <c r="E3102" s="188">
        <f>IFERROR(__xludf.DUMMYFUNCTION("""COMPUTED_VALUE"""),44376.0)</f>
        <v>44376</v>
      </c>
      <c r="F3102" s="188">
        <f>IFERROR(__xludf.DUMMYFUNCTION("""COMPUTED_VALUE"""),44411.0)</f>
        <v>44411</v>
      </c>
      <c r="G3102" t="str">
        <f>IFERROR(__xludf.DUMMYFUNCTION("""COMPUTED_VALUE"""),"Source code")</f>
        <v>Source code</v>
      </c>
      <c r="H3102">
        <f>IFERROR(__xludf.DUMMYFUNCTION("""COMPUTED_VALUE"""),311785.0)</f>
        <v>311785</v>
      </c>
      <c r="J3102" s="188">
        <f>IFERROR(__xludf.DUMMYFUNCTION("""COMPUTED_VALUE"""),44442.0)</f>
        <v>44442</v>
      </c>
      <c r="K3102">
        <f>IFERROR(__xludf.DUMMYFUNCTION("""COMPUTED_VALUE"""),35.0)</f>
        <v>35</v>
      </c>
      <c r="L3102">
        <f>IFERROR(__xludf.DUMMYFUNCTION("""COMPUTED_VALUE"""),31.0)</f>
        <v>31</v>
      </c>
      <c r="M3102">
        <f>IFERROR(__xludf.DUMMYFUNCTION("""COMPUTED_VALUE"""),66.0)</f>
        <v>66</v>
      </c>
      <c r="N3102" t="str">
        <f>IFERROR(__xludf.DUMMYFUNCTION("""COMPUTED_VALUE"""),"Model 3 LR AWD")</f>
        <v>Model 3 LR AWD</v>
      </c>
      <c r="O3102" t="str">
        <f>IFERROR(__xludf.DUMMYFUNCTION("""COMPUTED_VALUE"""),"Deep Blue Metallic")</f>
        <v>Deep Blue Metallic</v>
      </c>
      <c r="P3102" t="str">
        <f>IFERROR(__xludf.DUMMYFUNCTION("""COMPUTED_VALUE"""),"18 inch")</f>
        <v>18 inch</v>
      </c>
      <c r="Q3102" t="str">
        <f>IFERROR(__xludf.DUMMYFUNCTION("""COMPUTED_VALUE"""),"All Black")</f>
        <v>All Black</v>
      </c>
      <c r="R3102" t="str">
        <f>IFERROR(__xludf.DUMMYFUNCTION("""COMPUTED_VALUE"""),"Full Self-Driving")</f>
        <v>Full Self-Driving</v>
      </c>
      <c r="S3102" t="str">
        <f>IFERROR(__xludf.DUMMYFUNCTION("""COMPUTED_VALUE"""),"Loan")</f>
        <v>Loan</v>
      </c>
      <c r="T3102" t="str">
        <f>IFERROR(__xludf.DUMMYFUNCTION("""COMPUTED_VALUE"""),"Suzuki Jimny SZ5")</f>
        <v>Suzuki Jimny SZ5</v>
      </c>
      <c r="U3102" t="str">
        <f>IFERROR(__xludf.DUMMYFUNCTION("""COMPUTED_VALUE"""),"Autopilot")</f>
        <v>Autopilot</v>
      </c>
      <c r="V3102" t="str">
        <f>IFERROR(__xludf.DUMMYFUNCTION("""COMPUTED_VALUE"""),"Head-up display")</f>
        <v>Head-up display</v>
      </c>
      <c r="AH3102" s="189">
        <f>IFERROR(__xludf.DUMMYFUNCTION("""COMPUTED_VALUE"""),44411.29614446759)</f>
        <v>44411.29614</v>
      </c>
    </row>
    <row r="3103">
      <c r="A3103" t="str">
        <f>IFERROR(__xludf.DUMMYFUNCTION("""COMPUTED_VALUE"""),"IvanIsCool")</f>
        <v>IvanIsCool</v>
      </c>
      <c r="B3103" t="str">
        <f>IFERROR(__xludf.DUMMYFUNCTION("""COMPUTED_VALUE"""),"Austin")</f>
        <v>Austin</v>
      </c>
      <c r="C3103" t="str">
        <f>IFERROR(__xludf.DUMMYFUNCTION("""COMPUTED_VALUE"""),"TX")</f>
        <v>TX</v>
      </c>
      <c r="D3103" t="str">
        <f>IFERROR(__xludf.DUMMYFUNCTION("""COMPUTED_VALUE"""),"USA")</f>
        <v>USA</v>
      </c>
      <c r="E3103" s="188">
        <f>IFERROR(__xludf.DUMMYFUNCTION("""COMPUTED_VALUE"""),44339.0)</f>
        <v>44339</v>
      </c>
      <c r="F3103" s="188">
        <f>IFERROR(__xludf.DUMMYFUNCTION("""COMPUTED_VALUE"""),44391.0)</f>
        <v>44391</v>
      </c>
      <c r="G3103" t="str">
        <f>IFERROR(__xludf.DUMMYFUNCTION("""COMPUTED_VALUE"""),"Manage order page (normal text)")</f>
        <v>Manage order page (normal text)</v>
      </c>
      <c r="J3103" s="188">
        <f>IFERROR(__xludf.DUMMYFUNCTION("""COMPUTED_VALUE"""),44401.0)</f>
        <v>44401</v>
      </c>
      <c r="K3103">
        <f>IFERROR(__xludf.DUMMYFUNCTION("""COMPUTED_VALUE"""),52.0)</f>
        <v>52</v>
      </c>
      <c r="L3103">
        <f>IFERROR(__xludf.DUMMYFUNCTION("""COMPUTED_VALUE"""),10.0)</f>
        <v>10</v>
      </c>
      <c r="M3103">
        <f>IFERROR(__xludf.DUMMYFUNCTION("""COMPUTED_VALUE"""),62.0)</f>
        <v>62</v>
      </c>
      <c r="N3103" t="str">
        <f>IFERROR(__xludf.DUMMYFUNCTION("""COMPUTED_VALUE"""),"Model 3 SR+")</f>
        <v>Model 3 SR+</v>
      </c>
      <c r="O3103" t="str">
        <f>IFERROR(__xludf.DUMMYFUNCTION("""COMPUTED_VALUE"""),"Pearl White Multi-Coat")</f>
        <v>Pearl White Multi-Coat</v>
      </c>
      <c r="P3103" t="str">
        <f>IFERROR(__xludf.DUMMYFUNCTION("""COMPUTED_VALUE"""),"18 inch")</f>
        <v>18 inch</v>
      </c>
      <c r="Q3103" t="str">
        <f>IFERROR(__xludf.DUMMYFUNCTION("""COMPUTED_VALUE"""),"All Black")</f>
        <v>All Black</v>
      </c>
      <c r="R3103" t="str">
        <f>IFERROR(__xludf.DUMMYFUNCTION("""COMPUTED_VALUE"""),"Autopilot included")</f>
        <v>Autopilot included</v>
      </c>
      <c r="S3103" t="str">
        <f>IFERROR(__xludf.DUMMYFUNCTION("""COMPUTED_VALUE"""),"Loan")</f>
        <v>Loan</v>
      </c>
      <c r="V3103" t="str">
        <f>IFERROR(__xludf.DUMMYFUNCTION("""COMPUTED_VALUE"""),"Apple CarPlay / Android Auto / SiriusXM Radio")</f>
        <v>Apple CarPlay / Android Auto / SiriusXM Radio</v>
      </c>
      <c r="AH3103" s="189">
        <f>IFERROR(__xludf.DUMMYFUNCTION("""COMPUTED_VALUE"""),44403.21498900463)</f>
        <v>44403.21499</v>
      </c>
    </row>
    <row r="3104">
      <c r="A3104" t="str">
        <f>IFERROR(__xludf.DUMMYFUNCTION("""COMPUTED_VALUE"""),"Matt F")</f>
        <v>Matt F</v>
      </c>
      <c r="B3104" t="str">
        <f>IFERROR(__xludf.DUMMYFUNCTION("""COMPUTED_VALUE"""),"Lenexa")</f>
        <v>Lenexa</v>
      </c>
      <c r="C3104" t="str">
        <f>IFERROR(__xludf.DUMMYFUNCTION("""COMPUTED_VALUE"""),"KS")</f>
        <v>KS</v>
      </c>
      <c r="D3104" t="str">
        <f>IFERROR(__xludf.DUMMYFUNCTION("""COMPUTED_VALUE"""),"USA")</f>
        <v>USA</v>
      </c>
      <c r="E3104" s="188">
        <f>IFERROR(__xludf.DUMMYFUNCTION("""COMPUTED_VALUE"""),44363.0)</f>
        <v>44363</v>
      </c>
      <c r="F3104" s="188">
        <f>IFERROR(__xludf.DUMMYFUNCTION("""COMPUTED_VALUE"""),44396.0)</f>
        <v>44396</v>
      </c>
      <c r="G3104" t="str">
        <f>IFERROR(__xludf.DUMMYFUNCTION("""COMPUTED_VALUE"""),"Manage order page (normal text)")</f>
        <v>Manage order page (normal text)</v>
      </c>
      <c r="H3104">
        <f>IFERROR(__xludf.DUMMYFUNCTION("""COMPUTED_VALUE"""),20055.0)</f>
        <v>20055</v>
      </c>
      <c r="J3104" s="188">
        <f>IFERROR(__xludf.DUMMYFUNCTION("""COMPUTED_VALUE"""),44406.0)</f>
        <v>44406</v>
      </c>
      <c r="K3104">
        <f>IFERROR(__xludf.DUMMYFUNCTION("""COMPUTED_VALUE"""),33.0)</f>
        <v>33</v>
      </c>
      <c r="L3104">
        <f>IFERROR(__xludf.DUMMYFUNCTION("""COMPUTED_VALUE"""),10.0)</f>
        <v>10</v>
      </c>
      <c r="M3104">
        <f>IFERROR(__xludf.DUMMYFUNCTION("""COMPUTED_VALUE"""),43.0)</f>
        <v>43</v>
      </c>
      <c r="N3104" t="str">
        <f>IFERROR(__xludf.DUMMYFUNCTION("""COMPUTED_VALUE"""),"Model 3 LR AWD")</f>
        <v>Model 3 LR AWD</v>
      </c>
      <c r="O3104" t="str">
        <f>IFERROR(__xludf.DUMMYFUNCTION("""COMPUTED_VALUE"""),"Pearl White Multi-Coat")</f>
        <v>Pearl White Multi-Coat</v>
      </c>
      <c r="P3104" t="str">
        <f>IFERROR(__xludf.DUMMYFUNCTION("""COMPUTED_VALUE"""),"18 inch")</f>
        <v>18 inch</v>
      </c>
      <c r="Q3104" t="str">
        <f>IFERROR(__xludf.DUMMYFUNCTION("""COMPUTED_VALUE"""),"Black and White")</f>
        <v>Black and White</v>
      </c>
      <c r="R3104" t="str">
        <f>IFERROR(__xludf.DUMMYFUNCTION("""COMPUTED_VALUE"""),"Autopilot included")</f>
        <v>Autopilot included</v>
      </c>
      <c r="S3104" t="str">
        <f>IFERROR(__xludf.DUMMYFUNCTION("""COMPUTED_VALUE"""),"Loan")</f>
        <v>Loan</v>
      </c>
      <c r="T3104" t="str">
        <f>IFERROR(__xludf.DUMMYFUNCTION("""COMPUTED_VALUE"""),"Tesla Model 3")</f>
        <v>Tesla Model 3</v>
      </c>
      <c r="U3104" t="str">
        <f>IFERROR(__xludf.DUMMYFUNCTION("""COMPUTED_VALUE"""),"Electric!")</f>
        <v>Electric!</v>
      </c>
      <c r="V3104" t="str">
        <f>IFERROR(__xludf.DUMMYFUNCTION("""COMPUTED_VALUE"""),"Blind spot indicators on side mirrors")</f>
        <v>Blind spot indicators on side mirrors</v>
      </c>
      <c r="W3104" t="str">
        <f>IFERROR(__xludf.DUMMYFUNCTION("""COMPUTED_VALUE"""),"Do take the time to look it over.  You'll be excited but point out what you see when you take it so they know right away")</f>
        <v>Do take the time to look it over.  You'll be excited but point out what you see when you take it so they know right away</v>
      </c>
      <c r="X3104" t="str">
        <f>IFERROR(__xludf.DUMMYFUNCTION("""COMPUTED_VALUE"""),"Very Good")</f>
        <v>Very Good</v>
      </c>
      <c r="Y3104" t="str">
        <f>IFERROR(__xludf.DUMMYFUNCTION("""COMPUTED_VALUE"""),"Excellent")</f>
        <v>Excellent</v>
      </c>
      <c r="Z3104" t="str">
        <f>IFERROR(__xludf.DUMMYFUNCTION("""COMPUTED_VALUE"""),"Excellent")</f>
        <v>Excellent</v>
      </c>
      <c r="AA3104" t="str">
        <f>IFERROR(__xludf.DUMMYFUNCTION("""COMPUTED_VALUE"""),"Excellent")</f>
        <v>Excellent</v>
      </c>
      <c r="AB3104" t="str">
        <f>IFERROR(__xludf.DUMMYFUNCTION("""COMPUTED_VALUE"""),"Excellent")</f>
        <v>Excellent</v>
      </c>
      <c r="AC3104">
        <f>IFERROR(__xludf.DUMMYFUNCTION("""COMPUTED_VALUE"""),2.0)</f>
        <v>2</v>
      </c>
      <c r="AF3104" t="str">
        <f>IFERROR(__xludf.DUMMYFUNCTION("""COMPUTED_VALUE"""),"No. I took delivery of the first car Tesla was able to deliver.")</f>
        <v>No. I took delivery of the first car Tesla was able to deliver.</v>
      </c>
      <c r="AH3104" s="189">
        <f>IFERROR(__xludf.DUMMYFUNCTION("""COMPUTED_VALUE"""),44406.715641180555)</f>
        <v>44406.71564</v>
      </c>
    </row>
    <row r="3105">
      <c r="A3105" t="str">
        <f>IFERROR(__xludf.DUMMYFUNCTION("""COMPUTED_VALUE"""),"PaulMD")</f>
        <v>PaulMD</v>
      </c>
      <c r="B3105" t="str">
        <f>IFERROR(__xludf.DUMMYFUNCTION("""COMPUTED_VALUE"""),"Manchester UK")</f>
        <v>Manchester UK</v>
      </c>
      <c r="D3105" t="str">
        <f>IFERROR(__xludf.DUMMYFUNCTION("""COMPUTED_VALUE"""),"United Kingdom")</f>
        <v>United Kingdom</v>
      </c>
      <c r="E3105" s="188">
        <f>IFERROR(__xludf.DUMMYFUNCTION("""COMPUTED_VALUE"""),44350.0)</f>
        <v>44350</v>
      </c>
      <c r="J3105" s="188">
        <f>IFERROR(__xludf.DUMMYFUNCTION("""COMPUTED_VALUE"""),44464.0)</f>
        <v>44464</v>
      </c>
      <c r="M3105">
        <f>IFERROR(__xludf.DUMMYFUNCTION("""COMPUTED_VALUE"""),114.0)</f>
        <v>114</v>
      </c>
      <c r="N3105" t="str">
        <f>IFERROR(__xludf.DUMMYFUNCTION("""COMPUTED_VALUE"""),"Model 3 LR AWD")</f>
        <v>Model 3 LR AWD</v>
      </c>
      <c r="O3105" t="str">
        <f>IFERROR(__xludf.DUMMYFUNCTION("""COMPUTED_VALUE"""),"Deep Blue Metallic")</f>
        <v>Deep Blue Metallic</v>
      </c>
      <c r="P3105" t="str">
        <f>IFERROR(__xludf.DUMMYFUNCTION("""COMPUTED_VALUE"""),"18 inch")</f>
        <v>18 inch</v>
      </c>
      <c r="Q3105" t="str">
        <f>IFERROR(__xludf.DUMMYFUNCTION("""COMPUTED_VALUE"""),"All Black")</f>
        <v>All Black</v>
      </c>
      <c r="S3105" t="str">
        <f>IFERROR(__xludf.DUMMYFUNCTION("""COMPUTED_VALUE"""),"Lease")</f>
        <v>Lease</v>
      </c>
      <c r="T3105" t="str">
        <f>IFERROR(__xludf.DUMMYFUNCTION("""COMPUTED_VALUE"""),"Model 3 will be my first car!")</f>
        <v>Model 3 will be my first car!</v>
      </c>
      <c r="U3105" t="str">
        <f>IFERROR(__xludf.DUMMYFUNCTION("""COMPUTED_VALUE"""),"Electric!")</f>
        <v>Electric!</v>
      </c>
      <c r="V3105" t="str">
        <f>IFERROR(__xludf.DUMMYFUNCTION("""COMPUTED_VALUE"""),"360° Bird's eye view")</f>
        <v>360° Bird's eye view</v>
      </c>
      <c r="AH3105" s="189">
        <f>IFERROR(__xludf.DUMMYFUNCTION("""COMPUTED_VALUE"""),44432.352055613424)</f>
        <v>44432.35206</v>
      </c>
    </row>
    <row r="3106">
      <c r="A3106" t="str">
        <f>IFERROR(__xludf.DUMMYFUNCTION("""COMPUTED_VALUE"""),"PSMod3")</f>
        <v>PSMod3</v>
      </c>
      <c r="B3106" t="str">
        <f>IFERROR(__xludf.DUMMYFUNCTION("""COMPUTED_VALUE"""),"Palm Springs")</f>
        <v>Palm Springs</v>
      </c>
      <c r="C3106" t="str">
        <f>IFERROR(__xludf.DUMMYFUNCTION("""COMPUTED_VALUE"""),"CA")</f>
        <v>CA</v>
      </c>
      <c r="D3106" t="str">
        <f>IFERROR(__xludf.DUMMYFUNCTION("""COMPUTED_VALUE"""),"USA")</f>
        <v>USA</v>
      </c>
      <c r="E3106" s="188">
        <f>IFERROR(__xludf.DUMMYFUNCTION("""COMPUTED_VALUE"""),44382.0)</f>
        <v>44382</v>
      </c>
      <c r="F3106" s="188">
        <f>IFERROR(__xludf.DUMMYFUNCTION("""COMPUTED_VALUE"""),44420.0)</f>
        <v>44420</v>
      </c>
      <c r="G3106" t="str">
        <f>IFERROR(__xludf.DUMMYFUNCTION("""COMPUTED_VALUE"""),"Manage order page (normal text)")</f>
        <v>Manage order page (normal text)</v>
      </c>
      <c r="H3106">
        <f>IFERROR(__xludf.DUMMYFUNCTION("""COMPUTED_VALUE"""),35652.0)</f>
        <v>35652</v>
      </c>
      <c r="J3106" s="188">
        <f>IFERROR(__xludf.DUMMYFUNCTION("""COMPUTED_VALUE"""),44429.0)</f>
        <v>44429</v>
      </c>
      <c r="K3106">
        <f>IFERROR(__xludf.DUMMYFUNCTION("""COMPUTED_VALUE"""),38.0)</f>
        <v>38</v>
      </c>
      <c r="L3106">
        <f>IFERROR(__xludf.DUMMYFUNCTION("""COMPUTED_VALUE"""),9.0)</f>
        <v>9</v>
      </c>
      <c r="M3106">
        <f>IFERROR(__xludf.DUMMYFUNCTION("""COMPUTED_VALUE"""),47.0)</f>
        <v>47</v>
      </c>
      <c r="N3106" t="str">
        <f>IFERROR(__xludf.DUMMYFUNCTION("""COMPUTED_VALUE"""),"Model 3 LR AWD")</f>
        <v>Model 3 LR AWD</v>
      </c>
      <c r="O3106" t="str">
        <f>IFERROR(__xludf.DUMMYFUNCTION("""COMPUTED_VALUE"""),"Pearl White Multi-Coat")</f>
        <v>Pearl White Multi-Coat</v>
      </c>
      <c r="P3106" t="str">
        <f>IFERROR(__xludf.DUMMYFUNCTION("""COMPUTED_VALUE"""),"18 inch")</f>
        <v>18 inch</v>
      </c>
      <c r="Q3106" t="str">
        <f>IFERROR(__xludf.DUMMYFUNCTION("""COMPUTED_VALUE"""),"All Black")</f>
        <v>All Black</v>
      </c>
      <c r="R3106" t="str">
        <f>IFERROR(__xludf.DUMMYFUNCTION("""COMPUTED_VALUE"""),"Autopilot included")</f>
        <v>Autopilot included</v>
      </c>
      <c r="S3106" t="str">
        <f>IFERROR(__xludf.DUMMYFUNCTION("""COMPUTED_VALUE"""),"Loan")</f>
        <v>Loan</v>
      </c>
      <c r="T3106" t="str">
        <f>IFERROR(__xludf.DUMMYFUNCTION("""COMPUTED_VALUE"""),"Audi SQ5")</f>
        <v>Audi SQ5</v>
      </c>
      <c r="U3106" t="str">
        <f>IFERROR(__xludf.DUMMYFUNCTION("""COMPUTED_VALUE"""),"Feels like nothing else I've ever driven")</f>
        <v>Feels like nothing else I've ever driven</v>
      </c>
      <c r="V3106" t="str">
        <f>IFERROR(__xludf.DUMMYFUNCTION("""COMPUTED_VALUE"""),"Ventilated seats")</f>
        <v>Ventilated seats</v>
      </c>
      <c r="X3106" t="str">
        <f>IFERROR(__xludf.DUMMYFUNCTION("""COMPUTED_VALUE"""),"Excellent")</f>
        <v>Excellent</v>
      </c>
      <c r="Y3106" t="str">
        <f>IFERROR(__xludf.DUMMYFUNCTION("""COMPUTED_VALUE"""),"Excellent")</f>
        <v>Excellent</v>
      </c>
      <c r="Z3106" t="str">
        <f>IFERROR(__xludf.DUMMYFUNCTION("""COMPUTED_VALUE"""),"Very Good")</f>
        <v>Very Good</v>
      </c>
      <c r="AA3106" t="str">
        <f>IFERROR(__xludf.DUMMYFUNCTION("""COMPUTED_VALUE"""),"Excellent")</f>
        <v>Excellent</v>
      </c>
      <c r="AB3106" t="str">
        <f>IFERROR(__xludf.DUMMYFUNCTION("""COMPUTED_VALUE"""),"Very Good")</f>
        <v>Very Good</v>
      </c>
      <c r="AC3106">
        <f>IFERROR(__xludf.DUMMYFUNCTION("""COMPUTED_VALUE"""),0.0)</f>
        <v>0</v>
      </c>
      <c r="AD3106">
        <f>IFERROR(__xludf.DUMMYFUNCTION("""COMPUTED_VALUE"""),0.0)</f>
        <v>0</v>
      </c>
      <c r="AF3106" t="str">
        <f>IFERROR(__xludf.DUMMYFUNCTION("""COMPUTED_VALUE"""),"No. I took delivery of the first car Tesla was able to deliver.")</f>
        <v>No. I took delivery of the first car Tesla was able to deliver.</v>
      </c>
      <c r="AH3106" s="189">
        <f>IFERROR(__xludf.DUMMYFUNCTION("""COMPUTED_VALUE"""),44431.60717013889)</f>
        <v>44431.60717</v>
      </c>
    </row>
    <row r="3107">
      <c r="A3107" t="str">
        <f>IFERROR(__xludf.DUMMYFUNCTION("""COMPUTED_VALUE"""),"bosox7704")</f>
        <v>bosox7704</v>
      </c>
      <c r="B3107" t="str">
        <f>IFERROR(__xludf.DUMMYFUNCTION("""COMPUTED_VALUE"""),"Providence")</f>
        <v>Providence</v>
      </c>
      <c r="C3107" t="str">
        <f>IFERROR(__xludf.DUMMYFUNCTION("""COMPUTED_VALUE"""),"RI")</f>
        <v>RI</v>
      </c>
      <c r="D3107" t="str">
        <f>IFERROR(__xludf.DUMMYFUNCTION("""COMPUTED_VALUE"""),"USA")</f>
        <v>USA</v>
      </c>
      <c r="E3107" s="188">
        <f>IFERROR(__xludf.DUMMYFUNCTION("""COMPUTED_VALUE"""),44377.0)</f>
        <v>44377</v>
      </c>
      <c r="F3107" s="188">
        <f>IFERROR(__xludf.DUMMYFUNCTION("""COMPUTED_VALUE"""),44413.0)</f>
        <v>44413</v>
      </c>
      <c r="G3107" t="str">
        <f>IFERROR(__xludf.DUMMYFUNCTION("""COMPUTED_VALUE"""),"Manage order page (normal text)")</f>
        <v>Manage order page (normal text)</v>
      </c>
      <c r="J3107" s="188">
        <f>IFERROR(__xludf.DUMMYFUNCTION("""COMPUTED_VALUE"""),44426.0)</f>
        <v>44426</v>
      </c>
      <c r="K3107">
        <f>IFERROR(__xludf.DUMMYFUNCTION("""COMPUTED_VALUE"""),36.0)</f>
        <v>36</v>
      </c>
      <c r="L3107">
        <f>IFERROR(__xludf.DUMMYFUNCTION("""COMPUTED_VALUE"""),13.0)</f>
        <v>13</v>
      </c>
      <c r="M3107">
        <f>IFERROR(__xludf.DUMMYFUNCTION("""COMPUTED_VALUE"""),49.0)</f>
        <v>49</v>
      </c>
      <c r="N3107" t="str">
        <f>IFERROR(__xludf.DUMMYFUNCTION("""COMPUTED_VALUE"""),"Model 3 SR+")</f>
        <v>Model 3 SR+</v>
      </c>
      <c r="O3107" t="str">
        <f>IFERROR(__xludf.DUMMYFUNCTION("""COMPUTED_VALUE"""),"Red Multi-Coat")</f>
        <v>Red Multi-Coat</v>
      </c>
      <c r="P3107" t="str">
        <f>IFERROR(__xludf.DUMMYFUNCTION("""COMPUTED_VALUE"""),"18 inch")</f>
        <v>18 inch</v>
      </c>
      <c r="Q3107" t="str">
        <f>IFERROR(__xludf.DUMMYFUNCTION("""COMPUTED_VALUE"""),"All Black")</f>
        <v>All Black</v>
      </c>
      <c r="R3107" t="str">
        <f>IFERROR(__xludf.DUMMYFUNCTION("""COMPUTED_VALUE"""),"Autopilot included")</f>
        <v>Autopilot included</v>
      </c>
      <c r="S3107" t="str">
        <f>IFERROR(__xludf.DUMMYFUNCTION("""COMPUTED_VALUE"""),"Loan")</f>
        <v>Loan</v>
      </c>
      <c r="T3107" t="str">
        <f>IFERROR(__xludf.DUMMYFUNCTION("""COMPUTED_VALUE"""),"Nissan Maxima Platinum")</f>
        <v>Nissan Maxima Platinum</v>
      </c>
      <c r="U3107" t="str">
        <f>IFERROR(__xludf.DUMMYFUNCTION("""COMPUTED_VALUE"""),"Electric!")</f>
        <v>Electric!</v>
      </c>
      <c r="V3107" t="str">
        <f>IFERROR(__xludf.DUMMYFUNCTION("""COMPUTED_VALUE"""),"Blind spot indicators on side mirrors")</f>
        <v>Blind spot indicators on side mirrors</v>
      </c>
      <c r="AH3107" s="189">
        <f>IFERROR(__xludf.DUMMYFUNCTION("""COMPUTED_VALUE"""),44418.82317513889)</f>
        <v>44418.82318</v>
      </c>
    </row>
    <row r="3108">
      <c r="A3108" t="str">
        <f>IFERROR(__xludf.DUMMYFUNCTION("""COMPUTED_VALUE"""),"filmpoet")</f>
        <v>filmpoet</v>
      </c>
      <c r="B3108" t="str">
        <f>IFERROR(__xludf.DUMMYFUNCTION("""COMPUTED_VALUE"""),"Atlanta")</f>
        <v>Atlanta</v>
      </c>
      <c r="C3108" t="str">
        <f>IFERROR(__xludf.DUMMYFUNCTION("""COMPUTED_VALUE"""),"GA")</f>
        <v>GA</v>
      </c>
      <c r="D3108" t="str">
        <f>IFERROR(__xludf.DUMMYFUNCTION("""COMPUTED_VALUE"""),"USA")</f>
        <v>USA</v>
      </c>
      <c r="E3108" s="188">
        <f>IFERROR(__xludf.DUMMYFUNCTION("""COMPUTED_VALUE"""),44346.0)</f>
        <v>44346</v>
      </c>
      <c r="F3108" s="188">
        <f>IFERROR(__xludf.DUMMYFUNCTION("""COMPUTED_VALUE"""),44364.0)</f>
        <v>44364</v>
      </c>
      <c r="G3108" t="str">
        <f>IFERROR(__xludf.DUMMYFUNCTION("""COMPUTED_VALUE"""),"Email")</f>
        <v>Email</v>
      </c>
      <c r="I3108" t="str">
        <f>IFERROR(__xludf.DUMMYFUNCTION("""COMPUTED_VALUE"""),"06/21")</f>
        <v>06/21</v>
      </c>
      <c r="J3108" s="188">
        <f>IFERROR(__xludf.DUMMYFUNCTION("""COMPUTED_VALUE"""),44374.0)</f>
        <v>44374</v>
      </c>
      <c r="K3108">
        <f>IFERROR(__xludf.DUMMYFUNCTION("""COMPUTED_VALUE"""),18.0)</f>
        <v>18</v>
      </c>
      <c r="L3108">
        <f>IFERROR(__xludf.DUMMYFUNCTION("""COMPUTED_VALUE"""),10.0)</f>
        <v>10</v>
      </c>
      <c r="M3108">
        <f>IFERROR(__xludf.DUMMYFUNCTION("""COMPUTED_VALUE"""),28.0)</f>
        <v>28</v>
      </c>
      <c r="N3108" t="str">
        <f>IFERROR(__xludf.DUMMYFUNCTION("""COMPUTED_VALUE"""),"Model 3 Performance")</f>
        <v>Model 3 Performance</v>
      </c>
      <c r="O3108" t="str">
        <f>IFERROR(__xludf.DUMMYFUNCTION("""COMPUTED_VALUE"""),"Solid Black")</f>
        <v>Solid Black</v>
      </c>
      <c r="P3108" t="str">
        <f>IFERROR(__xludf.DUMMYFUNCTION("""COMPUTED_VALUE"""),"20 inch")</f>
        <v>20 inch</v>
      </c>
      <c r="Q3108" t="str">
        <f>IFERROR(__xludf.DUMMYFUNCTION("""COMPUTED_VALUE"""),"All Black")</f>
        <v>All Black</v>
      </c>
      <c r="R3108" t="str">
        <f>IFERROR(__xludf.DUMMYFUNCTION("""COMPUTED_VALUE"""),"Autopilot included")</f>
        <v>Autopilot included</v>
      </c>
      <c r="S3108" t="str">
        <f>IFERROR(__xludf.DUMMYFUNCTION("""COMPUTED_VALUE"""),"Lease")</f>
        <v>Lease</v>
      </c>
      <c r="T3108" t="str">
        <f>IFERROR(__xludf.DUMMYFUNCTION("""COMPUTED_VALUE"""),"Ford Shelby GT350")</f>
        <v>Ford Shelby GT350</v>
      </c>
      <c r="U3108" t="str">
        <f>IFERROR(__xludf.DUMMYFUNCTION("""COMPUTED_VALUE"""),"Electric!")</f>
        <v>Electric!</v>
      </c>
      <c r="V3108" t="str">
        <f>IFERROR(__xludf.DUMMYFUNCTION("""COMPUTED_VALUE"""),"Apple CarPlay / Android Auto / SiriusXM Radio")</f>
        <v>Apple CarPlay / Android Auto / SiriusXM Radio</v>
      </c>
      <c r="W3108" t="str">
        <f>IFERROR(__xludf.DUMMYFUNCTION("""COMPUTED_VALUE"""),"Just be patient and finish all your account steps asap")</f>
        <v>Just be patient and finish all your account steps asap</v>
      </c>
      <c r="X3108" t="str">
        <f>IFERROR(__xludf.DUMMYFUNCTION("""COMPUTED_VALUE"""),"Excellent")</f>
        <v>Excellent</v>
      </c>
      <c r="Y3108" t="str">
        <f>IFERROR(__xludf.DUMMYFUNCTION("""COMPUTED_VALUE"""),"Excellent")</f>
        <v>Excellent</v>
      </c>
      <c r="Z3108" t="str">
        <f>IFERROR(__xludf.DUMMYFUNCTION("""COMPUTED_VALUE"""),"Excellent")</f>
        <v>Excellent</v>
      </c>
      <c r="AA3108" t="str">
        <f>IFERROR(__xludf.DUMMYFUNCTION("""COMPUTED_VALUE"""),"Good")</f>
        <v>Good</v>
      </c>
      <c r="AB3108" t="str">
        <f>IFERROR(__xludf.DUMMYFUNCTION("""COMPUTED_VALUE"""),"Good")</f>
        <v>Good</v>
      </c>
      <c r="AC3108">
        <f>IFERROR(__xludf.DUMMYFUNCTION("""COMPUTED_VALUE"""),0.0)</f>
        <v>0</v>
      </c>
      <c r="AD3108">
        <f>IFERROR(__xludf.DUMMYFUNCTION("""COMPUTED_VALUE"""),0.0)</f>
        <v>0</v>
      </c>
      <c r="AE3108">
        <f>IFERROR(__xludf.DUMMYFUNCTION("""COMPUTED_VALUE"""),0.0)</f>
        <v>0</v>
      </c>
      <c r="AF3108" t="str">
        <f>IFERROR(__xludf.DUMMYFUNCTION("""COMPUTED_VALUE"""),"No. I took delivery of the first car Tesla was able to deliver.")</f>
        <v>No. I took delivery of the first car Tesla was able to deliver.</v>
      </c>
      <c r="AG3108" t="str">
        <f>IFERROR(__xludf.DUMMYFUNCTION("""COMPUTED_VALUE"""),"Don't be afraid to contact Tesla via online chat box")</f>
        <v>Don't be afraid to contact Tesla via online chat box</v>
      </c>
      <c r="AH3108" s="189">
        <f>IFERROR(__xludf.DUMMYFUNCTION("""COMPUTED_VALUE"""),44383.71618321759)</f>
        <v>44383.71618</v>
      </c>
    </row>
    <row r="3109">
      <c r="A3109" t="str">
        <f>IFERROR(__xludf.DUMMYFUNCTION("""COMPUTED_VALUE"""),"Goofy419")</f>
        <v>Goofy419</v>
      </c>
      <c r="B3109" t="str">
        <f>IFERROR(__xludf.DUMMYFUNCTION("""COMPUTED_VALUE"""),"Pembroke Pines")</f>
        <v>Pembroke Pines</v>
      </c>
      <c r="C3109" t="str">
        <f>IFERROR(__xludf.DUMMYFUNCTION("""COMPUTED_VALUE"""),"FL")</f>
        <v>FL</v>
      </c>
      <c r="D3109" t="str">
        <f>IFERROR(__xludf.DUMMYFUNCTION("""COMPUTED_VALUE"""),"USA")</f>
        <v>USA</v>
      </c>
      <c r="E3109" s="188">
        <f>IFERROR(__xludf.DUMMYFUNCTION("""COMPUTED_VALUE"""),44378.0)</f>
        <v>44378</v>
      </c>
      <c r="F3109" s="188">
        <f>IFERROR(__xludf.DUMMYFUNCTION("""COMPUTED_VALUE"""),44420.0)</f>
        <v>44420</v>
      </c>
      <c r="G3109" t="str">
        <f>IFERROR(__xludf.DUMMYFUNCTION("""COMPUTED_VALUE"""),"Manage order page (normal text)")</f>
        <v>Manage order page (normal text)</v>
      </c>
      <c r="H3109">
        <f>IFERROR(__xludf.DUMMYFUNCTION("""COMPUTED_VALUE"""),34855.0)</f>
        <v>34855</v>
      </c>
      <c r="K3109">
        <f>IFERROR(__xludf.DUMMYFUNCTION("""COMPUTED_VALUE"""),42.0)</f>
        <v>42</v>
      </c>
      <c r="N3109" t="str">
        <f>IFERROR(__xludf.DUMMYFUNCTION("""COMPUTED_VALUE"""),"Model 3 LR AWD")</f>
        <v>Model 3 LR AWD</v>
      </c>
      <c r="O3109" t="str">
        <f>IFERROR(__xludf.DUMMYFUNCTION("""COMPUTED_VALUE"""),"Pearl White Multi-Coat")</f>
        <v>Pearl White Multi-Coat</v>
      </c>
      <c r="P3109" t="str">
        <f>IFERROR(__xludf.DUMMYFUNCTION("""COMPUTED_VALUE"""),"18 inch")</f>
        <v>18 inch</v>
      </c>
      <c r="Q3109" t="str">
        <f>IFERROR(__xludf.DUMMYFUNCTION("""COMPUTED_VALUE"""),"All Black")</f>
        <v>All Black</v>
      </c>
      <c r="R3109" t="str">
        <f>IFERROR(__xludf.DUMMYFUNCTION("""COMPUTED_VALUE"""),"Autopilot included")</f>
        <v>Autopilot included</v>
      </c>
      <c r="S3109" t="str">
        <f>IFERROR(__xludf.DUMMYFUNCTION("""COMPUTED_VALUE"""),"Loan")</f>
        <v>Loan</v>
      </c>
      <c r="T3109" t="str">
        <f>IFERROR(__xludf.DUMMYFUNCTION("""COMPUTED_VALUE"""),"Ford Explorer")</f>
        <v>Ford Explorer</v>
      </c>
      <c r="U3109" t="str">
        <f>IFERROR(__xludf.DUMMYFUNCTION("""COMPUTED_VALUE"""),"Electric!")</f>
        <v>Electric!</v>
      </c>
      <c r="V3109" t="str">
        <f>IFERROR(__xludf.DUMMYFUNCTION("""COMPUTED_VALUE"""),"HomeLink")</f>
        <v>HomeLink</v>
      </c>
      <c r="AH3109" s="189">
        <f>IFERROR(__xludf.DUMMYFUNCTION("""COMPUTED_VALUE"""),44420.78612065972)</f>
        <v>44420.78612</v>
      </c>
    </row>
    <row r="3110">
      <c r="A3110" t="str">
        <f>IFERROR(__xludf.DUMMYFUNCTION("""COMPUTED_VALUE"""),"Megansblonde ")</f>
        <v>Megansblonde </v>
      </c>
      <c r="B3110" t="str">
        <f>IFERROR(__xludf.DUMMYFUNCTION("""COMPUTED_VALUE"""),"Central Cali")</f>
        <v>Central Cali</v>
      </c>
      <c r="C3110" t="str">
        <f>IFERROR(__xludf.DUMMYFUNCTION("""COMPUTED_VALUE"""),"CA")</f>
        <v>CA</v>
      </c>
      <c r="D3110" t="str">
        <f>IFERROR(__xludf.DUMMYFUNCTION("""COMPUTED_VALUE"""),"USA")</f>
        <v>USA</v>
      </c>
      <c r="E3110" s="188">
        <f>IFERROR(__xludf.DUMMYFUNCTION("""COMPUTED_VALUE"""),44382.0)</f>
        <v>44382</v>
      </c>
      <c r="F3110" s="188">
        <f>IFERROR(__xludf.DUMMYFUNCTION("""COMPUTED_VALUE"""),44409.0)</f>
        <v>44409</v>
      </c>
      <c r="G3110" t="str">
        <f>IFERROR(__xludf.DUMMYFUNCTION("""COMPUTED_VALUE"""),"Existing inventory grab")</f>
        <v>Existing inventory grab</v>
      </c>
      <c r="I3110" t="str">
        <f>IFERROR(__xludf.DUMMYFUNCTION("""COMPUTED_VALUE"""),"07/21")</f>
        <v>07/21</v>
      </c>
      <c r="J3110" s="188">
        <f>IFERROR(__xludf.DUMMYFUNCTION("""COMPUTED_VALUE"""),44412.0)</f>
        <v>44412</v>
      </c>
      <c r="K3110">
        <f>IFERROR(__xludf.DUMMYFUNCTION("""COMPUTED_VALUE"""),27.0)</f>
        <v>27</v>
      </c>
      <c r="L3110">
        <f>IFERROR(__xludf.DUMMYFUNCTION("""COMPUTED_VALUE"""),3.0)</f>
        <v>3</v>
      </c>
      <c r="M3110">
        <f>IFERROR(__xludf.DUMMYFUNCTION("""COMPUTED_VALUE"""),30.0)</f>
        <v>30</v>
      </c>
      <c r="N3110" t="str">
        <f>IFERROR(__xludf.DUMMYFUNCTION("""COMPUTED_VALUE"""),"Model 3 SR+")</f>
        <v>Model 3 SR+</v>
      </c>
      <c r="O3110" t="str">
        <f>IFERROR(__xludf.DUMMYFUNCTION("""COMPUTED_VALUE"""),"Red Multi-Coat")</f>
        <v>Red Multi-Coat</v>
      </c>
      <c r="P3110" t="str">
        <f>IFERROR(__xludf.DUMMYFUNCTION("""COMPUTED_VALUE"""),"18 inch")</f>
        <v>18 inch</v>
      </c>
      <c r="Q3110" t="str">
        <f>IFERROR(__xludf.DUMMYFUNCTION("""COMPUTED_VALUE"""),"All Black")</f>
        <v>All Black</v>
      </c>
      <c r="R3110" t="str">
        <f>IFERROR(__xludf.DUMMYFUNCTION("""COMPUTED_VALUE"""),"Autopilot included")</f>
        <v>Autopilot included</v>
      </c>
      <c r="S3110" t="str">
        <f>IFERROR(__xludf.DUMMYFUNCTION("""COMPUTED_VALUE"""),"Loan")</f>
        <v>Loan</v>
      </c>
      <c r="T3110" t="str">
        <f>IFERROR(__xludf.DUMMYFUNCTION("""COMPUTED_VALUE"""),"Toyota Corolla")</f>
        <v>Toyota Corolla</v>
      </c>
      <c r="U3110" t="str">
        <f>IFERROR(__xludf.DUMMYFUNCTION("""COMPUTED_VALUE"""),"Electric!")</f>
        <v>Electric!</v>
      </c>
      <c r="V3110" t="str">
        <f>IFERROR(__xludf.DUMMYFUNCTION("""COMPUTED_VALUE"""),"Apple CarPlay / Android Auto / SiriusXM Radio")</f>
        <v>Apple CarPlay / Android Auto / SiriusXM Radio</v>
      </c>
      <c r="W3110" t="str">
        <f>IFERROR(__xludf.DUMMYFUNCTION("""COMPUTED_VALUE"""),"Be patient and look at current inventory. Your make just might come up early. ")</f>
        <v>Be patient and look at current inventory. Your make just might come up early. </v>
      </c>
      <c r="X3110" t="str">
        <f>IFERROR(__xludf.DUMMYFUNCTION("""COMPUTED_VALUE"""),"Excellent")</f>
        <v>Excellent</v>
      </c>
      <c r="Y3110" t="str">
        <f>IFERROR(__xludf.DUMMYFUNCTION("""COMPUTED_VALUE"""),"Very Good")</f>
        <v>Very Good</v>
      </c>
      <c r="Z3110" t="str">
        <f>IFERROR(__xludf.DUMMYFUNCTION("""COMPUTED_VALUE"""),"Very Good")</f>
        <v>Very Good</v>
      </c>
      <c r="AA3110" t="str">
        <f>IFERROR(__xludf.DUMMYFUNCTION("""COMPUTED_VALUE"""),"Excellent")</f>
        <v>Excellent</v>
      </c>
      <c r="AB3110" t="str">
        <f>IFERROR(__xludf.DUMMYFUNCTION("""COMPUTED_VALUE"""),"Fair")</f>
        <v>Fair</v>
      </c>
      <c r="AC3110">
        <f>IFERROR(__xludf.DUMMYFUNCTION("""COMPUTED_VALUE"""),5.0)</f>
        <v>5</v>
      </c>
      <c r="AD3110">
        <f>IFERROR(__xludf.DUMMYFUNCTION("""COMPUTED_VALUE"""),1.0)</f>
        <v>1</v>
      </c>
      <c r="AF3110" t="str">
        <f>IFERROR(__xludf.DUMMYFUNCTION("""COMPUTED_VALUE"""),"No. I took delivery of the first car Tesla was able to deliver.")</f>
        <v>No. I took delivery of the first car Tesla was able to deliver.</v>
      </c>
      <c r="AH3110" s="189">
        <f>IFERROR(__xludf.DUMMYFUNCTION("""COMPUTED_VALUE"""),44416.858607268514)</f>
        <v>44416.85861</v>
      </c>
    </row>
    <row r="3111">
      <c r="A3111" t="str">
        <f>IFERROR(__xludf.DUMMYFUNCTION("""COMPUTED_VALUE"""),"moakes")</f>
        <v>moakes</v>
      </c>
      <c r="B3111" t="str">
        <f>IFERROR(__xludf.DUMMYFUNCTION("""COMPUTED_VALUE"""),"Jackson")</f>
        <v>Jackson</v>
      </c>
      <c r="C3111" t="str">
        <f>IFERROR(__xludf.DUMMYFUNCTION("""COMPUTED_VALUE"""),"TN")</f>
        <v>TN</v>
      </c>
      <c r="D3111" t="str">
        <f>IFERROR(__xludf.DUMMYFUNCTION("""COMPUTED_VALUE"""),"USA")</f>
        <v>USA</v>
      </c>
      <c r="E3111" s="188">
        <f>IFERROR(__xludf.DUMMYFUNCTION("""COMPUTED_VALUE"""),44331.0)</f>
        <v>44331</v>
      </c>
      <c r="F3111" s="188">
        <f>IFERROR(__xludf.DUMMYFUNCTION("""COMPUTED_VALUE"""),44414.0)</f>
        <v>44414</v>
      </c>
      <c r="G3111" t="str">
        <f>IFERROR(__xludf.DUMMYFUNCTION("""COMPUTED_VALUE"""),"Manage order page (normal text)")</f>
        <v>Manage order page (normal text)</v>
      </c>
      <c r="H3111">
        <f>IFERROR(__xludf.DUMMYFUNCTION("""COMPUTED_VALUE"""),28655.0)</f>
        <v>28655</v>
      </c>
      <c r="J3111" s="188">
        <f>IFERROR(__xludf.DUMMYFUNCTION("""COMPUTED_VALUE"""),44436.0)</f>
        <v>44436</v>
      </c>
      <c r="K3111">
        <f>IFERROR(__xludf.DUMMYFUNCTION("""COMPUTED_VALUE"""),83.0)</f>
        <v>83</v>
      </c>
      <c r="L3111">
        <f>IFERROR(__xludf.DUMMYFUNCTION("""COMPUTED_VALUE"""),22.0)</f>
        <v>22</v>
      </c>
      <c r="M3111">
        <f>IFERROR(__xludf.DUMMYFUNCTION("""COMPUTED_VALUE"""),105.0)</f>
        <v>105</v>
      </c>
      <c r="N3111" t="str">
        <f>IFERROR(__xludf.DUMMYFUNCTION("""COMPUTED_VALUE"""),"Model 3 SR+")</f>
        <v>Model 3 SR+</v>
      </c>
      <c r="O3111" t="str">
        <f>IFERROR(__xludf.DUMMYFUNCTION("""COMPUTED_VALUE"""),"Midnight Silver Metallic")</f>
        <v>Midnight Silver Metallic</v>
      </c>
      <c r="P3111" t="str">
        <f>IFERROR(__xludf.DUMMYFUNCTION("""COMPUTED_VALUE"""),"18 inch")</f>
        <v>18 inch</v>
      </c>
      <c r="Q3111" t="str">
        <f>IFERROR(__xludf.DUMMYFUNCTION("""COMPUTED_VALUE"""),"All Black")</f>
        <v>All Black</v>
      </c>
      <c r="R3111" t="str">
        <f>IFERROR(__xludf.DUMMYFUNCTION("""COMPUTED_VALUE"""),"Autopilot included")</f>
        <v>Autopilot included</v>
      </c>
      <c r="S3111" t="str">
        <f>IFERROR(__xludf.DUMMYFUNCTION("""COMPUTED_VALUE"""),"Loan")</f>
        <v>Loan</v>
      </c>
      <c r="T3111" t="str">
        <f>IFERROR(__xludf.DUMMYFUNCTION("""COMPUTED_VALUE"""),"Honda Civic SI")</f>
        <v>Honda Civic SI</v>
      </c>
      <c r="U3111" t="str">
        <f>IFERROR(__xludf.DUMMYFUNCTION("""COMPUTED_VALUE"""),"Electric!")</f>
        <v>Electric!</v>
      </c>
      <c r="V3111" t="str">
        <f>IFERROR(__xludf.DUMMYFUNCTION("""COMPUTED_VALUE"""),"Apple CarPlay / Android Auto / SiriusXM Radio")</f>
        <v>Apple CarPlay / Android Auto / SiriusXM Radio</v>
      </c>
      <c r="X3111" t="str">
        <f>IFERROR(__xludf.DUMMYFUNCTION("""COMPUTED_VALUE"""),"Excellent")</f>
        <v>Excellent</v>
      </c>
      <c r="Y3111" t="str">
        <f>IFERROR(__xludf.DUMMYFUNCTION("""COMPUTED_VALUE"""),"Excellent")</f>
        <v>Excellent</v>
      </c>
      <c r="Z3111" t="str">
        <f>IFERROR(__xludf.DUMMYFUNCTION("""COMPUTED_VALUE"""),"Excellent")</f>
        <v>Excellent</v>
      </c>
      <c r="AA3111" t="str">
        <f>IFERROR(__xludf.DUMMYFUNCTION("""COMPUTED_VALUE"""),"Excellent")</f>
        <v>Excellent</v>
      </c>
      <c r="AB3111" t="str">
        <f>IFERROR(__xludf.DUMMYFUNCTION("""COMPUTED_VALUE"""),"Excellent")</f>
        <v>Excellent</v>
      </c>
      <c r="AF3111" t="str">
        <f>IFERROR(__xludf.DUMMYFUNCTION("""COMPUTED_VALUE"""),"No. I took delivery of the first car Tesla was able to deliver.")</f>
        <v>No. I took delivery of the first car Tesla was able to deliver.</v>
      </c>
      <c r="AH3111" s="189">
        <f>IFERROR(__xludf.DUMMYFUNCTION("""COMPUTED_VALUE"""),44438.473459189816)</f>
        <v>44438.47346</v>
      </c>
    </row>
    <row r="3112">
      <c r="A3112" t="str">
        <f>IFERROR(__xludf.DUMMYFUNCTION("""COMPUTED_VALUE"""),"sled14")</f>
        <v>sled14</v>
      </c>
      <c r="B3112" t="str">
        <f>IFERROR(__xludf.DUMMYFUNCTION("""COMPUTED_VALUE"""),"West Palm Beach")</f>
        <v>West Palm Beach</v>
      </c>
      <c r="C3112" t="str">
        <f>IFERROR(__xludf.DUMMYFUNCTION("""COMPUTED_VALUE"""),"FL")</f>
        <v>FL</v>
      </c>
      <c r="D3112" t="str">
        <f>IFERROR(__xludf.DUMMYFUNCTION("""COMPUTED_VALUE"""),"USA")</f>
        <v>USA</v>
      </c>
      <c r="E3112" s="188">
        <f>IFERROR(__xludf.DUMMYFUNCTION("""COMPUTED_VALUE"""),44350.0)</f>
        <v>44350</v>
      </c>
      <c r="F3112" s="188">
        <f>IFERROR(__xludf.DUMMYFUNCTION("""COMPUTED_VALUE"""),44359.0)</f>
        <v>44359</v>
      </c>
      <c r="G3112" t="str">
        <f>IFERROR(__xludf.DUMMYFUNCTION("""COMPUTED_VALUE"""),"Manage order page (normal text)")</f>
        <v>Manage order page (normal text)</v>
      </c>
      <c r="H3112">
        <f>IFERROR(__xludf.DUMMYFUNCTION("""COMPUTED_VALUE"""),991255.0)</f>
        <v>991255</v>
      </c>
      <c r="J3112" s="188">
        <f>IFERROR(__xludf.DUMMYFUNCTION("""COMPUTED_VALUE"""),44374.0)</f>
        <v>44374</v>
      </c>
      <c r="K3112">
        <f>IFERROR(__xludf.DUMMYFUNCTION("""COMPUTED_VALUE"""),9.0)</f>
        <v>9</v>
      </c>
      <c r="L3112">
        <f>IFERROR(__xludf.DUMMYFUNCTION("""COMPUTED_VALUE"""),15.0)</f>
        <v>15</v>
      </c>
      <c r="M3112">
        <f>IFERROR(__xludf.DUMMYFUNCTION("""COMPUTED_VALUE"""),24.0)</f>
        <v>24</v>
      </c>
      <c r="N3112" t="str">
        <f>IFERROR(__xludf.DUMMYFUNCTION("""COMPUTED_VALUE"""),"Model 3 Performance")</f>
        <v>Model 3 Performance</v>
      </c>
      <c r="O3112" t="str">
        <f>IFERROR(__xludf.DUMMYFUNCTION("""COMPUTED_VALUE"""),"Pearl White Multi-Coat")</f>
        <v>Pearl White Multi-Coat</v>
      </c>
      <c r="P3112" t="str">
        <f>IFERROR(__xludf.DUMMYFUNCTION("""COMPUTED_VALUE"""),"20 inch")</f>
        <v>20 inch</v>
      </c>
      <c r="Q3112" t="str">
        <f>IFERROR(__xludf.DUMMYFUNCTION("""COMPUTED_VALUE"""),"All Black")</f>
        <v>All Black</v>
      </c>
      <c r="R3112" t="str">
        <f>IFERROR(__xludf.DUMMYFUNCTION("""COMPUTED_VALUE"""),"Autopilot included")</f>
        <v>Autopilot included</v>
      </c>
      <c r="S3112" t="str">
        <f>IFERROR(__xludf.DUMMYFUNCTION("""COMPUTED_VALUE"""),"Loan")</f>
        <v>Loan</v>
      </c>
      <c r="T3112" t="str">
        <f>IFERROR(__xludf.DUMMYFUNCTION("""COMPUTED_VALUE"""),"Honda Accord")</f>
        <v>Honda Accord</v>
      </c>
      <c r="U3112" t="str">
        <f>IFERROR(__xludf.DUMMYFUNCTION("""COMPUTED_VALUE"""),"Electric!")</f>
        <v>Electric!</v>
      </c>
      <c r="V3112" t="str">
        <f>IFERROR(__xludf.DUMMYFUNCTION("""COMPUTED_VALUE"""),"Dashboard")</f>
        <v>Dashboard</v>
      </c>
      <c r="X3112" t="str">
        <f>IFERROR(__xludf.DUMMYFUNCTION("""COMPUTED_VALUE"""),"Excellent")</f>
        <v>Excellent</v>
      </c>
      <c r="Y3112" t="str">
        <f>IFERROR(__xludf.DUMMYFUNCTION("""COMPUTED_VALUE"""),"Excellent")</f>
        <v>Excellent</v>
      </c>
      <c r="Z3112" t="str">
        <f>IFERROR(__xludf.DUMMYFUNCTION("""COMPUTED_VALUE"""),"Excellent")</f>
        <v>Excellent</v>
      </c>
      <c r="AA3112" t="str">
        <f>IFERROR(__xludf.DUMMYFUNCTION("""COMPUTED_VALUE"""),"Poor")</f>
        <v>Poor</v>
      </c>
      <c r="AB3112" t="str">
        <f>IFERROR(__xludf.DUMMYFUNCTION("""COMPUTED_VALUE"""),"Excellent")</f>
        <v>Excellent</v>
      </c>
      <c r="AC3112">
        <f>IFERROR(__xludf.DUMMYFUNCTION("""COMPUTED_VALUE"""),0.0)</f>
        <v>0</v>
      </c>
      <c r="AD3112">
        <f>IFERROR(__xludf.DUMMYFUNCTION("""COMPUTED_VALUE"""),0.0)</f>
        <v>0</v>
      </c>
      <c r="AE3112">
        <f>IFERROR(__xludf.DUMMYFUNCTION("""COMPUTED_VALUE"""),0.0)</f>
        <v>0</v>
      </c>
      <c r="AF3112" t="str">
        <f>IFERROR(__xludf.DUMMYFUNCTION("""COMPUTED_VALUE"""),"No. I took delivery of the first car Tesla was able to deliver.")</f>
        <v>No. I took delivery of the first car Tesla was able to deliver.</v>
      </c>
      <c r="AH3112" s="189">
        <f>IFERROR(__xludf.DUMMYFUNCTION("""COMPUTED_VALUE"""),44384.31198333333)</f>
        <v>44384.31198</v>
      </c>
    </row>
    <row r="3113">
      <c r="A3113" t="str">
        <f>IFERROR(__xludf.DUMMYFUNCTION("""COMPUTED_VALUE"""),"Doc")</f>
        <v>Doc</v>
      </c>
      <c r="B3113" t="str">
        <f>IFERROR(__xludf.DUMMYFUNCTION("""COMPUTED_VALUE"""),"Bloomington")</f>
        <v>Bloomington</v>
      </c>
      <c r="C3113" t="str">
        <f>IFERROR(__xludf.DUMMYFUNCTION("""COMPUTED_VALUE"""),"IL")</f>
        <v>IL</v>
      </c>
      <c r="D3113" t="str">
        <f>IFERROR(__xludf.DUMMYFUNCTION("""COMPUTED_VALUE"""),"USA")</f>
        <v>USA</v>
      </c>
      <c r="E3113" s="188">
        <f>IFERROR(__xludf.DUMMYFUNCTION("""COMPUTED_VALUE"""),44364.0)</f>
        <v>44364</v>
      </c>
      <c r="J3113" s="188">
        <f>IFERROR(__xludf.DUMMYFUNCTION("""COMPUTED_VALUE"""),44421.0)</f>
        <v>44421</v>
      </c>
      <c r="M3113">
        <f>IFERROR(__xludf.DUMMYFUNCTION("""COMPUTED_VALUE"""),57.0)</f>
        <v>57</v>
      </c>
      <c r="N3113" t="str">
        <f>IFERROR(__xludf.DUMMYFUNCTION("""COMPUTED_VALUE"""),"Model 3 SR+")</f>
        <v>Model 3 SR+</v>
      </c>
      <c r="O3113" t="str">
        <f>IFERROR(__xludf.DUMMYFUNCTION("""COMPUTED_VALUE"""),"Deep Blue Metallic")</f>
        <v>Deep Blue Metallic</v>
      </c>
      <c r="P3113" t="str">
        <f>IFERROR(__xludf.DUMMYFUNCTION("""COMPUTED_VALUE"""),"18 inch")</f>
        <v>18 inch</v>
      </c>
      <c r="Q3113" t="str">
        <f>IFERROR(__xludf.DUMMYFUNCTION("""COMPUTED_VALUE"""),"All Black")</f>
        <v>All Black</v>
      </c>
      <c r="R3113" t="str">
        <f>IFERROR(__xludf.DUMMYFUNCTION("""COMPUTED_VALUE"""),"Autopilot included")</f>
        <v>Autopilot included</v>
      </c>
      <c r="S3113" t="str">
        <f>IFERROR(__xludf.DUMMYFUNCTION("""COMPUTED_VALUE"""),"Loan")</f>
        <v>Loan</v>
      </c>
      <c r="T3113" t="str">
        <f>IFERROR(__xludf.DUMMYFUNCTION("""COMPUTED_VALUE"""),"Nissan Leaf")</f>
        <v>Nissan Leaf</v>
      </c>
      <c r="U3113" t="str">
        <f>IFERROR(__xludf.DUMMYFUNCTION("""COMPUTED_VALUE"""),"Electric!")</f>
        <v>Electric!</v>
      </c>
      <c r="V3113" t="str">
        <f>IFERROR(__xludf.DUMMYFUNCTION("""COMPUTED_VALUE"""),"Ventilated seats")</f>
        <v>Ventilated seats</v>
      </c>
      <c r="AH3113" s="189">
        <f>IFERROR(__xludf.DUMMYFUNCTION("""COMPUTED_VALUE"""),44384.316772349535)</f>
        <v>44384.31677</v>
      </c>
    </row>
    <row r="3114">
      <c r="A3114" t="str">
        <f>IFERROR(__xludf.DUMMYFUNCTION("""COMPUTED_VALUE"""),"tleubner")</f>
        <v>tleubner</v>
      </c>
      <c r="B3114" t="str">
        <f>IFERROR(__xludf.DUMMYFUNCTION("""COMPUTED_VALUE"""),"Chicago")</f>
        <v>Chicago</v>
      </c>
      <c r="C3114" t="str">
        <f>IFERROR(__xludf.DUMMYFUNCTION("""COMPUTED_VALUE"""),"IL")</f>
        <v>IL</v>
      </c>
      <c r="D3114" t="str">
        <f>IFERROR(__xludf.DUMMYFUNCTION("""COMPUTED_VALUE"""),"USA")</f>
        <v>USA</v>
      </c>
      <c r="E3114" s="188">
        <f>IFERROR(__xludf.DUMMYFUNCTION("""COMPUTED_VALUE"""),44369.0)</f>
        <v>44369</v>
      </c>
      <c r="F3114" s="188">
        <f>IFERROR(__xludf.DUMMYFUNCTION("""COMPUTED_VALUE"""),44419.0)</f>
        <v>44419</v>
      </c>
      <c r="G3114" t="str">
        <f>IFERROR(__xludf.DUMMYFUNCTION("""COMPUTED_VALUE"""),"Email")</f>
        <v>Email</v>
      </c>
      <c r="J3114" s="188">
        <f>IFERROR(__xludf.DUMMYFUNCTION("""COMPUTED_VALUE"""),44436.0)</f>
        <v>44436</v>
      </c>
      <c r="K3114">
        <f>IFERROR(__xludf.DUMMYFUNCTION("""COMPUTED_VALUE"""),50.0)</f>
        <v>50</v>
      </c>
      <c r="L3114">
        <f>IFERROR(__xludf.DUMMYFUNCTION("""COMPUTED_VALUE"""),17.0)</f>
        <v>17</v>
      </c>
      <c r="M3114">
        <f>IFERROR(__xludf.DUMMYFUNCTION("""COMPUTED_VALUE"""),67.0)</f>
        <v>67</v>
      </c>
      <c r="N3114" t="str">
        <f>IFERROR(__xludf.DUMMYFUNCTION("""COMPUTED_VALUE"""),"Model 3 LR AWD")</f>
        <v>Model 3 LR AWD</v>
      </c>
      <c r="O3114" t="str">
        <f>IFERROR(__xludf.DUMMYFUNCTION("""COMPUTED_VALUE"""),"Pearl White Multi-Coat")</f>
        <v>Pearl White Multi-Coat</v>
      </c>
      <c r="P3114" t="str">
        <f>IFERROR(__xludf.DUMMYFUNCTION("""COMPUTED_VALUE"""),"18 inch")</f>
        <v>18 inch</v>
      </c>
      <c r="Q3114" t="str">
        <f>IFERROR(__xludf.DUMMYFUNCTION("""COMPUTED_VALUE"""),"All Black")</f>
        <v>All Black</v>
      </c>
      <c r="R3114" t="str">
        <f>IFERROR(__xludf.DUMMYFUNCTION("""COMPUTED_VALUE"""),"Autopilot included")</f>
        <v>Autopilot included</v>
      </c>
      <c r="S3114" t="str">
        <f>IFERROR(__xludf.DUMMYFUNCTION("""COMPUTED_VALUE"""),"Cash")</f>
        <v>Cash</v>
      </c>
      <c r="AH3114" s="189">
        <f>IFERROR(__xludf.DUMMYFUNCTION("""COMPUTED_VALUE"""),44438.288596377315)</f>
        <v>44438.2886</v>
      </c>
    </row>
    <row r="3115">
      <c r="A3115" t="str">
        <f>IFERROR(__xludf.DUMMYFUNCTION("""COMPUTED_VALUE"""),"ssY")</f>
        <v>ssY</v>
      </c>
      <c r="B3115" t="str">
        <f>IFERROR(__xludf.DUMMYFUNCTION("""COMPUTED_VALUE"""),"Bellevue")</f>
        <v>Bellevue</v>
      </c>
      <c r="C3115" t="str">
        <f>IFERROR(__xludf.DUMMYFUNCTION("""COMPUTED_VALUE"""),"WA")</f>
        <v>WA</v>
      </c>
      <c r="D3115" t="str">
        <f>IFERROR(__xludf.DUMMYFUNCTION("""COMPUTED_VALUE"""),"USA")</f>
        <v>USA</v>
      </c>
      <c r="E3115" s="188">
        <f>IFERROR(__xludf.DUMMYFUNCTION("""COMPUTED_VALUE"""),44374.0)</f>
        <v>44374</v>
      </c>
      <c r="F3115" s="188">
        <f>IFERROR(__xludf.DUMMYFUNCTION("""COMPUTED_VALUE"""),44481.0)</f>
        <v>44481</v>
      </c>
      <c r="G3115" t="str">
        <f>IFERROR(__xludf.DUMMYFUNCTION("""COMPUTED_VALUE"""),"Manage order page (normal text)")</f>
        <v>Manage order page (normal text)</v>
      </c>
      <c r="J3115" s="188">
        <f>IFERROR(__xludf.DUMMYFUNCTION("""COMPUTED_VALUE"""),44488.0)</f>
        <v>44488</v>
      </c>
      <c r="K3115">
        <f>IFERROR(__xludf.DUMMYFUNCTION("""COMPUTED_VALUE"""),107.0)</f>
        <v>107</v>
      </c>
      <c r="L3115">
        <f>IFERROR(__xludf.DUMMYFUNCTION("""COMPUTED_VALUE"""),7.0)</f>
        <v>7</v>
      </c>
      <c r="M3115">
        <f>IFERROR(__xludf.DUMMYFUNCTION("""COMPUTED_VALUE"""),114.0)</f>
        <v>114</v>
      </c>
      <c r="N3115" t="str">
        <f>IFERROR(__xludf.DUMMYFUNCTION("""COMPUTED_VALUE"""),"Model 3 LR AWD")</f>
        <v>Model 3 LR AWD</v>
      </c>
      <c r="O3115" t="str">
        <f>IFERROR(__xludf.DUMMYFUNCTION("""COMPUTED_VALUE"""),"Pearl White Multi-Coat")</f>
        <v>Pearl White Multi-Coat</v>
      </c>
      <c r="P3115" t="str">
        <f>IFERROR(__xludf.DUMMYFUNCTION("""COMPUTED_VALUE"""),"18 inch")</f>
        <v>18 inch</v>
      </c>
      <c r="Q3115" t="str">
        <f>IFERROR(__xludf.DUMMYFUNCTION("""COMPUTED_VALUE"""),"All Black")</f>
        <v>All Black</v>
      </c>
      <c r="R3115" t="str">
        <f>IFERROR(__xludf.DUMMYFUNCTION("""COMPUTED_VALUE"""),"Autopilot included")</f>
        <v>Autopilot included</v>
      </c>
      <c r="S3115" t="str">
        <f>IFERROR(__xludf.DUMMYFUNCTION("""COMPUTED_VALUE"""),"Cash")</f>
        <v>Cash</v>
      </c>
      <c r="T3115" t="str">
        <f>IFERROR(__xludf.DUMMYFUNCTION("""COMPUTED_VALUE"""),"Mustang")</f>
        <v>Mustang</v>
      </c>
      <c r="U3115" t="str">
        <f>IFERROR(__xludf.DUMMYFUNCTION("""COMPUTED_VALUE"""),"Electric!")</f>
        <v>Electric!</v>
      </c>
      <c r="V3115" t="str">
        <f>IFERROR(__xludf.DUMMYFUNCTION("""COMPUTED_VALUE"""),"Customized navigation route")</f>
        <v>Customized navigation route</v>
      </c>
      <c r="X3115" t="str">
        <f>IFERROR(__xludf.DUMMYFUNCTION("""COMPUTED_VALUE"""),"Excellent")</f>
        <v>Excellent</v>
      </c>
      <c r="Y3115" t="str">
        <f>IFERROR(__xludf.DUMMYFUNCTION("""COMPUTED_VALUE"""),"Excellent")</f>
        <v>Excellent</v>
      </c>
      <c r="Z3115" t="str">
        <f>IFERROR(__xludf.DUMMYFUNCTION("""COMPUTED_VALUE"""),"Excellent")</f>
        <v>Excellent</v>
      </c>
      <c r="AA3115" t="str">
        <f>IFERROR(__xludf.DUMMYFUNCTION("""COMPUTED_VALUE"""),"Excellent")</f>
        <v>Excellent</v>
      </c>
      <c r="AB3115" t="str">
        <f>IFERROR(__xludf.DUMMYFUNCTION("""COMPUTED_VALUE"""),"Excellent")</f>
        <v>Excellent</v>
      </c>
      <c r="AH3115" s="189">
        <f>IFERROR(__xludf.DUMMYFUNCTION("""COMPUTED_VALUE"""),44488.90466547453)</f>
        <v>44488.90467</v>
      </c>
    </row>
    <row r="3116">
      <c r="A3116" t="str">
        <f>IFERROR(__xludf.DUMMYFUNCTION("""COMPUTED_VALUE"""),"T-In-Marietta")</f>
        <v>T-In-Marietta</v>
      </c>
      <c r="B3116" t="str">
        <f>IFERROR(__xludf.DUMMYFUNCTION("""COMPUTED_VALUE"""),"Marietta")</f>
        <v>Marietta</v>
      </c>
      <c r="C3116" t="str">
        <f>IFERROR(__xludf.DUMMYFUNCTION("""COMPUTED_VALUE"""),"GA")</f>
        <v>GA</v>
      </c>
      <c r="D3116" t="str">
        <f>IFERROR(__xludf.DUMMYFUNCTION("""COMPUTED_VALUE"""),"USA")</f>
        <v>USA</v>
      </c>
      <c r="E3116" s="188">
        <f>IFERROR(__xludf.DUMMYFUNCTION("""COMPUTED_VALUE"""),44377.0)</f>
        <v>44377</v>
      </c>
      <c r="F3116" s="188">
        <f>IFERROR(__xludf.DUMMYFUNCTION("""COMPUTED_VALUE"""),44412.0)</f>
        <v>44412</v>
      </c>
      <c r="G3116" t="str">
        <f>IFERROR(__xludf.DUMMYFUNCTION("""COMPUTED_VALUE"""),"Manage order page (normal text)")</f>
        <v>Manage order page (normal text)</v>
      </c>
      <c r="J3116" s="188">
        <f>IFERROR(__xludf.DUMMYFUNCTION("""COMPUTED_VALUE"""),44428.0)</f>
        <v>44428</v>
      </c>
      <c r="K3116">
        <f>IFERROR(__xludf.DUMMYFUNCTION("""COMPUTED_VALUE"""),35.0)</f>
        <v>35</v>
      </c>
      <c r="L3116">
        <f>IFERROR(__xludf.DUMMYFUNCTION("""COMPUTED_VALUE"""),16.0)</f>
        <v>16</v>
      </c>
      <c r="M3116">
        <f>IFERROR(__xludf.DUMMYFUNCTION("""COMPUTED_VALUE"""),51.0)</f>
        <v>51</v>
      </c>
      <c r="N3116" t="str">
        <f>IFERROR(__xludf.DUMMYFUNCTION("""COMPUTED_VALUE"""),"Model 3 SR+")</f>
        <v>Model 3 SR+</v>
      </c>
      <c r="O3116" t="str">
        <f>IFERROR(__xludf.DUMMYFUNCTION("""COMPUTED_VALUE"""),"Pearl White Multi-Coat")</f>
        <v>Pearl White Multi-Coat</v>
      </c>
      <c r="P3116" t="str">
        <f>IFERROR(__xludf.DUMMYFUNCTION("""COMPUTED_VALUE"""),"18 inch")</f>
        <v>18 inch</v>
      </c>
      <c r="Q3116" t="str">
        <f>IFERROR(__xludf.DUMMYFUNCTION("""COMPUTED_VALUE"""),"All Black")</f>
        <v>All Black</v>
      </c>
      <c r="R3116" t="str">
        <f>IFERROR(__xludf.DUMMYFUNCTION("""COMPUTED_VALUE"""),"Autopilot included")</f>
        <v>Autopilot included</v>
      </c>
      <c r="S3116" t="str">
        <f>IFERROR(__xludf.DUMMYFUNCTION("""COMPUTED_VALUE"""),"Loan")</f>
        <v>Loan</v>
      </c>
      <c r="T3116" t="str">
        <f>IFERROR(__xludf.DUMMYFUNCTION("""COMPUTED_VALUE"""),"Honda CRV")</f>
        <v>Honda CRV</v>
      </c>
      <c r="AH3116" s="189">
        <f>IFERROR(__xludf.DUMMYFUNCTION("""COMPUTED_VALUE"""),44417.51124349537)</f>
        <v>44417.51124</v>
      </c>
    </row>
    <row r="3117">
      <c r="A3117" t="str">
        <f>IFERROR(__xludf.DUMMYFUNCTION("""COMPUTED_VALUE"""),"Colpo")</f>
        <v>Colpo</v>
      </c>
      <c r="B3117" t="str">
        <f>IFERROR(__xludf.DUMMYFUNCTION("""COMPUTED_VALUE"""),"Houston")</f>
        <v>Houston</v>
      </c>
      <c r="C3117" t="str">
        <f>IFERROR(__xludf.DUMMYFUNCTION("""COMPUTED_VALUE"""),"TX")</f>
        <v>TX</v>
      </c>
      <c r="D3117" t="str">
        <f>IFERROR(__xludf.DUMMYFUNCTION("""COMPUTED_VALUE"""),"USA")</f>
        <v>USA</v>
      </c>
      <c r="E3117" s="188">
        <f>IFERROR(__xludf.DUMMYFUNCTION("""COMPUTED_VALUE"""),44375.0)</f>
        <v>44375</v>
      </c>
      <c r="F3117" s="188">
        <f>IFERROR(__xludf.DUMMYFUNCTION("""COMPUTED_VALUE"""),44412.0)</f>
        <v>44412</v>
      </c>
      <c r="G3117" t="str">
        <f>IFERROR(__xludf.DUMMYFUNCTION("""COMPUTED_VALUE"""),"Manage order page (normal text)")</f>
        <v>Manage order page (normal text)</v>
      </c>
      <c r="H3117">
        <f>IFERROR(__xludf.DUMMYFUNCTION("""COMPUTED_VALUE"""),30969.0)</f>
        <v>30969</v>
      </c>
      <c r="J3117" s="188">
        <f>IFERROR(__xludf.DUMMYFUNCTION("""COMPUTED_VALUE"""),44425.0)</f>
        <v>44425</v>
      </c>
      <c r="K3117">
        <f>IFERROR(__xludf.DUMMYFUNCTION("""COMPUTED_VALUE"""),37.0)</f>
        <v>37</v>
      </c>
      <c r="L3117">
        <f>IFERROR(__xludf.DUMMYFUNCTION("""COMPUTED_VALUE"""),13.0)</f>
        <v>13</v>
      </c>
      <c r="M3117">
        <f>IFERROR(__xludf.DUMMYFUNCTION("""COMPUTED_VALUE"""),50.0)</f>
        <v>50</v>
      </c>
      <c r="N3117" t="str">
        <f>IFERROR(__xludf.DUMMYFUNCTION("""COMPUTED_VALUE"""),"Model 3 SR+")</f>
        <v>Model 3 SR+</v>
      </c>
      <c r="O3117" t="str">
        <f>IFERROR(__xludf.DUMMYFUNCTION("""COMPUTED_VALUE"""),"Deep Blue Metallic")</f>
        <v>Deep Blue Metallic</v>
      </c>
      <c r="P3117" t="str">
        <f>IFERROR(__xludf.DUMMYFUNCTION("""COMPUTED_VALUE"""),"18 inch")</f>
        <v>18 inch</v>
      </c>
      <c r="Q3117" t="str">
        <f>IFERROR(__xludf.DUMMYFUNCTION("""COMPUTED_VALUE"""),"All Black")</f>
        <v>All Black</v>
      </c>
      <c r="V3117" t="str">
        <f>IFERROR(__xludf.DUMMYFUNCTION("""COMPUTED_VALUE"""),"360° Bird's eye view")</f>
        <v>360° Bird's eye view</v>
      </c>
      <c r="X3117" t="str">
        <f>IFERROR(__xludf.DUMMYFUNCTION("""COMPUTED_VALUE"""),"Excellent")</f>
        <v>Excellent</v>
      </c>
      <c r="Y3117" t="str">
        <f>IFERROR(__xludf.DUMMYFUNCTION("""COMPUTED_VALUE"""),"Excellent")</f>
        <v>Excellent</v>
      </c>
      <c r="Z3117" t="str">
        <f>IFERROR(__xludf.DUMMYFUNCTION("""COMPUTED_VALUE"""),"Excellent")</f>
        <v>Excellent</v>
      </c>
      <c r="AA3117" t="str">
        <f>IFERROR(__xludf.DUMMYFUNCTION("""COMPUTED_VALUE"""),"Excellent")</f>
        <v>Excellent</v>
      </c>
      <c r="AB3117" t="str">
        <f>IFERROR(__xludf.DUMMYFUNCTION("""COMPUTED_VALUE"""),"Excellent")</f>
        <v>Excellent</v>
      </c>
      <c r="AF3117" t="str">
        <f>IFERROR(__xludf.DUMMYFUNCTION("""COMPUTED_VALUE"""),"No. I took delivery of the first car Tesla was able to deliver.")</f>
        <v>No. I took delivery of the first car Tesla was able to deliver.</v>
      </c>
      <c r="AH3117" s="189">
        <f>IFERROR(__xludf.DUMMYFUNCTION("""COMPUTED_VALUE"""),44425.855702789355)</f>
        <v>44425.8557</v>
      </c>
    </row>
    <row r="3118">
      <c r="A3118" t="str">
        <f>IFERROR(__xludf.DUMMYFUNCTION("""COMPUTED_VALUE"""),"Bert")</f>
        <v>Bert</v>
      </c>
      <c r="B3118" t="str">
        <f>IFERROR(__xludf.DUMMYFUNCTION("""COMPUTED_VALUE"""),"Chicago")</f>
        <v>Chicago</v>
      </c>
      <c r="C3118" t="str">
        <f>IFERROR(__xludf.DUMMYFUNCTION("""COMPUTED_VALUE"""),"IL")</f>
        <v>IL</v>
      </c>
      <c r="D3118" t="str">
        <f>IFERROR(__xludf.DUMMYFUNCTION("""COMPUTED_VALUE"""),"USA")</f>
        <v>USA</v>
      </c>
      <c r="E3118" s="188">
        <f>IFERROR(__xludf.DUMMYFUNCTION("""COMPUTED_VALUE"""),44357.0)</f>
        <v>44357</v>
      </c>
      <c r="F3118" s="188">
        <f>IFERROR(__xludf.DUMMYFUNCTION("""COMPUTED_VALUE"""),44391.0)</f>
        <v>44391</v>
      </c>
      <c r="G3118" t="str">
        <f>IFERROR(__xludf.DUMMYFUNCTION("""COMPUTED_VALUE"""),"Email")</f>
        <v>Email</v>
      </c>
      <c r="J3118" s="188">
        <f>IFERROR(__xludf.DUMMYFUNCTION("""COMPUTED_VALUE"""),44420.0)</f>
        <v>44420</v>
      </c>
      <c r="K3118">
        <f>IFERROR(__xludf.DUMMYFUNCTION("""COMPUTED_VALUE"""),34.0)</f>
        <v>34</v>
      </c>
      <c r="L3118">
        <f>IFERROR(__xludf.DUMMYFUNCTION("""COMPUTED_VALUE"""),29.0)</f>
        <v>29</v>
      </c>
      <c r="M3118">
        <f>IFERROR(__xludf.DUMMYFUNCTION("""COMPUTED_VALUE"""),63.0)</f>
        <v>63</v>
      </c>
      <c r="N3118" t="str">
        <f>IFERROR(__xludf.DUMMYFUNCTION("""COMPUTED_VALUE"""),"Model 3 SR+")</f>
        <v>Model 3 SR+</v>
      </c>
      <c r="O3118" t="str">
        <f>IFERROR(__xludf.DUMMYFUNCTION("""COMPUTED_VALUE"""),"Red Multi-Coat")</f>
        <v>Red Multi-Coat</v>
      </c>
      <c r="P3118" t="str">
        <f>IFERROR(__xludf.DUMMYFUNCTION("""COMPUTED_VALUE"""),"18 inch")</f>
        <v>18 inch</v>
      </c>
      <c r="Q3118" t="str">
        <f>IFERROR(__xludf.DUMMYFUNCTION("""COMPUTED_VALUE"""),"All Black")</f>
        <v>All Black</v>
      </c>
      <c r="R3118" t="str">
        <f>IFERROR(__xludf.DUMMYFUNCTION("""COMPUTED_VALUE"""),"Autopilot included")</f>
        <v>Autopilot included</v>
      </c>
      <c r="S3118" t="str">
        <f>IFERROR(__xludf.DUMMYFUNCTION("""COMPUTED_VALUE"""),"Cash")</f>
        <v>Cash</v>
      </c>
      <c r="U3118" t="str">
        <f>IFERROR(__xludf.DUMMYFUNCTION("""COMPUTED_VALUE"""),"Electric!")</f>
        <v>Electric!</v>
      </c>
      <c r="V3118" t="str">
        <f>IFERROR(__xludf.DUMMYFUNCTION("""COMPUTED_VALUE"""),"Blind spot indicators on side mirrors")</f>
        <v>Blind spot indicators on side mirrors</v>
      </c>
      <c r="X3118" t="str">
        <f>IFERROR(__xludf.DUMMYFUNCTION("""COMPUTED_VALUE"""),"Excellent")</f>
        <v>Excellent</v>
      </c>
      <c r="Y3118" t="str">
        <f>IFERROR(__xludf.DUMMYFUNCTION("""COMPUTED_VALUE"""),"Excellent")</f>
        <v>Excellent</v>
      </c>
      <c r="Z3118" t="str">
        <f>IFERROR(__xludf.DUMMYFUNCTION("""COMPUTED_VALUE"""),"Excellent")</f>
        <v>Excellent</v>
      </c>
      <c r="AA3118" t="str">
        <f>IFERROR(__xludf.DUMMYFUNCTION("""COMPUTED_VALUE"""),"Very Good")</f>
        <v>Very Good</v>
      </c>
      <c r="AB3118" t="str">
        <f>IFERROR(__xludf.DUMMYFUNCTION("""COMPUTED_VALUE"""),"Very Good")</f>
        <v>Very Good</v>
      </c>
      <c r="AC3118">
        <f>IFERROR(__xludf.DUMMYFUNCTION("""COMPUTED_VALUE"""),0.0)</f>
        <v>0</v>
      </c>
      <c r="AF3118" t="str">
        <f>IFERROR(__xludf.DUMMYFUNCTION("""COMPUTED_VALUE"""),"No. I took delivery of the first car Tesla was able to deliver.")</f>
        <v>No. I took delivery of the first car Tesla was able to deliver.</v>
      </c>
      <c r="AH3118" s="189">
        <f>IFERROR(__xludf.DUMMYFUNCTION("""COMPUTED_VALUE"""),44421.57844413194)</f>
        <v>44421.57844</v>
      </c>
    </row>
    <row r="3119">
      <c r="A3119" t="str">
        <f>IFERROR(__xludf.DUMMYFUNCTION("""COMPUTED_VALUE"""),"Funtastic")</f>
        <v>Funtastic</v>
      </c>
      <c r="B3119" t="str">
        <f>IFERROR(__xludf.DUMMYFUNCTION("""COMPUTED_VALUE"""),"Hanover")</f>
        <v>Hanover</v>
      </c>
      <c r="C3119" t="str">
        <f>IFERROR(__xludf.DUMMYFUNCTION("""COMPUTED_VALUE"""),"MD")</f>
        <v>MD</v>
      </c>
      <c r="D3119" t="str">
        <f>IFERROR(__xludf.DUMMYFUNCTION("""COMPUTED_VALUE"""),"USA")</f>
        <v>USA</v>
      </c>
      <c r="E3119" s="188">
        <f>IFERROR(__xludf.DUMMYFUNCTION("""COMPUTED_VALUE"""),44361.0)</f>
        <v>44361</v>
      </c>
      <c r="F3119" s="188">
        <f>IFERROR(__xludf.DUMMYFUNCTION("""COMPUTED_VALUE"""),44417.0)</f>
        <v>44417</v>
      </c>
      <c r="G3119" t="str">
        <f>IFERROR(__xludf.DUMMYFUNCTION("""COMPUTED_VALUE"""),"Manage order page (normal text)")</f>
        <v>Manage order page (normal text)</v>
      </c>
      <c r="H3119">
        <f>IFERROR(__xludf.DUMMYFUNCTION("""COMPUTED_VALUE"""),34952.0)</f>
        <v>34952</v>
      </c>
      <c r="J3119" s="188">
        <f>IFERROR(__xludf.DUMMYFUNCTION("""COMPUTED_VALUE"""),44429.0)</f>
        <v>44429</v>
      </c>
      <c r="K3119">
        <f>IFERROR(__xludf.DUMMYFUNCTION("""COMPUTED_VALUE"""),56.0)</f>
        <v>56</v>
      </c>
      <c r="L3119">
        <f>IFERROR(__xludf.DUMMYFUNCTION("""COMPUTED_VALUE"""),12.0)</f>
        <v>12</v>
      </c>
      <c r="M3119">
        <f>IFERROR(__xludf.DUMMYFUNCTION("""COMPUTED_VALUE"""),68.0)</f>
        <v>68</v>
      </c>
      <c r="N3119" t="str">
        <f>IFERROR(__xludf.DUMMYFUNCTION("""COMPUTED_VALUE"""),"Model 3 LR AWD")</f>
        <v>Model 3 LR AWD</v>
      </c>
      <c r="O3119" t="str">
        <f>IFERROR(__xludf.DUMMYFUNCTION("""COMPUTED_VALUE"""),"Red Multi-Coat")</f>
        <v>Red Multi-Coat</v>
      </c>
      <c r="P3119" t="str">
        <f>IFERROR(__xludf.DUMMYFUNCTION("""COMPUTED_VALUE"""),"18 inch")</f>
        <v>18 inch</v>
      </c>
      <c r="Q3119" t="str">
        <f>IFERROR(__xludf.DUMMYFUNCTION("""COMPUTED_VALUE"""),"Black and White")</f>
        <v>Black and White</v>
      </c>
      <c r="R3119" t="str">
        <f>IFERROR(__xludf.DUMMYFUNCTION("""COMPUTED_VALUE"""),"Autopilot included")</f>
        <v>Autopilot included</v>
      </c>
      <c r="S3119" t="str">
        <f>IFERROR(__xludf.DUMMYFUNCTION("""COMPUTED_VALUE"""),"Loan")</f>
        <v>Loan</v>
      </c>
      <c r="T3119" t="str">
        <f>IFERROR(__xludf.DUMMYFUNCTION("""COMPUTED_VALUE"""),"lexus IS300 F")</f>
        <v>lexus IS300 F</v>
      </c>
      <c r="U3119" t="str">
        <f>IFERROR(__xludf.DUMMYFUNCTION("""COMPUTED_VALUE"""),"Tesla brand image")</f>
        <v>Tesla brand image</v>
      </c>
      <c r="V3119" t="str">
        <f>IFERROR(__xludf.DUMMYFUNCTION("""COMPUTED_VALUE"""),"HomeLink")</f>
        <v>HomeLink</v>
      </c>
      <c r="AH3119" s="189">
        <f>IFERROR(__xludf.DUMMYFUNCTION("""COMPUTED_VALUE"""),44421.351027916666)</f>
        <v>44421.35103</v>
      </c>
    </row>
    <row r="3120">
      <c r="A3120" t="str">
        <f>IFERROR(__xludf.DUMMYFUNCTION("""COMPUTED_VALUE"""),"LaneDS")</f>
        <v>LaneDS</v>
      </c>
      <c r="C3120" t="str">
        <f>IFERROR(__xludf.DUMMYFUNCTION("""COMPUTED_VALUE"""),"VA")</f>
        <v>VA</v>
      </c>
      <c r="D3120" t="str">
        <f>IFERROR(__xludf.DUMMYFUNCTION("""COMPUTED_VALUE"""),"USA")</f>
        <v>USA</v>
      </c>
      <c r="E3120" s="188">
        <f>IFERROR(__xludf.DUMMYFUNCTION("""COMPUTED_VALUE"""),44328.0)</f>
        <v>44328</v>
      </c>
      <c r="F3120" s="188">
        <f>IFERROR(__xludf.DUMMYFUNCTION("""COMPUTED_VALUE"""),44395.0)</f>
        <v>44395</v>
      </c>
      <c r="G3120" t="str">
        <f>IFERROR(__xludf.DUMMYFUNCTION("""COMPUTED_VALUE"""),"Email")</f>
        <v>Email</v>
      </c>
      <c r="J3120" s="188">
        <f>IFERROR(__xludf.DUMMYFUNCTION("""COMPUTED_VALUE"""),44408.0)</f>
        <v>44408</v>
      </c>
      <c r="K3120">
        <f>IFERROR(__xludf.DUMMYFUNCTION("""COMPUTED_VALUE"""),67.0)</f>
        <v>67</v>
      </c>
      <c r="L3120">
        <f>IFERROR(__xludf.DUMMYFUNCTION("""COMPUTED_VALUE"""),13.0)</f>
        <v>13</v>
      </c>
      <c r="M3120">
        <f>IFERROR(__xludf.DUMMYFUNCTION("""COMPUTED_VALUE"""),80.0)</f>
        <v>80</v>
      </c>
      <c r="N3120" t="str">
        <f>IFERROR(__xludf.DUMMYFUNCTION("""COMPUTED_VALUE"""),"Model 3 LR AWD")</f>
        <v>Model 3 LR AWD</v>
      </c>
      <c r="O3120" t="str">
        <f>IFERROR(__xludf.DUMMYFUNCTION("""COMPUTED_VALUE"""),"Midnight Silver Metallic")</f>
        <v>Midnight Silver Metallic</v>
      </c>
      <c r="P3120" t="str">
        <f>IFERROR(__xludf.DUMMYFUNCTION("""COMPUTED_VALUE"""),"18 inch")</f>
        <v>18 inch</v>
      </c>
      <c r="Q3120" t="str">
        <f>IFERROR(__xludf.DUMMYFUNCTION("""COMPUTED_VALUE"""),"All Black")</f>
        <v>All Black</v>
      </c>
      <c r="R3120" t="str">
        <f>IFERROR(__xludf.DUMMYFUNCTION("""COMPUTED_VALUE"""),"Autopilot included")</f>
        <v>Autopilot included</v>
      </c>
      <c r="X3120" t="str">
        <f>IFERROR(__xludf.DUMMYFUNCTION("""COMPUTED_VALUE"""),"Very Good")</f>
        <v>Very Good</v>
      </c>
      <c r="Y3120" t="str">
        <f>IFERROR(__xludf.DUMMYFUNCTION("""COMPUTED_VALUE"""),"Very Good")</f>
        <v>Very Good</v>
      </c>
      <c r="Z3120" t="str">
        <f>IFERROR(__xludf.DUMMYFUNCTION("""COMPUTED_VALUE"""),"Excellent")</f>
        <v>Excellent</v>
      </c>
      <c r="AA3120" t="str">
        <f>IFERROR(__xludf.DUMMYFUNCTION("""COMPUTED_VALUE"""),"Poor")</f>
        <v>Poor</v>
      </c>
      <c r="AB3120" t="str">
        <f>IFERROR(__xludf.DUMMYFUNCTION("""COMPUTED_VALUE"""),"Poor")</f>
        <v>Poor</v>
      </c>
      <c r="AF3120" t="str">
        <f>IFERROR(__xludf.DUMMYFUNCTION("""COMPUTED_VALUE"""),"No. I took delivery of the first car Tesla was able to deliver.")</f>
        <v>No. I took delivery of the first car Tesla was able to deliver.</v>
      </c>
      <c r="AH3120" s="189">
        <f>IFERROR(__xludf.DUMMYFUNCTION("""COMPUTED_VALUE"""),44414.53332296296)</f>
        <v>44414.53332</v>
      </c>
    </row>
    <row r="3121">
      <c r="A3121" t="str">
        <f>IFERROR(__xludf.DUMMYFUNCTION("""COMPUTED_VALUE"""),"Vorsprung")</f>
        <v>Vorsprung</v>
      </c>
      <c r="B3121" t="str">
        <f>IFERROR(__xludf.DUMMYFUNCTION("""COMPUTED_VALUE"""),"Indian Land")</f>
        <v>Indian Land</v>
      </c>
      <c r="C3121" t="str">
        <f>IFERROR(__xludf.DUMMYFUNCTION("""COMPUTED_VALUE"""),"SC")</f>
        <v>SC</v>
      </c>
      <c r="D3121" t="str">
        <f>IFERROR(__xludf.DUMMYFUNCTION("""COMPUTED_VALUE"""),"USA")</f>
        <v>USA</v>
      </c>
      <c r="E3121" s="188">
        <f>IFERROR(__xludf.DUMMYFUNCTION("""COMPUTED_VALUE"""),44359.0)</f>
        <v>44359</v>
      </c>
      <c r="F3121" s="188">
        <f>IFERROR(__xludf.DUMMYFUNCTION("""COMPUTED_VALUE"""),44396.0)</f>
        <v>44396</v>
      </c>
      <c r="G3121" t="str">
        <f>IFERROR(__xludf.DUMMYFUNCTION("""COMPUTED_VALUE"""),"Manage order page (normal text)")</f>
        <v>Manage order page (normal text)</v>
      </c>
      <c r="J3121" s="188">
        <f>IFERROR(__xludf.DUMMYFUNCTION("""COMPUTED_VALUE"""),44403.0)</f>
        <v>44403</v>
      </c>
      <c r="K3121">
        <f>IFERROR(__xludf.DUMMYFUNCTION("""COMPUTED_VALUE"""),37.0)</f>
        <v>37</v>
      </c>
      <c r="L3121">
        <f>IFERROR(__xludf.DUMMYFUNCTION("""COMPUTED_VALUE"""),7.0)</f>
        <v>7</v>
      </c>
      <c r="M3121">
        <f>IFERROR(__xludf.DUMMYFUNCTION("""COMPUTED_VALUE"""),44.0)</f>
        <v>44</v>
      </c>
      <c r="N3121" t="str">
        <f>IFERROR(__xludf.DUMMYFUNCTION("""COMPUTED_VALUE"""),"Model 3 SR+")</f>
        <v>Model 3 SR+</v>
      </c>
      <c r="O3121" t="str">
        <f>IFERROR(__xludf.DUMMYFUNCTION("""COMPUTED_VALUE"""),"Pearl White Multi-Coat")</f>
        <v>Pearl White Multi-Coat</v>
      </c>
      <c r="P3121" t="str">
        <f>IFERROR(__xludf.DUMMYFUNCTION("""COMPUTED_VALUE"""),"18 inch")</f>
        <v>18 inch</v>
      </c>
      <c r="Q3121" t="str">
        <f>IFERROR(__xludf.DUMMYFUNCTION("""COMPUTED_VALUE"""),"All Black")</f>
        <v>All Black</v>
      </c>
      <c r="R3121" t="str">
        <f>IFERROR(__xludf.DUMMYFUNCTION("""COMPUTED_VALUE"""),"Autopilot included")</f>
        <v>Autopilot included</v>
      </c>
      <c r="S3121" t="str">
        <f>IFERROR(__xludf.DUMMYFUNCTION("""COMPUTED_VALUE"""),"Cash")</f>
        <v>Cash</v>
      </c>
      <c r="T3121" t="str">
        <f>IFERROR(__xludf.DUMMYFUNCTION("""COMPUTED_VALUE"""),"VW Atlas")</f>
        <v>VW Atlas</v>
      </c>
      <c r="U3121" t="str">
        <f>IFERROR(__xludf.DUMMYFUNCTION("""COMPUTED_VALUE"""),"Electric!")</f>
        <v>Electric!</v>
      </c>
      <c r="V3121" t="str">
        <f>IFERROR(__xludf.DUMMYFUNCTION("""COMPUTED_VALUE"""),"360° Bird's eye view")</f>
        <v>360° Bird's eye view</v>
      </c>
      <c r="AH3121" s="189">
        <f>IFERROR(__xludf.DUMMYFUNCTION("""COMPUTED_VALUE"""),44397.56525730324)</f>
        <v>44397.56526</v>
      </c>
    </row>
    <row r="3122">
      <c r="A3122" t="str">
        <f>IFERROR(__xludf.DUMMYFUNCTION("""COMPUTED_VALUE"""),"Jmac")</f>
        <v>Jmac</v>
      </c>
      <c r="B3122" t="str">
        <f>IFERROR(__xludf.DUMMYFUNCTION("""COMPUTED_VALUE"""),"Nashville")</f>
        <v>Nashville</v>
      </c>
      <c r="C3122" t="str">
        <f>IFERROR(__xludf.DUMMYFUNCTION("""COMPUTED_VALUE"""),"TN")</f>
        <v>TN</v>
      </c>
      <c r="D3122" t="str">
        <f>IFERROR(__xludf.DUMMYFUNCTION("""COMPUTED_VALUE"""),"USA")</f>
        <v>USA</v>
      </c>
      <c r="E3122" s="188">
        <f>IFERROR(__xludf.DUMMYFUNCTION("""COMPUTED_VALUE"""),44378.0)</f>
        <v>44378</v>
      </c>
      <c r="F3122" s="188">
        <f>IFERROR(__xludf.DUMMYFUNCTION("""COMPUTED_VALUE"""),44420.0)</f>
        <v>44420</v>
      </c>
      <c r="G3122" t="str">
        <f>IFERROR(__xludf.DUMMYFUNCTION("""COMPUTED_VALUE"""),"Manage order page (normal text)")</f>
        <v>Manage order page (normal text)</v>
      </c>
      <c r="H3122">
        <f>IFERROR(__xludf.DUMMYFUNCTION("""COMPUTED_VALUE"""),35667.0)</f>
        <v>35667</v>
      </c>
      <c r="I3122" t="str">
        <f>IFERROR(__xludf.DUMMYFUNCTION("""COMPUTED_VALUE"""),"08/21")</f>
        <v>08/21</v>
      </c>
      <c r="K3122">
        <f>IFERROR(__xludf.DUMMYFUNCTION("""COMPUTED_VALUE"""),42.0)</f>
        <v>42</v>
      </c>
      <c r="N3122" t="str">
        <f>IFERROR(__xludf.DUMMYFUNCTION("""COMPUTED_VALUE"""),"Model 3 LR AWD")</f>
        <v>Model 3 LR AWD</v>
      </c>
      <c r="O3122" t="str">
        <f>IFERROR(__xludf.DUMMYFUNCTION("""COMPUTED_VALUE"""),"Deep Blue Metallic")</f>
        <v>Deep Blue Metallic</v>
      </c>
      <c r="P3122" t="str">
        <f>IFERROR(__xludf.DUMMYFUNCTION("""COMPUTED_VALUE"""),"18 inch")</f>
        <v>18 inch</v>
      </c>
      <c r="Q3122" t="str">
        <f>IFERROR(__xludf.DUMMYFUNCTION("""COMPUTED_VALUE"""),"All Black")</f>
        <v>All Black</v>
      </c>
      <c r="R3122" t="str">
        <f>IFERROR(__xludf.DUMMYFUNCTION("""COMPUTED_VALUE"""),"Autopilot included")</f>
        <v>Autopilot included</v>
      </c>
      <c r="S3122" t="str">
        <f>IFERROR(__xludf.DUMMYFUNCTION("""COMPUTED_VALUE"""),"Loan")</f>
        <v>Loan</v>
      </c>
      <c r="T3122" t="str">
        <f>IFERROR(__xludf.DUMMYFUNCTION("""COMPUTED_VALUE"""),"Ford Focus ST")</f>
        <v>Ford Focus ST</v>
      </c>
      <c r="U3122" t="str">
        <f>IFERROR(__xludf.DUMMYFUNCTION("""COMPUTED_VALUE"""),"Electric!")</f>
        <v>Electric!</v>
      </c>
      <c r="V3122" t="str">
        <f>IFERROR(__xludf.DUMMYFUNCTION("""COMPUTED_VALUE"""),"Head-up display")</f>
        <v>Head-up display</v>
      </c>
      <c r="W3122" t="str">
        <f>IFERROR(__xludf.DUMMYFUNCTION("""COMPUTED_VALUE"""),"Ignore EDD. Original EDD shown on order page is accurate unless lucky.")</f>
        <v>Ignore EDD. Original EDD shown on order page is accurate unless lucky.</v>
      </c>
      <c r="AH3122" s="189">
        <f>IFERROR(__xludf.DUMMYFUNCTION("""COMPUTED_VALUE"""),44420.82442131944)</f>
        <v>44420.82442</v>
      </c>
    </row>
    <row r="3123">
      <c r="A3123" t="str">
        <f>IFERROR(__xludf.DUMMYFUNCTION("""COMPUTED_VALUE"""),"S3XY")</f>
        <v>S3XY</v>
      </c>
      <c r="B3123" t="str">
        <f>IFERROR(__xludf.DUMMYFUNCTION("""COMPUTED_VALUE"""),"Salt Lake City")</f>
        <v>Salt Lake City</v>
      </c>
      <c r="C3123" t="str">
        <f>IFERROR(__xludf.DUMMYFUNCTION("""COMPUTED_VALUE"""),"UT")</f>
        <v>UT</v>
      </c>
      <c r="D3123" t="str">
        <f>IFERROR(__xludf.DUMMYFUNCTION("""COMPUTED_VALUE"""),"USA")</f>
        <v>USA</v>
      </c>
      <c r="E3123" s="188">
        <f>IFERROR(__xludf.DUMMYFUNCTION("""COMPUTED_VALUE"""),44383.0)</f>
        <v>44383</v>
      </c>
      <c r="F3123" s="188">
        <f>IFERROR(__xludf.DUMMYFUNCTION("""COMPUTED_VALUE"""),44430.0)</f>
        <v>44430</v>
      </c>
      <c r="G3123" t="str">
        <f>IFERROR(__xludf.DUMMYFUNCTION("""COMPUTED_VALUE"""),"Manage order page (normal text)")</f>
        <v>Manage order page (normal text)</v>
      </c>
      <c r="H3123">
        <f>IFERROR(__xludf.DUMMYFUNCTION("""COMPUTED_VALUE"""),47655.0)</f>
        <v>47655</v>
      </c>
      <c r="J3123" s="188">
        <f>IFERROR(__xludf.DUMMYFUNCTION("""COMPUTED_VALUE"""),44436.0)</f>
        <v>44436</v>
      </c>
      <c r="K3123">
        <f>IFERROR(__xludf.DUMMYFUNCTION("""COMPUTED_VALUE"""),47.0)</f>
        <v>47</v>
      </c>
      <c r="L3123">
        <f>IFERROR(__xludf.DUMMYFUNCTION("""COMPUTED_VALUE"""),6.0)</f>
        <v>6</v>
      </c>
      <c r="M3123">
        <f>IFERROR(__xludf.DUMMYFUNCTION("""COMPUTED_VALUE"""),53.0)</f>
        <v>53</v>
      </c>
      <c r="N3123" t="str">
        <f>IFERROR(__xludf.DUMMYFUNCTION("""COMPUTED_VALUE"""),"Model 3 SR+")</f>
        <v>Model 3 SR+</v>
      </c>
      <c r="O3123" t="str">
        <f>IFERROR(__xludf.DUMMYFUNCTION("""COMPUTED_VALUE"""),"Pearl White Multi-Coat")</f>
        <v>Pearl White Multi-Coat</v>
      </c>
      <c r="P3123" t="str">
        <f>IFERROR(__xludf.DUMMYFUNCTION("""COMPUTED_VALUE"""),"18 inch")</f>
        <v>18 inch</v>
      </c>
      <c r="Q3123" t="str">
        <f>IFERROR(__xludf.DUMMYFUNCTION("""COMPUTED_VALUE"""),"All Black")</f>
        <v>All Black</v>
      </c>
      <c r="R3123" t="str">
        <f>IFERROR(__xludf.DUMMYFUNCTION("""COMPUTED_VALUE"""),"Autopilot included")</f>
        <v>Autopilot included</v>
      </c>
      <c r="S3123" t="str">
        <f>IFERROR(__xludf.DUMMYFUNCTION("""COMPUTED_VALUE"""),"Cash")</f>
        <v>Cash</v>
      </c>
      <c r="T3123" t="str">
        <f>IFERROR(__xludf.DUMMYFUNCTION("""COMPUTED_VALUE"""),"BMW X1")</f>
        <v>BMW X1</v>
      </c>
      <c r="U3123" t="str">
        <f>IFERROR(__xludf.DUMMYFUNCTION("""COMPUTED_VALUE"""),"Electric!")</f>
        <v>Electric!</v>
      </c>
      <c r="V3123" t="str">
        <f>IFERROR(__xludf.DUMMYFUNCTION("""COMPUTED_VALUE"""),"Apple CarPlay / Android Auto / SiriusXM Radio")</f>
        <v>Apple CarPlay / Android Auto / SiriusXM Radio</v>
      </c>
      <c r="X3123" t="str">
        <f>IFERROR(__xludf.DUMMYFUNCTION("""COMPUTED_VALUE"""),"Very Good")</f>
        <v>Very Good</v>
      </c>
      <c r="Y3123" t="str">
        <f>IFERROR(__xludf.DUMMYFUNCTION("""COMPUTED_VALUE"""),"Excellent")</f>
        <v>Excellent</v>
      </c>
      <c r="Z3123" t="str">
        <f>IFERROR(__xludf.DUMMYFUNCTION("""COMPUTED_VALUE"""),"Excellent")</f>
        <v>Excellent</v>
      </c>
      <c r="AA3123" t="str">
        <f>IFERROR(__xludf.DUMMYFUNCTION("""COMPUTED_VALUE"""),"Good")</f>
        <v>Good</v>
      </c>
      <c r="AB3123" t="str">
        <f>IFERROR(__xludf.DUMMYFUNCTION("""COMPUTED_VALUE"""),"Very Good")</f>
        <v>Very Good</v>
      </c>
      <c r="AF3123" t="str">
        <f>IFERROR(__xludf.DUMMYFUNCTION("""COMPUTED_VALUE"""),"No. I took delivery of the first car Tesla was able to deliver.")</f>
        <v>No. I took delivery of the first car Tesla was able to deliver.</v>
      </c>
      <c r="AH3123" s="189">
        <f>IFERROR(__xludf.DUMMYFUNCTION("""COMPUTED_VALUE"""),44446.46170667824)</f>
        <v>44446.46171</v>
      </c>
    </row>
    <row r="3124">
      <c r="A3124" t="str">
        <f>IFERROR(__xludf.DUMMYFUNCTION("""COMPUTED_VALUE"""),"gdsoccer")</f>
        <v>gdsoccer</v>
      </c>
      <c r="B3124" t="str">
        <f>IFERROR(__xludf.DUMMYFUNCTION("""COMPUTED_VALUE"""),"Columbus")</f>
        <v>Columbus</v>
      </c>
      <c r="C3124" t="str">
        <f>IFERROR(__xludf.DUMMYFUNCTION("""COMPUTED_VALUE"""),"OH")</f>
        <v>OH</v>
      </c>
      <c r="D3124" t="str">
        <f>IFERROR(__xludf.DUMMYFUNCTION("""COMPUTED_VALUE"""),"USA")</f>
        <v>USA</v>
      </c>
      <c r="E3124" s="188">
        <f>IFERROR(__xludf.DUMMYFUNCTION("""COMPUTED_VALUE"""),44362.0)</f>
        <v>44362</v>
      </c>
      <c r="F3124" s="188">
        <f>IFERROR(__xludf.DUMMYFUNCTION("""COMPUTED_VALUE"""),44426.0)</f>
        <v>44426</v>
      </c>
      <c r="G3124" t="str">
        <f>IFERROR(__xludf.DUMMYFUNCTION("""COMPUTED_VALUE"""),"Manage order page (normal text)")</f>
        <v>Manage order page (normal text)</v>
      </c>
      <c r="J3124" s="188">
        <f>IFERROR(__xludf.DUMMYFUNCTION("""COMPUTED_VALUE"""),44440.0)</f>
        <v>44440</v>
      </c>
      <c r="K3124">
        <f>IFERROR(__xludf.DUMMYFUNCTION("""COMPUTED_VALUE"""),64.0)</f>
        <v>64</v>
      </c>
      <c r="L3124">
        <f>IFERROR(__xludf.DUMMYFUNCTION("""COMPUTED_VALUE"""),14.0)</f>
        <v>14</v>
      </c>
      <c r="M3124">
        <f>IFERROR(__xludf.DUMMYFUNCTION("""COMPUTED_VALUE"""),78.0)</f>
        <v>78</v>
      </c>
      <c r="N3124" t="str">
        <f>IFERROR(__xludf.DUMMYFUNCTION("""COMPUTED_VALUE"""),"Model 3 LR AWD")</f>
        <v>Model 3 LR AWD</v>
      </c>
      <c r="O3124" t="str">
        <f>IFERROR(__xludf.DUMMYFUNCTION("""COMPUTED_VALUE"""),"Deep Blue Metallic")</f>
        <v>Deep Blue Metallic</v>
      </c>
      <c r="P3124" t="str">
        <f>IFERROR(__xludf.DUMMYFUNCTION("""COMPUTED_VALUE"""),"18 inch")</f>
        <v>18 inch</v>
      </c>
      <c r="Q3124" t="str">
        <f>IFERROR(__xludf.DUMMYFUNCTION("""COMPUTED_VALUE"""),"All Black")</f>
        <v>All Black</v>
      </c>
      <c r="R3124" t="str">
        <f>IFERROR(__xludf.DUMMYFUNCTION("""COMPUTED_VALUE"""),"Autopilot included")</f>
        <v>Autopilot included</v>
      </c>
      <c r="S3124" t="str">
        <f>IFERROR(__xludf.DUMMYFUNCTION("""COMPUTED_VALUE"""),"Loan")</f>
        <v>Loan</v>
      </c>
      <c r="T3124" t="str">
        <f>IFERROR(__xludf.DUMMYFUNCTION("""COMPUTED_VALUE"""),"Honda Civic")</f>
        <v>Honda Civic</v>
      </c>
      <c r="U3124" t="str">
        <f>IFERROR(__xludf.DUMMYFUNCTION("""COMPUTED_VALUE"""),"Electric!")</f>
        <v>Electric!</v>
      </c>
      <c r="V3124" t="str">
        <f>IFERROR(__xludf.DUMMYFUNCTION("""COMPUTED_VALUE"""),"Apple CarPlay / Android Auto / SiriusXM Radio")</f>
        <v>Apple CarPlay / Android Auto / SiriusXM Radio</v>
      </c>
      <c r="AH3124" s="189">
        <f>IFERROR(__xludf.DUMMYFUNCTION("""COMPUTED_VALUE"""),44431.44453811343)</f>
        <v>44431.44454</v>
      </c>
    </row>
    <row r="3125">
      <c r="A3125" t="str">
        <f>IFERROR(__xludf.DUMMYFUNCTION("""COMPUTED_VALUE"""),"DodgersChamps")</f>
        <v>DodgersChamps</v>
      </c>
      <c r="B3125" t="str">
        <f>IFERROR(__xludf.DUMMYFUNCTION("""COMPUTED_VALUE"""),"Los Angeles")</f>
        <v>Los Angeles</v>
      </c>
      <c r="C3125" t="str">
        <f>IFERROR(__xludf.DUMMYFUNCTION("""COMPUTED_VALUE"""),"CA")</f>
        <v>CA</v>
      </c>
      <c r="D3125" t="str">
        <f>IFERROR(__xludf.DUMMYFUNCTION("""COMPUTED_VALUE"""),"USA")</f>
        <v>USA</v>
      </c>
      <c r="E3125" s="188">
        <f>IFERROR(__xludf.DUMMYFUNCTION("""COMPUTED_VALUE"""),44374.0)</f>
        <v>44374</v>
      </c>
      <c r="F3125" s="188">
        <f>IFERROR(__xludf.DUMMYFUNCTION("""COMPUTED_VALUE"""),44441.0)</f>
        <v>44441</v>
      </c>
      <c r="G3125" t="str">
        <f>IFERROR(__xludf.DUMMYFUNCTION("""COMPUTED_VALUE"""),"Manage order page (normal text)")</f>
        <v>Manage order page (normal text)</v>
      </c>
      <c r="H3125">
        <f>IFERROR(__xludf.DUMMYFUNCTION("""COMPUTED_VALUE"""),56655.0)</f>
        <v>56655</v>
      </c>
      <c r="I3125" t="str">
        <f>IFERROR(__xludf.DUMMYFUNCTION("""COMPUTED_VALUE"""),"09/21")</f>
        <v>09/21</v>
      </c>
      <c r="J3125" s="188">
        <f>IFERROR(__xludf.DUMMYFUNCTION("""COMPUTED_VALUE"""),44447.0)</f>
        <v>44447</v>
      </c>
      <c r="K3125">
        <f>IFERROR(__xludf.DUMMYFUNCTION("""COMPUTED_VALUE"""),67.0)</f>
        <v>67</v>
      </c>
      <c r="L3125">
        <f>IFERROR(__xludf.DUMMYFUNCTION("""COMPUTED_VALUE"""),6.0)</f>
        <v>6</v>
      </c>
      <c r="M3125">
        <f>IFERROR(__xludf.DUMMYFUNCTION("""COMPUTED_VALUE"""),73.0)</f>
        <v>73</v>
      </c>
      <c r="N3125" t="str">
        <f>IFERROR(__xludf.DUMMYFUNCTION("""COMPUTED_VALUE"""),"Model 3 LR AWD")</f>
        <v>Model 3 LR AWD</v>
      </c>
      <c r="O3125" t="str">
        <f>IFERROR(__xludf.DUMMYFUNCTION("""COMPUTED_VALUE"""),"Midnight Silver Metallic")</f>
        <v>Midnight Silver Metallic</v>
      </c>
      <c r="P3125" t="str">
        <f>IFERROR(__xludf.DUMMYFUNCTION("""COMPUTED_VALUE"""),"18 inch")</f>
        <v>18 inch</v>
      </c>
      <c r="Q3125" t="str">
        <f>IFERROR(__xludf.DUMMYFUNCTION("""COMPUTED_VALUE"""),"All Black")</f>
        <v>All Black</v>
      </c>
      <c r="R3125" t="str">
        <f>IFERROR(__xludf.DUMMYFUNCTION("""COMPUTED_VALUE"""),"Autopilot included")</f>
        <v>Autopilot included</v>
      </c>
      <c r="S3125" t="str">
        <f>IFERROR(__xludf.DUMMYFUNCTION("""COMPUTED_VALUE"""),"Loan")</f>
        <v>Loan</v>
      </c>
      <c r="T3125" t="str">
        <f>IFERROR(__xludf.DUMMYFUNCTION("""COMPUTED_VALUE"""),"Acura TL")</f>
        <v>Acura TL</v>
      </c>
      <c r="U3125" t="str">
        <f>IFERROR(__xludf.DUMMYFUNCTION("""COMPUTED_VALUE"""),"Electric!")</f>
        <v>Electric!</v>
      </c>
      <c r="V3125" t="str">
        <f>IFERROR(__xludf.DUMMYFUNCTION("""COMPUTED_VALUE"""),"Blind spot indicators on side mirrors")</f>
        <v>Blind spot indicators on side mirrors</v>
      </c>
      <c r="W3125" t="str">
        <f>IFERROR(__xludf.DUMMYFUNCTION("""COMPUTED_VALUE"""),"Don't apply for loan too early")</f>
        <v>Don't apply for loan too early</v>
      </c>
      <c r="X3125" t="str">
        <f>IFERROR(__xludf.DUMMYFUNCTION("""COMPUTED_VALUE"""),"Excellent")</f>
        <v>Excellent</v>
      </c>
      <c r="Y3125" t="str">
        <f>IFERROR(__xludf.DUMMYFUNCTION("""COMPUTED_VALUE"""),"Excellent")</f>
        <v>Excellent</v>
      </c>
      <c r="Z3125" t="str">
        <f>IFERROR(__xludf.DUMMYFUNCTION("""COMPUTED_VALUE"""),"Excellent")</f>
        <v>Excellent</v>
      </c>
      <c r="AA3125" t="str">
        <f>IFERROR(__xludf.DUMMYFUNCTION("""COMPUTED_VALUE"""),"Excellent")</f>
        <v>Excellent</v>
      </c>
      <c r="AB3125" t="str">
        <f>IFERROR(__xludf.DUMMYFUNCTION("""COMPUTED_VALUE"""),"Excellent")</f>
        <v>Excellent</v>
      </c>
      <c r="AC3125">
        <f>IFERROR(__xludf.DUMMYFUNCTION("""COMPUTED_VALUE"""),0.0)</f>
        <v>0</v>
      </c>
      <c r="AD3125">
        <f>IFERROR(__xludf.DUMMYFUNCTION("""COMPUTED_VALUE"""),0.0)</f>
        <v>0</v>
      </c>
      <c r="AE3125">
        <f>IFERROR(__xludf.DUMMYFUNCTION("""COMPUTED_VALUE"""),0.0)</f>
        <v>0</v>
      </c>
      <c r="AF3125" t="str">
        <f>IFERROR(__xludf.DUMMYFUNCTION("""COMPUTED_VALUE"""),"No. I took delivery of the first car Tesla was able to deliver.")</f>
        <v>No. I took delivery of the first car Tesla was able to deliver.</v>
      </c>
      <c r="AH3125" s="189">
        <f>IFERROR(__xludf.DUMMYFUNCTION("""COMPUTED_VALUE"""),44454.988788449074)</f>
        <v>44454.98879</v>
      </c>
    </row>
    <row r="3126">
      <c r="A3126" t="str">
        <f>IFERROR(__xludf.DUMMYFUNCTION("""COMPUTED_VALUE"""),"JotiTesla")</f>
        <v>JotiTesla</v>
      </c>
      <c r="B3126" t="str">
        <f>IFERROR(__xludf.DUMMYFUNCTION("""COMPUTED_VALUE"""),"Marin County")</f>
        <v>Marin County</v>
      </c>
      <c r="C3126" t="str">
        <f>IFERROR(__xludf.DUMMYFUNCTION("""COMPUTED_VALUE"""),"CA")</f>
        <v>CA</v>
      </c>
      <c r="D3126" t="str">
        <f>IFERROR(__xludf.DUMMYFUNCTION("""COMPUTED_VALUE"""),"USA")</f>
        <v>USA</v>
      </c>
      <c r="E3126" s="188">
        <f>IFERROR(__xludf.DUMMYFUNCTION("""COMPUTED_VALUE"""),44353.0)</f>
        <v>44353</v>
      </c>
      <c r="F3126" s="188">
        <f>IFERROR(__xludf.DUMMYFUNCTION("""COMPUTED_VALUE"""),44374.0)</f>
        <v>44374</v>
      </c>
      <c r="G3126" t="str">
        <f>IFERROR(__xludf.DUMMYFUNCTION("""COMPUTED_VALUE"""),"Manage order page (normal text)")</f>
        <v>Manage order page (normal text)</v>
      </c>
      <c r="H3126">
        <f>IFERROR(__xludf.DUMMYFUNCTION("""COMPUTED_VALUE"""),9242.0)</f>
        <v>9242</v>
      </c>
      <c r="J3126" s="188">
        <f>IFERROR(__xludf.DUMMYFUNCTION("""COMPUTED_VALUE"""),44386.0)</f>
        <v>44386</v>
      </c>
      <c r="K3126">
        <f>IFERROR(__xludf.DUMMYFUNCTION("""COMPUTED_VALUE"""),21.0)</f>
        <v>21</v>
      </c>
      <c r="L3126">
        <f>IFERROR(__xludf.DUMMYFUNCTION("""COMPUTED_VALUE"""),12.0)</f>
        <v>12</v>
      </c>
      <c r="M3126">
        <f>IFERROR(__xludf.DUMMYFUNCTION("""COMPUTED_VALUE"""),33.0)</f>
        <v>33</v>
      </c>
      <c r="N3126" t="str">
        <f>IFERROR(__xludf.DUMMYFUNCTION("""COMPUTED_VALUE"""),"Model 3 LR AWD")</f>
        <v>Model 3 LR AWD</v>
      </c>
      <c r="O3126" t="str">
        <f>IFERROR(__xludf.DUMMYFUNCTION("""COMPUTED_VALUE"""),"Red Multi-Coat")</f>
        <v>Red Multi-Coat</v>
      </c>
      <c r="P3126" t="str">
        <f>IFERROR(__xludf.DUMMYFUNCTION("""COMPUTED_VALUE"""),"18 inch")</f>
        <v>18 inch</v>
      </c>
      <c r="Q3126" t="str">
        <f>IFERROR(__xludf.DUMMYFUNCTION("""COMPUTED_VALUE"""),"All Black")</f>
        <v>All Black</v>
      </c>
      <c r="R3126" t="str">
        <f>IFERROR(__xludf.DUMMYFUNCTION("""COMPUTED_VALUE"""),"Autopilot included")</f>
        <v>Autopilot included</v>
      </c>
      <c r="S3126" t="str">
        <f>IFERROR(__xludf.DUMMYFUNCTION("""COMPUTED_VALUE"""),"Loan")</f>
        <v>Loan</v>
      </c>
      <c r="T3126" t="str">
        <f>IFERROR(__xludf.DUMMYFUNCTION("""COMPUTED_VALUE"""),"Toyota Prius")</f>
        <v>Toyota Prius</v>
      </c>
      <c r="U3126" t="str">
        <f>IFERROR(__xludf.DUMMYFUNCTION("""COMPUTED_VALUE"""),"Electric!")</f>
        <v>Electric!</v>
      </c>
      <c r="V3126" t="str">
        <f>IFERROR(__xludf.DUMMYFUNCTION("""COMPUTED_VALUE"""),"Apple CarPlay / Android Auto / SiriusXM Radio")</f>
        <v>Apple CarPlay / Android Auto / SiriusXM Radio</v>
      </c>
      <c r="AH3126" s="189">
        <f>IFERROR(__xludf.DUMMYFUNCTION("""COMPUTED_VALUE"""),44386.62445797454)</f>
        <v>44386.62446</v>
      </c>
    </row>
    <row r="3127">
      <c r="A3127" t="str">
        <f>IFERROR(__xludf.DUMMYFUNCTION("""COMPUTED_VALUE"""),"QtotheA0405")</f>
        <v>QtotheA0405</v>
      </c>
      <c r="B3127" t="str">
        <f>IFERROR(__xludf.DUMMYFUNCTION("""COMPUTED_VALUE"""),"Los Angeles")</f>
        <v>Los Angeles</v>
      </c>
      <c r="C3127" t="str">
        <f>IFERROR(__xludf.DUMMYFUNCTION("""COMPUTED_VALUE"""),"CA")</f>
        <v>CA</v>
      </c>
      <c r="D3127" t="str">
        <f>IFERROR(__xludf.DUMMYFUNCTION("""COMPUTED_VALUE"""),"USA")</f>
        <v>USA</v>
      </c>
      <c r="E3127" s="188">
        <f>IFERROR(__xludf.DUMMYFUNCTION("""COMPUTED_VALUE"""),44350.0)</f>
        <v>44350</v>
      </c>
      <c r="F3127" s="188">
        <f>IFERROR(__xludf.DUMMYFUNCTION("""COMPUTED_VALUE"""),44407.0)</f>
        <v>44407</v>
      </c>
      <c r="G3127" t="str">
        <f>IFERROR(__xludf.DUMMYFUNCTION("""COMPUTED_VALUE"""),"Text message")</f>
        <v>Text message</v>
      </c>
      <c r="H3127">
        <f>IFERROR(__xludf.DUMMYFUNCTION("""COMPUTED_VALUE"""),22655.0)</f>
        <v>22655</v>
      </c>
      <c r="J3127" s="188">
        <f>IFERROR(__xludf.DUMMYFUNCTION("""COMPUTED_VALUE"""),44409.0)</f>
        <v>44409</v>
      </c>
      <c r="K3127">
        <f>IFERROR(__xludf.DUMMYFUNCTION("""COMPUTED_VALUE"""),57.0)</f>
        <v>57</v>
      </c>
      <c r="L3127">
        <f>IFERROR(__xludf.DUMMYFUNCTION("""COMPUTED_VALUE"""),2.0)</f>
        <v>2</v>
      </c>
      <c r="M3127">
        <f>IFERROR(__xludf.DUMMYFUNCTION("""COMPUTED_VALUE"""),59.0)</f>
        <v>59</v>
      </c>
      <c r="N3127" t="str">
        <f>IFERROR(__xludf.DUMMYFUNCTION("""COMPUTED_VALUE"""),"Model 3 SR+")</f>
        <v>Model 3 SR+</v>
      </c>
      <c r="O3127" t="str">
        <f>IFERROR(__xludf.DUMMYFUNCTION("""COMPUTED_VALUE"""),"Pearl White Multi-Coat")</f>
        <v>Pearl White Multi-Coat</v>
      </c>
      <c r="P3127" t="str">
        <f>IFERROR(__xludf.DUMMYFUNCTION("""COMPUTED_VALUE"""),"18 inch")</f>
        <v>18 inch</v>
      </c>
      <c r="Q3127" t="str">
        <f>IFERROR(__xludf.DUMMYFUNCTION("""COMPUTED_VALUE"""),"All Black")</f>
        <v>All Black</v>
      </c>
      <c r="R3127" t="str">
        <f>IFERROR(__xludf.DUMMYFUNCTION("""COMPUTED_VALUE"""),"Autopilot included")</f>
        <v>Autopilot included</v>
      </c>
      <c r="S3127" t="str">
        <f>IFERROR(__xludf.DUMMYFUNCTION("""COMPUTED_VALUE"""),"Lease")</f>
        <v>Lease</v>
      </c>
      <c r="T3127" t="str">
        <f>IFERROR(__xludf.DUMMYFUNCTION("""COMPUTED_VALUE"""),"BMW X3")</f>
        <v>BMW X3</v>
      </c>
      <c r="AH3127" s="189">
        <f>IFERROR(__xludf.DUMMYFUNCTION("""COMPUTED_VALUE"""),44407.66638328704)</f>
        <v>44407.66638</v>
      </c>
    </row>
    <row r="3128">
      <c r="A3128" t="str">
        <f>IFERROR(__xludf.DUMMYFUNCTION("""COMPUTED_VALUE"""),"SonicBoom")</f>
        <v>SonicBoom</v>
      </c>
      <c r="B3128" t="str">
        <f>IFERROR(__xludf.DUMMYFUNCTION("""COMPUTED_VALUE"""),"Melbourne")</f>
        <v>Melbourne</v>
      </c>
      <c r="C3128" t="str">
        <f>IFERROR(__xludf.DUMMYFUNCTION("""COMPUTED_VALUE"""),"FL")</f>
        <v>FL</v>
      </c>
      <c r="D3128" t="str">
        <f>IFERROR(__xludf.DUMMYFUNCTION("""COMPUTED_VALUE"""),"USA")</f>
        <v>USA</v>
      </c>
      <c r="E3128" s="188">
        <f>IFERROR(__xludf.DUMMYFUNCTION("""COMPUTED_VALUE"""),44368.0)</f>
        <v>44368</v>
      </c>
      <c r="F3128" s="188">
        <f>IFERROR(__xludf.DUMMYFUNCTION("""COMPUTED_VALUE"""),44426.0)</f>
        <v>44426</v>
      </c>
      <c r="G3128" t="str">
        <f>IFERROR(__xludf.DUMMYFUNCTION("""COMPUTED_VALUE"""),"Manage order page (normal text)")</f>
        <v>Manage order page (normal text)</v>
      </c>
      <c r="H3128">
        <f>IFERROR(__xludf.DUMMYFUNCTION("""COMPUTED_VALUE"""),45255.0)</f>
        <v>45255</v>
      </c>
      <c r="J3128" s="188">
        <f>IFERROR(__xludf.DUMMYFUNCTION("""COMPUTED_VALUE"""),44442.0)</f>
        <v>44442</v>
      </c>
      <c r="K3128">
        <f>IFERROR(__xludf.DUMMYFUNCTION("""COMPUTED_VALUE"""),58.0)</f>
        <v>58</v>
      </c>
      <c r="L3128">
        <f>IFERROR(__xludf.DUMMYFUNCTION("""COMPUTED_VALUE"""),16.0)</f>
        <v>16</v>
      </c>
      <c r="M3128">
        <f>IFERROR(__xludf.DUMMYFUNCTION("""COMPUTED_VALUE"""),74.0)</f>
        <v>74</v>
      </c>
      <c r="N3128" t="str">
        <f>IFERROR(__xludf.DUMMYFUNCTION("""COMPUTED_VALUE"""),"Model 3 LR AWD")</f>
        <v>Model 3 LR AWD</v>
      </c>
      <c r="O3128" t="str">
        <f>IFERROR(__xludf.DUMMYFUNCTION("""COMPUTED_VALUE"""),"Deep Blue Metallic")</f>
        <v>Deep Blue Metallic</v>
      </c>
      <c r="P3128" t="str">
        <f>IFERROR(__xludf.DUMMYFUNCTION("""COMPUTED_VALUE"""),"18 inch")</f>
        <v>18 inch</v>
      </c>
      <c r="Q3128" t="str">
        <f>IFERROR(__xludf.DUMMYFUNCTION("""COMPUTED_VALUE"""),"All Black")</f>
        <v>All Black</v>
      </c>
      <c r="R3128" t="str">
        <f>IFERROR(__xludf.DUMMYFUNCTION("""COMPUTED_VALUE"""),"Autopilot included")</f>
        <v>Autopilot included</v>
      </c>
      <c r="S3128" t="str">
        <f>IFERROR(__xludf.DUMMYFUNCTION("""COMPUTED_VALUE"""),"Cash")</f>
        <v>Cash</v>
      </c>
      <c r="T3128" t="str">
        <f>IFERROR(__xludf.DUMMYFUNCTION("""COMPUTED_VALUE"""),"F150")</f>
        <v>F150</v>
      </c>
      <c r="U3128" t="str">
        <f>IFERROR(__xludf.DUMMYFUNCTION("""COMPUTED_VALUE"""),"Electric!")</f>
        <v>Electric!</v>
      </c>
      <c r="V3128" t="str">
        <f>IFERROR(__xludf.DUMMYFUNCTION("""COMPUTED_VALUE"""),"Ventilated seats")</f>
        <v>Ventilated seats</v>
      </c>
      <c r="W3128" t="str">
        <f>IFERROR(__xludf.DUMMYFUNCTION("""COMPUTED_VALUE"""),"forget about the waiting")</f>
        <v>forget about the waiting</v>
      </c>
      <c r="X3128" t="str">
        <f>IFERROR(__xludf.DUMMYFUNCTION("""COMPUTED_VALUE"""),"Very Good")</f>
        <v>Very Good</v>
      </c>
      <c r="Y3128" t="str">
        <f>IFERROR(__xludf.DUMMYFUNCTION("""COMPUTED_VALUE"""),"Excellent")</f>
        <v>Excellent</v>
      </c>
      <c r="Z3128" t="str">
        <f>IFERROR(__xludf.DUMMYFUNCTION("""COMPUTED_VALUE"""),"Excellent")</f>
        <v>Excellent</v>
      </c>
      <c r="AA3128" t="str">
        <f>IFERROR(__xludf.DUMMYFUNCTION("""COMPUTED_VALUE"""),"Excellent")</f>
        <v>Excellent</v>
      </c>
      <c r="AB3128" t="str">
        <f>IFERROR(__xludf.DUMMYFUNCTION("""COMPUTED_VALUE"""),"Excellent")</f>
        <v>Excellent</v>
      </c>
      <c r="AC3128">
        <f>IFERROR(__xludf.DUMMYFUNCTION("""COMPUTED_VALUE"""),1.0)</f>
        <v>1</v>
      </c>
      <c r="AD3128">
        <f>IFERROR(__xludf.DUMMYFUNCTION("""COMPUTED_VALUE"""),1.0)</f>
        <v>1</v>
      </c>
      <c r="AF3128" t="str">
        <f>IFERROR(__xludf.DUMMYFUNCTION("""COMPUTED_VALUE"""),"No. I took delivery of the first car Tesla was able to deliver.")</f>
        <v>No. I took delivery of the first car Tesla was able to deliver.</v>
      </c>
      <c r="AH3128" s="189">
        <f>IFERROR(__xludf.DUMMYFUNCTION("""COMPUTED_VALUE"""),44446.403055)</f>
        <v>44446.40306</v>
      </c>
    </row>
    <row r="3129">
      <c r="A3129" t="str">
        <f>IFERROR(__xludf.DUMMYFUNCTION("""COMPUTED_VALUE"""),"caSimon")</f>
        <v>caSimon</v>
      </c>
      <c r="B3129" t="str">
        <f>IFERROR(__xludf.DUMMYFUNCTION("""COMPUTED_VALUE"""),"Alameda")</f>
        <v>Alameda</v>
      </c>
      <c r="C3129" t="str">
        <f>IFERROR(__xludf.DUMMYFUNCTION("""COMPUTED_VALUE"""),"CA")</f>
        <v>CA</v>
      </c>
      <c r="D3129" t="str">
        <f>IFERROR(__xludf.DUMMYFUNCTION("""COMPUTED_VALUE"""),"USA")</f>
        <v>USA</v>
      </c>
      <c r="E3129" s="188">
        <f>IFERROR(__xludf.DUMMYFUNCTION("""COMPUTED_VALUE"""),44386.0)</f>
        <v>44386</v>
      </c>
      <c r="F3129" s="188">
        <f>IFERROR(__xludf.DUMMYFUNCTION("""COMPUTED_VALUE"""),44436.0)</f>
        <v>44436</v>
      </c>
      <c r="G3129" t="str">
        <f>IFERROR(__xludf.DUMMYFUNCTION("""COMPUTED_VALUE"""),"Manage order page (normal text)")</f>
        <v>Manage order page (normal text)</v>
      </c>
      <c r="H3129">
        <f>IFERROR(__xludf.DUMMYFUNCTION("""COMPUTED_VALUE"""),539955.0)</f>
        <v>539955</v>
      </c>
      <c r="I3129" t="str">
        <f>IFERROR(__xludf.DUMMYFUNCTION("""COMPUTED_VALUE"""),"08/21")</f>
        <v>08/21</v>
      </c>
      <c r="J3129" s="188">
        <f>IFERROR(__xludf.DUMMYFUNCTION("""COMPUTED_VALUE"""),44438.0)</f>
        <v>44438</v>
      </c>
      <c r="K3129">
        <f>IFERROR(__xludf.DUMMYFUNCTION("""COMPUTED_VALUE"""),50.0)</f>
        <v>50</v>
      </c>
      <c r="L3129">
        <f>IFERROR(__xludf.DUMMYFUNCTION("""COMPUTED_VALUE"""),2.0)</f>
        <v>2</v>
      </c>
      <c r="M3129">
        <f>IFERROR(__xludf.DUMMYFUNCTION("""COMPUTED_VALUE"""),52.0)</f>
        <v>52</v>
      </c>
      <c r="N3129" t="str">
        <f>IFERROR(__xludf.DUMMYFUNCTION("""COMPUTED_VALUE"""),"Model 3 LR AWD")</f>
        <v>Model 3 LR AWD</v>
      </c>
      <c r="O3129" t="str">
        <f>IFERROR(__xludf.DUMMYFUNCTION("""COMPUTED_VALUE"""),"Pearl White Multi-Coat")</f>
        <v>Pearl White Multi-Coat</v>
      </c>
      <c r="P3129" t="str">
        <f>IFERROR(__xludf.DUMMYFUNCTION("""COMPUTED_VALUE"""),"18 inch")</f>
        <v>18 inch</v>
      </c>
      <c r="Q3129" t="str">
        <f>IFERROR(__xludf.DUMMYFUNCTION("""COMPUTED_VALUE"""),"Black and White")</f>
        <v>Black and White</v>
      </c>
      <c r="R3129" t="str">
        <f>IFERROR(__xludf.DUMMYFUNCTION("""COMPUTED_VALUE"""),"Full Self-Driving")</f>
        <v>Full Self-Driving</v>
      </c>
      <c r="S3129" t="str">
        <f>IFERROR(__xludf.DUMMYFUNCTION("""COMPUTED_VALUE"""),"Loan")</f>
        <v>Loan</v>
      </c>
      <c r="T3129" t="str">
        <f>IFERROR(__xludf.DUMMYFUNCTION("""COMPUTED_VALUE"""),"Acura ILX")</f>
        <v>Acura ILX</v>
      </c>
      <c r="U3129" t="str">
        <f>IFERROR(__xludf.DUMMYFUNCTION("""COMPUTED_VALUE"""),"Electric!")</f>
        <v>Electric!</v>
      </c>
      <c r="V3129" t="str">
        <f>IFERROR(__xludf.DUMMYFUNCTION("""COMPUTED_VALUE"""),"Head-up display")</f>
        <v>Head-up display</v>
      </c>
      <c r="X3129" t="str">
        <f>IFERROR(__xludf.DUMMYFUNCTION("""COMPUTED_VALUE"""),"Fair")</f>
        <v>Fair</v>
      </c>
      <c r="Y3129" t="str">
        <f>IFERROR(__xludf.DUMMYFUNCTION("""COMPUTED_VALUE"""),"Very Good")</f>
        <v>Very Good</v>
      </c>
      <c r="Z3129" t="str">
        <f>IFERROR(__xludf.DUMMYFUNCTION("""COMPUTED_VALUE"""),"Very Good")</f>
        <v>Very Good</v>
      </c>
      <c r="AA3129" t="str">
        <f>IFERROR(__xludf.DUMMYFUNCTION("""COMPUTED_VALUE"""),"Excellent")</f>
        <v>Excellent</v>
      </c>
      <c r="AB3129" t="str">
        <f>IFERROR(__xludf.DUMMYFUNCTION("""COMPUTED_VALUE"""),"Excellent")</f>
        <v>Excellent</v>
      </c>
      <c r="AF3129" t="str">
        <f>IFERROR(__xludf.DUMMYFUNCTION("""COMPUTED_VALUE"""),"No. I took delivery of the first car Tesla was able to deliver.")</f>
        <v>No. I took delivery of the first car Tesla was able to deliver.</v>
      </c>
      <c r="AH3129" s="189">
        <f>IFERROR(__xludf.DUMMYFUNCTION("""COMPUTED_VALUE"""),44438.98134883102)</f>
        <v>44438.98135</v>
      </c>
    </row>
    <row r="3130">
      <c r="A3130" t="str">
        <f>IFERROR(__xludf.DUMMYFUNCTION("""COMPUTED_VALUE"""),"SUHR ALEX")</f>
        <v>SUHR ALEX</v>
      </c>
      <c r="B3130" t="str">
        <f>IFERROR(__xludf.DUMMYFUNCTION("""COMPUTED_VALUE"""),"LONDON")</f>
        <v>LONDON</v>
      </c>
      <c r="D3130" t="str">
        <f>IFERROR(__xludf.DUMMYFUNCTION("""COMPUTED_VALUE"""),"United Kingdom")</f>
        <v>United Kingdom</v>
      </c>
      <c r="E3130" s="188">
        <f>IFERROR(__xludf.DUMMYFUNCTION("""COMPUTED_VALUE"""),44384.0)</f>
        <v>44384</v>
      </c>
      <c r="F3130" s="188">
        <f>IFERROR(__xludf.DUMMYFUNCTION("""COMPUTED_VALUE"""),44407.0)</f>
        <v>44407</v>
      </c>
      <c r="G3130" t="str">
        <f>IFERROR(__xludf.DUMMYFUNCTION("""COMPUTED_VALUE"""),"TESLA ONLINE CHAT")</f>
        <v>TESLA ONLINE CHAT</v>
      </c>
      <c r="H3130">
        <f>IFERROR(__xludf.DUMMYFUNCTION("""COMPUTED_VALUE"""),311655.0)</f>
        <v>311655</v>
      </c>
      <c r="J3130" s="188">
        <f>IFERROR(__xludf.DUMMYFUNCTION("""COMPUTED_VALUE"""),44447.0)</f>
        <v>44447</v>
      </c>
      <c r="K3130">
        <f>IFERROR(__xludf.DUMMYFUNCTION("""COMPUTED_VALUE"""),23.0)</f>
        <v>23</v>
      </c>
      <c r="L3130">
        <f>IFERROR(__xludf.DUMMYFUNCTION("""COMPUTED_VALUE"""),40.0)</f>
        <v>40</v>
      </c>
      <c r="M3130">
        <f>IFERROR(__xludf.DUMMYFUNCTION("""COMPUTED_VALUE"""),63.0)</f>
        <v>63</v>
      </c>
      <c r="N3130" t="str">
        <f>IFERROR(__xludf.DUMMYFUNCTION("""COMPUTED_VALUE"""),"Model 3 LR AWD")</f>
        <v>Model 3 LR AWD</v>
      </c>
      <c r="O3130" t="str">
        <f>IFERROR(__xludf.DUMMYFUNCTION("""COMPUTED_VALUE"""),"Midnight Silver Metallic")</f>
        <v>Midnight Silver Metallic</v>
      </c>
      <c r="P3130" t="str">
        <f>IFERROR(__xludf.DUMMYFUNCTION("""COMPUTED_VALUE"""),"18 inch")</f>
        <v>18 inch</v>
      </c>
      <c r="Q3130" t="str">
        <f>IFERROR(__xludf.DUMMYFUNCTION("""COMPUTED_VALUE"""),"All Black")</f>
        <v>All Black</v>
      </c>
      <c r="S3130" t="str">
        <f>IFERROR(__xludf.DUMMYFUNCTION("""COMPUTED_VALUE"""),"Lease")</f>
        <v>Lease</v>
      </c>
      <c r="T3130" t="str">
        <f>IFERROR(__xludf.DUMMYFUNCTION("""COMPUTED_VALUE"""),"PEUGEOT 5008")</f>
        <v>PEUGEOT 5008</v>
      </c>
      <c r="U3130" t="str">
        <f>IFERROR(__xludf.DUMMYFUNCTION("""COMPUTED_VALUE"""),"Electric!")</f>
        <v>Electric!</v>
      </c>
      <c r="V3130" t="str">
        <f>IFERROR(__xludf.DUMMYFUNCTION("""COMPUTED_VALUE"""),"Apple CarPlay / Android Auto / SiriusXM Radio")</f>
        <v>Apple CarPlay / Android Auto / SiriusXM Radio</v>
      </c>
      <c r="AH3130" s="189">
        <f>IFERROR(__xludf.DUMMYFUNCTION("""COMPUTED_VALUE"""),44411.16256333333)</f>
        <v>44411.16256</v>
      </c>
    </row>
    <row r="3131">
      <c r="A3131" t="str">
        <f>IFERROR(__xludf.DUMMYFUNCTION("""COMPUTED_VALUE"""),"choppa")</f>
        <v>choppa</v>
      </c>
      <c r="B3131" t="str">
        <f>IFERROR(__xludf.DUMMYFUNCTION("""COMPUTED_VALUE"""),"San Antonio")</f>
        <v>San Antonio</v>
      </c>
      <c r="C3131" t="str">
        <f>IFERROR(__xludf.DUMMYFUNCTION("""COMPUTED_VALUE"""),"TX")</f>
        <v>TX</v>
      </c>
      <c r="D3131" t="str">
        <f>IFERROR(__xludf.DUMMYFUNCTION("""COMPUTED_VALUE"""),"USA")</f>
        <v>USA</v>
      </c>
      <c r="E3131" s="188">
        <f>IFERROR(__xludf.DUMMYFUNCTION("""COMPUTED_VALUE"""),44359.0)</f>
        <v>44359</v>
      </c>
      <c r="F3131" s="188">
        <f>IFERROR(__xludf.DUMMYFUNCTION("""COMPUTED_VALUE"""),44396.0)</f>
        <v>44396</v>
      </c>
      <c r="G3131" t="str">
        <f>IFERROR(__xludf.DUMMYFUNCTION("""COMPUTED_VALUE"""),"Manage order page (normal text)")</f>
        <v>Manage order page (normal text)</v>
      </c>
      <c r="J3131" s="188">
        <f>IFERROR(__xludf.DUMMYFUNCTION("""COMPUTED_VALUE"""),44410.0)</f>
        <v>44410</v>
      </c>
      <c r="K3131">
        <f>IFERROR(__xludf.DUMMYFUNCTION("""COMPUTED_VALUE"""),37.0)</f>
        <v>37</v>
      </c>
      <c r="L3131">
        <f>IFERROR(__xludf.DUMMYFUNCTION("""COMPUTED_VALUE"""),14.0)</f>
        <v>14</v>
      </c>
      <c r="M3131">
        <f>IFERROR(__xludf.DUMMYFUNCTION("""COMPUTED_VALUE"""),51.0)</f>
        <v>51</v>
      </c>
      <c r="N3131" t="str">
        <f>IFERROR(__xludf.DUMMYFUNCTION("""COMPUTED_VALUE"""),"Model 3 LR AWD")</f>
        <v>Model 3 LR AWD</v>
      </c>
      <c r="O3131" t="str">
        <f>IFERROR(__xludf.DUMMYFUNCTION("""COMPUTED_VALUE"""),"Pearl White Multi-Coat")</f>
        <v>Pearl White Multi-Coat</v>
      </c>
      <c r="P3131" t="str">
        <f>IFERROR(__xludf.DUMMYFUNCTION("""COMPUTED_VALUE"""),"18 inch")</f>
        <v>18 inch</v>
      </c>
      <c r="Q3131" t="str">
        <f>IFERROR(__xludf.DUMMYFUNCTION("""COMPUTED_VALUE"""),"Black and White")</f>
        <v>Black and White</v>
      </c>
      <c r="R3131" t="str">
        <f>IFERROR(__xludf.DUMMYFUNCTION("""COMPUTED_VALUE"""),"Autopilot included")</f>
        <v>Autopilot included</v>
      </c>
      <c r="S3131" t="str">
        <f>IFERROR(__xludf.DUMMYFUNCTION("""COMPUTED_VALUE"""),"Loan")</f>
        <v>Loan</v>
      </c>
      <c r="T3131" t="str">
        <f>IFERROR(__xludf.DUMMYFUNCTION("""COMPUTED_VALUE"""),"Mazda 6")</f>
        <v>Mazda 6</v>
      </c>
      <c r="U3131" t="str">
        <f>IFERROR(__xludf.DUMMYFUNCTION("""COMPUTED_VALUE"""),"Electric!")</f>
        <v>Electric!</v>
      </c>
      <c r="AH3131" s="189">
        <f>IFERROR(__xludf.DUMMYFUNCTION("""COMPUTED_VALUE"""),44408.791086956015)</f>
        <v>44408.79109</v>
      </c>
    </row>
    <row r="3132">
      <c r="A3132" t="str">
        <f>IFERROR(__xludf.DUMMYFUNCTION("""COMPUTED_VALUE"""),"jmasterfunk")</f>
        <v>jmasterfunk</v>
      </c>
      <c r="B3132" t="str">
        <f>IFERROR(__xludf.DUMMYFUNCTION("""COMPUTED_VALUE"""),"Saskatoon")</f>
        <v>Saskatoon</v>
      </c>
      <c r="C3132" t="str">
        <f>IFERROR(__xludf.DUMMYFUNCTION("""COMPUTED_VALUE"""),"SK")</f>
        <v>SK</v>
      </c>
      <c r="D3132" t="str">
        <f>IFERROR(__xludf.DUMMYFUNCTION("""COMPUTED_VALUE"""),"Canada")</f>
        <v>Canada</v>
      </c>
      <c r="E3132" s="188">
        <f>IFERROR(__xludf.DUMMYFUNCTION("""COMPUTED_VALUE"""),44386.0)</f>
        <v>44386</v>
      </c>
      <c r="F3132" s="188">
        <f>IFERROR(__xludf.DUMMYFUNCTION("""COMPUTED_VALUE"""),44419.0)</f>
        <v>44419</v>
      </c>
      <c r="G3132" t="str">
        <f>IFERROR(__xludf.DUMMYFUNCTION("""COMPUTED_VALUE"""),"Source code")</f>
        <v>Source code</v>
      </c>
      <c r="H3132">
        <f>IFERROR(__xludf.DUMMYFUNCTION("""COMPUTED_VALUE"""),13440.0)</f>
        <v>13440</v>
      </c>
      <c r="I3132" t="str">
        <f>IFERROR(__xludf.DUMMYFUNCTION("""COMPUTED_VALUE"""),"07/21")</f>
        <v>07/21</v>
      </c>
      <c r="J3132" s="188">
        <f>IFERROR(__xludf.DUMMYFUNCTION("""COMPUTED_VALUE"""),44466.0)</f>
        <v>44466</v>
      </c>
      <c r="K3132">
        <f>IFERROR(__xludf.DUMMYFUNCTION("""COMPUTED_VALUE"""),33.0)</f>
        <v>33</v>
      </c>
      <c r="L3132">
        <f>IFERROR(__xludf.DUMMYFUNCTION("""COMPUTED_VALUE"""),47.0)</f>
        <v>47</v>
      </c>
      <c r="M3132">
        <f>IFERROR(__xludf.DUMMYFUNCTION("""COMPUTED_VALUE"""),80.0)</f>
        <v>80</v>
      </c>
      <c r="N3132" t="str">
        <f>IFERROR(__xludf.DUMMYFUNCTION("""COMPUTED_VALUE"""),"Model 3 SR+")</f>
        <v>Model 3 SR+</v>
      </c>
      <c r="O3132" t="str">
        <f>IFERROR(__xludf.DUMMYFUNCTION("""COMPUTED_VALUE"""),"Solid Black")</f>
        <v>Solid Black</v>
      </c>
      <c r="P3132" t="str">
        <f>IFERROR(__xludf.DUMMYFUNCTION("""COMPUTED_VALUE"""),"18 inch")</f>
        <v>18 inch</v>
      </c>
      <c r="Q3132" t="str">
        <f>IFERROR(__xludf.DUMMYFUNCTION("""COMPUTED_VALUE"""),"All Black")</f>
        <v>All Black</v>
      </c>
      <c r="R3132" t="str">
        <f>IFERROR(__xludf.DUMMYFUNCTION("""COMPUTED_VALUE"""),"Autopilot included")</f>
        <v>Autopilot included</v>
      </c>
      <c r="S3132" t="str">
        <f>IFERROR(__xludf.DUMMYFUNCTION("""COMPUTED_VALUE"""),"Loan")</f>
        <v>Loan</v>
      </c>
      <c r="T3132" t="str">
        <f>IFERROR(__xludf.DUMMYFUNCTION("""COMPUTED_VALUE"""),"Nissan Leaf")</f>
        <v>Nissan Leaf</v>
      </c>
      <c r="U3132" t="str">
        <f>IFERROR(__xludf.DUMMYFUNCTION("""COMPUTED_VALUE"""),"Supercharger V3 support")</f>
        <v>Supercharger V3 support</v>
      </c>
      <c r="V3132" t="str">
        <f>IFERROR(__xludf.DUMMYFUNCTION("""COMPUTED_VALUE"""),"Apple CarPlay / Android Auto / SiriusXM Radio")</f>
        <v>Apple CarPlay / Android Auto / SiriusXM Radio</v>
      </c>
      <c r="X3132" t="str">
        <f>IFERROR(__xludf.DUMMYFUNCTION("""COMPUTED_VALUE"""),"Excellent")</f>
        <v>Excellent</v>
      </c>
      <c r="Y3132" t="str">
        <f>IFERROR(__xludf.DUMMYFUNCTION("""COMPUTED_VALUE"""),"Excellent")</f>
        <v>Excellent</v>
      </c>
      <c r="Z3132" t="str">
        <f>IFERROR(__xludf.DUMMYFUNCTION("""COMPUTED_VALUE"""),"Excellent")</f>
        <v>Excellent</v>
      </c>
      <c r="AA3132" t="str">
        <f>IFERROR(__xludf.DUMMYFUNCTION("""COMPUTED_VALUE"""),"Excellent")</f>
        <v>Excellent</v>
      </c>
      <c r="AB3132" t="str">
        <f>IFERROR(__xludf.DUMMYFUNCTION("""COMPUTED_VALUE"""),"Excellent")</f>
        <v>Excellent</v>
      </c>
      <c r="AF3132" t="str">
        <f>IFERROR(__xludf.DUMMYFUNCTION("""COMPUTED_VALUE"""),"No. I took delivery of the first car Tesla was able to deliver.")</f>
        <v>No. I took delivery of the first car Tesla was able to deliver.</v>
      </c>
      <c r="AG3132" t="str">
        <f>IFERROR(__xludf.DUMMYFUNCTION("""COMPUTED_VALUE"""),"SA called with vehicle available sooner, changed from MSM to Black.")</f>
        <v>SA called with vehicle available sooner, changed from MSM to Black.</v>
      </c>
      <c r="AH3132" s="189">
        <f>IFERROR(__xludf.DUMMYFUNCTION("""COMPUTED_VALUE"""),44435.73859325232)</f>
        <v>44435.73859</v>
      </c>
    </row>
    <row r="3133">
      <c r="A3133" t="str">
        <f>IFERROR(__xludf.DUMMYFUNCTION("""COMPUTED_VALUE"""),"AT88MPH")</f>
        <v>AT88MPH</v>
      </c>
      <c r="B3133" t="str">
        <f>IFERROR(__xludf.DUMMYFUNCTION("""COMPUTED_VALUE"""),"Derby")</f>
        <v>Derby</v>
      </c>
      <c r="C3133" t="str">
        <f>IFERROR(__xludf.DUMMYFUNCTION("""COMPUTED_VALUE"""),"KS")</f>
        <v>KS</v>
      </c>
      <c r="D3133" t="str">
        <f>IFERROR(__xludf.DUMMYFUNCTION("""COMPUTED_VALUE"""),"USA")</f>
        <v>USA</v>
      </c>
      <c r="E3133" s="188">
        <f>IFERROR(__xludf.DUMMYFUNCTION("""COMPUTED_VALUE"""),44341.0)</f>
        <v>44341</v>
      </c>
      <c r="F3133" s="188">
        <f>IFERROR(__xludf.DUMMYFUNCTION("""COMPUTED_VALUE"""),44388.0)</f>
        <v>44388</v>
      </c>
      <c r="G3133" t="str">
        <f>IFERROR(__xludf.DUMMYFUNCTION("""COMPUTED_VALUE"""),"Email")</f>
        <v>Email</v>
      </c>
      <c r="H3133">
        <f>IFERROR(__xludf.DUMMYFUNCTION("""COMPUTED_VALUE"""),13049.0)</f>
        <v>13049</v>
      </c>
      <c r="J3133" s="188">
        <f>IFERROR(__xludf.DUMMYFUNCTION("""COMPUTED_VALUE"""),44401.0)</f>
        <v>44401</v>
      </c>
      <c r="K3133">
        <f>IFERROR(__xludf.DUMMYFUNCTION("""COMPUTED_VALUE"""),47.0)</f>
        <v>47</v>
      </c>
      <c r="L3133">
        <f>IFERROR(__xludf.DUMMYFUNCTION("""COMPUTED_VALUE"""),13.0)</f>
        <v>13</v>
      </c>
      <c r="M3133">
        <f>IFERROR(__xludf.DUMMYFUNCTION("""COMPUTED_VALUE"""),60.0)</f>
        <v>60</v>
      </c>
      <c r="N3133" t="str">
        <f>IFERROR(__xludf.DUMMYFUNCTION("""COMPUTED_VALUE"""),"Model 3 LR AWD")</f>
        <v>Model 3 LR AWD</v>
      </c>
      <c r="O3133" t="str">
        <f>IFERROR(__xludf.DUMMYFUNCTION("""COMPUTED_VALUE"""),"Pearl White Multi-Coat")</f>
        <v>Pearl White Multi-Coat</v>
      </c>
      <c r="P3133" t="str">
        <f>IFERROR(__xludf.DUMMYFUNCTION("""COMPUTED_VALUE"""),"18 inch")</f>
        <v>18 inch</v>
      </c>
      <c r="Q3133" t="str">
        <f>IFERROR(__xludf.DUMMYFUNCTION("""COMPUTED_VALUE"""),"All Black")</f>
        <v>All Black</v>
      </c>
      <c r="R3133" t="str">
        <f>IFERROR(__xludf.DUMMYFUNCTION("""COMPUTED_VALUE"""),"Autopilot included")</f>
        <v>Autopilot included</v>
      </c>
      <c r="S3133" t="str">
        <f>IFERROR(__xludf.DUMMYFUNCTION("""COMPUTED_VALUE"""),"Cash")</f>
        <v>Cash</v>
      </c>
      <c r="T3133" t="str">
        <f>IFERROR(__xludf.DUMMYFUNCTION("""COMPUTED_VALUE"""),"Mini Cooper S")</f>
        <v>Mini Cooper S</v>
      </c>
      <c r="U3133" t="str">
        <f>IFERROR(__xludf.DUMMYFUNCTION("""COMPUTED_VALUE"""),"Electric!")</f>
        <v>Electric!</v>
      </c>
      <c r="V3133" t="str">
        <f>IFERROR(__xludf.DUMMYFUNCTION("""COMPUTED_VALUE"""),"Head-up display")</f>
        <v>Head-up display</v>
      </c>
      <c r="W3133" t="str">
        <f>IFERROR(__xludf.DUMMYFUNCTION("""COMPUTED_VALUE"""),"Add that squirrel!")</f>
        <v>Add that squirrel!</v>
      </c>
      <c r="AH3133" s="189">
        <f>IFERROR(__xludf.DUMMYFUNCTION("""COMPUTED_VALUE"""),44399.36657106482)</f>
        <v>44399.36657</v>
      </c>
    </row>
    <row r="3134">
      <c r="A3134" t="str">
        <f>IFERROR(__xludf.DUMMYFUNCTION("""COMPUTED_VALUE"""),"cheese")</f>
        <v>cheese</v>
      </c>
      <c r="B3134" t="str">
        <f>IFERROR(__xludf.DUMMYFUNCTION("""COMPUTED_VALUE"""),"Salt Lake City")</f>
        <v>Salt Lake City</v>
      </c>
      <c r="C3134" t="str">
        <f>IFERROR(__xludf.DUMMYFUNCTION("""COMPUTED_VALUE"""),"UT")</f>
        <v>UT</v>
      </c>
      <c r="D3134" t="str">
        <f>IFERROR(__xludf.DUMMYFUNCTION("""COMPUTED_VALUE"""),"USA")</f>
        <v>USA</v>
      </c>
      <c r="E3134" s="188">
        <f>IFERROR(__xludf.DUMMYFUNCTION("""COMPUTED_VALUE"""),44384.0)</f>
        <v>44384</v>
      </c>
      <c r="F3134" s="188">
        <f>IFERROR(__xludf.DUMMYFUNCTION("""COMPUTED_VALUE"""),44427.0)</f>
        <v>44427</v>
      </c>
      <c r="G3134" t="str">
        <f>IFERROR(__xludf.DUMMYFUNCTION("""COMPUTED_VALUE"""),"Manage order page (normal text)")</f>
        <v>Manage order page (normal text)</v>
      </c>
      <c r="K3134">
        <f>IFERROR(__xludf.DUMMYFUNCTION("""COMPUTED_VALUE"""),43.0)</f>
        <v>43</v>
      </c>
      <c r="N3134" t="str">
        <f>IFERROR(__xludf.DUMMYFUNCTION("""COMPUTED_VALUE"""),"Model 3 LR AWD")</f>
        <v>Model 3 LR AWD</v>
      </c>
      <c r="O3134" t="str">
        <f>IFERROR(__xludf.DUMMYFUNCTION("""COMPUTED_VALUE"""),"Pearl White Multi-Coat")</f>
        <v>Pearl White Multi-Coat</v>
      </c>
      <c r="P3134" t="str">
        <f>IFERROR(__xludf.DUMMYFUNCTION("""COMPUTED_VALUE"""),"18 inch")</f>
        <v>18 inch</v>
      </c>
      <c r="Q3134" t="str">
        <f>IFERROR(__xludf.DUMMYFUNCTION("""COMPUTED_VALUE"""),"Black and White")</f>
        <v>Black and White</v>
      </c>
      <c r="R3134" t="str">
        <f>IFERROR(__xludf.DUMMYFUNCTION("""COMPUTED_VALUE"""),"Autopilot included")</f>
        <v>Autopilot included</v>
      </c>
      <c r="S3134" t="str">
        <f>IFERROR(__xludf.DUMMYFUNCTION("""COMPUTED_VALUE"""),"Loan")</f>
        <v>Loan</v>
      </c>
      <c r="T3134" t="str">
        <f>IFERROR(__xludf.DUMMYFUNCTION("""COMPUTED_VALUE"""),"Nissan Leaf")</f>
        <v>Nissan Leaf</v>
      </c>
      <c r="U3134" t="str">
        <f>IFERROR(__xludf.DUMMYFUNCTION("""COMPUTED_VALUE"""),"Electric!")</f>
        <v>Electric!</v>
      </c>
      <c r="V3134" t="str">
        <f>IFERROR(__xludf.DUMMYFUNCTION("""COMPUTED_VALUE"""),"Apple CarPlay / Android Auto / SiriusXM Radio")</f>
        <v>Apple CarPlay / Android Auto / SiriusXM Radio</v>
      </c>
      <c r="AH3134" s="189">
        <f>IFERROR(__xludf.DUMMYFUNCTION("""COMPUTED_VALUE"""),44427.77318748843)</f>
        <v>44427.77319</v>
      </c>
    </row>
    <row r="3135">
      <c r="A3135" t="str">
        <f>IFERROR(__xludf.DUMMYFUNCTION("""COMPUTED_VALUE"""),"Endeavors")</f>
        <v>Endeavors</v>
      </c>
      <c r="B3135" t="str">
        <f>IFERROR(__xludf.DUMMYFUNCTION("""COMPUTED_VALUE"""),"Cleveland")</f>
        <v>Cleveland</v>
      </c>
      <c r="C3135" t="str">
        <f>IFERROR(__xludf.DUMMYFUNCTION("""COMPUTED_VALUE"""),"OH")</f>
        <v>OH</v>
      </c>
      <c r="D3135" t="str">
        <f>IFERROR(__xludf.DUMMYFUNCTION("""COMPUTED_VALUE"""),"USA")</f>
        <v>USA</v>
      </c>
      <c r="E3135" s="188">
        <f>IFERROR(__xludf.DUMMYFUNCTION("""COMPUTED_VALUE"""),44376.0)</f>
        <v>44376</v>
      </c>
      <c r="F3135" s="188">
        <f>IFERROR(__xludf.DUMMYFUNCTION("""COMPUTED_VALUE"""),44404.0)</f>
        <v>44404</v>
      </c>
      <c r="G3135" t="str">
        <f>IFERROR(__xludf.DUMMYFUNCTION("""COMPUTED_VALUE"""),"Email")</f>
        <v>Email</v>
      </c>
      <c r="H3135">
        <f>IFERROR(__xludf.DUMMYFUNCTION("""COMPUTED_VALUE"""),26525.0)</f>
        <v>26525</v>
      </c>
      <c r="J3135" s="188">
        <f>IFERROR(__xludf.DUMMYFUNCTION("""COMPUTED_VALUE"""),44415.0)</f>
        <v>44415</v>
      </c>
      <c r="K3135">
        <f>IFERROR(__xludf.DUMMYFUNCTION("""COMPUTED_VALUE"""),28.0)</f>
        <v>28</v>
      </c>
      <c r="L3135">
        <f>IFERROR(__xludf.DUMMYFUNCTION("""COMPUTED_VALUE"""),11.0)</f>
        <v>11</v>
      </c>
      <c r="M3135">
        <f>IFERROR(__xludf.DUMMYFUNCTION("""COMPUTED_VALUE"""),39.0)</f>
        <v>39</v>
      </c>
      <c r="N3135" t="str">
        <f>IFERROR(__xludf.DUMMYFUNCTION("""COMPUTED_VALUE"""),"Model 3 LR AWD")</f>
        <v>Model 3 LR AWD</v>
      </c>
      <c r="O3135" t="str">
        <f>IFERROR(__xludf.DUMMYFUNCTION("""COMPUTED_VALUE"""),"Pearl White Multi-Coat")</f>
        <v>Pearl White Multi-Coat</v>
      </c>
      <c r="P3135" t="str">
        <f>IFERROR(__xludf.DUMMYFUNCTION("""COMPUTED_VALUE"""),"18 inch")</f>
        <v>18 inch</v>
      </c>
      <c r="Q3135" t="str">
        <f>IFERROR(__xludf.DUMMYFUNCTION("""COMPUTED_VALUE"""),"Black and White")</f>
        <v>Black and White</v>
      </c>
      <c r="R3135" t="str">
        <f>IFERROR(__xludf.DUMMYFUNCTION("""COMPUTED_VALUE"""),"Autopilot included")</f>
        <v>Autopilot included</v>
      </c>
      <c r="S3135" t="str">
        <f>IFERROR(__xludf.DUMMYFUNCTION("""COMPUTED_VALUE"""),"Loan")</f>
        <v>Loan</v>
      </c>
      <c r="T3135" t="str">
        <f>IFERROR(__xludf.DUMMYFUNCTION("""COMPUTED_VALUE"""),"Ford Fusion")</f>
        <v>Ford Fusion</v>
      </c>
      <c r="U3135" t="str">
        <f>IFERROR(__xludf.DUMMYFUNCTION("""COMPUTED_VALUE"""),"Electric!")</f>
        <v>Electric!</v>
      </c>
      <c r="V3135" t="str">
        <f>IFERROR(__xludf.DUMMYFUNCTION("""COMPUTED_VALUE"""),"Ventilated seats")</f>
        <v>Ventilated seats</v>
      </c>
      <c r="AH3135" s="189">
        <f>IFERROR(__xludf.DUMMYFUNCTION("""COMPUTED_VALUE"""),44413.587134155096)</f>
        <v>44413.58713</v>
      </c>
    </row>
    <row r="3136">
      <c r="A3136" t="str">
        <f>IFERROR(__xludf.DUMMYFUNCTION("""COMPUTED_VALUE"""),"Krow")</f>
        <v>Krow</v>
      </c>
      <c r="B3136" t="str">
        <f>IFERROR(__xludf.DUMMYFUNCTION("""COMPUTED_VALUE"""),"Miami")</f>
        <v>Miami</v>
      </c>
      <c r="C3136" t="str">
        <f>IFERROR(__xludf.DUMMYFUNCTION("""COMPUTED_VALUE"""),"FL")</f>
        <v>FL</v>
      </c>
      <c r="D3136" t="str">
        <f>IFERROR(__xludf.DUMMYFUNCTION("""COMPUTED_VALUE"""),"USA")</f>
        <v>USA</v>
      </c>
      <c r="E3136" s="188">
        <f>IFERROR(__xludf.DUMMYFUNCTION("""COMPUTED_VALUE"""),44352.0)</f>
        <v>44352</v>
      </c>
      <c r="F3136" s="188">
        <f>IFERROR(__xludf.DUMMYFUNCTION("""COMPUTED_VALUE"""),44421.0)</f>
        <v>44421</v>
      </c>
      <c r="G3136" t="str">
        <f>IFERROR(__xludf.DUMMYFUNCTION("""COMPUTED_VALUE"""),"Email")</f>
        <v>Email</v>
      </c>
      <c r="I3136" t="str">
        <f>IFERROR(__xludf.DUMMYFUNCTION("""COMPUTED_VALUE"""),"08/21")</f>
        <v>08/21</v>
      </c>
      <c r="J3136" s="188">
        <f>IFERROR(__xludf.DUMMYFUNCTION("""COMPUTED_VALUE"""),44440.0)</f>
        <v>44440</v>
      </c>
      <c r="K3136">
        <f>IFERROR(__xludf.DUMMYFUNCTION("""COMPUTED_VALUE"""),69.0)</f>
        <v>69</v>
      </c>
      <c r="L3136">
        <f>IFERROR(__xludf.DUMMYFUNCTION("""COMPUTED_VALUE"""),19.0)</f>
        <v>19</v>
      </c>
      <c r="M3136">
        <f>IFERROR(__xludf.DUMMYFUNCTION("""COMPUTED_VALUE"""),88.0)</f>
        <v>88</v>
      </c>
      <c r="N3136" t="str">
        <f>IFERROR(__xludf.DUMMYFUNCTION("""COMPUTED_VALUE"""),"Model 3 LR AWD")</f>
        <v>Model 3 LR AWD</v>
      </c>
      <c r="O3136" t="str">
        <f>IFERROR(__xludf.DUMMYFUNCTION("""COMPUTED_VALUE"""),"Pearl White Multi-Coat")</f>
        <v>Pearl White Multi-Coat</v>
      </c>
      <c r="P3136" t="str">
        <f>IFERROR(__xludf.DUMMYFUNCTION("""COMPUTED_VALUE"""),"18 inch")</f>
        <v>18 inch</v>
      </c>
      <c r="Q3136" t="str">
        <f>IFERROR(__xludf.DUMMYFUNCTION("""COMPUTED_VALUE"""),"Black and White")</f>
        <v>Black and White</v>
      </c>
      <c r="R3136" t="str">
        <f>IFERROR(__xludf.DUMMYFUNCTION("""COMPUTED_VALUE"""),"Autopilot included")</f>
        <v>Autopilot included</v>
      </c>
      <c r="S3136" t="str">
        <f>IFERROR(__xludf.DUMMYFUNCTION("""COMPUTED_VALUE"""),"Cash")</f>
        <v>Cash</v>
      </c>
      <c r="T3136" t="str">
        <f>IFERROR(__xludf.DUMMYFUNCTION("""COMPUTED_VALUE"""),"BMW 3 Series")</f>
        <v>BMW 3 Series</v>
      </c>
      <c r="U3136" t="str">
        <f>IFERROR(__xludf.DUMMYFUNCTION("""COMPUTED_VALUE"""),"Minimalistic")</f>
        <v>Minimalistic</v>
      </c>
      <c r="V3136" t="str">
        <f>IFERROR(__xludf.DUMMYFUNCTION("""COMPUTED_VALUE"""),"360° Bird's eye view")</f>
        <v>360° Bird's eye view</v>
      </c>
      <c r="X3136" t="str">
        <f>IFERROR(__xludf.DUMMYFUNCTION("""COMPUTED_VALUE"""),"Excellent")</f>
        <v>Excellent</v>
      </c>
      <c r="Y3136" t="str">
        <f>IFERROR(__xludf.DUMMYFUNCTION("""COMPUTED_VALUE"""),"Very Good")</f>
        <v>Very Good</v>
      </c>
      <c r="Z3136" t="str">
        <f>IFERROR(__xludf.DUMMYFUNCTION("""COMPUTED_VALUE"""),"Excellent")</f>
        <v>Excellent</v>
      </c>
      <c r="AA3136" t="str">
        <f>IFERROR(__xludf.DUMMYFUNCTION("""COMPUTED_VALUE"""),"Good")</f>
        <v>Good</v>
      </c>
      <c r="AB3136" t="str">
        <f>IFERROR(__xludf.DUMMYFUNCTION("""COMPUTED_VALUE"""),"Excellent")</f>
        <v>Excellent</v>
      </c>
      <c r="AF3136" t="str">
        <f>IFERROR(__xludf.DUMMYFUNCTION("""COMPUTED_VALUE"""),"No. I took delivery of the first car Tesla was able to deliver.")</f>
        <v>No. I took delivery of the first car Tesla was able to deliver.</v>
      </c>
      <c r="AH3136" s="189">
        <f>IFERROR(__xludf.DUMMYFUNCTION("""COMPUTED_VALUE"""),44443.273428298606)</f>
        <v>44443.27343</v>
      </c>
    </row>
    <row r="3137">
      <c r="A3137" t="str">
        <f>IFERROR(__xludf.DUMMYFUNCTION("""COMPUTED_VALUE"""),"mnuslush")</f>
        <v>mnuslush</v>
      </c>
      <c r="B3137" t="str">
        <f>IFERROR(__xludf.DUMMYFUNCTION("""COMPUTED_VALUE"""),"Hyattsville")</f>
        <v>Hyattsville</v>
      </c>
      <c r="C3137" t="str">
        <f>IFERROR(__xludf.DUMMYFUNCTION("""COMPUTED_VALUE"""),"MD")</f>
        <v>MD</v>
      </c>
      <c r="D3137" t="str">
        <f>IFERROR(__xludf.DUMMYFUNCTION("""COMPUTED_VALUE"""),"USA")</f>
        <v>USA</v>
      </c>
      <c r="E3137" s="188">
        <f>IFERROR(__xludf.DUMMYFUNCTION("""COMPUTED_VALUE"""),44355.0)</f>
        <v>44355</v>
      </c>
      <c r="F3137" s="188">
        <f>IFERROR(__xludf.DUMMYFUNCTION("""COMPUTED_VALUE"""),44391.0)</f>
        <v>44391</v>
      </c>
      <c r="G3137" t="str">
        <f>IFERROR(__xludf.DUMMYFUNCTION("""COMPUTED_VALUE"""),"Text message")</f>
        <v>Text message</v>
      </c>
      <c r="J3137" s="188">
        <f>IFERROR(__xludf.DUMMYFUNCTION("""COMPUTED_VALUE"""),44399.0)</f>
        <v>44399</v>
      </c>
      <c r="K3137">
        <f>IFERROR(__xludf.DUMMYFUNCTION("""COMPUTED_VALUE"""),36.0)</f>
        <v>36</v>
      </c>
      <c r="L3137">
        <f>IFERROR(__xludf.DUMMYFUNCTION("""COMPUTED_VALUE"""),8.0)</f>
        <v>8</v>
      </c>
      <c r="M3137">
        <f>IFERROR(__xludf.DUMMYFUNCTION("""COMPUTED_VALUE"""),44.0)</f>
        <v>44</v>
      </c>
      <c r="N3137" t="str">
        <f>IFERROR(__xludf.DUMMYFUNCTION("""COMPUTED_VALUE"""),"Model 3 LR AWD")</f>
        <v>Model 3 LR AWD</v>
      </c>
      <c r="O3137" t="str">
        <f>IFERROR(__xludf.DUMMYFUNCTION("""COMPUTED_VALUE"""),"Deep Blue Metallic")</f>
        <v>Deep Blue Metallic</v>
      </c>
      <c r="P3137" t="str">
        <f>IFERROR(__xludf.DUMMYFUNCTION("""COMPUTED_VALUE"""),"18 inch")</f>
        <v>18 inch</v>
      </c>
      <c r="Q3137" t="str">
        <f>IFERROR(__xludf.DUMMYFUNCTION("""COMPUTED_VALUE"""),"All Black")</f>
        <v>All Black</v>
      </c>
      <c r="R3137" t="str">
        <f>IFERROR(__xludf.DUMMYFUNCTION("""COMPUTED_VALUE"""),"Autopilot included")</f>
        <v>Autopilot included</v>
      </c>
      <c r="S3137" t="str">
        <f>IFERROR(__xludf.DUMMYFUNCTION("""COMPUTED_VALUE"""),"Loan")</f>
        <v>Loan</v>
      </c>
      <c r="T3137" t="str">
        <f>IFERROR(__xludf.DUMMYFUNCTION("""COMPUTED_VALUE"""),"2015 Audi A3")</f>
        <v>2015 Audi A3</v>
      </c>
      <c r="U3137" t="str">
        <f>IFERROR(__xludf.DUMMYFUNCTION("""COMPUTED_VALUE"""),"Electric!")</f>
        <v>Electric!</v>
      </c>
      <c r="V3137" t="str">
        <f>IFERROR(__xludf.DUMMYFUNCTION("""COMPUTED_VALUE"""),"Head-up display")</f>
        <v>Head-up display</v>
      </c>
      <c r="AH3137" s="189">
        <f>IFERROR(__xludf.DUMMYFUNCTION("""COMPUTED_VALUE"""),44391.642176180554)</f>
        <v>44391.64218</v>
      </c>
    </row>
    <row r="3138">
      <c r="A3138" t="str">
        <f>IFERROR(__xludf.DUMMYFUNCTION("""COMPUTED_VALUE"""),"kon297")</f>
        <v>kon297</v>
      </c>
      <c r="B3138" t="str">
        <f>IFERROR(__xludf.DUMMYFUNCTION("""COMPUTED_VALUE"""),"Philadelphia")</f>
        <v>Philadelphia</v>
      </c>
      <c r="C3138" t="str">
        <f>IFERROR(__xludf.DUMMYFUNCTION("""COMPUTED_VALUE"""),"PA")</f>
        <v>PA</v>
      </c>
      <c r="D3138" t="str">
        <f>IFERROR(__xludf.DUMMYFUNCTION("""COMPUTED_VALUE"""),"USA")</f>
        <v>USA</v>
      </c>
      <c r="E3138" s="188">
        <f>IFERROR(__xludf.DUMMYFUNCTION("""COMPUTED_VALUE"""),44376.0)</f>
        <v>44376</v>
      </c>
      <c r="F3138" s="188">
        <f>IFERROR(__xludf.DUMMYFUNCTION("""COMPUTED_VALUE"""),44419.0)</f>
        <v>44419</v>
      </c>
      <c r="G3138" t="str">
        <f>IFERROR(__xludf.DUMMYFUNCTION("""COMPUTED_VALUE"""),"Manage order page (normal text)")</f>
        <v>Manage order page (normal text)</v>
      </c>
      <c r="H3138">
        <f>IFERROR(__xludf.DUMMYFUNCTION("""COMPUTED_VALUE"""),33272.0)</f>
        <v>33272</v>
      </c>
      <c r="J3138" s="188">
        <f>IFERROR(__xludf.DUMMYFUNCTION("""COMPUTED_VALUE"""),44433.0)</f>
        <v>44433</v>
      </c>
      <c r="K3138">
        <f>IFERROR(__xludf.DUMMYFUNCTION("""COMPUTED_VALUE"""),43.0)</f>
        <v>43</v>
      </c>
      <c r="L3138">
        <f>IFERROR(__xludf.DUMMYFUNCTION("""COMPUTED_VALUE"""),14.0)</f>
        <v>14</v>
      </c>
      <c r="M3138">
        <f>IFERROR(__xludf.DUMMYFUNCTION("""COMPUTED_VALUE"""),57.0)</f>
        <v>57</v>
      </c>
      <c r="N3138" t="str">
        <f>IFERROR(__xludf.DUMMYFUNCTION("""COMPUTED_VALUE"""),"Model 3 LR AWD")</f>
        <v>Model 3 LR AWD</v>
      </c>
      <c r="O3138" t="str">
        <f>IFERROR(__xludf.DUMMYFUNCTION("""COMPUTED_VALUE"""),"Midnight Silver Metallic")</f>
        <v>Midnight Silver Metallic</v>
      </c>
      <c r="P3138" t="str">
        <f>IFERROR(__xludf.DUMMYFUNCTION("""COMPUTED_VALUE"""),"18 inch")</f>
        <v>18 inch</v>
      </c>
      <c r="Q3138" t="str">
        <f>IFERROR(__xludf.DUMMYFUNCTION("""COMPUTED_VALUE"""),"All Black")</f>
        <v>All Black</v>
      </c>
      <c r="R3138" t="str">
        <f>IFERROR(__xludf.DUMMYFUNCTION("""COMPUTED_VALUE"""),"Autopilot included")</f>
        <v>Autopilot included</v>
      </c>
      <c r="S3138" t="str">
        <f>IFERROR(__xludf.DUMMYFUNCTION("""COMPUTED_VALUE"""),"Loan")</f>
        <v>Loan</v>
      </c>
      <c r="T3138" t="str">
        <f>IFERROR(__xludf.DUMMYFUNCTION("""COMPUTED_VALUE"""),"Lexus IS350")</f>
        <v>Lexus IS350</v>
      </c>
      <c r="U3138" t="str">
        <f>IFERROR(__xludf.DUMMYFUNCTION("""COMPUTED_VALUE"""),"Electric!")</f>
        <v>Electric!</v>
      </c>
      <c r="V3138" t="str">
        <f>IFERROR(__xludf.DUMMYFUNCTION("""COMPUTED_VALUE"""),"Head-up display")</f>
        <v>Head-up display</v>
      </c>
      <c r="AH3138" s="189">
        <f>IFERROR(__xludf.DUMMYFUNCTION("""COMPUTED_VALUE"""),44424.447392002316)</f>
        <v>44424.44739</v>
      </c>
    </row>
    <row r="3139">
      <c r="A3139" t="str">
        <f>IFERROR(__xludf.DUMMYFUNCTION("""COMPUTED_VALUE"""),"Kroll ")</f>
        <v>Kroll </v>
      </c>
      <c r="B3139" t="str">
        <f>IFERROR(__xludf.DUMMYFUNCTION("""COMPUTED_VALUE"""),"Atlantic City ")</f>
        <v>Atlantic City </v>
      </c>
      <c r="C3139" t="str">
        <f>IFERROR(__xludf.DUMMYFUNCTION("""COMPUTED_VALUE"""),"NJ")</f>
        <v>NJ</v>
      </c>
      <c r="D3139" t="str">
        <f>IFERROR(__xludf.DUMMYFUNCTION("""COMPUTED_VALUE"""),"USA")</f>
        <v>USA</v>
      </c>
      <c r="E3139" s="188">
        <f>IFERROR(__xludf.DUMMYFUNCTION("""COMPUTED_VALUE"""),44385.0)</f>
        <v>44385</v>
      </c>
      <c r="F3139" s="188">
        <f>IFERROR(__xludf.DUMMYFUNCTION("""COMPUTED_VALUE"""),44389.0)</f>
        <v>44389</v>
      </c>
      <c r="G3139" t="str">
        <f>IFERROR(__xludf.DUMMYFUNCTION("""COMPUTED_VALUE"""),"Manage order page (normal text)")</f>
        <v>Manage order page (normal text)</v>
      </c>
      <c r="H3139">
        <f>IFERROR(__xludf.DUMMYFUNCTION("""COMPUTED_VALUE"""),12955.0)</f>
        <v>12955</v>
      </c>
      <c r="J3139" s="188">
        <f>IFERROR(__xludf.DUMMYFUNCTION("""COMPUTED_VALUE"""),44401.0)</f>
        <v>44401</v>
      </c>
      <c r="K3139">
        <f>IFERROR(__xludf.DUMMYFUNCTION("""COMPUTED_VALUE"""),4.0)</f>
        <v>4</v>
      </c>
      <c r="L3139">
        <f>IFERROR(__xludf.DUMMYFUNCTION("""COMPUTED_VALUE"""),12.0)</f>
        <v>12</v>
      </c>
      <c r="M3139">
        <f>IFERROR(__xludf.DUMMYFUNCTION("""COMPUTED_VALUE"""),16.0)</f>
        <v>16</v>
      </c>
      <c r="N3139" t="str">
        <f>IFERROR(__xludf.DUMMYFUNCTION("""COMPUTED_VALUE"""),"Model 3 LR AWD")</f>
        <v>Model 3 LR AWD</v>
      </c>
      <c r="O3139" t="str">
        <f>IFERROR(__xludf.DUMMYFUNCTION("""COMPUTED_VALUE"""),"Pearl White Multi-Coat")</f>
        <v>Pearl White Multi-Coat</v>
      </c>
      <c r="P3139" t="str">
        <f>IFERROR(__xludf.DUMMYFUNCTION("""COMPUTED_VALUE"""),"18 inch")</f>
        <v>18 inch</v>
      </c>
      <c r="Q3139" t="str">
        <f>IFERROR(__xludf.DUMMYFUNCTION("""COMPUTED_VALUE"""),"All Black")</f>
        <v>All Black</v>
      </c>
      <c r="R3139" t="str">
        <f>IFERROR(__xludf.DUMMYFUNCTION("""COMPUTED_VALUE"""),"Autopilot included")</f>
        <v>Autopilot included</v>
      </c>
      <c r="S3139" t="str">
        <f>IFERROR(__xludf.DUMMYFUNCTION("""COMPUTED_VALUE"""),"Loan")</f>
        <v>Loan</v>
      </c>
      <c r="T3139" t="str">
        <f>IFERROR(__xludf.DUMMYFUNCTION("""COMPUTED_VALUE"""),"Subaru wrx ")</f>
        <v>Subaru wrx </v>
      </c>
      <c r="AH3139" s="189">
        <f>IFERROR(__xludf.DUMMYFUNCTION("""COMPUTED_VALUE"""),44400.41372064815)</f>
        <v>44400.41372</v>
      </c>
    </row>
    <row r="3140">
      <c r="A3140" t="str">
        <f>IFERROR(__xludf.DUMMYFUNCTION("""COMPUTED_VALUE"""),"normana10")</f>
        <v>normana10</v>
      </c>
      <c r="B3140" t="str">
        <f>IFERROR(__xludf.DUMMYFUNCTION("""COMPUTED_VALUE"""),"College Park")</f>
        <v>College Park</v>
      </c>
      <c r="C3140" t="str">
        <f>IFERROR(__xludf.DUMMYFUNCTION("""COMPUTED_VALUE"""),"MD")</f>
        <v>MD</v>
      </c>
      <c r="D3140" t="str">
        <f>IFERROR(__xludf.DUMMYFUNCTION("""COMPUTED_VALUE"""),"USA")</f>
        <v>USA</v>
      </c>
      <c r="E3140" s="188">
        <f>IFERROR(__xludf.DUMMYFUNCTION("""COMPUTED_VALUE"""),44384.0)</f>
        <v>44384</v>
      </c>
      <c r="F3140" s="188">
        <f>IFERROR(__xludf.DUMMYFUNCTION("""COMPUTED_VALUE"""),44413.0)</f>
        <v>44413</v>
      </c>
      <c r="G3140" t="str">
        <f>IFERROR(__xludf.DUMMYFUNCTION("""COMPUTED_VALUE"""),"Manage order page (normal text)")</f>
        <v>Manage order page (normal text)</v>
      </c>
      <c r="H3140">
        <f>IFERROR(__xludf.DUMMYFUNCTION("""COMPUTED_VALUE"""),30455.0)</f>
        <v>30455</v>
      </c>
      <c r="J3140" s="188">
        <f>IFERROR(__xludf.DUMMYFUNCTION("""COMPUTED_VALUE"""),44426.0)</f>
        <v>44426</v>
      </c>
      <c r="K3140">
        <f>IFERROR(__xludf.DUMMYFUNCTION("""COMPUTED_VALUE"""),29.0)</f>
        <v>29</v>
      </c>
      <c r="L3140">
        <f>IFERROR(__xludf.DUMMYFUNCTION("""COMPUTED_VALUE"""),13.0)</f>
        <v>13</v>
      </c>
      <c r="M3140">
        <f>IFERROR(__xludf.DUMMYFUNCTION("""COMPUTED_VALUE"""),42.0)</f>
        <v>42</v>
      </c>
      <c r="N3140" t="str">
        <f>IFERROR(__xludf.DUMMYFUNCTION("""COMPUTED_VALUE"""),"Model 3 SR+")</f>
        <v>Model 3 SR+</v>
      </c>
      <c r="O3140" t="str">
        <f>IFERROR(__xludf.DUMMYFUNCTION("""COMPUTED_VALUE"""),"Pearl White Multi-Coat")</f>
        <v>Pearl White Multi-Coat</v>
      </c>
      <c r="P3140" t="str">
        <f>IFERROR(__xludf.DUMMYFUNCTION("""COMPUTED_VALUE"""),"18 inch")</f>
        <v>18 inch</v>
      </c>
      <c r="Q3140" t="str">
        <f>IFERROR(__xludf.DUMMYFUNCTION("""COMPUTED_VALUE"""),"All Black")</f>
        <v>All Black</v>
      </c>
      <c r="R3140" t="str">
        <f>IFERROR(__xludf.DUMMYFUNCTION("""COMPUTED_VALUE"""),"Autopilot included")</f>
        <v>Autopilot included</v>
      </c>
      <c r="S3140" t="str">
        <f>IFERROR(__xludf.DUMMYFUNCTION("""COMPUTED_VALUE"""),"Loan")</f>
        <v>Loan</v>
      </c>
      <c r="T3140" t="str">
        <f>IFERROR(__xludf.DUMMYFUNCTION("""COMPUTED_VALUE"""),"Ford Mustang")</f>
        <v>Ford Mustang</v>
      </c>
      <c r="U3140" t="str">
        <f>IFERROR(__xludf.DUMMYFUNCTION("""COMPUTED_VALUE"""),"Electric!")</f>
        <v>Electric!</v>
      </c>
      <c r="V3140" t="str">
        <f>IFERROR(__xludf.DUMMYFUNCTION("""COMPUTED_VALUE"""),"360° Bird's eye view")</f>
        <v>360° Bird's eye view</v>
      </c>
      <c r="AH3140" s="189">
        <f>IFERROR(__xludf.DUMMYFUNCTION("""COMPUTED_VALUE"""),44419.721601990736)</f>
        <v>44419.7216</v>
      </c>
    </row>
    <row r="3141">
      <c r="A3141" t="str">
        <f>IFERROR(__xludf.DUMMYFUNCTION("""COMPUTED_VALUE"""),"M3 Performante")</f>
        <v>M3 Performante</v>
      </c>
      <c r="B3141" t="str">
        <f>IFERROR(__xludf.DUMMYFUNCTION("""COMPUTED_VALUE"""),"Houston")</f>
        <v>Houston</v>
      </c>
      <c r="C3141" t="str">
        <f>IFERROR(__xludf.DUMMYFUNCTION("""COMPUTED_VALUE"""),"TX")</f>
        <v>TX</v>
      </c>
      <c r="D3141" t="str">
        <f>IFERROR(__xludf.DUMMYFUNCTION("""COMPUTED_VALUE"""),"USA")</f>
        <v>USA</v>
      </c>
      <c r="E3141" s="188">
        <f>IFERROR(__xludf.DUMMYFUNCTION("""COMPUTED_VALUE"""),44389.0)</f>
        <v>44389</v>
      </c>
      <c r="F3141" s="188">
        <f>IFERROR(__xludf.DUMMYFUNCTION("""COMPUTED_VALUE"""),44404.0)</f>
        <v>44404</v>
      </c>
      <c r="G3141" t="str">
        <f>IFERROR(__xludf.DUMMYFUNCTION("""COMPUTED_VALUE"""),"Manage order page (normal text)")</f>
        <v>Manage order page (normal text)</v>
      </c>
      <c r="H3141">
        <f>IFERROR(__xludf.DUMMYFUNCTION("""COMPUTED_VALUE"""),25055.0)</f>
        <v>25055</v>
      </c>
      <c r="J3141" s="188">
        <f>IFERROR(__xludf.DUMMYFUNCTION("""COMPUTED_VALUE"""),44415.0)</f>
        <v>44415</v>
      </c>
      <c r="K3141">
        <f>IFERROR(__xludf.DUMMYFUNCTION("""COMPUTED_VALUE"""),15.0)</f>
        <v>15</v>
      </c>
      <c r="L3141">
        <f>IFERROR(__xludf.DUMMYFUNCTION("""COMPUTED_VALUE"""),11.0)</f>
        <v>11</v>
      </c>
      <c r="M3141">
        <f>IFERROR(__xludf.DUMMYFUNCTION("""COMPUTED_VALUE"""),26.0)</f>
        <v>26</v>
      </c>
      <c r="N3141" t="str">
        <f>IFERROR(__xludf.DUMMYFUNCTION("""COMPUTED_VALUE"""),"Model 3 Performance")</f>
        <v>Model 3 Performance</v>
      </c>
      <c r="O3141" t="str">
        <f>IFERROR(__xludf.DUMMYFUNCTION("""COMPUTED_VALUE"""),"Pearl White Multi-Coat")</f>
        <v>Pearl White Multi-Coat</v>
      </c>
      <c r="P3141" t="str">
        <f>IFERROR(__xludf.DUMMYFUNCTION("""COMPUTED_VALUE"""),"20 inch")</f>
        <v>20 inch</v>
      </c>
      <c r="Q3141" t="str">
        <f>IFERROR(__xludf.DUMMYFUNCTION("""COMPUTED_VALUE"""),"Black and White")</f>
        <v>Black and White</v>
      </c>
      <c r="R3141" t="str">
        <f>IFERROR(__xludf.DUMMYFUNCTION("""COMPUTED_VALUE"""),"Autopilot included")</f>
        <v>Autopilot included</v>
      </c>
      <c r="S3141" t="str">
        <f>IFERROR(__xludf.DUMMYFUNCTION("""COMPUTED_VALUE"""),"Loan")</f>
        <v>Loan</v>
      </c>
      <c r="T3141" t="str">
        <f>IFERROR(__xludf.DUMMYFUNCTION("""COMPUTED_VALUE"""),"Tesla Model 3")</f>
        <v>Tesla Model 3</v>
      </c>
      <c r="U3141" t="str">
        <f>IFERROR(__xludf.DUMMYFUNCTION("""COMPUTED_VALUE"""),"Fast AF Boiii, and more range than my previous SR+")</f>
        <v>Fast AF Boiii, and more range than my previous SR+</v>
      </c>
      <c r="V3141" t="str">
        <f>IFERROR(__xludf.DUMMYFUNCTION("""COMPUTED_VALUE"""),"Head-up display")</f>
        <v>Head-up display</v>
      </c>
      <c r="X3141" t="str">
        <f>IFERROR(__xludf.DUMMYFUNCTION("""COMPUTED_VALUE"""),"Very Good")</f>
        <v>Very Good</v>
      </c>
      <c r="Y3141" t="str">
        <f>IFERROR(__xludf.DUMMYFUNCTION("""COMPUTED_VALUE"""),"Very Good")</f>
        <v>Very Good</v>
      </c>
      <c r="Z3141" t="str">
        <f>IFERROR(__xludf.DUMMYFUNCTION("""COMPUTED_VALUE"""),"Good")</f>
        <v>Good</v>
      </c>
      <c r="AA3141" t="str">
        <f>IFERROR(__xludf.DUMMYFUNCTION("""COMPUTED_VALUE"""),"Very Good")</f>
        <v>Very Good</v>
      </c>
      <c r="AB3141" t="str">
        <f>IFERROR(__xludf.DUMMYFUNCTION("""COMPUTED_VALUE"""),"Good")</f>
        <v>Good</v>
      </c>
      <c r="AF3141" t="str">
        <f>IFERROR(__xludf.DUMMYFUNCTION("""COMPUTED_VALUE"""),"No. I took delivery of the first car Tesla was able to deliver.")</f>
        <v>No. I took delivery of the first car Tesla was able to deliver.</v>
      </c>
      <c r="AH3141" s="189">
        <f>IFERROR(__xludf.DUMMYFUNCTION("""COMPUTED_VALUE"""),44417.37834549768)</f>
        <v>44417.37835</v>
      </c>
    </row>
    <row r="3142">
      <c r="A3142" t="str">
        <f>IFERROR(__xludf.DUMMYFUNCTION("""COMPUTED_VALUE"""),"miketk")</f>
        <v>miketk</v>
      </c>
      <c r="B3142" t="str">
        <f>IFERROR(__xludf.DUMMYFUNCTION("""COMPUTED_VALUE"""),"Tampa")</f>
        <v>Tampa</v>
      </c>
      <c r="C3142" t="str">
        <f>IFERROR(__xludf.DUMMYFUNCTION("""COMPUTED_VALUE"""),"FL")</f>
        <v>FL</v>
      </c>
      <c r="D3142" t="str">
        <f>IFERROR(__xludf.DUMMYFUNCTION("""COMPUTED_VALUE"""),"USA")</f>
        <v>USA</v>
      </c>
      <c r="E3142" s="188">
        <f>IFERROR(__xludf.DUMMYFUNCTION("""COMPUTED_VALUE"""),44351.0)</f>
        <v>44351</v>
      </c>
      <c r="F3142" s="188">
        <f>IFERROR(__xludf.DUMMYFUNCTION("""COMPUTED_VALUE"""),44437.0)</f>
        <v>44437</v>
      </c>
      <c r="G3142" t="str">
        <f>IFERROR(__xludf.DUMMYFUNCTION("""COMPUTED_VALUE"""),"Manage order page (normal text)")</f>
        <v>Manage order page (normal text)</v>
      </c>
      <c r="H3142">
        <f>IFERROR(__xludf.DUMMYFUNCTION("""COMPUTED_VALUE"""),52255.0)</f>
        <v>52255</v>
      </c>
      <c r="J3142" s="188">
        <f>IFERROR(__xludf.DUMMYFUNCTION("""COMPUTED_VALUE"""),44455.0)</f>
        <v>44455</v>
      </c>
      <c r="K3142">
        <f>IFERROR(__xludf.DUMMYFUNCTION("""COMPUTED_VALUE"""),86.0)</f>
        <v>86</v>
      </c>
      <c r="L3142">
        <f>IFERROR(__xludf.DUMMYFUNCTION("""COMPUTED_VALUE"""),18.0)</f>
        <v>18</v>
      </c>
      <c r="M3142">
        <f>IFERROR(__xludf.DUMMYFUNCTION("""COMPUTED_VALUE"""),104.0)</f>
        <v>104</v>
      </c>
      <c r="N3142" t="str">
        <f>IFERROR(__xludf.DUMMYFUNCTION("""COMPUTED_VALUE"""),"Model 3 SR+")</f>
        <v>Model 3 SR+</v>
      </c>
      <c r="O3142" t="str">
        <f>IFERROR(__xludf.DUMMYFUNCTION("""COMPUTED_VALUE"""),"Pearl White Multi-Coat")</f>
        <v>Pearl White Multi-Coat</v>
      </c>
      <c r="P3142" t="str">
        <f>IFERROR(__xludf.DUMMYFUNCTION("""COMPUTED_VALUE"""),"18 inch")</f>
        <v>18 inch</v>
      </c>
      <c r="Q3142" t="str">
        <f>IFERROR(__xludf.DUMMYFUNCTION("""COMPUTED_VALUE"""),"All Black")</f>
        <v>All Black</v>
      </c>
      <c r="R3142" t="str">
        <f>IFERROR(__xludf.DUMMYFUNCTION("""COMPUTED_VALUE"""),"Autopilot included")</f>
        <v>Autopilot included</v>
      </c>
      <c r="S3142" t="str">
        <f>IFERROR(__xludf.DUMMYFUNCTION("""COMPUTED_VALUE"""),"Loan")</f>
        <v>Loan</v>
      </c>
      <c r="T3142" t="str">
        <f>IFERROR(__xludf.DUMMYFUNCTION("""COMPUTED_VALUE"""),"Cadillac XT5")</f>
        <v>Cadillac XT5</v>
      </c>
      <c r="U3142" t="str">
        <f>IFERROR(__xludf.DUMMYFUNCTION("""COMPUTED_VALUE"""),"Electric!")</f>
        <v>Electric!</v>
      </c>
      <c r="V3142" t="str">
        <f>IFERROR(__xludf.DUMMYFUNCTION("""COMPUTED_VALUE"""),"HomeLink")</f>
        <v>HomeLink</v>
      </c>
      <c r="AH3142" s="189">
        <f>IFERROR(__xludf.DUMMYFUNCTION("""COMPUTED_VALUE"""),44455.24319246528)</f>
        <v>44455.24319</v>
      </c>
    </row>
    <row r="3143">
      <c r="A3143" t="str">
        <f>IFERROR(__xludf.DUMMYFUNCTION("""COMPUTED_VALUE"""),"RealityUnfolds")</f>
        <v>RealityUnfolds</v>
      </c>
      <c r="B3143" t="str">
        <f>IFERROR(__xludf.DUMMYFUNCTION("""COMPUTED_VALUE"""),"Lake Forest")</f>
        <v>Lake Forest</v>
      </c>
      <c r="C3143" t="str">
        <f>IFERROR(__xludf.DUMMYFUNCTION("""COMPUTED_VALUE"""),"CA")</f>
        <v>CA</v>
      </c>
      <c r="D3143" t="str">
        <f>IFERROR(__xludf.DUMMYFUNCTION("""COMPUTED_VALUE"""),"USA")</f>
        <v>USA</v>
      </c>
      <c r="E3143" s="188">
        <f>IFERROR(__xludf.DUMMYFUNCTION("""COMPUTED_VALUE"""),44378.0)</f>
        <v>44378</v>
      </c>
      <c r="F3143" s="188">
        <f>IFERROR(__xludf.DUMMYFUNCTION("""COMPUTED_VALUE"""),44394.0)</f>
        <v>44394</v>
      </c>
      <c r="G3143" t="str">
        <f>IFERROR(__xludf.DUMMYFUNCTION("""COMPUTED_VALUE"""),"Existing Inventory")</f>
        <v>Existing Inventory</v>
      </c>
      <c r="H3143">
        <f>IFERROR(__xludf.DUMMYFUNCTION("""COMPUTED_VALUE"""),18955.0)</f>
        <v>18955</v>
      </c>
      <c r="I3143" t="str">
        <f>IFERROR(__xludf.DUMMYFUNCTION("""COMPUTED_VALUE"""),"06/21")</f>
        <v>06/21</v>
      </c>
      <c r="J3143" s="188">
        <f>IFERROR(__xludf.DUMMYFUNCTION("""COMPUTED_VALUE"""),44396.0)</f>
        <v>44396</v>
      </c>
      <c r="K3143">
        <f>IFERROR(__xludf.DUMMYFUNCTION("""COMPUTED_VALUE"""),16.0)</f>
        <v>16</v>
      </c>
      <c r="L3143">
        <f>IFERROR(__xludf.DUMMYFUNCTION("""COMPUTED_VALUE"""),2.0)</f>
        <v>2</v>
      </c>
      <c r="M3143">
        <f>IFERROR(__xludf.DUMMYFUNCTION("""COMPUTED_VALUE"""),18.0)</f>
        <v>18</v>
      </c>
      <c r="N3143" t="str">
        <f>IFERROR(__xludf.DUMMYFUNCTION("""COMPUTED_VALUE"""),"Model 3 SR+")</f>
        <v>Model 3 SR+</v>
      </c>
      <c r="O3143" t="str">
        <f>IFERROR(__xludf.DUMMYFUNCTION("""COMPUTED_VALUE"""),"Pearl White Multi-Coat")</f>
        <v>Pearl White Multi-Coat</v>
      </c>
      <c r="P3143" t="str">
        <f>IFERROR(__xludf.DUMMYFUNCTION("""COMPUTED_VALUE"""),"18 inch")</f>
        <v>18 inch</v>
      </c>
      <c r="Q3143" t="str">
        <f>IFERROR(__xludf.DUMMYFUNCTION("""COMPUTED_VALUE"""),"Black and White")</f>
        <v>Black and White</v>
      </c>
      <c r="R3143" t="str">
        <f>IFERROR(__xludf.DUMMYFUNCTION("""COMPUTED_VALUE"""),"Autopilot included")</f>
        <v>Autopilot included</v>
      </c>
      <c r="S3143" t="str">
        <f>IFERROR(__xludf.DUMMYFUNCTION("""COMPUTED_VALUE"""),"Lease")</f>
        <v>Lease</v>
      </c>
      <c r="T3143" t="str">
        <f>IFERROR(__xludf.DUMMYFUNCTION("""COMPUTED_VALUE"""),"VW Golf")</f>
        <v>VW Golf</v>
      </c>
      <c r="U3143" t="str">
        <f>IFERROR(__xludf.DUMMYFUNCTION("""COMPUTED_VALUE"""),"Cutting Edge Tech")</f>
        <v>Cutting Edge Tech</v>
      </c>
      <c r="V3143" t="str">
        <f>IFERROR(__xludf.DUMMYFUNCTION("""COMPUTED_VALUE"""),"Apple CarPlay / Android Auto / SiriusXM Radio")</f>
        <v>Apple CarPlay / Android Auto / SiriusXM Radio</v>
      </c>
      <c r="W3143" t="str">
        <f>IFERROR(__xludf.DUMMYFUNCTION("""COMPUTED_VALUE"""),"Constantly check existing inventory")</f>
        <v>Constantly check existing inventory</v>
      </c>
      <c r="X3143" t="str">
        <f>IFERROR(__xludf.DUMMYFUNCTION("""COMPUTED_VALUE"""),"Good")</f>
        <v>Good</v>
      </c>
      <c r="Y3143" t="str">
        <f>IFERROR(__xludf.DUMMYFUNCTION("""COMPUTED_VALUE"""),"Good")</f>
        <v>Good</v>
      </c>
      <c r="Z3143" t="str">
        <f>IFERROR(__xludf.DUMMYFUNCTION("""COMPUTED_VALUE"""),"Very Good")</f>
        <v>Very Good</v>
      </c>
      <c r="AA3143" t="str">
        <f>IFERROR(__xludf.DUMMYFUNCTION("""COMPUTED_VALUE"""),"Excellent")</f>
        <v>Excellent</v>
      </c>
      <c r="AB3143" t="str">
        <f>IFERROR(__xludf.DUMMYFUNCTION("""COMPUTED_VALUE"""),"Excellent")</f>
        <v>Excellent</v>
      </c>
      <c r="AF3143" t="str">
        <f>IFERROR(__xludf.DUMMYFUNCTION("""COMPUTED_VALUE"""),"No. I took delivery of the first car Tesla was able to deliver.")</f>
        <v>No. I took delivery of the first car Tesla was able to deliver.</v>
      </c>
      <c r="AG3143" t="str">
        <f>IFERROR(__xludf.DUMMYFUNCTION("""COMPUTED_VALUE"""),"My production date was 7/21, but that wasn't an option in the drop down")</f>
        <v>My production date was 7/21, but that wasn't an option in the drop down</v>
      </c>
      <c r="AH3143" s="189">
        <f>IFERROR(__xludf.DUMMYFUNCTION("""COMPUTED_VALUE"""),44400.97200491898)</f>
        <v>44400.972</v>
      </c>
    </row>
    <row r="3144">
      <c r="A3144" t="str">
        <f>IFERROR(__xludf.DUMMYFUNCTION("""COMPUTED_VALUE"""),"that1pin0yguy")</f>
        <v>that1pin0yguy</v>
      </c>
      <c r="B3144" t="str">
        <f>IFERROR(__xludf.DUMMYFUNCTION("""COMPUTED_VALUE"""),"Bay Area")</f>
        <v>Bay Area</v>
      </c>
      <c r="C3144" t="str">
        <f>IFERROR(__xludf.DUMMYFUNCTION("""COMPUTED_VALUE"""),"CA")</f>
        <v>CA</v>
      </c>
      <c r="D3144" t="str">
        <f>IFERROR(__xludf.DUMMYFUNCTION("""COMPUTED_VALUE"""),"USA")</f>
        <v>USA</v>
      </c>
      <c r="E3144" s="188">
        <f>IFERROR(__xludf.DUMMYFUNCTION("""COMPUTED_VALUE"""),44377.0)</f>
        <v>44377</v>
      </c>
      <c r="F3144" s="188">
        <f>IFERROR(__xludf.DUMMYFUNCTION("""COMPUTED_VALUE"""),44405.0)</f>
        <v>44405</v>
      </c>
      <c r="G3144" t="str">
        <f>IFERROR(__xludf.DUMMYFUNCTION("""COMPUTED_VALUE"""),"Manage order page (normal text)")</f>
        <v>Manage order page (normal text)</v>
      </c>
      <c r="J3144" s="188">
        <f>IFERROR(__xludf.DUMMYFUNCTION("""COMPUTED_VALUE"""),44408.0)</f>
        <v>44408</v>
      </c>
      <c r="K3144">
        <f>IFERROR(__xludf.DUMMYFUNCTION("""COMPUTED_VALUE"""),28.0)</f>
        <v>28</v>
      </c>
      <c r="L3144">
        <f>IFERROR(__xludf.DUMMYFUNCTION("""COMPUTED_VALUE"""),3.0)</f>
        <v>3</v>
      </c>
      <c r="M3144">
        <f>IFERROR(__xludf.DUMMYFUNCTION("""COMPUTED_VALUE"""),31.0)</f>
        <v>31</v>
      </c>
      <c r="N3144" t="str">
        <f>IFERROR(__xludf.DUMMYFUNCTION("""COMPUTED_VALUE"""),"Model 3 LR AWD")</f>
        <v>Model 3 LR AWD</v>
      </c>
      <c r="O3144" t="str">
        <f>IFERROR(__xludf.DUMMYFUNCTION("""COMPUTED_VALUE"""),"Deep Blue Metallic")</f>
        <v>Deep Blue Metallic</v>
      </c>
      <c r="P3144" t="str">
        <f>IFERROR(__xludf.DUMMYFUNCTION("""COMPUTED_VALUE"""),"18 inch")</f>
        <v>18 inch</v>
      </c>
      <c r="Q3144" t="str">
        <f>IFERROR(__xludf.DUMMYFUNCTION("""COMPUTED_VALUE"""),"All Black")</f>
        <v>All Black</v>
      </c>
      <c r="R3144" t="str">
        <f>IFERROR(__xludf.DUMMYFUNCTION("""COMPUTED_VALUE"""),"Autopilot included")</f>
        <v>Autopilot included</v>
      </c>
      <c r="S3144" t="str">
        <f>IFERROR(__xludf.DUMMYFUNCTION("""COMPUTED_VALUE"""),"Loan")</f>
        <v>Loan</v>
      </c>
      <c r="T3144" t="str">
        <f>IFERROR(__xludf.DUMMYFUNCTION("""COMPUTED_VALUE"""),"Honda Civic")</f>
        <v>Honda Civic</v>
      </c>
      <c r="U3144" t="str">
        <f>IFERROR(__xludf.DUMMYFUNCTION("""COMPUTED_VALUE"""),"Supercharger V3 support")</f>
        <v>Supercharger V3 support</v>
      </c>
      <c r="V3144" t="str">
        <f>IFERROR(__xludf.DUMMYFUNCTION("""COMPUTED_VALUE"""),"Ventilated seats")</f>
        <v>Ventilated seats</v>
      </c>
      <c r="X3144" t="str">
        <f>IFERROR(__xludf.DUMMYFUNCTION("""COMPUTED_VALUE"""),"Excellent")</f>
        <v>Excellent</v>
      </c>
      <c r="Y3144" t="str">
        <f>IFERROR(__xludf.DUMMYFUNCTION("""COMPUTED_VALUE"""),"Excellent")</f>
        <v>Excellent</v>
      </c>
      <c r="Z3144" t="str">
        <f>IFERROR(__xludf.DUMMYFUNCTION("""COMPUTED_VALUE"""),"Excellent")</f>
        <v>Excellent</v>
      </c>
      <c r="AA3144" t="str">
        <f>IFERROR(__xludf.DUMMYFUNCTION("""COMPUTED_VALUE"""),"Excellent")</f>
        <v>Excellent</v>
      </c>
      <c r="AB3144" t="str">
        <f>IFERROR(__xludf.DUMMYFUNCTION("""COMPUTED_VALUE"""),"Excellent")</f>
        <v>Excellent</v>
      </c>
      <c r="AC3144">
        <f>IFERROR(__xludf.DUMMYFUNCTION("""COMPUTED_VALUE"""),0.0)</f>
        <v>0</v>
      </c>
      <c r="AD3144">
        <f>IFERROR(__xludf.DUMMYFUNCTION("""COMPUTED_VALUE"""),0.0)</f>
        <v>0</v>
      </c>
      <c r="AE3144">
        <f>IFERROR(__xludf.DUMMYFUNCTION("""COMPUTED_VALUE"""),0.0)</f>
        <v>0</v>
      </c>
      <c r="AF3144" t="str">
        <f>IFERROR(__xludf.DUMMYFUNCTION("""COMPUTED_VALUE"""),"No. I took delivery of the first car Tesla was able to deliver.")</f>
        <v>No. I took delivery of the first car Tesla was able to deliver.</v>
      </c>
      <c r="AH3144" s="189">
        <f>IFERROR(__xludf.DUMMYFUNCTION("""COMPUTED_VALUE"""),44410.59299535879)</f>
        <v>44410.593</v>
      </c>
    </row>
    <row r="3145">
      <c r="A3145" t="str">
        <f>IFERROR(__xludf.DUMMYFUNCTION("""COMPUTED_VALUE"""),"Njguy1001")</f>
        <v>Njguy1001</v>
      </c>
      <c r="B3145" t="str">
        <f>IFERROR(__xludf.DUMMYFUNCTION("""COMPUTED_VALUE"""),"North NJ")</f>
        <v>North NJ</v>
      </c>
      <c r="C3145" t="str">
        <f>IFERROR(__xludf.DUMMYFUNCTION("""COMPUTED_VALUE"""),"NJ")</f>
        <v>NJ</v>
      </c>
      <c r="D3145" t="str">
        <f>IFERROR(__xludf.DUMMYFUNCTION("""COMPUTED_VALUE"""),"USA")</f>
        <v>USA</v>
      </c>
      <c r="E3145" s="188">
        <f>IFERROR(__xludf.DUMMYFUNCTION("""COMPUTED_VALUE"""),44383.0)</f>
        <v>44383</v>
      </c>
      <c r="F3145" s="188">
        <f>IFERROR(__xludf.DUMMYFUNCTION("""COMPUTED_VALUE"""),44416.0)</f>
        <v>44416</v>
      </c>
      <c r="G3145" t="str">
        <f>IFERROR(__xludf.DUMMYFUNCTION("""COMPUTED_VALUE"""),"Text message")</f>
        <v>Text message</v>
      </c>
      <c r="J3145" s="188">
        <f>IFERROR(__xludf.DUMMYFUNCTION("""COMPUTED_VALUE"""),44422.0)</f>
        <v>44422</v>
      </c>
      <c r="K3145">
        <f>IFERROR(__xludf.DUMMYFUNCTION("""COMPUTED_VALUE"""),33.0)</f>
        <v>33</v>
      </c>
      <c r="L3145">
        <f>IFERROR(__xludf.DUMMYFUNCTION("""COMPUTED_VALUE"""),6.0)</f>
        <v>6</v>
      </c>
      <c r="M3145">
        <f>IFERROR(__xludf.DUMMYFUNCTION("""COMPUTED_VALUE"""),39.0)</f>
        <v>39</v>
      </c>
      <c r="N3145" t="str">
        <f>IFERROR(__xludf.DUMMYFUNCTION("""COMPUTED_VALUE"""),"Model 3 SR+")</f>
        <v>Model 3 SR+</v>
      </c>
      <c r="O3145" t="str">
        <f>IFERROR(__xludf.DUMMYFUNCTION("""COMPUTED_VALUE"""),"Pearl White Multi-Coat")</f>
        <v>Pearl White Multi-Coat</v>
      </c>
      <c r="Q3145" t="str">
        <f>IFERROR(__xludf.DUMMYFUNCTION("""COMPUTED_VALUE"""),"All Black")</f>
        <v>All Black</v>
      </c>
      <c r="R3145" t="str">
        <f>IFERROR(__xludf.DUMMYFUNCTION("""COMPUTED_VALUE"""),"Autopilot included")</f>
        <v>Autopilot included</v>
      </c>
      <c r="S3145" t="str">
        <f>IFERROR(__xludf.DUMMYFUNCTION("""COMPUTED_VALUE"""),"Loan")</f>
        <v>Loan</v>
      </c>
      <c r="AH3145" s="189">
        <f>IFERROR(__xludf.DUMMYFUNCTION("""COMPUTED_VALUE"""),44417.13821422454)</f>
        <v>44417.13821</v>
      </c>
    </row>
    <row r="3146">
      <c r="A3146" t="str">
        <f>IFERROR(__xludf.DUMMYFUNCTION("""COMPUTED_VALUE"""),"dpalm85")</f>
        <v>dpalm85</v>
      </c>
      <c r="B3146" t="str">
        <f>IFERROR(__xludf.DUMMYFUNCTION("""COMPUTED_VALUE"""),"Grosse Pointe Park")</f>
        <v>Grosse Pointe Park</v>
      </c>
      <c r="C3146" t="str">
        <f>IFERROR(__xludf.DUMMYFUNCTION("""COMPUTED_VALUE"""),"MI")</f>
        <v>MI</v>
      </c>
      <c r="D3146" t="str">
        <f>IFERROR(__xludf.DUMMYFUNCTION("""COMPUTED_VALUE"""),"USA")</f>
        <v>USA</v>
      </c>
      <c r="E3146" s="188">
        <f>IFERROR(__xludf.DUMMYFUNCTION("""COMPUTED_VALUE"""),44386.0)</f>
        <v>44386</v>
      </c>
      <c r="F3146" s="188">
        <f>IFERROR(__xludf.DUMMYFUNCTION("""COMPUTED_VALUE"""),44428.0)</f>
        <v>44428</v>
      </c>
      <c r="G3146" t="str">
        <f>IFERROR(__xludf.DUMMYFUNCTION("""COMPUTED_VALUE"""),"MVPA")</f>
        <v>MVPA</v>
      </c>
      <c r="H3146">
        <f>IFERROR(__xludf.DUMMYFUNCTION("""COMPUTED_VALUE"""),46863.0)</f>
        <v>46863</v>
      </c>
      <c r="K3146">
        <f>IFERROR(__xludf.DUMMYFUNCTION("""COMPUTED_VALUE"""),42.0)</f>
        <v>42</v>
      </c>
      <c r="N3146" t="str">
        <f>IFERROR(__xludf.DUMMYFUNCTION("""COMPUTED_VALUE"""),"Model 3 LR AWD")</f>
        <v>Model 3 LR AWD</v>
      </c>
      <c r="O3146" t="str">
        <f>IFERROR(__xludf.DUMMYFUNCTION("""COMPUTED_VALUE"""),"Red Multi-Coat")</f>
        <v>Red Multi-Coat</v>
      </c>
      <c r="P3146" t="str">
        <f>IFERROR(__xludf.DUMMYFUNCTION("""COMPUTED_VALUE"""),"18 inch")</f>
        <v>18 inch</v>
      </c>
      <c r="Q3146" t="str">
        <f>IFERROR(__xludf.DUMMYFUNCTION("""COMPUTED_VALUE"""),"Black and White")</f>
        <v>Black and White</v>
      </c>
      <c r="R3146" t="str">
        <f>IFERROR(__xludf.DUMMYFUNCTION("""COMPUTED_VALUE"""),"Autopilot included")</f>
        <v>Autopilot included</v>
      </c>
      <c r="S3146" t="str">
        <f>IFERROR(__xludf.DUMMYFUNCTION("""COMPUTED_VALUE"""),"Cash")</f>
        <v>Cash</v>
      </c>
      <c r="U3146" t="str">
        <f>IFERROR(__xludf.DUMMYFUNCTION("""COMPUTED_VALUE"""),"Electric!")</f>
        <v>Electric!</v>
      </c>
      <c r="V3146" t="str">
        <f>IFERROR(__xludf.DUMMYFUNCTION("""COMPUTED_VALUE"""),"Head-up display")</f>
        <v>Head-up display</v>
      </c>
      <c r="AH3146" s="189">
        <f>IFERROR(__xludf.DUMMYFUNCTION("""COMPUTED_VALUE"""),44428.570244675924)</f>
        <v>44428.57024</v>
      </c>
    </row>
    <row r="3147">
      <c r="A3147" t="str">
        <f>IFERROR(__xludf.DUMMYFUNCTION("""COMPUTED_VALUE"""),"0emissions")</f>
        <v>0emissions</v>
      </c>
      <c r="B3147" t="str">
        <f>IFERROR(__xludf.DUMMYFUNCTION("""COMPUTED_VALUE"""),"Stockton")</f>
        <v>Stockton</v>
      </c>
      <c r="C3147" t="str">
        <f>IFERROR(__xludf.DUMMYFUNCTION("""COMPUTED_VALUE"""),"CA")</f>
        <v>CA</v>
      </c>
      <c r="D3147" t="str">
        <f>IFERROR(__xludf.DUMMYFUNCTION("""COMPUTED_VALUE"""),"USA")</f>
        <v>USA</v>
      </c>
      <c r="E3147" s="188">
        <f>IFERROR(__xludf.DUMMYFUNCTION("""COMPUTED_VALUE"""),44384.0)</f>
        <v>44384</v>
      </c>
      <c r="F3147" s="188">
        <f>IFERROR(__xludf.DUMMYFUNCTION("""COMPUTED_VALUE"""),44408.0)</f>
        <v>44408</v>
      </c>
      <c r="G3147" t="str">
        <f>IFERROR(__xludf.DUMMYFUNCTION("""COMPUTED_VALUE"""),"Existing Inventory")</f>
        <v>Existing Inventory</v>
      </c>
      <c r="J3147" s="188">
        <f>IFERROR(__xludf.DUMMYFUNCTION("""COMPUTED_VALUE"""),44408.0)</f>
        <v>44408</v>
      </c>
      <c r="K3147">
        <f>IFERROR(__xludf.DUMMYFUNCTION("""COMPUTED_VALUE"""),24.0)</f>
        <v>24</v>
      </c>
      <c r="L3147">
        <f>IFERROR(__xludf.DUMMYFUNCTION("""COMPUTED_VALUE"""),0.0)</f>
        <v>0</v>
      </c>
      <c r="M3147">
        <f>IFERROR(__xludf.DUMMYFUNCTION("""COMPUTED_VALUE"""),24.0)</f>
        <v>24</v>
      </c>
      <c r="N3147" t="str">
        <f>IFERROR(__xludf.DUMMYFUNCTION("""COMPUTED_VALUE"""),"Model 3 SR+")</f>
        <v>Model 3 SR+</v>
      </c>
      <c r="O3147" t="str">
        <f>IFERROR(__xludf.DUMMYFUNCTION("""COMPUTED_VALUE"""),"Pearl White Multi-Coat")</f>
        <v>Pearl White Multi-Coat</v>
      </c>
      <c r="P3147" t="str">
        <f>IFERROR(__xludf.DUMMYFUNCTION("""COMPUTED_VALUE"""),"19 inch")</f>
        <v>19 inch</v>
      </c>
      <c r="Q3147" t="str">
        <f>IFERROR(__xludf.DUMMYFUNCTION("""COMPUTED_VALUE"""),"All Black")</f>
        <v>All Black</v>
      </c>
      <c r="R3147" t="str">
        <f>IFERROR(__xludf.DUMMYFUNCTION("""COMPUTED_VALUE"""),"Autopilot included")</f>
        <v>Autopilot included</v>
      </c>
      <c r="S3147" t="str">
        <f>IFERROR(__xludf.DUMMYFUNCTION("""COMPUTED_VALUE"""),"Loan")</f>
        <v>Loan</v>
      </c>
      <c r="T3147" t="str">
        <f>IFERROR(__xludf.DUMMYFUNCTION("""COMPUTED_VALUE"""),"Camaro")</f>
        <v>Camaro</v>
      </c>
      <c r="U3147" t="str">
        <f>IFERROR(__xludf.DUMMYFUNCTION("""COMPUTED_VALUE"""),"Autopilot")</f>
        <v>Autopilot</v>
      </c>
      <c r="V3147" t="str">
        <f>IFERROR(__xludf.DUMMYFUNCTION("""COMPUTED_VALUE"""),"Apple CarPlay / Android Auto / SiriusXM Radio")</f>
        <v>Apple CarPlay / Android Auto / SiriusXM Radio</v>
      </c>
      <c r="X3147" t="str">
        <f>IFERROR(__xludf.DUMMYFUNCTION("""COMPUTED_VALUE"""),"Very Good")</f>
        <v>Very Good</v>
      </c>
      <c r="Y3147" t="str">
        <f>IFERROR(__xludf.DUMMYFUNCTION("""COMPUTED_VALUE"""),"Very Good")</f>
        <v>Very Good</v>
      </c>
      <c r="Z3147" t="str">
        <f>IFERROR(__xludf.DUMMYFUNCTION("""COMPUTED_VALUE"""),"Very Good")</f>
        <v>Very Good</v>
      </c>
      <c r="AA3147" t="str">
        <f>IFERROR(__xludf.DUMMYFUNCTION("""COMPUTED_VALUE"""),"Good")</f>
        <v>Good</v>
      </c>
      <c r="AB3147" t="str">
        <f>IFERROR(__xludf.DUMMYFUNCTION("""COMPUTED_VALUE"""),"Very Good")</f>
        <v>Very Good</v>
      </c>
      <c r="AF3147" t="str">
        <f>IFERROR(__xludf.DUMMYFUNCTION("""COMPUTED_VALUE"""),"No. I took delivery of the first car Tesla was able to deliver.")</f>
        <v>No. I took delivery of the first car Tesla was able to deliver.</v>
      </c>
      <c r="AH3147" s="189">
        <f>IFERROR(__xludf.DUMMYFUNCTION("""COMPUTED_VALUE"""),44408.89990423611)</f>
        <v>44408.8999</v>
      </c>
    </row>
    <row r="3148">
      <c r="A3148" t="str">
        <f>IFERROR(__xludf.DUMMYFUNCTION("""COMPUTED_VALUE"""),"MetroCapo")</f>
        <v>MetroCapo</v>
      </c>
      <c r="B3148" t="str">
        <f>IFERROR(__xludf.DUMMYFUNCTION("""COMPUTED_VALUE"""),"Hawthorne")</f>
        <v>Hawthorne</v>
      </c>
      <c r="C3148" t="str">
        <f>IFERROR(__xludf.DUMMYFUNCTION("""COMPUTED_VALUE"""),"NJ")</f>
        <v>NJ</v>
      </c>
      <c r="D3148" t="str">
        <f>IFERROR(__xludf.DUMMYFUNCTION("""COMPUTED_VALUE"""),"USA")</f>
        <v>USA</v>
      </c>
      <c r="E3148" s="188">
        <f>IFERROR(__xludf.DUMMYFUNCTION("""COMPUTED_VALUE"""),44366.0)</f>
        <v>44366</v>
      </c>
      <c r="F3148" s="188">
        <f>IFERROR(__xludf.DUMMYFUNCTION("""COMPUTED_VALUE"""),44418.0)</f>
        <v>44418</v>
      </c>
      <c r="G3148" t="str">
        <f>IFERROR(__xludf.DUMMYFUNCTION("""COMPUTED_VALUE"""),"Manage order page (normal text)")</f>
        <v>Manage order page (normal text)</v>
      </c>
      <c r="H3148">
        <f>IFERROR(__xludf.DUMMYFUNCTION("""COMPUTED_VALUE"""),33155.0)</f>
        <v>33155</v>
      </c>
      <c r="I3148" t="str">
        <f>IFERROR(__xludf.DUMMYFUNCTION("""COMPUTED_VALUE"""),"08/21")</f>
        <v>08/21</v>
      </c>
      <c r="J3148" s="188">
        <f>IFERROR(__xludf.DUMMYFUNCTION("""COMPUTED_VALUE"""),44433.0)</f>
        <v>44433</v>
      </c>
      <c r="K3148">
        <f>IFERROR(__xludf.DUMMYFUNCTION("""COMPUTED_VALUE"""),52.0)</f>
        <v>52</v>
      </c>
      <c r="L3148">
        <f>IFERROR(__xludf.DUMMYFUNCTION("""COMPUTED_VALUE"""),15.0)</f>
        <v>15</v>
      </c>
      <c r="M3148">
        <f>IFERROR(__xludf.DUMMYFUNCTION("""COMPUTED_VALUE"""),67.0)</f>
        <v>67</v>
      </c>
      <c r="N3148" t="str">
        <f>IFERROR(__xludf.DUMMYFUNCTION("""COMPUTED_VALUE"""),"Model 3 LR AWD")</f>
        <v>Model 3 LR AWD</v>
      </c>
      <c r="O3148" t="str">
        <f>IFERROR(__xludf.DUMMYFUNCTION("""COMPUTED_VALUE"""),"Pearl White Multi-Coat")</f>
        <v>Pearl White Multi-Coat</v>
      </c>
      <c r="P3148" t="str">
        <f>IFERROR(__xludf.DUMMYFUNCTION("""COMPUTED_VALUE"""),"18 inch")</f>
        <v>18 inch</v>
      </c>
      <c r="Q3148" t="str">
        <f>IFERROR(__xludf.DUMMYFUNCTION("""COMPUTED_VALUE"""),"All Black")</f>
        <v>All Black</v>
      </c>
      <c r="R3148" t="str">
        <f>IFERROR(__xludf.DUMMYFUNCTION("""COMPUTED_VALUE"""),"Autopilot included")</f>
        <v>Autopilot included</v>
      </c>
      <c r="S3148" t="str">
        <f>IFERROR(__xludf.DUMMYFUNCTION("""COMPUTED_VALUE"""),"Cash")</f>
        <v>Cash</v>
      </c>
      <c r="T3148" t="str">
        <f>IFERROR(__xludf.DUMMYFUNCTION("""COMPUTED_VALUE"""),"Dodge Dart")</f>
        <v>Dodge Dart</v>
      </c>
      <c r="U3148" t="str">
        <f>IFERROR(__xludf.DUMMYFUNCTION("""COMPUTED_VALUE"""),"Electric!")</f>
        <v>Electric!</v>
      </c>
      <c r="V3148" t="str">
        <f>IFERROR(__xludf.DUMMYFUNCTION("""COMPUTED_VALUE"""),"Ventilated seats")</f>
        <v>Ventilated seats</v>
      </c>
      <c r="X3148" t="str">
        <f>IFERROR(__xludf.DUMMYFUNCTION("""COMPUTED_VALUE"""),"Excellent")</f>
        <v>Excellent</v>
      </c>
      <c r="Y3148" t="str">
        <f>IFERROR(__xludf.DUMMYFUNCTION("""COMPUTED_VALUE"""),"Excellent")</f>
        <v>Excellent</v>
      </c>
      <c r="Z3148" t="str">
        <f>IFERROR(__xludf.DUMMYFUNCTION("""COMPUTED_VALUE"""),"Excellent")</f>
        <v>Excellent</v>
      </c>
      <c r="AA3148" t="str">
        <f>IFERROR(__xludf.DUMMYFUNCTION("""COMPUTED_VALUE"""),"Excellent")</f>
        <v>Excellent</v>
      </c>
      <c r="AB3148" t="str">
        <f>IFERROR(__xludf.DUMMYFUNCTION("""COMPUTED_VALUE"""),"Excellent")</f>
        <v>Excellent</v>
      </c>
      <c r="AC3148">
        <f>IFERROR(__xludf.DUMMYFUNCTION("""COMPUTED_VALUE"""),0.0)</f>
        <v>0</v>
      </c>
      <c r="AF3148" t="str">
        <f>IFERROR(__xludf.DUMMYFUNCTION("""COMPUTED_VALUE"""),"No. I took delivery of the first car Tesla was able to deliver.")</f>
        <v>No. I took delivery of the first car Tesla was able to deliver.</v>
      </c>
      <c r="AH3148" s="189">
        <f>IFERROR(__xludf.DUMMYFUNCTION("""COMPUTED_VALUE"""),44433.617295856486)</f>
        <v>44433.6173</v>
      </c>
    </row>
    <row r="3149">
      <c r="A3149" t="str">
        <f>IFERROR(__xludf.DUMMYFUNCTION("""COMPUTED_VALUE"""),"Auss1e")</f>
        <v>Auss1e</v>
      </c>
      <c r="B3149" t="str">
        <f>IFERROR(__xludf.DUMMYFUNCTION("""COMPUTED_VALUE"""),"Lexington")</f>
        <v>Lexington</v>
      </c>
      <c r="C3149" t="str">
        <f>IFERROR(__xludf.DUMMYFUNCTION("""COMPUTED_VALUE"""),"KY")</f>
        <v>KY</v>
      </c>
      <c r="D3149" t="str">
        <f>IFERROR(__xludf.DUMMYFUNCTION("""COMPUTED_VALUE"""),"USA")</f>
        <v>USA</v>
      </c>
      <c r="E3149" s="188">
        <f>IFERROR(__xludf.DUMMYFUNCTION("""COMPUTED_VALUE"""),44372.0)</f>
        <v>44372</v>
      </c>
      <c r="F3149" s="188">
        <f>IFERROR(__xludf.DUMMYFUNCTION("""COMPUTED_VALUE"""),44410.0)</f>
        <v>44410</v>
      </c>
      <c r="G3149" t="str">
        <f>IFERROR(__xludf.DUMMYFUNCTION("""COMPUTED_VALUE"""),"Email")</f>
        <v>Email</v>
      </c>
      <c r="H3149">
        <f>IFERROR(__xludf.DUMMYFUNCTION("""COMPUTED_VALUE"""),29555.0)</f>
        <v>29555</v>
      </c>
      <c r="J3149" s="188">
        <f>IFERROR(__xludf.DUMMYFUNCTION("""COMPUTED_VALUE"""),44425.0)</f>
        <v>44425</v>
      </c>
      <c r="K3149">
        <f>IFERROR(__xludf.DUMMYFUNCTION("""COMPUTED_VALUE"""),38.0)</f>
        <v>38</v>
      </c>
      <c r="L3149">
        <f>IFERROR(__xludf.DUMMYFUNCTION("""COMPUTED_VALUE"""),15.0)</f>
        <v>15</v>
      </c>
      <c r="M3149">
        <f>IFERROR(__xludf.DUMMYFUNCTION("""COMPUTED_VALUE"""),53.0)</f>
        <v>53</v>
      </c>
      <c r="N3149" t="str">
        <f>IFERROR(__xludf.DUMMYFUNCTION("""COMPUTED_VALUE"""),"Model 3 Performance")</f>
        <v>Model 3 Performance</v>
      </c>
      <c r="O3149" t="str">
        <f>IFERROR(__xludf.DUMMYFUNCTION("""COMPUTED_VALUE"""),"Midnight Silver Metallic")</f>
        <v>Midnight Silver Metallic</v>
      </c>
      <c r="P3149" t="str">
        <f>IFERROR(__xludf.DUMMYFUNCTION("""COMPUTED_VALUE"""),"20 inch")</f>
        <v>20 inch</v>
      </c>
      <c r="Q3149" t="str">
        <f>IFERROR(__xludf.DUMMYFUNCTION("""COMPUTED_VALUE"""),"All Black")</f>
        <v>All Black</v>
      </c>
      <c r="R3149" t="str">
        <f>IFERROR(__xludf.DUMMYFUNCTION("""COMPUTED_VALUE"""),"Autopilot included")</f>
        <v>Autopilot included</v>
      </c>
      <c r="S3149" t="str">
        <f>IFERROR(__xludf.DUMMYFUNCTION("""COMPUTED_VALUE"""),"Cash")</f>
        <v>Cash</v>
      </c>
      <c r="T3149" t="str">
        <f>IFERROR(__xludf.DUMMYFUNCTION("""COMPUTED_VALUE"""),"BMW e92 m3")</f>
        <v>BMW e92 m3</v>
      </c>
      <c r="U3149" t="str">
        <f>IFERROR(__xludf.DUMMYFUNCTION("""COMPUTED_VALUE"""),"Autopilot")</f>
        <v>Autopilot</v>
      </c>
      <c r="AH3149" s="189">
        <f>IFERROR(__xludf.DUMMYFUNCTION("""COMPUTED_VALUE"""),44415.43075587963)</f>
        <v>44415.43076</v>
      </c>
    </row>
    <row r="3150">
      <c r="A3150" t="str">
        <f>IFERROR(__xludf.DUMMYFUNCTION("""COMPUTED_VALUE"""),"Justanotherguy")</f>
        <v>Justanotherguy</v>
      </c>
      <c r="B3150" t="str">
        <f>IFERROR(__xludf.DUMMYFUNCTION("""COMPUTED_VALUE"""),"Chicago")</f>
        <v>Chicago</v>
      </c>
      <c r="C3150" t="str">
        <f>IFERROR(__xludf.DUMMYFUNCTION("""COMPUTED_VALUE"""),"IL")</f>
        <v>IL</v>
      </c>
      <c r="D3150" t="str">
        <f>IFERROR(__xludf.DUMMYFUNCTION("""COMPUTED_VALUE"""),"USA")</f>
        <v>USA</v>
      </c>
      <c r="E3150" s="188">
        <f>IFERROR(__xludf.DUMMYFUNCTION("""COMPUTED_VALUE"""),44371.0)</f>
        <v>44371</v>
      </c>
      <c r="F3150" s="188">
        <f>IFERROR(__xludf.DUMMYFUNCTION("""COMPUTED_VALUE"""),44416.0)</f>
        <v>44416</v>
      </c>
      <c r="G3150" t="str">
        <f>IFERROR(__xludf.DUMMYFUNCTION("""COMPUTED_VALUE"""),"Manage order page (normal text)")</f>
        <v>Manage order page (normal text)</v>
      </c>
      <c r="J3150" s="188">
        <f>IFERROR(__xludf.DUMMYFUNCTION("""COMPUTED_VALUE"""),44428.0)</f>
        <v>44428</v>
      </c>
      <c r="K3150">
        <f>IFERROR(__xludf.DUMMYFUNCTION("""COMPUTED_VALUE"""),45.0)</f>
        <v>45</v>
      </c>
      <c r="L3150">
        <f>IFERROR(__xludf.DUMMYFUNCTION("""COMPUTED_VALUE"""),12.0)</f>
        <v>12</v>
      </c>
      <c r="M3150">
        <f>IFERROR(__xludf.DUMMYFUNCTION("""COMPUTED_VALUE"""),57.0)</f>
        <v>57</v>
      </c>
      <c r="N3150" t="str">
        <f>IFERROR(__xludf.DUMMYFUNCTION("""COMPUTED_VALUE"""),"Model 3 SR+")</f>
        <v>Model 3 SR+</v>
      </c>
      <c r="O3150" t="str">
        <f>IFERROR(__xludf.DUMMYFUNCTION("""COMPUTED_VALUE"""),"Deep Blue Metallic")</f>
        <v>Deep Blue Metallic</v>
      </c>
      <c r="P3150" t="str">
        <f>IFERROR(__xludf.DUMMYFUNCTION("""COMPUTED_VALUE"""),"18 inch")</f>
        <v>18 inch</v>
      </c>
      <c r="Q3150" t="str">
        <f>IFERROR(__xludf.DUMMYFUNCTION("""COMPUTED_VALUE"""),"Black and White")</f>
        <v>Black and White</v>
      </c>
      <c r="R3150" t="str">
        <f>IFERROR(__xludf.DUMMYFUNCTION("""COMPUTED_VALUE"""),"Autopilot included")</f>
        <v>Autopilot included</v>
      </c>
      <c r="S3150" t="str">
        <f>IFERROR(__xludf.DUMMYFUNCTION("""COMPUTED_VALUE"""),"Loan")</f>
        <v>Loan</v>
      </c>
      <c r="AH3150" s="189">
        <f>IFERROR(__xludf.DUMMYFUNCTION("""COMPUTED_VALUE"""),44424.48165275463)</f>
        <v>44424.48165</v>
      </c>
    </row>
    <row r="3151">
      <c r="A3151" t="str">
        <f>IFERROR(__xludf.DUMMYFUNCTION("""COMPUTED_VALUE"""),"shraavanthp")</f>
        <v>shraavanthp</v>
      </c>
      <c r="B3151" t="str">
        <f>IFERROR(__xludf.DUMMYFUNCTION("""COMPUTED_VALUE"""),"San Jose")</f>
        <v>San Jose</v>
      </c>
      <c r="C3151" t="str">
        <f>IFERROR(__xludf.DUMMYFUNCTION("""COMPUTED_VALUE"""),"CA")</f>
        <v>CA</v>
      </c>
      <c r="D3151" t="str">
        <f>IFERROR(__xludf.DUMMYFUNCTION("""COMPUTED_VALUE"""),"USA")</f>
        <v>USA</v>
      </c>
      <c r="E3151" s="188">
        <f>IFERROR(__xludf.DUMMYFUNCTION("""COMPUTED_VALUE"""),44366.0)</f>
        <v>44366</v>
      </c>
      <c r="F3151" s="188">
        <f>IFERROR(__xludf.DUMMYFUNCTION("""COMPUTED_VALUE"""),44409.0)</f>
        <v>44409</v>
      </c>
      <c r="G3151" t="str">
        <f>IFERROR(__xludf.DUMMYFUNCTION("""COMPUTED_VALUE"""),"Manage order page (normal text)")</f>
        <v>Manage order page (normal text)</v>
      </c>
      <c r="H3151">
        <f>IFERROR(__xludf.DUMMYFUNCTION("""COMPUTED_VALUE"""),31155.0)</f>
        <v>31155</v>
      </c>
      <c r="J3151" s="188">
        <f>IFERROR(__xludf.DUMMYFUNCTION("""COMPUTED_VALUE"""),44413.0)</f>
        <v>44413</v>
      </c>
      <c r="K3151">
        <f>IFERROR(__xludf.DUMMYFUNCTION("""COMPUTED_VALUE"""),43.0)</f>
        <v>43</v>
      </c>
      <c r="L3151">
        <f>IFERROR(__xludf.DUMMYFUNCTION("""COMPUTED_VALUE"""),4.0)</f>
        <v>4</v>
      </c>
      <c r="M3151">
        <f>IFERROR(__xludf.DUMMYFUNCTION("""COMPUTED_VALUE"""),47.0)</f>
        <v>47</v>
      </c>
      <c r="N3151" t="str">
        <f>IFERROR(__xludf.DUMMYFUNCTION("""COMPUTED_VALUE"""),"Model 3 SR+")</f>
        <v>Model 3 SR+</v>
      </c>
      <c r="O3151" t="str">
        <f>IFERROR(__xludf.DUMMYFUNCTION("""COMPUTED_VALUE"""),"Red Multi-Coat")</f>
        <v>Red Multi-Coat</v>
      </c>
      <c r="P3151" t="str">
        <f>IFERROR(__xludf.DUMMYFUNCTION("""COMPUTED_VALUE"""),"19 inch")</f>
        <v>19 inch</v>
      </c>
      <c r="Q3151" t="str">
        <f>IFERROR(__xludf.DUMMYFUNCTION("""COMPUTED_VALUE"""),"All Black")</f>
        <v>All Black</v>
      </c>
      <c r="R3151" t="str">
        <f>IFERROR(__xludf.DUMMYFUNCTION("""COMPUTED_VALUE"""),"Autopilot included")</f>
        <v>Autopilot included</v>
      </c>
      <c r="S3151" t="str">
        <f>IFERROR(__xludf.DUMMYFUNCTION("""COMPUTED_VALUE"""),"Loan")</f>
        <v>Loan</v>
      </c>
      <c r="T3151" t="str">
        <f>IFERROR(__xludf.DUMMYFUNCTION("""COMPUTED_VALUE"""),"Audi A3")</f>
        <v>Audi A3</v>
      </c>
      <c r="U3151" t="str">
        <f>IFERROR(__xludf.DUMMYFUNCTION("""COMPUTED_VALUE"""),"Electric!")</f>
        <v>Electric!</v>
      </c>
      <c r="AH3151" s="189">
        <f>IFERROR(__xludf.DUMMYFUNCTION("""COMPUTED_VALUE"""),44417.579441423615)</f>
        <v>44417.57944</v>
      </c>
    </row>
    <row r="3152">
      <c r="A3152" t="str">
        <f>IFERROR(__xludf.DUMMYFUNCTION("""COMPUTED_VALUE"""),"MotorbreathX")</f>
        <v>MotorbreathX</v>
      </c>
      <c r="B3152" t="str">
        <f>IFERROR(__xludf.DUMMYFUNCTION("""COMPUTED_VALUE"""),"Las Vegas")</f>
        <v>Las Vegas</v>
      </c>
      <c r="C3152" t="str">
        <f>IFERROR(__xludf.DUMMYFUNCTION("""COMPUTED_VALUE"""),"NV")</f>
        <v>NV</v>
      </c>
      <c r="D3152" t="str">
        <f>IFERROR(__xludf.DUMMYFUNCTION("""COMPUTED_VALUE"""),"USA")</f>
        <v>USA</v>
      </c>
      <c r="E3152" s="188">
        <f>IFERROR(__xludf.DUMMYFUNCTION("""COMPUTED_VALUE"""),44375.0)</f>
        <v>44375</v>
      </c>
      <c r="F3152" s="188">
        <f>IFERROR(__xludf.DUMMYFUNCTION("""COMPUTED_VALUE"""),44436.0)</f>
        <v>44436</v>
      </c>
      <c r="G3152" t="str">
        <f>IFERROR(__xludf.DUMMYFUNCTION("""COMPUTED_VALUE"""),"Manage order page (normal text)")</f>
        <v>Manage order page (normal text)</v>
      </c>
      <c r="H3152">
        <f>IFERROR(__xludf.DUMMYFUNCTION("""COMPUTED_VALUE"""),52060.0)</f>
        <v>52060</v>
      </c>
      <c r="I3152" t="str">
        <f>IFERROR(__xludf.DUMMYFUNCTION("""COMPUTED_VALUE"""),"08/21")</f>
        <v>08/21</v>
      </c>
      <c r="J3152" s="188">
        <f>IFERROR(__xludf.DUMMYFUNCTION("""COMPUTED_VALUE"""),44440.0)</f>
        <v>44440</v>
      </c>
      <c r="K3152">
        <f>IFERROR(__xludf.DUMMYFUNCTION("""COMPUTED_VALUE"""),61.0)</f>
        <v>61</v>
      </c>
      <c r="L3152">
        <f>IFERROR(__xludf.DUMMYFUNCTION("""COMPUTED_VALUE"""),4.0)</f>
        <v>4</v>
      </c>
      <c r="M3152">
        <f>IFERROR(__xludf.DUMMYFUNCTION("""COMPUTED_VALUE"""),65.0)</f>
        <v>65</v>
      </c>
      <c r="N3152" t="str">
        <f>IFERROR(__xludf.DUMMYFUNCTION("""COMPUTED_VALUE"""),"Model 3 LR AWD")</f>
        <v>Model 3 LR AWD</v>
      </c>
      <c r="O3152" t="str">
        <f>IFERROR(__xludf.DUMMYFUNCTION("""COMPUTED_VALUE"""),"Pearl White Multi-Coat")</f>
        <v>Pearl White Multi-Coat</v>
      </c>
      <c r="P3152" t="str">
        <f>IFERROR(__xludf.DUMMYFUNCTION("""COMPUTED_VALUE"""),"18 inch")</f>
        <v>18 inch</v>
      </c>
      <c r="Q3152" t="str">
        <f>IFERROR(__xludf.DUMMYFUNCTION("""COMPUTED_VALUE"""),"Black and White")</f>
        <v>Black and White</v>
      </c>
      <c r="R3152" t="str">
        <f>IFERROR(__xludf.DUMMYFUNCTION("""COMPUTED_VALUE"""),"Autopilot included")</f>
        <v>Autopilot included</v>
      </c>
      <c r="S3152" t="str">
        <f>IFERROR(__xludf.DUMMYFUNCTION("""COMPUTED_VALUE"""),"Loan")</f>
        <v>Loan</v>
      </c>
      <c r="U3152" t="str">
        <f>IFERROR(__xludf.DUMMYFUNCTION("""COMPUTED_VALUE"""),"Electric!")</f>
        <v>Electric!</v>
      </c>
      <c r="V3152" t="str">
        <f>IFERROR(__xludf.DUMMYFUNCTION("""COMPUTED_VALUE"""),"Head-up display")</f>
        <v>Head-up display</v>
      </c>
      <c r="AH3152" s="189">
        <f>IFERROR(__xludf.DUMMYFUNCTION("""COMPUTED_VALUE"""),44437.68333680555)</f>
        <v>44437.68334</v>
      </c>
    </row>
    <row r="3153">
      <c r="A3153" t="str">
        <f>IFERROR(__xludf.DUMMYFUNCTION("""COMPUTED_VALUE"""),"Perturb")</f>
        <v>Perturb</v>
      </c>
      <c r="B3153" t="str">
        <f>IFERROR(__xludf.DUMMYFUNCTION("""COMPUTED_VALUE"""),"Sonoma County")</f>
        <v>Sonoma County</v>
      </c>
      <c r="C3153" t="str">
        <f>IFERROR(__xludf.DUMMYFUNCTION("""COMPUTED_VALUE"""),"CA")</f>
        <v>CA</v>
      </c>
      <c r="D3153" t="str">
        <f>IFERROR(__xludf.DUMMYFUNCTION("""COMPUTED_VALUE"""),"USA")</f>
        <v>USA</v>
      </c>
      <c r="E3153" s="188">
        <f>IFERROR(__xludf.DUMMYFUNCTION("""COMPUTED_VALUE"""),44354.0)</f>
        <v>44354</v>
      </c>
      <c r="F3153" s="188">
        <f>IFERROR(__xludf.DUMMYFUNCTION("""COMPUTED_VALUE"""),44405.0)</f>
        <v>44405</v>
      </c>
      <c r="G3153" t="str">
        <f>IFERROR(__xludf.DUMMYFUNCTION("""COMPUTED_VALUE"""),"Manage order page (normal text)")</f>
        <v>Manage order page (normal text)</v>
      </c>
      <c r="J3153" s="188">
        <f>IFERROR(__xludf.DUMMYFUNCTION("""COMPUTED_VALUE"""),44408.0)</f>
        <v>44408</v>
      </c>
      <c r="K3153">
        <f>IFERROR(__xludf.DUMMYFUNCTION("""COMPUTED_VALUE"""),51.0)</f>
        <v>51</v>
      </c>
      <c r="L3153">
        <f>IFERROR(__xludf.DUMMYFUNCTION("""COMPUTED_VALUE"""),3.0)</f>
        <v>3</v>
      </c>
      <c r="M3153">
        <f>IFERROR(__xludf.DUMMYFUNCTION("""COMPUTED_VALUE"""),54.0)</f>
        <v>54</v>
      </c>
      <c r="N3153" t="str">
        <f>IFERROR(__xludf.DUMMYFUNCTION("""COMPUTED_VALUE"""),"Model 3 SR+")</f>
        <v>Model 3 SR+</v>
      </c>
      <c r="O3153" t="str">
        <f>IFERROR(__xludf.DUMMYFUNCTION("""COMPUTED_VALUE"""),"Pearl White Multi-Coat")</f>
        <v>Pearl White Multi-Coat</v>
      </c>
      <c r="P3153" t="str">
        <f>IFERROR(__xludf.DUMMYFUNCTION("""COMPUTED_VALUE"""),"18 inch")</f>
        <v>18 inch</v>
      </c>
      <c r="Q3153" t="str">
        <f>IFERROR(__xludf.DUMMYFUNCTION("""COMPUTED_VALUE"""),"All Black")</f>
        <v>All Black</v>
      </c>
      <c r="R3153" t="str">
        <f>IFERROR(__xludf.DUMMYFUNCTION("""COMPUTED_VALUE"""),"Autopilot included")</f>
        <v>Autopilot included</v>
      </c>
      <c r="S3153" t="str">
        <f>IFERROR(__xludf.DUMMYFUNCTION("""COMPUTED_VALUE"""),"Lease")</f>
        <v>Lease</v>
      </c>
      <c r="U3153" t="str">
        <f>IFERROR(__xludf.DUMMYFUNCTION("""COMPUTED_VALUE"""),"Electric!")</f>
        <v>Electric!</v>
      </c>
      <c r="V3153" t="str">
        <f>IFERROR(__xludf.DUMMYFUNCTION("""COMPUTED_VALUE"""),"Bioweapon defense mode")</f>
        <v>Bioweapon defense mode</v>
      </c>
      <c r="AH3153" s="189">
        <f>IFERROR(__xludf.DUMMYFUNCTION("""COMPUTED_VALUE"""),44406.43257599537)</f>
        <v>44406.43258</v>
      </c>
    </row>
    <row r="3154">
      <c r="A3154" t="str">
        <f>IFERROR(__xludf.DUMMYFUNCTION("""COMPUTED_VALUE"""),"CMARIA")</f>
        <v>CMARIA</v>
      </c>
      <c r="B3154" t="str">
        <f>IFERROR(__xludf.DUMMYFUNCTION("""COMPUTED_VALUE"""),"Portland")</f>
        <v>Portland</v>
      </c>
      <c r="C3154" t="str">
        <f>IFERROR(__xludf.DUMMYFUNCTION("""COMPUTED_VALUE"""),"OR")</f>
        <v>OR</v>
      </c>
      <c r="D3154" t="str">
        <f>IFERROR(__xludf.DUMMYFUNCTION("""COMPUTED_VALUE"""),"USA")</f>
        <v>USA</v>
      </c>
      <c r="E3154" s="188">
        <f>IFERROR(__xludf.DUMMYFUNCTION("""COMPUTED_VALUE"""),44336.0)</f>
        <v>44336</v>
      </c>
      <c r="F3154" s="188">
        <f>IFERROR(__xludf.DUMMYFUNCTION("""COMPUTED_VALUE"""),44395.0)</f>
        <v>44395</v>
      </c>
      <c r="G3154" t="str">
        <f>IFERROR(__xludf.DUMMYFUNCTION("""COMPUTED_VALUE"""),"Manage order page (normal text)")</f>
        <v>Manage order page (normal text)</v>
      </c>
      <c r="J3154" s="188">
        <f>IFERROR(__xludf.DUMMYFUNCTION("""COMPUTED_VALUE"""),44396.0)</f>
        <v>44396</v>
      </c>
      <c r="K3154">
        <f>IFERROR(__xludf.DUMMYFUNCTION("""COMPUTED_VALUE"""),59.0)</f>
        <v>59</v>
      </c>
      <c r="L3154">
        <f>IFERROR(__xludf.DUMMYFUNCTION("""COMPUTED_VALUE"""),1.0)</f>
        <v>1</v>
      </c>
      <c r="M3154">
        <f>IFERROR(__xludf.DUMMYFUNCTION("""COMPUTED_VALUE"""),60.0)</f>
        <v>60</v>
      </c>
      <c r="N3154" t="str">
        <f>IFERROR(__xludf.DUMMYFUNCTION("""COMPUTED_VALUE"""),"Model 3 SR+")</f>
        <v>Model 3 SR+</v>
      </c>
      <c r="O3154" t="str">
        <f>IFERROR(__xludf.DUMMYFUNCTION("""COMPUTED_VALUE"""),"Pearl White Multi-Coat")</f>
        <v>Pearl White Multi-Coat</v>
      </c>
      <c r="P3154" t="str">
        <f>IFERROR(__xludf.DUMMYFUNCTION("""COMPUTED_VALUE"""),"18 inch")</f>
        <v>18 inch</v>
      </c>
      <c r="Q3154" t="str">
        <f>IFERROR(__xludf.DUMMYFUNCTION("""COMPUTED_VALUE"""),"Black and White")</f>
        <v>Black and White</v>
      </c>
      <c r="R3154" t="str">
        <f>IFERROR(__xludf.DUMMYFUNCTION("""COMPUTED_VALUE"""),"Autopilot included")</f>
        <v>Autopilot included</v>
      </c>
      <c r="S3154" t="str">
        <f>IFERROR(__xludf.DUMMYFUNCTION("""COMPUTED_VALUE"""),"Loan")</f>
        <v>Loan</v>
      </c>
      <c r="T3154" t="str">
        <f>IFERROR(__xludf.DUMMYFUNCTION("""COMPUTED_VALUE"""),"Toyota Highlander XLE 2019")</f>
        <v>Toyota Highlander XLE 2019</v>
      </c>
      <c r="U3154" t="str">
        <f>IFERROR(__xludf.DUMMYFUNCTION("""COMPUTED_VALUE"""),"Autopilot")</f>
        <v>Autopilot</v>
      </c>
      <c r="V3154" t="str">
        <f>IFERROR(__xludf.DUMMYFUNCTION("""COMPUTED_VALUE"""),"360° Bird's eye view")</f>
        <v>360° Bird's eye view</v>
      </c>
      <c r="W3154" t="str">
        <f>IFERROR(__xludf.DUMMYFUNCTION("""COMPUTED_VALUE"""),"Be patient; it'll come. If you've been waiting over 90 days, there's a problem; get in contact with someone who can help, preferably higher up than your SA.")</f>
        <v>Be patient; it'll come. If you've been waiting over 90 days, there's a problem; get in contact with someone who can help, preferably higher up than your SA.</v>
      </c>
      <c r="X3154" t="str">
        <f>IFERROR(__xludf.DUMMYFUNCTION("""COMPUTED_VALUE"""),"Excellent")</f>
        <v>Excellent</v>
      </c>
      <c r="Y3154" t="str">
        <f>IFERROR(__xludf.DUMMYFUNCTION("""COMPUTED_VALUE"""),"Excellent")</f>
        <v>Excellent</v>
      </c>
      <c r="Z3154" t="str">
        <f>IFERROR(__xludf.DUMMYFUNCTION("""COMPUTED_VALUE"""),"Excellent")</f>
        <v>Excellent</v>
      </c>
      <c r="AA3154" t="str">
        <f>IFERROR(__xludf.DUMMYFUNCTION("""COMPUTED_VALUE"""),"Excellent")</f>
        <v>Excellent</v>
      </c>
      <c r="AB3154" t="str">
        <f>IFERROR(__xludf.DUMMYFUNCTION("""COMPUTED_VALUE"""),"Very Good")</f>
        <v>Very Good</v>
      </c>
      <c r="AF3154" t="str">
        <f>IFERROR(__xludf.DUMMYFUNCTION("""COMPUTED_VALUE"""),"No. I took delivery of the first car Tesla was able to deliver.")</f>
        <v>No. I took delivery of the first car Tesla was able to deliver.</v>
      </c>
      <c r="AH3154" s="189">
        <f>IFERROR(__xludf.DUMMYFUNCTION("""COMPUTED_VALUE"""),44397.6000954051)</f>
        <v>44397.6001</v>
      </c>
    </row>
    <row r="3155">
      <c r="A3155" t="str">
        <f>IFERROR(__xludf.DUMMYFUNCTION("""COMPUTED_VALUE"""),"TheSheriff")</f>
        <v>TheSheriff</v>
      </c>
      <c r="B3155" t="str">
        <f>IFERROR(__xludf.DUMMYFUNCTION("""COMPUTED_VALUE"""),"Belleville")</f>
        <v>Belleville</v>
      </c>
      <c r="C3155" t="str">
        <f>IFERROR(__xludf.DUMMYFUNCTION("""COMPUTED_VALUE"""),"IL")</f>
        <v>IL</v>
      </c>
      <c r="D3155" t="str">
        <f>IFERROR(__xludf.DUMMYFUNCTION("""COMPUTED_VALUE"""),"USA")</f>
        <v>USA</v>
      </c>
      <c r="E3155" s="188">
        <f>IFERROR(__xludf.DUMMYFUNCTION("""COMPUTED_VALUE"""),44375.0)</f>
        <v>44375</v>
      </c>
      <c r="F3155" s="188">
        <f>IFERROR(__xludf.DUMMYFUNCTION("""COMPUTED_VALUE"""),44449.0)</f>
        <v>44449</v>
      </c>
      <c r="G3155" t="str">
        <f>IFERROR(__xludf.DUMMYFUNCTION("""COMPUTED_VALUE"""),"Manage order page (normal text)")</f>
        <v>Manage order page (normal text)</v>
      </c>
      <c r="K3155">
        <f>IFERROR(__xludf.DUMMYFUNCTION("""COMPUTED_VALUE"""),74.0)</f>
        <v>74</v>
      </c>
      <c r="N3155" t="str">
        <f>IFERROR(__xludf.DUMMYFUNCTION("""COMPUTED_VALUE"""),"Model 3 SR+")</f>
        <v>Model 3 SR+</v>
      </c>
      <c r="O3155" t="str">
        <f>IFERROR(__xludf.DUMMYFUNCTION("""COMPUTED_VALUE"""),"Solid Black")</f>
        <v>Solid Black</v>
      </c>
      <c r="P3155" t="str">
        <f>IFERROR(__xludf.DUMMYFUNCTION("""COMPUTED_VALUE"""),"18 inch")</f>
        <v>18 inch</v>
      </c>
      <c r="Q3155" t="str">
        <f>IFERROR(__xludf.DUMMYFUNCTION("""COMPUTED_VALUE"""),"All Black")</f>
        <v>All Black</v>
      </c>
      <c r="R3155" t="str">
        <f>IFERROR(__xludf.DUMMYFUNCTION("""COMPUTED_VALUE"""),"Autopilot included")</f>
        <v>Autopilot included</v>
      </c>
      <c r="S3155" t="str">
        <f>IFERROR(__xludf.DUMMYFUNCTION("""COMPUTED_VALUE"""),"Loan")</f>
        <v>Loan</v>
      </c>
      <c r="T3155" t="str">
        <f>IFERROR(__xludf.DUMMYFUNCTION("""COMPUTED_VALUE"""),"Ford Focus")</f>
        <v>Ford Focus</v>
      </c>
      <c r="U3155" t="str">
        <f>IFERROR(__xludf.DUMMYFUNCTION("""COMPUTED_VALUE"""),"Electric!")</f>
        <v>Electric!</v>
      </c>
      <c r="AH3155" s="189">
        <f>IFERROR(__xludf.DUMMYFUNCTION("""COMPUTED_VALUE"""),44449.656052245366)</f>
        <v>44449.65605</v>
      </c>
    </row>
    <row r="3156">
      <c r="A3156" t="str">
        <f>IFERROR(__xludf.DUMMYFUNCTION("""COMPUTED_VALUE"""),"manicmumday")</f>
        <v>manicmumday</v>
      </c>
      <c r="B3156" t="str">
        <f>IFERROR(__xludf.DUMMYFUNCTION("""COMPUTED_VALUE"""),"YVR")</f>
        <v>YVR</v>
      </c>
      <c r="C3156" t="str">
        <f>IFERROR(__xludf.DUMMYFUNCTION("""COMPUTED_VALUE"""),"BC")</f>
        <v>BC</v>
      </c>
      <c r="D3156" t="str">
        <f>IFERROR(__xludf.DUMMYFUNCTION("""COMPUTED_VALUE"""),"Canada")</f>
        <v>Canada</v>
      </c>
      <c r="E3156" s="188">
        <f>IFERROR(__xludf.DUMMYFUNCTION("""COMPUTED_VALUE"""),44389.0)</f>
        <v>44389</v>
      </c>
      <c r="F3156" s="188">
        <f>IFERROR(__xludf.DUMMYFUNCTION("""COMPUTED_VALUE"""),44471.0)</f>
        <v>44471</v>
      </c>
      <c r="G3156" t="str">
        <f>IFERROR(__xludf.DUMMYFUNCTION("""COMPUTED_VALUE"""),"Source code")</f>
        <v>Source code</v>
      </c>
      <c r="H3156">
        <f>IFERROR(__xludf.DUMMYFUNCTION("""COMPUTED_VALUE"""),83955.0)</f>
        <v>83955</v>
      </c>
      <c r="I3156" t="str">
        <f>IFERROR(__xludf.DUMMYFUNCTION("""COMPUTED_VALUE"""),"08/21")</f>
        <v>08/21</v>
      </c>
      <c r="J3156" s="188">
        <f>IFERROR(__xludf.DUMMYFUNCTION("""COMPUTED_VALUE"""),44476.0)</f>
        <v>44476</v>
      </c>
      <c r="K3156">
        <f>IFERROR(__xludf.DUMMYFUNCTION("""COMPUTED_VALUE"""),82.0)</f>
        <v>82</v>
      </c>
      <c r="L3156">
        <f>IFERROR(__xludf.DUMMYFUNCTION("""COMPUTED_VALUE"""),5.0)</f>
        <v>5</v>
      </c>
      <c r="M3156">
        <f>IFERROR(__xludf.DUMMYFUNCTION("""COMPUTED_VALUE"""),87.0)</f>
        <v>87</v>
      </c>
      <c r="N3156" t="str">
        <f>IFERROR(__xludf.DUMMYFUNCTION("""COMPUTED_VALUE"""),"Model 3 SR+")</f>
        <v>Model 3 SR+</v>
      </c>
      <c r="O3156" t="str">
        <f>IFERROR(__xludf.DUMMYFUNCTION("""COMPUTED_VALUE"""),"Red Multi-Coat")</f>
        <v>Red Multi-Coat</v>
      </c>
      <c r="P3156" t="str">
        <f>IFERROR(__xludf.DUMMYFUNCTION("""COMPUTED_VALUE"""),"18 inch")</f>
        <v>18 inch</v>
      </c>
      <c r="Q3156" t="str">
        <f>IFERROR(__xludf.DUMMYFUNCTION("""COMPUTED_VALUE"""),"All Black")</f>
        <v>All Black</v>
      </c>
      <c r="R3156" t="str">
        <f>IFERROR(__xludf.DUMMYFUNCTION("""COMPUTED_VALUE"""),"Full Self-Driving")</f>
        <v>Full Self-Driving</v>
      </c>
      <c r="S3156" t="str">
        <f>IFERROR(__xludf.DUMMYFUNCTION("""COMPUTED_VALUE"""),"Loan")</f>
        <v>Loan</v>
      </c>
      <c r="U3156" t="str">
        <f>IFERROR(__xludf.DUMMYFUNCTION("""COMPUTED_VALUE"""),"Electric!")</f>
        <v>Electric!</v>
      </c>
      <c r="V3156" t="str">
        <f>IFERROR(__xludf.DUMMYFUNCTION("""COMPUTED_VALUE"""),"Bioweapon defense mode")</f>
        <v>Bioweapon defense mode</v>
      </c>
      <c r="X3156" t="str">
        <f>IFERROR(__xludf.DUMMYFUNCTION("""COMPUTED_VALUE"""),"Excellent")</f>
        <v>Excellent</v>
      </c>
      <c r="Y3156" t="str">
        <f>IFERROR(__xludf.DUMMYFUNCTION("""COMPUTED_VALUE"""),"Excellent")</f>
        <v>Excellent</v>
      </c>
      <c r="Z3156" t="str">
        <f>IFERROR(__xludf.DUMMYFUNCTION("""COMPUTED_VALUE"""),"Excellent")</f>
        <v>Excellent</v>
      </c>
      <c r="AA3156" t="str">
        <f>IFERROR(__xludf.DUMMYFUNCTION("""COMPUTED_VALUE"""),"Fair")</f>
        <v>Fair</v>
      </c>
      <c r="AB3156" t="str">
        <f>IFERROR(__xludf.DUMMYFUNCTION("""COMPUTED_VALUE"""),"Good")</f>
        <v>Good</v>
      </c>
      <c r="AC3156">
        <f>IFERROR(__xludf.DUMMYFUNCTION("""COMPUTED_VALUE"""),0.0)</f>
        <v>0</v>
      </c>
      <c r="AD3156">
        <f>IFERROR(__xludf.DUMMYFUNCTION("""COMPUTED_VALUE"""),0.0)</f>
        <v>0</v>
      </c>
      <c r="AE3156">
        <f>IFERROR(__xludf.DUMMYFUNCTION("""COMPUTED_VALUE"""),0.0)</f>
        <v>0</v>
      </c>
      <c r="AF3156" t="str">
        <f>IFERROR(__xludf.DUMMYFUNCTION("""COMPUTED_VALUE"""),"No. I took delivery of the first car Tesla was able to deliver.")</f>
        <v>No. I took delivery of the first car Tesla was able to deliver.</v>
      </c>
      <c r="AH3156" s="189">
        <f>IFERROR(__xludf.DUMMYFUNCTION("""COMPUTED_VALUE"""),44477.8516024537)</f>
        <v>44477.8516</v>
      </c>
    </row>
    <row r="3157">
      <c r="A3157" t="str">
        <f>IFERROR(__xludf.DUMMYFUNCTION("""COMPUTED_VALUE"""),"averagegatsby")</f>
        <v>averagegatsby</v>
      </c>
      <c r="B3157" t="str">
        <f>IFERROR(__xludf.DUMMYFUNCTION("""COMPUTED_VALUE"""),"Vaughan")</f>
        <v>Vaughan</v>
      </c>
      <c r="C3157" t="str">
        <f>IFERROR(__xludf.DUMMYFUNCTION("""COMPUTED_VALUE"""),"ON")</f>
        <v>ON</v>
      </c>
      <c r="D3157" t="str">
        <f>IFERROR(__xludf.DUMMYFUNCTION("""COMPUTED_VALUE"""),"Canada")</f>
        <v>Canada</v>
      </c>
      <c r="E3157" s="188">
        <f>IFERROR(__xludf.DUMMYFUNCTION("""COMPUTED_VALUE"""),44350.0)</f>
        <v>44350</v>
      </c>
      <c r="F3157" s="188">
        <f>IFERROR(__xludf.DUMMYFUNCTION("""COMPUTED_VALUE"""),44411.0)</f>
        <v>44411</v>
      </c>
      <c r="G3157" t="str">
        <f>IFERROR(__xludf.DUMMYFUNCTION("""COMPUTED_VALUE"""),"Source code")</f>
        <v>Source code</v>
      </c>
      <c r="H3157">
        <f>IFERROR(__xludf.DUMMYFUNCTION("""COMPUTED_VALUE"""),30855.0)</f>
        <v>30855</v>
      </c>
      <c r="I3157" t="str">
        <f>IFERROR(__xludf.DUMMYFUNCTION("""COMPUTED_VALUE"""),"08/21")</f>
        <v>08/21</v>
      </c>
      <c r="J3157" s="188">
        <f>IFERROR(__xludf.DUMMYFUNCTION("""COMPUTED_VALUE"""),44426.0)</f>
        <v>44426</v>
      </c>
      <c r="K3157">
        <f>IFERROR(__xludf.DUMMYFUNCTION("""COMPUTED_VALUE"""),61.0)</f>
        <v>61</v>
      </c>
      <c r="L3157">
        <f>IFERROR(__xludf.DUMMYFUNCTION("""COMPUTED_VALUE"""),15.0)</f>
        <v>15</v>
      </c>
      <c r="M3157">
        <f>IFERROR(__xludf.DUMMYFUNCTION("""COMPUTED_VALUE"""),76.0)</f>
        <v>76</v>
      </c>
      <c r="N3157" t="str">
        <f>IFERROR(__xludf.DUMMYFUNCTION("""COMPUTED_VALUE"""),"Model 3 SR+")</f>
        <v>Model 3 SR+</v>
      </c>
      <c r="O3157" t="str">
        <f>IFERROR(__xludf.DUMMYFUNCTION("""COMPUTED_VALUE"""),"Solid Black")</f>
        <v>Solid Black</v>
      </c>
      <c r="P3157" t="str">
        <f>IFERROR(__xludf.DUMMYFUNCTION("""COMPUTED_VALUE"""),"18 inch")</f>
        <v>18 inch</v>
      </c>
      <c r="Q3157" t="str">
        <f>IFERROR(__xludf.DUMMYFUNCTION("""COMPUTED_VALUE"""),"All Black")</f>
        <v>All Black</v>
      </c>
      <c r="R3157" t="str">
        <f>IFERROR(__xludf.DUMMYFUNCTION("""COMPUTED_VALUE"""),"Autopilot included")</f>
        <v>Autopilot included</v>
      </c>
      <c r="S3157" t="str">
        <f>IFERROR(__xludf.DUMMYFUNCTION("""COMPUTED_VALUE"""),"Loan")</f>
        <v>Loan</v>
      </c>
      <c r="T3157" t="str">
        <f>IFERROR(__xludf.DUMMYFUNCTION("""COMPUTED_VALUE"""),"Mercedes C 300 4Matic Sedan")</f>
        <v>Mercedes C 300 4Matic Sedan</v>
      </c>
      <c r="U3157" t="str">
        <f>IFERROR(__xludf.DUMMYFUNCTION("""COMPUTED_VALUE"""),"Electric!")</f>
        <v>Electric!</v>
      </c>
      <c r="V3157" t="str">
        <f>IFERROR(__xludf.DUMMYFUNCTION("""COMPUTED_VALUE"""),"Apple CarPlay / Android Auto / SiriusXM Radio")</f>
        <v>Apple CarPlay / Android Auto / SiriusXM Radio</v>
      </c>
      <c r="W3157" t="str">
        <f>IFERROR(__xludf.DUMMYFUNCTION("""COMPUTED_VALUE"""),"Establish contact with a local sales advisor, use them as your main point of contact. YOUR ORIGINAL EDD IS THE MOST ACCURATE. DO NOT LOOK AT IT AGAIN.")</f>
        <v>Establish contact with a local sales advisor, use them as your main point of contact. YOUR ORIGINAL EDD IS THE MOST ACCURATE. DO NOT LOOK AT IT AGAIN.</v>
      </c>
      <c r="X3157" t="str">
        <f>IFERROR(__xludf.DUMMYFUNCTION("""COMPUTED_VALUE"""),"Excellent")</f>
        <v>Excellent</v>
      </c>
      <c r="Y3157" t="str">
        <f>IFERROR(__xludf.DUMMYFUNCTION("""COMPUTED_VALUE"""),"Fair")</f>
        <v>Fair</v>
      </c>
      <c r="Z3157" t="str">
        <f>IFERROR(__xludf.DUMMYFUNCTION("""COMPUTED_VALUE"""),"Very Good")</f>
        <v>Very Good</v>
      </c>
      <c r="AA3157" t="str">
        <f>IFERROR(__xludf.DUMMYFUNCTION("""COMPUTED_VALUE"""),"Excellent")</f>
        <v>Excellent</v>
      </c>
      <c r="AB3157" t="str">
        <f>IFERROR(__xludf.DUMMYFUNCTION("""COMPUTED_VALUE"""),"Very Good")</f>
        <v>Very Good</v>
      </c>
      <c r="AC3157">
        <f>IFERROR(__xludf.DUMMYFUNCTION("""COMPUTED_VALUE"""),2.0)</f>
        <v>2</v>
      </c>
      <c r="AD3157">
        <f>IFERROR(__xludf.DUMMYFUNCTION("""COMPUTED_VALUE"""),1.0)</f>
        <v>1</v>
      </c>
      <c r="AE3157">
        <f>IFERROR(__xludf.DUMMYFUNCTION("""COMPUTED_VALUE"""),0.0)</f>
        <v>0</v>
      </c>
      <c r="AF3157" t="str">
        <f>IFERROR(__xludf.DUMMYFUNCTION("""COMPUTED_VALUE"""),"No. I took delivery of the first car Tesla was able to deliver.")</f>
        <v>No. I took delivery of the first car Tesla was able to deliver.</v>
      </c>
      <c r="AG3157" t="str">
        <f>IFERROR(__xludf.DUMMYFUNCTION("""COMPUTED_VALUE"""),"I'M SERIOUS. STOP CHECKING EDD. ")</f>
        <v>I'M SERIOUS. STOP CHECKING EDD. </v>
      </c>
      <c r="AH3157" s="189">
        <f>IFERROR(__xludf.DUMMYFUNCTION("""COMPUTED_VALUE"""),44426.88435648148)</f>
        <v>44426.88436</v>
      </c>
    </row>
    <row r="3158">
      <c r="A3158" t="str">
        <f>IFERROR(__xludf.DUMMYFUNCTION("""COMPUTED_VALUE"""),"stillwaiting")</f>
        <v>stillwaiting</v>
      </c>
      <c r="B3158" t="str">
        <f>IFERROR(__xludf.DUMMYFUNCTION("""COMPUTED_VALUE"""),"Toronto")</f>
        <v>Toronto</v>
      </c>
      <c r="C3158" t="str">
        <f>IFERROR(__xludf.DUMMYFUNCTION("""COMPUTED_VALUE"""),"ON")</f>
        <v>ON</v>
      </c>
      <c r="D3158" t="str">
        <f>IFERROR(__xludf.DUMMYFUNCTION("""COMPUTED_VALUE"""),"Canada")</f>
        <v>Canada</v>
      </c>
      <c r="E3158" s="188">
        <f>IFERROR(__xludf.DUMMYFUNCTION("""COMPUTED_VALUE"""),44351.0)</f>
        <v>44351</v>
      </c>
      <c r="F3158" s="188">
        <f>IFERROR(__xludf.DUMMYFUNCTION("""COMPUTED_VALUE"""),44407.0)</f>
        <v>44407</v>
      </c>
      <c r="G3158" t="str">
        <f>IFERROR(__xludf.DUMMYFUNCTION("""COMPUTED_VALUE"""),"Manage order page (normal text)")</f>
        <v>Manage order page (normal text)</v>
      </c>
      <c r="J3158" s="188">
        <f>IFERROR(__xludf.DUMMYFUNCTION("""COMPUTED_VALUE"""),44419.0)</f>
        <v>44419</v>
      </c>
      <c r="K3158">
        <f>IFERROR(__xludf.DUMMYFUNCTION("""COMPUTED_VALUE"""),56.0)</f>
        <v>56</v>
      </c>
      <c r="L3158">
        <f>IFERROR(__xludf.DUMMYFUNCTION("""COMPUTED_VALUE"""),12.0)</f>
        <v>12</v>
      </c>
      <c r="M3158">
        <f>IFERROR(__xludf.DUMMYFUNCTION("""COMPUTED_VALUE"""),68.0)</f>
        <v>68</v>
      </c>
      <c r="N3158" t="str">
        <f>IFERROR(__xludf.DUMMYFUNCTION("""COMPUTED_VALUE"""),"Model 3 SR+")</f>
        <v>Model 3 SR+</v>
      </c>
      <c r="O3158" t="str">
        <f>IFERROR(__xludf.DUMMYFUNCTION("""COMPUTED_VALUE"""),"Pearl White Multi-Coat")</f>
        <v>Pearl White Multi-Coat</v>
      </c>
      <c r="P3158" t="str">
        <f>IFERROR(__xludf.DUMMYFUNCTION("""COMPUTED_VALUE"""),"18 inch")</f>
        <v>18 inch</v>
      </c>
      <c r="Q3158" t="str">
        <f>IFERROR(__xludf.DUMMYFUNCTION("""COMPUTED_VALUE"""),"All Black")</f>
        <v>All Black</v>
      </c>
      <c r="R3158" t="str">
        <f>IFERROR(__xludf.DUMMYFUNCTION("""COMPUTED_VALUE"""),"Autopilot included")</f>
        <v>Autopilot included</v>
      </c>
      <c r="S3158" t="str">
        <f>IFERROR(__xludf.DUMMYFUNCTION("""COMPUTED_VALUE"""),"Loan")</f>
        <v>Loan</v>
      </c>
      <c r="T3158" t="str">
        <f>IFERROR(__xludf.DUMMYFUNCTION("""COMPUTED_VALUE"""),"Model 3 will be my first car!")</f>
        <v>Model 3 will be my first car!</v>
      </c>
      <c r="U3158" t="str">
        <f>IFERROR(__xludf.DUMMYFUNCTION("""COMPUTED_VALUE"""),"Electric!")</f>
        <v>Electric!</v>
      </c>
      <c r="AH3158" s="189">
        <f>IFERROR(__xludf.DUMMYFUNCTION("""COMPUTED_VALUE"""),44408.48103350695)</f>
        <v>44408.48103</v>
      </c>
    </row>
    <row r="3159">
      <c r="A3159" t="str">
        <f>IFERROR(__xludf.DUMMYFUNCTION("""COMPUTED_VALUE"""),"Mikejones11")</f>
        <v>Mikejones11</v>
      </c>
      <c r="B3159" t="str">
        <f>IFERROR(__xludf.DUMMYFUNCTION("""COMPUTED_VALUE"""),"Austin")</f>
        <v>Austin</v>
      </c>
      <c r="C3159" t="str">
        <f>IFERROR(__xludf.DUMMYFUNCTION("""COMPUTED_VALUE"""),"TX")</f>
        <v>TX</v>
      </c>
      <c r="D3159" t="str">
        <f>IFERROR(__xludf.DUMMYFUNCTION("""COMPUTED_VALUE"""),"USA")</f>
        <v>USA</v>
      </c>
      <c r="E3159" s="188">
        <f>IFERROR(__xludf.DUMMYFUNCTION("""COMPUTED_VALUE"""),44367.0)</f>
        <v>44367</v>
      </c>
      <c r="F3159" s="188">
        <f>IFERROR(__xludf.DUMMYFUNCTION("""COMPUTED_VALUE"""),44401.0)</f>
        <v>44401</v>
      </c>
      <c r="G3159" t="str">
        <f>IFERROR(__xludf.DUMMYFUNCTION("""COMPUTED_VALUE"""),"Manage order page (normal text)")</f>
        <v>Manage order page (normal text)</v>
      </c>
      <c r="H3159">
        <f>IFERROR(__xludf.DUMMYFUNCTION("""COMPUTED_VALUE"""),19409.0)</f>
        <v>19409</v>
      </c>
      <c r="J3159" s="188">
        <f>IFERROR(__xludf.DUMMYFUNCTION("""COMPUTED_VALUE"""),44412.0)</f>
        <v>44412</v>
      </c>
      <c r="K3159">
        <f>IFERROR(__xludf.DUMMYFUNCTION("""COMPUTED_VALUE"""),34.0)</f>
        <v>34</v>
      </c>
      <c r="L3159">
        <f>IFERROR(__xludf.DUMMYFUNCTION("""COMPUTED_VALUE"""),11.0)</f>
        <v>11</v>
      </c>
      <c r="M3159">
        <f>IFERROR(__xludf.DUMMYFUNCTION("""COMPUTED_VALUE"""),45.0)</f>
        <v>45</v>
      </c>
      <c r="N3159" t="str">
        <f>IFERROR(__xludf.DUMMYFUNCTION("""COMPUTED_VALUE"""),"Model 3 LR AWD")</f>
        <v>Model 3 LR AWD</v>
      </c>
      <c r="O3159" t="str">
        <f>IFERROR(__xludf.DUMMYFUNCTION("""COMPUTED_VALUE"""),"Deep Blue Metallic")</f>
        <v>Deep Blue Metallic</v>
      </c>
      <c r="P3159" t="str">
        <f>IFERROR(__xludf.DUMMYFUNCTION("""COMPUTED_VALUE"""),"18 inch")</f>
        <v>18 inch</v>
      </c>
      <c r="Q3159" t="str">
        <f>IFERROR(__xludf.DUMMYFUNCTION("""COMPUTED_VALUE"""),"All Black")</f>
        <v>All Black</v>
      </c>
      <c r="R3159" t="str">
        <f>IFERROR(__xludf.DUMMYFUNCTION("""COMPUTED_VALUE"""),"Autopilot included")</f>
        <v>Autopilot included</v>
      </c>
      <c r="S3159" t="str">
        <f>IFERROR(__xludf.DUMMYFUNCTION("""COMPUTED_VALUE"""),"Loan")</f>
        <v>Loan</v>
      </c>
      <c r="AH3159" s="189">
        <f>IFERROR(__xludf.DUMMYFUNCTION("""COMPUTED_VALUE"""),44404.396361990744)</f>
        <v>44404.39636</v>
      </c>
    </row>
    <row r="3160">
      <c r="A3160" t="str">
        <f>IFERROR(__xludf.DUMMYFUNCTION("""COMPUTED_VALUE"""),"Bujs")</f>
        <v>Bujs</v>
      </c>
      <c r="B3160" t="str">
        <f>IFERROR(__xludf.DUMMYFUNCTION("""COMPUTED_VALUE"""),"Eden Prairie")</f>
        <v>Eden Prairie</v>
      </c>
      <c r="C3160" t="str">
        <f>IFERROR(__xludf.DUMMYFUNCTION("""COMPUTED_VALUE"""),"MN")</f>
        <v>MN</v>
      </c>
      <c r="D3160" t="str">
        <f>IFERROR(__xludf.DUMMYFUNCTION("""COMPUTED_VALUE"""),"USA")</f>
        <v>USA</v>
      </c>
      <c r="E3160" s="188">
        <f>IFERROR(__xludf.DUMMYFUNCTION("""COMPUTED_VALUE"""),44351.0)</f>
        <v>44351</v>
      </c>
      <c r="F3160" s="188">
        <f>IFERROR(__xludf.DUMMYFUNCTION("""COMPUTED_VALUE"""),44391.0)</f>
        <v>44391</v>
      </c>
      <c r="G3160" t="str">
        <f>IFERROR(__xludf.DUMMYFUNCTION("""COMPUTED_VALUE"""),"Email")</f>
        <v>Email</v>
      </c>
      <c r="J3160" s="188">
        <f>IFERROR(__xludf.DUMMYFUNCTION("""COMPUTED_VALUE"""),44406.0)</f>
        <v>44406</v>
      </c>
      <c r="K3160">
        <f>IFERROR(__xludf.DUMMYFUNCTION("""COMPUTED_VALUE"""),40.0)</f>
        <v>40</v>
      </c>
      <c r="L3160">
        <f>IFERROR(__xludf.DUMMYFUNCTION("""COMPUTED_VALUE"""),15.0)</f>
        <v>15</v>
      </c>
      <c r="M3160">
        <f>IFERROR(__xludf.DUMMYFUNCTION("""COMPUTED_VALUE"""),55.0)</f>
        <v>55</v>
      </c>
      <c r="N3160" t="str">
        <f>IFERROR(__xludf.DUMMYFUNCTION("""COMPUTED_VALUE"""),"Model 3 LR AWD")</f>
        <v>Model 3 LR AWD</v>
      </c>
      <c r="O3160" t="str">
        <f>IFERROR(__xludf.DUMMYFUNCTION("""COMPUTED_VALUE"""),"Pearl White Multi-Coat")</f>
        <v>Pearl White Multi-Coat</v>
      </c>
      <c r="P3160" t="str">
        <f>IFERROR(__xludf.DUMMYFUNCTION("""COMPUTED_VALUE"""),"18 inch")</f>
        <v>18 inch</v>
      </c>
      <c r="Q3160" t="str">
        <f>IFERROR(__xludf.DUMMYFUNCTION("""COMPUTED_VALUE"""),"All Black")</f>
        <v>All Black</v>
      </c>
      <c r="R3160" t="str">
        <f>IFERROR(__xludf.DUMMYFUNCTION("""COMPUTED_VALUE"""),"Autopilot included")</f>
        <v>Autopilot included</v>
      </c>
      <c r="S3160" t="str">
        <f>IFERROR(__xludf.DUMMYFUNCTION("""COMPUTED_VALUE"""),"Loan")</f>
        <v>Loan</v>
      </c>
      <c r="AH3160" s="189">
        <f>IFERROR(__xludf.DUMMYFUNCTION("""COMPUTED_VALUE"""),44412.51234724537)</f>
        <v>44412.51235</v>
      </c>
    </row>
    <row r="3161">
      <c r="A3161" t="str">
        <f>IFERROR(__xludf.DUMMYFUNCTION("""COMPUTED_VALUE"""),"maowai")</f>
        <v>maowai</v>
      </c>
      <c r="B3161" t="str">
        <f>IFERROR(__xludf.DUMMYFUNCTION("""COMPUTED_VALUE"""),"Longmont")</f>
        <v>Longmont</v>
      </c>
      <c r="C3161" t="str">
        <f>IFERROR(__xludf.DUMMYFUNCTION("""COMPUTED_VALUE"""),"CO")</f>
        <v>CO</v>
      </c>
      <c r="D3161" t="str">
        <f>IFERROR(__xludf.DUMMYFUNCTION("""COMPUTED_VALUE"""),"USA")</f>
        <v>USA</v>
      </c>
      <c r="E3161" s="188">
        <f>IFERROR(__xludf.DUMMYFUNCTION("""COMPUTED_VALUE"""),44390.0)</f>
        <v>44390</v>
      </c>
      <c r="F3161" s="188">
        <f>IFERROR(__xludf.DUMMYFUNCTION("""COMPUTED_VALUE"""),44423.0)</f>
        <v>44423</v>
      </c>
      <c r="G3161" t="str">
        <f>IFERROR(__xludf.DUMMYFUNCTION("""COMPUTED_VALUE"""),"Manage order page (normal text)")</f>
        <v>Manage order page (normal text)</v>
      </c>
      <c r="H3161">
        <f>IFERROR(__xludf.DUMMYFUNCTION("""COMPUTED_VALUE"""),37214.0)</f>
        <v>37214</v>
      </c>
      <c r="J3161" s="188">
        <f>IFERROR(__xludf.DUMMYFUNCTION("""COMPUTED_VALUE"""),44438.0)</f>
        <v>44438</v>
      </c>
      <c r="K3161">
        <f>IFERROR(__xludf.DUMMYFUNCTION("""COMPUTED_VALUE"""),33.0)</f>
        <v>33</v>
      </c>
      <c r="L3161">
        <f>IFERROR(__xludf.DUMMYFUNCTION("""COMPUTED_VALUE"""),15.0)</f>
        <v>15</v>
      </c>
      <c r="M3161">
        <f>IFERROR(__xludf.DUMMYFUNCTION("""COMPUTED_VALUE"""),48.0)</f>
        <v>48</v>
      </c>
      <c r="N3161" t="str">
        <f>IFERROR(__xludf.DUMMYFUNCTION("""COMPUTED_VALUE"""),"Model 3 LR AWD")</f>
        <v>Model 3 LR AWD</v>
      </c>
      <c r="O3161" t="str">
        <f>IFERROR(__xludf.DUMMYFUNCTION("""COMPUTED_VALUE"""),"Pearl White Multi-Coat")</f>
        <v>Pearl White Multi-Coat</v>
      </c>
      <c r="P3161" t="str">
        <f>IFERROR(__xludf.DUMMYFUNCTION("""COMPUTED_VALUE"""),"18 inch")</f>
        <v>18 inch</v>
      </c>
      <c r="Q3161" t="str">
        <f>IFERROR(__xludf.DUMMYFUNCTION("""COMPUTED_VALUE"""),"Black and White")</f>
        <v>Black and White</v>
      </c>
      <c r="R3161" t="str">
        <f>IFERROR(__xludf.DUMMYFUNCTION("""COMPUTED_VALUE"""),"Autopilot included")</f>
        <v>Autopilot included</v>
      </c>
      <c r="V3161" t="str">
        <f>IFERROR(__xludf.DUMMYFUNCTION("""COMPUTED_VALUE"""),"360° Bird's eye view")</f>
        <v>360° Bird's eye view</v>
      </c>
      <c r="X3161" t="str">
        <f>IFERROR(__xludf.DUMMYFUNCTION("""COMPUTED_VALUE"""),"Good")</f>
        <v>Good</v>
      </c>
      <c r="Y3161" t="str">
        <f>IFERROR(__xludf.DUMMYFUNCTION("""COMPUTED_VALUE"""),"Very Good")</f>
        <v>Very Good</v>
      </c>
      <c r="Z3161" t="str">
        <f>IFERROR(__xludf.DUMMYFUNCTION("""COMPUTED_VALUE"""),"Excellent")</f>
        <v>Excellent</v>
      </c>
      <c r="AA3161" t="str">
        <f>IFERROR(__xludf.DUMMYFUNCTION("""COMPUTED_VALUE"""),"Good")</f>
        <v>Good</v>
      </c>
      <c r="AB3161" t="str">
        <f>IFERROR(__xludf.DUMMYFUNCTION("""COMPUTED_VALUE"""),"Very Good")</f>
        <v>Very Good</v>
      </c>
      <c r="AC3161">
        <f>IFERROR(__xludf.DUMMYFUNCTION("""COMPUTED_VALUE"""),1.0)</f>
        <v>1</v>
      </c>
      <c r="AD3161">
        <f>IFERROR(__xludf.DUMMYFUNCTION("""COMPUTED_VALUE"""),1.0)</f>
        <v>1</v>
      </c>
      <c r="AE3161">
        <f>IFERROR(__xludf.DUMMYFUNCTION("""COMPUTED_VALUE"""),0.0)</f>
        <v>0</v>
      </c>
      <c r="AF3161" t="str">
        <f>IFERROR(__xludf.DUMMYFUNCTION("""COMPUTED_VALUE"""),"No. I took delivery of the first car Tesla was able to deliver.")</f>
        <v>No. I took delivery of the first car Tesla was able to deliver.</v>
      </c>
      <c r="AH3161" s="189">
        <f>IFERROR(__xludf.DUMMYFUNCTION("""COMPUTED_VALUE"""),44459.42140895833)</f>
        <v>44459.42141</v>
      </c>
    </row>
    <row r="3162">
      <c r="A3162" t="str">
        <f>IFERROR(__xludf.DUMMYFUNCTION("""COMPUTED_VALUE"""),"vacaboca")</f>
        <v>vacaboca</v>
      </c>
      <c r="C3162" t="str">
        <f>IFERROR(__xludf.DUMMYFUNCTION("""COMPUTED_VALUE"""),"MA")</f>
        <v>MA</v>
      </c>
      <c r="D3162" t="str">
        <f>IFERROR(__xludf.DUMMYFUNCTION("""COMPUTED_VALUE"""),"USA")</f>
        <v>USA</v>
      </c>
      <c r="E3162" s="188">
        <f>IFERROR(__xludf.DUMMYFUNCTION("""COMPUTED_VALUE"""),44368.0)</f>
        <v>44368</v>
      </c>
      <c r="F3162" s="188">
        <f>IFERROR(__xludf.DUMMYFUNCTION("""COMPUTED_VALUE"""),44420.0)</f>
        <v>44420</v>
      </c>
      <c r="G3162" t="str">
        <f>IFERROR(__xludf.DUMMYFUNCTION("""COMPUTED_VALUE"""),"Manage order page (normal text)")</f>
        <v>Manage order page (normal text)</v>
      </c>
      <c r="H3162">
        <f>IFERROR(__xludf.DUMMYFUNCTION("""COMPUTED_VALUE"""),34855.0)</f>
        <v>34855</v>
      </c>
      <c r="I3162" t="str">
        <f>IFERROR(__xludf.DUMMYFUNCTION("""COMPUTED_VALUE"""),"08/21")</f>
        <v>08/21</v>
      </c>
      <c r="J3162" s="188">
        <f>IFERROR(__xludf.DUMMYFUNCTION("""COMPUTED_VALUE"""),44433.0)</f>
        <v>44433</v>
      </c>
      <c r="K3162">
        <f>IFERROR(__xludf.DUMMYFUNCTION("""COMPUTED_VALUE"""),52.0)</f>
        <v>52</v>
      </c>
      <c r="L3162">
        <f>IFERROR(__xludf.DUMMYFUNCTION("""COMPUTED_VALUE"""),13.0)</f>
        <v>13</v>
      </c>
      <c r="M3162">
        <f>IFERROR(__xludf.DUMMYFUNCTION("""COMPUTED_VALUE"""),65.0)</f>
        <v>65</v>
      </c>
      <c r="N3162" t="str">
        <f>IFERROR(__xludf.DUMMYFUNCTION("""COMPUTED_VALUE"""),"Model 3 LR AWD")</f>
        <v>Model 3 LR AWD</v>
      </c>
      <c r="O3162" t="str">
        <f>IFERROR(__xludf.DUMMYFUNCTION("""COMPUTED_VALUE"""),"Red Multi-Coat")</f>
        <v>Red Multi-Coat</v>
      </c>
      <c r="P3162" t="str">
        <f>IFERROR(__xludf.DUMMYFUNCTION("""COMPUTED_VALUE"""),"18 inch")</f>
        <v>18 inch</v>
      </c>
      <c r="Q3162" t="str">
        <f>IFERROR(__xludf.DUMMYFUNCTION("""COMPUTED_VALUE"""),"All Black")</f>
        <v>All Black</v>
      </c>
      <c r="R3162" t="str">
        <f>IFERROR(__xludf.DUMMYFUNCTION("""COMPUTED_VALUE"""),"Full Self-Driving")</f>
        <v>Full Self-Driving</v>
      </c>
      <c r="S3162" t="str">
        <f>IFERROR(__xludf.DUMMYFUNCTION("""COMPUTED_VALUE"""),"Loan")</f>
        <v>Loan</v>
      </c>
      <c r="T3162" t="str">
        <f>IFERROR(__xludf.DUMMYFUNCTION("""COMPUTED_VALUE"""),"Toyota Prius Prime")</f>
        <v>Toyota Prius Prime</v>
      </c>
      <c r="U3162" t="str">
        <f>IFERROR(__xludf.DUMMYFUNCTION("""COMPUTED_VALUE"""),"Autopilot")</f>
        <v>Autopilot</v>
      </c>
      <c r="V3162" t="str">
        <f>IFERROR(__xludf.DUMMYFUNCTION("""COMPUTED_VALUE"""),"360° Bird's eye view")</f>
        <v>360° Bird's eye view</v>
      </c>
      <c r="X3162" t="str">
        <f>IFERROR(__xludf.DUMMYFUNCTION("""COMPUTED_VALUE"""),"Excellent")</f>
        <v>Excellent</v>
      </c>
      <c r="Y3162" t="str">
        <f>IFERROR(__xludf.DUMMYFUNCTION("""COMPUTED_VALUE"""),"Excellent")</f>
        <v>Excellent</v>
      </c>
      <c r="Z3162" t="str">
        <f>IFERROR(__xludf.DUMMYFUNCTION("""COMPUTED_VALUE"""),"Excellent")</f>
        <v>Excellent</v>
      </c>
      <c r="AA3162" t="str">
        <f>IFERROR(__xludf.DUMMYFUNCTION("""COMPUTED_VALUE"""),"Good")</f>
        <v>Good</v>
      </c>
      <c r="AB3162" t="str">
        <f>IFERROR(__xludf.DUMMYFUNCTION("""COMPUTED_VALUE"""),"Very Good")</f>
        <v>Very Good</v>
      </c>
      <c r="AC3162">
        <f>IFERROR(__xludf.DUMMYFUNCTION("""COMPUTED_VALUE"""),1.0)</f>
        <v>1</v>
      </c>
      <c r="AD3162">
        <f>IFERROR(__xludf.DUMMYFUNCTION("""COMPUTED_VALUE"""),1.0)</f>
        <v>1</v>
      </c>
      <c r="AE3162">
        <f>IFERROR(__xludf.DUMMYFUNCTION("""COMPUTED_VALUE"""),0.0)</f>
        <v>0</v>
      </c>
      <c r="AF3162" t="str">
        <f>IFERROR(__xludf.DUMMYFUNCTION("""COMPUTED_VALUE"""),"No. I took delivery of the first car Tesla was able to deliver.")</f>
        <v>No. I took delivery of the first car Tesla was able to deliver.</v>
      </c>
      <c r="AH3162" s="189">
        <f>IFERROR(__xludf.DUMMYFUNCTION("""COMPUTED_VALUE"""),44459.49138233796)</f>
        <v>44459.49138</v>
      </c>
    </row>
    <row r="3163">
      <c r="A3163" t="str">
        <f>IFERROR(__xludf.DUMMYFUNCTION("""COMPUTED_VALUE"""),"ATCMAN")</f>
        <v>ATCMAN</v>
      </c>
      <c r="B3163" t="str">
        <f>IFERROR(__xludf.DUMMYFUNCTION("""COMPUTED_VALUE"""),"Charlotte")</f>
        <v>Charlotte</v>
      </c>
      <c r="C3163" t="str">
        <f>IFERROR(__xludf.DUMMYFUNCTION("""COMPUTED_VALUE"""),"NC")</f>
        <v>NC</v>
      </c>
      <c r="D3163" t="str">
        <f>IFERROR(__xludf.DUMMYFUNCTION("""COMPUTED_VALUE"""),"USA")</f>
        <v>USA</v>
      </c>
      <c r="E3163" s="188">
        <f>IFERROR(__xludf.DUMMYFUNCTION("""COMPUTED_VALUE"""),44346.0)</f>
        <v>44346</v>
      </c>
      <c r="F3163" s="188">
        <f>IFERROR(__xludf.DUMMYFUNCTION("""COMPUTED_VALUE"""),44407.0)</f>
        <v>44407</v>
      </c>
      <c r="G3163" t="str">
        <f>IFERROR(__xludf.DUMMYFUNCTION("""COMPUTED_VALUE"""),"Email")</f>
        <v>Email</v>
      </c>
      <c r="H3163">
        <f>IFERROR(__xludf.DUMMYFUNCTION("""COMPUTED_VALUE"""),23055.0)</f>
        <v>23055</v>
      </c>
      <c r="J3163" s="188">
        <f>IFERROR(__xludf.DUMMYFUNCTION("""COMPUTED_VALUE"""),44423.0)</f>
        <v>44423</v>
      </c>
      <c r="K3163">
        <f>IFERROR(__xludf.DUMMYFUNCTION("""COMPUTED_VALUE"""),61.0)</f>
        <v>61</v>
      </c>
      <c r="L3163">
        <f>IFERROR(__xludf.DUMMYFUNCTION("""COMPUTED_VALUE"""),16.0)</f>
        <v>16</v>
      </c>
      <c r="M3163">
        <f>IFERROR(__xludf.DUMMYFUNCTION("""COMPUTED_VALUE"""),77.0)</f>
        <v>77</v>
      </c>
      <c r="N3163" t="str">
        <f>IFERROR(__xludf.DUMMYFUNCTION("""COMPUTED_VALUE"""),"Model 3 SR+")</f>
        <v>Model 3 SR+</v>
      </c>
      <c r="O3163" t="str">
        <f>IFERROR(__xludf.DUMMYFUNCTION("""COMPUTED_VALUE"""),"Deep Blue Metallic")</f>
        <v>Deep Blue Metallic</v>
      </c>
      <c r="P3163" t="str">
        <f>IFERROR(__xludf.DUMMYFUNCTION("""COMPUTED_VALUE"""),"18 inch")</f>
        <v>18 inch</v>
      </c>
      <c r="Q3163" t="str">
        <f>IFERROR(__xludf.DUMMYFUNCTION("""COMPUTED_VALUE"""),"All Black")</f>
        <v>All Black</v>
      </c>
      <c r="R3163" t="str">
        <f>IFERROR(__xludf.DUMMYFUNCTION("""COMPUTED_VALUE"""),"Autopilot included")</f>
        <v>Autopilot included</v>
      </c>
      <c r="S3163" t="str">
        <f>IFERROR(__xludf.DUMMYFUNCTION("""COMPUTED_VALUE"""),"Cash")</f>
        <v>Cash</v>
      </c>
      <c r="V3163" t="str">
        <f>IFERROR(__xludf.DUMMYFUNCTION("""COMPUTED_VALUE"""),"Head-up display")</f>
        <v>Head-up display</v>
      </c>
      <c r="AH3163" s="189">
        <f>IFERROR(__xludf.DUMMYFUNCTION("""COMPUTED_VALUE"""),44423.48341423611)</f>
        <v>44423.48341</v>
      </c>
    </row>
    <row r="3164">
      <c r="A3164" t="str">
        <f>IFERROR(__xludf.DUMMYFUNCTION("""COMPUTED_VALUE"""),"Dponz")</f>
        <v>Dponz</v>
      </c>
      <c r="B3164" t="str">
        <f>IFERROR(__xludf.DUMMYFUNCTION("""COMPUTED_VALUE"""),"Tokyo")</f>
        <v>Tokyo</v>
      </c>
      <c r="D3164" t="str">
        <f>IFERROR(__xludf.DUMMYFUNCTION("""COMPUTED_VALUE"""),"Japan")</f>
        <v>Japan</v>
      </c>
      <c r="E3164" s="188">
        <f>IFERROR(__xludf.DUMMYFUNCTION("""COMPUTED_VALUE"""),44311.0)</f>
        <v>44311</v>
      </c>
      <c r="F3164" s="188">
        <f>IFERROR(__xludf.DUMMYFUNCTION("""COMPUTED_VALUE"""),44420.0)</f>
        <v>44420</v>
      </c>
      <c r="G3164" t="str">
        <f>IFERROR(__xludf.DUMMYFUNCTION("""COMPUTED_VALUE"""),"Manage order page (normal text)")</f>
        <v>Manage order page (normal text)</v>
      </c>
      <c r="H3164">
        <f>IFERROR(__xludf.DUMMYFUNCTION("""COMPUTED_VALUE"""),328455.0)</f>
        <v>328455</v>
      </c>
      <c r="J3164" s="188">
        <f>IFERROR(__xludf.DUMMYFUNCTION("""COMPUTED_VALUE"""),44446.0)</f>
        <v>44446</v>
      </c>
      <c r="K3164">
        <f>IFERROR(__xludf.DUMMYFUNCTION("""COMPUTED_VALUE"""),109.0)</f>
        <v>109</v>
      </c>
      <c r="L3164">
        <f>IFERROR(__xludf.DUMMYFUNCTION("""COMPUTED_VALUE"""),26.0)</f>
        <v>26</v>
      </c>
      <c r="M3164">
        <f>IFERROR(__xludf.DUMMYFUNCTION("""COMPUTED_VALUE"""),135.0)</f>
        <v>135</v>
      </c>
      <c r="N3164" t="str">
        <f>IFERROR(__xludf.DUMMYFUNCTION("""COMPUTED_VALUE"""),"Model 3 LR AWD")</f>
        <v>Model 3 LR AWD</v>
      </c>
      <c r="O3164" t="str">
        <f>IFERROR(__xludf.DUMMYFUNCTION("""COMPUTED_VALUE"""),"Deep Blue Metallic")</f>
        <v>Deep Blue Metallic</v>
      </c>
      <c r="P3164" t="str">
        <f>IFERROR(__xludf.DUMMYFUNCTION("""COMPUTED_VALUE"""),"18 inch")</f>
        <v>18 inch</v>
      </c>
      <c r="Q3164" t="str">
        <f>IFERROR(__xludf.DUMMYFUNCTION("""COMPUTED_VALUE"""),"All Black")</f>
        <v>All Black</v>
      </c>
      <c r="R3164" t="str">
        <f>IFERROR(__xludf.DUMMYFUNCTION("""COMPUTED_VALUE"""),"Autopilot included")</f>
        <v>Autopilot included</v>
      </c>
      <c r="S3164" t="str">
        <f>IFERROR(__xludf.DUMMYFUNCTION("""COMPUTED_VALUE"""),"Loan")</f>
        <v>Loan</v>
      </c>
      <c r="U3164" t="str">
        <f>IFERROR(__xludf.DUMMYFUNCTION("""COMPUTED_VALUE"""),"Electric!")</f>
        <v>Electric!</v>
      </c>
      <c r="V3164" t="str">
        <f>IFERROR(__xludf.DUMMYFUNCTION("""COMPUTED_VALUE"""),"Head-up display")</f>
        <v>Head-up display</v>
      </c>
      <c r="AH3164" s="189">
        <f>IFERROR(__xludf.DUMMYFUNCTION("""COMPUTED_VALUE"""),44436.77548335648)</f>
        <v>44436.77548</v>
      </c>
    </row>
    <row r="3165">
      <c r="A3165" t="str">
        <f>IFERROR(__xludf.DUMMYFUNCTION("""COMPUTED_VALUE"""),"mort")</f>
        <v>mort</v>
      </c>
      <c r="B3165" t="str">
        <f>IFERROR(__xludf.DUMMYFUNCTION("""COMPUTED_VALUE"""),"Toronto")</f>
        <v>Toronto</v>
      </c>
      <c r="C3165" t="str">
        <f>IFERROR(__xludf.DUMMYFUNCTION("""COMPUTED_VALUE"""),"ON")</f>
        <v>ON</v>
      </c>
      <c r="D3165" t="str">
        <f>IFERROR(__xludf.DUMMYFUNCTION("""COMPUTED_VALUE"""),"Canada")</f>
        <v>Canada</v>
      </c>
      <c r="E3165" s="188">
        <f>IFERROR(__xludf.DUMMYFUNCTION("""COMPUTED_VALUE"""),44351.0)</f>
        <v>44351</v>
      </c>
      <c r="F3165" s="188">
        <f>IFERROR(__xludf.DUMMYFUNCTION("""COMPUTED_VALUE"""),44414.0)</f>
        <v>44414</v>
      </c>
      <c r="G3165" t="str">
        <f>IFERROR(__xludf.DUMMYFUNCTION("""COMPUTED_VALUE"""),"Source code")</f>
        <v>Source code</v>
      </c>
      <c r="H3165">
        <f>IFERROR(__xludf.DUMMYFUNCTION("""COMPUTED_VALUE"""),21555.0)</f>
        <v>21555</v>
      </c>
      <c r="J3165" s="188">
        <f>IFERROR(__xludf.DUMMYFUNCTION("""COMPUTED_VALUE"""),44421.0)</f>
        <v>44421</v>
      </c>
      <c r="K3165">
        <f>IFERROR(__xludf.DUMMYFUNCTION("""COMPUTED_VALUE"""),63.0)</f>
        <v>63</v>
      </c>
      <c r="L3165">
        <f>IFERROR(__xludf.DUMMYFUNCTION("""COMPUTED_VALUE"""),7.0)</f>
        <v>7</v>
      </c>
      <c r="M3165">
        <f>IFERROR(__xludf.DUMMYFUNCTION("""COMPUTED_VALUE"""),70.0)</f>
        <v>70</v>
      </c>
      <c r="N3165" t="str">
        <f>IFERROR(__xludf.DUMMYFUNCTION("""COMPUTED_VALUE"""),"Model 3 SR+")</f>
        <v>Model 3 SR+</v>
      </c>
      <c r="O3165" t="str">
        <f>IFERROR(__xludf.DUMMYFUNCTION("""COMPUTED_VALUE"""),"Red Multi-Coat")</f>
        <v>Red Multi-Coat</v>
      </c>
      <c r="P3165" t="str">
        <f>IFERROR(__xludf.DUMMYFUNCTION("""COMPUTED_VALUE"""),"18 inch")</f>
        <v>18 inch</v>
      </c>
      <c r="Q3165" t="str">
        <f>IFERROR(__xludf.DUMMYFUNCTION("""COMPUTED_VALUE"""),"All Black")</f>
        <v>All Black</v>
      </c>
      <c r="R3165" t="str">
        <f>IFERROR(__xludf.DUMMYFUNCTION("""COMPUTED_VALUE"""),"Autopilot included")</f>
        <v>Autopilot included</v>
      </c>
      <c r="S3165" t="str">
        <f>IFERROR(__xludf.DUMMYFUNCTION("""COMPUTED_VALUE"""),"Cash")</f>
        <v>Cash</v>
      </c>
      <c r="T3165" t="str">
        <f>IFERROR(__xludf.DUMMYFUNCTION("""COMPUTED_VALUE"""),"Lexus ES350")</f>
        <v>Lexus ES350</v>
      </c>
      <c r="U3165" t="str">
        <f>IFERROR(__xludf.DUMMYFUNCTION("""COMPUTED_VALUE"""),"Electric!")</f>
        <v>Electric!</v>
      </c>
      <c r="V3165" t="str">
        <f>IFERROR(__xludf.DUMMYFUNCTION("""COMPUTED_VALUE"""),"360° Bird's eye view")</f>
        <v>360° Bird's eye view</v>
      </c>
      <c r="X3165" t="str">
        <f>IFERROR(__xludf.DUMMYFUNCTION("""COMPUTED_VALUE"""),"Good")</f>
        <v>Good</v>
      </c>
      <c r="Y3165" t="str">
        <f>IFERROR(__xludf.DUMMYFUNCTION("""COMPUTED_VALUE"""),"Excellent")</f>
        <v>Excellent</v>
      </c>
      <c r="Z3165" t="str">
        <f>IFERROR(__xludf.DUMMYFUNCTION("""COMPUTED_VALUE"""),"Very Good")</f>
        <v>Very Good</v>
      </c>
      <c r="AA3165" t="str">
        <f>IFERROR(__xludf.DUMMYFUNCTION("""COMPUTED_VALUE"""),"Good")</f>
        <v>Good</v>
      </c>
      <c r="AB3165" t="str">
        <f>IFERROR(__xludf.DUMMYFUNCTION("""COMPUTED_VALUE"""),"Very Good")</f>
        <v>Very Good</v>
      </c>
      <c r="AC3165">
        <f>IFERROR(__xludf.DUMMYFUNCTION("""COMPUTED_VALUE"""),3.0)</f>
        <v>3</v>
      </c>
      <c r="AF3165" t="str">
        <f>IFERROR(__xludf.DUMMYFUNCTION("""COMPUTED_VALUE"""),"No. I took delivery of the first car Tesla was able to deliver.")</f>
        <v>No. I took delivery of the first car Tesla was able to deliver.</v>
      </c>
      <c r="AH3165" s="189">
        <f>IFERROR(__xludf.DUMMYFUNCTION("""COMPUTED_VALUE"""),44421.74280547454)</f>
        <v>44421.74281</v>
      </c>
    </row>
    <row r="3166">
      <c r="A3166" t="str">
        <f>IFERROR(__xludf.DUMMYFUNCTION("""COMPUTED_VALUE"""),"jayg")</f>
        <v>jayg</v>
      </c>
      <c r="B3166" t="str">
        <f>IFERROR(__xludf.DUMMYFUNCTION("""COMPUTED_VALUE"""),"San Diego")</f>
        <v>San Diego</v>
      </c>
      <c r="C3166" t="str">
        <f>IFERROR(__xludf.DUMMYFUNCTION("""COMPUTED_VALUE"""),"CA")</f>
        <v>CA</v>
      </c>
      <c r="D3166" t="str">
        <f>IFERROR(__xludf.DUMMYFUNCTION("""COMPUTED_VALUE"""),"USA")</f>
        <v>USA</v>
      </c>
      <c r="E3166" s="188">
        <f>IFERROR(__xludf.DUMMYFUNCTION("""COMPUTED_VALUE"""),44386.0)</f>
        <v>44386</v>
      </c>
      <c r="F3166" s="188">
        <f>IFERROR(__xludf.DUMMYFUNCTION("""COMPUTED_VALUE"""),44441.0)</f>
        <v>44441</v>
      </c>
      <c r="G3166" t="str">
        <f>IFERROR(__xludf.DUMMYFUNCTION("""COMPUTED_VALUE"""),"Manage order page (normal text)")</f>
        <v>Manage order page (normal text)</v>
      </c>
      <c r="H3166">
        <f>IFERROR(__xludf.DUMMYFUNCTION("""COMPUTED_VALUE"""),56655.0)</f>
        <v>56655</v>
      </c>
      <c r="I3166" t="str">
        <f>IFERROR(__xludf.DUMMYFUNCTION("""COMPUTED_VALUE"""),"09/21")</f>
        <v>09/21</v>
      </c>
      <c r="J3166" s="188">
        <f>IFERROR(__xludf.DUMMYFUNCTION("""COMPUTED_VALUE"""),44445.0)</f>
        <v>44445</v>
      </c>
      <c r="K3166">
        <f>IFERROR(__xludf.DUMMYFUNCTION("""COMPUTED_VALUE"""),55.0)</f>
        <v>55</v>
      </c>
      <c r="L3166">
        <f>IFERROR(__xludf.DUMMYFUNCTION("""COMPUTED_VALUE"""),4.0)</f>
        <v>4</v>
      </c>
      <c r="M3166">
        <f>IFERROR(__xludf.DUMMYFUNCTION("""COMPUTED_VALUE"""),59.0)</f>
        <v>59</v>
      </c>
      <c r="N3166" t="str">
        <f>IFERROR(__xludf.DUMMYFUNCTION("""COMPUTED_VALUE"""),"Model 3 LR AWD")</f>
        <v>Model 3 LR AWD</v>
      </c>
      <c r="O3166" t="str">
        <f>IFERROR(__xludf.DUMMYFUNCTION("""COMPUTED_VALUE"""),"Midnight Silver Metallic")</f>
        <v>Midnight Silver Metallic</v>
      </c>
      <c r="P3166" t="str">
        <f>IFERROR(__xludf.DUMMYFUNCTION("""COMPUTED_VALUE"""),"18 inch")</f>
        <v>18 inch</v>
      </c>
      <c r="Q3166" t="str">
        <f>IFERROR(__xludf.DUMMYFUNCTION("""COMPUTED_VALUE"""),"All Black")</f>
        <v>All Black</v>
      </c>
      <c r="R3166" t="str">
        <f>IFERROR(__xludf.DUMMYFUNCTION("""COMPUTED_VALUE"""),"Full Self-Driving")</f>
        <v>Full Self-Driving</v>
      </c>
      <c r="T3166" t="str">
        <f>IFERROR(__xludf.DUMMYFUNCTION("""COMPUTED_VALUE"""),"Toyota Prius")</f>
        <v>Toyota Prius</v>
      </c>
      <c r="U3166" t="str">
        <f>IFERROR(__xludf.DUMMYFUNCTION("""COMPUTED_VALUE"""),"Electric!")</f>
        <v>Electric!</v>
      </c>
      <c r="V3166" t="str">
        <f>IFERROR(__xludf.DUMMYFUNCTION("""COMPUTED_VALUE"""),"360° Bird's eye view")</f>
        <v>360° Bird's eye view</v>
      </c>
      <c r="X3166" t="str">
        <f>IFERROR(__xludf.DUMMYFUNCTION("""COMPUTED_VALUE"""),"Very Good")</f>
        <v>Very Good</v>
      </c>
      <c r="Y3166" t="str">
        <f>IFERROR(__xludf.DUMMYFUNCTION("""COMPUTED_VALUE"""),"Excellent")</f>
        <v>Excellent</v>
      </c>
      <c r="Z3166" t="str">
        <f>IFERROR(__xludf.DUMMYFUNCTION("""COMPUTED_VALUE"""),"Excellent")</f>
        <v>Excellent</v>
      </c>
      <c r="AA3166" t="str">
        <f>IFERROR(__xludf.DUMMYFUNCTION("""COMPUTED_VALUE"""),"Excellent")</f>
        <v>Excellent</v>
      </c>
      <c r="AB3166" t="str">
        <f>IFERROR(__xludf.DUMMYFUNCTION("""COMPUTED_VALUE"""),"Excellent")</f>
        <v>Excellent</v>
      </c>
      <c r="AC3166">
        <f>IFERROR(__xludf.DUMMYFUNCTION("""COMPUTED_VALUE"""),1.0)</f>
        <v>1</v>
      </c>
      <c r="AD3166">
        <f>IFERROR(__xludf.DUMMYFUNCTION("""COMPUTED_VALUE"""),1.0)</f>
        <v>1</v>
      </c>
      <c r="AE3166">
        <f>IFERROR(__xludf.DUMMYFUNCTION("""COMPUTED_VALUE"""),0.0)</f>
        <v>0</v>
      </c>
      <c r="AF3166" t="str">
        <f>IFERROR(__xludf.DUMMYFUNCTION("""COMPUTED_VALUE"""),"No. I took delivery of the first car Tesla was able to deliver.")</f>
        <v>No. I took delivery of the first car Tesla was able to deliver.</v>
      </c>
      <c r="AH3166" s="189">
        <f>IFERROR(__xludf.DUMMYFUNCTION("""COMPUTED_VALUE"""),44446.59606513889)</f>
        <v>44446.59607</v>
      </c>
    </row>
    <row r="3167">
      <c r="A3167" t="str">
        <f>IFERROR(__xludf.DUMMYFUNCTION("""COMPUTED_VALUE"""),"CAF")</f>
        <v>CAF</v>
      </c>
      <c r="B3167" t="str">
        <f>IFERROR(__xludf.DUMMYFUNCTION("""COMPUTED_VALUE"""),"Los Angeles ")</f>
        <v>Los Angeles </v>
      </c>
      <c r="C3167" t="str">
        <f>IFERROR(__xludf.DUMMYFUNCTION("""COMPUTED_VALUE"""),"CA")</f>
        <v>CA</v>
      </c>
      <c r="D3167" t="str">
        <f>IFERROR(__xludf.DUMMYFUNCTION("""COMPUTED_VALUE"""),"USA")</f>
        <v>USA</v>
      </c>
      <c r="E3167" s="188">
        <f>IFERROR(__xludf.DUMMYFUNCTION("""COMPUTED_VALUE"""),44391.0)</f>
        <v>44391</v>
      </c>
      <c r="F3167" s="188">
        <f>IFERROR(__xludf.DUMMYFUNCTION("""COMPUTED_VALUE"""),44422.0)</f>
        <v>44422</v>
      </c>
      <c r="G3167" t="str">
        <f>IFERROR(__xludf.DUMMYFUNCTION("""COMPUTED_VALUE"""),"Email")</f>
        <v>Email</v>
      </c>
      <c r="H3167">
        <f>IFERROR(__xludf.DUMMYFUNCTION("""COMPUTED_VALUE"""),36515.0)</f>
        <v>36515</v>
      </c>
      <c r="I3167" t="str">
        <f>IFERROR(__xludf.DUMMYFUNCTION("""COMPUTED_VALUE"""),"08/21")</f>
        <v>08/21</v>
      </c>
      <c r="J3167" s="188">
        <f>IFERROR(__xludf.DUMMYFUNCTION("""COMPUTED_VALUE"""),44426.0)</f>
        <v>44426</v>
      </c>
      <c r="K3167">
        <f>IFERROR(__xludf.DUMMYFUNCTION("""COMPUTED_VALUE"""),31.0)</f>
        <v>31</v>
      </c>
      <c r="L3167">
        <f>IFERROR(__xludf.DUMMYFUNCTION("""COMPUTED_VALUE"""),4.0)</f>
        <v>4</v>
      </c>
      <c r="M3167">
        <f>IFERROR(__xludf.DUMMYFUNCTION("""COMPUTED_VALUE"""),35.0)</f>
        <v>35</v>
      </c>
      <c r="N3167" t="str">
        <f>IFERROR(__xludf.DUMMYFUNCTION("""COMPUTED_VALUE"""),"Model 3 LR AWD")</f>
        <v>Model 3 LR AWD</v>
      </c>
      <c r="O3167" t="str">
        <f>IFERROR(__xludf.DUMMYFUNCTION("""COMPUTED_VALUE"""),"Midnight Silver Metallic")</f>
        <v>Midnight Silver Metallic</v>
      </c>
      <c r="P3167" t="str">
        <f>IFERROR(__xludf.DUMMYFUNCTION("""COMPUTED_VALUE"""),"19 inch")</f>
        <v>19 inch</v>
      </c>
      <c r="Q3167" t="str">
        <f>IFERROR(__xludf.DUMMYFUNCTION("""COMPUTED_VALUE"""),"Black and White")</f>
        <v>Black and White</v>
      </c>
      <c r="R3167" t="str">
        <f>IFERROR(__xludf.DUMMYFUNCTION("""COMPUTED_VALUE"""),"Autopilot included")</f>
        <v>Autopilot included</v>
      </c>
      <c r="S3167" t="str">
        <f>IFERROR(__xludf.DUMMYFUNCTION("""COMPUTED_VALUE"""),"Cash")</f>
        <v>Cash</v>
      </c>
      <c r="U3167" t="str">
        <f>IFERROR(__xludf.DUMMYFUNCTION("""COMPUTED_VALUE"""),"Electric!")</f>
        <v>Electric!</v>
      </c>
      <c r="V3167" t="str">
        <f>IFERROR(__xludf.DUMMYFUNCTION("""COMPUTED_VALUE"""),"Apple CarPlay / Android Auto / SiriusXM Radio")</f>
        <v>Apple CarPlay / Android Auto / SiriusXM Radio</v>
      </c>
      <c r="W3167" t="str">
        <f>IFERROR(__xludf.DUMMYFUNCTION("""COMPUTED_VALUE"""),"Schedule any PPF or ceramic coating when you get your VIN. Sooner the better to protect the delicate (Fremont) paint.")</f>
        <v>Schedule any PPF or ceramic coating when you get your VIN. Sooner the better to protect the delicate (Fremont) paint.</v>
      </c>
      <c r="AF3167" t="str">
        <f>IFERROR(__xludf.DUMMYFUNCTION("""COMPUTED_VALUE"""),"No. I took delivery of the first car Tesla was able to deliver.")</f>
        <v>No. I took delivery of the first car Tesla was able to deliver.</v>
      </c>
      <c r="AG3167" t="str">
        <f>IFERROR(__xludf.DUMMYFUNCTION("""COMPUTED_VALUE"""),"My EDD hovered in the same time frame for 3 weeks or so and then moved to the right by two weeks and I was bummed but suddenly got an email at midnight requesting final payment/delivery scheduling! I'm in awe they beat their EDD by weeks for me! You never"&amp;" know! :) Good luck! ")</f>
        <v>My EDD hovered in the same time frame for 3 weeks or so and then moved to the right by two weeks and I was bummed but suddenly got an email at midnight requesting final payment/delivery scheduling! I'm in awe they beat their EDD by weeks for me! You never know! :) Good luck! </v>
      </c>
      <c r="AH3167" s="189">
        <f>IFERROR(__xludf.DUMMYFUNCTION("""COMPUTED_VALUE"""),44427.76634814814)</f>
        <v>44427.76635</v>
      </c>
    </row>
    <row r="3168">
      <c r="A3168" t="str">
        <f>IFERROR(__xludf.DUMMYFUNCTION("""COMPUTED_VALUE"""),"Eufonioum")</f>
        <v>Eufonioum</v>
      </c>
      <c r="B3168" t="str">
        <f>IFERROR(__xludf.DUMMYFUNCTION("""COMPUTED_VALUE"""),"Vancouver")</f>
        <v>Vancouver</v>
      </c>
      <c r="C3168" t="str">
        <f>IFERROR(__xludf.DUMMYFUNCTION("""COMPUTED_VALUE"""),"BC")</f>
        <v>BC</v>
      </c>
      <c r="D3168" t="str">
        <f>IFERROR(__xludf.DUMMYFUNCTION("""COMPUTED_VALUE"""),"Canada")</f>
        <v>Canada</v>
      </c>
      <c r="E3168" s="188">
        <f>IFERROR(__xludf.DUMMYFUNCTION("""COMPUTED_VALUE"""),44334.0)</f>
        <v>44334</v>
      </c>
      <c r="F3168" s="188">
        <f>IFERROR(__xludf.DUMMYFUNCTION("""COMPUTED_VALUE"""),44394.0)</f>
        <v>44394</v>
      </c>
      <c r="G3168" t="str">
        <f>IFERROR(__xludf.DUMMYFUNCTION("""COMPUTED_VALUE"""),"Source code")</f>
        <v>Source code</v>
      </c>
      <c r="H3168">
        <f>IFERROR(__xludf.DUMMYFUNCTION("""COMPUTED_VALUE"""),18855.0)</f>
        <v>18855</v>
      </c>
      <c r="J3168" s="188">
        <f>IFERROR(__xludf.DUMMYFUNCTION("""COMPUTED_VALUE"""),44398.0)</f>
        <v>44398</v>
      </c>
      <c r="K3168">
        <f>IFERROR(__xludf.DUMMYFUNCTION("""COMPUTED_VALUE"""),60.0)</f>
        <v>60</v>
      </c>
      <c r="L3168">
        <f>IFERROR(__xludf.DUMMYFUNCTION("""COMPUTED_VALUE"""),4.0)</f>
        <v>4</v>
      </c>
      <c r="M3168">
        <f>IFERROR(__xludf.DUMMYFUNCTION("""COMPUTED_VALUE"""),64.0)</f>
        <v>64</v>
      </c>
      <c r="N3168" t="str">
        <f>IFERROR(__xludf.DUMMYFUNCTION("""COMPUTED_VALUE"""),"Model 3 SR+")</f>
        <v>Model 3 SR+</v>
      </c>
      <c r="O3168" t="str">
        <f>IFERROR(__xludf.DUMMYFUNCTION("""COMPUTED_VALUE"""),"Deep Blue Metallic")</f>
        <v>Deep Blue Metallic</v>
      </c>
      <c r="P3168" t="str">
        <f>IFERROR(__xludf.DUMMYFUNCTION("""COMPUTED_VALUE"""),"18 inch")</f>
        <v>18 inch</v>
      </c>
      <c r="Q3168" t="str">
        <f>IFERROR(__xludf.DUMMYFUNCTION("""COMPUTED_VALUE"""),"Black and White")</f>
        <v>Black and White</v>
      </c>
      <c r="R3168" t="str">
        <f>IFERROR(__xludf.DUMMYFUNCTION("""COMPUTED_VALUE"""),"Autopilot included")</f>
        <v>Autopilot included</v>
      </c>
      <c r="S3168" t="str">
        <f>IFERROR(__xludf.DUMMYFUNCTION("""COMPUTED_VALUE"""),"Loan")</f>
        <v>Loan</v>
      </c>
      <c r="T3168" t="str">
        <f>IFERROR(__xludf.DUMMYFUNCTION("""COMPUTED_VALUE"""),"Hyundai Sonata")</f>
        <v>Hyundai Sonata</v>
      </c>
      <c r="U3168" t="str">
        <f>IFERROR(__xludf.DUMMYFUNCTION("""COMPUTED_VALUE"""),"Electric!")</f>
        <v>Electric!</v>
      </c>
      <c r="V3168" t="str">
        <f>IFERROR(__xludf.DUMMYFUNCTION("""COMPUTED_VALUE"""),"Apple CarPlay / Android Auto / SiriusXM Radio")</f>
        <v>Apple CarPlay / Android Auto / SiriusXM Radio</v>
      </c>
      <c r="AH3168" s="189">
        <f>IFERROR(__xludf.DUMMYFUNCTION("""COMPUTED_VALUE"""),44395.03233657408)</f>
        <v>44395.03234</v>
      </c>
    </row>
    <row r="3169">
      <c r="A3169" t="str">
        <f>IFERROR(__xludf.DUMMYFUNCTION("""COMPUTED_VALUE"""),"Nikki&amp;Mike")</f>
        <v>Nikki&amp;Mike</v>
      </c>
      <c r="B3169" t="str">
        <f>IFERROR(__xludf.DUMMYFUNCTION("""COMPUTED_VALUE"""),"San Antonio")</f>
        <v>San Antonio</v>
      </c>
      <c r="C3169" t="str">
        <f>IFERROR(__xludf.DUMMYFUNCTION("""COMPUTED_VALUE"""),"TX")</f>
        <v>TX</v>
      </c>
      <c r="D3169" t="str">
        <f>IFERROR(__xludf.DUMMYFUNCTION("""COMPUTED_VALUE"""),"USA")</f>
        <v>USA</v>
      </c>
      <c r="E3169" s="188">
        <f>IFERROR(__xludf.DUMMYFUNCTION("""COMPUTED_VALUE"""),44394.0)</f>
        <v>44394</v>
      </c>
      <c r="F3169" s="188">
        <f>IFERROR(__xludf.DUMMYFUNCTION("""COMPUTED_VALUE"""),44440.0)</f>
        <v>44440</v>
      </c>
      <c r="G3169" t="str">
        <f>IFERROR(__xludf.DUMMYFUNCTION("""COMPUTED_VALUE"""),"Manage order page (normal text)")</f>
        <v>Manage order page (normal text)</v>
      </c>
      <c r="H3169">
        <f>IFERROR(__xludf.DUMMYFUNCTION("""COMPUTED_VALUE"""),56255.0)</f>
        <v>56255</v>
      </c>
      <c r="I3169" t="str">
        <f>IFERROR(__xludf.DUMMYFUNCTION("""COMPUTED_VALUE"""),"09/21")</f>
        <v>09/21</v>
      </c>
      <c r="J3169" s="188">
        <f>IFERROR(__xludf.DUMMYFUNCTION("""COMPUTED_VALUE"""),44453.0)</f>
        <v>44453</v>
      </c>
      <c r="K3169">
        <f>IFERROR(__xludf.DUMMYFUNCTION("""COMPUTED_VALUE"""),46.0)</f>
        <v>46</v>
      </c>
      <c r="L3169">
        <f>IFERROR(__xludf.DUMMYFUNCTION("""COMPUTED_VALUE"""),13.0)</f>
        <v>13</v>
      </c>
      <c r="M3169">
        <f>IFERROR(__xludf.DUMMYFUNCTION("""COMPUTED_VALUE"""),59.0)</f>
        <v>59</v>
      </c>
      <c r="N3169" t="str">
        <f>IFERROR(__xludf.DUMMYFUNCTION("""COMPUTED_VALUE"""),"Model 3 LR AWD")</f>
        <v>Model 3 LR AWD</v>
      </c>
      <c r="O3169" t="str">
        <f>IFERROR(__xludf.DUMMYFUNCTION("""COMPUTED_VALUE"""),"Deep Blue Metallic")</f>
        <v>Deep Blue Metallic</v>
      </c>
      <c r="P3169" t="str">
        <f>IFERROR(__xludf.DUMMYFUNCTION("""COMPUTED_VALUE"""),"18 inch")</f>
        <v>18 inch</v>
      </c>
      <c r="Q3169" t="str">
        <f>IFERROR(__xludf.DUMMYFUNCTION("""COMPUTED_VALUE"""),"All Black")</f>
        <v>All Black</v>
      </c>
      <c r="R3169" t="str">
        <f>IFERROR(__xludf.DUMMYFUNCTION("""COMPUTED_VALUE"""),"Autopilot included")</f>
        <v>Autopilot included</v>
      </c>
      <c r="S3169" t="str">
        <f>IFERROR(__xludf.DUMMYFUNCTION("""COMPUTED_VALUE"""),"Loan")</f>
        <v>Loan</v>
      </c>
      <c r="T3169" t="str">
        <f>IFERROR(__xludf.DUMMYFUNCTION("""COMPUTED_VALUE"""),"Ford Escape")</f>
        <v>Ford Escape</v>
      </c>
      <c r="U3169" t="str">
        <f>IFERROR(__xludf.DUMMYFUNCTION("""COMPUTED_VALUE"""),"Range/performance")</f>
        <v>Range/performance</v>
      </c>
      <c r="V3169" t="str">
        <f>IFERROR(__xludf.DUMMYFUNCTION("""COMPUTED_VALUE"""),"Apple CarPlay / Android Auto / SiriusXM Radio")</f>
        <v>Apple CarPlay / Android Auto / SiriusXM Radio</v>
      </c>
      <c r="X3169" t="str">
        <f>IFERROR(__xludf.DUMMYFUNCTION("""COMPUTED_VALUE"""),"Excellent")</f>
        <v>Excellent</v>
      </c>
      <c r="Y3169" t="str">
        <f>IFERROR(__xludf.DUMMYFUNCTION("""COMPUTED_VALUE"""),"Excellent")</f>
        <v>Excellent</v>
      </c>
      <c r="Z3169" t="str">
        <f>IFERROR(__xludf.DUMMYFUNCTION("""COMPUTED_VALUE"""),"Excellent")</f>
        <v>Excellent</v>
      </c>
      <c r="AA3169" t="str">
        <f>IFERROR(__xludf.DUMMYFUNCTION("""COMPUTED_VALUE"""),"Fair")</f>
        <v>Fair</v>
      </c>
      <c r="AB3169" t="str">
        <f>IFERROR(__xludf.DUMMYFUNCTION("""COMPUTED_VALUE"""),"Fair")</f>
        <v>Fair</v>
      </c>
      <c r="AC3169">
        <f>IFERROR(__xludf.DUMMYFUNCTION("""COMPUTED_VALUE"""),4.0)</f>
        <v>4</v>
      </c>
      <c r="AD3169">
        <f>IFERROR(__xludf.DUMMYFUNCTION("""COMPUTED_VALUE"""),1.0)</f>
        <v>1</v>
      </c>
      <c r="AE3169">
        <f>IFERROR(__xludf.DUMMYFUNCTION("""COMPUTED_VALUE"""),0.0)</f>
        <v>0</v>
      </c>
      <c r="AF3169" t="str">
        <f>IFERROR(__xludf.DUMMYFUNCTION("""COMPUTED_VALUE"""),"No. I took delivery of the first car Tesla was able to deliver.")</f>
        <v>No. I took delivery of the first car Tesla was able to deliver.</v>
      </c>
      <c r="AH3169" s="189">
        <f>IFERROR(__xludf.DUMMYFUNCTION("""COMPUTED_VALUE"""),44456.78211068287)</f>
        <v>44456.78211</v>
      </c>
    </row>
    <row r="3170">
      <c r="A3170" t="str">
        <f>IFERROR(__xludf.DUMMYFUNCTION("""COMPUTED_VALUE"""),"Sauce")</f>
        <v>Sauce</v>
      </c>
      <c r="B3170" t="str">
        <f>IFERROR(__xludf.DUMMYFUNCTION("""COMPUTED_VALUE"""),"Syracuse")</f>
        <v>Syracuse</v>
      </c>
      <c r="C3170" t="str">
        <f>IFERROR(__xludf.DUMMYFUNCTION("""COMPUTED_VALUE"""),"NY")</f>
        <v>NY</v>
      </c>
      <c r="D3170" t="str">
        <f>IFERROR(__xludf.DUMMYFUNCTION("""COMPUTED_VALUE"""),"USA")</f>
        <v>USA</v>
      </c>
      <c r="E3170" s="188">
        <f>IFERROR(__xludf.DUMMYFUNCTION("""COMPUTED_VALUE"""),44370.0)</f>
        <v>44370</v>
      </c>
      <c r="F3170" s="188">
        <f>IFERROR(__xludf.DUMMYFUNCTION("""COMPUTED_VALUE"""),44429.0)</f>
        <v>44429</v>
      </c>
      <c r="G3170" t="str">
        <f>IFERROR(__xludf.DUMMYFUNCTION("""COMPUTED_VALUE"""),"Manage order page (normal text)")</f>
        <v>Manage order page (normal text)</v>
      </c>
      <c r="I3170" t="str">
        <f>IFERROR(__xludf.DUMMYFUNCTION("""COMPUTED_VALUE"""),"08/21")</f>
        <v>08/21</v>
      </c>
      <c r="J3170" s="188">
        <f>IFERROR(__xludf.DUMMYFUNCTION("""COMPUTED_VALUE"""),44444.0)</f>
        <v>44444</v>
      </c>
      <c r="K3170">
        <f>IFERROR(__xludf.DUMMYFUNCTION("""COMPUTED_VALUE"""),59.0)</f>
        <v>59</v>
      </c>
      <c r="L3170">
        <f>IFERROR(__xludf.DUMMYFUNCTION("""COMPUTED_VALUE"""),15.0)</f>
        <v>15</v>
      </c>
      <c r="M3170">
        <f>IFERROR(__xludf.DUMMYFUNCTION("""COMPUTED_VALUE"""),74.0)</f>
        <v>74</v>
      </c>
      <c r="N3170" t="str">
        <f>IFERROR(__xludf.DUMMYFUNCTION("""COMPUTED_VALUE"""),"Model 3 SR+")</f>
        <v>Model 3 SR+</v>
      </c>
      <c r="O3170" t="str">
        <f>IFERROR(__xludf.DUMMYFUNCTION("""COMPUTED_VALUE"""),"Deep Blue Metallic")</f>
        <v>Deep Blue Metallic</v>
      </c>
      <c r="P3170" t="str">
        <f>IFERROR(__xludf.DUMMYFUNCTION("""COMPUTED_VALUE"""),"18 inch")</f>
        <v>18 inch</v>
      </c>
      <c r="Q3170" t="str">
        <f>IFERROR(__xludf.DUMMYFUNCTION("""COMPUTED_VALUE"""),"All Black")</f>
        <v>All Black</v>
      </c>
      <c r="R3170" t="str">
        <f>IFERROR(__xludf.DUMMYFUNCTION("""COMPUTED_VALUE"""),"Autopilot included")</f>
        <v>Autopilot included</v>
      </c>
      <c r="S3170" t="str">
        <f>IFERROR(__xludf.DUMMYFUNCTION("""COMPUTED_VALUE"""),"Loan")</f>
        <v>Loan</v>
      </c>
      <c r="T3170" t="str">
        <f>IFERROR(__xludf.DUMMYFUNCTION("""COMPUTED_VALUE"""),"Mazda CX-5")</f>
        <v>Mazda CX-5</v>
      </c>
      <c r="U3170" t="str">
        <f>IFERROR(__xludf.DUMMYFUNCTION("""COMPUTED_VALUE"""),"Autopilot")</f>
        <v>Autopilot</v>
      </c>
      <c r="V3170" t="str">
        <f>IFERROR(__xludf.DUMMYFUNCTION("""COMPUTED_VALUE"""),"Blind spot indicators on side mirrors")</f>
        <v>Blind spot indicators on side mirrors</v>
      </c>
      <c r="AH3170" s="189">
        <f>IFERROR(__xludf.DUMMYFUNCTION("""COMPUTED_VALUE"""),44443.277640810185)</f>
        <v>44443.27764</v>
      </c>
    </row>
    <row r="3171">
      <c r="A3171" t="str">
        <f>IFERROR(__xludf.DUMMYFUNCTION("""COMPUTED_VALUE"""),"Baytomax")</f>
        <v>Baytomax</v>
      </c>
      <c r="B3171" t="str">
        <f>IFERROR(__xludf.DUMMYFUNCTION("""COMPUTED_VALUE"""),"Los Angeles")</f>
        <v>Los Angeles</v>
      </c>
      <c r="C3171" t="str">
        <f>IFERROR(__xludf.DUMMYFUNCTION("""COMPUTED_VALUE"""),"CA")</f>
        <v>CA</v>
      </c>
      <c r="D3171" t="str">
        <f>IFERROR(__xludf.DUMMYFUNCTION("""COMPUTED_VALUE"""),"USA")</f>
        <v>USA</v>
      </c>
      <c r="E3171" s="188">
        <f>IFERROR(__xludf.DUMMYFUNCTION("""COMPUTED_VALUE"""),44338.0)</f>
        <v>44338</v>
      </c>
      <c r="F3171" s="188">
        <f>IFERROR(__xludf.DUMMYFUNCTION("""COMPUTED_VALUE"""),44415.0)</f>
        <v>44415</v>
      </c>
      <c r="G3171" t="str">
        <f>IFERROR(__xludf.DUMMYFUNCTION("""COMPUTED_VALUE"""),"Manage order page (normal text)")</f>
        <v>Manage order page (normal text)</v>
      </c>
      <c r="J3171" s="188">
        <f>IFERROR(__xludf.DUMMYFUNCTION("""COMPUTED_VALUE"""),44420.0)</f>
        <v>44420</v>
      </c>
      <c r="K3171">
        <f>IFERROR(__xludf.DUMMYFUNCTION("""COMPUTED_VALUE"""),77.0)</f>
        <v>77</v>
      </c>
      <c r="L3171">
        <f>IFERROR(__xludf.DUMMYFUNCTION("""COMPUTED_VALUE"""),5.0)</f>
        <v>5</v>
      </c>
      <c r="M3171">
        <f>IFERROR(__xludf.DUMMYFUNCTION("""COMPUTED_VALUE"""),82.0)</f>
        <v>82</v>
      </c>
      <c r="N3171" t="str">
        <f>IFERROR(__xludf.DUMMYFUNCTION("""COMPUTED_VALUE"""),"Model 3 SR+")</f>
        <v>Model 3 SR+</v>
      </c>
      <c r="O3171" t="str">
        <f>IFERROR(__xludf.DUMMYFUNCTION("""COMPUTED_VALUE"""),"Pearl White Multi-Coat")</f>
        <v>Pearl White Multi-Coat</v>
      </c>
      <c r="P3171" t="str">
        <f>IFERROR(__xludf.DUMMYFUNCTION("""COMPUTED_VALUE"""),"18 inch")</f>
        <v>18 inch</v>
      </c>
      <c r="Q3171" t="str">
        <f>IFERROR(__xludf.DUMMYFUNCTION("""COMPUTED_VALUE"""),"Black and White")</f>
        <v>Black and White</v>
      </c>
      <c r="R3171" t="str">
        <f>IFERROR(__xludf.DUMMYFUNCTION("""COMPUTED_VALUE"""),"Autopilot included")</f>
        <v>Autopilot included</v>
      </c>
      <c r="S3171" t="str">
        <f>IFERROR(__xludf.DUMMYFUNCTION("""COMPUTED_VALUE"""),"Loan")</f>
        <v>Loan</v>
      </c>
      <c r="T3171" t="str">
        <f>IFERROR(__xludf.DUMMYFUNCTION("""COMPUTED_VALUE"""),"Ford Fusion")</f>
        <v>Ford Fusion</v>
      </c>
      <c r="U3171" t="str">
        <f>IFERROR(__xludf.DUMMYFUNCTION("""COMPUTED_VALUE"""),"Autopilot")</f>
        <v>Autopilot</v>
      </c>
      <c r="V3171" t="str">
        <f>IFERROR(__xludf.DUMMYFUNCTION("""COMPUTED_VALUE"""),"Ventilated seats")</f>
        <v>Ventilated seats</v>
      </c>
      <c r="W3171" t="str">
        <f>IFERROR(__xludf.DUMMYFUNCTION("""COMPUTED_VALUE"""),"Don't check EDD until a few weeks in at least")</f>
        <v>Don't check EDD until a few weeks in at least</v>
      </c>
      <c r="X3171" t="str">
        <f>IFERROR(__xludf.DUMMYFUNCTION("""COMPUTED_VALUE"""),"Excellent")</f>
        <v>Excellent</v>
      </c>
      <c r="Y3171" t="str">
        <f>IFERROR(__xludf.DUMMYFUNCTION("""COMPUTED_VALUE"""),"Excellent")</f>
        <v>Excellent</v>
      </c>
      <c r="Z3171" t="str">
        <f>IFERROR(__xludf.DUMMYFUNCTION("""COMPUTED_VALUE"""),"Excellent")</f>
        <v>Excellent</v>
      </c>
      <c r="AA3171" t="str">
        <f>IFERROR(__xludf.DUMMYFUNCTION("""COMPUTED_VALUE"""),"Poor")</f>
        <v>Poor</v>
      </c>
      <c r="AB3171" t="str">
        <f>IFERROR(__xludf.DUMMYFUNCTION("""COMPUTED_VALUE"""),"Fair")</f>
        <v>Fair</v>
      </c>
      <c r="AC3171">
        <f>IFERROR(__xludf.DUMMYFUNCTION("""COMPUTED_VALUE"""),0.0)</f>
        <v>0</v>
      </c>
      <c r="AD3171">
        <f>IFERROR(__xludf.DUMMYFUNCTION("""COMPUTED_VALUE"""),0.0)</f>
        <v>0</v>
      </c>
      <c r="AE3171">
        <f>IFERROR(__xludf.DUMMYFUNCTION("""COMPUTED_VALUE"""),0.0)</f>
        <v>0</v>
      </c>
      <c r="AF3171" t="str">
        <f>IFERROR(__xludf.DUMMYFUNCTION("""COMPUTED_VALUE"""),"No. I took delivery of the first car Tesla was able to deliver.")</f>
        <v>No. I took delivery of the first car Tesla was able to deliver.</v>
      </c>
      <c r="AH3171" s="189">
        <f>IFERROR(__xludf.DUMMYFUNCTION("""COMPUTED_VALUE"""),44421.490951493055)</f>
        <v>44421.49095</v>
      </c>
    </row>
    <row r="3172">
      <c r="A3172" t="str">
        <f>IFERROR(__xludf.DUMMYFUNCTION("""COMPUTED_VALUE"""),"Rich77")</f>
        <v>Rich77</v>
      </c>
      <c r="B3172" t="str">
        <f>IFERROR(__xludf.DUMMYFUNCTION("""COMPUTED_VALUE"""),"Mount Horeb")</f>
        <v>Mount Horeb</v>
      </c>
      <c r="C3172" t="str">
        <f>IFERROR(__xludf.DUMMYFUNCTION("""COMPUTED_VALUE"""),"WI")</f>
        <v>WI</v>
      </c>
      <c r="D3172" t="str">
        <f>IFERROR(__xludf.DUMMYFUNCTION("""COMPUTED_VALUE"""),"USA")</f>
        <v>USA</v>
      </c>
      <c r="E3172" s="188">
        <f>IFERROR(__xludf.DUMMYFUNCTION("""COMPUTED_VALUE"""),44380.0)</f>
        <v>44380</v>
      </c>
      <c r="F3172" s="188">
        <f>IFERROR(__xludf.DUMMYFUNCTION("""COMPUTED_VALUE"""),44438.0)</f>
        <v>44438</v>
      </c>
      <c r="G3172" t="str">
        <f>IFERROR(__xludf.DUMMYFUNCTION("""COMPUTED_VALUE"""),"Manage order page (normal text)")</f>
        <v>Manage order page (normal text)</v>
      </c>
      <c r="H3172">
        <f>IFERROR(__xludf.DUMMYFUNCTION("""COMPUTED_VALUE"""),47255.0)</f>
        <v>47255</v>
      </c>
      <c r="J3172" s="188">
        <f>IFERROR(__xludf.DUMMYFUNCTION("""COMPUTED_VALUE"""),44442.0)</f>
        <v>44442</v>
      </c>
      <c r="K3172">
        <f>IFERROR(__xludf.DUMMYFUNCTION("""COMPUTED_VALUE"""),58.0)</f>
        <v>58</v>
      </c>
      <c r="L3172">
        <f>IFERROR(__xludf.DUMMYFUNCTION("""COMPUTED_VALUE"""),4.0)</f>
        <v>4</v>
      </c>
      <c r="M3172">
        <f>IFERROR(__xludf.DUMMYFUNCTION("""COMPUTED_VALUE"""),62.0)</f>
        <v>62</v>
      </c>
      <c r="N3172" t="str">
        <f>IFERROR(__xludf.DUMMYFUNCTION("""COMPUTED_VALUE"""),"Model 3 SR+")</f>
        <v>Model 3 SR+</v>
      </c>
      <c r="O3172" t="str">
        <f>IFERROR(__xludf.DUMMYFUNCTION("""COMPUTED_VALUE"""),"Pearl White Multi-Coat")</f>
        <v>Pearl White Multi-Coat</v>
      </c>
      <c r="P3172" t="str">
        <f>IFERROR(__xludf.DUMMYFUNCTION("""COMPUTED_VALUE"""),"18 inch")</f>
        <v>18 inch</v>
      </c>
      <c r="Q3172" t="str">
        <f>IFERROR(__xludf.DUMMYFUNCTION("""COMPUTED_VALUE"""),"Black and White")</f>
        <v>Black and White</v>
      </c>
      <c r="R3172" t="str">
        <f>IFERROR(__xludf.DUMMYFUNCTION("""COMPUTED_VALUE"""),"Autopilot included")</f>
        <v>Autopilot included</v>
      </c>
      <c r="S3172" t="str">
        <f>IFERROR(__xludf.DUMMYFUNCTION("""COMPUTED_VALUE"""),"Loan")</f>
        <v>Loan</v>
      </c>
      <c r="T3172" t="str">
        <f>IFERROR(__xludf.DUMMYFUNCTION("""COMPUTED_VALUE"""),"Ford Fiesta")</f>
        <v>Ford Fiesta</v>
      </c>
      <c r="U3172" t="str">
        <f>IFERROR(__xludf.DUMMYFUNCTION("""COMPUTED_VALUE"""),"Tesla brand image")</f>
        <v>Tesla brand image</v>
      </c>
      <c r="V3172" t="str">
        <f>IFERROR(__xludf.DUMMYFUNCTION("""COMPUTED_VALUE"""),"Head-up display")</f>
        <v>Head-up display</v>
      </c>
      <c r="AH3172" s="189">
        <f>IFERROR(__xludf.DUMMYFUNCTION("""COMPUTED_VALUE"""),44439.40391320601)</f>
        <v>44439.40391</v>
      </c>
    </row>
    <row r="3173">
      <c r="A3173" t="str">
        <f>IFERROR(__xludf.DUMMYFUNCTION("""COMPUTED_VALUE"""),"TampaM3")</f>
        <v>TampaM3</v>
      </c>
      <c r="B3173" t="str">
        <f>IFERROR(__xludf.DUMMYFUNCTION("""COMPUTED_VALUE"""),"Tampa")</f>
        <v>Tampa</v>
      </c>
      <c r="C3173" t="str">
        <f>IFERROR(__xludf.DUMMYFUNCTION("""COMPUTED_VALUE"""),"FL")</f>
        <v>FL</v>
      </c>
      <c r="D3173" t="str">
        <f>IFERROR(__xludf.DUMMYFUNCTION("""COMPUTED_VALUE"""),"USA")</f>
        <v>USA</v>
      </c>
      <c r="E3173" s="188">
        <f>IFERROR(__xludf.DUMMYFUNCTION("""COMPUTED_VALUE"""),44394.0)</f>
        <v>44394</v>
      </c>
      <c r="F3173" s="188">
        <f>IFERROR(__xludf.DUMMYFUNCTION("""COMPUTED_VALUE"""),44429.0)</f>
        <v>44429</v>
      </c>
      <c r="G3173" t="str">
        <f>IFERROR(__xludf.DUMMYFUNCTION("""COMPUTED_VALUE"""),"Manage order page (normal text)")</f>
        <v>Manage order page (normal text)</v>
      </c>
      <c r="H3173">
        <f>IFERROR(__xludf.DUMMYFUNCTION("""COMPUTED_VALUE"""),34155.0)</f>
        <v>34155</v>
      </c>
      <c r="K3173">
        <f>IFERROR(__xludf.DUMMYFUNCTION("""COMPUTED_VALUE"""),35.0)</f>
        <v>35</v>
      </c>
      <c r="N3173" t="str">
        <f>IFERROR(__xludf.DUMMYFUNCTION("""COMPUTED_VALUE"""),"Model 3 LR AWD")</f>
        <v>Model 3 LR AWD</v>
      </c>
      <c r="O3173" t="str">
        <f>IFERROR(__xludf.DUMMYFUNCTION("""COMPUTED_VALUE"""),"Midnight Silver Metallic")</f>
        <v>Midnight Silver Metallic</v>
      </c>
      <c r="P3173" t="str">
        <f>IFERROR(__xludf.DUMMYFUNCTION("""COMPUTED_VALUE"""),"18 inch")</f>
        <v>18 inch</v>
      </c>
      <c r="Q3173" t="str">
        <f>IFERROR(__xludf.DUMMYFUNCTION("""COMPUTED_VALUE"""),"Black and White")</f>
        <v>Black and White</v>
      </c>
      <c r="R3173" t="str">
        <f>IFERROR(__xludf.DUMMYFUNCTION("""COMPUTED_VALUE"""),"Autopilot included")</f>
        <v>Autopilot included</v>
      </c>
      <c r="S3173" t="str">
        <f>IFERROR(__xludf.DUMMYFUNCTION("""COMPUTED_VALUE"""),"Loan")</f>
        <v>Loan</v>
      </c>
      <c r="T3173" t="str">
        <f>IFERROR(__xludf.DUMMYFUNCTION("""COMPUTED_VALUE"""),"Subaru Outback")</f>
        <v>Subaru Outback</v>
      </c>
      <c r="U3173" t="str">
        <f>IFERROR(__xludf.DUMMYFUNCTION("""COMPUTED_VALUE"""),"Autopilot")</f>
        <v>Autopilot</v>
      </c>
      <c r="V3173" t="str">
        <f>IFERROR(__xludf.DUMMYFUNCTION("""COMPUTED_VALUE"""),"Ventilated seats")</f>
        <v>Ventilated seats</v>
      </c>
      <c r="AH3173" s="189">
        <f>IFERROR(__xludf.DUMMYFUNCTION("""COMPUTED_VALUE"""),44429.981737905095)</f>
        <v>44429.98174</v>
      </c>
    </row>
    <row r="3174">
      <c r="A3174" t="str">
        <f>IFERROR(__xludf.DUMMYFUNCTION("""COMPUTED_VALUE"""),"MP3_Dan")</f>
        <v>MP3_Dan</v>
      </c>
      <c r="B3174" t="str">
        <f>IFERROR(__xludf.DUMMYFUNCTION("""COMPUTED_VALUE"""),"Westlake Village")</f>
        <v>Westlake Village</v>
      </c>
      <c r="C3174" t="str">
        <f>IFERROR(__xludf.DUMMYFUNCTION("""COMPUTED_VALUE"""),"CA")</f>
        <v>CA</v>
      </c>
      <c r="D3174" t="str">
        <f>IFERROR(__xludf.DUMMYFUNCTION("""COMPUTED_VALUE"""),"USA")</f>
        <v>USA</v>
      </c>
      <c r="E3174" s="188">
        <f>IFERROR(__xludf.DUMMYFUNCTION("""COMPUTED_VALUE"""),44384.0)</f>
        <v>44384</v>
      </c>
      <c r="F3174" s="188">
        <f>IFERROR(__xludf.DUMMYFUNCTION("""COMPUTED_VALUE"""),44411.0)</f>
        <v>44411</v>
      </c>
      <c r="G3174" t="str">
        <f>IFERROR(__xludf.DUMMYFUNCTION("""COMPUTED_VALUE"""),"Manage order page (normal text)")</f>
        <v>Manage order page (normal text)</v>
      </c>
      <c r="H3174">
        <f>IFERROR(__xludf.DUMMYFUNCTION("""COMPUTED_VALUE"""),28355.0)</f>
        <v>28355</v>
      </c>
      <c r="I3174" t="str">
        <f>IFERROR(__xludf.DUMMYFUNCTION("""COMPUTED_VALUE"""),"08/21")</f>
        <v>08/21</v>
      </c>
      <c r="J3174" s="188">
        <f>IFERROR(__xludf.DUMMYFUNCTION("""COMPUTED_VALUE"""),44414.0)</f>
        <v>44414</v>
      </c>
      <c r="K3174">
        <f>IFERROR(__xludf.DUMMYFUNCTION("""COMPUTED_VALUE"""),27.0)</f>
        <v>27</v>
      </c>
      <c r="L3174">
        <f>IFERROR(__xludf.DUMMYFUNCTION("""COMPUTED_VALUE"""),3.0)</f>
        <v>3</v>
      </c>
      <c r="M3174">
        <f>IFERROR(__xludf.DUMMYFUNCTION("""COMPUTED_VALUE"""),30.0)</f>
        <v>30</v>
      </c>
      <c r="N3174" t="str">
        <f>IFERROR(__xludf.DUMMYFUNCTION("""COMPUTED_VALUE"""),"Model 3 Performance")</f>
        <v>Model 3 Performance</v>
      </c>
      <c r="O3174" t="str">
        <f>IFERROR(__xludf.DUMMYFUNCTION("""COMPUTED_VALUE"""),"Midnight Silver Metallic")</f>
        <v>Midnight Silver Metallic</v>
      </c>
      <c r="P3174" t="str">
        <f>IFERROR(__xludf.DUMMYFUNCTION("""COMPUTED_VALUE"""),"20 inch")</f>
        <v>20 inch</v>
      </c>
      <c r="Q3174" t="str">
        <f>IFERROR(__xludf.DUMMYFUNCTION("""COMPUTED_VALUE"""),"All Black")</f>
        <v>All Black</v>
      </c>
      <c r="R3174" t="str">
        <f>IFERROR(__xludf.DUMMYFUNCTION("""COMPUTED_VALUE"""),"Autopilot included")</f>
        <v>Autopilot included</v>
      </c>
      <c r="S3174" t="str">
        <f>IFERROR(__xludf.DUMMYFUNCTION("""COMPUTED_VALUE"""),"Cash")</f>
        <v>Cash</v>
      </c>
      <c r="T3174" t="str">
        <f>IFERROR(__xludf.DUMMYFUNCTION("""COMPUTED_VALUE"""),"Infiniti Q60 Red Sport")</f>
        <v>Infiniti Q60 Red Sport</v>
      </c>
      <c r="U3174" t="str">
        <f>IFERROR(__xludf.DUMMYFUNCTION("""COMPUTED_VALUE"""),"Electric!")</f>
        <v>Electric!</v>
      </c>
      <c r="V3174" t="str">
        <f>IFERROR(__xludf.DUMMYFUNCTION("""COMPUTED_VALUE"""),"Blind spot indicators on side mirrors")</f>
        <v>Blind spot indicators on side mirrors</v>
      </c>
      <c r="X3174" t="str">
        <f>IFERROR(__xludf.DUMMYFUNCTION("""COMPUTED_VALUE"""),"Excellent")</f>
        <v>Excellent</v>
      </c>
      <c r="Y3174" t="str">
        <f>IFERROR(__xludf.DUMMYFUNCTION("""COMPUTED_VALUE"""),"Excellent")</f>
        <v>Excellent</v>
      </c>
      <c r="Z3174" t="str">
        <f>IFERROR(__xludf.DUMMYFUNCTION("""COMPUTED_VALUE"""),"Excellent")</f>
        <v>Excellent</v>
      </c>
      <c r="AA3174" t="str">
        <f>IFERROR(__xludf.DUMMYFUNCTION("""COMPUTED_VALUE"""),"Excellent")</f>
        <v>Excellent</v>
      </c>
      <c r="AB3174" t="str">
        <f>IFERROR(__xludf.DUMMYFUNCTION("""COMPUTED_VALUE"""),"Excellent")</f>
        <v>Excellent</v>
      </c>
      <c r="AF3174" t="str">
        <f>IFERROR(__xludf.DUMMYFUNCTION("""COMPUTED_VALUE"""),"No. I took delivery of the first car Tesla was able to deliver.")</f>
        <v>No. I took delivery of the first car Tesla was able to deliver.</v>
      </c>
      <c r="AH3174" s="189">
        <f>IFERROR(__xludf.DUMMYFUNCTION("""COMPUTED_VALUE"""),44416.36010664352)</f>
        <v>44416.36011</v>
      </c>
    </row>
    <row r="3175">
      <c r="A3175" t="str">
        <f>IFERROR(__xludf.DUMMYFUNCTION("""COMPUTED_VALUE"""),"moodal_tree")</f>
        <v>moodal_tree</v>
      </c>
      <c r="B3175" t="str">
        <f>IFERROR(__xludf.DUMMYFUNCTION("""COMPUTED_VALUE"""),"London")</f>
        <v>London</v>
      </c>
      <c r="D3175" t="str">
        <f>IFERROR(__xludf.DUMMYFUNCTION("""COMPUTED_VALUE"""),"United Kingdom")</f>
        <v>United Kingdom</v>
      </c>
      <c r="E3175" s="188">
        <f>IFERROR(__xludf.DUMMYFUNCTION("""COMPUTED_VALUE"""),44396.0)</f>
        <v>44396</v>
      </c>
      <c r="F3175" s="188">
        <f>IFERROR(__xludf.DUMMYFUNCTION("""COMPUTED_VALUE"""),44421.0)</f>
        <v>44421</v>
      </c>
      <c r="G3175" t="str">
        <f>IFERROR(__xludf.DUMMYFUNCTION("""COMPUTED_VALUE"""),"Online Chat")</f>
        <v>Online Chat</v>
      </c>
      <c r="H3175">
        <f>IFERROR(__xludf.DUMMYFUNCTION("""COMPUTED_VALUE"""),326255.0)</f>
        <v>326255</v>
      </c>
      <c r="J3175" s="188">
        <f>IFERROR(__xludf.DUMMYFUNCTION("""COMPUTED_VALUE"""),44468.0)</f>
        <v>44468</v>
      </c>
      <c r="K3175">
        <f>IFERROR(__xludf.DUMMYFUNCTION("""COMPUTED_VALUE"""),25.0)</f>
        <v>25</v>
      </c>
      <c r="L3175">
        <f>IFERROR(__xludf.DUMMYFUNCTION("""COMPUTED_VALUE"""),47.0)</f>
        <v>47</v>
      </c>
      <c r="M3175">
        <f>IFERROR(__xludf.DUMMYFUNCTION("""COMPUTED_VALUE"""),72.0)</f>
        <v>72</v>
      </c>
      <c r="N3175" t="str">
        <f>IFERROR(__xludf.DUMMYFUNCTION("""COMPUTED_VALUE"""),"Model 3 LR AWD")</f>
        <v>Model 3 LR AWD</v>
      </c>
      <c r="O3175" t="str">
        <f>IFERROR(__xludf.DUMMYFUNCTION("""COMPUTED_VALUE"""),"Deep Blue Metallic")</f>
        <v>Deep Blue Metallic</v>
      </c>
      <c r="P3175" t="str">
        <f>IFERROR(__xludf.DUMMYFUNCTION("""COMPUTED_VALUE"""),"18 inch")</f>
        <v>18 inch</v>
      </c>
      <c r="Q3175" t="str">
        <f>IFERROR(__xludf.DUMMYFUNCTION("""COMPUTED_VALUE"""),"All Black")</f>
        <v>All Black</v>
      </c>
      <c r="R3175" t="str">
        <f>IFERROR(__xludf.DUMMYFUNCTION("""COMPUTED_VALUE"""),"Autopilot included")</f>
        <v>Autopilot included</v>
      </c>
      <c r="S3175" t="str">
        <f>IFERROR(__xludf.DUMMYFUNCTION("""COMPUTED_VALUE"""),"Loan")</f>
        <v>Loan</v>
      </c>
      <c r="T3175" t="str">
        <f>IFERROR(__xludf.DUMMYFUNCTION("""COMPUTED_VALUE"""),"Golf R MK7.5")</f>
        <v>Golf R MK7.5</v>
      </c>
      <c r="U3175" t="str">
        <f>IFERROR(__xludf.DUMMYFUNCTION("""COMPUTED_VALUE"""),"Everything, the Golf R was incredible, this is next level")</f>
        <v>Everything, the Golf R was incredible, this is next level</v>
      </c>
      <c r="V3175" t="str">
        <f>IFERROR(__xludf.DUMMYFUNCTION("""COMPUTED_VALUE"""),"Blind spot indicators on side mirrors")</f>
        <v>Blind spot indicators on side mirrors</v>
      </c>
      <c r="AH3175" s="189">
        <f>IFERROR(__xludf.DUMMYFUNCTION("""COMPUTED_VALUE"""),44450.41409709491)</f>
        <v>44450.4141</v>
      </c>
    </row>
    <row r="3176">
      <c r="A3176" t="str">
        <f>IFERROR(__xludf.DUMMYFUNCTION("""COMPUTED_VALUE"""),"cairn")</f>
        <v>cairn</v>
      </c>
      <c r="B3176" t="str">
        <f>IFERROR(__xludf.DUMMYFUNCTION("""COMPUTED_VALUE"""),"Victoria")</f>
        <v>Victoria</v>
      </c>
      <c r="C3176" t="str">
        <f>IFERROR(__xludf.DUMMYFUNCTION("""COMPUTED_VALUE"""),"BC")</f>
        <v>BC</v>
      </c>
      <c r="D3176" t="str">
        <f>IFERROR(__xludf.DUMMYFUNCTION("""COMPUTED_VALUE"""),"Canada")</f>
        <v>Canada</v>
      </c>
      <c r="E3176" s="188">
        <f>IFERROR(__xludf.DUMMYFUNCTION("""COMPUTED_VALUE"""),44397.0)</f>
        <v>44397</v>
      </c>
      <c r="F3176" s="188">
        <f>IFERROR(__xludf.DUMMYFUNCTION("""COMPUTED_VALUE"""),44423.0)</f>
        <v>44423</v>
      </c>
      <c r="G3176" t="str">
        <f>IFERROR(__xludf.DUMMYFUNCTION("""COMPUTED_VALUE"""),"Existing Inventory Page")</f>
        <v>Existing Inventory Page</v>
      </c>
      <c r="H3176">
        <f>IFERROR(__xludf.DUMMYFUNCTION("""COMPUTED_VALUE"""),27355.0)</f>
        <v>27355</v>
      </c>
      <c r="J3176" s="188">
        <f>IFERROR(__xludf.DUMMYFUNCTION("""COMPUTED_VALUE"""),44429.0)</f>
        <v>44429</v>
      </c>
      <c r="K3176">
        <f>IFERROR(__xludf.DUMMYFUNCTION("""COMPUTED_VALUE"""),26.0)</f>
        <v>26</v>
      </c>
      <c r="L3176">
        <f>IFERROR(__xludf.DUMMYFUNCTION("""COMPUTED_VALUE"""),6.0)</f>
        <v>6</v>
      </c>
      <c r="M3176">
        <f>IFERROR(__xludf.DUMMYFUNCTION("""COMPUTED_VALUE"""),32.0)</f>
        <v>32</v>
      </c>
      <c r="N3176" t="str">
        <f>IFERROR(__xludf.DUMMYFUNCTION("""COMPUTED_VALUE"""),"Model 3 SR+")</f>
        <v>Model 3 SR+</v>
      </c>
      <c r="O3176" t="str">
        <f>IFERROR(__xludf.DUMMYFUNCTION("""COMPUTED_VALUE"""),"Midnight Silver Metallic")</f>
        <v>Midnight Silver Metallic</v>
      </c>
      <c r="P3176" t="str">
        <f>IFERROR(__xludf.DUMMYFUNCTION("""COMPUTED_VALUE"""),"19 inch")</f>
        <v>19 inch</v>
      </c>
      <c r="Q3176" t="str">
        <f>IFERROR(__xludf.DUMMYFUNCTION("""COMPUTED_VALUE"""),"All Black")</f>
        <v>All Black</v>
      </c>
      <c r="R3176" t="str">
        <f>IFERROR(__xludf.DUMMYFUNCTION("""COMPUTED_VALUE"""),"Autopilot included")</f>
        <v>Autopilot included</v>
      </c>
      <c r="S3176" t="str">
        <f>IFERROR(__xludf.DUMMYFUNCTION("""COMPUTED_VALUE"""),"Loan")</f>
        <v>Loan</v>
      </c>
      <c r="T3176" t="str">
        <f>IFERROR(__xludf.DUMMYFUNCTION("""COMPUTED_VALUE"""),"Model 3 will be my first car!")</f>
        <v>Model 3 will be my first car!</v>
      </c>
      <c r="U3176" t="str">
        <f>IFERROR(__xludf.DUMMYFUNCTION("""COMPUTED_VALUE"""),"Electric!")</f>
        <v>Electric!</v>
      </c>
      <c r="V3176" t="str">
        <f>IFERROR(__xludf.DUMMYFUNCTION("""COMPUTED_VALUE"""),"360° Bird's eye view")</f>
        <v>360° Bird's eye view</v>
      </c>
      <c r="AH3176" s="189">
        <f>IFERROR(__xludf.DUMMYFUNCTION("""COMPUTED_VALUE"""),44425.3853562963)</f>
        <v>44425.38536</v>
      </c>
    </row>
    <row r="3177">
      <c r="A3177" t="str">
        <f>IFERROR(__xludf.DUMMYFUNCTION("""COMPUTED_VALUE"""),"Obliojim")</f>
        <v>Obliojim</v>
      </c>
      <c r="B3177" t="str">
        <f>IFERROR(__xludf.DUMMYFUNCTION("""COMPUTED_VALUE"""),"Mississauga")</f>
        <v>Mississauga</v>
      </c>
      <c r="C3177" t="str">
        <f>IFERROR(__xludf.DUMMYFUNCTION("""COMPUTED_VALUE"""),"ON")</f>
        <v>ON</v>
      </c>
      <c r="D3177" t="str">
        <f>IFERROR(__xludf.DUMMYFUNCTION("""COMPUTED_VALUE"""),"Canada")</f>
        <v>Canada</v>
      </c>
      <c r="E3177" s="188">
        <f>IFERROR(__xludf.DUMMYFUNCTION("""COMPUTED_VALUE"""),44359.0)</f>
        <v>44359</v>
      </c>
      <c r="F3177" s="188">
        <f>IFERROR(__xludf.DUMMYFUNCTION("""COMPUTED_VALUE"""),44398.0)</f>
        <v>44398</v>
      </c>
      <c r="G3177" t="str">
        <f>IFERROR(__xludf.DUMMYFUNCTION("""COMPUTED_VALUE"""),"Replacement car, spotted on Tesla-info, upgraded wheels, interior")</f>
        <v>Replacement car, spotted on Tesla-info, upgraded wheels, interior</v>
      </c>
      <c r="J3177" s="188">
        <f>IFERROR(__xludf.DUMMYFUNCTION("""COMPUTED_VALUE"""),44412.0)</f>
        <v>44412</v>
      </c>
      <c r="K3177">
        <f>IFERROR(__xludf.DUMMYFUNCTION("""COMPUTED_VALUE"""),39.0)</f>
        <v>39</v>
      </c>
      <c r="L3177">
        <f>IFERROR(__xludf.DUMMYFUNCTION("""COMPUTED_VALUE"""),14.0)</f>
        <v>14</v>
      </c>
      <c r="M3177">
        <f>IFERROR(__xludf.DUMMYFUNCTION("""COMPUTED_VALUE"""),53.0)</f>
        <v>53</v>
      </c>
      <c r="N3177" t="str">
        <f>IFERROR(__xludf.DUMMYFUNCTION("""COMPUTED_VALUE"""),"Model 3 SR+")</f>
        <v>Model 3 SR+</v>
      </c>
      <c r="O3177" t="str">
        <f>IFERROR(__xludf.DUMMYFUNCTION("""COMPUTED_VALUE"""),"Midnight Silver Metallic")</f>
        <v>Midnight Silver Metallic</v>
      </c>
      <c r="P3177" t="str">
        <f>IFERROR(__xludf.DUMMYFUNCTION("""COMPUTED_VALUE"""),"19 inch")</f>
        <v>19 inch</v>
      </c>
      <c r="Q3177" t="str">
        <f>IFERROR(__xludf.DUMMYFUNCTION("""COMPUTED_VALUE"""),"Black and White")</f>
        <v>Black and White</v>
      </c>
      <c r="R3177" t="str">
        <f>IFERROR(__xludf.DUMMYFUNCTION("""COMPUTED_VALUE"""),"Autopilot included")</f>
        <v>Autopilot included</v>
      </c>
      <c r="S3177" t="str">
        <f>IFERROR(__xludf.DUMMYFUNCTION("""COMPUTED_VALUE"""),"Cash")</f>
        <v>Cash</v>
      </c>
      <c r="AH3177" s="189">
        <f>IFERROR(__xludf.DUMMYFUNCTION("""COMPUTED_VALUE"""),44398.42513024306)</f>
        <v>44398.42513</v>
      </c>
    </row>
    <row r="3178">
      <c r="A3178" t="str">
        <f>IFERROR(__xludf.DUMMYFUNCTION("""COMPUTED_VALUE"""),"canadaben")</f>
        <v>canadaben</v>
      </c>
      <c r="B3178" t="str">
        <f>IFERROR(__xludf.DUMMYFUNCTION("""COMPUTED_VALUE"""),"Kitchener")</f>
        <v>Kitchener</v>
      </c>
      <c r="C3178" t="str">
        <f>IFERROR(__xludf.DUMMYFUNCTION("""COMPUTED_VALUE"""),"ON")</f>
        <v>ON</v>
      </c>
      <c r="D3178" t="str">
        <f>IFERROR(__xludf.DUMMYFUNCTION("""COMPUTED_VALUE"""),"Canada")</f>
        <v>Canada</v>
      </c>
      <c r="E3178" s="188">
        <f>IFERROR(__xludf.DUMMYFUNCTION("""COMPUTED_VALUE"""),44355.0)</f>
        <v>44355</v>
      </c>
      <c r="F3178" s="188">
        <f>IFERROR(__xludf.DUMMYFUNCTION("""COMPUTED_VALUE"""),44392.0)</f>
        <v>44392</v>
      </c>
      <c r="G3178" t="str">
        <f>IFERROR(__xludf.DUMMYFUNCTION("""COMPUTED_VALUE"""),"Source code")</f>
        <v>Source code</v>
      </c>
      <c r="H3178">
        <f>IFERROR(__xludf.DUMMYFUNCTION("""COMPUTED_VALUE"""),19555.0)</f>
        <v>19555</v>
      </c>
      <c r="J3178" s="188">
        <f>IFERROR(__xludf.DUMMYFUNCTION("""COMPUTED_VALUE"""),44406.0)</f>
        <v>44406</v>
      </c>
      <c r="K3178">
        <f>IFERROR(__xludf.DUMMYFUNCTION("""COMPUTED_VALUE"""),37.0)</f>
        <v>37</v>
      </c>
      <c r="L3178">
        <f>IFERROR(__xludf.DUMMYFUNCTION("""COMPUTED_VALUE"""),14.0)</f>
        <v>14</v>
      </c>
      <c r="M3178">
        <f>IFERROR(__xludf.DUMMYFUNCTION("""COMPUTED_VALUE"""),51.0)</f>
        <v>51</v>
      </c>
      <c r="N3178" t="str">
        <f>IFERROR(__xludf.DUMMYFUNCTION("""COMPUTED_VALUE"""),"Model 3 LR AWD")</f>
        <v>Model 3 LR AWD</v>
      </c>
      <c r="O3178" t="str">
        <f>IFERROR(__xludf.DUMMYFUNCTION("""COMPUTED_VALUE"""),"Deep Blue Metallic")</f>
        <v>Deep Blue Metallic</v>
      </c>
      <c r="P3178" t="str">
        <f>IFERROR(__xludf.DUMMYFUNCTION("""COMPUTED_VALUE"""),"18 inch")</f>
        <v>18 inch</v>
      </c>
      <c r="Q3178" t="str">
        <f>IFERROR(__xludf.DUMMYFUNCTION("""COMPUTED_VALUE"""),"All Black")</f>
        <v>All Black</v>
      </c>
      <c r="R3178" t="str">
        <f>IFERROR(__xludf.DUMMYFUNCTION("""COMPUTED_VALUE"""),"Autopilot included")</f>
        <v>Autopilot included</v>
      </c>
      <c r="S3178" t="str">
        <f>IFERROR(__xludf.DUMMYFUNCTION("""COMPUTED_VALUE"""),"Loan")</f>
        <v>Loan</v>
      </c>
      <c r="T3178" t="str">
        <f>IFERROR(__xludf.DUMMYFUNCTION("""COMPUTED_VALUE"""),"volvo")</f>
        <v>volvo</v>
      </c>
      <c r="U3178" t="str">
        <f>IFERROR(__xludf.DUMMYFUNCTION("""COMPUTED_VALUE"""),"Electric!")</f>
        <v>Electric!</v>
      </c>
      <c r="AH3178" s="189">
        <f>IFERROR(__xludf.DUMMYFUNCTION("""COMPUTED_VALUE"""),44398.4744794213)</f>
        <v>44398.47448</v>
      </c>
    </row>
    <row r="3179">
      <c r="A3179" t="str">
        <f>IFERROR(__xludf.DUMMYFUNCTION("""COMPUTED_VALUE"""),"thoren")</f>
        <v>thoren</v>
      </c>
      <c r="B3179" t="str">
        <f>IFERROR(__xludf.DUMMYFUNCTION("""COMPUTED_VALUE"""),"East Palo Alto")</f>
        <v>East Palo Alto</v>
      </c>
      <c r="C3179" t="str">
        <f>IFERROR(__xludf.DUMMYFUNCTION("""COMPUTED_VALUE"""),"CA")</f>
        <v>CA</v>
      </c>
      <c r="D3179" t="str">
        <f>IFERROR(__xludf.DUMMYFUNCTION("""COMPUTED_VALUE"""),"USA")</f>
        <v>USA</v>
      </c>
      <c r="E3179" s="188">
        <f>IFERROR(__xludf.DUMMYFUNCTION("""COMPUTED_VALUE"""),44379.0)</f>
        <v>44379</v>
      </c>
      <c r="F3179" s="188">
        <f>IFERROR(__xludf.DUMMYFUNCTION("""COMPUTED_VALUE"""),44427.0)</f>
        <v>44427</v>
      </c>
      <c r="G3179" t="str">
        <f>IFERROR(__xludf.DUMMYFUNCTION("""COMPUTED_VALUE"""),"Manage order page (normal text)")</f>
        <v>Manage order page (normal text)</v>
      </c>
      <c r="H3179">
        <f>IFERROR(__xludf.DUMMYFUNCTION("""COMPUTED_VALUE"""),34201.0)</f>
        <v>34201</v>
      </c>
      <c r="J3179" s="188">
        <f>IFERROR(__xludf.DUMMYFUNCTION("""COMPUTED_VALUE"""),44430.0)</f>
        <v>44430</v>
      </c>
      <c r="K3179">
        <f>IFERROR(__xludf.DUMMYFUNCTION("""COMPUTED_VALUE"""),48.0)</f>
        <v>48</v>
      </c>
      <c r="L3179">
        <f>IFERROR(__xludf.DUMMYFUNCTION("""COMPUTED_VALUE"""),3.0)</f>
        <v>3</v>
      </c>
      <c r="M3179">
        <f>IFERROR(__xludf.DUMMYFUNCTION("""COMPUTED_VALUE"""),51.0)</f>
        <v>51</v>
      </c>
      <c r="N3179" t="str">
        <f>IFERROR(__xludf.DUMMYFUNCTION("""COMPUTED_VALUE"""),"Model 3 LR AWD")</f>
        <v>Model 3 LR AWD</v>
      </c>
      <c r="O3179" t="str">
        <f>IFERROR(__xludf.DUMMYFUNCTION("""COMPUTED_VALUE"""),"Pearl White Multi-Coat")</f>
        <v>Pearl White Multi-Coat</v>
      </c>
      <c r="P3179" t="str">
        <f>IFERROR(__xludf.DUMMYFUNCTION("""COMPUTED_VALUE"""),"18 inch")</f>
        <v>18 inch</v>
      </c>
      <c r="Q3179" t="str">
        <f>IFERROR(__xludf.DUMMYFUNCTION("""COMPUTED_VALUE"""),"Black and White")</f>
        <v>Black and White</v>
      </c>
      <c r="R3179" t="str">
        <f>IFERROR(__xludf.DUMMYFUNCTION("""COMPUTED_VALUE"""),"Autopilot included")</f>
        <v>Autopilot included</v>
      </c>
      <c r="S3179" t="str">
        <f>IFERROR(__xludf.DUMMYFUNCTION("""COMPUTED_VALUE"""),"Loan")</f>
        <v>Loan</v>
      </c>
      <c r="T3179" t="str">
        <f>IFERROR(__xludf.DUMMYFUNCTION("""COMPUTED_VALUE"""),"Mazda3")</f>
        <v>Mazda3</v>
      </c>
      <c r="U3179" t="str">
        <f>IFERROR(__xludf.DUMMYFUNCTION("""COMPUTED_VALUE"""),"All Of The Above")</f>
        <v>All Of The Above</v>
      </c>
      <c r="V3179" t="str">
        <f>IFERROR(__xludf.DUMMYFUNCTION("""COMPUTED_VALUE"""),"Blind spot indicators on side mirrors")</f>
        <v>Blind spot indicators on side mirrors</v>
      </c>
      <c r="AH3179" s="189">
        <f>IFERROR(__xludf.DUMMYFUNCTION("""COMPUTED_VALUE"""),44428.39458199074)</f>
        <v>44428.39458</v>
      </c>
    </row>
    <row r="3180">
      <c r="A3180" t="str">
        <f>IFERROR(__xludf.DUMMYFUNCTION("""COMPUTED_VALUE"""),"tyliec")</f>
        <v>tyliec</v>
      </c>
      <c r="B3180" t="str">
        <f>IFERROR(__xludf.DUMMYFUNCTION("""COMPUTED_VALUE"""),"Irvine")</f>
        <v>Irvine</v>
      </c>
      <c r="C3180" t="str">
        <f>IFERROR(__xludf.DUMMYFUNCTION("""COMPUTED_VALUE"""),"CA")</f>
        <v>CA</v>
      </c>
      <c r="D3180" t="str">
        <f>IFERROR(__xludf.DUMMYFUNCTION("""COMPUTED_VALUE"""),"USA")</f>
        <v>USA</v>
      </c>
      <c r="E3180" s="188">
        <f>IFERROR(__xludf.DUMMYFUNCTION("""COMPUTED_VALUE"""),44346.0)</f>
        <v>44346</v>
      </c>
      <c r="F3180" s="188">
        <f>IFERROR(__xludf.DUMMYFUNCTION("""COMPUTED_VALUE"""),44394.0)</f>
        <v>44394</v>
      </c>
      <c r="G3180" t="str">
        <f>IFERROR(__xludf.DUMMYFUNCTION("""COMPUTED_VALUE"""),"Email")</f>
        <v>Email</v>
      </c>
      <c r="J3180" s="188">
        <f>IFERROR(__xludf.DUMMYFUNCTION("""COMPUTED_VALUE"""),44398.0)</f>
        <v>44398</v>
      </c>
      <c r="K3180">
        <f>IFERROR(__xludf.DUMMYFUNCTION("""COMPUTED_VALUE"""),48.0)</f>
        <v>48</v>
      </c>
      <c r="L3180">
        <f>IFERROR(__xludf.DUMMYFUNCTION("""COMPUTED_VALUE"""),4.0)</f>
        <v>4</v>
      </c>
      <c r="M3180">
        <f>IFERROR(__xludf.DUMMYFUNCTION("""COMPUTED_VALUE"""),52.0)</f>
        <v>52</v>
      </c>
      <c r="N3180" t="str">
        <f>IFERROR(__xludf.DUMMYFUNCTION("""COMPUTED_VALUE"""),"Model 3 SR+")</f>
        <v>Model 3 SR+</v>
      </c>
      <c r="O3180" t="str">
        <f>IFERROR(__xludf.DUMMYFUNCTION("""COMPUTED_VALUE"""),"Deep Blue Metallic")</f>
        <v>Deep Blue Metallic</v>
      </c>
      <c r="P3180" t="str">
        <f>IFERROR(__xludf.DUMMYFUNCTION("""COMPUTED_VALUE"""),"18 inch")</f>
        <v>18 inch</v>
      </c>
      <c r="Q3180" t="str">
        <f>IFERROR(__xludf.DUMMYFUNCTION("""COMPUTED_VALUE"""),"Black and White")</f>
        <v>Black and White</v>
      </c>
      <c r="R3180" t="str">
        <f>IFERROR(__xludf.DUMMYFUNCTION("""COMPUTED_VALUE"""),"Autopilot included")</f>
        <v>Autopilot included</v>
      </c>
      <c r="S3180" t="str">
        <f>IFERROR(__xludf.DUMMYFUNCTION("""COMPUTED_VALUE"""),"Cash")</f>
        <v>Cash</v>
      </c>
      <c r="T3180" t="str">
        <f>IFERROR(__xludf.DUMMYFUNCTION("""COMPUTED_VALUE"""),"Model 3 will be my first car!")</f>
        <v>Model 3 will be my first car!</v>
      </c>
      <c r="U3180" t="str">
        <f>IFERROR(__xludf.DUMMYFUNCTION("""COMPUTED_VALUE"""),"Electric!")</f>
        <v>Electric!</v>
      </c>
      <c r="V3180" t="str">
        <f>IFERROR(__xludf.DUMMYFUNCTION("""COMPUTED_VALUE"""),"360° Bird's eye view")</f>
        <v>360° Bird's eye view</v>
      </c>
      <c r="AH3180" s="189">
        <f>IFERROR(__xludf.DUMMYFUNCTION("""COMPUTED_VALUE"""),44398.55350678241)</f>
        <v>44398.55351</v>
      </c>
    </row>
    <row r="3181">
      <c r="A3181" t="str">
        <f>IFERROR(__xludf.DUMMYFUNCTION("""COMPUTED_VALUE"""),"whereismymodel3")</f>
        <v>whereismymodel3</v>
      </c>
      <c r="B3181" t="str">
        <f>IFERROR(__xludf.DUMMYFUNCTION("""COMPUTED_VALUE"""),"Fullerton")</f>
        <v>Fullerton</v>
      </c>
      <c r="C3181" t="str">
        <f>IFERROR(__xludf.DUMMYFUNCTION("""COMPUTED_VALUE"""),"CA")</f>
        <v>CA</v>
      </c>
      <c r="D3181" t="str">
        <f>IFERROR(__xludf.DUMMYFUNCTION("""COMPUTED_VALUE"""),"USA")</f>
        <v>USA</v>
      </c>
      <c r="E3181" s="188">
        <f>IFERROR(__xludf.DUMMYFUNCTION("""COMPUTED_VALUE"""),44359.0)</f>
        <v>44359</v>
      </c>
      <c r="F3181" s="188">
        <f>IFERROR(__xludf.DUMMYFUNCTION("""COMPUTED_VALUE"""),44412.0)</f>
        <v>44412</v>
      </c>
      <c r="G3181" t="str">
        <f>IFERROR(__xludf.DUMMYFUNCTION("""COMPUTED_VALUE"""),"Manage order page (normal text)")</f>
        <v>Manage order page (normal text)</v>
      </c>
      <c r="J3181" s="188">
        <f>IFERROR(__xludf.DUMMYFUNCTION("""COMPUTED_VALUE"""),44414.0)</f>
        <v>44414</v>
      </c>
      <c r="K3181">
        <f>IFERROR(__xludf.DUMMYFUNCTION("""COMPUTED_VALUE"""),53.0)</f>
        <v>53</v>
      </c>
      <c r="L3181">
        <f>IFERROR(__xludf.DUMMYFUNCTION("""COMPUTED_VALUE"""),2.0)</f>
        <v>2</v>
      </c>
      <c r="M3181">
        <f>IFERROR(__xludf.DUMMYFUNCTION("""COMPUTED_VALUE"""),55.0)</f>
        <v>55</v>
      </c>
      <c r="N3181" t="str">
        <f>IFERROR(__xludf.DUMMYFUNCTION("""COMPUTED_VALUE"""),"Model 3 SR+")</f>
        <v>Model 3 SR+</v>
      </c>
      <c r="O3181" t="str">
        <f>IFERROR(__xludf.DUMMYFUNCTION("""COMPUTED_VALUE"""),"Pearl White Multi-Coat")</f>
        <v>Pearl White Multi-Coat</v>
      </c>
      <c r="P3181" t="str">
        <f>IFERROR(__xludf.DUMMYFUNCTION("""COMPUTED_VALUE"""),"18 inch")</f>
        <v>18 inch</v>
      </c>
      <c r="Q3181" t="str">
        <f>IFERROR(__xludf.DUMMYFUNCTION("""COMPUTED_VALUE"""),"All Black")</f>
        <v>All Black</v>
      </c>
      <c r="R3181" t="str">
        <f>IFERROR(__xludf.DUMMYFUNCTION("""COMPUTED_VALUE"""),"Autopilot included")</f>
        <v>Autopilot included</v>
      </c>
      <c r="S3181" t="str">
        <f>IFERROR(__xludf.DUMMYFUNCTION("""COMPUTED_VALUE"""),"Loan")</f>
        <v>Loan</v>
      </c>
      <c r="T3181" t="str">
        <f>IFERROR(__xludf.DUMMYFUNCTION("""COMPUTED_VALUE"""),"BMW 4 Series")</f>
        <v>BMW 4 Series</v>
      </c>
      <c r="U3181" t="str">
        <f>IFERROR(__xludf.DUMMYFUNCTION("""COMPUTED_VALUE"""),"Electric!")</f>
        <v>Electric!</v>
      </c>
      <c r="V3181" t="str">
        <f>IFERROR(__xludf.DUMMYFUNCTION("""COMPUTED_VALUE"""),"Ventilated seats")</f>
        <v>Ventilated seats</v>
      </c>
      <c r="AH3181" s="189">
        <f>IFERROR(__xludf.DUMMYFUNCTION("""COMPUTED_VALUE"""),44412.38823361111)</f>
        <v>44412.38823</v>
      </c>
    </row>
    <row r="3182">
      <c r="A3182" t="str">
        <f>IFERROR(__xludf.DUMMYFUNCTION("""COMPUTED_VALUE"""),"AMARMILO")</f>
        <v>AMARMILO</v>
      </c>
      <c r="B3182" t="str">
        <f>IFERROR(__xludf.DUMMYFUNCTION("""COMPUTED_VALUE"""),"Toronto")</f>
        <v>Toronto</v>
      </c>
      <c r="C3182" t="str">
        <f>IFERROR(__xludf.DUMMYFUNCTION("""COMPUTED_VALUE"""),"ON")</f>
        <v>ON</v>
      </c>
      <c r="D3182" t="str">
        <f>IFERROR(__xludf.DUMMYFUNCTION("""COMPUTED_VALUE"""),"Canada")</f>
        <v>Canada</v>
      </c>
      <c r="E3182" s="188">
        <f>IFERROR(__xludf.DUMMYFUNCTION("""COMPUTED_VALUE"""),44356.0)</f>
        <v>44356</v>
      </c>
      <c r="F3182" s="188">
        <f>IFERROR(__xludf.DUMMYFUNCTION("""COMPUTED_VALUE"""),44407.0)</f>
        <v>44407</v>
      </c>
      <c r="G3182" t="str">
        <f>IFERROR(__xludf.DUMMYFUNCTION("""COMPUTED_VALUE"""),"Source code")</f>
        <v>Source code</v>
      </c>
      <c r="J3182" s="188">
        <f>IFERROR(__xludf.DUMMYFUNCTION("""COMPUTED_VALUE"""),44421.0)</f>
        <v>44421</v>
      </c>
      <c r="K3182">
        <f>IFERROR(__xludf.DUMMYFUNCTION("""COMPUTED_VALUE"""),51.0)</f>
        <v>51</v>
      </c>
      <c r="L3182">
        <f>IFERROR(__xludf.DUMMYFUNCTION("""COMPUTED_VALUE"""),14.0)</f>
        <v>14</v>
      </c>
      <c r="M3182">
        <f>IFERROR(__xludf.DUMMYFUNCTION("""COMPUTED_VALUE"""),65.0)</f>
        <v>65</v>
      </c>
      <c r="N3182" t="str">
        <f>IFERROR(__xludf.DUMMYFUNCTION("""COMPUTED_VALUE"""),"Model 3 SR+")</f>
        <v>Model 3 SR+</v>
      </c>
      <c r="O3182" t="str">
        <f>IFERROR(__xludf.DUMMYFUNCTION("""COMPUTED_VALUE"""),"Pearl White Multi-Coat")</f>
        <v>Pearl White Multi-Coat</v>
      </c>
      <c r="P3182" t="str">
        <f>IFERROR(__xludf.DUMMYFUNCTION("""COMPUTED_VALUE"""),"18 inch")</f>
        <v>18 inch</v>
      </c>
      <c r="Q3182" t="str">
        <f>IFERROR(__xludf.DUMMYFUNCTION("""COMPUTED_VALUE"""),"All Black")</f>
        <v>All Black</v>
      </c>
      <c r="R3182" t="str">
        <f>IFERROR(__xludf.DUMMYFUNCTION("""COMPUTED_VALUE"""),"Autopilot included")</f>
        <v>Autopilot included</v>
      </c>
      <c r="S3182" t="str">
        <f>IFERROR(__xludf.DUMMYFUNCTION("""COMPUTED_VALUE"""),"Loan")</f>
        <v>Loan</v>
      </c>
      <c r="U3182" t="str">
        <f>IFERROR(__xludf.DUMMYFUNCTION("""COMPUTED_VALUE"""),"Electric!")</f>
        <v>Electric!</v>
      </c>
      <c r="V3182" t="str">
        <f>IFERROR(__xludf.DUMMYFUNCTION("""COMPUTED_VALUE"""),"Head-up display")</f>
        <v>Head-up display</v>
      </c>
      <c r="AH3182" s="189">
        <f>IFERROR(__xludf.DUMMYFUNCTION("""COMPUTED_VALUE"""),44408.72157612268)</f>
        <v>44408.72158</v>
      </c>
    </row>
    <row r="3183">
      <c r="A3183" t="str">
        <f>IFERROR(__xludf.DUMMYFUNCTION("""COMPUTED_VALUE"""),"Travtrnm")</f>
        <v>Travtrnm</v>
      </c>
      <c r="B3183" t="str">
        <f>IFERROR(__xludf.DUMMYFUNCTION("""COMPUTED_VALUE"""),"Woodstock")</f>
        <v>Woodstock</v>
      </c>
      <c r="C3183" t="str">
        <f>IFERROR(__xludf.DUMMYFUNCTION("""COMPUTED_VALUE"""),"GA")</f>
        <v>GA</v>
      </c>
      <c r="D3183" t="str">
        <f>IFERROR(__xludf.DUMMYFUNCTION("""COMPUTED_VALUE"""),"USA")</f>
        <v>USA</v>
      </c>
      <c r="E3183" s="188">
        <f>IFERROR(__xludf.DUMMYFUNCTION("""COMPUTED_VALUE"""),44383.0)</f>
        <v>44383</v>
      </c>
      <c r="F3183" s="188">
        <f>IFERROR(__xludf.DUMMYFUNCTION("""COMPUTED_VALUE"""),44412.0)</f>
        <v>44412</v>
      </c>
      <c r="G3183" t="str">
        <f>IFERROR(__xludf.DUMMYFUNCTION("""COMPUTED_VALUE"""),"Manage order page (normal text)")</f>
        <v>Manage order page (normal text)</v>
      </c>
      <c r="J3183" s="188">
        <f>IFERROR(__xludf.DUMMYFUNCTION("""COMPUTED_VALUE"""),44427.0)</f>
        <v>44427</v>
      </c>
      <c r="K3183">
        <f>IFERROR(__xludf.DUMMYFUNCTION("""COMPUTED_VALUE"""),29.0)</f>
        <v>29</v>
      </c>
      <c r="L3183">
        <f>IFERROR(__xludf.DUMMYFUNCTION("""COMPUTED_VALUE"""),15.0)</f>
        <v>15</v>
      </c>
      <c r="M3183">
        <f>IFERROR(__xludf.DUMMYFUNCTION("""COMPUTED_VALUE"""),44.0)</f>
        <v>44</v>
      </c>
      <c r="N3183" t="str">
        <f>IFERROR(__xludf.DUMMYFUNCTION("""COMPUTED_VALUE"""),"Model 3 SR+")</f>
        <v>Model 3 SR+</v>
      </c>
      <c r="O3183" t="str">
        <f>IFERROR(__xludf.DUMMYFUNCTION("""COMPUTED_VALUE"""),"Midnight Silver Metallic")</f>
        <v>Midnight Silver Metallic</v>
      </c>
      <c r="P3183" t="str">
        <f>IFERROR(__xludf.DUMMYFUNCTION("""COMPUTED_VALUE"""),"18 inch")</f>
        <v>18 inch</v>
      </c>
      <c r="Q3183" t="str">
        <f>IFERROR(__xludf.DUMMYFUNCTION("""COMPUTED_VALUE"""),"All Black")</f>
        <v>All Black</v>
      </c>
      <c r="R3183" t="str">
        <f>IFERROR(__xludf.DUMMYFUNCTION("""COMPUTED_VALUE"""),"Autopilot included")</f>
        <v>Autopilot included</v>
      </c>
      <c r="S3183" t="str">
        <f>IFERROR(__xludf.DUMMYFUNCTION("""COMPUTED_VALUE"""),"Loan")</f>
        <v>Loan</v>
      </c>
      <c r="T3183" t="str">
        <f>IFERROR(__xludf.DUMMYFUNCTION("""COMPUTED_VALUE"""),"Hyundai Tucson")</f>
        <v>Hyundai Tucson</v>
      </c>
      <c r="U3183" t="str">
        <f>IFERROR(__xludf.DUMMYFUNCTION("""COMPUTED_VALUE"""),"Electric!")</f>
        <v>Electric!</v>
      </c>
      <c r="V3183" t="str">
        <f>IFERROR(__xludf.DUMMYFUNCTION("""COMPUTED_VALUE"""),"Apple CarPlay / Android Auto / SiriusXM Radio")</f>
        <v>Apple CarPlay / Android Auto / SiriusXM Radio</v>
      </c>
      <c r="AH3183" s="189">
        <f>IFERROR(__xludf.DUMMYFUNCTION("""COMPUTED_VALUE"""),44418.254325625)</f>
        <v>44418.25433</v>
      </c>
    </row>
    <row r="3184">
      <c r="A3184" t="str">
        <f>IFERROR(__xludf.DUMMYFUNCTION("""COMPUTED_VALUE"""),"BerkieMon")</f>
        <v>BerkieMon</v>
      </c>
      <c r="B3184" t="str">
        <f>IFERROR(__xludf.DUMMYFUNCTION("""COMPUTED_VALUE"""),"Jacksonville")</f>
        <v>Jacksonville</v>
      </c>
      <c r="C3184" t="str">
        <f>IFERROR(__xludf.DUMMYFUNCTION("""COMPUTED_VALUE"""),"FL")</f>
        <v>FL</v>
      </c>
      <c r="D3184" t="str">
        <f>IFERROR(__xludf.DUMMYFUNCTION("""COMPUTED_VALUE"""),"USA")</f>
        <v>USA</v>
      </c>
      <c r="E3184" s="188">
        <f>IFERROR(__xludf.DUMMYFUNCTION("""COMPUTED_VALUE"""),44369.0)</f>
        <v>44369</v>
      </c>
      <c r="F3184" s="188">
        <f>IFERROR(__xludf.DUMMYFUNCTION("""COMPUTED_VALUE"""),44415.0)</f>
        <v>44415</v>
      </c>
      <c r="G3184" t="str">
        <f>IFERROR(__xludf.DUMMYFUNCTION("""COMPUTED_VALUE"""),"Manage order page (normal text)")</f>
        <v>Manage order page (normal text)</v>
      </c>
      <c r="H3184">
        <f>IFERROR(__xludf.DUMMYFUNCTION("""COMPUTED_VALUE"""),26497.0)</f>
        <v>26497</v>
      </c>
      <c r="J3184" s="188">
        <f>IFERROR(__xludf.DUMMYFUNCTION("""COMPUTED_VALUE"""),44423.0)</f>
        <v>44423</v>
      </c>
      <c r="K3184">
        <f>IFERROR(__xludf.DUMMYFUNCTION("""COMPUTED_VALUE"""),46.0)</f>
        <v>46</v>
      </c>
      <c r="L3184">
        <f>IFERROR(__xludf.DUMMYFUNCTION("""COMPUTED_VALUE"""),8.0)</f>
        <v>8</v>
      </c>
      <c r="M3184">
        <f>IFERROR(__xludf.DUMMYFUNCTION("""COMPUTED_VALUE"""),54.0)</f>
        <v>54</v>
      </c>
      <c r="N3184" t="str">
        <f>IFERROR(__xludf.DUMMYFUNCTION("""COMPUTED_VALUE"""),"Model 3 Performance")</f>
        <v>Model 3 Performance</v>
      </c>
      <c r="O3184" t="str">
        <f>IFERROR(__xludf.DUMMYFUNCTION("""COMPUTED_VALUE"""),"Red Multi-Coat")</f>
        <v>Red Multi-Coat</v>
      </c>
      <c r="P3184" t="str">
        <f>IFERROR(__xludf.DUMMYFUNCTION("""COMPUTED_VALUE"""),"20 inch")</f>
        <v>20 inch</v>
      </c>
      <c r="Q3184" t="str">
        <f>IFERROR(__xludf.DUMMYFUNCTION("""COMPUTED_VALUE"""),"Black and White")</f>
        <v>Black and White</v>
      </c>
      <c r="R3184" t="str">
        <f>IFERROR(__xludf.DUMMYFUNCTION("""COMPUTED_VALUE"""),"Autopilot included")</f>
        <v>Autopilot included</v>
      </c>
      <c r="S3184" t="str">
        <f>IFERROR(__xludf.DUMMYFUNCTION("""COMPUTED_VALUE"""),"Loan")</f>
        <v>Loan</v>
      </c>
      <c r="T3184" t="str">
        <f>IFERROR(__xludf.DUMMYFUNCTION("""COMPUTED_VALUE"""),"Tesla Model 3")</f>
        <v>Tesla Model 3</v>
      </c>
      <c r="AH3184" s="189">
        <f>IFERROR(__xludf.DUMMYFUNCTION("""COMPUTED_VALUE"""),44416.603336932865)</f>
        <v>44416.60334</v>
      </c>
    </row>
    <row r="3185">
      <c r="A3185" t="str">
        <f>IFERROR(__xludf.DUMMYFUNCTION("""COMPUTED_VALUE"""),"NJR46")</f>
        <v>NJR46</v>
      </c>
      <c r="B3185" t="str">
        <f>IFERROR(__xludf.DUMMYFUNCTION("""COMPUTED_VALUE"""),"Colchester")</f>
        <v>Colchester</v>
      </c>
      <c r="D3185" t="str">
        <f>IFERROR(__xludf.DUMMYFUNCTION("""COMPUTED_VALUE"""),"United Kingdom")</f>
        <v>United Kingdom</v>
      </c>
      <c r="E3185" s="188">
        <f>IFERROR(__xludf.DUMMYFUNCTION("""COMPUTED_VALUE"""),44375.0)</f>
        <v>44375</v>
      </c>
      <c r="F3185" s="188">
        <f>IFERROR(__xludf.DUMMYFUNCTION("""COMPUTED_VALUE"""),44405.0)</f>
        <v>44405</v>
      </c>
      <c r="G3185" t="str">
        <f>IFERROR(__xludf.DUMMYFUNCTION("""COMPUTED_VALUE"""),"Source code")</f>
        <v>Source code</v>
      </c>
      <c r="H3185">
        <f>IFERROR(__xludf.DUMMYFUNCTION("""COMPUTED_VALUE"""),312055.0)</f>
        <v>312055</v>
      </c>
      <c r="J3185" s="188">
        <f>IFERROR(__xludf.DUMMYFUNCTION("""COMPUTED_VALUE"""),44450.0)</f>
        <v>44450</v>
      </c>
      <c r="K3185">
        <f>IFERROR(__xludf.DUMMYFUNCTION("""COMPUTED_VALUE"""),30.0)</f>
        <v>30</v>
      </c>
      <c r="L3185">
        <f>IFERROR(__xludf.DUMMYFUNCTION("""COMPUTED_VALUE"""),45.0)</f>
        <v>45</v>
      </c>
      <c r="M3185">
        <f>IFERROR(__xludf.DUMMYFUNCTION("""COMPUTED_VALUE"""),75.0)</f>
        <v>75</v>
      </c>
      <c r="N3185" t="str">
        <f>IFERROR(__xludf.DUMMYFUNCTION("""COMPUTED_VALUE"""),"Model 3 Performance")</f>
        <v>Model 3 Performance</v>
      </c>
      <c r="O3185" t="str">
        <f>IFERROR(__xludf.DUMMYFUNCTION("""COMPUTED_VALUE"""),"Solid Black")</f>
        <v>Solid Black</v>
      </c>
      <c r="P3185" t="str">
        <f>IFERROR(__xludf.DUMMYFUNCTION("""COMPUTED_VALUE"""),"20 inch")</f>
        <v>20 inch</v>
      </c>
      <c r="Q3185" t="str">
        <f>IFERROR(__xludf.DUMMYFUNCTION("""COMPUTED_VALUE"""),"All Black")</f>
        <v>All Black</v>
      </c>
      <c r="R3185" t="str">
        <f>IFERROR(__xludf.DUMMYFUNCTION("""COMPUTED_VALUE"""),"Autopilot included")</f>
        <v>Autopilot included</v>
      </c>
      <c r="S3185" t="str">
        <f>IFERROR(__xludf.DUMMYFUNCTION("""COMPUTED_VALUE"""),"Lease")</f>
        <v>Lease</v>
      </c>
      <c r="T3185" t="str">
        <f>IFERROR(__xludf.DUMMYFUNCTION("""COMPUTED_VALUE"""),"Range Rover Velar")</f>
        <v>Range Rover Velar</v>
      </c>
      <c r="U3185" t="str">
        <f>IFERROR(__xludf.DUMMYFUNCTION("""COMPUTED_VALUE"""),"Electric!")</f>
        <v>Electric!</v>
      </c>
      <c r="V3185" t="str">
        <f>IFERROR(__xludf.DUMMYFUNCTION("""COMPUTED_VALUE"""),"360° Bird's eye view")</f>
        <v>360° Bird's eye view</v>
      </c>
      <c r="AH3185" s="189">
        <f>IFERROR(__xludf.DUMMYFUNCTION("""COMPUTED_VALUE"""),44428.172349953704)</f>
        <v>44428.17235</v>
      </c>
    </row>
    <row r="3186">
      <c r="A3186" t="str">
        <f>IFERROR(__xludf.DUMMYFUNCTION("""COMPUTED_VALUE"""),"Ilike2brkthngs")</f>
        <v>Ilike2brkthngs</v>
      </c>
      <c r="C3186" t="str">
        <f>IFERROR(__xludf.DUMMYFUNCTION("""COMPUTED_VALUE"""),"FL")</f>
        <v>FL</v>
      </c>
      <c r="D3186" t="str">
        <f>IFERROR(__xludf.DUMMYFUNCTION("""COMPUTED_VALUE"""),"USA")</f>
        <v>USA</v>
      </c>
      <c r="E3186" s="188">
        <f>IFERROR(__xludf.DUMMYFUNCTION("""COMPUTED_VALUE"""),44395.0)</f>
        <v>44395</v>
      </c>
      <c r="N3186" t="str">
        <f>IFERROR(__xludf.DUMMYFUNCTION("""COMPUTED_VALUE"""),"Model 3 SR+")</f>
        <v>Model 3 SR+</v>
      </c>
      <c r="O3186" t="str">
        <f>IFERROR(__xludf.DUMMYFUNCTION("""COMPUTED_VALUE"""),"Pearl White Multi-Coat")</f>
        <v>Pearl White Multi-Coat</v>
      </c>
      <c r="P3186" t="str">
        <f>IFERROR(__xludf.DUMMYFUNCTION("""COMPUTED_VALUE"""),"19 inch")</f>
        <v>19 inch</v>
      </c>
      <c r="Q3186" t="str">
        <f>IFERROR(__xludf.DUMMYFUNCTION("""COMPUTED_VALUE"""),"All Black")</f>
        <v>All Black</v>
      </c>
      <c r="R3186" t="str">
        <f>IFERROR(__xludf.DUMMYFUNCTION("""COMPUTED_VALUE"""),"Autopilot included")</f>
        <v>Autopilot included</v>
      </c>
      <c r="S3186" t="str">
        <f>IFERROR(__xludf.DUMMYFUNCTION("""COMPUTED_VALUE"""),"Cash")</f>
        <v>Cash</v>
      </c>
      <c r="U3186" t="str">
        <f>IFERROR(__xludf.DUMMYFUNCTION("""COMPUTED_VALUE"""),"All-glass roof")</f>
        <v>All-glass roof</v>
      </c>
      <c r="V3186" t="str">
        <f>IFERROR(__xludf.DUMMYFUNCTION("""COMPUTED_VALUE"""),"Apple CarPlay / Android Auto / SiriusXM Radio")</f>
        <v>Apple CarPlay / Android Auto / SiriusXM Radio</v>
      </c>
      <c r="AH3186" s="189">
        <f>IFERROR(__xludf.DUMMYFUNCTION("""COMPUTED_VALUE"""),44427.5954532176)</f>
        <v>44427.59545</v>
      </c>
    </row>
    <row r="3187">
      <c r="A3187" t="str">
        <f>IFERROR(__xludf.DUMMYFUNCTION("""COMPUTED_VALUE"""),"aces")</f>
        <v>aces</v>
      </c>
      <c r="C3187" t="str">
        <f>IFERROR(__xludf.DUMMYFUNCTION("""COMPUTED_VALUE"""),"CA")</f>
        <v>CA</v>
      </c>
      <c r="D3187" t="str">
        <f>IFERROR(__xludf.DUMMYFUNCTION("""COMPUTED_VALUE"""),"USA")</f>
        <v>USA</v>
      </c>
      <c r="E3187" s="188">
        <f>IFERROR(__xludf.DUMMYFUNCTION("""COMPUTED_VALUE"""),44378.0)</f>
        <v>44378</v>
      </c>
      <c r="F3187" s="188">
        <f>IFERROR(__xludf.DUMMYFUNCTION("""COMPUTED_VALUE"""),44390.0)</f>
        <v>44390</v>
      </c>
      <c r="G3187" t="str">
        <f>IFERROR(__xludf.DUMMYFUNCTION("""COMPUTED_VALUE"""),"Manage order page (normal text)")</f>
        <v>Manage order page (normal text)</v>
      </c>
      <c r="J3187" s="188">
        <f>IFERROR(__xludf.DUMMYFUNCTION("""COMPUTED_VALUE"""),44393.0)</f>
        <v>44393</v>
      </c>
      <c r="K3187">
        <f>IFERROR(__xludf.DUMMYFUNCTION("""COMPUTED_VALUE"""),12.0)</f>
        <v>12</v>
      </c>
      <c r="L3187">
        <f>IFERROR(__xludf.DUMMYFUNCTION("""COMPUTED_VALUE"""),3.0)</f>
        <v>3</v>
      </c>
      <c r="M3187">
        <f>IFERROR(__xludf.DUMMYFUNCTION("""COMPUTED_VALUE"""),15.0)</f>
        <v>15</v>
      </c>
      <c r="N3187" t="str">
        <f>IFERROR(__xludf.DUMMYFUNCTION("""COMPUTED_VALUE"""),"Model 3 LR AWD")</f>
        <v>Model 3 LR AWD</v>
      </c>
      <c r="O3187" t="str">
        <f>IFERROR(__xludf.DUMMYFUNCTION("""COMPUTED_VALUE"""),"Pearl White Multi-Coat")</f>
        <v>Pearl White Multi-Coat</v>
      </c>
      <c r="P3187" t="str">
        <f>IFERROR(__xludf.DUMMYFUNCTION("""COMPUTED_VALUE"""),"19 inch")</f>
        <v>19 inch</v>
      </c>
      <c r="Q3187" t="str">
        <f>IFERROR(__xludf.DUMMYFUNCTION("""COMPUTED_VALUE"""),"All Black")</f>
        <v>All Black</v>
      </c>
      <c r="R3187" t="str">
        <f>IFERROR(__xludf.DUMMYFUNCTION("""COMPUTED_VALUE"""),"Autopilot included")</f>
        <v>Autopilot included</v>
      </c>
      <c r="S3187" t="str">
        <f>IFERROR(__xludf.DUMMYFUNCTION("""COMPUTED_VALUE"""),"Cash")</f>
        <v>Cash</v>
      </c>
      <c r="X3187" t="str">
        <f>IFERROR(__xludf.DUMMYFUNCTION("""COMPUTED_VALUE"""),"Very Good")</f>
        <v>Very Good</v>
      </c>
      <c r="Y3187" t="str">
        <f>IFERROR(__xludf.DUMMYFUNCTION("""COMPUTED_VALUE"""),"Excellent")</f>
        <v>Excellent</v>
      </c>
      <c r="Z3187" t="str">
        <f>IFERROR(__xludf.DUMMYFUNCTION("""COMPUTED_VALUE"""),"Excellent")</f>
        <v>Excellent</v>
      </c>
      <c r="AA3187" t="str">
        <f>IFERROR(__xludf.DUMMYFUNCTION("""COMPUTED_VALUE"""),"Good")</f>
        <v>Good</v>
      </c>
      <c r="AB3187" t="str">
        <f>IFERROR(__xludf.DUMMYFUNCTION("""COMPUTED_VALUE"""),"Very Good")</f>
        <v>Very Good</v>
      </c>
      <c r="AH3187" s="189">
        <f>IFERROR(__xludf.DUMMYFUNCTION("""COMPUTED_VALUE"""),44399.911887187496)</f>
        <v>44399.91189</v>
      </c>
    </row>
    <row r="3188">
      <c r="A3188" t="str">
        <f>IFERROR(__xludf.DUMMYFUNCTION("""COMPUTED_VALUE"""),"7eslafied")</f>
        <v>7eslafied</v>
      </c>
      <c r="B3188" t="str">
        <f>IFERROR(__xludf.DUMMYFUNCTION("""COMPUTED_VALUE"""),"West Palm Beach")</f>
        <v>West Palm Beach</v>
      </c>
      <c r="C3188" t="str">
        <f>IFERROR(__xludf.DUMMYFUNCTION("""COMPUTED_VALUE"""),"FL")</f>
        <v>FL</v>
      </c>
      <c r="D3188" t="str">
        <f>IFERROR(__xludf.DUMMYFUNCTION("""COMPUTED_VALUE"""),"USA")</f>
        <v>USA</v>
      </c>
      <c r="E3188" s="188">
        <f>IFERROR(__xludf.DUMMYFUNCTION("""COMPUTED_VALUE"""),44435.0)</f>
        <v>44435</v>
      </c>
      <c r="F3188" s="188">
        <f>IFERROR(__xludf.DUMMYFUNCTION("""COMPUTED_VALUE"""),44435.0)</f>
        <v>44435</v>
      </c>
      <c r="G3188" t="str">
        <f>IFERROR(__xludf.DUMMYFUNCTION("""COMPUTED_VALUE"""),"Manage order page (normal text)")</f>
        <v>Manage order page (normal text)</v>
      </c>
      <c r="I3188" t="str">
        <f>IFERROR(__xludf.DUMMYFUNCTION("""COMPUTED_VALUE"""),"08/21")</f>
        <v>08/21</v>
      </c>
      <c r="J3188" s="188">
        <f>IFERROR(__xludf.DUMMYFUNCTION("""COMPUTED_VALUE"""),44448.0)</f>
        <v>44448</v>
      </c>
      <c r="K3188">
        <f>IFERROR(__xludf.DUMMYFUNCTION("""COMPUTED_VALUE"""),0.0)</f>
        <v>0</v>
      </c>
      <c r="L3188">
        <f>IFERROR(__xludf.DUMMYFUNCTION("""COMPUTED_VALUE"""),13.0)</f>
        <v>13</v>
      </c>
      <c r="M3188">
        <f>IFERROR(__xludf.DUMMYFUNCTION("""COMPUTED_VALUE"""),13.0)</f>
        <v>13</v>
      </c>
      <c r="N3188" t="str">
        <f>IFERROR(__xludf.DUMMYFUNCTION("""COMPUTED_VALUE"""),"Model 3 SR+")</f>
        <v>Model 3 SR+</v>
      </c>
      <c r="O3188" t="str">
        <f>IFERROR(__xludf.DUMMYFUNCTION("""COMPUTED_VALUE"""),"Pearl White Multi-Coat")</f>
        <v>Pearl White Multi-Coat</v>
      </c>
      <c r="P3188" t="str">
        <f>IFERROR(__xludf.DUMMYFUNCTION("""COMPUTED_VALUE"""),"18 inch")</f>
        <v>18 inch</v>
      </c>
      <c r="Q3188" t="str">
        <f>IFERROR(__xludf.DUMMYFUNCTION("""COMPUTED_VALUE"""),"All Black")</f>
        <v>All Black</v>
      </c>
      <c r="R3188" t="str">
        <f>IFERROR(__xludf.DUMMYFUNCTION("""COMPUTED_VALUE"""),"Autopilot included")</f>
        <v>Autopilot included</v>
      </c>
      <c r="S3188" t="str">
        <f>IFERROR(__xludf.DUMMYFUNCTION("""COMPUTED_VALUE"""),"Loan")</f>
        <v>Loan</v>
      </c>
      <c r="T3188" t="str">
        <f>IFERROR(__xludf.DUMMYFUNCTION("""COMPUTED_VALUE"""),"Lexus RX 350")</f>
        <v>Lexus RX 350</v>
      </c>
      <c r="U3188" t="str">
        <f>IFERROR(__xludf.DUMMYFUNCTION("""COMPUTED_VALUE"""),"Revolutionized car design")</f>
        <v>Revolutionized car design</v>
      </c>
      <c r="V3188" t="str">
        <f>IFERROR(__xludf.DUMMYFUNCTION("""COMPUTED_VALUE"""),"Apple CarPlay / Android Auto / SiriusXM Radio")</f>
        <v>Apple CarPlay / Android Auto / SiriusXM Radio</v>
      </c>
      <c r="X3188" t="str">
        <f>IFERROR(__xludf.DUMMYFUNCTION("""COMPUTED_VALUE"""),"Very Good")</f>
        <v>Very Good</v>
      </c>
      <c r="Y3188" t="str">
        <f>IFERROR(__xludf.DUMMYFUNCTION("""COMPUTED_VALUE"""),"Excellent")</f>
        <v>Excellent</v>
      </c>
      <c r="Z3188" t="str">
        <f>IFERROR(__xludf.DUMMYFUNCTION("""COMPUTED_VALUE"""),"Excellent")</f>
        <v>Excellent</v>
      </c>
      <c r="AA3188" t="str">
        <f>IFERROR(__xludf.DUMMYFUNCTION("""COMPUTED_VALUE"""),"Poor")</f>
        <v>Poor</v>
      </c>
      <c r="AB3188" t="str">
        <f>IFERROR(__xludf.DUMMYFUNCTION("""COMPUTED_VALUE"""),"Poor")</f>
        <v>Poor</v>
      </c>
      <c r="AD3188">
        <f>IFERROR(__xludf.DUMMYFUNCTION("""COMPUTED_VALUE"""),1.0)</f>
        <v>1</v>
      </c>
      <c r="AG3188" t="str">
        <f>IFERROR(__xludf.DUMMYFUNCTION("""COMPUTED_VALUE"""),"Had previous order moved to LFP battery version.")</f>
        <v>Had previous order moved to LFP battery version.</v>
      </c>
      <c r="AH3188" s="189">
        <f>IFERROR(__xludf.DUMMYFUNCTION("""COMPUTED_VALUE"""),44463.608291412034)</f>
        <v>44463.60829</v>
      </c>
    </row>
    <row r="3189">
      <c r="A3189" t="str">
        <f>IFERROR(__xludf.DUMMYFUNCTION("""COMPUTED_VALUE"""),"ankpotter")</f>
        <v>ankpotter</v>
      </c>
      <c r="B3189" t="str">
        <f>IFERROR(__xludf.DUMMYFUNCTION("""COMPUTED_VALUE"""),"Sayreville")</f>
        <v>Sayreville</v>
      </c>
      <c r="C3189" t="str">
        <f>IFERROR(__xludf.DUMMYFUNCTION("""COMPUTED_VALUE"""),"NJ")</f>
        <v>NJ</v>
      </c>
      <c r="D3189" t="str">
        <f>IFERROR(__xludf.DUMMYFUNCTION("""COMPUTED_VALUE"""),"USA")</f>
        <v>USA</v>
      </c>
      <c r="E3189" s="188">
        <f>IFERROR(__xludf.DUMMYFUNCTION("""COMPUTED_VALUE"""),44386.0)</f>
        <v>44386</v>
      </c>
      <c r="F3189" s="188">
        <f>IFERROR(__xludf.DUMMYFUNCTION("""COMPUTED_VALUE"""),44426.0)</f>
        <v>44426</v>
      </c>
      <c r="G3189" t="str">
        <f>IFERROR(__xludf.DUMMYFUNCTION("""COMPUTED_VALUE"""),"Manage order page (normal text)")</f>
        <v>Manage order page (normal text)</v>
      </c>
      <c r="H3189">
        <f>IFERROR(__xludf.DUMMYFUNCTION("""COMPUTED_VALUE"""),111111.0)</f>
        <v>111111</v>
      </c>
      <c r="K3189">
        <f>IFERROR(__xludf.DUMMYFUNCTION("""COMPUTED_VALUE"""),40.0)</f>
        <v>40</v>
      </c>
      <c r="N3189" t="str">
        <f>IFERROR(__xludf.DUMMYFUNCTION("""COMPUTED_VALUE"""),"Model 3 LR AWD")</f>
        <v>Model 3 LR AWD</v>
      </c>
      <c r="O3189" t="str">
        <f>IFERROR(__xludf.DUMMYFUNCTION("""COMPUTED_VALUE"""),"Deep Blue Metallic")</f>
        <v>Deep Blue Metallic</v>
      </c>
      <c r="P3189" t="str">
        <f>IFERROR(__xludf.DUMMYFUNCTION("""COMPUTED_VALUE"""),"18 inch")</f>
        <v>18 inch</v>
      </c>
      <c r="Q3189" t="str">
        <f>IFERROR(__xludf.DUMMYFUNCTION("""COMPUTED_VALUE"""),"All Black")</f>
        <v>All Black</v>
      </c>
      <c r="R3189" t="str">
        <f>IFERROR(__xludf.DUMMYFUNCTION("""COMPUTED_VALUE"""),"Autopilot included")</f>
        <v>Autopilot included</v>
      </c>
      <c r="S3189" t="str">
        <f>IFERROR(__xludf.DUMMYFUNCTION("""COMPUTED_VALUE"""),"Loan")</f>
        <v>Loan</v>
      </c>
      <c r="T3189" t="str">
        <f>IFERROR(__xludf.DUMMYFUNCTION("""COMPUTED_VALUE"""),"Hyundai Accent")</f>
        <v>Hyundai Accent</v>
      </c>
      <c r="U3189" t="str">
        <f>IFERROR(__xludf.DUMMYFUNCTION("""COMPUTED_VALUE"""),"Electric!")</f>
        <v>Electric!</v>
      </c>
      <c r="V3189" t="str">
        <f>IFERROR(__xludf.DUMMYFUNCTION("""COMPUTED_VALUE"""),"Apple CarPlay / Android Auto / SiriusXM Radio")</f>
        <v>Apple CarPlay / Android Auto / SiriusXM Radio</v>
      </c>
      <c r="W3189" t="str">
        <f>IFERROR(__xludf.DUMMYFUNCTION("""COMPUTED_VALUE"""),"Strongly recommend against buying it if you can't charge at home.")</f>
        <v>Strongly recommend against buying it if you can't charge at home.</v>
      </c>
      <c r="AH3189" s="189">
        <f>IFERROR(__xludf.DUMMYFUNCTION("""COMPUTED_VALUE"""),44426.94256335648)</f>
        <v>44426.94256</v>
      </c>
    </row>
    <row r="3190">
      <c r="A3190" t="str">
        <f>IFERROR(__xludf.DUMMYFUNCTION("""COMPUTED_VALUE"""),"Schmozy")</f>
        <v>Schmozy</v>
      </c>
      <c r="B3190" t="str">
        <f>IFERROR(__xludf.DUMMYFUNCTION("""COMPUTED_VALUE"""),"Manassas")</f>
        <v>Manassas</v>
      </c>
      <c r="C3190" t="str">
        <f>IFERROR(__xludf.DUMMYFUNCTION("""COMPUTED_VALUE"""),"VA")</f>
        <v>VA</v>
      </c>
      <c r="D3190" t="str">
        <f>IFERROR(__xludf.DUMMYFUNCTION("""COMPUTED_VALUE"""),"USA")</f>
        <v>USA</v>
      </c>
      <c r="E3190" s="188">
        <f>IFERROR(__xludf.DUMMYFUNCTION("""COMPUTED_VALUE"""),44390.0)</f>
        <v>44390</v>
      </c>
      <c r="F3190" s="188">
        <f>IFERROR(__xludf.DUMMYFUNCTION("""COMPUTED_VALUE"""),44426.0)</f>
        <v>44426</v>
      </c>
      <c r="G3190" t="str">
        <f>IFERROR(__xludf.DUMMYFUNCTION("""COMPUTED_VALUE"""),"Email")</f>
        <v>Email</v>
      </c>
      <c r="I3190" t="str">
        <f>IFERROR(__xludf.DUMMYFUNCTION("""COMPUTED_VALUE"""),"08/21")</f>
        <v>08/21</v>
      </c>
      <c r="J3190" s="188">
        <f>IFERROR(__xludf.DUMMYFUNCTION("""COMPUTED_VALUE"""),44440.0)</f>
        <v>44440</v>
      </c>
      <c r="K3190">
        <f>IFERROR(__xludf.DUMMYFUNCTION("""COMPUTED_VALUE"""),36.0)</f>
        <v>36</v>
      </c>
      <c r="L3190">
        <f>IFERROR(__xludf.DUMMYFUNCTION("""COMPUTED_VALUE"""),14.0)</f>
        <v>14</v>
      </c>
      <c r="M3190">
        <f>IFERROR(__xludf.DUMMYFUNCTION("""COMPUTED_VALUE"""),50.0)</f>
        <v>50</v>
      </c>
      <c r="N3190" t="str">
        <f>IFERROR(__xludf.DUMMYFUNCTION("""COMPUTED_VALUE"""),"Model 3 LR AWD")</f>
        <v>Model 3 LR AWD</v>
      </c>
      <c r="O3190" t="str">
        <f>IFERROR(__xludf.DUMMYFUNCTION("""COMPUTED_VALUE"""),"Midnight Silver Metallic")</f>
        <v>Midnight Silver Metallic</v>
      </c>
      <c r="P3190" t="str">
        <f>IFERROR(__xludf.DUMMYFUNCTION("""COMPUTED_VALUE"""),"18 inch")</f>
        <v>18 inch</v>
      </c>
      <c r="Q3190" t="str">
        <f>IFERROR(__xludf.DUMMYFUNCTION("""COMPUTED_VALUE"""),"All Black")</f>
        <v>All Black</v>
      </c>
      <c r="R3190" t="str">
        <f>IFERROR(__xludf.DUMMYFUNCTION("""COMPUTED_VALUE"""),"Full Self-Driving")</f>
        <v>Full Self-Driving</v>
      </c>
      <c r="S3190" t="str">
        <f>IFERROR(__xludf.DUMMYFUNCTION("""COMPUTED_VALUE"""),"Loan")</f>
        <v>Loan</v>
      </c>
      <c r="T3190" t="str">
        <f>IFERROR(__xludf.DUMMYFUNCTION("""COMPUTED_VALUE"""),"Hyundai Kona")</f>
        <v>Hyundai Kona</v>
      </c>
      <c r="U3190" t="str">
        <f>IFERROR(__xludf.DUMMYFUNCTION("""COMPUTED_VALUE"""),"Supercharger V3 support")</f>
        <v>Supercharger V3 support</v>
      </c>
      <c r="V3190" t="str">
        <f>IFERROR(__xludf.DUMMYFUNCTION("""COMPUTED_VALUE"""),"Ventilated seats")</f>
        <v>Ventilated seats</v>
      </c>
      <c r="X3190" t="str">
        <f>IFERROR(__xludf.DUMMYFUNCTION("""COMPUTED_VALUE"""),"Very Good")</f>
        <v>Very Good</v>
      </c>
      <c r="Y3190" t="str">
        <f>IFERROR(__xludf.DUMMYFUNCTION("""COMPUTED_VALUE"""),"Fair")</f>
        <v>Fair</v>
      </c>
      <c r="Z3190" t="str">
        <f>IFERROR(__xludf.DUMMYFUNCTION("""COMPUTED_VALUE"""),"Very Good")</f>
        <v>Very Good</v>
      </c>
      <c r="AA3190" t="str">
        <f>IFERROR(__xludf.DUMMYFUNCTION("""COMPUTED_VALUE"""),"Poor")</f>
        <v>Poor</v>
      </c>
      <c r="AB3190" t="str">
        <f>IFERROR(__xludf.DUMMYFUNCTION("""COMPUTED_VALUE"""),"Very Good")</f>
        <v>Very Good</v>
      </c>
      <c r="AC3190">
        <f>IFERROR(__xludf.DUMMYFUNCTION("""COMPUTED_VALUE"""),1.0)</f>
        <v>1</v>
      </c>
      <c r="AD3190">
        <f>IFERROR(__xludf.DUMMYFUNCTION("""COMPUTED_VALUE"""),1.0)</f>
        <v>1</v>
      </c>
      <c r="AE3190">
        <f>IFERROR(__xludf.DUMMYFUNCTION("""COMPUTED_VALUE"""),0.0)</f>
        <v>0</v>
      </c>
      <c r="AF3190" t="str">
        <f>IFERROR(__xludf.DUMMYFUNCTION("""COMPUTED_VALUE"""),"No. I took delivery of the first car Tesla was able to deliver.")</f>
        <v>No. I took delivery of the first car Tesla was able to deliver.</v>
      </c>
      <c r="AH3190" s="189">
        <f>IFERROR(__xludf.DUMMYFUNCTION("""COMPUTED_VALUE"""),44441.8783200926)</f>
        <v>44441.87832</v>
      </c>
    </row>
    <row r="3191">
      <c r="A3191" t="str">
        <f>IFERROR(__xludf.DUMMYFUNCTION("""COMPUTED_VALUE"""),"Luminate")</f>
        <v>Luminate</v>
      </c>
      <c r="B3191" t="str">
        <f>IFERROR(__xludf.DUMMYFUNCTION("""COMPUTED_VALUE"""),"Atlanta")</f>
        <v>Atlanta</v>
      </c>
      <c r="C3191" t="str">
        <f>IFERROR(__xludf.DUMMYFUNCTION("""COMPUTED_VALUE"""),"GA")</f>
        <v>GA</v>
      </c>
      <c r="D3191" t="str">
        <f>IFERROR(__xludf.DUMMYFUNCTION("""COMPUTED_VALUE"""),"USA")</f>
        <v>USA</v>
      </c>
      <c r="E3191" s="188">
        <f>IFERROR(__xludf.DUMMYFUNCTION("""COMPUTED_VALUE"""),44365.0)</f>
        <v>44365</v>
      </c>
      <c r="F3191" s="188">
        <f>IFERROR(__xludf.DUMMYFUNCTION("""COMPUTED_VALUE"""),44420.0)</f>
        <v>44420</v>
      </c>
      <c r="G3191" t="str">
        <f>IFERROR(__xludf.DUMMYFUNCTION("""COMPUTED_VALUE"""),"Manage order page (normal text)")</f>
        <v>Manage order page (normal text)</v>
      </c>
      <c r="K3191">
        <f>IFERROR(__xludf.DUMMYFUNCTION("""COMPUTED_VALUE"""),55.0)</f>
        <v>55</v>
      </c>
      <c r="N3191" t="str">
        <f>IFERROR(__xludf.DUMMYFUNCTION("""COMPUTED_VALUE"""),"Model 3 LR AWD")</f>
        <v>Model 3 LR AWD</v>
      </c>
      <c r="O3191" t="str">
        <f>IFERROR(__xludf.DUMMYFUNCTION("""COMPUTED_VALUE"""),"Solid Black")</f>
        <v>Solid Black</v>
      </c>
      <c r="P3191" t="str">
        <f>IFERROR(__xludf.DUMMYFUNCTION("""COMPUTED_VALUE"""),"18 inch")</f>
        <v>18 inch</v>
      </c>
      <c r="Q3191" t="str">
        <f>IFERROR(__xludf.DUMMYFUNCTION("""COMPUTED_VALUE"""),"All Black")</f>
        <v>All Black</v>
      </c>
      <c r="R3191" t="str">
        <f>IFERROR(__xludf.DUMMYFUNCTION("""COMPUTED_VALUE"""),"Autopilot included")</f>
        <v>Autopilot included</v>
      </c>
      <c r="S3191" t="str">
        <f>IFERROR(__xludf.DUMMYFUNCTION("""COMPUTED_VALUE"""),"Loan")</f>
        <v>Loan</v>
      </c>
      <c r="T3191" t="str">
        <f>IFERROR(__xludf.DUMMYFUNCTION("""COMPUTED_VALUE"""),"2011 Mazda 3")</f>
        <v>2011 Mazda 3</v>
      </c>
      <c r="U3191" t="str">
        <f>IFERROR(__xludf.DUMMYFUNCTION("""COMPUTED_VALUE"""),"Tesla brand image")</f>
        <v>Tesla brand image</v>
      </c>
      <c r="V3191" t="str">
        <f>IFERROR(__xludf.DUMMYFUNCTION("""COMPUTED_VALUE"""),"Apple CarPlay / Android Auto / SiriusXM Radio")</f>
        <v>Apple CarPlay / Android Auto / SiriusXM Radio</v>
      </c>
      <c r="AH3191" s="189">
        <f>IFERROR(__xludf.DUMMYFUNCTION("""COMPUTED_VALUE"""),44420.22068079861)</f>
        <v>44420.22068</v>
      </c>
    </row>
    <row r="3192">
      <c r="A3192" t="str">
        <f>IFERROR(__xludf.DUMMYFUNCTION("""COMPUTED_VALUE"""),"Prplrain")</f>
        <v>Prplrain</v>
      </c>
      <c r="B3192" t="str">
        <f>IFERROR(__xludf.DUMMYFUNCTION("""COMPUTED_VALUE"""),"Upper Marlboro")</f>
        <v>Upper Marlboro</v>
      </c>
      <c r="C3192" t="str">
        <f>IFERROR(__xludf.DUMMYFUNCTION("""COMPUTED_VALUE"""),"MD")</f>
        <v>MD</v>
      </c>
      <c r="D3192" t="str">
        <f>IFERROR(__xludf.DUMMYFUNCTION("""COMPUTED_VALUE"""),"USA")</f>
        <v>USA</v>
      </c>
      <c r="E3192" s="188">
        <f>IFERROR(__xludf.DUMMYFUNCTION("""COMPUTED_VALUE"""),44341.0)</f>
        <v>44341</v>
      </c>
      <c r="F3192" s="188">
        <f>IFERROR(__xludf.DUMMYFUNCTION("""COMPUTED_VALUE"""),44413.0)</f>
        <v>44413</v>
      </c>
      <c r="G3192" t="str">
        <f>IFERROR(__xludf.DUMMYFUNCTION("""COMPUTED_VALUE"""),"Email")</f>
        <v>Email</v>
      </c>
      <c r="I3192" t="str">
        <f>IFERROR(__xludf.DUMMYFUNCTION("""COMPUTED_VALUE"""),"08/21")</f>
        <v>08/21</v>
      </c>
      <c r="J3192" s="188">
        <f>IFERROR(__xludf.DUMMYFUNCTION("""COMPUTED_VALUE"""),44427.0)</f>
        <v>44427</v>
      </c>
      <c r="K3192">
        <f>IFERROR(__xludf.DUMMYFUNCTION("""COMPUTED_VALUE"""),72.0)</f>
        <v>72</v>
      </c>
      <c r="L3192">
        <f>IFERROR(__xludf.DUMMYFUNCTION("""COMPUTED_VALUE"""),14.0)</f>
        <v>14</v>
      </c>
      <c r="M3192">
        <f>IFERROR(__xludf.DUMMYFUNCTION("""COMPUTED_VALUE"""),86.0)</f>
        <v>86</v>
      </c>
      <c r="N3192" t="str">
        <f>IFERROR(__xludf.DUMMYFUNCTION("""COMPUTED_VALUE"""),"Model 3 SR+")</f>
        <v>Model 3 SR+</v>
      </c>
      <c r="O3192" t="str">
        <f>IFERROR(__xludf.DUMMYFUNCTION("""COMPUTED_VALUE"""),"Pearl White Multi-Coat")</f>
        <v>Pearl White Multi-Coat</v>
      </c>
      <c r="P3192" t="str">
        <f>IFERROR(__xludf.DUMMYFUNCTION("""COMPUTED_VALUE"""),"18 inch")</f>
        <v>18 inch</v>
      </c>
      <c r="Q3192" t="str">
        <f>IFERROR(__xludf.DUMMYFUNCTION("""COMPUTED_VALUE"""),"All Black")</f>
        <v>All Black</v>
      </c>
      <c r="R3192" t="str">
        <f>IFERROR(__xludf.DUMMYFUNCTION("""COMPUTED_VALUE"""),"Autopilot included")</f>
        <v>Autopilot included</v>
      </c>
      <c r="S3192" t="str">
        <f>IFERROR(__xludf.DUMMYFUNCTION("""COMPUTED_VALUE"""),"Loan")</f>
        <v>Loan</v>
      </c>
      <c r="U3192" t="str">
        <f>IFERROR(__xludf.DUMMYFUNCTION("""COMPUTED_VALUE"""),"Electric!")</f>
        <v>Electric!</v>
      </c>
      <c r="V3192" t="str">
        <f>IFERROR(__xludf.DUMMYFUNCTION("""COMPUTED_VALUE"""),"Apple CarPlay / Android Auto / SiriusXM Radio")</f>
        <v>Apple CarPlay / Android Auto / SiriusXM Radio</v>
      </c>
      <c r="X3192" t="str">
        <f>IFERROR(__xludf.DUMMYFUNCTION("""COMPUTED_VALUE"""),"Excellent")</f>
        <v>Excellent</v>
      </c>
      <c r="Y3192" t="str">
        <f>IFERROR(__xludf.DUMMYFUNCTION("""COMPUTED_VALUE"""),"Excellent")</f>
        <v>Excellent</v>
      </c>
      <c r="Z3192" t="str">
        <f>IFERROR(__xludf.DUMMYFUNCTION("""COMPUTED_VALUE"""),"Excellent")</f>
        <v>Excellent</v>
      </c>
      <c r="AA3192" t="str">
        <f>IFERROR(__xludf.DUMMYFUNCTION("""COMPUTED_VALUE"""),"Poor")</f>
        <v>Poor</v>
      </c>
      <c r="AB3192" t="str">
        <f>IFERROR(__xludf.DUMMYFUNCTION("""COMPUTED_VALUE"""),"Good")</f>
        <v>Good</v>
      </c>
      <c r="AF3192" t="str">
        <f>IFERROR(__xludf.DUMMYFUNCTION("""COMPUTED_VALUE"""),"No. I took delivery of the first car Tesla was able to deliver.")</f>
        <v>No. I took delivery of the first car Tesla was able to deliver.</v>
      </c>
      <c r="AH3192" s="189">
        <f>IFERROR(__xludf.DUMMYFUNCTION("""COMPUTED_VALUE"""),44436.68082461806)</f>
        <v>44436.68082</v>
      </c>
    </row>
    <row r="3193">
      <c r="A3193" t="str">
        <f>IFERROR(__xludf.DUMMYFUNCTION("""COMPUTED_VALUE"""),"Radwick")</f>
        <v>Radwick</v>
      </c>
      <c r="B3193" t="str">
        <f>IFERROR(__xludf.DUMMYFUNCTION("""COMPUTED_VALUE"""),"Las Vegas")</f>
        <v>Las Vegas</v>
      </c>
      <c r="C3193" t="str">
        <f>IFERROR(__xludf.DUMMYFUNCTION("""COMPUTED_VALUE"""),"NV")</f>
        <v>NV</v>
      </c>
      <c r="D3193" t="str">
        <f>IFERROR(__xludf.DUMMYFUNCTION("""COMPUTED_VALUE"""),"USA")</f>
        <v>USA</v>
      </c>
      <c r="E3193" s="188">
        <f>IFERROR(__xludf.DUMMYFUNCTION("""COMPUTED_VALUE"""),44434.0)</f>
        <v>44434</v>
      </c>
      <c r="F3193" s="188">
        <f>IFERROR(__xludf.DUMMYFUNCTION("""COMPUTED_VALUE"""),44434.0)</f>
        <v>44434</v>
      </c>
      <c r="G3193" t="str">
        <f>IFERROR(__xludf.DUMMYFUNCTION("""COMPUTED_VALUE"""),"Manage order page (normal text)")</f>
        <v>Manage order page (normal text)</v>
      </c>
      <c r="H3193">
        <f>IFERROR(__xludf.DUMMYFUNCTION("""COMPUTED_VALUE"""),48882.0)</f>
        <v>48882</v>
      </c>
      <c r="I3193" t="str">
        <f>IFERROR(__xludf.DUMMYFUNCTION("""COMPUTED_VALUE"""),"08/21")</f>
        <v>08/21</v>
      </c>
      <c r="J3193" s="188">
        <f>IFERROR(__xludf.DUMMYFUNCTION("""COMPUTED_VALUE"""),44445.0)</f>
        <v>44445</v>
      </c>
      <c r="K3193">
        <f>IFERROR(__xludf.DUMMYFUNCTION("""COMPUTED_VALUE"""),0.0)</f>
        <v>0</v>
      </c>
      <c r="L3193">
        <f>IFERROR(__xludf.DUMMYFUNCTION("""COMPUTED_VALUE"""),11.0)</f>
        <v>11</v>
      </c>
      <c r="M3193">
        <f>IFERROR(__xludf.DUMMYFUNCTION("""COMPUTED_VALUE"""),11.0)</f>
        <v>11</v>
      </c>
      <c r="N3193" t="str">
        <f>IFERROR(__xludf.DUMMYFUNCTION("""COMPUTED_VALUE"""),"Model 3 SR+")</f>
        <v>Model 3 SR+</v>
      </c>
      <c r="O3193" t="str">
        <f>IFERROR(__xludf.DUMMYFUNCTION("""COMPUTED_VALUE"""),"Deep Blue Metallic")</f>
        <v>Deep Blue Metallic</v>
      </c>
      <c r="P3193" t="str">
        <f>IFERROR(__xludf.DUMMYFUNCTION("""COMPUTED_VALUE"""),"19 inch")</f>
        <v>19 inch</v>
      </c>
      <c r="Q3193" t="str">
        <f>IFERROR(__xludf.DUMMYFUNCTION("""COMPUTED_VALUE"""),"Black and White")</f>
        <v>Black and White</v>
      </c>
      <c r="R3193" t="str">
        <f>IFERROR(__xludf.DUMMYFUNCTION("""COMPUTED_VALUE"""),"Autopilot included")</f>
        <v>Autopilot included</v>
      </c>
      <c r="S3193" t="str">
        <f>IFERROR(__xludf.DUMMYFUNCTION("""COMPUTED_VALUE"""),"Loan")</f>
        <v>Loan</v>
      </c>
      <c r="T3193" t="str">
        <f>IFERROR(__xludf.DUMMYFUNCTION("""COMPUTED_VALUE"""),"Lexus NX 200t")</f>
        <v>Lexus NX 200t</v>
      </c>
      <c r="U3193" t="str">
        <f>IFERROR(__xludf.DUMMYFUNCTION("""COMPUTED_VALUE"""),"Electric!")</f>
        <v>Electric!</v>
      </c>
      <c r="V3193" t="str">
        <f>IFERROR(__xludf.DUMMYFUNCTION("""COMPUTED_VALUE"""),"360° Bird's eye view")</f>
        <v>360° Bird's eye view</v>
      </c>
      <c r="X3193" t="str">
        <f>IFERROR(__xludf.DUMMYFUNCTION("""COMPUTED_VALUE"""),"Excellent")</f>
        <v>Excellent</v>
      </c>
      <c r="Y3193" t="str">
        <f>IFERROR(__xludf.DUMMYFUNCTION("""COMPUTED_VALUE"""),"Excellent")</f>
        <v>Excellent</v>
      </c>
      <c r="Z3193" t="str">
        <f>IFERROR(__xludf.DUMMYFUNCTION("""COMPUTED_VALUE"""),"Excellent")</f>
        <v>Excellent</v>
      </c>
      <c r="AA3193" t="str">
        <f>IFERROR(__xludf.DUMMYFUNCTION("""COMPUTED_VALUE"""),"Good")</f>
        <v>Good</v>
      </c>
      <c r="AB3193" t="str">
        <f>IFERROR(__xludf.DUMMYFUNCTION("""COMPUTED_VALUE"""),"Excellent")</f>
        <v>Excellent</v>
      </c>
      <c r="AF3193" t="str">
        <f>IFERROR(__xludf.DUMMYFUNCTION("""COMPUTED_VALUE"""),"No. I took delivery of the first car Tesla was able to deliver.")</f>
        <v>No. I took delivery of the first car Tesla was able to deliver.</v>
      </c>
      <c r="AH3193" s="189">
        <f>IFERROR(__xludf.DUMMYFUNCTION("""COMPUTED_VALUE"""),44450.47288262731)</f>
        <v>44450.47288</v>
      </c>
    </row>
    <row r="3194">
      <c r="A3194" t="str">
        <f>IFERROR(__xludf.DUMMYFUNCTION("""COMPUTED_VALUE"""),"AM-Impatient")</f>
        <v>AM-Impatient</v>
      </c>
      <c r="B3194" t="str">
        <f>IFERROR(__xludf.DUMMYFUNCTION("""COMPUTED_VALUE"""),"Bethesda")</f>
        <v>Bethesda</v>
      </c>
      <c r="C3194" t="str">
        <f>IFERROR(__xludf.DUMMYFUNCTION("""COMPUTED_VALUE"""),"MD")</f>
        <v>MD</v>
      </c>
      <c r="D3194" t="str">
        <f>IFERROR(__xludf.DUMMYFUNCTION("""COMPUTED_VALUE"""),"USA")</f>
        <v>USA</v>
      </c>
      <c r="E3194" s="188">
        <f>IFERROR(__xludf.DUMMYFUNCTION("""COMPUTED_VALUE"""),44384.0)</f>
        <v>44384</v>
      </c>
      <c r="F3194" s="188">
        <f>IFERROR(__xludf.DUMMYFUNCTION("""COMPUTED_VALUE"""),44404.0)</f>
        <v>44404</v>
      </c>
      <c r="G3194" t="str">
        <f>IFERROR(__xludf.DUMMYFUNCTION("""COMPUTED_VALUE"""),"Manage order page (normal text)")</f>
        <v>Manage order page (normal text)</v>
      </c>
      <c r="J3194" s="188">
        <f>IFERROR(__xludf.DUMMYFUNCTION("""COMPUTED_VALUE"""),44418.0)</f>
        <v>44418</v>
      </c>
      <c r="K3194">
        <f>IFERROR(__xludf.DUMMYFUNCTION("""COMPUTED_VALUE"""),20.0)</f>
        <v>20</v>
      </c>
      <c r="L3194">
        <f>IFERROR(__xludf.DUMMYFUNCTION("""COMPUTED_VALUE"""),14.0)</f>
        <v>14</v>
      </c>
      <c r="M3194">
        <f>IFERROR(__xludf.DUMMYFUNCTION("""COMPUTED_VALUE"""),34.0)</f>
        <v>34</v>
      </c>
      <c r="N3194" t="str">
        <f>IFERROR(__xludf.DUMMYFUNCTION("""COMPUTED_VALUE"""),"Model 3 Performance")</f>
        <v>Model 3 Performance</v>
      </c>
      <c r="O3194" t="str">
        <f>IFERROR(__xludf.DUMMYFUNCTION("""COMPUTED_VALUE"""),"Deep Blue Metallic")</f>
        <v>Deep Blue Metallic</v>
      </c>
      <c r="P3194" t="str">
        <f>IFERROR(__xludf.DUMMYFUNCTION("""COMPUTED_VALUE"""),"20 inch")</f>
        <v>20 inch</v>
      </c>
      <c r="Q3194" t="str">
        <f>IFERROR(__xludf.DUMMYFUNCTION("""COMPUTED_VALUE"""),"All Black")</f>
        <v>All Black</v>
      </c>
      <c r="S3194" t="str">
        <f>IFERROR(__xludf.DUMMYFUNCTION("""COMPUTED_VALUE"""),"Loan")</f>
        <v>Loan</v>
      </c>
      <c r="T3194" t="str">
        <f>IFERROR(__xludf.DUMMYFUNCTION("""COMPUTED_VALUE"""),"Mercedes CLA45 AMG")</f>
        <v>Mercedes CLA45 AMG</v>
      </c>
      <c r="U3194" t="str">
        <f>IFERROR(__xludf.DUMMYFUNCTION("""COMPUTED_VALUE"""),"Electric!")</f>
        <v>Electric!</v>
      </c>
      <c r="V3194" t="str">
        <f>IFERROR(__xludf.DUMMYFUNCTION("""COMPUTED_VALUE"""),"Head-up display")</f>
        <v>Head-up display</v>
      </c>
      <c r="W3194" t="str">
        <f>IFERROR(__xludf.DUMMYFUNCTION("""COMPUTED_VALUE"""),"Home delivery is great if you’ll be out of town when delivery time comes")</f>
        <v>Home delivery is great if you’ll be out of town when delivery time comes</v>
      </c>
      <c r="X3194" t="str">
        <f>IFERROR(__xludf.DUMMYFUNCTION("""COMPUTED_VALUE"""),"Excellent")</f>
        <v>Excellent</v>
      </c>
      <c r="Y3194" t="str">
        <f>IFERROR(__xludf.DUMMYFUNCTION("""COMPUTED_VALUE"""),"Excellent")</f>
        <v>Excellent</v>
      </c>
      <c r="Z3194" t="str">
        <f>IFERROR(__xludf.DUMMYFUNCTION("""COMPUTED_VALUE"""),"Excellent")</f>
        <v>Excellent</v>
      </c>
      <c r="AA3194" t="str">
        <f>IFERROR(__xludf.DUMMYFUNCTION("""COMPUTED_VALUE"""),"Excellent")</f>
        <v>Excellent</v>
      </c>
      <c r="AB3194" t="str">
        <f>IFERROR(__xludf.DUMMYFUNCTION("""COMPUTED_VALUE"""),"Excellent")</f>
        <v>Excellent</v>
      </c>
      <c r="AF3194" t="str">
        <f>IFERROR(__xludf.DUMMYFUNCTION("""COMPUTED_VALUE"""),"No. I took delivery of the first car Tesla was able to deliver.")</f>
        <v>No. I took delivery of the first car Tesla was able to deliver.</v>
      </c>
      <c r="AH3194" s="189">
        <f>IFERROR(__xludf.DUMMYFUNCTION("""COMPUTED_VALUE"""),44418.632096284724)</f>
        <v>44418.6321</v>
      </c>
    </row>
    <row r="3195">
      <c r="A3195" t="str">
        <f>IFERROR(__xludf.DUMMYFUNCTION("""COMPUTED_VALUE"""),"justind96")</f>
        <v>justind96</v>
      </c>
      <c r="B3195" t="str">
        <f>IFERROR(__xludf.DUMMYFUNCTION("""COMPUTED_VALUE"""),"Barrie")</f>
        <v>Barrie</v>
      </c>
      <c r="C3195" t="str">
        <f>IFERROR(__xludf.DUMMYFUNCTION("""COMPUTED_VALUE"""),"ON")</f>
        <v>ON</v>
      </c>
      <c r="D3195" t="str">
        <f>IFERROR(__xludf.DUMMYFUNCTION("""COMPUTED_VALUE"""),"Canada")</f>
        <v>Canada</v>
      </c>
      <c r="E3195" s="188">
        <f>IFERROR(__xludf.DUMMYFUNCTION("""COMPUTED_VALUE"""),44380.0)</f>
        <v>44380</v>
      </c>
      <c r="F3195" s="188">
        <f>IFERROR(__xludf.DUMMYFUNCTION("""COMPUTED_VALUE"""),44416.0)</f>
        <v>44416</v>
      </c>
      <c r="G3195" t="str">
        <f>IFERROR(__xludf.DUMMYFUNCTION("""COMPUTED_VALUE"""),"Email")</f>
        <v>Email</v>
      </c>
      <c r="J3195" s="188">
        <f>IFERROR(__xludf.DUMMYFUNCTION("""COMPUTED_VALUE"""),44429.0)</f>
        <v>44429</v>
      </c>
      <c r="K3195">
        <f>IFERROR(__xludf.DUMMYFUNCTION("""COMPUTED_VALUE"""),36.0)</f>
        <v>36</v>
      </c>
      <c r="L3195">
        <f>IFERROR(__xludf.DUMMYFUNCTION("""COMPUTED_VALUE"""),13.0)</f>
        <v>13</v>
      </c>
      <c r="M3195">
        <f>IFERROR(__xludf.DUMMYFUNCTION("""COMPUTED_VALUE"""),49.0)</f>
        <v>49</v>
      </c>
      <c r="N3195" t="str">
        <f>IFERROR(__xludf.DUMMYFUNCTION("""COMPUTED_VALUE"""),"Model 3 SR+")</f>
        <v>Model 3 SR+</v>
      </c>
      <c r="O3195" t="str">
        <f>IFERROR(__xludf.DUMMYFUNCTION("""COMPUTED_VALUE"""),"Pearl White Multi-Coat")</f>
        <v>Pearl White Multi-Coat</v>
      </c>
      <c r="P3195" t="str">
        <f>IFERROR(__xludf.DUMMYFUNCTION("""COMPUTED_VALUE"""),"18 inch")</f>
        <v>18 inch</v>
      </c>
      <c r="Q3195" t="str">
        <f>IFERROR(__xludf.DUMMYFUNCTION("""COMPUTED_VALUE"""),"Black and White")</f>
        <v>Black and White</v>
      </c>
      <c r="R3195" t="str">
        <f>IFERROR(__xludf.DUMMYFUNCTION("""COMPUTED_VALUE"""),"Autopilot included")</f>
        <v>Autopilot included</v>
      </c>
      <c r="S3195" t="str">
        <f>IFERROR(__xludf.DUMMYFUNCTION("""COMPUTED_VALUE"""),"Cash")</f>
        <v>Cash</v>
      </c>
      <c r="U3195" t="str">
        <f>IFERROR(__xludf.DUMMYFUNCTION("""COMPUTED_VALUE"""),"Electric!")</f>
        <v>Electric!</v>
      </c>
      <c r="V3195" t="str">
        <f>IFERROR(__xludf.DUMMYFUNCTION("""COMPUTED_VALUE"""),"360° Bird's eye view")</f>
        <v>360° Bird's eye view</v>
      </c>
      <c r="AH3195" s="189">
        <f>IFERROR(__xludf.DUMMYFUNCTION("""COMPUTED_VALUE"""),44421.807660300925)</f>
        <v>44421.80766</v>
      </c>
    </row>
    <row r="3196">
      <c r="A3196" t="str">
        <f>IFERROR(__xludf.DUMMYFUNCTION("""COMPUTED_VALUE"""),"mnixon07")</f>
        <v>mnixon07</v>
      </c>
      <c r="B3196" t="str">
        <f>IFERROR(__xludf.DUMMYFUNCTION("""COMPUTED_VALUE"""),"San Jose ")</f>
        <v>San Jose </v>
      </c>
      <c r="C3196" t="str">
        <f>IFERROR(__xludf.DUMMYFUNCTION("""COMPUTED_VALUE"""),"CA")</f>
        <v>CA</v>
      </c>
      <c r="D3196" t="str">
        <f>IFERROR(__xludf.DUMMYFUNCTION("""COMPUTED_VALUE"""),"USA")</f>
        <v>USA</v>
      </c>
      <c r="E3196" s="188">
        <f>IFERROR(__xludf.DUMMYFUNCTION("""COMPUTED_VALUE"""),44387.0)</f>
        <v>44387</v>
      </c>
      <c r="F3196" s="188">
        <f>IFERROR(__xludf.DUMMYFUNCTION("""COMPUTED_VALUE"""),44441.0)</f>
        <v>44441</v>
      </c>
      <c r="G3196" t="str">
        <f>IFERROR(__xludf.DUMMYFUNCTION("""COMPUTED_VALUE"""),"Manage order page (normal text)")</f>
        <v>Manage order page (normal text)</v>
      </c>
      <c r="J3196" s="188">
        <f>IFERROR(__xludf.DUMMYFUNCTION("""COMPUTED_VALUE"""),44443.0)</f>
        <v>44443</v>
      </c>
      <c r="K3196">
        <f>IFERROR(__xludf.DUMMYFUNCTION("""COMPUTED_VALUE"""),54.0)</f>
        <v>54</v>
      </c>
      <c r="L3196">
        <f>IFERROR(__xludf.DUMMYFUNCTION("""COMPUTED_VALUE"""),2.0)</f>
        <v>2</v>
      </c>
      <c r="M3196">
        <f>IFERROR(__xludf.DUMMYFUNCTION("""COMPUTED_VALUE"""),56.0)</f>
        <v>56</v>
      </c>
      <c r="N3196" t="str">
        <f>IFERROR(__xludf.DUMMYFUNCTION("""COMPUTED_VALUE"""),"Model 3 LR AWD")</f>
        <v>Model 3 LR AWD</v>
      </c>
      <c r="O3196" t="str">
        <f>IFERROR(__xludf.DUMMYFUNCTION("""COMPUTED_VALUE"""),"Deep Blue Metallic")</f>
        <v>Deep Blue Metallic</v>
      </c>
      <c r="P3196" t="str">
        <f>IFERROR(__xludf.DUMMYFUNCTION("""COMPUTED_VALUE"""),"18 inch")</f>
        <v>18 inch</v>
      </c>
      <c r="Q3196" t="str">
        <f>IFERROR(__xludf.DUMMYFUNCTION("""COMPUTED_VALUE"""),"All Black")</f>
        <v>All Black</v>
      </c>
      <c r="R3196" t="str">
        <f>IFERROR(__xludf.DUMMYFUNCTION("""COMPUTED_VALUE"""),"Autopilot included")</f>
        <v>Autopilot included</v>
      </c>
      <c r="S3196" t="str">
        <f>IFERROR(__xludf.DUMMYFUNCTION("""COMPUTED_VALUE"""),"Loan")</f>
        <v>Loan</v>
      </c>
      <c r="U3196" t="str">
        <f>IFERROR(__xludf.DUMMYFUNCTION("""COMPUTED_VALUE"""),"Electric!")</f>
        <v>Electric!</v>
      </c>
      <c r="AH3196" s="189">
        <f>IFERROR(__xludf.DUMMYFUNCTION("""COMPUTED_VALUE"""),44441.41863069445)</f>
        <v>44441.41863</v>
      </c>
    </row>
    <row r="3197">
      <c r="A3197" t="str">
        <f>IFERROR(__xludf.DUMMYFUNCTION("""COMPUTED_VALUE"""),"teatimekingpin")</f>
        <v>teatimekingpin</v>
      </c>
      <c r="C3197" t="str">
        <f>IFERROR(__xludf.DUMMYFUNCTION("""COMPUTED_VALUE"""),"PA")</f>
        <v>PA</v>
      </c>
      <c r="D3197" t="str">
        <f>IFERROR(__xludf.DUMMYFUNCTION("""COMPUTED_VALUE"""),"USA")</f>
        <v>USA</v>
      </c>
      <c r="E3197" s="188">
        <f>IFERROR(__xludf.DUMMYFUNCTION("""COMPUTED_VALUE"""),44398.0)</f>
        <v>44398</v>
      </c>
      <c r="G3197" t="str">
        <f>IFERROR(__xludf.DUMMYFUNCTION("""COMPUTED_VALUE"""),"Manage order page (normal text)")</f>
        <v>Manage order page (normal text)</v>
      </c>
      <c r="J3197" s="188">
        <f>IFERROR(__xludf.DUMMYFUNCTION("""COMPUTED_VALUE"""),44449.0)</f>
        <v>44449</v>
      </c>
      <c r="M3197">
        <f>IFERROR(__xludf.DUMMYFUNCTION("""COMPUTED_VALUE"""),51.0)</f>
        <v>51</v>
      </c>
      <c r="N3197" t="str">
        <f>IFERROR(__xludf.DUMMYFUNCTION("""COMPUTED_VALUE"""),"Model 3 LR AWD")</f>
        <v>Model 3 LR AWD</v>
      </c>
      <c r="O3197" t="str">
        <f>IFERROR(__xludf.DUMMYFUNCTION("""COMPUTED_VALUE"""),"Pearl White Multi-Coat")</f>
        <v>Pearl White Multi-Coat</v>
      </c>
      <c r="P3197" t="str">
        <f>IFERROR(__xludf.DUMMYFUNCTION("""COMPUTED_VALUE"""),"18 inch")</f>
        <v>18 inch</v>
      </c>
      <c r="Q3197" t="str">
        <f>IFERROR(__xludf.DUMMYFUNCTION("""COMPUTED_VALUE"""),"All Black")</f>
        <v>All Black</v>
      </c>
      <c r="R3197" t="str">
        <f>IFERROR(__xludf.DUMMYFUNCTION("""COMPUTED_VALUE"""),"Autopilot included")</f>
        <v>Autopilot included</v>
      </c>
      <c r="S3197" t="str">
        <f>IFERROR(__xludf.DUMMYFUNCTION("""COMPUTED_VALUE"""),"Loan")</f>
        <v>Loan</v>
      </c>
      <c r="T3197" t="str">
        <f>IFERROR(__xludf.DUMMYFUNCTION("""COMPUTED_VALUE"""),"Model 3 will be my first car!")</f>
        <v>Model 3 will be my first car!</v>
      </c>
      <c r="U3197" t="str">
        <f>IFERROR(__xludf.DUMMYFUNCTION("""COMPUTED_VALUE"""),"Electric!")</f>
        <v>Electric!</v>
      </c>
      <c r="V3197" t="str">
        <f>IFERROR(__xludf.DUMMYFUNCTION("""COMPUTED_VALUE"""),"Apple CarPlay / Android Auto / SiriusXM Radio")</f>
        <v>Apple CarPlay / Android Auto / SiriusXM Radio</v>
      </c>
      <c r="AH3197" s="189">
        <f>IFERROR(__xludf.DUMMYFUNCTION("""COMPUTED_VALUE"""),44441.279698680555)</f>
        <v>44441.2797</v>
      </c>
    </row>
    <row r="3198">
      <c r="A3198" t="str">
        <f>IFERROR(__xludf.DUMMYFUNCTION("""COMPUTED_VALUE"""),"PhantomQ5")</f>
        <v>PhantomQ5</v>
      </c>
      <c r="B3198" t="str">
        <f>IFERROR(__xludf.DUMMYFUNCTION("""COMPUTED_VALUE"""),"Vancouver")</f>
        <v>Vancouver</v>
      </c>
      <c r="C3198" t="str">
        <f>IFERROR(__xludf.DUMMYFUNCTION("""COMPUTED_VALUE"""),"BC")</f>
        <v>BC</v>
      </c>
      <c r="D3198" t="str">
        <f>IFERROR(__xludf.DUMMYFUNCTION("""COMPUTED_VALUE"""),"Canada")</f>
        <v>Canada</v>
      </c>
      <c r="E3198" s="188">
        <f>IFERROR(__xludf.DUMMYFUNCTION("""COMPUTED_VALUE"""),44363.0)</f>
        <v>44363</v>
      </c>
      <c r="F3198" s="188">
        <f>IFERROR(__xludf.DUMMYFUNCTION("""COMPUTED_VALUE"""),44412.0)</f>
        <v>44412</v>
      </c>
      <c r="G3198" t="str">
        <f>IFERROR(__xludf.DUMMYFUNCTION("""COMPUTED_VALUE"""),"Manage order page (normal text)")</f>
        <v>Manage order page (normal text)</v>
      </c>
      <c r="J3198" s="188">
        <f>IFERROR(__xludf.DUMMYFUNCTION("""COMPUTED_VALUE"""),44416.0)</f>
        <v>44416</v>
      </c>
      <c r="K3198">
        <f>IFERROR(__xludf.DUMMYFUNCTION("""COMPUTED_VALUE"""),49.0)</f>
        <v>49</v>
      </c>
      <c r="L3198">
        <f>IFERROR(__xludf.DUMMYFUNCTION("""COMPUTED_VALUE"""),4.0)</f>
        <v>4</v>
      </c>
      <c r="M3198">
        <f>IFERROR(__xludf.DUMMYFUNCTION("""COMPUTED_VALUE"""),53.0)</f>
        <v>53</v>
      </c>
      <c r="N3198" t="str">
        <f>IFERROR(__xludf.DUMMYFUNCTION("""COMPUTED_VALUE"""),"Model 3 SR+")</f>
        <v>Model 3 SR+</v>
      </c>
      <c r="O3198" t="str">
        <f>IFERROR(__xludf.DUMMYFUNCTION("""COMPUTED_VALUE"""),"Pearl White Multi-Coat")</f>
        <v>Pearl White Multi-Coat</v>
      </c>
      <c r="P3198" t="str">
        <f>IFERROR(__xludf.DUMMYFUNCTION("""COMPUTED_VALUE"""),"18 inch")</f>
        <v>18 inch</v>
      </c>
      <c r="Q3198" t="str">
        <f>IFERROR(__xludf.DUMMYFUNCTION("""COMPUTED_VALUE"""),"All Black")</f>
        <v>All Black</v>
      </c>
      <c r="S3198" t="str">
        <f>IFERROR(__xludf.DUMMYFUNCTION("""COMPUTED_VALUE"""),"Loan")</f>
        <v>Loan</v>
      </c>
      <c r="T3198" t="str">
        <f>IFERROR(__xludf.DUMMYFUNCTION("""COMPUTED_VALUE"""),"Audi Q5")</f>
        <v>Audi Q5</v>
      </c>
      <c r="AH3198" s="189">
        <f>IFERROR(__xludf.DUMMYFUNCTION("""COMPUTED_VALUE"""),44412.43754792824)</f>
        <v>44412.43755</v>
      </c>
    </row>
    <row r="3199">
      <c r="A3199" t="str">
        <f>IFERROR(__xludf.DUMMYFUNCTION("""COMPUTED_VALUE"""),"JohnDough")</f>
        <v>JohnDough</v>
      </c>
      <c r="B3199" t="str">
        <f>IFERROR(__xludf.DUMMYFUNCTION("""COMPUTED_VALUE"""),"Atlanta")</f>
        <v>Atlanta</v>
      </c>
      <c r="C3199" t="str">
        <f>IFERROR(__xludf.DUMMYFUNCTION("""COMPUTED_VALUE"""),"GA")</f>
        <v>GA</v>
      </c>
      <c r="D3199" t="str">
        <f>IFERROR(__xludf.DUMMYFUNCTION("""COMPUTED_VALUE"""),"USA")</f>
        <v>USA</v>
      </c>
      <c r="E3199" s="188">
        <f>IFERROR(__xludf.DUMMYFUNCTION("""COMPUTED_VALUE"""),44385.0)</f>
        <v>44385</v>
      </c>
      <c r="F3199" s="188">
        <f>IFERROR(__xludf.DUMMYFUNCTION("""COMPUTED_VALUE"""),44410.0)</f>
        <v>44410</v>
      </c>
      <c r="G3199" t="str">
        <f>IFERROR(__xludf.DUMMYFUNCTION("""COMPUTED_VALUE"""),"Manage order page (normal text)")</f>
        <v>Manage order page (normal text)</v>
      </c>
      <c r="J3199" s="188">
        <f>IFERROR(__xludf.DUMMYFUNCTION("""COMPUTED_VALUE"""),44412.0)</f>
        <v>44412</v>
      </c>
      <c r="K3199">
        <f>IFERROR(__xludf.DUMMYFUNCTION("""COMPUTED_VALUE"""),25.0)</f>
        <v>25</v>
      </c>
      <c r="L3199">
        <f>IFERROR(__xludf.DUMMYFUNCTION("""COMPUTED_VALUE"""),2.0)</f>
        <v>2</v>
      </c>
      <c r="M3199">
        <f>IFERROR(__xludf.DUMMYFUNCTION("""COMPUTED_VALUE"""),27.0)</f>
        <v>27</v>
      </c>
      <c r="N3199" t="str">
        <f>IFERROR(__xludf.DUMMYFUNCTION("""COMPUTED_VALUE"""),"Model 3 Performance")</f>
        <v>Model 3 Performance</v>
      </c>
      <c r="O3199" t="str">
        <f>IFERROR(__xludf.DUMMYFUNCTION("""COMPUTED_VALUE"""),"Pearl White Multi-Coat")</f>
        <v>Pearl White Multi-Coat</v>
      </c>
      <c r="P3199" t="str">
        <f>IFERROR(__xludf.DUMMYFUNCTION("""COMPUTED_VALUE"""),"20 inch")</f>
        <v>20 inch</v>
      </c>
      <c r="Q3199" t="str">
        <f>IFERROR(__xludf.DUMMYFUNCTION("""COMPUTED_VALUE"""),"All Black")</f>
        <v>All Black</v>
      </c>
      <c r="R3199" t="str">
        <f>IFERROR(__xludf.DUMMYFUNCTION("""COMPUTED_VALUE"""),"Autopilot included")</f>
        <v>Autopilot included</v>
      </c>
      <c r="S3199" t="str">
        <f>IFERROR(__xludf.DUMMYFUNCTION("""COMPUTED_VALUE"""),"Loan")</f>
        <v>Loan</v>
      </c>
      <c r="T3199" t="str">
        <f>IFERROR(__xludf.DUMMYFUNCTION("""COMPUTED_VALUE"""),"KIA Stinger GT2")</f>
        <v>KIA Stinger GT2</v>
      </c>
      <c r="U3199" t="str">
        <f>IFERROR(__xludf.DUMMYFUNCTION("""COMPUTED_VALUE"""),"Electric!")</f>
        <v>Electric!</v>
      </c>
      <c r="V3199" t="str">
        <f>IFERROR(__xludf.DUMMYFUNCTION("""COMPUTED_VALUE"""),"Head-up display")</f>
        <v>Head-up display</v>
      </c>
      <c r="AH3199" s="189">
        <f>IFERROR(__xludf.DUMMYFUNCTION("""COMPUTED_VALUE"""),44411.55168898148)</f>
        <v>44411.55169</v>
      </c>
    </row>
    <row r="3200">
      <c r="A3200" t="str">
        <f>IFERROR(__xludf.DUMMYFUNCTION("""COMPUTED_VALUE"""),"Void269")</f>
        <v>Void269</v>
      </c>
      <c r="B3200" t="str">
        <f>IFERROR(__xludf.DUMMYFUNCTION("""COMPUTED_VALUE"""),"St Paul")</f>
        <v>St Paul</v>
      </c>
      <c r="C3200" t="str">
        <f>IFERROR(__xludf.DUMMYFUNCTION("""COMPUTED_VALUE"""),"MN")</f>
        <v>MN</v>
      </c>
      <c r="D3200" t="str">
        <f>IFERROR(__xludf.DUMMYFUNCTION("""COMPUTED_VALUE"""),"USA")</f>
        <v>USA</v>
      </c>
      <c r="E3200" s="188">
        <f>IFERROR(__xludf.DUMMYFUNCTION("""COMPUTED_VALUE"""),44380.0)</f>
        <v>44380</v>
      </c>
      <c r="F3200" s="188">
        <f>IFERROR(__xludf.DUMMYFUNCTION("""COMPUTED_VALUE"""),44410.0)</f>
        <v>44410</v>
      </c>
      <c r="G3200" t="str">
        <f>IFERROR(__xludf.DUMMYFUNCTION("""COMPUTED_VALUE"""),"Manage order page (normal text)")</f>
        <v>Manage order page (normal text)</v>
      </c>
      <c r="J3200" s="188">
        <f>IFERROR(__xludf.DUMMYFUNCTION("""COMPUTED_VALUE"""),44424.0)</f>
        <v>44424</v>
      </c>
      <c r="K3200">
        <f>IFERROR(__xludf.DUMMYFUNCTION("""COMPUTED_VALUE"""),30.0)</f>
        <v>30</v>
      </c>
      <c r="L3200">
        <f>IFERROR(__xludf.DUMMYFUNCTION("""COMPUTED_VALUE"""),14.0)</f>
        <v>14</v>
      </c>
      <c r="M3200">
        <f>IFERROR(__xludf.DUMMYFUNCTION("""COMPUTED_VALUE"""),44.0)</f>
        <v>44</v>
      </c>
      <c r="N3200" t="str">
        <f>IFERROR(__xludf.DUMMYFUNCTION("""COMPUTED_VALUE"""),"Model 3 Performance")</f>
        <v>Model 3 Performance</v>
      </c>
      <c r="O3200" t="str">
        <f>IFERROR(__xludf.DUMMYFUNCTION("""COMPUTED_VALUE"""),"Red Multi-Coat")</f>
        <v>Red Multi-Coat</v>
      </c>
      <c r="P3200" t="str">
        <f>IFERROR(__xludf.DUMMYFUNCTION("""COMPUTED_VALUE"""),"20 inch")</f>
        <v>20 inch</v>
      </c>
      <c r="Q3200" t="str">
        <f>IFERROR(__xludf.DUMMYFUNCTION("""COMPUTED_VALUE"""),"All Black")</f>
        <v>All Black</v>
      </c>
      <c r="R3200" t="str">
        <f>IFERROR(__xludf.DUMMYFUNCTION("""COMPUTED_VALUE"""),"Autopilot included")</f>
        <v>Autopilot included</v>
      </c>
      <c r="V3200" t="str">
        <f>IFERROR(__xludf.DUMMYFUNCTION("""COMPUTED_VALUE"""),"Ventilated seats")</f>
        <v>Ventilated seats</v>
      </c>
      <c r="AH3200" s="189">
        <f>IFERROR(__xludf.DUMMYFUNCTION("""COMPUTED_VALUE"""),44415.40762790509)</f>
        <v>44415.40763</v>
      </c>
    </row>
    <row r="3201">
      <c r="A3201" t="str">
        <f>IFERROR(__xludf.DUMMYFUNCTION("""COMPUTED_VALUE"""),"DrIvan")</f>
        <v>DrIvan</v>
      </c>
      <c r="B3201" t="str">
        <f>IFERROR(__xludf.DUMMYFUNCTION("""COMPUTED_VALUE"""),"Charlotte")</f>
        <v>Charlotte</v>
      </c>
      <c r="C3201" t="str">
        <f>IFERROR(__xludf.DUMMYFUNCTION("""COMPUTED_VALUE"""),"NC")</f>
        <v>NC</v>
      </c>
      <c r="D3201" t="str">
        <f>IFERROR(__xludf.DUMMYFUNCTION("""COMPUTED_VALUE"""),"USA")</f>
        <v>USA</v>
      </c>
      <c r="E3201" s="188">
        <f>IFERROR(__xludf.DUMMYFUNCTION("""COMPUTED_VALUE"""),44399.0)</f>
        <v>44399</v>
      </c>
      <c r="F3201" s="188">
        <f>IFERROR(__xludf.DUMMYFUNCTION("""COMPUTED_VALUE"""),44436.0)</f>
        <v>44436</v>
      </c>
      <c r="G3201" t="str">
        <f>IFERROR(__xludf.DUMMYFUNCTION("""COMPUTED_VALUE"""),"Manage order page (normal text)")</f>
        <v>Manage order page (normal text)</v>
      </c>
      <c r="J3201" s="188">
        <f>IFERROR(__xludf.DUMMYFUNCTION("""COMPUTED_VALUE"""),44445.0)</f>
        <v>44445</v>
      </c>
      <c r="K3201">
        <f>IFERROR(__xludf.DUMMYFUNCTION("""COMPUTED_VALUE"""),37.0)</f>
        <v>37</v>
      </c>
      <c r="L3201">
        <f>IFERROR(__xludf.DUMMYFUNCTION("""COMPUTED_VALUE"""),9.0)</f>
        <v>9</v>
      </c>
      <c r="M3201">
        <f>IFERROR(__xludf.DUMMYFUNCTION("""COMPUTED_VALUE"""),46.0)</f>
        <v>46</v>
      </c>
      <c r="N3201" t="str">
        <f>IFERROR(__xludf.DUMMYFUNCTION("""COMPUTED_VALUE"""),"Model 3 LR AWD")</f>
        <v>Model 3 LR AWD</v>
      </c>
      <c r="O3201" t="str">
        <f>IFERROR(__xludf.DUMMYFUNCTION("""COMPUTED_VALUE"""),"Midnight Silver Metallic")</f>
        <v>Midnight Silver Metallic</v>
      </c>
      <c r="P3201" t="str">
        <f>IFERROR(__xludf.DUMMYFUNCTION("""COMPUTED_VALUE"""),"19 inch")</f>
        <v>19 inch</v>
      </c>
      <c r="Q3201" t="str">
        <f>IFERROR(__xludf.DUMMYFUNCTION("""COMPUTED_VALUE"""),"Black and White")</f>
        <v>Black and White</v>
      </c>
      <c r="R3201" t="str">
        <f>IFERROR(__xludf.DUMMYFUNCTION("""COMPUTED_VALUE"""),"Autopilot included")</f>
        <v>Autopilot included</v>
      </c>
      <c r="AH3201" s="189">
        <f>IFERROR(__xludf.DUMMYFUNCTION("""COMPUTED_VALUE"""),44440.41261478009)</f>
        <v>44440.41261</v>
      </c>
    </row>
    <row r="3202">
      <c r="A3202" t="str">
        <f>IFERROR(__xludf.DUMMYFUNCTION("""COMPUTED_VALUE"""),"Octonaut")</f>
        <v>Octonaut</v>
      </c>
      <c r="B3202" t="str">
        <f>IFERROR(__xludf.DUMMYFUNCTION("""COMPUTED_VALUE"""),"San Diego")</f>
        <v>San Diego</v>
      </c>
      <c r="C3202" t="str">
        <f>IFERROR(__xludf.DUMMYFUNCTION("""COMPUTED_VALUE"""),"CA")</f>
        <v>CA</v>
      </c>
      <c r="D3202" t="str">
        <f>IFERROR(__xludf.DUMMYFUNCTION("""COMPUTED_VALUE"""),"USA")</f>
        <v>USA</v>
      </c>
      <c r="E3202" s="188">
        <f>IFERROR(__xludf.DUMMYFUNCTION("""COMPUTED_VALUE"""),44345.0)</f>
        <v>44345</v>
      </c>
      <c r="F3202" s="188">
        <f>IFERROR(__xludf.DUMMYFUNCTION("""COMPUTED_VALUE"""),44406.0)</f>
        <v>44406</v>
      </c>
      <c r="G3202" t="str">
        <f>IFERROR(__xludf.DUMMYFUNCTION("""COMPUTED_VALUE"""),"Manage order page (normal text)")</f>
        <v>Manage order page (normal text)</v>
      </c>
      <c r="H3202">
        <f>IFERROR(__xludf.DUMMYFUNCTION("""COMPUTED_VALUE"""),23555.0)</f>
        <v>23555</v>
      </c>
      <c r="J3202" s="188">
        <f>IFERROR(__xludf.DUMMYFUNCTION("""COMPUTED_VALUE"""),44411.0)</f>
        <v>44411</v>
      </c>
      <c r="K3202">
        <f>IFERROR(__xludf.DUMMYFUNCTION("""COMPUTED_VALUE"""),61.0)</f>
        <v>61</v>
      </c>
      <c r="L3202">
        <f>IFERROR(__xludf.DUMMYFUNCTION("""COMPUTED_VALUE"""),5.0)</f>
        <v>5</v>
      </c>
      <c r="M3202">
        <f>IFERROR(__xludf.DUMMYFUNCTION("""COMPUTED_VALUE"""),66.0)</f>
        <v>66</v>
      </c>
      <c r="N3202" t="str">
        <f>IFERROR(__xludf.DUMMYFUNCTION("""COMPUTED_VALUE"""),"Model 3 SR+")</f>
        <v>Model 3 SR+</v>
      </c>
      <c r="O3202" t="str">
        <f>IFERROR(__xludf.DUMMYFUNCTION("""COMPUTED_VALUE"""),"Pearl White Multi-Coat")</f>
        <v>Pearl White Multi-Coat</v>
      </c>
      <c r="P3202" t="str">
        <f>IFERROR(__xludf.DUMMYFUNCTION("""COMPUTED_VALUE"""),"18 inch")</f>
        <v>18 inch</v>
      </c>
      <c r="Q3202" t="str">
        <f>IFERROR(__xludf.DUMMYFUNCTION("""COMPUTED_VALUE"""),"All Black")</f>
        <v>All Black</v>
      </c>
      <c r="R3202" t="str">
        <f>IFERROR(__xludf.DUMMYFUNCTION("""COMPUTED_VALUE"""),"Autopilot included")</f>
        <v>Autopilot included</v>
      </c>
      <c r="S3202" t="str">
        <f>IFERROR(__xludf.DUMMYFUNCTION("""COMPUTED_VALUE"""),"Loan")</f>
        <v>Loan</v>
      </c>
      <c r="T3202" t="str">
        <f>IFERROR(__xludf.DUMMYFUNCTION("""COMPUTED_VALUE"""),"Honda Civic")</f>
        <v>Honda Civic</v>
      </c>
      <c r="U3202" t="str">
        <f>IFERROR(__xludf.DUMMYFUNCTION("""COMPUTED_VALUE"""),"Electric!")</f>
        <v>Electric!</v>
      </c>
      <c r="V3202" t="str">
        <f>IFERROR(__xludf.DUMMYFUNCTION("""COMPUTED_VALUE"""),"Apple CarPlay / Android Auto / SiriusXM Radio")</f>
        <v>Apple CarPlay / Android Auto / SiriusXM Radio</v>
      </c>
      <c r="X3202" t="str">
        <f>IFERROR(__xludf.DUMMYFUNCTION("""COMPUTED_VALUE"""),"Good")</f>
        <v>Good</v>
      </c>
      <c r="Y3202" t="str">
        <f>IFERROR(__xludf.DUMMYFUNCTION("""COMPUTED_VALUE"""),"Excellent")</f>
        <v>Excellent</v>
      </c>
      <c r="Z3202" t="str">
        <f>IFERROR(__xludf.DUMMYFUNCTION("""COMPUTED_VALUE"""),"Good")</f>
        <v>Good</v>
      </c>
      <c r="AA3202" t="str">
        <f>IFERROR(__xludf.DUMMYFUNCTION("""COMPUTED_VALUE"""),"Good")</f>
        <v>Good</v>
      </c>
      <c r="AB3202" t="str">
        <f>IFERROR(__xludf.DUMMYFUNCTION("""COMPUTED_VALUE"""),"Excellent")</f>
        <v>Excellent</v>
      </c>
      <c r="AC3202">
        <f>IFERROR(__xludf.DUMMYFUNCTION("""COMPUTED_VALUE"""),2.0)</f>
        <v>2</v>
      </c>
      <c r="AF3202" t="str">
        <f>IFERROR(__xludf.DUMMYFUNCTION("""COMPUTED_VALUE"""),"No. I took delivery of the first car Tesla was able to deliver.")</f>
        <v>No. I took delivery of the first car Tesla was able to deliver.</v>
      </c>
      <c r="AH3202" s="189">
        <f>IFERROR(__xludf.DUMMYFUNCTION("""COMPUTED_VALUE"""),44414.550289363426)</f>
        <v>44414.55029</v>
      </c>
    </row>
    <row r="3203">
      <c r="A3203" t="str">
        <f>IFERROR(__xludf.DUMMYFUNCTION("""COMPUTED_VALUE"""),"Conrad")</f>
        <v>Conrad</v>
      </c>
      <c r="B3203" t="str">
        <f>IFERROR(__xludf.DUMMYFUNCTION("""COMPUTED_VALUE"""),"Hillsboro")</f>
        <v>Hillsboro</v>
      </c>
      <c r="C3203" t="str">
        <f>IFERROR(__xludf.DUMMYFUNCTION("""COMPUTED_VALUE"""),"OR")</f>
        <v>OR</v>
      </c>
      <c r="D3203" t="str">
        <f>IFERROR(__xludf.DUMMYFUNCTION("""COMPUTED_VALUE"""),"USA")</f>
        <v>USA</v>
      </c>
      <c r="E3203" s="188">
        <f>IFERROR(__xludf.DUMMYFUNCTION("""COMPUTED_VALUE"""),44377.0)</f>
        <v>44377</v>
      </c>
      <c r="F3203" s="188">
        <f>IFERROR(__xludf.DUMMYFUNCTION("""COMPUTED_VALUE"""),44434.0)</f>
        <v>44434</v>
      </c>
      <c r="G3203" t="str">
        <f>IFERROR(__xludf.DUMMYFUNCTION("""COMPUTED_VALUE"""),"Existing Inventory")</f>
        <v>Existing Inventory</v>
      </c>
      <c r="H3203">
        <f>IFERROR(__xludf.DUMMYFUNCTION("""COMPUTED_VALUE"""),53555.0)</f>
        <v>53555</v>
      </c>
      <c r="J3203" s="188">
        <f>IFERROR(__xludf.DUMMYFUNCTION("""COMPUTED_VALUE"""),44442.0)</f>
        <v>44442</v>
      </c>
      <c r="K3203">
        <f>IFERROR(__xludf.DUMMYFUNCTION("""COMPUTED_VALUE"""),57.0)</f>
        <v>57</v>
      </c>
      <c r="L3203">
        <f>IFERROR(__xludf.DUMMYFUNCTION("""COMPUTED_VALUE"""),8.0)</f>
        <v>8</v>
      </c>
      <c r="M3203">
        <f>IFERROR(__xludf.DUMMYFUNCTION("""COMPUTED_VALUE"""),65.0)</f>
        <v>65</v>
      </c>
      <c r="N3203" t="str">
        <f>IFERROR(__xludf.DUMMYFUNCTION("""COMPUTED_VALUE"""),"Model 3 SR+")</f>
        <v>Model 3 SR+</v>
      </c>
      <c r="O3203" t="str">
        <f>IFERROR(__xludf.DUMMYFUNCTION("""COMPUTED_VALUE"""),"Pearl White Multi-Coat")</f>
        <v>Pearl White Multi-Coat</v>
      </c>
      <c r="P3203" t="str">
        <f>IFERROR(__xludf.DUMMYFUNCTION("""COMPUTED_VALUE"""),"18 inch")</f>
        <v>18 inch</v>
      </c>
      <c r="Q3203" t="str">
        <f>IFERROR(__xludf.DUMMYFUNCTION("""COMPUTED_VALUE"""),"All Black")</f>
        <v>All Black</v>
      </c>
      <c r="R3203" t="str">
        <f>IFERROR(__xludf.DUMMYFUNCTION("""COMPUTED_VALUE"""),"Autopilot included")</f>
        <v>Autopilot included</v>
      </c>
      <c r="S3203" t="str">
        <f>IFERROR(__xludf.DUMMYFUNCTION("""COMPUTED_VALUE"""),"Loan")</f>
        <v>Loan</v>
      </c>
      <c r="T3203" t="str">
        <f>IFERROR(__xludf.DUMMYFUNCTION("""COMPUTED_VALUE"""),"Hyundai Tucson")</f>
        <v>Hyundai Tucson</v>
      </c>
      <c r="U3203" t="str">
        <f>IFERROR(__xludf.DUMMYFUNCTION("""COMPUTED_VALUE"""),"Electric!")</f>
        <v>Electric!</v>
      </c>
      <c r="V3203" t="str">
        <f>IFERROR(__xludf.DUMMYFUNCTION("""COMPUTED_VALUE"""),"Apple CarPlay / Android Auto / SiriusXM Radio")</f>
        <v>Apple CarPlay / Android Auto / SiriusXM Radio</v>
      </c>
      <c r="AG3203" t="str">
        <f>IFERROR(__xludf.DUMMYFUNCTION("""COMPUTED_VALUE"""),"253mi range version with LFP Battery")</f>
        <v>253mi range version with LFP Battery</v>
      </c>
      <c r="AH3203" s="189">
        <f>IFERROR(__xludf.DUMMYFUNCTION("""COMPUTED_VALUE"""),44452.590935370376)</f>
        <v>44452.59094</v>
      </c>
    </row>
    <row r="3204">
      <c r="A3204" t="str">
        <f>IFERROR(__xludf.DUMMYFUNCTION("""COMPUTED_VALUE"""),"Larry in TN")</f>
        <v>Larry in TN</v>
      </c>
      <c r="B3204" t="str">
        <f>IFERROR(__xludf.DUMMYFUNCTION("""COMPUTED_VALUE"""),"Nashville")</f>
        <v>Nashville</v>
      </c>
      <c r="C3204" t="str">
        <f>IFERROR(__xludf.DUMMYFUNCTION("""COMPUTED_VALUE"""),"TN")</f>
        <v>TN</v>
      </c>
      <c r="D3204" t="str">
        <f>IFERROR(__xludf.DUMMYFUNCTION("""COMPUTED_VALUE"""),"USA")</f>
        <v>USA</v>
      </c>
      <c r="E3204" s="188">
        <f>IFERROR(__xludf.DUMMYFUNCTION("""COMPUTED_VALUE"""),44403.0)</f>
        <v>44403</v>
      </c>
      <c r="F3204" s="188">
        <f>IFERROR(__xludf.DUMMYFUNCTION("""COMPUTED_VALUE"""),44434.0)</f>
        <v>44434</v>
      </c>
      <c r="G3204" t="str">
        <f>IFERROR(__xludf.DUMMYFUNCTION("""COMPUTED_VALUE"""),"Manage order page (normal text)")</f>
        <v>Manage order page (normal text)</v>
      </c>
      <c r="H3204">
        <f>IFERROR(__xludf.DUMMYFUNCTION("""COMPUTED_VALUE"""),49355.0)</f>
        <v>49355</v>
      </c>
      <c r="I3204" t="str">
        <f>IFERROR(__xludf.DUMMYFUNCTION("""COMPUTED_VALUE"""),"08/21")</f>
        <v>08/21</v>
      </c>
      <c r="J3204" s="188">
        <f>IFERROR(__xludf.DUMMYFUNCTION("""COMPUTED_VALUE"""),44454.0)</f>
        <v>44454</v>
      </c>
      <c r="K3204">
        <f>IFERROR(__xludf.DUMMYFUNCTION("""COMPUTED_VALUE"""),31.0)</f>
        <v>31</v>
      </c>
      <c r="L3204">
        <f>IFERROR(__xludf.DUMMYFUNCTION("""COMPUTED_VALUE"""),20.0)</f>
        <v>20</v>
      </c>
      <c r="M3204">
        <f>IFERROR(__xludf.DUMMYFUNCTION("""COMPUTED_VALUE"""),51.0)</f>
        <v>51</v>
      </c>
      <c r="N3204" t="str">
        <f>IFERROR(__xludf.DUMMYFUNCTION("""COMPUTED_VALUE"""),"Model 3 LR AWD")</f>
        <v>Model 3 LR AWD</v>
      </c>
      <c r="O3204" t="str">
        <f>IFERROR(__xludf.DUMMYFUNCTION("""COMPUTED_VALUE"""),"Deep Blue Metallic")</f>
        <v>Deep Blue Metallic</v>
      </c>
      <c r="P3204" t="str">
        <f>IFERROR(__xludf.DUMMYFUNCTION("""COMPUTED_VALUE"""),"18 inch")</f>
        <v>18 inch</v>
      </c>
      <c r="Q3204" t="str">
        <f>IFERROR(__xludf.DUMMYFUNCTION("""COMPUTED_VALUE"""),"All Black")</f>
        <v>All Black</v>
      </c>
      <c r="R3204" t="str">
        <f>IFERROR(__xludf.DUMMYFUNCTION("""COMPUTED_VALUE"""),"Autopilot included")</f>
        <v>Autopilot included</v>
      </c>
      <c r="S3204" t="str">
        <f>IFERROR(__xludf.DUMMYFUNCTION("""COMPUTED_VALUE"""),"Cash")</f>
        <v>Cash</v>
      </c>
      <c r="T3204" t="str">
        <f>IFERROR(__xludf.DUMMYFUNCTION("""COMPUTED_VALUE"""),"Mazda Mazda3")</f>
        <v>Mazda Mazda3</v>
      </c>
      <c r="U3204" t="str">
        <f>IFERROR(__xludf.DUMMYFUNCTION("""COMPUTED_VALUE"""),"Electric!")</f>
        <v>Electric!</v>
      </c>
      <c r="V3204" t="str">
        <f>IFERROR(__xludf.DUMMYFUNCTION("""COMPUTED_VALUE"""),"Apple CarPlay / Android Auto / SiriusXM Radio")</f>
        <v>Apple CarPlay / Android Auto / SiriusXM Radio</v>
      </c>
      <c r="W3204" t="str">
        <f>IFERROR(__xludf.DUMMYFUNCTION("""COMPUTED_VALUE"""),"Get the phone extension number from your sales associate so you can reach them directly")</f>
        <v>Get the phone extension number from your sales associate so you can reach them directly</v>
      </c>
      <c r="X3204" t="str">
        <f>IFERROR(__xludf.DUMMYFUNCTION("""COMPUTED_VALUE"""),"Excellent")</f>
        <v>Excellent</v>
      </c>
      <c r="Y3204" t="str">
        <f>IFERROR(__xludf.DUMMYFUNCTION("""COMPUTED_VALUE"""),"Excellent")</f>
        <v>Excellent</v>
      </c>
      <c r="Z3204" t="str">
        <f>IFERROR(__xludf.DUMMYFUNCTION("""COMPUTED_VALUE"""),"Excellent")</f>
        <v>Excellent</v>
      </c>
      <c r="AA3204" t="str">
        <f>IFERROR(__xludf.DUMMYFUNCTION("""COMPUTED_VALUE"""),"Fair")</f>
        <v>Fair</v>
      </c>
      <c r="AB3204" t="str">
        <f>IFERROR(__xludf.DUMMYFUNCTION("""COMPUTED_VALUE"""),"Excellent")</f>
        <v>Excellent</v>
      </c>
      <c r="AF3204" t="str">
        <f>IFERROR(__xludf.DUMMYFUNCTION("""COMPUTED_VALUE"""),"No. I took delivery of the first car Tesla was able to deliver.")</f>
        <v>No. I took delivery of the first car Tesla was able to deliver.</v>
      </c>
      <c r="AH3204" s="189">
        <f>IFERROR(__xludf.DUMMYFUNCTION("""COMPUTED_VALUE"""),44454.79845591435)</f>
        <v>44454.79846</v>
      </c>
    </row>
    <row r="3205">
      <c r="A3205" t="str">
        <f>IFERROR(__xludf.DUMMYFUNCTION("""COMPUTED_VALUE"""),"tonlin")</f>
        <v>tonlin</v>
      </c>
      <c r="B3205" t="str">
        <f>IFERROR(__xludf.DUMMYFUNCTION("""COMPUTED_VALUE"""),"Richmond")</f>
        <v>Richmond</v>
      </c>
      <c r="C3205" t="str">
        <f>IFERROR(__xludf.DUMMYFUNCTION("""COMPUTED_VALUE"""),"BC")</f>
        <v>BC</v>
      </c>
      <c r="D3205" t="str">
        <f>IFERROR(__xludf.DUMMYFUNCTION("""COMPUTED_VALUE"""),"Canada")</f>
        <v>Canada</v>
      </c>
      <c r="E3205" s="188">
        <f>IFERROR(__xludf.DUMMYFUNCTION("""COMPUTED_VALUE"""),44378.0)</f>
        <v>44378</v>
      </c>
      <c r="F3205" s="188">
        <f>IFERROR(__xludf.DUMMYFUNCTION("""COMPUTED_VALUE"""),44443.0)</f>
        <v>44443</v>
      </c>
      <c r="G3205" t="str">
        <f>IFERROR(__xludf.DUMMYFUNCTION("""COMPUTED_VALUE"""),"Source code")</f>
        <v>Source code</v>
      </c>
      <c r="H3205">
        <f>IFERROR(__xludf.DUMMYFUNCTION("""COMPUTED_VALUE"""),57355.0)</f>
        <v>57355</v>
      </c>
      <c r="J3205" s="188">
        <f>IFERROR(__xludf.DUMMYFUNCTION("""COMPUTED_VALUE"""),44449.0)</f>
        <v>44449</v>
      </c>
      <c r="K3205">
        <f>IFERROR(__xludf.DUMMYFUNCTION("""COMPUTED_VALUE"""),65.0)</f>
        <v>65</v>
      </c>
      <c r="L3205">
        <f>IFERROR(__xludf.DUMMYFUNCTION("""COMPUTED_VALUE"""),6.0)</f>
        <v>6</v>
      </c>
      <c r="M3205">
        <f>IFERROR(__xludf.DUMMYFUNCTION("""COMPUTED_VALUE"""),71.0)</f>
        <v>71</v>
      </c>
      <c r="N3205" t="str">
        <f>IFERROR(__xludf.DUMMYFUNCTION("""COMPUTED_VALUE"""),"Model 3 SR+")</f>
        <v>Model 3 SR+</v>
      </c>
      <c r="O3205" t="str">
        <f>IFERROR(__xludf.DUMMYFUNCTION("""COMPUTED_VALUE"""),"Pearl White Multi-Coat")</f>
        <v>Pearl White Multi-Coat</v>
      </c>
      <c r="P3205" t="str">
        <f>IFERROR(__xludf.DUMMYFUNCTION("""COMPUTED_VALUE"""),"18 inch")</f>
        <v>18 inch</v>
      </c>
      <c r="Q3205" t="str">
        <f>IFERROR(__xludf.DUMMYFUNCTION("""COMPUTED_VALUE"""),"All Black")</f>
        <v>All Black</v>
      </c>
      <c r="R3205" t="str">
        <f>IFERROR(__xludf.DUMMYFUNCTION("""COMPUTED_VALUE"""),"Autopilot included")</f>
        <v>Autopilot included</v>
      </c>
      <c r="S3205" t="str">
        <f>IFERROR(__xludf.DUMMYFUNCTION("""COMPUTED_VALUE"""),"Lease")</f>
        <v>Lease</v>
      </c>
      <c r="T3205" t="str">
        <f>IFERROR(__xludf.DUMMYFUNCTION("""COMPUTED_VALUE"""),"BMW X5")</f>
        <v>BMW X5</v>
      </c>
      <c r="U3205" t="str">
        <f>IFERROR(__xludf.DUMMYFUNCTION("""COMPUTED_VALUE"""),"Electric!")</f>
        <v>Electric!</v>
      </c>
      <c r="V3205" t="str">
        <f>IFERROR(__xludf.DUMMYFUNCTION("""COMPUTED_VALUE"""),"Head-up display")</f>
        <v>Head-up display</v>
      </c>
      <c r="AH3205" s="189">
        <f>IFERROR(__xludf.DUMMYFUNCTION("""COMPUTED_VALUE"""),44444.84753895833)</f>
        <v>44444.84754</v>
      </c>
    </row>
    <row r="3206">
      <c r="A3206" t="str">
        <f>IFERROR(__xludf.DUMMYFUNCTION("""COMPUTED_VALUE"""),"J's")</f>
        <v>J's</v>
      </c>
      <c r="C3206" t="str">
        <f>IFERROR(__xludf.DUMMYFUNCTION("""COMPUTED_VALUE"""),"IN")</f>
        <v>IN</v>
      </c>
      <c r="D3206" t="str">
        <f>IFERROR(__xludf.DUMMYFUNCTION("""COMPUTED_VALUE"""),"USA")</f>
        <v>USA</v>
      </c>
      <c r="E3206" s="188">
        <f>IFERROR(__xludf.DUMMYFUNCTION("""COMPUTED_VALUE"""),44388.0)</f>
        <v>44388</v>
      </c>
      <c r="F3206" s="188">
        <f>IFERROR(__xludf.DUMMYFUNCTION("""COMPUTED_VALUE"""),44439.0)</f>
        <v>44439</v>
      </c>
      <c r="G3206" t="str">
        <f>IFERROR(__xludf.DUMMYFUNCTION("""COMPUTED_VALUE"""),"Manage order page (normal text)")</f>
        <v>Manage order page (normal text)</v>
      </c>
      <c r="H3206">
        <f>IFERROR(__xludf.DUMMYFUNCTION("""COMPUTED_VALUE"""),55755.0)</f>
        <v>55755</v>
      </c>
      <c r="J3206" s="188">
        <f>IFERROR(__xludf.DUMMYFUNCTION("""COMPUTED_VALUE"""),44448.0)</f>
        <v>44448</v>
      </c>
      <c r="K3206">
        <f>IFERROR(__xludf.DUMMYFUNCTION("""COMPUTED_VALUE"""),51.0)</f>
        <v>51</v>
      </c>
      <c r="L3206">
        <f>IFERROR(__xludf.DUMMYFUNCTION("""COMPUTED_VALUE"""),9.0)</f>
        <v>9</v>
      </c>
      <c r="M3206">
        <f>IFERROR(__xludf.DUMMYFUNCTION("""COMPUTED_VALUE"""),60.0)</f>
        <v>60</v>
      </c>
      <c r="N3206" t="str">
        <f>IFERROR(__xludf.DUMMYFUNCTION("""COMPUTED_VALUE"""),"Model 3 LR AWD")</f>
        <v>Model 3 LR AWD</v>
      </c>
      <c r="O3206" t="str">
        <f>IFERROR(__xludf.DUMMYFUNCTION("""COMPUTED_VALUE"""),"Pearl White Multi-Coat")</f>
        <v>Pearl White Multi-Coat</v>
      </c>
      <c r="P3206" t="str">
        <f>IFERROR(__xludf.DUMMYFUNCTION("""COMPUTED_VALUE"""),"19 inch")</f>
        <v>19 inch</v>
      </c>
      <c r="Q3206" t="str">
        <f>IFERROR(__xludf.DUMMYFUNCTION("""COMPUTED_VALUE"""),"All Black")</f>
        <v>All Black</v>
      </c>
      <c r="R3206" t="str">
        <f>IFERROR(__xludf.DUMMYFUNCTION("""COMPUTED_VALUE"""),"Autopilot included")</f>
        <v>Autopilot included</v>
      </c>
      <c r="S3206" t="str">
        <f>IFERROR(__xludf.DUMMYFUNCTION("""COMPUTED_VALUE"""),"Loan")</f>
        <v>Loan</v>
      </c>
      <c r="T3206" t="str">
        <f>IFERROR(__xludf.DUMMYFUNCTION("""COMPUTED_VALUE"""),"Jeep")</f>
        <v>Jeep</v>
      </c>
      <c r="V3206" t="str">
        <f>IFERROR(__xludf.DUMMYFUNCTION("""COMPUTED_VALUE"""),"Head-up display")</f>
        <v>Head-up display</v>
      </c>
      <c r="X3206" t="str">
        <f>IFERROR(__xludf.DUMMYFUNCTION("""COMPUTED_VALUE"""),"Excellent")</f>
        <v>Excellent</v>
      </c>
      <c r="Y3206" t="str">
        <f>IFERROR(__xludf.DUMMYFUNCTION("""COMPUTED_VALUE"""),"Excellent")</f>
        <v>Excellent</v>
      </c>
      <c r="Z3206" t="str">
        <f>IFERROR(__xludf.DUMMYFUNCTION("""COMPUTED_VALUE"""),"Excellent")</f>
        <v>Excellent</v>
      </c>
      <c r="AA3206" t="str">
        <f>IFERROR(__xludf.DUMMYFUNCTION("""COMPUTED_VALUE"""),"Good")</f>
        <v>Good</v>
      </c>
      <c r="AB3206" t="str">
        <f>IFERROR(__xludf.DUMMYFUNCTION("""COMPUTED_VALUE"""),"Very Good")</f>
        <v>Very Good</v>
      </c>
      <c r="AF3206" t="str">
        <f>IFERROR(__xludf.DUMMYFUNCTION("""COMPUTED_VALUE"""),"No. I took delivery of the first car Tesla was able to deliver.")</f>
        <v>No. I took delivery of the first car Tesla was able to deliver.</v>
      </c>
      <c r="AH3206" s="189">
        <f>IFERROR(__xludf.DUMMYFUNCTION("""COMPUTED_VALUE"""),44451.7390852199)</f>
        <v>44451.73909</v>
      </c>
    </row>
    <row r="3207">
      <c r="A3207" t="str">
        <f>IFERROR(__xludf.DUMMYFUNCTION("""COMPUTED_VALUE"""),"zevs")</f>
        <v>zevs</v>
      </c>
      <c r="B3207" t="str">
        <f>IFERROR(__xludf.DUMMYFUNCTION("""COMPUTED_VALUE"""),"Champaign")</f>
        <v>Champaign</v>
      </c>
      <c r="C3207" t="str">
        <f>IFERROR(__xludf.DUMMYFUNCTION("""COMPUTED_VALUE"""),"IL")</f>
        <v>IL</v>
      </c>
      <c r="D3207" t="str">
        <f>IFERROR(__xludf.DUMMYFUNCTION("""COMPUTED_VALUE"""),"USA")</f>
        <v>USA</v>
      </c>
      <c r="E3207" s="188">
        <f>IFERROR(__xludf.DUMMYFUNCTION("""COMPUTED_VALUE"""),44375.0)</f>
        <v>44375</v>
      </c>
      <c r="F3207" s="188">
        <f>IFERROR(__xludf.DUMMYFUNCTION("""COMPUTED_VALUE"""),44437.0)</f>
        <v>44437</v>
      </c>
      <c r="G3207" t="str">
        <f>IFERROR(__xludf.DUMMYFUNCTION("""COMPUTED_VALUE"""),"Manage order page (normal text)")</f>
        <v>Manage order page (normal text)</v>
      </c>
      <c r="J3207" s="188">
        <f>IFERROR(__xludf.DUMMYFUNCTION("""COMPUTED_VALUE"""),44450.0)</f>
        <v>44450</v>
      </c>
      <c r="K3207">
        <f>IFERROR(__xludf.DUMMYFUNCTION("""COMPUTED_VALUE"""),62.0)</f>
        <v>62</v>
      </c>
      <c r="L3207">
        <f>IFERROR(__xludf.DUMMYFUNCTION("""COMPUTED_VALUE"""),13.0)</f>
        <v>13</v>
      </c>
      <c r="M3207">
        <f>IFERROR(__xludf.DUMMYFUNCTION("""COMPUTED_VALUE"""),75.0)</f>
        <v>75</v>
      </c>
      <c r="N3207" t="str">
        <f>IFERROR(__xludf.DUMMYFUNCTION("""COMPUTED_VALUE"""),"Model 3 SR+")</f>
        <v>Model 3 SR+</v>
      </c>
      <c r="O3207" t="str">
        <f>IFERROR(__xludf.DUMMYFUNCTION("""COMPUTED_VALUE"""),"Midnight Silver Metallic")</f>
        <v>Midnight Silver Metallic</v>
      </c>
      <c r="P3207" t="str">
        <f>IFERROR(__xludf.DUMMYFUNCTION("""COMPUTED_VALUE"""),"18 inch")</f>
        <v>18 inch</v>
      </c>
      <c r="Q3207" t="str">
        <f>IFERROR(__xludf.DUMMYFUNCTION("""COMPUTED_VALUE"""),"All Black")</f>
        <v>All Black</v>
      </c>
      <c r="R3207" t="str">
        <f>IFERROR(__xludf.DUMMYFUNCTION("""COMPUTED_VALUE"""),"Autopilot included")</f>
        <v>Autopilot included</v>
      </c>
      <c r="S3207" t="str">
        <f>IFERROR(__xludf.DUMMYFUNCTION("""COMPUTED_VALUE"""),"Loan")</f>
        <v>Loan</v>
      </c>
      <c r="T3207" t="str">
        <f>IFERROR(__xludf.DUMMYFUNCTION("""COMPUTED_VALUE"""),"VW Golf")</f>
        <v>VW Golf</v>
      </c>
      <c r="U3207" t="str">
        <f>IFERROR(__xludf.DUMMYFUNCTION("""COMPUTED_VALUE"""),"Electric!")</f>
        <v>Electric!</v>
      </c>
      <c r="V3207" t="str">
        <f>IFERROR(__xludf.DUMMYFUNCTION("""COMPUTED_VALUE"""),"Apple CarPlay / Android Auto / SiriusXM Radio")</f>
        <v>Apple CarPlay / Android Auto / SiriusXM Radio</v>
      </c>
      <c r="AH3207" s="189">
        <f>IFERROR(__xludf.DUMMYFUNCTION("""COMPUTED_VALUE"""),44448.857474965276)</f>
        <v>44448.85747</v>
      </c>
    </row>
    <row r="3208">
      <c r="A3208" t="str">
        <f>IFERROR(__xludf.DUMMYFUNCTION("""COMPUTED_VALUE"""),"greenspeedmachine")</f>
        <v>greenspeedmachine</v>
      </c>
      <c r="B3208" t="str">
        <f>IFERROR(__xludf.DUMMYFUNCTION("""COMPUTED_VALUE"""),"NYC")</f>
        <v>NYC</v>
      </c>
      <c r="C3208" t="str">
        <f>IFERROR(__xludf.DUMMYFUNCTION("""COMPUTED_VALUE"""),"NY")</f>
        <v>NY</v>
      </c>
      <c r="D3208" t="str">
        <f>IFERROR(__xludf.DUMMYFUNCTION("""COMPUTED_VALUE"""),"USA")</f>
        <v>USA</v>
      </c>
      <c r="E3208" s="188">
        <f>IFERROR(__xludf.DUMMYFUNCTION("""COMPUTED_VALUE"""),44376.0)</f>
        <v>44376</v>
      </c>
      <c r="F3208" s="188">
        <f>IFERROR(__xludf.DUMMYFUNCTION("""COMPUTED_VALUE"""),44404.0)</f>
        <v>44404</v>
      </c>
      <c r="G3208" t="str">
        <f>IFERROR(__xludf.DUMMYFUNCTION("""COMPUTED_VALUE"""),"Phone Call - Another customer canceled their order")</f>
        <v>Phone Call - Another customer canceled their order</v>
      </c>
      <c r="H3208">
        <f>IFERROR(__xludf.DUMMYFUNCTION("""COMPUTED_VALUE"""),19455.0)</f>
        <v>19455</v>
      </c>
      <c r="J3208" s="188">
        <f>IFERROR(__xludf.DUMMYFUNCTION("""COMPUTED_VALUE"""),44405.0)</f>
        <v>44405</v>
      </c>
      <c r="K3208">
        <f>IFERROR(__xludf.DUMMYFUNCTION("""COMPUTED_VALUE"""),28.0)</f>
        <v>28</v>
      </c>
      <c r="L3208">
        <f>IFERROR(__xludf.DUMMYFUNCTION("""COMPUTED_VALUE"""),1.0)</f>
        <v>1</v>
      </c>
      <c r="M3208">
        <f>IFERROR(__xludf.DUMMYFUNCTION("""COMPUTED_VALUE"""),29.0)</f>
        <v>29</v>
      </c>
      <c r="N3208" t="str">
        <f>IFERROR(__xludf.DUMMYFUNCTION("""COMPUTED_VALUE"""),"Model 3 LR AWD")</f>
        <v>Model 3 LR AWD</v>
      </c>
      <c r="O3208" t="str">
        <f>IFERROR(__xludf.DUMMYFUNCTION("""COMPUTED_VALUE"""),"Solid Black")</f>
        <v>Solid Black</v>
      </c>
      <c r="P3208" t="str">
        <f>IFERROR(__xludf.DUMMYFUNCTION("""COMPUTED_VALUE"""),"18 inch")</f>
        <v>18 inch</v>
      </c>
      <c r="Q3208" t="str">
        <f>IFERROR(__xludf.DUMMYFUNCTION("""COMPUTED_VALUE"""),"All Black")</f>
        <v>All Black</v>
      </c>
      <c r="R3208" t="str">
        <f>IFERROR(__xludf.DUMMYFUNCTION("""COMPUTED_VALUE"""),"Autopilot included")</f>
        <v>Autopilot included</v>
      </c>
      <c r="S3208" t="str">
        <f>IFERROR(__xludf.DUMMYFUNCTION("""COMPUTED_VALUE"""),"Loan")</f>
        <v>Loan</v>
      </c>
      <c r="U3208" t="str">
        <f>IFERROR(__xludf.DUMMYFUNCTION("""COMPUTED_VALUE"""),"Autopilot")</f>
        <v>Autopilot</v>
      </c>
      <c r="V3208" t="str">
        <f>IFERROR(__xludf.DUMMYFUNCTION("""COMPUTED_VALUE"""),"Apple CarPlay / Android Auto / SiriusXM Radio")</f>
        <v>Apple CarPlay / Android Auto / SiriusXM Radio</v>
      </c>
      <c r="AH3208" s="189">
        <f>IFERROR(__xludf.DUMMYFUNCTION("""COMPUTED_VALUE"""),44404.461473668984)</f>
        <v>44404.46147</v>
      </c>
    </row>
    <row r="3209">
      <c r="A3209" t="str">
        <f>IFERROR(__xludf.DUMMYFUNCTION("""COMPUTED_VALUE"""),"clemmy")</f>
        <v>clemmy</v>
      </c>
      <c r="B3209" t="str">
        <f>IFERROR(__xludf.DUMMYFUNCTION("""COMPUTED_VALUE"""),"San Francisco")</f>
        <v>San Francisco</v>
      </c>
      <c r="C3209" t="str">
        <f>IFERROR(__xludf.DUMMYFUNCTION("""COMPUTED_VALUE"""),"CA")</f>
        <v>CA</v>
      </c>
      <c r="D3209" t="str">
        <f>IFERROR(__xludf.DUMMYFUNCTION("""COMPUTED_VALUE"""),"USA")</f>
        <v>USA</v>
      </c>
      <c r="E3209" s="188">
        <f>IFERROR(__xludf.DUMMYFUNCTION("""COMPUTED_VALUE"""),44373.0)</f>
        <v>44373</v>
      </c>
      <c r="F3209" s="188">
        <f>IFERROR(__xludf.DUMMYFUNCTION("""COMPUTED_VALUE"""),44449.0)</f>
        <v>44449</v>
      </c>
      <c r="G3209" t="str">
        <f>IFERROR(__xludf.DUMMYFUNCTION("""COMPUTED_VALUE"""),"Manage order page (normal text)")</f>
        <v>Manage order page (normal text)</v>
      </c>
      <c r="H3209">
        <f>IFERROR(__xludf.DUMMYFUNCTION("""COMPUTED_VALUE"""),56055.0)</f>
        <v>56055</v>
      </c>
      <c r="K3209">
        <f>IFERROR(__xludf.DUMMYFUNCTION("""COMPUTED_VALUE"""),76.0)</f>
        <v>76</v>
      </c>
      <c r="N3209" t="str">
        <f>IFERROR(__xludf.DUMMYFUNCTION("""COMPUTED_VALUE"""),"Model 3 LR AWD")</f>
        <v>Model 3 LR AWD</v>
      </c>
      <c r="O3209" t="str">
        <f>IFERROR(__xludf.DUMMYFUNCTION("""COMPUTED_VALUE"""),"Pearl White Multi-Coat")</f>
        <v>Pearl White Multi-Coat</v>
      </c>
      <c r="P3209" t="str">
        <f>IFERROR(__xludf.DUMMYFUNCTION("""COMPUTED_VALUE"""),"18 inch")</f>
        <v>18 inch</v>
      </c>
      <c r="Q3209" t="str">
        <f>IFERROR(__xludf.DUMMYFUNCTION("""COMPUTED_VALUE"""),"Black and White")</f>
        <v>Black and White</v>
      </c>
      <c r="R3209" t="str">
        <f>IFERROR(__xludf.DUMMYFUNCTION("""COMPUTED_VALUE"""),"Autopilot included")</f>
        <v>Autopilot included</v>
      </c>
      <c r="S3209" t="str">
        <f>IFERROR(__xludf.DUMMYFUNCTION("""COMPUTED_VALUE"""),"Loan")</f>
        <v>Loan</v>
      </c>
      <c r="T3209" t="str">
        <f>IFERROR(__xludf.DUMMYFUNCTION("""COMPUTED_VALUE"""),"Model 3 will be my first car!")</f>
        <v>Model 3 will be my first car!</v>
      </c>
      <c r="U3209" t="str">
        <f>IFERROR(__xludf.DUMMYFUNCTION("""COMPUTED_VALUE"""),"Tesla brand image")</f>
        <v>Tesla brand image</v>
      </c>
      <c r="V3209" t="str">
        <f>IFERROR(__xludf.DUMMYFUNCTION("""COMPUTED_VALUE"""),"Apple CarPlay / Android Auto / SiriusXM Radio")</f>
        <v>Apple CarPlay / Android Auto / SiriusXM Radio</v>
      </c>
      <c r="AH3209" s="189">
        <f>IFERROR(__xludf.DUMMYFUNCTION("""COMPUTED_VALUE"""),44449.46960892361)</f>
        <v>44449.46961</v>
      </c>
    </row>
    <row r="3210">
      <c r="A3210" t="str">
        <f>IFERROR(__xludf.DUMMYFUNCTION("""COMPUTED_VALUE"""),"Overtok90 ")</f>
        <v>Overtok90 </v>
      </c>
      <c r="B3210" t="str">
        <f>IFERROR(__xludf.DUMMYFUNCTION("""COMPUTED_VALUE"""),"Vancouver")</f>
        <v>Vancouver</v>
      </c>
      <c r="C3210" t="str">
        <f>IFERROR(__xludf.DUMMYFUNCTION("""COMPUTED_VALUE"""),"WA")</f>
        <v>WA</v>
      </c>
      <c r="D3210" t="str">
        <f>IFERROR(__xludf.DUMMYFUNCTION("""COMPUTED_VALUE"""),"USA")</f>
        <v>USA</v>
      </c>
      <c r="E3210" s="188">
        <f>IFERROR(__xludf.DUMMYFUNCTION("""COMPUTED_VALUE"""),44387.0)</f>
        <v>44387</v>
      </c>
      <c r="F3210" s="188">
        <f>IFERROR(__xludf.DUMMYFUNCTION("""COMPUTED_VALUE"""),44407.0)</f>
        <v>44407</v>
      </c>
      <c r="G3210" t="str">
        <f>IFERROR(__xludf.DUMMYFUNCTION("""COMPUTED_VALUE"""),"Manage order page (normal text)")</f>
        <v>Manage order page (normal text)</v>
      </c>
      <c r="J3210" s="188">
        <f>IFERROR(__xludf.DUMMYFUNCTION("""COMPUTED_VALUE"""),44417.0)</f>
        <v>44417</v>
      </c>
      <c r="K3210">
        <f>IFERROR(__xludf.DUMMYFUNCTION("""COMPUTED_VALUE"""),20.0)</f>
        <v>20</v>
      </c>
      <c r="L3210">
        <f>IFERROR(__xludf.DUMMYFUNCTION("""COMPUTED_VALUE"""),10.0)</f>
        <v>10</v>
      </c>
      <c r="M3210">
        <f>IFERROR(__xludf.DUMMYFUNCTION("""COMPUTED_VALUE"""),30.0)</f>
        <v>30</v>
      </c>
      <c r="N3210" t="str">
        <f>IFERROR(__xludf.DUMMYFUNCTION("""COMPUTED_VALUE"""),"Model 3 SR+")</f>
        <v>Model 3 SR+</v>
      </c>
      <c r="O3210" t="str">
        <f>IFERROR(__xludf.DUMMYFUNCTION("""COMPUTED_VALUE"""),"Midnight Silver Metallic")</f>
        <v>Midnight Silver Metallic</v>
      </c>
      <c r="P3210" t="str">
        <f>IFERROR(__xludf.DUMMYFUNCTION("""COMPUTED_VALUE"""),"18 inch")</f>
        <v>18 inch</v>
      </c>
      <c r="Q3210" t="str">
        <f>IFERROR(__xludf.DUMMYFUNCTION("""COMPUTED_VALUE"""),"All Black")</f>
        <v>All Black</v>
      </c>
      <c r="R3210" t="str">
        <f>IFERROR(__xludf.DUMMYFUNCTION("""COMPUTED_VALUE"""),"Autopilot included")</f>
        <v>Autopilot included</v>
      </c>
      <c r="S3210" t="str">
        <f>IFERROR(__xludf.DUMMYFUNCTION("""COMPUTED_VALUE"""),"Loan")</f>
        <v>Loan</v>
      </c>
      <c r="T3210" t="str">
        <f>IFERROR(__xludf.DUMMYFUNCTION("""COMPUTED_VALUE"""),"Vw Tiguan ")</f>
        <v>Vw Tiguan </v>
      </c>
      <c r="U3210" t="str">
        <f>IFERROR(__xludf.DUMMYFUNCTION("""COMPUTED_VALUE"""),"Electric!")</f>
        <v>Electric!</v>
      </c>
      <c r="V3210" t="str">
        <f>IFERROR(__xludf.DUMMYFUNCTION("""COMPUTED_VALUE"""),"Ventilated seats")</f>
        <v>Ventilated seats</v>
      </c>
      <c r="AH3210" s="189">
        <f>IFERROR(__xludf.DUMMYFUNCTION("""COMPUTED_VALUE"""),44410.33793518518)</f>
        <v>44410.33794</v>
      </c>
    </row>
    <row r="3211">
      <c r="A3211" t="str">
        <f>IFERROR(__xludf.DUMMYFUNCTION("""COMPUTED_VALUE"""),"ED")</f>
        <v>ED</v>
      </c>
      <c r="B3211" t="str">
        <f>IFERROR(__xludf.DUMMYFUNCTION("""COMPUTED_VALUE"""),"Los Angeles")</f>
        <v>Los Angeles</v>
      </c>
      <c r="C3211" t="str">
        <f>IFERROR(__xludf.DUMMYFUNCTION("""COMPUTED_VALUE"""),"CA")</f>
        <v>CA</v>
      </c>
      <c r="D3211" t="str">
        <f>IFERROR(__xludf.DUMMYFUNCTION("""COMPUTED_VALUE"""),"USA")</f>
        <v>USA</v>
      </c>
      <c r="E3211" s="188">
        <f>IFERROR(__xludf.DUMMYFUNCTION("""COMPUTED_VALUE"""),44347.0)</f>
        <v>44347</v>
      </c>
      <c r="F3211" s="188">
        <f>IFERROR(__xludf.DUMMYFUNCTION("""COMPUTED_VALUE"""),44417.0)</f>
        <v>44417</v>
      </c>
      <c r="G3211" t="str">
        <f>IFERROR(__xludf.DUMMYFUNCTION("""COMPUTED_VALUE"""),"Manage order page (normal text)")</f>
        <v>Manage order page (normal text)</v>
      </c>
      <c r="J3211" s="188">
        <f>IFERROR(__xludf.DUMMYFUNCTION("""COMPUTED_VALUE"""),44420.0)</f>
        <v>44420</v>
      </c>
      <c r="K3211">
        <f>IFERROR(__xludf.DUMMYFUNCTION("""COMPUTED_VALUE"""),70.0)</f>
        <v>70</v>
      </c>
      <c r="L3211">
        <f>IFERROR(__xludf.DUMMYFUNCTION("""COMPUTED_VALUE"""),3.0)</f>
        <v>3</v>
      </c>
      <c r="M3211">
        <f>IFERROR(__xludf.DUMMYFUNCTION("""COMPUTED_VALUE"""),73.0)</f>
        <v>73</v>
      </c>
      <c r="N3211" t="str">
        <f>IFERROR(__xludf.DUMMYFUNCTION("""COMPUTED_VALUE"""),"Model 3 SR+")</f>
        <v>Model 3 SR+</v>
      </c>
      <c r="O3211" t="str">
        <f>IFERROR(__xludf.DUMMYFUNCTION("""COMPUTED_VALUE"""),"Pearl White Multi-Coat")</f>
        <v>Pearl White Multi-Coat</v>
      </c>
      <c r="P3211" t="str">
        <f>IFERROR(__xludf.DUMMYFUNCTION("""COMPUTED_VALUE"""),"19 inch")</f>
        <v>19 inch</v>
      </c>
      <c r="Q3211" t="str">
        <f>IFERROR(__xludf.DUMMYFUNCTION("""COMPUTED_VALUE"""),"All Black")</f>
        <v>All Black</v>
      </c>
      <c r="R3211" t="str">
        <f>IFERROR(__xludf.DUMMYFUNCTION("""COMPUTED_VALUE"""),"Autopilot included")</f>
        <v>Autopilot included</v>
      </c>
      <c r="S3211" t="str">
        <f>IFERROR(__xludf.DUMMYFUNCTION("""COMPUTED_VALUE"""),"Loan")</f>
        <v>Loan</v>
      </c>
      <c r="U3211" t="str">
        <f>IFERROR(__xludf.DUMMYFUNCTION("""COMPUTED_VALUE"""),"Electric!")</f>
        <v>Electric!</v>
      </c>
      <c r="V3211" t="str">
        <f>IFERROR(__xludf.DUMMYFUNCTION("""COMPUTED_VALUE"""),"Apple CarPlay / Android Auto / SiriusXM Radio")</f>
        <v>Apple CarPlay / Android Auto / SiriusXM Radio</v>
      </c>
      <c r="AH3211" s="189">
        <f>IFERROR(__xludf.DUMMYFUNCTION("""COMPUTED_VALUE"""),44419.4367493287)</f>
        <v>44419.43675</v>
      </c>
    </row>
    <row r="3212">
      <c r="A3212" t="str">
        <f>IFERROR(__xludf.DUMMYFUNCTION("""COMPUTED_VALUE"""),"gepilano")</f>
        <v>gepilano</v>
      </c>
      <c r="B3212" t="str">
        <f>IFERROR(__xludf.DUMMYFUNCTION("""COMPUTED_VALUE"""),"elk grove")</f>
        <v>elk grove</v>
      </c>
      <c r="C3212" t="str">
        <f>IFERROR(__xludf.DUMMYFUNCTION("""COMPUTED_VALUE"""),"CA")</f>
        <v>CA</v>
      </c>
      <c r="D3212" t="str">
        <f>IFERROR(__xludf.DUMMYFUNCTION("""COMPUTED_VALUE"""),"USA")</f>
        <v>USA</v>
      </c>
      <c r="E3212" s="188">
        <f>IFERROR(__xludf.DUMMYFUNCTION("""COMPUTED_VALUE"""),44360.0)</f>
        <v>44360</v>
      </c>
      <c r="F3212" s="188">
        <f>IFERROR(__xludf.DUMMYFUNCTION("""COMPUTED_VALUE"""),44419.0)</f>
        <v>44419</v>
      </c>
      <c r="G3212" t="str">
        <f>IFERROR(__xludf.DUMMYFUNCTION("""COMPUTED_VALUE"""),"Manage order page (normal text)")</f>
        <v>Manage order page (normal text)</v>
      </c>
      <c r="I3212" t="str">
        <f>IFERROR(__xludf.DUMMYFUNCTION("""COMPUTED_VALUE"""),"08/21")</f>
        <v>08/21</v>
      </c>
      <c r="J3212" s="188">
        <f>IFERROR(__xludf.DUMMYFUNCTION("""COMPUTED_VALUE"""),44424.0)</f>
        <v>44424</v>
      </c>
      <c r="K3212">
        <f>IFERROR(__xludf.DUMMYFUNCTION("""COMPUTED_VALUE"""),59.0)</f>
        <v>59</v>
      </c>
      <c r="L3212">
        <f>IFERROR(__xludf.DUMMYFUNCTION("""COMPUTED_VALUE"""),5.0)</f>
        <v>5</v>
      </c>
      <c r="M3212">
        <f>IFERROR(__xludf.DUMMYFUNCTION("""COMPUTED_VALUE"""),64.0)</f>
        <v>64</v>
      </c>
      <c r="N3212" t="str">
        <f>IFERROR(__xludf.DUMMYFUNCTION("""COMPUTED_VALUE"""),"Model 3 LR AWD")</f>
        <v>Model 3 LR AWD</v>
      </c>
      <c r="O3212" t="str">
        <f>IFERROR(__xludf.DUMMYFUNCTION("""COMPUTED_VALUE"""),"Midnight Silver Metallic")</f>
        <v>Midnight Silver Metallic</v>
      </c>
      <c r="P3212" t="str">
        <f>IFERROR(__xludf.DUMMYFUNCTION("""COMPUTED_VALUE"""),"18 inch")</f>
        <v>18 inch</v>
      </c>
      <c r="Q3212" t="str">
        <f>IFERROR(__xludf.DUMMYFUNCTION("""COMPUTED_VALUE"""),"All Black")</f>
        <v>All Black</v>
      </c>
      <c r="R3212" t="str">
        <f>IFERROR(__xludf.DUMMYFUNCTION("""COMPUTED_VALUE"""),"Autopilot included")</f>
        <v>Autopilot included</v>
      </c>
      <c r="S3212" t="str">
        <f>IFERROR(__xludf.DUMMYFUNCTION("""COMPUTED_VALUE"""),"Loan")</f>
        <v>Loan</v>
      </c>
      <c r="T3212" t="str">
        <f>IFERROR(__xludf.DUMMYFUNCTION("""COMPUTED_VALUE"""),"Mini Cooper")</f>
        <v>Mini Cooper</v>
      </c>
      <c r="U3212" t="str">
        <f>IFERROR(__xludf.DUMMYFUNCTION("""COMPUTED_VALUE"""),"Electric!")</f>
        <v>Electric!</v>
      </c>
      <c r="V3212" t="str">
        <f>IFERROR(__xludf.DUMMYFUNCTION("""COMPUTED_VALUE"""),"Apple CarPlay / Android Auto / SiriusXM Radio")</f>
        <v>Apple CarPlay / Android Auto / SiriusXM Radio</v>
      </c>
      <c r="X3212" t="str">
        <f>IFERROR(__xludf.DUMMYFUNCTION("""COMPUTED_VALUE"""),"Excellent")</f>
        <v>Excellent</v>
      </c>
      <c r="Y3212" t="str">
        <f>IFERROR(__xludf.DUMMYFUNCTION("""COMPUTED_VALUE"""),"Excellent")</f>
        <v>Excellent</v>
      </c>
      <c r="Z3212" t="str">
        <f>IFERROR(__xludf.DUMMYFUNCTION("""COMPUTED_VALUE"""),"Excellent")</f>
        <v>Excellent</v>
      </c>
      <c r="AA3212" t="str">
        <f>IFERROR(__xludf.DUMMYFUNCTION("""COMPUTED_VALUE"""),"Excellent")</f>
        <v>Excellent</v>
      </c>
      <c r="AB3212" t="str">
        <f>IFERROR(__xludf.DUMMYFUNCTION("""COMPUTED_VALUE"""),"Excellent")</f>
        <v>Excellent</v>
      </c>
      <c r="AH3212" s="189">
        <f>IFERROR(__xludf.DUMMYFUNCTION("""COMPUTED_VALUE"""),44425.49832493055)</f>
        <v>44425.49832</v>
      </c>
    </row>
    <row r="3213">
      <c r="A3213" t="str">
        <f>IFERROR(__xludf.DUMMYFUNCTION("""COMPUTED_VALUE"""),"Midlifecrisis5")</f>
        <v>Midlifecrisis5</v>
      </c>
      <c r="B3213" t="str">
        <f>IFERROR(__xludf.DUMMYFUNCTION("""COMPUTED_VALUE"""),"Chapel Hill ")</f>
        <v>Chapel Hill </v>
      </c>
      <c r="C3213" t="str">
        <f>IFERROR(__xludf.DUMMYFUNCTION("""COMPUTED_VALUE"""),"NC")</f>
        <v>NC</v>
      </c>
      <c r="D3213" t="str">
        <f>IFERROR(__xludf.DUMMYFUNCTION("""COMPUTED_VALUE"""),"USA")</f>
        <v>USA</v>
      </c>
      <c r="E3213" s="188">
        <f>IFERROR(__xludf.DUMMYFUNCTION("""COMPUTED_VALUE"""),44359.0)</f>
        <v>44359</v>
      </c>
      <c r="F3213" s="188">
        <f>IFERROR(__xludf.DUMMYFUNCTION("""COMPUTED_VALUE"""),44391.0)</f>
        <v>44391</v>
      </c>
      <c r="G3213" t="str">
        <f>IFERROR(__xludf.DUMMYFUNCTION("""COMPUTED_VALUE"""),"Manage order page (normal text)")</f>
        <v>Manage order page (normal text)</v>
      </c>
      <c r="H3213">
        <f>IFERROR(__xludf.DUMMYFUNCTION("""COMPUTED_VALUE"""),15355.0)</f>
        <v>15355</v>
      </c>
      <c r="J3213" s="188">
        <f>IFERROR(__xludf.DUMMYFUNCTION("""COMPUTED_VALUE"""),44405.0)</f>
        <v>44405</v>
      </c>
      <c r="K3213">
        <f>IFERROR(__xludf.DUMMYFUNCTION("""COMPUTED_VALUE"""),32.0)</f>
        <v>32</v>
      </c>
      <c r="L3213">
        <f>IFERROR(__xludf.DUMMYFUNCTION("""COMPUTED_VALUE"""),14.0)</f>
        <v>14</v>
      </c>
      <c r="M3213">
        <f>IFERROR(__xludf.DUMMYFUNCTION("""COMPUTED_VALUE"""),46.0)</f>
        <v>46</v>
      </c>
      <c r="N3213" t="str">
        <f>IFERROR(__xludf.DUMMYFUNCTION("""COMPUTED_VALUE"""),"Model 3 LR AWD")</f>
        <v>Model 3 LR AWD</v>
      </c>
      <c r="O3213" t="str">
        <f>IFERROR(__xludf.DUMMYFUNCTION("""COMPUTED_VALUE"""),"Deep Blue Metallic")</f>
        <v>Deep Blue Metallic</v>
      </c>
      <c r="P3213" t="str">
        <f>IFERROR(__xludf.DUMMYFUNCTION("""COMPUTED_VALUE"""),"19 inch")</f>
        <v>19 inch</v>
      </c>
      <c r="Q3213" t="str">
        <f>IFERROR(__xludf.DUMMYFUNCTION("""COMPUTED_VALUE"""),"All Black")</f>
        <v>All Black</v>
      </c>
      <c r="R3213" t="str">
        <f>IFERROR(__xludf.DUMMYFUNCTION("""COMPUTED_VALUE"""),"Autopilot included")</f>
        <v>Autopilot included</v>
      </c>
      <c r="S3213" t="str">
        <f>IFERROR(__xludf.DUMMYFUNCTION("""COMPUTED_VALUE"""),"Cash")</f>
        <v>Cash</v>
      </c>
      <c r="T3213" t="str">
        <f>IFERROR(__xludf.DUMMYFUNCTION("""COMPUTED_VALUE"""),"Infiniti M35")</f>
        <v>Infiniti M35</v>
      </c>
      <c r="U3213" t="str">
        <f>IFERROR(__xludf.DUMMYFUNCTION("""COMPUTED_VALUE"""),"Electric!")</f>
        <v>Electric!</v>
      </c>
      <c r="V3213" t="str">
        <f>IFERROR(__xludf.DUMMYFUNCTION("""COMPUTED_VALUE"""),"Apple CarPlay / Android Auto / SiriusXM Radio")</f>
        <v>Apple CarPlay / Android Auto / SiriusXM Radio</v>
      </c>
      <c r="X3213" t="str">
        <f>IFERROR(__xludf.DUMMYFUNCTION("""COMPUTED_VALUE"""),"Excellent")</f>
        <v>Excellent</v>
      </c>
      <c r="Y3213" t="str">
        <f>IFERROR(__xludf.DUMMYFUNCTION("""COMPUTED_VALUE"""),"Excellent")</f>
        <v>Excellent</v>
      </c>
      <c r="Z3213" t="str">
        <f>IFERROR(__xludf.DUMMYFUNCTION("""COMPUTED_VALUE"""),"Excellent")</f>
        <v>Excellent</v>
      </c>
      <c r="AA3213" t="str">
        <f>IFERROR(__xludf.DUMMYFUNCTION("""COMPUTED_VALUE"""),"Very Good")</f>
        <v>Very Good</v>
      </c>
      <c r="AB3213" t="str">
        <f>IFERROR(__xludf.DUMMYFUNCTION("""COMPUTED_VALUE"""),"Excellent")</f>
        <v>Excellent</v>
      </c>
      <c r="AC3213">
        <f>IFERROR(__xludf.DUMMYFUNCTION("""COMPUTED_VALUE"""),0.0)</f>
        <v>0</v>
      </c>
      <c r="AF3213" t="str">
        <f>IFERROR(__xludf.DUMMYFUNCTION("""COMPUTED_VALUE"""),"No. I took delivery of the first car Tesla was able to deliver.")</f>
        <v>No. I took delivery of the first car Tesla was able to deliver.</v>
      </c>
      <c r="AH3213" s="189">
        <f>IFERROR(__xludf.DUMMYFUNCTION("""COMPUTED_VALUE"""),44406.46155709491)</f>
        <v>44406.46156</v>
      </c>
    </row>
    <row r="3214">
      <c r="A3214" t="str">
        <f>IFERROR(__xludf.DUMMYFUNCTION("""COMPUTED_VALUE"""),"hsinclair")</f>
        <v>hsinclair</v>
      </c>
      <c r="B3214" t="str">
        <f>IFERROR(__xludf.DUMMYFUNCTION("""COMPUTED_VALUE"""),"Memphis")</f>
        <v>Memphis</v>
      </c>
      <c r="C3214" t="str">
        <f>IFERROR(__xludf.DUMMYFUNCTION("""COMPUTED_VALUE"""),"TN")</f>
        <v>TN</v>
      </c>
      <c r="D3214" t="str">
        <f>IFERROR(__xludf.DUMMYFUNCTION("""COMPUTED_VALUE"""),"USA")</f>
        <v>USA</v>
      </c>
      <c r="E3214" s="188">
        <f>IFERROR(__xludf.DUMMYFUNCTION("""COMPUTED_VALUE"""),44385.0)</f>
        <v>44385</v>
      </c>
      <c r="F3214" s="188">
        <f>IFERROR(__xludf.DUMMYFUNCTION("""COMPUTED_VALUE"""),44426.0)</f>
        <v>44426</v>
      </c>
      <c r="G3214" t="str">
        <f>IFERROR(__xludf.DUMMYFUNCTION("""COMPUTED_VALUE"""),"Email")</f>
        <v>Email</v>
      </c>
      <c r="H3214">
        <f>IFERROR(__xludf.DUMMYFUNCTION("""COMPUTED_VALUE"""),46255.0)</f>
        <v>46255</v>
      </c>
      <c r="I3214" t="str">
        <f>IFERROR(__xludf.DUMMYFUNCTION("""COMPUTED_VALUE"""),"08/21")</f>
        <v>08/21</v>
      </c>
      <c r="J3214" s="188">
        <f>IFERROR(__xludf.DUMMYFUNCTION("""COMPUTED_VALUE"""),44444.0)</f>
        <v>44444</v>
      </c>
      <c r="K3214">
        <f>IFERROR(__xludf.DUMMYFUNCTION("""COMPUTED_VALUE"""),41.0)</f>
        <v>41</v>
      </c>
      <c r="L3214">
        <f>IFERROR(__xludf.DUMMYFUNCTION("""COMPUTED_VALUE"""),18.0)</f>
        <v>18</v>
      </c>
      <c r="M3214">
        <f>IFERROR(__xludf.DUMMYFUNCTION("""COMPUTED_VALUE"""),59.0)</f>
        <v>59</v>
      </c>
      <c r="N3214" t="str">
        <f>IFERROR(__xludf.DUMMYFUNCTION("""COMPUTED_VALUE"""),"Model 3 LR AWD")</f>
        <v>Model 3 LR AWD</v>
      </c>
      <c r="O3214" t="str">
        <f>IFERROR(__xludf.DUMMYFUNCTION("""COMPUTED_VALUE"""),"Midnight Silver Metallic")</f>
        <v>Midnight Silver Metallic</v>
      </c>
      <c r="P3214" t="str">
        <f>IFERROR(__xludf.DUMMYFUNCTION("""COMPUTED_VALUE"""),"18 inch")</f>
        <v>18 inch</v>
      </c>
      <c r="Q3214" t="str">
        <f>IFERROR(__xludf.DUMMYFUNCTION("""COMPUTED_VALUE"""),"All Black")</f>
        <v>All Black</v>
      </c>
      <c r="R3214" t="str">
        <f>IFERROR(__xludf.DUMMYFUNCTION("""COMPUTED_VALUE"""),"Full Self-Driving")</f>
        <v>Full Self-Driving</v>
      </c>
      <c r="S3214" t="str">
        <f>IFERROR(__xludf.DUMMYFUNCTION("""COMPUTED_VALUE"""),"Loan")</f>
        <v>Loan</v>
      </c>
      <c r="T3214" t="str">
        <f>IFERROR(__xludf.DUMMYFUNCTION("""COMPUTED_VALUE"""),"Ford C-Max Hybrid")</f>
        <v>Ford C-Max Hybrid</v>
      </c>
      <c r="U3214" t="str">
        <f>IFERROR(__xludf.DUMMYFUNCTION("""COMPUTED_VALUE"""),"Autopilot")</f>
        <v>Autopilot</v>
      </c>
      <c r="V3214" t="str">
        <f>IFERROR(__xludf.DUMMYFUNCTION("""COMPUTED_VALUE"""),"Air suspension")</f>
        <v>Air suspension</v>
      </c>
      <c r="X3214" t="str">
        <f>IFERROR(__xludf.DUMMYFUNCTION("""COMPUTED_VALUE"""),"Excellent")</f>
        <v>Excellent</v>
      </c>
      <c r="Y3214" t="str">
        <f>IFERROR(__xludf.DUMMYFUNCTION("""COMPUTED_VALUE"""),"Excellent")</f>
        <v>Excellent</v>
      </c>
      <c r="Z3214" t="str">
        <f>IFERROR(__xludf.DUMMYFUNCTION("""COMPUTED_VALUE"""),"Excellent")</f>
        <v>Excellent</v>
      </c>
      <c r="AA3214" t="str">
        <f>IFERROR(__xludf.DUMMYFUNCTION("""COMPUTED_VALUE"""),"Excellent")</f>
        <v>Excellent</v>
      </c>
      <c r="AB3214" t="str">
        <f>IFERROR(__xludf.DUMMYFUNCTION("""COMPUTED_VALUE"""),"Very Good")</f>
        <v>Very Good</v>
      </c>
      <c r="AC3214">
        <f>IFERROR(__xludf.DUMMYFUNCTION("""COMPUTED_VALUE"""),0.0)</f>
        <v>0</v>
      </c>
      <c r="AE3214">
        <f>IFERROR(__xludf.DUMMYFUNCTION("""COMPUTED_VALUE"""),0.0)</f>
        <v>0</v>
      </c>
      <c r="AF3214" t="str">
        <f>IFERROR(__xludf.DUMMYFUNCTION("""COMPUTED_VALUE"""),"No. I took delivery of the first car Tesla was able to deliver.")</f>
        <v>No. I took delivery of the first car Tesla was able to deliver.</v>
      </c>
      <c r="AH3214" s="189">
        <f>IFERROR(__xludf.DUMMYFUNCTION("""COMPUTED_VALUE"""),44450.639449953705)</f>
        <v>44450.63945</v>
      </c>
    </row>
    <row r="3215">
      <c r="A3215" t="str">
        <f>IFERROR(__xludf.DUMMYFUNCTION("""COMPUTED_VALUE"""),"Euphrates")</f>
        <v>Euphrates</v>
      </c>
      <c r="B3215" t="str">
        <f>IFERROR(__xludf.DUMMYFUNCTION("""COMPUTED_VALUE"""),"Manassas")</f>
        <v>Manassas</v>
      </c>
      <c r="C3215" t="str">
        <f>IFERROR(__xludf.DUMMYFUNCTION("""COMPUTED_VALUE"""),"VA")</f>
        <v>VA</v>
      </c>
      <c r="D3215" t="str">
        <f>IFERROR(__xludf.DUMMYFUNCTION("""COMPUTED_VALUE"""),"USA")</f>
        <v>USA</v>
      </c>
      <c r="E3215" s="188">
        <f>IFERROR(__xludf.DUMMYFUNCTION("""COMPUTED_VALUE"""),44387.0)</f>
        <v>44387</v>
      </c>
      <c r="F3215" s="188">
        <f>IFERROR(__xludf.DUMMYFUNCTION("""COMPUTED_VALUE"""),44428.0)</f>
        <v>44428</v>
      </c>
      <c r="G3215" t="str">
        <f>IFERROR(__xludf.DUMMYFUNCTION("""COMPUTED_VALUE"""),"Manage order page (normal text)")</f>
        <v>Manage order page (normal text)</v>
      </c>
      <c r="J3215" s="188">
        <f>IFERROR(__xludf.DUMMYFUNCTION("""COMPUTED_VALUE"""),44434.0)</f>
        <v>44434</v>
      </c>
      <c r="K3215">
        <f>IFERROR(__xludf.DUMMYFUNCTION("""COMPUTED_VALUE"""),41.0)</f>
        <v>41</v>
      </c>
      <c r="L3215">
        <f>IFERROR(__xludf.DUMMYFUNCTION("""COMPUTED_VALUE"""),6.0)</f>
        <v>6</v>
      </c>
      <c r="M3215">
        <f>IFERROR(__xludf.DUMMYFUNCTION("""COMPUTED_VALUE"""),47.0)</f>
        <v>47</v>
      </c>
      <c r="N3215" t="str">
        <f>IFERROR(__xludf.DUMMYFUNCTION("""COMPUTED_VALUE"""),"Model 3 LR AWD")</f>
        <v>Model 3 LR AWD</v>
      </c>
      <c r="O3215" t="str">
        <f>IFERROR(__xludf.DUMMYFUNCTION("""COMPUTED_VALUE"""),"Solid Black")</f>
        <v>Solid Black</v>
      </c>
      <c r="P3215" t="str">
        <f>IFERROR(__xludf.DUMMYFUNCTION("""COMPUTED_VALUE"""),"18 inch")</f>
        <v>18 inch</v>
      </c>
      <c r="Q3215" t="str">
        <f>IFERROR(__xludf.DUMMYFUNCTION("""COMPUTED_VALUE"""),"Black and White")</f>
        <v>Black and White</v>
      </c>
      <c r="R3215" t="str">
        <f>IFERROR(__xludf.DUMMYFUNCTION("""COMPUTED_VALUE"""),"Autopilot included")</f>
        <v>Autopilot included</v>
      </c>
      <c r="S3215" t="str">
        <f>IFERROR(__xludf.DUMMYFUNCTION("""COMPUTED_VALUE"""),"Loan")</f>
        <v>Loan</v>
      </c>
      <c r="T3215" t="str">
        <f>IFERROR(__xludf.DUMMYFUNCTION("""COMPUTED_VALUE"""),"Kia Forte")</f>
        <v>Kia Forte</v>
      </c>
      <c r="U3215" t="str">
        <f>IFERROR(__xludf.DUMMYFUNCTION("""COMPUTED_VALUE"""),"Electric!")</f>
        <v>Electric!</v>
      </c>
      <c r="V3215" t="str">
        <f>IFERROR(__xludf.DUMMYFUNCTION("""COMPUTED_VALUE"""),"Ventilated seats")</f>
        <v>Ventilated seats</v>
      </c>
      <c r="AH3215" s="189">
        <f>IFERROR(__xludf.DUMMYFUNCTION("""COMPUTED_VALUE"""),44439.32931674768)</f>
        <v>44439.32932</v>
      </c>
    </row>
    <row r="3216">
      <c r="A3216" t="str">
        <f>IFERROR(__xludf.DUMMYFUNCTION("""COMPUTED_VALUE"""),"calitezzie")</f>
        <v>calitezzie</v>
      </c>
      <c r="B3216" t="str">
        <f>IFERROR(__xludf.DUMMYFUNCTION("""COMPUTED_VALUE"""),"Los Angeles")</f>
        <v>Los Angeles</v>
      </c>
      <c r="C3216" t="str">
        <f>IFERROR(__xludf.DUMMYFUNCTION("""COMPUTED_VALUE"""),"CA")</f>
        <v>CA</v>
      </c>
      <c r="D3216" t="str">
        <f>IFERROR(__xludf.DUMMYFUNCTION("""COMPUTED_VALUE"""),"USA")</f>
        <v>USA</v>
      </c>
      <c r="E3216" s="188">
        <f>IFERROR(__xludf.DUMMYFUNCTION("""COMPUTED_VALUE"""),44372.0)</f>
        <v>44372</v>
      </c>
      <c r="F3216" s="188">
        <f>IFERROR(__xludf.DUMMYFUNCTION("""COMPUTED_VALUE"""),44420.0)</f>
        <v>44420</v>
      </c>
      <c r="G3216" t="str">
        <f>IFERROR(__xludf.DUMMYFUNCTION("""COMPUTED_VALUE"""),"Manage order page (normal text)")</f>
        <v>Manage order page (normal text)</v>
      </c>
      <c r="K3216">
        <f>IFERROR(__xludf.DUMMYFUNCTION("""COMPUTED_VALUE"""),48.0)</f>
        <v>48</v>
      </c>
      <c r="N3216" t="str">
        <f>IFERROR(__xludf.DUMMYFUNCTION("""COMPUTED_VALUE"""),"Model 3 LR AWD")</f>
        <v>Model 3 LR AWD</v>
      </c>
      <c r="O3216" t="str">
        <f>IFERROR(__xludf.DUMMYFUNCTION("""COMPUTED_VALUE"""),"Pearl White Multi-Coat")</f>
        <v>Pearl White Multi-Coat</v>
      </c>
      <c r="P3216" t="str">
        <f>IFERROR(__xludf.DUMMYFUNCTION("""COMPUTED_VALUE"""),"18 inch")</f>
        <v>18 inch</v>
      </c>
      <c r="Q3216" t="str">
        <f>IFERROR(__xludf.DUMMYFUNCTION("""COMPUTED_VALUE"""),"All Black")</f>
        <v>All Black</v>
      </c>
      <c r="R3216" t="str">
        <f>IFERROR(__xludf.DUMMYFUNCTION("""COMPUTED_VALUE"""),"Autopilot included")</f>
        <v>Autopilot included</v>
      </c>
      <c r="S3216" t="str">
        <f>IFERROR(__xludf.DUMMYFUNCTION("""COMPUTED_VALUE"""),"Loan")</f>
        <v>Loan</v>
      </c>
      <c r="T3216" t="str">
        <f>IFERROR(__xludf.DUMMYFUNCTION("""COMPUTED_VALUE"""),"Model 3 will be my first car!")</f>
        <v>Model 3 will be my first car!</v>
      </c>
      <c r="U3216" t="str">
        <f>IFERROR(__xludf.DUMMYFUNCTION("""COMPUTED_VALUE"""),"Electric!")</f>
        <v>Electric!</v>
      </c>
      <c r="V3216" t="str">
        <f>IFERROR(__xludf.DUMMYFUNCTION("""COMPUTED_VALUE"""),"Blind spot indicators on side mirrors")</f>
        <v>Blind spot indicators on side mirrors</v>
      </c>
      <c r="AH3216" s="189">
        <f>IFERROR(__xludf.DUMMYFUNCTION("""COMPUTED_VALUE"""),44421.34509826389)</f>
        <v>44421.3451</v>
      </c>
    </row>
    <row r="3217">
      <c r="A3217" t="str">
        <f>IFERROR(__xludf.DUMMYFUNCTION("""COMPUTED_VALUE"""),"hassanTesla")</f>
        <v>hassanTesla</v>
      </c>
      <c r="B3217" t="str">
        <f>IFERROR(__xludf.DUMMYFUNCTION("""COMPUTED_VALUE"""),"West Vancouver")</f>
        <v>West Vancouver</v>
      </c>
      <c r="C3217" t="str">
        <f>IFERROR(__xludf.DUMMYFUNCTION("""COMPUTED_VALUE"""),"BC")</f>
        <v>BC</v>
      </c>
      <c r="D3217" t="str">
        <f>IFERROR(__xludf.DUMMYFUNCTION("""COMPUTED_VALUE"""),"Canada")</f>
        <v>Canada</v>
      </c>
      <c r="E3217" s="188">
        <f>IFERROR(__xludf.DUMMYFUNCTION("""COMPUTED_VALUE"""),44404.0)</f>
        <v>44404</v>
      </c>
      <c r="F3217" s="188">
        <f>IFERROR(__xludf.DUMMYFUNCTION("""COMPUTED_VALUE"""),44487.0)</f>
        <v>44487</v>
      </c>
      <c r="G3217" t="str">
        <f>IFERROR(__xludf.DUMMYFUNCTION("""COMPUTED_VALUE"""),"Manage order page (normal text)")</f>
        <v>Manage order page (normal text)</v>
      </c>
      <c r="H3217">
        <f>IFERROR(__xludf.DUMMYFUNCTION("""COMPUTED_VALUE"""),89055.0)</f>
        <v>89055</v>
      </c>
      <c r="J3217" s="188">
        <f>IFERROR(__xludf.DUMMYFUNCTION("""COMPUTED_VALUE"""),44490.0)</f>
        <v>44490</v>
      </c>
      <c r="K3217">
        <f>IFERROR(__xludf.DUMMYFUNCTION("""COMPUTED_VALUE"""),83.0)</f>
        <v>83</v>
      </c>
      <c r="L3217">
        <f>IFERROR(__xludf.DUMMYFUNCTION("""COMPUTED_VALUE"""),3.0)</f>
        <v>3</v>
      </c>
      <c r="M3217">
        <f>IFERROR(__xludf.DUMMYFUNCTION("""COMPUTED_VALUE"""),86.0)</f>
        <v>86</v>
      </c>
      <c r="N3217" t="str">
        <f>IFERROR(__xludf.DUMMYFUNCTION("""COMPUTED_VALUE"""),"Model 3 SR+")</f>
        <v>Model 3 SR+</v>
      </c>
      <c r="O3217" t="str">
        <f>IFERROR(__xludf.DUMMYFUNCTION("""COMPUTED_VALUE"""),"Midnight Silver Metallic")</f>
        <v>Midnight Silver Metallic</v>
      </c>
      <c r="P3217" t="str">
        <f>IFERROR(__xludf.DUMMYFUNCTION("""COMPUTED_VALUE"""),"18 inch")</f>
        <v>18 inch</v>
      </c>
      <c r="Q3217" t="str">
        <f>IFERROR(__xludf.DUMMYFUNCTION("""COMPUTED_VALUE"""),"All Black")</f>
        <v>All Black</v>
      </c>
      <c r="R3217" t="str">
        <f>IFERROR(__xludf.DUMMYFUNCTION("""COMPUTED_VALUE"""),"Autopilot included")</f>
        <v>Autopilot included</v>
      </c>
      <c r="S3217" t="str">
        <f>IFERROR(__xludf.DUMMYFUNCTION("""COMPUTED_VALUE"""),"Lease")</f>
        <v>Lease</v>
      </c>
      <c r="T3217" t="str">
        <f>IFERROR(__xludf.DUMMYFUNCTION("""COMPUTED_VALUE"""),"Audi S4")</f>
        <v>Audi S4</v>
      </c>
      <c r="U3217" t="str">
        <f>IFERROR(__xludf.DUMMYFUNCTION("""COMPUTED_VALUE"""),"Autopilot")</f>
        <v>Autopilot</v>
      </c>
      <c r="V3217" t="str">
        <f>IFERROR(__xludf.DUMMYFUNCTION("""COMPUTED_VALUE"""),"Apple CarPlay / Android Auto / SiriusXM Radio")</f>
        <v>Apple CarPlay / Android Auto / SiriusXM Radio</v>
      </c>
      <c r="AH3217" s="189">
        <f>IFERROR(__xludf.DUMMYFUNCTION("""COMPUTED_VALUE"""),44487.36997788194)</f>
        <v>44487.36998</v>
      </c>
    </row>
    <row r="3218">
      <c r="A3218" t="str">
        <f>IFERROR(__xludf.DUMMYFUNCTION("""COMPUTED_VALUE"""),"PartyBoy")</f>
        <v>PartyBoy</v>
      </c>
      <c r="C3218" t="str">
        <f>IFERROR(__xludf.DUMMYFUNCTION("""COMPUTED_VALUE"""),"WA")</f>
        <v>WA</v>
      </c>
      <c r="D3218" t="str">
        <f>IFERROR(__xludf.DUMMYFUNCTION("""COMPUTED_VALUE"""),"USA")</f>
        <v>USA</v>
      </c>
      <c r="E3218" s="188">
        <f>IFERROR(__xludf.DUMMYFUNCTION("""COMPUTED_VALUE"""),44384.0)</f>
        <v>44384</v>
      </c>
      <c r="F3218" s="188">
        <f>IFERROR(__xludf.DUMMYFUNCTION("""COMPUTED_VALUE"""),44418.0)</f>
        <v>44418</v>
      </c>
      <c r="G3218" t="str">
        <f>IFERROR(__xludf.DUMMYFUNCTION("""COMPUTED_VALUE"""),"Manage order page (normal text)")</f>
        <v>Manage order page (normal text)</v>
      </c>
      <c r="H3218">
        <f>IFERROR(__xludf.DUMMYFUNCTION("""COMPUTED_VALUE"""),36255.0)</f>
        <v>36255</v>
      </c>
      <c r="J3218" s="188">
        <f>IFERROR(__xludf.DUMMYFUNCTION("""COMPUTED_VALUE"""),44421.0)</f>
        <v>44421</v>
      </c>
      <c r="K3218">
        <f>IFERROR(__xludf.DUMMYFUNCTION("""COMPUTED_VALUE"""),34.0)</f>
        <v>34</v>
      </c>
      <c r="L3218">
        <f>IFERROR(__xludf.DUMMYFUNCTION("""COMPUTED_VALUE"""),3.0)</f>
        <v>3</v>
      </c>
      <c r="M3218">
        <f>IFERROR(__xludf.DUMMYFUNCTION("""COMPUTED_VALUE"""),37.0)</f>
        <v>37</v>
      </c>
      <c r="N3218" t="str">
        <f>IFERROR(__xludf.DUMMYFUNCTION("""COMPUTED_VALUE"""),"Model 3 Performance")</f>
        <v>Model 3 Performance</v>
      </c>
      <c r="O3218" t="str">
        <f>IFERROR(__xludf.DUMMYFUNCTION("""COMPUTED_VALUE"""),"Red Multi-Coat")</f>
        <v>Red Multi-Coat</v>
      </c>
      <c r="P3218" t="str">
        <f>IFERROR(__xludf.DUMMYFUNCTION("""COMPUTED_VALUE"""),"20 inch")</f>
        <v>20 inch</v>
      </c>
      <c r="Q3218" t="str">
        <f>IFERROR(__xludf.DUMMYFUNCTION("""COMPUTED_VALUE"""),"All Black")</f>
        <v>All Black</v>
      </c>
      <c r="R3218" t="str">
        <f>IFERROR(__xludf.DUMMYFUNCTION("""COMPUTED_VALUE"""),"Autopilot included")</f>
        <v>Autopilot included</v>
      </c>
      <c r="S3218" t="str">
        <f>IFERROR(__xludf.DUMMYFUNCTION("""COMPUTED_VALUE"""),"Cash")</f>
        <v>Cash</v>
      </c>
      <c r="T3218" t="str">
        <f>IFERROR(__xludf.DUMMYFUNCTION("""COMPUTED_VALUE"""),"Honda Accord")</f>
        <v>Honda Accord</v>
      </c>
      <c r="U3218" t="str">
        <f>IFERROR(__xludf.DUMMYFUNCTION("""COMPUTED_VALUE"""),"Electric!")</f>
        <v>Electric!</v>
      </c>
      <c r="V3218" t="str">
        <f>IFERROR(__xludf.DUMMYFUNCTION("""COMPUTED_VALUE"""),"Head-up display")</f>
        <v>Head-up display</v>
      </c>
      <c r="AH3218" s="189">
        <f>IFERROR(__xludf.DUMMYFUNCTION("""COMPUTED_VALUE"""),44420.88824422454)</f>
        <v>44420.88824</v>
      </c>
    </row>
    <row r="3219">
      <c r="A3219" t="str">
        <f>IFERROR(__xludf.DUMMYFUNCTION("""COMPUTED_VALUE"""),"Girth19")</f>
        <v>Girth19</v>
      </c>
      <c r="C3219" t="str">
        <f>IFERROR(__xludf.DUMMYFUNCTION("""COMPUTED_VALUE"""),"GA")</f>
        <v>GA</v>
      </c>
      <c r="D3219" t="str">
        <f>IFERROR(__xludf.DUMMYFUNCTION("""COMPUTED_VALUE"""),"USA")</f>
        <v>USA</v>
      </c>
      <c r="E3219" s="188">
        <f>IFERROR(__xludf.DUMMYFUNCTION("""COMPUTED_VALUE"""),44387.0)</f>
        <v>44387</v>
      </c>
      <c r="F3219" s="188">
        <f>IFERROR(__xludf.DUMMYFUNCTION("""COMPUTED_VALUE"""),44428.0)</f>
        <v>44428</v>
      </c>
      <c r="G3219" t="str">
        <f>IFERROR(__xludf.DUMMYFUNCTION("""COMPUTED_VALUE"""),"Manage order page (normal text)")</f>
        <v>Manage order page (normal text)</v>
      </c>
      <c r="I3219" t="str">
        <f>IFERROR(__xludf.DUMMYFUNCTION("""COMPUTED_VALUE"""),"08/21")</f>
        <v>08/21</v>
      </c>
      <c r="J3219" s="188">
        <f>IFERROR(__xludf.DUMMYFUNCTION("""COMPUTED_VALUE"""),44443.0)</f>
        <v>44443</v>
      </c>
      <c r="K3219">
        <f>IFERROR(__xludf.DUMMYFUNCTION("""COMPUTED_VALUE"""),41.0)</f>
        <v>41</v>
      </c>
      <c r="L3219">
        <f>IFERROR(__xludf.DUMMYFUNCTION("""COMPUTED_VALUE"""),15.0)</f>
        <v>15</v>
      </c>
      <c r="M3219">
        <f>IFERROR(__xludf.DUMMYFUNCTION("""COMPUTED_VALUE"""),56.0)</f>
        <v>56</v>
      </c>
      <c r="N3219" t="str">
        <f>IFERROR(__xludf.DUMMYFUNCTION("""COMPUTED_VALUE"""),"Model 3 LR AWD")</f>
        <v>Model 3 LR AWD</v>
      </c>
      <c r="O3219" t="str">
        <f>IFERROR(__xludf.DUMMYFUNCTION("""COMPUTED_VALUE"""),"Deep Blue Metallic")</f>
        <v>Deep Blue Metallic</v>
      </c>
      <c r="P3219" t="str">
        <f>IFERROR(__xludf.DUMMYFUNCTION("""COMPUTED_VALUE"""),"18 inch")</f>
        <v>18 inch</v>
      </c>
      <c r="Q3219" t="str">
        <f>IFERROR(__xludf.DUMMYFUNCTION("""COMPUTED_VALUE"""),"Black and White")</f>
        <v>Black and White</v>
      </c>
      <c r="R3219" t="str">
        <f>IFERROR(__xludf.DUMMYFUNCTION("""COMPUTED_VALUE"""),"Full Self-Driving")</f>
        <v>Full Self-Driving</v>
      </c>
      <c r="S3219" t="str">
        <f>IFERROR(__xludf.DUMMYFUNCTION("""COMPUTED_VALUE"""),"Loan")</f>
        <v>Loan</v>
      </c>
      <c r="X3219" t="str">
        <f>IFERROR(__xludf.DUMMYFUNCTION("""COMPUTED_VALUE"""),"Very Good")</f>
        <v>Very Good</v>
      </c>
      <c r="Y3219" t="str">
        <f>IFERROR(__xludf.DUMMYFUNCTION("""COMPUTED_VALUE"""),"Excellent")</f>
        <v>Excellent</v>
      </c>
      <c r="Z3219" t="str">
        <f>IFERROR(__xludf.DUMMYFUNCTION("""COMPUTED_VALUE"""),"Excellent")</f>
        <v>Excellent</v>
      </c>
      <c r="AA3219" t="str">
        <f>IFERROR(__xludf.DUMMYFUNCTION("""COMPUTED_VALUE"""),"Very Good")</f>
        <v>Very Good</v>
      </c>
      <c r="AB3219" t="str">
        <f>IFERROR(__xludf.DUMMYFUNCTION("""COMPUTED_VALUE"""),"Very Good")</f>
        <v>Very Good</v>
      </c>
      <c r="AF3219" t="str">
        <f>IFERROR(__xludf.DUMMYFUNCTION("""COMPUTED_VALUE"""),"No. I took delivery of the first car Tesla was able to deliver.")</f>
        <v>No. I took delivery of the first car Tesla was able to deliver.</v>
      </c>
      <c r="AH3219" s="189">
        <f>IFERROR(__xludf.DUMMYFUNCTION("""COMPUTED_VALUE"""),44444.2034615625)</f>
        <v>44444.20346</v>
      </c>
    </row>
    <row r="3220">
      <c r="A3220" t="str">
        <f>IFERROR(__xludf.DUMMYFUNCTION("""COMPUTED_VALUE"""),"kapeman_")</f>
        <v>kapeman_</v>
      </c>
      <c r="C3220" t="str">
        <f>IFERROR(__xludf.DUMMYFUNCTION("""COMPUTED_VALUE"""),"AL")</f>
        <v>AL</v>
      </c>
      <c r="D3220" t="str">
        <f>IFERROR(__xludf.DUMMYFUNCTION("""COMPUTED_VALUE"""),"USA")</f>
        <v>USA</v>
      </c>
      <c r="E3220" s="188">
        <f>IFERROR(__xludf.DUMMYFUNCTION("""COMPUTED_VALUE"""),44346.0)</f>
        <v>44346</v>
      </c>
      <c r="F3220" s="188">
        <f>IFERROR(__xludf.DUMMYFUNCTION("""COMPUTED_VALUE"""),44395.0)</f>
        <v>44395</v>
      </c>
      <c r="G3220" t="str">
        <f>IFERROR(__xludf.DUMMYFUNCTION("""COMPUTED_VALUE"""),"Manage order page (normal text)")</f>
        <v>Manage order page (normal text)</v>
      </c>
      <c r="J3220" s="188">
        <f>IFERROR(__xludf.DUMMYFUNCTION("""COMPUTED_VALUE"""),44413.0)</f>
        <v>44413</v>
      </c>
      <c r="K3220">
        <f>IFERROR(__xludf.DUMMYFUNCTION("""COMPUTED_VALUE"""),49.0)</f>
        <v>49</v>
      </c>
      <c r="L3220">
        <f>IFERROR(__xludf.DUMMYFUNCTION("""COMPUTED_VALUE"""),18.0)</f>
        <v>18</v>
      </c>
      <c r="M3220">
        <f>IFERROR(__xludf.DUMMYFUNCTION("""COMPUTED_VALUE"""),67.0)</f>
        <v>67</v>
      </c>
      <c r="N3220" t="str">
        <f>IFERROR(__xludf.DUMMYFUNCTION("""COMPUTED_VALUE"""),"Model 3 SR+")</f>
        <v>Model 3 SR+</v>
      </c>
      <c r="O3220" t="str">
        <f>IFERROR(__xludf.DUMMYFUNCTION("""COMPUTED_VALUE"""),"Deep Blue Metallic")</f>
        <v>Deep Blue Metallic</v>
      </c>
      <c r="P3220" t="str">
        <f>IFERROR(__xludf.DUMMYFUNCTION("""COMPUTED_VALUE"""),"18 inch")</f>
        <v>18 inch</v>
      </c>
      <c r="Q3220" t="str">
        <f>IFERROR(__xludf.DUMMYFUNCTION("""COMPUTED_VALUE"""),"Black and White")</f>
        <v>Black and White</v>
      </c>
      <c r="R3220" t="str">
        <f>IFERROR(__xludf.DUMMYFUNCTION("""COMPUTED_VALUE"""),"Autopilot included")</f>
        <v>Autopilot included</v>
      </c>
      <c r="S3220" t="str">
        <f>IFERROR(__xludf.DUMMYFUNCTION("""COMPUTED_VALUE"""),"Loan")</f>
        <v>Loan</v>
      </c>
      <c r="T3220" t="str">
        <f>IFERROR(__xludf.DUMMYFUNCTION("""COMPUTED_VALUE"""),"Honda Accord")</f>
        <v>Honda Accord</v>
      </c>
      <c r="U3220" t="str">
        <f>IFERROR(__xludf.DUMMYFUNCTION("""COMPUTED_VALUE"""),"Constant updates to features/functions")</f>
        <v>Constant updates to features/functions</v>
      </c>
      <c r="V3220" t="str">
        <f>IFERROR(__xludf.DUMMYFUNCTION("""COMPUTED_VALUE"""),"Head-up display")</f>
        <v>Head-up display</v>
      </c>
      <c r="AH3220" s="189">
        <f>IFERROR(__xludf.DUMMYFUNCTION("""COMPUTED_VALUE"""),44405.31058976852)</f>
        <v>44405.31059</v>
      </c>
    </row>
    <row r="3221">
      <c r="A3221" t="str">
        <f>IFERROR(__xludf.DUMMYFUNCTION("""COMPUTED_VALUE"""),"Tigz")</f>
        <v>Tigz</v>
      </c>
      <c r="B3221" t="str">
        <f>IFERROR(__xludf.DUMMYFUNCTION("""COMPUTED_VALUE"""),"Brighton")</f>
        <v>Brighton</v>
      </c>
      <c r="D3221" t="str">
        <f>IFERROR(__xludf.DUMMYFUNCTION("""COMPUTED_VALUE"""),"United Kingdom")</f>
        <v>United Kingdom</v>
      </c>
      <c r="E3221" s="188">
        <f>IFERROR(__xludf.DUMMYFUNCTION("""COMPUTED_VALUE"""),44383.0)</f>
        <v>44383</v>
      </c>
      <c r="F3221" s="188">
        <f>IFERROR(__xludf.DUMMYFUNCTION("""COMPUTED_VALUE"""),44428.0)</f>
        <v>44428</v>
      </c>
      <c r="G3221" t="str">
        <f>IFERROR(__xludf.DUMMYFUNCTION("""COMPUTED_VALUE"""),"Source code")</f>
        <v>Source code</v>
      </c>
      <c r="H3221">
        <f>IFERROR(__xludf.DUMMYFUNCTION("""COMPUTED_VALUE"""),329455.0)</f>
        <v>329455</v>
      </c>
      <c r="J3221" s="188">
        <f>IFERROR(__xludf.DUMMYFUNCTION("""COMPUTED_VALUE"""),44461.0)</f>
        <v>44461</v>
      </c>
      <c r="K3221">
        <f>IFERROR(__xludf.DUMMYFUNCTION("""COMPUTED_VALUE"""),45.0)</f>
        <v>45</v>
      </c>
      <c r="L3221">
        <f>IFERROR(__xludf.DUMMYFUNCTION("""COMPUTED_VALUE"""),33.0)</f>
        <v>33</v>
      </c>
      <c r="M3221">
        <f>IFERROR(__xludf.DUMMYFUNCTION("""COMPUTED_VALUE"""),78.0)</f>
        <v>78</v>
      </c>
      <c r="N3221" t="str">
        <f>IFERROR(__xludf.DUMMYFUNCTION("""COMPUTED_VALUE"""),"Model 3 LR AWD")</f>
        <v>Model 3 LR AWD</v>
      </c>
      <c r="O3221" t="str">
        <f>IFERROR(__xludf.DUMMYFUNCTION("""COMPUTED_VALUE"""),"Red Multi-Coat")</f>
        <v>Red Multi-Coat</v>
      </c>
      <c r="P3221" t="str">
        <f>IFERROR(__xludf.DUMMYFUNCTION("""COMPUTED_VALUE"""),"18 inch")</f>
        <v>18 inch</v>
      </c>
      <c r="Q3221" t="str">
        <f>IFERROR(__xludf.DUMMYFUNCTION("""COMPUTED_VALUE"""),"All Black")</f>
        <v>All Black</v>
      </c>
      <c r="R3221" t="str">
        <f>IFERROR(__xludf.DUMMYFUNCTION("""COMPUTED_VALUE"""),"Autopilot included")</f>
        <v>Autopilot included</v>
      </c>
      <c r="S3221" t="str">
        <f>IFERROR(__xludf.DUMMYFUNCTION("""COMPUTED_VALUE"""),"Loan")</f>
        <v>Loan</v>
      </c>
      <c r="T3221" t="str">
        <f>IFERROR(__xludf.DUMMYFUNCTION("""COMPUTED_VALUE"""),"Ford Fiesta")</f>
        <v>Ford Fiesta</v>
      </c>
      <c r="U3221" t="str">
        <f>IFERROR(__xludf.DUMMYFUNCTION("""COMPUTED_VALUE"""),"Electric!")</f>
        <v>Electric!</v>
      </c>
      <c r="V3221" t="str">
        <f>IFERROR(__xludf.DUMMYFUNCTION("""COMPUTED_VALUE"""),"Apple CarPlay / Android Auto / SiriusXM Radio")</f>
        <v>Apple CarPlay / Android Auto / SiriusXM Radio</v>
      </c>
      <c r="AH3221" s="189">
        <f>IFERROR(__xludf.DUMMYFUNCTION("""COMPUTED_VALUE"""),44432.214728645835)</f>
        <v>44432.21473</v>
      </c>
    </row>
    <row r="3222">
      <c r="A3222" t="str">
        <f>IFERROR(__xludf.DUMMYFUNCTION("""COMPUTED_VALUE"""),"PlsHurryUp")</f>
        <v>PlsHurryUp</v>
      </c>
      <c r="B3222" t="str">
        <f>IFERROR(__xludf.DUMMYFUNCTION("""COMPUTED_VALUE"""),"Orlando")</f>
        <v>Orlando</v>
      </c>
      <c r="C3222" t="str">
        <f>IFERROR(__xludf.DUMMYFUNCTION("""COMPUTED_VALUE"""),"FL")</f>
        <v>FL</v>
      </c>
      <c r="D3222" t="str">
        <f>IFERROR(__xludf.DUMMYFUNCTION("""COMPUTED_VALUE"""),"USA")</f>
        <v>USA</v>
      </c>
      <c r="E3222" s="188">
        <f>IFERROR(__xludf.DUMMYFUNCTION("""COMPUTED_VALUE"""),44384.0)</f>
        <v>44384</v>
      </c>
      <c r="F3222" s="188">
        <f>IFERROR(__xludf.DUMMYFUNCTION("""COMPUTED_VALUE"""),44435.0)</f>
        <v>44435</v>
      </c>
      <c r="G3222" t="str">
        <f>IFERROR(__xludf.DUMMYFUNCTION("""COMPUTED_VALUE"""),"Existing Inventory")</f>
        <v>Existing Inventory</v>
      </c>
      <c r="K3222">
        <f>IFERROR(__xludf.DUMMYFUNCTION("""COMPUTED_VALUE"""),51.0)</f>
        <v>51</v>
      </c>
      <c r="N3222" t="str">
        <f>IFERROR(__xludf.DUMMYFUNCTION("""COMPUTED_VALUE"""),"Model 3 SR+")</f>
        <v>Model 3 SR+</v>
      </c>
      <c r="O3222" t="str">
        <f>IFERROR(__xludf.DUMMYFUNCTION("""COMPUTED_VALUE"""),"Pearl White Multi-Coat")</f>
        <v>Pearl White Multi-Coat</v>
      </c>
      <c r="P3222" t="str">
        <f>IFERROR(__xludf.DUMMYFUNCTION("""COMPUTED_VALUE"""),"18 inch")</f>
        <v>18 inch</v>
      </c>
      <c r="Q3222" t="str">
        <f>IFERROR(__xludf.DUMMYFUNCTION("""COMPUTED_VALUE"""),"All Black")</f>
        <v>All Black</v>
      </c>
      <c r="R3222" t="str">
        <f>IFERROR(__xludf.DUMMYFUNCTION("""COMPUTED_VALUE"""),"Autopilot included")</f>
        <v>Autopilot included</v>
      </c>
      <c r="S3222" t="str">
        <f>IFERROR(__xludf.DUMMYFUNCTION("""COMPUTED_VALUE"""),"Loan")</f>
        <v>Loan</v>
      </c>
      <c r="T3222" t="str">
        <f>IFERROR(__xludf.DUMMYFUNCTION("""COMPUTED_VALUE"""),"Honda Civic")</f>
        <v>Honda Civic</v>
      </c>
      <c r="U3222" t="str">
        <f>IFERROR(__xludf.DUMMYFUNCTION("""COMPUTED_VALUE"""),"Electric!")</f>
        <v>Electric!</v>
      </c>
      <c r="V3222" t="str">
        <f>IFERROR(__xludf.DUMMYFUNCTION("""COMPUTED_VALUE"""),"Ventilated seats")</f>
        <v>Ventilated seats</v>
      </c>
      <c r="AH3222" s="189">
        <f>IFERROR(__xludf.DUMMYFUNCTION("""COMPUTED_VALUE"""),44435.949105162035)</f>
        <v>44435.94911</v>
      </c>
    </row>
    <row r="3223">
      <c r="A3223" t="str">
        <f>IFERROR(__xludf.DUMMYFUNCTION("""COMPUTED_VALUE"""),"Caltane")</f>
        <v>Caltane</v>
      </c>
      <c r="B3223" t="str">
        <f>IFERROR(__xludf.DUMMYFUNCTION("""COMPUTED_VALUE"""),"Surrey")</f>
        <v>Surrey</v>
      </c>
      <c r="C3223" t="str">
        <f>IFERROR(__xludf.DUMMYFUNCTION("""COMPUTED_VALUE"""),"BC")</f>
        <v>BC</v>
      </c>
      <c r="D3223" t="str">
        <f>IFERROR(__xludf.DUMMYFUNCTION("""COMPUTED_VALUE"""),"Canada")</f>
        <v>Canada</v>
      </c>
      <c r="E3223" s="188">
        <f>IFERROR(__xludf.DUMMYFUNCTION("""COMPUTED_VALUE"""),44378.0)</f>
        <v>44378</v>
      </c>
      <c r="F3223" s="188">
        <f>IFERROR(__xludf.DUMMYFUNCTION("""COMPUTED_VALUE"""),44431.0)</f>
        <v>44431</v>
      </c>
      <c r="G3223" t="str">
        <f>IFERROR(__xludf.DUMMYFUNCTION("""COMPUTED_VALUE"""),"Source code")</f>
        <v>Source code</v>
      </c>
      <c r="H3223">
        <f>IFERROR(__xludf.DUMMYFUNCTION("""COMPUTED_VALUE"""),45664.0)</f>
        <v>45664</v>
      </c>
      <c r="K3223">
        <f>IFERROR(__xludf.DUMMYFUNCTION("""COMPUTED_VALUE"""),53.0)</f>
        <v>53</v>
      </c>
      <c r="N3223" t="str">
        <f>IFERROR(__xludf.DUMMYFUNCTION("""COMPUTED_VALUE"""),"Model 3 SR+")</f>
        <v>Model 3 SR+</v>
      </c>
      <c r="O3223" t="str">
        <f>IFERROR(__xludf.DUMMYFUNCTION("""COMPUTED_VALUE"""),"Midnight Silver Metallic")</f>
        <v>Midnight Silver Metallic</v>
      </c>
      <c r="P3223" t="str">
        <f>IFERROR(__xludf.DUMMYFUNCTION("""COMPUTED_VALUE"""),"18 inch")</f>
        <v>18 inch</v>
      </c>
      <c r="Q3223" t="str">
        <f>IFERROR(__xludf.DUMMYFUNCTION("""COMPUTED_VALUE"""),"Black and White")</f>
        <v>Black and White</v>
      </c>
      <c r="S3223" t="str">
        <f>IFERROR(__xludf.DUMMYFUNCTION("""COMPUTED_VALUE"""),"Loan")</f>
        <v>Loan</v>
      </c>
      <c r="AH3223" s="189">
        <f>IFERROR(__xludf.DUMMYFUNCTION("""COMPUTED_VALUE"""),44431.8217749537)</f>
        <v>44431.82177</v>
      </c>
    </row>
    <row r="3224">
      <c r="A3224" t="str">
        <f>IFERROR(__xludf.DUMMYFUNCTION("""COMPUTED_VALUE"""),"mikeyg-ev")</f>
        <v>mikeyg-ev</v>
      </c>
      <c r="B3224" t="str">
        <f>IFERROR(__xludf.DUMMYFUNCTION("""COMPUTED_VALUE"""),"London")</f>
        <v>London</v>
      </c>
      <c r="D3224" t="str">
        <f>IFERROR(__xludf.DUMMYFUNCTION("""COMPUTED_VALUE"""),"United Kingdom")</f>
        <v>United Kingdom</v>
      </c>
      <c r="E3224" s="188">
        <f>IFERROR(__xludf.DUMMYFUNCTION("""COMPUTED_VALUE"""),44403.0)</f>
        <v>44403</v>
      </c>
      <c r="F3224" s="188">
        <f>IFERROR(__xludf.DUMMYFUNCTION("""COMPUTED_VALUE"""),44428.0)</f>
        <v>44428</v>
      </c>
      <c r="G3224" t="str">
        <f>IFERROR(__xludf.DUMMYFUNCTION("""COMPUTED_VALUE"""),"Source code")</f>
        <v>Source code</v>
      </c>
      <c r="H3224">
        <f>IFERROR(__xludf.DUMMYFUNCTION("""COMPUTED_VALUE"""),328355.0)</f>
        <v>328355</v>
      </c>
      <c r="J3224" s="188">
        <f>IFERROR(__xludf.DUMMYFUNCTION("""COMPUTED_VALUE"""),44461.0)</f>
        <v>44461</v>
      </c>
      <c r="K3224">
        <f>IFERROR(__xludf.DUMMYFUNCTION("""COMPUTED_VALUE"""),25.0)</f>
        <v>25</v>
      </c>
      <c r="L3224">
        <f>IFERROR(__xludf.DUMMYFUNCTION("""COMPUTED_VALUE"""),33.0)</f>
        <v>33</v>
      </c>
      <c r="M3224">
        <f>IFERROR(__xludf.DUMMYFUNCTION("""COMPUTED_VALUE"""),58.0)</f>
        <v>58</v>
      </c>
      <c r="N3224" t="str">
        <f>IFERROR(__xludf.DUMMYFUNCTION("""COMPUTED_VALUE"""),"Model 3 LR AWD")</f>
        <v>Model 3 LR AWD</v>
      </c>
      <c r="O3224" t="str">
        <f>IFERROR(__xludf.DUMMYFUNCTION("""COMPUTED_VALUE"""),"Deep Blue Metallic")</f>
        <v>Deep Blue Metallic</v>
      </c>
      <c r="P3224" t="str">
        <f>IFERROR(__xludf.DUMMYFUNCTION("""COMPUTED_VALUE"""),"19 inch")</f>
        <v>19 inch</v>
      </c>
      <c r="Q3224" t="str">
        <f>IFERROR(__xludf.DUMMYFUNCTION("""COMPUTED_VALUE"""),"All Black")</f>
        <v>All Black</v>
      </c>
      <c r="R3224" t="str">
        <f>IFERROR(__xludf.DUMMYFUNCTION("""COMPUTED_VALUE"""),"Full Self-Driving")</f>
        <v>Full Self-Driving</v>
      </c>
      <c r="S3224" t="str">
        <f>IFERROR(__xludf.DUMMYFUNCTION("""COMPUTED_VALUE"""),"Lease")</f>
        <v>Lease</v>
      </c>
      <c r="T3224" t="str">
        <f>IFERROR(__xludf.DUMMYFUNCTION("""COMPUTED_VALUE"""),"BMW 3 Series")</f>
        <v>BMW 3 Series</v>
      </c>
      <c r="U3224" t="str">
        <f>IFERROR(__xludf.DUMMYFUNCTION("""COMPUTED_VALUE"""),"Electric!")</f>
        <v>Electric!</v>
      </c>
      <c r="V3224" t="str">
        <f>IFERROR(__xludf.DUMMYFUNCTION("""COMPUTED_VALUE"""),"Apple CarPlay / Android Auto / SiriusXM Radio")</f>
        <v>Apple CarPlay / Android Auto / SiriusXM Radio</v>
      </c>
      <c r="W3224" t="str">
        <f>IFERROR(__xludf.DUMMYFUNCTION("""COMPUTED_VALUE"""),"Ask them not to wash it before delivery as their washing scratches the pain")</f>
        <v>Ask them not to wash it before delivery as their washing scratches the pain</v>
      </c>
      <c r="X3224" t="str">
        <f>IFERROR(__xludf.DUMMYFUNCTION("""COMPUTED_VALUE"""),"Excellent")</f>
        <v>Excellent</v>
      </c>
      <c r="Y3224" t="str">
        <f>IFERROR(__xludf.DUMMYFUNCTION("""COMPUTED_VALUE"""),"Excellent")</f>
        <v>Excellent</v>
      </c>
      <c r="Z3224" t="str">
        <f>IFERROR(__xludf.DUMMYFUNCTION("""COMPUTED_VALUE"""),"Poor")</f>
        <v>Poor</v>
      </c>
      <c r="AA3224" t="str">
        <f>IFERROR(__xludf.DUMMYFUNCTION("""COMPUTED_VALUE"""),"Very Good")</f>
        <v>Very Good</v>
      </c>
      <c r="AB3224" t="str">
        <f>IFERROR(__xludf.DUMMYFUNCTION("""COMPUTED_VALUE"""),"Excellent")</f>
        <v>Excellent</v>
      </c>
      <c r="AC3224">
        <f>IFERROR(__xludf.DUMMYFUNCTION("""COMPUTED_VALUE"""),1.0)</f>
        <v>1</v>
      </c>
      <c r="AD3224">
        <f>IFERROR(__xludf.DUMMYFUNCTION("""COMPUTED_VALUE"""),1.0)</f>
        <v>1</v>
      </c>
      <c r="AE3224">
        <f>IFERROR(__xludf.DUMMYFUNCTION("""COMPUTED_VALUE"""),1.0)</f>
        <v>1</v>
      </c>
      <c r="AF3224" t="str">
        <f>IFERROR(__xludf.DUMMYFUNCTION("""COMPUTED_VALUE"""),"No. I took delivery of the first car Tesla was able to deliver.")</f>
        <v>No. I took delivery of the first car Tesla was able to deliver.</v>
      </c>
      <c r="AH3224" s="189">
        <f>IFERROR(__xludf.DUMMYFUNCTION("""COMPUTED_VALUE"""),44467.06326131945)</f>
        <v>44467.06326</v>
      </c>
    </row>
    <row r="3225">
      <c r="A3225" t="str">
        <f>IFERROR(__xludf.DUMMYFUNCTION("""COMPUTED_VALUE"""),"Huell")</f>
        <v>Huell</v>
      </c>
      <c r="B3225" t="str">
        <f>IFERROR(__xludf.DUMMYFUNCTION("""COMPUTED_VALUE"""),"Chicago")</f>
        <v>Chicago</v>
      </c>
      <c r="C3225" t="str">
        <f>IFERROR(__xludf.DUMMYFUNCTION("""COMPUTED_VALUE"""),"IL")</f>
        <v>IL</v>
      </c>
      <c r="D3225" t="str">
        <f>IFERROR(__xludf.DUMMYFUNCTION("""COMPUTED_VALUE"""),"USA")</f>
        <v>USA</v>
      </c>
      <c r="E3225" s="188">
        <f>IFERROR(__xludf.DUMMYFUNCTION("""COMPUTED_VALUE"""),44366.0)</f>
        <v>44366</v>
      </c>
      <c r="F3225" s="188">
        <f>IFERROR(__xludf.DUMMYFUNCTION("""COMPUTED_VALUE"""),44398.0)</f>
        <v>44398</v>
      </c>
      <c r="G3225" t="str">
        <f>IFERROR(__xludf.DUMMYFUNCTION("""COMPUTED_VALUE"""),"Manage order page (normal text)")</f>
        <v>Manage order page (normal text)</v>
      </c>
      <c r="I3225" t="str">
        <f>IFERROR(__xludf.DUMMYFUNCTION("""COMPUTED_VALUE"""),"06/21")</f>
        <v>06/21</v>
      </c>
      <c r="J3225" s="188">
        <f>IFERROR(__xludf.DUMMYFUNCTION("""COMPUTED_VALUE"""),44405.0)</f>
        <v>44405</v>
      </c>
      <c r="K3225">
        <f>IFERROR(__xludf.DUMMYFUNCTION("""COMPUTED_VALUE"""),32.0)</f>
        <v>32</v>
      </c>
      <c r="L3225">
        <f>IFERROR(__xludf.DUMMYFUNCTION("""COMPUTED_VALUE"""),7.0)</f>
        <v>7</v>
      </c>
      <c r="M3225">
        <f>IFERROR(__xludf.DUMMYFUNCTION("""COMPUTED_VALUE"""),39.0)</f>
        <v>39</v>
      </c>
      <c r="N3225" t="str">
        <f>IFERROR(__xludf.DUMMYFUNCTION("""COMPUTED_VALUE"""),"Model 3 LR AWD")</f>
        <v>Model 3 LR AWD</v>
      </c>
      <c r="O3225" t="str">
        <f>IFERROR(__xludf.DUMMYFUNCTION("""COMPUTED_VALUE"""),"Midnight Silver Metallic")</f>
        <v>Midnight Silver Metallic</v>
      </c>
      <c r="P3225" t="str">
        <f>IFERROR(__xludf.DUMMYFUNCTION("""COMPUTED_VALUE"""),"18 inch")</f>
        <v>18 inch</v>
      </c>
      <c r="Q3225" t="str">
        <f>IFERROR(__xludf.DUMMYFUNCTION("""COMPUTED_VALUE"""),"All Black")</f>
        <v>All Black</v>
      </c>
      <c r="R3225" t="str">
        <f>IFERROR(__xludf.DUMMYFUNCTION("""COMPUTED_VALUE"""),"Autopilot included")</f>
        <v>Autopilot included</v>
      </c>
      <c r="S3225" t="str">
        <f>IFERROR(__xludf.DUMMYFUNCTION("""COMPUTED_VALUE"""),"Loan")</f>
        <v>Loan</v>
      </c>
      <c r="T3225" t="str">
        <f>IFERROR(__xludf.DUMMYFUNCTION("""COMPUTED_VALUE"""),"Jeep Grand Cherokee")</f>
        <v>Jeep Grand Cherokee</v>
      </c>
      <c r="X3225" t="str">
        <f>IFERROR(__xludf.DUMMYFUNCTION("""COMPUTED_VALUE"""),"Excellent")</f>
        <v>Excellent</v>
      </c>
      <c r="Y3225" t="str">
        <f>IFERROR(__xludf.DUMMYFUNCTION("""COMPUTED_VALUE"""),"Excellent")</f>
        <v>Excellent</v>
      </c>
      <c r="Z3225" t="str">
        <f>IFERROR(__xludf.DUMMYFUNCTION("""COMPUTED_VALUE"""),"Excellent")</f>
        <v>Excellent</v>
      </c>
      <c r="AA3225" t="str">
        <f>IFERROR(__xludf.DUMMYFUNCTION("""COMPUTED_VALUE"""),"Very Good")</f>
        <v>Very Good</v>
      </c>
      <c r="AB3225" t="str">
        <f>IFERROR(__xludf.DUMMYFUNCTION("""COMPUTED_VALUE"""),"Excellent")</f>
        <v>Excellent</v>
      </c>
      <c r="AC3225">
        <f>IFERROR(__xludf.DUMMYFUNCTION("""COMPUTED_VALUE"""),0.0)</f>
        <v>0</v>
      </c>
      <c r="AF3225" t="str">
        <f>IFERROR(__xludf.DUMMYFUNCTION("""COMPUTED_VALUE"""),"No. I took delivery of the first car Tesla was able to deliver.")</f>
        <v>No. I took delivery of the first car Tesla was able to deliver.</v>
      </c>
      <c r="AH3225" s="189">
        <f>IFERROR(__xludf.DUMMYFUNCTION("""COMPUTED_VALUE"""),44406.06757009259)</f>
        <v>44406.06757</v>
      </c>
    </row>
    <row r="3226">
      <c r="A3226" t="str">
        <f>IFERROR(__xludf.DUMMYFUNCTION("""COMPUTED_VALUE"""),"alo")</f>
        <v>alo</v>
      </c>
      <c r="B3226" t="str">
        <f>IFERROR(__xludf.DUMMYFUNCTION("""COMPUTED_VALUE"""),"Toronto")</f>
        <v>Toronto</v>
      </c>
      <c r="C3226" t="str">
        <f>IFERROR(__xludf.DUMMYFUNCTION("""COMPUTED_VALUE"""),"ON")</f>
        <v>ON</v>
      </c>
      <c r="D3226" t="str">
        <f>IFERROR(__xludf.DUMMYFUNCTION("""COMPUTED_VALUE"""),"Canada")</f>
        <v>Canada</v>
      </c>
      <c r="E3226" s="188">
        <f>IFERROR(__xludf.DUMMYFUNCTION("""COMPUTED_VALUE"""),44220.0)</f>
        <v>44220</v>
      </c>
      <c r="G3226" t="str">
        <f>IFERROR(__xludf.DUMMYFUNCTION("""COMPUTED_VALUE"""),"Manage order page (normal text)")</f>
        <v>Manage order page (normal text)</v>
      </c>
      <c r="H3226">
        <f>IFERROR(__xludf.DUMMYFUNCTION("""COMPUTED_VALUE"""),918455.0)</f>
        <v>918455</v>
      </c>
      <c r="J3226" s="188">
        <f>IFERROR(__xludf.DUMMYFUNCTION("""COMPUTED_VALUE"""),44275.0)</f>
        <v>44275</v>
      </c>
      <c r="M3226">
        <f>IFERROR(__xludf.DUMMYFUNCTION("""COMPUTED_VALUE"""),55.0)</f>
        <v>55</v>
      </c>
      <c r="N3226" t="str">
        <f>IFERROR(__xludf.DUMMYFUNCTION("""COMPUTED_VALUE"""),"Model 3 SR+")</f>
        <v>Model 3 SR+</v>
      </c>
      <c r="O3226" t="str">
        <f>IFERROR(__xludf.DUMMYFUNCTION("""COMPUTED_VALUE"""),"Midnight Silver Metallic")</f>
        <v>Midnight Silver Metallic</v>
      </c>
      <c r="P3226" t="str">
        <f>IFERROR(__xludf.DUMMYFUNCTION("""COMPUTED_VALUE"""),"18 inch")</f>
        <v>18 inch</v>
      </c>
      <c r="Q3226" t="str">
        <f>IFERROR(__xludf.DUMMYFUNCTION("""COMPUTED_VALUE"""),"All Black")</f>
        <v>All Black</v>
      </c>
      <c r="R3226" t="str">
        <f>IFERROR(__xludf.DUMMYFUNCTION("""COMPUTED_VALUE"""),"Autopilot included")</f>
        <v>Autopilot included</v>
      </c>
      <c r="S3226" t="str">
        <f>IFERROR(__xludf.DUMMYFUNCTION("""COMPUTED_VALUE"""),"Cash")</f>
        <v>Cash</v>
      </c>
      <c r="T3226" t="str">
        <f>IFERROR(__xludf.DUMMYFUNCTION("""COMPUTED_VALUE"""),"Infiniti G37x")</f>
        <v>Infiniti G37x</v>
      </c>
      <c r="U3226" t="str">
        <f>IFERROR(__xludf.DUMMYFUNCTION("""COMPUTED_VALUE"""),"Autopilot")</f>
        <v>Autopilot</v>
      </c>
      <c r="V3226" t="str">
        <f>IFERROR(__xludf.DUMMYFUNCTION("""COMPUTED_VALUE"""),"Blind spot indicators on side mirrors")</f>
        <v>Blind spot indicators on side mirrors</v>
      </c>
      <c r="X3226" t="str">
        <f>IFERROR(__xludf.DUMMYFUNCTION("""COMPUTED_VALUE"""),"Excellent")</f>
        <v>Excellent</v>
      </c>
      <c r="Y3226" t="str">
        <f>IFERROR(__xludf.DUMMYFUNCTION("""COMPUTED_VALUE"""),"Excellent")</f>
        <v>Excellent</v>
      </c>
      <c r="Z3226" t="str">
        <f>IFERROR(__xludf.DUMMYFUNCTION("""COMPUTED_VALUE"""),"Excellent")</f>
        <v>Excellent</v>
      </c>
      <c r="AA3226" t="str">
        <f>IFERROR(__xludf.DUMMYFUNCTION("""COMPUTED_VALUE"""),"Excellent")</f>
        <v>Excellent</v>
      </c>
      <c r="AB3226" t="str">
        <f>IFERROR(__xludf.DUMMYFUNCTION("""COMPUTED_VALUE"""),"Excellent")</f>
        <v>Excellent</v>
      </c>
      <c r="AC3226">
        <f>IFERROR(__xludf.DUMMYFUNCTION("""COMPUTED_VALUE"""),2.0)</f>
        <v>2</v>
      </c>
      <c r="AD3226">
        <f>IFERROR(__xludf.DUMMYFUNCTION("""COMPUTED_VALUE"""),1.0)</f>
        <v>1</v>
      </c>
      <c r="AE3226">
        <f>IFERROR(__xludf.DUMMYFUNCTION("""COMPUTED_VALUE"""),0.0)</f>
        <v>0</v>
      </c>
      <c r="AF3226" t="str">
        <f>IFERROR(__xludf.DUMMYFUNCTION("""COMPUTED_VALUE"""),"No. I took delivery of the first car Tesla was able to deliver.")</f>
        <v>No. I took delivery of the first car Tesla was able to deliver.</v>
      </c>
      <c r="AH3226" s="189">
        <f>IFERROR(__xludf.DUMMYFUNCTION("""COMPUTED_VALUE"""),44406.54759072917)</f>
        <v>44406.54759</v>
      </c>
    </row>
    <row r="3227">
      <c r="A3227" t="str">
        <f>IFERROR(__xludf.DUMMYFUNCTION("""COMPUTED_VALUE"""),"Piffle")</f>
        <v>Piffle</v>
      </c>
      <c r="B3227" t="str">
        <f>IFERROR(__xludf.DUMMYFUNCTION("""COMPUTED_VALUE"""),"Charlotte")</f>
        <v>Charlotte</v>
      </c>
      <c r="C3227" t="str">
        <f>IFERROR(__xludf.DUMMYFUNCTION("""COMPUTED_VALUE"""),"NC")</f>
        <v>NC</v>
      </c>
      <c r="D3227" t="str">
        <f>IFERROR(__xludf.DUMMYFUNCTION("""COMPUTED_VALUE"""),"USA")</f>
        <v>USA</v>
      </c>
      <c r="E3227" s="188">
        <f>IFERROR(__xludf.DUMMYFUNCTION("""COMPUTED_VALUE"""),44326.0)</f>
        <v>44326</v>
      </c>
      <c r="F3227" s="188">
        <f>IFERROR(__xludf.DUMMYFUNCTION("""COMPUTED_VALUE"""),44426.0)</f>
        <v>44426</v>
      </c>
      <c r="G3227" t="str">
        <f>IFERROR(__xludf.DUMMYFUNCTION("""COMPUTED_VALUE"""),"Manage order page (normal text)")</f>
        <v>Manage order page (normal text)</v>
      </c>
      <c r="H3227">
        <f>IFERROR(__xludf.DUMMYFUNCTION("""COMPUTED_VALUE"""),44655.0)</f>
        <v>44655</v>
      </c>
      <c r="I3227" t="str">
        <f>IFERROR(__xludf.DUMMYFUNCTION("""COMPUTED_VALUE"""),"08/21")</f>
        <v>08/21</v>
      </c>
      <c r="J3227" s="188">
        <f>IFERROR(__xludf.DUMMYFUNCTION("""COMPUTED_VALUE"""),44441.0)</f>
        <v>44441</v>
      </c>
      <c r="K3227">
        <f>IFERROR(__xludf.DUMMYFUNCTION("""COMPUTED_VALUE"""),100.0)</f>
        <v>100</v>
      </c>
      <c r="L3227">
        <f>IFERROR(__xludf.DUMMYFUNCTION("""COMPUTED_VALUE"""),15.0)</f>
        <v>15</v>
      </c>
      <c r="M3227">
        <f>IFERROR(__xludf.DUMMYFUNCTION("""COMPUTED_VALUE"""),115.0)</f>
        <v>115</v>
      </c>
      <c r="N3227" t="str">
        <f>IFERROR(__xludf.DUMMYFUNCTION("""COMPUTED_VALUE"""),"Model 3 LR AWD")</f>
        <v>Model 3 LR AWD</v>
      </c>
      <c r="O3227" t="str">
        <f>IFERROR(__xludf.DUMMYFUNCTION("""COMPUTED_VALUE"""),"Pearl White Multi-Coat")</f>
        <v>Pearl White Multi-Coat</v>
      </c>
      <c r="P3227" t="str">
        <f>IFERROR(__xludf.DUMMYFUNCTION("""COMPUTED_VALUE"""),"18 inch")</f>
        <v>18 inch</v>
      </c>
      <c r="Q3227" t="str">
        <f>IFERROR(__xludf.DUMMYFUNCTION("""COMPUTED_VALUE"""),"All Black")</f>
        <v>All Black</v>
      </c>
      <c r="R3227" t="str">
        <f>IFERROR(__xludf.DUMMYFUNCTION("""COMPUTED_VALUE"""),"Autopilot included")</f>
        <v>Autopilot included</v>
      </c>
      <c r="S3227" t="str">
        <f>IFERROR(__xludf.DUMMYFUNCTION("""COMPUTED_VALUE"""),"Loan")</f>
        <v>Loan</v>
      </c>
      <c r="T3227" t="str">
        <f>IFERROR(__xludf.DUMMYFUNCTION("""COMPUTED_VALUE"""),"1500 Silverado")</f>
        <v>1500 Silverado</v>
      </c>
      <c r="U3227" t="str">
        <f>IFERROR(__xludf.DUMMYFUNCTION("""COMPUTED_VALUE"""),"Electric!")</f>
        <v>Electric!</v>
      </c>
      <c r="V3227" t="str">
        <f>IFERROR(__xludf.DUMMYFUNCTION("""COMPUTED_VALUE"""),"Apple CarPlay / Android Auto / SiriusXM Radio")</f>
        <v>Apple CarPlay / Android Auto / SiriusXM Radio</v>
      </c>
      <c r="X3227" t="str">
        <f>IFERROR(__xludf.DUMMYFUNCTION("""COMPUTED_VALUE"""),"Excellent")</f>
        <v>Excellent</v>
      </c>
      <c r="Y3227" t="str">
        <f>IFERROR(__xludf.DUMMYFUNCTION("""COMPUTED_VALUE"""),"Excellent")</f>
        <v>Excellent</v>
      </c>
      <c r="Z3227" t="str">
        <f>IFERROR(__xludf.DUMMYFUNCTION("""COMPUTED_VALUE"""),"Very Good")</f>
        <v>Very Good</v>
      </c>
      <c r="AA3227" t="str">
        <f>IFERROR(__xludf.DUMMYFUNCTION("""COMPUTED_VALUE"""),"Poor")</f>
        <v>Poor</v>
      </c>
      <c r="AB3227" t="str">
        <f>IFERROR(__xludf.DUMMYFUNCTION("""COMPUTED_VALUE"""),"Very Good")</f>
        <v>Very Good</v>
      </c>
      <c r="AC3227">
        <f>IFERROR(__xludf.DUMMYFUNCTION("""COMPUTED_VALUE"""),2.0)</f>
        <v>2</v>
      </c>
      <c r="AF3227" t="str">
        <f>IFERROR(__xludf.DUMMYFUNCTION("""COMPUTED_VALUE"""),"No. I took delivery of the first car Tesla was able to deliver.")</f>
        <v>No. I took delivery of the first car Tesla was able to deliver.</v>
      </c>
      <c r="AH3227" s="189">
        <f>IFERROR(__xludf.DUMMYFUNCTION("""COMPUTED_VALUE"""),44444.808243692125)</f>
        <v>44444.80824</v>
      </c>
    </row>
    <row r="3228">
      <c r="A3228" t="str">
        <f>IFERROR(__xludf.DUMMYFUNCTION("""COMPUTED_VALUE"""),"ExcitedYYC")</f>
        <v>ExcitedYYC</v>
      </c>
      <c r="B3228" t="str">
        <f>IFERROR(__xludf.DUMMYFUNCTION("""COMPUTED_VALUE"""),"Calgary")</f>
        <v>Calgary</v>
      </c>
      <c r="C3228" t="str">
        <f>IFERROR(__xludf.DUMMYFUNCTION("""COMPUTED_VALUE"""),"AB")</f>
        <v>AB</v>
      </c>
      <c r="D3228" t="str">
        <f>IFERROR(__xludf.DUMMYFUNCTION("""COMPUTED_VALUE"""),"Canada")</f>
        <v>Canada</v>
      </c>
      <c r="E3228" s="188">
        <f>IFERROR(__xludf.DUMMYFUNCTION("""COMPUTED_VALUE"""),44366.0)</f>
        <v>44366</v>
      </c>
      <c r="F3228" s="188">
        <f>IFERROR(__xludf.DUMMYFUNCTION("""COMPUTED_VALUE"""),44431.0)</f>
        <v>44431</v>
      </c>
      <c r="G3228" t="str">
        <f>IFERROR(__xludf.DUMMYFUNCTION("""COMPUTED_VALUE"""),"Email")</f>
        <v>Email</v>
      </c>
      <c r="I3228" t="str">
        <f>IFERROR(__xludf.DUMMYFUNCTION("""COMPUTED_VALUE"""),"08/21")</f>
        <v>08/21</v>
      </c>
      <c r="J3228" s="188">
        <f>IFERROR(__xludf.DUMMYFUNCTION("""COMPUTED_VALUE"""),44442.0)</f>
        <v>44442</v>
      </c>
      <c r="K3228">
        <f>IFERROR(__xludf.DUMMYFUNCTION("""COMPUTED_VALUE"""),65.0)</f>
        <v>65</v>
      </c>
      <c r="L3228">
        <f>IFERROR(__xludf.DUMMYFUNCTION("""COMPUTED_VALUE"""),11.0)</f>
        <v>11</v>
      </c>
      <c r="M3228">
        <f>IFERROR(__xludf.DUMMYFUNCTION("""COMPUTED_VALUE"""),76.0)</f>
        <v>76</v>
      </c>
      <c r="N3228" t="str">
        <f>IFERROR(__xludf.DUMMYFUNCTION("""COMPUTED_VALUE"""),"Model 3 SR+")</f>
        <v>Model 3 SR+</v>
      </c>
      <c r="O3228" t="str">
        <f>IFERROR(__xludf.DUMMYFUNCTION("""COMPUTED_VALUE"""),"Pearl White Multi-Coat")</f>
        <v>Pearl White Multi-Coat</v>
      </c>
      <c r="P3228" t="str">
        <f>IFERROR(__xludf.DUMMYFUNCTION("""COMPUTED_VALUE"""),"18 inch")</f>
        <v>18 inch</v>
      </c>
      <c r="Q3228" t="str">
        <f>IFERROR(__xludf.DUMMYFUNCTION("""COMPUTED_VALUE"""),"Black and White")</f>
        <v>Black and White</v>
      </c>
      <c r="R3228" t="str">
        <f>IFERROR(__xludf.DUMMYFUNCTION("""COMPUTED_VALUE"""),"Autopilot included")</f>
        <v>Autopilot included</v>
      </c>
      <c r="S3228" t="str">
        <f>IFERROR(__xludf.DUMMYFUNCTION("""COMPUTED_VALUE"""),"Loan")</f>
        <v>Loan</v>
      </c>
      <c r="T3228" t="str">
        <f>IFERROR(__xludf.DUMMYFUNCTION("""COMPUTED_VALUE"""),"Ford Escape")</f>
        <v>Ford Escape</v>
      </c>
      <c r="U3228" t="str">
        <f>IFERROR(__xludf.DUMMYFUNCTION("""COMPUTED_VALUE"""),"Electric!")</f>
        <v>Electric!</v>
      </c>
      <c r="V3228" t="str">
        <f>IFERROR(__xludf.DUMMYFUNCTION("""COMPUTED_VALUE"""),"Heated steering wheel")</f>
        <v>Heated steering wheel</v>
      </c>
      <c r="X3228" t="str">
        <f>IFERROR(__xludf.DUMMYFUNCTION("""COMPUTED_VALUE"""),"Excellent")</f>
        <v>Excellent</v>
      </c>
      <c r="Y3228" t="str">
        <f>IFERROR(__xludf.DUMMYFUNCTION("""COMPUTED_VALUE"""),"Excellent")</f>
        <v>Excellent</v>
      </c>
      <c r="Z3228" t="str">
        <f>IFERROR(__xludf.DUMMYFUNCTION("""COMPUTED_VALUE"""),"Excellent")</f>
        <v>Excellent</v>
      </c>
      <c r="AA3228" t="str">
        <f>IFERROR(__xludf.DUMMYFUNCTION("""COMPUTED_VALUE"""),"Excellent")</f>
        <v>Excellent</v>
      </c>
      <c r="AB3228" t="str">
        <f>IFERROR(__xludf.DUMMYFUNCTION("""COMPUTED_VALUE"""),"Excellent")</f>
        <v>Excellent</v>
      </c>
      <c r="AC3228">
        <f>IFERROR(__xludf.DUMMYFUNCTION("""COMPUTED_VALUE"""),0.0)</f>
        <v>0</v>
      </c>
      <c r="AF3228" t="str">
        <f>IFERROR(__xludf.DUMMYFUNCTION("""COMPUTED_VALUE"""),"No. I took delivery of the first car Tesla was able to deliver.")</f>
        <v>No. I took delivery of the first car Tesla was able to deliver.</v>
      </c>
      <c r="AH3228" s="189">
        <f>IFERROR(__xludf.DUMMYFUNCTION("""COMPUTED_VALUE"""),44444.90855630787)</f>
        <v>44444.90856</v>
      </c>
    </row>
    <row r="3229">
      <c r="A3229" t="str">
        <f>IFERROR(__xludf.DUMMYFUNCTION("""COMPUTED_VALUE"""),"kp2021")</f>
        <v>kp2021</v>
      </c>
      <c r="B3229" t="str">
        <f>IFERROR(__xludf.DUMMYFUNCTION("""COMPUTED_VALUE"""),"Seattle")</f>
        <v>Seattle</v>
      </c>
      <c r="C3229" t="str">
        <f>IFERROR(__xludf.DUMMYFUNCTION("""COMPUTED_VALUE"""),"WA")</f>
        <v>WA</v>
      </c>
      <c r="D3229" t="str">
        <f>IFERROR(__xludf.DUMMYFUNCTION("""COMPUTED_VALUE"""),"USA")</f>
        <v>USA</v>
      </c>
      <c r="E3229" s="188">
        <f>IFERROR(__xludf.DUMMYFUNCTION("""COMPUTED_VALUE"""),44368.0)</f>
        <v>44368</v>
      </c>
      <c r="F3229" s="188">
        <f>IFERROR(__xludf.DUMMYFUNCTION("""COMPUTED_VALUE"""),44421.0)</f>
        <v>44421</v>
      </c>
      <c r="G3229" t="str">
        <f>IFERROR(__xludf.DUMMYFUNCTION("""COMPUTED_VALUE"""),"Email")</f>
        <v>Email</v>
      </c>
      <c r="H3229">
        <f>IFERROR(__xludf.DUMMYFUNCTION("""COMPUTED_VALUE"""),35755.0)</f>
        <v>35755</v>
      </c>
      <c r="J3229" s="188">
        <f>IFERROR(__xludf.DUMMYFUNCTION("""COMPUTED_VALUE"""),44426.0)</f>
        <v>44426</v>
      </c>
      <c r="K3229">
        <f>IFERROR(__xludf.DUMMYFUNCTION("""COMPUTED_VALUE"""),53.0)</f>
        <v>53</v>
      </c>
      <c r="L3229">
        <f>IFERROR(__xludf.DUMMYFUNCTION("""COMPUTED_VALUE"""),5.0)</f>
        <v>5</v>
      </c>
      <c r="M3229">
        <f>IFERROR(__xludf.DUMMYFUNCTION("""COMPUTED_VALUE"""),58.0)</f>
        <v>58</v>
      </c>
      <c r="N3229" t="str">
        <f>IFERROR(__xludf.DUMMYFUNCTION("""COMPUTED_VALUE"""),"Model 3 LR AWD")</f>
        <v>Model 3 LR AWD</v>
      </c>
      <c r="O3229" t="str">
        <f>IFERROR(__xludf.DUMMYFUNCTION("""COMPUTED_VALUE"""),"Red Multi-Coat")</f>
        <v>Red Multi-Coat</v>
      </c>
      <c r="P3229" t="str">
        <f>IFERROR(__xludf.DUMMYFUNCTION("""COMPUTED_VALUE"""),"18 inch")</f>
        <v>18 inch</v>
      </c>
      <c r="Q3229" t="str">
        <f>IFERROR(__xludf.DUMMYFUNCTION("""COMPUTED_VALUE"""),"Black and White")</f>
        <v>Black and White</v>
      </c>
      <c r="R3229" t="str">
        <f>IFERROR(__xludf.DUMMYFUNCTION("""COMPUTED_VALUE"""),"Autopilot included")</f>
        <v>Autopilot included</v>
      </c>
      <c r="S3229" t="str">
        <f>IFERROR(__xludf.DUMMYFUNCTION("""COMPUTED_VALUE"""),"Loan")</f>
        <v>Loan</v>
      </c>
      <c r="T3229" t="str">
        <f>IFERROR(__xludf.DUMMYFUNCTION("""COMPUTED_VALUE"""),"Tesla Model 3")</f>
        <v>Tesla Model 3</v>
      </c>
      <c r="U3229" t="str">
        <f>IFERROR(__xludf.DUMMYFUNCTION("""COMPUTED_VALUE"""),"Electric!")</f>
        <v>Electric!</v>
      </c>
      <c r="V3229" t="str">
        <f>IFERROR(__xludf.DUMMYFUNCTION("""COMPUTED_VALUE"""),"Air suspension")</f>
        <v>Air suspension</v>
      </c>
      <c r="AH3229" s="189">
        <f>IFERROR(__xludf.DUMMYFUNCTION("""COMPUTED_VALUE"""),44425.646060011575)</f>
        <v>44425.64606</v>
      </c>
    </row>
    <row r="3230">
      <c r="A3230" t="str">
        <f>IFERROR(__xludf.DUMMYFUNCTION("""COMPUTED_VALUE"""),"bhargs")</f>
        <v>bhargs</v>
      </c>
      <c r="B3230" t="str">
        <f>IFERROR(__xludf.DUMMYFUNCTION("""COMPUTED_VALUE"""),"Harrisburg")</f>
        <v>Harrisburg</v>
      </c>
      <c r="C3230" t="str">
        <f>IFERROR(__xludf.DUMMYFUNCTION("""COMPUTED_VALUE"""),"PA")</f>
        <v>PA</v>
      </c>
      <c r="D3230" t="str">
        <f>IFERROR(__xludf.DUMMYFUNCTION("""COMPUTED_VALUE"""),"USA")</f>
        <v>USA</v>
      </c>
      <c r="E3230" s="188">
        <f>IFERROR(__xludf.DUMMYFUNCTION("""COMPUTED_VALUE"""),44389.0)</f>
        <v>44389</v>
      </c>
      <c r="F3230" s="188">
        <f>IFERROR(__xludf.DUMMYFUNCTION("""COMPUTED_VALUE"""),44436.0)</f>
        <v>44436</v>
      </c>
      <c r="G3230" t="str">
        <f>IFERROR(__xludf.DUMMYFUNCTION("""COMPUTED_VALUE"""),"Manage order page (normal text)")</f>
        <v>Manage order page (normal text)</v>
      </c>
      <c r="H3230">
        <f>IFERROR(__xludf.DUMMYFUNCTION("""COMPUTED_VALUE"""),53492.0)</f>
        <v>53492</v>
      </c>
      <c r="I3230" t="str">
        <f>IFERROR(__xludf.DUMMYFUNCTION("""COMPUTED_VALUE"""),"08/21")</f>
        <v>08/21</v>
      </c>
      <c r="J3230" s="188">
        <f>IFERROR(__xludf.DUMMYFUNCTION("""COMPUTED_VALUE"""),44453.0)</f>
        <v>44453</v>
      </c>
      <c r="K3230">
        <f>IFERROR(__xludf.DUMMYFUNCTION("""COMPUTED_VALUE"""),47.0)</f>
        <v>47</v>
      </c>
      <c r="L3230">
        <f>IFERROR(__xludf.DUMMYFUNCTION("""COMPUTED_VALUE"""),17.0)</f>
        <v>17</v>
      </c>
      <c r="M3230">
        <f>IFERROR(__xludf.DUMMYFUNCTION("""COMPUTED_VALUE"""),64.0)</f>
        <v>64</v>
      </c>
      <c r="N3230" t="str">
        <f>IFERROR(__xludf.DUMMYFUNCTION("""COMPUTED_VALUE"""),"Model 3 LR AWD")</f>
        <v>Model 3 LR AWD</v>
      </c>
      <c r="O3230" t="str">
        <f>IFERROR(__xludf.DUMMYFUNCTION("""COMPUTED_VALUE"""),"Deep Blue Metallic")</f>
        <v>Deep Blue Metallic</v>
      </c>
      <c r="P3230" t="str">
        <f>IFERROR(__xludf.DUMMYFUNCTION("""COMPUTED_VALUE"""),"18 inch")</f>
        <v>18 inch</v>
      </c>
      <c r="Q3230" t="str">
        <f>IFERROR(__xludf.DUMMYFUNCTION("""COMPUTED_VALUE"""),"Black and White")</f>
        <v>Black and White</v>
      </c>
      <c r="R3230" t="str">
        <f>IFERROR(__xludf.DUMMYFUNCTION("""COMPUTED_VALUE"""),"Autopilot included")</f>
        <v>Autopilot included</v>
      </c>
      <c r="S3230" t="str">
        <f>IFERROR(__xludf.DUMMYFUNCTION("""COMPUTED_VALUE"""),"Loan")</f>
        <v>Loan</v>
      </c>
      <c r="T3230" t="str">
        <f>IFERROR(__xludf.DUMMYFUNCTION("""COMPUTED_VALUE"""),"Honda Civic")</f>
        <v>Honda Civic</v>
      </c>
      <c r="U3230" t="str">
        <f>IFERROR(__xludf.DUMMYFUNCTION("""COMPUTED_VALUE"""),"Electric!")</f>
        <v>Electric!</v>
      </c>
      <c r="V3230" t="str">
        <f>IFERROR(__xludf.DUMMYFUNCTION("""COMPUTED_VALUE"""),"Head-up display")</f>
        <v>Head-up display</v>
      </c>
      <c r="W3230" t="str">
        <f>IFERROR(__xludf.DUMMYFUNCTION("""COMPUTED_VALUE"""),"It is sooooo worth the wait! I couldn't happier. I hope it treats me well!")</f>
        <v>It is sooooo worth the wait! I couldn't happier. I hope it treats me well!</v>
      </c>
      <c r="X3230" t="str">
        <f>IFERROR(__xludf.DUMMYFUNCTION("""COMPUTED_VALUE"""),"Very Good")</f>
        <v>Very Good</v>
      </c>
      <c r="Y3230" t="str">
        <f>IFERROR(__xludf.DUMMYFUNCTION("""COMPUTED_VALUE"""),"Excellent")</f>
        <v>Excellent</v>
      </c>
      <c r="Z3230" t="str">
        <f>IFERROR(__xludf.DUMMYFUNCTION("""COMPUTED_VALUE"""),"Very Good")</f>
        <v>Very Good</v>
      </c>
      <c r="AA3230" t="str">
        <f>IFERROR(__xludf.DUMMYFUNCTION("""COMPUTED_VALUE"""),"Poor")</f>
        <v>Poor</v>
      </c>
      <c r="AB3230" t="str">
        <f>IFERROR(__xludf.DUMMYFUNCTION("""COMPUTED_VALUE"""),"Very Good")</f>
        <v>Very Good</v>
      </c>
      <c r="AC3230">
        <f>IFERROR(__xludf.DUMMYFUNCTION("""COMPUTED_VALUE"""),0.0)</f>
        <v>0</v>
      </c>
      <c r="AD3230">
        <f>IFERROR(__xludf.DUMMYFUNCTION("""COMPUTED_VALUE"""),0.0)</f>
        <v>0</v>
      </c>
      <c r="AE3230">
        <f>IFERROR(__xludf.DUMMYFUNCTION("""COMPUTED_VALUE"""),0.0)</f>
        <v>0</v>
      </c>
      <c r="AF3230" t="str">
        <f>IFERROR(__xludf.DUMMYFUNCTION("""COMPUTED_VALUE"""),"No. I took delivery of the first car Tesla was able to deliver.")</f>
        <v>No. I took delivery of the first car Tesla was able to deliver.</v>
      </c>
      <c r="AG3230" t="str">
        <f>IFERROR(__xludf.DUMMYFUNCTION("""COMPUTED_VALUE"""),"I wish I would've been able to actually call someone at the pickup store location. That was probably the most frustrating part")</f>
        <v>I wish I would've been able to actually call someone at the pickup store location. That was probably the most frustrating part</v>
      </c>
      <c r="AH3230" s="189">
        <f>IFERROR(__xludf.DUMMYFUNCTION("""COMPUTED_VALUE"""),44455.25215733796)</f>
        <v>44455.25216</v>
      </c>
    </row>
    <row r="3231">
      <c r="A3231" t="str">
        <f>IFERROR(__xludf.DUMMYFUNCTION("""COMPUTED_VALUE"""),"TomServo")</f>
        <v>TomServo</v>
      </c>
      <c r="B3231" t="str">
        <f>IFERROR(__xludf.DUMMYFUNCTION("""COMPUTED_VALUE"""),"Burbank")</f>
        <v>Burbank</v>
      </c>
      <c r="C3231" t="str">
        <f>IFERROR(__xludf.DUMMYFUNCTION("""COMPUTED_VALUE"""),"CA")</f>
        <v>CA</v>
      </c>
      <c r="D3231" t="str">
        <f>IFERROR(__xludf.DUMMYFUNCTION("""COMPUTED_VALUE"""),"USA")</f>
        <v>USA</v>
      </c>
      <c r="E3231" s="188">
        <f>IFERROR(__xludf.DUMMYFUNCTION("""COMPUTED_VALUE"""),44395.0)</f>
        <v>44395</v>
      </c>
      <c r="F3231" s="188">
        <f>IFERROR(__xludf.DUMMYFUNCTION("""COMPUTED_VALUE"""),44434.0)</f>
        <v>44434</v>
      </c>
      <c r="G3231" t="str">
        <f>IFERROR(__xludf.DUMMYFUNCTION("""COMPUTED_VALUE"""),"LFP Battery Car from Existing Stock")</f>
        <v>LFP Battery Car from Existing Stock</v>
      </c>
      <c r="H3231">
        <f>IFERROR(__xludf.DUMMYFUNCTION("""COMPUTED_VALUE"""),53155.0)</f>
        <v>53155</v>
      </c>
      <c r="K3231">
        <f>IFERROR(__xludf.DUMMYFUNCTION("""COMPUTED_VALUE"""),39.0)</f>
        <v>39</v>
      </c>
      <c r="N3231" t="str">
        <f>IFERROR(__xludf.DUMMYFUNCTION("""COMPUTED_VALUE"""),"Model 3 SR+")</f>
        <v>Model 3 SR+</v>
      </c>
      <c r="O3231" t="str">
        <f>IFERROR(__xludf.DUMMYFUNCTION("""COMPUTED_VALUE"""),"Deep Blue Metallic")</f>
        <v>Deep Blue Metallic</v>
      </c>
      <c r="P3231" t="str">
        <f>IFERROR(__xludf.DUMMYFUNCTION("""COMPUTED_VALUE"""),"18 inch")</f>
        <v>18 inch</v>
      </c>
      <c r="Q3231" t="str">
        <f>IFERROR(__xludf.DUMMYFUNCTION("""COMPUTED_VALUE"""),"All Black")</f>
        <v>All Black</v>
      </c>
      <c r="R3231" t="str">
        <f>IFERROR(__xludf.DUMMYFUNCTION("""COMPUTED_VALUE"""),"Autopilot included")</f>
        <v>Autopilot included</v>
      </c>
      <c r="S3231" t="str">
        <f>IFERROR(__xludf.DUMMYFUNCTION("""COMPUTED_VALUE"""),"Loan")</f>
        <v>Loan</v>
      </c>
      <c r="T3231" t="str">
        <f>IFERROR(__xludf.DUMMYFUNCTION("""COMPUTED_VALUE"""),"Chevy Bolt")</f>
        <v>Chevy Bolt</v>
      </c>
      <c r="U3231" t="str">
        <f>IFERROR(__xludf.DUMMYFUNCTION("""COMPUTED_VALUE"""),"Autopilot")</f>
        <v>Autopilot</v>
      </c>
      <c r="V3231" t="str">
        <f>IFERROR(__xludf.DUMMYFUNCTION("""COMPUTED_VALUE"""),"Apple CarPlay / Android Auto / SiriusXM Radio")</f>
        <v>Apple CarPlay / Android Auto / SiriusXM Radio</v>
      </c>
      <c r="AH3231" s="189">
        <f>IFERROR(__xludf.DUMMYFUNCTION("""COMPUTED_VALUE"""),44435.59029827546)</f>
        <v>44435.5903</v>
      </c>
    </row>
    <row r="3232">
      <c r="A3232" t="str">
        <f>IFERROR(__xludf.DUMMYFUNCTION("""COMPUTED_VALUE"""),"Coach Joe")</f>
        <v>Coach Joe</v>
      </c>
      <c r="B3232" t="str">
        <f>IFERROR(__xludf.DUMMYFUNCTION("""COMPUTED_VALUE"""),"Devon")</f>
        <v>Devon</v>
      </c>
      <c r="C3232" t="str">
        <f>IFERROR(__xludf.DUMMYFUNCTION("""COMPUTED_VALUE"""),"PA")</f>
        <v>PA</v>
      </c>
      <c r="D3232" t="str">
        <f>IFERROR(__xludf.DUMMYFUNCTION("""COMPUTED_VALUE"""),"USA")</f>
        <v>USA</v>
      </c>
      <c r="E3232" s="188">
        <f>IFERROR(__xludf.DUMMYFUNCTION("""COMPUTED_VALUE"""),44366.0)</f>
        <v>44366</v>
      </c>
      <c r="F3232" s="188">
        <f>IFERROR(__xludf.DUMMYFUNCTION("""COMPUTED_VALUE"""),44412.0)</f>
        <v>44412</v>
      </c>
      <c r="G3232" t="str">
        <f>IFERROR(__xludf.DUMMYFUNCTION("""COMPUTED_VALUE"""),"Manage order page (normal text)")</f>
        <v>Manage order page (normal text)</v>
      </c>
      <c r="H3232">
        <f>IFERROR(__xludf.DUMMYFUNCTION("""COMPUTED_VALUE"""),30775.0)</f>
        <v>30775</v>
      </c>
      <c r="J3232" s="188">
        <f>IFERROR(__xludf.DUMMYFUNCTION("""COMPUTED_VALUE"""),44422.0)</f>
        <v>44422</v>
      </c>
      <c r="K3232">
        <f>IFERROR(__xludf.DUMMYFUNCTION("""COMPUTED_VALUE"""),46.0)</f>
        <v>46</v>
      </c>
      <c r="L3232">
        <f>IFERROR(__xludf.DUMMYFUNCTION("""COMPUTED_VALUE"""),10.0)</f>
        <v>10</v>
      </c>
      <c r="M3232">
        <f>IFERROR(__xludf.DUMMYFUNCTION("""COMPUTED_VALUE"""),56.0)</f>
        <v>56</v>
      </c>
      <c r="N3232" t="str">
        <f>IFERROR(__xludf.DUMMYFUNCTION("""COMPUTED_VALUE"""),"Model 3 LR AWD")</f>
        <v>Model 3 LR AWD</v>
      </c>
      <c r="O3232" t="str">
        <f>IFERROR(__xludf.DUMMYFUNCTION("""COMPUTED_VALUE"""),"Midnight Silver Metallic")</f>
        <v>Midnight Silver Metallic</v>
      </c>
      <c r="P3232" t="str">
        <f>IFERROR(__xludf.DUMMYFUNCTION("""COMPUTED_VALUE"""),"18 inch")</f>
        <v>18 inch</v>
      </c>
      <c r="Q3232" t="str">
        <f>IFERROR(__xludf.DUMMYFUNCTION("""COMPUTED_VALUE"""),"All Black")</f>
        <v>All Black</v>
      </c>
      <c r="R3232" t="str">
        <f>IFERROR(__xludf.DUMMYFUNCTION("""COMPUTED_VALUE"""),"Autopilot included")</f>
        <v>Autopilot included</v>
      </c>
      <c r="S3232" t="str">
        <f>IFERROR(__xludf.DUMMYFUNCTION("""COMPUTED_VALUE"""),"Lease")</f>
        <v>Lease</v>
      </c>
      <c r="T3232" t="str">
        <f>IFERROR(__xludf.DUMMYFUNCTION("""COMPUTED_VALUE"""),"Honda Accord")</f>
        <v>Honda Accord</v>
      </c>
      <c r="U3232" t="str">
        <f>IFERROR(__xludf.DUMMYFUNCTION("""COMPUTED_VALUE"""),"Electric!")</f>
        <v>Electric!</v>
      </c>
      <c r="V3232" t="str">
        <f>IFERROR(__xludf.DUMMYFUNCTION("""COMPUTED_VALUE"""),"Head-up display")</f>
        <v>Head-up display</v>
      </c>
      <c r="X3232" t="str">
        <f>IFERROR(__xludf.DUMMYFUNCTION("""COMPUTED_VALUE"""),"Excellent")</f>
        <v>Excellent</v>
      </c>
      <c r="Y3232" t="str">
        <f>IFERROR(__xludf.DUMMYFUNCTION("""COMPUTED_VALUE"""),"Excellent")</f>
        <v>Excellent</v>
      </c>
      <c r="Z3232" t="str">
        <f>IFERROR(__xludf.DUMMYFUNCTION("""COMPUTED_VALUE"""),"Excellent")</f>
        <v>Excellent</v>
      </c>
      <c r="AA3232" t="str">
        <f>IFERROR(__xludf.DUMMYFUNCTION("""COMPUTED_VALUE"""),"Good")</f>
        <v>Good</v>
      </c>
      <c r="AB3232" t="str">
        <f>IFERROR(__xludf.DUMMYFUNCTION("""COMPUTED_VALUE"""),"Very Good")</f>
        <v>Very Good</v>
      </c>
      <c r="AF3232" t="str">
        <f>IFERROR(__xludf.DUMMYFUNCTION("""COMPUTED_VALUE"""),"No. I took delivery of the first car Tesla was able to deliver.")</f>
        <v>No. I took delivery of the first car Tesla was able to deliver.</v>
      </c>
      <c r="AH3232" s="189">
        <f>IFERROR(__xludf.DUMMYFUNCTION("""COMPUTED_VALUE"""),44428.40016009259)</f>
        <v>44428.40016</v>
      </c>
    </row>
    <row r="3233">
      <c r="A3233" t="str">
        <f>IFERROR(__xludf.DUMMYFUNCTION("""COMPUTED_VALUE"""),"duhm")</f>
        <v>duhm</v>
      </c>
      <c r="B3233" t="str">
        <f>IFERROR(__xludf.DUMMYFUNCTION("""COMPUTED_VALUE"""),"Rockville")</f>
        <v>Rockville</v>
      </c>
      <c r="C3233" t="str">
        <f>IFERROR(__xludf.DUMMYFUNCTION("""COMPUTED_VALUE"""),"MD")</f>
        <v>MD</v>
      </c>
      <c r="D3233" t="str">
        <f>IFERROR(__xludf.DUMMYFUNCTION("""COMPUTED_VALUE"""),"USA")</f>
        <v>USA</v>
      </c>
      <c r="E3233" s="188">
        <f>IFERROR(__xludf.DUMMYFUNCTION("""COMPUTED_VALUE"""),44404.0)</f>
        <v>44404</v>
      </c>
      <c r="F3233" s="188">
        <f>IFERROR(__xludf.DUMMYFUNCTION("""COMPUTED_VALUE"""),44435.0)</f>
        <v>44435</v>
      </c>
      <c r="G3233" t="str">
        <f>IFERROR(__xludf.DUMMYFUNCTION("""COMPUTED_VALUE"""),"Manage order page (normal text)")</f>
        <v>Manage order page (normal text)</v>
      </c>
      <c r="K3233">
        <f>IFERROR(__xludf.DUMMYFUNCTION("""COMPUTED_VALUE"""),31.0)</f>
        <v>31</v>
      </c>
      <c r="N3233" t="str">
        <f>IFERROR(__xludf.DUMMYFUNCTION("""COMPUTED_VALUE"""),"Model 3 LR AWD")</f>
        <v>Model 3 LR AWD</v>
      </c>
      <c r="O3233" t="str">
        <f>IFERROR(__xludf.DUMMYFUNCTION("""COMPUTED_VALUE"""),"Midnight Silver Metallic")</f>
        <v>Midnight Silver Metallic</v>
      </c>
      <c r="P3233" t="str">
        <f>IFERROR(__xludf.DUMMYFUNCTION("""COMPUTED_VALUE"""),"18 inch")</f>
        <v>18 inch</v>
      </c>
      <c r="Q3233" t="str">
        <f>IFERROR(__xludf.DUMMYFUNCTION("""COMPUTED_VALUE"""),"All Black")</f>
        <v>All Black</v>
      </c>
      <c r="R3233" t="str">
        <f>IFERROR(__xludf.DUMMYFUNCTION("""COMPUTED_VALUE"""),"Autopilot included")</f>
        <v>Autopilot included</v>
      </c>
      <c r="S3233" t="str">
        <f>IFERROR(__xludf.DUMMYFUNCTION("""COMPUTED_VALUE"""),"Loan")</f>
        <v>Loan</v>
      </c>
      <c r="AH3233" s="189">
        <f>IFERROR(__xludf.DUMMYFUNCTION("""COMPUTED_VALUE"""),44435.47307361111)</f>
        <v>44435.47307</v>
      </c>
    </row>
    <row r="3234">
      <c r="A3234" t="str">
        <f>IFERROR(__xludf.DUMMYFUNCTION("""COMPUTED_VALUE"""),"left")</f>
        <v>left</v>
      </c>
      <c r="B3234" t="str">
        <f>IFERROR(__xludf.DUMMYFUNCTION("""COMPUTED_VALUE"""),"Mesquite")</f>
        <v>Mesquite</v>
      </c>
      <c r="C3234" t="str">
        <f>IFERROR(__xludf.DUMMYFUNCTION("""COMPUTED_VALUE"""),"TX")</f>
        <v>TX</v>
      </c>
      <c r="D3234" t="str">
        <f>IFERROR(__xludf.DUMMYFUNCTION("""COMPUTED_VALUE"""),"USA")</f>
        <v>USA</v>
      </c>
      <c r="E3234" s="188">
        <f>IFERROR(__xludf.DUMMYFUNCTION("""COMPUTED_VALUE"""),44407.0)</f>
        <v>44407</v>
      </c>
      <c r="F3234" s="188">
        <f>IFERROR(__xludf.DUMMYFUNCTION("""COMPUTED_VALUE"""),44410.0)</f>
        <v>44410</v>
      </c>
      <c r="G3234" t="str">
        <f>IFERROR(__xludf.DUMMYFUNCTION("""COMPUTED_VALUE"""),"Manage order page (normal text)")</f>
        <v>Manage order page (normal text)</v>
      </c>
      <c r="J3234" s="188">
        <f>IFERROR(__xludf.DUMMYFUNCTION("""COMPUTED_VALUE"""),44421.0)</f>
        <v>44421</v>
      </c>
      <c r="K3234">
        <f>IFERROR(__xludf.DUMMYFUNCTION("""COMPUTED_VALUE"""),3.0)</f>
        <v>3</v>
      </c>
      <c r="L3234">
        <f>IFERROR(__xludf.DUMMYFUNCTION("""COMPUTED_VALUE"""),11.0)</f>
        <v>11</v>
      </c>
      <c r="M3234">
        <f>IFERROR(__xludf.DUMMYFUNCTION("""COMPUTED_VALUE"""),14.0)</f>
        <v>14</v>
      </c>
      <c r="N3234" t="str">
        <f>IFERROR(__xludf.DUMMYFUNCTION("""COMPUTED_VALUE"""),"Model 3 Performance")</f>
        <v>Model 3 Performance</v>
      </c>
      <c r="O3234" t="str">
        <f>IFERROR(__xludf.DUMMYFUNCTION("""COMPUTED_VALUE"""),"Pearl White Multi-Coat")</f>
        <v>Pearl White Multi-Coat</v>
      </c>
      <c r="P3234" t="str">
        <f>IFERROR(__xludf.DUMMYFUNCTION("""COMPUTED_VALUE"""),"20 inch")</f>
        <v>20 inch</v>
      </c>
      <c r="Q3234" t="str">
        <f>IFERROR(__xludf.DUMMYFUNCTION("""COMPUTED_VALUE"""),"Black and White")</f>
        <v>Black and White</v>
      </c>
      <c r="R3234" t="str">
        <f>IFERROR(__xludf.DUMMYFUNCTION("""COMPUTED_VALUE"""),"Autopilot included")</f>
        <v>Autopilot included</v>
      </c>
      <c r="S3234" t="str">
        <f>IFERROR(__xludf.DUMMYFUNCTION("""COMPUTED_VALUE"""),"Loan")</f>
        <v>Loan</v>
      </c>
      <c r="T3234" t="str">
        <f>IFERROR(__xludf.DUMMYFUNCTION("""COMPUTED_VALUE"""),"none")</f>
        <v>none</v>
      </c>
      <c r="U3234" t="str">
        <f>IFERROR(__xludf.DUMMYFUNCTION("""COMPUTED_VALUE"""),"Electric!")</f>
        <v>Electric!</v>
      </c>
      <c r="V3234" t="str">
        <f>IFERROR(__xludf.DUMMYFUNCTION("""COMPUTED_VALUE"""),"Air suspension")</f>
        <v>Air suspension</v>
      </c>
      <c r="AH3234" s="189">
        <f>IFERROR(__xludf.DUMMYFUNCTION("""COMPUTED_VALUE"""),44415.766633796295)</f>
        <v>44415.76663</v>
      </c>
    </row>
    <row r="3235">
      <c r="A3235" t="str">
        <f>IFERROR(__xludf.DUMMYFUNCTION("""COMPUTED_VALUE"""),"Jfguerrero")</f>
        <v>Jfguerrero</v>
      </c>
      <c r="C3235" t="str">
        <f>IFERROR(__xludf.DUMMYFUNCTION("""COMPUTED_VALUE"""),"FL")</f>
        <v>FL</v>
      </c>
      <c r="D3235" t="str">
        <f>IFERROR(__xludf.DUMMYFUNCTION("""COMPUTED_VALUE"""),"USA")</f>
        <v>USA</v>
      </c>
      <c r="E3235" s="188">
        <f>IFERROR(__xludf.DUMMYFUNCTION("""COMPUTED_VALUE"""),44363.0)</f>
        <v>44363</v>
      </c>
      <c r="F3235" s="188">
        <f>IFERROR(__xludf.DUMMYFUNCTION("""COMPUTED_VALUE"""),44407.0)</f>
        <v>44407</v>
      </c>
      <c r="G3235" t="str">
        <f>IFERROR(__xludf.DUMMYFUNCTION("""COMPUTED_VALUE"""),"Manage order page (normal text)")</f>
        <v>Manage order page (normal text)</v>
      </c>
      <c r="H3235">
        <f>IFERROR(__xludf.DUMMYFUNCTION("""COMPUTED_VALUE"""),26655.0)</f>
        <v>26655</v>
      </c>
      <c r="J3235" s="188">
        <f>IFERROR(__xludf.DUMMYFUNCTION("""COMPUTED_VALUE"""),44420.0)</f>
        <v>44420</v>
      </c>
      <c r="K3235">
        <f>IFERROR(__xludf.DUMMYFUNCTION("""COMPUTED_VALUE"""),44.0)</f>
        <v>44</v>
      </c>
      <c r="L3235">
        <f>IFERROR(__xludf.DUMMYFUNCTION("""COMPUTED_VALUE"""),13.0)</f>
        <v>13</v>
      </c>
      <c r="M3235">
        <f>IFERROR(__xludf.DUMMYFUNCTION("""COMPUTED_VALUE"""),57.0)</f>
        <v>57</v>
      </c>
      <c r="N3235" t="str">
        <f>IFERROR(__xludf.DUMMYFUNCTION("""COMPUTED_VALUE"""),"Model 3 SR+")</f>
        <v>Model 3 SR+</v>
      </c>
      <c r="O3235" t="str">
        <f>IFERROR(__xludf.DUMMYFUNCTION("""COMPUTED_VALUE"""),"Midnight Silver Metallic")</f>
        <v>Midnight Silver Metallic</v>
      </c>
      <c r="P3235" t="str">
        <f>IFERROR(__xludf.DUMMYFUNCTION("""COMPUTED_VALUE"""),"18 inch")</f>
        <v>18 inch</v>
      </c>
      <c r="Q3235" t="str">
        <f>IFERROR(__xludf.DUMMYFUNCTION("""COMPUTED_VALUE"""),"All Black")</f>
        <v>All Black</v>
      </c>
      <c r="R3235" t="str">
        <f>IFERROR(__xludf.DUMMYFUNCTION("""COMPUTED_VALUE"""),"Autopilot included")</f>
        <v>Autopilot included</v>
      </c>
      <c r="S3235" t="str">
        <f>IFERROR(__xludf.DUMMYFUNCTION("""COMPUTED_VALUE"""),"Loan")</f>
        <v>Loan</v>
      </c>
      <c r="V3235" t="str">
        <f>IFERROR(__xludf.DUMMYFUNCTION("""COMPUTED_VALUE"""),"Apple CarPlay / Android Auto / SiriusXM Radio")</f>
        <v>Apple CarPlay / Android Auto / SiriusXM Radio</v>
      </c>
      <c r="AH3235" s="189">
        <f>IFERROR(__xludf.DUMMYFUNCTION("""COMPUTED_VALUE"""),44407.84114015046)</f>
        <v>44407.84114</v>
      </c>
    </row>
    <row r="3236">
      <c r="A3236" t="str">
        <f>IFERROR(__xludf.DUMMYFUNCTION("""COMPUTED_VALUE"""),"G-Soccer_Canada")</f>
        <v>G-Soccer_Canada</v>
      </c>
      <c r="B3236" t="str">
        <f>IFERROR(__xludf.DUMMYFUNCTION("""COMPUTED_VALUE"""),"Toronto")</f>
        <v>Toronto</v>
      </c>
      <c r="C3236" t="str">
        <f>IFERROR(__xludf.DUMMYFUNCTION("""COMPUTED_VALUE"""),"ON")</f>
        <v>ON</v>
      </c>
      <c r="D3236" t="str">
        <f>IFERROR(__xludf.DUMMYFUNCTION("""COMPUTED_VALUE"""),"Canada")</f>
        <v>Canada</v>
      </c>
      <c r="E3236" s="188">
        <f>IFERROR(__xludf.DUMMYFUNCTION("""COMPUTED_VALUE"""),44372.0)</f>
        <v>44372</v>
      </c>
      <c r="F3236" s="188">
        <f>IFERROR(__xludf.DUMMYFUNCTION("""COMPUTED_VALUE"""),44407.0)</f>
        <v>44407</v>
      </c>
      <c r="G3236" t="str">
        <f>IFERROR(__xludf.DUMMYFUNCTION("""COMPUTED_VALUE"""),"Email")</f>
        <v>Email</v>
      </c>
      <c r="J3236" s="188">
        <f>IFERROR(__xludf.DUMMYFUNCTION("""COMPUTED_VALUE"""),44421.0)</f>
        <v>44421</v>
      </c>
      <c r="K3236">
        <f>IFERROR(__xludf.DUMMYFUNCTION("""COMPUTED_VALUE"""),35.0)</f>
        <v>35</v>
      </c>
      <c r="L3236">
        <f>IFERROR(__xludf.DUMMYFUNCTION("""COMPUTED_VALUE"""),14.0)</f>
        <v>14</v>
      </c>
      <c r="M3236">
        <f>IFERROR(__xludf.DUMMYFUNCTION("""COMPUTED_VALUE"""),49.0)</f>
        <v>49</v>
      </c>
      <c r="N3236" t="str">
        <f>IFERROR(__xludf.DUMMYFUNCTION("""COMPUTED_VALUE"""),"Model 3 LR AWD")</f>
        <v>Model 3 LR AWD</v>
      </c>
      <c r="O3236" t="str">
        <f>IFERROR(__xludf.DUMMYFUNCTION("""COMPUTED_VALUE"""),"Pearl White Multi-Coat")</f>
        <v>Pearl White Multi-Coat</v>
      </c>
      <c r="P3236" t="str">
        <f>IFERROR(__xludf.DUMMYFUNCTION("""COMPUTED_VALUE"""),"18 inch")</f>
        <v>18 inch</v>
      </c>
      <c r="Q3236" t="str">
        <f>IFERROR(__xludf.DUMMYFUNCTION("""COMPUTED_VALUE"""),"Black and White")</f>
        <v>Black and White</v>
      </c>
      <c r="R3236" t="str">
        <f>IFERROR(__xludf.DUMMYFUNCTION("""COMPUTED_VALUE"""),"Autopilot included")</f>
        <v>Autopilot included</v>
      </c>
      <c r="S3236" t="str">
        <f>IFERROR(__xludf.DUMMYFUNCTION("""COMPUTED_VALUE"""),"Loan")</f>
        <v>Loan</v>
      </c>
      <c r="T3236" t="str">
        <f>IFERROR(__xludf.DUMMYFUNCTION("""COMPUTED_VALUE"""),"Acura")</f>
        <v>Acura</v>
      </c>
      <c r="U3236" t="str">
        <f>IFERROR(__xludf.DUMMYFUNCTION("""COMPUTED_VALUE"""),"Electric!")</f>
        <v>Electric!</v>
      </c>
      <c r="V3236" t="str">
        <f>IFERROR(__xludf.DUMMYFUNCTION("""COMPUTED_VALUE"""),"360° Bird's eye view")</f>
        <v>360° Bird's eye view</v>
      </c>
      <c r="AH3236" s="189">
        <f>IFERROR(__xludf.DUMMYFUNCTION("""COMPUTED_VALUE"""),44407.8610637963)</f>
        <v>44407.86106</v>
      </c>
    </row>
    <row r="3237">
      <c r="A3237" t="str">
        <f>IFERROR(__xludf.DUMMYFUNCTION("""COMPUTED_VALUE"""),"Oddjobbob51")</f>
        <v>Oddjobbob51</v>
      </c>
      <c r="B3237" t="str">
        <f>IFERROR(__xludf.DUMMYFUNCTION("""COMPUTED_VALUE"""),"Durham UK")</f>
        <v>Durham UK</v>
      </c>
      <c r="D3237" t="str">
        <f>IFERROR(__xludf.DUMMYFUNCTION("""COMPUTED_VALUE"""),"United Kingdom")</f>
        <v>United Kingdom</v>
      </c>
      <c r="E3237" s="188">
        <f>IFERROR(__xludf.DUMMYFUNCTION("""COMPUTED_VALUE"""),44385.0)</f>
        <v>44385</v>
      </c>
      <c r="F3237" s="188">
        <f>IFERROR(__xludf.DUMMYFUNCTION("""COMPUTED_VALUE"""),44408.0)</f>
        <v>44408</v>
      </c>
      <c r="G3237" t="str">
        <f>IFERROR(__xludf.DUMMYFUNCTION("""COMPUTED_VALUE"""),"Source code")</f>
        <v>Source code</v>
      </c>
      <c r="H3237">
        <f>IFERROR(__xludf.DUMMYFUNCTION("""COMPUTED_VALUE"""),12427.0)</f>
        <v>12427</v>
      </c>
      <c r="J3237" s="188">
        <f>IFERROR(__xludf.DUMMYFUNCTION("""COMPUTED_VALUE"""),44445.0)</f>
        <v>44445</v>
      </c>
      <c r="K3237">
        <f>IFERROR(__xludf.DUMMYFUNCTION("""COMPUTED_VALUE"""),23.0)</f>
        <v>23</v>
      </c>
      <c r="L3237">
        <f>IFERROR(__xludf.DUMMYFUNCTION("""COMPUTED_VALUE"""),37.0)</f>
        <v>37</v>
      </c>
      <c r="M3237">
        <f>IFERROR(__xludf.DUMMYFUNCTION("""COMPUTED_VALUE"""),60.0)</f>
        <v>60</v>
      </c>
      <c r="N3237" t="str">
        <f>IFERROR(__xludf.DUMMYFUNCTION("""COMPUTED_VALUE"""),"Model 3 LR AWD")</f>
        <v>Model 3 LR AWD</v>
      </c>
      <c r="O3237" t="str">
        <f>IFERROR(__xludf.DUMMYFUNCTION("""COMPUTED_VALUE"""),"Midnight Silver Metallic")</f>
        <v>Midnight Silver Metallic</v>
      </c>
      <c r="P3237" t="str">
        <f>IFERROR(__xludf.DUMMYFUNCTION("""COMPUTED_VALUE"""),"19 inch")</f>
        <v>19 inch</v>
      </c>
      <c r="Q3237" t="str">
        <f>IFERROR(__xludf.DUMMYFUNCTION("""COMPUTED_VALUE"""),"All Black")</f>
        <v>All Black</v>
      </c>
      <c r="R3237" t="str">
        <f>IFERROR(__xludf.DUMMYFUNCTION("""COMPUTED_VALUE"""),"Autopilot included")</f>
        <v>Autopilot included</v>
      </c>
      <c r="S3237" t="str">
        <f>IFERROR(__xludf.DUMMYFUNCTION("""COMPUTED_VALUE"""),"Cash")</f>
        <v>Cash</v>
      </c>
      <c r="T3237" t="str">
        <f>IFERROR(__xludf.DUMMYFUNCTION("""COMPUTED_VALUE"""),"Audi S5")</f>
        <v>Audi S5</v>
      </c>
      <c r="U3237" t="str">
        <f>IFERROR(__xludf.DUMMYFUNCTION("""COMPUTED_VALUE"""),"Tesla brand image")</f>
        <v>Tesla brand image</v>
      </c>
      <c r="V3237" t="str">
        <f>IFERROR(__xludf.DUMMYFUNCTION("""COMPUTED_VALUE"""),"Ventilated seats")</f>
        <v>Ventilated seats</v>
      </c>
      <c r="AH3237" s="189">
        <f>IFERROR(__xludf.DUMMYFUNCTION("""COMPUTED_VALUE"""),44412.34529190972)</f>
        <v>44412.34529</v>
      </c>
    </row>
    <row r="3238">
      <c r="A3238" t="str">
        <f>IFERROR(__xludf.DUMMYFUNCTION("""COMPUTED_VALUE"""),"FlyingAnon3s")</f>
        <v>FlyingAnon3s</v>
      </c>
      <c r="B3238" t="str">
        <f>IFERROR(__xludf.DUMMYFUNCTION("""COMPUTED_VALUE"""),"Bay Area")</f>
        <v>Bay Area</v>
      </c>
      <c r="C3238" t="str">
        <f>IFERROR(__xludf.DUMMYFUNCTION("""COMPUTED_VALUE"""),"CA")</f>
        <v>CA</v>
      </c>
      <c r="D3238" t="str">
        <f>IFERROR(__xludf.DUMMYFUNCTION("""COMPUTED_VALUE"""),"USA")</f>
        <v>USA</v>
      </c>
      <c r="E3238" s="188">
        <f>IFERROR(__xludf.DUMMYFUNCTION("""COMPUTED_VALUE"""),44400.0)</f>
        <v>44400</v>
      </c>
      <c r="F3238" s="188">
        <f>IFERROR(__xludf.DUMMYFUNCTION("""COMPUTED_VALUE"""),44453.0)</f>
        <v>44453</v>
      </c>
      <c r="G3238" t="str">
        <f>IFERROR(__xludf.DUMMYFUNCTION("""COMPUTED_VALUE"""),"Manage order page (normal text)")</f>
        <v>Manage order page (normal text)</v>
      </c>
      <c r="J3238" s="188">
        <f>IFERROR(__xludf.DUMMYFUNCTION("""COMPUTED_VALUE"""),44454.0)</f>
        <v>44454</v>
      </c>
      <c r="K3238">
        <f>IFERROR(__xludf.DUMMYFUNCTION("""COMPUTED_VALUE"""),53.0)</f>
        <v>53</v>
      </c>
      <c r="L3238">
        <f>IFERROR(__xludf.DUMMYFUNCTION("""COMPUTED_VALUE"""),1.0)</f>
        <v>1</v>
      </c>
      <c r="M3238">
        <f>IFERROR(__xludf.DUMMYFUNCTION("""COMPUTED_VALUE"""),54.0)</f>
        <v>54</v>
      </c>
      <c r="N3238" t="str">
        <f>IFERROR(__xludf.DUMMYFUNCTION("""COMPUTED_VALUE"""),"Model 3 LR AWD")</f>
        <v>Model 3 LR AWD</v>
      </c>
      <c r="O3238" t="str">
        <f>IFERROR(__xludf.DUMMYFUNCTION("""COMPUTED_VALUE"""),"Red Multi-Coat")</f>
        <v>Red Multi-Coat</v>
      </c>
      <c r="P3238" t="str">
        <f>IFERROR(__xludf.DUMMYFUNCTION("""COMPUTED_VALUE"""),"18 inch")</f>
        <v>18 inch</v>
      </c>
      <c r="Q3238" t="str">
        <f>IFERROR(__xludf.DUMMYFUNCTION("""COMPUTED_VALUE"""),"All Black")</f>
        <v>All Black</v>
      </c>
      <c r="R3238" t="str">
        <f>IFERROR(__xludf.DUMMYFUNCTION("""COMPUTED_VALUE"""),"Autopilot included")</f>
        <v>Autopilot included</v>
      </c>
      <c r="S3238" t="str">
        <f>IFERROR(__xludf.DUMMYFUNCTION("""COMPUTED_VALUE"""),"Loan")</f>
        <v>Loan</v>
      </c>
      <c r="T3238" t="str">
        <f>IFERROR(__xludf.DUMMYFUNCTION("""COMPUTED_VALUE"""),"Model 3 will be my first car!")</f>
        <v>Model 3 will be my first car!</v>
      </c>
      <c r="U3238" t="str">
        <f>IFERROR(__xludf.DUMMYFUNCTION("""COMPUTED_VALUE"""),"Electric!")</f>
        <v>Electric!</v>
      </c>
      <c r="V3238" t="str">
        <f>IFERROR(__xludf.DUMMYFUNCTION("""COMPUTED_VALUE"""),"360° Bird's eye view")</f>
        <v>360° Bird's eye view</v>
      </c>
      <c r="X3238" t="str">
        <f>IFERROR(__xludf.DUMMYFUNCTION("""COMPUTED_VALUE"""),"Excellent")</f>
        <v>Excellent</v>
      </c>
      <c r="Y3238" t="str">
        <f>IFERROR(__xludf.DUMMYFUNCTION("""COMPUTED_VALUE"""),"Excellent")</f>
        <v>Excellent</v>
      </c>
      <c r="Z3238" t="str">
        <f>IFERROR(__xludf.DUMMYFUNCTION("""COMPUTED_VALUE"""),"Excellent")</f>
        <v>Excellent</v>
      </c>
      <c r="AA3238" t="str">
        <f>IFERROR(__xludf.DUMMYFUNCTION("""COMPUTED_VALUE"""),"Excellent")</f>
        <v>Excellent</v>
      </c>
      <c r="AB3238" t="str">
        <f>IFERROR(__xludf.DUMMYFUNCTION("""COMPUTED_VALUE"""),"Excellent")</f>
        <v>Excellent</v>
      </c>
      <c r="AH3238" s="189">
        <f>IFERROR(__xludf.DUMMYFUNCTION("""COMPUTED_VALUE"""),44454.59282553241)</f>
        <v>44454.59283</v>
      </c>
    </row>
    <row r="3239">
      <c r="A3239" t="str">
        <f>IFERROR(__xludf.DUMMYFUNCTION("""COMPUTED_VALUE"""),"bpeed")</f>
        <v>bpeed</v>
      </c>
      <c r="B3239" t="str">
        <f>IFERROR(__xludf.DUMMYFUNCTION("""COMPUTED_VALUE"""),"Cincinnati")</f>
        <v>Cincinnati</v>
      </c>
      <c r="C3239" t="str">
        <f>IFERROR(__xludf.DUMMYFUNCTION("""COMPUTED_VALUE"""),"OH")</f>
        <v>OH</v>
      </c>
      <c r="D3239" t="str">
        <f>IFERROR(__xludf.DUMMYFUNCTION("""COMPUTED_VALUE"""),"USA")</f>
        <v>USA</v>
      </c>
      <c r="E3239" s="188">
        <f>IFERROR(__xludf.DUMMYFUNCTION("""COMPUTED_VALUE"""),44377.0)</f>
        <v>44377</v>
      </c>
      <c r="F3239" s="188">
        <f>IFERROR(__xludf.DUMMYFUNCTION("""COMPUTED_VALUE"""),44419.0)</f>
        <v>44419</v>
      </c>
      <c r="G3239" t="str">
        <f>IFERROR(__xludf.DUMMYFUNCTION("""COMPUTED_VALUE"""),"Manage order page (normal text)")</f>
        <v>Manage order page (normal text)</v>
      </c>
      <c r="H3239">
        <f>IFERROR(__xludf.DUMMYFUNCTION("""COMPUTED_VALUE"""),34769.0)</f>
        <v>34769</v>
      </c>
      <c r="J3239" s="188">
        <f>IFERROR(__xludf.DUMMYFUNCTION("""COMPUTED_VALUE"""),44430.0)</f>
        <v>44430</v>
      </c>
      <c r="K3239">
        <f>IFERROR(__xludf.DUMMYFUNCTION("""COMPUTED_VALUE"""),42.0)</f>
        <v>42</v>
      </c>
      <c r="L3239">
        <f>IFERROR(__xludf.DUMMYFUNCTION("""COMPUTED_VALUE"""),11.0)</f>
        <v>11</v>
      </c>
      <c r="M3239">
        <f>IFERROR(__xludf.DUMMYFUNCTION("""COMPUTED_VALUE"""),53.0)</f>
        <v>53</v>
      </c>
      <c r="N3239" t="str">
        <f>IFERROR(__xludf.DUMMYFUNCTION("""COMPUTED_VALUE"""),"Model 3 Performance")</f>
        <v>Model 3 Performance</v>
      </c>
      <c r="O3239" t="str">
        <f>IFERROR(__xludf.DUMMYFUNCTION("""COMPUTED_VALUE"""),"Pearl White Multi-Coat")</f>
        <v>Pearl White Multi-Coat</v>
      </c>
      <c r="P3239" t="str">
        <f>IFERROR(__xludf.DUMMYFUNCTION("""COMPUTED_VALUE"""),"20 inch")</f>
        <v>20 inch</v>
      </c>
      <c r="Q3239" t="str">
        <f>IFERROR(__xludf.DUMMYFUNCTION("""COMPUTED_VALUE"""),"Black and White")</f>
        <v>Black and White</v>
      </c>
      <c r="R3239" t="str">
        <f>IFERROR(__xludf.DUMMYFUNCTION("""COMPUTED_VALUE"""),"Autopilot included")</f>
        <v>Autopilot included</v>
      </c>
      <c r="S3239" t="str">
        <f>IFERROR(__xludf.DUMMYFUNCTION("""COMPUTED_VALUE"""),"Cash")</f>
        <v>Cash</v>
      </c>
      <c r="T3239" t="str">
        <f>IFERROR(__xludf.DUMMYFUNCTION("""COMPUTED_VALUE"""),"Toyota Prius")</f>
        <v>Toyota Prius</v>
      </c>
      <c r="U3239" t="str">
        <f>IFERROR(__xludf.DUMMYFUNCTION("""COMPUTED_VALUE"""),"Electric!")</f>
        <v>Electric!</v>
      </c>
      <c r="AH3239" s="189">
        <f>IFERROR(__xludf.DUMMYFUNCTION("""COMPUTED_VALUE"""),44426.507171261575)</f>
        <v>44426.50717</v>
      </c>
    </row>
    <row r="3240">
      <c r="A3240" t="str">
        <f>IFERROR(__xludf.DUMMYFUNCTION("""COMPUTED_VALUE"""),"Daemon")</f>
        <v>Daemon</v>
      </c>
      <c r="B3240" t="str">
        <f>IFERROR(__xludf.DUMMYFUNCTION("""COMPUTED_VALUE"""),"Los Angeles")</f>
        <v>Los Angeles</v>
      </c>
      <c r="C3240" t="str">
        <f>IFERROR(__xludf.DUMMYFUNCTION("""COMPUTED_VALUE"""),"CA")</f>
        <v>CA</v>
      </c>
      <c r="D3240" t="str">
        <f>IFERROR(__xludf.DUMMYFUNCTION("""COMPUTED_VALUE"""),"USA")</f>
        <v>USA</v>
      </c>
      <c r="E3240" s="188">
        <f>IFERROR(__xludf.DUMMYFUNCTION("""COMPUTED_VALUE"""),44405.0)</f>
        <v>44405</v>
      </c>
      <c r="F3240" s="188">
        <f>IFERROR(__xludf.DUMMYFUNCTION("""COMPUTED_VALUE"""),44456.0)</f>
        <v>44456</v>
      </c>
      <c r="G3240" t="str">
        <f>IFERROR(__xludf.DUMMYFUNCTION("""COMPUTED_VALUE"""),"Manage order page (normal text)")</f>
        <v>Manage order page (normal text)</v>
      </c>
      <c r="H3240">
        <f>IFERROR(__xludf.DUMMYFUNCTION("""COMPUTED_VALUE"""),66955.0)</f>
        <v>66955</v>
      </c>
      <c r="I3240" t="str">
        <f>IFERROR(__xludf.DUMMYFUNCTION("""COMPUTED_VALUE"""),"09/21")</f>
        <v>09/21</v>
      </c>
      <c r="J3240" s="188">
        <f>IFERROR(__xludf.DUMMYFUNCTION("""COMPUTED_VALUE"""),44458.0)</f>
        <v>44458</v>
      </c>
      <c r="K3240">
        <f>IFERROR(__xludf.DUMMYFUNCTION("""COMPUTED_VALUE"""),51.0)</f>
        <v>51</v>
      </c>
      <c r="L3240">
        <f>IFERROR(__xludf.DUMMYFUNCTION("""COMPUTED_VALUE"""),2.0)</f>
        <v>2</v>
      </c>
      <c r="M3240">
        <f>IFERROR(__xludf.DUMMYFUNCTION("""COMPUTED_VALUE"""),53.0)</f>
        <v>53</v>
      </c>
      <c r="N3240" t="str">
        <f>IFERROR(__xludf.DUMMYFUNCTION("""COMPUTED_VALUE"""),"Model 3 LR AWD")</f>
        <v>Model 3 LR AWD</v>
      </c>
      <c r="O3240" t="str">
        <f>IFERROR(__xludf.DUMMYFUNCTION("""COMPUTED_VALUE"""),"Pearl White Multi-Coat")</f>
        <v>Pearl White Multi-Coat</v>
      </c>
      <c r="P3240" t="str">
        <f>IFERROR(__xludf.DUMMYFUNCTION("""COMPUTED_VALUE"""),"18 inch")</f>
        <v>18 inch</v>
      </c>
      <c r="Q3240" t="str">
        <f>IFERROR(__xludf.DUMMYFUNCTION("""COMPUTED_VALUE"""),"Black and White")</f>
        <v>Black and White</v>
      </c>
      <c r="R3240" t="str">
        <f>IFERROR(__xludf.DUMMYFUNCTION("""COMPUTED_VALUE"""),"Autopilot included")</f>
        <v>Autopilot included</v>
      </c>
      <c r="S3240" t="str">
        <f>IFERROR(__xludf.DUMMYFUNCTION("""COMPUTED_VALUE"""),"Cash")</f>
        <v>Cash</v>
      </c>
      <c r="T3240" t="str">
        <f>IFERROR(__xludf.DUMMYFUNCTION("""COMPUTED_VALUE"""),"Toyota Camry")</f>
        <v>Toyota Camry</v>
      </c>
      <c r="U3240" t="str">
        <f>IFERROR(__xludf.DUMMYFUNCTION("""COMPUTED_VALUE"""),"Tesla brand image")</f>
        <v>Tesla brand image</v>
      </c>
      <c r="V3240" t="str">
        <f>IFERROR(__xludf.DUMMYFUNCTION("""COMPUTED_VALUE"""),"Apple CarPlay / Android Auto / SiriusXM Radio")</f>
        <v>Apple CarPlay / Android Auto / SiriusXM Radio</v>
      </c>
      <c r="X3240" t="str">
        <f>IFERROR(__xludf.DUMMYFUNCTION("""COMPUTED_VALUE"""),"Excellent")</f>
        <v>Excellent</v>
      </c>
      <c r="Y3240" t="str">
        <f>IFERROR(__xludf.DUMMYFUNCTION("""COMPUTED_VALUE"""),"Excellent")</f>
        <v>Excellent</v>
      </c>
      <c r="Z3240" t="str">
        <f>IFERROR(__xludf.DUMMYFUNCTION("""COMPUTED_VALUE"""),"Excellent")</f>
        <v>Excellent</v>
      </c>
      <c r="AA3240" t="str">
        <f>IFERROR(__xludf.DUMMYFUNCTION("""COMPUTED_VALUE"""),"Poor")</f>
        <v>Poor</v>
      </c>
      <c r="AB3240" t="str">
        <f>IFERROR(__xludf.DUMMYFUNCTION("""COMPUTED_VALUE"""),"Very Good")</f>
        <v>Very Good</v>
      </c>
      <c r="AF3240" t="str">
        <f>IFERROR(__xludf.DUMMYFUNCTION("""COMPUTED_VALUE"""),"No. I took delivery of the first car Tesla was able to deliver.")</f>
        <v>No. I took delivery of the first car Tesla was able to deliver.</v>
      </c>
      <c r="AH3240" s="189">
        <f>IFERROR(__xludf.DUMMYFUNCTION("""COMPUTED_VALUE"""),44459.01505827546)</f>
        <v>44459.01506</v>
      </c>
    </row>
    <row r="3241">
      <c r="A3241" t="str">
        <f>IFERROR(__xludf.DUMMYFUNCTION("""COMPUTED_VALUE"""),"acidblank shot")</f>
        <v>acidblank shot</v>
      </c>
      <c r="B3241" t="str">
        <f>IFERROR(__xludf.DUMMYFUNCTION("""COMPUTED_VALUE"""),"Los Angeles")</f>
        <v>Los Angeles</v>
      </c>
      <c r="C3241" t="str">
        <f>IFERROR(__xludf.DUMMYFUNCTION("""COMPUTED_VALUE"""),"CA")</f>
        <v>CA</v>
      </c>
      <c r="D3241" t="str">
        <f>IFERROR(__xludf.DUMMYFUNCTION("""COMPUTED_VALUE"""),"USA")</f>
        <v>USA</v>
      </c>
      <c r="E3241" s="188">
        <f>IFERROR(__xludf.DUMMYFUNCTION("""COMPUTED_VALUE"""),44390.0)</f>
        <v>44390</v>
      </c>
      <c r="F3241" s="188">
        <f>IFERROR(__xludf.DUMMYFUNCTION("""COMPUTED_VALUE"""),44451.0)</f>
        <v>44451</v>
      </c>
      <c r="G3241" t="str">
        <f>IFERROR(__xludf.DUMMYFUNCTION("""COMPUTED_VALUE"""),"Manage order page (normal text)")</f>
        <v>Manage order page (normal text)</v>
      </c>
      <c r="H3241">
        <f>IFERROR(__xludf.DUMMYFUNCTION("""COMPUTED_VALUE"""),64655.0)</f>
        <v>64655</v>
      </c>
      <c r="J3241" s="188">
        <f>IFERROR(__xludf.DUMMYFUNCTION("""COMPUTED_VALUE"""),44457.0)</f>
        <v>44457</v>
      </c>
      <c r="K3241">
        <f>IFERROR(__xludf.DUMMYFUNCTION("""COMPUTED_VALUE"""),61.0)</f>
        <v>61</v>
      </c>
      <c r="L3241">
        <f>IFERROR(__xludf.DUMMYFUNCTION("""COMPUTED_VALUE"""),6.0)</f>
        <v>6</v>
      </c>
      <c r="M3241">
        <f>IFERROR(__xludf.DUMMYFUNCTION("""COMPUTED_VALUE"""),67.0)</f>
        <v>67</v>
      </c>
      <c r="N3241" t="str">
        <f>IFERROR(__xludf.DUMMYFUNCTION("""COMPUTED_VALUE"""),"Model 3 LR AWD")</f>
        <v>Model 3 LR AWD</v>
      </c>
      <c r="O3241" t="str">
        <f>IFERROR(__xludf.DUMMYFUNCTION("""COMPUTED_VALUE"""),"Solid Black")</f>
        <v>Solid Black</v>
      </c>
      <c r="P3241" t="str">
        <f>IFERROR(__xludf.DUMMYFUNCTION("""COMPUTED_VALUE"""),"19 inch")</f>
        <v>19 inch</v>
      </c>
      <c r="Q3241" t="str">
        <f>IFERROR(__xludf.DUMMYFUNCTION("""COMPUTED_VALUE"""),"All Black")</f>
        <v>All Black</v>
      </c>
      <c r="R3241" t="str">
        <f>IFERROR(__xludf.DUMMYFUNCTION("""COMPUTED_VALUE"""),"Autopilot included")</f>
        <v>Autopilot included</v>
      </c>
      <c r="S3241" t="str">
        <f>IFERROR(__xludf.DUMMYFUNCTION("""COMPUTED_VALUE"""),"Loan")</f>
        <v>Loan</v>
      </c>
      <c r="T3241" t="str">
        <f>IFERROR(__xludf.DUMMYFUNCTION("""COMPUTED_VALUE"""),"Honda Civic")</f>
        <v>Honda Civic</v>
      </c>
      <c r="U3241" t="str">
        <f>IFERROR(__xludf.DUMMYFUNCTION("""COMPUTED_VALUE"""),"Electric!")</f>
        <v>Electric!</v>
      </c>
      <c r="V3241" t="str">
        <f>IFERROR(__xludf.DUMMYFUNCTION("""COMPUTED_VALUE"""),"Apple CarPlay / Android Auto / SiriusXM Radio")</f>
        <v>Apple CarPlay / Android Auto / SiriusXM Radio</v>
      </c>
      <c r="AH3241" s="189">
        <f>IFERROR(__xludf.DUMMYFUNCTION("""COMPUTED_VALUE"""),44452.50956314815)</f>
        <v>44452.50956</v>
      </c>
    </row>
    <row r="3242">
      <c r="A3242" t="str">
        <f>IFERROR(__xludf.DUMMYFUNCTION("""COMPUTED_VALUE"""),"Jmann234")</f>
        <v>Jmann234</v>
      </c>
      <c r="B3242" t="str">
        <f>IFERROR(__xludf.DUMMYFUNCTION("""COMPUTED_VALUE"""),"Burbank, CA")</f>
        <v>Burbank, CA</v>
      </c>
      <c r="C3242" t="str">
        <f>IFERROR(__xludf.DUMMYFUNCTION("""COMPUTED_VALUE"""),"CA")</f>
        <v>CA</v>
      </c>
      <c r="D3242" t="str">
        <f>IFERROR(__xludf.DUMMYFUNCTION("""COMPUTED_VALUE"""),"USA")</f>
        <v>USA</v>
      </c>
      <c r="E3242" s="188">
        <f>IFERROR(__xludf.DUMMYFUNCTION("""COMPUTED_VALUE"""),44394.0)</f>
        <v>44394</v>
      </c>
      <c r="J3242" s="188">
        <f>IFERROR(__xludf.DUMMYFUNCTION("""COMPUTED_VALUE"""),44507.0)</f>
        <v>44507</v>
      </c>
      <c r="M3242">
        <f>IFERROR(__xludf.DUMMYFUNCTION("""COMPUTED_VALUE"""),113.0)</f>
        <v>113</v>
      </c>
      <c r="N3242" t="str">
        <f>IFERROR(__xludf.DUMMYFUNCTION("""COMPUTED_VALUE"""),"Model 3 LR AWD")</f>
        <v>Model 3 LR AWD</v>
      </c>
      <c r="O3242" t="str">
        <f>IFERROR(__xludf.DUMMYFUNCTION("""COMPUTED_VALUE"""),"Deep Blue Metallic")</f>
        <v>Deep Blue Metallic</v>
      </c>
      <c r="P3242" t="str">
        <f>IFERROR(__xludf.DUMMYFUNCTION("""COMPUTED_VALUE"""),"18 inch")</f>
        <v>18 inch</v>
      </c>
      <c r="Q3242" t="str">
        <f>IFERROR(__xludf.DUMMYFUNCTION("""COMPUTED_VALUE"""),"All Black")</f>
        <v>All Black</v>
      </c>
      <c r="R3242" t="str">
        <f>IFERROR(__xludf.DUMMYFUNCTION("""COMPUTED_VALUE"""),"Autopilot included")</f>
        <v>Autopilot included</v>
      </c>
      <c r="S3242" t="str">
        <f>IFERROR(__xludf.DUMMYFUNCTION("""COMPUTED_VALUE"""),"Cash")</f>
        <v>Cash</v>
      </c>
      <c r="T3242" t="str">
        <f>IFERROR(__xludf.DUMMYFUNCTION("""COMPUTED_VALUE"""),"Chevy cobalt")</f>
        <v>Chevy cobalt</v>
      </c>
      <c r="AH3242" s="189">
        <f>IFERROR(__xludf.DUMMYFUNCTION("""COMPUTED_VALUE"""),44409.444083055554)</f>
        <v>44409.44408</v>
      </c>
    </row>
    <row r="3243">
      <c r="A3243" t="str">
        <f>IFERROR(__xludf.DUMMYFUNCTION("""COMPUTED_VALUE"""),"TJ")</f>
        <v>TJ</v>
      </c>
      <c r="B3243" t="str">
        <f>IFERROR(__xludf.DUMMYFUNCTION("""COMPUTED_VALUE"""),"Vancouver")</f>
        <v>Vancouver</v>
      </c>
      <c r="C3243" t="str">
        <f>IFERROR(__xludf.DUMMYFUNCTION("""COMPUTED_VALUE"""),"BC")</f>
        <v>BC</v>
      </c>
      <c r="D3243" t="str">
        <f>IFERROR(__xludf.DUMMYFUNCTION("""COMPUTED_VALUE"""),"Canada")</f>
        <v>Canada</v>
      </c>
      <c r="E3243" s="188">
        <f>IFERROR(__xludf.DUMMYFUNCTION("""COMPUTED_VALUE"""),44391.0)</f>
        <v>44391</v>
      </c>
      <c r="G3243" t="str">
        <f>IFERROR(__xludf.DUMMYFUNCTION("""COMPUTED_VALUE"""),"Existing Inventory")</f>
        <v>Existing Inventory</v>
      </c>
      <c r="J3243" s="188">
        <f>IFERROR(__xludf.DUMMYFUNCTION("""COMPUTED_VALUE"""),44436.0)</f>
        <v>44436</v>
      </c>
      <c r="M3243">
        <f>IFERROR(__xludf.DUMMYFUNCTION("""COMPUTED_VALUE"""),45.0)</f>
        <v>45</v>
      </c>
      <c r="N3243" t="str">
        <f>IFERROR(__xludf.DUMMYFUNCTION("""COMPUTED_VALUE"""),"Model 3 LR AWD")</f>
        <v>Model 3 LR AWD</v>
      </c>
      <c r="O3243" t="str">
        <f>IFERROR(__xludf.DUMMYFUNCTION("""COMPUTED_VALUE"""),"Pearl White Multi-Coat")</f>
        <v>Pearl White Multi-Coat</v>
      </c>
      <c r="P3243" t="str">
        <f>IFERROR(__xludf.DUMMYFUNCTION("""COMPUTED_VALUE"""),"18 inch")</f>
        <v>18 inch</v>
      </c>
      <c r="Q3243" t="str">
        <f>IFERROR(__xludf.DUMMYFUNCTION("""COMPUTED_VALUE"""),"All Black")</f>
        <v>All Black</v>
      </c>
      <c r="R3243" t="str">
        <f>IFERROR(__xludf.DUMMYFUNCTION("""COMPUTED_VALUE"""),"Autopilot included")</f>
        <v>Autopilot included</v>
      </c>
      <c r="S3243" t="str">
        <f>IFERROR(__xludf.DUMMYFUNCTION("""COMPUTED_VALUE"""),"Cash")</f>
        <v>Cash</v>
      </c>
      <c r="AH3243" s="189">
        <f>IFERROR(__xludf.DUMMYFUNCTION("""COMPUTED_VALUE"""),44429.03453896991)</f>
        <v>44429.03454</v>
      </c>
    </row>
    <row r="3244">
      <c r="A3244" t="str">
        <f>IFERROR(__xludf.DUMMYFUNCTION("""COMPUTED_VALUE"""),"nativeamirican")</f>
        <v>nativeamirican</v>
      </c>
      <c r="B3244" t="str">
        <f>IFERROR(__xludf.DUMMYFUNCTION("""COMPUTED_VALUE"""),"Dallas")</f>
        <v>Dallas</v>
      </c>
      <c r="C3244" t="str">
        <f>IFERROR(__xludf.DUMMYFUNCTION("""COMPUTED_VALUE"""),"TX")</f>
        <v>TX</v>
      </c>
      <c r="D3244" t="str">
        <f>IFERROR(__xludf.DUMMYFUNCTION("""COMPUTED_VALUE"""),"USA")</f>
        <v>USA</v>
      </c>
      <c r="E3244" s="188">
        <f>IFERROR(__xludf.DUMMYFUNCTION("""COMPUTED_VALUE"""),44361.0)</f>
        <v>44361</v>
      </c>
      <c r="F3244" s="188">
        <f>IFERROR(__xludf.DUMMYFUNCTION("""COMPUTED_VALUE"""),44417.0)</f>
        <v>44417</v>
      </c>
      <c r="G3244" t="str">
        <f>IFERROR(__xludf.DUMMYFUNCTION("""COMPUTED_VALUE"""),"Manage order page (normal text)")</f>
        <v>Manage order page (normal text)</v>
      </c>
      <c r="I3244" t="str">
        <f>IFERROR(__xludf.DUMMYFUNCTION("""COMPUTED_VALUE"""),"08/21")</f>
        <v>08/21</v>
      </c>
      <c r="J3244" s="188">
        <f>IFERROR(__xludf.DUMMYFUNCTION("""COMPUTED_VALUE"""),44432.0)</f>
        <v>44432</v>
      </c>
      <c r="K3244">
        <f>IFERROR(__xludf.DUMMYFUNCTION("""COMPUTED_VALUE"""),56.0)</f>
        <v>56</v>
      </c>
      <c r="L3244">
        <f>IFERROR(__xludf.DUMMYFUNCTION("""COMPUTED_VALUE"""),15.0)</f>
        <v>15</v>
      </c>
      <c r="M3244">
        <f>IFERROR(__xludf.DUMMYFUNCTION("""COMPUTED_VALUE"""),71.0)</f>
        <v>71</v>
      </c>
      <c r="N3244" t="str">
        <f>IFERROR(__xludf.DUMMYFUNCTION("""COMPUTED_VALUE"""),"Model 3 LR AWD")</f>
        <v>Model 3 LR AWD</v>
      </c>
      <c r="O3244" t="str">
        <f>IFERROR(__xludf.DUMMYFUNCTION("""COMPUTED_VALUE"""),"Midnight Silver Metallic")</f>
        <v>Midnight Silver Metallic</v>
      </c>
      <c r="P3244" t="str">
        <f>IFERROR(__xludf.DUMMYFUNCTION("""COMPUTED_VALUE"""),"19 inch")</f>
        <v>19 inch</v>
      </c>
      <c r="Q3244" t="str">
        <f>IFERROR(__xludf.DUMMYFUNCTION("""COMPUTED_VALUE"""),"Black and White")</f>
        <v>Black and White</v>
      </c>
      <c r="R3244" t="str">
        <f>IFERROR(__xludf.DUMMYFUNCTION("""COMPUTED_VALUE"""),"Full Self-Driving")</f>
        <v>Full Self-Driving</v>
      </c>
      <c r="S3244" t="str">
        <f>IFERROR(__xludf.DUMMYFUNCTION("""COMPUTED_VALUE"""),"Loan")</f>
        <v>Loan</v>
      </c>
      <c r="T3244" t="str">
        <f>IFERROR(__xludf.DUMMYFUNCTION("""COMPUTED_VALUE"""),"Honda Civic")</f>
        <v>Honda Civic</v>
      </c>
      <c r="U3244" t="str">
        <f>IFERROR(__xludf.DUMMYFUNCTION("""COMPUTED_VALUE"""),"Electric!")</f>
        <v>Electric!</v>
      </c>
      <c r="V3244" t="str">
        <f>IFERROR(__xludf.DUMMYFUNCTION("""COMPUTED_VALUE"""),"Ventilated seats")</f>
        <v>Ventilated seats</v>
      </c>
      <c r="X3244" t="str">
        <f>IFERROR(__xludf.DUMMYFUNCTION("""COMPUTED_VALUE"""),"Excellent")</f>
        <v>Excellent</v>
      </c>
      <c r="Y3244" t="str">
        <f>IFERROR(__xludf.DUMMYFUNCTION("""COMPUTED_VALUE"""),"Excellent")</f>
        <v>Excellent</v>
      </c>
      <c r="Z3244" t="str">
        <f>IFERROR(__xludf.DUMMYFUNCTION("""COMPUTED_VALUE"""),"Excellent")</f>
        <v>Excellent</v>
      </c>
      <c r="AA3244" t="str">
        <f>IFERROR(__xludf.DUMMYFUNCTION("""COMPUTED_VALUE"""),"Good")</f>
        <v>Good</v>
      </c>
      <c r="AB3244" t="str">
        <f>IFERROR(__xludf.DUMMYFUNCTION("""COMPUTED_VALUE"""),"Very Good")</f>
        <v>Very Good</v>
      </c>
      <c r="AF3244" t="str">
        <f>IFERROR(__xludf.DUMMYFUNCTION("""COMPUTED_VALUE"""),"No. I took delivery of the first car Tesla was able to deliver.")</f>
        <v>No. I took delivery of the first car Tesla was able to deliver.</v>
      </c>
      <c r="AH3244" s="189">
        <f>IFERROR(__xludf.DUMMYFUNCTION("""COMPUTED_VALUE"""),44432.47967552084)</f>
        <v>44432.47968</v>
      </c>
    </row>
    <row r="3245">
      <c r="A3245" t="str">
        <f>IFERROR(__xludf.DUMMYFUNCTION("""COMPUTED_VALUE"""),"Rayfucious")</f>
        <v>Rayfucious</v>
      </c>
      <c r="B3245" t="str">
        <f>IFERROR(__xludf.DUMMYFUNCTION("""COMPUTED_VALUE"""),"Harvard")</f>
        <v>Harvard</v>
      </c>
      <c r="C3245" t="str">
        <f>IFERROR(__xludf.DUMMYFUNCTION("""COMPUTED_VALUE"""),"IL")</f>
        <v>IL</v>
      </c>
      <c r="D3245" t="str">
        <f>IFERROR(__xludf.DUMMYFUNCTION("""COMPUTED_VALUE"""),"USA")</f>
        <v>USA</v>
      </c>
      <c r="E3245" s="188">
        <f>IFERROR(__xludf.DUMMYFUNCTION("""COMPUTED_VALUE"""),44373.0)</f>
        <v>44373</v>
      </c>
      <c r="F3245" s="188">
        <f>IFERROR(__xludf.DUMMYFUNCTION("""COMPUTED_VALUE"""),44421.0)</f>
        <v>44421</v>
      </c>
      <c r="G3245" t="str">
        <f>IFERROR(__xludf.DUMMYFUNCTION("""COMPUTED_VALUE"""),"Source code")</f>
        <v>Source code</v>
      </c>
      <c r="K3245">
        <f>IFERROR(__xludf.DUMMYFUNCTION("""COMPUTED_VALUE"""),48.0)</f>
        <v>48</v>
      </c>
      <c r="N3245" t="str">
        <f>IFERROR(__xludf.DUMMYFUNCTION("""COMPUTED_VALUE"""),"Model 3 LR AWD")</f>
        <v>Model 3 LR AWD</v>
      </c>
      <c r="O3245" t="str">
        <f>IFERROR(__xludf.DUMMYFUNCTION("""COMPUTED_VALUE"""),"Red Multi-Coat")</f>
        <v>Red Multi-Coat</v>
      </c>
      <c r="P3245" t="str">
        <f>IFERROR(__xludf.DUMMYFUNCTION("""COMPUTED_VALUE"""),"18 inch")</f>
        <v>18 inch</v>
      </c>
      <c r="Q3245" t="str">
        <f>IFERROR(__xludf.DUMMYFUNCTION("""COMPUTED_VALUE"""),"Black and White")</f>
        <v>Black and White</v>
      </c>
      <c r="R3245" t="str">
        <f>IFERROR(__xludf.DUMMYFUNCTION("""COMPUTED_VALUE"""),"Autopilot included")</f>
        <v>Autopilot included</v>
      </c>
      <c r="S3245" t="str">
        <f>IFERROR(__xludf.DUMMYFUNCTION("""COMPUTED_VALUE"""),"Loan")</f>
        <v>Loan</v>
      </c>
      <c r="U3245" t="str">
        <f>IFERROR(__xludf.DUMMYFUNCTION("""COMPUTED_VALUE"""),"Electric!")</f>
        <v>Electric!</v>
      </c>
      <c r="V3245" t="str">
        <f>IFERROR(__xludf.DUMMYFUNCTION("""COMPUTED_VALUE"""),"Head-up display")</f>
        <v>Head-up display</v>
      </c>
      <c r="AH3245" s="189">
        <f>IFERROR(__xludf.DUMMYFUNCTION("""COMPUTED_VALUE"""),44421.7156072338)</f>
        <v>44421.71561</v>
      </c>
    </row>
    <row r="3246">
      <c r="A3246" t="str">
        <f>IFERROR(__xludf.DUMMYFUNCTION("""COMPUTED_VALUE"""),"D34nn4dunn3")</f>
        <v>D34nn4dunn3</v>
      </c>
      <c r="B3246" t="str">
        <f>IFERROR(__xludf.DUMMYFUNCTION("""COMPUTED_VALUE"""),"Brooklyn")</f>
        <v>Brooklyn</v>
      </c>
      <c r="C3246" t="str">
        <f>IFERROR(__xludf.DUMMYFUNCTION("""COMPUTED_VALUE"""),"NY")</f>
        <v>NY</v>
      </c>
      <c r="D3246" t="str">
        <f>IFERROR(__xludf.DUMMYFUNCTION("""COMPUTED_VALUE"""),"USA")</f>
        <v>USA</v>
      </c>
      <c r="E3246" s="188">
        <f>IFERROR(__xludf.DUMMYFUNCTION("""COMPUTED_VALUE"""),44380.0)</f>
        <v>44380</v>
      </c>
      <c r="F3246" s="188">
        <f>IFERROR(__xludf.DUMMYFUNCTION("""COMPUTED_VALUE"""),44426.0)</f>
        <v>44426</v>
      </c>
      <c r="G3246" t="str">
        <f>IFERROR(__xludf.DUMMYFUNCTION("""COMPUTED_VALUE"""),"Manage order page (normal text)")</f>
        <v>Manage order page (normal text)</v>
      </c>
      <c r="H3246">
        <f>IFERROR(__xludf.DUMMYFUNCTION("""COMPUTED_VALUE"""),37955.0)</f>
        <v>37955</v>
      </c>
      <c r="J3246" s="188">
        <f>IFERROR(__xludf.DUMMYFUNCTION("""COMPUTED_VALUE"""),44439.0)</f>
        <v>44439</v>
      </c>
      <c r="K3246">
        <f>IFERROR(__xludf.DUMMYFUNCTION("""COMPUTED_VALUE"""),46.0)</f>
        <v>46</v>
      </c>
      <c r="L3246">
        <f>IFERROR(__xludf.DUMMYFUNCTION("""COMPUTED_VALUE"""),13.0)</f>
        <v>13</v>
      </c>
      <c r="M3246">
        <f>IFERROR(__xludf.DUMMYFUNCTION("""COMPUTED_VALUE"""),59.0)</f>
        <v>59</v>
      </c>
      <c r="N3246" t="str">
        <f>IFERROR(__xludf.DUMMYFUNCTION("""COMPUTED_VALUE"""),"Model 3 LR AWD")</f>
        <v>Model 3 LR AWD</v>
      </c>
      <c r="O3246" t="str">
        <f>IFERROR(__xludf.DUMMYFUNCTION("""COMPUTED_VALUE"""),"Solid Black")</f>
        <v>Solid Black</v>
      </c>
      <c r="P3246" t="str">
        <f>IFERROR(__xludf.DUMMYFUNCTION("""COMPUTED_VALUE"""),"18 inch")</f>
        <v>18 inch</v>
      </c>
      <c r="Q3246" t="str">
        <f>IFERROR(__xludf.DUMMYFUNCTION("""COMPUTED_VALUE"""),"Black and White")</f>
        <v>Black and White</v>
      </c>
      <c r="R3246" t="str">
        <f>IFERROR(__xludf.DUMMYFUNCTION("""COMPUTED_VALUE"""),"Full Self-Driving")</f>
        <v>Full Self-Driving</v>
      </c>
      <c r="S3246" t="str">
        <f>IFERROR(__xludf.DUMMYFUNCTION("""COMPUTED_VALUE"""),"Loan")</f>
        <v>Loan</v>
      </c>
      <c r="T3246" t="str">
        <f>IFERROR(__xludf.DUMMYFUNCTION("""COMPUTED_VALUE"""),"Honda Civic")</f>
        <v>Honda Civic</v>
      </c>
      <c r="U3246" t="str">
        <f>IFERROR(__xludf.DUMMYFUNCTION("""COMPUTED_VALUE"""),"All of it!")</f>
        <v>All of it!</v>
      </c>
      <c r="V3246" t="str">
        <f>IFERROR(__xludf.DUMMYFUNCTION("""COMPUTED_VALUE"""),"Heated steering wheel")</f>
        <v>Heated steering wheel</v>
      </c>
      <c r="AH3246" s="189">
        <f>IFERROR(__xludf.DUMMYFUNCTION("""COMPUTED_VALUE"""),44428.785505798616)</f>
        <v>44428.78551</v>
      </c>
    </row>
    <row r="3247">
      <c r="A3247" t="str">
        <f>IFERROR(__xludf.DUMMYFUNCTION("""COMPUTED_VALUE"""),"Ohlala")</f>
        <v>Ohlala</v>
      </c>
      <c r="C3247" t="str">
        <f>IFERROR(__xludf.DUMMYFUNCTION("""COMPUTED_VALUE"""),"CA")</f>
        <v>CA</v>
      </c>
      <c r="D3247" t="str">
        <f>IFERROR(__xludf.DUMMYFUNCTION("""COMPUTED_VALUE"""),"USA")</f>
        <v>USA</v>
      </c>
      <c r="E3247" s="188">
        <f>IFERROR(__xludf.DUMMYFUNCTION("""COMPUTED_VALUE"""),44395.0)</f>
        <v>44395</v>
      </c>
      <c r="F3247" s="188">
        <f>IFERROR(__xludf.DUMMYFUNCTION("""COMPUTED_VALUE"""),44419.0)</f>
        <v>44419</v>
      </c>
      <c r="G3247" t="str">
        <f>IFERROR(__xludf.DUMMYFUNCTION("""COMPUTED_VALUE"""),"Text message")</f>
        <v>Text message</v>
      </c>
      <c r="J3247" s="188">
        <f>IFERROR(__xludf.DUMMYFUNCTION("""COMPUTED_VALUE"""),44421.0)</f>
        <v>44421</v>
      </c>
      <c r="K3247">
        <f>IFERROR(__xludf.DUMMYFUNCTION("""COMPUTED_VALUE"""),24.0)</f>
        <v>24</v>
      </c>
      <c r="L3247">
        <f>IFERROR(__xludf.DUMMYFUNCTION("""COMPUTED_VALUE"""),2.0)</f>
        <v>2</v>
      </c>
      <c r="M3247">
        <f>IFERROR(__xludf.DUMMYFUNCTION("""COMPUTED_VALUE"""),26.0)</f>
        <v>26</v>
      </c>
      <c r="N3247" t="str">
        <f>IFERROR(__xludf.DUMMYFUNCTION("""COMPUTED_VALUE"""),"Model 3 Performance")</f>
        <v>Model 3 Performance</v>
      </c>
      <c r="O3247" t="str">
        <f>IFERROR(__xludf.DUMMYFUNCTION("""COMPUTED_VALUE"""),"Pearl White Multi-Coat")</f>
        <v>Pearl White Multi-Coat</v>
      </c>
      <c r="P3247" t="str">
        <f>IFERROR(__xludf.DUMMYFUNCTION("""COMPUTED_VALUE"""),"20 inch")</f>
        <v>20 inch</v>
      </c>
      <c r="Q3247" t="str">
        <f>IFERROR(__xludf.DUMMYFUNCTION("""COMPUTED_VALUE"""),"All Black")</f>
        <v>All Black</v>
      </c>
      <c r="R3247" t="str">
        <f>IFERROR(__xludf.DUMMYFUNCTION("""COMPUTED_VALUE"""),"Autopilot included")</f>
        <v>Autopilot included</v>
      </c>
      <c r="S3247" t="str">
        <f>IFERROR(__xludf.DUMMYFUNCTION("""COMPUTED_VALUE"""),"Loan")</f>
        <v>Loan</v>
      </c>
      <c r="T3247" t="str">
        <f>IFERROR(__xludf.DUMMYFUNCTION("""COMPUTED_VALUE"""),"BMW 3 Series")</f>
        <v>BMW 3 Series</v>
      </c>
      <c r="U3247" t="str">
        <f>IFERROR(__xludf.DUMMYFUNCTION("""COMPUTED_VALUE"""),"Speed")</f>
        <v>Speed</v>
      </c>
      <c r="V3247" t="str">
        <f>IFERROR(__xludf.DUMMYFUNCTION("""COMPUTED_VALUE"""),"Apple CarPlay / Android Auto / SiriusXM Radio")</f>
        <v>Apple CarPlay / Android Auto / SiriusXM Radio</v>
      </c>
      <c r="AH3247" s="189">
        <f>IFERROR(__xludf.DUMMYFUNCTION("""COMPUTED_VALUE"""),44420.60610603009)</f>
        <v>44420.60611</v>
      </c>
    </row>
    <row r="3248">
      <c r="A3248" t="str">
        <f>IFERROR(__xludf.DUMMYFUNCTION("""COMPUTED_VALUE"""),"Frostman007")</f>
        <v>Frostman007</v>
      </c>
      <c r="B3248" t="str">
        <f>IFERROR(__xludf.DUMMYFUNCTION("""COMPUTED_VALUE"""),"Bay Area")</f>
        <v>Bay Area</v>
      </c>
      <c r="C3248" t="str">
        <f>IFERROR(__xludf.DUMMYFUNCTION("""COMPUTED_VALUE"""),"CA")</f>
        <v>CA</v>
      </c>
      <c r="D3248" t="str">
        <f>IFERROR(__xludf.DUMMYFUNCTION("""COMPUTED_VALUE"""),"USA")</f>
        <v>USA</v>
      </c>
      <c r="E3248" s="188">
        <f>IFERROR(__xludf.DUMMYFUNCTION("""COMPUTED_VALUE"""),44350.0)</f>
        <v>44350</v>
      </c>
      <c r="F3248" s="188">
        <f>IFERROR(__xludf.DUMMYFUNCTION("""COMPUTED_VALUE"""),44430.0)</f>
        <v>44430</v>
      </c>
      <c r="G3248" t="str">
        <f>IFERROR(__xludf.DUMMYFUNCTION("""COMPUTED_VALUE"""),"Email")</f>
        <v>Email</v>
      </c>
      <c r="J3248" s="188">
        <f>IFERROR(__xludf.DUMMYFUNCTION("""COMPUTED_VALUE"""),44434.0)</f>
        <v>44434</v>
      </c>
      <c r="K3248">
        <f>IFERROR(__xludf.DUMMYFUNCTION("""COMPUTED_VALUE"""),80.0)</f>
        <v>80</v>
      </c>
      <c r="L3248">
        <f>IFERROR(__xludf.DUMMYFUNCTION("""COMPUTED_VALUE"""),4.0)</f>
        <v>4</v>
      </c>
      <c r="M3248">
        <f>IFERROR(__xludf.DUMMYFUNCTION("""COMPUTED_VALUE"""),84.0)</f>
        <v>84</v>
      </c>
      <c r="N3248" t="str">
        <f>IFERROR(__xludf.DUMMYFUNCTION("""COMPUTED_VALUE"""),"Model 3 SR+")</f>
        <v>Model 3 SR+</v>
      </c>
      <c r="O3248" t="str">
        <f>IFERROR(__xludf.DUMMYFUNCTION("""COMPUTED_VALUE"""),"Deep Blue Metallic")</f>
        <v>Deep Blue Metallic</v>
      </c>
      <c r="P3248" t="str">
        <f>IFERROR(__xludf.DUMMYFUNCTION("""COMPUTED_VALUE"""),"18 inch")</f>
        <v>18 inch</v>
      </c>
      <c r="Q3248" t="str">
        <f>IFERROR(__xludf.DUMMYFUNCTION("""COMPUTED_VALUE"""),"All Black")</f>
        <v>All Black</v>
      </c>
      <c r="R3248" t="str">
        <f>IFERROR(__xludf.DUMMYFUNCTION("""COMPUTED_VALUE"""),"Autopilot included")</f>
        <v>Autopilot included</v>
      </c>
      <c r="S3248" t="str">
        <f>IFERROR(__xludf.DUMMYFUNCTION("""COMPUTED_VALUE"""),"Loan")</f>
        <v>Loan</v>
      </c>
      <c r="T3248" t="str">
        <f>IFERROR(__xludf.DUMMYFUNCTION("""COMPUTED_VALUE"""),"Nissan Maxima")</f>
        <v>Nissan Maxima</v>
      </c>
      <c r="U3248" t="str">
        <f>IFERROR(__xludf.DUMMYFUNCTION("""COMPUTED_VALUE"""),"Electric!")</f>
        <v>Electric!</v>
      </c>
      <c r="V3248" t="str">
        <f>IFERROR(__xludf.DUMMYFUNCTION("""COMPUTED_VALUE"""),"Blind spot indicators on side mirrors")</f>
        <v>Blind spot indicators on side mirrors</v>
      </c>
      <c r="AH3248" s="189">
        <f>IFERROR(__xludf.DUMMYFUNCTION("""COMPUTED_VALUE"""),44430.882155162035)</f>
        <v>44430.88216</v>
      </c>
    </row>
    <row r="3249">
      <c r="A3249" t="str">
        <f>IFERROR(__xludf.DUMMYFUNCTION("""COMPUTED_VALUE"""),"SelenerDarkVader")</f>
        <v>SelenerDarkVader</v>
      </c>
      <c r="B3249" t="str">
        <f>IFERROR(__xludf.DUMMYFUNCTION("""COMPUTED_VALUE"""),"YVR")</f>
        <v>YVR</v>
      </c>
      <c r="C3249" t="str">
        <f>IFERROR(__xludf.DUMMYFUNCTION("""COMPUTED_VALUE"""),"BC")</f>
        <v>BC</v>
      </c>
      <c r="D3249" t="str">
        <f>IFERROR(__xludf.DUMMYFUNCTION("""COMPUTED_VALUE"""),"Canada")</f>
        <v>Canada</v>
      </c>
      <c r="E3249" s="188">
        <f>IFERROR(__xludf.DUMMYFUNCTION("""COMPUTED_VALUE"""),44392.0)</f>
        <v>44392</v>
      </c>
      <c r="F3249" s="188">
        <f>IFERROR(__xludf.DUMMYFUNCTION("""COMPUTED_VALUE"""),44478.0)</f>
        <v>44478</v>
      </c>
      <c r="G3249" t="str">
        <f>IFERROR(__xludf.DUMMYFUNCTION("""COMPUTED_VALUE"""),"Source code")</f>
        <v>Source code</v>
      </c>
      <c r="J3249" s="188">
        <f>IFERROR(__xludf.DUMMYFUNCTION("""COMPUTED_VALUE"""),44483.0)</f>
        <v>44483</v>
      </c>
      <c r="K3249">
        <f>IFERROR(__xludf.DUMMYFUNCTION("""COMPUTED_VALUE"""),86.0)</f>
        <v>86</v>
      </c>
      <c r="L3249">
        <f>IFERROR(__xludf.DUMMYFUNCTION("""COMPUTED_VALUE"""),5.0)</f>
        <v>5</v>
      </c>
      <c r="M3249">
        <f>IFERROR(__xludf.DUMMYFUNCTION("""COMPUTED_VALUE"""),91.0)</f>
        <v>91</v>
      </c>
      <c r="N3249" t="str">
        <f>IFERROR(__xludf.DUMMYFUNCTION("""COMPUTED_VALUE"""),"Model 3 SR+")</f>
        <v>Model 3 SR+</v>
      </c>
      <c r="O3249" t="str">
        <f>IFERROR(__xludf.DUMMYFUNCTION("""COMPUTED_VALUE"""),"Red Multi-Coat")</f>
        <v>Red Multi-Coat</v>
      </c>
      <c r="P3249" t="str">
        <f>IFERROR(__xludf.DUMMYFUNCTION("""COMPUTED_VALUE"""),"18 inch")</f>
        <v>18 inch</v>
      </c>
      <c r="Q3249" t="str">
        <f>IFERROR(__xludf.DUMMYFUNCTION("""COMPUTED_VALUE"""),"All Black")</f>
        <v>All Black</v>
      </c>
      <c r="R3249" t="str">
        <f>IFERROR(__xludf.DUMMYFUNCTION("""COMPUTED_VALUE"""),"Autopilot included")</f>
        <v>Autopilot included</v>
      </c>
      <c r="S3249" t="str">
        <f>IFERROR(__xludf.DUMMYFUNCTION("""COMPUTED_VALUE"""),"Loan")</f>
        <v>Loan</v>
      </c>
      <c r="T3249" t="str">
        <f>IFERROR(__xludf.DUMMYFUNCTION("""COMPUTED_VALUE"""),"Model 3 will be my first car!")</f>
        <v>Model 3 will be my first car!</v>
      </c>
      <c r="U3249" t="str">
        <f>IFERROR(__xludf.DUMMYFUNCTION("""COMPUTED_VALUE"""),"Electric!")</f>
        <v>Electric!</v>
      </c>
      <c r="V3249" t="str">
        <f>IFERROR(__xludf.DUMMYFUNCTION("""COMPUTED_VALUE"""),"Bioweapon defense mode")</f>
        <v>Bioweapon defense mode</v>
      </c>
      <c r="X3249" t="str">
        <f>IFERROR(__xludf.DUMMYFUNCTION("""COMPUTED_VALUE"""),"Excellent")</f>
        <v>Excellent</v>
      </c>
      <c r="Y3249" t="str">
        <f>IFERROR(__xludf.DUMMYFUNCTION("""COMPUTED_VALUE"""),"Excellent")</f>
        <v>Excellent</v>
      </c>
      <c r="Z3249" t="str">
        <f>IFERROR(__xludf.DUMMYFUNCTION("""COMPUTED_VALUE"""),"Excellent")</f>
        <v>Excellent</v>
      </c>
      <c r="AA3249" t="str">
        <f>IFERROR(__xludf.DUMMYFUNCTION("""COMPUTED_VALUE"""),"Fair")</f>
        <v>Fair</v>
      </c>
      <c r="AB3249" t="str">
        <f>IFERROR(__xludf.DUMMYFUNCTION("""COMPUTED_VALUE"""),"Good")</f>
        <v>Good</v>
      </c>
      <c r="AH3249" s="189">
        <f>IFERROR(__xludf.DUMMYFUNCTION("""COMPUTED_VALUE"""),44487.49395034723)</f>
        <v>44487.49395</v>
      </c>
    </row>
    <row r="3250">
      <c r="A3250" t="str">
        <f>IFERROR(__xludf.DUMMYFUNCTION("""COMPUTED_VALUE"""),"DP")</f>
        <v>DP</v>
      </c>
      <c r="B3250" t="str">
        <f>IFERROR(__xludf.DUMMYFUNCTION("""COMPUTED_VALUE"""),"Miami")</f>
        <v>Miami</v>
      </c>
      <c r="C3250" t="str">
        <f>IFERROR(__xludf.DUMMYFUNCTION("""COMPUTED_VALUE"""),"FL")</f>
        <v>FL</v>
      </c>
      <c r="D3250" t="str">
        <f>IFERROR(__xludf.DUMMYFUNCTION("""COMPUTED_VALUE"""),"USA")</f>
        <v>USA</v>
      </c>
      <c r="E3250" s="188">
        <f>IFERROR(__xludf.DUMMYFUNCTION("""COMPUTED_VALUE"""),44336.0)</f>
        <v>44336</v>
      </c>
      <c r="F3250" s="188">
        <f>IFERROR(__xludf.DUMMYFUNCTION("""COMPUTED_VALUE"""),44413.0)</f>
        <v>44413</v>
      </c>
      <c r="G3250" t="str">
        <f>IFERROR(__xludf.DUMMYFUNCTION("""COMPUTED_VALUE"""),"Email from SA -&gt; Manage order Page")</f>
        <v>Email from SA -&gt; Manage order Page</v>
      </c>
      <c r="I3250" t="str">
        <f>IFERROR(__xludf.DUMMYFUNCTION("""COMPUTED_VALUE"""),"08/21")</f>
        <v>08/21</v>
      </c>
      <c r="J3250" s="188">
        <f>IFERROR(__xludf.DUMMYFUNCTION("""COMPUTED_VALUE"""),44435.0)</f>
        <v>44435</v>
      </c>
      <c r="K3250">
        <f>IFERROR(__xludf.DUMMYFUNCTION("""COMPUTED_VALUE"""),77.0)</f>
        <v>77</v>
      </c>
      <c r="L3250">
        <f>IFERROR(__xludf.DUMMYFUNCTION("""COMPUTED_VALUE"""),22.0)</f>
        <v>22</v>
      </c>
      <c r="M3250">
        <f>IFERROR(__xludf.DUMMYFUNCTION("""COMPUTED_VALUE"""),99.0)</f>
        <v>99</v>
      </c>
      <c r="N3250" t="str">
        <f>IFERROR(__xludf.DUMMYFUNCTION("""COMPUTED_VALUE"""),"Model 3 SR+")</f>
        <v>Model 3 SR+</v>
      </c>
      <c r="O3250" t="str">
        <f>IFERROR(__xludf.DUMMYFUNCTION("""COMPUTED_VALUE"""),"Pearl White Multi-Coat")</f>
        <v>Pearl White Multi-Coat</v>
      </c>
      <c r="P3250" t="str">
        <f>IFERROR(__xludf.DUMMYFUNCTION("""COMPUTED_VALUE"""),"18 inch")</f>
        <v>18 inch</v>
      </c>
      <c r="Q3250" t="str">
        <f>IFERROR(__xludf.DUMMYFUNCTION("""COMPUTED_VALUE"""),"All Black")</f>
        <v>All Black</v>
      </c>
      <c r="R3250" t="str">
        <f>IFERROR(__xludf.DUMMYFUNCTION("""COMPUTED_VALUE"""),"Autopilot included")</f>
        <v>Autopilot included</v>
      </c>
      <c r="S3250" t="str">
        <f>IFERROR(__xludf.DUMMYFUNCTION("""COMPUTED_VALUE"""),"Loan")</f>
        <v>Loan</v>
      </c>
      <c r="T3250" t="str">
        <f>IFERROR(__xludf.DUMMYFUNCTION("""COMPUTED_VALUE"""),"Jeep Grand Cherokee")</f>
        <v>Jeep Grand Cherokee</v>
      </c>
      <c r="U3250" t="str">
        <f>IFERROR(__xludf.DUMMYFUNCTION("""COMPUTED_VALUE"""),"Electric!")</f>
        <v>Electric!</v>
      </c>
      <c r="V3250" t="str">
        <f>IFERROR(__xludf.DUMMYFUNCTION("""COMPUTED_VALUE"""),"Apple CarPlay / Android Auto / SiriusXM Radio")</f>
        <v>Apple CarPlay / Android Auto / SiriusXM Radio</v>
      </c>
      <c r="W3250" t="str">
        <f>IFERROR(__xludf.DUMMYFUNCTION("""COMPUTED_VALUE"""),"Don't look and/or believe EDD")</f>
        <v>Don't look and/or believe EDD</v>
      </c>
      <c r="X3250" t="str">
        <f>IFERROR(__xludf.DUMMYFUNCTION("""COMPUTED_VALUE"""),"Very Good")</f>
        <v>Very Good</v>
      </c>
      <c r="Y3250" t="str">
        <f>IFERROR(__xludf.DUMMYFUNCTION("""COMPUTED_VALUE"""),"Good")</f>
        <v>Good</v>
      </c>
      <c r="Z3250" t="str">
        <f>IFERROR(__xludf.DUMMYFUNCTION("""COMPUTED_VALUE"""),"Fair")</f>
        <v>Fair</v>
      </c>
      <c r="AA3250" t="str">
        <f>IFERROR(__xludf.DUMMYFUNCTION("""COMPUTED_VALUE"""),"Very Good")</f>
        <v>Very Good</v>
      </c>
      <c r="AB3250" t="str">
        <f>IFERROR(__xludf.DUMMYFUNCTION("""COMPUTED_VALUE"""),"Good")</f>
        <v>Good</v>
      </c>
      <c r="AC3250">
        <f>IFERROR(__xludf.DUMMYFUNCTION("""COMPUTED_VALUE"""),2.0)</f>
        <v>2</v>
      </c>
      <c r="AD3250">
        <f>IFERROR(__xludf.DUMMYFUNCTION("""COMPUTED_VALUE"""),1.0)</f>
        <v>1</v>
      </c>
      <c r="AF3250" t="str">
        <f>IFERROR(__xludf.DUMMYFUNCTION("""COMPUTED_VALUE"""),"No. I took delivery of the first car Tesla was able to deliver.")</f>
        <v>No. I took delivery of the first car Tesla was able to deliver.</v>
      </c>
      <c r="AG3250" t="str">
        <f>IFERROR(__xludf.DUMMYFUNCTION("""COMPUTED_VALUE"""),"Go to a Tesla Store and establish a relationship with a SA, mine has been extremely helpful")</f>
        <v>Go to a Tesla Store and establish a relationship with a SA, mine has been extremely helpful</v>
      </c>
      <c r="AH3250" s="189">
        <f>IFERROR(__xludf.DUMMYFUNCTION("""COMPUTED_VALUE"""),44438.59919425926)</f>
        <v>44438.59919</v>
      </c>
    </row>
    <row r="3251">
      <c r="A3251" t="str">
        <f>IFERROR(__xludf.DUMMYFUNCTION("""COMPUTED_VALUE"""),"badavoom")</f>
        <v>badavoom</v>
      </c>
      <c r="B3251" t="str">
        <f>IFERROR(__xludf.DUMMYFUNCTION("""COMPUTED_VALUE"""),"Austin")</f>
        <v>Austin</v>
      </c>
      <c r="C3251" t="str">
        <f>IFERROR(__xludf.DUMMYFUNCTION("""COMPUTED_VALUE"""),"TX")</f>
        <v>TX</v>
      </c>
      <c r="D3251" t="str">
        <f>IFERROR(__xludf.DUMMYFUNCTION("""COMPUTED_VALUE"""),"USA")</f>
        <v>USA</v>
      </c>
      <c r="E3251" s="188">
        <f>IFERROR(__xludf.DUMMYFUNCTION("""COMPUTED_VALUE"""),44385.0)</f>
        <v>44385</v>
      </c>
      <c r="F3251" s="188">
        <f>IFERROR(__xludf.DUMMYFUNCTION("""COMPUTED_VALUE"""),44411.0)</f>
        <v>44411</v>
      </c>
      <c r="G3251" t="str">
        <f>IFERROR(__xludf.DUMMYFUNCTION("""COMPUTED_VALUE"""),"Email")</f>
        <v>Email</v>
      </c>
      <c r="H3251">
        <f>IFERROR(__xludf.DUMMYFUNCTION("""COMPUTED_VALUE"""),28955.0)</f>
        <v>28955</v>
      </c>
      <c r="J3251" s="188">
        <f>IFERROR(__xludf.DUMMYFUNCTION("""COMPUTED_VALUE"""),44426.0)</f>
        <v>44426</v>
      </c>
      <c r="K3251">
        <f>IFERROR(__xludf.DUMMYFUNCTION("""COMPUTED_VALUE"""),26.0)</f>
        <v>26</v>
      </c>
      <c r="L3251">
        <f>IFERROR(__xludf.DUMMYFUNCTION("""COMPUTED_VALUE"""),15.0)</f>
        <v>15</v>
      </c>
      <c r="M3251">
        <f>IFERROR(__xludf.DUMMYFUNCTION("""COMPUTED_VALUE"""),41.0)</f>
        <v>41</v>
      </c>
      <c r="N3251" t="str">
        <f>IFERROR(__xludf.DUMMYFUNCTION("""COMPUTED_VALUE"""),"Model 3 Performance")</f>
        <v>Model 3 Performance</v>
      </c>
      <c r="O3251" t="str">
        <f>IFERROR(__xludf.DUMMYFUNCTION("""COMPUTED_VALUE"""),"Midnight Silver Metallic")</f>
        <v>Midnight Silver Metallic</v>
      </c>
      <c r="P3251" t="str">
        <f>IFERROR(__xludf.DUMMYFUNCTION("""COMPUTED_VALUE"""),"20 inch")</f>
        <v>20 inch</v>
      </c>
      <c r="Q3251" t="str">
        <f>IFERROR(__xludf.DUMMYFUNCTION("""COMPUTED_VALUE"""),"All Black")</f>
        <v>All Black</v>
      </c>
      <c r="R3251" t="str">
        <f>IFERROR(__xludf.DUMMYFUNCTION("""COMPUTED_VALUE"""),"Autopilot included")</f>
        <v>Autopilot included</v>
      </c>
      <c r="T3251" t="str">
        <f>IFERROR(__xludf.DUMMYFUNCTION("""COMPUTED_VALUE"""),"Ford Mustang")</f>
        <v>Ford Mustang</v>
      </c>
      <c r="AH3251" s="189">
        <f>IFERROR(__xludf.DUMMYFUNCTION("""COMPUTED_VALUE"""),44424.497084664355)</f>
        <v>44424.49708</v>
      </c>
    </row>
    <row r="3252">
      <c r="A3252" t="str">
        <f>IFERROR(__xludf.DUMMYFUNCTION("""COMPUTED_VALUE"""),"kblICT")</f>
        <v>kblICT</v>
      </c>
      <c r="B3252" t="str">
        <f>IFERROR(__xludf.DUMMYFUNCTION("""COMPUTED_VALUE"""),"Wichita")</f>
        <v>Wichita</v>
      </c>
      <c r="C3252" t="str">
        <f>IFERROR(__xludf.DUMMYFUNCTION("""COMPUTED_VALUE"""),"KS")</f>
        <v>KS</v>
      </c>
      <c r="D3252" t="str">
        <f>IFERROR(__xludf.DUMMYFUNCTION("""COMPUTED_VALUE"""),"USA")</f>
        <v>USA</v>
      </c>
      <c r="E3252" s="188">
        <f>IFERROR(__xludf.DUMMYFUNCTION("""COMPUTED_VALUE"""),44377.0)</f>
        <v>44377</v>
      </c>
      <c r="F3252" s="188">
        <f>IFERROR(__xludf.DUMMYFUNCTION("""COMPUTED_VALUE"""),44423.0)</f>
        <v>44423</v>
      </c>
      <c r="G3252" t="str">
        <f>IFERROR(__xludf.DUMMYFUNCTION("""COMPUTED_VALUE"""),"Email")</f>
        <v>Email</v>
      </c>
      <c r="H3252">
        <f>IFERROR(__xludf.DUMMYFUNCTION("""COMPUTED_VALUE"""),33355.0)</f>
        <v>33355</v>
      </c>
      <c r="I3252" t="str">
        <f>IFERROR(__xludf.DUMMYFUNCTION("""COMPUTED_VALUE"""),"08/21")</f>
        <v>08/21</v>
      </c>
      <c r="J3252" s="188">
        <f>IFERROR(__xludf.DUMMYFUNCTION("""COMPUTED_VALUE"""),44436.0)</f>
        <v>44436</v>
      </c>
      <c r="K3252">
        <f>IFERROR(__xludf.DUMMYFUNCTION("""COMPUTED_VALUE"""),46.0)</f>
        <v>46</v>
      </c>
      <c r="L3252">
        <f>IFERROR(__xludf.DUMMYFUNCTION("""COMPUTED_VALUE"""),13.0)</f>
        <v>13</v>
      </c>
      <c r="M3252">
        <f>IFERROR(__xludf.DUMMYFUNCTION("""COMPUTED_VALUE"""),59.0)</f>
        <v>59</v>
      </c>
      <c r="N3252" t="str">
        <f>IFERROR(__xludf.DUMMYFUNCTION("""COMPUTED_VALUE"""),"Model 3 LR AWD")</f>
        <v>Model 3 LR AWD</v>
      </c>
      <c r="O3252" t="str">
        <f>IFERROR(__xludf.DUMMYFUNCTION("""COMPUTED_VALUE"""),"Pearl White Multi-Coat")</f>
        <v>Pearl White Multi-Coat</v>
      </c>
      <c r="P3252" t="str">
        <f>IFERROR(__xludf.DUMMYFUNCTION("""COMPUTED_VALUE"""),"18 inch")</f>
        <v>18 inch</v>
      </c>
      <c r="Q3252" t="str">
        <f>IFERROR(__xludf.DUMMYFUNCTION("""COMPUTED_VALUE"""),"All Black")</f>
        <v>All Black</v>
      </c>
      <c r="R3252" t="str">
        <f>IFERROR(__xludf.DUMMYFUNCTION("""COMPUTED_VALUE"""),"Autopilot included")</f>
        <v>Autopilot included</v>
      </c>
      <c r="S3252" t="str">
        <f>IFERROR(__xludf.DUMMYFUNCTION("""COMPUTED_VALUE"""),"Cash")</f>
        <v>Cash</v>
      </c>
      <c r="T3252" t="str">
        <f>IFERROR(__xludf.DUMMYFUNCTION("""COMPUTED_VALUE"""),"Acura TL")</f>
        <v>Acura TL</v>
      </c>
      <c r="U3252" t="str">
        <f>IFERROR(__xludf.DUMMYFUNCTION("""COMPUTED_VALUE"""),"Electric!")</f>
        <v>Electric!</v>
      </c>
      <c r="V3252" t="str">
        <f>IFERROR(__xludf.DUMMYFUNCTION("""COMPUTED_VALUE"""),"Head-up display")</f>
        <v>Head-up display</v>
      </c>
      <c r="W3252" t="str">
        <f>IFERROR(__xludf.DUMMYFUNCTION("""COMPUTED_VALUE"""),"Original EDD (before I pushed the order button) was 7-11 weeks. Actual was 8.5 weeks despite post-buy checks showing many swings outside that range. If you don't like drama, don't obsess over EDD.")</f>
        <v>Original EDD (before I pushed the order button) was 7-11 weeks. Actual was 8.5 weeks despite post-buy checks showing many swings outside that range. If you don't like drama, don't obsess over EDD.</v>
      </c>
      <c r="X3252" t="str">
        <f>IFERROR(__xludf.DUMMYFUNCTION("""COMPUTED_VALUE"""),"Excellent")</f>
        <v>Excellent</v>
      </c>
      <c r="Y3252" t="str">
        <f>IFERROR(__xludf.DUMMYFUNCTION("""COMPUTED_VALUE"""),"Excellent")</f>
        <v>Excellent</v>
      </c>
      <c r="Z3252" t="str">
        <f>IFERROR(__xludf.DUMMYFUNCTION("""COMPUTED_VALUE"""),"Very Good")</f>
        <v>Very Good</v>
      </c>
      <c r="AA3252" t="str">
        <f>IFERROR(__xludf.DUMMYFUNCTION("""COMPUTED_VALUE"""),"Very Good")</f>
        <v>Very Good</v>
      </c>
      <c r="AB3252" t="str">
        <f>IFERROR(__xludf.DUMMYFUNCTION("""COMPUTED_VALUE"""),"Very Good")</f>
        <v>Very Good</v>
      </c>
      <c r="AC3252">
        <f>IFERROR(__xludf.DUMMYFUNCTION("""COMPUTED_VALUE"""),1.0)</f>
        <v>1</v>
      </c>
      <c r="AF3252" t="str">
        <f>IFERROR(__xludf.DUMMYFUNCTION("""COMPUTED_VALUE"""),"No. I took delivery of the first car Tesla was able to deliver.")</f>
        <v>No. I took delivery of the first car Tesla was able to deliver.</v>
      </c>
      <c r="AH3252" s="189">
        <f>IFERROR(__xludf.DUMMYFUNCTION("""COMPUTED_VALUE"""),44438.44310082176)</f>
        <v>44438.4431</v>
      </c>
    </row>
    <row r="3253">
      <c r="A3253" t="str">
        <f>IFERROR(__xludf.DUMMYFUNCTION("""COMPUTED_VALUE"""),"DManInAZ")</f>
        <v>DManInAZ</v>
      </c>
      <c r="B3253" t="str">
        <f>IFERROR(__xludf.DUMMYFUNCTION("""COMPUTED_VALUE"""),"Peoria")</f>
        <v>Peoria</v>
      </c>
      <c r="C3253" t="str">
        <f>IFERROR(__xludf.DUMMYFUNCTION("""COMPUTED_VALUE"""),"AZ")</f>
        <v>AZ</v>
      </c>
      <c r="D3253" t="str">
        <f>IFERROR(__xludf.DUMMYFUNCTION("""COMPUTED_VALUE"""),"USA")</f>
        <v>USA</v>
      </c>
      <c r="E3253" s="188">
        <f>IFERROR(__xludf.DUMMYFUNCTION("""COMPUTED_VALUE"""),44358.0)</f>
        <v>44358</v>
      </c>
      <c r="F3253" s="188">
        <f>IFERROR(__xludf.DUMMYFUNCTION("""COMPUTED_VALUE"""),44405.0)</f>
        <v>44405</v>
      </c>
      <c r="G3253" t="str">
        <f>IFERROR(__xludf.DUMMYFUNCTION("""COMPUTED_VALUE"""),"Manage order page (normal text)")</f>
        <v>Manage order page (normal text)</v>
      </c>
      <c r="H3253">
        <f>IFERROR(__xludf.DUMMYFUNCTION("""COMPUTED_VALUE"""),21655.0)</f>
        <v>21655</v>
      </c>
      <c r="I3253" t="str">
        <f>IFERROR(__xludf.DUMMYFUNCTION("""COMPUTED_VALUE"""),"07/21")</f>
        <v>07/21</v>
      </c>
      <c r="J3253" s="188">
        <f>IFERROR(__xludf.DUMMYFUNCTION("""COMPUTED_VALUE"""),44408.0)</f>
        <v>44408</v>
      </c>
      <c r="K3253">
        <f>IFERROR(__xludf.DUMMYFUNCTION("""COMPUTED_VALUE"""),47.0)</f>
        <v>47</v>
      </c>
      <c r="L3253">
        <f>IFERROR(__xludf.DUMMYFUNCTION("""COMPUTED_VALUE"""),3.0)</f>
        <v>3</v>
      </c>
      <c r="M3253">
        <f>IFERROR(__xludf.DUMMYFUNCTION("""COMPUTED_VALUE"""),50.0)</f>
        <v>50</v>
      </c>
      <c r="N3253" t="str">
        <f>IFERROR(__xludf.DUMMYFUNCTION("""COMPUTED_VALUE"""),"Model 3 SR+")</f>
        <v>Model 3 SR+</v>
      </c>
      <c r="O3253" t="str">
        <f>IFERROR(__xludf.DUMMYFUNCTION("""COMPUTED_VALUE"""),"Midnight Silver Metallic")</f>
        <v>Midnight Silver Metallic</v>
      </c>
      <c r="P3253" t="str">
        <f>IFERROR(__xludf.DUMMYFUNCTION("""COMPUTED_VALUE"""),"18 inch")</f>
        <v>18 inch</v>
      </c>
      <c r="Q3253" t="str">
        <f>IFERROR(__xludf.DUMMYFUNCTION("""COMPUTED_VALUE"""),"All Black")</f>
        <v>All Black</v>
      </c>
      <c r="R3253" t="str">
        <f>IFERROR(__xludf.DUMMYFUNCTION("""COMPUTED_VALUE"""),"Autopilot included")</f>
        <v>Autopilot included</v>
      </c>
      <c r="S3253" t="str">
        <f>IFERROR(__xludf.DUMMYFUNCTION("""COMPUTED_VALUE"""),"Loan")</f>
        <v>Loan</v>
      </c>
      <c r="T3253" t="str">
        <f>IFERROR(__xludf.DUMMYFUNCTION("""COMPUTED_VALUE"""),"Range Rover Evoque")</f>
        <v>Range Rover Evoque</v>
      </c>
      <c r="U3253" t="str">
        <f>IFERROR(__xludf.DUMMYFUNCTION("""COMPUTED_VALUE"""),"Autopilot")</f>
        <v>Autopilot</v>
      </c>
      <c r="V3253" t="str">
        <f>IFERROR(__xludf.DUMMYFUNCTION("""COMPUTED_VALUE"""),"HomeLink")</f>
        <v>HomeLink</v>
      </c>
      <c r="W3253" t="str">
        <f>IFERROR(__xludf.DUMMYFUNCTION("""COMPUTED_VALUE"""),"Forget about the EDD, it will drive you nuts!")</f>
        <v>Forget about the EDD, it will drive you nuts!</v>
      </c>
      <c r="X3253" t="str">
        <f>IFERROR(__xludf.DUMMYFUNCTION("""COMPUTED_VALUE"""),"Excellent")</f>
        <v>Excellent</v>
      </c>
      <c r="Y3253" t="str">
        <f>IFERROR(__xludf.DUMMYFUNCTION("""COMPUTED_VALUE"""),"Excellent")</f>
        <v>Excellent</v>
      </c>
      <c r="Z3253" t="str">
        <f>IFERROR(__xludf.DUMMYFUNCTION("""COMPUTED_VALUE"""),"Excellent")</f>
        <v>Excellent</v>
      </c>
      <c r="AA3253" t="str">
        <f>IFERROR(__xludf.DUMMYFUNCTION("""COMPUTED_VALUE"""),"Fair")</f>
        <v>Fair</v>
      </c>
      <c r="AB3253" t="str">
        <f>IFERROR(__xludf.DUMMYFUNCTION("""COMPUTED_VALUE"""),"Excellent")</f>
        <v>Excellent</v>
      </c>
      <c r="AH3253" s="189">
        <f>IFERROR(__xludf.DUMMYFUNCTION("""COMPUTED_VALUE"""),44410.637787245374)</f>
        <v>44410.63779</v>
      </c>
    </row>
    <row r="3254">
      <c r="A3254" t="str">
        <f>IFERROR(__xludf.DUMMYFUNCTION("""COMPUTED_VALUE"""),"Mmorrison")</f>
        <v>Mmorrison</v>
      </c>
      <c r="B3254" t="str">
        <f>IFERROR(__xludf.DUMMYFUNCTION("""COMPUTED_VALUE"""),"Omaha")</f>
        <v>Omaha</v>
      </c>
      <c r="C3254" t="str">
        <f>IFERROR(__xludf.DUMMYFUNCTION("""COMPUTED_VALUE"""),"NE")</f>
        <v>NE</v>
      </c>
      <c r="D3254" t="str">
        <f>IFERROR(__xludf.DUMMYFUNCTION("""COMPUTED_VALUE"""),"USA")</f>
        <v>USA</v>
      </c>
      <c r="E3254" s="188">
        <f>IFERROR(__xludf.DUMMYFUNCTION("""COMPUTED_VALUE"""),44378.0)</f>
        <v>44378</v>
      </c>
      <c r="F3254" s="188">
        <f>IFERROR(__xludf.DUMMYFUNCTION("""COMPUTED_VALUE"""),44426.0)</f>
        <v>44426</v>
      </c>
      <c r="G3254" t="str">
        <f>IFERROR(__xludf.DUMMYFUNCTION("""COMPUTED_VALUE"""),"Manage order page (normal text)")</f>
        <v>Manage order page (normal text)</v>
      </c>
      <c r="I3254" t="str">
        <f>IFERROR(__xludf.DUMMYFUNCTION("""COMPUTED_VALUE"""),"08/21")</f>
        <v>08/21</v>
      </c>
      <c r="J3254" s="188">
        <f>IFERROR(__xludf.DUMMYFUNCTION("""COMPUTED_VALUE"""),44440.0)</f>
        <v>44440</v>
      </c>
      <c r="K3254">
        <f>IFERROR(__xludf.DUMMYFUNCTION("""COMPUTED_VALUE"""),48.0)</f>
        <v>48</v>
      </c>
      <c r="L3254">
        <f>IFERROR(__xludf.DUMMYFUNCTION("""COMPUTED_VALUE"""),14.0)</f>
        <v>14</v>
      </c>
      <c r="M3254">
        <f>IFERROR(__xludf.DUMMYFUNCTION("""COMPUTED_VALUE"""),62.0)</f>
        <v>62</v>
      </c>
      <c r="N3254" t="str">
        <f>IFERROR(__xludf.DUMMYFUNCTION("""COMPUTED_VALUE"""),"Model 3 LR AWD")</f>
        <v>Model 3 LR AWD</v>
      </c>
      <c r="O3254" t="str">
        <f>IFERROR(__xludf.DUMMYFUNCTION("""COMPUTED_VALUE"""),"Deep Blue Metallic")</f>
        <v>Deep Blue Metallic</v>
      </c>
      <c r="P3254" t="str">
        <f>IFERROR(__xludf.DUMMYFUNCTION("""COMPUTED_VALUE"""),"18 inch")</f>
        <v>18 inch</v>
      </c>
      <c r="Q3254" t="str">
        <f>IFERROR(__xludf.DUMMYFUNCTION("""COMPUTED_VALUE"""),"All Black")</f>
        <v>All Black</v>
      </c>
      <c r="R3254" t="str">
        <f>IFERROR(__xludf.DUMMYFUNCTION("""COMPUTED_VALUE"""),"Autopilot included")</f>
        <v>Autopilot included</v>
      </c>
      <c r="S3254" t="str">
        <f>IFERROR(__xludf.DUMMYFUNCTION("""COMPUTED_VALUE"""),"Loan")</f>
        <v>Loan</v>
      </c>
      <c r="T3254" t="str">
        <f>IFERROR(__xludf.DUMMYFUNCTION("""COMPUTED_VALUE"""),"Toyota Corolla")</f>
        <v>Toyota Corolla</v>
      </c>
      <c r="U3254" t="str">
        <f>IFERROR(__xludf.DUMMYFUNCTION("""COMPUTED_VALUE"""),"Electric!")</f>
        <v>Electric!</v>
      </c>
      <c r="V3254" t="str">
        <f>IFERROR(__xludf.DUMMYFUNCTION("""COMPUTED_VALUE"""),"Apple CarPlay / Android Auto / SiriusXM Radio")</f>
        <v>Apple CarPlay / Android Auto / SiriusXM Radio</v>
      </c>
      <c r="X3254" t="str">
        <f>IFERROR(__xludf.DUMMYFUNCTION("""COMPUTED_VALUE"""),"Excellent")</f>
        <v>Excellent</v>
      </c>
      <c r="Y3254" t="str">
        <f>IFERROR(__xludf.DUMMYFUNCTION("""COMPUTED_VALUE"""),"Excellent")</f>
        <v>Excellent</v>
      </c>
      <c r="Z3254" t="str">
        <f>IFERROR(__xludf.DUMMYFUNCTION("""COMPUTED_VALUE"""),"Excellent")</f>
        <v>Excellent</v>
      </c>
      <c r="AA3254" t="str">
        <f>IFERROR(__xludf.DUMMYFUNCTION("""COMPUTED_VALUE"""),"Excellent")</f>
        <v>Excellent</v>
      </c>
      <c r="AB3254" t="str">
        <f>IFERROR(__xludf.DUMMYFUNCTION("""COMPUTED_VALUE"""),"Excellent")</f>
        <v>Excellent</v>
      </c>
      <c r="AC3254">
        <f>IFERROR(__xludf.DUMMYFUNCTION("""COMPUTED_VALUE"""),0.0)</f>
        <v>0</v>
      </c>
      <c r="AF3254" t="str">
        <f>IFERROR(__xludf.DUMMYFUNCTION("""COMPUTED_VALUE"""),"No. I took delivery of the first car Tesla was able to deliver.")</f>
        <v>No. I took delivery of the first car Tesla was able to deliver.</v>
      </c>
      <c r="AH3254" s="189">
        <f>IFERROR(__xludf.DUMMYFUNCTION("""COMPUTED_VALUE"""),44441.19811611111)</f>
        <v>44441.19812</v>
      </c>
    </row>
    <row r="3255">
      <c r="A3255" t="str">
        <f>IFERROR(__xludf.DUMMYFUNCTION("""COMPUTED_VALUE"""),"Lloid")</f>
        <v>Lloid</v>
      </c>
      <c r="B3255" t="str">
        <f>IFERROR(__xludf.DUMMYFUNCTION("""COMPUTED_VALUE"""),"Vancouver")</f>
        <v>Vancouver</v>
      </c>
      <c r="C3255" t="str">
        <f>IFERROR(__xludf.DUMMYFUNCTION("""COMPUTED_VALUE"""),"BC")</f>
        <v>BC</v>
      </c>
      <c r="D3255" t="str">
        <f>IFERROR(__xludf.DUMMYFUNCTION("""COMPUTED_VALUE"""),"Canada")</f>
        <v>Canada</v>
      </c>
      <c r="E3255" s="188">
        <f>IFERROR(__xludf.DUMMYFUNCTION("""COMPUTED_VALUE"""),44367.0)</f>
        <v>44367</v>
      </c>
      <c r="F3255" s="188">
        <f>IFERROR(__xludf.DUMMYFUNCTION("""COMPUTED_VALUE"""),44415.0)</f>
        <v>44415</v>
      </c>
      <c r="G3255" t="str">
        <f>IFERROR(__xludf.DUMMYFUNCTION("""COMPUTED_VALUE"""),"Email")</f>
        <v>Email</v>
      </c>
      <c r="H3255">
        <f>IFERROR(__xludf.DUMMYFUNCTION("""COMPUTED_VALUE"""),28555.0)</f>
        <v>28555</v>
      </c>
      <c r="J3255" s="188">
        <f>IFERROR(__xludf.DUMMYFUNCTION("""COMPUTED_VALUE"""),44420.0)</f>
        <v>44420</v>
      </c>
      <c r="K3255">
        <f>IFERROR(__xludf.DUMMYFUNCTION("""COMPUTED_VALUE"""),48.0)</f>
        <v>48</v>
      </c>
      <c r="L3255">
        <f>IFERROR(__xludf.DUMMYFUNCTION("""COMPUTED_VALUE"""),5.0)</f>
        <v>5</v>
      </c>
      <c r="M3255">
        <f>IFERROR(__xludf.DUMMYFUNCTION("""COMPUTED_VALUE"""),53.0)</f>
        <v>53</v>
      </c>
      <c r="N3255" t="str">
        <f>IFERROR(__xludf.DUMMYFUNCTION("""COMPUTED_VALUE"""),"Model 3 SR+")</f>
        <v>Model 3 SR+</v>
      </c>
      <c r="O3255" t="str">
        <f>IFERROR(__xludf.DUMMYFUNCTION("""COMPUTED_VALUE"""),"Pearl White Multi-Coat")</f>
        <v>Pearl White Multi-Coat</v>
      </c>
      <c r="P3255" t="str">
        <f>IFERROR(__xludf.DUMMYFUNCTION("""COMPUTED_VALUE"""),"18 inch")</f>
        <v>18 inch</v>
      </c>
      <c r="Q3255" t="str">
        <f>IFERROR(__xludf.DUMMYFUNCTION("""COMPUTED_VALUE"""),"All Black")</f>
        <v>All Black</v>
      </c>
      <c r="R3255" t="str">
        <f>IFERROR(__xludf.DUMMYFUNCTION("""COMPUTED_VALUE"""),"Autopilot included")</f>
        <v>Autopilot included</v>
      </c>
      <c r="S3255" t="str">
        <f>IFERROR(__xludf.DUMMYFUNCTION("""COMPUTED_VALUE"""),"Loan")</f>
        <v>Loan</v>
      </c>
      <c r="T3255" t="str">
        <f>IFERROR(__xludf.DUMMYFUNCTION("""COMPUTED_VALUE"""),"Toyota Prius Prime")</f>
        <v>Toyota Prius Prime</v>
      </c>
      <c r="U3255" t="str">
        <f>IFERROR(__xludf.DUMMYFUNCTION("""COMPUTED_VALUE"""),"Electric!")</f>
        <v>Electric!</v>
      </c>
      <c r="V3255" t="str">
        <f>IFERROR(__xludf.DUMMYFUNCTION("""COMPUTED_VALUE"""),"Heated steering wheel")</f>
        <v>Heated steering wheel</v>
      </c>
      <c r="AH3255" s="189">
        <f>IFERROR(__xludf.DUMMYFUNCTION("""COMPUTED_VALUE"""),44415.4152903588)</f>
        <v>44415.41529</v>
      </c>
    </row>
    <row r="3256">
      <c r="A3256" t="str">
        <f>IFERROR(__xludf.DUMMYFUNCTION("""COMPUTED_VALUE"""),"Micklethepickle")</f>
        <v>Micklethepickle</v>
      </c>
      <c r="B3256" t="str">
        <f>IFERROR(__xludf.DUMMYFUNCTION("""COMPUTED_VALUE"""),"Boulder")</f>
        <v>Boulder</v>
      </c>
      <c r="C3256" t="str">
        <f>IFERROR(__xludf.DUMMYFUNCTION("""COMPUTED_VALUE"""),"CO")</f>
        <v>CO</v>
      </c>
      <c r="D3256" t="str">
        <f>IFERROR(__xludf.DUMMYFUNCTION("""COMPUTED_VALUE"""),"USA")</f>
        <v>USA</v>
      </c>
      <c r="E3256" s="188">
        <f>IFERROR(__xludf.DUMMYFUNCTION("""COMPUTED_VALUE"""),44401.0)</f>
        <v>44401</v>
      </c>
      <c r="F3256" s="188">
        <f>IFERROR(__xludf.DUMMYFUNCTION("""COMPUTED_VALUE"""),44441.0)</f>
        <v>44441</v>
      </c>
      <c r="G3256" t="str">
        <f>IFERROR(__xludf.DUMMYFUNCTION("""COMPUTED_VALUE"""),"Manage order page (normal text)")</f>
        <v>Manage order page (normal text)</v>
      </c>
      <c r="H3256">
        <f>IFERROR(__xludf.DUMMYFUNCTION("""COMPUTED_VALUE"""),56655.0)</f>
        <v>56655</v>
      </c>
      <c r="J3256" s="188">
        <f>IFERROR(__xludf.DUMMYFUNCTION("""COMPUTED_VALUE"""),44452.0)</f>
        <v>44452</v>
      </c>
      <c r="K3256">
        <f>IFERROR(__xludf.DUMMYFUNCTION("""COMPUTED_VALUE"""),40.0)</f>
        <v>40</v>
      </c>
      <c r="L3256">
        <f>IFERROR(__xludf.DUMMYFUNCTION("""COMPUTED_VALUE"""),11.0)</f>
        <v>11</v>
      </c>
      <c r="M3256">
        <f>IFERROR(__xludf.DUMMYFUNCTION("""COMPUTED_VALUE"""),51.0)</f>
        <v>51</v>
      </c>
      <c r="N3256" t="str">
        <f>IFERROR(__xludf.DUMMYFUNCTION("""COMPUTED_VALUE"""),"Model 3 LR AWD")</f>
        <v>Model 3 LR AWD</v>
      </c>
      <c r="O3256" t="str">
        <f>IFERROR(__xludf.DUMMYFUNCTION("""COMPUTED_VALUE"""),"Pearl White Multi-Coat")</f>
        <v>Pearl White Multi-Coat</v>
      </c>
      <c r="P3256" t="str">
        <f>IFERROR(__xludf.DUMMYFUNCTION("""COMPUTED_VALUE"""),"18 inch")</f>
        <v>18 inch</v>
      </c>
      <c r="Q3256" t="str">
        <f>IFERROR(__xludf.DUMMYFUNCTION("""COMPUTED_VALUE"""),"All Black")</f>
        <v>All Black</v>
      </c>
      <c r="R3256" t="str">
        <f>IFERROR(__xludf.DUMMYFUNCTION("""COMPUTED_VALUE"""),"Autopilot included")</f>
        <v>Autopilot included</v>
      </c>
      <c r="S3256" t="str">
        <f>IFERROR(__xludf.DUMMYFUNCTION("""COMPUTED_VALUE"""),"Lease")</f>
        <v>Lease</v>
      </c>
      <c r="T3256" t="str">
        <f>IFERROR(__xludf.DUMMYFUNCTION("""COMPUTED_VALUE"""),"Volkswagen Passat ")</f>
        <v>Volkswagen Passat </v>
      </c>
      <c r="U3256" t="str">
        <f>IFERROR(__xludf.DUMMYFUNCTION("""COMPUTED_VALUE"""),"Electric!")</f>
        <v>Electric!</v>
      </c>
      <c r="V3256" t="str">
        <f>IFERROR(__xludf.DUMMYFUNCTION("""COMPUTED_VALUE"""),"Apple CarPlay / Android Auto / SiriusXM Radio")</f>
        <v>Apple CarPlay / Android Auto / SiriusXM Radio</v>
      </c>
      <c r="W3256" t="str">
        <f>IFERROR(__xludf.DUMMYFUNCTION("""COMPUTED_VALUE"""),"Make sure you select Cash so you don’t have to stress about Financing until you get your VIN!")</f>
        <v>Make sure you select Cash so you don’t have to stress about Financing until you get your VIN!</v>
      </c>
      <c r="X3256" t="str">
        <f>IFERROR(__xludf.DUMMYFUNCTION("""COMPUTED_VALUE"""),"Excellent")</f>
        <v>Excellent</v>
      </c>
      <c r="Y3256" t="str">
        <f>IFERROR(__xludf.DUMMYFUNCTION("""COMPUTED_VALUE"""),"Excellent")</f>
        <v>Excellent</v>
      </c>
      <c r="Z3256" t="str">
        <f>IFERROR(__xludf.DUMMYFUNCTION("""COMPUTED_VALUE"""),"Very Good")</f>
        <v>Very Good</v>
      </c>
      <c r="AA3256" t="str">
        <f>IFERROR(__xludf.DUMMYFUNCTION("""COMPUTED_VALUE"""),"Very Good")</f>
        <v>Very Good</v>
      </c>
      <c r="AB3256" t="str">
        <f>IFERROR(__xludf.DUMMYFUNCTION("""COMPUTED_VALUE"""),"Very Good")</f>
        <v>Very Good</v>
      </c>
      <c r="AC3256">
        <f>IFERROR(__xludf.DUMMYFUNCTION("""COMPUTED_VALUE"""),0.0)</f>
        <v>0</v>
      </c>
      <c r="AD3256">
        <f>IFERROR(__xludf.DUMMYFUNCTION("""COMPUTED_VALUE"""),0.0)</f>
        <v>0</v>
      </c>
      <c r="AE3256">
        <f>IFERROR(__xludf.DUMMYFUNCTION("""COMPUTED_VALUE"""),0.0)</f>
        <v>0</v>
      </c>
      <c r="AF3256" t="str">
        <f>IFERROR(__xludf.DUMMYFUNCTION("""COMPUTED_VALUE"""),"No. I took delivery of the first car Tesla was able to deliver.")</f>
        <v>No. I took delivery of the first car Tesla was able to deliver.</v>
      </c>
      <c r="AG3256" t="str">
        <f>IFERROR(__xludf.DUMMYFUNCTION("""COMPUTED_VALUE"""),"The new model 3 long range does have heated steering wheels :)")</f>
        <v>The new model 3 long range does have heated steering wheels :)</v>
      </c>
      <c r="AH3256" s="189">
        <f>IFERROR(__xludf.DUMMYFUNCTION("""COMPUTED_VALUE"""),44455.27079732639)</f>
        <v>44455.2708</v>
      </c>
    </row>
    <row r="3257">
      <c r="A3257" t="str">
        <f>IFERROR(__xludf.DUMMYFUNCTION("""COMPUTED_VALUE"""),"ARPL")</f>
        <v>ARPL</v>
      </c>
      <c r="B3257" t="str">
        <f>IFERROR(__xludf.DUMMYFUNCTION("""COMPUTED_VALUE"""),"Warsaw, Poland")</f>
        <v>Warsaw, Poland</v>
      </c>
      <c r="D3257" t="str">
        <f>IFERROR(__xludf.DUMMYFUNCTION("""COMPUTED_VALUE"""),"Other (include country together with city)")</f>
        <v>Other (include country together with city)</v>
      </c>
      <c r="E3257" s="188">
        <f>IFERROR(__xludf.DUMMYFUNCTION("""COMPUTED_VALUE"""),44411.0)</f>
        <v>44411</v>
      </c>
      <c r="F3257" s="188">
        <f>IFERROR(__xludf.DUMMYFUNCTION("""COMPUTED_VALUE"""),44425.0)</f>
        <v>44425</v>
      </c>
      <c r="G3257" t="str">
        <f>IFERROR(__xludf.DUMMYFUNCTION("""COMPUTED_VALUE"""),"Source code")</f>
        <v>Source code</v>
      </c>
      <c r="H3257">
        <f>IFERROR(__xludf.DUMMYFUNCTION("""COMPUTED_VALUE"""),324155.0)</f>
        <v>324155</v>
      </c>
      <c r="I3257" t="str">
        <f>IFERROR(__xludf.DUMMYFUNCTION("""COMPUTED_VALUE"""),"08/21")</f>
        <v>08/21</v>
      </c>
      <c r="J3257" s="188">
        <f>IFERROR(__xludf.DUMMYFUNCTION("""COMPUTED_VALUE"""),44457.0)</f>
        <v>44457</v>
      </c>
      <c r="K3257">
        <f>IFERROR(__xludf.DUMMYFUNCTION("""COMPUTED_VALUE"""),14.0)</f>
        <v>14</v>
      </c>
      <c r="L3257">
        <f>IFERROR(__xludf.DUMMYFUNCTION("""COMPUTED_VALUE"""),32.0)</f>
        <v>32</v>
      </c>
      <c r="M3257">
        <f>IFERROR(__xludf.DUMMYFUNCTION("""COMPUTED_VALUE"""),46.0)</f>
        <v>46</v>
      </c>
      <c r="N3257" t="str">
        <f>IFERROR(__xludf.DUMMYFUNCTION("""COMPUTED_VALUE"""),"Model 3 SR+")</f>
        <v>Model 3 SR+</v>
      </c>
      <c r="O3257" t="str">
        <f>IFERROR(__xludf.DUMMYFUNCTION("""COMPUTED_VALUE"""),"Pearl White Multi-Coat")</f>
        <v>Pearl White Multi-Coat</v>
      </c>
      <c r="P3257" t="str">
        <f>IFERROR(__xludf.DUMMYFUNCTION("""COMPUTED_VALUE"""),"18 inch")</f>
        <v>18 inch</v>
      </c>
      <c r="Q3257" t="str">
        <f>IFERROR(__xludf.DUMMYFUNCTION("""COMPUTED_VALUE"""),"Black and White")</f>
        <v>Black and White</v>
      </c>
      <c r="R3257" t="str">
        <f>IFERROR(__xludf.DUMMYFUNCTION("""COMPUTED_VALUE"""),"Autopilot included")</f>
        <v>Autopilot included</v>
      </c>
      <c r="S3257" t="str">
        <f>IFERROR(__xludf.DUMMYFUNCTION("""COMPUTED_VALUE"""),"Cash")</f>
        <v>Cash</v>
      </c>
      <c r="T3257" t="str">
        <f>IFERROR(__xludf.DUMMYFUNCTION("""COMPUTED_VALUE"""),"Mercedes A-Class")</f>
        <v>Mercedes A-Class</v>
      </c>
      <c r="U3257" t="str">
        <f>IFERROR(__xludf.DUMMYFUNCTION("""COMPUTED_VALUE"""),"Autopilot")</f>
        <v>Autopilot</v>
      </c>
      <c r="V3257" t="str">
        <f>IFERROR(__xludf.DUMMYFUNCTION("""COMPUTED_VALUE"""),"360° Bird's eye view")</f>
        <v>360° Bird's eye view</v>
      </c>
      <c r="X3257" t="str">
        <f>IFERROR(__xludf.DUMMYFUNCTION("""COMPUTED_VALUE"""),"Excellent")</f>
        <v>Excellent</v>
      </c>
      <c r="Y3257" t="str">
        <f>IFERROR(__xludf.DUMMYFUNCTION("""COMPUTED_VALUE"""),"Excellent")</f>
        <v>Excellent</v>
      </c>
      <c r="Z3257" t="str">
        <f>IFERROR(__xludf.DUMMYFUNCTION("""COMPUTED_VALUE"""),"Excellent")</f>
        <v>Excellent</v>
      </c>
      <c r="AA3257" t="str">
        <f>IFERROR(__xludf.DUMMYFUNCTION("""COMPUTED_VALUE"""),"Excellent")</f>
        <v>Excellent</v>
      </c>
      <c r="AB3257" t="str">
        <f>IFERROR(__xludf.DUMMYFUNCTION("""COMPUTED_VALUE"""),"Very Good")</f>
        <v>Very Good</v>
      </c>
      <c r="AC3257">
        <f>IFERROR(__xludf.DUMMYFUNCTION("""COMPUTED_VALUE"""),0.0)</f>
        <v>0</v>
      </c>
      <c r="AD3257">
        <f>IFERROR(__xludf.DUMMYFUNCTION("""COMPUTED_VALUE"""),1.0)</f>
        <v>1</v>
      </c>
      <c r="AE3257">
        <f>IFERROR(__xludf.DUMMYFUNCTION("""COMPUTED_VALUE"""),0.0)</f>
        <v>0</v>
      </c>
      <c r="AF3257" t="str">
        <f>IFERROR(__xludf.DUMMYFUNCTION("""COMPUTED_VALUE"""),"No. I took delivery of the first car Tesla was able to deliver.")</f>
        <v>No. I took delivery of the first car Tesla was able to deliver.</v>
      </c>
      <c r="AH3257" s="189">
        <f>IFERROR(__xludf.DUMMYFUNCTION("""COMPUTED_VALUE"""),44492.371629375004)</f>
        <v>44492.37163</v>
      </c>
    </row>
    <row r="3258">
      <c r="A3258" t="str">
        <f>IFERROR(__xludf.DUMMYFUNCTION("""COMPUTED_VALUE"""),"dillonu")</f>
        <v>dillonu</v>
      </c>
      <c r="B3258" t="str">
        <f>IFERROR(__xludf.DUMMYFUNCTION("""COMPUTED_VALUE"""),"Tobyhanna")</f>
        <v>Tobyhanna</v>
      </c>
      <c r="C3258" t="str">
        <f>IFERROR(__xludf.DUMMYFUNCTION("""COMPUTED_VALUE"""),"PA")</f>
        <v>PA</v>
      </c>
      <c r="D3258" t="str">
        <f>IFERROR(__xludf.DUMMYFUNCTION("""COMPUTED_VALUE"""),"USA")</f>
        <v>USA</v>
      </c>
      <c r="E3258" s="188">
        <f>IFERROR(__xludf.DUMMYFUNCTION("""COMPUTED_VALUE"""),44374.0)</f>
        <v>44374</v>
      </c>
      <c r="F3258" s="188">
        <f>IFERROR(__xludf.DUMMYFUNCTION("""COMPUTED_VALUE"""),44421.0)</f>
        <v>44421</v>
      </c>
      <c r="G3258" t="str">
        <f>IFERROR(__xludf.DUMMYFUNCTION("""COMPUTED_VALUE"""),"Manage order page (normal text)")</f>
        <v>Manage order page (normal text)</v>
      </c>
      <c r="H3258">
        <f>IFERROR(__xludf.DUMMYFUNCTION("""COMPUTED_VALUE"""),37255.0)</f>
        <v>37255</v>
      </c>
      <c r="J3258" s="188">
        <f>IFERROR(__xludf.DUMMYFUNCTION("""COMPUTED_VALUE"""),44434.0)</f>
        <v>44434</v>
      </c>
      <c r="K3258">
        <f>IFERROR(__xludf.DUMMYFUNCTION("""COMPUTED_VALUE"""),47.0)</f>
        <v>47</v>
      </c>
      <c r="L3258">
        <f>IFERROR(__xludf.DUMMYFUNCTION("""COMPUTED_VALUE"""),13.0)</f>
        <v>13</v>
      </c>
      <c r="M3258">
        <f>IFERROR(__xludf.DUMMYFUNCTION("""COMPUTED_VALUE"""),60.0)</f>
        <v>60</v>
      </c>
      <c r="N3258" t="str">
        <f>IFERROR(__xludf.DUMMYFUNCTION("""COMPUTED_VALUE"""),"Model 3 LR AWD")</f>
        <v>Model 3 LR AWD</v>
      </c>
      <c r="O3258" t="str">
        <f>IFERROR(__xludf.DUMMYFUNCTION("""COMPUTED_VALUE"""),"Midnight Silver Metallic")</f>
        <v>Midnight Silver Metallic</v>
      </c>
      <c r="P3258" t="str">
        <f>IFERROR(__xludf.DUMMYFUNCTION("""COMPUTED_VALUE"""),"18 inch")</f>
        <v>18 inch</v>
      </c>
      <c r="Q3258" t="str">
        <f>IFERROR(__xludf.DUMMYFUNCTION("""COMPUTED_VALUE"""),"Black and White")</f>
        <v>Black and White</v>
      </c>
      <c r="R3258" t="str">
        <f>IFERROR(__xludf.DUMMYFUNCTION("""COMPUTED_VALUE"""),"Full Self-Driving")</f>
        <v>Full Self-Driving</v>
      </c>
      <c r="S3258" t="str">
        <f>IFERROR(__xludf.DUMMYFUNCTION("""COMPUTED_VALUE"""),"Loan")</f>
        <v>Loan</v>
      </c>
      <c r="U3258" t="str">
        <f>IFERROR(__xludf.DUMMYFUNCTION("""COMPUTED_VALUE"""),"Electric!")</f>
        <v>Electric!</v>
      </c>
      <c r="V3258" t="str">
        <f>IFERROR(__xludf.DUMMYFUNCTION("""COMPUTED_VALUE"""),"360° Bird's eye view")</f>
        <v>360° Bird's eye view</v>
      </c>
      <c r="AH3258" s="189">
        <f>IFERROR(__xludf.DUMMYFUNCTION("""COMPUTED_VALUE"""),44425.377296597224)</f>
        <v>44425.3773</v>
      </c>
    </row>
    <row r="3259">
      <c r="A3259" t="str">
        <f>IFERROR(__xludf.DUMMYFUNCTION("""COMPUTED_VALUE"""),"BluAnderson0320")</f>
        <v>BluAnderson0320</v>
      </c>
      <c r="B3259" t="str">
        <f>IFERROR(__xludf.DUMMYFUNCTION("""COMPUTED_VALUE"""),"Brookfield")</f>
        <v>Brookfield</v>
      </c>
      <c r="C3259" t="str">
        <f>IFERROR(__xludf.DUMMYFUNCTION("""COMPUTED_VALUE"""),"CT")</f>
        <v>CT</v>
      </c>
      <c r="D3259" t="str">
        <f>IFERROR(__xludf.DUMMYFUNCTION("""COMPUTED_VALUE"""),"USA")</f>
        <v>USA</v>
      </c>
      <c r="E3259" s="188">
        <f>IFERROR(__xludf.DUMMYFUNCTION("""COMPUTED_VALUE"""),44363.0)</f>
        <v>44363</v>
      </c>
      <c r="F3259" s="188">
        <f>IFERROR(__xludf.DUMMYFUNCTION("""COMPUTED_VALUE"""),44422.0)</f>
        <v>44422</v>
      </c>
      <c r="G3259" t="str">
        <f>IFERROR(__xludf.DUMMYFUNCTION("""COMPUTED_VALUE"""),"Email")</f>
        <v>Email</v>
      </c>
      <c r="J3259" s="188">
        <f>IFERROR(__xludf.DUMMYFUNCTION("""COMPUTED_VALUE"""),44436.0)</f>
        <v>44436</v>
      </c>
      <c r="K3259">
        <f>IFERROR(__xludf.DUMMYFUNCTION("""COMPUTED_VALUE"""),59.0)</f>
        <v>59</v>
      </c>
      <c r="L3259">
        <f>IFERROR(__xludf.DUMMYFUNCTION("""COMPUTED_VALUE"""),14.0)</f>
        <v>14</v>
      </c>
      <c r="M3259">
        <f>IFERROR(__xludf.DUMMYFUNCTION("""COMPUTED_VALUE"""),73.0)</f>
        <v>73</v>
      </c>
      <c r="N3259" t="str">
        <f>IFERROR(__xludf.DUMMYFUNCTION("""COMPUTED_VALUE"""),"Model 3 LR AWD")</f>
        <v>Model 3 LR AWD</v>
      </c>
      <c r="O3259" t="str">
        <f>IFERROR(__xludf.DUMMYFUNCTION("""COMPUTED_VALUE"""),"Red Multi-Coat")</f>
        <v>Red Multi-Coat</v>
      </c>
      <c r="P3259" t="str">
        <f>IFERROR(__xludf.DUMMYFUNCTION("""COMPUTED_VALUE"""),"19 inch")</f>
        <v>19 inch</v>
      </c>
      <c r="Q3259" t="str">
        <f>IFERROR(__xludf.DUMMYFUNCTION("""COMPUTED_VALUE"""),"Black and White")</f>
        <v>Black and White</v>
      </c>
      <c r="R3259" t="str">
        <f>IFERROR(__xludf.DUMMYFUNCTION("""COMPUTED_VALUE"""),"Autopilot included")</f>
        <v>Autopilot included</v>
      </c>
      <c r="S3259" t="str">
        <f>IFERROR(__xludf.DUMMYFUNCTION("""COMPUTED_VALUE"""),"Cash")</f>
        <v>Cash</v>
      </c>
      <c r="T3259" t="str">
        <f>IFERROR(__xludf.DUMMYFUNCTION("""COMPUTED_VALUE"""),"Audi A4")</f>
        <v>Audi A4</v>
      </c>
      <c r="AH3259" s="189">
        <f>IFERROR(__xludf.DUMMYFUNCTION("""COMPUTED_VALUE"""),44425.29637952546)</f>
        <v>44425.29638</v>
      </c>
    </row>
    <row r="3260">
      <c r="A3260" t="str">
        <f>IFERROR(__xludf.DUMMYFUNCTION("""COMPUTED_VALUE"""),"firsttimetesla")</f>
        <v>firsttimetesla</v>
      </c>
      <c r="B3260" t="str">
        <f>IFERROR(__xludf.DUMMYFUNCTION("""COMPUTED_VALUE"""),"Austin")</f>
        <v>Austin</v>
      </c>
      <c r="C3260" t="str">
        <f>IFERROR(__xludf.DUMMYFUNCTION("""COMPUTED_VALUE"""),"TX")</f>
        <v>TX</v>
      </c>
      <c r="D3260" t="str">
        <f>IFERROR(__xludf.DUMMYFUNCTION("""COMPUTED_VALUE"""),"USA")</f>
        <v>USA</v>
      </c>
      <c r="E3260" s="188">
        <f>IFERROR(__xludf.DUMMYFUNCTION("""COMPUTED_VALUE"""),44407.0)</f>
        <v>44407</v>
      </c>
      <c r="F3260" s="188">
        <f>IFERROR(__xludf.DUMMYFUNCTION("""COMPUTED_VALUE"""),44438.0)</f>
        <v>44438</v>
      </c>
      <c r="G3260" t="str">
        <f>IFERROR(__xludf.DUMMYFUNCTION("""COMPUTED_VALUE"""),"Email")</f>
        <v>Email</v>
      </c>
      <c r="J3260" s="188">
        <f>IFERROR(__xludf.DUMMYFUNCTION("""COMPUTED_VALUE"""),44452.0)</f>
        <v>44452</v>
      </c>
      <c r="K3260">
        <f>IFERROR(__xludf.DUMMYFUNCTION("""COMPUTED_VALUE"""),31.0)</f>
        <v>31</v>
      </c>
      <c r="L3260">
        <f>IFERROR(__xludf.DUMMYFUNCTION("""COMPUTED_VALUE"""),14.0)</f>
        <v>14</v>
      </c>
      <c r="M3260">
        <f>IFERROR(__xludf.DUMMYFUNCTION("""COMPUTED_VALUE"""),45.0)</f>
        <v>45</v>
      </c>
      <c r="N3260" t="str">
        <f>IFERROR(__xludf.DUMMYFUNCTION("""COMPUTED_VALUE"""),"Model 3 SR+")</f>
        <v>Model 3 SR+</v>
      </c>
      <c r="O3260" t="str">
        <f>IFERROR(__xludf.DUMMYFUNCTION("""COMPUTED_VALUE"""),"Solid Black")</f>
        <v>Solid Black</v>
      </c>
      <c r="P3260" t="str">
        <f>IFERROR(__xludf.DUMMYFUNCTION("""COMPUTED_VALUE"""),"19 inch")</f>
        <v>19 inch</v>
      </c>
      <c r="Q3260" t="str">
        <f>IFERROR(__xludf.DUMMYFUNCTION("""COMPUTED_VALUE"""),"All Black")</f>
        <v>All Black</v>
      </c>
      <c r="R3260" t="str">
        <f>IFERROR(__xludf.DUMMYFUNCTION("""COMPUTED_VALUE"""),"Autopilot included")</f>
        <v>Autopilot included</v>
      </c>
      <c r="S3260" t="str">
        <f>IFERROR(__xludf.DUMMYFUNCTION("""COMPUTED_VALUE"""),"Cash")</f>
        <v>Cash</v>
      </c>
      <c r="T3260" t="str">
        <f>IFERROR(__xludf.DUMMYFUNCTION("""COMPUTED_VALUE"""),"Model 3 will be my first car!")</f>
        <v>Model 3 will be my first car!</v>
      </c>
      <c r="U3260" t="str">
        <f>IFERROR(__xludf.DUMMYFUNCTION("""COMPUTED_VALUE"""),"Electric!")</f>
        <v>Electric!</v>
      </c>
      <c r="V3260" t="str">
        <f>IFERROR(__xludf.DUMMYFUNCTION("""COMPUTED_VALUE"""),"Apple CarPlay / Android Auto / SiriusXM Radio")</f>
        <v>Apple CarPlay / Android Auto / SiriusXM Radio</v>
      </c>
      <c r="AH3260" s="189">
        <f>IFERROR(__xludf.DUMMYFUNCTION("""COMPUTED_VALUE"""),44462.56047689814)</f>
        <v>44462.56048</v>
      </c>
    </row>
    <row r="3261">
      <c r="A3261" t="str">
        <f>IFERROR(__xludf.DUMMYFUNCTION("""COMPUTED_VALUE"""),"Nico")</f>
        <v>Nico</v>
      </c>
      <c r="B3261" t="str">
        <f>IFERROR(__xludf.DUMMYFUNCTION("""COMPUTED_VALUE"""),"San Diego")</f>
        <v>San Diego</v>
      </c>
      <c r="C3261" t="str">
        <f>IFERROR(__xludf.DUMMYFUNCTION("""COMPUTED_VALUE"""),"CA")</f>
        <v>CA</v>
      </c>
      <c r="D3261" t="str">
        <f>IFERROR(__xludf.DUMMYFUNCTION("""COMPUTED_VALUE"""),"USA")</f>
        <v>USA</v>
      </c>
      <c r="E3261" s="188">
        <f>IFERROR(__xludf.DUMMYFUNCTION("""COMPUTED_VALUE"""),44380.0)</f>
        <v>44380</v>
      </c>
      <c r="F3261" s="188">
        <f>IFERROR(__xludf.DUMMYFUNCTION("""COMPUTED_VALUE"""),44427.0)</f>
        <v>44427</v>
      </c>
      <c r="G3261" t="str">
        <f>IFERROR(__xludf.DUMMYFUNCTION("""COMPUTED_VALUE"""),"Email")</f>
        <v>Email</v>
      </c>
      <c r="H3261">
        <f>IFERROR(__xludf.DUMMYFUNCTION("""COMPUTED_VALUE"""),48455.0)</f>
        <v>48455</v>
      </c>
      <c r="J3261" s="188">
        <f>IFERROR(__xludf.DUMMYFUNCTION("""COMPUTED_VALUE"""),44428.0)</f>
        <v>44428</v>
      </c>
      <c r="K3261">
        <f>IFERROR(__xludf.DUMMYFUNCTION("""COMPUTED_VALUE"""),47.0)</f>
        <v>47</v>
      </c>
      <c r="L3261">
        <f>IFERROR(__xludf.DUMMYFUNCTION("""COMPUTED_VALUE"""),1.0)</f>
        <v>1</v>
      </c>
      <c r="M3261">
        <f>IFERROR(__xludf.DUMMYFUNCTION("""COMPUTED_VALUE"""),48.0)</f>
        <v>48</v>
      </c>
      <c r="N3261" t="str">
        <f>IFERROR(__xludf.DUMMYFUNCTION("""COMPUTED_VALUE"""),"Model 3 LR AWD")</f>
        <v>Model 3 LR AWD</v>
      </c>
      <c r="O3261" t="str">
        <f>IFERROR(__xludf.DUMMYFUNCTION("""COMPUTED_VALUE"""),"Pearl White Multi-Coat")</f>
        <v>Pearl White Multi-Coat</v>
      </c>
      <c r="P3261" t="str">
        <f>IFERROR(__xludf.DUMMYFUNCTION("""COMPUTED_VALUE"""),"18 inch")</f>
        <v>18 inch</v>
      </c>
      <c r="Q3261" t="str">
        <f>IFERROR(__xludf.DUMMYFUNCTION("""COMPUTED_VALUE"""),"All Black")</f>
        <v>All Black</v>
      </c>
      <c r="R3261" t="str">
        <f>IFERROR(__xludf.DUMMYFUNCTION("""COMPUTED_VALUE"""),"Autopilot included")</f>
        <v>Autopilot included</v>
      </c>
      <c r="S3261" t="str">
        <f>IFERROR(__xludf.DUMMYFUNCTION("""COMPUTED_VALUE"""),"Cash")</f>
        <v>Cash</v>
      </c>
      <c r="T3261" t="str">
        <f>IFERROR(__xludf.DUMMYFUNCTION("""COMPUTED_VALUE"""),"BRZ")</f>
        <v>BRZ</v>
      </c>
      <c r="U3261" t="str">
        <f>IFERROR(__xludf.DUMMYFUNCTION("""COMPUTED_VALUE"""),"Electric!")</f>
        <v>Electric!</v>
      </c>
      <c r="V3261" t="str">
        <f>IFERROR(__xludf.DUMMYFUNCTION("""COMPUTED_VALUE"""),"Ventilated seats")</f>
        <v>Ventilated seats</v>
      </c>
      <c r="X3261" t="str">
        <f>IFERROR(__xludf.DUMMYFUNCTION("""COMPUTED_VALUE"""),"Good")</f>
        <v>Good</v>
      </c>
      <c r="Y3261" t="str">
        <f>IFERROR(__xludf.DUMMYFUNCTION("""COMPUTED_VALUE"""),"Very Good")</f>
        <v>Very Good</v>
      </c>
      <c r="Z3261" t="str">
        <f>IFERROR(__xludf.DUMMYFUNCTION("""COMPUTED_VALUE"""),"Excellent")</f>
        <v>Excellent</v>
      </c>
      <c r="AA3261" t="str">
        <f>IFERROR(__xludf.DUMMYFUNCTION("""COMPUTED_VALUE"""),"Excellent")</f>
        <v>Excellent</v>
      </c>
      <c r="AB3261" t="str">
        <f>IFERROR(__xludf.DUMMYFUNCTION("""COMPUTED_VALUE"""),"Excellent")</f>
        <v>Excellent</v>
      </c>
      <c r="AC3261">
        <f>IFERROR(__xludf.DUMMYFUNCTION("""COMPUTED_VALUE"""),2.0)</f>
        <v>2</v>
      </c>
      <c r="AF3261" t="str">
        <f>IFERROR(__xludf.DUMMYFUNCTION("""COMPUTED_VALUE"""),"No. I took delivery of the first car Tesla was able to deliver.")</f>
        <v>No. I took delivery of the first car Tesla was able to deliver.</v>
      </c>
      <c r="AH3261" s="189">
        <f>IFERROR(__xludf.DUMMYFUNCTION("""COMPUTED_VALUE"""),44428.883359328705)</f>
        <v>44428.88336</v>
      </c>
    </row>
    <row r="3262">
      <c r="A3262" t="str">
        <f>IFERROR(__xludf.DUMMYFUNCTION("""COMPUTED_VALUE"""),"msnj")</f>
        <v>msnj</v>
      </c>
      <c r="B3262" t="str">
        <f>IFERROR(__xludf.DUMMYFUNCTION("""COMPUTED_VALUE"""),"Paramus")</f>
        <v>Paramus</v>
      </c>
      <c r="C3262" t="str">
        <f>IFERROR(__xludf.DUMMYFUNCTION("""COMPUTED_VALUE"""),"NJ")</f>
        <v>NJ</v>
      </c>
      <c r="D3262" t="str">
        <f>IFERROR(__xludf.DUMMYFUNCTION("""COMPUTED_VALUE"""),"USA")</f>
        <v>USA</v>
      </c>
      <c r="E3262" s="188">
        <f>IFERROR(__xludf.DUMMYFUNCTION("""COMPUTED_VALUE"""),44384.0)</f>
        <v>44384</v>
      </c>
      <c r="F3262" s="188">
        <f>IFERROR(__xludf.DUMMYFUNCTION("""COMPUTED_VALUE"""),44430.0)</f>
        <v>44430</v>
      </c>
      <c r="G3262" t="str">
        <f>IFERROR(__xludf.DUMMYFUNCTION("""COMPUTED_VALUE"""),"Email")</f>
        <v>Email</v>
      </c>
      <c r="J3262" s="188">
        <f>IFERROR(__xludf.DUMMYFUNCTION("""COMPUTED_VALUE"""),44446.0)</f>
        <v>44446</v>
      </c>
      <c r="K3262">
        <f>IFERROR(__xludf.DUMMYFUNCTION("""COMPUTED_VALUE"""),46.0)</f>
        <v>46</v>
      </c>
      <c r="L3262">
        <f>IFERROR(__xludf.DUMMYFUNCTION("""COMPUTED_VALUE"""),16.0)</f>
        <v>16</v>
      </c>
      <c r="M3262">
        <f>IFERROR(__xludf.DUMMYFUNCTION("""COMPUTED_VALUE"""),62.0)</f>
        <v>62</v>
      </c>
      <c r="N3262" t="str">
        <f>IFERROR(__xludf.DUMMYFUNCTION("""COMPUTED_VALUE"""),"Model 3 SR+")</f>
        <v>Model 3 SR+</v>
      </c>
      <c r="O3262" t="str">
        <f>IFERROR(__xludf.DUMMYFUNCTION("""COMPUTED_VALUE"""),"Deep Blue Metallic")</f>
        <v>Deep Blue Metallic</v>
      </c>
      <c r="P3262" t="str">
        <f>IFERROR(__xludf.DUMMYFUNCTION("""COMPUTED_VALUE"""),"18 inch")</f>
        <v>18 inch</v>
      </c>
      <c r="Q3262" t="str">
        <f>IFERROR(__xludf.DUMMYFUNCTION("""COMPUTED_VALUE"""),"All Black")</f>
        <v>All Black</v>
      </c>
      <c r="R3262" t="str">
        <f>IFERROR(__xludf.DUMMYFUNCTION("""COMPUTED_VALUE"""),"Autopilot included")</f>
        <v>Autopilot included</v>
      </c>
      <c r="S3262" t="str">
        <f>IFERROR(__xludf.DUMMYFUNCTION("""COMPUTED_VALUE"""),"Loan")</f>
        <v>Loan</v>
      </c>
      <c r="T3262" t="str">
        <f>IFERROR(__xludf.DUMMYFUNCTION("""COMPUTED_VALUE"""),"Kia Optima")</f>
        <v>Kia Optima</v>
      </c>
      <c r="U3262" t="str">
        <f>IFERROR(__xludf.DUMMYFUNCTION("""COMPUTED_VALUE"""),"Electric!")</f>
        <v>Electric!</v>
      </c>
      <c r="V3262" t="str">
        <f>IFERROR(__xludf.DUMMYFUNCTION("""COMPUTED_VALUE"""),"Apple CarPlay / Android Auto / SiriusXM Radio")</f>
        <v>Apple CarPlay / Android Auto / SiriusXM Radio</v>
      </c>
      <c r="AH3262" s="189">
        <f>IFERROR(__xludf.DUMMYFUNCTION("""COMPUTED_VALUE"""),44431.806008796295)</f>
        <v>44431.80601</v>
      </c>
    </row>
    <row r="3263">
      <c r="A3263" t="str">
        <f>IFERROR(__xludf.DUMMYFUNCTION("""COMPUTED_VALUE"""),"Bingo Bango")</f>
        <v>Bingo Bango</v>
      </c>
      <c r="B3263" t="str">
        <f>IFERROR(__xludf.DUMMYFUNCTION("""COMPUTED_VALUE"""),"Newport Beach")</f>
        <v>Newport Beach</v>
      </c>
      <c r="C3263" t="str">
        <f>IFERROR(__xludf.DUMMYFUNCTION("""COMPUTED_VALUE"""),"CA")</f>
        <v>CA</v>
      </c>
      <c r="D3263" t="str">
        <f>IFERROR(__xludf.DUMMYFUNCTION("""COMPUTED_VALUE"""),"USA")</f>
        <v>USA</v>
      </c>
      <c r="E3263" s="188">
        <f>IFERROR(__xludf.DUMMYFUNCTION("""COMPUTED_VALUE"""),44412.0)</f>
        <v>44412</v>
      </c>
      <c r="J3263" s="188">
        <f>IFERROR(__xludf.DUMMYFUNCTION("""COMPUTED_VALUE"""),44471.0)</f>
        <v>44471</v>
      </c>
      <c r="M3263">
        <f>IFERROR(__xludf.DUMMYFUNCTION("""COMPUTED_VALUE"""),59.0)</f>
        <v>59</v>
      </c>
      <c r="N3263" t="str">
        <f>IFERROR(__xludf.DUMMYFUNCTION("""COMPUTED_VALUE"""),"Model 3 SR+")</f>
        <v>Model 3 SR+</v>
      </c>
      <c r="O3263" t="str">
        <f>IFERROR(__xludf.DUMMYFUNCTION("""COMPUTED_VALUE"""),"Deep Blue Metallic")</f>
        <v>Deep Blue Metallic</v>
      </c>
      <c r="P3263" t="str">
        <f>IFERROR(__xludf.DUMMYFUNCTION("""COMPUTED_VALUE"""),"18 inch")</f>
        <v>18 inch</v>
      </c>
      <c r="Q3263" t="str">
        <f>IFERROR(__xludf.DUMMYFUNCTION("""COMPUTED_VALUE"""),"Black and White")</f>
        <v>Black and White</v>
      </c>
      <c r="R3263" t="str">
        <f>IFERROR(__xludf.DUMMYFUNCTION("""COMPUTED_VALUE"""),"Autopilot included")</f>
        <v>Autopilot included</v>
      </c>
      <c r="S3263" t="str">
        <f>IFERROR(__xludf.DUMMYFUNCTION("""COMPUTED_VALUE"""),"Loan")</f>
        <v>Loan</v>
      </c>
      <c r="T3263" t="str">
        <f>IFERROR(__xludf.DUMMYFUNCTION("""COMPUTED_VALUE"""),"Volkswagen Touareg")</f>
        <v>Volkswagen Touareg</v>
      </c>
      <c r="U3263" t="str">
        <f>IFERROR(__xludf.DUMMYFUNCTION("""COMPUTED_VALUE"""),"Electric!")</f>
        <v>Electric!</v>
      </c>
      <c r="V3263" t="str">
        <f>IFERROR(__xludf.DUMMYFUNCTION("""COMPUTED_VALUE"""),"Head-up display, vent seats, and maybe a few physical controls for climate or radio")</f>
        <v>Head-up display, vent seats, and maybe a few physical controls for climate or radio</v>
      </c>
      <c r="AH3263" s="189">
        <f>IFERROR(__xludf.DUMMYFUNCTION("""COMPUTED_VALUE"""),44418.38778880787)</f>
        <v>44418.38779</v>
      </c>
    </row>
    <row r="3264">
      <c r="A3264" t="str">
        <f>IFERROR(__xludf.DUMMYFUNCTION("""COMPUTED_VALUE"""),"JJ")</f>
        <v>JJ</v>
      </c>
      <c r="B3264" t="str">
        <f>IFERROR(__xludf.DUMMYFUNCTION("""COMPUTED_VALUE"""),"Los Angeles")</f>
        <v>Los Angeles</v>
      </c>
      <c r="C3264" t="str">
        <f>IFERROR(__xludf.DUMMYFUNCTION("""COMPUTED_VALUE"""),"CA")</f>
        <v>CA</v>
      </c>
      <c r="D3264" t="str">
        <f>IFERROR(__xludf.DUMMYFUNCTION("""COMPUTED_VALUE"""),"USA")</f>
        <v>USA</v>
      </c>
      <c r="E3264" s="188">
        <f>IFERROR(__xludf.DUMMYFUNCTION("""COMPUTED_VALUE"""),44374.0)</f>
        <v>44374</v>
      </c>
      <c r="F3264" s="188">
        <f>IFERROR(__xludf.DUMMYFUNCTION("""COMPUTED_VALUE"""),44410.0)</f>
        <v>44410</v>
      </c>
      <c r="G3264" t="str">
        <f>IFERROR(__xludf.DUMMYFUNCTION("""COMPUTED_VALUE"""),"Phone call")</f>
        <v>Phone call</v>
      </c>
      <c r="I3264" t="str">
        <f>IFERROR(__xludf.DUMMYFUNCTION("""COMPUTED_VALUE"""),"08/21")</f>
        <v>08/21</v>
      </c>
      <c r="J3264" s="188">
        <f>IFERROR(__xludf.DUMMYFUNCTION("""COMPUTED_VALUE"""),44414.0)</f>
        <v>44414</v>
      </c>
      <c r="K3264">
        <f>IFERROR(__xludf.DUMMYFUNCTION("""COMPUTED_VALUE"""),36.0)</f>
        <v>36</v>
      </c>
      <c r="L3264">
        <f>IFERROR(__xludf.DUMMYFUNCTION("""COMPUTED_VALUE"""),4.0)</f>
        <v>4</v>
      </c>
      <c r="M3264">
        <f>IFERROR(__xludf.DUMMYFUNCTION("""COMPUTED_VALUE"""),40.0)</f>
        <v>40</v>
      </c>
      <c r="N3264" t="str">
        <f>IFERROR(__xludf.DUMMYFUNCTION("""COMPUTED_VALUE"""),"Model 3 SR+")</f>
        <v>Model 3 SR+</v>
      </c>
      <c r="O3264" t="str">
        <f>IFERROR(__xludf.DUMMYFUNCTION("""COMPUTED_VALUE"""),"Pearl White Multi-Coat")</f>
        <v>Pearl White Multi-Coat</v>
      </c>
      <c r="P3264" t="str">
        <f>IFERROR(__xludf.DUMMYFUNCTION("""COMPUTED_VALUE"""),"18 inch")</f>
        <v>18 inch</v>
      </c>
      <c r="Q3264" t="str">
        <f>IFERROR(__xludf.DUMMYFUNCTION("""COMPUTED_VALUE"""),"All Black")</f>
        <v>All Black</v>
      </c>
      <c r="R3264" t="str">
        <f>IFERROR(__xludf.DUMMYFUNCTION("""COMPUTED_VALUE"""),"Autopilot included")</f>
        <v>Autopilot included</v>
      </c>
      <c r="S3264" t="str">
        <f>IFERROR(__xludf.DUMMYFUNCTION("""COMPUTED_VALUE"""),"Loan")</f>
        <v>Loan</v>
      </c>
      <c r="X3264" t="str">
        <f>IFERROR(__xludf.DUMMYFUNCTION("""COMPUTED_VALUE"""),"Excellent")</f>
        <v>Excellent</v>
      </c>
      <c r="Y3264" t="str">
        <f>IFERROR(__xludf.DUMMYFUNCTION("""COMPUTED_VALUE"""),"Excellent")</f>
        <v>Excellent</v>
      </c>
      <c r="Z3264" t="str">
        <f>IFERROR(__xludf.DUMMYFUNCTION("""COMPUTED_VALUE"""),"Excellent")</f>
        <v>Excellent</v>
      </c>
      <c r="AA3264" t="str">
        <f>IFERROR(__xludf.DUMMYFUNCTION("""COMPUTED_VALUE"""),"Excellent")</f>
        <v>Excellent</v>
      </c>
      <c r="AB3264" t="str">
        <f>IFERROR(__xludf.DUMMYFUNCTION("""COMPUTED_VALUE"""),"Excellent")</f>
        <v>Excellent</v>
      </c>
      <c r="AH3264" s="189">
        <f>IFERROR(__xludf.DUMMYFUNCTION("""COMPUTED_VALUE"""),44414.61774023148)</f>
        <v>44414.61774</v>
      </c>
    </row>
    <row r="3265">
      <c r="A3265" t="str">
        <f>IFERROR(__xludf.DUMMYFUNCTION("""COMPUTED_VALUE"""),"WingsCreates")</f>
        <v>WingsCreates</v>
      </c>
      <c r="B3265" t="str">
        <f>IFERROR(__xludf.DUMMYFUNCTION("""COMPUTED_VALUE"""),"Madison")</f>
        <v>Madison</v>
      </c>
      <c r="C3265" t="str">
        <f>IFERROR(__xludf.DUMMYFUNCTION("""COMPUTED_VALUE"""),"WI")</f>
        <v>WI</v>
      </c>
      <c r="D3265" t="str">
        <f>IFERROR(__xludf.DUMMYFUNCTION("""COMPUTED_VALUE"""),"USA")</f>
        <v>USA</v>
      </c>
      <c r="E3265" s="188">
        <f>IFERROR(__xludf.DUMMYFUNCTION("""COMPUTED_VALUE"""),44412.0)</f>
        <v>44412</v>
      </c>
      <c r="F3265" s="188">
        <f>IFERROR(__xludf.DUMMYFUNCTION("""COMPUTED_VALUE"""),44420.0)</f>
        <v>44420</v>
      </c>
      <c r="G3265" t="str">
        <f>IFERROR(__xludf.DUMMYFUNCTION("""COMPUTED_VALUE"""),"Existing Inventory")</f>
        <v>Existing Inventory</v>
      </c>
      <c r="H3265">
        <f>IFERROR(__xludf.DUMMYFUNCTION("""COMPUTED_VALUE"""),28055.0)</f>
        <v>28055</v>
      </c>
      <c r="J3265" s="188">
        <f>IFERROR(__xludf.DUMMYFUNCTION("""COMPUTED_VALUE"""),44426.0)</f>
        <v>44426</v>
      </c>
      <c r="K3265">
        <f>IFERROR(__xludf.DUMMYFUNCTION("""COMPUTED_VALUE"""),8.0)</f>
        <v>8</v>
      </c>
      <c r="L3265">
        <f>IFERROR(__xludf.DUMMYFUNCTION("""COMPUTED_VALUE"""),6.0)</f>
        <v>6</v>
      </c>
      <c r="M3265">
        <f>IFERROR(__xludf.DUMMYFUNCTION("""COMPUTED_VALUE"""),14.0)</f>
        <v>14</v>
      </c>
      <c r="N3265" t="str">
        <f>IFERROR(__xludf.DUMMYFUNCTION("""COMPUTED_VALUE"""),"Model 3 SR+")</f>
        <v>Model 3 SR+</v>
      </c>
      <c r="O3265" t="str">
        <f>IFERROR(__xludf.DUMMYFUNCTION("""COMPUTED_VALUE"""),"Red Multi-Coat")</f>
        <v>Red Multi-Coat</v>
      </c>
      <c r="P3265" t="str">
        <f>IFERROR(__xludf.DUMMYFUNCTION("""COMPUTED_VALUE"""),"19 inch")</f>
        <v>19 inch</v>
      </c>
      <c r="Q3265" t="str">
        <f>IFERROR(__xludf.DUMMYFUNCTION("""COMPUTED_VALUE"""),"All Black")</f>
        <v>All Black</v>
      </c>
      <c r="R3265" t="str">
        <f>IFERROR(__xludf.DUMMYFUNCTION("""COMPUTED_VALUE"""),"Full Self-Driving")</f>
        <v>Full Self-Driving</v>
      </c>
      <c r="S3265" t="str">
        <f>IFERROR(__xludf.DUMMYFUNCTION("""COMPUTED_VALUE"""),"Loan")</f>
        <v>Loan</v>
      </c>
      <c r="T3265" t="str">
        <f>IFERROR(__xludf.DUMMYFUNCTION("""COMPUTED_VALUE"""),"Mazda 3 Hatchback")</f>
        <v>Mazda 3 Hatchback</v>
      </c>
      <c r="U3265" t="str">
        <f>IFERROR(__xludf.DUMMYFUNCTION("""COMPUTED_VALUE"""),"Autopilot")</f>
        <v>Autopilot</v>
      </c>
      <c r="V3265" t="str">
        <f>IFERROR(__xludf.DUMMYFUNCTION("""COMPUTED_VALUE"""),"Head-up display")</f>
        <v>Head-up display</v>
      </c>
      <c r="AH3265" s="189">
        <f>IFERROR(__xludf.DUMMYFUNCTION("""COMPUTED_VALUE"""),44420.49133329861)</f>
        <v>44420.49133</v>
      </c>
    </row>
    <row r="3266">
      <c r="A3266" t="str">
        <f>IFERROR(__xludf.DUMMYFUNCTION("""COMPUTED_VALUE"""),"Jz")</f>
        <v>Jz</v>
      </c>
      <c r="B3266" t="str">
        <f>IFERROR(__xludf.DUMMYFUNCTION("""COMPUTED_VALUE"""),"Princeton")</f>
        <v>Princeton</v>
      </c>
      <c r="C3266" t="str">
        <f>IFERROR(__xludf.DUMMYFUNCTION("""COMPUTED_VALUE"""),"NJ")</f>
        <v>NJ</v>
      </c>
      <c r="D3266" t="str">
        <f>IFERROR(__xludf.DUMMYFUNCTION("""COMPUTED_VALUE"""),"USA")</f>
        <v>USA</v>
      </c>
      <c r="E3266" s="188">
        <f>IFERROR(__xludf.DUMMYFUNCTION("""COMPUTED_VALUE"""),44386.0)</f>
        <v>44386</v>
      </c>
      <c r="F3266" s="188">
        <f>IFERROR(__xludf.DUMMYFUNCTION("""COMPUTED_VALUE"""),44435.0)</f>
        <v>44435</v>
      </c>
      <c r="G3266" t="str">
        <f>IFERROR(__xludf.DUMMYFUNCTION("""COMPUTED_VALUE"""),"Original EDD and VIN delay. Then decided to get a inventory car...")</f>
        <v>Original EDD and VIN delay. Then decided to get a inventory car...</v>
      </c>
      <c r="K3266">
        <f>IFERROR(__xludf.DUMMYFUNCTION("""COMPUTED_VALUE"""),49.0)</f>
        <v>49</v>
      </c>
      <c r="N3266" t="str">
        <f>IFERROR(__xludf.DUMMYFUNCTION("""COMPUTED_VALUE"""),"Model 3 SR+")</f>
        <v>Model 3 SR+</v>
      </c>
      <c r="O3266" t="str">
        <f>IFERROR(__xludf.DUMMYFUNCTION("""COMPUTED_VALUE"""),"Pearl White Multi-Coat")</f>
        <v>Pearl White Multi-Coat</v>
      </c>
      <c r="P3266" t="str">
        <f>IFERROR(__xludf.DUMMYFUNCTION("""COMPUTED_VALUE"""),"18 inch")</f>
        <v>18 inch</v>
      </c>
      <c r="Q3266" t="str">
        <f>IFERROR(__xludf.DUMMYFUNCTION("""COMPUTED_VALUE"""),"All Black")</f>
        <v>All Black</v>
      </c>
      <c r="R3266" t="str">
        <f>IFERROR(__xludf.DUMMYFUNCTION("""COMPUTED_VALUE"""),"Autopilot included")</f>
        <v>Autopilot included</v>
      </c>
      <c r="T3266" t="str">
        <f>IFERROR(__xludf.DUMMYFUNCTION("""COMPUTED_VALUE"""),"Toyota Prius")</f>
        <v>Toyota Prius</v>
      </c>
      <c r="U3266" t="str">
        <f>IFERROR(__xludf.DUMMYFUNCTION("""COMPUTED_VALUE"""),"Supercharger V3 support")</f>
        <v>Supercharger V3 support</v>
      </c>
      <c r="V3266" t="str">
        <f>IFERROR(__xludf.DUMMYFUNCTION("""COMPUTED_VALUE"""),"Bioweapon defense mode")</f>
        <v>Bioweapon defense mode</v>
      </c>
      <c r="AH3266" s="189">
        <f>IFERROR(__xludf.DUMMYFUNCTION("""COMPUTED_VALUE"""),44436.93979653935)</f>
        <v>44436.9398</v>
      </c>
    </row>
    <row r="3267">
      <c r="A3267" t="str">
        <f>IFERROR(__xludf.DUMMYFUNCTION("""COMPUTED_VALUE"""),"fossilcreek")</f>
        <v>fossilcreek</v>
      </c>
      <c r="B3267" t="str">
        <f>IFERROR(__xludf.DUMMYFUNCTION("""COMPUTED_VALUE"""),"Fort Worth")</f>
        <v>Fort Worth</v>
      </c>
      <c r="C3267" t="str">
        <f>IFERROR(__xludf.DUMMYFUNCTION("""COMPUTED_VALUE"""),"TX")</f>
        <v>TX</v>
      </c>
      <c r="D3267" t="str">
        <f>IFERROR(__xludf.DUMMYFUNCTION("""COMPUTED_VALUE"""),"USA")</f>
        <v>USA</v>
      </c>
      <c r="E3267" s="188">
        <f>IFERROR(__xludf.DUMMYFUNCTION("""COMPUTED_VALUE"""),44413.0)</f>
        <v>44413</v>
      </c>
      <c r="F3267" s="188">
        <f>IFERROR(__xludf.DUMMYFUNCTION("""COMPUTED_VALUE"""),44433.0)</f>
        <v>44433</v>
      </c>
      <c r="G3267" t="str">
        <f>IFERROR(__xludf.DUMMYFUNCTION("""COMPUTED_VALUE"""),"Manage order page (normal text)")</f>
        <v>Manage order page (normal text)</v>
      </c>
      <c r="H3267">
        <f>IFERROR(__xludf.DUMMYFUNCTION("""COMPUTED_VALUE"""),49755.0)</f>
        <v>49755</v>
      </c>
      <c r="J3267" s="188">
        <f>IFERROR(__xludf.DUMMYFUNCTION("""COMPUTED_VALUE"""),44446.0)</f>
        <v>44446</v>
      </c>
      <c r="K3267">
        <f>IFERROR(__xludf.DUMMYFUNCTION("""COMPUTED_VALUE"""),20.0)</f>
        <v>20</v>
      </c>
      <c r="L3267">
        <f>IFERROR(__xludf.DUMMYFUNCTION("""COMPUTED_VALUE"""),13.0)</f>
        <v>13</v>
      </c>
      <c r="M3267">
        <f>IFERROR(__xludf.DUMMYFUNCTION("""COMPUTED_VALUE"""),33.0)</f>
        <v>33</v>
      </c>
      <c r="N3267" t="str">
        <f>IFERROR(__xludf.DUMMYFUNCTION("""COMPUTED_VALUE"""),"Model 3 Performance")</f>
        <v>Model 3 Performance</v>
      </c>
      <c r="O3267" t="str">
        <f>IFERROR(__xludf.DUMMYFUNCTION("""COMPUTED_VALUE"""),"Deep Blue Metallic")</f>
        <v>Deep Blue Metallic</v>
      </c>
      <c r="P3267" t="str">
        <f>IFERROR(__xludf.DUMMYFUNCTION("""COMPUTED_VALUE"""),"20 inch")</f>
        <v>20 inch</v>
      </c>
      <c r="Q3267" t="str">
        <f>IFERROR(__xludf.DUMMYFUNCTION("""COMPUTED_VALUE"""),"Black and White")</f>
        <v>Black and White</v>
      </c>
      <c r="R3267" t="str">
        <f>IFERROR(__xludf.DUMMYFUNCTION("""COMPUTED_VALUE"""),"Autopilot included")</f>
        <v>Autopilot included</v>
      </c>
      <c r="S3267" t="str">
        <f>IFERROR(__xludf.DUMMYFUNCTION("""COMPUTED_VALUE"""),"Loan")</f>
        <v>Loan</v>
      </c>
      <c r="T3267" t="str">
        <f>IFERROR(__xludf.DUMMYFUNCTION("""COMPUTED_VALUE"""),"KIA Stinger GT1")</f>
        <v>KIA Stinger GT1</v>
      </c>
      <c r="V3267" t="str">
        <f>IFERROR(__xludf.DUMMYFUNCTION("""COMPUTED_VALUE"""),"Ventilated seats")</f>
        <v>Ventilated seats</v>
      </c>
      <c r="X3267" t="str">
        <f>IFERROR(__xludf.DUMMYFUNCTION("""COMPUTED_VALUE"""),"Very Good")</f>
        <v>Very Good</v>
      </c>
      <c r="Y3267" t="str">
        <f>IFERROR(__xludf.DUMMYFUNCTION("""COMPUTED_VALUE"""),"Excellent")</f>
        <v>Excellent</v>
      </c>
      <c r="Z3267" t="str">
        <f>IFERROR(__xludf.DUMMYFUNCTION("""COMPUTED_VALUE"""),"Very Good")</f>
        <v>Very Good</v>
      </c>
      <c r="AA3267" t="str">
        <f>IFERROR(__xludf.DUMMYFUNCTION("""COMPUTED_VALUE"""),"Excellent")</f>
        <v>Excellent</v>
      </c>
      <c r="AB3267" t="str">
        <f>IFERROR(__xludf.DUMMYFUNCTION("""COMPUTED_VALUE"""),"Very Good")</f>
        <v>Very Good</v>
      </c>
      <c r="AF3267" t="str">
        <f>IFERROR(__xludf.DUMMYFUNCTION("""COMPUTED_VALUE"""),"No. I took delivery of the first car Tesla was able to deliver.")</f>
        <v>No. I took delivery of the first car Tesla was able to deliver.</v>
      </c>
      <c r="AH3267" s="189">
        <f>IFERROR(__xludf.DUMMYFUNCTION("""COMPUTED_VALUE"""),44446.50775164352)</f>
        <v>44446.50775</v>
      </c>
    </row>
    <row r="3268">
      <c r="A3268" t="str">
        <f>IFERROR(__xludf.DUMMYFUNCTION("""COMPUTED_VALUE"""),"Tanck ")</f>
        <v>Tanck </v>
      </c>
      <c r="B3268" t="str">
        <f>IFERROR(__xludf.DUMMYFUNCTION("""COMPUTED_VALUE"""),"Salt Lake City")</f>
        <v>Salt Lake City</v>
      </c>
      <c r="C3268" t="str">
        <f>IFERROR(__xludf.DUMMYFUNCTION("""COMPUTED_VALUE"""),"UT")</f>
        <v>UT</v>
      </c>
      <c r="D3268" t="str">
        <f>IFERROR(__xludf.DUMMYFUNCTION("""COMPUTED_VALUE"""),"USA")</f>
        <v>USA</v>
      </c>
      <c r="E3268" s="188">
        <f>IFERROR(__xludf.DUMMYFUNCTION("""COMPUTED_VALUE"""),44377.0)</f>
        <v>44377</v>
      </c>
      <c r="F3268" s="188">
        <f>IFERROR(__xludf.DUMMYFUNCTION("""COMPUTED_VALUE"""),44413.0)</f>
        <v>44413</v>
      </c>
      <c r="G3268" t="str">
        <f>IFERROR(__xludf.DUMMYFUNCTION("""COMPUTED_VALUE"""),"Manage order page (normal text)")</f>
        <v>Manage order page (normal text)</v>
      </c>
      <c r="H3268">
        <f>IFERROR(__xludf.DUMMYFUNCTION("""COMPUTED_VALUE"""),27925.0)</f>
        <v>27925</v>
      </c>
      <c r="J3268" s="188">
        <f>IFERROR(__xludf.DUMMYFUNCTION("""COMPUTED_VALUE"""),44417.0)</f>
        <v>44417</v>
      </c>
      <c r="K3268">
        <f>IFERROR(__xludf.DUMMYFUNCTION("""COMPUTED_VALUE"""),36.0)</f>
        <v>36</v>
      </c>
      <c r="L3268">
        <f>IFERROR(__xludf.DUMMYFUNCTION("""COMPUTED_VALUE"""),4.0)</f>
        <v>4</v>
      </c>
      <c r="M3268">
        <f>IFERROR(__xludf.DUMMYFUNCTION("""COMPUTED_VALUE"""),40.0)</f>
        <v>40</v>
      </c>
      <c r="N3268" t="str">
        <f>IFERROR(__xludf.DUMMYFUNCTION("""COMPUTED_VALUE"""),"Model 3 SR+")</f>
        <v>Model 3 SR+</v>
      </c>
      <c r="O3268" t="str">
        <f>IFERROR(__xludf.DUMMYFUNCTION("""COMPUTED_VALUE"""),"Pearl White Multi-Coat")</f>
        <v>Pearl White Multi-Coat</v>
      </c>
      <c r="P3268" t="str">
        <f>IFERROR(__xludf.DUMMYFUNCTION("""COMPUTED_VALUE"""),"18 inch")</f>
        <v>18 inch</v>
      </c>
      <c r="Q3268" t="str">
        <f>IFERROR(__xludf.DUMMYFUNCTION("""COMPUTED_VALUE"""),"All Black")</f>
        <v>All Black</v>
      </c>
      <c r="R3268" t="str">
        <f>IFERROR(__xludf.DUMMYFUNCTION("""COMPUTED_VALUE"""),"Autopilot included")</f>
        <v>Autopilot included</v>
      </c>
      <c r="S3268" t="str">
        <f>IFERROR(__xludf.DUMMYFUNCTION("""COMPUTED_VALUE"""),"Lease")</f>
        <v>Lease</v>
      </c>
      <c r="T3268" t="str">
        <f>IFERROR(__xludf.DUMMYFUNCTION("""COMPUTED_VALUE"""),"Kia Seltos")</f>
        <v>Kia Seltos</v>
      </c>
      <c r="U3268" t="str">
        <f>IFERROR(__xludf.DUMMYFUNCTION("""COMPUTED_VALUE"""),"On board tech ")</f>
        <v>On board tech </v>
      </c>
      <c r="V3268" t="str">
        <f>IFERROR(__xludf.DUMMYFUNCTION("""COMPUTED_VALUE"""),"Heated steering wheel")</f>
        <v>Heated steering wheel</v>
      </c>
      <c r="X3268" t="str">
        <f>IFERROR(__xludf.DUMMYFUNCTION("""COMPUTED_VALUE"""),"Good")</f>
        <v>Good</v>
      </c>
      <c r="Y3268" t="str">
        <f>IFERROR(__xludf.DUMMYFUNCTION("""COMPUTED_VALUE"""),"Very Good")</f>
        <v>Very Good</v>
      </c>
      <c r="Z3268" t="str">
        <f>IFERROR(__xludf.DUMMYFUNCTION("""COMPUTED_VALUE"""),"Very Good")</f>
        <v>Very Good</v>
      </c>
      <c r="AA3268" t="str">
        <f>IFERROR(__xludf.DUMMYFUNCTION("""COMPUTED_VALUE"""),"Excellent")</f>
        <v>Excellent</v>
      </c>
      <c r="AB3268" t="str">
        <f>IFERROR(__xludf.DUMMYFUNCTION("""COMPUTED_VALUE"""),"Excellent")</f>
        <v>Excellent</v>
      </c>
      <c r="AC3268">
        <f>IFERROR(__xludf.DUMMYFUNCTION("""COMPUTED_VALUE"""),1.0)</f>
        <v>1</v>
      </c>
      <c r="AF3268" t="str">
        <f>IFERROR(__xludf.DUMMYFUNCTION("""COMPUTED_VALUE"""),"No. I took delivery of the first car Tesla was able to deliver.")</f>
        <v>No. I took delivery of the first car Tesla was able to deliver.</v>
      </c>
      <c r="AH3268" s="189">
        <f>IFERROR(__xludf.DUMMYFUNCTION("""COMPUTED_VALUE"""),44418.503126261574)</f>
        <v>44418.50313</v>
      </c>
    </row>
    <row r="3269">
      <c r="A3269" t="str">
        <f>IFERROR(__xludf.DUMMYFUNCTION("""COMPUTED_VALUE"""),"infiCathi")</f>
        <v>infiCathi</v>
      </c>
      <c r="B3269" t="str">
        <f>IFERROR(__xludf.DUMMYFUNCTION("""COMPUTED_VALUE"""),"Irvine")</f>
        <v>Irvine</v>
      </c>
      <c r="C3269" t="str">
        <f>IFERROR(__xludf.DUMMYFUNCTION("""COMPUTED_VALUE"""),"CA")</f>
        <v>CA</v>
      </c>
      <c r="D3269" t="str">
        <f>IFERROR(__xludf.DUMMYFUNCTION("""COMPUTED_VALUE"""),"USA")</f>
        <v>USA</v>
      </c>
      <c r="E3269" s="188">
        <f>IFERROR(__xludf.DUMMYFUNCTION("""COMPUTED_VALUE"""),44357.0)</f>
        <v>44357</v>
      </c>
      <c r="F3269" s="188">
        <f>IFERROR(__xludf.DUMMYFUNCTION("""COMPUTED_VALUE"""),44416.0)</f>
        <v>44416</v>
      </c>
      <c r="G3269" t="str">
        <f>IFERROR(__xludf.DUMMYFUNCTION("""COMPUTED_VALUE"""),"Manage order page (normal text)")</f>
        <v>Manage order page (normal text)</v>
      </c>
      <c r="H3269">
        <f>IFERROR(__xludf.DUMMYFUNCTION("""COMPUTED_VALUE"""),29463.0)</f>
        <v>29463</v>
      </c>
      <c r="J3269" s="188">
        <f>IFERROR(__xludf.DUMMYFUNCTION("""COMPUTED_VALUE"""),44419.0)</f>
        <v>44419</v>
      </c>
      <c r="K3269">
        <f>IFERROR(__xludf.DUMMYFUNCTION("""COMPUTED_VALUE"""),59.0)</f>
        <v>59</v>
      </c>
      <c r="L3269">
        <f>IFERROR(__xludf.DUMMYFUNCTION("""COMPUTED_VALUE"""),3.0)</f>
        <v>3</v>
      </c>
      <c r="M3269">
        <f>IFERROR(__xludf.DUMMYFUNCTION("""COMPUTED_VALUE"""),62.0)</f>
        <v>62</v>
      </c>
      <c r="N3269" t="str">
        <f>IFERROR(__xludf.DUMMYFUNCTION("""COMPUTED_VALUE"""),"Model 3 SR+")</f>
        <v>Model 3 SR+</v>
      </c>
      <c r="O3269" t="str">
        <f>IFERROR(__xludf.DUMMYFUNCTION("""COMPUTED_VALUE"""),"Pearl White Multi-Coat")</f>
        <v>Pearl White Multi-Coat</v>
      </c>
      <c r="P3269" t="str">
        <f>IFERROR(__xludf.DUMMYFUNCTION("""COMPUTED_VALUE"""),"18 inch")</f>
        <v>18 inch</v>
      </c>
      <c r="Q3269" t="str">
        <f>IFERROR(__xludf.DUMMYFUNCTION("""COMPUTED_VALUE"""),"Black and White")</f>
        <v>Black and White</v>
      </c>
      <c r="R3269" t="str">
        <f>IFERROR(__xludf.DUMMYFUNCTION("""COMPUTED_VALUE"""),"Autopilot included")</f>
        <v>Autopilot included</v>
      </c>
      <c r="S3269" t="str">
        <f>IFERROR(__xludf.DUMMYFUNCTION("""COMPUTED_VALUE"""),"Loan")</f>
        <v>Loan</v>
      </c>
      <c r="T3269" t="str">
        <f>IFERROR(__xludf.DUMMYFUNCTION("""COMPUTED_VALUE"""),"Toyota Camry")</f>
        <v>Toyota Camry</v>
      </c>
      <c r="U3269" t="str">
        <f>IFERROR(__xludf.DUMMYFUNCTION("""COMPUTED_VALUE"""),"Techy, clean design")</f>
        <v>Techy, clean design</v>
      </c>
      <c r="V3269" t="str">
        <f>IFERROR(__xludf.DUMMYFUNCTION("""COMPUTED_VALUE"""),"Ventilated, heated steering wheel, heads up display, blind spot indicators, birds eye viewww")</f>
        <v>Ventilated, heated steering wheel, heads up display, blind spot indicators, birds eye viewww</v>
      </c>
      <c r="W3269" t="str">
        <f>IFERROR(__xludf.DUMMYFUNCTION("""COMPUTED_VALUE"""),"EDD is a lie, talk to someone at Tesla and stay on the forums to keep your sanity")</f>
        <v>EDD is a lie, talk to someone at Tesla and stay on the forums to keep your sanity</v>
      </c>
      <c r="X3269" t="str">
        <f>IFERROR(__xludf.DUMMYFUNCTION("""COMPUTED_VALUE"""),"Fair")</f>
        <v>Fair</v>
      </c>
      <c r="Y3269" t="str">
        <f>IFERROR(__xludf.DUMMYFUNCTION("""COMPUTED_VALUE"""),"Good")</f>
        <v>Good</v>
      </c>
      <c r="Z3269" t="str">
        <f>IFERROR(__xludf.DUMMYFUNCTION("""COMPUTED_VALUE"""),"Good")</f>
        <v>Good</v>
      </c>
      <c r="AA3269" t="str">
        <f>IFERROR(__xludf.DUMMYFUNCTION("""COMPUTED_VALUE"""),"Very Good")</f>
        <v>Very Good</v>
      </c>
      <c r="AB3269" t="str">
        <f>IFERROR(__xludf.DUMMYFUNCTION("""COMPUTED_VALUE"""),"Very Good")</f>
        <v>Very Good</v>
      </c>
      <c r="AC3269">
        <f>IFERROR(__xludf.DUMMYFUNCTION("""COMPUTED_VALUE"""),12.0)</f>
        <v>12</v>
      </c>
      <c r="AD3269">
        <f>IFERROR(__xludf.DUMMYFUNCTION("""COMPUTED_VALUE"""),1.0)</f>
        <v>1</v>
      </c>
      <c r="AF3269" t="str">
        <f>IFERROR(__xludf.DUMMYFUNCTION("""COMPUTED_VALUE"""),"No. I took delivery of the first car Tesla was able to deliver.")</f>
        <v>No. I took delivery of the first car Tesla was able to deliver.</v>
      </c>
      <c r="AG3269" t="str">
        <f>IFERROR(__xludf.DUMMYFUNCTION("""COMPUTED_VALUE"""),"Take your time to look over the car. If you have an issue, report it right away, and you can add more issues on top of that. It's first 100 miles or until your first service center visit, whatever happens second. ")</f>
        <v>Take your time to look over the car. If you have an issue, report it right away, and you can add more issues on top of that. It's first 100 miles or until your first service center visit, whatever happens second. </v>
      </c>
      <c r="AH3269" s="189">
        <f>IFERROR(__xludf.DUMMYFUNCTION("""COMPUTED_VALUE"""),44421.432441655095)</f>
        <v>44421.43244</v>
      </c>
    </row>
    <row r="3270">
      <c r="A3270" t="str">
        <f>IFERROR(__xludf.DUMMYFUNCTION("""COMPUTED_VALUE"""),"mpls")</f>
        <v>mpls</v>
      </c>
      <c r="B3270" t="str">
        <f>IFERROR(__xludf.DUMMYFUNCTION("""COMPUTED_VALUE"""),"Minneapolis")</f>
        <v>Minneapolis</v>
      </c>
      <c r="C3270" t="str">
        <f>IFERROR(__xludf.DUMMYFUNCTION("""COMPUTED_VALUE"""),"MN")</f>
        <v>MN</v>
      </c>
      <c r="D3270" t="str">
        <f>IFERROR(__xludf.DUMMYFUNCTION("""COMPUTED_VALUE"""),"USA")</f>
        <v>USA</v>
      </c>
      <c r="E3270" s="188">
        <f>IFERROR(__xludf.DUMMYFUNCTION("""COMPUTED_VALUE"""),44356.0)</f>
        <v>44356</v>
      </c>
      <c r="F3270" s="188">
        <f>IFERROR(__xludf.DUMMYFUNCTION("""COMPUTED_VALUE"""),44435.0)</f>
        <v>44435</v>
      </c>
      <c r="G3270" t="str">
        <f>IFERROR(__xludf.DUMMYFUNCTION("""COMPUTED_VALUE"""),"Manage order page (normal text)")</f>
        <v>Manage order page (normal text)</v>
      </c>
      <c r="J3270" s="188">
        <f>IFERROR(__xludf.DUMMYFUNCTION("""COMPUTED_VALUE"""),44447.0)</f>
        <v>44447</v>
      </c>
      <c r="K3270">
        <f>IFERROR(__xludf.DUMMYFUNCTION("""COMPUTED_VALUE"""),79.0)</f>
        <v>79</v>
      </c>
      <c r="L3270">
        <f>IFERROR(__xludf.DUMMYFUNCTION("""COMPUTED_VALUE"""),12.0)</f>
        <v>12</v>
      </c>
      <c r="M3270">
        <f>IFERROR(__xludf.DUMMYFUNCTION("""COMPUTED_VALUE"""),91.0)</f>
        <v>91</v>
      </c>
      <c r="N3270" t="str">
        <f>IFERROR(__xludf.DUMMYFUNCTION("""COMPUTED_VALUE"""),"Model 3 LR AWD")</f>
        <v>Model 3 LR AWD</v>
      </c>
      <c r="O3270" t="str">
        <f>IFERROR(__xludf.DUMMYFUNCTION("""COMPUTED_VALUE"""),"Deep Blue Metallic")</f>
        <v>Deep Blue Metallic</v>
      </c>
      <c r="P3270" t="str">
        <f>IFERROR(__xludf.DUMMYFUNCTION("""COMPUTED_VALUE"""),"18 inch")</f>
        <v>18 inch</v>
      </c>
      <c r="Q3270" t="str">
        <f>IFERROR(__xludf.DUMMYFUNCTION("""COMPUTED_VALUE"""),"All Black")</f>
        <v>All Black</v>
      </c>
      <c r="R3270" t="str">
        <f>IFERROR(__xludf.DUMMYFUNCTION("""COMPUTED_VALUE"""),"Autopilot included")</f>
        <v>Autopilot included</v>
      </c>
      <c r="S3270" t="str">
        <f>IFERROR(__xludf.DUMMYFUNCTION("""COMPUTED_VALUE"""),"Loan")</f>
        <v>Loan</v>
      </c>
      <c r="AF3270" t="str">
        <f>IFERROR(__xludf.DUMMYFUNCTION("""COMPUTED_VALUE"""),"No. I took delivery of the first car Tesla was able to deliver.")</f>
        <v>No. I took delivery of the first car Tesla was able to deliver.</v>
      </c>
      <c r="AH3270" s="189">
        <f>IFERROR(__xludf.DUMMYFUNCTION("""COMPUTED_VALUE"""),44453.32410165509)</f>
        <v>44453.3241</v>
      </c>
    </row>
    <row r="3271">
      <c r="A3271" t="str">
        <f>IFERROR(__xludf.DUMMYFUNCTION("""COMPUTED_VALUE"""),"nexxco")</f>
        <v>nexxco</v>
      </c>
      <c r="B3271" t="str">
        <f>IFERROR(__xludf.DUMMYFUNCTION("""COMPUTED_VALUE"""),"Vancouver")</f>
        <v>Vancouver</v>
      </c>
      <c r="C3271" t="str">
        <f>IFERROR(__xludf.DUMMYFUNCTION("""COMPUTED_VALUE"""),"BC")</f>
        <v>BC</v>
      </c>
      <c r="D3271" t="str">
        <f>IFERROR(__xludf.DUMMYFUNCTION("""COMPUTED_VALUE"""),"Canada")</f>
        <v>Canada</v>
      </c>
      <c r="E3271" s="188">
        <f>IFERROR(__xludf.DUMMYFUNCTION("""COMPUTED_VALUE"""),44387.0)</f>
        <v>44387</v>
      </c>
      <c r="F3271" s="188">
        <f>IFERROR(__xludf.DUMMYFUNCTION("""COMPUTED_VALUE"""),44485.0)</f>
        <v>44485</v>
      </c>
      <c r="G3271" t="str">
        <f>IFERROR(__xludf.DUMMYFUNCTION("""COMPUTED_VALUE"""),"Manage order page (normal text)")</f>
        <v>Manage order page (normal text)</v>
      </c>
      <c r="J3271" s="188">
        <f>IFERROR(__xludf.DUMMYFUNCTION("""COMPUTED_VALUE"""),44490.0)</f>
        <v>44490</v>
      </c>
      <c r="K3271">
        <f>IFERROR(__xludf.DUMMYFUNCTION("""COMPUTED_VALUE"""),98.0)</f>
        <v>98</v>
      </c>
      <c r="L3271">
        <f>IFERROR(__xludf.DUMMYFUNCTION("""COMPUTED_VALUE"""),5.0)</f>
        <v>5</v>
      </c>
      <c r="M3271">
        <f>IFERROR(__xludf.DUMMYFUNCTION("""COMPUTED_VALUE"""),103.0)</f>
        <v>103</v>
      </c>
      <c r="N3271" t="str">
        <f>IFERROR(__xludf.DUMMYFUNCTION("""COMPUTED_VALUE"""),"Model 3 SR+")</f>
        <v>Model 3 SR+</v>
      </c>
      <c r="O3271" t="str">
        <f>IFERROR(__xludf.DUMMYFUNCTION("""COMPUTED_VALUE"""),"Pearl White Multi-Coat")</f>
        <v>Pearl White Multi-Coat</v>
      </c>
      <c r="P3271" t="str">
        <f>IFERROR(__xludf.DUMMYFUNCTION("""COMPUTED_VALUE"""),"18 inch")</f>
        <v>18 inch</v>
      </c>
      <c r="Q3271" t="str">
        <f>IFERROR(__xludf.DUMMYFUNCTION("""COMPUTED_VALUE"""),"All Black")</f>
        <v>All Black</v>
      </c>
      <c r="R3271" t="str">
        <f>IFERROR(__xludf.DUMMYFUNCTION("""COMPUTED_VALUE"""),"Autopilot included")</f>
        <v>Autopilot included</v>
      </c>
      <c r="S3271" t="str">
        <f>IFERROR(__xludf.DUMMYFUNCTION("""COMPUTED_VALUE"""),"Loan")</f>
        <v>Loan</v>
      </c>
      <c r="T3271" t="str">
        <f>IFERROR(__xludf.DUMMYFUNCTION("""COMPUTED_VALUE"""),"VW Golf")</f>
        <v>VW Golf</v>
      </c>
      <c r="V3271" t="str">
        <f>IFERROR(__xludf.DUMMYFUNCTION("""COMPUTED_VALUE"""),"Apple CarPlay / Android Auto / SiriusXM Radio")</f>
        <v>Apple CarPlay / Android Auto / SiriusXM Radio</v>
      </c>
      <c r="AH3271" s="189">
        <f>IFERROR(__xludf.DUMMYFUNCTION("""COMPUTED_VALUE"""),44485.81345854167)</f>
        <v>44485.81346</v>
      </c>
    </row>
    <row r="3272">
      <c r="A3272" t="str">
        <f>IFERROR(__xludf.DUMMYFUNCTION("""COMPUTED_VALUE"""),"OkButWhy")</f>
        <v>OkButWhy</v>
      </c>
      <c r="B3272" t="str">
        <f>IFERROR(__xludf.DUMMYFUNCTION("""COMPUTED_VALUE"""),"Dallas")</f>
        <v>Dallas</v>
      </c>
      <c r="C3272" t="str">
        <f>IFERROR(__xludf.DUMMYFUNCTION("""COMPUTED_VALUE"""),"TX")</f>
        <v>TX</v>
      </c>
      <c r="D3272" t="str">
        <f>IFERROR(__xludf.DUMMYFUNCTION("""COMPUTED_VALUE"""),"USA")</f>
        <v>USA</v>
      </c>
      <c r="E3272" s="188">
        <f>IFERROR(__xludf.DUMMYFUNCTION("""COMPUTED_VALUE"""),44442.0)</f>
        <v>44442</v>
      </c>
      <c r="F3272" s="188">
        <f>IFERROR(__xludf.DUMMYFUNCTION("""COMPUTED_VALUE"""),44442.0)</f>
        <v>44442</v>
      </c>
      <c r="G3272" t="str">
        <f>IFERROR(__xludf.DUMMYFUNCTION("""COMPUTED_VALUE"""),"Existing inventory")</f>
        <v>Existing inventory</v>
      </c>
      <c r="J3272" s="188">
        <f>IFERROR(__xludf.DUMMYFUNCTION("""COMPUTED_VALUE"""),44465.0)</f>
        <v>44465</v>
      </c>
      <c r="K3272">
        <f>IFERROR(__xludf.DUMMYFUNCTION("""COMPUTED_VALUE"""),0.0)</f>
        <v>0</v>
      </c>
      <c r="L3272">
        <f>IFERROR(__xludf.DUMMYFUNCTION("""COMPUTED_VALUE"""),23.0)</f>
        <v>23</v>
      </c>
      <c r="M3272">
        <f>IFERROR(__xludf.DUMMYFUNCTION("""COMPUTED_VALUE"""),23.0)</f>
        <v>23</v>
      </c>
      <c r="N3272" t="str">
        <f>IFERROR(__xludf.DUMMYFUNCTION("""COMPUTED_VALUE"""),"Model 3 SR+")</f>
        <v>Model 3 SR+</v>
      </c>
      <c r="O3272" t="str">
        <f>IFERROR(__xludf.DUMMYFUNCTION("""COMPUTED_VALUE"""),"Pearl White Multi-Coat")</f>
        <v>Pearl White Multi-Coat</v>
      </c>
      <c r="P3272" t="str">
        <f>IFERROR(__xludf.DUMMYFUNCTION("""COMPUTED_VALUE"""),"18 inch")</f>
        <v>18 inch</v>
      </c>
      <c r="Q3272" t="str">
        <f>IFERROR(__xludf.DUMMYFUNCTION("""COMPUTED_VALUE"""),"All Black")</f>
        <v>All Black</v>
      </c>
      <c r="R3272" t="str">
        <f>IFERROR(__xludf.DUMMYFUNCTION("""COMPUTED_VALUE"""),"Autopilot included")</f>
        <v>Autopilot included</v>
      </c>
      <c r="S3272" t="str">
        <f>IFERROR(__xludf.DUMMYFUNCTION("""COMPUTED_VALUE"""),"Loan")</f>
        <v>Loan</v>
      </c>
      <c r="T3272" t="str">
        <f>IFERROR(__xludf.DUMMYFUNCTION("""COMPUTED_VALUE"""),"Model 3 will be my first car!")</f>
        <v>Model 3 will be my first car!</v>
      </c>
      <c r="U3272" t="str">
        <f>IFERROR(__xludf.DUMMYFUNCTION("""COMPUTED_VALUE"""),"Electric!")</f>
        <v>Electric!</v>
      </c>
      <c r="V3272" t="str">
        <f>IFERROR(__xludf.DUMMYFUNCTION("""COMPUTED_VALUE"""),"360° Bird's eye view")</f>
        <v>360° Bird's eye view</v>
      </c>
      <c r="W3272" t="str">
        <f>IFERROR(__xludf.DUMMYFUNCTION("""COMPUTED_VALUE"""),"Patience, ask questions to your SA")</f>
        <v>Patience, ask questions to your SA</v>
      </c>
      <c r="X3272" t="str">
        <f>IFERROR(__xludf.DUMMYFUNCTION("""COMPUTED_VALUE"""),"Excellent")</f>
        <v>Excellent</v>
      </c>
      <c r="Y3272" t="str">
        <f>IFERROR(__xludf.DUMMYFUNCTION("""COMPUTED_VALUE"""),"Very Good")</f>
        <v>Very Good</v>
      </c>
      <c r="Z3272" t="str">
        <f>IFERROR(__xludf.DUMMYFUNCTION("""COMPUTED_VALUE"""),"Excellent")</f>
        <v>Excellent</v>
      </c>
      <c r="AA3272" t="str">
        <f>IFERROR(__xludf.DUMMYFUNCTION("""COMPUTED_VALUE"""),"Good")</f>
        <v>Good</v>
      </c>
      <c r="AB3272" t="str">
        <f>IFERROR(__xludf.DUMMYFUNCTION("""COMPUTED_VALUE"""),"Excellent")</f>
        <v>Excellent</v>
      </c>
      <c r="AF3272" t="str">
        <f>IFERROR(__xludf.DUMMYFUNCTION("""COMPUTED_VALUE"""),"No. I took delivery of the first car Tesla was able to deliver.")</f>
        <v>No. I took delivery of the first car Tesla was able to deliver.</v>
      </c>
      <c r="AH3272" s="189">
        <f>IFERROR(__xludf.DUMMYFUNCTION("""COMPUTED_VALUE"""),44465.74718605324)</f>
        <v>44465.74719</v>
      </c>
    </row>
    <row r="3273">
      <c r="A3273" t="str">
        <f>IFERROR(__xludf.DUMMYFUNCTION("""COMPUTED_VALUE"""),"PETROLDETH")</f>
        <v>PETROLDETH</v>
      </c>
      <c r="B3273" t="str">
        <f>IFERROR(__xludf.DUMMYFUNCTION("""COMPUTED_VALUE"""),"Temecula")</f>
        <v>Temecula</v>
      </c>
      <c r="C3273" t="str">
        <f>IFERROR(__xludf.DUMMYFUNCTION("""COMPUTED_VALUE"""),"CA")</f>
        <v>CA</v>
      </c>
      <c r="D3273" t="str">
        <f>IFERROR(__xludf.DUMMYFUNCTION("""COMPUTED_VALUE"""),"USA")</f>
        <v>USA</v>
      </c>
      <c r="E3273" s="188">
        <f>IFERROR(__xludf.DUMMYFUNCTION("""COMPUTED_VALUE"""),44399.0)</f>
        <v>44399</v>
      </c>
      <c r="F3273" s="188">
        <f>IFERROR(__xludf.DUMMYFUNCTION("""COMPUTED_VALUE"""),44432.0)</f>
        <v>44432</v>
      </c>
      <c r="G3273" t="str">
        <f>IFERROR(__xludf.DUMMYFUNCTION("""COMPUTED_VALUE"""),"Manage order page (normal text)")</f>
        <v>Manage order page (normal text)</v>
      </c>
      <c r="J3273" s="188">
        <f>IFERROR(__xludf.DUMMYFUNCTION("""COMPUTED_VALUE"""),44435.0)</f>
        <v>44435</v>
      </c>
      <c r="K3273">
        <f>IFERROR(__xludf.DUMMYFUNCTION("""COMPUTED_VALUE"""),33.0)</f>
        <v>33</v>
      </c>
      <c r="L3273">
        <f>IFERROR(__xludf.DUMMYFUNCTION("""COMPUTED_VALUE"""),3.0)</f>
        <v>3</v>
      </c>
      <c r="M3273">
        <f>IFERROR(__xludf.DUMMYFUNCTION("""COMPUTED_VALUE"""),36.0)</f>
        <v>36</v>
      </c>
      <c r="N3273" t="str">
        <f>IFERROR(__xludf.DUMMYFUNCTION("""COMPUTED_VALUE"""),"Model 3 Performance")</f>
        <v>Model 3 Performance</v>
      </c>
      <c r="O3273" t="str">
        <f>IFERROR(__xludf.DUMMYFUNCTION("""COMPUTED_VALUE"""),"Midnight Silver Metallic")</f>
        <v>Midnight Silver Metallic</v>
      </c>
      <c r="P3273" t="str">
        <f>IFERROR(__xludf.DUMMYFUNCTION("""COMPUTED_VALUE"""),"20 inch")</f>
        <v>20 inch</v>
      </c>
      <c r="Q3273" t="str">
        <f>IFERROR(__xludf.DUMMYFUNCTION("""COMPUTED_VALUE"""),"Black and White")</f>
        <v>Black and White</v>
      </c>
      <c r="R3273" t="str">
        <f>IFERROR(__xludf.DUMMYFUNCTION("""COMPUTED_VALUE"""),"Autopilot included")</f>
        <v>Autopilot included</v>
      </c>
      <c r="S3273" t="str">
        <f>IFERROR(__xludf.DUMMYFUNCTION("""COMPUTED_VALUE"""),"Loan")</f>
        <v>Loan</v>
      </c>
      <c r="T3273" t="str">
        <f>IFERROR(__xludf.DUMMYFUNCTION("""COMPUTED_VALUE"""),"s2000")</f>
        <v>s2000</v>
      </c>
      <c r="U3273" t="str">
        <f>IFERROR(__xludf.DUMMYFUNCTION("""COMPUTED_VALUE"""),"Electric!")</f>
        <v>Electric!</v>
      </c>
      <c r="V3273" t="str">
        <f>IFERROR(__xludf.DUMMYFUNCTION("""COMPUTED_VALUE"""),"Apple CarPlay / Android Auto / SiriusXM Radio")</f>
        <v>Apple CarPlay / Android Auto / SiriusXM Radio</v>
      </c>
      <c r="X3273" t="str">
        <f>IFERROR(__xludf.DUMMYFUNCTION("""COMPUTED_VALUE"""),"Excellent")</f>
        <v>Excellent</v>
      </c>
      <c r="Y3273" t="str">
        <f>IFERROR(__xludf.DUMMYFUNCTION("""COMPUTED_VALUE"""),"Excellent")</f>
        <v>Excellent</v>
      </c>
      <c r="Z3273" t="str">
        <f>IFERROR(__xludf.DUMMYFUNCTION("""COMPUTED_VALUE"""),"Excellent")</f>
        <v>Excellent</v>
      </c>
      <c r="AA3273" t="str">
        <f>IFERROR(__xludf.DUMMYFUNCTION("""COMPUTED_VALUE"""),"Excellent")</f>
        <v>Excellent</v>
      </c>
      <c r="AB3273" t="str">
        <f>IFERROR(__xludf.DUMMYFUNCTION("""COMPUTED_VALUE"""),"Excellent")</f>
        <v>Excellent</v>
      </c>
      <c r="AF3273" t="str">
        <f>IFERROR(__xludf.DUMMYFUNCTION("""COMPUTED_VALUE"""),"No. I took delivery of the first car Tesla was able to deliver.")</f>
        <v>No. I took delivery of the first car Tesla was able to deliver.</v>
      </c>
      <c r="AH3273" s="189">
        <f>IFERROR(__xludf.DUMMYFUNCTION("""COMPUTED_VALUE"""),44449.68260930556)</f>
        <v>44449.68261</v>
      </c>
    </row>
    <row r="3274">
      <c r="A3274" t="str">
        <f>IFERROR(__xludf.DUMMYFUNCTION("""COMPUTED_VALUE"""),"jaz4uk1")</f>
        <v>jaz4uk1</v>
      </c>
      <c r="B3274" t="str">
        <f>IFERROR(__xludf.DUMMYFUNCTION("""COMPUTED_VALUE"""),"derby")</f>
        <v>derby</v>
      </c>
      <c r="D3274" t="str">
        <f>IFERROR(__xludf.DUMMYFUNCTION("""COMPUTED_VALUE"""),"United Kingdom")</f>
        <v>United Kingdom</v>
      </c>
      <c r="E3274" s="188">
        <f>IFERROR(__xludf.DUMMYFUNCTION("""COMPUTED_VALUE"""),44388.0)</f>
        <v>44388</v>
      </c>
      <c r="F3274" s="188">
        <f>IFERROR(__xludf.DUMMYFUNCTION("""COMPUTED_VALUE"""),44447.0)</f>
        <v>44447</v>
      </c>
      <c r="G3274" t="str">
        <f>IFERROR(__xludf.DUMMYFUNCTION("""COMPUTED_VALUE"""),"Text message")</f>
        <v>Text message</v>
      </c>
      <c r="J3274" s="188">
        <f>IFERROR(__xludf.DUMMYFUNCTION("""COMPUTED_VALUE"""),44456.0)</f>
        <v>44456</v>
      </c>
      <c r="K3274">
        <f>IFERROR(__xludf.DUMMYFUNCTION("""COMPUTED_VALUE"""),59.0)</f>
        <v>59</v>
      </c>
      <c r="L3274">
        <f>IFERROR(__xludf.DUMMYFUNCTION("""COMPUTED_VALUE"""),9.0)</f>
        <v>9</v>
      </c>
      <c r="M3274">
        <f>IFERROR(__xludf.DUMMYFUNCTION("""COMPUTED_VALUE"""),68.0)</f>
        <v>68</v>
      </c>
      <c r="N3274" t="str">
        <f>IFERROR(__xludf.DUMMYFUNCTION("""COMPUTED_VALUE"""),"Model 3 LR AWD")</f>
        <v>Model 3 LR AWD</v>
      </c>
      <c r="O3274" t="str">
        <f>IFERROR(__xludf.DUMMYFUNCTION("""COMPUTED_VALUE"""),"Red Multi-Coat")</f>
        <v>Red Multi-Coat</v>
      </c>
      <c r="P3274" t="str">
        <f>IFERROR(__xludf.DUMMYFUNCTION("""COMPUTED_VALUE"""),"18 inch")</f>
        <v>18 inch</v>
      </c>
      <c r="Q3274" t="str">
        <f>IFERROR(__xludf.DUMMYFUNCTION("""COMPUTED_VALUE"""),"All Black")</f>
        <v>All Black</v>
      </c>
      <c r="R3274" t="str">
        <f>IFERROR(__xludf.DUMMYFUNCTION("""COMPUTED_VALUE"""),"Autopilot included")</f>
        <v>Autopilot included</v>
      </c>
      <c r="S3274" t="str">
        <f>IFERROR(__xludf.DUMMYFUNCTION("""COMPUTED_VALUE"""),"Cash")</f>
        <v>Cash</v>
      </c>
      <c r="T3274" t="str">
        <f>IFERROR(__xludf.DUMMYFUNCTION("""COMPUTED_VALUE"""),"BMW M240")</f>
        <v>BMW M240</v>
      </c>
      <c r="U3274" t="str">
        <f>IFERROR(__xludf.DUMMYFUNCTION("""COMPUTED_VALUE"""),"Tesla brand image")</f>
        <v>Tesla brand image</v>
      </c>
      <c r="V3274" t="str">
        <f>IFERROR(__xludf.DUMMYFUNCTION("""COMPUTED_VALUE"""),"Dashboard")</f>
        <v>Dashboard</v>
      </c>
      <c r="X3274" t="str">
        <f>IFERROR(__xludf.DUMMYFUNCTION("""COMPUTED_VALUE"""),"Excellent")</f>
        <v>Excellent</v>
      </c>
      <c r="Y3274" t="str">
        <f>IFERROR(__xludf.DUMMYFUNCTION("""COMPUTED_VALUE"""),"Excellent")</f>
        <v>Excellent</v>
      </c>
      <c r="Z3274" t="str">
        <f>IFERROR(__xludf.DUMMYFUNCTION("""COMPUTED_VALUE"""),"Excellent")</f>
        <v>Excellent</v>
      </c>
      <c r="AA3274" t="str">
        <f>IFERROR(__xludf.DUMMYFUNCTION("""COMPUTED_VALUE"""),"Fair")</f>
        <v>Fair</v>
      </c>
      <c r="AB3274" t="str">
        <f>IFERROR(__xludf.DUMMYFUNCTION("""COMPUTED_VALUE"""),"Good")</f>
        <v>Good</v>
      </c>
      <c r="AC3274">
        <f>IFERROR(__xludf.DUMMYFUNCTION("""COMPUTED_VALUE"""),2.0)</f>
        <v>2</v>
      </c>
      <c r="AH3274" s="189">
        <f>IFERROR(__xludf.DUMMYFUNCTION("""COMPUTED_VALUE"""),44479.1851233912)</f>
        <v>44479.18512</v>
      </c>
    </row>
    <row r="3275">
      <c r="A3275" t="str">
        <f>IFERROR(__xludf.DUMMYFUNCTION("""COMPUTED_VALUE"""),"Mike K")</f>
        <v>Mike K</v>
      </c>
      <c r="B3275" t="str">
        <f>IFERROR(__xludf.DUMMYFUNCTION("""COMPUTED_VALUE"""),"Houston")</f>
        <v>Houston</v>
      </c>
      <c r="C3275" t="str">
        <f>IFERROR(__xludf.DUMMYFUNCTION("""COMPUTED_VALUE"""),"TX")</f>
        <v>TX</v>
      </c>
      <c r="D3275" t="str">
        <f>IFERROR(__xludf.DUMMYFUNCTION("""COMPUTED_VALUE"""),"USA")</f>
        <v>USA</v>
      </c>
      <c r="E3275" s="188">
        <f>IFERROR(__xludf.DUMMYFUNCTION("""COMPUTED_VALUE"""),44416.0)</f>
        <v>44416</v>
      </c>
      <c r="F3275" s="188">
        <f>IFERROR(__xludf.DUMMYFUNCTION("""COMPUTED_VALUE"""),44439.0)</f>
        <v>44439</v>
      </c>
      <c r="G3275" t="str">
        <f>IFERROR(__xludf.DUMMYFUNCTION("""COMPUTED_VALUE"""),"Email")</f>
        <v>Email</v>
      </c>
      <c r="H3275">
        <f>IFERROR(__xludf.DUMMYFUNCTION("""COMPUTED_VALUE"""),55798.0)</f>
        <v>55798</v>
      </c>
      <c r="K3275">
        <f>IFERROR(__xludf.DUMMYFUNCTION("""COMPUTED_VALUE"""),23.0)</f>
        <v>23</v>
      </c>
      <c r="N3275" t="str">
        <f>IFERROR(__xludf.DUMMYFUNCTION("""COMPUTED_VALUE"""),"Model 3 Performance")</f>
        <v>Model 3 Performance</v>
      </c>
      <c r="O3275" t="str">
        <f>IFERROR(__xludf.DUMMYFUNCTION("""COMPUTED_VALUE"""),"Solid Black")</f>
        <v>Solid Black</v>
      </c>
      <c r="P3275" t="str">
        <f>IFERROR(__xludf.DUMMYFUNCTION("""COMPUTED_VALUE"""),"20 inch")</f>
        <v>20 inch</v>
      </c>
      <c r="Q3275" t="str">
        <f>IFERROR(__xludf.DUMMYFUNCTION("""COMPUTED_VALUE"""),"All Black")</f>
        <v>All Black</v>
      </c>
      <c r="R3275" t="str">
        <f>IFERROR(__xludf.DUMMYFUNCTION("""COMPUTED_VALUE"""),"Autopilot included")</f>
        <v>Autopilot included</v>
      </c>
      <c r="S3275" t="str">
        <f>IFERROR(__xludf.DUMMYFUNCTION("""COMPUTED_VALUE"""),"Loan")</f>
        <v>Loan</v>
      </c>
      <c r="T3275" t="str">
        <f>IFERROR(__xludf.DUMMYFUNCTION("""COMPUTED_VALUE"""),"M2")</f>
        <v>M2</v>
      </c>
      <c r="V3275" t="str">
        <f>IFERROR(__xludf.DUMMYFUNCTION("""COMPUTED_VALUE"""),"Head-up display")</f>
        <v>Head-up display</v>
      </c>
      <c r="AH3275" s="189">
        <f>IFERROR(__xludf.DUMMYFUNCTION("""COMPUTED_VALUE"""),44439.70173436342)</f>
        <v>44439.70173</v>
      </c>
    </row>
    <row r="3276">
      <c r="A3276" t="str">
        <f>IFERROR(__xludf.DUMMYFUNCTION("""COMPUTED_VALUE"""),"agentmcbride")</f>
        <v>agentmcbride</v>
      </c>
      <c r="B3276" t="str">
        <f>IFERROR(__xludf.DUMMYFUNCTION("""COMPUTED_VALUE"""),"buffalo")</f>
        <v>buffalo</v>
      </c>
      <c r="C3276" t="str">
        <f>IFERROR(__xludf.DUMMYFUNCTION("""COMPUTED_VALUE"""),"NY")</f>
        <v>NY</v>
      </c>
      <c r="D3276" t="str">
        <f>IFERROR(__xludf.DUMMYFUNCTION("""COMPUTED_VALUE"""),"USA")</f>
        <v>USA</v>
      </c>
      <c r="E3276" s="188">
        <f>IFERROR(__xludf.DUMMYFUNCTION("""COMPUTED_VALUE"""),44410.0)</f>
        <v>44410</v>
      </c>
      <c r="F3276" s="188">
        <f>IFERROR(__xludf.DUMMYFUNCTION("""COMPUTED_VALUE"""),44501.0)</f>
        <v>44501</v>
      </c>
      <c r="G3276" t="str">
        <f>IFERROR(__xludf.DUMMYFUNCTION("""COMPUTED_VALUE"""),"Phone call")</f>
        <v>Phone call</v>
      </c>
      <c r="H3276">
        <f>IFERROR(__xludf.DUMMYFUNCTION("""COMPUTED_VALUE"""),96955.0)</f>
        <v>96955</v>
      </c>
      <c r="K3276">
        <f>IFERROR(__xludf.DUMMYFUNCTION("""COMPUTED_VALUE"""),91.0)</f>
        <v>91</v>
      </c>
      <c r="N3276" t="str">
        <f>IFERROR(__xludf.DUMMYFUNCTION("""COMPUTED_VALUE"""),"Model 3 SR+")</f>
        <v>Model 3 SR+</v>
      </c>
      <c r="O3276" t="str">
        <f>IFERROR(__xludf.DUMMYFUNCTION("""COMPUTED_VALUE"""),"Pearl White Multi-Coat")</f>
        <v>Pearl White Multi-Coat</v>
      </c>
      <c r="P3276" t="str">
        <f>IFERROR(__xludf.DUMMYFUNCTION("""COMPUTED_VALUE"""),"18 inch")</f>
        <v>18 inch</v>
      </c>
      <c r="Q3276" t="str">
        <f>IFERROR(__xludf.DUMMYFUNCTION("""COMPUTED_VALUE"""),"All Black")</f>
        <v>All Black</v>
      </c>
      <c r="R3276" t="str">
        <f>IFERROR(__xludf.DUMMYFUNCTION("""COMPUTED_VALUE"""),"Autopilot included")</f>
        <v>Autopilot included</v>
      </c>
      <c r="S3276" t="str">
        <f>IFERROR(__xludf.DUMMYFUNCTION("""COMPUTED_VALUE"""),"Loan")</f>
        <v>Loan</v>
      </c>
      <c r="T3276" t="str">
        <f>IFERROR(__xludf.DUMMYFUNCTION("""COMPUTED_VALUE"""),"Chevy Volt")</f>
        <v>Chevy Volt</v>
      </c>
      <c r="U3276" t="str">
        <f>IFERROR(__xludf.DUMMYFUNCTION("""COMPUTED_VALUE"""),"Electric!")</f>
        <v>Electric!</v>
      </c>
      <c r="V3276" t="str">
        <f>IFERROR(__xludf.DUMMYFUNCTION("""COMPUTED_VALUE"""),"Apple CarPlay / Android Auto / SiriusXM Radio")</f>
        <v>Apple CarPlay / Android Auto / SiriusXM Radio</v>
      </c>
      <c r="AH3276" s="189">
        <f>IFERROR(__xludf.DUMMYFUNCTION("""COMPUTED_VALUE"""),44501.54303392361)</f>
        <v>44501.54303</v>
      </c>
    </row>
    <row r="3277">
      <c r="A3277" t="str">
        <f>IFERROR(__xludf.DUMMYFUNCTION("""COMPUTED_VALUE"""),"Stanman77")</f>
        <v>Stanman77</v>
      </c>
      <c r="B3277" t="str">
        <f>IFERROR(__xludf.DUMMYFUNCTION("""COMPUTED_VALUE"""),"Boston")</f>
        <v>Boston</v>
      </c>
      <c r="C3277" t="str">
        <f>IFERROR(__xludf.DUMMYFUNCTION("""COMPUTED_VALUE"""),"MA")</f>
        <v>MA</v>
      </c>
      <c r="D3277" t="str">
        <f>IFERROR(__xludf.DUMMYFUNCTION("""COMPUTED_VALUE"""),"USA")</f>
        <v>USA</v>
      </c>
      <c r="E3277" s="188">
        <f>IFERROR(__xludf.DUMMYFUNCTION("""COMPUTED_VALUE"""),44407.0)</f>
        <v>44407</v>
      </c>
      <c r="F3277" s="188">
        <f>IFERROR(__xludf.DUMMYFUNCTION("""COMPUTED_VALUE"""),44419.0)</f>
        <v>44419</v>
      </c>
      <c r="G3277" t="str">
        <f>IFERROR(__xludf.DUMMYFUNCTION("""COMPUTED_VALUE"""),"Email")</f>
        <v>Email</v>
      </c>
      <c r="H3277">
        <f>IFERROR(__xludf.DUMMYFUNCTION("""COMPUTED_VALUE"""),35555.0)</f>
        <v>35555</v>
      </c>
      <c r="J3277" s="188">
        <f>IFERROR(__xludf.DUMMYFUNCTION("""COMPUTED_VALUE"""),44434.0)</f>
        <v>44434</v>
      </c>
      <c r="K3277">
        <f>IFERROR(__xludf.DUMMYFUNCTION("""COMPUTED_VALUE"""),12.0)</f>
        <v>12</v>
      </c>
      <c r="L3277">
        <f>IFERROR(__xludf.DUMMYFUNCTION("""COMPUTED_VALUE"""),15.0)</f>
        <v>15</v>
      </c>
      <c r="M3277">
        <f>IFERROR(__xludf.DUMMYFUNCTION("""COMPUTED_VALUE"""),27.0)</f>
        <v>27</v>
      </c>
      <c r="N3277" t="str">
        <f>IFERROR(__xludf.DUMMYFUNCTION("""COMPUTED_VALUE"""),"Model 3 Performance")</f>
        <v>Model 3 Performance</v>
      </c>
      <c r="O3277" t="str">
        <f>IFERROR(__xludf.DUMMYFUNCTION("""COMPUTED_VALUE"""),"Deep Blue Metallic")</f>
        <v>Deep Blue Metallic</v>
      </c>
      <c r="P3277" t="str">
        <f>IFERROR(__xludf.DUMMYFUNCTION("""COMPUTED_VALUE"""),"20 inch")</f>
        <v>20 inch</v>
      </c>
      <c r="Q3277" t="str">
        <f>IFERROR(__xludf.DUMMYFUNCTION("""COMPUTED_VALUE"""),"Black and White")</f>
        <v>Black and White</v>
      </c>
      <c r="R3277" t="str">
        <f>IFERROR(__xludf.DUMMYFUNCTION("""COMPUTED_VALUE"""),"Autopilot included")</f>
        <v>Autopilot included</v>
      </c>
      <c r="S3277" t="str">
        <f>IFERROR(__xludf.DUMMYFUNCTION("""COMPUTED_VALUE"""),"Loan")</f>
        <v>Loan</v>
      </c>
      <c r="T3277" t="str">
        <f>IFERROR(__xludf.DUMMYFUNCTION("""COMPUTED_VALUE"""),"Tesla Model 3")</f>
        <v>Tesla Model 3</v>
      </c>
      <c r="U3277" t="str">
        <f>IFERROR(__xludf.DUMMYFUNCTION("""COMPUTED_VALUE"""),"Electric!")</f>
        <v>Electric!</v>
      </c>
      <c r="V3277" t="str">
        <f>IFERROR(__xludf.DUMMYFUNCTION("""COMPUTED_VALUE"""),"Air suspension")</f>
        <v>Air suspension</v>
      </c>
      <c r="W3277" t="str">
        <f>IFERROR(__xludf.DUMMYFUNCTION("""COMPUTED_VALUE"""),"Waiting sucks")</f>
        <v>Waiting sucks</v>
      </c>
      <c r="X3277" t="str">
        <f>IFERROR(__xludf.DUMMYFUNCTION("""COMPUTED_VALUE"""),"Excellent")</f>
        <v>Excellent</v>
      </c>
      <c r="Y3277" t="str">
        <f>IFERROR(__xludf.DUMMYFUNCTION("""COMPUTED_VALUE"""),"Excellent")</f>
        <v>Excellent</v>
      </c>
      <c r="Z3277" t="str">
        <f>IFERROR(__xludf.DUMMYFUNCTION("""COMPUTED_VALUE"""),"Very Good")</f>
        <v>Very Good</v>
      </c>
      <c r="AA3277" t="str">
        <f>IFERROR(__xludf.DUMMYFUNCTION("""COMPUTED_VALUE"""),"Fair")</f>
        <v>Fair</v>
      </c>
      <c r="AB3277" t="str">
        <f>IFERROR(__xludf.DUMMYFUNCTION("""COMPUTED_VALUE"""),"Excellent")</f>
        <v>Excellent</v>
      </c>
      <c r="AC3277">
        <f>IFERROR(__xludf.DUMMYFUNCTION("""COMPUTED_VALUE"""),0.0)</f>
        <v>0</v>
      </c>
      <c r="AD3277">
        <f>IFERROR(__xludf.DUMMYFUNCTION("""COMPUTED_VALUE"""),0.0)</f>
        <v>0</v>
      </c>
      <c r="AE3277">
        <f>IFERROR(__xludf.DUMMYFUNCTION("""COMPUTED_VALUE"""),0.0)</f>
        <v>0</v>
      </c>
      <c r="AF3277" t="str">
        <f>IFERROR(__xludf.DUMMYFUNCTION("""COMPUTED_VALUE"""),"No. I took delivery of the first car Tesla was able to deliver.")</f>
        <v>No. I took delivery of the first car Tesla was able to deliver.</v>
      </c>
      <c r="AG3277" t="str">
        <f>IFERROR(__xludf.DUMMYFUNCTION("""COMPUTED_VALUE"""),"Blue with white interior might be the best color combo. I traded my model 3 in with FSD fully paid, not worth. ")</f>
        <v>Blue with white interior might be the best color combo. I traded my model 3 in with FSD fully paid, not worth. </v>
      </c>
      <c r="AH3277" s="189">
        <f>IFERROR(__xludf.DUMMYFUNCTION("""COMPUTED_VALUE"""),44437.80313954861)</f>
        <v>44437.80314</v>
      </c>
    </row>
    <row r="3278">
      <c r="A3278" t="str">
        <f>IFERROR(__xludf.DUMMYFUNCTION("""COMPUTED_VALUE"""),"mcx1235")</f>
        <v>mcx1235</v>
      </c>
      <c r="B3278" t="str">
        <f>IFERROR(__xludf.DUMMYFUNCTION("""COMPUTED_VALUE"""),"West Palm Beach")</f>
        <v>West Palm Beach</v>
      </c>
      <c r="C3278" t="str">
        <f>IFERROR(__xludf.DUMMYFUNCTION("""COMPUTED_VALUE"""),"FL")</f>
        <v>FL</v>
      </c>
      <c r="D3278" t="str">
        <f>IFERROR(__xludf.DUMMYFUNCTION("""COMPUTED_VALUE"""),"USA")</f>
        <v>USA</v>
      </c>
      <c r="E3278" s="188">
        <f>IFERROR(__xludf.DUMMYFUNCTION("""COMPUTED_VALUE"""),44394.0)</f>
        <v>44394</v>
      </c>
      <c r="F3278" s="188">
        <f>IFERROR(__xludf.DUMMYFUNCTION("""COMPUTED_VALUE"""),44440.0)</f>
        <v>44440</v>
      </c>
      <c r="G3278" t="str">
        <f>IFERROR(__xludf.DUMMYFUNCTION("""COMPUTED_VALUE"""),"Text message")</f>
        <v>Text message</v>
      </c>
      <c r="H3278">
        <f>IFERROR(__xludf.DUMMYFUNCTION("""COMPUTED_VALUE"""),56215.0)</f>
        <v>56215</v>
      </c>
      <c r="J3278" s="188">
        <f>IFERROR(__xludf.DUMMYFUNCTION("""COMPUTED_VALUE"""),44457.0)</f>
        <v>44457</v>
      </c>
      <c r="K3278">
        <f>IFERROR(__xludf.DUMMYFUNCTION("""COMPUTED_VALUE"""),46.0)</f>
        <v>46</v>
      </c>
      <c r="L3278">
        <f>IFERROR(__xludf.DUMMYFUNCTION("""COMPUTED_VALUE"""),17.0)</f>
        <v>17</v>
      </c>
      <c r="M3278">
        <f>IFERROR(__xludf.DUMMYFUNCTION("""COMPUTED_VALUE"""),63.0)</f>
        <v>63</v>
      </c>
      <c r="N3278" t="str">
        <f>IFERROR(__xludf.DUMMYFUNCTION("""COMPUTED_VALUE"""),"Model 3 LR AWD")</f>
        <v>Model 3 LR AWD</v>
      </c>
      <c r="O3278" t="str">
        <f>IFERROR(__xludf.DUMMYFUNCTION("""COMPUTED_VALUE"""),"Midnight Silver Metallic")</f>
        <v>Midnight Silver Metallic</v>
      </c>
      <c r="P3278" t="str">
        <f>IFERROR(__xludf.DUMMYFUNCTION("""COMPUTED_VALUE"""),"18 inch")</f>
        <v>18 inch</v>
      </c>
      <c r="Q3278" t="str">
        <f>IFERROR(__xludf.DUMMYFUNCTION("""COMPUTED_VALUE"""),"All Black")</f>
        <v>All Black</v>
      </c>
      <c r="R3278" t="str">
        <f>IFERROR(__xludf.DUMMYFUNCTION("""COMPUTED_VALUE"""),"Autopilot included")</f>
        <v>Autopilot included</v>
      </c>
      <c r="S3278" t="str">
        <f>IFERROR(__xludf.DUMMYFUNCTION("""COMPUTED_VALUE"""),"Cash")</f>
        <v>Cash</v>
      </c>
      <c r="T3278" t="str">
        <f>IFERROR(__xludf.DUMMYFUNCTION("""COMPUTED_VALUE"""),"BMW X3")</f>
        <v>BMW X3</v>
      </c>
      <c r="U3278" t="str">
        <f>IFERROR(__xludf.DUMMYFUNCTION("""COMPUTED_VALUE"""),"Electric!")</f>
        <v>Electric!</v>
      </c>
      <c r="V3278" t="str">
        <f>IFERROR(__xludf.DUMMYFUNCTION("""COMPUTED_VALUE"""),"Ventilated seats")</f>
        <v>Ventilated seats</v>
      </c>
      <c r="AH3278" s="189">
        <f>IFERROR(__xludf.DUMMYFUNCTION("""COMPUTED_VALUE"""),44447.80019268519)</f>
        <v>44447.80019</v>
      </c>
    </row>
    <row r="3279">
      <c r="A3279" t="str">
        <f>IFERROR(__xludf.DUMMYFUNCTION("""COMPUTED_VALUE"""),"D_d_")</f>
        <v>D_d_</v>
      </c>
      <c r="B3279" t="str">
        <f>IFERROR(__xludf.DUMMYFUNCTION("""COMPUTED_VALUE"""),"Burlingame")</f>
        <v>Burlingame</v>
      </c>
      <c r="C3279" t="str">
        <f>IFERROR(__xludf.DUMMYFUNCTION("""COMPUTED_VALUE"""),"CA")</f>
        <v>CA</v>
      </c>
      <c r="D3279" t="str">
        <f>IFERROR(__xludf.DUMMYFUNCTION("""COMPUTED_VALUE"""),"USA")</f>
        <v>USA</v>
      </c>
      <c r="E3279" s="188">
        <f>IFERROR(__xludf.DUMMYFUNCTION("""COMPUTED_VALUE"""),44391.0)</f>
        <v>44391</v>
      </c>
      <c r="F3279" s="188">
        <f>IFERROR(__xludf.DUMMYFUNCTION("""COMPUTED_VALUE"""),44427.0)</f>
        <v>44427</v>
      </c>
      <c r="G3279" t="str">
        <f>IFERROR(__xludf.DUMMYFUNCTION("""COMPUTED_VALUE"""),"Manage order page (normal text)")</f>
        <v>Manage order page (normal text)</v>
      </c>
      <c r="J3279" s="188">
        <f>IFERROR(__xludf.DUMMYFUNCTION("""COMPUTED_VALUE"""),44431.0)</f>
        <v>44431</v>
      </c>
      <c r="K3279">
        <f>IFERROR(__xludf.DUMMYFUNCTION("""COMPUTED_VALUE"""),36.0)</f>
        <v>36</v>
      </c>
      <c r="L3279">
        <f>IFERROR(__xludf.DUMMYFUNCTION("""COMPUTED_VALUE"""),4.0)</f>
        <v>4</v>
      </c>
      <c r="M3279">
        <f>IFERROR(__xludf.DUMMYFUNCTION("""COMPUTED_VALUE"""),40.0)</f>
        <v>40</v>
      </c>
      <c r="N3279" t="str">
        <f>IFERROR(__xludf.DUMMYFUNCTION("""COMPUTED_VALUE"""),"Model 3 LR AWD")</f>
        <v>Model 3 LR AWD</v>
      </c>
      <c r="O3279" t="str">
        <f>IFERROR(__xludf.DUMMYFUNCTION("""COMPUTED_VALUE"""),"Midnight Silver Metallic")</f>
        <v>Midnight Silver Metallic</v>
      </c>
      <c r="P3279" t="str">
        <f>IFERROR(__xludf.DUMMYFUNCTION("""COMPUTED_VALUE"""),"18 inch")</f>
        <v>18 inch</v>
      </c>
      <c r="Q3279" t="str">
        <f>IFERROR(__xludf.DUMMYFUNCTION("""COMPUTED_VALUE"""),"All Black")</f>
        <v>All Black</v>
      </c>
      <c r="R3279" t="str">
        <f>IFERROR(__xludf.DUMMYFUNCTION("""COMPUTED_VALUE"""),"Autopilot included")</f>
        <v>Autopilot included</v>
      </c>
      <c r="S3279" t="str">
        <f>IFERROR(__xludf.DUMMYFUNCTION("""COMPUTED_VALUE"""),"Loan")</f>
        <v>Loan</v>
      </c>
      <c r="AH3279" s="189">
        <f>IFERROR(__xludf.DUMMYFUNCTION("""COMPUTED_VALUE"""),44429.595157731485)</f>
        <v>44429.59516</v>
      </c>
    </row>
    <row r="3280">
      <c r="A3280" t="str">
        <f>IFERROR(__xludf.DUMMYFUNCTION("""COMPUTED_VALUE"""),"Lgv50")</f>
        <v>Lgv50</v>
      </c>
      <c r="B3280" t="str">
        <f>IFERROR(__xludf.DUMMYFUNCTION("""COMPUTED_VALUE"""),"Fort Wayne")</f>
        <v>Fort Wayne</v>
      </c>
      <c r="C3280" t="str">
        <f>IFERROR(__xludf.DUMMYFUNCTION("""COMPUTED_VALUE"""),"IN")</f>
        <v>IN</v>
      </c>
      <c r="D3280" t="str">
        <f>IFERROR(__xludf.DUMMYFUNCTION("""COMPUTED_VALUE"""),"USA")</f>
        <v>USA</v>
      </c>
      <c r="E3280" s="188">
        <f>IFERROR(__xludf.DUMMYFUNCTION("""COMPUTED_VALUE"""),44397.0)</f>
        <v>44397</v>
      </c>
      <c r="F3280" s="188">
        <f>IFERROR(__xludf.DUMMYFUNCTION("""COMPUTED_VALUE"""),44437.0)</f>
        <v>44437</v>
      </c>
      <c r="G3280" t="str">
        <f>IFERROR(__xludf.DUMMYFUNCTION("""COMPUTED_VALUE"""),"Email")</f>
        <v>Email</v>
      </c>
      <c r="H3280">
        <f>IFERROR(__xludf.DUMMYFUNCTION("""COMPUTED_VALUE"""),54185.0)</f>
        <v>54185</v>
      </c>
      <c r="K3280">
        <f>IFERROR(__xludf.DUMMYFUNCTION("""COMPUTED_VALUE"""),40.0)</f>
        <v>40</v>
      </c>
      <c r="N3280" t="str">
        <f>IFERROR(__xludf.DUMMYFUNCTION("""COMPUTED_VALUE"""),"Model 3 SR+")</f>
        <v>Model 3 SR+</v>
      </c>
      <c r="O3280" t="str">
        <f>IFERROR(__xludf.DUMMYFUNCTION("""COMPUTED_VALUE"""),"Midnight Silver Metallic")</f>
        <v>Midnight Silver Metallic</v>
      </c>
      <c r="P3280" t="str">
        <f>IFERROR(__xludf.DUMMYFUNCTION("""COMPUTED_VALUE"""),"18 inch")</f>
        <v>18 inch</v>
      </c>
      <c r="Q3280" t="str">
        <f>IFERROR(__xludf.DUMMYFUNCTION("""COMPUTED_VALUE"""),"All Black")</f>
        <v>All Black</v>
      </c>
      <c r="R3280" t="str">
        <f>IFERROR(__xludf.DUMMYFUNCTION("""COMPUTED_VALUE"""),"Autopilot included")</f>
        <v>Autopilot included</v>
      </c>
      <c r="S3280" t="str">
        <f>IFERROR(__xludf.DUMMYFUNCTION("""COMPUTED_VALUE"""),"Loan")</f>
        <v>Loan</v>
      </c>
      <c r="T3280" t="str">
        <f>IFERROR(__xludf.DUMMYFUNCTION("""COMPUTED_VALUE"""),"Mazda 6")</f>
        <v>Mazda 6</v>
      </c>
      <c r="U3280" t="str">
        <f>IFERROR(__xludf.DUMMYFUNCTION("""COMPUTED_VALUE"""),"All-glass roof")</f>
        <v>All-glass roof</v>
      </c>
      <c r="V3280" t="str">
        <f>IFERROR(__xludf.DUMMYFUNCTION("""COMPUTED_VALUE"""),"Head-up display")</f>
        <v>Head-up display</v>
      </c>
      <c r="AH3280" s="189">
        <f>IFERROR(__xludf.DUMMYFUNCTION("""COMPUTED_VALUE"""),44437.47523300926)</f>
        <v>44437.47523</v>
      </c>
    </row>
    <row r="3281">
      <c r="A3281" t="str">
        <f>IFERROR(__xludf.DUMMYFUNCTION("""COMPUTED_VALUE"""),"JCash")</f>
        <v>JCash</v>
      </c>
      <c r="B3281" t="str">
        <f>IFERROR(__xludf.DUMMYFUNCTION("""COMPUTED_VALUE"""),"Indianapolis")</f>
        <v>Indianapolis</v>
      </c>
      <c r="C3281" t="str">
        <f>IFERROR(__xludf.DUMMYFUNCTION("""COMPUTED_VALUE"""),"IN")</f>
        <v>IN</v>
      </c>
      <c r="D3281" t="str">
        <f>IFERROR(__xludf.DUMMYFUNCTION("""COMPUTED_VALUE"""),"USA")</f>
        <v>USA</v>
      </c>
      <c r="E3281" s="188">
        <f>IFERROR(__xludf.DUMMYFUNCTION("""COMPUTED_VALUE"""),44375.0)</f>
        <v>44375</v>
      </c>
      <c r="F3281" s="188">
        <f>IFERROR(__xludf.DUMMYFUNCTION("""COMPUTED_VALUE"""),44421.0)</f>
        <v>44421</v>
      </c>
      <c r="G3281" t="str">
        <f>IFERROR(__xludf.DUMMYFUNCTION("""COMPUTED_VALUE"""),"Manage order page (normal text)")</f>
        <v>Manage order page (normal text)</v>
      </c>
      <c r="H3281">
        <f>IFERROR(__xludf.DUMMYFUNCTION("""COMPUTED_VALUE"""),36455.0)</f>
        <v>36455</v>
      </c>
      <c r="I3281" t="str">
        <f>IFERROR(__xludf.DUMMYFUNCTION("""COMPUTED_VALUE"""),"08/21")</f>
        <v>08/21</v>
      </c>
      <c r="J3281" s="188">
        <f>IFERROR(__xludf.DUMMYFUNCTION("""COMPUTED_VALUE"""),-686051.0)</f>
        <v>-686051</v>
      </c>
      <c r="K3281">
        <f>IFERROR(__xludf.DUMMYFUNCTION("""COMPUTED_VALUE"""),46.0)</f>
        <v>46</v>
      </c>
      <c r="N3281" t="str">
        <f>IFERROR(__xludf.DUMMYFUNCTION("""COMPUTED_VALUE"""),"Model 3 LR AWD")</f>
        <v>Model 3 LR AWD</v>
      </c>
      <c r="O3281" t="str">
        <f>IFERROR(__xludf.DUMMYFUNCTION("""COMPUTED_VALUE"""),"Pearl White Multi-Coat")</f>
        <v>Pearl White Multi-Coat</v>
      </c>
      <c r="P3281" t="str">
        <f>IFERROR(__xludf.DUMMYFUNCTION("""COMPUTED_VALUE"""),"18 inch")</f>
        <v>18 inch</v>
      </c>
      <c r="Q3281" t="str">
        <f>IFERROR(__xludf.DUMMYFUNCTION("""COMPUTED_VALUE"""),"Black and White")</f>
        <v>Black and White</v>
      </c>
      <c r="R3281" t="str">
        <f>IFERROR(__xludf.DUMMYFUNCTION("""COMPUTED_VALUE"""),"Autopilot included")</f>
        <v>Autopilot included</v>
      </c>
      <c r="S3281" t="str">
        <f>IFERROR(__xludf.DUMMYFUNCTION("""COMPUTED_VALUE"""),"Loan")</f>
        <v>Loan</v>
      </c>
      <c r="T3281" t="str">
        <f>IFERROR(__xludf.DUMMYFUNCTION("""COMPUTED_VALUE"""),"Honda Accord")</f>
        <v>Honda Accord</v>
      </c>
      <c r="U3281" t="str">
        <f>IFERROR(__xludf.DUMMYFUNCTION("""COMPUTED_VALUE"""),"Electric!")</f>
        <v>Electric!</v>
      </c>
      <c r="V3281" t="str">
        <f>IFERROR(__xludf.DUMMYFUNCTION("""COMPUTED_VALUE"""),"Head-up display")</f>
        <v>Head-up display</v>
      </c>
      <c r="X3281" t="str">
        <f>IFERROR(__xludf.DUMMYFUNCTION("""COMPUTED_VALUE"""),"Excellent")</f>
        <v>Excellent</v>
      </c>
      <c r="Y3281" t="str">
        <f>IFERROR(__xludf.DUMMYFUNCTION("""COMPUTED_VALUE"""),"Excellent")</f>
        <v>Excellent</v>
      </c>
      <c r="Z3281" t="str">
        <f>IFERROR(__xludf.DUMMYFUNCTION("""COMPUTED_VALUE"""),"Very Good")</f>
        <v>Very Good</v>
      </c>
      <c r="AA3281" t="str">
        <f>IFERROR(__xludf.DUMMYFUNCTION("""COMPUTED_VALUE"""),"Good")</f>
        <v>Good</v>
      </c>
      <c r="AB3281" t="str">
        <f>IFERROR(__xludf.DUMMYFUNCTION("""COMPUTED_VALUE"""),"Very Good")</f>
        <v>Very Good</v>
      </c>
      <c r="AF3281" t="str">
        <f>IFERROR(__xludf.DUMMYFUNCTION("""COMPUTED_VALUE"""),"No. I took delivery of the first car Tesla was able to deliver.")</f>
        <v>No. I took delivery of the first car Tesla was able to deliver.</v>
      </c>
      <c r="AH3281" s="189">
        <f>IFERROR(__xludf.DUMMYFUNCTION("""COMPUTED_VALUE"""),44435.28447850695)</f>
        <v>44435.28448</v>
      </c>
    </row>
    <row r="3282">
      <c r="A3282" t="str">
        <f>IFERROR(__xludf.DUMMYFUNCTION("""COMPUTED_VALUE"""),"kryocentric")</f>
        <v>kryocentric</v>
      </c>
      <c r="B3282" t="str">
        <f>IFERROR(__xludf.DUMMYFUNCTION("""COMPUTED_VALUE"""),"Buena Park")</f>
        <v>Buena Park</v>
      </c>
      <c r="C3282" t="str">
        <f>IFERROR(__xludf.DUMMYFUNCTION("""COMPUTED_VALUE"""),"CA")</f>
        <v>CA</v>
      </c>
      <c r="D3282" t="str">
        <f>IFERROR(__xludf.DUMMYFUNCTION("""COMPUTED_VALUE"""),"USA")</f>
        <v>USA</v>
      </c>
      <c r="E3282" s="188">
        <f>IFERROR(__xludf.DUMMYFUNCTION("""COMPUTED_VALUE"""),44367.0)</f>
        <v>44367</v>
      </c>
      <c r="F3282" s="188">
        <f>IFERROR(__xludf.DUMMYFUNCTION("""COMPUTED_VALUE"""),44417.0)</f>
        <v>44417</v>
      </c>
      <c r="G3282" t="str">
        <f>IFERROR(__xludf.DUMMYFUNCTION("""COMPUTED_VALUE"""),"Manage order page (normal text)")</f>
        <v>Manage order page (normal text)</v>
      </c>
      <c r="J3282" s="188">
        <f>IFERROR(__xludf.DUMMYFUNCTION("""COMPUTED_VALUE"""),44421.0)</f>
        <v>44421</v>
      </c>
      <c r="K3282">
        <f>IFERROR(__xludf.DUMMYFUNCTION("""COMPUTED_VALUE"""),50.0)</f>
        <v>50</v>
      </c>
      <c r="L3282">
        <f>IFERROR(__xludf.DUMMYFUNCTION("""COMPUTED_VALUE"""),4.0)</f>
        <v>4</v>
      </c>
      <c r="M3282">
        <f>IFERROR(__xludf.DUMMYFUNCTION("""COMPUTED_VALUE"""),54.0)</f>
        <v>54</v>
      </c>
      <c r="N3282" t="str">
        <f>IFERROR(__xludf.DUMMYFUNCTION("""COMPUTED_VALUE"""),"Model 3 LR AWD")</f>
        <v>Model 3 LR AWD</v>
      </c>
      <c r="O3282" t="str">
        <f>IFERROR(__xludf.DUMMYFUNCTION("""COMPUTED_VALUE"""),"Midnight Silver Metallic")</f>
        <v>Midnight Silver Metallic</v>
      </c>
      <c r="P3282" t="str">
        <f>IFERROR(__xludf.DUMMYFUNCTION("""COMPUTED_VALUE"""),"18 inch")</f>
        <v>18 inch</v>
      </c>
      <c r="Q3282" t="str">
        <f>IFERROR(__xludf.DUMMYFUNCTION("""COMPUTED_VALUE"""),"All Black")</f>
        <v>All Black</v>
      </c>
      <c r="R3282" t="str">
        <f>IFERROR(__xludf.DUMMYFUNCTION("""COMPUTED_VALUE"""),"Autopilot included")</f>
        <v>Autopilot included</v>
      </c>
      <c r="S3282" t="str">
        <f>IFERROR(__xludf.DUMMYFUNCTION("""COMPUTED_VALUE"""),"Loan")</f>
        <v>Loan</v>
      </c>
      <c r="AH3282" s="189">
        <f>IFERROR(__xludf.DUMMYFUNCTION("""COMPUTED_VALUE"""),44418.38777003472)</f>
        <v>44418.38777</v>
      </c>
    </row>
    <row r="3283">
      <c r="A3283" t="str">
        <f>IFERROR(__xludf.DUMMYFUNCTION("""COMPUTED_VALUE"""),"Albertus")</f>
        <v>Albertus</v>
      </c>
      <c r="B3283" t="str">
        <f>IFERROR(__xludf.DUMMYFUNCTION("""COMPUTED_VALUE"""),"Chicago")</f>
        <v>Chicago</v>
      </c>
      <c r="C3283" t="str">
        <f>IFERROR(__xludf.DUMMYFUNCTION("""COMPUTED_VALUE"""),"IL")</f>
        <v>IL</v>
      </c>
      <c r="D3283" t="str">
        <f>IFERROR(__xludf.DUMMYFUNCTION("""COMPUTED_VALUE"""),"USA")</f>
        <v>USA</v>
      </c>
      <c r="E3283" s="188">
        <f>IFERROR(__xludf.DUMMYFUNCTION("""COMPUTED_VALUE"""),44377.0)</f>
        <v>44377</v>
      </c>
      <c r="F3283" s="188">
        <f>IFERROR(__xludf.DUMMYFUNCTION("""COMPUTED_VALUE"""),44418.0)</f>
        <v>44418</v>
      </c>
      <c r="G3283" t="str">
        <f>IFERROR(__xludf.DUMMYFUNCTION("""COMPUTED_VALUE"""),"Manage order page (normal text)")</f>
        <v>Manage order page (normal text)</v>
      </c>
      <c r="H3283">
        <f>IFERROR(__xludf.DUMMYFUNCTION("""COMPUTED_VALUE"""),35455.0)</f>
        <v>35455</v>
      </c>
      <c r="J3283" s="188">
        <f>IFERROR(__xludf.DUMMYFUNCTION("""COMPUTED_VALUE"""),44432.0)</f>
        <v>44432</v>
      </c>
      <c r="K3283">
        <f>IFERROR(__xludf.DUMMYFUNCTION("""COMPUTED_VALUE"""),41.0)</f>
        <v>41</v>
      </c>
      <c r="L3283">
        <f>IFERROR(__xludf.DUMMYFUNCTION("""COMPUTED_VALUE"""),14.0)</f>
        <v>14</v>
      </c>
      <c r="M3283">
        <f>IFERROR(__xludf.DUMMYFUNCTION("""COMPUTED_VALUE"""),55.0)</f>
        <v>55</v>
      </c>
      <c r="N3283" t="str">
        <f>IFERROR(__xludf.DUMMYFUNCTION("""COMPUTED_VALUE"""),"Model 3 Performance")</f>
        <v>Model 3 Performance</v>
      </c>
      <c r="O3283" t="str">
        <f>IFERROR(__xludf.DUMMYFUNCTION("""COMPUTED_VALUE"""),"Midnight Silver Metallic")</f>
        <v>Midnight Silver Metallic</v>
      </c>
      <c r="P3283" t="str">
        <f>IFERROR(__xludf.DUMMYFUNCTION("""COMPUTED_VALUE"""),"20 inch")</f>
        <v>20 inch</v>
      </c>
      <c r="Q3283" t="str">
        <f>IFERROR(__xludf.DUMMYFUNCTION("""COMPUTED_VALUE"""),"All Black")</f>
        <v>All Black</v>
      </c>
      <c r="R3283" t="str">
        <f>IFERROR(__xludf.DUMMYFUNCTION("""COMPUTED_VALUE"""),"Autopilot included")</f>
        <v>Autopilot included</v>
      </c>
      <c r="S3283" t="str">
        <f>IFERROR(__xludf.DUMMYFUNCTION("""COMPUTED_VALUE"""),"Loan")</f>
        <v>Loan</v>
      </c>
      <c r="T3283" t="str">
        <f>IFERROR(__xludf.DUMMYFUNCTION("""COMPUTED_VALUE"""),"Tesla Model 3")</f>
        <v>Tesla Model 3</v>
      </c>
      <c r="U3283" t="str">
        <f>IFERROR(__xludf.DUMMYFUNCTION("""COMPUTED_VALUE"""),"Electric!")</f>
        <v>Electric!</v>
      </c>
      <c r="V3283" t="str">
        <f>IFERROR(__xludf.DUMMYFUNCTION("""COMPUTED_VALUE"""),"Ventilated seats")</f>
        <v>Ventilated seats</v>
      </c>
      <c r="AH3283" s="189">
        <f>IFERROR(__xludf.DUMMYFUNCTION("""COMPUTED_VALUE"""),44424.68030039352)</f>
        <v>44424.6803</v>
      </c>
    </row>
    <row r="3284">
      <c r="A3284" t="str">
        <f>IFERROR(__xludf.DUMMYFUNCTION("""COMPUTED_VALUE"""),"Maxhazards")</f>
        <v>Maxhazards</v>
      </c>
      <c r="B3284" t="str">
        <f>IFERROR(__xludf.DUMMYFUNCTION("""COMPUTED_VALUE"""),"Fort Lauderdale")</f>
        <v>Fort Lauderdale</v>
      </c>
      <c r="C3284" t="str">
        <f>IFERROR(__xludf.DUMMYFUNCTION("""COMPUTED_VALUE"""),"FL")</f>
        <v>FL</v>
      </c>
      <c r="D3284" t="str">
        <f>IFERROR(__xludf.DUMMYFUNCTION("""COMPUTED_VALUE"""),"USA")</f>
        <v>USA</v>
      </c>
      <c r="E3284" s="188">
        <f>IFERROR(__xludf.DUMMYFUNCTION("""COMPUTED_VALUE"""),44406.0)</f>
        <v>44406</v>
      </c>
      <c r="F3284" s="188">
        <f>IFERROR(__xludf.DUMMYFUNCTION("""COMPUTED_VALUE"""),44418.0)</f>
        <v>44418</v>
      </c>
      <c r="G3284" t="str">
        <f>IFERROR(__xludf.DUMMYFUNCTION("""COMPUTED_VALUE"""),"Email")</f>
        <v>Email</v>
      </c>
      <c r="J3284" s="188">
        <f>IFERROR(__xludf.DUMMYFUNCTION("""COMPUTED_VALUE"""),44436.0)</f>
        <v>44436</v>
      </c>
      <c r="K3284">
        <f>IFERROR(__xludf.DUMMYFUNCTION("""COMPUTED_VALUE"""),12.0)</f>
        <v>12</v>
      </c>
      <c r="L3284">
        <f>IFERROR(__xludf.DUMMYFUNCTION("""COMPUTED_VALUE"""),18.0)</f>
        <v>18</v>
      </c>
      <c r="M3284">
        <f>IFERROR(__xludf.DUMMYFUNCTION("""COMPUTED_VALUE"""),30.0)</f>
        <v>30</v>
      </c>
      <c r="N3284" t="str">
        <f>IFERROR(__xludf.DUMMYFUNCTION("""COMPUTED_VALUE"""),"Model 3 Performance")</f>
        <v>Model 3 Performance</v>
      </c>
      <c r="O3284" t="str">
        <f>IFERROR(__xludf.DUMMYFUNCTION("""COMPUTED_VALUE"""),"Pearl White Multi-Coat")</f>
        <v>Pearl White Multi-Coat</v>
      </c>
      <c r="P3284" t="str">
        <f>IFERROR(__xludf.DUMMYFUNCTION("""COMPUTED_VALUE"""),"20 inch")</f>
        <v>20 inch</v>
      </c>
      <c r="Q3284" t="str">
        <f>IFERROR(__xludf.DUMMYFUNCTION("""COMPUTED_VALUE"""),"All Black")</f>
        <v>All Black</v>
      </c>
      <c r="R3284" t="str">
        <f>IFERROR(__xludf.DUMMYFUNCTION("""COMPUTED_VALUE"""),"Autopilot included")</f>
        <v>Autopilot included</v>
      </c>
      <c r="S3284" t="str">
        <f>IFERROR(__xludf.DUMMYFUNCTION("""COMPUTED_VALUE"""),"Loan")</f>
        <v>Loan</v>
      </c>
      <c r="T3284" t="str">
        <f>IFERROR(__xludf.DUMMYFUNCTION("""COMPUTED_VALUE"""),"Toyota RAV4")</f>
        <v>Toyota RAV4</v>
      </c>
      <c r="AH3284" s="189">
        <f>IFERROR(__xludf.DUMMYFUNCTION("""COMPUTED_VALUE"""),44429.106139027775)</f>
        <v>44429.10614</v>
      </c>
    </row>
    <row r="3285">
      <c r="A3285" t="str">
        <f>IFERROR(__xludf.DUMMYFUNCTION("""COMPUTED_VALUE"""),"Rowland'sM3P")</f>
        <v>Rowland'sM3P</v>
      </c>
      <c r="B3285" t="str">
        <f>IFERROR(__xludf.DUMMYFUNCTION("""COMPUTED_VALUE"""),"Atlanta")</f>
        <v>Atlanta</v>
      </c>
      <c r="C3285" t="str">
        <f>IFERROR(__xludf.DUMMYFUNCTION("""COMPUTED_VALUE"""),"GA")</f>
        <v>GA</v>
      </c>
      <c r="D3285" t="str">
        <f>IFERROR(__xludf.DUMMYFUNCTION("""COMPUTED_VALUE"""),"USA")</f>
        <v>USA</v>
      </c>
      <c r="E3285" s="188">
        <f>IFERROR(__xludf.DUMMYFUNCTION("""COMPUTED_VALUE"""),44410.0)</f>
        <v>44410</v>
      </c>
      <c r="F3285" s="188">
        <f>IFERROR(__xludf.DUMMYFUNCTION("""COMPUTED_VALUE"""),44418.0)</f>
        <v>44418</v>
      </c>
      <c r="G3285" t="str">
        <f>IFERROR(__xludf.DUMMYFUNCTION("""COMPUTED_VALUE"""),"Manage order page (normal text)")</f>
        <v>Manage order page (normal text)</v>
      </c>
      <c r="H3285">
        <f>IFERROR(__xludf.DUMMYFUNCTION("""COMPUTED_VALUE"""),34755.0)</f>
        <v>34755</v>
      </c>
      <c r="J3285" s="188">
        <f>IFERROR(__xludf.DUMMYFUNCTION("""COMPUTED_VALUE"""),44436.0)</f>
        <v>44436</v>
      </c>
      <c r="K3285">
        <f>IFERROR(__xludf.DUMMYFUNCTION("""COMPUTED_VALUE"""),8.0)</f>
        <v>8</v>
      </c>
      <c r="L3285">
        <f>IFERROR(__xludf.DUMMYFUNCTION("""COMPUTED_VALUE"""),18.0)</f>
        <v>18</v>
      </c>
      <c r="M3285">
        <f>IFERROR(__xludf.DUMMYFUNCTION("""COMPUTED_VALUE"""),26.0)</f>
        <v>26</v>
      </c>
      <c r="N3285" t="str">
        <f>IFERROR(__xludf.DUMMYFUNCTION("""COMPUTED_VALUE"""),"Model 3 Performance")</f>
        <v>Model 3 Performance</v>
      </c>
      <c r="O3285" t="str">
        <f>IFERROR(__xludf.DUMMYFUNCTION("""COMPUTED_VALUE"""),"Pearl White Multi-Coat")</f>
        <v>Pearl White Multi-Coat</v>
      </c>
      <c r="P3285" t="str">
        <f>IFERROR(__xludf.DUMMYFUNCTION("""COMPUTED_VALUE"""),"20 inch")</f>
        <v>20 inch</v>
      </c>
      <c r="Q3285" t="str">
        <f>IFERROR(__xludf.DUMMYFUNCTION("""COMPUTED_VALUE"""),"All Black")</f>
        <v>All Black</v>
      </c>
      <c r="R3285" t="str">
        <f>IFERROR(__xludf.DUMMYFUNCTION("""COMPUTED_VALUE"""),"Autopilot included")</f>
        <v>Autopilot included</v>
      </c>
      <c r="S3285" t="str">
        <f>IFERROR(__xludf.DUMMYFUNCTION("""COMPUTED_VALUE"""),"Loan")</f>
        <v>Loan</v>
      </c>
      <c r="T3285" t="str">
        <f>IFERROR(__xludf.DUMMYFUNCTION("""COMPUTED_VALUE"""),"Volkswagen Jetta")</f>
        <v>Volkswagen Jetta</v>
      </c>
      <c r="U3285" t="str">
        <f>IFERROR(__xludf.DUMMYFUNCTION("""COMPUTED_VALUE"""),"Fast &amp; Safe")</f>
        <v>Fast &amp; Safe</v>
      </c>
      <c r="V3285" t="str">
        <f>IFERROR(__xludf.DUMMYFUNCTION("""COMPUTED_VALUE"""),"Better maps, blind spot indicators, and HUD")</f>
        <v>Better maps, blind spot indicators, and HUD</v>
      </c>
      <c r="W3285" t="str">
        <f>IFERROR(__xludf.DUMMYFUNCTION("""COMPUTED_VALUE"""),"Potentially get to dealer before delivery appointment. I believe my car was hit in parking lot about hour before appointment.")</f>
        <v>Potentially get to dealer before delivery appointment. I believe my car was hit in parking lot about hour before appointment.</v>
      </c>
      <c r="AA3285" t="str">
        <f>IFERROR(__xludf.DUMMYFUNCTION("""COMPUTED_VALUE"""),"Good")</f>
        <v>Good</v>
      </c>
      <c r="AB3285" t="str">
        <f>IFERROR(__xludf.DUMMYFUNCTION("""COMPUTED_VALUE"""),"Poor")</f>
        <v>Poor</v>
      </c>
      <c r="AC3285">
        <f>IFERROR(__xludf.DUMMYFUNCTION("""COMPUTED_VALUE"""),1.0)</f>
        <v>1</v>
      </c>
      <c r="AD3285">
        <f>IFERROR(__xludf.DUMMYFUNCTION("""COMPUTED_VALUE"""),1.0)</f>
        <v>1</v>
      </c>
      <c r="AF3285" t="str">
        <f>IFERROR(__xludf.DUMMYFUNCTION("""COMPUTED_VALUE"""),"My car arrived in 'undeliverable condition. Tesla is either going to fix bumper or provide another car.")</f>
        <v>My car arrived in 'undeliverable condition. Tesla is either going to fix bumper or provide another car.</v>
      </c>
      <c r="AG3285" t="str">
        <f>IFERROR(__xludf.DUMMYFUNCTION("""COMPUTED_VALUE"""),"Really wish Tesla would show me car damage before stating it's undeliverable. From the sounds of severity I have trouble believing it occurred in transit.")</f>
        <v>Really wish Tesla would show me car damage before stating it's undeliverable. From the sounds of severity I have trouble believing it occurred in transit.</v>
      </c>
      <c r="AH3285" s="189">
        <f>IFERROR(__xludf.DUMMYFUNCTION("""COMPUTED_VALUE"""),44438.42454432871)</f>
        <v>44438.42454</v>
      </c>
    </row>
    <row r="3286">
      <c r="A3286" t="str">
        <f>IFERROR(__xludf.DUMMYFUNCTION("""COMPUTED_VALUE"""),"tcharles44")</f>
        <v>tcharles44</v>
      </c>
      <c r="B3286" t="str">
        <f>IFERROR(__xludf.DUMMYFUNCTION("""COMPUTED_VALUE"""),"Durham")</f>
        <v>Durham</v>
      </c>
      <c r="C3286" t="str">
        <f>IFERROR(__xludf.DUMMYFUNCTION("""COMPUTED_VALUE"""),"NC")</f>
        <v>NC</v>
      </c>
      <c r="D3286" t="str">
        <f>IFERROR(__xludf.DUMMYFUNCTION("""COMPUTED_VALUE"""),"USA")</f>
        <v>USA</v>
      </c>
      <c r="E3286" s="188">
        <f>IFERROR(__xludf.DUMMYFUNCTION("""COMPUTED_VALUE"""),44367.0)</f>
        <v>44367</v>
      </c>
      <c r="N3286" t="str">
        <f>IFERROR(__xludf.DUMMYFUNCTION("""COMPUTED_VALUE"""),"Model 3 LR AWD")</f>
        <v>Model 3 LR AWD</v>
      </c>
      <c r="O3286" t="str">
        <f>IFERROR(__xludf.DUMMYFUNCTION("""COMPUTED_VALUE"""),"Solid Black")</f>
        <v>Solid Black</v>
      </c>
      <c r="P3286" t="str">
        <f>IFERROR(__xludf.DUMMYFUNCTION("""COMPUTED_VALUE"""),"18 inch")</f>
        <v>18 inch</v>
      </c>
      <c r="Q3286" t="str">
        <f>IFERROR(__xludf.DUMMYFUNCTION("""COMPUTED_VALUE"""),"All Black")</f>
        <v>All Black</v>
      </c>
      <c r="R3286" t="str">
        <f>IFERROR(__xludf.DUMMYFUNCTION("""COMPUTED_VALUE"""),"Full Self-Driving")</f>
        <v>Full Self-Driving</v>
      </c>
      <c r="S3286" t="str">
        <f>IFERROR(__xludf.DUMMYFUNCTION("""COMPUTED_VALUE"""),"Loan")</f>
        <v>Loan</v>
      </c>
      <c r="T3286" t="str">
        <f>IFERROR(__xludf.DUMMYFUNCTION("""COMPUTED_VALUE"""),"GMC Acadia Denali")</f>
        <v>GMC Acadia Denali</v>
      </c>
      <c r="U3286" t="str">
        <f>IFERROR(__xludf.DUMMYFUNCTION("""COMPUTED_VALUE"""),"Autopilot")</f>
        <v>Autopilot</v>
      </c>
      <c r="V3286" t="str">
        <f>IFERROR(__xludf.DUMMYFUNCTION("""COMPUTED_VALUE"""),"Head-up display")</f>
        <v>Head-up display</v>
      </c>
      <c r="AH3286" s="189">
        <f>IFERROR(__xludf.DUMMYFUNCTION("""COMPUTED_VALUE"""),44419.292528460646)</f>
        <v>44419.29253</v>
      </c>
    </row>
    <row r="3287">
      <c r="A3287" t="str">
        <f>IFERROR(__xludf.DUMMYFUNCTION("""COMPUTED_VALUE"""),"ChrisGoessel")</f>
        <v>ChrisGoessel</v>
      </c>
      <c r="B3287" t="str">
        <f>IFERROR(__xludf.DUMMYFUNCTION("""COMPUTED_VALUE"""),"Mannheim")</f>
        <v>Mannheim</v>
      </c>
      <c r="D3287" t="str">
        <f>IFERROR(__xludf.DUMMYFUNCTION("""COMPUTED_VALUE"""),"Germany")</f>
        <v>Germany</v>
      </c>
      <c r="E3287" s="188">
        <f>IFERROR(__xludf.DUMMYFUNCTION("""COMPUTED_VALUE"""),44361.0)</f>
        <v>44361</v>
      </c>
      <c r="H3287">
        <f>IFERROR(__xludf.DUMMYFUNCTION("""COMPUTED_VALUE"""),287158.0)</f>
        <v>287158</v>
      </c>
      <c r="I3287" t="str">
        <f>IFERROR(__xludf.DUMMYFUNCTION("""COMPUTED_VALUE"""),"06/21")</f>
        <v>06/21</v>
      </c>
      <c r="J3287" s="188">
        <f>IFERROR(__xludf.DUMMYFUNCTION("""COMPUTED_VALUE"""),44422.0)</f>
        <v>44422</v>
      </c>
      <c r="M3287">
        <f>IFERROR(__xludf.DUMMYFUNCTION("""COMPUTED_VALUE"""),61.0)</f>
        <v>61</v>
      </c>
      <c r="N3287" t="str">
        <f>IFERROR(__xludf.DUMMYFUNCTION("""COMPUTED_VALUE"""),"Model 3 SR+")</f>
        <v>Model 3 SR+</v>
      </c>
      <c r="O3287" t="str">
        <f>IFERROR(__xludf.DUMMYFUNCTION("""COMPUTED_VALUE"""),"Pearl White Multi-Coat")</f>
        <v>Pearl White Multi-Coat</v>
      </c>
      <c r="P3287" t="str">
        <f>IFERROR(__xludf.DUMMYFUNCTION("""COMPUTED_VALUE"""),"18 inch")</f>
        <v>18 inch</v>
      </c>
      <c r="Q3287" t="str">
        <f>IFERROR(__xludf.DUMMYFUNCTION("""COMPUTED_VALUE"""),"Black and White")</f>
        <v>Black and White</v>
      </c>
      <c r="R3287" t="str">
        <f>IFERROR(__xludf.DUMMYFUNCTION("""COMPUTED_VALUE"""),"Full Self-Driving")</f>
        <v>Full Self-Driving</v>
      </c>
      <c r="S3287" t="str">
        <f>IFERROR(__xludf.DUMMYFUNCTION("""COMPUTED_VALUE"""),"Loan")</f>
        <v>Loan</v>
      </c>
      <c r="T3287" t="str">
        <f>IFERROR(__xludf.DUMMYFUNCTION("""COMPUTED_VALUE"""),"Opel Corsa")</f>
        <v>Opel Corsa</v>
      </c>
      <c r="U3287" t="str">
        <f>IFERROR(__xludf.DUMMYFUNCTION("""COMPUTED_VALUE"""),"Electric!")</f>
        <v>Electric!</v>
      </c>
      <c r="V3287" t="str">
        <f>IFERROR(__xludf.DUMMYFUNCTION("""COMPUTED_VALUE"""),"Sunroof")</f>
        <v>Sunroof</v>
      </c>
      <c r="X3287" t="str">
        <f>IFERROR(__xludf.DUMMYFUNCTION("""COMPUTED_VALUE"""),"Good")</f>
        <v>Good</v>
      </c>
      <c r="Y3287" t="str">
        <f>IFERROR(__xludf.DUMMYFUNCTION("""COMPUTED_VALUE"""),"Excellent")</f>
        <v>Excellent</v>
      </c>
      <c r="Z3287" t="str">
        <f>IFERROR(__xludf.DUMMYFUNCTION("""COMPUTED_VALUE"""),"Excellent")</f>
        <v>Excellent</v>
      </c>
      <c r="AA3287" t="str">
        <f>IFERROR(__xludf.DUMMYFUNCTION("""COMPUTED_VALUE"""),"Good")</f>
        <v>Good</v>
      </c>
      <c r="AB3287" t="str">
        <f>IFERROR(__xludf.DUMMYFUNCTION("""COMPUTED_VALUE"""),"Good")</f>
        <v>Good</v>
      </c>
      <c r="AF3287" t="str">
        <f>IFERROR(__xludf.DUMMYFUNCTION("""COMPUTED_VALUE"""),"No. I took delivery of the first car Tesla was able to deliver.")</f>
        <v>No. I took delivery of the first car Tesla was able to deliver.</v>
      </c>
      <c r="AH3287" s="189">
        <f>IFERROR(__xludf.DUMMYFUNCTION("""COMPUTED_VALUE"""),44422.20629682871)</f>
        <v>44422.2063</v>
      </c>
    </row>
    <row r="3288">
      <c r="A3288" t="str">
        <f>IFERROR(__xludf.DUMMYFUNCTION("""COMPUTED_VALUE"""),"RoiDuNord")</f>
        <v>RoiDuNord</v>
      </c>
      <c r="B3288" t="str">
        <f>IFERROR(__xludf.DUMMYFUNCTION("""COMPUTED_VALUE"""),"Trenton")</f>
        <v>Trenton</v>
      </c>
      <c r="C3288" t="str">
        <f>IFERROR(__xludf.DUMMYFUNCTION("""COMPUTED_VALUE"""),"ME")</f>
        <v>ME</v>
      </c>
      <c r="D3288" t="str">
        <f>IFERROR(__xludf.DUMMYFUNCTION("""COMPUTED_VALUE"""),"USA")</f>
        <v>USA</v>
      </c>
      <c r="E3288" s="188">
        <f>IFERROR(__xludf.DUMMYFUNCTION("""COMPUTED_VALUE"""),44417.0)</f>
        <v>44417</v>
      </c>
      <c r="N3288" t="str">
        <f>IFERROR(__xludf.DUMMYFUNCTION("""COMPUTED_VALUE"""),"Model 3 LR AWD")</f>
        <v>Model 3 LR AWD</v>
      </c>
      <c r="O3288" t="str">
        <f>IFERROR(__xludf.DUMMYFUNCTION("""COMPUTED_VALUE"""),"Deep Blue Metallic")</f>
        <v>Deep Blue Metallic</v>
      </c>
      <c r="P3288" t="str">
        <f>IFERROR(__xludf.DUMMYFUNCTION("""COMPUTED_VALUE"""),"18 inch")</f>
        <v>18 inch</v>
      </c>
      <c r="Q3288" t="str">
        <f>IFERROR(__xludf.DUMMYFUNCTION("""COMPUTED_VALUE"""),"All Black")</f>
        <v>All Black</v>
      </c>
      <c r="R3288" t="str">
        <f>IFERROR(__xludf.DUMMYFUNCTION("""COMPUTED_VALUE"""),"Autopilot included")</f>
        <v>Autopilot included</v>
      </c>
      <c r="S3288" t="str">
        <f>IFERROR(__xludf.DUMMYFUNCTION("""COMPUTED_VALUE"""),"Cash")</f>
        <v>Cash</v>
      </c>
      <c r="T3288" t="str">
        <f>IFERROR(__xludf.DUMMYFUNCTION("""COMPUTED_VALUE"""),"Toyota Tacoma")</f>
        <v>Toyota Tacoma</v>
      </c>
      <c r="U3288" t="str">
        <f>IFERROR(__xludf.DUMMYFUNCTION("""COMPUTED_VALUE"""),"Supercharger V3 support")</f>
        <v>Supercharger V3 support</v>
      </c>
      <c r="V3288" t="str">
        <f>IFERROR(__xludf.DUMMYFUNCTION("""COMPUTED_VALUE"""),"Apple CarPlay / Android Auto / SiriusXM Radio")</f>
        <v>Apple CarPlay / Android Auto / SiriusXM Radio</v>
      </c>
      <c r="AH3288" s="189">
        <f>IFERROR(__xludf.DUMMYFUNCTION("""COMPUTED_VALUE"""),44419.692017187495)</f>
        <v>44419.69202</v>
      </c>
    </row>
    <row r="3289">
      <c r="A3289" t="str">
        <f>IFERROR(__xludf.DUMMYFUNCTION("""COMPUTED_VALUE"""),"nerdalert")</f>
        <v>nerdalert</v>
      </c>
      <c r="C3289" t="str">
        <f>IFERROR(__xludf.DUMMYFUNCTION("""COMPUTED_VALUE"""),"VA")</f>
        <v>VA</v>
      </c>
      <c r="D3289" t="str">
        <f>IFERROR(__xludf.DUMMYFUNCTION("""COMPUTED_VALUE"""),"USA")</f>
        <v>USA</v>
      </c>
      <c r="E3289" s="188">
        <f>IFERROR(__xludf.DUMMYFUNCTION("""COMPUTED_VALUE"""),44383.0)</f>
        <v>44383</v>
      </c>
      <c r="F3289" s="188">
        <f>IFERROR(__xludf.DUMMYFUNCTION("""COMPUTED_VALUE"""),44419.0)</f>
        <v>44419</v>
      </c>
      <c r="G3289" t="str">
        <f>IFERROR(__xludf.DUMMYFUNCTION("""COMPUTED_VALUE"""),"Manage order page (normal text)")</f>
        <v>Manage order page (normal text)</v>
      </c>
      <c r="K3289">
        <f>IFERROR(__xludf.DUMMYFUNCTION("""COMPUTED_VALUE"""),36.0)</f>
        <v>36</v>
      </c>
      <c r="N3289" t="str">
        <f>IFERROR(__xludf.DUMMYFUNCTION("""COMPUTED_VALUE"""),"Model 3 LR AWD")</f>
        <v>Model 3 LR AWD</v>
      </c>
      <c r="O3289" t="str">
        <f>IFERROR(__xludf.DUMMYFUNCTION("""COMPUTED_VALUE"""),"Midnight Silver Metallic")</f>
        <v>Midnight Silver Metallic</v>
      </c>
      <c r="P3289" t="str">
        <f>IFERROR(__xludf.DUMMYFUNCTION("""COMPUTED_VALUE"""),"18 inch")</f>
        <v>18 inch</v>
      </c>
      <c r="Q3289" t="str">
        <f>IFERROR(__xludf.DUMMYFUNCTION("""COMPUTED_VALUE"""),"All Black")</f>
        <v>All Black</v>
      </c>
      <c r="R3289" t="str">
        <f>IFERROR(__xludf.DUMMYFUNCTION("""COMPUTED_VALUE"""),"Autopilot included")</f>
        <v>Autopilot included</v>
      </c>
      <c r="S3289" t="str">
        <f>IFERROR(__xludf.DUMMYFUNCTION("""COMPUTED_VALUE"""),"Loan")</f>
        <v>Loan</v>
      </c>
      <c r="AH3289" s="189">
        <f>IFERROR(__xludf.DUMMYFUNCTION("""COMPUTED_VALUE"""),44419.77479096065)</f>
        <v>44419.77479</v>
      </c>
    </row>
    <row r="3290">
      <c r="A3290" t="str">
        <f>IFERROR(__xludf.DUMMYFUNCTION("""COMPUTED_VALUE"""),"thespud ")</f>
        <v>thespud </v>
      </c>
      <c r="B3290" t="str">
        <f>IFERROR(__xludf.DUMMYFUNCTION("""COMPUTED_VALUE"""),"Draper")</f>
        <v>Draper</v>
      </c>
      <c r="C3290" t="str">
        <f>IFERROR(__xludf.DUMMYFUNCTION("""COMPUTED_VALUE"""),"UT")</f>
        <v>UT</v>
      </c>
      <c r="D3290" t="str">
        <f>IFERROR(__xludf.DUMMYFUNCTION("""COMPUTED_VALUE"""),"USA")</f>
        <v>USA</v>
      </c>
      <c r="E3290" s="188">
        <f>IFERROR(__xludf.DUMMYFUNCTION("""COMPUTED_VALUE"""),44356.0)</f>
        <v>44356</v>
      </c>
      <c r="F3290" s="188">
        <f>IFERROR(__xludf.DUMMYFUNCTION("""COMPUTED_VALUE"""),44419.0)</f>
        <v>44419</v>
      </c>
      <c r="G3290" t="str">
        <f>IFERROR(__xludf.DUMMYFUNCTION("""COMPUTED_VALUE"""),"Email")</f>
        <v>Email</v>
      </c>
      <c r="K3290">
        <f>IFERROR(__xludf.DUMMYFUNCTION("""COMPUTED_VALUE"""),63.0)</f>
        <v>63</v>
      </c>
      <c r="N3290" t="str">
        <f>IFERROR(__xludf.DUMMYFUNCTION("""COMPUTED_VALUE"""),"Model 3 LR AWD")</f>
        <v>Model 3 LR AWD</v>
      </c>
      <c r="P3290" t="str">
        <f>IFERROR(__xludf.DUMMYFUNCTION("""COMPUTED_VALUE"""),"18 inch")</f>
        <v>18 inch</v>
      </c>
      <c r="Q3290" t="str">
        <f>IFERROR(__xludf.DUMMYFUNCTION("""COMPUTED_VALUE"""),"All Black")</f>
        <v>All Black</v>
      </c>
      <c r="R3290" t="str">
        <f>IFERROR(__xludf.DUMMYFUNCTION("""COMPUTED_VALUE"""),"Autopilot included")</f>
        <v>Autopilot included</v>
      </c>
      <c r="S3290" t="str">
        <f>IFERROR(__xludf.DUMMYFUNCTION("""COMPUTED_VALUE"""),"Cash")</f>
        <v>Cash</v>
      </c>
      <c r="T3290" t="str">
        <f>IFERROR(__xludf.DUMMYFUNCTION("""COMPUTED_VALUE"""),"Lexus RX 450h")</f>
        <v>Lexus RX 450h</v>
      </c>
      <c r="U3290" t="str">
        <f>IFERROR(__xludf.DUMMYFUNCTION("""COMPUTED_VALUE"""),"Electric!")</f>
        <v>Electric!</v>
      </c>
      <c r="V3290" t="str">
        <f>IFERROR(__xludf.DUMMYFUNCTION("""COMPUTED_VALUE"""),"Ventilated seats")</f>
        <v>Ventilated seats</v>
      </c>
      <c r="AH3290" s="189">
        <f>IFERROR(__xludf.DUMMYFUNCTION("""COMPUTED_VALUE"""),44419.804580173615)</f>
        <v>44419.80458</v>
      </c>
    </row>
    <row r="3291">
      <c r="A3291" t="str">
        <f>IFERROR(__xludf.DUMMYFUNCTION("""COMPUTED_VALUE"""),"V8Drover")</f>
        <v>V8Drover</v>
      </c>
      <c r="B3291" t="str">
        <f>IFERROR(__xludf.DUMMYFUNCTION("""COMPUTED_VALUE"""),"Memphis")</f>
        <v>Memphis</v>
      </c>
      <c r="C3291" t="str">
        <f>IFERROR(__xludf.DUMMYFUNCTION("""COMPUTED_VALUE"""),"TN")</f>
        <v>TN</v>
      </c>
      <c r="D3291" t="str">
        <f>IFERROR(__xludf.DUMMYFUNCTION("""COMPUTED_VALUE"""),"USA")</f>
        <v>USA</v>
      </c>
      <c r="E3291" s="188">
        <f>IFERROR(__xludf.DUMMYFUNCTION("""COMPUTED_VALUE"""),44408.0)</f>
        <v>44408</v>
      </c>
      <c r="N3291" t="str">
        <f>IFERROR(__xludf.DUMMYFUNCTION("""COMPUTED_VALUE"""),"Model 3 LR AWD")</f>
        <v>Model 3 LR AWD</v>
      </c>
      <c r="O3291" t="str">
        <f>IFERROR(__xludf.DUMMYFUNCTION("""COMPUTED_VALUE"""),"Deep Blue Metallic")</f>
        <v>Deep Blue Metallic</v>
      </c>
      <c r="P3291" t="str">
        <f>IFERROR(__xludf.DUMMYFUNCTION("""COMPUTED_VALUE"""),"18 inch")</f>
        <v>18 inch</v>
      </c>
      <c r="Q3291" t="str">
        <f>IFERROR(__xludf.DUMMYFUNCTION("""COMPUTED_VALUE"""),"All Black")</f>
        <v>All Black</v>
      </c>
      <c r="R3291" t="str">
        <f>IFERROR(__xludf.DUMMYFUNCTION("""COMPUTED_VALUE"""),"Autopilot included")</f>
        <v>Autopilot included</v>
      </c>
      <c r="S3291" t="str">
        <f>IFERROR(__xludf.DUMMYFUNCTION("""COMPUTED_VALUE"""),"Lease")</f>
        <v>Lease</v>
      </c>
      <c r="T3291" t="str">
        <f>IFERROR(__xludf.DUMMYFUNCTION("""COMPUTED_VALUE"""),"Ford Edge ST")</f>
        <v>Ford Edge ST</v>
      </c>
      <c r="U3291" t="str">
        <f>IFERROR(__xludf.DUMMYFUNCTION("""COMPUTED_VALUE"""),"Tesla brand image")</f>
        <v>Tesla brand image</v>
      </c>
      <c r="V3291" t="str">
        <f>IFERROR(__xludf.DUMMYFUNCTION("""COMPUTED_VALUE"""),"Apple CarPlay / Android Auto / SiriusXM Radio")</f>
        <v>Apple CarPlay / Android Auto / SiriusXM Radio</v>
      </c>
      <c r="AH3291" s="189">
        <f>IFERROR(__xludf.DUMMYFUNCTION("""COMPUTED_VALUE"""),44419.80459142361)</f>
        <v>44419.80459</v>
      </c>
    </row>
    <row r="3292">
      <c r="A3292" t="str">
        <f>IFERROR(__xludf.DUMMYFUNCTION("""COMPUTED_VALUE"""),"vincentliang")</f>
        <v>vincentliang</v>
      </c>
      <c r="B3292" t="str">
        <f>IFERROR(__xludf.DUMMYFUNCTION("""COMPUTED_VALUE"""),"Vancouver")</f>
        <v>Vancouver</v>
      </c>
      <c r="C3292" t="str">
        <f>IFERROR(__xludf.DUMMYFUNCTION("""COMPUTED_VALUE"""),"BC")</f>
        <v>BC</v>
      </c>
      <c r="D3292" t="str">
        <f>IFERROR(__xludf.DUMMYFUNCTION("""COMPUTED_VALUE"""),"Canada")</f>
        <v>Canada</v>
      </c>
      <c r="E3292" s="188">
        <f>IFERROR(__xludf.DUMMYFUNCTION("""COMPUTED_VALUE"""),44404.0)</f>
        <v>44404</v>
      </c>
      <c r="F3292" s="188">
        <f>IFERROR(__xludf.DUMMYFUNCTION("""COMPUTED_VALUE"""),44486.0)</f>
        <v>44486</v>
      </c>
      <c r="G3292" t="str">
        <f>IFERROR(__xludf.DUMMYFUNCTION("""COMPUTED_VALUE"""),"Manage order page (normal text)")</f>
        <v>Manage order page (normal text)</v>
      </c>
      <c r="J3292" s="188">
        <f>IFERROR(__xludf.DUMMYFUNCTION("""COMPUTED_VALUE"""),44490.0)</f>
        <v>44490</v>
      </c>
      <c r="K3292">
        <f>IFERROR(__xludf.DUMMYFUNCTION("""COMPUTED_VALUE"""),82.0)</f>
        <v>82</v>
      </c>
      <c r="L3292">
        <f>IFERROR(__xludf.DUMMYFUNCTION("""COMPUTED_VALUE"""),4.0)</f>
        <v>4</v>
      </c>
      <c r="M3292">
        <f>IFERROR(__xludf.DUMMYFUNCTION("""COMPUTED_VALUE"""),86.0)</f>
        <v>86</v>
      </c>
      <c r="N3292" t="str">
        <f>IFERROR(__xludf.DUMMYFUNCTION("""COMPUTED_VALUE"""),"Model 3 SR+")</f>
        <v>Model 3 SR+</v>
      </c>
      <c r="O3292" t="str">
        <f>IFERROR(__xludf.DUMMYFUNCTION("""COMPUTED_VALUE"""),"Pearl White Multi-Coat")</f>
        <v>Pearl White Multi-Coat</v>
      </c>
      <c r="P3292" t="str">
        <f>IFERROR(__xludf.DUMMYFUNCTION("""COMPUTED_VALUE"""),"18 inch")</f>
        <v>18 inch</v>
      </c>
      <c r="Q3292" t="str">
        <f>IFERROR(__xludf.DUMMYFUNCTION("""COMPUTED_VALUE"""),"All Black")</f>
        <v>All Black</v>
      </c>
      <c r="R3292" t="str">
        <f>IFERROR(__xludf.DUMMYFUNCTION("""COMPUTED_VALUE"""),"Autopilot included")</f>
        <v>Autopilot included</v>
      </c>
      <c r="S3292" t="str">
        <f>IFERROR(__xludf.DUMMYFUNCTION("""COMPUTED_VALUE"""),"Lease")</f>
        <v>Lease</v>
      </c>
      <c r="T3292" t="str">
        <f>IFERROR(__xludf.DUMMYFUNCTION("""COMPUTED_VALUE"""),"VW E-Golf")</f>
        <v>VW E-Golf</v>
      </c>
      <c r="U3292" t="str">
        <f>IFERROR(__xludf.DUMMYFUNCTION("""COMPUTED_VALUE"""),"Electric!")</f>
        <v>Electric!</v>
      </c>
      <c r="V3292" t="str">
        <f>IFERROR(__xludf.DUMMYFUNCTION("""COMPUTED_VALUE"""),"Apple CarPlay / Android Auto / SiriusXM Radio")</f>
        <v>Apple CarPlay / Android Auto / SiriusXM Radio</v>
      </c>
      <c r="AF3292" t="str">
        <f>IFERROR(__xludf.DUMMYFUNCTION("""COMPUTED_VALUE"""),"No. I took delivery of the first car Tesla was able to deliver.")</f>
        <v>No. I took delivery of the first car Tesla was able to deliver.</v>
      </c>
      <c r="AH3292" s="189">
        <f>IFERROR(__xludf.DUMMYFUNCTION("""COMPUTED_VALUE"""),44496.577691805556)</f>
        <v>44496.57769</v>
      </c>
    </row>
    <row r="3293">
      <c r="A3293" t="str">
        <f>IFERROR(__xludf.DUMMYFUNCTION("""COMPUTED_VALUE"""),"Polar")</f>
        <v>Polar</v>
      </c>
      <c r="B3293" t="str">
        <f>IFERROR(__xludf.DUMMYFUNCTION("""COMPUTED_VALUE"""),"Wexford")</f>
        <v>Wexford</v>
      </c>
      <c r="C3293" t="str">
        <f>IFERROR(__xludf.DUMMYFUNCTION("""COMPUTED_VALUE"""),"PA")</f>
        <v>PA</v>
      </c>
      <c r="D3293" t="str">
        <f>IFERROR(__xludf.DUMMYFUNCTION("""COMPUTED_VALUE"""),"USA")</f>
        <v>USA</v>
      </c>
      <c r="E3293" s="188">
        <f>IFERROR(__xludf.DUMMYFUNCTION("""COMPUTED_VALUE"""),44405.0)</f>
        <v>44405</v>
      </c>
      <c r="N3293" t="str">
        <f>IFERROR(__xludf.DUMMYFUNCTION("""COMPUTED_VALUE"""),"Model 3 SR+")</f>
        <v>Model 3 SR+</v>
      </c>
      <c r="O3293" t="str">
        <f>IFERROR(__xludf.DUMMYFUNCTION("""COMPUTED_VALUE"""),"Solid Black")</f>
        <v>Solid Black</v>
      </c>
      <c r="P3293" t="str">
        <f>IFERROR(__xludf.DUMMYFUNCTION("""COMPUTED_VALUE"""),"18 inch")</f>
        <v>18 inch</v>
      </c>
      <c r="Q3293" t="str">
        <f>IFERROR(__xludf.DUMMYFUNCTION("""COMPUTED_VALUE"""),"All Black")</f>
        <v>All Black</v>
      </c>
      <c r="R3293" t="str">
        <f>IFERROR(__xludf.DUMMYFUNCTION("""COMPUTED_VALUE"""),"Autopilot included")</f>
        <v>Autopilot included</v>
      </c>
      <c r="S3293" t="str">
        <f>IFERROR(__xludf.DUMMYFUNCTION("""COMPUTED_VALUE"""),"Loan")</f>
        <v>Loan</v>
      </c>
      <c r="T3293" t="str">
        <f>IFERROR(__xludf.DUMMYFUNCTION("""COMPUTED_VALUE"""),"Subaru Impreza")</f>
        <v>Subaru Impreza</v>
      </c>
      <c r="U3293" t="str">
        <f>IFERROR(__xludf.DUMMYFUNCTION("""COMPUTED_VALUE"""),"Electric!")</f>
        <v>Electric!</v>
      </c>
      <c r="V3293" t="str">
        <f>IFERROR(__xludf.DUMMYFUNCTION("""COMPUTED_VALUE"""),"Blind spot indicators on side mirrors")</f>
        <v>Blind spot indicators on side mirrors</v>
      </c>
      <c r="AH3293" s="189">
        <f>IFERROR(__xludf.DUMMYFUNCTION("""COMPUTED_VALUE"""),44420.208228020834)</f>
        <v>44420.20823</v>
      </c>
    </row>
    <row r="3294">
      <c r="A3294" t="str">
        <f>IFERROR(__xludf.DUMMYFUNCTION("""COMPUTED_VALUE"""),"nick19412")</f>
        <v>nick19412</v>
      </c>
      <c r="B3294" t="str">
        <f>IFERROR(__xludf.DUMMYFUNCTION("""COMPUTED_VALUE"""),"Philadelphia")</f>
        <v>Philadelphia</v>
      </c>
      <c r="C3294" t="str">
        <f>IFERROR(__xludf.DUMMYFUNCTION("""COMPUTED_VALUE"""),"PA")</f>
        <v>PA</v>
      </c>
      <c r="D3294" t="str">
        <f>IFERROR(__xludf.DUMMYFUNCTION("""COMPUTED_VALUE"""),"USA")</f>
        <v>USA</v>
      </c>
      <c r="E3294" s="188">
        <f>IFERROR(__xludf.DUMMYFUNCTION("""COMPUTED_VALUE"""),44354.0)</f>
        <v>44354</v>
      </c>
      <c r="F3294" s="188">
        <f>IFERROR(__xludf.DUMMYFUNCTION("""COMPUTED_VALUE"""),44420.0)</f>
        <v>44420</v>
      </c>
      <c r="G3294" t="str">
        <f>IFERROR(__xludf.DUMMYFUNCTION("""COMPUTED_VALUE"""),"Manage order page (normal text)")</f>
        <v>Manage order page (normal text)</v>
      </c>
      <c r="K3294">
        <f>IFERROR(__xludf.DUMMYFUNCTION("""COMPUTED_VALUE"""),66.0)</f>
        <v>66</v>
      </c>
      <c r="N3294" t="str">
        <f>IFERROR(__xludf.DUMMYFUNCTION("""COMPUTED_VALUE"""),"Model 3 LR AWD")</f>
        <v>Model 3 LR AWD</v>
      </c>
      <c r="O3294" t="str">
        <f>IFERROR(__xludf.DUMMYFUNCTION("""COMPUTED_VALUE"""),"Solid Black")</f>
        <v>Solid Black</v>
      </c>
      <c r="Q3294" t="str">
        <f>IFERROR(__xludf.DUMMYFUNCTION("""COMPUTED_VALUE"""),"All Black")</f>
        <v>All Black</v>
      </c>
      <c r="R3294" t="str">
        <f>IFERROR(__xludf.DUMMYFUNCTION("""COMPUTED_VALUE"""),"Autopilot included")</f>
        <v>Autopilot included</v>
      </c>
      <c r="S3294" t="str">
        <f>IFERROR(__xludf.DUMMYFUNCTION("""COMPUTED_VALUE"""),"Cash")</f>
        <v>Cash</v>
      </c>
      <c r="T3294" t="str">
        <f>IFERROR(__xludf.DUMMYFUNCTION("""COMPUTED_VALUE"""),"Ford Mustang")</f>
        <v>Ford Mustang</v>
      </c>
      <c r="U3294" t="str">
        <f>IFERROR(__xludf.DUMMYFUNCTION("""COMPUTED_VALUE"""),"Electric!")</f>
        <v>Electric!</v>
      </c>
      <c r="V3294" t="str">
        <f>IFERROR(__xludf.DUMMYFUNCTION("""COMPUTED_VALUE"""),"Dashboard")</f>
        <v>Dashboard</v>
      </c>
      <c r="AH3294" s="189">
        <f>IFERROR(__xludf.DUMMYFUNCTION("""COMPUTED_VALUE"""),44420.43567496528)</f>
        <v>44420.43567</v>
      </c>
    </row>
    <row r="3295">
      <c r="A3295" t="str">
        <f>IFERROR(__xludf.DUMMYFUNCTION("""COMPUTED_VALUE"""),"Sandmaster")</f>
        <v>Sandmaster</v>
      </c>
      <c r="C3295" t="str">
        <f>IFERROR(__xludf.DUMMYFUNCTION("""COMPUTED_VALUE"""),"MN")</f>
        <v>MN</v>
      </c>
      <c r="D3295" t="str">
        <f>IFERROR(__xludf.DUMMYFUNCTION("""COMPUTED_VALUE"""),"USA")</f>
        <v>USA</v>
      </c>
      <c r="E3295" s="188">
        <f>IFERROR(__xludf.DUMMYFUNCTION("""COMPUTED_VALUE"""),44414.0)</f>
        <v>44414</v>
      </c>
      <c r="F3295" s="188">
        <f>IFERROR(__xludf.DUMMYFUNCTION("""COMPUTED_VALUE"""),44445.0)</f>
        <v>44445</v>
      </c>
      <c r="G3295" t="str">
        <f>IFERROR(__xludf.DUMMYFUNCTION("""COMPUTED_VALUE"""),"Manage order page (normal text)")</f>
        <v>Manage order page (normal text)</v>
      </c>
      <c r="H3295">
        <f>IFERROR(__xludf.DUMMYFUNCTION("""COMPUTED_VALUE"""),60155.0)</f>
        <v>60155</v>
      </c>
      <c r="I3295" t="str">
        <f>IFERROR(__xludf.DUMMYFUNCTION("""COMPUTED_VALUE"""),"09/21")</f>
        <v>09/21</v>
      </c>
      <c r="J3295" s="188">
        <f>IFERROR(__xludf.DUMMYFUNCTION("""COMPUTED_VALUE"""),44455.0)</f>
        <v>44455</v>
      </c>
      <c r="K3295">
        <f>IFERROR(__xludf.DUMMYFUNCTION("""COMPUTED_VALUE"""),31.0)</f>
        <v>31</v>
      </c>
      <c r="L3295">
        <f>IFERROR(__xludf.DUMMYFUNCTION("""COMPUTED_VALUE"""),10.0)</f>
        <v>10</v>
      </c>
      <c r="M3295">
        <f>IFERROR(__xludf.DUMMYFUNCTION("""COMPUTED_VALUE"""),41.0)</f>
        <v>41</v>
      </c>
      <c r="N3295" t="str">
        <f>IFERROR(__xludf.DUMMYFUNCTION("""COMPUTED_VALUE"""),"Model 3 LR AWD")</f>
        <v>Model 3 LR AWD</v>
      </c>
      <c r="O3295" t="str">
        <f>IFERROR(__xludf.DUMMYFUNCTION("""COMPUTED_VALUE"""),"Pearl White Multi-Coat")</f>
        <v>Pearl White Multi-Coat</v>
      </c>
      <c r="P3295" t="str">
        <f>IFERROR(__xludf.DUMMYFUNCTION("""COMPUTED_VALUE"""),"19 inch")</f>
        <v>19 inch</v>
      </c>
      <c r="Q3295" t="str">
        <f>IFERROR(__xludf.DUMMYFUNCTION("""COMPUTED_VALUE"""),"All Black")</f>
        <v>All Black</v>
      </c>
      <c r="R3295" t="str">
        <f>IFERROR(__xludf.DUMMYFUNCTION("""COMPUTED_VALUE"""),"Autopilot included")</f>
        <v>Autopilot included</v>
      </c>
      <c r="S3295" t="str">
        <f>IFERROR(__xludf.DUMMYFUNCTION("""COMPUTED_VALUE"""),"Loan")</f>
        <v>Loan</v>
      </c>
      <c r="T3295" t="str">
        <f>IFERROR(__xludf.DUMMYFUNCTION("""COMPUTED_VALUE"""),"Chevy Volt")</f>
        <v>Chevy Volt</v>
      </c>
      <c r="U3295" t="str">
        <f>IFERROR(__xludf.DUMMYFUNCTION("""COMPUTED_VALUE"""),"Charging speeds &amp; charger options/support")</f>
        <v>Charging speeds &amp; charger options/support</v>
      </c>
      <c r="V3295" t="str">
        <f>IFERROR(__xludf.DUMMYFUNCTION("""COMPUTED_VALUE"""),"Ventilated Seats / Blind spot Indicators")</f>
        <v>Ventilated Seats / Blind spot Indicators</v>
      </c>
      <c r="X3295" t="str">
        <f>IFERROR(__xludf.DUMMYFUNCTION("""COMPUTED_VALUE"""),"Excellent")</f>
        <v>Excellent</v>
      </c>
      <c r="Y3295" t="str">
        <f>IFERROR(__xludf.DUMMYFUNCTION("""COMPUTED_VALUE"""),"Excellent")</f>
        <v>Excellent</v>
      </c>
      <c r="Z3295" t="str">
        <f>IFERROR(__xludf.DUMMYFUNCTION("""COMPUTED_VALUE"""),"Excellent")</f>
        <v>Excellent</v>
      </c>
      <c r="AA3295" t="str">
        <f>IFERROR(__xludf.DUMMYFUNCTION("""COMPUTED_VALUE"""),"Very Good")</f>
        <v>Very Good</v>
      </c>
      <c r="AB3295" t="str">
        <f>IFERROR(__xludf.DUMMYFUNCTION("""COMPUTED_VALUE"""),"Excellent")</f>
        <v>Excellent</v>
      </c>
      <c r="AC3295">
        <f>IFERROR(__xludf.DUMMYFUNCTION("""COMPUTED_VALUE"""),0.0)</f>
        <v>0</v>
      </c>
      <c r="AD3295">
        <f>IFERROR(__xludf.DUMMYFUNCTION("""COMPUTED_VALUE"""),0.0)</f>
        <v>0</v>
      </c>
      <c r="AE3295">
        <f>IFERROR(__xludf.DUMMYFUNCTION("""COMPUTED_VALUE"""),0.0)</f>
        <v>0</v>
      </c>
      <c r="AF3295" t="str">
        <f>IFERROR(__xludf.DUMMYFUNCTION("""COMPUTED_VALUE"""),"No. I took delivery of the first car Tesla was able to deliver.")</f>
        <v>No. I took delivery of the first car Tesla was able to deliver.</v>
      </c>
      <c r="AH3295" s="189">
        <f>IFERROR(__xludf.DUMMYFUNCTION("""COMPUTED_VALUE"""),44455.53900009259)</f>
        <v>44455.539</v>
      </c>
    </row>
    <row r="3296">
      <c r="A3296" t="str">
        <f>IFERROR(__xludf.DUMMYFUNCTION("""COMPUTED_VALUE"""),"Haydrows3xy")</f>
        <v>Haydrows3xy</v>
      </c>
      <c r="B3296" t="str">
        <f>IFERROR(__xludf.DUMMYFUNCTION("""COMPUTED_VALUE"""),"London, Ontario ")</f>
        <v>London, Ontario </v>
      </c>
      <c r="C3296" t="str">
        <f>IFERROR(__xludf.DUMMYFUNCTION("""COMPUTED_VALUE"""),"ON")</f>
        <v>ON</v>
      </c>
      <c r="D3296" t="str">
        <f>IFERROR(__xludf.DUMMYFUNCTION("""COMPUTED_VALUE"""),"Canada")</f>
        <v>Canada</v>
      </c>
      <c r="E3296" s="188">
        <f>IFERROR(__xludf.DUMMYFUNCTION("""COMPUTED_VALUE"""),44419.0)</f>
        <v>44419</v>
      </c>
      <c r="N3296" t="str">
        <f>IFERROR(__xludf.DUMMYFUNCTION("""COMPUTED_VALUE"""),"Model 3 SR+")</f>
        <v>Model 3 SR+</v>
      </c>
      <c r="O3296" t="str">
        <f>IFERROR(__xludf.DUMMYFUNCTION("""COMPUTED_VALUE"""),"Midnight Silver Metallic")</f>
        <v>Midnight Silver Metallic</v>
      </c>
      <c r="P3296" t="str">
        <f>IFERROR(__xludf.DUMMYFUNCTION("""COMPUTED_VALUE"""),"18 inch")</f>
        <v>18 inch</v>
      </c>
      <c r="Q3296" t="str">
        <f>IFERROR(__xludf.DUMMYFUNCTION("""COMPUTED_VALUE"""),"All Black")</f>
        <v>All Black</v>
      </c>
      <c r="R3296" t="str">
        <f>IFERROR(__xludf.DUMMYFUNCTION("""COMPUTED_VALUE"""),"Autopilot included")</f>
        <v>Autopilot included</v>
      </c>
      <c r="S3296" t="str">
        <f>IFERROR(__xludf.DUMMYFUNCTION("""COMPUTED_VALUE"""),"Loan")</f>
        <v>Loan</v>
      </c>
      <c r="T3296" t="str">
        <f>IFERROR(__xludf.DUMMYFUNCTION("""COMPUTED_VALUE"""),"VW Tiguan")</f>
        <v>VW Tiguan</v>
      </c>
      <c r="U3296" t="str">
        <f>IFERROR(__xludf.DUMMYFUNCTION("""COMPUTED_VALUE"""),"Electric!")</f>
        <v>Electric!</v>
      </c>
      <c r="V3296" t="str">
        <f>IFERROR(__xludf.DUMMYFUNCTION("""COMPUTED_VALUE"""),"Ventilated seats")</f>
        <v>Ventilated seats</v>
      </c>
      <c r="AH3296" s="189">
        <f>IFERROR(__xludf.DUMMYFUNCTION("""COMPUTED_VALUE"""),44420.55565956018)</f>
        <v>44420.55566</v>
      </c>
    </row>
    <row r="3297">
      <c r="A3297" t="str">
        <f>IFERROR(__xludf.DUMMYFUNCTION("""COMPUTED_VALUE"""),"CG")</f>
        <v>CG</v>
      </c>
      <c r="B3297" t="str">
        <f>IFERROR(__xludf.DUMMYFUNCTION("""COMPUTED_VALUE"""),"Edmonton")</f>
        <v>Edmonton</v>
      </c>
      <c r="C3297" t="str">
        <f>IFERROR(__xludf.DUMMYFUNCTION("""COMPUTED_VALUE"""),"AB")</f>
        <v>AB</v>
      </c>
      <c r="D3297" t="str">
        <f>IFERROR(__xludf.DUMMYFUNCTION("""COMPUTED_VALUE"""),"Canada")</f>
        <v>Canada</v>
      </c>
      <c r="E3297" s="188">
        <f>IFERROR(__xludf.DUMMYFUNCTION("""COMPUTED_VALUE"""),44419.0)</f>
        <v>44419</v>
      </c>
      <c r="N3297" t="str">
        <f>IFERROR(__xludf.DUMMYFUNCTION("""COMPUTED_VALUE"""),"Model 3 Performance")</f>
        <v>Model 3 Performance</v>
      </c>
      <c r="O3297" t="str">
        <f>IFERROR(__xludf.DUMMYFUNCTION("""COMPUTED_VALUE"""),"Midnight Silver Metallic")</f>
        <v>Midnight Silver Metallic</v>
      </c>
      <c r="P3297" t="str">
        <f>IFERROR(__xludf.DUMMYFUNCTION("""COMPUTED_VALUE"""),"20 inch")</f>
        <v>20 inch</v>
      </c>
      <c r="Q3297" t="str">
        <f>IFERROR(__xludf.DUMMYFUNCTION("""COMPUTED_VALUE"""),"All Black")</f>
        <v>All Black</v>
      </c>
      <c r="R3297" t="str">
        <f>IFERROR(__xludf.DUMMYFUNCTION("""COMPUTED_VALUE"""),"Autopilot included")</f>
        <v>Autopilot included</v>
      </c>
      <c r="S3297" t="str">
        <f>IFERROR(__xludf.DUMMYFUNCTION("""COMPUTED_VALUE"""),"Loan")</f>
        <v>Loan</v>
      </c>
      <c r="T3297" t="str">
        <f>IFERROR(__xludf.DUMMYFUNCTION("""COMPUTED_VALUE"""),"Mazda 3 Sport GT")</f>
        <v>Mazda 3 Sport GT</v>
      </c>
      <c r="U3297" t="str">
        <f>IFERROR(__xludf.DUMMYFUNCTION("""COMPUTED_VALUE"""),"Electric!")</f>
        <v>Electric!</v>
      </c>
      <c r="V3297" t="str">
        <f>IFERROR(__xludf.DUMMYFUNCTION("""COMPUTED_VALUE"""),"Apple CarPlay / Android Auto / SiriusXM Radio")</f>
        <v>Apple CarPlay / Android Auto / SiriusXM Radio</v>
      </c>
      <c r="AH3297" s="189">
        <f>IFERROR(__xludf.DUMMYFUNCTION("""COMPUTED_VALUE"""),44420.65376972222)</f>
        <v>44420.65377</v>
      </c>
    </row>
    <row r="3298">
      <c r="A3298" t="str">
        <f>IFERROR(__xludf.DUMMYFUNCTION("""COMPUTED_VALUE"""),"Jeremy3292")</f>
        <v>Jeremy3292</v>
      </c>
      <c r="B3298" t="str">
        <f>IFERROR(__xludf.DUMMYFUNCTION("""COMPUTED_VALUE"""),"Greenville")</f>
        <v>Greenville</v>
      </c>
      <c r="C3298" t="str">
        <f>IFERROR(__xludf.DUMMYFUNCTION("""COMPUTED_VALUE"""),"SC")</f>
        <v>SC</v>
      </c>
      <c r="D3298" t="str">
        <f>IFERROR(__xludf.DUMMYFUNCTION("""COMPUTED_VALUE"""),"USA")</f>
        <v>USA</v>
      </c>
      <c r="E3298" s="188">
        <f>IFERROR(__xludf.DUMMYFUNCTION("""COMPUTED_VALUE"""),44420.0)</f>
        <v>44420</v>
      </c>
      <c r="N3298" t="str">
        <f>IFERROR(__xludf.DUMMYFUNCTION("""COMPUTED_VALUE"""),"Model 3 LR AWD")</f>
        <v>Model 3 LR AWD</v>
      </c>
      <c r="O3298" t="str">
        <f>IFERROR(__xludf.DUMMYFUNCTION("""COMPUTED_VALUE"""),"Midnight Silver Metallic")</f>
        <v>Midnight Silver Metallic</v>
      </c>
      <c r="P3298" t="str">
        <f>IFERROR(__xludf.DUMMYFUNCTION("""COMPUTED_VALUE"""),"18 inch")</f>
        <v>18 inch</v>
      </c>
      <c r="Q3298" t="str">
        <f>IFERROR(__xludf.DUMMYFUNCTION("""COMPUTED_VALUE"""),"All Black")</f>
        <v>All Black</v>
      </c>
      <c r="R3298" t="str">
        <f>IFERROR(__xludf.DUMMYFUNCTION("""COMPUTED_VALUE"""),"Autopilot included")</f>
        <v>Autopilot included</v>
      </c>
      <c r="S3298" t="str">
        <f>IFERROR(__xludf.DUMMYFUNCTION("""COMPUTED_VALUE"""),"Loan")</f>
        <v>Loan</v>
      </c>
      <c r="T3298" t="str">
        <f>IFERROR(__xludf.DUMMYFUNCTION("""COMPUTED_VALUE"""),"Hyundai Sonata")</f>
        <v>Hyundai Sonata</v>
      </c>
      <c r="U3298" t="str">
        <f>IFERROR(__xludf.DUMMYFUNCTION("""COMPUTED_VALUE"""),"Electric!")</f>
        <v>Electric!</v>
      </c>
      <c r="V3298" t="str">
        <f>IFERROR(__xludf.DUMMYFUNCTION("""COMPUTED_VALUE"""),"Apple CarPlay / Android Auto / SiriusXM Radio")</f>
        <v>Apple CarPlay / Android Auto / SiriusXM Radio</v>
      </c>
      <c r="AH3298" s="189">
        <f>IFERROR(__xludf.DUMMYFUNCTION("""COMPUTED_VALUE"""),44420.719239363425)</f>
        <v>44420.71924</v>
      </c>
    </row>
    <row r="3299">
      <c r="A3299" t="str">
        <f>IFERROR(__xludf.DUMMYFUNCTION("""COMPUTED_VALUE"""),"Havek")</f>
        <v>Havek</v>
      </c>
      <c r="B3299" t="str">
        <f>IFERROR(__xludf.DUMMYFUNCTION("""COMPUTED_VALUE"""),"Miami")</f>
        <v>Miami</v>
      </c>
      <c r="C3299" t="str">
        <f>IFERROR(__xludf.DUMMYFUNCTION("""COMPUTED_VALUE"""),"FL")</f>
        <v>FL</v>
      </c>
      <c r="D3299" t="str">
        <f>IFERROR(__xludf.DUMMYFUNCTION("""COMPUTED_VALUE"""),"USA")</f>
        <v>USA</v>
      </c>
      <c r="E3299" s="188">
        <f>IFERROR(__xludf.DUMMYFUNCTION("""COMPUTED_VALUE"""),44386.0)</f>
        <v>44386</v>
      </c>
      <c r="F3299" s="188">
        <f>IFERROR(__xludf.DUMMYFUNCTION("""COMPUTED_VALUE"""),44433.0)</f>
        <v>44433</v>
      </c>
      <c r="G3299" t="str">
        <f>IFERROR(__xludf.DUMMYFUNCTION("""COMPUTED_VALUE"""),"Email")</f>
        <v>Email</v>
      </c>
      <c r="J3299" s="188">
        <f>IFERROR(__xludf.DUMMYFUNCTION("""COMPUTED_VALUE"""),44441.0)</f>
        <v>44441</v>
      </c>
      <c r="K3299">
        <f>IFERROR(__xludf.DUMMYFUNCTION("""COMPUTED_VALUE"""),47.0)</f>
        <v>47</v>
      </c>
      <c r="L3299">
        <f>IFERROR(__xludf.DUMMYFUNCTION("""COMPUTED_VALUE"""),8.0)</f>
        <v>8</v>
      </c>
      <c r="M3299">
        <f>IFERROR(__xludf.DUMMYFUNCTION("""COMPUTED_VALUE"""),55.0)</f>
        <v>55</v>
      </c>
      <c r="N3299" t="str">
        <f>IFERROR(__xludf.DUMMYFUNCTION("""COMPUTED_VALUE"""),"Model 3 SR+")</f>
        <v>Model 3 SR+</v>
      </c>
      <c r="O3299" t="str">
        <f>IFERROR(__xludf.DUMMYFUNCTION("""COMPUTED_VALUE"""),"Pearl White Multi-Coat")</f>
        <v>Pearl White Multi-Coat</v>
      </c>
      <c r="P3299" t="str">
        <f>IFERROR(__xludf.DUMMYFUNCTION("""COMPUTED_VALUE"""),"18 inch")</f>
        <v>18 inch</v>
      </c>
      <c r="Q3299" t="str">
        <f>IFERROR(__xludf.DUMMYFUNCTION("""COMPUTED_VALUE"""),"All Black")</f>
        <v>All Black</v>
      </c>
      <c r="R3299" t="str">
        <f>IFERROR(__xludf.DUMMYFUNCTION("""COMPUTED_VALUE"""),"Autopilot included")</f>
        <v>Autopilot included</v>
      </c>
      <c r="S3299" t="str">
        <f>IFERROR(__xludf.DUMMYFUNCTION("""COMPUTED_VALUE"""),"Lease")</f>
        <v>Lease</v>
      </c>
      <c r="T3299" t="str">
        <f>IFERROR(__xludf.DUMMYFUNCTION("""COMPUTED_VALUE"""),"Hyundai")</f>
        <v>Hyundai</v>
      </c>
      <c r="U3299" t="str">
        <f>IFERROR(__xludf.DUMMYFUNCTION("""COMPUTED_VALUE"""),"Electric!")</f>
        <v>Electric!</v>
      </c>
      <c r="V3299" t="str">
        <f>IFERROR(__xludf.DUMMYFUNCTION("""COMPUTED_VALUE"""),"Ventilated seats")</f>
        <v>Ventilated seats</v>
      </c>
      <c r="W3299" t="str">
        <f>IFERROR(__xludf.DUMMYFUNCTION("""COMPUTED_VALUE"""),"Nema-14-50 ")</f>
        <v>Nema-14-50 </v>
      </c>
      <c r="AH3299" s="189">
        <f>IFERROR(__xludf.DUMMYFUNCTION("""COMPUTED_VALUE"""),44437.41485327546)</f>
        <v>44437.41485</v>
      </c>
    </row>
    <row r="3300">
      <c r="A3300" t="str">
        <f>IFERROR(__xludf.DUMMYFUNCTION("""COMPUTED_VALUE"""),"dukenyc125")</f>
        <v>dukenyc125</v>
      </c>
      <c r="C3300" t="str">
        <f>IFERROR(__xludf.DUMMYFUNCTION("""COMPUTED_VALUE"""),"NY")</f>
        <v>NY</v>
      </c>
      <c r="D3300" t="str">
        <f>IFERROR(__xludf.DUMMYFUNCTION("""COMPUTED_VALUE"""),"USA")</f>
        <v>USA</v>
      </c>
      <c r="E3300" s="188">
        <f>IFERROR(__xludf.DUMMYFUNCTION("""COMPUTED_VALUE"""),44407.0)</f>
        <v>44407</v>
      </c>
      <c r="N3300" t="str">
        <f>IFERROR(__xludf.DUMMYFUNCTION("""COMPUTED_VALUE"""),"Model 3 SR+")</f>
        <v>Model 3 SR+</v>
      </c>
      <c r="P3300" t="str">
        <f>IFERROR(__xludf.DUMMYFUNCTION("""COMPUTED_VALUE"""),"18 inch")</f>
        <v>18 inch</v>
      </c>
      <c r="Q3300" t="str">
        <f>IFERROR(__xludf.DUMMYFUNCTION("""COMPUTED_VALUE"""),"All Black")</f>
        <v>All Black</v>
      </c>
      <c r="R3300" t="str">
        <f>IFERROR(__xludf.DUMMYFUNCTION("""COMPUTED_VALUE"""),"Autopilot included")</f>
        <v>Autopilot included</v>
      </c>
      <c r="S3300" t="str">
        <f>IFERROR(__xludf.DUMMYFUNCTION("""COMPUTED_VALUE"""),"Loan")</f>
        <v>Loan</v>
      </c>
      <c r="T3300" t="str">
        <f>IFERROR(__xludf.DUMMYFUNCTION("""COMPUTED_VALUE"""),"BMW X5")</f>
        <v>BMW X5</v>
      </c>
      <c r="U3300" t="str">
        <f>IFERROR(__xludf.DUMMYFUNCTION("""COMPUTED_VALUE"""),"Autopilot")</f>
        <v>Autopilot</v>
      </c>
      <c r="V3300" t="str">
        <f>IFERROR(__xludf.DUMMYFUNCTION("""COMPUTED_VALUE"""),"Apple CarPlay / Android Auto / SiriusXM Radio")</f>
        <v>Apple CarPlay / Android Auto / SiriusXM Radio</v>
      </c>
      <c r="AH3300" s="189">
        <f>IFERROR(__xludf.DUMMYFUNCTION("""COMPUTED_VALUE"""),44420.82730077546)</f>
        <v>44420.8273</v>
      </c>
    </row>
    <row r="3301">
      <c r="A3301" t="str">
        <f>IFERROR(__xludf.DUMMYFUNCTION("""COMPUTED_VALUE"""),"freeewilly")</f>
        <v>freeewilly</v>
      </c>
      <c r="B3301" t="str">
        <f>IFERROR(__xludf.DUMMYFUNCTION("""COMPUTED_VALUE"""),"Brea, CA")</f>
        <v>Brea, CA</v>
      </c>
      <c r="C3301" t="str">
        <f>IFERROR(__xludf.DUMMYFUNCTION("""COMPUTED_VALUE"""),"CA")</f>
        <v>CA</v>
      </c>
      <c r="D3301" t="str">
        <f>IFERROR(__xludf.DUMMYFUNCTION("""COMPUTED_VALUE"""),"USA")</f>
        <v>USA</v>
      </c>
      <c r="E3301" s="188">
        <f>IFERROR(__xludf.DUMMYFUNCTION("""COMPUTED_VALUE"""),44370.0)</f>
        <v>44370</v>
      </c>
      <c r="F3301" s="188">
        <f>IFERROR(__xludf.DUMMYFUNCTION("""COMPUTED_VALUE"""),44457.0)</f>
        <v>44457</v>
      </c>
      <c r="G3301" t="str">
        <f>IFERROR(__xludf.DUMMYFUNCTION("""COMPUTED_VALUE"""),"Email")</f>
        <v>Email</v>
      </c>
      <c r="H3301">
        <f>IFERROR(__xludf.DUMMYFUNCTION("""COMPUTED_VALUE"""),66405.0)</f>
        <v>66405</v>
      </c>
      <c r="J3301" s="188">
        <f>IFERROR(__xludf.DUMMYFUNCTION("""COMPUTED_VALUE"""),44469.0)</f>
        <v>44469</v>
      </c>
      <c r="K3301">
        <f>IFERROR(__xludf.DUMMYFUNCTION("""COMPUTED_VALUE"""),87.0)</f>
        <v>87</v>
      </c>
      <c r="L3301">
        <f>IFERROR(__xludf.DUMMYFUNCTION("""COMPUTED_VALUE"""),12.0)</f>
        <v>12</v>
      </c>
      <c r="M3301">
        <f>IFERROR(__xludf.DUMMYFUNCTION("""COMPUTED_VALUE"""),99.0)</f>
        <v>99</v>
      </c>
      <c r="N3301" t="str">
        <f>IFERROR(__xludf.DUMMYFUNCTION("""COMPUTED_VALUE"""),"Model 3 SR+")</f>
        <v>Model 3 SR+</v>
      </c>
      <c r="O3301" t="str">
        <f>IFERROR(__xludf.DUMMYFUNCTION("""COMPUTED_VALUE"""),"Pearl White Multi-Coat")</f>
        <v>Pearl White Multi-Coat</v>
      </c>
      <c r="P3301" t="str">
        <f>IFERROR(__xludf.DUMMYFUNCTION("""COMPUTED_VALUE"""),"18 inch")</f>
        <v>18 inch</v>
      </c>
      <c r="Q3301" t="str">
        <f>IFERROR(__xludf.DUMMYFUNCTION("""COMPUTED_VALUE"""),"All Black")</f>
        <v>All Black</v>
      </c>
      <c r="R3301" t="str">
        <f>IFERROR(__xludf.DUMMYFUNCTION("""COMPUTED_VALUE"""),"Autopilot included")</f>
        <v>Autopilot included</v>
      </c>
      <c r="S3301" t="str">
        <f>IFERROR(__xludf.DUMMYFUNCTION("""COMPUTED_VALUE"""),"Cash")</f>
        <v>Cash</v>
      </c>
      <c r="T3301" t="str">
        <f>IFERROR(__xludf.DUMMYFUNCTION("""COMPUTED_VALUE"""),"BMW 3 Series")</f>
        <v>BMW 3 Series</v>
      </c>
      <c r="U3301" t="str">
        <f>IFERROR(__xludf.DUMMYFUNCTION("""COMPUTED_VALUE"""),"Electric!")</f>
        <v>Electric!</v>
      </c>
      <c r="V3301" t="str">
        <f>IFERROR(__xludf.DUMMYFUNCTION("""COMPUTED_VALUE"""),"Dashboard")</f>
        <v>Dashboard</v>
      </c>
      <c r="AH3301" s="189">
        <f>IFERROR(__xludf.DUMMYFUNCTION("""COMPUTED_VALUE"""),44471.973807835646)</f>
        <v>44471.97381</v>
      </c>
    </row>
    <row r="3302">
      <c r="A3302" t="str">
        <f>IFERROR(__xludf.DUMMYFUNCTION("""COMPUTED_VALUE"""),"kk35")</f>
        <v>kk35</v>
      </c>
      <c r="C3302" t="str">
        <f>IFERROR(__xludf.DUMMYFUNCTION("""COMPUTED_VALUE"""),"PA")</f>
        <v>PA</v>
      </c>
      <c r="D3302" t="str">
        <f>IFERROR(__xludf.DUMMYFUNCTION("""COMPUTED_VALUE"""),"USA")</f>
        <v>USA</v>
      </c>
      <c r="E3302" s="188">
        <f>IFERROR(__xludf.DUMMYFUNCTION("""COMPUTED_VALUE"""),44371.0)</f>
        <v>44371</v>
      </c>
      <c r="F3302" s="188">
        <f>IFERROR(__xludf.DUMMYFUNCTION("""COMPUTED_VALUE"""),44420.0)</f>
        <v>44420</v>
      </c>
      <c r="G3302" t="str">
        <f>IFERROR(__xludf.DUMMYFUNCTION("""COMPUTED_VALUE"""),"Manage order page (normal text)")</f>
        <v>Manage order page (normal text)</v>
      </c>
      <c r="K3302">
        <f>IFERROR(__xludf.DUMMYFUNCTION("""COMPUTED_VALUE"""),49.0)</f>
        <v>49</v>
      </c>
      <c r="N3302" t="str">
        <f>IFERROR(__xludf.DUMMYFUNCTION("""COMPUTED_VALUE"""),"Model 3 LR AWD")</f>
        <v>Model 3 LR AWD</v>
      </c>
      <c r="O3302" t="str">
        <f>IFERROR(__xludf.DUMMYFUNCTION("""COMPUTED_VALUE"""),"Solid Black")</f>
        <v>Solid Black</v>
      </c>
      <c r="P3302" t="str">
        <f>IFERROR(__xludf.DUMMYFUNCTION("""COMPUTED_VALUE"""),"18 inch")</f>
        <v>18 inch</v>
      </c>
      <c r="Q3302" t="str">
        <f>IFERROR(__xludf.DUMMYFUNCTION("""COMPUTED_VALUE"""),"All Black")</f>
        <v>All Black</v>
      </c>
      <c r="R3302" t="str">
        <f>IFERROR(__xludf.DUMMYFUNCTION("""COMPUTED_VALUE"""),"Autopilot included")</f>
        <v>Autopilot included</v>
      </c>
      <c r="T3302" t="str">
        <f>IFERROR(__xludf.DUMMYFUNCTION("""COMPUTED_VALUE"""),"Subaru Legacy")</f>
        <v>Subaru Legacy</v>
      </c>
      <c r="U3302" t="str">
        <f>IFERROR(__xludf.DUMMYFUNCTION("""COMPUTED_VALUE"""),"Electric!")</f>
        <v>Electric!</v>
      </c>
      <c r="V3302" t="str">
        <f>IFERROR(__xludf.DUMMYFUNCTION("""COMPUTED_VALUE"""),"Apple CarPlay / Android Auto / SiriusXM Radio")</f>
        <v>Apple CarPlay / Android Auto / SiriusXM Radio</v>
      </c>
      <c r="AH3302" s="189">
        <f>IFERROR(__xludf.DUMMYFUNCTION("""COMPUTED_VALUE"""),44421.17236280093)</f>
        <v>44421.17236</v>
      </c>
    </row>
    <row r="3303">
      <c r="A3303" t="str">
        <f>IFERROR(__xludf.DUMMYFUNCTION("""COMPUTED_VALUE"""),"detox84")</f>
        <v>detox84</v>
      </c>
      <c r="C3303" t="str">
        <f>IFERROR(__xludf.DUMMYFUNCTION("""COMPUTED_VALUE"""),"NJ")</f>
        <v>NJ</v>
      </c>
      <c r="D3303" t="str">
        <f>IFERROR(__xludf.DUMMYFUNCTION("""COMPUTED_VALUE"""),"USA")</f>
        <v>USA</v>
      </c>
      <c r="E3303" s="188">
        <f>IFERROR(__xludf.DUMMYFUNCTION("""COMPUTED_VALUE"""),44377.0)</f>
        <v>44377</v>
      </c>
      <c r="F3303" s="188">
        <f>IFERROR(__xludf.DUMMYFUNCTION("""COMPUTED_VALUE"""),44420.0)</f>
        <v>44420</v>
      </c>
      <c r="G3303" t="str">
        <f>IFERROR(__xludf.DUMMYFUNCTION("""COMPUTED_VALUE"""),"Manage order page (normal text)")</f>
        <v>Manage order page (normal text)</v>
      </c>
      <c r="H3303">
        <f>IFERROR(__xludf.DUMMYFUNCTION("""COMPUTED_VALUE"""),35655.0)</f>
        <v>35655</v>
      </c>
      <c r="J3303" s="188">
        <f>IFERROR(__xludf.DUMMYFUNCTION("""COMPUTED_VALUE"""),44434.0)</f>
        <v>44434</v>
      </c>
      <c r="K3303">
        <f>IFERROR(__xludf.DUMMYFUNCTION("""COMPUTED_VALUE"""),43.0)</f>
        <v>43</v>
      </c>
      <c r="L3303">
        <f>IFERROR(__xludf.DUMMYFUNCTION("""COMPUTED_VALUE"""),14.0)</f>
        <v>14</v>
      </c>
      <c r="M3303">
        <f>IFERROR(__xludf.DUMMYFUNCTION("""COMPUTED_VALUE"""),57.0)</f>
        <v>57</v>
      </c>
      <c r="N3303" t="str">
        <f>IFERROR(__xludf.DUMMYFUNCTION("""COMPUTED_VALUE"""),"Model 3 LR AWD")</f>
        <v>Model 3 LR AWD</v>
      </c>
      <c r="O3303" t="str">
        <f>IFERROR(__xludf.DUMMYFUNCTION("""COMPUTED_VALUE"""),"Deep Blue Metallic")</f>
        <v>Deep Blue Metallic</v>
      </c>
      <c r="P3303" t="str">
        <f>IFERROR(__xludf.DUMMYFUNCTION("""COMPUTED_VALUE"""),"18 inch")</f>
        <v>18 inch</v>
      </c>
      <c r="Q3303" t="str">
        <f>IFERROR(__xludf.DUMMYFUNCTION("""COMPUTED_VALUE"""),"All Black")</f>
        <v>All Black</v>
      </c>
      <c r="R3303" t="str">
        <f>IFERROR(__xludf.DUMMYFUNCTION("""COMPUTED_VALUE"""),"Autopilot included")</f>
        <v>Autopilot included</v>
      </c>
      <c r="S3303" t="str">
        <f>IFERROR(__xludf.DUMMYFUNCTION("""COMPUTED_VALUE"""),"Loan")</f>
        <v>Loan</v>
      </c>
      <c r="T3303" t="str">
        <f>IFERROR(__xludf.DUMMYFUNCTION("""COMPUTED_VALUE"""),"Hyundai Santa Fe")</f>
        <v>Hyundai Santa Fe</v>
      </c>
      <c r="U3303" t="str">
        <f>IFERROR(__xludf.DUMMYFUNCTION("""COMPUTED_VALUE"""),"Autopilot")</f>
        <v>Autopilot</v>
      </c>
      <c r="V3303" t="str">
        <f>IFERROR(__xludf.DUMMYFUNCTION("""COMPUTED_VALUE"""),"Apple CarPlay / Android Auto / SiriusXM Radio")</f>
        <v>Apple CarPlay / Android Auto / SiriusXM Radio</v>
      </c>
      <c r="W3303" t="str">
        <f>IFERROR(__xludf.DUMMYFUNCTION("""COMPUTED_VALUE"""),"Complete all the paperwork you are able to up front. This gets you ""in line"" more quickly.")</f>
        <v>Complete all the paperwork you are able to up front. This gets you "in line" more quickly.</v>
      </c>
      <c r="X3303" t="str">
        <f>IFERROR(__xludf.DUMMYFUNCTION("""COMPUTED_VALUE"""),"Excellent")</f>
        <v>Excellent</v>
      </c>
      <c r="Y3303" t="str">
        <f>IFERROR(__xludf.DUMMYFUNCTION("""COMPUTED_VALUE"""),"Excellent")</f>
        <v>Excellent</v>
      </c>
      <c r="Z3303" t="str">
        <f>IFERROR(__xludf.DUMMYFUNCTION("""COMPUTED_VALUE"""),"Excellent")</f>
        <v>Excellent</v>
      </c>
      <c r="AA3303" t="str">
        <f>IFERROR(__xludf.DUMMYFUNCTION("""COMPUTED_VALUE"""),"Good")</f>
        <v>Good</v>
      </c>
      <c r="AB3303" t="str">
        <f>IFERROR(__xludf.DUMMYFUNCTION("""COMPUTED_VALUE"""),"Excellent")</f>
        <v>Excellent</v>
      </c>
      <c r="AF3303" t="str">
        <f>IFERROR(__xludf.DUMMYFUNCTION("""COMPUTED_VALUE"""),"No. I took delivery of the first car Tesla was able to deliver.")</f>
        <v>No. I took delivery of the first car Tesla was able to deliver.</v>
      </c>
      <c r="AH3303" s="189">
        <f>IFERROR(__xludf.DUMMYFUNCTION("""COMPUTED_VALUE"""),44437.73471464121)</f>
        <v>44437.73471</v>
      </c>
    </row>
    <row r="3304">
      <c r="A3304" t="str">
        <f>IFERROR(__xludf.DUMMYFUNCTION("""COMPUTED_VALUE"""),"M1Chef")</f>
        <v>M1Chef</v>
      </c>
      <c r="B3304" t="str">
        <f>IFERROR(__xludf.DUMMYFUNCTION("""COMPUTED_VALUE"""),"Richmond")</f>
        <v>Richmond</v>
      </c>
      <c r="C3304" t="str">
        <f>IFERROR(__xludf.DUMMYFUNCTION("""COMPUTED_VALUE"""),"VA")</f>
        <v>VA</v>
      </c>
      <c r="D3304" t="str">
        <f>IFERROR(__xludf.DUMMYFUNCTION("""COMPUTED_VALUE"""),"USA")</f>
        <v>USA</v>
      </c>
      <c r="E3304" s="188">
        <f>IFERROR(__xludf.DUMMYFUNCTION("""COMPUTED_VALUE"""),44376.0)</f>
        <v>44376</v>
      </c>
      <c r="F3304" s="188">
        <f>IFERROR(__xludf.DUMMYFUNCTION("""COMPUTED_VALUE"""),44420.0)</f>
        <v>44420</v>
      </c>
      <c r="G3304" t="str">
        <f>IFERROR(__xludf.DUMMYFUNCTION("""COMPUTED_VALUE"""),"Manage order page (normal text)")</f>
        <v>Manage order page (normal text)</v>
      </c>
      <c r="I3304" t="str">
        <f>IFERROR(__xludf.DUMMYFUNCTION("""COMPUTED_VALUE"""),"08/21")</f>
        <v>08/21</v>
      </c>
      <c r="J3304" s="188">
        <f>IFERROR(__xludf.DUMMYFUNCTION("""COMPUTED_VALUE"""),44434.0)</f>
        <v>44434</v>
      </c>
      <c r="K3304">
        <f>IFERROR(__xludf.DUMMYFUNCTION("""COMPUTED_VALUE"""),44.0)</f>
        <v>44</v>
      </c>
      <c r="L3304">
        <f>IFERROR(__xludf.DUMMYFUNCTION("""COMPUTED_VALUE"""),14.0)</f>
        <v>14</v>
      </c>
      <c r="M3304">
        <f>IFERROR(__xludf.DUMMYFUNCTION("""COMPUTED_VALUE"""),58.0)</f>
        <v>58</v>
      </c>
      <c r="N3304" t="str">
        <f>IFERROR(__xludf.DUMMYFUNCTION("""COMPUTED_VALUE"""),"Model 3 LR AWD")</f>
        <v>Model 3 LR AWD</v>
      </c>
      <c r="O3304" t="str">
        <f>IFERROR(__xludf.DUMMYFUNCTION("""COMPUTED_VALUE"""),"Midnight Silver Metallic")</f>
        <v>Midnight Silver Metallic</v>
      </c>
      <c r="P3304" t="str">
        <f>IFERROR(__xludf.DUMMYFUNCTION("""COMPUTED_VALUE"""),"18 inch")</f>
        <v>18 inch</v>
      </c>
      <c r="Q3304" t="str">
        <f>IFERROR(__xludf.DUMMYFUNCTION("""COMPUTED_VALUE"""),"All Black")</f>
        <v>All Black</v>
      </c>
      <c r="R3304" t="str">
        <f>IFERROR(__xludf.DUMMYFUNCTION("""COMPUTED_VALUE"""),"Full Self-Driving")</f>
        <v>Full Self-Driving</v>
      </c>
      <c r="S3304" t="str">
        <f>IFERROR(__xludf.DUMMYFUNCTION("""COMPUTED_VALUE"""),"Loan")</f>
        <v>Loan</v>
      </c>
      <c r="T3304" t="str">
        <f>IFERROR(__xludf.DUMMYFUNCTION("""COMPUTED_VALUE"""),"Audi a4")</f>
        <v>Audi a4</v>
      </c>
      <c r="V3304" t="str">
        <f>IFERROR(__xludf.DUMMYFUNCTION("""COMPUTED_VALUE"""),"HUD, BSI on mirrors")</f>
        <v>HUD, BSI on mirrors</v>
      </c>
      <c r="X3304" t="str">
        <f>IFERROR(__xludf.DUMMYFUNCTION("""COMPUTED_VALUE"""),"Very Good")</f>
        <v>Very Good</v>
      </c>
      <c r="Y3304" t="str">
        <f>IFERROR(__xludf.DUMMYFUNCTION("""COMPUTED_VALUE"""),"Excellent")</f>
        <v>Excellent</v>
      </c>
      <c r="Z3304" t="str">
        <f>IFERROR(__xludf.DUMMYFUNCTION("""COMPUTED_VALUE"""),"Excellent")</f>
        <v>Excellent</v>
      </c>
      <c r="AA3304" t="str">
        <f>IFERROR(__xludf.DUMMYFUNCTION("""COMPUTED_VALUE"""),"Very Good")</f>
        <v>Very Good</v>
      </c>
      <c r="AB3304" t="str">
        <f>IFERROR(__xludf.DUMMYFUNCTION("""COMPUTED_VALUE"""),"Very Good")</f>
        <v>Very Good</v>
      </c>
      <c r="AC3304">
        <f>IFERROR(__xludf.DUMMYFUNCTION("""COMPUTED_VALUE"""),1.0)</f>
        <v>1</v>
      </c>
      <c r="AD3304">
        <f>IFERROR(__xludf.DUMMYFUNCTION("""COMPUTED_VALUE"""),0.0)</f>
        <v>0</v>
      </c>
      <c r="AF3304" t="str">
        <f>IFERROR(__xludf.DUMMYFUNCTION("""COMPUTED_VALUE"""),"No. I took delivery of the first car Tesla was able to deliver.")</f>
        <v>No. I took delivery of the first car Tesla was able to deliver.</v>
      </c>
      <c r="AH3304" s="189">
        <f>IFERROR(__xludf.DUMMYFUNCTION("""COMPUTED_VALUE"""),44438.87732619213)</f>
        <v>44438.87733</v>
      </c>
    </row>
    <row r="3305">
      <c r="A3305" t="str">
        <f>IFERROR(__xludf.DUMMYFUNCTION("""COMPUTED_VALUE"""),"Not_Sure")</f>
        <v>Not_Sure</v>
      </c>
      <c r="B3305" t="str">
        <f>IFERROR(__xludf.DUMMYFUNCTION("""COMPUTED_VALUE"""),"Fort Myers")</f>
        <v>Fort Myers</v>
      </c>
      <c r="C3305" t="str">
        <f>IFERROR(__xludf.DUMMYFUNCTION("""COMPUTED_VALUE"""),"FL")</f>
        <v>FL</v>
      </c>
      <c r="D3305" t="str">
        <f>IFERROR(__xludf.DUMMYFUNCTION("""COMPUTED_VALUE"""),"USA")</f>
        <v>USA</v>
      </c>
      <c r="E3305" s="188">
        <f>IFERROR(__xludf.DUMMYFUNCTION("""COMPUTED_VALUE"""),44416.0)</f>
        <v>44416</v>
      </c>
      <c r="N3305" t="str">
        <f>IFERROR(__xludf.DUMMYFUNCTION("""COMPUTED_VALUE"""),"Model 3 SR+")</f>
        <v>Model 3 SR+</v>
      </c>
      <c r="O3305" t="str">
        <f>IFERROR(__xludf.DUMMYFUNCTION("""COMPUTED_VALUE"""),"Solid Black")</f>
        <v>Solid Black</v>
      </c>
      <c r="P3305" t="str">
        <f>IFERROR(__xludf.DUMMYFUNCTION("""COMPUTED_VALUE"""),"18 inch")</f>
        <v>18 inch</v>
      </c>
      <c r="Q3305" t="str">
        <f>IFERROR(__xludf.DUMMYFUNCTION("""COMPUTED_VALUE"""),"All Black")</f>
        <v>All Black</v>
      </c>
      <c r="R3305" t="str">
        <f>IFERROR(__xludf.DUMMYFUNCTION("""COMPUTED_VALUE"""),"Autopilot included")</f>
        <v>Autopilot included</v>
      </c>
      <c r="S3305" t="str">
        <f>IFERROR(__xludf.DUMMYFUNCTION("""COMPUTED_VALUE"""),"Loan")</f>
        <v>Loan</v>
      </c>
      <c r="T3305" t="str">
        <f>IFERROR(__xludf.DUMMYFUNCTION("""COMPUTED_VALUE"""),"Audi A4")</f>
        <v>Audi A4</v>
      </c>
      <c r="U3305" t="str">
        <f>IFERROR(__xludf.DUMMYFUNCTION("""COMPUTED_VALUE"""),"Electric!")</f>
        <v>Electric!</v>
      </c>
      <c r="V3305" t="str">
        <f>IFERROR(__xludf.DUMMYFUNCTION("""COMPUTED_VALUE"""),"Ventilated seats")</f>
        <v>Ventilated seats</v>
      </c>
      <c r="AH3305" s="189">
        <f>IFERROR(__xludf.DUMMYFUNCTION("""COMPUTED_VALUE"""),44421.334473449075)</f>
        <v>44421.33447</v>
      </c>
    </row>
    <row r="3306">
      <c r="A3306" t="str">
        <f>IFERROR(__xludf.DUMMYFUNCTION("""COMPUTED_VALUE"""),"DTCJEM")</f>
        <v>DTCJEM</v>
      </c>
      <c r="B3306" t="str">
        <f>IFERROR(__xludf.DUMMYFUNCTION("""COMPUTED_VALUE"""),"Danville")</f>
        <v>Danville</v>
      </c>
      <c r="C3306" t="str">
        <f>IFERROR(__xludf.DUMMYFUNCTION("""COMPUTED_VALUE"""),"NH")</f>
        <v>NH</v>
      </c>
      <c r="D3306" t="str">
        <f>IFERROR(__xludf.DUMMYFUNCTION("""COMPUTED_VALUE"""),"USA")</f>
        <v>USA</v>
      </c>
      <c r="E3306" s="188">
        <f>IFERROR(__xludf.DUMMYFUNCTION("""COMPUTED_VALUE"""),44399.0)</f>
        <v>44399</v>
      </c>
      <c r="F3306" s="188">
        <f>IFERROR(__xludf.DUMMYFUNCTION("""COMPUTED_VALUE"""),44434.0)</f>
        <v>44434</v>
      </c>
      <c r="G3306" t="str">
        <f>IFERROR(__xludf.DUMMYFUNCTION("""COMPUTED_VALUE"""),"Manage order page (normal text)")</f>
        <v>Manage order page (normal text)</v>
      </c>
      <c r="J3306" s="188">
        <f>IFERROR(__xludf.DUMMYFUNCTION("""COMPUTED_VALUE"""),44448.0)</f>
        <v>44448</v>
      </c>
      <c r="K3306">
        <f>IFERROR(__xludf.DUMMYFUNCTION("""COMPUTED_VALUE"""),35.0)</f>
        <v>35</v>
      </c>
      <c r="L3306">
        <f>IFERROR(__xludf.DUMMYFUNCTION("""COMPUTED_VALUE"""),14.0)</f>
        <v>14</v>
      </c>
      <c r="M3306">
        <f>IFERROR(__xludf.DUMMYFUNCTION("""COMPUTED_VALUE"""),49.0)</f>
        <v>49</v>
      </c>
      <c r="N3306" t="str">
        <f>IFERROR(__xludf.DUMMYFUNCTION("""COMPUTED_VALUE"""),"Model 3 LR AWD")</f>
        <v>Model 3 LR AWD</v>
      </c>
      <c r="O3306" t="str">
        <f>IFERROR(__xludf.DUMMYFUNCTION("""COMPUTED_VALUE"""),"Deep Blue Metallic")</f>
        <v>Deep Blue Metallic</v>
      </c>
      <c r="P3306" t="str">
        <f>IFERROR(__xludf.DUMMYFUNCTION("""COMPUTED_VALUE"""),"18 inch")</f>
        <v>18 inch</v>
      </c>
      <c r="Q3306" t="str">
        <f>IFERROR(__xludf.DUMMYFUNCTION("""COMPUTED_VALUE"""),"All Black")</f>
        <v>All Black</v>
      </c>
      <c r="R3306" t="str">
        <f>IFERROR(__xludf.DUMMYFUNCTION("""COMPUTED_VALUE"""),"Autopilot included")</f>
        <v>Autopilot included</v>
      </c>
      <c r="S3306" t="str">
        <f>IFERROR(__xludf.DUMMYFUNCTION("""COMPUTED_VALUE"""),"Loan")</f>
        <v>Loan</v>
      </c>
      <c r="T3306" t="str">
        <f>IFERROR(__xludf.DUMMYFUNCTION("""COMPUTED_VALUE"""),"Toyota Tacoma 2WD")</f>
        <v>Toyota Tacoma 2WD</v>
      </c>
      <c r="U3306" t="str">
        <f>IFERROR(__xludf.DUMMYFUNCTION("""COMPUTED_VALUE"""),"Electric!")</f>
        <v>Electric!</v>
      </c>
      <c r="V3306" t="str">
        <f>IFERROR(__xludf.DUMMYFUNCTION("""COMPUTED_VALUE"""),"Apple CarPlay / Android Auto / SiriusXM Radio")</f>
        <v>Apple CarPlay / Android Auto / SiriusXM Radio</v>
      </c>
      <c r="AH3306" s="189">
        <f>IFERROR(__xludf.DUMMYFUNCTION("""COMPUTED_VALUE"""),44440.46869155092)</f>
        <v>44440.46869</v>
      </c>
    </row>
    <row r="3307">
      <c r="A3307" t="str">
        <f>IFERROR(__xludf.DUMMYFUNCTION("""COMPUTED_VALUE"""),"frostm3")</f>
        <v>frostm3</v>
      </c>
      <c r="B3307" t="str">
        <f>IFERROR(__xludf.DUMMYFUNCTION("""COMPUTED_VALUE"""),"Austin")</f>
        <v>Austin</v>
      </c>
      <c r="C3307" t="str">
        <f>IFERROR(__xludf.DUMMYFUNCTION("""COMPUTED_VALUE"""),"TX")</f>
        <v>TX</v>
      </c>
      <c r="D3307" t="str">
        <f>IFERROR(__xludf.DUMMYFUNCTION("""COMPUTED_VALUE"""),"USA")</f>
        <v>USA</v>
      </c>
      <c r="E3307" s="188">
        <f>IFERROR(__xludf.DUMMYFUNCTION("""COMPUTED_VALUE"""),44343.0)</f>
        <v>44343</v>
      </c>
      <c r="F3307" s="188">
        <f>IFERROR(__xludf.DUMMYFUNCTION("""COMPUTED_VALUE"""),44421.0)</f>
        <v>44421</v>
      </c>
      <c r="G3307" t="str">
        <f>IFERROR(__xludf.DUMMYFUNCTION("""COMPUTED_VALUE"""),"Manage order page (normal text)")</f>
        <v>Manage order page (normal text)</v>
      </c>
      <c r="J3307" s="188">
        <f>IFERROR(__xludf.DUMMYFUNCTION("""COMPUTED_VALUE"""),44436.0)</f>
        <v>44436</v>
      </c>
      <c r="K3307">
        <f>IFERROR(__xludf.DUMMYFUNCTION("""COMPUTED_VALUE"""),78.0)</f>
        <v>78</v>
      </c>
      <c r="L3307">
        <f>IFERROR(__xludf.DUMMYFUNCTION("""COMPUTED_VALUE"""),15.0)</f>
        <v>15</v>
      </c>
      <c r="M3307">
        <f>IFERROR(__xludf.DUMMYFUNCTION("""COMPUTED_VALUE"""),93.0)</f>
        <v>93</v>
      </c>
      <c r="N3307" t="str">
        <f>IFERROR(__xludf.DUMMYFUNCTION("""COMPUTED_VALUE"""),"Model 3 LR AWD")</f>
        <v>Model 3 LR AWD</v>
      </c>
      <c r="O3307" t="str">
        <f>IFERROR(__xludf.DUMMYFUNCTION("""COMPUTED_VALUE"""),"Pearl White Multi-Coat")</f>
        <v>Pearl White Multi-Coat</v>
      </c>
      <c r="P3307" t="str">
        <f>IFERROR(__xludf.DUMMYFUNCTION("""COMPUTED_VALUE"""),"18 inch")</f>
        <v>18 inch</v>
      </c>
      <c r="Q3307" t="str">
        <f>IFERROR(__xludf.DUMMYFUNCTION("""COMPUTED_VALUE"""),"Black and White")</f>
        <v>Black and White</v>
      </c>
      <c r="R3307" t="str">
        <f>IFERROR(__xludf.DUMMYFUNCTION("""COMPUTED_VALUE"""),"Autopilot included")</f>
        <v>Autopilot included</v>
      </c>
      <c r="S3307" t="str">
        <f>IFERROR(__xludf.DUMMYFUNCTION("""COMPUTED_VALUE"""),"Loan")</f>
        <v>Loan</v>
      </c>
      <c r="T3307" t="str">
        <f>IFERROR(__xludf.DUMMYFUNCTION("""COMPUTED_VALUE"""),"Audi S4")</f>
        <v>Audi S4</v>
      </c>
      <c r="U3307" t="str">
        <f>IFERROR(__xludf.DUMMYFUNCTION("""COMPUTED_VALUE"""),"Electric!")</f>
        <v>Electric!</v>
      </c>
      <c r="V3307" t="str">
        <f>IFERROR(__xludf.DUMMYFUNCTION("""COMPUTED_VALUE"""),"Head-up display")</f>
        <v>Head-up display</v>
      </c>
      <c r="AH3307" s="189">
        <f>IFERROR(__xludf.DUMMYFUNCTION("""COMPUTED_VALUE"""),44421.40215891204)</f>
        <v>44421.40216</v>
      </c>
    </row>
    <row r="3308">
      <c r="A3308" t="str">
        <f>IFERROR(__xludf.DUMMYFUNCTION("""COMPUTED_VALUE"""),"M3 Fan")</f>
        <v>M3 Fan</v>
      </c>
      <c r="C3308" t="str">
        <f>IFERROR(__xludf.DUMMYFUNCTION("""COMPUTED_VALUE"""),"MI")</f>
        <v>MI</v>
      </c>
      <c r="D3308" t="str">
        <f>IFERROR(__xludf.DUMMYFUNCTION("""COMPUTED_VALUE"""),"USA")</f>
        <v>USA</v>
      </c>
      <c r="E3308" s="188">
        <f>IFERROR(__xludf.DUMMYFUNCTION("""COMPUTED_VALUE"""),44389.0)</f>
        <v>44389</v>
      </c>
      <c r="F3308" s="188">
        <f>IFERROR(__xludf.DUMMYFUNCTION("""COMPUTED_VALUE"""),44434.0)</f>
        <v>44434</v>
      </c>
      <c r="G3308" t="str">
        <f>IFERROR(__xludf.DUMMYFUNCTION("""COMPUTED_VALUE"""),"Email")</f>
        <v>Email</v>
      </c>
      <c r="I3308" t="str">
        <f>IFERROR(__xludf.DUMMYFUNCTION("""COMPUTED_VALUE"""),"08/21")</f>
        <v>08/21</v>
      </c>
      <c r="J3308" s="188">
        <f>IFERROR(__xludf.DUMMYFUNCTION("""COMPUTED_VALUE"""),44447.0)</f>
        <v>44447</v>
      </c>
      <c r="K3308">
        <f>IFERROR(__xludf.DUMMYFUNCTION("""COMPUTED_VALUE"""),45.0)</f>
        <v>45</v>
      </c>
      <c r="L3308">
        <f>IFERROR(__xludf.DUMMYFUNCTION("""COMPUTED_VALUE"""),13.0)</f>
        <v>13</v>
      </c>
      <c r="M3308">
        <f>IFERROR(__xludf.DUMMYFUNCTION("""COMPUTED_VALUE"""),58.0)</f>
        <v>58</v>
      </c>
      <c r="N3308" t="str">
        <f>IFERROR(__xludf.DUMMYFUNCTION("""COMPUTED_VALUE"""),"Model 3 LR AWD")</f>
        <v>Model 3 LR AWD</v>
      </c>
      <c r="O3308" t="str">
        <f>IFERROR(__xludf.DUMMYFUNCTION("""COMPUTED_VALUE"""),"Pearl White Multi-Coat")</f>
        <v>Pearl White Multi-Coat</v>
      </c>
      <c r="P3308" t="str">
        <f>IFERROR(__xludf.DUMMYFUNCTION("""COMPUTED_VALUE"""),"18 inch")</f>
        <v>18 inch</v>
      </c>
      <c r="Q3308" t="str">
        <f>IFERROR(__xludf.DUMMYFUNCTION("""COMPUTED_VALUE"""),"All Black")</f>
        <v>All Black</v>
      </c>
      <c r="R3308" t="str">
        <f>IFERROR(__xludf.DUMMYFUNCTION("""COMPUTED_VALUE"""),"Autopilot included")</f>
        <v>Autopilot included</v>
      </c>
      <c r="S3308" t="str">
        <f>IFERROR(__xludf.DUMMYFUNCTION("""COMPUTED_VALUE"""),"Loan")</f>
        <v>Loan</v>
      </c>
      <c r="T3308" t="str">
        <f>IFERROR(__xludf.DUMMYFUNCTION("""COMPUTED_VALUE"""),"Ford Hybrid")</f>
        <v>Ford Hybrid</v>
      </c>
      <c r="U3308" t="str">
        <f>IFERROR(__xludf.DUMMYFUNCTION("""COMPUTED_VALUE"""),"Electric!")</f>
        <v>Electric!</v>
      </c>
      <c r="V3308" t="str">
        <f>IFERROR(__xludf.DUMMYFUNCTION("""COMPUTED_VALUE"""),"Head-up display")</f>
        <v>Head-up display</v>
      </c>
      <c r="X3308" t="str">
        <f>IFERROR(__xludf.DUMMYFUNCTION("""COMPUTED_VALUE"""),"Excellent")</f>
        <v>Excellent</v>
      </c>
      <c r="Y3308" t="str">
        <f>IFERROR(__xludf.DUMMYFUNCTION("""COMPUTED_VALUE"""),"Excellent")</f>
        <v>Excellent</v>
      </c>
      <c r="Z3308" t="str">
        <f>IFERROR(__xludf.DUMMYFUNCTION("""COMPUTED_VALUE"""),"Excellent")</f>
        <v>Excellent</v>
      </c>
      <c r="AA3308" t="str">
        <f>IFERROR(__xludf.DUMMYFUNCTION("""COMPUTED_VALUE"""),"Excellent")</f>
        <v>Excellent</v>
      </c>
      <c r="AB3308" t="str">
        <f>IFERROR(__xludf.DUMMYFUNCTION("""COMPUTED_VALUE"""),"Excellent")</f>
        <v>Excellent</v>
      </c>
      <c r="AC3308">
        <f>IFERROR(__xludf.DUMMYFUNCTION("""COMPUTED_VALUE"""),0.0)</f>
        <v>0</v>
      </c>
      <c r="AF3308" t="str">
        <f>IFERROR(__xludf.DUMMYFUNCTION("""COMPUTED_VALUE"""),"No. I took delivery of the first car Tesla was able to deliver.")</f>
        <v>No. I took delivery of the first car Tesla was able to deliver.</v>
      </c>
      <c r="AH3308" s="189">
        <f>IFERROR(__xludf.DUMMYFUNCTION("""COMPUTED_VALUE"""),44451.533200624996)</f>
        <v>44451.5332</v>
      </c>
    </row>
    <row r="3309">
      <c r="A3309" t="str">
        <f>IFERROR(__xludf.DUMMYFUNCTION("""COMPUTED_VALUE"""),"Realcooper")</f>
        <v>Realcooper</v>
      </c>
      <c r="B3309" t="str">
        <f>IFERROR(__xludf.DUMMYFUNCTION("""COMPUTED_VALUE"""),"Ashburn")</f>
        <v>Ashburn</v>
      </c>
      <c r="C3309" t="str">
        <f>IFERROR(__xludf.DUMMYFUNCTION("""COMPUTED_VALUE"""),"VA")</f>
        <v>VA</v>
      </c>
      <c r="D3309" t="str">
        <f>IFERROR(__xludf.DUMMYFUNCTION("""COMPUTED_VALUE"""),"USA")</f>
        <v>USA</v>
      </c>
      <c r="E3309" s="188">
        <f>IFERROR(__xludf.DUMMYFUNCTION("""COMPUTED_VALUE"""),44377.0)</f>
        <v>44377</v>
      </c>
      <c r="F3309" s="188">
        <f>IFERROR(__xludf.DUMMYFUNCTION("""COMPUTED_VALUE"""),44490.0)</f>
        <v>44490</v>
      </c>
      <c r="H3309">
        <f>IFERROR(__xludf.DUMMYFUNCTION("""COMPUTED_VALUE"""),93195.0)</f>
        <v>93195</v>
      </c>
      <c r="K3309">
        <f>IFERROR(__xludf.DUMMYFUNCTION("""COMPUTED_VALUE"""),113.0)</f>
        <v>113</v>
      </c>
      <c r="N3309" t="str">
        <f>IFERROR(__xludf.DUMMYFUNCTION("""COMPUTED_VALUE"""),"Model 3 SR+")</f>
        <v>Model 3 SR+</v>
      </c>
      <c r="O3309" t="str">
        <f>IFERROR(__xludf.DUMMYFUNCTION("""COMPUTED_VALUE"""),"Pearl White Multi-Coat")</f>
        <v>Pearl White Multi-Coat</v>
      </c>
      <c r="P3309" t="str">
        <f>IFERROR(__xludf.DUMMYFUNCTION("""COMPUTED_VALUE"""),"18 inch")</f>
        <v>18 inch</v>
      </c>
      <c r="Q3309" t="str">
        <f>IFERROR(__xludf.DUMMYFUNCTION("""COMPUTED_VALUE"""),"Black and White")</f>
        <v>Black and White</v>
      </c>
      <c r="R3309" t="str">
        <f>IFERROR(__xludf.DUMMYFUNCTION("""COMPUTED_VALUE"""),"Autopilot included")</f>
        <v>Autopilot included</v>
      </c>
      <c r="S3309" t="str">
        <f>IFERROR(__xludf.DUMMYFUNCTION("""COMPUTED_VALUE"""),"Loan")</f>
        <v>Loan</v>
      </c>
      <c r="T3309" t="str">
        <f>IFERROR(__xludf.DUMMYFUNCTION("""COMPUTED_VALUE"""),"Acura MDX")</f>
        <v>Acura MDX</v>
      </c>
      <c r="U3309" t="str">
        <f>IFERROR(__xludf.DUMMYFUNCTION("""COMPUTED_VALUE"""),"Electric!")</f>
        <v>Electric!</v>
      </c>
      <c r="V3309" t="str">
        <f>IFERROR(__xludf.DUMMYFUNCTION("""COMPUTED_VALUE"""),"Apple CarPlay / Android Auto / SiriusXM Radio")</f>
        <v>Apple CarPlay / Android Auto / SiriusXM Radio</v>
      </c>
      <c r="AH3309" s="189">
        <f>IFERROR(__xludf.DUMMYFUNCTION("""COMPUTED_VALUE"""),44490.743527893515)</f>
        <v>44490.74353</v>
      </c>
    </row>
    <row r="3310">
      <c r="A3310" t="str">
        <f>IFERROR(__xludf.DUMMYFUNCTION("""COMPUTED_VALUE"""),"chrsgerhart")</f>
        <v>chrsgerhart</v>
      </c>
      <c r="B3310" t="str">
        <f>IFERROR(__xludf.DUMMYFUNCTION("""COMPUTED_VALUE"""),"Andalusia")</f>
        <v>Andalusia</v>
      </c>
      <c r="C3310" t="str">
        <f>IFERROR(__xludf.DUMMYFUNCTION("""COMPUTED_VALUE"""),"AL")</f>
        <v>AL</v>
      </c>
      <c r="D3310" t="str">
        <f>IFERROR(__xludf.DUMMYFUNCTION("""COMPUTED_VALUE"""),"USA")</f>
        <v>USA</v>
      </c>
      <c r="E3310" s="188">
        <f>IFERROR(__xludf.DUMMYFUNCTION("""COMPUTED_VALUE"""),44422.0)</f>
        <v>44422</v>
      </c>
      <c r="F3310" s="188">
        <f>IFERROR(__xludf.DUMMYFUNCTION("""COMPUTED_VALUE"""),44425.0)</f>
        <v>44425</v>
      </c>
      <c r="G3310" t="str">
        <f>IFERROR(__xludf.DUMMYFUNCTION("""COMPUTED_VALUE"""),"Manage order page (normal text)")</f>
        <v>Manage order page (normal text)</v>
      </c>
      <c r="H3310">
        <f>IFERROR(__xludf.DUMMYFUNCTION("""COMPUTED_VALUE"""),44247.0)</f>
        <v>44247</v>
      </c>
      <c r="J3310" s="188">
        <f>IFERROR(__xludf.DUMMYFUNCTION("""COMPUTED_VALUE"""),44445.0)</f>
        <v>44445</v>
      </c>
      <c r="K3310">
        <f>IFERROR(__xludf.DUMMYFUNCTION("""COMPUTED_VALUE"""),3.0)</f>
        <v>3</v>
      </c>
      <c r="L3310">
        <f>IFERROR(__xludf.DUMMYFUNCTION("""COMPUTED_VALUE"""),20.0)</f>
        <v>20</v>
      </c>
      <c r="M3310">
        <f>IFERROR(__xludf.DUMMYFUNCTION("""COMPUTED_VALUE"""),23.0)</f>
        <v>23</v>
      </c>
      <c r="N3310" t="str">
        <f>IFERROR(__xludf.DUMMYFUNCTION("""COMPUTED_VALUE"""),"Model 3 Performance")</f>
        <v>Model 3 Performance</v>
      </c>
      <c r="O3310" t="str">
        <f>IFERROR(__xludf.DUMMYFUNCTION("""COMPUTED_VALUE"""),"Deep Blue Metallic")</f>
        <v>Deep Blue Metallic</v>
      </c>
      <c r="P3310" t="str">
        <f>IFERROR(__xludf.DUMMYFUNCTION("""COMPUTED_VALUE"""),"20 inch")</f>
        <v>20 inch</v>
      </c>
      <c r="Q3310" t="str">
        <f>IFERROR(__xludf.DUMMYFUNCTION("""COMPUTED_VALUE"""),"Black and White")</f>
        <v>Black and White</v>
      </c>
      <c r="R3310" t="str">
        <f>IFERROR(__xludf.DUMMYFUNCTION("""COMPUTED_VALUE"""),"Autopilot included")</f>
        <v>Autopilot included</v>
      </c>
      <c r="S3310" t="str">
        <f>IFERROR(__xludf.DUMMYFUNCTION("""COMPUTED_VALUE"""),"Loan")</f>
        <v>Loan</v>
      </c>
      <c r="T3310" t="str">
        <f>IFERROR(__xludf.DUMMYFUNCTION("""COMPUTED_VALUE"""),"Chevrolet Camaro")</f>
        <v>Chevrolet Camaro</v>
      </c>
      <c r="U3310" t="str">
        <f>IFERROR(__xludf.DUMMYFUNCTION("""COMPUTED_VALUE"""),"Electric!")</f>
        <v>Electric!</v>
      </c>
      <c r="V3310" t="str">
        <f>IFERROR(__xludf.DUMMYFUNCTION("""COMPUTED_VALUE"""),"Blind spot indicators on side mirrors")</f>
        <v>Blind spot indicators on side mirrors</v>
      </c>
      <c r="AH3310" s="189">
        <f>IFERROR(__xludf.DUMMYFUNCTION("""COMPUTED_VALUE"""),44433.39635809028)</f>
        <v>44433.39636</v>
      </c>
    </row>
    <row r="3311">
      <c r="A3311" t="str">
        <f>IFERROR(__xludf.DUMMYFUNCTION("""COMPUTED_VALUE"""),"Rayho804")</f>
        <v>Rayho804</v>
      </c>
      <c r="B3311" t="str">
        <f>IFERROR(__xludf.DUMMYFUNCTION("""COMPUTED_VALUE"""),"Pleasanton")</f>
        <v>Pleasanton</v>
      </c>
      <c r="C3311" t="str">
        <f>IFERROR(__xludf.DUMMYFUNCTION("""COMPUTED_VALUE"""),"CA")</f>
        <v>CA</v>
      </c>
      <c r="D3311" t="str">
        <f>IFERROR(__xludf.DUMMYFUNCTION("""COMPUTED_VALUE"""),"USA")</f>
        <v>USA</v>
      </c>
      <c r="E3311" s="188">
        <f>IFERROR(__xludf.DUMMYFUNCTION("""COMPUTED_VALUE"""),44383.0)</f>
        <v>44383</v>
      </c>
      <c r="F3311" s="188">
        <f>IFERROR(__xludf.DUMMYFUNCTION("""COMPUTED_VALUE"""),44439.0)</f>
        <v>44439</v>
      </c>
      <c r="G3311" t="str">
        <f>IFERROR(__xludf.DUMMYFUNCTION("""COMPUTED_VALUE"""),"Manage order page (normal text)")</f>
        <v>Manage order page (normal text)</v>
      </c>
      <c r="H3311">
        <f>IFERROR(__xludf.DUMMYFUNCTION("""COMPUTED_VALUE"""),54355.0)</f>
        <v>54355</v>
      </c>
      <c r="K3311">
        <f>IFERROR(__xludf.DUMMYFUNCTION("""COMPUTED_VALUE"""),56.0)</f>
        <v>56</v>
      </c>
      <c r="N3311" t="str">
        <f>IFERROR(__xludf.DUMMYFUNCTION("""COMPUTED_VALUE"""),"Model 3 LR AWD")</f>
        <v>Model 3 LR AWD</v>
      </c>
      <c r="O3311" t="str">
        <f>IFERROR(__xludf.DUMMYFUNCTION("""COMPUTED_VALUE"""),"Midnight Silver Metallic")</f>
        <v>Midnight Silver Metallic</v>
      </c>
      <c r="P3311" t="str">
        <f>IFERROR(__xludf.DUMMYFUNCTION("""COMPUTED_VALUE"""),"19 inch")</f>
        <v>19 inch</v>
      </c>
      <c r="Q3311" t="str">
        <f>IFERROR(__xludf.DUMMYFUNCTION("""COMPUTED_VALUE"""),"All Black")</f>
        <v>All Black</v>
      </c>
      <c r="R3311" t="str">
        <f>IFERROR(__xludf.DUMMYFUNCTION("""COMPUTED_VALUE"""),"Autopilot included")</f>
        <v>Autopilot included</v>
      </c>
      <c r="S3311" t="str">
        <f>IFERROR(__xludf.DUMMYFUNCTION("""COMPUTED_VALUE"""),"Loan")</f>
        <v>Loan</v>
      </c>
      <c r="T3311" t="str">
        <f>IFERROR(__xludf.DUMMYFUNCTION("""COMPUTED_VALUE"""),"Honda Civic")</f>
        <v>Honda Civic</v>
      </c>
      <c r="U3311" t="str">
        <f>IFERROR(__xludf.DUMMYFUNCTION("""COMPUTED_VALUE"""),"Electric!")</f>
        <v>Electric!</v>
      </c>
      <c r="V3311" t="str">
        <f>IFERROR(__xludf.DUMMYFUNCTION("""COMPUTED_VALUE"""),"Head-up display")</f>
        <v>Head-up display</v>
      </c>
      <c r="W3311" t="str">
        <f>IFERROR(__xludf.DUMMYFUNCTION("""COMPUTED_VALUE"""),"Be patience ")</f>
        <v>Be patience </v>
      </c>
      <c r="AH3311" s="189">
        <f>IFERROR(__xludf.DUMMYFUNCTION("""COMPUTED_VALUE"""),44439.85331556713)</f>
        <v>44439.85332</v>
      </c>
    </row>
    <row r="3312">
      <c r="A3312" t="str">
        <f>IFERROR(__xludf.DUMMYFUNCTION("""COMPUTED_VALUE"""),"kilmanjaro")</f>
        <v>kilmanjaro</v>
      </c>
      <c r="C3312" t="str">
        <f>IFERROR(__xludf.DUMMYFUNCTION("""COMPUTED_VALUE"""),"OK")</f>
        <v>OK</v>
      </c>
      <c r="D3312" t="str">
        <f>IFERROR(__xludf.DUMMYFUNCTION("""COMPUTED_VALUE"""),"USA")</f>
        <v>USA</v>
      </c>
      <c r="E3312" s="188">
        <f>IFERROR(__xludf.DUMMYFUNCTION("""COMPUTED_VALUE"""),44417.0)</f>
        <v>44417</v>
      </c>
      <c r="N3312" t="str">
        <f>IFERROR(__xludf.DUMMYFUNCTION("""COMPUTED_VALUE"""),"Model 3 LR AWD")</f>
        <v>Model 3 LR AWD</v>
      </c>
      <c r="O3312" t="str">
        <f>IFERROR(__xludf.DUMMYFUNCTION("""COMPUTED_VALUE"""),"Deep Blue Metallic")</f>
        <v>Deep Blue Metallic</v>
      </c>
      <c r="P3312" t="str">
        <f>IFERROR(__xludf.DUMMYFUNCTION("""COMPUTED_VALUE"""),"18 inch")</f>
        <v>18 inch</v>
      </c>
      <c r="Q3312" t="str">
        <f>IFERROR(__xludf.DUMMYFUNCTION("""COMPUTED_VALUE"""),"All Black")</f>
        <v>All Black</v>
      </c>
      <c r="R3312" t="str">
        <f>IFERROR(__xludf.DUMMYFUNCTION("""COMPUTED_VALUE"""),"Autopilot included")</f>
        <v>Autopilot included</v>
      </c>
      <c r="S3312" t="str">
        <f>IFERROR(__xludf.DUMMYFUNCTION("""COMPUTED_VALUE"""),"Loan")</f>
        <v>Loan</v>
      </c>
      <c r="T3312" t="str">
        <f>IFERROR(__xludf.DUMMYFUNCTION("""COMPUTED_VALUE"""),"Lexus IS 350")</f>
        <v>Lexus IS 350</v>
      </c>
      <c r="U3312" t="str">
        <f>IFERROR(__xludf.DUMMYFUNCTION("""COMPUTED_VALUE"""),"Electric!")</f>
        <v>Electric!</v>
      </c>
      <c r="V3312" t="str">
        <f>IFERROR(__xludf.DUMMYFUNCTION("""COMPUTED_VALUE"""),"Head-up display")</f>
        <v>Head-up display</v>
      </c>
      <c r="AH3312" s="189">
        <f>IFERROR(__xludf.DUMMYFUNCTION("""COMPUTED_VALUE"""),44421.6154605787)</f>
        <v>44421.61546</v>
      </c>
    </row>
    <row r="3313">
      <c r="A3313" t="str">
        <f>IFERROR(__xludf.DUMMYFUNCTION("""COMPUTED_VALUE"""),"alanrob")</f>
        <v>alanrob</v>
      </c>
      <c r="B3313" t="str">
        <f>IFERROR(__xludf.DUMMYFUNCTION("""COMPUTED_VALUE"""),"Phoenix")</f>
        <v>Phoenix</v>
      </c>
      <c r="C3313" t="str">
        <f>IFERROR(__xludf.DUMMYFUNCTION("""COMPUTED_VALUE"""),"AZ")</f>
        <v>AZ</v>
      </c>
      <c r="D3313" t="str">
        <f>IFERROR(__xludf.DUMMYFUNCTION("""COMPUTED_VALUE"""),"USA")</f>
        <v>USA</v>
      </c>
      <c r="E3313" s="188">
        <f>IFERROR(__xludf.DUMMYFUNCTION("""COMPUTED_VALUE"""),44375.0)</f>
        <v>44375</v>
      </c>
      <c r="F3313" s="188">
        <f>IFERROR(__xludf.DUMMYFUNCTION("""COMPUTED_VALUE"""),44400.0)</f>
        <v>44400</v>
      </c>
      <c r="G3313" t="str">
        <f>IFERROR(__xludf.DUMMYFUNCTION("""COMPUTED_VALUE"""),"Email")</f>
        <v>Email</v>
      </c>
      <c r="H3313">
        <f>IFERROR(__xludf.DUMMYFUNCTION("""COMPUTED_VALUE"""),24365.0)</f>
        <v>24365</v>
      </c>
      <c r="I3313" t="str">
        <f>IFERROR(__xludf.DUMMYFUNCTION("""COMPUTED_VALUE"""),"07/21")</f>
        <v>07/21</v>
      </c>
      <c r="J3313" s="188">
        <f>IFERROR(__xludf.DUMMYFUNCTION("""COMPUTED_VALUE"""),44402.0)</f>
        <v>44402</v>
      </c>
      <c r="K3313">
        <f>IFERROR(__xludf.DUMMYFUNCTION("""COMPUTED_VALUE"""),25.0)</f>
        <v>25</v>
      </c>
      <c r="L3313">
        <f>IFERROR(__xludf.DUMMYFUNCTION("""COMPUTED_VALUE"""),2.0)</f>
        <v>2</v>
      </c>
      <c r="M3313">
        <f>IFERROR(__xludf.DUMMYFUNCTION("""COMPUTED_VALUE"""),27.0)</f>
        <v>27</v>
      </c>
      <c r="N3313" t="str">
        <f>IFERROR(__xludf.DUMMYFUNCTION("""COMPUTED_VALUE"""),"Model 3 SR+")</f>
        <v>Model 3 SR+</v>
      </c>
      <c r="O3313" t="str">
        <f>IFERROR(__xludf.DUMMYFUNCTION("""COMPUTED_VALUE"""),"Midnight Silver Metallic")</f>
        <v>Midnight Silver Metallic</v>
      </c>
      <c r="P3313" t="str">
        <f>IFERROR(__xludf.DUMMYFUNCTION("""COMPUTED_VALUE"""),"18 inch")</f>
        <v>18 inch</v>
      </c>
      <c r="Q3313" t="str">
        <f>IFERROR(__xludf.DUMMYFUNCTION("""COMPUTED_VALUE"""),"Black and White")</f>
        <v>Black and White</v>
      </c>
      <c r="R3313" t="str">
        <f>IFERROR(__xludf.DUMMYFUNCTION("""COMPUTED_VALUE"""),"Autopilot included")</f>
        <v>Autopilot included</v>
      </c>
      <c r="S3313" t="str">
        <f>IFERROR(__xludf.DUMMYFUNCTION("""COMPUTED_VALUE"""),"Loan")</f>
        <v>Loan</v>
      </c>
      <c r="T3313" t="str">
        <f>IFERROR(__xludf.DUMMYFUNCTION("""COMPUTED_VALUE"""),"Lexus RX350")</f>
        <v>Lexus RX350</v>
      </c>
      <c r="U3313" t="str">
        <f>IFERROR(__xludf.DUMMYFUNCTION("""COMPUTED_VALUE"""),"Electric!")</f>
        <v>Electric!</v>
      </c>
      <c r="V3313" t="str">
        <f>IFERROR(__xludf.DUMMYFUNCTION("""COMPUTED_VALUE"""),"Blind spot indicators on side mirrors")</f>
        <v>Blind spot indicators on side mirrors</v>
      </c>
      <c r="X3313" t="str">
        <f>IFERROR(__xludf.DUMMYFUNCTION("""COMPUTED_VALUE"""),"Excellent")</f>
        <v>Excellent</v>
      </c>
      <c r="Y3313" t="str">
        <f>IFERROR(__xludf.DUMMYFUNCTION("""COMPUTED_VALUE"""),"Excellent")</f>
        <v>Excellent</v>
      </c>
      <c r="Z3313" t="str">
        <f>IFERROR(__xludf.DUMMYFUNCTION("""COMPUTED_VALUE"""),"Excellent")</f>
        <v>Excellent</v>
      </c>
      <c r="AA3313" t="str">
        <f>IFERROR(__xludf.DUMMYFUNCTION("""COMPUTED_VALUE"""),"Excellent")</f>
        <v>Excellent</v>
      </c>
      <c r="AB3313" t="str">
        <f>IFERROR(__xludf.DUMMYFUNCTION("""COMPUTED_VALUE"""),"Excellent")</f>
        <v>Excellent</v>
      </c>
      <c r="AC3313">
        <f>IFERROR(__xludf.DUMMYFUNCTION("""COMPUTED_VALUE"""),0.0)</f>
        <v>0</v>
      </c>
      <c r="AD3313">
        <f>IFERROR(__xludf.DUMMYFUNCTION("""COMPUTED_VALUE"""),0.0)</f>
        <v>0</v>
      </c>
      <c r="AE3313">
        <f>IFERROR(__xludf.DUMMYFUNCTION("""COMPUTED_VALUE"""),0.0)</f>
        <v>0</v>
      </c>
      <c r="AF3313" t="str">
        <f>IFERROR(__xludf.DUMMYFUNCTION("""COMPUTED_VALUE"""),"No. I took delivery of the first car Tesla was able to deliver.")</f>
        <v>No. I took delivery of the first car Tesla was able to deliver.</v>
      </c>
      <c r="AH3313" s="189">
        <f>IFERROR(__xludf.DUMMYFUNCTION("""COMPUTED_VALUE"""),44421.62892847222)</f>
        <v>44421.62893</v>
      </c>
    </row>
    <row r="3314">
      <c r="A3314" t="str">
        <f>IFERROR(__xludf.DUMMYFUNCTION("""COMPUTED_VALUE"""),"anthonymdfw")</f>
        <v>anthonymdfw</v>
      </c>
      <c r="C3314" t="str">
        <f>IFERROR(__xludf.DUMMYFUNCTION("""COMPUTED_VALUE"""),"TX")</f>
        <v>TX</v>
      </c>
      <c r="D3314" t="str">
        <f>IFERROR(__xludf.DUMMYFUNCTION("""COMPUTED_VALUE"""),"USA")</f>
        <v>USA</v>
      </c>
      <c r="E3314" s="188">
        <f>IFERROR(__xludf.DUMMYFUNCTION("""COMPUTED_VALUE"""),44352.0)</f>
        <v>44352</v>
      </c>
      <c r="F3314" s="188">
        <f>IFERROR(__xludf.DUMMYFUNCTION("""COMPUTED_VALUE"""),44407.0)</f>
        <v>44407</v>
      </c>
      <c r="G3314" t="str">
        <f>IFERROR(__xludf.DUMMYFUNCTION("""COMPUTED_VALUE"""),"Email")</f>
        <v>Email</v>
      </c>
      <c r="J3314" s="188">
        <f>IFERROR(__xludf.DUMMYFUNCTION("""COMPUTED_VALUE"""),44420.0)</f>
        <v>44420</v>
      </c>
      <c r="K3314">
        <f>IFERROR(__xludf.DUMMYFUNCTION("""COMPUTED_VALUE"""),55.0)</f>
        <v>55</v>
      </c>
      <c r="L3314">
        <f>IFERROR(__xludf.DUMMYFUNCTION("""COMPUTED_VALUE"""),13.0)</f>
        <v>13</v>
      </c>
      <c r="M3314">
        <f>IFERROR(__xludf.DUMMYFUNCTION("""COMPUTED_VALUE"""),68.0)</f>
        <v>68</v>
      </c>
      <c r="N3314" t="str">
        <f>IFERROR(__xludf.DUMMYFUNCTION("""COMPUTED_VALUE"""),"Model 3 SR+")</f>
        <v>Model 3 SR+</v>
      </c>
      <c r="O3314" t="str">
        <f>IFERROR(__xludf.DUMMYFUNCTION("""COMPUTED_VALUE"""),"Red Multi-Coat")</f>
        <v>Red Multi-Coat</v>
      </c>
      <c r="P3314" t="str">
        <f>IFERROR(__xludf.DUMMYFUNCTION("""COMPUTED_VALUE"""),"18 inch")</f>
        <v>18 inch</v>
      </c>
      <c r="Q3314" t="str">
        <f>IFERROR(__xludf.DUMMYFUNCTION("""COMPUTED_VALUE"""),"All Black")</f>
        <v>All Black</v>
      </c>
      <c r="R3314" t="str">
        <f>IFERROR(__xludf.DUMMYFUNCTION("""COMPUTED_VALUE"""),"Autopilot included")</f>
        <v>Autopilot included</v>
      </c>
      <c r="S3314" t="str">
        <f>IFERROR(__xludf.DUMMYFUNCTION("""COMPUTED_VALUE"""),"Loan")</f>
        <v>Loan</v>
      </c>
      <c r="T3314" t="str">
        <f>IFERROR(__xludf.DUMMYFUNCTION("""COMPUTED_VALUE"""),"Tahoe")</f>
        <v>Tahoe</v>
      </c>
      <c r="U3314" t="str">
        <f>IFERROR(__xludf.DUMMYFUNCTION("""COMPUTED_VALUE"""),"Electric!")</f>
        <v>Electric!</v>
      </c>
      <c r="V3314" t="str">
        <f>IFERROR(__xludf.DUMMYFUNCTION("""COMPUTED_VALUE"""),"Apple CarPlay / Android Auto / SiriusXM Radio")</f>
        <v>Apple CarPlay / Android Auto / SiriusXM Radio</v>
      </c>
      <c r="X3314" t="str">
        <f>IFERROR(__xludf.DUMMYFUNCTION("""COMPUTED_VALUE"""),"Excellent")</f>
        <v>Excellent</v>
      </c>
      <c r="Y3314" t="str">
        <f>IFERROR(__xludf.DUMMYFUNCTION("""COMPUTED_VALUE"""),"Excellent")</f>
        <v>Excellent</v>
      </c>
      <c r="Z3314" t="str">
        <f>IFERROR(__xludf.DUMMYFUNCTION("""COMPUTED_VALUE"""),"Excellent")</f>
        <v>Excellent</v>
      </c>
      <c r="AA3314" t="str">
        <f>IFERROR(__xludf.DUMMYFUNCTION("""COMPUTED_VALUE"""),"Excellent")</f>
        <v>Excellent</v>
      </c>
      <c r="AB3314" t="str">
        <f>IFERROR(__xludf.DUMMYFUNCTION("""COMPUTED_VALUE"""),"Excellent")</f>
        <v>Excellent</v>
      </c>
      <c r="AF3314" t="str">
        <f>IFERROR(__xludf.DUMMYFUNCTION("""COMPUTED_VALUE"""),"No. I took delivery of the first car Tesla was able to deliver.")</f>
        <v>No. I took delivery of the first car Tesla was able to deliver.</v>
      </c>
      <c r="AH3314" s="189">
        <f>IFERROR(__xludf.DUMMYFUNCTION("""COMPUTED_VALUE"""),44421.7431324537)</f>
        <v>44421.74313</v>
      </c>
    </row>
    <row r="3315">
      <c r="A3315" t="str">
        <f>IFERROR(__xludf.DUMMYFUNCTION("""COMPUTED_VALUE"""),"gtp618")</f>
        <v>gtp618</v>
      </c>
      <c r="B3315" t="str">
        <f>IFERROR(__xludf.DUMMYFUNCTION("""COMPUTED_VALUE"""),"Kennett Square")</f>
        <v>Kennett Square</v>
      </c>
      <c r="C3315" t="str">
        <f>IFERROR(__xludf.DUMMYFUNCTION("""COMPUTED_VALUE"""),"PA")</f>
        <v>PA</v>
      </c>
      <c r="D3315" t="str">
        <f>IFERROR(__xludf.DUMMYFUNCTION("""COMPUTED_VALUE"""),"USA")</f>
        <v>USA</v>
      </c>
      <c r="E3315" s="188">
        <f>IFERROR(__xludf.DUMMYFUNCTION("""COMPUTED_VALUE"""),44374.0)</f>
        <v>44374</v>
      </c>
      <c r="F3315" s="188">
        <f>IFERROR(__xludf.DUMMYFUNCTION("""COMPUTED_VALUE"""),44420.0)</f>
        <v>44420</v>
      </c>
      <c r="G3315" t="str">
        <f>IFERROR(__xludf.DUMMYFUNCTION("""COMPUTED_VALUE"""),"Manage order page (normal text)")</f>
        <v>Manage order page (normal text)</v>
      </c>
      <c r="K3315">
        <f>IFERROR(__xludf.DUMMYFUNCTION("""COMPUTED_VALUE"""),46.0)</f>
        <v>46</v>
      </c>
      <c r="N3315" t="str">
        <f>IFERROR(__xludf.DUMMYFUNCTION("""COMPUTED_VALUE"""),"Model 3 LR AWD")</f>
        <v>Model 3 LR AWD</v>
      </c>
      <c r="O3315" t="str">
        <f>IFERROR(__xludf.DUMMYFUNCTION("""COMPUTED_VALUE"""),"Deep Blue Metallic")</f>
        <v>Deep Blue Metallic</v>
      </c>
      <c r="P3315" t="str">
        <f>IFERROR(__xludf.DUMMYFUNCTION("""COMPUTED_VALUE"""),"18 inch")</f>
        <v>18 inch</v>
      </c>
      <c r="Q3315" t="str">
        <f>IFERROR(__xludf.DUMMYFUNCTION("""COMPUTED_VALUE"""),"All Black")</f>
        <v>All Black</v>
      </c>
      <c r="R3315" t="str">
        <f>IFERROR(__xludf.DUMMYFUNCTION("""COMPUTED_VALUE"""),"Autopilot included")</f>
        <v>Autopilot included</v>
      </c>
      <c r="S3315" t="str">
        <f>IFERROR(__xludf.DUMMYFUNCTION("""COMPUTED_VALUE"""),"Loan")</f>
        <v>Loan</v>
      </c>
      <c r="U3315" t="str">
        <f>IFERROR(__xludf.DUMMYFUNCTION("""COMPUTED_VALUE"""),"Electric!")</f>
        <v>Electric!</v>
      </c>
      <c r="V3315" t="str">
        <f>IFERROR(__xludf.DUMMYFUNCTION("""COMPUTED_VALUE"""),"Ventilated seats")</f>
        <v>Ventilated seats</v>
      </c>
      <c r="AH3315" s="189">
        <f>IFERROR(__xludf.DUMMYFUNCTION("""COMPUTED_VALUE"""),44421.77141945602)</f>
        <v>44421.77142</v>
      </c>
    </row>
    <row r="3316">
      <c r="A3316" t="str">
        <f>IFERROR(__xludf.DUMMYFUNCTION("""COMPUTED_VALUE"""),"Giavid")</f>
        <v>Giavid</v>
      </c>
      <c r="B3316" t="str">
        <f>IFERROR(__xludf.DUMMYFUNCTION("""COMPUTED_VALUE"""),"Aubrey")</f>
        <v>Aubrey</v>
      </c>
      <c r="C3316" t="str">
        <f>IFERROR(__xludf.DUMMYFUNCTION("""COMPUTED_VALUE"""),"TX")</f>
        <v>TX</v>
      </c>
      <c r="D3316" t="str">
        <f>IFERROR(__xludf.DUMMYFUNCTION("""COMPUTED_VALUE"""),"USA")</f>
        <v>USA</v>
      </c>
      <c r="E3316" s="188">
        <f>IFERROR(__xludf.DUMMYFUNCTION("""COMPUTED_VALUE"""),44399.0)</f>
        <v>44399</v>
      </c>
      <c r="N3316" t="str">
        <f>IFERROR(__xludf.DUMMYFUNCTION("""COMPUTED_VALUE"""),"Model 3 LR AWD")</f>
        <v>Model 3 LR AWD</v>
      </c>
      <c r="O3316" t="str">
        <f>IFERROR(__xludf.DUMMYFUNCTION("""COMPUTED_VALUE"""),"Deep Blue Metallic")</f>
        <v>Deep Blue Metallic</v>
      </c>
      <c r="P3316" t="str">
        <f>IFERROR(__xludf.DUMMYFUNCTION("""COMPUTED_VALUE"""),"19 inch")</f>
        <v>19 inch</v>
      </c>
      <c r="Q3316" t="str">
        <f>IFERROR(__xludf.DUMMYFUNCTION("""COMPUTED_VALUE"""),"All Black")</f>
        <v>All Black</v>
      </c>
      <c r="R3316" t="str">
        <f>IFERROR(__xludf.DUMMYFUNCTION("""COMPUTED_VALUE"""),"Autopilot included")</f>
        <v>Autopilot included</v>
      </c>
      <c r="S3316" t="str">
        <f>IFERROR(__xludf.DUMMYFUNCTION("""COMPUTED_VALUE"""),"Loan")</f>
        <v>Loan</v>
      </c>
      <c r="T3316" t="str">
        <f>IFERROR(__xludf.DUMMYFUNCTION("""COMPUTED_VALUE"""),"Tesla Model 3")</f>
        <v>Tesla Model 3</v>
      </c>
      <c r="U3316" t="str">
        <f>IFERROR(__xludf.DUMMYFUNCTION("""COMPUTED_VALUE"""),"Electric!")</f>
        <v>Electric!</v>
      </c>
      <c r="V3316" t="str">
        <f>IFERROR(__xludf.DUMMYFUNCTION("""COMPUTED_VALUE"""),"Ventilated seats")</f>
        <v>Ventilated seats</v>
      </c>
      <c r="AH3316" s="189">
        <f>IFERROR(__xludf.DUMMYFUNCTION("""COMPUTED_VALUE"""),44421.94920859954)</f>
        <v>44421.94921</v>
      </c>
    </row>
    <row r="3317">
      <c r="A3317" t="str">
        <f>IFERROR(__xludf.DUMMYFUNCTION("""COMPUTED_VALUE"""),"HughP")</f>
        <v>HughP</v>
      </c>
      <c r="B3317" t="str">
        <f>IFERROR(__xludf.DUMMYFUNCTION("""COMPUTED_VALUE"""),"Berkshire")</f>
        <v>Berkshire</v>
      </c>
      <c r="D3317" t="str">
        <f>IFERROR(__xludf.DUMMYFUNCTION("""COMPUTED_VALUE"""),"United Kingdom")</f>
        <v>United Kingdom</v>
      </c>
      <c r="E3317" s="188">
        <f>IFERROR(__xludf.DUMMYFUNCTION("""COMPUTED_VALUE"""),44402.0)</f>
        <v>44402</v>
      </c>
      <c r="J3317" s="188">
        <f>IFERROR(__xludf.DUMMYFUNCTION("""COMPUTED_VALUE"""),44462.0)</f>
        <v>44462</v>
      </c>
      <c r="M3317">
        <f>IFERROR(__xludf.DUMMYFUNCTION("""COMPUTED_VALUE"""),60.0)</f>
        <v>60</v>
      </c>
      <c r="N3317" t="str">
        <f>IFERROR(__xludf.DUMMYFUNCTION("""COMPUTED_VALUE"""),"Model 3 LR AWD")</f>
        <v>Model 3 LR AWD</v>
      </c>
      <c r="O3317" t="str">
        <f>IFERROR(__xludf.DUMMYFUNCTION("""COMPUTED_VALUE"""),"Red Multi-Coat")</f>
        <v>Red Multi-Coat</v>
      </c>
      <c r="P3317" t="str">
        <f>IFERROR(__xludf.DUMMYFUNCTION("""COMPUTED_VALUE"""),"18 inch")</f>
        <v>18 inch</v>
      </c>
      <c r="Q3317" t="str">
        <f>IFERROR(__xludf.DUMMYFUNCTION("""COMPUTED_VALUE"""),"All Black")</f>
        <v>All Black</v>
      </c>
      <c r="R3317" t="str">
        <f>IFERROR(__xludf.DUMMYFUNCTION("""COMPUTED_VALUE"""),"Autopilot included")</f>
        <v>Autopilot included</v>
      </c>
      <c r="S3317" t="str">
        <f>IFERROR(__xludf.DUMMYFUNCTION("""COMPUTED_VALUE"""),"Cash")</f>
        <v>Cash</v>
      </c>
      <c r="T3317" t="str">
        <f>IFERROR(__xludf.DUMMYFUNCTION("""COMPUTED_VALUE"""),"Honda HR-V")</f>
        <v>Honda HR-V</v>
      </c>
      <c r="AH3317" s="189">
        <f>IFERROR(__xludf.DUMMYFUNCTION("""COMPUTED_VALUE"""),44432.503162175926)</f>
        <v>44432.50316</v>
      </c>
    </row>
    <row r="3318">
      <c r="A3318" t="str">
        <f>IFERROR(__xludf.DUMMYFUNCTION("""COMPUTED_VALUE"""),"JTrow9")</f>
        <v>JTrow9</v>
      </c>
      <c r="B3318" t="str">
        <f>IFERROR(__xludf.DUMMYFUNCTION("""COMPUTED_VALUE"""),"Salem")</f>
        <v>Salem</v>
      </c>
      <c r="C3318" t="str">
        <f>IFERROR(__xludf.DUMMYFUNCTION("""COMPUTED_VALUE"""),"OR")</f>
        <v>OR</v>
      </c>
      <c r="D3318" t="str">
        <f>IFERROR(__xludf.DUMMYFUNCTION("""COMPUTED_VALUE"""),"USA")</f>
        <v>USA</v>
      </c>
      <c r="E3318" s="188">
        <f>IFERROR(__xludf.DUMMYFUNCTION("""COMPUTED_VALUE"""),44401.0)</f>
        <v>44401</v>
      </c>
      <c r="N3318" t="str">
        <f>IFERROR(__xludf.DUMMYFUNCTION("""COMPUTED_VALUE"""),"Model 3 LR AWD")</f>
        <v>Model 3 LR AWD</v>
      </c>
      <c r="O3318" t="str">
        <f>IFERROR(__xludf.DUMMYFUNCTION("""COMPUTED_VALUE"""),"Pearl White Multi-Coat")</f>
        <v>Pearl White Multi-Coat</v>
      </c>
      <c r="P3318" t="str">
        <f>IFERROR(__xludf.DUMMYFUNCTION("""COMPUTED_VALUE"""),"18 inch")</f>
        <v>18 inch</v>
      </c>
      <c r="Q3318" t="str">
        <f>IFERROR(__xludf.DUMMYFUNCTION("""COMPUTED_VALUE"""),"Black and White")</f>
        <v>Black and White</v>
      </c>
      <c r="R3318" t="str">
        <f>IFERROR(__xludf.DUMMYFUNCTION("""COMPUTED_VALUE"""),"Autopilot included")</f>
        <v>Autopilot included</v>
      </c>
      <c r="S3318" t="str">
        <f>IFERROR(__xludf.DUMMYFUNCTION("""COMPUTED_VALUE"""),"Loan")</f>
        <v>Loan</v>
      </c>
      <c r="T3318" t="str">
        <f>IFERROR(__xludf.DUMMYFUNCTION("""COMPUTED_VALUE"""),"Toyota 4Runner")</f>
        <v>Toyota 4Runner</v>
      </c>
      <c r="U3318" t="str">
        <f>IFERROR(__xludf.DUMMYFUNCTION("""COMPUTED_VALUE"""),"Electric!")</f>
        <v>Electric!</v>
      </c>
      <c r="V3318" t="str">
        <f>IFERROR(__xludf.DUMMYFUNCTION("""COMPUTED_VALUE"""),"Ventilated seats")</f>
        <v>Ventilated seats</v>
      </c>
      <c r="AH3318" s="189">
        <f>IFERROR(__xludf.DUMMYFUNCTION("""COMPUTED_VALUE"""),44422.284348506946)</f>
        <v>44422.28435</v>
      </c>
    </row>
    <row r="3319">
      <c r="A3319" t="str">
        <f>IFERROR(__xludf.DUMMYFUNCTION("""COMPUTED_VALUE"""),"0-MPG NH")</f>
        <v>0-MPG NH</v>
      </c>
      <c r="C3319" t="str">
        <f>IFERROR(__xludf.DUMMYFUNCTION("""COMPUTED_VALUE"""),"NH")</f>
        <v>NH</v>
      </c>
      <c r="D3319" t="str">
        <f>IFERROR(__xludf.DUMMYFUNCTION("""COMPUTED_VALUE"""),"USA")</f>
        <v>USA</v>
      </c>
      <c r="E3319" s="188">
        <f>IFERROR(__xludf.DUMMYFUNCTION("""COMPUTED_VALUE"""),44368.0)</f>
        <v>44368</v>
      </c>
      <c r="F3319" s="188">
        <f>IFERROR(__xludf.DUMMYFUNCTION("""COMPUTED_VALUE"""),44409.0)</f>
        <v>44409</v>
      </c>
      <c r="G3319" t="str">
        <f>IFERROR(__xludf.DUMMYFUNCTION("""COMPUTED_VALUE"""),"Manage order page (normal text)")</f>
        <v>Manage order page (normal text)</v>
      </c>
      <c r="H3319">
        <f>IFERROR(__xludf.DUMMYFUNCTION("""COMPUTED_VALUE"""),27255.0)</f>
        <v>27255</v>
      </c>
      <c r="J3319" s="188">
        <f>IFERROR(__xludf.DUMMYFUNCTION("""COMPUTED_VALUE"""),44421.0)</f>
        <v>44421</v>
      </c>
      <c r="K3319">
        <f>IFERROR(__xludf.DUMMYFUNCTION("""COMPUTED_VALUE"""),41.0)</f>
        <v>41</v>
      </c>
      <c r="L3319">
        <f>IFERROR(__xludf.DUMMYFUNCTION("""COMPUTED_VALUE"""),12.0)</f>
        <v>12</v>
      </c>
      <c r="M3319">
        <f>IFERROR(__xludf.DUMMYFUNCTION("""COMPUTED_VALUE"""),53.0)</f>
        <v>53</v>
      </c>
      <c r="N3319" t="str">
        <f>IFERROR(__xludf.DUMMYFUNCTION("""COMPUTED_VALUE"""),"Model 3 SR+")</f>
        <v>Model 3 SR+</v>
      </c>
      <c r="O3319" t="str">
        <f>IFERROR(__xludf.DUMMYFUNCTION("""COMPUTED_VALUE"""),"Midnight Silver Metallic")</f>
        <v>Midnight Silver Metallic</v>
      </c>
      <c r="P3319" t="str">
        <f>IFERROR(__xludf.DUMMYFUNCTION("""COMPUTED_VALUE"""),"18 inch")</f>
        <v>18 inch</v>
      </c>
      <c r="Q3319" t="str">
        <f>IFERROR(__xludf.DUMMYFUNCTION("""COMPUTED_VALUE"""),"All Black")</f>
        <v>All Black</v>
      </c>
      <c r="R3319" t="str">
        <f>IFERROR(__xludf.DUMMYFUNCTION("""COMPUTED_VALUE"""),"Autopilot included")</f>
        <v>Autopilot included</v>
      </c>
      <c r="S3319" t="str">
        <f>IFERROR(__xludf.DUMMYFUNCTION("""COMPUTED_VALUE"""),"Loan")</f>
        <v>Loan</v>
      </c>
      <c r="T3319" t="str">
        <f>IFERROR(__xludf.DUMMYFUNCTION("""COMPUTED_VALUE"""),"Tesla Model 3")</f>
        <v>Tesla Model 3</v>
      </c>
      <c r="U3319" t="str">
        <f>IFERROR(__xludf.DUMMYFUNCTION("""COMPUTED_VALUE"""),"Electric!")</f>
        <v>Electric!</v>
      </c>
      <c r="V3319" t="str">
        <f>IFERROR(__xludf.DUMMYFUNCTION("""COMPUTED_VALUE"""),"Apple CarPlay / Android Auto / SiriusXM Radio")</f>
        <v>Apple CarPlay / Android Auto / SiriusXM Radio</v>
      </c>
      <c r="X3319" t="str">
        <f>IFERROR(__xludf.DUMMYFUNCTION("""COMPUTED_VALUE"""),"Excellent")</f>
        <v>Excellent</v>
      </c>
      <c r="Y3319" t="str">
        <f>IFERROR(__xludf.DUMMYFUNCTION("""COMPUTED_VALUE"""),"Excellent")</f>
        <v>Excellent</v>
      </c>
      <c r="Z3319" t="str">
        <f>IFERROR(__xludf.DUMMYFUNCTION("""COMPUTED_VALUE"""),"Excellent")</f>
        <v>Excellent</v>
      </c>
      <c r="AA3319" t="str">
        <f>IFERROR(__xludf.DUMMYFUNCTION("""COMPUTED_VALUE"""),"Fair")</f>
        <v>Fair</v>
      </c>
      <c r="AB3319" t="str">
        <f>IFERROR(__xludf.DUMMYFUNCTION("""COMPUTED_VALUE"""),"Excellent")</f>
        <v>Excellent</v>
      </c>
      <c r="AF3319" t="str">
        <f>IFERROR(__xludf.DUMMYFUNCTION("""COMPUTED_VALUE"""),"No. I took delivery of the first car Tesla was able to deliver.")</f>
        <v>No. I took delivery of the first car Tesla was able to deliver.</v>
      </c>
      <c r="AH3319" s="189">
        <f>IFERROR(__xludf.DUMMYFUNCTION("""COMPUTED_VALUE"""),44422.285240578705)</f>
        <v>44422.28524</v>
      </c>
    </row>
    <row r="3320">
      <c r="A3320" t="str">
        <f>IFERROR(__xludf.DUMMYFUNCTION("""COMPUTED_VALUE"""),"CM3NC")</f>
        <v>CM3NC</v>
      </c>
      <c r="B3320" t="str">
        <f>IFERROR(__xludf.DUMMYFUNCTION("""COMPUTED_VALUE"""),"Sanford")</f>
        <v>Sanford</v>
      </c>
      <c r="C3320" t="str">
        <f>IFERROR(__xludf.DUMMYFUNCTION("""COMPUTED_VALUE"""),"NC")</f>
        <v>NC</v>
      </c>
      <c r="D3320" t="str">
        <f>IFERROR(__xludf.DUMMYFUNCTION("""COMPUTED_VALUE"""),"USA")</f>
        <v>USA</v>
      </c>
      <c r="E3320" s="188">
        <f>IFERROR(__xludf.DUMMYFUNCTION("""COMPUTED_VALUE"""),44366.0)</f>
        <v>44366</v>
      </c>
      <c r="F3320" s="188">
        <f>IFERROR(__xludf.DUMMYFUNCTION("""COMPUTED_VALUE"""),44417.0)</f>
        <v>44417</v>
      </c>
      <c r="G3320" t="str">
        <f>IFERROR(__xludf.DUMMYFUNCTION("""COMPUTED_VALUE"""),"Email")</f>
        <v>Email</v>
      </c>
      <c r="I3320" t="str">
        <f>IFERROR(__xludf.DUMMYFUNCTION("""COMPUTED_VALUE"""),"08/21")</f>
        <v>08/21</v>
      </c>
      <c r="K3320">
        <f>IFERROR(__xludf.DUMMYFUNCTION("""COMPUTED_VALUE"""),51.0)</f>
        <v>51</v>
      </c>
      <c r="N3320" t="str">
        <f>IFERROR(__xludf.DUMMYFUNCTION("""COMPUTED_VALUE"""),"Model 3 LR AWD")</f>
        <v>Model 3 LR AWD</v>
      </c>
      <c r="O3320" t="str">
        <f>IFERROR(__xludf.DUMMYFUNCTION("""COMPUTED_VALUE"""),"Midnight Silver Metallic")</f>
        <v>Midnight Silver Metallic</v>
      </c>
      <c r="P3320" t="str">
        <f>IFERROR(__xludf.DUMMYFUNCTION("""COMPUTED_VALUE"""),"18 inch")</f>
        <v>18 inch</v>
      </c>
      <c r="Q3320" t="str">
        <f>IFERROR(__xludf.DUMMYFUNCTION("""COMPUTED_VALUE"""),"All Black")</f>
        <v>All Black</v>
      </c>
      <c r="R3320" t="str">
        <f>IFERROR(__xludf.DUMMYFUNCTION("""COMPUTED_VALUE"""),"Autopilot included")</f>
        <v>Autopilot included</v>
      </c>
      <c r="S3320" t="str">
        <f>IFERROR(__xludf.DUMMYFUNCTION("""COMPUTED_VALUE"""),"Cash")</f>
        <v>Cash</v>
      </c>
      <c r="T3320" t="str">
        <f>IFERROR(__xludf.DUMMYFUNCTION("""COMPUTED_VALUE"""),"Toyota Camry")</f>
        <v>Toyota Camry</v>
      </c>
      <c r="U3320" t="str">
        <f>IFERROR(__xludf.DUMMYFUNCTION("""COMPUTED_VALUE"""),"Electric!")</f>
        <v>Electric!</v>
      </c>
      <c r="V3320" t="str">
        <f>IFERROR(__xludf.DUMMYFUNCTION("""COMPUTED_VALUE"""),"Head-up display")</f>
        <v>Head-up display</v>
      </c>
      <c r="AH3320" s="189">
        <f>IFERROR(__xludf.DUMMYFUNCTION("""COMPUTED_VALUE"""),44422.313032164355)</f>
        <v>44422.31303</v>
      </c>
    </row>
    <row r="3321">
      <c r="A3321" t="str">
        <f>IFERROR(__xludf.DUMMYFUNCTION("""COMPUTED_VALUE"""),"jamari")</f>
        <v>jamari</v>
      </c>
      <c r="C3321" t="str">
        <f>IFERROR(__xludf.DUMMYFUNCTION("""COMPUTED_VALUE"""),"AZ")</f>
        <v>AZ</v>
      </c>
      <c r="D3321" t="str">
        <f>IFERROR(__xludf.DUMMYFUNCTION("""COMPUTED_VALUE"""),"USA")</f>
        <v>USA</v>
      </c>
      <c r="E3321" s="188">
        <f>IFERROR(__xludf.DUMMYFUNCTION("""COMPUTED_VALUE"""),44443.0)</f>
        <v>44443</v>
      </c>
      <c r="F3321" s="188">
        <f>IFERROR(__xludf.DUMMYFUNCTION("""COMPUTED_VALUE"""),44443.0)</f>
        <v>44443</v>
      </c>
      <c r="G3321" t="str">
        <f>IFERROR(__xludf.DUMMYFUNCTION("""COMPUTED_VALUE"""),"Manage order page (normal text)")</f>
        <v>Manage order page (normal text)</v>
      </c>
      <c r="H3321">
        <f>IFERROR(__xludf.DUMMYFUNCTION("""COMPUTED_VALUE"""),63055.0)</f>
        <v>63055</v>
      </c>
      <c r="J3321" s="188">
        <f>IFERROR(__xludf.DUMMYFUNCTION("""COMPUTED_VALUE"""),44456.0)</f>
        <v>44456</v>
      </c>
      <c r="K3321">
        <f>IFERROR(__xludf.DUMMYFUNCTION("""COMPUTED_VALUE"""),0.0)</f>
        <v>0</v>
      </c>
      <c r="L3321">
        <f>IFERROR(__xludf.DUMMYFUNCTION("""COMPUTED_VALUE"""),13.0)</f>
        <v>13</v>
      </c>
      <c r="M3321">
        <f>IFERROR(__xludf.DUMMYFUNCTION("""COMPUTED_VALUE"""),13.0)</f>
        <v>13</v>
      </c>
      <c r="N3321" t="str">
        <f>IFERROR(__xludf.DUMMYFUNCTION("""COMPUTED_VALUE"""),"Model 3 SR+")</f>
        <v>Model 3 SR+</v>
      </c>
      <c r="O3321" t="str">
        <f>IFERROR(__xludf.DUMMYFUNCTION("""COMPUTED_VALUE"""),"Pearl White Multi-Coat")</f>
        <v>Pearl White Multi-Coat</v>
      </c>
      <c r="P3321" t="str">
        <f>IFERROR(__xludf.DUMMYFUNCTION("""COMPUTED_VALUE"""),"18 inch")</f>
        <v>18 inch</v>
      </c>
      <c r="Q3321" t="str">
        <f>IFERROR(__xludf.DUMMYFUNCTION("""COMPUTED_VALUE"""),"Black and White")</f>
        <v>Black and White</v>
      </c>
      <c r="R3321" t="str">
        <f>IFERROR(__xludf.DUMMYFUNCTION("""COMPUTED_VALUE"""),"Autopilot included")</f>
        <v>Autopilot included</v>
      </c>
      <c r="S3321" t="str">
        <f>IFERROR(__xludf.DUMMYFUNCTION("""COMPUTED_VALUE"""),"Loan")</f>
        <v>Loan</v>
      </c>
      <c r="V3321" t="str">
        <f>IFERROR(__xludf.DUMMYFUNCTION("""COMPUTED_VALUE"""),"Apple CarPlay / Android Auto / SiriusXM Radio")</f>
        <v>Apple CarPlay / Android Auto / SiriusXM Radio</v>
      </c>
      <c r="AG3321" t="str">
        <f>IFERROR(__xludf.DUMMYFUNCTION("""COMPUTED_VALUE"""),"Existing Inventory - LFP. Cancelled previous Aug 10 order.")</f>
        <v>Existing Inventory - LFP. Cancelled previous Aug 10 order.</v>
      </c>
      <c r="AH3321" s="189">
        <f>IFERROR(__xludf.DUMMYFUNCTION("""COMPUTED_VALUE"""),44452.73084949074)</f>
        <v>44452.73085</v>
      </c>
    </row>
    <row r="3322">
      <c r="A3322" t="str">
        <f>IFERROR(__xludf.DUMMYFUNCTION("""COMPUTED_VALUE"""),"DirtyDan")</f>
        <v>DirtyDan</v>
      </c>
      <c r="B3322" t="str">
        <f>IFERROR(__xludf.DUMMYFUNCTION("""COMPUTED_VALUE"""),"Los Angeles")</f>
        <v>Los Angeles</v>
      </c>
      <c r="C3322" t="str">
        <f>IFERROR(__xludf.DUMMYFUNCTION("""COMPUTED_VALUE"""),"CA")</f>
        <v>CA</v>
      </c>
      <c r="D3322" t="str">
        <f>IFERROR(__xludf.DUMMYFUNCTION("""COMPUTED_VALUE"""),"USA")</f>
        <v>USA</v>
      </c>
      <c r="E3322" s="188">
        <f>IFERROR(__xludf.DUMMYFUNCTION("""COMPUTED_VALUE"""),44393.0)</f>
        <v>44393</v>
      </c>
      <c r="F3322" s="188">
        <f>IFERROR(__xludf.DUMMYFUNCTION("""COMPUTED_VALUE"""),44448.0)</f>
        <v>44448</v>
      </c>
      <c r="G3322" t="str">
        <f>IFERROR(__xludf.DUMMYFUNCTION("""COMPUTED_VALUE"""),"Manage order page (normal text)")</f>
        <v>Manage order page (normal text)</v>
      </c>
      <c r="H3322">
        <f>IFERROR(__xludf.DUMMYFUNCTION("""COMPUTED_VALUE"""),56855.0)</f>
        <v>56855</v>
      </c>
      <c r="J3322" s="188">
        <f>IFERROR(__xludf.DUMMYFUNCTION("""COMPUTED_VALUE"""),44450.0)</f>
        <v>44450</v>
      </c>
      <c r="K3322">
        <f>IFERROR(__xludf.DUMMYFUNCTION("""COMPUTED_VALUE"""),55.0)</f>
        <v>55</v>
      </c>
      <c r="L3322">
        <f>IFERROR(__xludf.DUMMYFUNCTION("""COMPUTED_VALUE"""),2.0)</f>
        <v>2</v>
      </c>
      <c r="M3322">
        <f>IFERROR(__xludf.DUMMYFUNCTION("""COMPUTED_VALUE"""),57.0)</f>
        <v>57</v>
      </c>
      <c r="N3322" t="str">
        <f>IFERROR(__xludf.DUMMYFUNCTION("""COMPUTED_VALUE"""),"Model 3 LR AWD")</f>
        <v>Model 3 LR AWD</v>
      </c>
      <c r="O3322" t="str">
        <f>IFERROR(__xludf.DUMMYFUNCTION("""COMPUTED_VALUE"""),"Midnight Silver Metallic")</f>
        <v>Midnight Silver Metallic</v>
      </c>
      <c r="P3322" t="str">
        <f>IFERROR(__xludf.DUMMYFUNCTION("""COMPUTED_VALUE"""),"19 inch")</f>
        <v>19 inch</v>
      </c>
      <c r="Q3322" t="str">
        <f>IFERROR(__xludf.DUMMYFUNCTION("""COMPUTED_VALUE"""),"Black and White")</f>
        <v>Black and White</v>
      </c>
      <c r="R3322" t="str">
        <f>IFERROR(__xludf.DUMMYFUNCTION("""COMPUTED_VALUE"""),"Autopilot included")</f>
        <v>Autopilot included</v>
      </c>
      <c r="S3322" t="str">
        <f>IFERROR(__xludf.DUMMYFUNCTION("""COMPUTED_VALUE"""),"Lease")</f>
        <v>Lease</v>
      </c>
      <c r="T3322" t="str">
        <f>IFERROR(__xludf.DUMMYFUNCTION("""COMPUTED_VALUE"""),"BMW 3 Series")</f>
        <v>BMW 3 Series</v>
      </c>
      <c r="U3322" t="str">
        <f>IFERROR(__xludf.DUMMYFUNCTION("""COMPUTED_VALUE"""),"Electric!")</f>
        <v>Electric!</v>
      </c>
      <c r="AH3322" s="189">
        <f>IFERROR(__xludf.DUMMYFUNCTION("""COMPUTED_VALUE"""),44449.88084032407)</f>
        <v>44449.88084</v>
      </c>
    </row>
    <row r="3323">
      <c r="A3323" t="str">
        <f>IFERROR(__xludf.DUMMYFUNCTION("""COMPUTED_VALUE"""),"Tezzin")</f>
        <v>Tezzin</v>
      </c>
      <c r="B3323" t="str">
        <f>IFERROR(__xludf.DUMMYFUNCTION("""COMPUTED_VALUE"""),"Drammen")</f>
        <v>Drammen</v>
      </c>
      <c r="D3323" t="str">
        <f>IFERROR(__xludf.DUMMYFUNCTION("""COMPUTED_VALUE"""),"Norway")</f>
        <v>Norway</v>
      </c>
      <c r="E3323" s="188">
        <f>IFERROR(__xludf.DUMMYFUNCTION("""COMPUTED_VALUE"""),44413.0)</f>
        <v>44413</v>
      </c>
      <c r="F3323" s="188">
        <f>IFERROR(__xludf.DUMMYFUNCTION("""COMPUTED_VALUE"""),44413.0)</f>
        <v>44413</v>
      </c>
      <c r="G3323" t="str">
        <f>IFERROR(__xludf.DUMMYFUNCTION("""COMPUTED_VALUE"""),"Manage order page (normal text)")</f>
        <v>Manage order page (normal text)</v>
      </c>
      <c r="K3323">
        <f>IFERROR(__xludf.DUMMYFUNCTION("""COMPUTED_VALUE"""),0.0)</f>
        <v>0</v>
      </c>
      <c r="N3323" t="str">
        <f>IFERROR(__xludf.DUMMYFUNCTION("""COMPUTED_VALUE"""),"Model 3 LR AWD")</f>
        <v>Model 3 LR AWD</v>
      </c>
      <c r="O3323" t="str">
        <f>IFERROR(__xludf.DUMMYFUNCTION("""COMPUTED_VALUE"""),"Pearl White Multi-Coat")</f>
        <v>Pearl White Multi-Coat</v>
      </c>
      <c r="P3323" t="str">
        <f>IFERROR(__xludf.DUMMYFUNCTION("""COMPUTED_VALUE"""),"18 inch")</f>
        <v>18 inch</v>
      </c>
      <c r="Q3323" t="str">
        <f>IFERROR(__xludf.DUMMYFUNCTION("""COMPUTED_VALUE"""),"All Black")</f>
        <v>All Black</v>
      </c>
      <c r="R3323" t="str">
        <f>IFERROR(__xludf.DUMMYFUNCTION("""COMPUTED_VALUE"""),"Full Self-Driving")</f>
        <v>Full Self-Driving</v>
      </c>
      <c r="S3323" t="str">
        <f>IFERROR(__xludf.DUMMYFUNCTION("""COMPUTED_VALUE"""),"Loan")</f>
        <v>Loan</v>
      </c>
      <c r="T3323" t="str">
        <f>IFERROR(__xludf.DUMMYFUNCTION("""COMPUTED_VALUE"""),"BMW 3 Series")</f>
        <v>BMW 3 Series</v>
      </c>
      <c r="U3323" t="str">
        <f>IFERROR(__xludf.DUMMYFUNCTION("""COMPUTED_VALUE"""),"All of the above")</f>
        <v>All of the above</v>
      </c>
      <c r="V3323" t="str">
        <f>IFERROR(__xludf.DUMMYFUNCTION("""COMPUTED_VALUE"""),"360° Bird's eye view")</f>
        <v>360° Bird's eye view</v>
      </c>
      <c r="AH3323" s="189">
        <f>IFERROR(__xludf.DUMMYFUNCTION("""COMPUTED_VALUE"""),44422.587020694446)</f>
        <v>44422.58702</v>
      </c>
    </row>
    <row r="3324">
      <c r="A3324" t="str">
        <f>IFERROR(__xludf.DUMMYFUNCTION("""COMPUTED_VALUE"""),"wiswanson")</f>
        <v>wiswanson</v>
      </c>
      <c r="B3324" t="str">
        <f>IFERROR(__xludf.DUMMYFUNCTION("""COMPUTED_VALUE"""),"Madison")</f>
        <v>Madison</v>
      </c>
      <c r="C3324" t="str">
        <f>IFERROR(__xludf.DUMMYFUNCTION("""COMPUTED_VALUE"""),"WI")</f>
        <v>WI</v>
      </c>
      <c r="D3324" t="str">
        <f>IFERROR(__xludf.DUMMYFUNCTION("""COMPUTED_VALUE"""),"USA")</f>
        <v>USA</v>
      </c>
      <c r="E3324" s="188">
        <f>IFERROR(__xludf.DUMMYFUNCTION("""COMPUTED_VALUE"""),44398.0)</f>
        <v>44398</v>
      </c>
      <c r="F3324" s="188">
        <f>IFERROR(__xludf.DUMMYFUNCTION("""COMPUTED_VALUE"""),44457.0)</f>
        <v>44457</v>
      </c>
      <c r="G3324" t="str">
        <f>IFERROR(__xludf.DUMMYFUNCTION("""COMPUTED_VALUE"""),"Text message")</f>
        <v>Text message</v>
      </c>
      <c r="H3324">
        <f>IFERROR(__xludf.DUMMYFUNCTION("""COMPUTED_VALUE"""),62955.0)</f>
        <v>62955</v>
      </c>
      <c r="I3324" t="str">
        <f>IFERROR(__xludf.DUMMYFUNCTION("""COMPUTED_VALUE"""),"09/21")</f>
        <v>09/21</v>
      </c>
      <c r="J3324" s="188">
        <f>IFERROR(__xludf.DUMMYFUNCTION("""COMPUTED_VALUE"""),44457.0)</f>
        <v>44457</v>
      </c>
      <c r="K3324">
        <f>IFERROR(__xludf.DUMMYFUNCTION("""COMPUTED_VALUE"""),59.0)</f>
        <v>59</v>
      </c>
      <c r="L3324">
        <f>IFERROR(__xludf.DUMMYFUNCTION("""COMPUTED_VALUE"""),0.0)</f>
        <v>0</v>
      </c>
      <c r="M3324">
        <f>IFERROR(__xludf.DUMMYFUNCTION("""COMPUTED_VALUE"""),59.0)</f>
        <v>59</v>
      </c>
      <c r="N3324" t="str">
        <f>IFERROR(__xludf.DUMMYFUNCTION("""COMPUTED_VALUE"""),"Model 3 SR+")</f>
        <v>Model 3 SR+</v>
      </c>
      <c r="O3324" t="str">
        <f>IFERROR(__xludf.DUMMYFUNCTION("""COMPUTED_VALUE"""),"Pearl White Multi-Coat")</f>
        <v>Pearl White Multi-Coat</v>
      </c>
      <c r="P3324" t="str">
        <f>IFERROR(__xludf.DUMMYFUNCTION("""COMPUTED_VALUE"""),"18 inch")</f>
        <v>18 inch</v>
      </c>
      <c r="Q3324" t="str">
        <f>IFERROR(__xludf.DUMMYFUNCTION("""COMPUTED_VALUE"""),"All Black")</f>
        <v>All Black</v>
      </c>
      <c r="R3324" t="str">
        <f>IFERROR(__xludf.DUMMYFUNCTION("""COMPUTED_VALUE"""),"Autopilot included")</f>
        <v>Autopilot included</v>
      </c>
      <c r="S3324" t="str">
        <f>IFERROR(__xludf.DUMMYFUNCTION("""COMPUTED_VALUE"""),"Loan")</f>
        <v>Loan</v>
      </c>
      <c r="U3324" t="str">
        <f>IFERROR(__xludf.DUMMYFUNCTION("""COMPUTED_VALUE"""),"Electric!")</f>
        <v>Electric!</v>
      </c>
      <c r="V3324" t="str">
        <f>IFERROR(__xludf.DUMMYFUNCTION("""COMPUTED_VALUE"""),"Bioweapon defense mode")</f>
        <v>Bioweapon defense mode</v>
      </c>
      <c r="W3324" t="str">
        <f>IFERROR(__xludf.DUMMYFUNCTION("""COMPUTED_VALUE"""),"Got VIN and was able to pick up same day by calling service center.")</f>
        <v>Got VIN and was able to pick up same day by calling service center.</v>
      </c>
      <c r="AF3324" t="str">
        <f>IFERROR(__xludf.DUMMYFUNCTION("""COMPUTED_VALUE"""),"No. I took delivery of the first car Tesla was able to deliver.")</f>
        <v>No. I took delivery of the first car Tesla was able to deliver.</v>
      </c>
      <c r="AG3324" t="str">
        <f>IFERROR(__xludf.DUMMYFUNCTION("""COMPUTED_VALUE"""),"If you don't want an LFP SR+, it could take awhile!")</f>
        <v>If you don't want an LFP SR+, it could take awhile!</v>
      </c>
      <c r="AH3324" s="189">
        <f>IFERROR(__xludf.DUMMYFUNCTION("""COMPUTED_VALUE"""),44458.43717662037)</f>
        <v>44458.43718</v>
      </c>
    </row>
    <row r="3325">
      <c r="A3325" t="str">
        <f>IFERROR(__xludf.DUMMYFUNCTION("""COMPUTED_VALUE"""),"sneak20")</f>
        <v>sneak20</v>
      </c>
      <c r="B3325" t="str">
        <f>IFERROR(__xludf.DUMMYFUNCTION("""COMPUTED_VALUE"""),"Columbus")</f>
        <v>Columbus</v>
      </c>
      <c r="C3325" t="str">
        <f>IFERROR(__xludf.DUMMYFUNCTION("""COMPUTED_VALUE"""),"OH")</f>
        <v>OH</v>
      </c>
      <c r="D3325" t="str">
        <f>IFERROR(__xludf.DUMMYFUNCTION("""COMPUTED_VALUE"""),"USA")</f>
        <v>USA</v>
      </c>
      <c r="E3325" s="188">
        <f>IFERROR(__xludf.DUMMYFUNCTION("""COMPUTED_VALUE"""),44370.0)</f>
        <v>44370</v>
      </c>
      <c r="F3325" s="188">
        <f>IFERROR(__xludf.DUMMYFUNCTION("""COMPUTED_VALUE"""),44421.0)</f>
        <v>44421</v>
      </c>
      <c r="G3325" t="str">
        <f>IFERROR(__xludf.DUMMYFUNCTION("""COMPUTED_VALUE"""),"Manage order page (normal text)")</f>
        <v>Manage order page (normal text)</v>
      </c>
      <c r="J3325" s="188">
        <f>IFERROR(__xludf.DUMMYFUNCTION("""COMPUTED_VALUE"""),44435.0)</f>
        <v>44435</v>
      </c>
      <c r="K3325">
        <f>IFERROR(__xludf.DUMMYFUNCTION("""COMPUTED_VALUE"""),51.0)</f>
        <v>51</v>
      </c>
      <c r="L3325">
        <f>IFERROR(__xludf.DUMMYFUNCTION("""COMPUTED_VALUE"""),14.0)</f>
        <v>14</v>
      </c>
      <c r="M3325">
        <f>IFERROR(__xludf.DUMMYFUNCTION("""COMPUTED_VALUE"""),65.0)</f>
        <v>65</v>
      </c>
      <c r="N3325" t="str">
        <f>IFERROR(__xludf.DUMMYFUNCTION("""COMPUTED_VALUE"""),"Model 3 LR AWD")</f>
        <v>Model 3 LR AWD</v>
      </c>
      <c r="O3325" t="str">
        <f>IFERROR(__xludf.DUMMYFUNCTION("""COMPUTED_VALUE"""),"Pearl White Multi-Coat")</f>
        <v>Pearl White Multi-Coat</v>
      </c>
      <c r="P3325" t="str">
        <f>IFERROR(__xludf.DUMMYFUNCTION("""COMPUTED_VALUE"""),"18 inch")</f>
        <v>18 inch</v>
      </c>
      <c r="Q3325" t="str">
        <f>IFERROR(__xludf.DUMMYFUNCTION("""COMPUTED_VALUE"""),"All Black")</f>
        <v>All Black</v>
      </c>
      <c r="R3325" t="str">
        <f>IFERROR(__xludf.DUMMYFUNCTION("""COMPUTED_VALUE"""),"Autopilot included")</f>
        <v>Autopilot included</v>
      </c>
      <c r="S3325" t="str">
        <f>IFERROR(__xludf.DUMMYFUNCTION("""COMPUTED_VALUE"""),"Loan")</f>
        <v>Loan</v>
      </c>
      <c r="T3325" t="str">
        <f>IFERROR(__xludf.DUMMYFUNCTION("""COMPUTED_VALUE"""),"Acura TL")</f>
        <v>Acura TL</v>
      </c>
      <c r="U3325" t="str">
        <f>IFERROR(__xludf.DUMMYFUNCTION("""COMPUTED_VALUE"""),"Electric!")</f>
        <v>Electric!</v>
      </c>
      <c r="V3325" t="str">
        <f>IFERROR(__xludf.DUMMYFUNCTION("""COMPUTED_VALUE"""),"Apple CarPlay / Android Auto / SiriusXM Radio")</f>
        <v>Apple CarPlay / Android Auto / SiriusXM Radio</v>
      </c>
      <c r="AH3325" s="189">
        <f>IFERROR(__xludf.DUMMYFUNCTION("""COMPUTED_VALUE"""),44423.0823309375)</f>
        <v>44423.08233</v>
      </c>
    </row>
    <row r="3326">
      <c r="A3326" t="str">
        <f>IFERROR(__xludf.DUMMYFUNCTION("""COMPUTED_VALUE"""),"Haber")</f>
        <v>Haber</v>
      </c>
      <c r="B3326" t="str">
        <f>IFERROR(__xludf.DUMMYFUNCTION("""COMPUTED_VALUE"""),"Vancouver")</f>
        <v>Vancouver</v>
      </c>
      <c r="C3326" t="str">
        <f>IFERROR(__xludf.DUMMYFUNCTION("""COMPUTED_VALUE"""),"BC")</f>
        <v>BC</v>
      </c>
      <c r="D3326" t="str">
        <f>IFERROR(__xludf.DUMMYFUNCTION("""COMPUTED_VALUE"""),"Canada")</f>
        <v>Canada</v>
      </c>
      <c r="E3326" s="188">
        <f>IFERROR(__xludf.DUMMYFUNCTION("""COMPUTED_VALUE"""),44400.0)</f>
        <v>44400</v>
      </c>
      <c r="N3326" t="str">
        <f>IFERROR(__xludf.DUMMYFUNCTION("""COMPUTED_VALUE"""),"Model 3 SR+")</f>
        <v>Model 3 SR+</v>
      </c>
      <c r="O3326" t="str">
        <f>IFERROR(__xludf.DUMMYFUNCTION("""COMPUTED_VALUE"""),"Pearl White Multi-Coat")</f>
        <v>Pearl White Multi-Coat</v>
      </c>
      <c r="P3326" t="str">
        <f>IFERROR(__xludf.DUMMYFUNCTION("""COMPUTED_VALUE"""),"19 inch")</f>
        <v>19 inch</v>
      </c>
      <c r="Q3326" t="str">
        <f>IFERROR(__xludf.DUMMYFUNCTION("""COMPUTED_VALUE"""),"All Black")</f>
        <v>All Black</v>
      </c>
      <c r="R3326" t="str">
        <f>IFERROR(__xludf.DUMMYFUNCTION("""COMPUTED_VALUE"""),"Autopilot included")</f>
        <v>Autopilot included</v>
      </c>
      <c r="S3326" t="str">
        <f>IFERROR(__xludf.DUMMYFUNCTION("""COMPUTED_VALUE"""),"Loan")</f>
        <v>Loan</v>
      </c>
      <c r="AH3326" s="189">
        <f>IFERROR(__xludf.DUMMYFUNCTION("""COMPUTED_VALUE"""),44423.46555840278)</f>
        <v>44423.46556</v>
      </c>
    </row>
    <row r="3327">
      <c r="A3327" t="str">
        <f>IFERROR(__xludf.DUMMYFUNCTION("""COMPUTED_VALUE"""),"brampton549")</f>
        <v>brampton549</v>
      </c>
      <c r="B3327" t="str">
        <f>IFERROR(__xludf.DUMMYFUNCTION("""COMPUTED_VALUE"""),"brampton")</f>
        <v>brampton</v>
      </c>
      <c r="C3327" t="str">
        <f>IFERROR(__xludf.DUMMYFUNCTION("""COMPUTED_VALUE"""),"ON")</f>
        <v>ON</v>
      </c>
      <c r="D3327" t="str">
        <f>IFERROR(__xludf.DUMMYFUNCTION("""COMPUTED_VALUE"""),"Canada")</f>
        <v>Canada</v>
      </c>
      <c r="E3327" s="188">
        <f>IFERROR(__xludf.DUMMYFUNCTION("""COMPUTED_VALUE"""),44422.0)</f>
        <v>44422</v>
      </c>
      <c r="N3327" t="str">
        <f>IFERROR(__xludf.DUMMYFUNCTION("""COMPUTED_VALUE"""),"Model 3 SR+")</f>
        <v>Model 3 SR+</v>
      </c>
      <c r="O3327" t="str">
        <f>IFERROR(__xludf.DUMMYFUNCTION("""COMPUTED_VALUE"""),"Red Multi-Coat")</f>
        <v>Red Multi-Coat</v>
      </c>
      <c r="P3327" t="str">
        <f>IFERROR(__xludf.DUMMYFUNCTION("""COMPUTED_VALUE"""),"18 inch")</f>
        <v>18 inch</v>
      </c>
      <c r="Q3327" t="str">
        <f>IFERROR(__xludf.DUMMYFUNCTION("""COMPUTED_VALUE"""),"All Black")</f>
        <v>All Black</v>
      </c>
      <c r="R3327" t="str">
        <f>IFERROR(__xludf.DUMMYFUNCTION("""COMPUTED_VALUE"""),"Autopilot included")</f>
        <v>Autopilot included</v>
      </c>
      <c r="S3327" t="str">
        <f>IFERROR(__xludf.DUMMYFUNCTION("""COMPUTED_VALUE"""),"Loan")</f>
        <v>Loan</v>
      </c>
      <c r="T3327" t="str">
        <f>IFERROR(__xludf.DUMMYFUNCTION("""COMPUTED_VALUE"""),"Model 3 will be my first car!")</f>
        <v>Model 3 will be my first car!</v>
      </c>
      <c r="U3327" t="str">
        <f>IFERROR(__xludf.DUMMYFUNCTION("""COMPUTED_VALUE"""),"Electric!")</f>
        <v>Electric!</v>
      </c>
      <c r="V3327" t="str">
        <f>IFERROR(__xludf.DUMMYFUNCTION("""COMPUTED_VALUE"""),"360° Bird's eye view")</f>
        <v>360° Bird's eye view</v>
      </c>
      <c r="AH3327" s="189">
        <f>IFERROR(__xludf.DUMMYFUNCTION("""COMPUTED_VALUE"""),44423.81120222222)</f>
        <v>44423.8112</v>
      </c>
    </row>
    <row r="3328">
      <c r="A3328" t="str">
        <f>IFERROR(__xludf.DUMMYFUNCTION("""COMPUTED_VALUE"""),"Aj")</f>
        <v>Aj</v>
      </c>
      <c r="B3328" t="str">
        <f>IFERROR(__xludf.DUMMYFUNCTION("""COMPUTED_VALUE"""),"Holly Springs")</f>
        <v>Holly Springs</v>
      </c>
      <c r="C3328" t="str">
        <f>IFERROR(__xludf.DUMMYFUNCTION("""COMPUTED_VALUE"""),"NC")</f>
        <v>NC</v>
      </c>
      <c r="D3328" t="str">
        <f>IFERROR(__xludf.DUMMYFUNCTION("""COMPUTED_VALUE"""),"USA")</f>
        <v>USA</v>
      </c>
      <c r="E3328" s="188">
        <f>IFERROR(__xludf.DUMMYFUNCTION("""COMPUTED_VALUE"""),44410.0)</f>
        <v>44410</v>
      </c>
      <c r="N3328" t="str">
        <f>IFERROR(__xludf.DUMMYFUNCTION("""COMPUTED_VALUE"""),"Model 3 SR+")</f>
        <v>Model 3 SR+</v>
      </c>
      <c r="O3328" t="str">
        <f>IFERROR(__xludf.DUMMYFUNCTION("""COMPUTED_VALUE"""),"Pearl White Multi-Coat")</f>
        <v>Pearl White Multi-Coat</v>
      </c>
      <c r="P3328" t="str">
        <f>IFERROR(__xludf.DUMMYFUNCTION("""COMPUTED_VALUE"""),"18 inch")</f>
        <v>18 inch</v>
      </c>
      <c r="Q3328" t="str">
        <f>IFERROR(__xludf.DUMMYFUNCTION("""COMPUTED_VALUE"""),"Black and White")</f>
        <v>Black and White</v>
      </c>
      <c r="R3328" t="str">
        <f>IFERROR(__xludf.DUMMYFUNCTION("""COMPUTED_VALUE"""),"Autopilot included")</f>
        <v>Autopilot included</v>
      </c>
      <c r="S3328" t="str">
        <f>IFERROR(__xludf.DUMMYFUNCTION("""COMPUTED_VALUE"""),"Loan")</f>
        <v>Loan</v>
      </c>
      <c r="T3328" t="str">
        <f>IFERROR(__xludf.DUMMYFUNCTION("""COMPUTED_VALUE"""),"Honda CRV")</f>
        <v>Honda CRV</v>
      </c>
      <c r="V3328" t="str">
        <f>IFERROR(__xludf.DUMMYFUNCTION("""COMPUTED_VALUE"""),"Head-up display")</f>
        <v>Head-up display</v>
      </c>
      <c r="AH3328" s="189">
        <f>IFERROR(__xludf.DUMMYFUNCTION("""COMPUTED_VALUE"""),44423.83985052083)</f>
        <v>44423.83985</v>
      </c>
    </row>
    <row r="3329">
      <c r="A3329" t="str">
        <f>IFERROR(__xludf.DUMMYFUNCTION("""COMPUTED_VALUE"""),"wafer")</f>
        <v>wafer</v>
      </c>
      <c r="B3329" t="str">
        <f>IFERROR(__xludf.DUMMYFUNCTION("""COMPUTED_VALUE"""),"Garland")</f>
        <v>Garland</v>
      </c>
      <c r="C3329" t="str">
        <f>IFERROR(__xludf.DUMMYFUNCTION("""COMPUTED_VALUE"""),"TX")</f>
        <v>TX</v>
      </c>
      <c r="D3329" t="str">
        <f>IFERROR(__xludf.DUMMYFUNCTION("""COMPUTED_VALUE"""),"USA")</f>
        <v>USA</v>
      </c>
      <c r="E3329" s="188">
        <f>IFERROR(__xludf.DUMMYFUNCTION("""COMPUTED_VALUE"""),44393.0)</f>
        <v>44393</v>
      </c>
      <c r="N3329" t="str">
        <f>IFERROR(__xludf.DUMMYFUNCTION("""COMPUTED_VALUE"""),"Model 3 SR+")</f>
        <v>Model 3 SR+</v>
      </c>
      <c r="O3329" t="str">
        <f>IFERROR(__xludf.DUMMYFUNCTION("""COMPUTED_VALUE"""),"Pearl White Multi-Coat")</f>
        <v>Pearl White Multi-Coat</v>
      </c>
      <c r="P3329" t="str">
        <f>IFERROR(__xludf.DUMMYFUNCTION("""COMPUTED_VALUE"""),"19 inch")</f>
        <v>19 inch</v>
      </c>
      <c r="Q3329" t="str">
        <f>IFERROR(__xludf.DUMMYFUNCTION("""COMPUTED_VALUE"""),"All Black")</f>
        <v>All Black</v>
      </c>
      <c r="R3329" t="str">
        <f>IFERROR(__xludf.DUMMYFUNCTION("""COMPUTED_VALUE"""),"Full Self-Driving")</f>
        <v>Full Self-Driving</v>
      </c>
      <c r="S3329" t="str">
        <f>IFERROR(__xludf.DUMMYFUNCTION("""COMPUTED_VALUE"""),"Loan")</f>
        <v>Loan</v>
      </c>
      <c r="U3329" t="str">
        <f>IFERROR(__xludf.DUMMYFUNCTION("""COMPUTED_VALUE"""),"FSD")</f>
        <v>FSD</v>
      </c>
      <c r="V3329" t="str">
        <f>IFERROR(__xludf.DUMMYFUNCTION("""COMPUTED_VALUE"""),"Apple CarPlay / Android Auto / SiriusXM Radio")</f>
        <v>Apple CarPlay / Android Auto / SiriusXM Radio</v>
      </c>
      <c r="AH3329" s="189">
        <f>IFERROR(__xludf.DUMMYFUNCTION("""COMPUTED_VALUE"""),44423.89790269676)</f>
        <v>44423.8979</v>
      </c>
    </row>
    <row r="3330">
      <c r="A3330" t="str">
        <f>IFERROR(__xludf.DUMMYFUNCTION("""COMPUTED_VALUE"""),"zeappletree3")</f>
        <v>zeappletree3</v>
      </c>
      <c r="B3330" t="str">
        <f>IFERROR(__xludf.DUMMYFUNCTION("""COMPUTED_VALUE"""),"Atlanta")</f>
        <v>Atlanta</v>
      </c>
      <c r="C3330" t="str">
        <f>IFERROR(__xludf.DUMMYFUNCTION("""COMPUTED_VALUE"""),"GA")</f>
        <v>GA</v>
      </c>
      <c r="D3330" t="str">
        <f>IFERROR(__xludf.DUMMYFUNCTION("""COMPUTED_VALUE"""),"USA")</f>
        <v>USA</v>
      </c>
      <c r="E3330" s="188">
        <f>IFERROR(__xludf.DUMMYFUNCTION("""COMPUTED_VALUE"""),44377.0)</f>
        <v>44377</v>
      </c>
      <c r="F3330" s="188">
        <f>IFERROR(__xludf.DUMMYFUNCTION("""COMPUTED_VALUE"""),44421.0)</f>
        <v>44421</v>
      </c>
      <c r="G3330" t="str">
        <f>IFERROR(__xludf.DUMMYFUNCTION("""COMPUTED_VALUE"""),"Manage order page (normal text)")</f>
        <v>Manage order page (normal text)</v>
      </c>
      <c r="J3330" s="188">
        <f>IFERROR(__xludf.DUMMYFUNCTION("""COMPUTED_VALUE"""),44437.0)</f>
        <v>44437</v>
      </c>
      <c r="K3330">
        <f>IFERROR(__xludf.DUMMYFUNCTION("""COMPUTED_VALUE"""),44.0)</f>
        <v>44</v>
      </c>
      <c r="L3330">
        <f>IFERROR(__xludf.DUMMYFUNCTION("""COMPUTED_VALUE"""),16.0)</f>
        <v>16</v>
      </c>
      <c r="M3330">
        <f>IFERROR(__xludf.DUMMYFUNCTION("""COMPUTED_VALUE"""),60.0)</f>
        <v>60</v>
      </c>
      <c r="N3330" t="str">
        <f>IFERROR(__xludf.DUMMYFUNCTION("""COMPUTED_VALUE"""),"Model 3 LR AWD")</f>
        <v>Model 3 LR AWD</v>
      </c>
      <c r="O3330" t="str">
        <f>IFERROR(__xludf.DUMMYFUNCTION("""COMPUTED_VALUE"""),"Pearl White Multi-Coat")</f>
        <v>Pearl White Multi-Coat</v>
      </c>
      <c r="P3330" t="str">
        <f>IFERROR(__xludf.DUMMYFUNCTION("""COMPUTED_VALUE"""),"18 inch")</f>
        <v>18 inch</v>
      </c>
      <c r="Q3330" t="str">
        <f>IFERROR(__xludf.DUMMYFUNCTION("""COMPUTED_VALUE"""),"Black and White")</f>
        <v>Black and White</v>
      </c>
      <c r="R3330" t="str">
        <f>IFERROR(__xludf.DUMMYFUNCTION("""COMPUTED_VALUE"""),"Autopilot included")</f>
        <v>Autopilot included</v>
      </c>
      <c r="S3330" t="str">
        <f>IFERROR(__xludf.DUMMYFUNCTION("""COMPUTED_VALUE"""),"Loan")</f>
        <v>Loan</v>
      </c>
      <c r="T3330" t="str">
        <f>IFERROR(__xludf.DUMMYFUNCTION("""COMPUTED_VALUE"""),"BMW M3")</f>
        <v>BMW M3</v>
      </c>
      <c r="U3330" t="str">
        <f>IFERROR(__xludf.DUMMYFUNCTION("""COMPUTED_VALUE"""),"Autopilot")</f>
        <v>Autopilot</v>
      </c>
      <c r="V3330" t="str">
        <f>IFERROR(__xludf.DUMMYFUNCTION("""COMPUTED_VALUE"""),"Head-up display")</f>
        <v>Head-up display</v>
      </c>
      <c r="AH3330" s="189">
        <f>IFERROR(__xludf.DUMMYFUNCTION("""COMPUTED_VALUE"""),44428.258337210646)</f>
        <v>44428.25834</v>
      </c>
    </row>
    <row r="3331">
      <c r="A3331" t="str">
        <f>IFERROR(__xludf.DUMMYFUNCTION("""COMPUTED_VALUE"""),"EmmJay")</f>
        <v>EmmJay</v>
      </c>
      <c r="B3331" t="str">
        <f>IFERROR(__xludf.DUMMYFUNCTION("""COMPUTED_VALUE"""),"Nashville")</f>
        <v>Nashville</v>
      </c>
      <c r="C3331" t="str">
        <f>IFERROR(__xludf.DUMMYFUNCTION("""COMPUTED_VALUE"""),"TN")</f>
        <v>TN</v>
      </c>
      <c r="D3331" t="str">
        <f>IFERROR(__xludf.DUMMYFUNCTION("""COMPUTED_VALUE"""),"USA")</f>
        <v>USA</v>
      </c>
      <c r="E3331" s="188">
        <f>IFERROR(__xludf.DUMMYFUNCTION("""COMPUTED_VALUE"""),44423.0)</f>
        <v>44423</v>
      </c>
      <c r="N3331" t="str">
        <f>IFERROR(__xludf.DUMMYFUNCTION("""COMPUTED_VALUE"""),"Model 3 SR+")</f>
        <v>Model 3 SR+</v>
      </c>
      <c r="O3331" t="str">
        <f>IFERROR(__xludf.DUMMYFUNCTION("""COMPUTED_VALUE"""),"Deep Blue Metallic")</f>
        <v>Deep Blue Metallic</v>
      </c>
      <c r="P3331" t="str">
        <f>IFERROR(__xludf.DUMMYFUNCTION("""COMPUTED_VALUE"""),"19 inch")</f>
        <v>19 inch</v>
      </c>
      <c r="Q3331" t="str">
        <f>IFERROR(__xludf.DUMMYFUNCTION("""COMPUTED_VALUE"""),"Black and White")</f>
        <v>Black and White</v>
      </c>
      <c r="R3331" t="str">
        <f>IFERROR(__xludf.DUMMYFUNCTION("""COMPUTED_VALUE"""),"Autopilot included")</f>
        <v>Autopilot included</v>
      </c>
      <c r="S3331" t="str">
        <f>IFERROR(__xludf.DUMMYFUNCTION("""COMPUTED_VALUE"""),"Loan")</f>
        <v>Loan</v>
      </c>
      <c r="T3331" t="str">
        <f>IFERROR(__xludf.DUMMYFUNCTION("""COMPUTED_VALUE"""),"Kia Soul")</f>
        <v>Kia Soul</v>
      </c>
      <c r="U3331" t="str">
        <f>IFERROR(__xludf.DUMMYFUNCTION("""COMPUTED_VALUE"""),"Electric!")</f>
        <v>Electric!</v>
      </c>
      <c r="V3331" t="str">
        <f>IFERROR(__xludf.DUMMYFUNCTION("""COMPUTED_VALUE"""),"Blind spot indicators on side mirrors")</f>
        <v>Blind spot indicators on side mirrors</v>
      </c>
      <c r="AH3331" s="189">
        <f>IFERROR(__xludf.DUMMYFUNCTION("""COMPUTED_VALUE"""),44424.48753125)</f>
        <v>44424.48753</v>
      </c>
    </row>
    <row r="3332">
      <c r="A3332" t="str">
        <f>IFERROR(__xludf.DUMMYFUNCTION("""COMPUTED_VALUE"""),"Investigator")</f>
        <v>Investigator</v>
      </c>
      <c r="B3332" t="str">
        <f>IFERROR(__xludf.DUMMYFUNCTION("""COMPUTED_VALUE"""),"Tyson corner")</f>
        <v>Tyson corner</v>
      </c>
      <c r="C3332" t="str">
        <f>IFERROR(__xludf.DUMMYFUNCTION("""COMPUTED_VALUE"""),"VA")</f>
        <v>VA</v>
      </c>
      <c r="D3332" t="str">
        <f>IFERROR(__xludf.DUMMYFUNCTION("""COMPUTED_VALUE"""),"USA")</f>
        <v>USA</v>
      </c>
      <c r="E3332" s="188">
        <f>IFERROR(__xludf.DUMMYFUNCTION("""COMPUTED_VALUE"""),44408.0)</f>
        <v>44408</v>
      </c>
      <c r="N3332" t="str">
        <f>IFERROR(__xludf.DUMMYFUNCTION("""COMPUTED_VALUE"""),"Model 3 SR+")</f>
        <v>Model 3 SR+</v>
      </c>
      <c r="O3332" t="str">
        <f>IFERROR(__xludf.DUMMYFUNCTION("""COMPUTED_VALUE"""),"Solid Black")</f>
        <v>Solid Black</v>
      </c>
      <c r="P3332" t="str">
        <f>IFERROR(__xludf.DUMMYFUNCTION("""COMPUTED_VALUE"""),"18 inch")</f>
        <v>18 inch</v>
      </c>
      <c r="Q3332" t="str">
        <f>IFERROR(__xludf.DUMMYFUNCTION("""COMPUTED_VALUE"""),"All Black")</f>
        <v>All Black</v>
      </c>
      <c r="R3332" t="str">
        <f>IFERROR(__xludf.DUMMYFUNCTION("""COMPUTED_VALUE"""),"Full Self-Driving")</f>
        <v>Full Self-Driving</v>
      </c>
      <c r="S3332" t="str">
        <f>IFERROR(__xludf.DUMMYFUNCTION("""COMPUTED_VALUE"""),"Loan")</f>
        <v>Loan</v>
      </c>
      <c r="T3332" t="str">
        <f>IFERROR(__xludf.DUMMYFUNCTION("""COMPUTED_VALUE"""),"model 3 will be my first car")</f>
        <v>model 3 will be my first car</v>
      </c>
      <c r="U3332" t="str">
        <f>IFERROR(__xludf.DUMMYFUNCTION("""COMPUTED_VALUE"""),"all of the above")</f>
        <v>all of the above</v>
      </c>
      <c r="V3332" t="str">
        <f>IFERROR(__xludf.DUMMYFUNCTION("""COMPUTED_VALUE"""),"Ventilated seats")</f>
        <v>Ventilated seats</v>
      </c>
      <c r="AH3332" s="189">
        <f>IFERROR(__xludf.DUMMYFUNCTION("""COMPUTED_VALUE"""),44425.486455081016)</f>
        <v>44425.48646</v>
      </c>
    </row>
    <row r="3333">
      <c r="A3333" t="str">
        <f>IFERROR(__xludf.DUMMYFUNCTION("""COMPUTED_VALUE"""),"hazel524")</f>
        <v>hazel524</v>
      </c>
      <c r="B3333" t="str">
        <f>IFERROR(__xludf.DUMMYFUNCTION("""COMPUTED_VALUE"""),"Atlanta")</f>
        <v>Atlanta</v>
      </c>
      <c r="C3333" t="str">
        <f>IFERROR(__xludf.DUMMYFUNCTION("""COMPUTED_VALUE"""),"GA")</f>
        <v>GA</v>
      </c>
      <c r="D3333" t="str">
        <f>IFERROR(__xludf.DUMMYFUNCTION("""COMPUTED_VALUE"""),"USA")</f>
        <v>USA</v>
      </c>
      <c r="E3333" s="188">
        <f>IFERROR(__xludf.DUMMYFUNCTION("""COMPUTED_VALUE"""),44396.0)</f>
        <v>44396</v>
      </c>
      <c r="N3333" t="str">
        <f>IFERROR(__xludf.DUMMYFUNCTION("""COMPUTED_VALUE"""),"Model 3 LR AWD")</f>
        <v>Model 3 LR AWD</v>
      </c>
      <c r="O3333" t="str">
        <f>IFERROR(__xludf.DUMMYFUNCTION("""COMPUTED_VALUE"""),"Pearl White Multi-Coat")</f>
        <v>Pearl White Multi-Coat</v>
      </c>
      <c r="P3333" t="str">
        <f>IFERROR(__xludf.DUMMYFUNCTION("""COMPUTED_VALUE"""),"19 inch")</f>
        <v>19 inch</v>
      </c>
      <c r="Q3333" t="str">
        <f>IFERROR(__xludf.DUMMYFUNCTION("""COMPUTED_VALUE"""),"Black and White")</f>
        <v>Black and White</v>
      </c>
      <c r="R3333" t="str">
        <f>IFERROR(__xludf.DUMMYFUNCTION("""COMPUTED_VALUE"""),"Autopilot included")</f>
        <v>Autopilot included</v>
      </c>
      <c r="S3333" t="str">
        <f>IFERROR(__xludf.DUMMYFUNCTION("""COMPUTED_VALUE"""),"Loan")</f>
        <v>Loan</v>
      </c>
      <c r="T3333" t="str">
        <f>IFERROR(__xludf.DUMMYFUNCTION("""COMPUTED_VALUE"""),"Hyundai Tuscon")</f>
        <v>Hyundai Tuscon</v>
      </c>
      <c r="U3333" t="str">
        <f>IFERROR(__xludf.DUMMYFUNCTION("""COMPUTED_VALUE"""),"Electric!")</f>
        <v>Electric!</v>
      </c>
      <c r="V3333" t="str">
        <f>IFERROR(__xludf.DUMMYFUNCTION("""COMPUTED_VALUE"""),"Apple CarPlay / Android Auto / SiriusXM Radio")</f>
        <v>Apple CarPlay / Android Auto / SiriusXM Radio</v>
      </c>
      <c r="AH3333" s="189">
        <f>IFERROR(__xludf.DUMMYFUNCTION("""COMPUTED_VALUE"""),44424.66046296296)</f>
        <v>44424.66046</v>
      </c>
    </row>
    <row r="3334">
      <c r="A3334" t="str">
        <f>IFERROR(__xludf.DUMMYFUNCTION("""COMPUTED_VALUE"""),"PeePants")</f>
        <v>PeePants</v>
      </c>
      <c r="C3334" t="str">
        <f>IFERROR(__xludf.DUMMYFUNCTION("""COMPUTED_VALUE"""),"FL")</f>
        <v>FL</v>
      </c>
      <c r="D3334" t="str">
        <f>IFERROR(__xludf.DUMMYFUNCTION("""COMPUTED_VALUE"""),"USA")</f>
        <v>USA</v>
      </c>
      <c r="E3334" s="188">
        <f>IFERROR(__xludf.DUMMYFUNCTION("""COMPUTED_VALUE"""),44403.0)</f>
        <v>44403</v>
      </c>
      <c r="F3334" s="188">
        <f>IFERROR(__xludf.DUMMYFUNCTION("""COMPUTED_VALUE"""),44415.0)</f>
        <v>44415</v>
      </c>
      <c r="G3334" t="str">
        <f>IFERROR(__xludf.DUMMYFUNCTION("""COMPUTED_VALUE"""),"Manage order page (normal text)")</f>
        <v>Manage order page (normal text)</v>
      </c>
      <c r="I3334" t="str">
        <f>IFERROR(__xludf.DUMMYFUNCTION("""COMPUTED_VALUE"""),"08/21")</f>
        <v>08/21</v>
      </c>
      <c r="J3334" s="188">
        <f>IFERROR(__xludf.DUMMYFUNCTION("""COMPUTED_VALUE"""),44427.0)</f>
        <v>44427</v>
      </c>
      <c r="K3334">
        <f>IFERROR(__xludf.DUMMYFUNCTION("""COMPUTED_VALUE"""),12.0)</f>
        <v>12</v>
      </c>
      <c r="L3334">
        <f>IFERROR(__xludf.DUMMYFUNCTION("""COMPUTED_VALUE"""),12.0)</f>
        <v>12</v>
      </c>
      <c r="M3334">
        <f>IFERROR(__xludf.DUMMYFUNCTION("""COMPUTED_VALUE"""),24.0)</f>
        <v>24</v>
      </c>
      <c r="N3334" t="str">
        <f>IFERROR(__xludf.DUMMYFUNCTION("""COMPUTED_VALUE"""),"Model 3 Performance")</f>
        <v>Model 3 Performance</v>
      </c>
      <c r="O3334" t="str">
        <f>IFERROR(__xludf.DUMMYFUNCTION("""COMPUTED_VALUE"""),"Midnight Silver Metallic")</f>
        <v>Midnight Silver Metallic</v>
      </c>
      <c r="P3334" t="str">
        <f>IFERROR(__xludf.DUMMYFUNCTION("""COMPUTED_VALUE"""),"20 inch")</f>
        <v>20 inch</v>
      </c>
      <c r="Q3334" t="str">
        <f>IFERROR(__xludf.DUMMYFUNCTION("""COMPUTED_VALUE"""),"All Black")</f>
        <v>All Black</v>
      </c>
      <c r="R3334" t="str">
        <f>IFERROR(__xludf.DUMMYFUNCTION("""COMPUTED_VALUE"""),"Autopilot included")</f>
        <v>Autopilot included</v>
      </c>
      <c r="U3334" t="str">
        <f>IFERROR(__xludf.DUMMYFUNCTION("""COMPUTED_VALUE"""),"Electric!")</f>
        <v>Electric!</v>
      </c>
      <c r="V3334" t="str">
        <f>IFERROR(__xludf.DUMMYFUNCTION("""COMPUTED_VALUE"""),"360° Bird's eye view")</f>
        <v>360° Bird's eye view</v>
      </c>
      <c r="X3334" t="str">
        <f>IFERROR(__xludf.DUMMYFUNCTION("""COMPUTED_VALUE"""),"Very Good")</f>
        <v>Very Good</v>
      </c>
      <c r="Y3334" t="str">
        <f>IFERROR(__xludf.DUMMYFUNCTION("""COMPUTED_VALUE"""),"Very Good")</f>
        <v>Very Good</v>
      </c>
      <c r="AA3334" t="str">
        <f>IFERROR(__xludf.DUMMYFUNCTION("""COMPUTED_VALUE"""),"Excellent")</f>
        <v>Excellent</v>
      </c>
      <c r="AB3334" t="str">
        <f>IFERROR(__xludf.DUMMYFUNCTION("""COMPUTED_VALUE"""),"Excellent")</f>
        <v>Excellent</v>
      </c>
      <c r="AC3334">
        <f>IFERROR(__xludf.DUMMYFUNCTION("""COMPUTED_VALUE"""),1.0)</f>
        <v>1</v>
      </c>
      <c r="AF3334" t="str">
        <f>IFERROR(__xludf.DUMMYFUNCTION("""COMPUTED_VALUE"""),"No. I took delivery of the first car Tesla was able to deliver.")</f>
        <v>No. I took delivery of the first car Tesla was able to deliver.</v>
      </c>
      <c r="AH3334" s="189">
        <f>IFERROR(__xludf.DUMMYFUNCTION("""COMPUTED_VALUE"""),44427.83063225694)</f>
        <v>44427.83063</v>
      </c>
    </row>
    <row r="3335">
      <c r="A3335" t="str">
        <f>IFERROR(__xludf.DUMMYFUNCTION("""COMPUTED_VALUE"""),"PigInASuit")</f>
        <v>PigInASuit</v>
      </c>
      <c r="B3335" t="str">
        <f>IFERROR(__xludf.DUMMYFUNCTION("""COMPUTED_VALUE"""),"Vallejo")</f>
        <v>Vallejo</v>
      </c>
      <c r="C3335" t="str">
        <f>IFERROR(__xludf.DUMMYFUNCTION("""COMPUTED_VALUE"""),"CA")</f>
        <v>CA</v>
      </c>
      <c r="D3335" t="str">
        <f>IFERROR(__xludf.DUMMYFUNCTION("""COMPUTED_VALUE"""),"USA")</f>
        <v>USA</v>
      </c>
      <c r="E3335" s="188">
        <f>IFERROR(__xludf.DUMMYFUNCTION("""COMPUTED_VALUE"""),44408.0)</f>
        <v>44408</v>
      </c>
      <c r="J3335" s="188">
        <f>IFERROR(__xludf.DUMMYFUNCTION("""COMPUTED_VALUE"""),44469.0)</f>
        <v>44469</v>
      </c>
      <c r="M3335">
        <f>IFERROR(__xludf.DUMMYFUNCTION("""COMPUTED_VALUE"""),61.0)</f>
        <v>61</v>
      </c>
      <c r="N3335" t="str">
        <f>IFERROR(__xludf.DUMMYFUNCTION("""COMPUTED_VALUE"""),"Model 3 LR AWD")</f>
        <v>Model 3 LR AWD</v>
      </c>
      <c r="O3335" t="str">
        <f>IFERROR(__xludf.DUMMYFUNCTION("""COMPUTED_VALUE"""),"Deep Blue Metallic")</f>
        <v>Deep Blue Metallic</v>
      </c>
      <c r="P3335" t="str">
        <f>IFERROR(__xludf.DUMMYFUNCTION("""COMPUTED_VALUE"""),"18 inch")</f>
        <v>18 inch</v>
      </c>
      <c r="Q3335" t="str">
        <f>IFERROR(__xludf.DUMMYFUNCTION("""COMPUTED_VALUE"""),"All Black")</f>
        <v>All Black</v>
      </c>
      <c r="R3335" t="str">
        <f>IFERROR(__xludf.DUMMYFUNCTION("""COMPUTED_VALUE"""),"Full Self-Driving")</f>
        <v>Full Self-Driving</v>
      </c>
      <c r="S3335" t="str">
        <f>IFERROR(__xludf.DUMMYFUNCTION("""COMPUTED_VALUE"""),"Loan")</f>
        <v>Loan</v>
      </c>
      <c r="U3335" t="str">
        <f>IFERROR(__xludf.DUMMYFUNCTION("""COMPUTED_VALUE"""),"Autopilot")</f>
        <v>Autopilot</v>
      </c>
      <c r="V3335" t="str">
        <f>IFERROR(__xludf.DUMMYFUNCTION("""COMPUTED_VALUE"""),"Air suspension")</f>
        <v>Air suspension</v>
      </c>
      <c r="AH3335" s="189">
        <f>IFERROR(__xludf.DUMMYFUNCTION("""COMPUTED_VALUE"""),44431.501078437504)</f>
        <v>44431.50108</v>
      </c>
    </row>
    <row r="3336">
      <c r="A3336" t="str">
        <f>IFERROR(__xludf.DUMMYFUNCTION("""COMPUTED_VALUE"""),"Dr_Hamz")</f>
        <v>Dr_Hamz</v>
      </c>
      <c r="B3336" t="str">
        <f>IFERROR(__xludf.DUMMYFUNCTION("""COMPUTED_VALUE"""),"Dallas")</f>
        <v>Dallas</v>
      </c>
      <c r="C3336" t="str">
        <f>IFERROR(__xludf.DUMMYFUNCTION("""COMPUTED_VALUE"""),"TX")</f>
        <v>TX</v>
      </c>
      <c r="D3336" t="str">
        <f>IFERROR(__xludf.DUMMYFUNCTION("""COMPUTED_VALUE"""),"USA")</f>
        <v>USA</v>
      </c>
      <c r="E3336" s="188">
        <f>IFERROR(__xludf.DUMMYFUNCTION("""COMPUTED_VALUE"""),44401.0)</f>
        <v>44401</v>
      </c>
      <c r="J3336" s="188">
        <f>IFERROR(__xludf.DUMMYFUNCTION("""COMPUTED_VALUE"""),44463.0)</f>
        <v>44463</v>
      </c>
      <c r="M3336">
        <f>IFERROR(__xludf.DUMMYFUNCTION("""COMPUTED_VALUE"""),62.0)</f>
        <v>62</v>
      </c>
      <c r="N3336" t="str">
        <f>IFERROR(__xludf.DUMMYFUNCTION("""COMPUTED_VALUE"""),"Model 3 LR AWD")</f>
        <v>Model 3 LR AWD</v>
      </c>
      <c r="O3336" t="str">
        <f>IFERROR(__xludf.DUMMYFUNCTION("""COMPUTED_VALUE"""),"Deep Blue Metallic")</f>
        <v>Deep Blue Metallic</v>
      </c>
      <c r="P3336" t="str">
        <f>IFERROR(__xludf.DUMMYFUNCTION("""COMPUTED_VALUE"""),"19 inch")</f>
        <v>19 inch</v>
      </c>
      <c r="Q3336" t="str">
        <f>IFERROR(__xludf.DUMMYFUNCTION("""COMPUTED_VALUE"""),"Black and White")</f>
        <v>Black and White</v>
      </c>
      <c r="R3336" t="str">
        <f>IFERROR(__xludf.DUMMYFUNCTION("""COMPUTED_VALUE"""),"Autopilot included")</f>
        <v>Autopilot included</v>
      </c>
      <c r="S3336" t="str">
        <f>IFERROR(__xludf.DUMMYFUNCTION("""COMPUTED_VALUE"""),"Loan")</f>
        <v>Loan</v>
      </c>
      <c r="T3336" t="str">
        <f>IFERROR(__xludf.DUMMYFUNCTION("""COMPUTED_VALUE"""),"BMW 5 Series")</f>
        <v>BMW 5 Series</v>
      </c>
      <c r="U3336" t="str">
        <f>IFERROR(__xludf.DUMMYFUNCTION("""COMPUTED_VALUE"""),"Electric!")</f>
        <v>Electric!</v>
      </c>
      <c r="AH3336" s="189">
        <f>IFERROR(__xludf.DUMMYFUNCTION("""COMPUTED_VALUE"""),44425.4555029051)</f>
        <v>44425.4555</v>
      </c>
    </row>
    <row r="3337">
      <c r="A3337" t="str">
        <f>IFERROR(__xludf.DUMMYFUNCTION("""COMPUTED_VALUE"""),"moyism")</f>
        <v>moyism</v>
      </c>
      <c r="C3337" t="str">
        <f>IFERROR(__xludf.DUMMYFUNCTION("""COMPUTED_VALUE"""),"NJ")</f>
        <v>NJ</v>
      </c>
      <c r="D3337" t="str">
        <f>IFERROR(__xludf.DUMMYFUNCTION("""COMPUTED_VALUE"""),"USA")</f>
        <v>USA</v>
      </c>
      <c r="E3337" s="188">
        <f>IFERROR(__xludf.DUMMYFUNCTION("""COMPUTED_VALUE"""),44381.0)</f>
        <v>44381</v>
      </c>
      <c r="F3337" s="188">
        <f>IFERROR(__xludf.DUMMYFUNCTION("""COMPUTED_VALUE"""),44421.0)</f>
        <v>44421</v>
      </c>
      <c r="G3337" t="str">
        <f>IFERROR(__xludf.DUMMYFUNCTION("""COMPUTED_VALUE"""),"Manage order page (normal text)")</f>
        <v>Manage order page (normal text)</v>
      </c>
      <c r="J3337" s="188">
        <f>IFERROR(__xludf.DUMMYFUNCTION("""COMPUTED_VALUE"""),44435.0)</f>
        <v>44435</v>
      </c>
      <c r="K3337">
        <f>IFERROR(__xludf.DUMMYFUNCTION("""COMPUTED_VALUE"""),40.0)</f>
        <v>40</v>
      </c>
      <c r="L3337">
        <f>IFERROR(__xludf.DUMMYFUNCTION("""COMPUTED_VALUE"""),14.0)</f>
        <v>14</v>
      </c>
      <c r="M3337">
        <f>IFERROR(__xludf.DUMMYFUNCTION("""COMPUTED_VALUE"""),54.0)</f>
        <v>54</v>
      </c>
      <c r="N3337" t="str">
        <f>IFERROR(__xludf.DUMMYFUNCTION("""COMPUTED_VALUE"""),"Model 3 LR AWD")</f>
        <v>Model 3 LR AWD</v>
      </c>
      <c r="O3337" t="str">
        <f>IFERROR(__xludf.DUMMYFUNCTION("""COMPUTED_VALUE"""),"Deep Blue Metallic")</f>
        <v>Deep Blue Metallic</v>
      </c>
      <c r="P3337" t="str">
        <f>IFERROR(__xludf.DUMMYFUNCTION("""COMPUTED_VALUE"""),"18 inch")</f>
        <v>18 inch</v>
      </c>
      <c r="Q3337" t="str">
        <f>IFERROR(__xludf.DUMMYFUNCTION("""COMPUTED_VALUE"""),"All Black")</f>
        <v>All Black</v>
      </c>
      <c r="R3337" t="str">
        <f>IFERROR(__xludf.DUMMYFUNCTION("""COMPUTED_VALUE"""),"Autopilot included")</f>
        <v>Autopilot included</v>
      </c>
      <c r="S3337" t="str">
        <f>IFERROR(__xludf.DUMMYFUNCTION("""COMPUTED_VALUE"""),"Loan")</f>
        <v>Loan</v>
      </c>
      <c r="T3337" t="str">
        <f>IFERROR(__xludf.DUMMYFUNCTION("""COMPUTED_VALUE"""),"Mazda 3")</f>
        <v>Mazda 3</v>
      </c>
      <c r="U3337" t="str">
        <f>IFERROR(__xludf.DUMMYFUNCTION("""COMPUTED_VALUE"""),"Electric!")</f>
        <v>Electric!</v>
      </c>
      <c r="V3337" t="str">
        <f>IFERROR(__xludf.DUMMYFUNCTION("""COMPUTED_VALUE"""),"Apple CarPlay / Android Auto / SiriusXM Radio")</f>
        <v>Apple CarPlay / Android Auto / SiriusXM Radio</v>
      </c>
      <c r="AH3337" s="189">
        <f>IFERROR(__xludf.DUMMYFUNCTION("""COMPUTED_VALUE"""),44425.521944548615)</f>
        <v>44425.52194</v>
      </c>
    </row>
    <row r="3338">
      <c r="A3338" t="str">
        <f>IFERROR(__xludf.DUMMYFUNCTION("""COMPUTED_VALUE"""),"Vincentk ")</f>
        <v>Vincentk </v>
      </c>
      <c r="B3338" t="str">
        <f>IFERROR(__xludf.DUMMYFUNCTION("""COMPUTED_VALUE"""),"Markham")</f>
        <v>Markham</v>
      </c>
      <c r="C3338" t="str">
        <f>IFERROR(__xludf.DUMMYFUNCTION("""COMPUTED_VALUE"""),"ON")</f>
        <v>ON</v>
      </c>
      <c r="D3338" t="str">
        <f>IFERROR(__xludf.DUMMYFUNCTION("""COMPUTED_VALUE"""),"Canada")</f>
        <v>Canada</v>
      </c>
      <c r="E3338" s="188">
        <f>IFERROR(__xludf.DUMMYFUNCTION("""COMPUTED_VALUE"""),44382.0)</f>
        <v>44382</v>
      </c>
      <c r="N3338" t="str">
        <f>IFERROR(__xludf.DUMMYFUNCTION("""COMPUTED_VALUE"""),"Model 3 SR+")</f>
        <v>Model 3 SR+</v>
      </c>
      <c r="O3338" t="str">
        <f>IFERROR(__xludf.DUMMYFUNCTION("""COMPUTED_VALUE"""),"Pearl White Multi-Coat")</f>
        <v>Pearl White Multi-Coat</v>
      </c>
      <c r="P3338" t="str">
        <f>IFERROR(__xludf.DUMMYFUNCTION("""COMPUTED_VALUE"""),"18 inch")</f>
        <v>18 inch</v>
      </c>
      <c r="Q3338" t="str">
        <f>IFERROR(__xludf.DUMMYFUNCTION("""COMPUTED_VALUE"""),"All Black")</f>
        <v>All Black</v>
      </c>
      <c r="R3338" t="str">
        <f>IFERROR(__xludf.DUMMYFUNCTION("""COMPUTED_VALUE"""),"Autopilot included")</f>
        <v>Autopilot included</v>
      </c>
      <c r="S3338" t="str">
        <f>IFERROR(__xludf.DUMMYFUNCTION("""COMPUTED_VALUE"""),"Loan")</f>
        <v>Loan</v>
      </c>
      <c r="T3338" t="str">
        <f>IFERROR(__xludf.DUMMYFUNCTION("""COMPUTED_VALUE"""),"VW jetta")</f>
        <v>VW jetta</v>
      </c>
      <c r="U3338" t="str">
        <f>IFERROR(__xludf.DUMMYFUNCTION("""COMPUTED_VALUE"""),"Electric!")</f>
        <v>Electric!</v>
      </c>
      <c r="V3338" t="str">
        <f>IFERROR(__xludf.DUMMYFUNCTION("""COMPUTED_VALUE"""),"Air suspension")</f>
        <v>Air suspension</v>
      </c>
      <c r="AH3338" s="189">
        <f>IFERROR(__xludf.DUMMYFUNCTION("""COMPUTED_VALUE"""),44425.57087972222)</f>
        <v>44425.57088</v>
      </c>
    </row>
    <row r="3339">
      <c r="A3339" t="str">
        <f>IFERROR(__xludf.DUMMYFUNCTION("""COMPUTED_VALUE"""),"RichardMa0830")</f>
        <v>RichardMa0830</v>
      </c>
      <c r="B3339" t="str">
        <f>IFERROR(__xludf.DUMMYFUNCTION("""COMPUTED_VALUE"""),"Los Angeles")</f>
        <v>Los Angeles</v>
      </c>
      <c r="C3339" t="str">
        <f>IFERROR(__xludf.DUMMYFUNCTION("""COMPUTED_VALUE"""),"CA")</f>
        <v>CA</v>
      </c>
      <c r="D3339" t="str">
        <f>IFERROR(__xludf.DUMMYFUNCTION("""COMPUTED_VALUE"""),"USA")</f>
        <v>USA</v>
      </c>
      <c r="E3339" s="188">
        <f>IFERROR(__xludf.DUMMYFUNCTION("""COMPUTED_VALUE"""),44424.0)</f>
        <v>44424</v>
      </c>
      <c r="F3339" s="188">
        <f>IFERROR(__xludf.DUMMYFUNCTION("""COMPUTED_VALUE"""),44434.0)</f>
        <v>44434</v>
      </c>
      <c r="G3339" t="str">
        <f>IFERROR(__xludf.DUMMYFUNCTION("""COMPUTED_VALUE"""),"Manage order page (normal text)")</f>
        <v>Manage order page (normal text)</v>
      </c>
      <c r="H3339">
        <f>IFERROR(__xludf.DUMMYFUNCTION("""COMPUTED_VALUE"""),51655.0)</f>
        <v>51655</v>
      </c>
      <c r="J3339" s="188">
        <f>IFERROR(__xludf.DUMMYFUNCTION("""COMPUTED_VALUE"""),44450.0)</f>
        <v>44450</v>
      </c>
      <c r="K3339">
        <f>IFERROR(__xludf.DUMMYFUNCTION("""COMPUTED_VALUE"""),10.0)</f>
        <v>10</v>
      </c>
      <c r="L3339">
        <f>IFERROR(__xludf.DUMMYFUNCTION("""COMPUTED_VALUE"""),16.0)</f>
        <v>16</v>
      </c>
      <c r="M3339">
        <f>IFERROR(__xludf.DUMMYFUNCTION("""COMPUTED_VALUE"""),26.0)</f>
        <v>26</v>
      </c>
      <c r="N3339" t="str">
        <f>IFERROR(__xludf.DUMMYFUNCTION("""COMPUTED_VALUE"""),"Model 3 SR+")</f>
        <v>Model 3 SR+</v>
      </c>
      <c r="O3339" t="str">
        <f>IFERROR(__xludf.DUMMYFUNCTION("""COMPUTED_VALUE"""),"Pearl White Multi-Coat")</f>
        <v>Pearl White Multi-Coat</v>
      </c>
      <c r="P3339" t="str">
        <f>IFERROR(__xludf.DUMMYFUNCTION("""COMPUTED_VALUE"""),"18 inch")</f>
        <v>18 inch</v>
      </c>
      <c r="Q3339" t="str">
        <f>IFERROR(__xludf.DUMMYFUNCTION("""COMPUTED_VALUE"""),"All Black")</f>
        <v>All Black</v>
      </c>
      <c r="R3339" t="str">
        <f>IFERROR(__xludf.DUMMYFUNCTION("""COMPUTED_VALUE"""),"Autopilot included")</f>
        <v>Autopilot included</v>
      </c>
      <c r="S3339" t="str">
        <f>IFERROR(__xludf.DUMMYFUNCTION("""COMPUTED_VALUE"""),"Lease")</f>
        <v>Lease</v>
      </c>
      <c r="T3339" t="str">
        <f>IFERROR(__xludf.DUMMYFUNCTION("""COMPUTED_VALUE"""),"VOLVO XC60")</f>
        <v>VOLVO XC60</v>
      </c>
      <c r="U3339" t="str">
        <f>IFERROR(__xludf.DUMMYFUNCTION("""COMPUTED_VALUE"""),"Electric!")</f>
        <v>Electric!</v>
      </c>
      <c r="V3339" t="str">
        <f>IFERROR(__xludf.DUMMYFUNCTION("""COMPUTED_VALUE"""),"Apple CarPlay / Android Auto / SiriusXM Radio")</f>
        <v>Apple CarPlay / Android Auto / SiriusXM Radio</v>
      </c>
      <c r="X3339" t="str">
        <f>IFERROR(__xludf.DUMMYFUNCTION("""COMPUTED_VALUE"""),"Excellent")</f>
        <v>Excellent</v>
      </c>
      <c r="Y3339" t="str">
        <f>IFERROR(__xludf.DUMMYFUNCTION("""COMPUTED_VALUE"""),"Excellent")</f>
        <v>Excellent</v>
      </c>
      <c r="Z3339" t="str">
        <f>IFERROR(__xludf.DUMMYFUNCTION("""COMPUTED_VALUE"""),"Excellent")</f>
        <v>Excellent</v>
      </c>
      <c r="AA3339" t="str">
        <f>IFERROR(__xludf.DUMMYFUNCTION("""COMPUTED_VALUE"""),"Good")</f>
        <v>Good</v>
      </c>
      <c r="AB3339" t="str">
        <f>IFERROR(__xludf.DUMMYFUNCTION("""COMPUTED_VALUE"""),"Very Good")</f>
        <v>Very Good</v>
      </c>
      <c r="AC3339">
        <f>IFERROR(__xludf.DUMMYFUNCTION("""COMPUTED_VALUE"""),0.0)</f>
        <v>0</v>
      </c>
      <c r="AD3339">
        <f>IFERROR(__xludf.DUMMYFUNCTION("""COMPUTED_VALUE"""),0.0)</f>
        <v>0</v>
      </c>
      <c r="AE3339">
        <f>IFERROR(__xludf.DUMMYFUNCTION("""COMPUTED_VALUE"""),0.0)</f>
        <v>0</v>
      </c>
      <c r="AF3339" t="str">
        <f>IFERROR(__xludf.DUMMYFUNCTION("""COMPUTED_VALUE"""),"No. I took delivery of the first car Tesla was able to deliver.")</f>
        <v>No. I took delivery of the first car Tesla was able to deliver.</v>
      </c>
      <c r="AG3339" t="str">
        <f>IFERROR(__xludf.DUMMYFUNCTION("""COMPUTED_VALUE"""),"LFP Model 3 SR+")</f>
        <v>LFP Model 3 SR+</v>
      </c>
      <c r="AH3339" s="189">
        <f>IFERROR(__xludf.DUMMYFUNCTION("""COMPUTED_VALUE"""),44452.908195208336)</f>
        <v>44452.9082</v>
      </c>
    </row>
    <row r="3340">
      <c r="A3340" t="str">
        <f>IFERROR(__xludf.DUMMYFUNCTION("""COMPUTED_VALUE"""),"Nezz")</f>
        <v>Nezz</v>
      </c>
      <c r="B3340" t="str">
        <f>IFERROR(__xludf.DUMMYFUNCTION("""COMPUTED_VALUE"""),"Phoenix")</f>
        <v>Phoenix</v>
      </c>
      <c r="C3340" t="str">
        <f>IFERROR(__xludf.DUMMYFUNCTION("""COMPUTED_VALUE"""),"AZ")</f>
        <v>AZ</v>
      </c>
      <c r="D3340" t="str">
        <f>IFERROR(__xludf.DUMMYFUNCTION("""COMPUTED_VALUE"""),"USA")</f>
        <v>USA</v>
      </c>
      <c r="E3340" s="188">
        <f>IFERROR(__xludf.DUMMYFUNCTION("""COMPUTED_VALUE"""),44420.0)</f>
        <v>44420</v>
      </c>
      <c r="N3340" t="str">
        <f>IFERROR(__xludf.DUMMYFUNCTION("""COMPUTED_VALUE"""),"Model 3 SR+")</f>
        <v>Model 3 SR+</v>
      </c>
      <c r="O3340" t="str">
        <f>IFERROR(__xludf.DUMMYFUNCTION("""COMPUTED_VALUE"""),"Pearl White Multi-Coat")</f>
        <v>Pearl White Multi-Coat</v>
      </c>
      <c r="P3340" t="str">
        <f>IFERROR(__xludf.DUMMYFUNCTION("""COMPUTED_VALUE"""),"18 inch")</f>
        <v>18 inch</v>
      </c>
      <c r="Q3340" t="str">
        <f>IFERROR(__xludf.DUMMYFUNCTION("""COMPUTED_VALUE"""),"All Black")</f>
        <v>All Black</v>
      </c>
      <c r="R3340" t="str">
        <f>IFERROR(__xludf.DUMMYFUNCTION("""COMPUTED_VALUE"""),"Autopilot included")</f>
        <v>Autopilot included</v>
      </c>
      <c r="S3340" t="str">
        <f>IFERROR(__xludf.DUMMYFUNCTION("""COMPUTED_VALUE"""),"Loan")</f>
        <v>Loan</v>
      </c>
      <c r="T3340" t="str">
        <f>IFERROR(__xludf.DUMMYFUNCTION("""COMPUTED_VALUE"""),"Chevy Volt")</f>
        <v>Chevy Volt</v>
      </c>
      <c r="U3340" t="str">
        <f>IFERROR(__xludf.DUMMYFUNCTION("""COMPUTED_VALUE"""),"Tesla brand image")</f>
        <v>Tesla brand image</v>
      </c>
      <c r="V3340" t="str">
        <f>IFERROR(__xludf.DUMMYFUNCTION("""COMPUTED_VALUE"""),"Active Noise Canceling")</f>
        <v>Active Noise Canceling</v>
      </c>
      <c r="AH3340" s="189">
        <f>IFERROR(__xludf.DUMMYFUNCTION("""COMPUTED_VALUE"""),44425.627930856484)</f>
        <v>44425.62793</v>
      </c>
    </row>
    <row r="3341">
      <c r="A3341" t="str">
        <f>IFERROR(__xludf.DUMMYFUNCTION("""COMPUTED_VALUE"""),"cgartly")</f>
        <v>cgartly</v>
      </c>
      <c r="B3341" t="str">
        <f>IFERROR(__xludf.DUMMYFUNCTION("""COMPUTED_VALUE"""),"Kelowna")</f>
        <v>Kelowna</v>
      </c>
      <c r="C3341" t="str">
        <f>IFERROR(__xludf.DUMMYFUNCTION("""COMPUTED_VALUE"""),"BC")</f>
        <v>BC</v>
      </c>
      <c r="D3341" t="str">
        <f>IFERROR(__xludf.DUMMYFUNCTION("""COMPUTED_VALUE"""),"Canada")</f>
        <v>Canada</v>
      </c>
      <c r="E3341" s="188">
        <f>IFERROR(__xludf.DUMMYFUNCTION("""COMPUTED_VALUE"""),44421.0)</f>
        <v>44421</v>
      </c>
      <c r="N3341" t="str">
        <f>IFERROR(__xludf.DUMMYFUNCTION("""COMPUTED_VALUE"""),"Model 3 SR+")</f>
        <v>Model 3 SR+</v>
      </c>
      <c r="O3341" t="str">
        <f>IFERROR(__xludf.DUMMYFUNCTION("""COMPUTED_VALUE"""),"Midnight Silver Metallic")</f>
        <v>Midnight Silver Metallic</v>
      </c>
      <c r="P3341" t="str">
        <f>IFERROR(__xludf.DUMMYFUNCTION("""COMPUTED_VALUE"""),"18 inch")</f>
        <v>18 inch</v>
      </c>
      <c r="Q3341" t="str">
        <f>IFERROR(__xludf.DUMMYFUNCTION("""COMPUTED_VALUE"""),"Black and White")</f>
        <v>Black and White</v>
      </c>
      <c r="R3341" t="str">
        <f>IFERROR(__xludf.DUMMYFUNCTION("""COMPUTED_VALUE"""),"Autopilot included")</f>
        <v>Autopilot included</v>
      </c>
      <c r="S3341" t="str">
        <f>IFERROR(__xludf.DUMMYFUNCTION("""COMPUTED_VALUE"""),"Loan")</f>
        <v>Loan</v>
      </c>
      <c r="U3341" t="str">
        <f>IFERROR(__xludf.DUMMYFUNCTION("""COMPUTED_VALUE"""),"Tesla brand image")</f>
        <v>Tesla brand image</v>
      </c>
      <c r="V3341" t="str">
        <f>IFERROR(__xludf.DUMMYFUNCTION("""COMPUTED_VALUE"""),"Blind spot indicators on side mirrors")</f>
        <v>Blind spot indicators on side mirrors</v>
      </c>
      <c r="AH3341" s="189">
        <f>IFERROR(__xludf.DUMMYFUNCTION("""COMPUTED_VALUE"""),44425.80404354166)</f>
        <v>44425.80404</v>
      </c>
    </row>
    <row r="3342">
      <c r="A3342" t="str">
        <f>IFERROR(__xludf.DUMMYFUNCTION("""COMPUTED_VALUE"""),"Dan F")</f>
        <v>Dan F</v>
      </c>
      <c r="B3342" t="str">
        <f>IFERROR(__xludf.DUMMYFUNCTION("""COMPUTED_VALUE"""),"Winnipeg")</f>
        <v>Winnipeg</v>
      </c>
      <c r="C3342" t="str">
        <f>IFERROR(__xludf.DUMMYFUNCTION("""COMPUTED_VALUE"""),"MB")</f>
        <v>MB</v>
      </c>
      <c r="D3342" t="str">
        <f>IFERROR(__xludf.DUMMYFUNCTION("""COMPUTED_VALUE"""),"Canada")</f>
        <v>Canada</v>
      </c>
      <c r="E3342" s="188">
        <f>IFERROR(__xludf.DUMMYFUNCTION("""COMPUTED_VALUE"""),44281.0)</f>
        <v>44281</v>
      </c>
      <c r="F3342" s="188">
        <f>IFERROR(__xludf.DUMMYFUNCTION("""COMPUTED_VALUE"""),44445.0)</f>
        <v>44445</v>
      </c>
      <c r="G3342" t="str">
        <f>IFERROR(__xludf.DUMMYFUNCTION("""COMPUTED_VALUE"""),"Source code")</f>
        <v>Source code</v>
      </c>
      <c r="K3342">
        <f>IFERROR(__xludf.DUMMYFUNCTION("""COMPUTED_VALUE"""),164.0)</f>
        <v>164</v>
      </c>
      <c r="N3342" t="str">
        <f>IFERROR(__xludf.DUMMYFUNCTION("""COMPUTED_VALUE"""),"Model 3 SR+")</f>
        <v>Model 3 SR+</v>
      </c>
      <c r="O3342" t="str">
        <f>IFERROR(__xludf.DUMMYFUNCTION("""COMPUTED_VALUE"""),"Solid Black")</f>
        <v>Solid Black</v>
      </c>
      <c r="P3342" t="str">
        <f>IFERROR(__xludf.DUMMYFUNCTION("""COMPUTED_VALUE"""),"18 inch")</f>
        <v>18 inch</v>
      </c>
      <c r="Q3342" t="str">
        <f>IFERROR(__xludf.DUMMYFUNCTION("""COMPUTED_VALUE"""),"All Black")</f>
        <v>All Black</v>
      </c>
      <c r="R3342" t="str">
        <f>IFERROR(__xludf.DUMMYFUNCTION("""COMPUTED_VALUE"""),"Autopilot included")</f>
        <v>Autopilot included</v>
      </c>
      <c r="S3342" t="str">
        <f>IFERROR(__xludf.DUMMYFUNCTION("""COMPUTED_VALUE"""),"Loan")</f>
        <v>Loan</v>
      </c>
      <c r="T3342" t="str">
        <f>IFERROR(__xludf.DUMMYFUNCTION("""COMPUTED_VALUE"""),"Ford Focus")</f>
        <v>Ford Focus</v>
      </c>
      <c r="U3342" t="str">
        <f>IFERROR(__xludf.DUMMYFUNCTION("""COMPUTED_VALUE"""),"Electric!")</f>
        <v>Electric!</v>
      </c>
      <c r="V3342" t="str">
        <f>IFERROR(__xludf.DUMMYFUNCTION("""COMPUTED_VALUE"""),"Heated steering wheel")</f>
        <v>Heated steering wheel</v>
      </c>
      <c r="AH3342" s="189">
        <f>IFERROR(__xludf.DUMMYFUNCTION("""COMPUTED_VALUE"""),44445.75976884259)</f>
        <v>44445.75977</v>
      </c>
    </row>
    <row r="3343">
      <c r="A3343" t="str">
        <f>IFERROR(__xludf.DUMMYFUNCTION("""COMPUTED_VALUE"""),"Kyriel")</f>
        <v>Kyriel</v>
      </c>
      <c r="B3343" t="str">
        <f>IFERROR(__xludf.DUMMYFUNCTION("""COMPUTED_VALUE"""),"Chambéry")</f>
        <v>Chambéry</v>
      </c>
      <c r="D3343" t="str">
        <f>IFERROR(__xludf.DUMMYFUNCTION("""COMPUTED_VALUE"""),"France")</f>
        <v>France</v>
      </c>
      <c r="E3343" s="188">
        <f>IFERROR(__xludf.DUMMYFUNCTION("""COMPUTED_VALUE"""),44275.0)</f>
        <v>44275</v>
      </c>
      <c r="F3343" s="188">
        <f>IFERROR(__xludf.DUMMYFUNCTION("""COMPUTED_VALUE"""),44279.0)</f>
        <v>44279</v>
      </c>
      <c r="G3343" t="str">
        <f>IFERROR(__xludf.DUMMYFUNCTION("""COMPUTED_VALUE"""),"Manage order page (normal text)")</f>
        <v>Manage order page (normal text)</v>
      </c>
      <c r="H3343">
        <f>IFERROR(__xludf.DUMMYFUNCTION("""COMPUTED_VALUE"""),901757.0)</f>
        <v>901757</v>
      </c>
      <c r="I3343" t="str">
        <f>IFERROR(__xludf.DUMMYFUNCTION("""COMPUTED_VALUE"""),"02/21")</f>
        <v>02/21</v>
      </c>
      <c r="J3343" s="188">
        <f>IFERROR(__xludf.DUMMYFUNCTION("""COMPUTED_VALUE"""),44282.0)</f>
        <v>44282</v>
      </c>
      <c r="K3343">
        <f>IFERROR(__xludf.DUMMYFUNCTION("""COMPUTED_VALUE"""),4.0)</f>
        <v>4</v>
      </c>
      <c r="L3343">
        <f>IFERROR(__xludf.DUMMYFUNCTION("""COMPUTED_VALUE"""),3.0)</f>
        <v>3</v>
      </c>
      <c r="M3343">
        <f>IFERROR(__xludf.DUMMYFUNCTION("""COMPUTED_VALUE"""),7.0)</f>
        <v>7</v>
      </c>
      <c r="N3343" t="str">
        <f>IFERROR(__xludf.DUMMYFUNCTION("""COMPUTED_VALUE"""),"Model 3 SR+")</f>
        <v>Model 3 SR+</v>
      </c>
      <c r="O3343" t="str">
        <f>IFERROR(__xludf.DUMMYFUNCTION("""COMPUTED_VALUE"""),"Pearl White Multi-Coat")</f>
        <v>Pearl White Multi-Coat</v>
      </c>
      <c r="P3343" t="str">
        <f>IFERROR(__xludf.DUMMYFUNCTION("""COMPUTED_VALUE"""),"18 inch")</f>
        <v>18 inch</v>
      </c>
      <c r="Q3343" t="str">
        <f>IFERROR(__xludf.DUMMYFUNCTION("""COMPUTED_VALUE"""),"All Black")</f>
        <v>All Black</v>
      </c>
      <c r="R3343" t="str">
        <f>IFERROR(__xludf.DUMMYFUNCTION("""COMPUTED_VALUE"""),"Autopilot included")</f>
        <v>Autopilot included</v>
      </c>
      <c r="S3343" t="str">
        <f>IFERROR(__xludf.DUMMYFUNCTION("""COMPUTED_VALUE"""),"Cash")</f>
        <v>Cash</v>
      </c>
      <c r="T3343" t="str">
        <f>IFERROR(__xludf.DUMMYFUNCTION("""COMPUTED_VALUE"""),"Peugeot 206+")</f>
        <v>Peugeot 206+</v>
      </c>
      <c r="U3343" t="str">
        <f>IFERROR(__xludf.DUMMYFUNCTION("""COMPUTED_VALUE"""),"Electric!")</f>
        <v>Electric!</v>
      </c>
      <c r="V3343" t="str">
        <f>IFERROR(__xludf.DUMMYFUNCTION("""COMPUTED_VALUE"""),"360° Bird's eye view")</f>
        <v>360° Bird's eye view</v>
      </c>
      <c r="X3343" t="str">
        <f>IFERROR(__xludf.DUMMYFUNCTION("""COMPUTED_VALUE"""),"Excellent")</f>
        <v>Excellent</v>
      </c>
      <c r="Y3343" t="str">
        <f>IFERROR(__xludf.DUMMYFUNCTION("""COMPUTED_VALUE"""),"Very Good")</f>
        <v>Very Good</v>
      </c>
      <c r="Z3343" t="str">
        <f>IFERROR(__xludf.DUMMYFUNCTION("""COMPUTED_VALUE"""),"Excellent")</f>
        <v>Excellent</v>
      </c>
      <c r="AA3343" t="str">
        <f>IFERROR(__xludf.DUMMYFUNCTION("""COMPUTED_VALUE"""),"Excellent")</f>
        <v>Excellent</v>
      </c>
      <c r="AB3343" t="str">
        <f>IFERROR(__xludf.DUMMYFUNCTION("""COMPUTED_VALUE"""),"Very Good")</f>
        <v>Very Good</v>
      </c>
      <c r="AC3343">
        <f>IFERROR(__xludf.DUMMYFUNCTION("""COMPUTED_VALUE"""),0.0)</f>
        <v>0</v>
      </c>
      <c r="AD3343">
        <f>IFERROR(__xludf.DUMMYFUNCTION("""COMPUTED_VALUE"""),0.0)</f>
        <v>0</v>
      </c>
      <c r="AE3343">
        <f>IFERROR(__xludf.DUMMYFUNCTION("""COMPUTED_VALUE"""),0.0)</f>
        <v>0</v>
      </c>
      <c r="AF3343" t="str">
        <f>IFERROR(__xludf.DUMMYFUNCTION("""COMPUTED_VALUE"""),"No. I took delivery of the first car Tesla was able to deliver.")</f>
        <v>No. I took delivery of the first car Tesla was able to deliver.</v>
      </c>
      <c r="AH3343" s="189">
        <f>IFERROR(__xludf.DUMMYFUNCTION("""COMPUTED_VALUE"""),44426.32141287037)</f>
        <v>44426.32141</v>
      </c>
    </row>
    <row r="3344">
      <c r="A3344" t="str">
        <f>IFERROR(__xludf.DUMMYFUNCTION("""COMPUTED_VALUE"""),"Ithron")</f>
        <v>Ithron</v>
      </c>
      <c r="B3344" t="str">
        <f>IFERROR(__xludf.DUMMYFUNCTION("""COMPUTED_VALUE"""),"Atlanta")</f>
        <v>Atlanta</v>
      </c>
      <c r="C3344" t="str">
        <f>IFERROR(__xludf.DUMMYFUNCTION("""COMPUTED_VALUE"""),"GA")</f>
        <v>GA</v>
      </c>
      <c r="D3344" t="str">
        <f>IFERROR(__xludf.DUMMYFUNCTION("""COMPUTED_VALUE"""),"USA")</f>
        <v>USA</v>
      </c>
      <c r="E3344" s="188">
        <f>IFERROR(__xludf.DUMMYFUNCTION("""COMPUTED_VALUE"""),44416.0)</f>
        <v>44416</v>
      </c>
      <c r="F3344" s="188">
        <f>IFERROR(__xludf.DUMMYFUNCTION("""COMPUTED_VALUE"""),44425.0)</f>
        <v>44425</v>
      </c>
      <c r="G3344" t="str">
        <f>IFERROR(__xludf.DUMMYFUNCTION("""COMPUTED_VALUE"""),"Manage order page (normal text)")</f>
        <v>Manage order page (normal text)</v>
      </c>
      <c r="H3344">
        <f>IFERROR(__xludf.DUMMYFUNCTION("""COMPUTED_VALUE"""),44455.0)</f>
        <v>44455</v>
      </c>
      <c r="J3344" s="188">
        <f>IFERROR(__xludf.DUMMYFUNCTION("""COMPUTED_VALUE"""),44441.0)</f>
        <v>44441</v>
      </c>
      <c r="K3344">
        <f>IFERROR(__xludf.DUMMYFUNCTION("""COMPUTED_VALUE"""),9.0)</f>
        <v>9</v>
      </c>
      <c r="L3344">
        <f>IFERROR(__xludf.DUMMYFUNCTION("""COMPUTED_VALUE"""),16.0)</f>
        <v>16</v>
      </c>
      <c r="M3344">
        <f>IFERROR(__xludf.DUMMYFUNCTION("""COMPUTED_VALUE"""),25.0)</f>
        <v>25</v>
      </c>
      <c r="N3344" t="str">
        <f>IFERROR(__xludf.DUMMYFUNCTION("""COMPUTED_VALUE"""),"Model 3 Performance")</f>
        <v>Model 3 Performance</v>
      </c>
      <c r="O3344" t="str">
        <f>IFERROR(__xludf.DUMMYFUNCTION("""COMPUTED_VALUE"""),"Red Multi-Coat")</f>
        <v>Red Multi-Coat</v>
      </c>
      <c r="P3344" t="str">
        <f>IFERROR(__xludf.DUMMYFUNCTION("""COMPUTED_VALUE"""),"20 inch")</f>
        <v>20 inch</v>
      </c>
      <c r="Q3344" t="str">
        <f>IFERROR(__xludf.DUMMYFUNCTION("""COMPUTED_VALUE"""),"All Black")</f>
        <v>All Black</v>
      </c>
      <c r="R3344" t="str">
        <f>IFERROR(__xludf.DUMMYFUNCTION("""COMPUTED_VALUE"""),"Autopilot included")</f>
        <v>Autopilot included</v>
      </c>
      <c r="S3344" t="str">
        <f>IFERROR(__xludf.DUMMYFUNCTION("""COMPUTED_VALUE"""),"Cash")</f>
        <v>Cash</v>
      </c>
      <c r="T3344" t="str">
        <f>IFERROR(__xludf.DUMMYFUNCTION("""COMPUTED_VALUE"""),"Honda Civic")</f>
        <v>Honda Civic</v>
      </c>
      <c r="U3344" t="str">
        <f>IFERROR(__xludf.DUMMYFUNCTION("""COMPUTED_VALUE"""),"Tech and constant updates")</f>
        <v>Tech and constant updates</v>
      </c>
      <c r="V3344" t="str">
        <f>IFERROR(__xludf.DUMMYFUNCTION("""COMPUTED_VALUE"""),"Automatically open side-cameras when indicating to change lanes")</f>
        <v>Automatically open side-cameras when indicating to change lanes</v>
      </c>
      <c r="AH3344" s="189">
        <f>IFERROR(__xludf.DUMMYFUNCTION("""COMPUTED_VALUE"""),44428.28879738426)</f>
        <v>44428.2888</v>
      </c>
    </row>
    <row r="3345">
      <c r="A3345" t="str">
        <f>IFERROR(__xludf.DUMMYFUNCTION("""COMPUTED_VALUE"""),"NL1205")</f>
        <v>NL1205</v>
      </c>
      <c r="B3345" t="str">
        <f>IFERROR(__xludf.DUMMYFUNCTION("""COMPUTED_VALUE"""),"Decatur")</f>
        <v>Decatur</v>
      </c>
      <c r="C3345" t="str">
        <f>IFERROR(__xludf.DUMMYFUNCTION("""COMPUTED_VALUE"""),"GA")</f>
        <v>GA</v>
      </c>
      <c r="D3345" t="str">
        <f>IFERROR(__xludf.DUMMYFUNCTION("""COMPUTED_VALUE"""),"USA")</f>
        <v>USA</v>
      </c>
      <c r="E3345" s="188">
        <f>IFERROR(__xludf.DUMMYFUNCTION("""COMPUTED_VALUE"""),44407.0)</f>
        <v>44407</v>
      </c>
      <c r="F3345" s="188">
        <f>IFERROR(__xludf.DUMMYFUNCTION("""COMPUTED_VALUE"""),44425.0)</f>
        <v>44425</v>
      </c>
      <c r="G3345" t="str">
        <f>IFERROR(__xludf.DUMMYFUNCTION("""COMPUTED_VALUE"""),"Phone call")</f>
        <v>Phone call</v>
      </c>
      <c r="J3345" s="188">
        <f>IFERROR(__xludf.DUMMYFUNCTION("""COMPUTED_VALUE"""),44443.0)</f>
        <v>44443</v>
      </c>
      <c r="K3345">
        <f>IFERROR(__xludf.DUMMYFUNCTION("""COMPUTED_VALUE"""),18.0)</f>
        <v>18</v>
      </c>
      <c r="L3345">
        <f>IFERROR(__xludf.DUMMYFUNCTION("""COMPUTED_VALUE"""),18.0)</f>
        <v>18</v>
      </c>
      <c r="M3345">
        <f>IFERROR(__xludf.DUMMYFUNCTION("""COMPUTED_VALUE"""),36.0)</f>
        <v>36</v>
      </c>
      <c r="N3345" t="str">
        <f>IFERROR(__xludf.DUMMYFUNCTION("""COMPUTED_VALUE"""),"Model 3 Performance")</f>
        <v>Model 3 Performance</v>
      </c>
      <c r="O3345" t="str">
        <f>IFERROR(__xludf.DUMMYFUNCTION("""COMPUTED_VALUE"""),"Pearl White Multi-Coat")</f>
        <v>Pearl White Multi-Coat</v>
      </c>
      <c r="P3345" t="str">
        <f>IFERROR(__xludf.DUMMYFUNCTION("""COMPUTED_VALUE"""),"20 inch")</f>
        <v>20 inch</v>
      </c>
      <c r="Q3345" t="str">
        <f>IFERROR(__xludf.DUMMYFUNCTION("""COMPUTED_VALUE"""),"Black and White")</f>
        <v>Black and White</v>
      </c>
      <c r="R3345" t="str">
        <f>IFERROR(__xludf.DUMMYFUNCTION("""COMPUTED_VALUE"""),"Autopilot included")</f>
        <v>Autopilot included</v>
      </c>
      <c r="S3345" t="str">
        <f>IFERROR(__xludf.DUMMYFUNCTION("""COMPUTED_VALUE"""),"Loan")</f>
        <v>Loan</v>
      </c>
      <c r="T3345" t="str">
        <f>IFERROR(__xludf.DUMMYFUNCTION("""COMPUTED_VALUE"""),"BMW M2")</f>
        <v>BMW M2</v>
      </c>
      <c r="U3345" t="str">
        <f>IFERROR(__xludf.DUMMYFUNCTION("""COMPUTED_VALUE"""),"Performance")</f>
        <v>Performance</v>
      </c>
      <c r="V3345" t="str">
        <f>IFERROR(__xludf.DUMMYFUNCTION("""COMPUTED_VALUE"""),"Head-up display")</f>
        <v>Head-up display</v>
      </c>
      <c r="AH3345" s="189">
        <f>IFERROR(__xludf.DUMMYFUNCTION("""COMPUTED_VALUE"""),44426.353809988424)</f>
        <v>44426.35381</v>
      </c>
    </row>
    <row r="3346">
      <c r="A3346" t="str">
        <f>IFERROR(__xludf.DUMMYFUNCTION("""COMPUTED_VALUE"""),"JJ")</f>
        <v>JJ</v>
      </c>
      <c r="B3346" t="str">
        <f>IFERROR(__xludf.DUMMYFUNCTION("""COMPUTED_VALUE"""),"Tampa")</f>
        <v>Tampa</v>
      </c>
      <c r="C3346" t="str">
        <f>IFERROR(__xludf.DUMMYFUNCTION("""COMPUTED_VALUE"""),"FL")</f>
        <v>FL</v>
      </c>
      <c r="D3346" t="str">
        <f>IFERROR(__xludf.DUMMYFUNCTION("""COMPUTED_VALUE"""),"USA")</f>
        <v>USA</v>
      </c>
      <c r="E3346" s="188">
        <f>IFERROR(__xludf.DUMMYFUNCTION("""COMPUTED_VALUE"""),44392.0)</f>
        <v>44392</v>
      </c>
      <c r="F3346" s="188">
        <f>IFERROR(__xludf.DUMMYFUNCTION("""COMPUTED_VALUE"""),44421.0)</f>
        <v>44421</v>
      </c>
      <c r="G3346" t="str">
        <f>IFERROR(__xludf.DUMMYFUNCTION("""COMPUTED_VALUE"""),"Manage order page (normal text)")</f>
        <v>Manage order page (normal text)</v>
      </c>
      <c r="J3346" s="188">
        <f>IFERROR(__xludf.DUMMYFUNCTION("""COMPUTED_VALUE"""),44447.0)</f>
        <v>44447</v>
      </c>
      <c r="K3346">
        <f>IFERROR(__xludf.DUMMYFUNCTION("""COMPUTED_VALUE"""),29.0)</f>
        <v>29</v>
      </c>
      <c r="L3346">
        <f>IFERROR(__xludf.DUMMYFUNCTION("""COMPUTED_VALUE"""),26.0)</f>
        <v>26</v>
      </c>
      <c r="M3346">
        <f>IFERROR(__xludf.DUMMYFUNCTION("""COMPUTED_VALUE"""),55.0)</f>
        <v>55</v>
      </c>
      <c r="N3346" t="str">
        <f>IFERROR(__xludf.DUMMYFUNCTION("""COMPUTED_VALUE"""),"Model 3 LR AWD")</f>
        <v>Model 3 LR AWD</v>
      </c>
      <c r="O3346" t="str">
        <f>IFERROR(__xludf.DUMMYFUNCTION("""COMPUTED_VALUE"""),"Deep Blue Metallic")</f>
        <v>Deep Blue Metallic</v>
      </c>
      <c r="P3346" t="str">
        <f>IFERROR(__xludf.DUMMYFUNCTION("""COMPUTED_VALUE"""),"18 inch")</f>
        <v>18 inch</v>
      </c>
      <c r="Q3346" t="str">
        <f>IFERROR(__xludf.DUMMYFUNCTION("""COMPUTED_VALUE"""),"All Black")</f>
        <v>All Black</v>
      </c>
      <c r="R3346" t="str">
        <f>IFERROR(__xludf.DUMMYFUNCTION("""COMPUTED_VALUE"""),"Autopilot included")</f>
        <v>Autopilot included</v>
      </c>
      <c r="S3346" t="str">
        <f>IFERROR(__xludf.DUMMYFUNCTION("""COMPUTED_VALUE"""),"Loan")</f>
        <v>Loan</v>
      </c>
      <c r="U3346" t="str">
        <f>IFERROR(__xludf.DUMMYFUNCTION("""COMPUTED_VALUE"""),"Electric!")</f>
        <v>Electric!</v>
      </c>
      <c r="V3346" t="str">
        <f>IFERROR(__xludf.DUMMYFUNCTION("""COMPUTED_VALUE"""),"Bioweapon defense mode")</f>
        <v>Bioweapon defense mode</v>
      </c>
      <c r="AH3346" s="189">
        <f>IFERROR(__xludf.DUMMYFUNCTION("""COMPUTED_VALUE"""),44439.42609793981)</f>
        <v>44439.4261</v>
      </c>
    </row>
    <row r="3347">
      <c r="A3347" t="str">
        <f>IFERROR(__xludf.DUMMYFUNCTION("""COMPUTED_VALUE"""),"inlo")</f>
        <v>inlo</v>
      </c>
      <c r="B3347" t="str">
        <f>IFERROR(__xludf.DUMMYFUNCTION("""COMPUTED_VALUE"""),"Charlotte")</f>
        <v>Charlotte</v>
      </c>
      <c r="C3347" t="str">
        <f>IFERROR(__xludf.DUMMYFUNCTION("""COMPUTED_VALUE"""),"NC")</f>
        <v>NC</v>
      </c>
      <c r="D3347" t="str">
        <f>IFERROR(__xludf.DUMMYFUNCTION("""COMPUTED_VALUE"""),"USA")</f>
        <v>USA</v>
      </c>
      <c r="E3347" s="188">
        <f>IFERROR(__xludf.DUMMYFUNCTION("""COMPUTED_VALUE"""),44397.0)</f>
        <v>44397</v>
      </c>
      <c r="N3347" t="str">
        <f>IFERROR(__xludf.DUMMYFUNCTION("""COMPUTED_VALUE"""),"Model 3 SR+")</f>
        <v>Model 3 SR+</v>
      </c>
      <c r="O3347" t="str">
        <f>IFERROR(__xludf.DUMMYFUNCTION("""COMPUTED_VALUE"""),"Deep Blue Metallic")</f>
        <v>Deep Blue Metallic</v>
      </c>
      <c r="P3347" t="str">
        <f>IFERROR(__xludf.DUMMYFUNCTION("""COMPUTED_VALUE"""),"18 inch")</f>
        <v>18 inch</v>
      </c>
      <c r="Q3347" t="str">
        <f>IFERROR(__xludf.DUMMYFUNCTION("""COMPUTED_VALUE"""),"All Black")</f>
        <v>All Black</v>
      </c>
      <c r="R3347" t="str">
        <f>IFERROR(__xludf.DUMMYFUNCTION("""COMPUTED_VALUE"""),"Autopilot included")</f>
        <v>Autopilot included</v>
      </c>
      <c r="S3347" t="str">
        <f>IFERROR(__xludf.DUMMYFUNCTION("""COMPUTED_VALUE"""),"Loan")</f>
        <v>Loan</v>
      </c>
      <c r="T3347" t="str">
        <f>IFERROR(__xludf.DUMMYFUNCTION("""COMPUTED_VALUE"""),"Ford Edge")</f>
        <v>Ford Edge</v>
      </c>
      <c r="U3347" t="str">
        <f>IFERROR(__xludf.DUMMYFUNCTION("""COMPUTED_VALUE"""),"Electric!")</f>
        <v>Electric!</v>
      </c>
      <c r="V3347" t="str">
        <f>IFERROR(__xludf.DUMMYFUNCTION("""COMPUTED_VALUE"""),"Ventilated seats")</f>
        <v>Ventilated seats</v>
      </c>
      <c r="AH3347" s="189">
        <f>IFERROR(__xludf.DUMMYFUNCTION("""COMPUTED_VALUE"""),44426.39479215277)</f>
        <v>44426.39479</v>
      </c>
    </row>
    <row r="3348">
      <c r="A3348" t="str">
        <f>IFERROR(__xludf.DUMMYFUNCTION("""COMPUTED_VALUE"""),"someCat")</f>
        <v>someCat</v>
      </c>
      <c r="B3348" t="str">
        <f>IFERROR(__xludf.DUMMYFUNCTION("""COMPUTED_VALUE"""),"Montreal")</f>
        <v>Montreal</v>
      </c>
      <c r="C3348" t="str">
        <f>IFERROR(__xludf.DUMMYFUNCTION("""COMPUTED_VALUE"""),"QC")</f>
        <v>QC</v>
      </c>
      <c r="D3348" t="str">
        <f>IFERROR(__xludf.DUMMYFUNCTION("""COMPUTED_VALUE"""),"Canada")</f>
        <v>Canada</v>
      </c>
      <c r="E3348" s="188">
        <f>IFERROR(__xludf.DUMMYFUNCTION("""COMPUTED_VALUE"""),44416.0)</f>
        <v>44416</v>
      </c>
      <c r="F3348" s="188">
        <f>IFERROR(__xludf.DUMMYFUNCTION("""COMPUTED_VALUE"""),44493.0)</f>
        <v>44493</v>
      </c>
      <c r="G3348" t="str">
        <f>IFERROR(__xludf.DUMMYFUNCTION("""COMPUTED_VALUE"""),"Source code")</f>
        <v>Source code</v>
      </c>
      <c r="H3348">
        <f>IFERROR(__xludf.DUMMYFUNCTION("""COMPUTED_VALUE"""),95355.0)</f>
        <v>95355</v>
      </c>
      <c r="J3348" s="188">
        <f>IFERROR(__xludf.DUMMYFUNCTION("""COMPUTED_VALUE"""),44506.0)</f>
        <v>44506</v>
      </c>
      <c r="K3348">
        <f>IFERROR(__xludf.DUMMYFUNCTION("""COMPUTED_VALUE"""),77.0)</f>
        <v>77</v>
      </c>
      <c r="L3348">
        <f>IFERROR(__xludf.DUMMYFUNCTION("""COMPUTED_VALUE"""),13.0)</f>
        <v>13</v>
      </c>
      <c r="M3348">
        <f>IFERROR(__xludf.DUMMYFUNCTION("""COMPUTED_VALUE"""),90.0)</f>
        <v>90</v>
      </c>
      <c r="N3348" t="str">
        <f>IFERROR(__xludf.DUMMYFUNCTION("""COMPUTED_VALUE"""),"Model 3 SR+")</f>
        <v>Model 3 SR+</v>
      </c>
      <c r="O3348" t="str">
        <f>IFERROR(__xludf.DUMMYFUNCTION("""COMPUTED_VALUE"""),"Pearl White Multi-Coat")</f>
        <v>Pearl White Multi-Coat</v>
      </c>
      <c r="P3348" t="str">
        <f>IFERROR(__xludf.DUMMYFUNCTION("""COMPUTED_VALUE"""),"18 inch")</f>
        <v>18 inch</v>
      </c>
      <c r="Q3348" t="str">
        <f>IFERROR(__xludf.DUMMYFUNCTION("""COMPUTED_VALUE"""),"All Black")</f>
        <v>All Black</v>
      </c>
      <c r="R3348" t="str">
        <f>IFERROR(__xludf.DUMMYFUNCTION("""COMPUTED_VALUE"""),"Autopilot included")</f>
        <v>Autopilot included</v>
      </c>
      <c r="S3348" t="str">
        <f>IFERROR(__xludf.DUMMYFUNCTION("""COMPUTED_VALUE"""),"Loan")</f>
        <v>Loan</v>
      </c>
      <c r="T3348" t="str">
        <f>IFERROR(__xludf.DUMMYFUNCTION("""COMPUTED_VALUE"""),"Model 3 will be my first car!")</f>
        <v>Model 3 will be my first car!</v>
      </c>
      <c r="U3348" t="str">
        <f>IFERROR(__xludf.DUMMYFUNCTION("""COMPUTED_VALUE"""),"Electric!")</f>
        <v>Electric!</v>
      </c>
      <c r="AH3348" s="189">
        <f>IFERROR(__xludf.DUMMYFUNCTION("""COMPUTED_VALUE"""),44499.65288542824)</f>
        <v>44499.65289</v>
      </c>
    </row>
    <row r="3349">
      <c r="A3349" t="str">
        <f>IFERROR(__xludf.DUMMYFUNCTION("""COMPUTED_VALUE"""),"MeelonMusk")</f>
        <v>MeelonMusk</v>
      </c>
      <c r="B3349" t="str">
        <f>IFERROR(__xludf.DUMMYFUNCTION("""COMPUTED_VALUE"""),"Seattle")</f>
        <v>Seattle</v>
      </c>
      <c r="C3349" t="str">
        <f>IFERROR(__xludf.DUMMYFUNCTION("""COMPUTED_VALUE"""),"WA")</f>
        <v>WA</v>
      </c>
      <c r="D3349" t="str">
        <f>IFERROR(__xludf.DUMMYFUNCTION("""COMPUTED_VALUE"""),"USA")</f>
        <v>USA</v>
      </c>
      <c r="E3349" s="188">
        <f>IFERROR(__xludf.DUMMYFUNCTION("""COMPUTED_VALUE"""),44408.0)</f>
        <v>44408</v>
      </c>
      <c r="N3349" t="str">
        <f>IFERROR(__xludf.DUMMYFUNCTION("""COMPUTED_VALUE"""),"Model 3 LR AWD")</f>
        <v>Model 3 LR AWD</v>
      </c>
      <c r="O3349" t="str">
        <f>IFERROR(__xludf.DUMMYFUNCTION("""COMPUTED_VALUE"""),"Midnight Silver Metallic")</f>
        <v>Midnight Silver Metallic</v>
      </c>
      <c r="P3349" t="str">
        <f>IFERROR(__xludf.DUMMYFUNCTION("""COMPUTED_VALUE"""),"18 inch")</f>
        <v>18 inch</v>
      </c>
      <c r="Q3349" t="str">
        <f>IFERROR(__xludf.DUMMYFUNCTION("""COMPUTED_VALUE"""),"All Black")</f>
        <v>All Black</v>
      </c>
      <c r="R3349" t="str">
        <f>IFERROR(__xludf.DUMMYFUNCTION("""COMPUTED_VALUE"""),"Autopilot included")</f>
        <v>Autopilot included</v>
      </c>
      <c r="V3349" t="str">
        <f>IFERROR(__xludf.DUMMYFUNCTION("""COMPUTED_VALUE"""),"Air suspension")</f>
        <v>Air suspension</v>
      </c>
      <c r="AH3349" s="189">
        <f>IFERROR(__xludf.DUMMYFUNCTION("""COMPUTED_VALUE"""),44426.42696769676)</f>
        <v>44426.42697</v>
      </c>
    </row>
    <row r="3350">
      <c r="A3350" t="str">
        <f>IFERROR(__xludf.DUMMYFUNCTION("""COMPUTED_VALUE"""),"animotaf")</f>
        <v>animotaf</v>
      </c>
      <c r="C3350" t="str">
        <f>IFERROR(__xludf.DUMMYFUNCTION("""COMPUTED_VALUE"""),"NJ")</f>
        <v>NJ</v>
      </c>
      <c r="D3350" t="str">
        <f>IFERROR(__xludf.DUMMYFUNCTION("""COMPUTED_VALUE"""),"USA")</f>
        <v>USA</v>
      </c>
      <c r="E3350" s="188">
        <f>IFERROR(__xludf.DUMMYFUNCTION("""COMPUTED_VALUE"""),44312.0)</f>
        <v>44312</v>
      </c>
      <c r="F3350" s="188">
        <f>IFERROR(__xludf.DUMMYFUNCTION("""COMPUTED_VALUE"""),44354.0)</f>
        <v>44354</v>
      </c>
      <c r="G3350" t="str">
        <f>IFERROR(__xludf.DUMMYFUNCTION("""COMPUTED_VALUE"""),"Manage order page (normal text)")</f>
        <v>Manage order page (normal text)</v>
      </c>
      <c r="H3350">
        <f>IFERROR(__xludf.DUMMYFUNCTION("""COMPUTED_VALUE"""),990055.0)</f>
        <v>990055</v>
      </c>
      <c r="I3350" t="str">
        <f>IFERROR(__xludf.DUMMYFUNCTION("""COMPUTED_VALUE"""),"06/21")</f>
        <v>06/21</v>
      </c>
      <c r="J3350" s="188">
        <f>IFERROR(__xludf.DUMMYFUNCTION("""COMPUTED_VALUE"""),44365.0)</f>
        <v>44365</v>
      </c>
      <c r="K3350">
        <f>IFERROR(__xludf.DUMMYFUNCTION("""COMPUTED_VALUE"""),42.0)</f>
        <v>42</v>
      </c>
      <c r="L3350">
        <f>IFERROR(__xludf.DUMMYFUNCTION("""COMPUTED_VALUE"""),11.0)</f>
        <v>11</v>
      </c>
      <c r="M3350">
        <f>IFERROR(__xludf.DUMMYFUNCTION("""COMPUTED_VALUE"""),53.0)</f>
        <v>53</v>
      </c>
      <c r="N3350" t="str">
        <f>IFERROR(__xludf.DUMMYFUNCTION("""COMPUTED_VALUE"""),"Model 3 LR AWD")</f>
        <v>Model 3 LR AWD</v>
      </c>
      <c r="O3350" t="str">
        <f>IFERROR(__xludf.DUMMYFUNCTION("""COMPUTED_VALUE"""),"Deep Blue Metallic")</f>
        <v>Deep Blue Metallic</v>
      </c>
      <c r="P3350" t="str">
        <f>IFERROR(__xludf.DUMMYFUNCTION("""COMPUTED_VALUE"""),"18 inch")</f>
        <v>18 inch</v>
      </c>
      <c r="Q3350" t="str">
        <f>IFERROR(__xludf.DUMMYFUNCTION("""COMPUTED_VALUE"""),"Black and White")</f>
        <v>Black and White</v>
      </c>
      <c r="R3350" t="str">
        <f>IFERROR(__xludf.DUMMYFUNCTION("""COMPUTED_VALUE"""),"Autopilot included")</f>
        <v>Autopilot included</v>
      </c>
      <c r="S3350" t="str">
        <f>IFERROR(__xludf.DUMMYFUNCTION("""COMPUTED_VALUE"""),"Cash")</f>
        <v>Cash</v>
      </c>
      <c r="T3350" t="str">
        <f>IFERROR(__xludf.DUMMYFUNCTION("""COMPUTED_VALUE"""),"Toyota Camry")</f>
        <v>Toyota Camry</v>
      </c>
      <c r="U3350" t="str">
        <f>IFERROR(__xludf.DUMMYFUNCTION("""COMPUTED_VALUE"""),"Electric!")</f>
        <v>Electric!</v>
      </c>
      <c r="V3350" t="str">
        <f>IFERROR(__xludf.DUMMYFUNCTION("""COMPUTED_VALUE"""),"Dashboard")</f>
        <v>Dashboard</v>
      </c>
      <c r="X3350" t="str">
        <f>IFERROR(__xludf.DUMMYFUNCTION("""COMPUTED_VALUE"""),"Excellent")</f>
        <v>Excellent</v>
      </c>
      <c r="Y3350" t="str">
        <f>IFERROR(__xludf.DUMMYFUNCTION("""COMPUTED_VALUE"""),"Excellent")</f>
        <v>Excellent</v>
      </c>
      <c r="Z3350" t="str">
        <f>IFERROR(__xludf.DUMMYFUNCTION("""COMPUTED_VALUE"""),"Excellent")</f>
        <v>Excellent</v>
      </c>
      <c r="AA3350" t="str">
        <f>IFERROR(__xludf.DUMMYFUNCTION("""COMPUTED_VALUE"""),"Excellent")</f>
        <v>Excellent</v>
      </c>
      <c r="AB3350" t="str">
        <f>IFERROR(__xludf.DUMMYFUNCTION("""COMPUTED_VALUE"""),"Excellent")</f>
        <v>Excellent</v>
      </c>
      <c r="AC3350">
        <f>IFERROR(__xludf.DUMMYFUNCTION("""COMPUTED_VALUE"""),0.0)</f>
        <v>0</v>
      </c>
      <c r="AD3350">
        <f>IFERROR(__xludf.DUMMYFUNCTION("""COMPUTED_VALUE"""),0.0)</f>
        <v>0</v>
      </c>
      <c r="AE3350">
        <f>IFERROR(__xludf.DUMMYFUNCTION("""COMPUTED_VALUE"""),0.0)</f>
        <v>0</v>
      </c>
      <c r="AH3350" s="189">
        <f>IFERROR(__xludf.DUMMYFUNCTION("""COMPUTED_VALUE"""),44426.46109258102)</f>
        <v>44426.46109</v>
      </c>
    </row>
    <row r="3351">
      <c r="A3351" t="str">
        <f>IFERROR(__xludf.DUMMYFUNCTION("""COMPUTED_VALUE"""),"Max223")</f>
        <v>Max223</v>
      </c>
      <c r="B3351" t="str">
        <f>IFERROR(__xludf.DUMMYFUNCTION("""COMPUTED_VALUE"""),"Chicago")</f>
        <v>Chicago</v>
      </c>
      <c r="C3351" t="str">
        <f>IFERROR(__xludf.DUMMYFUNCTION("""COMPUTED_VALUE"""),"IL")</f>
        <v>IL</v>
      </c>
      <c r="D3351" t="str">
        <f>IFERROR(__xludf.DUMMYFUNCTION("""COMPUTED_VALUE"""),"USA")</f>
        <v>USA</v>
      </c>
      <c r="E3351" s="188">
        <f>IFERROR(__xludf.DUMMYFUNCTION("""COMPUTED_VALUE"""),44412.0)</f>
        <v>44412</v>
      </c>
      <c r="F3351" s="188">
        <f>IFERROR(__xludf.DUMMYFUNCTION("""COMPUTED_VALUE"""),44431.0)</f>
        <v>44431</v>
      </c>
      <c r="G3351" t="str">
        <f>IFERROR(__xludf.DUMMYFUNCTION("""COMPUTED_VALUE"""),"Manage order page (normal text)")</f>
        <v>Manage order page (normal text)</v>
      </c>
      <c r="H3351">
        <f>IFERROR(__xludf.DUMMYFUNCTION("""COMPUTED_VALUE"""),36255.0)</f>
        <v>36255</v>
      </c>
      <c r="J3351" s="188">
        <f>IFERROR(__xludf.DUMMYFUNCTION("""COMPUTED_VALUE"""),44435.0)</f>
        <v>44435</v>
      </c>
      <c r="K3351">
        <f>IFERROR(__xludf.DUMMYFUNCTION("""COMPUTED_VALUE"""),19.0)</f>
        <v>19</v>
      </c>
      <c r="L3351">
        <f>IFERROR(__xludf.DUMMYFUNCTION("""COMPUTED_VALUE"""),4.0)</f>
        <v>4</v>
      </c>
      <c r="M3351">
        <f>IFERROR(__xludf.DUMMYFUNCTION("""COMPUTED_VALUE"""),23.0)</f>
        <v>23</v>
      </c>
      <c r="N3351" t="str">
        <f>IFERROR(__xludf.DUMMYFUNCTION("""COMPUTED_VALUE"""),"Model 3 Performance")</f>
        <v>Model 3 Performance</v>
      </c>
      <c r="O3351" t="str">
        <f>IFERROR(__xludf.DUMMYFUNCTION("""COMPUTED_VALUE"""),"Midnight Silver Metallic")</f>
        <v>Midnight Silver Metallic</v>
      </c>
      <c r="P3351" t="str">
        <f>IFERROR(__xludf.DUMMYFUNCTION("""COMPUTED_VALUE"""),"20 inch")</f>
        <v>20 inch</v>
      </c>
      <c r="Q3351" t="str">
        <f>IFERROR(__xludf.DUMMYFUNCTION("""COMPUTED_VALUE"""),"All Black")</f>
        <v>All Black</v>
      </c>
      <c r="R3351" t="str">
        <f>IFERROR(__xludf.DUMMYFUNCTION("""COMPUTED_VALUE"""),"Autopilot included")</f>
        <v>Autopilot included</v>
      </c>
      <c r="S3351" t="str">
        <f>IFERROR(__xludf.DUMMYFUNCTION("""COMPUTED_VALUE"""),"Loan")</f>
        <v>Loan</v>
      </c>
      <c r="T3351" t="str">
        <f>IFERROR(__xludf.DUMMYFUNCTION("""COMPUTED_VALUE"""),"Infiniti G37x")</f>
        <v>Infiniti G37x</v>
      </c>
      <c r="U3351" t="str">
        <f>IFERROR(__xludf.DUMMYFUNCTION("""COMPUTED_VALUE"""),"Electric!")</f>
        <v>Electric!</v>
      </c>
      <c r="V3351" t="str">
        <f>IFERROR(__xludf.DUMMYFUNCTION("""COMPUTED_VALUE"""),"All of the above!  Carplay, Ventilated Seats, HUD, 360 camera, and BSM, and homelink would make the perfect car")</f>
        <v>All of the above!  Carplay, Ventilated Seats, HUD, 360 camera, and BSM, and homelink would make the perfect car</v>
      </c>
      <c r="AH3351" s="189">
        <f>IFERROR(__xludf.DUMMYFUNCTION("""COMPUTED_VALUE"""),44432.468944849534)</f>
        <v>44432.46894</v>
      </c>
    </row>
    <row r="3352">
      <c r="A3352" t="str">
        <f>IFERROR(__xludf.DUMMYFUNCTION("""COMPUTED_VALUE"""),"D-Dogg")</f>
        <v>D-Dogg</v>
      </c>
      <c r="C3352" t="str">
        <f>IFERROR(__xludf.DUMMYFUNCTION("""COMPUTED_VALUE"""),"VA")</f>
        <v>VA</v>
      </c>
      <c r="D3352" t="str">
        <f>IFERROR(__xludf.DUMMYFUNCTION("""COMPUTED_VALUE"""),"USA")</f>
        <v>USA</v>
      </c>
      <c r="E3352" s="188">
        <f>IFERROR(__xludf.DUMMYFUNCTION("""COMPUTED_VALUE"""),44415.0)</f>
        <v>44415</v>
      </c>
      <c r="N3352" t="str">
        <f>IFERROR(__xludf.DUMMYFUNCTION("""COMPUTED_VALUE"""),"Model 3 LR AWD")</f>
        <v>Model 3 LR AWD</v>
      </c>
      <c r="O3352" t="str">
        <f>IFERROR(__xludf.DUMMYFUNCTION("""COMPUTED_VALUE"""),"Midnight Silver Metallic")</f>
        <v>Midnight Silver Metallic</v>
      </c>
      <c r="P3352" t="str">
        <f>IFERROR(__xludf.DUMMYFUNCTION("""COMPUTED_VALUE"""),"18 inch")</f>
        <v>18 inch</v>
      </c>
      <c r="Q3352" t="str">
        <f>IFERROR(__xludf.DUMMYFUNCTION("""COMPUTED_VALUE"""),"All Black")</f>
        <v>All Black</v>
      </c>
      <c r="R3352" t="str">
        <f>IFERROR(__xludf.DUMMYFUNCTION("""COMPUTED_VALUE"""),"Autopilot included")</f>
        <v>Autopilot included</v>
      </c>
      <c r="S3352" t="str">
        <f>IFERROR(__xludf.DUMMYFUNCTION("""COMPUTED_VALUE"""),"Loan")</f>
        <v>Loan</v>
      </c>
      <c r="AH3352" s="189">
        <f>IFERROR(__xludf.DUMMYFUNCTION("""COMPUTED_VALUE"""),44426.56417216435)</f>
        <v>44426.56417</v>
      </c>
    </row>
    <row r="3353">
      <c r="A3353" t="str">
        <f>IFERROR(__xludf.DUMMYFUNCTION("""COMPUTED_VALUE"""),"Sophia")</f>
        <v>Sophia</v>
      </c>
      <c r="B3353" t="str">
        <f>IFERROR(__xludf.DUMMYFUNCTION("""COMPUTED_VALUE"""),"Houston")</f>
        <v>Houston</v>
      </c>
      <c r="C3353" t="str">
        <f>IFERROR(__xludf.DUMMYFUNCTION("""COMPUTED_VALUE"""),"TX")</f>
        <v>TX</v>
      </c>
      <c r="D3353" t="str">
        <f>IFERROR(__xludf.DUMMYFUNCTION("""COMPUTED_VALUE"""),"USA")</f>
        <v>USA</v>
      </c>
      <c r="E3353" s="188">
        <f>IFERROR(__xludf.DUMMYFUNCTION("""COMPUTED_VALUE"""),44402.0)</f>
        <v>44402</v>
      </c>
      <c r="F3353" s="188">
        <f>IFERROR(__xludf.DUMMYFUNCTION("""COMPUTED_VALUE"""),44434.0)</f>
        <v>44434</v>
      </c>
      <c r="G3353" t="str">
        <f>IFERROR(__xludf.DUMMYFUNCTION("""COMPUTED_VALUE"""),"Manage order page (normal text)")</f>
        <v>Manage order page (normal text)</v>
      </c>
      <c r="J3353" s="188">
        <f>IFERROR(__xludf.DUMMYFUNCTION("""COMPUTED_VALUE"""),44447.0)</f>
        <v>44447</v>
      </c>
      <c r="K3353">
        <f>IFERROR(__xludf.DUMMYFUNCTION("""COMPUTED_VALUE"""),32.0)</f>
        <v>32</v>
      </c>
      <c r="L3353">
        <f>IFERROR(__xludf.DUMMYFUNCTION("""COMPUTED_VALUE"""),13.0)</f>
        <v>13</v>
      </c>
      <c r="M3353">
        <f>IFERROR(__xludf.DUMMYFUNCTION("""COMPUTED_VALUE"""),45.0)</f>
        <v>45</v>
      </c>
      <c r="N3353" t="str">
        <f>IFERROR(__xludf.DUMMYFUNCTION("""COMPUTED_VALUE"""),"Model 3 SR+")</f>
        <v>Model 3 SR+</v>
      </c>
      <c r="O3353" t="str">
        <f>IFERROR(__xludf.DUMMYFUNCTION("""COMPUTED_VALUE"""),"Pearl White Multi-Coat")</f>
        <v>Pearl White Multi-Coat</v>
      </c>
      <c r="P3353" t="str">
        <f>IFERROR(__xludf.DUMMYFUNCTION("""COMPUTED_VALUE"""),"18 inch")</f>
        <v>18 inch</v>
      </c>
      <c r="Q3353" t="str">
        <f>IFERROR(__xludf.DUMMYFUNCTION("""COMPUTED_VALUE"""),"All Black")</f>
        <v>All Black</v>
      </c>
      <c r="R3353" t="str">
        <f>IFERROR(__xludf.DUMMYFUNCTION("""COMPUTED_VALUE"""),"Autopilot included")</f>
        <v>Autopilot included</v>
      </c>
      <c r="S3353" t="str">
        <f>IFERROR(__xludf.DUMMYFUNCTION("""COMPUTED_VALUE"""),"Loan")</f>
        <v>Loan</v>
      </c>
      <c r="T3353" t="str">
        <f>IFERROR(__xludf.DUMMYFUNCTION("""COMPUTED_VALUE"""),"Volvo S90")</f>
        <v>Volvo S90</v>
      </c>
      <c r="U3353" t="str">
        <f>IFERROR(__xludf.DUMMYFUNCTION("""COMPUTED_VALUE"""),"All-glass roof")</f>
        <v>All-glass roof</v>
      </c>
      <c r="V3353" t="str">
        <f>IFERROR(__xludf.DUMMYFUNCTION("""COMPUTED_VALUE"""),"360° Bird's eye view")</f>
        <v>360° Bird's eye view</v>
      </c>
      <c r="AF3353" t="str">
        <f>IFERROR(__xludf.DUMMYFUNCTION("""COMPUTED_VALUE"""),"No. I took delivery of the first car Tesla was able to deliver.")</f>
        <v>No. I took delivery of the first car Tesla was able to deliver.</v>
      </c>
      <c r="AH3353" s="189">
        <f>IFERROR(__xludf.DUMMYFUNCTION("""COMPUTED_VALUE"""),44435.374149421295)</f>
        <v>44435.37415</v>
      </c>
    </row>
    <row r="3354">
      <c r="A3354" t="str">
        <f>IFERROR(__xludf.DUMMYFUNCTION("""COMPUTED_VALUE"""),"gavagai")</f>
        <v>gavagai</v>
      </c>
      <c r="B3354" t="str">
        <f>IFERROR(__xludf.DUMMYFUNCTION("""COMPUTED_VALUE"""),"boston")</f>
        <v>boston</v>
      </c>
      <c r="C3354" t="str">
        <f>IFERROR(__xludf.DUMMYFUNCTION("""COMPUTED_VALUE"""),"MA")</f>
        <v>MA</v>
      </c>
      <c r="D3354" t="str">
        <f>IFERROR(__xludf.DUMMYFUNCTION("""COMPUTED_VALUE"""),"USA")</f>
        <v>USA</v>
      </c>
      <c r="E3354" s="188">
        <f>IFERROR(__xludf.DUMMYFUNCTION("""COMPUTED_VALUE"""),44375.0)</f>
        <v>44375</v>
      </c>
      <c r="F3354" s="188">
        <f>IFERROR(__xludf.DUMMYFUNCTION("""COMPUTED_VALUE"""),44425.0)</f>
        <v>44425</v>
      </c>
      <c r="G3354" t="str">
        <f>IFERROR(__xludf.DUMMYFUNCTION("""COMPUTED_VALUE"""),"Manage order page (normal text)")</f>
        <v>Manage order page (normal text)</v>
      </c>
      <c r="H3354">
        <f>IFERROR(__xludf.DUMMYFUNCTION("""COMPUTED_VALUE"""),44155.0)</f>
        <v>44155</v>
      </c>
      <c r="I3354" t="str">
        <f>IFERROR(__xludf.DUMMYFUNCTION("""COMPUTED_VALUE"""),"08/21")</f>
        <v>08/21</v>
      </c>
      <c r="J3354" s="188">
        <f>IFERROR(__xludf.DUMMYFUNCTION("""COMPUTED_VALUE"""),44440.0)</f>
        <v>44440</v>
      </c>
      <c r="K3354">
        <f>IFERROR(__xludf.DUMMYFUNCTION("""COMPUTED_VALUE"""),50.0)</f>
        <v>50</v>
      </c>
      <c r="L3354">
        <f>IFERROR(__xludf.DUMMYFUNCTION("""COMPUTED_VALUE"""),15.0)</f>
        <v>15</v>
      </c>
      <c r="M3354">
        <f>IFERROR(__xludf.DUMMYFUNCTION("""COMPUTED_VALUE"""),65.0)</f>
        <v>65</v>
      </c>
      <c r="N3354" t="str">
        <f>IFERROR(__xludf.DUMMYFUNCTION("""COMPUTED_VALUE"""),"Model 3 LR AWD")</f>
        <v>Model 3 LR AWD</v>
      </c>
      <c r="O3354" t="str">
        <f>IFERROR(__xludf.DUMMYFUNCTION("""COMPUTED_VALUE"""),"Deep Blue Metallic")</f>
        <v>Deep Blue Metallic</v>
      </c>
      <c r="P3354" t="str">
        <f>IFERROR(__xludf.DUMMYFUNCTION("""COMPUTED_VALUE"""),"19 inch")</f>
        <v>19 inch</v>
      </c>
      <c r="Q3354" t="str">
        <f>IFERROR(__xludf.DUMMYFUNCTION("""COMPUTED_VALUE"""),"All Black")</f>
        <v>All Black</v>
      </c>
      <c r="R3354" t="str">
        <f>IFERROR(__xludf.DUMMYFUNCTION("""COMPUTED_VALUE"""),"Autopilot included")</f>
        <v>Autopilot included</v>
      </c>
      <c r="S3354" t="str">
        <f>IFERROR(__xludf.DUMMYFUNCTION("""COMPUTED_VALUE"""),"Loan")</f>
        <v>Loan</v>
      </c>
      <c r="T3354" t="str">
        <f>IFERROR(__xludf.DUMMYFUNCTION("""COMPUTED_VALUE"""),"Tesla Model 3")</f>
        <v>Tesla Model 3</v>
      </c>
      <c r="U3354" t="str">
        <f>IFERROR(__xludf.DUMMYFUNCTION("""COMPUTED_VALUE"""),"Electric!")</f>
        <v>Electric!</v>
      </c>
      <c r="V3354" t="str">
        <f>IFERROR(__xludf.DUMMYFUNCTION("""COMPUTED_VALUE"""),"Apple CarPlay / Android Auto / SiriusXM Radio")</f>
        <v>Apple CarPlay / Android Auto / SiriusXM Radio</v>
      </c>
      <c r="X3354" t="str">
        <f>IFERROR(__xludf.DUMMYFUNCTION("""COMPUTED_VALUE"""),"Excellent")</f>
        <v>Excellent</v>
      </c>
      <c r="Y3354" t="str">
        <f>IFERROR(__xludf.DUMMYFUNCTION("""COMPUTED_VALUE"""),"Very Good")</f>
        <v>Very Good</v>
      </c>
      <c r="Z3354" t="str">
        <f>IFERROR(__xludf.DUMMYFUNCTION("""COMPUTED_VALUE"""),"Fair")</f>
        <v>Fair</v>
      </c>
      <c r="AA3354" t="str">
        <f>IFERROR(__xludf.DUMMYFUNCTION("""COMPUTED_VALUE"""),"Fair")</f>
        <v>Fair</v>
      </c>
      <c r="AB3354" t="str">
        <f>IFERROR(__xludf.DUMMYFUNCTION("""COMPUTED_VALUE"""),"Good")</f>
        <v>Good</v>
      </c>
      <c r="AF3354" t="str">
        <f>IFERROR(__xludf.DUMMYFUNCTION("""COMPUTED_VALUE"""),"No. I took delivery of the first car Tesla was able to deliver.")</f>
        <v>No. I took delivery of the first car Tesla was able to deliver.</v>
      </c>
      <c r="AH3354" s="189">
        <f>IFERROR(__xludf.DUMMYFUNCTION("""COMPUTED_VALUE"""),44441.48949983796)</f>
        <v>44441.4895</v>
      </c>
    </row>
    <row r="3355">
      <c r="A3355" t="str">
        <f>IFERROR(__xludf.DUMMYFUNCTION("""COMPUTED_VALUE"""),"MYoung")</f>
        <v>MYoung</v>
      </c>
      <c r="B3355" t="str">
        <f>IFERROR(__xludf.DUMMYFUNCTION("""COMPUTED_VALUE"""),"Owings Mills")</f>
        <v>Owings Mills</v>
      </c>
      <c r="C3355" t="str">
        <f>IFERROR(__xludf.DUMMYFUNCTION("""COMPUTED_VALUE"""),"MD")</f>
        <v>MD</v>
      </c>
      <c r="D3355" t="str">
        <f>IFERROR(__xludf.DUMMYFUNCTION("""COMPUTED_VALUE"""),"USA")</f>
        <v>USA</v>
      </c>
      <c r="E3355" s="188">
        <f>IFERROR(__xludf.DUMMYFUNCTION("""COMPUTED_VALUE"""),44401.0)</f>
        <v>44401</v>
      </c>
      <c r="F3355" s="188">
        <f>IFERROR(__xludf.DUMMYFUNCTION("""COMPUTED_VALUE"""),44434.0)</f>
        <v>44434</v>
      </c>
      <c r="G3355" t="str">
        <f>IFERROR(__xludf.DUMMYFUNCTION("""COMPUTED_VALUE"""),"Email")</f>
        <v>Email</v>
      </c>
      <c r="J3355" s="188">
        <f>IFERROR(__xludf.DUMMYFUNCTION("""COMPUTED_VALUE"""),44449.0)</f>
        <v>44449</v>
      </c>
      <c r="K3355">
        <f>IFERROR(__xludf.DUMMYFUNCTION("""COMPUTED_VALUE"""),33.0)</f>
        <v>33</v>
      </c>
      <c r="L3355">
        <f>IFERROR(__xludf.DUMMYFUNCTION("""COMPUTED_VALUE"""),15.0)</f>
        <v>15</v>
      </c>
      <c r="M3355">
        <f>IFERROR(__xludf.DUMMYFUNCTION("""COMPUTED_VALUE"""),48.0)</f>
        <v>48</v>
      </c>
      <c r="N3355" t="str">
        <f>IFERROR(__xludf.DUMMYFUNCTION("""COMPUTED_VALUE"""),"Model 3 LR AWD")</f>
        <v>Model 3 LR AWD</v>
      </c>
      <c r="O3355" t="str">
        <f>IFERROR(__xludf.DUMMYFUNCTION("""COMPUTED_VALUE"""),"Solid Black")</f>
        <v>Solid Black</v>
      </c>
      <c r="P3355" t="str">
        <f>IFERROR(__xludf.DUMMYFUNCTION("""COMPUTED_VALUE"""),"18 inch")</f>
        <v>18 inch</v>
      </c>
      <c r="Q3355" t="str">
        <f>IFERROR(__xludf.DUMMYFUNCTION("""COMPUTED_VALUE"""),"All Black")</f>
        <v>All Black</v>
      </c>
      <c r="R3355" t="str">
        <f>IFERROR(__xludf.DUMMYFUNCTION("""COMPUTED_VALUE"""),"Autopilot included")</f>
        <v>Autopilot included</v>
      </c>
      <c r="S3355" t="str">
        <f>IFERROR(__xludf.DUMMYFUNCTION("""COMPUTED_VALUE"""),"Cash")</f>
        <v>Cash</v>
      </c>
      <c r="U3355" t="str">
        <f>IFERROR(__xludf.DUMMYFUNCTION("""COMPUTED_VALUE"""),"Luxury Performance - High Tech!")</f>
        <v>Luxury Performance - High Tech!</v>
      </c>
      <c r="V3355" t="str">
        <f>IFERROR(__xludf.DUMMYFUNCTION("""COMPUTED_VALUE"""),"A/C Ventilated Seats")</f>
        <v>A/C Ventilated Seats</v>
      </c>
      <c r="AG3355" t="str">
        <f>IFERROR(__xludf.DUMMYFUNCTION("""COMPUTED_VALUE"""),"On 8/20/2021 my ETA range reduced to 12 days")</f>
        <v>On 8/20/2021 my ETA range reduced to 12 days</v>
      </c>
      <c r="AH3355" s="189">
        <f>IFERROR(__xludf.DUMMYFUNCTION("""COMPUTED_VALUE"""),44434.696274444446)</f>
        <v>44434.69627</v>
      </c>
    </row>
    <row r="3356">
      <c r="A3356" t="str">
        <f>IFERROR(__xludf.DUMMYFUNCTION("""COMPUTED_VALUE"""),"mbucko")</f>
        <v>mbucko</v>
      </c>
      <c r="B3356" t="str">
        <f>IFERROR(__xludf.DUMMYFUNCTION("""COMPUTED_VALUE"""),"Los Angeles")</f>
        <v>Los Angeles</v>
      </c>
      <c r="C3356" t="str">
        <f>IFERROR(__xludf.DUMMYFUNCTION("""COMPUTED_VALUE"""),"CA")</f>
        <v>CA</v>
      </c>
      <c r="D3356" t="str">
        <f>IFERROR(__xludf.DUMMYFUNCTION("""COMPUTED_VALUE"""),"USA")</f>
        <v>USA</v>
      </c>
      <c r="E3356" s="188">
        <f>IFERROR(__xludf.DUMMYFUNCTION("""COMPUTED_VALUE"""),44405.0)</f>
        <v>44405</v>
      </c>
      <c r="F3356" s="188">
        <f>IFERROR(__xludf.DUMMYFUNCTION("""COMPUTED_VALUE"""),44461.0)</f>
        <v>44461</v>
      </c>
      <c r="G3356" t="str">
        <f>IFERROR(__xludf.DUMMYFUNCTION("""COMPUTED_VALUE"""),"Manage order page (normal text)")</f>
        <v>Manage order page (normal text)</v>
      </c>
      <c r="H3356">
        <f>IFERROR(__xludf.DUMMYFUNCTION("""COMPUTED_VALUE"""),70163.0)</f>
        <v>70163</v>
      </c>
      <c r="J3356" s="188">
        <f>IFERROR(__xludf.DUMMYFUNCTION("""COMPUTED_VALUE"""),44463.0)</f>
        <v>44463</v>
      </c>
      <c r="K3356">
        <f>IFERROR(__xludf.DUMMYFUNCTION("""COMPUTED_VALUE"""),56.0)</f>
        <v>56</v>
      </c>
      <c r="L3356">
        <f>IFERROR(__xludf.DUMMYFUNCTION("""COMPUTED_VALUE"""),2.0)</f>
        <v>2</v>
      </c>
      <c r="M3356">
        <f>IFERROR(__xludf.DUMMYFUNCTION("""COMPUTED_VALUE"""),58.0)</f>
        <v>58</v>
      </c>
      <c r="N3356" t="str">
        <f>IFERROR(__xludf.DUMMYFUNCTION("""COMPUTED_VALUE"""),"Model 3 Performance")</f>
        <v>Model 3 Performance</v>
      </c>
      <c r="O3356" t="str">
        <f>IFERROR(__xludf.DUMMYFUNCTION("""COMPUTED_VALUE"""),"Pearl White Multi-Coat")</f>
        <v>Pearl White Multi-Coat</v>
      </c>
      <c r="P3356" t="str">
        <f>IFERROR(__xludf.DUMMYFUNCTION("""COMPUTED_VALUE"""),"20 inch")</f>
        <v>20 inch</v>
      </c>
      <c r="Q3356" t="str">
        <f>IFERROR(__xludf.DUMMYFUNCTION("""COMPUTED_VALUE"""),"Black and White")</f>
        <v>Black and White</v>
      </c>
      <c r="R3356" t="str">
        <f>IFERROR(__xludf.DUMMYFUNCTION("""COMPUTED_VALUE"""),"Full Self-Driving")</f>
        <v>Full Self-Driving</v>
      </c>
      <c r="S3356" t="str">
        <f>IFERROR(__xludf.DUMMYFUNCTION("""COMPUTED_VALUE"""),"Loan")</f>
        <v>Loan</v>
      </c>
      <c r="T3356" t="str">
        <f>IFERROR(__xludf.DUMMYFUNCTION("""COMPUTED_VALUE"""),"Model 3 will be my first car!")</f>
        <v>Model 3 will be my first car!</v>
      </c>
      <c r="U3356" t="str">
        <f>IFERROR(__xludf.DUMMYFUNCTION("""COMPUTED_VALUE"""),"Autopilot")</f>
        <v>Autopilot</v>
      </c>
      <c r="V3356" t="str">
        <f>IFERROR(__xludf.DUMMYFUNCTION("""COMPUTED_VALUE"""),"Head-up display")</f>
        <v>Head-up display</v>
      </c>
      <c r="W3356" t="str">
        <f>IFERROR(__xludf.DUMMYFUNCTION("""COMPUTED_VALUE"""),"If you're ordering in California ignore the EDD, your car will arrive at the end of the quarter.")</f>
        <v>If you're ordering in California ignore the EDD, your car will arrive at the end of the quarter.</v>
      </c>
      <c r="X3356" t="str">
        <f>IFERROR(__xludf.DUMMYFUNCTION("""COMPUTED_VALUE"""),"Very Good")</f>
        <v>Very Good</v>
      </c>
      <c r="Y3356" t="str">
        <f>IFERROR(__xludf.DUMMYFUNCTION("""COMPUTED_VALUE"""),"Excellent")</f>
        <v>Excellent</v>
      </c>
      <c r="Z3356" t="str">
        <f>IFERROR(__xludf.DUMMYFUNCTION("""COMPUTED_VALUE"""),"Excellent")</f>
        <v>Excellent</v>
      </c>
      <c r="AA3356" t="str">
        <f>IFERROR(__xludf.DUMMYFUNCTION("""COMPUTED_VALUE"""),"Good")</f>
        <v>Good</v>
      </c>
      <c r="AB3356" t="str">
        <f>IFERROR(__xludf.DUMMYFUNCTION("""COMPUTED_VALUE"""),"Excellent")</f>
        <v>Excellent</v>
      </c>
      <c r="AC3356">
        <f>IFERROR(__xludf.DUMMYFUNCTION("""COMPUTED_VALUE"""),0.0)</f>
        <v>0</v>
      </c>
      <c r="AD3356">
        <f>IFERROR(__xludf.DUMMYFUNCTION("""COMPUTED_VALUE"""),0.0)</f>
        <v>0</v>
      </c>
      <c r="AF3356" t="str">
        <f>IFERROR(__xludf.DUMMYFUNCTION("""COMPUTED_VALUE"""),"No. I took delivery of the first car Tesla was able to deliver.")</f>
        <v>No. I took delivery of the first car Tesla was able to deliver.</v>
      </c>
      <c r="AH3356" s="189">
        <f>IFERROR(__xludf.DUMMYFUNCTION("""COMPUTED_VALUE"""),44464.33236746528)</f>
        <v>44464.33237</v>
      </c>
    </row>
    <row r="3357">
      <c r="A3357" t="str">
        <f>IFERROR(__xludf.DUMMYFUNCTION("""COMPUTED_VALUE"""),"jevi")</f>
        <v>jevi</v>
      </c>
      <c r="D3357" t="str">
        <f>IFERROR(__xludf.DUMMYFUNCTION("""COMPUTED_VALUE"""),"United Kingdom")</f>
        <v>United Kingdom</v>
      </c>
      <c r="E3357" s="188">
        <f>IFERROR(__xludf.DUMMYFUNCTION("""COMPUTED_VALUE"""),44403.0)</f>
        <v>44403</v>
      </c>
      <c r="F3357" s="188">
        <f>IFERROR(__xludf.DUMMYFUNCTION("""COMPUTED_VALUE"""),44412.0)</f>
        <v>44412</v>
      </c>
      <c r="G3357" t="str">
        <f>IFERROR(__xludf.DUMMYFUNCTION("""COMPUTED_VALUE"""),"Source code")</f>
        <v>Source code</v>
      </c>
      <c r="H3357">
        <f>IFERROR(__xludf.DUMMYFUNCTION("""COMPUTED_VALUE"""),321655.0)</f>
        <v>321655</v>
      </c>
      <c r="K3357">
        <f>IFERROR(__xludf.DUMMYFUNCTION("""COMPUTED_VALUE"""),9.0)</f>
        <v>9</v>
      </c>
      <c r="N3357" t="str">
        <f>IFERROR(__xludf.DUMMYFUNCTION("""COMPUTED_VALUE"""),"Model 3 LR AWD")</f>
        <v>Model 3 LR AWD</v>
      </c>
      <c r="O3357" t="str">
        <f>IFERROR(__xludf.DUMMYFUNCTION("""COMPUTED_VALUE"""),"Deep Blue Metallic")</f>
        <v>Deep Blue Metallic</v>
      </c>
      <c r="P3357" t="str">
        <f>IFERROR(__xludf.DUMMYFUNCTION("""COMPUTED_VALUE"""),"18 inch")</f>
        <v>18 inch</v>
      </c>
      <c r="Q3357" t="str">
        <f>IFERROR(__xludf.DUMMYFUNCTION("""COMPUTED_VALUE"""),"All Black")</f>
        <v>All Black</v>
      </c>
      <c r="R3357" t="str">
        <f>IFERROR(__xludf.DUMMYFUNCTION("""COMPUTED_VALUE"""),"Autopilot included")</f>
        <v>Autopilot included</v>
      </c>
      <c r="S3357" t="str">
        <f>IFERROR(__xludf.DUMMYFUNCTION("""COMPUTED_VALUE"""),"Loan")</f>
        <v>Loan</v>
      </c>
      <c r="T3357" t="str">
        <f>IFERROR(__xludf.DUMMYFUNCTION("""COMPUTED_VALUE"""),"Audi S3")</f>
        <v>Audi S3</v>
      </c>
      <c r="U3357" t="str">
        <f>IFERROR(__xludf.DUMMYFUNCTION("""COMPUTED_VALUE"""),"Autopilot")</f>
        <v>Autopilot</v>
      </c>
      <c r="V3357" t="str">
        <f>IFERROR(__xludf.DUMMYFUNCTION("""COMPUTED_VALUE"""),"Apple CarPlay / Android Auto / SiriusXM Radio")</f>
        <v>Apple CarPlay / Android Auto / SiriusXM Radio</v>
      </c>
      <c r="AH3357" s="189">
        <f>IFERROR(__xludf.DUMMYFUNCTION("""COMPUTED_VALUE"""),44427.2127505324)</f>
        <v>44427.21275</v>
      </c>
    </row>
    <row r="3358">
      <c r="A3358" t="str">
        <f>IFERROR(__xludf.DUMMYFUNCTION("""COMPUTED_VALUE"""),"aerodyno")</f>
        <v>aerodyno</v>
      </c>
      <c r="B3358" t="str">
        <f>IFERROR(__xludf.DUMMYFUNCTION("""COMPUTED_VALUE"""),"Princeton")</f>
        <v>Princeton</v>
      </c>
      <c r="C3358" t="str">
        <f>IFERROR(__xludf.DUMMYFUNCTION("""COMPUTED_VALUE"""),"NJ")</f>
        <v>NJ</v>
      </c>
      <c r="D3358" t="str">
        <f>IFERROR(__xludf.DUMMYFUNCTION("""COMPUTED_VALUE"""),"USA")</f>
        <v>USA</v>
      </c>
      <c r="E3358" s="188">
        <f>IFERROR(__xludf.DUMMYFUNCTION("""COMPUTED_VALUE"""),44426.0)</f>
        <v>44426</v>
      </c>
      <c r="F3358" s="188">
        <f>IFERROR(__xludf.DUMMYFUNCTION("""COMPUTED_VALUE"""),44440.0)</f>
        <v>44440</v>
      </c>
      <c r="G3358" t="str">
        <f>IFERROR(__xludf.DUMMYFUNCTION("""COMPUTED_VALUE"""),"Manage order page (normal text)")</f>
        <v>Manage order page (normal text)</v>
      </c>
      <c r="H3358">
        <f>IFERROR(__xludf.DUMMYFUNCTION("""COMPUTED_VALUE"""),56055.0)</f>
        <v>56055</v>
      </c>
      <c r="I3358" t="str">
        <f>IFERROR(__xludf.DUMMYFUNCTION("""COMPUTED_VALUE"""),"09/21")</f>
        <v>09/21</v>
      </c>
      <c r="J3358" s="188">
        <f>IFERROR(__xludf.DUMMYFUNCTION("""COMPUTED_VALUE"""),44456.0)</f>
        <v>44456</v>
      </c>
      <c r="K3358">
        <f>IFERROR(__xludf.DUMMYFUNCTION("""COMPUTED_VALUE"""),14.0)</f>
        <v>14</v>
      </c>
      <c r="L3358">
        <f>IFERROR(__xludf.DUMMYFUNCTION("""COMPUTED_VALUE"""),16.0)</f>
        <v>16</v>
      </c>
      <c r="M3358">
        <f>IFERROR(__xludf.DUMMYFUNCTION("""COMPUTED_VALUE"""),30.0)</f>
        <v>30</v>
      </c>
      <c r="N3358" t="str">
        <f>IFERROR(__xludf.DUMMYFUNCTION("""COMPUTED_VALUE"""),"Model 3 LR AWD")</f>
        <v>Model 3 LR AWD</v>
      </c>
      <c r="O3358" t="str">
        <f>IFERROR(__xludf.DUMMYFUNCTION("""COMPUTED_VALUE"""),"Deep Blue Metallic")</f>
        <v>Deep Blue Metallic</v>
      </c>
      <c r="P3358" t="str">
        <f>IFERROR(__xludf.DUMMYFUNCTION("""COMPUTED_VALUE"""),"18 inch")</f>
        <v>18 inch</v>
      </c>
      <c r="Q3358" t="str">
        <f>IFERROR(__xludf.DUMMYFUNCTION("""COMPUTED_VALUE"""),"Black and White")</f>
        <v>Black and White</v>
      </c>
      <c r="R3358" t="str">
        <f>IFERROR(__xludf.DUMMYFUNCTION("""COMPUTED_VALUE"""),"Autopilot included")</f>
        <v>Autopilot included</v>
      </c>
      <c r="S3358" t="str">
        <f>IFERROR(__xludf.DUMMYFUNCTION("""COMPUTED_VALUE"""),"Loan")</f>
        <v>Loan</v>
      </c>
      <c r="T3358" t="str">
        <f>IFERROR(__xludf.DUMMYFUNCTION("""COMPUTED_VALUE"""),"2002 Nissan Maxima")</f>
        <v>2002 Nissan Maxima</v>
      </c>
      <c r="U3358" t="str">
        <f>IFERROR(__xludf.DUMMYFUNCTION("""COMPUTED_VALUE"""),"Electric!")</f>
        <v>Electric!</v>
      </c>
      <c r="V3358" t="str">
        <f>IFERROR(__xludf.DUMMYFUNCTION("""COMPUTED_VALUE"""),"Apple CarPlay / Android Auto / SiriusXM Radio")</f>
        <v>Apple CarPlay / Android Auto / SiriusXM Radio</v>
      </c>
      <c r="X3358" t="str">
        <f>IFERROR(__xludf.DUMMYFUNCTION("""COMPUTED_VALUE"""),"Excellent")</f>
        <v>Excellent</v>
      </c>
      <c r="Y3358" t="str">
        <f>IFERROR(__xludf.DUMMYFUNCTION("""COMPUTED_VALUE"""),"Excellent")</f>
        <v>Excellent</v>
      </c>
      <c r="Z3358" t="str">
        <f>IFERROR(__xludf.DUMMYFUNCTION("""COMPUTED_VALUE"""),"Excellent")</f>
        <v>Excellent</v>
      </c>
      <c r="AA3358" t="str">
        <f>IFERROR(__xludf.DUMMYFUNCTION("""COMPUTED_VALUE"""),"Excellent")</f>
        <v>Excellent</v>
      </c>
      <c r="AB3358" t="str">
        <f>IFERROR(__xludf.DUMMYFUNCTION("""COMPUTED_VALUE"""),"Excellent")</f>
        <v>Excellent</v>
      </c>
      <c r="AF3358" t="str">
        <f>IFERROR(__xludf.DUMMYFUNCTION("""COMPUTED_VALUE"""),"No. I took delivery of the first car Tesla was able to deliver.")</f>
        <v>No. I took delivery of the first car Tesla was able to deliver.</v>
      </c>
      <c r="AH3358" s="189">
        <f>IFERROR(__xludf.DUMMYFUNCTION("""COMPUTED_VALUE"""),44458.20109340278)</f>
        <v>44458.20109</v>
      </c>
    </row>
    <row r="3359">
      <c r="A3359" t="str">
        <f>IFERROR(__xludf.DUMMYFUNCTION("""COMPUTED_VALUE"""),"IntrepidYorkshireTerrier")</f>
        <v>IntrepidYorkshireTerrier</v>
      </c>
      <c r="C3359" t="str">
        <f>IFERROR(__xludf.DUMMYFUNCTION("""COMPUTED_VALUE"""),"WA")</f>
        <v>WA</v>
      </c>
      <c r="D3359" t="str">
        <f>IFERROR(__xludf.DUMMYFUNCTION("""COMPUTED_VALUE"""),"USA")</f>
        <v>USA</v>
      </c>
      <c r="E3359" s="188">
        <f>IFERROR(__xludf.DUMMYFUNCTION("""COMPUTED_VALUE"""),44376.0)</f>
        <v>44376</v>
      </c>
      <c r="F3359" s="188">
        <f>IFERROR(__xludf.DUMMYFUNCTION("""COMPUTED_VALUE"""),44427.0)</f>
        <v>44427</v>
      </c>
      <c r="G3359" t="str">
        <f>IFERROR(__xludf.DUMMYFUNCTION("""COMPUTED_VALUE"""),"Manage order page (normal text)")</f>
        <v>Manage order page (normal text)</v>
      </c>
      <c r="J3359" s="188">
        <f>IFERROR(__xludf.DUMMYFUNCTION("""COMPUTED_VALUE"""),44433.0)</f>
        <v>44433</v>
      </c>
      <c r="K3359">
        <f>IFERROR(__xludf.DUMMYFUNCTION("""COMPUTED_VALUE"""),51.0)</f>
        <v>51</v>
      </c>
      <c r="L3359">
        <f>IFERROR(__xludf.DUMMYFUNCTION("""COMPUTED_VALUE"""),6.0)</f>
        <v>6</v>
      </c>
      <c r="M3359">
        <f>IFERROR(__xludf.DUMMYFUNCTION("""COMPUTED_VALUE"""),57.0)</f>
        <v>57</v>
      </c>
      <c r="N3359" t="str">
        <f>IFERROR(__xludf.DUMMYFUNCTION("""COMPUTED_VALUE"""),"Model 3 LR AWD")</f>
        <v>Model 3 LR AWD</v>
      </c>
      <c r="O3359" t="str">
        <f>IFERROR(__xludf.DUMMYFUNCTION("""COMPUTED_VALUE"""),"Pearl White Multi-Coat")</f>
        <v>Pearl White Multi-Coat</v>
      </c>
      <c r="P3359" t="str">
        <f>IFERROR(__xludf.DUMMYFUNCTION("""COMPUTED_VALUE"""),"18 inch")</f>
        <v>18 inch</v>
      </c>
      <c r="Q3359" t="str">
        <f>IFERROR(__xludf.DUMMYFUNCTION("""COMPUTED_VALUE"""),"All Black")</f>
        <v>All Black</v>
      </c>
      <c r="R3359" t="str">
        <f>IFERROR(__xludf.DUMMYFUNCTION("""COMPUTED_VALUE"""),"Autopilot included")</f>
        <v>Autopilot included</v>
      </c>
      <c r="S3359" t="str">
        <f>IFERROR(__xludf.DUMMYFUNCTION("""COMPUTED_VALUE"""),"Loan")</f>
        <v>Loan</v>
      </c>
      <c r="T3359" t="str">
        <f>IFERROR(__xludf.DUMMYFUNCTION("""COMPUTED_VALUE"""),"Model 3 will be my first car!")</f>
        <v>Model 3 will be my first car!</v>
      </c>
      <c r="X3359" t="str">
        <f>IFERROR(__xludf.DUMMYFUNCTION("""COMPUTED_VALUE"""),"Excellent")</f>
        <v>Excellent</v>
      </c>
      <c r="Y3359" t="str">
        <f>IFERROR(__xludf.DUMMYFUNCTION("""COMPUTED_VALUE"""),"Good")</f>
        <v>Good</v>
      </c>
      <c r="Z3359" t="str">
        <f>IFERROR(__xludf.DUMMYFUNCTION("""COMPUTED_VALUE"""),"Very Good")</f>
        <v>Very Good</v>
      </c>
      <c r="AA3359" t="str">
        <f>IFERROR(__xludf.DUMMYFUNCTION("""COMPUTED_VALUE"""),"Good")</f>
        <v>Good</v>
      </c>
      <c r="AB3359" t="str">
        <f>IFERROR(__xludf.DUMMYFUNCTION("""COMPUTED_VALUE"""),"Good")</f>
        <v>Good</v>
      </c>
      <c r="AC3359">
        <f>IFERROR(__xludf.DUMMYFUNCTION("""COMPUTED_VALUE"""),4.0)</f>
        <v>4</v>
      </c>
      <c r="AD3359">
        <f>IFERROR(__xludf.DUMMYFUNCTION("""COMPUTED_VALUE"""),1.0)</f>
        <v>1</v>
      </c>
      <c r="AF3359" t="str">
        <f>IFERROR(__xludf.DUMMYFUNCTION("""COMPUTED_VALUE"""),"No. I took delivery of the first car Tesla was able to deliver.")</f>
        <v>No. I took delivery of the first car Tesla was able to deliver.</v>
      </c>
      <c r="AH3359" s="189">
        <f>IFERROR(__xludf.DUMMYFUNCTION("""COMPUTED_VALUE"""),44441.34869636574)</f>
        <v>44441.3487</v>
      </c>
    </row>
    <row r="3360">
      <c r="A3360" t="str">
        <f>IFERROR(__xludf.DUMMYFUNCTION("""COMPUTED_VALUE"""),"cwolfie")</f>
        <v>cwolfie</v>
      </c>
      <c r="B3360" t="str">
        <f>IFERROR(__xludf.DUMMYFUNCTION("""COMPUTED_VALUE"""),"Durham")</f>
        <v>Durham</v>
      </c>
      <c r="C3360" t="str">
        <f>IFERROR(__xludf.DUMMYFUNCTION("""COMPUTED_VALUE"""),"NC")</f>
        <v>NC</v>
      </c>
      <c r="D3360" t="str">
        <f>IFERROR(__xludf.DUMMYFUNCTION("""COMPUTED_VALUE"""),"USA")</f>
        <v>USA</v>
      </c>
      <c r="E3360" s="188">
        <f>IFERROR(__xludf.DUMMYFUNCTION("""COMPUTED_VALUE"""),44397.0)</f>
        <v>44397</v>
      </c>
      <c r="F3360" s="188">
        <f>IFERROR(__xludf.DUMMYFUNCTION("""COMPUTED_VALUE"""),44427.0)</f>
        <v>44427</v>
      </c>
      <c r="G3360" t="str">
        <f>IFERROR(__xludf.DUMMYFUNCTION("""COMPUTED_VALUE"""),"Manage order page (normal text)")</f>
        <v>Manage order page (normal text)</v>
      </c>
      <c r="K3360">
        <f>IFERROR(__xludf.DUMMYFUNCTION("""COMPUTED_VALUE"""),30.0)</f>
        <v>30</v>
      </c>
      <c r="N3360" t="str">
        <f>IFERROR(__xludf.DUMMYFUNCTION("""COMPUTED_VALUE"""),"Model 3 LR AWD")</f>
        <v>Model 3 LR AWD</v>
      </c>
      <c r="O3360" t="str">
        <f>IFERROR(__xludf.DUMMYFUNCTION("""COMPUTED_VALUE"""),"Solid Black")</f>
        <v>Solid Black</v>
      </c>
      <c r="P3360" t="str">
        <f>IFERROR(__xludf.DUMMYFUNCTION("""COMPUTED_VALUE"""),"18 inch")</f>
        <v>18 inch</v>
      </c>
      <c r="Q3360" t="str">
        <f>IFERROR(__xludf.DUMMYFUNCTION("""COMPUTED_VALUE"""),"All Black")</f>
        <v>All Black</v>
      </c>
      <c r="R3360" t="str">
        <f>IFERROR(__xludf.DUMMYFUNCTION("""COMPUTED_VALUE"""),"Autopilot included")</f>
        <v>Autopilot included</v>
      </c>
      <c r="S3360" t="str">
        <f>IFERROR(__xludf.DUMMYFUNCTION("""COMPUTED_VALUE"""),"Loan")</f>
        <v>Loan</v>
      </c>
      <c r="AH3360" s="189">
        <f>IFERROR(__xludf.DUMMYFUNCTION("""COMPUTED_VALUE"""),44427.53171074074)</f>
        <v>44427.53171</v>
      </c>
    </row>
    <row r="3361">
      <c r="A3361" t="str">
        <f>IFERROR(__xludf.DUMMYFUNCTION("""COMPUTED_VALUE"""),"JC85")</f>
        <v>JC85</v>
      </c>
      <c r="B3361" t="str">
        <f>IFERROR(__xludf.DUMMYFUNCTION("""COMPUTED_VALUE"""),"Glen Ridge")</f>
        <v>Glen Ridge</v>
      </c>
      <c r="C3361" t="str">
        <f>IFERROR(__xludf.DUMMYFUNCTION("""COMPUTED_VALUE"""),"NJ")</f>
        <v>NJ</v>
      </c>
      <c r="D3361" t="str">
        <f>IFERROR(__xludf.DUMMYFUNCTION("""COMPUTED_VALUE"""),"USA")</f>
        <v>USA</v>
      </c>
      <c r="E3361" s="188">
        <f>IFERROR(__xludf.DUMMYFUNCTION("""COMPUTED_VALUE"""),44385.0)</f>
        <v>44385</v>
      </c>
      <c r="G3361" t="str">
        <f>IFERROR(__xludf.DUMMYFUNCTION("""COMPUTED_VALUE"""),"Manage order page (normal text)")</f>
        <v>Manage order page (normal text)</v>
      </c>
      <c r="J3361" s="188">
        <f>IFERROR(__xludf.DUMMYFUNCTION("""COMPUTED_VALUE"""),44446.0)</f>
        <v>44446</v>
      </c>
      <c r="M3361">
        <f>IFERROR(__xludf.DUMMYFUNCTION("""COMPUTED_VALUE"""),61.0)</f>
        <v>61</v>
      </c>
      <c r="N3361" t="str">
        <f>IFERROR(__xludf.DUMMYFUNCTION("""COMPUTED_VALUE"""),"Model 3 SR+")</f>
        <v>Model 3 SR+</v>
      </c>
      <c r="O3361" t="str">
        <f>IFERROR(__xludf.DUMMYFUNCTION("""COMPUTED_VALUE"""),"Solid Black")</f>
        <v>Solid Black</v>
      </c>
      <c r="P3361" t="str">
        <f>IFERROR(__xludf.DUMMYFUNCTION("""COMPUTED_VALUE"""),"18 inch")</f>
        <v>18 inch</v>
      </c>
      <c r="Q3361" t="str">
        <f>IFERROR(__xludf.DUMMYFUNCTION("""COMPUTED_VALUE"""),"Black and White")</f>
        <v>Black and White</v>
      </c>
      <c r="R3361" t="str">
        <f>IFERROR(__xludf.DUMMYFUNCTION("""COMPUTED_VALUE"""),"Autopilot included")</f>
        <v>Autopilot included</v>
      </c>
      <c r="S3361" t="str">
        <f>IFERROR(__xludf.DUMMYFUNCTION("""COMPUTED_VALUE"""),"Loan")</f>
        <v>Loan</v>
      </c>
      <c r="T3361" t="str">
        <f>IFERROR(__xludf.DUMMYFUNCTION("""COMPUTED_VALUE"""),"BMW X1")</f>
        <v>BMW X1</v>
      </c>
      <c r="U3361" t="str">
        <f>IFERROR(__xludf.DUMMYFUNCTION("""COMPUTED_VALUE"""),"Technology")</f>
        <v>Technology</v>
      </c>
      <c r="V3361" t="str">
        <f>IFERROR(__xludf.DUMMYFUNCTION("""COMPUTED_VALUE"""),"Air suspension")</f>
        <v>Air suspension</v>
      </c>
      <c r="AH3361" s="189">
        <f>IFERROR(__xludf.DUMMYFUNCTION("""COMPUTED_VALUE"""),44445.828173472226)</f>
        <v>44445.82817</v>
      </c>
    </row>
    <row r="3362">
      <c r="A3362" t="str">
        <f>IFERROR(__xludf.DUMMYFUNCTION("""COMPUTED_VALUE"""),"Chokz")</f>
        <v>Chokz</v>
      </c>
      <c r="B3362" t="str">
        <f>IFERROR(__xludf.DUMMYFUNCTION("""COMPUTED_VALUE"""),"London")</f>
        <v>London</v>
      </c>
      <c r="D3362" t="str">
        <f>IFERROR(__xludf.DUMMYFUNCTION("""COMPUTED_VALUE"""),"United Kingdom")</f>
        <v>United Kingdom</v>
      </c>
      <c r="E3362" s="188">
        <f>IFERROR(__xludf.DUMMYFUNCTION("""COMPUTED_VALUE"""),44398.0)</f>
        <v>44398</v>
      </c>
      <c r="F3362" s="188">
        <f>IFERROR(__xludf.DUMMYFUNCTION("""COMPUTED_VALUE"""),44447.0)</f>
        <v>44447</v>
      </c>
      <c r="G3362" t="str">
        <f>IFERROR(__xludf.DUMMYFUNCTION("""COMPUTED_VALUE"""),"Text message")</f>
        <v>Text message</v>
      </c>
      <c r="H3362">
        <f>IFERROR(__xludf.DUMMYFUNCTION("""COMPUTED_VALUE"""),334755.0)</f>
        <v>334755</v>
      </c>
      <c r="J3362" s="188">
        <f>IFERROR(__xludf.DUMMYFUNCTION("""COMPUTED_VALUE"""),44463.0)</f>
        <v>44463</v>
      </c>
      <c r="K3362">
        <f>IFERROR(__xludf.DUMMYFUNCTION("""COMPUTED_VALUE"""),49.0)</f>
        <v>49</v>
      </c>
      <c r="L3362">
        <f>IFERROR(__xludf.DUMMYFUNCTION("""COMPUTED_VALUE"""),16.0)</f>
        <v>16</v>
      </c>
      <c r="M3362">
        <f>IFERROR(__xludf.DUMMYFUNCTION("""COMPUTED_VALUE"""),65.0)</f>
        <v>65</v>
      </c>
      <c r="N3362" t="str">
        <f>IFERROR(__xludf.DUMMYFUNCTION("""COMPUTED_VALUE"""),"Model 3 LR AWD")</f>
        <v>Model 3 LR AWD</v>
      </c>
      <c r="O3362" t="str">
        <f>IFERROR(__xludf.DUMMYFUNCTION("""COMPUTED_VALUE"""),"Deep Blue Metallic")</f>
        <v>Deep Blue Metallic</v>
      </c>
      <c r="P3362" t="str">
        <f>IFERROR(__xludf.DUMMYFUNCTION("""COMPUTED_VALUE"""),"18 inch")</f>
        <v>18 inch</v>
      </c>
      <c r="Q3362" t="str">
        <f>IFERROR(__xludf.DUMMYFUNCTION("""COMPUTED_VALUE"""),"All Black")</f>
        <v>All Black</v>
      </c>
      <c r="R3362" t="str">
        <f>IFERROR(__xludf.DUMMYFUNCTION("""COMPUTED_VALUE"""),"Autopilot included")</f>
        <v>Autopilot included</v>
      </c>
      <c r="S3362" t="str">
        <f>IFERROR(__xludf.DUMMYFUNCTION("""COMPUTED_VALUE"""),"Lease")</f>
        <v>Lease</v>
      </c>
      <c r="T3362" t="str">
        <f>IFERROR(__xludf.DUMMYFUNCTION("""COMPUTED_VALUE"""),"Audi A4 2017")</f>
        <v>Audi A4 2017</v>
      </c>
      <c r="U3362" t="str">
        <f>IFERROR(__xludf.DUMMYFUNCTION("""COMPUTED_VALUE"""),"Autopilot")</f>
        <v>Autopilot</v>
      </c>
      <c r="V3362" t="str">
        <f>IFERROR(__xludf.DUMMYFUNCTION("""COMPUTED_VALUE"""),"Head-up display")</f>
        <v>Head-up display</v>
      </c>
      <c r="AH3362" s="189">
        <f>IFERROR(__xludf.DUMMYFUNCTION("""COMPUTED_VALUE"""),44447.3149662963)</f>
        <v>44447.31497</v>
      </c>
    </row>
    <row r="3363">
      <c r="A3363" t="str">
        <f>IFERROR(__xludf.DUMMYFUNCTION("""COMPUTED_VALUE"""),"PalmTree")</f>
        <v>PalmTree</v>
      </c>
      <c r="B3363" t="str">
        <f>IFERROR(__xludf.DUMMYFUNCTION("""COMPUTED_VALUE"""),"Calgary")</f>
        <v>Calgary</v>
      </c>
      <c r="C3363" t="str">
        <f>IFERROR(__xludf.DUMMYFUNCTION("""COMPUTED_VALUE"""),"AB")</f>
        <v>AB</v>
      </c>
      <c r="D3363" t="str">
        <f>IFERROR(__xludf.DUMMYFUNCTION("""COMPUTED_VALUE"""),"Canada")</f>
        <v>Canada</v>
      </c>
      <c r="E3363" s="188">
        <f>IFERROR(__xludf.DUMMYFUNCTION("""COMPUTED_VALUE"""),44407.0)</f>
        <v>44407</v>
      </c>
      <c r="N3363" t="str">
        <f>IFERROR(__xludf.DUMMYFUNCTION("""COMPUTED_VALUE"""),"Model 3 SR+")</f>
        <v>Model 3 SR+</v>
      </c>
      <c r="O3363" t="str">
        <f>IFERROR(__xludf.DUMMYFUNCTION("""COMPUTED_VALUE"""),"Pearl White Multi-Coat")</f>
        <v>Pearl White Multi-Coat</v>
      </c>
      <c r="P3363" t="str">
        <f>IFERROR(__xludf.DUMMYFUNCTION("""COMPUTED_VALUE"""),"18 inch")</f>
        <v>18 inch</v>
      </c>
      <c r="Q3363" t="str">
        <f>IFERROR(__xludf.DUMMYFUNCTION("""COMPUTED_VALUE"""),"Black and White")</f>
        <v>Black and White</v>
      </c>
      <c r="R3363" t="str">
        <f>IFERROR(__xludf.DUMMYFUNCTION("""COMPUTED_VALUE"""),"Autopilot included")</f>
        <v>Autopilot included</v>
      </c>
      <c r="S3363" t="str">
        <f>IFERROR(__xludf.DUMMYFUNCTION("""COMPUTED_VALUE"""),"Cash")</f>
        <v>Cash</v>
      </c>
      <c r="U3363" t="str">
        <f>IFERROR(__xludf.DUMMYFUNCTION("""COMPUTED_VALUE"""),"Electric!")</f>
        <v>Electric!</v>
      </c>
      <c r="AH3363" s="189">
        <f>IFERROR(__xludf.DUMMYFUNCTION("""COMPUTED_VALUE"""),44427.65988295139)</f>
        <v>44427.65988</v>
      </c>
    </row>
    <row r="3364">
      <c r="A3364" t="str">
        <f>IFERROR(__xludf.DUMMYFUNCTION("""COMPUTED_VALUE"""),"Jason746")</f>
        <v>Jason746</v>
      </c>
      <c r="B3364" t="str">
        <f>IFERROR(__xludf.DUMMYFUNCTION("""COMPUTED_VALUE"""),"Lexington")</f>
        <v>Lexington</v>
      </c>
      <c r="C3364" t="str">
        <f>IFERROR(__xludf.DUMMYFUNCTION("""COMPUTED_VALUE"""),"KY")</f>
        <v>KY</v>
      </c>
      <c r="D3364" t="str">
        <f>IFERROR(__xludf.DUMMYFUNCTION("""COMPUTED_VALUE"""),"USA")</f>
        <v>USA</v>
      </c>
      <c r="E3364" s="188">
        <f>IFERROR(__xludf.DUMMYFUNCTION("""COMPUTED_VALUE"""),44412.0)</f>
        <v>44412</v>
      </c>
      <c r="F3364" s="188">
        <f>IFERROR(__xludf.DUMMYFUNCTION("""COMPUTED_VALUE"""),44445.0)</f>
        <v>44445</v>
      </c>
      <c r="G3364" t="str">
        <f>IFERROR(__xludf.DUMMYFUNCTION("""COMPUTED_VALUE"""),"Manage order page (normal text)")</f>
        <v>Manage order page (normal text)</v>
      </c>
      <c r="H3364">
        <f>IFERROR(__xludf.DUMMYFUNCTION("""COMPUTED_VALUE"""),60855.0)</f>
        <v>60855</v>
      </c>
      <c r="K3364">
        <f>IFERROR(__xludf.DUMMYFUNCTION("""COMPUTED_VALUE"""),33.0)</f>
        <v>33</v>
      </c>
      <c r="N3364" t="str">
        <f>IFERROR(__xludf.DUMMYFUNCTION("""COMPUTED_VALUE"""),"Model 3 LR AWD")</f>
        <v>Model 3 LR AWD</v>
      </c>
      <c r="O3364" t="str">
        <f>IFERROR(__xludf.DUMMYFUNCTION("""COMPUTED_VALUE"""),"Midnight Silver Metallic")</f>
        <v>Midnight Silver Metallic</v>
      </c>
      <c r="P3364" t="str">
        <f>IFERROR(__xludf.DUMMYFUNCTION("""COMPUTED_VALUE"""),"19 inch")</f>
        <v>19 inch</v>
      </c>
      <c r="Q3364" t="str">
        <f>IFERROR(__xludf.DUMMYFUNCTION("""COMPUTED_VALUE"""),"All Black")</f>
        <v>All Black</v>
      </c>
      <c r="R3364" t="str">
        <f>IFERROR(__xludf.DUMMYFUNCTION("""COMPUTED_VALUE"""),"Autopilot included")</f>
        <v>Autopilot included</v>
      </c>
      <c r="S3364" t="str">
        <f>IFERROR(__xludf.DUMMYFUNCTION("""COMPUTED_VALUE"""),"Loan")</f>
        <v>Loan</v>
      </c>
      <c r="T3364" t="str">
        <f>IFERROR(__xludf.DUMMYFUNCTION("""COMPUTED_VALUE"""),"2015 Subaru WRX (Sold)")</f>
        <v>2015 Subaru WRX (Sold)</v>
      </c>
      <c r="U3364" t="str">
        <f>IFERROR(__xludf.DUMMYFUNCTION("""COMPUTED_VALUE"""),"Electric!")</f>
        <v>Electric!</v>
      </c>
      <c r="V3364" t="str">
        <f>IFERROR(__xludf.DUMMYFUNCTION("""COMPUTED_VALUE"""),"Head-up display")</f>
        <v>Head-up display</v>
      </c>
      <c r="AH3364" s="189">
        <f>IFERROR(__xludf.DUMMYFUNCTION("""COMPUTED_VALUE"""),44445.758633310186)</f>
        <v>44445.75863</v>
      </c>
    </row>
    <row r="3365">
      <c r="A3365" t="str">
        <f>IFERROR(__xludf.DUMMYFUNCTION("""COMPUTED_VALUE"""),"thekhanbreaker")</f>
        <v>thekhanbreaker</v>
      </c>
      <c r="B3365" t="str">
        <f>IFERROR(__xludf.DUMMYFUNCTION("""COMPUTED_VALUE"""),"Seattle")</f>
        <v>Seattle</v>
      </c>
      <c r="C3365" t="str">
        <f>IFERROR(__xludf.DUMMYFUNCTION("""COMPUTED_VALUE"""),"WA")</f>
        <v>WA</v>
      </c>
      <c r="D3365" t="str">
        <f>IFERROR(__xludf.DUMMYFUNCTION("""COMPUTED_VALUE"""),"USA")</f>
        <v>USA</v>
      </c>
      <c r="E3365" s="188">
        <f>IFERROR(__xludf.DUMMYFUNCTION("""COMPUTED_VALUE"""),44394.0)</f>
        <v>44394</v>
      </c>
      <c r="F3365" s="188">
        <f>IFERROR(__xludf.DUMMYFUNCTION("""COMPUTED_VALUE"""),44427.0)</f>
        <v>44427</v>
      </c>
      <c r="G3365" t="str">
        <f>IFERROR(__xludf.DUMMYFUNCTION("""COMPUTED_VALUE"""),"Manage order page (normal text)")</f>
        <v>Manage order page (normal text)</v>
      </c>
      <c r="K3365">
        <f>IFERROR(__xludf.DUMMYFUNCTION("""COMPUTED_VALUE"""),33.0)</f>
        <v>33</v>
      </c>
      <c r="N3365" t="str">
        <f>IFERROR(__xludf.DUMMYFUNCTION("""COMPUTED_VALUE"""),"Model 3 LR AWD")</f>
        <v>Model 3 LR AWD</v>
      </c>
      <c r="O3365" t="str">
        <f>IFERROR(__xludf.DUMMYFUNCTION("""COMPUTED_VALUE"""),"Pearl White Multi-Coat")</f>
        <v>Pearl White Multi-Coat</v>
      </c>
      <c r="P3365" t="str">
        <f>IFERROR(__xludf.DUMMYFUNCTION("""COMPUTED_VALUE"""),"18 inch")</f>
        <v>18 inch</v>
      </c>
      <c r="Q3365" t="str">
        <f>IFERROR(__xludf.DUMMYFUNCTION("""COMPUTED_VALUE"""),"Black and White")</f>
        <v>Black and White</v>
      </c>
      <c r="R3365" t="str">
        <f>IFERROR(__xludf.DUMMYFUNCTION("""COMPUTED_VALUE"""),"Autopilot included")</f>
        <v>Autopilot included</v>
      </c>
      <c r="S3365" t="str">
        <f>IFERROR(__xludf.DUMMYFUNCTION("""COMPUTED_VALUE"""),"Loan")</f>
        <v>Loan</v>
      </c>
      <c r="T3365" t="str">
        <f>IFERROR(__xludf.DUMMYFUNCTION("""COMPUTED_VALUE"""),"Audi A4")</f>
        <v>Audi A4</v>
      </c>
      <c r="U3365" t="str">
        <f>IFERROR(__xludf.DUMMYFUNCTION("""COMPUTED_VALUE"""),"Tech")</f>
        <v>Tech</v>
      </c>
      <c r="V3365" t="str">
        <f>IFERROR(__xludf.DUMMYFUNCTION("""COMPUTED_VALUE"""),"Blind spot indicators on side mirrors")</f>
        <v>Blind spot indicators on side mirrors</v>
      </c>
      <c r="AH3365" s="189">
        <f>IFERROR(__xludf.DUMMYFUNCTION("""COMPUTED_VALUE"""),44427.74309615741)</f>
        <v>44427.7431</v>
      </c>
    </row>
    <row r="3366">
      <c r="A3366" t="str">
        <f>IFERROR(__xludf.DUMMYFUNCTION("""COMPUTED_VALUE"""),"Eldy")</f>
        <v>Eldy</v>
      </c>
      <c r="B3366" t="str">
        <f>IFERROR(__xludf.DUMMYFUNCTION("""COMPUTED_VALUE"""),"Austin")</f>
        <v>Austin</v>
      </c>
      <c r="C3366" t="str">
        <f>IFERROR(__xludf.DUMMYFUNCTION("""COMPUTED_VALUE"""),"TX")</f>
        <v>TX</v>
      </c>
      <c r="D3366" t="str">
        <f>IFERROR(__xludf.DUMMYFUNCTION("""COMPUTED_VALUE"""),"USA")</f>
        <v>USA</v>
      </c>
      <c r="E3366" s="188">
        <f>IFERROR(__xludf.DUMMYFUNCTION("""COMPUTED_VALUE"""),44406.0)</f>
        <v>44406</v>
      </c>
      <c r="F3366" s="188">
        <f>IFERROR(__xludf.DUMMYFUNCTION("""COMPUTED_VALUE"""),44439.0)</f>
        <v>44439</v>
      </c>
      <c r="G3366" t="str">
        <f>IFERROR(__xludf.DUMMYFUNCTION("""COMPUTED_VALUE"""),"Manage order page (normal text)")</f>
        <v>Manage order page (normal text)</v>
      </c>
      <c r="H3366">
        <f>IFERROR(__xludf.DUMMYFUNCTION("""COMPUTED_VALUE"""),55022.0)</f>
        <v>55022</v>
      </c>
      <c r="J3366" s="188">
        <f>IFERROR(__xludf.DUMMYFUNCTION("""COMPUTED_VALUE"""),44452.0)</f>
        <v>44452</v>
      </c>
      <c r="K3366">
        <f>IFERROR(__xludf.DUMMYFUNCTION("""COMPUTED_VALUE"""),33.0)</f>
        <v>33</v>
      </c>
      <c r="L3366">
        <f>IFERROR(__xludf.DUMMYFUNCTION("""COMPUTED_VALUE"""),13.0)</f>
        <v>13</v>
      </c>
      <c r="M3366">
        <f>IFERROR(__xludf.DUMMYFUNCTION("""COMPUTED_VALUE"""),46.0)</f>
        <v>46</v>
      </c>
      <c r="N3366" t="str">
        <f>IFERROR(__xludf.DUMMYFUNCTION("""COMPUTED_VALUE"""),"Model 3 LR AWD")</f>
        <v>Model 3 LR AWD</v>
      </c>
      <c r="O3366" t="str">
        <f>IFERROR(__xludf.DUMMYFUNCTION("""COMPUTED_VALUE"""),"Solid Black")</f>
        <v>Solid Black</v>
      </c>
      <c r="P3366" t="str">
        <f>IFERROR(__xludf.DUMMYFUNCTION("""COMPUTED_VALUE"""),"19 inch")</f>
        <v>19 inch</v>
      </c>
      <c r="Q3366" t="str">
        <f>IFERROR(__xludf.DUMMYFUNCTION("""COMPUTED_VALUE"""),"All Black")</f>
        <v>All Black</v>
      </c>
      <c r="R3366" t="str">
        <f>IFERROR(__xludf.DUMMYFUNCTION("""COMPUTED_VALUE"""),"Autopilot included")</f>
        <v>Autopilot included</v>
      </c>
      <c r="S3366" t="str">
        <f>IFERROR(__xludf.DUMMYFUNCTION("""COMPUTED_VALUE"""),"Loan")</f>
        <v>Loan</v>
      </c>
      <c r="T3366" t="str">
        <f>IFERROR(__xludf.DUMMYFUNCTION("""COMPUTED_VALUE"""),"Model 3 will be my first car!")</f>
        <v>Model 3 will be my first car!</v>
      </c>
      <c r="U3366" t="str">
        <f>IFERROR(__xludf.DUMMYFUNCTION("""COMPUTED_VALUE"""),"Autopilot")</f>
        <v>Autopilot</v>
      </c>
      <c r="V3366" t="str">
        <f>IFERROR(__xludf.DUMMYFUNCTION("""COMPUTED_VALUE"""),"Bioweapon defense mode")</f>
        <v>Bioweapon defense mode</v>
      </c>
      <c r="W3366" t="str">
        <f>IFERROR(__xludf.DUMMYFUNCTION("""COMPUTED_VALUE"""),"YOU DONT NEED TO DRIVE AS FAST AS THE CAR LETS YOU ")</f>
        <v>YOU DONT NEED TO DRIVE AS FAST AS THE CAR LETS YOU </v>
      </c>
      <c r="X3366" t="str">
        <f>IFERROR(__xludf.DUMMYFUNCTION("""COMPUTED_VALUE"""),"Excellent")</f>
        <v>Excellent</v>
      </c>
      <c r="Y3366" t="str">
        <f>IFERROR(__xludf.DUMMYFUNCTION("""COMPUTED_VALUE"""),"Excellent")</f>
        <v>Excellent</v>
      </c>
      <c r="Z3366" t="str">
        <f>IFERROR(__xludf.DUMMYFUNCTION("""COMPUTED_VALUE"""),"Excellent")</f>
        <v>Excellent</v>
      </c>
      <c r="AA3366" t="str">
        <f>IFERROR(__xludf.DUMMYFUNCTION("""COMPUTED_VALUE"""),"Very Good")</f>
        <v>Very Good</v>
      </c>
      <c r="AB3366" t="str">
        <f>IFERROR(__xludf.DUMMYFUNCTION("""COMPUTED_VALUE"""),"Excellent")</f>
        <v>Excellent</v>
      </c>
      <c r="AC3366">
        <f>IFERROR(__xludf.DUMMYFUNCTION("""COMPUTED_VALUE"""),0.0)</f>
        <v>0</v>
      </c>
      <c r="AD3366">
        <f>IFERROR(__xludf.DUMMYFUNCTION("""COMPUTED_VALUE"""),0.0)</f>
        <v>0</v>
      </c>
      <c r="AE3366">
        <f>IFERROR(__xludf.DUMMYFUNCTION("""COMPUTED_VALUE"""),0.0)</f>
        <v>0</v>
      </c>
      <c r="AF3366" t="str">
        <f>IFERROR(__xludf.DUMMYFUNCTION("""COMPUTED_VALUE"""),"No. I took delivery of the first car Tesla was able to deliver.")</f>
        <v>No. I took delivery of the first car Tesla was able to deliver.</v>
      </c>
      <c r="AH3366" s="189">
        <f>IFERROR(__xludf.DUMMYFUNCTION("""COMPUTED_VALUE"""),44461.40446474537)</f>
        <v>44461.40446</v>
      </c>
    </row>
    <row r="3367">
      <c r="A3367" t="str">
        <f>IFERROR(__xludf.DUMMYFUNCTION("""COMPUTED_VALUE"""),"RioRedCobra")</f>
        <v>RioRedCobra</v>
      </c>
      <c r="B3367" t="str">
        <f>IFERROR(__xludf.DUMMYFUNCTION("""COMPUTED_VALUE"""),"Katy")</f>
        <v>Katy</v>
      </c>
      <c r="C3367" t="str">
        <f>IFERROR(__xludf.DUMMYFUNCTION("""COMPUTED_VALUE"""),"TX")</f>
        <v>TX</v>
      </c>
      <c r="D3367" t="str">
        <f>IFERROR(__xludf.DUMMYFUNCTION("""COMPUTED_VALUE"""),"USA")</f>
        <v>USA</v>
      </c>
      <c r="E3367" s="188">
        <f>IFERROR(__xludf.DUMMYFUNCTION("""COMPUTED_VALUE"""),44400.0)</f>
        <v>44400</v>
      </c>
      <c r="F3367" s="188">
        <f>IFERROR(__xludf.DUMMYFUNCTION("""COMPUTED_VALUE"""),44425.0)</f>
        <v>44425</v>
      </c>
      <c r="G3367" t="str">
        <f>IFERROR(__xludf.DUMMYFUNCTION("""COMPUTED_VALUE"""),"Manage order page (normal text)")</f>
        <v>Manage order page (normal text)</v>
      </c>
      <c r="J3367" s="188">
        <f>IFERROR(__xludf.DUMMYFUNCTION("""COMPUTED_VALUE"""),44441.0)</f>
        <v>44441</v>
      </c>
      <c r="K3367">
        <f>IFERROR(__xludf.DUMMYFUNCTION("""COMPUTED_VALUE"""),25.0)</f>
        <v>25</v>
      </c>
      <c r="L3367">
        <f>IFERROR(__xludf.DUMMYFUNCTION("""COMPUTED_VALUE"""),16.0)</f>
        <v>16</v>
      </c>
      <c r="M3367">
        <f>IFERROR(__xludf.DUMMYFUNCTION("""COMPUTED_VALUE"""),41.0)</f>
        <v>41</v>
      </c>
      <c r="N3367" t="str">
        <f>IFERROR(__xludf.DUMMYFUNCTION("""COMPUTED_VALUE"""),"Model 3 LR AWD")</f>
        <v>Model 3 LR AWD</v>
      </c>
      <c r="O3367" t="str">
        <f>IFERROR(__xludf.DUMMYFUNCTION("""COMPUTED_VALUE"""),"Pearl White Multi-Coat")</f>
        <v>Pearl White Multi-Coat</v>
      </c>
      <c r="P3367" t="str">
        <f>IFERROR(__xludf.DUMMYFUNCTION("""COMPUTED_VALUE"""),"19 inch")</f>
        <v>19 inch</v>
      </c>
      <c r="Q3367" t="str">
        <f>IFERROR(__xludf.DUMMYFUNCTION("""COMPUTED_VALUE"""),"All Black")</f>
        <v>All Black</v>
      </c>
      <c r="R3367" t="str">
        <f>IFERROR(__xludf.DUMMYFUNCTION("""COMPUTED_VALUE"""),"Autopilot included")</f>
        <v>Autopilot included</v>
      </c>
      <c r="S3367" t="str">
        <f>IFERROR(__xludf.DUMMYFUNCTION("""COMPUTED_VALUE"""),"Cash")</f>
        <v>Cash</v>
      </c>
      <c r="T3367" t="str">
        <f>IFERROR(__xludf.DUMMYFUNCTION("""COMPUTED_VALUE"""),"Chevy SS")</f>
        <v>Chevy SS</v>
      </c>
      <c r="U3367" t="str">
        <f>IFERROR(__xludf.DUMMYFUNCTION("""COMPUTED_VALUE"""),"Autopilot")</f>
        <v>Autopilot</v>
      </c>
      <c r="V3367" t="str">
        <f>IFERROR(__xludf.DUMMYFUNCTION("""COMPUTED_VALUE"""),"Ventilated seats")</f>
        <v>Ventilated seats</v>
      </c>
      <c r="AH3367" s="189">
        <f>IFERROR(__xludf.DUMMYFUNCTION("""COMPUTED_VALUE"""),44431.107677210646)</f>
        <v>44431.10768</v>
      </c>
    </row>
    <row r="3368">
      <c r="A3368" t="str">
        <f>IFERROR(__xludf.DUMMYFUNCTION("""COMPUTED_VALUE"""),"jatze")</f>
        <v>jatze</v>
      </c>
      <c r="D3368" t="str">
        <f>IFERROR(__xludf.DUMMYFUNCTION("""COMPUTED_VALUE"""),"United Kingdom")</f>
        <v>United Kingdom</v>
      </c>
      <c r="E3368" s="188">
        <f>IFERROR(__xludf.DUMMYFUNCTION("""COMPUTED_VALUE"""),44412.0)</f>
        <v>44412</v>
      </c>
      <c r="F3368" s="188">
        <f>IFERROR(__xludf.DUMMYFUNCTION("""COMPUTED_VALUE"""),44413.0)</f>
        <v>44413</v>
      </c>
      <c r="G3368" t="str">
        <f>IFERROR(__xludf.DUMMYFUNCTION("""COMPUTED_VALUE"""),"Source code")</f>
        <v>Source code</v>
      </c>
      <c r="H3368">
        <f>IFERROR(__xludf.DUMMYFUNCTION("""COMPUTED_VALUE"""),333055.0)</f>
        <v>333055</v>
      </c>
      <c r="K3368">
        <f>IFERROR(__xludf.DUMMYFUNCTION("""COMPUTED_VALUE"""),1.0)</f>
        <v>1</v>
      </c>
      <c r="N3368" t="str">
        <f>IFERROR(__xludf.DUMMYFUNCTION("""COMPUTED_VALUE"""),"Model 3 Performance")</f>
        <v>Model 3 Performance</v>
      </c>
      <c r="O3368" t="str">
        <f>IFERROR(__xludf.DUMMYFUNCTION("""COMPUTED_VALUE"""),"Pearl White Multi-Coat")</f>
        <v>Pearl White Multi-Coat</v>
      </c>
      <c r="P3368" t="str">
        <f>IFERROR(__xludf.DUMMYFUNCTION("""COMPUTED_VALUE"""),"20 inch")</f>
        <v>20 inch</v>
      </c>
      <c r="Q3368" t="str">
        <f>IFERROR(__xludf.DUMMYFUNCTION("""COMPUTED_VALUE"""),"All Black")</f>
        <v>All Black</v>
      </c>
      <c r="S3368" t="str">
        <f>IFERROR(__xludf.DUMMYFUNCTION("""COMPUTED_VALUE"""),"Cash")</f>
        <v>Cash</v>
      </c>
      <c r="T3368" t="str">
        <f>IFERROR(__xludf.DUMMYFUNCTION("""COMPUTED_VALUE"""),"Porsche 911 turbo (997)")</f>
        <v>Porsche 911 turbo (997)</v>
      </c>
      <c r="U3368" t="str">
        <f>IFERROR(__xludf.DUMMYFUNCTION("""COMPUTED_VALUE"""),"Autopilot")</f>
        <v>Autopilot</v>
      </c>
      <c r="V3368" t="str">
        <f>IFERROR(__xludf.DUMMYFUNCTION("""COMPUTED_VALUE"""),"Apple CarPlay / Android Auto / SiriusXM Radio")</f>
        <v>Apple CarPlay / Android Auto / SiriusXM Radio</v>
      </c>
      <c r="AH3368" s="189">
        <f>IFERROR(__xludf.DUMMYFUNCTION("""COMPUTED_VALUE"""),44428.12179921297)</f>
        <v>44428.1218</v>
      </c>
    </row>
    <row r="3369">
      <c r="A3369" t="str">
        <f>IFERROR(__xludf.DUMMYFUNCTION("""COMPUTED_VALUE"""),"SuperVisual")</f>
        <v>SuperVisual</v>
      </c>
      <c r="B3369" t="str">
        <f>IFERROR(__xludf.DUMMYFUNCTION("""COMPUTED_VALUE"""),"Hove")</f>
        <v>Hove</v>
      </c>
      <c r="D3369" t="str">
        <f>IFERROR(__xludf.DUMMYFUNCTION("""COMPUTED_VALUE"""),"United Kingdom")</f>
        <v>United Kingdom</v>
      </c>
      <c r="E3369" s="188">
        <f>IFERROR(__xludf.DUMMYFUNCTION("""COMPUTED_VALUE"""),44415.0)</f>
        <v>44415</v>
      </c>
      <c r="F3369" s="188">
        <f>IFERROR(__xludf.DUMMYFUNCTION("""COMPUTED_VALUE"""),44428.0)</f>
        <v>44428</v>
      </c>
      <c r="G3369" t="str">
        <f>IFERROR(__xludf.DUMMYFUNCTION("""COMPUTED_VALUE"""),"Source code")</f>
        <v>Source code</v>
      </c>
      <c r="H3369">
        <f>IFERROR(__xludf.DUMMYFUNCTION("""COMPUTED_VALUE"""),335255.0)</f>
        <v>335255</v>
      </c>
      <c r="K3369">
        <f>IFERROR(__xludf.DUMMYFUNCTION("""COMPUTED_VALUE"""),13.0)</f>
        <v>13</v>
      </c>
      <c r="N3369" t="str">
        <f>IFERROR(__xludf.DUMMYFUNCTION("""COMPUTED_VALUE"""),"Model 3 SR+")</f>
        <v>Model 3 SR+</v>
      </c>
      <c r="O3369" t="str">
        <f>IFERROR(__xludf.DUMMYFUNCTION("""COMPUTED_VALUE"""),"Pearl White Multi-Coat")</f>
        <v>Pearl White Multi-Coat</v>
      </c>
      <c r="P3369" t="str">
        <f>IFERROR(__xludf.DUMMYFUNCTION("""COMPUTED_VALUE"""),"18 inch")</f>
        <v>18 inch</v>
      </c>
      <c r="Q3369" t="str">
        <f>IFERROR(__xludf.DUMMYFUNCTION("""COMPUTED_VALUE"""),"All Black")</f>
        <v>All Black</v>
      </c>
      <c r="R3369" t="str">
        <f>IFERROR(__xludf.DUMMYFUNCTION("""COMPUTED_VALUE"""),"Autopilot included")</f>
        <v>Autopilot included</v>
      </c>
      <c r="S3369" t="str">
        <f>IFERROR(__xludf.DUMMYFUNCTION("""COMPUTED_VALUE"""),"Loan")</f>
        <v>Loan</v>
      </c>
      <c r="T3369" t="str">
        <f>IFERROR(__xludf.DUMMYFUNCTION("""COMPUTED_VALUE"""),"Model 3 will be my first car!")</f>
        <v>Model 3 will be my first car!</v>
      </c>
      <c r="U3369" t="str">
        <f>IFERROR(__xludf.DUMMYFUNCTION("""COMPUTED_VALUE"""),"Electric!")</f>
        <v>Electric!</v>
      </c>
      <c r="V3369" t="str">
        <f>IFERROR(__xludf.DUMMYFUNCTION("""COMPUTED_VALUE"""),"Apple CarPlay / Android Auto / SiriusXM Radio")</f>
        <v>Apple CarPlay / Android Auto / SiriusXM Radio</v>
      </c>
      <c r="AH3369" s="189">
        <f>IFERROR(__xludf.DUMMYFUNCTION("""COMPUTED_VALUE"""),44428.125320949075)</f>
        <v>44428.12532</v>
      </c>
    </row>
    <row r="3370">
      <c r="A3370" t="str">
        <f>IFERROR(__xludf.DUMMYFUNCTION("""COMPUTED_VALUE"""),"fireshipjohn")</f>
        <v>fireshipjohn</v>
      </c>
      <c r="D3370" t="str">
        <f>IFERROR(__xludf.DUMMYFUNCTION("""COMPUTED_VALUE"""),"United Kingdom")</f>
        <v>United Kingdom</v>
      </c>
      <c r="E3370" s="188">
        <f>IFERROR(__xludf.DUMMYFUNCTION("""COMPUTED_VALUE"""),44391.0)</f>
        <v>44391</v>
      </c>
      <c r="F3370" s="188">
        <f>IFERROR(__xludf.DUMMYFUNCTION("""COMPUTED_VALUE"""),44409.0)</f>
        <v>44409</v>
      </c>
      <c r="G3370" t="str">
        <f>IFERROR(__xludf.DUMMYFUNCTION("""COMPUTED_VALUE"""),"Source code")</f>
        <v>Source code</v>
      </c>
      <c r="H3370">
        <f>IFERROR(__xludf.DUMMYFUNCTION("""COMPUTED_VALUE"""),311755.0)</f>
        <v>311755</v>
      </c>
      <c r="J3370" s="188">
        <f>IFERROR(__xludf.DUMMYFUNCTION("""COMPUTED_VALUE"""),44449.0)</f>
        <v>44449</v>
      </c>
      <c r="K3370">
        <f>IFERROR(__xludf.DUMMYFUNCTION("""COMPUTED_VALUE"""),18.0)</f>
        <v>18</v>
      </c>
      <c r="L3370">
        <f>IFERROR(__xludf.DUMMYFUNCTION("""COMPUTED_VALUE"""),40.0)</f>
        <v>40</v>
      </c>
      <c r="M3370">
        <f>IFERROR(__xludf.DUMMYFUNCTION("""COMPUTED_VALUE"""),58.0)</f>
        <v>58</v>
      </c>
      <c r="N3370" t="str">
        <f>IFERROR(__xludf.DUMMYFUNCTION("""COMPUTED_VALUE"""),"Model 3 LR AWD")</f>
        <v>Model 3 LR AWD</v>
      </c>
      <c r="O3370" t="str">
        <f>IFERROR(__xludf.DUMMYFUNCTION("""COMPUTED_VALUE"""),"Deep Blue Metallic")</f>
        <v>Deep Blue Metallic</v>
      </c>
      <c r="P3370" t="str">
        <f>IFERROR(__xludf.DUMMYFUNCTION("""COMPUTED_VALUE"""),"18 inch")</f>
        <v>18 inch</v>
      </c>
      <c r="Q3370" t="str">
        <f>IFERROR(__xludf.DUMMYFUNCTION("""COMPUTED_VALUE"""),"All Black")</f>
        <v>All Black</v>
      </c>
      <c r="S3370" t="str">
        <f>IFERROR(__xludf.DUMMYFUNCTION("""COMPUTED_VALUE"""),"Loan")</f>
        <v>Loan</v>
      </c>
      <c r="T3370" t="str">
        <f>IFERROR(__xludf.DUMMYFUNCTION("""COMPUTED_VALUE"""),"Mercedes-Benz c350e")</f>
        <v>Mercedes-Benz c350e</v>
      </c>
      <c r="U3370" t="str">
        <f>IFERROR(__xludf.DUMMYFUNCTION("""COMPUTED_VALUE"""),"Electric!")</f>
        <v>Electric!</v>
      </c>
      <c r="AH3370" s="189">
        <f>IFERROR(__xludf.DUMMYFUNCTION("""COMPUTED_VALUE"""),44428.14426760416)</f>
        <v>44428.14427</v>
      </c>
    </row>
    <row r="3371">
      <c r="A3371" t="str">
        <f>IFERROR(__xludf.DUMMYFUNCTION("""COMPUTED_VALUE"""),"Naturiol")</f>
        <v>Naturiol</v>
      </c>
      <c r="D3371" t="str">
        <f>IFERROR(__xludf.DUMMYFUNCTION("""COMPUTED_VALUE"""),"United Kingdom")</f>
        <v>United Kingdom</v>
      </c>
      <c r="E3371" s="188">
        <f>IFERROR(__xludf.DUMMYFUNCTION("""COMPUTED_VALUE"""),44383.0)</f>
        <v>44383</v>
      </c>
      <c r="F3371" s="188">
        <f>IFERROR(__xludf.DUMMYFUNCTION("""COMPUTED_VALUE"""),44427.0)</f>
        <v>44427</v>
      </c>
      <c r="G3371" t="str">
        <f>IFERROR(__xludf.DUMMYFUNCTION("""COMPUTED_VALUE"""),"Live chat")</f>
        <v>Live chat</v>
      </c>
      <c r="H3371">
        <f>IFERROR(__xludf.DUMMYFUNCTION("""COMPUTED_VALUE"""),315155.0)</f>
        <v>315155</v>
      </c>
      <c r="J3371" s="188">
        <f>IFERROR(__xludf.DUMMYFUNCTION("""COMPUTED_VALUE"""),44441.0)</f>
        <v>44441</v>
      </c>
      <c r="K3371">
        <f>IFERROR(__xludf.DUMMYFUNCTION("""COMPUTED_VALUE"""),44.0)</f>
        <v>44</v>
      </c>
      <c r="L3371">
        <f>IFERROR(__xludf.DUMMYFUNCTION("""COMPUTED_VALUE"""),14.0)</f>
        <v>14</v>
      </c>
      <c r="M3371">
        <f>IFERROR(__xludf.DUMMYFUNCTION("""COMPUTED_VALUE"""),58.0)</f>
        <v>58</v>
      </c>
      <c r="N3371" t="str">
        <f>IFERROR(__xludf.DUMMYFUNCTION("""COMPUTED_VALUE"""),"Model 3 SR+")</f>
        <v>Model 3 SR+</v>
      </c>
      <c r="O3371" t="str">
        <f>IFERROR(__xludf.DUMMYFUNCTION("""COMPUTED_VALUE"""),"Pearl White Multi-Coat")</f>
        <v>Pearl White Multi-Coat</v>
      </c>
      <c r="S3371" t="str">
        <f>IFERROR(__xludf.DUMMYFUNCTION("""COMPUTED_VALUE"""),"Lease")</f>
        <v>Lease</v>
      </c>
      <c r="AH3371" s="189">
        <f>IFERROR(__xludf.DUMMYFUNCTION("""COMPUTED_VALUE"""),44428.16460837963)</f>
        <v>44428.16461</v>
      </c>
    </row>
    <row r="3372">
      <c r="A3372" t="str">
        <f>IFERROR(__xludf.DUMMYFUNCTION("""COMPUTED_VALUE"""),"VictorC")</f>
        <v>VictorC</v>
      </c>
      <c r="B3372" t="str">
        <f>IFERROR(__xludf.DUMMYFUNCTION("""COMPUTED_VALUE"""),"Princeton")</f>
        <v>Princeton</v>
      </c>
      <c r="C3372" t="str">
        <f>IFERROR(__xludf.DUMMYFUNCTION("""COMPUTED_VALUE"""),"NJ")</f>
        <v>NJ</v>
      </c>
      <c r="D3372" t="str">
        <f>IFERROR(__xludf.DUMMYFUNCTION("""COMPUTED_VALUE"""),"USA")</f>
        <v>USA</v>
      </c>
      <c r="E3372" s="188">
        <f>IFERROR(__xludf.DUMMYFUNCTION("""COMPUTED_VALUE"""),44425.0)</f>
        <v>44425</v>
      </c>
      <c r="N3372" t="str">
        <f>IFERROR(__xludf.DUMMYFUNCTION("""COMPUTED_VALUE"""),"Model 3 SR+")</f>
        <v>Model 3 SR+</v>
      </c>
      <c r="O3372" t="str">
        <f>IFERROR(__xludf.DUMMYFUNCTION("""COMPUTED_VALUE"""),"Pearl White Multi-Coat")</f>
        <v>Pearl White Multi-Coat</v>
      </c>
      <c r="P3372" t="str">
        <f>IFERROR(__xludf.DUMMYFUNCTION("""COMPUTED_VALUE"""),"19 inch")</f>
        <v>19 inch</v>
      </c>
      <c r="Q3372" t="str">
        <f>IFERROR(__xludf.DUMMYFUNCTION("""COMPUTED_VALUE"""),"All Black")</f>
        <v>All Black</v>
      </c>
      <c r="R3372" t="str">
        <f>IFERROR(__xludf.DUMMYFUNCTION("""COMPUTED_VALUE"""),"Autopilot included")</f>
        <v>Autopilot included</v>
      </c>
      <c r="S3372" t="str">
        <f>IFERROR(__xludf.DUMMYFUNCTION("""COMPUTED_VALUE"""),"Loan")</f>
        <v>Loan</v>
      </c>
      <c r="U3372" t="str">
        <f>IFERROR(__xludf.DUMMYFUNCTION("""COMPUTED_VALUE"""),"Electric!")</f>
        <v>Electric!</v>
      </c>
      <c r="V3372" t="str">
        <f>IFERROR(__xludf.DUMMYFUNCTION("""COMPUTED_VALUE"""),"360° Bird's eye view")</f>
        <v>360° Bird's eye view</v>
      </c>
      <c r="AH3372" s="189">
        <f>IFERROR(__xludf.DUMMYFUNCTION("""COMPUTED_VALUE"""),44428.27978704861)</f>
        <v>44428.27979</v>
      </c>
    </row>
    <row r="3373">
      <c r="A3373" t="str">
        <f>IFERROR(__xludf.DUMMYFUNCTION("""COMPUTED_VALUE"""),"bsdcarlsbad")</f>
        <v>bsdcarlsbad</v>
      </c>
      <c r="B3373" t="str">
        <f>IFERROR(__xludf.DUMMYFUNCTION("""COMPUTED_VALUE"""),"San Marcos")</f>
        <v>San Marcos</v>
      </c>
      <c r="C3373" t="str">
        <f>IFERROR(__xludf.DUMMYFUNCTION("""COMPUTED_VALUE"""),"CA")</f>
        <v>CA</v>
      </c>
      <c r="D3373" t="str">
        <f>IFERROR(__xludf.DUMMYFUNCTION("""COMPUTED_VALUE"""),"USA")</f>
        <v>USA</v>
      </c>
      <c r="E3373" s="188">
        <f>IFERROR(__xludf.DUMMYFUNCTION("""COMPUTED_VALUE"""),44365.0)</f>
        <v>44365</v>
      </c>
      <c r="F3373" s="188">
        <f>IFERROR(__xludf.DUMMYFUNCTION("""COMPUTED_VALUE"""),44457.0)</f>
        <v>44457</v>
      </c>
      <c r="G3373" t="str">
        <f>IFERROR(__xludf.DUMMYFUNCTION("""COMPUTED_VALUE"""),"Text message")</f>
        <v>Text message</v>
      </c>
      <c r="J3373" s="188">
        <f>IFERROR(__xludf.DUMMYFUNCTION("""COMPUTED_VALUE"""),44457.0)</f>
        <v>44457</v>
      </c>
      <c r="K3373">
        <f>IFERROR(__xludf.DUMMYFUNCTION("""COMPUTED_VALUE"""),92.0)</f>
        <v>92</v>
      </c>
      <c r="L3373">
        <f>IFERROR(__xludf.DUMMYFUNCTION("""COMPUTED_VALUE"""),0.0)</f>
        <v>0</v>
      </c>
      <c r="M3373">
        <f>IFERROR(__xludf.DUMMYFUNCTION("""COMPUTED_VALUE"""),92.0)</f>
        <v>92</v>
      </c>
      <c r="N3373" t="str">
        <f>IFERROR(__xludf.DUMMYFUNCTION("""COMPUTED_VALUE"""),"Model 3 SR+")</f>
        <v>Model 3 SR+</v>
      </c>
      <c r="O3373" t="str">
        <f>IFERROR(__xludf.DUMMYFUNCTION("""COMPUTED_VALUE"""),"Pearl White Multi-Coat")</f>
        <v>Pearl White Multi-Coat</v>
      </c>
      <c r="P3373" t="str">
        <f>IFERROR(__xludf.DUMMYFUNCTION("""COMPUTED_VALUE"""),"18 inch")</f>
        <v>18 inch</v>
      </c>
      <c r="Q3373" t="str">
        <f>IFERROR(__xludf.DUMMYFUNCTION("""COMPUTED_VALUE"""),"All Black")</f>
        <v>All Black</v>
      </c>
      <c r="S3373" t="str">
        <f>IFERROR(__xludf.DUMMYFUNCTION("""COMPUTED_VALUE"""),"Loan")</f>
        <v>Loan</v>
      </c>
      <c r="T3373" t="str">
        <f>IFERROR(__xludf.DUMMYFUNCTION("""COMPUTED_VALUE"""),"Toyota Prius")</f>
        <v>Toyota Prius</v>
      </c>
      <c r="U3373" t="str">
        <f>IFERROR(__xludf.DUMMYFUNCTION("""COMPUTED_VALUE"""),"Electric!")</f>
        <v>Electric!</v>
      </c>
      <c r="V3373" t="str">
        <f>IFERROR(__xludf.DUMMYFUNCTION("""COMPUTED_VALUE"""),"Heated steering wheel")</f>
        <v>Heated steering wheel</v>
      </c>
      <c r="W3373" t="str">
        <f>IFERROR(__xludf.DUMMYFUNCTION("""COMPUTED_VALUE"""),"To get 1K in free supercharge miles, find a referral link online or from a friend before purchasing.")</f>
        <v>To get 1K in free supercharge miles, find a referral link online or from a friend before purchasing.</v>
      </c>
      <c r="AC3373">
        <f>IFERROR(__xludf.DUMMYFUNCTION("""COMPUTED_VALUE"""),1.0)</f>
        <v>1</v>
      </c>
      <c r="AD3373">
        <f>IFERROR(__xludf.DUMMYFUNCTION("""COMPUTED_VALUE"""),1.0)</f>
        <v>1</v>
      </c>
      <c r="AE3373">
        <f>IFERROR(__xludf.DUMMYFUNCTION("""COMPUTED_VALUE"""),0.0)</f>
        <v>0</v>
      </c>
      <c r="AF3373" t="str">
        <f>IFERROR(__xludf.DUMMYFUNCTION("""COMPUTED_VALUE"""),"No. I took delivery of the first car Tesla was able to deliver.")</f>
        <v>No. I took delivery of the first car Tesla was able to deliver.</v>
      </c>
      <c r="AH3373" s="189">
        <f>IFERROR(__xludf.DUMMYFUNCTION("""COMPUTED_VALUE"""),44467.49987244213)</f>
        <v>44467.49987</v>
      </c>
    </row>
    <row r="3374">
      <c r="A3374" t="str">
        <f>IFERROR(__xludf.DUMMYFUNCTION("""COMPUTED_VALUE"""),"rcmx")</f>
        <v>rcmx</v>
      </c>
      <c r="B3374" t="str">
        <f>IFERROR(__xludf.DUMMYFUNCTION("""COMPUTED_VALUE"""),"Atlanta")</f>
        <v>Atlanta</v>
      </c>
      <c r="C3374" t="str">
        <f>IFERROR(__xludf.DUMMYFUNCTION("""COMPUTED_VALUE"""),"GA")</f>
        <v>GA</v>
      </c>
      <c r="D3374" t="str">
        <f>IFERROR(__xludf.DUMMYFUNCTION("""COMPUTED_VALUE"""),"USA")</f>
        <v>USA</v>
      </c>
      <c r="E3374" s="188">
        <f>IFERROR(__xludf.DUMMYFUNCTION("""COMPUTED_VALUE"""),44374.0)</f>
        <v>44374</v>
      </c>
      <c r="F3374" s="188">
        <f>IFERROR(__xludf.DUMMYFUNCTION("""COMPUTED_VALUE"""),44428.0)</f>
        <v>44428</v>
      </c>
      <c r="G3374" t="str">
        <f>IFERROR(__xludf.DUMMYFUNCTION("""COMPUTED_VALUE"""),"Manage order page (normal text)")</f>
        <v>Manage order page (normal text)</v>
      </c>
      <c r="H3374">
        <f>IFERROR(__xludf.DUMMYFUNCTION("""COMPUTED_VALUE"""),45855.0)</f>
        <v>45855</v>
      </c>
      <c r="I3374" t="str">
        <f>IFERROR(__xludf.DUMMYFUNCTION("""COMPUTED_VALUE"""),"08/21")</f>
        <v>08/21</v>
      </c>
      <c r="J3374" s="188">
        <f>IFERROR(__xludf.DUMMYFUNCTION("""COMPUTED_VALUE"""),44445.0)</f>
        <v>44445</v>
      </c>
      <c r="K3374">
        <f>IFERROR(__xludf.DUMMYFUNCTION("""COMPUTED_VALUE"""),54.0)</f>
        <v>54</v>
      </c>
      <c r="L3374">
        <f>IFERROR(__xludf.DUMMYFUNCTION("""COMPUTED_VALUE"""),17.0)</f>
        <v>17</v>
      </c>
      <c r="M3374">
        <f>IFERROR(__xludf.DUMMYFUNCTION("""COMPUTED_VALUE"""),71.0)</f>
        <v>71</v>
      </c>
      <c r="N3374" t="str">
        <f>IFERROR(__xludf.DUMMYFUNCTION("""COMPUTED_VALUE"""),"Model 3 LR AWD")</f>
        <v>Model 3 LR AWD</v>
      </c>
      <c r="O3374" t="str">
        <f>IFERROR(__xludf.DUMMYFUNCTION("""COMPUTED_VALUE"""),"Red Multi-Coat")</f>
        <v>Red Multi-Coat</v>
      </c>
      <c r="P3374" t="str">
        <f>IFERROR(__xludf.DUMMYFUNCTION("""COMPUTED_VALUE"""),"19 inch")</f>
        <v>19 inch</v>
      </c>
      <c r="Q3374" t="str">
        <f>IFERROR(__xludf.DUMMYFUNCTION("""COMPUTED_VALUE"""),"Black and White")</f>
        <v>Black and White</v>
      </c>
      <c r="R3374" t="str">
        <f>IFERROR(__xludf.DUMMYFUNCTION("""COMPUTED_VALUE"""),"Autopilot included")</f>
        <v>Autopilot included</v>
      </c>
      <c r="S3374" t="str">
        <f>IFERROR(__xludf.DUMMYFUNCTION("""COMPUTED_VALUE"""),"Loan")</f>
        <v>Loan</v>
      </c>
      <c r="T3374" t="str">
        <f>IFERROR(__xludf.DUMMYFUNCTION("""COMPUTED_VALUE"""),"Subaru Outback")</f>
        <v>Subaru Outback</v>
      </c>
      <c r="U3374" t="str">
        <f>IFERROR(__xludf.DUMMYFUNCTION("""COMPUTED_VALUE"""),"Electric!")</f>
        <v>Electric!</v>
      </c>
      <c r="V3374" t="str">
        <f>IFERROR(__xludf.DUMMYFUNCTION("""COMPUTED_VALUE"""),"Head-up display")</f>
        <v>Head-up display</v>
      </c>
      <c r="X3374" t="str">
        <f>IFERROR(__xludf.DUMMYFUNCTION("""COMPUTED_VALUE"""),"Excellent")</f>
        <v>Excellent</v>
      </c>
      <c r="Y3374" t="str">
        <f>IFERROR(__xludf.DUMMYFUNCTION("""COMPUTED_VALUE"""),"Excellent")</f>
        <v>Excellent</v>
      </c>
      <c r="Z3374" t="str">
        <f>IFERROR(__xludf.DUMMYFUNCTION("""COMPUTED_VALUE"""),"Excellent")</f>
        <v>Excellent</v>
      </c>
      <c r="AA3374" t="str">
        <f>IFERROR(__xludf.DUMMYFUNCTION("""COMPUTED_VALUE"""),"Fair")</f>
        <v>Fair</v>
      </c>
      <c r="AB3374" t="str">
        <f>IFERROR(__xludf.DUMMYFUNCTION("""COMPUTED_VALUE"""),"Good")</f>
        <v>Good</v>
      </c>
      <c r="AF3374" t="str">
        <f>IFERROR(__xludf.DUMMYFUNCTION("""COMPUTED_VALUE"""),"No. I took delivery of the first car Tesla was able to deliver.")</f>
        <v>No. I took delivery of the first car Tesla was able to deliver.</v>
      </c>
      <c r="AH3374" s="189">
        <f>IFERROR(__xludf.DUMMYFUNCTION("""COMPUTED_VALUE"""),44446.27065341435)</f>
        <v>44446.27065</v>
      </c>
    </row>
    <row r="3375">
      <c r="A3375" t="str">
        <f>IFERROR(__xludf.DUMMYFUNCTION("""COMPUTED_VALUE"""),"Mattyboy")</f>
        <v>Mattyboy</v>
      </c>
      <c r="B3375" t="str">
        <f>IFERROR(__xludf.DUMMYFUNCTION("""COMPUTED_VALUE"""),"Ontario")</f>
        <v>Ontario</v>
      </c>
      <c r="C3375" t="str">
        <f>IFERROR(__xludf.DUMMYFUNCTION("""COMPUTED_VALUE"""),"NY")</f>
        <v>NY</v>
      </c>
      <c r="D3375" t="str">
        <f>IFERROR(__xludf.DUMMYFUNCTION("""COMPUTED_VALUE"""),"USA")</f>
        <v>USA</v>
      </c>
      <c r="E3375" s="188">
        <f>IFERROR(__xludf.DUMMYFUNCTION("""COMPUTED_VALUE"""),-686083.0)</f>
        <v>-686083</v>
      </c>
      <c r="N3375" t="str">
        <f>IFERROR(__xludf.DUMMYFUNCTION("""COMPUTED_VALUE"""),"Model 3 SR+")</f>
        <v>Model 3 SR+</v>
      </c>
      <c r="O3375" t="str">
        <f>IFERROR(__xludf.DUMMYFUNCTION("""COMPUTED_VALUE"""),"Pearl White Multi-Coat")</f>
        <v>Pearl White Multi-Coat</v>
      </c>
      <c r="P3375" t="str">
        <f>IFERROR(__xludf.DUMMYFUNCTION("""COMPUTED_VALUE"""),"18 inch")</f>
        <v>18 inch</v>
      </c>
      <c r="Q3375" t="str">
        <f>IFERROR(__xludf.DUMMYFUNCTION("""COMPUTED_VALUE"""),"All Black")</f>
        <v>All Black</v>
      </c>
      <c r="R3375" t="str">
        <f>IFERROR(__xludf.DUMMYFUNCTION("""COMPUTED_VALUE"""),"Autopilot included")</f>
        <v>Autopilot included</v>
      </c>
      <c r="S3375" t="str">
        <f>IFERROR(__xludf.DUMMYFUNCTION("""COMPUTED_VALUE"""),"Loan")</f>
        <v>Loan</v>
      </c>
      <c r="T3375" t="str">
        <f>IFERROR(__xludf.DUMMYFUNCTION("""COMPUTED_VALUE"""),"Honda Accord")</f>
        <v>Honda Accord</v>
      </c>
      <c r="U3375" t="str">
        <f>IFERROR(__xludf.DUMMYFUNCTION("""COMPUTED_VALUE"""),"Electric!")</f>
        <v>Electric!</v>
      </c>
      <c r="V3375" t="str">
        <f>IFERROR(__xludf.DUMMYFUNCTION("""COMPUTED_VALUE"""),"Blind spot indicators on side mirrors")</f>
        <v>Blind spot indicators on side mirrors</v>
      </c>
      <c r="AH3375" s="189">
        <f>IFERROR(__xludf.DUMMYFUNCTION("""COMPUTED_VALUE"""),44428.65470864583)</f>
        <v>44428.65471</v>
      </c>
    </row>
    <row r="3376">
      <c r="A3376" t="str">
        <f>IFERROR(__xludf.DUMMYFUNCTION("""COMPUTED_VALUE"""),"ankur194")</f>
        <v>ankur194</v>
      </c>
      <c r="B3376" t="str">
        <f>IFERROR(__xludf.DUMMYFUNCTION("""COMPUTED_VALUE"""),"Southern California")</f>
        <v>Southern California</v>
      </c>
      <c r="C3376" t="str">
        <f>IFERROR(__xludf.DUMMYFUNCTION("""COMPUTED_VALUE"""),"CA")</f>
        <v>CA</v>
      </c>
      <c r="D3376" t="str">
        <f>IFERROR(__xludf.DUMMYFUNCTION("""COMPUTED_VALUE"""),"USA")</f>
        <v>USA</v>
      </c>
      <c r="E3376" s="188">
        <f>IFERROR(__xludf.DUMMYFUNCTION("""COMPUTED_VALUE"""),44399.0)</f>
        <v>44399</v>
      </c>
      <c r="N3376" t="str">
        <f>IFERROR(__xludf.DUMMYFUNCTION("""COMPUTED_VALUE"""),"Model 3 SR+")</f>
        <v>Model 3 SR+</v>
      </c>
      <c r="O3376" t="str">
        <f>IFERROR(__xludf.DUMMYFUNCTION("""COMPUTED_VALUE"""),"Deep Blue Metallic")</f>
        <v>Deep Blue Metallic</v>
      </c>
      <c r="P3376" t="str">
        <f>IFERROR(__xludf.DUMMYFUNCTION("""COMPUTED_VALUE"""),"18 inch")</f>
        <v>18 inch</v>
      </c>
      <c r="Q3376" t="str">
        <f>IFERROR(__xludf.DUMMYFUNCTION("""COMPUTED_VALUE"""),"All Black")</f>
        <v>All Black</v>
      </c>
      <c r="S3376" t="str">
        <f>IFERROR(__xludf.DUMMYFUNCTION("""COMPUTED_VALUE"""),"Loan")</f>
        <v>Loan</v>
      </c>
      <c r="T3376" t="str">
        <f>IFERROR(__xludf.DUMMYFUNCTION("""COMPUTED_VALUE"""),"Audi Q5")</f>
        <v>Audi Q5</v>
      </c>
      <c r="U3376" t="str">
        <f>IFERROR(__xludf.DUMMYFUNCTION("""COMPUTED_VALUE"""),"Electric!")</f>
        <v>Electric!</v>
      </c>
      <c r="V3376" t="str">
        <f>IFERROR(__xludf.DUMMYFUNCTION("""COMPUTED_VALUE"""),"360° Bird's eye view")</f>
        <v>360° Bird's eye view</v>
      </c>
      <c r="AH3376" s="189">
        <f>IFERROR(__xludf.DUMMYFUNCTION("""COMPUTED_VALUE"""),44428.71011921296)</f>
        <v>44428.71012</v>
      </c>
    </row>
    <row r="3377">
      <c r="A3377" t="str">
        <f>IFERROR(__xludf.DUMMYFUNCTION("""COMPUTED_VALUE"""),"Kueshen")</f>
        <v>Kueshen</v>
      </c>
      <c r="C3377" t="str">
        <f>IFERROR(__xludf.DUMMYFUNCTION("""COMPUTED_VALUE"""),"OR")</f>
        <v>OR</v>
      </c>
      <c r="D3377" t="str">
        <f>IFERROR(__xludf.DUMMYFUNCTION("""COMPUTED_VALUE"""),"USA")</f>
        <v>USA</v>
      </c>
      <c r="E3377" s="188">
        <f>IFERROR(__xludf.DUMMYFUNCTION("""COMPUTED_VALUE"""),44426.0)</f>
        <v>44426</v>
      </c>
      <c r="F3377" s="188">
        <f>IFERROR(__xludf.DUMMYFUNCTION("""COMPUTED_VALUE"""),44433.0)</f>
        <v>44433</v>
      </c>
      <c r="G3377" t="str">
        <f>IFERROR(__xludf.DUMMYFUNCTION("""COMPUTED_VALUE"""),"Email")</f>
        <v>Email</v>
      </c>
      <c r="J3377" s="188">
        <f>IFERROR(__xludf.DUMMYFUNCTION("""COMPUTED_VALUE"""),44439.0)</f>
        <v>44439</v>
      </c>
      <c r="K3377">
        <f>IFERROR(__xludf.DUMMYFUNCTION("""COMPUTED_VALUE"""),7.0)</f>
        <v>7</v>
      </c>
      <c r="L3377">
        <f>IFERROR(__xludf.DUMMYFUNCTION("""COMPUTED_VALUE"""),6.0)</f>
        <v>6</v>
      </c>
      <c r="M3377">
        <f>IFERROR(__xludf.DUMMYFUNCTION("""COMPUTED_VALUE"""),13.0)</f>
        <v>13</v>
      </c>
      <c r="N3377" t="str">
        <f>IFERROR(__xludf.DUMMYFUNCTION("""COMPUTED_VALUE"""),"Model 3 Performance")</f>
        <v>Model 3 Performance</v>
      </c>
      <c r="O3377" t="str">
        <f>IFERROR(__xludf.DUMMYFUNCTION("""COMPUTED_VALUE"""),"Pearl White Multi-Coat")</f>
        <v>Pearl White Multi-Coat</v>
      </c>
      <c r="P3377" t="str">
        <f>IFERROR(__xludf.DUMMYFUNCTION("""COMPUTED_VALUE"""),"20 inch")</f>
        <v>20 inch</v>
      </c>
      <c r="Q3377" t="str">
        <f>IFERROR(__xludf.DUMMYFUNCTION("""COMPUTED_VALUE"""),"Black and White")</f>
        <v>Black and White</v>
      </c>
      <c r="R3377" t="str">
        <f>IFERROR(__xludf.DUMMYFUNCTION("""COMPUTED_VALUE"""),"Autopilot included")</f>
        <v>Autopilot included</v>
      </c>
      <c r="S3377" t="str">
        <f>IFERROR(__xludf.DUMMYFUNCTION("""COMPUTED_VALUE"""),"Loan")</f>
        <v>Loan</v>
      </c>
      <c r="U3377" t="str">
        <f>IFERROR(__xludf.DUMMYFUNCTION("""COMPUTED_VALUE"""),"Electric!")</f>
        <v>Electric!</v>
      </c>
      <c r="V3377" t="str">
        <f>IFERROR(__xludf.DUMMYFUNCTION("""COMPUTED_VALUE"""),"360° Bird's eye view")</f>
        <v>360° Bird's eye view</v>
      </c>
      <c r="AH3377" s="189">
        <f>IFERROR(__xludf.DUMMYFUNCTION("""COMPUTED_VALUE"""),44440.360014687496)</f>
        <v>44440.36001</v>
      </c>
    </row>
    <row r="3378">
      <c r="A3378" t="str">
        <f>IFERROR(__xludf.DUMMYFUNCTION("""COMPUTED_VALUE"""),"TeslaLover2000")</f>
        <v>TeslaLover2000</v>
      </c>
      <c r="B3378" t="str">
        <f>IFERROR(__xludf.DUMMYFUNCTION("""COMPUTED_VALUE"""),"Temecula")</f>
        <v>Temecula</v>
      </c>
      <c r="C3378" t="str">
        <f>IFERROR(__xludf.DUMMYFUNCTION("""COMPUTED_VALUE"""),"CA")</f>
        <v>CA</v>
      </c>
      <c r="D3378" t="str">
        <f>IFERROR(__xludf.DUMMYFUNCTION("""COMPUTED_VALUE"""),"USA")</f>
        <v>USA</v>
      </c>
      <c r="E3378" s="188">
        <f>IFERROR(__xludf.DUMMYFUNCTION("""COMPUTED_VALUE"""),44428.0)</f>
        <v>44428</v>
      </c>
      <c r="N3378" t="str">
        <f>IFERROR(__xludf.DUMMYFUNCTION("""COMPUTED_VALUE"""),"Model 3 SR+")</f>
        <v>Model 3 SR+</v>
      </c>
      <c r="O3378" t="str">
        <f>IFERROR(__xludf.DUMMYFUNCTION("""COMPUTED_VALUE"""),"Pearl White Multi-Coat")</f>
        <v>Pearl White Multi-Coat</v>
      </c>
      <c r="P3378" t="str">
        <f>IFERROR(__xludf.DUMMYFUNCTION("""COMPUTED_VALUE"""),"18 inch")</f>
        <v>18 inch</v>
      </c>
      <c r="Q3378" t="str">
        <f>IFERROR(__xludf.DUMMYFUNCTION("""COMPUTED_VALUE"""),"All Black")</f>
        <v>All Black</v>
      </c>
      <c r="R3378" t="str">
        <f>IFERROR(__xludf.DUMMYFUNCTION("""COMPUTED_VALUE"""),"Autopilot included")</f>
        <v>Autopilot included</v>
      </c>
      <c r="S3378" t="str">
        <f>IFERROR(__xludf.DUMMYFUNCTION("""COMPUTED_VALUE"""),"Loan")</f>
        <v>Loan</v>
      </c>
      <c r="T3378" t="str">
        <f>IFERROR(__xludf.DUMMYFUNCTION("""COMPUTED_VALUE"""),"Model 3 will be my first car!")</f>
        <v>Model 3 will be my first car!</v>
      </c>
      <c r="U3378" t="str">
        <f>IFERROR(__xludf.DUMMYFUNCTION("""COMPUTED_VALUE"""),"Electric!")</f>
        <v>Electric!</v>
      </c>
      <c r="V3378" t="str">
        <f>IFERROR(__xludf.DUMMYFUNCTION("""COMPUTED_VALUE"""),"Head-up display")</f>
        <v>Head-up display</v>
      </c>
      <c r="AH3378" s="189">
        <f>IFERROR(__xludf.DUMMYFUNCTION("""COMPUTED_VALUE"""),44429.37898513889)</f>
        <v>44429.37899</v>
      </c>
    </row>
    <row r="3379">
      <c r="A3379" t="str">
        <f>IFERROR(__xludf.DUMMYFUNCTION("""COMPUTED_VALUE"""),"glaucon")</f>
        <v>glaucon</v>
      </c>
      <c r="B3379" t="str">
        <f>IFERROR(__xludf.DUMMYFUNCTION("""COMPUTED_VALUE"""),"Los Angeles")</f>
        <v>Los Angeles</v>
      </c>
      <c r="C3379" t="str">
        <f>IFERROR(__xludf.DUMMYFUNCTION("""COMPUTED_VALUE"""),"CA")</f>
        <v>CA</v>
      </c>
      <c r="D3379" t="str">
        <f>IFERROR(__xludf.DUMMYFUNCTION("""COMPUTED_VALUE"""),"USA")</f>
        <v>USA</v>
      </c>
      <c r="E3379" s="188">
        <f>IFERROR(__xludf.DUMMYFUNCTION("""COMPUTED_VALUE"""),44374.0)</f>
        <v>44374</v>
      </c>
      <c r="F3379" s="188">
        <f>IFERROR(__xludf.DUMMYFUNCTION("""COMPUTED_VALUE"""),44429.0)</f>
        <v>44429</v>
      </c>
      <c r="G3379" t="str">
        <f>IFERROR(__xludf.DUMMYFUNCTION("""COMPUTED_VALUE"""),"Manage order page (normal text)")</f>
        <v>Manage order page (normal text)</v>
      </c>
      <c r="K3379">
        <f>IFERROR(__xludf.DUMMYFUNCTION("""COMPUTED_VALUE"""),55.0)</f>
        <v>55</v>
      </c>
      <c r="N3379" t="str">
        <f>IFERROR(__xludf.DUMMYFUNCTION("""COMPUTED_VALUE"""),"Model 3 LR AWD")</f>
        <v>Model 3 LR AWD</v>
      </c>
      <c r="O3379" t="str">
        <f>IFERROR(__xludf.DUMMYFUNCTION("""COMPUTED_VALUE"""),"Midnight Silver Metallic")</f>
        <v>Midnight Silver Metallic</v>
      </c>
      <c r="P3379" t="str">
        <f>IFERROR(__xludf.DUMMYFUNCTION("""COMPUTED_VALUE"""),"19 inch")</f>
        <v>19 inch</v>
      </c>
      <c r="Q3379" t="str">
        <f>IFERROR(__xludf.DUMMYFUNCTION("""COMPUTED_VALUE"""),"All Black")</f>
        <v>All Black</v>
      </c>
      <c r="R3379" t="str">
        <f>IFERROR(__xludf.DUMMYFUNCTION("""COMPUTED_VALUE"""),"Autopilot included")</f>
        <v>Autopilot included</v>
      </c>
      <c r="S3379" t="str">
        <f>IFERROR(__xludf.DUMMYFUNCTION("""COMPUTED_VALUE"""),"Loan")</f>
        <v>Loan</v>
      </c>
      <c r="T3379" t="str">
        <f>IFERROR(__xludf.DUMMYFUNCTION("""COMPUTED_VALUE"""),"Model 3 will be my first car!")</f>
        <v>Model 3 will be my first car!</v>
      </c>
      <c r="U3379" t="str">
        <f>IFERROR(__xludf.DUMMYFUNCTION("""COMPUTED_VALUE"""),"Electric!")</f>
        <v>Electric!</v>
      </c>
      <c r="AH3379" s="189">
        <f>IFERROR(__xludf.DUMMYFUNCTION("""COMPUTED_VALUE"""),44429.90701439815)</f>
        <v>44429.90701</v>
      </c>
    </row>
    <row r="3380">
      <c r="A3380" t="str">
        <f>IFERROR(__xludf.DUMMYFUNCTION("""COMPUTED_VALUE"""),"Msites106 ")</f>
        <v>Msites106 </v>
      </c>
      <c r="B3380" t="str">
        <f>IFERROR(__xludf.DUMMYFUNCTION("""COMPUTED_VALUE"""),"Martinsburg")</f>
        <v>Martinsburg</v>
      </c>
      <c r="C3380" t="str">
        <f>IFERROR(__xludf.DUMMYFUNCTION("""COMPUTED_VALUE"""),"WV")</f>
        <v>WV</v>
      </c>
      <c r="D3380" t="str">
        <f>IFERROR(__xludf.DUMMYFUNCTION("""COMPUTED_VALUE"""),"USA")</f>
        <v>USA</v>
      </c>
      <c r="E3380" s="188">
        <f>IFERROR(__xludf.DUMMYFUNCTION("""COMPUTED_VALUE"""),44427.0)</f>
        <v>44427</v>
      </c>
      <c r="F3380" s="188">
        <f>IFERROR(__xludf.DUMMYFUNCTION("""COMPUTED_VALUE"""),41163.0)</f>
        <v>41163</v>
      </c>
      <c r="G3380" t="str">
        <f>IFERROR(__xludf.DUMMYFUNCTION("""COMPUTED_VALUE"""),"Manage order page (normal text)")</f>
        <v>Manage order page (normal text)</v>
      </c>
      <c r="H3380">
        <f>IFERROR(__xludf.DUMMYFUNCTION("""COMPUTED_VALUE"""),54858.0)</f>
        <v>54858</v>
      </c>
      <c r="I3380" t="str">
        <f>IFERROR(__xludf.DUMMYFUNCTION("""COMPUTED_VALUE"""),"09/21")</f>
        <v>09/21</v>
      </c>
      <c r="J3380" s="188">
        <f>IFERROR(__xludf.DUMMYFUNCTION("""COMPUTED_VALUE"""),44455.0)</f>
        <v>44455</v>
      </c>
      <c r="M3380">
        <f>IFERROR(__xludf.DUMMYFUNCTION("""COMPUTED_VALUE"""),28.0)</f>
        <v>28</v>
      </c>
      <c r="N3380" t="str">
        <f>IFERROR(__xludf.DUMMYFUNCTION("""COMPUTED_VALUE"""),"Model 3 LR AWD")</f>
        <v>Model 3 LR AWD</v>
      </c>
      <c r="O3380" t="str">
        <f>IFERROR(__xludf.DUMMYFUNCTION("""COMPUTED_VALUE"""),"Midnight Silver Metallic")</f>
        <v>Midnight Silver Metallic</v>
      </c>
      <c r="P3380" t="str">
        <f>IFERROR(__xludf.DUMMYFUNCTION("""COMPUTED_VALUE"""),"18 inch")</f>
        <v>18 inch</v>
      </c>
      <c r="Q3380" t="str">
        <f>IFERROR(__xludf.DUMMYFUNCTION("""COMPUTED_VALUE"""),"All Black")</f>
        <v>All Black</v>
      </c>
      <c r="R3380" t="str">
        <f>IFERROR(__xludf.DUMMYFUNCTION("""COMPUTED_VALUE"""),"Autopilot included")</f>
        <v>Autopilot included</v>
      </c>
      <c r="S3380" t="str">
        <f>IFERROR(__xludf.DUMMYFUNCTION("""COMPUTED_VALUE"""),"Loan")</f>
        <v>Loan</v>
      </c>
      <c r="T3380" t="str">
        <f>IFERROR(__xludf.DUMMYFUNCTION("""COMPUTED_VALUE"""),"Chevy Cruze")</f>
        <v>Chevy Cruze</v>
      </c>
      <c r="U3380" t="str">
        <f>IFERROR(__xludf.DUMMYFUNCTION("""COMPUTED_VALUE"""),"Electric!")</f>
        <v>Electric!</v>
      </c>
      <c r="V3380" t="str">
        <f>IFERROR(__xludf.DUMMYFUNCTION("""COMPUTED_VALUE"""),"Ventilated seats")</f>
        <v>Ventilated seats</v>
      </c>
      <c r="X3380" t="str">
        <f>IFERROR(__xludf.DUMMYFUNCTION("""COMPUTED_VALUE"""),"Excellent")</f>
        <v>Excellent</v>
      </c>
      <c r="Y3380" t="str">
        <f>IFERROR(__xludf.DUMMYFUNCTION("""COMPUTED_VALUE"""),"Excellent")</f>
        <v>Excellent</v>
      </c>
      <c r="Z3380" t="str">
        <f>IFERROR(__xludf.DUMMYFUNCTION("""COMPUTED_VALUE"""),"Excellent")</f>
        <v>Excellent</v>
      </c>
      <c r="AA3380" t="str">
        <f>IFERROR(__xludf.DUMMYFUNCTION("""COMPUTED_VALUE"""),"Excellent")</f>
        <v>Excellent</v>
      </c>
      <c r="AB3380" t="str">
        <f>IFERROR(__xludf.DUMMYFUNCTION("""COMPUTED_VALUE"""),"Excellent")</f>
        <v>Excellent</v>
      </c>
      <c r="AC3380">
        <f>IFERROR(__xludf.DUMMYFUNCTION("""COMPUTED_VALUE"""),1.0)</f>
        <v>1</v>
      </c>
      <c r="AF3380" t="str">
        <f>IFERROR(__xludf.DUMMYFUNCTION("""COMPUTED_VALUE"""),"No. I took delivery of the first car Tesla was able to deliver.")</f>
        <v>No. I took delivery of the first car Tesla was able to deliver.</v>
      </c>
      <c r="AH3380" s="189">
        <f>IFERROR(__xludf.DUMMYFUNCTION("""COMPUTED_VALUE"""),44457.67007679398)</f>
        <v>44457.67008</v>
      </c>
    </row>
    <row r="3381">
      <c r="A3381" t="str">
        <f>IFERROR(__xludf.DUMMYFUNCTION("""COMPUTED_VALUE"""),"rknight2021")</f>
        <v>rknight2021</v>
      </c>
      <c r="B3381" t="str">
        <f>IFERROR(__xludf.DUMMYFUNCTION("""COMPUTED_VALUE"""),"Los Angeles")</f>
        <v>Los Angeles</v>
      </c>
      <c r="C3381" t="str">
        <f>IFERROR(__xludf.DUMMYFUNCTION("""COMPUTED_VALUE"""),"CA")</f>
        <v>CA</v>
      </c>
      <c r="D3381" t="str">
        <f>IFERROR(__xludf.DUMMYFUNCTION("""COMPUTED_VALUE"""),"USA")</f>
        <v>USA</v>
      </c>
      <c r="E3381" s="188">
        <f>IFERROR(__xludf.DUMMYFUNCTION("""COMPUTED_VALUE"""),44417.0)</f>
        <v>44417</v>
      </c>
      <c r="N3381" t="str">
        <f>IFERROR(__xludf.DUMMYFUNCTION("""COMPUTED_VALUE"""),"Model 3 Performance")</f>
        <v>Model 3 Performance</v>
      </c>
      <c r="O3381" t="str">
        <f>IFERROR(__xludf.DUMMYFUNCTION("""COMPUTED_VALUE"""),"Red Multi-Coat")</f>
        <v>Red Multi-Coat</v>
      </c>
      <c r="P3381" t="str">
        <f>IFERROR(__xludf.DUMMYFUNCTION("""COMPUTED_VALUE"""),"20 inch")</f>
        <v>20 inch</v>
      </c>
      <c r="Q3381" t="str">
        <f>IFERROR(__xludf.DUMMYFUNCTION("""COMPUTED_VALUE"""),"All Black")</f>
        <v>All Black</v>
      </c>
      <c r="R3381" t="str">
        <f>IFERROR(__xludf.DUMMYFUNCTION("""COMPUTED_VALUE"""),"Full Self-Driving")</f>
        <v>Full Self-Driving</v>
      </c>
      <c r="S3381" t="str">
        <f>IFERROR(__xludf.DUMMYFUNCTION("""COMPUTED_VALUE"""),"Loan")</f>
        <v>Loan</v>
      </c>
      <c r="T3381" t="str">
        <f>IFERROR(__xludf.DUMMYFUNCTION("""COMPUTED_VALUE"""),"Tesla Model 3")</f>
        <v>Tesla Model 3</v>
      </c>
      <c r="U3381" t="str">
        <f>IFERROR(__xludf.DUMMYFUNCTION("""COMPUTED_VALUE"""),"Tesla brand image")</f>
        <v>Tesla brand image</v>
      </c>
      <c r="V3381" t="str">
        <f>IFERROR(__xludf.DUMMYFUNCTION("""COMPUTED_VALUE"""),"Ventilated seats")</f>
        <v>Ventilated seats</v>
      </c>
      <c r="AH3381" s="189">
        <f>IFERROR(__xludf.DUMMYFUNCTION("""COMPUTED_VALUE"""),44430.55977674769)</f>
        <v>44430.55978</v>
      </c>
    </row>
    <row r="3382">
      <c r="A3382" t="str">
        <f>IFERROR(__xludf.DUMMYFUNCTION("""COMPUTED_VALUE"""),"thebestiam1")</f>
        <v>thebestiam1</v>
      </c>
      <c r="B3382" t="str">
        <f>IFERROR(__xludf.DUMMYFUNCTION("""COMPUTED_VALUE"""),"Bay Area")</f>
        <v>Bay Area</v>
      </c>
      <c r="C3382" t="str">
        <f>IFERROR(__xludf.DUMMYFUNCTION("""COMPUTED_VALUE"""),"CA")</f>
        <v>CA</v>
      </c>
      <c r="D3382" t="str">
        <f>IFERROR(__xludf.DUMMYFUNCTION("""COMPUTED_VALUE"""),"USA")</f>
        <v>USA</v>
      </c>
      <c r="E3382" s="188">
        <f>IFERROR(__xludf.DUMMYFUNCTION("""COMPUTED_VALUE"""),44402.0)</f>
        <v>44402</v>
      </c>
      <c r="N3382" t="str">
        <f>IFERROR(__xludf.DUMMYFUNCTION("""COMPUTED_VALUE"""),"Model 3 SR+")</f>
        <v>Model 3 SR+</v>
      </c>
      <c r="O3382" t="str">
        <f>IFERROR(__xludf.DUMMYFUNCTION("""COMPUTED_VALUE"""),"Midnight Silver Metallic")</f>
        <v>Midnight Silver Metallic</v>
      </c>
      <c r="P3382" t="str">
        <f>IFERROR(__xludf.DUMMYFUNCTION("""COMPUTED_VALUE"""),"19 inch")</f>
        <v>19 inch</v>
      </c>
      <c r="Q3382" t="str">
        <f>IFERROR(__xludf.DUMMYFUNCTION("""COMPUTED_VALUE"""),"All Black")</f>
        <v>All Black</v>
      </c>
      <c r="R3382" t="str">
        <f>IFERROR(__xludf.DUMMYFUNCTION("""COMPUTED_VALUE"""),"Autopilot included")</f>
        <v>Autopilot included</v>
      </c>
      <c r="T3382" t="str">
        <f>IFERROR(__xludf.DUMMYFUNCTION("""COMPUTED_VALUE"""),"Tesla Model S")</f>
        <v>Tesla Model S</v>
      </c>
      <c r="U3382" t="str">
        <f>IFERROR(__xludf.DUMMYFUNCTION("""COMPUTED_VALUE"""),"Autopilot")</f>
        <v>Autopilot</v>
      </c>
      <c r="V3382" t="str">
        <f>IFERROR(__xludf.DUMMYFUNCTION("""COMPUTED_VALUE"""),"Air suspension")</f>
        <v>Air suspension</v>
      </c>
      <c r="AH3382" s="189">
        <f>IFERROR(__xludf.DUMMYFUNCTION("""COMPUTED_VALUE"""),44430.698291608795)</f>
        <v>44430.69829</v>
      </c>
    </row>
    <row r="3383">
      <c r="A3383" t="str">
        <f>IFERROR(__xludf.DUMMYFUNCTION("""COMPUTED_VALUE"""),"jiggawatt")</f>
        <v>jiggawatt</v>
      </c>
      <c r="B3383" t="str">
        <f>IFERROR(__xludf.DUMMYFUNCTION("""COMPUTED_VALUE"""),"Chicago")</f>
        <v>Chicago</v>
      </c>
      <c r="C3383" t="str">
        <f>IFERROR(__xludf.DUMMYFUNCTION("""COMPUTED_VALUE"""),"IL")</f>
        <v>IL</v>
      </c>
      <c r="D3383" t="str">
        <f>IFERROR(__xludf.DUMMYFUNCTION("""COMPUTED_VALUE"""),"USA")</f>
        <v>USA</v>
      </c>
      <c r="E3383" s="188">
        <f>IFERROR(__xludf.DUMMYFUNCTION("""COMPUTED_VALUE"""),44430.0)</f>
        <v>44430</v>
      </c>
      <c r="N3383" t="str">
        <f>IFERROR(__xludf.DUMMYFUNCTION("""COMPUTED_VALUE"""),"Model 3 SR+")</f>
        <v>Model 3 SR+</v>
      </c>
      <c r="O3383" t="str">
        <f>IFERROR(__xludf.DUMMYFUNCTION("""COMPUTED_VALUE"""),"Solid Black")</f>
        <v>Solid Black</v>
      </c>
      <c r="P3383" t="str">
        <f>IFERROR(__xludf.DUMMYFUNCTION("""COMPUTED_VALUE"""),"19 inch")</f>
        <v>19 inch</v>
      </c>
      <c r="Q3383" t="str">
        <f>IFERROR(__xludf.DUMMYFUNCTION("""COMPUTED_VALUE"""),"All Black")</f>
        <v>All Black</v>
      </c>
      <c r="R3383" t="str">
        <f>IFERROR(__xludf.DUMMYFUNCTION("""COMPUTED_VALUE"""),"Autopilot included")</f>
        <v>Autopilot included</v>
      </c>
      <c r="S3383" t="str">
        <f>IFERROR(__xludf.DUMMYFUNCTION("""COMPUTED_VALUE"""),"Cash")</f>
        <v>Cash</v>
      </c>
      <c r="T3383" t="str">
        <f>IFERROR(__xludf.DUMMYFUNCTION("""COMPUTED_VALUE"""),"Audi A4")</f>
        <v>Audi A4</v>
      </c>
      <c r="U3383" t="str">
        <f>IFERROR(__xludf.DUMMYFUNCTION("""COMPUTED_VALUE"""),"Electric!")</f>
        <v>Electric!</v>
      </c>
      <c r="V3383" t="str">
        <f>IFERROR(__xludf.DUMMYFUNCTION("""COMPUTED_VALUE"""),"Air suspension")</f>
        <v>Air suspension</v>
      </c>
      <c r="AH3383" s="189">
        <f>IFERROR(__xludf.DUMMYFUNCTION("""COMPUTED_VALUE"""),44430.715242499995)</f>
        <v>44430.71524</v>
      </c>
    </row>
    <row r="3384">
      <c r="A3384" t="str">
        <f>IFERROR(__xludf.DUMMYFUNCTION("""COMPUTED_VALUE"""),"Rodimus")</f>
        <v>Rodimus</v>
      </c>
      <c r="B3384" t="str">
        <f>IFERROR(__xludf.DUMMYFUNCTION("""COMPUTED_VALUE"""),"NYC")</f>
        <v>NYC</v>
      </c>
      <c r="C3384" t="str">
        <f>IFERROR(__xludf.DUMMYFUNCTION("""COMPUTED_VALUE"""),"NY")</f>
        <v>NY</v>
      </c>
      <c r="D3384" t="str">
        <f>IFERROR(__xludf.DUMMYFUNCTION("""COMPUTED_VALUE"""),"USA")</f>
        <v>USA</v>
      </c>
      <c r="E3384" s="188">
        <f>IFERROR(__xludf.DUMMYFUNCTION("""COMPUTED_VALUE"""),44376.0)</f>
        <v>44376</v>
      </c>
      <c r="F3384" s="188">
        <f>IFERROR(__xludf.DUMMYFUNCTION("""COMPUTED_VALUE"""),44419.0)</f>
        <v>44419</v>
      </c>
      <c r="G3384" t="str">
        <f>IFERROR(__xludf.DUMMYFUNCTION("""COMPUTED_VALUE"""),"Manage order page (normal text)")</f>
        <v>Manage order page (normal text)</v>
      </c>
      <c r="H3384">
        <f>IFERROR(__xludf.DUMMYFUNCTION("""COMPUTED_VALUE"""),36355.0)</f>
        <v>36355</v>
      </c>
      <c r="I3384" t="str">
        <f>IFERROR(__xludf.DUMMYFUNCTION("""COMPUTED_VALUE"""),"08/21")</f>
        <v>08/21</v>
      </c>
      <c r="J3384" s="188">
        <f>IFERROR(__xludf.DUMMYFUNCTION("""COMPUTED_VALUE"""),44434.0)</f>
        <v>44434</v>
      </c>
      <c r="K3384">
        <f>IFERROR(__xludf.DUMMYFUNCTION("""COMPUTED_VALUE"""),43.0)</f>
        <v>43</v>
      </c>
      <c r="L3384">
        <f>IFERROR(__xludf.DUMMYFUNCTION("""COMPUTED_VALUE"""),15.0)</f>
        <v>15</v>
      </c>
      <c r="M3384">
        <f>IFERROR(__xludf.DUMMYFUNCTION("""COMPUTED_VALUE"""),58.0)</f>
        <v>58</v>
      </c>
      <c r="N3384" t="str">
        <f>IFERROR(__xludf.DUMMYFUNCTION("""COMPUTED_VALUE"""),"Model 3 LR AWD")</f>
        <v>Model 3 LR AWD</v>
      </c>
      <c r="O3384" t="str">
        <f>IFERROR(__xludf.DUMMYFUNCTION("""COMPUTED_VALUE"""),"Midnight Silver Metallic")</f>
        <v>Midnight Silver Metallic</v>
      </c>
      <c r="P3384" t="str">
        <f>IFERROR(__xludf.DUMMYFUNCTION("""COMPUTED_VALUE"""),"18 inch")</f>
        <v>18 inch</v>
      </c>
      <c r="Q3384" t="str">
        <f>IFERROR(__xludf.DUMMYFUNCTION("""COMPUTED_VALUE"""),"All Black")</f>
        <v>All Black</v>
      </c>
      <c r="R3384" t="str">
        <f>IFERROR(__xludf.DUMMYFUNCTION("""COMPUTED_VALUE"""),"Full Self-Driving")</f>
        <v>Full Self-Driving</v>
      </c>
      <c r="S3384" t="str">
        <f>IFERROR(__xludf.DUMMYFUNCTION("""COMPUTED_VALUE"""),"Cash")</f>
        <v>Cash</v>
      </c>
      <c r="T3384" t="str">
        <f>IFERROR(__xludf.DUMMYFUNCTION("""COMPUTED_VALUE"""),"First car since 2019")</f>
        <v>First car since 2019</v>
      </c>
      <c r="U3384" t="str">
        <f>IFERROR(__xludf.DUMMYFUNCTION("""COMPUTED_VALUE"""),"Electric!")</f>
        <v>Electric!</v>
      </c>
      <c r="V3384" t="str">
        <f>IFERROR(__xludf.DUMMYFUNCTION("""COMPUTED_VALUE"""),"Apple CarPlay / Android Auto / SiriusXM Radio")</f>
        <v>Apple CarPlay / Android Auto / SiriusXM Radio</v>
      </c>
      <c r="X3384" t="str">
        <f>IFERROR(__xludf.DUMMYFUNCTION("""COMPUTED_VALUE"""),"Very Good")</f>
        <v>Very Good</v>
      </c>
      <c r="Y3384" t="str">
        <f>IFERROR(__xludf.DUMMYFUNCTION("""COMPUTED_VALUE"""),"Very Good")</f>
        <v>Very Good</v>
      </c>
      <c r="Z3384" t="str">
        <f>IFERROR(__xludf.DUMMYFUNCTION("""COMPUTED_VALUE"""),"Very Good")</f>
        <v>Very Good</v>
      </c>
      <c r="AA3384" t="str">
        <f>IFERROR(__xludf.DUMMYFUNCTION("""COMPUTED_VALUE"""),"Very Good")</f>
        <v>Very Good</v>
      </c>
      <c r="AB3384" t="str">
        <f>IFERROR(__xludf.DUMMYFUNCTION("""COMPUTED_VALUE"""),"Very Good")</f>
        <v>Very Good</v>
      </c>
      <c r="AC3384">
        <f>IFERROR(__xludf.DUMMYFUNCTION("""COMPUTED_VALUE"""),0.0)</f>
        <v>0</v>
      </c>
      <c r="AD3384">
        <f>IFERROR(__xludf.DUMMYFUNCTION("""COMPUTED_VALUE"""),0.0)</f>
        <v>0</v>
      </c>
      <c r="AE3384">
        <f>IFERROR(__xludf.DUMMYFUNCTION("""COMPUTED_VALUE"""),0.0)</f>
        <v>0</v>
      </c>
      <c r="AF3384" t="str">
        <f>IFERROR(__xludf.DUMMYFUNCTION("""COMPUTED_VALUE"""),"No. I took delivery of the first car Tesla was able to deliver.")</f>
        <v>No. I took delivery of the first car Tesla was able to deliver.</v>
      </c>
      <c r="AH3384" s="189">
        <f>IFERROR(__xludf.DUMMYFUNCTION("""COMPUTED_VALUE"""),44430.75378240741)</f>
        <v>44430.75378</v>
      </c>
    </row>
    <row r="3385">
      <c r="A3385" t="str">
        <f>IFERROR(__xludf.DUMMYFUNCTION("""COMPUTED_VALUE"""),"javvidu713")</f>
        <v>javvidu713</v>
      </c>
      <c r="B3385" t="str">
        <f>IFERROR(__xludf.DUMMYFUNCTION("""COMPUTED_VALUE"""),"Tampa")</f>
        <v>Tampa</v>
      </c>
      <c r="C3385" t="str">
        <f>IFERROR(__xludf.DUMMYFUNCTION("""COMPUTED_VALUE"""),"FL")</f>
        <v>FL</v>
      </c>
      <c r="D3385" t="str">
        <f>IFERROR(__xludf.DUMMYFUNCTION("""COMPUTED_VALUE"""),"USA")</f>
        <v>USA</v>
      </c>
      <c r="E3385" s="188">
        <f>IFERROR(__xludf.DUMMYFUNCTION("""COMPUTED_VALUE"""),44368.0)</f>
        <v>44368</v>
      </c>
      <c r="F3385" s="188">
        <f>IFERROR(__xludf.DUMMYFUNCTION("""COMPUTED_VALUE"""),44421.0)</f>
        <v>44421</v>
      </c>
      <c r="G3385" t="str">
        <f>IFERROR(__xludf.DUMMYFUNCTION("""COMPUTED_VALUE"""),"Text message")</f>
        <v>Text message</v>
      </c>
      <c r="J3385" s="188">
        <f>IFERROR(__xludf.DUMMYFUNCTION("""COMPUTED_VALUE"""),44434.0)</f>
        <v>44434</v>
      </c>
      <c r="K3385">
        <f>IFERROR(__xludf.DUMMYFUNCTION("""COMPUTED_VALUE"""),53.0)</f>
        <v>53</v>
      </c>
      <c r="L3385">
        <f>IFERROR(__xludf.DUMMYFUNCTION("""COMPUTED_VALUE"""),13.0)</f>
        <v>13</v>
      </c>
      <c r="M3385">
        <f>IFERROR(__xludf.DUMMYFUNCTION("""COMPUTED_VALUE"""),66.0)</f>
        <v>66</v>
      </c>
      <c r="N3385" t="str">
        <f>IFERROR(__xludf.DUMMYFUNCTION("""COMPUTED_VALUE"""),"Model 3 LR AWD")</f>
        <v>Model 3 LR AWD</v>
      </c>
      <c r="O3385" t="str">
        <f>IFERROR(__xludf.DUMMYFUNCTION("""COMPUTED_VALUE"""),"Midnight Silver Metallic")</f>
        <v>Midnight Silver Metallic</v>
      </c>
      <c r="P3385" t="str">
        <f>IFERROR(__xludf.DUMMYFUNCTION("""COMPUTED_VALUE"""),"18 inch")</f>
        <v>18 inch</v>
      </c>
      <c r="Q3385" t="str">
        <f>IFERROR(__xludf.DUMMYFUNCTION("""COMPUTED_VALUE"""),"Black and White")</f>
        <v>Black and White</v>
      </c>
      <c r="R3385" t="str">
        <f>IFERROR(__xludf.DUMMYFUNCTION("""COMPUTED_VALUE"""),"Autopilot included")</f>
        <v>Autopilot included</v>
      </c>
      <c r="S3385" t="str">
        <f>IFERROR(__xludf.DUMMYFUNCTION("""COMPUTED_VALUE"""),"Lease")</f>
        <v>Lease</v>
      </c>
      <c r="AH3385" s="189">
        <f>IFERROR(__xludf.DUMMYFUNCTION("""COMPUTED_VALUE"""),44430.798609097226)</f>
        <v>44430.79861</v>
      </c>
    </row>
    <row r="3386">
      <c r="A3386" t="str">
        <f>IFERROR(__xludf.DUMMYFUNCTION("""COMPUTED_VALUE"""),"CarlZ")</f>
        <v>CarlZ</v>
      </c>
      <c r="B3386" t="str">
        <f>IFERROR(__xludf.DUMMYFUNCTION("""COMPUTED_VALUE"""),"Toronto")</f>
        <v>Toronto</v>
      </c>
      <c r="C3386" t="str">
        <f>IFERROR(__xludf.DUMMYFUNCTION("""COMPUTED_VALUE"""),"ON")</f>
        <v>ON</v>
      </c>
      <c r="D3386" t="str">
        <f>IFERROR(__xludf.DUMMYFUNCTION("""COMPUTED_VALUE"""),"Canada")</f>
        <v>Canada</v>
      </c>
      <c r="E3386" s="188">
        <f>IFERROR(__xludf.DUMMYFUNCTION("""COMPUTED_VALUE"""),44418.0)</f>
        <v>44418</v>
      </c>
      <c r="N3386" t="str">
        <f>IFERROR(__xludf.DUMMYFUNCTION("""COMPUTED_VALUE"""),"Model 3 SR+")</f>
        <v>Model 3 SR+</v>
      </c>
      <c r="O3386" t="str">
        <f>IFERROR(__xludf.DUMMYFUNCTION("""COMPUTED_VALUE"""),"Pearl White Multi-Coat")</f>
        <v>Pearl White Multi-Coat</v>
      </c>
      <c r="P3386" t="str">
        <f>IFERROR(__xludf.DUMMYFUNCTION("""COMPUTED_VALUE"""),"18 inch")</f>
        <v>18 inch</v>
      </c>
      <c r="Q3386" t="str">
        <f>IFERROR(__xludf.DUMMYFUNCTION("""COMPUTED_VALUE"""),"Black and White")</f>
        <v>Black and White</v>
      </c>
      <c r="R3386" t="str">
        <f>IFERROR(__xludf.DUMMYFUNCTION("""COMPUTED_VALUE"""),"Full Self-Driving")</f>
        <v>Full Self-Driving</v>
      </c>
      <c r="T3386" t="str">
        <f>IFERROR(__xludf.DUMMYFUNCTION("""COMPUTED_VALUE"""),"Mazda CX-5")</f>
        <v>Mazda CX-5</v>
      </c>
      <c r="U3386" t="str">
        <f>IFERROR(__xludf.DUMMYFUNCTION("""COMPUTED_VALUE"""),"Electric!")</f>
        <v>Electric!</v>
      </c>
      <c r="V3386" t="str">
        <f>IFERROR(__xludf.DUMMYFUNCTION("""COMPUTED_VALUE"""),"Heated steering wheel")</f>
        <v>Heated steering wheel</v>
      </c>
      <c r="AH3386" s="189">
        <f>IFERROR(__xludf.DUMMYFUNCTION("""COMPUTED_VALUE"""),44430.80791017361)</f>
        <v>44430.80791</v>
      </c>
    </row>
    <row r="3387">
      <c r="A3387" t="str">
        <f>IFERROR(__xludf.DUMMYFUNCTION("""COMPUTED_VALUE"""),"3Me")</f>
        <v>3Me</v>
      </c>
      <c r="B3387" t="str">
        <f>IFERROR(__xludf.DUMMYFUNCTION("""COMPUTED_VALUE"""),"Gray")</f>
        <v>Gray</v>
      </c>
      <c r="C3387" t="str">
        <f>IFERROR(__xludf.DUMMYFUNCTION("""COMPUTED_VALUE"""),"GA")</f>
        <v>GA</v>
      </c>
      <c r="D3387" t="str">
        <f>IFERROR(__xludf.DUMMYFUNCTION("""COMPUTED_VALUE"""),"USA")</f>
        <v>USA</v>
      </c>
      <c r="E3387" s="188">
        <f>IFERROR(__xludf.DUMMYFUNCTION("""COMPUTED_VALUE"""),44420.0)</f>
        <v>44420</v>
      </c>
      <c r="F3387" s="188">
        <f>IFERROR(__xludf.DUMMYFUNCTION("""COMPUTED_VALUE"""),44439.0)</f>
        <v>44439</v>
      </c>
      <c r="G3387" t="str">
        <f>IFERROR(__xludf.DUMMYFUNCTION("""COMPUTED_VALUE"""),"Manage order page (normal text)")</f>
        <v>Manage order page (normal text)</v>
      </c>
      <c r="H3387">
        <f>IFERROR(__xludf.DUMMYFUNCTION("""COMPUTED_VALUE"""),56155.0)</f>
        <v>56155</v>
      </c>
      <c r="I3387" t="str">
        <f>IFERROR(__xludf.DUMMYFUNCTION("""COMPUTED_VALUE"""),"08/21")</f>
        <v>08/21</v>
      </c>
      <c r="J3387" s="188">
        <f>IFERROR(__xludf.DUMMYFUNCTION("""COMPUTED_VALUE"""),44453.0)</f>
        <v>44453</v>
      </c>
      <c r="K3387">
        <f>IFERROR(__xludf.DUMMYFUNCTION("""COMPUTED_VALUE"""),19.0)</f>
        <v>19</v>
      </c>
      <c r="L3387">
        <f>IFERROR(__xludf.DUMMYFUNCTION("""COMPUTED_VALUE"""),14.0)</f>
        <v>14</v>
      </c>
      <c r="M3387">
        <f>IFERROR(__xludf.DUMMYFUNCTION("""COMPUTED_VALUE"""),33.0)</f>
        <v>33</v>
      </c>
      <c r="N3387" t="str">
        <f>IFERROR(__xludf.DUMMYFUNCTION("""COMPUTED_VALUE"""),"Model 3 LR AWD")</f>
        <v>Model 3 LR AWD</v>
      </c>
      <c r="O3387" t="str">
        <f>IFERROR(__xludf.DUMMYFUNCTION("""COMPUTED_VALUE"""),"Solid Black")</f>
        <v>Solid Black</v>
      </c>
      <c r="P3387" t="str">
        <f>IFERROR(__xludf.DUMMYFUNCTION("""COMPUTED_VALUE"""),"19 inch")</f>
        <v>19 inch</v>
      </c>
      <c r="Q3387" t="str">
        <f>IFERROR(__xludf.DUMMYFUNCTION("""COMPUTED_VALUE"""),"All Black")</f>
        <v>All Black</v>
      </c>
      <c r="R3387" t="str">
        <f>IFERROR(__xludf.DUMMYFUNCTION("""COMPUTED_VALUE"""),"Autopilot included")</f>
        <v>Autopilot included</v>
      </c>
      <c r="S3387" t="str">
        <f>IFERROR(__xludf.DUMMYFUNCTION("""COMPUTED_VALUE"""),"Loan")</f>
        <v>Loan</v>
      </c>
      <c r="T3387" t="str">
        <f>IFERROR(__xludf.DUMMYFUNCTION("""COMPUTED_VALUE"""),"GMC Yukon")</f>
        <v>GMC Yukon</v>
      </c>
      <c r="U3387" t="str">
        <f>IFERROR(__xludf.DUMMYFUNCTION("""COMPUTED_VALUE"""),"Electric!")</f>
        <v>Electric!</v>
      </c>
      <c r="V3387" t="str">
        <f>IFERROR(__xludf.DUMMYFUNCTION("""COMPUTED_VALUE"""),"Blind spot indicators on side mirrors")</f>
        <v>Blind spot indicators on side mirrors</v>
      </c>
      <c r="AH3387" s="189">
        <f>IFERROR(__xludf.DUMMYFUNCTION("""COMPUTED_VALUE"""),44439.78474565972)</f>
        <v>44439.78475</v>
      </c>
    </row>
    <row r="3388">
      <c r="A3388" t="str">
        <f>IFERROR(__xludf.DUMMYFUNCTION("""COMPUTED_VALUE"""),"crossienick")</f>
        <v>crossienick</v>
      </c>
      <c r="B3388" t="str">
        <f>IFERROR(__xludf.DUMMYFUNCTION("""COMPUTED_VALUE"""),"Preston")</f>
        <v>Preston</v>
      </c>
      <c r="D3388" t="str">
        <f>IFERROR(__xludf.DUMMYFUNCTION("""COMPUTED_VALUE"""),"United Kingdom")</f>
        <v>United Kingdom</v>
      </c>
      <c r="E3388" s="188">
        <f>IFERROR(__xludf.DUMMYFUNCTION("""COMPUTED_VALUE"""),44424.0)</f>
        <v>44424</v>
      </c>
      <c r="F3388" s="188">
        <f>IFERROR(__xludf.DUMMYFUNCTION("""COMPUTED_VALUE"""),44431.0)</f>
        <v>44431</v>
      </c>
      <c r="G3388" t="str">
        <f>IFERROR(__xludf.DUMMYFUNCTION("""COMPUTED_VALUE"""),"Source code")</f>
        <v>Source code</v>
      </c>
      <c r="H3388">
        <f>IFERROR(__xludf.DUMMYFUNCTION("""COMPUTED_VALUE"""),321755.0)</f>
        <v>321755</v>
      </c>
      <c r="J3388" s="188">
        <f>IFERROR(__xludf.DUMMYFUNCTION("""COMPUTED_VALUE"""),44467.0)</f>
        <v>44467</v>
      </c>
      <c r="K3388">
        <f>IFERROR(__xludf.DUMMYFUNCTION("""COMPUTED_VALUE"""),7.0)</f>
        <v>7</v>
      </c>
      <c r="L3388">
        <f>IFERROR(__xludf.DUMMYFUNCTION("""COMPUTED_VALUE"""),36.0)</f>
        <v>36</v>
      </c>
      <c r="M3388">
        <f>IFERROR(__xludf.DUMMYFUNCTION("""COMPUTED_VALUE"""),43.0)</f>
        <v>43</v>
      </c>
      <c r="N3388" t="str">
        <f>IFERROR(__xludf.DUMMYFUNCTION("""COMPUTED_VALUE"""),"Model 3 LR AWD")</f>
        <v>Model 3 LR AWD</v>
      </c>
      <c r="O3388" t="str">
        <f>IFERROR(__xludf.DUMMYFUNCTION("""COMPUTED_VALUE"""),"Solid Black")</f>
        <v>Solid Black</v>
      </c>
      <c r="P3388" t="str">
        <f>IFERROR(__xludf.DUMMYFUNCTION("""COMPUTED_VALUE"""),"18 inch")</f>
        <v>18 inch</v>
      </c>
      <c r="Q3388" t="str">
        <f>IFERROR(__xludf.DUMMYFUNCTION("""COMPUTED_VALUE"""),"All Black")</f>
        <v>All Black</v>
      </c>
      <c r="R3388" t="str">
        <f>IFERROR(__xludf.DUMMYFUNCTION("""COMPUTED_VALUE"""),"Autopilot included")</f>
        <v>Autopilot included</v>
      </c>
      <c r="S3388" t="str">
        <f>IFERROR(__xludf.DUMMYFUNCTION("""COMPUTED_VALUE"""),"Loan")</f>
        <v>Loan</v>
      </c>
      <c r="T3388" t="str">
        <f>IFERROR(__xludf.DUMMYFUNCTION("""COMPUTED_VALUE"""),"BMW 3 Series")</f>
        <v>BMW 3 Series</v>
      </c>
      <c r="U3388" t="str">
        <f>IFERROR(__xludf.DUMMYFUNCTION("""COMPUTED_VALUE"""),"Whole package")</f>
        <v>Whole package</v>
      </c>
      <c r="V3388" t="str">
        <f>IFERROR(__xludf.DUMMYFUNCTION("""COMPUTED_VALUE"""),"Head-up display")</f>
        <v>Head-up display</v>
      </c>
      <c r="AH3388" s="189">
        <f>IFERROR(__xludf.DUMMYFUNCTION("""COMPUTED_VALUE"""),44449.60191678241)</f>
        <v>44449.60192</v>
      </c>
    </row>
    <row r="3389">
      <c r="A3389" t="str">
        <f>IFERROR(__xludf.DUMMYFUNCTION("""COMPUTED_VALUE"""),"CC52")</f>
        <v>CC52</v>
      </c>
      <c r="B3389" t="str">
        <f>IFERROR(__xludf.DUMMYFUNCTION("""COMPUTED_VALUE"""),"Jersey City")</f>
        <v>Jersey City</v>
      </c>
      <c r="C3389" t="str">
        <f>IFERROR(__xludf.DUMMYFUNCTION("""COMPUTED_VALUE"""),"NJ")</f>
        <v>NJ</v>
      </c>
      <c r="D3389" t="str">
        <f>IFERROR(__xludf.DUMMYFUNCTION("""COMPUTED_VALUE"""),"USA")</f>
        <v>USA</v>
      </c>
      <c r="E3389" s="188">
        <f>IFERROR(__xludf.DUMMYFUNCTION("""COMPUTED_VALUE"""),44418.0)</f>
        <v>44418</v>
      </c>
      <c r="F3389" s="188">
        <f>IFERROR(__xludf.DUMMYFUNCTION("""COMPUTED_VALUE"""),44509.0)</f>
        <v>44509</v>
      </c>
      <c r="G3389" t="str">
        <f>IFERROR(__xludf.DUMMYFUNCTION("""COMPUTED_VALUE"""),"Manage order page (normal text)")</f>
        <v>Manage order page (normal text)</v>
      </c>
      <c r="H3389">
        <f>IFERROR(__xludf.DUMMYFUNCTION("""COMPUTED_VALUE"""),102455.0)</f>
        <v>102455</v>
      </c>
      <c r="K3389">
        <f>IFERROR(__xludf.DUMMYFUNCTION("""COMPUTED_VALUE"""),91.0)</f>
        <v>91</v>
      </c>
      <c r="N3389" t="str">
        <f>IFERROR(__xludf.DUMMYFUNCTION("""COMPUTED_VALUE"""),"Model 3 SR+")</f>
        <v>Model 3 SR+</v>
      </c>
      <c r="O3389" t="str">
        <f>IFERROR(__xludf.DUMMYFUNCTION("""COMPUTED_VALUE"""),"Pearl White Multi-Coat")</f>
        <v>Pearl White Multi-Coat</v>
      </c>
      <c r="P3389" t="str">
        <f>IFERROR(__xludf.DUMMYFUNCTION("""COMPUTED_VALUE"""),"18 inch")</f>
        <v>18 inch</v>
      </c>
      <c r="Q3389" t="str">
        <f>IFERROR(__xludf.DUMMYFUNCTION("""COMPUTED_VALUE"""),"All Black")</f>
        <v>All Black</v>
      </c>
      <c r="R3389" t="str">
        <f>IFERROR(__xludf.DUMMYFUNCTION("""COMPUTED_VALUE"""),"Autopilot included")</f>
        <v>Autopilot included</v>
      </c>
      <c r="S3389" t="str">
        <f>IFERROR(__xludf.DUMMYFUNCTION("""COMPUTED_VALUE"""),"Lease")</f>
        <v>Lease</v>
      </c>
      <c r="T3389" t="str">
        <f>IFERROR(__xludf.DUMMYFUNCTION("""COMPUTED_VALUE"""),"Model 3 will be my first car!")</f>
        <v>Model 3 will be my first car!</v>
      </c>
      <c r="U3389" t="str">
        <f>IFERROR(__xludf.DUMMYFUNCTION("""COMPUTED_VALUE"""),"Electric!")</f>
        <v>Electric!</v>
      </c>
      <c r="V3389" t="str">
        <f>IFERROR(__xludf.DUMMYFUNCTION("""COMPUTED_VALUE"""),"Dashboard")</f>
        <v>Dashboard</v>
      </c>
      <c r="AH3389" s="189">
        <f>IFERROR(__xludf.DUMMYFUNCTION("""COMPUTED_VALUE"""),44508.91568436343)</f>
        <v>44508.91568</v>
      </c>
    </row>
    <row r="3390">
      <c r="A3390" t="str">
        <f>IFERROR(__xludf.DUMMYFUNCTION("""COMPUTED_VALUE"""),"Terpsolit")</f>
        <v>Terpsolit</v>
      </c>
      <c r="B3390" t="str">
        <f>IFERROR(__xludf.DUMMYFUNCTION("""COMPUTED_VALUE"""),"Houston")</f>
        <v>Houston</v>
      </c>
      <c r="C3390" t="str">
        <f>IFERROR(__xludf.DUMMYFUNCTION("""COMPUTED_VALUE"""),"TX")</f>
        <v>TX</v>
      </c>
      <c r="D3390" t="str">
        <f>IFERROR(__xludf.DUMMYFUNCTION("""COMPUTED_VALUE"""),"USA")</f>
        <v>USA</v>
      </c>
      <c r="E3390" s="188">
        <f>IFERROR(__xludf.DUMMYFUNCTION("""COMPUTED_VALUE"""),44405.0)</f>
        <v>44405</v>
      </c>
      <c r="N3390" t="str">
        <f>IFERROR(__xludf.DUMMYFUNCTION("""COMPUTED_VALUE"""),"Model 3 SR+")</f>
        <v>Model 3 SR+</v>
      </c>
      <c r="O3390" t="str">
        <f>IFERROR(__xludf.DUMMYFUNCTION("""COMPUTED_VALUE"""),"Red Multi-Coat")</f>
        <v>Red Multi-Coat</v>
      </c>
      <c r="P3390" t="str">
        <f>IFERROR(__xludf.DUMMYFUNCTION("""COMPUTED_VALUE"""),"18 inch")</f>
        <v>18 inch</v>
      </c>
      <c r="Q3390" t="str">
        <f>IFERROR(__xludf.DUMMYFUNCTION("""COMPUTED_VALUE"""),"All Black")</f>
        <v>All Black</v>
      </c>
      <c r="R3390" t="str">
        <f>IFERROR(__xludf.DUMMYFUNCTION("""COMPUTED_VALUE"""),"Full Self-Driving")</f>
        <v>Full Self-Driving</v>
      </c>
      <c r="S3390" t="str">
        <f>IFERROR(__xludf.DUMMYFUNCTION("""COMPUTED_VALUE"""),"Loan")</f>
        <v>Loan</v>
      </c>
      <c r="T3390" t="str">
        <f>IFERROR(__xludf.DUMMYFUNCTION("""COMPUTED_VALUE"""),"Model 3 will be my first car!")</f>
        <v>Model 3 will be my first car!</v>
      </c>
      <c r="U3390" t="str">
        <f>IFERROR(__xludf.DUMMYFUNCTION("""COMPUTED_VALUE"""),"Electric!")</f>
        <v>Electric!</v>
      </c>
      <c r="V3390" t="str">
        <f>IFERROR(__xludf.DUMMYFUNCTION("""COMPUTED_VALUE"""),"360° Bird's eye view")</f>
        <v>360° Bird's eye view</v>
      </c>
      <c r="AH3390" s="189">
        <f>IFERROR(__xludf.DUMMYFUNCTION("""COMPUTED_VALUE"""),44431.386636180556)</f>
        <v>44431.38664</v>
      </c>
    </row>
    <row r="3391">
      <c r="A3391" t="str">
        <f>IFERROR(__xludf.DUMMYFUNCTION("""COMPUTED_VALUE"""),"EwOilChanges")</f>
        <v>EwOilChanges</v>
      </c>
      <c r="B3391" t="str">
        <f>IFERROR(__xludf.DUMMYFUNCTION("""COMPUTED_VALUE"""),"DMV")</f>
        <v>DMV</v>
      </c>
      <c r="C3391" t="str">
        <f>IFERROR(__xludf.DUMMYFUNCTION("""COMPUTED_VALUE"""),"MD")</f>
        <v>MD</v>
      </c>
      <c r="D3391" t="str">
        <f>IFERROR(__xludf.DUMMYFUNCTION("""COMPUTED_VALUE"""),"USA")</f>
        <v>USA</v>
      </c>
      <c r="E3391" s="188">
        <f>IFERROR(__xludf.DUMMYFUNCTION("""COMPUTED_VALUE"""),44400.0)</f>
        <v>44400</v>
      </c>
      <c r="F3391" s="188">
        <f>IFERROR(__xludf.DUMMYFUNCTION("""COMPUTED_VALUE"""),44435.0)</f>
        <v>44435</v>
      </c>
      <c r="G3391" t="str">
        <f>IFERROR(__xludf.DUMMYFUNCTION("""COMPUTED_VALUE"""),"Manage order page (normal text)")</f>
        <v>Manage order page (normal text)</v>
      </c>
      <c r="K3391">
        <f>IFERROR(__xludf.DUMMYFUNCTION("""COMPUTED_VALUE"""),35.0)</f>
        <v>35</v>
      </c>
      <c r="N3391" t="str">
        <f>IFERROR(__xludf.DUMMYFUNCTION("""COMPUTED_VALUE"""),"Model 3 LR AWD")</f>
        <v>Model 3 LR AWD</v>
      </c>
      <c r="O3391" t="str">
        <f>IFERROR(__xludf.DUMMYFUNCTION("""COMPUTED_VALUE"""),"Deep Blue Metallic")</f>
        <v>Deep Blue Metallic</v>
      </c>
      <c r="P3391" t="str">
        <f>IFERROR(__xludf.DUMMYFUNCTION("""COMPUTED_VALUE"""),"18 inch")</f>
        <v>18 inch</v>
      </c>
      <c r="Q3391" t="str">
        <f>IFERROR(__xludf.DUMMYFUNCTION("""COMPUTED_VALUE"""),"Black and White")</f>
        <v>Black and White</v>
      </c>
      <c r="R3391" t="str">
        <f>IFERROR(__xludf.DUMMYFUNCTION("""COMPUTED_VALUE"""),"Autopilot included")</f>
        <v>Autopilot included</v>
      </c>
      <c r="U3391" t="str">
        <f>IFERROR(__xludf.DUMMYFUNCTION("""COMPUTED_VALUE"""),"Electric!")</f>
        <v>Electric!</v>
      </c>
      <c r="V3391" t="str">
        <f>IFERROR(__xludf.DUMMYFUNCTION("""COMPUTED_VALUE"""),"Air suspension")</f>
        <v>Air suspension</v>
      </c>
      <c r="AH3391" s="189">
        <f>IFERROR(__xludf.DUMMYFUNCTION("""COMPUTED_VALUE"""),44435.68656271991)</f>
        <v>44435.68656</v>
      </c>
    </row>
    <row r="3392">
      <c r="A3392" t="str">
        <f>IFERROR(__xludf.DUMMYFUNCTION("""COMPUTED_VALUE"""),"louiskie")</f>
        <v>louiskie</v>
      </c>
      <c r="B3392" t="str">
        <f>IFERROR(__xludf.DUMMYFUNCTION("""COMPUTED_VALUE"""),"Cary")</f>
        <v>Cary</v>
      </c>
      <c r="C3392" t="str">
        <f>IFERROR(__xludf.DUMMYFUNCTION("""COMPUTED_VALUE"""),"NC")</f>
        <v>NC</v>
      </c>
      <c r="D3392" t="str">
        <f>IFERROR(__xludf.DUMMYFUNCTION("""COMPUTED_VALUE"""),"USA")</f>
        <v>USA</v>
      </c>
      <c r="E3392" s="188">
        <f>IFERROR(__xludf.DUMMYFUNCTION("""COMPUTED_VALUE"""),44395.0)</f>
        <v>44395</v>
      </c>
      <c r="N3392" t="str">
        <f>IFERROR(__xludf.DUMMYFUNCTION("""COMPUTED_VALUE"""),"Model 3 SR+")</f>
        <v>Model 3 SR+</v>
      </c>
      <c r="O3392" t="str">
        <f>IFERROR(__xludf.DUMMYFUNCTION("""COMPUTED_VALUE"""),"Solid Black")</f>
        <v>Solid Black</v>
      </c>
      <c r="P3392" t="str">
        <f>IFERROR(__xludf.DUMMYFUNCTION("""COMPUTED_VALUE"""),"18 inch")</f>
        <v>18 inch</v>
      </c>
      <c r="Q3392" t="str">
        <f>IFERROR(__xludf.DUMMYFUNCTION("""COMPUTED_VALUE"""),"All Black")</f>
        <v>All Black</v>
      </c>
      <c r="R3392" t="str">
        <f>IFERROR(__xludf.DUMMYFUNCTION("""COMPUTED_VALUE"""),"Autopilot included")</f>
        <v>Autopilot included</v>
      </c>
      <c r="S3392" t="str">
        <f>IFERROR(__xludf.DUMMYFUNCTION("""COMPUTED_VALUE"""),"Cash")</f>
        <v>Cash</v>
      </c>
      <c r="T3392" t="str">
        <f>IFERROR(__xludf.DUMMYFUNCTION("""COMPUTED_VALUE"""),"Audi A4")</f>
        <v>Audi A4</v>
      </c>
      <c r="U3392" t="str">
        <f>IFERROR(__xludf.DUMMYFUNCTION("""COMPUTED_VALUE"""),"Electric!")</f>
        <v>Electric!</v>
      </c>
      <c r="V3392" t="str">
        <f>IFERROR(__xludf.DUMMYFUNCTION("""COMPUTED_VALUE"""),"Ventilated seats")</f>
        <v>Ventilated seats</v>
      </c>
      <c r="AH3392" s="189">
        <f>IFERROR(__xludf.DUMMYFUNCTION("""COMPUTED_VALUE"""),44431.48944734954)</f>
        <v>44431.48945</v>
      </c>
    </row>
    <row r="3393">
      <c r="A3393" t="str">
        <f>IFERROR(__xludf.DUMMYFUNCTION("""COMPUTED_VALUE"""),"wilmsas")</f>
        <v>wilmsas</v>
      </c>
      <c r="B3393" t="str">
        <f>IFERROR(__xludf.DUMMYFUNCTION("""COMPUTED_VALUE"""),"Austin")</f>
        <v>Austin</v>
      </c>
      <c r="C3393" t="str">
        <f>IFERROR(__xludf.DUMMYFUNCTION("""COMPUTED_VALUE"""),"TX")</f>
        <v>TX</v>
      </c>
      <c r="D3393" t="str">
        <f>IFERROR(__xludf.DUMMYFUNCTION("""COMPUTED_VALUE"""),"USA")</f>
        <v>USA</v>
      </c>
      <c r="E3393" s="188">
        <f>IFERROR(__xludf.DUMMYFUNCTION("""COMPUTED_VALUE"""),44407.0)</f>
        <v>44407</v>
      </c>
      <c r="N3393" t="str">
        <f>IFERROR(__xludf.DUMMYFUNCTION("""COMPUTED_VALUE"""),"Model 3 LR AWD")</f>
        <v>Model 3 LR AWD</v>
      </c>
      <c r="O3393" t="str">
        <f>IFERROR(__xludf.DUMMYFUNCTION("""COMPUTED_VALUE"""),"Red Multi-Coat")</f>
        <v>Red Multi-Coat</v>
      </c>
      <c r="P3393" t="str">
        <f>IFERROR(__xludf.DUMMYFUNCTION("""COMPUTED_VALUE"""),"18 inch")</f>
        <v>18 inch</v>
      </c>
      <c r="Q3393" t="str">
        <f>IFERROR(__xludf.DUMMYFUNCTION("""COMPUTED_VALUE"""),"All Black")</f>
        <v>All Black</v>
      </c>
      <c r="R3393" t="str">
        <f>IFERROR(__xludf.DUMMYFUNCTION("""COMPUTED_VALUE"""),"Autopilot included")</f>
        <v>Autopilot included</v>
      </c>
      <c r="S3393" t="str">
        <f>IFERROR(__xludf.DUMMYFUNCTION("""COMPUTED_VALUE"""),"Loan")</f>
        <v>Loan</v>
      </c>
      <c r="T3393" t="str">
        <f>IFERROR(__xludf.DUMMYFUNCTION("""COMPUTED_VALUE"""),"Abarth Spider 124")</f>
        <v>Abarth Spider 124</v>
      </c>
      <c r="U3393" t="str">
        <f>IFERROR(__xludf.DUMMYFUNCTION("""COMPUTED_VALUE"""),"Electric!")</f>
        <v>Electric!</v>
      </c>
      <c r="V3393" t="str">
        <f>IFERROR(__xludf.DUMMYFUNCTION("""COMPUTED_VALUE"""),"Apple CarPlay / Android Auto / SiriusXM Radio")</f>
        <v>Apple CarPlay / Android Auto / SiriusXM Radio</v>
      </c>
      <c r="AH3393" s="189">
        <f>IFERROR(__xludf.DUMMYFUNCTION("""COMPUTED_VALUE"""),44431.514203680556)</f>
        <v>44431.5142</v>
      </c>
    </row>
    <row r="3394">
      <c r="A3394" t="str">
        <f>IFERROR(__xludf.DUMMYFUNCTION("""COMPUTED_VALUE"""),"TesslAshanti")</f>
        <v>TesslAshanti</v>
      </c>
      <c r="B3394" t="str">
        <f>IFERROR(__xludf.DUMMYFUNCTION("""COMPUTED_VALUE"""),"Flower Mound")</f>
        <v>Flower Mound</v>
      </c>
      <c r="C3394" t="str">
        <f>IFERROR(__xludf.DUMMYFUNCTION("""COMPUTED_VALUE"""),"TX")</f>
        <v>TX</v>
      </c>
      <c r="D3394" t="str">
        <f>IFERROR(__xludf.DUMMYFUNCTION("""COMPUTED_VALUE"""),"USA")</f>
        <v>USA</v>
      </c>
      <c r="E3394" s="188">
        <f>IFERROR(__xludf.DUMMYFUNCTION("""COMPUTED_VALUE"""),44406.0)</f>
        <v>44406</v>
      </c>
      <c r="F3394" s="188">
        <f>IFERROR(__xludf.DUMMYFUNCTION("""COMPUTED_VALUE"""),44425.0)</f>
        <v>44425</v>
      </c>
      <c r="G3394" t="str">
        <f>IFERROR(__xludf.DUMMYFUNCTION("""COMPUTED_VALUE"""),"Manage order page (normal text)")</f>
        <v>Manage order page (normal text)</v>
      </c>
      <c r="H3394">
        <f>IFERROR(__xludf.DUMMYFUNCTION("""COMPUTED_VALUE"""),44255.0)</f>
        <v>44255</v>
      </c>
      <c r="J3394" s="188">
        <f>IFERROR(__xludf.DUMMYFUNCTION("""COMPUTED_VALUE"""),44437.0)</f>
        <v>44437</v>
      </c>
      <c r="K3394">
        <f>IFERROR(__xludf.DUMMYFUNCTION("""COMPUTED_VALUE"""),19.0)</f>
        <v>19</v>
      </c>
      <c r="L3394">
        <f>IFERROR(__xludf.DUMMYFUNCTION("""COMPUTED_VALUE"""),12.0)</f>
        <v>12</v>
      </c>
      <c r="M3394">
        <f>IFERROR(__xludf.DUMMYFUNCTION("""COMPUTED_VALUE"""),31.0)</f>
        <v>31</v>
      </c>
      <c r="N3394" t="str">
        <f>IFERROR(__xludf.DUMMYFUNCTION("""COMPUTED_VALUE"""),"Model 3 Performance")</f>
        <v>Model 3 Performance</v>
      </c>
      <c r="O3394" t="str">
        <f>IFERROR(__xludf.DUMMYFUNCTION("""COMPUTED_VALUE"""),"Solid Black")</f>
        <v>Solid Black</v>
      </c>
      <c r="P3394" t="str">
        <f>IFERROR(__xludf.DUMMYFUNCTION("""COMPUTED_VALUE"""),"20 inch")</f>
        <v>20 inch</v>
      </c>
      <c r="Q3394" t="str">
        <f>IFERROR(__xludf.DUMMYFUNCTION("""COMPUTED_VALUE"""),"All Black")</f>
        <v>All Black</v>
      </c>
      <c r="R3394" t="str">
        <f>IFERROR(__xludf.DUMMYFUNCTION("""COMPUTED_VALUE"""),"Full Self-Driving")</f>
        <v>Full Self-Driving</v>
      </c>
      <c r="S3394" t="str">
        <f>IFERROR(__xludf.DUMMYFUNCTION("""COMPUTED_VALUE"""),"Loan")</f>
        <v>Loan</v>
      </c>
      <c r="T3394" t="str">
        <f>IFERROR(__xludf.DUMMYFUNCTION("""COMPUTED_VALUE"""),"Honda Accord")</f>
        <v>Honda Accord</v>
      </c>
      <c r="U3394" t="str">
        <f>IFERROR(__xludf.DUMMYFUNCTION("""COMPUTED_VALUE"""),"Tesla brand image")</f>
        <v>Tesla brand image</v>
      </c>
      <c r="V3394" t="str">
        <f>IFERROR(__xludf.DUMMYFUNCTION("""COMPUTED_VALUE"""),"HomeLink")</f>
        <v>HomeLink</v>
      </c>
      <c r="AH3394" s="189">
        <f>IFERROR(__xludf.DUMMYFUNCTION("""COMPUTED_VALUE"""),44433.80864346065)</f>
        <v>44433.80864</v>
      </c>
    </row>
    <row r="3395">
      <c r="A3395" t="str">
        <f>IFERROR(__xludf.DUMMYFUNCTION("""COMPUTED_VALUE"""),"Azo9987")</f>
        <v>Azo9987</v>
      </c>
      <c r="B3395" t="str">
        <f>IFERROR(__xludf.DUMMYFUNCTION("""COMPUTED_VALUE"""),"Wexford")</f>
        <v>Wexford</v>
      </c>
      <c r="C3395" t="str">
        <f>IFERROR(__xludf.DUMMYFUNCTION("""COMPUTED_VALUE"""),"PA")</f>
        <v>PA</v>
      </c>
      <c r="D3395" t="str">
        <f>IFERROR(__xludf.DUMMYFUNCTION("""COMPUTED_VALUE"""),"USA")</f>
        <v>USA</v>
      </c>
      <c r="E3395" s="188">
        <f>IFERROR(__xludf.DUMMYFUNCTION("""COMPUTED_VALUE"""),44431.0)</f>
        <v>44431</v>
      </c>
      <c r="F3395" s="188">
        <f>IFERROR(__xludf.DUMMYFUNCTION("""COMPUTED_VALUE"""),44454.0)</f>
        <v>44454</v>
      </c>
      <c r="G3395" t="str">
        <f>IFERROR(__xludf.DUMMYFUNCTION("""COMPUTED_VALUE"""),"Manage order page (normal text)")</f>
        <v>Manage order page (normal text)</v>
      </c>
      <c r="J3395" s="188">
        <f>IFERROR(__xludf.DUMMYFUNCTION("""COMPUTED_VALUE"""),44466.0)</f>
        <v>44466</v>
      </c>
      <c r="K3395">
        <f>IFERROR(__xludf.DUMMYFUNCTION("""COMPUTED_VALUE"""),23.0)</f>
        <v>23</v>
      </c>
      <c r="L3395">
        <f>IFERROR(__xludf.DUMMYFUNCTION("""COMPUTED_VALUE"""),12.0)</f>
        <v>12</v>
      </c>
      <c r="M3395">
        <f>IFERROR(__xludf.DUMMYFUNCTION("""COMPUTED_VALUE"""),35.0)</f>
        <v>35</v>
      </c>
      <c r="N3395" t="str">
        <f>IFERROR(__xludf.DUMMYFUNCTION("""COMPUTED_VALUE"""),"Model 3 LR AWD")</f>
        <v>Model 3 LR AWD</v>
      </c>
      <c r="O3395" t="str">
        <f>IFERROR(__xludf.DUMMYFUNCTION("""COMPUTED_VALUE"""),"Midnight Silver Metallic")</f>
        <v>Midnight Silver Metallic</v>
      </c>
      <c r="P3395" t="str">
        <f>IFERROR(__xludf.DUMMYFUNCTION("""COMPUTED_VALUE"""),"18 inch")</f>
        <v>18 inch</v>
      </c>
      <c r="Q3395" t="str">
        <f>IFERROR(__xludf.DUMMYFUNCTION("""COMPUTED_VALUE"""),"All Black")</f>
        <v>All Black</v>
      </c>
      <c r="R3395" t="str">
        <f>IFERROR(__xludf.DUMMYFUNCTION("""COMPUTED_VALUE"""),"Autopilot included")</f>
        <v>Autopilot included</v>
      </c>
      <c r="S3395" t="str">
        <f>IFERROR(__xludf.DUMMYFUNCTION("""COMPUTED_VALUE"""),"Loan")</f>
        <v>Loan</v>
      </c>
      <c r="T3395" t="str">
        <f>IFERROR(__xludf.DUMMYFUNCTION("""COMPUTED_VALUE"""),"2015 Ford Edge")</f>
        <v>2015 Ford Edge</v>
      </c>
      <c r="U3395" t="str">
        <f>IFERROR(__xludf.DUMMYFUNCTION("""COMPUTED_VALUE"""),"Electric!")</f>
        <v>Electric!</v>
      </c>
      <c r="V3395" t="str">
        <f>IFERROR(__xludf.DUMMYFUNCTION("""COMPUTED_VALUE"""),"Apple CarPlay / Android Auto / SiriusXM Radio")</f>
        <v>Apple CarPlay / Android Auto / SiriusXM Radio</v>
      </c>
      <c r="AH3395" s="189">
        <f>IFERROR(__xludf.DUMMYFUNCTION("""COMPUTED_VALUE"""),44462.28124483796)</f>
        <v>44462.28124</v>
      </c>
    </row>
    <row r="3396">
      <c r="A3396" t="str">
        <f>IFERROR(__xludf.DUMMYFUNCTION("""COMPUTED_VALUE"""),"Deenadi")</f>
        <v>Deenadi</v>
      </c>
      <c r="B3396" t="str">
        <f>IFERROR(__xludf.DUMMYFUNCTION("""COMPUTED_VALUE"""),"Wallington")</f>
        <v>Wallington</v>
      </c>
      <c r="C3396" t="str">
        <f>IFERROR(__xludf.DUMMYFUNCTION("""COMPUTED_VALUE"""),"NJ")</f>
        <v>NJ</v>
      </c>
      <c r="D3396" t="str">
        <f>IFERROR(__xludf.DUMMYFUNCTION("""COMPUTED_VALUE"""),"USA")</f>
        <v>USA</v>
      </c>
      <c r="E3396" s="188">
        <f>IFERROR(__xludf.DUMMYFUNCTION("""COMPUTED_VALUE"""),44384.0)</f>
        <v>44384</v>
      </c>
      <c r="F3396" s="188">
        <f>IFERROR(__xludf.DUMMYFUNCTION("""COMPUTED_VALUE"""),44426.0)</f>
        <v>44426</v>
      </c>
      <c r="G3396" t="str">
        <f>IFERROR(__xludf.DUMMYFUNCTION("""COMPUTED_VALUE"""),"Manage order page (normal text)")</f>
        <v>Manage order page (normal text)</v>
      </c>
      <c r="H3396">
        <f>IFERROR(__xludf.DUMMYFUNCTION("""COMPUTED_VALUE"""),44855.0)</f>
        <v>44855</v>
      </c>
      <c r="K3396">
        <f>IFERROR(__xludf.DUMMYFUNCTION("""COMPUTED_VALUE"""),42.0)</f>
        <v>42</v>
      </c>
      <c r="N3396" t="str">
        <f>IFERROR(__xludf.DUMMYFUNCTION("""COMPUTED_VALUE"""),"Model 3 LR AWD")</f>
        <v>Model 3 LR AWD</v>
      </c>
      <c r="O3396" t="str">
        <f>IFERROR(__xludf.DUMMYFUNCTION("""COMPUTED_VALUE"""),"Pearl White Multi-Coat")</f>
        <v>Pearl White Multi-Coat</v>
      </c>
      <c r="P3396" t="str">
        <f>IFERROR(__xludf.DUMMYFUNCTION("""COMPUTED_VALUE"""),"18 inch")</f>
        <v>18 inch</v>
      </c>
      <c r="Q3396" t="str">
        <f>IFERROR(__xludf.DUMMYFUNCTION("""COMPUTED_VALUE"""),"All Black")</f>
        <v>All Black</v>
      </c>
      <c r="R3396" t="str">
        <f>IFERROR(__xludf.DUMMYFUNCTION("""COMPUTED_VALUE"""),"Autopilot included")</f>
        <v>Autopilot included</v>
      </c>
      <c r="S3396" t="str">
        <f>IFERROR(__xludf.DUMMYFUNCTION("""COMPUTED_VALUE"""),"Loan")</f>
        <v>Loan</v>
      </c>
      <c r="T3396" t="str">
        <f>IFERROR(__xludf.DUMMYFUNCTION("""COMPUTED_VALUE"""),"Audi Q5")</f>
        <v>Audi Q5</v>
      </c>
      <c r="U3396" t="str">
        <f>IFERROR(__xludf.DUMMYFUNCTION("""COMPUTED_VALUE"""),"Autopilot")</f>
        <v>Autopilot</v>
      </c>
      <c r="V3396" t="str">
        <f>IFERROR(__xludf.DUMMYFUNCTION("""COMPUTED_VALUE"""),"Blind spot indicators on side mirrors")</f>
        <v>Blind spot indicators on side mirrors</v>
      </c>
      <c r="AH3396" s="189">
        <f>IFERROR(__xludf.DUMMYFUNCTION("""COMPUTED_VALUE"""),44432.321637546294)</f>
        <v>44432.32164</v>
      </c>
    </row>
    <row r="3397">
      <c r="A3397" t="str">
        <f>IFERROR(__xludf.DUMMYFUNCTION("""COMPUTED_VALUE"""),"gtechie")</f>
        <v>gtechie</v>
      </c>
      <c r="B3397" t="str">
        <f>IFERROR(__xludf.DUMMYFUNCTION("""COMPUTED_VALUE"""),"Jacksonville")</f>
        <v>Jacksonville</v>
      </c>
      <c r="C3397" t="str">
        <f>IFERROR(__xludf.DUMMYFUNCTION("""COMPUTED_VALUE"""),"FL")</f>
        <v>FL</v>
      </c>
      <c r="D3397" t="str">
        <f>IFERROR(__xludf.DUMMYFUNCTION("""COMPUTED_VALUE"""),"USA")</f>
        <v>USA</v>
      </c>
      <c r="E3397" s="188">
        <f>IFERROR(__xludf.DUMMYFUNCTION("""COMPUTED_VALUE"""),44421.0)</f>
        <v>44421</v>
      </c>
      <c r="F3397" s="188">
        <f>IFERROR(__xludf.DUMMYFUNCTION("""COMPUTED_VALUE"""),44492.0)</f>
        <v>44492</v>
      </c>
      <c r="G3397" t="str">
        <f>IFERROR(__xludf.DUMMYFUNCTION("""COMPUTED_VALUE"""),"Manage order page (normal text)")</f>
        <v>Manage order page (normal text)</v>
      </c>
      <c r="H3397">
        <f>IFERROR(__xludf.DUMMYFUNCTION("""COMPUTED_VALUE"""),94555.0)</f>
        <v>94555</v>
      </c>
      <c r="J3397" s="188">
        <f>IFERROR(__xludf.DUMMYFUNCTION("""COMPUTED_VALUE"""),44509.0)</f>
        <v>44509</v>
      </c>
      <c r="K3397">
        <f>IFERROR(__xludf.DUMMYFUNCTION("""COMPUTED_VALUE"""),71.0)</f>
        <v>71</v>
      </c>
      <c r="L3397">
        <f>IFERROR(__xludf.DUMMYFUNCTION("""COMPUTED_VALUE"""),17.0)</f>
        <v>17</v>
      </c>
      <c r="M3397">
        <f>IFERROR(__xludf.DUMMYFUNCTION("""COMPUTED_VALUE"""),88.0)</f>
        <v>88</v>
      </c>
      <c r="N3397" t="str">
        <f>IFERROR(__xludf.DUMMYFUNCTION("""COMPUTED_VALUE"""),"Model 3 SR+")</f>
        <v>Model 3 SR+</v>
      </c>
      <c r="O3397" t="str">
        <f>IFERROR(__xludf.DUMMYFUNCTION("""COMPUTED_VALUE"""),"Red Multi-Coat")</f>
        <v>Red Multi-Coat</v>
      </c>
      <c r="P3397" t="str">
        <f>IFERROR(__xludf.DUMMYFUNCTION("""COMPUTED_VALUE"""),"18 inch")</f>
        <v>18 inch</v>
      </c>
      <c r="Q3397" t="str">
        <f>IFERROR(__xludf.DUMMYFUNCTION("""COMPUTED_VALUE"""),"All Black")</f>
        <v>All Black</v>
      </c>
      <c r="R3397" t="str">
        <f>IFERROR(__xludf.DUMMYFUNCTION("""COMPUTED_VALUE"""),"Autopilot included")</f>
        <v>Autopilot included</v>
      </c>
      <c r="S3397" t="str">
        <f>IFERROR(__xludf.DUMMYFUNCTION("""COMPUTED_VALUE"""),"Loan")</f>
        <v>Loan</v>
      </c>
      <c r="T3397" t="str">
        <f>IFERROR(__xludf.DUMMYFUNCTION("""COMPUTED_VALUE"""),"Chevy Spark EV")</f>
        <v>Chevy Spark EV</v>
      </c>
      <c r="U3397" t="str">
        <f>IFERROR(__xludf.DUMMYFUNCTION("""COMPUTED_VALUE"""),"Performance, range, charging network")</f>
        <v>Performance, range, charging network</v>
      </c>
      <c r="V3397" t="str">
        <f>IFERROR(__xludf.DUMMYFUNCTION("""COMPUTED_VALUE"""),"Bioweapon defense mode")</f>
        <v>Bioweapon defense mode</v>
      </c>
      <c r="AH3397" s="189">
        <f>IFERROR(__xludf.DUMMYFUNCTION("""COMPUTED_VALUE"""),44498.45540550926)</f>
        <v>44498.45541</v>
      </c>
    </row>
    <row r="3398">
      <c r="A3398" t="str">
        <f>IFERROR(__xludf.DUMMYFUNCTION("""COMPUTED_VALUE"""),"BigPotato")</f>
        <v>BigPotato</v>
      </c>
      <c r="B3398" t="str">
        <f>IFERROR(__xludf.DUMMYFUNCTION("""COMPUTED_VALUE"""),"Farnborough, Hampshire")</f>
        <v>Farnborough, Hampshire</v>
      </c>
      <c r="D3398" t="str">
        <f>IFERROR(__xludf.DUMMYFUNCTION("""COMPUTED_VALUE"""),"United Kingdom")</f>
        <v>United Kingdom</v>
      </c>
      <c r="E3398" s="188">
        <f>IFERROR(__xludf.DUMMYFUNCTION("""COMPUTED_VALUE"""),44407.0)</f>
        <v>44407</v>
      </c>
      <c r="F3398" s="188">
        <f>IFERROR(__xludf.DUMMYFUNCTION("""COMPUTED_VALUE"""),44459.0)</f>
        <v>44459</v>
      </c>
      <c r="G3398" t="str">
        <f>IFERROR(__xludf.DUMMYFUNCTION("""COMPUTED_VALUE"""),"Text message")</f>
        <v>Text message</v>
      </c>
      <c r="H3398">
        <f>IFERROR(__xludf.DUMMYFUNCTION("""COMPUTED_VALUE"""),322155.0)</f>
        <v>322155</v>
      </c>
      <c r="J3398" s="188">
        <f>IFERROR(__xludf.DUMMYFUNCTION("""COMPUTED_VALUE"""),44467.0)</f>
        <v>44467</v>
      </c>
      <c r="K3398">
        <f>IFERROR(__xludf.DUMMYFUNCTION("""COMPUTED_VALUE"""),52.0)</f>
        <v>52</v>
      </c>
      <c r="L3398">
        <f>IFERROR(__xludf.DUMMYFUNCTION("""COMPUTED_VALUE"""),8.0)</f>
        <v>8</v>
      </c>
      <c r="M3398">
        <f>IFERROR(__xludf.DUMMYFUNCTION("""COMPUTED_VALUE"""),60.0)</f>
        <v>60</v>
      </c>
      <c r="N3398" t="str">
        <f>IFERROR(__xludf.DUMMYFUNCTION("""COMPUTED_VALUE"""),"Model 3 LR AWD")</f>
        <v>Model 3 LR AWD</v>
      </c>
      <c r="O3398" t="str">
        <f>IFERROR(__xludf.DUMMYFUNCTION("""COMPUTED_VALUE"""),"Midnight Silver Metallic")</f>
        <v>Midnight Silver Metallic</v>
      </c>
      <c r="P3398" t="str">
        <f>IFERROR(__xludf.DUMMYFUNCTION("""COMPUTED_VALUE"""),"18 inch")</f>
        <v>18 inch</v>
      </c>
      <c r="Q3398" t="str">
        <f>IFERROR(__xludf.DUMMYFUNCTION("""COMPUTED_VALUE"""),"All Black")</f>
        <v>All Black</v>
      </c>
      <c r="R3398" t="str">
        <f>IFERROR(__xludf.DUMMYFUNCTION("""COMPUTED_VALUE"""),"Autopilot included")</f>
        <v>Autopilot included</v>
      </c>
      <c r="S3398" t="str">
        <f>IFERROR(__xludf.DUMMYFUNCTION("""COMPUTED_VALUE"""),"Lease")</f>
        <v>Lease</v>
      </c>
      <c r="T3398" t="str">
        <f>IFERROR(__xludf.DUMMYFUNCTION("""COMPUTED_VALUE"""),"Mercedes C350e")</f>
        <v>Mercedes C350e</v>
      </c>
      <c r="U3398" t="str">
        <f>IFERROR(__xludf.DUMMYFUNCTION("""COMPUTED_VALUE"""),"Tesla brand image")</f>
        <v>Tesla brand image</v>
      </c>
      <c r="V3398" t="str">
        <f>IFERROR(__xludf.DUMMYFUNCTION("""COMPUTED_VALUE"""),"Head-up display")</f>
        <v>Head-up display</v>
      </c>
      <c r="X3398" t="str">
        <f>IFERROR(__xludf.DUMMYFUNCTION("""COMPUTED_VALUE"""),"Excellent")</f>
        <v>Excellent</v>
      </c>
      <c r="Y3398" t="str">
        <f>IFERROR(__xludf.DUMMYFUNCTION("""COMPUTED_VALUE"""),"Excellent")</f>
        <v>Excellent</v>
      </c>
      <c r="Z3398" t="str">
        <f>IFERROR(__xludf.DUMMYFUNCTION("""COMPUTED_VALUE"""),"Excellent")</f>
        <v>Excellent</v>
      </c>
      <c r="AA3398" t="str">
        <f>IFERROR(__xludf.DUMMYFUNCTION("""COMPUTED_VALUE"""),"Excellent")</f>
        <v>Excellent</v>
      </c>
      <c r="AB3398" t="str">
        <f>IFERROR(__xludf.DUMMYFUNCTION("""COMPUTED_VALUE"""),"Excellent")</f>
        <v>Excellent</v>
      </c>
      <c r="AF3398" t="str">
        <f>IFERROR(__xludf.DUMMYFUNCTION("""COMPUTED_VALUE"""),"No. I took delivery of the first car Tesla was able to deliver.")</f>
        <v>No. I took delivery of the first car Tesla was able to deliver.</v>
      </c>
      <c r="AH3398" s="189">
        <f>IFERROR(__xludf.DUMMYFUNCTION("""COMPUTED_VALUE"""),44473.13319237268)</f>
        <v>44473.13319</v>
      </c>
    </row>
    <row r="3399">
      <c r="A3399" t="str">
        <f>IFERROR(__xludf.DUMMYFUNCTION("""COMPUTED_VALUE"""),"DB")</f>
        <v>DB</v>
      </c>
      <c r="B3399" t="str">
        <f>IFERROR(__xludf.DUMMYFUNCTION("""COMPUTED_VALUE"""),"Manchester")</f>
        <v>Manchester</v>
      </c>
      <c r="D3399" t="str">
        <f>IFERROR(__xludf.DUMMYFUNCTION("""COMPUTED_VALUE"""),"United Kingdom")</f>
        <v>United Kingdom</v>
      </c>
      <c r="E3399" s="188">
        <f>IFERROR(__xludf.DUMMYFUNCTION("""COMPUTED_VALUE"""),44386.0)</f>
        <v>44386</v>
      </c>
      <c r="F3399" s="188">
        <f>IFERROR(__xludf.DUMMYFUNCTION("""COMPUTED_VALUE"""),44431.0)</f>
        <v>44431</v>
      </c>
      <c r="G3399" t="str">
        <f>IFERROR(__xludf.DUMMYFUNCTION("""COMPUTED_VALUE"""),"Text message")</f>
        <v>Text message</v>
      </c>
      <c r="J3399" s="188">
        <f>IFERROR(__xludf.DUMMYFUNCTION("""COMPUTED_VALUE"""),44463.0)</f>
        <v>44463</v>
      </c>
      <c r="K3399">
        <f>IFERROR(__xludf.DUMMYFUNCTION("""COMPUTED_VALUE"""),45.0)</f>
        <v>45</v>
      </c>
      <c r="L3399">
        <f>IFERROR(__xludf.DUMMYFUNCTION("""COMPUTED_VALUE"""),32.0)</f>
        <v>32</v>
      </c>
      <c r="M3399">
        <f>IFERROR(__xludf.DUMMYFUNCTION("""COMPUTED_VALUE"""),77.0)</f>
        <v>77</v>
      </c>
      <c r="N3399" t="str">
        <f>IFERROR(__xludf.DUMMYFUNCTION("""COMPUTED_VALUE"""),"Model 3 LR AWD")</f>
        <v>Model 3 LR AWD</v>
      </c>
      <c r="O3399" t="str">
        <f>IFERROR(__xludf.DUMMYFUNCTION("""COMPUTED_VALUE"""),"Midnight Silver Metallic")</f>
        <v>Midnight Silver Metallic</v>
      </c>
      <c r="P3399" t="str">
        <f>IFERROR(__xludf.DUMMYFUNCTION("""COMPUTED_VALUE"""),"18 inch")</f>
        <v>18 inch</v>
      </c>
      <c r="Q3399" t="str">
        <f>IFERROR(__xludf.DUMMYFUNCTION("""COMPUTED_VALUE"""),"All Black")</f>
        <v>All Black</v>
      </c>
      <c r="R3399" t="str">
        <f>IFERROR(__xludf.DUMMYFUNCTION("""COMPUTED_VALUE"""),"Autopilot included")</f>
        <v>Autopilot included</v>
      </c>
      <c r="S3399" t="str">
        <f>IFERROR(__xludf.DUMMYFUNCTION("""COMPUTED_VALUE"""),"Lease")</f>
        <v>Lease</v>
      </c>
      <c r="U3399" t="str">
        <f>IFERROR(__xludf.DUMMYFUNCTION("""COMPUTED_VALUE"""),"Supercharger V3 support")</f>
        <v>Supercharger V3 support</v>
      </c>
      <c r="V3399" t="str">
        <f>IFERROR(__xludf.DUMMYFUNCTION("""COMPUTED_VALUE"""),"Apple CarPlay / Android Auto / SiriusXM Radio")</f>
        <v>Apple CarPlay / Android Auto / SiriusXM Radio</v>
      </c>
      <c r="AH3399" s="189">
        <f>IFERROR(__xludf.DUMMYFUNCTION("""COMPUTED_VALUE"""),44432.4006924537)</f>
        <v>44432.40069</v>
      </c>
    </row>
    <row r="3400">
      <c r="A3400" t="str">
        <f>IFERROR(__xludf.DUMMYFUNCTION("""COMPUTED_VALUE"""),"RC495")</f>
        <v>RC495</v>
      </c>
      <c r="B3400" t="str">
        <f>IFERROR(__xludf.DUMMYFUNCTION("""COMPUTED_VALUE"""),"Manchester")</f>
        <v>Manchester</v>
      </c>
      <c r="D3400" t="str">
        <f>IFERROR(__xludf.DUMMYFUNCTION("""COMPUTED_VALUE"""),"United Kingdom")</f>
        <v>United Kingdom</v>
      </c>
      <c r="E3400" s="188">
        <f>IFERROR(__xludf.DUMMYFUNCTION("""COMPUTED_VALUE"""),44377.0)</f>
        <v>44377</v>
      </c>
      <c r="F3400" s="188">
        <f>IFERROR(__xludf.DUMMYFUNCTION("""COMPUTED_VALUE"""),44420.0)</f>
        <v>44420</v>
      </c>
      <c r="G3400" t="str">
        <f>IFERROR(__xludf.DUMMYFUNCTION("""COMPUTED_VALUE"""),"Sent via Lease company")</f>
        <v>Sent via Lease company</v>
      </c>
      <c r="H3400">
        <f>IFERROR(__xludf.DUMMYFUNCTION("""COMPUTED_VALUE"""),322209.0)</f>
        <v>322209</v>
      </c>
      <c r="K3400">
        <f>IFERROR(__xludf.DUMMYFUNCTION("""COMPUTED_VALUE"""),43.0)</f>
        <v>43</v>
      </c>
      <c r="N3400" t="str">
        <f>IFERROR(__xludf.DUMMYFUNCTION("""COMPUTED_VALUE"""),"Model 3 LR AWD")</f>
        <v>Model 3 LR AWD</v>
      </c>
      <c r="O3400" t="str">
        <f>IFERROR(__xludf.DUMMYFUNCTION("""COMPUTED_VALUE"""),"Pearl White Multi-Coat")</f>
        <v>Pearl White Multi-Coat</v>
      </c>
      <c r="P3400" t="str">
        <f>IFERROR(__xludf.DUMMYFUNCTION("""COMPUTED_VALUE"""),"18 inch")</f>
        <v>18 inch</v>
      </c>
      <c r="Q3400" t="str">
        <f>IFERROR(__xludf.DUMMYFUNCTION("""COMPUTED_VALUE"""),"All Black")</f>
        <v>All Black</v>
      </c>
      <c r="R3400" t="str">
        <f>IFERROR(__xludf.DUMMYFUNCTION("""COMPUTED_VALUE"""),"Autopilot included")</f>
        <v>Autopilot included</v>
      </c>
      <c r="S3400" t="str">
        <f>IFERROR(__xludf.DUMMYFUNCTION("""COMPUTED_VALUE"""),"Lease")</f>
        <v>Lease</v>
      </c>
      <c r="T3400" t="str">
        <f>IFERROR(__xludf.DUMMYFUNCTION("""COMPUTED_VALUE"""),"Audi A5 ")</f>
        <v>Audi A5 </v>
      </c>
      <c r="U3400" t="str">
        <f>IFERROR(__xludf.DUMMYFUNCTION("""COMPUTED_VALUE"""),"Electric!")</f>
        <v>Electric!</v>
      </c>
      <c r="V3400" t="str">
        <f>IFERROR(__xludf.DUMMYFUNCTION("""COMPUTED_VALUE"""),"Apple CarPlay / Android Auto / SiriusXM Radio")</f>
        <v>Apple CarPlay / Android Auto / SiriusXM Radio</v>
      </c>
      <c r="AH3400" s="189">
        <f>IFERROR(__xludf.DUMMYFUNCTION("""COMPUTED_VALUE"""),44432.49159089121)</f>
        <v>44432.49159</v>
      </c>
    </row>
    <row r="3401">
      <c r="A3401" t="str">
        <f>IFERROR(__xludf.DUMMYFUNCTION("""COMPUTED_VALUE"""),"ConnorLinfoot")</f>
        <v>ConnorLinfoot</v>
      </c>
      <c r="B3401" t="str">
        <f>IFERROR(__xludf.DUMMYFUNCTION("""COMPUTED_VALUE"""),"Sheffield")</f>
        <v>Sheffield</v>
      </c>
      <c r="D3401" t="str">
        <f>IFERROR(__xludf.DUMMYFUNCTION("""COMPUTED_VALUE"""),"United Kingdom")</f>
        <v>United Kingdom</v>
      </c>
      <c r="E3401" s="188">
        <f>IFERROR(__xludf.DUMMYFUNCTION("""COMPUTED_VALUE"""),44398.0)</f>
        <v>44398</v>
      </c>
      <c r="F3401" s="188">
        <f>IFERROR(__xludf.DUMMYFUNCTION("""COMPUTED_VALUE"""),44428.0)</f>
        <v>44428</v>
      </c>
      <c r="G3401" t="str">
        <f>IFERROR(__xludf.DUMMYFUNCTION("""COMPUTED_VALUE"""),"Source code")</f>
        <v>Source code</v>
      </c>
      <c r="H3401">
        <f>IFERROR(__xludf.DUMMYFUNCTION("""COMPUTED_VALUE"""),334155.0)</f>
        <v>334155</v>
      </c>
      <c r="J3401" s="188">
        <f>IFERROR(__xludf.DUMMYFUNCTION("""COMPUTED_VALUE"""),44461.0)</f>
        <v>44461</v>
      </c>
      <c r="K3401">
        <f>IFERROR(__xludf.DUMMYFUNCTION("""COMPUTED_VALUE"""),30.0)</f>
        <v>30</v>
      </c>
      <c r="L3401">
        <f>IFERROR(__xludf.DUMMYFUNCTION("""COMPUTED_VALUE"""),33.0)</f>
        <v>33</v>
      </c>
      <c r="M3401">
        <f>IFERROR(__xludf.DUMMYFUNCTION("""COMPUTED_VALUE"""),63.0)</f>
        <v>63</v>
      </c>
      <c r="N3401" t="str">
        <f>IFERROR(__xludf.DUMMYFUNCTION("""COMPUTED_VALUE"""),"Model 3 Performance")</f>
        <v>Model 3 Performance</v>
      </c>
      <c r="O3401" t="str">
        <f>IFERROR(__xludf.DUMMYFUNCTION("""COMPUTED_VALUE"""),"Solid Black")</f>
        <v>Solid Black</v>
      </c>
      <c r="P3401" t="str">
        <f>IFERROR(__xludf.DUMMYFUNCTION("""COMPUTED_VALUE"""),"20 inch")</f>
        <v>20 inch</v>
      </c>
      <c r="Q3401" t="str">
        <f>IFERROR(__xludf.DUMMYFUNCTION("""COMPUTED_VALUE"""),"All Black")</f>
        <v>All Black</v>
      </c>
      <c r="R3401" t="str">
        <f>IFERROR(__xludf.DUMMYFUNCTION("""COMPUTED_VALUE"""),"Full Self-Driving")</f>
        <v>Full Self-Driving</v>
      </c>
      <c r="S3401" t="str">
        <f>IFERROR(__xludf.DUMMYFUNCTION("""COMPUTED_VALUE"""),"Loan")</f>
        <v>Loan</v>
      </c>
      <c r="U3401" t="str">
        <f>IFERROR(__xludf.DUMMYFUNCTION("""COMPUTED_VALUE"""),"Electric!")</f>
        <v>Electric!</v>
      </c>
      <c r="V3401" t="str">
        <f>IFERROR(__xludf.DUMMYFUNCTION("""COMPUTED_VALUE"""),"Apple CarPlay / Android Auto / SiriusXM Radio")</f>
        <v>Apple CarPlay / Android Auto / SiriusXM Radio</v>
      </c>
      <c r="AH3401" s="189">
        <f>IFERROR(__xludf.DUMMYFUNCTION("""COMPUTED_VALUE"""),44432.500606851856)</f>
        <v>44432.50061</v>
      </c>
    </row>
    <row r="3402">
      <c r="A3402" t="str">
        <f>IFERROR(__xludf.DUMMYFUNCTION("""COMPUTED_VALUE"""),"beepbeep")</f>
        <v>beepbeep</v>
      </c>
      <c r="B3402" t="str">
        <f>IFERROR(__xludf.DUMMYFUNCTION("""COMPUTED_VALUE"""),"Dallas")</f>
        <v>Dallas</v>
      </c>
      <c r="C3402" t="str">
        <f>IFERROR(__xludf.DUMMYFUNCTION("""COMPUTED_VALUE"""),"TX")</f>
        <v>TX</v>
      </c>
      <c r="D3402" t="str">
        <f>IFERROR(__xludf.DUMMYFUNCTION("""COMPUTED_VALUE"""),"USA")</f>
        <v>USA</v>
      </c>
      <c r="E3402" s="188">
        <f>IFERROR(__xludf.DUMMYFUNCTION("""COMPUTED_VALUE"""),44424.0)</f>
        <v>44424</v>
      </c>
      <c r="F3402" s="188">
        <f>IFERROR(__xludf.DUMMYFUNCTION("""COMPUTED_VALUE"""),44454.0)</f>
        <v>44454</v>
      </c>
      <c r="G3402" t="str">
        <f>IFERROR(__xludf.DUMMYFUNCTION("""COMPUTED_VALUE"""),"Email")</f>
        <v>Email</v>
      </c>
      <c r="K3402">
        <f>IFERROR(__xludf.DUMMYFUNCTION("""COMPUTED_VALUE"""),30.0)</f>
        <v>30</v>
      </c>
      <c r="N3402" t="str">
        <f>IFERROR(__xludf.DUMMYFUNCTION("""COMPUTED_VALUE"""),"Model 3 LR AWD")</f>
        <v>Model 3 LR AWD</v>
      </c>
      <c r="O3402" t="str">
        <f>IFERROR(__xludf.DUMMYFUNCTION("""COMPUTED_VALUE"""),"Midnight Silver Metallic")</f>
        <v>Midnight Silver Metallic</v>
      </c>
      <c r="P3402" t="str">
        <f>IFERROR(__xludf.DUMMYFUNCTION("""COMPUTED_VALUE"""),"18 inch")</f>
        <v>18 inch</v>
      </c>
      <c r="Q3402" t="str">
        <f>IFERROR(__xludf.DUMMYFUNCTION("""COMPUTED_VALUE"""),"All Black")</f>
        <v>All Black</v>
      </c>
      <c r="R3402" t="str">
        <f>IFERROR(__xludf.DUMMYFUNCTION("""COMPUTED_VALUE"""),"Autopilot included")</f>
        <v>Autopilot included</v>
      </c>
      <c r="S3402" t="str">
        <f>IFERROR(__xludf.DUMMYFUNCTION("""COMPUTED_VALUE"""),"Cash")</f>
        <v>Cash</v>
      </c>
      <c r="AH3402" s="189">
        <f>IFERROR(__xludf.DUMMYFUNCTION("""COMPUTED_VALUE"""),44454.419443437495)</f>
        <v>44454.41944</v>
      </c>
    </row>
    <row r="3403">
      <c r="A3403" t="str">
        <f>IFERROR(__xludf.DUMMYFUNCTION("""COMPUTED_VALUE"""),"notuniqueenough")</f>
        <v>notuniqueenough</v>
      </c>
      <c r="B3403" t="str">
        <f>IFERROR(__xludf.DUMMYFUNCTION("""COMPUTED_VALUE"""),"RTP")</f>
        <v>RTP</v>
      </c>
      <c r="C3403" t="str">
        <f>IFERROR(__xludf.DUMMYFUNCTION("""COMPUTED_VALUE"""),"NC")</f>
        <v>NC</v>
      </c>
      <c r="D3403" t="str">
        <f>IFERROR(__xludf.DUMMYFUNCTION("""COMPUTED_VALUE"""),"USA")</f>
        <v>USA</v>
      </c>
      <c r="E3403" s="188">
        <f>IFERROR(__xludf.DUMMYFUNCTION("""COMPUTED_VALUE"""),44402.0)</f>
        <v>44402</v>
      </c>
      <c r="F3403" s="188">
        <f>IFERROR(__xludf.DUMMYFUNCTION("""COMPUTED_VALUE"""),44436.0)</f>
        <v>44436</v>
      </c>
      <c r="G3403" t="str">
        <f>IFERROR(__xludf.DUMMYFUNCTION("""COMPUTED_VALUE"""),"Manage order page (normal text)")</f>
        <v>Manage order page (normal text)</v>
      </c>
      <c r="J3403" s="188">
        <f>IFERROR(__xludf.DUMMYFUNCTION("""COMPUTED_VALUE"""),44453.0)</f>
        <v>44453</v>
      </c>
      <c r="K3403">
        <f>IFERROR(__xludf.DUMMYFUNCTION("""COMPUTED_VALUE"""),34.0)</f>
        <v>34</v>
      </c>
      <c r="L3403">
        <f>IFERROR(__xludf.DUMMYFUNCTION("""COMPUTED_VALUE"""),17.0)</f>
        <v>17</v>
      </c>
      <c r="M3403">
        <f>IFERROR(__xludf.DUMMYFUNCTION("""COMPUTED_VALUE"""),51.0)</f>
        <v>51</v>
      </c>
      <c r="N3403" t="str">
        <f>IFERROR(__xludf.DUMMYFUNCTION("""COMPUTED_VALUE"""),"Model 3 LR AWD")</f>
        <v>Model 3 LR AWD</v>
      </c>
      <c r="O3403" t="str">
        <f>IFERROR(__xludf.DUMMYFUNCTION("""COMPUTED_VALUE"""),"Pearl White Multi-Coat")</f>
        <v>Pearl White Multi-Coat</v>
      </c>
      <c r="P3403" t="str">
        <f>IFERROR(__xludf.DUMMYFUNCTION("""COMPUTED_VALUE"""),"18 inch")</f>
        <v>18 inch</v>
      </c>
      <c r="Q3403" t="str">
        <f>IFERROR(__xludf.DUMMYFUNCTION("""COMPUTED_VALUE"""),"Black and White")</f>
        <v>Black and White</v>
      </c>
      <c r="R3403" t="str">
        <f>IFERROR(__xludf.DUMMYFUNCTION("""COMPUTED_VALUE"""),"Autopilot included")</f>
        <v>Autopilot included</v>
      </c>
      <c r="S3403" t="str">
        <f>IFERROR(__xludf.DUMMYFUNCTION("""COMPUTED_VALUE"""),"Loan")</f>
        <v>Loan</v>
      </c>
      <c r="T3403" t="str">
        <f>IFERROR(__xludf.DUMMYFUNCTION("""COMPUTED_VALUE"""),"Mazda CX-5")</f>
        <v>Mazda CX-5</v>
      </c>
      <c r="U3403" t="str">
        <f>IFERROR(__xludf.DUMMYFUNCTION("""COMPUTED_VALUE"""),"Electric!")</f>
        <v>Electric!</v>
      </c>
      <c r="V3403" t="str">
        <f>IFERROR(__xludf.DUMMYFUNCTION("""COMPUTED_VALUE"""),"Apple CarPlay / Android Auto / SiriusXM Radio")</f>
        <v>Apple CarPlay / Android Auto / SiriusXM Radio</v>
      </c>
      <c r="X3403" t="str">
        <f>IFERROR(__xludf.DUMMYFUNCTION("""COMPUTED_VALUE"""),"Good")</f>
        <v>Good</v>
      </c>
      <c r="Y3403" t="str">
        <f>IFERROR(__xludf.DUMMYFUNCTION("""COMPUTED_VALUE"""),"Excellent")</f>
        <v>Excellent</v>
      </c>
      <c r="Z3403" t="str">
        <f>IFERROR(__xludf.DUMMYFUNCTION("""COMPUTED_VALUE"""),"Very Good")</f>
        <v>Very Good</v>
      </c>
      <c r="AA3403" t="str">
        <f>IFERROR(__xludf.DUMMYFUNCTION("""COMPUTED_VALUE"""),"Good")</f>
        <v>Good</v>
      </c>
      <c r="AB3403" t="str">
        <f>IFERROR(__xludf.DUMMYFUNCTION("""COMPUTED_VALUE"""),"Very Good")</f>
        <v>Very Good</v>
      </c>
      <c r="AC3403">
        <f>IFERROR(__xludf.DUMMYFUNCTION("""COMPUTED_VALUE"""),1.0)</f>
        <v>1</v>
      </c>
      <c r="AD3403">
        <f>IFERROR(__xludf.DUMMYFUNCTION("""COMPUTED_VALUE"""),1.0)</f>
        <v>1</v>
      </c>
      <c r="AE3403">
        <f>IFERROR(__xludf.DUMMYFUNCTION("""COMPUTED_VALUE"""),0.0)</f>
        <v>0</v>
      </c>
      <c r="AF3403" t="str">
        <f>IFERROR(__xludf.DUMMYFUNCTION("""COMPUTED_VALUE"""),"No. I took delivery of the first car Tesla was able to deliver.")</f>
        <v>No. I took delivery of the first car Tesla was able to deliver.</v>
      </c>
      <c r="AH3403" s="189">
        <f>IFERROR(__xludf.DUMMYFUNCTION("""COMPUTED_VALUE"""),44454.4133190625)</f>
        <v>44454.41332</v>
      </c>
    </row>
    <row r="3404">
      <c r="A3404" t="str">
        <f>IFERROR(__xludf.DUMMYFUNCTION("""COMPUTED_VALUE"""),"brikrob")</f>
        <v>brikrob</v>
      </c>
      <c r="B3404" t="str">
        <f>IFERROR(__xludf.DUMMYFUNCTION("""COMPUTED_VALUE"""),"Oakland")</f>
        <v>Oakland</v>
      </c>
      <c r="C3404" t="str">
        <f>IFERROR(__xludf.DUMMYFUNCTION("""COMPUTED_VALUE"""),"CA")</f>
        <v>CA</v>
      </c>
      <c r="D3404" t="str">
        <f>IFERROR(__xludf.DUMMYFUNCTION("""COMPUTED_VALUE"""),"USA")</f>
        <v>USA</v>
      </c>
      <c r="E3404" s="188">
        <f>IFERROR(__xludf.DUMMYFUNCTION("""COMPUTED_VALUE"""),44426.0)</f>
        <v>44426</v>
      </c>
      <c r="F3404" s="188">
        <f>IFERROR(__xludf.DUMMYFUNCTION("""COMPUTED_VALUE"""),44436.0)</f>
        <v>44436</v>
      </c>
      <c r="G3404" t="str">
        <f>IFERROR(__xludf.DUMMYFUNCTION("""COMPUTED_VALUE"""),"Manage order page (normal text)")</f>
        <v>Manage order page (normal text)</v>
      </c>
      <c r="H3404">
        <f>IFERROR(__xludf.DUMMYFUNCTION("""COMPUTED_VALUE"""),58155.0)</f>
        <v>58155</v>
      </c>
      <c r="K3404">
        <f>IFERROR(__xludf.DUMMYFUNCTION("""COMPUTED_VALUE"""),10.0)</f>
        <v>10</v>
      </c>
      <c r="N3404" t="str">
        <f>IFERROR(__xludf.DUMMYFUNCTION("""COMPUTED_VALUE"""),"Model 3 SR+")</f>
        <v>Model 3 SR+</v>
      </c>
      <c r="O3404" t="str">
        <f>IFERROR(__xludf.DUMMYFUNCTION("""COMPUTED_VALUE"""),"Red Multi-Coat")</f>
        <v>Red Multi-Coat</v>
      </c>
      <c r="P3404" t="str">
        <f>IFERROR(__xludf.DUMMYFUNCTION("""COMPUTED_VALUE"""),"19 inch")</f>
        <v>19 inch</v>
      </c>
      <c r="Q3404" t="str">
        <f>IFERROR(__xludf.DUMMYFUNCTION("""COMPUTED_VALUE"""),"All Black")</f>
        <v>All Black</v>
      </c>
      <c r="R3404" t="str">
        <f>IFERROR(__xludf.DUMMYFUNCTION("""COMPUTED_VALUE"""),"Autopilot included")</f>
        <v>Autopilot included</v>
      </c>
      <c r="S3404" t="str">
        <f>IFERROR(__xludf.DUMMYFUNCTION("""COMPUTED_VALUE"""),"Loan")</f>
        <v>Loan</v>
      </c>
      <c r="T3404" t="str">
        <f>IFERROR(__xludf.DUMMYFUNCTION("""COMPUTED_VALUE"""),"Honda CRV")</f>
        <v>Honda CRV</v>
      </c>
      <c r="U3404" t="str">
        <f>IFERROR(__xludf.DUMMYFUNCTION("""COMPUTED_VALUE"""),"Electric!")</f>
        <v>Electric!</v>
      </c>
      <c r="V3404" t="str">
        <f>IFERROR(__xludf.DUMMYFUNCTION("""COMPUTED_VALUE"""),"Apple CarPlay / Android Auto / SiriusXM Radio")</f>
        <v>Apple CarPlay / Android Auto / SiriusXM Radio</v>
      </c>
      <c r="AH3404" s="189">
        <f>IFERROR(__xludf.DUMMYFUNCTION("""COMPUTED_VALUE"""),44438.88209509259)</f>
        <v>44438.8821</v>
      </c>
    </row>
    <row r="3405">
      <c r="A3405" t="str">
        <f>IFERROR(__xludf.DUMMYFUNCTION("""COMPUTED_VALUE"""),"Sh0ptildr ")</f>
        <v>Sh0ptildr </v>
      </c>
      <c r="C3405" t="str">
        <f>IFERROR(__xludf.DUMMYFUNCTION("""COMPUTED_VALUE"""),"AL")</f>
        <v>AL</v>
      </c>
      <c r="D3405" t="str">
        <f>IFERROR(__xludf.DUMMYFUNCTION("""COMPUTED_VALUE"""),"USA")</f>
        <v>USA</v>
      </c>
      <c r="E3405" s="188">
        <f>IFERROR(__xludf.DUMMYFUNCTION("""COMPUTED_VALUE"""),44428.0)</f>
        <v>44428</v>
      </c>
      <c r="N3405" t="str">
        <f>IFERROR(__xludf.DUMMYFUNCTION("""COMPUTED_VALUE"""),"Model 3 SR+")</f>
        <v>Model 3 SR+</v>
      </c>
      <c r="O3405" t="str">
        <f>IFERROR(__xludf.DUMMYFUNCTION("""COMPUTED_VALUE"""),"Pearl White Multi-Coat")</f>
        <v>Pearl White Multi-Coat</v>
      </c>
      <c r="P3405" t="str">
        <f>IFERROR(__xludf.DUMMYFUNCTION("""COMPUTED_VALUE"""),"18 inch")</f>
        <v>18 inch</v>
      </c>
      <c r="Q3405" t="str">
        <f>IFERROR(__xludf.DUMMYFUNCTION("""COMPUTED_VALUE"""),"Black and White")</f>
        <v>Black and White</v>
      </c>
      <c r="R3405" t="str">
        <f>IFERROR(__xludf.DUMMYFUNCTION("""COMPUTED_VALUE"""),"Autopilot included")</f>
        <v>Autopilot included</v>
      </c>
      <c r="S3405" t="str">
        <f>IFERROR(__xludf.DUMMYFUNCTION("""COMPUTED_VALUE"""),"Loan")</f>
        <v>Loan</v>
      </c>
      <c r="T3405" t="str">
        <f>IFERROR(__xludf.DUMMYFUNCTION("""COMPUTED_VALUE"""),"Tesla Model X")</f>
        <v>Tesla Model X</v>
      </c>
      <c r="U3405" t="str">
        <f>IFERROR(__xludf.DUMMYFUNCTION("""COMPUTED_VALUE"""),"Electric!")</f>
        <v>Electric!</v>
      </c>
      <c r="V3405" t="str">
        <f>IFERROR(__xludf.DUMMYFUNCTION("""COMPUTED_VALUE"""),"HomeLink")</f>
        <v>HomeLink</v>
      </c>
      <c r="AH3405" s="189">
        <f>IFERROR(__xludf.DUMMYFUNCTION("""COMPUTED_VALUE"""),44432.842964780095)</f>
        <v>44432.84296</v>
      </c>
    </row>
    <row r="3406">
      <c r="A3406" t="str">
        <f>IFERROR(__xludf.DUMMYFUNCTION("""COMPUTED_VALUE"""),"mdgo")</f>
        <v>mdgo</v>
      </c>
      <c r="B3406" t="str">
        <f>IFERROR(__xludf.DUMMYFUNCTION("""COMPUTED_VALUE"""),"Princeton")</f>
        <v>Princeton</v>
      </c>
      <c r="C3406" t="str">
        <f>IFERROR(__xludf.DUMMYFUNCTION("""COMPUTED_VALUE"""),"NJ")</f>
        <v>NJ</v>
      </c>
      <c r="D3406" t="str">
        <f>IFERROR(__xludf.DUMMYFUNCTION("""COMPUTED_VALUE"""),"USA")</f>
        <v>USA</v>
      </c>
      <c r="E3406" s="188">
        <f>IFERROR(__xludf.DUMMYFUNCTION("""COMPUTED_VALUE"""),44355.0)</f>
        <v>44355</v>
      </c>
      <c r="F3406" s="188">
        <f>IFERROR(__xludf.DUMMYFUNCTION("""COMPUTED_VALUE"""),44424.0)</f>
        <v>44424</v>
      </c>
      <c r="G3406" t="str">
        <f>IFERROR(__xludf.DUMMYFUNCTION("""COMPUTED_VALUE"""),"Text message")</f>
        <v>Text message</v>
      </c>
      <c r="H3406">
        <f>IFERROR(__xludf.DUMMYFUNCTION("""COMPUTED_VALUE"""),3255.0)</f>
        <v>3255</v>
      </c>
      <c r="J3406" s="188">
        <f>IFERROR(__xludf.DUMMYFUNCTION("""COMPUTED_VALUE"""),44429.0)</f>
        <v>44429</v>
      </c>
      <c r="K3406">
        <f>IFERROR(__xludf.DUMMYFUNCTION("""COMPUTED_VALUE"""),69.0)</f>
        <v>69</v>
      </c>
      <c r="L3406">
        <f>IFERROR(__xludf.DUMMYFUNCTION("""COMPUTED_VALUE"""),5.0)</f>
        <v>5</v>
      </c>
      <c r="M3406">
        <f>IFERROR(__xludf.DUMMYFUNCTION("""COMPUTED_VALUE"""),74.0)</f>
        <v>74</v>
      </c>
      <c r="N3406" t="str">
        <f>IFERROR(__xludf.DUMMYFUNCTION("""COMPUTED_VALUE"""),"Model 3 LR AWD")</f>
        <v>Model 3 LR AWD</v>
      </c>
      <c r="P3406" t="str">
        <f>IFERROR(__xludf.DUMMYFUNCTION("""COMPUTED_VALUE"""),"18 inch")</f>
        <v>18 inch</v>
      </c>
      <c r="Q3406" t="str">
        <f>IFERROR(__xludf.DUMMYFUNCTION("""COMPUTED_VALUE"""),"Black and White")</f>
        <v>Black and White</v>
      </c>
      <c r="R3406" t="str">
        <f>IFERROR(__xludf.DUMMYFUNCTION("""COMPUTED_VALUE"""),"Autopilot included")</f>
        <v>Autopilot included</v>
      </c>
      <c r="S3406" t="str">
        <f>IFERROR(__xludf.DUMMYFUNCTION("""COMPUTED_VALUE"""),"Loan")</f>
        <v>Loan</v>
      </c>
      <c r="T3406" t="str">
        <f>IFERROR(__xludf.DUMMYFUNCTION("""COMPUTED_VALUE"""),"Acura TLX")</f>
        <v>Acura TLX</v>
      </c>
      <c r="U3406" t="str">
        <f>IFERROR(__xludf.DUMMYFUNCTION("""COMPUTED_VALUE"""),"Electric!")</f>
        <v>Electric!</v>
      </c>
      <c r="V3406" t="str">
        <f>IFERROR(__xludf.DUMMYFUNCTION("""COMPUTED_VALUE"""),"Head-up display")</f>
        <v>Head-up display</v>
      </c>
      <c r="X3406" t="str">
        <f>IFERROR(__xludf.DUMMYFUNCTION("""COMPUTED_VALUE"""),"Excellent")</f>
        <v>Excellent</v>
      </c>
      <c r="Y3406" t="str">
        <f>IFERROR(__xludf.DUMMYFUNCTION("""COMPUTED_VALUE"""),"Excellent")</f>
        <v>Excellent</v>
      </c>
      <c r="Z3406" t="str">
        <f>IFERROR(__xludf.DUMMYFUNCTION("""COMPUTED_VALUE"""),"Excellent")</f>
        <v>Excellent</v>
      </c>
      <c r="AA3406" t="str">
        <f>IFERROR(__xludf.DUMMYFUNCTION("""COMPUTED_VALUE"""),"Excellent")</f>
        <v>Excellent</v>
      </c>
      <c r="AB3406" t="str">
        <f>IFERROR(__xludf.DUMMYFUNCTION("""COMPUTED_VALUE"""),"Excellent")</f>
        <v>Excellent</v>
      </c>
      <c r="AC3406">
        <f>IFERROR(__xludf.DUMMYFUNCTION("""COMPUTED_VALUE"""),0.0)</f>
        <v>0</v>
      </c>
      <c r="AF3406" t="str">
        <f>IFERROR(__xludf.DUMMYFUNCTION("""COMPUTED_VALUE"""),"No. I took delivery of the first car Tesla was able to deliver.")</f>
        <v>No. I took delivery of the first car Tesla was able to deliver.</v>
      </c>
      <c r="AH3406" s="189">
        <f>IFERROR(__xludf.DUMMYFUNCTION("""COMPUTED_VALUE"""),44433.24287819445)</f>
        <v>44433.24288</v>
      </c>
    </row>
    <row r="3407">
      <c r="A3407" t="str">
        <f>IFERROR(__xludf.DUMMYFUNCTION("""COMPUTED_VALUE"""),"aroncbrown")</f>
        <v>aroncbrown</v>
      </c>
      <c r="B3407" t="str">
        <f>IFERROR(__xludf.DUMMYFUNCTION("""COMPUTED_VALUE"""),"Houston")</f>
        <v>Houston</v>
      </c>
      <c r="C3407" t="str">
        <f>IFERROR(__xludf.DUMMYFUNCTION("""COMPUTED_VALUE"""),"TX")</f>
        <v>TX</v>
      </c>
      <c r="D3407" t="str">
        <f>IFERROR(__xludf.DUMMYFUNCTION("""COMPUTED_VALUE"""),"USA")</f>
        <v>USA</v>
      </c>
      <c r="E3407" s="188">
        <f>IFERROR(__xludf.DUMMYFUNCTION("""COMPUTED_VALUE"""),44402.0)</f>
        <v>44402</v>
      </c>
      <c r="F3407" s="188">
        <f>IFERROR(__xludf.DUMMYFUNCTION("""COMPUTED_VALUE"""),44432.0)</f>
        <v>44432</v>
      </c>
      <c r="G3407" t="str">
        <f>IFERROR(__xludf.DUMMYFUNCTION("""COMPUTED_VALUE"""),"Manage order page (normal text)")</f>
        <v>Manage order page (normal text)</v>
      </c>
      <c r="J3407" s="188">
        <f>IFERROR(__xludf.DUMMYFUNCTION("""COMPUTED_VALUE"""),44446.0)</f>
        <v>44446</v>
      </c>
      <c r="K3407">
        <f>IFERROR(__xludf.DUMMYFUNCTION("""COMPUTED_VALUE"""),30.0)</f>
        <v>30</v>
      </c>
      <c r="L3407">
        <f>IFERROR(__xludf.DUMMYFUNCTION("""COMPUTED_VALUE"""),14.0)</f>
        <v>14</v>
      </c>
      <c r="M3407">
        <f>IFERROR(__xludf.DUMMYFUNCTION("""COMPUTED_VALUE"""),44.0)</f>
        <v>44</v>
      </c>
      <c r="N3407" t="str">
        <f>IFERROR(__xludf.DUMMYFUNCTION("""COMPUTED_VALUE"""),"Model 3 Performance")</f>
        <v>Model 3 Performance</v>
      </c>
      <c r="O3407" t="str">
        <f>IFERROR(__xludf.DUMMYFUNCTION("""COMPUTED_VALUE"""),"Solid Black")</f>
        <v>Solid Black</v>
      </c>
      <c r="P3407" t="str">
        <f>IFERROR(__xludf.DUMMYFUNCTION("""COMPUTED_VALUE"""),"20 inch")</f>
        <v>20 inch</v>
      </c>
      <c r="Q3407" t="str">
        <f>IFERROR(__xludf.DUMMYFUNCTION("""COMPUTED_VALUE"""),"All Black")</f>
        <v>All Black</v>
      </c>
      <c r="R3407" t="str">
        <f>IFERROR(__xludf.DUMMYFUNCTION("""COMPUTED_VALUE"""),"Autopilot included")</f>
        <v>Autopilot included</v>
      </c>
      <c r="S3407" t="str">
        <f>IFERROR(__xludf.DUMMYFUNCTION("""COMPUTED_VALUE"""),"Loan")</f>
        <v>Loan</v>
      </c>
      <c r="U3407" t="str">
        <f>IFERROR(__xludf.DUMMYFUNCTION("""COMPUTED_VALUE"""),"Electric!")</f>
        <v>Electric!</v>
      </c>
      <c r="AH3407" s="189">
        <f>IFERROR(__xludf.DUMMYFUNCTION("""COMPUTED_VALUE"""),44439.568151064814)</f>
        <v>44439.56815</v>
      </c>
    </row>
    <row r="3408">
      <c r="A3408" t="str">
        <f>IFERROR(__xludf.DUMMYFUNCTION("""COMPUTED_VALUE"""),"HaileyDD")</f>
        <v>HaileyDD</v>
      </c>
      <c r="B3408" t="str">
        <f>IFERROR(__xludf.DUMMYFUNCTION("""COMPUTED_VALUE"""),"Eugene")</f>
        <v>Eugene</v>
      </c>
      <c r="C3408" t="str">
        <f>IFERROR(__xludf.DUMMYFUNCTION("""COMPUTED_VALUE"""),"OR")</f>
        <v>OR</v>
      </c>
      <c r="D3408" t="str">
        <f>IFERROR(__xludf.DUMMYFUNCTION("""COMPUTED_VALUE"""),"USA")</f>
        <v>USA</v>
      </c>
      <c r="E3408" s="188">
        <f>IFERROR(__xludf.DUMMYFUNCTION("""COMPUTED_VALUE"""),44430.0)</f>
        <v>44430</v>
      </c>
      <c r="N3408" t="str">
        <f>IFERROR(__xludf.DUMMYFUNCTION("""COMPUTED_VALUE"""),"Model 3 SR+")</f>
        <v>Model 3 SR+</v>
      </c>
      <c r="O3408" t="str">
        <f>IFERROR(__xludf.DUMMYFUNCTION("""COMPUTED_VALUE"""),"Pearl White Multi-Coat")</f>
        <v>Pearl White Multi-Coat</v>
      </c>
      <c r="P3408" t="str">
        <f>IFERROR(__xludf.DUMMYFUNCTION("""COMPUTED_VALUE"""),"18 inch")</f>
        <v>18 inch</v>
      </c>
      <c r="Q3408" t="str">
        <f>IFERROR(__xludf.DUMMYFUNCTION("""COMPUTED_VALUE"""),"All Black")</f>
        <v>All Black</v>
      </c>
      <c r="R3408" t="str">
        <f>IFERROR(__xludf.DUMMYFUNCTION("""COMPUTED_VALUE"""),"Autopilot included")</f>
        <v>Autopilot included</v>
      </c>
      <c r="S3408" t="str">
        <f>IFERROR(__xludf.DUMMYFUNCTION("""COMPUTED_VALUE"""),"Cash")</f>
        <v>Cash</v>
      </c>
      <c r="U3408" t="str">
        <f>IFERROR(__xludf.DUMMYFUNCTION("""COMPUTED_VALUE"""),"Electric!")</f>
        <v>Electric!</v>
      </c>
      <c r="V3408" t="str">
        <f>IFERROR(__xludf.DUMMYFUNCTION("""COMPUTED_VALUE"""),"Blind spot indicators on side mirrors")</f>
        <v>Blind spot indicators on side mirrors</v>
      </c>
      <c r="AH3408" s="189">
        <f>IFERROR(__xludf.DUMMYFUNCTION("""COMPUTED_VALUE"""),44433.43283392361)</f>
        <v>44433.43283</v>
      </c>
    </row>
    <row r="3409">
      <c r="A3409" t="str">
        <f>IFERROR(__xludf.DUMMYFUNCTION("""COMPUTED_VALUE"""),"scoobybri")</f>
        <v>scoobybri</v>
      </c>
      <c r="B3409" t="str">
        <f>IFERROR(__xludf.DUMMYFUNCTION("""COMPUTED_VALUE"""),"Chesterfield")</f>
        <v>Chesterfield</v>
      </c>
      <c r="C3409" t="str">
        <f>IFERROR(__xludf.DUMMYFUNCTION("""COMPUTED_VALUE"""),"VA")</f>
        <v>VA</v>
      </c>
      <c r="D3409" t="str">
        <f>IFERROR(__xludf.DUMMYFUNCTION("""COMPUTED_VALUE"""),"USA")</f>
        <v>USA</v>
      </c>
      <c r="E3409" s="188">
        <f>IFERROR(__xludf.DUMMYFUNCTION("""COMPUTED_VALUE"""),44427.0)</f>
        <v>44427</v>
      </c>
      <c r="F3409" s="188">
        <f>IFERROR(__xludf.DUMMYFUNCTION("""COMPUTED_VALUE"""),44446.0)</f>
        <v>44446</v>
      </c>
      <c r="G3409" t="str">
        <f>IFERROR(__xludf.DUMMYFUNCTION("""COMPUTED_VALUE"""),"Manage order page (normal text)")</f>
        <v>Manage order page (normal text)</v>
      </c>
      <c r="H3409">
        <f>IFERROR(__xludf.DUMMYFUNCTION("""COMPUTED_VALUE"""),63955.0)</f>
        <v>63955</v>
      </c>
      <c r="J3409" s="188">
        <f>IFERROR(__xludf.DUMMYFUNCTION("""COMPUTED_VALUE"""),44460.0)</f>
        <v>44460</v>
      </c>
      <c r="K3409">
        <f>IFERROR(__xludf.DUMMYFUNCTION("""COMPUTED_VALUE"""),19.0)</f>
        <v>19</v>
      </c>
      <c r="L3409">
        <f>IFERROR(__xludf.DUMMYFUNCTION("""COMPUTED_VALUE"""),14.0)</f>
        <v>14</v>
      </c>
      <c r="M3409">
        <f>IFERROR(__xludf.DUMMYFUNCTION("""COMPUTED_VALUE"""),33.0)</f>
        <v>33</v>
      </c>
      <c r="N3409" t="str">
        <f>IFERROR(__xludf.DUMMYFUNCTION("""COMPUTED_VALUE"""),"Model 3 LR AWD")</f>
        <v>Model 3 LR AWD</v>
      </c>
      <c r="O3409" t="str">
        <f>IFERROR(__xludf.DUMMYFUNCTION("""COMPUTED_VALUE"""),"Deep Blue Metallic")</f>
        <v>Deep Blue Metallic</v>
      </c>
      <c r="P3409" t="str">
        <f>IFERROR(__xludf.DUMMYFUNCTION("""COMPUTED_VALUE"""),"18 inch")</f>
        <v>18 inch</v>
      </c>
      <c r="Q3409" t="str">
        <f>IFERROR(__xludf.DUMMYFUNCTION("""COMPUTED_VALUE"""),"All Black")</f>
        <v>All Black</v>
      </c>
      <c r="R3409" t="str">
        <f>IFERROR(__xludf.DUMMYFUNCTION("""COMPUTED_VALUE"""),"Autopilot included")</f>
        <v>Autopilot included</v>
      </c>
      <c r="S3409" t="str">
        <f>IFERROR(__xludf.DUMMYFUNCTION("""COMPUTED_VALUE"""),"Cash")</f>
        <v>Cash</v>
      </c>
      <c r="T3409" t="str">
        <f>IFERROR(__xludf.DUMMYFUNCTION("""COMPUTED_VALUE"""),"Chevy Bolt")</f>
        <v>Chevy Bolt</v>
      </c>
      <c r="U3409" t="str">
        <f>IFERROR(__xludf.DUMMYFUNCTION("""COMPUTED_VALUE"""),"Range")</f>
        <v>Range</v>
      </c>
      <c r="V3409" t="str">
        <f>IFERROR(__xludf.DUMMYFUNCTION("""COMPUTED_VALUE"""),"Apple CarPlay / Android Auto / SiriusXM Radio")</f>
        <v>Apple CarPlay / Android Auto / SiriusXM Radio</v>
      </c>
      <c r="AH3409" s="189">
        <f>IFERROR(__xludf.DUMMYFUNCTION("""COMPUTED_VALUE"""),44449.34196290509)</f>
        <v>44449.34196</v>
      </c>
    </row>
    <row r="3410">
      <c r="A3410" t="str">
        <f>IFERROR(__xludf.DUMMYFUNCTION("""COMPUTED_VALUE"""),"Cygnus ")</f>
        <v>Cygnus </v>
      </c>
      <c r="B3410" t="str">
        <f>IFERROR(__xludf.DUMMYFUNCTION("""COMPUTED_VALUE"""),"Long Island ")</f>
        <v>Long Island </v>
      </c>
      <c r="C3410" t="str">
        <f>IFERROR(__xludf.DUMMYFUNCTION("""COMPUTED_VALUE"""),"NY")</f>
        <v>NY</v>
      </c>
      <c r="D3410" t="str">
        <f>IFERROR(__xludf.DUMMYFUNCTION("""COMPUTED_VALUE"""),"USA")</f>
        <v>USA</v>
      </c>
      <c r="E3410" s="188">
        <f>IFERROR(__xludf.DUMMYFUNCTION("""COMPUTED_VALUE"""),44406.0)</f>
        <v>44406</v>
      </c>
      <c r="F3410" s="188">
        <f>IFERROR(__xludf.DUMMYFUNCTION("""COMPUTED_VALUE"""),44435.0)</f>
        <v>44435</v>
      </c>
      <c r="G3410" t="str">
        <f>IFERROR(__xludf.DUMMYFUNCTION("""COMPUTED_VALUE"""),"Manage order page (normal text)")</f>
        <v>Manage order page (normal text)</v>
      </c>
      <c r="H3410">
        <f>IFERROR(__xludf.DUMMYFUNCTION("""COMPUTED_VALUE"""),51955.0)</f>
        <v>51955</v>
      </c>
      <c r="J3410" s="188">
        <f>IFERROR(__xludf.DUMMYFUNCTION("""COMPUTED_VALUE"""),44450.0)</f>
        <v>44450</v>
      </c>
      <c r="K3410">
        <f>IFERROR(__xludf.DUMMYFUNCTION("""COMPUTED_VALUE"""),29.0)</f>
        <v>29</v>
      </c>
      <c r="L3410">
        <f>IFERROR(__xludf.DUMMYFUNCTION("""COMPUTED_VALUE"""),15.0)</f>
        <v>15</v>
      </c>
      <c r="M3410">
        <f>IFERROR(__xludf.DUMMYFUNCTION("""COMPUTED_VALUE"""),44.0)</f>
        <v>44</v>
      </c>
      <c r="N3410" t="str">
        <f>IFERROR(__xludf.DUMMYFUNCTION("""COMPUTED_VALUE"""),"Model 3 LR AWD")</f>
        <v>Model 3 LR AWD</v>
      </c>
      <c r="O3410" t="str">
        <f>IFERROR(__xludf.DUMMYFUNCTION("""COMPUTED_VALUE"""),"Red Multi-Coat")</f>
        <v>Red Multi-Coat</v>
      </c>
      <c r="P3410" t="str">
        <f>IFERROR(__xludf.DUMMYFUNCTION("""COMPUTED_VALUE"""),"18 inch")</f>
        <v>18 inch</v>
      </c>
      <c r="Q3410" t="str">
        <f>IFERROR(__xludf.DUMMYFUNCTION("""COMPUTED_VALUE"""),"All Black")</f>
        <v>All Black</v>
      </c>
      <c r="R3410" t="str">
        <f>IFERROR(__xludf.DUMMYFUNCTION("""COMPUTED_VALUE"""),"Full Self-Driving")</f>
        <v>Full Self-Driving</v>
      </c>
      <c r="S3410" t="str">
        <f>IFERROR(__xludf.DUMMYFUNCTION("""COMPUTED_VALUE"""),"Loan")</f>
        <v>Loan</v>
      </c>
      <c r="T3410" t="str">
        <f>IFERROR(__xludf.DUMMYFUNCTION("""COMPUTED_VALUE"""),"Merceded e350")</f>
        <v>Merceded e350</v>
      </c>
      <c r="U3410" t="str">
        <f>IFERROR(__xludf.DUMMYFUNCTION("""COMPUTED_VALUE"""),"Electric!")</f>
        <v>Electric!</v>
      </c>
      <c r="V3410" t="str">
        <f>IFERROR(__xludf.DUMMYFUNCTION("""COMPUTED_VALUE"""),"Apple CarPlay / Android Auto / SiriusXM Radio")</f>
        <v>Apple CarPlay / Android Auto / SiriusXM Radio</v>
      </c>
      <c r="AH3410" s="189">
        <f>IFERROR(__xludf.DUMMYFUNCTION("""COMPUTED_VALUE"""),44450.60034163194)</f>
        <v>44450.60034</v>
      </c>
    </row>
    <row r="3411">
      <c r="A3411" t="str">
        <f>IFERROR(__xludf.DUMMYFUNCTION("""COMPUTED_VALUE"""),"MPang14")</f>
        <v>MPang14</v>
      </c>
      <c r="B3411" t="str">
        <f>IFERROR(__xludf.DUMMYFUNCTION("""COMPUTED_VALUE"""),"Orange County")</f>
        <v>Orange County</v>
      </c>
      <c r="C3411" t="str">
        <f>IFERROR(__xludf.DUMMYFUNCTION("""COMPUTED_VALUE"""),"CA")</f>
        <v>CA</v>
      </c>
      <c r="D3411" t="str">
        <f>IFERROR(__xludf.DUMMYFUNCTION("""COMPUTED_VALUE"""),"USA")</f>
        <v>USA</v>
      </c>
      <c r="E3411" s="188">
        <f>IFERROR(__xludf.DUMMYFUNCTION("""COMPUTED_VALUE"""),44433.0)</f>
        <v>44433</v>
      </c>
      <c r="N3411" t="str">
        <f>IFERROR(__xludf.DUMMYFUNCTION("""COMPUTED_VALUE"""),"Model 3 LR AWD")</f>
        <v>Model 3 LR AWD</v>
      </c>
      <c r="O3411" t="str">
        <f>IFERROR(__xludf.DUMMYFUNCTION("""COMPUTED_VALUE"""),"Deep Blue Metallic")</f>
        <v>Deep Blue Metallic</v>
      </c>
      <c r="P3411" t="str">
        <f>IFERROR(__xludf.DUMMYFUNCTION("""COMPUTED_VALUE"""),"18 inch")</f>
        <v>18 inch</v>
      </c>
      <c r="Q3411" t="str">
        <f>IFERROR(__xludf.DUMMYFUNCTION("""COMPUTED_VALUE"""),"Black and White")</f>
        <v>Black and White</v>
      </c>
      <c r="R3411" t="str">
        <f>IFERROR(__xludf.DUMMYFUNCTION("""COMPUTED_VALUE"""),"Autopilot included")</f>
        <v>Autopilot included</v>
      </c>
      <c r="S3411" t="str">
        <f>IFERROR(__xludf.DUMMYFUNCTION("""COMPUTED_VALUE"""),"Cash")</f>
        <v>Cash</v>
      </c>
      <c r="T3411" t="str">
        <f>IFERROR(__xludf.DUMMYFUNCTION("""COMPUTED_VALUE"""),"Toyota Prius")</f>
        <v>Toyota Prius</v>
      </c>
      <c r="U3411" t="str">
        <f>IFERROR(__xludf.DUMMYFUNCTION("""COMPUTED_VALUE"""),"Electric!")</f>
        <v>Electric!</v>
      </c>
      <c r="V3411" t="str">
        <f>IFERROR(__xludf.DUMMYFUNCTION("""COMPUTED_VALUE"""),"Apple CarPlay / Android Auto / SiriusXM Radio")</f>
        <v>Apple CarPlay / Android Auto / SiriusXM Radio</v>
      </c>
      <c r="AH3411" s="189">
        <f>IFERROR(__xludf.DUMMYFUNCTION("""COMPUTED_VALUE"""),44433.60480601852)</f>
        <v>44433.60481</v>
      </c>
    </row>
    <row r="3412">
      <c r="A3412" t="str">
        <f>IFERROR(__xludf.DUMMYFUNCTION("""COMPUTED_VALUE"""),"l4r4")</f>
        <v>l4r4</v>
      </c>
      <c r="B3412" t="str">
        <f>IFERROR(__xludf.DUMMYFUNCTION("""COMPUTED_VALUE"""),"Mckinney")</f>
        <v>Mckinney</v>
      </c>
      <c r="C3412" t="str">
        <f>IFERROR(__xludf.DUMMYFUNCTION("""COMPUTED_VALUE"""),"TX")</f>
        <v>TX</v>
      </c>
      <c r="D3412" t="str">
        <f>IFERROR(__xludf.DUMMYFUNCTION("""COMPUTED_VALUE"""),"USA")</f>
        <v>USA</v>
      </c>
      <c r="E3412" s="188">
        <f>IFERROR(__xludf.DUMMYFUNCTION("""COMPUTED_VALUE"""),44428.0)</f>
        <v>44428</v>
      </c>
      <c r="F3412" s="188">
        <f>IFERROR(__xludf.DUMMYFUNCTION("""COMPUTED_VALUE"""),44441.0)</f>
        <v>44441</v>
      </c>
      <c r="G3412" t="str">
        <f>IFERROR(__xludf.DUMMYFUNCTION("""COMPUTED_VALUE"""),"Manage order page (normal text)")</f>
        <v>Manage order page (normal text)</v>
      </c>
      <c r="H3412">
        <f>IFERROR(__xludf.DUMMYFUNCTION("""COMPUTED_VALUE"""),56155.0)</f>
        <v>56155</v>
      </c>
      <c r="J3412" s="188">
        <f>IFERROR(__xludf.DUMMYFUNCTION("""COMPUTED_VALUE"""),44453.0)</f>
        <v>44453</v>
      </c>
      <c r="K3412">
        <f>IFERROR(__xludf.DUMMYFUNCTION("""COMPUTED_VALUE"""),13.0)</f>
        <v>13</v>
      </c>
      <c r="L3412">
        <f>IFERROR(__xludf.DUMMYFUNCTION("""COMPUTED_VALUE"""),12.0)</f>
        <v>12</v>
      </c>
      <c r="M3412">
        <f>IFERROR(__xludf.DUMMYFUNCTION("""COMPUTED_VALUE"""),25.0)</f>
        <v>25</v>
      </c>
      <c r="N3412" t="str">
        <f>IFERROR(__xludf.DUMMYFUNCTION("""COMPUTED_VALUE"""),"Model 3 Performance")</f>
        <v>Model 3 Performance</v>
      </c>
      <c r="O3412" t="str">
        <f>IFERROR(__xludf.DUMMYFUNCTION("""COMPUTED_VALUE"""),"Pearl White Multi-Coat")</f>
        <v>Pearl White Multi-Coat</v>
      </c>
      <c r="P3412" t="str">
        <f>IFERROR(__xludf.DUMMYFUNCTION("""COMPUTED_VALUE"""),"20 inch")</f>
        <v>20 inch</v>
      </c>
      <c r="Q3412" t="str">
        <f>IFERROR(__xludf.DUMMYFUNCTION("""COMPUTED_VALUE"""),"Black and White")</f>
        <v>Black and White</v>
      </c>
      <c r="R3412" t="str">
        <f>IFERROR(__xludf.DUMMYFUNCTION("""COMPUTED_VALUE"""),"Autopilot included")</f>
        <v>Autopilot included</v>
      </c>
      <c r="S3412" t="str">
        <f>IFERROR(__xludf.DUMMYFUNCTION("""COMPUTED_VALUE"""),"Loan")</f>
        <v>Loan</v>
      </c>
      <c r="T3412" t="str">
        <f>IFERROR(__xludf.DUMMYFUNCTION("""COMPUTED_VALUE"""),"Hyundai Santa Fe Limited 2.4")</f>
        <v>Hyundai Santa Fe Limited 2.4</v>
      </c>
      <c r="U3412" t="str">
        <f>IFERROR(__xludf.DUMMYFUNCTION("""COMPUTED_VALUE"""),"Electric!")</f>
        <v>Electric!</v>
      </c>
      <c r="V3412" t="str">
        <f>IFERROR(__xludf.DUMMYFUNCTION("""COMPUTED_VALUE"""),"Head-up display")</f>
        <v>Head-up display</v>
      </c>
      <c r="X3412" t="str">
        <f>IFERROR(__xludf.DUMMYFUNCTION("""COMPUTED_VALUE"""),"Fair")</f>
        <v>Fair</v>
      </c>
      <c r="Y3412" t="str">
        <f>IFERROR(__xludf.DUMMYFUNCTION("""COMPUTED_VALUE"""),"Fair")</f>
        <v>Fair</v>
      </c>
      <c r="Z3412" t="str">
        <f>IFERROR(__xludf.DUMMYFUNCTION("""COMPUTED_VALUE"""),"Good")</f>
        <v>Good</v>
      </c>
      <c r="AA3412" t="str">
        <f>IFERROR(__xludf.DUMMYFUNCTION("""COMPUTED_VALUE"""),"Fair")</f>
        <v>Fair</v>
      </c>
      <c r="AB3412" t="str">
        <f>IFERROR(__xludf.DUMMYFUNCTION("""COMPUTED_VALUE"""),"Fair")</f>
        <v>Fair</v>
      </c>
      <c r="AF3412" t="str">
        <f>IFERROR(__xludf.DUMMYFUNCTION("""COMPUTED_VALUE"""),"No. I took delivery of the first car Tesla was able to deliver.")</f>
        <v>No. I took delivery of the first car Tesla was able to deliver.</v>
      </c>
      <c r="AH3412" s="189">
        <f>IFERROR(__xludf.DUMMYFUNCTION("""COMPUTED_VALUE"""),44454.01965422454)</f>
        <v>44454.01965</v>
      </c>
    </row>
    <row r="3413">
      <c r="A3413" t="str">
        <f>IFERROR(__xludf.DUMMYFUNCTION("""COMPUTED_VALUE"""),"Sidhu.p117")</f>
        <v>Sidhu.p117</v>
      </c>
      <c r="B3413" t="str">
        <f>IFERROR(__xludf.DUMMYFUNCTION("""COMPUTED_VALUE"""),"New Jersey")</f>
        <v>New Jersey</v>
      </c>
      <c r="C3413" t="str">
        <f>IFERROR(__xludf.DUMMYFUNCTION("""COMPUTED_VALUE"""),"NJ")</f>
        <v>NJ</v>
      </c>
      <c r="D3413" t="str">
        <f>IFERROR(__xludf.DUMMYFUNCTION("""COMPUTED_VALUE"""),"USA")</f>
        <v>USA</v>
      </c>
      <c r="E3413" s="188">
        <f>IFERROR(__xludf.DUMMYFUNCTION("""COMPUTED_VALUE"""),44412.0)</f>
        <v>44412</v>
      </c>
      <c r="N3413" t="str">
        <f>IFERROR(__xludf.DUMMYFUNCTION("""COMPUTED_VALUE"""),"Model 3 SR+")</f>
        <v>Model 3 SR+</v>
      </c>
      <c r="O3413" t="str">
        <f>IFERROR(__xludf.DUMMYFUNCTION("""COMPUTED_VALUE"""),"Deep Blue Metallic")</f>
        <v>Deep Blue Metallic</v>
      </c>
      <c r="P3413" t="str">
        <f>IFERROR(__xludf.DUMMYFUNCTION("""COMPUTED_VALUE"""),"19 inch")</f>
        <v>19 inch</v>
      </c>
      <c r="Q3413" t="str">
        <f>IFERROR(__xludf.DUMMYFUNCTION("""COMPUTED_VALUE"""),"All Black")</f>
        <v>All Black</v>
      </c>
      <c r="R3413" t="str">
        <f>IFERROR(__xludf.DUMMYFUNCTION("""COMPUTED_VALUE"""),"Autopilot included")</f>
        <v>Autopilot included</v>
      </c>
      <c r="S3413" t="str">
        <f>IFERROR(__xludf.DUMMYFUNCTION("""COMPUTED_VALUE"""),"Cash")</f>
        <v>Cash</v>
      </c>
      <c r="T3413" t="str">
        <f>IFERROR(__xludf.DUMMYFUNCTION("""COMPUTED_VALUE"""),"Audi A4")</f>
        <v>Audi A4</v>
      </c>
      <c r="U3413" t="str">
        <f>IFERROR(__xludf.DUMMYFUNCTION("""COMPUTED_VALUE"""),"Electric!")</f>
        <v>Electric!</v>
      </c>
      <c r="V3413" t="str">
        <f>IFERROR(__xludf.DUMMYFUNCTION("""COMPUTED_VALUE"""),"Apple CarPlay / Android Auto / SiriusXM Radio")</f>
        <v>Apple CarPlay / Android Auto / SiriusXM Radio</v>
      </c>
      <c r="AH3413" s="189">
        <f>IFERROR(__xludf.DUMMYFUNCTION("""COMPUTED_VALUE"""),44434.290275879626)</f>
        <v>44434.29028</v>
      </c>
    </row>
    <row r="3414">
      <c r="A3414" t="str">
        <f>IFERROR(__xludf.DUMMYFUNCTION("""COMPUTED_VALUE"""),"vicksskciv")</f>
        <v>vicksskciv</v>
      </c>
      <c r="B3414" t="str">
        <f>IFERROR(__xludf.DUMMYFUNCTION("""COMPUTED_VALUE"""),"Los Angeles")</f>
        <v>Los Angeles</v>
      </c>
      <c r="C3414" t="str">
        <f>IFERROR(__xludf.DUMMYFUNCTION("""COMPUTED_VALUE"""),"CA")</f>
        <v>CA</v>
      </c>
      <c r="D3414" t="str">
        <f>IFERROR(__xludf.DUMMYFUNCTION("""COMPUTED_VALUE"""),"USA")</f>
        <v>USA</v>
      </c>
      <c r="E3414" s="188">
        <f>IFERROR(__xludf.DUMMYFUNCTION("""COMPUTED_VALUE"""),44386.0)</f>
        <v>44386</v>
      </c>
      <c r="F3414" s="188">
        <f>IFERROR(__xludf.DUMMYFUNCTION("""COMPUTED_VALUE"""),44434.0)</f>
        <v>44434</v>
      </c>
      <c r="G3414" t="str">
        <f>IFERROR(__xludf.DUMMYFUNCTION("""COMPUTED_VALUE"""),"Manage order page (normal text)")</f>
        <v>Manage order page (normal text)</v>
      </c>
      <c r="J3414" s="188">
        <f>IFERROR(__xludf.DUMMYFUNCTION("""COMPUTED_VALUE"""),44440.0)</f>
        <v>44440</v>
      </c>
      <c r="K3414">
        <f>IFERROR(__xludf.DUMMYFUNCTION("""COMPUTED_VALUE"""),48.0)</f>
        <v>48</v>
      </c>
      <c r="L3414">
        <f>IFERROR(__xludf.DUMMYFUNCTION("""COMPUTED_VALUE"""),6.0)</f>
        <v>6</v>
      </c>
      <c r="M3414">
        <f>IFERROR(__xludf.DUMMYFUNCTION("""COMPUTED_VALUE"""),54.0)</f>
        <v>54</v>
      </c>
      <c r="N3414" t="str">
        <f>IFERROR(__xludf.DUMMYFUNCTION("""COMPUTED_VALUE"""),"Model 3 SR+")</f>
        <v>Model 3 SR+</v>
      </c>
      <c r="O3414" t="str">
        <f>IFERROR(__xludf.DUMMYFUNCTION("""COMPUTED_VALUE"""),"Red Multi-Coat")</f>
        <v>Red Multi-Coat</v>
      </c>
      <c r="P3414" t="str">
        <f>IFERROR(__xludf.DUMMYFUNCTION("""COMPUTED_VALUE"""),"18 inch")</f>
        <v>18 inch</v>
      </c>
      <c r="Q3414" t="str">
        <f>IFERROR(__xludf.DUMMYFUNCTION("""COMPUTED_VALUE"""),"All Black")</f>
        <v>All Black</v>
      </c>
      <c r="R3414" t="str">
        <f>IFERROR(__xludf.DUMMYFUNCTION("""COMPUTED_VALUE"""),"Autopilot included")</f>
        <v>Autopilot included</v>
      </c>
      <c r="S3414" t="str">
        <f>IFERROR(__xludf.DUMMYFUNCTION("""COMPUTED_VALUE"""),"Cash")</f>
        <v>Cash</v>
      </c>
      <c r="T3414" t="str">
        <f>IFERROR(__xludf.DUMMYFUNCTION("""COMPUTED_VALUE"""),"Model 3 will be my first car!")</f>
        <v>Model 3 will be my first car!</v>
      </c>
      <c r="U3414" t="str">
        <f>IFERROR(__xludf.DUMMYFUNCTION("""COMPUTED_VALUE"""),"Electric!")</f>
        <v>Electric!</v>
      </c>
      <c r="V3414" t="str">
        <f>IFERROR(__xludf.DUMMYFUNCTION("""COMPUTED_VALUE"""),"Blind spot indicators on side mirrors")</f>
        <v>Blind spot indicators on side mirrors</v>
      </c>
      <c r="W3414" t="str">
        <f>IFERROR(__xludf.DUMMYFUNCTION("""COMPUTED_VALUE"""),"be patient and make sure to check for any and all defects.")</f>
        <v>be patient and make sure to check for any and all defects.</v>
      </c>
      <c r="X3414" t="str">
        <f>IFERROR(__xludf.DUMMYFUNCTION("""COMPUTED_VALUE"""),"Good")</f>
        <v>Good</v>
      </c>
      <c r="Y3414" t="str">
        <f>IFERROR(__xludf.DUMMYFUNCTION("""COMPUTED_VALUE"""),"Very Good")</f>
        <v>Very Good</v>
      </c>
      <c r="Z3414" t="str">
        <f>IFERROR(__xludf.DUMMYFUNCTION("""COMPUTED_VALUE"""),"Very Good")</f>
        <v>Very Good</v>
      </c>
      <c r="AA3414" t="str">
        <f>IFERROR(__xludf.DUMMYFUNCTION("""COMPUTED_VALUE"""),"Fair")</f>
        <v>Fair</v>
      </c>
      <c r="AB3414" t="str">
        <f>IFERROR(__xludf.DUMMYFUNCTION("""COMPUTED_VALUE"""),"Very Good")</f>
        <v>Very Good</v>
      </c>
      <c r="AC3414">
        <f>IFERROR(__xludf.DUMMYFUNCTION("""COMPUTED_VALUE"""),2.0)</f>
        <v>2</v>
      </c>
      <c r="AD3414">
        <f>IFERROR(__xludf.DUMMYFUNCTION("""COMPUTED_VALUE"""),1.0)</f>
        <v>1</v>
      </c>
      <c r="AF3414" t="str">
        <f>IFERROR(__xludf.DUMMYFUNCTION("""COMPUTED_VALUE"""),"No. I took delivery of the first car Tesla was able to deliver.")</f>
        <v>No. I took delivery of the first car Tesla was able to deliver.</v>
      </c>
      <c r="AH3414" s="189">
        <f>IFERROR(__xludf.DUMMYFUNCTION("""COMPUTED_VALUE"""),44440.72398376158)</f>
        <v>44440.72398</v>
      </c>
    </row>
    <row r="3415">
      <c r="A3415" t="str">
        <f>IFERROR(__xludf.DUMMYFUNCTION("""COMPUTED_VALUE"""),"KEMPD31")</f>
        <v>KEMPD31</v>
      </c>
      <c r="D3415" t="str">
        <f>IFERROR(__xludf.DUMMYFUNCTION("""COMPUTED_VALUE"""),"USA")</f>
        <v>USA</v>
      </c>
      <c r="E3415" s="188">
        <f>IFERROR(__xludf.DUMMYFUNCTION("""COMPUTED_VALUE"""),44397.0)</f>
        <v>44397</v>
      </c>
      <c r="F3415" s="188">
        <f>IFERROR(__xludf.DUMMYFUNCTION("""COMPUTED_VALUE"""),44433.0)</f>
        <v>44433</v>
      </c>
      <c r="G3415" t="str">
        <f>IFERROR(__xludf.DUMMYFUNCTION("""COMPUTED_VALUE"""),"Manage order page (normal text)")</f>
        <v>Manage order page (normal text)</v>
      </c>
      <c r="K3415">
        <f>IFERROR(__xludf.DUMMYFUNCTION("""COMPUTED_VALUE"""),36.0)</f>
        <v>36</v>
      </c>
      <c r="N3415" t="str">
        <f>IFERROR(__xludf.DUMMYFUNCTION("""COMPUTED_VALUE"""),"Model 3 LR AWD")</f>
        <v>Model 3 LR AWD</v>
      </c>
      <c r="AH3415" s="189">
        <f>IFERROR(__xludf.DUMMYFUNCTION("""COMPUTED_VALUE"""),44434.494832847224)</f>
        <v>44434.49483</v>
      </c>
    </row>
    <row r="3416">
      <c r="A3416" t="str">
        <f>IFERROR(__xludf.DUMMYFUNCTION("""COMPUTED_VALUE"""),"ImTinyRiick")</f>
        <v>ImTinyRiick</v>
      </c>
      <c r="B3416" t="str">
        <f>IFERROR(__xludf.DUMMYFUNCTION("""COMPUTED_VALUE"""),"Atlanta")</f>
        <v>Atlanta</v>
      </c>
      <c r="C3416" t="str">
        <f>IFERROR(__xludf.DUMMYFUNCTION("""COMPUTED_VALUE"""),"GA")</f>
        <v>GA</v>
      </c>
      <c r="D3416" t="str">
        <f>IFERROR(__xludf.DUMMYFUNCTION("""COMPUTED_VALUE"""),"USA")</f>
        <v>USA</v>
      </c>
      <c r="E3416" s="188">
        <f>IFERROR(__xludf.DUMMYFUNCTION("""COMPUTED_VALUE"""),44434.0)</f>
        <v>44434</v>
      </c>
      <c r="F3416" s="188">
        <f>IFERROR(__xludf.DUMMYFUNCTION("""COMPUTED_VALUE"""),44434.0)</f>
        <v>44434</v>
      </c>
      <c r="G3416" t="str">
        <f>IFERROR(__xludf.DUMMYFUNCTION("""COMPUTED_VALUE"""),"Manage order page (normal text)")</f>
        <v>Manage order page (normal text)</v>
      </c>
      <c r="J3416" s="188">
        <f>IFERROR(__xludf.DUMMYFUNCTION("""COMPUTED_VALUE"""),44450.0)</f>
        <v>44450</v>
      </c>
      <c r="K3416">
        <f>IFERROR(__xludf.DUMMYFUNCTION("""COMPUTED_VALUE"""),0.0)</f>
        <v>0</v>
      </c>
      <c r="L3416">
        <f>IFERROR(__xludf.DUMMYFUNCTION("""COMPUTED_VALUE"""),16.0)</f>
        <v>16</v>
      </c>
      <c r="M3416">
        <f>IFERROR(__xludf.DUMMYFUNCTION("""COMPUTED_VALUE"""),16.0)</f>
        <v>16</v>
      </c>
      <c r="N3416" t="str">
        <f>IFERROR(__xludf.DUMMYFUNCTION("""COMPUTED_VALUE"""),"Model 3 SR+")</f>
        <v>Model 3 SR+</v>
      </c>
      <c r="O3416" t="str">
        <f>IFERROR(__xludf.DUMMYFUNCTION("""COMPUTED_VALUE"""),"Midnight Silver Metallic")</f>
        <v>Midnight Silver Metallic</v>
      </c>
      <c r="P3416" t="str">
        <f>IFERROR(__xludf.DUMMYFUNCTION("""COMPUTED_VALUE"""),"18 inch")</f>
        <v>18 inch</v>
      </c>
      <c r="Q3416" t="str">
        <f>IFERROR(__xludf.DUMMYFUNCTION("""COMPUTED_VALUE"""),"All Black")</f>
        <v>All Black</v>
      </c>
      <c r="R3416" t="str">
        <f>IFERROR(__xludf.DUMMYFUNCTION("""COMPUTED_VALUE"""),"Autopilot included")</f>
        <v>Autopilot included</v>
      </c>
      <c r="S3416" t="str">
        <f>IFERROR(__xludf.DUMMYFUNCTION("""COMPUTED_VALUE"""),"Loan")</f>
        <v>Loan</v>
      </c>
      <c r="T3416" t="str">
        <f>IFERROR(__xludf.DUMMYFUNCTION("""COMPUTED_VALUE"""),"Ford Escape")</f>
        <v>Ford Escape</v>
      </c>
      <c r="U3416" t="str">
        <f>IFERROR(__xludf.DUMMYFUNCTION("""COMPUTED_VALUE"""),"Autopilot")</f>
        <v>Autopilot</v>
      </c>
      <c r="V3416" t="str">
        <f>IFERROR(__xludf.DUMMYFUNCTION("""COMPUTED_VALUE"""),"Apple CarPlay / Android Auto / SiriusXM Radio")</f>
        <v>Apple CarPlay / Android Auto / SiriusXM Radio</v>
      </c>
      <c r="AG3416" t="str">
        <f>IFERROR(__xludf.DUMMYFUNCTION("""COMPUTED_VALUE"""),"Ended up getting the new Model 3 with LFP battery. Got VIN assigned same day as order. So excited!")</f>
        <v>Ended up getting the new Model 3 with LFP battery. Got VIN assigned same day as order. So excited!</v>
      </c>
      <c r="AH3416" s="189">
        <f>IFERROR(__xludf.DUMMYFUNCTION("""COMPUTED_VALUE"""),44438.36422065972)</f>
        <v>44438.36422</v>
      </c>
    </row>
    <row r="3417">
      <c r="A3417" t="str">
        <f>IFERROR(__xludf.DUMMYFUNCTION("""COMPUTED_VALUE"""),"ortonj90")</f>
        <v>ortonj90</v>
      </c>
      <c r="B3417" t="str">
        <f>IFERROR(__xludf.DUMMYFUNCTION("""COMPUTED_VALUE"""),"Fremont")</f>
        <v>Fremont</v>
      </c>
      <c r="C3417" t="str">
        <f>IFERROR(__xludf.DUMMYFUNCTION("""COMPUTED_VALUE"""),"CA")</f>
        <v>CA</v>
      </c>
      <c r="D3417" t="str">
        <f>IFERROR(__xludf.DUMMYFUNCTION("""COMPUTED_VALUE"""),"USA")</f>
        <v>USA</v>
      </c>
      <c r="E3417" s="188">
        <f>IFERROR(__xludf.DUMMYFUNCTION("""COMPUTED_VALUE"""),44434.0)</f>
        <v>44434</v>
      </c>
      <c r="N3417" t="str">
        <f>IFERROR(__xludf.DUMMYFUNCTION("""COMPUTED_VALUE"""),"Model 3 LR AWD")</f>
        <v>Model 3 LR AWD</v>
      </c>
      <c r="O3417" t="str">
        <f>IFERROR(__xludf.DUMMYFUNCTION("""COMPUTED_VALUE"""),"Pearl White Multi-Coat")</f>
        <v>Pearl White Multi-Coat</v>
      </c>
      <c r="P3417" t="str">
        <f>IFERROR(__xludf.DUMMYFUNCTION("""COMPUTED_VALUE"""),"18 inch")</f>
        <v>18 inch</v>
      </c>
      <c r="Q3417" t="str">
        <f>IFERROR(__xludf.DUMMYFUNCTION("""COMPUTED_VALUE"""),"All Black")</f>
        <v>All Black</v>
      </c>
      <c r="R3417" t="str">
        <f>IFERROR(__xludf.DUMMYFUNCTION("""COMPUTED_VALUE"""),"Autopilot included")</f>
        <v>Autopilot included</v>
      </c>
      <c r="S3417" t="str">
        <f>IFERROR(__xludf.DUMMYFUNCTION("""COMPUTED_VALUE"""),"Loan")</f>
        <v>Loan</v>
      </c>
      <c r="T3417" t="str">
        <f>IFERROR(__xludf.DUMMYFUNCTION("""COMPUTED_VALUE"""),"Model 3 will be my first car!")</f>
        <v>Model 3 will be my first car!</v>
      </c>
      <c r="U3417" t="str">
        <f>IFERROR(__xludf.DUMMYFUNCTION("""COMPUTED_VALUE"""),"Electric!")</f>
        <v>Electric!</v>
      </c>
      <c r="V3417" t="str">
        <f>IFERROR(__xludf.DUMMYFUNCTION("""COMPUTED_VALUE"""),"Apple CarPlay / Android Auto / SiriusXM Radio")</f>
        <v>Apple CarPlay / Android Auto / SiriusXM Radio</v>
      </c>
      <c r="AH3417" s="189">
        <f>IFERROR(__xludf.DUMMYFUNCTION("""COMPUTED_VALUE"""),44434.53615039352)</f>
        <v>44434.53615</v>
      </c>
    </row>
    <row r="3418">
      <c r="A3418" t="str">
        <f>IFERROR(__xludf.DUMMYFUNCTION("""COMPUTED_VALUE"""),"SublimeHelicopter")</f>
        <v>SublimeHelicopter</v>
      </c>
      <c r="B3418" t="str">
        <f>IFERROR(__xludf.DUMMYFUNCTION("""COMPUTED_VALUE"""),"Los Angeles")</f>
        <v>Los Angeles</v>
      </c>
      <c r="C3418" t="str">
        <f>IFERROR(__xludf.DUMMYFUNCTION("""COMPUTED_VALUE"""),"CA")</f>
        <v>CA</v>
      </c>
      <c r="D3418" t="str">
        <f>IFERROR(__xludf.DUMMYFUNCTION("""COMPUTED_VALUE"""),"USA")</f>
        <v>USA</v>
      </c>
      <c r="E3418" s="188">
        <f>IFERROR(__xludf.DUMMYFUNCTION("""COMPUTED_VALUE"""),44435.0)</f>
        <v>44435</v>
      </c>
      <c r="N3418" t="str">
        <f>IFERROR(__xludf.DUMMYFUNCTION("""COMPUTED_VALUE"""),"Model 3 LR AWD")</f>
        <v>Model 3 LR AWD</v>
      </c>
      <c r="O3418" t="str">
        <f>IFERROR(__xludf.DUMMYFUNCTION("""COMPUTED_VALUE"""),"Deep Blue Metallic")</f>
        <v>Deep Blue Metallic</v>
      </c>
      <c r="P3418" t="str">
        <f>IFERROR(__xludf.DUMMYFUNCTION("""COMPUTED_VALUE"""),"19 inch")</f>
        <v>19 inch</v>
      </c>
      <c r="Q3418" t="str">
        <f>IFERROR(__xludf.DUMMYFUNCTION("""COMPUTED_VALUE"""),"Black and White")</f>
        <v>Black and White</v>
      </c>
      <c r="R3418" t="str">
        <f>IFERROR(__xludf.DUMMYFUNCTION("""COMPUTED_VALUE"""),"Full Self-Driving")</f>
        <v>Full Self-Driving</v>
      </c>
      <c r="S3418" t="str">
        <f>IFERROR(__xludf.DUMMYFUNCTION("""COMPUTED_VALUE"""),"Cash")</f>
        <v>Cash</v>
      </c>
      <c r="U3418" t="str">
        <f>IFERROR(__xludf.DUMMYFUNCTION("""COMPUTED_VALUE"""),"Autopilot")</f>
        <v>Autopilot</v>
      </c>
      <c r="AH3418" s="189">
        <f>IFERROR(__xludf.DUMMYFUNCTION("""COMPUTED_VALUE"""),44435.25288665509)</f>
        <v>44435.25289</v>
      </c>
    </row>
    <row r="3419">
      <c r="A3419" t="str">
        <f>IFERROR(__xludf.DUMMYFUNCTION("""COMPUTED_VALUE"""),"moomoo")</f>
        <v>moomoo</v>
      </c>
      <c r="B3419" t="str">
        <f>IFERROR(__xludf.DUMMYFUNCTION("""COMPUTED_VALUE"""),"Fairfax")</f>
        <v>Fairfax</v>
      </c>
      <c r="C3419" t="str">
        <f>IFERROR(__xludf.DUMMYFUNCTION("""COMPUTED_VALUE"""),"VA")</f>
        <v>VA</v>
      </c>
      <c r="D3419" t="str">
        <f>IFERROR(__xludf.DUMMYFUNCTION("""COMPUTED_VALUE"""),"USA")</f>
        <v>USA</v>
      </c>
      <c r="E3419" s="188">
        <f>IFERROR(__xludf.DUMMYFUNCTION("""COMPUTED_VALUE"""),44433.0)</f>
        <v>44433</v>
      </c>
      <c r="F3419" s="188">
        <f>IFERROR(__xludf.DUMMYFUNCTION("""COMPUTED_VALUE"""),44447.0)</f>
        <v>44447</v>
      </c>
      <c r="G3419" t="str">
        <f>IFERROR(__xludf.DUMMYFUNCTION("""COMPUTED_VALUE"""),"Manage order page (normal text)")</f>
        <v>Manage order page (normal text)</v>
      </c>
      <c r="J3419" s="188">
        <f>IFERROR(__xludf.DUMMYFUNCTION("""COMPUTED_VALUE"""),44461.0)</f>
        <v>44461</v>
      </c>
      <c r="K3419">
        <f>IFERROR(__xludf.DUMMYFUNCTION("""COMPUTED_VALUE"""),14.0)</f>
        <v>14</v>
      </c>
      <c r="L3419">
        <f>IFERROR(__xludf.DUMMYFUNCTION("""COMPUTED_VALUE"""),14.0)</f>
        <v>14</v>
      </c>
      <c r="M3419">
        <f>IFERROR(__xludf.DUMMYFUNCTION("""COMPUTED_VALUE"""),28.0)</f>
        <v>28</v>
      </c>
      <c r="N3419" t="str">
        <f>IFERROR(__xludf.DUMMYFUNCTION("""COMPUTED_VALUE"""),"Model 3 LR AWD")</f>
        <v>Model 3 LR AWD</v>
      </c>
      <c r="O3419" t="str">
        <f>IFERROR(__xludf.DUMMYFUNCTION("""COMPUTED_VALUE"""),"Pearl White Multi-Coat")</f>
        <v>Pearl White Multi-Coat</v>
      </c>
      <c r="P3419" t="str">
        <f>IFERROR(__xludf.DUMMYFUNCTION("""COMPUTED_VALUE"""),"18 inch")</f>
        <v>18 inch</v>
      </c>
      <c r="Q3419" t="str">
        <f>IFERROR(__xludf.DUMMYFUNCTION("""COMPUTED_VALUE"""),"All Black")</f>
        <v>All Black</v>
      </c>
      <c r="R3419" t="str">
        <f>IFERROR(__xludf.DUMMYFUNCTION("""COMPUTED_VALUE"""),"Autopilot included")</f>
        <v>Autopilot included</v>
      </c>
      <c r="S3419" t="str">
        <f>IFERROR(__xludf.DUMMYFUNCTION("""COMPUTED_VALUE"""),"Loan")</f>
        <v>Loan</v>
      </c>
      <c r="T3419" t="str">
        <f>IFERROR(__xludf.DUMMYFUNCTION("""COMPUTED_VALUE"""),"M2C")</f>
        <v>M2C</v>
      </c>
      <c r="U3419" t="str">
        <f>IFERROR(__xludf.DUMMYFUNCTION("""COMPUTED_VALUE"""),"Electric!")</f>
        <v>Electric!</v>
      </c>
      <c r="V3419" t="str">
        <f>IFERROR(__xludf.DUMMYFUNCTION("""COMPUTED_VALUE"""),"Apple CarPlay / Android Auto / SiriusXM Radio")</f>
        <v>Apple CarPlay / Android Auto / SiriusXM Radio</v>
      </c>
      <c r="AH3419" s="189">
        <f>IFERROR(__xludf.DUMMYFUNCTION("""COMPUTED_VALUE"""),44452.50250296296)</f>
        <v>44452.5025</v>
      </c>
    </row>
    <row r="3420">
      <c r="A3420" t="str">
        <f>IFERROR(__xludf.DUMMYFUNCTION("""COMPUTED_VALUE"""),"Mysdrial")</f>
        <v>Mysdrial</v>
      </c>
      <c r="B3420" t="str">
        <f>IFERROR(__xludf.DUMMYFUNCTION("""COMPUTED_VALUE"""),"Ottawa")</f>
        <v>Ottawa</v>
      </c>
      <c r="C3420" t="str">
        <f>IFERROR(__xludf.DUMMYFUNCTION("""COMPUTED_VALUE"""),"ON")</f>
        <v>ON</v>
      </c>
      <c r="D3420" t="str">
        <f>IFERROR(__xludf.DUMMYFUNCTION("""COMPUTED_VALUE"""),"Canada")</f>
        <v>Canada</v>
      </c>
      <c r="E3420" s="188">
        <f>IFERROR(__xludf.DUMMYFUNCTION("""COMPUTED_VALUE"""),44388.0)</f>
        <v>44388</v>
      </c>
      <c r="F3420" s="188">
        <f>IFERROR(__xludf.DUMMYFUNCTION("""COMPUTED_VALUE"""),44427.0)</f>
        <v>44427</v>
      </c>
      <c r="G3420" t="str">
        <f>IFERROR(__xludf.DUMMYFUNCTION("""COMPUTED_VALUE"""),"Email")</f>
        <v>Email</v>
      </c>
      <c r="H3420">
        <f>IFERROR(__xludf.DUMMYFUNCTION("""COMPUTED_VALUE"""),45055.0)</f>
        <v>45055</v>
      </c>
      <c r="K3420">
        <f>IFERROR(__xludf.DUMMYFUNCTION("""COMPUTED_VALUE"""),39.0)</f>
        <v>39</v>
      </c>
      <c r="N3420" t="str">
        <f>IFERROR(__xludf.DUMMYFUNCTION("""COMPUTED_VALUE"""),"Model 3 LR AWD")</f>
        <v>Model 3 LR AWD</v>
      </c>
      <c r="O3420" t="str">
        <f>IFERROR(__xludf.DUMMYFUNCTION("""COMPUTED_VALUE"""),"Deep Blue Metallic")</f>
        <v>Deep Blue Metallic</v>
      </c>
      <c r="P3420" t="str">
        <f>IFERROR(__xludf.DUMMYFUNCTION("""COMPUTED_VALUE"""),"18 inch")</f>
        <v>18 inch</v>
      </c>
      <c r="Q3420" t="str">
        <f>IFERROR(__xludf.DUMMYFUNCTION("""COMPUTED_VALUE"""),"All Black")</f>
        <v>All Black</v>
      </c>
      <c r="R3420" t="str">
        <f>IFERROR(__xludf.DUMMYFUNCTION("""COMPUTED_VALUE"""),"Autopilot included")</f>
        <v>Autopilot included</v>
      </c>
      <c r="S3420" t="str">
        <f>IFERROR(__xludf.DUMMYFUNCTION("""COMPUTED_VALUE"""),"Cash")</f>
        <v>Cash</v>
      </c>
      <c r="T3420" t="str">
        <f>IFERROR(__xludf.DUMMYFUNCTION("""COMPUTED_VALUE"""),"Hyundai Accent")</f>
        <v>Hyundai Accent</v>
      </c>
      <c r="U3420" t="str">
        <f>IFERROR(__xludf.DUMMYFUNCTION("""COMPUTED_VALUE"""),"Electric!")</f>
        <v>Electric!</v>
      </c>
      <c r="V3420" t="str">
        <f>IFERROR(__xludf.DUMMYFUNCTION("""COMPUTED_VALUE"""),"360° Bird's eye view")</f>
        <v>360° Bird's eye view</v>
      </c>
      <c r="AH3420" s="189">
        <f>IFERROR(__xludf.DUMMYFUNCTION("""COMPUTED_VALUE"""),44435.54321225695)</f>
        <v>44435.54321</v>
      </c>
    </row>
    <row r="3421">
      <c r="A3421" t="str">
        <f>IFERROR(__xludf.DUMMYFUNCTION("""COMPUTED_VALUE"""),"KodyCheyne")</f>
        <v>KodyCheyne</v>
      </c>
      <c r="B3421" t="str">
        <f>IFERROR(__xludf.DUMMYFUNCTION("""COMPUTED_VALUE"""),"Alexandria, VA")</f>
        <v>Alexandria, VA</v>
      </c>
      <c r="C3421" t="str">
        <f>IFERROR(__xludf.DUMMYFUNCTION("""COMPUTED_VALUE"""),"VA")</f>
        <v>VA</v>
      </c>
      <c r="D3421" t="str">
        <f>IFERROR(__xludf.DUMMYFUNCTION("""COMPUTED_VALUE"""),"USA")</f>
        <v>USA</v>
      </c>
      <c r="E3421" s="188">
        <f>IFERROR(__xludf.DUMMYFUNCTION("""COMPUTED_VALUE"""),44435.0)</f>
        <v>44435</v>
      </c>
      <c r="F3421" s="188">
        <f>IFERROR(__xludf.DUMMYFUNCTION("""COMPUTED_VALUE"""),44435.0)</f>
        <v>44435</v>
      </c>
      <c r="G3421" t="str">
        <f>IFERROR(__xludf.DUMMYFUNCTION("""COMPUTED_VALUE"""),"Manage order page (normal text)")</f>
        <v>Manage order page (normal text)</v>
      </c>
      <c r="H3421">
        <f>IFERROR(__xludf.DUMMYFUNCTION("""COMPUTED_VALUE"""),46987.0)</f>
        <v>46987</v>
      </c>
      <c r="J3421" s="188">
        <f>IFERROR(__xludf.DUMMYFUNCTION("""COMPUTED_VALUE"""),44444.0)</f>
        <v>44444</v>
      </c>
      <c r="K3421">
        <f>IFERROR(__xludf.DUMMYFUNCTION("""COMPUTED_VALUE"""),0.0)</f>
        <v>0</v>
      </c>
      <c r="L3421">
        <f>IFERROR(__xludf.DUMMYFUNCTION("""COMPUTED_VALUE"""),9.0)</f>
        <v>9</v>
      </c>
      <c r="M3421">
        <f>IFERROR(__xludf.DUMMYFUNCTION("""COMPUTED_VALUE"""),9.0)</f>
        <v>9</v>
      </c>
      <c r="N3421" t="str">
        <f>IFERROR(__xludf.DUMMYFUNCTION("""COMPUTED_VALUE"""),"Model 3 SR+")</f>
        <v>Model 3 SR+</v>
      </c>
      <c r="O3421" t="str">
        <f>IFERROR(__xludf.DUMMYFUNCTION("""COMPUTED_VALUE"""),"Solid Black")</f>
        <v>Solid Black</v>
      </c>
      <c r="P3421" t="str">
        <f>IFERROR(__xludf.DUMMYFUNCTION("""COMPUTED_VALUE"""),"18 inch")</f>
        <v>18 inch</v>
      </c>
      <c r="Q3421" t="str">
        <f>IFERROR(__xludf.DUMMYFUNCTION("""COMPUTED_VALUE"""),"All Black")</f>
        <v>All Black</v>
      </c>
      <c r="R3421" t="str">
        <f>IFERROR(__xludf.DUMMYFUNCTION("""COMPUTED_VALUE"""),"Autopilot included")</f>
        <v>Autopilot included</v>
      </c>
      <c r="S3421" t="str">
        <f>IFERROR(__xludf.DUMMYFUNCTION("""COMPUTED_VALUE"""),"Loan")</f>
        <v>Loan</v>
      </c>
      <c r="T3421" t="str">
        <f>IFERROR(__xludf.DUMMYFUNCTION("""COMPUTED_VALUE"""),"Alfa Romeo Giulia")</f>
        <v>Alfa Romeo Giulia</v>
      </c>
      <c r="U3421" t="str">
        <f>IFERROR(__xludf.DUMMYFUNCTION("""COMPUTED_VALUE"""),"Electric!")</f>
        <v>Electric!</v>
      </c>
      <c r="V3421" t="str">
        <f>IFERROR(__xludf.DUMMYFUNCTION("""COMPUTED_VALUE"""),"360° Bird's eye view")</f>
        <v>360° Bird's eye view</v>
      </c>
      <c r="X3421" t="str">
        <f>IFERROR(__xludf.DUMMYFUNCTION("""COMPUTED_VALUE"""),"Excellent")</f>
        <v>Excellent</v>
      </c>
      <c r="Y3421" t="str">
        <f>IFERROR(__xludf.DUMMYFUNCTION("""COMPUTED_VALUE"""),"Excellent")</f>
        <v>Excellent</v>
      </c>
      <c r="Z3421" t="str">
        <f>IFERROR(__xludf.DUMMYFUNCTION("""COMPUTED_VALUE"""),"Excellent")</f>
        <v>Excellent</v>
      </c>
      <c r="AA3421" t="str">
        <f>IFERROR(__xludf.DUMMYFUNCTION("""COMPUTED_VALUE"""),"Poor")</f>
        <v>Poor</v>
      </c>
      <c r="AB3421" t="str">
        <f>IFERROR(__xludf.DUMMYFUNCTION("""COMPUTED_VALUE"""),"Very Good")</f>
        <v>Very Good</v>
      </c>
      <c r="AF3421" t="str">
        <f>IFERROR(__xludf.DUMMYFUNCTION("""COMPUTED_VALUE"""),"No. I took delivery of the first car Tesla was able to deliver.")</f>
        <v>No. I took delivery of the first car Tesla was able to deliver.</v>
      </c>
      <c r="AH3421" s="189">
        <f>IFERROR(__xludf.DUMMYFUNCTION("""COMPUTED_VALUE"""),44445.74050886574)</f>
        <v>44445.74051</v>
      </c>
    </row>
    <row r="3422">
      <c r="A3422" t="str">
        <f>IFERROR(__xludf.DUMMYFUNCTION("""COMPUTED_VALUE"""),"Umafurm@n")</f>
        <v>Umafurm@n</v>
      </c>
      <c r="C3422" t="str">
        <f>IFERROR(__xludf.DUMMYFUNCTION("""COMPUTED_VALUE"""),"NY")</f>
        <v>NY</v>
      </c>
      <c r="D3422" t="str">
        <f>IFERROR(__xludf.DUMMYFUNCTION("""COMPUTED_VALUE"""),"USA")</f>
        <v>USA</v>
      </c>
      <c r="E3422" s="188">
        <f>IFERROR(__xludf.DUMMYFUNCTION("""COMPUTED_VALUE"""),44404.0)</f>
        <v>44404</v>
      </c>
      <c r="F3422" s="188">
        <f>IFERROR(__xludf.DUMMYFUNCTION("""COMPUTED_VALUE"""),44436.0)</f>
        <v>44436</v>
      </c>
      <c r="G3422" t="str">
        <f>IFERROR(__xludf.DUMMYFUNCTION("""COMPUTED_VALUE"""),"Manage order page (normal text)")</f>
        <v>Manage order page (normal text)</v>
      </c>
      <c r="H3422">
        <f>IFERROR(__xludf.DUMMYFUNCTION("""COMPUTED_VALUE"""),51055.0)</f>
        <v>51055</v>
      </c>
      <c r="J3422" s="188">
        <f>IFERROR(__xludf.DUMMYFUNCTION("""COMPUTED_VALUE"""),44450.0)</f>
        <v>44450</v>
      </c>
      <c r="K3422">
        <f>IFERROR(__xludf.DUMMYFUNCTION("""COMPUTED_VALUE"""),32.0)</f>
        <v>32</v>
      </c>
      <c r="L3422">
        <f>IFERROR(__xludf.DUMMYFUNCTION("""COMPUTED_VALUE"""),14.0)</f>
        <v>14</v>
      </c>
      <c r="M3422">
        <f>IFERROR(__xludf.DUMMYFUNCTION("""COMPUTED_VALUE"""),46.0)</f>
        <v>46</v>
      </c>
      <c r="N3422" t="str">
        <f>IFERROR(__xludf.DUMMYFUNCTION("""COMPUTED_VALUE"""),"Model 3 LR AWD")</f>
        <v>Model 3 LR AWD</v>
      </c>
      <c r="O3422" t="str">
        <f>IFERROR(__xludf.DUMMYFUNCTION("""COMPUTED_VALUE"""),"Solid Black")</f>
        <v>Solid Black</v>
      </c>
      <c r="P3422" t="str">
        <f>IFERROR(__xludf.DUMMYFUNCTION("""COMPUTED_VALUE"""),"18 inch")</f>
        <v>18 inch</v>
      </c>
      <c r="Q3422" t="str">
        <f>IFERROR(__xludf.DUMMYFUNCTION("""COMPUTED_VALUE"""),"Black and White")</f>
        <v>Black and White</v>
      </c>
      <c r="R3422" t="str">
        <f>IFERROR(__xludf.DUMMYFUNCTION("""COMPUTED_VALUE"""),"Autopilot included")</f>
        <v>Autopilot included</v>
      </c>
      <c r="S3422" t="str">
        <f>IFERROR(__xludf.DUMMYFUNCTION("""COMPUTED_VALUE"""),"Loan")</f>
        <v>Loan</v>
      </c>
      <c r="T3422" t="str">
        <f>IFERROR(__xludf.DUMMYFUNCTION("""COMPUTED_VALUE"""),"Model 3 will be my first car!")</f>
        <v>Model 3 will be my first car!</v>
      </c>
      <c r="AH3422" s="189">
        <f>IFERROR(__xludf.DUMMYFUNCTION("""COMPUTED_VALUE"""),44440.634832766205)</f>
        <v>44440.63483</v>
      </c>
    </row>
    <row r="3423">
      <c r="A3423" t="str">
        <f>IFERROR(__xludf.DUMMYFUNCTION("""COMPUTED_VALUE"""),"Stinger1234")</f>
        <v>Stinger1234</v>
      </c>
      <c r="B3423" t="str">
        <f>IFERROR(__xludf.DUMMYFUNCTION("""COMPUTED_VALUE"""),"Calgary")</f>
        <v>Calgary</v>
      </c>
      <c r="C3423" t="str">
        <f>IFERROR(__xludf.DUMMYFUNCTION("""COMPUTED_VALUE"""),"AB")</f>
        <v>AB</v>
      </c>
      <c r="D3423" t="str">
        <f>IFERROR(__xludf.DUMMYFUNCTION("""COMPUTED_VALUE"""),"Canada")</f>
        <v>Canada</v>
      </c>
      <c r="E3423" s="188">
        <f>IFERROR(__xludf.DUMMYFUNCTION("""COMPUTED_VALUE"""),44390.0)</f>
        <v>44390</v>
      </c>
      <c r="F3423" s="188">
        <f>IFERROR(__xludf.DUMMYFUNCTION("""COMPUTED_VALUE"""),44442.0)</f>
        <v>44442</v>
      </c>
      <c r="G3423" t="str">
        <f>IFERROR(__xludf.DUMMYFUNCTION("""COMPUTED_VALUE"""),"MVPA")</f>
        <v>MVPA</v>
      </c>
      <c r="H3423">
        <f>IFERROR(__xludf.DUMMYFUNCTION("""COMPUTED_VALUE"""),56755.0)</f>
        <v>56755</v>
      </c>
      <c r="I3423" t="str">
        <f>IFERROR(__xludf.DUMMYFUNCTION("""COMPUTED_VALUE"""),"09/21")</f>
        <v>09/21</v>
      </c>
      <c r="K3423">
        <f>IFERROR(__xludf.DUMMYFUNCTION("""COMPUTED_VALUE"""),52.0)</f>
        <v>52</v>
      </c>
      <c r="N3423" t="str">
        <f>IFERROR(__xludf.DUMMYFUNCTION("""COMPUTED_VALUE"""),"Model 3 LR AWD")</f>
        <v>Model 3 LR AWD</v>
      </c>
      <c r="O3423" t="str">
        <f>IFERROR(__xludf.DUMMYFUNCTION("""COMPUTED_VALUE"""),"Red Multi-Coat")</f>
        <v>Red Multi-Coat</v>
      </c>
      <c r="P3423" t="str">
        <f>IFERROR(__xludf.DUMMYFUNCTION("""COMPUTED_VALUE"""),"18 inch")</f>
        <v>18 inch</v>
      </c>
      <c r="Q3423" t="str">
        <f>IFERROR(__xludf.DUMMYFUNCTION("""COMPUTED_VALUE"""),"Black and White")</f>
        <v>Black and White</v>
      </c>
      <c r="R3423" t="str">
        <f>IFERROR(__xludf.DUMMYFUNCTION("""COMPUTED_VALUE"""),"Autopilot included")</f>
        <v>Autopilot included</v>
      </c>
      <c r="S3423" t="str">
        <f>IFERROR(__xludf.DUMMYFUNCTION("""COMPUTED_VALUE"""),"Cash")</f>
        <v>Cash</v>
      </c>
      <c r="T3423" t="str">
        <f>IFERROR(__xludf.DUMMYFUNCTION("""COMPUTED_VALUE"""),"Tesla Model S")</f>
        <v>Tesla Model S</v>
      </c>
      <c r="U3423" t="str">
        <f>IFERROR(__xludf.DUMMYFUNCTION("""COMPUTED_VALUE"""),"Electric!")</f>
        <v>Electric!</v>
      </c>
      <c r="V3423" t="str">
        <f>IFERROR(__xludf.DUMMYFUNCTION("""COMPUTED_VALUE"""),"Head-up display")</f>
        <v>Head-up display</v>
      </c>
      <c r="AH3423" s="189">
        <f>IFERROR(__xludf.DUMMYFUNCTION("""COMPUTED_VALUE"""),44443.33346026621)</f>
        <v>44443.33346</v>
      </c>
    </row>
    <row r="3424">
      <c r="A3424" t="str">
        <f>IFERROR(__xludf.DUMMYFUNCTION("""COMPUTED_VALUE"""),"Geo2021")</f>
        <v>Geo2021</v>
      </c>
      <c r="B3424" t="str">
        <f>IFERROR(__xludf.DUMMYFUNCTION("""COMPUTED_VALUE"""),"Cincinnati")</f>
        <v>Cincinnati</v>
      </c>
      <c r="C3424" t="str">
        <f>IFERROR(__xludf.DUMMYFUNCTION("""COMPUTED_VALUE"""),"OH")</f>
        <v>OH</v>
      </c>
      <c r="D3424" t="str">
        <f>IFERROR(__xludf.DUMMYFUNCTION("""COMPUTED_VALUE"""),"USA")</f>
        <v>USA</v>
      </c>
      <c r="E3424" s="188">
        <f>IFERROR(__xludf.DUMMYFUNCTION("""COMPUTED_VALUE"""),44418.0)</f>
        <v>44418</v>
      </c>
      <c r="F3424" s="188">
        <f>IFERROR(__xludf.DUMMYFUNCTION("""COMPUTED_VALUE"""),44453.0)</f>
        <v>44453</v>
      </c>
      <c r="G3424" t="str">
        <f>IFERROR(__xludf.DUMMYFUNCTION("""COMPUTED_VALUE"""),"Manage order page (normal text)")</f>
        <v>Manage order page (normal text)</v>
      </c>
      <c r="H3424">
        <f>IFERROR(__xludf.DUMMYFUNCTION("""COMPUTED_VALUE"""),60955.0)</f>
        <v>60955</v>
      </c>
      <c r="J3424" s="188">
        <f>IFERROR(__xludf.DUMMYFUNCTION("""COMPUTED_VALUE"""),44458.0)</f>
        <v>44458</v>
      </c>
      <c r="K3424">
        <f>IFERROR(__xludf.DUMMYFUNCTION("""COMPUTED_VALUE"""),35.0)</f>
        <v>35</v>
      </c>
      <c r="L3424">
        <f>IFERROR(__xludf.DUMMYFUNCTION("""COMPUTED_VALUE"""),5.0)</f>
        <v>5</v>
      </c>
      <c r="M3424">
        <f>IFERROR(__xludf.DUMMYFUNCTION("""COMPUTED_VALUE"""),40.0)</f>
        <v>40</v>
      </c>
      <c r="N3424" t="str">
        <f>IFERROR(__xludf.DUMMYFUNCTION("""COMPUTED_VALUE"""),"Model 3 LR AWD")</f>
        <v>Model 3 LR AWD</v>
      </c>
      <c r="O3424" t="str">
        <f>IFERROR(__xludf.DUMMYFUNCTION("""COMPUTED_VALUE"""),"Pearl White Multi-Coat")</f>
        <v>Pearl White Multi-Coat</v>
      </c>
      <c r="P3424" t="str">
        <f>IFERROR(__xludf.DUMMYFUNCTION("""COMPUTED_VALUE"""),"18 inch")</f>
        <v>18 inch</v>
      </c>
      <c r="Q3424" t="str">
        <f>IFERROR(__xludf.DUMMYFUNCTION("""COMPUTED_VALUE"""),"All Black")</f>
        <v>All Black</v>
      </c>
      <c r="R3424" t="str">
        <f>IFERROR(__xludf.DUMMYFUNCTION("""COMPUTED_VALUE"""),"Autopilot included")</f>
        <v>Autopilot included</v>
      </c>
      <c r="S3424" t="str">
        <f>IFERROR(__xludf.DUMMYFUNCTION("""COMPUTED_VALUE"""),"Cash")</f>
        <v>Cash</v>
      </c>
      <c r="T3424" t="str">
        <f>IFERROR(__xludf.DUMMYFUNCTION("""COMPUTED_VALUE"""),"Toyota Tacoma")</f>
        <v>Toyota Tacoma</v>
      </c>
      <c r="U3424" t="str">
        <f>IFERROR(__xludf.DUMMYFUNCTION("""COMPUTED_VALUE"""),"Electric!")</f>
        <v>Electric!</v>
      </c>
      <c r="V3424" t="str">
        <f>IFERROR(__xludf.DUMMYFUNCTION("""COMPUTED_VALUE"""),"Blind spot indicators on side mirrors")</f>
        <v>Blind spot indicators on side mirrors</v>
      </c>
      <c r="X3424" t="str">
        <f>IFERROR(__xludf.DUMMYFUNCTION("""COMPUTED_VALUE"""),"Excellent")</f>
        <v>Excellent</v>
      </c>
      <c r="Y3424" t="str">
        <f>IFERROR(__xludf.DUMMYFUNCTION("""COMPUTED_VALUE"""),"Excellent")</f>
        <v>Excellent</v>
      </c>
      <c r="Z3424" t="str">
        <f>IFERROR(__xludf.DUMMYFUNCTION("""COMPUTED_VALUE"""),"Excellent")</f>
        <v>Excellent</v>
      </c>
      <c r="AA3424" t="str">
        <f>IFERROR(__xludf.DUMMYFUNCTION("""COMPUTED_VALUE"""),"Excellent")</f>
        <v>Excellent</v>
      </c>
      <c r="AB3424" t="str">
        <f>IFERROR(__xludf.DUMMYFUNCTION("""COMPUTED_VALUE"""),"Excellent")</f>
        <v>Excellent</v>
      </c>
      <c r="AC3424">
        <f>IFERROR(__xludf.DUMMYFUNCTION("""COMPUTED_VALUE"""),1.0)</f>
        <v>1</v>
      </c>
      <c r="AD3424">
        <f>IFERROR(__xludf.DUMMYFUNCTION("""COMPUTED_VALUE"""),1.0)</f>
        <v>1</v>
      </c>
      <c r="AE3424">
        <f>IFERROR(__xludf.DUMMYFUNCTION("""COMPUTED_VALUE"""),0.0)</f>
        <v>0</v>
      </c>
      <c r="AF3424" t="str">
        <f>IFERROR(__xludf.DUMMYFUNCTION("""COMPUTED_VALUE"""),"No. I took delivery of the first car Tesla was able to deliver.")</f>
        <v>No. I took delivery of the first car Tesla was able to deliver.</v>
      </c>
      <c r="AH3424" s="189">
        <f>IFERROR(__xludf.DUMMYFUNCTION("""COMPUTED_VALUE"""),44463.46958853009)</f>
        <v>44463.46959</v>
      </c>
    </row>
    <row r="3425">
      <c r="A3425" t="str">
        <f>IFERROR(__xludf.DUMMYFUNCTION("""COMPUTED_VALUE"""),"rahi")</f>
        <v>rahi</v>
      </c>
      <c r="B3425" t="str">
        <f>IFERROR(__xludf.DUMMYFUNCTION("""COMPUTED_VALUE"""),"Montreal")</f>
        <v>Montreal</v>
      </c>
      <c r="C3425" t="str">
        <f>IFERROR(__xludf.DUMMYFUNCTION("""COMPUTED_VALUE"""),"QC")</f>
        <v>QC</v>
      </c>
      <c r="D3425" t="str">
        <f>IFERROR(__xludf.DUMMYFUNCTION("""COMPUTED_VALUE"""),"Canada")</f>
        <v>Canada</v>
      </c>
      <c r="E3425" s="188">
        <f>IFERROR(__xludf.DUMMYFUNCTION("""COMPUTED_VALUE"""),44421.0)</f>
        <v>44421</v>
      </c>
      <c r="N3425" t="str">
        <f>IFERROR(__xludf.DUMMYFUNCTION("""COMPUTED_VALUE"""),"Model 3 SR+")</f>
        <v>Model 3 SR+</v>
      </c>
      <c r="O3425" t="str">
        <f>IFERROR(__xludf.DUMMYFUNCTION("""COMPUTED_VALUE"""),"Pearl White Multi-Coat")</f>
        <v>Pearl White Multi-Coat</v>
      </c>
      <c r="P3425" t="str">
        <f>IFERROR(__xludf.DUMMYFUNCTION("""COMPUTED_VALUE"""),"18 inch")</f>
        <v>18 inch</v>
      </c>
      <c r="Q3425" t="str">
        <f>IFERROR(__xludf.DUMMYFUNCTION("""COMPUTED_VALUE"""),"All Black")</f>
        <v>All Black</v>
      </c>
      <c r="R3425" t="str">
        <f>IFERROR(__xludf.DUMMYFUNCTION("""COMPUTED_VALUE"""),"Autopilot included")</f>
        <v>Autopilot included</v>
      </c>
      <c r="S3425" t="str">
        <f>IFERROR(__xludf.DUMMYFUNCTION("""COMPUTED_VALUE"""),"Loan")</f>
        <v>Loan</v>
      </c>
      <c r="T3425" t="str">
        <f>IFERROR(__xludf.DUMMYFUNCTION("""COMPUTED_VALUE"""),"Honda Civic")</f>
        <v>Honda Civic</v>
      </c>
      <c r="U3425" t="str">
        <f>IFERROR(__xludf.DUMMYFUNCTION("""COMPUTED_VALUE"""),"Electric!")</f>
        <v>Electric!</v>
      </c>
      <c r="V3425" t="str">
        <f>IFERROR(__xludf.DUMMYFUNCTION("""COMPUTED_VALUE"""),"Heated steering wheel")</f>
        <v>Heated steering wheel</v>
      </c>
      <c r="AH3425" s="189">
        <f>IFERROR(__xludf.DUMMYFUNCTION("""COMPUTED_VALUE"""),44436.782242905094)</f>
        <v>44436.78224</v>
      </c>
    </row>
    <row r="3426">
      <c r="A3426" t="str">
        <f>IFERROR(__xludf.DUMMYFUNCTION("""COMPUTED_VALUE"""),"Offended")</f>
        <v>Offended</v>
      </c>
      <c r="B3426" t="str">
        <f>IFERROR(__xludf.DUMMYFUNCTION("""COMPUTED_VALUE"""),"Seattle")</f>
        <v>Seattle</v>
      </c>
      <c r="C3426" t="str">
        <f>IFERROR(__xludf.DUMMYFUNCTION("""COMPUTED_VALUE"""),"WA")</f>
        <v>WA</v>
      </c>
      <c r="D3426" t="str">
        <f>IFERROR(__xludf.DUMMYFUNCTION("""COMPUTED_VALUE"""),"USA")</f>
        <v>USA</v>
      </c>
      <c r="E3426" s="188">
        <f>IFERROR(__xludf.DUMMYFUNCTION("""COMPUTED_VALUE"""),44409.0)</f>
        <v>44409</v>
      </c>
      <c r="N3426" t="str">
        <f>IFERROR(__xludf.DUMMYFUNCTION("""COMPUTED_VALUE"""),"Model 3 Performance")</f>
        <v>Model 3 Performance</v>
      </c>
      <c r="O3426" t="str">
        <f>IFERROR(__xludf.DUMMYFUNCTION("""COMPUTED_VALUE"""),"Pearl White Multi-Coat")</f>
        <v>Pearl White Multi-Coat</v>
      </c>
      <c r="P3426" t="str">
        <f>IFERROR(__xludf.DUMMYFUNCTION("""COMPUTED_VALUE"""),"20 inch")</f>
        <v>20 inch</v>
      </c>
      <c r="Q3426" t="str">
        <f>IFERROR(__xludf.DUMMYFUNCTION("""COMPUTED_VALUE"""),"Black and White")</f>
        <v>Black and White</v>
      </c>
      <c r="R3426" t="str">
        <f>IFERROR(__xludf.DUMMYFUNCTION("""COMPUTED_VALUE"""),"Autopilot included")</f>
        <v>Autopilot included</v>
      </c>
      <c r="S3426" t="str">
        <f>IFERROR(__xludf.DUMMYFUNCTION("""COMPUTED_VALUE"""),"Cash")</f>
        <v>Cash</v>
      </c>
      <c r="AH3426" s="189">
        <f>IFERROR(__xludf.DUMMYFUNCTION("""COMPUTED_VALUE"""),44436.80196362268)</f>
        <v>44436.80196</v>
      </c>
    </row>
    <row r="3427">
      <c r="A3427" t="str">
        <f>IFERROR(__xludf.DUMMYFUNCTION("""COMPUTED_VALUE"""),"SD419")</f>
        <v>SD419</v>
      </c>
      <c r="B3427" t="str">
        <f>IFERROR(__xludf.DUMMYFUNCTION("""COMPUTED_VALUE"""),"Oceanside")</f>
        <v>Oceanside</v>
      </c>
      <c r="C3427" t="str">
        <f>IFERROR(__xludf.DUMMYFUNCTION("""COMPUTED_VALUE"""),"CA")</f>
        <v>CA</v>
      </c>
      <c r="D3427" t="str">
        <f>IFERROR(__xludf.DUMMYFUNCTION("""COMPUTED_VALUE"""),"USA")</f>
        <v>USA</v>
      </c>
      <c r="E3427" s="188">
        <f>IFERROR(__xludf.DUMMYFUNCTION("""COMPUTED_VALUE"""),44408.0)</f>
        <v>44408</v>
      </c>
      <c r="F3427" s="188">
        <f>IFERROR(__xludf.DUMMYFUNCTION("""COMPUTED_VALUE"""),44460.0)</f>
        <v>44460</v>
      </c>
      <c r="G3427" t="str">
        <f>IFERROR(__xludf.DUMMYFUNCTION("""COMPUTED_VALUE"""),"Manage order page (normal text)")</f>
        <v>Manage order page (normal text)</v>
      </c>
      <c r="H3427">
        <f>IFERROR(__xludf.DUMMYFUNCTION("""COMPUTED_VALUE"""),64855.0)</f>
        <v>64855</v>
      </c>
      <c r="J3427" s="188">
        <f>IFERROR(__xludf.DUMMYFUNCTION("""COMPUTED_VALUE"""),44463.0)</f>
        <v>44463</v>
      </c>
      <c r="K3427">
        <f>IFERROR(__xludf.DUMMYFUNCTION("""COMPUTED_VALUE"""),52.0)</f>
        <v>52</v>
      </c>
      <c r="L3427">
        <f>IFERROR(__xludf.DUMMYFUNCTION("""COMPUTED_VALUE"""),3.0)</f>
        <v>3</v>
      </c>
      <c r="M3427">
        <f>IFERROR(__xludf.DUMMYFUNCTION("""COMPUTED_VALUE"""),55.0)</f>
        <v>55</v>
      </c>
      <c r="N3427" t="str">
        <f>IFERROR(__xludf.DUMMYFUNCTION("""COMPUTED_VALUE"""),"Model 3 SR+")</f>
        <v>Model 3 SR+</v>
      </c>
      <c r="O3427" t="str">
        <f>IFERROR(__xludf.DUMMYFUNCTION("""COMPUTED_VALUE"""),"Pearl White Multi-Coat")</f>
        <v>Pearl White Multi-Coat</v>
      </c>
      <c r="P3427" t="str">
        <f>IFERROR(__xludf.DUMMYFUNCTION("""COMPUTED_VALUE"""),"19 inch")</f>
        <v>19 inch</v>
      </c>
      <c r="Q3427" t="str">
        <f>IFERROR(__xludf.DUMMYFUNCTION("""COMPUTED_VALUE"""),"Black and White")</f>
        <v>Black and White</v>
      </c>
      <c r="R3427" t="str">
        <f>IFERROR(__xludf.DUMMYFUNCTION("""COMPUTED_VALUE"""),"Autopilot included")</f>
        <v>Autopilot included</v>
      </c>
      <c r="S3427" t="str">
        <f>IFERROR(__xludf.DUMMYFUNCTION("""COMPUTED_VALUE"""),"Cash")</f>
        <v>Cash</v>
      </c>
      <c r="T3427" t="str">
        <f>IFERROR(__xludf.DUMMYFUNCTION("""COMPUTED_VALUE"""),"Acura MDX")</f>
        <v>Acura MDX</v>
      </c>
      <c r="U3427" t="str">
        <f>IFERROR(__xludf.DUMMYFUNCTION("""COMPUTED_VALUE"""),"Electric!")</f>
        <v>Electric!</v>
      </c>
      <c r="AH3427" s="189">
        <f>IFERROR(__xludf.DUMMYFUNCTION("""COMPUTED_VALUE"""),44460.482372604165)</f>
        <v>44460.48237</v>
      </c>
    </row>
    <row r="3428">
      <c r="A3428" t="str">
        <f>IFERROR(__xludf.DUMMYFUNCTION("""COMPUTED_VALUE"""),"mickey05")</f>
        <v>mickey05</v>
      </c>
      <c r="B3428" t="str">
        <f>IFERROR(__xludf.DUMMYFUNCTION("""COMPUTED_VALUE"""),"Hayward")</f>
        <v>Hayward</v>
      </c>
      <c r="C3428" t="str">
        <f>IFERROR(__xludf.DUMMYFUNCTION("""COMPUTED_VALUE"""),"CA")</f>
        <v>CA</v>
      </c>
      <c r="D3428" t="str">
        <f>IFERROR(__xludf.DUMMYFUNCTION("""COMPUTED_VALUE"""),"USA")</f>
        <v>USA</v>
      </c>
      <c r="E3428" s="188">
        <f>IFERROR(__xludf.DUMMYFUNCTION("""COMPUTED_VALUE"""),44415.0)</f>
        <v>44415</v>
      </c>
      <c r="F3428" s="188">
        <f>IFERROR(__xludf.DUMMYFUNCTION("""COMPUTED_VALUE"""),44461.0)</f>
        <v>44461</v>
      </c>
      <c r="G3428" t="str">
        <f>IFERROR(__xludf.DUMMYFUNCTION("""COMPUTED_VALUE"""),"Manage order page (normal text)")</f>
        <v>Manage order page (normal text)</v>
      </c>
      <c r="H3428">
        <f>IFERROR(__xludf.DUMMYFUNCTION("""COMPUTED_VALUE"""),72955.0)</f>
        <v>72955</v>
      </c>
      <c r="J3428" s="188">
        <f>IFERROR(__xludf.DUMMYFUNCTION("""COMPUTED_VALUE"""),44462.0)</f>
        <v>44462</v>
      </c>
      <c r="K3428">
        <f>IFERROR(__xludf.DUMMYFUNCTION("""COMPUTED_VALUE"""),46.0)</f>
        <v>46</v>
      </c>
      <c r="L3428">
        <f>IFERROR(__xludf.DUMMYFUNCTION("""COMPUTED_VALUE"""),1.0)</f>
        <v>1</v>
      </c>
      <c r="M3428">
        <f>IFERROR(__xludf.DUMMYFUNCTION("""COMPUTED_VALUE"""),47.0)</f>
        <v>47</v>
      </c>
      <c r="N3428" t="str">
        <f>IFERROR(__xludf.DUMMYFUNCTION("""COMPUTED_VALUE"""),"Model 3 LR AWD")</f>
        <v>Model 3 LR AWD</v>
      </c>
      <c r="O3428" t="str">
        <f>IFERROR(__xludf.DUMMYFUNCTION("""COMPUTED_VALUE"""),"Pearl White Multi-Coat")</f>
        <v>Pearl White Multi-Coat</v>
      </c>
      <c r="P3428" t="str">
        <f>IFERROR(__xludf.DUMMYFUNCTION("""COMPUTED_VALUE"""),"18 inch")</f>
        <v>18 inch</v>
      </c>
      <c r="Q3428" t="str">
        <f>IFERROR(__xludf.DUMMYFUNCTION("""COMPUTED_VALUE"""),"All Black")</f>
        <v>All Black</v>
      </c>
      <c r="R3428" t="str">
        <f>IFERROR(__xludf.DUMMYFUNCTION("""COMPUTED_VALUE"""),"Autopilot included")</f>
        <v>Autopilot included</v>
      </c>
      <c r="S3428" t="str">
        <f>IFERROR(__xludf.DUMMYFUNCTION("""COMPUTED_VALUE"""),"Loan")</f>
        <v>Loan</v>
      </c>
      <c r="T3428" t="str">
        <f>IFERROR(__xludf.DUMMYFUNCTION("""COMPUTED_VALUE"""),"no car")</f>
        <v>no car</v>
      </c>
      <c r="U3428" t="str">
        <f>IFERROR(__xludf.DUMMYFUNCTION("""COMPUTED_VALUE"""),"Electric!")</f>
        <v>Electric!</v>
      </c>
      <c r="V3428" t="str">
        <f>IFERROR(__xludf.DUMMYFUNCTION("""COMPUTED_VALUE"""),"Apple CarPlay / Android Auto / SiriusXM Radio")</f>
        <v>Apple CarPlay / Android Auto / SiriusXM Radio</v>
      </c>
      <c r="AH3428" s="189">
        <f>IFERROR(__xludf.DUMMYFUNCTION("""COMPUTED_VALUE"""),44462.53276516203)</f>
        <v>44462.53277</v>
      </c>
    </row>
    <row r="3429">
      <c r="A3429" t="str">
        <f>IFERROR(__xludf.DUMMYFUNCTION("""COMPUTED_VALUE"""),"JaTwoZsPer")</f>
        <v>JaTwoZsPer</v>
      </c>
      <c r="B3429" t="str">
        <f>IFERROR(__xludf.DUMMYFUNCTION("""COMPUTED_VALUE"""),"Aubrey")</f>
        <v>Aubrey</v>
      </c>
      <c r="C3429" t="str">
        <f>IFERROR(__xludf.DUMMYFUNCTION("""COMPUTED_VALUE"""),"TX")</f>
        <v>TX</v>
      </c>
      <c r="D3429" t="str">
        <f>IFERROR(__xludf.DUMMYFUNCTION("""COMPUTED_VALUE"""),"USA")</f>
        <v>USA</v>
      </c>
      <c r="E3429" s="188">
        <f>IFERROR(__xludf.DUMMYFUNCTION("""COMPUTED_VALUE"""),44373.0)</f>
        <v>44373</v>
      </c>
      <c r="F3429" s="188">
        <f>IFERROR(__xludf.DUMMYFUNCTION("""COMPUTED_VALUE"""),44425.0)</f>
        <v>44425</v>
      </c>
      <c r="G3429" t="str">
        <f>IFERROR(__xludf.DUMMYFUNCTION("""COMPUTED_VALUE"""),"Manage order page (normal text)")</f>
        <v>Manage order page (normal text)</v>
      </c>
      <c r="H3429">
        <f>IFERROR(__xludf.DUMMYFUNCTION("""COMPUTED_VALUE"""),34255.0)</f>
        <v>34255</v>
      </c>
      <c r="I3429" t="str">
        <f>IFERROR(__xludf.DUMMYFUNCTION("""COMPUTED_VALUE"""),"07/21")</f>
        <v>07/21</v>
      </c>
      <c r="J3429" s="188">
        <f>IFERROR(__xludf.DUMMYFUNCTION("""COMPUTED_VALUE"""),44433.0)</f>
        <v>44433</v>
      </c>
      <c r="K3429">
        <f>IFERROR(__xludf.DUMMYFUNCTION("""COMPUTED_VALUE"""),52.0)</f>
        <v>52</v>
      </c>
      <c r="L3429">
        <f>IFERROR(__xludf.DUMMYFUNCTION("""COMPUTED_VALUE"""),8.0)</f>
        <v>8</v>
      </c>
      <c r="M3429">
        <f>IFERROR(__xludf.DUMMYFUNCTION("""COMPUTED_VALUE"""),60.0)</f>
        <v>60</v>
      </c>
      <c r="N3429" t="str">
        <f>IFERROR(__xludf.DUMMYFUNCTION("""COMPUTED_VALUE"""),"Model 3 LR AWD")</f>
        <v>Model 3 LR AWD</v>
      </c>
      <c r="O3429" t="str">
        <f>IFERROR(__xludf.DUMMYFUNCTION("""COMPUTED_VALUE"""),"Deep Blue Metallic")</f>
        <v>Deep Blue Metallic</v>
      </c>
      <c r="P3429" t="str">
        <f>IFERROR(__xludf.DUMMYFUNCTION("""COMPUTED_VALUE"""),"18 inch")</f>
        <v>18 inch</v>
      </c>
      <c r="Q3429" t="str">
        <f>IFERROR(__xludf.DUMMYFUNCTION("""COMPUTED_VALUE"""),"Black and White")</f>
        <v>Black and White</v>
      </c>
      <c r="R3429" t="str">
        <f>IFERROR(__xludf.DUMMYFUNCTION("""COMPUTED_VALUE"""),"Autopilot included")</f>
        <v>Autopilot included</v>
      </c>
      <c r="S3429" t="str">
        <f>IFERROR(__xludf.DUMMYFUNCTION("""COMPUTED_VALUE"""),"Loan")</f>
        <v>Loan</v>
      </c>
      <c r="T3429" t="str">
        <f>IFERROR(__xludf.DUMMYFUNCTION("""COMPUTED_VALUE"""),"Chevrolet Silverado 1500 LT")</f>
        <v>Chevrolet Silverado 1500 LT</v>
      </c>
      <c r="U3429" t="str">
        <f>IFERROR(__xludf.DUMMYFUNCTION("""COMPUTED_VALUE"""),"Autopilot")</f>
        <v>Autopilot</v>
      </c>
      <c r="V3429" t="str">
        <f>IFERROR(__xludf.DUMMYFUNCTION("""COMPUTED_VALUE"""),"Ventilated seats")</f>
        <v>Ventilated seats</v>
      </c>
      <c r="W3429" t="str">
        <f>IFERROR(__xludf.DUMMYFUNCTION("""COMPUTED_VALUE"""),"Don't watch the ever-changing date. Use the date range Tesla provided initially and go about your day. Check only to see if a VIN is provided, then get insurance.")</f>
        <v>Don't watch the ever-changing date. Use the date range Tesla provided initially and go about your day. Check only to see if a VIN is provided, then get insurance.</v>
      </c>
      <c r="X3429" t="str">
        <f>IFERROR(__xludf.DUMMYFUNCTION("""COMPUTED_VALUE"""),"Excellent")</f>
        <v>Excellent</v>
      </c>
      <c r="Y3429" t="str">
        <f>IFERROR(__xludf.DUMMYFUNCTION("""COMPUTED_VALUE"""),"Excellent")</f>
        <v>Excellent</v>
      </c>
      <c r="Z3429" t="str">
        <f>IFERROR(__xludf.DUMMYFUNCTION("""COMPUTED_VALUE"""),"Excellent")</f>
        <v>Excellent</v>
      </c>
      <c r="AA3429" t="str">
        <f>IFERROR(__xludf.DUMMYFUNCTION("""COMPUTED_VALUE"""),"Excellent")</f>
        <v>Excellent</v>
      </c>
      <c r="AB3429" t="str">
        <f>IFERROR(__xludf.DUMMYFUNCTION("""COMPUTED_VALUE"""),"Excellent")</f>
        <v>Excellent</v>
      </c>
      <c r="AC3429">
        <f>IFERROR(__xludf.DUMMYFUNCTION("""COMPUTED_VALUE"""),1.0)</f>
        <v>1</v>
      </c>
      <c r="AD3429">
        <f>IFERROR(__xludf.DUMMYFUNCTION("""COMPUTED_VALUE"""),0.0)</f>
        <v>0</v>
      </c>
      <c r="AE3429">
        <f>IFERROR(__xludf.DUMMYFUNCTION("""COMPUTED_VALUE"""),0.0)</f>
        <v>0</v>
      </c>
      <c r="AF3429" t="str">
        <f>IFERROR(__xludf.DUMMYFUNCTION("""COMPUTED_VALUE"""),"No. I took delivery of the first car Tesla was able to deliver.")</f>
        <v>No. I took delivery of the first car Tesla was able to deliver.</v>
      </c>
      <c r="AG3429" t="str">
        <f>IFERROR(__xludf.DUMMYFUNCTION("""COMPUTED_VALUE"""),"Day 1: Gun it to 100")</f>
        <v>Day 1: Gun it to 100</v>
      </c>
      <c r="AH3429" s="189">
        <f>IFERROR(__xludf.DUMMYFUNCTION("""COMPUTED_VALUE"""),44438.30207597223)</f>
        <v>44438.30208</v>
      </c>
    </row>
    <row r="3430">
      <c r="A3430" t="str">
        <f>IFERROR(__xludf.DUMMYFUNCTION("""COMPUTED_VALUE"""),"amcsquared")</f>
        <v>amcsquared</v>
      </c>
      <c r="B3430" t="str">
        <f>IFERROR(__xludf.DUMMYFUNCTION("""COMPUTED_VALUE"""),"SoCal")</f>
        <v>SoCal</v>
      </c>
      <c r="C3430" t="str">
        <f>IFERROR(__xludf.DUMMYFUNCTION("""COMPUTED_VALUE"""),"CA")</f>
        <v>CA</v>
      </c>
      <c r="D3430" t="str">
        <f>IFERROR(__xludf.DUMMYFUNCTION("""COMPUTED_VALUE"""),"USA")</f>
        <v>USA</v>
      </c>
      <c r="E3430" s="188">
        <f>IFERROR(__xludf.DUMMYFUNCTION("""COMPUTED_VALUE"""),44388.0)</f>
        <v>44388</v>
      </c>
      <c r="F3430" s="188">
        <f>IFERROR(__xludf.DUMMYFUNCTION("""COMPUTED_VALUE"""),44451.0)</f>
        <v>44451</v>
      </c>
      <c r="G3430" t="str">
        <f>IFERROR(__xludf.DUMMYFUNCTION("""COMPUTED_VALUE"""),"Manage order page (normal text)")</f>
        <v>Manage order page (normal text)</v>
      </c>
      <c r="H3430">
        <f>IFERROR(__xludf.DUMMYFUNCTION("""COMPUTED_VALUE"""),64755.0)</f>
        <v>64755</v>
      </c>
      <c r="I3430" t="str">
        <f>IFERROR(__xludf.DUMMYFUNCTION("""COMPUTED_VALUE"""),"09/21")</f>
        <v>09/21</v>
      </c>
      <c r="J3430" s="188">
        <f>IFERROR(__xludf.DUMMYFUNCTION("""COMPUTED_VALUE"""),44454.0)</f>
        <v>44454</v>
      </c>
      <c r="K3430">
        <f>IFERROR(__xludf.DUMMYFUNCTION("""COMPUTED_VALUE"""),63.0)</f>
        <v>63</v>
      </c>
      <c r="L3430">
        <f>IFERROR(__xludf.DUMMYFUNCTION("""COMPUTED_VALUE"""),3.0)</f>
        <v>3</v>
      </c>
      <c r="M3430">
        <f>IFERROR(__xludf.DUMMYFUNCTION("""COMPUTED_VALUE"""),66.0)</f>
        <v>66</v>
      </c>
      <c r="N3430" t="str">
        <f>IFERROR(__xludf.DUMMYFUNCTION("""COMPUTED_VALUE"""),"Model 3 LR AWD")</f>
        <v>Model 3 LR AWD</v>
      </c>
      <c r="O3430" t="str">
        <f>IFERROR(__xludf.DUMMYFUNCTION("""COMPUTED_VALUE"""),"Red Multi-Coat")</f>
        <v>Red Multi-Coat</v>
      </c>
      <c r="P3430" t="str">
        <f>IFERROR(__xludf.DUMMYFUNCTION("""COMPUTED_VALUE"""),"19 inch")</f>
        <v>19 inch</v>
      </c>
      <c r="Q3430" t="str">
        <f>IFERROR(__xludf.DUMMYFUNCTION("""COMPUTED_VALUE"""),"All Black")</f>
        <v>All Black</v>
      </c>
      <c r="R3430" t="str">
        <f>IFERROR(__xludf.DUMMYFUNCTION("""COMPUTED_VALUE"""),"Autopilot included")</f>
        <v>Autopilot included</v>
      </c>
      <c r="AH3430" s="189">
        <f>IFERROR(__xludf.DUMMYFUNCTION("""COMPUTED_VALUE"""),44452.519610567135)</f>
        <v>44452.51961</v>
      </c>
    </row>
    <row r="3431">
      <c r="A3431" t="str">
        <f>IFERROR(__xludf.DUMMYFUNCTION("""COMPUTED_VALUE"""),"weakpulse")</f>
        <v>weakpulse</v>
      </c>
      <c r="B3431" t="str">
        <f>IFERROR(__xludf.DUMMYFUNCTION("""COMPUTED_VALUE"""),"Roseville")</f>
        <v>Roseville</v>
      </c>
      <c r="C3431" t="str">
        <f>IFERROR(__xludf.DUMMYFUNCTION("""COMPUTED_VALUE"""),"CA")</f>
        <v>CA</v>
      </c>
      <c r="D3431" t="str">
        <f>IFERROR(__xludf.DUMMYFUNCTION("""COMPUTED_VALUE"""),"USA")</f>
        <v>USA</v>
      </c>
      <c r="E3431" s="188">
        <f>IFERROR(__xludf.DUMMYFUNCTION("""COMPUTED_VALUE"""),44438.0)</f>
        <v>44438</v>
      </c>
      <c r="F3431" s="188">
        <f>IFERROR(__xludf.DUMMYFUNCTION("""COMPUTED_VALUE"""),44462.0)</f>
        <v>44462</v>
      </c>
      <c r="G3431" t="str">
        <f>IFERROR(__xludf.DUMMYFUNCTION("""COMPUTED_VALUE"""),"Manage order page (normal text)")</f>
        <v>Manage order page (normal text)</v>
      </c>
      <c r="J3431" s="188">
        <f>IFERROR(__xludf.DUMMYFUNCTION("""COMPUTED_VALUE"""),44465.0)</f>
        <v>44465</v>
      </c>
      <c r="K3431">
        <f>IFERROR(__xludf.DUMMYFUNCTION("""COMPUTED_VALUE"""),24.0)</f>
        <v>24</v>
      </c>
      <c r="L3431">
        <f>IFERROR(__xludf.DUMMYFUNCTION("""COMPUTED_VALUE"""),3.0)</f>
        <v>3</v>
      </c>
      <c r="M3431">
        <f>IFERROR(__xludf.DUMMYFUNCTION("""COMPUTED_VALUE"""),27.0)</f>
        <v>27</v>
      </c>
      <c r="N3431" t="str">
        <f>IFERROR(__xludf.DUMMYFUNCTION("""COMPUTED_VALUE"""),"Model 3 Performance")</f>
        <v>Model 3 Performance</v>
      </c>
      <c r="O3431" t="str">
        <f>IFERROR(__xludf.DUMMYFUNCTION("""COMPUTED_VALUE"""),"Pearl White Multi-Coat")</f>
        <v>Pearl White Multi-Coat</v>
      </c>
      <c r="P3431" t="str">
        <f>IFERROR(__xludf.DUMMYFUNCTION("""COMPUTED_VALUE"""),"20 inch")</f>
        <v>20 inch</v>
      </c>
      <c r="Q3431" t="str">
        <f>IFERROR(__xludf.DUMMYFUNCTION("""COMPUTED_VALUE"""),"Black and White")</f>
        <v>Black and White</v>
      </c>
      <c r="R3431" t="str">
        <f>IFERROR(__xludf.DUMMYFUNCTION("""COMPUTED_VALUE"""),"Autopilot included")</f>
        <v>Autopilot included</v>
      </c>
      <c r="S3431" t="str">
        <f>IFERROR(__xludf.DUMMYFUNCTION("""COMPUTED_VALUE"""),"Loan")</f>
        <v>Loan</v>
      </c>
      <c r="T3431" t="str">
        <f>IFERROR(__xludf.DUMMYFUNCTION("""COMPUTED_VALUE"""),"Mercedes Benz E class")</f>
        <v>Mercedes Benz E class</v>
      </c>
      <c r="U3431" t="str">
        <f>IFERROR(__xludf.DUMMYFUNCTION("""COMPUTED_VALUE"""),"Electric!")</f>
        <v>Electric!</v>
      </c>
      <c r="V3431" t="str">
        <f>IFERROR(__xludf.DUMMYFUNCTION("""COMPUTED_VALUE"""),"360° Bird's eye view")</f>
        <v>360° Bird's eye view</v>
      </c>
      <c r="X3431" t="str">
        <f>IFERROR(__xludf.DUMMYFUNCTION("""COMPUTED_VALUE"""),"Very Good")</f>
        <v>Very Good</v>
      </c>
      <c r="Y3431" t="str">
        <f>IFERROR(__xludf.DUMMYFUNCTION("""COMPUTED_VALUE"""),"Very Good")</f>
        <v>Very Good</v>
      </c>
      <c r="Z3431" t="str">
        <f>IFERROR(__xludf.DUMMYFUNCTION("""COMPUTED_VALUE"""),"Excellent")</f>
        <v>Excellent</v>
      </c>
      <c r="AA3431" t="str">
        <f>IFERROR(__xludf.DUMMYFUNCTION("""COMPUTED_VALUE"""),"Good")</f>
        <v>Good</v>
      </c>
      <c r="AB3431" t="str">
        <f>IFERROR(__xludf.DUMMYFUNCTION("""COMPUTED_VALUE"""),"Very Good")</f>
        <v>Very Good</v>
      </c>
      <c r="AC3431">
        <f>IFERROR(__xludf.DUMMYFUNCTION("""COMPUTED_VALUE"""),2.0)</f>
        <v>2</v>
      </c>
      <c r="AF3431" t="str">
        <f>IFERROR(__xludf.DUMMYFUNCTION("""COMPUTED_VALUE"""),"No. I took delivery of the first car Tesla was able to deliver.")</f>
        <v>No. I took delivery of the first car Tesla was able to deliver.</v>
      </c>
      <c r="AH3431" s="189">
        <f>IFERROR(__xludf.DUMMYFUNCTION("""COMPUTED_VALUE"""),44466.84388583333)</f>
        <v>44466.84389</v>
      </c>
    </row>
    <row r="3432">
      <c r="A3432" t="str">
        <f>IFERROR(__xludf.DUMMYFUNCTION("""COMPUTED_VALUE"""),"setokaiba")</f>
        <v>setokaiba</v>
      </c>
      <c r="B3432" t="str">
        <f>IFERROR(__xludf.DUMMYFUNCTION("""COMPUTED_VALUE"""),"Santa Clara")</f>
        <v>Santa Clara</v>
      </c>
      <c r="C3432" t="str">
        <f>IFERROR(__xludf.DUMMYFUNCTION("""COMPUTED_VALUE"""),"CA")</f>
        <v>CA</v>
      </c>
      <c r="D3432" t="str">
        <f>IFERROR(__xludf.DUMMYFUNCTION("""COMPUTED_VALUE"""),"USA")</f>
        <v>USA</v>
      </c>
      <c r="E3432" s="188">
        <f>IFERROR(__xludf.DUMMYFUNCTION("""COMPUTED_VALUE"""),44436.0)</f>
        <v>44436</v>
      </c>
      <c r="N3432" t="str">
        <f>IFERROR(__xludf.DUMMYFUNCTION("""COMPUTED_VALUE"""),"Model 3 SR+")</f>
        <v>Model 3 SR+</v>
      </c>
      <c r="O3432" t="str">
        <f>IFERROR(__xludf.DUMMYFUNCTION("""COMPUTED_VALUE"""),"Deep Blue Metallic")</f>
        <v>Deep Blue Metallic</v>
      </c>
      <c r="P3432" t="str">
        <f>IFERROR(__xludf.DUMMYFUNCTION("""COMPUTED_VALUE"""),"18 inch")</f>
        <v>18 inch</v>
      </c>
      <c r="Q3432" t="str">
        <f>IFERROR(__xludf.DUMMYFUNCTION("""COMPUTED_VALUE"""),"All Black")</f>
        <v>All Black</v>
      </c>
      <c r="R3432" t="str">
        <f>IFERROR(__xludf.DUMMYFUNCTION("""COMPUTED_VALUE"""),"Autopilot included")</f>
        <v>Autopilot included</v>
      </c>
      <c r="S3432" t="str">
        <f>IFERROR(__xludf.DUMMYFUNCTION("""COMPUTED_VALUE"""),"Loan")</f>
        <v>Loan</v>
      </c>
      <c r="T3432" t="str">
        <f>IFERROR(__xludf.DUMMYFUNCTION("""COMPUTED_VALUE"""),"Model 3 will be my first car!")</f>
        <v>Model 3 will be my first car!</v>
      </c>
      <c r="U3432" t="str">
        <f>IFERROR(__xludf.DUMMYFUNCTION("""COMPUTED_VALUE"""),"Electric!")</f>
        <v>Electric!</v>
      </c>
      <c r="V3432" t="str">
        <f>IFERROR(__xludf.DUMMYFUNCTION("""COMPUTED_VALUE"""),"Dashboard")</f>
        <v>Dashboard</v>
      </c>
      <c r="AH3432" s="189">
        <f>IFERROR(__xludf.DUMMYFUNCTION("""COMPUTED_VALUE"""),44439.45551828704)</f>
        <v>44439.45552</v>
      </c>
    </row>
    <row r="3433">
      <c r="A3433" t="str">
        <f>IFERROR(__xludf.DUMMYFUNCTION("""COMPUTED_VALUE"""),"ARoD0524")</f>
        <v>ARoD0524</v>
      </c>
      <c r="B3433" t="str">
        <f>IFERROR(__xludf.DUMMYFUNCTION("""COMPUTED_VALUE"""),"Goodyear")</f>
        <v>Goodyear</v>
      </c>
      <c r="C3433" t="str">
        <f>IFERROR(__xludf.DUMMYFUNCTION("""COMPUTED_VALUE"""),"AZ")</f>
        <v>AZ</v>
      </c>
      <c r="D3433" t="str">
        <f>IFERROR(__xludf.DUMMYFUNCTION("""COMPUTED_VALUE"""),"USA")</f>
        <v>USA</v>
      </c>
      <c r="E3433" s="188">
        <f>IFERROR(__xludf.DUMMYFUNCTION("""COMPUTED_VALUE"""),44402.0)</f>
        <v>44402</v>
      </c>
      <c r="F3433" s="188">
        <f>IFERROR(__xludf.DUMMYFUNCTION("""COMPUTED_VALUE"""),44439.0)</f>
        <v>44439</v>
      </c>
      <c r="G3433" t="str">
        <f>IFERROR(__xludf.DUMMYFUNCTION("""COMPUTED_VALUE"""),"Manage order page (normal text)")</f>
        <v>Manage order page (normal text)</v>
      </c>
      <c r="J3433" s="188">
        <f>IFERROR(__xludf.DUMMYFUNCTION("""COMPUTED_VALUE"""),44443.0)</f>
        <v>44443</v>
      </c>
      <c r="K3433">
        <f>IFERROR(__xludf.DUMMYFUNCTION("""COMPUTED_VALUE"""),37.0)</f>
        <v>37</v>
      </c>
      <c r="L3433">
        <f>IFERROR(__xludf.DUMMYFUNCTION("""COMPUTED_VALUE"""),4.0)</f>
        <v>4</v>
      </c>
      <c r="M3433">
        <f>IFERROR(__xludf.DUMMYFUNCTION("""COMPUTED_VALUE"""),41.0)</f>
        <v>41</v>
      </c>
      <c r="N3433" t="str">
        <f>IFERROR(__xludf.DUMMYFUNCTION("""COMPUTED_VALUE"""),"Model 3 LR AWD")</f>
        <v>Model 3 LR AWD</v>
      </c>
      <c r="O3433" t="str">
        <f>IFERROR(__xludf.DUMMYFUNCTION("""COMPUTED_VALUE"""),"Deep Blue Metallic")</f>
        <v>Deep Blue Metallic</v>
      </c>
      <c r="P3433" t="str">
        <f>IFERROR(__xludf.DUMMYFUNCTION("""COMPUTED_VALUE"""),"19 inch")</f>
        <v>19 inch</v>
      </c>
      <c r="Q3433" t="str">
        <f>IFERROR(__xludf.DUMMYFUNCTION("""COMPUTED_VALUE"""),"All Black")</f>
        <v>All Black</v>
      </c>
      <c r="R3433" t="str">
        <f>IFERROR(__xludf.DUMMYFUNCTION("""COMPUTED_VALUE"""),"Full Self-Driving")</f>
        <v>Full Self-Driving</v>
      </c>
      <c r="S3433" t="str">
        <f>IFERROR(__xludf.DUMMYFUNCTION("""COMPUTED_VALUE"""),"Loan")</f>
        <v>Loan</v>
      </c>
      <c r="T3433" t="str">
        <f>IFERROR(__xludf.DUMMYFUNCTION("""COMPUTED_VALUE"""),"Toyota Corolla")</f>
        <v>Toyota Corolla</v>
      </c>
      <c r="AH3433" s="189">
        <f>IFERROR(__xludf.DUMMYFUNCTION("""COMPUTED_VALUE"""),44439.50587692129)</f>
        <v>44439.50588</v>
      </c>
    </row>
    <row r="3434">
      <c r="A3434" t="str">
        <f>IFERROR(__xludf.DUMMYFUNCTION("""COMPUTED_VALUE"""),"CyberTruckTexan")</f>
        <v>CyberTruckTexan</v>
      </c>
      <c r="B3434" t="str">
        <f>IFERROR(__xludf.DUMMYFUNCTION("""COMPUTED_VALUE"""),"Dallas")</f>
        <v>Dallas</v>
      </c>
      <c r="C3434" t="str">
        <f>IFERROR(__xludf.DUMMYFUNCTION("""COMPUTED_VALUE"""),"TX")</f>
        <v>TX</v>
      </c>
      <c r="D3434" t="str">
        <f>IFERROR(__xludf.DUMMYFUNCTION("""COMPUTED_VALUE"""),"USA")</f>
        <v>USA</v>
      </c>
      <c r="E3434" s="188">
        <f>IFERROR(__xludf.DUMMYFUNCTION("""COMPUTED_VALUE"""),43278.0)</f>
        <v>43278</v>
      </c>
      <c r="F3434" s="188">
        <f>IFERROR(__xludf.DUMMYFUNCTION("""COMPUTED_VALUE"""),43342.0)</f>
        <v>43342</v>
      </c>
      <c r="G3434" t="str">
        <f>IFERROR(__xludf.DUMMYFUNCTION("""COMPUTED_VALUE"""),"Email")</f>
        <v>Email</v>
      </c>
      <c r="J3434" s="188">
        <f>IFERROR(__xludf.DUMMYFUNCTION("""COMPUTED_VALUE"""),43371.0)</f>
        <v>43371</v>
      </c>
      <c r="K3434">
        <f>IFERROR(__xludf.DUMMYFUNCTION("""COMPUTED_VALUE"""),64.0)</f>
        <v>64</v>
      </c>
      <c r="L3434">
        <f>IFERROR(__xludf.DUMMYFUNCTION("""COMPUTED_VALUE"""),29.0)</f>
        <v>29</v>
      </c>
      <c r="M3434">
        <f>IFERROR(__xludf.DUMMYFUNCTION("""COMPUTED_VALUE"""),93.0)</f>
        <v>93</v>
      </c>
      <c r="N3434" t="str">
        <f>IFERROR(__xludf.DUMMYFUNCTION("""COMPUTED_VALUE"""),"Model 3 LR AWD")</f>
        <v>Model 3 LR AWD</v>
      </c>
      <c r="O3434" t="str">
        <f>IFERROR(__xludf.DUMMYFUNCTION("""COMPUTED_VALUE"""),"Pearl White Multi-Coat")</f>
        <v>Pearl White Multi-Coat</v>
      </c>
      <c r="P3434" t="str">
        <f>IFERROR(__xludf.DUMMYFUNCTION("""COMPUTED_VALUE"""),"18 inch")</f>
        <v>18 inch</v>
      </c>
      <c r="Q3434" t="str">
        <f>IFERROR(__xludf.DUMMYFUNCTION("""COMPUTED_VALUE"""),"Black and White")</f>
        <v>Black and White</v>
      </c>
      <c r="R3434" t="str">
        <f>IFERROR(__xludf.DUMMYFUNCTION("""COMPUTED_VALUE"""),"Full Self-Driving")</f>
        <v>Full Self-Driving</v>
      </c>
      <c r="S3434" t="str">
        <f>IFERROR(__xludf.DUMMYFUNCTION("""COMPUTED_VALUE"""),"Loan")</f>
        <v>Loan</v>
      </c>
      <c r="T3434" t="str">
        <f>IFERROR(__xludf.DUMMYFUNCTION("""COMPUTED_VALUE"""),"Tesla Model 3")</f>
        <v>Tesla Model 3</v>
      </c>
      <c r="U3434" t="str">
        <f>IFERROR(__xludf.DUMMYFUNCTION("""COMPUTED_VALUE"""),"Electric!")</f>
        <v>Electric!</v>
      </c>
      <c r="V3434" t="str">
        <f>IFERROR(__xludf.DUMMYFUNCTION("""COMPUTED_VALUE"""),"Automatic door handle present")</f>
        <v>Automatic door handle present</v>
      </c>
      <c r="W3434" t="str">
        <f>IFERROR(__xludf.DUMMYFUNCTION("""COMPUTED_VALUE"""),"Inspect the vehicle with critical eyes and don't be afraid to point out defects and schedule an appointment to have the issues addressed.")</f>
        <v>Inspect the vehicle with critical eyes and don't be afraid to point out defects and schedule an appointment to have the issues addressed.</v>
      </c>
      <c r="X3434" t="str">
        <f>IFERROR(__xludf.DUMMYFUNCTION("""COMPUTED_VALUE"""),"Poor")</f>
        <v>Poor</v>
      </c>
      <c r="Y3434" t="str">
        <f>IFERROR(__xludf.DUMMYFUNCTION("""COMPUTED_VALUE"""),"Fair")</f>
        <v>Fair</v>
      </c>
      <c r="Z3434" t="str">
        <f>IFERROR(__xludf.DUMMYFUNCTION("""COMPUTED_VALUE"""),"Fair")</f>
        <v>Fair</v>
      </c>
      <c r="AA3434" t="str">
        <f>IFERROR(__xludf.DUMMYFUNCTION("""COMPUTED_VALUE"""),"Very Good")</f>
        <v>Very Good</v>
      </c>
      <c r="AB3434" t="str">
        <f>IFERROR(__xludf.DUMMYFUNCTION("""COMPUTED_VALUE"""),"Very Good")</f>
        <v>Very Good</v>
      </c>
      <c r="AC3434">
        <f>IFERROR(__xludf.DUMMYFUNCTION("""COMPUTED_VALUE"""),9.0)</f>
        <v>9</v>
      </c>
      <c r="AD3434">
        <f>IFERROR(__xludf.DUMMYFUNCTION("""COMPUTED_VALUE"""),1.0)</f>
        <v>1</v>
      </c>
      <c r="AE3434">
        <f>IFERROR(__xludf.DUMMYFUNCTION("""COMPUTED_VALUE"""),7.0)</f>
        <v>7</v>
      </c>
      <c r="AF3434" t="str">
        <f>IFERROR(__xludf.DUMMYFUNCTION("""COMPUTED_VALUE"""),"No. I took delivery of the first car Tesla was able to deliver.")</f>
        <v>No. I took delivery of the first car Tesla was able to deliver.</v>
      </c>
      <c r="AH3434" s="189">
        <f>IFERROR(__xludf.DUMMYFUNCTION("""COMPUTED_VALUE"""),44439.81212549769)</f>
        <v>44439.81213</v>
      </c>
    </row>
    <row r="3435">
      <c r="A3435" t="str">
        <f>IFERROR(__xludf.DUMMYFUNCTION("""COMPUTED_VALUE"""),"bluem3P")</f>
        <v>bluem3P</v>
      </c>
      <c r="B3435" t="str">
        <f>IFERROR(__xludf.DUMMYFUNCTION("""COMPUTED_VALUE"""),"Gainesville")</f>
        <v>Gainesville</v>
      </c>
      <c r="C3435" t="str">
        <f>IFERROR(__xludf.DUMMYFUNCTION("""COMPUTED_VALUE"""),"FL")</f>
        <v>FL</v>
      </c>
      <c r="D3435" t="str">
        <f>IFERROR(__xludf.DUMMYFUNCTION("""COMPUTED_VALUE"""),"USA")</f>
        <v>USA</v>
      </c>
      <c r="E3435" s="188">
        <f>IFERROR(__xludf.DUMMYFUNCTION("""COMPUTED_VALUE"""),44436.0)</f>
        <v>44436</v>
      </c>
      <c r="F3435" s="188">
        <f>IFERROR(__xludf.DUMMYFUNCTION("""COMPUTED_VALUE"""),44440.0)</f>
        <v>44440</v>
      </c>
      <c r="G3435" t="str">
        <f>IFERROR(__xludf.DUMMYFUNCTION("""COMPUTED_VALUE"""),"Manage order page (normal text)")</f>
        <v>Manage order page (normal text)</v>
      </c>
      <c r="J3435" s="188">
        <f>IFERROR(__xludf.DUMMYFUNCTION("""COMPUTED_VALUE"""),44457.0)</f>
        <v>44457</v>
      </c>
      <c r="K3435">
        <f>IFERROR(__xludf.DUMMYFUNCTION("""COMPUTED_VALUE"""),4.0)</f>
        <v>4</v>
      </c>
      <c r="L3435">
        <f>IFERROR(__xludf.DUMMYFUNCTION("""COMPUTED_VALUE"""),17.0)</f>
        <v>17</v>
      </c>
      <c r="M3435">
        <f>IFERROR(__xludf.DUMMYFUNCTION("""COMPUTED_VALUE"""),21.0)</f>
        <v>21</v>
      </c>
      <c r="N3435" t="str">
        <f>IFERROR(__xludf.DUMMYFUNCTION("""COMPUTED_VALUE"""),"Model 3 Performance")</f>
        <v>Model 3 Performance</v>
      </c>
      <c r="O3435" t="str">
        <f>IFERROR(__xludf.DUMMYFUNCTION("""COMPUTED_VALUE"""),"Deep Blue Metallic")</f>
        <v>Deep Blue Metallic</v>
      </c>
      <c r="P3435" t="str">
        <f>IFERROR(__xludf.DUMMYFUNCTION("""COMPUTED_VALUE"""),"20 inch")</f>
        <v>20 inch</v>
      </c>
      <c r="Q3435" t="str">
        <f>IFERROR(__xludf.DUMMYFUNCTION("""COMPUTED_VALUE"""),"Black and White")</f>
        <v>Black and White</v>
      </c>
      <c r="R3435" t="str">
        <f>IFERROR(__xludf.DUMMYFUNCTION("""COMPUTED_VALUE"""),"Full Self-Driving")</f>
        <v>Full Self-Driving</v>
      </c>
      <c r="S3435" t="str">
        <f>IFERROR(__xludf.DUMMYFUNCTION("""COMPUTED_VALUE"""),"Loan")</f>
        <v>Loan</v>
      </c>
      <c r="T3435" t="str">
        <f>IFERROR(__xludf.DUMMYFUNCTION("""COMPUTED_VALUE"""),"VW Passat")</f>
        <v>VW Passat</v>
      </c>
      <c r="U3435" t="str">
        <f>IFERROR(__xludf.DUMMYFUNCTION("""COMPUTED_VALUE"""),"FAST")</f>
        <v>FAST</v>
      </c>
      <c r="V3435" t="str">
        <f>IFERROR(__xludf.DUMMYFUNCTION("""COMPUTED_VALUE"""),"Head-up display")</f>
        <v>Head-up display</v>
      </c>
      <c r="X3435" t="str">
        <f>IFERROR(__xludf.DUMMYFUNCTION("""COMPUTED_VALUE"""),"Good")</f>
        <v>Good</v>
      </c>
      <c r="Y3435" t="str">
        <f>IFERROR(__xludf.DUMMYFUNCTION("""COMPUTED_VALUE"""),"Excellent")</f>
        <v>Excellent</v>
      </c>
      <c r="Z3435" t="str">
        <f>IFERROR(__xludf.DUMMYFUNCTION("""COMPUTED_VALUE"""),"Excellent")</f>
        <v>Excellent</v>
      </c>
      <c r="AA3435" t="str">
        <f>IFERROR(__xludf.DUMMYFUNCTION("""COMPUTED_VALUE"""),"Fair")</f>
        <v>Fair</v>
      </c>
      <c r="AB3435" t="str">
        <f>IFERROR(__xludf.DUMMYFUNCTION("""COMPUTED_VALUE"""),"Good")</f>
        <v>Good</v>
      </c>
      <c r="AC3435">
        <f>IFERROR(__xludf.DUMMYFUNCTION("""COMPUTED_VALUE"""),1.0)</f>
        <v>1</v>
      </c>
      <c r="AD3435">
        <f>IFERROR(__xludf.DUMMYFUNCTION("""COMPUTED_VALUE"""),1.0)</f>
        <v>1</v>
      </c>
      <c r="AE3435">
        <f>IFERROR(__xludf.DUMMYFUNCTION("""COMPUTED_VALUE"""),0.0)</f>
        <v>0</v>
      </c>
      <c r="AF3435" t="str">
        <f>IFERROR(__xludf.DUMMYFUNCTION("""COMPUTED_VALUE"""),"No. I took delivery of the first car Tesla was able to deliver.")</f>
        <v>No. I took delivery of the first car Tesla was able to deliver.</v>
      </c>
      <c r="AH3435" s="189">
        <f>IFERROR(__xludf.DUMMYFUNCTION("""COMPUTED_VALUE"""),44459.353944166665)</f>
        <v>44459.35394</v>
      </c>
    </row>
    <row r="3436">
      <c r="A3436" t="str">
        <f>IFERROR(__xludf.DUMMYFUNCTION("""COMPUTED_VALUE"""),"rbarbera26")</f>
        <v>rbarbera26</v>
      </c>
      <c r="B3436" t="str">
        <f>IFERROR(__xludf.DUMMYFUNCTION("""COMPUTED_VALUE"""),"Boston")</f>
        <v>Boston</v>
      </c>
      <c r="C3436" t="str">
        <f>IFERROR(__xludf.DUMMYFUNCTION("""COMPUTED_VALUE"""),"MA")</f>
        <v>MA</v>
      </c>
      <c r="D3436" t="str">
        <f>IFERROR(__xludf.DUMMYFUNCTION("""COMPUTED_VALUE"""),"USA")</f>
        <v>USA</v>
      </c>
      <c r="E3436" s="188">
        <f>IFERROR(__xludf.DUMMYFUNCTION("""COMPUTED_VALUE"""),44434.0)</f>
        <v>44434</v>
      </c>
      <c r="F3436" s="188">
        <f>IFERROR(__xludf.DUMMYFUNCTION("""COMPUTED_VALUE"""),44434.0)</f>
        <v>44434</v>
      </c>
      <c r="G3436" t="str">
        <f>IFERROR(__xludf.DUMMYFUNCTION("""COMPUTED_VALUE"""),"Manage order page (normal text)")</f>
        <v>Manage order page (normal text)</v>
      </c>
      <c r="J3436" s="188">
        <f>IFERROR(__xludf.DUMMYFUNCTION("""COMPUTED_VALUE"""),44447.0)</f>
        <v>44447</v>
      </c>
      <c r="K3436">
        <f>IFERROR(__xludf.DUMMYFUNCTION("""COMPUTED_VALUE"""),0.0)</f>
        <v>0</v>
      </c>
      <c r="L3436">
        <f>IFERROR(__xludf.DUMMYFUNCTION("""COMPUTED_VALUE"""),13.0)</f>
        <v>13</v>
      </c>
      <c r="M3436">
        <f>IFERROR(__xludf.DUMMYFUNCTION("""COMPUTED_VALUE"""),13.0)</f>
        <v>13</v>
      </c>
      <c r="N3436" t="str">
        <f>IFERROR(__xludf.DUMMYFUNCTION("""COMPUTED_VALUE"""),"Model 3 SR+")</f>
        <v>Model 3 SR+</v>
      </c>
      <c r="O3436" t="str">
        <f>IFERROR(__xludf.DUMMYFUNCTION("""COMPUTED_VALUE"""),"Deep Blue Metallic")</f>
        <v>Deep Blue Metallic</v>
      </c>
      <c r="P3436" t="str">
        <f>IFERROR(__xludf.DUMMYFUNCTION("""COMPUTED_VALUE"""),"18 inch")</f>
        <v>18 inch</v>
      </c>
      <c r="Q3436" t="str">
        <f>IFERROR(__xludf.DUMMYFUNCTION("""COMPUTED_VALUE"""),"All Black")</f>
        <v>All Black</v>
      </c>
      <c r="R3436" t="str">
        <f>IFERROR(__xludf.DUMMYFUNCTION("""COMPUTED_VALUE"""),"Autopilot included")</f>
        <v>Autopilot included</v>
      </c>
      <c r="S3436" t="str">
        <f>IFERROR(__xludf.DUMMYFUNCTION("""COMPUTED_VALUE"""),"Loan")</f>
        <v>Loan</v>
      </c>
      <c r="T3436" t="str">
        <f>IFERROR(__xludf.DUMMYFUNCTION("""COMPUTED_VALUE"""),"Jeep Patriot")</f>
        <v>Jeep Patriot</v>
      </c>
      <c r="U3436" t="str">
        <f>IFERROR(__xludf.DUMMYFUNCTION("""COMPUTED_VALUE"""),"Electric!")</f>
        <v>Electric!</v>
      </c>
      <c r="V3436" t="str">
        <f>IFERROR(__xludf.DUMMYFUNCTION("""COMPUTED_VALUE"""),"360° Bird's eye view")</f>
        <v>360° Bird's eye view</v>
      </c>
      <c r="AH3436" s="189">
        <f>IFERROR(__xludf.DUMMYFUNCTION("""COMPUTED_VALUE"""),44442.55363469907)</f>
        <v>44442.55363</v>
      </c>
    </row>
    <row r="3437">
      <c r="A3437" t="str">
        <f>IFERROR(__xludf.DUMMYFUNCTION("""COMPUTED_VALUE"""),"Ox-in-a-box")</f>
        <v>Ox-in-a-box</v>
      </c>
      <c r="B3437" t="str">
        <f>IFERROR(__xludf.DUMMYFUNCTION("""COMPUTED_VALUE"""),"Austin")</f>
        <v>Austin</v>
      </c>
      <c r="C3437" t="str">
        <f>IFERROR(__xludf.DUMMYFUNCTION("""COMPUTED_VALUE"""),"TX")</f>
        <v>TX</v>
      </c>
      <c r="D3437" t="str">
        <f>IFERROR(__xludf.DUMMYFUNCTION("""COMPUTED_VALUE"""),"USA")</f>
        <v>USA</v>
      </c>
      <c r="E3437" s="188">
        <f>IFERROR(__xludf.DUMMYFUNCTION("""COMPUTED_VALUE"""),44424.0)</f>
        <v>44424</v>
      </c>
      <c r="N3437" t="str">
        <f>IFERROR(__xludf.DUMMYFUNCTION("""COMPUTED_VALUE"""),"Model 3 SR+")</f>
        <v>Model 3 SR+</v>
      </c>
      <c r="O3437" t="str">
        <f>IFERROR(__xludf.DUMMYFUNCTION("""COMPUTED_VALUE"""),"Solid Black")</f>
        <v>Solid Black</v>
      </c>
      <c r="P3437" t="str">
        <f>IFERROR(__xludf.DUMMYFUNCTION("""COMPUTED_VALUE"""),"19 inch")</f>
        <v>19 inch</v>
      </c>
      <c r="Q3437" t="str">
        <f>IFERROR(__xludf.DUMMYFUNCTION("""COMPUTED_VALUE"""),"All Black")</f>
        <v>All Black</v>
      </c>
      <c r="R3437" t="str">
        <f>IFERROR(__xludf.DUMMYFUNCTION("""COMPUTED_VALUE"""),"Autopilot included")</f>
        <v>Autopilot included</v>
      </c>
      <c r="S3437" t="str">
        <f>IFERROR(__xludf.DUMMYFUNCTION("""COMPUTED_VALUE"""),"Loan")</f>
        <v>Loan</v>
      </c>
      <c r="T3437" t="str">
        <f>IFERROR(__xludf.DUMMYFUNCTION("""COMPUTED_VALUE"""),"Model 3 will be my first car!")</f>
        <v>Model 3 will be my first car!</v>
      </c>
      <c r="U3437" t="str">
        <f>IFERROR(__xludf.DUMMYFUNCTION("""COMPUTED_VALUE"""),"Safety")</f>
        <v>Safety</v>
      </c>
      <c r="V3437" t="str">
        <f>IFERROR(__xludf.DUMMYFUNCTION("""COMPUTED_VALUE"""),"Apple CarPlay / Android Auto / SiriusXM Radio")</f>
        <v>Apple CarPlay / Android Auto / SiriusXM Radio</v>
      </c>
      <c r="AH3437" s="189">
        <f>IFERROR(__xludf.DUMMYFUNCTION("""COMPUTED_VALUE"""),44440.50739680555)</f>
        <v>44440.5074</v>
      </c>
    </row>
    <row r="3438">
      <c r="A3438" t="str">
        <f>IFERROR(__xludf.DUMMYFUNCTION("""COMPUTED_VALUE"""),"Evensteven")</f>
        <v>Evensteven</v>
      </c>
      <c r="C3438" t="str">
        <f>IFERROR(__xludf.DUMMYFUNCTION("""COMPUTED_VALUE"""),"NJ")</f>
        <v>NJ</v>
      </c>
      <c r="D3438" t="str">
        <f>IFERROR(__xludf.DUMMYFUNCTION("""COMPUTED_VALUE"""),"USA")</f>
        <v>USA</v>
      </c>
      <c r="E3438" s="188">
        <f>IFERROR(__xludf.DUMMYFUNCTION("""COMPUTED_VALUE"""),44406.0)</f>
        <v>44406</v>
      </c>
      <c r="F3438" s="188">
        <f>IFERROR(__xludf.DUMMYFUNCTION("""COMPUTED_VALUE"""),44449.0)</f>
        <v>44449</v>
      </c>
      <c r="G3438" t="str">
        <f>IFERROR(__xludf.DUMMYFUNCTION("""COMPUTED_VALUE"""),"Manage order page (normal text)")</f>
        <v>Manage order page (normal text)</v>
      </c>
      <c r="H3438">
        <f>IFERROR(__xludf.DUMMYFUNCTION("""COMPUTED_VALUE"""),59697.0)</f>
        <v>59697</v>
      </c>
      <c r="J3438" s="188">
        <f>IFERROR(__xludf.DUMMYFUNCTION("""COMPUTED_VALUE"""),44463.0)</f>
        <v>44463</v>
      </c>
      <c r="K3438">
        <f>IFERROR(__xludf.DUMMYFUNCTION("""COMPUTED_VALUE"""),43.0)</f>
        <v>43</v>
      </c>
      <c r="L3438">
        <f>IFERROR(__xludf.DUMMYFUNCTION("""COMPUTED_VALUE"""),14.0)</f>
        <v>14</v>
      </c>
      <c r="M3438">
        <f>IFERROR(__xludf.DUMMYFUNCTION("""COMPUTED_VALUE"""),57.0)</f>
        <v>57</v>
      </c>
      <c r="N3438" t="str">
        <f>IFERROR(__xludf.DUMMYFUNCTION("""COMPUTED_VALUE"""),"Model 3 LR AWD")</f>
        <v>Model 3 LR AWD</v>
      </c>
      <c r="O3438" t="str">
        <f>IFERROR(__xludf.DUMMYFUNCTION("""COMPUTED_VALUE"""),"Midnight Silver Metallic")</f>
        <v>Midnight Silver Metallic</v>
      </c>
      <c r="P3438" t="str">
        <f>IFERROR(__xludf.DUMMYFUNCTION("""COMPUTED_VALUE"""),"18 inch")</f>
        <v>18 inch</v>
      </c>
      <c r="Q3438" t="str">
        <f>IFERROR(__xludf.DUMMYFUNCTION("""COMPUTED_VALUE"""),"Black and White")</f>
        <v>Black and White</v>
      </c>
      <c r="R3438" t="str">
        <f>IFERROR(__xludf.DUMMYFUNCTION("""COMPUTED_VALUE"""),"Autopilot included")</f>
        <v>Autopilot included</v>
      </c>
      <c r="S3438" t="str">
        <f>IFERROR(__xludf.DUMMYFUNCTION("""COMPUTED_VALUE"""),"Loan")</f>
        <v>Loan</v>
      </c>
      <c r="T3438" t="str">
        <f>IFERROR(__xludf.DUMMYFUNCTION("""COMPUTED_VALUE"""),"Model 3 will be my first car!")</f>
        <v>Model 3 will be my first car!</v>
      </c>
      <c r="U3438" t="str">
        <f>IFERROR(__xludf.DUMMYFUNCTION("""COMPUTED_VALUE"""),"Electric!")</f>
        <v>Electric!</v>
      </c>
      <c r="V3438" t="str">
        <f>IFERROR(__xludf.DUMMYFUNCTION("""COMPUTED_VALUE"""),"Apple CarPlay / Android Auto / SiriusXM Radio")</f>
        <v>Apple CarPlay / Android Auto / SiriusXM Radio</v>
      </c>
      <c r="AH3438" s="189">
        <f>IFERROR(__xludf.DUMMYFUNCTION("""COMPUTED_VALUE"""),44454.81291997685)</f>
        <v>44454.81292</v>
      </c>
    </row>
    <row r="3439">
      <c r="A3439" t="str">
        <f>IFERROR(__xludf.DUMMYFUNCTION("""COMPUTED_VALUE"""),"HBstephenie")</f>
        <v>HBstephenie</v>
      </c>
      <c r="B3439" t="str">
        <f>IFERROR(__xludf.DUMMYFUNCTION("""COMPUTED_VALUE"""),"Huntington Beach")</f>
        <v>Huntington Beach</v>
      </c>
      <c r="C3439" t="str">
        <f>IFERROR(__xludf.DUMMYFUNCTION("""COMPUTED_VALUE"""),"CA")</f>
        <v>CA</v>
      </c>
      <c r="D3439" t="str">
        <f>IFERROR(__xludf.DUMMYFUNCTION("""COMPUTED_VALUE"""),"USA")</f>
        <v>USA</v>
      </c>
      <c r="E3439" s="188">
        <f>IFERROR(__xludf.DUMMYFUNCTION("""COMPUTED_VALUE"""),44420.0)</f>
        <v>44420</v>
      </c>
      <c r="F3439" s="188">
        <f>IFERROR(__xludf.DUMMYFUNCTION("""COMPUTED_VALUE"""),44463.0)</f>
        <v>44463</v>
      </c>
      <c r="G3439" t="str">
        <f>IFERROR(__xludf.DUMMYFUNCTION("""COMPUTED_VALUE"""),"Manage order page (normal text)")</f>
        <v>Manage order page (normal text)</v>
      </c>
      <c r="H3439">
        <f>IFERROR(__xludf.DUMMYFUNCTION("""COMPUTED_VALUE"""),73455.0)</f>
        <v>73455</v>
      </c>
      <c r="I3439" t="str">
        <f>IFERROR(__xludf.DUMMYFUNCTION("""COMPUTED_VALUE"""),"09/21")</f>
        <v>09/21</v>
      </c>
      <c r="J3439" s="188">
        <f>IFERROR(__xludf.DUMMYFUNCTION("""COMPUTED_VALUE"""),44465.0)</f>
        <v>44465</v>
      </c>
      <c r="K3439">
        <f>IFERROR(__xludf.DUMMYFUNCTION("""COMPUTED_VALUE"""),43.0)</f>
        <v>43</v>
      </c>
      <c r="L3439">
        <f>IFERROR(__xludf.DUMMYFUNCTION("""COMPUTED_VALUE"""),2.0)</f>
        <v>2</v>
      </c>
      <c r="M3439">
        <f>IFERROR(__xludf.DUMMYFUNCTION("""COMPUTED_VALUE"""),45.0)</f>
        <v>45</v>
      </c>
      <c r="N3439" t="str">
        <f>IFERROR(__xludf.DUMMYFUNCTION("""COMPUTED_VALUE"""),"Model 3 SR+")</f>
        <v>Model 3 SR+</v>
      </c>
      <c r="O3439" t="str">
        <f>IFERROR(__xludf.DUMMYFUNCTION("""COMPUTED_VALUE"""),"Deep Blue Metallic")</f>
        <v>Deep Blue Metallic</v>
      </c>
      <c r="P3439" t="str">
        <f>IFERROR(__xludf.DUMMYFUNCTION("""COMPUTED_VALUE"""),"19 inch")</f>
        <v>19 inch</v>
      </c>
      <c r="Q3439" t="str">
        <f>IFERROR(__xludf.DUMMYFUNCTION("""COMPUTED_VALUE"""),"Black and White")</f>
        <v>Black and White</v>
      </c>
      <c r="R3439" t="str">
        <f>IFERROR(__xludf.DUMMYFUNCTION("""COMPUTED_VALUE"""),"Autopilot included")</f>
        <v>Autopilot included</v>
      </c>
      <c r="S3439" t="str">
        <f>IFERROR(__xludf.DUMMYFUNCTION("""COMPUTED_VALUE"""),"Loan")</f>
        <v>Loan</v>
      </c>
      <c r="T3439" t="str">
        <f>IFERROR(__xludf.DUMMYFUNCTION("""COMPUTED_VALUE"""),"Infinity Q60 ")</f>
        <v>Infinity Q60 </v>
      </c>
      <c r="U3439" t="str">
        <f>IFERROR(__xludf.DUMMYFUNCTION("""COMPUTED_VALUE"""),"acceleration")</f>
        <v>acceleration</v>
      </c>
      <c r="V3439" t="str">
        <f>IFERROR(__xludf.DUMMYFUNCTION("""COMPUTED_VALUE"""),"Apple CarPlay / Android Auto / SiriusXM Radio")</f>
        <v>Apple CarPlay / Android Auto / SiriusXM Radio</v>
      </c>
      <c r="X3439" t="str">
        <f>IFERROR(__xludf.DUMMYFUNCTION("""COMPUTED_VALUE"""),"Excellent")</f>
        <v>Excellent</v>
      </c>
      <c r="Y3439" t="str">
        <f>IFERROR(__xludf.DUMMYFUNCTION("""COMPUTED_VALUE"""),"Excellent")</f>
        <v>Excellent</v>
      </c>
      <c r="Z3439" t="str">
        <f>IFERROR(__xludf.DUMMYFUNCTION("""COMPUTED_VALUE"""),"Excellent")</f>
        <v>Excellent</v>
      </c>
      <c r="AA3439" t="str">
        <f>IFERROR(__xludf.DUMMYFUNCTION("""COMPUTED_VALUE"""),"Excellent")</f>
        <v>Excellent</v>
      </c>
      <c r="AB3439" t="str">
        <f>IFERROR(__xludf.DUMMYFUNCTION("""COMPUTED_VALUE"""),"Good")</f>
        <v>Good</v>
      </c>
      <c r="AF3439" t="str">
        <f>IFERROR(__xludf.DUMMYFUNCTION("""COMPUTED_VALUE"""),"No. I took delivery of the first car Tesla was able to deliver.")</f>
        <v>No. I took delivery of the first car Tesla was able to deliver.</v>
      </c>
      <c r="AG3439" t="str">
        <f>IFERROR(__xludf.DUMMYFUNCTION("""COMPUTED_VALUE"""),"No regrets!  I love this car!")</f>
        <v>No regrets!  I love this car!</v>
      </c>
      <c r="AH3439" s="189">
        <f>IFERROR(__xludf.DUMMYFUNCTION("""COMPUTED_VALUE"""),44466.44823101852)</f>
        <v>44466.44823</v>
      </c>
    </row>
    <row r="3440">
      <c r="A3440" t="str">
        <f>IFERROR(__xludf.DUMMYFUNCTION("""COMPUTED_VALUE"""),"CougarTsl1984")</f>
        <v>CougarTsl1984</v>
      </c>
      <c r="B3440" t="str">
        <f>IFERROR(__xludf.DUMMYFUNCTION("""COMPUTED_VALUE"""),"Salt Lake City")</f>
        <v>Salt Lake City</v>
      </c>
      <c r="C3440" t="str">
        <f>IFERROR(__xludf.DUMMYFUNCTION("""COMPUTED_VALUE"""),"UT")</f>
        <v>UT</v>
      </c>
      <c r="D3440" t="str">
        <f>IFERROR(__xludf.DUMMYFUNCTION("""COMPUTED_VALUE"""),"USA")</f>
        <v>USA</v>
      </c>
      <c r="E3440" s="188">
        <f>IFERROR(__xludf.DUMMYFUNCTION("""COMPUTED_VALUE"""),44430.0)</f>
        <v>44430</v>
      </c>
      <c r="N3440" t="str">
        <f>IFERROR(__xludf.DUMMYFUNCTION("""COMPUTED_VALUE"""),"Model 3 LR AWD")</f>
        <v>Model 3 LR AWD</v>
      </c>
      <c r="O3440" t="str">
        <f>IFERROR(__xludf.DUMMYFUNCTION("""COMPUTED_VALUE"""),"Deep Blue Metallic")</f>
        <v>Deep Blue Metallic</v>
      </c>
      <c r="P3440" t="str">
        <f>IFERROR(__xludf.DUMMYFUNCTION("""COMPUTED_VALUE"""),"18 inch")</f>
        <v>18 inch</v>
      </c>
      <c r="Q3440" t="str">
        <f>IFERROR(__xludf.DUMMYFUNCTION("""COMPUTED_VALUE"""),"All Black")</f>
        <v>All Black</v>
      </c>
      <c r="R3440" t="str">
        <f>IFERROR(__xludf.DUMMYFUNCTION("""COMPUTED_VALUE"""),"Autopilot included")</f>
        <v>Autopilot included</v>
      </c>
      <c r="S3440" t="str">
        <f>IFERROR(__xludf.DUMMYFUNCTION("""COMPUTED_VALUE"""),"Cash")</f>
        <v>Cash</v>
      </c>
      <c r="T3440" t="str">
        <f>IFERROR(__xludf.DUMMYFUNCTION("""COMPUTED_VALUE"""),"Honda Accord")</f>
        <v>Honda Accord</v>
      </c>
      <c r="U3440" t="str">
        <f>IFERROR(__xludf.DUMMYFUNCTION("""COMPUTED_VALUE"""),"Autopilot")</f>
        <v>Autopilot</v>
      </c>
      <c r="V3440" t="str">
        <f>IFERROR(__xludf.DUMMYFUNCTION("""COMPUTED_VALUE"""),"Ventilated seats")</f>
        <v>Ventilated seats</v>
      </c>
      <c r="AH3440" s="189">
        <f>IFERROR(__xludf.DUMMYFUNCTION("""COMPUTED_VALUE"""),44440.59492019676)</f>
        <v>44440.59492</v>
      </c>
    </row>
    <row r="3441">
      <c r="A3441" t="str">
        <f>IFERROR(__xludf.DUMMYFUNCTION("""COMPUTED_VALUE"""),"CSpat")</f>
        <v>CSpat</v>
      </c>
      <c r="B3441" t="str">
        <f>IFERROR(__xludf.DUMMYFUNCTION("""COMPUTED_VALUE"""),"KC")</f>
        <v>KC</v>
      </c>
      <c r="C3441" t="str">
        <f>IFERROR(__xludf.DUMMYFUNCTION("""COMPUTED_VALUE"""),"MO")</f>
        <v>MO</v>
      </c>
      <c r="D3441" t="str">
        <f>IFERROR(__xludf.DUMMYFUNCTION("""COMPUTED_VALUE"""),"USA")</f>
        <v>USA</v>
      </c>
      <c r="E3441" s="188">
        <f>IFERROR(__xludf.DUMMYFUNCTION("""COMPUTED_VALUE"""),44433.0)</f>
        <v>44433</v>
      </c>
      <c r="N3441" t="str">
        <f>IFERROR(__xludf.DUMMYFUNCTION("""COMPUTED_VALUE"""),"Model 3 LR AWD")</f>
        <v>Model 3 LR AWD</v>
      </c>
      <c r="O3441" t="str">
        <f>IFERROR(__xludf.DUMMYFUNCTION("""COMPUTED_VALUE"""),"Midnight Silver Metallic")</f>
        <v>Midnight Silver Metallic</v>
      </c>
      <c r="P3441" t="str">
        <f>IFERROR(__xludf.DUMMYFUNCTION("""COMPUTED_VALUE"""),"18 inch")</f>
        <v>18 inch</v>
      </c>
      <c r="Q3441" t="str">
        <f>IFERROR(__xludf.DUMMYFUNCTION("""COMPUTED_VALUE"""),"All Black")</f>
        <v>All Black</v>
      </c>
      <c r="R3441" t="str">
        <f>IFERROR(__xludf.DUMMYFUNCTION("""COMPUTED_VALUE"""),"Autopilot included")</f>
        <v>Autopilot included</v>
      </c>
      <c r="V3441" t="str">
        <f>IFERROR(__xludf.DUMMYFUNCTION("""COMPUTED_VALUE"""),"Ventilated seats")</f>
        <v>Ventilated seats</v>
      </c>
      <c r="AG3441" t="str">
        <f>IFERROR(__xludf.DUMMYFUNCTION("""COMPUTED_VALUE"""),"Original Order was a SR+ on 8/11 but modified to LR")</f>
        <v>Original Order was a SR+ on 8/11 but modified to LR</v>
      </c>
      <c r="AH3441" s="189">
        <f>IFERROR(__xludf.DUMMYFUNCTION("""COMPUTED_VALUE"""),44440.63772086806)</f>
        <v>44440.63772</v>
      </c>
    </row>
    <row r="3442">
      <c r="A3442" t="str">
        <f>IFERROR(__xludf.DUMMYFUNCTION("""COMPUTED_VALUE"""),"Doug03")</f>
        <v>Doug03</v>
      </c>
      <c r="C3442" t="str">
        <f>IFERROR(__xludf.DUMMYFUNCTION("""COMPUTED_VALUE"""),"NJ")</f>
        <v>NJ</v>
      </c>
      <c r="D3442" t="str">
        <f>IFERROR(__xludf.DUMMYFUNCTION("""COMPUTED_VALUE"""),"USA")</f>
        <v>USA</v>
      </c>
      <c r="E3442" s="188">
        <f>IFERROR(__xludf.DUMMYFUNCTION("""COMPUTED_VALUE"""),44385.0)</f>
        <v>44385</v>
      </c>
      <c r="F3442" s="188">
        <f>IFERROR(__xludf.DUMMYFUNCTION("""COMPUTED_VALUE"""),44426.0)</f>
        <v>44426</v>
      </c>
      <c r="G3442" t="str">
        <f>IFERROR(__xludf.DUMMYFUNCTION("""COMPUTED_VALUE"""),"Manage order page (normal text)")</f>
        <v>Manage order page (normal text)</v>
      </c>
      <c r="H3442">
        <f>IFERROR(__xludf.DUMMYFUNCTION("""COMPUTED_VALUE"""),45755.0)</f>
        <v>45755</v>
      </c>
      <c r="I3442" t="str">
        <f>IFERROR(__xludf.DUMMYFUNCTION("""COMPUTED_VALUE"""),"08/21")</f>
        <v>08/21</v>
      </c>
      <c r="J3442" s="188">
        <f>IFERROR(__xludf.DUMMYFUNCTION("""COMPUTED_VALUE"""),44440.0)</f>
        <v>44440</v>
      </c>
      <c r="K3442">
        <f>IFERROR(__xludf.DUMMYFUNCTION("""COMPUTED_VALUE"""),41.0)</f>
        <v>41</v>
      </c>
      <c r="L3442">
        <f>IFERROR(__xludf.DUMMYFUNCTION("""COMPUTED_VALUE"""),14.0)</f>
        <v>14</v>
      </c>
      <c r="M3442">
        <f>IFERROR(__xludf.DUMMYFUNCTION("""COMPUTED_VALUE"""),55.0)</f>
        <v>55</v>
      </c>
      <c r="N3442" t="str">
        <f>IFERROR(__xludf.DUMMYFUNCTION("""COMPUTED_VALUE"""),"Model 3 LR AWD")</f>
        <v>Model 3 LR AWD</v>
      </c>
      <c r="O3442" t="str">
        <f>IFERROR(__xludf.DUMMYFUNCTION("""COMPUTED_VALUE"""),"Pearl White Multi-Coat")</f>
        <v>Pearl White Multi-Coat</v>
      </c>
      <c r="P3442" t="str">
        <f>IFERROR(__xludf.DUMMYFUNCTION("""COMPUTED_VALUE"""),"18 inch")</f>
        <v>18 inch</v>
      </c>
      <c r="Q3442" t="str">
        <f>IFERROR(__xludf.DUMMYFUNCTION("""COMPUTED_VALUE"""),"All Black")</f>
        <v>All Black</v>
      </c>
      <c r="R3442" t="str">
        <f>IFERROR(__xludf.DUMMYFUNCTION("""COMPUTED_VALUE"""),"Autopilot included")</f>
        <v>Autopilot included</v>
      </c>
      <c r="S3442" t="str">
        <f>IFERROR(__xludf.DUMMYFUNCTION("""COMPUTED_VALUE"""),"Loan")</f>
        <v>Loan</v>
      </c>
      <c r="T3442" t="str">
        <f>IFERROR(__xludf.DUMMYFUNCTION("""COMPUTED_VALUE"""),"Chevrolet Camaro")</f>
        <v>Chevrolet Camaro</v>
      </c>
      <c r="U3442" t="str">
        <f>IFERROR(__xludf.DUMMYFUNCTION("""COMPUTED_VALUE"""),"Electric!")</f>
        <v>Electric!</v>
      </c>
      <c r="V3442" t="str">
        <f>IFERROR(__xludf.DUMMYFUNCTION("""COMPUTED_VALUE"""),"Head-up display")</f>
        <v>Head-up display</v>
      </c>
      <c r="X3442" t="str">
        <f>IFERROR(__xludf.DUMMYFUNCTION("""COMPUTED_VALUE"""),"Excellent")</f>
        <v>Excellent</v>
      </c>
      <c r="Y3442" t="str">
        <f>IFERROR(__xludf.DUMMYFUNCTION("""COMPUTED_VALUE"""),"Very Good")</f>
        <v>Very Good</v>
      </c>
      <c r="Z3442" t="str">
        <f>IFERROR(__xludf.DUMMYFUNCTION("""COMPUTED_VALUE"""),"Excellent")</f>
        <v>Excellent</v>
      </c>
      <c r="AA3442" t="str">
        <f>IFERROR(__xludf.DUMMYFUNCTION("""COMPUTED_VALUE"""),"Good")</f>
        <v>Good</v>
      </c>
      <c r="AB3442" t="str">
        <f>IFERROR(__xludf.DUMMYFUNCTION("""COMPUTED_VALUE"""),"Excellent")</f>
        <v>Excellent</v>
      </c>
      <c r="AF3442" t="str">
        <f>IFERROR(__xludf.DUMMYFUNCTION("""COMPUTED_VALUE"""),"No. I took delivery of the first car Tesla was able to deliver.")</f>
        <v>No. I took delivery of the first car Tesla was able to deliver.</v>
      </c>
      <c r="AH3442" s="189">
        <f>IFERROR(__xludf.DUMMYFUNCTION("""COMPUTED_VALUE"""),44440.667821006944)</f>
        <v>44440.66782</v>
      </c>
    </row>
    <row r="3443">
      <c r="A3443" t="str">
        <f>IFERROR(__xludf.DUMMYFUNCTION("""COMPUTED_VALUE"""),"Nnlamb25")</f>
        <v>Nnlamb25</v>
      </c>
      <c r="B3443" t="str">
        <f>IFERROR(__xludf.DUMMYFUNCTION("""COMPUTED_VALUE"""),"Brea")</f>
        <v>Brea</v>
      </c>
      <c r="C3443" t="str">
        <f>IFERROR(__xludf.DUMMYFUNCTION("""COMPUTED_VALUE"""),"CA")</f>
        <v>CA</v>
      </c>
      <c r="D3443" t="str">
        <f>IFERROR(__xludf.DUMMYFUNCTION("""COMPUTED_VALUE"""),"USA")</f>
        <v>USA</v>
      </c>
      <c r="E3443" s="188">
        <f>IFERROR(__xludf.DUMMYFUNCTION("""COMPUTED_VALUE"""),44338.0)</f>
        <v>44338</v>
      </c>
      <c r="N3443" t="str">
        <f>IFERROR(__xludf.DUMMYFUNCTION("""COMPUTED_VALUE"""),"Model 3 SR+")</f>
        <v>Model 3 SR+</v>
      </c>
      <c r="O3443" t="str">
        <f>IFERROR(__xludf.DUMMYFUNCTION("""COMPUTED_VALUE"""),"Midnight Silver Metallic")</f>
        <v>Midnight Silver Metallic</v>
      </c>
      <c r="P3443" t="str">
        <f>IFERROR(__xludf.DUMMYFUNCTION("""COMPUTED_VALUE"""),"18 inch")</f>
        <v>18 inch</v>
      </c>
      <c r="Q3443" t="str">
        <f>IFERROR(__xludf.DUMMYFUNCTION("""COMPUTED_VALUE"""),"All Black")</f>
        <v>All Black</v>
      </c>
      <c r="R3443" t="str">
        <f>IFERROR(__xludf.DUMMYFUNCTION("""COMPUTED_VALUE"""),"Autopilot included")</f>
        <v>Autopilot included</v>
      </c>
      <c r="S3443" t="str">
        <f>IFERROR(__xludf.DUMMYFUNCTION("""COMPUTED_VALUE"""),"Loan")</f>
        <v>Loan</v>
      </c>
      <c r="AH3443" s="189">
        <f>IFERROR(__xludf.DUMMYFUNCTION("""COMPUTED_VALUE"""),44441.04449826389)</f>
        <v>44441.0445</v>
      </c>
    </row>
    <row r="3444">
      <c r="A3444" t="str">
        <f>IFERROR(__xludf.DUMMYFUNCTION("""COMPUTED_VALUE"""),"ntrskr")</f>
        <v>ntrskr</v>
      </c>
      <c r="B3444" t="str">
        <f>IFERROR(__xludf.DUMMYFUNCTION("""COMPUTED_VALUE"""),"rocklin")</f>
        <v>rocklin</v>
      </c>
      <c r="C3444" t="str">
        <f>IFERROR(__xludf.DUMMYFUNCTION("""COMPUTED_VALUE"""),"CA")</f>
        <v>CA</v>
      </c>
      <c r="D3444" t="str">
        <f>IFERROR(__xludf.DUMMYFUNCTION("""COMPUTED_VALUE"""),"USA")</f>
        <v>USA</v>
      </c>
      <c r="E3444" s="188">
        <f>IFERROR(__xludf.DUMMYFUNCTION("""COMPUTED_VALUE"""),44438.0)</f>
        <v>44438</v>
      </c>
      <c r="N3444" t="str">
        <f>IFERROR(__xludf.DUMMYFUNCTION("""COMPUTED_VALUE"""),"Model 3 LR AWD")</f>
        <v>Model 3 LR AWD</v>
      </c>
      <c r="O3444" t="str">
        <f>IFERROR(__xludf.DUMMYFUNCTION("""COMPUTED_VALUE"""),"Midnight Silver Metallic")</f>
        <v>Midnight Silver Metallic</v>
      </c>
      <c r="P3444" t="str">
        <f>IFERROR(__xludf.DUMMYFUNCTION("""COMPUTED_VALUE"""),"18 inch")</f>
        <v>18 inch</v>
      </c>
      <c r="Q3444" t="str">
        <f>IFERROR(__xludf.DUMMYFUNCTION("""COMPUTED_VALUE"""),"All Black")</f>
        <v>All Black</v>
      </c>
      <c r="R3444" t="str">
        <f>IFERROR(__xludf.DUMMYFUNCTION("""COMPUTED_VALUE"""),"Autopilot included")</f>
        <v>Autopilot included</v>
      </c>
      <c r="S3444" t="str">
        <f>IFERROR(__xludf.DUMMYFUNCTION("""COMPUTED_VALUE"""),"Loan")</f>
        <v>Loan</v>
      </c>
      <c r="T3444" t="str">
        <f>IFERROR(__xludf.DUMMYFUNCTION("""COMPUTED_VALUE"""),"Honda CRV")</f>
        <v>Honda CRV</v>
      </c>
      <c r="U3444" t="str">
        <f>IFERROR(__xludf.DUMMYFUNCTION("""COMPUTED_VALUE"""),"Autopilot")</f>
        <v>Autopilot</v>
      </c>
      <c r="V3444" t="str">
        <f>IFERROR(__xludf.DUMMYFUNCTION("""COMPUTED_VALUE"""),"Air suspension")</f>
        <v>Air suspension</v>
      </c>
      <c r="AH3444" s="189">
        <f>IFERROR(__xludf.DUMMYFUNCTION("""COMPUTED_VALUE"""),44441.11212612268)</f>
        <v>44441.11213</v>
      </c>
    </row>
    <row r="3445">
      <c r="A3445" t="str">
        <f>IFERROR(__xludf.DUMMYFUNCTION("""COMPUTED_VALUE"""),"ScreenName")</f>
        <v>ScreenName</v>
      </c>
      <c r="B3445" t="str">
        <f>IFERROR(__xludf.DUMMYFUNCTION("""COMPUTED_VALUE"""),"Austin")</f>
        <v>Austin</v>
      </c>
      <c r="C3445" t="str">
        <f>IFERROR(__xludf.DUMMYFUNCTION("""COMPUTED_VALUE"""),"TX")</f>
        <v>TX</v>
      </c>
      <c r="D3445" t="str">
        <f>IFERROR(__xludf.DUMMYFUNCTION("""COMPUTED_VALUE"""),"USA")</f>
        <v>USA</v>
      </c>
      <c r="E3445" s="188">
        <f>IFERROR(__xludf.DUMMYFUNCTION("""COMPUTED_VALUE"""),44439.0)</f>
        <v>44439</v>
      </c>
      <c r="F3445" s="188">
        <f>IFERROR(__xludf.DUMMYFUNCTION("""COMPUTED_VALUE"""),44449.0)</f>
        <v>44449</v>
      </c>
      <c r="G3445" t="str">
        <f>IFERROR(__xludf.DUMMYFUNCTION("""COMPUTED_VALUE"""),"Email")</f>
        <v>Email</v>
      </c>
      <c r="H3445">
        <f>IFERROR(__xludf.DUMMYFUNCTION("""COMPUTED_VALUE"""),63428.0)</f>
        <v>63428</v>
      </c>
      <c r="I3445" t="str">
        <f>IFERROR(__xludf.DUMMYFUNCTION("""COMPUTED_VALUE"""),"09/21")</f>
        <v>09/21</v>
      </c>
      <c r="J3445" s="188">
        <f>IFERROR(__xludf.DUMMYFUNCTION("""COMPUTED_VALUE"""),44462.0)</f>
        <v>44462</v>
      </c>
      <c r="K3445">
        <f>IFERROR(__xludf.DUMMYFUNCTION("""COMPUTED_VALUE"""),10.0)</f>
        <v>10</v>
      </c>
      <c r="L3445">
        <f>IFERROR(__xludf.DUMMYFUNCTION("""COMPUTED_VALUE"""),13.0)</f>
        <v>13</v>
      </c>
      <c r="M3445">
        <f>IFERROR(__xludf.DUMMYFUNCTION("""COMPUTED_VALUE"""),23.0)</f>
        <v>23</v>
      </c>
      <c r="N3445" t="str">
        <f>IFERROR(__xludf.DUMMYFUNCTION("""COMPUTED_VALUE"""),"Model 3 Performance")</f>
        <v>Model 3 Performance</v>
      </c>
      <c r="O3445" t="str">
        <f>IFERROR(__xludf.DUMMYFUNCTION("""COMPUTED_VALUE"""),"Deep Blue Metallic")</f>
        <v>Deep Blue Metallic</v>
      </c>
      <c r="P3445" t="str">
        <f>IFERROR(__xludf.DUMMYFUNCTION("""COMPUTED_VALUE"""),"20 inch")</f>
        <v>20 inch</v>
      </c>
      <c r="Q3445" t="str">
        <f>IFERROR(__xludf.DUMMYFUNCTION("""COMPUTED_VALUE"""),"Black and White")</f>
        <v>Black and White</v>
      </c>
      <c r="R3445" t="str">
        <f>IFERROR(__xludf.DUMMYFUNCTION("""COMPUTED_VALUE"""),"Full Self-Driving")</f>
        <v>Full Self-Driving</v>
      </c>
      <c r="S3445" t="str">
        <f>IFERROR(__xludf.DUMMYFUNCTION("""COMPUTED_VALUE"""),"Loan")</f>
        <v>Loan</v>
      </c>
      <c r="AH3445" s="189">
        <f>IFERROR(__xludf.DUMMYFUNCTION("""COMPUTED_VALUE"""),44462.54536042824)</f>
        <v>44462.54536</v>
      </c>
    </row>
    <row r="3446">
      <c r="A3446" t="str">
        <f>IFERROR(__xludf.DUMMYFUNCTION("""COMPUTED_VALUE"""),"lifjoy")</f>
        <v>lifjoy</v>
      </c>
      <c r="B3446" t="str">
        <f>IFERROR(__xludf.DUMMYFUNCTION("""COMPUTED_VALUE"""),"Bend")</f>
        <v>Bend</v>
      </c>
      <c r="C3446" t="str">
        <f>IFERROR(__xludf.DUMMYFUNCTION("""COMPUTED_VALUE"""),"OR")</f>
        <v>OR</v>
      </c>
      <c r="D3446" t="str">
        <f>IFERROR(__xludf.DUMMYFUNCTION("""COMPUTED_VALUE"""),"USA")</f>
        <v>USA</v>
      </c>
      <c r="E3446" s="188">
        <f>IFERROR(__xludf.DUMMYFUNCTION("""COMPUTED_VALUE"""),44428.0)</f>
        <v>44428</v>
      </c>
      <c r="N3446" t="str">
        <f>IFERROR(__xludf.DUMMYFUNCTION("""COMPUTED_VALUE"""),"Model 3 LR AWD")</f>
        <v>Model 3 LR AWD</v>
      </c>
      <c r="O3446" t="str">
        <f>IFERROR(__xludf.DUMMYFUNCTION("""COMPUTED_VALUE"""),"Midnight Silver Metallic")</f>
        <v>Midnight Silver Metallic</v>
      </c>
      <c r="P3446" t="str">
        <f>IFERROR(__xludf.DUMMYFUNCTION("""COMPUTED_VALUE"""),"18 inch")</f>
        <v>18 inch</v>
      </c>
      <c r="Q3446" t="str">
        <f>IFERROR(__xludf.DUMMYFUNCTION("""COMPUTED_VALUE"""),"All Black")</f>
        <v>All Black</v>
      </c>
      <c r="R3446" t="str">
        <f>IFERROR(__xludf.DUMMYFUNCTION("""COMPUTED_VALUE"""),"Autopilot included")</f>
        <v>Autopilot included</v>
      </c>
      <c r="S3446" t="str">
        <f>IFERROR(__xludf.DUMMYFUNCTION("""COMPUTED_VALUE"""),"Cash")</f>
        <v>Cash</v>
      </c>
      <c r="T3446" t="str">
        <f>IFERROR(__xludf.DUMMYFUNCTION("""COMPUTED_VALUE"""),"Audi A4 Allroad")</f>
        <v>Audi A4 Allroad</v>
      </c>
      <c r="U3446" t="str">
        <f>IFERROR(__xludf.DUMMYFUNCTION("""COMPUTED_VALUE"""),"It's just plain cool")</f>
        <v>It's just plain cool</v>
      </c>
      <c r="V3446" t="str">
        <f>IFERROR(__xludf.DUMMYFUNCTION("""COMPUTED_VALUE"""),"360° Bird's eye view")</f>
        <v>360° Bird's eye view</v>
      </c>
      <c r="AH3446" s="189">
        <f>IFERROR(__xludf.DUMMYFUNCTION("""COMPUTED_VALUE"""),44441.71280324074)</f>
        <v>44441.7128</v>
      </c>
    </row>
    <row r="3447">
      <c r="A3447" t="str">
        <f>IFERROR(__xludf.DUMMYFUNCTION("""COMPUTED_VALUE"""),"JaseW")</f>
        <v>JaseW</v>
      </c>
      <c r="B3447" t="str">
        <f>IFERROR(__xludf.DUMMYFUNCTION("""COMPUTED_VALUE"""),"London")</f>
        <v>London</v>
      </c>
      <c r="D3447" t="str">
        <f>IFERROR(__xludf.DUMMYFUNCTION("""COMPUTED_VALUE"""),"United Kingdom")</f>
        <v>United Kingdom</v>
      </c>
      <c r="E3447" s="188">
        <f>IFERROR(__xludf.DUMMYFUNCTION("""COMPUTED_VALUE"""),44440.0)</f>
        <v>44440</v>
      </c>
      <c r="N3447" t="str">
        <f>IFERROR(__xludf.DUMMYFUNCTION("""COMPUTED_VALUE"""),"Model 3 LR AWD")</f>
        <v>Model 3 LR AWD</v>
      </c>
      <c r="O3447" t="str">
        <f>IFERROR(__xludf.DUMMYFUNCTION("""COMPUTED_VALUE"""),"Pearl White Multi-Coat")</f>
        <v>Pearl White Multi-Coat</v>
      </c>
      <c r="P3447" t="str">
        <f>IFERROR(__xludf.DUMMYFUNCTION("""COMPUTED_VALUE"""),"19 inch")</f>
        <v>19 inch</v>
      </c>
      <c r="Q3447" t="str">
        <f>IFERROR(__xludf.DUMMYFUNCTION("""COMPUTED_VALUE"""),"All Black")</f>
        <v>All Black</v>
      </c>
      <c r="S3447" t="str">
        <f>IFERROR(__xludf.DUMMYFUNCTION("""COMPUTED_VALUE"""),"Cash")</f>
        <v>Cash</v>
      </c>
      <c r="T3447" t="str">
        <f>IFERROR(__xludf.DUMMYFUNCTION("""COMPUTED_VALUE"""),"Vauxhall Astra")</f>
        <v>Vauxhall Astra</v>
      </c>
      <c r="U3447" t="str">
        <f>IFERROR(__xludf.DUMMYFUNCTION("""COMPUTED_VALUE"""),"Electric!")</f>
        <v>Electric!</v>
      </c>
      <c r="V3447" t="str">
        <f>IFERROR(__xludf.DUMMYFUNCTION("""COMPUTED_VALUE"""),"Head-up display")</f>
        <v>Head-up display</v>
      </c>
      <c r="AH3447" s="189">
        <f>IFERROR(__xludf.DUMMYFUNCTION("""COMPUTED_VALUE"""),44441.73744012731)</f>
        <v>44441.73744</v>
      </c>
    </row>
    <row r="3448">
      <c r="A3448" t="str">
        <f>IFERROR(__xludf.DUMMYFUNCTION("""COMPUTED_VALUE"""),"CTS")</f>
        <v>CTS</v>
      </c>
      <c r="C3448" t="str">
        <f>IFERROR(__xludf.DUMMYFUNCTION("""COMPUTED_VALUE"""),"CA")</f>
        <v>CA</v>
      </c>
      <c r="D3448" t="str">
        <f>IFERROR(__xludf.DUMMYFUNCTION("""COMPUTED_VALUE"""),"USA")</f>
        <v>USA</v>
      </c>
      <c r="E3448" s="188">
        <f>IFERROR(__xludf.DUMMYFUNCTION("""COMPUTED_VALUE"""),44441.0)</f>
        <v>44441</v>
      </c>
      <c r="N3448" t="str">
        <f>IFERROR(__xludf.DUMMYFUNCTION("""COMPUTED_VALUE"""),"Model 3 LR AWD")</f>
        <v>Model 3 LR AWD</v>
      </c>
      <c r="O3448" t="str">
        <f>IFERROR(__xludf.DUMMYFUNCTION("""COMPUTED_VALUE"""),"Pearl White Multi-Coat")</f>
        <v>Pearl White Multi-Coat</v>
      </c>
      <c r="P3448" t="str">
        <f>IFERROR(__xludf.DUMMYFUNCTION("""COMPUTED_VALUE"""),"18 inch")</f>
        <v>18 inch</v>
      </c>
      <c r="Q3448" t="str">
        <f>IFERROR(__xludf.DUMMYFUNCTION("""COMPUTED_VALUE"""),"All Black")</f>
        <v>All Black</v>
      </c>
      <c r="R3448" t="str">
        <f>IFERROR(__xludf.DUMMYFUNCTION("""COMPUTED_VALUE"""),"Autopilot included")</f>
        <v>Autopilot included</v>
      </c>
      <c r="S3448" t="str">
        <f>IFERROR(__xludf.DUMMYFUNCTION("""COMPUTED_VALUE"""),"Cash")</f>
        <v>Cash</v>
      </c>
      <c r="U3448" t="str">
        <f>IFERROR(__xludf.DUMMYFUNCTION("""COMPUTED_VALUE"""),"Autopilot")</f>
        <v>Autopilot</v>
      </c>
      <c r="V3448" t="str">
        <f>IFERROR(__xludf.DUMMYFUNCTION("""COMPUTED_VALUE"""),"Apple CarPlay / Android Auto / SiriusXM Radio")</f>
        <v>Apple CarPlay / Android Auto / SiriusXM Radio</v>
      </c>
      <c r="AH3448" s="189">
        <f>IFERROR(__xludf.DUMMYFUNCTION("""COMPUTED_VALUE"""),44442.36082649305)</f>
        <v>44442.36083</v>
      </c>
    </row>
    <row r="3449">
      <c r="A3449" t="str">
        <f>IFERROR(__xludf.DUMMYFUNCTION("""COMPUTED_VALUE"""),"CheezyNachos")</f>
        <v>CheezyNachos</v>
      </c>
      <c r="B3449" t="str">
        <f>IFERROR(__xludf.DUMMYFUNCTION("""COMPUTED_VALUE"""),"Appleton")</f>
        <v>Appleton</v>
      </c>
      <c r="C3449" t="str">
        <f>IFERROR(__xludf.DUMMYFUNCTION("""COMPUTED_VALUE"""),"WI")</f>
        <v>WI</v>
      </c>
      <c r="D3449" t="str">
        <f>IFERROR(__xludf.DUMMYFUNCTION("""COMPUTED_VALUE"""),"USA")</f>
        <v>USA</v>
      </c>
      <c r="E3449" s="188">
        <f>IFERROR(__xludf.DUMMYFUNCTION("""COMPUTED_VALUE"""),44441.0)</f>
        <v>44441</v>
      </c>
      <c r="F3449" s="188">
        <f>IFERROR(__xludf.DUMMYFUNCTION("""COMPUTED_VALUE"""),44448.0)</f>
        <v>44448</v>
      </c>
      <c r="G3449" t="str">
        <f>IFERROR(__xludf.DUMMYFUNCTION("""COMPUTED_VALUE"""),"Email")</f>
        <v>Email</v>
      </c>
      <c r="H3449">
        <f>IFERROR(__xludf.DUMMYFUNCTION("""COMPUTED_VALUE"""),61930.0)</f>
        <v>61930</v>
      </c>
      <c r="I3449" t="str">
        <f>IFERROR(__xludf.DUMMYFUNCTION("""COMPUTED_VALUE"""),"09/21")</f>
        <v>09/21</v>
      </c>
      <c r="J3449" s="188">
        <f>IFERROR(__xludf.DUMMYFUNCTION("""COMPUTED_VALUE"""),44461.0)</f>
        <v>44461</v>
      </c>
      <c r="K3449">
        <f>IFERROR(__xludf.DUMMYFUNCTION("""COMPUTED_VALUE"""),7.0)</f>
        <v>7</v>
      </c>
      <c r="L3449">
        <f>IFERROR(__xludf.DUMMYFUNCTION("""COMPUTED_VALUE"""),13.0)</f>
        <v>13</v>
      </c>
      <c r="M3449">
        <f>IFERROR(__xludf.DUMMYFUNCTION("""COMPUTED_VALUE"""),20.0)</f>
        <v>20</v>
      </c>
      <c r="N3449" t="str">
        <f>IFERROR(__xludf.DUMMYFUNCTION("""COMPUTED_VALUE"""),"Model 3 Performance")</f>
        <v>Model 3 Performance</v>
      </c>
      <c r="O3449" t="str">
        <f>IFERROR(__xludf.DUMMYFUNCTION("""COMPUTED_VALUE"""),"Pearl White Multi-Coat")</f>
        <v>Pearl White Multi-Coat</v>
      </c>
      <c r="P3449" t="str">
        <f>IFERROR(__xludf.DUMMYFUNCTION("""COMPUTED_VALUE"""),"20 inch")</f>
        <v>20 inch</v>
      </c>
      <c r="Q3449" t="str">
        <f>IFERROR(__xludf.DUMMYFUNCTION("""COMPUTED_VALUE"""),"Black and White")</f>
        <v>Black and White</v>
      </c>
      <c r="R3449" t="str">
        <f>IFERROR(__xludf.DUMMYFUNCTION("""COMPUTED_VALUE"""),"Autopilot included")</f>
        <v>Autopilot included</v>
      </c>
      <c r="S3449" t="str">
        <f>IFERROR(__xludf.DUMMYFUNCTION("""COMPUTED_VALUE"""),"Loan")</f>
        <v>Loan</v>
      </c>
      <c r="T3449" t="str">
        <f>IFERROR(__xludf.DUMMYFUNCTION("""COMPUTED_VALUE"""),"Toyota GR Supra 3.0 Premium")</f>
        <v>Toyota GR Supra 3.0 Premium</v>
      </c>
      <c r="U3449" t="str">
        <f>IFERROR(__xludf.DUMMYFUNCTION("""COMPUTED_VALUE"""),"Acceleration")</f>
        <v>Acceleration</v>
      </c>
      <c r="V3449" t="str">
        <f>IFERROR(__xludf.DUMMYFUNCTION("""COMPUTED_VALUE"""),"Head-up display")</f>
        <v>Head-up display</v>
      </c>
      <c r="X3449" t="str">
        <f>IFERROR(__xludf.DUMMYFUNCTION("""COMPUTED_VALUE"""),"Excellent")</f>
        <v>Excellent</v>
      </c>
      <c r="Y3449" t="str">
        <f>IFERROR(__xludf.DUMMYFUNCTION("""COMPUTED_VALUE"""),"Excellent")</f>
        <v>Excellent</v>
      </c>
      <c r="Z3449" t="str">
        <f>IFERROR(__xludf.DUMMYFUNCTION("""COMPUTED_VALUE"""),"Excellent")</f>
        <v>Excellent</v>
      </c>
      <c r="AA3449" t="str">
        <f>IFERROR(__xludf.DUMMYFUNCTION("""COMPUTED_VALUE"""),"Good")</f>
        <v>Good</v>
      </c>
      <c r="AB3449" t="str">
        <f>IFERROR(__xludf.DUMMYFUNCTION("""COMPUTED_VALUE"""),"Poor")</f>
        <v>Poor</v>
      </c>
      <c r="AC3449">
        <f>IFERROR(__xludf.DUMMYFUNCTION("""COMPUTED_VALUE"""),0.0)</f>
        <v>0</v>
      </c>
      <c r="AH3449" s="189">
        <f>IFERROR(__xludf.DUMMYFUNCTION("""COMPUTED_VALUE"""),44472.33046534722)</f>
        <v>44472.33047</v>
      </c>
    </row>
    <row r="3450">
      <c r="A3450" t="str">
        <f>IFERROR(__xludf.DUMMYFUNCTION("""COMPUTED_VALUE"""),"gearbot66")</f>
        <v>gearbot66</v>
      </c>
      <c r="B3450" t="str">
        <f>IFERROR(__xludf.DUMMYFUNCTION("""COMPUTED_VALUE"""),"Hatfield")</f>
        <v>Hatfield</v>
      </c>
      <c r="C3450" t="str">
        <f>IFERROR(__xludf.DUMMYFUNCTION("""COMPUTED_VALUE"""),"PA")</f>
        <v>PA</v>
      </c>
      <c r="D3450" t="str">
        <f>IFERROR(__xludf.DUMMYFUNCTION("""COMPUTED_VALUE"""),"USA")</f>
        <v>USA</v>
      </c>
      <c r="E3450" s="188">
        <f>IFERROR(__xludf.DUMMYFUNCTION("""COMPUTED_VALUE"""),44420.0)</f>
        <v>44420</v>
      </c>
      <c r="F3450" s="188">
        <f>IFERROR(__xludf.DUMMYFUNCTION("""COMPUTED_VALUE"""),44497.0)</f>
        <v>44497</v>
      </c>
      <c r="G3450" t="str">
        <f>IFERROR(__xludf.DUMMYFUNCTION("""COMPUTED_VALUE"""),"Manage order page (normal text)")</f>
        <v>Manage order page (normal text)</v>
      </c>
      <c r="H3450">
        <f>IFERROR(__xludf.DUMMYFUNCTION("""COMPUTED_VALUE"""),99955.0)</f>
        <v>99955</v>
      </c>
      <c r="K3450">
        <f>IFERROR(__xludf.DUMMYFUNCTION("""COMPUTED_VALUE"""),77.0)</f>
        <v>77</v>
      </c>
      <c r="N3450" t="str">
        <f>IFERROR(__xludf.DUMMYFUNCTION("""COMPUTED_VALUE"""),"Model 3 SR+")</f>
        <v>Model 3 SR+</v>
      </c>
      <c r="O3450" t="str">
        <f>IFERROR(__xludf.DUMMYFUNCTION("""COMPUTED_VALUE"""),"Deep Blue Metallic")</f>
        <v>Deep Blue Metallic</v>
      </c>
      <c r="P3450" t="str">
        <f>IFERROR(__xludf.DUMMYFUNCTION("""COMPUTED_VALUE"""),"19 inch")</f>
        <v>19 inch</v>
      </c>
      <c r="Q3450" t="str">
        <f>IFERROR(__xludf.DUMMYFUNCTION("""COMPUTED_VALUE"""),"All Black")</f>
        <v>All Black</v>
      </c>
      <c r="R3450" t="str">
        <f>IFERROR(__xludf.DUMMYFUNCTION("""COMPUTED_VALUE"""),"Autopilot included")</f>
        <v>Autopilot included</v>
      </c>
      <c r="S3450" t="str">
        <f>IFERROR(__xludf.DUMMYFUNCTION("""COMPUTED_VALUE"""),"Loan")</f>
        <v>Loan</v>
      </c>
      <c r="T3450" t="str">
        <f>IFERROR(__xludf.DUMMYFUNCTION("""COMPUTED_VALUE"""),"Volkswagen Jetta")</f>
        <v>Volkswagen Jetta</v>
      </c>
      <c r="U3450" t="str">
        <f>IFERROR(__xludf.DUMMYFUNCTION("""COMPUTED_VALUE"""),"Autopilot")</f>
        <v>Autopilot</v>
      </c>
      <c r="V3450" t="str">
        <f>IFERROR(__xludf.DUMMYFUNCTION("""COMPUTED_VALUE"""),"Apple CarPlay / Android Auto / SiriusXM Radio")</f>
        <v>Apple CarPlay / Android Auto / SiriusXM Radio</v>
      </c>
      <c r="AH3450" s="189">
        <f>IFERROR(__xludf.DUMMYFUNCTION("""COMPUTED_VALUE"""),44497.57081130787)</f>
        <v>44497.57081</v>
      </c>
    </row>
    <row r="3451">
      <c r="A3451" t="str">
        <f>IFERROR(__xludf.DUMMYFUNCTION("""COMPUTED_VALUE"""),"ArturoM")</f>
        <v>ArturoM</v>
      </c>
      <c r="B3451" t="str">
        <f>IFERROR(__xludf.DUMMYFUNCTION("""COMPUTED_VALUE"""),"Lawrenceville")</f>
        <v>Lawrenceville</v>
      </c>
      <c r="C3451" t="str">
        <f>IFERROR(__xludf.DUMMYFUNCTION("""COMPUTED_VALUE"""),"GA")</f>
        <v>GA</v>
      </c>
      <c r="D3451" t="str">
        <f>IFERROR(__xludf.DUMMYFUNCTION("""COMPUTED_VALUE"""),"USA")</f>
        <v>USA</v>
      </c>
      <c r="E3451" s="188">
        <f>IFERROR(__xludf.DUMMYFUNCTION("""COMPUTED_VALUE"""),44426.0)</f>
        <v>44426</v>
      </c>
      <c r="F3451" s="188">
        <f>IFERROR(__xludf.DUMMYFUNCTION("""COMPUTED_VALUE"""),44448.0)</f>
        <v>44448</v>
      </c>
      <c r="G3451" t="str">
        <f>IFERROR(__xludf.DUMMYFUNCTION("""COMPUTED_VALUE"""),"Manage order page (normal text)")</f>
        <v>Manage order page (normal text)</v>
      </c>
      <c r="H3451">
        <f>IFERROR(__xludf.DUMMYFUNCTION("""COMPUTED_VALUE"""),59755.0)</f>
        <v>59755</v>
      </c>
      <c r="K3451">
        <f>IFERROR(__xludf.DUMMYFUNCTION("""COMPUTED_VALUE"""),22.0)</f>
        <v>22</v>
      </c>
      <c r="N3451" t="str">
        <f>IFERROR(__xludf.DUMMYFUNCTION("""COMPUTED_VALUE"""),"Model 3 LR AWD")</f>
        <v>Model 3 LR AWD</v>
      </c>
      <c r="O3451" t="str">
        <f>IFERROR(__xludf.DUMMYFUNCTION("""COMPUTED_VALUE"""),"Pearl White Multi-Coat")</f>
        <v>Pearl White Multi-Coat</v>
      </c>
      <c r="P3451" t="str">
        <f>IFERROR(__xludf.DUMMYFUNCTION("""COMPUTED_VALUE"""),"19 inch")</f>
        <v>19 inch</v>
      </c>
      <c r="Q3451" t="str">
        <f>IFERROR(__xludf.DUMMYFUNCTION("""COMPUTED_VALUE"""),"Black and White")</f>
        <v>Black and White</v>
      </c>
      <c r="R3451" t="str">
        <f>IFERROR(__xludf.DUMMYFUNCTION("""COMPUTED_VALUE"""),"Autopilot included")</f>
        <v>Autopilot included</v>
      </c>
      <c r="S3451" t="str">
        <f>IFERROR(__xludf.DUMMYFUNCTION("""COMPUTED_VALUE"""),"Loan")</f>
        <v>Loan</v>
      </c>
      <c r="T3451" t="str">
        <f>IFERROR(__xludf.DUMMYFUNCTION("""COMPUTED_VALUE"""),"Kia Soul")</f>
        <v>Kia Soul</v>
      </c>
      <c r="U3451" t="str">
        <f>IFERROR(__xludf.DUMMYFUNCTION("""COMPUTED_VALUE"""),"Electric!")</f>
        <v>Electric!</v>
      </c>
      <c r="V3451" t="str">
        <f>IFERROR(__xludf.DUMMYFUNCTION("""COMPUTED_VALUE"""),"Head-up display")</f>
        <v>Head-up display</v>
      </c>
      <c r="AH3451" s="189">
        <f>IFERROR(__xludf.DUMMYFUNCTION("""COMPUTED_VALUE"""),44448.93247748843)</f>
        <v>44448.93248</v>
      </c>
    </row>
    <row r="3452">
      <c r="A3452" t="str">
        <f>IFERROR(__xludf.DUMMYFUNCTION("""COMPUTED_VALUE"""),"JimboEV")</f>
        <v>JimboEV</v>
      </c>
      <c r="B3452" t="str">
        <f>IFERROR(__xludf.DUMMYFUNCTION("""COMPUTED_VALUE"""),"Albuquerque")</f>
        <v>Albuquerque</v>
      </c>
      <c r="C3452" t="str">
        <f>IFERROR(__xludf.DUMMYFUNCTION("""COMPUTED_VALUE"""),"NM")</f>
        <v>NM</v>
      </c>
      <c r="D3452" t="str">
        <f>IFERROR(__xludf.DUMMYFUNCTION("""COMPUTED_VALUE"""),"USA")</f>
        <v>USA</v>
      </c>
      <c r="E3452" s="188">
        <f>IFERROR(__xludf.DUMMYFUNCTION("""COMPUTED_VALUE"""),44425.0)</f>
        <v>44425</v>
      </c>
      <c r="F3452" s="188">
        <f>IFERROR(__xludf.DUMMYFUNCTION("""COMPUTED_VALUE"""),44455.0)</f>
        <v>44455</v>
      </c>
      <c r="G3452" t="str">
        <f>IFERROR(__xludf.DUMMYFUNCTION("""COMPUTED_VALUE"""),"Manage order page (normal text)")</f>
        <v>Manage order page (normal text)</v>
      </c>
      <c r="H3452">
        <f>IFERROR(__xludf.DUMMYFUNCTION("""COMPUTED_VALUE"""),65555.0)</f>
        <v>65555</v>
      </c>
      <c r="J3452" s="188">
        <f>IFERROR(__xludf.DUMMYFUNCTION("""COMPUTED_VALUE"""),44464.0)</f>
        <v>44464</v>
      </c>
      <c r="K3452">
        <f>IFERROR(__xludf.DUMMYFUNCTION("""COMPUTED_VALUE"""),30.0)</f>
        <v>30</v>
      </c>
      <c r="L3452">
        <f>IFERROR(__xludf.DUMMYFUNCTION("""COMPUTED_VALUE"""),9.0)</f>
        <v>9</v>
      </c>
      <c r="M3452">
        <f>IFERROR(__xludf.DUMMYFUNCTION("""COMPUTED_VALUE"""),39.0)</f>
        <v>39</v>
      </c>
      <c r="N3452" t="str">
        <f>IFERROR(__xludf.DUMMYFUNCTION("""COMPUTED_VALUE"""),"Model 3 LR AWD")</f>
        <v>Model 3 LR AWD</v>
      </c>
      <c r="O3452" t="str">
        <f>IFERROR(__xludf.DUMMYFUNCTION("""COMPUTED_VALUE"""),"Pearl White Multi-Coat")</f>
        <v>Pearl White Multi-Coat</v>
      </c>
      <c r="P3452" t="str">
        <f>IFERROR(__xludf.DUMMYFUNCTION("""COMPUTED_VALUE"""),"18 inch")</f>
        <v>18 inch</v>
      </c>
      <c r="Q3452" t="str">
        <f>IFERROR(__xludf.DUMMYFUNCTION("""COMPUTED_VALUE"""),"All Black")</f>
        <v>All Black</v>
      </c>
      <c r="R3452" t="str">
        <f>IFERROR(__xludf.DUMMYFUNCTION("""COMPUTED_VALUE"""),"Autopilot included")</f>
        <v>Autopilot included</v>
      </c>
      <c r="S3452" t="str">
        <f>IFERROR(__xludf.DUMMYFUNCTION("""COMPUTED_VALUE"""),"Loan")</f>
        <v>Loan</v>
      </c>
      <c r="T3452" t="str">
        <f>IFERROR(__xludf.DUMMYFUNCTION("""COMPUTED_VALUE"""),"BMW 3 Series")</f>
        <v>BMW 3 Series</v>
      </c>
      <c r="U3452" t="str">
        <f>IFERROR(__xludf.DUMMYFUNCTION("""COMPUTED_VALUE"""),"Electric!")</f>
        <v>Electric!</v>
      </c>
      <c r="V3452" t="str">
        <f>IFERROR(__xludf.DUMMYFUNCTION("""COMPUTED_VALUE"""),"Apple CarPlay / Android Auto / SiriusXM Radio")</f>
        <v>Apple CarPlay / Android Auto / SiriusXM Radio</v>
      </c>
      <c r="X3452" t="str">
        <f>IFERROR(__xludf.DUMMYFUNCTION("""COMPUTED_VALUE"""),"Very Good")</f>
        <v>Very Good</v>
      </c>
      <c r="Y3452" t="str">
        <f>IFERROR(__xludf.DUMMYFUNCTION("""COMPUTED_VALUE"""),"Excellent")</f>
        <v>Excellent</v>
      </c>
      <c r="Z3452" t="str">
        <f>IFERROR(__xludf.DUMMYFUNCTION("""COMPUTED_VALUE"""),"Excellent")</f>
        <v>Excellent</v>
      </c>
      <c r="AA3452" t="str">
        <f>IFERROR(__xludf.DUMMYFUNCTION("""COMPUTED_VALUE"""),"Excellent")</f>
        <v>Excellent</v>
      </c>
      <c r="AB3452" t="str">
        <f>IFERROR(__xludf.DUMMYFUNCTION("""COMPUTED_VALUE"""),"Excellent")</f>
        <v>Excellent</v>
      </c>
      <c r="AC3452">
        <f>IFERROR(__xludf.DUMMYFUNCTION("""COMPUTED_VALUE"""),1.0)</f>
        <v>1</v>
      </c>
      <c r="AF3452" t="str">
        <f>IFERROR(__xludf.DUMMYFUNCTION("""COMPUTED_VALUE"""),"No. I took delivery of the first car Tesla was able to deliver.")</f>
        <v>No. I took delivery of the first car Tesla was able to deliver.</v>
      </c>
      <c r="AH3452" s="189">
        <f>IFERROR(__xludf.DUMMYFUNCTION("""COMPUTED_VALUE"""),44465.358138888885)</f>
        <v>44465.35814</v>
      </c>
    </row>
    <row r="3453">
      <c r="A3453" t="str">
        <f>IFERROR(__xludf.DUMMYFUNCTION("""COMPUTED_VALUE"""),"Baluchi")</f>
        <v>Baluchi</v>
      </c>
      <c r="B3453" t="str">
        <f>IFERROR(__xludf.DUMMYFUNCTION("""COMPUTED_VALUE"""),"St Louis")</f>
        <v>St Louis</v>
      </c>
      <c r="C3453" t="str">
        <f>IFERROR(__xludf.DUMMYFUNCTION("""COMPUTED_VALUE"""),"MO")</f>
        <v>MO</v>
      </c>
      <c r="D3453" t="str">
        <f>IFERROR(__xludf.DUMMYFUNCTION("""COMPUTED_VALUE"""),"USA")</f>
        <v>USA</v>
      </c>
      <c r="E3453" s="188">
        <f>IFERROR(__xludf.DUMMYFUNCTION("""COMPUTED_VALUE"""),44454.0)</f>
        <v>44454</v>
      </c>
      <c r="F3453" s="188">
        <f>IFERROR(__xludf.DUMMYFUNCTION("""COMPUTED_VALUE"""),44454.0)</f>
        <v>44454</v>
      </c>
      <c r="G3453" t="str">
        <f>IFERROR(__xludf.DUMMYFUNCTION("""COMPUTED_VALUE"""),"Manage order page (normal text)")</f>
        <v>Manage order page (normal text)</v>
      </c>
      <c r="H3453">
        <f>IFERROR(__xludf.DUMMYFUNCTION("""COMPUTED_VALUE"""),57249.0)</f>
        <v>57249</v>
      </c>
      <c r="J3453" s="188">
        <f>IFERROR(__xludf.DUMMYFUNCTION("""COMPUTED_VALUE"""),44461.0)</f>
        <v>44461</v>
      </c>
      <c r="K3453">
        <f>IFERROR(__xludf.DUMMYFUNCTION("""COMPUTED_VALUE"""),0.0)</f>
        <v>0</v>
      </c>
      <c r="L3453">
        <f>IFERROR(__xludf.DUMMYFUNCTION("""COMPUTED_VALUE"""),7.0)</f>
        <v>7</v>
      </c>
      <c r="M3453">
        <f>IFERROR(__xludf.DUMMYFUNCTION("""COMPUTED_VALUE"""),7.0)</f>
        <v>7</v>
      </c>
      <c r="N3453" t="str">
        <f>IFERROR(__xludf.DUMMYFUNCTION("""COMPUTED_VALUE"""),"Model 3 SR+")</f>
        <v>Model 3 SR+</v>
      </c>
      <c r="O3453" t="str">
        <f>IFERROR(__xludf.DUMMYFUNCTION("""COMPUTED_VALUE"""),"Pearl White Multi-Coat")</f>
        <v>Pearl White Multi-Coat</v>
      </c>
      <c r="P3453" t="str">
        <f>IFERROR(__xludf.DUMMYFUNCTION("""COMPUTED_VALUE"""),"18 inch")</f>
        <v>18 inch</v>
      </c>
      <c r="Q3453" t="str">
        <f>IFERROR(__xludf.DUMMYFUNCTION("""COMPUTED_VALUE"""),"All Black")</f>
        <v>All Black</v>
      </c>
      <c r="R3453" t="str">
        <f>IFERROR(__xludf.DUMMYFUNCTION("""COMPUTED_VALUE"""),"Autopilot included")</f>
        <v>Autopilot included</v>
      </c>
      <c r="S3453" t="str">
        <f>IFERROR(__xludf.DUMMYFUNCTION("""COMPUTED_VALUE"""),"Cash")</f>
        <v>Cash</v>
      </c>
      <c r="T3453" t="str">
        <f>IFERROR(__xludf.DUMMYFUNCTION("""COMPUTED_VALUE"""),"Ford Focus")</f>
        <v>Ford Focus</v>
      </c>
      <c r="U3453" t="str">
        <f>IFERROR(__xludf.DUMMYFUNCTION("""COMPUTED_VALUE"""),"Electric!")</f>
        <v>Electric!</v>
      </c>
      <c r="V3453" t="str">
        <f>IFERROR(__xludf.DUMMYFUNCTION("""COMPUTED_VALUE"""),"Blind spot indicators on side mirrors")</f>
        <v>Blind spot indicators on side mirrors</v>
      </c>
      <c r="X3453" t="str">
        <f>IFERROR(__xludf.DUMMYFUNCTION("""COMPUTED_VALUE"""),"Excellent")</f>
        <v>Excellent</v>
      </c>
      <c r="Y3453" t="str">
        <f>IFERROR(__xludf.DUMMYFUNCTION("""COMPUTED_VALUE"""),"Excellent")</f>
        <v>Excellent</v>
      </c>
      <c r="Z3453" t="str">
        <f>IFERROR(__xludf.DUMMYFUNCTION("""COMPUTED_VALUE"""),"Excellent")</f>
        <v>Excellent</v>
      </c>
      <c r="AA3453" t="str">
        <f>IFERROR(__xludf.DUMMYFUNCTION("""COMPUTED_VALUE"""),"Excellent")</f>
        <v>Excellent</v>
      </c>
      <c r="AB3453" t="str">
        <f>IFERROR(__xludf.DUMMYFUNCTION("""COMPUTED_VALUE"""),"Excellent")</f>
        <v>Excellent</v>
      </c>
      <c r="AF3453" t="str">
        <f>IFERROR(__xludf.DUMMYFUNCTION("""COMPUTED_VALUE"""),"No. I took delivery of the first car Tesla was able to deliver.")</f>
        <v>No. I took delivery of the first car Tesla was able to deliver.</v>
      </c>
      <c r="AH3453" s="189">
        <f>IFERROR(__xludf.DUMMYFUNCTION("""COMPUTED_VALUE"""),44461.74723263889)</f>
        <v>44461.74723</v>
      </c>
    </row>
    <row r="3454">
      <c r="A3454" t="str">
        <f>IFERROR(__xludf.DUMMYFUNCTION("""COMPUTED_VALUE"""),"z3r0")</f>
        <v>z3r0</v>
      </c>
      <c r="C3454" t="str">
        <f>IFERROR(__xludf.DUMMYFUNCTION("""COMPUTED_VALUE"""),"MO")</f>
        <v>MO</v>
      </c>
      <c r="D3454" t="str">
        <f>IFERROR(__xludf.DUMMYFUNCTION("""COMPUTED_VALUE"""),"USA")</f>
        <v>USA</v>
      </c>
      <c r="E3454" s="188">
        <f>IFERROR(__xludf.DUMMYFUNCTION("""COMPUTED_VALUE"""),44442.0)</f>
        <v>44442</v>
      </c>
      <c r="F3454" s="188">
        <f>IFERROR(__xludf.DUMMYFUNCTION("""COMPUTED_VALUE"""),44448.0)</f>
        <v>44448</v>
      </c>
      <c r="G3454" t="str">
        <f>IFERROR(__xludf.DUMMYFUNCTION("""COMPUTED_VALUE"""),"Manage order page (normal text)")</f>
        <v>Manage order page (normal text)</v>
      </c>
      <c r="H3454">
        <f>IFERROR(__xludf.DUMMYFUNCTION("""COMPUTED_VALUE"""),59600.0)</f>
        <v>59600</v>
      </c>
      <c r="J3454" s="188">
        <f>IFERROR(__xludf.DUMMYFUNCTION("""COMPUTED_VALUE"""),44469.0)</f>
        <v>44469</v>
      </c>
      <c r="K3454">
        <f>IFERROR(__xludf.DUMMYFUNCTION("""COMPUTED_VALUE"""),6.0)</f>
        <v>6</v>
      </c>
      <c r="L3454">
        <f>IFERROR(__xludf.DUMMYFUNCTION("""COMPUTED_VALUE"""),21.0)</f>
        <v>21</v>
      </c>
      <c r="M3454">
        <f>IFERROR(__xludf.DUMMYFUNCTION("""COMPUTED_VALUE"""),27.0)</f>
        <v>27</v>
      </c>
      <c r="N3454" t="str">
        <f>IFERROR(__xludf.DUMMYFUNCTION("""COMPUTED_VALUE"""),"Model 3 Performance")</f>
        <v>Model 3 Performance</v>
      </c>
      <c r="O3454" t="str">
        <f>IFERROR(__xludf.DUMMYFUNCTION("""COMPUTED_VALUE"""),"Pearl White Multi-Coat")</f>
        <v>Pearl White Multi-Coat</v>
      </c>
      <c r="P3454" t="str">
        <f>IFERROR(__xludf.DUMMYFUNCTION("""COMPUTED_VALUE"""),"20 inch")</f>
        <v>20 inch</v>
      </c>
      <c r="Q3454" t="str">
        <f>IFERROR(__xludf.DUMMYFUNCTION("""COMPUTED_VALUE"""),"Black and White")</f>
        <v>Black and White</v>
      </c>
      <c r="R3454" t="str">
        <f>IFERROR(__xludf.DUMMYFUNCTION("""COMPUTED_VALUE"""),"Full Self-Driving")</f>
        <v>Full Self-Driving</v>
      </c>
      <c r="S3454" t="str">
        <f>IFERROR(__xludf.DUMMYFUNCTION("""COMPUTED_VALUE"""),"Cash")</f>
        <v>Cash</v>
      </c>
      <c r="U3454" t="str">
        <f>IFERROR(__xludf.DUMMYFUNCTION("""COMPUTED_VALUE"""),"Electric!")</f>
        <v>Electric!</v>
      </c>
      <c r="V3454" t="str">
        <f>IFERROR(__xludf.DUMMYFUNCTION("""COMPUTED_VALUE"""),"Ventilated seats")</f>
        <v>Ventilated seats</v>
      </c>
      <c r="AH3454" s="189">
        <f>IFERROR(__xludf.DUMMYFUNCTION("""COMPUTED_VALUE"""),44469.49954668981)</f>
        <v>44469.49955</v>
      </c>
    </row>
    <row r="3455">
      <c r="A3455" t="str">
        <f>IFERROR(__xludf.DUMMYFUNCTION("""COMPUTED_VALUE"""),"noeltykay")</f>
        <v>noeltykay</v>
      </c>
      <c r="B3455" t="str">
        <f>IFERROR(__xludf.DUMMYFUNCTION("""COMPUTED_VALUE"""),"Los Angeles")</f>
        <v>Los Angeles</v>
      </c>
      <c r="C3455" t="str">
        <f>IFERROR(__xludf.DUMMYFUNCTION("""COMPUTED_VALUE"""),"CA")</f>
        <v>CA</v>
      </c>
      <c r="D3455" t="str">
        <f>IFERROR(__xludf.DUMMYFUNCTION("""COMPUTED_VALUE"""),"USA")</f>
        <v>USA</v>
      </c>
      <c r="E3455" s="188">
        <f>IFERROR(__xludf.DUMMYFUNCTION("""COMPUTED_VALUE"""),44419.0)</f>
        <v>44419</v>
      </c>
      <c r="N3455" t="str">
        <f>IFERROR(__xludf.DUMMYFUNCTION("""COMPUTED_VALUE"""),"Model 3 LR AWD")</f>
        <v>Model 3 LR AWD</v>
      </c>
      <c r="O3455" t="str">
        <f>IFERROR(__xludf.DUMMYFUNCTION("""COMPUTED_VALUE"""),"Red Multi-Coat")</f>
        <v>Red Multi-Coat</v>
      </c>
      <c r="P3455" t="str">
        <f>IFERROR(__xludf.DUMMYFUNCTION("""COMPUTED_VALUE"""),"19 inch")</f>
        <v>19 inch</v>
      </c>
      <c r="Q3455" t="str">
        <f>IFERROR(__xludf.DUMMYFUNCTION("""COMPUTED_VALUE"""),"All Black")</f>
        <v>All Black</v>
      </c>
      <c r="R3455" t="str">
        <f>IFERROR(__xludf.DUMMYFUNCTION("""COMPUTED_VALUE"""),"Autopilot included")</f>
        <v>Autopilot included</v>
      </c>
      <c r="S3455" t="str">
        <f>IFERROR(__xludf.DUMMYFUNCTION("""COMPUTED_VALUE"""),"Loan")</f>
        <v>Loan</v>
      </c>
      <c r="T3455" t="str">
        <f>IFERROR(__xludf.DUMMYFUNCTION("""COMPUTED_VALUE"""),"Mini Cooper Countryman S ")</f>
        <v>Mini Cooper Countryman S </v>
      </c>
      <c r="U3455" t="str">
        <f>IFERROR(__xludf.DUMMYFUNCTION("""COMPUTED_VALUE"""),"All-glass roof")</f>
        <v>All-glass roof</v>
      </c>
      <c r="V3455" t="str">
        <f>IFERROR(__xludf.DUMMYFUNCTION("""COMPUTED_VALUE"""),"Apple CarPlay / Android Auto / SiriusXM Radio")</f>
        <v>Apple CarPlay / Android Auto / SiriusXM Radio</v>
      </c>
      <c r="AH3455" s="189">
        <f>IFERROR(__xludf.DUMMYFUNCTION("""COMPUTED_VALUE"""),44444.31296538195)</f>
        <v>44444.31297</v>
      </c>
    </row>
    <row r="3456">
      <c r="A3456" t="str">
        <f>IFERROR(__xludf.DUMMYFUNCTION("""COMPUTED_VALUE"""),"Xarthan")</f>
        <v>Xarthan</v>
      </c>
      <c r="C3456" t="str">
        <f>IFERROR(__xludf.DUMMYFUNCTION("""COMPUTED_VALUE"""),"OR")</f>
        <v>OR</v>
      </c>
      <c r="D3456" t="str">
        <f>IFERROR(__xludf.DUMMYFUNCTION("""COMPUTED_VALUE"""),"USA")</f>
        <v>USA</v>
      </c>
      <c r="E3456" s="188">
        <f>IFERROR(__xludf.DUMMYFUNCTION("""COMPUTED_VALUE"""),44434.0)</f>
        <v>44434</v>
      </c>
      <c r="F3456" s="188">
        <f>IFERROR(__xludf.DUMMYFUNCTION("""COMPUTED_VALUE"""),44434.0)</f>
        <v>44434</v>
      </c>
      <c r="G3456" t="str">
        <f>IFERROR(__xludf.DUMMYFUNCTION("""COMPUTED_VALUE"""),"Manage order page (normal text)")</f>
        <v>Manage order page (normal text)</v>
      </c>
      <c r="I3456" t="str">
        <f>IFERROR(__xludf.DUMMYFUNCTION("""COMPUTED_VALUE"""),"08/21")</f>
        <v>08/21</v>
      </c>
      <c r="J3456" s="188">
        <f>IFERROR(__xludf.DUMMYFUNCTION("""COMPUTED_VALUE"""),44442.0)</f>
        <v>44442</v>
      </c>
      <c r="K3456">
        <f>IFERROR(__xludf.DUMMYFUNCTION("""COMPUTED_VALUE"""),0.0)</f>
        <v>0</v>
      </c>
      <c r="L3456">
        <f>IFERROR(__xludf.DUMMYFUNCTION("""COMPUTED_VALUE"""),8.0)</f>
        <v>8</v>
      </c>
      <c r="M3456">
        <f>IFERROR(__xludf.DUMMYFUNCTION("""COMPUTED_VALUE"""),8.0)</f>
        <v>8</v>
      </c>
      <c r="N3456" t="str">
        <f>IFERROR(__xludf.DUMMYFUNCTION("""COMPUTED_VALUE"""),"Model 3 SR+")</f>
        <v>Model 3 SR+</v>
      </c>
      <c r="O3456" t="str">
        <f>IFERROR(__xludf.DUMMYFUNCTION("""COMPUTED_VALUE"""),"Pearl White Multi-Coat")</f>
        <v>Pearl White Multi-Coat</v>
      </c>
      <c r="P3456" t="str">
        <f>IFERROR(__xludf.DUMMYFUNCTION("""COMPUTED_VALUE"""),"18 inch")</f>
        <v>18 inch</v>
      </c>
      <c r="Q3456" t="str">
        <f>IFERROR(__xludf.DUMMYFUNCTION("""COMPUTED_VALUE"""),"All Black")</f>
        <v>All Black</v>
      </c>
      <c r="R3456" t="str">
        <f>IFERROR(__xludf.DUMMYFUNCTION("""COMPUTED_VALUE"""),"Autopilot included")</f>
        <v>Autopilot included</v>
      </c>
      <c r="AH3456" s="189">
        <f>IFERROR(__xludf.DUMMYFUNCTION("""COMPUTED_VALUE"""),44444.36510545139)</f>
        <v>44444.36511</v>
      </c>
    </row>
    <row r="3457">
      <c r="A3457" t="str">
        <f>IFERROR(__xludf.DUMMYFUNCTION("""COMPUTED_VALUE"""),"Doggster")</f>
        <v>Doggster</v>
      </c>
      <c r="B3457" t="str">
        <f>IFERROR(__xludf.DUMMYFUNCTION("""COMPUTED_VALUE"""),"Orange County")</f>
        <v>Orange County</v>
      </c>
      <c r="C3457" t="str">
        <f>IFERROR(__xludf.DUMMYFUNCTION("""COMPUTED_VALUE"""),"CA")</f>
        <v>CA</v>
      </c>
      <c r="D3457" t="str">
        <f>IFERROR(__xludf.DUMMYFUNCTION("""COMPUTED_VALUE"""),"USA")</f>
        <v>USA</v>
      </c>
      <c r="E3457" s="188">
        <f>IFERROR(__xludf.DUMMYFUNCTION("""COMPUTED_VALUE"""),44442.0)</f>
        <v>44442</v>
      </c>
      <c r="F3457" s="188">
        <f>IFERROR(__xludf.DUMMYFUNCTION("""COMPUTED_VALUE"""),44442.0)</f>
        <v>44442</v>
      </c>
      <c r="G3457" t="str">
        <f>IFERROR(__xludf.DUMMYFUNCTION("""COMPUTED_VALUE"""),"Manage order page (normal text)")</f>
        <v>Manage order page (normal text)</v>
      </c>
      <c r="H3457">
        <f>IFERROR(__xludf.DUMMYFUNCTION("""COMPUTED_VALUE"""),63055.0)</f>
        <v>63055</v>
      </c>
      <c r="J3457" s="188">
        <f>IFERROR(__xludf.DUMMYFUNCTION("""COMPUTED_VALUE"""),44456.0)</f>
        <v>44456</v>
      </c>
      <c r="K3457">
        <f>IFERROR(__xludf.DUMMYFUNCTION("""COMPUTED_VALUE"""),0.0)</f>
        <v>0</v>
      </c>
      <c r="L3457">
        <f>IFERROR(__xludf.DUMMYFUNCTION("""COMPUTED_VALUE"""),14.0)</f>
        <v>14</v>
      </c>
      <c r="M3457">
        <f>IFERROR(__xludf.DUMMYFUNCTION("""COMPUTED_VALUE"""),14.0)</f>
        <v>14</v>
      </c>
      <c r="N3457" t="str">
        <f>IFERROR(__xludf.DUMMYFUNCTION("""COMPUTED_VALUE"""),"Model 3 SR+")</f>
        <v>Model 3 SR+</v>
      </c>
      <c r="O3457" t="str">
        <f>IFERROR(__xludf.DUMMYFUNCTION("""COMPUTED_VALUE"""),"Pearl White Multi-Coat")</f>
        <v>Pearl White Multi-Coat</v>
      </c>
      <c r="P3457" t="str">
        <f>IFERROR(__xludf.DUMMYFUNCTION("""COMPUTED_VALUE"""),"18 inch")</f>
        <v>18 inch</v>
      </c>
      <c r="Q3457" t="str">
        <f>IFERROR(__xludf.DUMMYFUNCTION("""COMPUTED_VALUE"""),"Black and White")</f>
        <v>Black and White</v>
      </c>
      <c r="R3457" t="str">
        <f>IFERROR(__xludf.DUMMYFUNCTION("""COMPUTED_VALUE"""),"Autopilot included")</f>
        <v>Autopilot included</v>
      </c>
      <c r="S3457" t="str">
        <f>IFERROR(__xludf.DUMMYFUNCTION("""COMPUTED_VALUE"""),"Loan")</f>
        <v>Loan</v>
      </c>
      <c r="T3457" t="str">
        <f>IFERROR(__xludf.DUMMYFUNCTION("""COMPUTED_VALUE"""),"BMW 4 Series")</f>
        <v>BMW 4 Series</v>
      </c>
      <c r="U3457" t="str">
        <f>IFERROR(__xludf.DUMMYFUNCTION("""COMPUTED_VALUE"""),"Autopilot")</f>
        <v>Autopilot</v>
      </c>
      <c r="V3457" t="str">
        <f>IFERROR(__xludf.DUMMYFUNCTION("""COMPUTED_VALUE"""),"Head-up display")</f>
        <v>Head-up display</v>
      </c>
      <c r="AH3457" s="189">
        <f>IFERROR(__xludf.DUMMYFUNCTION("""COMPUTED_VALUE"""),44456.89375349537)</f>
        <v>44456.89375</v>
      </c>
    </row>
    <row r="3458">
      <c r="A3458" t="str">
        <f>IFERROR(__xludf.DUMMYFUNCTION("""COMPUTED_VALUE"""),"nikha")</f>
        <v>nikha</v>
      </c>
      <c r="B3458" t="str">
        <f>IFERROR(__xludf.DUMMYFUNCTION("""COMPUTED_VALUE"""),"Newark")</f>
        <v>Newark</v>
      </c>
      <c r="C3458" t="str">
        <f>IFERROR(__xludf.DUMMYFUNCTION("""COMPUTED_VALUE"""),"CA")</f>
        <v>CA</v>
      </c>
      <c r="D3458" t="str">
        <f>IFERROR(__xludf.DUMMYFUNCTION("""COMPUTED_VALUE"""),"USA")</f>
        <v>USA</v>
      </c>
      <c r="E3458" s="188">
        <f>IFERROR(__xludf.DUMMYFUNCTION("""COMPUTED_VALUE"""),44442.0)</f>
        <v>44442</v>
      </c>
      <c r="F3458" s="188">
        <f>IFERROR(__xludf.DUMMYFUNCTION("""COMPUTED_VALUE"""),44442.0)</f>
        <v>44442</v>
      </c>
      <c r="G3458" t="str">
        <f>IFERROR(__xludf.DUMMYFUNCTION("""COMPUTED_VALUE"""),"Manage order page (normal text)")</f>
        <v>Manage order page (normal text)</v>
      </c>
      <c r="H3458">
        <f>IFERROR(__xludf.DUMMYFUNCTION("""COMPUTED_VALUE"""),61250.0)</f>
        <v>61250</v>
      </c>
      <c r="K3458">
        <f>IFERROR(__xludf.DUMMYFUNCTION("""COMPUTED_VALUE"""),0.0)</f>
        <v>0</v>
      </c>
      <c r="N3458" t="str">
        <f>IFERROR(__xludf.DUMMYFUNCTION("""COMPUTED_VALUE"""),"Model 3 SR+")</f>
        <v>Model 3 SR+</v>
      </c>
      <c r="O3458" t="str">
        <f>IFERROR(__xludf.DUMMYFUNCTION("""COMPUTED_VALUE"""),"Pearl White Multi-Coat")</f>
        <v>Pearl White Multi-Coat</v>
      </c>
      <c r="P3458" t="str">
        <f>IFERROR(__xludf.DUMMYFUNCTION("""COMPUTED_VALUE"""),"18 inch")</f>
        <v>18 inch</v>
      </c>
      <c r="Q3458" t="str">
        <f>IFERROR(__xludf.DUMMYFUNCTION("""COMPUTED_VALUE"""),"All Black")</f>
        <v>All Black</v>
      </c>
      <c r="R3458" t="str">
        <f>IFERROR(__xludf.DUMMYFUNCTION("""COMPUTED_VALUE"""),"Autopilot included")</f>
        <v>Autopilot included</v>
      </c>
      <c r="S3458" t="str">
        <f>IFERROR(__xludf.DUMMYFUNCTION("""COMPUTED_VALUE"""),"Loan")</f>
        <v>Loan</v>
      </c>
      <c r="T3458" t="str">
        <f>IFERROR(__xludf.DUMMYFUNCTION("""COMPUTED_VALUE"""),"Dont have a car")</f>
        <v>Dont have a car</v>
      </c>
      <c r="AH3458" s="189">
        <f>IFERROR(__xludf.DUMMYFUNCTION("""COMPUTED_VALUE"""),44444.90388233797)</f>
        <v>44444.90388</v>
      </c>
    </row>
    <row r="3459">
      <c r="A3459" t="str">
        <f>IFERROR(__xludf.DUMMYFUNCTION("""COMPUTED_VALUE"""),"bmw0086")</f>
        <v>bmw0086</v>
      </c>
      <c r="B3459" t="str">
        <f>IFERROR(__xludf.DUMMYFUNCTION("""COMPUTED_VALUE"""),"Dallas")</f>
        <v>Dallas</v>
      </c>
      <c r="C3459" t="str">
        <f>IFERROR(__xludf.DUMMYFUNCTION("""COMPUTED_VALUE"""),"TX")</f>
        <v>TX</v>
      </c>
      <c r="D3459" t="str">
        <f>IFERROR(__xludf.DUMMYFUNCTION("""COMPUTED_VALUE"""),"USA")</f>
        <v>USA</v>
      </c>
      <c r="E3459" s="188">
        <f>IFERROR(__xludf.DUMMYFUNCTION("""COMPUTED_VALUE"""),44427.0)</f>
        <v>44427</v>
      </c>
      <c r="F3459" s="188">
        <f>IFERROR(__xludf.DUMMYFUNCTION("""COMPUTED_VALUE"""),44454.0)</f>
        <v>44454</v>
      </c>
      <c r="G3459" t="str">
        <f>IFERROR(__xludf.DUMMYFUNCTION("""COMPUTED_VALUE"""),"Manage order page (normal text)")</f>
        <v>Manage order page (normal text)</v>
      </c>
      <c r="H3459">
        <f>IFERROR(__xludf.DUMMYFUNCTION("""COMPUTED_VALUE"""),67407.0)</f>
        <v>67407</v>
      </c>
      <c r="J3459" s="188">
        <f>IFERROR(__xludf.DUMMYFUNCTION("""COMPUTED_VALUE"""),44466.0)</f>
        <v>44466</v>
      </c>
      <c r="K3459">
        <f>IFERROR(__xludf.DUMMYFUNCTION("""COMPUTED_VALUE"""),27.0)</f>
        <v>27</v>
      </c>
      <c r="L3459">
        <f>IFERROR(__xludf.DUMMYFUNCTION("""COMPUTED_VALUE"""),12.0)</f>
        <v>12</v>
      </c>
      <c r="M3459">
        <f>IFERROR(__xludf.DUMMYFUNCTION("""COMPUTED_VALUE"""),39.0)</f>
        <v>39</v>
      </c>
      <c r="N3459" t="str">
        <f>IFERROR(__xludf.DUMMYFUNCTION("""COMPUTED_VALUE"""),"Model 3 LR AWD")</f>
        <v>Model 3 LR AWD</v>
      </c>
      <c r="O3459" t="str">
        <f>IFERROR(__xludf.DUMMYFUNCTION("""COMPUTED_VALUE"""),"Midnight Silver Metallic")</f>
        <v>Midnight Silver Metallic</v>
      </c>
      <c r="P3459" t="str">
        <f>IFERROR(__xludf.DUMMYFUNCTION("""COMPUTED_VALUE"""),"18 inch")</f>
        <v>18 inch</v>
      </c>
      <c r="Q3459" t="str">
        <f>IFERROR(__xludf.DUMMYFUNCTION("""COMPUTED_VALUE"""),"All Black")</f>
        <v>All Black</v>
      </c>
      <c r="R3459" t="str">
        <f>IFERROR(__xludf.DUMMYFUNCTION("""COMPUTED_VALUE"""),"Autopilot included")</f>
        <v>Autopilot included</v>
      </c>
      <c r="S3459" t="str">
        <f>IFERROR(__xludf.DUMMYFUNCTION("""COMPUTED_VALUE"""),"Loan")</f>
        <v>Loan</v>
      </c>
      <c r="T3459" t="str">
        <f>IFERROR(__xludf.DUMMYFUNCTION("""COMPUTED_VALUE"""),"Lexus")</f>
        <v>Lexus</v>
      </c>
      <c r="U3459" t="str">
        <f>IFERROR(__xludf.DUMMYFUNCTION("""COMPUTED_VALUE"""),"Electric!")</f>
        <v>Electric!</v>
      </c>
      <c r="V3459" t="str">
        <f>IFERROR(__xludf.DUMMYFUNCTION("""COMPUTED_VALUE"""),"Apple CarPlay / Android Auto / SiriusXM Radio")</f>
        <v>Apple CarPlay / Android Auto / SiriusXM Radio</v>
      </c>
      <c r="AH3459" s="189">
        <f>IFERROR(__xludf.DUMMYFUNCTION("""COMPUTED_VALUE"""),44468.62968788194)</f>
        <v>44468.62969</v>
      </c>
    </row>
    <row r="3460">
      <c r="A3460" t="str">
        <f>IFERROR(__xludf.DUMMYFUNCTION("""COMPUTED_VALUE"""),"joula")</f>
        <v>joula</v>
      </c>
      <c r="B3460" t="str">
        <f>IFERROR(__xludf.DUMMYFUNCTION("""COMPUTED_VALUE"""),"Fort Worth")</f>
        <v>Fort Worth</v>
      </c>
      <c r="C3460" t="str">
        <f>IFERROR(__xludf.DUMMYFUNCTION("""COMPUTED_VALUE"""),"TX")</f>
        <v>TX</v>
      </c>
      <c r="D3460" t="str">
        <f>IFERROR(__xludf.DUMMYFUNCTION("""COMPUTED_VALUE"""),"USA")</f>
        <v>USA</v>
      </c>
      <c r="E3460" s="188">
        <f>IFERROR(__xludf.DUMMYFUNCTION("""COMPUTED_VALUE"""),44443.0)</f>
        <v>44443</v>
      </c>
      <c r="F3460" s="188">
        <f>IFERROR(__xludf.DUMMYFUNCTION("""COMPUTED_VALUE"""),44443.0)</f>
        <v>44443</v>
      </c>
      <c r="G3460" t="str">
        <f>IFERROR(__xludf.DUMMYFUNCTION("""COMPUTED_VALUE"""),"Manage order page (normal text)")</f>
        <v>Manage order page (normal text)</v>
      </c>
      <c r="H3460">
        <f>IFERROR(__xludf.DUMMYFUNCTION("""COMPUTED_VALUE"""),64355.0)</f>
        <v>64355</v>
      </c>
      <c r="J3460" s="188">
        <f>IFERROR(__xludf.DUMMYFUNCTION("""COMPUTED_VALUE"""),44465.0)</f>
        <v>44465</v>
      </c>
      <c r="K3460">
        <f>IFERROR(__xludf.DUMMYFUNCTION("""COMPUTED_VALUE"""),0.0)</f>
        <v>0</v>
      </c>
      <c r="L3460">
        <f>IFERROR(__xludf.DUMMYFUNCTION("""COMPUTED_VALUE"""),22.0)</f>
        <v>22</v>
      </c>
      <c r="M3460">
        <f>IFERROR(__xludf.DUMMYFUNCTION("""COMPUTED_VALUE"""),22.0)</f>
        <v>22</v>
      </c>
      <c r="N3460" t="str">
        <f>IFERROR(__xludf.DUMMYFUNCTION("""COMPUTED_VALUE"""),"Model 3 SR+")</f>
        <v>Model 3 SR+</v>
      </c>
      <c r="O3460" t="str">
        <f>IFERROR(__xludf.DUMMYFUNCTION("""COMPUTED_VALUE"""),"Pearl White Multi-Coat")</f>
        <v>Pearl White Multi-Coat</v>
      </c>
      <c r="P3460" t="str">
        <f>IFERROR(__xludf.DUMMYFUNCTION("""COMPUTED_VALUE"""),"18 inch")</f>
        <v>18 inch</v>
      </c>
      <c r="Q3460" t="str">
        <f>IFERROR(__xludf.DUMMYFUNCTION("""COMPUTED_VALUE"""),"All Black")</f>
        <v>All Black</v>
      </c>
      <c r="R3460" t="str">
        <f>IFERROR(__xludf.DUMMYFUNCTION("""COMPUTED_VALUE"""),"Autopilot included")</f>
        <v>Autopilot included</v>
      </c>
      <c r="AH3460" s="189">
        <f>IFERROR(__xludf.DUMMYFUNCTION("""COMPUTED_VALUE"""),44452.7610112963)</f>
        <v>44452.76101</v>
      </c>
    </row>
    <row r="3461">
      <c r="A3461" t="str">
        <f>IFERROR(__xludf.DUMMYFUNCTION("""COMPUTED_VALUE"""),"Whiskeyjack")</f>
        <v>Whiskeyjack</v>
      </c>
      <c r="B3461" t="str">
        <f>IFERROR(__xludf.DUMMYFUNCTION("""COMPUTED_VALUE"""),"L'Ange-Gardien")</f>
        <v>L'Ange-Gardien</v>
      </c>
      <c r="C3461" t="str">
        <f>IFERROR(__xludf.DUMMYFUNCTION("""COMPUTED_VALUE"""),"QC")</f>
        <v>QC</v>
      </c>
      <c r="D3461" t="str">
        <f>IFERROR(__xludf.DUMMYFUNCTION("""COMPUTED_VALUE"""),"Canada")</f>
        <v>Canada</v>
      </c>
      <c r="E3461" s="188">
        <f>IFERROR(__xludf.DUMMYFUNCTION("""COMPUTED_VALUE"""),44440.0)</f>
        <v>44440</v>
      </c>
      <c r="N3461" t="str">
        <f>IFERROR(__xludf.DUMMYFUNCTION("""COMPUTED_VALUE"""),"Model 3 SR+")</f>
        <v>Model 3 SR+</v>
      </c>
      <c r="O3461" t="str">
        <f>IFERROR(__xludf.DUMMYFUNCTION("""COMPUTED_VALUE"""),"Midnight Silver Metallic")</f>
        <v>Midnight Silver Metallic</v>
      </c>
      <c r="P3461" t="str">
        <f>IFERROR(__xludf.DUMMYFUNCTION("""COMPUTED_VALUE"""),"18 inch")</f>
        <v>18 inch</v>
      </c>
      <c r="Q3461" t="str">
        <f>IFERROR(__xludf.DUMMYFUNCTION("""COMPUTED_VALUE"""),"All Black")</f>
        <v>All Black</v>
      </c>
      <c r="R3461" t="str">
        <f>IFERROR(__xludf.DUMMYFUNCTION("""COMPUTED_VALUE"""),"Autopilot included")</f>
        <v>Autopilot included</v>
      </c>
      <c r="S3461" t="str">
        <f>IFERROR(__xludf.DUMMYFUNCTION("""COMPUTED_VALUE"""),"Loan")</f>
        <v>Loan</v>
      </c>
      <c r="T3461" t="str">
        <f>IFERROR(__xludf.DUMMYFUNCTION("""COMPUTED_VALUE"""),"Jeep Wrangler")</f>
        <v>Jeep Wrangler</v>
      </c>
      <c r="U3461" t="str">
        <f>IFERROR(__xludf.DUMMYFUNCTION("""COMPUTED_VALUE"""),"Electric!")</f>
        <v>Electric!</v>
      </c>
      <c r="V3461" t="str">
        <f>IFERROR(__xludf.DUMMYFUNCTION("""COMPUTED_VALUE"""),"Apple CarPlay / Android Auto / SiriusXM Radio")</f>
        <v>Apple CarPlay / Android Auto / SiriusXM Radio</v>
      </c>
      <c r="AH3461" s="189">
        <f>IFERROR(__xludf.DUMMYFUNCTION("""COMPUTED_VALUE"""),44445.49339392361)</f>
        <v>44445.49339</v>
      </c>
    </row>
    <row r="3462">
      <c r="A3462" t="str">
        <f>IFERROR(__xludf.DUMMYFUNCTION("""COMPUTED_VALUE"""),"Kamisama")</f>
        <v>Kamisama</v>
      </c>
      <c r="B3462" t="str">
        <f>IFERROR(__xludf.DUMMYFUNCTION("""COMPUTED_VALUE"""),"Layton")</f>
        <v>Layton</v>
      </c>
      <c r="C3462" t="str">
        <f>IFERROR(__xludf.DUMMYFUNCTION("""COMPUTED_VALUE"""),"UT")</f>
        <v>UT</v>
      </c>
      <c r="D3462" t="str">
        <f>IFERROR(__xludf.DUMMYFUNCTION("""COMPUTED_VALUE"""),"USA")</f>
        <v>USA</v>
      </c>
      <c r="E3462" s="188">
        <f>IFERROR(__xludf.DUMMYFUNCTION("""COMPUTED_VALUE"""),44444.0)</f>
        <v>44444</v>
      </c>
      <c r="N3462" t="str">
        <f>IFERROR(__xludf.DUMMYFUNCTION("""COMPUTED_VALUE"""),"Model 3 Performance")</f>
        <v>Model 3 Performance</v>
      </c>
      <c r="O3462" t="str">
        <f>IFERROR(__xludf.DUMMYFUNCTION("""COMPUTED_VALUE"""),"Pearl White Multi-Coat")</f>
        <v>Pearl White Multi-Coat</v>
      </c>
      <c r="P3462" t="str">
        <f>IFERROR(__xludf.DUMMYFUNCTION("""COMPUTED_VALUE"""),"20 inch")</f>
        <v>20 inch</v>
      </c>
      <c r="Q3462" t="str">
        <f>IFERROR(__xludf.DUMMYFUNCTION("""COMPUTED_VALUE"""),"Black and White")</f>
        <v>Black and White</v>
      </c>
      <c r="R3462" t="str">
        <f>IFERROR(__xludf.DUMMYFUNCTION("""COMPUTED_VALUE"""),"Autopilot included")</f>
        <v>Autopilot included</v>
      </c>
      <c r="S3462" t="str">
        <f>IFERROR(__xludf.DUMMYFUNCTION("""COMPUTED_VALUE"""),"Loan")</f>
        <v>Loan</v>
      </c>
      <c r="T3462" t="str">
        <f>IFERROR(__xludf.DUMMYFUNCTION("""COMPUTED_VALUE"""),"Tesla Model 3")</f>
        <v>Tesla Model 3</v>
      </c>
      <c r="U3462" t="str">
        <f>IFERROR(__xludf.DUMMYFUNCTION("""COMPUTED_VALUE"""),"Autopilot")</f>
        <v>Autopilot</v>
      </c>
      <c r="V3462" t="str">
        <f>IFERROR(__xludf.DUMMYFUNCTION("""COMPUTED_VALUE"""),"Air suspension")</f>
        <v>Air suspension</v>
      </c>
      <c r="AH3462" s="189">
        <f>IFERROR(__xludf.DUMMYFUNCTION("""COMPUTED_VALUE"""),44445.54065850694)</f>
        <v>44445.54066</v>
      </c>
    </row>
    <row r="3463">
      <c r="A3463" t="str">
        <f>IFERROR(__xludf.DUMMYFUNCTION("""COMPUTED_VALUE"""),"hiphiphooray")</f>
        <v>hiphiphooray</v>
      </c>
      <c r="B3463" t="str">
        <f>IFERROR(__xludf.DUMMYFUNCTION("""COMPUTED_VALUE"""),"North Brunswick")</f>
        <v>North Brunswick</v>
      </c>
      <c r="C3463" t="str">
        <f>IFERROR(__xludf.DUMMYFUNCTION("""COMPUTED_VALUE"""),"NJ")</f>
        <v>NJ</v>
      </c>
      <c r="D3463" t="str">
        <f>IFERROR(__xludf.DUMMYFUNCTION("""COMPUTED_VALUE"""),"USA")</f>
        <v>USA</v>
      </c>
      <c r="E3463" s="188">
        <f>IFERROR(__xludf.DUMMYFUNCTION("""COMPUTED_VALUE"""),44393.0)</f>
        <v>44393</v>
      </c>
      <c r="N3463" t="str">
        <f>IFERROR(__xludf.DUMMYFUNCTION("""COMPUTED_VALUE"""),"Model 3 SR+")</f>
        <v>Model 3 SR+</v>
      </c>
      <c r="O3463" t="str">
        <f>IFERROR(__xludf.DUMMYFUNCTION("""COMPUTED_VALUE"""),"Pearl White Multi-Coat")</f>
        <v>Pearl White Multi-Coat</v>
      </c>
      <c r="P3463" t="str">
        <f>IFERROR(__xludf.DUMMYFUNCTION("""COMPUTED_VALUE"""),"18 inch")</f>
        <v>18 inch</v>
      </c>
      <c r="Q3463" t="str">
        <f>IFERROR(__xludf.DUMMYFUNCTION("""COMPUTED_VALUE"""),"All Black")</f>
        <v>All Black</v>
      </c>
      <c r="R3463" t="str">
        <f>IFERROR(__xludf.DUMMYFUNCTION("""COMPUTED_VALUE"""),"Autopilot included")</f>
        <v>Autopilot included</v>
      </c>
      <c r="S3463" t="str">
        <f>IFERROR(__xludf.DUMMYFUNCTION("""COMPUTED_VALUE"""),"Cash")</f>
        <v>Cash</v>
      </c>
      <c r="T3463" t="str">
        <f>IFERROR(__xludf.DUMMYFUNCTION("""COMPUTED_VALUE"""),"VW Jetta")</f>
        <v>VW Jetta</v>
      </c>
      <c r="U3463" t="str">
        <f>IFERROR(__xludf.DUMMYFUNCTION("""COMPUTED_VALUE"""),"Electric!")</f>
        <v>Electric!</v>
      </c>
      <c r="V3463" t="str">
        <f>IFERROR(__xludf.DUMMYFUNCTION("""COMPUTED_VALUE"""),"Apple CarPlay / Android Auto / SiriusXM Radio")</f>
        <v>Apple CarPlay / Android Auto / SiriusXM Radio</v>
      </c>
      <c r="AH3463" s="189">
        <f>IFERROR(__xludf.DUMMYFUNCTION("""COMPUTED_VALUE"""),44445.62069556713)</f>
        <v>44445.6207</v>
      </c>
    </row>
    <row r="3464">
      <c r="A3464" t="str">
        <f>IFERROR(__xludf.DUMMYFUNCTION("""COMPUTED_VALUE"""),"MyPianoMan")</f>
        <v>MyPianoMan</v>
      </c>
      <c r="B3464" t="str">
        <f>IFERROR(__xludf.DUMMYFUNCTION("""COMPUTED_VALUE"""),"Fremont")</f>
        <v>Fremont</v>
      </c>
      <c r="C3464" t="str">
        <f>IFERROR(__xludf.DUMMYFUNCTION("""COMPUTED_VALUE"""),"CA")</f>
        <v>CA</v>
      </c>
      <c r="D3464" t="str">
        <f>IFERROR(__xludf.DUMMYFUNCTION("""COMPUTED_VALUE"""),"USA")</f>
        <v>USA</v>
      </c>
      <c r="E3464" s="188">
        <f>IFERROR(__xludf.DUMMYFUNCTION("""COMPUTED_VALUE"""),44433.0)</f>
        <v>44433</v>
      </c>
      <c r="F3464" s="188">
        <f>IFERROR(__xludf.DUMMYFUNCTION("""COMPUTED_VALUE"""),44467.0)</f>
        <v>44467</v>
      </c>
      <c r="G3464" t="str">
        <f>IFERROR(__xludf.DUMMYFUNCTION("""COMPUTED_VALUE"""),"Manage order page (normal text)")</f>
        <v>Manage order page (normal text)</v>
      </c>
      <c r="H3464">
        <f>IFERROR(__xludf.DUMMYFUNCTION("""COMPUTED_VALUE"""),76355.0)</f>
        <v>76355</v>
      </c>
      <c r="J3464" s="188">
        <f>IFERROR(__xludf.DUMMYFUNCTION("""COMPUTED_VALUE"""),44471.0)</f>
        <v>44471</v>
      </c>
      <c r="K3464">
        <f>IFERROR(__xludf.DUMMYFUNCTION("""COMPUTED_VALUE"""),34.0)</f>
        <v>34</v>
      </c>
      <c r="L3464">
        <f>IFERROR(__xludf.DUMMYFUNCTION("""COMPUTED_VALUE"""),4.0)</f>
        <v>4</v>
      </c>
      <c r="M3464">
        <f>IFERROR(__xludf.DUMMYFUNCTION("""COMPUTED_VALUE"""),38.0)</f>
        <v>38</v>
      </c>
      <c r="N3464" t="str">
        <f>IFERROR(__xludf.DUMMYFUNCTION("""COMPUTED_VALUE"""),"Model 3 SR+")</f>
        <v>Model 3 SR+</v>
      </c>
      <c r="O3464" t="str">
        <f>IFERROR(__xludf.DUMMYFUNCTION("""COMPUTED_VALUE"""),"Pearl White Multi-Coat")</f>
        <v>Pearl White Multi-Coat</v>
      </c>
      <c r="P3464" t="str">
        <f>IFERROR(__xludf.DUMMYFUNCTION("""COMPUTED_VALUE"""),"19 inch")</f>
        <v>19 inch</v>
      </c>
      <c r="Q3464" t="str">
        <f>IFERROR(__xludf.DUMMYFUNCTION("""COMPUTED_VALUE"""),"All Black")</f>
        <v>All Black</v>
      </c>
      <c r="R3464" t="str">
        <f>IFERROR(__xludf.DUMMYFUNCTION("""COMPUTED_VALUE"""),"Autopilot included")</f>
        <v>Autopilot included</v>
      </c>
      <c r="S3464" t="str">
        <f>IFERROR(__xludf.DUMMYFUNCTION("""COMPUTED_VALUE"""),"Cash")</f>
        <v>Cash</v>
      </c>
      <c r="AH3464" s="189">
        <f>IFERROR(__xludf.DUMMYFUNCTION("""COMPUTED_VALUE"""),44471.795455115745)</f>
        <v>44471.79546</v>
      </c>
    </row>
    <row r="3465">
      <c r="A3465" t="str">
        <f>IFERROR(__xludf.DUMMYFUNCTION("""COMPUTED_VALUE"""),"mattdman")</f>
        <v>mattdman</v>
      </c>
      <c r="C3465" t="str">
        <f>IFERROR(__xludf.DUMMYFUNCTION("""COMPUTED_VALUE"""),"NJ")</f>
        <v>NJ</v>
      </c>
      <c r="D3465" t="str">
        <f>IFERROR(__xludf.DUMMYFUNCTION("""COMPUTED_VALUE"""),"USA")</f>
        <v>USA</v>
      </c>
      <c r="E3465" s="188">
        <f>IFERROR(__xludf.DUMMYFUNCTION("""COMPUTED_VALUE"""),44386.0)</f>
        <v>44386</v>
      </c>
      <c r="F3465" s="188">
        <f>IFERROR(__xludf.DUMMYFUNCTION("""COMPUTED_VALUE"""),44444.0)</f>
        <v>44444</v>
      </c>
      <c r="G3465" t="str">
        <f>IFERROR(__xludf.DUMMYFUNCTION("""COMPUTED_VALUE"""),"Manage order page (normal text)")</f>
        <v>Manage order page (normal text)</v>
      </c>
      <c r="J3465" s="188">
        <f>IFERROR(__xludf.DUMMYFUNCTION("""COMPUTED_VALUE"""),44459.0)</f>
        <v>44459</v>
      </c>
      <c r="K3465">
        <f>IFERROR(__xludf.DUMMYFUNCTION("""COMPUTED_VALUE"""),58.0)</f>
        <v>58</v>
      </c>
      <c r="L3465">
        <f>IFERROR(__xludf.DUMMYFUNCTION("""COMPUTED_VALUE"""),15.0)</f>
        <v>15</v>
      </c>
      <c r="M3465">
        <f>IFERROR(__xludf.DUMMYFUNCTION("""COMPUTED_VALUE"""),73.0)</f>
        <v>73</v>
      </c>
      <c r="N3465" t="str">
        <f>IFERROR(__xludf.DUMMYFUNCTION("""COMPUTED_VALUE"""),"Model 3 SR+")</f>
        <v>Model 3 SR+</v>
      </c>
      <c r="O3465" t="str">
        <f>IFERROR(__xludf.DUMMYFUNCTION("""COMPUTED_VALUE"""),"Midnight Silver Metallic")</f>
        <v>Midnight Silver Metallic</v>
      </c>
      <c r="P3465" t="str">
        <f>IFERROR(__xludf.DUMMYFUNCTION("""COMPUTED_VALUE"""),"18 inch")</f>
        <v>18 inch</v>
      </c>
      <c r="Q3465" t="str">
        <f>IFERROR(__xludf.DUMMYFUNCTION("""COMPUTED_VALUE"""),"All Black")</f>
        <v>All Black</v>
      </c>
      <c r="R3465" t="str">
        <f>IFERROR(__xludf.DUMMYFUNCTION("""COMPUTED_VALUE"""),"Autopilot included")</f>
        <v>Autopilot included</v>
      </c>
      <c r="S3465" t="str">
        <f>IFERROR(__xludf.DUMMYFUNCTION("""COMPUTED_VALUE"""),"Loan")</f>
        <v>Loan</v>
      </c>
      <c r="U3465" t="str">
        <f>IFERROR(__xludf.DUMMYFUNCTION("""COMPUTED_VALUE"""),"Electric!")</f>
        <v>Electric!</v>
      </c>
      <c r="V3465" t="str">
        <f>IFERROR(__xludf.DUMMYFUNCTION("""COMPUTED_VALUE"""),"Apple CarPlay / Android Auto / SiriusXM Radio")</f>
        <v>Apple CarPlay / Android Auto / SiriusXM Radio</v>
      </c>
      <c r="AH3465" s="189">
        <f>IFERROR(__xludf.DUMMYFUNCTION("""COMPUTED_VALUE"""),44448.465764259265)</f>
        <v>44448.46576</v>
      </c>
    </row>
    <row r="3466">
      <c r="A3466" t="str">
        <f>IFERROR(__xludf.DUMMYFUNCTION("""COMPUTED_VALUE"""),"lcagle")</f>
        <v>lcagle</v>
      </c>
      <c r="B3466" t="str">
        <f>IFERROR(__xludf.DUMMYFUNCTION("""COMPUTED_VALUE"""),"Tampa")</f>
        <v>Tampa</v>
      </c>
      <c r="C3466" t="str">
        <f>IFERROR(__xludf.DUMMYFUNCTION("""COMPUTED_VALUE"""),"FL")</f>
        <v>FL</v>
      </c>
      <c r="D3466" t="str">
        <f>IFERROR(__xludf.DUMMYFUNCTION("""COMPUTED_VALUE"""),"USA")</f>
        <v>USA</v>
      </c>
      <c r="E3466" s="188">
        <f>IFERROR(__xludf.DUMMYFUNCTION("""COMPUTED_VALUE"""),44442.0)</f>
        <v>44442</v>
      </c>
      <c r="F3466" s="188">
        <f>IFERROR(__xludf.DUMMYFUNCTION("""COMPUTED_VALUE"""),44448.0)</f>
        <v>44448</v>
      </c>
      <c r="G3466" t="str">
        <f>IFERROR(__xludf.DUMMYFUNCTION("""COMPUTED_VALUE"""),"Manage order page (normal text)")</f>
        <v>Manage order page (normal text)</v>
      </c>
      <c r="H3466">
        <f>IFERROR(__xludf.DUMMYFUNCTION("""COMPUTED_VALUE"""),61955.0)</f>
        <v>61955</v>
      </c>
      <c r="I3466" t="str">
        <f>IFERROR(__xludf.DUMMYFUNCTION("""COMPUTED_VALUE"""),"09/21")</f>
        <v>09/21</v>
      </c>
      <c r="J3466" s="188">
        <f>IFERROR(__xludf.DUMMYFUNCTION("""COMPUTED_VALUE"""),44464.0)</f>
        <v>44464</v>
      </c>
      <c r="K3466">
        <f>IFERROR(__xludf.DUMMYFUNCTION("""COMPUTED_VALUE"""),6.0)</f>
        <v>6</v>
      </c>
      <c r="L3466">
        <f>IFERROR(__xludf.DUMMYFUNCTION("""COMPUTED_VALUE"""),16.0)</f>
        <v>16</v>
      </c>
      <c r="M3466">
        <f>IFERROR(__xludf.DUMMYFUNCTION("""COMPUTED_VALUE"""),22.0)</f>
        <v>22</v>
      </c>
      <c r="N3466" t="str">
        <f>IFERROR(__xludf.DUMMYFUNCTION("""COMPUTED_VALUE"""),"Model 3 Performance")</f>
        <v>Model 3 Performance</v>
      </c>
      <c r="O3466" t="str">
        <f>IFERROR(__xludf.DUMMYFUNCTION("""COMPUTED_VALUE"""),"Midnight Silver Metallic")</f>
        <v>Midnight Silver Metallic</v>
      </c>
      <c r="P3466" t="str">
        <f>IFERROR(__xludf.DUMMYFUNCTION("""COMPUTED_VALUE"""),"20 inch")</f>
        <v>20 inch</v>
      </c>
      <c r="Q3466" t="str">
        <f>IFERROR(__xludf.DUMMYFUNCTION("""COMPUTED_VALUE"""),"Black and White")</f>
        <v>Black and White</v>
      </c>
      <c r="R3466" t="str">
        <f>IFERROR(__xludf.DUMMYFUNCTION("""COMPUTED_VALUE"""),"Autopilot included")</f>
        <v>Autopilot included</v>
      </c>
      <c r="S3466" t="str">
        <f>IFERROR(__xludf.DUMMYFUNCTION("""COMPUTED_VALUE"""),"Loan")</f>
        <v>Loan</v>
      </c>
      <c r="T3466" t="str">
        <f>IFERROR(__xludf.DUMMYFUNCTION("""COMPUTED_VALUE"""),"Ford Mustang")</f>
        <v>Ford Mustang</v>
      </c>
      <c r="U3466" t="str">
        <f>IFERROR(__xludf.DUMMYFUNCTION("""COMPUTED_VALUE"""),"It's futuristic")</f>
        <v>It's futuristic</v>
      </c>
      <c r="V3466" t="str">
        <f>IFERROR(__xludf.DUMMYFUNCTION("""COMPUTED_VALUE"""),"Air suspension")</f>
        <v>Air suspension</v>
      </c>
      <c r="X3466" t="str">
        <f>IFERROR(__xludf.DUMMYFUNCTION("""COMPUTED_VALUE"""),"Good")</f>
        <v>Good</v>
      </c>
      <c r="Y3466" t="str">
        <f>IFERROR(__xludf.DUMMYFUNCTION("""COMPUTED_VALUE"""),"Very Good")</f>
        <v>Very Good</v>
      </c>
      <c r="Z3466" t="str">
        <f>IFERROR(__xludf.DUMMYFUNCTION("""COMPUTED_VALUE"""),"Fair")</f>
        <v>Fair</v>
      </c>
      <c r="AA3466" t="str">
        <f>IFERROR(__xludf.DUMMYFUNCTION("""COMPUTED_VALUE"""),"Very Good")</f>
        <v>Very Good</v>
      </c>
      <c r="AB3466" t="str">
        <f>IFERROR(__xludf.DUMMYFUNCTION("""COMPUTED_VALUE"""),"Fair")</f>
        <v>Fair</v>
      </c>
      <c r="AC3466">
        <f>IFERROR(__xludf.DUMMYFUNCTION("""COMPUTED_VALUE"""),5.0)</f>
        <v>5</v>
      </c>
      <c r="AF3466" t="str">
        <f>IFERROR(__xludf.DUMMYFUNCTION("""COMPUTED_VALUE"""),"No. I took delivery of the first car Tesla was able to deliver.")</f>
        <v>No. I took delivery of the first car Tesla was able to deliver.</v>
      </c>
      <c r="AH3466" s="189">
        <f>IFERROR(__xludf.DUMMYFUNCTION("""COMPUTED_VALUE"""),44508.271480208336)</f>
        <v>44508.27148</v>
      </c>
    </row>
    <row r="3467">
      <c r="A3467" t="str">
        <f>IFERROR(__xludf.DUMMYFUNCTION("""COMPUTED_VALUE"""),"fujimonster")</f>
        <v>fujimonster</v>
      </c>
      <c r="B3467" t="str">
        <f>IFERROR(__xludf.DUMMYFUNCTION("""COMPUTED_VALUE"""),"Indian Trail")</f>
        <v>Indian Trail</v>
      </c>
      <c r="C3467" t="str">
        <f>IFERROR(__xludf.DUMMYFUNCTION("""COMPUTED_VALUE"""),"NC")</f>
        <v>NC</v>
      </c>
      <c r="D3467" t="str">
        <f>IFERROR(__xludf.DUMMYFUNCTION("""COMPUTED_VALUE"""),"USA")</f>
        <v>USA</v>
      </c>
      <c r="E3467" s="188">
        <f>IFERROR(__xludf.DUMMYFUNCTION("""COMPUTED_VALUE"""),44404.0)</f>
        <v>44404</v>
      </c>
      <c r="F3467" s="188">
        <f>IFERROR(__xludf.DUMMYFUNCTION("""COMPUTED_VALUE"""),44444.0)</f>
        <v>44444</v>
      </c>
      <c r="G3467" t="str">
        <f>IFERROR(__xludf.DUMMYFUNCTION("""COMPUTED_VALUE"""),"Manage order page (normal text)")</f>
        <v>Manage order page (normal text)</v>
      </c>
      <c r="J3467" s="188">
        <f>IFERROR(__xludf.DUMMYFUNCTION("""COMPUTED_VALUE"""),44464.0)</f>
        <v>44464</v>
      </c>
      <c r="K3467">
        <f>IFERROR(__xludf.DUMMYFUNCTION("""COMPUTED_VALUE"""),40.0)</f>
        <v>40</v>
      </c>
      <c r="L3467">
        <f>IFERROR(__xludf.DUMMYFUNCTION("""COMPUTED_VALUE"""),20.0)</f>
        <v>20</v>
      </c>
      <c r="M3467">
        <f>IFERROR(__xludf.DUMMYFUNCTION("""COMPUTED_VALUE"""),60.0)</f>
        <v>60</v>
      </c>
      <c r="N3467" t="str">
        <f>IFERROR(__xludf.DUMMYFUNCTION("""COMPUTED_VALUE"""),"Model 3 LR AWD")</f>
        <v>Model 3 LR AWD</v>
      </c>
      <c r="O3467" t="str">
        <f>IFERROR(__xludf.DUMMYFUNCTION("""COMPUTED_VALUE"""),"Red Multi-Coat")</f>
        <v>Red Multi-Coat</v>
      </c>
      <c r="P3467" t="str">
        <f>IFERROR(__xludf.DUMMYFUNCTION("""COMPUTED_VALUE"""),"19 inch")</f>
        <v>19 inch</v>
      </c>
      <c r="Q3467" t="str">
        <f>IFERROR(__xludf.DUMMYFUNCTION("""COMPUTED_VALUE"""),"Black and White")</f>
        <v>Black and White</v>
      </c>
      <c r="R3467" t="str">
        <f>IFERROR(__xludf.DUMMYFUNCTION("""COMPUTED_VALUE"""),"Autopilot included")</f>
        <v>Autopilot included</v>
      </c>
      <c r="S3467" t="str">
        <f>IFERROR(__xludf.DUMMYFUNCTION("""COMPUTED_VALUE"""),"Loan")</f>
        <v>Loan</v>
      </c>
      <c r="AH3467" s="189">
        <f>IFERROR(__xludf.DUMMYFUNCTION("""COMPUTED_VALUE"""),44466.49823201389)</f>
        <v>44466.49823</v>
      </c>
    </row>
    <row r="3468">
      <c r="A3468" t="str">
        <f>IFERROR(__xludf.DUMMYFUNCTION("""COMPUTED_VALUE"""),"Trekker_")</f>
        <v>Trekker_</v>
      </c>
      <c r="B3468" t="str">
        <f>IFERROR(__xludf.DUMMYFUNCTION("""COMPUTED_VALUE"""),"Mission Viejo")</f>
        <v>Mission Viejo</v>
      </c>
      <c r="C3468" t="str">
        <f>IFERROR(__xludf.DUMMYFUNCTION("""COMPUTED_VALUE"""),"CA")</f>
        <v>CA</v>
      </c>
      <c r="D3468" t="str">
        <f>IFERROR(__xludf.DUMMYFUNCTION("""COMPUTED_VALUE"""),"USA")</f>
        <v>USA</v>
      </c>
      <c r="E3468" s="188">
        <f>IFERROR(__xludf.DUMMYFUNCTION("""COMPUTED_VALUE"""),44430.0)</f>
        <v>44430</v>
      </c>
      <c r="F3468" s="188">
        <f>IFERROR(__xludf.DUMMYFUNCTION("""COMPUTED_VALUE"""),44466.0)</f>
        <v>44466</v>
      </c>
      <c r="G3468" t="str">
        <f>IFERROR(__xludf.DUMMYFUNCTION("""COMPUTED_VALUE"""),"Manage order page (normal text)")</f>
        <v>Manage order page (normal text)</v>
      </c>
      <c r="H3468">
        <f>IFERROR(__xludf.DUMMYFUNCTION("""COMPUTED_VALUE"""),77453.0)</f>
        <v>77453</v>
      </c>
      <c r="K3468">
        <f>IFERROR(__xludf.DUMMYFUNCTION("""COMPUTED_VALUE"""),36.0)</f>
        <v>36</v>
      </c>
      <c r="N3468" t="str">
        <f>IFERROR(__xludf.DUMMYFUNCTION("""COMPUTED_VALUE"""),"Model 3 Performance")</f>
        <v>Model 3 Performance</v>
      </c>
      <c r="O3468" t="str">
        <f>IFERROR(__xludf.DUMMYFUNCTION("""COMPUTED_VALUE"""),"Midnight Silver Metallic")</f>
        <v>Midnight Silver Metallic</v>
      </c>
      <c r="P3468" t="str">
        <f>IFERROR(__xludf.DUMMYFUNCTION("""COMPUTED_VALUE"""),"20 inch")</f>
        <v>20 inch</v>
      </c>
      <c r="Q3468" t="str">
        <f>IFERROR(__xludf.DUMMYFUNCTION("""COMPUTED_VALUE"""),"All Black")</f>
        <v>All Black</v>
      </c>
      <c r="R3468" t="str">
        <f>IFERROR(__xludf.DUMMYFUNCTION("""COMPUTED_VALUE"""),"Autopilot included")</f>
        <v>Autopilot included</v>
      </c>
      <c r="S3468" t="str">
        <f>IFERROR(__xludf.DUMMYFUNCTION("""COMPUTED_VALUE"""),"Loan")</f>
        <v>Loan</v>
      </c>
      <c r="T3468" t="str">
        <f>IFERROR(__xludf.DUMMYFUNCTION("""COMPUTED_VALUE"""),"2012 F-350 Lariat")</f>
        <v>2012 F-350 Lariat</v>
      </c>
      <c r="U3468" t="str">
        <f>IFERROR(__xludf.DUMMYFUNCTION("""COMPUTED_VALUE"""),"Autopilot")</f>
        <v>Autopilot</v>
      </c>
      <c r="V3468" t="str">
        <f>IFERROR(__xludf.DUMMYFUNCTION("""COMPUTED_VALUE"""),"Head-up display")</f>
        <v>Head-up display</v>
      </c>
      <c r="AH3468" s="189">
        <f>IFERROR(__xludf.DUMMYFUNCTION("""COMPUTED_VALUE"""),44466.9655954051)</f>
        <v>44466.9656</v>
      </c>
    </row>
    <row r="3469">
      <c r="A3469" t="str">
        <f>IFERROR(__xludf.DUMMYFUNCTION("""COMPUTED_VALUE"""),"Chrissto")</f>
        <v>Chrissto</v>
      </c>
      <c r="C3469" t="str">
        <f>IFERROR(__xludf.DUMMYFUNCTION("""COMPUTED_VALUE"""),"OR")</f>
        <v>OR</v>
      </c>
      <c r="D3469" t="str">
        <f>IFERROR(__xludf.DUMMYFUNCTION("""COMPUTED_VALUE"""),"USA")</f>
        <v>USA</v>
      </c>
      <c r="E3469" s="188">
        <f>IFERROR(__xludf.DUMMYFUNCTION("""COMPUTED_VALUE"""),44420.0)</f>
        <v>44420</v>
      </c>
      <c r="N3469" t="str">
        <f>IFERROR(__xludf.DUMMYFUNCTION("""COMPUTED_VALUE"""),"Model 3 LR AWD")</f>
        <v>Model 3 LR AWD</v>
      </c>
      <c r="O3469" t="str">
        <f>IFERROR(__xludf.DUMMYFUNCTION("""COMPUTED_VALUE"""),"Red Multi-Coat")</f>
        <v>Red Multi-Coat</v>
      </c>
      <c r="P3469" t="str">
        <f>IFERROR(__xludf.DUMMYFUNCTION("""COMPUTED_VALUE"""),"18 inch")</f>
        <v>18 inch</v>
      </c>
      <c r="Q3469" t="str">
        <f>IFERROR(__xludf.DUMMYFUNCTION("""COMPUTED_VALUE"""),"Black and White")</f>
        <v>Black and White</v>
      </c>
      <c r="R3469" t="str">
        <f>IFERROR(__xludf.DUMMYFUNCTION("""COMPUTED_VALUE"""),"Full Self-Driving")</f>
        <v>Full Self-Driving</v>
      </c>
      <c r="S3469" t="str">
        <f>IFERROR(__xludf.DUMMYFUNCTION("""COMPUTED_VALUE"""),"Cash")</f>
        <v>Cash</v>
      </c>
      <c r="AH3469" s="189">
        <f>IFERROR(__xludf.DUMMYFUNCTION("""COMPUTED_VALUE"""),44446.805469768515)</f>
        <v>44446.80547</v>
      </c>
    </row>
    <row r="3470">
      <c r="A3470" t="str">
        <f>IFERROR(__xludf.DUMMYFUNCTION("""COMPUTED_VALUE"""),"WesB")</f>
        <v>WesB</v>
      </c>
      <c r="B3470" t="str">
        <f>IFERROR(__xludf.DUMMYFUNCTION("""COMPUTED_VALUE"""),"Columbus")</f>
        <v>Columbus</v>
      </c>
      <c r="C3470" t="str">
        <f>IFERROR(__xludf.DUMMYFUNCTION("""COMPUTED_VALUE"""),"OH")</f>
        <v>OH</v>
      </c>
      <c r="D3470" t="str">
        <f>IFERROR(__xludf.DUMMYFUNCTION("""COMPUTED_VALUE"""),"USA")</f>
        <v>USA</v>
      </c>
      <c r="E3470" s="188">
        <f>IFERROR(__xludf.DUMMYFUNCTION("""COMPUTED_VALUE"""),44438.0)</f>
        <v>44438</v>
      </c>
      <c r="F3470" s="188">
        <f>IFERROR(__xludf.DUMMYFUNCTION("""COMPUTED_VALUE"""),44454.0)</f>
        <v>44454</v>
      </c>
      <c r="G3470" t="str">
        <f>IFERROR(__xludf.DUMMYFUNCTION("""COMPUTED_VALUE"""),"Email")</f>
        <v>Email</v>
      </c>
      <c r="H3470">
        <f>IFERROR(__xludf.DUMMYFUNCTION("""COMPUTED_VALUE"""),69155.0)</f>
        <v>69155</v>
      </c>
      <c r="J3470" s="188">
        <f>IFERROR(__xludf.DUMMYFUNCTION("""COMPUTED_VALUE"""),44467.0)</f>
        <v>44467</v>
      </c>
      <c r="K3470">
        <f>IFERROR(__xludf.DUMMYFUNCTION("""COMPUTED_VALUE"""),16.0)</f>
        <v>16</v>
      </c>
      <c r="L3470">
        <f>IFERROR(__xludf.DUMMYFUNCTION("""COMPUTED_VALUE"""),13.0)</f>
        <v>13</v>
      </c>
      <c r="M3470">
        <f>IFERROR(__xludf.DUMMYFUNCTION("""COMPUTED_VALUE"""),29.0)</f>
        <v>29</v>
      </c>
      <c r="N3470" t="str">
        <f>IFERROR(__xludf.DUMMYFUNCTION("""COMPUTED_VALUE"""),"Model 3 LR AWD")</f>
        <v>Model 3 LR AWD</v>
      </c>
      <c r="O3470" t="str">
        <f>IFERROR(__xludf.DUMMYFUNCTION("""COMPUTED_VALUE"""),"Deep Blue Metallic")</f>
        <v>Deep Blue Metallic</v>
      </c>
      <c r="P3470" t="str">
        <f>IFERROR(__xludf.DUMMYFUNCTION("""COMPUTED_VALUE"""),"18 inch")</f>
        <v>18 inch</v>
      </c>
      <c r="Q3470" t="str">
        <f>IFERROR(__xludf.DUMMYFUNCTION("""COMPUTED_VALUE"""),"All Black")</f>
        <v>All Black</v>
      </c>
      <c r="R3470" t="str">
        <f>IFERROR(__xludf.DUMMYFUNCTION("""COMPUTED_VALUE"""),"Autopilot included")</f>
        <v>Autopilot included</v>
      </c>
      <c r="S3470" t="str">
        <f>IFERROR(__xludf.DUMMYFUNCTION("""COMPUTED_VALUE"""),"Loan")</f>
        <v>Loan</v>
      </c>
      <c r="T3470" t="str">
        <f>IFERROR(__xludf.DUMMYFUNCTION("""COMPUTED_VALUE"""),"Chevy Bolt")</f>
        <v>Chevy Bolt</v>
      </c>
      <c r="U3470" t="str">
        <f>IFERROR(__xludf.DUMMYFUNCTION("""COMPUTED_VALUE"""),"All-glass roof")</f>
        <v>All-glass roof</v>
      </c>
      <c r="V3470" t="str">
        <f>IFERROR(__xludf.DUMMYFUNCTION("""COMPUTED_VALUE"""),"Apple CarPlay / Android Auto / SiriusXM Radio")</f>
        <v>Apple CarPlay / Android Auto / SiriusXM Radio</v>
      </c>
      <c r="AH3470" s="189">
        <f>IFERROR(__xludf.DUMMYFUNCTION("""COMPUTED_VALUE"""),44466.83320521991)</f>
        <v>44466.83321</v>
      </c>
    </row>
    <row r="3471">
      <c r="A3471" t="str">
        <f>IFERROR(__xludf.DUMMYFUNCTION("""COMPUTED_VALUE"""),"sam3sr")</f>
        <v>sam3sr</v>
      </c>
      <c r="B3471" t="str">
        <f>IFERROR(__xludf.DUMMYFUNCTION("""COMPUTED_VALUE"""),"chicago")</f>
        <v>chicago</v>
      </c>
      <c r="C3471" t="str">
        <f>IFERROR(__xludf.DUMMYFUNCTION("""COMPUTED_VALUE"""),"IL")</f>
        <v>IL</v>
      </c>
      <c r="D3471" t="str">
        <f>IFERROR(__xludf.DUMMYFUNCTION("""COMPUTED_VALUE"""),"USA")</f>
        <v>USA</v>
      </c>
      <c r="E3471" s="188">
        <f>IFERROR(__xludf.DUMMYFUNCTION("""COMPUTED_VALUE"""),44443.0)</f>
        <v>44443</v>
      </c>
      <c r="F3471" s="188">
        <f>IFERROR(__xludf.DUMMYFUNCTION("""COMPUTED_VALUE"""),44473.0)</f>
        <v>44473</v>
      </c>
      <c r="G3471" t="str">
        <f>IFERROR(__xludf.DUMMYFUNCTION("""COMPUTED_VALUE"""),"Manage order page (normal text)")</f>
        <v>Manage order page (normal text)</v>
      </c>
      <c r="H3471">
        <f>IFERROR(__xludf.DUMMYFUNCTION("""COMPUTED_VALUE"""),81900.0)</f>
        <v>81900</v>
      </c>
      <c r="K3471">
        <f>IFERROR(__xludf.DUMMYFUNCTION("""COMPUTED_VALUE"""),30.0)</f>
        <v>30</v>
      </c>
      <c r="N3471" t="str">
        <f>IFERROR(__xludf.DUMMYFUNCTION("""COMPUTED_VALUE"""),"Model 3 SR+")</f>
        <v>Model 3 SR+</v>
      </c>
      <c r="O3471" t="str">
        <f>IFERROR(__xludf.DUMMYFUNCTION("""COMPUTED_VALUE"""),"Pearl White Multi-Coat")</f>
        <v>Pearl White Multi-Coat</v>
      </c>
      <c r="P3471" t="str">
        <f>IFERROR(__xludf.DUMMYFUNCTION("""COMPUTED_VALUE"""),"18 inch")</f>
        <v>18 inch</v>
      </c>
      <c r="Q3471" t="str">
        <f>IFERROR(__xludf.DUMMYFUNCTION("""COMPUTED_VALUE"""),"All Black")</f>
        <v>All Black</v>
      </c>
      <c r="R3471" t="str">
        <f>IFERROR(__xludf.DUMMYFUNCTION("""COMPUTED_VALUE"""),"Autopilot included")</f>
        <v>Autopilot included</v>
      </c>
      <c r="S3471" t="str">
        <f>IFERROR(__xludf.DUMMYFUNCTION("""COMPUTED_VALUE"""),"Loan")</f>
        <v>Loan</v>
      </c>
      <c r="T3471" t="str">
        <f>IFERROR(__xludf.DUMMYFUNCTION("""COMPUTED_VALUE"""),"Lexus RX")</f>
        <v>Lexus RX</v>
      </c>
      <c r="U3471" t="str">
        <f>IFERROR(__xludf.DUMMYFUNCTION("""COMPUTED_VALUE"""),"Electric!")</f>
        <v>Electric!</v>
      </c>
      <c r="V3471" t="str">
        <f>IFERROR(__xludf.DUMMYFUNCTION("""COMPUTED_VALUE"""),"Head-up display")</f>
        <v>Head-up display</v>
      </c>
      <c r="AH3471" s="189">
        <f>IFERROR(__xludf.DUMMYFUNCTION("""COMPUTED_VALUE"""),44474.443301238425)</f>
        <v>44474.4433</v>
      </c>
    </row>
    <row r="3472">
      <c r="A3472" t="str">
        <f>IFERROR(__xludf.DUMMYFUNCTION("""COMPUTED_VALUE"""),"mattg")</f>
        <v>mattg</v>
      </c>
      <c r="B3472" t="str">
        <f>IFERROR(__xludf.DUMMYFUNCTION("""COMPUTED_VALUE"""),"Wexford")</f>
        <v>Wexford</v>
      </c>
      <c r="C3472" t="str">
        <f>IFERROR(__xludf.DUMMYFUNCTION("""COMPUTED_VALUE"""),"PA")</f>
        <v>PA</v>
      </c>
      <c r="D3472" t="str">
        <f>IFERROR(__xludf.DUMMYFUNCTION("""COMPUTED_VALUE"""),"USA")</f>
        <v>USA</v>
      </c>
      <c r="E3472" s="188">
        <f>IFERROR(__xludf.DUMMYFUNCTION("""COMPUTED_VALUE"""),44434.0)</f>
        <v>44434</v>
      </c>
      <c r="F3472" s="188">
        <f>IFERROR(__xludf.DUMMYFUNCTION("""COMPUTED_VALUE"""),44471.0)</f>
        <v>44471</v>
      </c>
      <c r="G3472" t="str">
        <f>IFERROR(__xludf.DUMMYFUNCTION("""COMPUTED_VALUE"""),"Manage order page (normal text)")</f>
        <v>Manage order page (normal text)</v>
      </c>
      <c r="H3472">
        <f>IFERROR(__xludf.DUMMYFUNCTION("""COMPUTED_VALUE"""),79555.0)</f>
        <v>79555</v>
      </c>
      <c r="J3472" s="188">
        <f>IFERROR(__xludf.DUMMYFUNCTION("""COMPUTED_VALUE"""),44477.0)</f>
        <v>44477</v>
      </c>
      <c r="K3472">
        <f>IFERROR(__xludf.DUMMYFUNCTION("""COMPUTED_VALUE"""),37.0)</f>
        <v>37</v>
      </c>
      <c r="L3472">
        <f>IFERROR(__xludf.DUMMYFUNCTION("""COMPUTED_VALUE"""),6.0)</f>
        <v>6</v>
      </c>
      <c r="M3472">
        <f>IFERROR(__xludf.DUMMYFUNCTION("""COMPUTED_VALUE"""),43.0)</f>
        <v>43</v>
      </c>
      <c r="N3472" t="str">
        <f>IFERROR(__xludf.DUMMYFUNCTION("""COMPUTED_VALUE"""),"Model 3 LR AWD")</f>
        <v>Model 3 LR AWD</v>
      </c>
      <c r="O3472" t="str">
        <f>IFERROR(__xludf.DUMMYFUNCTION("""COMPUTED_VALUE"""),"Pearl White Multi-Coat")</f>
        <v>Pearl White Multi-Coat</v>
      </c>
      <c r="P3472" t="str">
        <f>IFERROR(__xludf.DUMMYFUNCTION("""COMPUTED_VALUE"""),"18 inch")</f>
        <v>18 inch</v>
      </c>
      <c r="Q3472" t="str">
        <f>IFERROR(__xludf.DUMMYFUNCTION("""COMPUTED_VALUE"""),"Black and White")</f>
        <v>Black and White</v>
      </c>
      <c r="R3472" t="str">
        <f>IFERROR(__xludf.DUMMYFUNCTION("""COMPUTED_VALUE"""),"Autopilot included")</f>
        <v>Autopilot included</v>
      </c>
      <c r="S3472" t="str">
        <f>IFERROR(__xludf.DUMMYFUNCTION("""COMPUTED_VALUE"""),"Cash")</f>
        <v>Cash</v>
      </c>
      <c r="T3472" t="str">
        <f>IFERROR(__xludf.DUMMYFUNCTION("""COMPUTED_VALUE"""),"Honda Civic")</f>
        <v>Honda Civic</v>
      </c>
      <c r="U3472" t="str">
        <f>IFERROR(__xludf.DUMMYFUNCTION("""COMPUTED_VALUE"""),"Speed")</f>
        <v>Speed</v>
      </c>
      <c r="V3472" t="str">
        <f>IFERROR(__xludf.DUMMYFUNCTION("""COMPUTED_VALUE"""),"Apple CarPlay / Android Auto / SiriusXM Radio")</f>
        <v>Apple CarPlay / Android Auto / SiriusXM Radio</v>
      </c>
      <c r="AH3472" s="189">
        <f>IFERROR(__xludf.DUMMYFUNCTION("""COMPUTED_VALUE"""),44472.37263408565)</f>
        <v>44472.37263</v>
      </c>
    </row>
    <row r="3473">
      <c r="A3473" t="str">
        <f>IFERROR(__xludf.DUMMYFUNCTION("""COMPUTED_VALUE"""),"deebee")</f>
        <v>deebee</v>
      </c>
      <c r="B3473" t="str">
        <f>IFERROR(__xludf.DUMMYFUNCTION("""COMPUTED_VALUE"""),"Portland")</f>
        <v>Portland</v>
      </c>
      <c r="C3473" t="str">
        <f>IFERROR(__xludf.DUMMYFUNCTION("""COMPUTED_VALUE"""),"OR")</f>
        <v>OR</v>
      </c>
      <c r="D3473" t="str">
        <f>IFERROR(__xludf.DUMMYFUNCTION("""COMPUTED_VALUE"""),"USA")</f>
        <v>USA</v>
      </c>
      <c r="E3473" s="188">
        <f>IFERROR(__xludf.DUMMYFUNCTION("""COMPUTED_VALUE"""),44442.0)</f>
        <v>44442</v>
      </c>
      <c r="F3473" s="188">
        <f>IFERROR(__xludf.DUMMYFUNCTION("""COMPUTED_VALUE"""),44461.0)</f>
        <v>44461</v>
      </c>
      <c r="G3473" t="str">
        <f>IFERROR(__xludf.DUMMYFUNCTION("""COMPUTED_VALUE"""),"Manage order page (normal text)")</f>
        <v>Manage order page (normal text)</v>
      </c>
      <c r="J3473" s="188">
        <f>IFERROR(__xludf.DUMMYFUNCTION("""COMPUTED_VALUE"""),44464.0)</f>
        <v>44464</v>
      </c>
      <c r="K3473">
        <f>IFERROR(__xludf.DUMMYFUNCTION("""COMPUTED_VALUE"""),19.0)</f>
        <v>19</v>
      </c>
      <c r="L3473">
        <f>IFERROR(__xludf.DUMMYFUNCTION("""COMPUTED_VALUE"""),3.0)</f>
        <v>3</v>
      </c>
      <c r="M3473">
        <f>IFERROR(__xludf.DUMMYFUNCTION("""COMPUTED_VALUE"""),22.0)</f>
        <v>22</v>
      </c>
      <c r="N3473" t="str">
        <f>IFERROR(__xludf.DUMMYFUNCTION("""COMPUTED_VALUE"""),"Model 3 Performance")</f>
        <v>Model 3 Performance</v>
      </c>
      <c r="O3473" t="str">
        <f>IFERROR(__xludf.DUMMYFUNCTION("""COMPUTED_VALUE"""),"Midnight Silver Metallic")</f>
        <v>Midnight Silver Metallic</v>
      </c>
      <c r="P3473" t="str">
        <f>IFERROR(__xludf.DUMMYFUNCTION("""COMPUTED_VALUE"""),"20 inch")</f>
        <v>20 inch</v>
      </c>
      <c r="Q3473" t="str">
        <f>IFERROR(__xludf.DUMMYFUNCTION("""COMPUTED_VALUE"""),"Black and White")</f>
        <v>Black and White</v>
      </c>
      <c r="R3473" t="str">
        <f>IFERROR(__xludf.DUMMYFUNCTION("""COMPUTED_VALUE"""),"Autopilot included")</f>
        <v>Autopilot included</v>
      </c>
      <c r="S3473" t="str">
        <f>IFERROR(__xludf.DUMMYFUNCTION("""COMPUTED_VALUE"""),"Loan")</f>
        <v>Loan</v>
      </c>
      <c r="AH3473" s="189">
        <f>IFERROR(__xludf.DUMMYFUNCTION("""COMPUTED_VALUE"""),44461.68143744213)</f>
        <v>44461.68144</v>
      </c>
    </row>
    <row r="3474">
      <c r="A3474" t="str">
        <f>IFERROR(__xludf.DUMMYFUNCTION("""COMPUTED_VALUE"""),"PhoenixArise")</f>
        <v>PhoenixArise</v>
      </c>
      <c r="B3474" t="str">
        <f>IFERROR(__xludf.DUMMYFUNCTION("""COMPUTED_VALUE"""),"Rochester")</f>
        <v>Rochester</v>
      </c>
      <c r="C3474" t="str">
        <f>IFERROR(__xludf.DUMMYFUNCTION("""COMPUTED_VALUE"""),"MN")</f>
        <v>MN</v>
      </c>
      <c r="D3474" t="str">
        <f>IFERROR(__xludf.DUMMYFUNCTION("""COMPUTED_VALUE"""),"USA")</f>
        <v>USA</v>
      </c>
      <c r="E3474" s="188">
        <f>IFERROR(__xludf.DUMMYFUNCTION("""COMPUTED_VALUE"""),44399.0)</f>
        <v>44399</v>
      </c>
      <c r="F3474" s="188">
        <f>IFERROR(__xludf.DUMMYFUNCTION("""COMPUTED_VALUE"""),44443.0)</f>
        <v>44443</v>
      </c>
      <c r="G3474" t="str">
        <f>IFERROR(__xludf.DUMMYFUNCTION("""COMPUTED_VALUE"""),"MVPA")</f>
        <v>MVPA</v>
      </c>
      <c r="J3474" s="188">
        <f>IFERROR(__xludf.DUMMYFUNCTION("""COMPUTED_VALUE"""),44457.0)</f>
        <v>44457</v>
      </c>
      <c r="K3474">
        <f>IFERROR(__xludf.DUMMYFUNCTION("""COMPUTED_VALUE"""),44.0)</f>
        <v>44</v>
      </c>
      <c r="L3474">
        <f>IFERROR(__xludf.DUMMYFUNCTION("""COMPUTED_VALUE"""),14.0)</f>
        <v>14</v>
      </c>
      <c r="M3474">
        <f>IFERROR(__xludf.DUMMYFUNCTION("""COMPUTED_VALUE"""),58.0)</f>
        <v>58</v>
      </c>
      <c r="N3474" t="str">
        <f>IFERROR(__xludf.DUMMYFUNCTION("""COMPUTED_VALUE"""),"Model 3 LR AWD")</f>
        <v>Model 3 LR AWD</v>
      </c>
      <c r="O3474" t="str">
        <f>IFERROR(__xludf.DUMMYFUNCTION("""COMPUTED_VALUE"""),"Pearl White Multi-Coat")</f>
        <v>Pearl White Multi-Coat</v>
      </c>
      <c r="P3474" t="str">
        <f>IFERROR(__xludf.DUMMYFUNCTION("""COMPUTED_VALUE"""),"18 inch")</f>
        <v>18 inch</v>
      </c>
      <c r="Q3474" t="str">
        <f>IFERROR(__xludf.DUMMYFUNCTION("""COMPUTED_VALUE"""),"Black and White")</f>
        <v>Black and White</v>
      </c>
      <c r="R3474" t="str">
        <f>IFERROR(__xludf.DUMMYFUNCTION("""COMPUTED_VALUE"""),"Autopilot included")</f>
        <v>Autopilot included</v>
      </c>
      <c r="S3474" t="str">
        <f>IFERROR(__xludf.DUMMYFUNCTION("""COMPUTED_VALUE"""),"Loan")</f>
        <v>Loan</v>
      </c>
      <c r="T3474" t="str">
        <f>IFERROR(__xludf.DUMMYFUNCTION("""COMPUTED_VALUE"""),"Chevrolet Equinox")</f>
        <v>Chevrolet Equinox</v>
      </c>
      <c r="U3474" t="str">
        <f>IFERROR(__xludf.DUMMYFUNCTION("""COMPUTED_VALUE"""),"Electric!")</f>
        <v>Electric!</v>
      </c>
      <c r="V3474" t="str">
        <f>IFERROR(__xludf.DUMMYFUNCTION("""COMPUTED_VALUE"""),"HomeLink")</f>
        <v>HomeLink</v>
      </c>
      <c r="AH3474" s="189">
        <f>IFERROR(__xludf.DUMMYFUNCTION("""COMPUTED_VALUE"""),44447.64917909722)</f>
        <v>44447.64918</v>
      </c>
    </row>
    <row r="3475">
      <c r="A3475" t="str">
        <f>IFERROR(__xludf.DUMMYFUNCTION("""COMPUTED_VALUE"""),"HeavyArmor")</f>
        <v>HeavyArmor</v>
      </c>
      <c r="B3475" t="str">
        <f>IFERROR(__xludf.DUMMYFUNCTION("""COMPUTED_VALUE"""),"St Louis")</f>
        <v>St Louis</v>
      </c>
      <c r="C3475" t="str">
        <f>IFERROR(__xludf.DUMMYFUNCTION("""COMPUTED_VALUE"""),"MO")</f>
        <v>MO</v>
      </c>
      <c r="D3475" t="str">
        <f>IFERROR(__xludf.DUMMYFUNCTION("""COMPUTED_VALUE"""),"USA")</f>
        <v>USA</v>
      </c>
      <c r="E3475" s="188">
        <f>IFERROR(__xludf.DUMMYFUNCTION("""COMPUTED_VALUE"""),44436.0)</f>
        <v>44436</v>
      </c>
      <c r="N3475" t="str">
        <f>IFERROR(__xludf.DUMMYFUNCTION("""COMPUTED_VALUE"""),"Model 3 LR AWD")</f>
        <v>Model 3 LR AWD</v>
      </c>
      <c r="O3475" t="str">
        <f>IFERROR(__xludf.DUMMYFUNCTION("""COMPUTED_VALUE"""),"Pearl White Multi-Coat")</f>
        <v>Pearl White Multi-Coat</v>
      </c>
      <c r="P3475" t="str">
        <f>IFERROR(__xludf.DUMMYFUNCTION("""COMPUTED_VALUE"""),"18 inch")</f>
        <v>18 inch</v>
      </c>
      <c r="Q3475" t="str">
        <f>IFERROR(__xludf.DUMMYFUNCTION("""COMPUTED_VALUE"""),"All Black")</f>
        <v>All Black</v>
      </c>
      <c r="R3475" t="str">
        <f>IFERROR(__xludf.DUMMYFUNCTION("""COMPUTED_VALUE"""),"Autopilot included")</f>
        <v>Autopilot included</v>
      </c>
      <c r="S3475" t="str">
        <f>IFERROR(__xludf.DUMMYFUNCTION("""COMPUTED_VALUE"""),"Lease")</f>
        <v>Lease</v>
      </c>
      <c r="T3475" t="str">
        <f>IFERROR(__xludf.DUMMYFUNCTION("""COMPUTED_VALUE"""),"Honda Civic")</f>
        <v>Honda Civic</v>
      </c>
      <c r="U3475" t="str">
        <f>IFERROR(__xludf.DUMMYFUNCTION("""COMPUTED_VALUE"""),"Electric!")</f>
        <v>Electric!</v>
      </c>
      <c r="V3475" t="str">
        <f>IFERROR(__xludf.DUMMYFUNCTION("""COMPUTED_VALUE"""),"Ventilated seats")</f>
        <v>Ventilated seats</v>
      </c>
      <c r="AH3475" s="189">
        <f>IFERROR(__xludf.DUMMYFUNCTION("""COMPUTED_VALUE"""),44447.65908914352)</f>
        <v>44447.65909</v>
      </c>
    </row>
    <row r="3476">
      <c r="A3476" t="str">
        <f>IFERROR(__xludf.DUMMYFUNCTION("""COMPUTED_VALUE"""),"bvac")</f>
        <v>bvac</v>
      </c>
      <c r="B3476" t="str">
        <f>IFERROR(__xludf.DUMMYFUNCTION("""COMPUTED_VALUE"""),"Boca Raton")</f>
        <v>Boca Raton</v>
      </c>
      <c r="C3476" t="str">
        <f>IFERROR(__xludf.DUMMYFUNCTION("""COMPUTED_VALUE"""),"FL")</f>
        <v>FL</v>
      </c>
      <c r="D3476" t="str">
        <f>IFERROR(__xludf.DUMMYFUNCTION("""COMPUTED_VALUE"""),"USA")</f>
        <v>USA</v>
      </c>
      <c r="E3476" s="188">
        <f>IFERROR(__xludf.DUMMYFUNCTION("""COMPUTED_VALUE"""),44445.0)</f>
        <v>44445</v>
      </c>
      <c r="F3476" s="188">
        <f>IFERROR(__xludf.DUMMYFUNCTION("""COMPUTED_VALUE"""),44495.0)</f>
        <v>44495</v>
      </c>
      <c r="G3476" t="str">
        <f>IFERROR(__xludf.DUMMYFUNCTION("""COMPUTED_VALUE"""),"Manage order page (normal text)")</f>
        <v>Manage order page (normal text)</v>
      </c>
      <c r="H3476">
        <f>IFERROR(__xludf.DUMMYFUNCTION("""COMPUTED_VALUE"""),97310.0)</f>
        <v>97310</v>
      </c>
      <c r="J3476" s="188">
        <f>IFERROR(__xludf.DUMMYFUNCTION("""COMPUTED_VALUE"""),44518.0)</f>
        <v>44518</v>
      </c>
      <c r="K3476">
        <f>IFERROR(__xludf.DUMMYFUNCTION("""COMPUTED_VALUE"""),50.0)</f>
        <v>50</v>
      </c>
      <c r="L3476">
        <f>IFERROR(__xludf.DUMMYFUNCTION("""COMPUTED_VALUE"""),23.0)</f>
        <v>23</v>
      </c>
      <c r="M3476">
        <f>IFERROR(__xludf.DUMMYFUNCTION("""COMPUTED_VALUE"""),73.0)</f>
        <v>73</v>
      </c>
      <c r="N3476" t="str">
        <f>IFERROR(__xludf.DUMMYFUNCTION("""COMPUTED_VALUE"""),"Model 3 SR+")</f>
        <v>Model 3 SR+</v>
      </c>
      <c r="O3476" t="str">
        <f>IFERROR(__xludf.DUMMYFUNCTION("""COMPUTED_VALUE"""),"Pearl White Multi-Coat")</f>
        <v>Pearl White Multi-Coat</v>
      </c>
      <c r="P3476" t="str">
        <f>IFERROR(__xludf.DUMMYFUNCTION("""COMPUTED_VALUE"""),"19 inch")</f>
        <v>19 inch</v>
      </c>
      <c r="Q3476" t="str">
        <f>IFERROR(__xludf.DUMMYFUNCTION("""COMPUTED_VALUE"""),"All Black")</f>
        <v>All Black</v>
      </c>
      <c r="R3476" t="str">
        <f>IFERROR(__xludf.DUMMYFUNCTION("""COMPUTED_VALUE"""),"Autopilot included")</f>
        <v>Autopilot included</v>
      </c>
      <c r="S3476" t="str">
        <f>IFERROR(__xludf.DUMMYFUNCTION("""COMPUTED_VALUE"""),"Loan")</f>
        <v>Loan</v>
      </c>
      <c r="T3476" t="str">
        <f>IFERROR(__xludf.DUMMYFUNCTION("""COMPUTED_VALUE"""),"Toyota CH-R")</f>
        <v>Toyota CH-R</v>
      </c>
      <c r="U3476" t="str">
        <f>IFERROR(__xludf.DUMMYFUNCTION("""COMPUTED_VALUE"""),"Electric!")</f>
        <v>Electric!</v>
      </c>
      <c r="V3476" t="str">
        <f>IFERROR(__xludf.DUMMYFUNCTION("""COMPUTED_VALUE"""),"Head-up display")</f>
        <v>Head-up display</v>
      </c>
      <c r="AH3476" s="189">
        <f>IFERROR(__xludf.DUMMYFUNCTION("""COMPUTED_VALUE"""),44509.42851703704)</f>
        <v>44509.42852</v>
      </c>
    </row>
    <row r="3477">
      <c r="A3477" t="str">
        <f>IFERROR(__xludf.DUMMYFUNCTION("""COMPUTED_VALUE"""),"CD")</f>
        <v>CD</v>
      </c>
      <c r="B3477" t="str">
        <f>IFERROR(__xludf.DUMMYFUNCTION("""COMPUTED_VALUE"""),"Los Angles")</f>
        <v>Los Angles</v>
      </c>
      <c r="C3477" t="str">
        <f>IFERROR(__xludf.DUMMYFUNCTION("""COMPUTED_VALUE"""),"CA")</f>
        <v>CA</v>
      </c>
      <c r="D3477" t="str">
        <f>IFERROR(__xludf.DUMMYFUNCTION("""COMPUTED_VALUE"""),"USA")</f>
        <v>USA</v>
      </c>
      <c r="E3477" s="188">
        <f>IFERROR(__xludf.DUMMYFUNCTION("""COMPUTED_VALUE"""),44394.0)</f>
        <v>44394</v>
      </c>
      <c r="N3477" t="str">
        <f>IFERROR(__xludf.DUMMYFUNCTION("""COMPUTED_VALUE"""),"Model 3 LR AWD")</f>
        <v>Model 3 LR AWD</v>
      </c>
      <c r="O3477" t="str">
        <f>IFERROR(__xludf.DUMMYFUNCTION("""COMPUTED_VALUE"""),"Solid Black")</f>
        <v>Solid Black</v>
      </c>
      <c r="P3477" t="str">
        <f>IFERROR(__xludf.DUMMYFUNCTION("""COMPUTED_VALUE"""),"18 inch")</f>
        <v>18 inch</v>
      </c>
      <c r="Q3477" t="str">
        <f>IFERROR(__xludf.DUMMYFUNCTION("""COMPUTED_VALUE"""),"All Black")</f>
        <v>All Black</v>
      </c>
      <c r="R3477" t="str">
        <f>IFERROR(__xludf.DUMMYFUNCTION("""COMPUTED_VALUE"""),"Autopilot included")</f>
        <v>Autopilot included</v>
      </c>
      <c r="S3477" t="str">
        <f>IFERROR(__xludf.DUMMYFUNCTION("""COMPUTED_VALUE"""),"Loan")</f>
        <v>Loan</v>
      </c>
      <c r="T3477" t="str">
        <f>IFERROR(__xludf.DUMMYFUNCTION("""COMPUTED_VALUE"""),"BMW 3 Series")</f>
        <v>BMW 3 Series</v>
      </c>
      <c r="U3477" t="str">
        <f>IFERROR(__xludf.DUMMYFUNCTION("""COMPUTED_VALUE"""),"Electric!")</f>
        <v>Electric!</v>
      </c>
      <c r="V3477" t="str">
        <f>IFERROR(__xludf.DUMMYFUNCTION("""COMPUTED_VALUE"""),"Air suspension")</f>
        <v>Air suspension</v>
      </c>
      <c r="AH3477" s="189">
        <f>IFERROR(__xludf.DUMMYFUNCTION("""COMPUTED_VALUE"""),44447.93916671297)</f>
        <v>44447.93917</v>
      </c>
    </row>
    <row r="3478">
      <c r="A3478" t="str">
        <f>IFERROR(__xludf.DUMMYFUNCTION("""COMPUTED_VALUE"""),"meatwandd")</f>
        <v>meatwandd</v>
      </c>
      <c r="B3478" t="str">
        <f>IFERROR(__xludf.DUMMYFUNCTION("""COMPUTED_VALUE"""),"Lake Grove")</f>
        <v>Lake Grove</v>
      </c>
      <c r="C3478" t="str">
        <f>IFERROR(__xludf.DUMMYFUNCTION("""COMPUTED_VALUE"""),"NY")</f>
        <v>NY</v>
      </c>
      <c r="D3478" t="str">
        <f>IFERROR(__xludf.DUMMYFUNCTION("""COMPUTED_VALUE"""),"USA")</f>
        <v>USA</v>
      </c>
      <c r="E3478" s="188">
        <f>IFERROR(__xludf.DUMMYFUNCTION("""COMPUTED_VALUE"""),44435.0)</f>
        <v>44435</v>
      </c>
      <c r="F3478" s="188">
        <f>IFERROR(__xludf.DUMMYFUNCTION("""COMPUTED_VALUE"""),44438.0)</f>
        <v>44438</v>
      </c>
      <c r="G3478" t="str">
        <f>IFERROR(__xludf.DUMMYFUNCTION("""COMPUTED_VALUE"""),"Manage order page (normal text)")</f>
        <v>Manage order page (normal text)</v>
      </c>
      <c r="H3478">
        <f>IFERROR(__xludf.DUMMYFUNCTION("""COMPUTED_VALUE"""),43765.0)</f>
        <v>43765</v>
      </c>
      <c r="K3478">
        <f>IFERROR(__xludf.DUMMYFUNCTION("""COMPUTED_VALUE"""),3.0)</f>
        <v>3</v>
      </c>
      <c r="N3478" t="str">
        <f>IFERROR(__xludf.DUMMYFUNCTION("""COMPUTED_VALUE"""),"Model 3 SR+")</f>
        <v>Model 3 SR+</v>
      </c>
      <c r="O3478" t="str">
        <f>IFERROR(__xludf.DUMMYFUNCTION("""COMPUTED_VALUE"""),"Pearl White Multi-Coat")</f>
        <v>Pearl White Multi-Coat</v>
      </c>
      <c r="P3478" t="str">
        <f>IFERROR(__xludf.DUMMYFUNCTION("""COMPUTED_VALUE"""),"18 inch")</f>
        <v>18 inch</v>
      </c>
      <c r="Q3478" t="str">
        <f>IFERROR(__xludf.DUMMYFUNCTION("""COMPUTED_VALUE"""),"All Black")</f>
        <v>All Black</v>
      </c>
      <c r="R3478" t="str">
        <f>IFERROR(__xludf.DUMMYFUNCTION("""COMPUTED_VALUE"""),"Autopilot included")</f>
        <v>Autopilot included</v>
      </c>
      <c r="S3478" t="str">
        <f>IFERROR(__xludf.DUMMYFUNCTION("""COMPUTED_VALUE"""),"Loan")</f>
        <v>Loan</v>
      </c>
      <c r="T3478" t="str">
        <f>IFERROR(__xludf.DUMMYFUNCTION("""COMPUTED_VALUE"""),"Cadillac STS")</f>
        <v>Cadillac STS</v>
      </c>
      <c r="V3478" t="str">
        <f>IFERROR(__xludf.DUMMYFUNCTION("""COMPUTED_VALUE"""),"360° Bird's eye view")</f>
        <v>360° Bird's eye view</v>
      </c>
      <c r="AH3478" s="189">
        <f>IFERROR(__xludf.DUMMYFUNCTION("""COMPUTED_VALUE"""),44447.951647256945)</f>
        <v>44447.95165</v>
      </c>
    </row>
    <row r="3479">
      <c r="A3479" t="str">
        <f>IFERROR(__xludf.DUMMYFUNCTION("""COMPUTED_VALUE"""),"Jenova944")</f>
        <v>Jenova944</v>
      </c>
      <c r="B3479" t="str">
        <f>IFERROR(__xludf.DUMMYFUNCTION("""COMPUTED_VALUE"""),"Royal Leamington Spa")</f>
        <v>Royal Leamington Spa</v>
      </c>
      <c r="D3479" t="str">
        <f>IFERROR(__xludf.DUMMYFUNCTION("""COMPUTED_VALUE"""),"United Kingdom")</f>
        <v>United Kingdom</v>
      </c>
      <c r="E3479" s="188">
        <f>IFERROR(__xludf.DUMMYFUNCTION("""COMPUTED_VALUE"""),44389.0)</f>
        <v>44389</v>
      </c>
      <c r="F3479" s="188">
        <f>IFERROR(__xludf.DUMMYFUNCTION("""COMPUTED_VALUE"""),44438.0)</f>
        <v>44438</v>
      </c>
      <c r="G3479" t="str">
        <f>IFERROR(__xludf.DUMMYFUNCTION("""COMPUTED_VALUE"""),"Source code")</f>
        <v>Source code</v>
      </c>
      <c r="H3479">
        <f>IFERROR(__xludf.DUMMYFUNCTION("""COMPUTED_VALUE"""),316531.0)</f>
        <v>316531</v>
      </c>
      <c r="J3479" s="188">
        <f>IFERROR(__xludf.DUMMYFUNCTION("""COMPUTED_VALUE"""),44457.0)</f>
        <v>44457</v>
      </c>
      <c r="K3479">
        <f>IFERROR(__xludf.DUMMYFUNCTION("""COMPUTED_VALUE"""),49.0)</f>
        <v>49</v>
      </c>
      <c r="L3479">
        <f>IFERROR(__xludf.DUMMYFUNCTION("""COMPUTED_VALUE"""),19.0)</f>
        <v>19</v>
      </c>
      <c r="M3479">
        <f>IFERROR(__xludf.DUMMYFUNCTION("""COMPUTED_VALUE"""),68.0)</f>
        <v>68</v>
      </c>
      <c r="N3479" t="str">
        <f>IFERROR(__xludf.DUMMYFUNCTION("""COMPUTED_VALUE"""),"Model 3 SR+")</f>
        <v>Model 3 SR+</v>
      </c>
      <c r="O3479" t="str">
        <f>IFERROR(__xludf.DUMMYFUNCTION("""COMPUTED_VALUE"""),"Deep Blue Metallic")</f>
        <v>Deep Blue Metallic</v>
      </c>
      <c r="P3479" t="str">
        <f>IFERROR(__xludf.DUMMYFUNCTION("""COMPUTED_VALUE"""),"18 inch")</f>
        <v>18 inch</v>
      </c>
      <c r="Q3479" t="str">
        <f>IFERROR(__xludf.DUMMYFUNCTION("""COMPUTED_VALUE"""),"All Black")</f>
        <v>All Black</v>
      </c>
      <c r="R3479" t="str">
        <f>IFERROR(__xludf.DUMMYFUNCTION("""COMPUTED_VALUE"""),"Autopilot included")</f>
        <v>Autopilot included</v>
      </c>
      <c r="S3479" t="str">
        <f>IFERROR(__xludf.DUMMYFUNCTION("""COMPUTED_VALUE"""),"Lease")</f>
        <v>Lease</v>
      </c>
      <c r="T3479" t="str">
        <f>IFERROR(__xludf.DUMMYFUNCTION("""COMPUTED_VALUE"""),"Tesla Model 3")</f>
        <v>Tesla Model 3</v>
      </c>
      <c r="U3479" t="str">
        <f>IFERROR(__xludf.DUMMYFUNCTION("""COMPUTED_VALUE"""),"Electric!")</f>
        <v>Electric!</v>
      </c>
      <c r="V3479" t="str">
        <f>IFERROR(__xludf.DUMMYFUNCTION("""COMPUTED_VALUE"""),"Head-up display")</f>
        <v>Head-up display</v>
      </c>
      <c r="AH3479" s="189">
        <f>IFERROR(__xludf.DUMMYFUNCTION("""COMPUTED_VALUE"""),44448.078618576386)</f>
        <v>44448.07862</v>
      </c>
    </row>
    <row r="3480">
      <c r="A3480" t="str">
        <f>IFERROR(__xludf.DUMMYFUNCTION("""COMPUTED_VALUE"""),"michael")</f>
        <v>michael</v>
      </c>
      <c r="B3480" t="str">
        <f>IFERROR(__xludf.DUMMYFUNCTION("""COMPUTED_VALUE"""),"St. Louis")</f>
        <v>St. Louis</v>
      </c>
      <c r="C3480" t="str">
        <f>IFERROR(__xludf.DUMMYFUNCTION("""COMPUTED_VALUE"""),"MO")</f>
        <v>MO</v>
      </c>
      <c r="D3480" t="str">
        <f>IFERROR(__xludf.DUMMYFUNCTION("""COMPUTED_VALUE"""),"USA")</f>
        <v>USA</v>
      </c>
      <c r="E3480" s="188">
        <f>IFERROR(__xludf.DUMMYFUNCTION("""COMPUTED_VALUE"""),44422.0)</f>
        <v>44422</v>
      </c>
      <c r="F3480" s="188">
        <f>IFERROR(__xludf.DUMMYFUNCTION("""COMPUTED_VALUE"""),44451.0)</f>
        <v>44451</v>
      </c>
      <c r="G3480" t="str">
        <f>IFERROR(__xludf.DUMMYFUNCTION("""COMPUTED_VALUE"""),"Email")</f>
        <v>Email</v>
      </c>
      <c r="J3480" s="188">
        <f>IFERROR(__xludf.DUMMYFUNCTION("""COMPUTED_VALUE"""),44463.0)</f>
        <v>44463</v>
      </c>
      <c r="K3480">
        <f>IFERROR(__xludf.DUMMYFUNCTION("""COMPUTED_VALUE"""),29.0)</f>
        <v>29</v>
      </c>
      <c r="L3480">
        <f>IFERROR(__xludf.DUMMYFUNCTION("""COMPUTED_VALUE"""),12.0)</f>
        <v>12</v>
      </c>
      <c r="M3480">
        <f>IFERROR(__xludf.DUMMYFUNCTION("""COMPUTED_VALUE"""),41.0)</f>
        <v>41</v>
      </c>
      <c r="N3480" t="str">
        <f>IFERROR(__xludf.DUMMYFUNCTION("""COMPUTED_VALUE"""),"Model 3 LR AWD")</f>
        <v>Model 3 LR AWD</v>
      </c>
      <c r="O3480" t="str">
        <f>IFERROR(__xludf.DUMMYFUNCTION("""COMPUTED_VALUE"""),"Pearl White Multi-Coat")</f>
        <v>Pearl White Multi-Coat</v>
      </c>
      <c r="P3480" t="str">
        <f>IFERROR(__xludf.DUMMYFUNCTION("""COMPUTED_VALUE"""),"19 inch")</f>
        <v>19 inch</v>
      </c>
      <c r="Q3480" t="str">
        <f>IFERROR(__xludf.DUMMYFUNCTION("""COMPUTED_VALUE"""),"All Black")</f>
        <v>All Black</v>
      </c>
      <c r="R3480" t="str">
        <f>IFERROR(__xludf.DUMMYFUNCTION("""COMPUTED_VALUE"""),"Autopilot included")</f>
        <v>Autopilot included</v>
      </c>
      <c r="S3480" t="str">
        <f>IFERROR(__xludf.DUMMYFUNCTION("""COMPUTED_VALUE"""),"Cash")</f>
        <v>Cash</v>
      </c>
      <c r="T3480" t="str">
        <f>IFERROR(__xludf.DUMMYFUNCTION("""COMPUTED_VALUE"""),"VW Golf")</f>
        <v>VW Golf</v>
      </c>
      <c r="U3480" t="str">
        <f>IFERROR(__xludf.DUMMYFUNCTION("""COMPUTED_VALUE"""),"Electric!")</f>
        <v>Electric!</v>
      </c>
      <c r="V3480" t="str">
        <f>IFERROR(__xludf.DUMMYFUNCTION("""COMPUTED_VALUE"""),"Ventilated seats")</f>
        <v>Ventilated seats</v>
      </c>
      <c r="AH3480" s="189">
        <f>IFERROR(__xludf.DUMMYFUNCTION("""COMPUTED_VALUE"""),44466.14632704861)</f>
        <v>44466.14633</v>
      </c>
    </row>
    <row r="3481">
      <c r="A3481" t="str">
        <f>IFERROR(__xludf.DUMMYFUNCTION("""COMPUTED_VALUE"""),"baselinetd")</f>
        <v>baselinetd</v>
      </c>
      <c r="B3481" t="str">
        <f>IFERROR(__xludf.DUMMYFUNCTION("""COMPUTED_VALUE"""),"Oakville")</f>
        <v>Oakville</v>
      </c>
      <c r="C3481" t="str">
        <f>IFERROR(__xludf.DUMMYFUNCTION("""COMPUTED_VALUE"""),"ON")</f>
        <v>ON</v>
      </c>
      <c r="D3481" t="str">
        <f>IFERROR(__xludf.DUMMYFUNCTION("""COMPUTED_VALUE"""),"Canada")</f>
        <v>Canada</v>
      </c>
      <c r="E3481" s="188">
        <f>IFERROR(__xludf.DUMMYFUNCTION("""COMPUTED_VALUE"""),44448.0)</f>
        <v>44448</v>
      </c>
      <c r="F3481" s="188">
        <f>IFERROR(__xludf.DUMMYFUNCTION("""COMPUTED_VALUE"""),44494.0)</f>
        <v>44494</v>
      </c>
      <c r="G3481" t="str">
        <f>IFERROR(__xludf.DUMMYFUNCTION("""COMPUTED_VALUE"""),"Email")</f>
        <v>Email</v>
      </c>
      <c r="J3481" s="188">
        <f>IFERROR(__xludf.DUMMYFUNCTION("""COMPUTED_VALUE"""),44505.0)</f>
        <v>44505</v>
      </c>
      <c r="K3481">
        <f>IFERROR(__xludf.DUMMYFUNCTION("""COMPUTED_VALUE"""),46.0)</f>
        <v>46</v>
      </c>
      <c r="L3481">
        <f>IFERROR(__xludf.DUMMYFUNCTION("""COMPUTED_VALUE"""),11.0)</f>
        <v>11</v>
      </c>
      <c r="M3481">
        <f>IFERROR(__xludf.DUMMYFUNCTION("""COMPUTED_VALUE"""),57.0)</f>
        <v>57</v>
      </c>
      <c r="N3481" t="str">
        <f>IFERROR(__xludf.DUMMYFUNCTION("""COMPUTED_VALUE"""),"Model 3 LR AWD")</f>
        <v>Model 3 LR AWD</v>
      </c>
      <c r="O3481" t="str">
        <f>IFERROR(__xludf.DUMMYFUNCTION("""COMPUTED_VALUE"""),"Deep Blue Metallic")</f>
        <v>Deep Blue Metallic</v>
      </c>
      <c r="P3481" t="str">
        <f>IFERROR(__xludf.DUMMYFUNCTION("""COMPUTED_VALUE"""),"18 inch")</f>
        <v>18 inch</v>
      </c>
      <c r="Q3481" t="str">
        <f>IFERROR(__xludf.DUMMYFUNCTION("""COMPUTED_VALUE"""),"Black and White")</f>
        <v>Black and White</v>
      </c>
      <c r="R3481" t="str">
        <f>IFERROR(__xludf.DUMMYFUNCTION("""COMPUTED_VALUE"""),"Autopilot included")</f>
        <v>Autopilot included</v>
      </c>
      <c r="S3481" t="str">
        <f>IFERROR(__xludf.DUMMYFUNCTION("""COMPUTED_VALUE"""),"Loan")</f>
        <v>Loan</v>
      </c>
      <c r="AH3481" s="189">
        <f>IFERROR(__xludf.DUMMYFUNCTION("""COMPUTED_VALUE"""),44496.56020273148)</f>
        <v>44496.5602</v>
      </c>
    </row>
    <row r="3482">
      <c r="A3482" t="str">
        <f>IFERROR(__xludf.DUMMYFUNCTION("""COMPUTED_VALUE"""),"Apag ")</f>
        <v>Apag </v>
      </c>
      <c r="B3482" t="str">
        <f>IFERROR(__xludf.DUMMYFUNCTION("""COMPUTED_VALUE"""),"Los Angeles")</f>
        <v>Los Angeles</v>
      </c>
      <c r="C3482" t="str">
        <f>IFERROR(__xludf.DUMMYFUNCTION("""COMPUTED_VALUE"""),"CA")</f>
        <v>CA</v>
      </c>
      <c r="D3482" t="str">
        <f>IFERROR(__xludf.DUMMYFUNCTION("""COMPUTED_VALUE"""),"USA")</f>
        <v>USA</v>
      </c>
      <c r="E3482" s="188">
        <f>IFERROR(__xludf.DUMMYFUNCTION("""COMPUTED_VALUE"""),44442.0)</f>
        <v>44442</v>
      </c>
      <c r="F3482" s="188">
        <f>IFERROR(__xludf.DUMMYFUNCTION("""COMPUTED_VALUE"""),44442.0)</f>
        <v>44442</v>
      </c>
      <c r="G3482" t="str">
        <f>IFERROR(__xludf.DUMMYFUNCTION("""COMPUTED_VALUE"""),"Manage order page (normal text)")</f>
        <v>Manage order page (normal text)</v>
      </c>
      <c r="H3482">
        <f>IFERROR(__xludf.DUMMYFUNCTION("""COMPUTED_VALUE"""),63755.0)</f>
        <v>63755</v>
      </c>
      <c r="J3482" s="188">
        <f>IFERROR(__xludf.DUMMYFUNCTION("""COMPUTED_VALUE"""),-686025.0)</f>
        <v>-686025</v>
      </c>
      <c r="K3482">
        <f>IFERROR(__xludf.DUMMYFUNCTION("""COMPUTED_VALUE"""),0.0)</f>
        <v>0</v>
      </c>
      <c r="N3482" t="str">
        <f>IFERROR(__xludf.DUMMYFUNCTION("""COMPUTED_VALUE"""),"Model 3 SR+")</f>
        <v>Model 3 SR+</v>
      </c>
      <c r="O3482" t="str">
        <f>IFERROR(__xludf.DUMMYFUNCTION("""COMPUTED_VALUE"""),"Midnight Silver Metallic")</f>
        <v>Midnight Silver Metallic</v>
      </c>
      <c r="P3482" t="str">
        <f>IFERROR(__xludf.DUMMYFUNCTION("""COMPUTED_VALUE"""),"19 inch")</f>
        <v>19 inch</v>
      </c>
      <c r="Q3482" t="str">
        <f>IFERROR(__xludf.DUMMYFUNCTION("""COMPUTED_VALUE"""),"All Black")</f>
        <v>All Black</v>
      </c>
      <c r="R3482" t="str">
        <f>IFERROR(__xludf.DUMMYFUNCTION("""COMPUTED_VALUE"""),"Autopilot included")</f>
        <v>Autopilot included</v>
      </c>
      <c r="S3482" t="str">
        <f>IFERROR(__xludf.DUMMYFUNCTION("""COMPUTED_VALUE"""),"Loan")</f>
        <v>Loan</v>
      </c>
      <c r="T3482" t="str">
        <f>IFERROR(__xludf.DUMMYFUNCTION("""COMPUTED_VALUE"""),"Chevy Bolt")</f>
        <v>Chevy Bolt</v>
      </c>
      <c r="U3482" t="str">
        <f>IFERROR(__xludf.DUMMYFUNCTION("""COMPUTED_VALUE"""),"Autopilot")</f>
        <v>Autopilot</v>
      </c>
      <c r="V3482" t="str">
        <f>IFERROR(__xludf.DUMMYFUNCTION("""COMPUTED_VALUE"""),"Apple CarPlay / Android Auto / SiriusXM Radio")</f>
        <v>Apple CarPlay / Android Auto / SiriusXM Radio</v>
      </c>
      <c r="AH3482" s="189">
        <f>IFERROR(__xludf.DUMMYFUNCTION("""COMPUTED_VALUE"""),44457.356925115746)</f>
        <v>44457.35693</v>
      </c>
    </row>
    <row r="3483">
      <c r="A3483" t="str">
        <f>IFERROR(__xludf.DUMMYFUNCTION("""COMPUTED_VALUE"""),"chris789789")</f>
        <v>chris789789</v>
      </c>
      <c r="B3483" t="str">
        <f>IFERROR(__xludf.DUMMYFUNCTION("""COMPUTED_VALUE"""),"Durham")</f>
        <v>Durham</v>
      </c>
      <c r="C3483" t="str">
        <f>IFERROR(__xludf.DUMMYFUNCTION("""COMPUTED_VALUE"""),"NC")</f>
        <v>NC</v>
      </c>
      <c r="D3483" t="str">
        <f>IFERROR(__xludf.DUMMYFUNCTION("""COMPUTED_VALUE"""),"USA")</f>
        <v>USA</v>
      </c>
      <c r="E3483" s="188">
        <f>IFERROR(__xludf.DUMMYFUNCTION("""COMPUTED_VALUE"""),44448.0)</f>
        <v>44448</v>
      </c>
      <c r="N3483" t="str">
        <f>IFERROR(__xludf.DUMMYFUNCTION("""COMPUTED_VALUE"""),"Model 3 SR+")</f>
        <v>Model 3 SR+</v>
      </c>
      <c r="O3483" t="str">
        <f>IFERROR(__xludf.DUMMYFUNCTION("""COMPUTED_VALUE"""),"Red Multi-Coat")</f>
        <v>Red Multi-Coat</v>
      </c>
      <c r="P3483" t="str">
        <f>IFERROR(__xludf.DUMMYFUNCTION("""COMPUTED_VALUE"""),"18 inch")</f>
        <v>18 inch</v>
      </c>
      <c r="Q3483" t="str">
        <f>IFERROR(__xludf.DUMMYFUNCTION("""COMPUTED_VALUE"""),"All Black")</f>
        <v>All Black</v>
      </c>
      <c r="S3483" t="str">
        <f>IFERROR(__xludf.DUMMYFUNCTION("""COMPUTED_VALUE"""),"Loan")</f>
        <v>Loan</v>
      </c>
      <c r="U3483" t="str">
        <f>IFERROR(__xludf.DUMMYFUNCTION("""COMPUTED_VALUE"""),"Electric!")</f>
        <v>Electric!</v>
      </c>
      <c r="AH3483" s="189">
        <f>IFERROR(__xludf.DUMMYFUNCTION("""COMPUTED_VALUE"""),44448.60808009259)</f>
        <v>44448.60808</v>
      </c>
    </row>
    <row r="3484">
      <c r="A3484" t="str">
        <f>IFERROR(__xludf.DUMMYFUNCTION("""COMPUTED_VALUE"""),"BnGrm")</f>
        <v>BnGrm</v>
      </c>
      <c r="C3484" t="str">
        <f>IFERROR(__xludf.DUMMYFUNCTION("""COMPUTED_VALUE"""),"FL")</f>
        <v>FL</v>
      </c>
      <c r="D3484" t="str">
        <f>IFERROR(__xludf.DUMMYFUNCTION("""COMPUTED_VALUE"""),"USA")</f>
        <v>USA</v>
      </c>
      <c r="E3484" s="188">
        <f>IFERROR(__xludf.DUMMYFUNCTION("""COMPUTED_VALUE"""),44456.0)</f>
        <v>44456</v>
      </c>
      <c r="N3484" t="str">
        <f>IFERROR(__xludf.DUMMYFUNCTION("""COMPUTED_VALUE"""),"Model 3 LR AWD")</f>
        <v>Model 3 LR AWD</v>
      </c>
      <c r="O3484" t="str">
        <f>IFERROR(__xludf.DUMMYFUNCTION("""COMPUTED_VALUE"""),"Solid Black")</f>
        <v>Solid Black</v>
      </c>
      <c r="P3484" t="str">
        <f>IFERROR(__xludf.DUMMYFUNCTION("""COMPUTED_VALUE"""),"19 inch")</f>
        <v>19 inch</v>
      </c>
      <c r="Q3484" t="str">
        <f>IFERROR(__xludf.DUMMYFUNCTION("""COMPUTED_VALUE"""),"Black and White")</f>
        <v>Black and White</v>
      </c>
      <c r="R3484" t="str">
        <f>IFERROR(__xludf.DUMMYFUNCTION("""COMPUTED_VALUE"""),"Autopilot included")</f>
        <v>Autopilot included</v>
      </c>
      <c r="S3484" t="str">
        <f>IFERROR(__xludf.DUMMYFUNCTION("""COMPUTED_VALUE"""),"Cash")</f>
        <v>Cash</v>
      </c>
      <c r="V3484" t="str">
        <f>IFERROR(__xludf.DUMMYFUNCTION("""COMPUTED_VALUE"""),"Head-up display")</f>
        <v>Head-up display</v>
      </c>
      <c r="AH3484" s="189">
        <f>IFERROR(__xludf.DUMMYFUNCTION("""COMPUTED_VALUE"""),44505.412422905094)</f>
        <v>44505.41242</v>
      </c>
    </row>
    <row r="3485">
      <c r="A3485" t="str">
        <f>IFERROR(__xludf.DUMMYFUNCTION("""COMPUTED_VALUE"""),"cg")</f>
        <v>cg</v>
      </c>
      <c r="D3485" t="str">
        <f>IFERROR(__xludf.DUMMYFUNCTION("""COMPUTED_VALUE"""),"Switzerland")</f>
        <v>Switzerland</v>
      </c>
      <c r="E3485" s="188">
        <f>IFERROR(__xludf.DUMMYFUNCTION("""COMPUTED_VALUE"""),44447.0)</f>
        <v>44447</v>
      </c>
      <c r="F3485" s="188">
        <f>IFERROR(__xludf.DUMMYFUNCTION("""COMPUTED_VALUE"""),44491.0)</f>
        <v>44491</v>
      </c>
      <c r="G3485" t="str">
        <f>IFERROR(__xludf.DUMMYFUNCTION("""COMPUTED_VALUE"""),"Source code")</f>
        <v>Source code</v>
      </c>
      <c r="H3485">
        <f>IFERROR(__xludf.DUMMYFUNCTION("""COMPUTED_VALUE"""),384055.0)</f>
        <v>384055</v>
      </c>
      <c r="K3485">
        <f>IFERROR(__xludf.DUMMYFUNCTION("""COMPUTED_VALUE"""),44.0)</f>
        <v>44</v>
      </c>
      <c r="N3485" t="str">
        <f>IFERROR(__xludf.DUMMYFUNCTION("""COMPUTED_VALUE"""),"Model 3 Performance")</f>
        <v>Model 3 Performance</v>
      </c>
      <c r="O3485" t="str">
        <f>IFERROR(__xludf.DUMMYFUNCTION("""COMPUTED_VALUE"""),"Deep Blue Metallic")</f>
        <v>Deep Blue Metallic</v>
      </c>
      <c r="P3485" t="str">
        <f>IFERROR(__xludf.DUMMYFUNCTION("""COMPUTED_VALUE"""),"20 inch")</f>
        <v>20 inch</v>
      </c>
      <c r="Q3485" t="str">
        <f>IFERROR(__xludf.DUMMYFUNCTION("""COMPUTED_VALUE"""),"Black and White")</f>
        <v>Black and White</v>
      </c>
      <c r="R3485" t="str">
        <f>IFERROR(__xludf.DUMMYFUNCTION("""COMPUTED_VALUE"""),"Autopilot included")</f>
        <v>Autopilot included</v>
      </c>
      <c r="S3485" t="str">
        <f>IFERROR(__xludf.DUMMYFUNCTION("""COMPUTED_VALUE"""),"Cash")</f>
        <v>Cash</v>
      </c>
      <c r="T3485" t="str">
        <f>IFERROR(__xludf.DUMMYFUNCTION("""COMPUTED_VALUE"""),"Tesla Model S")</f>
        <v>Tesla Model S</v>
      </c>
      <c r="U3485" t="str">
        <f>IFERROR(__xludf.DUMMYFUNCTION("""COMPUTED_VALUE"""),"Electric!")</f>
        <v>Electric!</v>
      </c>
      <c r="V3485" t="str">
        <f>IFERROR(__xludf.DUMMYFUNCTION("""COMPUTED_VALUE"""),"Ventilated seats")</f>
        <v>Ventilated seats</v>
      </c>
      <c r="AH3485" s="189">
        <f>IFERROR(__xludf.DUMMYFUNCTION("""COMPUTED_VALUE"""),44490.96028269676)</f>
        <v>44490.96028</v>
      </c>
    </row>
    <row r="3486">
      <c r="A3486" t="str">
        <f>IFERROR(__xludf.DUMMYFUNCTION("""COMPUTED_VALUE"""),"BNM")</f>
        <v>BNM</v>
      </c>
      <c r="B3486" t="str">
        <f>IFERROR(__xludf.DUMMYFUNCTION("""COMPUTED_VALUE"""),"Phoenix")</f>
        <v>Phoenix</v>
      </c>
      <c r="C3486" t="str">
        <f>IFERROR(__xludf.DUMMYFUNCTION("""COMPUTED_VALUE"""),"AZ")</f>
        <v>AZ</v>
      </c>
      <c r="D3486" t="str">
        <f>IFERROR(__xludf.DUMMYFUNCTION("""COMPUTED_VALUE"""),"USA")</f>
        <v>USA</v>
      </c>
      <c r="E3486" s="188">
        <f>IFERROR(__xludf.DUMMYFUNCTION("""COMPUTED_VALUE"""),44436.0)</f>
        <v>44436</v>
      </c>
      <c r="F3486" s="188">
        <f>IFERROR(__xludf.DUMMYFUNCTION("""COMPUTED_VALUE"""),44461.0)</f>
        <v>44461</v>
      </c>
      <c r="G3486" t="str">
        <f>IFERROR(__xludf.DUMMYFUNCTION("""COMPUTED_VALUE"""),"Text message")</f>
        <v>Text message</v>
      </c>
      <c r="J3486" s="188">
        <f>IFERROR(__xludf.DUMMYFUNCTION("""COMPUTED_VALUE"""),44464.0)</f>
        <v>44464</v>
      </c>
      <c r="K3486">
        <f>IFERROR(__xludf.DUMMYFUNCTION("""COMPUTED_VALUE"""),25.0)</f>
        <v>25</v>
      </c>
      <c r="L3486">
        <f>IFERROR(__xludf.DUMMYFUNCTION("""COMPUTED_VALUE"""),3.0)</f>
        <v>3</v>
      </c>
      <c r="M3486">
        <f>IFERROR(__xludf.DUMMYFUNCTION("""COMPUTED_VALUE"""),28.0)</f>
        <v>28</v>
      </c>
      <c r="N3486" t="str">
        <f>IFERROR(__xludf.DUMMYFUNCTION("""COMPUTED_VALUE"""),"Model 3 Performance")</f>
        <v>Model 3 Performance</v>
      </c>
      <c r="O3486" t="str">
        <f>IFERROR(__xludf.DUMMYFUNCTION("""COMPUTED_VALUE"""),"Deep Blue Metallic")</f>
        <v>Deep Blue Metallic</v>
      </c>
      <c r="P3486" t="str">
        <f>IFERROR(__xludf.DUMMYFUNCTION("""COMPUTED_VALUE"""),"20 inch")</f>
        <v>20 inch</v>
      </c>
      <c r="Q3486" t="str">
        <f>IFERROR(__xludf.DUMMYFUNCTION("""COMPUTED_VALUE"""),"Black and White")</f>
        <v>Black and White</v>
      </c>
      <c r="R3486" t="str">
        <f>IFERROR(__xludf.DUMMYFUNCTION("""COMPUTED_VALUE"""),"Full Self-Driving")</f>
        <v>Full Self-Driving</v>
      </c>
      <c r="S3486" t="str">
        <f>IFERROR(__xludf.DUMMYFUNCTION("""COMPUTED_VALUE"""),"Loan")</f>
        <v>Loan</v>
      </c>
      <c r="T3486" t="str">
        <f>IFERROR(__xludf.DUMMYFUNCTION("""COMPUTED_VALUE"""),"BMW M240I")</f>
        <v>BMW M240I</v>
      </c>
      <c r="U3486" t="str">
        <f>IFERROR(__xludf.DUMMYFUNCTION("""COMPUTED_VALUE"""),"SPEED")</f>
        <v>SPEED</v>
      </c>
      <c r="V3486" t="str">
        <f>IFERROR(__xludf.DUMMYFUNCTION("""COMPUTED_VALUE"""),"Apple CarPlay / Android Auto / SiriusXM Radio")</f>
        <v>Apple CarPlay / Android Auto / SiriusXM Radio</v>
      </c>
      <c r="AH3486" s="189">
        <f>IFERROR(__xludf.DUMMYFUNCTION("""COMPUTED_VALUE"""),44462.431783611115)</f>
        <v>44462.43178</v>
      </c>
    </row>
    <row r="3487">
      <c r="A3487" t="str">
        <f>IFERROR(__xludf.DUMMYFUNCTION("""COMPUTED_VALUE"""),"usna92")</f>
        <v>usna92</v>
      </c>
      <c r="B3487" t="str">
        <f>IFERROR(__xludf.DUMMYFUNCTION("""COMPUTED_VALUE"""),"Snoqualmie")</f>
        <v>Snoqualmie</v>
      </c>
      <c r="C3487" t="str">
        <f>IFERROR(__xludf.DUMMYFUNCTION("""COMPUTED_VALUE"""),"WA")</f>
        <v>WA</v>
      </c>
      <c r="D3487" t="str">
        <f>IFERROR(__xludf.DUMMYFUNCTION("""COMPUTED_VALUE"""),"USA")</f>
        <v>USA</v>
      </c>
      <c r="E3487" s="188">
        <f>IFERROR(__xludf.DUMMYFUNCTION("""COMPUTED_VALUE"""),44444.0)</f>
        <v>44444</v>
      </c>
      <c r="N3487" t="str">
        <f>IFERROR(__xludf.DUMMYFUNCTION("""COMPUTED_VALUE"""),"Model 3 LR AWD")</f>
        <v>Model 3 LR AWD</v>
      </c>
      <c r="O3487" t="str">
        <f>IFERROR(__xludf.DUMMYFUNCTION("""COMPUTED_VALUE"""),"Midnight Silver Metallic")</f>
        <v>Midnight Silver Metallic</v>
      </c>
      <c r="P3487" t="str">
        <f>IFERROR(__xludf.DUMMYFUNCTION("""COMPUTED_VALUE"""),"18 inch")</f>
        <v>18 inch</v>
      </c>
      <c r="Q3487" t="str">
        <f>IFERROR(__xludf.DUMMYFUNCTION("""COMPUTED_VALUE"""),"All Black")</f>
        <v>All Black</v>
      </c>
      <c r="R3487" t="str">
        <f>IFERROR(__xludf.DUMMYFUNCTION("""COMPUTED_VALUE"""),"Autopilot included")</f>
        <v>Autopilot included</v>
      </c>
      <c r="S3487" t="str">
        <f>IFERROR(__xludf.DUMMYFUNCTION("""COMPUTED_VALUE"""),"Cash")</f>
        <v>Cash</v>
      </c>
      <c r="T3487" t="str">
        <f>IFERROR(__xludf.DUMMYFUNCTION("""COMPUTED_VALUE"""),"Chevy Bolt")</f>
        <v>Chevy Bolt</v>
      </c>
      <c r="U3487" t="str">
        <f>IFERROR(__xludf.DUMMYFUNCTION("""COMPUTED_VALUE"""),"Electric!")</f>
        <v>Electric!</v>
      </c>
      <c r="V3487" t="str">
        <f>IFERROR(__xludf.DUMMYFUNCTION("""COMPUTED_VALUE"""),"360° Bird's eye view")</f>
        <v>360° Bird's eye view</v>
      </c>
      <c r="AH3487" s="189">
        <f>IFERROR(__xludf.DUMMYFUNCTION("""COMPUTED_VALUE"""),44449.383947395836)</f>
        <v>44449.38395</v>
      </c>
    </row>
    <row r="3488">
      <c r="A3488" t="str">
        <f>IFERROR(__xludf.DUMMYFUNCTION("""COMPUTED_VALUE"""),"Model3FriscoTX")</f>
        <v>Model3FriscoTX</v>
      </c>
      <c r="B3488" t="str">
        <f>IFERROR(__xludf.DUMMYFUNCTION("""COMPUTED_VALUE"""),"Frisco, TX")</f>
        <v>Frisco, TX</v>
      </c>
      <c r="C3488" t="str">
        <f>IFERROR(__xludf.DUMMYFUNCTION("""COMPUTED_VALUE"""),"TX")</f>
        <v>TX</v>
      </c>
      <c r="D3488" t="str">
        <f>IFERROR(__xludf.DUMMYFUNCTION("""COMPUTED_VALUE"""),"USA")</f>
        <v>USA</v>
      </c>
      <c r="E3488" s="188">
        <f>IFERROR(__xludf.DUMMYFUNCTION("""COMPUTED_VALUE"""),44417.0)</f>
        <v>44417</v>
      </c>
      <c r="F3488" s="188">
        <f>IFERROR(__xludf.DUMMYFUNCTION("""COMPUTED_VALUE"""),44449.0)</f>
        <v>44449</v>
      </c>
      <c r="G3488" t="str">
        <f>IFERROR(__xludf.DUMMYFUNCTION("""COMPUTED_VALUE"""),"Manage order page (normal text)")</f>
        <v>Manage order page (normal text)</v>
      </c>
      <c r="H3488">
        <f>IFERROR(__xludf.DUMMYFUNCTION("""COMPUTED_VALUE"""),61965.0)</f>
        <v>61965</v>
      </c>
      <c r="K3488">
        <f>IFERROR(__xludf.DUMMYFUNCTION("""COMPUTED_VALUE"""),32.0)</f>
        <v>32</v>
      </c>
      <c r="N3488" t="str">
        <f>IFERROR(__xludf.DUMMYFUNCTION("""COMPUTED_VALUE"""),"Model 3 LR AWD")</f>
        <v>Model 3 LR AWD</v>
      </c>
      <c r="O3488" t="str">
        <f>IFERROR(__xludf.DUMMYFUNCTION("""COMPUTED_VALUE"""),"Pearl White Multi-Coat")</f>
        <v>Pearl White Multi-Coat</v>
      </c>
      <c r="P3488" t="str">
        <f>IFERROR(__xludf.DUMMYFUNCTION("""COMPUTED_VALUE"""),"18 inch")</f>
        <v>18 inch</v>
      </c>
      <c r="Q3488" t="str">
        <f>IFERROR(__xludf.DUMMYFUNCTION("""COMPUTED_VALUE"""),"Black and White")</f>
        <v>Black and White</v>
      </c>
      <c r="R3488" t="str">
        <f>IFERROR(__xludf.DUMMYFUNCTION("""COMPUTED_VALUE"""),"Autopilot included")</f>
        <v>Autopilot included</v>
      </c>
      <c r="S3488" t="str">
        <f>IFERROR(__xludf.DUMMYFUNCTION("""COMPUTED_VALUE"""),"Cash")</f>
        <v>Cash</v>
      </c>
      <c r="T3488" t="str">
        <f>IFERROR(__xludf.DUMMYFUNCTION("""COMPUTED_VALUE"""),"BMW 3 Series")</f>
        <v>BMW 3 Series</v>
      </c>
      <c r="U3488" t="str">
        <f>IFERROR(__xludf.DUMMYFUNCTION("""COMPUTED_VALUE"""),"Electric!")</f>
        <v>Electric!</v>
      </c>
      <c r="V3488" t="str">
        <f>IFERROR(__xludf.DUMMYFUNCTION("""COMPUTED_VALUE"""),"Apple CarPlay / Android Auto / SiriusXM Radio")</f>
        <v>Apple CarPlay / Android Auto / SiriusXM Radio</v>
      </c>
      <c r="AH3488" s="189">
        <f>IFERROR(__xludf.DUMMYFUNCTION("""COMPUTED_VALUE"""),44449.49526552083)</f>
        <v>44449.49527</v>
      </c>
    </row>
    <row r="3489">
      <c r="A3489" t="str">
        <f>IFERROR(__xludf.DUMMYFUNCTION("""COMPUTED_VALUE"""),"iangw")</f>
        <v>iangw</v>
      </c>
      <c r="B3489" t="str">
        <f>IFERROR(__xludf.DUMMYFUNCTION("""COMPUTED_VALUE"""),"Langley")</f>
        <v>Langley</v>
      </c>
      <c r="C3489" t="str">
        <f>IFERROR(__xludf.DUMMYFUNCTION("""COMPUTED_VALUE"""),"BC")</f>
        <v>BC</v>
      </c>
      <c r="D3489" t="str">
        <f>IFERROR(__xludf.DUMMYFUNCTION("""COMPUTED_VALUE"""),"Canada")</f>
        <v>Canada</v>
      </c>
      <c r="E3489" s="188">
        <f>IFERROR(__xludf.DUMMYFUNCTION("""COMPUTED_VALUE"""),44398.0)</f>
        <v>44398</v>
      </c>
      <c r="J3489" s="188">
        <f>IFERROR(__xludf.DUMMYFUNCTION("""COMPUTED_VALUE"""),44489.0)</f>
        <v>44489</v>
      </c>
      <c r="M3489">
        <f>IFERROR(__xludf.DUMMYFUNCTION("""COMPUTED_VALUE"""),91.0)</f>
        <v>91</v>
      </c>
      <c r="N3489" t="str">
        <f>IFERROR(__xludf.DUMMYFUNCTION("""COMPUTED_VALUE"""),"Model 3 SR+")</f>
        <v>Model 3 SR+</v>
      </c>
      <c r="O3489" t="str">
        <f>IFERROR(__xludf.DUMMYFUNCTION("""COMPUTED_VALUE"""),"Midnight Silver Metallic")</f>
        <v>Midnight Silver Metallic</v>
      </c>
      <c r="P3489" t="str">
        <f>IFERROR(__xludf.DUMMYFUNCTION("""COMPUTED_VALUE"""),"18 inch")</f>
        <v>18 inch</v>
      </c>
      <c r="Q3489" t="str">
        <f>IFERROR(__xludf.DUMMYFUNCTION("""COMPUTED_VALUE"""),"All Black")</f>
        <v>All Black</v>
      </c>
      <c r="R3489" t="str">
        <f>IFERROR(__xludf.DUMMYFUNCTION("""COMPUTED_VALUE"""),"Autopilot included")</f>
        <v>Autopilot included</v>
      </c>
      <c r="S3489" t="str">
        <f>IFERROR(__xludf.DUMMYFUNCTION("""COMPUTED_VALUE"""),"Loan")</f>
        <v>Loan</v>
      </c>
      <c r="T3489" t="str">
        <f>IFERROR(__xludf.DUMMYFUNCTION("""COMPUTED_VALUE"""),"VW Passat Wagon")</f>
        <v>VW Passat Wagon</v>
      </c>
      <c r="U3489" t="str">
        <f>IFERROR(__xludf.DUMMYFUNCTION("""COMPUTED_VALUE"""),"Electric!")</f>
        <v>Electric!</v>
      </c>
      <c r="V3489" t="str">
        <f>IFERROR(__xludf.DUMMYFUNCTION("""COMPUTED_VALUE"""),"Air suspension")</f>
        <v>Air suspension</v>
      </c>
      <c r="AH3489" s="189">
        <f>IFERROR(__xludf.DUMMYFUNCTION("""COMPUTED_VALUE"""),44450.00490134259)</f>
        <v>44450.0049</v>
      </c>
    </row>
    <row r="3490">
      <c r="A3490" t="str">
        <f>IFERROR(__xludf.DUMMYFUNCTION("""COMPUTED_VALUE"""),"TeslaSquared")</f>
        <v>TeslaSquared</v>
      </c>
      <c r="C3490" t="str">
        <f>IFERROR(__xludf.DUMMYFUNCTION("""COMPUTED_VALUE"""),"NJ")</f>
        <v>NJ</v>
      </c>
      <c r="D3490" t="str">
        <f>IFERROR(__xludf.DUMMYFUNCTION("""COMPUTED_VALUE"""),"USA")</f>
        <v>USA</v>
      </c>
      <c r="E3490" s="188">
        <f>IFERROR(__xludf.DUMMYFUNCTION("""COMPUTED_VALUE"""),44385.0)</f>
        <v>44385</v>
      </c>
      <c r="F3490" s="188">
        <f>IFERROR(__xludf.DUMMYFUNCTION("""COMPUTED_VALUE"""),44450.0)</f>
        <v>44450</v>
      </c>
      <c r="G3490" t="str">
        <f>IFERROR(__xludf.DUMMYFUNCTION("""COMPUTED_VALUE"""),"Manage order page (normal text)")</f>
        <v>Manage order page (normal text)</v>
      </c>
      <c r="H3490">
        <f>IFERROR(__xludf.DUMMYFUNCTION("""COMPUTED_VALUE"""),63655.0)</f>
        <v>63655</v>
      </c>
      <c r="J3490" s="188">
        <f>IFERROR(__xludf.DUMMYFUNCTION("""COMPUTED_VALUE"""),44463.0)</f>
        <v>44463</v>
      </c>
      <c r="K3490">
        <f>IFERROR(__xludf.DUMMYFUNCTION("""COMPUTED_VALUE"""),65.0)</f>
        <v>65</v>
      </c>
      <c r="L3490">
        <f>IFERROR(__xludf.DUMMYFUNCTION("""COMPUTED_VALUE"""),13.0)</f>
        <v>13</v>
      </c>
      <c r="M3490">
        <f>IFERROR(__xludf.DUMMYFUNCTION("""COMPUTED_VALUE"""),78.0)</f>
        <v>78</v>
      </c>
      <c r="N3490" t="str">
        <f>IFERROR(__xludf.DUMMYFUNCTION("""COMPUTED_VALUE"""),"Model 3 SR+")</f>
        <v>Model 3 SR+</v>
      </c>
      <c r="O3490" t="str">
        <f>IFERROR(__xludf.DUMMYFUNCTION("""COMPUTED_VALUE"""),"Pearl White Multi-Coat")</f>
        <v>Pearl White Multi-Coat</v>
      </c>
      <c r="P3490" t="str">
        <f>IFERROR(__xludf.DUMMYFUNCTION("""COMPUTED_VALUE"""),"18 inch")</f>
        <v>18 inch</v>
      </c>
      <c r="Q3490" t="str">
        <f>IFERROR(__xludf.DUMMYFUNCTION("""COMPUTED_VALUE"""),"All Black")</f>
        <v>All Black</v>
      </c>
      <c r="R3490" t="str">
        <f>IFERROR(__xludf.DUMMYFUNCTION("""COMPUTED_VALUE"""),"Autopilot included")</f>
        <v>Autopilot included</v>
      </c>
      <c r="S3490" t="str">
        <f>IFERROR(__xludf.DUMMYFUNCTION("""COMPUTED_VALUE"""),"Lease")</f>
        <v>Lease</v>
      </c>
      <c r="X3490" t="str">
        <f>IFERROR(__xludf.DUMMYFUNCTION("""COMPUTED_VALUE"""),"Good")</f>
        <v>Good</v>
      </c>
      <c r="Y3490" t="str">
        <f>IFERROR(__xludf.DUMMYFUNCTION("""COMPUTED_VALUE"""),"Very Good")</f>
        <v>Very Good</v>
      </c>
      <c r="Z3490" t="str">
        <f>IFERROR(__xludf.DUMMYFUNCTION("""COMPUTED_VALUE"""),"Very Good")</f>
        <v>Very Good</v>
      </c>
      <c r="AA3490" t="str">
        <f>IFERROR(__xludf.DUMMYFUNCTION("""COMPUTED_VALUE"""),"Good")</f>
        <v>Good</v>
      </c>
      <c r="AB3490" t="str">
        <f>IFERROR(__xludf.DUMMYFUNCTION("""COMPUTED_VALUE"""),"Very Good")</f>
        <v>Very Good</v>
      </c>
      <c r="AH3490" s="189">
        <f>IFERROR(__xludf.DUMMYFUNCTION("""COMPUTED_VALUE"""),44465.384708935184)</f>
        <v>44465.38471</v>
      </c>
    </row>
    <row r="3491">
      <c r="A3491" t="str">
        <f>IFERROR(__xludf.DUMMYFUNCTION("""COMPUTED_VALUE"""),"Thyself")</f>
        <v>Thyself</v>
      </c>
      <c r="B3491" t="str">
        <f>IFERROR(__xludf.DUMMYFUNCTION("""COMPUTED_VALUE"""),"Norfolk")</f>
        <v>Norfolk</v>
      </c>
      <c r="C3491" t="str">
        <f>IFERROR(__xludf.DUMMYFUNCTION("""COMPUTED_VALUE"""),"VA")</f>
        <v>VA</v>
      </c>
      <c r="D3491" t="str">
        <f>IFERROR(__xludf.DUMMYFUNCTION("""COMPUTED_VALUE"""),"USA")</f>
        <v>USA</v>
      </c>
      <c r="E3491" s="188">
        <f>IFERROR(__xludf.DUMMYFUNCTION("""COMPUTED_VALUE"""),44447.0)</f>
        <v>44447</v>
      </c>
      <c r="F3491" s="188">
        <f>IFERROR(__xludf.DUMMYFUNCTION("""COMPUTED_VALUE"""),44450.0)</f>
        <v>44450</v>
      </c>
      <c r="G3491" t="str">
        <f>IFERROR(__xludf.DUMMYFUNCTION("""COMPUTED_VALUE"""),"Manage order page (normal text)")</f>
        <v>Manage order page (normal text)</v>
      </c>
      <c r="H3491">
        <f>IFERROR(__xludf.DUMMYFUNCTION("""COMPUTED_VALUE"""),54742.0)</f>
        <v>54742</v>
      </c>
      <c r="K3491">
        <f>IFERROR(__xludf.DUMMYFUNCTION("""COMPUTED_VALUE"""),3.0)</f>
        <v>3</v>
      </c>
      <c r="N3491" t="str">
        <f>IFERROR(__xludf.DUMMYFUNCTION("""COMPUTED_VALUE"""),"Model 3 Performance")</f>
        <v>Model 3 Performance</v>
      </c>
      <c r="O3491" t="str">
        <f>IFERROR(__xludf.DUMMYFUNCTION("""COMPUTED_VALUE"""),"Pearl White Multi-Coat")</f>
        <v>Pearl White Multi-Coat</v>
      </c>
      <c r="P3491" t="str">
        <f>IFERROR(__xludf.DUMMYFUNCTION("""COMPUTED_VALUE"""),"20 inch")</f>
        <v>20 inch</v>
      </c>
      <c r="Q3491" t="str">
        <f>IFERROR(__xludf.DUMMYFUNCTION("""COMPUTED_VALUE"""),"All Black")</f>
        <v>All Black</v>
      </c>
      <c r="R3491" t="str">
        <f>IFERROR(__xludf.DUMMYFUNCTION("""COMPUTED_VALUE"""),"Autopilot included")</f>
        <v>Autopilot included</v>
      </c>
      <c r="S3491" t="str">
        <f>IFERROR(__xludf.DUMMYFUNCTION("""COMPUTED_VALUE"""),"Loan")</f>
        <v>Loan</v>
      </c>
      <c r="T3491" t="str">
        <f>IFERROR(__xludf.DUMMYFUNCTION("""COMPUTED_VALUE"""),"Subaru BRZ")</f>
        <v>Subaru BRZ</v>
      </c>
      <c r="U3491" t="str">
        <f>IFERROR(__xludf.DUMMYFUNCTION("""COMPUTED_VALUE"""),"Electric!")</f>
        <v>Electric!</v>
      </c>
      <c r="V3491" t="str">
        <f>IFERROR(__xludf.DUMMYFUNCTION("""COMPUTED_VALUE"""),"Head-up display")</f>
        <v>Head-up display</v>
      </c>
      <c r="AH3491" s="189">
        <f>IFERROR(__xludf.DUMMYFUNCTION("""COMPUTED_VALUE"""),44450.42552979167)</f>
        <v>44450.42553</v>
      </c>
    </row>
    <row r="3492">
      <c r="A3492" t="str">
        <f>IFERROR(__xludf.DUMMYFUNCTION("""COMPUTED_VALUE"""),"mystle")</f>
        <v>mystle</v>
      </c>
      <c r="B3492" t="str">
        <f>IFERROR(__xludf.DUMMYFUNCTION("""COMPUTED_VALUE"""),"Montreal")</f>
        <v>Montreal</v>
      </c>
      <c r="C3492" t="str">
        <f>IFERROR(__xludf.DUMMYFUNCTION("""COMPUTED_VALUE"""),"QC")</f>
        <v>QC</v>
      </c>
      <c r="D3492" t="str">
        <f>IFERROR(__xludf.DUMMYFUNCTION("""COMPUTED_VALUE"""),"Canada")</f>
        <v>Canada</v>
      </c>
      <c r="E3492" s="188">
        <f>IFERROR(__xludf.DUMMYFUNCTION("""COMPUTED_VALUE"""),44418.0)</f>
        <v>44418</v>
      </c>
      <c r="F3492" s="188">
        <f>IFERROR(__xludf.DUMMYFUNCTION("""COMPUTED_VALUE"""),44493.0)</f>
        <v>44493</v>
      </c>
      <c r="G3492" t="str">
        <f>IFERROR(__xludf.DUMMYFUNCTION("""COMPUTED_VALUE"""),"MVPA")</f>
        <v>MVPA</v>
      </c>
      <c r="J3492" s="188">
        <f>IFERROR(__xludf.DUMMYFUNCTION("""COMPUTED_VALUE"""),44506.0)</f>
        <v>44506</v>
      </c>
      <c r="K3492">
        <f>IFERROR(__xludf.DUMMYFUNCTION("""COMPUTED_VALUE"""),75.0)</f>
        <v>75</v>
      </c>
      <c r="L3492">
        <f>IFERROR(__xludf.DUMMYFUNCTION("""COMPUTED_VALUE"""),13.0)</f>
        <v>13</v>
      </c>
      <c r="M3492">
        <f>IFERROR(__xludf.DUMMYFUNCTION("""COMPUTED_VALUE"""),88.0)</f>
        <v>88</v>
      </c>
      <c r="N3492" t="str">
        <f>IFERROR(__xludf.DUMMYFUNCTION("""COMPUTED_VALUE"""),"Model 3 SR+")</f>
        <v>Model 3 SR+</v>
      </c>
      <c r="O3492" t="str">
        <f>IFERROR(__xludf.DUMMYFUNCTION("""COMPUTED_VALUE"""),"Pearl White Multi-Coat")</f>
        <v>Pearl White Multi-Coat</v>
      </c>
      <c r="P3492" t="str">
        <f>IFERROR(__xludf.DUMMYFUNCTION("""COMPUTED_VALUE"""),"18 inch")</f>
        <v>18 inch</v>
      </c>
      <c r="Q3492" t="str">
        <f>IFERROR(__xludf.DUMMYFUNCTION("""COMPUTED_VALUE"""),"All Black")</f>
        <v>All Black</v>
      </c>
      <c r="R3492" t="str">
        <f>IFERROR(__xludf.DUMMYFUNCTION("""COMPUTED_VALUE"""),"Autopilot included")</f>
        <v>Autopilot included</v>
      </c>
      <c r="S3492" t="str">
        <f>IFERROR(__xludf.DUMMYFUNCTION("""COMPUTED_VALUE"""),"Loan")</f>
        <v>Loan</v>
      </c>
      <c r="T3492" t="str">
        <f>IFERROR(__xludf.DUMMYFUNCTION("""COMPUTED_VALUE"""),"Honda Civic")</f>
        <v>Honda Civic</v>
      </c>
      <c r="U3492" t="str">
        <f>IFERROR(__xludf.DUMMYFUNCTION("""COMPUTED_VALUE"""),"Autopilot")</f>
        <v>Autopilot</v>
      </c>
      <c r="V3492" t="str">
        <f>IFERROR(__xludf.DUMMYFUNCTION("""COMPUTED_VALUE"""),"Blind spot indicators on side mirrors")</f>
        <v>Blind spot indicators on side mirrors</v>
      </c>
      <c r="AH3492" s="189">
        <f>IFERROR(__xludf.DUMMYFUNCTION("""COMPUTED_VALUE"""),44493.506664560184)</f>
        <v>44493.50666</v>
      </c>
    </row>
    <row r="3493">
      <c r="A3493" t="str">
        <f>IFERROR(__xludf.DUMMYFUNCTION("""COMPUTED_VALUE"""),"TwistedNerv")</f>
        <v>TwistedNerv</v>
      </c>
      <c r="B3493" t="str">
        <f>IFERROR(__xludf.DUMMYFUNCTION("""COMPUTED_VALUE"""),"Choctaw")</f>
        <v>Choctaw</v>
      </c>
      <c r="C3493" t="str">
        <f>IFERROR(__xludf.DUMMYFUNCTION("""COMPUTED_VALUE"""),"OK")</f>
        <v>OK</v>
      </c>
      <c r="D3493" t="str">
        <f>IFERROR(__xludf.DUMMYFUNCTION("""COMPUTED_VALUE"""),"USA")</f>
        <v>USA</v>
      </c>
      <c r="E3493" s="188">
        <f>IFERROR(__xludf.DUMMYFUNCTION("""COMPUTED_VALUE"""),44441.0)</f>
        <v>44441</v>
      </c>
      <c r="F3493" s="188">
        <f>IFERROR(__xludf.DUMMYFUNCTION("""COMPUTED_VALUE"""),44482.0)</f>
        <v>44482</v>
      </c>
      <c r="G3493" t="str">
        <f>IFERROR(__xludf.DUMMYFUNCTION("""COMPUTED_VALUE"""),"Text message")</f>
        <v>Text message</v>
      </c>
      <c r="J3493" s="188">
        <f>IFERROR(__xludf.DUMMYFUNCTION("""COMPUTED_VALUE"""),44497.0)</f>
        <v>44497</v>
      </c>
      <c r="K3493">
        <f>IFERROR(__xludf.DUMMYFUNCTION("""COMPUTED_VALUE"""),41.0)</f>
        <v>41</v>
      </c>
      <c r="L3493">
        <f>IFERROR(__xludf.DUMMYFUNCTION("""COMPUTED_VALUE"""),15.0)</f>
        <v>15</v>
      </c>
      <c r="M3493">
        <f>IFERROR(__xludf.DUMMYFUNCTION("""COMPUTED_VALUE"""),56.0)</f>
        <v>56</v>
      </c>
      <c r="N3493" t="str">
        <f>IFERROR(__xludf.DUMMYFUNCTION("""COMPUTED_VALUE"""),"Model 3 LR AWD")</f>
        <v>Model 3 LR AWD</v>
      </c>
      <c r="O3493" t="str">
        <f>IFERROR(__xludf.DUMMYFUNCTION("""COMPUTED_VALUE"""),"Midnight Silver Metallic")</f>
        <v>Midnight Silver Metallic</v>
      </c>
      <c r="P3493" t="str">
        <f>IFERROR(__xludf.DUMMYFUNCTION("""COMPUTED_VALUE"""),"18 inch")</f>
        <v>18 inch</v>
      </c>
      <c r="Q3493" t="str">
        <f>IFERROR(__xludf.DUMMYFUNCTION("""COMPUTED_VALUE"""),"All Black")</f>
        <v>All Black</v>
      </c>
      <c r="R3493" t="str">
        <f>IFERROR(__xludf.DUMMYFUNCTION("""COMPUTED_VALUE"""),"Autopilot included")</f>
        <v>Autopilot included</v>
      </c>
      <c r="S3493" t="str">
        <f>IFERROR(__xludf.DUMMYFUNCTION("""COMPUTED_VALUE"""),"Loan")</f>
        <v>Loan</v>
      </c>
      <c r="U3493" t="str">
        <f>IFERROR(__xludf.DUMMYFUNCTION("""COMPUTED_VALUE"""),"Electric!")</f>
        <v>Electric!</v>
      </c>
      <c r="V3493" t="str">
        <f>IFERROR(__xludf.DUMMYFUNCTION("""COMPUTED_VALUE"""),"Blind spot indicators on side mirrors")</f>
        <v>Blind spot indicators on side mirrors</v>
      </c>
      <c r="X3493" t="str">
        <f>IFERROR(__xludf.DUMMYFUNCTION("""COMPUTED_VALUE"""),"Excellent")</f>
        <v>Excellent</v>
      </c>
      <c r="Y3493" t="str">
        <f>IFERROR(__xludf.DUMMYFUNCTION("""COMPUTED_VALUE"""),"Excellent")</f>
        <v>Excellent</v>
      </c>
      <c r="Z3493" t="str">
        <f>IFERROR(__xludf.DUMMYFUNCTION("""COMPUTED_VALUE"""),"Excellent")</f>
        <v>Excellent</v>
      </c>
      <c r="AA3493" t="str">
        <f>IFERROR(__xludf.DUMMYFUNCTION("""COMPUTED_VALUE"""),"Excellent")</f>
        <v>Excellent</v>
      </c>
      <c r="AB3493" t="str">
        <f>IFERROR(__xludf.DUMMYFUNCTION("""COMPUTED_VALUE"""),"Excellent")</f>
        <v>Excellent</v>
      </c>
      <c r="AF3493" t="str">
        <f>IFERROR(__xludf.DUMMYFUNCTION("""COMPUTED_VALUE"""),"No. I took delivery of the first car Tesla was able to deliver.")</f>
        <v>No. I took delivery of the first car Tesla was able to deliver.</v>
      </c>
      <c r="AH3493" s="189">
        <f>IFERROR(__xludf.DUMMYFUNCTION("""COMPUTED_VALUE"""),44498.38739253472)</f>
        <v>44498.38739</v>
      </c>
    </row>
    <row r="3494">
      <c r="A3494" t="str">
        <f>IFERROR(__xludf.DUMMYFUNCTION("""COMPUTED_VALUE"""),"MyByulTae")</f>
        <v>MyByulTae</v>
      </c>
      <c r="B3494" t="str">
        <f>IFERROR(__xludf.DUMMYFUNCTION("""COMPUTED_VALUE"""),"Las Vegas")</f>
        <v>Las Vegas</v>
      </c>
      <c r="C3494" t="str">
        <f>IFERROR(__xludf.DUMMYFUNCTION("""COMPUTED_VALUE"""),"NV")</f>
        <v>NV</v>
      </c>
      <c r="D3494" t="str">
        <f>IFERROR(__xludf.DUMMYFUNCTION("""COMPUTED_VALUE"""),"USA")</f>
        <v>USA</v>
      </c>
      <c r="E3494" s="188">
        <f>IFERROR(__xludf.DUMMYFUNCTION("""COMPUTED_VALUE"""),44409.0)</f>
        <v>44409</v>
      </c>
      <c r="F3494" s="188">
        <f>IFERROR(__xludf.DUMMYFUNCTION("""COMPUTED_VALUE"""),44454.0)</f>
        <v>44454</v>
      </c>
      <c r="G3494" t="str">
        <f>IFERROR(__xludf.DUMMYFUNCTION("""COMPUTED_VALUE"""),"Manage order page (normal text)")</f>
        <v>Manage order page (normal text)</v>
      </c>
      <c r="H3494">
        <f>IFERROR(__xludf.DUMMYFUNCTION("""COMPUTED_VALUE"""),67455.0)</f>
        <v>67455</v>
      </c>
      <c r="J3494" s="188">
        <f>IFERROR(__xludf.DUMMYFUNCTION("""COMPUTED_VALUE"""),44457.0)</f>
        <v>44457</v>
      </c>
      <c r="K3494">
        <f>IFERROR(__xludf.DUMMYFUNCTION("""COMPUTED_VALUE"""),45.0)</f>
        <v>45</v>
      </c>
      <c r="L3494">
        <f>IFERROR(__xludf.DUMMYFUNCTION("""COMPUTED_VALUE"""),3.0)</f>
        <v>3</v>
      </c>
      <c r="M3494">
        <f>IFERROR(__xludf.DUMMYFUNCTION("""COMPUTED_VALUE"""),48.0)</f>
        <v>48</v>
      </c>
      <c r="N3494" t="str">
        <f>IFERROR(__xludf.DUMMYFUNCTION("""COMPUTED_VALUE"""),"Model 3 LR AWD")</f>
        <v>Model 3 LR AWD</v>
      </c>
      <c r="O3494" t="str">
        <f>IFERROR(__xludf.DUMMYFUNCTION("""COMPUTED_VALUE"""),"Midnight Silver Metallic")</f>
        <v>Midnight Silver Metallic</v>
      </c>
      <c r="P3494" t="str">
        <f>IFERROR(__xludf.DUMMYFUNCTION("""COMPUTED_VALUE"""),"18 inch")</f>
        <v>18 inch</v>
      </c>
      <c r="Q3494" t="str">
        <f>IFERROR(__xludf.DUMMYFUNCTION("""COMPUTED_VALUE"""),"All Black")</f>
        <v>All Black</v>
      </c>
      <c r="R3494" t="str">
        <f>IFERROR(__xludf.DUMMYFUNCTION("""COMPUTED_VALUE"""),"Autopilot included")</f>
        <v>Autopilot included</v>
      </c>
      <c r="S3494" t="str">
        <f>IFERROR(__xludf.DUMMYFUNCTION("""COMPUTED_VALUE"""),"Loan")</f>
        <v>Loan</v>
      </c>
      <c r="T3494" t="str">
        <f>IFERROR(__xludf.DUMMYFUNCTION("""COMPUTED_VALUE"""),"Honda Accord")</f>
        <v>Honda Accord</v>
      </c>
      <c r="U3494" t="str">
        <f>IFERROR(__xludf.DUMMYFUNCTION("""COMPUTED_VALUE"""),"Tesla brand image")</f>
        <v>Tesla brand image</v>
      </c>
      <c r="V3494" t="str">
        <f>IFERROR(__xludf.DUMMYFUNCTION("""COMPUTED_VALUE"""),"Apple CarPlay / Android Auto / SiriusXM Radio")</f>
        <v>Apple CarPlay / Android Auto / SiriusXM Radio</v>
      </c>
      <c r="X3494" t="str">
        <f>IFERROR(__xludf.DUMMYFUNCTION("""COMPUTED_VALUE"""),"Good")</f>
        <v>Good</v>
      </c>
      <c r="Y3494" t="str">
        <f>IFERROR(__xludf.DUMMYFUNCTION("""COMPUTED_VALUE"""),"Very Good")</f>
        <v>Very Good</v>
      </c>
      <c r="Z3494" t="str">
        <f>IFERROR(__xludf.DUMMYFUNCTION("""COMPUTED_VALUE"""),"Very Good")</f>
        <v>Very Good</v>
      </c>
      <c r="AA3494" t="str">
        <f>IFERROR(__xludf.DUMMYFUNCTION("""COMPUTED_VALUE"""),"Excellent")</f>
        <v>Excellent</v>
      </c>
      <c r="AB3494" t="str">
        <f>IFERROR(__xludf.DUMMYFUNCTION("""COMPUTED_VALUE"""),"Excellent")</f>
        <v>Excellent</v>
      </c>
      <c r="AC3494">
        <f>IFERROR(__xludf.DUMMYFUNCTION("""COMPUTED_VALUE"""),2.0)</f>
        <v>2</v>
      </c>
      <c r="AD3494">
        <f>IFERROR(__xludf.DUMMYFUNCTION("""COMPUTED_VALUE"""),1.0)</f>
        <v>1</v>
      </c>
      <c r="AE3494">
        <f>IFERROR(__xludf.DUMMYFUNCTION("""COMPUTED_VALUE"""),0.0)</f>
        <v>0</v>
      </c>
      <c r="AF3494" t="str">
        <f>IFERROR(__xludf.DUMMYFUNCTION("""COMPUTED_VALUE"""),"No. I took delivery of the first car Tesla was able to deliver.")</f>
        <v>No. I took delivery of the first car Tesla was able to deliver.</v>
      </c>
      <c r="AG3494" t="str">
        <f>IFERROR(__xludf.DUMMYFUNCTION("""COMPUTED_VALUE"""),"Had misaligned trunk, mobile service appt made and fixed on the spot!")</f>
        <v>Had misaligned trunk, mobile service appt made and fixed on the spot!</v>
      </c>
      <c r="AH3494" s="189">
        <f>IFERROR(__xludf.DUMMYFUNCTION("""COMPUTED_VALUE"""),44473.75100527778)</f>
        <v>44473.75101</v>
      </c>
    </row>
    <row r="3495">
      <c r="A3495" t="str">
        <f>IFERROR(__xludf.DUMMYFUNCTION("""COMPUTED_VALUE"""),"m0rk")</f>
        <v>m0rk</v>
      </c>
      <c r="B3495" t="str">
        <f>IFERROR(__xludf.DUMMYFUNCTION("""COMPUTED_VALUE"""),"Portsmouth")</f>
        <v>Portsmouth</v>
      </c>
      <c r="D3495" t="str">
        <f>IFERROR(__xludf.DUMMYFUNCTION("""COMPUTED_VALUE"""),"United Kingdom")</f>
        <v>United Kingdom</v>
      </c>
      <c r="E3495" s="188">
        <f>IFERROR(__xludf.DUMMYFUNCTION("""COMPUTED_VALUE"""),44448.0)</f>
        <v>44448</v>
      </c>
      <c r="N3495" t="str">
        <f>IFERROR(__xludf.DUMMYFUNCTION("""COMPUTED_VALUE"""),"Model 3 LR AWD")</f>
        <v>Model 3 LR AWD</v>
      </c>
      <c r="O3495" t="str">
        <f>IFERROR(__xludf.DUMMYFUNCTION("""COMPUTED_VALUE"""),"Pearl White Multi-Coat")</f>
        <v>Pearl White Multi-Coat</v>
      </c>
      <c r="P3495" t="str">
        <f>IFERROR(__xludf.DUMMYFUNCTION("""COMPUTED_VALUE"""),"18 inch")</f>
        <v>18 inch</v>
      </c>
      <c r="Q3495" t="str">
        <f>IFERROR(__xludf.DUMMYFUNCTION("""COMPUTED_VALUE"""),"All Black")</f>
        <v>All Black</v>
      </c>
      <c r="S3495" t="str">
        <f>IFERROR(__xludf.DUMMYFUNCTION("""COMPUTED_VALUE"""),"Lease")</f>
        <v>Lease</v>
      </c>
      <c r="T3495" t="str">
        <f>IFERROR(__xludf.DUMMYFUNCTION("""COMPUTED_VALUE"""),"Ford Focus")</f>
        <v>Ford Focus</v>
      </c>
      <c r="U3495" t="str">
        <f>IFERROR(__xludf.DUMMYFUNCTION("""COMPUTED_VALUE"""),"Supercharger V3 support")</f>
        <v>Supercharger V3 support</v>
      </c>
      <c r="V3495" t="str">
        <f>IFERROR(__xludf.DUMMYFUNCTION("""COMPUTED_VALUE"""),"Apple CarPlay / Android Auto / SiriusXM Radio")</f>
        <v>Apple CarPlay / Android Auto / SiriusXM Radio</v>
      </c>
      <c r="AH3495" s="189">
        <f>IFERROR(__xludf.DUMMYFUNCTION("""COMPUTED_VALUE"""),44451.37908645833)</f>
        <v>44451.37909</v>
      </c>
    </row>
    <row r="3496">
      <c r="A3496" t="str">
        <f>IFERROR(__xludf.DUMMYFUNCTION("""COMPUTED_VALUE"""),"initial0")</f>
        <v>initial0</v>
      </c>
      <c r="B3496" t="str">
        <f>IFERROR(__xludf.DUMMYFUNCTION("""COMPUTED_VALUE"""),"Los Angeles")</f>
        <v>Los Angeles</v>
      </c>
      <c r="C3496" t="str">
        <f>IFERROR(__xludf.DUMMYFUNCTION("""COMPUTED_VALUE"""),"CA")</f>
        <v>CA</v>
      </c>
      <c r="D3496" t="str">
        <f>IFERROR(__xludf.DUMMYFUNCTION("""COMPUTED_VALUE"""),"USA")</f>
        <v>USA</v>
      </c>
      <c r="E3496" s="188">
        <f>IFERROR(__xludf.DUMMYFUNCTION("""COMPUTED_VALUE"""),44394.0)</f>
        <v>44394</v>
      </c>
      <c r="F3496" s="188">
        <f>IFERROR(__xludf.DUMMYFUNCTION("""COMPUTED_VALUE"""),44451.0)</f>
        <v>44451</v>
      </c>
      <c r="G3496" t="str">
        <f>IFERROR(__xludf.DUMMYFUNCTION("""COMPUTED_VALUE"""),"Manage order page (normal text)")</f>
        <v>Manage order page (normal text)</v>
      </c>
      <c r="J3496" s="188">
        <f>IFERROR(__xludf.DUMMYFUNCTION("""COMPUTED_VALUE"""),44451.0)</f>
        <v>44451</v>
      </c>
      <c r="K3496">
        <f>IFERROR(__xludf.DUMMYFUNCTION("""COMPUTED_VALUE"""),57.0)</f>
        <v>57</v>
      </c>
      <c r="L3496">
        <f>IFERROR(__xludf.DUMMYFUNCTION("""COMPUTED_VALUE"""),0.0)</f>
        <v>0</v>
      </c>
      <c r="M3496">
        <f>IFERROR(__xludf.DUMMYFUNCTION("""COMPUTED_VALUE"""),57.0)</f>
        <v>57</v>
      </c>
      <c r="N3496" t="str">
        <f>IFERROR(__xludf.DUMMYFUNCTION("""COMPUTED_VALUE"""),"Model 3 LR AWD")</f>
        <v>Model 3 LR AWD</v>
      </c>
      <c r="O3496" t="str">
        <f>IFERROR(__xludf.DUMMYFUNCTION("""COMPUTED_VALUE"""),"Solid Black")</f>
        <v>Solid Black</v>
      </c>
      <c r="P3496" t="str">
        <f>IFERROR(__xludf.DUMMYFUNCTION("""COMPUTED_VALUE"""),"18 inch")</f>
        <v>18 inch</v>
      </c>
      <c r="Q3496" t="str">
        <f>IFERROR(__xludf.DUMMYFUNCTION("""COMPUTED_VALUE"""),"All Black")</f>
        <v>All Black</v>
      </c>
      <c r="R3496" t="str">
        <f>IFERROR(__xludf.DUMMYFUNCTION("""COMPUTED_VALUE"""),"Full Self-Driving")</f>
        <v>Full Self-Driving</v>
      </c>
      <c r="S3496" t="str">
        <f>IFERROR(__xludf.DUMMYFUNCTION("""COMPUTED_VALUE"""),"Cash")</f>
        <v>Cash</v>
      </c>
      <c r="U3496" t="str">
        <f>IFERROR(__xludf.DUMMYFUNCTION("""COMPUTED_VALUE"""),"Electric!")</f>
        <v>Electric!</v>
      </c>
      <c r="V3496" t="str">
        <f>IFERROR(__xludf.DUMMYFUNCTION("""COMPUTED_VALUE"""),"Ventilated seats")</f>
        <v>Ventilated seats</v>
      </c>
      <c r="X3496" t="str">
        <f>IFERROR(__xludf.DUMMYFUNCTION("""COMPUTED_VALUE"""),"Very Good")</f>
        <v>Very Good</v>
      </c>
      <c r="Y3496" t="str">
        <f>IFERROR(__xludf.DUMMYFUNCTION("""COMPUTED_VALUE"""),"Very Good")</f>
        <v>Very Good</v>
      </c>
      <c r="Z3496" t="str">
        <f>IFERROR(__xludf.DUMMYFUNCTION("""COMPUTED_VALUE"""),"Very Good")</f>
        <v>Very Good</v>
      </c>
      <c r="AA3496" t="str">
        <f>IFERROR(__xludf.DUMMYFUNCTION("""COMPUTED_VALUE"""),"Poor")</f>
        <v>Poor</v>
      </c>
      <c r="AB3496" t="str">
        <f>IFERROR(__xludf.DUMMYFUNCTION("""COMPUTED_VALUE"""),"Very Good")</f>
        <v>Very Good</v>
      </c>
      <c r="AF3496" t="str">
        <f>IFERROR(__xludf.DUMMYFUNCTION("""COMPUTED_VALUE"""),"No. I took delivery of the first car Tesla was able to deliver.")</f>
        <v>No. I took delivery of the first car Tesla was able to deliver.</v>
      </c>
      <c r="AH3496" s="189">
        <f>IFERROR(__xludf.DUMMYFUNCTION("""COMPUTED_VALUE"""),44451.80418092593)</f>
        <v>44451.80418</v>
      </c>
    </row>
    <row r="3497">
      <c r="A3497" t="str">
        <f>IFERROR(__xludf.DUMMYFUNCTION("""COMPUTED_VALUE"""),"OVJ")</f>
        <v>OVJ</v>
      </c>
      <c r="B3497" t="str">
        <f>IFERROR(__xludf.DUMMYFUNCTION("""COMPUTED_VALUE"""),"Fort Lauderdale")</f>
        <v>Fort Lauderdale</v>
      </c>
      <c r="C3497" t="str">
        <f>IFERROR(__xludf.DUMMYFUNCTION("""COMPUTED_VALUE"""),"FL")</f>
        <v>FL</v>
      </c>
      <c r="D3497" t="str">
        <f>IFERROR(__xludf.DUMMYFUNCTION("""COMPUTED_VALUE"""),"USA")</f>
        <v>USA</v>
      </c>
      <c r="E3497" s="188">
        <f>IFERROR(__xludf.DUMMYFUNCTION("""COMPUTED_VALUE"""),44382.0)</f>
        <v>44382</v>
      </c>
      <c r="N3497" t="str">
        <f>IFERROR(__xludf.DUMMYFUNCTION("""COMPUTED_VALUE"""),"Model 3 SR+")</f>
        <v>Model 3 SR+</v>
      </c>
      <c r="O3497" t="str">
        <f>IFERROR(__xludf.DUMMYFUNCTION("""COMPUTED_VALUE"""),"Solid Black")</f>
        <v>Solid Black</v>
      </c>
      <c r="P3497" t="str">
        <f>IFERROR(__xludf.DUMMYFUNCTION("""COMPUTED_VALUE"""),"18 inch")</f>
        <v>18 inch</v>
      </c>
      <c r="Q3497" t="str">
        <f>IFERROR(__xludf.DUMMYFUNCTION("""COMPUTED_VALUE"""),"Black and White")</f>
        <v>Black and White</v>
      </c>
      <c r="R3497" t="str">
        <f>IFERROR(__xludf.DUMMYFUNCTION("""COMPUTED_VALUE"""),"Autopilot included")</f>
        <v>Autopilot included</v>
      </c>
      <c r="S3497" t="str">
        <f>IFERROR(__xludf.DUMMYFUNCTION("""COMPUTED_VALUE"""),"Loan")</f>
        <v>Loan</v>
      </c>
      <c r="U3497" t="str">
        <f>IFERROR(__xludf.DUMMYFUNCTION("""COMPUTED_VALUE"""),"Electric!")</f>
        <v>Electric!</v>
      </c>
      <c r="V3497" t="str">
        <f>IFERROR(__xludf.DUMMYFUNCTION("""COMPUTED_VALUE"""),"Apple CarPlay / Android Auto / SiriusXM Radio")</f>
        <v>Apple CarPlay / Android Auto / SiriusXM Radio</v>
      </c>
      <c r="AH3497" s="189">
        <f>IFERROR(__xludf.DUMMYFUNCTION("""COMPUTED_VALUE"""),44451.818784560186)</f>
        <v>44451.81878</v>
      </c>
    </row>
    <row r="3498">
      <c r="A3498" t="str">
        <f>IFERROR(__xludf.DUMMYFUNCTION("""COMPUTED_VALUE"""),"Bbykay")</f>
        <v>Bbykay</v>
      </c>
      <c r="B3498" t="str">
        <f>IFERROR(__xludf.DUMMYFUNCTION("""COMPUTED_VALUE"""),"Buena Park")</f>
        <v>Buena Park</v>
      </c>
      <c r="C3498" t="str">
        <f>IFERROR(__xludf.DUMMYFUNCTION("""COMPUTED_VALUE"""),"CA")</f>
        <v>CA</v>
      </c>
      <c r="D3498" t="str">
        <f>IFERROR(__xludf.DUMMYFUNCTION("""COMPUTED_VALUE"""),"USA")</f>
        <v>USA</v>
      </c>
      <c r="E3498" s="188">
        <f>IFERROR(__xludf.DUMMYFUNCTION("""COMPUTED_VALUE"""),44388.0)</f>
        <v>44388</v>
      </c>
      <c r="F3498" s="188">
        <f>IFERROR(__xludf.DUMMYFUNCTION("""COMPUTED_VALUE"""),44459.0)</f>
        <v>44459</v>
      </c>
      <c r="G3498" t="str">
        <f>IFERROR(__xludf.DUMMYFUNCTION("""COMPUTED_VALUE"""),"Email")</f>
        <v>Email</v>
      </c>
      <c r="H3498">
        <f>IFERROR(__xludf.DUMMYFUNCTION("""COMPUTED_VALUE"""),65855.0)</f>
        <v>65855</v>
      </c>
      <c r="I3498" t="str">
        <f>IFERROR(__xludf.DUMMYFUNCTION("""COMPUTED_VALUE"""),"09/21")</f>
        <v>09/21</v>
      </c>
      <c r="J3498" s="188">
        <f>IFERROR(__xludf.DUMMYFUNCTION("""COMPUTED_VALUE"""),44461.0)</f>
        <v>44461</v>
      </c>
      <c r="K3498">
        <f>IFERROR(__xludf.DUMMYFUNCTION("""COMPUTED_VALUE"""),71.0)</f>
        <v>71</v>
      </c>
      <c r="L3498">
        <f>IFERROR(__xludf.DUMMYFUNCTION("""COMPUTED_VALUE"""),2.0)</f>
        <v>2</v>
      </c>
      <c r="M3498">
        <f>IFERROR(__xludf.DUMMYFUNCTION("""COMPUTED_VALUE"""),73.0)</f>
        <v>73</v>
      </c>
      <c r="N3498" t="str">
        <f>IFERROR(__xludf.DUMMYFUNCTION("""COMPUTED_VALUE"""),"Model 3 SR+")</f>
        <v>Model 3 SR+</v>
      </c>
      <c r="O3498" t="str">
        <f>IFERROR(__xludf.DUMMYFUNCTION("""COMPUTED_VALUE"""),"Pearl White Multi-Coat")</f>
        <v>Pearl White Multi-Coat</v>
      </c>
      <c r="P3498" t="str">
        <f>IFERROR(__xludf.DUMMYFUNCTION("""COMPUTED_VALUE"""),"18 inch")</f>
        <v>18 inch</v>
      </c>
      <c r="Q3498" t="str">
        <f>IFERROR(__xludf.DUMMYFUNCTION("""COMPUTED_VALUE"""),"All Black")</f>
        <v>All Black</v>
      </c>
      <c r="R3498" t="str">
        <f>IFERROR(__xludf.DUMMYFUNCTION("""COMPUTED_VALUE"""),"Autopilot included")</f>
        <v>Autopilot included</v>
      </c>
      <c r="S3498" t="str">
        <f>IFERROR(__xludf.DUMMYFUNCTION("""COMPUTED_VALUE"""),"Loan")</f>
        <v>Loan</v>
      </c>
      <c r="T3498" t="str">
        <f>IFERROR(__xludf.DUMMYFUNCTION("""COMPUTED_VALUE"""),"Kia Sorento")</f>
        <v>Kia Sorento</v>
      </c>
      <c r="U3498" t="str">
        <f>IFERROR(__xludf.DUMMYFUNCTION("""COMPUTED_VALUE"""),"Electric!")</f>
        <v>Electric!</v>
      </c>
      <c r="V3498" t="str">
        <f>IFERROR(__xludf.DUMMYFUNCTION("""COMPUTED_VALUE"""),"Ventilated seats")</f>
        <v>Ventilated seats</v>
      </c>
      <c r="X3498" t="str">
        <f>IFERROR(__xludf.DUMMYFUNCTION("""COMPUTED_VALUE"""),"Excellent")</f>
        <v>Excellent</v>
      </c>
      <c r="Y3498" t="str">
        <f>IFERROR(__xludf.DUMMYFUNCTION("""COMPUTED_VALUE"""),"Excellent")</f>
        <v>Excellent</v>
      </c>
      <c r="Z3498" t="str">
        <f>IFERROR(__xludf.DUMMYFUNCTION("""COMPUTED_VALUE"""),"Good")</f>
        <v>Good</v>
      </c>
      <c r="AA3498" t="str">
        <f>IFERROR(__xludf.DUMMYFUNCTION("""COMPUTED_VALUE"""),"Excellent")</f>
        <v>Excellent</v>
      </c>
      <c r="AB3498" t="str">
        <f>IFERROR(__xludf.DUMMYFUNCTION("""COMPUTED_VALUE"""),"Excellent")</f>
        <v>Excellent</v>
      </c>
      <c r="AC3498">
        <f>IFERROR(__xludf.DUMMYFUNCTION("""COMPUTED_VALUE"""),4.0)</f>
        <v>4</v>
      </c>
      <c r="AD3498">
        <f>IFERROR(__xludf.DUMMYFUNCTION("""COMPUTED_VALUE"""),2.0)</f>
        <v>2</v>
      </c>
      <c r="AE3498">
        <f>IFERROR(__xludf.DUMMYFUNCTION("""COMPUTED_VALUE"""),1.0)</f>
        <v>1</v>
      </c>
      <c r="AF3498" t="str">
        <f>IFERROR(__xludf.DUMMYFUNCTION("""COMPUTED_VALUE"""),"No. I took delivery of the first car Tesla was able to deliver.")</f>
        <v>No. I took delivery of the first car Tesla was able to deliver.</v>
      </c>
      <c r="AH3498" s="189">
        <f>IFERROR(__xludf.DUMMYFUNCTION("""COMPUTED_VALUE"""),44488.783883958335)</f>
        <v>44488.78388</v>
      </c>
    </row>
    <row r="3499">
      <c r="A3499" t="str">
        <f>IFERROR(__xludf.DUMMYFUNCTION("""COMPUTED_VALUE"""),"Dunno")</f>
        <v>Dunno</v>
      </c>
      <c r="B3499" t="str">
        <f>IFERROR(__xludf.DUMMYFUNCTION("""COMPUTED_VALUE"""),"Turlock")</f>
        <v>Turlock</v>
      </c>
      <c r="C3499" t="str">
        <f>IFERROR(__xludf.DUMMYFUNCTION("""COMPUTED_VALUE"""),"CA")</f>
        <v>CA</v>
      </c>
      <c r="D3499" t="str">
        <f>IFERROR(__xludf.DUMMYFUNCTION("""COMPUTED_VALUE"""),"USA")</f>
        <v>USA</v>
      </c>
      <c r="E3499" s="188">
        <f>IFERROR(__xludf.DUMMYFUNCTION("""COMPUTED_VALUE"""),44444.0)</f>
        <v>44444</v>
      </c>
      <c r="N3499" t="str">
        <f>IFERROR(__xludf.DUMMYFUNCTION("""COMPUTED_VALUE"""),"Model 3 Performance")</f>
        <v>Model 3 Performance</v>
      </c>
      <c r="O3499" t="str">
        <f>IFERROR(__xludf.DUMMYFUNCTION("""COMPUTED_VALUE"""),"Pearl White Multi-Coat")</f>
        <v>Pearl White Multi-Coat</v>
      </c>
      <c r="P3499" t="str">
        <f>IFERROR(__xludf.DUMMYFUNCTION("""COMPUTED_VALUE"""),"20 inch")</f>
        <v>20 inch</v>
      </c>
      <c r="Q3499" t="str">
        <f>IFERROR(__xludf.DUMMYFUNCTION("""COMPUTED_VALUE"""),"All Black")</f>
        <v>All Black</v>
      </c>
      <c r="R3499" t="str">
        <f>IFERROR(__xludf.DUMMYFUNCTION("""COMPUTED_VALUE"""),"Full Self-Driving")</f>
        <v>Full Self-Driving</v>
      </c>
      <c r="S3499" t="str">
        <f>IFERROR(__xludf.DUMMYFUNCTION("""COMPUTED_VALUE"""),"Loan")</f>
        <v>Loan</v>
      </c>
      <c r="T3499" t="str">
        <f>IFERROR(__xludf.DUMMYFUNCTION("""COMPUTED_VALUE"""),"Model 3 will be my first car!")</f>
        <v>Model 3 will be my first car!</v>
      </c>
      <c r="U3499" t="str">
        <f>IFERROR(__xludf.DUMMYFUNCTION("""COMPUTED_VALUE"""),"Autopilot")</f>
        <v>Autopilot</v>
      </c>
      <c r="V3499" t="str">
        <f>IFERROR(__xludf.DUMMYFUNCTION("""COMPUTED_VALUE"""),"Head-up display")</f>
        <v>Head-up display</v>
      </c>
      <c r="AH3499" s="189">
        <f>IFERROR(__xludf.DUMMYFUNCTION("""COMPUTED_VALUE"""),44451.88852168982)</f>
        <v>44451.88852</v>
      </c>
    </row>
    <row r="3500">
      <c r="A3500" t="str">
        <f>IFERROR(__xludf.DUMMYFUNCTION("""COMPUTED_VALUE"""),"Raxen")</f>
        <v>Raxen</v>
      </c>
      <c r="B3500" t="str">
        <f>IFERROR(__xludf.DUMMYFUNCTION("""COMPUTED_VALUE"""),"Toronto")</f>
        <v>Toronto</v>
      </c>
      <c r="C3500" t="str">
        <f>IFERROR(__xludf.DUMMYFUNCTION("""COMPUTED_VALUE"""),"ON")</f>
        <v>ON</v>
      </c>
      <c r="D3500" t="str">
        <f>IFERROR(__xludf.DUMMYFUNCTION("""COMPUTED_VALUE"""),"Canada")</f>
        <v>Canada</v>
      </c>
      <c r="E3500" s="188">
        <f>IFERROR(__xludf.DUMMYFUNCTION("""COMPUTED_VALUE"""),44410.0)</f>
        <v>44410</v>
      </c>
      <c r="F3500" s="188">
        <f>IFERROR(__xludf.DUMMYFUNCTION("""COMPUTED_VALUE"""),44491.0)</f>
        <v>44491</v>
      </c>
      <c r="G3500" t="str">
        <f>IFERROR(__xludf.DUMMYFUNCTION("""COMPUTED_VALUE"""),"Email")</f>
        <v>Email</v>
      </c>
      <c r="H3500">
        <f>IFERROR(__xludf.DUMMYFUNCTION("""COMPUTED_VALUE"""),84755.0)</f>
        <v>84755</v>
      </c>
      <c r="J3500" s="188">
        <f>IFERROR(__xludf.DUMMYFUNCTION("""COMPUTED_VALUE"""),44492.0)</f>
        <v>44492</v>
      </c>
      <c r="K3500">
        <f>IFERROR(__xludf.DUMMYFUNCTION("""COMPUTED_VALUE"""),81.0)</f>
        <v>81</v>
      </c>
      <c r="L3500">
        <f>IFERROR(__xludf.DUMMYFUNCTION("""COMPUTED_VALUE"""),1.0)</f>
        <v>1</v>
      </c>
      <c r="M3500">
        <f>IFERROR(__xludf.DUMMYFUNCTION("""COMPUTED_VALUE"""),82.0)</f>
        <v>82</v>
      </c>
      <c r="N3500" t="str">
        <f>IFERROR(__xludf.DUMMYFUNCTION("""COMPUTED_VALUE"""),"Model 3 SR+")</f>
        <v>Model 3 SR+</v>
      </c>
      <c r="O3500" t="str">
        <f>IFERROR(__xludf.DUMMYFUNCTION("""COMPUTED_VALUE"""),"Pearl White Multi-Coat")</f>
        <v>Pearl White Multi-Coat</v>
      </c>
      <c r="P3500" t="str">
        <f>IFERROR(__xludf.DUMMYFUNCTION("""COMPUTED_VALUE"""),"18 inch")</f>
        <v>18 inch</v>
      </c>
      <c r="Q3500" t="str">
        <f>IFERROR(__xludf.DUMMYFUNCTION("""COMPUTED_VALUE"""),"All Black")</f>
        <v>All Black</v>
      </c>
      <c r="R3500" t="str">
        <f>IFERROR(__xludf.DUMMYFUNCTION("""COMPUTED_VALUE"""),"Autopilot included")</f>
        <v>Autopilot included</v>
      </c>
      <c r="S3500" t="str">
        <f>IFERROR(__xludf.DUMMYFUNCTION("""COMPUTED_VALUE"""),"Loan")</f>
        <v>Loan</v>
      </c>
      <c r="V3500" t="str">
        <f>IFERROR(__xludf.DUMMYFUNCTION("""COMPUTED_VALUE"""),"Apple CarPlay / Android Auto / SiriusXM Radio")</f>
        <v>Apple CarPlay / Android Auto / SiriusXM Radio</v>
      </c>
      <c r="X3500" t="str">
        <f>IFERROR(__xludf.DUMMYFUNCTION("""COMPUTED_VALUE"""),"Good")</f>
        <v>Good</v>
      </c>
      <c r="Y3500" t="str">
        <f>IFERROR(__xludf.DUMMYFUNCTION("""COMPUTED_VALUE"""),"Excellent")</f>
        <v>Excellent</v>
      </c>
      <c r="Z3500" t="str">
        <f>IFERROR(__xludf.DUMMYFUNCTION("""COMPUTED_VALUE"""),"Excellent")</f>
        <v>Excellent</v>
      </c>
      <c r="AA3500" t="str">
        <f>IFERROR(__xludf.DUMMYFUNCTION("""COMPUTED_VALUE"""),"Fair")</f>
        <v>Fair</v>
      </c>
      <c r="AB3500" t="str">
        <f>IFERROR(__xludf.DUMMYFUNCTION("""COMPUTED_VALUE"""),"Good")</f>
        <v>Good</v>
      </c>
      <c r="AC3500">
        <f>IFERROR(__xludf.DUMMYFUNCTION("""COMPUTED_VALUE"""),3.0)</f>
        <v>3</v>
      </c>
      <c r="AF3500" t="str">
        <f>IFERROR(__xludf.DUMMYFUNCTION("""COMPUTED_VALUE"""),"No. I took delivery of the first car Tesla was able to deliver.")</f>
        <v>No. I took delivery of the first car Tesla was able to deliver.</v>
      </c>
      <c r="AG3500" t="str">
        <f>IFERROR(__xludf.DUMMYFUNCTION("""COMPUTED_VALUE"""),"Sales Advisor informed me of a white available so I changed from blue to white and took delivery. ")</f>
        <v>Sales Advisor informed me of a white available so I changed from blue to white and took delivery. </v>
      </c>
      <c r="AH3500" s="189">
        <f>IFERROR(__xludf.DUMMYFUNCTION("""COMPUTED_VALUE"""),44493.86641581019)</f>
        <v>44493.86642</v>
      </c>
    </row>
    <row r="3501">
      <c r="A3501" t="str">
        <f>IFERROR(__xludf.DUMMYFUNCTION("""COMPUTED_VALUE"""),"Boourns")</f>
        <v>Boourns</v>
      </c>
      <c r="B3501" t="str">
        <f>IFERROR(__xludf.DUMMYFUNCTION("""COMPUTED_VALUE"""),"Dallas")</f>
        <v>Dallas</v>
      </c>
      <c r="C3501" t="str">
        <f>IFERROR(__xludf.DUMMYFUNCTION("""COMPUTED_VALUE"""),"TX")</f>
        <v>TX</v>
      </c>
      <c r="D3501" t="str">
        <f>IFERROR(__xludf.DUMMYFUNCTION("""COMPUTED_VALUE"""),"USA")</f>
        <v>USA</v>
      </c>
      <c r="E3501" s="188">
        <f>IFERROR(__xludf.DUMMYFUNCTION("""COMPUTED_VALUE"""),44450.0)</f>
        <v>44450</v>
      </c>
      <c r="F3501" s="188">
        <f>IFERROR(__xludf.DUMMYFUNCTION("""COMPUTED_VALUE"""),44452.0)</f>
        <v>44452</v>
      </c>
      <c r="G3501" t="str">
        <f>IFERROR(__xludf.DUMMYFUNCTION("""COMPUTED_VALUE"""),"Manage order page (normal text)")</f>
        <v>Manage order page (normal text)</v>
      </c>
      <c r="H3501">
        <f>IFERROR(__xludf.DUMMYFUNCTION("""COMPUTED_VALUE"""),56155.0)</f>
        <v>56155</v>
      </c>
      <c r="K3501">
        <f>IFERROR(__xludf.DUMMYFUNCTION("""COMPUTED_VALUE"""),2.0)</f>
        <v>2</v>
      </c>
      <c r="N3501" t="str">
        <f>IFERROR(__xludf.DUMMYFUNCTION("""COMPUTED_VALUE"""),"Model 3 Performance")</f>
        <v>Model 3 Performance</v>
      </c>
      <c r="O3501" t="str">
        <f>IFERROR(__xludf.DUMMYFUNCTION("""COMPUTED_VALUE"""),"Red Multi-Coat")</f>
        <v>Red Multi-Coat</v>
      </c>
      <c r="P3501" t="str">
        <f>IFERROR(__xludf.DUMMYFUNCTION("""COMPUTED_VALUE"""),"20 inch")</f>
        <v>20 inch</v>
      </c>
      <c r="Q3501" t="str">
        <f>IFERROR(__xludf.DUMMYFUNCTION("""COMPUTED_VALUE"""),"Black and White")</f>
        <v>Black and White</v>
      </c>
      <c r="R3501" t="str">
        <f>IFERROR(__xludf.DUMMYFUNCTION("""COMPUTED_VALUE"""),"Autopilot included")</f>
        <v>Autopilot included</v>
      </c>
      <c r="S3501" t="str">
        <f>IFERROR(__xludf.DUMMYFUNCTION("""COMPUTED_VALUE"""),"Cash")</f>
        <v>Cash</v>
      </c>
      <c r="T3501" t="str">
        <f>IFERROR(__xludf.DUMMYFUNCTION("""COMPUTED_VALUE"""),"Tesla Model 3")</f>
        <v>Tesla Model 3</v>
      </c>
      <c r="AH3501" s="189">
        <f>IFERROR(__xludf.DUMMYFUNCTION("""COMPUTED_VALUE"""),44452.47192810185)</f>
        <v>44452.47193</v>
      </c>
    </row>
    <row r="3502">
      <c r="A3502" t="str">
        <f>IFERROR(__xludf.DUMMYFUNCTION("""COMPUTED_VALUE"""),"thyatt")</f>
        <v>thyatt</v>
      </c>
      <c r="B3502" t="str">
        <f>IFERROR(__xludf.DUMMYFUNCTION("""COMPUTED_VALUE"""),"Palo Alto")</f>
        <v>Palo Alto</v>
      </c>
      <c r="C3502" t="str">
        <f>IFERROR(__xludf.DUMMYFUNCTION("""COMPUTED_VALUE"""),"CA")</f>
        <v>CA</v>
      </c>
      <c r="D3502" t="str">
        <f>IFERROR(__xludf.DUMMYFUNCTION("""COMPUTED_VALUE"""),"USA")</f>
        <v>USA</v>
      </c>
      <c r="E3502" s="188">
        <f>IFERROR(__xludf.DUMMYFUNCTION("""COMPUTED_VALUE"""),44408.0)</f>
        <v>44408</v>
      </c>
      <c r="N3502" t="str">
        <f>IFERROR(__xludf.DUMMYFUNCTION("""COMPUTED_VALUE"""),"Model 3 LR AWD")</f>
        <v>Model 3 LR AWD</v>
      </c>
      <c r="O3502" t="str">
        <f>IFERROR(__xludf.DUMMYFUNCTION("""COMPUTED_VALUE"""),"Pearl White Multi-Coat")</f>
        <v>Pearl White Multi-Coat</v>
      </c>
      <c r="P3502" t="str">
        <f>IFERROR(__xludf.DUMMYFUNCTION("""COMPUTED_VALUE"""),"18 inch")</f>
        <v>18 inch</v>
      </c>
      <c r="Q3502" t="str">
        <f>IFERROR(__xludf.DUMMYFUNCTION("""COMPUTED_VALUE"""),"Black and White")</f>
        <v>Black and White</v>
      </c>
      <c r="R3502" t="str">
        <f>IFERROR(__xludf.DUMMYFUNCTION("""COMPUTED_VALUE"""),"Autopilot included")</f>
        <v>Autopilot included</v>
      </c>
      <c r="S3502" t="str">
        <f>IFERROR(__xludf.DUMMYFUNCTION("""COMPUTED_VALUE"""),"Loan")</f>
        <v>Loan</v>
      </c>
      <c r="T3502" t="str">
        <f>IFERROR(__xludf.DUMMYFUNCTION("""COMPUTED_VALUE"""),"Subaru WRX")</f>
        <v>Subaru WRX</v>
      </c>
      <c r="U3502" t="str">
        <f>IFERROR(__xludf.DUMMYFUNCTION("""COMPUTED_VALUE"""),"Acceleration, comfort, and not having to buy gas")</f>
        <v>Acceleration, comfort, and not having to buy gas</v>
      </c>
      <c r="V3502" t="str">
        <f>IFERROR(__xludf.DUMMYFUNCTION("""COMPUTED_VALUE"""),"Ventilated seats")</f>
        <v>Ventilated seats</v>
      </c>
      <c r="AH3502" s="189">
        <f>IFERROR(__xludf.DUMMYFUNCTION("""COMPUTED_VALUE"""),44452.55507290509)</f>
        <v>44452.55507</v>
      </c>
    </row>
    <row r="3503">
      <c r="A3503" t="str">
        <f>IFERROR(__xludf.DUMMYFUNCTION("""COMPUTED_VALUE"""),"CaptainMcFunk")</f>
        <v>CaptainMcFunk</v>
      </c>
      <c r="B3503" t="str">
        <f>IFERROR(__xludf.DUMMYFUNCTION("""COMPUTED_VALUE"""),"Little Rock")</f>
        <v>Little Rock</v>
      </c>
      <c r="C3503" t="str">
        <f>IFERROR(__xludf.DUMMYFUNCTION("""COMPUTED_VALUE"""),"AR")</f>
        <v>AR</v>
      </c>
      <c r="D3503" t="str">
        <f>IFERROR(__xludf.DUMMYFUNCTION("""COMPUTED_VALUE"""),"USA")</f>
        <v>USA</v>
      </c>
      <c r="E3503" s="188">
        <f>IFERROR(__xludf.DUMMYFUNCTION("""COMPUTED_VALUE"""),44429.0)</f>
        <v>44429</v>
      </c>
      <c r="F3503" s="188">
        <f>IFERROR(__xludf.DUMMYFUNCTION("""COMPUTED_VALUE"""),44439.0)</f>
        <v>44439</v>
      </c>
      <c r="G3503" t="str">
        <f>IFERROR(__xludf.DUMMYFUNCTION("""COMPUTED_VALUE"""),"Manage order page (normal text)")</f>
        <v>Manage order page (normal text)</v>
      </c>
      <c r="H3503">
        <f>IFERROR(__xludf.DUMMYFUNCTION("""COMPUTED_VALUE"""),55103.0)</f>
        <v>55103</v>
      </c>
      <c r="K3503">
        <f>IFERROR(__xludf.DUMMYFUNCTION("""COMPUTED_VALUE"""),10.0)</f>
        <v>10</v>
      </c>
      <c r="N3503" t="str">
        <f>IFERROR(__xludf.DUMMYFUNCTION("""COMPUTED_VALUE"""),"Model 3 Performance")</f>
        <v>Model 3 Performance</v>
      </c>
      <c r="O3503" t="str">
        <f>IFERROR(__xludf.DUMMYFUNCTION("""COMPUTED_VALUE"""),"Solid Black")</f>
        <v>Solid Black</v>
      </c>
      <c r="P3503" t="str">
        <f>IFERROR(__xludf.DUMMYFUNCTION("""COMPUTED_VALUE"""),"20 inch")</f>
        <v>20 inch</v>
      </c>
      <c r="Q3503" t="str">
        <f>IFERROR(__xludf.DUMMYFUNCTION("""COMPUTED_VALUE"""),"All Black")</f>
        <v>All Black</v>
      </c>
      <c r="R3503" t="str">
        <f>IFERROR(__xludf.DUMMYFUNCTION("""COMPUTED_VALUE"""),"Autopilot included")</f>
        <v>Autopilot included</v>
      </c>
      <c r="S3503" t="str">
        <f>IFERROR(__xludf.DUMMYFUNCTION("""COMPUTED_VALUE"""),"Cash")</f>
        <v>Cash</v>
      </c>
      <c r="U3503" t="str">
        <f>IFERROR(__xludf.DUMMYFUNCTION("""COMPUTED_VALUE"""),"Electric!")</f>
        <v>Electric!</v>
      </c>
      <c r="V3503" t="str">
        <f>IFERROR(__xludf.DUMMYFUNCTION("""COMPUTED_VALUE"""),"Air suspension")</f>
        <v>Air suspension</v>
      </c>
      <c r="AH3503" s="189">
        <f>IFERROR(__xludf.DUMMYFUNCTION("""COMPUTED_VALUE"""),44452.57054854167)</f>
        <v>44452.57055</v>
      </c>
    </row>
    <row r="3504">
      <c r="A3504" t="str">
        <f>IFERROR(__xludf.DUMMYFUNCTION("""COMPUTED_VALUE"""),"jzv")</f>
        <v>jzv</v>
      </c>
      <c r="B3504" t="str">
        <f>IFERROR(__xludf.DUMMYFUNCTION("""COMPUTED_VALUE"""),"Olympia")</f>
        <v>Olympia</v>
      </c>
      <c r="C3504" t="str">
        <f>IFERROR(__xludf.DUMMYFUNCTION("""COMPUTED_VALUE"""),"WA")</f>
        <v>WA</v>
      </c>
      <c r="D3504" t="str">
        <f>IFERROR(__xludf.DUMMYFUNCTION("""COMPUTED_VALUE"""),"USA")</f>
        <v>USA</v>
      </c>
      <c r="E3504" s="188">
        <f>IFERROR(__xludf.DUMMYFUNCTION("""COMPUTED_VALUE"""),44407.0)</f>
        <v>44407</v>
      </c>
      <c r="F3504" s="188">
        <f>IFERROR(__xludf.DUMMYFUNCTION("""COMPUTED_VALUE"""),44454.0)</f>
        <v>44454</v>
      </c>
      <c r="G3504" t="str">
        <f>IFERROR(__xludf.DUMMYFUNCTION("""COMPUTED_VALUE"""),"Email")</f>
        <v>Email</v>
      </c>
      <c r="H3504">
        <f>IFERROR(__xludf.DUMMYFUNCTION("""COMPUTED_VALUE"""),67465.0)</f>
        <v>67465</v>
      </c>
      <c r="J3504" s="188">
        <f>IFERROR(__xludf.DUMMYFUNCTION("""COMPUTED_VALUE"""),44460.0)</f>
        <v>44460</v>
      </c>
      <c r="K3504">
        <f>IFERROR(__xludf.DUMMYFUNCTION("""COMPUTED_VALUE"""),47.0)</f>
        <v>47</v>
      </c>
      <c r="L3504">
        <f>IFERROR(__xludf.DUMMYFUNCTION("""COMPUTED_VALUE"""),6.0)</f>
        <v>6</v>
      </c>
      <c r="M3504">
        <f>IFERROR(__xludf.DUMMYFUNCTION("""COMPUTED_VALUE"""),53.0)</f>
        <v>53</v>
      </c>
      <c r="N3504" t="str">
        <f>IFERROR(__xludf.DUMMYFUNCTION("""COMPUTED_VALUE"""),"Model 3 LR AWD")</f>
        <v>Model 3 LR AWD</v>
      </c>
      <c r="O3504" t="str">
        <f>IFERROR(__xludf.DUMMYFUNCTION("""COMPUTED_VALUE"""),"Solid Black")</f>
        <v>Solid Black</v>
      </c>
      <c r="P3504" t="str">
        <f>IFERROR(__xludf.DUMMYFUNCTION("""COMPUTED_VALUE"""),"18 inch")</f>
        <v>18 inch</v>
      </c>
      <c r="Q3504" t="str">
        <f>IFERROR(__xludf.DUMMYFUNCTION("""COMPUTED_VALUE"""),"All Black")</f>
        <v>All Black</v>
      </c>
      <c r="R3504" t="str">
        <f>IFERROR(__xludf.DUMMYFUNCTION("""COMPUTED_VALUE"""),"Autopilot included")</f>
        <v>Autopilot included</v>
      </c>
      <c r="S3504" t="str">
        <f>IFERROR(__xludf.DUMMYFUNCTION("""COMPUTED_VALUE"""),"Loan")</f>
        <v>Loan</v>
      </c>
      <c r="T3504" t="str">
        <f>IFERROR(__xludf.DUMMYFUNCTION("""COMPUTED_VALUE"""),"Honda Insight")</f>
        <v>Honda Insight</v>
      </c>
      <c r="U3504" t="str">
        <f>IFERROR(__xludf.DUMMYFUNCTION("""COMPUTED_VALUE"""),"Electric!")</f>
        <v>Electric!</v>
      </c>
      <c r="V3504" t="str">
        <f>IFERROR(__xludf.DUMMYFUNCTION("""COMPUTED_VALUE"""),"HomeLink")</f>
        <v>HomeLink</v>
      </c>
      <c r="AH3504" s="189">
        <f>IFERROR(__xludf.DUMMYFUNCTION("""COMPUTED_VALUE"""),44455.76342847222)</f>
        <v>44455.76343</v>
      </c>
    </row>
    <row r="3505">
      <c r="A3505" t="str">
        <f>IFERROR(__xludf.DUMMYFUNCTION("""COMPUTED_VALUE"""),"litz")</f>
        <v>litz</v>
      </c>
      <c r="B3505" t="str">
        <f>IFERROR(__xludf.DUMMYFUNCTION("""COMPUTED_VALUE"""),"Sunnyvale")</f>
        <v>Sunnyvale</v>
      </c>
      <c r="C3505" t="str">
        <f>IFERROR(__xludf.DUMMYFUNCTION("""COMPUTED_VALUE"""),"CA")</f>
        <v>CA</v>
      </c>
      <c r="D3505" t="str">
        <f>IFERROR(__xludf.DUMMYFUNCTION("""COMPUTED_VALUE"""),"USA")</f>
        <v>USA</v>
      </c>
      <c r="E3505" s="188">
        <f>IFERROR(__xludf.DUMMYFUNCTION("""COMPUTED_VALUE"""),44428.0)</f>
        <v>44428</v>
      </c>
      <c r="F3505" s="188">
        <f>IFERROR(__xludf.DUMMYFUNCTION("""COMPUTED_VALUE"""),44464.0)</f>
        <v>44464</v>
      </c>
      <c r="G3505" t="str">
        <f>IFERROR(__xludf.DUMMYFUNCTION("""COMPUTED_VALUE"""),"Manage order page (normal text)")</f>
        <v>Manage order page (normal text)</v>
      </c>
      <c r="I3505" t="str">
        <f>IFERROR(__xludf.DUMMYFUNCTION("""COMPUTED_VALUE"""),"09/21")</f>
        <v>09/21</v>
      </c>
      <c r="J3505" s="188">
        <f>IFERROR(__xludf.DUMMYFUNCTION("""COMPUTED_VALUE"""),44464.0)</f>
        <v>44464</v>
      </c>
      <c r="K3505">
        <f>IFERROR(__xludf.DUMMYFUNCTION("""COMPUTED_VALUE"""),36.0)</f>
        <v>36</v>
      </c>
      <c r="L3505">
        <f>IFERROR(__xludf.DUMMYFUNCTION("""COMPUTED_VALUE"""),0.0)</f>
        <v>0</v>
      </c>
      <c r="M3505">
        <f>IFERROR(__xludf.DUMMYFUNCTION("""COMPUTED_VALUE"""),36.0)</f>
        <v>36</v>
      </c>
      <c r="N3505" t="str">
        <f>IFERROR(__xludf.DUMMYFUNCTION("""COMPUTED_VALUE"""),"Model 3 SR+")</f>
        <v>Model 3 SR+</v>
      </c>
      <c r="O3505" t="str">
        <f>IFERROR(__xludf.DUMMYFUNCTION("""COMPUTED_VALUE"""),"Red Multi-Coat")</f>
        <v>Red Multi-Coat</v>
      </c>
      <c r="P3505" t="str">
        <f>IFERROR(__xludf.DUMMYFUNCTION("""COMPUTED_VALUE"""),"19 inch")</f>
        <v>19 inch</v>
      </c>
      <c r="Q3505" t="str">
        <f>IFERROR(__xludf.DUMMYFUNCTION("""COMPUTED_VALUE"""),"Black and White")</f>
        <v>Black and White</v>
      </c>
      <c r="R3505" t="str">
        <f>IFERROR(__xludf.DUMMYFUNCTION("""COMPUTED_VALUE"""),"Autopilot included")</f>
        <v>Autopilot included</v>
      </c>
      <c r="S3505" t="str">
        <f>IFERROR(__xludf.DUMMYFUNCTION("""COMPUTED_VALUE"""),"Loan")</f>
        <v>Loan</v>
      </c>
      <c r="T3505" t="str">
        <f>IFERROR(__xludf.DUMMYFUNCTION("""COMPUTED_VALUE"""),"Honda CRV")</f>
        <v>Honda CRV</v>
      </c>
      <c r="U3505" t="str">
        <f>IFERROR(__xludf.DUMMYFUNCTION("""COMPUTED_VALUE"""),"Tesla brand image")</f>
        <v>Tesla brand image</v>
      </c>
      <c r="V3505" t="str">
        <f>IFERROR(__xludf.DUMMYFUNCTION("""COMPUTED_VALUE"""),"Ventilated seats")</f>
        <v>Ventilated seats</v>
      </c>
      <c r="X3505" t="str">
        <f>IFERROR(__xludf.DUMMYFUNCTION("""COMPUTED_VALUE"""),"Excellent")</f>
        <v>Excellent</v>
      </c>
      <c r="Y3505" t="str">
        <f>IFERROR(__xludf.DUMMYFUNCTION("""COMPUTED_VALUE"""),"Excellent")</f>
        <v>Excellent</v>
      </c>
      <c r="Z3505" t="str">
        <f>IFERROR(__xludf.DUMMYFUNCTION("""COMPUTED_VALUE"""),"Excellent")</f>
        <v>Excellent</v>
      </c>
      <c r="AA3505" t="str">
        <f>IFERROR(__xludf.DUMMYFUNCTION("""COMPUTED_VALUE"""),"Excellent")</f>
        <v>Excellent</v>
      </c>
      <c r="AB3505" t="str">
        <f>IFERROR(__xludf.DUMMYFUNCTION("""COMPUTED_VALUE"""),"Excellent")</f>
        <v>Excellent</v>
      </c>
      <c r="AF3505" t="str">
        <f>IFERROR(__xludf.DUMMYFUNCTION("""COMPUTED_VALUE"""),"No. I took delivery of the first car Tesla was able to deliver.")</f>
        <v>No. I took delivery of the first car Tesla was able to deliver.</v>
      </c>
      <c r="AH3505" s="189">
        <f>IFERROR(__xludf.DUMMYFUNCTION("""COMPUTED_VALUE"""),44464.70124659722)</f>
        <v>44464.70125</v>
      </c>
    </row>
    <row r="3506">
      <c r="A3506" t="str">
        <f>IFERROR(__xludf.DUMMYFUNCTION("""COMPUTED_VALUE"""),"KFMI")</f>
        <v>KFMI</v>
      </c>
      <c r="B3506" t="str">
        <f>IFERROR(__xludf.DUMMYFUNCTION("""COMPUTED_VALUE"""),"Dundee")</f>
        <v>Dundee</v>
      </c>
      <c r="C3506" t="str">
        <f>IFERROR(__xludf.DUMMYFUNCTION("""COMPUTED_VALUE"""),"QC")</f>
        <v>QC</v>
      </c>
      <c r="D3506" t="str">
        <f>IFERROR(__xludf.DUMMYFUNCTION("""COMPUTED_VALUE"""),"Canada")</f>
        <v>Canada</v>
      </c>
      <c r="E3506" s="188">
        <f>IFERROR(__xludf.DUMMYFUNCTION("""COMPUTED_VALUE"""),44404.0)</f>
        <v>44404</v>
      </c>
      <c r="F3506" s="188">
        <f>IFERROR(__xludf.DUMMYFUNCTION("""COMPUTED_VALUE"""),44481.0)</f>
        <v>44481</v>
      </c>
      <c r="G3506" t="str">
        <f>IFERROR(__xludf.DUMMYFUNCTION("""COMPUTED_VALUE"""),"Source code")</f>
        <v>Source code</v>
      </c>
      <c r="J3506" s="188">
        <f>IFERROR(__xludf.DUMMYFUNCTION("""COMPUTED_VALUE"""),44491.0)</f>
        <v>44491</v>
      </c>
      <c r="K3506">
        <f>IFERROR(__xludf.DUMMYFUNCTION("""COMPUTED_VALUE"""),77.0)</f>
        <v>77</v>
      </c>
      <c r="L3506">
        <f>IFERROR(__xludf.DUMMYFUNCTION("""COMPUTED_VALUE"""),10.0)</f>
        <v>10</v>
      </c>
      <c r="M3506">
        <f>IFERROR(__xludf.DUMMYFUNCTION("""COMPUTED_VALUE"""),87.0)</f>
        <v>87</v>
      </c>
      <c r="N3506" t="str">
        <f>IFERROR(__xludf.DUMMYFUNCTION("""COMPUTED_VALUE"""),"Model 3 SR+")</f>
        <v>Model 3 SR+</v>
      </c>
      <c r="O3506" t="str">
        <f>IFERROR(__xludf.DUMMYFUNCTION("""COMPUTED_VALUE"""),"Red Multi-Coat")</f>
        <v>Red Multi-Coat</v>
      </c>
      <c r="P3506" t="str">
        <f>IFERROR(__xludf.DUMMYFUNCTION("""COMPUTED_VALUE"""),"18 inch")</f>
        <v>18 inch</v>
      </c>
      <c r="Q3506" t="str">
        <f>IFERROR(__xludf.DUMMYFUNCTION("""COMPUTED_VALUE"""),"All Black")</f>
        <v>All Black</v>
      </c>
      <c r="R3506" t="str">
        <f>IFERROR(__xludf.DUMMYFUNCTION("""COMPUTED_VALUE"""),"Autopilot included")</f>
        <v>Autopilot included</v>
      </c>
      <c r="S3506" t="str">
        <f>IFERROR(__xludf.DUMMYFUNCTION("""COMPUTED_VALUE"""),"Loan")</f>
        <v>Loan</v>
      </c>
      <c r="T3506" t="str">
        <f>IFERROR(__xludf.DUMMYFUNCTION("""COMPUTED_VALUE"""),"Honda Accord")</f>
        <v>Honda Accord</v>
      </c>
      <c r="U3506" t="str">
        <f>IFERROR(__xludf.DUMMYFUNCTION("""COMPUTED_VALUE"""),"Electric!")</f>
        <v>Electric!</v>
      </c>
      <c r="V3506" t="str">
        <f>IFERROR(__xludf.DUMMYFUNCTION("""COMPUTED_VALUE"""),"Bioweapon defense mode")</f>
        <v>Bioweapon defense mode</v>
      </c>
      <c r="X3506" t="str">
        <f>IFERROR(__xludf.DUMMYFUNCTION("""COMPUTED_VALUE"""),"Excellent")</f>
        <v>Excellent</v>
      </c>
      <c r="Y3506" t="str">
        <f>IFERROR(__xludf.DUMMYFUNCTION("""COMPUTED_VALUE"""),"Excellent")</f>
        <v>Excellent</v>
      </c>
      <c r="Z3506" t="str">
        <f>IFERROR(__xludf.DUMMYFUNCTION("""COMPUTED_VALUE"""),"Excellent")</f>
        <v>Excellent</v>
      </c>
      <c r="AA3506" t="str">
        <f>IFERROR(__xludf.DUMMYFUNCTION("""COMPUTED_VALUE"""),"Excellent")</f>
        <v>Excellent</v>
      </c>
      <c r="AB3506" t="str">
        <f>IFERROR(__xludf.DUMMYFUNCTION("""COMPUTED_VALUE"""),"Excellent")</f>
        <v>Excellent</v>
      </c>
      <c r="AC3506">
        <f>IFERROR(__xludf.DUMMYFUNCTION("""COMPUTED_VALUE"""),0.0)</f>
        <v>0</v>
      </c>
      <c r="AF3506" t="str">
        <f>IFERROR(__xludf.DUMMYFUNCTION("""COMPUTED_VALUE"""),"No. I took delivery of the first car Tesla was able to deliver.")</f>
        <v>No. I took delivery of the first car Tesla was able to deliver.</v>
      </c>
      <c r="AH3506" s="189">
        <f>IFERROR(__xludf.DUMMYFUNCTION("""COMPUTED_VALUE"""),44493.262521979166)</f>
        <v>44493.26252</v>
      </c>
    </row>
    <row r="3507">
      <c r="A3507" t="str">
        <f>IFERROR(__xludf.DUMMYFUNCTION("""COMPUTED_VALUE"""),"chrdumas")</f>
        <v>chrdumas</v>
      </c>
      <c r="B3507" t="str">
        <f>IFERROR(__xludf.DUMMYFUNCTION("""COMPUTED_VALUE"""),"Laval")</f>
        <v>Laval</v>
      </c>
      <c r="C3507" t="str">
        <f>IFERROR(__xludf.DUMMYFUNCTION("""COMPUTED_VALUE"""),"QC")</f>
        <v>QC</v>
      </c>
      <c r="D3507" t="str">
        <f>IFERROR(__xludf.DUMMYFUNCTION("""COMPUTED_VALUE"""),"Canada")</f>
        <v>Canada</v>
      </c>
      <c r="E3507" s="188">
        <f>IFERROR(__xludf.DUMMYFUNCTION("""COMPUTED_VALUE"""),44414.0)</f>
        <v>44414</v>
      </c>
      <c r="F3507" s="188">
        <f>IFERROR(__xludf.DUMMYFUNCTION("""COMPUTED_VALUE"""),44491.0)</f>
        <v>44491</v>
      </c>
      <c r="G3507" t="str">
        <f>IFERROR(__xludf.DUMMYFUNCTION("""COMPUTED_VALUE"""),"Source code")</f>
        <v>Source code</v>
      </c>
      <c r="J3507" s="188">
        <f>IFERROR(__xludf.DUMMYFUNCTION("""COMPUTED_VALUE"""),44504.0)</f>
        <v>44504</v>
      </c>
      <c r="K3507">
        <f>IFERROR(__xludf.DUMMYFUNCTION("""COMPUTED_VALUE"""),77.0)</f>
        <v>77</v>
      </c>
      <c r="L3507">
        <f>IFERROR(__xludf.DUMMYFUNCTION("""COMPUTED_VALUE"""),13.0)</f>
        <v>13</v>
      </c>
      <c r="M3507">
        <f>IFERROR(__xludf.DUMMYFUNCTION("""COMPUTED_VALUE"""),90.0)</f>
        <v>90</v>
      </c>
      <c r="N3507" t="str">
        <f>IFERROR(__xludf.DUMMYFUNCTION("""COMPUTED_VALUE"""),"Model 3 SR+")</f>
        <v>Model 3 SR+</v>
      </c>
      <c r="O3507" t="str">
        <f>IFERROR(__xludf.DUMMYFUNCTION("""COMPUTED_VALUE"""),"Pearl White Multi-Coat")</f>
        <v>Pearl White Multi-Coat</v>
      </c>
      <c r="P3507" t="str">
        <f>IFERROR(__xludf.DUMMYFUNCTION("""COMPUTED_VALUE"""),"18 inch")</f>
        <v>18 inch</v>
      </c>
      <c r="Q3507" t="str">
        <f>IFERROR(__xludf.DUMMYFUNCTION("""COMPUTED_VALUE"""),"All Black")</f>
        <v>All Black</v>
      </c>
      <c r="R3507" t="str">
        <f>IFERROR(__xludf.DUMMYFUNCTION("""COMPUTED_VALUE"""),"Autopilot included")</f>
        <v>Autopilot included</v>
      </c>
      <c r="S3507" t="str">
        <f>IFERROR(__xludf.DUMMYFUNCTION("""COMPUTED_VALUE"""),"Loan")</f>
        <v>Loan</v>
      </c>
      <c r="T3507" t="str">
        <f>IFERROR(__xludf.DUMMYFUNCTION("""COMPUTED_VALUE"""),"BMW 3 Series")</f>
        <v>BMW 3 Series</v>
      </c>
      <c r="U3507" t="str">
        <f>IFERROR(__xludf.DUMMYFUNCTION("""COMPUTED_VALUE"""),"Electric!")</f>
        <v>Electric!</v>
      </c>
      <c r="V3507" t="str">
        <f>IFERROR(__xludf.DUMMYFUNCTION("""COMPUTED_VALUE"""),"Apple CarPlay / Android Auto / SiriusXM Radio")</f>
        <v>Apple CarPlay / Android Auto / SiriusXM Radio</v>
      </c>
      <c r="AH3507" s="189">
        <f>IFERROR(__xludf.DUMMYFUNCTION("""COMPUTED_VALUE"""),44497.5997115162)</f>
        <v>44497.59971</v>
      </c>
    </row>
    <row r="3508">
      <c r="A3508" t="str">
        <f>IFERROR(__xludf.DUMMYFUNCTION("""COMPUTED_VALUE"""),"Sverdrup")</f>
        <v>Sverdrup</v>
      </c>
      <c r="B3508" t="str">
        <f>IFERROR(__xludf.DUMMYFUNCTION("""COMPUTED_VALUE"""),"Quebec city")</f>
        <v>Quebec city</v>
      </c>
      <c r="C3508" t="str">
        <f>IFERROR(__xludf.DUMMYFUNCTION("""COMPUTED_VALUE"""),"QC")</f>
        <v>QC</v>
      </c>
      <c r="D3508" t="str">
        <f>IFERROR(__xludf.DUMMYFUNCTION("""COMPUTED_VALUE"""),"Canada")</f>
        <v>Canada</v>
      </c>
      <c r="E3508" s="188">
        <f>IFERROR(__xludf.DUMMYFUNCTION("""COMPUTED_VALUE"""),44409.0)</f>
        <v>44409</v>
      </c>
      <c r="F3508" s="188">
        <f>IFERROR(__xludf.DUMMYFUNCTION("""COMPUTED_VALUE"""),44492.0)</f>
        <v>44492</v>
      </c>
      <c r="G3508" t="str">
        <f>IFERROR(__xludf.DUMMYFUNCTION("""COMPUTED_VALUE"""),"MVPA")</f>
        <v>MVPA</v>
      </c>
      <c r="J3508" s="188">
        <f>IFERROR(__xludf.DUMMYFUNCTION("""COMPUTED_VALUE"""),44509.0)</f>
        <v>44509</v>
      </c>
      <c r="K3508">
        <f>IFERROR(__xludf.DUMMYFUNCTION("""COMPUTED_VALUE"""),83.0)</f>
        <v>83</v>
      </c>
      <c r="L3508">
        <f>IFERROR(__xludf.DUMMYFUNCTION("""COMPUTED_VALUE"""),17.0)</f>
        <v>17</v>
      </c>
      <c r="M3508">
        <f>IFERROR(__xludf.DUMMYFUNCTION("""COMPUTED_VALUE"""),100.0)</f>
        <v>100</v>
      </c>
      <c r="N3508" t="str">
        <f>IFERROR(__xludf.DUMMYFUNCTION("""COMPUTED_VALUE"""),"Model 3 SR+")</f>
        <v>Model 3 SR+</v>
      </c>
      <c r="O3508" t="str">
        <f>IFERROR(__xludf.DUMMYFUNCTION("""COMPUTED_VALUE"""),"Midnight Silver Metallic")</f>
        <v>Midnight Silver Metallic</v>
      </c>
      <c r="P3508" t="str">
        <f>IFERROR(__xludf.DUMMYFUNCTION("""COMPUTED_VALUE"""),"18 inch")</f>
        <v>18 inch</v>
      </c>
      <c r="Q3508" t="str">
        <f>IFERROR(__xludf.DUMMYFUNCTION("""COMPUTED_VALUE"""),"All Black")</f>
        <v>All Black</v>
      </c>
      <c r="R3508" t="str">
        <f>IFERROR(__xludf.DUMMYFUNCTION("""COMPUTED_VALUE"""),"Autopilot included")</f>
        <v>Autopilot included</v>
      </c>
      <c r="S3508" t="str">
        <f>IFERROR(__xludf.DUMMYFUNCTION("""COMPUTED_VALUE"""),"Cash")</f>
        <v>Cash</v>
      </c>
      <c r="T3508" t="str">
        <f>IFERROR(__xludf.DUMMYFUNCTION("""COMPUTED_VALUE"""),"Chevy Bolt")</f>
        <v>Chevy Bolt</v>
      </c>
      <c r="U3508" t="str">
        <f>IFERROR(__xludf.DUMMYFUNCTION("""COMPUTED_VALUE"""),"Electric!")</f>
        <v>Electric!</v>
      </c>
      <c r="AH3508" s="189">
        <f>IFERROR(__xludf.DUMMYFUNCTION("""COMPUTED_VALUE"""),44503.17802721065)</f>
        <v>44503.17803</v>
      </c>
    </row>
    <row r="3509">
      <c r="A3509" t="str">
        <f>IFERROR(__xludf.DUMMYFUNCTION("""COMPUTED_VALUE"""),"Mithre")</f>
        <v>Mithre</v>
      </c>
      <c r="B3509" t="str">
        <f>IFERROR(__xludf.DUMMYFUNCTION("""COMPUTED_VALUE"""),"Rockville")</f>
        <v>Rockville</v>
      </c>
      <c r="C3509" t="str">
        <f>IFERROR(__xludf.DUMMYFUNCTION("""COMPUTED_VALUE"""),"MD")</f>
        <v>MD</v>
      </c>
      <c r="D3509" t="str">
        <f>IFERROR(__xludf.DUMMYFUNCTION("""COMPUTED_VALUE"""),"USA")</f>
        <v>USA</v>
      </c>
      <c r="E3509" s="188">
        <f>IFERROR(__xludf.DUMMYFUNCTION("""COMPUTED_VALUE"""),44453.0)</f>
        <v>44453</v>
      </c>
      <c r="N3509" t="str">
        <f>IFERROR(__xludf.DUMMYFUNCTION("""COMPUTED_VALUE"""),"Model 3 LR AWD")</f>
        <v>Model 3 LR AWD</v>
      </c>
      <c r="O3509" t="str">
        <f>IFERROR(__xludf.DUMMYFUNCTION("""COMPUTED_VALUE"""),"Deep Blue Metallic")</f>
        <v>Deep Blue Metallic</v>
      </c>
      <c r="P3509" t="str">
        <f>IFERROR(__xludf.DUMMYFUNCTION("""COMPUTED_VALUE"""),"18 inch")</f>
        <v>18 inch</v>
      </c>
      <c r="Q3509" t="str">
        <f>IFERROR(__xludf.DUMMYFUNCTION("""COMPUTED_VALUE"""),"All Black")</f>
        <v>All Black</v>
      </c>
      <c r="R3509" t="str">
        <f>IFERROR(__xludf.DUMMYFUNCTION("""COMPUTED_VALUE"""),"Autopilot included")</f>
        <v>Autopilot included</v>
      </c>
      <c r="S3509" t="str">
        <f>IFERROR(__xludf.DUMMYFUNCTION("""COMPUTED_VALUE"""),"Cash")</f>
        <v>Cash</v>
      </c>
      <c r="T3509" t="str">
        <f>IFERROR(__xludf.DUMMYFUNCTION("""COMPUTED_VALUE"""),"Pontiac G6")</f>
        <v>Pontiac G6</v>
      </c>
      <c r="U3509" t="str">
        <f>IFERROR(__xludf.DUMMYFUNCTION("""COMPUTED_VALUE"""),"Electric!")</f>
        <v>Electric!</v>
      </c>
      <c r="V3509" t="str">
        <f>IFERROR(__xludf.DUMMYFUNCTION("""COMPUTED_VALUE"""),"Head-up display")</f>
        <v>Head-up display</v>
      </c>
      <c r="AH3509" s="189">
        <f>IFERROR(__xludf.DUMMYFUNCTION("""COMPUTED_VALUE"""),44453.547855509256)</f>
        <v>44453.54786</v>
      </c>
    </row>
    <row r="3510">
      <c r="A3510" t="str">
        <f>IFERROR(__xludf.DUMMYFUNCTION("""COMPUTED_VALUE"""),"Sbahog")</f>
        <v>Sbahog</v>
      </c>
      <c r="B3510" t="str">
        <f>IFERROR(__xludf.DUMMYFUNCTION("""COMPUTED_VALUE"""),"Montreal")</f>
        <v>Montreal</v>
      </c>
      <c r="C3510" t="str">
        <f>IFERROR(__xludf.DUMMYFUNCTION("""COMPUTED_VALUE"""),"QC")</f>
        <v>QC</v>
      </c>
      <c r="D3510" t="str">
        <f>IFERROR(__xludf.DUMMYFUNCTION("""COMPUTED_VALUE"""),"Canada")</f>
        <v>Canada</v>
      </c>
      <c r="E3510" s="188">
        <f>IFERROR(__xludf.DUMMYFUNCTION("""COMPUTED_VALUE"""),44418.0)</f>
        <v>44418</v>
      </c>
      <c r="F3510" s="188">
        <f>IFERROR(__xludf.DUMMYFUNCTION("""COMPUTED_VALUE"""),44505.0)</f>
        <v>44505</v>
      </c>
      <c r="G3510" t="str">
        <f>IFERROR(__xludf.DUMMYFUNCTION("""COMPUTED_VALUE"""),"Email")</f>
        <v>Email</v>
      </c>
      <c r="K3510">
        <f>IFERROR(__xludf.DUMMYFUNCTION("""COMPUTED_VALUE"""),87.0)</f>
        <v>87</v>
      </c>
      <c r="N3510" t="str">
        <f>IFERROR(__xludf.DUMMYFUNCTION("""COMPUTED_VALUE"""),"Model 3 SR+")</f>
        <v>Model 3 SR+</v>
      </c>
      <c r="O3510" t="str">
        <f>IFERROR(__xludf.DUMMYFUNCTION("""COMPUTED_VALUE"""),"Solid Black")</f>
        <v>Solid Black</v>
      </c>
      <c r="P3510" t="str">
        <f>IFERROR(__xludf.DUMMYFUNCTION("""COMPUTED_VALUE"""),"18 inch")</f>
        <v>18 inch</v>
      </c>
      <c r="Q3510" t="str">
        <f>IFERROR(__xludf.DUMMYFUNCTION("""COMPUTED_VALUE"""),"All Black")</f>
        <v>All Black</v>
      </c>
      <c r="R3510" t="str">
        <f>IFERROR(__xludf.DUMMYFUNCTION("""COMPUTED_VALUE"""),"Autopilot included")</f>
        <v>Autopilot included</v>
      </c>
      <c r="S3510" t="str">
        <f>IFERROR(__xludf.DUMMYFUNCTION("""COMPUTED_VALUE"""),"Loan")</f>
        <v>Loan</v>
      </c>
      <c r="T3510" t="str">
        <f>IFERROR(__xludf.DUMMYFUNCTION("""COMPUTED_VALUE"""),"Mazda CX-5")</f>
        <v>Mazda CX-5</v>
      </c>
      <c r="U3510" t="str">
        <f>IFERROR(__xludf.DUMMYFUNCTION("""COMPUTED_VALUE"""),"Electric!")</f>
        <v>Electric!</v>
      </c>
      <c r="V3510" t="str">
        <f>IFERROR(__xludf.DUMMYFUNCTION("""COMPUTED_VALUE"""),"Heated steering wheel")</f>
        <v>Heated steering wheel</v>
      </c>
      <c r="AH3510" s="189">
        <f>IFERROR(__xludf.DUMMYFUNCTION("""COMPUTED_VALUE"""),44508.59121194444)</f>
        <v>44508.59121</v>
      </c>
    </row>
    <row r="3511">
      <c r="A3511" t="str">
        <f>IFERROR(__xludf.DUMMYFUNCTION("""COMPUTED_VALUE"""),"AmelieS")</f>
        <v>AmelieS</v>
      </c>
      <c r="B3511" t="str">
        <f>IFERROR(__xludf.DUMMYFUNCTION("""COMPUTED_VALUE"""),"Mirabel")</f>
        <v>Mirabel</v>
      </c>
      <c r="C3511" t="str">
        <f>IFERROR(__xludf.DUMMYFUNCTION("""COMPUTED_VALUE"""),"QC")</f>
        <v>QC</v>
      </c>
      <c r="D3511" t="str">
        <f>IFERROR(__xludf.DUMMYFUNCTION("""COMPUTED_VALUE"""),"Canada")</f>
        <v>Canada</v>
      </c>
      <c r="E3511" s="188">
        <f>IFERROR(__xludf.DUMMYFUNCTION("""COMPUTED_VALUE"""),44436.0)</f>
        <v>44436</v>
      </c>
      <c r="N3511" t="str">
        <f>IFERROR(__xludf.DUMMYFUNCTION("""COMPUTED_VALUE"""),"Model 3 SR+")</f>
        <v>Model 3 SR+</v>
      </c>
      <c r="O3511" t="str">
        <f>IFERROR(__xludf.DUMMYFUNCTION("""COMPUTED_VALUE"""),"Solid Black")</f>
        <v>Solid Black</v>
      </c>
      <c r="P3511" t="str">
        <f>IFERROR(__xludf.DUMMYFUNCTION("""COMPUTED_VALUE"""),"18 inch")</f>
        <v>18 inch</v>
      </c>
      <c r="Q3511" t="str">
        <f>IFERROR(__xludf.DUMMYFUNCTION("""COMPUTED_VALUE"""),"All Black")</f>
        <v>All Black</v>
      </c>
      <c r="R3511" t="str">
        <f>IFERROR(__xludf.DUMMYFUNCTION("""COMPUTED_VALUE"""),"Autopilot included")</f>
        <v>Autopilot included</v>
      </c>
      <c r="S3511" t="str">
        <f>IFERROR(__xludf.DUMMYFUNCTION("""COMPUTED_VALUE"""),"Loan")</f>
        <v>Loan</v>
      </c>
      <c r="U3511" t="str">
        <f>IFERROR(__xludf.DUMMYFUNCTION("""COMPUTED_VALUE"""),"Tesla brand image")</f>
        <v>Tesla brand image</v>
      </c>
      <c r="Z3511" t="str">
        <f>IFERROR(__xludf.DUMMYFUNCTION("""COMPUTED_VALUE"""),"Good")</f>
        <v>Good</v>
      </c>
      <c r="AH3511" s="189">
        <f>IFERROR(__xludf.DUMMYFUNCTION("""COMPUTED_VALUE"""),44454.35542021991)</f>
        <v>44454.35542</v>
      </c>
    </row>
    <row r="3512">
      <c r="A3512" t="str">
        <f>IFERROR(__xludf.DUMMYFUNCTION("""COMPUTED_VALUE"""),"gabb")</f>
        <v>gabb</v>
      </c>
      <c r="B3512" t="str">
        <f>IFERROR(__xludf.DUMMYFUNCTION("""COMPUTED_VALUE"""),"Milpitas")</f>
        <v>Milpitas</v>
      </c>
      <c r="C3512" t="str">
        <f>IFERROR(__xludf.DUMMYFUNCTION("""COMPUTED_VALUE"""),"CA")</f>
        <v>CA</v>
      </c>
      <c r="D3512" t="str">
        <f>IFERROR(__xludf.DUMMYFUNCTION("""COMPUTED_VALUE"""),"USA")</f>
        <v>USA</v>
      </c>
      <c r="E3512" s="188">
        <f>IFERROR(__xludf.DUMMYFUNCTION("""COMPUTED_VALUE"""),44453.0)</f>
        <v>44453</v>
      </c>
      <c r="F3512" s="188">
        <f>IFERROR(__xludf.DUMMYFUNCTION("""COMPUTED_VALUE"""),44509.0)</f>
        <v>44509</v>
      </c>
      <c r="G3512" t="str">
        <f>IFERROR(__xludf.DUMMYFUNCTION("""COMPUTED_VALUE"""),"MVPA")</f>
        <v>MVPA</v>
      </c>
      <c r="H3512">
        <f>IFERROR(__xludf.DUMMYFUNCTION("""COMPUTED_VALUE"""),107055.0)</f>
        <v>107055</v>
      </c>
      <c r="K3512">
        <f>IFERROR(__xludf.DUMMYFUNCTION("""COMPUTED_VALUE"""),56.0)</f>
        <v>56</v>
      </c>
      <c r="N3512" t="str">
        <f>IFERROR(__xludf.DUMMYFUNCTION("""COMPUTED_VALUE"""),"Model 3 LR AWD")</f>
        <v>Model 3 LR AWD</v>
      </c>
      <c r="O3512" t="str">
        <f>IFERROR(__xludf.DUMMYFUNCTION("""COMPUTED_VALUE"""),"Red Multi-Coat")</f>
        <v>Red Multi-Coat</v>
      </c>
      <c r="P3512" t="str">
        <f>IFERROR(__xludf.DUMMYFUNCTION("""COMPUTED_VALUE"""),"19 inch")</f>
        <v>19 inch</v>
      </c>
      <c r="Q3512" t="str">
        <f>IFERROR(__xludf.DUMMYFUNCTION("""COMPUTED_VALUE"""),"All Black")</f>
        <v>All Black</v>
      </c>
      <c r="R3512" t="str">
        <f>IFERROR(__xludf.DUMMYFUNCTION("""COMPUTED_VALUE"""),"Autopilot included")</f>
        <v>Autopilot included</v>
      </c>
      <c r="S3512" t="str">
        <f>IFERROR(__xludf.DUMMYFUNCTION("""COMPUTED_VALUE"""),"Loan")</f>
        <v>Loan</v>
      </c>
      <c r="T3512" t="str">
        <f>IFERROR(__xludf.DUMMYFUNCTION("""COMPUTED_VALUE"""),"BMW i3")</f>
        <v>BMW i3</v>
      </c>
      <c r="U3512" t="str">
        <f>IFERROR(__xludf.DUMMYFUNCTION("""COMPUTED_VALUE"""),"all the above")</f>
        <v>all the above</v>
      </c>
      <c r="V3512" t="str">
        <f>IFERROR(__xludf.DUMMYFUNCTION("""COMPUTED_VALUE"""),"Apple CarPlay / Android Auto / SiriusXM Radio")</f>
        <v>Apple CarPlay / Android Auto / SiriusXM Radio</v>
      </c>
      <c r="AH3512" s="189">
        <f>IFERROR(__xludf.DUMMYFUNCTION("""COMPUTED_VALUE"""),44509.64750083334)</f>
        <v>44509.6475</v>
      </c>
    </row>
    <row r="3513">
      <c r="A3513" t="str">
        <f>IFERROR(__xludf.DUMMYFUNCTION("""COMPUTED_VALUE"""),"autisticmom")</f>
        <v>autisticmom</v>
      </c>
      <c r="B3513" t="str">
        <f>IFERROR(__xludf.DUMMYFUNCTION("""COMPUTED_VALUE"""),"Temecula ")</f>
        <v>Temecula </v>
      </c>
      <c r="C3513" t="str">
        <f>IFERROR(__xludf.DUMMYFUNCTION("""COMPUTED_VALUE"""),"CA")</f>
        <v>CA</v>
      </c>
      <c r="D3513" t="str">
        <f>IFERROR(__xludf.DUMMYFUNCTION("""COMPUTED_VALUE"""),"USA")</f>
        <v>USA</v>
      </c>
      <c r="E3513" s="188">
        <f>IFERROR(__xludf.DUMMYFUNCTION("""COMPUTED_VALUE"""),44442.0)</f>
        <v>44442</v>
      </c>
      <c r="N3513" t="str">
        <f>IFERROR(__xludf.DUMMYFUNCTION("""COMPUTED_VALUE"""),"Model 3 Performance")</f>
        <v>Model 3 Performance</v>
      </c>
      <c r="O3513" t="str">
        <f>IFERROR(__xludf.DUMMYFUNCTION("""COMPUTED_VALUE"""),"Solid Black")</f>
        <v>Solid Black</v>
      </c>
      <c r="P3513" t="str">
        <f>IFERROR(__xludf.DUMMYFUNCTION("""COMPUTED_VALUE"""),"20 inch")</f>
        <v>20 inch</v>
      </c>
      <c r="Q3513" t="str">
        <f>IFERROR(__xludf.DUMMYFUNCTION("""COMPUTED_VALUE"""),"All Black")</f>
        <v>All Black</v>
      </c>
      <c r="R3513" t="str">
        <f>IFERROR(__xludf.DUMMYFUNCTION("""COMPUTED_VALUE"""),"Autopilot included")</f>
        <v>Autopilot included</v>
      </c>
      <c r="S3513" t="str">
        <f>IFERROR(__xludf.DUMMYFUNCTION("""COMPUTED_VALUE"""),"Loan")</f>
        <v>Loan</v>
      </c>
      <c r="T3513" t="str">
        <f>IFERROR(__xludf.DUMMYFUNCTION("""COMPUTED_VALUE"""),"Toyota Tundra")</f>
        <v>Toyota Tundra</v>
      </c>
      <c r="U3513" t="str">
        <f>IFERROR(__xludf.DUMMYFUNCTION("""COMPUTED_VALUE"""),"Electric!")</f>
        <v>Electric!</v>
      </c>
      <c r="V3513" t="str">
        <f>IFERROR(__xludf.DUMMYFUNCTION("""COMPUTED_VALUE"""),"Apple CarPlay / Android Auto / SiriusXM Radio")</f>
        <v>Apple CarPlay / Android Auto / SiriusXM Radio</v>
      </c>
      <c r="AH3513" s="189">
        <f>IFERROR(__xludf.DUMMYFUNCTION("""COMPUTED_VALUE"""),44455.723551435185)</f>
        <v>44455.72355</v>
      </c>
    </row>
    <row r="3514">
      <c r="A3514" t="str">
        <f>IFERROR(__xludf.DUMMYFUNCTION("""COMPUTED_VALUE"""),"chulsey87")</f>
        <v>chulsey87</v>
      </c>
      <c r="B3514" t="str">
        <f>IFERROR(__xludf.DUMMYFUNCTION("""COMPUTED_VALUE"""),"St. Louis")</f>
        <v>St. Louis</v>
      </c>
      <c r="C3514" t="str">
        <f>IFERROR(__xludf.DUMMYFUNCTION("""COMPUTED_VALUE"""),"MO")</f>
        <v>MO</v>
      </c>
      <c r="D3514" t="str">
        <f>IFERROR(__xludf.DUMMYFUNCTION("""COMPUTED_VALUE"""),"USA")</f>
        <v>USA</v>
      </c>
      <c r="E3514" s="188">
        <f>IFERROR(__xludf.DUMMYFUNCTION("""COMPUTED_VALUE"""),44418.0)</f>
        <v>44418</v>
      </c>
      <c r="F3514" s="188">
        <f>IFERROR(__xludf.DUMMYFUNCTION("""COMPUTED_VALUE"""),44453.0)</f>
        <v>44453</v>
      </c>
      <c r="G3514" t="str">
        <f>IFERROR(__xludf.DUMMYFUNCTION("""COMPUTED_VALUE"""),"Manage order page (normal text)")</f>
        <v>Manage order page (normal text)</v>
      </c>
      <c r="H3514">
        <f>IFERROR(__xludf.DUMMYFUNCTION("""COMPUTED_VALUE"""),66155.0)</f>
        <v>66155</v>
      </c>
      <c r="K3514">
        <f>IFERROR(__xludf.DUMMYFUNCTION("""COMPUTED_VALUE"""),35.0)</f>
        <v>35</v>
      </c>
      <c r="N3514" t="str">
        <f>IFERROR(__xludf.DUMMYFUNCTION("""COMPUTED_VALUE"""),"Model 3 LR AWD")</f>
        <v>Model 3 LR AWD</v>
      </c>
      <c r="O3514" t="str">
        <f>IFERROR(__xludf.DUMMYFUNCTION("""COMPUTED_VALUE"""),"Deep Blue Metallic")</f>
        <v>Deep Blue Metallic</v>
      </c>
      <c r="P3514" t="str">
        <f>IFERROR(__xludf.DUMMYFUNCTION("""COMPUTED_VALUE"""),"18 inch")</f>
        <v>18 inch</v>
      </c>
      <c r="Q3514" t="str">
        <f>IFERROR(__xludf.DUMMYFUNCTION("""COMPUTED_VALUE"""),"All Black")</f>
        <v>All Black</v>
      </c>
      <c r="R3514" t="str">
        <f>IFERROR(__xludf.DUMMYFUNCTION("""COMPUTED_VALUE"""),"Autopilot included")</f>
        <v>Autopilot included</v>
      </c>
      <c r="S3514" t="str">
        <f>IFERROR(__xludf.DUMMYFUNCTION("""COMPUTED_VALUE"""),"Loan")</f>
        <v>Loan</v>
      </c>
      <c r="T3514" t="str">
        <f>IFERROR(__xludf.DUMMYFUNCTION("""COMPUTED_VALUE"""),"Nissan Versa Note")</f>
        <v>Nissan Versa Note</v>
      </c>
      <c r="U3514" t="str">
        <f>IFERROR(__xludf.DUMMYFUNCTION("""COMPUTED_VALUE"""),"Electric!")</f>
        <v>Electric!</v>
      </c>
      <c r="V3514" t="str">
        <f>IFERROR(__xludf.DUMMYFUNCTION("""COMPUTED_VALUE"""),"Ventilated seats")</f>
        <v>Ventilated seats</v>
      </c>
      <c r="AH3514" s="189">
        <f>IFERROR(__xludf.DUMMYFUNCTION("""COMPUTED_VALUE"""),44456.33268670139)</f>
        <v>44456.33269</v>
      </c>
    </row>
    <row r="3515">
      <c r="A3515" t="str">
        <f>IFERROR(__xludf.DUMMYFUNCTION("""COMPUTED_VALUE"""),"Quanto")</f>
        <v>Quanto</v>
      </c>
      <c r="B3515" t="str">
        <f>IFERROR(__xludf.DUMMYFUNCTION("""COMPUTED_VALUE"""),"Barrie")</f>
        <v>Barrie</v>
      </c>
      <c r="C3515" t="str">
        <f>IFERROR(__xludf.DUMMYFUNCTION("""COMPUTED_VALUE"""),"ON")</f>
        <v>ON</v>
      </c>
      <c r="D3515" t="str">
        <f>IFERROR(__xludf.DUMMYFUNCTION("""COMPUTED_VALUE"""),"Canada")</f>
        <v>Canada</v>
      </c>
      <c r="E3515" s="188">
        <f>IFERROR(__xludf.DUMMYFUNCTION("""COMPUTED_VALUE"""),44409.0)</f>
        <v>44409</v>
      </c>
      <c r="N3515" t="str">
        <f>IFERROR(__xludf.DUMMYFUNCTION("""COMPUTED_VALUE"""),"Model 3 LR AWD")</f>
        <v>Model 3 LR AWD</v>
      </c>
      <c r="O3515" t="str">
        <f>IFERROR(__xludf.DUMMYFUNCTION("""COMPUTED_VALUE"""),"Deep Blue Metallic")</f>
        <v>Deep Blue Metallic</v>
      </c>
      <c r="P3515" t="str">
        <f>IFERROR(__xludf.DUMMYFUNCTION("""COMPUTED_VALUE"""),"18 inch")</f>
        <v>18 inch</v>
      </c>
      <c r="Q3515" t="str">
        <f>IFERROR(__xludf.DUMMYFUNCTION("""COMPUTED_VALUE"""),"All Black")</f>
        <v>All Black</v>
      </c>
      <c r="R3515" t="str">
        <f>IFERROR(__xludf.DUMMYFUNCTION("""COMPUTED_VALUE"""),"Autopilot included")</f>
        <v>Autopilot included</v>
      </c>
      <c r="S3515" t="str">
        <f>IFERROR(__xludf.DUMMYFUNCTION("""COMPUTED_VALUE"""),"Loan")</f>
        <v>Loan</v>
      </c>
      <c r="U3515" t="str">
        <f>IFERROR(__xludf.DUMMYFUNCTION("""COMPUTED_VALUE"""),"Electric!")</f>
        <v>Electric!</v>
      </c>
      <c r="V3515" t="str">
        <f>IFERROR(__xludf.DUMMYFUNCTION("""COMPUTED_VALUE"""),"Apple CarPlay / Android Auto / SiriusXM Radio")</f>
        <v>Apple CarPlay / Android Auto / SiriusXM Radio</v>
      </c>
      <c r="AH3515" s="189">
        <f>IFERROR(__xludf.DUMMYFUNCTION("""COMPUTED_VALUE"""),44456.790471053246)</f>
        <v>44456.79047</v>
      </c>
    </row>
    <row r="3516">
      <c r="A3516" t="str">
        <f>IFERROR(__xludf.DUMMYFUNCTION("""COMPUTED_VALUE"""),"PigInASuit")</f>
        <v>PigInASuit</v>
      </c>
      <c r="B3516" t="str">
        <f>IFERROR(__xludf.DUMMYFUNCTION("""COMPUTED_VALUE"""),"Vallejo")</f>
        <v>Vallejo</v>
      </c>
      <c r="C3516" t="str">
        <f>IFERROR(__xludf.DUMMYFUNCTION("""COMPUTED_VALUE"""),"CA")</f>
        <v>CA</v>
      </c>
      <c r="D3516" t="str">
        <f>IFERROR(__xludf.DUMMYFUNCTION("""COMPUTED_VALUE"""),"USA")</f>
        <v>USA</v>
      </c>
      <c r="E3516" s="188">
        <f>IFERROR(__xludf.DUMMYFUNCTION("""COMPUTED_VALUE"""),44408.0)</f>
        <v>44408</v>
      </c>
      <c r="F3516" s="188">
        <f>IFERROR(__xludf.DUMMYFUNCTION("""COMPUTED_VALUE"""),44457.0)</f>
        <v>44457</v>
      </c>
      <c r="G3516" t="str">
        <f>IFERROR(__xludf.DUMMYFUNCTION("""COMPUTED_VALUE"""),"Manage order page (normal text)")</f>
        <v>Manage order page (normal text)</v>
      </c>
      <c r="J3516" s="188">
        <f>IFERROR(__xludf.DUMMYFUNCTION("""COMPUTED_VALUE"""),44458.0)</f>
        <v>44458</v>
      </c>
      <c r="K3516">
        <f>IFERROR(__xludf.DUMMYFUNCTION("""COMPUTED_VALUE"""),49.0)</f>
        <v>49</v>
      </c>
      <c r="L3516">
        <f>IFERROR(__xludf.DUMMYFUNCTION("""COMPUTED_VALUE"""),1.0)</f>
        <v>1</v>
      </c>
      <c r="M3516">
        <f>IFERROR(__xludf.DUMMYFUNCTION("""COMPUTED_VALUE"""),50.0)</f>
        <v>50</v>
      </c>
      <c r="N3516" t="str">
        <f>IFERROR(__xludf.DUMMYFUNCTION("""COMPUTED_VALUE"""),"Model 3 LR AWD")</f>
        <v>Model 3 LR AWD</v>
      </c>
      <c r="O3516" t="str">
        <f>IFERROR(__xludf.DUMMYFUNCTION("""COMPUTED_VALUE"""),"Deep Blue Metallic")</f>
        <v>Deep Blue Metallic</v>
      </c>
      <c r="P3516" t="str">
        <f>IFERROR(__xludf.DUMMYFUNCTION("""COMPUTED_VALUE"""),"18 inch")</f>
        <v>18 inch</v>
      </c>
      <c r="Q3516" t="str">
        <f>IFERROR(__xludf.DUMMYFUNCTION("""COMPUTED_VALUE"""),"All Black")</f>
        <v>All Black</v>
      </c>
      <c r="R3516" t="str">
        <f>IFERROR(__xludf.DUMMYFUNCTION("""COMPUTED_VALUE"""),"Full Self-Driving")</f>
        <v>Full Self-Driving</v>
      </c>
      <c r="S3516" t="str">
        <f>IFERROR(__xludf.DUMMYFUNCTION("""COMPUTED_VALUE"""),"Loan")</f>
        <v>Loan</v>
      </c>
      <c r="T3516" t="str">
        <f>IFERROR(__xludf.DUMMYFUNCTION("""COMPUTED_VALUE"""),"2015 XV Subaru Crosstrek")</f>
        <v>2015 XV Subaru Crosstrek</v>
      </c>
      <c r="U3516" t="str">
        <f>IFERROR(__xludf.DUMMYFUNCTION("""COMPUTED_VALUE"""),"Electric!")</f>
        <v>Electric!</v>
      </c>
      <c r="V3516" t="str">
        <f>IFERROR(__xludf.DUMMYFUNCTION("""COMPUTED_VALUE"""),"Ventilated seats")</f>
        <v>Ventilated seats</v>
      </c>
      <c r="W3516" t="str">
        <f>IFERROR(__xludf.DUMMYFUNCTION("""COMPUTED_VALUE"""),"EDD will change - especially closer to your delivery date. Sometimes the first day after expected delivery. End of quarter is when California gets deliveries.")</f>
        <v>EDD will change - especially closer to your delivery date. Sometimes the first day after expected delivery. End of quarter is when California gets deliveries.</v>
      </c>
      <c r="AG3516" t="str">
        <f>IFERROR(__xludf.DUMMYFUNCTION("""COMPUTED_VALUE"""),"I called when I got my text to schedule my delivery. I asked if I could move it to a day not listed on the calendar. They accepted and allowed delivery a day early. (day after I got my vin).")</f>
        <v>I called when I got my text to schedule my delivery. I asked if I could move it to a day not listed on the calendar. They accepted and allowed delivery a day early. (day after I got my vin).</v>
      </c>
      <c r="AH3516" s="189">
        <f>IFERROR(__xludf.DUMMYFUNCTION("""COMPUTED_VALUE"""),44457.7520108912)</f>
        <v>44457.75201</v>
      </c>
    </row>
    <row r="3517">
      <c r="A3517" t="str">
        <f>IFERROR(__xludf.DUMMYFUNCTION("""COMPUTED_VALUE"""),"tesskulrez")</f>
        <v>tesskulrez</v>
      </c>
      <c r="B3517" t="str">
        <f>IFERROR(__xludf.DUMMYFUNCTION("""COMPUTED_VALUE"""),"San Francisco")</f>
        <v>San Francisco</v>
      </c>
      <c r="C3517" t="str">
        <f>IFERROR(__xludf.DUMMYFUNCTION("""COMPUTED_VALUE"""),"CA")</f>
        <v>CA</v>
      </c>
      <c r="D3517" t="str">
        <f>IFERROR(__xludf.DUMMYFUNCTION("""COMPUTED_VALUE"""),"USA")</f>
        <v>USA</v>
      </c>
      <c r="E3517" s="188">
        <f>IFERROR(__xludf.DUMMYFUNCTION("""COMPUTED_VALUE"""),44449.0)</f>
        <v>44449</v>
      </c>
      <c r="F3517" s="188">
        <f>IFERROR(__xludf.DUMMYFUNCTION("""COMPUTED_VALUE"""),44461.0)</f>
        <v>44461</v>
      </c>
      <c r="G3517" t="str">
        <f>IFERROR(__xludf.DUMMYFUNCTION("""COMPUTED_VALUE"""),"Manage order page (normal text)")</f>
        <v>Manage order page (normal text)</v>
      </c>
      <c r="H3517">
        <f>IFERROR(__xludf.DUMMYFUNCTION("""COMPUTED_VALUE"""),69155.0)</f>
        <v>69155</v>
      </c>
      <c r="I3517" t="str">
        <f>IFERROR(__xludf.DUMMYFUNCTION("""COMPUTED_VALUE"""),"09/21")</f>
        <v>09/21</v>
      </c>
      <c r="J3517" s="188">
        <f>IFERROR(__xludf.DUMMYFUNCTION("""COMPUTED_VALUE"""),44463.0)</f>
        <v>44463</v>
      </c>
      <c r="K3517">
        <f>IFERROR(__xludf.DUMMYFUNCTION("""COMPUTED_VALUE"""),12.0)</f>
        <v>12</v>
      </c>
      <c r="L3517">
        <f>IFERROR(__xludf.DUMMYFUNCTION("""COMPUTED_VALUE"""),2.0)</f>
        <v>2</v>
      </c>
      <c r="M3517">
        <f>IFERROR(__xludf.DUMMYFUNCTION("""COMPUTED_VALUE"""),14.0)</f>
        <v>14</v>
      </c>
      <c r="N3517" t="str">
        <f>IFERROR(__xludf.DUMMYFUNCTION("""COMPUTED_VALUE"""),"Model 3 Performance")</f>
        <v>Model 3 Performance</v>
      </c>
      <c r="O3517" t="str">
        <f>IFERROR(__xludf.DUMMYFUNCTION("""COMPUTED_VALUE"""),"Solid Black")</f>
        <v>Solid Black</v>
      </c>
      <c r="P3517" t="str">
        <f>IFERROR(__xludf.DUMMYFUNCTION("""COMPUTED_VALUE"""),"20 inch")</f>
        <v>20 inch</v>
      </c>
      <c r="Q3517" t="str">
        <f>IFERROR(__xludf.DUMMYFUNCTION("""COMPUTED_VALUE"""),"All Black")</f>
        <v>All Black</v>
      </c>
      <c r="R3517" t="str">
        <f>IFERROR(__xludf.DUMMYFUNCTION("""COMPUTED_VALUE"""),"Full Self-Driving")</f>
        <v>Full Self-Driving</v>
      </c>
      <c r="S3517" t="str">
        <f>IFERROR(__xludf.DUMMYFUNCTION("""COMPUTED_VALUE"""),"Loan")</f>
        <v>Loan</v>
      </c>
      <c r="T3517" t="str">
        <f>IFERROR(__xludf.DUMMYFUNCTION("""COMPUTED_VALUE"""),"Honda Accord")</f>
        <v>Honda Accord</v>
      </c>
      <c r="U3517" t="str">
        <f>IFERROR(__xludf.DUMMYFUNCTION("""COMPUTED_VALUE"""),"Supercharger V3 support")</f>
        <v>Supercharger V3 support</v>
      </c>
      <c r="V3517" t="str">
        <f>IFERROR(__xludf.DUMMYFUNCTION("""COMPUTED_VALUE"""),"Air suspension")</f>
        <v>Air suspension</v>
      </c>
      <c r="X3517" t="str">
        <f>IFERROR(__xludf.DUMMYFUNCTION("""COMPUTED_VALUE"""),"Excellent")</f>
        <v>Excellent</v>
      </c>
      <c r="Y3517" t="str">
        <f>IFERROR(__xludf.DUMMYFUNCTION("""COMPUTED_VALUE"""),"Good")</f>
        <v>Good</v>
      </c>
      <c r="Z3517" t="str">
        <f>IFERROR(__xludf.DUMMYFUNCTION("""COMPUTED_VALUE"""),"Excellent")</f>
        <v>Excellent</v>
      </c>
      <c r="AA3517" t="str">
        <f>IFERROR(__xludf.DUMMYFUNCTION("""COMPUTED_VALUE"""),"Poor")</f>
        <v>Poor</v>
      </c>
      <c r="AB3517" t="str">
        <f>IFERROR(__xludf.DUMMYFUNCTION("""COMPUTED_VALUE"""),"Poor")</f>
        <v>Poor</v>
      </c>
      <c r="AF3517" t="str">
        <f>IFERROR(__xludf.DUMMYFUNCTION("""COMPUTED_VALUE"""),"No. I took delivery of the first car Tesla was able to deliver.")</f>
        <v>No. I took delivery of the first car Tesla was able to deliver.</v>
      </c>
      <c r="AH3517" s="189">
        <f>IFERROR(__xludf.DUMMYFUNCTION("""COMPUTED_VALUE"""),44464.19938184028)</f>
        <v>44464.19938</v>
      </c>
    </row>
    <row r="3518">
      <c r="A3518" t="str">
        <f>IFERROR(__xludf.DUMMYFUNCTION("""COMPUTED_VALUE"""),"macv70")</f>
        <v>macv70</v>
      </c>
      <c r="B3518" t="str">
        <f>IFERROR(__xludf.DUMMYFUNCTION("""COMPUTED_VALUE"""),"Williamsport")</f>
        <v>Williamsport</v>
      </c>
      <c r="C3518" t="str">
        <f>IFERROR(__xludf.DUMMYFUNCTION("""COMPUTED_VALUE"""),"PA")</f>
        <v>PA</v>
      </c>
      <c r="D3518" t="str">
        <f>IFERROR(__xludf.DUMMYFUNCTION("""COMPUTED_VALUE"""),"USA")</f>
        <v>USA</v>
      </c>
      <c r="E3518" s="188">
        <f>IFERROR(__xludf.DUMMYFUNCTION("""COMPUTED_VALUE"""),44452.0)</f>
        <v>44452</v>
      </c>
      <c r="F3518" s="188">
        <f>IFERROR(__xludf.DUMMYFUNCTION("""COMPUTED_VALUE"""),44505.0)</f>
        <v>44505</v>
      </c>
      <c r="G3518" t="str">
        <f>IFERROR(__xludf.DUMMYFUNCTION("""COMPUTED_VALUE"""),"Email")</f>
        <v>Email</v>
      </c>
      <c r="K3518">
        <f>IFERROR(__xludf.DUMMYFUNCTION("""COMPUTED_VALUE"""),53.0)</f>
        <v>53</v>
      </c>
      <c r="N3518" t="str">
        <f>IFERROR(__xludf.DUMMYFUNCTION("""COMPUTED_VALUE"""),"Model 3 LR AWD")</f>
        <v>Model 3 LR AWD</v>
      </c>
      <c r="O3518" t="str">
        <f>IFERROR(__xludf.DUMMYFUNCTION("""COMPUTED_VALUE"""),"Deep Blue Metallic")</f>
        <v>Deep Blue Metallic</v>
      </c>
      <c r="P3518" t="str">
        <f>IFERROR(__xludf.DUMMYFUNCTION("""COMPUTED_VALUE"""),"18 inch")</f>
        <v>18 inch</v>
      </c>
      <c r="Q3518" t="str">
        <f>IFERROR(__xludf.DUMMYFUNCTION("""COMPUTED_VALUE"""),"All Black")</f>
        <v>All Black</v>
      </c>
      <c r="R3518" t="str">
        <f>IFERROR(__xludf.DUMMYFUNCTION("""COMPUTED_VALUE"""),"Autopilot included")</f>
        <v>Autopilot included</v>
      </c>
      <c r="S3518" t="str">
        <f>IFERROR(__xludf.DUMMYFUNCTION("""COMPUTED_VALUE"""),"Loan")</f>
        <v>Loan</v>
      </c>
      <c r="T3518" t="str">
        <f>IFERROR(__xludf.DUMMYFUNCTION("""COMPUTED_VALUE"""),"Nissan Altima")</f>
        <v>Nissan Altima</v>
      </c>
      <c r="U3518" t="str">
        <f>IFERROR(__xludf.DUMMYFUNCTION("""COMPUTED_VALUE"""),"Electric!")</f>
        <v>Electric!</v>
      </c>
      <c r="V3518" t="str">
        <f>IFERROR(__xludf.DUMMYFUNCTION("""COMPUTED_VALUE"""),"Head-up display")</f>
        <v>Head-up display</v>
      </c>
      <c r="AH3518" s="189">
        <f>IFERROR(__xludf.DUMMYFUNCTION("""COMPUTED_VALUE"""),44505.632211435186)</f>
        <v>44505.63221</v>
      </c>
    </row>
    <row r="3519">
      <c r="A3519" t="str">
        <f>IFERROR(__xludf.DUMMYFUNCTION("""COMPUTED_VALUE"""),"ftjack")</f>
        <v>ftjack</v>
      </c>
      <c r="B3519" t="str">
        <f>IFERROR(__xludf.DUMMYFUNCTION("""COMPUTED_VALUE"""),"Austin")</f>
        <v>Austin</v>
      </c>
      <c r="C3519" t="str">
        <f>IFERROR(__xludf.DUMMYFUNCTION("""COMPUTED_VALUE"""),"TX")</f>
        <v>TX</v>
      </c>
      <c r="D3519" t="str">
        <f>IFERROR(__xludf.DUMMYFUNCTION("""COMPUTED_VALUE"""),"USA")</f>
        <v>USA</v>
      </c>
      <c r="E3519" s="188">
        <f>IFERROR(__xludf.DUMMYFUNCTION("""COMPUTED_VALUE"""),44456.0)</f>
        <v>44456</v>
      </c>
      <c r="F3519" s="188">
        <f>IFERROR(__xludf.DUMMYFUNCTION("""COMPUTED_VALUE"""),44476.0)</f>
        <v>44476</v>
      </c>
      <c r="G3519" t="str">
        <f>IFERROR(__xludf.DUMMYFUNCTION("""COMPUTED_VALUE"""),"Manage order page (normal text)")</f>
        <v>Manage order page (normal text)</v>
      </c>
      <c r="K3519">
        <f>IFERROR(__xludf.DUMMYFUNCTION("""COMPUTED_VALUE"""),20.0)</f>
        <v>20</v>
      </c>
      <c r="N3519" t="str">
        <f>IFERROR(__xludf.DUMMYFUNCTION("""COMPUTED_VALUE"""),"Model 3 Performance")</f>
        <v>Model 3 Performance</v>
      </c>
      <c r="O3519" t="str">
        <f>IFERROR(__xludf.DUMMYFUNCTION("""COMPUTED_VALUE"""),"Red Multi-Coat")</f>
        <v>Red Multi-Coat</v>
      </c>
      <c r="P3519" t="str">
        <f>IFERROR(__xludf.DUMMYFUNCTION("""COMPUTED_VALUE"""),"20 inch")</f>
        <v>20 inch</v>
      </c>
      <c r="Q3519" t="str">
        <f>IFERROR(__xludf.DUMMYFUNCTION("""COMPUTED_VALUE"""),"All Black")</f>
        <v>All Black</v>
      </c>
      <c r="R3519" t="str">
        <f>IFERROR(__xludf.DUMMYFUNCTION("""COMPUTED_VALUE"""),"Autopilot included")</f>
        <v>Autopilot included</v>
      </c>
      <c r="S3519" t="str">
        <f>IFERROR(__xludf.DUMMYFUNCTION("""COMPUTED_VALUE"""),"Cash")</f>
        <v>Cash</v>
      </c>
      <c r="U3519" t="str">
        <f>IFERROR(__xludf.DUMMYFUNCTION("""COMPUTED_VALUE"""),"Electric!")</f>
        <v>Electric!</v>
      </c>
      <c r="V3519" t="str">
        <f>IFERROR(__xludf.DUMMYFUNCTION("""COMPUTED_VALUE"""),"360° Bird's eye view")</f>
        <v>360° Bird's eye view</v>
      </c>
      <c r="AH3519" s="189">
        <f>IFERROR(__xludf.DUMMYFUNCTION("""COMPUTED_VALUE"""),44479.925834548616)</f>
        <v>44479.92583</v>
      </c>
    </row>
    <row r="3520">
      <c r="A3520" t="str">
        <f>IFERROR(__xludf.DUMMYFUNCTION("""COMPUTED_VALUE"""),"mycroftxxx ")</f>
        <v>mycroftxxx </v>
      </c>
      <c r="B3520" t="str">
        <f>IFERROR(__xludf.DUMMYFUNCTION("""COMPUTED_VALUE"""),"San Diego")</f>
        <v>San Diego</v>
      </c>
      <c r="C3520" t="str">
        <f>IFERROR(__xludf.DUMMYFUNCTION("""COMPUTED_VALUE"""),"CA")</f>
        <v>CA</v>
      </c>
      <c r="D3520" t="str">
        <f>IFERROR(__xludf.DUMMYFUNCTION("""COMPUTED_VALUE"""),"USA")</f>
        <v>USA</v>
      </c>
      <c r="E3520" s="188">
        <f>IFERROR(__xludf.DUMMYFUNCTION("""COMPUTED_VALUE"""),44382.0)</f>
        <v>44382</v>
      </c>
      <c r="F3520" s="188">
        <f>IFERROR(__xludf.DUMMYFUNCTION("""COMPUTED_VALUE"""),44449.0)</f>
        <v>44449</v>
      </c>
      <c r="G3520" t="str">
        <f>IFERROR(__xludf.DUMMYFUNCTION("""COMPUTED_VALUE"""),"Manage order page (normal text)")</f>
        <v>Manage order page (normal text)</v>
      </c>
      <c r="H3520">
        <f>IFERROR(__xludf.DUMMYFUNCTION("""COMPUTED_VALUE"""),63455.0)</f>
        <v>63455</v>
      </c>
      <c r="I3520" t="str">
        <f>IFERROR(__xludf.DUMMYFUNCTION("""COMPUTED_VALUE"""),"09/21")</f>
        <v>09/21</v>
      </c>
      <c r="J3520" s="188">
        <f>IFERROR(__xludf.DUMMYFUNCTION("""COMPUTED_VALUE"""),44454.0)</f>
        <v>44454</v>
      </c>
      <c r="K3520">
        <f>IFERROR(__xludf.DUMMYFUNCTION("""COMPUTED_VALUE"""),67.0)</f>
        <v>67</v>
      </c>
      <c r="L3520">
        <f>IFERROR(__xludf.DUMMYFUNCTION("""COMPUTED_VALUE"""),5.0)</f>
        <v>5</v>
      </c>
      <c r="M3520">
        <f>IFERROR(__xludf.DUMMYFUNCTION("""COMPUTED_VALUE"""),72.0)</f>
        <v>72</v>
      </c>
      <c r="N3520" t="str">
        <f>IFERROR(__xludf.DUMMYFUNCTION("""COMPUTED_VALUE"""),"Model 3 LR AWD")</f>
        <v>Model 3 LR AWD</v>
      </c>
      <c r="O3520" t="str">
        <f>IFERROR(__xludf.DUMMYFUNCTION("""COMPUTED_VALUE"""),"Red Multi-Coat")</f>
        <v>Red Multi-Coat</v>
      </c>
      <c r="P3520" t="str">
        <f>IFERROR(__xludf.DUMMYFUNCTION("""COMPUTED_VALUE"""),"18 inch")</f>
        <v>18 inch</v>
      </c>
      <c r="Q3520" t="str">
        <f>IFERROR(__xludf.DUMMYFUNCTION("""COMPUTED_VALUE"""),"Black and White")</f>
        <v>Black and White</v>
      </c>
      <c r="R3520" t="str">
        <f>IFERROR(__xludf.DUMMYFUNCTION("""COMPUTED_VALUE"""),"Autopilot included")</f>
        <v>Autopilot included</v>
      </c>
      <c r="S3520" t="str">
        <f>IFERROR(__xludf.DUMMYFUNCTION("""COMPUTED_VALUE"""),"Loan")</f>
        <v>Loan</v>
      </c>
      <c r="T3520" t="str">
        <f>IFERROR(__xludf.DUMMYFUNCTION("""COMPUTED_VALUE"""),"VW GTI")</f>
        <v>VW GTI</v>
      </c>
      <c r="U3520" t="str">
        <f>IFERROR(__xludf.DUMMYFUNCTION("""COMPUTED_VALUE"""),"Electric!")</f>
        <v>Electric!</v>
      </c>
      <c r="V3520" t="str">
        <f>IFERROR(__xludf.DUMMYFUNCTION("""COMPUTED_VALUE"""),"Apple CarPlay / Android Auto / SiriusXM Radio")</f>
        <v>Apple CarPlay / Android Auto / SiriusXM Radio</v>
      </c>
      <c r="W3520" t="str">
        <f>IFERROR(__xludf.DUMMYFUNCTION("""COMPUTED_VALUE"""),"Select “cash” payment until you have a VIN, then have Tesla open up your order to apply for financing. ")</f>
        <v>Select “cash” payment until you have a VIN, then have Tesla open up your order to apply for financing. </v>
      </c>
      <c r="X3520" t="str">
        <f>IFERROR(__xludf.DUMMYFUNCTION("""COMPUTED_VALUE"""),"Excellent")</f>
        <v>Excellent</v>
      </c>
      <c r="Y3520" t="str">
        <f>IFERROR(__xludf.DUMMYFUNCTION("""COMPUTED_VALUE"""),"Excellent")</f>
        <v>Excellent</v>
      </c>
      <c r="Z3520" t="str">
        <f>IFERROR(__xludf.DUMMYFUNCTION("""COMPUTED_VALUE"""),"Excellent")</f>
        <v>Excellent</v>
      </c>
      <c r="AA3520" t="str">
        <f>IFERROR(__xludf.DUMMYFUNCTION("""COMPUTED_VALUE"""),"Fair")</f>
        <v>Fair</v>
      </c>
      <c r="AB3520" t="str">
        <f>IFERROR(__xludf.DUMMYFUNCTION("""COMPUTED_VALUE"""),"Very Good")</f>
        <v>Very Good</v>
      </c>
      <c r="AF3520" t="str">
        <f>IFERROR(__xludf.DUMMYFUNCTION("""COMPUTED_VALUE"""),"No. I took delivery of the first car Tesla was able to deliver.")</f>
        <v>No. I took delivery of the first car Tesla was able to deliver.</v>
      </c>
      <c r="AH3520" s="189">
        <f>IFERROR(__xludf.DUMMYFUNCTION("""COMPUTED_VALUE"""),44458.57349753472)</f>
        <v>44458.5735</v>
      </c>
    </row>
    <row r="3521">
      <c r="A3521" t="str">
        <f>IFERROR(__xludf.DUMMYFUNCTION("""COMPUTED_VALUE"""),"Dag")</f>
        <v>Dag</v>
      </c>
      <c r="B3521" t="str">
        <f>IFERROR(__xludf.DUMMYFUNCTION("""COMPUTED_VALUE"""),"San Jose")</f>
        <v>San Jose</v>
      </c>
      <c r="C3521" t="str">
        <f>IFERROR(__xludf.DUMMYFUNCTION("""COMPUTED_VALUE"""),"CA")</f>
        <v>CA</v>
      </c>
      <c r="D3521" t="str">
        <f>IFERROR(__xludf.DUMMYFUNCTION("""COMPUTED_VALUE"""),"USA")</f>
        <v>USA</v>
      </c>
      <c r="E3521" s="188">
        <f>IFERROR(__xludf.DUMMYFUNCTION("""COMPUTED_VALUE"""),44395.0)</f>
        <v>44395</v>
      </c>
      <c r="F3521" s="188">
        <f>IFERROR(__xludf.DUMMYFUNCTION("""COMPUTED_VALUE"""),44460.0)</f>
        <v>44460</v>
      </c>
      <c r="G3521" t="str">
        <f>IFERROR(__xludf.DUMMYFUNCTION("""COMPUTED_VALUE"""),"Manage order page (normal text)")</f>
        <v>Manage order page (normal text)</v>
      </c>
      <c r="H3521">
        <f>IFERROR(__xludf.DUMMYFUNCTION("""COMPUTED_VALUE"""),71555.0)</f>
        <v>71555</v>
      </c>
      <c r="J3521" s="188">
        <f>IFERROR(__xludf.DUMMYFUNCTION("""COMPUTED_VALUE"""),44463.0)</f>
        <v>44463</v>
      </c>
      <c r="K3521">
        <f>IFERROR(__xludf.DUMMYFUNCTION("""COMPUTED_VALUE"""),65.0)</f>
        <v>65</v>
      </c>
      <c r="L3521">
        <f>IFERROR(__xludf.DUMMYFUNCTION("""COMPUTED_VALUE"""),3.0)</f>
        <v>3</v>
      </c>
      <c r="M3521">
        <f>IFERROR(__xludf.DUMMYFUNCTION("""COMPUTED_VALUE"""),68.0)</f>
        <v>68</v>
      </c>
      <c r="N3521" t="str">
        <f>IFERROR(__xludf.DUMMYFUNCTION("""COMPUTED_VALUE"""),"Model 3 Performance")</f>
        <v>Model 3 Performance</v>
      </c>
      <c r="O3521" t="str">
        <f>IFERROR(__xludf.DUMMYFUNCTION("""COMPUTED_VALUE"""),"Pearl White Multi-Coat")</f>
        <v>Pearl White Multi-Coat</v>
      </c>
      <c r="P3521" t="str">
        <f>IFERROR(__xludf.DUMMYFUNCTION("""COMPUTED_VALUE"""),"20 inch")</f>
        <v>20 inch</v>
      </c>
      <c r="Q3521" t="str">
        <f>IFERROR(__xludf.DUMMYFUNCTION("""COMPUTED_VALUE"""),"All Black")</f>
        <v>All Black</v>
      </c>
      <c r="R3521" t="str">
        <f>IFERROR(__xludf.DUMMYFUNCTION("""COMPUTED_VALUE"""),"Full Self-Driving")</f>
        <v>Full Self-Driving</v>
      </c>
      <c r="S3521" t="str">
        <f>IFERROR(__xludf.DUMMYFUNCTION("""COMPUTED_VALUE"""),"Loan")</f>
        <v>Loan</v>
      </c>
      <c r="T3521" t="str">
        <f>IFERROR(__xludf.DUMMYFUNCTION("""COMPUTED_VALUE"""),"Tesla Model 3")</f>
        <v>Tesla Model 3</v>
      </c>
      <c r="U3521" t="str">
        <f>IFERROR(__xludf.DUMMYFUNCTION("""COMPUTED_VALUE"""),"Autopilot")</f>
        <v>Autopilot</v>
      </c>
      <c r="V3521" t="str">
        <f>IFERROR(__xludf.DUMMYFUNCTION("""COMPUTED_VALUE"""),"Air suspension")</f>
        <v>Air suspension</v>
      </c>
      <c r="AH3521" s="189">
        <f>IFERROR(__xludf.DUMMYFUNCTION("""COMPUTED_VALUE"""),44468.2029916551)</f>
        <v>44468.20299</v>
      </c>
    </row>
    <row r="3522">
      <c r="A3522" t="str">
        <f>IFERROR(__xludf.DUMMYFUNCTION("""COMPUTED_VALUE"""),"JC919")</f>
        <v>JC919</v>
      </c>
      <c r="B3522" t="str">
        <f>IFERROR(__xludf.DUMMYFUNCTION("""COMPUTED_VALUE"""),"Raleigh ")</f>
        <v>Raleigh </v>
      </c>
      <c r="C3522" t="str">
        <f>IFERROR(__xludf.DUMMYFUNCTION("""COMPUTED_VALUE"""),"NC")</f>
        <v>NC</v>
      </c>
      <c r="D3522" t="str">
        <f>IFERROR(__xludf.DUMMYFUNCTION("""COMPUTED_VALUE"""),"USA")</f>
        <v>USA</v>
      </c>
      <c r="E3522" s="188">
        <f>IFERROR(__xludf.DUMMYFUNCTION("""COMPUTED_VALUE"""),44458.0)</f>
        <v>44458</v>
      </c>
      <c r="F3522" s="188">
        <f>IFERROR(__xludf.DUMMYFUNCTION("""COMPUTED_VALUE"""),44508.0)</f>
        <v>44508</v>
      </c>
      <c r="G3522" t="str">
        <f>IFERROR(__xludf.DUMMYFUNCTION("""COMPUTED_VALUE"""),"Manage order page (normal text)")</f>
        <v>Manage order page (normal text)</v>
      </c>
      <c r="H3522">
        <f>IFERROR(__xludf.DUMMYFUNCTION("""COMPUTED_VALUE"""),102365.0)</f>
        <v>102365</v>
      </c>
      <c r="K3522">
        <f>IFERROR(__xludf.DUMMYFUNCTION("""COMPUTED_VALUE"""),50.0)</f>
        <v>50</v>
      </c>
      <c r="N3522" t="str">
        <f>IFERROR(__xludf.DUMMYFUNCTION("""COMPUTED_VALUE"""),"Model 3 LR AWD")</f>
        <v>Model 3 LR AWD</v>
      </c>
      <c r="O3522" t="str">
        <f>IFERROR(__xludf.DUMMYFUNCTION("""COMPUTED_VALUE"""),"Solid Black")</f>
        <v>Solid Black</v>
      </c>
      <c r="P3522" t="str">
        <f>IFERROR(__xludf.DUMMYFUNCTION("""COMPUTED_VALUE"""),"19 inch")</f>
        <v>19 inch</v>
      </c>
      <c r="Q3522" t="str">
        <f>IFERROR(__xludf.DUMMYFUNCTION("""COMPUTED_VALUE"""),"Black and White")</f>
        <v>Black and White</v>
      </c>
      <c r="R3522" t="str">
        <f>IFERROR(__xludf.DUMMYFUNCTION("""COMPUTED_VALUE"""),"Autopilot included")</f>
        <v>Autopilot included</v>
      </c>
      <c r="S3522" t="str">
        <f>IFERROR(__xludf.DUMMYFUNCTION("""COMPUTED_VALUE"""),"Loan")</f>
        <v>Loan</v>
      </c>
      <c r="T3522" t="str">
        <f>IFERROR(__xludf.DUMMYFUNCTION("""COMPUTED_VALUE"""),"Mustang")</f>
        <v>Mustang</v>
      </c>
      <c r="V3522" t="str">
        <f>IFERROR(__xludf.DUMMYFUNCTION("""COMPUTED_VALUE"""),"Apple CarPlay / Android Auto / SiriusXM Radio")</f>
        <v>Apple CarPlay / Android Auto / SiriusXM Radio</v>
      </c>
      <c r="AH3522" s="189">
        <f>IFERROR(__xludf.DUMMYFUNCTION("""COMPUTED_VALUE"""),44508.39030515046)</f>
        <v>44508.39031</v>
      </c>
    </row>
    <row r="3523">
      <c r="A3523" t="str">
        <f>IFERROR(__xludf.DUMMYFUNCTION("""COMPUTED_VALUE"""),"s1sdsu")</f>
        <v>s1sdsu</v>
      </c>
      <c r="B3523" t="str">
        <f>IFERROR(__xludf.DUMMYFUNCTION("""COMPUTED_VALUE"""),"San Diego")</f>
        <v>San Diego</v>
      </c>
      <c r="C3523" t="str">
        <f>IFERROR(__xludf.DUMMYFUNCTION("""COMPUTED_VALUE"""),"CA")</f>
        <v>CA</v>
      </c>
      <c r="D3523" t="str">
        <f>IFERROR(__xludf.DUMMYFUNCTION("""COMPUTED_VALUE"""),"USA")</f>
        <v>USA</v>
      </c>
      <c r="E3523" s="188">
        <f>IFERROR(__xludf.DUMMYFUNCTION("""COMPUTED_VALUE"""),44453.0)</f>
        <v>44453</v>
      </c>
      <c r="N3523" t="str">
        <f>IFERROR(__xludf.DUMMYFUNCTION("""COMPUTED_VALUE"""),"Model 3 LR AWD")</f>
        <v>Model 3 LR AWD</v>
      </c>
      <c r="O3523" t="str">
        <f>IFERROR(__xludf.DUMMYFUNCTION("""COMPUTED_VALUE"""),"Solid Black")</f>
        <v>Solid Black</v>
      </c>
      <c r="P3523" t="str">
        <f>IFERROR(__xludf.DUMMYFUNCTION("""COMPUTED_VALUE"""),"19 inch")</f>
        <v>19 inch</v>
      </c>
      <c r="Q3523" t="str">
        <f>IFERROR(__xludf.DUMMYFUNCTION("""COMPUTED_VALUE"""),"All Black")</f>
        <v>All Black</v>
      </c>
      <c r="R3523" t="str">
        <f>IFERROR(__xludf.DUMMYFUNCTION("""COMPUTED_VALUE"""),"Autopilot included")</f>
        <v>Autopilot included</v>
      </c>
      <c r="S3523" t="str">
        <f>IFERROR(__xludf.DUMMYFUNCTION("""COMPUTED_VALUE"""),"Loan")</f>
        <v>Loan</v>
      </c>
      <c r="T3523" t="str">
        <f>IFERROR(__xludf.DUMMYFUNCTION("""COMPUTED_VALUE"""),"Toyota Prius")</f>
        <v>Toyota Prius</v>
      </c>
      <c r="U3523" t="str">
        <f>IFERROR(__xludf.DUMMYFUNCTION("""COMPUTED_VALUE"""),"All above")</f>
        <v>All above</v>
      </c>
      <c r="V3523" t="str">
        <f>IFERROR(__xludf.DUMMYFUNCTION("""COMPUTED_VALUE"""),"HUD, Blind alert, video on turn signal, lower suspension ")</f>
        <v>HUD, Blind alert, video on turn signal, lower suspension </v>
      </c>
      <c r="AH3523" s="189">
        <f>IFERROR(__xludf.DUMMYFUNCTION("""COMPUTED_VALUE"""),44458.98680197917)</f>
        <v>44458.9868</v>
      </c>
    </row>
    <row r="3524">
      <c r="A3524" t="str">
        <f>IFERROR(__xludf.DUMMYFUNCTION("""COMPUTED_VALUE"""),"Jaydinnn")</f>
        <v>Jaydinnn</v>
      </c>
      <c r="B3524" t="str">
        <f>IFERROR(__xludf.DUMMYFUNCTION("""COMPUTED_VALUE"""),"Belleville")</f>
        <v>Belleville</v>
      </c>
      <c r="C3524" t="str">
        <f>IFERROR(__xludf.DUMMYFUNCTION("""COMPUTED_VALUE"""),"ON")</f>
        <v>ON</v>
      </c>
      <c r="D3524" t="str">
        <f>IFERROR(__xludf.DUMMYFUNCTION("""COMPUTED_VALUE"""),"Canada")</f>
        <v>Canada</v>
      </c>
      <c r="E3524" s="188">
        <f>IFERROR(__xludf.DUMMYFUNCTION("""COMPUTED_VALUE"""),44430.0)</f>
        <v>44430</v>
      </c>
      <c r="N3524" t="str">
        <f>IFERROR(__xludf.DUMMYFUNCTION("""COMPUTED_VALUE"""),"Model 3 SR+")</f>
        <v>Model 3 SR+</v>
      </c>
      <c r="O3524" t="str">
        <f>IFERROR(__xludf.DUMMYFUNCTION("""COMPUTED_VALUE"""),"Pearl White Multi-Coat")</f>
        <v>Pearl White Multi-Coat</v>
      </c>
      <c r="P3524" t="str">
        <f>IFERROR(__xludf.DUMMYFUNCTION("""COMPUTED_VALUE"""),"18 inch")</f>
        <v>18 inch</v>
      </c>
      <c r="Q3524" t="str">
        <f>IFERROR(__xludf.DUMMYFUNCTION("""COMPUTED_VALUE"""),"All Black")</f>
        <v>All Black</v>
      </c>
      <c r="R3524" t="str">
        <f>IFERROR(__xludf.DUMMYFUNCTION("""COMPUTED_VALUE"""),"Autopilot included")</f>
        <v>Autopilot included</v>
      </c>
      <c r="S3524" t="str">
        <f>IFERROR(__xludf.DUMMYFUNCTION("""COMPUTED_VALUE"""),"Loan")</f>
        <v>Loan</v>
      </c>
      <c r="T3524" t="str">
        <f>IFERROR(__xludf.DUMMYFUNCTION("""COMPUTED_VALUE"""),"Hyundai Elantra")</f>
        <v>Hyundai Elantra</v>
      </c>
      <c r="U3524" t="str">
        <f>IFERROR(__xludf.DUMMYFUNCTION("""COMPUTED_VALUE"""),"Speed")</f>
        <v>Speed</v>
      </c>
      <c r="V3524" t="str">
        <f>IFERROR(__xludf.DUMMYFUNCTION("""COMPUTED_VALUE"""),"Head-up display")</f>
        <v>Head-up display</v>
      </c>
      <c r="AH3524" s="189">
        <f>IFERROR(__xludf.DUMMYFUNCTION("""COMPUTED_VALUE"""),44459.36464668981)</f>
        <v>44459.36465</v>
      </c>
    </row>
    <row r="3525">
      <c r="A3525" t="str">
        <f>IFERROR(__xludf.DUMMYFUNCTION("""COMPUTED_VALUE"""),"Kousze")</f>
        <v>Kousze</v>
      </c>
      <c r="B3525" t="str">
        <f>IFERROR(__xludf.DUMMYFUNCTION("""COMPUTED_VALUE"""),"Apex")</f>
        <v>Apex</v>
      </c>
      <c r="C3525" t="str">
        <f>IFERROR(__xludf.DUMMYFUNCTION("""COMPUTED_VALUE"""),"NC")</f>
        <v>NC</v>
      </c>
      <c r="D3525" t="str">
        <f>IFERROR(__xludf.DUMMYFUNCTION("""COMPUTED_VALUE"""),"USA")</f>
        <v>USA</v>
      </c>
      <c r="E3525" s="188">
        <f>IFERROR(__xludf.DUMMYFUNCTION("""COMPUTED_VALUE"""),44424.0)</f>
        <v>44424</v>
      </c>
      <c r="F3525" s="188">
        <f>IFERROR(__xludf.DUMMYFUNCTION("""COMPUTED_VALUE"""),44493.0)</f>
        <v>44493</v>
      </c>
      <c r="H3525">
        <f>IFERROR(__xludf.DUMMYFUNCTION("""COMPUTED_VALUE"""),93455.0)</f>
        <v>93455</v>
      </c>
      <c r="J3525" s="188">
        <f>IFERROR(__xludf.DUMMYFUNCTION("""COMPUTED_VALUE"""),44510.0)</f>
        <v>44510</v>
      </c>
      <c r="K3525">
        <f>IFERROR(__xludf.DUMMYFUNCTION("""COMPUTED_VALUE"""),69.0)</f>
        <v>69</v>
      </c>
      <c r="L3525">
        <f>IFERROR(__xludf.DUMMYFUNCTION("""COMPUTED_VALUE"""),17.0)</f>
        <v>17</v>
      </c>
      <c r="M3525">
        <f>IFERROR(__xludf.DUMMYFUNCTION("""COMPUTED_VALUE"""),86.0)</f>
        <v>86</v>
      </c>
      <c r="N3525" t="str">
        <f>IFERROR(__xludf.DUMMYFUNCTION("""COMPUTED_VALUE"""),"Model 3 SR+")</f>
        <v>Model 3 SR+</v>
      </c>
      <c r="O3525" t="str">
        <f>IFERROR(__xludf.DUMMYFUNCTION("""COMPUTED_VALUE"""),"Pearl White Multi-Coat")</f>
        <v>Pearl White Multi-Coat</v>
      </c>
      <c r="P3525" t="str">
        <f>IFERROR(__xludf.DUMMYFUNCTION("""COMPUTED_VALUE"""),"18 inch")</f>
        <v>18 inch</v>
      </c>
      <c r="Q3525" t="str">
        <f>IFERROR(__xludf.DUMMYFUNCTION("""COMPUTED_VALUE"""),"All Black")</f>
        <v>All Black</v>
      </c>
      <c r="R3525" t="str">
        <f>IFERROR(__xludf.DUMMYFUNCTION("""COMPUTED_VALUE"""),"Autopilot included")</f>
        <v>Autopilot included</v>
      </c>
      <c r="S3525" t="str">
        <f>IFERROR(__xludf.DUMMYFUNCTION("""COMPUTED_VALUE"""),"Loan")</f>
        <v>Loan</v>
      </c>
      <c r="U3525" t="str">
        <f>IFERROR(__xludf.DUMMYFUNCTION("""COMPUTED_VALUE"""),"Electric!")</f>
        <v>Electric!</v>
      </c>
      <c r="V3525" t="str">
        <f>IFERROR(__xludf.DUMMYFUNCTION("""COMPUTED_VALUE"""),"Apple CarPlay / Android Auto / SiriusXM Radio")</f>
        <v>Apple CarPlay / Android Auto / SiriusXM Radio</v>
      </c>
      <c r="AH3525" s="189">
        <f>IFERROR(__xludf.DUMMYFUNCTION("""COMPUTED_VALUE"""),44495.772967349534)</f>
        <v>44495.77297</v>
      </c>
    </row>
    <row r="3526">
      <c r="A3526" t="str">
        <f>IFERROR(__xludf.DUMMYFUNCTION("""COMPUTED_VALUE"""),"orntar")</f>
        <v>orntar</v>
      </c>
      <c r="B3526" t="str">
        <f>IFERROR(__xludf.DUMMYFUNCTION("""COMPUTED_VALUE"""),"Meridian")</f>
        <v>Meridian</v>
      </c>
      <c r="C3526" t="str">
        <f>IFERROR(__xludf.DUMMYFUNCTION("""COMPUTED_VALUE"""),"ID")</f>
        <v>ID</v>
      </c>
      <c r="D3526" t="str">
        <f>IFERROR(__xludf.DUMMYFUNCTION("""COMPUTED_VALUE"""),"USA")</f>
        <v>USA</v>
      </c>
      <c r="E3526" s="188">
        <f>IFERROR(__xludf.DUMMYFUNCTION("""COMPUTED_VALUE"""),44456.0)</f>
        <v>44456</v>
      </c>
      <c r="N3526" t="str">
        <f>IFERROR(__xludf.DUMMYFUNCTION("""COMPUTED_VALUE"""),"Model 3 LR AWD")</f>
        <v>Model 3 LR AWD</v>
      </c>
      <c r="O3526" t="str">
        <f>IFERROR(__xludf.DUMMYFUNCTION("""COMPUTED_VALUE"""),"Midnight Silver Metallic")</f>
        <v>Midnight Silver Metallic</v>
      </c>
      <c r="P3526" t="str">
        <f>IFERROR(__xludf.DUMMYFUNCTION("""COMPUTED_VALUE"""),"18 inch")</f>
        <v>18 inch</v>
      </c>
      <c r="Q3526" t="str">
        <f>IFERROR(__xludf.DUMMYFUNCTION("""COMPUTED_VALUE"""),"All Black")</f>
        <v>All Black</v>
      </c>
      <c r="R3526" t="str">
        <f>IFERROR(__xludf.DUMMYFUNCTION("""COMPUTED_VALUE"""),"Autopilot included")</f>
        <v>Autopilot included</v>
      </c>
      <c r="S3526" t="str">
        <f>IFERROR(__xludf.DUMMYFUNCTION("""COMPUTED_VALUE"""),"Loan")</f>
        <v>Loan</v>
      </c>
      <c r="T3526" t="str">
        <f>IFERROR(__xludf.DUMMYFUNCTION("""COMPUTED_VALUE"""),"F150")</f>
        <v>F150</v>
      </c>
      <c r="U3526" t="str">
        <f>IFERROR(__xludf.DUMMYFUNCTION("""COMPUTED_VALUE"""),"Electric!")</f>
        <v>Electric!</v>
      </c>
      <c r="V3526" t="str">
        <f>IFERROR(__xludf.DUMMYFUNCTION("""COMPUTED_VALUE"""),"HomeLink")</f>
        <v>HomeLink</v>
      </c>
      <c r="AH3526" s="189">
        <f>IFERROR(__xludf.DUMMYFUNCTION("""COMPUTED_VALUE"""),44459.50136380787)</f>
        <v>44459.50136</v>
      </c>
    </row>
    <row r="3527">
      <c r="A3527" t="str">
        <f>IFERROR(__xludf.DUMMYFUNCTION("""COMPUTED_VALUE"""),"bgonline")</f>
        <v>bgonline</v>
      </c>
      <c r="B3527" t="str">
        <f>IFERROR(__xludf.DUMMYFUNCTION("""COMPUTED_VALUE"""),"Baltimore")</f>
        <v>Baltimore</v>
      </c>
      <c r="C3527" t="str">
        <f>IFERROR(__xludf.DUMMYFUNCTION("""COMPUTED_VALUE"""),"MD")</f>
        <v>MD</v>
      </c>
      <c r="D3527" t="str">
        <f>IFERROR(__xludf.DUMMYFUNCTION("""COMPUTED_VALUE"""),"USA")</f>
        <v>USA</v>
      </c>
      <c r="E3527" s="188">
        <f>IFERROR(__xludf.DUMMYFUNCTION("""COMPUTED_VALUE"""),44455.0)</f>
        <v>44455</v>
      </c>
      <c r="F3527" s="188">
        <f>IFERROR(__xludf.DUMMYFUNCTION("""COMPUTED_VALUE"""),44477.0)</f>
        <v>44477</v>
      </c>
      <c r="G3527" t="str">
        <f>IFERROR(__xludf.DUMMYFUNCTION("""COMPUTED_VALUE"""),"Manage order page (normal text)")</f>
        <v>Manage order page (normal text)</v>
      </c>
      <c r="I3527" t="str">
        <f>IFERROR(__xludf.DUMMYFUNCTION("""COMPUTED_VALUE"""),"10/21")</f>
        <v>10/21</v>
      </c>
      <c r="J3527" s="188">
        <f>IFERROR(__xludf.DUMMYFUNCTION("""COMPUTED_VALUE"""),44492.0)</f>
        <v>44492</v>
      </c>
      <c r="K3527">
        <f>IFERROR(__xludf.DUMMYFUNCTION("""COMPUTED_VALUE"""),22.0)</f>
        <v>22</v>
      </c>
      <c r="L3527">
        <f>IFERROR(__xludf.DUMMYFUNCTION("""COMPUTED_VALUE"""),15.0)</f>
        <v>15</v>
      </c>
      <c r="M3527">
        <f>IFERROR(__xludf.DUMMYFUNCTION("""COMPUTED_VALUE"""),37.0)</f>
        <v>37</v>
      </c>
      <c r="N3527" t="str">
        <f>IFERROR(__xludf.DUMMYFUNCTION("""COMPUTED_VALUE"""),"Model 3 Performance")</f>
        <v>Model 3 Performance</v>
      </c>
      <c r="O3527" t="str">
        <f>IFERROR(__xludf.DUMMYFUNCTION("""COMPUTED_VALUE"""),"Solid Black")</f>
        <v>Solid Black</v>
      </c>
      <c r="P3527" t="str">
        <f>IFERROR(__xludf.DUMMYFUNCTION("""COMPUTED_VALUE"""),"20 inch")</f>
        <v>20 inch</v>
      </c>
      <c r="Q3527" t="str">
        <f>IFERROR(__xludf.DUMMYFUNCTION("""COMPUTED_VALUE"""),"Black and White")</f>
        <v>Black and White</v>
      </c>
      <c r="R3527" t="str">
        <f>IFERROR(__xludf.DUMMYFUNCTION("""COMPUTED_VALUE"""),"Full Self-Driving")</f>
        <v>Full Self-Driving</v>
      </c>
      <c r="S3527" t="str">
        <f>IFERROR(__xludf.DUMMYFUNCTION("""COMPUTED_VALUE"""),"Cash")</f>
        <v>Cash</v>
      </c>
      <c r="T3527" t="str">
        <f>IFERROR(__xludf.DUMMYFUNCTION("""COMPUTED_VALUE"""),"Volvo V90 R Design")</f>
        <v>Volvo V90 R Design</v>
      </c>
      <c r="U3527" t="str">
        <f>IFERROR(__xludf.DUMMYFUNCTION("""COMPUTED_VALUE"""),"Electric!")</f>
        <v>Electric!</v>
      </c>
      <c r="V3527" t="str">
        <f>IFERROR(__xludf.DUMMYFUNCTION("""COMPUTED_VALUE"""),"Head-up display")</f>
        <v>Head-up display</v>
      </c>
      <c r="W3527" t="str">
        <f>IFERROR(__xludf.DUMMYFUNCTION("""COMPUTED_VALUE"""),"Get a referral code")</f>
        <v>Get a referral code</v>
      </c>
      <c r="X3527" t="str">
        <f>IFERROR(__xludf.DUMMYFUNCTION("""COMPUTED_VALUE"""),"Very Good")</f>
        <v>Very Good</v>
      </c>
      <c r="Y3527" t="str">
        <f>IFERROR(__xludf.DUMMYFUNCTION("""COMPUTED_VALUE"""),"Very Good")</f>
        <v>Very Good</v>
      </c>
      <c r="Z3527" t="str">
        <f>IFERROR(__xludf.DUMMYFUNCTION("""COMPUTED_VALUE"""),"Very Good")</f>
        <v>Very Good</v>
      </c>
      <c r="AA3527" t="str">
        <f>IFERROR(__xludf.DUMMYFUNCTION("""COMPUTED_VALUE"""),"Excellent")</f>
        <v>Excellent</v>
      </c>
      <c r="AB3527" t="str">
        <f>IFERROR(__xludf.DUMMYFUNCTION("""COMPUTED_VALUE"""),"Excellent")</f>
        <v>Excellent</v>
      </c>
      <c r="AC3527">
        <f>IFERROR(__xludf.DUMMYFUNCTION("""COMPUTED_VALUE"""),1.0)</f>
        <v>1</v>
      </c>
      <c r="AH3527" s="189">
        <f>IFERROR(__xludf.DUMMYFUNCTION("""COMPUTED_VALUE"""),44503.767063136576)</f>
        <v>44503.76706</v>
      </c>
    </row>
    <row r="3528">
      <c r="A3528" t="str">
        <f>IFERROR(__xludf.DUMMYFUNCTION("""COMPUTED_VALUE"""),"NemoNine")</f>
        <v>NemoNine</v>
      </c>
      <c r="C3528" t="str">
        <f>IFERROR(__xludf.DUMMYFUNCTION("""COMPUTED_VALUE"""),"GA")</f>
        <v>GA</v>
      </c>
      <c r="D3528" t="str">
        <f>IFERROR(__xludf.DUMMYFUNCTION("""COMPUTED_VALUE"""),"USA")</f>
        <v>USA</v>
      </c>
      <c r="E3528" s="188">
        <f>IFERROR(__xludf.DUMMYFUNCTION("""COMPUTED_VALUE"""),44457.0)</f>
        <v>44457</v>
      </c>
      <c r="N3528" t="str">
        <f>IFERROR(__xludf.DUMMYFUNCTION("""COMPUTED_VALUE"""),"Model 3 Performance")</f>
        <v>Model 3 Performance</v>
      </c>
      <c r="O3528" t="str">
        <f>IFERROR(__xludf.DUMMYFUNCTION("""COMPUTED_VALUE"""),"Pearl White Multi-Coat")</f>
        <v>Pearl White Multi-Coat</v>
      </c>
      <c r="P3528" t="str">
        <f>IFERROR(__xludf.DUMMYFUNCTION("""COMPUTED_VALUE"""),"20 inch")</f>
        <v>20 inch</v>
      </c>
      <c r="Q3528" t="str">
        <f>IFERROR(__xludf.DUMMYFUNCTION("""COMPUTED_VALUE"""),"Black and White")</f>
        <v>Black and White</v>
      </c>
      <c r="R3528" t="str">
        <f>IFERROR(__xludf.DUMMYFUNCTION("""COMPUTED_VALUE"""),"Autopilot included")</f>
        <v>Autopilot included</v>
      </c>
      <c r="S3528" t="str">
        <f>IFERROR(__xludf.DUMMYFUNCTION("""COMPUTED_VALUE"""),"Loan")</f>
        <v>Loan</v>
      </c>
      <c r="AH3528" s="189">
        <f>IFERROR(__xludf.DUMMYFUNCTION("""COMPUTED_VALUE"""),44459.72317657407)</f>
        <v>44459.72318</v>
      </c>
    </row>
    <row r="3529">
      <c r="A3529" t="str">
        <f>IFERROR(__xludf.DUMMYFUNCTION("""COMPUTED_VALUE"""),"tommiexboi")</f>
        <v>tommiexboi</v>
      </c>
      <c r="B3529" t="str">
        <f>IFERROR(__xludf.DUMMYFUNCTION("""COMPUTED_VALUE"""),"Irvine")</f>
        <v>Irvine</v>
      </c>
      <c r="C3529" t="str">
        <f>IFERROR(__xludf.DUMMYFUNCTION("""COMPUTED_VALUE"""),"CA")</f>
        <v>CA</v>
      </c>
      <c r="D3529" t="str">
        <f>IFERROR(__xludf.DUMMYFUNCTION("""COMPUTED_VALUE"""),"USA")</f>
        <v>USA</v>
      </c>
      <c r="E3529" s="188">
        <f>IFERROR(__xludf.DUMMYFUNCTION("""COMPUTED_VALUE"""),44451.0)</f>
        <v>44451</v>
      </c>
      <c r="N3529" t="str">
        <f>IFERROR(__xludf.DUMMYFUNCTION("""COMPUTED_VALUE"""),"Model 3 SR+")</f>
        <v>Model 3 SR+</v>
      </c>
      <c r="O3529" t="str">
        <f>IFERROR(__xludf.DUMMYFUNCTION("""COMPUTED_VALUE"""),"Solid Black")</f>
        <v>Solid Black</v>
      </c>
      <c r="P3529" t="str">
        <f>IFERROR(__xludf.DUMMYFUNCTION("""COMPUTED_VALUE"""),"18 inch")</f>
        <v>18 inch</v>
      </c>
      <c r="Q3529" t="str">
        <f>IFERROR(__xludf.DUMMYFUNCTION("""COMPUTED_VALUE"""),"All Black")</f>
        <v>All Black</v>
      </c>
      <c r="R3529" t="str">
        <f>IFERROR(__xludf.DUMMYFUNCTION("""COMPUTED_VALUE"""),"Autopilot included")</f>
        <v>Autopilot included</v>
      </c>
      <c r="S3529" t="str">
        <f>IFERROR(__xludf.DUMMYFUNCTION("""COMPUTED_VALUE"""),"Loan")</f>
        <v>Loan</v>
      </c>
      <c r="T3529" t="str">
        <f>IFERROR(__xludf.DUMMYFUNCTION("""COMPUTED_VALUE"""),"Toyota 4Runner")</f>
        <v>Toyota 4Runner</v>
      </c>
      <c r="U3529" t="str">
        <f>IFERROR(__xludf.DUMMYFUNCTION("""COMPUTED_VALUE"""),"Autopilot")</f>
        <v>Autopilot</v>
      </c>
      <c r="V3529" t="str">
        <f>IFERROR(__xludf.DUMMYFUNCTION("""COMPUTED_VALUE"""),"Apple CarPlay / Android Auto / SiriusXM Radio")</f>
        <v>Apple CarPlay / Android Auto / SiriusXM Radio</v>
      </c>
      <c r="AH3529" s="189">
        <f>IFERROR(__xludf.DUMMYFUNCTION("""COMPUTED_VALUE"""),44459.914734756945)</f>
        <v>44459.91473</v>
      </c>
    </row>
    <row r="3530">
      <c r="A3530" t="str">
        <f>IFERROR(__xludf.DUMMYFUNCTION("""COMPUTED_VALUE"""),"nrj")</f>
        <v>nrj</v>
      </c>
      <c r="B3530" t="str">
        <f>IFERROR(__xludf.DUMMYFUNCTION("""COMPUTED_VALUE"""),"Seattle")</f>
        <v>Seattle</v>
      </c>
      <c r="C3530" t="str">
        <f>IFERROR(__xludf.DUMMYFUNCTION("""COMPUTED_VALUE"""),"WA")</f>
        <v>WA</v>
      </c>
      <c r="D3530" t="str">
        <f>IFERROR(__xludf.DUMMYFUNCTION("""COMPUTED_VALUE"""),"USA")</f>
        <v>USA</v>
      </c>
      <c r="E3530" s="188">
        <f>IFERROR(__xludf.DUMMYFUNCTION("""COMPUTED_VALUE"""),44444.0)</f>
        <v>44444</v>
      </c>
      <c r="N3530" t="str">
        <f>IFERROR(__xludf.DUMMYFUNCTION("""COMPUTED_VALUE"""),"Model 3 Performance")</f>
        <v>Model 3 Performance</v>
      </c>
      <c r="O3530" t="str">
        <f>IFERROR(__xludf.DUMMYFUNCTION("""COMPUTED_VALUE"""),"Pearl White Multi-Coat")</f>
        <v>Pearl White Multi-Coat</v>
      </c>
      <c r="P3530" t="str">
        <f>IFERROR(__xludf.DUMMYFUNCTION("""COMPUTED_VALUE"""),"20 inch")</f>
        <v>20 inch</v>
      </c>
      <c r="Q3530" t="str">
        <f>IFERROR(__xludf.DUMMYFUNCTION("""COMPUTED_VALUE"""),"Black and White")</f>
        <v>Black and White</v>
      </c>
      <c r="R3530" t="str">
        <f>IFERROR(__xludf.DUMMYFUNCTION("""COMPUTED_VALUE"""),"Autopilot included")</f>
        <v>Autopilot included</v>
      </c>
      <c r="S3530" t="str">
        <f>IFERROR(__xludf.DUMMYFUNCTION("""COMPUTED_VALUE"""),"Loan")</f>
        <v>Loan</v>
      </c>
      <c r="T3530" t="str">
        <f>IFERROR(__xludf.DUMMYFUNCTION("""COMPUTED_VALUE"""),"Toyota 4Runner")</f>
        <v>Toyota 4Runner</v>
      </c>
      <c r="U3530" t="str">
        <f>IFERROR(__xludf.DUMMYFUNCTION("""COMPUTED_VALUE"""),"Tesla brand image")</f>
        <v>Tesla brand image</v>
      </c>
      <c r="V3530" t="str">
        <f>IFERROR(__xludf.DUMMYFUNCTION("""COMPUTED_VALUE"""),"Head-up display")</f>
        <v>Head-up display</v>
      </c>
      <c r="AH3530" s="189">
        <f>IFERROR(__xludf.DUMMYFUNCTION("""COMPUTED_VALUE"""),44460.59675793981)</f>
        <v>44460.59676</v>
      </c>
    </row>
    <row r="3531">
      <c r="A3531" t="str">
        <f>IFERROR(__xludf.DUMMYFUNCTION("""COMPUTED_VALUE"""),"MattyK14")</f>
        <v>MattyK14</v>
      </c>
      <c r="B3531" t="str">
        <f>IFERROR(__xludf.DUMMYFUNCTION("""COMPUTED_VALUE"""),"Paradise")</f>
        <v>Paradise</v>
      </c>
      <c r="C3531" t="str">
        <f>IFERROR(__xludf.DUMMYFUNCTION("""COMPUTED_VALUE"""),"NL")</f>
        <v>NL</v>
      </c>
      <c r="D3531" t="str">
        <f>IFERROR(__xludf.DUMMYFUNCTION("""COMPUTED_VALUE"""),"Canada")</f>
        <v>Canada</v>
      </c>
      <c r="E3531" s="188">
        <f>IFERROR(__xludf.DUMMYFUNCTION("""COMPUTED_VALUE"""),44452.0)</f>
        <v>44452</v>
      </c>
      <c r="N3531" t="str">
        <f>IFERROR(__xludf.DUMMYFUNCTION("""COMPUTED_VALUE"""),"Model 3 SR+")</f>
        <v>Model 3 SR+</v>
      </c>
      <c r="O3531" t="str">
        <f>IFERROR(__xludf.DUMMYFUNCTION("""COMPUTED_VALUE"""),"Pearl White Multi-Coat")</f>
        <v>Pearl White Multi-Coat</v>
      </c>
      <c r="P3531" t="str">
        <f>IFERROR(__xludf.DUMMYFUNCTION("""COMPUTED_VALUE"""),"18 inch")</f>
        <v>18 inch</v>
      </c>
      <c r="Q3531" t="str">
        <f>IFERROR(__xludf.DUMMYFUNCTION("""COMPUTED_VALUE"""),"All Black")</f>
        <v>All Black</v>
      </c>
      <c r="R3531" t="str">
        <f>IFERROR(__xludf.DUMMYFUNCTION("""COMPUTED_VALUE"""),"Autopilot included")</f>
        <v>Autopilot included</v>
      </c>
      <c r="S3531" t="str">
        <f>IFERROR(__xludf.DUMMYFUNCTION("""COMPUTED_VALUE"""),"Loan")</f>
        <v>Loan</v>
      </c>
      <c r="T3531" t="str">
        <f>IFERROR(__xludf.DUMMYFUNCTION("""COMPUTED_VALUE"""),"Mazda 3")</f>
        <v>Mazda 3</v>
      </c>
      <c r="U3531" t="str">
        <f>IFERROR(__xludf.DUMMYFUNCTION("""COMPUTED_VALUE"""),"Electric!")</f>
        <v>Electric!</v>
      </c>
      <c r="V3531" t="str">
        <f>IFERROR(__xludf.DUMMYFUNCTION("""COMPUTED_VALUE"""),"Apple CarPlay / Android Auto / SiriusXM Radio")</f>
        <v>Apple CarPlay / Android Auto / SiriusXM Radio</v>
      </c>
      <c r="AH3531" s="189">
        <f>IFERROR(__xludf.DUMMYFUNCTION("""COMPUTED_VALUE"""),44461.39224533565)</f>
        <v>44461.39225</v>
      </c>
    </row>
    <row r="3532">
      <c r="A3532" t="str">
        <f>IFERROR(__xludf.DUMMYFUNCTION("""COMPUTED_VALUE"""),"Yanhoch")</f>
        <v>Yanhoch</v>
      </c>
      <c r="B3532" t="str">
        <f>IFERROR(__xludf.DUMMYFUNCTION("""COMPUTED_VALUE"""),"Sainte-Julie")</f>
        <v>Sainte-Julie</v>
      </c>
      <c r="C3532" t="str">
        <f>IFERROR(__xludf.DUMMYFUNCTION("""COMPUTED_VALUE"""),"QC")</f>
        <v>QC</v>
      </c>
      <c r="D3532" t="str">
        <f>IFERROR(__xludf.DUMMYFUNCTION("""COMPUTED_VALUE"""),"Canada")</f>
        <v>Canada</v>
      </c>
      <c r="E3532" s="188">
        <f>IFERROR(__xludf.DUMMYFUNCTION("""COMPUTED_VALUE"""),44430.0)</f>
        <v>44430</v>
      </c>
      <c r="N3532" t="str">
        <f>IFERROR(__xludf.DUMMYFUNCTION("""COMPUTED_VALUE"""),"Model 3 SR+")</f>
        <v>Model 3 SR+</v>
      </c>
      <c r="O3532" t="str">
        <f>IFERROR(__xludf.DUMMYFUNCTION("""COMPUTED_VALUE"""),"Pearl White Multi-Coat")</f>
        <v>Pearl White Multi-Coat</v>
      </c>
      <c r="P3532" t="str">
        <f>IFERROR(__xludf.DUMMYFUNCTION("""COMPUTED_VALUE"""),"18 inch")</f>
        <v>18 inch</v>
      </c>
      <c r="Q3532" t="str">
        <f>IFERROR(__xludf.DUMMYFUNCTION("""COMPUTED_VALUE"""),"All Black")</f>
        <v>All Black</v>
      </c>
      <c r="R3532" t="str">
        <f>IFERROR(__xludf.DUMMYFUNCTION("""COMPUTED_VALUE"""),"Autopilot included")</f>
        <v>Autopilot included</v>
      </c>
      <c r="S3532" t="str">
        <f>IFERROR(__xludf.DUMMYFUNCTION("""COMPUTED_VALUE"""),"Loan")</f>
        <v>Loan</v>
      </c>
      <c r="T3532" t="str">
        <f>IFERROR(__xludf.DUMMYFUNCTION("""COMPUTED_VALUE"""),"Nissan Leaf")</f>
        <v>Nissan Leaf</v>
      </c>
      <c r="U3532" t="str">
        <f>IFERROR(__xludf.DUMMYFUNCTION("""COMPUTED_VALUE"""),"Electric!")</f>
        <v>Electric!</v>
      </c>
      <c r="V3532" t="str">
        <f>IFERROR(__xludf.DUMMYFUNCTION("""COMPUTED_VALUE"""),"Heated steering wheel")</f>
        <v>Heated steering wheel</v>
      </c>
      <c r="AH3532" s="189">
        <f>IFERROR(__xludf.DUMMYFUNCTION("""COMPUTED_VALUE"""),44487.85253686343)</f>
        <v>44487.85254</v>
      </c>
    </row>
    <row r="3533">
      <c r="A3533" t="str">
        <f>IFERROR(__xludf.DUMMYFUNCTION("""COMPUTED_VALUE"""),"jkb1983")</f>
        <v>jkb1983</v>
      </c>
      <c r="B3533" t="str">
        <f>IFERROR(__xludf.DUMMYFUNCTION("""COMPUTED_VALUE"""),"Cypress ")</f>
        <v>Cypress </v>
      </c>
      <c r="C3533" t="str">
        <f>IFERROR(__xludf.DUMMYFUNCTION("""COMPUTED_VALUE"""),"CA")</f>
        <v>CA</v>
      </c>
      <c r="D3533" t="str">
        <f>IFERROR(__xludf.DUMMYFUNCTION("""COMPUTED_VALUE"""),"USA")</f>
        <v>USA</v>
      </c>
      <c r="E3533" s="188">
        <f>IFERROR(__xludf.DUMMYFUNCTION("""COMPUTED_VALUE"""),44445.0)</f>
        <v>44445</v>
      </c>
      <c r="N3533" t="str">
        <f>IFERROR(__xludf.DUMMYFUNCTION("""COMPUTED_VALUE"""),"Model 3 SR+")</f>
        <v>Model 3 SR+</v>
      </c>
      <c r="O3533" t="str">
        <f>IFERROR(__xludf.DUMMYFUNCTION("""COMPUTED_VALUE"""),"Pearl White Multi-Coat")</f>
        <v>Pearl White Multi-Coat</v>
      </c>
      <c r="P3533" t="str">
        <f>IFERROR(__xludf.DUMMYFUNCTION("""COMPUTED_VALUE"""),"19 inch")</f>
        <v>19 inch</v>
      </c>
      <c r="Q3533" t="str">
        <f>IFERROR(__xludf.DUMMYFUNCTION("""COMPUTED_VALUE"""),"Black and White")</f>
        <v>Black and White</v>
      </c>
      <c r="R3533" t="str">
        <f>IFERROR(__xludf.DUMMYFUNCTION("""COMPUTED_VALUE"""),"Autopilot included")</f>
        <v>Autopilot included</v>
      </c>
      <c r="S3533" t="str">
        <f>IFERROR(__xludf.DUMMYFUNCTION("""COMPUTED_VALUE"""),"Loan")</f>
        <v>Loan</v>
      </c>
      <c r="T3533" t="str">
        <f>IFERROR(__xludf.DUMMYFUNCTION("""COMPUTED_VALUE"""),"Ford Fusion")</f>
        <v>Ford Fusion</v>
      </c>
      <c r="U3533" t="str">
        <f>IFERROR(__xludf.DUMMYFUNCTION("""COMPUTED_VALUE"""),"Electric!")</f>
        <v>Electric!</v>
      </c>
      <c r="V3533" t="str">
        <f>IFERROR(__xludf.DUMMYFUNCTION("""COMPUTED_VALUE"""),"360° Bird's eye view")</f>
        <v>360° Bird's eye view</v>
      </c>
      <c r="AH3533" s="189">
        <f>IFERROR(__xludf.DUMMYFUNCTION("""COMPUTED_VALUE"""),44461.62603818287)</f>
        <v>44461.62604</v>
      </c>
    </row>
    <row r="3534">
      <c r="A3534" t="str">
        <f>IFERROR(__xludf.DUMMYFUNCTION("""COMPUTED_VALUE"""),"BrooksH")</f>
        <v>BrooksH</v>
      </c>
      <c r="B3534" t="str">
        <f>IFERROR(__xludf.DUMMYFUNCTION("""COMPUTED_VALUE"""),"Kirkland")</f>
        <v>Kirkland</v>
      </c>
      <c r="C3534" t="str">
        <f>IFERROR(__xludf.DUMMYFUNCTION("""COMPUTED_VALUE"""),"WA")</f>
        <v>WA</v>
      </c>
      <c r="D3534" t="str">
        <f>IFERROR(__xludf.DUMMYFUNCTION("""COMPUTED_VALUE"""),"USA")</f>
        <v>USA</v>
      </c>
      <c r="E3534" s="188">
        <f>IFERROR(__xludf.DUMMYFUNCTION("""COMPUTED_VALUE"""),44434.0)</f>
        <v>44434</v>
      </c>
      <c r="N3534" t="str">
        <f>IFERROR(__xludf.DUMMYFUNCTION("""COMPUTED_VALUE"""),"Model 3 SR+")</f>
        <v>Model 3 SR+</v>
      </c>
      <c r="O3534" t="str">
        <f>IFERROR(__xludf.DUMMYFUNCTION("""COMPUTED_VALUE"""),"Midnight Silver Metallic")</f>
        <v>Midnight Silver Metallic</v>
      </c>
      <c r="P3534" t="str">
        <f>IFERROR(__xludf.DUMMYFUNCTION("""COMPUTED_VALUE"""),"19 inch")</f>
        <v>19 inch</v>
      </c>
      <c r="Q3534" t="str">
        <f>IFERROR(__xludf.DUMMYFUNCTION("""COMPUTED_VALUE"""),"All Black")</f>
        <v>All Black</v>
      </c>
      <c r="R3534" t="str">
        <f>IFERROR(__xludf.DUMMYFUNCTION("""COMPUTED_VALUE"""),"Autopilot included")</f>
        <v>Autopilot included</v>
      </c>
      <c r="S3534" t="str">
        <f>IFERROR(__xludf.DUMMYFUNCTION("""COMPUTED_VALUE"""),"Loan")</f>
        <v>Loan</v>
      </c>
      <c r="T3534" t="str">
        <f>IFERROR(__xludf.DUMMYFUNCTION("""COMPUTED_VALUE"""),"Ford Fusion Energi")</f>
        <v>Ford Fusion Energi</v>
      </c>
      <c r="U3534" t="str">
        <f>IFERROR(__xludf.DUMMYFUNCTION("""COMPUTED_VALUE"""),"Autopilot")</f>
        <v>Autopilot</v>
      </c>
      <c r="V3534" t="str">
        <f>IFERROR(__xludf.DUMMYFUNCTION("""COMPUTED_VALUE"""),"360° Bird's eye view")</f>
        <v>360° Bird's eye view</v>
      </c>
      <c r="AH3534" s="189">
        <f>IFERROR(__xludf.DUMMYFUNCTION("""COMPUTED_VALUE"""),44462.06045065972)</f>
        <v>44462.06045</v>
      </c>
    </row>
    <row r="3535">
      <c r="A3535" t="str">
        <f>IFERROR(__xludf.DUMMYFUNCTION("""COMPUTED_VALUE"""),"sap5001")</f>
        <v>sap5001</v>
      </c>
      <c r="B3535" t="str">
        <f>IFERROR(__xludf.DUMMYFUNCTION("""COMPUTED_VALUE"""),"Apex")</f>
        <v>Apex</v>
      </c>
      <c r="C3535" t="str">
        <f>IFERROR(__xludf.DUMMYFUNCTION("""COMPUTED_VALUE"""),"NC")</f>
        <v>NC</v>
      </c>
      <c r="D3535" t="str">
        <f>IFERROR(__xludf.DUMMYFUNCTION("""COMPUTED_VALUE"""),"USA")</f>
        <v>USA</v>
      </c>
      <c r="E3535" s="188">
        <f>IFERROR(__xludf.DUMMYFUNCTION("""COMPUTED_VALUE"""),44448.0)</f>
        <v>44448</v>
      </c>
      <c r="N3535" t="str">
        <f>IFERROR(__xludf.DUMMYFUNCTION("""COMPUTED_VALUE"""),"Model 3 SR+")</f>
        <v>Model 3 SR+</v>
      </c>
      <c r="O3535" t="str">
        <f>IFERROR(__xludf.DUMMYFUNCTION("""COMPUTED_VALUE"""),"Midnight Silver Metallic")</f>
        <v>Midnight Silver Metallic</v>
      </c>
      <c r="P3535" t="str">
        <f>IFERROR(__xludf.DUMMYFUNCTION("""COMPUTED_VALUE"""),"18 inch")</f>
        <v>18 inch</v>
      </c>
      <c r="Q3535" t="str">
        <f>IFERROR(__xludf.DUMMYFUNCTION("""COMPUTED_VALUE"""),"All Black")</f>
        <v>All Black</v>
      </c>
      <c r="R3535" t="str">
        <f>IFERROR(__xludf.DUMMYFUNCTION("""COMPUTED_VALUE"""),"Autopilot included")</f>
        <v>Autopilot included</v>
      </c>
      <c r="S3535" t="str">
        <f>IFERROR(__xludf.DUMMYFUNCTION("""COMPUTED_VALUE"""),"Loan")</f>
        <v>Loan</v>
      </c>
      <c r="U3535" t="str">
        <f>IFERROR(__xludf.DUMMYFUNCTION("""COMPUTED_VALUE"""),"Electric!")</f>
        <v>Electric!</v>
      </c>
      <c r="V3535" t="str">
        <f>IFERROR(__xludf.DUMMYFUNCTION("""COMPUTED_VALUE"""),"360° Bird's eye view")</f>
        <v>360° Bird's eye view</v>
      </c>
      <c r="AH3535" s="189">
        <f>IFERROR(__xludf.DUMMYFUNCTION("""COMPUTED_VALUE"""),44462.30533761574)</f>
        <v>44462.30534</v>
      </c>
    </row>
    <row r="3536">
      <c r="A3536" t="str">
        <f>IFERROR(__xludf.DUMMYFUNCTION("""COMPUTED_VALUE"""),"akitainu")</f>
        <v>akitainu</v>
      </c>
      <c r="B3536" t="str">
        <f>IFERROR(__xludf.DUMMYFUNCTION("""COMPUTED_VALUE"""),"Redmond")</f>
        <v>Redmond</v>
      </c>
      <c r="C3536" t="str">
        <f>IFERROR(__xludf.DUMMYFUNCTION("""COMPUTED_VALUE"""),"WA")</f>
        <v>WA</v>
      </c>
      <c r="D3536" t="str">
        <f>IFERROR(__xludf.DUMMYFUNCTION("""COMPUTED_VALUE"""),"USA")</f>
        <v>USA</v>
      </c>
      <c r="E3536" s="188">
        <f>IFERROR(__xludf.DUMMYFUNCTION("""COMPUTED_VALUE"""),44458.0)</f>
        <v>44458</v>
      </c>
      <c r="N3536" t="str">
        <f>IFERROR(__xludf.DUMMYFUNCTION("""COMPUTED_VALUE"""),"Model 3 SR+")</f>
        <v>Model 3 SR+</v>
      </c>
      <c r="O3536" t="str">
        <f>IFERROR(__xludf.DUMMYFUNCTION("""COMPUTED_VALUE"""),"Pearl White Multi-Coat")</f>
        <v>Pearl White Multi-Coat</v>
      </c>
      <c r="P3536" t="str">
        <f>IFERROR(__xludf.DUMMYFUNCTION("""COMPUTED_VALUE"""),"18 inch")</f>
        <v>18 inch</v>
      </c>
      <c r="Q3536" t="str">
        <f>IFERROR(__xludf.DUMMYFUNCTION("""COMPUTED_VALUE"""),"All Black")</f>
        <v>All Black</v>
      </c>
      <c r="R3536" t="str">
        <f>IFERROR(__xludf.DUMMYFUNCTION("""COMPUTED_VALUE"""),"Autopilot included")</f>
        <v>Autopilot included</v>
      </c>
      <c r="S3536" t="str">
        <f>IFERROR(__xludf.DUMMYFUNCTION("""COMPUTED_VALUE"""),"Cash")</f>
        <v>Cash</v>
      </c>
      <c r="T3536" t="str">
        <f>IFERROR(__xludf.DUMMYFUNCTION("""COMPUTED_VALUE"""),"Subaru Crosstrek")</f>
        <v>Subaru Crosstrek</v>
      </c>
      <c r="U3536" t="str">
        <f>IFERROR(__xludf.DUMMYFUNCTION("""COMPUTED_VALUE"""),"Electric!")</f>
        <v>Electric!</v>
      </c>
      <c r="V3536" t="str">
        <f>IFERROR(__xludf.DUMMYFUNCTION("""COMPUTED_VALUE"""),"360° Bird's eye view")</f>
        <v>360° Bird's eye view</v>
      </c>
      <c r="AH3536" s="189">
        <f>IFERROR(__xludf.DUMMYFUNCTION("""COMPUTED_VALUE"""),44462.63789893519)</f>
        <v>44462.6379</v>
      </c>
    </row>
    <row r="3537">
      <c r="A3537" t="str">
        <f>IFERROR(__xludf.DUMMYFUNCTION("""COMPUTED_VALUE"""),"kn")</f>
        <v>kn</v>
      </c>
      <c r="B3537" t="str">
        <f>IFERROR(__xludf.DUMMYFUNCTION("""COMPUTED_VALUE"""),"Montreal")</f>
        <v>Montreal</v>
      </c>
      <c r="C3537" t="str">
        <f>IFERROR(__xludf.DUMMYFUNCTION("""COMPUTED_VALUE"""),"QC")</f>
        <v>QC</v>
      </c>
      <c r="D3537" t="str">
        <f>IFERROR(__xludf.DUMMYFUNCTION("""COMPUTED_VALUE"""),"Canada")</f>
        <v>Canada</v>
      </c>
      <c r="E3537" s="188">
        <f>IFERROR(__xludf.DUMMYFUNCTION("""COMPUTED_VALUE"""),44416.0)</f>
        <v>44416</v>
      </c>
      <c r="F3537" s="188">
        <f>IFERROR(__xludf.DUMMYFUNCTION("""COMPUTED_VALUE"""),44493.0)</f>
        <v>44493</v>
      </c>
      <c r="G3537" t="str">
        <f>IFERROR(__xludf.DUMMYFUNCTION("""COMPUTED_VALUE"""),"Source code")</f>
        <v>Source code</v>
      </c>
      <c r="J3537" s="188">
        <f>IFERROR(__xludf.DUMMYFUNCTION("""COMPUTED_VALUE"""),44506.0)</f>
        <v>44506</v>
      </c>
      <c r="K3537">
        <f>IFERROR(__xludf.DUMMYFUNCTION("""COMPUTED_VALUE"""),77.0)</f>
        <v>77</v>
      </c>
      <c r="L3537">
        <f>IFERROR(__xludf.DUMMYFUNCTION("""COMPUTED_VALUE"""),13.0)</f>
        <v>13</v>
      </c>
      <c r="M3537">
        <f>IFERROR(__xludf.DUMMYFUNCTION("""COMPUTED_VALUE"""),90.0)</f>
        <v>90</v>
      </c>
      <c r="N3537" t="str">
        <f>IFERROR(__xludf.DUMMYFUNCTION("""COMPUTED_VALUE"""),"Model 3 SR+")</f>
        <v>Model 3 SR+</v>
      </c>
      <c r="O3537" t="str">
        <f>IFERROR(__xludf.DUMMYFUNCTION("""COMPUTED_VALUE"""),"Pearl White Multi-Coat")</f>
        <v>Pearl White Multi-Coat</v>
      </c>
      <c r="P3537" t="str">
        <f>IFERROR(__xludf.DUMMYFUNCTION("""COMPUTED_VALUE"""),"18 inch")</f>
        <v>18 inch</v>
      </c>
      <c r="Q3537" t="str">
        <f>IFERROR(__xludf.DUMMYFUNCTION("""COMPUTED_VALUE"""),"All Black")</f>
        <v>All Black</v>
      </c>
      <c r="R3537" t="str">
        <f>IFERROR(__xludf.DUMMYFUNCTION("""COMPUTED_VALUE"""),"Autopilot included")</f>
        <v>Autopilot included</v>
      </c>
      <c r="S3537" t="str">
        <f>IFERROR(__xludf.DUMMYFUNCTION("""COMPUTED_VALUE"""),"Loan")</f>
        <v>Loan</v>
      </c>
      <c r="T3537" t="str">
        <f>IFERROR(__xludf.DUMMYFUNCTION("""COMPUTED_VALUE"""),"Honda Accord")</f>
        <v>Honda Accord</v>
      </c>
      <c r="U3537" t="str">
        <f>IFERROR(__xludf.DUMMYFUNCTION("""COMPUTED_VALUE"""),"Electric!")</f>
        <v>Electric!</v>
      </c>
      <c r="AH3537" s="189">
        <f>IFERROR(__xludf.DUMMYFUNCTION("""COMPUTED_VALUE"""),44502.4405199537)</f>
        <v>44502.44052</v>
      </c>
    </row>
    <row r="3538">
      <c r="A3538" t="str">
        <f>IFERROR(__xludf.DUMMYFUNCTION("""COMPUTED_VALUE"""),"Willant")</f>
        <v>Willant</v>
      </c>
      <c r="B3538" t="str">
        <f>IFERROR(__xludf.DUMMYFUNCTION("""COMPUTED_VALUE"""),"Coral Springs")</f>
        <v>Coral Springs</v>
      </c>
      <c r="C3538" t="str">
        <f>IFERROR(__xludf.DUMMYFUNCTION("""COMPUTED_VALUE"""),"FL")</f>
        <v>FL</v>
      </c>
      <c r="D3538" t="str">
        <f>IFERROR(__xludf.DUMMYFUNCTION("""COMPUTED_VALUE"""),"USA")</f>
        <v>USA</v>
      </c>
      <c r="E3538" s="188">
        <f>IFERROR(__xludf.DUMMYFUNCTION("""COMPUTED_VALUE"""),44490.0)</f>
        <v>44490</v>
      </c>
      <c r="F3538" s="188">
        <f>IFERROR(__xludf.DUMMYFUNCTION("""COMPUTED_VALUE"""),44503.0)</f>
        <v>44503</v>
      </c>
      <c r="G3538" t="str">
        <f>IFERROR(__xludf.DUMMYFUNCTION("""COMPUTED_VALUE"""),"Manage order page (normal text)")</f>
        <v>Manage order page (normal text)</v>
      </c>
      <c r="H3538">
        <f>IFERROR(__xludf.DUMMYFUNCTION("""COMPUTED_VALUE"""),104855.0)</f>
        <v>104855</v>
      </c>
      <c r="K3538">
        <f>IFERROR(__xludf.DUMMYFUNCTION("""COMPUTED_VALUE"""),13.0)</f>
        <v>13</v>
      </c>
      <c r="N3538" t="str">
        <f>IFERROR(__xludf.DUMMYFUNCTION("""COMPUTED_VALUE"""),"Model 3 LR AWD")</f>
        <v>Model 3 LR AWD</v>
      </c>
      <c r="O3538" t="str">
        <f>IFERROR(__xludf.DUMMYFUNCTION("""COMPUTED_VALUE"""),"Pearl White Multi-Coat")</f>
        <v>Pearl White Multi-Coat</v>
      </c>
      <c r="P3538" t="str">
        <f>IFERROR(__xludf.DUMMYFUNCTION("""COMPUTED_VALUE"""),"18 inch")</f>
        <v>18 inch</v>
      </c>
      <c r="Q3538" t="str">
        <f>IFERROR(__xludf.DUMMYFUNCTION("""COMPUTED_VALUE"""),"All Black")</f>
        <v>All Black</v>
      </c>
      <c r="R3538" t="str">
        <f>IFERROR(__xludf.DUMMYFUNCTION("""COMPUTED_VALUE"""),"Autopilot included")</f>
        <v>Autopilot included</v>
      </c>
      <c r="S3538" t="str">
        <f>IFERROR(__xludf.DUMMYFUNCTION("""COMPUTED_VALUE"""),"Loan")</f>
        <v>Loan</v>
      </c>
      <c r="T3538" t="str">
        <f>IFERROR(__xludf.DUMMYFUNCTION("""COMPUTED_VALUE"""),"Infiniti Q60")</f>
        <v>Infiniti Q60</v>
      </c>
      <c r="U3538" t="str">
        <f>IFERROR(__xludf.DUMMYFUNCTION("""COMPUTED_VALUE"""),"Electric!")</f>
        <v>Electric!</v>
      </c>
      <c r="V3538" t="str">
        <f>IFERROR(__xludf.DUMMYFUNCTION("""COMPUTED_VALUE"""),"Ventilated seats")</f>
        <v>Ventilated seats</v>
      </c>
      <c r="AH3538" s="189">
        <f>IFERROR(__xludf.DUMMYFUNCTION("""COMPUTED_VALUE"""),44504.836458923615)</f>
        <v>44504.83646</v>
      </c>
    </row>
    <row r="3539">
      <c r="A3539" t="str">
        <f>IFERROR(__xludf.DUMMYFUNCTION("""COMPUTED_VALUE"""),"clint1234")</f>
        <v>clint1234</v>
      </c>
      <c r="B3539" t="str">
        <f>IFERROR(__xludf.DUMMYFUNCTION("""COMPUTED_VALUE"""),"Austin")</f>
        <v>Austin</v>
      </c>
      <c r="C3539" t="str">
        <f>IFERROR(__xludf.DUMMYFUNCTION("""COMPUTED_VALUE"""),"TX")</f>
        <v>TX</v>
      </c>
      <c r="D3539" t="str">
        <f>IFERROR(__xludf.DUMMYFUNCTION("""COMPUTED_VALUE"""),"USA")</f>
        <v>USA</v>
      </c>
      <c r="E3539" s="188">
        <f>IFERROR(__xludf.DUMMYFUNCTION("""COMPUTED_VALUE"""),44450.0)</f>
        <v>44450</v>
      </c>
      <c r="N3539" t="str">
        <f>IFERROR(__xludf.DUMMYFUNCTION("""COMPUTED_VALUE"""),"Model 3 SR+")</f>
        <v>Model 3 SR+</v>
      </c>
      <c r="O3539" t="str">
        <f>IFERROR(__xludf.DUMMYFUNCTION("""COMPUTED_VALUE"""),"Pearl White Multi-Coat")</f>
        <v>Pearl White Multi-Coat</v>
      </c>
      <c r="P3539" t="str">
        <f>IFERROR(__xludf.DUMMYFUNCTION("""COMPUTED_VALUE"""),"19 inch")</f>
        <v>19 inch</v>
      </c>
      <c r="Q3539" t="str">
        <f>IFERROR(__xludf.DUMMYFUNCTION("""COMPUTED_VALUE"""),"Black and White")</f>
        <v>Black and White</v>
      </c>
      <c r="R3539" t="str">
        <f>IFERROR(__xludf.DUMMYFUNCTION("""COMPUTED_VALUE"""),"Autopilot included")</f>
        <v>Autopilot included</v>
      </c>
      <c r="S3539" t="str">
        <f>IFERROR(__xludf.DUMMYFUNCTION("""COMPUTED_VALUE"""),"Loan")</f>
        <v>Loan</v>
      </c>
      <c r="AH3539" s="189">
        <f>IFERROR(__xludf.DUMMYFUNCTION("""COMPUTED_VALUE"""),44463.33178304398)</f>
        <v>44463.33178</v>
      </c>
    </row>
    <row r="3540">
      <c r="A3540" t="str">
        <f>IFERROR(__xludf.DUMMYFUNCTION("""COMPUTED_VALUE"""),"dregarcia")</f>
        <v>dregarcia</v>
      </c>
      <c r="B3540" t="str">
        <f>IFERROR(__xludf.DUMMYFUNCTION("""COMPUTED_VALUE"""),"Stockton")</f>
        <v>Stockton</v>
      </c>
      <c r="C3540" t="str">
        <f>IFERROR(__xludf.DUMMYFUNCTION("""COMPUTED_VALUE"""),"CA")</f>
        <v>CA</v>
      </c>
      <c r="D3540" t="str">
        <f>IFERROR(__xludf.DUMMYFUNCTION("""COMPUTED_VALUE"""),"USA")</f>
        <v>USA</v>
      </c>
      <c r="E3540" s="188">
        <f>IFERROR(__xludf.DUMMYFUNCTION("""COMPUTED_VALUE"""),44408.0)</f>
        <v>44408</v>
      </c>
      <c r="F3540" s="188">
        <f>IFERROR(__xludf.DUMMYFUNCTION("""COMPUTED_VALUE"""),44467.0)</f>
        <v>44467</v>
      </c>
      <c r="G3540" t="str">
        <f>IFERROR(__xludf.DUMMYFUNCTION("""COMPUTED_VALUE"""),"Manage order page (normal text)")</f>
        <v>Manage order page (normal text)</v>
      </c>
      <c r="J3540" s="188">
        <f>IFERROR(__xludf.DUMMYFUNCTION("""COMPUTED_VALUE"""),44467.0)</f>
        <v>44467</v>
      </c>
      <c r="K3540">
        <f>IFERROR(__xludf.DUMMYFUNCTION("""COMPUTED_VALUE"""),59.0)</f>
        <v>59</v>
      </c>
      <c r="L3540">
        <f>IFERROR(__xludf.DUMMYFUNCTION("""COMPUTED_VALUE"""),0.0)</f>
        <v>0</v>
      </c>
      <c r="M3540">
        <f>IFERROR(__xludf.DUMMYFUNCTION("""COMPUTED_VALUE"""),59.0)</f>
        <v>59</v>
      </c>
      <c r="N3540" t="str">
        <f>IFERROR(__xludf.DUMMYFUNCTION("""COMPUTED_VALUE"""),"Model 3 LR AWD")</f>
        <v>Model 3 LR AWD</v>
      </c>
      <c r="O3540" t="str">
        <f>IFERROR(__xludf.DUMMYFUNCTION("""COMPUTED_VALUE"""),"Red Multi-Coat")</f>
        <v>Red Multi-Coat</v>
      </c>
      <c r="P3540" t="str">
        <f>IFERROR(__xludf.DUMMYFUNCTION("""COMPUTED_VALUE"""),"19 inch")</f>
        <v>19 inch</v>
      </c>
      <c r="Q3540" t="str">
        <f>IFERROR(__xludf.DUMMYFUNCTION("""COMPUTED_VALUE"""),"All Black")</f>
        <v>All Black</v>
      </c>
      <c r="R3540" t="str">
        <f>IFERROR(__xludf.DUMMYFUNCTION("""COMPUTED_VALUE"""),"Autopilot included")</f>
        <v>Autopilot included</v>
      </c>
      <c r="S3540" t="str">
        <f>IFERROR(__xludf.DUMMYFUNCTION("""COMPUTED_VALUE"""),"Cash")</f>
        <v>Cash</v>
      </c>
      <c r="T3540" t="str">
        <f>IFERROR(__xludf.DUMMYFUNCTION("""COMPUTED_VALUE"""),"BMW 5 Series")</f>
        <v>BMW 5 Series</v>
      </c>
      <c r="U3540" t="str">
        <f>IFERROR(__xludf.DUMMYFUNCTION("""COMPUTED_VALUE"""),"Electric!")</f>
        <v>Electric!</v>
      </c>
      <c r="V3540" t="str">
        <f>IFERROR(__xludf.DUMMYFUNCTION("""COMPUTED_VALUE"""),"Apple CarPlay / Android Auto / SiriusXM Radio")</f>
        <v>Apple CarPlay / Android Auto / SiriusXM Radio</v>
      </c>
      <c r="X3540" t="str">
        <f>IFERROR(__xludf.DUMMYFUNCTION("""COMPUTED_VALUE"""),"Excellent")</f>
        <v>Excellent</v>
      </c>
      <c r="Y3540" t="str">
        <f>IFERROR(__xludf.DUMMYFUNCTION("""COMPUTED_VALUE"""),"Excellent")</f>
        <v>Excellent</v>
      </c>
      <c r="Z3540" t="str">
        <f>IFERROR(__xludf.DUMMYFUNCTION("""COMPUTED_VALUE"""),"Good")</f>
        <v>Good</v>
      </c>
      <c r="AA3540" t="str">
        <f>IFERROR(__xludf.DUMMYFUNCTION("""COMPUTED_VALUE"""),"Excellent")</f>
        <v>Excellent</v>
      </c>
      <c r="AB3540" t="str">
        <f>IFERROR(__xludf.DUMMYFUNCTION("""COMPUTED_VALUE"""),"Excellent")</f>
        <v>Excellent</v>
      </c>
      <c r="AC3540">
        <f>IFERROR(__xludf.DUMMYFUNCTION("""COMPUTED_VALUE"""),1.0)</f>
        <v>1</v>
      </c>
      <c r="AF3540" t="str">
        <f>IFERROR(__xludf.DUMMYFUNCTION("""COMPUTED_VALUE"""),"No. I took delivery of the first car Tesla was able to deliver.")</f>
        <v>No. I took delivery of the first car Tesla was able to deliver.</v>
      </c>
      <c r="AH3540" s="189">
        <f>IFERROR(__xludf.DUMMYFUNCTION("""COMPUTED_VALUE"""),44467.941078379634)</f>
        <v>44467.94108</v>
      </c>
    </row>
    <row r="3541">
      <c r="A3541" t="str">
        <f>IFERROR(__xludf.DUMMYFUNCTION("""COMPUTED_VALUE"""),"samwise")</f>
        <v>samwise</v>
      </c>
      <c r="B3541" t="str">
        <f>IFERROR(__xludf.DUMMYFUNCTION("""COMPUTED_VALUE"""),"Redmond")</f>
        <v>Redmond</v>
      </c>
      <c r="C3541" t="str">
        <f>IFERROR(__xludf.DUMMYFUNCTION("""COMPUTED_VALUE"""),"WA")</f>
        <v>WA</v>
      </c>
      <c r="D3541" t="str">
        <f>IFERROR(__xludf.DUMMYFUNCTION("""COMPUTED_VALUE"""),"USA")</f>
        <v>USA</v>
      </c>
      <c r="E3541" s="188">
        <f>IFERROR(__xludf.DUMMYFUNCTION("""COMPUTED_VALUE"""),44375.0)</f>
        <v>44375</v>
      </c>
      <c r="N3541" t="str">
        <f>IFERROR(__xludf.DUMMYFUNCTION("""COMPUTED_VALUE"""),"Model 3 LR AWD")</f>
        <v>Model 3 LR AWD</v>
      </c>
      <c r="O3541" t="str">
        <f>IFERROR(__xludf.DUMMYFUNCTION("""COMPUTED_VALUE"""),"Pearl White Multi-Coat")</f>
        <v>Pearl White Multi-Coat</v>
      </c>
      <c r="P3541" t="str">
        <f>IFERROR(__xludf.DUMMYFUNCTION("""COMPUTED_VALUE"""),"18 inch")</f>
        <v>18 inch</v>
      </c>
      <c r="Q3541" t="str">
        <f>IFERROR(__xludf.DUMMYFUNCTION("""COMPUTED_VALUE"""),"All Black")</f>
        <v>All Black</v>
      </c>
      <c r="R3541" t="str">
        <f>IFERROR(__xludf.DUMMYFUNCTION("""COMPUTED_VALUE"""),"Autopilot included")</f>
        <v>Autopilot included</v>
      </c>
      <c r="S3541" t="str">
        <f>IFERROR(__xludf.DUMMYFUNCTION("""COMPUTED_VALUE"""),"Loan")</f>
        <v>Loan</v>
      </c>
      <c r="T3541" t="str">
        <f>IFERROR(__xludf.DUMMYFUNCTION("""COMPUTED_VALUE"""),"Toyota Highlander")</f>
        <v>Toyota Highlander</v>
      </c>
      <c r="U3541" t="str">
        <f>IFERROR(__xludf.DUMMYFUNCTION("""COMPUTED_VALUE"""),"Supercharger V3 support")</f>
        <v>Supercharger V3 support</v>
      </c>
      <c r="V3541" t="str">
        <f>IFERROR(__xludf.DUMMYFUNCTION("""COMPUTED_VALUE"""),"Head-up display")</f>
        <v>Head-up display</v>
      </c>
      <c r="AH3541" s="189">
        <f>IFERROR(__xludf.DUMMYFUNCTION("""COMPUTED_VALUE"""),44476.567102245375)</f>
        <v>44476.5671</v>
      </c>
    </row>
    <row r="3542">
      <c r="A3542" t="str">
        <f>IFERROR(__xludf.DUMMYFUNCTION("""COMPUTED_VALUE"""),"WhiteStar")</f>
        <v>WhiteStar</v>
      </c>
      <c r="B3542" t="str">
        <f>IFERROR(__xludf.DUMMYFUNCTION("""COMPUTED_VALUE"""),"Edison")</f>
        <v>Edison</v>
      </c>
      <c r="C3542" t="str">
        <f>IFERROR(__xludf.DUMMYFUNCTION("""COMPUTED_VALUE"""),"NJ")</f>
        <v>NJ</v>
      </c>
      <c r="D3542" t="str">
        <f>IFERROR(__xludf.DUMMYFUNCTION("""COMPUTED_VALUE"""),"USA")</f>
        <v>USA</v>
      </c>
      <c r="E3542" s="188">
        <f>IFERROR(__xludf.DUMMYFUNCTION("""COMPUTED_VALUE"""),44454.0)</f>
        <v>44454</v>
      </c>
      <c r="N3542" t="str">
        <f>IFERROR(__xludf.DUMMYFUNCTION("""COMPUTED_VALUE"""),"Model 3 SR+")</f>
        <v>Model 3 SR+</v>
      </c>
      <c r="O3542" t="str">
        <f>IFERROR(__xludf.DUMMYFUNCTION("""COMPUTED_VALUE"""),"Pearl White Multi-Coat")</f>
        <v>Pearl White Multi-Coat</v>
      </c>
      <c r="P3542" t="str">
        <f>IFERROR(__xludf.DUMMYFUNCTION("""COMPUTED_VALUE"""),"18 inch")</f>
        <v>18 inch</v>
      </c>
      <c r="Q3542" t="str">
        <f>IFERROR(__xludf.DUMMYFUNCTION("""COMPUTED_VALUE"""),"All Black")</f>
        <v>All Black</v>
      </c>
      <c r="R3542" t="str">
        <f>IFERROR(__xludf.DUMMYFUNCTION("""COMPUTED_VALUE"""),"Autopilot included")</f>
        <v>Autopilot included</v>
      </c>
      <c r="S3542" t="str">
        <f>IFERROR(__xludf.DUMMYFUNCTION("""COMPUTED_VALUE"""),"Loan")</f>
        <v>Loan</v>
      </c>
      <c r="U3542" t="str">
        <f>IFERROR(__xludf.DUMMYFUNCTION("""COMPUTED_VALUE"""),"Electric!")</f>
        <v>Electric!</v>
      </c>
      <c r="AH3542" s="189">
        <f>IFERROR(__xludf.DUMMYFUNCTION("""COMPUTED_VALUE"""),44463.86900586805)</f>
        <v>44463.86901</v>
      </c>
    </row>
    <row r="3543">
      <c r="A3543" t="str">
        <f>IFERROR(__xludf.DUMMYFUNCTION("""COMPUTED_VALUE"""),"jhauto")</f>
        <v>jhauto</v>
      </c>
      <c r="B3543" t="str">
        <f>IFERROR(__xludf.DUMMYFUNCTION("""COMPUTED_VALUE"""),"Kirkland")</f>
        <v>Kirkland</v>
      </c>
      <c r="C3543" t="str">
        <f>IFERROR(__xludf.DUMMYFUNCTION("""COMPUTED_VALUE"""),"WA")</f>
        <v>WA</v>
      </c>
      <c r="D3543" t="str">
        <f>IFERROR(__xludf.DUMMYFUNCTION("""COMPUTED_VALUE"""),"USA")</f>
        <v>USA</v>
      </c>
      <c r="E3543" s="188">
        <f>IFERROR(__xludf.DUMMYFUNCTION("""COMPUTED_VALUE"""),44454.0)</f>
        <v>44454</v>
      </c>
      <c r="F3543" s="188">
        <f>IFERROR(__xludf.DUMMYFUNCTION("""COMPUTED_VALUE"""),44464.0)</f>
        <v>44464</v>
      </c>
      <c r="G3543" t="str">
        <f>IFERROR(__xludf.DUMMYFUNCTION("""COMPUTED_VALUE"""),"Manage order page (normal text)")</f>
        <v>Manage order page (normal text)</v>
      </c>
      <c r="H3543">
        <f>IFERROR(__xludf.DUMMYFUNCTION("""COMPUTED_VALUE"""),71955.0)</f>
        <v>71955</v>
      </c>
      <c r="J3543" s="188">
        <f>IFERROR(__xludf.DUMMYFUNCTION("""COMPUTED_VALUE"""),44468.0)</f>
        <v>44468</v>
      </c>
      <c r="K3543">
        <f>IFERROR(__xludf.DUMMYFUNCTION("""COMPUTED_VALUE"""),10.0)</f>
        <v>10</v>
      </c>
      <c r="L3543">
        <f>IFERROR(__xludf.DUMMYFUNCTION("""COMPUTED_VALUE"""),4.0)</f>
        <v>4</v>
      </c>
      <c r="M3543">
        <f>IFERROR(__xludf.DUMMYFUNCTION("""COMPUTED_VALUE"""),14.0)</f>
        <v>14</v>
      </c>
      <c r="N3543" t="str">
        <f>IFERROR(__xludf.DUMMYFUNCTION("""COMPUTED_VALUE"""),"Model 3 Performance")</f>
        <v>Model 3 Performance</v>
      </c>
      <c r="O3543" t="str">
        <f>IFERROR(__xludf.DUMMYFUNCTION("""COMPUTED_VALUE"""),"Deep Blue Metallic")</f>
        <v>Deep Blue Metallic</v>
      </c>
      <c r="P3543" t="str">
        <f>IFERROR(__xludf.DUMMYFUNCTION("""COMPUTED_VALUE"""),"20 inch")</f>
        <v>20 inch</v>
      </c>
      <c r="Q3543" t="str">
        <f>IFERROR(__xludf.DUMMYFUNCTION("""COMPUTED_VALUE"""),"All Black")</f>
        <v>All Black</v>
      </c>
      <c r="S3543" t="str">
        <f>IFERROR(__xludf.DUMMYFUNCTION("""COMPUTED_VALUE"""),"Cash")</f>
        <v>Cash</v>
      </c>
      <c r="T3543" t="str">
        <f>IFERROR(__xludf.DUMMYFUNCTION("""COMPUTED_VALUE"""),"Acura RDX")</f>
        <v>Acura RDX</v>
      </c>
      <c r="V3543" t="str">
        <f>IFERROR(__xludf.DUMMYFUNCTION("""COMPUTED_VALUE"""),"360° Bird's eye view")</f>
        <v>360° Bird's eye view</v>
      </c>
      <c r="AH3543" s="189">
        <f>IFERROR(__xludf.DUMMYFUNCTION("""COMPUTED_VALUE"""),44468.637995324076)</f>
        <v>44468.638</v>
      </c>
    </row>
    <row r="3544">
      <c r="A3544" t="str">
        <f>IFERROR(__xludf.DUMMYFUNCTION("""COMPUTED_VALUE"""),"frank")</f>
        <v>frank</v>
      </c>
      <c r="B3544" t="str">
        <f>IFERROR(__xludf.DUMMYFUNCTION("""COMPUTED_VALUE"""),"Dolbeau-Mistassini")</f>
        <v>Dolbeau-Mistassini</v>
      </c>
      <c r="C3544" t="str">
        <f>IFERROR(__xludf.DUMMYFUNCTION("""COMPUTED_VALUE"""),"QC")</f>
        <v>QC</v>
      </c>
      <c r="D3544" t="str">
        <f>IFERROR(__xludf.DUMMYFUNCTION("""COMPUTED_VALUE"""),"Canada")</f>
        <v>Canada</v>
      </c>
      <c r="E3544" s="188">
        <f>IFERROR(__xludf.DUMMYFUNCTION("""COMPUTED_VALUE"""),44440.0)</f>
        <v>44440</v>
      </c>
      <c r="N3544" t="str">
        <f>IFERROR(__xludf.DUMMYFUNCTION("""COMPUTED_VALUE"""),"Model 3 SR+")</f>
        <v>Model 3 SR+</v>
      </c>
      <c r="O3544" t="str">
        <f>IFERROR(__xludf.DUMMYFUNCTION("""COMPUTED_VALUE"""),"Solid Black")</f>
        <v>Solid Black</v>
      </c>
      <c r="P3544" t="str">
        <f>IFERROR(__xludf.DUMMYFUNCTION("""COMPUTED_VALUE"""),"18 inch")</f>
        <v>18 inch</v>
      </c>
      <c r="Q3544" t="str">
        <f>IFERROR(__xludf.DUMMYFUNCTION("""COMPUTED_VALUE"""),"All Black")</f>
        <v>All Black</v>
      </c>
      <c r="R3544" t="str">
        <f>IFERROR(__xludf.DUMMYFUNCTION("""COMPUTED_VALUE"""),"Autopilot included")</f>
        <v>Autopilot included</v>
      </c>
      <c r="S3544" t="str">
        <f>IFERROR(__xludf.DUMMYFUNCTION("""COMPUTED_VALUE"""),"Loan")</f>
        <v>Loan</v>
      </c>
      <c r="T3544" t="str">
        <f>IFERROR(__xludf.DUMMYFUNCTION("""COMPUTED_VALUE"""),"Ford Fusion")</f>
        <v>Ford Fusion</v>
      </c>
      <c r="U3544" t="str">
        <f>IFERROR(__xludf.DUMMYFUNCTION("""COMPUTED_VALUE"""),"Electric!")</f>
        <v>Electric!</v>
      </c>
      <c r="V3544" t="str">
        <f>IFERROR(__xludf.DUMMYFUNCTION("""COMPUTED_VALUE"""),"Heated steering wheel")</f>
        <v>Heated steering wheel</v>
      </c>
      <c r="AH3544" s="189">
        <f>IFERROR(__xludf.DUMMYFUNCTION("""COMPUTED_VALUE"""),44464.630153252314)</f>
        <v>44464.63015</v>
      </c>
    </row>
    <row r="3545">
      <c r="A3545" t="str">
        <f>IFERROR(__xludf.DUMMYFUNCTION("""COMPUTED_VALUE"""),"rush")</f>
        <v>rush</v>
      </c>
      <c r="B3545" t="str">
        <f>IFERROR(__xludf.DUMMYFUNCTION("""COMPUTED_VALUE"""),"Bay Area")</f>
        <v>Bay Area</v>
      </c>
      <c r="C3545" t="str">
        <f>IFERROR(__xludf.DUMMYFUNCTION("""COMPUTED_VALUE"""),"CA")</f>
        <v>CA</v>
      </c>
      <c r="D3545" t="str">
        <f>IFERROR(__xludf.DUMMYFUNCTION("""COMPUTED_VALUE"""),"USA")</f>
        <v>USA</v>
      </c>
      <c r="E3545" s="188">
        <f>IFERROR(__xludf.DUMMYFUNCTION("""COMPUTED_VALUE"""),44423.0)</f>
        <v>44423</v>
      </c>
      <c r="N3545" t="str">
        <f>IFERROR(__xludf.DUMMYFUNCTION("""COMPUTED_VALUE"""),"Model 3 LR AWD")</f>
        <v>Model 3 LR AWD</v>
      </c>
      <c r="O3545" t="str">
        <f>IFERROR(__xludf.DUMMYFUNCTION("""COMPUTED_VALUE"""),"Pearl White Multi-Coat")</f>
        <v>Pearl White Multi-Coat</v>
      </c>
      <c r="P3545" t="str">
        <f>IFERROR(__xludf.DUMMYFUNCTION("""COMPUTED_VALUE"""),"18 inch")</f>
        <v>18 inch</v>
      </c>
      <c r="Q3545" t="str">
        <f>IFERROR(__xludf.DUMMYFUNCTION("""COMPUTED_VALUE"""),"All Black")</f>
        <v>All Black</v>
      </c>
      <c r="R3545" t="str">
        <f>IFERROR(__xludf.DUMMYFUNCTION("""COMPUTED_VALUE"""),"Autopilot included")</f>
        <v>Autopilot included</v>
      </c>
      <c r="S3545" t="str">
        <f>IFERROR(__xludf.DUMMYFUNCTION("""COMPUTED_VALUE"""),"Loan")</f>
        <v>Loan</v>
      </c>
      <c r="AH3545" s="189">
        <f>IFERROR(__xludf.DUMMYFUNCTION("""COMPUTED_VALUE"""),44464.91888590278)</f>
        <v>44464.91889</v>
      </c>
    </row>
    <row r="3546">
      <c r="A3546" t="str">
        <f>IFERROR(__xludf.DUMMYFUNCTION("""COMPUTED_VALUE"""),"Crispy44")</f>
        <v>Crispy44</v>
      </c>
      <c r="B3546" t="str">
        <f>IFERROR(__xludf.DUMMYFUNCTION("""COMPUTED_VALUE"""),"Redlands")</f>
        <v>Redlands</v>
      </c>
      <c r="C3546" t="str">
        <f>IFERROR(__xludf.DUMMYFUNCTION("""COMPUTED_VALUE"""),"CA")</f>
        <v>CA</v>
      </c>
      <c r="D3546" t="str">
        <f>IFERROR(__xludf.DUMMYFUNCTION("""COMPUTED_VALUE"""),"USA")</f>
        <v>USA</v>
      </c>
      <c r="E3546" s="188">
        <f>IFERROR(__xludf.DUMMYFUNCTION("""COMPUTED_VALUE"""),44443.0)</f>
        <v>44443</v>
      </c>
      <c r="F3546" s="188">
        <f>IFERROR(__xludf.DUMMYFUNCTION("""COMPUTED_VALUE"""),44465.0)</f>
        <v>44465</v>
      </c>
      <c r="G3546" t="str">
        <f>IFERROR(__xludf.DUMMYFUNCTION("""COMPUTED_VALUE"""),"Manage order page (normal text)")</f>
        <v>Manage order page (normal text)</v>
      </c>
      <c r="H3546">
        <f>IFERROR(__xludf.DUMMYFUNCTION("""COMPUTED_VALUE"""),77055.0)</f>
        <v>77055</v>
      </c>
      <c r="K3546">
        <f>IFERROR(__xludf.DUMMYFUNCTION("""COMPUTED_VALUE"""),22.0)</f>
        <v>22</v>
      </c>
      <c r="N3546" t="str">
        <f>IFERROR(__xludf.DUMMYFUNCTION("""COMPUTED_VALUE"""),"Model 3 Performance")</f>
        <v>Model 3 Performance</v>
      </c>
      <c r="O3546" t="str">
        <f>IFERROR(__xludf.DUMMYFUNCTION("""COMPUTED_VALUE"""),"Pearl White Multi-Coat")</f>
        <v>Pearl White Multi-Coat</v>
      </c>
      <c r="P3546" t="str">
        <f>IFERROR(__xludf.DUMMYFUNCTION("""COMPUTED_VALUE"""),"20 inch")</f>
        <v>20 inch</v>
      </c>
      <c r="Q3546" t="str">
        <f>IFERROR(__xludf.DUMMYFUNCTION("""COMPUTED_VALUE"""),"All Black")</f>
        <v>All Black</v>
      </c>
      <c r="R3546" t="str">
        <f>IFERROR(__xludf.DUMMYFUNCTION("""COMPUTED_VALUE"""),"Autopilot included")</f>
        <v>Autopilot included</v>
      </c>
      <c r="S3546" t="str">
        <f>IFERROR(__xludf.DUMMYFUNCTION("""COMPUTED_VALUE"""),"Loan")</f>
        <v>Loan</v>
      </c>
      <c r="T3546" t="str">
        <f>IFERROR(__xludf.DUMMYFUNCTION("""COMPUTED_VALUE"""),"Chevy Silverado")</f>
        <v>Chevy Silverado</v>
      </c>
      <c r="U3546" t="str">
        <f>IFERROR(__xludf.DUMMYFUNCTION("""COMPUTED_VALUE"""),"No petrol")</f>
        <v>No petrol</v>
      </c>
      <c r="V3546" t="str">
        <f>IFERROR(__xludf.DUMMYFUNCTION("""COMPUTED_VALUE"""),"Ventilated seats")</f>
        <v>Ventilated seats</v>
      </c>
      <c r="AH3546" s="189">
        <f>IFERROR(__xludf.DUMMYFUNCTION("""COMPUTED_VALUE"""),44465.51497899306)</f>
        <v>44465.51498</v>
      </c>
    </row>
    <row r="3547">
      <c r="A3547" t="str">
        <f>IFERROR(__xludf.DUMMYFUNCTION("""COMPUTED_VALUE"""),"Samgiguere")</f>
        <v>Samgiguere</v>
      </c>
      <c r="B3547" t="str">
        <f>IFERROR(__xludf.DUMMYFUNCTION("""COMPUTED_VALUE"""),"Trois-Rivieres")</f>
        <v>Trois-Rivieres</v>
      </c>
      <c r="C3547" t="str">
        <f>IFERROR(__xludf.DUMMYFUNCTION("""COMPUTED_VALUE"""),"QC")</f>
        <v>QC</v>
      </c>
      <c r="D3547" t="str">
        <f>IFERROR(__xludf.DUMMYFUNCTION("""COMPUTED_VALUE"""),"Canada")</f>
        <v>Canada</v>
      </c>
      <c r="E3547" s="188">
        <f>IFERROR(__xludf.DUMMYFUNCTION("""COMPUTED_VALUE"""),44448.0)</f>
        <v>44448</v>
      </c>
      <c r="N3547" t="str">
        <f>IFERROR(__xludf.DUMMYFUNCTION("""COMPUTED_VALUE"""),"Model 3 SR+")</f>
        <v>Model 3 SR+</v>
      </c>
      <c r="O3547" t="str">
        <f>IFERROR(__xludf.DUMMYFUNCTION("""COMPUTED_VALUE"""),"Deep Blue Metallic")</f>
        <v>Deep Blue Metallic</v>
      </c>
      <c r="P3547" t="str">
        <f>IFERROR(__xludf.DUMMYFUNCTION("""COMPUTED_VALUE"""),"18 inch")</f>
        <v>18 inch</v>
      </c>
      <c r="Q3547" t="str">
        <f>IFERROR(__xludf.DUMMYFUNCTION("""COMPUTED_VALUE"""),"All Black")</f>
        <v>All Black</v>
      </c>
      <c r="R3547" t="str">
        <f>IFERROR(__xludf.DUMMYFUNCTION("""COMPUTED_VALUE"""),"Autopilot included")</f>
        <v>Autopilot included</v>
      </c>
      <c r="S3547" t="str">
        <f>IFERROR(__xludf.DUMMYFUNCTION("""COMPUTED_VALUE"""),"Loan")</f>
        <v>Loan</v>
      </c>
      <c r="T3547" t="str">
        <f>IFERROR(__xludf.DUMMYFUNCTION("""COMPUTED_VALUE"""),"Golf")</f>
        <v>Golf</v>
      </c>
      <c r="U3547" t="str">
        <f>IFERROR(__xludf.DUMMYFUNCTION("""COMPUTED_VALUE"""),"All-glass roof")</f>
        <v>All-glass roof</v>
      </c>
      <c r="V3547" t="str">
        <f>IFERROR(__xludf.DUMMYFUNCTION("""COMPUTED_VALUE"""),"Head-up display")</f>
        <v>Head-up display</v>
      </c>
      <c r="AH3547" s="189">
        <f>IFERROR(__xludf.DUMMYFUNCTION("""COMPUTED_VALUE"""),44465.52781122686)</f>
        <v>44465.52781</v>
      </c>
    </row>
    <row r="3548">
      <c r="A3548" t="str">
        <f>IFERROR(__xludf.DUMMYFUNCTION("""COMPUTED_VALUE"""),"Washout")</f>
        <v>Washout</v>
      </c>
      <c r="D3548" t="str">
        <f>IFERROR(__xludf.DUMMYFUNCTION("""COMPUTED_VALUE"""),"United Kingdom")</f>
        <v>United Kingdom</v>
      </c>
      <c r="E3548" s="188">
        <f>IFERROR(__xludf.DUMMYFUNCTION("""COMPUTED_VALUE"""),44462.0)</f>
        <v>44462</v>
      </c>
      <c r="N3548" t="str">
        <f>IFERROR(__xludf.DUMMYFUNCTION("""COMPUTED_VALUE"""),"Model 3 LR AWD")</f>
        <v>Model 3 LR AWD</v>
      </c>
      <c r="O3548" t="str">
        <f>IFERROR(__xludf.DUMMYFUNCTION("""COMPUTED_VALUE"""),"Midnight Silver Metallic")</f>
        <v>Midnight Silver Metallic</v>
      </c>
      <c r="P3548" t="str">
        <f>IFERROR(__xludf.DUMMYFUNCTION("""COMPUTED_VALUE"""),"19 inch")</f>
        <v>19 inch</v>
      </c>
      <c r="Q3548" t="str">
        <f>IFERROR(__xludf.DUMMYFUNCTION("""COMPUTED_VALUE"""),"All Black")</f>
        <v>All Black</v>
      </c>
      <c r="R3548" t="str">
        <f>IFERROR(__xludf.DUMMYFUNCTION("""COMPUTED_VALUE"""),"Autopilot included")</f>
        <v>Autopilot included</v>
      </c>
      <c r="S3548" t="str">
        <f>IFERROR(__xludf.DUMMYFUNCTION("""COMPUTED_VALUE"""),"Loan")</f>
        <v>Loan</v>
      </c>
      <c r="T3548" t="str">
        <f>IFERROR(__xludf.DUMMYFUNCTION("""COMPUTED_VALUE"""),"Jaguar F-Pace")</f>
        <v>Jaguar F-Pace</v>
      </c>
      <c r="U3548" t="str">
        <f>IFERROR(__xludf.DUMMYFUNCTION("""COMPUTED_VALUE"""),"Electric!")</f>
        <v>Electric!</v>
      </c>
      <c r="V3548" t="str">
        <f>IFERROR(__xludf.DUMMYFUNCTION("""COMPUTED_VALUE"""),"Head-up display")</f>
        <v>Head-up display</v>
      </c>
      <c r="AH3548" s="189">
        <f>IFERROR(__xludf.DUMMYFUNCTION("""COMPUTED_VALUE"""),44466.056819861114)</f>
        <v>44466.05682</v>
      </c>
    </row>
    <row r="3549">
      <c r="A3549" t="str">
        <f>IFERROR(__xludf.DUMMYFUNCTION("""COMPUTED_VALUE"""),"mosie7")</f>
        <v>mosie7</v>
      </c>
      <c r="D3549" t="str">
        <f>IFERROR(__xludf.DUMMYFUNCTION("""COMPUTED_VALUE"""),"United Kingdom")</f>
        <v>United Kingdom</v>
      </c>
      <c r="E3549" s="188">
        <f>IFERROR(__xludf.DUMMYFUNCTION("""COMPUTED_VALUE"""),44453.0)</f>
        <v>44453</v>
      </c>
      <c r="G3549" t="str">
        <f>IFERROR(__xludf.DUMMYFUNCTION("""COMPUTED_VALUE"""),"Manage order page (normal text)")</f>
        <v>Manage order page (normal text)</v>
      </c>
      <c r="N3549" t="str">
        <f>IFERROR(__xludf.DUMMYFUNCTION("""COMPUTED_VALUE"""),"Model 3 SR+")</f>
        <v>Model 3 SR+</v>
      </c>
      <c r="O3549" t="str">
        <f>IFERROR(__xludf.DUMMYFUNCTION("""COMPUTED_VALUE"""),"Solid Black")</f>
        <v>Solid Black</v>
      </c>
      <c r="P3549" t="str">
        <f>IFERROR(__xludf.DUMMYFUNCTION("""COMPUTED_VALUE"""),"18 inch")</f>
        <v>18 inch</v>
      </c>
      <c r="Q3549" t="str">
        <f>IFERROR(__xludf.DUMMYFUNCTION("""COMPUTED_VALUE"""),"Black and White")</f>
        <v>Black and White</v>
      </c>
      <c r="R3549" t="str">
        <f>IFERROR(__xludf.DUMMYFUNCTION("""COMPUTED_VALUE"""),"Autopilot included")</f>
        <v>Autopilot included</v>
      </c>
      <c r="S3549" t="str">
        <f>IFERROR(__xludf.DUMMYFUNCTION("""COMPUTED_VALUE"""),"Lease")</f>
        <v>Lease</v>
      </c>
      <c r="T3549" t="str">
        <f>IFERROR(__xludf.DUMMYFUNCTION("""COMPUTED_VALUE"""),"VW Tiguan")</f>
        <v>VW Tiguan</v>
      </c>
      <c r="U3549" t="str">
        <f>IFERROR(__xludf.DUMMYFUNCTION("""COMPUTED_VALUE"""),"Electric!")</f>
        <v>Electric!</v>
      </c>
      <c r="V3549" t="str">
        <f>IFERROR(__xludf.DUMMYFUNCTION("""COMPUTED_VALUE"""),"Apple CarPlay / Android Auto / SiriusXM Radio")</f>
        <v>Apple CarPlay / Android Auto / SiriusXM Radio</v>
      </c>
      <c r="AH3549" s="189">
        <f>IFERROR(__xludf.DUMMYFUNCTION("""COMPUTED_VALUE"""),44466.10084763889)</f>
        <v>44466.10085</v>
      </c>
    </row>
    <row r="3550">
      <c r="A3550" t="str">
        <f>IFERROR(__xludf.DUMMYFUNCTION("""COMPUTED_VALUE"""),"MZBKA")</f>
        <v>MZBKA</v>
      </c>
      <c r="C3550" t="str">
        <f>IFERROR(__xludf.DUMMYFUNCTION("""COMPUTED_VALUE"""),"MN")</f>
        <v>MN</v>
      </c>
      <c r="D3550" t="str">
        <f>IFERROR(__xludf.DUMMYFUNCTION("""COMPUTED_VALUE"""),"USA")</f>
        <v>USA</v>
      </c>
      <c r="E3550" s="188">
        <f>IFERROR(__xludf.DUMMYFUNCTION("""COMPUTED_VALUE"""),44465.0)</f>
        <v>44465</v>
      </c>
      <c r="F3550" s="188">
        <f>IFERROR(__xludf.DUMMYFUNCTION("""COMPUTED_VALUE"""),44481.0)</f>
        <v>44481</v>
      </c>
      <c r="G3550" t="str">
        <f>IFERROR(__xludf.DUMMYFUNCTION("""COMPUTED_VALUE"""),"Manage order page (normal text)")</f>
        <v>Manage order page (normal text)</v>
      </c>
      <c r="J3550" s="188">
        <f>IFERROR(__xludf.DUMMYFUNCTION("""COMPUTED_VALUE"""),44496.0)</f>
        <v>44496</v>
      </c>
      <c r="K3550">
        <f>IFERROR(__xludf.DUMMYFUNCTION("""COMPUTED_VALUE"""),16.0)</f>
        <v>16</v>
      </c>
      <c r="L3550">
        <f>IFERROR(__xludf.DUMMYFUNCTION("""COMPUTED_VALUE"""),15.0)</f>
        <v>15</v>
      </c>
      <c r="M3550">
        <f>IFERROR(__xludf.DUMMYFUNCTION("""COMPUTED_VALUE"""),31.0)</f>
        <v>31</v>
      </c>
      <c r="N3550" t="str">
        <f>IFERROR(__xludf.DUMMYFUNCTION("""COMPUTED_VALUE"""),"Model 3 Performance")</f>
        <v>Model 3 Performance</v>
      </c>
      <c r="O3550" t="str">
        <f>IFERROR(__xludf.DUMMYFUNCTION("""COMPUTED_VALUE"""),"Midnight Silver Metallic")</f>
        <v>Midnight Silver Metallic</v>
      </c>
      <c r="P3550" t="str">
        <f>IFERROR(__xludf.DUMMYFUNCTION("""COMPUTED_VALUE"""),"20 inch")</f>
        <v>20 inch</v>
      </c>
      <c r="Q3550" t="str">
        <f>IFERROR(__xludf.DUMMYFUNCTION("""COMPUTED_VALUE"""),"Black and White")</f>
        <v>Black and White</v>
      </c>
      <c r="R3550" t="str">
        <f>IFERROR(__xludf.DUMMYFUNCTION("""COMPUTED_VALUE"""),"Autopilot included")</f>
        <v>Autopilot included</v>
      </c>
      <c r="S3550" t="str">
        <f>IFERROR(__xludf.DUMMYFUNCTION("""COMPUTED_VALUE"""),"Loan")</f>
        <v>Loan</v>
      </c>
      <c r="AH3550" s="189">
        <f>IFERROR(__xludf.DUMMYFUNCTION("""COMPUTED_VALUE"""),44488.607168726856)</f>
        <v>44488.60717</v>
      </c>
    </row>
    <row r="3551">
      <c r="A3551" t="str">
        <f>IFERROR(__xludf.DUMMYFUNCTION("""COMPUTED_VALUE"""),"Kellygeorge ")</f>
        <v>Kellygeorge </v>
      </c>
      <c r="B3551" t="str">
        <f>IFERROR(__xludf.DUMMYFUNCTION("""COMPUTED_VALUE"""),"Corvallis")</f>
        <v>Corvallis</v>
      </c>
      <c r="C3551" t="str">
        <f>IFERROR(__xludf.DUMMYFUNCTION("""COMPUTED_VALUE"""),"OR")</f>
        <v>OR</v>
      </c>
      <c r="D3551" t="str">
        <f>IFERROR(__xludf.DUMMYFUNCTION("""COMPUTED_VALUE"""),"USA")</f>
        <v>USA</v>
      </c>
      <c r="E3551" s="188">
        <f>IFERROR(__xludf.DUMMYFUNCTION("""COMPUTED_VALUE"""),44453.0)</f>
        <v>44453</v>
      </c>
      <c r="N3551" t="str">
        <f>IFERROR(__xludf.DUMMYFUNCTION("""COMPUTED_VALUE"""),"Model 3 LR AWD")</f>
        <v>Model 3 LR AWD</v>
      </c>
      <c r="O3551" t="str">
        <f>IFERROR(__xludf.DUMMYFUNCTION("""COMPUTED_VALUE"""),"Midnight Silver Metallic")</f>
        <v>Midnight Silver Metallic</v>
      </c>
      <c r="P3551" t="str">
        <f>IFERROR(__xludf.DUMMYFUNCTION("""COMPUTED_VALUE"""),"18 inch")</f>
        <v>18 inch</v>
      </c>
      <c r="Q3551" t="str">
        <f>IFERROR(__xludf.DUMMYFUNCTION("""COMPUTED_VALUE"""),"All Black")</f>
        <v>All Black</v>
      </c>
      <c r="R3551" t="str">
        <f>IFERROR(__xludf.DUMMYFUNCTION("""COMPUTED_VALUE"""),"Autopilot included")</f>
        <v>Autopilot included</v>
      </c>
      <c r="S3551" t="str">
        <f>IFERROR(__xludf.DUMMYFUNCTION("""COMPUTED_VALUE"""),"Loan")</f>
        <v>Loan</v>
      </c>
      <c r="AH3551" s="189">
        <f>IFERROR(__xludf.DUMMYFUNCTION("""COMPUTED_VALUE"""),44466.731299039355)</f>
        <v>44466.7313</v>
      </c>
    </row>
    <row r="3552">
      <c r="A3552" t="str">
        <f>IFERROR(__xludf.DUMMYFUNCTION("""COMPUTED_VALUE"""),"g235")</f>
        <v>g235</v>
      </c>
      <c r="B3552" t="str">
        <f>IFERROR(__xludf.DUMMYFUNCTION("""COMPUTED_VALUE"""),"Olney")</f>
        <v>Olney</v>
      </c>
      <c r="C3552" t="str">
        <f>IFERROR(__xludf.DUMMYFUNCTION("""COMPUTED_VALUE"""),"MD")</f>
        <v>MD</v>
      </c>
      <c r="D3552" t="str">
        <f>IFERROR(__xludf.DUMMYFUNCTION("""COMPUTED_VALUE"""),"USA")</f>
        <v>USA</v>
      </c>
      <c r="E3552" s="188">
        <f>IFERROR(__xludf.DUMMYFUNCTION("""COMPUTED_VALUE"""),44462.0)</f>
        <v>44462</v>
      </c>
      <c r="N3552" t="str">
        <f>IFERROR(__xludf.DUMMYFUNCTION("""COMPUTED_VALUE"""),"Model 3 LR AWD")</f>
        <v>Model 3 LR AWD</v>
      </c>
      <c r="O3552" t="str">
        <f>IFERROR(__xludf.DUMMYFUNCTION("""COMPUTED_VALUE"""),"Deep Blue Metallic")</f>
        <v>Deep Blue Metallic</v>
      </c>
      <c r="P3552" t="str">
        <f>IFERROR(__xludf.DUMMYFUNCTION("""COMPUTED_VALUE"""),"18 inch")</f>
        <v>18 inch</v>
      </c>
      <c r="Q3552" t="str">
        <f>IFERROR(__xludf.DUMMYFUNCTION("""COMPUTED_VALUE"""),"All Black")</f>
        <v>All Black</v>
      </c>
      <c r="R3552" t="str">
        <f>IFERROR(__xludf.DUMMYFUNCTION("""COMPUTED_VALUE"""),"Autopilot included")</f>
        <v>Autopilot included</v>
      </c>
      <c r="S3552" t="str">
        <f>IFERROR(__xludf.DUMMYFUNCTION("""COMPUTED_VALUE"""),"Lease")</f>
        <v>Lease</v>
      </c>
      <c r="T3552" t="str">
        <f>IFERROR(__xludf.DUMMYFUNCTION("""COMPUTED_VALUE"""),"Jeep Grand Cherokee")</f>
        <v>Jeep Grand Cherokee</v>
      </c>
      <c r="U3552" t="str">
        <f>IFERROR(__xludf.DUMMYFUNCTION("""COMPUTED_VALUE"""),"Electric!")</f>
        <v>Electric!</v>
      </c>
      <c r="V3552" t="str">
        <f>IFERROR(__xludf.DUMMYFUNCTION("""COMPUTED_VALUE"""),"Apple CarPlay / Android Auto / SiriusXM Radio")</f>
        <v>Apple CarPlay / Android Auto / SiriusXM Radio</v>
      </c>
      <c r="AH3552" s="189">
        <f>IFERROR(__xludf.DUMMYFUNCTION("""COMPUTED_VALUE"""),44466.74695479167)</f>
        <v>44466.74695</v>
      </c>
    </row>
    <row r="3553">
      <c r="A3553" t="str">
        <f>IFERROR(__xludf.DUMMYFUNCTION("""COMPUTED_VALUE"""),"steely")</f>
        <v>steely</v>
      </c>
      <c r="C3553" t="str">
        <f>IFERROR(__xludf.DUMMYFUNCTION("""COMPUTED_VALUE"""),"OH")</f>
        <v>OH</v>
      </c>
      <c r="D3553" t="str">
        <f>IFERROR(__xludf.DUMMYFUNCTION("""COMPUTED_VALUE"""),"USA")</f>
        <v>USA</v>
      </c>
      <c r="E3553" s="188">
        <f>IFERROR(__xludf.DUMMYFUNCTION("""COMPUTED_VALUE"""),44465.0)</f>
        <v>44465</v>
      </c>
      <c r="N3553" t="str">
        <f>IFERROR(__xludf.DUMMYFUNCTION("""COMPUTED_VALUE"""),"Model 3 SR+")</f>
        <v>Model 3 SR+</v>
      </c>
      <c r="O3553" t="str">
        <f>IFERROR(__xludf.DUMMYFUNCTION("""COMPUTED_VALUE"""),"Pearl White Multi-Coat")</f>
        <v>Pearl White Multi-Coat</v>
      </c>
      <c r="P3553" t="str">
        <f>IFERROR(__xludf.DUMMYFUNCTION("""COMPUTED_VALUE"""),"18 inch")</f>
        <v>18 inch</v>
      </c>
      <c r="Q3553" t="str">
        <f>IFERROR(__xludf.DUMMYFUNCTION("""COMPUTED_VALUE"""),"Black and White")</f>
        <v>Black and White</v>
      </c>
      <c r="R3553" t="str">
        <f>IFERROR(__xludf.DUMMYFUNCTION("""COMPUTED_VALUE"""),"Autopilot included")</f>
        <v>Autopilot included</v>
      </c>
      <c r="U3553" t="str">
        <f>IFERROR(__xludf.DUMMYFUNCTION("""COMPUTED_VALUE"""),"Electric!")</f>
        <v>Electric!</v>
      </c>
      <c r="AH3553" s="189">
        <f>IFERROR(__xludf.DUMMYFUNCTION("""COMPUTED_VALUE"""),44468.24483127314)</f>
        <v>44468.24483</v>
      </c>
    </row>
    <row r="3554">
      <c r="A3554" t="str">
        <f>IFERROR(__xludf.DUMMYFUNCTION("""COMPUTED_VALUE"""),"BEATsc")</f>
        <v>BEATsc</v>
      </c>
      <c r="B3554" t="str">
        <f>IFERROR(__xludf.DUMMYFUNCTION("""COMPUTED_VALUE"""),"Long Beach")</f>
        <v>Long Beach</v>
      </c>
      <c r="C3554" t="str">
        <f>IFERROR(__xludf.DUMMYFUNCTION("""COMPUTED_VALUE"""),"CA")</f>
        <v>CA</v>
      </c>
      <c r="D3554" t="str">
        <f>IFERROR(__xludf.DUMMYFUNCTION("""COMPUTED_VALUE"""),"USA")</f>
        <v>USA</v>
      </c>
      <c r="E3554" s="188">
        <f>IFERROR(__xludf.DUMMYFUNCTION("""COMPUTED_VALUE"""),44427.0)</f>
        <v>44427</v>
      </c>
      <c r="N3554" t="str">
        <f>IFERROR(__xludf.DUMMYFUNCTION("""COMPUTED_VALUE"""),"Model 3 SR+")</f>
        <v>Model 3 SR+</v>
      </c>
      <c r="O3554" t="str">
        <f>IFERROR(__xludf.DUMMYFUNCTION("""COMPUTED_VALUE"""),"Deep Blue Metallic")</f>
        <v>Deep Blue Metallic</v>
      </c>
      <c r="P3554" t="str">
        <f>IFERROR(__xludf.DUMMYFUNCTION("""COMPUTED_VALUE"""),"18 inch")</f>
        <v>18 inch</v>
      </c>
      <c r="Q3554" t="str">
        <f>IFERROR(__xludf.DUMMYFUNCTION("""COMPUTED_VALUE"""),"Black and White")</f>
        <v>Black and White</v>
      </c>
      <c r="R3554" t="str">
        <f>IFERROR(__xludf.DUMMYFUNCTION("""COMPUTED_VALUE"""),"Autopilot included")</f>
        <v>Autopilot included</v>
      </c>
      <c r="S3554" t="str">
        <f>IFERROR(__xludf.DUMMYFUNCTION("""COMPUTED_VALUE"""),"Lease")</f>
        <v>Lease</v>
      </c>
      <c r="T3554" t="str">
        <f>IFERROR(__xludf.DUMMYFUNCTION("""COMPUTED_VALUE"""),"Toyota Camry")</f>
        <v>Toyota Camry</v>
      </c>
      <c r="V3554" t="str">
        <f>IFERROR(__xludf.DUMMYFUNCTION("""COMPUTED_VALUE"""),"Apple CarPlay / Android Auto / SiriusXM Radio")</f>
        <v>Apple CarPlay / Android Auto / SiriusXM Radio</v>
      </c>
      <c r="AH3554" s="189">
        <f>IFERROR(__xludf.DUMMYFUNCTION("""COMPUTED_VALUE"""),44468.724882256945)</f>
        <v>44468.72488</v>
      </c>
    </row>
    <row r="3555">
      <c r="A3555" t="str">
        <f>IFERROR(__xludf.DUMMYFUNCTION("""COMPUTED_VALUE"""),"Waliza")</f>
        <v>Waliza</v>
      </c>
      <c r="B3555" t="str">
        <f>IFERROR(__xludf.DUMMYFUNCTION("""COMPUTED_VALUE"""),"Bay Area")</f>
        <v>Bay Area</v>
      </c>
      <c r="C3555" t="str">
        <f>IFERROR(__xludf.DUMMYFUNCTION("""COMPUTED_VALUE"""),"CA")</f>
        <v>CA</v>
      </c>
      <c r="D3555" t="str">
        <f>IFERROR(__xludf.DUMMYFUNCTION("""COMPUTED_VALUE"""),"USA")</f>
        <v>USA</v>
      </c>
      <c r="E3555" s="188">
        <f>IFERROR(__xludf.DUMMYFUNCTION("""COMPUTED_VALUE"""),44468.0)</f>
        <v>44468</v>
      </c>
      <c r="F3555" s="188">
        <f>IFERROR(__xludf.DUMMYFUNCTION("""COMPUTED_VALUE"""),44468.0)</f>
        <v>44468</v>
      </c>
      <c r="G3555" t="str">
        <f>IFERROR(__xludf.DUMMYFUNCTION("""COMPUTED_VALUE"""),"Manage order page (normal text)")</f>
        <v>Manage order page (normal text)</v>
      </c>
      <c r="H3555">
        <f>IFERROR(__xludf.DUMMYFUNCTION("""COMPUTED_VALUE"""),289355.0)</f>
        <v>289355</v>
      </c>
      <c r="I3555" t="str">
        <f>IFERROR(__xludf.DUMMYFUNCTION("""COMPUTED_VALUE"""),"08/21")</f>
        <v>08/21</v>
      </c>
      <c r="J3555" s="188">
        <f>IFERROR(__xludf.DUMMYFUNCTION("""COMPUTED_VALUE"""),44469.0)</f>
        <v>44469</v>
      </c>
      <c r="K3555">
        <f>IFERROR(__xludf.DUMMYFUNCTION("""COMPUTED_VALUE"""),0.0)</f>
        <v>0</v>
      </c>
      <c r="L3555">
        <f>IFERROR(__xludf.DUMMYFUNCTION("""COMPUTED_VALUE"""),1.0)</f>
        <v>1</v>
      </c>
      <c r="M3555">
        <f>IFERROR(__xludf.DUMMYFUNCTION("""COMPUTED_VALUE"""),1.0)</f>
        <v>1</v>
      </c>
      <c r="N3555" t="str">
        <f>IFERROR(__xludf.DUMMYFUNCTION("""COMPUTED_VALUE"""),"Model 3 Performance")</f>
        <v>Model 3 Performance</v>
      </c>
      <c r="O3555" t="str">
        <f>IFERROR(__xludf.DUMMYFUNCTION("""COMPUTED_VALUE"""),"Deep Blue Metallic")</f>
        <v>Deep Blue Metallic</v>
      </c>
      <c r="P3555" t="str">
        <f>IFERROR(__xludf.DUMMYFUNCTION("""COMPUTED_VALUE"""),"20 inch")</f>
        <v>20 inch</v>
      </c>
      <c r="Q3555" t="str">
        <f>IFERROR(__xludf.DUMMYFUNCTION("""COMPUTED_VALUE"""),"All Black")</f>
        <v>All Black</v>
      </c>
      <c r="R3555" t="str">
        <f>IFERROR(__xludf.DUMMYFUNCTION("""COMPUTED_VALUE"""),"Autopilot included")</f>
        <v>Autopilot included</v>
      </c>
      <c r="S3555" t="str">
        <f>IFERROR(__xludf.DUMMYFUNCTION("""COMPUTED_VALUE"""),"Loan")</f>
        <v>Loan</v>
      </c>
      <c r="T3555" t="str">
        <f>IFERROR(__xludf.DUMMYFUNCTION("""COMPUTED_VALUE"""),"BMW i3")</f>
        <v>BMW i3</v>
      </c>
      <c r="U3555" t="str">
        <f>IFERROR(__xludf.DUMMYFUNCTION("""COMPUTED_VALUE"""),"Electric!")</f>
        <v>Electric!</v>
      </c>
      <c r="V3555" t="str">
        <f>IFERROR(__xludf.DUMMYFUNCTION("""COMPUTED_VALUE"""),"Head-up display")</f>
        <v>Head-up display</v>
      </c>
      <c r="W3555" t="str">
        <f>IFERROR(__xludf.DUMMYFUNCTION("""COMPUTED_VALUE"""),"Watch the existing inventory page, only way to get your car fast. There are cars under 50 miles and they are great.")</f>
        <v>Watch the existing inventory page, only way to get your car fast. There are cars under 50 miles and they are great.</v>
      </c>
      <c r="X3555" t="str">
        <f>IFERROR(__xludf.DUMMYFUNCTION("""COMPUTED_VALUE"""),"Excellent")</f>
        <v>Excellent</v>
      </c>
      <c r="Y3555" t="str">
        <f>IFERROR(__xludf.DUMMYFUNCTION("""COMPUTED_VALUE"""),"Excellent")</f>
        <v>Excellent</v>
      </c>
      <c r="Z3555" t="str">
        <f>IFERROR(__xludf.DUMMYFUNCTION("""COMPUTED_VALUE"""),"Excellent")</f>
        <v>Excellent</v>
      </c>
      <c r="AA3555" t="str">
        <f>IFERROR(__xludf.DUMMYFUNCTION("""COMPUTED_VALUE"""),"Excellent")</f>
        <v>Excellent</v>
      </c>
      <c r="AB3555" t="str">
        <f>IFERROR(__xludf.DUMMYFUNCTION("""COMPUTED_VALUE"""),"Good")</f>
        <v>Good</v>
      </c>
      <c r="AC3555">
        <f>IFERROR(__xludf.DUMMYFUNCTION("""COMPUTED_VALUE"""),0.0)</f>
        <v>0</v>
      </c>
      <c r="AD3555">
        <f>IFERROR(__xludf.DUMMYFUNCTION("""COMPUTED_VALUE"""),0.0)</f>
        <v>0</v>
      </c>
      <c r="AE3555">
        <f>IFERROR(__xludf.DUMMYFUNCTION("""COMPUTED_VALUE"""),0.0)</f>
        <v>0</v>
      </c>
      <c r="AF3555" t="str">
        <f>IFERROR(__xludf.DUMMYFUNCTION("""COMPUTED_VALUE"""),"No. I took delivery of the first car Tesla was able to deliver.")</f>
        <v>No. I took delivery of the first car Tesla was able to deliver.</v>
      </c>
      <c r="AH3555" s="189">
        <f>IFERROR(__xludf.DUMMYFUNCTION("""COMPUTED_VALUE"""),44470.732997060186)</f>
        <v>44470.733</v>
      </c>
    </row>
    <row r="3556">
      <c r="A3556" t="str">
        <f>IFERROR(__xludf.DUMMYFUNCTION("""COMPUTED_VALUE"""),"kkkkkiii")</f>
        <v>kkkkkiii</v>
      </c>
      <c r="B3556" t="str">
        <f>IFERROR(__xludf.DUMMYFUNCTION("""COMPUTED_VALUE"""),"Fremont")</f>
        <v>Fremont</v>
      </c>
      <c r="C3556" t="str">
        <f>IFERROR(__xludf.DUMMYFUNCTION("""COMPUTED_VALUE"""),"CA")</f>
        <v>CA</v>
      </c>
      <c r="D3556" t="str">
        <f>IFERROR(__xludf.DUMMYFUNCTION("""COMPUTED_VALUE"""),"USA")</f>
        <v>USA</v>
      </c>
      <c r="E3556" s="188">
        <f>IFERROR(__xludf.DUMMYFUNCTION("""COMPUTED_VALUE"""),44394.0)</f>
        <v>44394</v>
      </c>
      <c r="F3556" s="188">
        <f>IFERROR(__xludf.DUMMYFUNCTION("""COMPUTED_VALUE"""),44471.0)</f>
        <v>44471</v>
      </c>
      <c r="G3556" t="str">
        <f>IFERROR(__xludf.DUMMYFUNCTION("""COMPUTED_VALUE"""),"Manage order page (normal text)")</f>
        <v>Manage order page (normal text)</v>
      </c>
      <c r="K3556">
        <f>IFERROR(__xludf.DUMMYFUNCTION("""COMPUTED_VALUE"""),77.0)</f>
        <v>77</v>
      </c>
      <c r="N3556" t="str">
        <f>IFERROR(__xludf.DUMMYFUNCTION("""COMPUTED_VALUE"""),"Model 3 SR+")</f>
        <v>Model 3 SR+</v>
      </c>
      <c r="O3556" t="str">
        <f>IFERROR(__xludf.DUMMYFUNCTION("""COMPUTED_VALUE"""),"Pearl White Multi-Coat")</f>
        <v>Pearl White Multi-Coat</v>
      </c>
      <c r="P3556" t="str">
        <f>IFERROR(__xludf.DUMMYFUNCTION("""COMPUTED_VALUE"""),"18 inch")</f>
        <v>18 inch</v>
      </c>
      <c r="Q3556" t="str">
        <f>IFERROR(__xludf.DUMMYFUNCTION("""COMPUTED_VALUE"""),"All Black")</f>
        <v>All Black</v>
      </c>
      <c r="R3556" t="str">
        <f>IFERROR(__xludf.DUMMYFUNCTION("""COMPUTED_VALUE"""),"Autopilot included")</f>
        <v>Autopilot included</v>
      </c>
      <c r="S3556" t="str">
        <f>IFERROR(__xludf.DUMMYFUNCTION("""COMPUTED_VALUE"""),"Loan")</f>
        <v>Loan</v>
      </c>
      <c r="AH3556" s="189">
        <f>IFERROR(__xludf.DUMMYFUNCTION("""COMPUTED_VALUE"""),44471.54256989583)</f>
        <v>44471.54257</v>
      </c>
    </row>
    <row r="3557">
      <c r="A3557" t="str">
        <f>IFERROR(__xludf.DUMMYFUNCTION("""COMPUTED_VALUE"""),"mapletuesday")</f>
        <v>mapletuesday</v>
      </c>
      <c r="B3557" t="str">
        <f>IFERROR(__xludf.DUMMYFUNCTION("""COMPUTED_VALUE"""),"Pittsburgh ")</f>
        <v>Pittsburgh </v>
      </c>
      <c r="C3557" t="str">
        <f>IFERROR(__xludf.DUMMYFUNCTION("""COMPUTED_VALUE"""),"PA")</f>
        <v>PA</v>
      </c>
      <c r="D3557" t="str">
        <f>IFERROR(__xludf.DUMMYFUNCTION("""COMPUTED_VALUE"""),"USA")</f>
        <v>USA</v>
      </c>
      <c r="E3557" s="188">
        <f>IFERROR(__xludf.DUMMYFUNCTION("""COMPUTED_VALUE"""),44463.0)</f>
        <v>44463</v>
      </c>
      <c r="N3557" t="str">
        <f>IFERROR(__xludf.DUMMYFUNCTION("""COMPUTED_VALUE"""),"Model 3 LR AWD")</f>
        <v>Model 3 LR AWD</v>
      </c>
      <c r="O3557" t="str">
        <f>IFERROR(__xludf.DUMMYFUNCTION("""COMPUTED_VALUE"""),"Pearl White Multi-Coat")</f>
        <v>Pearl White Multi-Coat</v>
      </c>
      <c r="P3557" t="str">
        <f>IFERROR(__xludf.DUMMYFUNCTION("""COMPUTED_VALUE"""),"18 inch")</f>
        <v>18 inch</v>
      </c>
      <c r="Q3557" t="str">
        <f>IFERROR(__xludf.DUMMYFUNCTION("""COMPUTED_VALUE"""),"Black and White")</f>
        <v>Black and White</v>
      </c>
      <c r="R3557" t="str">
        <f>IFERROR(__xludf.DUMMYFUNCTION("""COMPUTED_VALUE"""),"Autopilot included")</f>
        <v>Autopilot included</v>
      </c>
      <c r="S3557" t="str">
        <f>IFERROR(__xludf.DUMMYFUNCTION("""COMPUTED_VALUE"""),"Cash")</f>
        <v>Cash</v>
      </c>
      <c r="T3557" t="str">
        <f>IFERROR(__xludf.DUMMYFUNCTION("""COMPUTED_VALUE"""),"F150")</f>
        <v>F150</v>
      </c>
      <c r="U3557" t="str">
        <f>IFERROR(__xludf.DUMMYFUNCTION("""COMPUTED_VALUE"""),"Electric!")</f>
        <v>Electric!</v>
      </c>
      <c r="V3557" t="str">
        <f>IFERROR(__xludf.DUMMYFUNCTION("""COMPUTED_VALUE"""),"360° Bird's eye view")</f>
        <v>360° Bird's eye view</v>
      </c>
      <c r="AH3557" s="189">
        <f>IFERROR(__xludf.DUMMYFUNCTION("""COMPUTED_VALUE"""),44471.785630196755)</f>
        <v>44471.78563</v>
      </c>
    </row>
    <row r="3558">
      <c r="A3558" t="str">
        <f>IFERROR(__xludf.DUMMYFUNCTION("""COMPUTED_VALUE"""),"Kalessin")</f>
        <v>Kalessin</v>
      </c>
      <c r="B3558" t="str">
        <f>IFERROR(__xludf.DUMMYFUNCTION("""COMPUTED_VALUE"""),"Northampton")</f>
        <v>Northampton</v>
      </c>
      <c r="D3558" t="str">
        <f>IFERROR(__xludf.DUMMYFUNCTION("""COMPUTED_VALUE"""),"United Kingdom")</f>
        <v>United Kingdom</v>
      </c>
      <c r="E3558" s="188">
        <f>IFERROR(__xludf.DUMMYFUNCTION("""COMPUTED_VALUE"""),44469.0)</f>
        <v>44469</v>
      </c>
      <c r="N3558" t="str">
        <f>IFERROR(__xludf.DUMMYFUNCTION("""COMPUTED_VALUE"""),"Model 3 LR AWD")</f>
        <v>Model 3 LR AWD</v>
      </c>
      <c r="O3558" t="str">
        <f>IFERROR(__xludf.DUMMYFUNCTION("""COMPUTED_VALUE"""),"Pearl White Multi-Coat")</f>
        <v>Pearl White Multi-Coat</v>
      </c>
      <c r="P3558" t="str">
        <f>IFERROR(__xludf.DUMMYFUNCTION("""COMPUTED_VALUE"""),"19 inch")</f>
        <v>19 inch</v>
      </c>
      <c r="Q3558" t="str">
        <f>IFERROR(__xludf.DUMMYFUNCTION("""COMPUTED_VALUE"""),"Black and White")</f>
        <v>Black and White</v>
      </c>
      <c r="R3558" t="str">
        <f>IFERROR(__xludf.DUMMYFUNCTION("""COMPUTED_VALUE"""),"Autopilot included")</f>
        <v>Autopilot included</v>
      </c>
      <c r="S3558" t="str">
        <f>IFERROR(__xludf.DUMMYFUNCTION("""COMPUTED_VALUE"""),"Loan")</f>
        <v>Loan</v>
      </c>
      <c r="T3558" t="str">
        <f>IFERROR(__xludf.DUMMYFUNCTION("""COMPUTED_VALUE"""),"Ford Focus")</f>
        <v>Ford Focus</v>
      </c>
      <c r="U3558" t="str">
        <f>IFERROR(__xludf.DUMMYFUNCTION("""COMPUTED_VALUE"""),"Electric!")</f>
        <v>Electric!</v>
      </c>
      <c r="V3558" t="str">
        <f>IFERROR(__xludf.DUMMYFUNCTION("""COMPUTED_VALUE"""),"Apple CarPlay / Android Auto / SiriusXM Radio")</f>
        <v>Apple CarPlay / Android Auto / SiriusXM Radio</v>
      </c>
      <c r="AH3558" s="189">
        <f>IFERROR(__xludf.DUMMYFUNCTION("""COMPUTED_VALUE"""),44472.144171238426)</f>
        <v>44472.14417</v>
      </c>
    </row>
    <row r="3559">
      <c r="A3559" t="str">
        <f>IFERROR(__xludf.DUMMYFUNCTION("""COMPUTED_VALUE"""),"Tessolo")</f>
        <v>Tessolo</v>
      </c>
      <c r="B3559" t="str">
        <f>IFERROR(__xludf.DUMMYFUNCTION("""COMPUTED_VALUE"""),"Dallas")</f>
        <v>Dallas</v>
      </c>
      <c r="C3559" t="str">
        <f>IFERROR(__xludf.DUMMYFUNCTION("""COMPUTED_VALUE"""),"TX")</f>
        <v>TX</v>
      </c>
      <c r="D3559" t="str">
        <f>IFERROR(__xludf.DUMMYFUNCTION("""COMPUTED_VALUE"""),"USA")</f>
        <v>USA</v>
      </c>
      <c r="E3559" s="188">
        <f>IFERROR(__xludf.DUMMYFUNCTION("""COMPUTED_VALUE"""),44471.0)</f>
        <v>44471</v>
      </c>
      <c r="F3559" s="188">
        <f>IFERROR(__xludf.DUMMYFUNCTION("""COMPUTED_VALUE"""),44499.0)</f>
        <v>44499</v>
      </c>
      <c r="G3559" t="str">
        <f>IFERROR(__xludf.DUMMYFUNCTION("""COMPUTED_VALUE"""),"Manage order page (normal text)")</f>
        <v>Manage order page (normal text)</v>
      </c>
      <c r="J3559" s="188">
        <f>IFERROR(__xludf.DUMMYFUNCTION("""COMPUTED_VALUE"""),44515.0)</f>
        <v>44515</v>
      </c>
      <c r="K3559">
        <f>IFERROR(__xludf.DUMMYFUNCTION("""COMPUTED_VALUE"""),28.0)</f>
        <v>28</v>
      </c>
      <c r="L3559">
        <f>IFERROR(__xludf.DUMMYFUNCTION("""COMPUTED_VALUE"""),16.0)</f>
        <v>16</v>
      </c>
      <c r="M3559">
        <f>IFERROR(__xludf.DUMMYFUNCTION("""COMPUTED_VALUE"""),44.0)</f>
        <v>44</v>
      </c>
      <c r="N3559" t="str">
        <f>IFERROR(__xludf.DUMMYFUNCTION("""COMPUTED_VALUE"""),"Model 3 SR+")</f>
        <v>Model 3 SR+</v>
      </c>
      <c r="O3559" t="str">
        <f>IFERROR(__xludf.DUMMYFUNCTION("""COMPUTED_VALUE"""),"Midnight Silver Metallic")</f>
        <v>Midnight Silver Metallic</v>
      </c>
      <c r="P3559" t="str">
        <f>IFERROR(__xludf.DUMMYFUNCTION("""COMPUTED_VALUE"""),"18 inch")</f>
        <v>18 inch</v>
      </c>
      <c r="Q3559" t="str">
        <f>IFERROR(__xludf.DUMMYFUNCTION("""COMPUTED_VALUE"""),"All Black")</f>
        <v>All Black</v>
      </c>
      <c r="R3559" t="str">
        <f>IFERROR(__xludf.DUMMYFUNCTION("""COMPUTED_VALUE"""),"Autopilot included")</f>
        <v>Autopilot included</v>
      </c>
      <c r="S3559" t="str">
        <f>IFERROR(__xludf.DUMMYFUNCTION("""COMPUTED_VALUE"""),"Cash")</f>
        <v>Cash</v>
      </c>
      <c r="T3559" t="str">
        <f>IFERROR(__xludf.DUMMYFUNCTION("""COMPUTED_VALUE"""),"Tesla Model 3")</f>
        <v>Tesla Model 3</v>
      </c>
      <c r="V3559" t="str">
        <f>IFERROR(__xludf.DUMMYFUNCTION("""COMPUTED_VALUE"""),"Dashboard")</f>
        <v>Dashboard</v>
      </c>
      <c r="AH3559" s="189">
        <f>IFERROR(__xludf.DUMMYFUNCTION("""COMPUTED_VALUE"""),44509.23247949074)</f>
        <v>44509.23248</v>
      </c>
    </row>
    <row r="3560">
      <c r="A3560" t="str">
        <f>IFERROR(__xludf.DUMMYFUNCTION("""COMPUTED_VALUE"""),"tb12")</f>
        <v>tb12</v>
      </c>
      <c r="B3560" t="str">
        <f>IFERROR(__xludf.DUMMYFUNCTION("""COMPUTED_VALUE"""),"Austin")</f>
        <v>Austin</v>
      </c>
      <c r="C3560" t="str">
        <f>IFERROR(__xludf.DUMMYFUNCTION("""COMPUTED_VALUE"""),"TX")</f>
        <v>TX</v>
      </c>
      <c r="D3560" t="str">
        <f>IFERROR(__xludf.DUMMYFUNCTION("""COMPUTED_VALUE"""),"USA")</f>
        <v>USA</v>
      </c>
      <c r="E3560" s="188">
        <f>IFERROR(__xludf.DUMMYFUNCTION("""COMPUTED_VALUE"""),44470.0)</f>
        <v>44470</v>
      </c>
      <c r="N3560" t="str">
        <f>IFERROR(__xludf.DUMMYFUNCTION("""COMPUTED_VALUE"""),"Model 3 LR AWD")</f>
        <v>Model 3 LR AWD</v>
      </c>
      <c r="O3560" t="str">
        <f>IFERROR(__xludf.DUMMYFUNCTION("""COMPUTED_VALUE"""),"Midnight Silver Metallic")</f>
        <v>Midnight Silver Metallic</v>
      </c>
      <c r="P3560" t="str">
        <f>IFERROR(__xludf.DUMMYFUNCTION("""COMPUTED_VALUE"""),"18 inch")</f>
        <v>18 inch</v>
      </c>
      <c r="Q3560" t="str">
        <f>IFERROR(__xludf.DUMMYFUNCTION("""COMPUTED_VALUE"""),"All Black")</f>
        <v>All Black</v>
      </c>
      <c r="R3560" t="str">
        <f>IFERROR(__xludf.DUMMYFUNCTION("""COMPUTED_VALUE"""),"Full Self-Driving")</f>
        <v>Full Self-Driving</v>
      </c>
      <c r="S3560" t="str">
        <f>IFERROR(__xludf.DUMMYFUNCTION("""COMPUTED_VALUE"""),"Loan")</f>
        <v>Loan</v>
      </c>
      <c r="T3560" t="str">
        <f>IFERROR(__xludf.DUMMYFUNCTION("""COMPUTED_VALUE"""),"Volkswagen GTI")</f>
        <v>Volkswagen GTI</v>
      </c>
      <c r="U3560" t="str">
        <f>IFERROR(__xludf.DUMMYFUNCTION("""COMPUTED_VALUE"""),"Autopilot")</f>
        <v>Autopilot</v>
      </c>
      <c r="V3560" t="str">
        <f>IFERROR(__xludf.DUMMYFUNCTION("""COMPUTED_VALUE"""),"Head-up display")</f>
        <v>Head-up display</v>
      </c>
      <c r="AH3560" s="189">
        <f>IFERROR(__xludf.DUMMYFUNCTION("""COMPUTED_VALUE"""),44472.74199574074)</f>
        <v>44472.742</v>
      </c>
    </row>
    <row r="3561">
      <c r="A3561" t="str">
        <f>IFERROR(__xludf.DUMMYFUNCTION("""COMPUTED_VALUE"""),"Vifik")</f>
        <v>Vifik</v>
      </c>
      <c r="B3561" t="str">
        <f>IFERROR(__xludf.DUMMYFUNCTION("""COMPUTED_VALUE"""),"Basingstoke")</f>
        <v>Basingstoke</v>
      </c>
      <c r="D3561" t="str">
        <f>IFERROR(__xludf.DUMMYFUNCTION("""COMPUTED_VALUE"""),"United Kingdom")</f>
        <v>United Kingdom</v>
      </c>
      <c r="E3561" s="188">
        <f>IFERROR(__xludf.DUMMYFUNCTION("""COMPUTED_VALUE"""),44439.0)</f>
        <v>44439</v>
      </c>
      <c r="F3561" s="188">
        <f>IFERROR(__xludf.DUMMYFUNCTION("""COMPUTED_VALUE"""),44508.0)</f>
        <v>44508</v>
      </c>
      <c r="G3561" t="str">
        <f>IFERROR(__xludf.DUMMYFUNCTION("""COMPUTED_VALUE"""),"Source code")</f>
        <v>Source code</v>
      </c>
      <c r="H3561">
        <f>IFERROR(__xludf.DUMMYFUNCTION("""COMPUTED_VALUE"""),390755.0)</f>
        <v>390755</v>
      </c>
      <c r="K3561">
        <f>IFERROR(__xludf.DUMMYFUNCTION("""COMPUTED_VALUE"""),69.0)</f>
        <v>69</v>
      </c>
      <c r="N3561" t="str">
        <f>IFERROR(__xludf.DUMMYFUNCTION("""COMPUTED_VALUE"""),"Model 3 LR AWD")</f>
        <v>Model 3 LR AWD</v>
      </c>
      <c r="O3561" t="str">
        <f>IFERROR(__xludf.DUMMYFUNCTION("""COMPUTED_VALUE"""),"Midnight Silver Metallic")</f>
        <v>Midnight Silver Metallic</v>
      </c>
      <c r="P3561" t="str">
        <f>IFERROR(__xludf.DUMMYFUNCTION("""COMPUTED_VALUE"""),"18 inch")</f>
        <v>18 inch</v>
      </c>
      <c r="Q3561" t="str">
        <f>IFERROR(__xludf.DUMMYFUNCTION("""COMPUTED_VALUE"""),"All Black")</f>
        <v>All Black</v>
      </c>
      <c r="R3561" t="str">
        <f>IFERROR(__xludf.DUMMYFUNCTION("""COMPUTED_VALUE"""),"Autopilot included")</f>
        <v>Autopilot included</v>
      </c>
      <c r="S3561" t="str">
        <f>IFERROR(__xludf.DUMMYFUNCTION("""COMPUTED_VALUE"""),"Cash")</f>
        <v>Cash</v>
      </c>
      <c r="T3561" t="str">
        <f>IFERROR(__xludf.DUMMYFUNCTION("""COMPUTED_VALUE"""),"Volvo XC90")</f>
        <v>Volvo XC90</v>
      </c>
      <c r="U3561" t="str">
        <f>IFERROR(__xludf.DUMMYFUNCTION("""COMPUTED_VALUE"""),"Electric!")</f>
        <v>Electric!</v>
      </c>
      <c r="V3561" t="str">
        <f>IFERROR(__xludf.DUMMYFUNCTION("""COMPUTED_VALUE"""),"Head-up display")</f>
        <v>Head-up display</v>
      </c>
      <c r="AH3561" s="189">
        <f>IFERROR(__xludf.DUMMYFUNCTION("""COMPUTED_VALUE"""),44508.41959790509)</f>
        <v>44508.4196</v>
      </c>
    </row>
    <row r="3562">
      <c r="A3562" t="str">
        <f>IFERROR(__xludf.DUMMYFUNCTION("""COMPUTED_VALUE"""),"_SunShine")</f>
        <v>_SunShine</v>
      </c>
      <c r="B3562" t="str">
        <f>IFERROR(__xludf.DUMMYFUNCTION("""COMPUTED_VALUE"""),"Düsseldorf")</f>
        <v>Düsseldorf</v>
      </c>
      <c r="D3562" t="str">
        <f>IFERROR(__xludf.DUMMYFUNCTION("""COMPUTED_VALUE"""),"Germany")</f>
        <v>Germany</v>
      </c>
      <c r="E3562" s="188">
        <f>IFERROR(__xludf.DUMMYFUNCTION("""COMPUTED_VALUE"""),44409.0)</f>
        <v>44409</v>
      </c>
      <c r="I3562" t="str">
        <f>IFERROR(__xludf.DUMMYFUNCTION("""COMPUTED_VALUE"""),"10/21")</f>
        <v>10/21</v>
      </c>
      <c r="N3562" t="str">
        <f>IFERROR(__xludf.DUMMYFUNCTION("""COMPUTED_VALUE"""),"Model 3 LR AWD")</f>
        <v>Model 3 LR AWD</v>
      </c>
      <c r="O3562" t="str">
        <f>IFERROR(__xludf.DUMMYFUNCTION("""COMPUTED_VALUE"""),"Pearl White Multi-Coat")</f>
        <v>Pearl White Multi-Coat</v>
      </c>
      <c r="P3562" t="str">
        <f>IFERROR(__xludf.DUMMYFUNCTION("""COMPUTED_VALUE"""),"18 inch")</f>
        <v>18 inch</v>
      </c>
      <c r="Q3562" t="str">
        <f>IFERROR(__xludf.DUMMYFUNCTION("""COMPUTED_VALUE"""),"All Black")</f>
        <v>All Black</v>
      </c>
      <c r="S3562" t="str">
        <f>IFERROR(__xludf.DUMMYFUNCTION("""COMPUTED_VALUE"""),"Cash")</f>
        <v>Cash</v>
      </c>
      <c r="T3562" t="str">
        <f>IFERROR(__xludf.DUMMYFUNCTION("""COMPUTED_VALUE"""),"BMW 3 Series")</f>
        <v>BMW 3 Series</v>
      </c>
      <c r="U3562" t="str">
        <f>IFERROR(__xludf.DUMMYFUNCTION("""COMPUTED_VALUE"""),"Tesla brand image")</f>
        <v>Tesla brand image</v>
      </c>
      <c r="V3562" t="str">
        <f>IFERROR(__xludf.DUMMYFUNCTION("""COMPUTED_VALUE"""),"360° Bird's eye view")</f>
        <v>360° Bird's eye view</v>
      </c>
      <c r="AH3562" s="189">
        <f>IFERROR(__xludf.DUMMYFUNCTION("""COMPUTED_VALUE"""),44473.36951991898)</f>
        <v>44473.36952</v>
      </c>
    </row>
    <row r="3563">
      <c r="A3563" t="str">
        <f>IFERROR(__xludf.DUMMYFUNCTION("""COMPUTED_VALUE"""),"gc38")</f>
        <v>gc38</v>
      </c>
      <c r="B3563" t="str">
        <f>IFERROR(__xludf.DUMMYFUNCTION("""COMPUTED_VALUE"""),"Chicago")</f>
        <v>Chicago</v>
      </c>
      <c r="C3563" t="str">
        <f>IFERROR(__xludf.DUMMYFUNCTION("""COMPUTED_VALUE"""),"IL")</f>
        <v>IL</v>
      </c>
      <c r="D3563" t="str">
        <f>IFERROR(__xludf.DUMMYFUNCTION("""COMPUTED_VALUE"""),"USA")</f>
        <v>USA</v>
      </c>
      <c r="E3563" s="188">
        <f>IFERROR(__xludf.DUMMYFUNCTION("""COMPUTED_VALUE"""),44469.0)</f>
        <v>44469</v>
      </c>
      <c r="N3563" t="str">
        <f>IFERROR(__xludf.DUMMYFUNCTION("""COMPUTED_VALUE"""),"Model 3 LR AWD")</f>
        <v>Model 3 LR AWD</v>
      </c>
      <c r="O3563" t="str">
        <f>IFERROR(__xludf.DUMMYFUNCTION("""COMPUTED_VALUE"""),"Pearl White Multi-Coat")</f>
        <v>Pearl White Multi-Coat</v>
      </c>
      <c r="P3563" t="str">
        <f>IFERROR(__xludf.DUMMYFUNCTION("""COMPUTED_VALUE"""),"18 inch")</f>
        <v>18 inch</v>
      </c>
      <c r="Q3563" t="str">
        <f>IFERROR(__xludf.DUMMYFUNCTION("""COMPUTED_VALUE"""),"All Black")</f>
        <v>All Black</v>
      </c>
      <c r="R3563" t="str">
        <f>IFERROR(__xludf.DUMMYFUNCTION("""COMPUTED_VALUE"""),"Autopilot included")</f>
        <v>Autopilot included</v>
      </c>
      <c r="S3563" t="str">
        <f>IFERROR(__xludf.DUMMYFUNCTION("""COMPUTED_VALUE"""),"Loan")</f>
        <v>Loan</v>
      </c>
      <c r="T3563" t="str">
        <f>IFERROR(__xludf.DUMMYFUNCTION("""COMPUTED_VALUE"""),"Genesis Coupe 3.8")</f>
        <v>Genesis Coupe 3.8</v>
      </c>
      <c r="U3563" t="str">
        <f>IFERROR(__xludf.DUMMYFUNCTION("""COMPUTED_VALUE"""),"Electric!")</f>
        <v>Electric!</v>
      </c>
      <c r="V3563" t="str">
        <f>IFERROR(__xludf.DUMMYFUNCTION("""COMPUTED_VALUE"""),"Air suspension")</f>
        <v>Air suspension</v>
      </c>
      <c r="AH3563" s="189">
        <f>IFERROR(__xludf.DUMMYFUNCTION("""COMPUTED_VALUE"""),44473.8130452662)</f>
        <v>44473.81305</v>
      </c>
    </row>
    <row r="3564">
      <c r="A3564" t="str">
        <f>IFERROR(__xludf.DUMMYFUNCTION("""COMPUTED_VALUE"""),"pumped4M3")</f>
        <v>pumped4M3</v>
      </c>
      <c r="B3564" t="str">
        <f>IFERROR(__xludf.DUMMYFUNCTION("""COMPUTED_VALUE"""),"Boston")</f>
        <v>Boston</v>
      </c>
      <c r="C3564" t="str">
        <f>IFERROR(__xludf.DUMMYFUNCTION("""COMPUTED_VALUE"""),"MA")</f>
        <v>MA</v>
      </c>
      <c r="D3564" t="str">
        <f>IFERROR(__xludf.DUMMYFUNCTION("""COMPUTED_VALUE"""),"USA")</f>
        <v>USA</v>
      </c>
      <c r="E3564" s="188">
        <f>IFERROR(__xludf.DUMMYFUNCTION("""COMPUTED_VALUE"""),44460.0)</f>
        <v>44460</v>
      </c>
      <c r="N3564" t="str">
        <f>IFERROR(__xludf.DUMMYFUNCTION("""COMPUTED_VALUE"""),"Model 3 LR AWD")</f>
        <v>Model 3 LR AWD</v>
      </c>
      <c r="O3564" t="str">
        <f>IFERROR(__xludf.DUMMYFUNCTION("""COMPUTED_VALUE"""),"Pearl White Multi-Coat")</f>
        <v>Pearl White Multi-Coat</v>
      </c>
      <c r="P3564" t="str">
        <f>IFERROR(__xludf.DUMMYFUNCTION("""COMPUTED_VALUE"""),"18 inch")</f>
        <v>18 inch</v>
      </c>
      <c r="Q3564" t="str">
        <f>IFERROR(__xludf.DUMMYFUNCTION("""COMPUTED_VALUE"""),"All Black")</f>
        <v>All Black</v>
      </c>
      <c r="R3564" t="str">
        <f>IFERROR(__xludf.DUMMYFUNCTION("""COMPUTED_VALUE"""),"Autopilot included")</f>
        <v>Autopilot included</v>
      </c>
      <c r="S3564" t="str">
        <f>IFERROR(__xludf.DUMMYFUNCTION("""COMPUTED_VALUE"""),"Loan")</f>
        <v>Loan</v>
      </c>
      <c r="T3564" t="str">
        <f>IFERROR(__xludf.DUMMYFUNCTION("""COMPUTED_VALUE"""),"Model 3 will be my first car!")</f>
        <v>Model 3 will be my first car!</v>
      </c>
      <c r="U3564" t="str">
        <f>IFERROR(__xludf.DUMMYFUNCTION("""COMPUTED_VALUE"""),"Electric!")</f>
        <v>Electric!</v>
      </c>
      <c r="V3564" t="str">
        <f>IFERROR(__xludf.DUMMYFUNCTION("""COMPUTED_VALUE"""),"Dashboard")</f>
        <v>Dashboard</v>
      </c>
      <c r="AH3564" s="189">
        <f>IFERROR(__xludf.DUMMYFUNCTION("""COMPUTED_VALUE"""),44474.067417858794)</f>
        <v>44474.06742</v>
      </c>
    </row>
    <row r="3565">
      <c r="A3565" t="str">
        <f>IFERROR(__xludf.DUMMYFUNCTION("""COMPUTED_VALUE"""),"Fher03")</f>
        <v>Fher03</v>
      </c>
      <c r="B3565" t="str">
        <f>IFERROR(__xludf.DUMMYFUNCTION("""COMPUTED_VALUE"""),"Ontario")</f>
        <v>Ontario</v>
      </c>
      <c r="C3565" t="str">
        <f>IFERROR(__xludf.DUMMYFUNCTION("""COMPUTED_VALUE"""),"CA")</f>
        <v>CA</v>
      </c>
      <c r="D3565" t="str">
        <f>IFERROR(__xludf.DUMMYFUNCTION("""COMPUTED_VALUE"""),"USA")</f>
        <v>USA</v>
      </c>
      <c r="E3565" s="188">
        <f>IFERROR(__xludf.DUMMYFUNCTION("""COMPUTED_VALUE"""),44467.0)</f>
        <v>44467</v>
      </c>
      <c r="N3565" t="str">
        <f>IFERROR(__xludf.DUMMYFUNCTION("""COMPUTED_VALUE"""),"Model 3 LR AWD")</f>
        <v>Model 3 LR AWD</v>
      </c>
      <c r="O3565" t="str">
        <f>IFERROR(__xludf.DUMMYFUNCTION("""COMPUTED_VALUE"""),"Pearl White Multi-Coat")</f>
        <v>Pearl White Multi-Coat</v>
      </c>
      <c r="P3565" t="str">
        <f>IFERROR(__xludf.DUMMYFUNCTION("""COMPUTED_VALUE"""),"18 inch")</f>
        <v>18 inch</v>
      </c>
      <c r="Q3565" t="str">
        <f>IFERROR(__xludf.DUMMYFUNCTION("""COMPUTED_VALUE"""),"All Black")</f>
        <v>All Black</v>
      </c>
      <c r="R3565" t="str">
        <f>IFERROR(__xludf.DUMMYFUNCTION("""COMPUTED_VALUE"""),"Autopilot included")</f>
        <v>Autopilot included</v>
      </c>
      <c r="S3565" t="str">
        <f>IFERROR(__xludf.DUMMYFUNCTION("""COMPUTED_VALUE"""),"Loan")</f>
        <v>Loan</v>
      </c>
      <c r="V3565" t="str">
        <f>IFERROR(__xludf.DUMMYFUNCTION("""COMPUTED_VALUE"""),"Head-up display")</f>
        <v>Head-up display</v>
      </c>
      <c r="AH3565" s="189">
        <f>IFERROR(__xludf.DUMMYFUNCTION("""COMPUTED_VALUE"""),44474.43353383102)</f>
        <v>44474.43353</v>
      </c>
    </row>
    <row r="3566">
      <c r="A3566" t="str">
        <f>IFERROR(__xludf.DUMMYFUNCTION("""COMPUTED_VALUE"""),"KevlarCoated")</f>
        <v>KevlarCoated</v>
      </c>
      <c r="C3566" t="str">
        <f>IFERROR(__xludf.DUMMYFUNCTION("""COMPUTED_VALUE"""),"ON")</f>
        <v>ON</v>
      </c>
      <c r="D3566" t="str">
        <f>IFERROR(__xludf.DUMMYFUNCTION("""COMPUTED_VALUE"""),"Canada")</f>
        <v>Canada</v>
      </c>
      <c r="E3566" s="188">
        <f>IFERROR(__xludf.DUMMYFUNCTION("""COMPUTED_VALUE"""),44472.0)</f>
        <v>44472</v>
      </c>
      <c r="N3566" t="str">
        <f>IFERROR(__xludf.DUMMYFUNCTION("""COMPUTED_VALUE"""),"Model 3 SR+")</f>
        <v>Model 3 SR+</v>
      </c>
      <c r="O3566" t="str">
        <f>IFERROR(__xludf.DUMMYFUNCTION("""COMPUTED_VALUE"""),"Midnight Silver Metallic")</f>
        <v>Midnight Silver Metallic</v>
      </c>
      <c r="P3566" t="str">
        <f>IFERROR(__xludf.DUMMYFUNCTION("""COMPUTED_VALUE"""),"18 inch")</f>
        <v>18 inch</v>
      </c>
      <c r="Q3566" t="str">
        <f>IFERROR(__xludf.DUMMYFUNCTION("""COMPUTED_VALUE"""),"All Black")</f>
        <v>All Black</v>
      </c>
      <c r="R3566" t="str">
        <f>IFERROR(__xludf.DUMMYFUNCTION("""COMPUTED_VALUE"""),"Autopilot included")</f>
        <v>Autopilot included</v>
      </c>
      <c r="S3566" t="str">
        <f>IFERROR(__xludf.DUMMYFUNCTION("""COMPUTED_VALUE"""),"Cash")</f>
        <v>Cash</v>
      </c>
      <c r="T3566" t="str">
        <f>IFERROR(__xludf.DUMMYFUNCTION("""COMPUTED_VALUE"""),"VW Jetta")</f>
        <v>VW Jetta</v>
      </c>
      <c r="U3566" t="str">
        <f>IFERROR(__xludf.DUMMYFUNCTION("""COMPUTED_VALUE"""),"Electric!")</f>
        <v>Electric!</v>
      </c>
      <c r="V3566" t="str">
        <f>IFERROR(__xludf.DUMMYFUNCTION("""COMPUTED_VALUE"""),"Blind spot indicators on side mirrors")</f>
        <v>Blind spot indicators on side mirrors</v>
      </c>
      <c r="AH3566" s="189">
        <f>IFERROR(__xludf.DUMMYFUNCTION("""COMPUTED_VALUE"""),44474.55131613426)</f>
        <v>44474.55132</v>
      </c>
    </row>
    <row r="3567">
      <c r="A3567" t="str">
        <f>IFERROR(__xludf.DUMMYFUNCTION("""COMPUTED_VALUE"""),"rgupta0747")</f>
        <v>rgupta0747</v>
      </c>
      <c r="B3567" t="str">
        <f>IFERROR(__xludf.DUMMYFUNCTION("""COMPUTED_VALUE"""),"Fremont")</f>
        <v>Fremont</v>
      </c>
      <c r="C3567" t="str">
        <f>IFERROR(__xludf.DUMMYFUNCTION("""COMPUTED_VALUE"""),"CA")</f>
        <v>CA</v>
      </c>
      <c r="D3567" t="str">
        <f>IFERROR(__xludf.DUMMYFUNCTION("""COMPUTED_VALUE"""),"USA")</f>
        <v>USA</v>
      </c>
      <c r="E3567" s="188">
        <f>IFERROR(__xludf.DUMMYFUNCTION("""COMPUTED_VALUE"""),44472.0)</f>
        <v>44472</v>
      </c>
      <c r="N3567" t="str">
        <f>IFERROR(__xludf.DUMMYFUNCTION("""COMPUTED_VALUE"""),"Model 3 SR+")</f>
        <v>Model 3 SR+</v>
      </c>
      <c r="O3567" t="str">
        <f>IFERROR(__xludf.DUMMYFUNCTION("""COMPUTED_VALUE"""),"Red Multi-Coat")</f>
        <v>Red Multi-Coat</v>
      </c>
      <c r="P3567" t="str">
        <f>IFERROR(__xludf.DUMMYFUNCTION("""COMPUTED_VALUE"""),"18 inch")</f>
        <v>18 inch</v>
      </c>
      <c r="Q3567" t="str">
        <f>IFERROR(__xludf.DUMMYFUNCTION("""COMPUTED_VALUE"""),"All Black")</f>
        <v>All Black</v>
      </c>
      <c r="R3567" t="str">
        <f>IFERROR(__xludf.DUMMYFUNCTION("""COMPUTED_VALUE"""),"Autopilot included")</f>
        <v>Autopilot included</v>
      </c>
      <c r="S3567" t="str">
        <f>IFERROR(__xludf.DUMMYFUNCTION("""COMPUTED_VALUE"""),"Cash")</f>
        <v>Cash</v>
      </c>
      <c r="T3567" t="str">
        <f>IFERROR(__xludf.DUMMYFUNCTION("""COMPUTED_VALUE"""),"Hyundai Sonata")</f>
        <v>Hyundai Sonata</v>
      </c>
      <c r="U3567" t="str">
        <f>IFERROR(__xludf.DUMMYFUNCTION("""COMPUTED_VALUE"""),"Electric!")</f>
        <v>Electric!</v>
      </c>
      <c r="V3567" t="str">
        <f>IFERROR(__xludf.DUMMYFUNCTION("""COMPUTED_VALUE"""),"Apple CarPlay / Android Auto / SiriusXM Radio")</f>
        <v>Apple CarPlay / Android Auto / SiriusXM Radio</v>
      </c>
      <c r="AH3567" s="189">
        <f>IFERROR(__xludf.DUMMYFUNCTION("""COMPUTED_VALUE"""),44474.6054584375)</f>
        <v>44474.60546</v>
      </c>
    </row>
    <row r="3568">
      <c r="A3568" t="str">
        <f>IFERROR(__xludf.DUMMYFUNCTION("""COMPUTED_VALUE"""),"Chazzymoto ")</f>
        <v>Chazzymoto </v>
      </c>
      <c r="B3568" t="str">
        <f>IFERROR(__xludf.DUMMYFUNCTION("""COMPUTED_VALUE"""),"Seattle")</f>
        <v>Seattle</v>
      </c>
      <c r="C3568" t="str">
        <f>IFERROR(__xludf.DUMMYFUNCTION("""COMPUTED_VALUE"""),"WA")</f>
        <v>WA</v>
      </c>
      <c r="D3568" t="str">
        <f>IFERROR(__xludf.DUMMYFUNCTION("""COMPUTED_VALUE"""),"USA")</f>
        <v>USA</v>
      </c>
      <c r="E3568" s="188">
        <f>IFERROR(__xludf.DUMMYFUNCTION("""COMPUTED_VALUE"""),44423.0)</f>
        <v>44423</v>
      </c>
      <c r="N3568" t="str">
        <f>IFERROR(__xludf.DUMMYFUNCTION("""COMPUTED_VALUE"""),"Model 3 Performance")</f>
        <v>Model 3 Performance</v>
      </c>
      <c r="O3568" t="str">
        <f>IFERROR(__xludf.DUMMYFUNCTION("""COMPUTED_VALUE"""),"Midnight Silver Metallic")</f>
        <v>Midnight Silver Metallic</v>
      </c>
      <c r="P3568" t="str">
        <f>IFERROR(__xludf.DUMMYFUNCTION("""COMPUTED_VALUE"""),"20 inch")</f>
        <v>20 inch</v>
      </c>
      <c r="Q3568" t="str">
        <f>IFERROR(__xludf.DUMMYFUNCTION("""COMPUTED_VALUE"""),"All Black")</f>
        <v>All Black</v>
      </c>
      <c r="R3568" t="str">
        <f>IFERROR(__xludf.DUMMYFUNCTION("""COMPUTED_VALUE"""),"Autopilot included")</f>
        <v>Autopilot included</v>
      </c>
      <c r="S3568" t="str">
        <f>IFERROR(__xludf.DUMMYFUNCTION("""COMPUTED_VALUE"""),"Loan")</f>
        <v>Loan</v>
      </c>
      <c r="AH3568" s="189">
        <f>IFERROR(__xludf.DUMMYFUNCTION("""COMPUTED_VALUE"""),44474.66163530093)</f>
        <v>44474.66164</v>
      </c>
    </row>
    <row r="3569">
      <c r="A3569" t="str">
        <f>IFERROR(__xludf.DUMMYFUNCTION("""COMPUTED_VALUE"""),"manuelv142")</f>
        <v>manuelv142</v>
      </c>
      <c r="B3569" t="str">
        <f>IFERROR(__xludf.DUMMYFUNCTION("""COMPUTED_VALUE"""),"Austin")</f>
        <v>Austin</v>
      </c>
      <c r="C3569" t="str">
        <f>IFERROR(__xludf.DUMMYFUNCTION("""COMPUTED_VALUE"""),"TX")</f>
        <v>TX</v>
      </c>
      <c r="D3569" t="str">
        <f>IFERROR(__xludf.DUMMYFUNCTION("""COMPUTED_VALUE"""),"USA")</f>
        <v>USA</v>
      </c>
      <c r="E3569" s="188">
        <f>IFERROR(__xludf.DUMMYFUNCTION("""COMPUTED_VALUE"""),44472.0)</f>
        <v>44472</v>
      </c>
      <c r="N3569" t="str">
        <f>IFERROR(__xludf.DUMMYFUNCTION("""COMPUTED_VALUE"""),"Model 3 Performance")</f>
        <v>Model 3 Performance</v>
      </c>
      <c r="O3569" t="str">
        <f>IFERROR(__xludf.DUMMYFUNCTION("""COMPUTED_VALUE"""),"Solid Black")</f>
        <v>Solid Black</v>
      </c>
      <c r="P3569" t="str">
        <f>IFERROR(__xludf.DUMMYFUNCTION("""COMPUTED_VALUE"""),"20 inch")</f>
        <v>20 inch</v>
      </c>
      <c r="Q3569" t="str">
        <f>IFERROR(__xludf.DUMMYFUNCTION("""COMPUTED_VALUE"""),"Black and White")</f>
        <v>Black and White</v>
      </c>
      <c r="R3569" t="str">
        <f>IFERROR(__xludf.DUMMYFUNCTION("""COMPUTED_VALUE"""),"Autopilot included")</f>
        <v>Autopilot included</v>
      </c>
      <c r="S3569" t="str">
        <f>IFERROR(__xludf.DUMMYFUNCTION("""COMPUTED_VALUE"""),"Loan")</f>
        <v>Loan</v>
      </c>
      <c r="T3569" t="str">
        <f>IFERROR(__xludf.DUMMYFUNCTION("""COMPUTED_VALUE"""),"Tesla Model Y")</f>
        <v>Tesla Model Y</v>
      </c>
      <c r="V3569" t="str">
        <f>IFERROR(__xludf.DUMMYFUNCTION("""COMPUTED_VALUE"""),"Ventilated seats")</f>
        <v>Ventilated seats</v>
      </c>
      <c r="AH3569" s="189">
        <f>IFERROR(__xludf.DUMMYFUNCTION("""COMPUTED_VALUE"""),44474.7726516088)</f>
        <v>44474.77265</v>
      </c>
    </row>
    <row r="3570">
      <c r="A3570" t="str">
        <f>IFERROR(__xludf.DUMMYFUNCTION("""COMPUTED_VALUE"""),"comprex")</f>
        <v>comprex</v>
      </c>
      <c r="B3570" t="str">
        <f>IFERROR(__xludf.DUMMYFUNCTION("""COMPUTED_VALUE"""),"Houston")</f>
        <v>Houston</v>
      </c>
      <c r="C3570" t="str">
        <f>IFERROR(__xludf.DUMMYFUNCTION("""COMPUTED_VALUE"""),"TX")</f>
        <v>TX</v>
      </c>
      <c r="D3570" t="str">
        <f>IFERROR(__xludf.DUMMYFUNCTION("""COMPUTED_VALUE"""),"USA")</f>
        <v>USA</v>
      </c>
      <c r="E3570" s="188">
        <f>IFERROR(__xludf.DUMMYFUNCTION("""COMPUTED_VALUE"""),44448.0)</f>
        <v>44448</v>
      </c>
      <c r="N3570" t="str">
        <f>IFERROR(__xludf.DUMMYFUNCTION("""COMPUTED_VALUE"""),"Model 3 SR+")</f>
        <v>Model 3 SR+</v>
      </c>
      <c r="O3570" t="str">
        <f>IFERROR(__xludf.DUMMYFUNCTION("""COMPUTED_VALUE"""),"Pearl White Multi-Coat")</f>
        <v>Pearl White Multi-Coat</v>
      </c>
      <c r="P3570" t="str">
        <f>IFERROR(__xludf.DUMMYFUNCTION("""COMPUTED_VALUE"""),"18 inch")</f>
        <v>18 inch</v>
      </c>
      <c r="Q3570" t="str">
        <f>IFERROR(__xludf.DUMMYFUNCTION("""COMPUTED_VALUE"""),"All Black")</f>
        <v>All Black</v>
      </c>
      <c r="R3570" t="str">
        <f>IFERROR(__xludf.DUMMYFUNCTION("""COMPUTED_VALUE"""),"Autopilot included")</f>
        <v>Autopilot included</v>
      </c>
      <c r="S3570" t="str">
        <f>IFERROR(__xludf.DUMMYFUNCTION("""COMPUTED_VALUE"""),"Loan")</f>
        <v>Loan</v>
      </c>
      <c r="AH3570" s="189">
        <f>IFERROR(__xludf.DUMMYFUNCTION("""COMPUTED_VALUE"""),44475.28439667824)</f>
        <v>44475.2844</v>
      </c>
    </row>
    <row r="3571">
      <c r="A3571" t="str">
        <f>IFERROR(__xludf.DUMMYFUNCTION("""COMPUTED_VALUE"""),"marianne0909")</f>
        <v>marianne0909</v>
      </c>
      <c r="B3571" t="str">
        <f>IFERROR(__xludf.DUMMYFUNCTION("""COMPUTED_VALUE"""),"London")</f>
        <v>London</v>
      </c>
      <c r="C3571" t="str">
        <f>IFERROR(__xludf.DUMMYFUNCTION("""COMPUTED_VALUE"""),"ON")</f>
        <v>ON</v>
      </c>
      <c r="D3571" t="str">
        <f>IFERROR(__xludf.DUMMYFUNCTION("""COMPUTED_VALUE"""),"Canada")</f>
        <v>Canada</v>
      </c>
      <c r="E3571" s="188">
        <f>IFERROR(__xludf.DUMMYFUNCTION("""COMPUTED_VALUE"""),44440.0)</f>
        <v>44440</v>
      </c>
      <c r="N3571" t="str">
        <f>IFERROR(__xludf.DUMMYFUNCTION("""COMPUTED_VALUE"""),"Model 3 SR+")</f>
        <v>Model 3 SR+</v>
      </c>
      <c r="O3571" t="str">
        <f>IFERROR(__xludf.DUMMYFUNCTION("""COMPUTED_VALUE"""),"Midnight Silver Metallic")</f>
        <v>Midnight Silver Metallic</v>
      </c>
      <c r="P3571" t="str">
        <f>IFERROR(__xludf.DUMMYFUNCTION("""COMPUTED_VALUE"""),"18 inch")</f>
        <v>18 inch</v>
      </c>
      <c r="Q3571" t="str">
        <f>IFERROR(__xludf.DUMMYFUNCTION("""COMPUTED_VALUE"""),"All Black")</f>
        <v>All Black</v>
      </c>
      <c r="R3571" t="str">
        <f>IFERROR(__xludf.DUMMYFUNCTION("""COMPUTED_VALUE"""),"Autopilot included")</f>
        <v>Autopilot included</v>
      </c>
      <c r="S3571" t="str">
        <f>IFERROR(__xludf.DUMMYFUNCTION("""COMPUTED_VALUE"""),"Cash")</f>
        <v>Cash</v>
      </c>
      <c r="T3571" t="str">
        <f>IFERROR(__xludf.DUMMYFUNCTION("""COMPUTED_VALUE"""),"Honda CRV")</f>
        <v>Honda CRV</v>
      </c>
      <c r="U3571" t="str">
        <f>IFERROR(__xludf.DUMMYFUNCTION("""COMPUTED_VALUE"""),"Electric!")</f>
        <v>Electric!</v>
      </c>
      <c r="AH3571" s="189">
        <f>IFERROR(__xludf.DUMMYFUNCTION("""COMPUTED_VALUE"""),44476.4903866088)</f>
        <v>44476.49039</v>
      </c>
    </row>
    <row r="3572">
      <c r="A3572" t="str">
        <f>IFERROR(__xludf.DUMMYFUNCTION("""COMPUTED_VALUE"""),"wildburrito")</f>
        <v>wildburrito</v>
      </c>
      <c r="B3572" t="str">
        <f>IFERROR(__xludf.DUMMYFUNCTION("""COMPUTED_VALUE"""),"Boca Raton")</f>
        <v>Boca Raton</v>
      </c>
      <c r="C3572" t="str">
        <f>IFERROR(__xludf.DUMMYFUNCTION("""COMPUTED_VALUE"""),"FL")</f>
        <v>FL</v>
      </c>
      <c r="D3572" t="str">
        <f>IFERROR(__xludf.DUMMYFUNCTION("""COMPUTED_VALUE"""),"USA")</f>
        <v>USA</v>
      </c>
      <c r="E3572" s="188">
        <f>IFERROR(__xludf.DUMMYFUNCTION("""COMPUTED_VALUE"""),44476.0)</f>
        <v>44476</v>
      </c>
      <c r="F3572" s="188">
        <f>IFERROR(__xludf.DUMMYFUNCTION("""COMPUTED_VALUE"""),44484.0)</f>
        <v>44484</v>
      </c>
      <c r="G3572" t="str">
        <f>IFERROR(__xludf.DUMMYFUNCTION("""COMPUTED_VALUE"""),"Manage order page (normal text)")</f>
        <v>Manage order page (normal text)</v>
      </c>
      <c r="K3572">
        <f>IFERROR(__xludf.DUMMYFUNCTION("""COMPUTED_VALUE"""),8.0)</f>
        <v>8</v>
      </c>
      <c r="N3572" t="str">
        <f>IFERROR(__xludf.DUMMYFUNCTION("""COMPUTED_VALUE"""),"Model 3 Performance")</f>
        <v>Model 3 Performance</v>
      </c>
      <c r="O3572" t="str">
        <f>IFERROR(__xludf.DUMMYFUNCTION("""COMPUTED_VALUE"""),"Pearl White Multi-Coat")</f>
        <v>Pearl White Multi-Coat</v>
      </c>
      <c r="P3572" t="str">
        <f>IFERROR(__xludf.DUMMYFUNCTION("""COMPUTED_VALUE"""),"20 inch")</f>
        <v>20 inch</v>
      </c>
      <c r="Q3572" t="str">
        <f>IFERROR(__xludf.DUMMYFUNCTION("""COMPUTED_VALUE"""),"Black and White")</f>
        <v>Black and White</v>
      </c>
      <c r="R3572" t="str">
        <f>IFERROR(__xludf.DUMMYFUNCTION("""COMPUTED_VALUE"""),"Autopilot included")</f>
        <v>Autopilot included</v>
      </c>
      <c r="S3572" t="str">
        <f>IFERROR(__xludf.DUMMYFUNCTION("""COMPUTED_VALUE"""),"Lease")</f>
        <v>Lease</v>
      </c>
      <c r="AH3572" s="189">
        <f>IFERROR(__xludf.DUMMYFUNCTION("""COMPUTED_VALUE"""),44484.5267458912)</f>
        <v>44484.52675</v>
      </c>
    </row>
    <row r="3573">
      <c r="A3573" t="str">
        <f>IFERROR(__xludf.DUMMYFUNCTION("""COMPUTED_VALUE"""),"Jazzmanstv")</f>
        <v>Jazzmanstv</v>
      </c>
      <c r="B3573" t="str">
        <f>IFERROR(__xludf.DUMMYFUNCTION("""COMPUTED_VALUE"""),"Saratoga springs")</f>
        <v>Saratoga springs</v>
      </c>
      <c r="C3573" t="str">
        <f>IFERROR(__xludf.DUMMYFUNCTION("""COMPUTED_VALUE"""),"UT")</f>
        <v>UT</v>
      </c>
      <c r="D3573" t="str">
        <f>IFERROR(__xludf.DUMMYFUNCTION("""COMPUTED_VALUE"""),"USA")</f>
        <v>USA</v>
      </c>
      <c r="E3573" s="188">
        <f>IFERROR(__xludf.DUMMYFUNCTION("""COMPUTED_VALUE"""),44423.0)</f>
        <v>44423</v>
      </c>
      <c r="N3573" t="str">
        <f>IFERROR(__xludf.DUMMYFUNCTION("""COMPUTED_VALUE"""),"Model 3 SR+")</f>
        <v>Model 3 SR+</v>
      </c>
      <c r="O3573" t="str">
        <f>IFERROR(__xludf.DUMMYFUNCTION("""COMPUTED_VALUE"""),"Pearl White Multi-Coat")</f>
        <v>Pearl White Multi-Coat</v>
      </c>
      <c r="P3573" t="str">
        <f>IFERROR(__xludf.DUMMYFUNCTION("""COMPUTED_VALUE"""),"18 inch")</f>
        <v>18 inch</v>
      </c>
      <c r="Q3573" t="str">
        <f>IFERROR(__xludf.DUMMYFUNCTION("""COMPUTED_VALUE"""),"All Black")</f>
        <v>All Black</v>
      </c>
      <c r="R3573" t="str">
        <f>IFERROR(__xludf.DUMMYFUNCTION("""COMPUTED_VALUE"""),"Autopilot included")</f>
        <v>Autopilot included</v>
      </c>
      <c r="S3573" t="str">
        <f>IFERROR(__xludf.DUMMYFUNCTION("""COMPUTED_VALUE"""),"Loan")</f>
        <v>Loan</v>
      </c>
      <c r="T3573" t="str">
        <f>IFERROR(__xludf.DUMMYFUNCTION("""COMPUTED_VALUE"""),"Nissan Leaf")</f>
        <v>Nissan Leaf</v>
      </c>
      <c r="U3573" t="str">
        <f>IFERROR(__xludf.DUMMYFUNCTION("""COMPUTED_VALUE"""),"Supercharger V3 support")</f>
        <v>Supercharger V3 support</v>
      </c>
      <c r="AH3573" s="189">
        <f>IFERROR(__xludf.DUMMYFUNCTION("""COMPUTED_VALUE"""),44477.31273744213)</f>
        <v>44477.31274</v>
      </c>
    </row>
    <row r="3574">
      <c r="A3574" t="str">
        <f>IFERROR(__xludf.DUMMYFUNCTION("""COMPUTED_VALUE"""),"Jonpho")</f>
        <v>Jonpho</v>
      </c>
      <c r="B3574" t="str">
        <f>IFERROR(__xludf.DUMMYFUNCTION("""COMPUTED_VALUE"""),"Lytham St.Annes")</f>
        <v>Lytham St.Annes</v>
      </c>
      <c r="D3574" t="str">
        <f>IFERROR(__xludf.DUMMYFUNCTION("""COMPUTED_VALUE"""),"United Kingdom")</f>
        <v>United Kingdom</v>
      </c>
      <c r="E3574" s="188">
        <f>IFERROR(__xludf.DUMMYFUNCTION("""COMPUTED_VALUE"""),44469.0)</f>
        <v>44469</v>
      </c>
      <c r="N3574" t="str">
        <f>IFERROR(__xludf.DUMMYFUNCTION("""COMPUTED_VALUE"""),"Model 3 LR AWD")</f>
        <v>Model 3 LR AWD</v>
      </c>
      <c r="O3574" t="str">
        <f>IFERROR(__xludf.DUMMYFUNCTION("""COMPUTED_VALUE"""),"Solid Black")</f>
        <v>Solid Black</v>
      </c>
      <c r="P3574" t="str">
        <f>IFERROR(__xludf.DUMMYFUNCTION("""COMPUTED_VALUE"""),"18 inch")</f>
        <v>18 inch</v>
      </c>
      <c r="Q3574" t="str">
        <f>IFERROR(__xludf.DUMMYFUNCTION("""COMPUTED_VALUE"""),"All Black")</f>
        <v>All Black</v>
      </c>
      <c r="R3574" t="str">
        <f>IFERROR(__xludf.DUMMYFUNCTION("""COMPUTED_VALUE"""),"Autopilot included")</f>
        <v>Autopilot included</v>
      </c>
      <c r="S3574" t="str">
        <f>IFERROR(__xludf.DUMMYFUNCTION("""COMPUTED_VALUE"""),"Loan")</f>
        <v>Loan</v>
      </c>
      <c r="T3574" t="str">
        <f>IFERROR(__xludf.DUMMYFUNCTION("""COMPUTED_VALUE"""),"Toyota Prius")</f>
        <v>Toyota Prius</v>
      </c>
      <c r="U3574" t="str">
        <f>IFERROR(__xludf.DUMMYFUNCTION("""COMPUTED_VALUE"""),"Electric!")</f>
        <v>Electric!</v>
      </c>
      <c r="V3574" t="str">
        <f>IFERROR(__xludf.DUMMYFUNCTION("""COMPUTED_VALUE"""),"Apple CarPlay / Android Auto / SiriusXM Radio")</f>
        <v>Apple CarPlay / Android Auto / SiriusXM Radio</v>
      </c>
      <c r="AH3574" s="189">
        <f>IFERROR(__xludf.DUMMYFUNCTION("""COMPUTED_VALUE"""),44499.00158614584)</f>
        <v>44499.00159</v>
      </c>
    </row>
    <row r="3575">
      <c r="A3575" t="str">
        <f>IFERROR(__xludf.DUMMYFUNCTION("""COMPUTED_VALUE"""),"Pauls17")</f>
        <v>Pauls17</v>
      </c>
      <c r="D3575" t="str">
        <f>IFERROR(__xludf.DUMMYFUNCTION("""COMPUTED_VALUE"""),"United Kingdom")</f>
        <v>United Kingdom</v>
      </c>
      <c r="E3575" s="188">
        <f>IFERROR(__xludf.DUMMYFUNCTION("""COMPUTED_VALUE"""),44470.0)</f>
        <v>44470</v>
      </c>
      <c r="F3575" s="188">
        <f>IFERROR(__xludf.DUMMYFUNCTION("""COMPUTED_VALUE"""),44496.0)</f>
        <v>44496</v>
      </c>
      <c r="G3575" t="str">
        <f>IFERROR(__xludf.DUMMYFUNCTION("""COMPUTED_VALUE"""),"Source code")</f>
        <v>Source code</v>
      </c>
      <c r="J3575" s="188">
        <f>IFERROR(__xludf.DUMMYFUNCTION("""COMPUTED_VALUE"""),44533.0)</f>
        <v>44533</v>
      </c>
      <c r="K3575">
        <f>IFERROR(__xludf.DUMMYFUNCTION("""COMPUTED_VALUE"""),26.0)</f>
        <v>26</v>
      </c>
      <c r="L3575">
        <f>IFERROR(__xludf.DUMMYFUNCTION("""COMPUTED_VALUE"""),37.0)</f>
        <v>37</v>
      </c>
      <c r="M3575">
        <f>IFERROR(__xludf.DUMMYFUNCTION("""COMPUTED_VALUE"""),63.0)</f>
        <v>63</v>
      </c>
      <c r="N3575" t="str">
        <f>IFERROR(__xludf.DUMMYFUNCTION("""COMPUTED_VALUE"""),"Model 3 LR AWD")</f>
        <v>Model 3 LR AWD</v>
      </c>
      <c r="O3575" t="str">
        <f>IFERROR(__xludf.DUMMYFUNCTION("""COMPUTED_VALUE"""),"Pearl White Multi-Coat")</f>
        <v>Pearl White Multi-Coat</v>
      </c>
      <c r="P3575" t="str">
        <f>IFERROR(__xludf.DUMMYFUNCTION("""COMPUTED_VALUE"""),"19 inch")</f>
        <v>19 inch</v>
      </c>
      <c r="Q3575" t="str">
        <f>IFERROR(__xludf.DUMMYFUNCTION("""COMPUTED_VALUE"""),"Black and White")</f>
        <v>Black and White</v>
      </c>
      <c r="R3575" t="str">
        <f>IFERROR(__xludf.DUMMYFUNCTION("""COMPUTED_VALUE"""),"Autopilot included")</f>
        <v>Autopilot included</v>
      </c>
      <c r="T3575" t="str">
        <f>IFERROR(__xludf.DUMMYFUNCTION("""COMPUTED_VALUE"""),"Jaguar F-Pace")</f>
        <v>Jaguar F-Pace</v>
      </c>
      <c r="U3575" t="str">
        <f>IFERROR(__xludf.DUMMYFUNCTION("""COMPUTED_VALUE"""),"Electric!")</f>
        <v>Electric!</v>
      </c>
      <c r="V3575" t="str">
        <f>IFERROR(__xludf.DUMMYFUNCTION("""COMPUTED_VALUE"""),"Head-up display")</f>
        <v>Head-up display</v>
      </c>
      <c r="AH3575" s="189">
        <f>IFERROR(__xludf.DUMMYFUNCTION("""COMPUTED_VALUE"""),44500.59171875)</f>
        <v>44500.59172</v>
      </c>
    </row>
    <row r="3576">
      <c r="A3576" t="str">
        <f>IFERROR(__xludf.DUMMYFUNCTION("""COMPUTED_VALUE"""),"DfwGuy")</f>
        <v>DfwGuy</v>
      </c>
      <c r="B3576" t="str">
        <f>IFERROR(__xludf.DUMMYFUNCTION("""COMPUTED_VALUE"""),"Dallas")</f>
        <v>Dallas</v>
      </c>
      <c r="C3576" t="str">
        <f>IFERROR(__xludf.DUMMYFUNCTION("""COMPUTED_VALUE"""),"TX")</f>
        <v>TX</v>
      </c>
      <c r="D3576" t="str">
        <f>IFERROR(__xludf.DUMMYFUNCTION("""COMPUTED_VALUE"""),"USA")</f>
        <v>USA</v>
      </c>
      <c r="E3576" s="188">
        <f>IFERROR(__xludf.DUMMYFUNCTION("""COMPUTED_VALUE"""),44464.0)</f>
        <v>44464</v>
      </c>
      <c r="F3576" s="188">
        <f>IFERROR(__xludf.DUMMYFUNCTION("""COMPUTED_VALUE"""),44477.0)</f>
        <v>44477</v>
      </c>
      <c r="G3576" t="str">
        <f>IFERROR(__xludf.DUMMYFUNCTION("""COMPUTED_VALUE"""),"Manage order page (normal text)")</f>
        <v>Manage order page (normal text)</v>
      </c>
      <c r="H3576">
        <f>IFERROR(__xludf.DUMMYFUNCTION("""COMPUTED_VALUE"""),83374.0)</f>
        <v>83374</v>
      </c>
      <c r="I3576" t="str">
        <f>IFERROR(__xludf.DUMMYFUNCTION("""COMPUTED_VALUE"""),"10/21")</f>
        <v>10/21</v>
      </c>
      <c r="K3576">
        <f>IFERROR(__xludf.DUMMYFUNCTION("""COMPUTED_VALUE"""),13.0)</f>
        <v>13</v>
      </c>
      <c r="N3576" t="str">
        <f>IFERROR(__xludf.DUMMYFUNCTION("""COMPUTED_VALUE"""),"Model 3 Performance")</f>
        <v>Model 3 Performance</v>
      </c>
      <c r="O3576" t="str">
        <f>IFERROR(__xludf.DUMMYFUNCTION("""COMPUTED_VALUE"""),"Pearl White Multi-Coat")</f>
        <v>Pearl White Multi-Coat</v>
      </c>
      <c r="P3576" t="str">
        <f>IFERROR(__xludf.DUMMYFUNCTION("""COMPUTED_VALUE"""),"20 inch")</f>
        <v>20 inch</v>
      </c>
      <c r="Q3576" t="str">
        <f>IFERROR(__xludf.DUMMYFUNCTION("""COMPUTED_VALUE"""),"Black and White")</f>
        <v>Black and White</v>
      </c>
      <c r="R3576" t="str">
        <f>IFERROR(__xludf.DUMMYFUNCTION("""COMPUTED_VALUE"""),"Autopilot included")</f>
        <v>Autopilot included</v>
      </c>
      <c r="S3576" t="str">
        <f>IFERROR(__xludf.DUMMYFUNCTION("""COMPUTED_VALUE"""),"Loan")</f>
        <v>Loan</v>
      </c>
      <c r="T3576" t="str">
        <f>IFERROR(__xludf.DUMMYFUNCTION("""COMPUTED_VALUE"""),"Alfa Romeo")</f>
        <v>Alfa Romeo</v>
      </c>
      <c r="U3576" t="str">
        <f>IFERROR(__xludf.DUMMYFUNCTION("""COMPUTED_VALUE"""),"Acceleration")</f>
        <v>Acceleration</v>
      </c>
      <c r="V3576" t="str">
        <f>IFERROR(__xludf.DUMMYFUNCTION("""COMPUTED_VALUE"""),"Ventilated seats")</f>
        <v>Ventilated seats</v>
      </c>
      <c r="AH3576" s="189">
        <f>IFERROR(__xludf.DUMMYFUNCTION("""COMPUTED_VALUE"""),44477.4318662963)</f>
        <v>44477.43187</v>
      </c>
    </row>
    <row r="3577">
      <c r="A3577" t="str">
        <f>IFERROR(__xludf.DUMMYFUNCTION("""COMPUTED_VALUE"""),"musicman")</f>
        <v>musicman</v>
      </c>
      <c r="B3577" t="str">
        <f>IFERROR(__xludf.DUMMYFUNCTION("""COMPUTED_VALUE"""),"Jackson")</f>
        <v>Jackson</v>
      </c>
      <c r="C3577" t="str">
        <f>IFERROR(__xludf.DUMMYFUNCTION("""COMPUTED_VALUE"""),"TN")</f>
        <v>TN</v>
      </c>
      <c r="D3577" t="str">
        <f>IFERROR(__xludf.DUMMYFUNCTION("""COMPUTED_VALUE"""),"USA")</f>
        <v>USA</v>
      </c>
      <c r="E3577" s="188">
        <f>IFERROR(__xludf.DUMMYFUNCTION("""COMPUTED_VALUE"""),44477.0)</f>
        <v>44477</v>
      </c>
      <c r="F3577" s="188">
        <f>IFERROR(__xludf.DUMMYFUNCTION("""COMPUTED_VALUE"""),44489.0)</f>
        <v>44489</v>
      </c>
      <c r="G3577" t="str">
        <f>IFERROR(__xludf.DUMMYFUNCTION("""COMPUTED_VALUE"""),"Manage order page (normal text)")</f>
        <v>Manage order page (normal text)</v>
      </c>
      <c r="H3577">
        <f>IFERROR(__xludf.DUMMYFUNCTION("""COMPUTED_VALUE"""),92555.0)</f>
        <v>92555</v>
      </c>
      <c r="J3577" s="188">
        <f>IFERROR(__xludf.DUMMYFUNCTION("""COMPUTED_VALUE"""),44509.0)</f>
        <v>44509</v>
      </c>
      <c r="K3577">
        <f>IFERROR(__xludf.DUMMYFUNCTION("""COMPUTED_VALUE"""),12.0)</f>
        <v>12</v>
      </c>
      <c r="L3577">
        <f>IFERROR(__xludf.DUMMYFUNCTION("""COMPUTED_VALUE"""),20.0)</f>
        <v>20</v>
      </c>
      <c r="M3577">
        <f>IFERROR(__xludf.DUMMYFUNCTION("""COMPUTED_VALUE"""),32.0)</f>
        <v>32</v>
      </c>
      <c r="N3577" t="str">
        <f>IFERROR(__xludf.DUMMYFUNCTION("""COMPUTED_VALUE"""),"Model 3 Performance")</f>
        <v>Model 3 Performance</v>
      </c>
      <c r="O3577" t="str">
        <f>IFERROR(__xludf.DUMMYFUNCTION("""COMPUTED_VALUE"""),"Midnight Silver Metallic")</f>
        <v>Midnight Silver Metallic</v>
      </c>
      <c r="P3577" t="str">
        <f>IFERROR(__xludf.DUMMYFUNCTION("""COMPUTED_VALUE"""),"20 inch")</f>
        <v>20 inch</v>
      </c>
      <c r="Q3577" t="str">
        <f>IFERROR(__xludf.DUMMYFUNCTION("""COMPUTED_VALUE"""),"Black and White")</f>
        <v>Black and White</v>
      </c>
      <c r="R3577" t="str">
        <f>IFERROR(__xludf.DUMMYFUNCTION("""COMPUTED_VALUE"""),"Autopilot included")</f>
        <v>Autopilot included</v>
      </c>
      <c r="S3577" t="str">
        <f>IFERROR(__xludf.DUMMYFUNCTION("""COMPUTED_VALUE"""),"Loan")</f>
        <v>Loan</v>
      </c>
      <c r="T3577" t="str">
        <f>IFERROR(__xludf.DUMMYFUNCTION("""COMPUTED_VALUE"""),"Lincoln MKZ")</f>
        <v>Lincoln MKZ</v>
      </c>
      <c r="U3577" t="str">
        <f>IFERROR(__xludf.DUMMYFUNCTION("""COMPUTED_VALUE"""),"Tesla brand image")</f>
        <v>Tesla brand image</v>
      </c>
      <c r="V3577" t="str">
        <f>IFERROR(__xludf.DUMMYFUNCTION("""COMPUTED_VALUE"""),"Head-up display")</f>
        <v>Head-up display</v>
      </c>
      <c r="AG3577" t="str">
        <f>IFERROR(__xludf.DUMMYFUNCTION("""COMPUTED_VALUE"""),"Changed to White Interior on 10/16")</f>
        <v>Changed to White Interior on 10/16</v>
      </c>
      <c r="AH3577" s="189">
        <f>IFERROR(__xludf.DUMMYFUNCTION("""COMPUTED_VALUE"""),44506.38583734954)</f>
        <v>44506.38584</v>
      </c>
    </row>
    <row r="3578">
      <c r="A3578" t="str">
        <f>IFERROR(__xludf.DUMMYFUNCTION("""COMPUTED_VALUE"""),"ArthurL")</f>
        <v>ArthurL</v>
      </c>
      <c r="B3578" t="str">
        <f>IFERROR(__xludf.DUMMYFUNCTION("""COMPUTED_VALUE"""),"Holmdel")</f>
        <v>Holmdel</v>
      </c>
      <c r="C3578" t="str">
        <f>IFERROR(__xludf.DUMMYFUNCTION("""COMPUTED_VALUE"""),"NJ")</f>
        <v>NJ</v>
      </c>
      <c r="D3578" t="str">
        <f>IFERROR(__xludf.DUMMYFUNCTION("""COMPUTED_VALUE"""),"USA")</f>
        <v>USA</v>
      </c>
      <c r="E3578" s="188">
        <f>IFERROR(__xludf.DUMMYFUNCTION("""COMPUTED_VALUE"""),44408.0)</f>
        <v>44408</v>
      </c>
      <c r="F3578" s="188">
        <f>IFERROR(__xludf.DUMMYFUNCTION("""COMPUTED_VALUE"""),44488.0)</f>
        <v>44488</v>
      </c>
      <c r="G3578" t="str">
        <f>IFERROR(__xludf.DUMMYFUNCTION("""COMPUTED_VALUE"""),"Manage order page (normal text)")</f>
        <v>Manage order page (normal text)</v>
      </c>
      <c r="H3578">
        <f>IFERROR(__xludf.DUMMYFUNCTION("""COMPUTED_VALUE"""),85055.0)</f>
        <v>85055</v>
      </c>
      <c r="I3578" t="str">
        <f>IFERROR(__xludf.DUMMYFUNCTION("""COMPUTED_VALUE"""),"10/21")</f>
        <v>10/21</v>
      </c>
      <c r="J3578" s="188">
        <f>IFERROR(__xludf.DUMMYFUNCTION("""COMPUTED_VALUE"""),44492.0)</f>
        <v>44492</v>
      </c>
      <c r="K3578">
        <f>IFERROR(__xludf.DUMMYFUNCTION("""COMPUTED_VALUE"""),80.0)</f>
        <v>80</v>
      </c>
      <c r="L3578">
        <f>IFERROR(__xludf.DUMMYFUNCTION("""COMPUTED_VALUE"""),4.0)</f>
        <v>4</v>
      </c>
      <c r="M3578">
        <f>IFERROR(__xludf.DUMMYFUNCTION("""COMPUTED_VALUE"""),84.0)</f>
        <v>84</v>
      </c>
      <c r="N3578" t="str">
        <f>IFERROR(__xludf.DUMMYFUNCTION("""COMPUTED_VALUE"""),"Model 3 SR+")</f>
        <v>Model 3 SR+</v>
      </c>
      <c r="O3578" t="str">
        <f>IFERROR(__xludf.DUMMYFUNCTION("""COMPUTED_VALUE"""),"Deep Blue Metallic")</f>
        <v>Deep Blue Metallic</v>
      </c>
      <c r="P3578" t="str">
        <f>IFERROR(__xludf.DUMMYFUNCTION("""COMPUTED_VALUE"""),"19 inch")</f>
        <v>19 inch</v>
      </c>
      <c r="Q3578" t="str">
        <f>IFERROR(__xludf.DUMMYFUNCTION("""COMPUTED_VALUE"""),"Black and White")</f>
        <v>Black and White</v>
      </c>
      <c r="R3578" t="str">
        <f>IFERROR(__xludf.DUMMYFUNCTION("""COMPUTED_VALUE"""),"Autopilot included")</f>
        <v>Autopilot included</v>
      </c>
      <c r="S3578" t="str">
        <f>IFERROR(__xludf.DUMMYFUNCTION("""COMPUTED_VALUE"""),"Loan")</f>
        <v>Loan</v>
      </c>
      <c r="T3578" t="str">
        <f>IFERROR(__xludf.DUMMYFUNCTION("""COMPUTED_VALUE"""),"Lexus RX350")</f>
        <v>Lexus RX350</v>
      </c>
      <c r="U3578" t="str">
        <f>IFERROR(__xludf.DUMMYFUNCTION("""COMPUTED_VALUE"""),"Great Value!")</f>
        <v>Great Value!</v>
      </c>
      <c r="V3578" t="str">
        <f>IFERROR(__xludf.DUMMYFUNCTION("""COMPUTED_VALUE"""),"Ventilated seats")</f>
        <v>Ventilated seats</v>
      </c>
      <c r="X3578" t="str">
        <f>IFERROR(__xludf.DUMMYFUNCTION("""COMPUTED_VALUE"""),"Excellent")</f>
        <v>Excellent</v>
      </c>
      <c r="Y3578" t="str">
        <f>IFERROR(__xludf.DUMMYFUNCTION("""COMPUTED_VALUE"""),"Excellent")</f>
        <v>Excellent</v>
      </c>
      <c r="Z3578" t="str">
        <f>IFERROR(__xludf.DUMMYFUNCTION("""COMPUTED_VALUE"""),"Very Good")</f>
        <v>Very Good</v>
      </c>
      <c r="AA3578" t="str">
        <f>IFERROR(__xludf.DUMMYFUNCTION("""COMPUTED_VALUE"""),"Excellent")</f>
        <v>Excellent</v>
      </c>
      <c r="AB3578" t="str">
        <f>IFERROR(__xludf.DUMMYFUNCTION("""COMPUTED_VALUE"""),"Excellent")</f>
        <v>Excellent</v>
      </c>
      <c r="AF3578" t="str">
        <f>IFERROR(__xludf.DUMMYFUNCTION("""COMPUTED_VALUE"""),"No. I took delivery of the first car Tesla was able to deliver.")</f>
        <v>No. I took delivery of the first car Tesla was able to deliver.</v>
      </c>
      <c r="AH3578" s="189">
        <f>IFERROR(__xludf.DUMMYFUNCTION("""COMPUTED_VALUE"""),44494.497816365736)</f>
        <v>44494.49782</v>
      </c>
    </row>
    <row r="3579">
      <c r="A3579" t="str">
        <f>IFERROR(__xludf.DUMMYFUNCTION("""COMPUTED_VALUE"""),"dlambley")</f>
        <v>dlambley</v>
      </c>
      <c r="B3579" t="str">
        <f>IFERROR(__xludf.DUMMYFUNCTION("""COMPUTED_VALUE"""),"Williamsburg")</f>
        <v>Williamsburg</v>
      </c>
      <c r="C3579" t="str">
        <f>IFERROR(__xludf.DUMMYFUNCTION("""COMPUTED_VALUE"""),"VA")</f>
        <v>VA</v>
      </c>
      <c r="D3579" t="str">
        <f>IFERROR(__xludf.DUMMYFUNCTION("""COMPUTED_VALUE"""),"USA")</f>
        <v>USA</v>
      </c>
      <c r="E3579" s="188">
        <f>IFERROR(__xludf.DUMMYFUNCTION("""COMPUTED_VALUE"""),44452.0)</f>
        <v>44452</v>
      </c>
      <c r="N3579" t="str">
        <f>IFERROR(__xludf.DUMMYFUNCTION("""COMPUTED_VALUE"""),"Model 3 SR+")</f>
        <v>Model 3 SR+</v>
      </c>
      <c r="O3579" t="str">
        <f>IFERROR(__xludf.DUMMYFUNCTION("""COMPUTED_VALUE"""),"Deep Blue Metallic")</f>
        <v>Deep Blue Metallic</v>
      </c>
      <c r="Q3579" t="str">
        <f>IFERROR(__xludf.DUMMYFUNCTION("""COMPUTED_VALUE"""),"All Black")</f>
        <v>All Black</v>
      </c>
      <c r="R3579" t="str">
        <f>IFERROR(__xludf.DUMMYFUNCTION("""COMPUTED_VALUE"""),"Autopilot included")</f>
        <v>Autopilot included</v>
      </c>
      <c r="S3579" t="str">
        <f>IFERROR(__xludf.DUMMYFUNCTION("""COMPUTED_VALUE"""),"Loan")</f>
        <v>Loan</v>
      </c>
      <c r="T3579" t="str">
        <f>IFERROR(__xludf.DUMMYFUNCTION("""COMPUTED_VALUE"""),"Mazda 3")</f>
        <v>Mazda 3</v>
      </c>
      <c r="U3579" t="str">
        <f>IFERROR(__xludf.DUMMYFUNCTION("""COMPUTED_VALUE"""),"Electric!")</f>
        <v>Electric!</v>
      </c>
      <c r="V3579" t="str">
        <f>IFERROR(__xludf.DUMMYFUNCTION("""COMPUTED_VALUE"""),"Head-up display")</f>
        <v>Head-up display</v>
      </c>
      <c r="AH3579" s="189">
        <f>IFERROR(__xludf.DUMMYFUNCTION("""COMPUTED_VALUE"""),44478.35120287037)</f>
        <v>44478.3512</v>
      </c>
    </row>
    <row r="3580">
      <c r="A3580" t="str">
        <f>IFERROR(__xludf.DUMMYFUNCTION("""COMPUTED_VALUE"""),"ylexus")</f>
        <v>ylexus</v>
      </c>
      <c r="B3580" t="str">
        <f>IFERROR(__xludf.DUMMYFUNCTION("""COMPUTED_VALUE"""),"London ")</f>
        <v>London </v>
      </c>
      <c r="D3580" t="str">
        <f>IFERROR(__xludf.DUMMYFUNCTION("""COMPUTED_VALUE"""),"United Kingdom")</f>
        <v>United Kingdom</v>
      </c>
      <c r="E3580" s="188">
        <f>IFERROR(__xludf.DUMMYFUNCTION("""COMPUTED_VALUE"""),44475.0)</f>
        <v>44475</v>
      </c>
      <c r="N3580" t="str">
        <f>IFERROR(__xludf.DUMMYFUNCTION("""COMPUTED_VALUE"""),"Model 3 LR AWD")</f>
        <v>Model 3 LR AWD</v>
      </c>
      <c r="O3580" t="str">
        <f>IFERROR(__xludf.DUMMYFUNCTION("""COMPUTED_VALUE"""),"Pearl White Multi-Coat")</f>
        <v>Pearl White Multi-Coat</v>
      </c>
      <c r="P3580" t="str">
        <f>IFERROR(__xludf.DUMMYFUNCTION("""COMPUTED_VALUE"""),"18 inch")</f>
        <v>18 inch</v>
      </c>
      <c r="Q3580" t="str">
        <f>IFERROR(__xludf.DUMMYFUNCTION("""COMPUTED_VALUE"""),"All Black")</f>
        <v>All Black</v>
      </c>
      <c r="R3580" t="str">
        <f>IFERROR(__xludf.DUMMYFUNCTION("""COMPUTED_VALUE"""),"Autopilot included")</f>
        <v>Autopilot included</v>
      </c>
      <c r="S3580" t="str">
        <f>IFERROR(__xludf.DUMMYFUNCTION("""COMPUTED_VALUE"""),"Cash")</f>
        <v>Cash</v>
      </c>
      <c r="T3580" t="str">
        <f>IFERROR(__xludf.DUMMYFUNCTION("""COMPUTED_VALUE"""),"Mitsubishi Outlander PHEV ")</f>
        <v>Mitsubishi Outlander PHEV </v>
      </c>
      <c r="U3580" t="str">
        <f>IFERROR(__xludf.DUMMYFUNCTION("""COMPUTED_VALUE"""),"Autopilot")</f>
        <v>Autopilot</v>
      </c>
      <c r="V3580" t="str">
        <f>IFERROR(__xludf.DUMMYFUNCTION("""COMPUTED_VALUE"""),"Apple CarPlay / Android Auto / SiriusXM Radio")</f>
        <v>Apple CarPlay / Android Auto / SiriusXM Radio</v>
      </c>
      <c r="AH3580" s="189">
        <f>IFERROR(__xludf.DUMMYFUNCTION("""COMPUTED_VALUE"""),44507.35348844907)</f>
        <v>44507.35349</v>
      </c>
    </row>
    <row r="3581">
      <c r="A3581" t="str">
        <f>IFERROR(__xludf.DUMMYFUNCTION("""COMPUTED_VALUE"""),"djjimboy")</f>
        <v>djjimboy</v>
      </c>
      <c r="B3581" t="str">
        <f>IFERROR(__xludf.DUMMYFUNCTION("""COMPUTED_VALUE"""),"PDX")</f>
        <v>PDX</v>
      </c>
      <c r="C3581" t="str">
        <f>IFERROR(__xludf.DUMMYFUNCTION("""COMPUTED_VALUE"""),"OR")</f>
        <v>OR</v>
      </c>
      <c r="D3581" t="str">
        <f>IFERROR(__xludf.DUMMYFUNCTION("""COMPUTED_VALUE"""),"USA")</f>
        <v>USA</v>
      </c>
      <c r="E3581" s="188">
        <f>IFERROR(__xludf.DUMMYFUNCTION("""COMPUTED_VALUE"""),44397.0)</f>
        <v>44397</v>
      </c>
      <c r="F3581" s="188">
        <f>IFERROR(__xludf.DUMMYFUNCTION("""COMPUTED_VALUE"""),44473.0)</f>
        <v>44473</v>
      </c>
      <c r="G3581" t="str">
        <f>IFERROR(__xludf.DUMMYFUNCTION("""COMPUTED_VALUE"""),"Email")</f>
        <v>Email</v>
      </c>
      <c r="J3581" s="188">
        <f>IFERROR(__xludf.DUMMYFUNCTION("""COMPUTED_VALUE"""),44478.0)</f>
        <v>44478</v>
      </c>
      <c r="K3581">
        <f>IFERROR(__xludf.DUMMYFUNCTION("""COMPUTED_VALUE"""),76.0)</f>
        <v>76</v>
      </c>
      <c r="L3581">
        <f>IFERROR(__xludf.DUMMYFUNCTION("""COMPUTED_VALUE"""),5.0)</f>
        <v>5</v>
      </c>
      <c r="M3581">
        <f>IFERROR(__xludf.DUMMYFUNCTION("""COMPUTED_VALUE"""),81.0)</f>
        <v>81</v>
      </c>
      <c r="N3581" t="str">
        <f>IFERROR(__xludf.DUMMYFUNCTION("""COMPUTED_VALUE"""),"Model 3 SR+")</f>
        <v>Model 3 SR+</v>
      </c>
      <c r="P3581" t="str">
        <f>IFERROR(__xludf.DUMMYFUNCTION("""COMPUTED_VALUE"""),"18 inch")</f>
        <v>18 inch</v>
      </c>
      <c r="Q3581" t="str">
        <f>IFERROR(__xludf.DUMMYFUNCTION("""COMPUTED_VALUE"""),"All Black")</f>
        <v>All Black</v>
      </c>
      <c r="R3581" t="str">
        <f>IFERROR(__xludf.DUMMYFUNCTION("""COMPUTED_VALUE"""),"Autopilot included")</f>
        <v>Autopilot included</v>
      </c>
      <c r="S3581" t="str">
        <f>IFERROR(__xludf.DUMMYFUNCTION("""COMPUTED_VALUE"""),"Loan")</f>
        <v>Loan</v>
      </c>
      <c r="AH3581" s="189">
        <f>IFERROR(__xludf.DUMMYFUNCTION("""COMPUTED_VALUE"""),44479.182871192126)</f>
        <v>44479.18287</v>
      </c>
    </row>
    <row r="3582">
      <c r="A3582" t="str">
        <f>IFERROR(__xludf.DUMMYFUNCTION("""COMPUTED_VALUE"""),"Gingeeeeee")</f>
        <v>Gingeeeeee</v>
      </c>
      <c r="B3582" t="str">
        <f>IFERROR(__xludf.DUMMYFUNCTION("""COMPUTED_VALUE"""),"Wenonah")</f>
        <v>Wenonah</v>
      </c>
      <c r="C3582" t="str">
        <f>IFERROR(__xludf.DUMMYFUNCTION("""COMPUTED_VALUE"""),"NJ")</f>
        <v>NJ</v>
      </c>
      <c r="D3582" t="str">
        <f>IFERROR(__xludf.DUMMYFUNCTION("""COMPUTED_VALUE"""),"USA")</f>
        <v>USA</v>
      </c>
      <c r="E3582" s="188">
        <f>IFERROR(__xludf.DUMMYFUNCTION("""COMPUTED_VALUE"""),44456.0)</f>
        <v>44456</v>
      </c>
      <c r="N3582" t="str">
        <f>IFERROR(__xludf.DUMMYFUNCTION("""COMPUTED_VALUE"""),"Model 3 Performance")</f>
        <v>Model 3 Performance</v>
      </c>
      <c r="O3582" t="str">
        <f>IFERROR(__xludf.DUMMYFUNCTION("""COMPUTED_VALUE"""),"Red Multi-Coat")</f>
        <v>Red Multi-Coat</v>
      </c>
      <c r="P3582" t="str">
        <f>IFERROR(__xludf.DUMMYFUNCTION("""COMPUTED_VALUE"""),"20 inch")</f>
        <v>20 inch</v>
      </c>
      <c r="Q3582" t="str">
        <f>IFERROR(__xludf.DUMMYFUNCTION("""COMPUTED_VALUE"""),"Black and White")</f>
        <v>Black and White</v>
      </c>
      <c r="R3582" t="str">
        <f>IFERROR(__xludf.DUMMYFUNCTION("""COMPUTED_VALUE"""),"Autopilot included")</f>
        <v>Autopilot included</v>
      </c>
      <c r="S3582" t="str">
        <f>IFERROR(__xludf.DUMMYFUNCTION("""COMPUTED_VALUE"""),"Loan")</f>
        <v>Loan</v>
      </c>
      <c r="AH3582" s="189">
        <f>IFERROR(__xludf.DUMMYFUNCTION("""COMPUTED_VALUE"""),44479.374635914355)</f>
        <v>44479.37464</v>
      </c>
    </row>
    <row r="3583">
      <c r="A3583" t="str">
        <f>IFERROR(__xludf.DUMMYFUNCTION("""COMPUTED_VALUE"""),"John")</f>
        <v>John</v>
      </c>
      <c r="C3583" t="str">
        <f>IFERROR(__xludf.DUMMYFUNCTION("""COMPUTED_VALUE"""),"NJ")</f>
        <v>NJ</v>
      </c>
      <c r="D3583" t="str">
        <f>IFERROR(__xludf.DUMMYFUNCTION("""COMPUTED_VALUE"""),"USA")</f>
        <v>USA</v>
      </c>
      <c r="E3583" s="188">
        <f>IFERROR(__xludf.DUMMYFUNCTION("""COMPUTED_VALUE"""),44450.0)</f>
        <v>44450</v>
      </c>
      <c r="N3583" t="str">
        <f>IFERROR(__xludf.DUMMYFUNCTION("""COMPUTED_VALUE"""),"Model 3 LR AWD")</f>
        <v>Model 3 LR AWD</v>
      </c>
      <c r="O3583" t="str">
        <f>IFERROR(__xludf.DUMMYFUNCTION("""COMPUTED_VALUE"""),"Pearl White Multi-Coat")</f>
        <v>Pearl White Multi-Coat</v>
      </c>
      <c r="P3583" t="str">
        <f>IFERROR(__xludf.DUMMYFUNCTION("""COMPUTED_VALUE"""),"18 inch")</f>
        <v>18 inch</v>
      </c>
      <c r="Q3583" t="str">
        <f>IFERROR(__xludf.DUMMYFUNCTION("""COMPUTED_VALUE"""),"All Black")</f>
        <v>All Black</v>
      </c>
      <c r="R3583" t="str">
        <f>IFERROR(__xludf.DUMMYFUNCTION("""COMPUTED_VALUE"""),"Autopilot included")</f>
        <v>Autopilot included</v>
      </c>
      <c r="S3583" t="str">
        <f>IFERROR(__xludf.DUMMYFUNCTION("""COMPUTED_VALUE"""),"Cash")</f>
        <v>Cash</v>
      </c>
      <c r="T3583" t="str">
        <f>IFERROR(__xludf.DUMMYFUNCTION("""COMPUTED_VALUE"""),"Honda Accord")</f>
        <v>Honda Accord</v>
      </c>
      <c r="U3583" t="str">
        <f>IFERROR(__xludf.DUMMYFUNCTION("""COMPUTED_VALUE"""),"Electric!")</f>
        <v>Electric!</v>
      </c>
      <c r="V3583" t="str">
        <f>IFERROR(__xludf.DUMMYFUNCTION("""COMPUTED_VALUE"""),"Head-up display")</f>
        <v>Head-up display</v>
      </c>
      <c r="AH3583" s="189">
        <f>IFERROR(__xludf.DUMMYFUNCTION("""COMPUTED_VALUE"""),44480.305049965275)</f>
        <v>44480.30505</v>
      </c>
    </row>
    <row r="3584">
      <c r="A3584" t="str">
        <f>IFERROR(__xludf.DUMMYFUNCTION("""COMPUTED_VALUE"""),"ldub")</f>
        <v>ldub</v>
      </c>
      <c r="B3584" t="str">
        <f>IFERROR(__xludf.DUMMYFUNCTION("""COMPUTED_VALUE"""),"Redondo Beach")</f>
        <v>Redondo Beach</v>
      </c>
      <c r="C3584" t="str">
        <f>IFERROR(__xludf.DUMMYFUNCTION("""COMPUTED_VALUE"""),"CA")</f>
        <v>CA</v>
      </c>
      <c r="D3584" t="str">
        <f>IFERROR(__xludf.DUMMYFUNCTION("""COMPUTED_VALUE"""),"USA")</f>
        <v>USA</v>
      </c>
      <c r="E3584" s="188">
        <f>IFERROR(__xludf.DUMMYFUNCTION("""COMPUTED_VALUE"""),44426.0)</f>
        <v>44426</v>
      </c>
      <c r="N3584" t="str">
        <f>IFERROR(__xludf.DUMMYFUNCTION("""COMPUTED_VALUE"""),"Model 3 SR+")</f>
        <v>Model 3 SR+</v>
      </c>
      <c r="O3584" t="str">
        <f>IFERROR(__xludf.DUMMYFUNCTION("""COMPUTED_VALUE"""),"Midnight Silver Metallic")</f>
        <v>Midnight Silver Metallic</v>
      </c>
      <c r="P3584" t="str">
        <f>IFERROR(__xludf.DUMMYFUNCTION("""COMPUTED_VALUE"""),"18 inch")</f>
        <v>18 inch</v>
      </c>
      <c r="Q3584" t="str">
        <f>IFERROR(__xludf.DUMMYFUNCTION("""COMPUTED_VALUE"""),"All Black")</f>
        <v>All Black</v>
      </c>
      <c r="R3584" t="str">
        <f>IFERROR(__xludf.DUMMYFUNCTION("""COMPUTED_VALUE"""),"Autopilot included")</f>
        <v>Autopilot included</v>
      </c>
      <c r="S3584" t="str">
        <f>IFERROR(__xludf.DUMMYFUNCTION("""COMPUTED_VALUE"""),"Lease")</f>
        <v>Lease</v>
      </c>
      <c r="T3584" t="str">
        <f>IFERROR(__xludf.DUMMYFUNCTION("""COMPUTED_VALUE"""),"MB GLK 350")</f>
        <v>MB GLK 350</v>
      </c>
      <c r="U3584" t="str">
        <f>IFERROR(__xludf.DUMMYFUNCTION("""COMPUTED_VALUE"""),"Electric!")</f>
        <v>Electric!</v>
      </c>
      <c r="V3584" t="str">
        <f>IFERROR(__xludf.DUMMYFUNCTION("""COMPUTED_VALUE"""),"Ventilated seats")</f>
        <v>Ventilated seats</v>
      </c>
      <c r="AH3584" s="189">
        <f>IFERROR(__xludf.DUMMYFUNCTION("""COMPUTED_VALUE"""),44480.610383252315)</f>
        <v>44480.61038</v>
      </c>
    </row>
    <row r="3585">
      <c r="A3585" t="str">
        <f>IFERROR(__xludf.DUMMYFUNCTION("""COMPUTED_VALUE"""),"Dudu ")</f>
        <v>Dudu </v>
      </c>
      <c r="C3585" t="str">
        <f>IFERROR(__xludf.DUMMYFUNCTION("""COMPUTED_VALUE"""),"MB")</f>
        <v>MB</v>
      </c>
      <c r="D3585" t="str">
        <f>IFERROR(__xludf.DUMMYFUNCTION("""COMPUTED_VALUE"""),"Canada")</f>
        <v>Canada</v>
      </c>
      <c r="E3585" s="188">
        <f>IFERROR(__xludf.DUMMYFUNCTION("""COMPUTED_VALUE"""),44464.0)</f>
        <v>44464</v>
      </c>
      <c r="N3585" t="str">
        <f>IFERROR(__xludf.DUMMYFUNCTION("""COMPUTED_VALUE"""),"Model 3 LR AWD")</f>
        <v>Model 3 LR AWD</v>
      </c>
      <c r="O3585" t="str">
        <f>IFERROR(__xludf.DUMMYFUNCTION("""COMPUTED_VALUE"""),"Midnight Silver Metallic")</f>
        <v>Midnight Silver Metallic</v>
      </c>
      <c r="P3585" t="str">
        <f>IFERROR(__xludf.DUMMYFUNCTION("""COMPUTED_VALUE"""),"18 inch")</f>
        <v>18 inch</v>
      </c>
      <c r="Q3585" t="str">
        <f>IFERROR(__xludf.DUMMYFUNCTION("""COMPUTED_VALUE"""),"All Black")</f>
        <v>All Black</v>
      </c>
      <c r="R3585" t="str">
        <f>IFERROR(__xludf.DUMMYFUNCTION("""COMPUTED_VALUE"""),"Autopilot included")</f>
        <v>Autopilot included</v>
      </c>
      <c r="S3585" t="str">
        <f>IFERROR(__xludf.DUMMYFUNCTION("""COMPUTED_VALUE"""),"Loan")</f>
        <v>Loan</v>
      </c>
      <c r="T3585" t="str">
        <f>IFERROR(__xludf.DUMMYFUNCTION("""COMPUTED_VALUE"""),"Acura TL")</f>
        <v>Acura TL</v>
      </c>
      <c r="U3585" t="str">
        <f>IFERROR(__xludf.DUMMYFUNCTION("""COMPUTED_VALUE"""),"Electric!")</f>
        <v>Electric!</v>
      </c>
      <c r="V3585" t="str">
        <f>IFERROR(__xludf.DUMMYFUNCTION("""COMPUTED_VALUE"""),"Head-up display")</f>
        <v>Head-up display</v>
      </c>
      <c r="AH3585" s="189">
        <f>IFERROR(__xludf.DUMMYFUNCTION("""COMPUTED_VALUE"""),44480.79904827546)</f>
        <v>44480.79905</v>
      </c>
    </row>
    <row r="3586">
      <c r="A3586" t="str">
        <f>IFERROR(__xludf.DUMMYFUNCTION("""COMPUTED_VALUE"""),"dfm3")</f>
        <v>dfm3</v>
      </c>
      <c r="C3586" t="str">
        <f>IFERROR(__xludf.DUMMYFUNCTION("""COMPUTED_VALUE"""),"TX")</f>
        <v>TX</v>
      </c>
      <c r="D3586" t="str">
        <f>IFERROR(__xludf.DUMMYFUNCTION("""COMPUTED_VALUE"""),"USA")</f>
        <v>USA</v>
      </c>
      <c r="E3586" s="188">
        <f>IFERROR(__xludf.DUMMYFUNCTION("""COMPUTED_VALUE"""),44460.0)</f>
        <v>44460</v>
      </c>
      <c r="N3586" t="str">
        <f>IFERROR(__xludf.DUMMYFUNCTION("""COMPUTED_VALUE"""),"Model 3 SR+")</f>
        <v>Model 3 SR+</v>
      </c>
      <c r="O3586" t="str">
        <f>IFERROR(__xludf.DUMMYFUNCTION("""COMPUTED_VALUE"""),"Pearl White Multi-Coat")</f>
        <v>Pearl White Multi-Coat</v>
      </c>
      <c r="P3586" t="str">
        <f>IFERROR(__xludf.DUMMYFUNCTION("""COMPUTED_VALUE"""),"18 inch")</f>
        <v>18 inch</v>
      </c>
      <c r="Q3586" t="str">
        <f>IFERROR(__xludf.DUMMYFUNCTION("""COMPUTED_VALUE"""),"Black and White")</f>
        <v>Black and White</v>
      </c>
      <c r="R3586" t="str">
        <f>IFERROR(__xludf.DUMMYFUNCTION("""COMPUTED_VALUE"""),"Autopilot included")</f>
        <v>Autopilot included</v>
      </c>
      <c r="S3586" t="str">
        <f>IFERROR(__xludf.DUMMYFUNCTION("""COMPUTED_VALUE"""),"Loan")</f>
        <v>Loan</v>
      </c>
      <c r="T3586" t="str">
        <f>IFERROR(__xludf.DUMMYFUNCTION("""COMPUTED_VALUE"""),"Toyota Camry")</f>
        <v>Toyota Camry</v>
      </c>
      <c r="U3586" t="str">
        <f>IFERROR(__xludf.DUMMYFUNCTION("""COMPUTED_VALUE"""),"Electric!")</f>
        <v>Electric!</v>
      </c>
      <c r="V3586" t="str">
        <f>IFERROR(__xludf.DUMMYFUNCTION("""COMPUTED_VALUE"""),"Head-up display")</f>
        <v>Head-up display</v>
      </c>
      <c r="AH3586" s="189">
        <f>IFERROR(__xludf.DUMMYFUNCTION("""COMPUTED_VALUE"""),44480.80708756944)</f>
        <v>44480.80709</v>
      </c>
    </row>
    <row r="3587">
      <c r="A3587" t="str">
        <f>IFERROR(__xludf.DUMMYFUNCTION("""COMPUTED_VALUE"""),"jackm94")</f>
        <v>jackm94</v>
      </c>
      <c r="B3587" t="str">
        <f>IFERROR(__xludf.DUMMYFUNCTION("""COMPUTED_VALUE"""),"Northampton")</f>
        <v>Northampton</v>
      </c>
      <c r="D3587" t="str">
        <f>IFERROR(__xludf.DUMMYFUNCTION("""COMPUTED_VALUE"""),"United Kingdom")</f>
        <v>United Kingdom</v>
      </c>
      <c r="E3587" s="188">
        <f>IFERROR(__xludf.DUMMYFUNCTION("""COMPUTED_VALUE"""),44475.0)</f>
        <v>44475</v>
      </c>
      <c r="F3587" s="188">
        <f>IFERROR(__xludf.DUMMYFUNCTION("""COMPUTED_VALUE"""),44495.0)</f>
        <v>44495</v>
      </c>
      <c r="G3587" t="str">
        <f>IFERROR(__xludf.DUMMYFUNCTION("""COMPUTED_VALUE"""),"Source code")</f>
        <v>Source code</v>
      </c>
      <c r="J3587" s="188">
        <f>IFERROR(__xludf.DUMMYFUNCTION("""COMPUTED_VALUE"""),44527.0)</f>
        <v>44527</v>
      </c>
      <c r="K3587">
        <f>IFERROR(__xludf.DUMMYFUNCTION("""COMPUTED_VALUE"""),20.0)</f>
        <v>20</v>
      </c>
      <c r="L3587">
        <f>IFERROR(__xludf.DUMMYFUNCTION("""COMPUTED_VALUE"""),32.0)</f>
        <v>32</v>
      </c>
      <c r="M3587">
        <f>IFERROR(__xludf.DUMMYFUNCTION("""COMPUTED_VALUE"""),52.0)</f>
        <v>52</v>
      </c>
      <c r="N3587" t="str">
        <f>IFERROR(__xludf.DUMMYFUNCTION("""COMPUTED_VALUE"""),"Model 3 LR AWD")</f>
        <v>Model 3 LR AWD</v>
      </c>
      <c r="O3587" t="str">
        <f>IFERROR(__xludf.DUMMYFUNCTION("""COMPUTED_VALUE"""),"Pearl White Multi-Coat")</f>
        <v>Pearl White Multi-Coat</v>
      </c>
      <c r="P3587" t="str">
        <f>IFERROR(__xludf.DUMMYFUNCTION("""COMPUTED_VALUE"""),"18 inch")</f>
        <v>18 inch</v>
      </c>
      <c r="Q3587" t="str">
        <f>IFERROR(__xludf.DUMMYFUNCTION("""COMPUTED_VALUE"""),"Black and White")</f>
        <v>Black and White</v>
      </c>
      <c r="R3587" t="str">
        <f>IFERROR(__xludf.DUMMYFUNCTION("""COMPUTED_VALUE"""),"Autopilot included")</f>
        <v>Autopilot included</v>
      </c>
      <c r="S3587" t="str">
        <f>IFERROR(__xludf.DUMMYFUNCTION("""COMPUTED_VALUE"""),"Loan")</f>
        <v>Loan</v>
      </c>
      <c r="T3587" t="str">
        <f>IFERROR(__xludf.DUMMYFUNCTION("""COMPUTED_VALUE"""),"Aston Martin V8 Vantage")</f>
        <v>Aston Martin V8 Vantage</v>
      </c>
      <c r="U3587" t="str">
        <f>IFERROR(__xludf.DUMMYFUNCTION("""COMPUTED_VALUE"""),"All-glass roof")</f>
        <v>All-glass roof</v>
      </c>
      <c r="V3587" t="str">
        <f>IFERROR(__xludf.DUMMYFUNCTION("""COMPUTED_VALUE"""),"Head-up display")</f>
        <v>Head-up display</v>
      </c>
      <c r="AH3587" s="189">
        <f>IFERROR(__xludf.DUMMYFUNCTION("""COMPUTED_VALUE"""),44498.502150844906)</f>
        <v>44498.50215</v>
      </c>
    </row>
    <row r="3588">
      <c r="A3588" t="str">
        <f>IFERROR(__xludf.DUMMYFUNCTION("""COMPUTED_VALUE"""),"priyapatel975")</f>
        <v>priyapatel975</v>
      </c>
      <c r="B3588" t="str">
        <f>IFERROR(__xludf.DUMMYFUNCTION("""COMPUTED_VALUE"""),"New Jersey")</f>
        <v>New Jersey</v>
      </c>
      <c r="C3588" t="str">
        <f>IFERROR(__xludf.DUMMYFUNCTION("""COMPUTED_VALUE"""),"NJ")</f>
        <v>NJ</v>
      </c>
      <c r="D3588" t="str">
        <f>IFERROR(__xludf.DUMMYFUNCTION("""COMPUTED_VALUE"""),"USA")</f>
        <v>USA</v>
      </c>
      <c r="E3588" s="188">
        <f>IFERROR(__xludf.DUMMYFUNCTION("""COMPUTED_VALUE"""),44463.0)</f>
        <v>44463</v>
      </c>
      <c r="N3588" t="str">
        <f>IFERROR(__xludf.DUMMYFUNCTION("""COMPUTED_VALUE"""),"Model 3 LR AWD")</f>
        <v>Model 3 LR AWD</v>
      </c>
      <c r="O3588" t="str">
        <f>IFERROR(__xludf.DUMMYFUNCTION("""COMPUTED_VALUE"""),"Pearl White Multi-Coat")</f>
        <v>Pearl White Multi-Coat</v>
      </c>
      <c r="P3588" t="str">
        <f>IFERROR(__xludf.DUMMYFUNCTION("""COMPUTED_VALUE"""),"18 inch")</f>
        <v>18 inch</v>
      </c>
      <c r="Q3588" t="str">
        <f>IFERROR(__xludf.DUMMYFUNCTION("""COMPUTED_VALUE"""),"Black and White")</f>
        <v>Black and White</v>
      </c>
      <c r="R3588" t="str">
        <f>IFERROR(__xludf.DUMMYFUNCTION("""COMPUTED_VALUE"""),"Autopilot included")</f>
        <v>Autopilot included</v>
      </c>
      <c r="S3588" t="str">
        <f>IFERROR(__xludf.DUMMYFUNCTION("""COMPUTED_VALUE"""),"Loan")</f>
        <v>Loan</v>
      </c>
      <c r="T3588" t="str">
        <f>IFERROR(__xludf.DUMMYFUNCTION("""COMPUTED_VALUE"""),"Model 3 will be my first car!")</f>
        <v>Model 3 will be my first car!</v>
      </c>
      <c r="U3588" t="str">
        <f>IFERROR(__xludf.DUMMYFUNCTION("""COMPUTED_VALUE"""),"Electric!")</f>
        <v>Electric!</v>
      </c>
      <c r="V3588" t="str">
        <f>IFERROR(__xludf.DUMMYFUNCTION("""COMPUTED_VALUE"""),"360° Bird's eye view")</f>
        <v>360° Bird's eye view</v>
      </c>
      <c r="AH3588" s="189">
        <f>IFERROR(__xludf.DUMMYFUNCTION("""COMPUTED_VALUE"""),44481.59957116898)</f>
        <v>44481.59957</v>
      </c>
    </row>
    <row r="3589">
      <c r="A3589" t="str">
        <f>IFERROR(__xludf.DUMMYFUNCTION("""COMPUTED_VALUE"""),"fati06070607")</f>
        <v>fati06070607</v>
      </c>
      <c r="B3589" t="str">
        <f>IFERROR(__xludf.DUMMYFUNCTION("""COMPUTED_VALUE"""),"Los Angeles")</f>
        <v>Los Angeles</v>
      </c>
      <c r="C3589" t="str">
        <f>IFERROR(__xludf.DUMMYFUNCTION("""COMPUTED_VALUE"""),"CA")</f>
        <v>CA</v>
      </c>
      <c r="D3589" t="str">
        <f>IFERROR(__xludf.DUMMYFUNCTION("""COMPUTED_VALUE"""),"USA")</f>
        <v>USA</v>
      </c>
      <c r="E3589" s="188">
        <f>IFERROR(__xludf.DUMMYFUNCTION("""COMPUTED_VALUE"""),44460.0)</f>
        <v>44460</v>
      </c>
      <c r="N3589" t="str">
        <f>IFERROR(__xludf.DUMMYFUNCTION("""COMPUTED_VALUE"""),"Model 3 LR AWD")</f>
        <v>Model 3 LR AWD</v>
      </c>
      <c r="O3589" t="str">
        <f>IFERROR(__xludf.DUMMYFUNCTION("""COMPUTED_VALUE"""),"Pearl White Multi-Coat")</f>
        <v>Pearl White Multi-Coat</v>
      </c>
      <c r="P3589" t="str">
        <f>IFERROR(__xludf.DUMMYFUNCTION("""COMPUTED_VALUE"""),"19 inch")</f>
        <v>19 inch</v>
      </c>
      <c r="Q3589" t="str">
        <f>IFERROR(__xludf.DUMMYFUNCTION("""COMPUTED_VALUE"""),"All Black")</f>
        <v>All Black</v>
      </c>
      <c r="R3589" t="str">
        <f>IFERROR(__xludf.DUMMYFUNCTION("""COMPUTED_VALUE"""),"Autopilot included")</f>
        <v>Autopilot included</v>
      </c>
      <c r="S3589" t="str">
        <f>IFERROR(__xludf.DUMMYFUNCTION("""COMPUTED_VALUE"""),"Cash")</f>
        <v>Cash</v>
      </c>
      <c r="T3589" t="str">
        <f>IFERROR(__xludf.DUMMYFUNCTION("""COMPUTED_VALUE"""),"Honda Accord")</f>
        <v>Honda Accord</v>
      </c>
      <c r="U3589" t="str">
        <f>IFERROR(__xludf.DUMMYFUNCTION("""COMPUTED_VALUE"""),"All-glass roof")</f>
        <v>All-glass roof</v>
      </c>
      <c r="V3589" t="str">
        <f>IFERROR(__xludf.DUMMYFUNCTION("""COMPUTED_VALUE"""),"Blind spot indicators on side mirrors")</f>
        <v>Blind spot indicators on side mirrors</v>
      </c>
      <c r="AH3589" s="189">
        <f>IFERROR(__xludf.DUMMYFUNCTION("""COMPUTED_VALUE"""),44481.68498251158)</f>
        <v>44481.68498</v>
      </c>
    </row>
    <row r="3590">
      <c r="A3590" t="str">
        <f>IFERROR(__xludf.DUMMYFUNCTION("""COMPUTED_VALUE"""),"MCowd")</f>
        <v>MCowd</v>
      </c>
      <c r="C3590" t="str">
        <f>IFERROR(__xludf.DUMMYFUNCTION("""COMPUTED_VALUE"""),"VA")</f>
        <v>VA</v>
      </c>
      <c r="D3590" t="str">
        <f>IFERROR(__xludf.DUMMYFUNCTION("""COMPUTED_VALUE"""),"USA")</f>
        <v>USA</v>
      </c>
      <c r="E3590" s="188">
        <f>IFERROR(__xludf.DUMMYFUNCTION("""COMPUTED_VALUE"""),44472.0)</f>
        <v>44472</v>
      </c>
      <c r="F3590" s="188">
        <f>IFERROR(__xludf.DUMMYFUNCTION("""COMPUTED_VALUE"""),44480.0)</f>
        <v>44480</v>
      </c>
      <c r="G3590" t="str">
        <f>IFERROR(__xludf.DUMMYFUNCTION("""COMPUTED_VALUE"""),"Manage order page (normal text)")</f>
        <v>Manage order page (normal text)</v>
      </c>
      <c r="J3590" s="188">
        <f>IFERROR(__xludf.DUMMYFUNCTION("""COMPUTED_VALUE"""),44491.0)</f>
        <v>44491</v>
      </c>
      <c r="K3590">
        <f>IFERROR(__xludf.DUMMYFUNCTION("""COMPUTED_VALUE"""),8.0)</f>
        <v>8</v>
      </c>
      <c r="L3590">
        <f>IFERROR(__xludf.DUMMYFUNCTION("""COMPUTED_VALUE"""),11.0)</f>
        <v>11</v>
      </c>
      <c r="M3590">
        <f>IFERROR(__xludf.DUMMYFUNCTION("""COMPUTED_VALUE"""),19.0)</f>
        <v>19</v>
      </c>
      <c r="N3590" t="str">
        <f>IFERROR(__xludf.DUMMYFUNCTION("""COMPUTED_VALUE"""),"Model 3 SR+")</f>
        <v>Model 3 SR+</v>
      </c>
      <c r="O3590" t="str">
        <f>IFERROR(__xludf.DUMMYFUNCTION("""COMPUTED_VALUE"""),"Red Multi-Coat")</f>
        <v>Red Multi-Coat</v>
      </c>
      <c r="P3590" t="str">
        <f>IFERROR(__xludf.DUMMYFUNCTION("""COMPUTED_VALUE"""),"19 inch")</f>
        <v>19 inch</v>
      </c>
      <c r="Q3590" t="str">
        <f>IFERROR(__xludf.DUMMYFUNCTION("""COMPUTED_VALUE"""),"All Black")</f>
        <v>All Black</v>
      </c>
      <c r="R3590" t="str">
        <f>IFERROR(__xludf.DUMMYFUNCTION("""COMPUTED_VALUE"""),"Autopilot included")</f>
        <v>Autopilot included</v>
      </c>
      <c r="S3590" t="str">
        <f>IFERROR(__xludf.DUMMYFUNCTION("""COMPUTED_VALUE"""),"Loan")</f>
        <v>Loan</v>
      </c>
      <c r="T3590" t="str">
        <f>IFERROR(__xludf.DUMMYFUNCTION("""COMPUTED_VALUE"""),"VW GTI")</f>
        <v>VW GTI</v>
      </c>
      <c r="U3590" t="str">
        <f>IFERROR(__xludf.DUMMYFUNCTION("""COMPUTED_VALUE"""),"Electric!")</f>
        <v>Electric!</v>
      </c>
      <c r="V3590" t="str">
        <f>IFERROR(__xludf.DUMMYFUNCTION("""COMPUTED_VALUE"""),"Ventilated seats")</f>
        <v>Ventilated seats</v>
      </c>
      <c r="AH3590" s="189">
        <f>IFERROR(__xludf.DUMMYFUNCTION("""COMPUTED_VALUE"""),44482.489558229165)</f>
        <v>44482.48956</v>
      </c>
    </row>
    <row r="3591">
      <c r="A3591" t="str">
        <f>IFERROR(__xludf.DUMMYFUNCTION("""COMPUTED_VALUE"""),"larlyssa")</f>
        <v>larlyssa</v>
      </c>
      <c r="B3591" t="str">
        <f>IFERROR(__xludf.DUMMYFUNCTION("""COMPUTED_VALUE"""),"Bellevue")</f>
        <v>Bellevue</v>
      </c>
      <c r="C3591" t="str">
        <f>IFERROR(__xludf.DUMMYFUNCTION("""COMPUTED_VALUE"""),"WA")</f>
        <v>WA</v>
      </c>
      <c r="D3591" t="str">
        <f>IFERROR(__xludf.DUMMYFUNCTION("""COMPUTED_VALUE"""),"USA")</f>
        <v>USA</v>
      </c>
      <c r="E3591" s="188">
        <f>IFERROR(__xludf.DUMMYFUNCTION("""COMPUTED_VALUE"""),44437.0)</f>
        <v>44437</v>
      </c>
      <c r="F3591" s="188">
        <f>IFERROR(__xludf.DUMMYFUNCTION("""COMPUTED_VALUE"""),44477.0)</f>
        <v>44477</v>
      </c>
      <c r="G3591" t="str">
        <f>IFERROR(__xludf.DUMMYFUNCTION("""COMPUTED_VALUE"""),"Manage order page (normal text)")</f>
        <v>Manage order page (normal text)</v>
      </c>
      <c r="J3591" s="188">
        <f>IFERROR(__xludf.DUMMYFUNCTION("""COMPUTED_VALUE"""),44483.0)</f>
        <v>44483</v>
      </c>
      <c r="K3591">
        <f>IFERROR(__xludf.DUMMYFUNCTION("""COMPUTED_VALUE"""),40.0)</f>
        <v>40</v>
      </c>
      <c r="L3591">
        <f>IFERROR(__xludf.DUMMYFUNCTION("""COMPUTED_VALUE"""),6.0)</f>
        <v>6</v>
      </c>
      <c r="M3591">
        <f>IFERROR(__xludf.DUMMYFUNCTION("""COMPUTED_VALUE"""),46.0)</f>
        <v>46</v>
      </c>
      <c r="N3591" t="str">
        <f>IFERROR(__xludf.DUMMYFUNCTION("""COMPUTED_VALUE"""),"Model 3 LR AWD")</f>
        <v>Model 3 LR AWD</v>
      </c>
      <c r="O3591" t="str">
        <f>IFERROR(__xludf.DUMMYFUNCTION("""COMPUTED_VALUE"""),"Red Multi-Coat")</f>
        <v>Red Multi-Coat</v>
      </c>
      <c r="P3591" t="str">
        <f>IFERROR(__xludf.DUMMYFUNCTION("""COMPUTED_VALUE"""),"19 inch")</f>
        <v>19 inch</v>
      </c>
      <c r="Q3591" t="str">
        <f>IFERROR(__xludf.DUMMYFUNCTION("""COMPUTED_VALUE"""),"All Black")</f>
        <v>All Black</v>
      </c>
      <c r="R3591" t="str">
        <f>IFERROR(__xludf.DUMMYFUNCTION("""COMPUTED_VALUE"""),"Autopilot included")</f>
        <v>Autopilot included</v>
      </c>
      <c r="S3591" t="str">
        <f>IFERROR(__xludf.DUMMYFUNCTION("""COMPUTED_VALUE"""),"Cash")</f>
        <v>Cash</v>
      </c>
      <c r="T3591" t="str">
        <f>IFERROR(__xludf.DUMMYFUNCTION("""COMPUTED_VALUE"""),"Model 3 will be my first car!")</f>
        <v>Model 3 will be my first car!</v>
      </c>
      <c r="U3591" t="str">
        <f>IFERROR(__xludf.DUMMYFUNCTION("""COMPUTED_VALUE"""),"Electric!")</f>
        <v>Electric!</v>
      </c>
      <c r="V3591" t="str">
        <f>IFERROR(__xludf.DUMMYFUNCTION("""COMPUTED_VALUE"""),"360° Bird's eye view")</f>
        <v>360° Bird's eye view</v>
      </c>
      <c r="AH3591" s="189">
        <f>IFERROR(__xludf.DUMMYFUNCTION("""COMPUTED_VALUE"""),44482.40540891203)</f>
        <v>44482.40541</v>
      </c>
    </row>
    <row r="3592">
      <c r="A3592" t="str">
        <f>IFERROR(__xludf.DUMMYFUNCTION("""COMPUTED_VALUE"""),"morsecp")</f>
        <v>morsecp</v>
      </c>
      <c r="B3592" t="str">
        <f>IFERROR(__xludf.DUMMYFUNCTION("""COMPUTED_VALUE"""),"South Hero")</f>
        <v>South Hero</v>
      </c>
      <c r="C3592" t="str">
        <f>IFERROR(__xludf.DUMMYFUNCTION("""COMPUTED_VALUE"""),"VT")</f>
        <v>VT</v>
      </c>
      <c r="D3592" t="str">
        <f>IFERROR(__xludf.DUMMYFUNCTION("""COMPUTED_VALUE"""),"USA")</f>
        <v>USA</v>
      </c>
      <c r="E3592" s="188">
        <f>IFERROR(__xludf.DUMMYFUNCTION("""COMPUTED_VALUE"""),44479.0)</f>
        <v>44479</v>
      </c>
      <c r="N3592" t="str">
        <f>IFERROR(__xludf.DUMMYFUNCTION("""COMPUTED_VALUE"""),"Model 3 LR AWD")</f>
        <v>Model 3 LR AWD</v>
      </c>
      <c r="O3592" t="str">
        <f>IFERROR(__xludf.DUMMYFUNCTION("""COMPUTED_VALUE"""),"Pearl White Multi-Coat")</f>
        <v>Pearl White Multi-Coat</v>
      </c>
      <c r="P3592" t="str">
        <f>IFERROR(__xludf.DUMMYFUNCTION("""COMPUTED_VALUE"""),"19 inch")</f>
        <v>19 inch</v>
      </c>
      <c r="Q3592" t="str">
        <f>IFERROR(__xludf.DUMMYFUNCTION("""COMPUTED_VALUE"""),"Black and White")</f>
        <v>Black and White</v>
      </c>
      <c r="R3592" t="str">
        <f>IFERROR(__xludf.DUMMYFUNCTION("""COMPUTED_VALUE"""),"Autopilot included")</f>
        <v>Autopilot included</v>
      </c>
      <c r="S3592" t="str">
        <f>IFERROR(__xludf.DUMMYFUNCTION("""COMPUTED_VALUE"""),"Cash")</f>
        <v>Cash</v>
      </c>
      <c r="T3592" t="str">
        <f>IFERROR(__xludf.DUMMYFUNCTION("""COMPUTED_VALUE"""),"Honda CRV")</f>
        <v>Honda CRV</v>
      </c>
      <c r="U3592" t="str">
        <f>IFERROR(__xludf.DUMMYFUNCTION("""COMPUTED_VALUE"""),"Electric!")</f>
        <v>Electric!</v>
      </c>
      <c r="V3592" t="str">
        <f>IFERROR(__xludf.DUMMYFUNCTION("""COMPUTED_VALUE"""),"Apple CarPlay / Android Auto / SiriusXM Radio")</f>
        <v>Apple CarPlay / Android Auto / SiriusXM Radio</v>
      </c>
      <c r="AH3592" s="189">
        <f>IFERROR(__xludf.DUMMYFUNCTION("""COMPUTED_VALUE"""),44482.41021501157)</f>
        <v>44482.41022</v>
      </c>
    </row>
    <row r="3593">
      <c r="A3593" t="str">
        <f>IFERROR(__xludf.DUMMYFUNCTION("""COMPUTED_VALUE"""),"Spiltz")</f>
        <v>Spiltz</v>
      </c>
      <c r="B3593" t="str">
        <f>IFERROR(__xludf.DUMMYFUNCTION("""COMPUTED_VALUE"""),"Montreal")</f>
        <v>Montreal</v>
      </c>
      <c r="C3593" t="str">
        <f>IFERROR(__xludf.DUMMYFUNCTION("""COMPUTED_VALUE"""),"QC")</f>
        <v>QC</v>
      </c>
      <c r="D3593" t="str">
        <f>IFERROR(__xludf.DUMMYFUNCTION("""COMPUTED_VALUE"""),"Canada")</f>
        <v>Canada</v>
      </c>
      <c r="E3593" s="188">
        <f>IFERROR(__xludf.DUMMYFUNCTION("""COMPUTED_VALUE"""),44442.0)</f>
        <v>44442</v>
      </c>
      <c r="N3593" t="str">
        <f>IFERROR(__xludf.DUMMYFUNCTION("""COMPUTED_VALUE"""),"Model 3 SR+")</f>
        <v>Model 3 SR+</v>
      </c>
      <c r="O3593" t="str">
        <f>IFERROR(__xludf.DUMMYFUNCTION("""COMPUTED_VALUE"""),"Midnight Silver Metallic")</f>
        <v>Midnight Silver Metallic</v>
      </c>
      <c r="P3593" t="str">
        <f>IFERROR(__xludf.DUMMYFUNCTION("""COMPUTED_VALUE"""),"18 inch")</f>
        <v>18 inch</v>
      </c>
      <c r="Q3593" t="str">
        <f>IFERROR(__xludf.DUMMYFUNCTION("""COMPUTED_VALUE"""),"All Black")</f>
        <v>All Black</v>
      </c>
      <c r="R3593" t="str">
        <f>IFERROR(__xludf.DUMMYFUNCTION("""COMPUTED_VALUE"""),"Autopilot included")</f>
        <v>Autopilot included</v>
      </c>
      <c r="S3593" t="str">
        <f>IFERROR(__xludf.DUMMYFUNCTION("""COMPUTED_VALUE"""),"Cash")</f>
        <v>Cash</v>
      </c>
      <c r="T3593" t="str">
        <f>IFERROR(__xludf.DUMMYFUNCTION("""COMPUTED_VALUE"""),"Jeep Cherokee")</f>
        <v>Jeep Cherokee</v>
      </c>
      <c r="U3593" t="str">
        <f>IFERROR(__xludf.DUMMYFUNCTION("""COMPUTED_VALUE"""),"All of the above")</f>
        <v>All of the above</v>
      </c>
      <c r="V3593" t="str">
        <f>IFERROR(__xludf.DUMMYFUNCTION("""COMPUTED_VALUE"""),"Heated steering wheel")</f>
        <v>Heated steering wheel</v>
      </c>
      <c r="AH3593" s="189">
        <f>IFERROR(__xludf.DUMMYFUNCTION("""COMPUTED_VALUE"""),44482.7733199537)</f>
        <v>44482.77332</v>
      </c>
    </row>
    <row r="3594">
      <c r="A3594" t="str">
        <f>IFERROR(__xludf.DUMMYFUNCTION("""COMPUTED_VALUE"""),"joshverd")</f>
        <v>joshverd</v>
      </c>
      <c r="B3594" t="str">
        <f>IFERROR(__xludf.DUMMYFUNCTION("""COMPUTED_VALUE"""),"Houston")</f>
        <v>Houston</v>
      </c>
      <c r="C3594" t="str">
        <f>IFERROR(__xludf.DUMMYFUNCTION("""COMPUTED_VALUE"""),"TX")</f>
        <v>TX</v>
      </c>
      <c r="D3594" t="str">
        <f>IFERROR(__xludf.DUMMYFUNCTION("""COMPUTED_VALUE"""),"USA")</f>
        <v>USA</v>
      </c>
      <c r="E3594" s="188">
        <f>IFERROR(__xludf.DUMMYFUNCTION("""COMPUTED_VALUE"""),44466.0)</f>
        <v>44466</v>
      </c>
      <c r="N3594" t="str">
        <f>IFERROR(__xludf.DUMMYFUNCTION("""COMPUTED_VALUE"""),"Model 3 LR AWD")</f>
        <v>Model 3 LR AWD</v>
      </c>
      <c r="O3594" t="str">
        <f>IFERROR(__xludf.DUMMYFUNCTION("""COMPUTED_VALUE"""),"Pearl White Multi-Coat")</f>
        <v>Pearl White Multi-Coat</v>
      </c>
      <c r="P3594" t="str">
        <f>IFERROR(__xludf.DUMMYFUNCTION("""COMPUTED_VALUE"""),"18 inch")</f>
        <v>18 inch</v>
      </c>
      <c r="Q3594" t="str">
        <f>IFERROR(__xludf.DUMMYFUNCTION("""COMPUTED_VALUE"""),"All Black")</f>
        <v>All Black</v>
      </c>
      <c r="R3594" t="str">
        <f>IFERROR(__xludf.DUMMYFUNCTION("""COMPUTED_VALUE"""),"Autopilot included")</f>
        <v>Autopilot included</v>
      </c>
      <c r="S3594" t="str">
        <f>IFERROR(__xludf.DUMMYFUNCTION("""COMPUTED_VALUE"""),"Loan")</f>
        <v>Loan</v>
      </c>
      <c r="T3594" t="str">
        <f>IFERROR(__xludf.DUMMYFUNCTION("""COMPUTED_VALUE"""),"Model 3 will be my first car!")</f>
        <v>Model 3 will be my first car!</v>
      </c>
      <c r="U3594" t="str">
        <f>IFERROR(__xludf.DUMMYFUNCTION("""COMPUTED_VALUE"""),"Electric!")</f>
        <v>Electric!</v>
      </c>
      <c r="V3594" t="str">
        <f>IFERROR(__xludf.DUMMYFUNCTION("""COMPUTED_VALUE"""),"Head-up display")</f>
        <v>Head-up display</v>
      </c>
      <c r="AH3594" s="189">
        <f>IFERROR(__xludf.DUMMYFUNCTION("""COMPUTED_VALUE"""),44482.7832653125)</f>
        <v>44482.78327</v>
      </c>
    </row>
    <row r="3595">
      <c r="A3595" t="str">
        <f>IFERROR(__xludf.DUMMYFUNCTION("""COMPUTED_VALUE"""),"wassct")</f>
        <v>wassct</v>
      </c>
      <c r="B3595" t="str">
        <f>IFERROR(__xludf.DUMMYFUNCTION("""COMPUTED_VALUE"""),"Milford")</f>
        <v>Milford</v>
      </c>
      <c r="C3595" t="str">
        <f>IFERROR(__xludf.DUMMYFUNCTION("""COMPUTED_VALUE"""),"CT")</f>
        <v>CT</v>
      </c>
      <c r="D3595" t="str">
        <f>IFERROR(__xludf.DUMMYFUNCTION("""COMPUTED_VALUE"""),"USA")</f>
        <v>USA</v>
      </c>
      <c r="E3595" s="188">
        <f>IFERROR(__xludf.DUMMYFUNCTION("""COMPUTED_VALUE"""),44463.0)</f>
        <v>44463</v>
      </c>
      <c r="N3595" t="str">
        <f>IFERROR(__xludf.DUMMYFUNCTION("""COMPUTED_VALUE"""),"Model 3 SR+")</f>
        <v>Model 3 SR+</v>
      </c>
      <c r="O3595" t="str">
        <f>IFERROR(__xludf.DUMMYFUNCTION("""COMPUTED_VALUE"""),"Pearl White Multi-Coat")</f>
        <v>Pearl White Multi-Coat</v>
      </c>
      <c r="P3595" t="str">
        <f>IFERROR(__xludf.DUMMYFUNCTION("""COMPUTED_VALUE"""),"18 inch")</f>
        <v>18 inch</v>
      </c>
      <c r="Q3595" t="str">
        <f>IFERROR(__xludf.DUMMYFUNCTION("""COMPUTED_VALUE"""),"Black and White")</f>
        <v>Black and White</v>
      </c>
      <c r="R3595" t="str">
        <f>IFERROR(__xludf.DUMMYFUNCTION("""COMPUTED_VALUE"""),"Autopilot included")</f>
        <v>Autopilot included</v>
      </c>
      <c r="S3595" t="str">
        <f>IFERROR(__xludf.DUMMYFUNCTION("""COMPUTED_VALUE"""),"Loan")</f>
        <v>Loan</v>
      </c>
      <c r="T3595" t="str">
        <f>IFERROR(__xludf.DUMMYFUNCTION("""COMPUTED_VALUE"""),"Chevy Volt")</f>
        <v>Chevy Volt</v>
      </c>
      <c r="U3595" t="str">
        <f>IFERROR(__xludf.DUMMYFUNCTION("""COMPUTED_VALUE"""),"Electric!")</f>
        <v>Electric!</v>
      </c>
      <c r="V3595" t="str">
        <f>IFERROR(__xludf.DUMMYFUNCTION("""COMPUTED_VALUE"""),"Blind spot indicators on side mirrors")</f>
        <v>Blind spot indicators on side mirrors</v>
      </c>
      <c r="AH3595" s="189">
        <f>IFERROR(__xludf.DUMMYFUNCTION("""COMPUTED_VALUE"""),44482.80526288194)</f>
        <v>44482.80526</v>
      </c>
    </row>
    <row r="3596">
      <c r="A3596" t="str">
        <f>IFERROR(__xludf.DUMMYFUNCTION("""COMPUTED_VALUE"""),"Jewelsource")</f>
        <v>Jewelsource</v>
      </c>
      <c r="B3596" t="str">
        <f>IFERROR(__xludf.DUMMYFUNCTION("""COMPUTED_VALUE"""),"Davie")</f>
        <v>Davie</v>
      </c>
      <c r="C3596" t="str">
        <f>IFERROR(__xludf.DUMMYFUNCTION("""COMPUTED_VALUE"""),"FL")</f>
        <v>FL</v>
      </c>
      <c r="D3596" t="str">
        <f>IFERROR(__xludf.DUMMYFUNCTION("""COMPUTED_VALUE"""),"USA")</f>
        <v>USA</v>
      </c>
      <c r="E3596" s="188">
        <f>IFERROR(__xludf.DUMMYFUNCTION("""COMPUTED_VALUE"""),44474.0)</f>
        <v>44474</v>
      </c>
      <c r="N3596" t="str">
        <f>IFERROR(__xludf.DUMMYFUNCTION("""COMPUTED_VALUE"""),"Model 3 LR AWD")</f>
        <v>Model 3 LR AWD</v>
      </c>
      <c r="O3596" t="str">
        <f>IFERROR(__xludf.DUMMYFUNCTION("""COMPUTED_VALUE"""),"Pearl White Multi-Coat")</f>
        <v>Pearl White Multi-Coat</v>
      </c>
      <c r="P3596" t="str">
        <f>IFERROR(__xludf.DUMMYFUNCTION("""COMPUTED_VALUE"""),"18 inch")</f>
        <v>18 inch</v>
      </c>
      <c r="Q3596" t="str">
        <f>IFERROR(__xludf.DUMMYFUNCTION("""COMPUTED_VALUE"""),"All Black")</f>
        <v>All Black</v>
      </c>
      <c r="R3596" t="str">
        <f>IFERROR(__xludf.DUMMYFUNCTION("""COMPUTED_VALUE"""),"Autopilot included")</f>
        <v>Autopilot included</v>
      </c>
      <c r="T3596" t="str">
        <f>IFERROR(__xludf.DUMMYFUNCTION("""COMPUTED_VALUE"""),"F-150")</f>
        <v>F-150</v>
      </c>
      <c r="U3596" t="str">
        <f>IFERROR(__xludf.DUMMYFUNCTION("""COMPUTED_VALUE"""),"Autopilot")</f>
        <v>Autopilot</v>
      </c>
      <c r="V3596" t="str">
        <f>IFERROR(__xludf.DUMMYFUNCTION("""COMPUTED_VALUE"""),"Head-up display")</f>
        <v>Head-up display</v>
      </c>
      <c r="AH3596" s="189">
        <f>IFERROR(__xludf.DUMMYFUNCTION("""COMPUTED_VALUE"""),44482.83542905093)</f>
        <v>44482.83543</v>
      </c>
    </row>
    <row r="3597">
      <c r="A3597" t="str">
        <f>IFERROR(__xludf.DUMMYFUNCTION("""COMPUTED_VALUE"""),"Preet")</f>
        <v>Preet</v>
      </c>
      <c r="B3597" t="str">
        <f>IFERROR(__xludf.DUMMYFUNCTION("""COMPUTED_VALUE"""),"Regina")</f>
        <v>Regina</v>
      </c>
      <c r="C3597" t="str">
        <f>IFERROR(__xludf.DUMMYFUNCTION("""COMPUTED_VALUE"""),"SK")</f>
        <v>SK</v>
      </c>
      <c r="D3597" t="str">
        <f>IFERROR(__xludf.DUMMYFUNCTION("""COMPUTED_VALUE"""),"Canada")</f>
        <v>Canada</v>
      </c>
      <c r="E3597" s="188">
        <f>IFERROR(__xludf.DUMMYFUNCTION("""COMPUTED_VALUE"""),44476.0)</f>
        <v>44476</v>
      </c>
      <c r="N3597" t="str">
        <f>IFERROR(__xludf.DUMMYFUNCTION("""COMPUTED_VALUE"""),"Model 3 SR+")</f>
        <v>Model 3 SR+</v>
      </c>
      <c r="O3597" t="str">
        <f>IFERROR(__xludf.DUMMYFUNCTION("""COMPUTED_VALUE"""),"Solid Black")</f>
        <v>Solid Black</v>
      </c>
      <c r="P3597" t="str">
        <f>IFERROR(__xludf.DUMMYFUNCTION("""COMPUTED_VALUE"""),"18 inch")</f>
        <v>18 inch</v>
      </c>
      <c r="Q3597" t="str">
        <f>IFERROR(__xludf.DUMMYFUNCTION("""COMPUTED_VALUE"""),"Black and White")</f>
        <v>Black and White</v>
      </c>
      <c r="S3597" t="str">
        <f>IFERROR(__xludf.DUMMYFUNCTION("""COMPUTED_VALUE"""),"Loan")</f>
        <v>Loan</v>
      </c>
      <c r="T3597" t="str">
        <f>IFERROR(__xludf.DUMMYFUNCTION("""COMPUTED_VALUE"""),"Genesis coupe")</f>
        <v>Genesis coupe</v>
      </c>
      <c r="U3597" t="str">
        <f>IFERROR(__xludf.DUMMYFUNCTION("""COMPUTED_VALUE"""),"Electric!")</f>
        <v>Electric!</v>
      </c>
      <c r="V3597" t="str">
        <f>IFERROR(__xludf.DUMMYFUNCTION("""COMPUTED_VALUE"""),"Ventilated seats")</f>
        <v>Ventilated seats</v>
      </c>
      <c r="AH3597" s="189">
        <f>IFERROR(__xludf.DUMMYFUNCTION("""COMPUTED_VALUE"""),44482.845180625)</f>
        <v>44482.84518</v>
      </c>
    </row>
    <row r="3598">
      <c r="A3598" t="str">
        <f>IFERROR(__xludf.DUMMYFUNCTION("""COMPUTED_VALUE"""),"Rana678")</f>
        <v>Rana678</v>
      </c>
      <c r="B3598" t="str">
        <f>IFERROR(__xludf.DUMMYFUNCTION("""COMPUTED_VALUE"""),"Surrey")</f>
        <v>Surrey</v>
      </c>
      <c r="C3598" t="str">
        <f>IFERROR(__xludf.DUMMYFUNCTION("""COMPUTED_VALUE"""),"BC")</f>
        <v>BC</v>
      </c>
      <c r="D3598" t="str">
        <f>IFERROR(__xludf.DUMMYFUNCTION("""COMPUTED_VALUE"""),"Canada")</f>
        <v>Canada</v>
      </c>
      <c r="E3598" s="188">
        <f>IFERROR(__xludf.DUMMYFUNCTION("""COMPUTED_VALUE"""),44399.0)</f>
        <v>44399</v>
      </c>
      <c r="N3598" t="str">
        <f>IFERROR(__xludf.DUMMYFUNCTION("""COMPUTED_VALUE"""),"Model 3 SR+")</f>
        <v>Model 3 SR+</v>
      </c>
      <c r="O3598" t="str">
        <f>IFERROR(__xludf.DUMMYFUNCTION("""COMPUTED_VALUE"""),"Pearl White Multi-Coat")</f>
        <v>Pearl White Multi-Coat</v>
      </c>
      <c r="P3598" t="str">
        <f>IFERROR(__xludf.DUMMYFUNCTION("""COMPUTED_VALUE"""),"18 inch")</f>
        <v>18 inch</v>
      </c>
      <c r="Q3598" t="str">
        <f>IFERROR(__xludf.DUMMYFUNCTION("""COMPUTED_VALUE"""),"All Black")</f>
        <v>All Black</v>
      </c>
      <c r="R3598" t="str">
        <f>IFERROR(__xludf.DUMMYFUNCTION("""COMPUTED_VALUE"""),"Autopilot included")</f>
        <v>Autopilot included</v>
      </c>
      <c r="S3598" t="str">
        <f>IFERROR(__xludf.DUMMYFUNCTION("""COMPUTED_VALUE"""),"Loan")</f>
        <v>Loan</v>
      </c>
      <c r="T3598" t="str">
        <f>IFERROR(__xludf.DUMMYFUNCTION("""COMPUTED_VALUE"""),"Mercedes C class")</f>
        <v>Mercedes C class</v>
      </c>
      <c r="U3598" t="str">
        <f>IFERROR(__xludf.DUMMYFUNCTION("""COMPUTED_VALUE"""),"Autopilot")</f>
        <v>Autopilot</v>
      </c>
      <c r="V3598" t="str">
        <f>IFERROR(__xludf.DUMMYFUNCTION("""COMPUTED_VALUE"""),"Apple music")</f>
        <v>Apple music</v>
      </c>
      <c r="AH3598" s="189">
        <f>IFERROR(__xludf.DUMMYFUNCTION("""COMPUTED_VALUE"""),44482.86579988426)</f>
        <v>44482.8658</v>
      </c>
    </row>
    <row r="3599">
      <c r="A3599" t="str">
        <f>IFERROR(__xludf.DUMMYFUNCTION("""COMPUTED_VALUE"""),"atrelix")</f>
        <v>atrelix</v>
      </c>
      <c r="B3599" t="str">
        <f>IFERROR(__xludf.DUMMYFUNCTION("""COMPUTED_VALUE"""),"Philadelphia")</f>
        <v>Philadelphia</v>
      </c>
      <c r="C3599" t="str">
        <f>IFERROR(__xludf.DUMMYFUNCTION("""COMPUTED_VALUE"""),"PA")</f>
        <v>PA</v>
      </c>
      <c r="D3599" t="str">
        <f>IFERROR(__xludf.DUMMYFUNCTION("""COMPUTED_VALUE"""),"USA")</f>
        <v>USA</v>
      </c>
      <c r="E3599" s="188">
        <f>IFERROR(__xludf.DUMMYFUNCTION("""COMPUTED_VALUE"""),44462.0)</f>
        <v>44462</v>
      </c>
      <c r="N3599" t="str">
        <f>IFERROR(__xludf.DUMMYFUNCTION("""COMPUTED_VALUE"""),"Model 3 LR AWD")</f>
        <v>Model 3 LR AWD</v>
      </c>
      <c r="O3599" t="str">
        <f>IFERROR(__xludf.DUMMYFUNCTION("""COMPUTED_VALUE"""),"Deep Blue Metallic")</f>
        <v>Deep Blue Metallic</v>
      </c>
      <c r="P3599" t="str">
        <f>IFERROR(__xludf.DUMMYFUNCTION("""COMPUTED_VALUE"""),"18 inch")</f>
        <v>18 inch</v>
      </c>
      <c r="Q3599" t="str">
        <f>IFERROR(__xludf.DUMMYFUNCTION("""COMPUTED_VALUE"""),"Black and White")</f>
        <v>Black and White</v>
      </c>
      <c r="R3599" t="str">
        <f>IFERROR(__xludf.DUMMYFUNCTION("""COMPUTED_VALUE"""),"Autopilot included")</f>
        <v>Autopilot included</v>
      </c>
      <c r="S3599" t="str">
        <f>IFERROR(__xludf.DUMMYFUNCTION("""COMPUTED_VALUE"""),"Loan")</f>
        <v>Loan</v>
      </c>
      <c r="T3599" t="str">
        <f>IFERROR(__xludf.DUMMYFUNCTION("""COMPUTED_VALUE"""),"Honda Insight")</f>
        <v>Honda Insight</v>
      </c>
      <c r="U3599" t="str">
        <f>IFERROR(__xludf.DUMMYFUNCTION("""COMPUTED_VALUE"""),"Electric!")</f>
        <v>Electric!</v>
      </c>
      <c r="V3599" t="str">
        <f>IFERROR(__xludf.DUMMYFUNCTION("""COMPUTED_VALUE"""),"Air suspension")</f>
        <v>Air suspension</v>
      </c>
      <c r="AH3599" s="189">
        <f>IFERROR(__xludf.DUMMYFUNCTION("""COMPUTED_VALUE"""),44482.89171077547)</f>
        <v>44482.89171</v>
      </c>
    </row>
    <row r="3600">
      <c r="A3600" t="str">
        <f>IFERROR(__xludf.DUMMYFUNCTION("""COMPUTED_VALUE"""),"cmrs2k")</f>
        <v>cmrs2k</v>
      </c>
      <c r="C3600" t="str">
        <f>IFERROR(__xludf.DUMMYFUNCTION("""COMPUTED_VALUE"""),"MS")</f>
        <v>MS</v>
      </c>
      <c r="D3600" t="str">
        <f>IFERROR(__xludf.DUMMYFUNCTION("""COMPUTED_VALUE"""),"USA")</f>
        <v>USA</v>
      </c>
      <c r="E3600" s="188">
        <f>IFERROR(__xludf.DUMMYFUNCTION("""COMPUTED_VALUE"""),44456.0)</f>
        <v>44456</v>
      </c>
      <c r="F3600" s="188">
        <f>IFERROR(__xludf.DUMMYFUNCTION("""COMPUTED_VALUE"""),44501.0)</f>
        <v>44501</v>
      </c>
      <c r="G3600" t="str">
        <f>IFERROR(__xludf.DUMMYFUNCTION("""COMPUTED_VALUE"""),"Email")</f>
        <v>Email</v>
      </c>
      <c r="K3600">
        <f>IFERROR(__xludf.DUMMYFUNCTION("""COMPUTED_VALUE"""),45.0)</f>
        <v>45</v>
      </c>
      <c r="N3600" t="str">
        <f>IFERROR(__xludf.DUMMYFUNCTION("""COMPUTED_VALUE"""),"Model 3 LR AWD")</f>
        <v>Model 3 LR AWD</v>
      </c>
      <c r="O3600" t="str">
        <f>IFERROR(__xludf.DUMMYFUNCTION("""COMPUTED_VALUE"""),"Deep Blue Metallic")</f>
        <v>Deep Blue Metallic</v>
      </c>
      <c r="P3600" t="str">
        <f>IFERROR(__xludf.DUMMYFUNCTION("""COMPUTED_VALUE"""),"18 inch")</f>
        <v>18 inch</v>
      </c>
      <c r="Q3600" t="str">
        <f>IFERROR(__xludf.DUMMYFUNCTION("""COMPUTED_VALUE"""),"All Black")</f>
        <v>All Black</v>
      </c>
      <c r="R3600" t="str">
        <f>IFERROR(__xludf.DUMMYFUNCTION("""COMPUTED_VALUE"""),"Full Self-Driving")</f>
        <v>Full Self-Driving</v>
      </c>
      <c r="S3600" t="str">
        <f>IFERROR(__xludf.DUMMYFUNCTION("""COMPUTED_VALUE"""),"Cash")</f>
        <v>Cash</v>
      </c>
      <c r="T3600" t="str">
        <f>IFERROR(__xludf.DUMMYFUNCTION("""COMPUTED_VALUE"""),"Honda S2000")</f>
        <v>Honda S2000</v>
      </c>
      <c r="U3600" t="str">
        <f>IFERROR(__xludf.DUMMYFUNCTION("""COMPUTED_VALUE"""),"Tesla brand image")</f>
        <v>Tesla brand image</v>
      </c>
      <c r="V3600" t="str">
        <f>IFERROR(__xludf.DUMMYFUNCTION("""COMPUTED_VALUE"""),"360° Bird's eye view")</f>
        <v>360° Bird's eye view</v>
      </c>
      <c r="AH3600" s="189">
        <f>IFERROR(__xludf.DUMMYFUNCTION("""COMPUTED_VALUE"""),44503.22996483796)</f>
        <v>44503.22996</v>
      </c>
    </row>
    <row r="3601">
      <c r="A3601" t="str">
        <f>IFERROR(__xludf.DUMMYFUNCTION("""COMPUTED_VALUE"""),"Space Cowboy")</f>
        <v>Space Cowboy</v>
      </c>
      <c r="B3601" t="str">
        <f>IFERROR(__xludf.DUMMYFUNCTION("""COMPUTED_VALUE"""),"Leeds")</f>
        <v>Leeds</v>
      </c>
      <c r="D3601" t="str">
        <f>IFERROR(__xludf.DUMMYFUNCTION("""COMPUTED_VALUE"""),"United Kingdom")</f>
        <v>United Kingdom</v>
      </c>
      <c r="E3601" s="188">
        <f>IFERROR(__xludf.DUMMYFUNCTION("""COMPUTED_VALUE"""),44448.0)</f>
        <v>44448</v>
      </c>
      <c r="J3601" s="188">
        <f>IFERROR(__xludf.DUMMYFUNCTION("""COMPUTED_VALUE"""),44529.0)</f>
        <v>44529</v>
      </c>
      <c r="M3601">
        <f>IFERROR(__xludf.DUMMYFUNCTION("""COMPUTED_VALUE"""),81.0)</f>
        <v>81</v>
      </c>
      <c r="N3601" t="str">
        <f>IFERROR(__xludf.DUMMYFUNCTION("""COMPUTED_VALUE"""),"Model 3 SR+")</f>
        <v>Model 3 SR+</v>
      </c>
      <c r="O3601" t="str">
        <f>IFERROR(__xludf.DUMMYFUNCTION("""COMPUTED_VALUE"""),"Pearl White Multi-Coat")</f>
        <v>Pearl White Multi-Coat</v>
      </c>
      <c r="P3601" t="str">
        <f>IFERROR(__xludf.DUMMYFUNCTION("""COMPUTED_VALUE"""),"18 inch")</f>
        <v>18 inch</v>
      </c>
      <c r="Q3601" t="str">
        <f>IFERROR(__xludf.DUMMYFUNCTION("""COMPUTED_VALUE"""),"All Black")</f>
        <v>All Black</v>
      </c>
      <c r="R3601" t="str">
        <f>IFERROR(__xludf.DUMMYFUNCTION("""COMPUTED_VALUE"""),"Autopilot included")</f>
        <v>Autopilot included</v>
      </c>
      <c r="S3601" t="str">
        <f>IFERROR(__xludf.DUMMYFUNCTION("""COMPUTED_VALUE"""),"Lease")</f>
        <v>Lease</v>
      </c>
      <c r="V3601" t="str">
        <f>IFERROR(__xludf.DUMMYFUNCTION("""COMPUTED_VALUE"""),"Apple CarPlay / Android Auto / SiriusXM Radio")</f>
        <v>Apple CarPlay / Android Auto / SiriusXM Radio</v>
      </c>
      <c r="AH3601" s="189">
        <f>IFERROR(__xludf.DUMMYFUNCTION("""COMPUTED_VALUE"""),44498.09008630787)</f>
        <v>44498.09009</v>
      </c>
    </row>
    <row r="3602">
      <c r="A3602" t="str">
        <f>IFERROR(__xludf.DUMMYFUNCTION("""COMPUTED_VALUE"""),"Ruepic")</f>
        <v>Ruepic</v>
      </c>
      <c r="B3602" t="str">
        <f>IFERROR(__xludf.DUMMYFUNCTION("""COMPUTED_VALUE"""),"Halifax")</f>
        <v>Halifax</v>
      </c>
      <c r="C3602" t="str">
        <f>IFERROR(__xludf.DUMMYFUNCTION("""COMPUTED_VALUE"""),"NS")</f>
        <v>NS</v>
      </c>
      <c r="D3602" t="str">
        <f>IFERROR(__xludf.DUMMYFUNCTION("""COMPUTED_VALUE"""),"Canada")</f>
        <v>Canada</v>
      </c>
      <c r="E3602" s="188">
        <f>IFERROR(__xludf.DUMMYFUNCTION("""COMPUTED_VALUE"""),44426.0)</f>
        <v>44426</v>
      </c>
      <c r="N3602" t="str">
        <f>IFERROR(__xludf.DUMMYFUNCTION("""COMPUTED_VALUE"""),"Model 3 SR+")</f>
        <v>Model 3 SR+</v>
      </c>
      <c r="O3602" t="str">
        <f>IFERROR(__xludf.DUMMYFUNCTION("""COMPUTED_VALUE"""),"Pearl White Multi-Coat")</f>
        <v>Pearl White Multi-Coat</v>
      </c>
      <c r="P3602" t="str">
        <f>IFERROR(__xludf.DUMMYFUNCTION("""COMPUTED_VALUE"""),"18 inch")</f>
        <v>18 inch</v>
      </c>
      <c r="Q3602" t="str">
        <f>IFERROR(__xludf.DUMMYFUNCTION("""COMPUTED_VALUE"""),"All Black")</f>
        <v>All Black</v>
      </c>
      <c r="R3602" t="str">
        <f>IFERROR(__xludf.DUMMYFUNCTION("""COMPUTED_VALUE"""),"Autopilot included")</f>
        <v>Autopilot included</v>
      </c>
      <c r="S3602" t="str">
        <f>IFERROR(__xludf.DUMMYFUNCTION("""COMPUTED_VALUE"""),"Cash")</f>
        <v>Cash</v>
      </c>
      <c r="T3602" t="str">
        <f>IFERROR(__xludf.DUMMYFUNCTION("""COMPUTED_VALUE"""),"Audi Q5")</f>
        <v>Audi Q5</v>
      </c>
      <c r="U3602" t="str">
        <f>IFERROR(__xludf.DUMMYFUNCTION("""COMPUTED_VALUE"""),"Electric!")</f>
        <v>Electric!</v>
      </c>
      <c r="V3602" t="str">
        <f>IFERROR(__xludf.DUMMYFUNCTION("""COMPUTED_VALUE"""),"Heated steering wheel")</f>
        <v>Heated steering wheel</v>
      </c>
      <c r="AH3602" s="189">
        <f>IFERROR(__xludf.DUMMYFUNCTION("""COMPUTED_VALUE"""),44483.35475579861)</f>
        <v>44483.35476</v>
      </c>
    </row>
    <row r="3603">
      <c r="A3603" t="str">
        <f>IFERROR(__xludf.DUMMYFUNCTION("""COMPUTED_VALUE"""),"Tenatious")</f>
        <v>Tenatious</v>
      </c>
      <c r="D3603" t="str">
        <f>IFERROR(__xludf.DUMMYFUNCTION("""COMPUTED_VALUE"""),"United Kingdom")</f>
        <v>United Kingdom</v>
      </c>
      <c r="E3603" s="188">
        <f>IFERROR(__xludf.DUMMYFUNCTION("""COMPUTED_VALUE"""),44448.0)</f>
        <v>44448</v>
      </c>
      <c r="N3603" t="str">
        <f>IFERROR(__xludf.DUMMYFUNCTION("""COMPUTED_VALUE"""),"Model 3 LR AWD")</f>
        <v>Model 3 LR AWD</v>
      </c>
      <c r="O3603" t="str">
        <f>IFERROR(__xludf.DUMMYFUNCTION("""COMPUTED_VALUE"""),"Pearl White Multi-Coat")</f>
        <v>Pearl White Multi-Coat</v>
      </c>
      <c r="P3603" t="str">
        <f>IFERROR(__xludf.DUMMYFUNCTION("""COMPUTED_VALUE"""),"18 inch")</f>
        <v>18 inch</v>
      </c>
      <c r="Q3603" t="str">
        <f>IFERROR(__xludf.DUMMYFUNCTION("""COMPUTED_VALUE"""),"All Black")</f>
        <v>All Black</v>
      </c>
      <c r="R3603" t="str">
        <f>IFERROR(__xludf.DUMMYFUNCTION("""COMPUTED_VALUE"""),"Autopilot included")</f>
        <v>Autopilot included</v>
      </c>
      <c r="S3603" t="str">
        <f>IFERROR(__xludf.DUMMYFUNCTION("""COMPUTED_VALUE"""),"Lease")</f>
        <v>Lease</v>
      </c>
      <c r="T3603" t="str">
        <f>IFERROR(__xludf.DUMMYFUNCTION("""COMPUTED_VALUE"""),"VW Tiguan")</f>
        <v>VW Tiguan</v>
      </c>
      <c r="U3603" t="str">
        <f>IFERROR(__xludf.DUMMYFUNCTION("""COMPUTED_VALUE"""),"Electric!")</f>
        <v>Electric!</v>
      </c>
      <c r="V3603" t="str">
        <f>IFERROR(__xludf.DUMMYFUNCTION("""COMPUTED_VALUE"""),"Apple CarPlay / Android Auto / SiriusXM Radio")</f>
        <v>Apple CarPlay / Android Auto / SiriusXM Radio</v>
      </c>
      <c r="AH3603" s="189">
        <f>IFERROR(__xludf.DUMMYFUNCTION("""COMPUTED_VALUE"""),44483.43704488426)</f>
        <v>44483.43704</v>
      </c>
    </row>
    <row r="3604">
      <c r="A3604" t="str">
        <f>IFERROR(__xludf.DUMMYFUNCTION("""COMPUTED_VALUE"""),"Raytown")</f>
        <v>Raytown</v>
      </c>
      <c r="B3604" t="str">
        <f>IFERROR(__xludf.DUMMYFUNCTION("""COMPUTED_VALUE"""),"Phoenix")</f>
        <v>Phoenix</v>
      </c>
      <c r="C3604" t="str">
        <f>IFERROR(__xludf.DUMMYFUNCTION("""COMPUTED_VALUE"""),"AZ")</f>
        <v>AZ</v>
      </c>
      <c r="D3604" t="str">
        <f>IFERROR(__xludf.DUMMYFUNCTION("""COMPUTED_VALUE"""),"USA")</f>
        <v>USA</v>
      </c>
      <c r="E3604" s="188">
        <f>IFERROR(__xludf.DUMMYFUNCTION("""COMPUTED_VALUE"""),44471.0)</f>
        <v>44471</v>
      </c>
      <c r="N3604" t="str">
        <f>IFERROR(__xludf.DUMMYFUNCTION("""COMPUTED_VALUE"""),"Model 3 SR+")</f>
        <v>Model 3 SR+</v>
      </c>
      <c r="O3604" t="str">
        <f>IFERROR(__xludf.DUMMYFUNCTION("""COMPUTED_VALUE"""),"Deep Blue Metallic")</f>
        <v>Deep Blue Metallic</v>
      </c>
      <c r="P3604" t="str">
        <f>IFERROR(__xludf.DUMMYFUNCTION("""COMPUTED_VALUE"""),"19 inch")</f>
        <v>19 inch</v>
      </c>
      <c r="Q3604" t="str">
        <f>IFERROR(__xludf.DUMMYFUNCTION("""COMPUTED_VALUE"""),"All Black")</f>
        <v>All Black</v>
      </c>
      <c r="R3604" t="str">
        <f>IFERROR(__xludf.DUMMYFUNCTION("""COMPUTED_VALUE"""),"Autopilot included")</f>
        <v>Autopilot included</v>
      </c>
      <c r="S3604" t="str">
        <f>IFERROR(__xludf.DUMMYFUNCTION("""COMPUTED_VALUE"""),"Loan")</f>
        <v>Loan</v>
      </c>
      <c r="T3604" t="str">
        <f>IFERROR(__xludf.DUMMYFUNCTION("""COMPUTED_VALUE"""),"Volvo S40")</f>
        <v>Volvo S40</v>
      </c>
      <c r="U3604" t="str">
        <f>IFERROR(__xludf.DUMMYFUNCTION("""COMPUTED_VALUE"""),"Electric!")</f>
        <v>Electric!</v>
      </c>
      <c r="V3604" t="str">
        <f>IFERROR(__xludf.DUMMYFUNCTION("""COMPUTED_VALUE"""),"Ventilated seats")</f>
        <v>Ventilated seats</v>
      </c>
      <c r="AH3604" s="189">
        <f>IFERROR(__xludf.DUMMYFUNCTION("""COMPUTED_VALUE"""),44483.62394579861)</f>
        <v>44483.62395</v>
      </c>
    </row>
    <row r="3605">
      <c r="A3605" t="str">
        <f>IFERROR(__xludf.DUMMYFUNCTION("""COMPUTED_VALUE"""),"Impatientlywaiting")</f>
        <v>Impatientlywaiting</v>
      </c>
      <c r="B3605" t="str">
        <f>IFERROR(__xludf.DUMMYFUNCTION("""COMPUTED_VALUE"""),"Sacramento")</f>
        <v>Sacramento</v>
      </c>
      <c r="C3605" t="str">
        <f>IFERROR(__xludf.DUMMYFUNCTION("""COMPUTED_VALUE"""),"CA")</f>
        <v>CA</v>
      </c>
      <c r="D3605" t="str">
        <f>IFERROR(__xludf.DUMMYFUNCTION("""COMPUTED_VALUE"""),"USA")</f>
        <v>USA</v>
      </c>
      <c r="E3605" s="188">
        <f>IFERROR(__xludf.DUMMYFUNCTION("""COMPUTED_VALUE"""),44420.0)</f>
        <v>44420</v>
      </c>
      <c r="N3605" t="str">
        <f>IFERROR(__xludf.DUMMYFUNCTION("""COMPUTED_VALUE"""),"Model 3 SR+")</f>
        <v>Model 3 SR+</v>
      </c>
      <c r="O3605" t="str">
        <f>IFERROR(__xludf.DUMMYFUNCTION("""COMPUTED_VALUE"""),"Red Multi-Coat")</f>
        <v>Red Multi-Coat</v>
      </c>
      <c r="P3605" t="str">
        <f>IFERROR(__xludf.DUMMYFUNCTION("""COMPUTED_VALUE"""),"18 inch")</f>
        <v>18 inch</v>
      </c>
      <c r="Q3605" t="str">
        <f>IFERROR(__xludf.DUMMYFUNCTION("""COMPUTED_VALUE"""),"Black and White")</f>
        <v>Black and White</v>
      </c>
      <c r="R3605" t="str">
        <f>IFERROR(__xludf.DUMMYFUNCTION("""COMPUTED_VALUE"""),"Autopilot included")</f>
        <v>Autopilot included</v>
      </c>
      <c r="S3605" t="str">
        <f>IFERROR(__xludf.DUMMYFUNCTION("""COMPUTED_VALUE"""),"Loan")</f>
        <v>Loan</v>
      </c>
      <c r="T3605" t="str">
        <f>IFERROR(__xludf.DUMMYFUNCTION("""COMPUTED_VALUE"""),"Honda Accord")</f>
        <v>Honda Accord</v>
      </c>
      <c r="U3605" t="str">
        <f>IFERROR(__xludf.DUMMYFUNCTION("""COMPUTED_VALUE"""),"Electric!")</f>
        <v>Electric!</v>
      </c>
      <c r="V3605" t="str">
        <f>IFERROR(__xludf.DUMMYFUNCTION("""COMPUTED_VALUE"""),"Apple CarPlay / Android Auto / SiriusXM Radio")</f>
        <v>Apple CarPlay / Android Auto / SiriusXM Radio</v>
      </c>
      <c r="AH3605" s="189">
        <f>IFERROR(__xludf.DUMMYFUNCTION("""COMPUTED_VALUE"""),44483.62445158565)</f>
        <v>44483.62445</v>
      </c>
    </row>
    <row r="3606">
      <c r="A3606" t="str">
        <f>IFERROR(__xludf.DUMMYFUNCTION("""COMPUTED_VALUE"""),"Telbirtg")</f>
        <v>Telbirtg</v>
      </c>
      <c r="B3606" t="str">
        <f>IFERROR(__xludf.DUMMYFUNCTION("""COMPUTED_VALUE"""),"Oakland")</f>
        <v>Oakland</v>
      </c>
      <c r="C3606" t="str">
        <f>IFERROR(__xludf.DUMMYFUNCTION("""COMPUTED_VALUE"""),"CA")</f>
        <v>CA</v>
      </c>
      <c r="D3606" t="str">
        <f>IFERROR(__xludf.DUMMYFUNCTION("""COMPUTED_VALUE"""),"USA")</f>
        <v>USA</v>
      </c>
      <c r="E3606" s="188">
        <f>IFERROR(__xludf.DUMMYFUNCTION("""COMPUTED_VALUE"""),44417.0)</f>
        <v>44417</v>
      </c>
      <c r="F3606" s="188">
        <f>IFERROR(__xludf.DUMMYFUNCTION("""COMPUTED_VALUE"""),44500.0)</f>
        <v>44500</v>
      </c>
      <c r="G3606" t="str">
        <f>IFERROR(__xludf.DUMMYFUNCTION("""COMPUTED_VALUE"""),"Manage order page (normal text)")</f>
        <v>Manage order page (normal text)</v>
      </c>
      <c r="H3606">
        <f>IFERROR(__xludf.DUMMYFUNCTION("""COMPUTED_VALUE"""),98455.0)</f>
        <v>98455</v>
      </c>
      <c r="J3606" s="188">
        <f>IFERROR(__xludf.DUMMYFUNCTION("""COMPUTED_VALUE"""),44503.0)</f>
        <v>44503</v>
      </c>
      <c r="K3606">
        <f>IFERROR(__xludf.DUMMYFUNCTION("""COMPUTED_VALUE"""),83.0)</f>
        <v>83</v>
      </c>
      <c r="L3606">
        <f>IFERROR(__xludf.DUMMYFUNCTION("""COMPUTED_VALUE"""),3.0)</f>
        <v>3</v>
      </c>
      <c r="M3606">
        <f>IFERROR(__xludf.DUMMYFUNCTION("""COMPUTED_VALUE"""),86.0)</f>
        <v>86</v>
      </c>
      <c r="N3606" t="str">
        <f>IFERROR(__xludf.DUMMYFUNCTION("""COMPUTED_VALUE"""),"Model 3 SR+")</f>
        <v>Model 3 SR+</v>
      </c>
      <c r="O3606" t="str">
        <f>IFERROR(__xludf.DUMMYFUNCTION("""COMPUTED_VALUE"""),"Midnight Silver Metallic")</f>
        <v>Midnight Silver Metallic</v>
      </c>
      <c r="P3606" t="str">
        <f>IFERROR(__xludf.DUMMYFUNCTION("""COMPUTED_VALUE"""),"18 inch")</f>
        <v>18 inch</v>
      </c>
      <c r="Q3606" t="str">
        <f>IFERROR(__xludf.DUMMYFUNCTION("""COMPUTED_VALUE"""),"All Black")</f>
        <v>All Black</v>
      </c>
      <c r="R3606" t="str">
        <f>IFERROR(__xludf.DUMMYFUNCTION("""COMPUTED_VALUE"""),"Autopilot included")</f>
        <v>Autopilot included</v>
      </c>
      <c r="S3606" t="str">
        <f>IFERROR(__xludf.DUMMYFUNCTION("""COMPUTED_VALUE"""),"Loan")</f>
        <v>Loan</v>
      </c>
      <c r="T3606" t="str">
        <f>IFERROR(__xludf.DUMMYFUNCTION("""COMPUTED_VALUE"""),"Model 3 will be my first car!")</f>
        <v>Model 3 will be my first car!</v>
      </c>
      <c r="U3606" t="str">
        <f>IFERROR(__xludf.DUMMYFUNCTION("""COMPUTED_VALUE"""),"Autopilot")</f>
        <v>Autopilot</v>
      </c>
      <c r="V3606" t="str">
        <f>IFERROR(__xludf.DUMMYFUNCTION("""COMPUTED_VALUE"""),"360° Bird's eye view")</f>
        <v>360° Bird's eye view</v>
      </c>
      <c r="AH3606" s="189">
        <f>IFERROR(__xludf.DUMMYFUNCTION("""COMPUTED_VALUE"""),44501.398772754634)</f>
        <v>44501.39877</v>
      </c>
    </row>
    <row r="3607">
      <c r="A3607" t="str">
        <f>IFERROR(__xludf.DUMMYFUNCTION("""COMPUTED_VALUE"""),"mehmet68")</f>
        <v>mehmet68</v>
      </c>
      <c r="B3607" t="str">
        <f>IFERROR(__xludf.DUMMYFUNCTION("""COMPUTED_VALUE"""),"Long Island")</f>
        <v>Long Island</v>
      </c>
      <c r="C3607" t="str">
        <f>IFERROR(__xludf.DUMMYFUNCTION("""COMPUTED_VALUE"""),"NY")</f>
        <v>NY</v>
      </c>
      <c r="D3607" t="str">
        <f>IFERROR(__xludf.DUMMYFUNCTION("""COMPUTED_VALUE"""),"USA")</f>
        <v>USA</v>
      </c>
      <c r="E3607" s="188">
        <f>IFERROR(__xludf.DUMMYFUNCTION("""COMPUTED_VALUE"""),44488.0)</f>
        <v>44488</v>
      </c>
      <c r="N3607" t="str">
        <f>IFERROR(__xludf.DUMMYFUNCTION("""COMPUTED_VALUE"""),"Model 3 LR AWD")</f>
        <v>Model 3 LR AWD</v>
      </c>
      <c r="O3607" t="str">
        <f>IFERROR(__xludf.DUMMYFUNCTION("""COMPUTED_VALUE"""),"Pearl White Multi-Coat")</f>
        <v>Pearl White Multi-Coat</v>
      </c>
      <c r="P3607" t="str">
        <f>IFERROR(__xludf.DUMMYFUNCTION("""COMPUTED_VALUE"""),"18 inch")</f>
        <v>18 inch</v>
      </c>
      <c r="Q3607" t="str">
        <f>IFERROR(__xludf.DUMMYFUNCTION("""COMPUTED_VALUE"""),"All Black")</f>
        <v>All Black</v>
      </c>
      <c r="R3607" t="str">
        <f>IFERROR(__xludf.DUMMYFUNCTION("""COMPUTED_VALUE"""),"Autopilot included")</f>
        <v>Autopilot included</v>
      </c>
      <c r="S3607" t="str">
        <f>IFERROR(__xludf.DUMMYFUNCTION("""COMPUTED_VALUE"""),"Cash")</f>
        <v>Cash</v>
      </c>
      <c r="AH3607" s="189">
        <f>IFERROR(__xludf.DUMMYFUNCTION("""COMPUTED_VALUE"""),44503.40724188657)</f>
        <v>44503.40724</v>
      </c>
    </row>
    <row r="3608">
      <c r="A3608" t="str">
        <f>IFERROR(__xludf.DUMMYFUNCTION("""COMPUTED_VALUE"""),"RexIrby")</f>
        <v>RexIrby</v>
      </c>
      <c r="B3608" t="str">
        <f>IFERROR(__xludf.DUMMYFUNCTION("""COMPUTED_VALUE"""),"Elmhurst")</f>
        <v>Elmhurst</v>
      </c>
      <c r="C3608" t="str">
        <f>IFERROR(__xludf.DUMMYFUNCTION("""COMPUTED_VALUE"""),"IL")</f>
        <v>IL</v>
      </c>
      <c r="D3608" t="str">
        <f>IFERROR(__xludf.DUMMYFUNCTION("""COMPUTED_VALUE"""),"USA")</f>
        <v>USA</v>
      </c>
      <c r="E3608" s="188">
        <f>IFERROR(__xludf.DUMMYFUNCTION("""COMPUTED_VALUE"""),44483.0)</f>
        <v>44483</v>
      </c>
      <c r="N3608" t="str">
        <f>IFERROR(__xludf.DUMMYFUNCTION("""COMPUTED_VALUE"""),"Model 3 LR AWD")</f>
        <v>Model 3 LR AWD</v>
      </c>
      <c r="O3608" t="str">
        <f>IFERROR(__xludf.DUMMYFUNCTION("""COMPUTED_VALUE"""),"Pearl White Multi-Coat")</f>
        <v>Pearl White Multi-Coat</v>
      </c>
      <c r="P3608" t="str">
        <f>IFERROR(__xludf.DUMMYFUNCTION("""COMPUTED_VALUE"""),"18 inch")</f>
        <v>18 inch</v>
      </c>
      <c r="Q3608" t="str">
        <f>IFERROR(__xludf.DUMMYFUNCTION("""COMPUTED_VALUE"""),"All Black")</f>
        <v>All Black</v>
      </c>
      <c r="R3608" t="str">
        <f>IFERROR(__xludf.DUMMYFUNCTION("""COMPUTED_VALUE"""),"Autopilot included")</f>
        <v>Autopilot included</v>
      </c>
      <c r="S3608" t="str">
        <f>IFERROR(__xludf.DUMMYFUNCTION("""COMPUTED_VALUE"""),"Cash")</f>
        <v>Cash</v>
      </c>
      <c r="T3608" t="str">
        <f>IFERROR(__xludf.DUMMYFUNCTION("""COMPUTED_VALUE"""),"Nissan Leaf")</f>
        <v>Nissan Leaf</v>
      </c>
      <c r="U3608" t="str">
        <f>IFERROR(__xludf.DUMMYFUNCTION("""COMPUTED_VALUE"""),"Electric!")</f>
        <v>Electric!</v>
      </c>
      <c r="AH3608" s="189">
        <f>IFERROR(__xludf.DUMMYFUNCTION("""COMPUTED_VALUE"""),44484.672023946754)</f>
        <v>44484.67202</v>
      </c>
    </row>
    <row r="3609">
      <c r="A3609" t="str">
        <f>IFERROR(__xludf.DUMMYFUNCTION("""COMPUTED_VALUE"""),"YongS QC")</f>
        <v>YongS QC</v>
      </c>
      <c r="B3609" t="str">
        <f>IFERROR(__xludf.DUMMYFUNCTION("""COMPUTED_VALUE"""),"Montreal")</f>
        <v>Montreal</v>
      </c>
      <c r="C3609" t="str">
        <f>IFERROR(__xludf.DUMMYFUNCTION("""COMPUTED_VALUE"""),"QC")</f>
        <v>QC</v>
      </c>
      <c r="D3609" t="str">
        <f>IFERROR(__xludf.DUMMYFUNCTION("""COMPUTED_VALUE"""),"Canada")</f>
        <v>Canada</v>
      </c>
      <c r="E3609" s="188">
        <f>IFERROR(__xludf.DUMMYFUNCTION("""COMPUTED_VALUE"""),44416.0)</f>
        <v>44416</v>
      </c>
      <c r="F3609" s="188">
        <f>IFERROR(__xludf.DUMMYFUNCTION("""COMPUTED_VALUE"""),44493.0)</f>
        <v>44493</v>
      </c>
      <c r="G3609" t="str">
        <f>IFERROR(__xludf.DUMMYFUNCTION("""COMPUTED_VALUE"""),"Source code")</f>
        <v>Source code</v>
      </c>
      <c r="H3609">
        <f>IFERROR(__xludf.DUMMYFUNCTION("""COMPUTED_VALUE"""),94155.0)</f>
        <v>94155</v>
      </c>
      <c r="J3609" s="188">
        <f>IFERROR(__xludf.DUMMYFUNCTION("""COMPUTED_VALUE"""),44506.0)</f>
        <v>44506</v>
      </c>
      <c r="K3609">
        <f>IFERROR(__xludf.DUMMYFUNCTION("""COMPUTED_VALUE"""),77.0)</f>
        <v>77</v>
      </c>
      <c r="L3609">
        <f>IFERROR(__xludf.DUMMYFUNCTION("""COMPUTED_VALUE"""),13.0)</f>
        <v>13</v>
      </c>
      <c r="M3609">
        <f>IFERROR(__xludf.DUMMYFUNCTION("""COMPUTED_VALUE"""),90.0)</f>
        <v>90</v>
      </c>
      <c r="N3609" t="str">
        <f>IFERROR(__xludf.DUMMYFUNCTION("""COMPUTED_VALUE"""),"Model 3 SR+")</f>
        <v>Model 3 SR+</v>
      </c>
      <c r="O3609" t="str">
        <f>IFERROR(__xludf.DUMMYFUNCTION("""COMPUTED_VALUE"""),"Pearl White Multi-Coat")</f>
        <v>Pearl White Multi-Coat</v>
      </c>
      <c r="P3609" t="str">
        <f>IFERROR(__xludf.DUMMYFUNCTION("""COMPUTED_VALUE"""),"18 inch")</f>
        <v>18 inch</v>
      </c>
      <c r="Q3609" t="str">
        <f>IFERROR(__xludf.DUMMYFUNCTION("""COMPUTED_VALUE"""),"All Black")</f>
        <v>All Black</v>
      </c>
      <c r="R3609" t="str">
        <f>IFERROR(__xludf.DUMMYFUNCTION("""COMPUTED_VALUE"""),"Autopilot included")</f>
        <v>Autopilot included</v>
      </c>
      <c r="S3609" t="str">
        <f>IFERROR(__xludf.DUMMYFUNCTION("""COMPUTED_VALUE"""),"Cash")</f>
        <v>Cash</v>
      </c>
      <c r="U3609" t="str">
        <f>IFERROR(__xludf.DUMMYFUNCTION("""COMPUTED_VALUE"""),"Electric!")</f>
        <v>Electric!</v>
      </c>
      <c r="V3609" t="str">
        <f>IFERROR(__xludf.DUMMYFUNCTION("""COMPUTED_VALUE"""),"Ventilated seats")</f>
        <v>Ventilated seats</v>
      </c>
      <c r="AF3609" t="str">
        <f>IFERROR(__xludf.DUMMYFUNCTION("""COMPUTED_VALUE"""),"No. I took delivery of the first car Tesla was able to deliver.")</f>
        <v>No. I took delivery of the first car Tesla was able to deliver.</v>
      </c>
      <c r="AH3609" s="189">
        <f>IFERROR(__xludf.DUMMYFUNCTION("""COMPUTED_VALUE"""),44506.681509849535)</f>
        <v>44506.68151</v>
      </c>
    </row>
    <row r="3610">
      <c r="A3610" t="str">
        <f>IFERROR(__xludf.DUMMYFUNCTION("""COMPUTED_VALUE"""),"Cos")</f>
        <v>Cos</v>
      </c>
      <c r="B3610" t="str">
        <f>IFERROR(__xludf.DUMMYFUNCTION("""COMPUTED_VALUE"""),"Colorado Springs")</f>
        <v>Colorado Springs</v>
      </c>
      <c r="C3610" t="str">
        <f>IFERROR(__xludf.DUMMYFUNCTION("""COMPUTED_VALUE"""),"CO")</f>
        <v>CO</v>
      </c>
      <c r="D3610" t="str">
        <f>IFERROR(__xludf.DUMMYFUNCTION("""COMPUTED_VALUE"""),"USA")</f>
        <v>USA</v>
      </c>
      <c r="E3610" s="188">
        <f>IFERROR(__xludf.DUMMYFUNCTION("""COMPUTED_VALUE"""),44463.0)</f>
        <v>44463</v>
      </c>
      <c r="F3610" s="188">
        <f>IFERROR(__xludf.DUMMYFUNCTION("""COMPUTED_VALUE"""),44485.0)</f>
        <v>44485</v>
      </c>
      <c r="G3610" t="str">
        <f>IFERROR(__xludf.DUMMYFUNCTION("""COMPUTED_VALUE"""),"Manage order page (normal text)")</f>
        <v>Manage order page (normal text)</v>
      </c>
      <c r="H3610">
        <f>IFERROR(__xludf.DUMMYFUNCTION("""COMPUTED_VALUE"""),91995.0)</f>
        <v>91995</v>
      </c>
      <c r="K3610">
        <f>IFERROR(__xludf.DUMMYFUNCTION("""COMPUTED_VALUE"""),22.0)</f>
        <v>22</v>
      </c>
      <c r="N3610" t="str">
        <f>IFERROR(__xludf.DUMMYFUNCTION("""COMPUTED_VALUE"""),"Model 3 LR AWD")</f>
        <v>Model 3 LR AWD</v>
      </c>
      <c r="O3610" t="str">
        <f>IFERROR(__xludf.DUMMYFUNCTION("""COMPUTED_VALUE"""),"Deep Blue Metallic")</f>
        <v>Deep Blue Metallic</v>
      </c>
      <c r="P3610" t="str">
        <f>IFERROR(__xludf.DUMMYFUNCTION("""COMPUTED_VALUE"""),"18 inch")</f>
        <v>18 inch</v>
      </c>
      <c r="Q3610" t="str">
        <f>IFERROR(__xludf.DUMMYFUNCTION("""COMPUTED_VALUE"""),"All Black")</f>
        <v>All Black</v>
      </c>
      <c r="R3610" t="str">
        <f>IFERROR(__xludf.DUMMYFUNCTION("""COMPUTED_VALUE"""),"Full Self-Driving")</f>
        <v>Full Self-Driving</v>
      </c>
      <c r="S3610" t="str">
        <f>IFERROR(__xludf.DUMMYFUNCTION("""COMPUTED_VALUE"""),"Loan")</f>
        <v>Loan</v>
      </c>
      <c r="AH3610" s="189">
        <f>IFERROR(__xludf.DUMMYFUNCTION("""COMPUTED_VALUE"""),44485.44585283565)</f>
        <v>44485.44585</v>
      </c>
    </row>
    <row r="3611">
      <c r="A3611" t="str">
        <f>IFERROR(__xludf.DUMMYFUNCTION("""COMPUTED_VALUE"""),"callmerory")</f>
        <v>callmerory</v>
      </c>
      <c r="B3611" t="str">
        <f>IFERROR(__xludf.DUMMYFUNCTION("""COMPUTED_VALUE"""),"Seattle")</f>
        <v>Seattle</v>
      </c>
      <c r="C3611" t="str">
        <f>IFERROR(__xludf.DUMMYFUNCTION("""COMPUTED_VALUE"""),"WA")</f>
        <v>WA</v>
      </c>
      <c r="D3611" t="str">
        <f>IFERROR(__xludf.DUMMYFUNCTION("""COMPUTED_VALUE"""),"USA")</f>
        <v>USA</v>
      </c>
      <c r="E3611" s="188">
        <f>IFERROR(__xludf.DUMMYFUNCTION("""COMPUTED_VALUE"""),44457.0)</f>
        <v>44457</v>
      </c>
      <c r="F3611" s="188">
        <f>IFERROR(__xludf.DUMMYFUNCTION("""COMPUTED_VALUE"""),44506.0)</f>
        <v>44506</v>
      </c>
      <c r="G3611" t="str">
        <f>IFERROR(__xludf.DUMMYFUNCTION("""COMPUTED_VALUE"""),"Manage order page (normal text)")</f>
        <v>Manage order page (normal text)</v>
      </c>
      <c r="H3611">
        <f>IFERROR(__xludf.DUMMYFUNCTION("""COMPUTED_VALUE"""),103355.0)</f>
        <v>103355</v>
      </c>
      <c r="K3611">
        <f>IFERROR(__xludf.DUMMYFUNCTION("""COMPUTED_VALUE"""),49.0)</f>
        <v>49</v>
      </c>
      <c r="N3611" t="str">
        <f>IFERROR(__xludf.DUMMYFUNCTION("""COMPUTED_VALUE"""),"Model 3 LR AWD")</f>
        <v>Model 3 LR AWD</v>
      </c>
      <c r="O3611" t="str">
        <f>IFERROR(__xludf.DUMMYFUNCTION("""COMPUTED_VALUE"""),"Midnight Silver Metallic")</f>
        <v>Midnight Silver Metallic</v>
      </c>
      <c r="P3611" t="str">
        <f>IFERROR(__xludf.DUMMYFUNCTION("""COMPUTED_VALUE"""),"18 inch")</f>
        <v>18 inch</v>
      </c>
      <c r="Q3611" t="str">
        <f>IFERROR(__xludf.DUMMYFUNCTION("""COMPUTED_VALUE"""),"All Black")</f>
        <v>All Black</v>
      </c>
      <c r="R3611" t="str">
        <f>IFERROR(__xludf.DUMMYFUNCTION("""COMPUTED_VALUE"""),"Autopilot included")</f>
        <v>Autopilot included</v>
      </c>
      <c r="S3611" t="str">
        <f>IFERROR(__xludf.DUMMYFUNCTION("""COMPUTED_VALUE"""),"Lease")</f>
        <v>Lease</v>
      </c>
      <c r="T3611" t="str">
        <f>IFERROR(__xludf.DUMMYFUNCTION("""COMPUTED_VALUE"""),"Volkswagen ID.4")</f>
        <v>Volkswagen ID.4</v>
      </c>
      <c r="U3611" t="str">
        <f>IFERROR(__xludf.DUMMYFUNCTION("""COMPUTED_VALUE"""),"Electric!")</f>
        <v>Electric!</v>
      </c>
      <c r="V3611" t="str">
        <f>IFERROR(__xludf.DUMMYFUNCTION("""COMPUTED_VALUE"""),"Apple CarPlay / Android Auto / SiriusXM Radio")</f>
        <v>Apple CarPlay / Android Auto / SiriusXM Radio</v>
      </c>
      <c r="AH3611" s="189">
        <f>IFERROR(__xludf.DUMMYFUNCTION("""COMPUTED_VALUE"""),44506.53764930555)</f>
        <v>44506.53765</v>
      </c>
    </row>
    <row r="3612">
      <c r="A3612" t="str">
        <f>IFERROR(__xludf.DUMMYFUNCTION("""COMPUTED_VALUE"""),"Doccobb ")</f>
        <v>Doccobb </v>
      </c>
      <c r="B3612" t="str">
        <f>IFERROR(__xludf.DUMMYFUNCTION("""COMPUTED_VALUE"""),"Chapel Hill")</f>
        <v>Chapel Hill</v>
      </c>
      <c r="C3612" t="str">
        <f>IFERROR(__xludf.DUMMYFUNCTION("""COMPUTED_VALUE"""),"NC")</f>
        <v>NC</v>
      </c>
      <c r="D3612" t="str">
        <f>IFERROR(__xludf.DUMMYFUNCTION("""COMPUTED_VALUE"""),"USA")</f>
        <v>USA</v>
      </c>
      <c r="E3612" s="188">
        <f>IFERROR(__xludf.DUMMYFUNCTION("""COMPUTED_VALUE"""),44476.0)</f>
        <v>44476</v>
      </c>
      <c r="N3612" t="str">
        <f>IFERROR(__xludf.DUMMYFUNCTION("""COMPUTED_VALUE"""),"Model 3 LR AWD")</f>
        <v>Model 3 LR AWD</v>
      </c>
      <c r="O3612" t="str">
        <f>IFERROR(__xludf.DUMMYFUNCTION("""COMPUTED_VALUE"""),"Midnight Silver Metallic")</f>
        <v>Midnight Silver Metallic</v>
      </c>
      <c r="P3612" t="str">
        <f>IFERROR(__xludf.DUMMYFUNCTION("""COMPUTED_VALUE"""),"18 inch")</f>
        <v>18 inch</v>
      </c>
      <c r="Q3612" t="str">
        <f>IFERROR(__xludf.DUMMYFUNCTION("""COMPUTED_VALUE"""),"All Black")</f>
        <v>All Black</v>
      </c>
      <c r="R3612" t="str">
        <f>IFERROR(__xludf.DUMMYFUNCTION("""COMPUTED_VALUE"""),"Autopilot included")</f>
        <v>Autopilot included</v>
      </c>
      <c r="T3612" t="str">
        <f>IFERROR(__xludf.DUMMYFUNCTION("""COMPUTED_VALUE"""),"E Golf")</f>
        <v>E Golf</v>
      </c>
      <c r="U3612" t="str">
        <f>IFERROR(__xludf.DUMMYFUNCTION("""COMPUTED_VALUE"""),"Supercharger V3 support")</f>
        <v>Supercharger V3 support</v>
      </c>
      <c r="V3612" t="str">
        <f>IFERROR(__xludf.DUMMYFUNCTION("""COMPUTED_VALUE"""),"Ventilated seats")</f>
        <v>Ventilated seats</v>
      </c>
      <c r="AH3612" s="189">
        <f>IFERROR(__xludf.DUMMYFUNCTION("""COMPUTED_VALUE"""),44486.218265393516)</f>
        <v>44486.21827</v>
      </c>
    </row>
    <row r="3613">
      <c r="A3613" t="str">
        <f>IFERROR(__xludf.DUMMYFUNCTION("""COMPUTED_VALUE"""),"sjhanlon")</f>
        <v>sjhanlon</v>
      </c>
      <c r="B3613" t="str">
        <f>IFERROR(__xludf.DUMMYFUNCTION("""COMPUTED_VALUE"""),"Barrie")</f>
        <v>Barrie</v>
      </c>
      <c r="C3613" t="str">
        <f>IFERROR(__xludf.DUMMYFUNCTION("""COMPUTED_VALUE"""),"ON")</f>
        <v>ON</v>
      </c>
      <c r="D3613" t="str">
        <f>IFERROR(__xludf.DUMMYFUNCTION("""COMPUTED_VALUE"""),"Canada")</f>
        <v>Canada</v>
      </c>
      <c r="E3613" s="188">
        <f>IFERROR(__xludf.DUMMYFUNCTION("""COMPUTED_VALUE"""),44484.0)</f>
        <v>44484</v>
      </c>
      <c r="N3613" t="str">
        <f>IFERROR(__xludf.DUMMYFUNCTION("""COMPUTED_VALUE"""),"Model 3 Performance")</f>
        <v>Model 3 Performance</v>
      </c>
      <c r="O3613" t="str">
        <f>IFERROR(__xludf.DUMMYFUNCTION("""COMPUTED_VALUE"""),"Solid Black")</f>
        <v>Solid Black</v>
      </c>
      <c r="P3613" t="str">
        <f>IFERROR(__xludf.DUMMYFUNCTION("""COMPUTED_VALUE"""),"20 inch")</f>
        <v>20 inch</v>
      </c>
      <c r="Q3613" t="str">
        <f>IFERROR(__xludf.DUMMYFUNCTION("""COMPUTED_VALUE"""),"All Black")</f>
        <v>All Black</v>
      </c>
      <c r="R3613" t="str">
        <f>IFERROR(__xludf.DUMMYFUNCTION("""COMPUTED_VALUE"""),"Full Self-Driving")</f>
        <v>Full Self-Driving</v>
      </c>
      <c r="S3613" t="str">
        <f>IFERROR(__xludf.DUMMYFUNCTION("""COMPUTED_VALUE"""),"Loan")</f>
        <v>Loan</v>
      </c>
      <c r="T3613" t="str">
        <f>IFERROR(__xludf.DUMMYFUNCTION("""COMPUTED_VALUE"""),"AMG 53")</f>
        <v>AMG 53</v>
      </c>
      <c r="U3613" t="str">
        <f>IFERROR(__xludf.DUMMYFUNCTION("""COMPUTED_VALUE"""),"Electric!")</f>
        <v>Electric!</v>
      </c>
      <c r="V3613" t="str">
        <f>IFERROR(__xludf.DUMMYFUNCTION("""COMPUTED_VALUE"""),"Head-up display")</f>
        <v>Head-up display</v>
      </c>
      <c r="AH3613" s="189">
        <f>IFERROR(__xludf.DUMMYFUNCTION("""COMPUTED_VALUE"""),44486.49954956018)</f>
        <v>44486.49955</v>
      </c>
    </row>
    <row r="3614">
      <c r="A3614" t="str">
        <f>IFERROR(__xludf.DUMMYFUNCTION("""COMPUTED_VALUE"""),"bnb5550")</f>
        <v>bnb5550</v>
      </c>
      <c r="B3614" t="str">
        <f>IFERROR(__xludf.DUMMYFUNCTION("""COMPUTED_VALUE"""),"Sacramento")</f>
        <v>Sacramento</v>
      </c>
      <c r="C3614" t="str">
        <f>IFERROR(__xludf.DUMMYFUNCTION("""COMPUTED_VALUE"""),"CA")</f>
        <v>CA</v>
      </c>
      <c r="D3614" t="str">
        <f>IFERROR(__xludf.DUMMYFUNCTION("""COMPUTED_VALUE"""),"USA")</f>
        <v>USA</v>
      </c>
      <c r="E3614" s="188">
        <f>IFERROR(__xludf.DUMMYFUNCTION("""COMPUTED_VALUE"""),44487.0)</f>
        <v>44487</v>
      </c>
      <c r="F3614" s="188">
        <f>IFERROR(__xludf.DUMMYFUNCTION("""COMPUTED_VALUE"""),44487.0)</f>
        <v>44487</v>
      </c>
      <c r="G3614" t="str">
        <f>IFERROR(__xludf.DUMMYFUNCTION("""COMPUTED_VALUE"""),"Manage order page (normal text)")</f>
        <v>Manage order page (normal text)</v>
      </c>
      <c r="J3614" s="188">
        <f>IFERROR(__xludf.DUMMYFUNCTION("""COMPUTED_VALUE"""),44492.0)</f>
        <v>44492</v>
      </c>
      <c r="K3614">
        <f>IFERROR(__xludf.DUMMYFUNCTION("""COMPUTED_VALUE"""),0.0)</f>
        <v>0</v>
      </c>
      <c r="L3614">
        <f>IFERROR(__xludf.DUMMYFUNCTION("""COMPUTED_VALUE"""),5.0)</f>
        <v>5</v>
      </c>
      <c r="M3614">
        <f>IFERROR(__xludf.DUMMYFUNCTION("""COMPUTED_VALUE"""),5.0)</f>
        <v>5</v>
      </c>
      <c r="N3614" t="str">
        <f>IFERROR(__xludf.DUMMYFUNCTION("""COMPUTED_VALUE"""),"Model 3 SR+")</f>
        <v>Model 3 SR+</v>
      </c>
      <c r="O3614" t="str">
        <f>IFERROR(__xludf.DUMMYFUNCTION("""COMPUTED_VALUE"""),"Midnight Silver Metallic")</f>
        <v>Midnight Silver Metallic</v>
      </c>
      <c r="P3614" t="str">
        <f>IFERROR(__xludf.DUMMYFUNCTION("""COMPUTED_VALUE"""),"19 inch")</f>
        <v>19 inch</v>
      </c>
      <c r="Q3614" t="str">
        <f>IFERROR(__xludf.DUMMYFUNCTION("""COMPUTED_VALUE"""),"All Black")</f>
        <v>All Black</v>
      </c>
      <c r="R3614" t="str">
        <f>IFERROR(__xludf.DUMMYFUNCTION("""COMPUTED_VALUE"""),"Autopilot included")</f>
        <v>Autopilot included</v>
      </c>
      <c r="S3614" t="str">
        <f>IFERROR(__xludf.DUMMYFUNCTION("""COMPUTED_VALUE"""),"Loan")</f>
        <v>Loan</v>
      </c>
      <c r="T3614" t="str">
        <f>IFERROR(__xludf.DUMMYFUNCTION("""COMPUTED_VALUE"""),"Mazda3")</f>
        <v>Mazda3</v>
      </c>
      <c r="U3614" t="str">
        <f>IFERROR(__xludf.DUMMYFUNCTION("""COMPUTED_VALUE"""),"Supercharger V3 support")</f>
        <v>Supercharger V3 support</v>
      </c>
      <c r="V3614" t="str">
        <f>IFERROR(__xludf.DUMMYFUNCTION("""COMPUTED_VALUE"""),"Apple CarPlay / Android Auto / SiriusXM Radio")</f>
        <v>Apple CarPlay / Android Auto / SiriusXM Radio</v>
      </c>
      <c r="AG3614" t="str">
        <f>IFERROR(__xludf.DUMMYFUNCTION("""COMPUTED_VALUE"""),"Existing inventory purchase ")</f>
        <v>Existing inventory purchase </v>
      </c>
      <c r="AH3614" s="189">
        <f>IFERROR(__xludf.DUMMYFUNCTION("""COMPUTED_VALUE"""),44488.906743831016)</f>
        <v>44488.90674</v>
      </c>
    </row>
    <row r="3615">
      <c r="A3615" t="str">
        <f>IFERROR(__xludf.DUMMYFUNCTION("""COMPUTED_VALUE"""),"shakenbake444")</f>
        <v>shakenbake444</v>
      </c>
      <c r="B3615" t="str">
        <f>IFERROR(__xludf.DUMMYFUNCTION("""COMPUTED_VALUE"""),"Corning")</f>
        <v>Corning</v>
      </c>
      <c r="D3615" t="str">
        <f>IFERROR(__xludf.DUMMYFUNCTION("""COMPUTED_VALUE"""),"USA")</f>
        <v>USA</v>
      </c>
      <c r="E3615" s="188">
        <f>IFERROR(__xludf.DUMMYFUNCTION("""COMPUTED_VALUE"""),44468.0)</f>
        <v>44468</v>
      </c>
      <c r="N3615" t="str">
        <f>IFERROR(__xludf.DUMMYFUNCTION("""COMPUTED_VALUE"""),"Model 3 LR AWD")</f>
        <v>Model 3 LR AWD</v>
      </c>
      <c r="O3615" t="str">
        <f>IFERROR(__xludf.DUMMYFUNCTION("""COMPUTED_VALUE"""),"Midnight Silver Metallic")</f>
        <v>Midnight Silver Metallic</v>
      </c>
      <c r="P3615" t="str">
        <f>IFERROR(__xludf.DUMMYFUNCTION("""COMPUTED_VALUE"""),"18 inch")</f>
        <v>18 inch</v>
      </c>
      <c r="Q3615" t="str">
        <f>IFERROR(__xludf.DUMMYFUNCTION("""COMPUTED_VALUE"""),"All Black")</f>
        <v>All Black</v>
      </c>
      <c r="R3615" t="str">
        <f>IFERROR(__xludf.DUMMYFUNCTION("""COMPUTED_VALUE"""),"Autopilot included")</f>
        <v>Autopilot included</v>
      </c>
      <c r="S3615" t="str">
        <f>IFERROR(__xludf.DUMMYFUNCTION("""COMPUTED_VALUE"""),"Cash")</f>
        <v>Cash</v>
      </c>
      <c r="AH3615" s="189">
        <f>IFERROR(__xludf.DUMMYFUNCTION("""COMPUTED_VALUE"""),44486.69543216436)</f>
        <v>44486.69543</v>
      </c>
    </row>
    <row r="3616">
      <c r="A3616" t="str">
        <f>IFERROR(__xludf.DUMMYFUNCTION("""COMPUTED_VALUE"""),"Gauntleteer")</f>
        <v>Gauntleteer</v>
      </c>
      <c r="B3616" t="str">
        <f>IFERROR(__xludf.DUMMYFUNCTION("""COMPUTED_VALUE"""),"Kailua Kona")</f>
        <v>Kailua Kona</v>
      </c>
      <c r="C3616" t="str">
        <f>IFERROR(__xludf.DUMMYFUNCTION("""COMPUTED_VALUE"""),"HI")</f>
        <v>HI</v>
      </c>
      <c r="D3616" t="str">
        <f>IFERROR(__xludf.DUMMYFUNCTION("""COMPUTED_VALUE"""),"USA")</f>
        <v>USA</v>
      </c>
      <c r="E3616" s="188">
        <f>IFERROR(__xludf.DUMMYFUNCTION("""COMPUTED_VALUE"""),44486.0)</f>
        <v>44486</v>
      </c>
      <c r="N3616" t="str">
        <f>IFERROR(__xludf.DUMMYFUNCTION("""COMPUTED_VALUE"""),"Model 3 LR AWD")</f>
        <v>Model 3 LR AWD</v>
      </c>
      <c r="O3616" t="str">
        <f>IFERROR(__xludf.DUMMYFUNCTION("""COMPUTED_VALUE"""),"Pearl White Multi-Coat")</f>
        <v>Pearl White Multi-Coat</v>
      </c>
      <c r="P3616" t="str">
        <f>IFERROR(__xludf.DUMMYFUNCTION("""COMPUTED_VALUE"""),"18 inch")</f>
        <v>18 inch</v>
      </c>
      <c r="Q3616" t="str">
        <f>IFERROR(__xludf.DUMMYFUNCTION("""COMPUTED_VALUE"""),"Black and White")</f>
        <v>Black and White</v>
      </c>
      <c r="R3616" t="str">
        <f>IFERROR(__xludf.DUMMYFUNCTION("""COMPUTED_VALUE"""),"Autopilot included")</f>
        <v>Autopilot included</v>
      </c>
      <c r="S3616" t="str">
        <f>IFERROR(__xludf.DUMMYFUNCTION("""COMPUTED_VALUE"""),"Cash")</f>
        <v>Cash</v>
      </c>
      <c r="T3616" t="str">
        <f>IFERROR(__xludf.DUMMYFUNCTION("""COMPUTED_VALUE"""),"Toyota Prius")</f>
        <v>Toyota Prius</v>
      </c>
      <c r="AH3616" s="189">
        <f>IFERROR(__xludf.DUMMYFUNCTION("""COMPUTED_VALUE"""),44486.84292326389)</f>
        <v>44486.84292</v>
      </c>
    </row>
    <row r="3617">
      <c r="A3617" t="str">
        <f>IFERROR(__xludf.DUMMYFUNCTION("""COMPUTED_VALUE"""),"Ray Mc")</f>
        <v>Ray Mc</v>
      </c>
      <c r="B3617" t="str">
        <f>IFERROR(__xludf.DUMMYFUNCTION("""COMPUTED_VALUE"""),"Gary")</f>
        <v>Gary</v>
      </c>
      <c r="C3617" t="str">
        <f>IFERROR(__xludf.DUMMYFUNCTION("""COMPUTED_VALUE"""),"IN")</f>
        <v>IN</v>
      </c>
      <c r="D3617" t="str">
        <f>IFERROR(__xludf.DUMMYFUNCTION("""COMPUTED_VALUE"""),"USA")</f>
        <v>USA</v>
      </c>
      <c r="E3617" s="188">
        <f>IFERROR(__xludf.DUMMYFUNCTION("""COMPUTED_VALUE"""),44448.0)</f>
        <v>44448</v>
      </c>
      <c r="N3617" t="str">
        <f>IFERROR(__xludf.DUMMYFUNCTION("""COMPUTED_VALUE"""),"Model 3 LR AWD")</f>
        <v>Model 3 LR AWD</v>
      </c>
      <c r="O3617" t="str">
        <f>IFERROR(__xludf.DUMMYFUNCTION("""COMPUTED_VALUE"""),"Red Multi-Coat")</f>
        <v>Red Multi-Coat</v>
      </c>
      <c r="P3617" t="str">
        <f>IFERROR(__xludf.DUMMYFUNCTION("""COMPUTED_VALUE"""),"18 inch")</f>
        <v>18 inch</v>
      </c>
      <c r="Q3617" t="str">
        <f>IFERROR(__xludf.DUMMYFUNCTION("""COMPUTED_VALUE"""),"All Black")</f>
        <v>All Black</v>
      </c>
      <c r="R3617" t="str">
        <f>IFERROR(__xludf.DUMMYFUNCTION("""COMPUTED_VALUE"""),"Autopilot included")</f>
        <v>Autopilot included</v>
      </c>
      <c r="S3617" t="str">
        <f>IFERROR(__xludf.DUMMYFUNCTION("""COMPUTED_VALUE"""),"Loan")</f>
        <v>Loan</v>
      </c>
      <c r="T3617" t="str">
        <f>IFERROR(__xludf.DUMMYFUNCTION("""COMPUTED_VALUE"""),"Saturn Vue 2004")</f>
        <v>Saturn Vue 2004</v>
      </c>
      <c r="U3617" t="str">
        <f>IFERROR(__xludf.DUMMYFUNCTION("""COMPUTED_VALUE"""),"Electric!")</f>
        <v>Electric!</v>
      </c>
      <c r="V3617" t="str">
        <f>IFERROR(__xludf.DUMMYFUNCTION("""COMPUTED_VALUE"""),"Air suspension")</f>
        <v>Air suspension</v>
      </c>
      <c r="W3617" t="str">
        <f>IFERROR(__xludf.DUMMYFUNCTION("""COMPUTED_VALUE"""),"Patience")</f>
        <v>Patience</v>
      </c>
      <c r="AH3617" s="189">
        <f>IFERROR(__xludf.DUMMYFUNCTION("""COMPUTED_VALUE"""),44487.364426134256)</f>
        <v>44487.36443</v>
      </c>
    </row>
    <row r="3618">
      <c r="A3618" t="str">
        <f>IFERROR(__xludf.DUMMYFUNCTION("""COMPUTED_VALUE"""),"skype909")</f>
        <v>skype909</v>
      </c>
      <c r="B3618" t="str">
        <f>IFERROR(__xludf.DUMMYFUNCTION("""COMPUTED_VALUE"""),"Kilkenny, Ireland")</f>
        <v>Kilkenny, Ireland</v>
      </c>
      <c r="D3618" t="str">
        <f>IFERROR(__xludf.DUMMYFUNCTION("""COMPUTED_VALUE"""),"Other (include country together with city)")</f>
        <v>Other (include country together with city)</v>
      </c>
      <c r="E3618" s="188">
        <f>IFERROR(__xludf.DUMMYFUNCTION("""COMPUTED_VALUE"""),44487.0)</f>
        <v>44487</v>
      </c>
      <c r="N3618" t="str">
        <f>IFERROR(__xludf.DUMMYFUNCTION("""COMPUTED_VALUE"""),"Model 3 SR+")</f>
        <v>Model 3 SR+</v>
      </c>
      <c r="O3618" t="str">
        <f>IFERROR(__xludf.DUMMYFUNCTION("""COMPUTED_VALUE"""),"Pearl White Multi-Coat")</f>
        <v>Pearl White Multi-Coat</v>
      </c>
      <c r="P3618" t="str">
        <f>IFERROR(__xludf.DUMMYFUNCTION("""COMPUTED_VALUE"""),"18 inch")</f>
        <v>18 inch</v>
      </c>
      <c r="Q3618" t="str">
        <f>IFERROR(__xludf.DUMMYFUNCTION("""COMPUTED_VALUE"""),"All Black")</f>
        <v>All Black</v>
      </c>
      <c r="R3618" t="str">
        <f>IFERROR(__xludf.DUMMYFUNCTION("""COMPUTED_VALUE"""),"Autopilot included")</f>
        <v>Autopilot included</v>
      </c>
      <c r="S3618" t="str">
        <f>IFERROR(__xludf.DUMMYFUNCTION("""COMPUTED_VALUE"""),"Loan")</f>
        <v>Loan</v>
      </c>
      <c r="T3618" t="str">
        <f>IFERROR(__xludf.DUMMYFUNCTION("""COMPUTED_VALUE"""),"BMW 3 Series")</f>
        <v>BMW 3 Series</v>
      </c>
      <c r="U3618" t="str">
        <f>IFERROR(__xludf.DUMMYFUNCTION("""COMPUTED_VALUE"""),"Electric!")</f>
        <v>Electric!</v>
      </c>
      <c r="V3618" t="str">
        <f>IFERROR(__xludf.DUMMYFUNCTION("""COMPUTED_VALUE"""),"Heated steering wheel")</f>
        <v>Heated steering wheel</v>
      </c>
      <c r="AH3618" s="189">
        <f>IFERROR(__xludf.DUMMYFUNCTION("""COMPUTED_VALUE"""),44487.60394082176)</f>
        <v>44487.60394</v>
      </c>
    </row>
    <row r="3619">
      <c r="A3619" t="str">
        <f>IFERROR(__xludf.DUMMYFUNCTION("""COMPUTED_VALUE"""),"ChaosZombie999")</f>
        <v>ChaosZombie999</v>
      </c>
      <c r="B3619" t="str">
        <f>IFERROR(__xludf.DUMMYFUNCTION("""COMPUTED_VALUE"""),"Dallas ")</f>
        <v>Dallas </v>
      </c>
      <c r="C3619" t="str">
        <f>IFERROR(__xludf.DUMMYFUNCTION("""COMPUTED_VALUE"""),"TX")</f>
        <v>TX</v>
      </c>
      <c r="D3619" t="str">
        <f>IFERROR(__xludf.DUMMYFUNCTION("""COMPUTED_VALUE"""),"USA")</f>
        <v>USA</v>
      </c>
      <c r="E3619" s="188">
        <f>IFERROR(__xludf.DUMMYFUNCTION("""COMPUTED_VALUE"""),44468.0)</f>
        <v>44468</v>
      </c>
      <c r="F3619" s="188">
        <f>IFERROR(__xludf.DUMMYFUNCTION("""COMPUTED_VALUE"""),44502.0)</f>
        <v>44502</v>
      </c>
      <c r="G3619" t="str">
        <f>IFERROR(__xludf.DUMMYFUNCTION("""COMPUTED_VALUE"""),"Email")</f>
        <v>Email</v>
      </c>
      <c r="H3619">
        <f>IFERROR(__xludf.DUMMYFUNCTION("""COMPUTED_VALUE"""),92568.0)</f>
        <v>92568</v>
      </c>
      <c r="J3619" s="188">
        <f>IFERROR(__xludf.DUMMYFUNCTION("""COMPUTED_VALUE"""),44508.0)</f>
        <v>44508</v>
      </c>
      <c r="K3619">
        <f>IFERROR(__xludf.DUMMYFUNCTION("""COMPUTED_VALUE"""),34.0)</f>
        <v>34</v>
      </c>
      <c r="L3619">
        <f>IFERROR(__xludf.DUMMYFUNCTION("""COMPUTED_VALUE"""),6.0)</f>
        <v>6</v>
      </c>
      <c r="M3619">
        <f>IFERROR(__xludf.DUMMYFUNCTION("""COMPUTED_VALUE"""),40.0)</f>
        <v>40</v>
      </c>
      <c r="N3619" t="str">
        <f>IFERROR(__xludf.DUMMYFUNCTION("""COMPUTED_VALUE"""),"Model 3 LR AWD")</f>
        <v>Model 3 LR AWD</v>
      </c>
      <c r="O3619" t="str">
        <f>IFERROR(__xludf.DUMMYFUNCTION("""COMPUTED_VALUE"""),"Deep Blue Metallic")</f>
        <v>Deep Blue Metallic</v>
      </c>
      <c r="P3619" t="str">
        <f>IFERROR(__xludf.DUMMYFUNCTION("""COMPUTED_VALUE"""),"18 inch")</f>
        <v>18 inch</v>
      </c>
      <c r="Q3619" t="str">
        <f>IFERROR(__xludf.DUMMYFUNCTION("""COMPUTED_VALUE"""),"Black and White")</f>
        <v>Black and White</v>
      </c>
      <c r="R3619" t="str">
        <f>IFERROR(__xludf.DUMMYFUNCTION("""COMPUTED_VALUE"""),"Autopilot included")</f>
        <v>Autopilot included</v>
      </c>
      <c r="S3619" t="str">
        <f>IFERROR(__xludf.DUMMYFUNCTION("""COMPUTED_VALUE"""),"Cash")</f>
        <v>Cash</v>
      </c>
      <c r="T3619" t="str">
        <f>IFERROR(__xludf.DUMMYFUNCTION("""COMPUTED_VALUE"""),"Land Rover Range Rover ")</f>
        <v>Land Rover Range Rover </v>
      </c>
      <c r="U3619" t="str">
        <f>IFERROR(__xludf.DUMMYFUNCTION("""COMPUTED_VALUE"""),"Electric!")</f>
        <v>Electric!</v>
      </c>
      <c r="V3619" t="str">
        <f>IFERROR(__xludf.DUMMYFUNCTION("""COMPUTED_VALUE"""),"The ability to ""current energy"" statistics (like range in kWh and voltage going to each motor etc etc)")</f>
        <v>The ability to "current energy" statistics (like range in kWh and voltage going to each motor etc etc)</v>
      </c>
      <c r="W3619" t="str">
        <f>IFERROR(__xludf.DUMMYFUNCTION("""COMPUTED_VALUE"""),"Choose the paintwork and interior colour that you know you will like before you place your order, as changing your order (i.e changing from Deep Blue Metallic to red) can potentially delay your order ")</f>
        <v>Choose the paintwork and interior colour that you know you will like before you place your order, as changing your order (i.e changing from Deep Blue Metallic to red) can potentially delay your order </v>
      </c>
      <c r="AF3619" t="str">
        <f>IFERROR(__xludf.DUMMYFUNCTION("""COMPUTED_VALUE"""),"No. I took delivery of the first car Tesla was able to deliver.")</f>
        <v>No. I took delivery of the first car Tesla was able to deliver.</v>
      </c>
      <c r="AH3619" s="189">
        <f>IFERROR(__xludf.DUMMYFUNCTION("""COMPUTED_VALUE"""),44502.79031159722)</f>
        <v>44502.79031</v>
      </c>
    </row>
    <row r="3620">
      <c r="A3620" t="str">
        <f>IFERROR(__xludf.DUMMYFUNCTION("""COMPUTED_VALUE"""),"rzambrano")</f>
        <v>rzambrano</v>
      </c>
      <c r="B3620" t="str">
        <f>IFERROR(__xludf.DUMMYFUNCTION("""COMPUTED_VALUE"""),"Los Angeles")</f>
        <v>Los Angeles</v>
      </c>
      <c r="C3620" t="str">
        <f>IFERROR(__xludf.DUMMYFUNCTION("""COMPUTED_VALUE"""),"CA")</f>
        <v>CA</v>
      </c>
      <c r="D3620" t="str">
        <f>IFERROR(__xludf.DUMMYFUNCTION("""COMPUTED_VALUE"""),"USA")</f>
        <v>USA</v>
      </c>
      <c r="E3620" s="188">
        <f>IFERROR(__xludf.DUMMYFUNCTION("""COMPUTED_VALUE"""),44469.0)</f>
        <v>44469</v>
      </c>
      <c r="N3620" t="str">
        <f>IFERROR(__xludf.DUMMYFUNCTION("""COMPUTED_VALUE"""),"Model 3 SR+")</f>
        <v>Model 3 SR+</v>
      </c>
      <c r="O3620" t="str">
        <f>IFERROR(__xludf.DUMMYFUNCTION("""COMPUTED_VALUE"""),"Pearl White Multi-Coat")</f>
        <v>Pearl White Multi-Coat</v>
      </c>
      <c r="P3620" t="str">
        <f>IFERROR(__xludf.DUMMYFUNCTION("""COMPUTED_VALUE"""),"18 inch")</f>
        <v>18 inch</v>
      </c>
      <c r="Q3620" t="str">
        <f>IFERROR(__xludf.DUMMYFUNCTION("""COMPUTED_VALUE"""),"All Black")</f>
        <v>All Black</v>
      </c>
      <c r="R3620" t="str">
        <f>IFERROR(__xludf.DUMMYFUNCTION("""COMPUTED_VALUE"""),"Autopilot included")</f>
        <v>Autopilot included</v>
      </c>
      <c r="S3620" t="str">
        <f>IFERROR(__xludf.DUMMYFUNCTION("""COMPUTED_VALUE"""),"Cash")</f>
        <v>Cash</v>
      </c>
      <c r="T3620" t="str">
        <f>IFERROR(__xludf.DUMMYFUNCTION("""COMPUTED_VALUE"""),"Model 3 will be my first car!")</f>
        <v>Model 3 will be my first car!</v>
      </c>
      <c r="U3620" t="str">
        <f>IFERROR(__xludf.DUMMYFUNCTION("""COMPUTED_VALUE"""),"Electric!")</f>
        <v>Electric!</v>
      </c>
      <c r="V3620" t="str">
        <f>IFERROR(__xludf.DUMMYFUNCTION("""COMPUTED_VALUE"""),"Apple CarPlay / Android Auto / SiriusXM Radio")</f>
        <v>Apple CarPlay / Android Auto / SiriusXM Radio</v>
      </c>
      <c r="AH3620" s="189">
        <f>IFERROR(__xludf.DUMMYFUNCTION("""COMPUTED_VALUE"""),44487.835379895834)</f>
        <v>44487.83538</v>
      </c>
    </row>
    <row r="3621">
      <c r="A3621" t="str">
        <f>IFERROR(__xludf.DUMMYFUNCTION("""COMPUTED_VALUE"""),"Napoleon1981")</f>
        <v>Napoleon1981</v>
      </c>
      <c r="B3621" t="str">
        <f>IFERROR(__xludf.DUMMYFUNCTION("""COMPUTED_VALUE"""),"Lake Villa")</f>
        <v>Lake Villa</v>
      </c>
      <c r="C3621" t="str">
        <f>IFERROR(__xludf.DUMMYFUNCTION("""COMPUTED_VALUE"""),"IL")</f>
        <v>IL</v>
      </c>
      <c r="D3621" t="str">
        <f>IFERROR(__xludf.DUMMYFUNCTION("""COMPUTED_VALUE"""),"USA")</f>
        <v>USA</v>
      </c>
      <c r="E3621" s="188">
        <f>IFERROR(__xludf.DUMMYFUNCTION("""COMPUTED_VALUE"""),44484.0)</f>
        <v>44484</v>
      </c>
      <c r="N3621" t="str">
        <f>IFERROR(__xludf.DUMMYFUNCTION("""COMPUTED_VALUE"""),"Model 3 Performance")</f>
        <v>Model 3 Performance</v>
      </c>
      <c r="O3621" t="str">
        <f>IFERROR(__xludf.DUMMYFUNCTION("""COMPUTED_VALUE"""),"Red Multi-Coat")</f>
        <v>Red Multi-Coat</v>
      </c>
      <c r="P3621" t="str">
        <f>IFERROR(__xludf.DUMMYFUNCTION("""COMPUTED_VALUE"""),"20 inch")</f>
        <v>20 inch</v>
      </c>
      <c r="Q3621" t="str">
        <f>IFERROR(__xludf.DUMMYFUNCTION("""COMPUTED_VALUE"""),"All Black")</f>
        <v>All Black</v>
      </c>
      <c r="R3621" t="str">
        <f>IFERROR(__xludf.DUMMYFUNCTION("""COMPUTED_VALUE"""),"Autopilot included")</f>
        <v>Autopilot included</v>
      </c>
      <c r="S3621" t="str">
        <f>IFERROR(__xludf.DUMMYFUNCTION("""COMPUTED_VALUE"""),"Loan")</f>
        <v>Loan</v>
      </c>
      <c r="T3621" t="str">
        <f>IFERROR(__xludf.DUMMYFUNCTION("""COMPUTED_VALUE"""),"Tesla Model 3")</f>
        <v>Tesla Model 3</v>
      </c>
      <c r="U3621" t="str">
        <f>IFERROR(__xludf.DUMMYFUNCTION("""COMPUTED_VALUE"""),"Electric!")</f>
        <v>Electric!</v>
      </c>
      <c r="V3621" t="str">
        <f>IFERROR(__xludf.DUMMYFUNCTION("""COMPUTED_VALUE"""),"Heated steering wheel")</f>
        <v>Heated steering wheel</v>
      </c>
      <c r="AH3621" s="189">
        <f>IFERROR(__xludf.DUMMYFUNCTION("""COMPUTED_VALUE"""),44488.5510078125)</f>
        <v>44488.55101</v>
      </c>
    </row>
    <row r="3622">
      <c r="A3622" t="str">
        <f>IFERROR(__xludf.DUMMYFUNCTION("""COMPUTED_VALUE"""),"differentphase")</f>
        <v>differentphase</v>
      </c>
      <c r="B3622" t="str">
        <f>IFERROR(__xludf.DUMMYFUNCTION("""COMPUTED_VALUE"""),"Philadelphia")</f>
        <v>Philadelphia</v>
      </c>
      <c r="C3622" t="str">
        <f>IFERROR(__xludf.DUMMYFUNCTION("""COMPUTED_VALUE"""),"PA")</f>
        <v>PA</v>
      </c>
      <c r="D3622" t="str">
        <f>IFERROR(__xludf.DUMMYFUNCTION("""COMPUTED_VALUE"""),"USA")</f>
        <v>USA</v>
      </c>
      <c r="E3622" s="188">
        <f>IFERROR(__xludf.DUMMYFUNCTION("""COMPUTED_VALUE"""),44448.0)</f>
        <v>44448</v>
      </c>
      <c r="F3622" s="188">
        <f>IFERROR(__xludf.DUMMYFUNCTION("""COMPUTED_VALUE"""),44506.0)</f>
        <v>44506</v>
      </c>
      <c r="G3622" t="str">
        <f>IFERROR(__xludf.DUMMYFUNCTION("""COMPUTED_VALUE"""),"Manage order page (normal text)")</f>
        <v>Manage order page (normal text)</v>
      </c>
      <c r="H3622">
        <f>IFERROR(__xludf.DUMMYFUNCTION("""COMPUTED_VALUE"""),105165.0)</f>
        <v>105165</v>
      </c>
      <c r="K3622">
        <f>IFERROR(__xludf.DUMMYFUNCTION("""COMPUTED_VALUE"""),58.0)</f>
        <v>58</v>
      </c>
      <c r="N3622" t="str">
        <f>IFERROR(__xludf.DUMMYFUNCTION("""COMPUTED_VALUE"""),"Model 3 LR AWD")</f>
        <v>Model 3 LR AWD</v>
      </c>
      <c r="O3622" t="str">
        <f>IFERROR(__xludf.DUMMYFUNCTION("""COMPUTED_VALUE"""),"Pearl White Multi-Coat")</f>
        <v>Pearl White Multi-Coat</v>
      </c>
      <c r="P3622" t="str">
        <f>IFERROR(__xludf.DUMMYFUNCTION("""COMPUTED_VALUE"""),"18 inch")</f>
        <v>18 inch</v>
      </c>
      <c r="Q3622" t="str">
        <f>IFERROR(__xludf.DUMMYFUNCTION("""COMPUTED_VALUE"""),"All Black")</f>
        <v>All Black</v>
      </c>
      <c r="R3622" t="str">
        <f>IFERROR(__xludf.DUMMYFUNCTION("""COMPUTED_VALUE"""),"Autopilot included")</f>
        <v>Autopilot included</v>
      </c>
      <c r="AH3622" s="189">
        <f>IFERROR(__xludf.DUMMYFUNCTION("""COMPUTED_VALUE"""),44506.30124719907)</f>
        <v>44506.30125</v>
      </c>
    </row>
    <row r="3623">
      <c r="A3623" t="str">
        <f>IFERROR(__xludf.DUMMYFUNCTION("""COMPUTED_VALUE"""),"ah346")</f>
        <v>ah346</v>
      </c>
      <c r="B3623" t="str">
        <f>IFERROR(__xludf.DUMMYFUNCTION("""COMPUTED_VALUE"""),"San Diego")</f>
        <v>San Diego</v>
      </c>
      <c r="C3623" t="str">
        <f>IFERROR(__xludf.DUMMYFUNCTION("""COMPUTED_VALUE"""),"CA")</f>
        <v>CA</v>
      </c>
      <c r="D3623" t="str">
        <f>IFERROR(__xludf.DUMMYFUNCTION("""COMPUTED_VALUE"""),"USA")</f>
        <v>USA</v>
      </c>
      <c r="E3623" s="188">
        <f>IFERROR(__xludf.DUMMYFUNCTION("""COMPUTED_VALUE"""),44407.0)</f>
        <v>44407</v>
      </c>
      <c r="F3623" s="188">
        <f>IFERROR(__xludf.DUMMYFUNCTION("""COMPUTED_VALUE"""),44495.0)</f>
        <v>44495</v>
      </c>
      <c r="G3623" t="str">
        <f>IFERROR(__xludf.DUMMYFUNCTION("""COMPUTED_VALUE"""),"Manage order page (normal text)")</f>
        <v>Manage order page (normal text)</v>
      </c>
      <c r="J3623" s="188">
        <f>IFERROR(__xludf.DUMMYFUNCTION("""COMPUTED_VALUE"""),44498.0)</f>
        <v>44498</v>
      </c>
      <c r="K3623">
        <f>IFERROR(__xludf.DUMMYFUNCTION("""COMPUTED_VALUE"""),88.0)</f>
        <v>88</v>
      </c>
      <c r="L3623">
        <f>IFERROR(__xludf.DUMMYFUNCTION("""COMPUTED_VALUE"""),3.0)</f>
        <v>3</v>
      </c>
      <c r="M3623">
        <f>IFERROR(__xludf.DUMMYFUNCTION("""COMPUTED_VALUE"""),91.0)</f>
        <v>91</v>
      </c>
      <c r="N3623" t="str">
        <f>IFERROR(__xludf.DUMMYFUNCTION("""COMPUTED_VALUE"""),"Model 3 SR+")</f>
        <v>Model 3 SR+</v>
      </c>
      <c r="O3623" t="str">
        <f>IFERROR(__xludf.DUMMYFUNCTION("""COMPUTED_VALUE"""),"Pearl White Multi-Coat")</f>
        <v>Pearl White Multi-Coat</v>
      </c>
      <c r="P3623" t="str">
        <f>IFERROR(__xludf.DUMMYFUNCTION("""COMPUTED_VALUE"""),"18 inch")</f>
        <v>18 inch</v>
      </c>
      <c r="Q3623" t="str">
        <f>IFERROR(__xludf.DUMMYFUNCTION("""COMPUTED_VALUE"""),"All Black")</f>
        <v>All Black</v>
      </c>
      <c r="R3623" t="str">
        <f>IFERROR(__xludf.DUMMYFUNCTION("""COMPUTED_VALUE"""),"Autopilot included")</f>
        <v>Autopilot included</v>
      </c>
      <c r="S3623" t="str">
        <f>IFERROR(__xludf.DUMMYFUNCTION("""COMPUTED_VALUE"""),"Loan")</f>
        <v>Loan</v>
      </c>
      <c r="T3623" t="str">
        <f>IFERROR(__xludf.DUMMYFUNCTION("""COMPUTED_VALUE"""),"Model 3 will be my first car!")</f>
        <v>Model 3 will be my first car!</v>
      </c>
      <c r="U3623" t="str">
        <f>IFERROR(__xludf.DUMMYFUNCTION("""COMPUTED_VALUE"""),"Electric!")</f>
        <v>Electric!</v>
      </c>
      <c r="V3623" t="str">
        <f>IFERROR(__xludf.DUMMYFUNCTION("""COMPUTED_VALUE"""),"Dashboard")</f>
        <v>Dashboard</v>
      </c>
      <c r="AH3623" s="189">
        <f>IFERROR(__xludf.DUMMYFUNCTION("""COMPUTED_VALUE"""),44495.81994693287)</f>
        <v>44495.81995</v>
      </c>
    </row>
    <row r="3624">
      <c r="A3624" t="str">
        <f>IFERROR(__xludf.DUMMYFUNCTION("""COMPUTED_VALUE"""),"amace")</f>
        <v>amace</v>
      </c>
      <c r="B3624" t="str">
        <f>IFERROR(__xludf.DUMMYFUNCTION("""COMPUTED_VALUE"""),"Hickory")</f>
        <v>Hickory</v>
      </c>
      <c r="C3624" t="str">
        <f>IFERROR(__xludf.DUMMYFUNCTION("""COMPUTED_VALUE"""),"NC")</f>
        <v>NC</v>
      </c>
      <c r="D3624" t="str">
        <f>IFERROR(__xludf.DUMMYFUNCTION("""COMPUTED_VALUE"""),"USA")</f>
        <v>USA</v>
      </c>
      <c r="E3624" s="188">
        <f>IFERROR(__xludf.DUMMYFUNCTION("""COMPUTED_VALUE"""),44473.0)</f>
        <v>44473</v>
      </c>
      <c r="J3624" s="188">
        <f>IFERROR(__xludf.DUMMYFUNCTION("""COMPUTED_VALUE"""),44500.0)</f>
        <v>44500</v>
      </c>
      <c r="M3624">
        <f>IFERROR(__xludf.DUMMYFUNCTION("""COMPUTED_VALUE"""),27.0)</f>
        <v>27</v>
      </c>
      <c r="N3624" t="str">
        <f>IFERROR(__xludf.DUMMYFUNCTION("""COMPUTED_VALUE"""),"Model 3 Performance")</f>
        <v>Model 3 Performance</v>
      </c>
      <c r="O3624" t="str">
        <f>IFERROR(__xludf.DUMMYFUNCTION("""COMPUTED_VALUE"""),"Pearl White Multi-Coat")</f>
        <v>Pearl White Multi-Coat</v>
      </c>
      <c r="P3624" t="str">
        <f>IFERROR(__xludf.DUMMYFUNCTION("""COMPUTED_VALUE"""),"20 inch")</f>
        <v>20 inch</v>
      </c>
      <c r="Q3624" t="str">
        <f>IFERROR(__xludf.DUMMYFUNCTION("""COMPUTED_VALUE"""),"Black and White")</f>
        <v>Black and White</v>
      </c>
      <c r="R3624" t="str">
        <f>IFERROR(__xludf.DUMMYFUNCTION("""COMPUTED_VALUE"""),"Autopilot included")</f>
        <v>Autopilot included</v>
      </c>
      <c r="S3624" t="str">
        <f>IFERROR(__xludf.DUMMYFUNCTION("""COMPUTED_VALUE"""),"Loan")</f>
        <v>Loan</v>
      </c>
      <c r="U3624" t="str">
        <f>IFERROR(__xludf.DUMMYFUNCTION("""COMPUTED_VALUE"""),"Electric!")</f>
        <v>Electric!</v>
      </c>
      <c r="V3624" t="str">
        <f>IFERROR(__xludf.DUMMYFUNCTION("""COMPUTED_VALUE"""),"Apple CarPlay / Android Auto / SiriusXM Radio")</f>
        <v>Apple CarPlay / Android Auto / SiriusXM Radio</v>
      </c>
      <c r="AH3624" s="189">
        <f>IFERROR(__xludf.DUMMYFUNCTION("""COMPUTED_VALUE"""),44488.81898327546)</f>
        <v>44488.81898</v>
      </c>
    </row>
    <row r="3625">
      <c r="A3625" t="str">
        <f>IFERROR(__xludf.DUMMYFUNCTION("""COMPUTED_VALUE"""),"Kambob")</f>
        <v>Kambob</v>
      </c>
      <c r="B3625" t="str">
        <f>IFERROR(__xludf.DUMMYFUNCTION("""COMPUTED_VALUE"""),"Los Angeles")</f>
        <v>Los Angeles</v>
      </c>
      <c r="C3625" t="str">
        <f>IFERROR(__xludf.DUMMYFUNCTION("""COMPUTED_VALUE"""),"CA")</f>
        <v>CA</v>
      </c>
      <c r="D3625" t="str">
        <f>IFERROR(__xludf.DUMMYFUNCTION("""COMPUTED_VALUE"""),"USA")</f>
        <v>USA</v>
      </c>
      <c r="E3625" s="188">
        <f>IFERROR(__xludf.DUMMYFUNCTION("""COMPUTED_VALUE"""),44424.0)</f>
        <v>44424</v>
      </c>
      <c r="N3625" t="str">
        <f>IFERROR(__xludf.DUMMYFUNCTION("""COMPUTED_VALUE"""),"Model 3 SR+")</f>
        <v>Model 3 SR+</v>
      </c>
      <c r="O3625" t="str">
        <f>IFERROR(__xludf.DUMMYFUNCTION("""COMPUTED_VALUE"""),"Deep Blue Metallic")</f>
        <v>Deep Blue Metallic</v>
      </c>
      <c r="P3625" t="str">
        <f>IFERROR(__xludf.DUMMYFUNCTION("""COMPUTED_VALUE"""),"18 inch")</f>
        <v>18 inch</v>
      </c>
      <c r="Q3625" t="str">
        <f>IFERROR(__xludf.DUMMYFUNCTION("""COMPUTED_VALUE"""),"All Black")</f>
        <v>All Black</v>
      </c>
      <c r="R3625" t="str">
        <f>IFERROR(__xludf.DUMMYFUNCTION("""COMPUTED_VALUE"""),"Autopilot included")</f>
        <v>Autopilot included</v>
      </c>
      <c r="S3625" t="str">
        <f>IFERROR(__xludf.DUMMYFUNCTION("""COMPUTED_VALUE"""),"Lease")</f>
        <v>Lease</v>
      </c>
      <c r="T3625" t="str">
        <f>IFERROR(__xludf.DUMMYFUNCTION("""COMPUTED_VALUE"""),"Model 3 will be my first car!")</f>
        <v>Model 3 will be my first car!</v>
      </c>
      <c r="AH3625" s="189">
        <f>IFERROR(__xludf.DUMMYFUNCTION("""COMPUTED_VALUE"""),44488.87651111111)</f>
        <v>44488.87651</v>
      </c>
    </row>
    <row r="3626">
      <c r="A3626" t="str">
        <f>IFERROR(__xludf.DUMMYFUNCTION("""COMPUTED_VALUE"""),"whiskeylover")</f>
        <v>whiskeylover</v>
      </c>
      <c r="C3626" t="str">
        <f>IFERROR(__xludf.DUMMYFUNCTION("""COMPUTED_VALUE"""),"MA")</f>
        <v>MA</v>
      </c>
      <c r="D3626" t="str">
        <f>IFERROR(__xludf.DUMMYFUNCTION("""COMPUTED_VALUE"""),"USA")</f>
        <v>USA</v>
      </c>
      <c r="E3626" s="188">
        <f>IFERROR(__xludf.DUMMYFUNCTION("""COMPUTED_VALUE"""),44477.0)</f>
        <v>44477</v>
      </c>
      <c r="N3626" t="str">
        <f>IFERROR(__xludf.DUMMYFUNCTION("""COMPUTED_VALUE"""),"Model 3 LR AWD")</f>
        <v>Model 3 LR AWD</v>
      </c>
      <c r="O3626" t="str">
        <f>IFERROR(__xludf.DUMMYFUNCTION("""COMPUTED_VALUE"""),"Deep Blue Metallic")</f>
        <v>Deep Blue Metallic</v>
      </c>
      <c r="P3626" t="str">
        <f>IFERROR(__xludf.DUMMYFUNCTION("""COMPUTED_VALUE"""),"18 inch")</f>
        <v>18 inch</v>
      </c>
      <c r="Q3626" t="str">
        <f>IFERROR(__xludf.DUMMYFUNCTION("""COMPUTED_VALUE"""),"Black and White")</f>
        <v>Black and White</v>
      </c>
      <c r="R3626" t="str">
        <f>IFERROR(__xludf.DUMMYFUNCTION("""COMPUTED_VALUE"""),"Full Self-Driving")</f>
        <v>Full Self-Driving</v>
      </c>
      <c r="S3626" t="str">
        <f>IFERROR(__xludf.DUMMYFUNCTION("""COMPUTED_VALUE"""),"Loan")</f>
        <v>Loan</v>
      </c>
      <c r="U3626" t="str">
        <f>IFERROR(__xludf.DUMMYFUNCTION("""COMPUTED_VALUE"""),"Autopilot")</f>
        <v>Autopilot</v>
      </c>
      <c r="V3626" t="str">
        <f>IFERROR(__xludf.DUMMYFUNCTION("""COMPUTED_VALUE"""),"Apple CarPlay / Android Auto / SiriusXM Radio")</f>
        <v>Apple CarPlay / Android Auto / SiriusXM Radio</v>
      </c>
      <c r="AH3626" s="189">
        <f>IFERROR(__xludf.DUMMYFUNCTION("""COMPUTED_VALUE"""),44489.032445034725)</f>
        <v>44489.03245</v>
      </c>
    </row>
    <row r="3627">
      <c r="A3627" t="str">
        <f>IFERROR(__xludf.DUMMYFUNCTION("""COMPUTED_VALUE"""),"Julien")</f>
        <v>Julien</v>
      </c>
      <c r="D3627" t="str">
        <f>IFERROR(__xludf.DUMMYFUNCTION("""COMPUTED_VALUE"""),"Switzerland")</f>
        <v>Switzerland</v>
      </c>
      <c r="E3627" s="188">
        <f>IFERROR(__xludf.DUMMYFUNCTION("""COMPUTED_VALUE"""),44484.0)</f>
        <v>44484</v>
      </c>
      <c r="F3627" s="188">
        <f>IFERROR(__xludf.DUMMYFUNCTION("""COMPUTED_VALUE"""),44494.0)</f>
        <v>44494</v>
      </c>
      <c r="G3627" t="str">
        <f>IFERROR(__xludf.DUMMYFUNCTION("""COMPUTED_VALUE"""),"Manage order page (normal text)")</f>
        <v>Manage order page (normal text)</v>
      </c>
      <c r="K3627">
        <f>IFERROR(__xludf.DUMMYFUNCTION("""COMPUTED_VALUE"""),10.0)</f>
        <v>10</v>
      </c>
      <c r="N3627" t="str">
        <f>IFERROR(__xludf.DUMMYFUNCTION("""COMPUTED_VALUE"""),"Model 3 LR AWD")</f>
        <v>Model 3 LR AWD</v>
      </c>
      <c r="O3627" t="str">
        <f>IFERROR(__xludf.DUMMYFUNCTION("""COMPUTED_VALUE"""),"Midnight Silver Metallic")</f>
        <v>Midnight Silver Metallic</v>
      </c>
      <c r="P3627" t="str">
        <f>IFERROR(__xludf.DUMMYFUNCTION("""COMPUTED_VALUE"""),"18 inch")</f>
        <v>18 inch</v>
      </c>
      <c r="Q3627" t="str">
        <f>IFERROR(__xludf.DUMMYFUNCTION("""COMPUTED_VALUE"""),"All Black")</f>
        <v>All Black</v>
      </c>
      <c r="R3627" t="str">
        <f>IFERROR(__xludf.DUMMYFUNCTION("""COMPUTED_VALUE"""),"Full Self-Driving")</f>
        <v>Full Self-Driving</v>
      </c>
      <c r="S3627" t="str">
        <f>IFERROR(__xludf.DUMMYFUNCTION("""COMPUTED_VALUE"""),"Lease")</f>
        <v>Lease</v>
      </c>
      <c r="U3627" t="str">
        <f>IFERROR(__xludf.DUMMYFUNCTION("""COMPUTED_VALUE"""),"Tesla brand image")</f>
        <v>Tesla brand image</v>
      </c>
      <c r="AH3627" s="189">
        <f>IFERROR(__xludf.DUMMYFUNCTION("""COMPUTED_VALUE"""),44494.50602217593)</f>
        <v>44494.50602</v>
      </c>
    </row>
    <row r="3628">
      <c r="A3628" t="str">
        <f>IFERROR(__xludf.DUMMYFUNCTION("""COMPUTED_VALUE"""),"bretth")</f>
        <v>bretth</v>
      </c>
      <c r="B3628" t="str">
        <f>IFERROR(__xludf.DUMMYFUNCTION("""COMPUTED_VALUE"""),"Newport Beach")</f>
        <v>Newport Beach</v>
      </c>
      <c r="C3628" t="str">
        <f>IFERROR(__xludf.DUMMYFUNCTION("""COMPUTED_VALUE"""),"CA")</f>
        <v>CA</v>
      </c>
      <c r="D3628" t="str">
        <f>IFERROR(__xludf.DUMMYFUNCTION("""COMPUTED_VALUE"""),"USA")</f>
        <v>USA</v>
      </c>
      <c r="E3628" s="188">
        <f>IFERROR(__xludf.DUMMYFUNCTION("""COMPUTED_VALUE"""),44487.0)</f>
        <v>44487</v>
      </c>
      <c r="N3628" t="str">
        <f>IFERROR(__xludf.DUMMYFUNCTION("""COMPUTED_VALUE"""),"Model 3 LR AWD")</f>
        <v>Model 3 LR AWD</v>
      </c>
      <c r="O3628" t="str">
        <f>IFERROR(__xludf.DUMMYFUNCTION("""COMPUTED_VALUE"""),"Midnight Silver Metallic")</f>
        <v>Midnight Silver Metallic</v>
      </c>
      <c r="P3628" t="str">
        <f>IFERROR(__xludf.DUMMYFUNCTION("""COMPUTED_VALUE"""),"18 inch")</f>
        <v>18 inch</v>
      </c>
      <c r="Q3628" t="str">
        <f>IFERROR(__xludf.DUMMYFUNCTION("""COMPUTED_VALUE"""),"Black and White")</f>
        <v>Black and White</v>
      </c>
      <c r="R3628" t="str">
        <f>IFERROR(__xludf.DUMMYFUNCTION("""COMPUTED_VALUE"""),"Autopilot included")</f>
        <v>Autopilot included</v>
      </c>
      <c r="S3628" t="str">
        <f>IFERROR(__xludf.DUMMYFUNCTION("""COMPUTED_VALUE"""),"Cash")</f>
        <v>Cash</v>
      </c>
      <c r="T3628" t="str">
        <f>IFERROR(__xludf.DUMMYFUNCTION("""COMPUTED_VALUE"""),"Tesla Model 3")</f>
        <v>Tesla Model 3</v>
      </c>
      <c r="U3628" t="str">
        <f>IFERROR(__xludf.DUMMYFUNCTION("""COMPUTED_VALUE"""),"Electric!")</f>
        <v>Electric!</v>
      </c>
      <c r="V3628" t="str">
        <f>IFERROR(__xludf.DUMMYFUNCTION("""COMPUTED_VALUE"""),"Apple CarPlay / Android Auto / SiriusXM Radio")</f>
        <v>Apple CarPlay / Android Auto / SiriusXM Radio</v>
      </c>
      <c r="AH3628" s="189">
        <f>IFERROR(__xludf.DUMMYFUNCTION("""COMPUTED_VALUE"""),44489.78332957176)</f>
        <v>44489.78333</v>
      </c>
    </row>
    <row r="3629">
      <c r="A3629" t="str">
        <f>IFERROR(__xludf.DUMMYFUNCTION("""COMPUTED_VALUE"""),"Meshio")</f>
        <v>Meshio</v>
      </c>
      <c r="B3629" t="str">
        <f>IFERROR(__xludf.DUMMYFUNCTION("""COMPUTED_VALUE"""),"Telford")</f>
        <v>Telford</v>
      </c>
      <c r="D3629" t="str">
        <f>IFERROR(__xludf.DUMMYFUNCTION("""COMPUTED_VALUE"""),"United Kingdom")</f>
        <v>United Kingdom</v>
      </c>
      <c r="E3629" s="188">
        <f>IFERROR(__xludf.DUMMYFUNCTION("""COMPUTED_VALUE"""),44489.0)</f>
        <v>44489</v>
      </c>
      <c r="N3629" t="str">
        <f>IFERROR(__xludf.DUMMYFUNCTION("""COMPUTED_VALUE"""),"Model 3 LR AWD")</f>
        <v>Model 3 LR AWD</v>
      </c>
      <c r="O3629" t="str">
        <f>IFERROR(__xludf.DUMMYFUNCTION("""COMPUTED_VALUE"""),"Deep Blue Metallic")</f>
        <v>Deep Blue Metallic</v>
      </c>
      <c r="P3629" t="str">
        <f>IFERROR(__xludf.DUMMYFUNCTION("""COMPUTED_VALUE"""),"19 inch")</f>
        <v>19 inch</v>
      </c>
      <c r="Q3629" t="str">
        <f>IFERROR(__xludf.DUMMYFUNCTION("""COMPUTED_VALUE"""),"All Black")</f>
        <v>All Black</v>
      </c>
      <c r="R3629" t="str">
        <f>IFERROR(__xludf.DUMMYFUNCTION("""COMPUTED_VALUE"""),"Autopilot included")</f>
        <v>Autopilot included</v>
      </c>
      <c r="S3629" t="str">
        <f>IFERROR(__xludf.DUMMYFUNCTION("""COMPUTED_VALUE"""),"Lease")</f>
        <v>Lease</v>
      </c>
      <c r="T3629" t="str">
        <f>IFERROR(__xludf.DUMMYFUNCTION("""COMPUTED_VALUE"""),"Audi A5 sportback")</f>
        <v>Audi A5 sportback</v>
      </c>
      <c r="U3629" t="str">
        <f>IFERROR(__xludf.DUMMYFUNCTION("""COMPUTED_VALUE"""),"Autopilot")</f>
        <v>Autopilot</v>
      </c>
      <c r="V3629" t="str">
        <f>IFERROR(__xludf.DUMMYFUNCTION("""COMPUTED_VALUE"""),"Apple CarPlay / Android Auto / SiriusXM Radio")</f>
        <v>Apple CarPlay / Android Auto / SiriusXM Radio</v>
      </c>
      <c r="AH3629" s="189">
        <f>IFERROR(__xludf.DUMMYFUNCTION("""COMPUTED_VALUE"""),44490.37852189815)</f>
        <v>44490.37852</v>
      </c>
    </row>
    <row r="3630">
      <c r="A3630" t="str">
        <f>IFERROR(__xludf.DUMMYFUNCTION("""COMPUTED_VALUE"""),"erackpenguyen")</f>
        <v>erackpenguyen</v>
      </c>
      <c r="B3630" t="str">
        <f>IFERROR(__xludf.DUMMYFUNCTION("""COMPUTED_VALUE"""),"Las Vegas")</f>
        <v>Las Vegas</v>
      </c>
      <c r="C3630" t="str">
        <f>IFERROR(__xludf.DUMMYFUNCTION("""COMPUTED_VALUE"""),"NV")</f>
        <v>NV</v>
      </c>
      <c r="D3630" t="str">
        <f>IFERROR(__xludf.DUMMYFUNCTION("""COMPUTED_VALUE"""),"USA")</f>
        <v>USA</v>
      </c>
      <c r="E3630" s="188">
        <f>IFERROR(__xludf.DUMMYFUNCTION("""COMPUTED_VALUE"""),44423.0)</f>
        <v>44423</v>
      </c>
      <c r="N3630" t="str">
        <f>IFERROR(__xludf.DUMMYFUNCTION("""COMPUTED_VALUE"""),"Model 3 SR+")</f>
        <v>Model 3 SR+</v>
      </c>
      <c r="O3630" t="str">
        <f>IFERROR(__xludf.DUMMYFUNCTION("""COMPUTED_VALUE"""),"Pearl White Multi-Coat")</f>
        <v>Pearl White Multi-Coat</v>
      </c>
      <c r="P3630" t="str">
        <f>IFERROR(__xludf.DUMMYFUNCTION("""COMPUTED_VALUE"""),"18 inch")</f>
        <v>18 inch</v>
      </c>
      <c r="Q3630" t="str">
        <f>IFERROR(__xludf.DUMMYFUNCTION("""COMPUTED_VALUE"""),"Black and White")</f>
        <v>Black and White</v>
      </c>
      <c r="R3630" t="str">
        <f>IFERROR(__xludf.DUMMYFUNCTION("""COMPUTED_VALUE"""),"Autopilot included")</f>
        <v>Autopilot included</v>
      </c>
      <c r="S3630" t="str">
        <f>IFERROR(__xludf.DUMMYFUNCTION("""COMPUTED_VALUE"""),"Loan")</f>
        <v>Loan</v>
      </c>
      <c r="AH3630" s="189">
        <f>IFERROR(__xludf.DUMMYFUNCTION("""COMPUTED_VALUE"""),44490.483699675926)</f>
        <v>44490.4837</v>
      </c>
    </row>
    <row r="3631">
      <c r="A3631" t="str">
        <f>IFERROR(__xludf.DUMMYFUNCTION("""COMPUTED_VALUE"""),"CharlesInCharge")</f>
        <v>CharlesInCharge</v>
      </c>
      <c r="C3631" t="str">
        <f>IFERROR(__xludf.DUMMYFUNCTION("""COMPUTED_VALUE"""),"TN")</f>
        <v>TN</v>
      </c>
      <c r="D3631" t="str">
        <f>IFERROR(__xludf.DUMMYFUNCTION("""COMPUTED_VALUE"""),"USA")</f>
        <v>USA</v>
      </c>
      <c r="E3631" s="188">
        <f>IFERROR(__xludf.DUMMYFUNCTION("""COMPUTED_VALUE"""),44464.0)</f>
        <v>44464</v>
      </c>
      <c r="N3631" t="str">
        <f>IFERROR(__xludf.DUMMYFUNCTION("""COMPUTED_VALUE"""),"Model 3 LR AWD")</f>
        <v>Model 3 LR AWD</v>
      </c>
      <c r="O3631" t="str">
        <f>IFERROR(__xludf.DUMMYFUNCTION("""COMPUTED_VALUE"""),"Pearl White Multi-Coat")</f>
        <v>Pearl White Multi-Coat</v>
      </c>
      <c r="P3631" t="str">
        <f>IFERROR(__xludf.DUMMYFUNCTION("""COMPUTED_VALUE"""),"18 inch")</f>
        <v>18 inch</v>
      </c>
      <c r="Q3631" t="str">
        <f>IFERROR(__xludf.DUMMYFUNCTION("""COMPUTED_VALUE"""),"All Black")</f>
        <v>All Black</v>
      </c>
      <c r="R3631" t="str">
        <f>IFERROR(__xludf.DUMMYFUNCTION("""COMPUTED_VALUE"""),"Autopilot included")</f>
        <v>Autopilot included</v>
      </c>
      <c r="U3631" t="str">
        <f>IFERROR(__xludf.DUMMYFUNCTION("""COMPUTED_VALUE"""),"Electric!")</f>
        <v>Electric!</v>
      </c>
      <c r="V3631" t="str">
        <f>IFERROR(__xludf.DUMMYFUNCTION("""COMPUTED_VALUE"""),"Head-up display")</f>
        <v>Head-up display</v>
      </c>
      <c r="AH3631" s="189">
        <f>IFERROR(__xludf.DUMMYFUNCTION("""COMPUTED_VALUE"""),44490.49914768519)</f>
        <v>44490.49915</v>
      </c>
    </row>
    <row r="3632">
      <c r="A3632" t="str">
        <f>IFERROR(__xludf.DUMMYFUNCTION("""COMPUTED_VALUE"""),"LtLightnin")</f>
        <v>LtLightnin</v>
      </c>
      <c r="B3632" t="str">
        <f>IFERROR(__xludf.DUMMYFUNCTION("""COMPUTED_VALUE"""),"Houston, TX")</f>
        <v>Houston, TX</v>
      </c>
      <c r="C3632" t="str">
        <f>IFERROR(__xludf.DUMMYFUNCTION("""COMPUTED_VALUE"""),"TX")</f>
        <v>TX</v>
      </c>
      <c r="D3632" t="str">
        <f>IFERROR(__xludf.DUMMYFUNCTION("""COMPUTED_VALUE"""),"USA")</f>
        <v>USA</v>
      </c>
      <c r="E3632" s="188">
        <f>IFERROR(__xludf.DUMMYFUNCTION("""COMPUTED_VALUE"""),44486.0)</f>
        <v>44486</v>
      </c>
      <c r="F3632" s="188">
        <f>IFERROR(__xludf.DUMMYFUNCTION("""COMPUTED_VALUE"""),44501.0)</f>
        <v>44501</v>
      </c>
      <c r="G3632" t="str">
        <f>IFERROR(__xludf.DUMMYFUNCTION("""COMPUTED_VALUE"""),"Manage order page (normal text)")</f>
        <v>Manage order page (normal text)</v>
      </c>
      <c r="K3632">
        <f>IFERROR(__xludf.DUMMYFUNCTION("""COMPUTED_VALUE"""),15.0)</f>
        <v>15</v>
      </c>
      <c r="N3632" t="str">
        <f>IFERROR(__xludf.DUMMYFUNCTION("""COMPUTED_VALUE"""),"Model 3 Performance")</f>
        <v>Model 3 Performance</v>
      </c>
      <c r="O3632" t="str">
        <f>IFERROR(__xludf.DUMMYFUNCTION("""COMPUTED_VALUE"""),"Deep Blue Metallic")</f>
        <v>Deep Blue Metallic</v>
      </c>
      <c r="P3632" t="str">
        <f>IFERROR(__xludf.DUMMYFUNCTION("""COMPUTED_VALUE"""),"20 inch")</f>
        <v>20 inch</v>
      </c>
      <c r="Q3632" t="str">
        <f>IFERROR(__xludf.DUMMYFUNCTION("""COMPUTED_VALUE"""),"All Black")</f>
        <v>All Black</v>
      </c>
      <c r="R3632" t="str">
        <f>IFERROR(__xludf.DUMMYFUNCTION("""COMPUTED_VALUE"""),"Autopilot included")</f>
        <v>Autopilot included</v>
      </c>
      <c r="S3632" t="str">
        <f>IFERROR(__xludf.DUMMYFUNCTION("""COMPUTED_VALUE"""),"Loan")</f>
        <v>Loan</v>
      </c>
      <c r="T3632" t="str">
        <f>IFERROR(__xludf.DUMMYFUNCTION("""COMPUTED_VALUE"""),"Mazda Miata")</f>
        <v>Mazda Miata</v>
      </c>
      <c r="U3632" t="str">
        <f>IFERROR(__xludf.DUMMYFUNCTION("""COMPUTED_VALUE"""),"Everything")</f>
        <v>Everything</v>
      </c>
      <c r="V3632" t="str">
        <f>IFERROR(__xludf.DUMMYFUNCTION("""COMPUTED_VALUE"""),"Head-up display")</f>
        <v>Head-up display</v>
      </c>
      <c r="AH3632" s="189">
        <f>IFERROR(__xludf.DUMMYFUNCTION("""COMPUTED_VALUE"""),44503.63681170139)</f>
        <v>44503.63681</v>
      </c>
    </row>
    <row r="3633">
      <c r="A3633" t="str">
        <f>IFERROR(__xludf.DUMMYFUNCTION("""COMPUTED_VALUE"""),"talktorobi")</f>
        <v>talktorobi</v>
      </c>
      <c r="B3633" t="str">
        <f>IFERROR(__xludf.DUMMYFUNCTION("""COMPUTED_VALUE"""),"Essex")</f>
        <v>Essex</v>
      </c>
      <c r="D3633" t="str">
        <f>IFERROR(__xludf.DUMMYFUNCTION("""COMPUTED_VALUE"""),"United Kingdom")</f>
        <v>United Kingdom</v>
      </c>
      <c r="E3633" s="188">
        <f>IFERROR(__xludf.DUMMYFUNCTION("""COMPUTED_VALUE"""),44436.0)</f>
        <v>44436</v>
      </c>
      <c r="G3633" t="str">
        <f>IFERROR(__xludf.DUMMYFUNCTION("""COMPUTED_VALUE"""),"invoice")</f>
        <v>invoice</v>
      </c>
      <c r="H3633">
        <f>IFERROR(__xludf.DUMMYFUNCTION("""COMPUTED_VALUE"""),392875.0)</f>
        <v>392875</v>
      </c>
      <c r="J3633" s="188">
        <f>IFERROR(__xludf.DUMMYFUNCTION("""COMPUTED_VALUE"""),44529.0)</f>
        <v>44529</v>
      </c>
      <c r="M3633">
        <f>IFERROR(__xludf.DUMMYFUNCTION("""COMPUTED_VALUE"""),93.0)</f>
        <v>93</v>
      </c>
      <c r="N3633" t="str">
        <f>IFERROR(__xludf.DUMMYFUNCTION("""COMPUTED_VALUE"""),"Model 3 LR AWD")</f>
        <v>Model 3 LR AWD</v>
      </c>
      <c r="O3633" t="str">
        <f>IFERROR(__xludf.DUMMYFUNCTION("""COMPUTED_VALUE"""),"Pearl White Multi-Coat")</f>
        <v>Pearl White Multi-Coat</v>
      </c>
      <c r="P3633" t="str">
        <f>IFERROR(__xludf.DUMMYFUNCTION("""COMPUTED_VALUE"""),"18 inch")</f>
        <v>18 inch</v>
      </c>
      <c r="Q3633" t="str">
        <f>IFERROR(__xludf.DUMMYFUNCTION("""COMPUTED_VALUE"""),"All Black")</f>
        <v>All Black</v>
      </c>
      <c r="R3633" t="str">
        <f>IFERROR(__xludf.DUMMYFUNCTION("""COMPUTED_VALUE"""),"Autopilot included")</f>
        <v>Autopilot included</v>
      </c>
      <c r="S3633" t="str">
        <f>IFERROR(__xludf.DUMMYFUNCTION("""COMPUTED_VALUE"""),"Loan")</f>
        <v>Loan</v>
      </c>
      <c r="T3633" t="str">
        <f>IFERROR(__xludf.DUMMYFUNCTION("""COMPUTED_VALUE"""),"BMW 3 Series")</f>
        <v>BMW 3 Series</v>
      </c>
      <c r="U3633" t="str">
        <f>IFERROR(__xludf.DUMMYFUNCTION("""COMPUTED_VALUE"""),"Electric!")</f>
        <v>Electric!</v>
      </c>
      <c r="V3633" t="str">
        <f>IFERROR(__xludf.DUMMYFUNCTION("""COMPUTED_VALUE"""),"Air suspension")</f>
        <v>Air suspension</v>
      </c>
      <c r="AH3633" s="189">
        <f>IFERROR(__xludf.DUMMYFUNCTION("""COMPUTED_VALUE"""),44506.14942241898)</f>
        <v>44506.14942</v>
      </c>
    </row>
    <row r="3634">
      <c r="A3634" t="str">
        <f>IFERROR(__xludf.DUMMYFUNCTION("""COMPUTED_VALUE"""),"mama_marf")</f>
        <v>mama_marf</v>
      </c>
      <c r="B3634" t="str">
        <f>IFERROR(__xludf.DUMMYFUNCTION("""COMPUTED_VALUE"""),"Brentwood")</f>
        <v>Brentwood</v>
      </c>
      <c r="C3634" t="str">
        <f>IFERROR(__xludf.DUMMYFUNCTION("""COMPUTED_VALUE"""),"CA")</f>
        <v>CA</v>
      </c>
      <c r="D3634" t="str">
        <f>IFERROR(__xludf.DUMMYFUNCTION("""COMPUTED_VALUE"""),"USA")</f>
        <v>USA</v>
      </c>
      <c r="E3634" s="188">
        <f>IFERROR(__xludf.DUMMYFUNCTION("""COMPUTED_VALUE"""),44469.0)</f>
        <v>44469</v>
      </c>
      <c r="N3634" t="str">
        <f>IFERROR(__xludf.DUMMYFUNCTION("""COMPUTED_VALUE"""),"Model 3 LR AWD")</f>
        <v>Model 3 LR AWD</v>
      </c>
      <c r="O3634" t="str">
        <f>IFERROR(__xludf.DUMMYFUNCTION("""COMPUTED_VALUE"""),"Red Multi-Coat")</f>
        <v>Red Multi-Coat</v>
      </c>
      <c r="P3634" t="str">
        <f>IFERROR(__xludf.DUMMYFUNCTION("""COMPUTED_VALUE"""),"19 inch")</f>
        <v>19 inch</v>
      </c>
      <c r="Q3634" t="str">
        <f>IFERROR(__xludf.DUMMYFUNCTION("""COMPUTED_VALUE"""),"All Black")</f>
        <v>All Black</v>
      </c>
      <c r="R3634" t="str">
        <f>IFERROR(__xludf.DUMMYFUNCTION("""COMPUTED_VALUE"""),"Autopilot included")</f>
        <v>Autopilot included</v>
      </c>
      <c r="S3634" t="str">
        <f>IFERROR(__xludf.DUMMYFUNCTION("""COMPUTED_VALUE"""),"Cash")</f>
        <v>Cash</v>
      </c>
      <c r="T3634" t="str">
        <f>IFERROR(__xludf.DUMMYFUNCTION("""COMPUTED_VALUE"""),"Audi A3")</f>
        <v>Audi A3</v>
      </c>
      <c r="U3634" t="str">
        <f>IFERROR(__xludf.DUMMYFUNCTION("""COMPUTED_VALUE"""),"Electric!")</f>
        <v>Electric!</v>
      </c>
      <c r="V3634" t="str">
        <f>IFERROR(__xludf.DUMMYFUNCTION("""COMPUTED_VALUE"""),"Apple CarPlay / Android Auto / SiriusXM Radio")</f>
        <v>Apple CarPlay / Android Auto / SiriusXM Radio</v>
      </c>
      <c r="AH3634" s="189">
        <f>IFERROR(__xludf.DUMMYFUNCTION("""COMPUTED_VALUE"""),44490.64593859954)</f>
        <v>44490.64594</v>
      </c>
    </row>
    <row r="3635">
      <c r="A3635" t="str">
        <f>IFERROR(__xludf.DUMMYFUNCTION("""COMPUTED_VALUE"""),"Ronnie")</f>
        <v>Ronnie</v>
      </c>
      <c r="B3635" t="str">
        <f>IFERROR(__xludf.DUMMYFUNCTION("""COMPUTED_VALUE"""),"Calgary")</f>
        <v>Calgary</v>
      </c>
      <c r="C3635" t="str">
        <f>IFERROR(__xludf.DUMMYFUNCTION("""COMPUTED_VALUE"""),"AB")</f>
        <v>AB</v>
      </c>
      <c r="D3635" t="str">
        <f>IFERROR(__xludf.DUMMYFUNCTION("""COMPUTED_VALUE"""),"Canada")</f>
        <v>Canada</v>
      </c>
      <c r="E3635" s="188">
        <f>IFERROR(__xludf.DUMMYFUNCTION("""COMPUTED_VALUE"""),44432.0)</f>
        <v>44432</v>
      </c>
      <c r="N3635" t="str">
        <f>IFERROR(__xludf.DUMMYFUNCTION("""COMPUTED_VALUE"""),"Model 3 LR AWD")</f>
        <v>Model 3 LR AWD</v>
      </c>
      <c r="O3635" t="str">
        <f>IFERROR(__xludf.DUMMYFUNCTION("""COMPUTED_VALUE"""),"Midnight Silver Metallic")</f>
        <v>Midnight Silver Metallic</v>
      </c>
      <c r="P3635" t="str">
        <f>IFERROR(__xludf.DUMMYFUNCTION("""COMPUTED_VALUE"""),"18 inch")</f>
        <v>18 inch</v>
      </c>
      <c r="Q3635" t="str">
        <f>IFERROR(__xludf.DUMMYFUNCTION("""COMPUTED_VALUE"""),"Black and White")</f>
        <v>Black and White</v>
      </c>
      <c r="S3635" t="str">
        <f>IFERROR(__xludf.DUMMYFUNCTION("""COMPUTED_VALUE"""),"Cash")</f>
        <v>Cash</v>
      </c>
      <c r="AH3635" s="189">
        <f>IFERROR(__xludf.DUMMYFUNCTION("""COMPUTED_VALUE"""),44490.74705844907)</f>
        <v>44490.74706</v>
      </c>
    </row>
    <row r="3636">
      <c r="A3636" t="str">
        <f>IFERROR(__xludf.DUMMYFUNCTION("""COMPUTED_VALUE"""),"findingdory")</f>
        <v>findingdory</v>
      </c>
      <c r="B3636" t="str">
        <f>IFERROR(__xludf.DUMMYFUNCTION("""COMPUTED_VALUE"""),"Los Angeles")</f>
        <v>Los Angeles</v>
      </c>
      <c r="C3636" t="str">
        <f>IFERROR(__xludf.DUMMYFUNCTION("""COMPUTED_VALUE"""),"CA")</f>
        <v>CA</v>
      </c>
      <c r="D3636" t="str">
        <f>IFERROR(__xludf.DUMMYFUNCTION("""COMPUTED_VALUE"""),"USA")</f>
        <v>USA</v>
      </c>
      <c r="E3636" s="188">
        <f>IFERROR(__xludf.DUMMYFUNCTION("""COMPUTED_VALUE"""),44395.0)</f>
        <v>44395</v>
      </c>
      <c r="F3636" s="188">
        <f>IFERROR(__xludf.DUMMYFUNCTION("""COMPUTED_VALUE"""),44497.0)</f>
        <v>44497</v>
      </c>
      <c r="G3636" t="str">
        <f>IFERROR(__xludf.DUMMYFUNCTION("""COMPUTED_VALUE"""),"Manage order page (normal text)")</f>
        <v>Manage order page (normal text)</v>
      </c>
      <c r="H3636">
        <f>IFERROR(__xludf.DUMMYFUNCTION("""COMPUTED_VALUE"""),97455.0)</f>
        <v>97455</v>
      </c>
      <c r="J3636" s="188">
        <f>IFERROR(__xludf.DUMMYFUNCTION("""COMPUTED_VALUE"""),44501.0)</f>
        <v>44501</v>
      </c>
      <c r="K3636">
        <f>IFERROR(__xludf.DUMMYFUNCTION("""COMPUTED_VALUE"""),102.0)</f>
        <v>102</v>
      </c>
      <c r="L3636">
        <f>IFERROR(__xludf.DUMMYFUNCTION("""COMPUTED_VALUE"""),4.0)</f>
        <v>4</v>
      </c>
      <c r="M3636">
        <f>IFERROR(__xludf.DUMMYFUNCTION("""COMPUTED_VALUE"""),106.0)</f>
        <v>106</v>
      </c>
      <c r="N3636" t="str">
        <f>IFERROR(__xludf.DUMMYFUNCTION("""COMPUTED_VALUE"""),"Model 3 SR+")</f>
        <v>Model 3 SR+</v>
      </c>
      <c r="O3636" t="str">
        <f>IFERROR(__xludf.DUMMYFUNCTION("""COMPUTED_VALUE"""),"Solid Black")</f>
        <v>Solid Black</v>
      </c>
      <c r="P3636" t="str">
        <f>IFERROR(__xludf.DUMMYFUNCTION("""COMPUTED_VALUE"""),"18 inch")</f>
        <v>18 inch</v>
      </c>
      <c r="Q3636" t="str">
        <f>IFERROR(__xludf.DUMMYFUNCTION("""COMPUTED_VALUE"""),"All Black")</f>
        <v>All Black</v>
      </c>
      <c r="R3636" t="str">
        <f>IFERROR(__xludf.DUMMYFUNCTION("""COMPUTED_VALUE"""),"Autopilot included")</f>
        <v>Autopilot included</v>
      </c>
      <c r="S3636" t="str">
        <f>IFERROR(__xludf.DUMMYFUNCTION("""COMPUTED_VALUE"""),"Loan")</f>
        <v>Loan</v>
      </c>
      <c r="U3636" t="str">
        <f>IFERROR(__xludf.DUMMYFUNCTION("""COMPUTED_VALUE"""),"Electric!")</f>
        <v>Electric!</v>
      </c>
      <c r="AH3636" s="189">
        <f>IFERROR(__xludf.DUMMYFUNCTION("""COMPUTED_VALUE"""),44498.41244111111)</f>
        <v>44498.41244</v>
      </c>
    </row>
    <row r="3637">
      <c r="A3637" t="str">
        <f>IFERROR(__xludf.DUMMYFUNCTION("""COMPUTED_VALUE"""),"J2001")</f>
        <v>J2001</v>
      </c>
      <c r="C3637" t="str">
        <f>IFERROR(__xludf.DUMMYFUNCTION("""COMPUTED_VALUE"""),"MA")</f>
        <v>MA</v>
      </c>
      <c r="D3637" t="str">
        <f>IFERROR(__xludf.DUMMYFUNCTION("""COMPUTED_VALUE"""),"USA")</f>
        <v>USA</v>
      </c>
      <c r="E3637" s="188">
        <f>IFERROR(__xludf.DUMMYFUNCTION("""COMPUTED_VALUE"""),44486.0)</f>
        <v>44486</v>
      </c>
      <c r="N3637" t="str">
        <f>IFERROR(__xludf.DUMMYFUNCTION("""COMPUTED_VALUE"""),"Model 3 Performance")</f>
        <v>Model 3 Performance</v>
      </c>
      <c r="O3637" t="str">
        <f>IFERROR(__xludf.DUMMYFUNCTION("""COMPUTED_VALUE"""),"Midnight Silver Metallic")</f>
        <v>Midnight Silver Metallic</v>
      </c>
      <c r="P3637" t="str">
        <f>IFERROR(__xludf.DUMMYFUNCTION("""COMPUTED_VALUE"""),"20 inch")</f>
        <v>20 inch</v>
      </c>
      <c r="Q3637" t="str">
        <f>IFERROR(__xludf.DUMMYFUNCTION("""COMPUTED_VALUE"""),"All Black")</f>
        <v>All Black</v>
      </c>
      <c r="R3637" t="str">
        <f>IFERROR(__xludf.DUMMYFUNCTION("""COMPUTED_VALUE"""),"Autopilot included")</f>
        <v>Autopilot included</v>
      </c>
      <c r="S3637" t="str">
        <f>IFERROR(__xludf.DUMMYFUNCTION("""COMPUTED_VALUE"""),"Loan")</f>
        <v>Loan</v>
      </c>
      <c r="U3637" t="str">
        <f>IFERROR(__xludf.DUMMYFUNCTION("""COMPUTED_VALUE"""),"Electric!")</f>
        <v>Electric!</v>
      </c>
      <c r="V3637" t="str">
        <f>IFERROR(__xludf.DUMMYFUNCTION("""COMPUTED_VALUE"""),"Apple CarPlay / Android Auto / SiriusXM Radio")</f>
        <v>Apple CarPlay / Android Auto / SiriusXM Radio</v>
      </c>
      <c r="AH3637" s="189">
        <f>IFERROR(__xludf.DUMMYFUNCTION("""COMPUTED_VALUE"""),44491.68113640047)</f>
        <v>44491.68114</v>
      </c>
    </row>
    <row r="3638">
      <c r="A3638" t="str">
        <f>IFERROR(__xludf.DUMMYFUNCTION("""COMPUTED_VALUE"""),"PeaksIsland")</f>
        <v>PeaksIsland</v>
      </c>
      <c r="B3638" t="str">
        <f>IFERROR(__xludf.DUMMYFUNCTION("""COMPUTED_VALUE"""),"Saco")</f>
        <v>Saco</v>
      </c>
      <c r="C3638" t="str">
        <f>IFERROR(__xludf.DUMMYFUNCTION("""COMPUTED_VALUE"""),"ME")</f>
        <v>ME</v>
      </c>
      <c r="D3638" t="str">
        <f>IFERROR(__xludf.DUMMYFUNCTION("""COMPUTED_VALUE"""),"USA")</f>
        <v>USA</v>
      </c>
      <c r="E3638" s="188">
        <f>IFERROR(__xludf.DUMMYFUNCTION("""COMPUTED_VALUE"""),44410.0)</f>
        <v>44410</v>
      </c>
      <c r="N3638" t="str">
        <f>IFERROR(__xludf.DUMMYFUNCTION("""COMPUTED_VALUE"""),"Model 3 SR+")</f>
        <v>Model 3 SR+</v>
      </c>
      <c r="O3638" t="str">
        <f>IFERROR(__xludf.DUMMYFUNCTION("""COMPUTED_VALUE"""),"Pearl White Multi-Coat")</f>
        <v>Pearl White Multi-Coat</v>
      </c>
      <c r="P3638" t="str">
        <f>IFERROR(__xludf.DUMMYFUNCTION("""COMPUTED_VALUE"""),"18 inch")</f>
        <v>18 inch</v>
      </c>
      <c r="Q3638" t="str">
        <f>IFERROR(__xludf.DUMMYFUNCTION("""COMPUTED_VALUE"""),"Black and White")</f>
        <v>Black and White</v>
      </c>
      <c r="R3638" t="str">
        <f>IFERROR(__xludf.DUMMYFUNCTION("""COMPUTED_VALUE"""),"Autopilot included")</f>
        <v>Autopilot included</v>
      </c>
      <c r="S3638" t="str">
        <f>IFERROR(__xludf.DUMMYFUNCTION("""COMPUTED_VALUE"""),"Cash")</f>
        <v>Cash</v>
      </c>
      <c r="T3638" t="str">
        <f>IFERROR(__xludf.DUMMYFUNCTION("""COMPUTED_VALUE"""),"Prius")</f>
        <v>Prius</v>
      </c>
      <c r="U3638" t="str">
        <f>IFERROR(__xludf.DUMMYFUNCTION("""COMPUTED_VALUE"""),"Electric!")</f>
        <v>Electric!</v>
      </c>
      <c r="V3638" t="str">
        <f>IFERROR(__xludf.DUMMYFUNCTION("""COMPUTED_VALUE"""),"Heated steering wheel")</f>
        <v>Heated steering wheel</v>
      </c>
      <c r="AH3638" s="189">
        <f>IFERROR(__xludf.DUMMYFUNCTION("""COMPUTED_VALUE"""),44492.39639163195)</f>
        <v>44492.39639</v>
      </c>
    </row>
    <row r="3639">
      <c r="A3639" t="str">
        <f>IFERROR(__xludf.DUMMYFUNCTION("""COMPUTED_VALUE"""),"Djidji")</f>
        <v>Djidji</v>
      </c>
      <c r="B3639" t="str">
        <f>IFERROR(__xludf.DUMMYFUNCTION("""COMPUTED_VALUE"""),"Nice")</f>
        <v>Nice</v>
      </c>
      <c r="D3639" t="str">
        <f>IFERROR(__xludf.DUMMYFUNCTION("""COMPUTED_VALUE"""),"France")</f>
        <v>France</v>
      </c>
      <c r="E3639" s="188">
        <f>IFERROR(__xludf.DUMMYFUNCTION("""COMPUTED_VALUE"""),44472.0)</f>
        <v>44472</v>
      </c>
      <c r="F3639" s="188">
        <f>IFERROR(__xludf.DUMMYFUNCTION("""COMPUTED_VALUE"""),44489.0)</f>
        <v>44489</v>
      </c>
      <c r="G3639" t="str">
        <f>IFERROR(__xludf.DUMMYFUNCTION("""COMPUTED_VALUE"""),"Both email and source code")</f>
        <v>Both email and source code</v>
      </c>
      <c r="H3639">
        <f>IFERROR(__xludf.DUMMYFUNCTION("""COMPUTED_VALUE"""),379955.0)</f>
        <v>379955</v>
      </c>
      <c r="J3639" s="188">
        <f>IFERROR(__xludf.DUMMYFUNCTION("""COMPUTED_VALUE"""),44512.0)</f>
        <v>44512</v>
      </c>
      <c r="K3639">
        <f>IFERROR(__xludf.DUMMYFUNCTION("""COMPUTED_VALUE"""),17.0)</f>
        <v>17</v>
      </c>
      <c r="L3639">
        <f>IFERROR(__xludf.DUMMYFUNCTION("""COMPUTED_VALUE"""),23.0)</f>
        <v>23</v>
      </c>
      <c r="M3639">
        <f>IFERROR(__xludf.DUMMYFUNCTION("""COMPUTED_VALUE"""),40.0)</f>
        <v>40</v>
      </c>
      <c r="N3639" t="str">
        <f>IFERROR(__xludf.DUMMYFUNCTION("""COMPUTED_VALUE"""),"Model 3 SR+")</f>
        <v>Model 3 SR+</v>
      </c>
      <c r="O3639" t="str">
        <f>IFERROR(__xludf.DUMMYFUNCTION("""COMPUTED_VALUE"""),"Pearl White Multi-Coat")</f>
        <v>Pearl White Multi-Coat</v>
      </c>
      <c r="P3639" t="str">
        <f>IFERROR(__xludf.DUMMYFUNCTION("""COMPUTED_VALUE"""),"18 inch")</f>
        <v>18 inch</v>
      </c>
      <c r="Q3639" t="str">
        <f>IFERROR(__xludf.DUMMYFUNCTION("""COMPUTED_VALUE"""),"All Black")</f>
        <v>All Black</v>
      </c>
      <c r="R3639" t="str">
        <f>IFERROR(__xludf.DUMMYFUNCTION("""COMPUTED_VALUE"""),"Autopilot included")</f>
        <v>Autopilot included</v>
      </c>
      <c r="S3639" t="str">
        <f>IFERROR(__xludf.DUMMYFUNCTION("""COMPUTED_VALUE"""),"Cash")</f>
        <v>Cash</v>
      </c>
      <c r="T3639" t="str">
        <f>IFERROR(__xludf.DUMMYFUNCTION("""COMPUTED_VALUE"""),"Peugeot 308 GT")</f>
        <v>Peugeot 308 GT</v>
      </c>
      <c r="U3639" t="str">
        <f>IFERROR(__xludf.DUMMYFUNCTION("""COMPUTED_VALUE"""),"Electric!")</f>
        <v>Electric!</v>
      </c>
      <c r="V3639" t="str">
        <f>IFERROR(__xludf.DUMMYFUNCTION("""COMPUTED_VALUE"""),"Head-up display")</f>
        <v>Head-up display</v>
      </c>
      <c r="AH3639" s="189">
        <f>IFERROR(__xludf.DUMMYFUNCTION("""COMPUTED_VALUE"""),44493.30063510417)</f>
        <v>44493.30064</v>
      </c>
    </row>
    <row r="3640">
      <c r="A3640" t="str">
        <f>IFERROR(__xludf.DUMMYFUNCTION("""COMPUTED_VALUE"""),"davidg")</f>
        <v>davidg</v>
      </c>
      <c r="B3640" t="str">
        <f>IFERROR(__xludf.DUMMYFUNCTION("""COMPUTED_VALUE"""),"Portland")</f>
        <v>Portland</v>
      </c>
      <c r="C3640" t="str">
        <f>IFERROR(__xludf.DUMMYFUNCTION("""COMPUTED_VALUE"""),"ME")</f>
        <v>ME</v>
      </c>
      <c r="D3640" t="str">
        <f>IFERROR(__xludf.DUMMYFUNCTION("""COMPUTED_VALUE"""),"USA")</f>
        <v>USA</v>
      </c>
      <c r="E3640" s="188">
        <f>IFERROR(__xludf.DUMMYFUNCTION("""COMPUTED_VALUE"""),44421.0)</f>
        <v>44421</v>
      </c>
      <c r="F3640" s="188">
        <f>IFERROR(__xludf.DUMMYFUNCTION("""COMPUTED_VALUE"""),44497.0)</f>
        <v>44497</v>
      </c>
      <c r="G3640" t="str">
        <f>IFERROR(__xludf.DUMMYFUNCTION("""COMPUTED_VALUE"""),"Manage order page (normal text)")</f>
        <v>Manage order page (normal text)</v>
      </c>
      <c r="H3640">
        <f>IFERROR(__xludf.DUMMYFUNCTION("""COMPUTED_VALUE"""),99355.0)</f>
        <v>99355</v>
      </c>
      <c r="J3640" s="188">
        <f>IFERROR(__xludf.DUMMYFUNCTION("""COMPUTED_VALUE"""),44510.0)</f>
        <v>44510</v>
      </c>
      <c r="K3640">
        <f>IFERROR(__xludf.DUMMYFUNCTION("""COMPUTED_VALUE"""),76.0)</f>
        <v>76</v>
      </c>
      <c r="L3640">
        <f>IFERROR(__xludf.DUMMYFUNCTION("""COMPUTED_VALUE"""),13.0)</f>
        <v>13</v>
      </c>
      <c r="M3640">
        <f>IFERROR(__xludf.DUMMYFUNCTION("""COMPUTED_VALUE"""),89.0)</f>
        <v>89</v>
      </c>
      <c r="N3640" t="str">
        <f>IFERROR(__xludf.DUMMYFUNCTION("""COMPUTED_VALUE"""),"Model 3 SR+")</f>
        <v>Model 3 SR+</v>
      </c>
      <c r="O3640" t="str">
        <f>IFERROR(__xludf.DUMMYFUNCTION("""COMPUTED_VALUE"""),"Pearl White Multi-Coat")</f>
        <v>Pearl White Multi-Coat</v>
      </c>
      <c r="P3640" t="str">
        <f>IFERROR(__xludf.DUMMYFUNCTION("""COMPUTED_VALUE"""),"18 inch")</f>
        <v>18 inch</v>
      </c>
      <c r="Q3640" t="str">
        <f>IFERROR(__xludf.DUMMYFUNCTION("""COMPUTED_VALUE"""),"Black and White")</f>
        <v>Black and White</v>
      </c>
      <c r="R3640" t="str">
        <f>IFERROR(__xludf.DUMMYFUNCTION("""COMPUTED_VALUE"""),"Autopilot included")</f>
        <v>Autopilot included</v>
      </c>
      <c r="S3640" t="str">
        <f>IFERROR(__xludf.DUMMYFUNCTION("""COMPUTED_VALUE"""),"Loan")</f>
        <v>Loan</v>
      </c>
      <c r="T3640" t="str">
        <f>IFERROR(__xludf.DUMMYFUNCTION("""COMPUTED_VALUE"""),"Ford Escape")</f>
        <v>Ford Escape</v>
      </c>
      <c r="U3640" t="str">
        <f>IFERROR(__xludf.DUMMYFUNCTION("""COMPUTED_VALUE"""),"Electric!")</f>
        <v>Electric!</v>
      </c>
      <c r="AH3640" s="189">
        <f>IFERROR(__xludf.DUMMYFUNCTION("""COMPUTED_VALUE"""),44502.03080783565)</f>
        <v>44502.03081</v>
      </c>
    </row>
    <row r="3641">
      <c r="A3641" t="str">
        <f>IFERROR(__xludf.DUMMYFUNCTION("""COMPUTED_VALUE"""),"Cpt_Pessimist")</f>
        <v>Cpt_Pessimist</v>
      </c>
      <c r="C3641" t="str">
        <f>IFERROR(__xludf.DUMMYFUNCTION("""COMPUTED_VALUE"""),"CT")</f>
        <v>CT</v>
      </c>
      <c r="D3641" t="str">
        <f>IFERROR(__xludf.DUMMYFUNCTION("""COMPUTED_VALUE"""),"USA")</f>
        <v>USA</v>
      </c>
      <c r="E3641" s="188">
        <f>IFERROR(__xludf.DUMMYFUNCTION("""COMPUTED_VALUE"""),44429.0)</f>
        <v>44429</v>
      </c>
      <c r="N3641" t="str">
        <f>IFERROR(__xludf.DUMMYFUNCTION("""COMPUTED_VALUE"""),"Model 3 SR+")</f>
        <v>Model 3 SR+</v>
      </c>
      <c r="O3641" t="str">
        <f>IFERROR(__xludf.DUMMYFUNCTION("""COMPUTED_VALUE"""),"Solid Black")</f>
        <v>Solid Black</v>
      </c>
      <c r="P3641" t="str">
        <f>IFERROR(__xludf.DUMMYFUNCTION("""COMPUTED_VALUE"""),"18 inch")</f>
        <v>18 inch</v>
      </c>
      <c r="Q3641" t="str">
        <f>IFERROR(__xludf.DUMMYFUNCTION("""COMPUTED_VALUE"""),"All Black")</f>
        <v>All Black</v>
      </c>
      <c r="R3641" t="str">
        <f>IFERROR(__xludf.DUMMYFUNCTION("""COMPUTED_VALUE"""),"Autopilot included")</f>
        <v>Autopilot included</v>
      </c>
      <c r="S3641" t="str">
        <f>IFERROR(__xludf.DUMMYFUNCTION("""COMPUTED_VALUE"""),"Lease")</f>
        <v>Lease</v>
      </c>
      <c r="U3641" t="str">
        <f>IFERROR(__xludf.DUMMYFUNCTION("""COMPUTED_VALUE"""),"Electric!")</f>
        <v>Electric!</v>
      </c>
      <c r="V3641" t="str">
        <f>IFERROR(__xludf.DUMMYFUNCTION("""COMPUTED_VALUE"""),"Blind spot indicators on side mirrors")</f>
        <v>Blind spot indicators on side mirrors</v>
      </c>
      <c r="AH3641" s="189">
        <f>IFERROR(__xludf.DUMMYFUNCTION("""COMPUTED_VALUE"""),44494.209943078706)</f>
        <v>44494.20994</v>
      </c>
    </row>
    <row r="3642">
      <c r="A3642" t="str">
        <f>IFERROR(__xludf.DUMMYFUNCTION("""COMPUTED_VALUE"""),"sdoja3")</f>
        <v>sdoja3</v>
      </c>
      <c r="B3642" t="str">
        <f>IFERROR(__xludf.DUMMYFUNCTION("""COMPUTED_VALUE"""),"Valparaiso")</f>
        <v>Valparaiso</v>
      </c>
      <c r="C3642" t="str">
        <f>IFERROR(__xludf.DUMMYFUNCTION("""COMPUTED_VALUE"""),"IN")</f>
        <v>IN</v>
      </c>
      <c r="D3642" t="str">
        <f>IFERROR(__xludf.DUMMYFUNCTION("""COMPUTED_VALUE"""),"USA")</f>
        <v>USA</v>
      </c>
      <c r="E3642" s="188">
        <f>IFERROR(__xludf.DUMMYFUNCTION("""COMPUTED_VALUE"""),44494.0)</f>
        <v>44494</v>
      </c>
      <c r="N3642" t="str">
        <f>IFERROR(__xludf.DUMMYFUNCTION("""COMPUTED_VALUE"""),"Model 3 LR AWD")</f>
        <v>Model 3 LR AWD</v>
      </c>
      <c r="O3642" t="str">
        <f>IFERROR(__xludf.DUMMYFUNCTION("""COMPUTED_VALUE"""),"Midnight Silver Metallic")</f>
        <v>Midnight Silver Metallic</v>
      </c>
      <c r="P3642" t="str">
        <f>IFERROR(__xludf.DUMMYFUNCTION("""COMPUTED_VALUE"""),"19 inch")</f>
        <v>19 inch</v>
      </c>
      <c r="Q3642" t="str">
        <f>IFERROR(__xludf.DUMMYFUNCTION("""COMPUTED_VALUE"""),"All Black")</f>
        <v>All Black</v>
      </c>
      <c r="R3642" t="str">
        <f>IFERROR(__xludf.DUMMYFUNCTION("""COMPUTED_VALUE"""),"Autopilot included")</f>
        <v>Autopilot included</v>
      </c>
      <c r="S3642" t="str">
        <f>IFERROR(__xludf.DUMMYFUNCTION("""COMPUTED_VALUE"""),"Cash")</f>
        <v>Cash</v>
      </c>
      <c r="AH3642" s="189">
        <f>IFERROR(__xludf.DUMMYFUNCTION("""COMPUTED_VALUE"""),44494.5766925)</f>
        <v>44494.57669</v>
      </c>
    </row>
    <row r="3643">
      <c r="A3643" t="str">
        <f>IFERROR(__xludf.DUMMYFUNCTION("""COMPUTED_VALUE"""),"teisen")</f>
        <v>teisen</v>
      </c>
      <c r="B3643" t="str">
        <f>IFERROR(__xludf.DUMMYFUNCTION("""COMPUTED_VALUE"""),"Savannah")</f>
        <v>Savannah</v>
      </c>
      <c r="C3643" t="str">
        <f>IFERROR(__xludf.DUMMYFUNCTION("""COMPUTED_VALUE"""),"GA")</f>
        <v>GA</v>
      </c>
      <c r="D3643" t="str">
        <f>IFERROR(__xludf.DUMMYFUNCTION("""COMPUTED_VALUE"""),"USA")</f>
        <v>USA</v>
      </c>
      <c r="E3643" s="188">
        <f>IFERROR(__xludf.DUMMYFUNCTION("""COMPUTED_VALUE"""),44495.0)</f>
        <v>44495</v>
      </c>
      <c r="N3643" t="str">
        <f>IFERROR(__xludf.DUMMYFUNCTION("""COMPUTED_VALUE"""),"Model 3 Performance")</f>
        <v>Model 3 Performance</v>
      </c>
      <c r="O3643" t="str">
        <f>IFERROR(__xludf.DUMMYFUNCTION("""COMPUTED_VALUE"""),"Red Multi-Coat")</f>
        <v>Red Multi-Coat</v>
      </c>
      <c r="P3643" t="str">
        <f>IFERROR(__xludf.DUMMYFUNCTION("""COMPUTED_VALUE"""),"20 inch")</f>
        <v>20 inch</v>
      </c>
      <c r="Q3643" t="str">
        <f>IFERROR(__xludf.DUMMYFUNCTION("""COMPUTED_VALUE"""),"Black and White")</f>
        <v>Black and White</v>
      </c>
      <c r="R3643" t="str">
        <f>IFERROR(__xludf.DUMMYFUNCTION("""COMPUTED_VALUE"""),"Autopilot included")</f>
        <v>Autopilot included</v>
      </c>
      <c r="S3643" t="str">
        <f>IFERROR(__xludf.DUMMYFUNCTION("""COMPUTED_VALUE"""),"Cash")</f>
        <v>Cash</v>
      </c>
      <c r="T3643" t="str">
        <f>IFERROR(__xludf.DUMMYFUNCTION("""COMPUTED_VALUE"""),"Tesla Model 3")</f>
        <v>Tesla Model 3</v>
      </c>
      <c r="U3643" t="str">
        <f>IFERROR(__xludf.DUMMYFUNCTION("""COMPUTED_VALUE"""),"Electric!")</f>
        <v>Electric!</v>
      </c>
      <c r="V3643" t="str">
        <f>IFERROR(__xludf.DUMMYFUNCTION("""COMPUTED_VALUE"""),"Air suspension")</f>
        <v>Air suspension</v>
      </c>
      <c r="AH3643" s="189">
        <f>IFERROR(__xludf.DUMMYFUNCTION("""COMPUTED_VALUE"""),44495.48459878472)</f>
        <v>44495.4846</v>
      </c>
    </row>
    <row r="3644">
      <c r="A3644" t="str">
        <f>IFERROR(__xludf.DUMMYFUNCTION("""COMPUTED_VALUE"""),"Cartech")</f>
        <v>Cartech</v>
      </c>
      <c r="B3644" t="str">
        <f>IFERROR(__xludf.DUMMYFUNCTION("""COMPUTED_VALUE"""),"Kansas City")</f>
        <v>Kansas City</v>
      </c>
      <c r="C3644" t="str">
        <f>IFERROR(__xludf.DUMMYFUNCTION("""COMPUTED_VALUE"""),"AR")</f>
        <v>AR</v>
      </c>
      <c r="D3644" t="str">
        <f>IFERROR(__xludf.DUMMYFUNCTION("""COMPUTED_VALUE"""),"USA")</f>
        <v>USA</v>
      </c>
      <c r="E3644" s="188">
        <f>IFERROR(__xludf.DUMMYFUNCTION("""COMPUTED_VALUE"""),44482.0)</f>
        <v>44482</v>
      </c>
      <c r="F3644" s="188">
        <f>IFERROR(__xludf.DUMMYFUNCTION("""COMPUTED_VALUE"""),44502.0)</f>
        <v>44502</v>
      </c>
      <c r="G3644" t="str">
        <f>IFERROR(__xludf.DUMMYFUNCTION("""COMPUTED_VALUE"""),"Manage order page (normal text)")</f>
        <v>Manage order page (normal text)</v>
      </c>
      <c r="K3644">
        <f>IFERROR(__xludf.DUMMYFUNCTION("""COMPUTED_VALUE"""),20.0)</f>
        <v>20</v>
      </c>
      <c r="N3644" t="str">
        <f>IFERROR(__xludf.DUMMYFUNCTION("""COMPUTED_VALUE"""),"Model 3 Performance")</f>
        <v>Model 3 Performance</v>
      </c>
      <c r="O3644" t="str">
        <f>IFERROR(__xludf.DUMMYFUNCTION("""COMPUTED_VALUE"""),"Solid Black")</f>
        <v>Solid Black</v>
      </c>
      <c r="P3644" t="str">
        <f>IFERROR(__xludf.DUMMYFUNCTION("""COMPUTED_VALUE"""),"20 inch")</f>
        <v>20 inch</v>
      </c>
      <c r="Q3644" t="str">
        <f>IFERROR(__xludf.DUMMYFUNCTION("""COMPUTED_VALUE"""),"All Black")</f>
        <v>All Black</v>
      </c>
      <c r="R3644" t="str">
        <f>IFERROR(__xludf.DUMMYFUNCTION("""COMPUTED_VALUE"""),"Autopilot included")</f>
        <v>Autopilot included</v>
      </c>
      <c r="S3644" t="str">
        <f>IFERROR(__xludf.DUMMYFUNCTION("""COMPUTED_VALUE"""),"Lease")</f>
        <v>Lease</v>
      </c>
      <c r="T3644" t="str">
        <f>IFERROR(__xludf.DUMMYFUNCTION("""COMPUTED_VALUE"""),"Subaru BRZ")</f>
        <v>Subaru BRZ</v>
      </c>
      <c r="V3644" t="str">
        <f>IFERROR(__xludf.DUMMYFUNCTION("""COMPUTED_VALUE"""),"Heated steering wheel")</f>
        <v>Heated steering wheel</v>
      </c>
      <c r="AH3644" s="189">
        <f>IFERROR(__xludf.DUMMYFUNCTION("""COMPUTED_VALUE"""),44503.60032622685)</f>
        <v>44503.60033</v>
      </c>
    </row>
    <row r="3645">
      <c r="A3645" t="str">
        <f>IFERROR(__xludf.DUMMYFUNCTION("""COMPUTED_VALUE"""),"cjaffree1")</f>
        <v>cjaffree1</v>
      </c>
      <c r="B3645" t="str">
        <f>IFERROR(__xludf.DUMMYFUNCTION("""COMPUTED_VALUE"""),"Madison")</f>
        <v>Madison</v>
      </c>
      <c r="C3645" t="str">
        <f>IFERROR(__xludf.DUMMYFUNCTION("""COMPUTED_VALUE"""),"AL")</f>
        <v>AL</v>
      </c>
      <c r="D3645" t="str">
        <f>IFERROR(__xludf.DUMMYFUNCTION("""COMPUTED_VALUE"""),"USA")</f>
        <v>USA</v>
      </c>
      <c r="E3645" s="188">
        <f>IFERROR(__xludf.DUMMYFUNCTION("""COMPUTED_VALUE"""),44494.0)</f>
        <v>44494</v>
      </c>
      <c r="N3645" t="str">
        <f>IFERROR(__xludf.DUMMYFUNCTION("""COMPUTED_VALUE"""),"Model 3 Performance")</f>
        <v>Model 3 Performance</v>
      </c>
      <c r="O3645" t="str">
        <f>IFERROR(__xludf.DUMMYFUNCTION("""COMPUTED_VALUE"""),"Deep Blue Metallic")</f>
        <v>Deep Blue Metallic</v>
      </c>
      <c r="P3645" t="str">
        <f>IFERROR(__xludf.DUMMYFUNCTION("""COMPUTED_VALUE"""),"20 inch")</f>
        <v>20 inch</v>
      </c>
      <c r="Q3645" t="str">
        <f>IFERROR(__xludf.DUMMYFUNCTION("""COMPUTED_VALUE"""),"All Black")</f>
        <v>All Black</v>
      </c>
      <c r="R3645" t="str">
        <f>IFERROR(__xludf.DUMMYFUNCTION("""COMPUTED_VALUE"""),"Autopilot included")</f>
        <v>Autopilot included</v>
      </c>
      <c r="S3645" t="str">
        <f>IFERROR(__xludf.DUMMYFUNCTION("""COMPUTED_VALUE"""),"Cash")</f>
        <v>Cash</v>
      </c>
      <c r="T3645" t="str">
        <f>IFERROR(__xludf.DUMMYFUNCTION("""COMPUTED_VALUE"""),"Tesla Model 3")</f>
        <v>Tesla Model 3</v>
      </c>
      <c r="U3645" t="str">
        <f>IFERROR(__xludf.DUMMYFUNCTION("""COMPUTED_VALUE"""),"Electric!")</f>
        <v>Electric!</v>
      </c>
      <c r="V3645" t="str">
        <f>IFERROR(__xludf.DUMMYFUNCTION("""COMPUTED_VALUE"""),"Apple CarPlay / Android Auto / SiriusXM Radio")</f>
        <v>Apple CarPlay / Android Auto / SiriusXM Radio</v>
      </c>
      <c r="W3645" t="str">
        <f>IFERROR(__xludf.DUMMYFUNCTION("""COMPUTED_VALUE"""),"INSPECT your car before driving off with it")</f>
        <v>INSPECT your car before driving off with it</v>
      </c>
      <c r="AG3645" t="str">
        <f>IFERROR(__xludf.DUMMYFUNCTION("""COMPUTED_VALUE"""),"Loved it so much, I'm getting two more.")</f>
        <v>Loved it so much, I'm getting two more.</v>
      </c>
      <c r="AH3645" s="189">
        <f>IFERROR(__xludf.DUMMYFUNCTION("""COMPUTED_VALUE"""),44495.79970991898)</f>
        <v>44495.79971</v>
      </c>
    </row>
    <row r="3646">
      <c r="A3646" t="str">
        <f>IFERROR(__xludf.DUMMYFUNCTION("""COMPUTED_VALUE"""),"Terry213")</f>
        <v>Terry213</v>
      </c>
      <c r="B3646" t="str">
        <f>IFERROR(__xludf.DUMMYFUNCTION("""COMPUTED_VALUE"""),"Clarkson")</f>
        <v>Clarkson</v>
      </c>
      <c r="C3646" t="str">
        <f>IFERROR(__xludf.DUMMYFUNCTION("""COMPUTED_VALUE"""),"MI")</f>
        <v>MI</v>
      </c>
      <c r="D3646" t="str">
        <f>IFERROR(__xludf.DUMMYFUNCTION("""COMPUTED_VALUE"""),"USA")</f>
        <v>USA</v>
      </c>
      <c r="E3646" s="188">
        <f>IFERROR(__xludf.DUMMYFUNCTION("""COMPUTED_VALUE"""),44477.0)</f>
        <v>44477</v>
      </c>
      <c r="N3646" t="str">
        <f>IFERROR(__xludf.DUMMYFUNCTION("""COMPUTED_VALUE"""),"Model 3 SR+")</f>
        <v>Model 3 SR+</v>
      </c>
      <c r="O3646" t="str">
        <f>IFERROR(__xludf.DUMMYFUNCTION("""COMPUTED_VALUE"""),"Solid Black")</f>
        <v>Solid Black</v>
      </c>
      <c r="P3646" t="str">
        <f>IFERROR(__xludf.DUMMYFUNCTION("""COMPUTED_VALUE"""),"19 inch")</f>
        <v>19 inch</v>
      </c>
      <c r="Q3646" t="str">
        <f>IFERROR(__xludf.DUMMYFUNCTION("""COMPUTED_VALUE"""),"Black and White")</f>
        <v>Black and White</v>
      </c>
      <c r="R3646" t="str">
        <f>IFERROR(__xludf.DUMMYFUNCTION("""COMPUTED_VALUE"""),"Autopilot included")</f>
        <v>Autopilot included</v>
      </c>
      <c r="S3646" t="str">
        <f>IFERROR(__xludf.DUMMYFUNCTION("""COMPUTED_VALUE"""),"Cash")</f>
        <v>Cash</v>
      </c>
      <c r="T3646" t="str">
        <f>IFERROR(__xludf.DUMMYFUNCTION("""COMPUTED_VALUE"""),"Model 3 will be my first car!")</f>
        <v>Model 3 will be my first car!</v>
      </c>
      <c r="AH3646" s="189">
        <f>IFERROR(__xludf.DUMMYFUNCTION("""COMPUTED_VALUE"""),44495.85363078704)</f>
        <v>44495.85363</v>
      </c>
    </row>
    <row r="3647">
      <c r="A3647" t="str">
        <f>IFERROR(__xludf.DUMMYFUNCTION("""COMPUTED_VALUE"""),"Jack")</f>
        <v>Jack</v>
      </c>
      <c r="B3647" t="str">
        <f>IFERROR(__xludf.DUMMYFUNCTION("""COMPUTED_VALUE"""),"Maplewood")</f>
        <v>Maplewood</v>
      </c>
      <c r="C3647" t="str">
        <f>IFERROR(__xludf.DUMMYFUNCTION("""COMPUTED_VALUE"""),"MN")</f>
        <v>MN</v>
      </c>
      <c r="D3647" t="str">
        <f>IFERROR(__xludf.DUMMYFUNCTION("""COMPUTED_VALUE"""),"USA")</f>
        <v>USA</v>
      </c>
      <c r="E3647" s="188">
        <f>IFERROR(__xludf.DUMMYFUNCTION("""COMPUTED_VALUE"""),44472.0)</f>
        <v>44472</v>
      </c>
      <c r="N3647" t="str">
        <f>IFERROR(__xludf.DUMMYFUNCTION("""COMPUTED_VALUE"""),"Model 3 Performance")</f>
        <v>Model 3 Performance</v>
      </c>
      <c r="O3647" t="str">
        <f>IFERROR(__xludf.DUMMYFUNCTION("""COMPUTED_VALUE"""),"Deep Blue Metallic")</f>
        <v>Deep Blue Metallic</v>
      </c>
      <c r="P3647" t="str">
        <f>IFERROR(__xludf.DUMMYFUNCTION("""COMPUTED_VALUE"""),"20 inch")</f>
        <v>20 inch</v>
      </c>
      <c r="Q3647" t="str">
        <f>IFERROR(__xludf.DUMMYFUNCTION("""COMPUTED_VALUE"""),"Black and White")</f>
        <v>Black and White</v>
      </c>
      <c r="R3647" t="str">
        <f>IFERROR(__xludf.DUMMYFUNCTION("""COMPUTED_VALUE"""),"Autopilot included")</f>
        <v>Autopilot included</v>
      </c>
      <c r="S3647" t="str">
        <f>IFERROR(__xludf.DUMMYFUNCTION("""COMPUTED_VALUE"""),"Loan")</f>
        <v>Loan</v>
      </c>
      <c r="T3647" t="str">
        <f>IFERROR(__xludf.DUMMYFUNCTION("""COMPUTED_VALUE"""),"Dodge Charger Daytona 392")</f>
        <v>Dodge Charger Daytona 392</v>
      </c>
      <c r="U3647" t="str">
        <f>IFERROR(__xludf.DUMMYFUNCTION("""COMPUTED_VALUE"""),"Electric!")</f>
        <v>Electric!</v>
      </c>
      <c r="V3647" t="str">
        <f>IFERROR(__xludf.DUMMYFUNCTION("""COMPUTED_VALUE"""),"Ventilated seats")</f>
        <v>Ventilated seats</v>
      </c>
      <c r="AH3647" s="189">
        <f>IFERROR(__xludf.DUMMYFUNCTION("""COMPUTED_VALUE"""),44496.24314111111)</f>
        <v>44496.24314</v>
      </c>
    </row>
    <row r="3648">
      <c r="A3648" t="str">
        <f>IFERROR(__xludf.DUMMYFUNCTION("""COMPUTED_VALUE"""),"dfw21")</f>
        <v>dfw21</v>
      </c>
      <c r="B3648" t="str">
        <f>IFERROR(__xludf.DUMMYFUNCTION("""COMPUTED_VALUE"""),"Fort Worth")</f>
        <v>Fort Worth</v>
      </c>
      <c r="C3648" t="str">
        <f>IFERROR(__xludf.DUMMYFUNCTION("""COMPUTED_VALUE"""),"TX")</f>
        <v>TX</v>
      </c>
      <c r="D3648" t="str">
        <f>IFERROR(__xludf.DUMMYFUNCTION("""COMPUTED_VALUE"""),"USA")</f>
        <v>USA</v>
      </c>
      <c r="E3648" s="188">
        <f>IFERROR(__xludf.DUMMYFUNCTION("""COMPUTED_VALUE"""),44479.0)</f>
        <v>44479</v>
      </c>
      <c r="N3648" t="str">
        <f>IFERROR(__xludf.DUMMYFUNCTION("""COMPUTED_VALUE"""),"Model 3 LR AWD")</f>
        <v>Model 3 LR AWD</v>
      </c>
      <c r="O3648" t="str">
        <f>IFERROR(__xludf.DUMMYFUNCTION("""COMPUTED_VALUE"""),"Midnight Silver Metallic")</f>
        <v>Midnight Silver Metallic</v>
      </c>
      <c r="P3648" t="str">
        <f>IFERROR(__xludf.DUMMYFUNCTION("""COMPUTED_VALUE"""),"19 inch")</f>
        <v>19 inch</v>
      </c>
      <c r="Q3648" t="str">
        <f>IFERROR(__xludf.DUMMYFUNCTION("""COMPUTED_VALUE"""),"All Black")</f>
        <v>All Black</v>
      </c>
      <c r="R3648" t="str">
        <f>IFERROR(__xludf.DUMMYFUNCTION("""COMPUTED_VALUE"""),"Autopilot included")</f>
        <v>Autopilot included</v>
      </c>
      <c r="U3648" t="str">
        <f>IFERROR(__xludf.DUMMYFUNCTION("""COMPUTED_VALUE"""),"Electric!")</f>
        <v>Electric!</v>
      </c>
      <c r="V3648" t="str">
        <f>IFERROR(__xludf.DUMMYFUNCTION("""COMPUTED_VALUE"""),"Ventilated seats")</f>
        <v>Ventilated seats</v>
      </c>
      <c r="AH3648" s="189">
        <f>IFERROR(__xludf.DUMMYFUNCTION("""COMPUTED_VALUE"""),44496.29865295139)</f>
        <v>44496.29865</v>
      </c>
    </row>
    <row r="3649">
      <c r="A3649" t="str">
        <f>IFERROR(__xludf.DUMMYFUNCTION("""COMPUTED_VALUE"""),"mkhalasi85")</f>
        <v>mkhalasi85</v>
      </c>
      <c r="B3649" t="str">
        <f>IFERROR(__xludf.DUMMYFUNCTION("""COMPUTED_VALUE"""),"Sacramento")</f>
        <v>Sacramento</v>
      </c>
      <c r="C3649" t="str">
        <f>IFERROR(__xludf.DUMMYFUNCTION("""COMPUTED_VALUE"""),"CA")</f>
        <v>CA</v>
      </c>
      <c r="D3649" t="str">
        <f>IFERROR(__xludf.DUMMYFUNCTION("""COMPUTED_VALUE"""),"USA")</f>
        <v>USA</v>
      </c>
      <c r="E3649" s="188">
        <f>IFERROR(__xludf.DUMMYFUNCTION("""COMPUTED_VALUE"""),44418.0)</f>
        <v>44418</v>
      </c>
      <c r="F3649" s="188">
        <f>IFERROR(__xludf.DUMMYFUNCTION("""COMPUTED_VALUE"""),44496.0)</f>
        <v>44496</v>
      </c>
      <c r="G3649" t="str">
        <f>IFERROR(__xludf.DUMMYFUNCTION("""COMPUTED_VALUE"""),"Text message")</f>
        <v>Text message</v>
      </c>
      <c r="H3649">
        <f>IFERROR(__xludf.DUMMYFUNCTION("""COMPUTED_VALUE"""),86155.0)</f>
        <v>86155</v>
      </c>
      <c r="J3649" s="188">
        <f>IFERROR(__xludf.DUMMYFUNCTION("""COMPUTED_VALUE"""),44498.0)</f>
        <v>44498</v>
      </c>
      <c r="K3649">
        <f>IFERROR(__xludf.DUMMYFUNCTION("""COMPUTED_VALUE"""),78.0)</f>
        <v>78</v>
      </c>
      <c r="L3649">
        <f>IFERROR(__xludf.DUMMYFUNCTION("""COMPUTED_VALUE"""),2.0)</f>
        <v>2</v>
      </c>
      <c r="M3649">
        <f>IFERROR(__xludf.DUMMYFUNCTION("""COMPUTED_VALUE"""),80.0)</f>
        <v>80</v>
      </c>
      <c r="N3649" t="str">
        <f>IFERROR(__xludf.DUMMYFUNCTION("""COMPUTED_VALUE"""),"Model 3 SR+")</f>
        <v>Model 3 SR+</v>
      </c>
      <c r="O3649" t="str">
        <f>IFERROR(__xludf.DUMMYFUNCTION("""COMPUTED_VALUE"""),"Pearl White Multi-Coat")</f>
        <v>Pearl White Multi-Coat</v>
      </c>
      <c r="P3649" t="str">
        <f>IFERROR(__xludf.DUMMYFUNCTION("""COMPUTED_VALUE"""),"18 inch")</f>
        <v>18 inch</v>
      </c>
      <c r="Q3649" t="str">
        <f>IFERROR(__xludf.DUMMYFUNCTION("""COMPUTED_VALUE"""),"All Black")</f>
        <v>All Black</v>
      </c>
      <c r="R3649" t="str">
        <f>IFERROR(__xludf.DUMMYFUNCTION("""COMPUTED_VALUE"""),"Autopilot included")</f>
        <v>Autopilot included</v>
      </c>
      <c r="S3649" t="str">
        <f>IFERROR(__xludf.DUMMYFUNCTION("""COMPUTED_VALUE"""),"Loan")</f>
        <v>Loan</v>
      </c>
      <c r="T3649" t="str">
        <f>IFERROR(__xludf.DUMMYFUNCTION("""COMPUTED_VALUE"""),"Tesla Model X")</f>
        <v>Tesla Model X</v>
      </c>
      <c r="U3649" t="str">
        <f>IFERROR(__xludf.DUMMYFUNCTION("""COMPUTED_VALUE"""),"Electric!")</f>
        <v>Electric!</v>
      </c>
      <c r="V3649" t="str">
        <f>IFERROR(__xludf.DUMMYFUNCTION("""COMPUTED_VALUE"""),"Air suspension")</f>
        <v>Air suspension</v>
      </c>
      <c r="AH3649" s="189">
        <f>IFERROR(__xludf.DUMMYFUNCTION("""COMPUTED_VALUE"""),44496.526055243055)</f>
        <v>44496.52606</v>
      </c>
    </row>
    <row r="3650">
      <c r="A3650" t="str">
        <f>IFERROR(__xludf.DUMMYFUNCTION("""COMPUTED_VALUE"""),"Dj_Schrader")</f>
        <v>Dj_Schrader</v>
      </c>
      <c r="B3650" t="str">
        <f>IFERROR(__xludf.DUMMYFUNCTION("""COMPUTED_VALUE"""),"Los Angeles")</f>
        <v>Los Angeles</v>
      </c>
      <c r="C3650" t="str">
        <f>IFERROR(__xludf.DUMMYFUNCTION("""COMPUTED_VALUE"""),"CA")</f>
        <v>CA</v>
      </c>
      <c r="D3650" t="str">
        <f>IFERROR(__xludf.DUMMYFUNCTION("""COMPUTED_VALUE"""),"USA")</f>
        <v>USA</v>
      </c>
      <c r="E3650" s="188">
        <f>IFERROR(__xludf.DUMMYFUNCTION("""COMPUTED_VALUE"""),44466.0)</f>
        <v>44466</v>
      </c>
      <c r="N3650" t="str">
        <f>IFERROR(__xludf.DUMMYFUNCTION("""COMPUTED_VALUE"""),"Model 3 LR AWD")</f>
        <v>Model 3 LR AWD</v>
      </c>
      <c r="O3650" t="str">
        <f>IFERROR(__xludf.DUMMYFUNCTION("""COMPUTED_VALUE"""),"Solid Black")</f>
        <v>Solid Black</v>
      </c>
      <c r="P3650" t="str">
        <f>IFERROR(__xludf.DUMMYFUNCTION("""COMPUTED_VALUE"""),"19 inch")</f>
        <v>19 inch</v>
      </c>
      <c r="Q3650" t="str">
        <f>IFERROR(__xludf.DUMMYFUNCTION("""COMPUTED_VALUE"""),"All Black")</f>
        <v>All Black</v>
      </c>
      <c r="R3650" t="str">
        <f>IFERROR(__xludf.DUMMYFUNCTION("""COMPUTED_VALUE"""),"Autopilot included")</f>
        <v>Autopilot included</v>
      </c>
      <c r="S3650" t="str">
        <f>IFERROR(__xludf.DUMMYFUNCTION("""COMPUTED_VALUE"""),"Loan")</f>
        <v>Loan</v>
      </c>
      <c r="AH3650" s="189">
        <f>IFERROR(__xludf.DUMMYFUNCTION("""COMPUTED_VALUE"""),44496.46552226852)</f>
        <v>44496.46552</v>
      </c>
    </row>
    <row r="3651">
      <c r="A3651" t="str">
        <f>IFERROR(__xludf.DUMMYFUNCTION("""COMPUTED_VALUE"""),"Dupregh")</f>
        <v>Dupregh</v>
      </c>
      <c r="B3651" t="str">
        <f>IFERROR(__xludf.DUMMYFUNCTION("""COMPUTED_VALUE"""),"Buckingham")</f>
        <v>Buckingham</v>
      </c>
      <c r="D3651" t="str">
        <f>IFERROR(__xludf.DUMMYFUNCTION("""COMPUTED_VALUE"""),"United Kingdom")</f>
        <v>United Kingdom</v>
      </c>
      <c r="E3651" s="188">
        <f>IFERROR(__xludf.DUMMYFUNCTION("""COMPUTED_VALUE"""),44476.0)</f>
        <v>44476</v>
      </c>
      <c r="N3651" t="str">
        <f>IFERROR(__xludf.DUMMYFUNCTION("""COMPUTED_VALUE"""),"Model 3 LR AWD")</f>
        <v>Model 3 LR AWD</v>
      </c>
      <c r="O3651" t="str">
        <f>IFERROR(__xludf.DUMMYFUNCTION("""COMPUTED_VALUE"""),"Midnight Silver Metallic")</f>
        <v>Midnight Silver Metallic</v>
      </c>
      <c r="P3651" t="str">
        <f>IFERROR(__xludf.DUMMYFUNCTION("""COMPUTED_VALUE"""),"18 inch")</f>
        <v>18 inch</v>
      </c>
      <c r="Q3651" t="str">
        <f>IFERROR(__xludf.DUMMYFUNCTION("""COMPUTED_VALUE"""),"Black and White")</f>
        <v>Black and White</v>
      </c>
      <c r="R3651" t="str">
        <f>IFERROR(__xludf.DUMMYFUNCTION("""COMPUTED_VALUE"""),"Autopilot included")</f>
        <v>Autopilot included</v>
      </c>
      <c r="S3651" t="str">
        <f>IFERROR(__xludf.DUMMYFUNCTION("""COMPUTED_VALUE"""),"Loan")</f>
        <v>Loan</v>
      </c>
      <c r="T3651" t="str">
        <f>IFERROR(__xludf.DUMMYFUNCTION("""COMPUTED_VALUE"""),"Ford Ranger Wildtrak")</f>
        <v>Ford Ranger Wildtrak</v>
      </c>
      <c r="U3651" t="str">
        <f>IFERROR(__xludf.DUMMYFUNCTION("""COMPUTED_VALUE"""),"Electric!")</f>
        <v>Electric!</v>
      </c>
      <c r="AH3651" s="189">
        <f>IFERROR(__xludf.DUMMYFUNCTION("""COMPUTED_VALUE"""),44496.59948346065)</f>
        <v>44496.59948</v>
      </c>
    </row>
    <row r="3652">
      <c r="A3652" t="str">
        <f>IFERROR(__xludf.DUMMYFUNCTION("""COMPUTED_VALUE"""),"walshy")</f>
        <v>walshy</v>
      </c>
      <c r="B3652" t="str">
        <f>IFERROR(__xludf.DUMMYFUNCTION("""COMPUTED_VALUE"""),"Chicago")</f>
        <v>Chicago</v>
      </c>
      <c r="C3652" t="str">
        <f>IFERROR(__xludf.DUMMYFUNCTION("""COMPUTED_VALUE"""),"IL")</f>
        <v>IL</v>
      </c>
      <c r="D3652" t="str">
        <f>IFERROR(__xludf.DUMMYFUNCTION("""COMPUTED_VALUE"""),"USA")</f>
        <v>USA</v>
      </c>
      <c r="E3652" s="188">
        <f>IFERROR(__xludf.DUMMYFUNCTION("""COMPUTED_VALUE"""),44442.0)</f>
        <v>44442</v>
      </c>
      <c r="N3652" t="str">
        <f>IFERROR(__xludf.DUMMYFUNCTION("""COMPUTED_VALUE"""),"Model 3 LR AWD")</f>
        <v>Model 3 LR AWD</v>
      </c>
      <c r="O3652" t="str">
        <f>IFERROR(__xludf.DUMMYFUNCTION("""COMPUTED_VALUE"""),"Deep Blue Metallic")</f>
        <v>Deep Blue Metallic</v>
      </c>
      <c r="P3652" t="str">
        <f>IFERROR(__xludf.DUMMYFUNCTION("""COMPUTED_VALUE"""),"18 inch")</f>
        <v>18 inch</v>
      </c>
      <c r="Q3652" t="str">
        <f>IFERROR(__xludf.DUMMYFUNCTION("""COMPUTED_VALUE"""),"Black and White")</f>
        <v>Black and White</v>
      </c>
      <c r="R3652" t="str">
        <f>IFERROR(__xludf.DUMMYFUNCTION("""COMPUTED_VALUE"""),"Autopilot included")</f>
        <v>Autopilot included</v>
      </c>
      <c r="S3652" t="str">
        <f>IFERROR(__xludf.DUMMYFUNCTION("""COMPUTED_VALUE"""),"Loan")</f>
        <v>Loan</v>
      </c>
      <c r="T3652" t="str">
        <f>IFERROR(__xludf.DUMMYFUNCTION("""COMPUTED_VALUE"""),"Honda Accord")</f>
        <v>Honda Accord</v>
      </c>
      <c r="U3652" t="str">
        <f>IFERROR(__xludf.DUMMYFUNCTION("""COMPUTED_VALUE"""),"acceleration ")</f>
        <v>acceleration </v>
      </c>
      <c r="V3652" t="str">
        <f>IFERROR(__xludf.DUMMYFUNCTION("""COMPUTED_VALUE"""),"Air suspension")</f>
        <v>Air suspension</v>
      </c>
      <c r="AH3652" s="189">
        <f>IFERROR(__xludf.DUMMYFUNCTION("""COMPUTED_VALUE"""),44496.60985695602)</f>
        <v>44496.60986</v>
      </c>
    </row>
    <row r="3653">
      <c r="A3653" t="str">
        <f>IFERROR(__xludf.DUMMYFUNCTION("""COMPUTED_VALUE"""),"helloworld")</f>
        <v>helloworld</v>
      </c>
      <c r="B3653" t="str">
        <f>IFERROR(__xludf.DUMMYFUNCTION("""COMPUTED_VALUE"""),"cambridge")</f>
        <v>cambridge</v>
      </c>
      <c r="C3653" t="str">
        <f>IFERROR(__xludf.DUMMYFUNCTION("""COMPUTED_VALUE"""),"MA")</f>
        <v>MA</v>
      </c>
      <c r="D3653" t="str">
        <f>IFERROR(__xludf.DUMMYFUNCTION("""COMPUTED_VALUE"""),"USA")</f>
        <v>USA</v>
      </c>
      <c r="E3653" s="188">
        <f>IFERROR(__xludf.DUMMYFUNCTION("""COMPUTED_VALUE"""),44481.0)</f>
        <v>44481</v>
      </c>
      <c r="N3653" t="str">
        <f>IFERROR(__xludf.DUMMYFUNCTION("""COMPUTED_VALUE"""),"Model 3 LR AWD")</f>
        <v>Model 3 LR AWD</v>
      </c>
      <c r="O3653" t="str">
        <f>IFERROR(__xludf.DUMMYFUNCTION("""COMPUTED_VALUE"""),"Pearl White Multi-Coat")</f>
        <v>Pearl White Multi-Coat</v>
      </c>
      <c r="P3653" t="str">
        <f>IFERROR(__xludf.DUMMYFUNCTION("""COMPUTED_VALUE"""),"18 inch")</f>
        <v>18 inch</v>
      </c>
      <c r="Q3653" t="str">
        <f>IFERROR(__xludf.DUMMYFUNCTION("""COMPUTED_VALUE"""),"All Black")</f>
        <v>All Black</v>
      </c>
      <c r="R3653" t="str">
        <f>IFERROR(__xludf.DUMMYFUNCTION("""COMPUTED_VALUE"""),"Autopilot included")</f>
        <v>Autopilot included</v>
      </c>
      <c r="S3653" t="str">
        <f>IFERROR(__xludf.DUMMYFUNCTION("""COMPUTED_VALUE"""),"Loan")</f>
        <v>Loan</v>
      </c>
      <c r="U3653" t="str">
        <f>IFERROR(__xludf.DUMMYFUNCTION("""COMPUTED_VALUE"""),"Autopilot")</f>
        <v>Autopilot</v>
      </c>
      <c r="AH3653" s="189">
        <f>IFERROR(__xludf.DUMMYFUNCTION("""COMPUTED_VALUE"""),44496.636097442126)</f>
        <v>44496.6361</v>
      </c>
    </row>
    <row r="3654">
      <c r="A3654" t="str">
        <f>IFERROR(__xludf.DUMMYFUNCTION("""COMPUTED_VALUE"""),"9welkzysdjz")</f>
        <v>9welkzysdjz</v>
      </c>
      <c r="C3654" t="str">
        <f>IFERROR(__xludf.DUMMYFUNCTION("""COMPUTED_VALUE"""),"AZ")</f>
        <v>AZ</v>
      </c>
      <c r="D3654" t="str">
        <f>IFERROR(__xludf.DUMMYFUNCTION("""COMPUTED_VALUE"""),"USA")</f>
        <v>USA</v>
      </c>
      <c r="E3654" s="188">
        <f>IFERROR(__xludf.DUMMYFUNCTION("""COMPUTED_VALUE"""),44485.0)</f>
        <v>44485</v>
      </c>
      <c r="N3654" t="str">
        <f>IFERROR(__xludf.DUMMYFUNCTION("""COMPUTED_VALUE"""),"Model 3 Performance")</f>
        <v>Model 3 Performance</v>
      </c>
      <c r="O3654" t="str">
        <f>IFERROR(__xludf.DUMMYFUNCTION("""COMPUTED_VALUE"""),"Pearl White Multi-Coat")</f>
        <v>Pearl White Multi-Coat</v>
      </c>
      <c r="P3654" t="str">
        <f>IFERROR(__xludf.DUMMYFUNCTION("""COMPUTED_VALUE"""),"20 inch")</f>
        <v>20 inch</v>
      </c>
      <c r="Q3654" t="str">
        <f>IFERROR(__xludf.DUMMYFUNCTION("""COMPUTED_VALUE"""),"Black and White")</f>
        <v>Black and White</v>
      </c>
      <c r="R3654" t="str">
        <f>IFERROR(__xludf.DUMMYFUNCTION("""COMPUTED_VALUE"""),"Autopilot included")</f>
        <v>Autopilot included</v>
      </c>
      <c r="S3654" t="str">
        <f>IFERROR(__xludf.DUMMYFUNCTION("""COMPUTED_VALUE"""),"Cash")</f>
        <v>Cash</v>
      </c>
      <c r="T3654" t="str">
        <f>IFERROR(__xludf.DUMMYFUNCTION("""COMPUTED_VALUE"""),"Toyota Camry")</f>
        <v>Toyota Camry</v>
      </c>
      <c r="U3654" t="str">
        <f>IFERROR(__xludf.DUMMYFUNCTION("""COMPUTED_VALUE"""),"Electric!")</f>
        <v>Electric!</v>
      </c>
      <c r="V3654" t="str">
        <f>IFERROR(__xludf.DUMMYFUNCTION("""COMPUTED_VALUE"""),"360° Bird's eye view")</f>
        <v>360° Bird's eye view</v>
      </c>
      <c r="AH3654" s="189">
        <f>IFERROR(__xludf.DUMMYFUNCTION("""COMPUTED_VALUE"""),44496.68677597222)</f>
        <v>44496.68678</v>
      </c>
    </row>
    <row r="3655">
      <c r="A3655" t="str">
        <f>IFERROR(__xludf.DUMMYFUNCTION("""COMPUTED_VALUE"""),"godsfavoritecustomer")</f>
        <v>godsfavoritecustomer</v>
      </c>
      <c r="B3655" t="str">
        <f>IFERROR(__xludf.DUMMYFUNCTION("""COMPUTED_VALUE"""),"St George")</f>
        <v>St George</v>
      </c>
      <c r="C3655" t="str">
        <f>IFERROR(__xludf.DUMMYFUNCTION("""COMPUTED_VALUE"""),"UT")</f>
        <v>UT</v>
      </c>
      <c r="D3655" t="str">
        <f>IFERROR(__xludf.DUMMYFUNCTION("""COMPUTED_VALUE"""),"USA")</f>
        <v>USA</v>
      </c>
      <c r="E3655" s="188">
        <f>IFERROR(__xludf.DUMMYFUNCTION("""COMPUTED_VALUE"""),44495.0)</f>
        <v>44495</v>
      </c>
      <c r="N3655" t="str">
        <f>IFERROR(__xludf.DUMMYFUNCTION("""COMPUTED_VALUE"""),"Model 3 Performance")</f>
        <v>Model 3 Performance</v>
      </c>
      <c r="O3655" t="str">
        <f>IFERROR(__xludf.DUMMYFUNCTION("""COMPUTED_VALUE"""),"Pearl White Multi-Coat")</f>
        <v>Pearl White Multi-Coat</v>
      </c>
      <c r="P3655" t="str">
        <f>IFERROR(__xludf.DUMMYFUNCTION("""COMPUTED_VALUE"""),"20 inch")</f>
        <v>20 inch</v>
      </c>
      <c r="Q3655" t="str">
        <f>IFERROR(__xludf.DUMMYFUNCTION("""COMPUTED_VALUE"""),"Black and White")</f>
        <v>Black and White</v>
      </c>
      <c r="R3655" t="str">
        <f>IFERROR(__xludf.DUMMYFUNCTION("""COMPUTED_VALUE"""),"Autopilot included")</f>
        <v>Autopilot included</v>
      </c>
      <c r="S3655" t="str">
        <f>IFERROR(__xludf.DUMMYFUNCTION("""COMPUTED_VALUE"""),"Loan")</f>
        <v>Loan</v>
      </c>
      <c r="T3655" t="str">
        <f>IFERROR(__xludf.DUMMYFUNCTION("""COMPUTED_VALUE"""),"Audi Allroad")</f>
        <v>Audi Allroad</v>
      </c>
      <c r="U3655" t="str">
        <f>IFERROR(__xludf.DUMMYFUNCTION("""COMPUTED_VALUE"""),"Supercharger V3 support")</f>
        <v>Supercharger V3 support</v>
      </c>
      <c r="V3655" t="str">
        <f>IFERROR(__xludf.DUMMYFUNCTION("""COMPUTED_VALUE"""),"360° Bird's eye view")</f>
        <v>360° Bird's eye view</v>
      </c>
      <c r="AH3655" s="189">
        <f>IFERROR(__xludf.DUMMYFUNCTION("""COMPUTED_VALUE"""),44496.69314525463)</f>
        <v>44496.69315</v>
      </c>
    </row>
    <row r="3656">
      <c r="A3656" t="str">
        <f>IFERROR(__xludf.DUMMYFUNCTION("""COMPUTED_VALUE"""),"tanddev")</f>
        <v>tanddev</v>
      </c>
      <c r="B3656" t="str">
        <f>IFERROR(__xludf.DUMMYFUNCTION("""COMPUTED_VALUE"""),"Tampa")</f>
        <v>Tampa</v>
      </c>
      <c r="C3656" t="str">
        <f>IFERROR(__xludf.DUMMYFUNCTION("""COMPUTED_VALUE"""),"FL")</f>
        <v>FL</v>
      </c>
      <c r="D3656" t="str">
        <f>IFERROR(__xludf.DUMMYFUNCTION("""COMPUTED_VALUE"""),"USA")</f>
        <v>USA</v>
      </c>
      <c r="E3656" s="188">
        <f>IFERROR(__xludf.DUMMYFUNCTION("""COMPUTED_VALUE"""),44476.0)</f>
        <v>44476</v>
      </c>
      <c r="N3656" t="str">
        <f>IFERROR(__xludf.DUMMYFUNCTION("""COMPUTED_VALUE"""),"Model 3 Performance")</f>
        <v>Model 3 Performance</v>
      </c>
      <c r="O3656" t="str">
        <f>IFERROR(__xludf.DUMMYFUNCTION("""COMPUTED_VALUE"""),"Pearl White Multi-Coat")</f>
        <v>Pearl White Multi-Coat</v>
      </c>
      <c r="P3656" t="str">
        <f>IFERROR(__xludf.DUMMYFUNCTION("""COMPUTED_VALUE"""),"20 inch")</f>
        <v>20 inch</v>
      </c>
      <c r="Q3656" t="str">
        <f>IFERROR(__xludf.DUMMYFUNCTION("""COMPUTED_VALUE"""),"Black and White")</f>
        <v>Black and White</v>
      </c>
      <c r="R3656" t="str">
        <f>IFERROR(__xludf.DUMMYFUNCTION("""COMPUTED_VALUE"""),"Full Self-Driving")</f>
        <v>Full Self-Driving</v>
      </c>
      <c r="S3656" t="str">
        <f>IFERROR(__xludf.DUMMYFUNCTION("""COMPUTED_VALUE"""),"Loan")</f>
        <v>Loan</v>
      </c>
      <c r="T3656" t="str">
        <f>IFERROR(__xludf.DUMMYFUNCTION("""COMPUTED_VALUE"""),"Honda Type R")</f>
        <v>Honda Type R</v>
      </c>
      <c r="U3656" t="str">
        <f>IFERROR(__xludf.DUMMYFUNCTION("""COMPUTED_VALUE"""),"All of the above + SPEED")</f>
        <v>All of the above + SPEED</v>
      </c>
      <c r="V3656" t="str">
        <f>IFERROR(__xludf.DUMMYFUNCTION("""COMPUTED_VALUE"""),"Head-up display")</f>
        <v>Head-up display</v>
      </c>
      <c r="AH3656" s="189">
        <f>IFERROR(__xludf.DUMMYFUNCTION("""COMPUTED_VALUE"""),44497.408707442126)</f>
        <v>44497.40871</v>
      </c>
    </row>
    <row r="3657">
      <c r="A3657" t="str">
        <f>IFERROR(__xludf.DUMMYFUNCTION("""COMPUTED_VALUE"""),"bschaetzle")</f>
        <v>bschaetzle</v>
      </c>
      <c r="B3657" t="str">
        <f>IFERROR(__xludf.DUMMYFUNCTION("""COMPUTED_VALUE"""),"Dubuque")</f>
        <v>Dubuque</v>
      </c>
      <c r="C3657" t="str">
        <f>IFERROR(__xludf.DUMMYFUNCTION("""COMPUTED_VALUE"""),"IA")</f>
        <v>IA</v>
      </c>
      <c r="D3657" t="str">
        <f>IFERROR(__xludf.DUMMYFUNCTION("""COMPUTED_VALUE"""),"USA")</f>
        <v>USA</v>
      </c>
      <c r="E3657" s="188">
        <f>IFERROR(__xludf.DUMMYFUNCTION("""COMPUTED_VALUE"""),44485.0)</f>
        <v>44485</v>
      </c>
      <c r="N3657" t="str">
        <f>IFERROR(__xludf.DUMMYFUNCTION("""COMPUTED_VALUE"""),"Model 3 LR AWD")</f>
        <v>Model 3 LR AWD</v>
      </c>
      <c r="O3657" t="str">
        <f>IFERROR(__xludf.DUMMYFUNCTION("""COMPUTED_VALUE"""),"Solid Black")</f>
        <v>Solid Black</v>
      </c>
      <c r="P3657" t="str">
        <f>IFERROR(__xludf.DUMMYFUNCTION("""COMPUTED_VALUE"""),"18 inch")</f>
        <v>18 inch</v>
      </c>
      <c r="Q3657" t="str">
        <f>IFERROR(__xludf.DUMMYFUNCTION("""COMPUTED_VALUE"""),"All Black")</f>
        <v>All Black</v>
      </c>
      <c r="R3657" t="str">
        <f>IFERROR(__xludf.DUMMYFUNCTION("""COMPUTED_VALUE"""),"Autopilot included")</f>
        <v>Autopilot included</v>
      </c>
      <c r="S3657" t="str">
        <f>IFERROR(__xludf.DUMMYFUNCTION("""COMPUTED_VALUE"""),"Loan")</f>
        <v>Loan</v>
      </c>
      <c r="T3657" t="str">
        <f>IFERROR(__xludf.DUMMYFUNCTION("""COMPUTED_VALUE"""),"Mazda cx9")</f>
        <v>Mazda cx9</v>
      </c>
      <c r="U3657" t="str">
        <f>IFERROR(__xludf.DUMMYFUNCTION("""COMPUTED_VALUE"""),"Autopilot")</f>
        <v>Autopilot</v>
      </c>
      <c r="V3657" t="str">
        <f>IFERROR(__xludf.DUMMYFUNCTION("""COMPUTED_VALUE"""),"Apple CarPlay / Android Auto / SiriusXM Radio")</f>
        <v>Apple CarPlay / Android Auto / SiriusXM Radio</v>
      </c>
      <c r="AH3657" s="189">
        <f>IFERROR(__xludf.DUMMYFUNCTION("""COMPUTED_VALUE"""),44497.420632395835)</f>
        <v>44497.42063</v>
      </c>
    </row>
    <row r="3658">
      <c r="A3658" t="str">
        <f>IFERROR(__xludf.DUMMYFUNCTION("""COMPUTED_VALUE"""),"NTGreat")</f>
        <v>NTGreat</v>
      </c>
      <c r="C3658" t="str">
        <f>IFERROR(__xludf.DUMMYFUNCTION("""COMPUTED_VALUE"""),"NJ")</f>
        <v>NJ</v>
      </c>
      <c r="D3658" t="str">
        <f>IFERROR(__xludf.DUMMYFUNCTION("""COMPUTED_VALUE"""),"USA")</f>
        <v>USA</v>
      </c>
      <c r="E3658" s="188">
        <f>IFERROR(__xludf.DUMMYFUNCTION("""COMPUTED_VALUE"""),44484.0)</f>
        <v>44484</v>
      </c>
      <c r="F3658" s="188">
        <f>IFERROR(__xludf.DUMMYFUNCTION("""COMPUTED_VALUE"""),44497.0)</f>
        <v>44497</v>
      </c>
      <c r="G3658" t="str">
        <f>IFERROR(__xludf.DUMMYFUNCTION("""COMPUTED_VALUE"""),"Manage order page (normal text)")</f>
        <v>Manage order page (normal text)</v>
      </c>
      <c r="J3658" s="188">
        <f>IFERROR(__xludf.DUMMYFUNCTION("""COMPUTED_VALUE"""),44512.0)</f>
        <v>44512</v>
      </c>
      <c r="K3658">
        <f>IFERROR(__xludf.DUMMYFUNCTION("""COMPUTED_VALUE"""),13.0)</f>
        <v>13</v>
      </c>
      <c r="L3658">
        <f>IFERROR(__xludf.DUMMYFUNCTION("""COMPUTED_VALUE"""),15.0)</f>
        <v>15</v>
      </c>
      <c r="M3658">
        <f>IFERROR(__xludf.DUMMYFUNCTION("""COMPUTED_VALUE"""),28.0)</f>
        <v>28</v>
      </c>
      <c r="N3658" t="str">
        <f>IFERROR(__xludf.DUMMYFUNCTION("""COMPUTED_VALUE"""),"Model 3 Performance")</f>
        <v>Model 3 Performance</v>
      </c>
      <c r="O3658" t="str">
        <f>IFERROR(__xludf.DUMMYFUNCTION("""COMPUTED_VALUE"""),"Pearl White Multi-Coat")</f>
        <v>Pearl White Multi-Coat</v>
      </c>
      <c r="P3658" t="str">
        <f>IFERROR(__xludf.DUMMYFUNCTION("""COMPUTED_VALUE"""),"20 inch")</f>
        <v>20 inch</v>
      </c>
      <c r="Q3658" t="str">
        <f>IFERROR(__xludf.DUMMYFUNCTION("""COMPUTED_VALUE"""),"All Black")</f>
        <v>All Black</v>
      </c>
      <c r="R3658" t="str">
        <f>IFERROR(__xludf.DUMMYFUNCTION("""COMPUTED_VALUE"""),"Autopilot included")</f>
        <v>Autopilot included</v>
      </c>
      <c r="S3658" t="str">
        <f>IFERROR(__xludf.DUMMYFUNCTION("""COMPUTED_VALUE"""),"Cash")</f>
        <v>Cash</v>
      </c>
      <c r="U3658" t="str">
        <f>IFERROR(__xludf.DUMMYFUNCTION("""COMPUTED_VALUE"""),"Autopilot")</f>
        <v>Autopilot</v>
      </c>
      <c r="V3658" t="str">
        <f>IFERROR(__xludf.DUMMYFUNCTION("""COMPUTED_VALUE"""),"Head-up display")</f>
        <v>Head-up display</v>
      </c>
      <c r="AH3658" s="189">
        <f>IFERROR(__xludf.DUMMYFUNCTION("""COMPUTED_VALUE"""),44502.901111747684)</f>
        <v>44502.90111</v>
      </c>
    </row>
    <row r="3659">
      <c r="A3659" t="str">
        <f>IFERROR(__xludf.DUMMYFUNCTION("""COMPUTED_VALUE"""),"Dyrnwyn")</f>
        <v>Dyrnwyn</v>
      </c>
      <c r="B3659" t="str">
        <f>IFERROR(__xludf.DUMMYFUNCTION("""COMPUTED_VALUE"""),"Montreal")</f>
        <v>Montreal</v>
      </c>
      <c r="C3659" t="str">
        <f>IFERROR(__xludf.DUMMYFUNCTION("""COMPUTED_VALUE"""),"QC")</f>
        <v>QC</v>
      </c>
      <c r="D3659" t="str">
        <f>IFERROR(__xludf.DUMMYFUNCTION("""COMPUTED_VALUE"""),"Canada")</f>
        <v>Canada</v>
      </c>
      <c r="E3659" s="188">
        <f>IFERROR(__xludf.DUMMYFUNCTION("""COMPUTED_VALUE"""),44489.0)</f>
        <v>44489</v>
      </c>
      <c r="N3659" t="str">
        <f>IFERROR(__xludf.DUMMYFUNCTION("""COMPUTED_VALUE"""),"Model 3 SR+")</f>
        <v>Model 3 SR+</v>
      </c>
      <c r="O3659" t="str">
        <f>IFERROR(__xludf.DUMMYFUNCTION("""COMPUTED_VALUE"""),"Pearl White Multi-Coat")</f>
        <v>Pearl White Multi-Coat</v>
      </c>
      <c r="P3659" t="str">
        <f>IFERROR(__xludf.DUMMYFUNCTION("""COMPUTED_VALUE"""),"18 inch")</f>
        <v>18 inch</v>
      </c>
      <c r="Q3659" t="str">
        <f>IFERROR(__xludf.DUMMYFUNCTION("""COMPUTED_VALUE"""),"All Black")</f>
        <v>All Black</v>
      </c>
      <c r="R3659" t="str">
        <f>IFERROR(__xludf.DUMMYFUNCTION("""COMPUTED_VALUE"""),"Autopilot included")</f>
        <v>Autopilot included</v>
      </c>
      <c r="S3659" t="str">
        <f>IFERROR(__xludf.DUMMYFUNCTION("""COMPUTED_VALUE"""),"Loan")</f>
        <v>Loan</v>
      </c>
      <c r="T3659" t="str">
        <f>IFERROR(__xludf.DUMMYFUNCTION("""COMPUTED_VALUE"""),"BMW X5")</f>
        <v>BMW X5</v>
      </c>
      <c r="U3659" t="str">
        <f>IFERROR(__xludf.DUMMYFUNCTION("""COMPUTED_VALUE"""),"Electric!")</f>
        <v>Electric!</v>
      </c>
      <c r="V3659" t="str">
        <f>IFERROR(__xludf.DUMMYFUNCTION("""COMPUTED_VALUE"""),"Dashboard")</f>
        <v>Dashboard</v>
      </c>
      <c r="AH3659" s="189">
        <f>IFERROR(__xludf.DUMMYFUNCTION("""COMPUTED_VALUE"""),44497.83497532408)</f>
        <v>44497.83498</v>
      </c>
    </row>
    <row r="3660">
      <c r="A3660" t="str">
        <f>IFERROR(__xludf.DUMMYFUNCTION("""COMPUTED_VALUE"""),"Cezar")</f>
        <v>Cezar</v>
      </c>
      <c r="B3660" t="str">
        <f>IFERROR(__xludf.DUMMYFUNCTION("""COMPUTED_VALUE"""),"Statesboro")</f>
        <v>Statesboro</v>
      </c>
      <c r="C3660" t="str">
        <f>IFERROR(__xludf.DUMMYFUNCTION("""COMPUTED_VALUE"""),"GA")</f>
        <v>GA</v>
      </c>
      <c r="D3660" t="str">
        <f>IFERROR(__xludf.DUMMYFUNCTION("""COMPUTED_VALUE"""),"USA")</f>
        <v>USA</v>
      </c>
      <c r="E3660" s="188">
        <f>IFERROR(__xludf.DUMMYFUNCTION("""COMPUTED_VALUE"""),44465.0)</f>
        <v>44465</v>
      </c>
      <c r="N3660" t="str">
        <f>IFERROR(__xludf.DUMMYFUNCTION("""COMPUTED_VALUE"""),"Model 3 LR AWD")</f>
        <v>Model 3 LR AWD</v>
      </c>
      <c r="O3660" t="str">
        <f>IFERROR(__xludf.DUMMYFUNCTION("""COMPUTED_VALUE"""),"Red Multi-Coat")</f>
        <v>Red Multi-Coat</v>
      </c>
      <c r="P3660" t="str">
        <f>IFERROR(__xludf.DUMMYFUNCTION("""COMPUTED_VALUE"""),"19 inch")</f>
        <v>19 inch</v>
      </c>
      <c r="Q3660" t="str">
        <f>IFERROR(__xludf.DUMMYFUNCTION("""COMPUTED_VALUE"""),"All Black")</f>
        <v>All Black</v>
      </c>
      <c r="R3660" t="str">
        <f>IFERROR(__xludf.DUMMYFUNCTION("""COMPUTED_VALUE"""),"Full Self-Driving")</f>
        <v>Full Self-Driving</v>
      </c>
      <c r="S3660" t="str">
        <f>IFERROR(__xludf.DUMMYFUNCTION("""COMPUTED_VALUE"""),"Loan")</f>
        <v>Loan</v>
      </c>
      <c r="T3660" t="str">
        <f>IFERROR(__xludf.DUMMYFUNCTION("""COMPUTED_VALUE"""),"Honda Insight")</f>
        <v>Honda Insight</v>
      </c>
      <c r="U3660" t="str">
        <f>IFERROR(__xludf.DUMMYFUNCTION("""COMPUTED_VALUE"""),"Electric!")</f>
        <v>Electric!</v>
      </c>
      <c r="V3660" t="str">
        <f>IFERROR(__xludf.DUMMYFUNCTION("""COMPUTED_VALUE"""),"Apple CarPlay / Android Auto / SiriusXM Radio")</f>
        <v>Apple CarPlay / Android Auto / SiriusXM Radio</v>
      </c>
      <c r="AH3660" s="189">
        <f>IFERROR(__xludf.DUMMYFUNCTION("""COMPUTED_VALUE"""),44497.98890516204)</f>
        <v>44497.98891</v>
      </c>
    </row>
    <row r="3661">
      <c r="A3661" t="str">
        <f>IFERROR(__xludf.DUMMYFUNCTION("""COMPUTED_VALUE"""),"neshmi")</f>
        <v>neshmi</v>
      </c>
      <c r="B3661" t="str">
        <f>IFERROR(__xludf.DUMMYFUNCTION("""COMPUTED_VALUE"""),"Hertfordshire")</f>
        <v>Hertfordshire</v>
      </c>
      <c r="D3661" t="str">
        <f>IFERROR(__xludf.DUMMYFUNCTION("""COMPUTED_VALUE"""),"United Kingdom")</f>
        <v>United Kingdom</v>
      </c>
      <c r="E3661" s="188">
        <f>IFERROR(__xludf.DUMMYFUNCTION("""COMPUTED_VALUE"""),44470.0)</f>
        <v>44470</v>
      </c>
      <c r="N3661" t="str">
        <f>IFERROR(__xludf.DUMMYFUNCTION("""COMPUTED_VALUE"""),"Model 3 Performance")</f>
        <v>Model 3 Performance</v>
      </c>
      <c r="O3661" t="str">
        <f>IFERROR(__xludf.DUMMYFUNCTION("""COMPUTED_VALUE"""),"Midnight Silver Metallic")</f>
        <v>Midnight Silver Metallic</v>
      </c>
      <c r="P3661" t="str">
        <f>IFERROR(__xludf.DUMMYFUNCTION("""COMPUTED_VALUE"""),"20 inch")</f>
        <v>20 inch</v>
      </c>
      <c r="Q3661" t="str">
        <f>IFERROR(__xludf.DUMMYFUNCTION("""COMPUTED_VALUE"""),"All Black")</f>
        <v>All Black</v>
      </c>
      <c r="R3661" t="str">
        <f>IFERROR(__xludf.DUMMYFUNCTION("""COMPUTED_VALUE"""),"Full Self-Driving")</f>
        <v>Full Self-Driving</v>
      </c>
      <c r="S3661" t="str">
        <f>IFERROR(__xludf.DUMMYFUNCTION("""COMPUTED_VALUE"""),"Loan")</f>
        <v>Loan</v>
      </c>
      <c r="T3661" t="str">
        <f>IFERROR(__xludf.DUMMYFUNCTION("""COMPUTED_VALUE"""),"Volvo XC60")</f>
        <v>Volvo XC60</v>
      </c>
      <c r="U3661" t="str">
        <f>IFERROR(__xludf.DUMMYFUNCTION("""COMPUTED_VALUE"""),"Electric!")</f>
        <v>Electric!</v>
      </c>
      <c r="V3661" t="str">
        <f>IFERROR(__xludf.DUMMYFUNCTION("""COMPUTED_VALUE"""),"Apple CarPlay / Android Auto / SiriusXM Radio")</f>
        <v>Apple CarPlay / Android Auto / SiriusXM Radio</v>
      </c>
      <c r="AH3661" s="189">
        <f>IFERROR(__xludf.DUMMYFUNCTION("""COMPUTED_VALUE"""),44498.32061412037)</f>
        <v>44498.32061</v>
      </c>
    </row>
    <row r="3662">
      <c r="A3662" t="str">
        <f>IFERROR(__xludf.DUMMYFUNCTION("""COMPUTED_VALUE"""),"GraGor")</f>
        <v>GraGor</v>
      </c>
      <c r="B3662" t="str">
        <f>IFERROR(__xludf.DUMMYFUNCTION("""COMPUTED_VALUE"""),"Glasgow")</f>
        <v>Glasgow</v>
      </c>
      <c r="D3662" t="str">
        <f>IFERROR(__xludf.DUMMYFUNCTION("""COMPUTED_VALUE"""),"United Kingdom")</f>
        <v>United Kingdom</v>
      </c>
      <c r="E3662" s="188">
        <f>IFERROR(__xludf.DUMMYFUNCTION("""COMPUTED_VALUE"""),44489.0)</f>
        <v>44489</v>
      </c>
      <c r="F3662" s="188">
        <f>IFERROR(__xludf.DUMMYFUNCTION("""COMPUTED_VALUE"""),44502.0)</f>
        <v>44502</v>
      </c>
      <c r="G3662" t="str">
        <f>IFERROR(__xludf.DUMMYFUNCTION("""COMPUTED_VALUE"""),"Source code")</f>
        <v>Source code</v>
      </c>
      <c r="K3662">
        <f>IFERROR(__xludf.DUMMYFUNCTION("""COMPUTED_VALUE"""),13.0)</f>
        <v>13</v>
      </c>
      <c r="N3662" t="str">
        <f>IFERROR(__xludf.DUMMYFUNCTION("""COMPUTED_VALUE"""),"Model 3 SR+")</f>
        <v>Model 3 SR+</v>
      </c>
      <c r="O3662" t="str">
        <f>IFERROR(__xludf.DUMMYFUNCTION("""COMPUTED_VALUE"""),"Midnight Silver Metallic")</f>
        <v>Midnight Silver Metallic</v>
      </c>
      <c r="P3662" t="str">
        <f>IFERROR(__xludf.DUMMYFUNCTION("""COMPUTED_VALUE"""),"18 inch")</f>
        <v>18 inch</v>
      </c>
      <c r="Q3662" t="str">
        <f>IFERROR(__xludf.DUMMYFUNCTION("""COMPUTED_VALUE"""),"All Black")</f>
        <v>All Black</v>
      </c>
      <c r="R3662" t="str">
        <f>IFERROR(__xludf.DUMMYFUNCTION("""COMPUTED_VALUE"""),"Autopilot included")</f>
        <v>Autopilot included</v>
      </c>
      <c r="S3662" t="str">
        <f>IFERROR(__xludf.DUMMYFUNCTION("""COMPUTED_VALUE"""),"Cash")</f>
        <v>Cash</v>
      </c>
      <c r="T3662" t="str">
        <f>IFERROR(__xludf.DUMMYFUNCTION("""COMPUTED_VALUE"""),"Mercedes C200")</f>
        <v>Mercedes C200</v>
      </c>
      <c r="U3662" t="str">
        <f>IFERROR(__xludf.DUMMYFUNCTION("""COMPUTED_VALUE"""),"Electric!")</f>
        <v>Electric!</v>
      </c>
      <c r="V3662" t="str">
        <f>IFERROR(__xludf.DUMMYFUNCTION("""COMPUTED_VALUE"""),"Head-up display")</f>
        <v>Head-up display</v>
      </c>
      <c r="AH3662" s="189">
        <f>IFERROR(__xludf.DUMMYFUNCTION("""COMPUTED_VALUE"""),44502.44705173611)</f>
        <v>44502.44705</v>
      </c>
    </row>
    <row r="3663">
      <c r="A3663" t="str">
        <f>IFERROR(__xludf.DUMMYFUNCTION("""COMPUTED_VALUE"""),"spacecortes")</f>
        <v>spacecortes</v>
      </c>
      <c r="B3663" t="str">
        <f>IFERROR(__xludf.DUMMYFUNCTION("""COMPUTED_VALUE"""),"Louisville")</f>
        <v>Louisville</v>
      </c>
      <c r="C3663" t="str">
        <f>IFERROR(__xludf.DUMMYFUNCTION("""COMPUTED_VALUE"""),"KY")</f>
        <v>KY</v>
      </c>
      <c r="D3663" t="str">
        <f>IFERROR(__xludf.DUMMYFUNCTION("""COMPUTED_VALUE"""),"USA")</f>
        <v>USA</v>
      </c>
      <c r="E3663" s="188">
        <f>IFERROR(__xludf.DUMMYFUNCTION("""COMPUTED_VALUE"""),44470.0)</f>
        <v>44470</v>
      </c>
      <c r="N3663" t="str">
        <f>IFERROR(__xludf.DUMMYFUNCTION("""COMPUTED_VALUE"""),"Model 3 LR AWD")</f>
        <v>Model 3 LR AWD</v>
      </c>
      <c r="O3663" t="str">
        <f>IFERROR(__xludf.DUMMYFUNCTION("""COMPUTED_VALUE"""),"Solid Black")</f>
        <v>Solid Black</v>
      </c>
      <c r="P3663" t="str">
        <f>IFERROR(__xludf.DUMMYFUNCTION("""COMPUTED_VALUE"""),"18 inch")</f>
        <v>18 inch</v>
      </c>
      <c r="Q3663" t="str">
        <f>IFERROR(__xludf.DUMMYFUNCTION("""COMPUTED_VALUE"""),"Black and White")</f>
        <v>Black and White</v>
      </c>
      <c r="R3663" t="str">
        <f>IFERROR(__xludf.DUMMYFUNCTION("""COMPUTED_VALUE"""),"Autopilot included")</f>
        <v>Autopilot included</v>
      </c>
      <c r="S3663" t="str">
        <f>IFERROR(__xludf.DUMMYFUNCTION("""COMPUTED_VALUE"""),"Loan")</f>
        <v>Loan</v>
      </c>
      <c r="V3663" t="str">
        <f>IFERROR(__xludf.DUMMYFUNCTION("""COMPUTED_VALUE"""),"Blind spot indicators on side mirrors")</f>
        <v>Blind spot indicators on side mirrors</v>
      </c>
      <c r="AH3663" s="189">
        <f>IFERROR(__xludf.DUMMYFUNCTION("""COMPUTED_VALUE"""),44498.3812675)</f>
        <v>44498.38127</v>
      </c>
    </row>
    <row r="3664">
      <c r="A3664" t="str">
        <f>IFERROR(__xludf.DUMMYFUNCTION("""COMPUTED_VALUE"""),"stuigi99")</f>
        <v>stuigi99</v>
      </c>
      <c r="B3664" t="str">
        <f>IFERROR(__xludf.DUMMYFUNCTION("""COMPUTED_VALUE"""),"Gloucester")</f>
        <v>Gloucester</v>
      </c>
      <c r="D3664" t="str">
        <f>IFERROR(__xludf.DUMMYFUNCTION("""COMPUTED_VALUE"""),"United Kingdom")</f>
        <v>United Kingdom</v>
      </c>
      <c r="E3664" s="188">
        <f>IFERROR(__xludf.DUMMYFUNCTION("""COMPUTED_VALUE"""),44484.0)</f>
        <v>44484</v>
      </c>
      <c r="F3664" s="188">
        <f>IFERROR(__xludf.DUMMYFUNCTION("""COMPUTED_VALUE"""),44503.0)</f>
        <v>44503</v>
      </c>
      <c r="G3664" t="str">
        <f>IFERROR(__xludf.DUMMYFUNCTION("""COMPUTED_VALUE"""),"from leasing company")</f>
        <v>from leasing company</v>
      </c>
      <c r="K3664">
        <f>IFERROR(__xludf.DUMMYFUNCTION("""COMPUTED_VALUE"""),19.0)</f>
        <v>19</v>
      </c>
      <c r="N3664" t="str">
        <f>IFERROR(__xludf.DUMMYFUNCTION("""COMPUTED_VALUE"""),"Model 3 LR AWD")</f>
        <v>Model 3 LR AWD</v>
      </c>
      <c r="O3664" t="str">
        <f>IFERROR(__xludf.DUMMYFUNCTION("""COMPUTED_VALUE"""),"Pearl White Multi-Coat")</f>
        <v>Pearl White Multi-Coat</v>
      </c>
      <c r="P3664" t="str">
        <f>IFERROR(__xludf.DUMMYFUNCTION("""COMPUTED_VALUE"""),"18 inch")</f>
        <v>18 inch</v>
      </c>
      <c r="Q3664" t="str">
        <f>IFERROR(__xludf.DUMMYFUNCTION("""COMPUTED_VALUE"""),"All Black")</f>
        <v>All Black</v>
      </c>
      <c r="S3664" t="str">
        <f>IFERROR(__xludf.DUMMYFUNCTION("""COMPUTED_VALUE"""),"Lease")</f>
        <v>Lease</v>
      </c>
      <c r="T3664" t="str">
        <f>IFERROR(__xludf.DUMMYFUNCTION("""COMPUTED_VALUE"""),"Mini Cooper")</f>
        <v>Mini Cooper</v>
      </c>
      <c r="U3664" t="str">
        <f>IFERROR(__xludf.DUMMYFUNCTION("""COMPUTED_VALUE"""),"Electric!")</f>
        <v>Electric!</v>
      </c>
      <c r="V3664" t="str">
        <f>IFERROR(__xludf.DUMMYFUNCTION("""COMPUTED_VALUE"""),"360° Bird's eye view")</f>
        <v>360° Bird's eye view</v>
      </c>
      <c r="AH3664" s="189">
        <f>IFERROR(__xludf.DUMMYFUNCTION("""COMPUTED_VALUE"""),44503.45525803241)</f>
        <v>44503.45526</v>
      </c>
    </row>
    <row r="3665">
      <c r="A3665" t="str">
        <f>IFERROR(__xludf.DUMMYFUNCTION("""COMPUTED_VALUE"""),"RateMyFuneral")</f>
        <v>RateMyFuneral</v>
      </c>
      <c r="B3665" t="str">
        <f>IFERROR(__xludf.DUMMYFUNCTION("""COMPUTED_VALUE"""),"Essex")</f>
        <v>Essex</v>
      </c>
      <c r="D3665" t="str">
        <f>IFERROR(__xludf.DUMMYFUNCTION("""COMPUTED_VALUE"""),"United Kingdom")</f>
        <v>United Kingdom</v>
      </c>
      <c r="E3665" s="188">
        <f>IFERROR(__xludf.DUMMYFUNCTION("""COMPUTED_VALUE"""),44490.0)</f>
        <v>44490</v>
      </c>
      <c r="F3665" s="188">
        <f>IFERROR(__xludf.DUMMYFUNCTION("""COMPUTED_VALUE"""),44502.0)</f>
        <v>44502</v>
      </c>
      <c r="G3665" t="str">
        <f>IFERROR(__xludf.DUMMYFUNCTION("""COMPUTED_VALUE"""),"Source code")</f>
        <v>Source code</v>
      </c>
      <c r="K3665">
        <f>IFERROR(__xludf.DUMMYFUNCTION("""COMPUTED_VALUE"""),12.0)</f>
        <v>12</v>
      </c>
      <c r="N3665" t="str">
        <f>IFERROR(__xludf.DUMMYFUNCTION("""COMPUTED_VALUE"""),"Model 3 LR AWD")</f>
        <v>Model 3 LR AWD</v>
      </c>
      <c r="O3665" t="str">
        <f>IFERROR(__xludf.DUMMYFUNCTION("""COMPUTED_VALUE"""),"Midnight Silver Metallic")</f>
        <v>Midnight Silver Metallic</v>
      </c>
      <c r="P3665" t="str">
        <f>IFERROR(__xludf.DUMMYFUNCTION("""COMPUTED_VALUE"""),"19 inch")</f>
        <v>19 inch</v>
      </c>
      <c r="Q3665" t="str">
        <f>IFERROR(__xludf.DUMMYFUNCTION("""COMPUTED_VALUE"""),"Black and White")</f>
        <v>Black and White</v>
      </c>
      <c r="R3665" t="str">
        <f>IFERROR(__xludf.DUMMYFUNCTION("""COMPUTED_VALUE"""),"Autopilot included")</f>
        <v>Autopilot included</v>
      </c>
      <c r="S3665" t="str">
        <f>IFERROR(__xludf.DUMMYFUNCTION("""COMPUTED_VALUE"""),"Lease")</f>
        <v>Lease</v>
      </c>
      <c r="T3665" t="str">
        <f>IFERROR(__xludf.DUMMYFUNCTION("""COMPUTED_VALUE"""),"Land Rover Discovery Sport")</f>
        <v>Land Rover Discovery Sport</v>
      </c>
      <c r="U3665" t="str">
        <f>IFERROR(__xludf.DUMMYFUNCTION("""COMPUTED_VALUE"""),"Autopilot")</f>
        <v>Autopilot</v>
      </c>
      <c r="V3665" t="str">
        <f>IFERROR(__xludf.DUMMYFUNCTION("""COMPUTED_VALUE"""),"Apple CarPlay / Android Auto / SiriusXM Radio")</f>
        <v>Apple CarPlay / Android Auto / SiriusXM Radio</v>
      </c>
      <c r="AH3665" s="189">
        <f>IFERROR(__xludf.DUMMYFUNCTION("""COMPUTED_VALUE"""),44502.255508159724)</f>
        <v>44502.25551</v>
      </c>
    </row>
    <row r="3666">
      <c r="A3666" t="str">
        <f>IFERROR(__xludf.DUMMYFUNCTION("""COMPUTED_VALUE"""),"TessieBlk")</f>
        <v>TessieBlk</v>
      </c>
      <c r="B3666" t="str">
        <f>IFERROR(__xludf.DUMMYFUNCTION("""COMPUTED_VALUE"""),"Los Angeles")</f>
        <v>Los Angeles</v>
      </c>
      <c r="C3666" t="str">
        <f>IFERROR(__xludf.DUMMYFUNCTION("""COMPUTED_VALUE"""),"CA")</f>
        <v>CA</v>
      </c>
      <c r="D3666" t="str">
        <f>IFERROR(__xludf.DUMMYFUNCTION("""COMPUTED_VALUE"""),"USA")</f>
        <v>USA</v>
      </c>
      <c r="E3666" s="188">
        <f>IFERROR(__xludf.DUMMYFUNCTION("""COMPUTED_VALUE"""),44405.0)</f>
        <v>44405</v>
      </c>
      <c r="F3666" s="188">
        <f>IFERROR(__xludf.DUMMYFUNCTION("""COMPUTED_VALUE"""),44498.0)</f>
        <v>44498</v>
      </c>
      <c r="G3666" t="str">
        <f>IFERROR(__xludf.DUMMYFUNCTION("""COMPUTED_VALUE"""),"Manage order page (normal text)")</f>
        <v>Manage order page (normal text)</v>
      </c>
      <c r="H3666">
        <f>IFERROR(__xludf.DUMMYFUNCTION("""COMPUTED_VALUE"""),100555.0)</f>
        <v>100555</v>
      </c>
      <c r="K3666">
        <f>IFERROR(__xludf.DUMMYFUNCTION("""COMPUTED_VALUE"""),93.0)</f>
        <v>93</v>
      </c>
      <c r="N3666" t="str">
        <f>IFERROR(__xludf.DUMMYFUNCTION("""COMPUTED_VALUE"""),"Model 3 SR+")</f>
        <v>Model 3 SR+</v>
      </c>
      <c r="O3666" t="str">
        <f>IFERROR(__xludf.DUMMYFUNCTION("""COMPUTED_VALUE"""),"Pearl White Multi-Coat")</f>
        <v>Pearl White Multi-Coat</v>
      </c>
      <c r="P3666" t="str">
        <f>IFERROR(__xludf.DUMMYFUNCTION("""COMPUTED_VALUE"""),"18 inch")</f>
        <v>18 inch</v>
      </c>
      <c r="Q3666" t="str">
        <f>IFERROR(__xludf.DUMMYFUNCTION("""COMPUTED_VALUE"""),"All Black")</f>
        <v>All Black</v>
      </c>
      <c r="R3666" t="str">
        <f>IFERROR(__xludf.DUMMYFUNCTION("""COMPUTED_VALUE"""),"Autopilot included")</f>
        <v>Autopilot included</v>
      </c>
      <c r="S3666" t="str">
        <f>IFERROR(__xludf.DUMMYFUNCTION("""COMPUTED_VALUE"""),"Loan")</f>
        <v>Loan</v>
      </c>
      <c r="T3666" t="str">
        <f>IFERROR(__xludf.DUMMYFUNCTION("""COMPUTED_VALUE"""),"Model 3 will be my first car!")</f>
        <v>Model 3 will be my first car!</v>
      </c>
      <c r="U3666" t="str">
        <f>IFERROR(__xludf.DUMMYFUNCTION("""COMPUTED_VALUE"""),"Electric!")</f>
        <v>Electric!</v>
      </c>
      <c r="V3666" t="str">
        <f>IFERROR(__xludf.DUMMYFUNCTION("""COMPUTED_VALUE"""),"Apple CarPlay / Android Auto / SiriusXM Radio")</f>
        <v>Apple CarPlay / Android Auto / SiriusXM Radio</v>
      </c>
      <c r="AH3666" s="189">
        <f>IFERROR(__xludf.DUMMYFUNCTION("""COMPUTED_VALUE"""),44498.74392425926)</f>
        <v>44498.74392</v>
      </c>
    </row>
    <row r="3667">
      <c r="A3667" t="str">
        <f>IFERROR(__xludf.DUMMYFUNCTION("""COMPUTED_VALUE"""),"Zuzi")</f>
        <v>Zuzi</v>
      </c>
      <c r="B3667" t="str">
        <f>IFERROR(__xludf.DUMMYFUNCTION("""COMPUTED_VALUE"""),"Tromso")</f>
        <v>Tromso</v>
      </c>
      <c r="D3667" t="str">
        <f>IFERROR(__xludf.DUMMYFUNCTION("""COMPUTED_VALUE"""),"Norway")</f>
        <v>Norway</v>
      </c>
      <c r="E3667" s="188">
        <f>IFERROR(__xludf.DUMMYFUNCTION("""COMPUTED_VALUE"""),44384.0)</f>
        <v>44384</v>
      </c>
      <c r="F3667" s="188">
        <f>IFERROR(__xludf.DUMMYFUNCTION("""COMPUTED_VALUE"""),44494.0)</f>
        <v>44494</v>
      </c>
      <c r="G3667" t="str">
        <f>IFERROR(__xludf.DUMMYFUNCTION("""COMPUTED_VALUE"""),"Source code")</f>
        <v>Source code</v>
      </c>
      <c r="K3667">
        <f>IFERROR(__xludf.DUMMYFUNCTION("""COMPUTED_VALUE"""),110.0)</f>
        <v>110</v>
      </c>
      <c r="N3667" t="str">
        <f>IFERROR(__xludf.DUMMYFUNCTION("""COMPUTED_VALUE"""),"Model 3 LR AWD")</f>
        <v>Model 3 LR AWD</v>
      </c>
      <c r="O3667" t="str">
        <f>IFERROR(__xludf.DUMMYFUNCTION("""COMPUTED_VALUE"""),"Red Multi-Coat")</f>
        <v>Red Multi-Coat</v>
      </c>
      <c r="P3667" t="str">
        <f>IFERROR(__xludf.DUMMYFUNCTION("""COMPUTED_VALUE"""),"18 inch")</f>
        <v>18 inch</v>
      </c>
      <c r="Q3667" t="str">
        <f>IFERROR(__xludf.DUMMYFUNCTION("""COMPUTED_VALUE"""),"All Black")</f>
        <v>All Black</v>
      </c>
      <c r="R3667" t="str">
        <f>IFERROR(__xludf.DUMMYFUNCTION("""COMPUTED_VALUE"""),"Autopilot included")</f>
        <v>Autopilot included</v>
      </c>
      <c r="S3667" t="str">
        <f>IFERROR(__xludf.DUMMYFUNCTION("""COMPUTED_VALUE"""),"Loan")</f>
        <v>Loan</v>
      </c>
      <c r="V3667" t="str">
        <f>IFERROR(__xludf.DUMMYFUNCTION("""COMPUTED_VALUE"""),"Ventilated seats")</f>
        <v>Ventilated seats</v>
      </c>
      <c r="AH3667" s="189">
        <f>IFERROR(__xludf.DUMMYFUNCTION("""COMPUTED_VALUE"""),44499.08981056713)</f>
        <v>44499.08981</v>
      </c>
    </row>
    <row r="3668">
      <c r="A3668" t="str">
        <f>IFERROR(__xludf.DUMMYFUNCTION("""COMPUTED_VALUE"""),"Zarandan")</f>
        <v>Zarandan</v>
      </c>
      <c r="D3668" t="str">
        <f>IFERROR(__xludf.DUMMYFUNCTION("""COMPUTED_VALUE"""),"Netherlands")</f>
        <v>Netherlands</v>
      </c>
      <c r="E3668" s="188">
        <f>IFERROR(__xludf.DUMMYFUNCTION("""COMPUTED_VALUE"""),44498.0)</f>
        <v>44498</v>
      </c>
      <c r="N3668" t="str">
        <f>IFERROR(__xludf.DUMMYFUNCTION("""COMPUTED_VALUE"""),"Model 3 SR+")</f>
        <v>Model 3 SR+</v>
      </c>
      <c r="O3668" t="str">
        <f>IFERROR(__xludf.DUMMYFUNCTION("""COMPUTED_VALUE"""),"Deep Blue Metallic")</f>
        <v>Deep Blue Metallic</v>
      </c>
      <c r="P3668" t="str">
        <f>IFERROR(__xludf.DUMMYFUNCTION("""COMPUTED_VALUE"""),"18 inch")</f>
        <v>18 inch</v>
      </c>
      <c r="Q3668" t="str">
        <f>IFERROR(__xludf.DUMMYFUNCTION("""COMPUTED_VALUE"""),"All Black")</f>
        <v>All Black</v>
      </c>
      <c r="S3668" t="str">
        <f>IFERROR(__xludf.DUMMYFUNCTION("""COMPUTED_VALUE"""),"Cash")</f>
        <v>Cash</v>
      </c>
      <c r="U3668" t="str">
        <f>IFERROR(__xludf.DUMMYFUNCTION("""COMPUTED_VALUE"""),"Electric!")</f>
        <v>Electric!</v>
      </c>
      <c r="V3668" t="str">
        <f>IFERROR(__xludf.DUMMYFUNCTION("""COMPUTED_VALUE"""),"Apple CarPlay / Android Auto / SiriusXM Radio")</f>
        <v>Apple CarPlay / Android Auto / SiriusXM Radio</v>
      </c>
      <c r="AH3668" s="189">
        <f>IFERROR(__xludf.DUMMYFUNCTION("""COMPUTED_VALUE"""),44499.362786261576)</f>
        <v>44499.36279</v>
      </c>
    </row>
    <row r="3669">
      <c r="A3669" t="str">
        <f>IFERROR(__xludf.DUMMYFUNCTION("""COMPUTED_VALUE"""),"LadM3")</f>
        <v>LadM3</v>
      </c>
      <c r="B3669" t="str">
        <f>IFERROR(__xludf.DUMMYFUNCTION("""COMPUTED_VALUE"""),"Charlotte")</f>
        <v>Charlotte</v>
      </c>
      <c r="C3669" t="str">
        <f>IFERROR(__xludf.DUMMYFUNCTION("""COMPUTED_VALUE"""),"NC")</f>
        <v>NC</v>
      </c>
      <c r="D3669" t="str">
        <f>IFERROR(__xludf.DUMMYFUNCTION("""COMPUTED_VALUE"""),"USA")</f>
        <v>USA</v>
      </c>
      <c r="E3669" s="188">
        <f>IFERROR(__xludf.DUMMYFUNCTION("""COMPUTED_VALUE"""),44490.0)</f>
        <v>44490</v>
      </c>
      <c r="F3669" s="188">
        <f>IFERROR(__xludf.DUMMYFUNCTION("""COMPUTED_VALUE"""),44507.0)</f>
        <v>44507</v>
      </c>
      <c r="G3669" t="str">
        <f>IFERROR(__xludf.DUMMYFUNCTION("""COMPUTED_VALUE"""),"Manage order page (normal text)")</f>
        <v>Manage order page (normal text)</v>
      </c>
      <c r="H3669">
        <f>IFERROR(__xludf.DUMMYFUNCTION("""COMPUTED_VALUE"""),105629.0)</f>
        <v>105629</v>
      </c>
      <c r="K3669">
        <f>IFERROR(__xludf.DUMMYFUNCTION("""COMPUTED_VALUE"""),17.0)</f>
        <v>17</v>
      </c>
      <c r="N3669" t="str">
        <f>IFERROR(__xludf.DUMMYFUNCTION("""COMPUTED_VALUE"""),"Model 3 LR AWD")</f>
        <v>Model 3 LR AWD</v>
      </c>
      <c r="O3669" t="str">
        <f>IFERROR(__xludf.DUMMYFUNCTION("""COMPUTED_VALUE"""),"Deep Blue Metallic")</f>
        <v>Deep Blue Metallic</v>
      </c>
      <c r="P3669" t="str">
        <f>IFERROR(__xludf.DUMMYFUNCTION("""COMPUTED_VALUE"""),"18 inch")</f>
        <v>18 inch</v>
      </c>
      <c r="Q3669" t="str">
        <f>IFERROR(__xludf.DUMMYFUNCTION("""COMPUTED_VALUE"""),"All Black")</f>
        <v>All Black</v>
      </c>
      <c r="R3669" t="str">
        <f>IFERROR(__xludf.DUMMYFUNCTION("""COMPUTED_VALUE"""),"Autopilot included")</f>
        <v>Autopilot included</v>
      </c>
      <c r="T3669" t="str">
        <f>IFERROR(__xludf.DUMMYFUNCTION("""COMPUTED_VALUE"""),"Tesla Model 3")</f>
        <v>Tesla Model 3</v>
      </c>
      <c r="U3669" t="str">
        <f>IFERROR(__xludf.DUMMYFUNCTION("""COMPUTED_VALUE"""),"Electric!")</f>
        <v>Electric!</v>
      </c>
      <c r="V3669" t="str">
        <f>IFERROR(__xludf.DUMMYFUNCTION("""COMPUTED_VALUE"""),"Head-up display")</f>
        <v>Head-up display</v>
      </c>
      <c r="AH3669" s="189">
        <f>IFERROR(__xludf.DUMMYFUNCTION("""COMPUTED_VALUE"""),44507.28626538195)</f>
        <v>44507.28627</v>
      </c>
    </row>
    <row r="3670">
      <c r="A3670" t="str">
        <f>IFERROR(__xludf.DUMMYFUNCTION("""COMPUTED_VALUE"""),"M@")</f>
        <v>M@</v>
      </c>
      <c r="B3670" t="str">
        <f>IFERROR(__xludf.DUMMYFUNCTION("""COMPUTED_VALUE"""),"Bow")</f>
        <v>Bow</v>
      </c>
      <c r="C3670" t="str">
        <f>IFERROR(__xludf.DUMMYFUNCTION("""COMPUTED_VALUE"""),"NH")</f>
        <v>NH</v>
      </c>
      <c r="D3670" t="str">
        <f>IFERROR(__xludf.DUMMYFUNCTION("""COMPUTED_VALUE"""),"USA")</f>
        <v>USA</v>
      </c>
      <c r="E3670" s="188">
        <f>IFERROR(__xludf.DUMMYFUNCTION("""COMPUTED_VALUE"""),44484.0)</f>
        <v>44484</v>
      </c>
      <c r="N3670" t="str">
        <f>IFERROR(__xludf.DUMMYFUNCTION("""COMPUTED_VALUE"""),"Model 3 LR AWD")</f>
        <v>Model 3 LR AWD</v>
      </c>
      <c r="O3670" t="str">
        <f>IFERROR(__xludf.DUMMYFUNCTION("""COMPUTED_VALUE"""),"Pearl White Multi-Coat")</f>
        <v>Pearl White Multi-Coat</v>
      </c>
      <c r="P3670" t="str">
        <f>IFERROR(__xludf.DUMMYFUNCTION("""COMPUTED_VALUE"""),"18 inch")</f>
        <v>18 inch</v>
      </c>
      <c r="Q3670" t="str">
        <f>IFERROR(__xludf.DUMMYFUNCTION("""COMPUTED_VALUE"""),"All Black")</f>
        <v>All Black</v>
      </c>
      <c r="R3670" t="str">
        <f>IFERROR(__xludf.DUMMYFUNCTION("""COMPUTED_VALUE"""),"Autopilot included")</f>
        <v>Autopilot included</v>
      </c>
      <c r="S3670" t="str">
        <f>IFERROR(__xludf.DUMMYFUNCTION("""COMPUTED_VALUE"""),"Cash")</f>
        <v>Cash</v>
      </c>
      <c r="T3670" t="str">
        <f>IFERROR(__xludf.DUMMYFUNCTION("""COMPUTED_VALUE"""),"Mercedes E500")</f>
        <v>Mercedes E500</v>
      </c>
      <c r="U3670" t="str">
        <f>IFERROR(__xludf.DUMMYFUNCTION("""COMPUTED_VALUE"""),"Autopilot")</f>
        <v>Autopilot</v>
      </c>
      <c r="AH3670" s="189">
        <f>IFERROR(__xludf.DUMMYFUNCTION("""COMPUTED_VALUE"""),44500.3452787037)</f>
        <v>44500.34528</v>
      </c>
    </row>
    <row r="3671">
      <c r="A3671" t="str">
        <f>IFERROR(__xludf.DUMMYFUNCTION("""COMPUTED_VALUE"""),"Max R")</f>
        <v>Max R</v>
      </c>
      <c r="B3671" t="str">
        <f>IFERROR(__xludf.DUMMYFUNCTION("""COMPUTED_VALUE"""),"Maidenhead")</f>
        <v>Maidenhead</v>
      </c>
      <c r="D3671" t="str">
        <f>IFERROR(__xludf.DUMMYFUNCTION("""COMPUTED_VALUE"""),"United Kingdom")</f>
        <v>United Kingdom</v>
      </c>
      <c r="E3671" s="188">
        <f>IFERROR(__xludf.DUMMYFUNCTION("""COMPUTED_VALUE"""),44480.0)</f>
        <v>44480</v>
      </c>
      <c r="F3671" s="188">
        <f>IFERROR(__xludf.DUMMYFUNCTION("""COMPUTED_VALUE"""),44495.0)</f>
        <v>44495</v>
      </c>
      <c r="G3671" t="str">
        <f>IFERROR(__xludf.DUMMYFUNCTION("""COMPUTED_VALUE"""),"Source code")</f>
        <v>Source code</v>
      </c>
      <c r="H3671">
        <f>IFERROR(__xludf.DUMMYFUNCTION("""COMPUTED_VALUE"""),393855.0)</f>
        <v>393855</v>
      </c>
      <c r="J3671" s="188">
        <f>IFERROR(__xludf.DUMMYFUNCTION("""COMPUTED_VALUE"""),44531.0)</f>
        <v>44531</v>
      </c>
      <c r="K3671">
        <f>IFERROR(__xludf.DUMMYFUNCTION("""COMPUTED_VALUE"""),15.0)</f>
        <v>15</v>
      </c>
      <c r="L3671">
        <f>IFERROR(__xludf.DUMMYFUNCTION("""COMPUTED_VALUE"""),36.0)</f>
        <v>36</v>
      </c>
      <c r="M3671">
        <f>IFERROR(__xludf.DUMMYFUNCTION("""COMPUTED_VALUE"""),51.0)</f>
        <v>51</v>
      </c>
      <c r="N3671" t="str">
        <f>IFERROR(__xludf.DUMMYFUNCTION("""COMPUTED_VALUE"""),"Model 3 LR AWD")</f>
        <v>Model 3 LR AWD</v>
      </c>
      <c r="O3671" t="str">
        <f>IFERROR(__xludf.DUMMYFUNCTION("""COMPUTED_VALUE"""),"Pearl White Multi-Coat")</f>
        <v>Pearl White Multi-Coat</v>
      </c>
      <c r="P3671" t="str">
        <f>IFERROR(__xludf.DUMMYFUNCTION("""COMPUTED_VALUE"""),"18 inch")</f>
        <v>18 inch</v>
      </c>
      <c r="Q3671" t="str">
        <f>IFERROR(__xludf.DUMMYFUNCTION("""COMPUTED_VALUE"""),"All Black")</f>
        <v>All Black</v>
      </c>
      <c r="R3671" t="str">
        <f>IFERROR(__xludf.DUMMYFUNCTION("""COMPUTED_VALUE"""),"Autopilot included")</f>
        <v>Autopilot included</v>
      </c>
      <c r="S3671" t="str">
        <f>IFERROR(__xludf.DUMMYFUNCTION("""COMPUTED_VALUE"""),"Cash")</f>
        <v>Cash</v>
      </c>
      <c r="T3671" t="str">
        <f>IFERROR(__xludf.DUMMYFUNCTION("""COMPUTED_VALUE"""),"Volkswagen Golf GTE")</f>
        <v>Volkswagen Golf GTE</v>
      </c>
      <c r="U3671" t="str">
        <f>IFERROR(__xludf.DUMMYFUNCTION("""COMPUTED_VALUE"""),"Electric!")</f>
        <v>Electric!</v>
      </c>
      <c r="V3671" t="str">
        <f>IFERROR(__xludf.DUMMYFUNCTION("""COMPUTED_VALUE"""),"More sound insulation")</f>
        <v>More sound insulation</v>
      </c>
      <c r="AH3671" s="189">
        <f>IFERROR(__xludf.DUMMYFUNCTION("""COMPUTED_VALUE"""),44500.39297453704)</f>
        <v>44500.39297</v>
      </c>
    </row>
    <row r="3672">
      <c r="A3672" t="str">
        <f>IFERROR(__xludf.DUMMYFUNCTION("""COMPUTED_VALUE"""),"sunnyday3")</f>
        <v>sunnyday3</v>
      </c>
      <c r="B3672" t="str">
        <f>IFERROR(__xludf.DUMMYFUNCTION("""COMPUTED_VALUE"""),"Aurora")</f>
        <v>Aurora</v>
      </c>
      <c r="C3672" t="str">
        <f>IFERROR(__xludf.DUMMYFUNCTION("""COMPUTED_VALUE"""),"ON")</f>
        <v>ON</v>
      </c>
      <c r="D3672" t="str">
        <f>IFERROR(__xludf.DUMMYFUNCTION("""COMPUTED_VALUE"""),"Canada")</f>
        <v>Canada</v>
      </c>
      <c r="E3672" s="188">
        <f>IFERROR(__xludf.DUMMYFUNCTION("""COMPUTED_VALUE"""),44490.0)</f>
        <v>44490</v>
      </c>
      <c r="N3672" t="str">
        <f>IFERROR(__xludf.DUMMYFUNCTION("""COMPUTED_VALUE"""),"Model 3 LR AWD")</f>
        <v>Model 3 LR AWD</v>
      </c>
      <c r="O3672" t="str">
        <f>IFERROR(__xludf.DUMMYFUNCTION("""COMPUTED_VALUE"""),"Midnight Silver Metallic")</f>
        <v>Midnight Silver Metallic</v>
      </c>
      <c r="P3672" t="str">
        <f>IFERROR(__xludf.DUMMYFUNCTION("""COMPUTED_VALUE"""),"18 inch")</f>
        <v>18 inch</v>
      </c>
      <c r="Q3672" t="str">
        <f>IFERROR(__xludf.DUMMYFUNCTION("""COMPUTED_VALUE"""),"All Black")</f>
        <v>All Black</v>
      </c>
      <c r="R3672" t="str">
        <f>IFERROR(__xludf.DUMMYFUNCTION("""COMPUTED_VALUE"""),"Autopilot included")</f>
        <v>Autopilot included</v>
      </c>
      <c r="S3672" t="str">
        <f>IFERROR(__xludf.DUMMYFUNCTION("""COMPUTED_VALUE"""),"Loan")</f>
        <v>Loan</v>
      </c>
      <c r="T3672" t="str">
        <f>IFERROR(__xludf.DUMMYFUNCTION("""COMPUTED_VALUE"""),"Honda Civic")</f>
        <v>Honda Civic</v>
      </c>
      <c r="U3672" t="str">
        <f>IFERROR(__xludf.DUMMYFUNCTION("""COMPUTED_VALUE"""),"Electric!")</f>
        <v>Electric!</v>
      </c>
      <c r="AH3672" s="189">
        <f>IFERROR(__xludf.DUMMYFUNCTION("""COMPUTED_VALUE"""),44500.77746981481)</f>
        <v>44500.77747</v>
      </c>
    </row>
    <row r="3673">
      <c r="A3673" t="str">
        <f>IFERROR(__xludf.DUMMYFUNCTION("""COMPUTED_VALUE"""),"CocoMaxxi")</f>
        <v>CocoMaxxi</v>
      </c>
      <c r="D3673" t="str">
        <f>IFERROR(__xludf.DUMMYFUNCTION("""COMPUTED_VALUE"""),"United Kingdom")</f>
        <v>United Kingdom</v>
      </c>
      <c r="E3673" s="188">
        <f>IFERROR(__xludf.DUMMYFUNCTION("""COMPUTED_VALUE"""),44326.0)</f>
        <v>44326</v>
      </c>
      <c r="N3673" t="str">
        <f>IFERROR(__xludf.DUMMYFUNCTION("""COMPUTED_VALUE"""),"Model 3 SR+")</f>
        <v>Model 3 SR+</v>
      </c>
      <c r="O3673" t="str">
        <f>IFERROR(__xludf.DUMMYFUNCTION("""COMPUTED_VALUE"""),"Solid Black")</f>
        <v>Solid Black</v>
      </c>
      <c r="P3673" t="str">
        <f>IFERROR(__xludf.DUMMYFUNCTION("""COMPUTED_VALUE"""),"18 inch")</f>
        <v>18 inch</v>
      </c>
      <c r="Q3673" t="str">
        <f>IFERROR(__xludf.DUMMYFUNCTION("""COMPUTED_VALUE"""),"All Black")</f>
        <v>All Black</v>
      </c>
      <c r="S3673" t="str">
        <f>IFERROR(__xludf.DUMMYFUNCTION("""COMPUTED_VALUE"""),"Lease")</f>
        <v>Lease</v>
      </c>
      <c r="T3673" t="str">
        <f>IFERROR(__xludf.DUMMYFUNCTION("""COMPUTED_VALUE"""),"Mercedes’ cla sb 2020")</f>
        <v>Mercedes’ cla sb 2020</v>
      </c>
      <c r="U3673" t="str">
        <f>IFERROR(__xludf.DUMMYFUNCTION("""COMPUTED_VALUE"""),"Supercharger V3 support")</f>
        <v>Supercharger V3 support</v>
      </c>
      <c r="V3673" t="str">
        <f>IFERROR(__xludf.DUMMYFUNCTION("""COMPUTED_VALUE"""),"Apple CarPlay / Android Auto / SiriusXM Radio")</f>
        <v>Apple CarPlay / Android Auto / SiriusXM Radio</v>
      </c>
      <c r="AH3673" s="189">
        <f>IFERROR(__xludf.DUMMYFUNCTION("""COMPUTED_VALUE"""),44501.133635624996)</f>
        <v>44501.13364</v>
      </c>
    </row>
    <row r="3674">
      <c r="A3674" t="str">
        <f>IFERROR(__xludf.DUMMYFUNCTION("""COMPUTED_VALUE"""),"mcstravis")</f>
        <v>mcstravis</v>
      </c>
      <c r="B3674" t="str">
        <f>IFERROR(__xludf.DUMMYFUNCTION("""COMPUTED_VALUE"""),"Ottawa")</f>
        <v>Ottawa</v>
      </c>
      <c r="C3674" t="str">
        <f>IFERROR(__xludf.DUMMYFUNCTION("""COMPUTED_VALUE"""),"ON")</f>
        <v>ON</v>
      </c>
      <c r="D3674" t="str">
        <f>IFERROR(__xludf.DUMMYFUNCTION("""COMPUTED_VALUE"""),"Canada")</f>
        <v>Canada</v>
      </c>
      <c r="E3674" s="188">
        <f>IFERROR(__xludf.DUMMYFUNCTION("""COMPUTED_VALUE"""),44435.0)</f>
        <v>44435</v>
      </c>
      <c r="N3674" t="str">
        <f>IFERROR(__xludf.DUMMYFUNCTION("""COMPUTED_VALUE"""),"Model 3 SR+")</f>
        <v>Model 3 SR+</v>
      </c>
      <c r="O3674" t="str">
        <f>IFERROR(__xludf.DUMMYFUNCTION("""COMPUTED_VALUE"""),"Solid Black")</f>
        <v>Solid Black</v>
      </c>
      <c r="P3674" t="str">
        <f>IFERROR(__xludf.DUMMYFUNCTION("""COMPUTED_VALUE"""),"18 inch")</f>
        <v>18 inch</v>
      </c>
      <c r="Q3674" t="str">
        <f>IFERROR(__xludf.DUMMYFUNCTION("""COMPUTED_VALUE"""),"All Black")</f>
        <v>All Black</v>
      </c>
      <c r="R3674" t="str">
        <f>IFERROR(__xludf.DUMMYFUNCTION("""COMPUTED_VALUE"""),"Autopilot included")</f>
        <v>Autopilot included</v>
      </c>
      <c r="S3674" t="str">
        <f>IFERROR(__xludf.DUMMYFUNCTION("""COMPUTED_VALUE"""),"Cash")</f>
        <v>Cash</v>
      </c>
      <c r="T3674" t="str">
        <f>IFERROR(__xludf.DUMMYFUNCTION("""COMPUTED_VALUE"""),"Suzuki SX4")</f>
        <v>Suzuki SX4</v>
      </c>
      <c r="U3674" t="str">
        <f>IFERROR(__xludf.DUMMYFUNCTION("""COMPUTED_VALUE"""),"Electric!")</f>
        <v>Electric!</v>
      </c>
      <c r="V3674" t="str">
        <f>IFERROR(__xludf.DUMMYFUNCTION("""COMPUTED_VALUE"""),"Apple CarPlay / Android Auto / SiriusXM Radio")</f>
        <v>Apple CarPlay / Android Auto / SiriusXM Radio</v>
      </c>
      <c r="AH3674" s="189">
        <f>IFERROR(__xludf.DUMMYFUNCTION("""COMPUTED_VALUE"""),44501.29287413195)</f>
        <v>44501.29287</v>
      </c>
    </row>
    <row r="3675">
      <c r="A3675" t="str">
        <f>IFERROR(__xludf.DUMMYFUNCTION("""COMPUTED_VALUE"""),"sandiego858")</f>
        <v>sandiego858</v>
      </c>
      <c r="B3675" t="str">
        <f>IFERROR(__xludf.DUMMYFUNCTION("""COMPUTED_VALUE"""),"San Diego")</f>
        <v>San Diego</v>
      </c>
      <c r="C3675" t="str">
        <f>IFERROR(__xludf.DUMMYFUNCTION("""COMPUTED_VALUE"""),"CA")</f>
        <v>CA</v>
      </c>
      <c r="D3675" t="str">
        <f>IFERROR(__xludf.DUMMYFUNCTION("""COMPUTED_VALUE"""),"USA")</f>
        <v>USA</v>
      </c>
      <c r="E3675" s="188">
        <f>IFERROR(__xludf.DUMMYFUNCTION("""COMPUTED_VALUE"""),44476.0)</f>
        <v>44476</v>
      </c>
      <c r="N3675" t="str">
        <f>IFERROR(__xludf.DUMMYFUNCTION("""COMPUTED_VALUE"""),"Model 3 LR AWD")</f>
        <v>Model 3 LR AWD</v>
      </c>
      <c r="O3675" t="str">
        <f>IFERROR(__xludf.DUMMYFUNCTION("""COMPUTED_VALUE"""),"Pearl White Multi-Coat")</f>
        <v>Pearl White Multi-Coat</v>
      </c>
      <c r="P3675" t="str">
        <f>IFERROR(__xludf.DUMMYFUNCTION("""COMPUTED_VALUE"""),"18 inch")</f>
        <v>18 inch</v>
      </c>
      <c r="Q3675" t="str">
        <f>IFERROR(__xludf.DUMMYFUNCTION("""COMPUTED_VALUE"""),"All Black")</f>
        <v>All Black</v>
      </c>
      <c r="R3675" t="str">
        <f>IFERROR(__xludf.DUMMYFUNCTION("""COMPUTED_VALUE"""),"Autopilot included")</f>
        <v>Autopilot included</v>
      </c>
      <c r="S3675" t="str">
        <f>IFERROR(__xludf.DUMMYFUNCTION("""COMPUTED_VALUE"""),"Cash")</f>
        <v>Cash</v>
      </c>
      <c r="T3675" t="str">
        <f>IFERROR(__xludf.DUMMYFUNCTION("""COMPUTED_VALUE"""),"Hyundai Ioniq Hybrid")</f>
        <v>Hyundai Ioniq Hybrid</v>
      </c>
      <c r="U3675" t="str">
        <f>IFERROR(__xludf.DUMMYFUNCTION("""COMPUTED_VALUE"""),"Electric!")</f>
        <v>Electric!</v>
      </c>
      <c r="V3675" t="str">
        <f>IFERROR(__xludf.DUMMYFUNCTION("""COMPUTED_VALUE"""),"Apple CarPlay / Android Auto / SiriusXM Radio")</f>
        <v>Apple CarPlay / Android Auto / SiriusXM Radio</v>
      </c>
      <c r="AH3675" s="189">
        <f>IFERROR(__xludf.DUMMYFUNCTION("""COMPUTED_VALUE"""),44501.32670762732)</f>
        <v>44501.32671</v>
      </c>
    </row>
    <row r="3676">
      <c r="A3676" t="str">
        <f>IFERROR(__xludf.DUMMYFUNCTION("""COMPUTED_VALUE"""),"MrChuckNorris")</f>
        <v>MrChuckNorris</v>
      </c>
      <c r="B3676" t="str">
        <f>IFERROR(__xludf.DUMMYFUNCTION("""COMPUTED_VALUE"""),"Toronto ")</f>
        <v>Toronto </v>
      </c>
      <c r="C3676" t="str">
        <f>IFERROR(__xludf.DUMMYFUNCTION("""COMPUTED_VALUE"""),"ON")</f>
        <v>ON</v>
      </c>
      <c r="D3676" t="str">
        <f>IFERROR(__xludf.DUMMYFUNCTION("""COMPUTED_VALUE"""),"Canada")</f>
        <v>Canada</v>
      </c>
      <c r="E3676" s="188">
        <f>IFERROR(__xludf.DUMMYFUNCTION("""COMPUTED_VALUE"""),44474.0)</f>
        <v>44474</v>
      </c>
      <c r="N3676" t="str">
        <f>IFERROR(__xludf.DUMMYFUNCTION("""COMPUTED_VALUE"""),"Model 3 LR AWD")</f>
        <v>Model 3 LR AWD</v>
      </c>
      <c r="O3676" t="str">
        <f>IFERROR(__xludf.DUMMYFUNCTION("""COMPUTED_VALUE"""),"Pearl White Multi-Coat")</f>
        <v>Pearl White Multi-Coat</v>
      </c>
      <c r="P3676" t="str">
        <f>IFERROR(__xludf.DUMMYFUNCTION("""COMPUTED_VALUE"""),"18 inch")</f>
        <v>18 inch</v>
      </c>
      <c r="Q3676" t="str">
        <f>IFERROR(__xludf.DUMMYFUNCTION("""COMPUTED_VALUE"""),"All Black")</f>
        <v>All Black</v>
      </c>
      <c r="R3676" t="str">
        <f>IFERROR(__xludf.DUMMYFUNCTION("""COMPUTED_VALUE"""),"Full Self-Driving")</f>
        <v>Full Self-Driving</v>
      </c>
      <c r="S3676" t="str">
        <f>IFERROR(__xludf.DUMMYFUNCTION("""COMPUTED_VALUE"""),"Loan")</f>
        <v>Loan</v>
      </c>
      <c r="T3676" t="str">
        <f>IFERROR(__xludf.DUMMYFUNCTION("""COMPUTED_VALUE"""),"BMW X3")</f>
        <v>BMW X3</v>
      </c>
      <c r="U3676" t="str">
        <f>IFERROR(__xludf.DUMMYFUNCTION("""COMPUTED_VALUE"""),"Autopilot")</f>
        <v>Autopilot</v>
      </c>
      <c r="V3676" t="str">
        <f>IFERROR(__xludf.DUMMYFUNCTION("""COMPUTED_VALUE"""),"Head-up display")</f>
        <v>Head-up display</v>
      </c>
      <c r="AH3676" s="189">
        <f>IFERROR(__xludf.DUMMYFUNCTION("""COMPUTED_VALUE"""),44501.435532233794)</f>
        <v>44501.43553</v>
      </c>
    </row>
    <row r="3677">
      <c r="A3677" t="str">
        <f>IFERROR(__xludf.DUMMYFUNCTION("""COMPUTED_VALUE"""),"the33rdstate")</f>
        <v>the33rdstate</v>
      </c>
      <c r="B3677" t="str">
        <f>IFERROR(__xludf.DUMMYFUNCTION("""COMPUTED_VALUE"""),"Klamath Falls")</f>
        <v>Klamath Falls</v>
      </c>
      <c r="C3677" t="str">
        <f>IFERROR(__xludf.DUMMYFUNCTION("""COMPUTED_VALUE"""),"OR")</f>
        <v>OR</v>
      </c>
      <c r="D3677" t="str">
        <f>IFERROR(__xludf.DUMMYFUNCTION("""COMPUTED_VALUE"""),"USA")</f>
        <v>USA</v>
      </c>
      <c r="E3677" s="188">
        <f>IFERROR(__xludf.DUMMYFUNCTION("""COMPUTED_VALUE"""),44497.0)</f>
        <v>44497</v>
      </c>
      <c r="N3677" t="str">
        <f>IFERROR(__xludf.DUMMYFUNCTION("""COMPUTED_VALUE"""),"Model 3 LR AWD")</f>
        <v>Model 3 LR AWD</v>
      </c>
      <c r="O3677" t="str">
        <f>IFERROR(__xludf.DUMMYFUNCTION("""COMPUTED_VALUE"""),"Midnight Silver Metallic")</f>
        <v>Midnight Silver Metallic</v>
      </c>
      <c r="P3677" t="str">
        <f>IFERROR(__xludf.DUMMYFUNCTION("""COMPUTED_VALUE"""),"19 inch")</f>
        <v>19 inch</v>
      </c>
      <c r="Q3677" t="str">
        <f>IFERROR(__xludf.DUMMYFUNCTION("""COMPUTED_VALUE"""),"All Black")</f>
        <v>All Black</v>
      </c>
      <c r="R3677" t="str">
        <f>IFERROR(__xludf.DUMMYFUNCTION("""COMPUTED_VALUE"""),"Autopilot included")</f>
        <v>Autopilot included</v>
      </c>
      <c r="S3677" t="str">
        <f>IFERROR(__xludf.DUMMYFUNCTION("""COMPUTED_VALUE"""),"Cash")</f>
        <v>Cash</v>
      </c>
      <c r="T3677" t="str">
        <f>IFERROR(__xludf.DUMMYFUNCTION("""COMPUTED_VALUE"""),"Toyo Tundra")</f>
        <v>Toyo Tundra</v>
      </c>
      <c r="U3677" t="str">
        <f>IFERROR(__xludf.DUMMYFUNCTION("""COMPUTED_VALUE"""),"Electric!")</f>
        <v>Electric!</v>
      </c>
      <c r="V3677" t="str">
        <f>IFERROR(__xludf.DUMMYFUNCTION("""COMPUTED_VALUE"""),"Bioweapon defense mode")</f>
        <v>Bioweapon defense mode</v>
      </c>
      <c r="AH3677" s="189">
        <f>IFERROR(__xludf.DUMMYFUNCTION("""COMPUTED_VALUE"""),44501.48605215277)</f>
        <v>44501.48605</v>
      </c>
    </row>
    <row r="3678">
      <c r="A3678" t="str">
        <f>IFERROR(__xludf.DUMMYFUNCTION("""COMPUTED_VALUE"""),"mike224jb")</f>
        <v>mike224jb</v>
      </c>
      <c r="B3678" t="str">
        <f>IFERROR(__xludf.DUMMYFUNCTION("""COMPUTED_VALUE"""),"Columbus")</f>
        <v>Columbus</v>
      </c>
      <c r="C3678" t="str">
        <f>IFERROR(__xludf.DUMMYFUNCTION("""COMPUTED_VALUE"""),"OH")</f>
        <v>OH</v>
      </c>
      <c r="D3678" t="str">
        <f>IFERROR(__xludf.DUMMYFUNCTION("""COMPUTED_VALUE"""),"USA")</f>
        <v>USA</v>
      </c>
      <c r="E3678" s="188">
        <f>IFERROR(__xludf.DUMMYFUNCTION("""COMPUTED_VALUE"""),44451.0)</f>
        <v>44451</v>
      </c>
      <c r="F3678" s="188">
        <f>IFERROR(__xludf.DUMMYFUNCTION("""COMPUTED_VALUE"""),44478.0)</f>
        <v>44478</v>
      </c>
      <c r="G3678" t="str">
        <f>IFERROR(__xludf.DUMMYFUNCTION("""COMPUTED_VALUE"""),"Phone call")</f>
        <v>Phone call</v>
      </c>
      <c r="I3678" t="str">
        <f>IFERROR(__xludf.DUMMYFUNCTION("""COMPUTED_VALUE"""),"10/21")</f>
        <v>10/21</v>
      </c>
      <c r="J3678" s="188">
        <f>IFERROR(__xludf.DUMMYFUNCTION("""COMPUTED_VALUE"""),44487.0)</f>
        <v>44487</v>
      </c>
      <c r="K3678">
        <f>IFERROR(__xludf.DUMMYFUNCTION("""COMPUTED_VALUE"""),27.0)</f>
        <v>27</v>
      </c>
      <c r="L3678">
        <f>IFERROR(__xludf.DUMMYFUNCTION("""COMPUTED_VALUE"""),9.0)</f>
        <v>9</v>
      </c>
      <c r="M3678">
        <f>IFERROR(__xludf.DUMMYFUNCTION("""COMPUTED_VALUE"""),36.0)</f>
        <v>36</v>
      </c>
      <c r="N3678" t="str">
        <f>IFERROR(__xludf.DUMMYFUNCTION("""COMPUTED_VALUE"""),"Model 3 Performance")</f>
        <v>Model 3 Performance</v>
      </c>
      <c r="O3678" t="str">
        <f>IFERROR(__xludf.DUMMYFUNCTION("""COMPUTED_VALUE"""),"Midnight Silver Metallic")</f>
        <v>Midnight Silver Metallic</v>
      </c>
      <c r="P3678" t="str">
        <f>IFERROR(__xludf.DUMMYFUNCTION("""COMPUTED_VALUE"""),"20 inch")</f>
        <v>20 inch</v>
      </c>
      <c r="Q3678" t="str">
        <f>IFERROR(__xludf.DUMMYFUNCTION("""COMPUTED_VALUE"""),"Black and White")</f>
        <v>Black and White</v>
      </c>
      <c r="R3678" t="str">
        <f>IFERROR(__xludf.DUMMYFUNCTION("""COMPUTED_VALUE"""),"Autopilot included")</f>
        <v>Autopilot included</v>
      </c>
      <c r="S3678" t="str">
        <f>IFERROR(__xludf.DUMMYFUNCTION("""COMPUTED_VALUE"""),"Lease")</f>
        <v>Lease</v>
      </c>
      <c r="T3678" t="str">
        <f>IFERROR(__xludf.DUMMYFUNCTION("""COMPUTED_VALUE"""),"Honda Civic")</f>
        <v>Honda Civic</v>
      </c>
      <c r="U3678" t="str">
        <f>IFERROR(__xludf.DUMMYFUNCTION("""COMPUTED_VALUE"""),"Electric!")</f>
        <v>Electric!</v>
      </c>
      <c r="V3678" t="str">
        <f>IFERROR(__xludf.DUMMYFUNCTION("""COMPUTED_VALUE"""),"HomeLink")</f>
        <v>HomeLink</v>
      </c>
      <c r="W3678" t="str">
        <f>IFERROR(__xludf.DUMMYFUNCTION("""COMPUTED_VALUE"""),"Supercharging is more expensive than I expected, but still comparable to a gas vehicle.")</f>
        <v>Supercharging is more expensive than I expected, but still comparable to a gas vehicle.</v>
      </c>
      <c r="X3678" t="str">
        <f>IFERROR(__xludf.DUMMYFUNCTION("""COMPUTED_VALUE"""),"Excellent")</f>
        <v>Excellent</v>
      </c>
      <c r="Y3678" t="str">
        <f>IFERROR(__xludf.DUMMYFUNCTION("""COMPUTED_VALUE"""),"Excellent")</f>
        <v>Excellent</v>
      </c>
      <c r="Z3678" t="str">
        <f>IFERROR(__xludf.DUMMYFUNCTION("""COMPUTED_VALUE"""),"Excellent")</f>
        <v>Excellent</v>
      </c>
      <c r="AA3678" t="str">
        <f>IFERROR(__xludf.DUMMYFUNCTION("""COMPUTED_VALUE"""),"Excellent")</f>
        <v>Excellent</v>
      </c>
      <c r="AB3678" t="str">
        <f>IFERROR(__xludf.DUMMYFUNCTION("""COMPUTED_VALUE"""),"Excellent")</f>
        <v>Excellent</v>
      </c>
      <c r="AC3678">
        <f>IFERROR(__xludf.DUMMYFUNCTION("""COMPUTED_VALUE"""),0.0)</f>
        <v>0</v>
      </c>
      <c r="AD3678">
        <f>IFERROR(__xludf.DUMMYFUNCTION("""COMPUTED_VALUE"""),0.0)</f>
        <v>0</v>
      </c>
      <c r="AE3678">
        <f>IFERROR(__xludf.DUMMYFUNCTION("""COMPUTED_VALUE"""),0.0)</f>
        <v>0</v>
      </c>
      <c r="AF3678" t="str">
        <f>IFERROR(__xludf.DUMMYFUNCTION("""COMPUTED_VALUE"""),"No. I took delivery of the first car Tesla was able to deliver.")</f>
        <v>No. I took delivery of the first car Tesla was able to deliver.</v>
      </c>
      <c r="AG3678" t="str">
        <f>IFERROR(__xludf.DUMMYFUNCTION("""COMPUTED_VALUE"""),"Tesla Columbus was fantastic.  Delivered the car early and right to my driveway.  A+++")</f>
        <v>Tesla Columbus was fantastic.  Delivered the car early and right to my driveway.  A+++</v>
      </c>
      <c r="AH3678" s="189">
        <f>IFERROR(__xludf.DUMMYFUNCTION("""COMPUTED_VALUE"""),44501.498035578705)</f>
        <v>44501.49804</v>
      </c>
    </row>
    <row r="3679">
      <c r="A3679" t="str">
        <f>IFERROR(__xludf.DUMMYFUNCTION("""COMPUTED_VALUE"""),"Tekraftian")</f>
        <v>Tekraftian</v>
      </c>
      <c r="B3679" t="str">
        <f>IFERROR(__xludf.DUMMYFUNCTION("""COMPUTED_VALUE"""),"Atlanta")</f>
        <v>Atlanta</v>
      </c>
      <c r="C3679" t="str">
        <f>IFERROR(__xludf.DUMMYFUNCTION("""COMPUTED_VALUE"""),"GA")</f>
        <v>GA</v>
      </c>
      <c r="D3679" t="str">
        <f>IFERROR(__xludf.DUMMYFUNCTION("""COMPUTED_VALUE"""),"USA")</f>
        <v>USA</v>
      </c>
      <c r="E3679" s="188">
        <f>IFERROR(__xludf.DUMMYFUNCTION("""COMPUTED_VALUE"""),44463.0)</f>
        <v>44463</v>
      </c>
      <c r="F3679" s="188">
        <f>IFERROR(__xludf.DUMMYFUNCTION("""COMPUTED_VALUE"""),44484.0)</f>
        <v>44484</v>
      </c>
      <c r="G3679" t="str">
        <f>IFERROR(__xludf.DUMMYFUNCTION("""COMPUTED_VALUE"""),"Manage order page (normal text)")</f>
        <v>Manage order page (normal text)</v>
      </c>
      <c r="J3679" s="188">
        <f>IFERROR(__xludf.DUMMYFUNCTION("""COMPUTED_VALUE"""),44503.0)</f>
        <v>44503</v>
      </c>
      <c r="K3679">
        <f>IFERROR(__xludf.DUMMYFUNCTION("""COMPUTED_VALUE"""),21.0)</f>
        <v>21</v>
      </c>
      <c r="L3679">
        <f>IFERROR(__xludf.DUMMYFUNCTION("""COMPUTED_VALUE"""),19.0)</f>
        <v>19</v>
      </c>
      <c r="M3679">
        <f>IFERROR(__xludf.DUMMYFUNCTION("""COMPUTED_VALUE"""),40.0)</f>
        <v>40</v>
      </c>
      <c r="N3679" t="str">
        <f>IFERROR(__xludf.DUMMYFUNCTION("""COMPUTED_VALUE"""),"Model 3 SR+")</f>
        <v>Model 3 SR+</v>
      </c>
      <c r="O3679" t="str">
        <f>IFERROR(__xludf.DUMMYFUNCTION("""COMPUTED_VALUE"""),"Pearl White Multi-Coat")</f>
        <v>Pearl White Multi-Coat</v>
      </c>
      <c r="P3679" t="str">
        <f>IFERROR(__xludf.DUMMYFUNCTION("""COMPUTED_VALUE"""),"18 inch")</f>
        <v>18 inch</v>
      </c>
      <c r="Q3679" t="str">
        <f>IFERROR(__xludf.DUMMYFUNCTION("""COMPUTED_VALUE"""),"Black and White")</f>
        <v>Black and White</v>
      </c>
      <c r="R3679" t="str">
        <f>IFERROR(__xludf.DUMMYFUNCTION("""COMPUTED_VALUE"""),"Full Self-Driving")</f>
        <v>Full Self-Driving</v>
      </c>
      <c r="S3679" t="str">
        <f>IFERROR(__xludf.DUMMYFUNCTION("""COMPUTED_VALUE"""),"Cash")</f>
        <v>Cash</v>
      </c>
      <c r="T3679" t="str">
        <f>IFERROR(__xludf.DUMMYFUNCTION("""COMPUTED_VALUE"""),"Model 3 will be my first car!")</f>
        <v>Model 3 will be my first car!</v>
      </c>
      <c r="U3679" t="str">
        <f>IFERROR(__xludf.DUMMYFUNCTION("""COMPUTED_VALUE"""),"Autopilot")</f>
        <v>Autopilot</v>
      </c>
      <c r="V3679" t="str">
        <f>IFERROR(__xludf.DUMMYFUNCTION("""COMPUTED_VALUE"""),"360° Bird's eye view")</f>
        <v>360° Bird's eye view</v>
      </c>
      <c r="AH3679" s="189">
        <f>IFERROR(__xludf.DUMMYFUNCTION("""COMPUTED_VALUE"""),44501.50890966435)</f>
        <v>44501.50891</v>
      </c>
    </row>
    <row r="3680">
      <c r="A3680" t="str">
        <f>IFERROR(__xludf.DUMMYFUNCTION("""COMPUTED_VALUE"""),"mordeeb")</f>
        <v>mordeeb</v>
      </c>
      <c r="C3680" t="str">
        <f>IFERROR(__xludf.DUMMYFUNCTION("""COMPUTED_VALUE"""),"MA")</f>
        <v>MA</v>
      </c>
      <c r="D3680" t="str">
        <f>IFERROR(__xludf.DUMMYFUNCTION("""COMPUTED_VALUE"""),"USA")</f>
        <v>USA</v>
      </c>
      <c r="E3680" s="188">
        <f>IFERROR(__xludf.DUMMYFUNCTION("""COMPUTED_VALUE"""),44483.0)</f>
        <v>44483</v>
      </c>
      <c r="N3680" t="str">
        <f>IFERROR(__xludf.DUMMYFUNCTION("""COMPUTED_VALUE"""),"Model 3 LR AWD")</f>
        <v>Model 3 LR AWD</v>
      </c>
      <c r="O3680" t="str">
        <f>IFERROR(__xludf.DUMMYFUNCTION("""COMPUTED_VALUE"""),"Pearl White Multi-Coat")</f>
        <v>Pearl White Multi-Coat</v>
      </c>
      <c r="P3680" t="str">
        <f>IFERROR(__xludf.DUMMYFUNCTION("""COMPUTED_VALUE"""),"18 inch")</f>
        <v>18 inch</v>
      </c>
      <c r="Q3680" t="str">
        <f>IFERROR(__xludf.DUMMYFUNCTION("""COMPUTED_VALUE"""),"All Black")</f>
        <v>All Black</v>
      </c>
      <c r="R3680" t="str">
        <f>IFERROR(__xludf.DUMMYFUNCTION("""COMPUTED_VALUE"""),"Autopilot included")</f>
        <v>Autopilot included</v>
      </c>
      <c r="S3680" t="str">
        <f>IFERROR(__xludf.DUMMYFUNCTION("""COMPUTED_VALUE"""),"Cash")</f>
        <v>Cash</v>
      </c>
      <c r="U3680" t="str">
        <f>IFERROR(__xludf.DUMMYFUNCTION("""COMPUTED_VALUE"""),"Electric!")</f>
        <v>Electric!</v>
      </c>
      <c r="V3680" t="str">
        <f>IFERROR(__xludf.DUMMYFUNCTION("""COMPUTED_VALUE"""),"Apple CarPlay / Android Auto / SiriusXM Radio")</f>
        <v>Apple CarPlay / Android Auto / SiriusXM Radio</v>
      </c>
      <c r="AH3680" s="189">
        <f>IFERROR(__xludf.DUMMYFUNCTION("""COMPUTED_VALUE"""),44501.52469579861)</f>
        <v>44501.5247</v>
      </c>
    </row>
    <row r="3681">
      <c r="A3681" t="str">
        <f>IFERROR(__xludf.DUMMYFUNCTION("""COMPUTED_VALUE"""),"ValarMorghulis")</f>
        <v>ValarMorghulis</v>
      </c>
      <c r="B3681" t="str">
        <f>IFERROR(__xludf.DUMMYFUNCTION("""COMPUTED_VALUE"""),"Seattle")</f>
        <v>Seattle</v>
      </c>
      <c r="C3681" t="str">
        <f>IFERROR(__xludf.DUMMYFUNCTION("""COMPUTED_VALUE"""),"WA")</f>
        <v>WA</v>
      </c>
      <c r="D3681" t="str">
        <f>IFERROR(__xludf.DUMMYFUNCTION("""COMPUTED_VALUE"""),"USA")</f>
        <v>USA</v>
      </c>
      <c r="E3681" s="188">
        <f>IFERROR(__xludf.DUMMYFUNCTION("""COMPUTED_VALUE"""),44445.0)</f>
        <v>44445</v>
      </c>
      <c r="N3681" t="str">
        <f>IFERROR(__xludf.DUMMYFUNCTION("""COMPUTED_VALUE"""),"Model 3 LR AWD")</f>
        <v>Model 3 LR AWD</v>
      </c>
      <c r="O3681" t="str">
        <f>IFERROR(__xludf.DUMMYFUNCTION("""COMPUTED_VALUE"""),"Midnight Silver Metallic")</f>
        <v>Midnight Silver Metallic</v>
      </c>
      <c r="P3681" t="str">
        <f>IFERROR(__xludf.DUMMYFUNCTION("""COMPUTED_VALUE"""),"18 inch")</f>
        <v>18 inch</v>
      </c>
      <c r="Q3681" t="str">
        <f>IFERROR(__xludf.DUMMYFUNCTION("""COMPUTED_VALUE"""),"Black and White")</f>
        <v>Black and White</v>
      </c>
      <c r="R3681" t="str">
        <f>IFERROR(__xludf.DUMMYFUNCTION("""COMPUTED_VALUE"""),"Full Self-Driving")</f>
        <v>Full Self-Driving</v>
      </c>
      <c r="AH3681" s="189">
        <f>IFERROR(__xludf.DUMMYFUNCTION("""COMPUTED_VALUE"""),44502.01761263889)</f>
        <v>44502.01761</v>
      </c>
    </row>
    <row r="3682">
      <c r="A3682" t="str">
        <f>IFERROR(__xludf.DUMMYFUNCTION("""COMPUTED_VALUE"""),"aaronkase")</f>
        <v>aaronkase</v>
      </c>
      <c r="B3682" t="str">
        <f>IFERROR(__xludf.DUMMYFUNCTION("""COMPUTED_VALUE"""),"Northbrook")</f>
        <v>Northbrook</v>
      </c>
      <c r="C3682" t="str">
        <f>IFERROR(__xludf.DUMMYFUNCTION("""COMPUTED_VALUE"""),"IL")</f>
        <v>IL</v>
      </c>
      <c r="D3682" t="str">
        <f>IFERROR(__xludf.DUMMYFUNCTION("""COMPUTED_VALUE"""),"USA")</f>
        <v>USA</v>
      </c>
      <c r="E3682" s="188">
        <f>IFERROR(__xludf.DUMMYFUNCTION("""COMPUTED_VALUE"""),44474.0)</f>
        <v>44474</v>
      </c>
      <c r="N3682" t="str">
        <f>IFERROR(__xludf.DUMMYFUNCTION("""COMPUTED_VALUE"""),"Model 3 LR AWD")</f>
        <v>Model 3 LR AWD</v>
      </c>
      <c r="O3682" t="str">
        <f>IFERROR(__xludf.DUMMYFUNCTION("""COMPUTED_VALUE"""),"Deep Blue Metallic")</f>
        <v>Deep Blue Metallic</v>
      </c>
      <c r="P3682" t="str">
        <f>IFERROR(__xludf.DUMMYFUNCTION("""COMPUTED_VALUE"""),"18 inch")</f>
        <v>18 inch</v>
      </c>
      <c r="Q3682" t="str">
        <f>IFERROR(__xludf.DUMMYFUNCTION("""COMPUTED_VALUE"""),"All Black")</f>
        <v>All Black</v>
      </c>
      <c r="R3682" t="str">
        <f>IFERROR(__xludf.DUMMYFUNCTION("""COMPUTED_VALUE"""),"Autopilot included")</f>
        <v>Autopilot included</v>
      </c>
      <c r="S3682" t="str">
        <f>IFERROR(__xludf.DUMMYFUNCTION("""COMPUTED_VALUE"""),"Cash")</f>
        <v>Cash</v>
      </c>
      <c r="T3682" t="str">
        <f>IFERROR(__xludf.DUMMYFUNCTION("""COMPUTED_VALUE"""),"Honda CRV")</f>
        <v>Honda CRV</v>
      </c>
      <c r="U3682" t="str">
        <f>IFERROR(__xludf.DUMMYFUNCTION("""COMPUTED_VALUE"""),"Electric!")</f>
        <v>Electric!</v>
      </c>
      <c r="V3682" t="str">
        <f>IFERROR(__xludf.DUMMYFUNCTION("""COMPUTED_VALUE"""),"Apple CarPlay / Android Auto / SiriusXM Radio")</f>
        <v>Apple CarPlay / Android Auto / SiriusXM Radio</v>
      </c>
      <c r="AH3682" s="189">
        <f>IFERROR(__xludf.DUMMYFUNCTION("""COMPUTED_VALUE"""),44502.07004684028)</f>
        <v>44502.07005</v>
      </c>
    </row>
    <row r="3683">
      <c r="A3683" t="str">
        <f>IFERROR(__xludf.DUMMYFUNCTION("""COMPUTED_VALUE"""),"ohiader")</f>
        <v>ohiader</v>
      </c>
      <c r="B3683" t="str">
        <f>IFERROR(__xludf.DUMMYFUNCTION("""COMPUTED_VALUE"""),"Phoenix")</f>
        <v>Phoenix</v>
      </c>
      <c r="C3683" t="str">
        <f>IFERROR(__xludf.DUMMYFUNCTION("""COMPUTED_VALUE"""),"AZ")</f>
        <v>AZ</v>
      </c>
      <c r="D3683" t="str">
        <f>IFERROR(__xludf.DUMMYFUNCTION("""COMPUTED_VALUE"""),"USA")</f>
        <v>USA</v>
      </c>
      <c r="E3683" s="188">
        <f>IFERROR(__xludf.DUMMYFUNCTION("""COMPUTED_VALUE"""),44499.0)</f>
        <v>44499</v>
      </c>
      <c r="N3683" t="str">
        <f>IFERROR(__xludf.DUMMYFUNCTION("""COMPUTED_VALUE"""),"Model 3 LR AWD")</f>
        <v>Model 3 LR AWD</v>
      </c>
      <c r="O3683" t="str">
        <f>IFERROR(__xludf.DUMMYFUNCTION("""COMPUTED_VALUE"""),"Pearl White Multi-Coat")</f>
        <v>Pearl White Multi-Coat</v>
      </c>
      <c r="P3683" t="str">
        <f>IFERROR(__xludf.DUMMYFUNCTION("""COMPUTED_VALUE"""),"18 inch")</f>
        <v>18 inch</v>
      </c>
      <c r="Q3683" t="str">
        <f>IFERROR(__xludf.DUMMYFUNCTION("""COMPUTED_VALUE"""),"All Black")</f>
        <v>All Black</v>
      </c>
      <c r="R3683" t="str">
        <f>IFERROR(__xludf.DUMMYFUNCTION("""COMPUTED_VALUE"""),"Autopilot included")</f>
        <v>Autopilot included</v>
      </c>
      <c r="S3683" t="str">
        <f>IFERROR(__xludf.DUMMYFUNCTION("""COMPUTED_VALUE"""),"Loan")</f>
        <v>Loan</v>
      </c>
      <c r="T3683" t="str">
        <f>IFERROR(__xludf.DUMMYFUNCTION("""COMPUTED_VALUE"""),"BMW 128i")</f>
        <v>BMW 128i</v>
      </c>
      <c r="U3683" t="str">
        <f>IFERROR(__xludf.DUMMYFUNCTION("""COMPUTED_VALUE"""),"Electric!")</f>
        <v>Electric!</v>
      </c>
      <c r="V3683" t="str">
        <f>IFERROR(__xludf.DUMMYFUNCTION("""COMPUTED_VALUE"""),"Ventilated seats")</f>
        <v>Ventilated seats</v>
      </c>
      <c r="AH3683" s="189">
        <f>IFERROR(__xludf.DUMMYFUNCTION("""COMPUTED_VALUE"""),44502.33124410879)</f>
        <v>44502.33124</v>
      </c>
    </row>
    <row r="3684">
      <c r="A3684" t="str">
        <f>IFERROR(__xludf.DUMMYFUNCTION("""COMPUTED_VALUE"""),"UpstateNYM3")</f>
        <v>UpstateNYM3</v>
      </c>
      <c r="B3684" t="str">
        <f>IFERROR(__xludf.DUMMYFUNCTION("""COMPUTED_VALUE"""),"Syracuse")</f>
        <v>Syracuse</v>
      </c>
      <c r="C3684" t="str">
        <f>IFERROR(__xludf.DUMMYFUNCTION("""COMPUTED_VALUE"""),"NY")</f>
        <v>NY</v>
      </c>
      <c r="D3684" t="str">
        <f>IFERROR(__xludf.DUMMYFUNCTION("""COMPUTED_VALUE"""),"USA")</f>
        <v>USA</v>
      </c>
      <c r="E3684" s="188">
        <f>IFERROR(__xludf.DUMMYFUNCTION("""COMPUTED_VALUE"""),44497.0)</f>
        <v>44497</v>
      </c>
      <c r="N3684" t="str">
        <f>IFERROR(__xludf.DUMMYFUNCTION("""COMPUTED_VALUE"""),"Model 3 LR AWD")</f>
        <v>Model 3 LR AWD</v>
      </c>
      <c r="O3684" t="str">
        <f>IFERROR(__xludf.DUMMYFUNCTION("""COMPUTED_VALUE"""),"Pearl White Multi-Coat")</f>
        <v>Pearl White Multi-Coat</v>
      </c>
      <c r="P3684" t="str">
        <f>IFERROR(__xludf.DUMMYFUNCTION("""COMPUTED_VALUE"""),"18 inch")</f>
        <v>18 inch</v>
      </c>
      <c r="Q3684" t="str">
        <f>IFERROR(__xludf.DUMMYFUNCTION("""COMPUTED_VALUE"""),"All Black")</f>
        <v>All Black</v>
      </c>
      <c r="R3684" t="str">
        <f>IFERROR(__xludf.DUMMYFUNCTION("""COMPUTED_VALUE"""),"Autopilot included")</f>
        <v>Autopilot included</v>
      </c>
      <c r="S3684" t="str">
        <f>IFERROR(__xludf.DUMMYFUNCTION("""COMPUTED_VALUE"""),"Loan")</f>
        <v>Loan</v>
      </c>
      <c r="T3684" t="str">
        <f>IFERROR(__xludf.DUMMYFUNCTION("""COMPUTED_VALUE"""),"Tesla Model 3")</f>
        <v>Tesla Model 3</v>
      </c>
      <c r="U3684" t="str">
        <f>IFERROR(__xludf.DUMMYFUNCTION("""COMPUTED_VALUE"""),"Electric!")</f>
        <v>Electric!</v>
      </c>
      <c r="V3684" t="str">
        <f>IFERROR(__xludf.DUMMYFUNCTION("""COMPUTED_VALUE"""),"360° Bird's eye view")</f>
        <v>360° Bird's eye view</v>
      </c>
      <c r="AH3684" s="189">
        <f>IFERROR(__xludf.DUMMYFUNCTION("""COMPUTED_VALUE"""),44502.70547365741)</f>
        <v>44502.70547</v>
      </c>
    </row>
    <row r="3685">
      <c r="A3685" t="str">
        <f>IFERROR(__xludf.DUMMYFUNCTION("""COMPUTED_VALUE"""),"mshar")</f>
        <v>mshar</v>
      </c>
      <c r="D3685" t="str">
        <f>IFERROR(__xludf.DUMMYFUNCTION("""COMPUTED_VALUE"""),"United Kingdom")</f>
        <v>United Kingdom</v>
      </c>
      <c r="E3685" s="188">
        <f>IFERROR(__xludf.DUMMYFUNCTION("""COMPUTED_VALUE"""),44491.0)</f>
        <v>44491</v>
      </c>
      <c r="N3685" t="str">
        <f>IFERROR(__xludf.DUMMYFUNCTION("""COMPUTED_VALUE"""),"Model 3 LR AWD")</f>
        <v>Model 3 LR AWD</v>
      </c>
      <c r="O3685" t="str">
        <f>IFERROR(__xludf.DUMMYFUNCTION("""COMPUTED_VALUE"""),"Red Multi-Coat")</f>
        <v>Red Multi-Coat</v>
      </c>
      <c r="P3685" t="str">
        <f>IFERROR(__xludf.DUMMYFUNCTION("""COMPUTED_VALUE"""),"19 inch")</f>
        <v>19 inch</v>
      </c>
      <c r="Q3685" t="str">
        <f>IFERROR(__xludf.DUMMYFUNCTION("""COMPUTED_VALUE"""),"All Black")</f>
        <v>All Black</v>
      </c>
      <c r="R3685" t="str">
        <f>IFERROR(__xludf.DUMMYFUNCTION("""COMPUTED_VALUE"""),"Autopilot included")</f>
        <v>Autopilot included</v>
      </c>
      <c r="S3685" t="str">
        <f>IFERROR(__xludf.DUMMYFUNCTION("""COMPUTED_VALUE"""),"Loan")</f>
        <v>Loan</v>
      </c>
      <c r="T3685" t="str">
        <f>IFERROR(__xludf.DUMMYFUNCTION("""COMPUTED_VALUE"""),"Fiat 500")</f>
        <v>Fiat 500</v>
      </c>
      <c r="U3685" t="str">
        <f>IFERROR(__xludf.DUMMYFUNCTION("""COMPUTED_VALUE"""),"Electric!")</f>
        <v>Electric!</v>
      </c>
      <c r="AH3685" s="189">
        <f>IFERROR(__xludf.DUMMYFUNCTION("""COMPUTED_VALUE"""),44504.56669736111)</f>
        <v>44504.5667</v>
      </c>
    </row>
    <row r="3686">
      <c r="A3686" t="str">
        <f>IFERROR(__xludf.DUMMYFUNCTION("""COMPUTED_VALUE"""),"bigboss115")</f>
        <v>bigboss115</v>
      </c>
      <c r="B3686" t="str">
        <f>IFERROR(__xludf.DUMMYFUNCTION("""COMPUTED_VALUE"""),"LA")</f>
        <v>LA</v>
      </c>
      <c r="C3686" t="str">
        <f>IFERROR(__xludf.DUMMYFUNCTION("""COMPUTED_VALUE"""),"CA")</f>
        <v>CA</v>
      </c>
      <c r="D3686" t="str">
        <f>IFERROR(__xludf.DUMMYFUNCTION("""COMPUTED_VALUE"""),"USA")</f>
        <v>USA</v>
      </c>
      <c r="E3686" s="188">
        <f>IFERROR(__xludf.DUMMYFUNCTION("""COMPUTED_VALUE"""),44481.0)</f>
        <v>44481</v>
      </c>
      <c r="J3686" s="188">
        <f>IFERROR(__xludf.DUMMYFUNCTION("""COMPUTED_VALUE"""),44505.0)</f>
        <v>44505</v>
      </c>
      <c r="M3686">
        <f>IFERROR(__xludf.DUMMYFUNCTION("""COMPUTED_VALUE"""),24.0)</f>
        <v>24</v>
      </c>
      <c r="N3686" t="str">
        <f>IFERROR(__xludf.DUMMYFUNCTION("""COMPUTED_VALUE"""),"Model 3 LR AWD")</f>
        <v>Model 3 LR AWD</v>
      </c>
      <c r="O3686" t="str">
        <f>IFERROR(__xludf.DUMMYFUNCTION("""COMPUTED_VALUE"""),"Pearl White Multi-Coat")</f>
        <v>Pearl White Multi-Coat</v>
      </c>
      <c r="P3686" t="str">
        <f>IFERROR(__xludf.DUMMYFUNCTION("""COMPUTED_VALUE"""),"18 inch")</f>
        <v>18 inch</v>
      </c>
      <c r="Q3686" t="str">
        <f>IFERROR(__xludf.DUMMYFUNCTION("""COMPUTED_VALUE"""),"All Black")</f>
        <v>All Black</v>
      </c>
      <c r="R3686" t="str">
        <f>IFERROR(__xludf.DUMMYFUNCTION("""COMPUTED_VALUE"""),"Autopilot included")</f>
        <v>Autopilot included</v>
      </c>
      <c r="S3686" t="str">
        <f>IFERROR(__xludf.DUMMYFUNCTION("""COMPUTED_VALUE"""),"Loan")</f>
        <v>Loan</v>
      </c>
      <c r="T3686" t="str">
        <f>IFERROR(__xludf.DUMMYFUNCTION("""COMPUTED_VALUE"""),"Honda Civic")</f>
        <v>Honda Civic</v>
      </c>
      <c r="V3686" t="str">
        <f>IFERROR(__xludf.DUMMYFUNCTION("""COMPUTED_VALUE"""),"Apple CarPlay / Android Auto / SiriusXM Radio")</f>
        <v>Apple CarPlay / Android Auto / SiriusXM Radio</v>
      </c>
      <c r="AH3686" s="189">
        <f>IFERROR(__xludf.DUMMYFUNCTION("""COMPUTED_VALUE"""),44503.526849120375)</f>
        <v>44503.52685</v>
      </c>
    </row>
    <row r="3687">
      <c r="A3687" t="str">
        <f>IFERROR(__xludf.DUMMYFUNCTION("""COMPUTED_VALUE"""),"Jewelsource")</f>
        <v>Jewelsource</v>
      </c>
      <c r="B3687" t="str">
        <f>IFERROR(__xludf.DUMMYFUNCTION("""COMPUTED_VALUE"""),"Davie")</f>
        <v>Davie</v>
      </c>
      <c r="C3687" t="str">
        <f>IFERROR(__xludf.DUMMYFUNCTION("""COMPUTED_VALUE"""),"FL")</f>
        <v>FL</v>
      </c>
      <c r="D3687" t="str">
        <f>IFERROR(__xludf.DUMMYFUNCTION("""COMPUTED_VALUE"""),"USA")</f>
        <v>USA</v>
      </c>
      <c r="E3687" s="188">
        <f>IFERROR(__xludf.DUMMYFUNCTION("""COMPUTED_VALUE"""),44474.0)</f>
        <v>44474</v>
      </c>
      <c r="F3687" s="188">
        <f>IFERROR(__xludf.DUMMYFUNCTION("""COMPUTED_VALUE"""),44503.0)</f>
        <v>44503</v>
      </c>
      <c r="G3687" t="str">
        <f>IFERROR(__xludf.DUMMYFUNCTION("""COMPUTED_VALUE"""),"Manage order page (normal text)")</f>
        <v>Manage order page (normal text)</v>
      </c>
      <c r="H3687">
        <f>IFERROR(__xludf.DUMMYFUNCTION("""COMPUTED_VALUE"""),105755.0)</f>
        <v>105755</v>
      </c>
      <c r="K3687">
        <f>IFERROR(__xludf.DUMMYFUNCTION("""COMPUTED_VALUE"""),29.0)</f>
        <v>29</v>
      </c>
      <c r="N3687" t="str">
        <f>IFERROR(__xludf.DUMMYFUNCTION("""COMPUTED_VALUE"""),"Model 3 LR AWD")</f>
        <v>Model 3 LR AWD</v>
      </c>
      <c r="O3687" t="str">
        <f>IFERROR(__xludf.DUMMYFUNCTION("""COMPUTED_VALUE"""),"Pearl White Multi-Coat")</f>
        <v>Pearl White Multi-Coat</v>
      </c>
      <c r="P3687" t="str">
        <f>IFERROR(__xludf.DUMMYFUNCTION("""COMPUTED_VALUE"""),"18 inch")</f>
        <v>18 inch</v>
      </c>
      <c r="Q3687" t="str">
        <f>IFERROR(__xludf.DUMMYFUNCTION("""COMPUTED_VALUE"""),"All Black")</f>
        <v>All Black</v>
      </c>
      <c r="R3687" t="str">
        <f>IFERROR(__xludf.DUMMYFUNCTION("""COMPUTED_VALUE"""),"Autopilot included")</f>
        <v>Autopilot included</v>
      </c>
      <c r="S3687" t="str">
        <f>IFERROR(__xludf.DUMMYFUNCTION("""COMPUTED_VALUE"""),"Loan")</f>
        <v>Loan</v>
      </c>
      <c r="T3687" t="str">
        <f>IFERROR(__xludf.DUMMYFUNCTION("""COMPUTED_VALUE"""),"F-150")</f>
        <v>F-150</v>
      </c>
      <c r="U3687" t="str">
        <f>IFERROR(__xludf.DUMMYFUNCTION("""COMPUTED_VALUE"""),"Autopilot")</f>
        <v>Autopilot</v>
      </c>
      <c r="V3687" t="str">
        <f>IFERROR(__xludf.DUMMYFUNCTION("""COMPUTED_VALUE"""),"Head-up display")</f>
        <v>Head-up display</v>
      </c>
      <c r="AH3687" s="189">
        <f>IFERROR(__xludf.DUMMYFUNCTION("""COMPUTED_VALUE"""),44503.68933946759)</f>
        <v>44503.68934</v>
      </c>
    </row>
    <row r="3688">
      <c r="A3688" t="str">
        <f>IFERROR(__xludf.DUMMYFUNCTION("""COMPUTED_VALUE"""),"oscar208")</f>
        <v>oscar208</v>
      </c>
      <c r="B3688" t="str">
        <f>IFERROR(__xludf.DUMMYFUNCTION("""COMPUTED_VALUE"""),"Heber City")</f>
        <v>Heber City</v>
      </c>
      <c r="C3688" t="str">
        <f>IFERROR(__xludf.DUMMYFUNCTION("""COMPUTED_VALUE"""),"UT")</f>
        <v>UT</v>
      </c>
      <c r="D3688" t="str">
        <f>IFERROR(__xludf.DUMMYFUNCTION("""COMPUTED_VALUE"""),"USA")</f>
        <v>USA</v>
      </c>
      <c r="E3688" s="188">
        <f>IFERROR(__xludf.DUMMYFUNCTION("""COMPUTED_VALUE"""),44497.0)</f>
        <v>44497</v>
      </c>
      <c r="N3688" t="str">
        <f>IFERROR(__xludf.DUMMYFUNCTION("""COMPUTED_VALUE"""),"Model 3 LR AWD")</f>
        <v>Model 3 LR AWD</v>
      </c>
      <c r="O3688" t="str">
        <f>IFERROR(__xludf.DUMMYFUNCTION("""COMPUTED_VALUE"""),"Midnight Silver Metallic")</f>
        <v>Midnight Silver Metallic</v>
      </c>
      <c r="P3688" t="str">
        <f>IFERROR(__xludf.DUMMYFUNCTION("""COMPUTED_VALUE"""),"18 inch")</f>
        <v>18 inch</v>
      </c>
      <c r="Q3688" t="str">
        <f>IFERROR(__xludf.DUMMYFUNCTION("""COMPUTED_VALUE"""),"All Black")</f>
        <v>All Black</v>
      </c>
      <c r="R3688" t="str">
        <f>IFERROR(__xludf.DUMMYFUNCTION("""COMPUTED_VALUE"""),"Autopilot included")</f>
        <v>Autopilot included</v>
      </c>
      <c r="S3688" t="str">
        <f>IFERROR(__xludf.DUMMYFUNCTION("""COMPUTED_VALUE"""),"Loan")</f>
        <v>Loan</v>
      </c>
      <c r="U3688" t="str">
        <f>IFERROR(__xludf.DUMMYFUNCTION("""COMPUTED_VALUE"""),"Electric!")</f>
        <v>Electric!</v>
      </c>
      <c r="V3688" t="str">
        <f>IFERROR(__xludf.DUMMYFUNCTION("""COMPUTED_VALUE"""),"Head-up display")</f>
        <v>Head-up display</v>
      </c>
      <c r="AH3688" s="189">
        <f>IFERROR(__xludf.DUMMYFUNCTION("""COMPUTED_VALUE"""),44503.75230974537)</f>
        <v>44503.75231</v>
      </c>
    </row>
    <row r="3689">
      <c r="A3689" t="str">
        <f>IFERROR(__xludf.DUMMYFUNCTION("""COMPUTED_VALUE"""),"jrh211")</f>
        <v>jrh211</v>
      </c>
      <c r="C3689" t="str">
        <f>IFERROR(__xludf.DUMMYFUNCTION("""COMPUTED_VALUE"""),"NY")</f>
        <v>NY</v>
      </c>
      <c r="D3689" t="str">
        <f>IFERROR(__xludf.DUMMYFUNCTION("""COMPUTED_VALUE"""),"USA")</f>
        <v>USA</v>
      </c>
      <c r="E3689" s="188">
        <f>IFERROR(__xludf.DUMMYFUNCTION("""COMPUTED_VALUE"""),44479.0)</f>
        <v>44479</v>
      </c>
      <c r="N3689" t="str">
        <f>IFERROR(__xludf.DUMMYFUNCTION("""COMPUTED_VALUE"""),"Model 3 LR AWD")</f>
        <v>Model 3 LR AWD</v>
      </c>
      <c r="O3689" t="str">
        <f>IFERROR(__xludf.DUMMYFUNCTION("""COMPUTED_VALUE"""),"Deep Blue Metallic")</f>
        <v>Deep Blue Metallic</v>
      </c>
      <c r="P3689" t="str">
        <f>IFERROR(__xludf.DUMMYFUNCTION("""COMPUTED_VALUE"""),"18 inch")</f>
        <v>18 inch</v>
      </c>
      <c r="Q3689" t="str">
        <f>IFERROR(__xludf.DUMMYFUNCTION("""COMPUTED_VALUE"""),"All Black")</f>
        <v>All Black</v>
      </c>
      <c r="R3689" t="str">
        <f>IFERROR(__xludf.DUMMYFUNCTION("""COMPUTED_VALUE"""),"Autopilot included")</f>
        <v>Autopilot included</v>
      </c>
      <c r="S3689" t="str">
        <f>IFERROR(__xludf.DUMMYFUNCTION("""COMPUTED_VALUE"""),"Loan")</f>
        <v>Loan</v>
      </c>
      <c r="T3689" t="str">
        <f>IFERROR(__xludf.DUMMYFUNCTION("""COMPUTED_VALUE"""),"Chevy Camaro")</f>
        <v>Chevy Camaro</v>
      </c>
      <c r="U3689" t="str">
        <f>IFERROR(__xludf.DUMMYFUNCTION("""COMPUTED_VALUE"""),"Electric!")</f>
        <v>Electric!</v>
      </c>
      <c r="V3689" t="str">
        <f>IFERROR(__xludf.DUMMYFUNCTION("""COMPUTED_VALUE"""),"Apple CarPlay / Android Auto / SiriusXM Radio")</f>
        <v>Apple CarPlay / Android Auto / SiriusXM Radio</v>
      </c>
      <c r="AH3689" s="189">
        <f>IFERROR(__xludf.DUMMYFUNCTION("""COMPUTED_VALUE"""),44503.75837309028)</f>
        <v>44503.75837</v>
      </c>
    </row>
    <row r="3690">
      <c r="A3690" t="str">
        <f>IFERROR(__xludf.DUMMYFUNCTION("""COMPUTED_VALUE"""),"avatar1999")</f>
        <v>avatar1999</v>
      </c>
      <c r="C3690" t="str">
        <f>IFERROR(__xludf.DUMMYFUNCTION("""COMPUTED_VALUE"""),"PA")</f>
        <v>PA</v>
      </c>
      <c r="D3690" t="str">
        <f>IFERROR(__xludf.DUMMYFUNCTION("""COMPUTED_VALUE"""),"USA")</f>
        <v>USA</v>
      </c>
      <c r="E3690" s="188">
        <f>IFERROR(__xludf.DUMMYFUNCTION("""COMPUTED_VALUE"""),44485.0)</f>
        <v>44485</v>
      </c>
      <c r="N3690" t="str">
        <f>IFERROR(__xludf.DUMMYFUNCTION("""COMPUTED_VALUE"""),"Model 3 LR AWD")</f>
        <v>Model 3 LR AWD</v>
      </c>
      <c r="O3690" t="str">
        <f>IFERROR(__xludf.DUMMYFUNCTION("""COMPUTED_VALUE"""),"Deep Blue Metallic")</f>
        <v>Deep Blue Metallic</v>
      </c>
      <c r="P3690" t="str">
        <f>IFERROR(__xludf.DUMMYFUNCTION("""COMPUTED_VALUE"""),"18 inch")</f>
        <v>18 inch</v>
      </c>
      <c r="Q3690" t="str">
        <f>IFERROR(__xludf.DUMMYFUNCTION("""COMPUTED_VALUE"""),"All Black")</f>
        <v>All Black</v>
      </c>
      <c r="R3690" t="str">
        <f>IFERROR(__xludf.DUMMYFUNCTION("""COMPUTED_VALUE"""),"Autopilot included")</f>
        <v>Autopilot included</v>
      </c>
      <c r="S3690" t="str">
        <f>IFERROR(__xludf.DUMMYFUNCTION("""COMPUTED_VALUE"""),"Loan")</f>
        <v>Loan</v>
      </c>
      <c r="T3690" t="str">
        <f>IFERROR(__xludf.DUMMYFUNCTION("""COMPUTED_VALUE"""),"Mazda 6")</f>
        <v>Mazda 6</v>
      </c>
      <c r="U3690" t="str">
        <f>IFERROR(__xludf.DUMMYFUNCTION("""COMPUTED_VALUE"""),"Electric!")</f>
        <v>Electric!</v>
      </c>
      <c r="V3690" t="str">
        <f>IFERROR(__xludf.DUMMYFUNCTION("""COMPUTED_VALUE"""),"Ventilated seats")</f>
        <v>Ventilated seats</v>
      </c>
      <c r="AH3690" s="189">
        <f>IFERROR(__xludf.DUMMYFUNCTION("""COMPUTED_VALUE"""),44504.3485912037)</f>
        <v>44504.34859</v>
      </c>
    </row>
    <row r="3691">
      <c r="A3691" t="str">
        <f>IFERROR(__xludf.DUMMYFUNCTION("""COMPUTED_VALUE"""),"StephanW")</f>
        <v>StephanW</v>
      </c>
      <c r="B3691" t="str">
        <f>IFERROR(__xludf.DUMMYFUNCTION("""COMPUTED_VALUE"""),"Walla Walla")</f>
        <v>Walla Walla</v>
      </c>
      <c r="C3691" t="str">
        <f>IFERROR(__xludf.DUMMYFUNCTION("""COMPUTED_VALUE"""),"WA")</f>
        <v>WA</v>
      </c>
      <c r="D3691" t="str">
        <f>IFERROR(__xludf.DUMMYFUNCTION("""COMPUTED_VALUE"""),"USA")</f>
        <v>USA</v>
      </c>
      <c r="E3691" s="188">
        <f>IFERROR(__xludf.DUMMYFUNCTION("""COMPUTED_VALUE"""),44500.0)</f>
        <v>44500</v>
      </c>
      <c r="N3691" t="str">
        <f>IFERROR(__xludf.DUMMYFUNCTION("""COMPUTED_VALUE"""),"Model 3 LR AWD")</f>
        <v>Model 3 LR AWD</v>
      </c>
      <c r="O3691" t="str">
        <f>IFERROR(__xludf.DUMMYFUNCTION("""COMPUTED_VALUE"""),"Pearl White Multi-Coat")</f>
        <v>Pearl White Multi-Coat</v>
      </c>
      <c r="P3691" t="str">
        <f>IFERROR(__xludf.DUMMYFUNCTION("""COMPUTED_VALUE"""),"18 inch")</f>
        <v>18 inch</v>
      </c>
      <c r="Q3691" t="str">
        <f>IFERROR(__xludf.DUMMYFUNCTION("""COMPUTED_VALUE"""),"All Black")</f>
        <v>All Black</v>
      </c>
      <c r="R3691" t="str">
        <f>IFERROR(__xludf.DUMMYFUNCTION("""COMPUTED_VALUE"""),"Autopilot included")</f>
        <v>Autopilot included</v>
      </c>
      <c r="S3691" t="str">
        <f>IFERROR(__xludf.DUMMYFUNCTION("""COMPUTED_VALUE"""),"Cash")</f>
        <v>Cash</v>
      </c>
      <c r="T3691" t="str">
        <f>IFERROR(__xludf.DUMMYFUNCTION("""COMPUTED_VALUE"""),"Tesla Model 3")</f>
        <v>Tesla Model 3</v>
      </c>
      <c r="U3691" t="str">
        <f>IFERROR(__xludf.DUMMYFUNCTION("""COMPUTED_VALUE"""),"Electric!")</f>
        <v>Electric!</v>
      </c>
      <c r="V3691" t="str">
        <f>IFERROR(__xludf.DUMMYFUNCTION("""COMPUTED_VALUE"""),"Ventilated seats")</f>
        <v>Ventilated seats</v>
      </c>
      <c r="AH3691" s="189">
        <f>IFERROR(__xludf.DUMMYFUNCTION("""COMPUTED_VALUE"""),44504.86387046296)</f>
        <v>44504.86387</v>
      </c>
    </row>
    <row r="3692">
      <c r="A3692" t="str">
        <f>IFERROR(__xludf.DUMMYFUNCTION("""COMPUTED_VALUE"""),"marcooo")</f>
        <v>marcooo</v>
      </c>
      <c r="B3692" t="str">
        <f>IFERROR(__xludf.DUMMYFUNCTION("""COMPUTED_VALUE"""),"Vancouver")</f>
        <v>Vancouver</v>
      </c>
      <c r="C3692" t="str">
        <f>IFERROR(__xludf.DUMMYFUNCTION("""COMPUTED_VALUE"""),"BC")</f>
        <v>BC</v>
      </c>
      <c r="D3692" t="str">
        <f>IFERROR(__xludf.DUMMYFUNCTION("""COMPUTED_VALUE"""),"Canada")</f>
        <v>Canada</v>
      </c>
      <c r="E3692" s="188">
        <f>IFERROR(__xludf.DUMMYFUNCTION("""COMPUTED_VALUE"""),44500.0)</f>
        <v>44500</v>
      </c>
      <c r="N3692" t="str">
        <f>IFERROR(__xludf.DUMMYFUNCTION("""COMPUTED_VALUE"""),"Model 3 LR AWD")</f>
        <v>Model 3 LR AWD</v>
      </c>
      <c r="O3692" t="str">
        <f>IFERROR(__xludf.DUMMYFUNCTION("""COMPUTED_VALUE"""),"Midnight Silver Metallic")</f>
        <v>Midnight Silver Metallic</v>
      </c>
      <c r="P3692" t="str">
        <f>IFERROR(__xludf.DUMMYFUNCTION("""COMPUTED_VALUE"""),"18 inch")</f>
        <v>18 inch</v>
      </c>
      <c r="Q3692" t="str">
        <f>IFERROR(__xludf.DUMMYFUNCTION("""COMPUTED_VALUE"""),"Black and White")</f>
        <v>Black and White</v>
      </c>
      <c r="R3692" t="str">
        <f>IFERROR(__xludf.DUMMYFUNCTION("""COMPUTED_VALUE"""),"Autopilot included")</f>
        <v>Autopilot included</v>
      </c>
      <c r="S3692" t="str">
        <f>IFERROR(__xludf.DUMMYFUNCTION("""COMPUTED_VALUE"""),"Loan")</f>
        <v>Loan</v>
      </c>
      <c r="T3692" t="str">
        <f>IFERROR(__xludf.DUMMYFUNCTION("""COMPUTED_VALUE"""),"Toyota Tundra")</f>
        <v>Toyota Tundra</v>
      </c>
      <c r="U3692" t="str">
        <f>IFERROR(__xludf.DUMMYFUNCTION("""COMPUTED_VALUE"""),"Electric!")</f>
        <v>Electric!</v>
      </c>
      <c r="V3692" t="str">
        <f>IFERROR(__xludf.DUMMYFUNCTION("""COMPUTED_VALUE"""),"Head-up display")</f>
        <v>Head-up display</v>
      </c>
      <c r="AH3692" s="189">
        <f>IFERROR(__xludf.DUMMYFUNCTION("""COMPUTED_VALUE"""),44504.90372873843)</f>
        <v>44504.90373</v>
      </c>
    </row>
    <row r="3693">
      <c r="A3693" t="str">
        <f>IFERROR(__xludf.DUMMYFUNCTION("""COMPUTED_VALUE"""),"keithman")</f>
        <v>keithman</v>
      </c>
      <c r="B3693" t="str">
        <f>IFERROR(__xludf.DUMMYFUNCTION("""COMPUTED_VALUE"""),"San Diego")</f>
        <v>San Diego</v>
      </c>
      <c r="C3693" t="str">
        <f>IFERROR(__xludf.DUMMYFUNCTION("""COMPUTED_VALUE"""),"CA")</f>
        <v>CA</v>
      </c>
      <c r="D3693" t="str">
        <f>IFERROR(__xludf.DUMMYFUNCTION("""COMPUTED_VALUE"""),"USA")</f>
        <v>USA</v>
      </c>
      <c r="E3693" s="188">
        <f>IFERROR(__xludf.DUMMYFUNCTION("""COMPUTED_VALUE"""),44450.0)</f>
        <v>44450</v>
      </c>
      <c r="F3693" s="188">
        <f>IFERROR(__xludf.DUMMYFUNCTION("""COMPUTED_VALUE"""),44504.0)</f>
        <v>44504</v>
      </c>
      <c r="G3693" t="str">
        <f>IFERROR(__xludf.DUMMYFUNCTION("""COMPUTED_VALUE"""),"Manage order page (normal text)")</f>
        <v>Manage order page (normal text)</v>
      </c>
      <c r="H3693">
        <f>IFERROR(__xludf.DUMMYFUNCTION("""COMPUTED_VALUE"""),101055.0)</f>
        <v>101055</v>
      </c>
      <c r="J3693" s="188">
        <f>IFERROR(__xludf.DUMMYFUNCTION("""COMPUTED_VALUE"""),44508.0)</f>
        <v>44508</v>
      </c>
      <c r="K3693">
        <f>IFERROR(__xludf.DUMMYFUNCTION("""COMPUTED_VALUE"""),54.0)</f>
        <v>54</v>
      </c>
      <c r="L3693">
        <f>IFERROR(__xludf.DUMMYFUNCTION("""COMPUTED_VALUE"""),4.0)</f>
        <v>4</v>
      </c>
      <c r="M3693">
        <f>IFERROR(__xludf.DUMMYFUNCTION("""COMPUTED_VALUE"""),58.0)</f>
        <v>58</v>
      </c>
      <c r="N3693" t="str">
        <f>IFERROR(__xludf.DUMMYFUNCTION("""COMPUTED_VALUE"""),"Model 3 LR AWD")</f>
        <v>Model 3 LR AWD</v>
      </c>
      <c r="O3693" t="str">
        <f>IFERROR(__xludf.DUMMYFUNCTION("""COMPUTED_VALUE"""),"Red Multi-Coat")</f>
        <v>Red Multi-Coat</v>
      </c>
      <c r="P3693" t="str">
        <f>IFERROR(__xludf.DUMMYFUNCTION("""COMPUTED_VALUE"""),"19 inch")</f>
        <v>19 inch</v>
      </c>
      <c r="Q3693" t="str">
        <f>IFERROR(__xludf.DUMMYFUNCTION("""COMPUTED_VALUE"""),"All Black")</f>
        <v>All Black</v>
      </c>
      <c r="R3693" t="str">
        <f>IFERROR(__xludf.DUMMYFUNCTION("""COMPUTED_VALUE"""),"Full Self-Driving")</f>
        <v>Full Self-Driving</v>
      </c>
      <c r="S3693" t="str">
        <f>IFERROR(__xludf.DUMMYFUNCTION("""COMPUTED_VALUE"""),"Loan")</f>
        <v>Loan</v>
      </c>
      <c r="T3693" t="str">
        <f>IFERROR(__xludf.DUMMYFUNCTION("""COMPUTED_VALUE"""),"Porsche Macan S")</f>
        <v>Porsche Macan S</v>
      </c>
      <c r="U3693" t="str">
        <f>IFERROR(__xludf.DUMMYFUNCTION("""COMPUTED_VALUE"""),"Electric!")</f>
        <v>Electric!</v>
      </c>
      <c r="V3693" t="str">
        <f>IFERROR(__xludf.DUMMYFUNCTION("""COMPUTED_VALUE"""),"Bioweapon defense mode")</f>
        <v>Bioweapon defense mode</v>
      </c>
      <c r="AH3693" s="189">
        <f>IFERROR(__xludf.DUMMYFUNCTION("""COMPUTED_VALUE"""),44508.2721394213)</f>
        <v>44508.27214</v>
      </c>
    </row>
    <row r="3694">
      <c r="A3694" t="str">
        <f>IFERROR(__xludf.DUMMYFUNCTION("""COMPUTED_VALUE"""),"ChrisTheVet")</f>
        <v>ChrisTheVet</v>
      </c>
      <c r="B3694" t="str">
        <f>IFERROR(__xludf.DUMMYFUNCTION("""COMPUTED_VALUE"""),"Canterbury")</f>
        <v>Canterbury</v>
      </c>
      <c r="D3694" t="str">
        <f>IFERROR(__xludf.DUMMYFUNCTION("""COMPUTED_VALUE"""),"United Kingdom")</f>
        <v>United Kingdom</v>
      </c>
      <c r="E3694" s="188">
        <f>IFERROR(__xludf.DUMMYFUNCTION("""COMPUTED_VALUE"""),44479.0)</f>
        <v>44479</v>
      </c>
      <c r="F3694" s="188">
        <f>IFERROR(__xludf.DUMMYFUNCTION("""COMPUTED_VALUE"""),44502.0)</f>
        <v>44502</v>
      </c>
      <c r="G3694" t="str">
        <f>IFERROR(__xludf.DUMMYFUNCTION("""COMPUTED_VALUE"""),"Source code")</f>
        <v>Source code</v>
      </c>
      <c r="K3694">
        <f>IFERROR(__xludf.DUMMYFUNCTION("""COMPUTED_VALUE"""),23.0)</f>
        <v>23</v>
      </c>
      <c r="N3694" t="str">
        <f>IFERROR(__xludf.DUMMYFUNCTION("""COMPUTED_VALUE"""),"Model 3 LR AWD")</f>
        <v>Model 3 LR AWD</v>
      </c>
      <c r="O3694" t="str">
        <f>IFERROR(__xludf.DUMMYFUNCTION("""COMPUTED_VALUE"""),"Deep Blue Metallic")</f>
        <v>Deep Blue Metallic</v>
      </c>
      <c r="P3694" t="str">
        <f>IFERROR(__xludf.DUMMYFUNCTION("""COMPUTED_VALUE"""),"19 inch")</f>
        <v>19 inch</v>
      </c>
      <c r="Q3694" t="str">
        <f>IFERROR(__xludf.DUMMYFUNCTION("""COMPUTED_VALUE"""),"All Black")</f>
        <v>All Black</v>
      </c>
      <c r="R3694" t="str">
        <f>IFERROR(__xludf.DUMMYFUNCTION("""COMPUTED_VALUE"""),"Autopilot included")</f>
        <v>Autopilot included</v>
      </c>
      <c r="S3694" t="str">
        <f>IFERROR(__xludf.DUMMYFUNCTION("""COMPUTED_VALUE"""),"Loan")</f>
        <v>Loan</v>
      </c>
      <c r="T3694" t="str">
        <f>IFERROR(__xludf.DUMMYFUNCTION("""COMPUTED_VALUE"""),"VW Passat")</f>
        <v>VW Passat</v>
      </c>
      <c r="U3694" t="str">
        <f>IFERROR(__xludf.DUMMYFUNCTION("""COMPUTED_VALUE"""),"Electric!")</f>
        <v>Electric!</v>
      </c>
      <c r="V3694" t="str">
        <f>IFERROR(__xludf.DUMMYFUNCTION("""COMPUTED_VALUE"""),"Head-up display")</f>
        <v>Head-up display</v>
      </c>
      <c r="AH3694" s="189">
        <f>IFERROR(__xludf.DUMMYFUNCTION("""COMPUTED_VALUE"""),44505.14358337963)</f>
        <v>44505.14358</v>
      </c>
    </row>
    <row r="3695">
      <c r="A3695" t="str">
        <f>IFERROR(__xludf.DUMMYFUNCTION("""COMPUTED_VALUE"""),"Mr.B")</f>
        <v>Mr.B</v>
      </c>
      <c r="B3695" t="str">
        <f>IFERROR(__xludf.DUMMYFUNCTION("""COMPUTED_VALUE"""),"Bay Area")</f>
        <v>Bay Area</v>
      </c>
      <c r="C3695" t="str">
        <f>IFERROR(__xludf.DUMMYFUNCTION("""COMPUTED_VALUE"""),"CA")</f>
        <v>CA</v>
      </c>
      <c r="D3695" t="str">
        <f>IFERROR(__xludf.DUMMYFUNCTION("""COMPUTED_VALUE"""),"USA")</f>
        <v>USA</v>
      </c>
      <c r="E3695" s="188">
        <f>IFERROR(__xludf.DUMMYFUNCTION("""COMPUTED_VALUE"""),44481.0)</f>
        <v>44481</v>
      </c>
      <c r="N3695" t="str">
        <f>IFERROR(__xludf.DUMMYFUNCTION("""COMPUTED_VALUE"""),"Model 3 LR AWD")</f>
        <v>Model 3 LR AWD</v>
      </c>
      <c r="O3695" t="str">
        <f>IFERROR(__xludf.DUMMYFUNCTION("""COMPUTED_VALUE"""),"Midnight Silver Metallic")</f>
        <v>Midnight Silver Metallic</v>
      </c>
      <c r="P3695" t="str">
        <f>IFERROR(__xludf.DUMMYFUNCTION("""COMPUTED_VALUE"""),"18 inch")</f>
        <v>18 inch</v>
      </c>
      <c r="Q3695" t="str">
        <f>IFERROR(__xludf.DUMMYFUNCTION("""COMPUTED_VALUE"""),"All Black")</f>
        <v>All Black</v>
      </c>
      <c r="R3695" t="str">
        <f>IFERROR(__xludf.DUMMYFUNCTION("""COMPUTED_VALUE"""),"Autopilot included")</f>
        <v>Autopilot included</v>
      </c>
      <c r="S3695" t="str">
        <f>IFERROR(__xludf.DUMMYFUNCTION("""COMPUTED_VALUE"""),"Loan")</f>
        <v>Loan</v>
      </c>
      <c r="U3695" t="str">
        <f>IFERROR(__xludf.DUMMYFUNCTION("""COMPUTED_VALUE"""),"Electric!")</f>
        <v>Electric!</v>
      </c>
      <c r="V3695" t="str">
        <f>IFERROR(__xludf.DUMMYFUNCTION("""COMPUTED_VALUE"""),"Air suspension")</f>
        <v>Air suspension</v>
      </c>
      <c r="AH3695" s="189">
        <f>IFERROR(__xludf.DUMMYFUNCTION("""COMPUTED_VALUE"""),44505.44866775463)</f>
        <v>44505.44867</v>
      </c>
    </row>
    <row r="3696">
      <c r="A3696" t="str">
        <f>IFERROR(__xludf.DUMMYFUNCTION("""COMPUTED_VALUE"""),"smowens1919")</f>
        <v>smowens1919</v>
      </c>
      <c r="B3696" t="str">
        <f>IFERROR(__xludf.DUMMYFUNCTION("""COMPUTED_VALUE"""),"Grayslake")</f>
        <v>Grayslake</v>
      </c>
      <c r="C3696" t="str">
        <f>IFERROR(__xludf.DUMMYFUNCTION("""COMPUTED_VALUE"""),"IL")</f>
        <v>IL</v>
      </c>
      <c r="D3696" t="str">
        <f>IFERROR(__xludf.DUMMYFUNCTION("""COMPUTED_VALUE"""),"USA")</f>
        <v>USA</v>
      </c>
      <c r="E3696" s="188">
        <f>IFERROR(__xludf.DUMMYFUNCTION("""COMPUTED_VALUE"""),44480.0)</f>
        <v>44480</v>
      </c>
      <c r="N3696" t="str">
        <f>IFERROR(__xludf.DUMMYFUNCTION("""COMPUTED_VALUE"""),"Model 3 LR AWD")</f>
        <v>Model 3 LR AWD</v>
      </c>
      <c r="O3696" t="str">
        <f>IFERROR(__xludf.DUMMYFUNCTION("""COMPUTED_VALUE"""),"Midnight Silver Metallic")</f>
        <v>Midnight Silver Metallic</v>
      </c>
      <c r="P3696" t="str">
        <f>IFERROR(__xludf.DUMMYFUNCTION("""COMPUTED_VALUE"""),"18 inch")</f>
        <v>18 inch</v>
      </c>
      <c r="Q3696" t="str">
        <f>IFERROR(__xludf.DUMMYFUNCTION("""COMPUTED_VALUE"""),"Black and White")</f>
        <v>Black and White</v>
      </c>
      <c r="R3696" t="str">
        <f>IFERROR(__xludf.DUMMYFUNCTION("""COMPUTED_VALUE"""),"Autopilot included")</f>
        <v>Autopilot included</v>
      </c>
      <c r="S3696" t="str">
        <f>IFERROR(__xludf.DUMMYFUNCTION("""COMPUTED_VALUE"""),"Loan")</f>
        <v>Loan</v>
      </c>
      <c r="T3696" t="str">
        <f>IFERROR(__xludf.DUMMYFUNCTION("""COMPUTED_VALUE"""),"Tesla Model 3")</f>
        <v>Tesla Model 3</v>
      </c>
      <c r="U3696" t="str">
        <f>IFERROR(__xludf.DUMMYFUNCTION("""COMPUTED_VALUE"""),"Electric!")</f>
        <v>Electric!</v>
      </c>
      <c r="V3696" t="str">
        <f>IFERROR(__xludf.DUMMYFUNCTION("""COMPUTED_VALUE"""),"Blind spot indicators on side mirrors")</f>
        <v>Blind spot indicators on side mirrors</v>
      </c>
      <c r="AH3696" s="189">
        <f>IFERROR(__xludf.DUMMYFUNCTION("""COMPUTED_VALUE"""),44505.45539703703)</f>
        <v>44505.4554</v>
      </c>
    </row>
    <row r="3697">
      <c r="A3697" t="str">
        <f>IFERROR(__xludf.DUMMYFUNCTION("""COMPUTED_VALUE"""),"Flight Controller")</f>
        <v>Flight Controller</v>
      </c>
      <c r="B3697" t="str">
        <f>IFERROR(__xludf.DUMMYFUNCTION("""COMPUTED_VALUE"""),"Vancouver")</f>
        <v>Vancouver</v>
      </c>
      <c r="C3697" t="str">
        <f>IFERROR(__xludf.DUMMYFUNCTION("""COMPUTED_VALUE"""),"BC")</f>
        <v>BC</v>
      </c>
      <c r="D3697" t="str">
        <f>IFERROR(__xludf.DUMMYFUNCTION("""COMPUTED_VALUE"""),"Canada")</f>
        <v>Canada</v>
      </c>
      <c r="E3697" s="188">
        <f>IFERROR(__xludf.DUMMYFUNCTION("""COMPUTED_VALUE"""),44464.0)</f>
        <v>44464</v>
      </c>
      <c r="N3697" t="str">
        <f>IFERROR(__xludf.DUMMYFUNCTION("""COMPUTED_VALUE"""),"Model 3 SR+")</f>
        <v>Model 3 SR+</v>
      </c>
      <c r="O3697" t="str">
        <f>IFERROR(__xludf.DUMMYFUNCTION("""COMPUTED_VALUE"""),"Pearl White Multi-Coat")</f>
        <v>Pearl White Multi-Coat</v>
      </c>
      <c r="P3697" t="str">
        <f>IFERROR(__xludf.DUMMYFUNCTION("""COMPUTED_VALUE"""),"18 inch")</f>
        <v>18 inch</v>
      </c>
      <c r="Q3697" t="str">
        <f>IFERROR(__xludf.DUMMYFUNCTION("""COMPUTED_VALUE"""),"All Black")</f>
        <v>All Black</v>
      </c>
      <c r="R3697" t="str">
        <f>IFERROR(__xludf.DUMMYFUNCTION("""COMPUTED_VALUE"""),"Autopilot included")</f>
        <v>Autopilot included</v>
      </c>
      <c r="S3697" t="str">
        <f>IFERROR(__xludf.DUMMYFUNCTION("""COMPUTED_VALUE"""),"Cash")</f>
        <v>Cash</v>
      </c>
      <c r="T3697" t="str">
        <f>IFERROR(__xludf.DUMMYFUNCTION("""COMPUTED_VALUE"""),"Acura MDX")</f>
        <v>Acura MDX</v>
      </c>
      <c r="U3697" t="str">
        <f>IFERROR(__xludf.DUMMYFUNCTION("""COMPUTED_VALUE"""),"Electric!")</f>
        <v>Electric!</v>
      </c>
      <c r="V3697" t="str">
        <f>IFERROR(__xludf.DUMMYFUNCTION("""COMPUTED_VALUE"""),"Apple CarPlay / Android Auto / SiriusXM Radio")</f>
        <v>Apple CarPlay / Android Auto / SiriusXM Radio</v>
      </c>
      <c r="AH3697" s="189">
        <f>IFERROR(__xludf.DUMMYFUNCTION("""COMPUTED_VALUE"""),44505.51205818287)</f>
        <v>44505.51206</v>
      </c>
    </row>
    <row r="3698">
      <c r="A3698" t="str">
        <f>IFERROR(__xludf.DUMMYFUNCTION("""COMPUTED_VALUE"""),"BH-Orlando")</f>
        <v>BH-Orlando</v>
      </c>
      <c r="B3698" t="str">
        <f>IFERROR(__xludf.DUMMYFUNCTION("""COMPUTED_VALUE"""),"Orlando")</f>
        <v>Orlando</v>
      </c>
      <c r="C3698" t="str">
        <f>IFERROR(__xludf.DUMMYFUNCTION("""COMPUTED_VALUE"""),"FL")</f>
        <v>FL</v>
      </c>
      <c r="D3698" t="str">
        <f>IFERROR(__xludf.DUMMYFUNCTION("""COMPUTED_VALUE"""),"USA")</f>
        <v>USA</v>
      </c>
      <c r="E3698" s="188">
        <f>IFERROR(__xludf.DUMMYFUNCTION("""COMPUTED_VALUE"""),44473.0)</f>
        <v>44473</v>
      </c>
      <c r="F3698" s="188">
        <f>IFERROR(__xludf.DUMMYFUNCTION("""COMPUTED_VALUE"""),44503.0)</f>
        <v>44503</v>
      </c>
      <c r="G3698" t="str">
        <f>IFERROR(__xludf.DUMMYFUNCTION("""COMPUTED_VALUE"""),"Manage order page (normal text)")</f>
        <v>Manage order page (normal text)</v>
      </c>
      <c r="H3698">
        <f>IFERROR(__xludf.DUMMYFUNCTION("""COMPUTED_VALUE"""),105555.0)</f>
        <v>105555</v>
      </c>
      <c r="K3698">
        <f>IFERROR(__xludf.DUMMYFUNCTION("""COMPUTED_VALUE"""),30.0)</f>
        <v>30</v>
      </c>
      <c r="N3698" t="str">
        <f>IFERROR(__xludf.DUMMYFUNCTION("""COMPUTED_VALUE"""),"Model 3 LR AWD")</f>
        <v>Model 3 LR AWD</v>
      </c>
      <c r="O3698" t="str">
        <f>IFERROR(__xludf.DUMMYFUNCTION("""COMPUTED_VALUE"""),"Red Multi-Coat")</f>
        <v>Red Multi-Coat</v>
      </c>
      <c r="P3698" t="str">
        <f>IFERROR(__xludf.DUMMYFUNCTION("""COMPUTED_VALUE"""),"18 inch")</f>
        <v>18 inch</v>
      </c>
      <c r="Q3698" t="str">
        <f>IFERROR(__xludf.DUMMYFUNCTION("""COMPUTED_VALUE"""),"All Black")</f>
        <v>All Black</v>
      </c>
      <c r="R3698" t="str">
        <f>IFERROR(__xludf.DUMMYFUNCTION("""COMPUTED_VALUE"""),"Autopilot included")</f>
        <v>Autopilot included</v>
      </c>
      <c r="S3698" t="str">
        <f>IFERROR(__xludf.DUMMYFUNCTION("""COMPUTED_VALUE"""),"Loan")</f>
        <v>Loan</v>
      </c>
      <c r="T3698" t="str">
        <f>IFERROR(__xludf.DUMMYFUNCTION("""COMPUTED_VALUE"""),"Dodge Charger")</f>
        <v>Dodge Charger</v>
      </c>
      <c r="U3698" t="str">
        <f>IFERROR(__xludf.DUMMYFUNCTION("""COMPUTED_VALUE"""),"Electric!")</f>
        <v>Electric!</v>
      </c>
      <c r="V3698" t="str">
        <f>IFERROR(__xludf.DUMMYFUNCTION("""COMPUTED_VALUE"""),"Ventilated seats")</f>
        <v>Ventilated seats</v>
      </c>
      <c r="AH3698" s="189">
        <f>IFERROR(__xludf.DUMMYFUNCTION("""COMPUTED_VALUE"""),44505.66594324074)</f>
        <v>44505.66594</v>
      </c>
    </row>
    <row r="3699">
      <c r="A3699" t="str">
        <f>IFERROR(__xludf.DUMMYFUNCTION("""COMPUTED_VALUE"""),"teggo24")</f>
        <v>teggo24</v>
      </c>
      <c r="C3699" t="str">
        <f>IFERROR(__xludf.DUMMYFUNCTION("""COMPUTED_VALUE"""),"CA")</f>
        <v>CA</v>
      </c>
      <c r="D3699" t="str">
        <f>IFERROR(__xludf.DUMMYFUNCTION("""COMPUTED_VALUE"""),"USA")</f>
        <v>USA</v>
      </c>
      <c r="E3699" s="188">
        <f>IFERROR(__xludf.DUMMYFUNCTION("""COMPUTED_VALUE"""),44501.0)</f>
        <v>44501</v>
      </c>
      <c r="N3699" t="str">
        <f>IFERROR(__xludf.DUMMYFUNCTION("""COMPUTED_VALUE"""),"Model 3 Performance")</f>
        <v>Model 3 Performance</v>
      </c>
      <c r="O3699" t="str">
        <f>IFERROR(__xludf.DUMMYFUNCTION("""COMPUTED_VALUE"""),"Deep Blue Metallic")</f>
        <v>Deep Blue Metallic</v>
      </c>
      <c r="P3699" t="str">
        <f>IFERROR(__xludf.DUMMYFUNCTION("""COMPUTED_VALUE"""),"20 inch")</f>
        <v>20 inch</v>
      </c>
      <c r="Q3699" t="str">
        <f>IFERROR(__xludf.DUMMYFUNCTION("""COMPUTED_VALUE"""),"All Black")</f>
        <v>All Black</v>
      </c>
      <c r="R3699" t="str">
        <f>IFERROR(__xludf.DUMMYFUNCTION("""COMPUTED_VALUE"""),"Full Self-Driving")</f>
        <v>Full Self-Driving</v>
      </c>
      <c r="S3699" t="str">
        <f>IFERROR(__xludf.DUMMYFUNCTION("""COMPUTED_VALUE"""),"Loan")</f>
        <v>Loan</v>
      </c>
      <c r="AH3699" s="189">
        <f>IFERROR(__xludf.DUMMYFUNCTION("""COMPUTED_VALUE"""),44506.57624283565)</f>
        <v>44506.57624</v>
      </c>
    </row>
    <row r="3700">
      <c r="A3700" t="str">
        <f>IFERROR(__xludf.DUMMYFUNCTION("""COMPUTED_VALUE"""),"brud")</f>
        <v>brud</v>
      </c>
      <c r="B3700" t="str">
        <f>IFERROR(__xludf.DUMMYFUNCTION("""COMPUTED_VALUE"""),"Corpus Christi")</f>
        <v>Corpus Christi</v>
      </c>
      <c r="C3700" t="str">
        <f>IFERROR(__xludf.DUMMYFUNCTION("""COMPUTED_VALUE"""),"TX")</f>
        <v>TX</v>
      </c>
      <c r="D3700" t="str">
        <f>IFERROR(__xludf.DUMMYFUNCTION("""COMPUTED_VALUE"""),"USA")</f>
        <v>USA</v>
      </c>
      <c r="E3700" s="188">
        <f>IFERROR(__xludf.DUMMYFUNCTION("""COMPUTED_VALUE"""),44506.0)</f>
        <v>44506</v>
      </c>
      <c r="N3700" t="str">
        <f>IFERROR(__xludf.DUMMYFUNCTION("""COMPUTED_VALUE"""),"Model 3 LR AWD")</f>
        <v>Model 3 LR AWD</v>
      </c>
      <c r="O3700" t="str">
        <f>IFERROR(__xludf.DUMMYFUNCTION("""COMPUTED_VALUE"""),"Midnight Silver Metallic")</f>
        <v>Midnight Silver Metallic</v>
      </c>
      <c r="P3700" t="str">
        <f>IFERROR(__xludf.DUMMYFUNCTION("""COMPUTED_VALUE"""),"19 inch")</f>
        <v>19 inch</v>
      </c>
      <c r="Q3700" t="str">
        <f>IFERROR(__xludf.DUMMYFUNCTION("""COMPUTED_VALUE"""),"All Black")</f>
        <v>All Black</v>
      </c>
      <c r="R3700" t="str">
        <f>IFERROR(__xludf.DUMMYFUNCTION("""COMPUTED_VALUE"""),"Autopilot included")</f>
        <v>Autopilot included</v>
      </c>
      <c r="S3700" t="str">
        <f>IFERROR(__xludf.DUMMYFUNCTION("""COMPUTED_VALUE"""),"Cash")</f>
        <v>Cash</v>
      </c>
      <c r="AH3700" s="189">
        <f>IFERROR(__xludf.DUMMYFUNCTION("""COMPUTED_VALUE"""),44506.79584547454)</f>
        <v>44506.79585</v>
      </c>
    </row>
    <row r="3701">
      <c r="A3701" t="str">
        <f>IFERROR(__xludf.DUMMYFUNCTION("""COMPUTED_VALUE"""),"tong123")</f>
        <v>tong123</v>
      </c>
      <c r="B3701" t="str">
        <f>IFERROR(__xludf.DUMMYFUNCTION("""COMPUTED_VALUE"""),"Austin")</f>
        <v>Austin</v>
      </c>
      <c r="C3701" t="str">
        <f>IFERROR(__xludf.DUMMYFUNCTION("""COMPUTED_VALUE"""),"TX")</f>
        <v>TX</v>
      </c>
      <c r="D3701" t="str">
        <f>IFERROR(__xludf.DUMMYFUNCTION("""COMPUTED_VALUE"""),"USA")</f>
        <v>USA</v>
      </c>
      <c r="E3701" s="188">
        <f>IFERROR(__xludf.DUMMYFUNCTION("""COMPUTED_VALUE"""),44474.0)</f>
        <v>44474</v>
      </c>
      <c r="N3701" t="str">
        <f>IFERROR(__xludf.DUMMYFUNCTION("""COMPUTED_VALUE"""),"Model 3 LR AWD")</f>
        <v>Model 3 LR AWD</v>
      </c>
      <c r="O3701" t="str">
        <f>IFERROR(__xludf.DUMMYFUNCTION("""COMPUTED_VALUE"""),"Midnight Silver Metallic")</f>
        <v>Midnight Silver Metallic</v>
      </c>
      <c r="P3701" t="str">
        <f>IFERROR(__xludf.DUMMYFUNCTION("""COMPUTED_VALUE"""),"18 inch")</f>
        <v>18 inch</v>
      </c>
      <c r="Q3701" t="str">
        <f>IFERROR(__xludf.DUMMYFUNCTION("""COMPUTED_VALUE"""),"All Black")</f>
        <v>All Black</v>
      </c>
      <c r="R3701" t="str">
        <f>IFERROR(__xludf.DUMMYFUNCTION("""COMPUTED_VALUE"""),"Autopilot included")</f>
        <v>Autopilot included</v>
      </c>
      <c r="S3701" t="str">
        <f>IFERROR(__xludf.DUMMYFUNCTION("""COMPUTED_VALUE"""),"Loan")</f>
        <v>Loan</v>
      </c>
      <c r="T3701" t="str">
        <f>IFERROR(__xludf.DUMMYFUNCTION("""COMPUTED_VALUE"""),"Model 3 will be my first car!")</f>
        <v>Model 3 will be my first car!</v>
      </c>
      <c r="U3701" t="str">
        <f>IFERROR(__xludf.DUMMYFUNCTION("""COMPUTED_VALUE"""),"Electric!")</f>
        <v>Electric!</v>
      </c>
      <c r="AH3701" s="189">
        <f>IFERROR(__xludf.DUMMYFUNCTION("""COMPUTED_VALUE"""),44507.45380083333)</f>
        <v>44507.4538</v>
      </c>
    </row>
    <row r="3702">
      <c r="A3702" t="str">
        <f>IFERROR(__xludf.DUMMYFUNCTION("""COMPUTED_VALUE"""),"Rao")</f>
        <v>Rao</v>
      </c>
      <c r="B3702" t="str">
        <f>IFERROR(__xludf.DUMMYFUNCTION("""COMPUTED_VALUE"""),"Farmington Hills")</f>
        <v>Farmington Hills</v>
      </c>
      <c r="C3702" t="str">
        <f>IFERROR(__xludf.DUMMYFUNCTION("""COMPUTED_VALUE"""),"MI")</f>
        <v>MI</v>
      </c>
      <c r="D3702" t="str">
        <f>IFERROR(__xludf.DUMMYFUNCTION("""COMPUTED_VALUE"""),"USA")</f>
        <v>USA</v>
      </c>
      <c r="E3702" s="188">
        <f>IFERROR(__xludf.DUMMYFUNCTION("""COMPUTED_VALUE"""),44505.0)</f>
        <v>44505</v>
      </c>
      <c r="N3702" t="str">
        <f>IFERROR(__xludf.DUMMYFUNCTION("""COMPUTED_VALUE"""),"Model 3 LR AWD")</f>
        <v>Model 3 LR AWD</v>
      </c>
      <c r="O3702" t="str">
        <f>IFERROR(__xludf.DUMMYFUNCTION("""COMPUTED_VALUE"""),"Pearl White Multi-Coat")</f>
        <v>Pearl White Multi-Coat</v>
      </c>
      <c r="P3702" t="str">
        <f>IFERROR(__xludf.DUMMYFUNCTION("""COMPUTED_VALUE"""),"18 inch")</f>
        <v>18 inch</v>
      </c>
      <c r="Q3702" t="str">
        <f>IFERROR(__xludf.DUMMYFUNCTION("""COMPUTED_VALUE"""),"All Black")</f>
        <v>All Black</v>
      </c>
      <c r="R3702" t="str">
        <f>IFERROR(__xludf.DUMMYFUNCTION("""COMPUTED_VALUE"""),"Autopilot included")</f>
        <v>Autopilot included</v>
      </c>
      <c r="S3702" t="str">
        <f>IFERROR(__xludf.DUMMYFUNCTION("""COMPUTED_VALUE"""),"Loan")</f>
        <v>Loan</v>
      </c>
      <c r="T3702" t="str">
        <f>IFERROR(__xludf.DUMMYFUNCTION("""COMPUTED_VALUE"""),"Hyundai Sonata")</f>
        <v>Hyundai Sonata</v>
      </c>
      <c r="U3702" t="str">
        <f>IFERROR(__xludf.DUMMYFUNCTION("""COMPUTED_VALUE"""),"Electric!")</f>
        <v>Electric!</v>
      </c>
      <c r="V3702" t="str">
        <f>IFERROR(__xludf.DUMMYFUNCTION("""COMPUTED_VALUE"""),"Head-up display")</f>
        <v>Head-up display</v>
      </c>
      <c r="AH3702" s="189">
        <f>IFERROR(__xludf.DUMMYFUNCTION("""COMPUTED_VALUE"""),44507.865358518524)</f>
        <v>44507.86536</v>
      </c>
    </row>
    <row r="3703">
      <c r="A3703" t="str">
        <f>IFERROR(__xludf.DUMMYFUNCTION("""COMPUTED_VALUE"""),"Pixel")</f>
        <v>Pixel</v>
      </c>
      <c r="D3703" t="str">
        <f>IFERROR(__xludf.DUMMYFUNCTION("""COMPUTED_VALUE"""),"Germany")</f>
        <v>Germany</v>
      </c>
      <c r="E3703" s="188">
        <f>IFERROR(__xludf.DUMMYFUNCTION("""COMPUTED_VALUE"""),44502.0)</f>
        <v>44502</v>
      </c>
      <c r="N3703" t="str">
        <f>IFERROR(__xludf.DUMMYFUNCTION("""COMPUTED_VALUE"""),"Model 3 SR+")</f>
        <v>Model 3 SR+</v>
      </c>
      <c r="O3703" t="str">
        <f>IFERROR(__xludf.DUMMYFUNCTION("""COMPUTED_VALUE"""),"Deep Blue Metallic")</f>
        <v>Deep Blue Metallic</v>
      </c>
      <c r="P3703" t="str">
        <f>IFERROR(__xludf.DUMMYFUNCTION("""COMPUTED_VALUE"""),"18 inch")</f>
        <v>18 inch</v>
      </c>
      <c r="Q3703" t="str">
        <f>IFERROR(__xludf.DUMMYFUNCTION("""COMPUTED_VALUE"""),"All Black")</f>
        <v>All Black</v>
      </c>
      <c r="R3703" t="str">
        <f>IFERROR(__xludf.DUMMYFUNCTION("""COMPUTED_VALUE"""),"Autopilot included")</f>
        <v>Autopilot included</v>
      </c>
      <c r="S3703" t="str">
        <f>IFERROR(__xludf.DUMMYFUNCTION("""COMPUTED_VALUE"""),"Lease")</f>
        <v>Lease</v>
      </c>
      <c r="T3703" t="str">
        <f>IFERROR(__xludf.DUMMYFUNCTION("""COMPUTED_VALUE"""),"BMW 3 Series")</f>
        <v>BMW 3 Series</v>
      </c>
      <c r="U3703" t="str">
        <f>IFERROR(__xludf.DUMMYFUNCTION("""COMPUTED_VALUE"""),"Electric!")</f>
        <v>Electric!</v>
      </c>
      <c r="V3703" t="str">
        <f>IFERROR(__xludf.DUMMYFUNCTION("""COMPUTED_VALUE"""),"Head-up display")</f>
        <v>Head-up display</v>
      </c>
      <c r="AH3703" s="189">
        <f>IFERROR(__xludf.DUMMYFUNCTION("""COMPUTED_VALUE"""),44507.95188866898)</f>
        <v>44507.95189</v>
      </c>
    </row>
    <row r="3704">
      <c r="A3704" t="str">
        <f>IFERROR(__xludf.DUMMYFUNCTION("""COMPUTED_VALUE"""),"HYUNi")</f>
        <v>HYUNi</v>
      </c>
      <c r="B3704" t="str">
        <f>IFERROR(__xludf.DUMMYFUNCTION("""COMPUTED_VALUE"""),"Santa Clara")</f>
        <v>Santa Clara</v>
      </c>
      <c r="C3704" t="str">
        <f>IFERROR(__xludf.DUMMYFUNCTION("""COMPUTED_VALUE"""),"CA")</f>
        <v>CA</v>
      </c>
      <c r="D3704" t="str">
        <f>IFERROR(__xludf.DUMMYFUNCTION("""COMPUTED_VALUE"""),"USA")</f>
        <v>USA</v>
      </c>
      <c r="E3704" s="188">
        <f>IFERROR(__xludf.DUMMYFUNCTION("""COMPUTED_VALUE"""),44507.0)</f>
        <v>44507</v>
      </c>
      <c r="N3704" t="str">
        <f>IFERROR(__xludf.DUMMYFUNCTION("""COMPUTED_VALUE"""),"Model 3 LR AWD")</f>
        <v>Model 3 LR AWD</v>
      </c>
      <c r="O3704" t="str">
        <f>IFERROR(__xludf.DUMMYFUNCTION("""COMPUTED_VALUE"""),"Midnight Silver Metallic")</f>
        <v>Midnight Silver Metallic</v>
      </c>
      <c r="P3704" t="str">
        <f>IFERROR(__xludf.DUMMYFUNCTION("""COMPUTED_VALUE"""),"18 inch")</f>
        <v>18 inch</v>
      </c>
      <c r="Q3704" t="str">
        <f>IFERROR(__xludf.DUMMYFUNCTION("""COMPUTED_VALUE"""),"All Black")</f>
        <v>All Black</v>
      </c>
      <c r="R3704" t="str">
        <f>IFERROR(__xludf.DUMMYFUNCTION("""COMPUTED_VALUE"""),"Autopilot included")</f>
        <v>Autopilot included</v>
      </c>
      <c r="T3704" t="str">
        <f>IFERROR(__xludf.DUMMYFUNCTION("""COMPUTED_VALUE"""),"Mini Countryman")</f>
        <v>Mini Countryman</v>
      </c>
      <c r="U3704" t="str">
        <f>IFERROR(__xludf.DUMMYFUNCTION("""COMPUTED_VALUE"""),"Electric!")</f>
        <v>Electric!</v>
      </c>
      <c r="V3704" t="str">
        <f>IFERROR(__xludf.DUMMYFUNCTION("""COMPUTED_VALUE"""),"Air suspension")</f>
        <v>Air suspension</v>
      </c>
      <c r="AH3704" s="189">
        <f>IFERROR(__xludf.DUMMYFUNCTION("""COMPUTED_VALUE"""),44508.422157187495)</f>
        <v>44508.42216</v>
      </c>
    </row>
    <row r="3705">
      <c r="A3705" t="str">
        <f>IFERROR(__xludf.DUMMYFUNCTION("""COMPUTED_VALUE"""),"Bobby Mcdoodle")</f>
        <v>Bobby Mcdoodle</v>
      </c>
      <c r="B3705" t="str">
        <f>IFERROR(__xludf.DUMMYFUNCTION("""COMPUTED_VALUE"""),"Dedham")</f>
        <v>Dedham</v>
      </c>
      <c r="C3705" t="str">
        <f>IFERROR(__xludf.DUMMYFUNCTION("""COMPUTED_VALUE"""),"ME")</f>
        <v>ME</v>
      </c>
      <c r="D3705" t="str">
        <f>IFERROR(__xludf.DUMMYFUNCTION("""COMPUTED_VALUE"""),"USA")</f>
        <v>USA</v>
      </c>
      <c r="E3705" s="188">
        <f>IFERROR(__xludf.DUMMYFUNCTION("""COMPUTED_VALUE"""),44456.0)</f>
        <v>44456</v>
      </c>
      <c r="F3705" s="188">
        <f>IFERROR(__xludf.DUMMYFUNCTION("""COMPUTED_VALUE"""),44506.0)</f>
        <v>44506</v>
      </c>
      <c r="G3705" t="str">
        <f>IFERROR(__xludf.DUMMYFUNCTION("""COMPUTED_VALUE"""),"Manage order page (normal text)")</f>
        <v>Manage order page (normal text)</v>
      </c>
      <c r="H3705">
        <f>IFERROR(__xludf.DUMMYFUNCTION("""COMPUTED_VALUE"""),105331.0)</f>
        <v>105331</v>
      </c>
      <c r="K3705">
        <f>IFERROR(__xludf.DUMMYFUNCTION("""COMPUTED_VALUE"""),50.0)</f>
        <v>50</v>
      </c>
      <c r="N3705" t="str">
        <f>IFERROR(__xludf.DUMMYFUNCTION("""COMPUTED_VALUE"""),"Model 3 LR AWD")</f>
        <v>Model 3 LR AWD</v>
      </c>
      <c r="O3705" t="str">
        <f>IFERROR(__xludf.DUMMYFUNCTION("""COMPUTED_VALUE"""),"Solid Black")</f>
        <v>Solid Black</v>
      </c>
      <c r="P3705" t="str">
        <f>IFERROR(__xludf.DUMMYFUNCTION("""COMPUTED_VALUE"""),"18 inch")</f>
        <v>18 inch</v>
      </c>
      <c r="Q3705" t="str">
        <f>IFERROR(__xludf.DUMMYFUNCTION("""COMPUTED_VALUE"""),"All Black")</f>
        <v>All Black</v>
      </c>
      <c r="R3705" t="str">
        <f>IFERROR(__xludf.DUMMYFUNCTION("""COMPUTED_VALUE"""),"Full Self-Driving")</f>
        <v>Full Self-Driving</v>
      </c>
      <c r="S3705" t="str">
        <f>IFERROR(__xludf.DUMMYFUNCTION("""COMPUTED_VALUE"""),"Loan")</f>
        <v>Loan</v>
      </c>
      <c r="U3705" t="str">
        <f>IFERROR(__xludf.DUMMYFUNCTION("""COMPUTED_VALUE"""),"Autopilot")</f>
        <v>Autopilot</v>
      </c>
      <c r="V3705" t="str">
        <f>IFERROR(__xludf.DUMMYFUNCTION("""COMPUTED_VALUE"""),"Head-up display")</f>
        <v>Head-up display</v>
      </c>
      <c r="AH3705" s="189">
        <f>IFERROR(__xludf.DUMMYFUNCTION("""COMPUTED_VALUE"""),44508.44932666667)</f>
        <v>44508.44933</v>
      </c>
    </row>
    <row r="3706">
      <c r="A3706" t="str">
        <f>IFERROR(__xludf.DUMMYFUNCTION("""COMPUTED_VALUE"""),"GraniteStateEV")</f>
        <v>GraniteStateEV</v>
      </c>
      <c r="B3706" t="str">
        <f>IFERROR(__xludf.DUMMYFUNCTION("""COMPUTED_VALUE"""),"Auburn")</f>
        <v>Auburn</v>
      </c>
      <c r="C3706" t="str">
        <f>IFERROR(__xludf.DUMMYFUNCTION("""COMPUTED_VALUE"""),"NH")</f>
        <v>NH</v>
      </c>
      <c r="D3706" t="str">
        <f>IFERROR(__xludf.DUMMYFUNCTION("""COMPUTED_VALUE"""),"USA")</f>
        <v>USA</v>
      </c>
      <c r="E3706" s="188">
        <f>IFERROR(__xludf.DUMMYFUNCTION("""COMPUTED_VALUE"""),44505.0)</f>
        <v>44505</v>
      </c>
      <c r="N3706" t="str">
        <f>IFERROR(__xludf.DUMMYFUNCTION("""COMPUTED_VALUE"""),"Model 3 Performance")</f>
        <v>Model 3 Performance</v>
      </c>
      <c r="O3706" t="str">
        <f>IFERROR(__xludf.DUMMYFUNCTION("""COMPUTED_VALUE"""),"Midnight Silver Metallic")</f>
        <v>Midnight Silver Metallic</v>
      </c>
      <c r="Q3706" t="str">
        <f>IFERROR(__xludf.DUMMYFUNCTION("""COMPUTED_VALUE"""),"All Black")</f>
        <v>All Black</v>
      </c>
      <c r="R3706" t="str">
        <f>IFERROR(__xludf.DUMMYFUNCTION("""COMPUTED_VALUE"""),"Autopilot included")</f>
        <v>Autopilot included</v>
      </c>
      <c r="S3706" t="str">
        <f>IFERROR(__xludf.DUMMYFUNCTION("""COMPUTED_VALUE"""),"Loan")</f>
        <v>Loan</v>
      </c>
      <c r="T3706" t="str">
        <f>IFERROR(__xludf.DUMMYFUNCTION("""COMPUTED_VALUE"""),"Mercedes C300")</f>
        <v>Mercedes C300</v>
      </c>
      <c r="U3706" t="str">
        <f>IFERROR(__xludf.DUMMYFUNCTION("""COMPUTED_VALUE"""),"Electric!")</f>
        <v>Electric!</v>
      </c>
      <c r="V3706" t="str">
        <f>IFERROR(__xludf.DUMMYFUNCTION("""COMPUTED_VALUE"""),"360° Bird's eye view")</f>
        <v>360° Bird's eye view</v>
      </c>
      <c r="AH3706" s="189">
        <f>IFERROR(__xludf.DUMMYFUNCTION("""COMPUTED_VALUE"""),44508.49368005787)</f>
        <v>44508.49368</v>
      </c>
    </row>
    <row r="3707">
      <c r="A3707" t="str">
        <f>IFERROR(__xludf.DUMMYFUNCTION("""COMPUTED_VALUE"""),"bobbydij")</f>
        <v>bobbydij</v>
      </c>
      <c r="C3707" t="str">
        <f>IFERROR(__xludf.DUMMYFUNCTION("""COMPUTED_VALUE"""),"MA")</f>
        <v>MA</v>
      </c>
      <c r="D3707" t="str">
        <f>IFERROR(__xludf.DUMMYFUNCTION("""COMPUTED_VALUE"""),"USA")</f>
        <v>USA</v>
      </c>
      <c r="E3707" s="188">
        <f>IFERROR(__xludf.DUMMYFUNCTION("""COMPUTED_VALUE"""),44473.0)</f>
        <v>44473</v>
      </c>
      <c r="N3707" t="str">
        <f>IFERROR(__xludf.DUMMYFUNCTION("""COMPUTED_VALUE"""),"Model 3 SR+")</f>
        <v>Model 3 SR+</v>
      </c>
      <c r="O3707" t="str">
        <f>IFERROR(__xludf.DUMMYFUNCTION("""COMPUTED_VALUE"""),"Pearl White Multi-Coat")</f>
        <v>Pearl White Multi-Coat</v>
      </c>
      <c r="P3707" t="str">
        <f>IFERROR(__xludf.DUMMYFUNCTION("""COMPUTED_VALUE"""),"18 inch")</f>
        <v>18 inch</v>
      </c>
      <c r="Q3707" t="str">
        <f>IFERROR(__xludf.DUMMYFUNCTION("""COMPUTED_VALUE"""),"All Black")</f>
        <v>All Black</v>
      </c>
      <c r="R3707" t="str">
        <f>IFERROR(__xludf.DUMMYFUNCTION("""COMPUTED_VALUE"""),"Autopilot included")</f>
        <v>Autopilot included</v>
      </c>
      <c r="S3707" t="str">
        <f>IFERROR(__xludf.DUMMYFUNCTION("""COMPUTED_VALUE"""),"Cash")</f>
        <v>Cash</v>
      </c>
      <c r="T3707" t="str">
        <f>IFERROR(__xludf.DUMMYFUNCTION("""COMPUTED_VALUE"""),"honda fit")</f>
        <v>honda fit</v>
      </c>
      <c r="U3707" t="str">
        <f>IFERROR(__xludf.DUMMYFUNCTION("""COMPUTED_VALUE"""),"go fast")</f>
        <v>go fast</v>
      </c>
      <c r="V3707" t="str">
        <f>IFERROR(__xludf.DUMMYFUNCTION("""COMPUTED_VALUE"""),"Apple CarPlay / Android Auto / SiriusXM Radio")</f>
        <v>Apple CarPlay / Android Auto / SiriusXM Radio</v>
      </c>
      <c r="AH3707" s="189">
        <f>IFERROR(__xludf.DUMMYFUNCTION("""COMPUTED_VALUE"""),44508.77188126158)</f>
        <v>44508.77188</v>
      </c>
    </row>
    <row r="3708">
      <c r="A3708" t="str">
        <f>IFERROR(__xludf.DUMMYFUNCTION("""COMPUTED_VALUE"""),"Teryul")</f>
        <v>Teryul</v>
      </c>
      <c r="B3708" t="str">
        <f>IFERROR(__xludf.DUMMYFUNCTION("""COMPUTED_VALUE"""),"Colorado Springs")</f>
        <v>Colorado Springs</v>
      </c>
      <c r="C3708" t="str">
        <f>IFERROR(__xludf.DUMMYFUNCTION("""COMPUTED_VALUE"""),"CO")</f>
        <v>CO</v>
      </c>
      <c r="D3708" t="str">
        <f>IFERROR(__xludf.DUMMYFUNCTION("""COMPUTED_VALUE"""),"USA")</f>
        <v>USA</v>
      </c>
      <c r="E3708" s="188">
        <f>IFERROR(__xludf.DUMMYFUNCTION("""COMPUTED_VALUE"""),44504.0)</f>
        <v>44504</v>
      </c>
      <c r="N3708" t="str">
        <f>IFERROR(__xludf.DUMMYFUNCTION("""COMPUTED_VALUE"""),"Model 3 LR AWD")</f>
        <v>Model 3 LR AWD</v>
      </c>
      <c r="O3708" t="str">
        <f>IFERROR(__xludf.DUMMYFUNCTION("""COMPUTED_VALUE"""),"Deep Blue Metallic")</f>
        <v>Deep Blue Metallic</v>
      </c>
      <c r="P3708" t="str">
        <f>IFERROR(__xludf.DUMMYFUNCTION("""COMPUTED_VALUE"""),"18 inch")</f>
        <v>18 inch</v>
      </c>
      <c r="Q3708" t="str">
        <f>IFERROR(__xludf.DUMMYFUNCTION("""COMPUTED_VALUE"""),"Black and White")</f>
        <v>Black and White</v>
      </c>
      <c r="R3708" t="str">
        <f>IFERROR(__xludf.DUMMYFUNCTION("""COMPUTED_VALUE"""),"Autopilot included")</f>
        <v>Autopilot included</v>
      </c>
      <c r="S3708" t="str">
        <f>IFERROR(__xludf.DUMMYFUNCTION("""COMPUTED_VALUE"""),"Cash")</f>
        <v>Cash</v>
      </c>
      <c r="T3708" t="str">
        <f>IFERROR(__xludf.DUMMYFUNCTION("""COMPUTED_VALUE"""),"Porsche Macan S")</f>
        <v>Porsche Macan S</v>
      </c>
      <c r="U3708" t="str">
        <f>IFERROR(__xludf.DUMMYFUNCTION("""COMPUTED_VALUE"""),"Electric!")</f>
        <v>Electric!</v>
      </c>
      <c r="V3708" t="str">
        <f>IFERROR(__xludf.DUMMYFUNCTION("""COMPUTED_VALUE"""),"Ventilated seats")</f>
        <v>Ventilated seats</v>
      </c>
      <c r="AH3708" s="189">
        <f>IFERROR(__xludf.DUMMYFUNCTION("""COMPUTED_VALUE"""),44508.856870358795)</f>
        <v>44508.85687</v>
      </c>
    </row>
    <row r="3709">
      <c r="A3709" t="str">
        <f>IFERROR(__xludf.DUMMYFUNCTION("""COMPUTED_VALUE"""),"M3ster")</f>
        <v>M3ster</v>
      </c>
      <c r="B3709" t="str">
        <f>IFERROR(__xludf.DUMMYFUNCTION("""COMPUTED_VALUE"""),"Salt Lake City")</f>
        <v>Salt Lake City</v>
      </c>
      <c r="C3709" t="str">
        <f>IFERROR(__xludf.DUMMYFUNCTION("""COMPUTED_VALUE"""),"UT")</f>
        <v>UT</v>
      </c>
      <c r="D3709" t="str">
        <f>IFERROR(__xludf.DUMMYFUNCTION("""COMPUTED_VALUE"""),"USA")</f>
        <v>USA</v>
      </c>
      <c r="E3709" s="188">
        <f>IFERROR(__xludf.DUMMYFUNCTION("""COMPUTED_VALUE"""),44425.0)</f>
        <v>44425</v>
      </c>
      <c r="N3709" t="str">
        <f>IFERROR(__xludf.DUMMYFUNCTION("""COMPUTED_VALUE"""),"Model 3 Performance")</f>
        <v>Model 3 Performance</v>
      </c>
      <c r="O3709" t="str">
        <f>IFERROR(__xludf.DUMMYFUNCTION("""COMPUTED_VALUE"""),"Midnight Silver Metallic")</f>
        <v>Midnight Silver Metallic</v>
      </c>
      <c r="P3709" t="str">
        <f>IFERROR(__xludf.DUMMYFUNCTION("""COMPUTED_VALUE"""),"20 inch")</f>
        <v>20 inch</v>
      </c>
      <c r="Q3709" t="str">
        <f>IFERROR(__xludf.DUMMYFUNCTION("""COMPUTED_VALUE"""),"All Black")</f>
        <v>All Black</v>
      </c>
      <c r="R3709" t="str">
        <f>IFERROR(__xludf.DUMMYFUNCTION("""COMPUTED_VALUE"""),"Autopilot included")</f>
        <v>Autopilot included</v>
      </c>
      <c r="S3709" t="str">
        <f>IFERROR(__xludf.DUMMYFUNCTION("""COMPUTED_VALUE"""),"Loan")</f>
        <v>Loan</v>
      </c>
      <c r="T3709" t="str">
        <f>IFERROR(__xludf.DUMMYFUNCTION("""COMPUTED_VALUE"""),"Tesla Model 3")</f>
        <v>Tesla Model 3</v>
      </c>
      <c r="U3709" t="str">
        <f>IFERROR(__xludf.DUMMYFUNCTION("""COMPUTED_VALUE"""),"Electric!")</f>
        <v>Electric!</v>
      </c>
      <c r="V3709" t="str">
        <f>IFERROR(__xludf.DUMMYFUNCTION("""COMPUTED_VALUE"""),"Head-up display")</f>
        <v>Head-up display</v>
      </c>
      <c r="AH3709" s="189">
        <f>IFERROR(__xludf.DUMMYFUNCTION("""COMPUTED_VALUE"""),44509.685939814815)</f>
        <v>44509.68594</v>
      </c>
    </row>
  </sheetData>
  <hyperlinks>
    <hyperlink r:id="rId1" ref="A59"/>
    <hyperlink r:id="rId2" ref="A1667"/>
  </hyperlinks>
  <drawing r:id="rId3"/>
</worksheet>
</file>